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1. Paste Schedule" sheetId="2" state="visible" r:id="rId2"/>
    <sheet xmlns:r="http://schemas.openxmlformats.org/officeDocument/2006/relationships" name="2. Check Columns" sheetId="3" state="visible" r:id="rId3"/>
    <sheet xmlns:r="http://schemas.openxmlformats.org/officeDocument/2006/relationships" name="3. Lines" sheetId="4" state="visible" r:id="rId4"/>
    <sheet xmlns:r="http://schemas.openxmlformats.org/officeDocument/2006/relationships" name="4. Schedule" sheetId="5" state="visible" r:id="rId5"/>
    <sheet xmlns:r="http://schemas.openxmlformats.org/officeDocument/2006/relationships" name="Calc" sheetId="6" state="hidden" r:id="rId6"/>
  </sheets>
  <definedNames>
    <definedName name="PASTE_ALL">'1. Paste Schedule'!$1:$1048576</definedName>
    <definedName name="HEADER_ROW">'2. Check Columns'!$E$6</definedName>
    <definedName name="HEADER_ROW_OVERRIDE">'2. Check Columns'!$E$5</definedName>
    <definedName name="COL_OVERRIDES">'2. Check Columns'!$F$13:$F$27</definedName>
    <definedName name="WO_COUNT">'2. Check Columns'!$E$9</definedName>
    <definedName name="LINE_COUNT">'2. Check Columns'!$E$10</definedName>
    <definedName name="LINES_NAME">'3. Lines'!$A$4:$A$103</definedName>
    <definedName name="LINES_SCHEDULED">'3. Lines'!$B$4:$B$103</definedName>
    <definedName name="LINES_STATUS">'3. Lines'!$C$4:$C$103</definedName>
    <definedName name="LINES_CHECKED_ON">'3. Lines'!$K$1</definedName>
    <definedName name="SCHED_KIND">'4. Schedule'!$T$3:$T$702</definedName>
    <definedName name="SCHED_HL">'4. Schedule'!$U$3:$U$702</definedName>
    <definedName name="SCHED_SCHEDULED">'4. Schedule'!$V$3:$V$702</definedName>
    <definedName name="SCHED_STATUS">'4. Schedule'!$W$3:$W$702</definedName>
    <definedName name="_xlnm.Print_Area" localSheetId="0">'How To Use'!$A$1:$C$105</definedName>
    <definedName name="_xlnm.Print_Area" localSheetId="2">'2. Check Columns'!$B$1:$H$91</definedName>
    <definedName name="_xlnm.Print_Titles" localSheetId="3">'3. Lines'!$3:$3</definedName>
    <definedName name="_xlnm.Print_Area" localSheetId="3">'3. Lines'!$A$1:$N$103</definedName>
    <definedName name="_xlnm.Print_Area" localSheetId="4">'4. Schedule'!$A$1:INDEX('4. Schedule'!$R$1:$R$702,Calc!$B$14)</definedName>
    <definedName name="_xlnm.Print_Titles" localSheetId="4">'4. Schedule'!$1:$2</definedName>
  </definedNames>
  <calcPr calcId="124519" fullCalcOnLoad="1"/>
</workbook>
</file>

<file path=xl/styles.xml><?xml version="1.0" encoding="utf-8"?>
<styleSheet xmlns="http://schemas.openxmlformats.org/spreadsheetml/2006/main">
  <numFmts count="3">
    <numFmt numFmtId="164" formatCode="mmm d, yyyy"/>
    <numFmt numFmtId="165" formatCode="mmmm d, yyyy"/>
    <numFmt numFmtId="166" formatCode="0.0%"/>
  </numFmts>
  <fonts count="28">
    <font>
      <name val="Calibri"/>
      <family val="2"/>
      <color theme="1"/>
      <sz val="11"/>
      <scheme val="minor"/>
    </font>
    <font>
      <name val="Calibri"/>
      <b val="1"/>
      <color rgb="FF1F3864"/>
      <sz val="20"/>
    </font>
    <font>
      <name val="Calibri"/>
      <i val="1"/>
      <color rgb="FF404040"/>
      <sz val="12"/>
    </font>
    <font>
      <name val="Calibri"/>
      <b val="1"/>
      <color rgb="FF000000"/>
      <sz val="11"/>
    </font>
    <font>
      <name val="Calibri"/>
      <color rgb="FF000000"/>
      <sz val="11"/>
    </font>
    <font>
      <name val="Calibri"/>
      <b val="1"/>
      <color rgb="FFFFFFFF"/>
      <sz val="13"/>
    </font>
    <font>
      <name val="Calibri"/>
      <b val="1"/>
      <color rgb="FF2F5597"/>
      <sz val="14"/>
    </font>
    <font>
      <name val="Calibri"/>
      <b val="1"/>
      <color rgb="FF1F3864"/>
      <sz val="11"/>
    </font>
    <font>
      <name val="Calibri"/>
      <b val="1"/>
      <color rgb="FFFFFFFF"/>
      <sz val="22"/>
    </font>
    <font>
      <name val="Calibri"/>
      <b val="1"/>
      <color rgb="FF1F3864"/>
      <sz val="13"/>
    </font>
    <font>
      <name val="Calibri"/>
      <b val="1"/>
      <color rgb="FF006100"/>
      <sz val="11"/>
    </font>
    <font>
      <name val="Calibri"/>
      <b val="1"/>
      <color rgb="FFC00000"/>
      <sz val="11"/>
    </font>
    <font>
      <name val="Calibri"/>
      <b val="1"/>
      <color rgb="FF000000"/>
      <sz val="18"/>
    </font>
    <font>
      <name val="Calibri"/>
      <i val="1"/>
      <color rgb="FF595959"/>
      <sz val="10"/>
    </font>
    <font>
      <name val="Calibri"/>
      <b val="1"/>
      <color rgb="FFC00000"/>
      <sz val="10"/>
    </font>
    <font>
      <name val="Calibri"/>
      <b val="1"/>
      <color rgb="FF000000"/>
      <sz val="13"/>
    </font>
    <font>
      <name val="Calibri"/>
      <b val="1"/>
      <color rgb="FF000000"/>
      <sz val="10"/>
    </font>
    <font>
      <name val="Calibri"/>
      <color rgb="FF000000"/>
      <sz val="10"/>
    </font>
    <font>
      <name val="Calibri"/>
      <b val="1"/>
      <color rgb="FF000000"/>
      <sz val="12"/>
    </font>
    <font>
      <name val="Calibri"/>
      <i val="1"/>
      <color rgb="FF7F7F7F"/>
      <sz val="9"/>
    </font>
    <font>
      <name val="Calibri"/>
      <color rgb="FF7F7F7F"/>
      <sz val="9"/>
    </font>
    <font>
      <name val="Calibri"/>
      <b val="1"/>
      <color rgb="FFC00000"/>
      <sz val="7"/>
    </font>
    <font>
      <name val="Calibri"/>
      <b val="1"/>
      <color rgb="FF000000"/>
      <sz val="16"/>
    </font>
    <font>
      <name val="Calibri"/>
      <color rgb="FF444444"/>
      <sz val="9"/>
    </font>
    <font>
      <name val="Calibri"/>
      <b val="1"/>
      <color rgb="FF000000"/>
      <sz val="7"/>
    </font>
    <font>
      <name val="Calibri"/>
      <b val="1"/>
      <color rgb="FF000000"/>
      <sz val="8"/>
    </font>
    <font>
      <name val="Calibri"/>
      <color rgb="FF000000"/>
      <sz val="8"/>
    </font>
    <font>
      <name val="Calibri"/>
      <b val="1"/>
      <color rgb="FF000000"/>
      <sz val="9"/>
    </font>
  </fonts>
  <fills count="20">
    <fill>
      <patternFill/>
    </fill>
    <fill>
      <patternFill patternType="gray125"/>
    </fill>
    <fill>
      <patternFill patternType="solid">
        <fgColor rgb="FF1F3864"/>
        <bgColor rgb="FF1F3864"/>
      </patternFill>
    </fill>
    <fill>
      <patternFill patternType="solid">
        <fgColor rgb="FFDDEBF7"/>
        <bgColor rgb="FFDDEBF7"/>
      </patternFill>
    </fill>
    <fill>
      <patternFill patternType="solid">
        <fgColor rgb="FF2F5597"/>
        <bgColor rgb="FF2F5597"/>
      </patternFill>
    </fill>
    <fill>
      <patternFill patternType="solid">
        <fgColor rgb="FFD9E2F3"/>
        <bgColor rgb="FFD9E2F3"/>
      </patternFill>
    </fill>
    <fill>
      <patternFill patternType="solid">
        <fgColor rgb="FFFCE4D6"/>
        <bgColor rgb="FFFCE4D6"/>
      </patternFill>
    </fill>
    <fill>
      <patternFill patternType="solid">
        <fgColor rgb="FFF8CBAD"/>
        <bgColor rgb="FFF8CBAD"/>
      </patternFill>
    </fill>
    <fill>
      <patternFill patternType="solid">
        <fgColor rgb="FFFFF2CC"/>
        <bgColor rgb="FFFFF2CC"/>
      </patternFill>
    </fill>
    <fill>
      <patternFill patternType="solid">
        <fgColor rgb="FFBDD7EE"/>
        <bgColor rgb="FFBDD7EE"/>
      </patternFill>
    </fill>
    <fill>
      <patternFill patternType="solid">
        <fgColor rgb="FFFFF9DB"/>
        <bgColor rgb="FFFFF9DB"/>
      </patternFill>
    </fill>
    <fill>
      <patternFill patternType="solid">
        <fgColor rgb="FF15803D"/>
        <bgColor rgb="FF15803D"/>
      </patternFill>
    </fill>
    <fill>
      <patternFill patternType="solid">
        <fgColor rgb="FF1D4ED8"/>
        <bgColor rgb="FF1D4ED8"/>
      </patternFill>
    </fill>
    <fill>
      <patternFill patternType="solid">
        <fgColor rgb="FFFACC15"/>
        <bgColor rgb="FFFACC15"/>
      </patternFill>
    </fill>
    <fill>
      <patternFill patternType="solid">
        <fgColor rgb="FFDAEBE0"/>
        <bgColor rgb="FFDAEBE0"/>
      </patternFill>
    </fill>
    <fill>
      <patternFill patternType="solid">
        <fgColor rgb="FF00C805"/>
        <bgColor rgb="FF00C805"/>
      </patternFill>
    </fill>
    <fill>
      <patternFill patternType="solid">
        <fgColor rgb="FFFF0000"/>
        <bgColor rgb="FFFF0000"/>
      </patternFill>
    </fill>
    <fill>
      <patternFill patternType="solid">
        <fgColor rgb="FF000080"/>
        <bgColor rgb="FF000080"/>
      </patternFill>
    </fill>
    <fill>
      <patternFill patternType="solid">
        <fgColor rgb="FFFFF2A8"/>
        <bgColor rgb="FFFFF2A8"/>
      </patternFill>
    </fill>
    <fill>
      <patternFill patternType="solid">
        <fgColor rgb="FFD9D9D9"/>
        <bgColor rgb="FFD9D9D9"/>
      </patternFill>
    </fill>
  </fills>
  <borders count="3">
    <border>
      <left/>
      <right/>
      <top/>
      <bottom/>
      <diagonal/>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0" borderId="0" applyAlignment="1" pivotButton="0" quotePrefix="0" xfId="0">
      <alignment horizontal="center" vertical="top" wrapText="1"/>
    </xf>
    <xf numFmtId="0" fontId="7" fillId="3" borderId="0" applyAlignment="1" pivotButton="0" quotePrefix="0" xfId="0">
      <alignment horizontal="center" vertical="top"/>
    </xf>
    <xf numFmtId="0" fontId="4" fillId="3" borderId="0" applyAlignment="1" pivotButton="0" quotePrefix="0" xfId="0">
      <alignment vertical="top" wrapText="1"/>
    </xf>
    <xf numFmtId="0" fontId="8" fillId="4" borderId="0" applyAlignment="1" pivotButton="0" quotePrefix="0" xfId="0">
      <alignment horizontal="center" vertical="center"/>
    </xf>
    <xf numFmtId="0" fontId="9" fillId="5" borderId="0" applyAlignment="1" pivotButton="0" quotePrefix="0" xfId="0">
      <alignment vertical="center" wrapText="1" indent="1"/>
    </xf>
    <xf numFmtId="0" fontId="6" fillId="0" borderId="0" applyAlignment="1" pivotButton="0" quotePrefix="0" xfId="0">
      <alignment horizontal="center" vertical="top"/>
    </xf>
    <xf numFmtId="0" fontId="10" fillId="0" borderId="0" applyAlignment="1" pivotButton="0" quotePrefix="0" xfId="0">
      <alignment vertical="top" wrapText="1"/>
    </xf>
    <xf numFmtId="0" fontId="11" fillId="6" borderId="0" applyAlignment="1" pivotButton="0" quotePrefix="0" xfId="0">
      <alignment horizontal="center" vertical="top"/>
    </xf>
    <xf numFmtId="0" fontId="4" fillId="6" borderId="0"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16" borderId="1" pivotButton="0" quotePrefix="0" xfId="0"/>
    <xf numFmtId="0" fontId="0" fillId="17" borderId="1" pivotButton="0" quotePrefix="0" xfId="0"/>
    <xf numFmtId="0" fontId="3" fillId="0" borderId="0" pivotButton="0" quotePrefix="0" xfId="0"/>
    <xf numFmtId="0" fontId="12" fillId="0" borderId="0" pivotButton="0" quotePrefix="0" xfId="0"/>
    <xf numFmtId="0" fontId="13" fillId="0" borderId="0" pivotButton="0" quotePrefix="0" xfId="0"/>
    <xf numFmtId="0" fontId="4" fillId="0" borderId="1" applyAlignment="1" pivotButton="0" quotePrefix="0" xfId="0">
      <alignment horizontal="center"/>
    </xf>
    <xf numFmtId="0" fontId="3" fillId="18" borderId="2" applyAlignment="1" applyProtection="1" pivotButton="0" quotePrefix="0" xfId="0">
      <alignment horizontal="center"/>
      <protection locked="0" hidden="0"/>
    </xf>
    <xf numFmtId="0" fontId="14" fillId="0" borderId="0" pivotButton="0" quotePrefix="0" xfId="0"/>
    <xf numFmtId="0" fontId="3" fillId="0" borderId="2" applyAlignment="1" pivotButton="0" quotePrefix="0" xfId="0">
      <alignment horizontal="center"/>
    </xf>
    <xf numFmtId="0" fontId="15" fillId="0" borderId="2" applyAlignment="1" pivotButton="0" quotePrefix="0" xfId="0">
      <alignment horizontal="left" vertical="center" wrapText="1" indent="1"/>
    </xf>
    <xf numFmtId="0" fontId="3" fillId="0" borderId="0" applyAlignment="1" pivotButton="0" quotePrefix="0" xfId="0">
      <alignment horizontal="center"/>
    </xf>
    <xf numFmtId="0" fontId="3" fillId="0" borderId="0" applyAlignment="1" pivotButton="0" quotePrefix="0" xfId="0">
      <alignment horizontal="right"/>
    </xf>
    <xf numFmtId="0" fontId="3" fillId="0" borderId="0" applyAlignment="1" pivotButton="0" quotePrefix="0" xfId="0">
      <alignment horizontal="left" indent="1"/>
    </xf>
    <xf numFmtId="0" fontId="16" fillId="19" borderId="2" applyAlignment="1" pivotButton="0" quotePrefix="0" xfId="0">
      <alignment vertical="center" wrapText="1"/>
    </xf>
    <xf numFmtId="0" fontId="16" fillId="0" borderId="1" pivotButton="0" quotePrefix="0" xfId="0"/>
    <xf numFmtId="0" fontId="17" fillId="0" borderId="1" applyAlignment="1" pivotButton="0" quotePrefix="0" xfId="0">
      <alignment horizontal="center"/>
    </xf>
    <xf numFmtId="0" fontId="17" fillId="0" borderId="1" pivotButton="0" quotePrefix="0" xfId="0"/>
    <xf numFmtId="0" fontId="17" fillId="0" borderId="1" applyAlignment="1" pivotButton="0" quotePrefix="0" xfId="0">
      <alignment horizontal="left"/>
    </xf>
    <xf numFmtId="0" fontId="16" fillId="0" borderId="1" applyAlignment="1" pivotButton="0" quotePrefix="0" xfId="0">
      <alignment horizontal="center"/>
    </xf>
    <xf numFmtId="0" fontId="14" fillId="0" borderId="1" applyAlignment="1" pivotButton="0" quotePrefix="0" xfId="0">
      <alignment wrapText="1"/>
    </xf>
    <xf numFmtId="0" fontId="18" fillId="0" borderId="0" pivotButton="0" quotePrefix="0" xfId="0"/>
    <xf numFmtId="0" fontId="16" fillId="19" borderId="2" pivotButton="0" quotePrefix="0" xfId="0"/>
    <xf numFmtId="0" fontId="3" fillId="0" borderId="0" applyAlignment="1" pivotButton="0" quotePrefix="0" xfId="0">
      <alignment horizontal="right" vertical="center"/>
    </xf>
    <xf numFmtId="164" fontId="3" fillId="18" borderId="2" applyAlignment="1" applyProtection="1" pivotButton="0" quotePrefix="0" xfId="0">
      <alignment horizontal="center" vertical="center"/>
      <protection locked="0" hidden="0"/>
    </xf>
    <xf numFmtId="0" fontId="14" fillId="0" borderId="0" applyAlignment="1" pivotButton="0" quotePrefix="0" xfId="0">
      <alignment vertical="center" wrapText="1"/>
    </xf>
    <xf numFmtId="0" fontId="13" fillId="0" borderId="0" applyAlignment="1" pivotButton="0" quotePrefix="0" xfId="0">
      <alignment vertical="top" wrapText="1"/>
    </xf>
    <xf numFmtId="0" fontId="14" fillId="0" borderId="0" applyAlignment="1" pivotButton="0" quotePrefix="0" xfId="0">
      <alignment vertical="top" wrapText="1"/>
    </xf>
    <xf numFmtId="0" fontId="3" fillId="0" borderId="1" applyProtection="1" pivotButton="0" quotePrefix="0" xfId="0">
      <protection locked="0" hidden="0"/>
    </xf>
    <xf numFmtId="0" fontId="3" fillId="0" borderId="1" applyAlignment="1" applyProtection="1" pivotButton="0" quotePrefix="0" xfId="0">
      <alignment horizontal="center" vertical="center"/>
      <protection locked="0" hidden="0"/>
    </xf>
    <xf numFmtId="0" fontId="17" fillId="0" borderId="1" applyAlignment="1" pivotButton="0" quotePrefix="0" xfId="0">
      <alignment horizontal="center" vertical="center"/>
    </xf>
    <xf numFmtId="0" fontId="19" fillId="0" borderId="1" pivotButton="0" quotePrefix="0" xfId="0"/>
    <xf numFmtId="0" fontId="20" fillId="0" borderId="0" applyAlignment="1" pivotButton="0" quotePrefix="0" xfId="0">
      <alignment horizontal="center" vertical="center"/>
    </xf>
    <xf numFmtId="0" fontId="17" fillId="0" borderId="0" applyAlignment="1" pivotButton="0" quotePrefix="0" xfId="0">
      <alignment horizontal="center" vertical="center"/>
    </xf>
    <xf numFmtId="0" fontId="16" fillId="0" borderId="0" applyAlignment="1" pivotButton="0" quotePrefix="0" xfId="0">
      <alignment horizontal="center" vertical="center"/>
    </xf>
    <xf numFmtId="0" fontId="11" fillId="0" borderId="0" pivotButton="0" quotePrefix="0" xfId="0"/>
    <xf numFmtId="0" fontId="21" fillId="0" borderId="0" applyAlignment="1" pivotButton="0" quotePrefix="0" xfId="0">
      <alignment horizontal="left" vertical="center" wrapText="1"/>
    </xf>
    <xf numFmtId="0" fontId="22" fillId="0" borderId="0" applyAlignment="1" pivotButton="0" quotePrefix="0" xfId="0">
      <alignment horizontal="center" vertical="center"/>
    </xf>
    <xf numFmtId="165" fontId="23" fillId="0" borderId="0" applyAlignment="1" pivotButton="0" quotePrefix="0" xfId="0">
      <alignment horizontal="right" vertical="center"/>
    </xf>
    <xf numFmtId="0" fontId="24" fillId="19" borderId="2" applyAlignment="1" pivotButton="0" quotePrefix="0" xfId="0">
      <alignment horizontal="left" vertical="center" wrapText="1"/>
    </xf>
    <xf numFmtId="0" fontId="25" fillId="0" borderId="0" pivotButton="0" quotePrefix="0" xfId="0"/>
    <xf numFmtId="0" fontId="25" fillId="0" borderId="0" applyAlignment="1" pivotButton="0" quotePrefix="0" xfId="0">
      <alignment horizontal="center" vertical="center"/>
    </xf>
    <xf numFmtId="0" fontId="26" fillId="0" borderId="0" applyAlignment="1" pivotButton="0" quotePrefix="0" xfId="0">
      <alignment horizontal="left" vertical="center"/>
    </xf>
    <xf numFmtId="0" fontId="26" fillId="0" borderId="0" applyAlignment="1" pivotButton="0" quotePrefix="0" xfId="0">
      <alignment horizontal="right" vertical="center"/>
    </xf>
    <xf numFmtId="166" fontId="26" fillId="0" borderId="0" applyAlignment="1" pivotButton="0" quotePrefix="0" xfId="0">
      <alignment horizontal="right" vertical="center"/>
    </xf>
    <xf numFmtId="1" fontId="26" fillId="0" borderId="0" applyAlignment="1" pivotButton="0" quotePrefix="0" xfId="0">
      <alignment horizontal="right" vertical="center"/>
    </xf>
    <xf numFmtId="0" fontId="27" fillId="0" borderId="0" pivotButton="0" quotePrefix="0" xfId="0"/>
  </cellXfs>
  <cellStyles count="1">
    <cellStyle name="Normal" xfId="0" builtinId="0" hidden="0"/>
  </cellStyles>
  <dxfs count="121">
    <dxf>
      <font>
        <b val="1"/>
        <color rgb="FF006100"/>
      </font>
      <fill>
        <patternFill patternType="solid">
          <fgColor rgb="FFC6EFCE"/>
          <bgColor rgb="FFC6EFCE"/>
        </patternFill>
      </fill>
    </dxf>
    <dxf>
      <font>
        <b val="1"/>
        <color rgb="FF9C0006"/>
      </font>
      <fill>
        <patternFill patternType="solid">
          <fgColor rgb="FFFFC7CE"/>
          <bgColor rgb="FFFFC7CE"/>
        </patternFill>
      </fill>
    </dxf>
    <dxf>
      <fill>
        <patternFill patternType="solid">
          <fgColor rgb="FFE2EFDA"/>
          <bgColor rgb="FFE2EFDA"/>
        </patternFill>
      </fill>
    </dxf>
    <dxf>
      <font>
        <b val="1"/>
        <color rgb="FFFFFFFF"/>
      </font>
      <fill>
        <patternFill patternType="solid">
          <fgColor rgb="FF15803D"/>
          <bgColor rgb="FF15803D"/>
        </patternFill>
      </fill>
    </dxf>
    <dxf>
      <font>
        <b val="1"/>
        <color rgb="FFFFFFFF"/>
      </font>
      <fill>
        <patternFill patternType="solid">
          <fgColor rgb="FF1D4ED8"/>
          <bgColor rgb="FF1D4ED8"/>
        </patternFill>
      </fill>
    </dxf>
    <dxf>
      <font>
        <b val="1"/>
        <color rgb="FF000000"/>
      </font>
      <fill>
        <patternFill patternType="solid">
          <fgColor rgb="FFFACC15"/>
          <bgColor rgb="FFFACC15"/>
        </patternFill>
      </fill>
    </dxf>
    <dxf>
      <font>
        <b val="1"/>
        <color rgb="FF000000"/>
      </font>
      <fill>
        <patternFill patternType="solid">
          <fgColor rgb="FF00C805"/>
          <bgColor rgb="FF00C805"/>
        </patternFill>
      </fill>
      <border>
        <left style="thin">
          <color rgb="FF00C805"/>
        </left>
        <right style="thin">
          <color rgb="FF808080"/>
        </right>
        <top style="thin">
          <color rgb="FF00C805"/>
        </top>
        <bottom style="thin">
          <color rgb="FF00C805"/>
        </bottom>
      </border>
    </dxf>
    <dxf>
      <font>
        <b val="1"/>
        <color rgb="FF000000"/>
      </font>
      <fill>
        <patternFill patternType="solid">
          <fgColor rgb="FF00C805"/>
          <bgColor rgb="FF00C805"/>
        </patternFill>
      </fill>
      <border>
        <left style="thin">
          <color rgb="FF00C805"/>
        </left>
        <right style="thin">
          <color rgb="FF808080"/>
        </right>
        <top style="thin">
          <color rgb="FF00C805"/>
        </top>
      </border>
    </dxf>
    <dxf>
      <font>
        <b val="1"/>
        <color rgb="FF000000"/>
      </font>
      <fill>
        <patternFill patternType="solid">
          <fgColor rgb="FF00C805"/>
          <bgColor rgb="FF00C805"/>
        </patternFill>
      </fill>
      <border>
        <left style="thin">
          <color rgb="FF00C805"/>
        </left>
        <right style="thin">
          <color rgb="FF808080"/>
        </right>
        <bottom style="thin">
          <color rgb="FF00C805"/>
        </bottom>
      </border>
    </dxf>
    <dxf>
      <font>
        <b val="1"/>
        <color rgb="FF000000"/>
      </font>
      <fill>
        <patternFill patternType="solid">
          <fgColor rgb="FF00C805"/>
          <bgColor rgb="FF00C805"/>
        </patternFill>
      </fill>
      <border>
        <left style="thin">
          <color rgb="FF00C805"/>
        </left>
        <right style="thin">
          <color rgb="FF808080"/>
        </right>
      </border>
    </dxf>
    <dxf>
      <fill>
        <patternFill patternType="solid">
          <fgColor rgb="FFDAEBE0"/>
          <bgColor rgb="FFDAEBE0"/>
        </patternFill>
      </fill>
      <border>
        <left style="thin">
          <color rgb="FF808080"/>
        </left>
        <right style="thin">
          <color rgb="FF808080"/>
        </right>
        <top style="thin">
          <color rgb="FF808080"/>
        </top>
        <bottom style="thin">
          <color rgb="FF000080"/>
        </bottom>
      </border>
    </dxf>
    <dxf>
      <fill>
        <patternFill patternType="solid">
          <fgColor rgb="FFDBE3F9"/>
          <bgColor rgb="FFDBE3F9"/>
        </patternFill>
      </fill>
      <border>
        <left style="thin">
          <color rgb="FF808080"/>
        </left>
        <right style="thin">
          <color rgb="FF808080"/>
        </right>
        <top style="thin">
          <color rgb="FF808080"/>
        </top>
        <bottom style="thin">
          <color rgb="FF000080"/>
        </bottom>
      </border>
    </dxf>
    <dxf>
      <fill>
        <patternFill patternType="solid">
          <fgColor rgb="FFFEF7DA"/>
          <bgColor rgb="FFFEF7DA"/>
        </patternFill>
      </fill>
      <border>
        <left style="thin">
          <color rgb="FF808080"/>
        </left>
        <right style="thin">
          <color rgb="FF808080"/>
        </right>
        <top style="thin">
          <color rgb="FF808080"/>
        </top>
        <bottom style="thin">
          <color rgb="FF000080"/>
        </bottom>
      </border>
    </dxf>
    <dxf>
      <border>
        <left style="thin">
          <color rgb="FF808080"/>
        </left>
        <right style="thin">
          <color rgb="FF808080"/>
        </right>
        <top style="thin">
          <color rgb="FF808080"/>
        </top>
        <bottom style="thin">
          <color rgb="FF000080"/>
        </bottom>
      </border>
    </dxf>
    <dxf>
      <fill>
        <patternFill patternType="solid">
          <fgColor rgb="FFDAEBE0"/>
          <bgColor rgb="FFDAEBE0"/>
        </patternFill>
      </fill>
      <border>
        <left style="thin">
          <color rgb="FF808080"/>
        </left>
        <right style="thin">
          <color rgb="FF808080"/>
        </right>
        <top style="thin">
          <color rgb="FF808080"/>
        </top>
      </border>
    </dxf>
    <dxf>
      <fill>
        <patternFill patternType="solid">
          <fgColor rgb="FFDBE3F9"/>
          <bgColor rgb="FFDBE3F9"/>
        </patternFill>
      </fill>
      <border>
        <left style="thin">
          <color rgb="FF808080"/>
        </left>
        <right style="thin">
          <color rgb="FF808080"/>
        </right>
        <top style="thin">
          <color rgb="FF808080"/>
        </top>
      </border>
    </dxf>
    <dxf>
      <fill>
        <patternFill patternType="solid">
          <fgColor rgb="FFFEF7DA"/>
          <bgColor rgb="FFFEF7DA"/>
        </patternFill>
      </fill>
      <border>
        <left style="thin">
          <color rgb="FF808080"/>
        </left>
        <right style="thin">
          <color rgb="FF808080"/>
        </right>
        <top style="thin">
          <color rgb="FF808080"/>
        </top>
      </border>
    </dxf>
    <dxf>
      <border>
        <left style="thin">
          <color rgb="FF808080"/>
        </left>
        <right style="thin">
          <color rgb="FF808080"/>
        </right>
        <top style="thin">
          <color rgb="FF808080"/>
        </top>
      </border>
    </dxf>
    <dxf>
      <fill>
        <patternFill patternType="solid">
          <fgColor rgb="FFDAEBE0"/>
          <bgColor rgb="FFDAEBE0"/>
        </patternFill>
      </fill>
      <border>
        <left style="thin">
          <color rgb="FF808080"/>
        </left>
        <right style="thin">
          <color rgb="FF808080"/>
        </right>
        <bottom style="thin">
          <color rgb="FF000080"/>
        </bottom>
      </border>
    </dxf>
    <dxf>
      <fill>
        <patternFill patternType="solid">
          <fgColor rgb="FFDBE3F9"/>
          <bgColor rgb="FFDBE3F9"/>
        </patternFill>
      </fill>
      <border>
        <left style="thin">
          <color rgb="FF808080"/>
        </left>
        <right style="thin">
          <color rgb="FF808080"/>
        </right>
        <bottom style="thin">
          <color rgb="FF000080"/>
        </bottom>
      </border>
    </dxf>
    <dxf>
      <fill>
        <patternFill patternType="solid">
          <fgColor rgb="FFFEF7DA"/>
          <bgColor rgb="FFFEF7DA"/>
        </patternFill>
      </fill>
      <border>
        <left style="thin">
          <color rgb="FF808080"/>
        </left>
        <right style="thin">
          <color rgb="FF808080"/>
        </right>
        <bottom style="thin">
          <color rgb="FF000080"/>
        </bottom>
      </border>
    </dxf>
    <dxf>
      <border>
        <left style="thin">
          <color rgb="FF808080"/>
        </left>
        <right style="thin">
          <color rgb="FF808080"/>
        </right>
        <bottom style="thin">
          <color rgb="FF000080"/>
        </bottom>
      </border>
    </dxf>
    <dxf>
      <fill>
        <patternFill patternType="solid">
          <fgColor rgb="FFDAEBE0"/>
          <bgColor rgb="FFDAEBE0"/>
        </patternFill>
      </fill>
      <border>
        <left style="thin">
          <color rgb="FF808080"/>
        </left>
        <right style="thin">
          <color rgb="FF808080"/>
        </right>
      </border>
    </dxf>
    <dxf>
      <fill>
        <patternFill patternType="solid">
          <fgColor rgb="FFDBE3F9"/>
          <bgColor rgb="FFDBE3F9"/>
        </patternFill>
      </fill>
      <border>
        <left style="thin">
          <color rgb="FF808080"/>
        </left>
        <right style="thin">
          <color rgb="FF808080"/>
        </right>
      </border>
    </dxf>
    <dxf>
      <fill>
        <patternFill patternType="solid">
          <fgColor rgb="FFFEF7DA"/>
          <bgColor rgb="FFFEF7DA"/>
        </patternFill>
      </fill>
      <border>
        <left style="thin">
          <color rgb="FF808080"/>
        </left>
        <right style="thin">
          <color rgb="FF808080"/>
        </right>
      </border>
    </dxf>
    <dxf>
      <border>
        <left style="thin">
          <color rgb="FF808080"/>
        </left>
        <right style="thin">
          <color rgb="FF808080"/>
        </right>
      </border>
    </dxf>
    <dxf>
      <font>
        <b val="1"/>
        <color rgb="FFFFFFFF"/>
      </font>
      <fill>
        <patternFill patternType="solid">
          <fgColor rgb="FF15803D"/>
          <bgColor rgb="FF15803D"/>
        </patternFill>
      </fill>
      <border>
        <left style="thin">
          <color rgb="FF808080"/>
        </left>
        <right style="thin">
          <color rgb="FF808080"/>
        </right>
        <top style="thin">
          <color rgb="FF00C805"/>
        </top>
        <bottom style="thin">
          <color rgb="FF00C805"/>
        </bottom>
      </border>
    </dxf>
    <dxf>
      <font>
        <b val="1"/>
        <color rgb="FFFFFFFF"/>
      </font>
      <fill>
        <patternFill patternType="solid">
          <fgColor rgb="FF1D4ED8"/>
          <bgColor rgb="FF1D4ED8"/>
        </patternFill>
      </fill>
      <border>
        <left style="thin">
          <color rgb="FF808080"/>
        </left>
        <right style="thin">
          <color rgb="FF808080"/>
        </right>
        <top style="thin">
          <color rgb="FF00C805"/>
        </top>
        <bottom style="thin">
          <color rgb="FF00C805"/>
        </bottom>
      </border>
    </dxf>
    <dxf>
      <font>
        <b val="1"/>
        <color rgb="FF000000"/>
      </font>
      <fill>
        <patternFill patternType="solid">
          <fgColor rgb="FFFACC15"/>
          <bgColor rgb="FFFACC15"/>
        </patternFill>
      </fill>
      <border>
        <left style="thin">
          <color rgb="FF808080"/>
        </left>
        <right style="thin">
          <color rgb="FF808080"/>
        </right>
        <top style="thin">
          <color rgb="FF00C805"/>
        </top>
        <bottom style="thin">
          <color rgb="FF00C805"/>
        </bottom>
      </border>
    </dxf>
    <dxf>
      <border>
        <left style="thin">
          <color rgb="FF808080"/>
        </left>
        <right style="thin">
          <color rgb="FF808080"/>
        </right>
        <top style="thin">
          <color rgb="FF00C805"/>
        </top>
        <bottom style="thin">
          <color rgb="FF00C805"/>
        </bottom>
      </border>
    </dxf>
    <dxf>
      <font>
        <b val="1"/>
        <color rgb="FFFFFFFF"/>
      </font>
      <fill>
        <patternFill patternType="solid">
          <fgColor rgb="FF15803D"/>
          <bgColor rgb="FF15803D"/>
        </patternFill>
      </fill>
      <border>
        <left style="thin">
          <color rgb="FF808080"/>
        </left>
        <right style="thin">
          <color rgb="FF808080"/>
        </right>
        <top style="thin">
          <color rgb="FF00C805"/>
        </top>
        <bottom style="thin">
          <color rgb="FF808080"/>
        </bottom>
      </border>
    </dxf>
    <dxf>
      <font>
        <b val="1"/>
        <color rgb="FFFFFFFF"/>
      </font>
      <fill>
        <patternFill patternType="solid">
          <fgColor rgb="FF1D4ED8"/>
          <bgColor rgb="FF1D4ED8"/>
        </patternFill>
      </fill>
      <border>
        <left style="thin">
          <color rgb="FF808080"/>
        </left>
        <right style="thin">
          <color rgb="FF808080"/>
        </right>
        <top style="thin">
          <color rgb="FF00C805"/>
        </top>
        <bottom style="thin">
          <color rgb="FF808080"/>
        </bottom>
      </border>
    </dxf>
    <dxf>
      <font>
        <b val="1"/>
        <color rgb="FF000000"/>
      </font>
      <fill>
        <patternFill patternType="solid">
          <fgColor rgb="FFFACC15"/>
          <bgColor rgb="FFFACC15"/>
        </patternFill>
      </fill>
      <border>
        <left style="thin">
          <color rgb="FF808080"/>
        </left>
        <right style="thin">
          <color rgb="FF808080"/>
        </right>
        <top style="thin">
          <color rgb="FF00C805"/>
        </top>
        <bottom style="thin">
          <color rgb="FF808080"/>
        </bottom>
      </border>
    </dxf>
    <dxf>
      <border>
        <left style="thin">
          <color rgb="FF808080"/>
        </left>
        <right style="thin">
          <color rgb="FF808080"/>
        </right>
        <top style="thin">
          <color rgb="FF00C805"/>
        </top>
        <bottom style="thin">
          <color rgb="FF808080"/>
        </bottom>
      </border>
    </dxf>
    <dxf>
      <font>
        <b val="1"/>
        <color rgb="FFFFFFFF"/>
      </font>
      <fill>
        <patternFill patternType="solid">
          <fgColor rgb="FF15803D"/>
          <bgColor rgb="FF15803D"/>
        </patternFill>
      </fill>
      <border>
        <left style="thin">
          <color rgb="FF808080"/>
        </left>
        <right style="thin">
          <color rgb="FF808080"/>
        </right>
        <top style="thin">
          <color rgb="FF808080"/>
        </top>
        <bottom style="thin">
          <color rgb="FF00C805"/>
        </bottom>
      </border>
    </dxf>
    <dxf>
      <font>
        <b val="1"/>
        <color rgb="FFFFFFFF"/>
      </font>
      <fill>
        <patternFill patternType="solid">
          <fgColor rgb="FF1D4ED8"/>
          <bgColor rgb="FF1D4ED8"/>
        </patternFill>
      </fill>
      <border>
        <left style="thin">
          <color rgb="FF808080"/>
        </left>
        <right style="thin">
          <color rgb="FF808080"/>
        </right>
        <top style="thin">
          <color rgb="FF808080"/>
        </top>
        <bottom style="thin">
          <color rgb="FF00C805"/>
        </bottom>
      </border>
    </dxf>
    <dxf>
      <font>
        <b val="1"/>
        <color rgb="FF000000"/>
      </font>
      <fill>
        <patternFill patternType="solid">
          <fgColor rgb="FFFACC15"/>
          <bgColor rgb="FFFACC15"/>
        </patternFill>
      </fill>
      <border>
        <left style="thin">
          <color rgb="FF808080"/>
        </left>
        <right style="thin">
          <color rgb="FF808080"/>
        </right>
        <top style="thin">
          <color rgb="FF808080"/>
        </top>
        <bottom style="thin">
          <color rgb="FF00C805"/>
        </bottom>
      </border>
    </dxf>
    <dxf>
      <border>
        <left style="thin">
          <color rgb="FF808080"/>
        </left>
        <right style="thin">
          <color rgb="FF808080"/>
        </right>
        <top style="thin">
          <color rgb="FF808080"/>
        </top>
        <bottom style="thin">
          <color rgb="FF00C805"/>
        </bottom>
      </border>
    </dxf>
    <dxf>
      <font>
        <b val="1"/>
        <color rgb="FFFFFFFF"/>
      </font>
      <fill>
        <patternFill patternType="solid">
          <fgColor rgb="FF15803D"/>
          <bgColor rgb="FF15803D"/>
        </patternFill>
      </fill>
      <border>
        <left style="thin">
          <color rgb="FF808080"/>
        </left>
        <right style="thin">
          <color rgb="FF808080"/>
        </right>
        <top style="thin">
          <color rgb="FF808080"/>
        </top>
        <bottom style="thin">
          <color rgb="FF808080"/>
        </bottom>
      </border>
    </dxf>
    <dxf>
      <font>
        <b val="1"/>
        <color rgb="FFFFFFFF"/>
      </font>
      <fill>
        <patternFill patternType="solid">
          <fgColor rgb="FF1D4ED8"/>
          <bgColor rgb="FF1D4ED8"/>
        </patternFill>
      </fill>
      <border>
        <left style="thin">
          <color rgb="FF808080"/>
        </left>
        <right style="thin">
          <color rgb="FF808080"/>
        </right>
        <top style="thin">
          <color rgb="FF808080"/>
        </top>
        <bottom style="thin">
          <color rgb="FF808080"/>
        </bottom>
      </border>
    </dxf>
    <dxf>
      <font>
        <b val="1"/>
        <color rgb="FF000000"/>
      </font>
      <fill>
        <patternFill patternType="solid">
          <fgColor rgb="FFFACC15"/>
          <bgColor rgb="FFFACC15"/>
        </patternFill>
      </fill>
      <border>
        <left style="thin">
          <color rgb="FF808080"/>
        </left>
        <right style="thin">
          <color rgb="FF808080"/>
        </right>
        <top style="thin">
          <color rgb="FF808080"/>
        </top>
        <bottom style="thin">
          <color rgb="FF808080"/>
        </bottom>
      </border>
    </dxf>
    <dxf>
      <border>
        <left style="thin">
          <color rgb="FF808080"/>
        </left>
        <right style="thin">
          <color rgb="FF808080"/>
        </right>
        <top style="thin">
          <color rgb="FF808080"/>
        </top>
        <bottom style="thin">
          <color rgb="FF808080"/>
        </bottom>
      </border>
    </dxf>
    <dxf>
      <font>
        <b val="1"/>
        <color rgb="FFFFFFFF"/>
      </font>
      <fill>
        <patternFill patternType="solid">
          <fgColor rgb="FF15803D"/>
          <bgColor rgb="FF15803D"/>
        </patternFill>
      </fill>
      <border>
        <left style="thin">
          <color rgb="FF808080"/>
        </left>
        <right style="thin">
          <color rgb="FF808080"/>
        </right>
        <top style="thin">
          <color rgb="FF808080"/>
        </top>
        <bottom style="thin">
          <color rgb="FF000080"/>
        </bottom>
      </border>
    </dxf>
    <dxf>
      <font>
        <b val="1"/>
        <color rgb="FFFFFFFF"/>
      </font>
      <fill>
        <patternFill patternType="solid">
          <fgColor rgb="FF1D4ED8"/>
          <bgColor rgb="FF1D4ED8"/>
        </patternFill>
      </fill>
      <border>
        <left style="thin">
          <color rgb="FF808080"/>
        </left>
        <right style="thin">
          <color rgb="FF808080"/>
        </right>
        <top style="thin">
          <color rgb="FF808080"/>
        </top>
        <bottom style="thin">
          <color rgb="FF000080"/>
        </bottom>
      </border>
    </dxf>
    <dxf>
      <font>
        <b val="1"/>
        <color rgb="FF000000"/>
      </font>
      <fill>
        <patternFill patternType="solid">
          <fgColor rgb="FFFACC15"/>
          <bgColor rgb="FFFACC15"/>
        </patternFill>
      </fill>
      <border>
        <left style="thin">
          <color rgb="FF808080"/>
        </left>
        <right style="thin">
          <color rgb="FF808080"/>
        </right>
        <top style="thin">
          <color rgb="FF808080"/>
        </top>
        <bottom style="thin">
          <color rgb="FF000080"/>
        </bottom>
      </border>
    </dxf>
    <dxf>
      <fill>
        <patternFill patternType="solid">
          <fgColor rgb="FFF8CBAD"/>
          <bgColor rgb="FFF8CBAD"/>
        </patternFill>
      </fill>
      <border>
        <left style="thin">
          <color rgb="FF808080"/>
        </left>
        <right style="thin">
          <color rgb="FF808080"/>
        </right>
        <top style="thin">
          <color rgb="FF00C805"/>
        </top>
        <bottom style="thin">
          <color rgb="FF00C805"/>
        </bottom>
      </border>
    </dxf>
    <dxf>
      <fill>
        <patternFill patternType="solid">
          <fgColor rgb="FFFFF2CC"/>
          <bgColor rgb="FFFFF2CC"/>
        </patternFill>
      </fill>
      <border>
        <left style="thin">
          <color rgb="FF808080"/>
        </left>
        <right style="thin">
          <color rgb="FF808080"/>
        </right>
        <top style="thin">
          <color rgb="FF00C805"/>
        </top>
        <bottom style="thin">
          <color rgb="FF00C805"/>
        </bottom>
      </border>
    </dxf>
    <dxf>
      <fill>
        <patternFill patternType="solid">
          <fgColor rgb="FFBDD7EE"/>
          <bgColor rgb="FFBDD7EE"/>
        </patternFill>
      </fill>
      <border>
        <left style="thin">
          <color rgb="FF808080"/>
        </left>
        <right style="thin">
          <color rgb="FF808080"/>
        </right>
        <top style="thin">
          <color rgb="FF00C805"/>
        </top>
        <bottom style="thin">
          <color rgb="FF00C805"/>
        </bottom>
      </border>
    </dxf>
    <dxf>
      <fill>
        <patternFill patternType="solid">
          <fgColor rgb="FFF8CBAD"/>
          <bgColor rgb="FFF8CBAD"/>
        </patternFill>
      </fill>
      <border>
        <left style="thin">
          <color rgb="FF808080"/>
        </left>
        <right style="thin">
          <color rgb="FF808080"/>
        </right>
        <top style="thin">
          <color rgb="FF00C805"/>
        </top>
        <bottom style="thin">
          <color rgb="FF808080"/>
        </bottom>
      </border>
    </dxf>
    <dxf>
      <fill>
        <patternFill patternType="solid">
          <fgColor rgb="FFFFF2CC"/>
          <bgColor rgb="FFFFF2CC"/>
        </patternFill>
      </fill>
      <border>
        <left style="thin">
          <color rgb="FF808080"/>
        </left>
        <right style="thin">
          <color rgb="FF808080"/>
        </right>
        <top style="thin">
          <color rgb="FF00C805"/>
        </top>
        <bottom style="thin">
          <color rgb="FF808080"/>
        </bottom>
      </border>
    </dxf>
    <dxf>
      <fill>
        <patternFill patternType="solid">
          <fgColor rgb="FFBDD7EE"/>
          <bgColor rgb="FFBDD7EE"/>
        </patternFill>
      </fill>
      <border>
        <left style="thin">
          <color rgb="FF808080"/>
        </left>
        <right style="thin">
          <color rgb="FF808080"/>
        </right>
        <top style="thin">
          <color rgb="FF00C805"/>
        </top>
        <bottom style="thin">
          <color rgb="FF808080"/>
        </bottom>
      </border>
    </dxf>
    <dxf>
      <fill>
        <patternFill patternType="solid">
          <fgColor rgb="FFF8CBAD"/>
          <bgColor rgb="FFF8CBAD"/>
        </patternFill>
      </fill>
      <border>
        <left style="thin">
          <color rgb="FF808080"/>
        </left>
        <right style="thin">
          <color rgb="FF808080"/>
        </right>
        <top style="thin">
          <color rgb="FF808080"/>
        </top>
        <bottom style="thin">
          <color rgb="FF00C805"/>
        </bottom>
      </border>
    </dxf>
    <dxf>
      <fill>
        <patternFill patternType="solid">
          <fgColor rgb="FFFFF2CC"/>
          <bgColor rgb="FFFFF2CC"/>
        </patternFill>
      </fill>
      <border>
        <left style="thin">
          <color rgb="FF808080"/>
        </left>
        <right style="thin">
          <color rgb="FF808080"/>
        </right>
        <top style="thin">
          <color rgb="FF808080"/>
        </top>
        <bottom style="thin">
          <color rgb="FF00C805"/>
        </bottom>
      </border>
    </dxf>
    <dxf>
      <fill>
        <patternFill patternType="solid">
          <fgColor rgb="FFBDD7EE"/>
          <bgColor rgb="FFBDD7EE"/>
        </patternFill>
      </fill>
      <border>
        <left style="thin">
          <color rgb="FF808080"/>
        </left>
        <right style="thin">
          <color rgb="FF808080"/>
        </right>
        <top style="thin">
          <color rgb="FF808080"/>
        </top>
        <bottom style="thin">
          <color rgb="FF00C805"/>
        </bottom>
      </border>
    </dxf>
    <dxf>
      <fill>
        <patternFill patternType="solid">
          <fgColor rgb="FFF8CBAD"/>
          <bgColor rgb="FFF8CBAD"/>
        </patternFill>
      </fill>
      <border>
        <left style="thin">
          <color rgb="FF808080"/>
        </left>
        <right style="thin">
          <color rgb="FF808080"/>
        </right>
        <top style="thin">
          <color rgb="FF808080"/>
        </top>
        <bottom style="thin">
          <color rgb="FF808080"/>
        </bottom>
      </border>
    </dxf>
    <dxf>
      <fill>
        <patternFill patternType="solid">
          <fgColor rgb="FFFFF2CC"/>
          <bgColor rgb="FFFFF2CC"/>
        </patternFill>
      </fill>
      <border>
        <left style="thin">
          <color rgb="FF808080"/>
        </left>
        <right style="thin">
          <color rgb="FF808080"/>
        </right>
        <top style="thin">
          <color rgb="FF808080"/>
        </top>
        <bottom style="thin">
          <color rgb="FF808080"/>
        </bottom>
      </border>
    </dxf>
    <dxf>
      <fill>
        <patternFill patternType="solid">
          <fgColor rgb="FFBDD7EE"/>
          <bgColor rgb="FFBDD7EE"/>
        </patternFill>
      </fill>
      <border>
        <left style="thin">
          <color rgb="FF808080"/>
        </left>
        <right style="thin">
          <color rgb="FF808080"/>
        </right>
        <top style="thin">
          <color rgb="FF808080"/>
        </top>
        <bottom style="thin">
          <color rgb="FF808080"/>
        </bottom>
      </border>
    </dxf>
    <dxf>
      <fill>
        <patternFill patternType="solid">
          <fgColor rgb="FFF8CBAD"/>
          <bgColor rgb="FFF8CBAD"/>
        </patternFill>
      </fill>
      <border>
        <left style="thin">
          <color rgb="FF808080"/>
        </left>
        <right style="thin">
          <color rgb="FF808080"/>
        </right>
        <top style="thin">
          <color rgb="FF808080"/>
        </top>
        <bottom style="thin">
          <color rgb="FF000080"/>
        </bottom>
      </border>
    </dxf>
    <dxf>
      <fill>
        <patternFill patternType="solid">
          <fgColor rgb="FFFFF2CC"/>
          <bgColor rgb="FFFFF2CC"/>
        </patternFill>
      </fill>
      <border>
        <left style="thin">
          <color rgb="FF808080"/>
        </left>
        <right style="thin">
          <color rgb="FF808080"/>
        </right>
        <top style="thin">
          <color rgb="FF808080"/>
        </top>
        <bottom style="thin">
          <color rgb="FF000080"/>
        </bottom>
      </border>
    </dxf>
    <dxf>
      <fill>
        <patternFill patternType="solid">
          <fgColor rgb="FFBDD7EE"/>
          <bgColor rgb="FFBDD7EE"/>
        </patternFill>
      </fill>
      <border>
        <left style="thin">
          <color rgb="FF808080"/>
        </left>
        <right style="thin">
          <color rgb="FF808080"/>
        </right>
        <top style="thin">
          <color rgb="FF808080"/>
        </top>
        <bottom style="thin">
          <color rgb="FF000080"/>
        </bottom>
      </border>
    </dxf>
    <dxf>
      <font>
        <b val="1"/>
        <color rgb="FFFF0000"/>
      </font>
      <fill>
        <patternFill patternType="solid">
          <fgColor rgb="FFF8CBAD"/>
          <bgColor rgb="FFF8CBAD"/>
        </patternFill>
      </fill>
      <border>
        <left style="thin">
          <color rgb="FF808080"/>
        </left>
        <right style="thin">
          <color rgb="FF808080"/>
        </right>
        <top style="thin">
          <color rgb="FF00C805"/>
        </top>
        <bottom style="thin">
          <color rgb="FF00C805"/>
        </bottom>
      </border>
    </dxf>
    <dxf>
      <font>
        <b val="1"/>
        <color rgb="FFFF0000"/>
      </font>
      <fill>
        <patternFill patternType="solid">
          <fgColor rgb="FFFFF2CC"/>
          <bgColor rgb="FFFFF2CC"/>
        </patternFill>
      </fill>
      <border>
        <left style="thin">
          <color rgb="FF808080"/>
        </left>
        <right style="thin">
          <color rgb="FF808080"/>
        </right>
        <top style="thin">
          <color rgb="FF00C805"/>
        </top>
        <bottom style="thin">
          <color rgb="FF00C805"/>
        </bottom>
      </border>
    </dxf>
    <dxf>
      <font>
        <b val="1"/>
        <color rgb="FFFF0000"/>
      </font>
      <fill>
        <patternFill patternType="solid">
          <fgColor rgb="FFBDD7EE"/>
          <bgColor rgb="FFBDD7EE"/>
        </patternFill>
      </fill>
      <border>
        <left style="thin">
          <color rgb="FF808080"/>
        </left>
        <right style="thin">
          <color rgb="FF808080"/>
        </right>
        <top style="thin">
          <color rgb="FF00C805"/>
        </top>
        <bottom style="thin">
          <color rgb="FF00C805"/>
        </bottom>
      </border>
    </dxf>
    <dxf>
      <font>
        <b val="1"/>
        <color rgb="FFFF0000"/>
      </font>
      <border>
        <left style="thin">
          <color rgb="FF808080"/>
        </left>
        <right style="thin">
          <color rgb="FF808080"/>
        </right>
        <top style="thin">
          <color rgb="FF00C805"/>
        </top>
        <bottom style="thin">
          <color rgb="FF00C805"/>
        </bottom>
      </border>
    </dxf>
    <dxf>
      <font>
        <b val="1"/>
        <color rgb="FFFF0000"/>
      </font>
      <fill>
        <patternFill patternType="solid">
          <fgColor rgb="FFF8CBAD"/>
          <bgColor rgb="FFF8CBAD"/>
        </patternFill>
      </fill>
      <border>
        <left style="thin">
          <color rgb="FF808080"/>
        </left>
        <right style="thin">
          <color rgb="FF808080"/>
        </right>
        <top style="thin">
          <color rgb="FF00C805"/>
        </top>
        <bottom style="thin">
          <color rgb="FF808080"/>
        </bottom>
      </border>
    </dxf>
    <dxf>
      <font>
        <b val="1"/>
        <color rgb="FFFF0000"/>
      </font>
      <fill>
        <patternFill patternType="solid">
          <fgColor rgb="FFFFF2CC"/>
          <bgColor rgb="FFFFF2CC"/>
        </patternFill>
      </fill>
      <border>
        <left style="thin">
          <color rgb="FF808080"/>
        </left>
        <right style="thin">
          <color rgb="FF808080"/>
        </right>
        <top style="thin">
          <color rgb="FF00C805"/>
        </top>
        <bottom style="thin">
          <color rgb="FF808080"/>
        </bottom>
      </border>
    </dxf>
    <dxf>
      <font>
        <b val="1"/>
        <color rgb="FFFF0000"/>
      </font>
      <fill>
        <patternFill patternType="solid">
          <fgColor rgb="FFBDD7EE"/>
          <bgColor rgb="FFBDD7EE"/>
        </patternFill>
      </fill>
      <border>
        <left style="thin">
          <color rgb="FF808080"/>
        </left>
        <right style="thin">
          <color rgb="FF808080"/>
        </right>
        <top style="thin">
          <color rgb="FF00C805"/>
        </top>
        <bottom style="thin">
          <color rgb="FF808080"/>
        </bottom>
      </border>
    </dxf>
    <dxf>
      <font>
        <b val="1"/>
        <color rgb="FFFF0000"/>
      </font>
      <border>
        <left style="thin">
          <color rgb="FF808080"/>
        </left>
        <right style="thin">
          <color rgb="FF808080"/>
        </right>
        <top style="thin">
          <color rgb="FF00C805"/>
        </top>
        <bottom style="thin">
          <color rgb="FF808080"/>
        </bottom>
      </border>
    </dxf>
    <dxf>
      <font>
        <b val="1"/>
        <color rgb="FFFF0000"/>
      </font>
      <fill>
        <patternFill patternType="solid">
          <fgColor rgb="FFF8CBAD"/>
          <bgColor rgb="FFF8CBAD"/>
        </patternFill>
      </fill>
      <border>
        <left style="thin">
          <color rgb="FF808080"/>
        </left>
        <right style="thin">
          <color rgb="FF808080"/>
        </right>
        <top style="thin">
          <color rgb="FF808080"/>
        </top>
        <bottom style="thin">
          <color rgb="FF00C805"/>
        </bottom>
      </border>
    </dxf>
    <dxf>
      <font>
        <b val="1"/>
        <color rgb="FFFF0000"/>
      </font>
      <fill>
        <patternFill patternType="solid">
          <fgColor rgb="FFFFF2CC"/>
          <bgColor rgb="FFFFF2CC"/>
        </patternFill>
      </fill>
      <border>
        <left style="thin">
          <color rgb="FF808080"/>
        </left>
        <right style="thin">
          <color rgb="FF808080"/>
        </right>
        <top style="thin">
          <color rgb="FF808080"/>
        </top>
        <bottom style="thin">
          <color rgb="FF00C805"/>
        </bottom>
      </border>
    </dxf>
    <dxf>
      <font>
        <b val="1"/>
        <color rgb="FFFF0000"/>
      </font>
      <fill>
        <patternFill patternType="solid">
          <fgColor rgb="FFBDD7EE"/>
          <bgColor rgb="FFBDD7EE"/>
        </patternFill>
      </fill>
      <border>
        <left style="thin">
          <color rgb="FF808080"/>
        </left>
        <right style="thin">
          <color rgb="FF808080"/>
        </right>
        <top style="thin">
          <color rgb="FF808080"/>
        </top>
        <bottom style="thin">
          <color rgb="FF00C805"/>
        </bottom>
      </border>
    </dxf>
    <dxf>
      <font>
        <b val="1"/>
        <color rgb="FFFF0000"/>
      </font>
      <border>
        <left style="thin">
          <color rgb="FF808080"/>
        </left>
        <right style="thin">
          <color rgb="FF808080"/>
        </right>
        <top style="thin">
          <color rgb="FF808080"/>
        </top>
        <bottom style="thin">
          <color rgb="FF00C805"/>
        </bottom>
      </border>
    </dxf>
    <dxf>
      <font>
        <b val="1"/>
        <color rgb="FFFF0000"/>
      </font>
      <fill>
        <patternFill patternType="solid">
          <fgColor rgb="FFF8CBAD"/>
          <bgColor rgb="FFF8CBAD"/>
        </patternFill>
      </fill>
      <border>
        <left style="thin">
          <color rgb="FF808080"/>
        </left>
        <right style="thin">
          <color rgb="FF808080"/>
        </right>
        <top style="thin">
          <color rgb="FF808080"/>
        </top>
        <bottom style="thin">
          <color rgb="FF808080"/>
        </bottom>
      </border>
    </dxf>
    <dxf>
      <font>
        <b val="1"/>
        <color rgb="FFFF0000"/>
      </font>
      <fill>
        <patternFill patternType="solid">
          <fgColor rgb="FFFFF2CC"/>
          <bgColor rgb="FFFFF2CC"/>
        </patternFill>
      </fill>
      <border>
        <left style="thin">
          <color rgb="FF808080"/>
        </left>
        <right style="thin">
          <color rgb="FF808080"/>
        </right>
        <top style="thin">
          <color rgb="FF808080"/>
        </top>
        <bottom style="thin">
          <color rgb="FF808080"/>
        </bottom>
      </border>
    </dxf>
    <dxf>
      <font>
        <b val="1"/>
        <color rgb="FFFF0000"/>
      </font>
      <fill>
        <patternFill patternType="solid">
          <fgColor rgb="FFBDD7EE"/>
          <bgColor rgb="FFBDD7EE"/>
        </patternFill>
      </fill>
      <border>
        <left style="thin">
          <color rgb="FF808080"/>
        </left>
        <right style="thin">
          <color rgb="FF808080"/>
        </right>
        <top style="thin">
          <color rgb="FF808080"/>
        </top>
        <bottom style="thin">
          <color rgb="FF808080"/>
        </bottom>
      </border>
    </dxf>
    <dxf>
      <font>
        <b val="1"/>
        <color rgb="FFFF0000"/>
      </font>
      <border>
        <left style="thin">
          <color rgb="FF808080"/>
        </left>
        <right style="thin">
          <color rgb="FF808080"/>
        </right>
        <top style="thin">
          <color rgb="FF808080"/>
        </top>
        <bottom style="thin">
          <color rgb="FF808080"/>
        </bottom>
      </border>
    </dxf>
    <dxf>
      <font>
        <b val="1"/>
        <color rgb="FFFF0000"/>
      </font>
      <fill>
        <patternFill patternType="solid">
          <fgColor rgb="FFF8CBAD"/>
          <bgColor rgb="FFF8CBAD"/>
        </patternFill>
      </fill>
      <border>
        <left style="thin">
          <color rgb="FF808080"/>
        </left>
        <right style="thin">
          <color rgb="FF808080"/>
        </right>
        <top style="thin">
          <color rgb="FF808080"/>
        </top>
        <bottom style="thin">
          <color rgb="FF000080"/>
        </bottom>
      </border>
    </dxf>
    <dxf>
      <font>
        <b val="1"/>
        <color rgb="FFFF0000"/>
      </font>
      <fill>
        <patternFill patternType="solid">
          <fgColor rgb="FFFFF2CC"/>
          <bgColor rgb="FFFFF2CC"/>
        </patternFill>
      </fill>
      <border>
        <left style="thin">
          <color rgb="FF808080"/>
        </left>
        <right style="thin">
          <color rgb="FF808080"/>
        </right>
        <top style="thin">
          <color rgb="FF808080"/>
        </top>
        <bottom style="thin">
          <color rgb="FF000080"/>
        </bottom>
      </border>
    </dxf>
    <dxf>
      <font>
        <b val="1"/>
        <color rgb="FFFF0000"/>
      </font>
      <fill>
        <patternFill patternType="solid">
          <fgColor rgb="FFBDD7EE"/>
          <bgColor rgb="FFBDD7EE"/>
        </patternFill>
      </fill>
      <border>
        <left style="thin">
          <color rgb="FF808080"/>
        </left>
        <right style="thin">
          <color rgb="FF808080"/>
        </right>
        <top style="thin">
          <color rgb="FF808080"/>
        </top>
        <bottom style="thin">
          <color rgb="FF000080"/>
        </bottom>
      </border>
    </dxf>
    <dxf>
      <font>
        <b val="1"/>
        <color rgb="FFFF0000"/>
      </font>
      <border>
        <left style="thin">
          <color rgb="FF808080"/>
        </left>
        <right style="thin">
          <color rgb="FF808080"/>
        </right>
        <top style="thin">
          <color rgb="FF808080"/>
        </top>
        <bottom style="thin">
          <color rgb="FF000080"/>
        </bottom>
      </border>
    </dxf>
    <dxf>
      <numFmt numFmtId="200" formatCode="0.0%;-0.0%;0.0%;&quot;—&quot;"/>
      <fill>
        <patternFill patternType="solid">
          <fgColor rgb="FFF8CBAD"/>
          <bgColor rgb="FFF8CBAD"/>
        </patternFill>
      </fill>
      <border>
        <left style="thin">
          <color rgb="FF808080"/>
        </left>
        <right style="thin">
          <color rgb="FF808080"/>
        </right>
        <top style="thin">
          <color rgb="FF00C805"/>
        </top>
        <bottom style="thin">
          <color rgb="FF00C805"/>
        </bottom>
      </border>
    </dxf>
    <dxf>
      <numFmt numFmtId="200" formatCode="0.0%;-0.0%;0.0%;&quot;—&quot;"/>
      <fill>
        <patternFill patternType="solid">
          <fgColor rgb="FFFFF2CC"/>
          <bgColor rgb="FFFFF2CC"/>
        </patternFill>
      </fill>
      <border>
        <left style="thin">
          <color rgb="FF808080"/>
        </left>
        <right style="thin">
          <color rgb="FF808080"/>
        </right>
        <top style="thin">
          <color rgb="FF00C805"/>
        </top>
        <bottom style="thin">
          <color rgb="FF00C805"/>
        </bottom>
      </border>
    </dxf>
    <dxf>
      <numFmt numFmtId="200" formatCode="0.0%;-0.0%;0.0%;&quot;—&quot;"/>
      <fill>
        <patternFill patternType="solid">
          <fgColor rgb="FFBDD7EE"/>
          <bgColor rgb="FFBDD7EE"/>
        </patternFill>
      </fill>
      <border>
        <left style="thin">
          <color rgb="FF808080"/>
        </left>
        <right style="thin">
          <color rgb="FF808080"/>
        </right>
        <top style="thin">
          <color rgb="FF00C805"/>
        </top>
        <bottom style="thin">
          <color rgb="FF00C805"/>
        </bottom>
      </border>
    </dxf>
    <dxf>
      <numFmt numFmtId="200" formatCode="0.0%;-0.0%;0.0%;&quot;—&quot;"/>
      <fill>
        <patternFill patternType="solid">
          <fgColor rgb="FFFFF9DB"/>
          <bgColor rgb="FFFFF9DB"/>
        </patternFill>
      </fill>
      <border>
        <left style="thin">
          <color rgb="FF808080"/>
        </left>
        <right style="thin">
          <color rgb="FF808080"/>
        </right>
        <top style="thin">
          <color rgb="FF00C805"/>
        </top>
        <bottom style="thin">
          <color rgb="FF00C805"/>
        </bottom>
      </border>
    </dxf>
    <dxf>
      <numFmt numFmtId="200" formatCode="0.0%;-0.0%;0.0%;&quot;—&quot;"/>
      <fill>
        <patternFill patternType="solid">
          <fgColor rgb="FFF8CBAD"/>
          <bgColor rgb="FFF8CBAD"/>
        </patternFill>
      </fill>
      <border>
        <left style="thin">
          <color rgb="FF808080"/>
        </left>
        <right style="thin">
          <color rgb="FF808080"/>
        </right>
        <top style="thin">
          <color rgb="FF00C805"/>
        </top>
        <bottom style="thin">
          <color rgb="FF808080"/>
        </bottom>
      </border>
    </dxf>
    <dxf>
      <numFmt numFmtId="200" formatCode="0.0%;-0.0%;0.0%;&quot;—&quot;"/>
      <fill>
        <patternFill patternType="solid">
          <fgColor rgb="FFFFF2CC"/>
          <bgColor rgb="FFFFF2CC"/>
        </patternFill>
      </fill>
      <border>
        <left style="thin">
          <color rgb="FF808080"/>
        </left>
        <right style="thin">
          <color rgb="FF808080"/>
        </right>
        <top style="thin">
          <color rgb="FF00C805"/>
        </top>
        <bottom style="thin">
          <color rgb="FF808080"/>
        </bottom>
      </border>
    </dxf>
    <dxf>
      <numFmt numFmtId="200" formatCode="0.0%;-0.0%;0.0%;&quot;—&quot;"/>
      <fill>
        <patternFill patternType="solid">
          <fgColor rgb="FFBDD7EE"/>
          <bgColor rgb="FFBDD7EE"/>
        </patternFill>
      </fill>
      <border>
        <left style="thin">
          <color rgb="FF808080"/>
        </left>
        <right style="thin">
          <color rgb="FF808080"/>
        </right>
        <top style="thin">
          <color rgb="FF00C805"/>
        </top>
        <bottom style="thin">
          <color rgb="FF808080"/>
        </bottom>
      </border>
    </dxf>
    <dxf>
      <numFmt numFmtId="200" formatCode="0.0%;-0.0%;0.0%;&quot;—&quot;"/>
      <fill>
        <patternFill patternType="solid">
          <fgColor rgb="FFFFF9DB"/>
          <bgColor rgb="FFFFF9DB"/>
        </patternFill>
      </fill>
      <border>
        <left style="thin">
          <color rgb="FF808080"/>
        </left>
        <right style="thin">
          <color rgb="FF808080"/>
        </right>
        <top style="thin">
          <color rgb="FF00C805"/>
        </top>
        <bottom style="thin">
          <color rgb="FF808080"/>
        </bottom>
      </border>
    </dxf>
    <dxf>
      <numFmt numFmtId="200" formatCode="0.0%;-0.0%;0.0%;&quot;—&quot;"/>
      <fill>
        <patternFill patternType="solid">
          <fgColor rgb="FFF8CBAD"/>
          <bgColor rgb="FFF8CBAD"/>
        </patternFill>
      </fill>
      <border>
        <left style="thin">
          <color rgb="FF808080"/>
        </left>
        <right style="thin">
          <color rgb="FF808080"/>
        </right>
        <top style="thin">
          <color rgb="FF808080"/>
        </top>
        <bottom style="thin">
          <color rgb="FF00C805"/>
        </bottom>
      </border>
    </dxf>
    <dxf>
      <numFmt numFmtId="200" formatCode="0.0%;-0.0%;0.0%;&quot;—&quot;"/>
      <fill>
        <patternFill patternType="solid">
          <fgColor rgb="FFFFF2CC"/>
          <bgColor rgb="FFFFF2CC"/>
        </patternFill>
      </fill>
      <border>
        <left style="thin">
          <color rgb="FF808080"/>
        </left>
        <right style="thin">
          <color rgb="FF808080"/>
        </right>
        <top style="thin">
          <color rgb="FF808080"/>
        </top>
        <bottom style="thin">
          <color rgb="FF00C805"/>
        </bottom>
      </border>
    </dxf>
    <dxf>
      <numFmt numFmtId="200" formatCode="0.0%;-0.0%;0.0%;&quot;—&quot;"/>
      <fill>
        <patternFill patternType="solid">
          <fgColor rgb="FFBDD7EE"/>
          <bgColor rgb="FFBDD7EE"/>
        </patternFill>
      </fill>
      <border>
        <left style="thin">
          <color rgb="FF808080"/>
        </left>
        <right style="thin">
          <color rgb="FF808080"/>
        </right>
        <top style="thin">
          <color rgb="FF808080"/>
        </top>
        <bottom style="thin">
          <color rgb="FF00C805"/>
        </bottom>
      </border>
    </dxf>
    <dxf>
      <numFmt numFmtId="200" formatCode="0.0%;-0.0%;0.0%;&quot;—&quot;"/>
      <fill>
        <patternFill patternType="solid">
          <fgColor rgb="FFFFF9DB"/>
          <bgColor rgb="FFFFF9DB"/>
        </patternFill>
      </fill>
      <border>
        <left style="thin">
          <color rgb="FF808080"/>
        </left>
        <right style="thin">
          <color rgb="FF808080"/>
        </right>
        <top style="thin">
          <color rgb="FF808080"/>
        </top>
        <bottom style="thin">
          <color rgb="FF00C805"/>
        </bottom>
      </border>
    </dxf>
    <dxf>
      <numFmt numFmtId="200" formatCode="0.0%;-0.0%;0.0%;&quot;—&quot;"/>
      <fill>
        <patternFill patternType="solid">
          <fgColor rgb="FFF8CBAD"/>
          <bgColor rgb="FFF8CBAD"/>
        </patternFill>
      </fill>
      <border>
        <left style="thin">
          <color rgb="FF808080"/>
        </left>
        <right style="thin">
          <color rgb="FF808080"/>
        </right>
        <top style="thin">
          <color rgb="FF808080"/>
        </top>
        <bottom style="thin">
          <color rgb="FF808080"/>
        </bottom>
      </border>
    </dxf>
    <dxf>
      <numFmt numFmtId="200" formatCode="0.0%;-0.0%;0.0%;&quot;—&quot;"/>
      <fill>
        <patternFill patternType="solid">
          <fgColor rgb="FFFFF2CC"/>
          <bgColor rgb="FFFFF2CC"/>
        </patternFill>
      </fill>
      <border>
        <left style="thin">
          <color rgb="FF808080"/>
        </left>
        <right style="thin">
          <color rgb="FF808080"/>
        </right>
        <top style="thin">
          <color rgb="FF808080"/>
        </top>
        <bottom style="thin">
          <color rgb="FF808080"/>
        </bottom>
      </border>
    </dxf>
    <dxf>
      <numFmt numFmtId="200" formatCode="0.0%;-0.0%;0.0%;&quot;—&quot;"/>
      <fill>
        <patternFill patternType="solid">
          <fgColor rgb="FFBDD7EE"/>
          <bgColor rgb="FFBDD7EE"/>
        </patternFill>
      </fill>
      <border>
        <left style="thin">
          <color rgb="FF808080"/>
        </left>
        <right style="thin">
          <color rgb="FF808080"/>
        </right>
        <top style="thin">
          <color rgb="FF808080"/>
        </top>
        <bottom style="thin">
          <color rgb="FF808080"/>
        </bottom>
      </border>
    </dxf>
    <dxf>
      <numFmt numFmtId="200" formatCode="0.0%;-0.0%;0.0%;&quot;—&quot;"/>
      <fill>
        <patternFill patternType="solid">
          <fgColor rgb="FFFFF9DB"/>
          <bgColor rgb="FFFFF9DB"/>
        </patternFill>
      </fill>
      <border>
        <left style="thin">
          <color rgb="FF808080"/>
        </left>
        <right style="thin">
          <color rgb="FF808080"/>
        </right>
        <top style="thin">
          <color rgb="FF808080"/>
        </top>
        <bottom style="thin">
          <color rgb="FF808080"/>
        </bottom>
      </border>
    </dxf>
    <dxf>
      <numFmt numFmtId="200" formatCode="0.0%;-0.0%;0.0%;&quot;—&quot;"/>
      <fill>
        <patternFill patternType="solid">
          <fgColor rgb="FFF8CBAD"/>
          <bgColor rgb="FFF8CBAD"/>
        </patternFill>
      </fill>
      <border>
        <left style="thin">
          <color rgb="FF808080"/>
        </left>
        <right style="thin">
          <color rgb="FF808080"/>
        </right>
        <top style="thin">
          <color rgb="FF808080"/>
        </top>
        <bottom style="thin">
          <color rgb="FF000080"/>
        </bottom>
      </border>
    </dxf>
    <dxf>
      <numFmt numFmtId="200" formatCode="0.0%;-0.0%;0.0%;&quot;—&quot;"/>
      <fill>
        <patternFill patternType="solid">
          <fgColor rgb="FFFFF2CC"/>
          <bgColor rgb="FFFFF2CC"/>
        </patternFill>
      </fill>
      <border>
        <left style="thin">
          <color rgb="FF808080"/>
        </left>
        <right style="thin">
          <color rgb="FF808080"/>
        </right>
        <top style="thin">
          <color rgb="FF808080"/>
        </top>
        <bottom style="thin">
          <color rgb="FF000080"/>
        </bottom>
      </border>
    </dxf>
    <dxf>
      <numFmt numFmtId="200" formatCode="0.0%;-0.0%;0.0%;&quot;—&quot;"/>
      <fill>
        <patternFill patternType="solid">
          <fgColor rgb="FFBDD7EE"/>
          <bgColor rgb="FFBDD7EE"/>
        </patternFill>
      </fill>
      <border>
        <left style="thin">
          <color rgb="FF808080"/>
        </left>
        <right style="thin">
          <color rgb="FF808080"/>
        </right>
        <top style="thin">
          <color rgb="FF808080"/>
        </top>
        <bottom style="thin">
          <color rgb="FF000080"/>
        </bottom>
      </border>
    </dxf>
    <dxf>
      <numFmt numFmtId="200" formatCode="0.0%;-0.0%;0.0%;&quot;—&quot;"/>
      <fill>
        <patternFill patternType="solid">
          <fgColor rgb="FFFFF9DB"/>
          <bgColor rgb="FFFFF9DB"/>
        </patternFill>
      </fill>
      <border>
        <left style="thin">
          <color rgb="FF808080"/>
        </left>
        <right style="thin">
          <color rgb="FF808080"/>
        </right>
        <top style="thin">
          <color rgb="FF808080"/>
        </top>
        <bottom style="thin">
          <color rgb="FF000080"/>
        </bottom>
      </border>
    </dxf>
    <dxf>
      <fill>
        <patternFill patternType="solid">
          <fgColor rgb="FFFFF9DB"/>
          <bgColor rgb="FFFFF9DB"/>
        </patternFill>
      </fill>
      <border>
        <left style="thin">
          <color rgb="FF808080"/>
        </left>
        <right style="thin">
          <color rgb="FF808080"/>
        </right>
        <top style="thin">
          <color rgb="FF00C805"/>
        </top>
        <bottom style="thin">
          <color rgb="FF00C805"/>
        </bottom>
      </border>
    </dxf>
    <dxf>
      <fill>
        <patternFill patternType="solid">
          <fgColor rgb="FFFFF9DB"/>
          <bgColor rgb="FFFFF9DB"/>
        </patternFill>
      </fill>
      <border>
        <left style="thin">
          <color rgb="FF808080"/>
        </left>
        <right style="thin">
          <color rgb="FF808080"/>
        </right>
        <top style="thin">
          <color rgb="FF00C805"/>
        </top>
        <bottom style="thin">
          <color rgb="FF808080"/>
        </bottom>
      </border>
    </dxf>
    <dxf>
      <fill>
        <patternFill patternType="solid">
          <fgColor rgb="FFFFF9DB"/>
          <bgColor rgb="FFFFF9DB"/>
        </patternFill>
      </fill>
      <border>
        <left style="thin">
          <color rgb="FF808080"/>
        </left>
        <right style="thin">
          <color rgb="FF808080"/>
        </right>
        <top style="thin">
          <color rgb="FF808080"/>
        </top>
        <bottom style="thin">
          <color rgb="FF00C805"/>
        </bottom>
      </border>
    </dxf>
    <dxf>
      <fill>
        <patternFill patternType="solid">
          <fgColor rgb="FFFFF9DB"/>
          <bgColor rgb="FFFFF9DB"/>
        </patternFill>
      </fill>
      <border>
        <left style="thin">
          <color rgb="FF808080"/>
        </left>
        <right style="thin">
          <color rgb="FF808080"/>
        </right>
        <top style="thin">
          <color rgb="FF808080"/>
        </top>
        <bottom style="thin">
          <color rgb="FF808080"/>
        </bottom>
      </border>
    </dxf>
    <dxf>
      <fill>
        <patternFill patternType="solid">
          <fgColor rgb="FFFFF9DB"/>
          <bgColor rgb="FFFFF9DB"/>
        </patternFill>
      </fill>
      <border>
        <left style="thin">
          <color rgb="FF808080"/>
        </left>
        <right style="thin">
          <color rgb="FF808080"/>
        </right>
        <top style="thin">
          <color rgb="FF808080"/>
        </top>
        <bottom style="thin">
          <color rgb="FF000080"/>
        </bottom>
      </border>
    </dxf>
    <dxf>
      <fill>
        <patternFill patternType="solid">
          <fgColor rgb="FFF8CBAD"/>
          <bgColor rgb="FFF8CBAD"/>
        </patternFill>
      </fill>
      <border>
        <left style="thin">
          <color rgb="FF808080"/>
        </left>
        <right style="thin">
          <color rgb="FF00C805"/>
        </right>
        <top style="thin">
          <color rgb="FF00C805"/>
        </top>
        <bottom style="thin">
          <color rgb="FF00C805"/>
        </bottom>
      </border>
    </dxf>
    <dxf>
      <fill>
        <patternFill patternType="solid">
          <fgColor rgb="FFFFF2CC"/>
          <bgColor rgb="FFFFF2CC"/>
        </patternFill>
      </fill>
      <border>
        <left style="thin">
          <color rgb="FF808080"/>
        </left>
        <right style="thin">
          <color rgb="FF00C805"/>
        </right>
        <top style="thin">
          <color rgb="FF00C805"/>
        </top>
        <bottom style="thin">
          <color rgb="FF00C805"/>
        </bottom>
      </border>
    </dxf>
    <dxf>
      <fill>
        <patternFill patternType="solid">
          <fgColor rgb="FFBDD7EE"/>
          <bgColor rgb="FFBDD7EE"/>
        </patternFill>
      </fill>
      <border>
        <left style="thin">
          <color rgb="FF808080"/>
        </left>
        <right style="thin">
          <color rgb="FF00C805"/>
        </right>
        <top style="thin">
          <color rgb="FF00C805"/>
        </top>
        <bottom style="thin">
          <color rgb="FF00C805"/>
        </bottom>
      </border>
    </dxf>
    <dxf>
      <fill>
        <patternFill patternType="solid">
          <fgColor rgb="FFFFF9DB"/>
          <bgColor rgb="FFFFF9DB"/>
        </patternFill>
      </fill>
      <border>
        <left style="thin">
          <color rgb="FF808080"/>
        </left>
        <right style="thin">
          <color rgb="FF00C805"/>
        </right>
        <top style="thin">
          <color rgb="FF00C805"/>
        </top>
        <bottom style="thin">
          <color rgb="FF00C805"/>
        </bottom>
      </border>
    </dxf>
    <dxf>
      <fill>
        <patternFill patternType="solid">
          <fgColor rgb="FFF8CBAD"/>
          <bgColor rgb="FFF8CBAD"/>
        </patternFill>
      </fill>
      <border>
        <left style="thin">
          <color rgb="FF808080"/>
        </left>
        <right style="thin">
          <color rgb="FF00C805"/>
        </right>
        <top style="thin">
          <color rgb="FF00C805"/>
        </top>
        <bottom style="thin">
          <color rgb="FF808080"/>
        </bottom>
      </border>
    </dxf>
    <dxf>
      <fill>
        <patternFill patternType="solid">
          <fgColor rgb="FFFFF2CC"/>
          <bgColor rgb="FFFFF2CC"/>
        </patternFill>
      </fill>
      <border>
        <left style="thin">
          <color rgb="FF808080"/>
        </left>
        <right style="thin">
          <color rgb="FF00C805"/>
        </right>
        <top style="thin">
          <color rgb="FF00C805"/>
        </top>
        <bottom style="thin">
          <color rgb="FF808080"/>
        </bottom>
      </border>
    </dxf>
    <dxf>
      <fill>
        <patternFill patternType="solid">
          <fgColor rgb="FFBDD7EE"/>
          <bgColor rgb="FFBDD7EE"/>
        </patternFill>
      </fill>
      <border>
        <left style="thin">
          <color rgb="FF808080"/>
        </left>
        <right style="thin">
          <color rgb="FF00C805"/>
        </right>
        <top style="thin">
          <color rgb="FF00C805"/>
        </top>
        <bottom style="thin">
          <color rgb="FF808080"/>
        </bottom>
      </border>
    </dxf>
    <dxf>
      <fill>
        <patternFill patternType="solid">
          <fgColor rgb="FFFFF9DB"/>
          <bgColor rgb="FFFFF9DB"/>
        </patternFill>
      </fill>
      <border>
        <left style="thin">
          <color rgb="FF808080"/>
        </left>
        <right style="thin">
          <color rgb="FF00C805"/>
        </right>
        <top style="thin">
          <color rgb="FF00C805"/>
        </top>
        <bottom style="thin">
          <color rgb="FF808080"/>
        </bottom>
      </border>
    </dxf>
    <dxf>
      <fill>
        <patternFill patternType="solid">
          <fgColor rgb="FFF8CBAD"/>
          <bgColor rgb="FFF8CBAD"/>
        </patternFill>
      </fill>
      <border>
        <left style="thin">
          <color rgb="FF808080"/>
        </left>
        <right style="thin">
          <color rgb="FF00C805"/>
        </right>
        <top style="thin">
          <color rgb="FF808080"/>
        </top>
        <bottom style="thin">
          <color rgb="FF00C805"/>
        </bottom>
      </border>
    </dxf>
    <dxf>
      <fill>
        <patternFill patternType="solid">
          <fgColor rgb="FFFFF2CC"/>
          <bgColor rgb="FFFFF2CC"/>
        </patternFill>
      </fill>
      <border>
        <left style="thin">
          <color rgb="FF808080"/>
        </left>
        <right style="thin">
          <color rgb="FF00C805"/>
        </right>
        <top style="thin">
          <color rgb="FF808080"/>
        </top>
        <bottom style="thin">
          <color rgb="FF00C805"/>
        </bottom>
      </border>
    </dxf>
    <dxf>
      <fill>
        <patternFill patternType="solid">
          <fgColor rgb="FFBDD7EE"/>
          <bgColor rgb="FFBDD7EE"/>
        </patternFill>
      </fill>
      <border>
        <left style="thin">
          <color rgb="FF808080"/>
        </left>
        <right style="thin">
          <color rgb="FF00C805"/>
        </right>
        <top style="thin">
          <color rgb="FF808080"/>
        </top>
        <bottom style="thin">
          <color rgb="FF00C805"/>
        </bottom>
      </border>
    </dxf>
    <dxf>
      <fill>
        <patternFill patternType="solid">
          <fgColor rgb="FFFFF9DB"/>
          <bgColor rgb="FFFFF9DB"/>
        </patternFill>
      </fill>
      <border>
        <left style="thin">
          <color rgb="FF808080"/>
        </left>
        <right style="thin">
          <color rgb="FF00C805"/>
        </right>
        <top style="thin">
          <color rgb="FF808080"/>
        </top>
        <bottom style="thin">
          <color rgb="FF00C805"/>
        </bottom>
      </border>
    </dxf>
    <dxf>
      <fill>
        <patternFill patternType="solid">
          <fgColor rgb="FFF8CBAD"/>
          <bgColor rgb="FFF8CBAD"/>
        </patternFill>
      </fill>
      <border>
        <left style="thin">
          <color rgb="FF808080"/>
        </left>
        <right style="thin">
          <color rgb="FF00C805"/>
        </right>
        <top style="thin">
          <color rgb="FF808080"/>
        </top>
        <bottom style="thin">
          <color rgb="FF808080"/>
        </bottom>
      </border>
    </dxf>
    <dxf>
      <fill>
        <patternFill patternType="solid">
          <fgColor rgb="FFFFF2CC"/>
          <bgColor rgb="FFFFF2CC"/>
        </patternFill>
      </fill>
      <border>
        <left style="thin">
          <color rgb="FF808080"/>
        </left>
        <right style="thin">
          <color rgb="FF00C805"/>
        </right>
        <top style="thin">
          <color rgb="FF808080"/>
        </top>
        <bottom style="thin">
          <color rgb="FF808080"/>
        </bottom>
      </border>
    </dxf>
    <dxf>
      <fill>
        <patternFill patternType="solid">
          <fgColor rgb="FFBDD7EE"/>
          <bgColor rgb="FFBDD7EE"/>
        </patternFill>
      </fill>
      <border>
        <left style="thin">
          <color rgb="FF808080"/>
        </left>
        <right style="thin">
          <color rgb="FF00C805"/>
        </right>
        <top style="thin">
          <color rgb="FF808080"/>
        </top>
        <bottom style="thin">
          <color rgb="FF808080"/>
        </bottom>
      </border>
    </dxf>
    <dxf>
      <fill>
        <patternFill patternType="solid">
          <fgColor rgb="FFFFF9DB"/>
          <bgColor rgb="FFFFF9DB"/>
        </patternFill>
      </fill>
      <border>
        <left style="thin">
          <color rgb="FF808080"/>
        </left>
        <right style="thin">
          <color rgb="FF00C805"/>
        </right>
        <top style="thin">
          <color rgb="FF808080"/>
        </top>
        <bottom style="thin">
          <color rgb="FF808080"/>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C105"/>
  <sheetViews>
    <sheetView showGridLines="0" tabSelected="1" workbookViewId="0">
      <selection activeCell="A1" sqref="A1"/>
    </sheetView>
  </sheetViews>
  <sheetFormatPr baseColWidth="8" defaultRowHeight="15"/>
  <cols>
    <col width="2" customWidth="1" min="1" max="1"/>
    <col width="22" customWidth="1" min="2" max="2"/>
    <col width="100" customWidth="1" min="3" max="3"/>
  </cols>
  <sheetData>
    <row r="1" ht="30" customHeight="1">
      <c r="B1" s="1" t="inlineStr">
        <is>
          <t>JDE Production Schedule - How To Use</t>
        </is>
      </c>
    </row>
    <row r="2" ht="18" customHeight="1">
      <c r="B2" s="2" t="inlineStr">
        <is>
          <t>Load it, Pick the Lines, Print it. Follow the steps in order. Do one step at a time.</t>
        </is>
      </c>
    </row>
    <row r="3" ht="8" customHeight="1"/>
    <row r="4" ht="18" customHeight="1">
      <c r="B4" s="3" t="inlineStr">
        <is>
          <t>For</t>
        </is>
      </c>
      <c r="C4" s="4" t="inlineStr">
        <is>
          <t>Anyone printing the Production Schedule (1st, 2nd or 3rd shift). About 5 minutes.</t>
        </is>
      </c>
    </row>
    <row r="5" ht="33" customHeight="1">
      <c r="B5" s="3" t="inlineStr">
        <is>
          <t>This file</t>
        </is>
      </c>
      <c r="C5" s="4" t="inlineStr">
        <is>
          <t>Replaces the Production Schedule tab of the JDE Sched web app. It works in Excel 2010 and newer, Excel for Mac and Excel on the web / Teams. No macros.</t>
        </is>
      </c>
    </row>
    <row r="6" ht="33" customHeight="1">
      <c r="B6" s="3" t="inlineStr">
        <is>
          <t>Mac</t>
        </is>
      </c>
      <c r="C6" s="4" t="inlineStr">
        <is>
          <t>The keys below are for Windows. On a Mac use Cmd instead of Ctrl (Cmd+C, Cmd+V, Cmd+Z, Cmd+Y, Cmd+S, Cmd+P, Cmd+H). Today's date is Control+; on a Mac too.</t>
        </is>
      </c>
    </row>
    <row r="7" ht="8" customHeight="1"/>
    <row r="8" ht="21" customHeight="1">
      <c r="B8" s="5" t="inlineStr">
        <is>
          <t>You will do 3 jobs, in this order</t>
        </is>
      </c>
    </row>
    <row r="9" ht="18" customHeight="1">
      <c r="B9" s="6" t="inlineStr">
        <is>
          <t>A</t>
        </is>
      </c>
      <c r="C9" s="4" t="inlineStr">
        <is>
          <t>Load the schedule - paste today's Excel file into the tab 1. Paste Schedule.</t>
        </is>
      </c>
    </row>
    <row r="10" ht="18" customHeight="1">
      <c r="B10" s="6" t="inlineStr">
        <is>
          <t>B</t>
        </is>
      </c>
      <c r="C10" s="4" t="inlineStr">
        <is>
          <t>Pick the lines - tick the lines running this shift and mark READY / PM / OT on the tab 3. Lines.</t>
        </is>
      </c>
    </row>
    <row r="11" ht="18" customHeight="1">
      <c r="B11" s="6" t="inlineStr">
        <is>
          <t>C</t>
        </is>
      </c>
      <c r="C11" s="4" t="inlineStr">
        <is>
          <t>Print it - print the tab 4. Schedule and post it.</t>
        </is>
      </c>
    </row>
    <row r="12" ht="8" customHeight="1"/>
    <row r="13" ht="21" customHeight="1">
      <c r="B13" s="5" t="inlineStr">
        <is>
          <t>What you need</t>
        </is>
      </c>
    </row>
    <row r="14" ht="33" customHeight="1">
      <c r="C14" s="4" t="inlineStr">
        <is>
          <t>- YOUR SHIFT'S COPY of this file (golden rule 1), opened in Excel. If a yellow bar says PROTECTED VIEW, click Enable Editing first (otherwise the sheets stay empty).</t>
        </is>
      </c>
    </row>
    <row r="15" ht="18" customHeight="1">
      <c r="C15" s="4" t="inlineStr">
        <is>
          <t>- Today's Excel schedule file (it ends in .xlsx, .xlsm or .xls). It is usually in the Downloads folder.</t>
        </is>
      </c>
    </row>
    <row r="16" ht="18" customHeight="1">
      <c r="C16" s="4" t="inlineStr">
        <is>
          <t>- A printer.</t>
        </is>
      </c>
    </row>
    <row r="17" ht="8" customHeight="1"/>
    <row r="18" ht="21" customHeight="1">
      <c r="B18" s="5" t="inlineStr">
        <is>
          <t>3 golden rules</t>
        </is>
      </c>
    </row>
    <row r="19" ht="63" customHeight="1">
      <c r="B19" s="6" t="inlineStr">
        <is>
          <t>1</t>
        </is>
      </c>
      <c r="C19" s="4" t="inlineStr">
        <is>
          <t>ONE FILE PER SHIFT, kept in your shared folder (Teams or network drive). First time only: File &gt; Save As (on the web: Save a Copy), put it in the shared folder with your shift in the name, for example JDE Schedule - 2nd Shift.xlsx. Every day: open THAT file, not a fresh copy - your lines, ticks and column fixes are saved in it. Press Ctrl+S to save at the end of Part B and Part C.</t>
        </is>
      </c>
    </row>
    <row r="20" ht="33" customHeight="1">
      <c r="B20" s="6" t="inlineStr">
        <is>
          <t>2</t>
        </is>
      </c>
      <c r="C20" s="4" t="inlineStr">
        <is>
          <t>Check the tab 2. Check Columns after every paste. The box at the top must be GREEN, and the First and Last work order shown there must be the first and last rows of today's file.</t>
        </is>
      </c>
    </row>
    <row r="21" ht="33" customHeight="1">
      <c r="B21" s="6" t="inlineStr">
        <is>
          <t>3</t>
        </is>
      </c>
      <c r="C21" s="4" t="inlineStr">
        <is>
          <t>NEVER TYPE ON 4. Schedule - it fills itself in. To change, add or remove a work order, edit the tab 1. Paste Schedule. Never click Review &gt; Unprotect Sheet.</t>
        </is>
      </c>
    </row>
    <row r="22" ht="33" customHeight="1">
      <c r="B22" s="7" t="inlineStr">
        <is>
          <t>TIP</t>
        </is>
      </c>
      <c r="C22" s="8" t="inlineStr">
        <is>
          <t>Made a mistake? Press Ctrl+Z (Undo) right away. Ctrl+Y puts it back (Redo). These are Excel's own Undo and Redo.</t>
        </is>
      </c>
    </row>
    <row r="23" ht="8" customHeight="1"/>
    <row r="24" ht="34" customHeight="1">
      <c r="B24" s="9" t="inlineStr">
        <is>
          <t>A</t>
        </is>
      </c>
      <c r="C24" s="10" t="inlineStr">
        <is>
          <t>Load the schedule from Excel - do this at the start of the shift, or when a new schedule comes out.</t>
        </is>
      </c>
    </row>
    <row r="25" ht="48" customHeight="1">
      <c r="B25" s="11" t="inlineStr">
        <is>
          <t>1</t>
        </is>
      </c>
      <c r="C25" s="4" t="inlineStr">
        <is>
          <t>In THIS file, click the tab 1. Paste Schedule. Click the small triangle in its top-left corner (left of column A, above row 1) to select the whole sheet, and press Delete. Clear it - do not delete rows or columns. (Old rows left on this sheet would mix into today's printout.)</t>
        </is>
      </c>
    </row>
    <row r="26" ht="48" customHeight="1">
      <c r="B26" s="11" t="inlineStr">
        <is>
          <t>2</t>
        </is>
      </c>
      <c r="C26" s="4" t="inlineStr">
        <is>
          <t>Open today's schedule file. If it has more than one sheet, click the one with the LINE and WO column titles. If its title row has filter arrows, click Data &gt; Clear first (a copy leaves out hidden rows). Click its corner triangle to select the whole sheet, then press Ctrl+C. Copy - never Cut (Ctrl+X).</t>
        </is>
      </c>
    </row>
    <row r="27" ht="18" customHeight="1">
      <c r="C27" s="12" t="inlineStr">
        <is>
          <t>You should see: a moving dotted line around the sheet.</t>
        </is>
      </c>
    </row>
    <row r="28" ht="48" customHeight="1">
      <c r="B28" s="11" t="inlineStr">
        <is>
          <t>3</t>
        </is>
      </c>
      <c r="C28" s="4" t="inlineStr">
        <is>
          <t>Go back to THIS file (click it on the taskbar, or View &gt; Switch Windows). On 1. Paste Schedule click cell A1. Right-click it and, under Paste Options, click Values (the clipboard with 123). Ctrl+V also works for a plain schedule file.</t>
        </is>
      </c>
    </row>
    <row r="29" ht="18" customHeight="1">
      <c r="C29" s="12" t="inlineStr">
        <is>
          <t>You should see: today's schedule, starting at cell A1.</t>
        </is>
      </c>
    </row>
    <row r="30" ht="48" customHeight="1">
      <c r="B30" s="13" t="inlineStr">
        <is>
          <t>CAREFUL</t>
        </is>
      </c>
      <c r="C30" s="14" t="inlineStr">
        <is>
          <t>Paste is greyed out, or nothing is pasted? The copy was cancelled (typing or pressing Delete cancels it). Go back to today's file, press Ctrl+C again and come straight back to paste. Excel says the copy area and the paste area are not the same size? You clicked a cell other than A1 - click A1 and paste again.</t>
        </is>
      </c>
    </row>
    <row r="31" ht="18" customHeight="1">
      <c r="B31" s="11" t="inlineStr">
        <is>
          <t>4</t>
        </is>
      </c>
      <c r="C31" s="4" t="inlineStr">
        <is>
          <t>Click the tab 2. Check Columns.</t>
        </is>
      </c>
    </row>
    <row r="32" ht="48" customHeight="1">
      <c r="C32" s="12" t="inlineStr">
        <is>
          <t>You should see: a green box that says Found ... work orders on ... lines, and First work order / Last work order showing the first and last rows of today's file. If the last one is not today's last row, yesterday's rows are still there: do Part A again from step 1.</t>
        </is>
      </c>
    </row>
    <row r="33" ht="93" customHeight="1">
      <c r="B33" s="13" t="inlineStr">
        <is>
          <t>CAREFUL</t>
        </is>
      </c>
      <c r="C33" s="14" t="inlineStr">
        <is>
          <t>If the box is RED, read what it says. Can't tell which column is the Line (or WO #): look at the list Your file's columns at the bottom of that page. Find the column that holds the line names (like VPKL01) or the work order numbers - the Example column shows what is in it - and type its letter (like C) in the yellow Override box of Line or WO #. The box turns green. The override stays in this file, so next time it is automatic. (This file only goes by the column titles - unlike the web app it does not guess the Line or WO column from the values in it, so the Override box is how you tell it.)</t>
        </is>
      </c>
    </row>
    <row r="34" ht="78" customHeight="1">
      <c r="B34" s="11" t="inlineStr">
        <is>
          <t>5</t>
        </is>
      </c>
      <c r="C34" s="4" t="inlineStr">
        <is>
          <t>If the wrong row was taken as the column titles, type the right row number in Header row override. Leave it empty to let the file find the titles (it looks at the first 40 rows). Something went into the wrong column? Type the right column letter in that field's Override box, or - to leave the field out. A red Note next to an Override means today's file may not need it any more: read it, and clear the Override if the Note is right.</t>
        </is>
      </c>
    </row>
    <row r="35" ht="18" customHeight="1">
      <c r="B35" s="11" t="inlineStr">
        <is>
          <t>6</t>
        </is>
      </c>
      <c r="C35" s="4" t="inlineStr">
        <is>
          <t>Click the tab 4. Schedule. Pick 2 or 3 work order numbers and make sure they match today's file.</t>
        </is>
      </c>
    </row>
    <row r="36" ht="18" customHeight="1">
      <c r="C36" s="12" t="inlineStr">
        <is>
          <t>You should see: each line's work orders together, in Seq order, with a blank row between lines.</t>
        </is>
      </c>
    </row>
    <row r="37" ht="8" customHeight="1"/>
    <row r="38" ht="39" customHeight="1">
      <c r="B38" s="9" t="inlineStr">
        <is>
          <t>B</t>
        </is>
      </c>
      <c r="C38" s="10" t="inlineStr">
        <is>
          <t>Pick the lines running this shift - tick the running lines, and mark any line that is READY, down for PM, or OT.</t>
        </is>
      </c>
    </row>
    <row r="39" ht="33" customHeight="1">
      <c r="B39" s="11" t="inlineStr">
        <is>
          <t>1</t>
        </is>
      </c>
      <c r="C39" s="4" t="inlineStr">
        <is>
          <t>Click the tab 3. Lines. The left table is your list of production lines. The right table lists the lines in today's schedule.</t>
        </is>
      </c>
    </row>
    <row r="40" ht="48" customHeight="1">
      <c r="B40" s="11" t="inlineStr">
        <is>
          <t>2</t>
        </is>
      </c>
      <c r="C40" s="4" t="inlineStr">
        <is>
          <t>A line marked NOT IN YOUR LIST (in red, and listed again under Lines to add on the far right) can't be ticked yet: type its name in an empty row of column A. Quick way: select the names under Lines to add, press Ctrl+C, right-click the first empty cell of column A &gt; Paste Options &gt; Values.</t>
        </is>
      </c>
    </row>
    <row r="41" ht="33" customHeight="1">
      <c r="B41" s="11" t="inlineStr">
        <is>
          <t>3</t>
        </is>
      </c>
      <c r="C41" s="4" t="inlineStr">
        <is>
          <t>In the Scheduled column, pick Yes for every line running this shift (click the cell, then the small arrow). Clear the lines that are not running this shift: click the cell and press Delete.</t>
        </is>
      </c>
    </row>
    <row r="42" ht="63" customHeight="1">
      <c r="B42" s="11" t="inlineStr">
        <is>
          <t>4</t>
        </is>
      </c>
      <c r="C42" s="4" t="inlineStr">
        <is>
          <t>Clear yesterday's statuses: click C4, hold Shift, click the last Status cell of your list, and press Delete. Then pick READY for a line that is set up and ready to run, PM for a line down for maintenance, or OT. Leave the rest empty - an empty Status uses the Line Status column of your file (Ready, PM, or OT / Overtime / Trial).</t>
        </is>
      </c>
    </row>
    <row r="43" ht="33" customHeight="1">
      <c r="B43" s="11" t="inlineStr">
        <is>
          <t>5</t>
        </is>
      </c>
      <c r="C43" s="4" t="inlineStr">
        <is>
          <t>Click the yellow box Ticks and statuses checked on (top right) and press Ctrl+; (semicolon) to put in today's date.</t>
        </is>
      </c>
    </row>
    <row r="44" ht="18" customHeight="1">
      <c r="C44" s="12" t="inlineStr">
        <is>
          <t>You should see: today's date in the yellow box, and no red CHECK message next to it.</t>
        </is>
      </c>
    </row>
    <row r="45" ht="18" customHeight="1">
      <c r="B45" s="11" t="inlineStr">
        <is>
          <t>6</t>
        </is>
      </c>
      <c r="C45" s="4" t="inlineStr">
        <is>
          <t>Click the tab 4. Schedule and check it. Then press Ctrl+S to save.</t>
        </is>
      </c>
    </row>
    <row r="46" ht="33" customHeight="1">
      <c r="C46" s="12" t="inlineStr">
        <is>
          <t>You should see: the LINE cell of each ticked line filled bright green with a thin green box around its rows, and READY / PM / OT in the STATUS column of the lines you marked.</t>
        </is>
      </c>
    </row>
    <row r="47" ht="48" customHeight="1">
      <c r="B47" s="7" t="inlineStr">
        <is>
          <t>TIP</t>
        </is>
      </c>
      <c r="C47" s="8" t="inlineStr">
        <is>
          <t>Ticks and statuses stay in this file from day to day. Until today's date is in the yellow box, 3. Lines and the top left of 4. Schedule show a red CHECK message - it prints too - so old ticks never go out by mistake.</t>
        </is>
      </c>
    </row>
    <row r="48" ht="8" customHeight="1"/>
    <row r="49" ht="34" customHeight="1">
      <c r="B49" s="9" t="inlineStr">
        <is>
          <t>C</t>
        </is>
      </c>
      <c r="C49" s="10" t="inlineStr">
        <is>
          <t>Print the schedule - make sure Parts A and B are done first.</t>
        </is>
      </c>
    </row>
    <row r="50" ht="18" customHeight="1">
      <c r="B50" s="11" t="inlineStr">
        <is>
          <t>1</t>
        </is>
      </c>
      <c r="C50" s="4" t="inlineStr">
        <is>
          <t>Click the tab 4. Schedule. Press Ctrl+P (or File &gt; Print).</t>
        </is>
      </c>
    </row>
    <row r="51" ht="33" customHeight="1">
      <c r="B51" s="11" t="inlineStr">
        <is>
          <t>2</t>
        </is>
      </c>
      <c r="C51" s="4" t="inlineStr">
        <is>
          <t>Pick your printer and click Print. Do not change the layout - it is already set: Landscape, Letter, all columns on one page wide, column titles on every page, page numbers at the bottom.</t>
        </is>
      </c>
    </row>
    <row r="52" ht="33" customHeight="1">
      <c r="B52" s="11" t="inlineStr">
        <is>
          <t>3</t>
        </is>
      </c>
      <c r="C52" s="4" t="inlineStr">
        <is>
          <t>Check the printout and post it: today's date top right, every line, green on the running lines, a READY / PM / OT tag on the lines that have one, and no red WARNING or CHECK at the top left.</t>
        </is>
      </c>
    </row>
    <row r="53" ht="18" customHeight="1">
      <c r="B53" s="11" t="inlineStr">
        <is>
          <t>4</t>
        </is>
      </c>
      <c r="C53" s="4" t="inlineStr">
        <is>
          <t>Press Ctrl+S to save before you close the file.</t>
        </is>
      </c>
    </row>
    <row r="54" ht="8" customHeight="1"/>
    <row r="55" ht="21" customHeight="1">
      <c r="B55" s="5" t="inlineStr">
        <is>
          <t>Colors on 4. Schedule</t>
        </is>
      </c>
    </row>
    <row r="56" ht="33" customHeight="1">
      <c r="B56" s="15" t="n"/>
      <c r="C56" s="4" t="inlineStr">
        <is>
          <t>Allergen (anything but N) - the row, from WO to CHANGEOVER. Highlights go allergen first, then oil, then bulk.</t>
        </is>
      </c>
    </row>
    <row r="57" ht="18" customHeight="1">
      <c r="B57" s="16" t="n"/>
      <c r="C57" s="4" t="inlineStr">
        <is>
          <t>Oily product (the description contains OIL).</t>
        </is>
      </c>
    </row>
    <row r="58" ht="18" customHeight="1">
      <c r="B58" s="17" t="n"/>
      <c r="C58" s="4" t="inlineStr">
        <is>
          <t>Bulk item A662 or A624.</t>
        </is>
      </c>
    </row>
    <row r="59" ht="33" customHeight="1">
      <c r="B59" s="18" t="n"/>
      <c r="C59" s="4" t="inlineStr">
        <is>
          <t>Calculated columns: % Actual Complete, Bottles Remaining, Changeover. A dash in % Actual Complete means % Complete is 0 or blank.</t>
        </is>
      </c>
    </row>
    <row r="60" ht="18" customHeight="1">
      <c r="B60" s="19" t="n"/>
      <c r="C60" s="4" t="inlineStr">
        <is>
          <t>READY - the line is set up and ready to run.</t>
        </is>
      </c>
    </row>
    <row r="61" ht="18" customHeight="1">
      <c r="B61" s="20" t="n"/>
      <c r="C61" s="4" t="inlineStr">
        <is>
          <t>PM - the line is down for maintenance.</t>
        </is>
      </c>
    </row>
    <row r="62" ht="18" customHeight="1">
      <c r="B62" s="21" t="n"/>
      <c r="C62" s="4" t="inlineStr">
        <is>
          <t>OT - a line marked OT. A Line Status of OT, Overtime or Trial in your file also shows as OT.</t>
        </is>
      </c>
    </row>
    <row r="63" ht="18" customHeight="1">
      <c r="B63" s="22" t="n"/>
      <c r="C63" s="4" t="inlineStr">
        <is>
          <t>Light green, blue or yellow LINE cell: the line has a READY, PM or OT status but is not ticked.</t>
        </is>
      </c>
    </row>
    <row r="64" ht="18" customHeight="1">
      <c r="B64" s="23" t="n"/>
      <c r="C64" s="4" t="inlineStr">
        <is>
          <t>A ticked (Scheduled) line: green LINE cell and a thin green box around its rows.</t>
        </is>
      </c>
    </row>
    <row r="65" ht="18" customHeight="1">
      <c r="B65" s="24" t="n"/>
      <c r="C65" s="4" t="inlineStr">
        <is>
          <t>Red bold Count = the count changed from the work order before it (S1 Count Change).</t>
        </is>
      </c>
    </row>
    <row r="66" ht="18" customHeight="1">
      <c r="B66" s="25" t="n"/>
      <c r="C66" s="4" t="inlineStr">
        <is>
          <t>Navy line under the last work order of each line.</t>
        </is>
      </c>
    </row>
    <row r="67" ht="8" customHeight="1"/>
    <row r="68" ht="21" customHeight="1">
      <c r="B68" s="5" t="inlineStr">
        <is>
          <t>Changeover codes</t>
        </is>
      </c>
    </row>
    <row r="69" ht="18" customHeight="1">
      <c r="B69" s="6" t="inlineStr">
        <is>
          <t>S1</t>
        </is>
      </c>
      <c r="C69" s="4" t="inlineStr">
        <is>
          <t>Same setup.</t>
        </is>
      </c>
    </row>
    <row r="70" ht="18" customHeight="1">
      <c r="B70" s="3" t="inlineStr">
        <is>
          <t>S1 Count Change</t>
        </is>
      </c>
      <c r="C70" s="4" t="inlineStr">
        <is>
          <t>The count differs.</t>
        </is>
      </c>
    </row>
    <row r="71" ht="18" customHeight="1">
      <c r="B71" s="6" t="inlineStr">
        <is>
          <t>S3</t>
        </is>
      </c>
      <c r="C71" s="4" t="inlineStr">
        <is>
          <t>The bulk item differs.</t>
        </is>
      </c>
    </row>
    <row r="72" ht="18" customHeight="1">
      <c r="B72" s="6" t="inlineStr">
        <is>
          <t>S4</t>
        </is>
      </c>
      <c r="C72" s="4" t="inlineStr">
        <is>
          <t>The bottle size differs.</t>
        </is>
      </c>
    </row>
    <row r="73" ht="33" customHeight="1">
      <c r="C73" s="4" t="inlineStr">
        <is>
          <t>Each code is shown on the work order the changeover happens on. It is blank on the first work order of a line, and when either Bottle Size is missing.</t>
        </is>
      </c>
    </row>
    <row r="74" ht="33" customHeight="1">
      <c r="C74" s="4" t="inlineStr">
        <is>
          <t>% Actual Complete = % Complete / 100 (blank when % Complete is 0 or blank). Bottles Remaining = WO Quantity x (1 - % Actual Complete), rounded.</t>
        </is>
      </c>
    </row>
    <row r="75" ht="8" customHeight="1"/>
    <row r="76" ht="21" customHeight="1">
      <c r="B76" s="5" t="inlineStr">
        <is>
          <t>Something went wrong?</t>
        </is>
      </c>
    </row>
    <row r="77" ht="33" customHeight="1">
      <c r="B77" s="3" t="inlineStr">
        <is>
          <t>The box on 2. Check Columns is red</t>
        </is>
      </c>
      <c r="C77" s="4" t="inlineStr">
        <is>
          <t>Read what it says. Line / WO # not found: Part A, CAREFUL box. Empty sheet: Part A, steps 1 to 3. Capacity warning: see Limits below.</t>
        </is>
      </c>
    </row>
    <row r="78" ht="18" customHeight="1">
      <c r="B78" s="3" t="inlineStr">
        <is>
          <t>The sheets look empty</t>
        </is>
      </c>
      <c r="C78" s="4" t="inlineStr">
        <is>
          <t>Click Enable Editing on the yellow bar at the top.</t>
        </is>
      </c>
    </row>
    <row r="79" ht="33" customHeight="1">
      <c r="B79" s="3" t="inlineStr">
        <is>
          <t>Nothing changes after pasting</t>
        </is>
      </c>
      <c r="C79" s="4" t="inlineStr">
        <is>
          <t>Formulas &gt; Calculation Options &gt; Automatic, or press F9. (Excel takes this setting from the first file you open.)</t>
        </is>
      </c>
    </row>
    <row r="80" ht="33" customHeight="1">
      <c r="B80" s="3" t="inlineStr">
        <is>
          <t>Paste is greyed out</t>
        </is>
      </c>
      <c r="C80" s="4" t="inlineStr">
        <is>
          <t>The copy was cancelled. Go back to today's file, press Ctrl+C again and paste right away (Part A, step 3).</t>
        </is>
      </c>
    </row>
    <row r="81" ht="33" customHeight="1">
      <c r="B81" s="3" t="inlineStr">
        <is>
          <t>Yesterday's work orders are still there</t>
        </is>
      </c>
      <c r="C81" s="4" t="inlineStr">
        <is>
          <t>1. Paste Schedule was not cleared before pasting. Do Part A again from step 1.</t>
        </is>
      </c>
    </row>
    <row r="82" ht="33" customHeight="1">
      <c r="B82" s="3" t="inlineStr">
        <is>
          <t>A work order is missing</t>
        </is>
      </c>
      <c r="C82" s="4" t="inlineStr">
        <is>
          <t>On 1. Paste Schedule its Line must be filled in. Rows below a Line cell that says LEGEND are ignored. Exact duplicate rows are counted once.</t>
        </is>
      </c>
    </row>
    <row r="83" ht="33" customHeight="1">
      <c r="B83" s="3" t="inlineStr">
        <is>
          <t>Something is in the wrong column</t>
        </is>
      </c>
      <c r="C83" s="4" t="inlineStr">
        <is>
          <t>On 2. Check Columns type the right column letter in that field's Override box (or - to leave it out).</t>
        </is>
      </c>
    </row>
    <row r="84" ht="33" customHeight="1">
      <c r="B84" s="3" t="inlineStr">
        <is>
          <t>I can't type on 4. Schedule</t>
        </is>
      </c>
      <c r="C84" s="4" t="inlineStr">
        <is>
          <t>That is on purpose - it fills itself in. Edit 1. Paste Schedule instead. Never click Review &gt; Unprotect Sheet.</t>
        </is>
      </c>
    </row>
    <row r="85" ht="33" customHeight="1">
      <c r="B85" s="3" t="inlineStr">
        <is>
          <t>Report typed on</t>
        </is>
      </c>
      <c r="C85" s="4" t="inlineStr">
        <is>
          <t>Something was typed over 4. Schedule, so it no longer fills itself in. Press Ctrl+Z right away. If that does not fix it, get a fresh copy of this file and type your lines on 3. Lines again.</t>
        </is>
      </c>
    </row>
    <row r="86" ht="18" customHeight="1">
      <c r="B86" s="3" t="inlineStr">
        <is>
          <t>A line can't be ticked</t>
        </is>
      </c>
      <c r="C86" s="4" t="inlineStr">
        <is>
          <t>Type its name in the left table of 3. Lines (Part B, step 2).</t>
        </is>
      </c>
    </row>
    <row r="87" ht="33" customHeight="1">
      <c r="B87" s="3" t="inlineStr">
        <is>
          <t>CHECK: 3. Lines not dated today</t>
        </is>
      </c>
      <c r="C87" s="4" t="inlineStr">
        <is>
          <t>Check the ticks and statuses on 3. Lines (Part B), then put today's date in the yellow box there (Ctrl+;).</t>
        </is>
      </c>
    </row>
    <row r="88" ht="33" customHeight="1">
      <c r="B88" s="3" t="inlineStr">
        <is>
          <t>WARNING: see 2. Check Columns</t>
        </is>
      </c>
      <c r="C88" s="4" t="inlineStr">
        <is>
          <t>The box on 2. Check Columns says what is wrong (see the first row of this list).</t>
        </is>
      </c>
    </row>
    <row r="89" ht="33" customHeight="1">
      <c r="B89" s="3" t="inlineStr">
        <is>
          <t>The printout has no colors</t>
        </is>
      </c>
      <c r="C89" s="4" t="inlineStr">
        <is>
          <t>In the print window, check the printer is not set to black and white / draft. The STATUS words still print in black and white.</t>
        </is>
      </c>
    </row>
    <row r="90" ht="48" customHeight="1">
      <c r="B90" s="3" t="inlineStr">
        <is>
          <t>Blank pages, or rows missing</t>
        </is>
      </c>
      <c r="C90" s="4" t="inlineStr">
        <is>
          <t>The printout follows the schedule by itself - never use Page Layout &gt; Print Area &gt; Set Print Area. If it still goes wrong: on 4. Schedule select from cell A1 to column R of the last work order, press Ctrl+P and under Settings pick Print Selection.</t>
        </is>
      </c>
    </row>
    <row r="91" ht="18" customHeight="1">
      <c r="B91" s="3" t="inlineStr">
        <is>
          <t>Columns cut off</t>
        </is>
      </c>
      <c r="C91" s="4" t="inlineStr">
        <is>
          <t>In the print window keep Fit All Columns on One Page.</t>
        </is>
      </c>
    </row>
    <row r="92" ht="33" customHeight="1">
      <c r="B92" s="3" t="inlineStr">
        <is>
          <t>Long text is cut off</t>
        </is>
      </c>
      <c r="C92" s="4" t="inlineStr">
        <is>
          <t>Descriptions and remarks show one line per row, like the web app's printout. Make a column wider: drag the line between two column letters at the top of 4. Schedule (double-click it to fit the text).</t>
        </is>
      </c>
    </row>
    <row r="93" ht="8" customHeight="1"/>
    <row r="94" ht="21" customHeight="1">
      <c r="B94" s="5" t="inlineStr">
        <is>
          <t>Tips</t>
        </is>
      </c>
    </row>
    <row r="95" ht="33" customHeight="1">
      <c r="B95" s="3" t="inlineStr">
        <is>
          <t>Fit on one page</t>
        </is>
      </c>
      <c r="C95" s="4" t="inlineStr">
        <is>
          <t>In the print window, under Settings, change Fit All Columns on One Page to Fit Sheet on One Page (the text gets smaller).</t>
        </is>
      </c>
    </row>
    <row r="96" ht="33" customHeight="1">
      <c r="B96" s="3" t="inlineStr">
        <is>
          <t>Hide a column</t>
        </is>
      </c>
      <c r="C96" s="4" t="inlineStr">
        <is>
          <t>On 4. Schedule right-click the column letter (for example L for REMARKS) &gt; Hide. To bring it back, select the columns on both sides (K to M), right-click &gt; Unhide.</t>
        </is>
      </c>
    </row>
    <row r="97" ht="18" customHeight="1">
      <c r="B97" s="3" t="inlineStr">
        <is>
          <t>Make a column wider</t>
        </is>
      </c>
      <c r="C97" s="4" t="inlineStr">
        <is>
          <t>On 4. Schedule drag the line between two column letters. Double-click it to fit.</t>
        </is>
      </c>
    </row>
    <row r="98" ht="33" customHeight="1">
      <c r="B98" s="3" t="inlineStr">
        <is>
          <t>Change a work order</t>
        </is>
      </c>
      <c r="C98" s="4" t="inlineStr">
        <is>
          <t>Edit 1. Paste Schedule. Add a row anywhere under the column titles (Line must be filled in). To remove one, clear its cells. You can also type a whole schedule there by hand, under the titles in row 1.</t>
        </is>
      </c>
    </row>
    <row r="99" ht="33" customHeight="1">
      <c r="B99" s="3" t="inlineStr">
        <is>
          <t>Rename a line</t>
        </is>
      </c>
      <c r="C99" s="4" t="inlineStr">
        <is>
          <t>On 1. Paste Schedule press Ctrl+H. Find what: the old name. Replace with: the new name. Click Options, tick Match entire cell contents, then Replace All. Change the name on 3. Lines too.</t>
        </is>
      </c>
    </row>
    <row r="100" ht="48" customHeight="1">
      <c r="B100" s="3" t="inlineStr">
        <is>
          <t>Leave a whole line off</t>
        </is>
      </c>
      <c r="C100" s="4" t="inlineStr">
        <is>
          <t>On 1. Paste Schedule click a cell in the title row, then Data &gt; Filter. With the arrow on the Line column show only that line, select its rows (click the row numbers) and press Delete. Then click Data &gt; Filter again to turn the filter off.</t>
        </is>
      </c>
    </row>
    <row r="101" ht="33" customHeight="1">
      <c r="B101" s="3" t="inlineStr">
        <is>
          <t>Send the schedule</t>
        </is>
      </c>
      <c r="C101" s="4" t="inlineStr">
        <is>
          <t>With 4. Schedule open: File &gt; Save As (on the web: Save a Copy / Export) and pick PDF. Email or post the PDF.</t>
        </is>
      </c>
    </row>
    <row r="102" ht="48" customHeight="1">
      <c r="B102" s="3" t="inlineStr">
        <is>
          <t>Seq order</t>
        </is>
      </c>
      <c r="C102" s="4" t="inlineStr">
        <is>
          <t>Numbers sort as numbers (6.5 goes between 6 and 7). A row with no Seq stays right after the row above it of the same line. Seq values that are not numbers go after the numbered ones, in the order they were pasted.</t>
        </is>
      </c>
    </row>
    <row r="103" ht="48" customHeight="1">
      <c r="B103" s="3" t="inlineStr">
        <is>
          <t>Long schedules</t>
        </is>
      </c>
      <c r="C103" s="4" t="inlineStr">
        <is>
          <t>The LINE name is printed on the first row of each line only. When a line runs on to the next page, the rows at the top of that page have no LINE name (Excel can't repeat it by itself) - write it on by hand, or use Fit Sheet on One Page.</t>
        </is>
      </c>
    </row>
    <row r="104" ht="48" customHeight="1">
      <c r="B104" s="3" t="inlineStr">
        <is>
          <t>Limits</t>
        </is>
      </c>
      <c r="C104" s="4" t="inlineStr">
        <is>
          <t>Up to 600 work orders (the first 600 under the column titles, in paste order), pasted rows 1 to 1000, columns A to BH, 100 lines on 3. Lines, 700 rows on 4. Schedule. Past a limit, a red WARNING shows on 2. Check Columns and on 4. Schedule.</t>
        </is>
      </c>
    </row>
    <row r="105" ht="63" customHeight="1">
      <c r="B105" s="3" t="inlineStr">
        <is>
          <t>Not like the web app</t>
        </is>
      </c>
      <c r="C105" s="4" t="inlineStr">
        <is>
          <t>The status is in its own STATUS column; the green box around a ticked line is thin (Excel can't draw a thick one by formula); a line split over two pages shows its name on the first page only; long text is cut at the cell edge; columns can be hidden but not moved; the Line and WO columns are found by their titles only; pasting a new schedule does not clear the statuses (Part B, step 4 does).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13:C13"/>
    <mergeCell ref="B55:C55"/>
    <mergeCell ref="B68:C68"/>
    <mergeCell ref="B76:C76"/>
    <mergeCell ref="B94:C94"/>
    <mergeCell ref="B18:C18"/>
    <mergeCell ref="B8:C8"/>
  </mergeCells>
  <pageMargins left="0.4" right="0.4" top="1" bottom="1" header="0.5" footer="0.5"/>
  <pageSetup orientation="portrait" paperSize="1" fitToHeight="0" fitToWidth="1"/>
</worksheet>
</file>

<file path=xl/worksheets/sheet2.xml><?xml version="1.0" encoding="utf-8"?>
<worksheet xmlns="http://schemas.openxmlformats.org/spreadsheetml/2006/main">
  <sheetPr>
    <tabColor rgb="00FFC000"/>
    <outlinePr summaryBelow="1" summaryRight="1"/>
    <pageSetUpPr fitToPage="1"/>
  </sheetPr>
  <dimension ref="A1:R17"/>
  <sheetViews>
    <sheetView tabSelected="0" workbookViewId="0">
      <selection activeCell="A1" sqref="A1"/>
    </sheetView>
  </sheetViews>
  <sheetFormatPr baseColWidth="8" defaultRowHeight="15"/>
  <cols>
    <col width="9" customWidth="1" min="1" max="1"/>
    <col width="10" customWidth="1" min="2" max="2"/>
    <col width="6" customWidth="1" min="3" max="3"/>
    <col width="10" customWidth="1" min="4" max="4"/>
    <col width="32" customWidth="1" min="5" max="5"/>
    <col width="7" customWidth="1" min="6" max="6"/>
    <col width="11" customWidth="1" min="7" max="7"/>
    <col width="10" customWidth="1" min="8" max="8"/>
    <col width="27" customWidth="1" min="9" max="9"/>
    <col width="9" customWidth="1" min="10" max="10"/>
    <col width="40" customWidth="1" min="11" max="11"/>
    <col width="12" customWidth="1" min="12" max="12"/>
    <col width="11" customWidth="1" min="13" max="13"/>
    <col width="11" customWidth="1" min="14" max="14"/>
    <col width="11" customWidth="1" min="15" max="15"/>
    <col width="13" customWidth="1" min="16" max="16"/>
    <col width="11" customWidth="1" min="17" max="17"/>
    <col width="11" customWidth="1" min="18" max="18"/>
  </cols>
  <sheetData>
    <row r="1">
      <c r="A1" s="26" t="inlineStr">
        <is>
          <t>LINE</t>
        </is>
      </c>
      <c r="B1" s="26" t="inlineStr">
        <is>
          <t>WO</t>
        </is>
      </c>
      <c r="C1" s="26" t="inlineStr">
        <is>
          <t>SEQ</t>
        </is>
      </c>
      <c r="D1" s="26" t="inlineStr">
        <is>
          <t>ITEM</t>
        </is>
      </c>
      <c r="E1" s="26" t="inlineStr">
        <is>
          <t>PRODUCT DESCRIPTION</t>
        </is>
      </c>
      <c r="F1" s="26" t="inlineStr">
        <is>
          <t>Count</t>
        </is>
      </c>
      <c r="G1" s="26" t="inlineStr">
        <is>
          <t>Bulk Item</t>
        </is>
      </c>
      <c r="H1" s="26" t="inlineStr">
        <is>
          <t>Bottle Size</t>
        </is>
      </c>
      <c r="I1" s="26" t="inlineStr">
        <is>
          <t>CAP DESCRIPTION</t>
        </is>
      </c>
      <c r="J1" s="26" t="inlineStr">
        <is>
          <t>Allergen</t>
        </is>
      </c>
      <c r="K1" s="26" t="inlineStr">
        <is>
          <t>REMARKS</t>
        </is>
      </c>
      <c r="L1" s="26" t="inlineStr">
        <is>
          <t>WO Quantity</t>
        </is>
      </c>
      <c r="M1" s="26" t="inlineStr">
        <is>
          <t>% Complete</t>
        </is>
      </c>
      <c r="N1" s="26" t="inlineStr">
        <is>
          <t>% Actual Complete</t>
        </is>
      </c>
      <c r="O1" s="26" t="inlineStr">
        <is>
          <t>Bottles Remaining</t>
        </is>
      </c>
      <c r="P1" s="26" t="inlineStr">
        <is>
          <t>CHANGEOVER</t>
        </is>
      </c>
      <c r="Q1" s="26" t="inlineStr">
        <is>
          <t>Line Status</t>
        </is>
      </c>
      <c r="R1" s="26" t="inlineStr">
        <is>
          <t>Desiccant</t>
        </is>
      </c>
    </row>
    <row r="2">
      <c r="A2" t="inlineStr">
        <is>
          <t>VPKL01</t>
        </is>
      </c>
      <c r="B2" t="inlineStr">
        <is>
          <t>2682056</t>
        </is>
      </c>
      <c r="C2" t="inlineStr">
        <is>
          <t>2</t>
        </is>
      </c>
      <c r="D2" t="inlineStr">
        <is>
          <t>13612</t>
        </is>
      </c>
      <c r="E2" t="inlineStr">
        <is>
          <t>NM COQ10 200MG</t>
        </is>
      </c>
      <c r="F2" t="inlineStr">
        <is>
          <t>90</t>
        </is>
      </c>
      <c r="G2" t="inlineStr">
        <is>
          <t>A640AB</t>
        </is>
      </c>
      <c r="H2" t="inlineStr">
        <is>
          <t>225</t>
        </is>
      </c>
      <c r="I2" t="inlineStr">
        <is>
          <t>CAP 45MM CT YELLOW 116 NV</t>
        </is>
      </c>
      <c r="J2" t="inlineStr">
        <is>
          <t>N</t>
        </is>
      </c>
      <c r="L2" t="n">
        <v>19780</v>
      </c>
      <c r="M2" t="n">
        <v>0</v>
      </c>
    </row>
    <row r="3">
      <c r="A3" t="inlineStr">
        <is>
          <t>VPKL03</t>
        </is>
      </c>
      <c r="B3" t="inlineStr">
        <is>
          <t>2682467</t>
        </is>
      </c>
      <c r="C3" t="inlineStr">
        <is>
          <t>5</t>
        </is>
      </c>
      <c r="D3" t="inlineStr">
        <is>
          <t>4251</t>
        </is>
      </c>
      <c r="E3" t="inlineStr">
        <is>
          <t>VITAMIN D 1000IU SG</t>
        </is>
      </c>
      <c r="F3" t="inlineStr">
        <is>
          <t>650</t>
        </is>
      </c>
      <c r="G3" t="inlineStr">
        <is>
          <t>BU001565</t>
        </is>
      </c>
      <c r="H3" t="inlineStr">
        <is>
          <t>300</t>
        </is>
      </c>
      <c r="I3" t="inlineStr">
        <is>
          <t>CAP 45MM CT YELL 116 V</t>
        </is>
      </c>
      <c r="J3" t="inlineStr">
        <is>
          <t>N</t>
        </is>
      </c>
      <c r="L3" t="n">
        <v>45802</v>
      </c>
      <c r="M3" t="n">
        <v>0</v>
      </c>
    </row>
    <row r="4">
      <c r="A4" t="inlineStr">
        <is>
          <t>VPKL05</t>
        </is>
      </c>
      <c r="B4" t="inlineStr">
        <is>
          <t>2682229</t>
        </is>
      </c>
      <c r="C4" t="inlineStr">
        <is>
          <t>11</t>
        </is>
      </c>
      <c r="D4" t="inlineStr">
        <is>
          <t>2883</t>
        </is>
      </c>
      <c r="E4" t="inlineStr">
        <is>
          <t>MAGNESIUM 400MG LSG</t>
        </is>
      </c>
      <c r="F4" t="inlineStr">
        <is>
          <t>150</t>
        </is>
      </c>
      <c r="G4" t="inlineStr">
        <is>
          <t>BU001299</t>
        </is>
      </c>
      <c r="H4" t="inlineStr">
        <is>
          <t>500</t>
        </is>
      </c>
      <c r="I4" t="inlineStr">
        <is>
          <t>CAP 45MM CT YELL 116 V</t>
        </is>
      </c>
      <c r="J4" t="inlineStr">
        <is>
          <t>N</t>
        </is>
      </c>
      <c r="L4" t="n">
        <v>22233</v>
      </c>
      <c r="M4" t="n">
        <v>79.34</v>
      </c>
    </row>
    <row r="5">
      <c r="A5" t="inlineStr">
        <is>
          <t>VPKL05</t>
        </is>
      </c>
      <c r="B5" t="inlineStr">
        <is>
          <t>2683002</t>
        </is>
      </c>
      <c r="C5" t="inlineStr">
        <is>
          <t>12</t>
        </is>
      </c>
      <c r="D5" t="inlineStr">
        <is>
          <t>2883</t>
        </is>
      </c>
      <c r="E5" t="inlineStr">
        <is>
          <t>MAGNESIUM 400MG LSG</t>
        </is>
      </c>
      <c r="F5" t="inlineStr">
        <is>
          <t>150</t>
        </is>
      </c>
      <c r="G5" t="inlineStr">
        <is>
          <t>BU001299</t>
        </is>
      </c>
      <c r="H5" t="inlineStr">
        <is>
          <t>500</t>
        </is>
      </c>
      <c r="I5" t="inlineStr">
        <is>
          <t>CAP 45MM CT YELL 116 V</t>
        </is>
      </c>
      <c r="J5" t="inlineStr">
        <is>
          <t>N</t>
        </is>
      </c>
      <c r="L5" t="n">
        <v>28920</v>
      </c>
      <c r="M5" t="n">
        <v>0</v>
      </c>
    </row>
    <row r="6">
      <c r="A6" t="inlineStr">
        <is>
          <t>VPKL05</t>
        </is>
      </c>
      <c r="B6" t="inlineStr">
        <is>
          <t>2679111</t>
        </is>
      </c>
      <c r="C6" t="inlineStr">
        <is>
          <t>13</t>
        </is>
      </c>
      <c r="D6" t="inlineStr">
        <is>
          <t>13176</t>
        </is>
      </c>
      <c r="E6" t="inlineStr">
        <is>
          <t>SUPER B + C SUPPORT</t>
        </is>
      </c>
      <c r="F6" t="inlineStr">
        <is>
          <t>300</t>
        </is>
      </c>
      <c r="G6" t="inlineStr">
        <is>
          <t>A633</t>
        </is>
      </c>
      <c r="H6" t="inlineStr">
        <is>
          <t>625</t>
        </is>
      </c>
      <c r="I6" t="inlineStr">
        <is>
          <t>CAP 53MM CT YELLOW 116 V</t>
        </is>
      </c>
      <c r="J6" t="inlineStr">
        <is>
          <t>N</t>
        </is>
      </c>
      <c r="K6" t="inlineStr">
        <is>
          <t>Label currently is PK002584 but needs new label PK002875 once in system</t>
        </is>
      </c>
      <c r="L6" t="n">
        <v>10399</v>
      </c>
      <c r="M6" t="n">
        <v>0</v>
      </c>
    </row>
    <row r="7">
      <c r="A7" t="inlineStr">
        <is>
          <t>VPKL07</t>
        </is>
      </c>
      <c r="B7" t="inlineStr">
        <is>
          <t>2682249</t>
        </is>
      </c>
      <c r="C7" t="inlineStr">
        <is>
          <t>6</t>
        </is>
      </c>
      <c r="D7" t="inlineStr">
        <is>
          <t>HL000430</t>
        </is>
      </c>
      <c r="E7" t="inlineStr">
        <is>
          <t>FISH OIL 1200MG BPLESS SAMS</t>
        </is>
      </c>
      <c r="F7" t="inlineStr">
        <is>
          <t>240</t>
        </is>
      </c>
      <c r="G7" t="inlineStr">
        <is>
          <t>A420PE</t>
        </is>
      </c>
      <c r="H7" t="inlineStr">
        <is>
          <t>950</t>
        </is>
      </c>
      <c r="I7" t="inlineStr">
        <is>
          <t>CAP 53MM CT YELLOW 116 V</t>
        </is>
      </c>
      <c r="J7" t="inlineStr">
        <is>
          <t>N</t>
        </is>
      </c>
      <c r="L7" t="n">
        <v>23618</v>
      </c>
      <c r="M7" t="n">
        <v>17.78</v>
      </c>
    </row>
    <row r="8">
      <c r="A8" t="inlineStr">
        <is>
          <t>VPKL08</t>
        </is>
      </c>
      <c r="B8" t="inlineStr">
        <is>
          <t>2681041</t>
        </is>
      </c>
      <c r="C8" t="inlineStr">
        <is>
          <t>9</t>
        </is>
      </c>
      <c r="D8" t="inlineStr">
        <is>
          <t>1717</t>
        </is>
      </c>
      <c r="E8" t="inlineStr">
        <is>
          <t>CHEWABLE VIT C 500MG</t>
        </is>
      </c>
      <c r="F8" t="inlineStr">
        <is>
          <t>150</t>
        </is>
      </c>
      <c r="G8" t="inlineStr">
        <is>
          <t>704AS</t>
        </is>
      </c>
      <c r="H8" t="inlineStr">
        <is>
          <t>625</t>
        </is>
      </c>
      <c r="I8" t="inlineStr">
        <is>
          <t>CAP 53MM CT YELLOW 116 V</t>
        </is>
      </c>
      <c r="J8" t="inlineStr">
        <is>
          <t>M</t>
        </is>
      </c>
      <c r="L8" t="n">
        <v>30967</v>
      </c>
      <c r="M8" t="n">
        <v>61.85</v>
      </c>
    </row>
    <row r="9">
      <c r="A9" t="inlineStr">
        <is>
          <t>VPKL08</t>
        </is>
      </c>
      <c r="B9" t="inlineStr">
        <is>
          <t>2679117</t>
        </is>
      </c>
      <c r="C9" t="inlineStr">
        <is>
          <t>10</t>
        </is>
      </c>
      <c r="D9" t="inlineStr">
        <is>
          <t>1717</t>
        </is>
      </c>
      <c r="E9" t="inlineStr">
        <is>
          <t>CHEWABLE VIT C 500MG</t>
        </is>
      </c>
      <c r="F9" t="inlineStr">
        <is>
          <t>150</t>
        </is>
      </c>
      <c r="G9" t="inlineStr">
        <is>
          <t>704AS</t>
        </is>
      </c>
      <c r="H9" t="inlineStr">
        <is>
          <t>625</t>
        </is>
      </c>
      <c r="I9" t="inlineStr">
        <is>
          <t>CAP 53MM CT YELLOW 116 V</t>
        </is>
      </c>
      <c r="J9" t="inlineStr">
        <is>
          <t>N</t>
        </is>
      </c>
      <c r="L9" t="n">
        <v>27404</v>
      </c>
      <c r="M9" t="n">
        <v>0</v>
      </c>
    </row>
    <row r="10">
      <c r="A10" t="inlineStr">
        <is>
          <t>VPKL09</t>
        </is>
      </c>
      <c r="B10" t="inlineStr">
        <is>
          <t>2681071</t>
        </is>
      </c>
      <c r="C10" t="inlineStr">
        <is>
          <t>6</t>
        </is>
      </c>
      <c r="D10" t="inlineStr">
        <is>
          <t>4294</t>
        </is>
      </c>
      <c r="E10" t="inlineStr">
        <is>
          <t>FISH OIL 1200MG</t>
        </is>
      </c>
      <c r="F10" t="inlineStr">
        <is>
          <t>150</t>
        </is>
      </c>
      <c r="G10" t="inlineStr">
        <is>
          <t>A419PE</t>
        </is>
      </c>
      <c r="H10" t="inlineStr">
        <is>
          <t>500</t>
        </is>
      </c>
      <c r="I10" t="inlineStr">
        <is>
          <t>CAP 45MM CT YELL 116 V</t>
        </is>
      </c>
      <c r="J10" t="inlineStr">
        <is>
          <t>N</t>
        </is>
      </c>
      <c r="L10" t="n">
        <v>20132</v>
      </c>
      <c r="M10" t="n">
        <v>0</v>
      </c>
    </row>
    <row r="11">
      <c r="A11" t="inlineStr">
        <is>
          <t>VPKL09</t>
        </is>
      </c>
      <c r="B11" t="inlineStr">
        <is>
          <t>2681067</t>
        </is>
      </c>
      <c r="C11" t="inlineStr">
        <is>
          <t>7</t>
        </is>
      </c>
      <c r="D11" t="inlineStr">
        <is>
          <t>2895</t>
        </is>
      </c>
      <c r="E11" t="inlineStr">
        <is>
          <t>MAGNESIUM CITRATE SG</t>
        </is>
      </c>
      <c r="F11" t="inlineStr">
        <is>
          <t>120</t>
        </is>
      </c>
      <c r="G11" t="inlineStr">
        <is>
          <t>A685AC</t>
        </is>
      </c>
      <c r="H11" t="inlineStr">
        <is>
          <t>400</t>
        </is>
      </c>
      <c r="I11" t="inlineStr">
        <is>
          <t>CAP 45MM CT YELL 116 V</t>
        </is>
      </c>
      <c r="J11" t="inlineStr">
        <is>
          <t>N</t>
        </is>
      </c>
      <c r="L11" t="n">
        <v>20174</v>
      </c>
      <c r="M11" t="n">
        <v>0</v>
      </c>
    </row>
    <row r="12">
      <c r="A12" t="inlineStr">
        <is>
          <t>VPKL09</t>
        </is>
      </c>
      <c r="B12" t="inlineStr">
        <is>
          <t>2682430</t>
        </is>
      </c>
      <c r="C12" t="inlineStr">
        <is>
          <t>8</t>
        </is>
      </c>
      <c r="D12" t="inlineStr">
        <is>
          <t>2729</t>
        </is>
      </c>
      <c r="E12" t="inlineStr">
        <is>
          <t>SUPER B COMP W/C &amp; FOL ACID</t>
        </is>
      </c>
      <c r="F12" t="inlineStr">
        <is>
          <t>360</t>
        </is>
      </c>
      <c r="G12" t="inlineStr">
        <is>
          <t>BU001588</t>
        </is>
      </c>
      <c r="H12" t="inlineStr">
        <is>
          <t>400</t>
        </is>
      </c>
      <c r="I12" t="inlineStr">
        <is>
          <t>CAP 45MM CT YELL 116 V</t>
        </is>
      </c>
      <c r="J12" t="inlineStr">
        <is>
          <t>N</t>
        </is>
      </c>
      <c r="L12" t="n">
        <v>20171</v>
      </c>
      <c r="M12" t="n">
        <v>0</v>
      </c>
    </row>
    <row r="13">
      <c r="A13" t="inlineStr">
        <is>
          <t>VPKL10</t>
        </is>
      </c>
      <c r="B13" t="inlineStr">
        <is>
          <t>2682127</t>
        </is>
      </c>
      <c r="C13" t="inlineStr">
        <is>
          <t>10</t>
        </is>
      </c>
      <c r="D13" t="inlineStr">
        <is>
          <t>2727</t>
        </is>
      </c>
      <c r="E13" t="inlineStr">
        <is>
          <t>SUPER B-COMP W/FOLIC BIOTIN&amp; C</t>
        </is>
      </c>
      <c r="F13" t="inlineStr">
        <is>
          <t>140</t>
        </is>
      </c>
      <c r="G13" t="inlineStr">
        <is>
          <t>704AS</t>
        </is>
      </c>
      <c r="H13" t="inlineStr">
        <is>
          <t>225</t>
        </is>
      </c>
      <c r="I13" t="inlineStr">
        <is>
          <t>CAP 45MM CT YELL 116 V</t>
        </is>
      </c>
      <c r="J13" t="inlineStr">
        <is>
          <t>N</t>
        </is>
      </c>
      <c r="L13" t="n">
        <v>33270</v>
      </c>
      <c r="M13" t="n">
        <v>0</v>
      </c>
    </row>
    <row r="14">
      <c r="A14" t="inlineStr">
        <is>
          <t>VPKL10</t>
        </is>
      </c>
      <c r="B14" t="inlineStr">
        <is>
          <t>2682130</t>
        </is>
      </c>
      <c r="C14" t="inlineStr">
        <is>
          <t>11</t>
        </is>
      </c>
      <c r="D14" t="inlineStr">
        <is>
          <t>2727</t>
        </is>
      </c>
      <c r="E14" t="inlineStr">
        <is>
          <t>SUPER B-COMP W/FOLIC BIOTIN&amp; C</t>
        </is>
      </c>
      <c r="F14" t="inlineStr">
        <is>
          <t>140</t>
        </is>
      </c>
      <c r="G14" t="inlineStr">
        <is>
          <t>BU001588</t>
        </is>
      </c>
      <c r="H14" t="inlineStr">
        <is>
          <t>225</t>
        </is>
      </c>
      <c r="I14" t="inlineStr">
        <is>
          <t>CAP 45MM CT YELL 116 V</t>
        </is>
      </c>
      <c r="J14" t="inlineStr">
        <is>
          <t>N</t>
        </is>
      </c>
      <c r="L14" t="n">
        <v>40702</v>
      </c>
      <c r="M14" t="n">
        <v>9.43</v>
      </c>
    </row>
    <row r="15">
      <c r="A15" t="inlineStr">
        <is>
          <t>VPKL10</t>
        </is>
      </c>
      <c r="B15" t="inlineStr">
        <is>
          <t>2681559</t>
        </is>
      </c>
      <c r="C15" t="inlineStr">
        <is>
          <t>12</t>
        </is>
      </c>
      <c r="D15" t="inlineStr">
        <is>
          <t>4065</t>
        </is>
      </c>
      <c r="E15" t="inlineStr">
        <is>
          <t>SUPER B COMPLEX W/VIT C</t>
        </is>
      </c>
      <c r="F15" t="inlineStr">
        <is>
          <t>160</t>
        </is>
      </c>
      <c r="G15" t="inlineStr">
        <is>
          <t>BU001588</t>
        </is>
      </c>
      <c r="H15" t="inlineStr">
        <is>
          <t>225</t>
        </is>
      </c>
      <c r="I15" t="inlineStr">
        <is>
          <t>CAP 45MM CT YELL 116 V</t>
        </is>
      </c>
      <c r="J15" t="inlineStr">
        <is>
          <t>N</t>
        </is>
      </c>
      <c r="L15" t="n">
        <v>38193</v>
      </c>
      <c r="M15" t="n">
        <v>0</v>
      </c>
    </row>
    <row r="16">
      <c r="A16" t="inlineStr">
        <is>
          <t>VPKL12</t>
        </is>
      </c>
      <c r="B16" t="inlineStr">
        <is>
          <t>2682211</t>
        </is>
      </c>
      <c r="C16" t="inlineStr">
        <is>
          <t>8</t>
        </is>
      </c>
      <c r="D16" t="inlineStr">
        <is>
          <t>2509</t>
        </is>
      </c>
      <c r="E16" t="inlineStr">
        <is>
          <t>VIT C 500MG S/G</t>
        </is>
      </c>
      <c r="F16" t="inlineStr">
        <is>
          <t>60</t>
        </is>
      </c>
      <c r="G16" t="inlineStr">
        <is>
          <t>A101AI</t>
        </is>
      </c>
      <c r="H16" t="inlineStr">
        <is>
          <t>225</t>
        </is>
      </c>
      <c r="I16" t="inlineStr">
        <is>
          <t>CAP 45MM CT YELL 116 V</t>
        </is>
      </c>
      <c r="J16" t="inlineStr">
        <is>
          <t>N</t>
        </is>
      </c>
      <c r="L16" t="n">
        <v>53770</v>
      </c>
      <c r="M16" t="n">
        <v>7.14</v>
      </c>
    </row>
    <row r="17">
      <c r="A17" t="inlineStr">
        <is>
          <t>VPKL12</t>
        </is>
      </c>
      <c r="B17" t="inlineStr">
        <is>
          <t>2681653</t>
        </is>
      </c>
      <c r="C17" t="inlineStr">
        <is>
          <t>9</t>
        </is>
      </c>
      <c r="D17" t="inlineStr">
        <is>
          <t>HL000589</t>
        </is>
      </c>
      <c r="E17" t="inlineStr">
        <is>
          <t>MG GLYCINATE 300MG 2PC AMZN</t>
        </is>
      </c>
      <c r="F17" t="inlineStr">
        <is>
          <t>90</t>
        </is>
      </c>
      <c r="G17" t="inlineStr">
        <is>
          <t>BU001333</t>
        </is>
      </c>
      <c r="H17" t="inlineStr">
        <is>
          <t>225</t>
        </is>
      </c>
      <c r="I17" t="inlineStr">
        <is>
          <t>CAP 45MM CT YELL 116 V</t>
        </is>
      </c>
      <c r="J17" t="inlineStr">
        <is>
          <t>N</t>
        </is>
      </c>
      <c r="L17" t="n">
        <v>23099</v>
      </c>
      <c r="M17" t="n">
        <v>0</v>
      </c>
    </row>
  </sheetData>
  <pageMargins left="0.4" right="0.4" top="1" bottom="1" header="0.5" footer="0.5"/>
  <pageSetup orientation="landscape" paperSize="1" fitToHeight="0" fitToWidth="1"/>
</worksheet>
</file>

<file path=xl/worksheets/sheet3.xml><?xml version="1.0" encoding="utf-8"?>
<worksheet xmlns="http://schemas.openxmlformats.org/spreadsheetml/2006/main">
  <sheetPr>
    <tabColor rgb="0070AD47"/>
    <outlinePr summaryBelow="1" summaryRight="1"/>
    <pageSetUpPr fitToPage="1"/>
  </sheetPr>
  <dimension ref="A1:L91"/>
  <sheetViews>
    <sheetView showGridLines="0" tabSelected="0" workbookViewId="0">
      <selection activeCell="A1" sqref="A1"/>
    </sheetView>
  </sheetViews>
  <sheetFormatPr baseColWidth="8" defaultRowHeight="15"/>
  <cols>
    <col width="2" customWidth="1" min="1" max="1"/>
    <col width="30" customWidth="1" min="2" max="2"/>
    <col width="16" customWidth="1" min="3" max="3"/>
    <col width="30" customWidth="1" min="4" max="4"/>
    <col width="30" customWidth="1" min="5" max="5"/>
    <col width="22" customWidth="1" min="6" max="6"/>
    <col width="14" customWidth="1" min="7" max="7"/>
    <col width="52" customWidth="1" min="8" max="8"/>
    <col width="2" customWidth="1" min="9" max="9"/>
    <col hidden="1" width="13" customWidth="1" min="10" max="10"/>
    <col hidden="1" width="13" customWidth="1" min="11" max="11"/>
    <col hidden="1" width="13" customWidth="1" min="12" max="12"/>
  </cols>
  <sheetData>
    <row r="1">
      <c r="B1" s="27" t="inlineStr">
        <is>
          <t>2. Check Columns</t>
        </is>
      </c>
      <c r="L1" t="inlineStr">
        <is>
          <t>Override choices</t>
        </is>
      </c>
    </row>
    <row r="2">
      <c r="B2" s="28" t="inlineStr">
        <is>
          <t>Check this page every time you paste a new schedule. Only the yellow cells can be changed - everything else is filled in automatically.</t>
        </is>
      </c>
      <c r="L2" t="inlineStr">
        <is>
          <t>-</t>
        </is>
      </c>
    </row>
    <row r="3">
      <c r="L3" t="inlineStr">
        <is>
          <t>A</t>
        </is>
      </c>
    </row>
    <row r="4">
      <c r="B4" s="26" t="inlineStr">
        <is>
          <t>Header row found automatically:</t>
        </is>
      </c>
      <c r="E4" s="29">
        <f>Calc!$B$5</f>
        <v/>
      </c>
      <c r="L4" t="inlineStr">
        <is>
          <t>B</t>
        </is>
      </c>
    </row>
    <row r="5">
      <c r="B5" s="26" t="inlineStr">
        <is>
          <t>Header row override (type a row number, or leave empty):</t>
        </is>
      </c>
      <c r="E5" s="30" t="n"/>
      <c r="F5" s="31">
        <f>IF(TRIM(E5&amp;"")="","",IF(Calc!$B$7=0,"Not a row number from 1 to 999 - ignored",IF(Calc!$B$6&lt;&gt;Calc!$B$5,"Override in use - automatic would be row "&amp;Calc!$B$5&amp;". Clear it if today's file is different.","Same as automatic - you can clear it.")))</f>
        <v/>
      </c>
      <c r="L5" t="inlineStr">
        <is>
          <t>C</t>
        </is>
      </c>
    </row>
    <row r="6">
      <c r="B6" s="26" t="inlineStr">
        <is>
          <t>Header row used:</t>
        </is>
      </c>
      <c r="E6" s="32">
        <f>IF(Calc!$B$7=1,Calc!$B$6,Calc!$B$5)</f>
        <v/>
      </c>
      <c r="L6" t="inlineStr">
        <is>
          <t>D</t>
        </is>
      </c>
    </row>
    <row r="7">
      <c r="L7" t="inlineStr">
        <is>
          <t>E</t>
        </is>
      </c>
    </row>
    <row r="8" ht="66" customHeight="1">
      <c r="B8" s="33">
        <f>Calc!$B$32</f>
        <v/>
      </c>
      <c r="J8">
        <f>Calc!$B$33</f>
        <v/>
      </c>
      <c r="L8" t="inlineStr">
        <is>
          <t>F</t>
        </is>
      </c>
    </row>
    <row r="9">
      <c r="B9" s="26" t="inlineStr">
        <is>
          <t>Work orders found:</t>
        </is>
      </c>
      <c r="E9" s="34">
        <f>Calc!$B$10</f>
        <v/>
      </c>
      <c r="F9" s="35" t="inlineStr">
        <is>
          <t>First work order:</t>
        </is>
      </c>
      <c r="G9" s="36">
        <f>Calc!$B$38</f>
        <v/>
      </c>
      <c r="L9" t="inlineStr">
        <is>
          <t>G</t>
        </is>
      </c>
    </row>
    <row r="10">
      <c r="B10" s="26" t="inlineStr">
        <is>
          <t>Lines found:</t>
        </is>
      </c>
      <c r="E10" s="34">
        <f>Calc!$B$11</f>
        <v/>
      </c>
      <c r="F10" s="35" t="inlineStr">
        <is>
          <t>Last work order:</t>
        </is>
      </c>
      <c r="G10" s="36">
        <f>Calc!$B$39</f>
        <v/>
      </c>
      <c r="L10" t="inlineStr">
        <is>
          <t>H</t>
        </is>
      </c>
    </row>
    <row r="11">
      <c r="L11" t="inlineStr">
        <is>
          <t>I</t>
        </is>
      </c>
    </row>
    <row r="12" ht="44" customHeight="1">
      <c r="B12" s="37" t="inlineStr">
        <is>
          <t>Field (bold = needed)</t>
        </is>
      </c>
      <c r="C12" s="37" t="inlineStr">
        <is>
          <t>Found automatically</t>
        </is>
      </c>
      <c r="D12" s="37" t="inlineStr">
        <is>
          <t>Header text (column used)</t>
        </is>
      </c>
      <c r="E12" s="37" t="inlineStr">
        <is>
          <t>Example (first work order)</t>
        </is>
      </c>
      <c r="F12" s="37" t="inlineStr">
        <is>
          <t>Override: a column letter like C, or - to leave the field out</t>
        </is>
      </c>
      <c r="G12" s="37" t="inlineStr">
        <is>
          <t>Column used</t>
        </is>
      </c>
      <c r="H12" s="37" t="inlineStr">
        <is>
          <t>Note</t>
        </is>
      </c>
      <c r="L12" t="inlineStr">
        <is>
          <t>J</t>
        </is>
      </c>
    </row>
    <row r="13">
      <c r="B13" s="38" t="inlineStr">
        <is>
          <t>Line</t>
        </is>
      </c>
      <c r="C13" s="39">
        <f>Calc!$M$5</f>
        <v/>
      </c>
      <c r="D13" s="40">
        <f>Calc!$O$5</f>
        <v/>
      </c>
      <c r="E13" s="41">
        <f>Calc!$P$5</f>
        <v/>
      </c>
      <c r="F13" s="30" t="n"/>
      <c r="G13" s="42">
        <f>Calc!$N$5</f>
        <v/>
      </c>
      <c r="H13" s="43">
        <f>Calc!$Q$5</f>
        <v/>
      </c>
      <c r="J13">
        <f>IF(Calc!$L$5=0,1,0)</f>
        <v/>
      </c>
      <c r="L13" t="inlineStr">
        <is>
          <t>K</t>
        </is>
      </c>
    </row>
    <row r="14">
      <c r="B14" s="38" t="inlineStr">
        <is>
          <t>WO #</t>
        </is>
      </c>
      <c r="C14" s="39">
        <f>Calc!$M$6</f>
        <v/>
      </c>
      <c r="D14" s="40">
        <f>Calc!$O$6</f>
        <v/>
      </c>
      <c r="E14" s="41">
        <f>Calc!$P$6</f>
        <v/>
      </c>
      <c r="F14" s="30" t="n"/>
      <c r="G14" s="42">
        <f>Calc!$N$6</f>
        <v/>
      </c>
      <c r="H14" s="43">
        <f>Calc!$Q$6</f>
        <v/>
      </c>
      <c r="J14">
        <f>IF(Calc!$L$6=0,1,0)</f>
        <v/>
      </c>
      <c r="L14" t="inlineStr">
        <is>
          <t>L</t>
        </is>
      </c>
    </row>
    <row r="15">
      <c r="B15" s="40" t="inlineStr">
        <is>
          <t>Seq</t>
        </is>
      </c>
      <c r="C15" s="39">
        <f>Calc!$M$7</f>
        <v/>
      </c>
      <c r="D15" s="40">
        <f>Calc!$O$7</f>
        <v/>
      </c>
      <c r="E15" s="41">
        <f>Calc!$P$7</f>
        <v/>
      </c>
      <c r="F15" s="30" t="n"/>
      <c r="G15" s="42">
        <f>Calc!$N$7</f>
        <v/>
      </c>
      <c r="H15" s="43">
        <f>Calc!$Q$7</f>
        <v/>
      </c>
      <c r="J15">
        <f>IF(Calc!$L$7=0,1,0)</f>
        <v/>
      </c>
      <c r="L15" t="inlineStr">
        <is>
          <t>M</t>
        </is>
      </c>
    </row>
    <row r="16">
      <c r="B16" s="40" t="inlineStr">
        <is>
          <t>Item</t>
        </is>
      </c>
      <c r="C16" s="39">
        <f>Calc!$M$8</f>
        <v/>
      </c>
      <c r="D16" s="40">
        <f>Calc!$O$8</f>
        <v/>
      </c>
      <c r="E16" s="41">
        <f>Calc!$P$8</f>
        <v/>
      </c>
      <c r="F16" s="30" t="n"/>
      <c r="G16" s="42">
        <f>Calc!$N$8</f>
        <v/>
      </c>
      <c r="H16" s="43">
        <f>Calc!$Q$8</f>
        <v/>
      </c>
      <c r="J16">
        <f>IF(Calc!$L$8=0,1,0)</f>
        <v/>
      </c>
      <c r="L16" t="inlineStr">
        <is>
          <t>N</t>
        </is>
      </c>
    </row>
    <row r="17">
      <c r="B17" s="40" t="inlineStr">
        <is>
          <t>Product Description</t>
        </is>
      </c>
      <c r="C17" s="39">
        <f>Calc!$M$9</f>
        <v/>
      </c>
      <c r="D17" s="40">
        <f>Calc!$O$9</f>
        <v/>
      </c>
      <c r="E17" s="41">
        <f>Calc!$P$9</f>
        <v/>
      </c>
      <c r="F17" s="30" t="n"/>
      <c r="G17" s="42">
        <f>Calc!$N$9</f>
        <v/>
      </c>
      <c r="H17" s="43">
        <f>Calc!$Q$9</f>
        <v/>
      </c>
      <c r="J17">
        <f>IF(Calc!$L$9=0,1,0)</f>
        <v/>
      </c>
      <c r="L17" t="inlineStr">
        <is>
          <t>O</t>
        </is>
      </c>
    </row>
    <row r="18">
      <c r="B18" s="40" t="inlineStr">
        <is>
          <t>Count</t>
        </is>
      </c>
      <c r="C18" s="39">
        <f>Calc!$M$10</f>
        <v/>
      </c>
      <c r="D18" s="40">
        <f>Calc!$O$10</f>
        <v/>
      </c>
      <c r="E18" s="41">
        <f>Calc!$P$10</f>
        <v/>
      </c>
      <c r="F18" s="30" t="n"/>
      <c r="G18" s="42">
        <f>Calc!$N$10</f>
        <v/>
      </c>
      <c r="H18" s="43">
        <f>Calc!$Q$10</f>
        <v/>
      </c>
      <c r="J18">
        <f>IF(Calc!$L$10=0,1,0)</f>
        <v/>
      </c>
      <c r="L18" t="inlineStr">
        <is>
          <t>P</t>
        </is>
      </c>
    </row>
    <row r="19">
      <c r="B19" s="40" t="inlineStr">
        <is>
          <t>Bulk Item</t>
        </is>
      </c>
      <c r="C19" s="39">
        <f>Calc!$M$11</f>
        <v/>
      </c>
      <c r="D19" s="40">
        <f>Calc!$O$11</f>
        <v/>
      </c>
      <c r="E19" s="41">
        <f>Calc!$P$11</f>
        <v/>
      </c>
      <c r="F19" s="30" t="n"/>
      <c r="G19" s="42">
        <f>Calc!$N$11</f>
        <v/>
      </c>
      <c r="H19" s="43">
        <f>Calc!$Q$11</f>
        <v/>
      </c>
      <c r="J19">
        <f>IF(Calc!$L$11=0,1,0)</f>
        <v/>
      </c>
      <c r="L19" t="inlineStr">
        <is>
          <t>Q</t>
        </is>
      </c>
    </row>
    <row r="20">
      <c r="B20" s="40" t="inlineStr">
        <is>
          <t>Bottle Size</t>
        </is>
      </c>
      <c r="C20" s="39">
        <f>Calc!$M$12</f>
        <v/>
      </c>
      <c r="D20" s="40">
        <f>Calc!$O$12</f>
        <v/>
      </c>
      <c r="E20" s="41">
        <f>Calc!$P$12</f>
        <v/>
      </c>
      <c r="F20" s="30" t="n"/>
      <c r="G20" s="42">
        <f>Calc!$N$12</f>
        <v/>
      </c>
      <c r="H20" s="43">
        <f>Calc!$Q$12</f>
        <v/>
      </c>
      <c r="J20">
        <f>IF(Calc!$L$12=0,1,0)</f>
        <v/>
      </c>
      <c r="L20" t="inlineStr">
        <is>
          <t>R</t>
        </is>
      </c>
    </row>
    <row r="21">
      <c r="B21" s="40" t="inlineStr">
        <is>
          <t>Cap Description</t>
        </is>
      </c>
      <c r="C21" s="39">
        <f>Calc!$M$13</f>
        <v/>
      </c>
      <c r="D21" s="40">
        <f>Calc!$O$13</f>
        <v/>
      </c>
      <c r="E21" s="41">
        <f>Calc!$P$13</f>
        <v/>
      </c>
      <c r="F21" s="30" t="n"/>
      <c r="G21" s="42">
        <f>Calc!$N$13</f>
        <v/>
      </c>
      <c r="H21" s="43">
        <f>Calc!$Q$13</f>
        <v/>
      </c>
      <c r="J21">
        <f>IF(Calc!$L$13=0,1,0)</f>
        <v/>
      </c>
      <c r="L21" t="inlineStr">
        <is>
          <t>S</t>
        </is>
      </c>
    </row>
    <row r="22">
      <c r="B22" s="40" t="inlineStr">
        <is>
          <t>Allergen</t>
        </is>
      </c>
      <c r="C22" s="39">
        <f>Calc!$M$14</f>
        <v/>
      </c>
      <c r="D22" s="40">
        <f>Calc!$O$14</f>
        <v/>
      </c>
      <c r="E22" s="41">
        <f>Calc!$P$14</f>
        <v/>
      </c>
      <c r="F22" s="30" t="n"/>
      <c r="G22" s="42">
        <f>Calc!$N$14</f>
        <v/>
      </c>
      <c r="H22" s="43">
        <f>Calc!$Q$14</f>
        <v/>
      </c>
      <c r="J22">
        <f>IF(Calc!$L$14=0,1,0)</f>
        <v/>
      </c>
      <c r="L22" t="inlineStr">
        <is>
          <t>T</t>
        </is>
      </c>
    </row>
    <row r="23">
      <c r="B23" s="40" t="inlineStr">
        <is>
          <t>Remarks</t>
        </is>
      </c>
      <c r="C23" s="39">
        <f>Calc!$M$15</f>
        <v/>
      </c>
      <c r="D23" s="40">
        <f>Calc!$O$15</f>
        <v/>
      </c>
      <c r="E23" s="41">
        <f>Calc!$P$15</f>
        <v/>
      </c>
      <c r="F23" s="30" t="n"/>
      <c r="G23" s="42">
        <f>Calc!$N$15</f>
        <v/>
      </c>
      <c r="H23" s="43">
        <f>Calc!$Q$15</f>
        <v/>
      </c>
      <c r="J23">
        <f>IF(Calc!$L$15=0,1,0)</f>
        <v/>
      </c>
      <c r="L23" t="inlineStr">
        <is>
          <t>U</t>
        </is>
      </c>
    </row>
    <row r="24">
      <c r="B24" s="40" t="inlineStr">
        <is>
          <t>WO Qty</t>
        </is>
      </c>
      <c r="C24" s="39">
        <f>Calc!$M$16</f>
        <v/>
      </c>
      <c r="D24" s="40">
        <f>Calc!$O$16</f>
        <v/>
      </c>
      <c r="E24" s="41">
        <f>Calc!$P$16</f>
        <v/>
      </c>
      <c r="F24" s="30" t="n"/>
      <c r="G24" s="42">
        <f>Calc!$N$16</f>
        <v/>
      </c>
      <c r="H24" s="43">
        <f>Calc!$Q$16</f>
        <v/>
      </c>
      <c r="J24">
        <f>IF(Calc!$L$16=0,1,0)</f>
        <v/>
      </c>
      <c r="L24" t="inlineStr">
        <is>
          <t>V</t>
        </is>
      </c>
    </row>
    <row r="25">
      <c r="B25" s="40" t="inlineStr">
        <is>
          <t>% Complete</t>
        </is>
      </c>
      <c r="C25" s="39">
        <f>Calc!$M$17</f>
        <v/>
      </c>
      <c r="D25" s="40">
        <f>Calc!$O$17</f>
        <v/>
      </c>
      <c r="E25" s="41">
        <f>Calc!$P$17</f>
        <v/>
      </c>
      <c r="F25" s="30" t="n"/>
      <c r="G25" s="42">
        <f>Calc!$N$17</f>
        <v/>
      </c>
      <c r="H25" s="43">
        <f>Calc!$Q$17</f>
        <v/>
      </c>
      <c r="J25">
        <f>IF(Calc!$L$17=0,1,0)</f>
        <v/>
      </c>
      <c r="L25" t="inlineStr">
        <is>
          <t>W</t>
        </is>
      </c>
    </row>
    <row r="26">
      <c r="B26" s="40" t="inlineStr">
        <is>
          <t>Line Status</t>
        </is>
      </c>
      <c r="C26" s="39">
        <f>Calc!$M$18</f>
        <v/>
      </c>
      <c r="D26" s="40">
        <f>Calc!$O$18</f>
        <v/>
      </c>
      <c r="E26" s="41">
        <f>Calc!$P$18</f>
        <v/>
      </c>
      <c r="F26" s="30" t="n"/>
      <c r="G26" s="42">
        <f>Calc!$N$18</f>
        <v/>
      </c>
      <c r="H26" s="43">
        <f>Calc!$Q$18</f>
        <v/>
      </c>
      <c r="J26">
        <f>IF(Calc!$L$18=0,1,0)</f>
        <v/>
      </c>
      <c r="L26" t="inlineStr">
        <is>
          <t>X</t>
        </is>
      </c>
    </row>
    <row r="27">
      <c r="B27" s="40" t="inlineStr">
        <is>
          <t>Desiccant</t>
        </is>
      </c>
      <c r="C27" s="39">
        <f>Calc!$M$19</f>
        <v/>
      </c>
      <c r="D27" s="40">
        <f>Calc!$O$19</f>
        <v/>
      </c>
      <c r="E27" s="41">
        <f>Calc!$P$19</f>
        <v/>
      </c>
      <c r="F27" s="30" t="n"/>
      <c r="G27" s="42">
        <f>Calc!$N$19</f>
        <v/>
      </c>
      <c r="H27" s="43">
        <f>Calc!$Q$19</f>
        <v/>
      </c>
      <c r="J27">
        <f>IF(Calc!$L$19=0,1,0)</f>
        <v/>
      </c>
      <c r="L27" t="inlineStr">
        <is>
          <t>Y</t>
        </is>
      </c>
    </row>
    <row r="28">
      <c r="L28" t="inlineStr">
        <is>
          <t>Z</t>
        </is>
      </c>
    </row>
    <row r="29">
      <c r="L29" t="inlineStr">
        <is>
          <t>AA</t>
        </is>
      </c>
    </row>
    <row r="30">
      <c r="B30" s="44">
        <f>"Your file's columns (header row "&amp;HEADER_ROW&amp;") - use this list to find the right letter for an Override."</f>
        <v/>
      </c>
      <c r="L30" t="inlineStr">
        <is>
          <t>AB</t>
        </is>
      </c>
    </row>
    <row r="31">
      <c r="B31" s="45" t="inlineStr">
        <is>
          <t>Column</t>
        </is>
      </c>
      <c r="C31" s="45" t="inlineStr">
        <is>
          <t>Header text</t>
        </is>
      </c>
      <c r="D31" s="45" t="inlineStr">
        <is>
          <t>Example (first work order)</t>
        </is>
      </c>
      <c r="E31" s="45" t="inlineStr">
        <is>
          <t>Goes into</t>
        </is>
      </c>
      <c r="L31" t="inlineStr">
        <is>
          <t>AC</t>
        </is>
      </c>
    </row>
    <row r="32">
      <c r="B32" s="42" t="inlineStr">
        <is>
          <t>A</t>
        </is>
      </c>
      <c r="C32" s="40">
        <f>IFERROR(TRIM(SUBSTITUTE(SUBSTITUTE(SUBSTITUTE(SUBSTITUTE(INDEX(PASTE_ALL,HEADER_ROW,1)&amp;""," "," "),CHAR(9)," "),CHAR(10)," "),CHAR(13)," ")),"")</f>
        <v/>
      </c>
      <c r="D32" s="41">
        <f>IF(Calc!$B$16=0,"",IFERROR(IF(ISNUMBER(INDEX(PASTE_ALL,Calc!$B$16,1)),INDEX(PASTE_ALL,Calc!$B$16,1),TRIM(SUBSTITUTE(SUBSTITUTE(SUBSTITUTE(SUBSTITUTE(INDEX(PASTE_ALL,Calc!$B$16,1)&amp;""," "," "),CHAR(9)," "),CHAR(10)," "),CHAR(13)," "))),""))</f>
        <v/>
      </c>
      <c r="E32" s="38">
        <f>IF(Calc!$Y$239=0,"",INDEX(Calc!$F$5:$F$19,Calc!$Y$239))</f>
        <v/>
      </c>
      <c r="L32" t="inlineStr">
        <is>
          <t>AD</t>
        </is>
      </c>
    </row>
    <row r="33">
      <c r="B33" s="42" t="inlineStr">
        <is>
          <t>B</t>
        </is>
      </c>
      <c r="C33" s="40">
        <f>IFERROR(TRIM(SUBSTITUTE(SUBSTITUTE(SUBSTITUTE(SUBSTITUTE(INDEX(PASTE_ALL,HEADER_ROW,2)&amp;""," "," "),CHAR(9)," "),CHAR(10)," "),CHAR(13)," ")),"")</f>
        <v/>
      </c>
      <c r="D33" s="41">
        <f>IF(Calc!$B$16=0,"",IFERROR(IF(ISNUMBER(INDEX(PASTE_ALL,Calc!$B$16,2)),INDEX(PASTE_ALL,Calc!$B$16,2),TRIM(SUBSTITUTE(SUBSTITUTE(SUBSTITUTE(SUBSTITUTE(INDEX(PASTE_ALL,Calc!$B$16,2)&amp;""," "," "),CHAR(9)," "),CHAR(10)," "),CHAR(13)," "))),""))</f>
        <v/>
      </c>
      <c r="E33" s="38">
        <f>IF(Calc!$Z$239=0,"",INDEX(Calc!$F$5:$F$19,Calc!$Z$239))</f>
        <v/>
      </c>
      <c r="L33" t="inlineStr">
        <is>
          <t>AE</t>
        </is>
      </c>
    </row>
    <row r="34">
      <c r="B34" s="42" t="inlineStr">
        <is>
          <t>C</t>
        </is>
      </c>
      <c r="C34" s="40">
        <f>IFERROR(TRIM(SUBSTITUTE(SUBSTITUTE(SUBSTITUTE(SUBSTITUTE(INDEX(PASTE_ALL,HEADER_ROW,3)&amp;""," "," "),CHAR(9)," "),CHAR(10)," "),CHAR(13)," ")),"")</f>
        <v/>
      </c>
      <c r="D34" s="41">
        <f>IF(Calc!$B$16=0,"",IFERROR(IF(ISNUMBER(INDEX(PASTE_ALL,Calc!$B$16,3)),INDEX(PASTE_ALL,Calc!$B$16,3),TRIM(SUBSTITUTE(SUBSTITUTE(SUBSTITUTE(SUBSTITUTE(INDEX(PASTE_ALL,Calc!$B$16,3)&amp;""," "," "),CHAR(9)," "),CHAR(10)," "),CHAR(13)," "))),""))</f>
        <v/>
      </c>
      <c r="E34" s="38">
        <f>IF(Calc!$AA$239=0,"",INDEX(Calc!$F$5:$F$19,Calc!$AA$239))</f>
        <v/>
      </c>
      <c r="L34" t="inlineStr">
        <is>
          <t>AF</t>
        </is>
      </c>
    </row>
    <row r="35">
      <c r="B35" s="42" t="inlineStr">
        <is>
          <t>D</t>
        </is>
      </c>
      <c r="C35" s="40">
        <f>IFERROR(TRIM(SUBSTITUTE(SUBSTITUTE(SUBSTITUTE(SUBSTITUTE(INDEX(PASTE_ALL,HEADER_ROW,4)&amp;""," "," "),CHAR(9)," "),CHAR(10)," "),CHAR(13)," ")),"")</f>
        <v/>
      </c>
      <c r="D35" s="41">
        <f>IF(Calc!$B$16=0,"",IFERROR(IF(ISNUMBER(INDEX(PASTE_ALL,Calc!$B$16,4)),INDEX(PASTE_ALL,Calc!$B$16,4),TRIM(SUBSTITUTE(SUBSTITUTE(SUBSTITUTE(SUBSTITUTE(INDEX(PASTE_ALL,Calc!$B$16,4)&amp;""," "," "),CHAR(9)," "),CHAR(10)," "),CHAR(13)," "))),""))</f>
        <v/>
      </c>
      <c r="E35" s="38">
        <f>IF(Calc!$AB$239=0,"",INDEX(Calc!$F$5:$F$19,Calc!$AB$239))</f>
        <v/>
      </c>
      <c r="L35" t="inlineStr">
        <is>
          <t>AG</t>
        </is>
      </c>
    </row>
    <row r="36">
      <c r="B36" s="42" t="inlineStr">
        <is>
          <t>E</t>
        </is>
      </c>
      <c r="C36" s="40">
        <f>IFERROR(TRIM(SUBSTITUTE(SUBSTITUTE(SUBSTITUTE(SUBSTITUTE(INDEX(PASTE_ALL,HEADER_ROW,5)&amp;""," "," "),CHAR(9)," "),CHAR(10)," "),CHAR(13)," ")),"")</f>
        <v/>
      </c>
      <c r="D36" s="41">
        <f>IF(Calc!$B$16=0,"",IFERROR(IF(ISNUMBER(INDEX(PASTE_ALL,Calc!$B$16,5)),INDEX(PASTE_ALL,Calc!$B$16,5),TRIM(SUBSTITUTE(SUBSTITUTE(SUBSTITUTE(SUBSTITUTE(INDEX(PASTE_ALL,Calc!$B$16,5)&amp;""," "," "),CHAR(9)," "),CHAR(10)," "),CHAR(13)," "))),""))</f>
        <v/>
      </c>
      <c r="E36" s="38">
        <f>IF(Calc!$AC$239=0,"",INDEX(Calc!$F$5:$F$19,Calc!$AC$239))</f>
        <v/>
      </c>
      <c r="L36" t="inlineStr">
        <is>
          <t>AH</t>
        </is>
      </c>
    </row>
    <row r="37">
      <c r="B37" s="42" t="inlineStr">
        <is>
          <t>F</t>
        </is>
      </c>
      <c r="C37" s="40">
        <f>IFERROR(TRIM(SUBSTITUTE(SUBSTITUTE(SUBSTITUTE(SUBSTITUTE(INDEX(PASTE_ALL,HEADER_ROW,6)&amp;""," "," "),CHAR(9)," "),CHAR(10)," "),CHAR(13)," ")),"")</f>
        <v/>
      </c>
      <c r="D37" s="41">
        <f>IF(Calc!$B$16=0,"",IFERROR(IF(ISNUMBER(INDEX(PASTE_ALL,Calc!$B$16,6)),INDEX(PASTE_ALL,Calc!$B$16,6),TRIM(SUBSTITUTE(SUBSTITUTE(SUBSTITUTE(SUBSTITUTE(INDEX(PASTE_ALL,Calc!$B$16,6)&amp;""," "," "),CHAR(9)," "),CHAR(10)," "),CHAR(13)," "))),""))</f>
        <v/>
      </c>
      <c r="E37" s="38">
        <f>IF(Calc!$AD$239=0,"",INDEX(Calc!$F$5:$F$19,Calc!$AD$239))</f>
        <v/>
      </c>
      <c r="L37" t="inlineStr">
        <is>
          <t>AI</t>
        </is>
      </c>
    </row>
    <row r="38">
      <c r="B38" s="42" t="inlineStr">
        <is>
          <t>G</t>
        </is>
      </c>
      <c r="C38" s="40">
        <f>IFERROR(TRIM(SUBSTITUTE(SUBSTITUTE(SUBSTITUTE(SUBSTITUTE(INDEX(PASTE_ALL,HEADER_ROW,7)&amp;""," "," "),CHAR(9)," "),CHAR(10)," "),CHAR(13)," ")),"")</f>
        <v/>
      </c>
      <c r="D38" s="41">
        <f>IF(Calc!$B$16=0,"",IFERROR(IF(ISNUMBER(INDEX(PASTE_ALL,Calc!$B$16,7)),INDEX(PASTE_ALL,Calc!$B$16,7),TRIM(SUBSTITUTE(SUBSTITUTE(SUBSTITUTE(SUBSTITUTE(INDEX(PASTE_ALL,Calc!$B$16,7)&amp;""," "," "),CHAR(9)," "),CHAR(10)," "),CHAR(13)," "))),""))</f>
        <v/>
      </c>
      <c r="E38" s="38">
        <f>IF(Calc!$AE$239=0,"",INDEX(Calc!$F$5:$F$19,Calc!$AE$239))</f>
        <v/>
      </c>
      <c r="L38" t="inlineStr">
        <is>
          <t>AJ</t>
        </is>
      </c>
    </row>
    <row r="39">
      <c r="B39" s="42" t="inlineStr">
        <is>
          <t>H</t>
        </is>
      </c>
      <c r="C39" s="40">
        <f>IFERROR(TRIM(SUBSTITUTE(SUBSTITUTE(SUBSTITUTE(SUBSTITUTE(INDEX(PASTE_ALL,HEADER_ROW,8)&amp;""," "," "),CHAR(9)," "),CHAR(10)," "),CHAR(13)," ")),"")</f>
        <v/>
      </c>
      <c r="D39" s="41">
        <f>IF(Calc!$B$16=0,"",IFERROR(IF(ISNUMBER(INDEX(PASTE_ALL,Calc!$B$16,8)),INDEX(PASTE_ALL,Calc!$B$16,8),TRIM(SUBSTITUTE(SUBSTITUTE(SUBSTITUTE(SUBSTITUTE(INDEX(PASTE_ALL,Calc!$B$16,8)&amp;""," "," "),CHAR(9)," "),CHAR(10)," "),CHAR(13)," "))),""))</f>
        <v/>
      </c>
      <c r="E39" s="38">
        <f>IF(Calc!$AF$239=0,"",INDEX(Calc!$F$5:$F$19,Calc!$AF$239))</f>
        <v/>
      </c>
      <c r="L39" t="inlineStr">
        <is>
          <t>AK</t>
        </is>
      </c>
    </row>
    <row r="40">
      <c r="B40" s="42" t="inlineStr">
        <is>
          <t>I</t>
        </is>
      </c>
      <c r="C40" s="40">
        <f>IFERROR(TRIM(SUBSTITUTE(SUBSTITUTE(SUBSTITUTE(SUBSTITUTE(INDEX(PASTE_ALL,HEADER_ROW,9)&amp;""," "," "),CHAR(9)," "),CHAR(10)," "),CHAR(13)," ")),"")</f>
        <v/>
      </c>
      <c r="D40" s="41">
        <f>IF(Calc!$B$16=0,"",IFERROR(IF(ISNUMBER(INDEX(PASTE_ALL,Calc!$B$16,9)),INDEX(PASTE_ALL,Calc!$B$16,9),TRIM(SUBSTITUTE(SUBSTITUTE(SUBSTITUTE(SUBSTITUTE(INDEX(PASTE_ALL,Calc!$B$16,9)&amp;""," "," "),CHAR(9)," "),CHAR(10)," "),CHAR(13)," "))),""))</f>
        <v/>
      </c>
      <c r="E40" s="38">
        <f>IF(Calc!$AG$239=0,"",INDEX(Calc!$F$5:$F$19,Calc!$AG$239))</f>
        <v/>
      </c>
      <c r="L40" t="inlineStr">
        <is>
          <t>AL</t>
        </is>
      </c>
    </row>
    <row r="41">
      <c r="B41" s="42" t="inlineStr">
        <is>
          <t>J</t>
        </is>
      </c>
      <c r="C41" s="40">
        <f>IFERROR(TRIM(SUBSTITUTE(SUBSTITUTE(SUBSTITUTE(SUBSTITUTE(INDEX(PASTE_ALL,HEADER_ROW,10)&amp;""," "," "),CHAR(9)," "),CHAR(10)," "),CHAR(13)," ")),"")</f>
        <v/>
      </c>
      <c r="D41" s="41">
        <f>IF(Calc!$B$16=0,"",IFERROR(IF(ISNUMBER(INDEX(PASTE_ALL,Calc!$B$16,10)),INDEX(PASTE_ALL,Calc!$B$16,10),TRIM(SUBSTITUTE(SUBSTITUTE(SUBSTITUTE(SUBSTITUTE(INDEX(PASTE_ALL,Calc!$B$16,10)&amp;""," "," "),CHAR(9)," "),CHAR(10)," "),CHAR(13)," "))),""))</f>
        <v/>
      </c>
      <c r="E41" s="38">
        <f>IF(Calc!$AH$239=0,"",INDEX(Calc!$F$5:$F$19,Calc!$AH$239))</f>
        <v/>
      </c>
      <c r="L41" t="inlineStr">
        <is>
          <t>AM</t>
        </is>
      </c>
    </row>
    <row r="42">
      <c r="B42" s="42" t="inlineStr">
        <is>
          <t>K</t>
        </is>
      </c>
      <c r="C42" s="40">
        <f>IFERROR(TRIM(SUBSTITUTE(SUBSTITUTE(SUBSTITUTE(SUBSTITUTE(INDEX(PASTE_ALL,HEADER_ROW,11)&amp;""," "," "),CHAR(9)," "),CHAR(10)," "),CHAR(13)," ")),"")</f>
        <v/>
      </c>
      <c r="D42" s="41">
        <f>IF(Calc!$B$16=0,"",IFERROR(IF(ISNUMBER(INDEX(PASTE_ALL,Calc!$B$16,11)),INDEX(PASTE_ALL,Calc!$B$16,11),TRIM(SUBSTITUTE(SUBSTITUTE(SUBSTITUTE(SUBSTITUTE(INDEX(PASTE_ALL,Calc!$B$16,11)&amp;""," "," "),CHAR(9)," "),CHAR(10)," "),CHAR(13)," "))),""))</f>
        <v/>
      </c>
      <c r="E42" s="38">
        <f>IF(Calc!$AI$239=0,"",INDEX(Calc!$F$5:$F$19,Calc!$AI$239))</f>
        <v/>
      </c>
      <c r="L42" t="inlineStr">
        <is>
          <t>AN</t>
        </is>
      </c>
    </row>
    <row r="43">
      <c r="B43" s="42" t="inlineStr">
        <is>
          <t>L</t>
        </is>
      </c>
      <c r="C43" s="40">
        <f>IFERROR(TRIM(SUBSTITUTE(SUBSTITUTE(SUBSTITUTE(SUBSTITUTE(INDEX(PASTE_ALL,HEADER_ROW,12)&amp;""," "," "),CHAR(9)," "),CHAR(10)," "),CHAR(13)," ")),"")</f>
        <v/>
      </c>
      <c r="D43" s="41">
        <f>IF(Calc!$B$16=0,"",IFERROR(IF(ISNUMBER(INDEX(PASTE_ALL,Calc!$B$16,12)),INDEX(PASTE_ALL,Calc!$B$16,12),TRIM(SUBSTITUTE(SUBSTITUTE(SUBSTITUTE(SUBSTITUTE(INDEX(PASTE_ALL,Calc!$B$16,12)&amp;""," "," "),CHAR(9)," "),CHAR(10)," "),CHAR(13)," "))),""))</f>
        <v/>
      </c>
      <c r="E43" s="38">
        <f>IF(Calc!$AJ$239=0,"",INDEX(Calc!$F$5:$F$19,Calc!$AJ$239))</f>
        <v/>
      </c>
      <c r="L43" t="inlineStr">
        <is>
          <t>AO</t>
        </is>
      </c>
    </row>
    <row r="44">
      <c r="B44" s="42" t="inlineStr">
        <is>
          <t>M</t>
        </is>
      </c>
      <c r="C44" s="40">
        <f>IFERROR(TRIM(SUBSTITUTE(SUBSTITUTE(SUBSTITUTE(SUBSTITUTE(INDEX(PASTE_ALL,HEADER_ROW,13)&amp;""," "," "),CHAR(9)," "),CHAR(10)," "),CHAR(13)," ")),"")</f>
        <v/>
      </c>
      <c r="D44" s="41">
        <f>IF(Calc!$B$16=0,"",IFERROR(IF(ISNUMBER(INDEX(PASTE_ALL,Calc!$B$16,13)),INDEX(PASTE_ALL,Calc!$B$16,13),TRIM(SUBSTITUTE(SUBSTITUTE(SUBSTITUTE(SUBSTITUTE(INDEX(PASTE_ALL,Calc!$B$16,13)&amp;""," "," "),CHAR(9)," "),CHAR(10)," "),CHAR(13)," "))),""))</f>
        <v/>
      </c>
      <c r="E44" s="38">
        <f>IF(Calc!$AK$239=0,"",INDEX(Calc!$F$5:$F$19,Calc!$AK$239))</f>
        <v/>
      </c>
      <c r="L44" t="inlineStr">
        <is>
          <t>AP</t>
        </is>
      </c>
    </row>
    <row r="45">
      <c r="B45" s="42" t="inlineStr">
        <is>
          <t>N</t>
        </is>
      </c>
      <c r="C45" s="40">
        <f>IFERROR(TRIM(SUBSTITUTE(SUBSTITUTE(SUBSTITUTE(SUBSTITUTE(INDEX(PASTE_ALL,HEADER_ROW,14)&amp;""," "," "),CHAR(9)," "),CHAR(10)," "),CHAR(13)," ")),"")</f>
        <v/>
      </c>
      <c r="D45" s="41">
        <f>IF(Calc!$B$16=0,"",IFERROR(IF(ISNUMBER(INDEX(PASTE_ALL,Calc!$B$16,14)),INDEX(PASTE_ALL,Calc!$B$16,14),TRIM(SUBSTITUTE(SUBSTITUTE(SUBSTITUTE(SUBSTITUTE(INDEX(PASTE_ALL,Calc!$B$16,14)&amp;""," "," "),CHAR(9)," "),CHAR(10)," "),CHAR(13)," "))),""))</f>
        <v/>
      </c>
      <c r="E45" s="38">
        <f>IF(Calc!$AL$239=0,"",INDEX(Calc!$F$5:$F$19,Calc!$AL$239))</f>
        <v/>
      </c>
      <c r="L45" t="inlineStr">
        <is>
          <t>AQ</t>
        </is>
      </c>
    </row>
    <row r="46">
      <c r="B46" s="42" t="inlineStr">
        <is>
          <t>O</t>
        </is>
      </c>
      <c r="C46" s="40">
        <f>IFERROR(TRIM(SUBSTITUTE(SUBSTITUTE(SUBSTITUTE(SUBSTITUTE(INDEX(PASTE_ALL,HEADER_ROW,15)&amp;""," "," "),CHAR(9)," "),CHAR(10)," "),CHAR(13)," ")),"")</f>
        <v/>
      </c>
      <c r="D46" s="41">
        <f>IF(Calc!$B$16=0,"",IFERROR(IF(ISNUMBER(INDEX(PASTE_ALL,Calc!$B$16,15)),INDEX(PASTE_ALL,Calc!$B$16,15),TRIM(SUBSTITUTE(SUBSTITUTE(SUBSTITUTE(SUBSTITUTE(INDEX(PASTE_ALL,Calc!$B$16,15)&amp;""," "," "),CHAR(9)," "),CHAR(10)," "),CHAR(13)," "))),""))</f>
        <v/>
      </c>
      <c r="E46" s="38">
        <f>IF(Calc!$AM$239=0,"",INDEX(Calc!$F$5:$F$19,Calc!$AM$239))</f>
        <v/>
      </c>
      <c r="L46" t="inlineStr">
        <is>
          <t>AR</t>
        </is>
      </c>
    </row>
    <row r="47">
      <c r="B47" s="42" t="inlineStr">
        <is>
          <t>P</t>
        </is>
      </c>
      <c r="C47" s="40">
        <f>IFERROR(TRIM(SUBSTITUTE(SUBSTITUTE(SUBSTITUTE(SUBSTITUTE(INDEX(PASTE_ALL,HEADER_ROW,16)&amp;""," "," "),CHAR(9)," "),CHAR(10)," "),CHAR(13)," ")),"")</f>
        <v/>
      </c>
      <c r="D47" s="41">
        <f>IF(Calc!$B$16=0,"",IFERROR(IF(ISNUMBER(INDEX(PASTE_ALL,Calc!$B$16,16)),INDEX(PASTE_ALL,Calc!$B$16,16),TRIM(SUBSTITUTE(SUBSTITUTE(SUBSTITUTE(SUBSTITUTE(INDEX(PASTE_ALL,Calc!$B$16,16)&amp;""," "," "),CHAR(9)," "),CHAR(10)," "),CHAR(13)," "))),""))</f>
        <v/>
      </c>
      <c r="E47" s="38">
        <f>IF(Calc!$AN$239=0,"",INDEX(Calc!$F$5:$F$19,Calc!$AN$239))</f>
        <v/>
      </c>
      <c r="L47" t="inlineStr">
        <is>
          <t>AS</t>
        </is>
      </c>
    </row>
    <row r="48">
      <c r="B48" s="42" t="inlineStr">
        <is>
          <t>Q</t>
        </is>
      </c>
      <c r="C48" s="40">
        <f>IFERROR(TRIM(SUBSTITUTE(SUBSTITUTE(SUBSTITUTE(SUBSTITUTE(INDEX(PASTE_ALL,HEADER_ROW,17)&amp;""," "," "),CHAR(9)," "),CHAR(10)," "),CHAR(13)," ")),"")</f>
        <v/>
      </c>
      <c r="D48" s="41">
        <f>IF(Calc!$B$16=0,"",IFERROR(IF(ISNUMBER(INDEX(PASTE_ALL,Calc!$B$16,17)),INDEX(PASTE_ALL,Calc!$B$16,17),TRIM(SUBSTITUTE(SUBSTITUTE(SUBSTITUTE(SUBSTITUTE(INDEX(PASTE_ALL,Calc!$B$16,17)&amp;""," "," "),CHAR(9)," "),CHAR(10)," "),CHAR(13)," "))),""))</f>
        <v/>
      </c>
      <c r="E48" s="38">
        <f>IF(Calc!$AO$239=0,"",INDEX(Calc!$F$5:$F$19,Calc!$AO$239))</f>
        <v/>
      </c>
      <c r="L48" t="inlineStr">
        <is>
          <t>AT</t>
        </is>
      </c>
    </row>
    <row r="49">
      <c r="B49" s="42" t="inlineStr">
        <is>
          <t>R</t>
        </is>
      </c>
      <c r="C49" s="40">
        <f>IFERROR(TRIM(SUBSTITUTE(SUBSTITUTE(SUBSTITUTE(SUBSTITUTE(INDEX(PASTE_ALL,HEADER_ROW,18)&amp;""," "," "),CHAR(9)," "),CHAR(10)," "),CHAR(13)," ")),"")</f>
        <v/>
      </c>
      <c r="D49" s="41">
        <f>IF(Calc!$B$16=0,"",IFERROR(IF(ISNUMBER(INDEX(PASTE_ALL,Calc!$B$16,18)),INDEX(PASTE_ALL,Calc!$B$16,18),TRIM(SUBSTITUTE(SUBSTITUTE(SUBSTITUTE(SUBSTITUTE(INDEX(PASTE_ALL,Calc!$B$16,18)&amp;""," "," "),CHAR(9)," "),CHAR(10)," "),CHAR(13)," "))),""))</f>
        <v/>
      </c>
      <c r="E49" s="38">
        <f>IF(Calc!$AP$239=0,"",INDEX(Calc!$F$5:$F$19,Calc!$AP$239))</f>
        <v/>
      </c>
      <c r="L49" t="inlineStr">
        <is>
          <t>AU</t>
        </is>
      </c>
    </row>
    <row r="50">
      <c r="B50" s="42" t="inlineStr">
        <is>
          <t>S</t>
        </is>
      </c>
      <c r="C50" s="40">
        <f>IFERROR(TRIM(SUBSTITUTE(SUBSTITUTE(SUBSTITUTE(SUBSTITUTE(INDEX(PASTE_ALL,HEADER_ROW,19)&amp;""," "," "),CHAR(9)," "),CHAR(10)," "),CHAR(13)," ")),"")</f>
        <v/>
      </c>
      <c r="D50" s="41">
        <f>IF(Calc!$B$16=0,"",IFERROR(IF(ISNUMBER(INDEX(PASTE_ALL,Calc!$B$16,19)),INDEX(PASTE_ALL,Calc!$B$16,19),TRIM(SUBSTITUTE(SUBSTITUTE(SUBSTITUTE(SUBSTITUTE(INDEX(PASTE_ALL,Calc!$B$16,19)&amp;""," "," "),CHAR(9)," "),CHAR(10)," "),CHAR(13)," "))),""))</f>
        <v/>
      </c>
      <c r="E50" s="38">
        <f>IF(Calc!$AQ$239=0,"",INDEX(Calc!$F$5:$F$19,Calc!$AQ$239))</f>
        <v/>
      </c>
      <c r="L50" t="inlineStr">
        <is>
          <t>AV</t>
        </is>
      </c>
    </row>
    <row r="51">
      <c r="B51" s="42" t="inlineStr">
        <is>
          <t>T</t>
        </is>
      </c>
      <c r="C51" s="40">
        <f>IFERROR(TRIM(SUBSTITUTE(SUBSTITUTE(SUBSTITUTE(SUBSTITUTE(INDEX(PASTE_ALL,HEADER_ROW,20)&amp;""," "," "),CHAR(9)," "),CHAR(10)," "),CHAR(13)," ")),"")</f>
        <v/>
      </c>
      <c r="D51" s="41">
        <f>IF(Calc!$B$16=0,"",IFERROR(IF(ISNUMBER(INDEX(PASTE_ALL,Calc!$B$16,20)),INDEX(PASTE_ALL,Calc!$B$16,20),TRIM(SUBSTITUTE(SUBSTITUTE(SUBSTITUTE(SUBSTITUTE(INDEX(PASTE_ALL,Calc!$B$16,20)&amp;""," "," "),CHAR(9)," "),CHAR(10)," "),CHAR(13)," "))),""))</f>
        <v/>
      </c>
      <c r="E51" s="38">
        <f>IF(Calc!$AR$239=0,"",INDEX(Calc!$F$5:$F$19,Calc!$AR$239))</f>
        <v/>
      </c>
      <c r="L51" t="inlineStr">
        <is>
          <t>AW</t>
        </is>
      </c>
    </row>
    <row r="52">
      <c r="B52" s="42" t="inlineStr">
        <is>
          <t>U</t>
        </is>
      </c>
      <c r="C52" s="40">
        <f>IFERROR(TRIM(SUBSTITUTE(SUBSTITUTE(SUBSTITUTE(SUBSTITUTE(INDEX(PASTE_ALL,HEADER_ROW,21)&amp;""," "," "),CHAR(9)," "),CHAR(10)," "),CHAR(13)," ")),"")</f>
        <v/>
      </c>
      <c r="D52" s="41">
        <f>IF(Calc!$B$16=0,"",IFERROR(IF(ISNUMBER(INDEX(PASTE_ALL,Calc!$B$16,21)),INDEX(PASTE_ALL,Calc!$B$16,21),TRIM(SUBSTITUTE(SUBSTITUTE(SUBSTITUTE(SUBSTITUTE(INDEX(PASTE_ALL,Calc!$B$16,21)&amp;""," "," "),CHAR(9)," "),CHAR(10)," "),CHAR(13)," "))),""))</f>
        <v/>
      </c>
      <c r="E52" s="38">
        <f>IF(Calc!$AS$239=0,"",INDEX(Calc!$F$5:$F$19,Calc!$AS$239))</f>
        <v/>
      </c>
      <c r="L52" t="inlineStr">
        <is>
          <t>AX</t>
        </is>
      </c>
    </row>
    <row r="53">
      <c r="B53" s="42" t="inlineStr">
        <is>
          <t>V</t>
        </is>
      </c>
      <c r="C53" s="40">
        <f>IFERROR(TRIM(SUBSTITUTE(SUBSTITUTE(SUBSTITUTE(SUBSTITUTE(INDEX(PASTE_ALL,HEADER_ROW,22)&amp;""," "," "),CHAR(9)," "),CHAR(10)," "),CHAR(13)," ")),"")</f>
        <v/>
      </c>
      <c r="D53" s="41">
        <f>IF(Calc!$B$16=0,"",IFERROR(IF(ISNUMBER(INDEX(PASTE_ALL,Calc!$B$16,22)),INDEX(PASTE_ALL,Calc!$B$16,22),TRIM(SUBSTITUTE(SUBSTITUTE(SUBSTITUTE(SUBSTITUTE(INDEX(PASTE_ALL,Calc!$B$16,22)&amp;""," "," "),CHAR(9)," "),CHAR(10)," "),CHAR(13)," "))),""))</f>
        <v/>
      </c>
      <c r="E53" s="38">
        <f>IF(Calc!$AT$239=0,"",INDEX(Calc!$F$5:$F$19,Calc!$AT$239))</f>
        <v/>
      </c>
      <c r="L53" t="inlineStr">
        <is>
          <t>AY</t>
        </is>
      </c>
    </row>
    <row r="54">
      <c r="B54" s="42" t="inlineStr">
        <is>
          <t>W</t>
        </is>
      </c>
      <c r="C54" s="40">
        <f>IFERROR(TRIM(SUBSTITUTE(SUBSTITUTE(SUBSTITUTE(SUBSTITUTE(INDEX(PASTE_ALL,HEADER_ROW,23)&amp;""," "," "),CHAR(9)," "),CHAR(10)," "),CHAR(13)," ")),"")</f>
        <v/>
      </c>
      <c r="D54" s="41">
        <f>IF(Calc!$B$16=0,"",IFERROR(IF(ISNUMBER(INDEX(PASTE_ALL,Calc!$B$16,23)),INDEX(PASTE_ALL,Calc!$B$16,23),TRIM(SUBSTITUTE(SUBSTITUTE(SUBSTITUTE(SUBSTITUTE(INDEX(PASTE_ALL,Calc!$B$16,23)&amp;""," "," "),CHAR(9)," "),CHAR(10)," "),CHAR(13)," "))),""))</f>
        <v/>
      </c>
      <c r="E54" s="38">
        <f>IF(Calc!$AU$239=0,"",INDEX(Calc!$F$5:$F$19,Calc!$AU$239))</f>
        <v/>
      </c>
      <c r="L54" t="inlineStr">
        <is>
          <t>AZ</t>
        </is>
      </c>
    </row>
    <row r="55">
      <c r="B55" s="42" t="inlineStr">
        <is>
          <t>X</t>
        </is>
      </c>
      <c r="C55" s="40">
        <f>IFERROR(TRIM(SUBSTITUTE(SUBSTITUTE(SUBSTITUTE(SUBSTITUTE(INDEX(PASTE_ALL,HEADER_ROW,24)&amp;""," "," "),CHAR(9)," "),CHAR(10)," "),CHAR(13)," ")),"")</f>
        <v/>
      </c>
      <c r="D55" s="41">
        <f>IF(Calc!$B$16=0,"",IFERROR(IF(ISNUMBER(INDEX(PASTE_ALL,Calc!$B$16,24)),INDEX(PASTE_ALL,Calc!$B$16,24),TRIM(SUBSTITUTE(SUBSTITUTE(SUBSTITUTE(SUBSTITUTE(INDEX(PASTE_ALL,Calc!$B$16,24)&amp;""," "," "),CHAR(9)," "),CHAR(10)," "),CHAR(13)," "))),""))</f>
        <v/>
      </c>
      <c r="E55" s="38">
        <f>IF(Calc!$AV$239=0,"",INDEX(Calc!$F$5:$F$19,Calc!$AV$239))</f>
        <v/>
      </c>
      <c r="L55" t="inlineStr">
        <is>
          <t>BA</t>
        </is>
      </c>
    </row>
    <row r="56">
      <c r="B56" s="42" t="inlineStr">
        <is>
          <t>Y</t>
        </is>
      </c>
      <c r="C56" s="40">
        <f>IFERROR(TRIM(SUBSTITUTE(SUBSTITUTE(SUBSTITUTE(SUBSTITUTE(INDEX(PASTE_ALL,HEADER_ROW,25)&amp;""," "," "),CHAR(9)," "),CHAR(10)," "),CHAR(13)," ")),"")</f>
        <v/>
      </c>
      <c r="D56" s="41">
        <f>IF(Calc!$B$16=0,"",IFERROR(IF(ISNUMBER(INDEX(PASTE_ALL,Calc!$B$16,25)),INDEX(PASTE_ALL,Calc!$B$16,25),TRIM(SUBSTITUTE(SUBSTITUTE(SUBSTITUTE(SUBSTITUTE(INDEX(PASTE_ALL,Calc!$B$16,25)&amp;""," "," "),CHAR(9)," "),CHAR(10)," "),CHAR(13)," "))),""))</f>
        <v/>
      </c>
      <c r="E56" s="38">
        <f>IF(Calc!$AW$239=0,"",INDEX(Calc!$F$5:$F$19,Calc!$AW$239))</f>
        <v/>
      </c>
      <c r="L56" t="inlineStr">
        <is>
          <t>BB</t>
        </is>
      </c>
    </row>
    <row r="57">
      <c r="B57" s="42" t="inlineStr">
        <is>
          <t>Z</t>
        </is>
      </c>
      <c r="C57" s="40">
        <f>IFERROR(TRIM(SUBSTITUTE(SUBSTITUTE(SUBSTITUTE(SUBSTITUTE(INDEX(PASTE_ALL,HEADER_ROW,26)&amp;""," "," "),CHAR(9)," "),CHAR(10)," "),CHAR(13)," ")),"")</f>
        <v/>
      </c>
      <c r="D57" s="41">
        <f>IF(Calc!$B$16=0,"",IFERROR(IF(ISNUMBER(INDEX(PASTE_ALL,Calc!$B$16,26)),INDEX(PASTE_ALL,Calc!$B$16,26),TRIM(SUBSTITUTE(SUBSTITUTE(SUBSTITUTE(SUBSTITUTE(INDEX(PASTE_ALL,Calc!$B$16,26)&amp;""," "," "),CHAR(9)," "),CHAR(10)," "),CHAR(13)," "))),""))</f>
        <v/>
      </c>
      <c r="E57" s="38">
        <f>IF(Calc!$AX$239=0,"",INDEX(Calc!$F$5:$F$19,Calc!$AX$239))</f>
        <v/>
      </c>
      <c r="L57" t="inlineStr">
        <is>
          <t>BC</t>
        </is>
      </c>
    </row>
    <row r="58">
      <c r="B58" s="42" t="inlineStr">
        <is>
          <t>AA</t>
        </is>
      </c>
      <c r="C58" s="40">
        <f>IFERROR(TRIM(SUBSTITUTE(SUBSTITUTE(SUBSTITUTE(SUBSTITUTE(INDEX(PASTE_ALL,HEADER_ROW,27)&amp;""," "," "),CHAR(9)," "),CHAR(10)," "),CHAR(13)," ")),"")</f>
        <v/>
      </c>
      <c r="D58" s="41">
        <f>IF(Calc!$B$16=0,"",IFERROR(IF(ISNUMBER(INDEX(PASTE_ALL,Calc!$B$16,27)),INDEX(PASTE_ALL,Calc!$B$16,27),TRIM(SUBSTITUTE(SUBSTITUTE(SUBSTITUTE(SUBSTITUTE(INDEX(PASTE_ALL,Calc!$B$16,27)&amp;""," "," "),CHAR(9)," "),CHAR(10)," "),CHAR(13)," "))),""))</f>
        <v/>
      </c>
      <c r="E58" s="38">
        <f>IF(Calc!$AY$239=0,"",INDEX(Calc!$F$5:$F$19,Calc!$AY$239))</f>
        <v/>
      </c>
      <c r="L58" t="inlineStr">
        <is>
          <t>BD</t>
        </is>
      </c>
    </row>
    <row r="59">
      <c r="B59" s="42" t="inlineStr">
        <is>
          <t>AB</t>
        </is>
      </c>
      <c r="C59" s="40">
        <f>IFERROR(TRIM(SUBSTITUTE(SUBSTITUTE(SUBSTITUTE(SUBSTITUTE(INDEX(PASTE_ALL,HEADER_ROW,28)&amp;""," "," "),CHAR(9)," "),CHAR(10)," "),CHAR(13)," ")),"")</f>
        <v/>
      </c>
      <c r="D59" s="41">
        <f>IF(Calc!$B$16=0,"",IFERROR(IF(ISNUMBER(INDEX(PASTE_ALL,Calc!$B$16,28)),INDEX(PASTE_ALL,Calc!$B$16,28),TRIM(SUBSTITUTE(SUBSTITUTE(SUBSTITUTE(SUBSTITUTE(INDEX(PASTE_ALL,Calc!$B$16,28)&amp;""," "," "),CHAR(9)," "),CHAR(10)," "),CHAR(13)," "))),""))</f>
        <v/>
      </c>
      <c r="E59" s="38">
        <f>IF(Calc!$AZ$239=0,"",INDEX(Calc!$F$5:$F$19,Calc!$AZ$239))</f>
        <v/>
      </c>
      <c r="L59" t="inlineStr">
        <is>
          <t>BE</t>
        </is>
      </c>
    </row>
    <row r="60">
      <c r="B60" s="42" t="inlineStr">
        <is>
          <t>AC</t>
        </is>
      </c>
      <c r="C60" s="40">
        <f>IFERROR(TRIM(SUBSTITUTE(SUBSTITUTE(SUBSTITUTE(SUBSTITUTE(INDEX(PASTE_ALL,HEADER_ROW,29)&amp;""," "," "),CHAR(9)," "),CHAR(10)," "),CHAR(13)," ")),"")</f>
        <v/>
      </c>
      <c r="D60" s="41">
        <f>IF(Calc!$B$16=0,"",IFERROR(IF(ISNUMBER(INDEX(PASTE_ALL,Calc!$B$16,29)),INDEX(PASTE_ALL,Calc!$B$16,29),TRIM(SUBSTITUTE(SUBSTITUTE(SUBSTITUTE(SUBSTITUTE(INDEX(PASTE_ALL,Calc!$B$16,29)&amp;""," "," "),CHAR(9)," "),CHAR(10)," "),CHAR(13)," "))),""))</f>
        <v/>
      </c>
      <c r="E60" s="38">
        <f>IF(Calc!$BA$239=0,"",INDEX(Calc!$F$5:$F$19,Calc!$BA$239))</f>
        <v/>
      </c>
      <c r="L60" t="inlineStr">
        <is>
          <t>BF</t>
        </is>
      </c>
    </row>
    <row r="61">
      <c r="B61" s="42" t="inlineStr">
        <is>
          <t>AD</t>
        </is>
      </c>
      <c r="C61" s="40">
        <f>IFERROR(TRIM(SUBSTITUTE(SUBSTITUTE(SUBSTITUTE(SUBSTITUTE(INDEX(PASTE_ALL,HEADER_ROW,30)&amp;""," "," "),CHAR(9)," "),CHAR(10)," "),CHAR(13)," ")),"")</f>
        <v/>
      </c>
      <c r="D61" s="41">
        <f>IF(Calc!$B$16=0,"",IFERROR(IF(ISNUMBER(INDEX(PASTE_ALL,Calc!$B$16,30)),INDEX(PASTE_ALL,Calc!$B$16,30),TRIM(SUBSTITUTE(SUBSTITUTE(SUBSTITUTE(SUBSTITUTE(INDEX(PASTE_ALL,Calc!$B$16,30)&amp;""," "," "),CHAR(9)," "),CHAR(10)," "),CHAR(13)," "))),""))</f>
        <v/>
      </c>
      <c r="E61" s="38">
        <f>IF(Calc!$BB$239=0,"",INDEX(Calc!$F$5:$F$19,Calc!$BB$239))</f>
        <v/>
      </c>
      <c r="L61" t="inlineStr">
        <is>
          <t>BG</t>
        </is>
      </c>
    </row>
    <row r="62">
      <c r="B62" s="42" t="inlineStr">
        <is>
          <t>AE</t>
        </is>
      </c>
      <c r="C62" s="40">
        <f>IFERROR(TRIM(SUBSTITUTE(SUBSTITUTE(SUBSTITUTE(SUBSTITUTE(INDEX(PASTE_ALL,HEADER_ROW,31)&amp;""," "," "),CHAR(9)," "),CHAR(10)," "),CHAR(13)," ")),"")</f>
        <v/>
      </c>
      <c r="D62" s="41">
        <f>IF(Calc!$B$16=0,"",IFERROR(IF(ISNUMBER(INDEX(PASTE_ALL,Calc!$B$16,31)),INDEX(PASTE_ALL,Calc!$B$16,31),TRIM(SUBSTITUTE(SUBSTITUTE(SUBSTITUTE(SUBSTITUTE(INDEX(PASTE_ALL,Calc!$B$16,31)&amp;""," "," "),CHAR(9)," "),CHAR(10)," "),CHAR(13)," "))),""))</f>
        <v/>
      </c>
      <c r="E62" s="38">
        <f>IF(Calc!$BC$239=0,"",INDEX(Calc!$F$5:$F$19,Calc!$BC$239))</f>
        <v/>
      </c>
      <c r="L62" t="inlineStr">
        <is>
          <t>BH</t>
        </is>
      </c>
    </row>
    <row r="63">
      <c r="B63" s="42" t="inlineStr">
        <is>
          <t>AF</t>
        </is>
      </c>
      <c r="C63" s="40">
        <f>IFERROR(TRIM(SUBSTITUTE(SUBSTITUTE(SUBSTITUTE(SUBSTITUTE(INDEX(PASTE_ALL,HEADER_ROW,32)&amp;""," "," "),CHAR(9)," "),CHAR(10)," "),CHAR(13)," ")),"")</f>
        <v/>
      </c>
      <c r="D63" s="41">
        <f>IF(Calc!$B$16=0,"",IFERROR(IF(ISNUMBER(INDEX(PASTE_ALL,Calc!$B$16,32)),INDEX(PASTE_ALL,Calc!$B$16,32),TRIM(SUBSTITUTE(SUBSTITUTE(SUBSTITUTE(SUBSTITUTE(INDEX(PASTE_ALL,Calc!$B$16,32)&amp;""," "," "),CHAR(9)," "),CHAR(10)," "),CHAR(13)," "))),""))</f>
        <v/>
      </c>
      <c r="E63" s="38">
        <f>IF(Calc!$BD$239=0,"",INDEX(Calc!$F$5:$F$19,Calc!$BD$239))</f>
        <v/>
      </c>
    </row>
    <row r="64">
      <c r="B64" s="42" t="inlineStr">
        <is>
          <t>AG</t>
        </is>
      </c>
      <c r="C64" s="40">
        <f>IFERROR(TRIM(SUBSTITUTE(SUBSTITUTE(SUBSTITUTE(SUBSTITUTE(INDEX(PASTE_ALL,HEADER_ROW,33)&amp;""," "," "),CHAR(9)," "),CHAR(10)," "),CHAR(13)," ")),"")</f>
        <v/>
      </c>
      <c r="D64" s="41">
        <f>IF(Calc!$B$16=0,"",IFERROR(IF(ISNUMBER(INDEX(PASTE_ALL,Calc!$B$16,33)),INDEX(PASTE_ALL,Calc!$B$16,33),TRIM(SUBSTITUTE(SUBSTITUTE(SUBSTITUTE(SUBSTITUTE(INDEX(PASTE_ALL,Calc!$B$16,33)&amp;""," "," "),CHAR(9)," "),CHAR(10)," "),CHAR(13)," "))),""))</f>
        <v/>
      </c>
      <c r="E64" s="38">
        <f>IF(Calc!$BE$239=0,"",INDEX(Calc!$F$5:$F$19,Calc!$BE$239))</f>
        <v/>
      </c>
    </row>
    <row r="65">
      <c r="B65" s="42" t="inlineStr">
        <is>
          <t>AH</t>
        </is>
      </c>
      <c r="C65" s="40">
        <f>IFERROR(TRIM(SUBSTITUTE(SUBSTITUTE(SUBSTITUTE(SUBSTITUTE(INDEX(PASTE_ALL,HEADER_ROW,34)&amp;""," "," "),CHAR(9)," "),CHAR(10)," "),CHAR(13)," ")),"")</f>
        <v/>
      </c>
      <c r="D65" s="41">
        <f>IF(Calc!$B$16=0,"",IFERROR(IF(ISNUMBER(INDEX(PASTE_ALL,Calc!$B$16,34)),INDEX(PASTE_ALL,Calc!$B$16,34),TRIM(SUBSTITUTE(SUBSTITUTE(SUBSTITUTE(SUBSTITUTE(INDEX(PASTE_ALL,Calc!$B$16,34)&amp;""," "," "),CHAR(9)," "),CHAR(10)," "),CHAR(13)," "))),""))</f>
        <v/>
      </c>
      <c r="E65" s="38">
        <f>IF(Calc!$BF$239=0,"",INDEX(Calc!$F$5:$F$19,Calc!$BF$239))</f>
        <v/>
      </c>
    </row>
    <row r="66">
      <c r="B66" s="42" t="inlineStr">
        <is>
          <t>AI</t>
        </is>
      </c>
      <c r="C66" s="40">
        <f>IFERROR(TRIM(SUBSTITUTE(SUBSTITUTE(SUBSTITUTE(SUBSTITUTE(INDEX(PASTE_ALL,HEADER_ROW,35)&amp;""," "," "),CHAR(9)," "),CHAR(10)," "),CHAR(13)," ")),"")</f>
        <v/>
      </c>
      <c r="D66" s="41">
        <f>IF(Calc!$B$16=0,"",IFERROR(IF(ISNUMBER(INDEX(PASTE_ALL,Calc!$B$16,35)),INDEX(PASTE_ALL,Calc!$B$16,35),TRIM(SUBSTITUTE(SUBSTITUTE(SUBSTITUTE(SUBSTITUTE(INDEX(PASTE_ALL,Calc!$B$16,35)&amp;""," "," "),CHAR(9)," "),CHAR(10)," "),CHAR(13)," "))),""))</f>
        <v/>
      </c>
      <c r="E66" s="38">
        <f>IF(Calc!$BG$239=0,"",INDEX(Calc!$F$5:$F$19,Calc!$BG$239))</f>
        <v/>
      </c>
    </row>
    <row r="67">
      <c r="B67" s="42" t="inlineStr">
        <is>
          <t>AJ</t>
        </is>
      </c>
      <c r="C67" s="40">
        <f>IFERROR(TRIM(SUBSTITUTE(SUBSTITUTE(SUBSTITUTE(SUBSTITUTE(INDEX(PASTE_ALL,HEADER_ROW,36)&amp;""," "," "),CHAR(9)," "),CHAR(10)," "),CHAR(13)," ")),"")</f>
        <v/>
      </c>
      <c r="D67" s="41">
        <f>IF(Calc!$B$16=0,"",IFERROR(IF(ISNUMBER(INDEX(PASTE_ALL,Calc!$B$16,36)),INDEX(PASTE_ALL,Calc!$B$16,36),TRIM(SUBSTITUTE(SUBSTITUTE(SUBSTITUTE(SUBSTITUTE(INDEX(PASTE_ALL,Calc!$B$16,36)&amp;""," "," "),CHAR(9)," "),CHAR(10)," "),CHAR(13)," "))),""))</f>
        <v/>
      </c>
      <c r="E67" s="38">
        <f>IF(Calc!$BH$239=0,"",INDEX(Calc!$F$5:$F$19,Calc!$BH$239))</f>
        <v/>
      </c>
    </row>
    <row r="68">
      <c r="B68" s="42" t="inlineStr">
        <is>
          <t>AK</t>
        </is>
      </c>
      <c r="C68" s="40">
        <f>IFERROR(TRIM(SUBSTITUTE(SUBSTITUTE(SUBSTITUTE(SUBSTITUTE(INDEX(PASTE_ALL,HEADER_ROW,37)&amp;""," "," "),CHAR(9)," "),CHAR(10)," "),CHAR(13)," ")),"")</f>
        <v/>
      </c>
      <c r="D68" s="41">
        <f>IF(Calc!$B$16=0,"",IFERROR(IF(ISNUMBER(INDEX(PASTE_ALL,Calc!$B$16,37)),INDEX(PASTE_ALL,Calc!$B$16,37),TRIM(SUBSTITUTE(SUBSTITUTE(SUBSTITUTE(SUBSTITUTE(INDEX(PASTE_ALL,Calc!$B$16,37)&amp;""," "," "),CHAR(9)," "),CHAR(10)," "),CHAR(13)," "))),""))</f>
        <v/>
      </c>
      <c r="E68" s="38">
        <f>IF(Calc!$BI$239=0,"",INDEX(Calc!$F$5:$F$19,Calc!$BI$239))</f>
        <v/>
      </c>
    </row>
    <row r="69">
      <c r="B69" s="42" t="inlineStr">
        <is>
          <t>AL</t>
        </is>
      </c>
      <c r="C69" s="40">
        <f>IFERROR(TRIM(SUBSTITUTE(SUBSTITUTE(SUBSTITUTE(SUBSTITUTE(INDEX(PASTE_ALL,HEADER_ROW,38)&amp;""," "," "),CHAR(9)," "),CHAR(10)," "),CHAR(13)," ")),"")</f>
        <v/>
      </c>
      <c r="D69" s="41">
        <f>IF(Calc!$B$16=0,"",IFERROR(IF(ISNUMBER(INDEX(PASTE_ALL,Calc!$B$16,38)),INDEX(PASTE_ALL,Calc!$B$16,38),TRIM(SUBSTITUTE(SUBSTITUTE(SUBSTITUTE(SUBSTITUTE(INDEX(PASTE_ALL,Calc!$B$16,38)&amp;""," "," "),CHAR(9)," "),CHAR(10)," "),CHAR(13)," "))),""))</f>
        <v/>
      </c>
      <c r="E69" s="38">
        <f>IF(Calc!$BJ$239=0,"",INDEX(Calc!$F$5:$F$19,Calc!$BJ$239))</f>
        <v/>
      </c>
    </row>
    <row r="70">
      <c r="B70" s="42" t="inlineStr">
        <is>
          <t>AM</t>
        </is>
      </c>
      <c r="C70" s="40">
        <f>IFERROR(TRIM(SUBSTITUTE(SUBSTITUTE(SUBSTITUTE(SUBSTITUTE(INDEX(PASTE_ALL,HEADER_ROW,39)&amp;""," "," "),CHAR(9)," "),CHAR(10)," "),CHAR(13)," ")),"")</f>
        <v/>
      </c>
      <c r="D70" s="41">
        <f>IF(Calc!$B$16=0,"",IFERROR(IF(ISNUMBER(INDEX(PASTE_ALL,Calc!$B$16,39)),INDEX(PASTE_ALL,Calc!$B$16,39),TRIM(SUBSTITUTE(SUBSTITUTE(SUBSTITUTE(SUBSTITUTE(INDEX(PASTE_ALL,Calc!$B$16,39)&amp;""," "," "),CHAR(9)," "),CHAR(10)," "),CHAR(13)," "))),""))</f>
        <v/>
      </c>
      <c r="E70" s="38">
        <f>IF(Calc!$BK$239=0,"",INDEX(Calc!$F$5:$F$19,Calc!$BK$239))</f>
        <v/>
      </c>
    </row>
    <row r="71">
      <c r="B71" s="42" t="inlineStr">
        <is>
          <t>AN</t>
        </is>
      </c>
      <c r="C71" s="40">
        <f>IFERROR(TRIM(SUBSTITUTE(SUBSTITUTE(SUBSTITUTE(SUBSTITUTE(INDEX(PASTE_ALL,HEADER_ROW,40)&amp;""," "," "),CHAR(9)," "),CHAR(10)," "),CHAR(13)," ")),"")</f>
        <v/>
      </c>
      <c r="D71" s="41">
        <f>IF(Calc!$B$16=0,"",IFERROR(IF(ISNUMBER(INDEX(PASTE_ALL,Calc!$B$16,40)),INDEX(PASTE_ALL,Calc!$B$16,40),TRIM(SUBSTITUTE(SUBSTITUTE(SUBSTITUTE(SUBSTITUTE(INDEX(PASTE_ALL,Calc!$B$16,40)&amp;""," "," "),CHAR(9)," "),CHAR(10)," "),CHAR(13)," "))),""))</f>
        <v/>
      </c>
      <c r="E71" s="38">
        <f>IF(Calc!$BL$239=0,"",INDEX(Calc!$F$5:$F$19,Calc!$BL$239))</f>
        <v/>
      </c>
    </row>
    <row r="72">
      <c r="B72" s="42" t="inlineStr">
        <is>
          <t>AO</t>
        </is>
      </c>
      <c r="C72" s="40">
        <f>IFERROR(TRIM(SUBSTITUTE(SUBSTITUTE(SUBSTITUTE(SUBSTITUTE(INDEX(PASTE_ALL,HEADER_ROW,41)&amp;""," "," "),CHAR(9)," "),CHAR(10)," "),CHAR(13)," ")),"")</f>
        <v/>
      </c>
      <c r="D72" s="41">
        <f>IF(Calc!$B$16=0,"",IFERROR(IF(ISNUMBER(INDEX(PASTE_ALL,Calc!$B$16,41)),INDEX(PASTE_ALL,Calc!$B$16,41),TRIM(SUBSTITUTE(SUBSTITUTE(SUBSTITUTE(SUBSTITUTE(INDEX(PASTE_ALL,Calc!$B$16,41)&amp;""," "," "),CHAR(9)," "),CHAR(10)," "),CHAR(13)," "))),""))</f>
        <v/>
      </c>
      <c r="E72" s="38">
        <f>IF(Calc!$BM$239=0,"",INDEX(Calc!$F$5:$F$19,Calc!$BM$239))</f>
        <v/>
      </c>
    </row>
    <row r="73">
      <c r="B73" s="42" t="inlineStr">
        <is>
          <t>AP</t>
        </is>
      </c>
      <c r="C73" s="40">
        <f>IFERROR(TRIM(SUBSTITUTE(SUBSTITUTE(SUBSTITUTE(SUBSTITUTE(INDEX(PASTE_ALL,HEADER_ROW,42)&amp;""," "," "),CHAR(9)," "),CHAR(10)," "),CHAR(13)," ")),"")</f>
        <v/>
      </c>
      <c r="D73" s="41">
        <f>IF(Calc!$B$16=0,"",IFERROR(IF(ISNUMBER(INDEX(PASTE_ALL,Calc!$B$16,42)),INDEX(PASTE_ALL,Calc!$B$16,42),TRIM(SUBSTITUTE(SUBSTITUTE(SUBSTITUTE(SUBSTITUTE(INDEX(PASTE_ALL,Calc!$B$16,42)&amp;""," "," "),CHAR(9)," "),CHAR(10)," "),CHAR(13)," "))),""))</f>
        <v/>
      </c>
      <c r="E73" s="38">
        <f>IF(Calc!$BN$239=0,"",INDEX(Calc!$F$5:$F$19,Calc!$BN$239))</f>
        <v/>
      </c>
    </row>
    <row r="74">
      <c r="B74" s="42" t="inlineStr">
        <is>
          <t>AQ</t>
        </is>
      </c>
      <c r="C74" s="40">
        <f>IFERROR(TRIM(SUBSTITUTE(SUBSTITUTE(SUBSTITUTE(SUBSTITUTE(INDEX(PASTE_ALL,HEADER_ROW,43)&amp;""," "," "),CHAR(9)," "),CHAR(10)," "),CHAR(13)," ")),"")</f>
        <v/>
      </c>
      <c r="D74" s="41">
        <f>IF(Calc!$B$16=0,"",IFERROR(IF(ISNUMBER(INDEX(PASTE_ALL,Calc!$B$16,43)),INDEX(PASTE_ALL,Calc!$B$16,43),TRIM(SUBSTITUTE(SUBSTITUTE(SUBSTITUTE(SUBSTITUTE(INDEX(PASTE_ALL,Calc!$B$16,43)&amp;""," "," "),CHAR(9)," "),CHAR(10)," "),CHAR(13)," "))),""))</f>
        <v/>
      </c>
      <c r="E74" s="38">
        <f>IF(Calc!$BO$239=0,"",INDEX(Calc!$F$5:$F$19,Calc!$BO$239))</f>
        <v/>
      </c>
    </row>
    <row r="75">
      <c r="B75" s="42" t="inlineStr">
        <is>
          <t>AR</t>
        </is>
      </c>
      <c r="C75" s="40">
        <f>IFERROR(TRIM(SUBSTITUTE(SUBSTITUTE(SUBSTITUTE(SUBSTITUTE(INDEX(PASTE_ALL,HEADER_ROW,44)&amp;""," "," "),CHAR(9)," "),CHAR(10)," "),CHAR(13)," ")),"")</f>
        <v/>
      </c>
      <c r="D75" s="41">
        <f>IF(Calc!$B$16=0,"",IFERROR(IF(ISNUMBER(INDEX(PASTE_ALL,Calc!$B$16,44)),INDEX(PASTE_ALL,Calc!$B$16,44),TRIM(SUBSTITUTE(SUBSTITUTE(SUBSTITUTE(SUBSTITUTE(INDEX(PASTE_ALL,Calc!$B$16,44)&amp;""," "," "),CHAR(9)," "),CHAR(10)," "),CHAR(13)," "))),""))</f>
        <v/>
      </c>
      <c r="E75" s="38">
        <f>IF(Calc!$BP$239=0,"",INDEX(Calc!$F$5:$F$19,Calc!$BP$239))</f>
        <v/>
      </c>
    </row>
    <row r="76">
      <c r="B76" s="42" t="inlineStr">
        <is>
          <t>AS</t>
        </is>
      </c>
      <c r="C76" s="40">
        <f>IFERROR(TRIM(SUBSTITUTE(SUBSTITUTE(SUBSTITUTE(SUBSTITUTE(INDEX(PASTE_ALL,HEADER_ROW,45)&amp;""," "," "),CHAR(9)," "),CHAR(10)," "),CHAR(13)," ")),"")</f>
        <v/>
      </c>
      <c r="D76" s="41">
        <f>IF(Calc!$B$16=0,"",IFERROR(IF(ISNUMBER(INDEX(PASTE_ALL,Calc!$B$16,45)),INDEX(PASTE_ALL,Calc!$B$16,45),TRIM(SUBSTITUTE(SUBSTITUTE(SUBSTITUTE(SUBSTITUTE(INDEX(PASTE_ALL,Calc!$B$16,45)&amp;""," "," "),CHAR(9)," "),CHAR(10)," "),CHAR(13)," "))),""))</f>
        <v/>
      </c>
      <c r="E76" s="38">
        <f>IF(Calc!$BQ$239=0,"",INDEX(Calc!$F$5:$F$19,Calc!$BQ$239))</f>
        <v/>
      </c>
    </row>
    <row r="77">
      <c r="B77" s="42" t="inlineStr">
        <is>
          <t>AT</t>
        </is>
      </c>
      <c r="C77" s="40">
        <f>IFERROR(TRIM(SUBSTITUTE(SUBSTITUTE(SUBSTITUTE(SUBSTITUTE(INDEX(PASTE_ALL,HEADER_ROW,46)&amp;""," "," "),CHAR(9)," "),CHAR(10)," "),CHAR(13)," ")),"")</f>
        <v/>
      </c>
      <c r="D77" s="41">
        <f>IF(Calc!$B$16=0,"",IFERROR(IF(ISNUMBER(INDEX(PASTE_ALL,Calc!$B$16,46)),INDEX(PASTE_ALL,Calc!$B$16,46),TRIM(SUBSTITUTE(SUBSTITUTE(SUBSTITUTE(SUBSTITUTE(INDEX(PASTE_ALL,Calc!$B$16,46)&amp;""," "," "),CHAR(9)," "),CHAR(10)," "),CHAR(13)," "))),""))</f>
        <v/>
      </c>
      <c r="E77" s="38">
        <f>IF(Calc!$BR$239=0,"",INDEX(Calc!$F$5:$F$19,Calc!$BR$239))</f>
        <v/>
      </c>
    </row>
    <row r="78">
      <c r="B78" s="42" t="inlineStr">
        <is>
          <t>AU</t>
        </is>
      </c>
      <c r="C78" s="40">
        <f>IFERROR(TRIM(SUBSTITUTE(SUBSTITUTE(SUBSTITUTE(SUBSTITUTE(INDEX(PASTE_ALL,HEADER_ROW,47)&amp;""," "," "),CHAR(9)," "),CHAR(10)," "),CHAR(13)," ")),"")</f>
        <v/>
      </c>
      <c r="D78" s="41">
        <f>IF(Calc!$B$16=0,"",IFERROR(IF(ISNUMBER(INDEX(PASTE_ALL,Calc!$B$16,47)),INDEX(PASTE_ALL,Calc!$B$16,47),TRIM(SUBSTITUTE(SUBSTITUTE(SUBSTITUTE(SUBSTITUTE(INDEX(PASTE_ALL,Calc!$B$16,47)&amp;""," "," "),CHAR(9)," "),CHAR(10)," "),CHAR(13)," "))),""))</f>
        <v/>
      </c>
      <c r="E78" s="38">
        <f>IF(Calc!$BS$239=0,"",INDEX(Calc!$F$5:$F$19,Calc!$BS$239))</f>
        <v/>
      </c>
    </row>
    <row r="79">
      <c r="B79" s="42" t="inlineStr">
        <is>
          <t>AV</t>
        </is>
      </c>
      <c r="C79" s="40">
        <f>IFERROR(TRIM(SUBSTITUTE(SUBSTITUTE(SUBSTITUTE(SUBSTITUTE(INDEX(PASTE_ALL,HEADER_ROW,48)&amp;""," "," "),CHAR(9)," "),CHAR(10)," "),CHAR(13)," ")),"")</f>
        <v/>
      </c>
      <c r="D79" s="41">
        <f>IF(Calc!$B$16=0,"",IFERROR(IF(ISNUMBER(INDEX(PASTE_ALL,Calc!$B$16,48)),INDEX(PASTE_ALL,Calc!$B$16,48),TRIM(SUBSTITUTE(SUBSTITUTE(SUBSTITUTE(SUBSTITUTE(INDEX(PASTE_ALL,Calc!$B$16,48)&amp;""," "," "),CHAR(9)," "),CHAR(10)," "),CHAR(13)," "))),""))</f>
        <v/>
      </c>
      <c r="E79" s="38">
        <f>IF(Calc!$BT$239=0,"",INDEX(Calc!$F$5:$F$19,Calc!$BT$239))</f>
        <v/>
      </c>
    </row>
    <row r="80">
      <c r="B80" s="42" t="inlineStr">
        <is>
          <t>AW</t>
        </is>
      </c>
      <c r="C80" s="40">
        <f>IFERROR(TRIM(SUBSTITUTE(SUBSTITUTE(SUBSTITUTE(SUBSTITUTE(INDEX(PASTE_ALL,HEADER_ROW,49)&amp;""," "," "),CHAR(9)," "),CHAR(10)," "),CHAR(13)," ")),"")</f>
        <v/>
      </c>
      <c r="D80" s="41">
        <f>IF(Calc!$B$16=0,"",IFERROR(IF(ISNUMBER(INDEX(PASTE_ALL,Calc!$B$16,49)),INDEX(PASTE_ALL,Calc!$B$16,49),TRIM(SUBSTITUTE(SUBSTITUTE(SUBSTITUTE(SUBSTITUTE(INDEX(PASTE_ALL,Calc!$B$16,49)&amp;""," "," "),CHAR(9)," "),CHAR(10)," "),CHAR(13)," "))),""))</f>
        <v/>
      </c>
      <c r="E80" s="38">
        <f>IF(Calc!$BU$239=0,"",INDEX(Calc!$F$5:$F$19,Calc!$BU$239))</f>
        <v/>
      </c>
    </row>
    <row r="81">
      <c r="B81" s="42" t="inlineStr">
        <is>
          <t>AX</t>
        </is>
      </c>
      <c r="C81" s="40">
        <f>IFERROR(TRIM(SUBSTITUTE(SUBSTITUTE(SUBSTITUTE(SUBSTITUTE(INDEX(PASTE_ALL,HEADER_ROW,50)&amp;""," "," "),CHAR(9)," "),CHAR(10)," "),CHAR(13)," ")),"")</f>
        <v/>
      </c>
      <c r="D81" s="41">
        <f>IF(Calc!$B$16=0,"",IFERROR(IF(ISNUMBER(INDEX(PASTE_ALL,Calc!$B$16,50)),INDEX(PASTE_ALL,Calc!$B$16,50),TRIM(SUBSTITUTE(SUBSTITUTE(SUBSTITUTE(SUBSTITUTE(INDEX(PASTE_ALL,Calc!$B$16,50)&amp;""," "," "),CHAR(9)," "),CHAR(10)," "),CHAR(13)," "))),""))</f>
        <v/>
      </c>
      <c r="E81" s="38">
        <f>IF(Calc!$BV$239=0,"",INDEX(Calc!$F$5:$F$19,Calc!$BV$239))</f>
        <v/>
      </c>
    </row>
    <row r="82">
      <c r="B82" s="42" t="inlineStr">
        <is>
          <t>AY</t>
        </is>
      </c>
      <c r="C82" s="40">
        <f>IFERROR(TRIM(SUBSTITUTE(SUBSTITUTE(SUBSTITUTE(SUBSTITUTE(INDEX(PASTE_ALL,HEADER_ROW,51)&amp;""," "," "),CHAR(9)," "),CHAR(10)," "),CHAR(13)," ")),"")</f>
        <v/>
      </c>
      <c r="D82" s="41">
        <f>IF(Calc!$B$16=0,"",IFERROR(IF(ISNUMBER(INDEX(PASTE_ALL,Calc!$B$16,51)),INDEX(PASTE_ALL,Calc!$B$16,51),TRIM(SUBSTITUTE(SUBSTITUTE(SUBSTITUTE(SUBSTITUTE(INDEX(PASTE_ALL,Calc!$B$16,51)&amp;""," "," "),CHAR(9)," "),CHAR(10)," "),CHAR(13)," "))),""))</f>
        <v/>
      </c>
      <c r="E82" s="38">
        <f>IF(Calc!$BW$239=0,"",INDEX(Calc!$F$5:$F$19,Calc!$BW$239))</f>
        <v/>
      </c>
    </row>
    <row r="83">
      <c r="B83" s="42" t="inlineStr">
        <is>
          <t>AZ</t>
        </is>
      </c>
      <c r="C83" s="40">
        <f>IFERROR(TRIM(SUBSTITUTE(SUBSTITUTE(SUBSTITUTE(SUBSTITUTE(INDEX(PASTE_ALL,HEADER_ROW,52)&amp;""," "," "),CHAR(9)," "),CHAR(10)," "),CHAR(13)," ")),"")</f>
        <v/>
      </c>
      <c r="D83" s="41">
        <f>IF(Calc!$B$16=0,"",IFERROR(IF(ISNUMBER(INDEX(PASTE_ALL,Calc!$B$16,52)),INDEX(PASTE_ALL,Calc!$B$16,52),TRIM(SUBSTITUTE(SUBSTITUTE(SUBSTITUTE(SUBSTITUTE(INDEX(PASTE_ALL,Calc!$B$16,52)&amp;""," "," "),CHAR(9)," "),CHAR(10)," "),CHAR(13)," "))),""))</f>
        <v/>
      </c>
      <c r="E83" s="38">
        <f>IF(Calc!$BX$239=0,"",INDEX(Calc!$F$5:$F$19,Calc!$BX$239))</f>
        <v/>
      </c>
    </row>
    <row r="84">
      <c r="B84" s="42" t="inlineStr">
        <is>
          <t>BA</t>
        </is>
      </c>
      <c r="C84" s="40">
        <f>IFERROR(TRIM(SUBSTITUTE(SUBSTITUTE(SUBSTITUTE(SUBSTITUTE(INDEX(PASTE_ALL,HEADER_ROW,53)&amp;""," "," "),CHAR(9)," "),CHAR(10)," "),CHAR(13)," ")),"")</f>
        <v/>
      </c>
      <c r="D84" s="41">
        <f>IF(Calc!$B$16=0,"",IFERROR(IF(ISNUMBER(INDEX(PASTE_ALL,Calc!$B$16,53)),INDEX(PASTE_ALL,Calc!$B$16,53),TRIM(SUBSTITUTE(SUBSTITUTE(SUBSTITUTE(SUBSTITUTE(INDEX(PASTE_ALL,Calc!$B$16,53)&amp;""," "," "),CHAR(9)," "),CHAR(10)," "),CHAR(13)," "))),""))</f>
        <v/>
      </c>
      <c r="E84" s="38">
        <f>IF(Calc!$BY$239=0,"",INDEX(Calc!$F$5:$F$19,Calc!$BY$239))</f>
        <v/>
      </c>
    </row>
    <row r="85">
      <c r="B85" s="42" t="inlineStr">
        <is>
          <t>BB</t>
        </is>
      </c>
      <c r="C85" s="40">
        <f>IFERROR(TRIM(SUBSTITUTE(SUBSTITUTE(SUBSTITUTE(SUBSTITUTE(INDEX(PASTE_ALL,HEADER_ROW,54)&amp;""," "," "),CHAR(9)," "),CHAR(10)," "),CHAR(13)," ")),"")</f>
        <v/>
      </c>
      <c r="D85" s="41">
        <f>IF(Calc!$B$16=0,"",IFERROR(IF(ISNUMBER(INDEX(PASTE_ALL,Calc!$B$16,54)),INDEX(PASTE_ALL,Calc!$B$16,54),TRIM(SUBSTITUTE(SUBSTITUTE(SUBSTITUTE(SUBSTITUTE(INDEX(PASTE_ALL,Calc!$B$16,54)&amp;""," "," "),CHAR(9)," "),CHAR(10)," "),CHAR(13)," "))),""))</f>
        <v/>
      </c>
      <c r="E85" s="38">
        <f>IF(Calc!$BZ$239=0,"",INDEX(Calc!$F$5:$F$19,Calc!$BZ$239))</f>
        <v/>
      </c>
    </row>
    <row r="86">
      <c r="B86" s="42" t="inlineStr">
        <is>
          <t>BC</t>
        </is>
      </c>
      <c r="C86" s="40">
        <f>IFERROR(TRIM(SUBSTITUTE(SUBSTITUTE(SUBSTITUTE(SUBSTITUTE(INDEX(PASTE_ALL,HEADER_ROW,55)&amp;""," "," "),CHAR(9)," "),CHAR(10)," "),CHAR(13)," ")),"")</f>
        <v/>
      </c>
      <c r="D86" s="41">
        <f>IF(Calc!$B$16=0,"",IFERROR(IF(ISNUMBER(INDEX(PASTE_ALL,Calc!$B$16,55)),INDEX(PASTE_ALL,Calc!$B$16,55),TRIM(SUBSTITUTE(SUBSTITUTE(SUBSTITUTE(SUBSTITUTE(INDEX(PASTE_ALL,Calc!$B$16,55)&amp;""," "," "),CHAR(9)," "),CHAR(10)," "),CHAR(13)," "))),""))</f>
        <v/>
      </c>
      <c r="E86" s="38">
        <f>IF(Calc!$CA$239=0,"",INDEX(Calc!$F$5:$F$19,Calc!$CA$239))</f>
        <v/>
      </c>
    </row>
    <row r="87">
      <c r="B87" s="42" t="inlineStr">
        <is>
          <t>BD</t>
        </is>
      </c>
      <c r="C87" s="40">
        <f>IFERROR(TRIM(SUBSTITUTE(SUBSTITUTE(SUBSTITUTE(SUBSTITUTE(INDEX(PASTE_ALL,HEADER_ROW,56)&amp;""," "," "),CHAR(9)," "),CHAR(10)," "),CHAR(13)," ")),"")</f>
        <v/>
      </c>
      <c r="D87" s="41">
        <f>IF(Calc!$B$16=0,"",IFERROR(IF(ISNUMBER(INDEX(PASTE_ALL,Calc!$B$16,56)),INDEX(PASTE_ALL,Calc!$B$16,56),TRIM(SUBSTITUTE(SUBSTITUTE(SUBSTITUTE(SUBSTITUTE(INDEX(PASTE_ALL,Calc!$B$16,56)&amp;""," "," "),CHAR(9)," "),CHAR(10)," "),CHAR(13)," "))),""))</f>
        <v/>
      </c>
      <c r="E87" s="38">
        <f>IF(Calc!$CB$239=0,"",INDEX(Calc!$F$5:$F$19,Calc!$CB$239))</f>
        <v/>
      </c>
    </row>
    <row r="88">
      <c r="B88" s="42" t="inlineStr">
        <is>
          <t>BE</t>
        </is>
      </c>
      <c r="C88" s="40">
        <f>IFERROR(TRIM(SUBSTITUTE(SUBSTITUTE(SUBSTITUTE(SUBSTITUTE(INDEX(PASTE_ALL,HEADER_ROW,57)&amp;""," "," "),CHAR(9)," "),CHAR(10)," "),CHAR(13)," ")),"")</f>
        <v/>
      </c>
      <c r="D88" s="41">
        <f>IF(Calc!$B$16=0,"",IFERROR(IF(ISNUMBER(INDEX(PASTE_ALL,Calc!$B$16,57)),INDEX(PASTE_ALL,Calc!$B$16,57),TRIM(SUBSTITUTE(SUBSTITUTE(SUBSTITUTE(SUBSTITUTE(INDEX(PASTE_ALL,Calc!$B$16,57)&amp;""," "," "),CHAR(9)," "),CHAR(10)," "),CHAR(13)," "))),""))</f>
        <v/>
      </c>
      <c r="E88" s="38">
        <f>IF(Calc!$CC$239=0,"",INDEX(Calc!$F$5:$F$19,Calc!$CC$239))</f>
        <v/>
      </c>
    </row>
    <row r="89">
      <c r="B89" s="42" t="inlineStr">
        <is>
          <t>BF</t>
        </is>
      </c>
      <c r="C89" s="40">
        <f>IFERROR(TRIM(SUBSTITUTE(SUBSTITUTE(SUBSTITUTE(SUBSTITUTE(INDEX(PASTE_ALL,HEADER_ROW,58)&amp;""," "," "),CHAR(9)," "),CHAR(10)," "),CHAR(13)," ")),"")</f>
        <v/>
      </c>
      <c r="D89" s="41">
        <f>IF(Calc!$B$16=0,"",IFERROR(IF(ISNUMBER(INDEX(PASTE_ALL,Calc!$B$16,58)),INDEX(PASTE_ALL,Calc!$B$16,58),TRIM(SUBSTITUTE(SUBSTITUTE(SUBSTITUTE(SUBSTITUTE(INDEX(PASTE_ALL,Calc!$B$16,58)&amp;""," "," "),CHAR(9)," "),CHAR(10)," "),CHAR(13)," "))),""))</f>
        <v/>
      </c>
      <c r="E89" s="38">
        <f>IF(Calc!$CD$239=0,"",INDEX(Calc!$F$5:$F$19,Calc!$CD$239))</f>
        <v/>
      </c>
    </row>
    <row r="90">
      <c r="B90" s="42" t="inlineStr">
        <is>
          <t>BG</t>
        </is>
      </c>
      <c r="C90" s="40">
        <f>IFERROR(TRIM(SUBSTITUTE(SUBSTITUTE(SUBSTITUTE(SUBSTITUTE(INDEX(PASTE_ALL,HEADER_ROW,59)&amp;""," "," "),CHAR(9)," "),CHAR(10)," "),CHAR(13)," ")),"")</f>
        <v/>
      </c>
      <c r="D90" s="41">
        <f>IF(Calc!$B$16=0,"",IFERROR(IF(ISNUMBER(INDEX(PASTE_ALL,Calc!$B$16,59)),INDEX(PASTE_ALL,Calc!$B$16,59),TRIM(SUBSTITUTE(SUBSTITUTE(SUBSTITUTE(SUBSTITUTE(INDEX(PASTE_ALL,Calc!$B$16,59)&amp;""," "," "),CHAR(9)," "),CHAR(10)," "),CHAR(13)," "))),""))</f>
        <v/>
      </c>
      <c r="E90" s="38">
        <f>IF(Calc!$CE$239=0,"",INDEX(Calc!$F$5:$F$19,Calc!$CE$239))</f>
        <v/>
      </c>
    </row>
    <row r="91">
      <c r="B91" s="42" t="inlineStr">
        <is>
          <t>BH</t>
        </is>
      </c>
      <c r="C91" s="40">
        <f>IFERROR(TRIM(SUBSTITUTE(SUBSTITUTE(SUBSTITUTE(SUBSTITUTE(INDEX(PASTE_ALL,HEADER_ROW,60)&amp;""," "," "),CHAR(9)," "),CHAR(10)," "),CHAR(13)," ")),"")</f>
        <v/>
      </c>
      <c r="D91" s="41">
        <f>IF(Calc!$B$16=0,"",IFERROR(IF(ISNUMBER(INDEX(PASTE_ALL,Calc!$B$16,60)),INDEX(PASTE_ALL,Calc!$B$16,60),TRIM(SUBSTITUTE(SUBSTITUTE(SUBSTITUTE(SUBSTITUTE(INDEX(PASTE_ALL,Calc!$B$16,60)&amp;""," "," "),CHAR(9)," "),CHAR(10)," "),CHAR(13)," "))),""))</f>
        <v/>
      </c>
      <c r="E91" s="38">
        <f>IF(Calc!$CF$239=0,"",INDEX(Calc!$F$5:$F$19,Calc!$CF$239))</f>
        <v/>
      </c>
    </row>
  </sheetData>
  <sheetProtection selectLockedCells="0" selectUnlockedCells="0" sheet="1" objects="0" insertRows="1" insertHyperlinks="1" autoFilter="1" scenarios="0" formatColumns="0" deleteColumns="1" insertColumns="1" pivotTables="1" deleteRows="1" formatCells="1" formatRows="0" sort="1"/>
  <mergeCells count="3">
    <mergeCell ref="G9:H9"/>
    <mergeCell ref="B8:H8"/>
    <mergeCell ref="G10:H10"/>
  </mergeCells>
  <conditionalFormatting sqref="B8:H8">
    <cfRule type="expression" priority="1" dxfId="0" stopIfTrue="1">
      <formula>$J$8=1</formula>
    </cfRule>
    <cfRule type="expression" priority="2" dxfId="1" stopIfTrue="1">
      <formula>$J$8&lt;&gt;1</formula>
    </cfRule>
  </conditionalFormatting>
  <conditionalFormatting sqref="G13:G14">
    <cfRule type="expression" priority="3" dxfId="1" stopIfTrue="1">
      <formula>$J13=1</formula>
    </cfRule>
  </conditionalFormatting>
  <conditionalFormatting sqref="B32:E91">
    <cfRule type="expression" priority="4" dxfId="2" stopIfTrue="1">
      <formula>$E32&lt;&gt;""</formula>
    </cfRule>
  </conditionalFormatting>
  <dataValidations count="2">
    <dataValidation sqref="F13:F27" showDropDown="0" showInputMessage="1" showErrorMessage="0" allowBlank="1" promptTitle="Override" prompt="Type the column letter (like C) that holds this field, or - to leave it out. Leave empty to let the file find it." type="list">
      <formula1>$L$2:$L$62</formula1>
    </dataValidation>
    <dataValidation sqref="E5" showDropDown="0" showInputMessage="0" showErrorMessage="1" allowBlank="1" errorTitle="Header row" error="Type a row number from 1 to 999." type="whole" operator="between">
      <formula1>1</formula1>
      <formula2>999</formula2>
    </dataValidation>
  </dataValidations>
  <pageMargins left="0.4" right="0.4" top="1" bottom="1" header="0.5" footer="0.5"/>
  <pageSetup orientation="landscape" paperSize="1" fitToHeight="0" fitToWidth="1"/>
</worksheet>
</file>

<file path=xl/worksheets/sheet4.xml><?xml version="1.0" encoding="utf-8"?>
<worksheet xmlns="http://schemas.openxmlformats.org/spreadsheetml/2006/main">
  <sheetPr>
    <tabColor rgb="0000C805"/>
    <outlinePr summaryBelow="1" summaryRight="1"/>
    <pageSetUpPr fitToPage="1"/>
  </sheetPr>
  <dimension ref="A1:N103"/>
  <sheetViews>
    <sheetView showGridLines="0" tabSelected="0" workbookViewId="0">
      <pane ySplit="3" topLeftCell="A4" activePane="bottomLeft" state="frozen"/>
      <selection pane="bottomLeft" activeCell="A1" sqref="A1"/>
    </sheetView>
  </sheetViews>
  <sheetFormatPr baseColWidth="8" defaultRowHeight="15"/>
  <cols>
    <col width="16" customWidth="1" min="1" max="1"/>
    <col width="12" customWidth="1" min="2" max="2"/>
    <col width="11" customWidth="1" min="3" max="3"/>
    <col width="11" customWidth="1" min="4" max="4"/>
    <col width="34" customWidth="1" min="5" max="5"/>
    <col width="3" customWidth="1" min="6" max="6"/>
    <col width="5" customWidth="1" min="7" max="7"/>
    <col width="18" customWidth="1" min="8" max="8"/>
    <col width="11" customWidth="1" min="9" max="9"/>
    <col width="12" customWidth="1" min="10" max="10"/>
    <col width="14" customWidth="1" min="11" max="11"/>
    <col width="46" customWidth="1" min="12" max="12"/>
    <col width="3" customWidth="1" min="13" max="13"/>
    <col width="22" customWidth="1" min="14" max="14"/>
  </cols>
  <sheetData>
    <row r="1" ht="40" customHeight="1">
      <c r="A1" s="27" t="inlineStr">
        <is>
          <t>3. Lines - Scheduled Lines</t>
        </is>
      </c>
      <c r="G1" s="46" t="inlineStr">
        <is>
          <t>Ticks and statuses checked on:</t>
        </is>
      </c>
      <c r="K1" s="47" t="n"/>
      <c r="L1" s="48">
        <f>IF(Calc!$B$34=0,"",IF(ISNUMBER(K1),"CHECK: the ticks and statuses below were last checked on "&amp;TEXT(K1,"mmm d, yyyy")&amp;".","CHECK: the ticks and statuses below have no date.")&amp;" Check them, then type today's date in the yellow box (Ctrl+;).")</f>
        <v/>
      </c>
    </row>
    <row r="2" ht="30" customHeight="1">
      <c r="A2" s="49" t="inlineStr">
        <is>
          <t>Pick Yes for every line running this shift (green box on the printout). Pick READY, PM or OT to tag a line; leave Status empty to use the Line Status column of your file.</t>
        </is>
      </c>
      <c r="G2" s="50">
        <f>IF(LINE_COUNT&gt;100,"WARNING: "&amp;LINE_COUNT&amp;" lines in today's schedule - only the first 100 are listed here.","")</f>
        <v/>
      </c>
    </row>
    <row r="3" ht="30" customHeight="1">
      <c r="A3" s="37" t="inlineStr">
        <is>
          <t>Line</t>
        </is>
      </c>
      <c r="B3" s="37" t="inlineStr">
        <is>
          <t>Scheduled</t>
        </is>
      </c>
      <c r="C3" s="37" t="inlineStr">
        <is>
          <t>Status</t>
        </is>
      </c>
      <c r="D3" s="37" t="inlineStr">
        <is>
          <t>Work orders today</t>
        </is>
      </c>
      <c r="E3" s="37" t="inlineStr">
        <is>
          <t>Note</t>
        </is>
      </c>
      <c r="G3" s="37" t="inlineStr">
        <is>
          <t>#</t>
        </is>
      </c>
      <c r="H3" s="37" t="inlineStr">
        <is>
          <t>Lines in today's schedule</t>
        </is>
      </c>
      <c r="I3" s="37" t="inlineStr">
        <is>
          <t>Work orders</t>
        </is>
      </c>
      <c r="J3" s="37" t="inlineStr">
        <is>
          <t>Status shown</t>
        </is>
      </c>
      <c r="K3" s="37" t="inlineStr">
        <is>
          <t>Scheduled</t>
        </is>
      </c>
      <c r="L3" s="37" t="inlineStr">
        <is>
          <t>Note</t>
        </is>
      </c>
      <c r="N3" s="37" t="inlineStr">
        <is>
          <t>Lines to add to column A</t>
        </is>
      </c>
    </row>
    <row r="4">
      <c r="A4" s="51" t="inlineStr">
        <is>
          <t>VPKL01</t>
        </is>
      </c>
      <c r="B4" s="52" t="n"/>
      <c r="C4" s="52" t="n"/>
      <c r="D4" s="53">
        <f>IF(TRIM(SUBSTITUTE(SUBSTITUTE(SUBSTITUTE(SUBSTITUTE(A4&amp;""," "," "),CHAR(9)," "),CHAR(10)," "),CHAR(13)," "))="","",SUMPRODUCT((Calc!$DH$5:$DH$1003=TRIM(SUBSTITUTE(SUBSTITUTE(SUBSTITUTE(SUBSTITUTE(A4&amp;""," "," "),CHAR(9)," "),CHAR(10)," "),CHAR(13)," ")))*Calc!$DM$5:$DM$1003))</f>
        <v/>
      </c>
      <c r="E4" s="54">
        <f>IF(TRIM(SUBSTITUTE(SUBSTITUTE(SUBSTITUTE(SUBSTITUTE(A4&amp;""," "," "),CHAR(9)," "),CHAR(10)," "),CHAR(13)," "))="","",IF(SUMPRODUCT(--(TRIM(SUBSTITUTE(SUBSTITUTE(SUBSTITUTE(SUBSTITUTE($A$3:A3&amp;""," "," "),CHAR(9)," "),CHAR(10)," "),CHAR(13)," "))=TRIM(SUBSTITUTE(SUBSTITUTE(SUBSTITUTE(SUBSTITUTE(A4&amp;""," "," "),CHAR(9)," "),CHAR(10)," "),CHAR(13)," "))))&gt;0,"Listed twice - only the first one is used",IF(D4=0,"Not in today's schedule","")))</f>
        <v/>
      </c>
      <c r="G4" s="55">
        <f>IF(INDEX(Calc!$FZ$5:$FZ$104,ROW()-3)="","",INDEX(Calc!$FX$5:$FX$104,ROW()-3))</f>
        <v/>
      </c>
      <c r="H4" s="26">
        <f>INDEX(Calc!$FZ$5:$FZ$104,ROW()-3)</f>
        <v/>
      </c>
      <c r="I4" s="56">
        <f>INDEX(Calc!$GA$5:$GA$104,ROW()-3)</f>
        <v/>
      </c>
      <c r="J4" s="57">
        <f>INDEX(Calc!$GB$5:$GB$104,ROW()-3)</f>
        <v/>
      </c>
      <c r="K4" s="57">
        <f>INDEX(Calc!$GC$5:$GC$104,ROW()-3)</f>
        <v/>
      </c>
      <c r="L4" s="31">
        <f>INDEX(Calc!$GD$5:$GD$104,ROW()-3)</f>
        <v/>
      </c>
      <c r="N4" s="58">
        <f>INDEX(Calc!$GG$5:$GG$104,ROW()-3)</f>
        <v/>
      </c>
    </row>
    <row r="5">
      <c r="A5" s="51" t="inlineStr">
        <is>
          <t>VPKL03</t>
        </is>
      </c>
      <c r="B5" s="52" t="n"/>
      <c r="C5" s="52" t="n"/>
      <c r="D5" s="53">
        <f>IF(TRIM(SUBSTITUTE(SUBSTITUTE(SUBSTITUTE(SUBSTITUTE(A5&amp;""," "," "),CHAR(9)," "),CHAR(10)," "),CHAR(13)," "))="","",SUMPRODUCT((Calc!$DH$5:$DH$1003=TRIM(SUBSTITUTE(SUBSTITUTE(SUBSTITUTE(SUBSTITUTE(A5&amp;""," "," "),CHAR(9)," "),CHAR(10)," "),CHAR(13)," ")))*Calc!$DM$5:$DM$1003))</f>
        <v/>
      </c>
      <c r="E5" s="54">
        <f>IF(TRIM(SUBSTITUTE(SUBSTITUTE(SUBSTITUTE(SUBSTITUTE(A5&amp;""," "," "),CHAR(9)," "),CHAR(10)," "),CHAR(13)," "))="","",IF(SUMPRODUCT(--(TRIM(SUBSTITUTE(SUBSTITUTE(SUBSTITUTE(SUBSTITUTE($A$3:A4&amp;""," "," "),CHAR(9)," "),CHAR(10)," "),CHAR(13)," "))=TRIM(SUBSTITUTE(SUBSTITUTE(SUBSTITUTE(SUBSTITUTE(A5&amp;""," "," "),CHAR(9)," "),CHAR(10)," "),CHAR(13)," "))))&gt;0,"Listed twice - only the first one is used",IF(D5=0,"Not in today's schedule","")))</f>
        <v/>
      </c>
      <c r="G5" s="55">
        <f>IF(INDEX(Calc!$FZ$5:$FZ$104,ROW()-3)="","",INDEX(Calc!$FX$5:$FX$104,ROW()-3))</f>
        <v/>
      </c>
      <c r="H5" s="26">
        <f>INDEX(Calc!$FZ$5:$FZ$104,ROW()-3)</f>
        <v/>
      </c>
      <c r="I5" s="56">
        <f>INDEX(Calc!$GA$5:$GA$104,ROW()-3)</f>
        <v/>
      </c>
      <c r="J5" s="57">
        <f>INDEX(Calc!$GB$5:$GB$104,ROW()-3)</f>
        <v/>
      </c>
      <c r="K5" s="57">
        <f>INDEX(Calc!$GC$5:$GC$104,ROW()-3)</f>
        <v/>
      </c>
      <c r="L5" s="31">
        <f>INDEX(Calc!$GD$5:$GD$104,ROW()-3)</f>
        <v/>
      </c>
      <c r="N5" s="58">
        <f>INDEX(Calc!$GG$5:$GG$104,ROW()-3)</f>
        <v/>
      </c>
    </row>
    <row r="6">
      <c r="A6" s="51" t="inlineStr">
        <is>
          <t>VPKL05</t>
        </is>
      </c>
      <c r="B6" s="52" t="n"/>
      <c r="C6" s="52" t="n"/>
      <c r="D6" s="53">
        <f>IF(TRIM(SUBSTITUTE(SUBSTITUTE(SUBSTITUTE(SUBSTITUTE(A6&amp;""," "," "),CHAR(9)," "),CHAR(10)," "),CHAR(13)," "))="","",SUMPRODUCT((Calc!$DH$5:$DH$1003=TRIM(SUBSTITUTE(SUBSTITUTE(SUBSTITUTE(SUBSTITUTE(A6&amp;""," "," "),CHAR(9)," "),CHAR(10)," "),CHAR(13)," ")))*Calc!$DM$5:$DM$1003))</f>
        <v/>
      </c>
      <c r="E6" s="54">
        <f>IF(TRIM(SUBSTITUTE(SUBSTITUTE(SUBSTITUTE(SUBSTITUTE(A6&amp;""," "," "),CHAR(9)," "),CHAR(10)," "),CHAR(13)," "))="","",IF(SUMPRODUCT(--(TRIM(SUBSTITUTE(SUBSTITUTE(SUBSTITUTE(SUBSTITUTE($A$3:A5&amp;""," "," "),CHAR(9)," "),CHAR(10)," "),CHAR(13)," "))=TRIM(SUBSTITUTE(SUBSTITUTE(SUBSTITUTE(SUBSTITUTE(A6&amp;""," "," "),CHAR(9)," "),CHAR(10)," "),CHAR(13)," "))))&gt;0,"Listed twice - only the first one is used",IF(D6=0,"Not in today's schedule","")))</f>
        <v/>
      </c>
      <c r="G6" s="55">
        <f>IF(INDEX(Calc!$FZ$5:$FZ$104,ROW()-3)="","",INDEX(Calc!$FX$5:$FX$104,ROW()-3))</f>
        <v/>
      </c>
      <c r="H6" s="26">
        <f>INDEX(Calc!$FZ$5:$FZ$104,ROW()-3)</f>
        <v/>
      </c>
      <c r="I6" s="56">
        <f>INDEX(Calc!$GA$5:$GA$104,ROW()-3)</f>
        <v/>
      </c>
      <c r="J6" s="57">
        <f>INDEX(Calc!$GB$5:$GB$104,ROW()-3)</f>
        <v/>
      </c>
      <c r="K6" s="57">
        <f>INDEX(Calc!$GC$5:$GC$104,ROW()-3)</f>
        <v/>
      </c>
      <c r="L6" s="31">
        <f>INDEX(Calc!$GD$5:$GD$104,ROW()-3)</f>
        <v/>
      </c>
      <c r="N6" s="58">
        <f>INDEX(Calc!$GG$5:$GG$104,ROW()-3)</f>
        <v/>
      </c>
    </row>
    <row r="7">
      <c r="A7" s="51" t="inlineStr">
        <is>
          <t>VPKL07</t>
        </is>
      </c>
      <c r="B7" s="52" t="n"/>
      <c r="C7" s="52" t="n"/>
      <c r="D7" s="53">
        <f>IF(TRIM(SUBSTITUTE(SUBSTITUTE(SUBSTITUTE(SUBSTITUTE(A7&amp;""," "," "),CHAR(9)," "),CHAR(10)," "),CHAR(13)," "))="","",SUMPRODUCT((Calc!$DH$5:$DH$1003=TRIM(SUBSTITUTE(SUBSTITUTE(SUBSTITUTE(SUBSTITUTE(A7&amp;""," "," "),CHAR(9)," "),CHAR(10)," "),CHAR(13)," ")))*Calc!$DM$5:$DM$1003))</f>
        <v/>
      </c>
      <c r="E7" s="54">
        <f>IF(TRIM(SUBSTITUTE(SUBSTITUTE(SUBSTITUTE(SUBSTITUTE(A7&amp;""," "," "),CHAR(9)," "),CHAR(10)," "),CHAR(13)," "))="","",IF(SUMPRODUCT(--(TRIM(SUBSTITUTE(SUBSTITUTE(SUBSTITUTE(SUBSTITUTE($A$3:A6&amp;""," "," "),CHAR(9)," "),CHAR(10)," "),CHAR(13)," "))=TRIM(SUBSTITUTE(SUBSTITUTE(SUBSTITUTE(SUBSTITUTE(A7&amp;""," "," "),CHAR(9)," "),CHAR(10)," "),CHAR(13)," "))))&gt;0,"Listed twice - only the first one is used",IF(D7=0,"Not in today's schedule","")))</f>
        <v/>
      </c>
      <c r="G7" s="55">
        <f>IF(INDEX(Calc!$FZ$5:$FZ$104,ROW()-3)="","",INDEX(Calc!$FX$5:$FX$104,ROW()-3))</f>
        <v/>
      </c>
      <c r="H7" s="26">
        <f>INDEX(Calc!$FZ$5:$FZ$104,ROW()-3)</f>
        <v/>
      </c>
      <c r="I7" s="56">
        <f>INDEX(Calc!$GA$5:$GA$104,ROW()-3)</f>
        <v/>
      </c>
      <c r="J7" s="57">
        <f>INDEX(Calc!$GB$5:$GB$104,ROW()-3)</f>
        <v/>
      </c>
      <c r="K7" s="57">
        <f>INDEX(Calc!$GC$5:$GC$104,ROW()-3)</f>
        <v/>
      </c>
      <c r="L7" s="31">
        <f>INDEX(Calc!$GD$5:$GD$104,ROW()-3)</f>
        <v/>
      </c>
      <c r="N7" s="58">
        <f>INDEX(Calc!$GG$5:$GG$104,ROW()-3)</f>
        <v/>
      </c>
    </row>
    <row r="8">
      <c r="A8" s="51" t="inlineStr">
        <is>
          <t>VPKL08</t>
        </is>
      </c>
      <c r="B8" s="52" t="n"/>
      <c r="C8" s="52" t="n"/>
      <c r="D8" s="53">
        <f>IF(TRIM(SUBSTITUTE(SUBSTITUTE(SUBSTITUTE(SUBSTITUTE(A8&amp;""," "," "),CHAR(9)," "),CHAR(10)," "),CHAR(13)," "))="","",SUMPRODUCT((Calc!$DH$5:$DH$1003=TRIM(SUBSTITUTE(SUBSTITUTE(SUBSTITUTE(SUBSTITUTE(A8&amp;""," "," "),CHAR(9)," "),CHAR(10)," "),CHAR(13)," ")))*Calc!$DM$5:$DM$1003))</f>
        <v/>
      </c>
      <c r="E8" s="54">
        <f>IF(TRIM(SUBSTITUTE(SUBSTITUTE(SUBSTITUTE(SUBSTITUTE(A8&amp;""," "," "),CHAR(9)," "),CHAR(10)," "),CHAR(13)," "))="","",IF(SUMPRODUCT(--(TRIM(SUBSTITUTE(SUBSTITUTE(SUBSTITUTE(SUBSTITUTE($A$3:A7&amp;""," "," "),CHAR(9)," "),CHAR(10)," "),CHAR(13)," "))=TRIM(SUBSTITUTE(SUBSTITUTE(SUBSTITUTE(SUBSTITUTE(A8&amp;""," "," "),CHAR(9)," "),CHAR(10)," "),CHAR(13)," "))))&gt;0,"Listed twice - only the first one is used",IF(D8=0,"Not in today's schedule","")))</f>
        <v/>
      </c>
      <c r="G8" s="55">
        <f>IF(INDEX(Calc!$FZ$5:$FZ$104,ROW()-3)="","",INDEX(Calc!$FX$5:$FX$104,ROW()-3))</f>
        <v/>
      </c>
      <c r="H8" s="26">
        <f>INDEX(Calc!$FZ$5:$FZ$104,ROW()-3)</f>
        <v/>
      </c>
      <c r="I8" s="56">
        <f>INDEX(Calc!$GA$5:$GA$104,ROW()-3)</f>
        <v/>
      </c>
      <c r="J8" s="57">
        <f>INDEX(Calc!$GB$5:$GB$104,ROW()-3)</f>
        <v/>
      </c>
      <c r="K8" s="57">
        <f>INDEX(Calc!$GC$5:$GC$104,ROW()-3)</f>
        <v/>
      </c>
      <c r="L8" s="31">
        <f>INDEX(Calc!$GD$5:$GD$104,ROW()-3)</f>
        <v/>
      </c>
      <c r="N8" s="58">
        <f>INDEX(Calc!$GG$5:$GG$104,ROW()-3)</f>
        <v/>
      </c>
    </row>
    <row r="9">
      <c r="A9" s="51" t="inlineStr">
        <is>
          <t>VPKL09</t>
        </is>
      </c>
      <c r="B9" s="52" t="n"/>
      <c r="C9" s="52" t="n"/>
      <c r="D9" s="53">
        <f>IF(TRIM(SUBSTITUTE(SUBSTITUTE(SUBSTITUTE(SUBSTITUTE(A9&amp;""," "," "),CHAR(9)," "),CHAR(10)," "),CHAR(13)," "))="","",SUMPRODUCT((Calc!$DH$5:$DH$1003=TRIM(SUBSTITUTE(SUBSTITUTE(SUBSTITUTE(SUBSTITUTE(A9&amp;""," "," "),CHAR(9)," "),CHAR(10)," "),CHAR(13)," ")))*Calc!$DM$5:$DM$1003))</f>
        <v/>
      </c>
      <c r="E9" s="54">
        <f>IF(TRIM(SUBSTITUTE(SUBSTITUTE(SUBSTITUTE(SUBSTITUTE(A9&amp;""," "," "),CHAR(9)," "),CHAR(10)," "),CHAR(13)," "))="","",IF(SUMPRODUCT(--(TRIM(SUBSTITUTE(SUBSTITUTE(SUBSTITUTE(SUBSTITUTE($A$3:A8&amp;""," "," "),CHAR(9)," "),CHAR(10)," "),CHAR(13)," "))=TRIM(SUBSTITUTE(SUBSTITUTE(SUBSTITUTE(SUBSTITUTE(A9&amp;""," "," "),CHAR(9)," "),CHAR(10)," "),CHAR(13)," "))))&gt;0,"Listed twice - only the first one is used",IF(D9=0,"Not in today's schedule","")))</f>
        <v/>
      </c>
      <c r="G9" s="55">
        <f>IF(INDEX(Calc!$FZ$5:$FZ$104,ROW()-3)="","",INDEX(Calc!$FX$5:$FX$104,ROW()-3))</f>
        <v/>
      </c>
      <c r="H9" s="26">
        <f>INDEX(Calc!$FZ$5:$FZ$104,ROW()-3)</f>
        <v/>
      </c>
      <c r="I9" s="56">
        <f>INDEX(Calc!$GA$5:$GA$104,ROW()-3)</f>
        <v/>
      </c>
      <c r="J9" s="57">
        <f>INDEX(Calc!$GB$5:$GB$104,ROW()-3)</f>
        <v/>
      </c>
      <c r="K9" s="57">
        <f>INDEX(Calc!$GC$5:$GC$104,ROW()-3)</f>
        <v/>
      </c>
      <c r="L9" s="31">
        <f>INDEX(Calc!$GD$5:$GD$104,ROW()-3)</f>
        <v/>
      </c>
      <c r="N9" s="58">
        <f>INDEX(Calc!$GG$5:$GG$104,ROW()-3)</f>
        <v/>
      </c>
    </row>
    <row r="10">
      <c r="A10" s="51" t="inlineStr">
        <is>
          <t>VPKL10</t>
        </is>
      </c>
      <c r="B10" s="52" t="n"/>
      <c r="C10" s="52" t="n"/>
      <c r="D10" s="53">
        <f>IF(TRIM(SUBSTITUTE(SUBSTITUTE(SUBSTITUTE(SUBSTITUTE(A10&amp;""," "," "),CHAR(9)," "),CHAR(10)," "),CHAR(13)," "))="","",SUMPRODUCT((Calc!$DH$5:$DH$1003=TRIM(SUBSTITUTE(SUBSTITUTE(SUBSTITUTE(SUBSTITUTE(A10&amp;""," "," "),CHAR(9)," "),CHAR(10)," "),CHAR(13)," ")))*Calc!$DM$5:$DM$1003))</f>
        <v/>
      </c>
      <c r="E10" s="54">
        <f>IF(TRIM(SUBSTITUTE(SUBSTITUTE(SUBSTITUTE(SUBSTITUTE(A10&amp;""," "," "),CHAR(9)," "),CHAR(10)," "),CHAR(13)," "))="","",IF(SUMPRODUCT(--(TRIM(SUBSTITUTE(SUBSTITUTE(SUBSTITUTE(SUBSTITUTE($A$3:A9&amp;""," "," "),CHAR(9)," "),CHAR(10)," "),CHAR(13)," "))=TRIM(SUBSTITUTE(SUBSTITUTE(SUBSTITUTE(SUBSTITUTE(A10&amp;""," "," "),CHAR(9)," "),CHAR(10)," "),CHAR(13)," "))))&gt;0,"Listed twice - only the first one is used",IF(D10=0,"Not in today's schedule","")))</f>
        <v/>
      </c>
      <c r="G10" s="55">
        <f>IF(INDEX(Calc!$FZ$5:$FZ$104,ROW()-3)="","",INDEX(Calc!$FX$5:$FX$104,ROW()-3))</f>
        <v/>
      </c>
      <c r="H10" s="26">
        <f>INDEX(Calc!$FZ$5:$FZ$104,ROW()-3)</f>
        <v/>
      </c>
      <c r="I10" s="56">
        <f>INDEX(Calc!$GA$5:$GA$104,ROW()-3)</f>
        <v/>
      </c>
      <c r="J10" s="57">
        <f>INDEX(Calc!$GB$5:$GB$104,ROW()-3)</f>
        <v/>
      </c>
      <c r="K10" s="57">
        <f>INDEX(Calc!$GC$5:$GC$104,ROW()-3)</f>
        <v/>
      </c>
      <c r="L10" s="31">
        <f>INDEX(Calc!$GD$5:$GD$104,ROW()-3)</f>
        <v/>
      </c>
      <c r="N10" s="58">
        <f>INDEX(Calc!$GG$5:$GG$104,ROW()-3)</f>
        <v/>
      </c>
    </row>
    <row r="11">
      <c r="A11" s="51" t="inlineStr">
        <is>
          <t>VPKL12</t>
        </is>
      </c>
      <c r="B11" s="52" t="n"/>
      <c r="C11" s="52" t="n"/>
      <c r="D11" s="53">
        <f>IF(TRIM(SUBSTITUTE(SUBSTITUTE(SUBSTITUTE(SUBSTITUTE(A11&amp;""," "," "),CHAR(9)," "),CHAR(10)," "),CHAR(13)," "))="","",SUMPRODUCT((Calc!$DH$5:$DH$1003=TRIM(SUBSTITUTE(SUBSTITUTE(SUBSTITUTE(SUBSTITUTE(A11&amp;""," "," "),CHAR(9)," "),CHAR(10)," "),CHAR(13)," ")))*Calc!$DM$5:$DM$1003))</f>
        <v/>
      </c>
      <c r="E11" s="54">
        <f>IF(TRIM(SUBSTITUTE(SUBSTITUTE(SUBSTITUTE(SUBSTITUTE(A11&amp;""," "," "),CHAR(9)," "),CHAR(10)," "),CHAR(13)," "))="","",IF(SUMPRODUCT(--(TRIM(SUBSTITUTE(SUBSTITUTE(SUBSTITUTE(SUBSTITUTE($A$3:A10&amp;""," "," "),CHAR(9)," "),CHAR(10)," "),CHAR(13)," "))=TRIM(SUBSTITUTE(SUBSTITUTE(SUBSTITUTE(SUBSTITUTE(A11&amp;""," "," "),CHAR(9)," "),CHAR(10)," "),CHAR(13)," "))))&gt;0,"Listed twice - only the first one is used",IF(D11=0,"Not in today's schedule","")))</f>
        <v/>
      </c>
      <c r="G11" s="55">
        <f>IF(INDEX(Calc!$FZ$5:$FZ$104,ROW()-3)="","",INDEX(Calc!$FX$5:$FX$104,ROW()-3))</f>
        <v/>
      </c>
      <c r="H11" s="26">
        <f>INDEX(Calc!$FZ$5:$FZ$104,ROW()-3)</f>
        <v/>
      </c>
      <c r="I11" s="56">
        <f>INDEX(Calc!$GA$5:$GA$104,ROW()-3)</f>
        <v/>
      </c>
      <c r="J11" s="57">
        <f>INDEX(Calc!$GB$5:$GB$104,ROW()-3)</f>
        <v/>
      </c>
      <c r="K11" s="57">
        <f>INDEX(Calc!$GC$5:$GC$104,ROW()-3)</f>
        <v/>
      </c>
      <c r="L11" s="31">
        <f>INDEX(Calc!$GD$5:$GD$104,ROW()-3)</f>
        <v/>
      </c>
      <c r="N11" s="58">
        <f>INDEX(Calc!$GG$5:$GG$104,ROW()-3)</f>
        <v/>
      </c>
    </row>
    <row r="12">
      <c r="A12" s="51" t="n"/>
      <c r="B12" s="52" t="n"/>
      <c r="C12" s="52" t="n"/>
      <c r="D12" s="53">
        <f>IF(TRIM(SUBSTITUTE(SUBSTITUTE(SUBSTITUTE(SUBSTITUTE(A12&amp;""," "," "),CHAR(9)," "),CHAR(10)," "),CHAR(13)," "))="","",SUMPRODUCT((Calc!$DH$5:$DH$1003=TRIM(SUBSTITUTE(SUBSTITUTE(SUBSTITUTE(SUBSTITUTE(A12&amp;""," "," "),CHAR(9)," "),CHAR(10)," "),CHAR(13)," ")))*Calc!$DM$5:$DM$1003))</f>
        <v/>
      </c>
      <c r="E12" s="54">
        <f>IF(TRIM(SUBSTITUTE(SUBSTITUTE(SUBSTITUTE(SUBSTITUTE(A12&amp;""," "," "),CHAR(9)," "),CHAR(10)," "),CHAR(13)," "))="","",IF(SUMPRODUCT(--(TRIM(SUBSTITUTE(SUBSTITUTE(SUBSTITUTE(SUBSTITUTE($A$3:A11&amp;""," "," "),CHAR(9)," "),CHAR(10)," "),CHAR(13)," "))=TRIM(SUBSTITUTE(SUBSTITUTE(SUBSTITUTE(SUBSTITUTE(A12&amp;""," "," "),CHAR(9)," "),CHAR(10)," "),CHAR(13)," "))))&gt;0,"Listed twice - only the first one is used",IF(D12=0,"Not in today's schedule","")))</f>
        <v/>
      </c>
      <c r="G12" s="55">
        <f>IF(INDEX(Calc!$FZ$5:$FZ$104,ROW()-3)="","",INDEX(Calc!$FX$5:$FX$104,ROW()-3))</f>
        <v/>
      </c>
      <c r="H12" s="26">
        <f>INDEX(Calc!$FZ$5:$FZ$104,ROW()-3)</f>
        <v/>
      </c>
      <c r="I12" s="56">
        <f>INDEX(Calc!$GA$5:$GA$104,ROW()-3)</f>
        <v/>
      </c>
      <c r="J12" s="57">
        <f>INDEX(Calc!$GB$5:$GB$104,ROW()-3)</f>
        <v/>
      </c>
      <c r="K12" s="57">
        <f>INDEX(Calc!$GC$5:$GC$104,ROW()-3)</f>
        <v/>
      </c>
      <c r="L12" s="31">
        <f>INDEX(Calc!$GD$5:$GD$104,ROW()-3)</f>
        <v/>
      </c>
      <c r="N12" s="58">
        <f>INDEX(Calc!$GG$5:$GG$104,ROW()-3)</f>
        <v/>
      </c>
    </row>
    <row r="13">
      <c r="A13" s="51" t="n"/>
      <c r="B13" s="52" t="n"/>
      <c r="C13" s="52" t="n"/>
      <c r="D13" s="53">
        <f>IF(TRIM(SUBSTITUTE(SUBSTITUTE(SUBSTITUTE(SUBSTITUTE(A13&amp;""," "," "),CHAR(9)," "),CHAR(10)," "),CHAR(13)," "))="","",SUMPRODUCT((Calc!$DH$5:$DH$1003=TRIM(SUBSTITUTE(SUBSTITUTE(SUBSTITUTE(SUBSTITUTE(A13&amp;""," "," "),CHAR(9)," "),CHAR(10)," "),CHAR(13)," ")))*Calc!$DM$5:$DM$1003))</f>
        <v/>
      </c>
      <c r="E13" s="54">
        <f>IF(TRIM(SUBSTITUTE(SUBSTITUTE(SUBSTITUTE(SUBSTITUTE(A13&amp;""," "," "),CHAR(9)," "),CHAR(10)," "),CHAR(13)," "))="","",IF(SUMPRODUCT(--(TRIM(SUBSTITUTE(SUBSTITUTE(SUBSTITUTE(SUBSTITUTE($A$3:A12&amp;""," "," "),CHAR(9)," "),CHAR(10)," "),CHAR(13)," "))=TRIM(SUBSTITUTE(SUBSTITUTE(SUBSTITUTE(SUBSTITUTE(A13&amp;""," "," "),CHAR(9)," "),CHAR(10)," "),CHAR(13)," "))))&gt;0,"Listed twice - only the first one is used",IF(D13=0,"Not in today's schedule","")))</f>
        <v/>
      </c>
      <c r="G13" s="55">
        <f>IF(INDEX(Calc!$FZ$5:$FZ$104,ROW()-3)="","",INDEX(Calc!$FX$5:$FX$104,ROW()-3))</f>
        <v/>
      </c>
      <c r="H13" s="26">
        <f>INDEX(Calc!$FZ$5:$FZ$104,ROW()-3)</f>
        <v/>
      </c>
      <c r="I13" s="56">
        <f>INDEX(Calc!$GA$5:$GA$104,ROW()-3)</f>
        <v/>
      </c>
      <c r="J13" s="57">
        <f>INDEX(Calc!$GB$5:$GB$104,ROW()-3)</f>
        <v/>
      </c>
      <c r="K13" s="57">
        <f>INDEX(Calc!$GC$5:$GC$104,ROW()-3)</f>
        <v/>
      </c>
      <c r="L13" s="31">
        <f>INDEX(Calc!$GD$5:$GD$104,ROW()-3)</f>
        <v/>
      </c>
      <c r="N13" s="58">
        <f>INDEX(Calc!$GG$5:$GG$104,ROW()-3)</f>
        <v/>
      </c>
    </row>
    <row r="14">
      <c r="A14" s="51" t="n"/>
      <c r="B14" s="52" t="n"/>
      <c r="C14" s="52" t="n"/>
      <c r="D14" s="53">
        <f>IF(TRIM(SUBSTITUTE(SUBSTITUTE(SUBSTITUTE(SUBSTITUTE(A14&amp;""," "," "),CHAR(9)," "),CHAR(10)," "),CHAR(13)," "))="","",SUMPRODUCT((Calc!$DH$5:$DH$1003=TRIM(SUBSTITUTE(SUBSTITUTE(SUBSTITUTE(SUBSTITUTE(A14&amp;""," "," "),CHAR(9)," "),CHAR(10)," "),CHAR(13)," ")))*Calc!$DM$5:$DM$1003))</f>
        <v/>
      </c>
      <c r="E14" s="54">
        <f>IF(TRIM(SUBSTITUTE(SUBSTITUTE(SUBSTITUTE(SUBSTITUTE(A14&amp;""," "," "),CHAR(9)," "),CHAR(10)," "),CHAR(13)," "))="","",IF(SUMPRODUCT(--(TRIM(SUBSTITUTE(SUBSTITUTE(SUBSTITUTE(SUBSTITUTE($A$3:A13&amp;""," "," "),CHAR(9)," "),CHAR(10)," "),CHAR(13)," "))=TRIM(SUBSTITUTE(SUBSTITUTE(SUBSTITUTE(SUBSTITUTE(A14&amp;""," "," "),CHAR(9)," "),CHAR(10)," "),CHAR(13)," "))))&gt;0,"Listed twice - only the first one is used",IF(D14=0,"Not in today's schedule","")))</f>
        <v/>
      </c>
      <c r="G14" s="55">
        <f>IF(INDEX(Calc!$FZ$5:$FZ$104,ROW()-3)="","",INDEX(Calc!$FX$5:$FX$104,ROW()-3))</f>
        <v/>
      </c>
      <c r="H14" s="26">
        <f>INDEX(Calc!$FZ$5:$FZ$104,ROW()-3)</f>
        <v/>
      </c>
      <c r="I14" s="56">
        <f>INDEX(Calc!$GA$5:$GA$104,ROW()-3)</f>
        <v/>
      </c>
      <c r="J14" s="57">
        <f>INDEX(Calc!$GB$5:$GB$104,ROW()-3)</f>
        <v/>
      </c>
      <c r="K14" s="57">
        <f>INDEX(Calc!$GC$5:$GC$104,ROW()-3)</f>
        <v/>
      </c>
      <c r="L14" s="31">
        <f>INDEX(Calc!$GD$5:$GD$104,ROW()-3)</f>
        <v/>
      </c>
      <c r="N14" s="58">
        <f>INDEX(Calc!$GG$5:$GG$104,ROW()-3)</f>
        <v/>
      </c>
    </row>
    <row r="15">
      <c r="A15" s="51" t="n"/>
      <c r="B15" s="52" t="n"/>
      <c r="C15" s="52" t="n"/>
      <c r="D15" s="53">
        <f>IF(TRIM(SUBSTITUTE(SUBSTITUTE(SUBSTITUTE(SUBSTITUTE(A15&amp;""," "," "),CHAR(9)," "),CHAR(10)," "),CHAR(13)," "))="","",SUMPRODUCT((Calc!$DH$5:$DH$1003=TRIM(SUBSTITUTE(SUBSTITUTE(SUBSTITUTE(SUBSTITUTE(A15&amp;""," "," "),CHAR(9)," "),CHAR(10)," "),CHAR(13)," ")))*Calc!$DM$5:$DM$1003))</f>
        <v/>
      </c>
      <c r="E15" s="54">
        <f>IF(TRIM(SUBSTITUTE(SUBSTITUTE(SUBSTITUTE(SUBSTITUTE(A15&amp;""," "," "),CHAR(9)," "),CHAR(10)," "),CHAR(13)," "))="","",IF(SUMPRODUCT(--(TRIM(SUBSTITUTE(SUBSTITUTE(SUBSTITUTE(SUBSTITUTE($A$3:A14&amp;""," "," "),CHAR(9)," "),CHAR(10)," "),CHAR(13)," "))=TRIM(SUBSTITUTE(SUBSTITUTE(SUBSTITUTE(SUBSTITUTE(A15&amp;""," "," "),CHAR(9)," "),CHAR(10)," "),CHAR(13)," "))))&gt;0,"Listed twice - only the first one is used",IF(D15=0,"Not in today's schedule","")))</f>
        <v/>
      </c>
      <c r="G15" s="55">
        <f>IF(INDEX(Calc!$FZ$5:$FZ$104,ROW()-3)="","",INDEX(Calc!$FX$5:$FX$104,ROW()-3))</f>
        <v/>
      </c>
      <c r="H15" s="26">
        <f>INDEX(Calc!$FZ$5:$FZ$104,ROW()-3)</f>
        <v/>
      </c>
      <c r="I15" s="56">
        <f>INDEX(Calc!$GA$5:$GA$104,ROW()-3)</f>
        <v/>
      </c>
      <c r="J15" s="57">
        <f>INDEX(Calc!$GB$5:$GB$104,ROW()-3)</f>
        <v/>
      </c>
      <c r="K15" s="57">
        <f>INDEX(Calc!$GC$5:$GC$104,ROW()-3)</f>
        <v/>
      </c>
      <c r="L15" s="31">
        <f>INDEX(Calc!$GD$5:$GD$104,ROW()-3)</f>
        <v/>
      </c>
      <c r="N15" s="58">
        <f>INDEX(Calc!$GG$5:$GG$104,ROW()-3)</f>
        <v/>
      </c>
    </row>
    <row r="16">
      <c r="A16" s="51" t="n"/>
      <c r="B16" s="52" t="n"/>
      <c r="C16" s="52" t="n"/>
      <c r="D16" s="53">
        <f>IF(TRIM(SUBSTITUTE(SUBSTITUTE(SUBSTITUTE(SUBSTITUTE(A16&amp;""," "," "),CHAR(9)," "),CHAR(10)," "),CHAR(13)," "))="","",SUMPRODUCT((Calc!$DH$5:$DH$1003=TRIM(SUBSTITUTE(SUBSTITUTE(SUBSTITUTE(SUBSTITUTE(A16&amp;""," "," "),CHAR(9)," "),CHAR(10)," "),CHAR(13)," ")))*Calc!$DM$5:$DM$1003))</f>
        <v/>
      </c>
      <c r="E16" s="54">
        <f>IF(TRIM(SUBSTITUTE(SUBSTITUTE(SUBSTITUTE(SUBSTITUTE(A16&amp;""," "," "),CHAR(9)," "),CHAR(10)," "),CHAR(13)," "))="","",IF(SUMPRODUCT(--(TRIM(SUBSTITUTE(SUBSTITUTE(SUBSTITUTE(SUBSTITUTE($A$3:A15&amp;""," "," "),CHAR(9)," "),CHAR(10)," "),CHAR(13)," "))=TRIM(SUBSTITUTE(SUBSTITUTE(SUBSTITUTE(SUBSTITUTE(A16&amp;""," "," "),CHAR(9)," "),CHAR(10)," "),CHAR(13)," "))))&gt;0,"Listed twice - only the first one is used",IF(D16=0,"Not in today's schedule","")))</f>
        <v/>
      </c>
      <c r="G16" s="55">
        <f>IF(INDEX(Calc!$FZ$5:$FZ$104,ROW()-3)="","",INDEX(Calc!$FX$5:$FX$104,ROW()-3))</f>
        <v/>
      </c>
      <c r="H16" s="26">
        <f>INDEX(Calc!$FZ$5:$FZ$104,ROW()-3)</f>
        <v/>
      </c>
      <c r="I16" s="56">
        <f>INDEX(Calc!$GA$5:$GA$104,ROW()-3)</f>
        <v/>
      </c>
      <c r="J16" s="57">
        <f>INDEX(Calc!$GB$5:$GB$104,ROW()-3)</f>
        <v/>
      </c>
      <c r="K16" s="57">
        <f>INDEX(Calc!$GC$5:$GC$104,ROW()-3)</f>
        <v/>
      </c>
      <c r="L16" s="31">
        <f>INDEX(Calc!$GD$5:$GD$104,ROW()-3)</f>
        <v/>
      </c>
      <c r="N16" s="58">
        <f>INDEX(Calc!$GG$5:$GG$104,ROW()-3)</f>
        <v/>
      </c>
    </row>
    <row r="17">
      <c r="A17" s="51" t="n"/>
      <c r="B17" s="52" t="n"/>
      <c r="C17" s="52" t="n"/>
      <c r="D17" s="53">
        <f>IF(TRIM(SUBSTITUTE(SUBSTITUTE(SUBSTITUTE(SUBSTITUTE(A17&amp;""," "," "),CHAR(9)," "),CHAR(10)," "),CHAR(13)," "))="","",SUMPRODUCT((Calc!$DH$5:$DH$1003=TRIM(SUBSTITUTE(SUBSTITUTE(SUBSTITUTE(SUBSTITUTE(A17&amp;""," "," "),CHAR(9)," "),CHAR(10)," "),CHAR(13)," ")))*Calc!$DM$5:$DM$1003))</f>
        <v/>
      </c>
      <c r="E17" s="54">
        <f>IF(TRIM(SUBSTITUTE(SUBSTITUTE(SUBSTITUTE(SUBSTITUTE(A17&amp;""," "," "),CHAR(9)," "),CHAR(10)," "),CHAR(13)," "))="","",IF(SUMPRODUCT(--(TRIM(SUBSTITUTE(SUBSTITUTE(SUBSTITUTE(SUBSTITUTE($A$3:A16&amp;""," "," "),CHAR(9)," "),CHAR(10)," "),CHAR(13)," "))=TRIM(SUBSTITUTE(SUBSTITUTE(SUBSTITUTE(SUBSTITUTE(A17&amp;""," "," "),CHAR(9)," "),CHAR(10)," "),CHAR(13)," "))))&gt;0,"Listed twice - only the first one is used",IF(D17=0,"Not in today's schedule","")))</f>
        <v/>
      </c>
      <c r="G17" s="55">
        <f>IF(INDEX(Calc!$FZ$5:$FZ$104,ROW()-3)="","",INDEX(Calc!$FX$5:$FX$104,ROW()-3))</f>
        <v/>
      </c>
      <c r="H17" s="26">
        <f>INDEX(Calc!$FZ$5:$FZ$104,ROW()-3)</f>
        <v/>
      </c>
      <c r="I17" s="56">
        <f>INDEX(Calc!$GA$5:$GA$104,ROW()-3)</f>
        <v/>
      </c>
      <c r="J17" s="57">
        <f>INDEX(Calc!$GB$5:$GB$104,ROW()-3)</f>
        <v/>
      </c>
      <c r="K17" s="57">
        <f>INDEX(Calc!$GC$5:$GC$104,ROW()-3)</f>
        <v/>
      </c>
      <c r="L17" s="31">
        <f>INDEX(Calc!$GD$5:$GD$104,ROW()-3)</f>
        <v/>
      </c>
      <c r="N17" s="58">
        <f>INDEX(Calc!$GG$5:$GG$104,ROW()-3)</f>
        <v/>
      </c>
    </row>
    <row r="18">
      <c r="A18" s="51" t="n"/>
      <c r="B18" s="52" t="n"/>
      <c r="C18" s="52" t="n"/>
      <c r="D18" s="53">
        <f>IF(TRIM(SUBSTITUTE(SUBSTITUTE(SUBSTITUTE(SUBSTITUTE(A18&amp;""," "," "),CHAR(9)," "),CHAR(10)," "),CHAR(13)," "))="","",SUMPRODUCT((Calc!$DH$5:$DH$1003=TRIM(SUBSTITUTE(SUBSTITUTE(SUBSTITUTE(SUBSTITUTE(A18&amp;""," "," "),CHAR(9)," "),CHAR(10)," "),CHAR(13)," ")))*Calc!$DM$5:$DM$1003))</f>
        <v/>
      </c>
      <c r="E18" s="54">
        <f>IF(TRIM(SUBSTITUTE(SUBSTITUTE(SUBSTITUTE(SUBSTITUTE(A18&amp;""," "," "),CHAR(9)," "),CHAR(10)," "),CHAR(13)," "))="","",IF(SUMPRODUCT(--(TRIM(SUBSTITUTE(SUBSTITUTE(SUBSTITUTE(SUBSTITUTE($A$3:A17&amp;""," "," "),CHAR(9)," "),CHAR(10)," "),CHAR(13)," "))=TRIM(SUBSTITUTE(SUBSTITUTE(SUBSTITUTE(SUBSTITUTE(A18&amp;""," "," "),CHAR(9)," "),CHAR(10)," "),CHAR(13)," "))))&gt;0,"Listed twice - only the first one is used",IF(D18=0,"Not in today's schedule","")))</f>
        <v/>
      </c>
      <c r="G18" s="55">
        <f>IF(INDEX(Calc!$FZ$5:$FZ$104,ROW()-3)="","",INDEX(Calc!$FX$5:$FX$104,ROW()-3))</f>
        <v/>
      </c>
      <c r="H18" s="26">
        <f>INDEX(Calc!$FZ$5:$FZ$104,ROW()-3)</f>
        <v/>
      </c>
      <c r="I18" s="56">
        <f>INDEX(Calc!$GA$5:$GA$104,ROW()-3)</f>
        <v/>
      </c>
      <c r="J18" s="57">
        <f>INDEX(Calc!$GB$5:$GB$104,ROW()-3)</f>
        <v/>
      </c>
      <c r="K18" s="57">
        <f>INDEX(Calc!$GC$5:$GC$104,ROW()-3)</f>
        <v/>
      </c>
      <c r="L18" s="31">
        <f>INDEX(Calc!$GD$5:$GD$104,ROW()-3)</f>
        <v/>
      </c>
      <c r="N18" s="58">
        <f>INDEX(Calc!$GG$5:$GG$104,ROW()-3)</f>
        <v/>
      </c>
    </row>
    <row r="19">
      <c r="A19" s="51" t="n"/>
      <c r="B19" s="52" t="n"/>
      <c r="C19" s="52" t="n"/>
      <c r="D19" s="53">
        <f>IF(TRIM(SUBSTITUTE(SUBSTITUTE(SUBSTITUTE(SUBSTITUTE(A19&amp;""," "," "),CHAR(9)," "),CHAR(10)," "),CHAR(13)," "))="","",SUMPRODUCT((Calc!$DH$5:$DH$1003=TRIM(SUBSTITUTE(SUBSTITUTE(SUBSTITUTE(SUBSTITUTE(A19&amp;""," "," "),CHAR(9)," "),CHAR(10)," "),CHAR(13)," ")))*Calc!$DM$5:$DM$1003))</f>
        <v/>
      </c>
      <c r="E19" s="54">
        <f>IF(TRIM(SUBSTITUTE(SUBSTITUTE(SUBSTITUTE(SUBSTITUTE(A19&amp;""," "," "),CHAR(9)," "),CHAR(10)," "),CHAR(13)," "))="","",IF(SUMPRODUCT(--(TRIM(SUBSTITUTE(SUBSTITUTE(SUBSTITUTE(SUBSTITUTE($A$3:A18&amp;""," "," "),CHAR(9)," "),CHAR(10)," "),CHAR(13)," "))=TRIM(SUBSTITUTE(SUBSTITUTE(SUBSTITUTE(SUBSTITUTE(A19&amp;""," "," "),CHAR(9)," "),CHAR(10)," "),CHAR(13)," "))))&gt;0,"Listed twice - only the first one is used",IF(D19=0,"Not in today's schedule","")))</f>
        <v/>
      </c>
      <c r="G19" s="55">
        <f>IF(INDEX(Calc!$FZ$5:$FZ$104,ROW()-3)="","",INDEX(Calc!$FX$5:$FX$104,ROW()-3))</f>
        <v/>
      </c>
      <c r="H19" s="26">
        <f>INDEX(Calc!$FZ$5:$FZ$104,ROW()-3)</f>
        <v/>
      </c>
      <c r="I19" s="56">
        <f>INDEX(Calc!$GA$5:$GA$104,ROW()-3)</f>
        <v/>
      </c>
      <c r="J19" s="57">
        <f>INDEX(Calc!$GB$5:$GB$104,ROW()-3)</f>
        <v/>
      </c>
      <c r="K19" s="57">
        <f>INDEX(Calc!$GC$5:$GC$104,ROW()-3)</f>
        <v/>
      </c>
      <c r="L19" s="31">
        <f>INDEX(Calc!$GD$5:$GD$104,ROW()-3)</f>
        <v/>
      </c>
      <c r="N19" s="58">
        <f>INDEX(Calc!$GG$5:$GG$104,ROW()-3)</f>
        <v/>
      </c>
    </row>
    <row r="20">
      <c r="A20" s="51" t="n"/>
      <c r="B20" s="52" t="n"/>
      <c r="C20" s="52" t="n"/>
      <c r="D20" s="53">
        <f>IF(TRIM(SUBSTITUTE(SUBSTITUTE(SUBSTITUTE(SUBSTITUTE(A20&amp;""," "," "),CHAR(9)," "),CHAR(10)," "),CHAR(13)," "))="","",SUMPRODUCT((Calc!$DH$5:$DH$1003=TRIM(SUBSTITUTE(SUBSTITUTE(SUBSTITUTE(SUBSTITUTE(A20&amp;""," "," "),CHAR(9)," "),CHAR(10)," "),CHAR(13)," ")))*Calc!$DM$5:$DM$1003))</f>
        <v/>
      </c>
      <c r="E20" s="54">
        <f>IF(TRIM(SUBSTITUTE(SUBSTITUTE(SUBSTITUTE(SUBSTITUTE(A20&amp;""," "," "),CHAR(9)," "),CHAR(10)," "),CHAR(13)," "))="","",IF(SUMPRODUCT(--(TRIM(SUBSTITUTE(SUBSTITUTE(SUBSTITUTE(SUBSTITUTE($A$3:A19&amp;""," "," "),CHAR(9)," "),CHAR(10)," "),CHAR(13)," "))=TRIM(SUBSTITUTE(SUBSTITUTE(SUBSTITUTE(SUBSTITUTE(A20&amp;""," "," "),CHAR(9)," "),CHAR(10)," "),CHAR(13)," "))))&gt;0,"Listed twice - only the first one is used",IF(D20=0,"Not in today's schedule","")))</f>
        <v/>
      </c>
      <c r="G20" s="55">
        <f>IF(INDEX(Calc!$FZ$5:$FZ$104,ROW()-3)="","",INDEX(Calc!$FX$5:$FX$104,ROW()-3))</f>
        <v/>
      </c>
      <c r="H20" s="26">
        <f>INDEX(Calc!$FZ$5:$FZ$104,ROW()-3)</f>
        <v/>
      </c>
      <c r="I20" s="56">
        <f>INDEX(Calc!$GA$5:$GA$104,ROW()-3)</f>
        <v/>
      </c>
      <c r="J20" s="57">
        <f>INDEX(Calc!$GB$5:$GB$104,ROW()-3)</f>
        <v/>
      </c>
      <c r="K20" s="57">
        <f>INDEX(Calc!$GC$5:$GC$104,ROW()-3)</f>
        <v/>
      </c>
      <c r="L20" s="31">
        <f>INDEX(Calc!$GD$5:$GD$104,ROW()-3)</f>
        <v/>
      </c>
      <c r="N20" s="58">
        <f>INDEX(Calc!$GG$5:$GG$104,ROW()-3)</f>
        <v/>
      </c>
    </row>
    <row r="21">
      <c r="A21" s="51" t="n"/>
      <c r="B21" s="52" t="n"/>
      <c r="C21" s="52" t="n"/>
      <c r="D21" s="53">
        <f>IF(TRIM(SUBSTITUTE(SUBSTITUTE(SUBSTITUTE(SUBSTITUTE(A21&amp;""," "," "),CHAR(9)," "),CHAR(10)," "),CHAR(13)," "))="","",SUMPRODUCT((Calc!$DH$5:$DH$1003=TRIM(SUBSTITUTE(SUBSTITUTE(SUBSTITUTE(SUBSTITUTE(A21&amp;""," "," "),CHAR(9)," "),CHAR(10)," "),CHAR(13)," ")))*Calc!$DM$5:$DM$1003))</f>
        <v/>
      </c>
      <c r="E21" s="54">
        <f>IF(TRIM(SUBSTITUTE(SUBSTITUTE(SUBSTITUTE(SUBSTITUTE(A21&amp;""," "," "),CHAR(9)," "),CHAR(10)," "),CHAR(13)," "))="","",IF(SUMPRODUCT(--(TRIM(SUBSTITUTE(SUBSTITUTE(SUBSTITUTE(SUBSTITUTE($A$3:A20&amp;""," "," "),CHAR(9)," "),CHAR(10)," "),CHAR(13)," "))=TRIM(SUBSTITUTE(SUBSTITUTE(SUBSTITUTE(SUBSTITUTE(A21&amp;""," "," "),CHAR(9)," "),CHAR(10)," "),CHAR(13)," "))))&gt;0,"Listed twice - only the first one is used",IF(D21=0,"Not in today's schedule","")))</f>
        <v/>
      </c>
      <c r="G21" s="55">
        <f>IF(INDEX(Calc!$FZ$5:$FZ$104,ROW()-3)="","",INDEX(Calc!$FX$5:$FX$104,ROW()-3))</f>
        <v/>
      </c>
      <c r="H21" s="26">
        <f>INDEX(Calc!$FZ$5:$FZ$104,ROW()-3)</f>
        <v/>
      </c>
      <c r="I21" s="56">
        <f>INDEX(Calc!$GA$5:$GA$104,ROW()-3)</f>
        <v/>
      </c>
      <c r="J21" s="57">
        <f>INDEX(Calc!$GB$5:$GB$104,ROW()-3)</f>
        <v/>
      </c>
      <c r="K21" s="57">
        <f>INDEX(Calc!$GC$5:$GC$104,ROW()-3)</f>
        <v/>
      </c>
      <c r="L21" s="31">
        <f>INDEX(Calc!$GD$5:$GD$104,ROW()-3)</f>
        <v/>
      </c>
      <c r="N21" s="58">
        <f>INDEX(Calc!$GG$5:$GG$104,ROW()-3)</f>
        <v/>
      </c>
    </row>
    <row r="22">
      <c r="A22" s="51" t="n"/>
      <c r="B22" s="52" t="n"/>
      <c r="C22" s="52" t="n"/>
      <c r="D22" s="53">
        <f>IF(TRIM(SUBSTITUTE(SUBSTITUTE(SUBSTITUTE(SUBSTITUTE(A22&amp;""," "," "),CHAR(9)," "),CHAR(10)," "),CHAR(13)," "))="","",SUMPRODUCT((Calc!$DH$5:$DH$1003=TRIM(SUBSTITUTE(SUBSTITUTE(SUBSTITUTE(SUBSTITUTE(A22&amp;""," "," "),CHAR(9)," "),CHAR(10)," "),CHAR(13)," ")))*Calc!$DM$5:$DM$1003))</f>
        <v/>
      </c>
      <c r="E22" s="54">
        <f>IF(TRIM(SUBSTITUTE(SUBSTITUTE(SUBSTITUTE(SUBSTITUTE(A22&amp;""," "," "),CHAR(9)," "),CHAR(10)," "),CHAR(13)," "))="","",IF(SUMPRODUCT(--(TRIM(SUBSTITUTE(SUBSTITUTE(SUBSTITUTE(SUBSTITUTE($A$3:A21&amp;""," "," "),CHAR(9)," "),CHAR(10)," "),CHAR(13)," "))=TRIM(SUBSTITUTE(SUBSTITUTE(SUBSTITUTE(SUBSTITUTE(A22&amp;""," "," "),CHAR(9)," "),CHAR(10)," "),CHAR(13)," "))))&gt;0,"Listed twice - only the first one is used",IF(D22=0,"Not in today's schedule","")))</f>
        <v/>
      </c>
      <c r="G22" s="55">
        <f>IF(INDEX(Calc!$FZ$5:$FZ$104,ROW()-3)="","",INDEX(Calc!$FX$5:$FX$104,ROW()-3))</f>
        <v/>
      </c>
      <c r="H22" s="26">
        <f>INDEX(Calc!$FZ$5:$FZ$104,ROW()-3)</f>
        <v/>
      </c>
      <c r="I22" s="56">
        <f>INDEX(Calc!$GA$5:$GA$104,ROW()-3)</f>
        <v/>
      </c>
      <c r="J22" s="57">
        <f>INDEX(Calc!$GB$5:$GB$104,ROW()-3)</f>
        <v/>
      </c>
      <c r="K22" s="57">
        <f>INDEX(Calc!$GC$5:$GC$104,ROW()-3)</f>
        <v/>
      </c>
      <c r="L22" s="31">
        <f>INDEX(Calc!$GD$5:$GD$104,ROW()-3)</f>
        <v/>
      </c>
      <c r="N22" s="58">
        <f>INDEX(Calc!$GG$5:$GG$104,ROW()-3)</f>
        <v/>
      </c>
    </row>
    <row r="23">
      <c r="A23" s="51" t="n"/>
      <c r="B23" s="52" t="n"/>
      <c r="C23" s="52" t="n"/>
      <c r="D23" s="53">
        <f>IF(TRIM(SUBSTITUTE(SUBSTITUTE(SUBSTITUTE(SUBSTITUTE(A23&amp;""," "," "),CHAR(9)," "),CHAR(10)," "),CHAR(13)," "))="","",SUMPRODUCT((Calc!$DH$5:$DH$1003=TRIM(SUBSTITUTE(SUBSTITUTE(SUBSTITUTE(SUBSTITUTE(A23&amp;""," "," "),CHAR(9)," "),CHAR(10)," "),CHAR(13)," ")))*Calc!$DM$5:$DM$1003))</f>
        <v/>
      </c>
      <c r="E23" s="54">
        <f>IF(TRIM(SUBSTITUTE(SUBSTITUTE(SUBSTITUTE(SUBSTITUTE(A23&amp;""," "," "),CHAR(9)," "),CHAR(10)," "),CHAR(13)," "))="","",IF(SUMPRODUCT(--(TRIM(SUBSTITUTE(SUBSTITUTE(SUBSTITUTE(SUBSTITUTE($A$3:A22&amp;""," "," "),CHAR(9)," "),CHAR(10)," "),CHAR(13)," "))=TRIM(SUBSTITUTE(SUBSTITUTE(SUBSTITUTE(SUBSTITUTE(A23&amp;""," "," "),CHAR(9)," "),CHAR(10)," "),CHAR(13)," "))))&gt;0,"Listed twice - only the first one is used",IF(D23=0,"Not in today's schedule","")))</f>
        <v/>
      </c>
      <c r="G23" s="55">
        <f>IF(INDEX(Calc!$FZ$5:$FZ$104,ROW()-3)="","",INDEX(Calc!$FX$5:$FX$104,ROW()-3))</f>
        <v/>
      </c>
      <c r="H23" s="26">
        <f>INDEX(Calc!$FZ$5:$FZ$104,ROW()-3)</f>
        <v/>
      </c>
      <c r="I23" s="56">
        <f>INDEX(Calc!$GA$5:$GA$104,ROW()-3)</f>
        <v/>
      </c>
      <c r="J23" s="57">
        <f>INDEX(Calc!$GB$5:$GB$104,ROW()-3)</f>
        <v/>
      </c>
      <c r="K23" s="57">
        <f>INDEX(Calc!$GC$5:$GC$104,ROW()-3)</f>
        <v/>
      </c>
      <c r="L23" s="31">
        <f>INDEX(Calc!$GD$5:$GD$104,ROW()-3)</f>
        <v/>
      </c>
      <c r="N23" s="58">
        <f>INDEX(Calc!$GG$5:$GG$104,ROW()-3)</f>
        <v/>
      </c>
    </row>
    <row r="24">
      <c r="A24" s="51" t="n"/>
      <c r="B24" s="52" t="n"/>
      <c r="C24" s="52" t="n"/>
      <c r="D24" s="53">
        <f>IF(TRIM(SUBSTITUTE(SUBSTITUTE(SUBSTITUTE(SUBSTITUTE(A24&amp;""," "," "),CHAR(9)," "),CHAR(10)," "),CHAR(13)," "))="","",SUMPRODUCT((Calc!$DH$5:$DH$1003=TRIM(SUBSTITUTE(SUBSTITUTE(SUBSTITUTE(SUBSTITUTE(A24&amp;""," "," "),CHAR(9)," "),CHAR(10)," "),CHAR(13)," ")))*Calc!$DM$5:$DM$1003))</f>
        <v/>
      </c>
      <c r="E24" s="54">
        <f>IF(TRIM(SUBSTITUTE(SUBSTITUTE(SUBSTITUTE(SUBSTITUTE(A24&amp;""," "," "),CHAR(9)," "),CHAR(10)," "),CHAR(13)," "))="","",IF(SUMPRODUCT(--(TRIM(SUBSTITUTE(SUBSTITUTE(SUBSTITUTE(SUBSTITUTE($A$3:A23&amp;""," "," "),CHAR(9)," "),CHAR(10)," "),CHAR(13)," "))=TRIM(SUBSTITUTE(SUBSTITUTE(SUBSTITUTE(SUBSTITUTE(A24&amp;""," "," "),CHAR(9)," "),CHAR(10)," "),CHAR(13)," "))))&gt;0,"Listed twice - only the first one is used",IF(D24=0,"Not in today's schedule","")))</f>
        <v/>
      </c>
      <c r="G24" s="55">
        <f>IF(INDEX(Calc!$FZ$5:$FZ$104,ROW()-3)="","",INDEX(Calc!$FX$5:$FX$104,ROW()-3))</f>
        <v/>
      </c>
      <c r="H24" s="26">
        <f>INDEX(Calc!$FZ$5:$FZ$104,ROW()-3)</f>
        <v/>
      </c>
      <c r="I24" s="56">
        <f>INDEX(Calc!$GA$5:$GA$104,ROW()-3)</f>
        <v/>
      </c>
      <c r="J24" s="57">
        <f>INDEX(Calc!$GB$5:$GB$104,ROW()-3)</f>
        <v/>
      </c>
      <c r="K24" s="57">
        <f>INDEX(Calc!$GC$5:$GC$104,ROW()-3)</f>
        <v/>
      </c>
      <c r="L24" s="31">
        <f>INDEX(Calc!$GD$5:$GD$104,ROW()-3)</f>
        <v/>
      </c>
      <c r="N24" s="58">
        <f>INDEX(Calc!$GG$5:$GG$104,ROW()-3)</f>
        <v/>
      </c>
    </row>
    <row r="25">
      <c r="A25" s="51" t="n"/>
      <c r="B25" s="52" t="n"/>
      <c r="C25" s="52" t="n"/>
      <c r="D25" s="53">
        <f>IF(TRIM(SUBSTITUTE(SUBSTITUTE(SUBSTITUTE(SUBSTITUTE(A25&amp;""," "," "),CHAR(9)," "),CHAR(10)," "),CHAR(13)," "))="","",SUMPRODUCT((Calc!$DH$5:$DH$1003=TRIM(SUBSTITUTE(SUBSTITUTE(SUBSTITUTE(SUBSTITUTE(A25&amp;""," "," "),CHAR(9)," "),CHAR(10)," "),CHAR(13)," ")))*Calc!$DM$5:$DM$1003))</f>
        <v/>
      </c>
      <c r="E25" s="54">
        <f>IF(TRIM(SUBSTITUTE(SUBSTITUTE(SUBSTITUTE(SUBSTITUTE(A25&amp;""," "," "),CHAR(9)," "),CHAR(10)," "),CHAR(13)," "))="","",IF(SUMPRODUCT(--(TRIM(SUBSTITUTE(SUBSTITUTE(SUBSTITUTE(SUBSTITUTE($A$3:A24&amp;""," "," "),CHAR(9)," "),CHAR(10)," "),CHAR(13)," "))=TRIM(SUBSTITUTE(SUBSTITUTE(SUBSTITUTE(SUBSTITUTE(A25&amp;""," "," "),CHAR(9)," "),CHAR(10)," "),CHAR(13)," "))))&gt;0,"Listed twice - only the first one is used",IF(D25=0,"Not in today's schedule","")))</f>
        <v/>
      </c>
      <c r="G25" s="55">
        <f>IF(INDEX(Calc!$FZ$5:$FZ$104,ROW()-3)="","",INDEX(Calc!$FX$5:$FX$104,ROW()-3))</f>
        <v/>
      </c>
      <c r="H25" s="26">
        <f>INDEX(Calc!$FZ$5:$FZ$104,ROW()-3)</f>
        <v/>
      </c>
      <c r="I25" s="56">
        <f>INDEX(Calc!$GA$5:$GA$104,ROW()-3)</f>
        <v/>
      </c>
      <c r="J25" s="57">
        <f>INDEX(Calc!$GB$5:$GB$104,ROW()-3)</f>
        <v/>
      </c>
      <c r="K25" s="57">
        <f>INDEX(Calc!$GC$5:$GC$104,ROW()-3)</f>
        <v/>
      </c>
      <c r="L25" s="31">
        <f>INDEX(Calc!$GD$5:$GD$104,ROW()-3)</f>
        <v/>
      </c>
      <c r="N25" s="58">
        <f>INDEX(Calc!$GG$5:$GG$104,ROW()-3)</f>
        <v/>
      </c>
    </row>
    <row r="26">
      <c r="A26" s="51" t="n"/>
      <c r="B26" s="52" t="n"/>
      <c r="C26" s="52" t="n"/>
      <c r="D26" s="53">
        <f>IF(TRIM(SUBSTITUTE(SUBSTITUTE(SUBSTITUTE(SUBSTITUTE(A26&amp;""," "," "),CHAR(9)," "),CHAR(10)," "),CHAR(13)," "))="","",SUMPRODUCT((Calc!$DH$5:$DH$1003=TRIM(SUBSTITUTE(SUBSTITUTE(SUBSTITUTE(SUBSTITUTE(A26&amp;""," "," "),CHAR(9)," "),CHAR(10)," "),CHAR(13)," ")))*Calc!$DM$5:$DM$1003))</f>
        <v/>
      </c>
      <c r="E26" s="54">
        <f>IF(TRIM(SUBSTITUTE(SUBSTITUTE(SUBSTITUTE(SUBSTITUTE(A26&amp;""," "," "),CHAR(9)," "),CHAR(10)," "),CHAR(13)," "))="","",IF(SUMPRODUCT(--(TRIM(SUBSTITUTE(SUBSTITUTE(SUBSTITUTE(SUBSTITUTE($A$3:A25&amp;""," "," "),CHAR(9)," "),CHAR(10)," "),CHAR(13)," "))=TRIM(SUBSTITUTE(SUBSTITUTE(SUBSTITUTE(SUBSTITUTE(A26&amp;""," "," "),CHAR(9)," "),CHAR(10)," "),CHAR(13)," "))))&gt;0,"Listed twice - only the first one is used",IF(D26=0,"Not in today's schedule","")))</f>
        <v/>
      </c>
      <c r="G26" s="55">
        <f>IF(INDEX(Calc!$FZ$5:$FZ$104,ROW()-3)="","",INDEX(Calc!$FX$5:$FX$104,ROW()-3))</f>
        <v/>
      </c>
      <c r="H26" s="26">
        <f>INDEX(Calc!$FZ$5:$FZ$104,ROW()-3)</f>
        <v/>
      </c>
      <c r="I26" s="56">
        <f>INDEX(Calc!$GA$5:$GA$104,ROW()-3)</f>
        <v/>
      </c>
      <c r="J26" s="57">
        <f>INDEX(Calc!$GB$5:$GB$104,ROW()-3)</f>
        <v/>
      </c>
      <c r="K26" s="57">
        <f>INDEX(Calc!$GC$5:$GC$104,ROW()-3)</f>
        <v/>
      </c>
      <c r="L26" s="31">
        <f>INDEX(Calc!$GD$5:$GD$104,ROW()-3)</f>
        <v/>
      </c>
      <c r="N26" s="58">
        <f>INDEX(Calc!$GG$5:$GG$104,ROW()-3)</f>
        <v/>
      </c>
    </row>
    <row r="27">
      <c r="A27" s="51" t="n"/>
      <c r="B27" s="52" t="n"/>
      <c r="C27" s="52" t="n"/>
      <c r="D27" s="53">
        <f>IF(TRIM(SUBSTITUTE(SUBSTITUTE(SUBSTITUTE(SUBSTITUTE(A27&amp;""," "," "),CHAR(9)," "),CHAR(10)," "),CHAR(13)," "))="","",SUMPRODUCT((Calc!$DH$5:$DH$1003=TRIM(SUBSTITUTE(SUBSTITUTE(SUBSTITUTE(SUBSTITUTE(A27&amp;""," "," "),CHAR(9)," "),CHAR(10)," "),CHAR(13)," ")))*Calc!$DM$5:$DM$1003))</f>
        <v/>
      </c>
      <c r="E27" s="54">
        <f>IF(TRIM(SUBSTITUTE(SUBSTITUTE(SUBSTITUTE(SUBSTITUTE(A27&amp;""," "," "),CHAR(9)," "),CHAR(10)," "),CHAR(13)," "))="","",IF(SUMPRODUCT(--(TRIM(SUBSTITUTE(SUBSTITUTE(SUBSTITUTE(SUBSTITUTE($A$3:A26&amp;""," "," "),CHAR(9)," "),CHAR(10)," "),CHAR(13)," "))=TRIM(SUBSTITUTE(SUBSTITUTE(SUBSTITUTE(SUBSTITUTE(A27&amp;""," "," "),CHAR(9)," "),CHAR(10)," "),CHAR(13)," "))))&gt;0,"Listed twice - only the first one is used",IF(D27=0,"Not in today's schedule","")))</f>
        <v/>
      </c>
      <c r="G27" s="55">
        <f>IF(INDEX(Calc!$FZ$5:$FZ$104,ROW()-3)="","",INDEX(Calc!$FX$5:$FX$104,ROW()-3))</f>
        <v/>
      </c>
      <c r="H27" s="26">
        <f>INDEX(Calc!$FZ$5:$FZ$104,ROW()-3)</f>
        <v/>
      </c>
      <c r="I27" s="56">
        <f>INDEX(Calc!$GA$5:$GA$104,ROW()-3)</f>
        <v/>
      </c>
      <c r="J27" s="57">
        <f>INDEX(Calc!$GB$5:$GB$104,ROW()-3)</f>
        <v/>
      </c>
      <c r="K27" s="57">
        <f>INDEX(Calc!$GC$5:$GC$104,ROW()-3)</f>
        <v/>
      </c>
      <c r="L27" s="31">
        <f>INDEX(Calc!$GD$5:$GD$104,ROW()-3)</f>
        <v/>
      </c>
      <c r="N27" s="58">
        <f>INDEX(Calc!$GG$5:$GG$104,ROW()-3)</f>
        <v/>
      </c>
    </row>
    <row r="28">
      <c r="A28" s="51" t="n"/>
      <c r="B28" s="52" t="n"/>
      <c r="C28" s="52" t="n"/>
      <c r="D28" s="53">
        <f>IF(TRIM(SUBSTITUTE(SUBSTITUTE(SUBSTITUTE(SUBSTITUTE(A28&amp;""," "," "),CHAR(9)," "),CHAR(10)," "),CHAR(13)," "))="","",SUMPRODUCT((Calc!$DH$5:$DH$1003=TRIM(SUBSTITUTE(SUBSTITUTE(SUBSTITUTE(SUBSTITUTE(A28&amp;""," "," "),CHAR(9)," "),CHAR(10)," "),CHAR(13)," ")))*Calc!$DM$5:$DM$1003))</f>
        <v/>
      </c>
      <c r="E28" s="54">
        <f>IF(TRIM(SUBSTITUTE(SUBSTITUTE(SUBSTITUTE(SUBSTITUTE(A28&amp;""," "," "),CHAR(9)," "),CHAR(10)," "),CHAR(13)," "))="","",IF(SUMPRODUCT(--(TRIM(SUBSTITUTE(SUBSTITUTE(SUBSTITUTE(SUBSTITUTE($A$3:A27&amp;""," "," "),CHAR(9)," "),CHAR(10)," "),CHAR(13)," "))=TRIM(SUBSTITUTE(SUBSTITUTE(SUBSTITUTE(SUBSTITUTE(A28&amp;""," "," "),CHAR(9)," "),CHAR(10)," "),CHAR(13)," "))))&gt;0,"Listed twice - only the first one is used",IF(D28=0,"Not in today's schedule","")))</f>
        <v/>
      </c>
      <c r="G28" s="55">
        <f>IF(INDEX(Calc!$FZ$5:$FZ$104,ROW()-3)="","",INDEX(Calc!$FX$5:$FX$104,ROW()-3))</f>
        <v/>
      </c>
      <c r="H28" s="26">
        <f>INDEX(Calc!$FZ$5:$FZ$104,ROW()-3)</f>
        <v/>
      </c>
      <c r="I28" s="56">
        <f>INDEX(Calc!$GA$5:$GA$104,ROW()-3)</f>
        <v/>
      </c>
      <c r="J28" s="57">
        <f>INDEX(Calc!$GB$5:$GB$104,ROW()-3)</f>
        <v/>
      </c>
      <c r="K28" s="57">
        <f>INDEX(Calc!$GC$5:$GC$104,ROW()-3)</f>
        <v/>
      </c>
      <c r="L28" s="31">
        <f>INDEX(Calc!$GD$5:$GD$104,ROW()-3)</f>
        <v/>
      </c>
      <c r="N28" s="58">
        <f>INDEX(Calc!$GG$5:$GG$104,ROW()-3)</f>
        <v/>
      </c>
    </row>
    <row r="29">
      <c r="A29" s="51" t="n"/>
      <c r="B29" s="52" t="n"/>
      <c r="C29" s="52" t="n"/>
      <c r="D29" s="53">
        <f>IF(TRIM(SUBSTITUTE(SUBSTITUTE(SUBSTITUTE(SUBSTITUTE(A29&amp;""," "," "),CHAR(9)," "),CHAR(10)," "),CHAR(13)," "))="","",SUMPRODUCT((Calc!$DH$5:$DH$1003=TRIM(SUBSTITUTE(SUBSTITUTE(SUBSTITUTE(SUBSTITUTE(A29&amp;""," "," "),CHAR(9)," "),CHAR(10)," "),CHAR(13)," ")))*Calc!$DM$5:$DM$1003))</f>
        <v/>
      </c>
      <c r="E29" s="54">
        <f>IF(TRIM(SUBSTITUTE(SUBSTITUTE(SUBSTITUTE(SUBSTITUTE(A29&amp;""," "," "),CHAR(9)," "),CHAR(10)," "),CHAR(13)," "))="","",IF(SUMPRODUCT(--(TRIM(SUBSTITUTE(SUBSTITUTE(SUBSTITUTE(SUBSTITUTE($A$3:A28&amp;""," "," "),CHAR(9)," "),CHAR(10)," "),CHAR(13)," "))=TRIM(SUBSTITUTE(SUBSTITUTE(SUBSTITUTE(SUBSTITUTE(A29&amp;""," "," "),CHAR(9)," "),CHAR(10)," "),CHAR(13)," "))))&gt;0,"Listed twice - only the first one is used",IF(D29=0,"Not in today's schedule","")))</f>
        <v/>
      </c>
      <c r="G29" s="55">
        <f>IF(INDEX(Calc!$FZ$5:$FZ$104,ROW()-3)="","",INDEX(Calc!$FX$5:$FX$104,ROW()-3))</f>
        <v/>
      </c>
      <c r="H29" s="26">
        <f>INDEX(Calc!$FZ$5:$FZ$104,ROW()-3)</f>
        <v/>
      </c>
      <c r="I29" s="56">
        <f>INDEX(Calc!$GA$5:$GA$104,ROW()-3)</f>
        <v/>
      </c>
      <c r="J29" s="57">
        <f>INDEX(Calc!$GB$5:$GB$104,ROW()-3)</f>
        <v/>
      </c>
      <c r="K29" s="57">
        <f>INDEX(Calc!$GC$5:$GC$104,ROW()-3)</f>
        <v/>
      </c>
      <c r="L29" s="31">
        <f>INDEX(Calc!$GD$5:$GD$104,ROW()-3)</f>
        <v/>
      </c>
      <c r="N29" s="58">
        <f>INDEX(Calc!$GG$5:$GG$104,ROW()-3)</f>
        <v/>
      </c>
    </row>
    <row r="30">
      <c r="A30" s="51" t="n"/>
      <c r="B30" s="52" t="n"/>
      <c r="C30" s="52" t="n"/>
      <c r="D30" s="53">
        <f>IF(TRIM(SUBSTITUTE(SUBSTITUTE(SUBSTITUTE(SUBSTITUTE(A30&amp;""," "," "),CHAR(9)," "),CHAR(10)," "),CHAR(13)," "))="","",SUMPRODUCT((Calc!$DH$5:$DH$1003=TRIM(SUBSTITUTE(SUBSTITUTE(SUBSTITUTE(SUBSTITUTE(A30&amp;""," "," "),CHAR(9)," "),CHAR(10)," "),CHAR(13)," ")))*Calc!$DM$5:$DM$1003))</f>
        <v/>
      </c>
      <c r="E30" s="54">
        <f>IF(TRIM(SUBSTITUTE(SUBSTITUTE(SUBSTITUTE(SUBSTITUTE(A30&amp;""," "," "),CHAR(9)," "),CHAR(10)," "),CHAR(13)," "))="","",IF(SUMPRODUCT(--(TRIM(SUBSTITUTE(SUBSTITUTE(SUBSTITUTE(SUBSTITUTE($A$3:A29&amp;""," "," "),CHAR(9)," "),CHAR(10)," "),CHAR(13)," "))=TRIM(SUBSTITUTE(SUBSTITUTE(SUBSTITUTE(SUBSTITUTE(A30&amp;""," "," "),CHAR(9)," "),CHAR(10)," "),CHAR(13)," "))))&gt;0,"Listed twice - only the first one is used",IF(D30=0,"Not in today's schedule","")))</f>
        <v/>
      </c>
      <c r="G30" s="55">
        <f>IF(INDEX(Calc!$FZ$5:$FZ$104,ROW()-3)="","",INDEX(Calc!$FX$5:$FX$104,ROW()-3))</f>
        <v/>
      </c>
      <c r="H30" s="26">
        <f>INDEX(Calc!$FZ$5:$FZ$104,ROW()-3)</f>
        <v/>
      </c>
      <c r="I30" s="56">
        <f>INDEX(Calc!$GA$5:$GA$104,ROW()-3)</f>
        <v/>
      </c>
      <c r="J30" s="57">
        <f>INDEX(Calc!$GB$5:$GB$104,ROW()-3)</f>
        <v/>
      </c>
      <c r="K30" s="57">
        <f>INDEX(Calc!$GC$5:$GC$104,ROW()-3)</f>
        <v/>
      </c>
      <c r="L30" s="31">
        <f>INDEX(Calc!$GD$5:$GD$104,ROW()-3)</f>
        <v/>
      </c>
      <c r="N30" s="58">
        <f>INDEX(Calc!$GG$5:$GG$104,ROW()-3)</f>
        <v/>
      </c>
    </row>
    <row r="31">
      <c r="A31" s="51" t="n"/>
      <c r="B31" s="52" t="n"/>
      <c r="C31" s="52" t="n"/>
      <c r="D31" s="53">
        <f>IF(TRIM(SUBSTITUTE(SUBSTITUTE(SUBSTITUTE(SUBSTITUTE(A31&amp;""," "," "),CHAR(9)," "),CHAR(10)," "),CHAR(13)," "))="","",SUMPRODUCT((Calc!$DH$5:$DH$1003=TRIM(SUBSTITUTE(SUBSTITUTE(SUBSTITUTE(SUBSTITUTE(A31&amp;""," "," "),CHAR(9)," "),CHAR(10)," "),CHAR(13)," ")))*Calc!$DM$5:$DM$1003))</f>
        <v/>
      </c>
      <c r="E31" s="54">
        <f>IF(TRIM(SUBSTITUTE(SUBSTITUTE(SUBSTITUTE(SUBSTITUTE(A31&amp;""," "," "),CHAR(9)," "),CHAR(10)," "),CHAR(13)," "))="","",IF(SUMPRODUCT(--(TRIM(SUBSTITUTE(SUBSTITUTE(SUBSTITUTE(SUBSTITUTE($A$3:A30&amp;""," "," "),CHAR(9)," "),CHAR(10)," "),CHAR(13)," "))=TRIM(SUBSTITUTE(SUBSTITUTE(SUBSTITUTE(SUBSTITUTE(A31&amp;""," "," "),CHAR(9)," "),CHAR(10)," "),CHAR(13)," "))))&gt;0,"Listed twice - only the first one is used",IF(D31=0,"Not in today's schedule","")))</f>
        <v/>
      </c>
      <c r="G31" s="55">
        <f>IF(INDEX(Calc!$FZ$5:$FZ$104,ROW()-3)="","",INDEX(Calc!$FX$5:$FX$104,ROW()-3))</f>
        <v/>
      </c>
      <c r="H31" s="26">
        <f>INDEX(Calc!$FZ$5:$FZ$104,ROW()-3)</f>
        <v/>
      </c>
      <c r="I31" s="56">
        <f>INDEX(Calc!$GA$5:$GA$104,ROW()-3)</f>
        <v/>
      </c>
      <c r="J31" s="57">
        <f>INDEX(Calc!$GB$5:$GB$104,ROW()-3)</f>
        <v/>
      </c>
      <c r="K31" s="57">
        <f>INDEX(Calc!$GC$5:$GC$104,ROW()-3)</f>
        <v/>
      </c>
      <c r="L31" s="31">
        <f>INDEX(Calc!$GD$5:$GD$104,ROW()-3)</f>
        <v/>
      </c>
      <c r="N31" s="58">
        <f>INDEX(Calc!$GG$5:$GG$104,ROW()-3)</f>
        <v/>
      </c>
    </row>
    <row r="32">
      <c r="A32" s="51" t="n"/>
      <c r="B32" s="52" t="n"/>
      <c r="C32" s="52" t="n"/>
      <c r="D32" s="53">
        <f>IF(TRIM(SUBSTITUTE(SUBSTITUTE(SUBSTITUTE(SUBSTITUTE(A32&amp;""," "," "),CHAR(9)," "),CHAR(10)," "),CHAR(13)," "))="","",SUMPRODUCT((Calc!$DH$5:$DH$1003=TRIM(SUBSTITUTE(SUBSTITUTE(SUBSTITUTE(SUBSTITUTE(A32&amp;""," "," "),CHAR(9)," "),CHAR(10)," "),CHAR(13)," ")))*Calc!$DM$5:$DM$1003))</f>
        <v/>
      </c>
      <c r="E32" s="54">
        <f>IF(TRIM(SUBSTITUTE(SUBSTITUTE(SUBSTITUTE(SUBSTITUTE(A32&amp;""," "," "),CHAR(9)," "),CHAR(10)," "),CHAR(13)," "))="","",IF(SUMPRODUCT(--(TRIM(SUBSTITUTE(SUBSTITUTE(SUBSTITUTE(SUBSTITUTE($A$3:A31&amp;""," "," "),CHAR(9)," "),CHAR(10)," "),CHAR(13)," "))=TRIM(SUBSTITUTE(SUBSTITUTE(SUBSTITUTE(SUBSTITUTE(A32&amp;""," "," "),CHAR(9)," "),CHAR(10)," "),CHAR(13)," "))))&gt;0,"Listed twice - only the first one is used",IF(D32=0,"Not in today's schedule","")))</f>
        <v/>
      </c>
      <c r="G32" s="55">
        <f>IF(INDEX(Calc!$FZ$5:$FZ$104,ROW()-3)="","",INDEX(Calc!$FX$5:$FX$104,ROW()-3))</f>
        <v/>
      </c>
      <c r="H32" s="26">
        <f>INDEX(Calc!$FZ$5:$FZ$104,ROW()-3)</f>
        <v/>
      </c>
      <c r="I32" s="56">
        <f>INDEX(Calc!$GA$5:$GA$104,ROW()-3)</f>
        <v/>
      </c>
      <c r="J32" s="57">
        <f>INDEX(Calc!$GB$5:$GB$104,ROW()-3)</f>
        <v/>
      </c>
      <c r="K32" s="57">
        <f>INDEX(Calc!$GC$5:$GC$104,ROW()-3)</f>
        <v/>
      </c>
      <c r="L32" s="31">
        <f>INDEX(Calc!$GD$5:$GD$104,ROW()-3)</f>
        <v/>
      </c>
      <c r="N32" s="58">
        <f>INDEX(Calc!$GG$5:$GG$104,ROW()-3)</f>
        <v/>
      </c>
    </row>
    <row r="33">
      <c r="A33" s="51" t="n"/>
      <c r="B33" s="52" t="n"/>
      <c r="C33" s="52" t="n"/>
      <c r="D33" s="53">
        <f>IF(TRIM(SUBSTITUTE(SUBSTITUTE(SUBSTITUTE(SUBSTITUTE(A33&amp;""," "," "),CHAR(9)," "),CHAR(10)," "),CHAR(13)," "))="","",SUMPRODUCT((Calc!$DH$5:$DH$1003=TRIM(SUBSTITUTE(SUBSTITUTE(SUBSTITUTE(SUBSTITUTE(A33&amp;""," "," "),CHAR(9)," "),CHAR(10)," "),CHAR(13)," ")))*Calc!$DM$5:$DM$1003))</f>
        <v/>
      </c>
      <c r="E33" s="54">
        <f>IF(TRIM(SUBSTITUTE(SUBSTITUTE(SUBSTITUTE(SUBSTITUTE(A33&amp;""," "," "),CHAR(9)," "),CHAR(10)," "),CHAR(13)," "))="","",IF(SUMPRODUCT(--(TRIM(SUBSTITUTE(SUBSTITUTE(SUBSTITUTE(SUBSTITUTE($A$3:A32&amp;""," "," "),CHAR(9)," "),CHAR(10)," "),CHAR(13)," "))=TRIM(SUBSTITUTE(SUBSTITUTE(SUBSTITUTE(SUBSTITUTE(A33&amp;""," "," "),CHAR(9)," "),CHAR(10)," "),CHAR(13)," "))))&gt;0,"Listed twice - only the first one is used",IF(D33=0,"Not in today's schedule","")))</f>
        <v/>
      </c>
      <c r="G33" s="55">
        <f>IF(INDEX(Calc!$FZ$5:$FZ$104,ROW()-3)="","",INDEX(Calc!$FX$5:$FX$104,ROW()-3))</f>
        <v/>
      </c>
      <c r="H33" s="26">
        <f>INDEX(Calc!$FZ$5:$FZ$104,ROW()-3)</f>
        <v/>
      </c>
      <c r="I33" s="56">
        <f>INDEX(Calc!$GA$5:$GA$104,ROW()-3)</f>
        <v/>
      </c>
      <c r="J33" s="57">
        <f>INDEX(Calc!$GB$5:$GB$104,ROW()-3)</f>
        <v/>
      </c>
      <c r="K33" s="57">
        <f>INDEX(Calc!$GC$5:$GC$104,ROW()-3)</f>
        <v/>
      </c>
      <c r="L33" s="31">
        <f>INDEX(Calc!$GD$5:$GD$104,ROW()-3)</f>
        <v/>
      </c>
      <c r="N33" s="58">
        <f>INDEX(Calc!$GG$5:$GG$104,ROW()-3)</f>
        <v/>
      </c>
    </row>
    <row r="34">
      <c r="A34" s="51" t="n"/>
      <c r="B34" s="52" t="n"/>
      <c r="C34" s="52" t="n"/>
      <c r="D34" s="53">
        <f>IF(TRIM(SUBSTITUTE(SUBSTITUTE(SUBSTITUTE(SUBSTITUTE(A34&amp;""," "," "),CHAR(9)," "),CHAR(10)," "),CHAR(13)," "))="","",SUMPRODUCT((Calc!$DH$5:$DH$1003=TRIM(SUBSTITUTE(SUBSTITUTE(SUBSTITUTE(SUBSTITUTE(A34&amp;""," "," "),CHAR(9)," "),CHAR(10)," "),CHAR(13)," ")))*Calc!$DM$5:$DM$1003))</f>
        <v/>
      </c>
      <c r="E34" s="54">
        <f>IF(TRIM(SUBSTITUTE(SUBSTITUTE(SUBSTITUTE(SUBSTITUTE(A34&amp;""," "," "),CHAR(9)," "),CHAR(10)," "),CHAR(13)," "))="","",IF(SUMPRODUCT(--(TRIM(SUBSTITUTE(SUBSTITUTE(SUBSTITUTE(SUBSTITUTE($A$3:A33&amp;""," "," "),CHAR(9)," "),CHAR(10)," "),CHAR(13)," "))=TRIM(SUBSTITUTE(SUBSTITUTE(SUBSTITUTE(SUBSTITUTE(A34&amp;""," "," "),CHAR(9)," "),CHAR(10)," "),CHAR(13)," "))))&gt;0,"Listed twice - only the first one is used",IF(D34=0,"Not in today's schedule","")))</f>
        <v/>
      </c>
      <c r="G34" s="55">
        <f>IF(INDEX(Calc!$FZ$5:$FZ$104,ROW()-3)="","",INDEX(Calc!$FX$5:$FX$104,ROW()-3))</f>
        <v/>
      </c>
      <c r="H34" s="26">
        <f>INDEX(Calc!$FZ$5:$FZ$104,ROW()-3)</f>
        <v/>
      </c>
      <c r="I34" s="56">
        <f>INDEX(Calc!$GA$5:$GA$104,ROW()-3)</f>
        <v/>
      </c>
      <c r="J34" s="57">
        <f>INDEX(Calc!$GB$5:$GB$104,ROW()-3)</f>
        <v/>
      </c>
      <c r="K34" s="57">
        <f>INDEX(Calc!$GC$5:$GC$104,ROW()-3)</f>
        <v/>
      </c>
      <c r="L34" s="31">
        <f>INDEX(Calc!$GD$5:$GD$104,ROW()-3)</f>
        <v/>
      </c>
      <c r="N34" s="58">
        <f>INDEX(Calc!$GG$5:$GG$104,ROW()-3)</f>
        <v/>
      </c>
    </row>
    <row r="35">
      <c r="A35" s="51" t="n"/>
      <c r="B35" s="52" t="n"/>
      <c r="C35" s="52" t="n"/>
      <c r="D35" s="53">
        <f>IF(TRIM(SUBSTITUTE(SUBSTITUTE(SUBSTITUTE(SUBSTITUTE(A35&amp;""," "," "),CHAR(9)," "),CHAR(10)," "),CHAR(13)," "))="","",SUMPRODUCT((Calc!$DH$5:$DH$1003=TRIM(SUBSTITUTE(SUBSTITUTE(SUBSTITUTE(SUBSTITUTE(A35&amp;""," "," "),CHAR(9)," "),CHAR(10)," "),CHAR(13)," ")))*Calc!$DM$5:$DM$1003))</f>
        <v/>
      </c>
      <c r="E35" s="54">
        <f>IF(TRIM(SUBSTITUTE(SUBSTITUTE(SUBSTITUTE(SUBSTITUTE(A35&amp;""," "," "),CHAR(9)," "),CHAR(10)," "),CHAR(13)," "))="","",IF(SUMPRODUCT(--(TRIM(SUBSTITUTE(SUBSTITUTE(SUBSTITUTE(SUBSTITUTE($A$3:A34&amp;""," "," "),CHAR(9)," "),CHAR(10)," "),CHAR(13)," "))=TRIM(SUBSTITUTE(SUBSTITUTE(SUBSTITUTE(SUBSTITUTE(A35&amp;""," "," "),CHAR(9)," "),CHAR(10)," "),CHAR(13)," "))))&gt;0,"Listed twice - only the first one is used",IF(D35=0,"Not in today's schedule","")))</f>
        <v/>
      </c>
      <c r="G35" s="55">
        <f>IF(INDEX(Calc!$FZ$5:$FZ$104,ROW()-3)="","",INDEX(Calc!$FX$5:$FX$104,ROW()-3))</f>
        <v/>
      </c>
      <c r="H35" s="26">
        <f>INDEX(Calc!$FZ$5:$FZ$104,ROW()-3)</f>
        <v/>
      </c>
      <c r="I35" s="56">
        <f>INDEX(Calc!$GA$5:$GA$104,ROW()-3)</f>
        <v/>
      </c>
      <c r="J35" s="57">
        <f>INDEX(Calc!$GB$5:$GB$104,ROW()-3)</f>
        <v/>
      </c>
      <c r="K35" s="57">
        <f>INDEX(Calc!$GC$5:$GC$104,ROW()-3)</f>
        <v/>
      </c>
      <c r="L35" s="31">
        <f>INDEX(Calc!$GD$5:$GD$104,ROW()-3)</f>
        <v/>
      </c>
      <c r="N35" s="58">
        <f>INDEX(Calc!$GG$5:$GG$104,ROW()-3)</f>
        <v/>
      </c>
    </row>
    <row r="36">
      <c r="A36" s="51" t="n"/>
      <c r="B36" s="52" t="n"/>
      <c r="C36" s="52" t="n"/>
      <c r="D36" s="53">
        <f>IF(TRIM(SUBSTITUTE(SUBSTITUTE(SUBSTITUTE(SUBSTITUTE(A36&amp;""," "," "),CHAR(9)," "),CHAR(10)," "),CHAR(13)," "))="","",SUMPRODUCT((Calc!$DH$5:$DH$1003=TRIM(SUBSTITUTE(SUBSTITUTE(SUBSTITUTE(SUBSTITUTE(A36&amp;""," "," "),CHAR(9)," "),CHAR(10)," "),CHAR(13)," ")))*Calc!$DM$5:$DM$1003))</f>
        <v/>
      </c>
      <c r="E36" s="54">
        <f>IF(TRIM(SUBSTITUTE(SUBSTITUTE(SUBSTITUTE(SUBSTITUTE(A36&amp;""," "," "),CHAR(9)," "),CHAR(10)," "),CHAR(13)," "))="","",IF(SUMPRODUCT(--(TRIM(SUBSTITUTE(SUBSTITUTE(SUBSTITUTE(SUBSTITUTE($A$3:A35&amp;""," "," "),CHAR(9)," "),CHAR(10)," "),CHAR(13)," "))=TRIM(SUBSTITUTE(SUBSTITUTE(SUBSTITUTE(SUBSTITUTE(A36&amp;""," "," "),CHAR(9)," "),CHAR(10)," "),CHAR(13)," "))))&gt;0,"Listed twice - only the first one is used",IF(D36=0,"Not in today's schedule","")))</f>
        <v/>
      </c>
      <c r="G36" s="55">
        <f>IF(INDEX(Calc!$FZ$5:$FZ$104,ROW()-3)="","",INDEX(Calc!$FX$5:$FX$104,ROW()-3))</f>
        <v/>
      </c>
      <c r="H36" s="26">
        <f>INDEX(Calc!$FZ$5:$FZ$104,ROW()-3)</f>
        <v/>
      </c>
      <c r="I36" s="56">
        <f>INDEX(Calc!$GA$5:$GA$104,ROW()-3)</f>
        <v/>
      </c>
      <c r="J36" s="57">
        <f>INDEX(Calc!$GB$5:$GB$104,ROW()-3)</f>
        <v/>
      </c>
      <c r="K36" s="57">
        <f>INDEX(Calc!$GC$5:$GC$104,ROW()-3)</f>
        <v/>
      </c>
      <c r="L36" s="31">
        <f>INDEX(Calc!$GD$5:$GD$104,ROW()-3)</f>
        <v/>
      </c>
      <c r="N36" s="58">
        <f>INDEX(Calc!$GG$5:$GG$104,ROW()-3)</f>
        <v/>
      </c>
    </row>
    <row r="37">
      <c r="A37" s="51" t="n"/>
      <c r="B37" s="52" t="n"/>
      <c r="C37" s="52" t="n"/>
      <c r="D37" s="53">
        <f>IF(TRIM(SUBSTITUTE(SUBSTITUTE(SUBSTITUTE(SUBSTITUTE(A37&amp;""," "," "),CHAR(9)," "),CHAR(10)," "),CHAR(13)," "))="","",SUMPRODUCT((Calc!$DH$5:$DH$1003=TRIM(SUBSTITUTE(SUBSTITUTE(SUBSTITUTE(SUBSTITUTE(A37&amp;""," "," "),CHAR(9)," "),CHAR(10)," "),CHAR(13)," ")))*Calc!$DM$5:$DM$1003))</f>
        <v/>
      </c>
      <c r="E37" s="54">
        <f>IF(TRIM(SUBSTITUTE(SUBSTITUTE(SUBSTITUTE(SUBSTITUTE(A37&amp;""," "," "),CHAR(9)," "),CHAR(10)," "),CHAR(13)," "))="","",IF(SUMPRODUCT(--(TRIM(SUBSTITUTE(SUBSTITUTE(SUBSTITUTE(SUBSTITUTE($A$3:A36&amp;""," "," "),CHAR(9)," "),CHAR(10)," "),CHAR(13)," "))=TRIM(SUBSTITUTE(SUBSTITUTE(SUBSTITUTE(SUBSTITUTE(A37&amp;""," "," "),CHAR(9)," "),CHAR(10)," "),CHAR(13)," "))))&gt;0,"Listed twice - only the first one is used",IF(D37=0,"Not in today's schedule","")))</f>
        <v/>
      </c>
      <c r="G37" s="55">
        <f>IF(INDEX(Calc!$FZ$5:$FZ$104,ROW()-3)="","",INDEX(Calc!$FX$5:$FX$104,ROW()-3))</f>
        <v/>
      </c>
      <c r="H37" s="26">
        <f>INDEX(Calc!$FZ$5:$FZ$104,ROW()-3)</f>
        <v/>
      </c>
      <c r="I37" s="56">
        <f>INDEX(Calc!$GA$5:$GA$104,ROW()-3)</f>
        <v/>
      </c>
      <c r="J37" s="57">
        <f>INDEX(Calc!$GB$5:$GB$104,ROW()-3)</f>
        <v/>
      </c>
      <c r="K37" s="57">
        <f>INDEX(Calc!$GC$5:$GC$104,ROW()-3)</f>
        <v/>
      </c>
      <c r="L37" s="31">
        <f>INDEX(Calc!$GD$5:$GD$104,ROW()-3)</f>
        <v/>
      </c>
      <c r="N37" s="58">
        <f>INDEX(Calc!$GG$5:$GG$104,ROW()-3)</f>
        <v/>
      </c>
    </row>
    <row r="38">
      <c r="A38" s="51" t="n"/>
      <c r="B38" s="52" t="n"/>
      <c r="C38" s="52" t="n"/>
      <c r="D38" s="53">
        <f>IF(TRIM(SUBSTITUTE(SUBSTITUTE(SUBSTITUTE(SUBSTITUTE(A38&amp;""," "," "),CHAR(9)," "),CHAR(10)," "),CHAR(13)," "))="","",SUMPRODUCT((Calc!$DH$5:$DH$1003=TRIM(SUBSTITUTE(SUBSTITUTE(SUBSTITUTE(SUBSTITUTE(A38&amp;""," "," "),CHAR(9)," "),CHAR(10)," "),CHAR(13)," ")))*Calc!$DM$5:$DM$1003))</f>
        <v/>
      </c>
      <c r="E38" s="54">
        <f>IF(TRIM(SUBSTITUTE(SUBSTITUTE(SUBSTITUTE(SUBSTITUTE(A38&amp;""," "," "),CHAR(9)," "),CHAR(10)," "),CHAR(13)," "))="","",IF(SUMPRODUCT(--(TRIM(SUBSTITUTE(SUBSTITUTE(SUBSTITUTE(SUBSTITUTE($A$3:A37&amp;""," "," "),CHAR(9)," "),CHAR(10)," "),CHAR(13)," "))=TRIM(SUBSTITUTE(SUBSTITUTE(SUBSTITUTE(SUBSTITUTE(A38&amp;""," "," "),CHAR(9)," "),CHAR(10)," "),CHAR(13)," "))))&gt;0,"Listed twice - only the first one is used",IF(D38=0,"Not in today's schedule","")))</f>
        <v/>
      </c>
      <c r="G38" s="55">
        <f>IF(INDEX(Calc!$FZ$5:$FZ$104,ROW()-3)="","",INDEX(Calc!$FX$5:$FX$104,ROW()-3))</f>
        <v/>
      </c>
      <c r="H38" s="26">
        <f>INDEX(Calc!$FZ$5:$FZ$104,ROW()-3)</f>
        <v/>
      </c>
      <c r="I38" s="56">
        <f>INDEX(Calc!$GA$5:$GA$104,ROW()-3)</f>
        <v/>
      </c>
      <c r="J38" s="57">
        <f>INDEX(Calc!$GB$5:$GB$104,ROW()-3)</f>
        <v/>
      </c>
      <c r="K38" s="57">
        <f>INDEX(Calc!$GC$5:$GC$104,ROW()-3)</f>
        <v/>
      </c>
      <c r="L38" s="31">
        <f>INDEX(Calc!$GD$5:$GD$104,ROW()-3)</f>
        <v/>
      </c>
      <c r="N38" s="58">
        <f>INDEX(Calc!$GG$5:$GG$104,ROW()-3)</f>
        <v/>
      </c>
    </row>
    <row r="39">
      <c r="A39" s="51" t="n"/>
      <c r="B39" s="52" t="n"/>
      <c r="C39" s="52" t="n"/>
      <c r="D39" s="53">
        <f>IF(TRIM(SUBSTITUTE(SUBSTITUTE(SUBSTITUTE(SUBSTITUTE(A39&amp;""," "," "),CHAR(9)," "),CHAR(10)," "),CHAR(13)," "))="","",SUMPRODUCT((Calc!$DH$5:$DH$1003=TRIM(SUBSTITUTE(SUBSTITUTE(SUBSTITUTE(SUBSTITUTE(A39&amp;""," "," "),CHAR(9)," "),CHAR(10)," "),CHAR(13)," ")))*Calc!$DM$5:$DM$1003))</f>
        <v/>
      </c>
      <c r="E39" s="54">
        <f>IF(TRIM(SUBSTITUTE(SUBSTITUTE(SUBSTITUTE(SUBSTITUTE(A39&amp;""," "," "),CHAR(9)," "),CHAR(10)," "),CHAR(13)," "))="","",IF(SUMPRODUCT(--(TRIM(SUBSTITUTE(SUBSTITUTE(SUBSTITUTE(SUBSTITUTE($A$3:A38&amp;""," "," "),CHAR(9)," "),CHAR(10)," "),CHAR(13)," "))=TRIM(SUBSTITUTE(SUBSTITUTE(SUBSTITUTE(SUBSTITUTE(A39&amp;""," "," "),CHAR(9)," "),CHAR(10)," "),CHAR(13)," "))))&gt;0,"Listed twice - only the first one is used",IF(D39=0,"Not in today's schedule","")))</f>
        <v/>
      </c>
      <c r="G39" s="55">
        <f>IF(INDEX(Calc!$FZ$5:$FZ$104,ROW()-3)="","",INDEX(Calc!$FX$5:$FX$104,ROW()-3))</f>
        <v/>
      </c>
      <c r="H39" s="26">
        <f>INDEX(Calc!$FZ$5:$FZ$104,ROW()-3)</f>
        <v/>
      </c>
      <c r="I39" s="56">
        <f>INDEX(Calc!$GA$5:$GA$104,ROW()-3)</f>
        <v/>
      </c>
      <c r="J39" s="57">
        <f>INDEX(Calc!$GB$5:$GB$104,ROW()-3)</f>
        <v/>
      </c>
      <c r="K39" s="57">
        <f>INDEX(Calc!$GC$5:$GC$104,ROW()-3)</f>
        <v/>
      </c>
      <c r="L39" s="31">
        <f>INDEX(Calc!$GD$5:$GD$104,ROW()-3)</f>
        <v/>
      </c>
      <c r="N39" s="58">
        <f>INDEX(Calc!$GG$5:$GG$104,ROW()-3)</f>
        <v/>
      </c>
    </row>
    <row r="40">
      <c r="A40" s="51" t="n"/>
      <c r="B40" s="52" t="n"/>
      <c r="C40" s="52" t="n"/>
      <c r="D40" s="53">
        <f>IF(TRIM(SUBSTITUTE(SUBSTITUTE(SUBSTITUTE(SUBSTITUTE(A40&amp;""," "," "),CHAR(9)," "),CHAR(10)," "),CHAR(13)," "))="","",SUMPRODUCT((Calc!$DH$5:$DH$1003=TRIM(SUBSTITUTE(SUBSTITUTE(SUBSTITUTE(SUBSTITUTE(A40&amp;""," "," "),CHAR(9)," "),CHAR(10)," "),CHAR(13)," ")))*Calc!$DM$5:$DM$1003))</f>
        <v/>
      </c>
      <c r="E40" s="54">
        <f>IF(TRIM(SUBSTITUTE(SUBSTITUTE(SUBSTITUTE(SUBSTITUTE(A40&amp;""," "," "),CHAR(9)," "),CHAR(10)," "),CHAR(13)," "))="","",IF(SUMPRODUCT(--(TRIM(SUBSTITUTE(SUBSTITUTE(SUBSTITUTE(SUBSTITUTE($A$3:A39&amp;""," "," "),CHAR(9)," "),CHAR(10)," "),CHAR(13)," "))=TRIM(SUBSTITUTE(SUBSTITUTE(SUBSTITUTE(SUBSTITUTE(A40&amp;""," "," "),CHAR(9)," "),CHAR(10)," "),CHAR(13)," "))))&gt;0,"Listed twice - only the first one is used",IF(D40=0,"Not in today's schedule","")))</f>
        <v/>
      </c>
      <c r="G40" s="55">
        <f>IF(INDEX(Calc!$FZ$5:$FZ$104,ROW()-3)="","",INDEX(Calc!$FX$5:$FX$104,ROW()-3))</f>
        <v/>
      </c>
      <c r="H40" s="26">
        <f>INDEX(Calc!$FZ$5:$FZ$104,ROW()-3)</f>
        <v/>
      </c>
      <c r="I40" s="56">
        <f>INDEX(Calc!$GA$5:$GA$104,ROW()-3)</f>
        <v/>
      </c>
      <c r="J40" s="57">
        <f>INDEX(Calc!$GB$5:$GB$104,ROW()-3)</f>
        <v/>
      </c>
      <c r="K40" s="57">
        <f>INDEX(Calc!$GC$5:$GC$104,ROW()-3)</f>
        <v/>
      </c>
      <c r="L40" s="31">
        <f>INDEX(Calc!$GD$5:$GD$104,ROW()-3)</f>
        <v/>
      </c>
      <c r="N40" s="58">
        <f>INDEX(Calc!$GG$5:$GG$104,ROW()-3)</f>
        <v/>
      </c>
    </row>
    <row r="41">
      <c r="A41" s="51" t="n"/>
      <c r="B41" s="52" t="n"/>
      <c r="C41" s="52" t="n"/>
      <c r="D41" s="53">
        <f>IF(TRIM(SUBSTITUTE(SUBSTITUTE(SUBSTITUTE(SUBSTITUTE(A41&amp;""," "," "),CHAR(9)," "),CHAR(10)," "),CHAR(13)," "))="","",SUMPRODUCT((Calc!$DH$5:$DH$1003=TRIM(SUBSTITUTE(SUBSTITUTE(SUBSTITUTE(SUBSTITUTE(A41&amp;""," "," "),CHAR(9)," "),CHAR(10)," "),CHAR(13)," ")))*Calc!$DM$5:$DM$1003))</f>
        <v/>
      </c>
      <c r="E41" s="54">
        <f>IF(TRIM(SUBSTITUTE(SUBSTITUTE(SUBSTITUTE(SUBSTITUTE(A41&amp;""," "," "),CHAR(9)," "),CHAR(10)," "),CHAR(13)," "))="","",IF(SUMPRODUCT(--(TRIM(SUBSTITUTE(SUBSTITUTE(SUBSTITUTE(SUBSTITUTE($A$3:A40&amp;""," "," "),CHAR(9)," "),CHAR(10)," "),CHAR(13)," "))=TRIM(SUBSTITUTE(SUBSTITUTE(SUBSTITUTE(SUBSTITUTE(A41&amp;""," "," "),CHAR(9)," "),CHAR(10)," "),CHAR(13)," "))))&gt;0,"Listed twice - only the first one is used",IF(D41=0,"Not in today's schedule","")))</f>
        <v/>
      </c>
      <c r="G41" s="55">
        <f>IF(INDEX(Calc!$FZ$5:$FZ$104,ROW()-3)="","",INDEX(Calc!$FX$5:$FX$104,ROW()-3))</f>
        <v/>
      </c>
      <c r="H41" s="26">
        <f>INDEX(Calc!$FZ$5:$FZ$104,ROW()-3)</f>
        <v/>
      </c>
      <c r="I41" s="56">
        <f>INDEX(Calc!$GA$5:$GA$104,ROW()-3)</f>
        <v/>
      </c>
      <c r="J41" s="57">
        <f>INDEX(Calc!$GB$5:$GB$104,ROW()-3)</f>
        <v/>
      </c>
      <c r="K41" s="57">
        <f>INDEX(Calc!$GC$5:$GC$104,ROW()-3)</f>
        <v/>
      </c>
      <c r="L41" s="31">
        <f>INDEX(Calc!$GD$5:$GD$104,ROW()-3)</f>
        <v/>
      </c>
      <c r="N41" s="58">
        <f>INDEX(Calc!$GG$5:$GG$104,ROW()-3)</f>
        <v/>
      </c>
    </row>
    <row r="42">
      <c r="A42" s="51" t="n"/>
      <c r="B42" s="52" t="n"/>
      <c r="C42" s="52" t="n"/>
      <c r="D42" s="53">
        <f>IF(TRIM(SUBSTITUTE(SUBSTITUTE(SUBSTITUTE(SUBSTITUTE(A42&amp;""," "," "),CHAR(9)," "),CHAR(10)," "),CHAR(13)," "))="","",SUMPRODUCT((Calc!$DH$5:$DH$1003=TRIM(SUBSTITUTE(SUBSTITUTE(SUBSTITUTE(SUBSTITUTE(A42&amp;""," "," "),CHAR(9)," "),CHAR(10)," "),CHAR(13)," ")))*Calc!$DM$5:$DM$1003))</f>
        <v/>
      </c>
      <c r="E42" s="54">
        <f>IF(TRIM(SUBSTITUTE(SUBSTITUTE(SUBSTITUTE(SUBSTITUTE(A42&amp;""," "," "),CHAR(9)," "),CHAR(10)," "),CHAR(13)," "))="","",IF(SUMPRODUCT(--(TRIM(SUBSTITUTE(SUBSTITUTE(SUBSTITUTE(SUBSTITUTE($A$3:A41&amp;""," "," "),CHAR(9)," "),CHAR(10)," "),CHAR(13)," "))=TRIM(SUBSTITUTE(SUBSTITUTE(SUBSTITUTE(SUBSTITUTE(A42&amp;""," "," "),CHAR(9)," "),CHAR(10)," "),CHAR(13)," "))))&gt;0,"Listed twice - only the first one is used",IF(D42=0,"Not in today's schedule","")))</f>
        <v/>
      </c>
      <c r="G42" s="55">
        <f>IF(INDEX(Calc!$FZ$5:$FZ$104,ROW()-3)="","",INDEX(Calc!$FX$5:$FX$104,ROW()-3))</f>
        <v/>
      </c>
      <c r="H42" s="26">
        <f>INDEX(Calc!$FZ$5:$FZ$104,ROW()-3)</f>
        <v/>
      </c>
      <c r="I42" s="56">
        <f>INDEX(Calc!$GA$5:$GA$104,ROW()-3)</f>
        <v/>
      </c>
      <c r="J42" s="57">
        <f>INDEX(Calc!$GB$5:$GB$104,ROW()-3)</f>
        <v/>
      </c>
      <c r="K42" s="57">
        <f>INDEX(Calc!$GC$5:$GC$104,ROW()-3)</f>
        <v/>
      </c>
      <c r="L42" s="31">
        <f>INDEX(Calc!$GD$5:$GD$104,ROW()-3)</f>
        <v/>
      </c>
      <c r="N42" s="58">
        <f>INDEX(Calc!$GG$5:$GG$104,ROW()-3)</f>
        <v/>
      </c>
    </row>
    <row r="43">
      <c r="A43" s="51" t="n"/>
      <c r="B43" s="52" t="n"/>
      <c r="C43" s="52" t="n"/>
      <c r="D43" s="53">
        <f>IF(TRIM(SUBSTITUTE(SUBSTITUTE(SUBSTITUTE(SUBSTITUTE(A43&amp;""," "," "),CHAR(9)," "),CHAR(10)," "),CHAR(13)," "))="","",SUMPRODUCT((Calc!$DH$5:$DH$1003=TRIM(SUBSTITUTE(SUBSTITUTE(SUBSTITUTE(SUBSTITUTE(A43&amp;""," "," "),CHAR(9)," "),CHAR(10)," "),CHAR(13)," ")))*Calc!$DM$5:$DM$1003))</f>
        <v/>
      </c>
      <c r="E43" s="54">
        <f>IF(TRIM(SUBSTITUTE(SUBSTITUTE(SUBSTITUTE(SUBSTITUTE(A43&amp;""," "," "),CHAR(9)," "),CHAR(10)," "),CHAR(13)," "))="","",IF(SUMPRODUCT(--(TRIM(SUBSTITUTE(SUBSTITUTE(SUBSTITUTE(SUBSTITUTE($A$3:A42&amp;""," "," "),CHAR(9)," "),CHAR(10)," "),CHAR(13)," "))=TRIM(SUBSTITUTE(SUBSTITUTE(SUBSTITUTE(SUBSTITUTE(A43&amp;""," "," "),CHAR(9)," "),CHAR(10)," "),CHAR(13)," "))))&gt;0,"Listed twice - only the first one is used",IF(D43=0,"Not in today's schedule","")))</f>
        <v/>
      </c>
      <c r="G43" s="55">
        <f>IF(INDEX(Calc!$FZ$5:$FZ$104,ROW()-3)="","",INDEX(Calc!$FX$5:$FX$104,ROW()-3))</f>
        <v/>
      </c>
      <c r="H43" s="26">
        <f>INDEX(Calc!$FZ$5:$FZ$104,ROW()-3)</f>
        <v/>
      </c>
      <c r="I43" s="56">
        <f>INDEX(Calc!$GA$5:$GA$104,ROW()-3)</f>
        <v/>
      </c>
      <c r="J43" s="57">
        <f>INDEX(Calc!$GB$5:$GB$104,ROW()-3)</f>
        <v/>
      </c>
      <c r="K43" s="57">
        <f>INDEX(Calc!$GC$5:$GC$104,ROW()-3)</f>
        <v/>
      </c>
      <c r="L43" s="31">
        <f>INDEX(Calc!$GD$5:$GD$104,ROW()-3)</f>
        <v/>
      </c>
      <c r="N43" s="58">
        <f>INDEX(Calc!$GG$5:$GG$104,ROW()-3)</f>
        <v/>
      </c>
    </row>
    <row r="44">
      <c r="A44" s="51" t="n"/>
      <c r="B44" s="52" t="n"/>
      <c r="C44" s="52" t="n"/>
      <c r="D44" s="53">
        <f>IF(TRIM(SUBSTITUTE(SUBSTITUTE(SUBSTITUTE(SUBSTITUTE(A44&amp;""," "," "),CHAR(9)," "),CHAR(10)," "),CHAR(13)," "))="","",SUMPRODUCT((Calc!$DH$5:$DH$1003=TRIM(SUBSTITUTE(SUBSTITUTE(SUBSTITUTE(SUBSTITUTE(A44&amp;""," "," "),CHAR(9)," "),CHAR(10)," "),CHAR(13)," ")))*Calc!$DM$5:$DM$1003))</f>
        <v/>
      </c>
      <c r="E44" s="54">
        <f>IF(TRIM(SUBSTITUTE(SUBSTITUTE(SUBSTITUTE(SUBSTITUTE(A44&amp;""," "," "),CHAR(9)," "),CHAR(10)," "),CHAR(13)," "))="","",IF(SUMPRODUCT(--(TRIM(SUBSTITUTE(SUBSTITUTE(SUBSTITUTE(SUBSTITUTE($A$3:A43&amp;""," "," "),CHAR(9)," "),CHAR(10)," "),CHAR(13)," "))=TRIM(SUBSTITUTE(SUBSTITUTE(SUBSTITUTE(SUBSTITUTE(A44&amp;""," "," "),CHAR(9)," "),CHAR(10)," "),CHAR(13)," "))))&gt;0,"Listed twice - only the first one is used",IF(D44=0,"Not in today's schedule","")))</f>
        <v/>
      </c>
      <c r="G44" s="55">
        <f>IF(INDEX(Calc!$FZ$5:$FZ$104,ROW()-3)="","",INDEX(Calc!$FX$5:$FX$104,ROW()-3))</f>
        <v/>
      </c>
      <c r="H44" s="26">
        <f>INDEX(Calc!$FZ$5:$FZ$104,ROW()-3)</f>
        <v/>
      </c>
      <c r="I44" s="56">
        <f>INDEX(Calc!$GA$5:$GA$104,ROW()-3)</f>
        <v/>
      </c>
      <c r="J44" s="57">
        <f>INDEX(Calc!$GB$5:$GB$104,ROW()-3)</f>
        <v/>
      </c>
      <c r="K44" s="57">
        <f>INDEX(Calc!$GC$5:$GC$104,ROW()-3)</f>
        <v/>
      </c>
      <c r="L44" s="31">
        <f>INDEX(Calc!$GD$5:$GD$104,ROW()-3)</f>
        <v/>
      </c>
      <c r="N44" s="58">
        <f>INDEX(Calc!$GG$5:$GG$104,ROW()-3)</f>
        <v/>
      </c>
    </row>
    <row r="45">
      <c r="A45" s="51" t="n"/>
      <c r="B45" s="52" t="n"/>
      <c r="C45" s="52" t="n"/>
      <c r="D45" s="53">
        <f>IF(TRIM(SUBSTITUTE(SUBSTITUTE(SUBSTITUTE(SUBSTITUTE(A45&amp;""," "," "),CHAR(9)," "),CHAR(10)," "),CHAR(13)," "))="","",SUMPRODUCT((Calc!$DH$5:$DH$1003=TRIM(SUBSTITUTE(SUBSTITUTE(SUBSTITUTE(SUBSTITUTE(A45&amp;""," "," "),CHAR(9)," "),CHAR(10)," "),CHAR(13)," ")))*Calc!$DM$5:$DM$1003))</f>
        <v/>
      </c>
      <c r="E45" s="54">
        <f>IF(TRIM(SUBSTITUTE(SUBSTITUTE(SUBSTITUTE(SUBSTITUTE(A45&amp;""," "," "),CHAR(9)," "),CHAR(10)," "),CHAR(13)," "))="","",IF(SUMPRODUCT(--(TRIM(SUBSTITUTE(SUBSTITUTE(SUBSTITUTE(SUBSTITUTE($A$3:A44&amp;""," "," "),CHAR(9)," "),CHAR(10)," "),CHAR(13)," "))=TRIM(SUBSTITUTE(SUBSTITUTE(SUBSTITUTE(SUBSTITUTE(A45&amp;""," "," "),CHAR(9)," "),CHAR(10)," "),CHAR(13)," "))))&gt;0,"Listed twice - only the first one is used",IF(D45=0,"Not in today's schedule","")))</f>
        <v/>
      </c>
      <c r="G45" s="55">
        <f>IF(INDEX(Calc!$FZ$5:$FZ$104,ROW()-3)="","",INDEX(Calc!$FX$5:$FX$104,ROW()-3))</f>
        <v/>
      </c>
      <c r="H45" s="26">
        <f>INDEX(Calc!$FZ$5:$FZ$104,ROW()-3)</f>
        <v/>
      </c>
      <c r="I45" s="56">
        <f>INDEX(Calc!$GA$5:$GA$104,ROW()-3)</f>
        <v/>
      </c>
      <c r="J45" s="57">
        <f>INDEX(Calc!$GB$5:$GB$104,ROW()-3)</f>
        <v/>
      </c>
      <c r="K45" s="57">
        <f>INDEX(Calc!$GC$5:$GC$104,ROW()-3)</f>
        <v/>
      </c>
      <c r="L45" s="31">
        <f>INDEX(Calc!$GD$5:$GD$104,ROW()-3)</f>
        <v/>
      </c>
      <c r="N45" s="58">
        <f>INDEX(Calc!$GG$5:$GG$104,ROW()-3)</f>
        <v/>
      </c>
    </row>
    <row r="46">
      <c r="A46" s="51" t="n"/>
      <c r="B46" s="52" t="n"/>
      <c r="C46" s="52" t="n"/>
      <c r="D46" s="53">
        <f>IF(TRIM(SUBSTITUTE(SUBSTITUTE(SUBSTITUTE(SUBSTITUTE(A46&amp;""," "," "),CHAR(9)," "),CHAR(10)," "),CHAR(13)," "))="","",SUMPRODUCT((Calc!$DH$5:$DH$1003=TRIM(SUBSTITUTE(SUBSTITUTE(SUBSTITUTE(SUBSTITUTE(A46&amp;""," "," "),CHAR(9)," "),CHAR(10)," "),CHAR(13)," ")))*Calc!$DM$5:$DM$1003))</f>
        <v/>
      </c>
      <c r="E46" s="54">
        <f>IF(TRIM(SUBSTITUTE(SUBSTITUTE(SUBSTITUTE(SUBSTITUTE(A46&amp;""," "," "),CHAR(9)," "),CHAR(10)," "),CHAR(13)," "))="","",IF(SUMPRODUCT(--(TRIM(SUBSTITUTE(SUBSTITUTE(SUBSTITUTE(SUBSTITUTE($A$3:A45&amp;""," "," "),CHAR(9)," "),CHAR(10)," "),CHAR(13)," "))=TRIM(SUBSTITUTE(SUBSTITUTE(SUBSTITUTE(SUBSTITUTE(A46&amp;""," "," "),CHAR(9)," "),CHAR(10)," "),CHAR(13)," "))))&gt;0,"Listed twice - only the first one is used",IF(D46=0,"Not in today's schedule","")))</f>
        <v/>
      </c>
      <c r="G46" s="55">
        <f>IF(INDEX(Calc!$FZ$5:$FZ$104,ROW()-3)="","",INDEX(Calc!$FX$5:$FX$104,ROW()-3))</f>
        <v/>
      </c>
      <c r="H46" s="26">
        <f>INDEX(Calc!$FZ$5:$FZ$104,ROW()-3)</f>
        <v/>
      </c>
      <c r="I46" s="56">
        <f>INDEX(Calc!$GA$5:$GA$104,ROW()-3)</f>
        <v/>
      </c>
      <c r="J46" s="57">
        <f>INDEX(Calc!$GB$5:$GB$104,ROW()-3)</f>
        <v/>
      </c>
      <c r="K46" s="57">
        <f>INDEX(Calc!$GC$5:$GC$104,ROW()-3)</f>
        <v/>
      </c>
      <c r="L46" s="31">
        <f>INDEX(Calc!$GD$5:$GD$104,ROW()-3)</f>
        <v/>
      </c>
      <c r="N46" s="58">
        <f>INDEX(Calc!$GG$5:$GG$104,ROW()-3)</f>
        <v/>
      </c>
    </row>
    <row r="47">
      <c r="A47" s="51" t="n"/>
      <c r="B47" s="52" t="n"/>
      <c r="C47" s="52" t="n"/>
      <c r="D47" s="53">
        <f>IF(TRIM(SUBSTITUTE(SUBSTITUTE(SUBSTITUTE(SUBSTITUTE(A47&amp;""," "," "),CHAR(9)," "),CHAR(10)," "),CHAR(13)," "))="","",SUMPRODUCT((Calc!$DH$5:$DH$1003=TRIM(SUBSTITUTE(SUBSTITUTE(SUBSTITUTE(SUBSTITUTE(A47&amp;""," "," "),CHAR(9)," "),CHAR(10)," "),CHAR(13)," ")))*Calc!$DM$5:$DM$1003))</f>
        <v/>
      </c>
      <c r="E47" s="54">
        <f>IF(TRIM(SUBSTITUTE(SUBSTITUTE(SUBSTITUTE(SUBSTITUTE(A47&amp;""," "," "),CHAR(9)," "),CHAR(10)," "),CHAR(13)," "))="","",IF(SUMPRODUCT(--(TRIM(SUBSTITUTE(SUBSTITUTE(SUBSTITUTE(SUBSTITUTE($A$3:A46&amp;""," "," "),CHAR(9)," "),CHAR(10)," "),CHAR(13)," "))=TRIM(SUBSTITUTE(SUBSTITUTE(SUBSTITUTE(SUBSTITUTE(A47&amp;""," "," "),CHAR(9)," "),CHAR(10)," "),CHAR(13)," "))))&gt;0,"Listed twice - only the first one is used",IF(D47=0,"Not in today's schedule","")))</f>
        <v/>
      </c>
      <c r="G47" s="55">
        <f>IF(INDEX(Calc!$FZ$5:$FZ$104,ROW()-3)="","",INDEX(Calc!$FX$5:$FX$104,ROW()-3))</f>
        <v/>
      </c>
      <c r="H47" s="26">
        <f>INDEX(Calc!$FZ$5:$FZ$104,ROW()-3)</f>
        <v/>
      </c>
      <c r="I47" s="56">
        <f>INDEX(Calc!$GA$5:$GA$104,ROW()-3)</f>
        <v/>
      </c>
      <c r="J47" s="57">
        <f>INDEX(Calc!$GB$5:$GB$104,ROW()-3)</f>
        <v/>
      </c>
      <c r="K47" s="57">
        <f>INDEX(Calc!$GC$5:$GC$104,ROW()-3)</f>
        <v/>
      </c>
      <c r="L47" s="31">
        <f>INDEX(Calc!$GD$5:$GD$104,ROW()-3)</f>
        <v/>
      </c>
      <c r="N47" s="58">
        <f>INDEX(Calc!$GG$5:$GG$104,ROW()-3)</f>
        <v/>
      </c>
    </row>
    <row r="48">
      <c r="A48" s="51" t="n"/>
      <c r="B48" s="52" t="n"/>
      <c r="C48" s="52" t="n"/>
      <c r="D48" s="53">
        <f>IF(TRIM(SUBSTITUTE(SUBSTITUTE(SUBSTITUTE(SUBSTITUTE(A48&amp;""," "," "),CHAR(9)," "),CHAR(10)," "),CHAR(13)," "))="","",SUMPRODUCT((Calc!$DH$5:$DH$1003=TRIM(SUBSTITUTE(SUBSTITUTE(SUBSTITUTE(SUBSTITUTE(A48&amp;""," "," "),CHAR(9)," "),CHAR(10)," "),CHAR(13)," ")))*Calc!$DM$5:$DM$1003))</f>
        <v/>
      </c>
      <c r="E48" s="54">
        <f>IF(TRIM(SUBSTITUTE(SUBSTITUTE(SUBSTITUTE(SUBSTITUTE(A48&amp;""," "," "),CHAR(9)," "),CHAR(10)," "),CHAR(13)," "))="","",IF(SUMPRODUCT(--(TRIM(SUBSTITUTE(SUBSTITUTE(SUBSTITUTE(SUBSTITUTE($A$3:A47&amp;""," "," "),CHAR(9)," "),CHAR(10)," "),CHAR(13)," "))=TRIM(SUBSTITUTE(SUBSTITUTE(SUBSTITUTE(SUBSTITUTE(A48&amp;""," "," "),CHAR(9)," "),CHAR(10)," "),CHAR(13)," "))))&gt;0,"Listed twice - only the first one is used",IF(D48=0,"Not in today's schedule","")))</f>
        <v/>
      </c>
      <c r="G48" s="55">
        <f>IF(INDEX(Calc!$FZ$5:$FZ$104,ROW()-3)="","",INDEX(Calc!$FX$5:$FX$104,ROW()-3))</f>
        <v/>
      </c>
      <c r="H48" s="26">
        <f>INDEX(Calc!$FZ$5:$FZ$104,ROW()-3)</f>
        <v/>
      </c>
      <c r="I48" s="56">
        <f>INDEX(Calc!$GA$5:$GA$104,ROW()-3)</f>
        <v/>
      </c>
      <c r="J48" s="57">
        <f>INDEX(Calc!$GB$5:$GB$104,ROW()-3)</f>
        <v/>
      </c>
      <c r="K48" s="57">
        <f>INDEX(Calc!$GC$5:$GC$104,ROW()-3)</f>
        <v/>
      </c>
      <c r="L48" s="31">
        <f>INDEX(Calc!$GD$5:$GD$104,ROW()-3)</f>
        <v/>
      </c>
      <c r="N48" s="58">
        <f>INDEX(Calc!$GG$5:$GG$104,ROW()-3)</f>
        <v/>
      </c>
    </row>
    <row r="49">
      <c r="A49" s="51" t="n"/>
      <c r="B49" s="52" t="n"/>
      <c r="C49" s="52" t="n"/>
      <c r="D49" s="53">
        <f>IF(TRIM(SUBSTITUTE(SUBSTITUTE(SUBSTITUTE(SUBSTITUTE(A49&amp;""," "," "),CHAR(9)," "),CHAR(10)," "),CHAR(13)," "))="","",SUMPRODUCT((Calc!$DH$5:$DH$1003=TRIM(SUBSTITUTE(SUBSTITUTE(SUBSTITUTE(SUBSTITUTE(A49&amp;""," "," "),CHAR(9)," "),CHAR(10)," "),CHAR(13)," ")))*Calc!$DM$5:$DM$1003))</f>
        <v/>
      </c>
      <c r="E49" s="54">
        <f>IF(TRIM(SUBSTITUTE(SUBSTITUTE(SUBSTITUTE(SUBSTITUTE(A49&amp;""," "," "),CHAR(9)," "),CHAR(10)," "),CHAR(13)," "))="","",IF(SUMPRODUCT(--(TRIM(SUBSTITUTE(SUBSTITUTE(SUBSTITUTE(SUBSTITUTE($A$3:A48&amp;""," "," "),CHAR(9)," "),CHAR(10)," "),CHAR(13)," "))=TRIM(SUBSTITUTE(SUBSTITUTE(SUBSTITUTE(SUBSTITUTE(A49&amp;""," "," "),CHAR(9)," "),CHAR(10)," "),CHAR(13)," "))))&gt;0,"Listed twice - only the first one is used",IF(D49=0,"Not in today's schedule","")))</f>
        <v/>
      </c>
      <c r="G49" s="55">
        <f>IF(INDEX(Calc!$FZ$5:$FZ$104,ROW()-3)="","",INDEX(Calc!$FX$5:$FX$104,ROW()-3))</f>
        <v/>
      </c>
      <c r="H49" s="26">
        <f>INDEX(Calc!$FZ$5:$FZ$104,ROW()-3)</f>
        <v/>
      </c>
      <c r="I49" s="56">
        <f>INDEX(Calc!$GA$5:$GA$104,ROW()-3)</f>
        <v/>
      </c>
      <c r="J49" s="57">
        <f>INDEX(Calc!$GB$5:$GB$104,ROW()-3)</f>
        <v/>
      </c>
      <c r="K49" s="57">
        <f>INDEX(Calc!$GC$5:$GC$104,ROW()-3)</f>
        <v/>
      </c>
      <c r="L49" s="31">
        <f>INDEX(Calc!$GD$5:$GD$104,ROW()-3)</f>
        <v/>
      </c>
      <c r="N49" s="58">
        <f>INDEX(Calc!$GG$5:$GG$104,ROW()-3)</f>
        <v/>
      </c>
    </row>
    <row r="50">
      <c r="A50" s="51" t="n"/>
      <c r="B50" s="52" t="n"/>
      <c r="C50" s="52" t="n"/>
      <c r="D50" s="53">
        <f>IF(TRIM(SUBSTITUTE(SUBSTITUTE(SUBSTITUTE(SUBSTITUTE(A50&amp;""," "," "),CHAR(9)," "),CHAR(10)," "),CHAR(13)," "))="","",SUMPRODUCT((Calc!$DH$5:$DH$1003=TRIM(SUBSTITUTE(SUBSTITUTE(SUBSTITUTE(SUBSTITUTE(A50&amp;""," "," "),CHAR(9)," "),CHAR(10)," "),CHAR(13)," ")))*Calc!$DM$5:$DM$1003))</f>
        <v/>
      </c>
      <c r="E50" s="54">
        <f>IF(TRIM(SUBSTITUTE(SUBSTITUTE(SUBSTITUTE(SUBSTITUTE(A50&amp;""," "," "),CHAR(9)," "),CHAR(10)," "),CHAR(13)," "))="","",IF(SUMPRODUCT(--(TRIM(SUBSTITUTE(SUBSTITUTE(SUBSTITUTE(SUBSTITUTE($A$3:A49&amp;""," "," "),CHAR(9)," "),CHAR(10)," "),CHAR(13)," "))=TRIM(SUBSTITUTE(SUBSTITUTE(SUBSTITUTE(SUBSTITUTE(A50&amp;""," "," "),CHAR(9)," "),CHAR(10)," "),CHAR(13)," "))))&gt;0,"Listed twice - only the first one is used",IF(D50=0,"Not in today's schedule","")))</f>
        <v/>
      </c>
      <c r="G50" s="55">
        <f>IF(INDEX(Calc!$FZ$5:$FZ$104,ROW()-3)="","",INDEX(Calc!$FX$5:$FX$104,ROW()-3))</f>
        <v/>
      </c>
      <c r="H50" s="26">
        <f>INDEX(Calc!$FZ$5:$FZ$104,ROW()-3)</f>
        <v/>
      </c>
      <c r="I50" s="56">
        <f>INDEX(Calc!$GA$5:$GA$104,ROW()-3)</f>
        <v/>
      </c>
      <c r="J50" s="57">
        <f>INDEX(Calc!$GB$5:$GB$104,ROW()-3)</f>
        <v/>
      </c>
      <c r="K50" s="57">
        <f>INDEX(Calc!$GC$5:$GC$104,ROW()-3)</f>
        <v/>
      </c>
      <c r="L50" s="31">
        <f>INDEX(Calc!$GD$5:$GD$104,ROW()-3)</f>
        <v/>
      </c>
      <c r="N50" s="58">
        <f>INDEX(Calc!$GG$5:$GG$104,ROW()-3)</f>
        <v/>
      </c>
    </row>
    <row r="51">
      <c r="A51" s="51" t="n"/>
      <c r="B51" s="52" t="n"/>
      <c r="C51" s="52" t="n"/>
      <c r="D51" s="53">
        <f>IF(TRIM(SUBSTITUTE(SUBSTITUTE(SUBSTITUTE(SUBSTITUTE(A51&amp;""," "," "),CHAR(9)," "),CHAR(10)," "),CHAR(13)," "))="","",SUMPRODUCT((Calc!$DH$5:$DH$1003=TRIM(SUBSTITUTE(SUBSTITUTE(SUBSTITUTE(SUBSTITUTE(A51&amp;""," "," "),CHAR(9)," "),CHAR(10)," "),CHAR(13)," ")))*Calc!$DM$5:$DM$1003))</f>
        <v/>
      </c>
      <c r="E51" s="54">
        <f>IF(TRIM(SUBSTITUTE(SUBSTITUTE(SUBSTITUTE(SUBSTITUTE(A51&amp;""," "," "),CHAR(9)," "),CHAR(10)," "),CHAR(13)," "))="","",IF(SUMPRODUCT(--(TRIM(SUBSTITUTE(SUBSTITUTE(SUBSTITUTE(SUBSTITUTE($A$3:A50&amp;""," "," "),CHAR(9)," "),CHAR(10)," "),CHAR(13)," "))=TRIM(SUBSTITUTE(SUBSTITUTE(SUBSTITUTE(SUBSTITUTE(A51&amp;""," "," "),CHAR(9)," "),CHAR(10)," "),CHAR(13)," "))))&gt;0,"Listed twice - only the first one is used",IF(D51=0,"Not in today's schedule","")))</f>
        <v/>
      </c>
      <c r="G51" s="55">
        <f>IF(INDEX(Calc!$FZ$5:$FZ$104,ROW()-3)="","",INDEX(Calc!$FX$5:$FX$104,ROW()-3))</f>
        <v/>
      </c>
      <c r="H51" s="26">
        <f>INDEX(Calc!$FZ$5:$FZ$104,ROW()-3)</f>
        <v/>
      </c>
      <c r="I51" s="56">
        <f>INDEX(Calc!$GA$5:$GA$104,ROW()-3)</f>
        <v/>
      </c>
      <c r="J51" s="57">
        <f>INDEX(Calc!$GB$5:$GB$104,ROW()-3)</f>
        <v/>
      </c>
      <c r="K51" s="57">
        <f>INDEX(Calc!$GC$5:$GC$104,ROW()-3)</f>
        <v/>
      </c>
      <c r="L51" s="31">
        <f>INDEX(Calc!$GD$5:$GD$104,ROW()-3)</f>
        <v/>
      </c>
      <c r="N51" s="58">
        <f>INDEX(Calc!$GG$5:$GG$104,ROW()-3)</f>
        <v/>
      </c>
    </row>
    <row r="52">
      <c r="A52" s="51" t="n"/>
      <c r="B52" s="52" t="n"/>
      <c r="C52" s="52" t="n"/>
      <c r="D52" s="53">
        <f>IF(TRIM(SUBSTITUTE(SUBSTITUTE(SUBSTITUTE(SUBSTITUTE(A52&amp;""," "," "),CHAR(9)," "),CHAR(10)," "),CHAR(13)," "))="","",SUMPRODUCT((Calc!$DH$5:$DH$1003=TRIM(SUBSTITUTE(SUBSTITUTE(SUBSTITUTE(SUBSTITUTE(A52&amp;""," "," "),CHAR(9)," "),CHAR(10)," "),CHAR(13)," ")))*Calc!$DM$5:$DM$1003))</f>
        <v/>
      </c>
      <c r="E52" s="54">
        <f>IF(TRIM(SUBSTITUTE(SUBSTITUTE(SUBSTITUTE(SUBSTITUTE(A52&amp;""," "," "),CHAR(9)," "),CHAR(10)," "),CHAR(13)," "))="","",IF(SUMPRODUCT(--(TRIM(SUBSTITUTE(SUBSTITUTE(SUBSTITUTE(SUBSTITUTE($A$3:A51&amp;""," "," "),CHAR(9)," "),CHAR(10)," "),CHAR(13)," "))=TRIM(SUBSTITUTE(SUBSTITUTE(SUBSTITUTE(SUBSTITUTE(A52&amp;""," "," "),CHAR(9)," "),CHAR(10)," "),CHAR(13)," "))))&gt;0,"Listed twice - only the first one is used",IF(D52=0,"Not in today's schedule","")))</f>
        <v/>
      </c>
      <c r="G52" s="55">
        <f>IF(INDEX(Calc!$FZ$5:$FZ$104,ROW()-3)="","",INDEX(Calc!$FX$5:$FX$104,ROW()-3))</f>
        <v/>
      </c>
      <c r="H52" s="26">
        <f>INDEX(Calc!$FZ$5:$FZ$104,ROW()-3)</f>
        <v/>
      </c>
      <c r="I52" s="56">
        <f>INDEX(Calc!$GA$5:$GA$104,ROW()-3)</f>
        <v/>
      </c>
      <c r="J52" s="57">
        <f>INDEX(Calc!$GB$5:$GB$104,ROW()-3)</f>
        <v/>
      </c>
      <c r="K52" s="57">
        <f>INDEX(Calc!$GC$5:$GC$104,ROW()-3)</f>
        <v/>
      </c>
      <c r="L52" s="31">
        <f>INDEX(Calc!$GD$5:$GD$104,ROW()-3)</f>
        <v/>
      </c>
      <c r="N52" s="58">
        <f>INDEX(Calc!$GG$5:$GG$104,ROW()-3)</f>
        <v/>
      </c>
    </row>
    <row r="53">
      <c r="A53" s="51" t="n"/>
      <c r="B53" s="52" t="n"/>
      <c r="C53" s="52" t="n"/>
      <c r="D53" s="53">
        <f>IF(TRIM(SUBSTITUTE(SUBSTITUTE(SUBSTITUTE(SUBSTITUTE(A53&amp;""," "," "),CHAR(9)," "),CHAR(10)," "),CHAR(13)," "))="","",SUMPRODUCT((Calc!$DH$5:$DH$1003=TRIM(SUBSTITUTE(SUBSTITUTE(SUBSTITUTE(SUBSTITUTE(A53&amp;""," "," "),CHAR(9)," "),CHAR(10)," "),CHAR(13)," ")))*Calc!$DM$5:$DM$1003))</f>
        <v/>
      </c>
      <c r="E53" s="54">
        <f>IF(TRIM(SUBSTITUTE(SUBSTITUTE(SUBSTITUTE(SUBSTITUTE(A53&amp;""," "," "),CHAR(9)," "),CHAR(10)," "),CHAR(13)," "))="","",IF(SUMPRODUCT(--(TRIM(SUBSTITUTE(SUBSTITUTE(SUBSTITUTE(SUBSTITUTE($A$3:A52&amp;""," "," "),CHAR(9)," "),CHAR(10)," "),CHAR(13)," "))=TRIM(SUBSTITUTE(SUBSTITUTE(SUBSTITUTE(SUBSTITUTE(A53&amp;""," "," "),CHAR(9)," "),CHAR(10)," "),CHAR(13)," "))))&gt;0,"Listed twice - only the first one is used",IF(D53=0,"Not in today's schedule","")))</f>
        <v/>
      </c>
      <c r="G53" s="55">
        <f>IF(INDEX(Calc!$FZ$5:$FZ$104,ROW()-3)="","",INDEX(Calc!$FX$5:$FX$104,ROW()-3))</f>
        <v/>
      </c>
      <c r="H53" s="26">
        <f>INDEX(Calc!$FZ$5:$FZ$104,ROW()-3)</f>
        <v/>
      </c>
      <c r="I53" s="56">
        <f>INDEX(Calc!$GA$5:$GA$104,ROW()-3)</f>
        <v/>
      </c>
      <c r="J53" s="57">
        <f>INDEX(Calc!$GB$5:$GB$104,ROW()-3)</f>
        <v/>
      </c>
      <c r="K53" s="57">
        <f>INDEX(Calc!$GC$5:$GC$104,ROW()-3)</f>
        <v/>
      </c>
      <c r="L53" s="31">
        <f>INDEX(Calc!$GD$5:$GD$104,ROW()-3)</f>
        <v/>
      </c>
      <c r="N53" s="58">
        <f>INDEX(Calc!$GG$5:$GG$104,ROW()-3)</f>
        <v/>
      </c>
    </row>
    <row r="54">
      <c r="A54" s="51" t="n"/>
      <c r="B54" s="52" t="n"/>
      <c r="C54" s="52" t="n"/>
      <c r="D54" s="53">
        <f>IF(TRIM(SUBSTITUTE(SUBSTITUTE(SUBSTITUTE(SUBSTITUTE(A54&amp;""," "," "),CHAR(9)," "),CHAR(10)," "),CHAR(13)," "))="","",SUMPRODUCT((Calc!$DH$5:$DH$1003=TRIM(SUBSTITUTE(SUBSTITUTE(SUBSTITUTE(SUBSTITUTE(A54&amp;""," "," "),CHAR(9)," "),CHAR(10)," "),CHAR(13)," ")))*Calc!$DM$5:$DM$1003))</f>
        <v/>
      </c>
      <c r="E54" s="54">
        <f>IF(TRIM(SUBSTITUTE(SUBSTITUTE(SUBSTITUTE(SUBSTITUTE(A54&amp;""," "," "),CHAR(9)," "),CHAR(10)," "),CHAR(13)," "))="","",IF(SUMPRODUCT(--(TRIM(SUBSTITUTE(SUBSTITUTE(SUBSTITUTE(SUBSTITUTE($A$3:A53&amp;""," "," "),CHAR(9)," "),CHAR(10)," "),CHAR(13)," "))=TRIM(SUBSTITUTE(SUBSTITUTE(SUBSTITUTE(SUBSTITUTE(A54&amp;""," "," "),CHAR(9)," "),CHAR(10)," "),CHAR(13)," "))))&gt;0,"Listed twice - only the first one is used",IF(D54=0,"Not in today's schedule","")))</f>
        <v/>
      </c>
      <c r="G54" s="55">
        <f>IF(INDEX(Calc!$FZ$5:$FZ$104,ROW()-3)="","",INDEX(Calc!$FX$5:$FX$104,ROW()-3))</f>
        <v/>
      </c>
      <c r="H54" s="26">
        <f>INDEX(Calc!$FZ$5:$FZ$104,ROW()-3)</f>
        <v/>
      </c>
      <c r="I54" s="56">
        <f>INDEX(Calc!$GA$5:$GA$104,ROW()-3)</f>
        <v/>
      </c>
      <c r="J54" s="57">
        <f>INDEX(Calc!$GB$5:$GB$104,ROW()-3)</f>
        <v/>
      </c>
      <c r="K54" s="57">
        <f>INDEX(Calc!$GC$5:$GC$104,ROW()-3)</f>
        <v/>
      </c>
      <c r="L54" s="31">
        <f>INDEX(Calc!$GD$5:$GD$104,ROW()-3)</f>
        <v/>
      </c>
      <c r="N54" s="58">
        <f>INDEX(Calc!$GG$5:$GG$104,ROW()-3)</f>
        <v/>
      </c>
    </row>
    <row r="55">
      <c r="A55" s="51" t="n"/>
      <c r="B55" s="52" t="n"/>
      <c r="C55" s="52" t="n"/>
      <c r="D55" s="53">
        <f>IF(TRIM(SUBSTITUTE(SUBSTITUTE(SUBSTITUTE(SUBSTITUTE(A55&amp;""," "," "),CHAR(9)," "),CHAR(10)," "),CHAR(13)," "))="","",SUMPRODUCT((Calc!$DH$5:$DH$1003=TRIM(SUBSTITUTE(SUBSTITUTE(SUBSTITUTE(SUBSTITUTE(A55&amp;""," "," "),CHAR(9)," "),CHAR(10)," "),CHAR(13)," ")))*Calc!$DM$5:$DM$1003))</f>
        <v/>
      </c>
      <c r="E55" s="54">
        <f>IF(TRIM(SUBSTITUTE(SUBSTITUTE(SUBSTITUTE(SUBSTITUTE(A55&amp;""," "," "),CHAR(9)," "),CHAR(10)," "),CHAR(13)," "))="","",IF(SUMPRODUCT(--(TRIM(SUBSTITUTE(SUBSTITUTE(SUBSTITUTE(SUBSTITUTE($A$3:A54&amp;""," "," "),CHAR(9)," "),CHAR(10)," "),CHAR(13)," "))=TRIM(SUBSTITUTE(SUBSTITUTE(SUBSTITUTE(SUBSTITUTE(A55&amp;""," "," "),CHAR(9)," "),CHAR(10)," "),CHAR(13)," "))))&gt;0,"Listed twice - only the first one is used",IF(D55=0,"Not in today's schedule","")))</f>
        <v/>
      </c>
      <c r="G55" s="55">
        <f>IF(INDEX(Calc!$FZ$5:$FZ$104,ROW()-3)="","",INDEX(Calc!$FX$5:$FX$104,ROW()-3))</f>
        <v/>
      </c>
      <c r="H55" s="26">
        <f>INDEX(Calc!$FZ$5:$FZ$104,ROW()-3)</f>
        <v/>
      </c>
      <c r="I55" s="56">
        <f>INDEX(Calc!$GA$5:$GA$104,ROW()-3)</f>
        <v/>
      </c>
      <c r="J55" s="57">
        <f>INDEX(Calc!$GB$5:$GB$104,ROW()-3)</f>
        <v/>
      </c>
      <c r="K55" s="57">
        <f>INDEX(Calc!$GC$5:$GC$104,ROW()-3)</f>
        <v/>
      </c>
      <c r="L55" s="31">
        <f>INDEX(Calc!$GD$5:$GD$104,ROW()-3)</f>
        <v/>
      </c>
      <c r="N55" s="58">
        <f>INDEX(Calc!$GG$5:$GG$104,ROW()-3)</f>
        <v/>
      </c>
    </row>
    <row r="56">
      <c r="A56" s="51" t="n"/>
      <c r="B56" s="52" t="n"/>
      <c r="C56" s="52" t="n"/>
      <c r="D56" s="53">
        <f>IF(TRIM(SUBSTITUTE(SUBSTITUTE(SUBSTITUTE(SUBSTITUTE(A56&amp;""," "," "),CHAR(9)," "),CHAR(10)," "),CHAR(13)," "))="","",SUMPRODUCT((Calc!$DH$5:$DH$1003=TRIM(SUBSTITUTE(SUBSTITUTE(SUBSTITUTE(SUBSTITUTE(A56&amp;""," "," "),CHAR(9)," "),CHAR(10)," "),CHAR(13)," ")))*Calc!$DM$5:$DM$1003))</f>
        <v/>
      </c>
      <c r="E56" s="54">
        <f>IF(TRIM(SUBSTITUTE(SUBSTITUTE(SUBSTITUTE(SUBSTITUTE(A56&amp;""," "," "),CHAR(9)," "),CHAR(10)," "),CHAR(13)," "))="","",IF(SUMPRODUCT(--(TRIM(SUBSTITUTE(SUBSTITUTE(SUBSTITUTE(SUBSTITUTE($A$3:A55&amp;""," "," "),CHAR(9)," "),CHAR(10)," "),CHAR(13)," "))=TRIM(SUBSTITUTE(SUBSTITUTE(SUBSTITUTE(SUBSTITUTE(A56&amp;""," "," "),CHAR(9)," "),CHAR(10)," "),CHAR(13)," "))))&gt;0,"Listed twice - only the first one is used",IF(D56=0,"Not in today's schedule","")))</f>
        <v/>
      </c>
      <c r="G56" s="55">
        <f>IF(INDEX(Calc!$FZ$5:$FZ$104,ROW()-3)="","",INDEX(Calc!$FX$5:$FX$104,ROW()-3))</f>
        <v/>
      </c>
      <c r="H56" s="26">
        <f>INDEX(Calc!$FZ$5:$FZ$104,ROW()-3)</f>
        <v/>
      </c>
      <c r="I56" s="56">
        <f>INDEX(Calc!$GA$5:$GA$104,ROW()-3)</f>
        <v/>
      </c>
      <c r="J56" s="57">
        <f>INDEX(Calc!$GB$5:$GB$104,ROW()-3)</f>
        <v/>
      </c>
      <c r="K56" s="57">
        <f>INDEX(Calc!$GC$5:$GC$104,ROW()-3)</f>
        <v/>
      </c>
      <c r="L56" s="31">
        <f>INDEX(Calc!$GD$5:$GD$104,ROW()-3)</f>
        <v/>
      </c>
      <c r="N56" s="58">
        <f>INDEX(Calc!$GG$5:$GG$104,ROW()-3)</f>
        <v/>
      </c>
    </row>
    <row r="57">
      <c r="A57" s="51" t="n"/>
      <c r="B57" s="52" t="n"/>
      <c r="C57" s="52" t="n"/>
      <c r="D57" s="53">
        <f>IF(TRIM(SUBSTITUTE(SUBSTITUTE(SUBSTITUTE(SUBSTITUTE(A57&amp;""," "," "),CHAR(9)," "),CHAR(10)," "),CHAR(13)," "))="","",SUMPRODUCT((Calc!$DH$5:$DH$1003=TRIM(SUBSTITUTE(SUBSTITUTE(SUBSTITUTE(SUBSTITUTE(A57&amp;""," "," "),CHAR(9)," "),CHAR(10)," "),CHAR(13)," ")))*Calc!$DM$5:$DM$1003))</f>
        <v/>
      </c>
      <c r="E57" s="54">
        <f>IF(TRIM(SUBSTITUTE(SUBSTITUTE(SUBSTITUTE(SUBSTITUTE(A57&amp;""," "," "),CHAR(9)," "),CHAR(10)," "),CHAR(13)," "))="","",IF(SUMPRODUCT(--(TRIM(SUBSTITUTE(SUBSTITUTE(SUBSTITUTE(SUBSTITUTE($A$3:A56&amp;""," "," "),CHAR(9)," "),CHAR(10)," "),CHAR(13)," "))=TRIM(SUBSTITUTE(SUBSTITUTE(SUBSTITUTE(SUBSTITUTE(A57&amp;""," "," "),CHAR(9)," "),CHAR(10)," "),CHAR(13)," "))))&gt;0,"Listed twice - only the first one is used",IF(D57=0,"Not in today's schedule","")))</f>
        <v/>
      </c>
      <c r="G57" s="55">
        <f>IF(INDEX(Calc!$FZ$5:$FZ$104,ROW()-3)="","",INDEX(Calc!$FX$5:$FX$104,ROW()-3))</f>
        <v/>
      </c>
      <c r="H57" s="26">
        <f>INDEX(Calc!$FZ$5:$FZ$104,ROW()-3)</f>
        <v/>
      </c>
      <c r="I57" s="56">
        <f>INDEX(Calc!$GA$5:$GA$104,ROW()-3)</f>
        <v/>
      </c>
      <c r="J57" s="57">
        <f>INDEX(Calc!$GB$5:$GB$104,ROW()-3)</f>
        <v/>
      </c>
      <c r="K57" s="57">
        <f>INDEX(Calc!$GC$5:$GC$104,ROW()-3)</f>
        <v/>
      </c>
      <c r="L57" s="31">
        <f>INDEX(Calc!$GD$5:$GD$104,ROW()-3)</f>
        <v/>
      </c>
      <c r="N57" s="58">
        <f>INDEX(Calc!$GG$5:$GG$104,ROW()-3)</f>
        <v/>
      </c>
    </row>
    <row r="58">
      <c r="A58" s="51" t="n"/>
      <c r="B58" s="52" t="n"/>
      <c r="C58" s="52" t="n"/>
      <c r="D58" s="53">
        <f>IF(TRIM(SUBSTITUTE(SUBSTITUTE(SUBSTITUTE(SUBSTITUTE(A58&amp;""," "," "),CHAR(9)," "),CHAR(10)," "),CHAR(13)," "))="","",SUMPRODUCT((Calc!$DH$5:$DH$1003=TRIM(SUBSTITUTE(SUBSTITUTE(SUBSTITUTE(SUBSTITUTE(A58&amp;""," "," "),CHAR(9)," "),CHAR(10)," "),CHAR(13)," ")))*Calc!$DM$5:$DM$1003))</f>
        <v/>
      </c>
      <c r="E58" s="54">
        <f>IF(TRIM(SUBSTITUTE(SUBSTITUTE(SUBSTITUTE(SUBSTITUTE(A58&amp;""," "," "),CHAR(9)," "),CHAR(10)," "),CHAR(13)," "))="","",IF(SUMPRODUCT(--(TRIM(SUBSTITUTE(SUBSTITUTE(SUBSTITUTE(SUBSTITUTE($A$3:A57&amp;""," "," "),CHAR(9)," "),CHAR(10)," "),CHAR(13)," "))=TRIM(SUBSTITUTE(SUBSTITUTE(SUBSTITUTE(SUBSTITUTE(A58&amp;""," "," "),CHAR(9)," "),CHAR(10)," "),CHAR(13)," "))))&gt;0,"Listed twice - only the first one is used",IF(D58=0,"Not in today's schedule","")))</f>
        <v/>
      </c>
      <c r="G58" s="55">
        <f>IF(INDEX(Calc!$FZ$5:$FZ$104,ROW()-3)="","",INDEX(Calc!$FX$5:$FX$104,ROW()-3))</f>
        <v/>
      </c>
      <c r="H58" s="26">
        <f>INDEX(Calc!$FZ$5:$FZ$104,ROW()-3)</f>
        <v/>
      </c>
      <c r="I58" s="56">
        <f>INDEX(Calc!$GA$5:$GA$104,ROW()-3)</f>
        <v/>
      </c>
      <c r="J58" s="57">
        <f>INDEX(Calc!$GB$5:$GB$104,ROW()-3)</f>
        <v/>
      </c>
      <c r="K58" s="57">
        <f>INDEX(Calc!$GC$5:$GC$104,ROW()-3)</f>
        <v/>
      </c>
      <c r="L58" s="31">
        <f>INDEX(Calc!$GD$5:$GD$104,ROW()-3)</f>
        <v/>
      </c>
      <c r="N58" s="58">
        <f>INDEX(Calc!$GG$5:$GG$104,ROW()-3)</f>
        <v/>
      </c>
    </row>
    <row r="59">
      <c r="A59" s="51" t="n"/>
      <c r="B59" s="52" t="n"/>
      <c r="C59" s="52" t="n"/>
      <c r="D59" s="53">
        <f>IF(TRIM(SUBSTITUTE(SUBSTITUTE(SUBSTITUTE(SUBSTITUTE(A59&amp;""," "," "),CHAR(9)," "),CHAR(10)," "),CHAR(13)," "))="","",SUMPRODUCT((Calc!$DH$5:$DH$1003=TRIM(SUBSTITUTE(SUBSTITUTE(SUBSTITUTE(SUBSTITUTE(A59&amp;""," "," "),CHAR(9)," "),CHAR(10)," "),CHAR(13)," ")))*Calc!$DM$5:$DM$1003))</f>
        <v/>
      </c>
      <c r="E59" s="54">
        <f>IF(TRIM(SUBSTITUTE(SUBSTITUTE(SUBSTITUTE(SUBSTITUTE(A59&amp;""," "," "),CHAR(9)," "),CHAR(10)," "),CHAR(13)," "))="","",IF(SUMPRODUCT(--(TRIM(SUBSTITUTE(SUBSTITUTE(SUBSTITUTE(SUBSTITUTE($A$3:A58&amp;""," "," "),CHAR(9)," "),CHAR(10)," "),CHAR(13)," "))=TRIM(SUBSTITUTE(SUBSTITUTE(SUBSTITUTE(SUBSTITUTE(A59&amp;""," "," "),CHAR(9)," "),CHAR(10)," "),CHAR(13)," "))))&gt;0,"Listed twice - only the first one is used",IF(D59=0,"Not in today's schedule","")))</f>
        <v/>
      </c>
      <c r="G59" s="55">
        <f>IF(INDEX(Calc!$FZ$5:$FZ$104,ROW()-3)="","",INDEX(Calc!$FX$5:$FX$104,ROW()-3))</f>
        <v/>
      </c>
      <c r="H59" s="26">
        <f>INDEX(Calc!$FZ$5:$FZ$104,ROW()-3)</f>
        <v/>
      </c>
      <c r="I59" s="56">
        <f>INDEX(Calc!$GA$5:$GA$104,ROW()-3)</f>
        <v/>
      </c>
      <c r="J59" s="57">
        <f>INDEX(Calc!$GB$5:$GB$104,ROW()-3)</f>
        <v/>
      </c>
      <c r="K59" s="57">
        <f>INDEX(Calc!$GC$5:$GC$104,ROW()-3)</f>
        <v/>
      </c>
      <c r="L59" s="31">
        <f>INDEX(Calc!$GD$5:$GD$104,ROW()-3)</f>
        <v/>
      </c>
      <c r="N59" s="58">
        <f>INDEX(Calc!$GG$5:$GG$104,ROW()-3)</f>
        <v/>
      </c>
    </row>
    <row r="60">
      <c r="A60" s="51" t="n"/>
      <c r="B60" s="52" t="n"/>
      <c r="C60" s="52" t="n"/>
      <c r="D60" s="53">
        <f>IF(TRIM(SUBSTITUTE(SUBSTITUTE(SUBSTITUTE(SUBSTITUTE(A60&amp;""," "," "),CHAR(9)," "),CHAR(10)," "),CHAR(13)," "))="","",SUMPRODUCT((Calc!$DH$5:$DH$1003=TRIM(SUBSTITUTE(SUBSTITUTE(SUBSTITUTE(SUBSTITUTE(A60&amp;""," "," "),CHAR(9)," "),CHAR(10)," "),CHAR(13)," ")))*Calc!$DM$5:$DM$1003))</f>
        <v/>
      </c>
      <c r="E60" s="54">
        <f>IF(TRIM(SUBSTITUTE(SUBSTITUTE(SUBSTITUTE(SUBSTITUTE(A60&amp;""," "," "),CHAR(9)," "),CHAR(10)," "),CHAR(13)," "))="","",IF(SUMPRODUCT(--(TRIM(SUBSTITUTE(SUBSTITUTE(SUBSTITUTE(SUBSTITUTE($A$3:A59&amp;""," "," "),CHAR(9)," "),CHAR(10)," "),CHAR(13)," "))=TRIM(SUBSTITUTE(SUBSTITUTE(SUBSTITUTE(SUBSTITUTE(A60&amp;""," "," "),CHAR(9)," "),CHAR(10)," "),CHAR(13)," "))))&gt;0,"Listed twice - only the first one is used",IF(D60=0,"Not in today's schedule","")))</f>
        <v/>
      </c>
      <c r="G60" s="55">
        <f>IF(INDEX(Calc!$FZ$5:$FZ$104,ROW()-3)="","",INDEX(Calc!$FX$5:$FX$104,ROW()-3))</f>
        <v/>
      </c>
      <c r="H60" s="26">
        <f>INDEX(Calc!$FZ$5:$FZ$104,ROW()-3)</f>
        <v/>
      </c>
      <c r="I60" s="56">
        <f>INDEX(Calc!$GA$5:$GA$104,ROW()-3)</f>
        <v/>
      </c>
      <c r="J60" s="57">
        <f>INDEX(Calc!$GB$5:$GB$104,ROW()-3)</f>
        <v/>
      </c>
      <c r="K60" s="57">
        <f>INDEX(Calc!$GC$5:$GC$104,ROW()-3)</f>
        <v/>
      </c>
      <c r="L60" s="31">
        <f>INDEX(Calc!$GD$5:$GD$104,ROW()-3)</f>
        <v/>
      </c>
      <c r="N60" s="58">
        <f>INDEX(Calc!$GG$5:$GG$104,ROW()-3)</f>
        <v/>
      </c>
    </row>
    <row r="61">
      <c r="A61" s="51" t="n"/>
      <c r="B61" s="52" t="n"/>
      <c r="C61" s="52" t="n"/>
      <c r="D61" s="53">
        <f>IF(TRIM(SUBSTITUTE(SUBSTITUTE(SUBSTITUTE(SUBSTITUTE(A61&amp;""," "," "),CHAR(9)," "),CHAR(10)," "),CHAR(13)," "))="","",SUMPRODUCT((Calc!$DH$5:$DH$1003=TRIM(SUBSTITUTE(SUBSTITUTE(SUBSTITUTE(SUBSTITUTE(A61&amp;""," "," "),CHAR(9)," "),CHAR(10)," "),CHAR(13)," ")))*Calc!$DM$5:$DM$1003))</f>
        <v/>
      </c>
      <c r="E61" s="54">
        <f>IF(TRIM(SUBSTITUTE(SUBSTITUTE(SUBSTITUTE(SUBSTITUTE(A61&amp;""," "," "),CHAR(9)," "),CHAR(10)," "),CHAR(13)," "))="","",IF(SUMPRODUCT(--(TRIM(SUBSTITUTE(SUBSTITUTE(SUBSTITUTE(SUBSTITUTE($A$3:A60&amp;""," "," "),CHAR(9)," "),CHAR(10)," "),CHAR(13)," "))=TRIM(SUBSTITUTE(SUBSTITUTE(SUBSTITUTE(SUBSTITUTE(A61&amp;""," "," "),CHAR(9)," "),CHAR(10)," "),CHAR(13)," "))))&gt;0,"Listed twice - only the first one is used",IF(D61=0,"Not in today's schedule","")))</f>
        <v/>
      </c>
      <c r="G61" s="55">
        <f>IF(INDEX(Calc!$FZ$5:$FZ$104,ROW()-3)="","",INDEX(Calc!$FX$5:$FX$104,ROW()-3))</f>
        <v/>
      </c>
      <c r="H61" s="26">
        <f>INDEX(Calc!$FZ$5:$FZ$104,ROW()-3)</f>
        <v/>
      </c>
      <c r="I61" s="56">
        <f>INDEX(Calc!$GA$5:$GA$104,ROW()-3)</f>
        <v/>
      </c>
      <c r="J61" s="57">
        <f>INDEX(Calc!$GB$5:$GB$104,ROW()-3)</f>
        <v/>
      </c>
      <c r="K61" s="57">
        <f>INDEX(Calc!$GC$5:$GC$104,ROW()-3)</f>
        <v/>
      </c>
      <c r="L61" s="31">
        <f>INDEX(Calc!$GD$5:$GD$104,ROW()-3)</f>
        <v/>
      </c>
      <c r="N61" s="58">
        <f>INDEX(Calc!$GG$5:$GG$104,ROW()-3)</f>
        <v/>
      </c>
    </row>
    <row r="62">
      <c r="A62" s="51" t="n"/>
      <c r="B62" s="52" t="n"/>
      <c r="C62" s="52" t="n"/>
      <c r="D62" s="53">
        <f>IF(TRIM(SUBSTITUTE(SUBSTITUTE(SUBSTITUTE(SUBSTITUTE(A62&amp;""," "," "),CHAR(9)," "),CHAR(10)," "),CHAR(13)," "))="","",SUMPRODUCT((Calc!$DH$5:$DH$1003=TRIM(SUBSTITUTE(SUBSTITUTE(SUBSTITUTE(SUBSTITUTE(A62&amp;""," "," "),CHAR(9)," "),CHAR(10)," "),CHAR(13)," ")))*Calc!$DM$5:$DM$1003))</f>
        <v/>
      </c>
      <c r="E62" s="54">
        <f>IF(TRIM(SUBSTITUTE(SUBSTITUTE(SUBSTITUTE(SUBSTITUTE(A62&amp;""," "," "),CHAR(9)," "),CHAR(10)," "),CHAR(13)," "))="","",IF(SUMPRODUCT(--(TRIM(SUBSTITUTE(SUBSTITUTE(SUBSTITUTE(SUBSTITUTE($A$3:A61&amp;""," "," "),CHAR(9)," "),CHAR(10)," "),CHAR(13)," "))=TRIM(SUBSTITUTE(SUBSTITUTE(SUBSTITUTE(SUBSTITUTE(A62&amp;""," "," "),CHAR(9)," "),CHAR(10)," "),CHAR(13)," "))))&gt;0,"Listed twice - only the first one is used",IF(D62=0,"Not in today's schedule","")))</f>
        <v/>
      </c>
      <c r="G62" s="55">
        <f>IF(INDEX(Calc!$FZ$5:$FZ$104,ROW()-3)="","",INDEX(Calc!$FX$5:$FX$104,ROW()-3))</f>
        <v/>
      </c>
      <c r="H62" s="26">
        <f>INDEX(Calc!$FZ$5:$FZ$104,ROW()-3)</f>
        <v/>
      </c>
      <c r="I62" s="56">
        <f>INDEX(Calc!$GA$5:$GA$104,ROW()-3)</f>
        <v/>
      </c>
      <c r="J62" s="57">
        <f>INDEX(Calc!$GB$5:$GB$104,ROW()-3)</f>
        <v/>
      </c>
      <c r="K62" s="57">
        <f>INDEX(Calc!$GC$5:$GC$104,ROW()-3)</f>
        <v/>
      </c>
      <c r="L62" s="31">
        <f>INDEX(Calc!$GD$5:$GD$104,ROW()-3)</f>
        <v/>
      </c>
      <c r="N62" s="58">
        <f>INDEX(Calc!$GG$5:$GG$104,ROW()-3)</f>
        <v/>
      </c>
    </row>
    <row r="63">
      <c r="A63" s="51" t="n"/>
      <c r="B63" s="52" t="n"/>
      <c r="C63" s="52" t="n"/>
      <c r="D63" s="53">
        <f>IF(TRIM(SUBSTITUTE(SUBSTITUTE(SUBSTITUTE(SUBSTITUTE(A63&amp;""," "," "),CHAR(9)," "),CHAR(10)," "),CHAR(13)," "))="","",SUMPRODUCT((Calc!$DH$5:$DH$1003=TRIM(SUBSTITUTE(SUBSTITUTE(SUBSTITUTE(SUBSTITUTE(A63&amp;""," "," "),CHAR(9)," "),CHAR(10)," "),CHAR(13)," ")))*Calc!$DM$5:$DM$1003))</f>
        <v/>
      </c>
      <c r="E63" s="54">
        <f>IF(TRIM(SUBSTITUTE(SUBSTITUTE(SUBSTITUTE(SUBSTITUTE(A63&amp;""," "," "),CHAR(9)," "),CHAR(10)," "),CHAR(13)," "))="","",IF(SUMPRODUCT(--(TRIM(SUBSTITUTE(SUBSTITUTE(SUBSTITUTE(SUBSTITUTE($A$3:A62&amp;""," "," "),CHAR(9)," "),CHAR(10)," "),CHAR(13)," "))=TRIM(SUBSTITUTE(SUBSTITUTE(SUBSTITUTE(SUBSTITUTE(A63&amp;""," "," "),CHAR(9)," "),CHAR(10)," "),CHAR(13)," "))))&gt;0,"Listed twice - only the first one is used",IF(D63=0,"Not in today's schedule","")))</f>
        <v/>
      </c>
      <c r="G63" s="55">
        <f>IF(INDEX(Calc!$FZ$5:$FZ$104,ROW()-3)="","",INDEX(Calc!$FX$5:$FX$104,ROW()-3))</f>
        <v/>
      </c>
      <c r="H63" s="26">
        <f>INDEX(Calc!$FZ$5:$FZ$104,ROW()-3)</f>
        <v/>
      </c>
      <c r="I63" s="56">
        <f>INDEX(Calc!$GA$5:$GA$104,ROW()-3)</f>
        <v/>
      </c>
      <c r="J63" s="57">
        <f>INDEX(Calc!$GB$5:$GB$104,ROW()-3)</f>
        <v/>
      </c>
      <c r="K63" s="57">
        <f>INDEX(Calc!$GC$5:$GC$104,ROW()-3)</f>
        <v/>
      </c>
      <c r="L63" s="31">
        <f>INDEX(Calc!$GD$5:$GD$104,ROW()-3)</f>
        <v/>
      </c>
      <c r="N63" s="58">
        <f>INDEX(Calc!$GG$5:$GG$104,ROW()-3)</f>
        <v/>
      </c>
    </row>
    <row r="64">
      <c r="A64" s="51" t="n"/>
      <c r="B64" s="52" t="n"/>
      <c r="C64" s="52" t="n"/>
      <c r="D64" s="53">
        <f>IF(TRIM(SUBSTITUTE(SUBSTITUTE(SUBSTITUTE(SUBSTITUTE(A64&amp;""," "," "),CHAR(9)," "),CHAR(10)," "),CHAR(13)," "))="","",SUMPRODUCT((Calc!$DH$5:$DH$1003=TRIM(SUBSTITUTE(SUBSTITUTE(SUBSTITUTE(SUBSTITUTE(A64&amp;""," "," "),CHAR(9)," "),CHAR(10)," "),CHAR(13)," ")))*Calc!$DM$5:$DM$1003))</f>
        <v/>
      </c>
      <c r="E64" s="54">
        <f>IF(TRIM(SUBSTITUTE(SUBSTITUTE(SUBSTITUTE(SUBSTITUTE(A64&amp;""," "," "),CHAR(9)," "),CHAR(10)," "),CHAR(13)," "))="","",IF(SUMPRODUCT(--(TRIM(SUBSTITUTE(SUBSTITUTE(SUBSTITUTE(SUBSTITUTE($A$3:A63&amp;""," "," "),CHAR(9)," "),CHAR(10)," "),CHAR(13)," "))=TRIM(SUBSTITUTE(SUBSTITUTE(SUBSTITUTE(SUBSTITUTE(A64&amp;""," "," "),CHAR(9)," "),CHAR(10)," "),CHAR(13)," "))))&gt;0,"Listed twice - only the first one is used",IF(D64=0,"Not in today's schedule","")))</f>
        <v/>
      </c>
      <c r="G64" s="55">
        <f>IF(INDEX(Calc!$FZ$5:$FZ$104,ROW()-3)="","",INDEX(Calc!$FX$5:$FX$104,ROW()-3))</f>
        <v/>
      </c>
      <c r="H64" s="26">
        <f>INDEX(Calc!$FZ$5:$FZ$104,ROW()-3)</f>
        <v/>
      </c>
      <c r="I64" s="56">
        <f>INDEX(Calc!$GA$5:$GA$104,ROW()-3)</f>
        <v/>
      </c>
      <c r="J64" s="57">
        <f>INDEX(Calc!$GB$5:$GB$104,ROW()-3)</f>
        <v/>
      </c>
      <c r="K64" s="57">
        <f>INDEX(Calc!$GC$5:$GC$104,ROW()-3)</f>
        <v/>
      </c>
      <c r="L64" s="31">
        <f>INDEX(Calc!$GD$5:$GD$104,ROW()-3)</f>
        <v/>
      </c>
      <c r="N64" s="58">
        <f>INDEX(Calc!$GG$5:$GG$104,ROW()-3)</f>
        <v/>
      </c>
    </row>
    <row r="65">
      <c r="A65" s="51" t="n"/>
      <c r="B65" s="52" t="n"/>
      <c r="C65" s="52" t="n"/>
      <c r="D65" s="53">
        <f>IF(TRIM(SUBSTITUTE(SUBSTITUTE(SUBSTITUTE(SUBSTITUTE(A65&amp;""," "," "),CHAR(9)," "),CHAR(10)," "),CHAR(13)," "))="","",SUMPRODUCT((Calc!$DH$5:$DH$1003=TRIM(SUBSTITUTE(SUBSTITUTE(SUBSTITUTE(SUBSTITUTE(A65&amp;""," "," "),CHAR(9)," "),CHAR(10)," "),CHAR(13)," ")))*Calc!$DM$5:$DM$1003))</f>
        <v/>
      </c>
      <c r="E65" s="54">
        <f>IF(TRIM(SUBSTITUTE(SUBSTITUTE(SUBSTITUTE(SUBSTITUTE(A65&amp;""," "," "),CHAR(9)," "),CHAR(10)," "),CHAR(13)," "))="","",IF(SUMPRODUCT(--(TRIM(SUBSTITUTE(SUBSTITUTE(SUBSTITUTE(SUBSTITUTE($A$3:A64&amp;""," "," "),CHAR(9)," "),CHAR(10)," "),CHAR(13)," "))=TRIM(SUBSTITUTE(SUBSTITUTE(SUBSTITUTE(SUBSTITUTE(A65&amp;""," "," "),CHAR(9)," "),CHAR(10)," "),CHAR(13)," "))))&gt;0,"Listed twice - only the first one is used",IF(D65=0,"Not in today's schedule","")))</f>
        <v/>
      </c>
      <c r="G65" s="55">
        <f>IF(INDEX(Calc!$FZ$5:$FZ$104,ROW()-3)="","",INDEX(Calc!$FX$5:$FX$104,ROW()-3))</f>
        <v/>
      </c>
      <c r="H65" s="26">
        <f>INDEX(Calc!$FZ$5:$FZ$104,ROW()-3)</f>
        <v/>
      </c>
      <c r="I65" s="56">
        <f>INDEX(Calc!$GA$5:$GA$104,ROW()-3)</f>
        <v/>
      </c>
      <c r="J65" s="57">
        <f>INDEX(Calc!$GB$5:$GB$104,ROW()-3)</f>
        <v/>
      </c>
      <c r="K65" s="57">
        <f>INDEX(Calc!$GC$5:$GC$104,ROW()-3)</f>
        <v/>
      </c>
      <c r="L65" s="31">
        <f>INDEX(Calc!$GD$5:$GD$104,ROW()-3)</f>
        <v/>
      </c>
      <c r="N65" s="58">
        <f>INDEX(Calc!$GG$5:$GG$104,ROW()-3)</f>
        <v/>
      </c>
    </row>
    <row r="66">
      <c r="A66" s="51" t="n"/>
      <c r="B66" s="52" t="n"/>
      <c r="C66" s="52" t="n"/>
      <c r="D66" s="53">
        <f>IF(TRIM(SUBSTITUTE(SUBSTITUTE(SUBSTITUTE(SUBSTITUTE(A66&amp;""," "," "),CHAR(9)," "),CHAR(10)," "),CHAR(13)," "))="","",SUMPRODUCT((Calc!$DH$5:$DH$1003=TRIM(SUBSTITUTE(SUBSTITUTE(SUBSTITUTE(SUBSTITUTE(A66&amp;""," "," "),CHAR(9)," "),CHAR(10)," "),CHAR(13)," ")))*Calc!$DM$5:$DM$1003))</f>
        <v/>
      </c>
      <c r="E66" s="54">
        <f>IF(TRIM(SUBSTITUTE(SUBSTITUTE(SUBSTITUTE(SUBSTITUTE(A66&amp;""," "," "),CHAR(9)," "),CHAR(10)," "),CHAR(13)," "))="","",IF(SUMPRODUCT(--(TRIM(SUBSTITUTE(SUBSTITUTE(SUBSTITUTE(SUBSTITUTE($A$3:A65&amp;""," "," "),CHAR(9)," "),CHAR(10)," "),CHAR(13)," "))=TRIM(SUBSTITUTE(SUBSTITUTE(SUBSTITUTE(SUBSTITUTE(A66&amp;""," "," "),CHAR(9)," "),CHAR(10)," "),CHAR(13)," "))))&gt;0,"Listed twice - only the first one is used",IF(D66=0,"Not in today's schedule","")))</f>
        <v/>
      </c>
      <c r="G66" s="55">
        <f>IF(INDEX(Calc!$FZ$5:$FZ$104,ROW()-3)="","",INDEX(Calc!$FX$5:$FX$104,ROW()-3))</f>
        <v/>
      </c>
      <c r="H66" s="26">
        <f>INDEX(Calc!$FZ$5:$FZ$104,ROW()-3)</f>
        <v/>
      </c>
      <c r="I66" s="56">
        <f>INDEX(Calc!$GA$5:$GA$104,ROW()-3)</f>
        <v/>
      </c>
      <c r="J66" s="57">
        <f>INDEX(Calc!$GB$5:$GB$104,ROW()-3)</f>
        <v/>
      </c>
      <c r="K66" s="57">
        <f>INDEX(Calc!$GC$5:$GC$104,ROW()-3)</f>
        <v/>
      </c>
      <c r="L66" s="31">
        <f>INDEX(Calc!$GD$5:$GD$104,ROW()-3)</f>
        <v/>
      </c>
      <c r="N66" s="58">
        <f>INDEX(Calc!$GG$5:$GG$104,ROW()-3)</f>
        <v/>
      </c>
    </row>
    <row r="67">
      <c r="A67" s="51" t="n"/>
      <c r="B67" s="52" t="n"/>
      <c r="C67" s="52" t="n"/>
      <c r="D67" s="53">
        <f>IF(TRIM(SUBSTITUTE(SUBSTITUTE(SUBSTITUTE(SUBSTITUTE(A67&amp;""," "," "),CHAR(9)," "),CHAR(10)," "),CHAR(13)," "))="","",SUMPRODUCT((Calc!$DH$5:$DH$1003=TRIM(SUBSTITUTE(SUBSTITUTE(SUBSTITUTE(SUBSTITUTE(A67&amp;""," "," "),CHAR(9)," "),CHAR(10)," "),CHAR(13)," ")))*Calc!$DM$5:$DM$1003))</f>
        <v/>
      </c>
      <c r="E67" s="54">
        <f>IF(TRIM(SUBSTITUTE(SUBSTITUTE(SUBSTITUTE(SUBSTITUTE(A67&amp;""," "," "),CHAR(9)," "),CHAR(10)," "),CHAR(13)," "))="","",IF(SUMPRODUCT(--(TRIM(SUBSTITUTE(SUBSTITUTE(SUBSTITUTE(SUBSTITUTE($A$3:A66&amp;""," "," "),CHAR(9)," "),CHAR(10)," "),CHAR(13)," "))=TRIM(SUBSTITUTE(SUBSTITUTE(SUBSTITUTE(SUBSTITUTE(A67&amp;""," "," "),CHAR(9)," "),CHAR(10)," "),CHAR(13)," "))))&gt;0,"Listed twice - only the first one is used",IF(D67=0,"Not in today's schedule","")))</f>
        <v/>
      </c>
      <c r="G67" s="55">
        <f>IF(INDEX(Calc!$FZ$5:$FZ$104,ROW()-3)="","",INDEX(Calc!$FX$5:$FX$104,ROW()-3))</f>
        <v/>
      </c>
      <c r="H67" s="26">
        <f>INDEX(Calc!$FZ$5:$FZ$104,ROW()-3)</f>
        <v/>
      </c>
      <c r="I67" s="56">
        <f>INDEX(Calc!$GA$5:$GA$104,ROW()-3)</f>
        <v/>
      </c>
      <c r="J67" s="57">
        <f>INDEX(Calc!$GB$5:$GB$104,ROW()-3)</f>
        <v/>
      </c>
      <c r="K67" s="57">
        <f>INDEX(Calc!$GC$5:$GC$104,ROW()-3)</f>
        <v/>
      </c>
      <c r="L67" s="31">
        <f>INDEX(Calc!$GD$5:$GD$104,ROW()-3)</f>
        <v/>
      </c>
      <c r="N67" s="58">
        <f>INDEX(Calc!$GG$5:$GG$104,ROW()-3)</f>
        <v/>
      </c>
    </row>
    <row r="68">
      <c r="A68" s="51" t="n"/>
      <c r="B68" s="52" t="n"/>
      <c r="C68" s="52" t="n"/>
      <c r="D68" s="53">
        <f>IF(TRIM(SUBSTITUTE(SUBSTITUTE(SUBSTITUTE(SUBSTITUTE(A68&amp;""," "," "),CHAR(9)," "),CHAR(10)," "),CHAR(13)," "))="","",SUMPRODUCT((Calc!$DH$5:$DH$1003=TRIM(SUBSTITUTE(SUBSTITUTE(SUBSTITUTE(SUBSTITUTE(A68&amp;""," "," "),CHAR(9)," "),CHAR(10)," "),CHAR(13)," ")))*Calc!$DM$5:$DM$1003))</f>
        <v/>
      </c>
      <c r="E68" s="54">
        <f>IF(TRIM(SUBSTITUTE(SUBSTITUTE(SUBSTITUTE(SUBSTITUTE(A68&amp;""," "," "),CHAR(9)," "),CHAR(10)," "),CHAR(13)," "))="","",IF(SUMPRODUCT(--(TRIM(SUBSTITUTE(SUBSTITUTE(SUBSTITUTE(SUBSTITUTE($A$3:A67&amp;""," "," "),CHAR(9)," "),CHAR(10)," "),CHAR(13)," "))=TRIM(SUBSTITUTE(SUBSTITUTE(SUBSTITUTE(SUBSTITUTE(A68&amp;""," "," "),CHAR(9)," "),CHAR(10)," "),CHAR(13)," "))))&gt;0,"Listed twice - only the first one is used",IF(D68=0,"Not in today's schedule","")))</f>
        <v/>
      </c>
      <c r="G68" s="55">
        <f>IF(INDEX(Calc!$FZ$5:$FZ$104,ROW()-3)="","",INDEX(Calc!$FX$5:$FX$104,ROW()-3))</f>
        <v/>
      </c>
      <c r="H68" s="26">
        <f>INDEX(Calc!$FZ$5:$FZ$104,ROW()-3)</f>
        <v/>
      </c>
      <c r="I68" s="56">
        <f>INDEX(Calc!$GA$5:$GA$104,ROW()-3)</f>
        <v/>
      </c>
      <c r="J68" s="57">
        <f>INDEX(Calc!$GB$5:$GB$104,ROW()-3)</f>
        <v/>
      </c>
      <c r="K68" s="57">
        <f>INDEX(Calc!$GC$5:$GC$104,ROW()-3)</f>
        <v/>
      </c>
      <c r="L68" s="31">
        <f>INDEX(Calc!$GD$5:$GD$104,ROW()-3)</f>
        <v/>
      </c>
      <c r="N68" s="58">
        <f>INDEX(Calc!$GG$5:$GG$104,ROW()-3)</f>
        <v/>
      </c>
    </row>
    <row r="69">
      <c r="A69" s="51" t="n"/>
      <c r="B69" s="52" t="n"/>
      <c r="C69" s="52" t="n"/>
      <c r="D69" s="53">
        <f>IF(TRIM(SUBSTITUTE(SUBSTITUTE(SUBSTITUTE(SUBSTITUTE(A69&amp;""," "," "),CHAR(9)," "),CHAR(10)," "),CHAR(13)," "))="","",SUMPRODUCT((Calc!$DH$5:$DH$1003=TRIM(SUBSTITUTE(SUBSTITUTE(SUBSTITUTE(SUBSTITUTE(A69&amp;""," "," "),CHAR(9)," "),CHAR(10)," "),CHAR(13)," ")))*Calc!$DM$5:$DM$1003))</f>
        <v/>
      </c>
      <c r="E69" s="54">
        <f>IF(TRIM(SUBSTITUTE(SUBSTITUTE(SUBSTITUTE(SUBSTITUTE(A69&amp;""," "," "),CHAR(9)," "),CHAR(10)," "),CHAR(13)," "))="","",IF(SUMPRODUCT(--(TRIM(SUBSTITUTE(SUBSTITUTE(SUBSTITUTE(SUBSTITUTE($A$3:A68&amp;""," "," "),CHAR(9)," "),CHAR(10)," "),CHAR(13)," "))=TRIM(SUBSTITUTE(SUBSTITUTE(SUBSTITUTE(SUBSTITUTE(A69&amp;""," "," "),CHAR(9)," "),CHAR(10)," "),CHAR(13)," "))))&gt;0,"Listed twice - only the first one is used",IF(D69=0,"Not in today's schedule","")))</f>
        <v/>
      </c>
      <c r="G69" s="55">
        <f>IF(INDEX(Calc!$FZ$5:$FZ$104,ROW()-3)="","",INDEX(Calc!$FX$5:$FX$104,ROW()-3))</f>
        <v/>
      </c>
      <c r="H69" s="26">
        <f>INDEX(Calc!$FZ$5:$FZ$104,ROW()-3)</f>
        <v/>
      </c>
      <c r="I69" s="56">
        <f>INDEX(Calc!$GA$5:$GA$104,ROW()-3)</f>
        <v/>
      </c>
      <c r="J69" s="57">
        <f>INDEX(Calc!$GB$5:$GB$104,ROW()-3)</f>
        <v/>
      </c>
      <c r="K69" s="57">
        <f>INDEX(Calc!$GC$5:$GC$104,ROW()-3)</f>
        <v/>
      </c>
      <c r="L69" s="31">
        <f>INDEX(Calc!$GD$5:$GD$104,ROW()-3)</f>
        <v/>
      </c>
      <c r="N69" s="58">
        <f>INDEX(Calc!$GG$5:$GG$104,ROW()-3)</f>
        <v/>
      </c>
    </row>
    <row r="70">
      <c r="A70" s="51" t="n"/>
      <c r="B70" s="52" t="n"/>
      <c r="C70" s="52" t="n"/>
      <c r="D70" s="53">
        <f>IF(TRIM(SUBSTITUTE(SUBSTITUTE(SUBSTITUTE(SUBSTITUTE(A70&amp;""," "," "),CHAR(9)," "),CHAR(10)," "),CHAR(13)," "))="","",SUMPRODUCT((Calc!$DH$5:$DH$1003=TRIM(SUBSTITUTE(SUBSTITUTE(SUBSTITUTE(SUBSTITUTE(A70&amp;""," "," "),CHAR(9)," "),CHAR(10)," "),CHAR(13)," ")))*Calc!$DM$5:$DM$1003))</f>
        <v/>
      </c>
      <c r="E70" s="54">
        <f>IF(TRIM(SUBSTITUTE(SUBSTITUTE(SUBSTITUTE(SUBSTITUTE(A70&amp;""," "," "),CHAR(9)," "),CHAR(10)," "),CHAR(13)," "))="","",IF(SUMPRODUCT(--(TRIM(SUBSTITUTE(SUBSTITUTE(SUBSTITUTE(SUBSTITUTE($A$3:A69&amp;""," "," "),CHAR(9)," "),CHAR(10)," "),CHAR(13)," "))=TRIM(SUBSTITUTE(SUBSTITUTE(SUBSTITUTE(SUBSTITUTE(A70&amp;""," "," "),CHAR(9)," "),CHAR(10)," "),CHAR(13)," "))))&gt;0,"Listed twice - only the first one is used",IF(D70=0,"Not in today's schedule","")))</f>
        <v/>
      </c>
      <c r="G70" s="55">
        <f>IF(INDEX(Calc!$FZ$5:$FZ$104,ROW()-3)="","",INDEX(Calc!$FX$5:$FX$104,ROW()-3))</f>
        <v/>
      </c>
      <c r="H70" s="26">
        <f>INDEX(Calc!$FZ$5:$FZ$104,ROW()-3)</f>
        <v/>
      </c>
      <c r="I70" s="56">
        <f>INDEX(Calc!$GA$5:$GA$104,ROW()-3)</f>
        <v/>
      </c>
      <c r="J70" s="57">
        <f>INDEX(Calc!$GB$5:$GB$104,ROW()-3)</f>
        <v/>
      </c>
      <c r="K70" s="57">
        <f>INDEX(Calc!$GC$5:$GC$104,ROW()-3)</f>
        <v/>
      </c>
      <c r="L70" s="31">
        <f>INDEX(Calc!$GD$5:$GD$104,ROW()-3)</f>
        <v/>
      </c>
      <c r="N70" s="58">
        <f>INDEX(Calc!$GG$5:$GG$104,ROW()-3)</f>
        <v/>
      </c>
    </row>
    <row r="71">
      <c r="A71" s="51" t="n"/>
      <c r="B71" s="52" t="n"/>
      <c r="C71" s="52" t="n"/>
      <c r="D71" s="53">
        <f>IF(TRIM(SUBSTITUTE(SUBSTITUTE(SUBSTITUTE(SUBSTITUTE(A71&amp;""," "," "),CHAR(9)," "),CHAR(10)," "),CHAR(13)," "))="","",SUMPRODUCT((Calc!$DH$5:$DH$1003=TRIM(SUBSTITUTE(SUBSTITUTE(SUBSTITUTE(SUBSTITUTE(A71&amp;""," "," "),CHAR(9)," "),CHAR(10)," "),CHAR(13)," ")))*Calc!$DM$5:$DM$1003))</f>
        <v/>
      </c>
      <c r="E71" s="54">
        <f>IF(TRIM(SUBSTITUTE(SUBSTITUTE(SUBSTITUTE(SUBSTITUTE(A71&amp;""," "," "),CHAR(9)," "),CHAR(10)," "),CHAR(13)," "))="","",IF(SUMPRODUCT(--(TRIM(SUBSTITUTE(SUBSTITUTE(SUBSTITUTE(SUBSTITUTE($A$3:A70&amp;""," "," "),CHAR(9)," "),CHAR(10)," "),CHAR(13)," "))=TRIM(SUBSTITUTE(SUBSTITUTE(SUBSTITUTE(SUBSTITUTE(A71&amp;""," "," "),CHAR(9)," "),CHAR(10)," "),CHAR(13)," "))))&gt;0,"Listed twice - only the first one is used",IF(D71=0,"Not in today's schedule","")))</f>
        <v/>
      </c>
      <c r="G71" s="55">
        <f>IF(INDEX(Calc!$FZ$5:$FZ$104,ROW()-3)="","",INDEX(Calc!$FX$5:$FX$104,ROW()-3))</f>
        <v/>
      </c>
      <c r="H71" s="26">
        <f>INDEX(Calc!$FZ$5:$FZ$104,ROW()-3)</f>
        <v/>
      </c>
      <c r="I71" s="56">
        <f>INDEX(Calc!$GA$5:$GA$104,ROW()-3)</f>
        <v/>
      </c>
      <c r="J71" s="57">
        <f>INDEX(Calc!$GB$5:$GB$104,ROW()-3)</f>
        <v/>
      </c>
      <c r="K71" s="57">
        <f>INDEX(Calc!$GC$5:$GC$104,ROW()-3)</f>
        <v/>
      </c>
      <c r="L71" s="31">
        <f>INDEX(Calc!$GD$5:$GD$104,ROW()-3)</f>
        <v/>
      </c>
      <c r="N71" s="58">
        <f>INDEX(Calc!$GG$5:$GG$104,ROW()-3)</f>
        <v/>
      </c>
    </row>
    <row r="72">
      <c r="A72" s="51" t="n"/>
      <c r="B72" s="52" t="n"/>
      <c r="C72" s="52" t="n"/>
      <c r="D72" s="53">
        <f>IF(TRIM(SUBSTITUTE(SUBSTITUTE(SUBSTITUTE(SUBSTITUTE(A72&amp;""," "," "),CHAR(9)," "),CHAR(10)," "),CHAR(13)," "))="","",SUMPRODUCT((Calc!$DH$5:$DH$1003=TRIM(SUBSTITUTE(SUBSTITUTE(SUBSTITUTE(SUBSTITUTE(A72&amp;""," "," "),CHAR(9)," "),CHAR(10)," "),CHAR(13)," ")))*Calc!$DM$5:$DM$1003))</f>
        <v/>
      </c>
      <c r="E72" s="54">
        <f>IF(TRIM(SUBSTITUTE(SUBSTITUTE(SUBSTITUTE(SUBSTITUTE(A72&amp;""," "," "),CHAR(9)," "),CHAR(10)," "),CHAR(13)," "))="","",IF(SUMPRODUCT(--(TRIM(SUBSTITUTE(SUBSTITUTE(SUBSTITUTE(SUBSTITUTE($A$3:A71&amp;""," "," "),CHAR(9)," "),CHAR(10)," "),CHAR(13)," "))=TRIM(SUBSTITUTE(SUBSTITUTE(SUBSTITUTE(SUBSTITUTE(A72&amp;""," "," "),CHAR(9)," "),CHAR(10)," "),CHAR(13)," "))))&gt;0,"Listed twice - only the first one is used",IF(D72=0,"Not in today's schedule","")))</f>
        <v/>
      </c>
      <c r="G72" s="55">
        <f>IF(INDEX(Calc!$FZ$5:$FZ$104,ROW()-3)="","",INDEX(Calc!$FX$5:$FX$104,ROW()-3))</f>
        <v/>
      </c>
      <c r="H72" s="26">
        <f>INDEX(Calc!$FZ$5:$FZ$104,ROW()-3)</f>
        <v/>
      </c>
      <c r="I72" s="56">
        <f>INDEX(Calc!$GA$5:$GA$104,ROW()-3)</f>
        <v/>
      </c>
      <c r="J72" s="57">
        <f>INDEX(Calc!$GB$5:$GB$104,ROW()-3)</f>
        <v/>
      </c>
      <c r="K72" s="57">
        <f>INDEX(Calc!$GC$5:$GC$104,ROW()-3)</f>
        <v/>
      </c>
      <c r="L72" s="31">
        <f>INDEX(Calc!$GD$5:$GD$104,ROW()-3)</f>
        <v/>
      </c>
      <c r="N72" s="58">
        <f>INDEX(Calc!$GG$5:$GG$104,ROW()-3)</f>
        <v/>
      </c>
    </row>
    <row r="73">
      <c r="A73" s="51" t="n"/>
      <c r="B73" s="52" t="n"/>
      <c r="C73" s="52" t="n"/>
      <c r="D73" s="53">
        <f>IF(TRIM(SUBSTITUTE(SUBSTITUTE(SUBSTITUTE(SUBSTITUTE(A73&amp;""," "," "),CHAR(9)," "),CHAR(10)," "),CHAR(13)," "))="","",SUMPRODUCT((Calc!$DH$5:$DH$1003=TRIM(SUBSTITUTE(SUBSTITUTE(SUBSTITUTE(SUBSTITUTE(A73&amp;""," "," "),CHAR(9)," "),CHAR(10)," "),CHAR(13)," ")))*Calc!$DM$5:$DM$1003))</f>
        <v/>
      </c>
      <c r="E73" s="54">
        <f>IF(TRIM(SUBSTITUTE(SUBSTITUTE(SUBSTITUTE(SUBSTITUTE(A73&amp;""," "," "),CHAR(9)," "),CHAR(10)," "),CHAR(13)," "))="","",IF(SUMPRODUCT(--(TRIM(SUBSTITUTE(SUBSTITUTE(SUBSTITUTE(SUBSTITUTE($A$3:A72&amp;""," "," "),CHAR(9)," "),CHAR(10)," "),CHAR(13)," "))=TRIM(SUBSTITUTE(SUBSTITUTE(SUBSTITUTE(SUBSTITUTE(A73&amp;""," "," "),CHAR(9)," "),CHAR(10)," "),CHAR(13)," "))))&gt;0,"Listed twice - only the first one is used",IF(D73=0,"Not in today's schedule","")))</f>
        <v/>
      </c>
      <c r="G73" s="55">
        <f>IF(INDEX(Calc!$FZ$5:$FZ$104,ROW()-3)="","",INDEX(Calc!$FX$5:$FX$104,ROW()-3))</f>
        <v/>
      </c>
      <c r="H73" s="26">
        <f>INDEX(Calc!$FZ$5:$FZ$104,ROW()-3)</f>
        <v/>
      </c>
      <c r="I73" s="56">
        <f>INDEX(Calc!$GA$5:$GA$104,ROW()-3)</f>
        <v/>
      </c>
      <c r="J73" s="57">
        <f>INDEX(Calc!$GB$5:$GB$104,ROW()-3)</f>
        <v/>
      </c>
      <c r="K73" s="57">
        <f>INDEX(Calc!$GC$5:$GC$104,ROW()-3)</f>
        <v/>
      </c>
      <c r="L73" s="31">
        <f>INDEX(Calc!$GD$5:$GD$104,ROW()-3)</f>
        <v/>
      </c>
      <c r="N73" s="58">
        <f>INDEX(Calc!$GG$5:$GG$104,ROW()-3)</f>
        <v/>
      </c>
    </row>
    <row r="74">
      <c r="A74" s="51" t="n"/>
      <c r="B74" s="52" t="n"/>
      <c r="C74" s="52" t="n"/>
      <c r="D74" s="53">
        <f>IF(TRIM(SUBSTITUTE(SUBSTITUTE(SUBSTITUTE(SUBSTITUTE(A74&amp;""," "," "),CHAR(9)," "),CHAR(10)," "),CHAR(13)," "))="","",SUMPRODUCT((Calc!$DH$5:$DH$1003=TRIM(SUBSTITUTE(SUBSTITUTE(SUBSTITUTE(SUBSTITUTE(A74&amp;""," "," "),CHAR(9)," "),CHAR(10)," "),CHAR(13)," ")))*Calc!$DM$5:$DM$1003))</f>
        <v/>
      </c>
      <c r="E74" s="54">
        <f>IF(TRIM(SUBSTITUTE(SUBSTITUTE(SUBSTITUTE(SUBSTITUTE(A74&amp;""," "," "),CHAR(9)," "),CHAR(10)," "),CHAR(13)," "))="","",IF(SUMPRODUCT(--(TRIM(SUBSTITUTE(SUBSTITUTE(SUBSTITUTE(SUBSTITUTE($A$3:A73&amp;""," "," "),CHAR(9)," "),CHAR(10)," "),CHAR(13)," "))=TRIM(SUBSTITUTE(SUBSTITUTE(SUBSTITUTE(SUBSTITUTE(A74&amp;""," "," "),CHAR(9)," "),CHAR(10)," "),CHAR(13)," "))))&gt;0,"Listed twice - only the first one is used",IF(D74=0,"Not in today's schedule","")))</f>
        <v/>
      </c>
      <c r="G74" s="55">
        <f>IF(INDEX(Calc!$FZ$5:$FZ$104,ROW()-3)="","",INDEX(Calc!$FX$5:$FX$104,ROW()-3))</f>
        <v/>
      </c>
      <c r="H74" s="26">
        <f>INDEX(Calc!$FZ$5:$FZ$104,ROW()-3)</f>
        <v/>
      </c>
      <c r="I74" s="56">
        <f>INDEX(Calc!$GA$5:$GA$104,ROW()-3)</f>
        <v/>
      </c>
      <c r="J74" s="57">
        <f>INDEX(Calc!$GB$5:$GB$104,ROW()-3)</f>
        <v/>
      </c>
      <c r="K74" s="57">
        <f>INDEX(Calc!$GC$5:$GC$104,ROW()-3)</f>
        <v/>
      </c>
      <c r="L74" s="31">
        <f>INDEX(Calc!$GD$5:$GD$104,ROW()-3)</f>
        <v/>
      </c>
      <c r="N74" s="58">
        <f>INDEX(Calc!$GG$5:$GG$104,ROW()-3)</f>
        <v/>
      </c>
    </row>
    <row r="75">
      <c r="A75" s="51" t="n"/>
      <c r="B75" s="52" t="n"/>
      <c r="C75" s="52" t="n"/>
      <c r="D75" s="53">
        <f>IF(TRIM(SUBSTITUTE(SUBSTITUTE(SUBSTITUTE(SUBSTITUTE(A75&amp;""," "," "),CHAR(9)," "),CHAR(10)," "),CHAR(13)," "))="","",SUMPRODUCT((Calc!$DH$5:$DH$1003=TRIM(SUBSTITUTE(SUBSTITUTE(SUBSTITUTE(SUBSTITUTE(A75&amp;""," "," "),CHAR(9)," "),CHAR(10)," "),CHAR(13)," ")))*Calc!$DM$5:$DM$1003))</f>
        <v/>
      </c>
      <c r="E75" s="54">
        <f>IF(TRIM(SUBSTITUTE(SUBSTITUTE(SUBSTITUTE(SUBSTITUTE(A75&amp;""," "," "),CHAR(9)," "),CHAR(10)," "),CHAR(13)," "))="","",IF(SUMPRODUCT(--(TRIM(SUBSTITUTE(SUBSTITUTE(SUBSTITUTE(SUBSTITUTE($A$3:A74&amp;""," "," "),CHAR(9)," "),CHAR(10)," "),CHAR(13)," "))=TRIM(SUBSTITUTE(SUBSTITUTE(SUBSTITUTE(SUBSTITUTE(A75&amp;""," "," "),CHAR(9)," "),CHAR(10)," "),CHAR(13)," "))))&gt;0,"Listed twice - only the first one is used",IF(D75=0,"Not in today's schedule","")))</f>
        <v/>
      </c>
      <c r="G75" s="55">
        <f>IF(INDEX(Calc!$FZ$5:$FZ$104,ROW()-3)="","",INDEX(Calc!$FX$5:$FX$104,ROW()-3))</f>
        <v/>
      </c>
      <c r="H75" s="26">
        <f>INDEX(Calc!$FZ$5:$FZ$104,ROW()-3)</f>
        <v/>
      </c>
      <c r="I75" s="56">
        <f>INDEX(Calc!$GA$5:$GA$104,ROW()-3)</f>
        <v/>
      </c>
      <c r="J75" s="57">
        <f>INDEX(Calc!$GB$5:$GB$104,ROW()-3)</f>
        <v/>
      </c>
      <c r="K75" s="57">
        <f>INDEX(Calc!$GC$5:$GC$104,ROW()-3)</f>
        <v/>
      </c>
      <c r="L75" s="31">
        <f>INDEX(Calc!$GD$5:$GD$104,ROW()-3)</f>
        <v/>
      </c>
      <c r="N75" s="58">
        <f>INDEX(Calc!$GG$5:$GG$104,ROW()-3)</f>
        <v/>
      </c>
    </row>
    <row r="76">
      <c r="A76" s="51" t="n"/>
      <c r="B76" s="52" t="n"/>
      <c r="C76" s="52" t="n"/>
      <c r="D76" s="53">
        <f>IF(TRIM(SUBSTITUTE(SUBSTITUTE(SUBSTITUTE(SUBSTITUTE(A76&amp;""," "," "),CHAR(9)," "),CHAR(10)," "),CHAR(13)," "))="","",SUMPRODUCT((Calc!$DH$5:$DH$1003=TRIM(SUBSTITUTE(SUBSTITUTE(SUBSTITUTE(SUBSTITUTE(A76&amp;""," "," "),CHAR(9)," "),CHAR(10)," "),CHAR(13)," ")))*Calc!$DM$5:$DM$1003))</f>
        <v/>
      </c>
      <c r="E76" s="54">
        <f>IF(TRIM(SUBSTITUTE(SUBSTITUTE(SUBSTITUTE(SUBSTITUTE(A76&amp;""," "," "),CHAR(9)," "),CHAR(10)," "),CHAR(13)," "))="","",IF(SUMPRODUCT(--(TRIM(SUBSTITUTE(SUBSTITUTE(SUBSTITUTE(SUBSTITUTE($A$3:A75&amp;""," "," "),CHAR(9)," "),CHAR(10)," "),CHAR(13)," "))=TRIM(SUBSTITUTE(SUBSTITUTE(SUBSTITUTE(SUBSTITUTE(A76&amp;""," "," "),CHAR(9)," "),CHAR(10)," "),CHAR(13)," "))))&gt;0,"Listed twice - only the first one is used",IF(D76=0,"Not in today's schedule","")))</f>
        <v/>
      </c>
      <c r="G76" s="55">
        <f>IF(INDEX(Calc!$FZ$5:$FZ$104,ROW()-3)="","",INDEX(Calc!$FX$5:$FX$104,ROW()-3))</f>
        <v/>
      </c>
      <c r="H76" s="26">
        <f>INDEX(Calc!$FZ$5:$FZ$104,ROW()-3)</f>
        <v/>
      </c>
      <c r="I76" s="56">
        <f>INDEX(Calc!$GA$5:$GA$104,ROW()-3)</f>
        <v/>
      </c>
      <c r="J76" s="57">
        <f>INDEX(Calc!$GB$5:$GB$104,ROW()-3)</f>
        <v/>
      </c>
      <c r="K76" s="57">
        <f>INDEX(Calc!$GC$5:$GC$104,ROW()-3)</f>
        <v/>
      </c>
      <c r="L76" s="31">
        <f>INDEX(Calc!$GD$5:$GD$104,ROW()-3)</f>
        <v/>
      </c>
      <c r="N76" s="58">
        <f>INDEX(Calc!$GG$5:$GG$104,ROW()-3)</f>
        <v/>
      </c>
    </row>
    <row r="77">
      <c r="A77" s="51" t="n"/>
      <c r="B77" s="52" t="n"/>
      <c r="C77" s="52" t="n"/>
      <c r="D77" s="53">
        <f>IF(TRIM(SUBSTITUTE(SUBSTITUTE(SUBSTITUTE(SUBSTITUTE(A77&amp;""," "," "),CHAR(9)," "),CHAR(10)," "),CHAR(13)," "))="","",SUMPRODUCT((Calc!$DH$5:$DH$1003=TRIM(SUBSTITUTE(SUBSTITUTE(SUBSTITUTE(SUBSTITUTE(A77&amp;""," "," "),CHAR(9)," "),CHAR(10)," "),CHAR(13)," ")))*Calc!$DM$5:$DM$1003))</f>
        <v/>
      </c>
      <c r="E77" s="54">
        <f>IF(TRIM(SUBSTITUTE(SUBSTITUTE(SUBSTITUTE(SUBSTITUTE(A77&amp;""," "," "),CHAR(9)," "),CHAR(10)," "),CHAR(13)," "))="","",IF(SUMPRODUCT(--(TRIM(SUBSTITUTE(SUBSTITUTE(SUBSTITUTE(SUBSTITUTE($A$3:A76&amp;""," "," "),CHAR(9)," "),CHAR(10)," "),CHAR(13)," "))=TRIM(SUBSTITUTE(SUBSTITUTE(SUBSTITUTE(SUBSTITUTE(A77&amp;""," "," "),CHAR(9)," "),CHAR(10)," "),CHAR(13)," "))))&gt;0,"Listed twice - only the first one is used",IF(D77=0,"Not in today's schedule","")))</f>
        <v/>
      </c>
      <c r="G77" s="55">
        <f>IF(INDEX(Calc!$FZ$5:$FZ$104,ROW()-3)="","",INDEX(Calc!$FX$5:$FX$104,ROW()-3))</f>
        <v/>
      </c>
      <c r="H77" s="26">
        <f>INDEX(Calc!$FZ$5:$FZ$104,ROW()-3)</f>
        <v/>
      </c>
      <c r="I77" s="56">
        <f>INDEX(Calc!$GA$5:$GA$104,ROW()-3)</f>
        <v/>
      </c>
      <c r="J77" s="57">
        <f>INDEX(Calc!$GB$5:$GB$104,ROW()-3)</f>
        <v/>
      </c>
      <c r="K77" s="57">
        <f>INDEX(Calc!$GC$5:$GC$104,ROW()-3)</f>
        <v/>
      </c>
      <c r="L77" s="31">
        <f>INDEX(Calc!$GD$5:$GD$104,ROW()-3)</f>
        <v/>
      </c>
      <c r="N77" s="58">
        <f>INDEX(Calc!$GG$5:$GG$104,ROW()-3)</f>
        <v/>
      </c>
    </row>
    <row r="78">
      <c r="A78" s="51" t="n"/>
      <c r="B78" s="52" t="n"/>
      <c r="C78" s="52" t="n"/>
      <c r="D78" s="53">
        <f>IF(TRIM(SUBSTITUTE(SUBSTITUTE(SUBSTITUTE(SUBSTITUTE(A78&amp;""," "," "),CHAR(9)," "),CHAR(10)," "),CHAR(13)," "))="","",SUMPRODUCT((Calc!$DH$5:$DH$1003=TRIM(SUBSTITUTE(SUBSTITUTE(SUBSTITUTE(SUBSTITUTE(A78&amp;""," "," "),CHAR(9)," "),CHAR(10)," "),CHAR(13)," ")))*Calc!$DM$5:$DM$1003))</f>
        <v/>
      </c>
      <c r="E78" s="54">
        <f>IF(TRIM(SUBSTITUTE(SUBSTITUTE(SUBSTITUTE(SUBSTITUTE(A78&amp;""," "," "),CHAR(9)," "),CHAR(10)," "),CHAR(13)," "))="","",IF(SUMPRODUCT(--(TRIM(SUBSTITUTE(SUBSTITUTE(SUBSTITUTE(SUBSTITUTE($A$3:A77&amp;""," "," "),CHAR(9)," "),CHAR(10)," "),CHAR(13)," "))=TRIM(SUBSTITUTE(SUBSTITUTE(SUBSTITUTE(SUBSTITUTE(A78&amp;""," "," "),CHAR(9)," "),CHAR(10)," "),CHAR(13)," "))))&gt;0,"Listed twice - only the first one is used",IF(D78=0,"Not in today's schedule","")))</f>
        <v/>
      </c>
      <c r="G78" s="55">
        <f>IF(INDEX(Calc!$FZ$5:$FZ$104,ROW()-3)="","",INDEX(Calc!$FX$5:$FX$104,ROW()-3))</f>
        <v/>
      </c>
      <c r="H78" s="26">
        <f>INDEX(Calc!$FZ$5:$FZ$104,ROW()-3)</f>
        <v/>
      </c>
      <c r="I78" s="56">
        <f>INDEX(Calc!$GA$5:$GA$104,ROW()-3)</f>
        <v/>
      </c>
      <c r="J78" s="57">
        <f>INDEX(Calc!$GB$5:$GB$104,ROW()-3)</f>
        <v/>
      </c>
      <c r="K78" s="57">
        <f>INDEX(Calc!$GC$5:$GC$104,ROW()-3)</f>
        <v/>
      </c>
      <c r="L78" s="31">
        <f>INDEX(Calc!$GD$5:$GD$104,ROW()-3)</f>
        <v/>
      </c>
      <c r="N78" s="58">
        <f>INDEX(Calc!$GG$5:$GG$104,ROW()-3)</f>
        <v/>
      </c>
    </row>
    <row r="79">
      <c r="A79" s="51" t="n"/>
      <c r="B79" s="52" t="n"/>
      <c r="C79" s="52" t="n"/>
      <c r="D79" s="53">
        <f>IF(TRIM(SUBSTITUTE(SUBSTITUTE(SUBSTITUTE(SUBSTITUTE(A79&amp;""," "," "),CHAR(9)," "),CHAR(10)," "),CHAR(13)," "))="","",SUMPRODUCT((Calc!$DH$5:$DH$1003=TRIM(SUBSTITUTE(SUBSTITUTE(SUBSTITUTE(SUBSTITUTE(A79&amp;""," "," "),CHAR(9)," "),CHAR(10)," "),CHAR(13)," ")))*Calc!$DM$5:$DM$1003))</f>
        <v/>
      </c>
      <c r="E79" s="54">
        <f>IF(TRIM(SUBSTITUTE(SUBSTITUTE(SUBSTITUTE(SUBSTITUTE(A79&amp;""," "," "),CHAR(9)," "),CHAR(10)," "),CHAR(13)," "))="","",IF(SUMPRODUCT(--(TRIM(SUBSTITUTE(SUBSTITUTE(SUBSTITUTE(SUBSTITUTE($A$3:A78&amp;""," "," "),CHAR(9)," "),CHAR(10)," "),CHAR(13)," "))=TRIM(SUBSTITUTE(SUBSTITUTE(SUBSTITUTE(SUBSTITUTE(A79&amp;""," "," "),CHAR(9)," "),CHAR(10)," "),CHAR(13)," "))))&gt;0,"Listed twice - only the first one is used",IF(D79=0,"Not in today's schedule","")))</f>
        <v/>
      </c>
      <c r="G79" s="55">
        <f>IF(INDEX(Calc!$FZ$5:$FZ$104,ROW()-3)="","",INDEX(Calc!$FX$5:$FX$104,ROW()-3))</f>
        <v/>
      </c>
      <c r="H79" s="26">
        <f>INDEX(Calc!$FZ$5:$FZ$104,ROW()-3)</f>
        <v/>
      </c>
      <c r="I79" s="56">
        <f>INDEX(Calc!$GA$5:$GA$104,ROW()-3)</f>
        <v/>
      </c>
      <c r="J79" s="57">
        <f>INDEX(Calc!$GB$5:$GB$104,ROW()-3)</f>
        <v/>
      </c>
      <c r="K79" s="57">
        <f>INDEX(Calc!$GC$5:$GC$104,ROW()-3)</f>
        <v/>
      </c>
      <c r="L79" s="31">
        <f>INDEX(Calc!$GD$5:$GD$104,ROW()-3)</f>
        <v/>
      </c>
      <c r="N79" s="58">
        <f>INDEX(Calc!$GG$5:$GG$104,ROW()-3)</f>
        <v/>
      </c>
    </row>
    <row r="80">
      <c r="A80" s="51" t="n"/>
      <c r="B80" s="52" t="n"/>
      <c r="C80" s="52" t="n"/>
      <c r="D80" s="53">
        <f>IF(TRIM(SUBSTITUTE(SUBSTITUTE(SUBSTITUTE(SUBSTITUTE(A80&amp;""," "," "),CHAR(9)," "),CHAR(10)," "),CHAR(13)," "))="","",SUMPRODUCT((Calc!$DH$5:$DH$1003=TRIM(SUBSTITUTE(SUBSTITUTE(SUBSTITUTE(SUBSTITUTE(A80&amp;""," "," "),CHAR(9)," "),CHAR(10)," "),CHAR(13)," ")))*Calc!$DM$5:$DM$1003))</f>
        <v/>
      </c>
      <c r="E80" s="54">
        <f>IF(TRIM(SUBSTITUTE(SUBSTITUTE(SUBSTITUTE(SUBSTITUTE(A80&amp;""," "," "),CHAR(9)," "),CHAR(10)," "),CHAR(13)," "))="","",IF(SUMPRODUCT(--(TRIM(SUBSTITUTE(SUBSTITUTE(SUBSTITUTE(SUBSTITUTE($A$3:A79&amp;""," "," "),CHAR(9)," "),CHAR(10)," "),CHAR(13)," "))=TRIM(SUBSTITUTE(SUBSTITUTE(SUBSTITUTE(SUBSTITUTE(A80&amp;""," "," "),CHAR(9)," "),CHAR(10)," "),CHAR(13)," "))))&gt;0,"Listed twice - only the first one is used",IF(D80=0,"Not in today's schedule","")))</f>
        <v/>
      </c>
      <c r="G80" s="55">
        <f>IF(INDEX(Calc!$FZ$5:$FZ$104,ROW()-3)="","",INDEX(Calc!$FX$5:$FX$104,ROW()-3))</f>
        <v/>
      </c>
      <c r="H80" s="26">
        <f>INDEX(Calc!$FZ$5:$FZ$104,ROW()-3)</f>
        <v/>
      </c>
      <c r="I80" s="56">
        <f>INDEX(Calc!$GA$5:$GA$104,ROW()-3)</f>
        <v/>
      </c>
      <c r="J80" s="57">
        <f>INDEX(Calc!$GB$5:$GB$104,ROW()-3)</f>
        <v/>
      </c>
      <c r="K80" s="57">
        <f>INDEX(Calc!$GC$5:$GC$104,ROW()-3)</f>
        <v/>
      </c>
      <c r="L80" s="31">
        <f>INDEX(Calc!$GD$5:$GD$104,ROW()-3)</f>
        <v/>
      </c>
      <c r="N80" s="58">
        <f>INDEX(Calc!$GG$5:$GG$104,ROW()-3)</f>
        <v/>
      </c>
    </row>
    <row r="81">
      <c r="A81" s="51" t="n"/>
      <c r="B81" s="52" t="n"/>
      <c r="C81" s="52" t="n"/>
      <c r="D81" s="53">
        <f>IF(TRIM(SUBSTITUTE(SUBSTITUTE(SUBSTITUTE(SUBSTITUTE(A81&amp;""," "," "),CHAR(9)," "),CHAR(10)," "),CHAR(13)," "))="","",SUMPRODUCT((Calc!$DH$5:$DH$1003=TRIM(SUBSTITUTE(SUBSTITUTE(SUBSTITUTE(SUBSTITUTE(A81&amp;""," "," "),CHAR(9)," "),CHAR(10)," "),CHAR(13)," ")))*Calc!$DM$5:$DM$1003))</f>
        <v/>
      </c>
      <c r="E81" s="54">
        <f>IF(TRIM(SUBSTITUTE(SUBSTITUTE(SUBSTITUTE(SUBSTITUTE(A81&amp;""," "," "),CHAR(9)," "),CHAR(10)," "),CHAR(13)," "))="","",IF(SUMPRODUCT(--(TRIM(SUBSTITUTE(SUBSTITUTE(SUBSTITUTE(SUBSTITUTE($A$3:A80&amp;""," "," "),CHAR(9)," "),CHAR(10)," "),CHAR(13)," "))=TRIM(SUBSTITUTE(SUBSTITUTE(SUBSTITUTE(SUBSTITUTE(A81&amp;""," "," "),CHAR(9)," "),CHAR(10)," "),CHAR(13)," "))))&gt;0,"Listed twice - only the first one is used",IF(D81=0,"Not in today's schedule","")))</f>
        <v/>
      </c>
      <c r="G81" s="55">
        <f>IF(INDEX(Calc!$FZ$5:$FZ$104,ROW()-3)="","",INDEX(Calc!$FX$5:$FX$104,ROW()-3))</f>
        <v/>
      </c>
      <c r="H81" s="26">
        <f>INDEX(Calc!$FZ$5:$FZ$104,ROW()-3)</f>
        <v/>
      </c>
      <c r="I81" s="56">
        <f>INDEX(Calc!$GA$5:$GA$104,ROW()-3)</f>
        <v/>
      </c>
      <c r="J81" s="57">
        <f>INDEX(Calc!$GB$5:$GB$104,ROW()-3)</f>
        <v/>
      </c>
      <c r="K81" s="57">
        <f>INDEX(Calc!$GC$5:$GC$104,ROW()-3)</f>
        <v/>
      </c>
      <c r="L81" s="31">
        <f>INDEX(Calc!$GD$5:$GD$104,ROW()-3)</f>
        <v/>
      </c>
      <c r="N81" s="58">
        <f>INDEX(Calc!$GG$5:$GG$104,ROW()-3)</f>
        <v/>
      </c>
    </row>
    <row r="82">
      <c r="A82" s="51" t="n"/>
      <c r="B82" s="52" t="n"/>
      <c r="C82" s="52" t="n"/>
      <c r="D82" s="53">
        <f>IF(TRIM(SUBSTITUTE(SUBSTITUTE(SUBSTITUTE(SUBSTITUTE(A82&amp;""," "," "),CHAR(9)," "),CHAR(10)," "),CHAR(13)," "))="","",SUMPRODUCT((Calc!$DH$5:$DH$1003=TRIM(SUBSTITUTE(SUBSTITUTE(SUBSTITUTE(SUBSTITUTE(A82&amp;""," "," "),CHAR(9)," "),CHAR(10)," "),CHAR(13)," ")))*Calc!$DM$5:$DM$1003))</f>
        <v/>
      </c>
      <c r="E82" s="54">
        <f>IF(TRIM(SUBSTITUTE(SUBSTITUTE(SUBSTITUTE(SUBSTITUTE(A82&amp;""," "," "),CHAR(9)," "),CHAR(10)," "),CHAR(13)," "))="","",IF(SUMPRODUCT(--(TRIM(SUBSTITUTE(SUBSTITUTE(SUBSTITUTE(SUBSTITUTE($A$3:A81&amp;""," "," "),CHAR(9)," "),CHAR(10)," "),CHAR(13)," "))=TRIM(SUBSTITUTE(SUBSTITUTE(SUBSTITUTE(SUBSTITUTE(A82&amp;""," "," "),CHAR(9)," "),CHAR(10)," "),CHAR(13)," "))))&gt;0,"Listed twice - only the first one is used",IF(D82=0,"Not in today's schedule","")))</f>
        <v/>
      </c>
      <c r="G82" s="55">
        <f>IF(INDEX(Calc!$FZ$5:$FZ$104,ROW()-3)="","",INDEX(Calc!$FX$5:$FX$104,ROW()-3))</f>
        <v/>
      </c>
      <c r="H82" s="26">
        <f>INDEX(Calc!$FZ$5:$FZ$104,ROW()-3)</f>
        <v/>
      </c>
      <c r="I82" s="56">
        <f>INDEX(Calc!$GA$5:$GA$104,ROW()-3)</f>
        <v/>
      </c>
      <c r="J82" s="57">
        <f>INDEX(Calc!$GB$5:$GB$104,ROW()-3)</f>
        <v/>
      </c>
      <c r="K82" s="57">
        <f>INDEX(Calc!$GC$5:$GC$104,ROW()-3)</f>
        <v/>
      </c>
      <c r="L82" s="31">
        <f>INDEX(Calc!$GD$5:$GD$104,ROW()-3)</f>
        <v/>
      </c>
      <c r="N82" s="58">
        <f>INDEX(Calc!$GG$5:$GG$104,ROW()-3)</f>
        <v/>
      </c>
    </row>
    <row r="83">
      <c r="A83" s="51" t="n"/>
      <c r="B83" s="52" t="n"/>
      <c r="C83" s="52" t="n"/>
      <c r="D83" s="53">
        <f>IF(TRIM(SUBSTITUTE(SUBSTITUTE(SUBSTITUTE(SUBSTITUTE(A83&amp;""," "," "),CHAR(9)," "),CHAR(10)," "),CHAR(13)," "))="","",SUMPRODUCT((Calc!$DH$5:$DH$1003=TRIM(SUBSTITUTE(SUBSTITUTE(SUBSTITUTE(SUBSTITUTE(A83&amp;""," "," "),CHAR(9)," "),CHAR(10)," "),CHAR(13)," ")))*Calc!$DM$5:$DM$1003))</f>
        <v/>
      </c>
      <c r="E83" s="54">
        <f>IF(TRIM(SUBSTITUTE(SUBSTITUTE(SUBSTITUTE(SUBSTITUTE(A83&amp;""," "," "),CHAR(9)," "),CHAR(10)," "),CHAR(13)," "))="","",IF(SUMPRODUCT(--(TRIM(SUBSTITUTE(SUBSTITUTE(SUBSTITUTE(SUBSTITUTE($A$3:A82&amp;""," "," "),CHAR(9)," "),CHAR(10)," "),CHAR(13)," "))=TRIM(SUBSTITUTE(SUBSTITUTE(SUBSTITUTE(SUBSTITUTE(A83&amp;""," "," "),CHAR(9)," "),CHAR(10)," "),CHAR(13)," "))))&gt;0,"Listed twice - only the first one is used",IF(D83=0,"Not in today's schedule","")))</f>
        <v/>
      </c>
      <c r="G83" s="55">
        <f>IF(INDEX(Calc!$FZ$5:$FZ$104,ROW()-3)="","",INDEX(Calc!$FX$5:$FX$104,ROW()-3))</f>
        <v/>
      </c>
      <c r="H83" s="26">
        <f>INDEX(Calc!$FZ$5:$FZ$104,ROW()-3)</f>
        <v/>
      </c>
      <c r="I83" s="56">
        <f>INDEX(Calc!$GA$5:$GA$104,ROW()-3)</f>
        <v/>
      </c>
      <c r="J83" s="57">
        <f>INDEX(Calc!$GB$5:$GB$104,ROW()-3)</f>
        <v/>
      </c>
      <c r="K83" s="57">
        <f>INDEX(Calc!$GC$5:$GC$104,ROW()-3)</f>
        <v/>
      </c>
      <c r="L83" s="31">
        <f>INDEX(Calc!$GD$5:$GD$104,ROW()-3)</f>
        <v/>
      </c>
      <c r="N83" s="58">
        <f>INDEX(Calc!$GG$5:$GG$104,ROW()-3)</f>
        <v/>
      </c>
    </row>
    <row r="84">
      <c r="A84" s="51" t="n"/>
      <c r="B84" s="52" t="n"/>
      <c r="C84" s="52" t="n"/>
      <c r="D84" s="53">
        <f>IF(TRIM(SUBSTITUTE(SUBSTITUTE(SUBSTITUTE(SUBSTITUTE(A84&amp;""," "," "),CHAR(9)," "),CHAR(10)," "),CHAR(13)," "))="","",SUMPRODUCT((Calc!$DH$5:$DH$1003=TRIM(SUBSTITUTE(SUBSTITUTE(SUBSTITUTE(SUBSTITUTE(A84&amp;""," "," "),CHAR(9)," "),CHAR(10)," "),CHAR(13)," ")))*Calc!$DM$5:$DM$1003))</f>
        <v/>
      </c>
      <c r="E84" s="54">
        <f>IF(TRIM(SUBSTITUTE(SUBSTITUTE(SUBSTITUTE(SUBSTITUTE(A84&amp;""," "," "),CHAR(9)," "),CHAR(10)," "),CHAR(13)," "))="","",IF(SUMPRODUCT(--(TRIM(SUBSTITUTE(SUBSTITUTE(SUBSTITUTE(SUBSTITUTE($A$3:A83&amp;""," "," "),CHAR(9)," "),CHAR(10)," "),CHAR(13)," "))=TRIM(SUBSTITUTE(SUBSTITUTE(SUBSTITUTE(SUBSTITUTE(A84&amp;""," "," "),CHAR(9)," "),CHAR(10)," "),CHAR(13)," "))))&gt;0,"Listed twice - only the first one is used",IF(D84=0,"Not in today's schedule","")))</f>
        <v/>
      </c>
      <c r="G84" s="55">
        <f>IF(INDEX(Calc!$FZ$5:$FZ$104,ROW()-3)="","",INDEX(Calc!$FX$5:$FX$104,ROW()-3))</f>
        <v/>
      </c>
      <c r="H84" s="26">
        <f>INDEX(Calc!$FZ$5:$FZ$104,ROW()-3)</f>
        <v/>
      </c>
      <c r="I84" s="56">
        <f>INDEX(Calc!$GA$5:$GA$104,ROW()-3)</f>
        <v/>
      </c>
      <c r="J84" s="57">
        <f>INDEX(Calc!$GB$5:$GB$104,ROW()-3)</f>
        <v/>
      </c>
      <c r="K84" s="57">
        <f>INDEX(Calc!$GC$5:$GC$104,ROW()-3)</f>
        <v/>
      </c>
      <c r="L84" s="31">
        <f>INDEX(Calc!$GD$5:$GD$104,ROW()-3)</f>
        <v/>
      </c>
      <c r="N84" s="58">
        <f>INDEX(Calc!$GG$5:$GG$104,ROW()-3)</f>
        <v/>
      </c>
    </row>
    <row r="85">
      <c r="A85" s="51" t="n"/>
      <c r="B85" s="52" t="n"/>
      <c r="C85" s="52" t="n"/>
      <c r="D85" s="53">
        <f>IF(TRIM(SUBSTITUTE(SUBSTITUTE(SUBSTITUTE(SUBSTITUTE(A85&amp;""," "," "),CHAR(9)," "),CHAR(10)," "),CHAR(13)," "))="","",SUMPRODUCT((Calc!$DH$5:$DH$1003=TRIM(SUBSTITUTE(SUBSTITUTE(SUBSTITUTE(SUBSTITUTE(A85&amp;""," "," "),CHAR(9)," "),CHAR(10)," "),CHAR(13)," ")))*Calc!$DM$5:$DM$1003))</f>
        <v/>
      </c>
      <c r="E85" s="54">
        <f>IF(TRIM(SUBSTITUTE(SUBSTITUTE(SUBSTITUTE(SUBSTITUTE(A85&amp;""," "," "),CHAR(9)," "),CHAR(10)," "),CHAR(13)," "))="","",IF(SUMPRODUCT(--(TRIM(SUBSTITUTE(SUBSTITUTE(SUBSTITUTE(SUBSTITUTE($A$3:A84&amp;""," "," "),CHAR(9)," "),CHAR(10)," "),CHAR(13)," "))=TRIM(SUBSTITUTE(SUBSTITUTE(SUBSTITUTE(SUBSTITUTE(A85&amp;""," "," "),CHAR(9)," "),CHAR(10)," "),CHAR(13)," "))))&gt;0,"Listed twice - only the first one is used",IF(D85=0,"Not in today's schedule","")))</f>
        <v/>
      </c>
      <c r="G85" s="55">
        <f>IF(INDEX(Calc!$FZ$5:$FZ$104,ROW()-3)="","",INDEX(Calc!$FX$5:$FX$104,ROW()-3))</f>
        <v/>
      </c>
      <c r="H85" s="26">
        <f>INDEX(Calc!$FZ$5:$FZ$104,ROW()-3)</f>
        <v/>
      </c>
      <c r="I85" s="56">
        <f>INDEX(Calc!$GA$5:$GA$104,ROW()-3)</f>
        <v/>
      </c>
      <c r="J85" s="57">
        <f>INDEX(Calc!$GB$5:$GB$104,ROW()-3)</f>
        <v/>
      </c>
      <c r="K85" s="57">
        <f>INDEX(Calc!$GC$5:$GC$104,ROW()-3)</f>
        <v/>
      </c>
      <c r="L85" s="31">
        <f>INDEX(Calc!$GD$5:$GD$104,ROW()-3)</f>
        <v/>
      </c>
      <c r="N85" s="58">
        <f>INDEX(Calc!$GG$5:$GG$104,ROW()-3)</f>
        <v/>
      </c>
    </row>
    <row r="86">
      <c r="A86" s="51" t="n"/>
      <c r="B86" s="52" t="n"/>
      <c r="C86" s="52" t="n"/>
      <c r="D86" s="53">
        <f>IF(TRIM(SUBSTITUTE(SUBSTITUTE(SUBSTITUTE(SUBSTITUTE(A86&amp;""," "," "),CHAR(9)," "),CHAR(10)," "),CHAR(13)," "))="","",SUMPRODUCT((Calc!$DH$5:$DH$1003=TRIM(SUBSTITUTE(SUBSTITUTE(SUBSTITUTE(SUBSTITUTE(A86&amp;""," "," "),CHAR(9)," "),CHAR(10)," "),CHAR(13)," ")))*Calc!$DM$5:$DM$1003))</f>
        <v/>
      </c>
      <c r="E86" s="54">
        <f>IF(TRIM(SUBSTITUTE(SUBSTITUTE(SUBSTITUTE(SUBSTITUTE(A86&amp;""," "," "),CHAR(9)," "),CHAR(10)," "),CHAR(13)," "))="","",IF(SUMPRODUCT(--(TRIM(SUBSTITUTE(SUBSTITUTE(SUBSTITUTE(SUBSTITUTE($A$3:A85&amp;""," "," "),CHAR(9)," "),CHAR(10)," "),CHAR(13)," "))=TRIM(SUBSTITUTE(SUBSTITUTE(SUBSTITUTE(SUBSTITUTE(A86&amp;""," "," "),CHAR(9)," "),CHAR(10)," "),CHAR(13)," "))))&gt;0,"Listed twice - only the first one is used",IF(D86=0,"Not in today's schedule","")))</f>
        <v/>
      </c>
      <c r="G86" s="55">
        <f>IF(INDEX(Calc!$FZ$5:$FZ$104,ROW()-3)="","",INDEX(Calc!$FX$5:$FX$104,ROW()-3))</f>
        <v/>
      </c>
      <c r="H86" s="26">
        <f>INDEX(Calc!$FZ$5:$FZ$104,ROW()-3)</f>
        <v/>
      </c>
      <c r="I86" s="56">
        <f>INDEX(Calc!$GA$5:$GA$104,ROW()-3)</f>
        <v/>
      </c>
      <c r="J86" s="57">
        <f>INDEX(Calc!$GB$5:$GB$104,ROW()-3)</f>
        <v/>
      </c>
      <c r="K86" s="57">
        <f>INDEX(Calc!$GC$5:$GC$104,ROW()-3)</f>
        <v/>
      </c>
      <c r="L86" s="31">
        <f>INDEX(Calc!$GD$5:$GD$104,ROW()-3)</f>
        <v/>
      </c>
      <c r="N86" s="58">
        <f>INDEX(Calc!$GG$5:$GG$104,ROW()-3)</f>
        <v/>
      </c>
    </row>
    <row r="87">
      <c r="A87" s="51" t="n"/>
      <c r="B87" s="52" t="n"/>
      <c r="C87" s="52" t="n"/>
      <c r="D87" s="53">
        <f>IF(TRIM(SUBSTITUTE(SUBSTITUTE(SUBSTITUTE(SUBSTITUTE(A87&amp;""," "," "),CHAR(9)," "),CHAR(10)," "),CHAR(13)," "))="","",SUMPRODUCT((Calc!$DH$5:$DH$1003=TRIM(SUBSTITUTE(SUBSTITUTE(SUBSTITUTE(SUBSTITUTE(A87&amp;""," "," "),CHAR(9)," "),CHAR(10)," "),CHAR(13)," ")))*Calc!$DM$5:$DM$1003))</f>
        <v/>
      </c>
      <c r="E87" s="54">
        <f>IF(TRIM(SUBSTITUTE(SUBSTITUTE(SUBSTITUTE(SUBSTITUTE(A87&amp;""," "," "),CHAR(9)," "),CHAR(10)," "),CHAR(13)," "))="","",IF(SUMPRODUCT(--(TRIM(SUBSTITUTE(SUBSTITUTE(SUBSTITUTE(SUBSTITUTE($A$3:A86&amp;""," "," "),CHAR(9)," "),CHAR(10)," "),CHAR(13)," "))=TRIM(SUBSTITUTE(SUBSTITUTE(SUBSTITUTE(SUBSTITUTE(A87&amp;""," "," "),CHAR(9)," "),CHAR(10)," "),CHAR(13)," "))))&gt;0,"Listed twice - only the first one is used",IF(D87=0,"Not in today's schedule","")))</f>
        <v/>
      </c>
      <c r="G87" s="55">
        <f>IF(INDEX(Calc!$FZ$5:$FZ$104,ROW()-3)="","",INDEX(Calc!$FX$5:$FX$104,ROW()-3))</f>
        <v/>
      </c>
      <c r="H87" s="26">
        <f>INDEX(Calc!$FZ$5:$FZ$104,ROW()-3)</f>
        <v/>
      </c>
      <c r="I87" s="56">
        <f>INDEX(Calc!$GA$5:$GA$104,ROW()-3)</f>
        <v/>
      </c>
      <c r="J87" s="57">
        <f>INDEX(Calc!$GB$5:$GB$104,ROW()-3)</f>
        <v/>
      </c>
      <c r="K87" s="57">
        <f>INDEX(Calc!$GC$5:$GC$104,ROW()-3)</f>
        <v/>
      </c>
      <c r="L87" s="31">
        <f>INDEX(Calc!$GD$5:$GD$104,ROW()-3)</f>
        <v/>
      </c>
      <c r="N87" s="58">
        <f>INDEX(Calc!$GG$5:$GG$104,ROW()-3)</f>
        <v/>
      </c>
    </row>
    <row r="88">
      <c r="A88" s="51" t="n"/>
      <c r="B88" s="52" t="n"/>
      <c r="C88" s="52" t="n"/>
      <c r="D88" s="53">
        <f>IF(TRIM(SUBSTITUTE(SUBSTITUTE(SUBSTITUTE(SUBSTITUTE(A88&amp;""," "," "),CHAR(9)," "),CHAR(10)," "),CHAR(13)," "))="","",SUMPRODUCT((Calc!$DH$5:$DH$1003=TRIM(SUBSTITUTE(SUBSTITUTE(SUBSTITUTE(SUBSTITUTE(A88&amp;""," "," "),CHAR(9)," "),CHAR(10)," "),CHAR(13)," ")))*Calc!$DM$5:$DM$1003))</f>
        <v/>
      </c>
      <c r="E88" s="54">
        <f>IF(TRIM(SUBSTITUTE(SUBSTITUTE(SUBSTITUTE(SUBSTITUTE(A88&amp;""," "," "),CHAR(9)," "),CHAR(10)," "),CHAR(13)," "))="","",IF(SUMPRODUCT(--(TRIM(SUBSTITUTE(SUBSTITUTE(SUBSTITUTE(SUBSTITUTE($A$3:A87&amp;""," "," "),CHAR(9)," "),CHAR(10)," "),CHAR(13)," "))=TRIM(SUBSTITUTE(SUBSTITUTE(SUBSTITUTE(SUBSTITUTE(A88&amp;""," "," "),CHAR(9)," "),CHAR(10)," "),CHAR(13)," "))))&gt;0,"Listed twice - only the first one is used",IF(D88=0,"Not in today's schedule","")))</f>
        <v/>
      </c>
      <c r="G88" s="55">
        <f>IF(INDEX(Calc!$FZ$5:$FZ$104,ROW()-3)="","",INDEX(Calc!$FX$5:$FX$104,ROW()-3))</f>
        <v/>
      </c>
      <c r="H88" s="26">
        <f>INDEX(Calc!$FZ$5:$FZ$104,ROW()-3)</f>
        <v/>
      </c>
      <c r="I88" s="56">
        <f>INDEX(Calc!$GA$5:$GA$104,ROW()-3)</f>
        <v/>
      </c>
      <c r="J88" s="57">
        <f>INDEX(Calc!$GB$5:$GB$104,ROW()-3)</f>
        <v/>
      </c>
      <c r="K88" s="57">
        <f>INDEX(Calc!$GC$5:$GC$104,ROW()-3)</f>
        <v/>
      </c>
      <c r="L88" s="31">
        <f>INDEX(Calc!$GD$5:$GD$104,ROW()-3)</f>
        <v/>
      </c>
      <c r="N88" s="58">
        <f>INDEX(Calc!$GG$5:$GG$104,ROW()-3)</f>
        <v/>
      </c>
    </row>
    <row r="89">
      <c r="A89" s="51" t="n"/>
      <c r="B89" s="52" t="n"/>
      <c r="C89" s="52" t="n"/>
      <c r="D89" s="53">
        <f>IF(TRIM(SUBSTITUTE(SUBSTITUTE(SUBSTITUTE(SUBSTITUTE(A89&amp;""," "," "),CHAR(9)," "),CHAR(10)," "),CHAR(13)," "))="","",SUMPRODUCT((Calc!$DH$5:$DH$1003=TRIM(SUBSTITUTE(SUBSTITUTE(SUBSTITUTE(SUBSTITUTE(A89&amp;""," "," "),CHAR(9)," "),CHAR(10)," "),CHAR(13)," ")))*Calc!$DM$5:$DM$1003))</f>
        <v/>
      </c>
      <c r="E89" s="54">
        <f>IF(TRIM(SUBSTITUTE(SUBSTITUTE(SUBSTITUTE(SUBSTITUTE(A89&amp;""," "," "),CHAR(9)," "),CHAR(10)," "),CHAR(13)," "))="","",IF(SUMPRODUCT(--(TRIM(SUBSTITUTE(SUBSTITUTE(SUBSTITUTE(SUBSTITUTE($A$3:A88&amp;""," "," "),CHAR(9)," "),CHAR(10)," "),CHAR(13)," "))=TRIM(SUBSTITUTE(SUBSTITUTE(SUBSTITUTE(SUBSTITUTE(A89&amp;""," "," "),CHAR(9)," "),CHAR(10)," "),CHAR(13)," "))))&gt;0,"Listed twice - only the first one is used",IF(D89=0,"Not in today's schedule","")))</f>
        <v/>
      </c>
      <c r="G89" s="55">
        <f>IF(INDEX(Calc!$FZ$5:$FZ$104,ROW()-3)="","",INDEX(Calc!$FX$5:$FX$104,ROW()-3))</f>
        <v/>
      </c>
      <c r="H89" s="26">
        <f>INDEX(Calc!$FZ$5:$FZ$104,ROW()-3)</f>
        <v/>
      </c>
      <c r="I89" s="56">
        <f>INDEX(Calc!$GA$5:$GA$104,ROW()-3)</f>
        <v/>
      </c>
      <c r="J89" s="57">
        <f>INDEX(Calc!$GB$5:$GB$104,ROW()-3)</f>
        <v/>
      </c>
      <c r="K89" s="57">
        <f>INDEX(Calc!$GC$5:$GC$104,ROW()-3)</f>
        <v/>
      </c>
      <c r="L89" s="31">
        <f>INDEX(Calc!$GD$5:$GD$104,ROW()-3)</f>
        <v/>
      </c>
      <c r="N89" s="58">
        <f>INDEX(Calc!$GG$5:$GG$104,ROW()-3)</f>
        <v/>
      </c>
    </row>
    <row r="90">
      <c r="A90" s="51" t="n"/>
      <c r="B90" s="52" t="n"/>
      <c r="C90" s="52" t="n"/>
      <c r="D90" s="53">
        <f>IF(TRIM(SUBSTITUTE(SUBSTITUTE(SUBSTITUTE(SUBSTITUTE(A90&amp;""," "," "),CHAR(9)," "),CHAR(10)," "),CHAR(13)," "))="","",SUMPRODUCT((Calc!$DH$5:$DH$1003=TRIM(SUBSTITUTE(SUBSTITUTE(SUBSTITUTE(SUBSTITUTE(A90&amp;""," "," "),CHAR(9)," "),CHAR(10)," "),CHAR(13)," ")))*Calc!$DM$5:$DM$1003))</f>
        <v/>
      </c>
      <c r="E90" s="54">
        <f>IF(TRIM(SUBSTITUTE(SUBSTITUTE(SUBSTITUTE(SUBSTITUTE(A90&amp;""," "," "),CHAR(9)," "),CHAR(10)," "),CHAR(13)," "))="","",IF(SUMPRODUCT(--(TRIM(SUBSTITUTE(SUBSTITUTE(SUBSTITUTE(SUBSTITUTE($A$3:A89&amp;""," "," "),CHAR(9)," "),CHAR(10)," "),CHAR(13)," "))=TRIM(SUBSTITUTE(SUBSTITUTE(SUBSTITUTE(SUBSTITUTE(A90&amp;""," "," "),CHAR(9)," "),CHAR(10)," "),CHAR(13)," "))))&gt;0,"Listed twice - only the first one is used",IF(D90=0,"Not in today's schedule","")))</f>
        <v/>
      </c>
      <c r="G90" s="55">
        <f>IF(INDEX(Calc!$FZ$5:$FZ$104,ROW()-3)="","",INDEX(Calc!$FX$5:$FX$104,ROW()-3))</f>
        <v/>
      </c>
      <c r="H90" s="26">
        <f>INDEX(Calc!$FZ$5:$FZ$104,ROW()-3)</f>
        <v/>
      </c>
      <c r="I90" s="56">
        <f>INDEX(Calc!$GA$5:$GA$104,ROW()-3)</f>
        <v/>
      </c>
      <c r="J90" s="57">
        <f>INDEX(Calc!$GB$5:$GB$104,ROW()-3)</f>
        <v/>
      </c>
      <c r="K90" s="57">
        <f>INDEX(Calc!$GC$5:$GC$104,ROW()-3)</f>
        <v/>
      </c>
      <c r="L90" s="31">
        <f>INDEX(Calc!$GD$5:$GD$104,ROW()-3)</f>
        <v/>
      </c>
      <c r="N90" s="58">
        <f>INDEX(Calc!$GG$5:$GG$104,ROW()-3)</f>
        <v/>
      </c>
    </row>
    <row r="91">
      <c r="A91" s="51" t="n"/>
      <c r="B91" s="52" t="n"/>
      <c r="C91" s="52" t="n"/>
      <c r="D91" s="53">
        <f>IF(TRIM(SUBSTITUTE(SUBSTITUTE(SUBSTITUTE(SUBSTITUTE(A91&amp;""," "," "),CHAR(9)," "),CHAR(10)," "),CHAR(13)," "))="","",SUMPRODUCT((Calc!$DH$5:$DH$1003=TRIM(SUBSTITUTE(SUBSTITUTE(SUBSTITUTE(SUBSTITUTE(A91&amp;""," "," "),CHAR(9)," "),CHAR(10)," "),CHAR(13)," ")))*Calc!$DM$5:$DM$1003))</f>
        <v/>
      </c>
      <c r="E91" s="54">
        <f>IF(TRIM(SUBSTITUTE(SUBSTITUTE(SUBSTITUTE(SUBSTITUTE(A91&amp;""," "," "),CHAR(9)," "),CHAR(10)," "),CHAR(13)," "))="","",IF(SUMPRODUCT(--(TRIM(SUBSTITUTE(SUBSTITUTE(SUBSTITUTE(SUBSTITUTE($A$3:A90&amp;""," "," "),CHAR(9)," "),CHAR(10)," "),CHAR(13)," "))=TRIM(SUBSTITUTE(SUBSTITUTE(SUBSTITUTE(SUBSTITUTE(A91&amp;""," "," "),CHAR(9)," "),CHAR(10)," "),CHAR(13)," "))))&gt;0,"Listed twice - only the first one is used",IF(D91=0,"Not in today's schedule","")))</f>
        <v/>
      </c>
      <c r="G91" s="55">
        <f>IF(INDEX(Calc!$FZ$5:$FZ$104,ROW()-3)="","",INDEX(Calc!$FX$5:$FX$104,ROW()-3))</f>
        <v/>
      </c>
      <c r="H91" s="26">
        <f>INDEX(Calc!$FZ$5:$FZ$104,ROW()-3)</f>
        <v/>
      </c>
      <c r="I91" s="56">
        <f>INDEX(Calc!$GA$5:$GA$104,ROW()-3)</f>
        <v/>
      </c>
      <c r="J91" s="57">
        <f>INDEX(Calc!$GB$5:$GB$104,ROW()-3)</f>
        <v/>
      </c>
      <c r="K91" s="57">
        <f>INDEX(Calc!$GC$5:$GC$104,ROW()-3)</f>
        <v/>
      </c>
      <c r="L91" s="31">
        <f>INDEX(Calc!$GD$5:$GD$104,ROW()-3)</f>
        <v/>
      </c>
      <c r="N91" s="58">
        <f>INDEX(Calc!$GG$5:$GG$104,ROW()-3)</f>
        <v/>
      </c>
    </row>
    <row r="92">
      <c r="A92" s="51" t="n"/>
      <c r="B92" s="52" t="n"/>
      <c r="C92" s="52" t="n"/>
      <c r="D92" s="53">
        <f>IF(TRIM(SUBSTITUTE(SUBSTITUTE(SUBSTITUTE(SUBSTITUTE(A92&amp;""," "," "),CHAR(9)," "),CHAR(10)," "),CHAR(13)," "))="","",SUMPRODUCT((Calc!$DH$5:$DH$1003=TRIM(SUBSTITUTE(SUBSTITUTE(SUBSTITUTE(SUBSTITUTE(A92&amp;""," "," "),CHAR(9)," "),CHAR(10)," "),CHAR(13)," ")))*Calc!$DM$5:$DM$1003))</f>
        <v/>
      </c>
      <c r="E92" s="54">
        <f>IF(TRIM(SUBSTITUTE(SUBSTITUTE(SUBSTITUTE(SUBSTITUTE(A92&amp;""," "," "),CHAR(9)," "),CHAR(10)," "),CHAR(13)," "))="","",IF(SUMPRODUCT(--(TRIM(SUBSTITUTE(SUBSTITUTE(SUBSTITUTE(SUBSTITUTE($A$3:A91&amp;""," "," "),CHAR(9)," "),CHAR(10)," "),CHAR(13)," "))=TRIM(SUBSTITUTE(SUBSTITUTE(SUBSTITUTE(SUBSTITUTE(A92&amp;""," "," "),CHAR(9)," "),CHAR(10)," "),CHAR(13)," "))))&gt;0,"Listed twice - only the first one is used",IF(D92=0,"Not in today's schedule","")))</f>
        <v/>
      </c>
      <c r="G92" s="55">
        <f>IF(INDEX(Calc!$FZ$5:$FZ$104,ROW()-3)="","",INDEX(Calc!$FX$5:$FX$104,ROW()-3))</f>
        <v/>
      </c>
      <c r="H92" s="26">
        <f>INDEX(Calc!$FZ$5:$FZ$104,ROW()-3)</f>
        <v/>
      </c>
      <c r="I92" s="56">
        <f>INDEX(Calc!$GA$5:$GA$104,ROW()-3)</f>
        <v/>
      </c>
      <c r="J92" s="57">
        <f>INDEX(Calc!$GB$5:$GB$104,ROW()-3)</f>
        <v/>
      </c>
      <c r="K92" s="57">
        <f>INDEX(Calc!$GC$5:$GC$104,ROW()-3)</f>
        <v/>
      </c>
      <c r="L92" s="31">
        <f>INDEX(Calc!$GD$5:$GD$104,ROW()-3)</f>
        <v/>
      </c>
      <c r="N92" s="58">
        <f>INDEX(Calc!$GG$5:$GG$104,ROW()-3)</f>
        <v/>
      </c>
    </row>
    <row r="93">
      <c r="A93" s="51" t="n"/>
      <c r="B93" s="52" t="n"/>
      <c r="C93" s="52" t="n"/>
      <c r="D93" s="53">
        <f>IF(TRIM(SUBSTITUTE(SUBSTITUTE(SUBSTITUTE(SUBSTITUTE(A93&amp;""," "," "),CHAR(9)," "),CHAR(10)," "),CHAR(13)," "))="","",SUMPRODUCT((Calc!$DH$5:$DH$1003=TRIM(SUBSTITUTE(SUBSTITUTE(SUBSTITUTE(SUBSTITUTE(A93&amp;""," "," "),CHAR(9)," "),CHAR(10)," "),CHAR(13)," ")))*Calc!$DM$5:$DM$1003))</f>
        <v/>
      </c>
      <c r="E93" s="54">
        <f>IF(TRIM(SUBSTITUTE(SUBSTITUTE(SUBSTITUTE(SUBSTITUTE(A93&amp;""," "," "),CHAR(9)," "),CHAR(10)," "),CHAR(13)," "))="","",IF(SUMPRODUCT(--(TRIM(SUBSTITUTE(SUBSTITUTE(SUBSTITUTE(SUBSTITUTE($A$3:A92&amp;""," "," "),CHAR(9)," "),CHAR(10)," "),CHAR(13)," "))=TRIM(SUBSTITUTE(SUBSTITUTE(SUBSTITUTE(SUBSTITUTE(A93&amp;""," "," "),CHAR(9)," "),CHAR(10)," "),CHAR(13)," "))))&gt;0,"Listed twice - only the first one is used",IF(D93=0,"Not in today's schedule","")))</f>
        <v/>
      </c>
      <c r="G93" s="55">
        <f>IF(INDEX(Calc!$FZ$5:$FZ$104,ROW()-3)="","",INDEX(Calc!$FX$5:$FX$104,ROW()-3))</f>
        <v/>
      </c>
      <c r="H93" s="26">
        <f>INDEX(Calc!$FZ$5:$FZ$104,ROW()-3)</f>
        <v/>
      </c>
      <c r="I93" s="56">
        <f>INDEX(Calc!$GA$5:$GA$104,ROW()-3)</f>
        <v/>
      </c>
      <c r="J93" s="57">
        <f>INDEX(Calc!$GB$5:$GB$104,ROW()-3)</f>
        <v/>
      </c>
      <c r="K93" s="57">
        <f>INDEX(Calc!$GC$5:$GC$104,ROW()-3)</f>
        <v/>
      </c>
      <c r="L93" s="31">
        <f>INDEX(Calc!$GD$5:$GD$104,ROW()-3)</f>
        <v/>
      </c>
      <c r="N93" s="58">
        <f>INDEX(Calc!$GG$5:$GG$104,ROW()-3)</f>
        <v/>
      </c>
    </row>
    <row r="94">
      <c r="A94" s="51" t="n"/>
      <c r="B94" s="52" t="n"/>
      <c r="C94" s="52" t="n"/>
      <c r="D94" s="53">
        <f>IF(TRIM(SUBSTITUTE(SUBSTITUTE(SUBSTITUTE(SUBSTITUTE(A94&amp;""," "," "),CHAR(9)," "),CHAR(10)," "),CHAR(13)," "))="","",SUMPRODUCT((Calc!$DH$5:$DH$1003=TRIM(SUBSTITUTE(SUBSTITUTE(SUBSTITUTE(SUBSTITUTE(A94&amp;""," "," "),CHAR(9)," "),CHAR(10)," "),CHAR(13)," ")))*Calc!$DM$5:$DM$1003))</f>
        <v/>
      </c>
      <c r="E94" s="54">
        <f>IF(TRIM(SUBSTITUTE(SUBSTITUTE(SUBSTITUTE(SUBSTITUTE(A94&amp;""," "," "),CHAR(9)," "),CHAR(10)," "),CHAR(13)," "))="","",IF(SUMPRODUCT(--(TRIM(SUBSTITUTE(SUBSTITUTE(SUBSTITUTE(SUBSTITUTE($A$3:A93&amp;""," "," "),CHAR(9)," "),CHAR(10)," "),CHAR(13)," "))=TRIM(SUBSTITUTE(SUBSTITUTE(SUBSTITUTE(SUBSTITUTE(A94&amp;""," "," "),CHAR(9)," "),CHAR(10)," "),CHAR(13)," "))))&gt;0,"Listed twice - only the first one is used",IF(D94=0,"Not in today's schedule","")))</f>
        <v/>
      </c>
      <c r="G94" s="55">
        <f>IF(INDEX(Calc!$FZ$5:$FZ$104,ROW()-3)="","",INDEX(Calc!$FX$5:$FX$104,ROW()-3))</f>
        <v/>
      </c>
      <c r="H94" s="26">
        <f>INDEX(Calc!$FZ$5:$FZ$104,ROW()-3)</f>
        <v/>
      </c>
      <c r="I94" s="56">
        <f>INDEX(Calc!$GA$5:$GA$104,ROW()-3)</f>
        <v/>
      </c>
      <c r="J94" s="57">
        <f>INDEX(Calc!$GB$5:$GB$104,ROW()-3)</f>
        <v/>
      </c>
      <c r="K94" s="57">
        <f>INDEX(Calc!$GC$5:$GC$104,ROW()-3)</f>
        <v/>
      </c>
      <c r="L94" s="31">
        <f>INDEX(Calc!$GD$5:$GD$104,ROW()-3)</f>
        <v/>
      </c>
      <c r="N94" s="58">
        <f>INDEX(Calc!$GG$5:$GG$104,ROW()-3)</f>
        <v/>
      </c>
    </row>
    <row r="95">
      <c r="A95" s="51" t="n"/>
      <c r="B95" s="52" t="n"/>
      <c r="C95" s="52" t="n"/>
      <c r="D95" s="53">
        <f>IF(TRIM(SUBSTITUTE(SUBSTITUTE(SUBSTITUTE(SUBSTITUTE(A95&amp;""," "," "),CHAR(9)," "),CHAR(10)," "),CHAR(13)," "))="","",SUMPRODUCT((Calc!$DH$5:$DH$1003=TRIM(SUBSTITUTE(SUBSTITUTE(SUBSTITUTE(SUBSTITUTE(A95&amp;""," "," "),CHAR(9)," "),CHAR(10)," "),CHAR(13)," ")))*Calc!$DM$5:$DM$1003))</f>
        <v/>
      </c>
      <c r="E95" s="54">
        <f>IF(TRIM(SUBSTITUTE(SUBSTITUTE(SUBSTITUTE(SUBSTITUTE(A95&amp;""," "," "),CHAR(9)," "),CHAR(10)," "),CHAR(13)," "))="","",IF(SUMPRODUCT(--(TRIM(SUBSTITUTE(SUBSTITUTE(SUBSTITUTE(SUBSTITUTE($A$3:A94&amp;""," "," "),CHAR(9)," "),CHAR(10)," "),CHAR(13)," "))=TRIM(SUBSTITUTE(SUBSTITUTE(SUBSTITUTE(SUBSTITUTE(A95&amp;""," "," "),CHAR(9)," "),CHAR(10)," "),CHAR(13)," "))))&gt;0,"Listed twice - only the first one is used",IF(D95=0,"Not in today's schedule","")))</f>
        <v/>
      </c>
      <c r="G95" s="55">
        <f>IF(INDEX(Calc!$FZ$5:$FZ$104,ROW()-3)="","",INDEX(Calc!$FX$5:$FX$104,ROW()-3))</f>
        <v/>
      </c>
      <c r="H95" s="26">
        <f>INDEX(Calc!$FZ$5:$FZ$104,ROW()-3)</f>
        <v/>
      </c>
      <c r="I95" s="56">
        <f>INDEX(Calc!$GA$5:$GA$104,ROW()-3)</f>
        <v/>
      </c>
      <c r="J95" s="57">
        <f>INDEX(Calc!$GB$5:$GB$104,ROW()-3)</f>
        <v/>
      </c>
      <c r="K95" s="57">
        <f>INDEX(Calc!$GC$5:$GC$104,ROW()-3)</f>
        <v/>
      </c>
      <c r="L95" s="31">
        <f>INDEX(Calc!$GD$5:$GD$104,ROW()-3)</f>
        <v/>
      </c>
      <c r="N95" s="58">
        <f>INDEX(Calc!$GG$5:$GG$104,ROW()-3)</f>
        <v/>
      </c>
    </row>
    <row r="96">
      <c r="A96" s="51" t="n"/>
      <c r="B96" s="52" t="n"/>
      <c r="C96" s="52" t="n"/>
      <c r="D96" s="53">
        <f>IF(TRIM(SUBSTITUTE(SUBSTITUTE(SUBSTITUTE(SUBSTITUTE(A96&amp;""," "," "),CHAR(9)," "),CHAR(10)," "),CHAR(13)," "))="","",SUMPRODUCT((Calc!$DH$5:$DH$1003=TRIM(SUBSTITUTE(SUBSTITUTE(SUBSTITUTE(SUBSTITUTE(A96&amp;""," "," "),CHAR(9)," "),CHAR(10)," "),CHAR(13)," ")))*Calc!$DM$5:$DM$1003))</f>
        <v/>
      </c>
      <c r="E96" s="54">
        <f>IF(TRIM(SUBSTITUTE(SUBSTITUTE(SUBSTITUTE(SUBSTITUTE(A96&amp;""," "," "),CHAR(9)," "),CHAR(10)," "),CHAR(13)," "))="","",IF(SUMPRODUCT(--(TRIM(SUBSTITUTE(SUBSTITUTE(SUBSTITUTE(SUBSTITUTE($A$3:A95&amp;""," "," "),CHAR(9)," "),CHAR(10)," "),CHAR(13)," "))=TRIM(SUBSTITUTE(SUBSTITUTE(SUBSTITUTE(SUBSTITUTE(A96&amp;""," "," "),CHAR(9)," "),CHAR(10)," "),CHAR(13)," "))))&gt;0,"Listed twice - only the first one is used",IF(D96=0,"Not in today's schedule","")))</f>
        <v/>
      </c>
      <c r="G96" s="55">
        <f>IF(INDEX(Calc!$FZ$5:$FZ$104,ROW()-3)="","",INDEX(Calc!$FX$5:$FX$104,ROW()-3))</f>
        <v/>
      </c>
      <c r="H96" s="26">
        <f>INDEX(Calc!$FZ$5:$FZ$104,ROW()-3)</f>
        <v/>
      </c>
      <c r="I96" s="56">
        <f>INDEX(Calc!$GA$5:$GA$104,ROW()-3)</f>
        <v/>
      </c>
      <c r="J96" s="57">
        <f>INDEX(Calc!$GB$5:$GB$104,ROW()-3)</f>
        <v/>
      </c>
      <c r="K96" s="57">
        <f>INDEX(Calc!$GC$5:$GC$104,ROW()-3)</f>
        <v/>
      </c>
      <c r="L96" s="31">
        <f>INDEX(Calc!$GD$5:$GD$104,ROW()-3)</f>
        <v/>
      </c>
      <c r="N96" s="58">
        <f>INDEX(Calc!$GG$5:$GG$104,ROW()-3)</f>
        <v/>
      </c>
    </row>
    <row r="97">
      <c r="A97" s="51" t="n"/>
      <c r="B97" s="52" t="n"/>
      <c r="C97" s="52" t="n"/>
      <c r="D97" s="53">
        <f>IF(TRIM(SUBSTITUTE(SUBSTITUTE(SUBSTITUTE(SUBSTITUTE(A97&amp;""," "," "),CHAR(9)," "),CHAR(10)," "),CHAR(13)," "))="","",SUMPRODUCT((Calc!$DH$5:$DH$1003=TRIM(SUBSTITUTE(SUBSTITUTE(SUBSTITUTE(SUBSTITUTE(A97&amp;""," "," "),CHAR(9)," "),CHAR(10)," "),CHAR(13)," ")))*Calc!$DM$5:$DM$1003))</f>
        <v/>
      </c>
      <c r="E97" s="54">
        <f>IF(TRIM(SUBSTITUTE(SUBSTITUTE(SUBSTITUTE(SUBSTITUTE(A97&amp;""," "," "),CHAR(9)," "),CHAR(10)," "),CHAR(13)," "))="","",IF(SUMPRODUCT(--(TRIM(SUBSTITUTE(SUBSTITUTE(SUBSTITUTE(SUBSTITUTE($A$3:A96&amp;""," "," "),CHAR(9)," "),CHAR(10)," "),CHAR(13)," "))=TRIM(SUBSTITUTE(SUBSTITUTE(SUBSTITUTE(SUBSTITUTE(A97&amp;""," "," "),CHAR(9)," "),CHAR(10)," "),CHAR(13)," "))))&gt;0,"Listed twice - only the first one is used",IF(D97=0,"Not in today's schedule","")))</f>
        <v/>
      </c>
      <c r="G97" s="55">
        <f>IF(INDEX(Calc!$FZ$5:$FZ$104,ROW()-3)="","",INDEX(Calc!$FX$5:$FX$104,ROW()-3))</f>
        <v/>
      </c>
      <c r="H97" s="26">
        <f>INDEX(Calc!$FZ$5:$FZ$104,ROW()-3)</f>
        <v/>
      </c>
      <c r="I97" s="56">
        <f>INDEX(Calc!$GA$5:$GA$104,ROW()-3)</f>
        <v/>
      </c>
      <c r="J97" s="57">
        <f>INDEX(Calc!$GB$5:$GB$104,ROW()-3)</f>
        <v/>
      </c>
      <c r="K97" s="57">
        <f>INDEX(Calc!$GC$5:$GC$104,ROW()-3)</f>
        <v/>
      </c>
      <c r="L97" s="31">
        <f>INDEX(Calc!$GD$5:$GD$104,ROW()-3)</f>
        <v/>
      </c>
      <c r="N97" s="58">
        <f>INDEX(Calc!$GG$5:$GG$104,ROW()-3)</f>
        <v/>
      </c>
    </row>
    <row r="98">
      <c r="A98" s="51" t="n"/>
      <c r="B98" s="52" t="n"/>
      <c r="C98" s="52" t="n"/>
      <c r="D98" s="53">
        <f>IF(TRIM(SUBSTITUTE(SUBSTITUTE(SUBSTITUTE(SUBSTITUTE(A98&amp;""," "," "),CHAR(9)," "),CHAR(10)," "),CHAR(13)," "))="","",SUMPRODUCT((Calc!$DH$5:$DH$1003=TRIM(SUBSTITUTE(SUBSTITUTE(SUBSTITUTE(SUBSTITUTE(A98&amp;""," "," "),CHAR(9)," "),CHAR(10)," "),CHAR(13)," ")))*Calc!$DM$5:$DM$1003))</f>
        <v/>
      </c>
      <c r="E98" s="54">
        <f>IF(TRIM(SUBSTITUTE(SUBSTITUTE(SUBSTITUTE(SUBSTITUTE(A98&amp;""," "," "),CHAR(9)," "),CHAR(10)," "),CHAR(13)," "))="","",IF(SUMPRODUCT(--(TRIM(SUBSTITUTE(SUBSTITUTE(SUBSTITUTE(SUBSTITUTE($A$3:A97&amp;""," "," "),CHAR(9)," "),CHAR(10)," "),CHAR(13)," "))=TRIM(SUBSTITUTE(SUBSTITUTE(SUBSTITUTE(SUBSTITUTE(A98&amp;""," "," "),CHAR(9)," "),CHAR(10)," "),CHAR(13)," "))))&gt;0,"Listed twice - only the first one is used",IF(D98=0,"Not in today's schedule","")))</f>
        <v/>
      </c>
      <c r="G98" s="55">
        <f>IF(INDEX(Calc!$FZ$5:$FZ$104,ROW()-3)="","",INDEX(Calc!$FX$5:$FX$104,ROW()-3))</f>
        <v/>
      </c>
      <c r="H98" s="26">
        <f>INDEX(Calc!$FZ$5:$FZ$104,ROW()-3)</f>
        <v/>
      </c>
      <c r="I98" s="56">
        <f>INDEX(Calc!$GA$5:$GA$104,ROW()-3)</f>
        <v/>
      </c>
      <c r="J98" s="57">
        <f>INDEX(Calc!$GB$5:$GB$104,ROW()-3)</f>
        <v/>
      </c>
      <c r="K98" s="57">
        <f>INDEX(Calc!$GC$5:$GC$104,ROW()-3)</f>
        <v/>
      </c>
      <c r="L98" s="31">
        <f>INDEX(Calc!$GD$5:$GD$104,ROW()-3)</f>
        <v/>
      </c>
      <c r="N98" s="58">
        <f>INDEX(Calc!$GG$5:$GG$104,ROW()-3)</f>
        <v/>
      </c>
    </row>
    <row r="99">
      <c r="A99" s="51" t="n"/>
      <c r="B99" s="52" t="n"/>
      <c r="C99" s="52" t="n"/>
      <c r="D99" s="53">
        <f>IF(TRIM(SUBSTITUTE(SUBSTITUTE(SUBSTITUTE(SUBSTITUTE(A99&amp;""," "," "),CHAR(9)," "),CHAR(10)," "),CHAR(13)," "))="","",SUMPRODUCT((Calc!$DH$5:$DH$1003=TRIM(SUBSTITUTE(SUBSTITUTE(SUBSTITUTE(SUBSTITUTE(A99&amp;""," "," "),CHAR(9)," "),CHAR(10)," "),CHAR(13)," ")))*Calc!$DM$5:$DM$1003))</f>
        <v/>
      </c>
      <c r="E99" s="54">
        <f>IF(TRIM(SUBSTITUTE(SUBSTITUTE(SUBSTITUTE(SUBSTITUTE(A99&amp;""," "," "),CHAR(9)," "),CHAR(10)," "),CHAR(13)," "))="","",IF(SUMPRODUCT(--(TRIM(SUBSTITUTE(SUBSTITUTE(SUBSTITUTE(SUBSTITUTE($A$3:A98&amp;""," "," "),CHAR(9)," "),CHAR(10)," "),CHAR(13)," "))=TRIM(SUBSTITUTE(SUBSTITUTE(SUBSTITUTE(SUBSTITUTE(A99&amp;""," "," "),CHAR(9)," "),CHAR(10)," "),CHAR(13)," "))))&gt;0,"Listed twice - only the first one is used",IF(D99=0,"Not in today's schedule","")))</f>
        <v/>
      </c>
      <c r="G99" s="55">
        <f>IF(INDEX(Calc!$FZ$5:$FZ$104,ROW()-3)="","",INDEX(Calc!$FX$5:$FX$104,ROW()-3))</f>
        <v/>
      </c>
      <c r="H99" s="26">
        <f>INDEX(Calc!$FZ$5:$FZ$104,ROW()-3)</f>
        <v/>
      </c>
      <c r="I99" s="56">
        <f>INDEX(Calc!$GA$5:$GA$104,ROW()-3)</f>
        <v/>
      </c>
      <c r="J99" s="57">
        <f>INDEX(Calc!$GB$5:$GB$104,ROW()-3)</f>
        <v/>
      </c>
      <c r="K99" s="57">
        <f>INDEX(Calc!$GC$5:$GC$104,ROW()-3)</f>
        <v/>
      </c>
      <c r="L99" s="31">
        <f>INDEX(Calc!$GD$5:$GD$104,ROW()-3)</f>
        <v/>
      </c>
      <c r="N99" s="58">
        <f>INDEX(Calc!$GG$5:$GG$104,ROW()-3)</f>
        <v/>
      </c>
    </row>
    <row r="100">
      <c r="A100" s="51" t="n"/>
      <c r="B100" s="52" t="n"/>
      <c r="C100" s="52" t="n"/>
      <c r="D100" s="53">
        <f>IF(TRIM(SUBSTITUTE(SUBSTITUTE(SUBSTITUTE(SUBSTITUTE(A100&amp;""," "," "),CHAR(9)," "),CHAR(10)," "),CHAR(13)," "))="","",SUMPRODUCT((Calc!$DH$5:$DH$1003=TRIM(SUBSTITUTE(SUBSTITUTE(SUBSTITUTE(SUBSTITUTE(A100&amp;""," "," "),CHAR(9)," "),CHAR(10)," "),CHAR(13)," ")))*Calc!$DM$5:$DM$1003))</f>
        <v/>
      </c>
      <c r="E100" s="54">
        <f>IF(TRIM(SUBSTITUTE(SUBSTITUTE(SUBSTITUTE(SUBSTITUTE(A100&amp;""," "," "),CHAR(9)," "),CHAR(10)," "),CHAR(13)," "))="","",IF(SUMPRODUCT(--(TRIM(SUBSTITUTE(SUBSTITUTE(SUBSTITUTE(SUBSTITUTE($A$3:A99&amp;""," "," "),CHAR(9)," "),CHAR(10)," "),CHAR(13)," "))=TRIM(SUBSTITUTE(SUBSTITUTE(SUBSTITUTE(SUBSTITUTE(A100&amp;""," "," "),CHAR(9)," "),CHAR(10)," "),CHAR(13)," "))))&gt;0,"Listed twice - only the first one is used",IF(D100=0,"Not in today's schedule","")))</f>
        <v/>
      </c>
      <c r="G100" s="55">
        <f>IF(INDEX(Calc!$FZ$5:$FZ$104,ROW()-3)="","",INDEX(Calc!$FX$5:$FX$104,ROW()-3))</f>
        <v/>
      </c>
      <c r="H100" s="26">
        <f>INDEX(Calc!$FZ$5:$FZ$104,ROW()-3)</f>
        <v/>
      </c>
      <c r="I100" s="56">
        <f>INDEX(Calc!$GA$5:$GA$104,ROW()-3)</f>
        <v/>
      </c>
      <c r="J100" s="57">
        <f>INDEX(Calc!$GB$5:$GB$104,ROW()-3)</f>
        <v/>
      </c>
      <c r="K100" s="57">
        <f>INDEX(Calc!$GC$5:$GC$104,ROW()-3)</f>
        <v/>
      </c>
      <c r="L100" s="31">
        <f>INDEX(Calc!$GD$5:$GD$104,ROW()-3)</f>
        <v/>
      </c>
      <c r="N100" s="58">
        <f>INDEX(Calc!$GG$5:$GG$104,ROW()-3)</f>
        <v/>
      </c>
    </row>
    <row r="101">
      <c r="A101" s="51" t="n"/>
      <c r="B101" s="52" t="n"/>
      <c r="C101" s="52" t="n"/>
      <c r="D101" s="53">
        <f>IF(TRIM(SUBSTITUTE(SUBSTITUTE(SUBSTITUTE(SUBSTITUTE(A101&amp;""," "," "),CHAR(9)," "),CHAR(10)," "),CHAR(13)," "))="","",SUMPRODUCT((Calc!$DH$5:$DH$1003=TRIM(SUBSTITUTE(SUBSTITUTE(SUBSTITUTE(SUBSTITUTE(A101&amp;""," "," "),CHAR(9)," "),CHAR(10)," "),CHAR(13)," ")))*Calc!$DM$5:$DM$1003))</f>
        <v/>
      </c>
      <c r="E101" s="54">
        <f>IF(TRIM(SUBSTITUTE(SUBSTITUTE(SUBSTITUTE(SUBSTITUTE(A101&amp;""," "," "),CHAR(9)," "),CHAR(10)," "),CHAR(13)," "))="","",IF(SUMPRODUCT(--(TRIM(SUBSTITUTE(SUBSTITUTE(SUBSTITUTE(SUBSTITUTE($A$3:A100&amp;""," "," "),CHAR(9)," "),CHAR(10)," "),CHAR(13)," "))=TRIM(SUBSTITUTE(SUBSTITUTE(SUBSTITUTE(SUBSTITUTE(A101&amp;""," "," "),CHAR(9)," "),CHAR(10)," "),CHAR(13)," "))))&gt;0,"Listed twice - only the first one is used",IF(D101=0,"Not in today's schedule","")))</f>
        <v/>
      </c>
      <c r="G101" s="55">
        <f>IF(INDEX(Calc!$FZ$5:$FZ$104,ROW()-3)="","",INDEX(Calc!$FX$5:$FX$104,ROW()-3))</f>
        <v/>
      </c>
      <c r="H101" s="26">
        <f>INDEX(Calc!$FZ$5:$FZ$104,ROW()-3)</f>
        <v/>
      </c>
      <c r="I101" s="56">
        <f>INDEX(Calc!$GA$5:$GA$104,ROW()-3)</f>
        <v/>
      </c>
      <c r="J101" s="57">
        <f>INDEX(Calc!$GB$5:$GB$104,ROW()-3)</f>
        <v/>
      </c>
      <c r="K101" s="57">
        <f>INDEX(Calc!$GC$5:$GC$104,ROW()-3)</f>
        <v/>
      </c>
      <c r="L101" s="31">
        <f>INDEX(Calc!$GD$5:$GD$104,ROW()-3)</f>
        <v/>
      </c>
      <c r="N101" s="58">
        <f>INDEX(Calc!$GG$5:$GG$104,ROW()-3)</f>
        <v/>
      </c>
    </row>
    <row r="102">
      <c r="A102" s="51" t="n"/>
      <c r="B102" s="52" t="n"/>
      <c r="C102" s="52" t="n"/>
      <c r="D102" s="53">
        <f>IF(TRIM(SUBSTITUTE(SUBSTITUTE(SUBSTITUTE(SUBSTITUTE(A102&amp;""," "," "),CHAR(9)," "),CHAR(10)," "),CHAR(13)," "))="","",SUMPRODUCT((Calc!$DH$5:$DH$1003=TRIM(SUBSTITUTE(SUBSTITUTE(SUBSTITUTE(SUBSTITUTE(A102&amp;""," "," "),CHAR(9)," "),CHAR(10)," "),CHAR(13)," ")))*Calc!$DM$5:$DM$1003))</f>
        <v/>
      </c>
      <c r="E102" s="54">
        <f>IF(TRIM(SUBSTITUTE(SUBSTITUTE(SUBSTITUTE(SUBSTITUTE(A102&amp;""," "," "),CHAR(9)," "),CHAR(10)," "),CHAR(13)," "))="","",IF(SUMPRODUCT(--(TRIM(SUBSTITUTE(SUBSTITUTE(SUBSTITUTE(SUBSTITUTE($A$3:A101&amp;""," "," "),CHAR(9)," "),CHAR(10)," "),CHAR(13)," "))=TRIM(SUBSTITUTE(SUBSTITUTE(SUBSTITUTE(SUBSTITUTE(A102&amp;""," "," "),CHAR(9)," "),CHAR(10)," "),CHAR(13)," "))))&gt;0,"Listed twice - only the first one is used",IF(D102=0,"Not in today's schedule","")))</f>
        <v/>
      </c>
      <c r="G102" s="55">
        <f>IF(INDEX(Calc!$FZ$5:$FZ$104,ROW()-3)="","",INDEX(Calc!$FX$5:$FX$104,ROW()-3))</f>
        <v/>
      </c>
      <c r="H102" s="26">
        <f>INDEX(Calc!$FZ$5:$FZ$104,ROW()-3)</f>
        <v/>
      </c>
      <c r="I102" s="56">
        <f>INDEX(Calc!$GA$5:$GA$104,ROW()-3)</f>
        <v/>
      </c>
      <c r="J102" s="57">
        <f>INDEX(Calc!$GB$5:$GB$104,ROW()-3)</f>
        <v/>
      </c>
      <c r="K102" s="57">
        <f>INDEX(Calc!$GC$5:$GC$104,ROW()-3)</f>
        <v/>
      </c>
      <c r="L102" s="31">
        <f>INDEX(Calc!$GD$5:$GD$104,ROW()-3)</f>
        <v/>
      </c>
      <c r="N102" s="58">
        <f>INDEX(Calc!$GG$5:$GG$104,ROW()-3)</f>
        <v/>
      </c>
    </row>
    <row r="103">
      <c r="A103" s="51" t="n"/>
      <c r="B103" s="52" t="n"/>
      <c r="C103" s="52" t="n"/>
      <c r="D103" s="53">
        <f>IF(TRIM(SUBSTITUTE(SUBSTITUTE(SUBSTITUTE(SUBSTITUTE(A103&amp;""," "," "),CHAR(9)," "),CHAR(10)," "),CHAR(13)," "))="","",SUMPRODUCT((Calc!$DH$5:$DH$1003=TRIM(SUBSTITUTE(SUBSTITUTE(SUBSTITUTE(SUBSTITUTE(A103&amp;""," "," "),CHAR(9)," "),CHAR(10)," "),CHAR(13)," ")))*Calc!$DM$5:$DM$1003))</f>
        <v/>
      </c>
      <c r="E103" s="54">
        <f>IF(TRIM(SUBSTITUTE(SUBSTITUTE(SUBSTITUTE(SUBSTITUTE(A103&amp;""," "," "),CHAR(9)," "),CHAR(10)," "),CHAR(13)," "))="","",IF(SUMPRODUCT(--(TRIM(SUBSTITUTE(SUBSTITUTE(SUBSTITUTE(SUBSTITUTE($A$3:A102&amp;""," "," "),CHAR(9)," "),CHAR(10)," "),CHAR(13)," "))=TRIM(SUBSTITUTE(SUBSTITUTE(SUBSTITUTE(SUBSTITUTE(A103&amp;""," "," "),CHAR(9)," "),CHAR(10)," "),CHAR(13)," "))))&gt;0,"Listed twice - only the first one is used",IF(D103=0,"Not in today's schedule","")))</f>
        <v/>
      </c>
      <c r="G103" s="55">
        <f>IF(INDEX(Calc!$FZ$5:$FZ$104,ROW()-3)="","",INDEX(Calc!$FX$5:$FX$104,ROW()-3))</f>
        <v/>
      </c>
      <c r="H103" s="26">
        <f>INDEX(Calc!$FZ$5:$FZ$104,ROW()-3)</f>
        <v/>
      </c>
      <c r="I103" s="56">
        <f>INDEX(Calc!$GA$5:$GA$104,ROW()-3)</f>
        <v/>
      </c>
      <c r="J103" s="57">
        <f>INDEX(Calc!$GB$5:$GB$104,ROW()-3)</f>
        <v/>
      </c>
      <c r="K103" s="57">
        <f>INDEX(Calc!$GC$5:$GC$104,ROW()-3)</f>
        <v/>
      </c>
      <c r="L103" s="31">
        <f>INDEX(Calc!$GD$5:$GD$104,ROW()-3)</f>
        <v/>
      </c>
      <c r="N103" s="58">
        <f>INDEX(Calc!$GG$5:$GG$104,ROW()-3)</f>
        <v/>
      </c>
    </row>
  </sheetData>
  <sheetProtection selectLockedCells="0" selectUnlockedCells="0" sheet="1" objects="0" insertRows="1" insertHyperlinks="1" autoFilter="1" scenarios="0" formatColumns="0" deleteColumns="1" insertColumns="1" pivotTables="1" deleteRows="1" formatCells="1" formatRows="0" sort="1"/>
  <mergeCells count="3">
    <mergeCell ref="A2:E2"/>
    <mergeCell ref="G2:L2"/>
    <mergeCell ref="G1:J1"/>
  </mergeCells>
  <conditionalFormatting sqref="L1">
    <cfRule type="expression" priority="1" dxfId="1" stopIfTrue="1">
      <formula>$L$1&lt;&gt;""</formula>
    </cfRule>
  </conditionalFormatting>
  <conditionalFormatting sqref="A4:B103">
    <cfRule type="expression" priority="2" dxfId="0" stopIfTrue="1">
      <formula>OR(UPPER(TRIM($B4&amp;""))="YES",UPPER(TRIM($B4&amp;""))="Y",UPPER(TRIM($B4&amp;""))="X")</formula>
    </cfRule>
  </conditionalFormatting>
  <conditionalFormatting sqref="C4:C103">
    <cfRule type="expression" priority="3" dxfId="3" stopIfTrue="1">
      <formula>UPPER(TRIM($C4&amp;""))="READY"</formula>
    </cfRule>
    <cfRule type="expression" priority="5" dxfId="4" stopIfTrue="1">
      <formula>UPPER(TRIM($C4&amp;""))="PM"</formula>
    </cfRule>
    <cfRule type="expression" priority="7" dxfId="5" stopIfTrue="1">
      <formula>UPPER(TRIM($C4&amp;""))="OT"</formula>
    </cfRule>
  </conditionalFormatting>
  <conditionalFormatting sqref="J4:J103">
    <cfRule type="expression" priority="4" dxfId="3" stopIfTrue="1">
      <formula>$J4="READY"</formula>
    </cfRule>
    <cfRule type="expression" priority="6" dxfId="4" stopIfTrue="1">
      <formula>$J4="PM"</formula>
    </cfRule>
    <cfRule type="expression" priority="8" dxfId="5" stopIfTrue="1">
      <formula>$J4="OT"</formula>
    </cfRule>
  </conditionalFormatting>
  <conditionalFormatting sqref="K4:K103">
    <cfRule type="expression" priority="9" dxfId="0" stopIfTrue="1">
      <formula>$K4="Yes"</formula>
    </cfRule>
  </conditionalFormatting>
  <conditionalFormatting sqref="L4:L103">
    <cfRule type="expression" priority="10" dxfId="1" stopIfTrue="1">
      <formula>$L4&lt;&gt;""</formula>
    </cfRule>
  </conditionalFormatting>
  <conditionalFormatting sqref="N4:N103">
    <cfRule type="expression" priority="11" dxfId="1" stopIfTrue="1">
      <formula>$N4&lt;&gt;""</formula>
    </cfRule>
  </conditionalFormatting>
  <dataValidations count="3">
    <dataValidation sqref="K1" showDropDown="0" showInputMessage="1" showErrorMessage="1" allowBlank="1" errorTitle="Date" error="Type a date, like 10/7/2026 - or press Ctrl+; for today's date." promptTitle="Checked on" prompt="After checking the ticks and statuses, press Ctrl+; (semicolon) for today's date." type="date" operator="greaterThan">
      <formula1>36526</formula1>
    </dataValidation>
    <dataValidation sqref="B4:B103" showDropDown="0" showInputMessage="0" showErrorMessage="1" allowBlank="1" errorTitle="Scheduled" error="Pick Yes from the list, or leave it empty." type="list">
      <formula1>"Yes"</formula1>
    </dataValidation>
    <dataValidation sqref="C4:C103" showDropDown="0" showInputMessage="0" showErrorMessage="1" allowBlank="1" errorTitle="Status" error="Pick READY, PM or OT from the list, or leave it empty." type="list">
      <formula1>"READY,PM,OT"</formula1>
    </dataValidation>
  </dataValidations>
  <pageMargins left="0.4" right="0.4" top="1" bottom="1" header="0.5" footer="0.5"/>
  <pageSetup orientation="landscape" paperSize="1" fitToHeight="0" fitToWidth="1"/>
</worksheet>
</file>

<file path=xl/worksheets/sheet5.xml><?xml version="1.0" encoding="utf-8"?>
<worksheet xmlns="http://schemas.openxmlformats.org/spreadsheetml/2006/main">
  <sheetPr>
    <tabColor rgb="001F3864"/>
    <outlinePr summaryBelow="1" summaryRight="1"/>
    <pageSetUpPr fitToPage="1"/>
  </sheetPr>
  <dimension ref="A1:AA702"/>
  <sheetViews>
    <sheetView showGridLines="0" tabSelected="0" workbookViewId="0">
      <pane ySplit="2" topLeftCell="A3" activePane="bottomLeft" state="frozen"/>
      <selection pane="bottomLeft" activeCell="A1" sqref="A1"/>
    </sheetView>
  </sheetViews>
  <sheetFormatPr baseColWidth="8" defaultRowHeight="15"/>
  <cols>
    <col width="9.1" customWidth="1" min="1" max="1"/>
    <col width="6.3" customWidth="1" min="2" max="2"/>
    <col width="7" customWidth="1" min="3" max="3"/>
    <col width="4.2" customWidth="1" min="4" max="4"/>
    <col width="7" customWidth="1" min="5" max="5"/>
    <col width="19.6" customWidth="1" min="6" max="6"/>
    <col width="4.8" customWidth="1" min="7" max="7"/>
    <col width="7" customWidth="1" min="8" max="8"/>
    <col width="6" customWidth="1" min="9" max="9"/>
    <col width="14" customWidth="1" min="10" max="10"/>
    <col width="6.9" customWidth="1" min="11" max="11"/>
    <col width="17.5" customWidth="1" min="12" max="12"/>
    <col width="6.9" customWidth="1" min="13" max="13"/>
    <col width="6.9" customWidth="1" min="14" max="14"/>
    <col width="7.6" customWidth="1" min="15" max="15"/>
    <col width="7.4" customWidth="1" min="16" max="16"/>
    <col width="7.6" customWidth="1" min="17" max="17"/>
    <col width="10.5" customWidth="1" min="18" max="18"/>
    <col width="2"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s>
  <sheetData>
    <row r="1" ht="30" customHeight="1">
      <c r="A1" s="59">
        <f>Calc!$B$36</f>
        <v/>
      </c>
      <c r="D1" s="60" t="inlineStr">
        <is>
          <t>PRODUCTION LINE SCHEDULE</t>
        </is>
      </c>
      <c r="P1" s="61">
        <f>TODAY()</f>
        <v/>
      </c>
    </row>
    <row r="2" ht="30" customHeight="1">
      <c r="A2" s="62" t="inlineStr">
        <is>
          <t>LINE</t>
        </is>
      </c>
      <c r="B2" s="62" t="inlineStr">
        <is>
          <t>STATUS</t>
        </is>
      </c>
      <c r="C2" s="62" t="inlineStr">
        <is>
          <t>WO</t>
        </is>
      </c>
      <c r="D2" s="62" t="inlineStr">
        <is>
          <t>SEQ</t>
        </is>
      </c>
      <c r="E2" s="62" t="inlineStr">
        <is>
          <t>ITEM</t>
        </is>
      </c>
      <c r="F2" s="62" t="inlineStr">
        <is>
          <t>PRODUCT DESCRIPTION</t>
        </is>
      </c>
      <c r="G2" s="62" t="inlineStr">
        <is>
          <t>COUNT</t>
        </is>
      </c>
      <c r="H2" s="62" t="inlineStr">
        <is>
          <t>BULK ITEM</t>
        </is>
      </c>
      <c r="I2" s="62" t="inlineStr">
        <is>
          <t>BOTTLE SIZE</t>
        </is>
      </c>
      <c r="J2" s="62" t="inlineStr">
        <is>
          <t>CAP DESCRIPTION</t>
        </is>
      </c>
      <c r="K2" s="62" t="inlineStr">
        <is>
          <t>ALLERGEN</t>
        </is>
      </c>
      <c r="L2" s="62" t="inlineStr">
        <is>
          <t>REMARKS</t>
        </is>
      </c>
      <c r="M2" s="62" t="inlineStr">
        <is>
          <t>WO QUANTITY</t>
        </is>
      </c>
      <c r="N2" s="62" t="inlineStr">
        <is>
          <t>% COMPLETE</t>
        </is>
      </c>
      <c r="O2" s="62" t="inlineStr">
        <is>
          <t>DESICCANT</t>
        </is>
      </c>
      <c r="P2" s="62" t="inlineStr">
        <is>
          <t>% ACTUAL COMPLETE</t>
        </is>
      </c>
      <c r="Q2" s="62" t="inlineStr">
        <is>
          <t>BOTTLES REMAINING</t>
        </is>
      </c>
      <c r="R2" s="62" t="inlineStr">
        <is>
          <t>CHANGEOVER</t>
        </is>
      </c>
      <c r="T2" s="63" t="inlineStr">
        <is>
          <t>KIND</t>
        </is>
      </c>
      <c r="U2" s="63" t="inlineStr">
        <is>
          <t>HL</t>
        </is>
      </c>
      <c r="V2" s="63" t="inlineStr">
        <is>
          <t>SCHEDULED</t>
        </is>
      </c>
      <c r="W2" s="63" t="inlineStr">
        <is>
          <t>STATUS</t>
        </is>
      </c>
      <c r="X2" s="63" t="inlineStr">
        <is>
          <t>FIRST</t>
        </is>
      </c>
      <c r="Y2" s="63" t="inlineStr">
        <is>
          <t>LAST</t>
        </is>
      </c>
      <c r="Z2" s="63" t="inlineStr">
        <is>
          <t>COUNT CHG</t>
        </is>
      </c>
      <c r="AA2" s="63" t="inlineStr">
        <is>
          <t>BORDER</t>
        </is>
      </c>
    </row>
    <row r="3" ht="11.25" customHeight="1">
      <c r="A3" s="64">
        <f>Calc!$FB$5</f>
        <v/>
      </c>
      <c r="B3" s="64">
        <f>Calc!$FC$5</f>
        <v/>
      </c>
      <c r="C3" s="65">
        <f>Calc!$FD$5</f>
        <v/>
      </c>
      <c r="D3" s="65">
        <f>Calc!$FE$5</f>
        <v/>
      </c>
      <c r="E3" s="65">
        <f>Calc!$FF$5</f>
        <v/>
      </c>
      <c r="F3" s="65">
        <f>Calc!$FG$5</f>
        <v/>
      </c>
      <c r="G3" s="65">
        <f>Calc!$FH$5</f>
        <v/>
      </c>
      <c r="H3" s="65">
        <f>Calc!$FI$5</f>
        <v/>
      </c>
      <c r="I3" s="65">
        <f>Calc!$FJ$5</f>
        <v/>
      </c>
      <c r="J3" s="65">
        <f>Calc!$FK$5</f>
        <v/>
      </c>
      <c r="K3" s="65">
        <f>Calc!$FL$5</f>
        <v/>
      </c>
      <c r="L3" s="65">
        <f>Calc!$FM$5</f>
        <v/>
      </c>
      <c r="M3" s="66">
        <f>Calc!$FN$5</f>
        <v/>
      </c>
      <c r="N3" s="66">
        <f>Calc!$FO$5</f>
        <v/>
      </c>
      <c r="O3" s="65">
        <f>Calc!$FP$5</f>
        <v/>
      </c>
      <c r="P3" s="67">
        <f>Calc!$FQ$5</f>
        <v/>
      </c>
      <c r="Q3" s="68">
        <f>Calc!$FR$5</f>
        <v/>
      </c>
      <c r="R3" s="65">
        <f>Calc!$FS$5</f>
        <v/>
      </c>
      <c r="T3">
        <f>Calc!$EY$5</f>
        <v/>
      </c>
      <c r="U3">
        <f>Calc!$FT$5</f>
        <v/>
      </c>
      <c r="V3">
        <f>Calc!$FU$5</f>
        <v/>
      </c>
      <c r="W3">
        <f>Calc!$FC$5</f>
        <v/>
      </c>
      <c r="X3">
        <f>Calc!$EZ$5</f>
        <v/>
      </c>
      <c r="Y3">
        <f>Calc!$FA$5</f>
        <v/>
      </c>
      <c r="Z3">
        <f>Calc!$FV$5</f>
        <v/>
      </c>
      <c r="AA3">
        <f>IF($T3&lt;&gt;"row",0,IF($V3=1,IF($X3=1,IF($Y3=1,1,2),IF($Y3=1,3,4)),IF($X3=1,IF($Y3=1,5,6),IF($Y3=1,7,8))))</f>
        <v/>
      </c>
    </row>
    <row r="4" ht="11.25" customHeight="1">
      <c r="A4" s="64">
        <f>Calc!$FB$6</f>
        <v/>
      </c>
      <c r="B4" s="64">
        <f>Calc!$FC$6</f>
        <v/>
      </c>
      <c r="C4" s="65">
        <f>Calc!$FD$6</f>
        <v/>
      </c>
      <c r="D4" s="65">
        <f>Calc!$FE$6</f>
        <v/>
      </c>
      <c r="E4" s="65">
        <f>Calc!$FF$6</f>
        <v/>
      </c>
      <c r="F4" s="65">
        <f>Calc!$FG$6</f>
        <v/>
      </c>
      <c r="G4" s="65">
        <f>Calc!$FH$6</f>
        <v/>
      </c>
      <c r="H4" s="65">
        <f>Calc!$FI$6</f>
        <v/>
      </c>
      <c r="I4" s="65">
        <f>Calc!$FJ$6</f>
        <v/>
      </c>
      <c r="J4" s="65">
        <f>Calc!$FK$6</f>
        <v/>
      </c>
      <c r="K4" s="65">
        <f>Calc!$FL$6</f>
        <v/>
      </c>
      <c r="L4" s="65">
        <f>Calc!$FM$6</f>
        <v/>
      </c>
      <c r="M4" s="66">
        <f>Calc!$FN$6</f>
        <v/>
      </c>
      <c r="N4" s="66">
        <f>Calc!$FO$6</f>
        <v/>
      </c>
      <c r="O4" s="65">
        <f>Calc!$FP$6</f>
        <v/>
      </c>
      <c r="P4" s="67">
        <f>Calc!$FQ$6</f>
        <v/>
      </c>
      <c r="Q4" s="68">
        <f>Calc!$FR$6</f>
        <v/>
      </c>
      <c r="R4" s="65">
        <f>Calc!$FS$6</f>
        <v/>
      </c>
      <c r="T4">
        <f>Calc!$EY$6</f>
        <v/>
      </c>
      <c r="U4">
        <f>Calc!$FT$6</f>
        <v/>
      </c>
      <c r="V4">
        <f>Calc!$FU$6</f>
        <v/>
      </c>
      <c r="W4">
        <f>Calc!$FC$6</f>
        <v/>
      </c>
      <c r="X4">
        <f>Calc!$EZ$6</f>
        <v/>
      </c>
      <c r="Y4">
        <f>Calc!$FA$6</f>
        <v/>
      </c>
      <c r="Z4">
        <f>Calc!$FV$6</f>
        <v/>
      </c>
      <c r="AA4">
        <f>IF($T4&lt;&gt;"row",0,IF($V4=1,IF($X4=1,IF($Y4=1,1,2),IF($Y4=1,3,4)),IF($X4=1,IF($Y4=1,5,6),IF($Y4=1,7,8))))</f>
        <v/>
      </c>
    </row>
    <row r="5" ht="11.25" customHeight="1">
      <c r="A5" s="64">
        <f>Calc!$FB$7</f>
        <v/>
      </c>
      <c r="B5" s="64">
        <f>Calc!$FC$7</f>
        <v/>
      </c>
      <c r="C5" s="65">
        <f>Calc!$FD$7</f>
        <v/>
      </c>
      <c r="D5" s="65">
        <f>Calc!$FE$7</f>
        <v/>
      </c>
      <c r="E5" s="65">
        <f>Calc!$FF$7</f>
        <v/>
      </c>
      <c r="F5" s="65">
        <f>Calc!$FG$7</f>
        <v/>
      </c>
      <c r="G5" s="65">
        <f>Calc!$FH$7</f>
        <v/>
      </c>
      <c r="H5" s="65">
        <f>Calc!$FI$7</f>
        <v/>
      </c>
      <c r="I5" s="65">
        <f>Calc!$FJ$7</f>
        <v/>
      </c>
      <c r="J5" s="65">
        <f>Calc!$FK$7</f>
        <v/>
      </c>
      <c r="K5" s="65">
        <f>Calc!$FL$7</f>
        <v/>
      </c>
      <c r="L5" s="65">
        <f>Calc!$FM$7</f>
        <v/>
      </c>
      <c r="M5" s="66">
        <f>Calc!$FN$7</f>
        <v/>
      </c>
      <c r="N5" s="66">
        <f>Calc!$FO$7</f>
        <v/>
      </c>
      <c r="O5" s="65">
        <f>Calc!$FP$7</f>
        <v/>
      </c>
      <c r="P5" s="67">
        <f>Calc!$FQ$7</f>
        <v/>
      </c>
      <c r="Q5" s="68">
        <f>Calc!$FR$7</f>
        <v/>
      </c>
      <c r="R5" s="65">
        <f>Calc!$FS$7</f>
        <v/>
      </c>
      <c r="T5">
        <f>Calc!$EY$7</f>
        <v/>
      </c>
      <c r="U5">
        <f>Calc!$FT$7</f>
        <v/>
      </c>
      <c r="V5">
        <f>Calc!$FU$7</f>
        <v/>
      </c>
      <c r="W5">
        <f>Calc!$FC$7</f>
        <v/>
      </c>
      <c r="X5">
        <f>Calc!$EZ$7</f>
        <v/>
      </c>
      <c r="Y5">
        <f>Calc!$FA$7</f>
        <v/>
      </c>
      <c r="Z5">
        <f>Calc!$FV$7</f>
        <v/>
      </c>
      <c r="AA5">
        <f>IF($T5&lt;&gt;"row",0,IF($V5=1,IF($X5=1,IF($Y5=1,1,2),IF($Y5=1,3,4)),IF($X5=1,IF($Y5=1,5,6),IF($Y5=1,7,8))))</f>
        <v/>
      </c>
    </row>
    <row r="6" ht="11.25" customHeight="1">
      <c r="A6" s="64">
        <f>Calc!$FB$8</f>
        <v/>
      </c>
      <c r="B6" s="64">
        <f>Calc!$FC$8</f>
        <v/>
      </c>
      <c r="C6" s="65">
        <f>Calc!$FD$8</f>
        <v/>
      </c>
      <c r="D6" s="65">
        <f>Calc!$FE$8</f>
        <v/>
      </c>
      <c r="E6" s="65">
        <f>Calc!$FF$8</f>
        <v/>
      </c>
      <c r="F6" s="65">
        <f>Calc!$FG$8</f>
        <v/>
      </c>
      <c r="G6" s="65">
        <f>Calc!$FH$8</f>
        <v/>
      </c>
      <c r="H6" s="65">
        <f>Calc!$FI$8</f>
        <v/>
      </c>
      <c r="I6" s="65">
        <f>Calc!$FJ$8</f>
        <v/>
      </c>
      <c r="J6" s="65">
        <f>Calc!$FK$8</f>
        <v/>
      </c>
      <c r="K6" s="65">
        <f>Calc!$FL$8</f>
        <v/>
      </c>
      <c r="L6" s="65">
        <f>Calc!$FM$8</f>
        <v/>
      </c>
      <c r="M6" s="66">
        <f>Calc!$FN$8</f>
        <v/>
      </c>
      <c r="N6" s="66">
        <f>Calc!$FO$8</f>
        <v/>
      </c>
      <c r="O6" s="65">
        <f>Calc!$FP$8</f>
        <v/>
      </c>
      <c r="P6" s="67">
        <f>Calc!$FQ$8</f>
        <v/>
      </c>
      <c r="Q6" s="68">
        <f>Calc!$FR$8</f>
        <v/>
      </c>
      <c r="R6" s="65">
        <f>Calc!$FS$8</f>
        <v/>
      </c>
      <c r="T6">
        <f>Calc!$EY$8</f>
        <v/>
      </c>
      <c r="U6">
        <f>Calc!$FT$8</f>
        <v/>
      </c>
      <c r="V6">
        <f>Calc!$FU$8</f>
        <v/>
      </c>
      <c r="W6">
        <f>Calc!$FC$8</f>
        <v/>
      </c>
      <c r="X6">
        <f>Calc!$EZ$8</f>
        <v/>
      </c>
      <c r="Y6">
        <f>Calc!$FA$8</f>
        <v/>
      </c>
      <c r="Z6">
        <f>Calc!$FV$8</f>
        <v/>
      </c>
      <c r="AA6">
        <f>IF($T6&lt;&gt;"row",0,IF($V6=1,IF($X6=1,IF($Y6=1,1,2),IF($Y6=1,3,4)),IF($X6=1,IF($Y6=1,5,6),IF($Y6=1,7,8))))</f>
        <v/>
      </c>
    </row>
    <row r="7" ht="11.25" customHeight="1">
      <c r="A7" s="64">
        <f>Calc!$FB$9</f>
        <v/>
      </c>
      <c r="B7" s="64">
        <f>Calc!$FC$9</f>
        <v/>
      </c>
      <c r="C7" s="65">
        <f>Calc!$FD$9</f>
        <v/>
      </c>
      <c r="D7" s="65">
        <f>Calc!$FE$9</f>
        <v/>
      </c>
      <c r="E7" s="65">
        <f>Calc!$FF$9</f>
        <v/>
      </c>
      <c r="F7" s="65">
        <f>Calc!$FG$9</f>
        <v/>
      </c>
      <c r="G7" s="65">
        <f>Calc!$FH$9</f>
        <v/>
      </c>
      <c r="H7" s="65">
        <f>Calc!$FI$9</f>
        <v/>
      </c>
      <c r="I7" s="65">
        <f>Calc!$FJ$9</f>
        <v/>
      </c>
      <c r="J7" s="65">
        <f>Calc!$FK$9</f>
        <v/>
      </c>
      <c r="K7" s="65">
        <f>Calc!$FL$9</f>
        <v/>
      </c>
      <c r="L7" s="65">
        <f>Calc!$FM$9</f>
        <v/>
      </c>
      <c r="M7" s="66">
        <f>Calc!$FN$9</f>
        <v/>
      </c>
      <c r="N7" s="66">
        <f>Calc!$FO$9</f>
        <v/>
      </c>
      <c r="O7" s="65">
        <f>Calc!$FP$9</f>
        <v/>
      </c>
      <c r="P7" s="67">
        <f>Calc!$FQ$9</f>
        <v/>
      </c>
      <c r="Q7" s="68">
        <f>Calc!$FR$9</f>
        <v/>
      </c>
      <c r="R7" s="65">
        <f>Calc!$FS$9</f>
        <v/>
      </c>
      <c r="T7">
        <f>Calc!$EY$9</f>
        <v/>
      </c>
      <c r="U7">
        <f>Calc!$FT$9</f>
        <v/>
      </c>
      <c r="V7">
        <f>Calc!$FU$9</f>
        <v/>
      </c>
      <c r="W7">
        <f>Calc!$FC$9</f>
        <v/>
      </c>
      <c r="X7">
        <f>Calc!$EZ$9</f>
        <v/>
      </c>
      <c r="Y7">
        <f>Calc!$FA$9</f>
        <v/>
      </c>
      <c r="Z7">
        <f>Calc!$FV$9</f>
        <v/>
      </c>
      <c r="AA7">
        <f>IF($T7&lt;&gt;"row",0,IF($V7=1,IF($X7=1,IF($Y7=1,1,2),IF($Y7=1,3,4)),IF($X7=1,IF($Y7=1,5,6),IF($Y7=1,7,8))))</f>
        <v/>
      </c>
    </row>
    <row r="8" ht="11.25" customHeight="1">
      <c r="A8" s="64">
        <f>Calc!$FB$10</f>
        <v/>
      </c>
      <c r="B8" s="64">
        <f>Calc!$FC$10</f>
        <v/>
      </c>
      <c r="C8" s="65">
        <f>Calc!$FD$10</f>
        <v/>
      </c>
      <c r="D8" s="65">
        <f>Calc!$FE$10</f>
        <v/>
      </c>
      <c r="E8" s="65">
        <f>Calc!$FF$10</f>
        <v/>
      </c>
      <c r="F8" s="65">
        <f>Calc!$FG$10</f>
        <v/>
      </c>
      <c r="G8" s="65">
        <f>Calc!$FH$10</f>
        <v/>
      </c>
      <c r="H8" s="65">
        <f>Calc!$FI$10</f>
        <v/>
      </c>
      <c r="I8" s="65">
        <f>Calc!$FJ$10</f>
        <v/>
      </c>
      <c r="J8" s="65">
        <f>Calc!$FK$10</f>
        <v/>
      </c>
      <c r="K8" s="65">
        <f>Calc!$FL$10</f>
        <v/>
      </c>
      <c r="L8" s="65">
        <f>Calc!$FM$10</f>
        <v/>
      </c>
      <c r="M8" s="66">
        <f>Calc!$FN$10</f>
        <v/>
      </c>
      <c r="N8" s="66">
        <f>Calc!$FO$10</f>
        <v/>
      </c>
      <c r="O8" s="65">
        <f>Calc!$FP$10</f>
        <v/>
      </c>
      <c r="P8" s="67">
        <f>Calc!$FQ$10</f>
        <v/>
      </c>
      <c r="Q8" s="68">
        <f>Calc!$FR$10</f>
        <v/>
      </c>
      <c r="R8" s="65">
        <f>Calc!$FS$10</f>
        <v/>
      </c>
      <c r="T8">
        <f>Calc!$EY$10</f>
        <v/>
      </c>
      <c r="U8">
        <f>Calc!$FT$10</f>
        <v/>
      </c>
      <c r="V8">
        <f>Calc!$FU$10</f>
        <v/>
      </c>
      <c r="W8">
        <f>Calc!$FC$10</f>
        <v/>
      </c>
      <c r="X8">
        <f>Calc!$EZ$10</f>
        <v/>
      </c>
      <c r="Y8">
        <f>Calc!$FA$10</f>
        <v/>
      </c>
      <c r="Z8">
        <f>Calc!$FV$10</f>
        <v/>
      </c>
      <c r="AA8">
        <f>IF($T8&lt;&gt;"row",0,IF($V8=1,IF($X8=1,IF($Y8=1,1,2),IF($Y8=1,3,4)),IF($X8=1,IF($Y8=1,5,6),IF($Y8=1,7,8))))</f>
        <v/>
      </c>
    </row>
    <row r="9" ht="11.25" customHeight="1">
      <c r="A9" s="64">
        <f>Calc!$FB$11</f>
        <v/>
      </c>
      <c r="B9" s="64">
        <f>Calc!$FC$11</f>
        <v/>
      </c>
      <c r="C9" s="65">
        <f>Calc!$FD$11</f>
        <v/>
      </c>
      <c r="D9" s="65">
        <f>Calc!$FE$11</f>
        <v/>
      </c>
      <c r="E9" s="65">
        <f>Calc!$FF$11</f>
        <v/>
      </c>
      <c r="F9" s="65">
        <f>Calc!$FG$11</f>
        <v/>
      </c>
      <c r="G9" s="65">
        <f>Calc!$FH$11</f>
        <v/>
      </c>
      <c r="H9" s="65">
        <f>Calc!$FI$11</f>
        <v/>
      </c>
      <c r="I9" s="65">
        <f>Calc!$FJ$11</f>
        <v/>
      </c>
      <c r="J9" s="65">
        <f>Calc!$FK$11</f>
        <v/>
      </c>
      <c r="K9" s="65">
        <f>Calc!$FL$11</f>
        <v/>
      </c>
      <c r="L9" s="65">
        <f>Calc!$FM$11</f>
        <v/>
      </c>
      <c r="M9" s="66">
        <f>Calc!$FN$11</f>
        <v/>
      </c>
      <c r="N9" s="66">
        <f>Calc!$FO$11</f>
        <v/>
      </c>
      <c r="O9" s="65">
        <f>Calc!$FP$11</f>
        <v/>
      </c>
      <c r="P9" s="67">
        <f>Calc!$FQ$11</f>
        <v/>
      </c>
      <c r="Q9" s="68">
        <f>Calc!$FR$11</f>
        <v/>
      </c>
      <c r="R9" s="65">
        <f>Calc!$FS$11</f>
        <v/>
      </c>
      <c r="T9">
        <f>Calc!$EY$11</f>
        <v/>
      </c>
      <c r="U9">
        <f>Calc!$FT$11</f>
        <v/>
      </c>
      <c r="V9">
        <f>Calc!$FU$11</f>
        <v/>
      </c>
      <c r="W9">
        <f>Calc!$FC$11</f>
        <v/>
      </c>
      <c r="X9">
        <f>Calc!$EZ$11</f>
        <v/>
      </c>
      <c r="Y9">
        <f>Calc!$FA$11</f>
        <v/>
      </c>
      <c r="Z9">
        <f>Calc!$FV$11</f>
        <v/>
      </c>
      <c r="AA9">
        <f>IF($T9&lt;&gt;"row",0,IF($V9=1,IF($X9=1,IF($Y9=1,1,2),IF($Y9=1,3,4)),IF($X9=1,IF($Y9=1,5,6),IF($Y9=1,7,8))))</f>
        <v/>
      </c>
    </row>
    <row r="10" ht="11.25" customHeight="1">
      <c r="A10" s="64">
        <f>Calc!$FB$12</f>
        <v/>
      </c>
      <c r="B10" s="64">
        <f>Calc!$FC$12</f>
        <v/>
      </c>
      <c r="C10" s="65">
        <f>Calc!$FD$12</f>
        <v/>
      </c>
      <c r="D10" s="65">
        <f>Calc!$FE$12</f>
        <v/>
      </c>
      <c r="E10" s="65">
        <f>Calc!$FF$12</f>
        <v/>
      </c>
      <c r="F10" s="65">
        <f>Calc!$FG$12</f>
        <v/>
      </c>
      <c r="G10" s="65">
        <f>Calc!$FH$12</f>
        <v/>
      </c>
      <c r="H10" s="65">
        <f>Calc!$FI$12</f>
        <v/>
      </c>
      <c r="I10" s="65">
        <f>Calc!$FJ$12</f>
        <v/>
      </c>
      <c r="J10" s="65">
        <f>Calc!$FK$12</f>
        <v/>
      </c>
      <c r="K10" s="65">
        <f>Calc!$FL$12</f>
        <v/>
      </c>
      <c r="L10" s="65">
        <f>Calc!$FM$12</f>
        <v/>
      </c>
      <c r="M10" s="66">
        <f>Calc!$FN$12</f>
        <v/>
      </c>
      <c r="N10" s="66">
        <f>Calc!$FO$12</f>
        <v/>
      </c>
      <c r="O10" s="65">
        <f>Calc!$FP$12</f>
        <v/>
      </c>
      <c r="P10" s="67">
        <f>Calc!$FQ$12</f>
        <v/>
      </c>
      <c r="Q10" s="68">
        <f>Calc!$FR$12</f>
        <v/>
      </c>
      <c r="R10" s="65">
        <f>Calc!$FS$12</f>
        <v/>
      </c>
      <c r="T10">
        <f>Calc!$EY$12</f>
        <v/>
      </c>
      <c r="U10">
        <f>Calc!$FT$12</f>
        <v/>
      </c>
      <c r="V10">
        <f>Calc!$FU$12</f>
        <v/>
      </c>
      <c r="W10">
        <f>Calc!$FC$12</f>
        <v/>
      </c>
      <c r="X10">
        <f>Calc!$EZ$12</f>
        <v/>
      </c>
      <c r="Y10">
        <f>Calc!$FA$12</f>
        <v/>
      </c>
      <c r="Z10">
        <f>Calc!$FV$12</f>
        <v/>
      </c>
      <c r="AA10">
        <f>IF($T10&lt;&gt;"row",0,IF($V10=1,IF($X10=1,IF($Y10=1,1,2),IF($Y10=1,3,4)),IF($X10=1,IF($Y10=1,5,6),IF($Y10=1,7,8))))</f>
        <v/>
      </c>
    </row>
    <row r="11" ht="11.25" customHeight="1">
      <c r="A11" s="64">
        <f>Calc!$FB$13</f>
        <v/>
      </c>
      <c r="B11" s="64">
        <f>Calc!$FC$13</f>
        <v/>
      </c>
      <c r="C11" s="65">
        <f>Calc!$FD$13</f>
        <v/>
      </c>
      <c r="D11" s="65">
        <f>Calc!$FE$13</f>
        <v/>
      </c>
      <c r="E11" s="65">
        <f>Calc!$FF$13</f>
        <v/>
      </c>
      <c r="F11" s="65">
        <f>Calc!$FG$13</f>
        <v/>
      </c>
      <c r="G11" s="65">
        <f>Calc!$FH$13</f>
        <v/>
      </c>
      <c r="H11" s="65">
        <f>Calc!$FI$13</f>
        <v/>
      </c>
      <c r="I11" s="65">
        <f>Calc!$FJ$13</f>
        <v/>
      </c>
      <c r="J11" s="65">
        <f>Calc!$FK$13</f>
        <v/>
      </c>
      <c r="K11" s="65">
        <f>Calc!$FL$13</f>
        <v/>
      </c>
      <c r="L11" s="65">
        <f>Calc!$FM$13</f>
        <v/>
      </c>
      <c r="M11" s="66">
        <f>Calc!$FN$13</f>
        <v/>
      </c>
      <c r="N11" s="66">
        <f>Calc!$FO$13</f>
        <v/>
      </c>
      <c r="O11" s="65">
        <f>Calc!$FP$13</f>
        <v/>
      </c>
      <c r="P11" s="67">
        <f>Calc!$FQ$13</f>
        <v/>
      </c>
      <c r="Q11" s="68">
        <f>Calc!$FR$13</f>
        <v/>
      </c>
      <c r="R11" s="65">
        <f>Calc!$FS$13</f>
        <v/>
      </c>
      <c r="T11">
        <f>Calc!$EY$13</f>
        <v/>
      </c>
      <c r="U11">
        <f>Calc!$FT$13</f>
        <v/>
      </c>
      <c r="V11">
        <f>Calc!$FU$13</f>
        <v/>
      </c>
      <c r="W11">
        <f>Calc!$FC$13</f>
        <v/>
      </c>
      <c r="X11">
        <f>Calc!$EZ$13</f>
        <v/>
      </c>
      <c r="Y11">
        <f>Calc!$FA$13</f>
        <v/>
      </c>
      <c r="Z11">
        <f>Calc!$FV$13</f>
        <v/>
      </c>
      <c r="AA11">
        <f>IF($T11&lt;&gt;"row",0,IF($V11=1,IF($X11=1,IF($Y11=1,1,2),IF($Y11=1,3,4)),IF($X11=1,IF($Y11=1,5,6),IF($Y11=1,7,8))))</f>
        <v/>
      </c>
    </row>
    <row r="12" ht="11.25" customHeight="1">
      <c r="A12" s="64">
        <f>Calc!$FB$14</f>
        <v/>
      </c>
      <c r="B12" s="64">
        <f>Calc!$FC$14</f>
        <v/>
      </c>
      <c r="C12" s="65">
        <f>Calc!$FD$14</f>
        <v/>
      </c>
      <c r="D12" s="65">
        <f>Calc!$FE$14</f>
        <v/>
      </c>
      <c r="E12" s="65">
        <f>Calc!$FF$14</f>
        <v/>
      </c>
      <c r="F12" s="65">
        <f>Calc!$FG$14</f>
        <v/>
      </c>
      <c r="G12" s="65">
        <f>Calc!$FH$14</f>
        <v/>
      </c>
      <c r="H12" s="65">
        <f>Calc!$FI$14</f>
        <v/>
      </c>
      <c r="I12" s="65">
        <f>Calc!$FJ$14</f>
        <v/>
      </c>
      <c r="J12" s="65">
        <f>Calc!$FK$14</f>
        <v/>
      </c>
      <c r="K12" s="65">
        <f>Calc!$FL$14</f>
        <v/>
      </c>
      <c r="L12" s="65">
        <f>Calc!$FM$14</f>
        <v/>
      </c>
      <c r="M12" s="66">
        <f>Calc!$FN$14</f>
        <v/>
      </c>
      <c r="N12" s="66">
        <f>Calc!$FO$14</f>
        <v/>
      </c>
      <c r="O12" s="65">
        <f>Calc!$FP$14</f>
        <v/>
      </c>
      <c r="P12" s="67">
        <f>Calc!$FQ$14</f>
        <v/>
      </c>
      <c r="Q12" s="68">
        <f>Calc!$FR$14</f>
        <v/>
      </c>
      <c r="R12" s="65">
        <f>Calc!$FS$14</f>
        <v/>
      </c>
      <c r="T12">
        <f>Calc!$EY$14</f>
        <v/>
      </c>
      <c r="U12">
        <f>Calc!$FT$14</f>
        <v/>
      </c>
      <c r="V12">
        <f>Calc!$FU$14</f>
        <v/>
      </c>
      <c r="W12">
        <f>Calc!$FC$14</f>
        <v/>
      </c>
      <c r="X12">
        <f>Calc!$EZ$14</f>
        <v/>
      </c>
      <c r="Y12">
        <f>Calc!$FA$14</f>
        <v/>
      </c>
      <c r="Z12">
        <f>Calc!$FV$14</f>
        <v/>
      </c>
      <c r="AA12">
        <f>IF($T12&lt;&gt;"row",0,IF($V12=1,IF($X12=1,IF($Y12=1,1,2),IF($Y12=1,3,4)),IF($X12=1,IF($Y12=1,5,6),IF($Y12=1,7,8))))</f>
        <v/>
      </c>
    </row>
    <row r="13" ht="11.25" customHeight="1">
      <c r="A13" s="64">
        <f>Calc!$FB$15</f>
        <v/>
      </c>
      <c r="B13" s="64">
        <f>Calc!$FC$15</f>
        <v/>
      </c>
      <c r="C13" s="65">
        <f>Calc!$FD$15</f>
        <v/>
      </c>
      <c r="D13" s="65">
        <f>Calc!$FE$15</f>
        <v/>
      </c>
      <c r="E13" s="65">
        <f>Calc!$FF$15</f>
        <v/>
      </c>
      <c r="F13" s="65">
        <f>Calc!$FG$15</f>
        <v/>
      </c>
      <c r="G13" s="65">
        <f>Calc!$FH$15</f>
        <v/>
      </c>
      <c r="H13" s="65">
        <f>Calc!$FI$15</f>
        <v/>
      </c>
      <c r="I13" s="65">
        <f>Calc!$FJ$15</f>
        <v/>
      </c>
      <c r="J13" s="65">
        <f>Calc!$FK$15</f>
        <v/>
      </c>
      <c r="K13" s="65">
        <f>Calc!$FL$15</f>
        <v/>
      </c>
      <c r="L13" s="65">
        <f>Calc!$FM$15</f>
        <v/>
      </c>
      <c r="M13" s="66">
        <f>Calc!$FN$15</f>
        <v/>
      </c>
      <c r="N13" s="66">
        <f>Calc!$FO$15</f>
        <v/>
      </c>
      <c r="O13" s="65">
        <f>Calc!$FP$15</f>
        <v/>
      </c>
      <c r="P13" s="67">
        <f>Calc!$FQ$15</f>
        <v/>
      </c>
      <c r="Q13" s="68">
        <f>Calc!$FR$15</f>
        <v/>
      </c>
      <c r="R13" s="65">
        <f>Calc!$FS$15</f>
        <v/>
      </c>
      <c r="T13">
        <f>Calc!$EY$15</f>
        <v/>
      </c>
      <c r="U13">
        <f>Calc!$FT$15</f>
        <v/>
      </c>
      <c r="V13">
        <f>Calc!$FU$15</f>
        <v/>
      </c>
      <c r="W13">
        <f>Calc!$FC$15</f>
        <v/>
      </c>
      <c r="X13">
        <f>Calc!$EZ$15</f>
        <v/>
      </c>
      <c r="Y13">
        <f>Calc!$FA$15</f>
        <v/>
      </c>
      <c r="Z13">
        <f>Calc!$FV$15</f>
        <v/>
      </c>
      <c r="AA13">
        <f>IF($T13&lt;&gt;"row",0,IF($V13=1,IF($X13=1,IF($Y13=1,1,2),IF($Y13=1,3,4)),IF($X13=1,IF($Y13=1,5,6),IF($Y13=1,7,8))))</f>
        <v/>
      </c>
    </row>
    <row r="14" ht="11.25" customHeight="1">
      <c r="A14" s="64">
        <f>Calc!$FB$16</f>
        <v/>
      </c>
      <c r="B14" s="64">
        <f>Calc!$FC$16</f>
        <v/>
      </c>
      <c r="C14" s="65">
        <f>Calc!$FD$16</f>
        <v/>
      </c>
      <c r="D14" s="65">
        <f>Calc!$FE$16</f>
        <v/>
      </c>
      <c r="E14" s="65">
        <f>Calc!$FF$16</f>
        <v/>
      </c>
      <c r="F14" s="65">
        <f>Calc!$FG$16</f>
        <v/>
      </c>
      <c r="G14" s="65">
        <f>Calc!$FH$16</f>
        <v/>
      </c>
      <c r="H14" s="65">
        <f>Calc!$FI$16</f>
        <v/>
      </c>
      <c r="I14" s="65">
        <f>Calc!$FJ$16</f>
        <v/>
      </c>
      <c r="J14" s="65">
        <f>Calc!$FK$16</f>
        <v/>
      </c>
      <c r="K14" s="65">
        <f>Calc!$FL$16</f>
        <v/>
      </c>
      <c r="L14" s="65">
        <f>Calc!$FM$16</f>
        <v/>
      </c>
      <c r="M14" s="66">
        <f>Calc!$FN$16</f>
        <v/>
      </c>
      <c r="N14" s="66">
        <f>Calc!$FO$16</f>
        <v/>
      </c>
      <c r="O14" s="65">
        <f>Calc!$FP$16</f>
        <v/>
      </c>
      <c r="P14" s="67">
        <f>Calc!$FQ$16</f>
        <v/>
      </c>
      <c r="Q14" s="68">
        <f>Calc!$FR$16</f>
        <v/>
      </c>
      <c r="R14" s="65">
        <f>Calc!$FS$16</f>
        <v/>
      </c>
      <c r="T14">
        <f>Calc!$EY$16</f>
        <v/>
      </c>
      <c r="U14">
        <f>Calc!$FT$16</f>
        <v/>
      </c>
      <c r="V14">
        <f>Calc!$FU$16</f>
        <v/>
      </c>
      <c r="W14">
        <f>Calc!$FC$16</f>
        <v/>
      </c>
      <c r="X14">
        <f>Calc!$EZ$16</f>
        <v/>
      </c>
      <c r="Y14">
        <f>Calc!$FA$16</f>
        <v/>
      </c>
      <c r="Z14">
        <f>Calc!$FV$16</f>
        <v/>
      </c>
      <c r="AA14">
        <f>IF($T14&lt;&gt;"row",0,IF($V14=1,IF($X14=1,IF($Y14=1,1,2),IF($Y14=1,3,4)),IF($X14=1,IF($Y14=1,5,6),IF($Y14=1,7,8))))</f>
        <v/>
      </c>
    </row>
    <row r="15" ht="11.25" customHeight="1">
      <c r="A15" s="64">
        <f>Calc!$FB$17</f>
        <v/>
      </c>
      <c r="B15" s="64">
        <f>Calc!$FC$17</f>
        <v/>
      </c>
      <c r="C15" s="65">
        <f>Calc!$FD$17</f>
        <v/>
      </c>
      <c r="D15" s="65">
        <f>Calc!$FE$17</f>
        <v/>
      </c>
      <c r="E15" s="65">
        <f>Calc!$FF$17</f>
        <v/>
      </c>
      <c r="F15" s="65">
        <f>Calc!$FG$17</f>
        <v/>
      </c>
      <c r="G15" s="65">
        <f>Calc!$FH$17</f>
        <v/>
      </c>
      <c r="H15" s="65">
        <f>Calc!$FI$17</f>
        <v/>
      </c>
      <c r="I15" s="65">
        <f>Calc!$FJ$17</f>
        <v/>
      </c>
      <c r="J15" s="65">
        <f>Calc!$FK$17</f>
        <v/>
      </c>
      <c r="K15" s="65">
        <f>Calc!$FL$17</f>
        <v/>
      </c>
      <c r="L15" s="65">
        <f>Calc!$FM$17</f>
        <v/>
      </c>
      <c r="M15" s="66">
        <f>Calc!$FN$17</f>
        <v/>
      </c>
      <c r="N15" s="66">
        <f>Calc!$FO$17</f>
        <v/>
      </c>
      <c r="O15" s="65">
        <f>Calc!$FP$17</f>
        <v/>
      </c>
      <c r="P15" s="67">
        <f>Calc!$FQ$17</f>
        <v/>
      </c>
      <c r="Q15" s="68">
        <f>Calc!$FR$17</f>
        <v/>
      </c>
      <c r="R15" s="65">
        <f>Calc!$FS$17</f>
        <v/>
      </c>
      <c r="T15">
        <f>Calc!$EY$17</f>
        <v/>
      </c>
      <c r="U15">
        <f>Calc!$FT$17</f>
        <v/>
      </c>
      <c r="V15">
        <f>Calc!$FU$17</f>
        <v/>
      </c>
      <c r="W15">
        <f>Calc!$FC$17</f>
        <v/>
      </c>
      <c r="X15">
        <f>Calc!$EZ$17</f>
        <v/>
      </c>
      <c r="Y15">
        <f>Calc!$FA$17</f>
        <v/>
      </c>
      <c r="Z15">
        <f>Calc!$FV$17</f>
        <v/>
      </c>
      <c r="AA15">
        <f>IF($T15&lt;&gt;"row",0,IF($V15=1,IF($X15=1,IF($Y15=1,1,2),IF($Y15=1,3,4)),IF($X15=1,IF($Y15=1,5,6),IF($Y15=1,7,8))))</f>
        <v/>
      </c>
    </row>
    <row r="16" ht="11.25" customHeight="1">
      <c r="A16" s="64">
        <f>Calc!$FB$18</f>
        <v/>
      </c>
      <c r="B16" s="64">
        <f>Calc!$FC$18</f>
        <v/>
      </c>
      <c r="C16" s="65">
        <f>Calc!$FD$18</f>
        <v/>
      </c>
      <c r="D16" s="65">
        <f>Calc!$FE$18</f>
        <v/>
      </c>
      <c r="E16" s="65">
        <f>Calc!$FF$18</f>
        <v/>
      </c>
      <c r="F16" s="65">
        <f>Calc!$FG$18</f>
        <v/>
      </c>
      <c r="G16" s="65">
        <f>Calc!$FH$18</f>
        <v/>
      </c>
      <c r="H16" s="65">
        <f>Calc!$FI$18</f>
        <v/>
      </c>
      <c r="I16" s="65">
        <f>Calc!$FJ$18</f>
        <v/>
      </c>
      <c r="J16" s="65">
        <f>Calc!$FK$18</f>
        <v/>
      </c>
      <c r="K16" s="65">
        <f>Calc!$FL$18</f>
        <v/>
      </c>
      <c r="L16" s="65">
        <f>Calc!$FM$18</f>
        <v/>
      </c>
      <c r="M16" s="66">
        <f>Calc!$FN$18</f>
        <v/>
      </c>
      <c r="N16" s="66">
        <f>Calc!$FO$18</f>
        <v/>
      </c>
      <c r="O16" s="65">
        <f>Calc!$FP$18</f>
        <v/>
      </c>
      <c r="P16" s="67">
        <f>Calc!$FQ$18</f>
        <v/>
      </c>
      <c r="Q16" s="68">
        <f>Calc!$FR$18</f>
        <v/>
      </c>
      <c r="R16" s="65">
        <f>Calc!$FS$18</f>
        <v/>
      </c>
      <c r="T16">
        <f>Calc!$EY$18</f>
        <v/>
      </c>
      <c r="U16">
        <f>Calc!$FT$18</f>
        <v/>
      </c>
      <c r="V16">
        <f>Calc!$FU$18</f>
        <v/>
      </c>
      <c r="W16">
        <f>Calc!$FC$18</f>
        <v/>
      </c>
      <c r="X16">
        <f>Calc!$EZ$18</f>
        <v/>
      </c>
      <c r="Y16">
        <f>Calc!$FA$18</f>
        <v/>
      </c>
      <c r="Z16">
        <f>Calc!$FV$18</f>
        <v/>
      </c>
      <c r="AA16">
        <f>IF($T16&lt;&gt;"row",0,IF($V16=1,IF($X16=1,IF($Y16=1,1,2),IF($Y16=1,3,4)),IF($X16=1,IF($Y16=1,5,6),IF($Y16=1,7,8))))</f>
        <v/>
      </c>
    </row>
    <row r="17" ht="11.25" customHeight="1">
      <c r="A17" s="64">
        <f>Calc!$FB$19</f>
        <v/>
      </c>
      <c r="B17" s="64">
        <f>Calc!$FC$19</f>
        <v/>
      </c>
      <c r="C17" s="65">
        <f>Calc!$FD$19</f>
        <v/>
      </c>
      <c r="D17" s="65">
        <f>Calc!$FE$19</f>
        <v/>
      </c>
      <c r="E17" s="65">
        <f>Calc!$FF$19</f>
        <v/>
      </c>
      <c r="F17" s="65">
        <f>Calc!$FG$19</f>
        <v/>
      </c>
      <c r="G17" s="65">
        <f>Calc!$FH$19</f>
        <v/>
      </c>
      <c r="H17" s="65">
        <f>Calc!$FI$19</f>
        <v/>
      </c>
      <c r="I17" s="65">
        <f>Calc!$FJ$19</f>
        <v/>
      </c>
      <c r="J17" s="65">
        <f>Calc!$FK$19</f>
        <v/>
      </c>
      <c r="K17" s="65">
        <f>Calc!$FL$19</f>
        <v/>
      </c>
      <c r="L17" s="65">
        <f>Calc!$FM$19</f>
        <v/>
      </c>
      <c r="M17" s="66">
        <f>Calc!$FN$19</f>
        <v/>
      </c>
      <c r="N17" s="66">
        <f>Calc!$FO$19</f>
        <v/>
      </c>
      <c r="O17" s="65">
        <f>Calc!$FP$19</f>
        <v/>
      </c>
      <c r="P17" s="67">
        <f>Calc!$FQ$19</f>
        <v/>
      </c>
      <c r="Q17" s="68">
        <f>Calc!$FR$19</f>
        <v/>
      </c>
      <c r="R17" s="65">
        <f>Calc!$FS$19</f>
        <v/>
      </c>
      <c r="T17">
        <f>Calc!$EY$19</f>
        <v/>
      </c>
      <c r="U17">
        <f>Calc!$FT$19</f>
        <v/>
      </c>
      <c r="V17">
        <f>Calc!$FU$19</f>
        <v/>
      </c>
      <c r="W17">
        <f>Calc!$FC$19</f>
        <v/>
      </c>
      <c r="X17">
        <f>Calc!$EZ$19</f>
        <v/>
      </c>
      <c r="Y17">
        <f>Calc!$FA$19</f>
        <v/>
      </c>
      <c r="Z17">
        <f>Calc!$FV$19</f>
        <v/>
      </c>
      <c r="AA17">
        <f>IF($T17&lt;&gt;"row",0,IF($V17=1,IF($X17=1,IF($Y17=1,1,2),IF($Y17=1,3,4)),IF($X17=1,IF($Y17=1,5,6),IF($Y17=1,7,8))))</f>
        <v/>
      </c>
    </row>
    <row r="18" ht="11.25" customHeight="1">
      <c r="A18" s="64">
        <f>Calc!$FB$20</f>
        <v/>
      </c>
      <c r="B18" s="64">
        <f>Calc!$FC$20</f>
        <v/>
      </c>
      <c r="C18" s="65">
        <f>Calc!$FD$20</f>
        <v/>
      </c>
      <c r="D18" s="65">
        <f>Calc!$FE$20</f>
        <v/>
      </c>
      <c r="E18" s="65">
        <f>Calc!$FF$20</f>
        <v/>
      </c>
      <c r="F18" s="65">
        <f>Calc!$FG$20</f>
        <v/>
      </c>
      <c r="G18" s="65">
        <f>Calc!$FH$20</f>
        <v/>
      </c>
      <c r="H18" s="65">
        <f>Calc!$FI$20</f>
        <v/>
      </c>
      <c r="I18" s="65">
        <f>Calc!$FJ$20</f>
        <v/>
      </c>
      <c r="J18" s="65">
        <f>Calc!$FK$20</f>
        <v/>
      </c>
      <c r="K18" s="65">
        <f>Calc!$FL$20</f>
        <v/>
      </c>
      <c r="L18" s="65">
        <f>Calc!$FM$20</f>
        <v/>
      </c>
      <c r="M18" s="66">
        <f>Calc!$FN$20</f>
        <v/>
      </c>
      <c r="N18" s="66">
        <f>Calc!$FO$20</f>
        <v/>
      </c>
      <c r="O18" s="65">
        <f>Calc!$FP$20</f>
        <v/>
      </c>
      <c r="P18" s="67">
        <f>Calc!$FQ$20</f>
        <v/>
      </c>
      <c r="Q18" s="68">
        <f>Calc!$FR$20</f>
        <v/>
      </c>
      <c r="R18" s="65">
        <f>Calc!$FS$20</f>
        <v/>
      </c>
      <c r="T18">
        <f>Calc!$EY$20</f>
        <v/>
      </c>
      <c r="U18">
        <f>Calc!$FT$20</f>
        <v/>
      </c>
      <c r="V18">
        <f>Calc!$FU$20</f>
        <v/>
      </c>
      <c r="W18">
        <f>Calc!$FC$20</f>
        <v/>
      </c>
      <c r="X18">
        <f>Calc!$EZ$20</f>
        <v/>
      </c>
      <c r="Y18">
        <f>Calc!$FA$20</f>
        <v/>
      </c>
      <c r="Z18">
        <f>Calc!$FV$20</f>
        <v/>
      </c>
      <c r="AA18">
        <f>IF($T18&lt;&gt;"row",0,IF($V18=1,IF($X18=1,IF($Y18=1,1,2),IF($Y18=1,3,4)),IF($X18=1,IF($Y18=1,5,6),IF($Y18=1,7,8))))</f>
        <v/>
      </c>
    </row>
    <row r="19" ht="11.25" customHeight="1">
      <c r="A19" s="64">
        <f>Calc!$FB$21</f>
        <v/>
      </c>
      <c r="B19" s="64">
        <f>Calc!$FC$21</f>
        <v/>
      </c>
      <c r="C19" s="65">
        <f>Calc!$FD$21</f>
        <v/>
      </c>
      <c r="D19" s="65">
        <f>Calc!$FE$21</f>
        <v/>
      </c>
      <c r="E19" s="65">
        <f>Calc!$FF$21</f>
        <v/>
      </c>
      <c r="F19" s="65">
        <f>Calc!$FG$21</f>
        <v/>
      </c>
      <c r="G19" s="65">
        <f>Calc!$FH$21</f>
        <v/>
      </c>
      <c r="H19" s="65">
        <f>Calc!$FI$21</f>
        <v/>
      </c>
      <c r="I19" s="65">
        <f>Calc!$FJ$21</f>
        <v/>
      </c>
      <c r="J19" s="65">
        <f>Calc!$FK$21</f>
        <v/>
      </c>
      <c r="K19" s="65">
        <f>Calc!$FL$21</f>
        <v/>
      </c>
      <c r="L19" s="65">
        <f>Calc!$FM$21</f>
        <v/>
      </c>
      <c r="M19" s="66">
        <f>Calc!$FN$21</f>
        <v/>
      </c>
      <c r="N19" s="66">
        <f>Calc!$FO$21</f>
        <v/>
      </c>
      <c r="O19" s="65">
        <f>Calc!$FP$21</f>
        <v/>
      </c>
      <c r="P19" s="67">
        <f>Calc!$FQ$21</f>
        <v/>
      </c>
      <c r="Q19" s="68">
        <f>Calc!$FR$21</f>
        <v/>
      </c>
      <c r="R19" s="65">
        <f>Calc!$FS$21</f>
        <v/>
      </c>
      <c r="T19">
        <f>Calc!$EY$21</f>
        <v/>
      </c>
      <c r="U19">
        <f>Calc!$FT$21</f>
        <v/>
      </c>
      <c r="V19">
        <f>Calc!$FU$21</f>
        <v/>
      </c>
      <c r="W19">
        <f>Calc!$FC$21</f>
        <v/>
      </c>
      <c r="X19">
        <f>Calc!$EZ$21</f>
        <v/>
      </c>
      <c r="Y19">
        <f>Calc!$FA$21</f>
        <v/>
      </c>
      <c r="Z19">
        <f>Calc!$FV$21</f>
        <v/>
      </c>
      <c r="AA19">
        <f>IF($T19&lt;&gt;"row",0,IF($V19=1,IF($X19=1,IF($Y19=1,1,2),IF($Y19=1,3,4)),IF($X19=1,IF($Y19=1,5,6),IF($Y19=1,7,8))))</f>
        <v/>
      </c>
    </row>
    <row r="20" ht="11.25" customHeight="1">
      <c r="A20" s="64">
        <f>Calc!$FB$22</f>
        <v/>
      </c>
      <c r="B20" s="64">
        <f>Calc!$FC$22</f>
        <v/>
      </c>
      <c r="C20" s="65">
        <f>Calc!$FD$22</f>
        <v/>
      </c>
      <c r="D20" s="65">
        <f>Calc!$FE$22</f>
        <v/>
      </c>
      <c r="E20" s="65">
        <f>Calc!$FF$22</f>
        <v/>
      </c>
      <c r="F20" s="65">
        <f>Calc!$FG$22</f>
        <v/>
      </c>
      <c r="G20" s="65">
        <f>Calc!$FH$22</f>
        <v/>
      </c>
      <c r="H20" s="65">
        <f>Calc!$FI$22</f>
        <v/>
      </c>
      <c r="I20" s="65">
        <f>Calc!$FJ$22</f>
        <v/>
      </c>
      <c r="J20" s="65">
        <f>Calc!$FK$22</f>
        <v/>
      </c>
      <c r="K20" s="65">
        <f>Calc!$FL$22</f>
        <v/>
      </c>
      <c r="L20" s="65">
        <f>Calc!$FM$22</f>
        <v/>
      </c>
      <c r="M20" s="66">
        <f>Calc!$FN$22</f>
        <v/>
      </c>
      <c r="N20" s="66">
        <f>Calc!$FO$22</f>
        <v/>
      </c>
      <c r="O20" s="65">
        <f>Calc!$FP$22</f>
        <v/>
      </c>
      <c r="P20" s="67">
        <f>Calc!$FQ$22</f>
        <v/>
      </c>
      <c r="Q20" s="68">
        <f>Calc!$FR$22</f>
        <v/>
      </c>
      <c r="R20" s="65">
        <f>Calc!$FS$22</f>
        <v/>
      </c>
      <c r="T20">
        <f>Calc!$EY$22</f>
        <v/>
      </c>
      <c r="U20">
        <f>Calc!$FT$22</f>
        <v/>
      </c>
      <c r="V20">
        <f>Calc!$FU$22</f>
        <v/>
      </c>
      <c r="W20">
        <f>Calc!$FC$22</f>
        <v/>
      </c>
      <c r="X20">
        <f>Calc!$EZ$22</f>
        <v/>
      </c>
      <c r="Y20">
        <f>Calc!$FA$22</f>
        <v/>
      </c>
      <c r="Z20">
        <f>Calc!$FV$22</f>
        <v/>
      </c>
      <c r="AA20">
        <f>IF($T20&lt;&gt;"row",0,IF($V20=1,IF($X20=1,IF($Y20=1,1,2),IF($Y20=1,3,4)),IF($X20=1,IF($Y20=1,5,6),IF($Y20=1,7,8))))</f>
        <v/>
      </c>
    </row>
    <row r="21" ht="11.25" customHeight="1">
      <c r="A21" s="64">
        <f>Calc!$FB$23</f>
        <v/>
      </c>
      <c r="B21" s="64">
        <f>Calc!$FC$23</f>
        <v/>
      </c>
      <c r="C21" s="65">
        <f>Calc!$FD$23</f>
        <v/>
      </c>
      <c r="D21" s="65">
        <f>Calc!$FE$23</f>
        <v/>
      </c>
      <c r="E21" s="65">
        <f>Calc!$FF$23</f>
        <v/>
      </c>
      <c r="F21" s="65">
        <f>Calc!$FG$23</f>
        <v/>
      </c>
      <c r="G21" s="65">
        <f>Calc!$FH$23</f>
        <v/>
      </c>
      <c r="H21" s="65">
        <f>Calc!$FI$23</f>
        <v/>
      </c>
      <c r="I21" s="65">
        <f>Calc!$FJ$23</f>
        <v/>
      </c>
      <c r="J21" s="65">
        <f>Calc!$FK$23</f>
        <v/>
      </c>
      <c r="K21" s="65">
        <f>Calc!$FL$23</f>
        <v/>
      </c>
      <c r="L21" s="65">
        <f>Calc!$FM$23</f>
        <v/>
      </c>
      <c r="M21" s="66">
        <f>Calc!$FN$23</f>
        <v/>
      </c>
      <c r="N21" s="66">
        <f>Calc!$FO$23</f>
        <v/>
      </c>
      <c r="O21" s="65">
        <f>Calc!$FP$23</f>
        <v/>
      </c>
      <c r="P21" s="67">
        <f>Calc!$FQ$23</f>
        <v/>
      </c>
      <c r="Q21" s="68">
        <f>Calc!$FR$23</f>
        <v/>
      </c>
      <c r="R21" s="65">
        <f>Calc!$FS$23</f>
        <v/>
      </c>
      <c r="T21">
        <f>Calc!$EY$23</f>
        <v/>
      </c>
      <c r="U21">
        <f>Calc!$FT$23</f>
        <v/>
      </c>
      <c r="V21">
        <f>Calc!$FU$23</f>
        <v/>
      </c>
      <c r="W21">
        <f>Calc!$FC$23</f>
        <v/>
      </c>
      <c r="X21">
        <f>Calc!$EZ$23</f>
        <v/>
      </c>
      <c r="Y21">
        <f>Calc!$FA$23</f>
        <v/>
      </c>
      <c r="Z21">
        <f>Calc!$FV$23</f>
        <v/>
      </c>
      <c r="AA21">
        <f>IF($T21&lt;&gt;"row",0,IF($V21=1,IF($X21=1,IF($Y21=1,1,2),IF($Y21=1,3,4)),IF($X21=1,IF($Y21=1,5,6),IF($Y21=1,7,8))))</f>
        <v/>
      </c>
    </row>
    <row r="22" ht="11.25" customHeight="1">
      <c r="A22" s="64">
        <f>Calc!$FB$24</f>
        <v/>
      </c>
      <c r="B22" s="64">
        <f>Calc!$FC$24</f>
        <v/>
      </c>
      <c r="C22" s="65">
        <f>Calc!$FD$24</f>
        <v/>
      </c>
      <c r="D22" s="65">
        <f>Calc!$FE$24</f>
        <v/>
      </c>
      <c r="E22" s="65">
        <f>Calc!$FF$24</f>
        <v/>
      </c>
      <c r="F22" s="65">
        <f>Calc!$FG$24</f>
        <v/>
      </c>
      <c r="G22" s="65">
        <f>Calc!$FH$24</f>
        <v/>
      </c>
      <c r="H22" s="65">
        <f>Calc!$FI$24</f>
        <v/>
      </c>
      <c r="I22" s="65">
        <f>Calc!$FJ$24</f>
        <v/>
      </c>
      <c r="J22" s="65">
        <f>Calc!$FK$24</f>
        <v/>
      </c>
      <c r="K22" s="65">
        <f>Calc!$FL$24</f>
        <v/>
      </c>
      <c r="L22" s="65">
        <f>Calc!$FM$24</f>
        <v/>
      </c>
      <c r="M22" s="66">
        <f>Calc!$FN$24</f>
        <v/>
      </c>
      <c r="N22" s="66">
        <f>Calc!$FO$24</f>
        <v/>
      </c>
      <c r="O22" s="65">
        <f>Calc!$FP$24</f>
        <v/>
      </c>
      <c r="P22" s="67">
        <f>Calc!$FQ$24</f>
        <v/>
      </c>
      <c r="Q22" s="68">
        <f>Calc!$FR$24</f>
        <v/>
      </c>
      <c r="R22" s="65">
        <f>Calc!$FS$24</f>
        <v/>
      </c>
      <c r="T22">
        <f>Calc!$EY$24</f>
        <v/>
      </c>
      <c r="U22">
        <f>Calc!$FT$24</f>
        <v/>
      </c>
      <c r="V22">
        <f>Calc!$FU$24</f>
        <v/>
      </c>
      <c r="W22">
        <f>Calc!$FC$24</f>
        <v/>
      </c>
      <c r="X22">
        <f>Calc!$EZ$24</f>
        <v/>
      </c>
      <c r="Y22">
        <f>Calc!$FA$24</f>
        <v/>
      </c>
      <c r="Z22">
        <f>Calc!$FV$24</f>
        <v/>
      </c>
      <c r="AA22">
        <f>IF($T22&lt;&gt;"row",0,IF($V22=1,IF($X22=1,IF($Y22=1,1,2),IF($Y22=1,3,4)),IF($X22=1,IF($Y22=1,5,6),IF($Y22=1,7,8))))</f>
        <v/>
      </c>
    </row>
    <row r="23" ht="11.25" customHeight="1">
      <c r="A23" s="64">
        <f>Calc!$FB$25</f>
        <v/>
      </c>
      <c r="B23" s="64">
        <f>Calc!$FC$25</f>
        <v/>
      </c>
      <c r="C23" s="65">
        <f>Calc!$FD$25</f>
        <v/>
      </c>
      <c r="D23" s="65">
        <f>Calc!$FE$25</f>
        <v/>
      </c>
      <c r="E23" s="65">
        <f>Calc!$FF$25</f>
        <v/>
      </c>
      <c r="F23" s="65">
        <f>Calc!$FG$25</f>
        <v/>
      </c>
      <c r="G23" s="65">
        <f>Calc!$FH$25</f>
        <v/>
      </c>
      <c r="H23" s="65">
        <f>Calc!$FI$25</f>
        <v/>
      </c>
      <c r="I23" s="65">
        <f>Calc!$FJ$25</f>
        <v/>
      </c>
      <c r="J23" s="65">
        <f>Calc!$FK$25</f>
        <v/>
      </c>
      <c r="K23" s="65">
        <f>Calc!$FL$25</f>
        <v/>
      </c>
      <c r="L23" s="65">
        <f>Calc!$FM$25</f>
        <v/>
      </c>
      <c r="M23" s="66">
        <f>Calc!$FN$25</f>
        <v/>
      </c>
      <c r="N23" s="66">
        <f>Calc!$FO$25</f>
        <v/>
      </c>
      <c r="O23" s="65">
        <f>Calc!$FP$25</f>
        <v/>
      </c>
      <c r="P23" s="67">
        <f>Calc!$FQ$25</f>
        <v/>
      </c>
      <c r="Q23" s="68">
        <f>Calc!$FR$25</f>
        <v/>
      </c>
      <c r="R23" s="65">
        <f>Calc!$FS$25</f>
        <v/>
      </c>
      <c r="T23">
        <f>Calc!$EY$25</f>
        <v/>
      </c>
      <c r="U23">
        <f>Calc!$FT$25</f>
        <v/>
      </c>
      <c r="V23">
        <f>Calc!$FU$25</f>
        <v/>
      </c>
      <c r="W23">
        <f>Calc!$FC$25</f>
        <v/>
      </c>
      <c r="X23">
        <f>Calc!$EZ$25</f>
        <v/>
      </c>
      <c r="Y23">
        <f>Calc!$FA$25</f>
        <v/>
      </c>
      <c r="Z23">
        <f>Calc!$FV$25</f>
        <v/>
      </c>
      <c r="AA23">
        <f>IF($T23&lt;&gt;"row",0,IF($V23=1,IF($X23=1,IF($Y23=1,1,2),IF($Y23=1,3,4)),IF($X23=1,IF($Y23=1,5,6),IF($Y23=1,7,8))))</f>
        <v/>
      </c>
    </row>
    <row r="24" ht="11.25" customHeight="1">
      <c r="A24" s="64">
        <f>Calc!$FB$26</f>
        <v/>
      </c>
      <c r="B24" s="64">
        <f>Calc!$FC$26</f>
        <v/>
      </c>
      <c r="C24" s="65">
        <f>Calc!$FD$26</f>
        <v/>
      </c>
      <c r="D24" s="65">
        <f>Calc!$FE$26</f>
        <v/>
      </c>
      <c r="E24" s="65">
        <f>Calc!$FF$26</f>
        <v/>
      </c>
      <c r="F24" s="65">
        <f>Calc!$FG$26</f>
        <v/>
      </c>
      <c r="G24" s="65">
        <f>Calc!$FH$26</f>
        <v/>
      </c>
      <c r="H24" s="65">
        <f>Calc!$FI$26</f>
        <v/>
      </c>
      <c r="I24" s="65">
        <f>Calc!$FJ$26</f>
        <v/>
      </c>
      <c r="J24" s="65">
        <f>Calc!$FK$26</f>
        <v/>
      </c>
      <c r="K24" s="65">
        <f>Calc!$FL$26</f>
        <v/>
      </c>
      <c r="L24" s="65">
        <f>Calc!$FM$26</f>
        <v/>
      </c>
      <c r="M24" s="66">
        <f>Calc!$FN$26</f>
        <v/>
      </c>
      <c r="N24" s="66">
        <f>Calc!$FO$26</f>
        <v/>
      </c>
      <c r="O24" s="65">
        <f>Calc!$FP$26</f>
        <v/>
      </c>
      <c r="P24" s="67">
        <f>Calc!$FQ$26</f>
        <v/>
      </c>
      <c r="Q24" s="68">
        <f>Calc!$FR$26</f>
        <v/>
      </c>
      <c r="R24" s="65">
        <f>Calc!$FS$26</f>
        <v/>
      </c>
      <c r="T24">
        <f>Calc!$EY$26</f>
        <v/>
      </c>
      <c r="U24">
        <f>Calc!$FT$26</f>
        <v/>
      </c>
      <c r="V24">
        <f>Calc!$FU$26</f>
        <v/>
      </c>
      <c r="W24">
        <f>Calc!$FC$26</f>
        <v/>
      </c>
      <c r="X24">
        <f>Calc!$EZ$26</f>
        <v/>
      </c>
      <c r="Y24">
        <f>Calc!$FA$26</f>
        <v/>
      </c>
      <c r="Z24">
        <f>Calc!$FV$26</f>
        <v/>
      </c>
      <c r="AA24">
        <f>IF($T24&lt;&gt;"row",0,IF($V24=1,IF($X24=1,IF($Y24=1,1,2),IF($Y24=1,3,4)),IF($X24=1,IF($Y24=1,5,6),IF($Y24=1,7,8))))</f>
        <v/>
      </c>
    </row>
    <row r="25" ht="11.25" customHeight="1">
      <c r="A25" s="64">
        <f>Calc!$FB$27</f>
        <v/>
      </c>
      <c r="B25" s="64">
        <f>Calc!$FC$27</f>
        <v/>
      </c>
      <c r="C25" s="65">
        <f>Calc!$FD$27</f>
        <v/>
      </c>
      <c r="D25" s="65">
        <f>Calc!$FE$27</f>
        <v/>
      </c>
      <c r="E25" s="65">
        <f>Calc!$FF$27</f>
        <v/>
      </c>
      <c r="F25" s="65">
        <f>Calc!$FG$27</f>
        <v/>
      </c>
      <c r="G25" s="65">
        <f>Calc!$FH$27</f>
        <v/>
      </c>
      <c r="H25" s="65">
        <f>Calc!$FI$27</f>
        <v/>
      </c>
      <c r="I25" s="65">
        <f>Calc!$FJ$27</f>
        <v/>
      </c>
      <c r="J25" s="65">
        <f>Calc!$FK$27</f>
        <v/>
      </c>
      <c r="K25" s="65">
        <f>Calc!$FL$27</f>
        <v/>
      </c>
      <c r="L25" s="65">
        <f>Calc!$FM$27</f>
        <v/>
      </c>
      <c r="M25" s="66">
        <f>Calc!$FN$27</f>
        <v/>
      </c>
      <c r="N25" s="66">
        <f>Calc!$FO$27</f>
        <v/>
      </c>
      <c r="O25" s="65">
        <f>Calc!$FP$27</f>
        <v/>
      </c>
      <c r="P25" s="67">
        <f>Calc!$FQ$27</f>
        <v/>
      </c>
      <c r="Q25" s="68">
        <f>Calc!$FR$27</f>
        <v/>
      </c>
      <c r="R25" s="65">
        <f>Calc!$FS$27</f>
        <v/>
      </c>
      <c r="T25">
        <f>Calc!$EY$27</f>
        <v/>
      </c>
      <c r="U25">
        <f>Calc!$FT$27</f>
        <v/>
      </c>
      <c r="V25">
        <f>Calc!$FU$27</f>
        <v/>
      </c>
      <c r="W25">
        <f>Calc!$FC$27</f>
        <v/>
      </c>
      <c r="X25">
        <f>Calc!$EZ$27</f>
        <v/>
      </c>
      <c r="Y25">
        <f>Calc!$FA$27</f>
        <v/>
      </c>
      <c r="Z25">
        <f>Calc!$FV$27</f>
        <v/>
      </c>
      <c r="AA25">
        <f>IF($T25&lt;&gt;"row",0,IF($V25=1,IF($X25=1,IF($Y25=1,1,2),IF($Y25=1,3,4)),IF($X25=1,IF($Y25=1,5,6),IF($Y25=1,7,8))))</f>
        <v/>
      </c>
    </row>
    <row r="26" ht="11.25" customHeight="1">
      <c r="A26" s="64">
        <f>Calc!$FB$28</f>
        <v/>
      </c>
      <c r="B26" s="64">
        <f>Calc!$FC$28</f>
        <v/>
      </c>
      <c r="C26" s="65">
        <f>Calc!$FD$28</f>
        <v/>
      </c>
      <c r="D26" s="65">
        <f>Calc!$FE$28</f>
        <v/>
      </c>
      <c r="E26" s="65">
        <f>Calc!$FF$28</f>
        <v/>
      </c>
      <c r="F26" s="65">
        <f>Calc!$FG$28</f>
        <v/>
      </c>
      <c r="G26" s="65">
        <f>Calc!$FH$28</f>
        <v/>
      </c>
      <c r="H26" s="65">
        <f>Calc!$FI$28</f>
        <v/>
      </c>
      <c r="I26" s="65">
        <f>Calc!$FJ$28</f>
        <v/>
      </c>
      <c r="J26" s="65">
        <f>Calc!$FK$28</f>
        <v/>
      </c>
      <c r="K26" s="65">
        <f>Calc!$FL$28</f>
        <v/>
      </c>
      <c r="L26" s="65">
        <f>Calc!$FM$28</f>
        <v/>
      </c>
      <c r="M26" s="66">
        <f>Calc!$FN$28</f>
        <v/>
      </c>
      <c r="N26" s="66">
        <f>Calc!$FO$28</f>
        <v/>
      </c>
      <c r="O26" s="65">
        <f>Calc!$FP$28</f>
        <v/>
      </c>
      <c r="P26" s="67">
        <f>Calc!$FQ$28</f>
        <v/>
      </c>
      <c r="Q26" s="68">
        <f>Calc!$FR$28</f>
        <v/>
      </c>
      <c r="R26" s="65">
        <f>Calc!$FS$28</f>
        <v/>
      </c>
      <c r="T26">
        <f>Calc!$EY$28</f>
        <v/>
      </c>
      <c r="U26">
        <f>Calc!$FT$28</f>
        <v/>
      </c>
      <c r="V26">
        <f>Calc!$FU$28</f>
        <v/>
      </c>
      <c r="W26">
        <f>Calc!$FC$28</f>
        <v/>
      </c>
      <c r="X26">
        <f>Calc!$EZ$28</f>
        <v/>
      </c>
      <c r="Y26">
        <f>Calc!$FA$28</f>
        <v/>
      </c>
      <c r="Z26">
        <f>Calc!$FV$28</f>
        <v/>
      </c>
      <c r="AA26">
        <f>IF($T26&lt;&gt;"row",0,IF($V26=1,IF($X26=1,IF($Y26=1,1,2),IF($Y26=1,3,4)),IF($X26=1,IF($Y26=1,5,6),IF($Y26=1,7,8))))</f>
        <v/>
      </c>
    </row>
    <row r="27" ht="11.25" customHeight="1">
      <c r="A27" s="64">
        <f>Calc!$FB$29</f>
        <v/>
      </c>
      <c r="B27" s="64">
        <f>Calc!$FC$29</f>
        <v/>
      </c>
      <c r="C27" s="65">
        <f>Calc!$FD$29</f>
        <v/>
      </c>
      <c r="D27" s="65">
        <f>Calc!$FE$29</f>
        <v/>
      </c>
      <c r="E27" s="65">
        <f>Calc!$FF$29</f>
        <v/>
      </c>
      <c r="F27" s="65">
        <f>Calc!$FG$29</f>
        <v/>
      </c>
      <c r="G27" s="65">
        <f>Calc!$FH$29</f>
        <v/>
      </c>
      <c r="H27" s="65">
        <f>Calc!$FI$29</f>
        <v/>
      </c>
      <c r="I27" s="65">
        <f>Calc!$FJ$29</f>
        <v/>
      </c>
      <c r="J27" s="65">
        <f>Calc!$FK$29</f>
        <v/>
      </c>
      <c r="K27" s="65">
        <f>Calc!$FL$29</f>
        <v/>
      </c>
      <c r="L27" s="65">
        <f>Calc!$FM$29</f>
        <v/>
      </c>
      <c r="M27" s="66">
        <f>Calc!$FN$29</f>
        <v/>
      </c>
      <c r="N27" s="66">
        <f>Calc!$FO$29</f>
        <v/>
      </c>
      <c r="O27" s="65">
        <f>Calc!$FP$29</f>
        <v/>
      </c>
      <c r="P27" s="67">
        <f>Calc!$FQ$29</f>
        <v/>
      </c>
      <c r="Q27" s="68">
        <f>Calc!$FR$29</f>
        <v/>
      </c>
      <c r="R27" s="65">
        <f>Calc!$FS$29</f>
        <v/>
      </c>
      <c r="T27">
        <f>Calc!$EY$29</f>
        <v/>
      </c>
      <c r="U27">
        <f>Calc!$FT$29</f>
        <v/>
      </c>
      <c r="V27">
        <f>Calc!$FU$29</f>
        <v/>
      </c>
      <c r="W27">
        <f>Calc!$FC$29</f>
        <v/>
      </c>
      <c r="X27">
        <f>Calc!$EZ$29</f>
        <v/>
      </c>
      <c r="Y27">
        <f>Calc!$FA$29</f>
        <v/>
      </c>
      <c r="Z27">
        <f>Calc!$FV$29</f>
        <v/>
      </c>
      <c r="AA27">
        <f>IF($T27&lt;&gt;"row",0,IF($V27=1,IF($X27=1,IF($Y27=1,1,2),IF($Y27=1,3,4)),IF($X27=1,IF($Y27=1,5,6),IF($Y27=1,7,8))))</f>
        <v/>
      </c>
    </row>
    <row r="28" ht="11.25" customHeight="1">
      <c r="A28" s="64">
        <f>Calc!$FB$30</f>
        <v/>
      </c>
      <c r="B28" s="64">
        <f>Calc!$FC$30</f>
        <v/>
      </c>
      <c r="C28" s="65">
        <f>Calc!$FD$30</f>
        <v/>
      </c>
      <c r="D28" s="65">
        <f>Calc!$FE$30</f>
        <v/>
      </c>
      <c r="E28" s="65">
        <f>Calc!$FF$30</f>
        <v/>
      </c>
      <c r="F28" s="65">
        <f>Calc!$FG$30</f>
        <v/>
      </c>
      <c r="G28" s="65">
        <f>Calc!$FH$30</f>
        <v/>
      </c>
      <c r="H28" s="65">
        <f>Calc!$FI$30</f>
        <v/>
      </c>
      <c r="I28" s="65">
        <f>Calc!$FJ$30</f>
        <v/>
      </c>
      <c r="J28" s="65">
        <f>Calc!$FK$30</f>
        <v/>
      </c>
      <c r="K28" s="65">
        <f>Calc!$FL$30</f>
        <v/>
      </c>
      <c r="L28" s="65">
        <f>Calc!$FM$30</f>
        <v/>
      </c>
      <c r="M28" s="66">
        <f>Calc!$FN$30</f>
        <v/>
      </c>
      <c r="N28" s="66">
        <f>Calc!$FO$30</f>
        <v/>
      </c>
      <c r="O28" s="65">
        <f>Calc!$FP$30</f>
        <v/>
      </c>
      <c r="P28" s="67">
        <f>Calc!$FQ$30</f>
        <v/>
      </c>
      <c r="Q28" s="68">
        <f>Calc!$FR$30</f>
        <v/>
      </c>
      <c r="R28" s="65">
        <f>Calc!$FS$30</f>
        <v/>
      </c>
      <c r="T28">
        <f>Calc!$EY$30</f>
        <v/>
      </c>
      <c r="U28">
        <f>Calc!$FT$30</f>
        <v/>
      </c>
      <c r="V28">
        <f>Calc!$FU$30</f>
        <v/>
      </c>
      <c r="W28">
        <f>Calc!$FC$30</f>
        <v/>
      </c>
      <c r="X28">
        <f>Calc!$EZ$30</f>
        <v/>
      </c>
      <c r="Y28">
        <f>Calc!$FA$30</f>
        <v/>
      </c>
      <c r="Z28">
        <f>Calc!$FV$30</f>
        <v/>
      </c>
      <c r="AA28">
        <f>IF($T28&lt;&gt;"row",0,IF($V28=1,IF($X28=1,IF($Y28=1,1,2),IF($Y28=1,3,4)),IF($X28=1,IF($Y28=1,5,6),IF($Y28=1,7,8))))</f>
        <v/>
      </c>
    </row>
    <row r="29" ht="11.25" customHeight="1">
      <c r="A29" s="64">
        <f>Calc!$FB$31</f>
        <v/>
      </c>
      <c r="B29" s="64">
        <f>Calc!$FC$31</f>
        <v/>
      </c>
      <c r="C29" s="65">
        <f>Calc!$FD$31</f>
        <v/>
      </c>
      <c r="D29" s="65">
        <f>Calc!$FE$31</f>
        <v/>
      </c>
      <c r="E29" s="65">
        <f>Calc!$FF$31</f>
        <v/>
      </c>
      <c r="F29" s="65">
        <f>Calc!$FG$31</f>
        <v/>
      </c>
      <c r="G29" s="65">
        <f>Calc!$FH$31</f>
        <v/>
      </c>
      <c r="H29" s="65">
        <f>Calc!$FI$31</f>
        <v/>
      </c>
      <c r="I29" s="65">
        <f>Calc!$FJ$31</f>
        <v/>
      </c>
      <c r="J29" s="65">
        <f>Calc!$FK$31</f>
        <v/>
      </c>
      <c r="K29" s="65">
        <f>Calc!$FL$31</f>
        <v/>
      </c>
      <c r="L29" s="65">
        <f>Calc!$FM$31</f>
        <v/>
      </c>
      <c r="M29" s="66">
        <f>Calc!$FN$31</f>
        <v/>
      </c>
      <c r="N29" s="66">
        <f>Calc!$FO$31</f>
        <v/>
      </c>
      <c r="O29" s="65">
        <f>Calc!$FP$31</f>
        <v/>
      </c>
      <c r="P29" s="67">
        <f>Calc!$FQ$31</f>
        <v/>
      </c>
      <c r="Q29" s="68">
        <f>Calc!$FR$31</f>
        <v/>
      </c>
      <c r="R29" s="65">
        <f>Calc!$FS$31</f>
        <v/>
      </c>
      <c r="T29">
        <f>Calc!$EY$31</f>
        <v/>
      </c>
      <c r="U29">
        <f>Calc!$FT$31</f>
        <v/>
      </c>
      <c r="V29">
        <f>Calc!$FU$31</f>
        <v/>
      </c>
      <c r="W29">
        <f>Calc!$FC$31</f>
        <v/>
      </c>
      <c r="X29">
        <f>Calc!$EZ$31</f>
        <v/>
      </c>
      <c r="Y29">
        <f>Calc!$FA$31</f>
        <v/>
      </c>
      <c r="Z29">
        <f>Calc!$FV$31</f>
        <v/>
      </c>
      <c r="AA29">
        <f>IF($T29&lt;&gt;"row",0,IF($V29=1,IF($X29=1,IF($Y29=1,1,2),IF($Y29=1,3,4)),IF($X29=1,IF($Y29=1,5,6),IF($Y29=1,7,8))))</f>
        <v/>
      </c>
    </row>
    <row r="30" ht="11.25" customHeight="1">
      <c r="A30" s="64">
        <f>Calc!$FB$32</f>
        <v/>
      </c>
      <c r="B30" s="64">
        <f>Calc!$FC$32</f>
        <v/>
      </c>
      <c r="C30" s="65">
        <f>Calc!$FD$32</f>
        <v/>
      </c>
      <c r="D30" s="65">
        <f>Calc!$FE$32</f>
        <v/>
      </c>
      <c r="E30" s="65">
        <f>Calc!$FF$32</f>
        <v/>
      </c>
      <c r="F30" s="65">
        <f>Calc!$FG$32</f>
        <v/>
      </c>
      <c r="G30" s="65">
        <f>Calc!$FH$32</f>
        <v/>
      </c>
      <c r="H30" s="65">
        <f>Calc!$FI$32</f>
        <v/>
      </c>
      <c r="I30" s="65">
        <f>Calc!$FJ$32</f>
        <v/>
      </c>
      <c r="J30" s="65">
        <f>Calc!$FK$32</f>
        <v/>
      </c>
      <c r="K30" s="65">
        <f>Calc!$FL$32</f>
        <v/>
      </c>
      <c r="L30" s="65">
        <f>Calc!$FM$32</f>
        <v/>
      </c>
      <c r="M30" s="66">
        <f>Calc!$FN$32</f>
        <v/>
      </c>
      <c r="N30" s="66">
        <f>Calc!$FO$32</f>
        <v/>
      </c>
      <c r="O30" s="65">
        <f>Calc!$FP$32</f>
        <v/>
      </c>
      <c r="P30" s="67">
        <f>Calc!$FQ$32</f>
        <v/>
      </c>
      <c r="Q30" s="68">
        <f>Calc!$FR$32</f>
        <v/>
      </c>
      <c r="R30" s="65">
        <f>Calc!$FS$32</f>
        <v/>
      </c>
      <c r="T30">
        <f>Calc!$EY$32</f>
        <v/>
      </c>
      <c r="U30">
        <f>Calc!$FT$32</f>
        <v/>
      </c>
      <c r="V30">
        <f>Calc!$FU$32</f>
        <v/>
      </c>
      <c r="W30">
        <f>Calc!$FC$32</f>
        <v/>
      </c>
      <c r="X30">
        <f>Calc!$EZ$32</f>
        <v/>
      </c>
      <c r="Y30">
        <f>Calc!$FA$32</f>
        <v/>
      </c>
      <c r="Z30">
        <f>Calc!$FV$32</f>
        <v/>
      </c>
      <c r="AA30">
        <f>IF($T30&lt;&gt;"row",0,IF($V30=1,IF($X30=1,IF($Y30=1,1,2),IF($Y30=1,3,4)),IF($X30=1,IF($Y30=1,5,6),IF($Y30=1,7,8))))</f>
        <v/>
      </c>
    </row>
    <row r="31" ht="11.25" customHeight="1">
      <c r="A31" s="64">
        <f>Calc!$FB$33</f>
        <v/>
      </c>
      <c r="B31" s="64">
        <f>Calc!$FC$33</f>
        <v/>
      </c>
      <c r="C31" s="65">
        <f>Calc!$FD$33</f>
        <v/>
      </c>
      <c r="D31" s="65">
        <f>Calc!$FE$33</f>
        <v/>
      </c>
      <c r="E31" s="65">
        <f>Calc!$FF$33</f>
        <v/>
      </c>
      <c r="F31" s="65">
        <f>Calc!$FG$33</f>
        <v/>
      </c>
      <c r="G31" s="65">
        <f>Calc!$FH$33</f>
        <v/>
      </c>
      <c r="H31" s="65">
        <f>Calc!$FI$33</f>
        <v/>
      </c>
      <c r="I31" s="65">
        <f>Calc!$FJ$33</f>
        <v/>
      </c>
      <c r="J31" s="65">
        <f>Calc!$FK$33</f>
        <v/>
      </c>
      <c r="K31" s="65">
        <f>Calc!$FL$33</f>
        <v/>
      </c>
      <c r="L31" s="65">
        <f>Calc!$FM$33</f>
        <v/>
      </c>
      <c r="M31" s="66">
        <f>Calc!$FN$33</f>
        <v/>
      </c>
      <c r="N31" s="66">
        <f>Calc!$FO$33</f>
        <v/>
      </c>
      <c r="O31" s="65">
        <f>Calc!$FP$33</f>
        <v/>
      </c>
      <c r="P31" s="67">
        <f>Calc!$FQ$33</f>
        <v/>
      </c>
      <c r="Q31" s="68">
        <f>Calc!$FR$33</f>
        <v/>
      </c>
      <c r="R31" s="65">
        <f>Calc!$FS$33</f>
        <v/>
      </c>
      <c r="T31">
        <f>Calc!$EY$33</f>
        <v/>
      </c>
      <c r="U31">
        <f>Calc!$FT$33</f>
        <v/>
      </c>
      <c r="V31">
        <f>Calc!$FU$33</f>
        <v/>
      </c>
      <c r="W31">
        <f>Calc!$FC$33</f>
        <v/>
      </c>
      <c r="X31">
        <f>Calc!$EZ$33</f>
        <v/>
      </c>
      <c r="Y31">
        <f>Calc!$FA$33</f>
        <v/>
      </c>
      <c r="Z31">
        <f>Calc!$FV$33</f>
        <v/>
      </c>
      <c r="AA31">
        <f>IF($T31&lt;&gt;"row",0,IF($V31=1,IF($X31=1,IF($Y31=1,1,2),IF($Y31=1,3,4)),IF($X31=1,IF($Y31=1,5,6),IF($Y31=1,7,8))))</f>
        <v/>
      </c>
    </row>
    <row r="32" ht="11.25" customHeight="1">
      <c r="A32" s="64">
        <f>Calc!$FB$34</f>
        <v/>
      </c>
      <c r="B32" s="64">
        <f>Calc!$FC$34</f>
        <v/>
      </c>
      <c r="C32" s="65">
        <f>Calc!$FD$34</f>
        <v/>
      </c>
      <c r="D32" s="65">
        <f>Calc!$FE$34</f>
        <v/>
      </c>
      <c r="E32" s="65">
        <f>Calc!$FF$34</f>
        <v/>
      </c>
      <c r="F32" s="65">
        <f>Calc!$FG$34</f>
        <v/>
      </c>
      <c r="G32" s="65">
        <f>Calc!$FH$34</f>
        <v/>
      </c>
      <c r="H32" s="65">
        <f>Calc!$FI$34</f>
        <v/>
      </c>
      <c r="I32" s="65">
        <f>Calc!$FJ$34</f>
        <v/>
      </c>
      <c r="J32" s="65">
        <f>Calc!$FK$34</f>
        <v/>
      </c>
      <c r="K32" s="65">
        <f>Calc!$FL$34</f>
        <v/>
      </c>
      <c r="L32" s="65">
        <f>Calc!$FM$34</f>
        <v/>
      </c>
      <c r="M32" s="66">
        <f>Calc!$FN$34</f>
        <v/>
      </c>
      <c r="N32" s="66">
        <f>Calc!$FO$34</f>
        <v/>
      </c>
      <c r="O32" s="65">
        <f>Calc!$FP$34</f>
        <v/>
      </c>
      <c r="P32" s="67">
        <f>Calc!$FQ$34</f>
        <v/>
      </c>
      <c r="Q32" s="68">
        <f>Calc!$FR$34</f>
        <v/>
      </c>
      <c r="R32" s="65">
        <f>Calc!$FS$34</f>
        <v/>
      </c>
      <c r="T32">
        <f>Calc!$EY$34</f>
        <v/>
      </c>
      <c r="U32">
        <f>Calc!$FT$34</f>
        <v/>
      </c>
      <c r="V32">
        <f>Calc!$FU$34</f>
        <v/>
      </c>
      <c r="W32">
        <f>Calc!$FC$34</f>
        <v/>
      </c>
      <c r="X32">
        <f>Calc!$EZ$34</f>
        <v/>
      </c>
      <c r="Y32">
        <f>Calc!$FA$34</f>
        <v/>
      </c>
      <c r="Z32">
        <f>Calc!$FV$34</f>
        <v/>
      </c>
      <c r="AA32">
        <f>IF($T32&lt;&gt;"row",0,IF($V32=1,IF($X32=1,IF($Y32=1,1,2),IF($Y32=1,3,4)),IF($X32=1,IF($Y32=1,5,6),IF($Y32=1,7,8))))</f>
        <v/>
      </c>
    </row>
    <row r="33" ht="11.25" customHeight="1">
      <c r="A33" s="64">
        <f>Calc!$FB$35</f>
        <v/>
      </c>
      <c r="B33" s="64">
        <f>Calc!$FC$35</f>
        <v/>
      </c>
      <c r="C33" s="65">
        <f>Calc!$FD$35</f>
        <v/>
      </c>
      <c r="D33" s="65">
        <f>Calc!$FE$35</f>
        <v/>
      </c>
      <c r="E33" s="65">
        <f>Calc!$FF$35</f>
        <v/>
      </c>
      <c r="F33" s="65">
        <f>Calc!$FG$35</f>
        <v/>
      </c>
      <c r="G33" s="65">
        <f>Calc!$FH$35</f>
        <v/>
      </c>
      <c r="H33" s="65">
        <f>Calc!$FI$35</f>
        <v/>
      </c>
      <c r="I33" s="65">
        <f>Calc!$FJ$35</f>
        <v/>
      </c>
      <c r="J33" s="65">
        <f>Calc!$FK$35</f>
        <v/>
      </c>
      <c r="K33" s="65">
        <f>Calc!$FL$35</f>
        <v/>
      </c>
      <c r="L33" s="65">
        <f>Calc!$FM$35</f>
        <v/>
      </c>
      <c r="M33" s="66">
        <f>Calc!$FN$35</f>
        <v/>
      </c>
      <c r="N33" s="66">
        <f>Calc!$FO$35</f>
        <v/>
      </c>
      <c r="O33" s="65">
        <f>Calc!$FP$35</f>
        <v/>
      </c>
      <c r="P33" s="67">
        <f>Calc!$FQ$35</f>
        <v/>
      </c>
      <c r="Q33" s="68">
        <f>Calc!$FR$35</f>
        <v/>
      </c>
      <c r="R33" s="65">
        <f>Calc!$FS$35</f>
        <v/>
      </c>
      <c r="T33">
        <f>Calc!$EY$35</f>
        <v/>
      </c>
      <c r="U33">
        <f>Calc!$FT$35</f>
        <v/>
      </c>
      <c r="V33">
        <f>Calc!$FU$35</f>
        <v/>
      </c>
      <c r="W33">
        <f>Calc!$FC$35</f>
        <v/>
      </c>
      <c r="X33">
        <f>Calc!$EZ$35</f>
        <v/>
      </c>
      <c r="Y33">
        <f>Calc!$FA$35</f>
        <v/>
      </c>
      <c r="Z33">
        <f>Calc!$FV$35</f>
        <v/>
      </c>
      <c r="AA33">
        <f>IF($T33&lt;&gt;"row",0,IF($V33=1,IF($X33=1,IF($Y33=1,1,2),IF($Y33=1,3,4)),IF($X33=1,IF($Y33=1,5,6),IF($Y33=1,7,8))))</f>
        <v/>
      </c>
    </row>
    <row r="34" ht="11.25" customHeight="1">
      <c r="A34" s="64">
        <f>Calc!$FB$36</f>
        <v/>
      </c>
      <c r="B34" s="64">
        <f>Calc!$FC$36</f>
        <v/>
      </c>
      <c r="C34" s="65">
        <f>Calc!$FD$36</f>
        <v/>
      </c>
      <c r="D34" s="65">
        <f>Calc!$FE$36</f>
        <v/>
      </c>
      <c r="E34" s="65">
        <f>Calc!$FF$36</f>
        <v/>
      </c>
      <c r="F34" s="65">
        <f>Calc!$FG$36</f>
        <v/>
      </c>
      <c r="G34" s="65">
        <f>Calc!$FH$36</f>
        <v/>
      </c>
      <c r="H34" s="65">
        <f>Calc!$FI$36</f>
        <v/>
      </c>
      <c r="I34" s="65">
        <f>Calc!$FJ$36</f>
        <v/>
      </c>
      <c r="J34" s="65">
        <f>Calc!$FK$36</f>
        <v/>
      </c>
      <c r="K34" s="65">
        <f>Calc!$FL$36</f>
        <v/>
      </c>
      <c r="L34" s="65">
        <f>Calc!$FM$36</f>
        <v/>
      </c>
      <c r="M34" s="66">
        <f>Calc!$FN$36</f>
        <v/>
      </c>
      <c r="N34" s="66">
        <f>Calc!$FO$36</f>
        <v/>
      </c>
      <c r="O34" s="65">
        <f>Calc!$FP$36</f>
        <v/>
      </c>
      <c r="P34" s="67">
        <f>Calc!$FQ$36</f>
        <v/>
      </c>
      <c r="Q34" s="68">
        <f>Calc!$FR$36</f>
        <v/>
      </c>
      <c r="R34" s="65">
        <f>Calc!$FS$36</f>
        <v/>
      </c>
      <c r="T34">
        <f>Calc!$EY$36</f>
        <v/>
      </c>
      <c r="U34">
        <f>Calc!$FT$36</f>
        <v/>
      </c>
      <c r="V34">
        <f>Calc!$FU$36</f>
        <v/>
      </c>
      <c r="W34">
        <f>Calc!$FC$36</f>
        <v/>
      </c>
      <c r="X34">
        <f>Calc!$EZ$36</f>
        <v/>
      </c>
      <c r="Y34">
        <f>Calc!$FA$36</f>
        <v/>
      </c>
      <c r="Z34">
        <f>Calc!$FV$36</f>
        <v/>
      </c>
      <c r="AA34">
        <f>IF($T34&lt;&gt;"row",0,IF($V34=1,IF($X34=1,IF($Y34=1,1,2),IF($Y34=1,3,4)),IF($X34=1,IF($Y34=1,5,6),IF($Y34=1,7,8))))</f>
        <v/>
      </c>
    </row>
    <row r="35" ht="11.25" customHeight="1">
      <c r="A35" s="64">
        <f>Calc!$FB$37</f>
        <v/>
      </c>
      <c r="B35" s="64">
        <f>Calc!$FC$37</f>
        <v/>
      </c>
      <c r="C35" s="65">
        <f>Calc!$FD$37</f>
        <v/>
      </c>
      <c r="D35" s="65">
        <f>Calc!$FE$37</f>
        <v/>
      </c>
      <c r="E35" s="65">
        <f>Calc!$FF$37</f>
        <v/>
      </c>
      <c r="F35" s="65">
        <f>Calc!$FG$37</f>
        <v/>
      </c>
      <c r="G35" s="65">
        <f>Calc!$FH$37</f>
        <v/>
      </c>
      <c r="H35" s="65">
        <f>Calc!$FI$37</f>
        <v/>
      </c>
      <c r="I35" s="65">
        <f>Calc!$FJ$37</f>
        <v/>
      </c>
      <c r="J35" s="65">
        <f>Calc!$FK$37</f>
        <v/>
      </c>
      <c r="K35" s="65">
        <f>Calc!$FL$37</f>
        <v/>
      </c>
      <c r="L35" s="65">
        <f>Calc!$FM$37</f>
        <v/>
      </c>
      <c r="M35" s="66">
        <f>Calc!$FN$37</f>
        <v/>
      </c>
      <c r="N35" s="66">
        <f>Calc!$FO$37</f>
        <v/>
      </c>
      <c r="O35" s="65">
        <f>Calc!$FP$37</f>
        <v/>
      </c>
      <c r="P35" s="67">
        <f>Calc!$FQ$37</f>
        <v/>
      </c>
      <c r="Q35" s="68">
        <f>Calc!$FR$37</f>
        <v/>
      </c>
      <c r="R35" s="65">
        <f>Calc!$FS$37</f>
        <v/>
      </c>
      <c r="T35">
        <f>Calc!$EY$37</f>
        <v/>
      </c>
      <c r="U35">
        <f>Calc!$FT$37</f>
        <v/>
      </c>
      <c r="V35">
        <f>Calc!$FU$37</f>
        <v/>
      </c>
      <c r="W35">
        <f>Calc!$FC$37</f>
        <v/>
      </c>
      <c r="X35">
        <f>Calc!$EZ$37</f>
        <v/>
      </c>
      <c r="Y35">
        <f>Calc!$FA$37</f>
        <v/>
      </c>
      <c r="Z35">
        <f>Calc!$FV$37</f>
        <v/>
      </c>
      <c r="AA35">
        <f>IF($T35&lt;&gt;"row",0,IF($V35=1,IF($X35=1,IF($Y35=1,1,2),IF($Y35=1,3,4)),IF($X35=1,IF($Y35=1,5,6),IF($Y35=1,7,8))))</f>
        <v/>
      </c>
    </row>
    <row r="36" ht="11.25" customHeight="1">
      <c r="A36" s="64">
        <f>Calc!$FB$38</f>
        <v/>
      </c>
      <c r="B36" s="64">
        <f>Calc!$FC$38</f>
        <v/>
      </c>
      <c r="C36" s="65">
        <f>Calc!$FD$38</f>
        <v/>
      </c>
      <c r="D36" s="65">
        <f>Calc!$FE$38</f>
        <v/>
      </c>
      <c r="E36" s="65">
        <f>Calc!$FF$38</f>
        <v/>
      </c>
      <c r="F36" s="65">
        <f>Calc!$FG$38</f>
        <v/>
      </c>
      <c r="G36" s="65">
        <f>Calc!$FH$38</f>
        <v/>
      </c>
      <c r="H36" s="65">
        <f>Calc!$FI$38</f>
        <v/>
      </c>
      <c r="I36" s="65">
        <f>Calc!$FJ$38</f>
        <v/>
      </c>
      <c r="J36" s="65">
        <f>Calc!$FK$38</f>
        <v/>
      </c>
      <c r="K36" s="65">
        <f>Calc!$FL$38</f>
        <v/>
      </c>
      <c r="L36" s="65">
        <f>Calc!$FM$38</f>
        <v/>
      </c>
      <c r="M36" s="66">
        <f>Calc!$FN$38</f>
        <v/>
      </c>
      <c r="N36" s="66">
        <f>Calc!$FO$38</f>
        <v/>
      </c>
      <c r="O36" s="65">
        <f>Calc!$FP$38</f>
        <v/>
      </c>
      <c r="P36" s="67">
        <f>Calc!$FQ$38</f>
        <v/>
      </c>
      <c r="Q36" s="68">
        <f>Calc!$FR$38</f>
        <v/>
      </c>
      <c r="R36" s="65">
        <f>Calc!$FS$38</f>
        <v/>
      </c>
      <c r="T36">
        <f>Calc!$EY$38</f>
        <v/>
      </c>
      <c r="U36">
        <f>Calc!$FT$38</f>
        <v/>
      </c>
      <c r="V36">
        <f>Calc!$FU$38</f>
        <v/>
      </c>
      <c r="W36">
        <f>Calc!$FC$38</f>
        <v/>
      </c>
      <c r="X36">
        <f>Calc!$EZ$38</f>
        <v/>
      </c>
      <c r="Y36">
        <f>Calc!$FA$38</f>
        <v/>
      </c>
      <c r="Z36">
        <f>Calc!$FV$38</f>
        <v/>
      </c>
      <c r="AA36">
        <f>IF($T36&lt;&gt;"row",0,IF($V36=1,IF($X36=1,IF($Y36=1,1,2),IF($Y36=1,3,4)),IF($X36=1,IF($Y36=1,5,6),IF($Y36=1,7,8))))</f>
        <v/>
      </c>
    </row>
    <row r="37" ht="11.25" customHeight="1">
      <c r="A37" s="64">
        <f>Calc!$FB$39</f>
        <v/>
      </c>
      <c r="B37" s="64">
        <f>Calc!$FC$39</f>
        <v/>
      </c>
      <c r="C37" s="65">
        <f>Calc!$FD$39</f>
        <v/>
      </c>
      <c r="D37" s="65">
        <f>Calc!$FE$39</f>
        <v/>
      </c>
      <c r="E37" s="65">
        <f>Calc!$FF$39</f>
        <v/>
      </c>
      <c r="F37" s="65">
        <f>Calc!$FG$39</f>
        <v/>
      </c>
      <c r="G37" s="65">
        <f>Calc!$FH$39</f>
        <v/>
      </c>
      <c r="H37" s="65">
        <f>Calc!$FI$39</f>
        <v/>
      </c>
      <c r="I37" s="65">
        <f>Calc!$FJ$39</f>
        <v/>
      </c>
      <c r="J37" s="65">
        <f>Calc!$FK$39</f>
        <v/>
      </c>
      <c r="K37" s="65">
        <f>Calc!$FL$39</f>
        <v/>
      </c>
      <c r="L37" s="65">
        <f>Calc!$FM$39</f>
        <v/>
      </c>
      <c r="M37" s="66">
        <f>Calc!$FN$39</f>
        <v/>
      </c>
      <c r="N37" s="66">
        <f>Calc!$FO$39</f>
        <v/>
      </c>
      <c r="O37" s="65">
        <f>Calc!$FP$39</f>
        <v/>
      </c>
      <c r="P37" s="67">
        <f>Calc!$FQ$39</f>
        <v/>
      </c>
      <c r="Q37" s="68">
        <f>Calc!$FR$39</f>
        <v/>
      </c>
      <c r="R37" s="65">
        <f>Calc!$FS$39</f>
        <v/>
      </c>
      <c r="T37">
        <f>Calc!$EY$39</f>
        <v/>
      </c>
      <c r="U37">
        <f>Calc!$FT$39</f>
        <v/>
      </c>
      <c r="V37">
        <f>Calc!$FU$39</f>
        <v/>
      </c>
      <c r="W37">
        <f>Calc!$FC$39</f>
        <v/>
      </c>
      <c r="X37">
        <f>Calc!$EZ$39</f>
        <v/>
      </c>
      <c r="Y37">
        <f>Calc!$FA$39</f>
        <v/>
      </c>
      <c r="Z37">
        <f>Calc!$FV$39</f>
        <v/>
      </c>
      <c r="AA37">
        <f>IF($T37&lt;&gt;"row",0,IF($V37=1,IF($X37=1,IF($Y37=1,1,2),IF($Y37=1,3,4)),IF($X37=1,IF($Y37=1,5,6),IF($Y37=1,7,8))))</f>
        <v/>
      </c>
    </row>
    <row r="38" ht="11.25" customHeight="1">
      <c r="A38" s="64">
        <f>Calc!$FB$40</f>
        <v/>
      </c>
      <c r="B38" s="64">
        <f>Calc!$FC$40</f>
        <v/>
      </c>
      <c r="C38" s="65">
        <f>Calc!$FD$40</f>
        <v/>
      </c>
      <c r="D38" s="65">
        <f>Calc!$FE$40</f>
        <v/>
      </c>
      <c r="E38" s="65">
        <f>Calc!$FF$40</f>
        <v/>
      </c>
      <c r="F38" s="65">
        <f>Calc!$FG$40</f>
        <v/>
      </c>
      <c r="G38" s="65">
        <f>Calc!$FH$40</f>
        <v/>
      </c>
      <c r="H38" s="65">
        <f>Calc!$FI$40</f>
        <v/>
      </c>
      <c r="I38" s="65">
        <f>Calc!$FJ$40</f>
        <v/>
      </c>
      <c r="J38" s="65">
        <f>Calc!$FK$40</f>
        <v/>
      </c>
      <c r="K38" s="65">
        <f>Calc!$FL$40</f>
        <v/>
      </c>
      <c r="L38" s="65">
        <f>Calc!$FM$40</f>
        <v/>
      </c>
      <c r="M38" s="66">
        <f>Calc!$FN$40</f>
        <v/>
      </c>
      <c r="N38" s="66">
        <f>Calc!$FO$40</f>
        <v/>
      </c>
      <c r="O38" s="65">
        <f>Calc!$FP$40</f>
        <v/>
      </c>
      <c r="P38" s="67">
        <f>Calc!$FQ$40</f>
        <v/>
      </c>
      <c r="Q38" s="68">
        <f>Calc!$FR$40</f>
        <v/>
      </c>
      <c r="R38" s="65">
        <f>Calc!$FS$40</f>
        <v/>
      </c>
      <c r="T38">
        <f>Calc!$EY$40</f>
        <v/>
      </c>
      <c r="U38">
        <f>Calc!$FT$40</f>
        <v/>
      </c>
      <c r="V38">
        <f>Calc!$FU$40</f>
        <v/>
      </c>
      <c r="W38">
        <f>Calc!$FC$40</f>
        <v/>
      </c>
      <c r="X38">
        <f>Calc!$EZ$40</f>
        <v/>
      </c>
      <c r="Y38">
        <f>Calc!$FA$40</f>
        <v/>
      </c>
      <c r="Z38">
        <f>Calc!$FV$40</f>
        <v/>
      </c>
      <c r="AA38">
        <f>IF($T38&lt;&gt;"row",0,IF($V38=1,IF($X38=1,IF($Y38=1,1,2),IF($Y38=1,3,4)),IF($X38=1,IF($Y38=1,5,6),IF($Y38=1,7,8))))</f>
        <v/>
      </c>
    </row>
    <row r="39" ht="11.25" customHeight="1">
      <c r="A39" s="64">
        <f>Calc!$FB$41</f>
        <v/>
      </c>
      <c r="B39" s="64">
        <f>Calc!$FC$41</f>
        <v/>
      </c>
      <c r="C39" s="65">
        <f>Calc!$FD$41</f>
        <v/>
      </c>
      <c r="D39" s="65">
        <f>Calc!$FE$41</f>
        <v/>
      </c>
      <c r="E39" s="65">
        <f>Calc!$FF$41</f>
        <v/>
      </c>
      <c r="F39" s="65">
        <f>Calc!$FG$41</f>
        <v/>
      </c>
      <c r="G39" s="65">
        <f>Calc!$FH$41</f>
        <v/>
      </c>
      <c r="H39" s="65">
        <f>Calc!$FI$41</f>
        <v/>
      </c>
      <c r="I39" s="65">
        <f>Calc!$FJ$41</f>
        <v/>
      </c>
      <c r="J39" s="65">
        <f>Calc!$FK$41</f>
        <v/>
      </c>
      <c r="K39" s="65">
        <f>Calc!$FL$41</f>
        <v/>
      </c>
      <c r="L39" s="65">
        <f>Calc!$FM$41</f>
        <v/>
      </c>
      <c r="M39" s="66">
        <f>Calc!$FN$41</f>
        <v/>
      </c>
      <c r="N39" s="66">
        <f>Calc!$FO$41</f>
        <v/>
      </c>
      <c r="O39" s="65">
        <f>Calc!$FP$41</f>
        <v/>
      </c>
      <c r="P39" s="67">
        <f>Calc!$FQ$41</f>
        <v/>
      </c>
      <c r="Q39" s="68">
        <f>Calc!$FR$41</f>
        <v/>
      </c>
      <c r="R39" s="65">
        <f>Calc!$FS$41</f>
        <v/>
      </c>
      <c r="T39">
        <f>Calc!$EY$41</f>
        <v/>
      </c>
      <c r="U39">
        <f>Calc!$FT$41</f>
        <v/>
      </c>
      <c r="V39">
        <f>Calc!$FU$41</f>
        <v/>
      </c>
      <c r="W39">
        <f>Calc!$FC$41</f>
        <v/>
      </c>
      <c r="X39">
        <f>Calc!$EZ$41</f>
        <v/>
      </c>
      <c r="Y39">
        <f>Calc!$FA$41</f>
        <v/>
      </c>
      <c r="Z39">
        <f>Calc!$FV$41</f>
        <v/>
      </c>
      <c r="AA39">
        <f>IF($T39&lt;&gt;"row",0,IF($V39=1,IF($X39=1,IF($Y39=1,1,2),IF($Y39=1,3,4)),IF($X39=1,IF($Y39=1,5,6),IF($Y39=1,7,8))))</f>
        <v/>
      </c>
    </row>
    <row r="40" ht="11.25" customHeight="1">
      <c r="A40" s="64">
        <f>Calc!$FB$42</f>
        <v/>
      </c>
      <c r="B40" s="64">
        <f>Calc!$FC$42</f>
        <v/>
      </c>
      <c r="C40" s="65">
        <f>Calc!$FD$42</f>
        <v/>
      </c>
      <c r="D40" s="65">
        <f>Calc!$FE$42</f>
        <v/>
      </c>
      <c r="E40" s="65">
        <f>Calc!$FF$42</f>
        <v/>
      </c>
      <c r="F40" s="65">
        <f>Calc!$FG$42</f>
        <v/>
      </c>
      <c r="G40" s="65">
        <f>Calc!$FH$42</f>
        <v/>
      </c>
      <c r="H40" s="65">
        <f>Calc!$FI$42</f>
        <v/>
      </c>
      <c r="I40" s="65">
        <f>Calc!$FJ$42</f>
        <v/>
      </c>
      <c r="J40" s="65">
        <f>Calc!$FK$42</f>
        <v/>
      </c>
      <c r="K40" s="65">
        <f>Calc!$FL$42</f>
        <v/>
      </c>
      <c r="L40" s="65">
        <f>Calc!$FM$42</f>
        <v/>
      </c>
      <c r="M40" s="66">
        <f>Calc!$FN$42</f>
        <v/>
      </c>
      <c r="N40" s="66">
        <f>Calc!$FO$42</f>
        <v/>
      </c>
      <c r="O40" s="65">
        <f>Calc!$FP$42</f>
        <v/>
      </c>
      <c r="P40" s="67">
        <f>Calc!$FQ$42</f>
        <v/>
      </c>
      <c r="Q40" s="68">
        <f>Calc!$FR$42</f>
        <v/>
      </c>
      <c r="R40" s="65">
        <f>Calc!$FS$42</f>
        <v/>
      </c>
      <c r="T40">
        <f>Calc!$EY$42</f>
        <v/>
      </c>
      <c r="U40">
        <f>Calc!$FT$42</f>
        <v/>
      </c>
      <c r="V40">
        <f>Calc!$FU$42</f>
        <v/>
      </c>
      <c r="W40">
        <f>Calc!$FC$42</f>
        <v/>
      </c>
      <c r="X40">
        <f>Calc!$EZ$42</f>
        <v/>
      </c>
      <c r="Y40">
        <f>Calc!$FA$42</f>
        <v/>
      </c>
      <c r="Z40">
        <f>Calc!$FV$42</f>
        <v/>
      </c>
      <c r="AA40">
        <f>IF($T40&lt;&gt;"row",0,IF($V40=1,IF($X40=1,IF($Y40=1,1,2),IF($Y40=1,3,4)),IF($X40=1,IF($Y40=1,5,6),IF($Y40=1,7,8))))</f>
        <v/>
      </c>
    </row>
    <row r="41" ht="11.25" customHeight="1">
      <c r="A41" s="64">
        <f>Calc!$FB$43</f>
        <v/>
      </c>
      <c r="B41" s="64">
        <f>Calc!$FC$43</f>
        <v/>
      </c>
      <c r="C41" s="65">
        <f>Calc!$FD$43</f>
        <v/>
      </c>
      <c r="D41" s="65">
        <f>Calc!$FE$43</f>
        <v/>
      </c>
      <c r="E41" s="65">
        <f>Calc!$FF$43</f>
        <v/>
      </c>
      <c r="F41" s="65">
        <f>Calc!$FG$43</f>
        <v/>
      </c>
      <c r="G41" s="65">
        <f>Calc!$FH$43</f>
        <v/>
      </c>
      <c r="H41" s="65">
        <f>Calc!$FI$43</f>
        <v/>
      </c>
      <c r="I41" s="65">
        <f>Calc!$FJ$43</f>
        <v/>
      </c>
      <c r="J41" s="65">
        <f>Calc!$FK$43</f>
        <v/>
      </c>
      <c r="K41" s="65">
        <f>Calc!$FL$43</f>
        <v/>
      </c>
      <c r="L41" s="65">
        <f>Calc!$FM$43</f>
        <v/>
      </c>
      <c r="M41" s="66">
        <f>Calc!$FN$43</f>
        <v/>
      </c>
      <c r="N41" s="66">
        <f>Calc!$FO$43</f>
        <v/>
      </c>
      <c r="O41" s="65">
        <f>Calc!$FP$43</f>
        <v/>
      </c>
      <c r="P41" s="67">
        <f>Calc!$FQ$43</f>
        <v/>
      </c>
      <c r="Q41" s="68">
        <f>Calc!$FR$43</f>
        <v/>
      </c>
      <c r="R41" s="65">
        <f>Calc!$FS$43</f>
        <v/>
      </c>
      <c r="T41">
        <f>Calc!$EY$43</f>
        <v/>
      </c>
      <c r="U41">
        <f>Calc!$FT$43</f>
        <v/>
      </c>
      <c r="V41">
        <f>Calc!$FU$43</f>
        <v/>
      </c>
      <c r="W41">
        <f>Calc!$FC$43</f>
        <v/>
      </c>
      <c r="X41">
        <f>Calc!$EZ$43</f>
        <v/>
      </c>
      <c r="Y41">
        <f>Calc!$FA$43</f>
        <v/>
      </c>
      <c r="Z41">
        <f>Calc!$FV$43</f>
        <v/>
      </c>
      <c r="AA41">
        <f>IF($T41&lt;&gt;"row",0,IF($V41=1,IF($X41=1,IF($Y41=1,1,2),IF($Y41=1,3,4)),IF($X41=1,IF($Y41=1,5,6),IF($Y41=1,7,8))))</f>
        <v/>
      </c>
    </row>
    <row r="42" ht="11.25" customHeight="1">
      <c r="A42" s="64">
        <f>Calc!$FB$44</f>
        <v/>
      </c>
      <c r="B42" s="64">
        <f>Calc!$FC$44</f>
        <v/>
      </c>
      <c r="C42" s="65">
        <f>Calc!$FD$44</f>
        <v/>
      </c>
      <c r="D42" s="65">
        <f>Calc!$FE$44</f>
        <v/>
      </c>
      <c r="E42" s="65">
        <f>Calc!$FF$44</f>
        <v/>
      </c>
      <c r="F42" s="65">
        <f>Calc!$FG$44</f>
        <v/>
      </c>
      <c r="G42" s="65">
        <f>Calc!$FH$44</f>
        <v/>
      </c>
      <c r="H42" s="65">
        <f>Calc!$FI$44</f>
        <v/>
      </c>
      <c r="I42" s="65">
        <f>Calc!$FJ$44</f>
        <v/>
      </c>
      <c r="J42" s="65">
        <f>Calc!$FK$44</f>
        <v/>
      </c>
      <c r="K42" s="65">
        <f>Calc!$FL$44</f>
        <v/>
      </c>
      <c r="L42" s="65">
        <f>Calc!$FM$44</f>
        <v/>
      </c>
      <c r="M42" s="66">
        <f>Calc!$FN$44</f>
        <v/>
      </c>
      <c r="N42" s="66">
        <f>Calc!$FO$44</f>
        <v/>
      </c>
      <c r="O42" s="65">
        <f>Calc!$FP$44</f>
        <v/>
      </c>
      <c r="P42" s="67">
        <f>Calc!$FQ$44</f>
        <v/>
      </c>
      <c r="Q42" s="68">
        <f>Calc!$FR$44</f>
        <v/>
      </c>
      <c r="R42" s="65">
        <f>Calc!$FS$44</f>
        <v/>
      </c>
      <c r="T42">
        <f>Calc!$EY$44</f>
        <v/>
      </c>
      <c r="U42">
        <f>Calc!$FT$44</f>
        <v/>
      </c>
      <c r="V42">
        <f>Calc!$FU$44</f>
        <v/>
      </c>
      <c r="W42">
        <f>Calc!$FC$44</f>
        <v/>
      </c>
      <c r="X42">
        <f>Calc!$EZ$44</f>
        <v/>
      </c>
      <c r="Y42">
        <f>Calc!$FA$44</f>
        <v/>
      </c>
      <c r="Z42">
        <f>Calc!$FV$44</f>
        <v/>
      </c>
      <c r="AA42">
        <f>IF($T42&lt;&gt;"row",0,IF($V42=1,IF($X42=1,IF($Y42=1,1,2),IF($Y42=1,3,4)),IF($X42=1,IF($Y42=1,5,6),IF($Y42=1,7,8))))</f>
        <v/>
      </c>
    </row>
    <row r="43" ht="11.25" customHeight="1">
      <c r="A43" s="64">
        <f>Calc!$FB$45</f>
        <v/>
      </c>
      <c r="B43" s="64">
        <f>Calc!$FC$45</f>
        <v/>
      </c>
      <c r="C43" s="65">
        <f>Calc!$FD$45</f>
        <v/>
      </c>
      <c r="D43" s="65">
        <f>Calc!$FE$45</f>
        <v/>
      </c>
      <c r="E43" s="65">
        <f>Calc!$FF$45</f>
        <v/>
      </c>
      <c r="F43" s="65">
        <f>Calc!$FG$45</f>
        <v/>
      </c>
      <c r="G43" s="65">
        <f>Calc!$FH$45</f>
        <v/>
      </c>
      <c r="H43" s="65">
        <f>Calc!$FI$45</f>
        <v/>
      </c>
      <c r="I43" s="65">
        <f>Calc!$FJ$45</f>
        <v/>
      </c>
      <c r="J43" s="65">
        <f>Calc!$FK$45</f>
        <v/>
      </c>
      <c r="K43" s="65">
        <f>Calc!$FL$45</f>
        <v/>
      </c>
      <c r="L43" s="65">
        <f>Calc!$FM$45</f>
        <v/>
      </c>
      <c r="M43" s="66">
        <f>Calc!$FN$45</f>
        <v/>
      </c>
      <c r="N43" s="66">
        <f>Calc!$FO$45</f>
        <v/>
      </c>
      <c r="O43" s="65">
        <f>Calc!$FP$45</f>
        <v/>
      </c>
      <c r="P43" s="67">
        <f>Calc!$FQ$45</f>
        <v/>
      </c>
      <c r="Q43" s="68">
        <f>Calc!$FR$45</f>
        <v/>
      </c>
      <c r="R43" s="65">
        <f>Calc!$FS$45</f>
        <v/>
      </c>
      <c r="T43">
        <f>Calc!$EY$45</f>
        <v/>
      </c>
      <c r="U43">
        <f>Calc!$FT$45</f>
        <v/>
      </c>
      <c r="V43">
        <f>Calc!$FU$45</f>
        <v/>
      </c>
      <c r="W43">
        <f>Calc!$FC$45</f>
        <v/>
      </c>
      <c r="X43">
        <f>Calc!$EZ$45</f>
        <v/>
      </c>
      <c r="Y43">
        <f>Calc!$FA$45</f>
        <v/>
      </c>
      <c r="Z43">
        <f>Calc!$FV$45</f>
        <v/>
      </c>
      <c r="AA43">
        <f>IF($T43&lt;&gt;"row",0,IF($V43=1,IF($X43=1,IF($Y43=1,1,2),IF($Y43=1,3,4)),IF($X43=1,IF($Y43=1,5,6),IF($Y43=1,7,8))))</f>
        <v/>
      </c>
    </row>
    <row r="44" ht="11.25" customHeight="1">
      <c r="A44" s="64">
        <f>Calc!$FB$46</f>
        <v/>
      </c>
      <c r="B44" s="64">
        <f>Calc!$FC$46</f>
        <v/>
      </c>
      <c r="C44" s="65">
        <f>Calc!$FD$46</f>
        <v/>
      </c>
      <c r="D44" s="65">
        <f>Calc!$FE$46</f>
        <v/>
      </c>
      <c r="E44" s="65">
        <f>Calc!$FF$46</f>
        <v/>
      </c>
      <c r="F44" s="65">
        <f>Calc!$FG$46</f>
        <v/>
      </c>
      <c r="G44" s="65">
        <f>Calc!$FH$46</f>
        <v/>
      </c>
      <c r="H44" s="65">
        <f>Calc!$FI$46</f>
        <v/>
      </c>
      <c r="I44" s="65">
        <f>Calc!$FJ$46</f>
        <v/>
      </c>
      <c r="J44" s="65">
        <f>Calc!$FK$46</f>
        <v/>
      </c>
      <c r="K44" s="65">
        <f>Calc!$FL$46</f>
        <v/>
      </c>
      <c r="L44" s="65">
        <f>Calc!$FM$46</f>
        <v/>
      </c>
      <c r="M44" s="66">
        <f>Calc!$FN$46</f>
        <v/>
      </c>
      <c r="N44" s="66">
        <f>Calc!$FO$46</f>
        <v/>
      </c>
      <c r="O44" s="65">
        <f>Calc!$FP$46</f>
        <v/>
      </c>
      <c r="P44" s="67">
        <f>Calc!$FQ$46</f>
        <v/>
      </c>
      <c r="Q44" s="68">
        <f>Calc!$FR$46</f>
        <v/>
      </c>
      <c r="R44" s="65">
        <f>Calc!$FS$46</f>
        <v/>
      </c>
      <c r="T44">
        <f>Calc!$EY$46</f>
        <v/>
      </c>
      <c r="U44">
        <f>Calc!$FT$46</f>
        <v/>
      </c>
      <c r="V44">
        <f>Calc!$FU$46</f>
        <v/>
      </c>
      <c r="W44">
        <f>Calc!$FC$46</f>
        <v/>
      </c>
      <c r="X44">
        <f>Calc!$EZ$46</f>
        <v/>
      </c>
      <c r="Y44">
        <f>Calc!$FA$46</f>
        <v/>
      </c>
      <c r="Z44">
        <f>Calc!$FV$46</f>
        <v/>
      </c>
      <c r="AA44">
        <f>IF($T44&lt;&gt;"row",0,IF($V44=1,IF($X44=1,IF($Y44=1,1,2),IF($Y44=1,3,4)),IF($X44=1,IF($Y44=1,5,6),IF($Y44=1,7,8))))</f>
        <v/>
      </c>
    </row>
    <row r="45" ht="11.25" customHeight="1">
      <c r="A45" s="64">
        <f>Calc!$FB$47</f>
        <v/>
      </c>
      <c r="B45" s="64">
        <f>Calc!$FC$47</f>
        <v/>
      </c>
      <c r="C45" s="65">
        <f>Calc!$FD$47</f>
        <v/>
      </c>
      <c r="D45" s="65">
        <f>Calc!$FE$47</f>
        <v/>
      </c>
      <c r="E45" s="65">
        <f>Calc!$FF$47</f>
        <v/>
      </c>
      <c r="F45" s="65">
        <f>Calc!$FG$47</f>
        <v/>
      </c>
      <c r="G45" s="65">
        <f>Calc!$FH$47</f>
        <v/>
      </c>
      <c r="H45" s="65">
        <f>Calc!$FI$47</f>
        <v/>
      </c>
      <c r="I45" s="65">
        <f>Calc!$FJ$47</f>
        <v/>
      </c>
      <c r="J45" s="65">
        <f>Calc!$FK$47</f>
        <v/>
      </c>
      <c r="K45" s="65">
        <f>Calc!$FL$47</f>
        <v/>
      </c>
      <c r="L45" s="65">
        <f>Calc!$FM$47</f>
        <v/>
      </c>
      <c r="M45" s="66">
        <f>Calc!$FN$47</f>
        <v/>
      </c>
      <c r="N45" s="66">
        <f>Calc!$FO$47</f>
        <v/>
      </c>
      <c r="O45" s="65">
        <f>Calc!$FP$47</f>
        <v/>
      </c>
      <c r="P45" s="67">
        <f>Calc!$FQ$47</f>
        <v/>
      </c>
      <c r="Q45" s="68">
        <f>Calc!$FR$47</f>
        <v/>
      </c>
      <c r="R45" s="65">
        <f>Calc!$FS$47</f>
        <v/>
      </c>
      <c r="T45">
        <f>Calc!$EY$47</f>
        <v/>
      </c>
      <c r="U45">
        <f>Calc!$FT$47</f>
        <v/>
      </c>
      <c r="V45">
        <f>Calc!$FU$47</f>
        <v/>
      </c>
      <c r="W45">
        <f>Calc!$FC$47</f>
        <v/>
      </c>
      <c r="X45">
        <f>Calc!$EZ$47</f>
        <v/>
      </c>
      <c r="Y45">
        <f>Calc!$FA$47</f>
        <v/>
      </c>
      <c r="Z45">
        <f>Calc!$FV$47</f>
        <v/>
      </c>
      <c r="AA45">
        <f>IF($T45&lt;&gt;"row",0,IF($V45=1,IF($X45=1,IF($Y45=1,1,2),IF($Y45=1,3,4)),IF($X45=1,IF($Y45=1,5,6),IF($Y45=1,7,8))))</f>
        <v/>
      </c>
    </row>
    <row r="46" ht="11.25" customHeight="1">
      <c r="A46" s="64">
        <f>Calc!$FB$48</f>
        <v/>
      </c>
      <c r="B46" s="64">
        <f>Calc!$FC$48</f>
        <v/>
      </c>
      <c r="C46" s="65">
        <f>Calc!$FD$48</f>
        <v/>
      </c>
      <c r="D46" s="65">
        <f>Calc!$FE$48</f>
        <v/>
      </c>
      <c r="E46" s="65">
        <f>Calc!$FF$48</f>
        <v/>
      </c>
      <c r="F46" s="65">
        <f>Calc!$FG$48</f>
        <v/>
      </c>
      <c r="G46" s="65">
        <f>Calc!$FH$48</f>
        <v/>
      </c>
      <c r="H46" s="65">
        <f>Calc!$FI$48</f>
        <v/>
      </c>
      <c r="I46" s="65">
        <f>Calc!$FJ$48</f>
        <v/>
      </c>
      <c r="J46" s="65">
        <f>Calc!$FK$48</f>
        <v/>
      </c>
      <c r="K46" s="65">
        <f>Calc!$FL$48</f>
        <v/>
      </c>
      <c r="L46" s="65">
        <f>Calc!$FM$48</f>
        <v/>
      </c>
      <c r="M46" s="66">
        <f>Calc!$FN$48</f>
        <v/>
      </c>
      <c r="N46" s="66">
        <f>Calc!$FO$48</f>
        <v/>
      </c>
      <c r="O46" s="65">
        <f>Calc!$FP$48</f>
        <v/>
      </c>
      <c r="P46" s="67">
        <f>Calc!$FQ$48</f>
        <v/>
      </c>
      <c r="Q46" s="68">
        <f>Calc!$FR$48</f>
        <v/>
      </c>
      <c r="R46" s="65">
        <f>Calc!$FS$48</f>
        <v/>
      </c>
      <c r="T46">
        <f>Calc!$EY$48</f>
        <v/>
      </c>
      <c r="U46">
        <f>Calc!$FT$48</f>
        <v/>
      </c>
      <c r="V46">
        <f>Calc!$FU$48</f>
        <v/>
      </c>
      <c r="W46">
        <f>Calc!$FC$48</f>
        <v/>
      </c>
      <c r="X46">
        <f>Calc!$EZ$48</f>
        <v/>
      </c>
      <c r="Y46">
        <f>Calc!$FA$48</f>
        <v/>
      </c>
      <c r="Z46">
        <f>Calc!$FV$48</f>
        <v/>
      </c>
      <c r="AA46">
        <f>IF($T46&lt;&gt;"row",0,IF($V46=1,IF($X46=1,IF($Y46=1,1,2),IF($Y46=1,3,4)),IF($X46=1,IF($Y46=1,5,6),IF($Y46=1,7,8))))</f>
        <v/>
      </c>
    </row>
    <row r="47" ht="11.25" customHeight="1">
      <c r="A47" s="64">
        <f>Calc!$FB$49</f>
        <v/>
      </c>
      <c r="B47" s="64">
        <f>Calc!$FC$49</f>
        <v/>
      </c>
      <c r="C47" s="65">
        <f>Calc!$FD$49</f>
        <v/>
      </c>
      <c r="D47" s="65">
        <f>Calc!$FE$49</f>
        <v/>
      </c>
      <c r="E47" s="65">
        <f>Calc!$FF$49</f>
        <v/>
      </c>
      <c r="F47" s="65">
        <f>Calc!$FG$49</f>
        <v/>
      </c>
      <c r="G47" s="65">
        <f>Calc!$FH$49</f>
        <v/>
      </c>
      <c r="H47" s="65">
        <f>Calc!$FI$49</f>
        <v/>
      </c>
      <c r="I47" s="65">
        <f>Calc!$FJ$49</f>
        <v/>
      </c>
      <c r="J47" s="65">
        <f>Calc!$FK$49</f>
        <v/>
      </c>
      <c r="K47" s="65">
        <f>Calc!$FL$49</f>
        <v/>
      </c>
      <c r="L47" s="65">
        <f>Calc!$FM$49</f>
        <v/>
      </c>
      <c r="M47" s="66">
        <f>Calc!$FN$49</f>
        <v/>
      </c>
      <c r="N47" s="66">
        <f>Calc!$FO$49</f>
        <v/>
      </c>
      <c r="O47" s="65">
        <f>Calc!$FP$49</f>
        <v/>
      </c>
      <c r="P47" s="67">
        <f>Calc!$FQ$49</f>
        <v/>
      </c>
      <c r="Q47" s="68">
        <f>Calc!$FR$49</f>
        <v/>
      </c>
      <c r="R47" s="65">
        <f>Calc!$FS$49</f>
        <v/>
      </c>
      <c r="T47">
        <f>Calc!$EY$49</f>
        <v/>
      </c>
      <c r="U47">
        <f>Calc!$FT$49</f>
        <v/>
      </c>
      <c r="V47">
        <f>Calc!$FU$49</f>
        <v/>
      </c>
      <c r="W47">
        <f>Calc!$FC$49</f>
        <v/>
      </c>
      <c r="X47">
        <f>Calc!$EZ$49</f>
        <v/>
      </c>
      <c r="Y47">
        <f>Calc!$FA$49</f>
        <v/>
      </c>
      <c r="Z47">
        <f>Calc!$FV$49</f>
        <v/>
      </c>
      <c r="AA47">
        <f>IF($T47&lt;&gt;"row",0,IF($V47=1,IF($X47=1,IF($Y47=1,1,2),IF($Y47=1,3,4)),IF($X47=1,IF($Y47=1,5,6),IF($Y47=1,7,8))))</f>
        <v/>
      </c>
    </row>
    <row r="48" ht="11.25" customHeight="1">
      <c r="A48" s="64">
        <f>Calc!$FB$50</f>
        <v/>
      </c>
      <c r="B48" s="64">
        <f>Calc!$FC$50</f>
        <v/>
      </c>
      <c r="C48" s="65">
        <f>Calc!$FD$50</f>
        <v/>
      </c>
      <c r="D48" s="65">
        <f>Calc!$FE$50</f>
        <v/>
      </c>
      <c r="E48" s="65">
        <f>Calc!$FF$50</f>
        <v/>
      </c>
      <c r="F48" s="65">
        <f>Calc!$FG$50</f>
        <v/>
      </c>
      <c r="G48" s="65">
        <f>Calc!$FH$50</f>
        <v/>
      </c>
      <c r="H48" s="65">
        <f>Calc!$FI$50</f>
        <v/>
      </c>
      <c r="I48" s="65">
        <f>Calc!$FJ$50</f>
        <v/>
      </c>
      <c r="J48" s="65">
        <f>Calc!$FK$50</f>
        <v/>
      </c>
      <c r="K48" s="65">
        <f>Calc!$FL$50</f>
        <v/>
      </c>
      <c r="L48" s="65">
        <f>Calc!$FM$50</f>
        <v/>
      </c>
      <c r="M48" s="66">
        <f>Calc!$FN$50</f>
        <v/>
      </c>
      <c r="N48" s="66">
        <f>Calc!$FO$50</f>
        <v/>
      </c>
      <c r="O48" s="65">
        <f>Calc!$FP$50</f>
        <v/>
      </c>
      <c r="P48" s="67">
        <f>Calc!$FQ$50</f>
        <v/>
      </c>
      <c r="Q48" s="68">
        <f>Calc!$FR$50</f>
        <v/>
      </c>
      <c r="R48" s="65">
        <f>Calc!$FS$50</f>
        <v/>
      </c>
      <c r="T48">
        <f>Calc!$EY$50</f>
        <v/>
      </c>
      <c r="U48">
        <f>Calc!$FT$50</f>
        <v/>
      </c>
      <c r="V48">
        <f>Calc!$FU$50</f>
        <v/>
      </c>
      <c r="W48">
        <f>Calc!$FC$50</f>
        <v/>
      </c>
      <c r="X48">
        <f>Calc!$EZ$50</f>
        <v/>
      </c>
      <c r="Y48">
        <f>Calc!$FA$50</f>
        <v/>
      </c>
      <c r="Z48">
        <f>Calc!$FV$50</f>
        <v/>
      </c>
      <c r="AA48">
        <f>IF($T48&lt;&gt;"row",0,IF($V48=1,IF($X48=1,IF($Y48=1,1,2),IF($Y48=1,3,4)),IF($X48=1,IF($Y48=1,5,6),IF($Y48=1,7,8))))</f>
        <v/>
      </c>
    </row>
    <row r="49" ht="11.25" customHeight="1">
      <c r="A49" s="64">
        <f>Calc!$FB$51</f>
        <v/>
      </c>
      <c r="B49" s="64">
        <f>Calc!$FC$51</f>
        <v/>
      </c>
      <c r="C49" s="65">
        <f>Calc!$FD$51</f>
        <v/>
      </c>
      <c r="D49" s="65">
        <f>Calc!$FE$51</f>
        <v/>
      </c>
      <c r="E49" s="65">
        <f>Calc!$FF$51</f>
        <v/>
      </c>
      <c r="F49" s="65">
        <f>Calc!$FG$51</f>
        <v/>
      </c>
      <c r="G49" s="65">
        <f>Calc!$FH$51</f>
        <v/>
      </c>
      <c r="H49" s="65">
        <f>Calc!$FI$51</f>
        <v/>
      </c>
      <c r="I49" s="65">
        <f>Calc!$FJ$51</f>
        <v/>
      </c>
      <c r="J49" s="65">
        <f>Calc!$FK$51</f>
        <v/>
      </c>
      <c r="K49" s="65">
        <f>Calc!$FL$51</f>
        <v/>
      </c>
      <c r="L49" s="65">
        <f>Calc!$FM$51</f>
        <v/>
      </c>
      <c r="M49" s="66">
        <f>Calc!$FN$51</f>
        <v/>
      </c>
      <c r="N49" s="66">
        <f>Calc!$FO$51</f>
        <v/>
      </c>
      <c r="O49" s="65">
        <f>Calc!$FP$51</f>
        <v/>
      </c>
      <c r="P49" s="67">
        <f>Calc!$FQ$51</f>
        <v/>
      </c>
      <c r="Q49" s="68">
        <f>Calc!$FR$51</f>
        <v/>
      </c>
      <c r="R49" s="65">
        <f>Calc!$FS$51</f>
        <v/>
      </c>
      <c r="T49">
        <f>Calc!$EY$51</f>
        <v/>
      </c>
      <c r="U49">
        <f>Calc!$FT$51</f>
        <v/>
      </c>
      <c r="V49">
        <f>Calc!$FU$51</f>
        <v/>
      </c>
      <c r="W49">
        <f>Calc!$FC$51</f>
        <v/>
      </c>
      <c r="X49">
        <f>Calc!$EZ$51</f>
        <v/>
      </c>
      <c r="Y49">
        <f>Calc!$FA$51</f>
        <v/>
      </c>
      <c r="Z49">
        <f>Calc!$FV$51</f>
        <v/>
      </c>
      <c r="AA49">
        <f>IF($T49&lt;&gt;"row",0,IF($V49=1,IF($X49=1,IF($Y49=1,1,2),IF($Y49=1,3,4)),IF($X49=1,IF($Y49=1,5,6),IF($Y49=1,7,8))))</f>
        <v/>
      </c>
    </row>
    <row r="50" ht="11.25" customHeight="1">
      <c r="A50" s="64">
        <f>Calc!$FB$52</f>
        <v/>
      </c>
      <c r="B50" s="64">
        <f>Calc!$FC$52</f>
        <v/>
      </c>
      <c r="C50" s="65">
        <f>Calc!$FD$52</f>
        <v/>
      </c>
      <c r="D50" s="65">
        <f>Calc!$FE$52</f>
        <v/>
      </c>
      <c r="E50" s="65">
        <f>Calc!$FF$52</f>
        <v/>
      </c>
      <c r="F50" s="65">
        <f>Calc!$FG$52</f>
        <v/>
      </c>
      <c r="G50" s="65">
        <f>Calc!$FH$52</f>
        <v/>
      </c>
      <c r="H50" s="65">
        <f>Calc!$FI$52</f>
        <v/>
      </c>
      <c r="I50" s="65">
        <f>Calc!$FJ$52</f>
        <v/>
      </c>
      <c r="J50" s="65">
        <f>Calc!$FK$52</f>
        <v/>
      </c>
      <c r="K50" s="65">
        <f>Calc!$FL$52</f>
        <v/>
      </c>
      <c r="L50" s="65">
        <f>Calc!$FM$52</f>
        <v/>
      </c>
      <c r="M50" s="66">
        <f>Calc!$FN$52</f>
        <v/>
      </c>
      <c r="N50" s="66">
        <f>Calc!$FO$52</f>
        <v/>
      </c>
      <c r="O50" s="65">
        <f>Calc!$FP$52</f>
        <v/>
      </c>
      <c r="P50" s="67">
        <f>Calc!$FQ$52</f>
        <v/>
      </c>
      <c r="Q50" s="68">
        <f>Calc!$FR$52</f>
        <v/>
      </c>
      <c r="R50" s="65">
        <f>Calc!$FS$52</f>
        <v/>
      </c>
      <c r="T50">
        <f>Calc!$EY$52</f>
        <v/>
      </c>
      <c r="U50">
        <f>Calc!$FT$52</f>
        <v/>
      </c>
      <c r="V50">
        <f>Calc!$FU$52</f>
        <v/>
      </c>
      <c r="W50">
        <f>Calc!$FC$52</f>
        <v/>
      </c>
      <c r="X50">
        <f>Calc!$EZ$52</f>
        <v/>
      </c>
      <c r="Y50">
        <f>Calc!$FA$52</f>
        <v/>
      </c>
      <c r="Z50">
        <f>Calc!$FV$52</f>
        <v/>
      </c>
      <c r="AA50">
        <f>IF($T50&lt;&gt;"row",0,IF($V50=1,IF($X50=1,IF($Y50=1,1,2),IF($Y50=1,3,4)),IF($X50=1,IF($Y50=1,5,6),IF($Y50=1,7,8))))</f>
        <v/>
      </c>
    </row>
    <row r="51" ht="11.25" customHeight="1">
      <c r="A51" s="64">
        <f>Calc!$FB$53</f>
        <v/>
      </c>
      <c r="B51" s="64">
        <f>Calc!$FC$53</f>
        <v/>
      </c>
      <c r="C51" s="65">
        <f>Calc!$FD$53</f>
        <v/>
      </c>
      <c r="D51" s="65">
        <f>Calc!$FE$53</f>
        <v/>
      </c>
      <c r="E51" s="65">
        <f>Calc!$FF$53</f>
        <v/>
      </c>
      <c r="F51" s="65">
        <f>Calc!$FG$53</f>
        <v/>
      </c>
      <c r="G51" s="65">
        <f>Calc!$FH$53</f>
        <v/>
      </c>
      <c r="H51" s="65">
        <f>Calc!$FI$53</f>
        <v/>
      </c>
      <c r="I51" s="65">
        <f>Calc!$FJ$53</f>
        <v/>
      </c>
      <c r="J51" s="65">
        <f>Calc!$FK$53</f>
        <v/>
      </c>
      <c r="K51" s="65">
        <f>Calc!$FL$53</f>
        <v/>
      </c>
      <c r="L51" s="65">
        <f>Calc!$FM$53</f>
        <v/>
      </c>
      <c r="M51" s="66">
        <f>Calc!$FN$53</f>
        <v/>
      </c>
      <c r="N51" s="66">
        <f>Calc!$FO$53</f>
        <v/>
      </c>
      <c r="O51" s="65">
        <f>Calc!$FP$53</f>
        <v/>
      </c>
      <c r="P51" s="67">
        <f>Calc!$FQ$53</f>
        <v/>
      </c>
      <c r="Q51" s="68">
        <f>Calc!$FR$53</f>
        <v/>
      </c>
      <c r="R51" s="65">
        <f>Calc!$FS$53</f>
        <v/>
      </c>
      <c r="T51">
        <f>Calc!$EY$53</f>
        <v/>
      </c>
      <c r="U51">
        <f>Calc!$FT$53</f>
        <v/>
      </c>
      <c r="V51">
        <f>Calc!$FU$53</f>
        <v/>
      </c>
      <c r="W51">
        <f>Calc!$FC$53</f>
        <v/>
      </c>
      <c r="X51">
        <f>Calc!$EZ$53</f>
        <v/>
      </c>
      <c r="Y51">
        <f>Calc!$FA$53</f>
        <v/>
      </c>
      <c r="Z51">
        <f>Calc!$FV$53</f>
        <v/>
      </c>
      <c r="AA51">
        <f>IF($T51&lt;&gt;"row",0,IF($V51=1,IF($X51=1,IF($Y51=1,1,2),IF($Y51=1,3,4)),IF($X51=1,IF($Y51=1,5,6),IF($Y51=1,7,8))))</f>
        <v/>
      </c>
    </row>
    <row r="52" ht="11.25" customHeight="1">
      <c r="A52" s="64">
        <f>Calc!$FB$54</f>
        <v/>
      </c>
      <c r="B52" s="64">
        <f>Calc!$FC$54</f>
        <v/>
      </c>
      <c r="C52" s="65">
        <f>Calc!$FD$54</f>
        <v/>
      </c>
      <c r="D52" s="65">
        <f>Calc!$FE$54</f>
        <v/>
      </c>
      <c r="E52" s="65">
        <f>Calc!$FF$54</f>
        <v/>
      </c>
      <c r="F52" s="65">
        <f>Calc!$FG$54</f>
        <v/>
      </c>
      <c r="G52" s="65">
        <f>Calc!$FH$54</f>
        <v/>
      </c>
      <c r="H52" s="65">
        <f>Calc!$FI$54</f>
        <v/>
      </c>
      <c r="I52" s="65">
        <f>Calc!$FJ$54</f>
        <v/>
      </c>
      <c r="J52" s="65">
        <f>Calc!$FK$54</f>
        <v/>
      </c>
      <c r="K52" s="65">
        <f>Calc!$FL$54</f>
        <v/>
      </c>
      <c r="L52" s="65">
        <f>Calc!$FM$54</f>
        <v/>
      </c>
      <c r="M52" s="66">
        <f>Calc!$FN$54</f>
        <v/>
      </c>
      <c r="N52" s="66">
        <f>Calc!$FO$54</f>
        <v/>
      </c>
      <c r="O52" s="65">
        <f>Calc!$FP$54</f>
        <v/>
      </c>
      <c r="P52" s="67">
        <f>Calc!$FQ$54</f>
        <v/>
      </c>
      <c r="Q52" s="68">
        <f>Calc!$FR$54</f>
        <v/>
      </c>
      <c r="R52" s="65">
        <f>Calc!$FS$54</f>
        <v/>
      </c>
      <c r="T52">
        <f>Calc!$EY$54</f>
        <v/>
      </c>
      <c r="U52">
        <f>Calc!$FT$54</f>
        <v/>
      </c>
      <c r="V52">
        <f>Calc!$FU$54</f>
        <v/>
      </c>
      <c r="W52">
        <f>Calc!$FC$54</f>
        <v/>
      </c>
      <c r="X52">
        <f>Calc!$EZ$54</f>
        <v/>
      </c>
      <c r="Y52">
        <f>Calc!$FA$54</f>
        <v/>
      </c>
      <c r="Z52">
        <f>Calc!$FV$54</f>
        <v/>
      </c>
      <c r="AA52">
        <f>IF($T52&lt;&gt;"row",0,IF($V52=1,IF($X52=1,IF($Y52=1,1,2),IF($Y52=1,3,4)),IF($X52=1,IF($Y52=1,5,6),IF($Y52=1,7,8))))</f>
        <v/>
      </c>
    </row>
    <row r="53" ht="11.25" customHeight="1">
      <c r="A53" s="64">
        <f>Calc!$FB$55</f>
        <v/>
      </c>
      <c r="B53" s="64">
        <f>Calc!$FC$55</f>
        <v/>
      </c>
      <c r="C53" s="65">
        <f>Calc!$FD$55</f>
        <v/>
      </c>
      <c r="D53" s="65">
        <f>Calc!$FE$55</f>
        <v/>
      </c>
      <c r="E53" s="65">
        <f>Calc!$FF$55</f>
        <v/>
      </c>
      <c r="F53" s="65">
        <f>Calc!$FG$55</f>
        <v/>
      </c>
      <c r="G53" s="65">
        <f>Calc!$FH$55</f>
        <v/>
      </c>
      <c r="H53" s="65">
        <f>Calc!$FI$55</f>
        <v/>
      </c>
      <c r="I53" s="65">
        <f>Calc!$FJ$55</f>
        <v/>
      </c>
      <c r="J53" s="65">
        <f>Calc!$FK$55</f>
        <v/>
      </c>
      <c r="K53" s="65">
        <f>Calc!$FL$55</f>
        <v/>
      </c>
      <c r="L53" s="65">
        <f>Calc!$FM$55</f>
        <v/>
      </c>
      <c r="M53" s="66">
        <f>Calc!$FN$55</f>
        <v/>
      </c>
      <c r="N53" s="66">
        <f>Calc!$FO$55</f>
        <v/>
      </c>
      <c r="O53" s="65">
        <f>Calc!$FP$55</f>
        <v/>
      </c>
      <c r="P53" s="67">
        <f>Calc!$FQ$55</f>
        <v/>
      </c>
      <c r="Q53" s="68">
        <f>Calc!$FR$55</f>
        <v/>
      </c>
      <c r="R53" s="65">
        <f>Calc!$FS$55</f>
        <v/>
      </c>
      <c r="T53">
        <f>Calc!$EY$55</f>
        <v/>
      </c>
      <c r="U53">
        <f>Calc!$FT$55</f>
        <v/>
      </c>
      <c r="V53">
        <f>Calc!$FU$55</f>
        <v/>
      </c>
      <c r="W53">
        <f>Calc!$FC$55</f>
        <v/>
      </c>
      <c r="X53">
        <f>Calc!$EZ$55</f>
        <v/>
      </c>
      <c r="Y53">
        <f>Calc!$FA$55</f>
        <v/>
      </c>
      <c r="Z53">
        <f>Calc!$FV$55</f>
        <v/>
      </c>
      <c r="AA53">
        <f>IF($T53&lt;&gt;"row",0,IF($V53=1,IF($X53=1,IF($Y53=1,1,2),IF($Y53=1,3,4)),IF($X53=1,IF($Y53=1,5,6),IF($Y53=1,7,8))))</f>
        <v/>
      </c>
    </row>
    <row r="54" ht="11.25" customHeight="1">
      <c r="A54" s="64">
        <f>Calc!$FB$56</f>
        <v/>
      </c>
      <c r="B54" s="64">
        <f>Calc!$FC$56</f>
        <v/>
      </c>
      <c r="C54" s="65">
        <f>Calc!$FD$56</f>
        <v/>
      </c>
      <c r="D54" s="65">
        <f>Calc!$FE$56</f>
        <v/>
      </c>
      <c r="E54" s="65">
        <f>Calc!$FF$56</f>
        <v/>
      </c>
      <c r="F54" s="65">
        <f>Calc!$FG$56</f>
        <v/>
      </c>
      <c r="G54" s="65">
        <f>Calc!$FH$56</f>
        <v/>
      </c>
      <c r="H54" s="65">
        <f>Calc!$FI$56</f>
        <v/>
      </c>
      <c r="I54" s="65">
        <f>Calc!$FJ$56</f>
        <v/>
      </c>
      <c r="J54" s="65">
        <f>Calc!$FK$56</f>
        <v/>
      </c>
      <c r="K54" s="65">
        <f>Calc!$FL$56</f>
        <v/>
      </c>
      <c r="L54" s="65">
        <f>Calc!$FM$56</f>
        <v/>
      </c>
      <c r="M54" s="66">
        <f>Calc!$FN$56</f>
        <v/>
      </c>
      <c r="N54" s="66">
        <f>Calc!$FO$56</f>
        <v/>
      </c>
      <c r="O54" s="65">
        <f>Calc!$FP$56</f>
        <v/>
      </c>
      <c r="P54" s="67">
        <f>Calc!$FQ$56</f>
        <v/>
      </c>
      <c r="Q54" s="68">
        <f>Calc!$FR$56</f>
        <v/>
      </c>
      <c r="R54" s="65">
        <f>Calc!$FS$56</f>
        <v/>
      </c>
      <c r="T54">
        <f>Calc!$EY$56</f>
        <v/>
      </c>
      <c r="U54">
        <f>Calc!$FT$56</f>
        <v/>
      </c>
      <c r="V54">
        <f>Calc!$FU$56</f>
        <v/>
      </c>
      <c r="W54">
        <f>Calc!$FC$56</f>
        <v/>
      </c>
      <c r="X54">
        <f>Calc!$EZ$56</f>
        <v/>
      </c>
      <c r="Y54">
        <f>Calc!$FA$56</f>
        <v/>
      </c>
      <c r="Z54">
        <f>Calc!$FV$56</f>
        <v/>
      </c>
      <c r="AA54">
        <f>IF($T54&lt;&gt;"row",0,IF($V54=1,IF($X54=1,IF($Y54=1,1,2),IF($Y54=1,3,4)),IF($X54=1,IF($Y54=1,5,6),IF($Y54=1,7,8))))</f>
        <v/>
      </c>
    </row>
    <row r="55" ht="11.25" customHeight="1">
      <c r="A55" s="64">
        <f>Calc!$FB$57</f>
        <v/>
      </c>
      <c r="B55" s="64">
        <f>Calc!$FC$57</f>
        <v/>
      </c>
      <c r="C55" s="65">
        <f>Calc!$FD$57</f>
        <v/>
      </c>
      <c r="D55" s="65">
        <f>Calc!$FE$57</f>
        <v/>
      </c>
      <c r="E55" s="65">
        <f>Calc!$FF$57</f>
        <v/>
      </c>
      <c r="F55" s="65">
        <f>Calc!$FG$57</f>
        <v/>
      </c>
      <c r="G55" s="65">
        <f>Calc!$FH$57</f>
        <v/>
      </c>
      <c r="H55" s="65">
        <f>Calc!$FI$57</f>
        <v/>
      </c>
      <c r="I55" s="65">
        <f>Calc!$FJ$57</f>
        <v/>
      </c>
      <c r="J55" s="65">
        <f>Calc!$FK$57</f>
        <v/>
      </c>
      <c r="K55" s="65">
        <f>Calc!$FL$57</f>
        <v/>
      </c>
      <c r="L55" s="65">
        <f>Calc!$FM$57</f>
        <v/>
      </c>
      <c r="M55" s="66">
        <f>Calc!$FN$57</f>
        <v/>
      </c>
      <c r="N55" s="66">
        <f>Calc!$FO$57</f>
        <v/>
      </c>
      <c r="O55" s="65">
        <f>Calc!$FP$57</f>
        <v/>
      </c>
      <c r="P55" s="67">
        <f>Calc!$FQ$57</f>
        <v/>
      </c>
      <c r="Q55" s="68">
        <f>Calc!$FR$57</f>
        <v/>
      </c>
      <c r="R55" s="65">
        <f>Calc!$FS$57</f>
        <v/>
      </c>
      <c r="T55">
        <f>Calc!$EY$57</f>
        <v/>
      </c>
      <c r="U55">
        <f>Calc!$FT$57</f>
        <v/>
      </c>
      <c r="V55">
        <f>Calc!$FU$57</f>
        <v/>
      </c>
      <c r="W55">
        <f>Calc!$FC$57</f>
        <v/>
      </c>
      <c r="X55">
        <f>Calc!$EZ$57</f>
        <v/>
      </c>
      <c r="Y55">
        <f>Calc!$FA$57</f>
        <v/>
      </c>
      <c r="Z55">
        <f>Calc!$FV$57</f>
        <v/>
      </c>
      <c r="AA55">
        <f>IF($T55&lt;&gt;"row",0,IF($V55=1,IF($X55=1,IF($Y55=1,1,2),IF($Y55=1,3,4)),IF($X55=1,IF($Y55=1,5,6),IF($Y55=1,7,8))))</f>
        <v/>
      </c>
    </row>
    <row r="56" ht="11.25" customHeight="1">
      <c r="A56" s="64">
        <f>Calc!$FB$58</f>
        <v/>
      </c>
      <c r="B56" s="64">
        <f>Calc!$FC$58</f>
        <v/>
      </c>
      <c r="C56" s="65">
        <f>Calc!$FD$58</f>
        <v/>
      </c>
      <c r="D56" s="65">
        <f>Calc!$FE$58</f>
        <v/>
      </c>
      <c r="E56" s="65">
        <f>Calc!$FF$58</f>
        <v/>
      </c>
      <c r="F56" s="65">
        <f>Calc!$FG$58</f>
        <v/>
      </c>
      <c r="G56" s="65">
        <f>Calc!$FH$58</f>
        <v/>
      </c>
      <c r="H56" s="65">
        <f>Calc!$FI$58</f>
        <v/>
      </c>
      <c r="I56" s="65">
        <f>Calc!$FJ$58</f>
        <v/>
      </c>
      <c r="J56" s="65">
        <f>Calc!$FK$58</f>
        <v/>
      </c>
      <c r="K56" s="65">
        <f>Calc!$FL$58</f>
        <v/>
      </c>
      <c r="L56" s="65">
        <f>Calc!$FM$58</f>
        <v/>
      </c>
      <c r="M56" s="66">
        <f>Calc!$FN$58</f>
        <v/>
      </c>
      <c r="N56" s="66">
        <f>Calc!$FO$58</f>
        <v/>
      </c>
      <c r="O56" s="65">
        <f>Calc!$FP$58</f>
        <v/>
      </c>
      <c r="P56" s="67">
        <f>Calc!$FQ$58</f>
        <v/>
      </c>
      <c r="Q56" s="68">
        <f>Calc!$FR$58</f>
        <v/>
      </c>
      <c r="R56" s="65">
        <f>Calc!$FS$58</f>
        <v/>
      </c>
      <c r="T56">
        <f>Calc!$EY$58</f>
        <v/>
      </c>
      <c r="U56">
        <f>Calc!$FT$58</f>
        <v/>
      </c>
      <c r="V56">
        <f>Calc!$FU$58</f>
        <v/>
      </c>
      <c r="W56">
        <f>Calc!$FC$58</f>
        <v/>
      </c>
      <c r="X56">
        <f>Calc!$EZ$58</f>
        <v/>
      </c>
      <c r="Y56">
        <f>Calc!$FA$58</f>
        <v/>
      </c>
      <c r="Z56">
        <f>Calc!$FV$58</f>
        <v/>
      </c>
      <c r="AA56">
        <f>IF($T56&lt;&gt;"row",0,IF($V56=1,IF($X56=1,IF($Y56=1,1,2),IF($Y56=1,3,4)),IF($X56=1,IF($Y56=1,5,6),IF($Y56=1,7,8))))</f>
        <v/>
      </c>
    </row>
    <row r="57" ht="11.25" customHeight="1">
      <c r="A57" s="64">
        <f>Calc!$FB$59</f>
        <v/>
      </c>
      <c r="B57" s="64">
        <f>Calc!$FC$59</f>
        <v/>
      </c>
      <c r="C57" s="65">
        <f>Calc!$FD$59</f>
        <v/>
      </c>
      <c r="D57" s="65">
        <f>Calc!$FE$59</f>
        <v/>
      </c>
      <c r="E57" s="65">
        <f>Calc!$FF$59</f>
        <v/>
      </c>
      <c r="F57" s="65">
        <f>Calc!$FG$59</f>
        <v/>
      </c>
      <c r="G57" s="65">
        <f>Calc!$FH$59</f>
        <v/>
      </c>
      <c r="H57" s="65">
        <f>Calc!$FI$59</f>
        <v/>
      </c>
      <c r="I57" s="65">
        <f>Calc!$FJ$59</f>
        <v/>
      </c>
      <c r="J57" s="65">
        <f>Calc!$FK$59</f>
        <v/>
      </c>
      <c r="K57" s="65">
        <f>Calc!$FL$59</f>
        <v/>
      </c>
      <c r="L57" s="65">
        <f>Calc!$FM$59</f>
        <v/>
      </c>
      <c r="M57" s="66">
        <f>Calc!$FN$59</f>
        <v/>
      </c>
      <c r="N57" s="66">
        <f>Calc!$FO$59</f>
        <v/>
      </c>
      <c r="O57" s="65">
        <f>Calc!$FP$59</f>
        <v/>
      </c>
      <c r="P57" s="67">
        <f>Calc!$FQ$59</f>
        <v/>
      </c>
      <c r="Q57" s="68">
        <f>Calc!$FR$59</f>
        <v/>
      </c>
      <c r="R57" s="65">
        <f>Calc!$FS$59</f>
        <v/>
      </c>
      <c r="T57">
        <f>Calc!$EY$59</f>
        <v/>
      </c>
      <c r="U57">
        <f>Calc!$FT$59</f>
        <v/>
      </c>
      <c r="V57">
        <f>Calc!$FU$59</f>
        <v/>
      </c>
      <c r="W57">
        <f>Calc!$FC$59</f>
        <v/>
      </c>
      <c r="X57">
        <f>Calc!$EZ$59</f>
        <v/>
      </c>
      <c r="Y57">
        <f>Calc!$FA$59</f>
        <v/>
      </c>
      <c r="Z57">
        <f>Calc!$FV$59</f>
        <v/>
      </c>
      <c r="AA57">
        <f>IF($T57&lt;&gt;"row",0,IF($V57=1,IF($X57=1,IF($Y57=1,1,2),IF($Y57=1,3,4)),IF($X57=1,IF($Y57=1,5,6),IF($Y57=1,7,8))))</f>
        <v/>
      </c>
    </row>
    <row r="58" ht="11.25" customHeight="1">
      <c r="A58" s="64">
        <f>Calc!$FB$60</f>
        <v/>
      </c>
      <c r="B58" s="64">
        <f>Calc!$FC$60</f>
        <v/>
      </c>
      <c r="C58" s="65">
        <f>Calc!$FD$60</f>
        <v/>
      </c>
      <c r="D58" s="65">
        <f>Calc!$FE$60</f>
        <v/>
      </c>
      <c r="E58" s="65">
        <f>Calc!$FF$60</f>
        <v/>
      </c>
      <c r="F58" s="65">
        <f>Calc!$FG$60</f>
        <v/>
      </c>
      <c r="G58" s="65">
        <f>Calc!$FH$60</f>
        <v/>
      </c>
      <c r="H58" s="65">
        <f>Calc!$FI$60</f>
        <v/>
      </c>
      <c r="I58" s="65">
        <f>Calc!$FJ$60</f>
        <v/>
      </c>
      <c r="J58" s="65">
        <f>Calc!$FK$60</f>
        <v/>
      </c>
      <c r="K58" s="65">
        <f>Calc!$FL$60</f>
        <v/>
      </c>
      <c r="L58" s="65">
        <f>Calc!$FM$60</f>
        <v/>
      </c>
      <c r="M58" s="66">
        <f>Calc!$FN$60</f>
        <v/>
      </c>
      <c r="N58" s="66">
        <f>Calc!$FO$60</f>
        <v/>
      </c>
      <c r="O58" s="65">
        <f>Calc!$FP$60</f>
        <v/>
      </c>
      <c r="P58" s="67">
        <f>Calc!$FQ$60</f>
        <v/>
      </c>
      <c r="Q58" s="68">
        <f>Calc!$FR$60</f>
        <v/>
      </c>
      <c r="R58" s="65">
        <f>Calc!$FS$60</f>
        <v/>
      </c>
      <c r="T58">
        <f>Calc!$EY$60</f>
        <v/>
      </c>
      <c r="U58">
        <f>Calc!$FT$60</f>
        <v/>
      </c>
      <c r="V58">
        <f>Calc!$FU$60</f>
        <v/>
      </c>
      <c r="W58">
        <f>Calc!$FC$60</f>
        <v/>
      </c>
      <c r="X58">
        <f>Calc!$EZ$60</f>
        <v/>
      </c>
      <c r="Y58">
        <f>Calc!$FA$60</f>
        <v/>
      </c>
      <c r="Z58">
        <f>Calc!$FV$60</f>
        <v/>
      </c>
      <c r="AA58">
        <f>IF($T58&lt;&gt;"row",0,IF($V58=1,IF($X58=1,IF($Y58=1,1,2),IF($Y58=1,3,4)),IF($X58=1,IF($Y58=1,5,6),IF($Y58=1,7,8))))</f>
        <v/>
      </c>
    </row>
    <row r="59" ht="11.25" customHeight="1">
      <c r="A59" s="64">
        <f>Calc!$FB$61</f>
        <v/>
      </c>
      <c r="B59" s="64">
        <f>Calc!$FC$61</f>
        <v/>
      </c>
      <c r="C59" s="65">
        <f>Calc!$FD$61</f>
        <v/>
      </c>
      <c r="D59" s="65">
        <f>Calc!$FE$61</f>
        <v/>
      </c>
      <c r="E59" s="65">
        <f>Calc!$FF$61</f>
        <v/>
      </c>
      <c r="F59" s="65">
        <f>Calc!$FG$61</f>
        <v/>
      </c>
      <c r="G59" s="65">
        <f>Calc!$FH$61</f>
        <v/>
      </c>
      <c r="H59" s="65">
        <f>Calc!$FI$61</f>
        <v/>
      </c>
      <c r="I59" s="65">
        <f>Calc!$FJ$61</f>
        <v/>
      </c>
      <c r="J59" s="65">
        <f>Calc!$FK$61</f>
        <v/>
      </c>
      <c r="K59" s="65">
        <f>Calc!$FL$61</f>
        <v/>
      </c>
      <c r="L59" s="65">
        <f>Calc!$FM$61</f>
        <v/>
      </c>
      <c r="M59" s="66">
        <f>Calc!$FN$61</f>
        <v/>
      </c>
      <c r="N59" s="66">
        <f>Calc!$FO$61</f>
        <v/>
      </c>
      <c r="O59" s="65">
        <f>Calc!$FP$61</f>
        <v/>
      </c>
      <c r="P59" s="67">
        <f>Calc!$FQ$61</f>
        <v/>
      </c>
      <c r="Q59" s="68">
        <f>Calc!$FR$61</f>
        <v/>
      </c>
      <c r="R59" s="65">
        <f>Calc!$FS$61</f>
        <v/>
      </c>
      <c r="T59">
        <f>Calc!$EY$61</f>
        <v/>
      </c>
      <c r="U59">
        <f>Calc!$FT$61</f>
        <v/>
      </c>
      <c r="V59">
        <f>Calc!$FU$61</f>
        <v/>
      </c>
      <c r="W59">
        <f>Calc!$FC$61</f>
        <v/>
      </c>
      <c r="X59">
        <f>Calc!$EZ$61</f>
        <v/>
      </c>
      <c r="Y59">
        <f>Calc!$FA$61</f>
        <v/>
      </c>
      <c r="Z59">
        <f>Calc!$FV$61</f>
        <v/>
      </c>
      <c r="AA59">
        <f>IF($T59&lt;&gt;"row",0,IF($V59=1,IF($X59=1,IF($Y59=1,1,2),IF($Y59=1,3,4)),IF($X59=1,IF($Y59=1,5,6),IF($Y59=1,7,8))))</f>
        <v/>
      </c>
    </row>
    <row r="60" ht="11.25" customHeight="1">
      <c r="A60" s="64">
        <f>Calc!$FB$62</f>
        <v/>
      </c>
      <c r="B60" s="64">
        <f>Calc!$FC$62</f>
        <v/>
      </c>
      <c r="C60" s="65">
        <f>Calc!$FD$62</f>
        <v/>
      </c>
      <c r="D60" s="65">
        <f>Calc!$FE$62</f>
        <v/>
      </c>
      <c r="E60" s="65">
        <f>Calc!$FF$62</f>
        <v/>
      </c>
      <c r="F60" s="65">
        <f>Calc!$FG$62</f>
        <v/>
      </c>
      <c r="G60" s="65">
        <f>Calc!$FH$62</f>
        <v/>
      </c>
      <c r="H60" s="65">
        <f>Calc!$FI$62</f>
        <v/>
      </c>
      <c r="I60" s="65">
        <f>Calc!$FJ$62</f>
        <v/>
      </c>
      <c r="J60" s="65">
        <f>Calc!$FK$62</f>
        <v/>
      </c>
      <c r="K60" s="65">
        <f>Calc!$FL$62</f>
        <v/>
      </c>
      <c r="L60" s="65">
        <f>Calc!$FM$62</f>
        <v/>
      </c>
      <c r="M60" s="66">
        <f>Calc!$FN$62</f>
        <v/>
      </c>
      <c r="N60" s="66">
        <f>Calc!$FO$62</f>
        <v/>
      </c>
      <c r="O60" s="65">
        <f>Calc!$FP$62</f>
        <v/>
      </c>
      <c r="P60" s="67">
        <f>Calc!$FQ$62</f>
        <v/>
      </c>
      <c r="Q60" s="68">
        <f>Calc!$FR$62</f>
        <v/>
      </c>
      <c r="R60" s="65">
        <f>Calc!$FS$62</f>
        <v/>
      </c>
      <c r="T60">
        <f>Calc!$EY$62</f>
        <v/>
      </c>
      <c r="U60">
        <f>Calc!$FT$62</f>
        <v/>
      </c>
      <c r="V60">
        <f>Calc!$FU$62</f>
        <v/>
      </c>
      <c r="W60">
        <f>Calc!$FC$62</f>
        <v/>
      </c>
      <c r="X60">
        <f>Calc!$EZ$62</f>
        <v/>
      </c>
      <c r="Y60">
        <f>Calc!$FA$62</f>
        <v/>
      </c>
      <c r="Z60">
        <f>Calc!$FV$62</f>
        <v/>
      </c>
      <c r="AA60">
        <f>IF($T60&lt;&gt;"row",0,IF($V60=1,IF($X60=1,IF($Y60=1,1,2),IF($Y60=1,3,4)),IF($X60=1,IF($Y60=1,5,6),IF($Y60=1,7,8))))</f>
        <v/>
      </c>
    </row>
    <row r="61" ht="11.25" customHeight="1">
      <c r="A61" s="64">
        <f>Calc!$FB$63</f>
        <v/>
      </c>
      <c r="B61" s="64">
        <f>Calc!$FC$63</f>
        <v/>
      </c>
      <c r="C61" s="65">
        <f>Calc!$FD$63</f>
        <v/>
      </c>
      <c r="D61" s="65">
        <f>Calc!$FE$63</f>
        <v/>
      </c>
      <c r="E61" s="65">
        <f>Calc!$FF$63</f>
        <v/>
      </c>
      <c r="F61" s="65">
        <f>Calc!$FG$63</f>
        <v/>
      </c>
      <c r="G61" s="65">
        <f>Calc!$FH$63</f>
        <v/>
      </c>
      <c r="H61" s="65">
        <f>Calc!$FI$63</f>
        <v/>
      </c>
      <c r="I61" s="65">
        <f>Calc!$FJ$63</f>
        <v/>
      </c>
      <c r="J61" s="65">
        <f>Calc!$FK$63</f>
        <v/>
      </c>
      <c r="K61" s="65">
        <f>Calc!$FL$63</f>
        <v/>
      </c>
      <c r="L61" s="65">
        <f>Calc!$FM$63</f>
        <v/>
      </c>
      <c r="M61" s="66">
        <f>Calc!$FN$63</f>
        <v/>
      </c>
      <c r="N61" s="66">
        <f>Calc!$FO$63</f>
        <v/>
      </c>
      <c r="O61" s="65">
        <f>Calc!$FP$63</f>
        <v/>
      </c>
      <c r="P61" s="67">
        <f>Calc!$FQ$63</f>
        <v/>
      </c>
      <c r="Q61" s="68">
        <f>Calc!$FR$63</f>
        <v/>
      </c>
      <c r="R61" s="65">
        <f>Calc!$FS$63</f>
        <v/>
      </c>
      <c r="T61">
        <f>Calc!$EY$63</f>
        <v/>
      </c>
      <c r="U61">
        <f>Calc!$FT$63</f>
        <v/>
      </c>
      <c r="V61">
        <f>Calc!$FU$63</f>
        <v/>
      </c>
      <c r="W61">
        <f>Calc!$FC$63</f>
        <v/>
      </c>
      <c r="X61">
        <f>Calc!$EZ$63</f>
        <v/>
      </c>
      <c r="Y61">
        <f>Calc!$FA$63</f>
        <v/>
      </c>
      <c r="Z61">
        <f>Calc!$FV$63</f>
        <v/>
      </c>
      <c r="AA61">
        <f>IF($T61&lt;&gt;"row",0,IF($V61=1,IF($X61=1,IF($Y61=1,1,2),IF($Y61=1,3,4)),IF($X61=1,IF($Y61=1,5,6),IF($Y61=1,7,8))))</f>
        <v/>
      </c>
    </row>
    <row r="62" ht="11.25" customHeight="1">
      <c r="A62" s="64">
        <f>Calc!$FB$64</f>
        <v/>
      </c>
      <c r="B62" s="64">
        <f>Calc!$FC$64</f>
        <v/>
      </c>
      <c r="C62" s="65">
        <f>Calc!$FD$64</f>
        <v/>
      </c>
      <c r="D62" s="65">
        <f>Calc!$FE$64</f>
        <v/>
      </c>
      <c r="E62" s="65">
        <f>Calc!$FF$64</f>
        <v/>
      </c>
      <c r="F62" s="65">
        <f>Calc!$FG$64</f>
        <v/>
      </c>
      <c r="G62" s="65">
        <f>Calc!$FH$64</f>
        <v/>
      </c>
      <c r="H62" s="65">
        <f>Calc!$FI$64</f>
        <v/>
      </c>
      <c r="I62" s="65">
        <f>Calc!$FJ$64</f>
        <v/>
      </c>
      <c r="J62" s="65">
        <f>Calc!$FK$64</f>
        <v/>
      </c>
      <c r="K62" s="65">
        <f>Calc!$FL$64</f>
        <v/>
      </c>
      <c r="L62" s="65">
        <f>Calc!$FM$64</f>
        <v/>
      </c>
      <c r="M62" s="66">
        <f>Calc!$FN$64</f>
        <v/>
      </c>
      <c r="N62" s="66">
        <f>Calc!$FO$64</f>
        <v/>
      </c>
      <c r="O62" s="65">
        <f>Calc!$FP$64</f>
        <v/>
      </c>
      <c r="P62" s="67">
        <f>Calc!$FQ$64</f>
        <v/>
      </c>
      <c r="Q62" s="68">
        <f>Calc!$FR$64</f>
        <v/>
      </c>
      <c r="R62" s="65">
        <f>Calc!$FS$64</f>
        <v/>
      </c>
      <c r="T62">
        <f>Calc!$EY$64</f>
        <v/>
      </c>
      <c r="U62">
        <f>Calc!$FT$64</f>
        <v/>
      </c>
      <c r="V62">
        <f>Calc!$FU$64</f>
        <v/>
      </c>
      <c r="W62">
        <f>Calc!$FC$64</f>
        <v/>
      </c>
      <c r="X62">
        <f>Calc!$EZ$64</f>
        <v/>
      </c>
      <c r="Y62">
        <f>Calc!$FA$64</f>
        <v/>
      </c>
      <c r="Z62">
        <f>Calc!$FV$64</f>
        <v/>
      </c>
      <c r="AA62">
        <f>IF($T62&lt;&gt;"row",0,IF($V62=1,IF($X62=1,IF($Y62=1,1,2),IF($Y62=1,3,4)),IF($X62=1,IF($Y62=1,5,6),IF($Y62=1,7,8))))</f>
        <v/>
      </c>
    </row>
    <row r="63" ht="11.25" customHeight="1">
      <c r="A63" s="64">
        <f>Calc!$FB$65</f>
        <v/>
      </c>
      <c r="B63" s="64">
        <f>Calc!$FC$65</f>
        <v/>
      </c>
      <c r="C63" s="65">
        <f>Calc!$FD$65</f>
        <v/>
      </c>
      <c r="D63" s="65">
        <f>Calc!$FE$65</f>
        <v/>
      </c>
      <c r="E63" s="65">
        <f>Calc!$FF$65</f>
        <v/>
      </c>
      <c r="F63" s="65">
        <f>Calc!$FG$65</f>
        <v/>
      </c>
      <c r="G63" s="65">
        <f>Calc!$FH$65</f>
        <v/>
      </c>
      <c r="H63" s="65">
        <f>Calc!$FI$65</f>
        <v/>
      </c>
      <c r="I63" s="65">
        <f>Calc!$FJ$65</f>
        <v/>
      </c>
      <c r="J63" s="65">
        <f>Calc!$FK$65</f>
        <v/>
      </c>
      <c r="K63" s="65">
        <f>Calc!$FL$65</f>
        <v/>
      </c>
      <c r="L63" s="65">
        <f>Calc!$FM$65</f>
        <v/>
      </c>
      <c r="M63" s="66">
        <f>Calc!$FN$65</f>
        <v/>
      </c>
      <c r="N63" s="66">
        <f>Calc!$FO$65</f>
        <v/>
      </c>
      <c r="O63" s="65">
        <f>Calc!$FP$65</f>
        <v/>
      </c>
      <c r="P63" s="67">
        <f>Calc!$FQ$65</f>
        <v/>
      </c>
      <c r="Q63" s="68">
        <f>Calc!$FR$65</f>
        <v/>
      </c>
      <c r="R63" s="65">
        <f>Calc!$FS$65</f>
        <v/>
      </c>
      <c r="T63">
        <f>Calc!$EY$65</f>
        <v/>
      </c>
      <c r="U63">
        <f>Calc!$FT$65</f>
        <v/>
      </c>
      <c r="V63">
        <f>Calc!$FU$65</f>
        <v/>
      </c>
      <c r="W63">
        <f>Calc!$FC$65</f>
        <v/>
      </c>
      <c r="X63">
        <f>Calc!$EZ$65</f>
        <v/>
      </c>
      <c r="Y63">
        <f>Calc!$FA$65</f>
        <v/>
      </c>
      <c r="Z63">
        <f>Calc!$FV$65</f>
        <v/>
      </c>
      <c r="AA63">
        <f>IF($T63&lt;&gt;"row",0,IF($V63=1,IF($X63=1,IF($Y63=1,1,2),IF($Y63=1,3,4)),IF($X63=1,IF($Y63=1,5,6),IF($Y63=1,7,8))))</f>
        <v/>
      </c>
    </row>
    <row r="64" ht="11.25" customHeight="1">
      <c r="A64" s="64">
        <f>Calc!$FB$66</f>
        <v/>
      </c>
      <c r="B64" s="64">
        <f>Calc!$FC$66</f>
        <v/>
      </c>
      <c r="C64" s="65">
        <f>Calc!$FD$66</f>
        <v/>
      </c>
      <c r="D64" s="65">
        <f>Calc!$FE$66</f>
        <v/>
      </c>
      <c r="E64" s="65">
        <f>Calc!$FF$66</f>
        <v/>
      </c>
      <c r="F64" s="65">
        <f>Calc!$FG$66</f>
        <v/>
      </c>
      <c r="G64" s="65">
        <f>Calc!$FH$66</f>
        <v/>
      </c>
      <c r="H64" s="65">
        <f>Calc!$FI$66</f>
        <v/>
      </c>
      <c r="I64" s="65">
        <f>Calc!$FJ$66</f>
        <v/>
      </c>
      <c r="J64" s="65">
        <f>Calc!$FK$66</f>
        <v/>
      </c>
      <c r="K64" s="65">
        <f>Calc!$FL$66</f>
        <v/>
      </c>
      <c r="L64" s="65">
        <f>Calc!$FM$66</f>
        <v/>
      </c>
      <c r="M64" s="66">
        <f>Calc!$FN$66</f>
        <v/>
      </c>
      <c r="N64" s="66">
        <f>Calc!$FO$66</f>
        <v/>
      </c>
      <c r="O64" s="65">
        <f>Calc!$FP$66</f>
        <v/>
      </c>
      <c r="P64" s="67">
        <f>Calc!$FQ$66</f>
        <v/>
      </c>
      <c r="Q64" s="68">
        <f>Calc!$FR$66</f>
        <v/>
      </c>
      <c r="R64" s="65">
        <f>Calc!$FS$66</f>
        <v/>
      </c>
      <c r="T64">
        <f>Calc!$EY$66</f>
        <v/>
      </c>
      <c r="U64">
        <f>Calc!$FT$66</f>
        <v/>
      </c>
      <c r="V64">
        <f>Calc!$FU$66</f>
        <v/>
      </c>
      <c r="W64">
        <f>Calc!$FC$66</f>
        <v/>
      </c>
      <c r="X64">
        <f>Calc!$EZ$66</f>
        <v/>
      </c>
      <c r="Y64">
        <f>Calc!$FA$66</f>
        <v/>
      </c>
      <c r="Z64">
        <f>Calc!$FV$66</f>
        <v/>
      </c>
      <c r="AA64">
        <f>IF($T64&lt;&gt;"row",0,IF($V64=1,IF($X64=1,IF($Y64=1,1,2),IF($Y64=1,3,4)),IF($X64=1,IF($Y64=1,5,6),IF($Y64=1,7,8))))</f>
        <v/>
      </c>
    </row>
    <row r="65" ht="11.25" customHeight="1">
      <c r="A65" s="64">
        <f>Calc!$FB$67</f>
        <v/>
      </c>
      <c r="B65" s="64">
        <f>Calc!$FC$67</f>
        <v/>
      </c>
      <c r="C65" s="65">
        <f>Calc!$FD$67</f>
        <v/>
      </c>
      <c r="D65" s="65">
        <f>Calc!$FE$67</f>
        <v/>
      </c>
      <c r="E65" s="65">
        <f>Calc!$FF$67</f>
        <v/>
      </c>
      <c r="F65" s="65">
        <f>Calc!$FG$67</f>
        <v/>
      </c>
      <c r="G65" s="65">
        <f>Calc!$FH$67</f>
        <v/>
      </c>
      <c r="H65" s="65">
        <f>Calc!$FI$67</f>
        <v/>
      </c>
      <c r="I65" s="65">
        <f>Calc!$FJ$67</f>
        <v/>
      </c>
      <c r="J65" s="65">
        <f>Calc!$FK$67</f>
        <v/>
      </c>
      <c r="K65" s="65">
        <f>Calc!$FL$67</f>
        <v/>
      </c>
      <c r="L65" s="65">
        <f>Calc!$FM$67</f>
        <v/>
      </c>
      <c r="M65" s="66">
        <f>Calc!$FN$67</f>
        <v/>
      </c>
      <c r="N65" s="66">
        <f>Calc!$FO$67</f>
        <v/>
      </c>
      <c r="O65" s="65">
        <f>Calc!$FP$67</f>
        <v/>
      </c>
      <c r="P65" s="67">
        <f>Calc!$FQ$67</f>
        <v/>
      </c>
      <c r="Q65" s="68">
        <f>Calc!$FR$67</f>
        <v/>
      </c>
      <c r="R65" s="65">
        <f>Calc!$FS$67</f>
        <v/>
      </c>
      <c r="T65">
        <f>Calc!$EY$67</f>
        <v/>
      </c>
      <c r="U65">
        <f>Calc!$FT$67</f>
        <v/>
      </c>
      <c r="V65">
        <f>Calc!$FU$67</f>
        <v/>
      </c>
      <c r="W65">
        <f>Calc!$FC$67</f>
        <v/>
      </c>
      <c r="X65">
        <f>Calc!$EZ$67</f>
        <v/>
      </c>
      <c r="Y65">
        <f>Calc!$FA$67</f>
        <v/>
      </c>
      <c r="Z65">
        <f>Calc!$FV$67</f>
        <v/>
      </c>
      <c r="AA65">
        <f>IF($T65&lt;&gt;"row",0,IF($V65=1,IF($X65=1,IF($Y65=1,1,2),IF($Y65=1,3,4)),IF($X65=1,IF($Y65=1,5,6),IF($Y65=1,7,8))))</f>
        <v/>
      </c>
    </row>
    <row r="66" ht="11.25" customHeight="1">
      <c r="A66" s="64">
        <f>Calc!$FB$68</f>
        <v/>
      </c>
      <c r="B66" s="64">
        <f>Calc!$FC$68</f>
        <v/>
      </c>
      <c r="C66" s="65">
        <f>Calc!$FD$68</f>
        <v/>
      </c>
      <c r="D66" s="65">
        <f>Calc!$FE$68</f>
        <v/>
      </c>
      <c r="E66" s="65">
        <f>Calc!$FF$68</f>
        <v/>
      </c>
      <c r="F66" s="65">
        <f>Calc!$FG$68</f>
        <v/>
      </c>
      <c r="G66" s="65">
        <f>Calc!$FH$68</f>
        <v/>
      </c>
      <c r="H66" s="65">
        <f>Calc!$FI$68</f>
        <v/>
      </c>
      <c r="I66" s="65">
        <f>Calc!$FJ$68</f>
        <v/>
      </c>
      <c r="J66" s="65">
        <f>Calc!$FK$68</f>
        <v/>
      </c>
      <c r="K66" s="65">
        <f>Calc!$FL$68</f>
        <v/>
      </c>
      <c r="L66" s="65">
        <f>Calc!$FM$68</f>
        <v/>
      </c>
      <c r="M66" s="66">
        <f>Calc!$FN$68</f>
        <v/>
      </c>
      <c r="N66" s="66">
        <f>Calc!$FO$68</f>
        <v/>
      </c>
      <c r="O66" s="65">
        <f>Calc!$FP$68</f>
        <v/>
      </c>
      <c r="P66" s="67">
        <f>Calc!$FQ$68</f>
        <v/>
      </c>
      <c r="Q66" s="68">
        <f>Calc!$FR$68</f>
        <v/>
      </c>
      <c r="R66" s="65">
        <f>Calc!$FS$68</f>
        <v/>
      </c>
      <c r="T66">
        <f>Calc!$EY$68</f>
        <v/>
      </c>
      <c r="U66">
        <f>Calc!$FT$68</f>
        <v/>
      </c>
      <c r="V66">
        <f>Calc!$FU$68</f>
        <v/>
      </c>
      <c r="W66">
        <f>Calc!$FC$68</f>
        <v/>
      </c>
      <c r="X66">
        <f>Calc!$EZ$68</f>
        <v/>
      </c>
      <c r="Y66">
        <f>Calc!$FA$68</f>
        <v/>
      </c>
      <c r="Z66">
        <f>Calc!$FV$68</f>
        <v/>
      </c>
      <c r="AA66">
        <f>IF($T66&lt;&gt;"row",0,IF($V66=1,IF($X66=1,IF($Y66=1,1,2),IF($Y66=1,3,4)),IF($X66=1,IF($Y66=1,5,6),IF($Y66=1,7,8))))</f>
        <v/>
      </c>
    </row>
    <row r="67" ht="11.25" customHeight="1">
      <c r="A67" s="64">
        <f>Calc!$FB$69</f>
        <v/>
      </c>
      <c r="B67" s="64">
        <f>Calc!$FC$69</f>
        <v/>
      </c>
      <c r="C67" s="65">
        <f>Calc!$FD$69</f>
        <v/>
      </c>
      <c r="D67" s="65">
        <f>Calc!$FE$69</f>
        <v/>
      </c>
      <c r="E67" s="65">
        <f>Calc!$FF$69</f>
        <v/>
      </c>
      <c r="F67" s="65">
        <f>Calc!$FG$69</f>
        <v/>
      </c>
      <c r="G67" s="65">
        <f>Calc!$FH$69</f>
        <v/>
      </c>
      <c r="H67" s="65">
        <f>Calc!$FI$69</f>
        <v/>
      </c>
      <c r="I67" s="65">
        <f>Calc!$FJ$69</f>
        <v/>
      </c>
      <c r="J67" s="65">
        <f>Calc!$FK$69</f>
        <v/>
      </c>
      <c r="K67" s="65">
        <f>Calc!$FL$69</f>
        <v/>
      </c>
      <c r="L67" s="65">
        <f>Calc!$FM$69</f>
        <v/>
      </c>
      <c r="M67" s="66">
        <f>Calc!$FN$69</f>
        <v/>
      </c>
      <c r="N67" s="66">
        <f>Calc!$FO$69</f>
        <v/>
      </c>
      <c r="O67" s="65">
        <f>Calc!$FP$69</f>
        <v/>
      </c>
      <c r="P67" s="67">
        <f>Calc!$FQ$69</f>
        <v/>
      </c>
      <c r="Q67" s="68">
        <f>Calc!$FR$69</f>
        <v/>
      </c>
      <c r="R67" s="65">
        <f>Calc!$FS$69</f>
        <v/>
      </c>
      <c r="T67">
        <f>Calc!$EY$69</f>
        <v/>
      </c>
      <c r="U67">
        <f>Calc!$FT$69</f>
        <v/>
      </c>
      <c r="V67">
        <f>Calc!$FU$69</f>
        <v/>
      </c>
      <c r="W67">
        <f>Calc!$FC$69</f>
        <v/>
      </c>
      <c r="X67">
        <f>Calc!$EZ$69</f>
        <v/>
      </c>
      <c r="Y67">
        <f>Calc!$FA$69</f>
        <v/>
      </c>
      <c r="Z67">
        <f>Calc!$FV$69</f>
        <v/>
      </c>
      <c r="AA67">
        <f>IF($T67&lt;&gt;"row",0,IF($V67=1,IF($X67=1,IF($Y67=1,1,2),IF($Y67=1,3,4)),IF($X67=1,IF($Y67=1,5,6),IF($Y67=1,7,8))))</f>
        <v/>
      </c>
    </row>
    <row r="68" ht="11.25" customHeight="1">
      <c r="A68" s="64">
        <f>Calc!$FB$70</f>
        <v/>
      </c>
      <c r="B68" s="64">
        <f>Calc!$FC$70</f>
        <v/>
      </c>
      <c r="C68" s="65">
        <f>Calc!$FD$70</f>
        <v/>
      </c>
      <c r="D68" s="65">
        <f>Calc!$FE$70</f>
        <v/>
      </c>
      <c r="E68" s="65">
        <f>Calc!$FF$70</f>
        <v/>
      </c>
      <c r="F68" s="65">
        <f>Calc!$FG$70</f>
        <v/>
      </c>
      <c r="G68" s="65">
        <f>Calc!$FH$70</f>
        <v/>
      </c>
      <c r="H68" s="65">
        <f>Calc!$FI$70</f>
        <v/>
      </c>
      <c r="I68" s="65">
        <f>Calc!$FJ$70</f>
        <v/>
      </c>
      <c r="J68" s="65">
        <f>Calc!$FK$70</f>
        <v/>
      </c>
      <c r="K68" s="65">
        <f>Calc!$FL$70</f>
        <v/>
      </c>
      <c r="L68" s="65">
        <f>Calc!$FM$70</f>
        <v/>
      </c>
      <c r="M68" s="66">
        <f>Calc!$FN$70</f>
        <v/>
      </c>
      <c r="N68" s="66">
        <f>Calc!$FO$70</f>
        <v/>
      </c>
      <c r="O68" s="65">
        <f>Calc!$FP$70</f>
        <v/>
      </c>
      <c r="P68" s="67">
        <f>Calc!$FQ$70</f>
        <v/>
      </c>
      <c r="Q68" s="68">
        <f>Calc!$FR$70</f>
        <v/>
      </c>
      <c r="R68" s="65">
        <f>Calc!$FS$70</f>
        <v/>
      </c>
      <c r="T68">
        <f>Calc!$EY$70</f>
        <v/>
      </c>
      <c r="U68">
        <f>Calc!$FT$70</f>
        <v/>
      </c>
      <c r="V68">
        <f>Calc!$FU$70</f>
        <v/>
      </c>
      <c r="W68">
        <f>Calc!$FC$70</f>
        <v/>
      </c>
      <c r="X68">
        <f>Calc!$EZ$70</f>
        <v/>
      </c>
      <c r="Y68">
        <f>Calc!$FA$70</f>
        <v/>
      </c>
      <c r="Z68">
        <f>Calc!$FV$70</f>
        <v/>
      </c>
      <c r="AA68">
        <f>IF($T68&lt;&gt;"row",0,IF($V68=1,IF($X68=1,IF($Y68=1,1,2),IF($Y68=1,3,4)),IF($X68=1,IF($Y68=1,5,6),IF($Y68=1,7,8))))</f>
        <v/>
      </c>
    </row>
    <row r="69" ht="11.25" customHeight="1">
      <c r="A69" s="64">
        <f>Calc!$FB$71</f>
        <v/>
      </c>
      <c r="B69" s="64">
        <f>Calc!$FC$71</f>
        <v/>
      </c>
      <c r="C69" s="65">
        <f>Calc!$FD$71</f>
        <v/>
      </c>
      <c r="D69" s="65">
        <f>Calc!$FE$71</f>
        <v/>
      </c>
      <c r="E69" s="65">
        <f>Calc!$FF$71</f>
        <v/>
      </c>
      <c r="F69" s="65">
        <f>Calc!$FG$71</f>
        <v/>
      </c>
      <c r="G69" s="65">
        <f>Calc!$FH$71</f>
        <v/>
      </c>
      <c r="H69" s="65">
        <f>Calc!$FI$71</f>
        <v/>
      </c>
      <c r="I69" s="65">
        <f>Calc!$FJ$71</f>
        <v/>
      </c>
      <c r="J69" s="65">
        <f>Calc!$FK$71</f>
        <v/>
      </c>
      <c r="K69" s="65">
        <f>Calc!$FL$71</f>
        <v/>
      </c>
      <c r="L69" s="65">
        <f>Calc!$FM$71</f>
        <v/>
      </c>
      <c r="M69" s="66">
        <f>Calc!$FN$71</f>
        <v/>
      </c>
      <c r="N69" s="66">
        <f>Calc!$FO$71</f>
        <v/>
      </c>
      <c r="O69" s="65">
        <f>Calc!$FP$71</f>
        <v/>
      </c>
      <c r="P69" s="67">
        <f>Calc!$FQ$71</f>
        <v/>
      </c>
      <c r="Q69" s="68">
        <f>Calc!$FR$71</f>
        <v/>
      </c>
      <c r="R69" s="65">
        <f>Calc!$FS$71</f>
        <v/>
      </c>
      <c r="T69">
        <f>Calc!$EY$71</f>
        <v/>
      </c>
      <c r="U69">
        <f>Calc!$FT$71</f>
        <v/>
      </c>
      <c r="V69">
        <f>Calc!$FU$71</f>
        <v/>
      </c>
      <c r="W69">
        <f>Calc!$FC$71</f>
        <v/>
      </c>
      <c r="X69">
        <f>Calc!$EZ$71</f>
        <v/>
      </c>
      <c r="Y69">
        <f>Calc!$FA$71</f>
        <v/>
      </c>
      <c r="Z69">
        <f>Calc!$FV$71</f>
        <v/>
      </c>
      <c r="AA69">
        <f>IF($T69&lt;&gt;"row",0,IF($V69=1,IF($X69=1,IF($Y69=1,1,2),IF($Y69=1,3,4)),IF($X69=1,IF($Y69=1,5,6),IF($Y69=1,7,8))))</f>
        <v/>
      </c>
    </row>
    <row r="70" ht="11.25" customHeight="1">
      <c r="A70" s="64">
        <f>Calc!$FB$72</f>
        <v/>
      </c>
      <c r="B70" s="64">
        <f>Calc!$FC$72</f>
        <v/>
      </c>
      <c r="C70" s="65">
        <f>Calc!$FD$72</f>
        <v/>
      </c>
      <c r="D70" s="65">
        <f>Calc!$FE$72</f>
        <v/>
      </c>
      <c r="E70" s="65">
        <f>Calc!$FF$72</f>
        <v/>
      </c>
      <c r="F70" s="65">
        <f>Calc!$FG$72</f>
        <v/>
      </c>
      <c r="G70" s="65">
        <f>Calc!$FH$72</f>
        <v/>
      </c>
      <c r="H70" s="65">
        <f>Calc!$FI$72</f>
        <v/>
      </c>
      <c r="I70" s="65">
        <f>Calc!$FJ$72</f>
        <v/>
      </c>
      <c r="J70" s="65">
        <f>Calc!$FK$72</f>
        <v/>
      </c>
      <c r="K70" s="65">
        <f>Calc!$FL$72</f>
        <v/>
      </c>
      <c r="L70" s="65">
        <f>Calc!$FM$72</f>
        <v/>
      </c>
      <c r="M70" s="66">
        <f>Calc!$FN$72</f>
        <v/>
      </c>
      <c r="N70" s="66">
        <f>Calc!$FO$72</f>
        <v/>
      </c>
      <c r="O70" s="65">
        <f>Calc!$FP$72</f>
        <v/>
      </c>
      <c r="P70" s="67">
        <f>Calc!$FQ$72</f>
        <v/>
      </c>
      <c r="Q70" s="68">
        <f>Calc!$FR$72</f>
        <v/>
      </c>
      <c r="R70" s="65">
        <f>Calc!$FS$72</f>
        <v/>
      </c>
      <c r="T70">
        <f>Calc!$EY$72</f>
        <v/>
      </c>
      <c r="U70">
        <f>Calc!$FT$72</f>
        <v/>
      </c>
      <c r="V70">
        <f>Calc!$FU$72</f>
        <v/>
      </c>
      <c r="W70">
        <f>Calc!$FC$72</f>
        <v/>
      </c>
      <c r="X70">
        <f>Calc!$EZ$72</f>
        <v/>
      </c>
      <c r="Y70">
        <f>Calc!$FA$72</f>
        <v/>
      </c>
      <c r="Z70">
        <f>Calc!$FV$72</f>
        <v/>
      </c>
      <c r="AA70">
        <f>IF($T70&lt;&gt;"row",0,IF($V70=1,IF($X70=1,IF($Y70=1,1,2),IF($Y70=1,3,4)),IF($X70=1,IF($Y70=1,5,6),IF($Y70=1,7,8))))</f>
        <v/>
      </c>
    </row>
    <row r="71" ht="11.25" customHeight="1">
      <c r="A71" s="64">
        <f>Calc!$FB$73</f>
        <v/>
      </c>
      <c r="B71" s="64">
        <f>Calc!$FC$73</f>
        <v/>
      </c>
      <c r="C71" s="65">
        <f>Calc!$FD$73</f>
        <v/>
      </c>
      <c r="D71" s="65">
        <f>Calc!$FE$73</f>
        <v/>
      </c>
      <c r="E71" s="65">
        <f>Calc!$FF$73</f>
        <v/>
      </c>
      <c r="F71" s="65">
        <f>Calc!$FG$73</f>
        <v/>
      </c>
      <c r="G71" s="65">
        <f>Calc!$FH$73</f>
        <v/>
      </c>
      <c r="H71" s="65">
        <f>Calc!$FI$73</f>
        <v/>
      </c>
      <c r="I71" s="65">
        <f>Calc!$FJ$73</f>
        <v/>
      </c>
      <c r="J71" s="65">
        <f>Calc!$FK$73</f>
        <v/>
      </c>
      <c r="K71" s="65">
        <f>Calc!$FL$73</f>
        <v/>
      </c>
      <c r="L71" s="65">
        <f>Calc!$FM$73</f>
        <v/>
      </c>
      <c r="M71" s="66">
        <f>Calc!$FN$73</f>
        <v/>
      </c>
      <c r="N71" s="66">
        <f>Calc!$FO$73</f>
        <v/>
      </c>
      <c r="O71" s="65">
        <f>Calc!$FP$73</f>
        <v/>
      </c>
      <c r="P71" s="67">
        <f>Calc!$FQ$73</f>
        <v/>
      </c>
      <c r="Q71" s="68">
        <f>Calc!$FR$73</f>
        <v/>
      </c>
      <c r="R71" s="65">
        <f>Calc!$FS$73</f>
        <v/>
      </c>
      <c r="T71">
        <f>Calc!$EY$73</f>
        <v/>
      </c>
      <c r="U71">
        <f>Calc!$FT$73</f>
        <v/>
      </c>
      <c r="V71">
        <f>Calc!$FU$73</f>
        <v/>
      </c>
      <c r="W71">
        <f>Calc!$FC$73</f>
        <v/>
      </c>
      <c r="X71">
        <f>Calc!$EZ$73</f>
        <v/>
      </c>
      <c r="Y71">
        <f>Calc!$FA$73</f>
        <v/>
      </c>
      <c r="Z71">
        <f>Calc!$FV$73</f>
        <v/>
      </c>
      <c r="AA71">
        <f>IF($T71&lt;&gt;"row",0,IF($V71=1,IF($X71=1,IF($Y71=1,1,2),IF($Y71=1,3,4)),IF($X71=1,IF($Y71=1,5,6),IF($Y71=1,7,8))))</f>
        <v/>
      </c>
    </row>
    <row r="72" ht="11.25" customHeight="1">
      <c r="A72" s="64">
        <f>Calc!$FB$74</f>
        <v/>
      </c>
      <c r="B72" s="64">
        <f>Calc!$FC$74</f>
        <v/>
      </c>
      <c r="C72" s="65">
        <f>Calc!$FD$74</f>
        <v/>
      </c>
      <c r="D72" s="65">
        <f>Calc!$FE$74</f>
        <v/>
      </c>
      <c r="E72" s="65">
        <f>Calc!$FF$74</f>
        <v/>
      </c>
      <c r="F72" s="65">
        <f>Calc!$FG$74</f>
        <v/>
      </c>
      <c r="G72" s="65">
        <f>Calc!$FH$74</f>
        <v/>
      </c>
      <c r="H72" s="65">
        <f>Calc!$FI$74</f>
        <v/>
      </c>
      <c r="I72" s="65">
        <f>Calc!$FJ$74</f>
        <v/>
      </c>
      <c r="J72" s="65">
        <f>Calc!$FK$74</f>
        <v/>
      </c>
      <c r="K72" s="65">
        <f>Calc!$FL$74</f>
        <v/>
      </c>
      <c r="L72" s="65">
        <f>Calc!$FM$74</f>
        <v/>
      </c>
      <c r="M72" s="66">
        <f>Calc!$FN$74</f>
        <v/>
      </c>
      <c r="N72" s="66">
        <f>Calc!$FO$74</f>
        <v/>
      </c>
      <c r="O72" s="65">
        <f>Calc!$FP$74</f>
        <v/>
      </c>
      <c r="P72" s="67">
        <f>Calc!$FQ$74</f>
        <v/>
      </c>
      <c r="Q72" s="68">
        <f>Calc!$FR$74</f>
        <v/>
      </c>
      <c r="R72" s="65">
        <f>Calc!$FS$74</f>
        <v/>
      </c>
      <c r="T72">
        <f>Calc!$EY$74</f>
        <v/>
      </c>
      <c r="U72">
        <f>Calc!$FT$74</f>
        <v/>
      </c>
      <c r="V72">
        <f>Calc!$FU$74</f>
        <v/>
      </c>
      <c r="W72">
        <f>Calc!$FC$74</f>
        <v/>
      </c>
      <c r="X72">
        <f>Calc!$EZ$74</f>
        <v/>
      </c>
      <c r="Y72">
        <f>Calc!$FA$74</f>
        <v/>
      </c>
      <c r="Z72">
        <f>Calc!$FV$74</f>
        <v/>
      </c>
      <c r="AA72">
        <f>IF($T72&lt;&gt;"row",0,IF($V72=1,IF($X72=1,IF($Y72=1,1,2),IF($Y72=1,3,4)),IF($X72=1,IF($Y72=1,5,6),IF($Y72=1,7,8))))</f>
        <v/>
      </c>
    </row>
    <row r="73" ht="11.25" customHeight="1">
      <c r="A73" s="64">
        <f>Calc!$FB$75</f>
        <v/>
      </c>
      <c r="B73" s="64">
        <f>Calc!$FC$75</f>
        <v/>
      </c>
      <c r="C73" s="65">
        <f>Calc!$FD$75</f>
        <v/>
      </c>
      <c r="D73" s="65">
        <f>Calc!$FE$75</f>
        <v/>
      </c>
      <c r="E73" s="65">
        <f>Calc!$FF$75</f>
        <v/>
      </c>
      <c r="F73" s="65">
        <f>Calc!$FG$75</f>
        <v/>
      </c>
      <c r="G73" s="65">
        <f>Calc!$FH$75</f>
        <v/>
      </c>
      <c r="H73" s="65">
        <f>Calc!$FI$75</f>
        <v/>
      </c>
      <c r="I73" s="65">
        <f>Calc!$FJ$75</f>
        <v/>
      </c>
      <c r="J73" s="65">
        <f>Calc!$FK$75</f>
        <v/>
      </c>
      <c r="K73" s="65">
        <f>Calc!$FL$75</f>
        <v/>
      </c>
      <c r="L73" s="65">
        <f>Calc!$FM$75</f>
        <v/>
      </c>
      <c r="M73" s="66">
        <f>Calc!$FN$75</f>
        <v/>
      </c>
      <c r="N73" s="66">
        <f>Calc!$FO$75</f>
        <v/>
      </c>
      <c r="O73" s="65">
        <f>Calc!$FP$75</f>
        <v/>
      </c>
      <c r="P73" s="67">
        <f>Calc!$FQ$75</f>
        <v/>
      </c>
      <c r="Q73" s="68">
        <f>Calc!$FR$75</f>
        <v/>
      </c>
      <c r="R73" s="65">
        <f>Calc!$FS$75</f>
        <v/>
      </c>
      <c r="T73">
        <f>Calc!$EY$75</f>
        <v/>
      </c>
      <c r="U73">
        <f>Calc!$FT$75</f>
        <v/>
      </c>
      <c r="V73">
        <f>Calc!$FU$75</f>
        <v/>
      </c>
      <c r="W73">
        <f>Calc!$FC$75</f>
        <v/>
      </c>
      <c r="X73">
        <f>Calc!$EZ$75</f>
        <v/>
      </c>
      <c r="Y73">
        <f>Calc!$FA$75</f>
        <v/>
      </c>
      <c r="Z73">
        <f>Calc!$FV$75</f>
        <v/>
      </c>
      <c r="AA73">
        <f>IF($T73&lt;&gt;"row",0,IF($V73=1,IF($X73=1,IF($Y73=1,1,2),IF($Y73=1,3,4)),IF($X73=1,IF($Y73=1,5,6),IF($Y73=1,7,8))))</f>
        <v/>
      </c>
    </row>
    <row r="74" ht="11.25" customHeight="1">
      <c r="A74" s="64">
        <f>Calc!$FB$76</f>
        <v/>
      </c>
      <c r="B74" s="64">
        <f>Calc!$FC$76</f>
        <v/>
      </c>
      <c r="C74" s="65">
        <f>Calc!$FD$76</f>
        <v/>
      </c>
      <c r="D74" s="65">
        <f>Calc!$FE$76</f>
        <v/>
      </c>
      <c r="E74" s="65">
        <f>Calc!$FF$76</f>
        <v/>
      </c>
      <c r="F74" s="65">
        <f>Calc!$FG$76</f>
        <v/>
      </c>
      <c r="G74" s="65">
        <f>Calc!$FH$76</f>
        <v/>
      </c>
      <c r="H74" s="65">
        <f>Calc!$FI$76</f>
        <v/>
      </c>
      <c r="I74" s="65">
        <f>Calc!$FJ$76</f>
        <v/>
      </c>
      <c r="J74" s="65">
        <f>Calc!$FK$76</f>
        <v/>
      </c>
      <c r="K74" s="65">
        <f>Calc!$FL$76</f>
        <v/>
      </c>
      <c r="L74" s="65">
        <f>Calc!$FM$76</f>
        <v/>
      </c>
      <c r="M74" s="66">
        <f>Calc!$FN$76</f>
        <v/>
      </c>
      <c r="N74" s="66">
        <f>Calc!$FO$76</f>
        <v/>
      </c>
      <c r="O74" s="65">
        <f>Calc!$FP$76</f>
        <v/>
      </c>
      <c r="P74" s="67">
        <f>Calc!$FQ$76</f>
        <v/>
      </c>
      <c r="Q74" s="68">
        <f>Calc!$FR$76</f>
        <v/>
      </c>
      <c r="R74" s="65">
        <f>Calc!$FS$76</f>
        <v/>
      </c>
      <c r="T74">
        <f>Calc!$EY$76</f>
        <v/>
      </c>
      <c r="U74">
        <f>Calc!$FT$76</f>
        <v/>
      </c>
      <c r="V74">
        <f>Calc!$FU$76</f>
        <v/>
      </c>
      <c r="W74">
        <f>Calc!$FC$76</f>
        <v/>
      </c>
      <c r="X74">
        <f>Calc!$EZ$76</f>
        <v/>
      </c>
      <c r="Y74">
        <f>Calc!$FA$76</f>
        <v/>
      </c>
      <c r="Z74">
        <f>Calc!$FV$76</f>
        <v/>
      </c>
      <c r="AA74">
        <f>IF($T74&lt;&gt;"row",0,IF($V74=1,IF($X74=1,IF($Y74=1,1,2),IF($Y74=1,3,4)),IF($X74=1,IF($Y74=1,5,6),IF($Y74=1,7,8))))</f>
        <v/>
      </c>
    </row>
    <row r="75" ht="11.25" customHeight="1">
      <c r="A75" s="64">
        <f>Calc!$FB$77</f>
        <v/>
      </c>
      <c r="B75" s="64">
        <f>Calc!$FC$77</f>
        <v/>
      </c>
      <c r="C75" s="65">
        <f>Calc!$FD$77</f>
        <v/>
      </c>
      <c r="D75" s="65">
        <f>Calc!$FE$77</f>
        <v/>
      </c>
      <c r="E75" s="65">
        <f>Calc!$FF$77</f>
        <v/>
      </c>
      <c r="F75" s="65">
        <f>Calc!$FG$77</f>
        <v/>
      </c>
      <c r="G75" s="65">
        <f>Calc!$FH$77</f>
        <v/>
      </c>
      <c r="H75" s="65">
        <f>Calc!$FI$77</f>
        <v/>
      </c>
      <c r="I75" s="65">
        <f>Calc!$FJ$77</f>
        <v/>
      </c>
      <c r="J75" s="65">
        <f>Calc!$FK$77</f>
        <v/>
      </c>
      <c r="K75" s="65">
        <f>Calc!$FL$77</f>
        <v/>
      </c>
      <c r="L75" s="65">
        <f>Calc!$FM$77</f>
        <v/>
      </c>
      <c r="M75" s="66">
        <f>Calc!$FN$77</f>
        <v/>
      </c>
      <c r="N75" s="66">
        <f>Calc!$FO$77</f>
        <v/>
      </c>
      <c r="O75" s="65">
        <f>Calc!$FP$77</f>
        <v/>
      </c>
      <c r="P75" s="67">
        <f>Calc!$FQ$77</f>
        <v/>
      </c>
      <c r="Q75" s="68">
        <f>Calc!$FR$77</f>
        <v/>
      </c>
      <c r="R75" s="65">
        <f>Calc!$FS$77</f>
        <v/>
      </c>
      <c r="T75">
        <f>Calc!$EY$77</f>
        <v/>
      </c>
      <c r="U75">
        <f>Calc!$FT$77</f>
        <v/>
      </c>
      <c r="V75">
        <f>Calc!$FU$77</f>
        <v/>
      </c>
      <c r="W75">
        <f>Calc!$FC$77</f>
        <v/>
      </c>
      <c r="X75">
        <f>Calc!$EZ$77</f>
        <v/>
      </c>
      <c r="Y75">
        <f>Calc!$FA$77</f>
        <v/>
      </c>
      <c r="Z75">
        <f>Calc!$FV$77</f>
        <v/>
      </c>
      <c r="AA75">
        <f>IF($T75&lt;&gt;"row",0,IF($V75=1,IF($X75=1,IF($Y75=1,1,2),IF($Y75=1,3,4)),IF($X75=1,IF($Y75=1,5,6),IF($Y75=1,7,8))))</f>
        <v/>
      </c>
    </row>
    <row r="76" ht="11.25" customHeight="1">
      <c r="A76" s="64">
        <f>Calc!$FB$78</f>
        <v/>
      </c>
      <c r="B76" s="64">
        <f>Calc!$FC$78</f>
        <v/>
      </c>
      <c r="C76" s="65">
        <f>Calc!$FD$78</f>
        <v/>
      </c>
      <c r="D76" s="65">
        <f>Calc!$FE$78</f>
        <v/>
      </c>
      <c r="E76" s="65">
        <f>Calc!$FF$78</f>
        <v/>
      </c>
      <c r="F76" s="65">
        <f>Calc!$FG$78</f>
        <v/>
      </c>
      <c r="G76" s="65">
        <f>Calc!$FH$78</f>
        <v/>
      </c>
      <c r="H76" s="65">
        <f>Calc!$FI$78</f>
        <v/>
      </c>
      <c r="I76" s="65">
        <f>Calc!$FJ$78</f>
        <v/>
      </c>
      <c r="J76" s="65">
        <f>Calc!$FK$78</f>
        <v/>
      </c>
      <c r="K76" s="65">
        <f>Calc!$FL$78</f>
        <v/>
      </c>
      <c r="L76" s="65">
        <f>Calc!$FM$78</f>
        <v/>
      </c>
      <c r="M76" s="66">
        <f>Calc!$FN$78</f>
        <v/>
      </c>
      <c r="N76" s="66">
        <f>Calc!$FO$78</f>
        <v/>
      </c>
      <c r="O76" s="65">
        <f>Calc!$FP$78</f>
        <v/>
      </c>
      <c r="P76" s="67">
        <f>Calc!$FQ$78</f>
        <v/>
      </c>
      <c r="Q76" s="68">
        <f>Calc!$FR$78</f>
        <v/>
      </c>
      <c r="R76" s="65">
        <f>Calc!$FS$78</f>
        <v/>
      </c>
      <c r="T76">
        <f>Calc!$EY$78</f>
        <v/>
      </c>
      <c r="U76">
        <f>Calc!$FT$78</f>
        <v/>
      </c>
      <c r="V76">
        <f>Calc!$FU$78</f>
        <v/>
      </c>
      <c r="W76">
        <f>Calc!$FC$78</f>
        <v/>
      </c>
      <c r="X76">
        <f>Calc!$EZ$78</f>
        <v/>
      </c>
      <c r="Y76">
        <f>Calc!$FA$78</f>
        <v/>
      </c>
      <c r="Z76">
        <f>Calc!$FV$78</f>
        <v/>
      </c>
      <c r="AA76">
        <f>IF($T76&lt;&gt;"row",0,IF($V76=1,IF($X76=1,IF($Y76=1,1,2),IF($Y76=1,3,4)),IF($X76=1,IF($Y76=1,5,6),IF($Y76=1,7,8))))</f>
        <v/>
      </c>
    </row>
    <row r="77" ht="11.25" customHeight="1">
      <c r="A77" s="64">
        <f>Calc!$FB$79</f>
        <v/>
      </c>
      <c r="B77" s="64">
        <f>Calc!$FC$79</f>
        <v/>
      </c>
      <c r="C77" s="65">
        <f>Calc!$FD$79</f>
        <v/>
      </c>
      <c r="D77" s="65">
        <f>Calc!$FE$79</f>
        <v/>
      </c>
      <c r="E77" s="65">
        <f>Calc!$FF$79</f>
        <v/>
      </c>
      <c r="F77" s="65">
        <f>Calc!$FG$79</f>
        <v/>
      </c>
      <c r="G77" s="65">
        <f>Calc!$FH$79</f>
        <v/>
      </c>
      <c r="H77" s="65">
        <f>Calc!$FI$79</f>
        <v/>
      </c>
      <c r="I77" s="65">
        <f>Calc!$FJ$79</f>
        <v/>
      </c>
      <c r="J77" s="65">
        <f>Calc!$FK$79</f>
        <v/>
      </c>
      <c r="K77" s="65">
        <f>Calc!$FL$79</f>
        <v/>
      </c>
      <c r="L77" s="65">
        <f>Calc!$FM$79</f>
        <v/>
      </c>
      <c r="M77" s="66">
        <f>Calc!$FN$79</f>
        <v/>
      </c>
      <c r="N77" s="66">
        <f>Calc!$FO$79</f>
        <v/>
      </c>
      <c r="O77" s="65">
        <f>Calc!$FP$79</f>
        <v/>
      </c>
      <c r="P77" s="67">
        <f>Calc!$FQ$79</f>
        <v/>
      </c>
      <c r="Q77" s="68">
        <f>Calc!$FR$79</f>
        <v/>
      </c>
      <c r="R77" s="65">
        <f>Calc!$FS$79</f>
        <v/>
      </c>
      <c r="T77">
        <f>Calc!$EY$79</f>
        <v/>
      </c>
      <c r="U77">
        <f>Calc!$FT$79</f>
        <v/>
      </c>
      <c r="V77">
        <f>Calc!$FU$79</f>
        <v/>
      </c>
      <c r="W77">
        <f>Calc!$FC$79</f>
        <v/>
      </c>
      <c r="X77">
        <f>Calc!$EZ$79</f>
        <v/>
      </c>
      <c r="Y77">
        <f>Calc!$FA$79</f>
        <v/>
      </c>
      <c r="Z77">
        <f>Calc!$FV$79</f>
        <v/>
      </c>
      <c r="AA77">
        <f>IF($T77&lt;&gt;"row",0,IF($V77=1,IF($X77=1,IF($Y77=1,1,2),IF($Y77=1,3,4)),IF($X77=1,IF($Y77=1,5,6),IF($Y77=1,7,8))))</f>
        <v/>
      </c>
    </row>
    <row r="78" ht="11.25" customHeight="1">
      <c r="A78" s="64">
        <f>Calc!$FB$80</f>
        <v/>
      </c>
      <c r="B78" s="64">
        <f>Calc!$FC$80</f>
        <v/>
      </c>
      <c r="C78" s="65">
        <f>Calc!$FD$80</f>
        <v/>
      </c>
      <c r="D78" s="65">
        <f>Calc!$FE$80</f>
        <v/>
      </c>
      <c r="E78" s="65">
        <f>Calc!$FF$80</f>
        <v/>
      </c>
      <c r="F78" s="65">
        <f>Calc!$FG$80</f>
        <v/>
      </c>
      <c r="G78" s="65">
        <f>Calc!$FH$80</f>
        <v/>
      </c>
      <c r="H78" s="65">
        <f>Calc!$FI$80</f>
        <v/>
      </c>
      <c r="I78" s="65">
        <f>Calc!$FJ$80</f>
        <v/>
      </c>
      <c r="J78" s="65">
        <f>Calc!$FK$80</f>
        <v/>
      </c>
      <c r="K78" s="65">
        <f>Calc!$FL$80</f>
        <v/>
      </c>
      <c r="L78" s="65">
        <f>Calc!$FM$80</f>
        <v/>
      </c>
      <c r="M78" s="66">
        <f>Calc!$FN$80</f>
        <v/>
      </c>
      <c r="N78" s="66">
        <f>Calc!$FO$80</f>
        <v/>
      </c>
      <c r="O78" s="65">
        <f>Calc!$FP$80</f>
        <v/>
      </c>
      <c r="P78" s="67">
        <f>Calc!$FQ$80</f>
        <v/>
      </c>
      <c r="Q78" s="68">
        <f>Calc!$FR$80</f>
        <v/>
      </c>
      <c r="R78" s="65">
        <f>Calc!$FS$80</f>
        <v/>
      </c>
      <c r="T78">
        <f>Calc!$EY$80</f>
        <v/>
      </c>
      <c r="U78">
        <f>Calc!$FT$80</f>
        <v/>
      </c>
      <c r="V78">
        <f>Calc!$FU$80</f>
        <v/>
      </c>
      <c r="W78">
        <f>Calc!$FC$80</f>
        <v/>
      </c>
      <c r="X78">
        <f>Calc!$EZ$80</f>
        <v/>
      </c>
      <c r="Y78">
        <f>Calc!$FA$80</f>
        <v/>
      </c>
      <c r="Z78">
        <f>Calc!$FV$80</f>
        <v/>
      </c>
      <c r="AA78">
        <f>IF($T78&lt;&gt;"row",0,IF($V78=1,IF($X78=1,IF($Y78=1,1,2),IF($Y78=1,3,4)),IF($X78=1,IF($Y78=1,5,6),IF($Y78=1,7,8))))</f>
        <v/>
      </c>
    </row>
    <row r="79" ht="11.25" customHeight="1">
      <c r="A79" s="64">
        <f>Calc!$FB$81</f>
        <v/>
      </c>
      <c r="B79" s="64">
        <f>Calc!$FC$81</f>
        <v/>
      </c>
      <c r="C79" s="65">
        <f>Calc!$FD$81</f>
        <v/>
      </c>
      <c r="D79" s="65">
        <f>Calc!$FE$81</f>
        <v/>
      </c>
      <c r="E79" s="65">
        <f>Calc!$FF$81</f>
        <v/>
      </c>
      <c r="F79" s="65">
        <f>Calc!$FG$81</f>
        <v/>
      </c>
      <c r="G79" s="65">
        <f>Calc!$FH$81</f>
        <v/>
      </c>
      <c r="H79" s="65">
        <f>Calc!$FI$81</f>
        <v/>
      </c>
      <c r="I79" s="65">
        <f>Calc!$FJ$81</f>
        <v/>
      </c>
      <c r="J79" s="65">
        <f>Calc!$FK$81</f>
        <v/>
      </c>
      <c r="K79" s="65">
        <f>Calc!$FL$81</f>
        <v/>
      </c>
      <c r="L79" s="65">
        <f>Calc!$FM$81</f>
        <v/>
      </c>
      <c r="M79" s="66">
        <f>Calc!$FN$81</f>
        <v/>
      </c>
      <c r="N79" s="66">
        <f>Calc!$FO$81</f>
        <v/>
      </c>
      <c r="O79" s="65">
        <f>Calc!$FP$81</f>
        <v/>
      </c>
      <c r="P79" s="67">
        <f>Calc!$FQ$81</f>
        <v/>
      </c>
      <c r="Q79" s="68">
        <f>Calc!$FR$81</f>
        <v/>
      </c>
      <c r="R79" s="65">
        <f>Calc!$FS$81</f>
        <v/>
      </c>
      <c r="T79">
        <f>Calc!$EY$81</f>
        <v/>
      </c>
      <c r="U79">
        <f>Calc!$FT$81</f>
        <v/>
      </c>
      <c r="V79">
        <f>Calc!$FU$81</f>
        <v/>
      </c>
      <c r="W79">
        <f>Calc!$FC$81</f>
        <v/>
      </c>
      <c r="X79">
        <f>Calc!$EZ$81</f>
        <v/>
      </c>
      <c r="Y79">
        <f>Calc!$FA$81</f>
        <v/>
      </c>
      <c r="Z79">
        <f>Calc!$FV$81</f>
        <v/>
      </c>
      <c r="AA79">
        <f>IF($T79&lt;&gt;"row",0,IF($V79=1,IF($X79=1,IF($Y79=1,1,2),IF($Y79=1,3,4)),IF($X79=1,IF($Y79=1,5,6),IF($Y79=1,7,8))))</f>
        <v/>
      </c>
    </row>
    <row r="80" ht="11.25" customHeight="1">
      <c r="A80" s="64">
        <f>Calc!$FB$82</f>
        <v/>
      </c>
      <c r="B80" s="64">
        <f>Calc!$FC$82</f>
        <v/>
      </c>
      <c r="C80" s="65">
        <f>Calc!$FD$82</f>
        <v/>
      </c>
      <c r="D80" s="65">
        <f>Calc!$FE$82</f>
        <v/>
      </c>
      <c r="E80" s="65">
        <f>Calc!$FF$82</f>
        <v/>
      </c>
      <c r="F80" s="65">
        <f>Calc!$FG$82</f>
        <v/>
      </c>
      <c r="G80" s="65">
        <f>Calc!$FH$82</f>
        <v/>
      </c>
      <c r="H80" s="65">
        <f>Calc!$FI$82</f>
        <v/>
      </c>
      <c r="I80" s="65">
        <f>Calc!$FJ$82</f>
        <v/>
      </c>
      <c r="J80" s="65">
        <f>Calc!$FK$82</f>
        <v/>
      </c>
      <c r="K80" s="65">
        <f>Calc!$FL$82</f>
        <v/>
      </c>
      <c r="L80" s="65">
        <f>Calc!$FM$82</f>
        <v/>
      </c>
      <c r="M80" s="66">
        <f>Calc!$FN$82</f>
        <v/>
      </c>
      <c r="N80" s="66">
        <f>Calc!$FO$82</f>
        <v/>
      </c>
      <c r="O80" s="65">
        <f>Calc!$FP$82</f>
        <v/>
      </c>
      <c r="P80" s="67">
        <f>Calc!$FQ$82</f>
        <v/>
      </c>
      <c r="Q80" s="68">
        <f>Calc!$FR$82</f>
        <v/>
      </c>
      <c r="R80" s="65">
        <f>Calc!$FS$82</f>
        <v/>
      </c>
      <c r="T80">
        <f>Calc!$EY$82</f>
        <v/>
      </c>
      <c r="U80">
        <f>Calc!$FT$82</f>
        <v/>
      </c>
      <c r="V80">
        <f>Calc!$FU$82</f>
        <v/>
      </c>
      <c r="W80">
        <f>Calc!$FC$82</f>
        <v/>
      </c>
      <c r="X80">
        <f>Calc!$EZ$82</f>
        <v/>
      </c>
      <c r="Y80">
        <f>Calc!$FA$82</f>
        <v/>
      </c>
      <c r="Z80">
        <f>Calc!$FV$82</f>
        <v/>
      </c>
      <c r="AA80">
        <f>IF($T80&lt;&gt;"row",0,IF($V80=1,IF($X80=1,IF($Y80=1,1,2),IF($Y80=1,3,4)),IF($X80=1,IF($Y80=1,5,6),IF($Y80=1,7,8))))</f>
        <v/>
      </c>
    </row>
    <row r="81" ht="11.25" customHeight="1">
      <c r="A81" s="64">
        <f>Calc!$FB$83</f>
        <v/>
      </c>
      <c r="B81" s="64">
        <f>Calc!$FC$83</f>
        <v/>
      </c>
      <c r="C81" s="65">
        <f>Calc!$FD$83</f>
        <v/>
      </c>
      <c r="D81" s="65">
        <f>Calc!$FE$83</f>
        <v/>
      </c>
      <c r="E81" s="65">
        <f>Calc!$FF$83</f>
        <v/>
      </c>
      <c r="F81" s="65">
        <f>Calc!$FG$83</f>
        <v/>
      </c>
      <c r="G81" s="65">
        <f>Calc!$FH$83</f>
        <v/>
      </c>
      <c r="H81" s="65">
        <f>Calc!$FI$83</f>
        <v/>
      </c>
      <c r="I81" s="65">
        <f>Calc!$FJ$83</f>
        <v/>
      </c>
      <c r="J81" s="65">
        <f>Calc!$FK$83</f>
        <v/>
      </c>
      <c r="K81" s="65">
        <f>Calc!$FL$83</f>
        <v/>
      </c>
      <c r="L81" s="65">
        <f>Calc!$FM$83</f>
        <v/>
      </c>
      <c r="M81" s="66">
        <f>Calc!$FN$83</f>
        <v/>
      </c>
      <c r="N81" s="66">
        <f>Calc!$FO$83</f>
        <v/>
      </c>
      <c r="O81" s="65">
        <f>Calc!$FP$83</f>
        <v/>
      </c>
      <c r="P81" s="67">
        <f>Calc!$FQ$83</f>
        <v/>
      </c>
      <c r="Q81" s="68">
        <f>Calc!$FR$83</f>
        <v/>
      </c>
      <c r="R81" s="65">
        <f>Calc!$FS$83</f>
        <v/>
      </c>
      <c r="T81">
        <f>Calc!$EY$83</f>
        <v/>
      </c>
      <c r="U81">
        <f>Calc!$FT$83</f>
        <v/>
      </c>
      <c r="V81">
        <f>Calc!$FU$83</f>
        <v/>
      </c>
      <c r="W81">
        <f>Calc!$FC$83</f>
        <v/>
      </c>
      <c r="X81">
        <f>Calc!$EZ$83</f>
        <v/>
      </c>
      <c r="Y81">
        <f>Calc!$FA$83</f>
        <v/>
      </c>
      <c r="Z81">
        <f>Calc!$FV$83</f>
        <v/>
      </c>
      <c r="AA81">
        <f>IF($T81&lt;&gt;"row",0,IF($V81=1,IF($X81=1,IF($Y81=1,1,2),IF($Y81=1,3,4)),IF($X81=1,IF($Y81=1,5,6),IF($Y81=1,7,8))))</f>
        <v/>
      </c>
    </row>
    <row r="82" ht="11.25" customHeight="1">
      <c r="A82" s="64">
        <f>Calc!$FB$84</f>
        <v/>
      </c>
      <c r="B82" s="64">
        <f>Calc!$FC$84</f>
        <v/>
      </c>
      <c r="C82" s="65">
        <f>Calc!$FD$84</f>
        <v/>
      </c>
      <c r="D82" s="65">
        <f>Calc!$FE$84</f>
        <v/>
      </c>
      <c r="E82" s="65">
        <f>Calc!$FF$84</f>
        <v/>
      </c>
      <c r="F82" s="65">
        <f>Calc!$FG$84</f>
        <v/>
      </c>
      <c r="G82" s="65">
        <f>Calc!$FH$84</f>
        <v/>
      </c>
      <c r="H82" s="65">
        <f>Calc!$FI$84</f>
        <v/>
      </c>
      <c r="I82" s="65">
        <f>Calc!$FJ$84</f>
        <v/>
      </c>
      <c r="J82" s="65">
        <f>Calc!$FK$84</f>
        <v/>
      </c>
      <c r="K82" s="65">
        <f>Calc!$FL$84</f>
        <v/>
      </c>
      <c r="L82" s="65">
        <f>Calc!$FM$84</f>
        <v/>
      </c>
      <c r="M82" s="66">
        <f>Calc!$FN$84</f>
        <v/>
      </c>
      <c r="N82" s="66">
        <f>Calc!$FO$84</f>
        <v/>
      </c>
      <c r="O82" s="65">
        <f>Calc!$FP$84</f>
        <v/>
      </c>
      <c r="P82" s="67">
        <f>Calc!$FQ$84</f>
        <v/>
      </c>
      <c r="Q82" s="68">
        <f>Calc!$FR$84</f>
        <v/>
      </c>
      <c r="R82" s="65">
        <f>Calc!$FS$84</f>
        <v/>
      </c>
      <c r="T82">
        <f>Calc!$EY$84</f>
        <v/>
      </c>
      <c r="U82">
        <f>Calc!$FT$84</f>
        <v/>
      </c>
      <c r="V82">
        <f>Calc!$FU$84</f>
        <v/>
      </c>
      <c r="W82">
        <f>Calc!$FC$84</f>
        <v/>
      </c>
      <c r="X82">
        <f>Calc!$EZ$84</f>
        <v/>
      </c>
      <c r="Y82">
        <f>Calc!$FA$84</f>
        <v/>
      </c>
      <c r="Z82">
        <f>Calc!$FV$84</f>
        <v/>
      </c>
      <c r="AA82">
        <f>IF($T82&lt;&gt;"row",0,IF($V82=1,IF($X82=1,IF($Y82=1,1,2),IF($Y82=1,3,4)),IF($X82=1,IF($Y82=1,5,6),IF($Y82=1,7,8))))</f>
        <v/>
      </c>
    </row>
    <row r="83" ht="11.25" customHeight="1">
      <c r="A83" s="64">
        <f>Calc!$FB$85</f>
        <v/>
      </c>
      <c r="B83" s="64">
        <f>Calc!$FC$85</f>
        <v/>
      </c>
      <c r="C83" s="65">
        <f>Calc!$FD$85</f>
        <v/>
      </c>
      <c r="D83" s="65">
        <f>Calc!$FE$85</f>
        <v/>
      </c>
      <c r="E83" s="65">
        <f>Calc!$FF$85</f>
        <v/>
      </c>
      <c r="F83" s="65">
        <f>Calc!$FG$85</f>
        <v/>
      </c>
      <c r="G83" s="65">
        <f>Calc!$FH$85</f>
        <v/>
      </c>
      <c r="H83" s="65">
        <f>Calc!$FI$85</f>
        <v/>
      </c>
      <c r="I83" s="65">
        <f>Calc!$FJ$85</f>
        <v/>
      </c>
      <c r="J83" s="65">
        <f>Calc!$FK$85</f>
        <v/>
      </c>
      <c r="K83" s="65">
        <f>Calc!$FL$85</f>
        <v/>
      </c>
      <c r="L83" s="65">
        <f>Calc!$FM$85</f>
        <v/>
      </c>
      <c r="M83" s="66">
        <f>Calc!$FN$85</f>
        <v/>
      </c>
      <c r="N83" s="66">
        <f>Calc!$FO$85</f>
        <v/>
      </c>
      <c r="O83" s="65">
        <f>Calc!$FP$85</f>
        <v/>
      </c>
      <c r="P83" s="67">
        <f>Calc!$FQ$85</f>
        <v/>
      </c>
      <c r="Q83" s="68">
        <f>Calc!$FR$85</f>
        <v/>
      </c>
      <c r="R83" s="65">
        <f>Calc!$FS$85</f>
        <v/>
      </c>
      <c r="T83">
        <f>Calc!$EY$85</f>
        <v/>
      </c>
      <c r="U83">
        <f>Calc!$FT$85</f>
        <v/>
      </c>
      <c r="V83">
        <f>Calc!$FU$85</f>
        <v/>
      </c>
      <c r="W83">
        <f>Calc!$FC$85</f>
        <v/>
      </c>
      <c r="X83">
        <f>Calc!$EZ$85</f>
        <v/>
      </c>
      <c r="Y83">
        <f>Calc!$FA$85</f>
        <v/>
      </c>
      <c r="Z83">
        <f>Calc!$FV$85</f>
        <v/>
      </c>
      <c r="AA83">
        <f>IF($T83&lt;&gt;"row",0,IF($V83=1,IF($X83=1,IF($Y83=1,1,2),IF($Y83=1,3,4)),IF($X83=1,IF($Y83=1,5,6),IF($Y83=1,7,8))))</f>
        <v/>
      </c>
    </row>
    <row r="84" ht="11.25" customHeight="1">
      <c r="A84" s="64">
        <f>Calc!$FB$86</f>
        <v/>
      </c>
      <c r="B84" s="64">
        <f>Calc!$FC$86</f>
        <v/>
      </c>
      <c r="C84" s="65">
        <f>Calc!$FD$86</f>
        <v/>
      </c>
      <c r="D84" s="65">
        <f>Calc!$FE$86</f>
        <v/>
      </c>
      <c r="E84" s="65">
        <f>Calc!$FF$86</f>
        <v/>
      </c>
      <c r="F84" s="65">
        <f>Calc!$FG$86</f>
        <v/>
      </c>
      <c r="G84" s="65">
        <f>Calc!$FH$86</f>
        <v/>
      </c>
      <c r="H84" s="65">
        <f>Calc!$FI$86</f>
        <v/>
      </c>
      <c r="I84" s="65">
        <f>Calc!$FJ$86</f>
        <v/>
      </c>
      <c r="J84" s="65">
        <f>Calc!$FK$86</f>
        <v/>
      </c>
      <c r="K84" s="65">
        <f>Calc!$FL$86</f>
        <v/>
      </c>
      <c r="L84" s="65">
        <f>Calc!$FM$86</f>
        <v/>
      </c>
      <c r="M84" s="66">
        <f>Calc!$FN$86</f>
        <v/>
      </c>
      <c r="N84" s="66">
        <f>Calc!$FO$86</f>
        <v/>
      </c>
      <c r="O84" s="65">
        <f>Calc!$FP$86</f>
        <v/>
      </c>
      <c r="P84" s="67">
        <f>Calc!$FQ$86</f>
        <v/>
      </c>
      <c r="Q84" s="68">
        <f>Calc!$FR$86</f>
        <v/>
      </c>
      <c r="R84" s="65">
        <f>Calc!$FS$86</f>
        <v/>
      </c>
      <c r="T84">
        <f>Calc!$EY$86</f>
        <v/>
      </c>
      <c r="U84">
        <f>Calc!$FT$86</f>
        <v/>
      </c>
      <c r="V84">
        <f>Calc!$FU$86</f>
        <v/>
      </c>
      <c r="W84">
        <f>Calc!$FC$86</f>
        <v/>
      </c>
      <c r="X84">
        <f>Calc!$EZ$86</f>
        <v/>
      </c>
      <c r="Y84">
        <f>Calc!$FA$86</f>
        <v/>
      </c>
      <c r="Z84">
        <f>Calc!$FV$86</f>
        <v/>
      </c>
      <c r="AA84">
        <f>IF($T84&lt;&gt;"row",0,IF($V84=1,IF($X84=1,IF($Y84=1,1,2),IF($Y84=1,3,4)),IF($X84=1,IF($Y84=1,5,6),IF($Y84=1,7,8))))</f>
        <v/>
      </c>
    </row>
    <row r="85" ht="11.25" customHeight="1">
      <c r="A85" s="64">
        <f>Calc!$FB$87</f>
        <v/>
      </c>
      <c r="B85" s="64">
        <f>Calc!$FC$87</f>
        <v/>
      </c>
      <c r="C85" s="65">
        <f>Calc!$FD$87</f>
        <v/>
      </c>
      <c r="D85" s="65">
        <f>Calc!$FE$87</f>
        <v/>
      </c>
      <c r="E85" s="65">
        <f>Calc!$FF$87</f>
        <v/>
      </c>
      <c r="F85" s="65">
        <f>Calc!$FG$87</f>
        <v/>
      </c>
      <c r="G85" s="65">
        <f>Calc!$FH$87</f>
        <v/>
      </c>
      <c r="H85" s="65">
        <f>Calc!$FI$87</f>
        <v/>
      </c>
      <c r="I85" s="65">
        <f>Calc!$FJ$87</f>
        <v/>
      </c>
      <c r="J85" s="65">
        <f>Calc!$FK$87</f>
        <v/>
      </c>
      <c r="K85" s="65">
        <f>Calc!$FL$87</f>
        <v/>
      </c>
      <c r="L85" s="65">
        <f>Calc!$FM$87</f>
        <v/>
      </c>
      <c r="M85" s="66">
        <f>Calc!$FN$87</f>
        <v/>
      </c>
      <c r="N85" s="66">
        <f>Calc!$FO$87</f>
        <v/>
      </c>
      <c r="O85" s="65">
        <f>Calc!$FP$87</f>
        <v/>
      </c>
      <c r="P85" s="67">
        <f>Calc!$FQ$87</f>
        <v/>
      </c>
      <c r="Q85" s="68">
        <f>Calc!$FR$87</f>
        <v/>
      </c>
      <c r="R85" s="65">
        <f>Calc!$FS$87</f>
        <v/>
      </c>
      <c r="T85">
        <f>Calc!$EY$87</f>
        <v/>
      </c>
      <c r="U85">
        <f>Calc!$FT$87</f>
        <v/>
      </c>
      <c r="V85">
        <f>Calc!$FU$87</f>
        <v/>
      </c>
      <c r="W85">
        <f>Calc!$FC$87</f>
        <v/>
      </c>
      <c r="X85">
        <f>Calc!$EZ$87</f>
        <v/>
      </c>
      <c r="Y85">
        <f>Calc!$FA$87</f>
        <v/>
      </c>
      <c r="Z85">
        <f>Calc!$FV$87</f>
        <v/>
      </c>
      <c r="AA85">
        <f>IF($T85&lt;&gt;"row",0,IF($V85=1,IF($X85=1,IF($Y85=1,1,2),IF($Y85=1,3,4)),IF($X85=1,IF($Y85=1,5,6),IF($Y85=1,7,8))))</f>
        <v/>
      </c>
    </row>
    <row r="86" ht="11.25" customHeight="1">
      <c r="A86" s="64">
        <f>Calc!$FB$88</f>
        <v/>
      </c>
      <c r="B86" s="64">
        <f>Calc!$FC$88</f>
        <v/>
      </c>
      <c r="C86" s="65">
        <f>Calc!$FD$88</f>
        <v/>
      </c>
      <c r="D86" s="65">
        <f>Calc!$FE$88</f>
        <v/>
      </c>
      <c r="E86" s="65">
        <f>Calc!$FF$88</f>
        <v/>
      </c>
      <c r="F86" s="65">
        <f>Calc!$FG$88</f>
        <v/>
      </c>
      <c r="G86" s="65">
        <f>Calc!$FH$88</f>
        <v/>
      </c>
      <c r="H86" s="65">
        <f>Calc!$FI$88</f>
        <v/>
      </c>
      <c r="I86" s="65">
        <f>Calc!$FJ$88</f>
        <v/>
      </c>
      <c r="J86" s="65">
        <f>Calc!$FK$88</f>
        <v/>
      </c>
      <c r="K86" s="65">
        <f>Calc!$FL$88</f>
        <v/>
      </c>
      <c r="L86" s="65">
        <f>Calc!$FM$88</f>
        <v/>
      </c>
      <c r="M86" s="66">
        <f>Calc!$FN$88</f>
        <v/>
      </c>
      <c r="N86" s="66">
        <f>Calc!$FO$88</f>
        <v/>
      </c>
      <c r="O86" s="65">
        <f>Calc!$FP$88</f>
        <v/>
      </c>
      <c r="P86" s="67">
        <f>Calc!$FQ$88</f>
        <v/>
      </c>
      <c r="Q86" s="68">
        <f>Calc!$FR$88</f>
        <v/>
      </c>
      <c r="R86" s="65">
        <f>Calc!$FS$88</f>
        <v/>
      </c>
      <c r="T86">
        <f>Calc!$EY$88</f>
        <v/>
      </c>
      <c r="U86">
        <f>Calc!$FT$88</f>
        <v/>
      </c>
      <c r="V86">
        <f>Calc!$FU$88</f>
        <v/>
      </c>
      <c r="W86">
        <f>Calc!$FC$88</f>
        <v/>
      </c>
      <c r="X86">
        <f>Calc!$EZ$88</f>
        <v/>
      </c>
      <c r="Y86">
        <f>Calc!$FA$88</f>
        <v/>
      </c>
      <c r="Z86">
        <f>Calc!$FV$88</f>
        <v/>
      </c>
      <c r="AA86">
        <f>IF($T86&lt;&gt;"row",0,IF($V86=1,IF($X86=1,IF($Y86=1,1,2),IF($Y86=1,3,4)),IF($X86=1,IF($Y86=1,5,6),IF($Y86=1,7,8))))</f>
        <v/>
      </c>
    </row>
    <row r="87" ht="11.25" customHeight="1">
      <c r="A87" s="64">
        <f>Calc!$FB$89</f>
        <v/>
      </c>
      <c r="B87" s="64">
        <f>Calc!$FC$89</f>
        <v/>
      </c>
      <c r="C87" s="65">
        <f>Calc!$FD$89</f>
        <v/>
      </c>
      <c r="D87" s="65">
        <f>Calc!$FE$89</f>
        <v/>
      </c>
      <c r="E87" s="65">
        <f>Calc!$FF$89</f>
        <v/>
      </c>
      <c r="F87" s="65">
        <f>Calc!$FG$89</f>
        <v/>
      </c>
      <c r="G87" s="65">
        <f>Calc!$FH$89</f>
        <v/>
      </c>
      <c r="H87" s="65">
        <f>Calc!$FI$89</f>
        <v/>
      </c>
      <c r="I87" s="65">
        <f>Calc!$FJ$89</f>
        <v/>
      </c>
      <c r="J87" s="65">
        <f>Calc!$FK$89</f>
        <v/>
      </c>
      <c r="K87" s="65">
        <f>Calc!$FL$89</f>
        <v/>
      </c>
      <c r="L87" s="65">
        <f>Calc!$FM$89</f>
        <v/>
      </c>
      <c r="M87" s="66">
        <f>Calc!$FN$89</f>
        <v/>
      </c>
      <c r="N87" s="66">
        <f>Calc!$FO$89</f>
        <v/>
      </c>
      <c r="O87" s="65">
        <f>Calc!$FP$89</f>
        <v/>
      </c>
      <c r="P87" s="67">
        <f>Calc!$FQ$89</f>
        <v/>
      </c>
      <c r="Q87" s="68">
        <f>Calc!$FR$89</f>
        <v/>
      </c>
      <c r="R87" s="65">
        <f>Calc!$FS$89</f>
        <v/>
      </c>
      <c r="T87">
        <f>Calc!$EY$89</f>
        <v/>
      </c>
      <c r="U87">
        <f>Calc!$FT$89</f>
        <v/>
      </c>
      <c r="V87">
        <f>Calc!$FU$89</f>
        <v/>
      </c>
      <c r="W87">
        <f>Calc!$FC$89</f>
        <v/>
      </c>
      <c r="X87">
        <f>Calc!$EZ$89</f>
        <v/>
      </c>
      <c r="Y87">
        <f>Calc!$FA$89</f>
        <v/>
      </c>
      <c r="Z87">
        <f>Calc!$FV$89</f>
        <v/>
      </c>
      <c r="AA87">
        <f>IF($T87&lt;&gt;"row",0,IF($V87=1,IF($X87=1,IF($Y87=1,1,2),IF($Y87=1,3,4)),IF($X87=1,IF($Y87=1,5,6),IF($Y87=1,7,8))))</f>
        <v/>
      </c>
    </row>
    <row r="88" ht="11.25" customHeight="1">
      <c r="A88" s="64">
        <f>Calc!$FB$90</f>
        <v/>
      </c>
      <c r="B88" s="64">
        <f>Calc!$FC$90</f>
        <v/>
      </c>
      <c r="C88" s="65">
        <f>Calc!$FD$90</f>
        <v/>
      </c>
      <c r="D88" s="65">
        <f>Calc!$FE$90</f>
        <v/>
      </c>
      <c r="E88" s="65">
        <f>Calc!$FF$90</f>
        <v/>
      </c>
      <c r="F88" s="65">
        <f>Calc!$FG$90</f>
        <v/>
      </c>
      <c r="G88" s="65">
        <f>Calc!$FH$90</f>
        <v/>
      </c>
      <c r="H88" s="65">
        <f>Calc!$FI$90</f>
        <v/>
      </c>
      <c r="I88" s="65">
        <f>Calc!$FJ$90</f>
        <v/>
      </c>
      <c r="J88" s="65">
        <f>Calc!$FK$90</f>
        <v/>
      </c>
      <c r="K88" s="65">
        <f>Calc!$FL$90</f>
        <v/>
      </c>
      <c r="L88" s="65">
        <f>Calc!$FM$90</f>
        <v/>
      </c>
      <c r="M88" s="66">
        <f>Calc!$FN$90</f>
        <v/>
      </c>
      <c r="N88" s="66">
        <f>Calc!$FO$90</f>
        <v/>
      </c>
      <c r="O88" s="65">
        <f>Calc!$FP$90</f>
        <v/>
      </c>
      <c r="P88" s="67">
        <f>Calc!$FQ$90</f>
        <v/>
      </c>
      <c r="Q88" s="68">
        <f>Calc!$FR$90</f>
        <v/>
      </c>
      <c r="R88" s="65">
        <f>Calc!$FS$90</f>
        <v/>
      </c>
      <c r="T88">
        <f>Calc!$EY$90</f>
        <v/>
      </c>
      <c r="U88">
        <f>Calc!$FT$90</f>
        <v/>
      </c>
      <c r="V88">
        <f>Calc!$FU$90</f>
        <v/>
      </c>
      <c r="W88">
        <f>Calc!$FC$90</f>
        <v/>
      </c>
      <c r="X88">
        <f>Calc!$EZ$90</f>
        <v/>
      </c>
      <c r="Y88">
        <f>Calc!$FA$90</f>
        <v/>
      </c>
      <c r="Z88">
        <f>Calc!$FV$90</f>
        <v/>
      </c>
      <c r="AA88">
        <f>IF($T88&lt;&gt;"row",0,IF($V88=1,IF($X88=1,IF($Y88=1,1,2),IF($Y88=1,3,4)),IF($X88=1,IF($Y88=1,5,6),IF($Y88=1,7,8))))</f>
        <v/>
      </c>
    </row>
    <row r="89" ht="11.25" customHeight="1">
      <c r="A89" s="64">
        <f>Calc!$FB$91</f>
        <v/>
      </c>
      <c r="B89" s="64">
        <f>Calc!$FC$91</f>
        <v/>
      </c>
      <c r="C89" s="65">
        <f>Calc!$FD$91</f>
        <v/>
      </c>
      <c r="D89" s="65">
        <f>Calc!$FE$91</f>
        <v/>
      </c>
      <c r="E89" s="65">
        <f>Calc!$FF$91</f>
        <v/>
      </c>
      <c r="F89" s="65">
        <f>Calc!$FG$91</f>
        <v/>
      </c>
      <c r="G89" s="65">
        <f>Calc!$FH$91</f>
        <v/>
      </c>
      <c r="H89" s="65">
        <f>Calc!$FI$91</f>
        <v/>
      </c>
      <c r="I89" s="65">
        <f>Calc!$FJ$91</f>
        <v/>
      </c>
      <c r="J89" s="65">
        <f>Calc!$FK$91</f>
        <v/>
      </c>
      <c r="K89" s="65">
        <f>Calc!$FL$91</f>
        <v/>
      </c>
      <c r="L89" s="65">
        <f>Calc!$FM$91</f>
        <v/>
      </c>
      <c r="M89" s="66">
        <f>Calc!$FN$91</f>
        <v/>
      </c>
      <c r="N89" s="66">
        <f>Calc!$FO$91</f>
        <v/>
      </c>
      <c r="O89" s="65">
        <f>Calc!$FP$91</f>
        <v/>
      </c>
      <c r="P89" s="67">
        <f>Calc!$FQ$91</f>
        <v/>
      </c>
      <c r="Q89" s="68">
        <f>Calc!$FR$91</f>
        <v/>
      </c>
      <c r="R89" s="65">
        <f>Calc!$FS$91</f>
        <v/>
      </c>
      <c r="T89">
        <f>Calc!$EY$91</f>
        <v/>
      </c>
      <c r="U89">
        <f>Calc!$FT$91</f>
        <v/>
      </c>
      <c r="V89">
        <f>Calc!$FU$91</f>
        <v/>
      </c>
      <c r="W89">
        <f>Calc!$FC$91</f>
        <v/>
      </c>
      <c r="X89">
        <f>Calc!$EZ$91</f>
        <v/>
      </c>
      <c r="Y89">
        <f>Calc!$FA$91</f>
        <v/>
      </c>
      <c r="Z89">
        <f>Calc!$FV$91</f>
        <v/>
      </c>
      <c r="AA89">
        <f>IF($T89&lt;&gt;"row",0,IF($V89=1,IF($X89=1,IF($Y89=1,1,2),IF($Y89=1,3,4)),IF($X89=1,IF($Y89=1,5,6),IF($Y89=1,7,8))))</f>
        <v/>
      </c>
    </row>
    <row r="90" ht="11.25" customHeight="1">
      <c r="A90" s="64">
        <f>Calc!$FB$92</f>
        <v/>
      </c>
      <c r="B90" s="64">
        <f>Calc!$FC$92</f>
        <v/>
      </c>
      <c r="C90" s="65">
        <f>Calc!$FD$92</f>
        <v/>
      </c>
      <c r="D90" s="65">
        <f>Calc!$FE$92</f>
        <v/>
      </c>
      <c r="E90" s="65">
        <f>Calc!$FF$92</f>
        <v/>
      </c>
      <c r="F90" s="65">
        <f>Calc!$FG$92</f>
        <v/>
      </c>
      <c r="G90" s="65">
        <f>Calc!$FH$92</f>
        <v/>
      </c>
      <c r="H90" s="65">
        <f>Calc!$FI$92</f>
        <v/>
      </c>
      <c r="I90" s="65">
        <f>Calc!$FJ$92</f>
        <v/>
      </c>
      <c r="J90" s="65">
        <f>Calc!$FK$92</f>
        <v/>
      </c>
      <c r="K90" s="65">
        <f>Calc!$FL$92</f>
        <v/>
      </c>
      <c r="L90" s="65">
        <f>Calc!$FM$92</f>
        <v/>
      </c>
      <c r="M90" s="66">
        <f>Calc!$FN$92</f>
        <v/>
      </c>
      <c r="N90" s="66">
        <f>Calc!$FO$92</f>
        <v/>
      </c>
      <c r="O90" s="65">
        <f>Calc!$FP$92</f>
        <v/>
      </c>
      <c r="P90" s="67">
        <f>Calc!$FQ$92</f>
        <v/>
      </c>
      <c r="Q90" s="68">
        <f>Calc!$FR$92</f>
        <v/>
      </c>
      <c r="R90" s="65">
        <f>Calc!$FS$92</f>
        <v/>
      </c>
      <c r="T90">
        <f>Calc!$EY$92</f>
        <v/>
      </c>
      <c r="U90">
        <f>Calc!$FT$92</f>
        <v/>
      </c>
      <c r="V90">
        <f>Calc!$FU$92</f>
        <v/>
      </c>
      <c r="W90">
        <f>Calc!$FC$92</f>
        <v/>
      </c>
      <c r="X90">
        <f>Calc!$EZ$92</f>
        <v/>
      </c>
      <c r="Y90">
        <f>Calc!$FA$92</f>
        <v/>
      </c>
      <c r="Z90">
        <f>Calc!$FV$92</f>
        <v/>
      </c>
      <c r="AA90">
        <f>IF($T90&lt;&gt;"row",0,IF($V90=1,IF($X90=1,IF($Y90=1,1,2),IF($Y90=1,3,4)),IF($X90=1,IF($Y90=1,5,6),IF($Y90=1,7,8))))</f>
        <v/>
      </c>
    </row>
    <row r="91" ht="11.25" customHeight="1">
      <c r="A91" s="64">
        <f>Calc!$FB$93</f>
        <v/>
      </c>
      <c r="B91" s="64">
        <f>Calc!$FC$93</f>
        <v/>
      </c>
      <c r="C91" s="65">
        <f>Calc!$FD$93</f>
        <v/>
      </c>
      <c r="D91" s="65">
        <f>Calc!$FE$93</f>
        <v/>
      </c>
      <c r="E91" s="65">
        <f>Calc!$FF$93</f>
        <v/>
      </c>
      <c r="F91" s="65">
        <f>Calc!$FG$93</f>
        <v/>
      </c>
      <c r="G91" s="65">
        <f>Calc!$FH$93</f>
        <v/>
      </c>
      <c r="H91" s="65">
        <f>Calc!$FI$93</f>
        <v/>
      </c>
      <c r="I91" s="65">
        <f>Calc!$FJ$93</f>
        <v/>
      </c>
      <c r="J91" s="65">
        <f>Calc!$FK$93</f>
        <v/>
      </c>
      <c r="K91" s="65">
        <f>Calc!$FL$93</f>
        <v/>
      </c>
      <c r="L91" s="65">
        <f>Calc!$FM$93</f>
        <v/>
      </c>
      <c r="M91" s="66">
        <f>Calc!$FN$93</f>
        <v/>
      </c>
      <c r="N91" s="66">
        <f>Calc!$FO$93</f>
        <v/>
      </c>
      <c r="O91" s="65">
        <f>Calc!$FP$93</f>
        <v/>
      </c>
      <c r="P91" s="67">
        <f>Calc!$FQ$93</f>
        <v/>
      </c>
      <c r="Q91" s="68">
        <f>Calc!$FR$93</f>
        <v/>
      </c>
      <c r="R91" s="65">
        <f>Calc!$FS$93</f>
        <v/>
      </c>
      <c r="T91">
        <f>Calc!$EY$93</f>
        <v/>
      </c>
      <c r="U91">
        <f>Calc!$FT$93</f>
        <v/>
      </c>
      <c r="V91">
        <f>Calc!$FU$93</f>
        <v/>
      </c>
      <c r="W91">
        <f>Calc!$FC$93</f>
        <v/>
      </c>
      <c r="X91">
        <f>Calc!$EZ$93</f>
        <v/>
      </c>
      <c r="Y91">
        <f>Calc!$FA$93</f>
        <v/>
      </c>
      <c r="Z91">
        <f>Calc!$FV$93</f>
        <v/>
      </c>
      <c r="AA91">
        <f>IF($T91&lt;&gt;"row",0,IF($V91=1,IF($X91=1,IF($Y91=1,1,2),IF($Y91=1,3,4)),IF($X91=1,IF($Y91=1,5,6),IF($Y91=1,7,8))))</f>
        <v/>
      </c>
    </row>
    <row r="92" ht="11.25" customHeight="1">
      <c r="A92" s="64">
        <f>Calc!$FB$94</f>
        <v/>
      </c>
      <c r="B92" s="64">
        <f>Calc!$FC$94</f>
        <v/>
      </c>
      <c r="C92" s="65">
        <f>Calc!$FD$94</f>
        <v/>
      </c>
      <c r="D92" s="65">
        <f>Calc!$FE$94</f>
        <v/>
      </c>
      <c r="E92" s="65">
        <f>Calc!$FF$94</f>
        <v/>
      </c>
      <c r="F92" s="65">
        <f>Calc!$FG$94</f>
        <v/>
      </c>
      <c r="G92" s="65">
        <f>Calc!$FH$94</f>
        <v/>
      </c>
      <c r="H92" s="65">
        <f>Calc!$FI$94</f>
        <v/>
      </c>
      <c r="I92" s="65">
        <f>Calc!$FJ$94</f>
        <v/>
      </c>
      <c r="J92" s="65">
        <f>Calc!$FK$94</f>
        <v/>
      </c>
      <c r="K92" s="65">
        <f>Calc!$FL$94</f>
        <v/>
      </c>
      <c r="L92" s="65">
        <f>Calc!$FM$94</f>
        <v/>
      </c>
      <c r="M92" s="66">
        <f>Calc!$FN$94</f>
        <v/>
      </c>
      <c r="N92" s="66">
        <f>Calc!$FO$94</f>
        <v/>
      </c>
      <c r="O92" s="65">
        <f>Calc!$FP$94</f>
        <v/>
      </c>
      <c r="P92" s="67">
        <f>Calc!$FQ$94</f>
        <v/>
      </c>
      <c r="Q92" s="68">
        <f>Calc!$FR$94</f>
        <v/>
      </c>
      <c r="R92" s="65">
        <f>Calc!$FS$94</f>
        <v/>
      </c>
      <c r="T92">
        <f>Calc!$EY$94</f>
        <v/>
      </c>
      <c r="U92">
        <f>Calc!$FT$94</f>
        <v/>
      </c>
      <c r="V92">
        <f>Calc!$FU$94</f>
        <v/>
      </c>
      <c r="W92">
        <f>Calc!$FC$94</f>
        <v/>
      </c>
      <c r="X92">
        <f>Calc!$EZ$94</f>
        <v/>
      </c>
      <c r="Y92">
        <f>Calc!$FA$94</f>
        <v/>
      </c>
      <c r="Z92">
        <f>Calc!$FV$94</f>
        <v/>
      </c>
      <c r="AA92">
        <f>IF($T92&lt;&gt;"row",0,IF($V92=1,IF($X92=1,IF($Y92=1,1,2),IF($Y92=1,3,4)),IF($X92=1,IF($Y92=1,5,6),IF($Y92=1,7,8))))</f>
        <v/>
      </c>
    </row>
    <row r="93" ht="11.25" customHeight="1">
      <c r="A93" s="64">
        <f>Calc!$FB$95</f>
        <v/>
      </c>
      <c r="B93" s="64">
        <f>Calc!$FC$95</f>
        <v/>
      </c>
      <c r="C93" s="65">
        <f>Calc!$FD$95</f>
        <v/>
      </c>
      <c r="D93" s="65">
        <f>Calc!$FE$95</f>
        <v/>
      </c>
      <c r="E93" s="65">
        <f>Calc!$FF$95</f>
        <v/>
      </c>
      <c r="F93" s="65">
        <f>Calc!$FG$95</f>
        <v/>
      </c>
      <c r="G93" s="65">
        <f>Calc!$FH$95</f>
        <v/>
      </c>
      <c r="H93" s="65">
        <f>Calc!$FI$95</f>
        <v/>
      </c>
      <c r="I93" s="65">
        <f>Calc!$FJ$95</f>
        <v/>
      </c>
      <c r="J93" s="65">
        <f>Calc!$FK$95</f>
        <v/>
      </c>
      <c r="K93" s="65">
        <f>Calc!$FL$95</f>
        <v/>
      </c>
      <c r="L93" s="65">
        <f>Calc!$FM$95</f>
        <v/>
      </c>
      <c r="M93" s="66">
        <f>Calc!$FN$95</f>
        <v/>
      </c>
      <c r="N93" s="66">
        <f>Calc!$FO$95</f>
        <v/>
      </c>
      <c r="O93" s="65">
        <f>Calc!$FP$95</f>
        <v/>
      </c>
      <c r="P93" s="67">
        <f>Calc!$FQ$95</f>
        <v/>
      </c>
      <c r="Q93" s="68">
        <f>Calc!$FR$95</f>
        <v/>
      </c>
      <c r="R93" s="65">
        <f>Calc!$FS$95</f>
        <v/>
      </c>
      <c r="T93">
        <f>Calc!$EY$95</f>
        <v/>
      </c>
      <c r="U93">
        <f>Calc!$FT$95</f>
        <v/>
      </c>
      <c r="V93">
        <f>Calc!$FU$95</f>
        <v/>
      </c>
      <c r="W93">
        <f>Calc!$FC$95</f>
        <v/>
      </c>
      <c r="X93">
        <f>Calc!$EZ$95</f>
        <v/>
      </c>
      <c r="Y93">
        <f>Calc!$FA$95</f>
        <v/>
      </c>
      <c r="Z93">
        <f>Calc!$FV$95</f>
        <v/>
      </c>
      <c r="AA93">
        <f>IF($T93&lt;&gt;"row",0,IF($V93=1,IF($X93=1,IF($Y93=1,1,2),IF($Y93=1,3,4)),IF($X93=1,IF($Y93=1,5,6),IF($Y93=1,7,8))))</f>
        <v/>
      </c>
    </row>
    <row r="94" ht="11.25" customHeight="1">
      <c r="A94" s="64">
        <f>Calc!$FB$96</f>
        <v/>
      </c>
      <c r="B94" s="64">
        <f>Calc!$FC$96</f>
        <v/>
      </c>
      <c r="C94" s="65">
        <f>Calc!$FD$96</f>
        <v/>
      </c>
      <c r="D94" s="65">
        <f>Calc!$FE$96</f>
        <v/>
      </c>
      <c r="E94" s="65">
        <f>Calc!$FF$96</f>
        <v/>
      </c>
      <c r="F94" s="65">
        <f>Calc!$FG$96</f>
        <v/>
      </c>
      <c r="G94" s="65">
        <f>Calc!$FH$96</f>
        <v/>
      </c>
      <c r="H94" s="65">
        <f>Calc!$FI$96</f>
        <v/>
      </c>
      <c r="I94" s="65">
        <f>Calc!$FJ$96</f>
        <v/>
      </c>
      <c r="J94" s="65">
        <f>Calc!$FK$96</f>
        <v/>
      </c>
      <c r="K94" s="65">
        <f>Calc!$FL$96</f>
        <v/>
      </c>
      <c r="L94" s="65">
        <f>Calc!$FM$96</f>
        <v/>
      </c>
      <c r="M94" s="66">
        <f>Calc!$FN$96</f>
        <v/>
      </c>
      <c r="N94" s="66">
        <f>Calc!$FO$96</f>
        <v/>
      </c>
      <c r="O94" s="65">
        <f>Calc!$FP$96</f>
        <v/>
      </c>
      <c r="P94" s="67">
        <f>Calc!$FQ$96</f>
        <v/>
      </c>
      <c r="Q94" s="68">
        <f>Calc!$FR$96</f>
        <v/>
      </c>
      <c r="R94" s="65">
        <f>Calc!$FS$96</f>
        <v/>
      </c>
      <c r="T94">
        <f>Calc!$EY$96</f>
        <v/>
      </c>
      <c r="U94">
        <f>Calc!$FT$96</f>
        <v/>
      </c>
      <c r="V94">
        <f>Calc!$FU$96</f>
        <v/>
      </c>
      <c r="W94">
        <f>Calc!$FC$96</f>
        <v/>
      </c>
      <c r="X94">
        <f>Calc!$EZ$96</f>
        <v/>
      </c>
      <c r="Y94">
        <f>Calc!$FA$96</f>
        <v/>
      </c>
      <c r="Z94">
        <f>Calc!$FV$96</f>
        <v/>
      </c>
      <c r="AA94">
        <f>IF($T94&lt;&gt;"row",0,IF($V94=1,IF($X94=1,IF($Y94=1,1,2),IF($Y94=1,3,4)),IF($X94=1,IF($Y94=1,5,6),IF($Y94=1,7,8))))</f>
        <v/>
      </c>
    </row>
    <row r="95" ht="11.25" customHeight="1">
      <c r="A95" s="64">
        <f>Calc!$FB$97</f>
        <v/>
      </c>
      <c r="B95" s="64">
        <f>Calc!$FC$97</f>
        <v/>
      </c>
      <c r="C95" s="65">
        <f>Calc!$FD$97</f>
        <v/>
      </c>
      <c r="D95" s="65">
        <f>Calc!$FE$97</f>
        <v/>
      </c>
      <c r="E95" s="65">
        <f>Calc!$FF$97</f>
        <v/>
      </c>
      <c r="F95" s="65">
        <f>Calc!$FG$97</f>
        <v/>
      </c>
      <c r="G95" s="65">
        <f>Calc!$FH$97</f>
        <v/>
      </c>
      <c r="H95" s="65">
        <f>Calc!$FI$97</f>
        <v/>
      </c>
      <c r="I95" s="65">
        <f>Calc!$FJ$97</f>
        <v/>
      </c>
      <c r="J95" s="65">
        <f>Calc!$FK$97</f>
        <v/>
      </c>
      <c r="K95" s="65">
        <f>Calc!$FL$97</f>
        <v/>
      </c>
      <c r="L95" s="65">
        <f>Calc!$FM$97</f>
        <v/>
      </c>
      <c r="M95" s="66">
        <f>Calc!$FN$97</f>
        <v/>
      </c>
      <c r="N95" s="66">
        <f>Calc!$FO$97</f>
        <v/>
      </c>
      <c r="O95" s="65">
        <f>Calc!$FP$97</f>
        <v/>
      </c>
      <c r="P95" s="67">
        <f>Calc!$FQ$97</f>
        <v/>
      </c>
      <c r="Q95" s="68">
        <f>Calc!$FR$97</f>
        <v/>
      </c>
      <c r="R95" s="65">
        <f>Calc!$FS$97</f>
        <v/>
      </c>
      <c r="T95">
        <f>Calc!$EY$97</f>
        <v/>
      </c>
      <c r="U95">
        <f>Calc!$FT$97</f>
        <v/>
      </c>
      <c r="V95">
        <f>Calc!$FU$97</f>
        <v/>
      </c>
      <c r="W95">
        <f>Calc!$FC$97</f>
        <v/>
      </c>
      <c r="X95">
        <f>Calc!$EZ$97</f>
        <v/>
      </c>
      <c r="Y95">
        <f>Calc!$FA$97</f>
        <v/>
      </c>
      <c r="Z95">
        <f>Calc!$FV$97</f>
        <v/>
      </c>
      <c r="AA95">
        <f>IF($T95&lt;&gt;"row",0,IF($V95=1,IF($X95=1,IF($Y95=1,1,2),IF($Y95=1,3,4)),IF($X95=1,IF($Y95=1,5,6),IF($Y95=1,7,8))))</f>
        <v/>
      </c>
    </row>
    <row r="96" ht="11.25" customHeight="1">
      <c r="A96" s="64">
        <f>Calc!$FB$98</f>
        <v/>
      </c>
      <c r="B96" s="64">
        <f>Calc!$FC$98</f>
        <v/>
      </c>
      <c r="C96" s="65">
        <f>Calc!$FD$98</f>
        <v/>
      </c>
      <c r="D96" s="65">
        <f>Calc!$FE$98</f>
        <v/>
      </c>
      <c r="E96" s="65">
        <f>Calc!$FF$98</f>
        <v/>
      </c>
      <c r="F96" s="65">
        <f>Calc!$FG$98</f>
        <v/>
      </c>
      <c r="G96" s="65">
        <f>Calc!$FH$98</f>
        <v/>
      </c>
      <c r="H96" s="65">
        <f>Calc!$FI$98</f>
        <v/>
      </c>
      <c r="I96" s="65">
        <f>Calc!$FJ$98</f>
        <v/>
      </c>
      <c r="J96" s="65">
        <f>Calc!$FK$98</f>
        <v/>
      </c>
      <c r="K96" s="65">
        <f>Calc!$FL$98</f>
        <v/>
      </c>
      <c r="L96" s="65">
        <f>Calc!$FM$98</f>
        <v/>
      </c>
      <c r="M96" s="66">
        <f>Calc!$FN$98</f>
        <v/>
      </c>
      <c r="N96" s="66">
        <f>Calc!$FO$98</f>
        <v/>
      </c>
      <c r="O96" s="65">
        <f>Calc!$FP$98</f>
        <v/>
      </c>
      <c r="P96" s="67">
        <f>Calc!$FQ$98</f>
        <v/>
      </c>
      <c r="Q96" s="68">
        <f>Calc!$FR$98</f>
        <v/>
      </c>
      <c r="R96" s="65">
        <f>Calc!$FS$98</f>
        <v/>
      </c>
      <c r="T96">
        <f>Calc!$EY$98</f>
        <v/>
      </c>
      <c r="U96">
        <f>Calc!$FT$98</f>
        <v/>
      </c>
      <c r="V96">
        <f>Calc!$FU$98</f>
        <v/>
      </c>
      <c r="W96">
        <f>Calc!$FC$98</f>
        <v/>
      </c>
      <c r="X96">
        <f>Calc!$EZ$98</f>
        <v/>
      </c>
      <c r="Y96">
        <f>Calc!$FA$98</f>
        <v/>
      </c>
      <c r="Z96">
        <f>Calc!$FV$98</f>
        <v/>
      </c>
      <c r="AA96">
        <f>IF($T96&lt;&gt;"row",0,IF($V96=1,IF($X96=1,IF($Y96=1,1,2),IF($Y96=1,3,4)),IF($X96=1,IF($Y96=1,5,6),IF($Y96=1,7,8))))</f>
        <v/>
      </c>
    </row>
    <row r="97" ht="11.25" customHeight="1">
      <c r="A97" s="64">
        <f>Calc!$FB$99</f>
        <v/>
      </c>
      <c r="B97" s="64">
        <f>Calc!$FC$99</f>
        <v/>
      </c>
      <c r="C97" s="65">
        <f>Calc!$FD$99</f>
        <v/>
      </c>
      <c r="D97" s="65">
        <f>Calc!$FE$99</f>
        <v/>
      </c>
      <c r="E97" s="65">
        <f>Calc!$FF$99</f>
        <v/>
      </c>
      <c r="F97" s="65">
        <f>Calc!$FG$99</f>
        <v/>
      </c>
      <c r="G97" s="65">
        <f>Calc!$FH$99</f>
        <v/>
      </c>
      <c r="H97" s="65">
        <f>Calc!$FI$99</f>
        <v/>
      </c>
      <c r="I97" s="65">
        <f>Calc!$FJ$99</f>
        <v/>
      </c>
      <c r="J97" s="65">
        <f>Calc!$FK$99</f>
        <v/>
      </c>
      <c r="K97" s="65">
        <f>Calc!$FL$99</f>
        <v/>
      </c>
      <c r="L97" s="65">
        <f>Calc!$FM$99</f>
        <v/>
      </c>
      <c r="M97" s="66">
        <f>Calc!$FN$99</f>
        <v/>
      </c>
      <c r="N97" s="66">
        <f>Calc!$FO$99</f>
        <v/>
      </c>
      <c r="O97" s="65">
        <f>Calc!$FP$99</f>
        <v/>
      </c>
      <c r="P97" s="67">
        <f>Calc!$FQ$99</f>
        <v/>
      </c>
      <c r="Q97" s="68">
        <f>Calc!$FR$99</f>
        <v/>
      </c>
      <c r="R97" s="65">
        <f>Calc!$FS$99</f>
        <v/>
      </c>
      <c r="T97">
        <f>Calc!$EY$99</f>
        <v/>
      </c>
      <c r="U97">
        <f>Calc!$FT$99</f>
        <v/>
      </c>
      <c r="V97">
        <f>Calc!$FU$99</f>
        <v/>
      </c>
      <c r="W97">
        <f>Calc!$FC$99</f>
        <v/>
      </c>
      <c r="X97">
        <f>Calc!$EZ$99</f>
        <v/>
      </c>
      <c r="Y97">
        <f>Calc!$FA$99</f>
        <v/>
      </c>
      <c r="Z97">
        <f>Calc!$FV$99</f>
        <v/>
      </c>
      <c r="AA97">
        <f>IF($T97&lt;&gt;"row",0,IF($V97=1,IF($X97=1,IF($Y97=1,1,2),IF($Y97=1,3,4)),IF($X97=1,IF($Y97=1,5,6),IF($Y97=1,7,8))))</f>
        <v/>
      </c>
    </row>
    <row r="98" ht="11.25" customHeight="1">
      <c r="A98" s="64">
        <f>Calc!$FB$100</f>
        <v/>
      </c>
      <c r="B98" s="64">
        <f>Calc!$FC$100</f>
        <v/>
      </c>
      <c r="C98" s="65">
        <f>Calc!$FD$100</f>
        <v/>
      </c>
      <c r="D98" s="65">
        <f>Calc!$FE$100</f>
        <v/>
      </c>
      <c r="E98" s="65">
        <f>Calc!$FF$100</f>
        <v/>
      </c>
      <c r="F98" s="65">
        <f>Calc!$FG$100</f>
        <v/>
      </c>
      <c r="G98" s="65">
        <f>Calc!$FH$100</f>
        <v/>
      </c>
      <c r="H98" s="65">
        <f>Calc!$FI$100</f>
        <v/>
      </c>
      <c r="I98" s="65">
        <f>Calc!$FJ$100</f>
        <v/>
      </c>
      <c r="J98" s="65">
        <f>Calc!$FK$100</f>
        <v/>
      </c>
      <c r="K98" s="65">
        <f>Calc!$FL$100</f>
        <v/>
      </c>
      <c r="L98" s="65">
        <f>Calc!$FM$100</f>
        <v/>
      </c>
      <c r="M98" s="66">
        <f>Calc!$FN$100</f>
        <v/>
      </c>
      <c r="N98" s="66">
        <f>Calc!$FO$100</f>
        <v/>
      </c>
      <c r="O98" s="65">
        <f>Calc!$FP$100</f>
        <v/>
      </c>
      <c r="P98" s="67">
        <f>Calc!$FQ$100</f>
        <v/>
      </c>
      <c r="Q98" s="68">
        <f>Calc!$FR$100</f>
        <v/>
      </c>
      <c r="R98" s="65">
        <f>Calc!$FS$100</f>
        <v/>
      </c>
      <c r="T98">
        <f>Calc!$EY$100</f>
        <v/>
      </c>
      <c r="U98">
        <f>Calc!$FT$100</f>
        <v/>
      </c>
      <c r="V98">
        <f>Calc!$FU$100</f>
        <v/>
      </c>
      <c r="W98">
        <f>Calc!$FC$100</f>
        <v/>
      </c>
      <c r="X98">
        <f>Calc!$EZ$100</f>
        <v/>
      </c>
      <c r="Y98">
        <f>Calc!$FA$100</f>
        <v/>
      </c>
      <c r="Z98">
        <f>Calc!$FV$100</f>
        <v/>
      </c>
      <c r="AA98">
        <f>IF($T98&lt;&gt;"row",0,IF($V98=1,IF($X98=1,IF($Y98=1,1,2),IF($Y98=1,3,4)),IF($X98=1,IF($Y98=1,5,6),IF($Y98=1,7,8))))</f>
        <v/>
      </c>
    </row>
    <row r="99" ht="11.25" customHeight="1">
      <c r="A99" s="64">
        <f>Calc!$FB$101</f>
        <v/>
      </c>
      <c r="B99" s="64">
        <f>Calc!$FC$101</f>
        <v/>
      </c>
      <c r="C99" s="65">
        <f>Calc!$FD$101</f>
        <v/>
      </c>
      <c r="D99" s="65">
        <f>Calc!$FE$101</f>
        <v/>
      </c>
      <c r="E99" s="65">
        <f>Calc!$FF$101</f>
        <v/>
      </c>
      <c r="F99" s="65">
        <f>Calc!$FG$101</f>
        <v/>
      </c>
      <c r="G99" s="65">
        <f>Calc!$FH$101</f>
        <v/>
      </c>
      <c r="H99" s="65">
        <f>Calc!$FI$101</f>
        <v/>
      </c>
      <c r="I99" s="65">
        <f>Calc!$FJ$101</f>
        <v/>
      </c>
      <c r="J99" s="65">
        <f>Calc!$FK$101</f>
        <v/>
      </c>
      <c r="K99" s="65">
        <f>Calc!$FL$101</f>
        <v/>
      </c>
      <c r="L99" s="65">
        <f>Calc!$FM$101</f>
        <v/>
      </c>
      <c r="M99" s="66">
        <f>Calc!$FN$101</f>
        <v/>
      </c>
      <c r="N99" s="66">
        <f>Calc!$FO$101</f>
        <v/>
      </c>
      <c r="O99" s="65">
        <f>Calc!$FP$101</f>
        <v/>
      </c>
      <c r="P99" s="67">
        <f>Calc!$FQ$101</f>
        <v/>
      </c>
      <c r="Q99" s="68">
        <f>Calc!$FR$101</f>
        <v/>
      </c>
      <c r="R99" s="65">
        <f>Calc!$FS$101</f>
        <v/>
      </c>
      <c r="T99">
        <f>Calc!$EY$101</f>
        <v/>
      </c>
      <c r="U99">
        <f>Calc!$FT$101</f>
        <v/>
      </c>
      <c r="V99">
        <f>Calc!$FU$101</f>
        <v/>
      </c>
      <c r="W99">
        <f>Calc!$FC$101</f>
        <v/>
      </c>
      <c r="X99">
        <f>Calc!$EZ$101</f>
        <v/>
      </c>
      <c r="Y99">
        <f>Calc!$FA$101</f>
        <v/>
      </c>
      <c r="Z99">
        <f>Calc!$FV$101</f>
        <v/>
      </c>
      <c r="AA99">
        <f>IF($T99&lt;&gt;"row",0,IF($V99=1,IF($X99=1,IF($Y99=1,1,2),IF($Y99=1,3,4)),IF($X99=1,IF($Y99=1,5,6),IF($Y99=1,7,8))))</f>
        <v/>
      </c>
    </row>
    <row r="100" ht="11.25" customHeight="1">
      <c r="A100" s="64">
        <f>Calc!$FB$102</f>
        <v/>
      </c>
      <c r="B100" s="64">
        <f>Calc!$FC$102</f>
        <v/>
      </c>
      <c r="C100" s="65">
        <f>Calc!$FD$102</f>
        <v/>
      </c>
      <c r="D100" s="65">
        <f>Calc!$FE$102</f>
        <v/>
      </c>
      <c r="E100" s="65">
        <f>Calc!$FF$102</f>
        <v/>
      </c>
      <c r="F100" s="65">
        <f>Calc!$FG$102</f>
        <v/>
      </c>
      <c r="G100" s="65">
        <f>Calc!$FH$102</f>
        <v/>
      </c>
      <c r="H100" s="65">
        <f>Calc!$FI$102</f>
        <v/>
      </c>
      <c r="I100" s="65">
        <f>Calc!$FJ$102</f>
        <v/>
      </c>
      <c r="J100" s="65">
        <f>Calc!$FK$102</f>
        <v/>
      </c>
      <c r="K100" s="65">
        <f>Calc!$FL$102</f>
        <v/>
      </c>
      <c r="L100" s="65">
        <f>Calc!$FM$102</f>
        <v/>
      </c>
      <c r="M100" s="66">
        <f>Calc!$FN$102</f>
        <v/>
      </c>
      <c r="N100" s="66">
        <f>Calc!$FO$102</f>
        <v/>
      </c>
      <c r="O100" s="65">
        <f>Calc!$FP$102</f>
        <v/>
      </c>
      <c r="P100" s="67">
        <f>Calc!$FQ$102</f>
        <v/>
      </c>
      <c r="Q100" s="68">
        <f>Calc!$FR$102</f>
        <v/>
      </c>
      <c r="R100" s="65">
        <f>Calc!$FS$102</f>
        <v/>
      </c>
      <c r="T100">
        <f>Calc!$EY$102</f>
        <v/>
      </c>
      <c r="U100">
        <f>Calc!$FT$102</f>
        <v/>
      </c>
      <c r="V100">
        <f>Calc!$FU$102</f>
        <v/>
      </c>
      <c r="W100">
        <f>Calc!$FC$102</f>
        <v/>
      </c>
      <c r="X100">
        <f>Calc!$EZ$102</f>
        <v/>
      </c>
      <c r="Y100">
        <f>Calc!$FA$102</f>
        <v/>
      </c>
      <c r="Z100">
        <f>Calc!$FV$102</f>
        <v/>
      </c>
      <c r="AA100">
        <f>IF($T100&lt;&gt;"row",0,IF($V100=1,IF($X100=1,IF($Y100=1,1,2),IF($Y100=1,3,4)),IF($X100=1,IF($Y100=1,5,6),IF($Y100=1,7,8))))</f>
        <v/>
      </c>
    </row>
    <row r="101" ht="11.25" customHeight="1">
      <c r="A101" s="64">
        <f>Calc!$FB$103</f>
        <v/>
      </c>
      <c r="B101" s="64">
        <f>Calc!$FC$103</f>
        <v/>
      </c>
      <c r="C101" s="65">
        <f>Calc!$FD$103</f>
        <v/>
      </c>
      <c r="D101" s="65">
        <f>Calc!$FE$103</f>
        <v/>
      </c>
      <c r="E101" s="65">
        <f>Calc!$FF$103</f>
        <v/>
      </c>
      <c r="F101" s="65">
        <f>Calc!$FG$103</f>
        <v/>
      </c>
      <c r="G101" s="65">
        <f>Calc!$FH$103</f>
        <v/>
      </c>
      <c r="H101" s="65">
        <f>Calc!$FI$103</f>
        <v/>
      </c>
      <c r="I101" s="65">
        <f>Calc!$FJ$103</f>
        <v/>
      </c>
      <c r="J101" s="65">
        <f>Calc!$FK$103</f>
        <v/>
      </c>
      <c r="K101" s="65">
        <f>Calc!$FL$103</f>
        <v/>
      </c>
      <c r="L101" s="65">
        <f>Calc!$FM$103</f>
        <v/>
      </c>
      <c r="M101" s="66">
        <f>Calc!$FN$103</f>
        <v/>
      </c>
      <c r="N101" s="66">
        <f>Calc!$FO$103</f>
        <v/>
      </c>
      <c r="O101" s="65">
        <f>Calc!$FP$103</f>
        <v/>
      </c>
      <c r="P101" s="67">
        <f>Calc!$FQ$103</f>
        <v/>
      </c>
      <c r="Q101" s="68">
        <f>Calc!$FR$103</f>
        <v/>
      </c>
      <c r="R101" s="65">
        <f>Calc!$FS$103</f>
        <v/>
      </c>
      <c r="T101">
        <f>Calc!$EY$103</f>
        <v/>
      </c>
      <c r="U101">
        <f>Calc!$FT$103</f>
        <v/>
      </c>
      <c r="V101">
        <f>Calc!$FU$103</f>
        <v/>
      </c>
      <c r="W101">
        <f>Calc!$FC$103</f>
        <v/>
      </c>
      <c r="X101">
        <f>Calc!$EZ$103</f>
        <v/>
      </c>
      <c r="Y101">
        <f>Calc!$FA$103</f>
        <v/>
      </c>
      <c r="Z101">
        <f>Calc!$FV$103</f>
        <v/>
      </c>
      <c r="AA101">
        <f>IF($T101&lt;&gt;"row",0,IF($V101=1,IF($X101=1,IF($Y101=1,1,2),IF($Y101=1,3,4)),IF($X101=1,IF($Y101=1,5,6),IF($Y101=1,7,8))))</f>
        <v/>
      </c>
    </row>
    <row r="102" ht="11.25" customHeight="1">
      <c r="A102" s="64">
        <f>Calc!$FB$104</f>
        <v/>
      </c>
      <c r="B102" s="64">
        <f>Calc!$FC$104</f>
        <v/>
      </c>
      <c r="C102" s="65">
        <f>Calc!$FD$104</f>
        <v/>
      </c>
      <c r="D102" s="65">
        <f>Calc!$FE$104</f>
        <v/>
      </c>
      <c r="E102" s="65">
        <f>Calc!$FF$104</f>
        <v/>
      </c>
      <c r="F102" s="65">
        <f>Calc!$FG$104</f>
        <v/>
      </c>
      <c r="G102" s="65">
        <f>Calc!$FH$104</f>
        <v/>
      </c>
      <c r="H102" s="65">
        <f>Calc!$FI$104</f>
        <v/>
      </c>
      <c r="I102" s="65">
        <f>Calc!$FJ$104</f>
        <v/>
      </c>
      <c r="J102" s="65">
        <f>Calc!$FK$104</f>
        <v/>
      </c>
      <c r="K102" s="65">
        <f>Calc!$FL$104</f>
        <v/>
      </c>
      <c r="L102" s="65">
        <f>Calc!$FM$104</f>
        <v/>
      </c>
      <c r="M102" s="66">
        <f>Calc!$FN$104</f>
        <v/>
      </c>
      <c r="N102" s="66">
        <f>Calc!$FO$104</f>
        <v/>
      </c>
      <c r="O102" s="65">
        <f>Calc!$FP$104</f>
        <v/>
      </c>
      <c r="P102" s="67">
        <f>Calc!$FQ$104</f>
        <v/>
      </c>
      <c r="Q102" s="68">
        <f>Calc!$FR$104</f>
        <v/>
      </c>
      <c r="R102" s="65">
        <f>Calc!$FS$104</f>
        <v/>
      </c>
      <c r="T102">
        <f>Calc!$EY$104</f>
        <v/>
      </c>
      <c r="U102">
        <f>Calc!$FT$104</f>
        <v/>
      </c>
      <c r="V102">
        <f>Calc!$FU$104</f>
        <v/>
      </c>
      <c r="W102">
        <f>Calc!$FC$104</f>
        <v/>
      </c>
      <c r="X102">
        <f>Calc!$EZ$104</f>
        <v/>
      </c>
      <c r="Y102">
        <f>Calc!$FA$104</f>
        <v/>
      </c>
      <c r="Z102">
        <f>Calc!$FV$104</f>
        <v/>
      </c>
      <c r="AA102">
        <f>IF($T102&lt;&gt;"row",0,IF($V102=1,IF($X102=1,IF($Y102=1,1,2),IF($Y102=1,3,4)),IF($X102=1,IF($Y102=1,5,6),IF($Y102=1,7,8))))</f>
        <v/>
      </c>
    </row>
    <row r="103" ht="11.25" customHeight="1">
      <c r="A103" s="64">
        <f>Calc!$FB$105</f>
        <v/>
      </c>
      <c r="B103" s="64">
        <f>Calc!$FC$105</f>
        <v/>
      </c>
      <c r="C103" s="65">
        <f>Calc!$FD$105</f>
        <v/>
      </c>
      <c r="D103" s="65">
        <f>Calc!$FE$105</f>
        <v/>
      </c>
      <c r="E103" s="65">
        <f>Calc!$FF$105</f>
        <v/>
      </c>
      <c r="F103" s="65">
        <f>Calc!$FG$105</f>
        <v/>
      </c>
      <c r="G103" s="65">
        <f>Calc!$FH$105</f>
        <v/>
      </c>
      <c r="H103" s="65">
        <f>Calc!$FI$105</f>
        <v/>
      </c>
      <c r="I103" s="65">
        <f>Calc!$FJ$105</f>
        <v/>
      </c>
      <c r="J103" s="65">
        <f>Calc!$FK$105</f>
        <v/>
      </c>
      <c r="K103" s="65">
        <f>Calc!$FL$105</f>
        <v/>
      </c>
      <c r="L103" s="65">
        <f>Calc!$FM$105</f>
        <v/>
      </c>
      <c r="M103" s="66">
        <f>Calc!$FN$105</f>
        <v/>
      </c>
      <c r="N103" s="66">
        <f>Calc!$FO$105</f>
        <v/>
      </c>
      <c r="O103" s="65">
        <f>Calc!$FP$105</f>
        <v/>
      </c>
      <c r="P103" s="67">
        <f>Calc!$FQ$105</f>
        <v/>
      </c>
      <c r="Q103" s="68">
        <f>Calc!$FR$105</f>
        <v/>
      </c>
      <c r="R103" s="65">
        <f>Calc!$FS$105</f>
        <v/>
      </c>
      <c r="T103">
        <f>Calc!$EY$105</f>
        <v/>
      </c>
      <c r="U103">
        <f>Calc!$FT$105</f>
        <v/>
      </c>
      <c r="V103">
        <f>Calc!$FU$105</f>
        <v/>
      </c>
      <c r="W103">
        <f>Calc!$FC$105</f>
        <v/>
      </c>
      <c r="X103">
        <f>Calc!$EZ$105</f>
        <v/>
      </c>
      <c r="Y103">
        <f>Calc!$FA$105</f>
        <v/>
      </c>
      <c r="Z103">
        <f>Calc!$FV$105</f>
        <v/>
      </c>
      <c r="AA103">
        <f>IF($T103&lt;&gt;"row",0,IF($V103=1,IF($X103=1,IF($Y103=1,1,2),IF($Y103=1,3,4)),IF($X103=1,IF($Y103=1,5,6),IF($Y103=1,7,8))))</f>
        <v/>
      </c>
    </row>
    <row r="104" ht="11.25" customHeight="1">
      <c r="A104" s="64">
        <f>Calc!$FB$106</f>
        <v/>
      </c>
      <c r="B104" s="64">
        <f>Calc!$FC$106</f>
        <v/>
      </c>
      <c r="C104" s="65">
        <f>Calc!$FD$106</f>
        <v/>
      </c>
      <c r="D104" s="65">
        <f>Calc!$FE$106</f>
        <v/>
      </c>
      <c r="E104" s="65">
        <f>Calc!$FF$106</f>
        <v/>
      </c>
      <c r="F104" s="65">
        <f>Calc!$FG$106</f>
        <v/>
      </c>
      <c r="G104" s="65">
        <f>Calc!$FH$106</f>
        <v/>
      </c>
      <c r="H104" s="65">
        <f>Calc!$FI$106</f>
        <v/>
      </c>
      <c r="I104" s="65">
        <f>Calc!$FJ$106</f>
        <v/>
      </c>
      <c r="J104" s="65">
        <f>Calc!$FK$106</f>
        <v/>
      </c>
      <c r="K104" s="65">
        <f>Calc!$FL$106</f>
        <v/>
      </c>
      <c r="L104" s="65">
        <f>Calc!$FM$106</f>
        <v/>
      </c>
      <c r="M104" s="66">
        <f>Calc!$FN$106</f>
        <v/>
      </c>
      <c r="N104" s="66">
        <f>Calc!$FO$106</f>
        <v/>
      </c>
      <c r="O104" s="65">
        <f>Calc!$FP$106</f>
        <v/>
      </c>
      <c r="P104" s="67">
        <f>Calc!$FQ$106</f>
        <v/>
      </c>
      <c r="Q104" s="68">
        <f>Calc!$FR$106</f>
        <v/>
      </c>
      <c r="R104" s="65">
        <f>Calc!$FS$106</f>
        <v/>
      </c>
      <c r="T104">
        <f>Calc!$EY$106</f>
        <v/>
      </c>
      <c r="U104">
        <f>Calc!$FT$106</f>
        <v/>
      </c>
      <c r="V104">
        <f>Calc!$FU$106</f>
        <v/>
      </c>
      <c r="W104">
        <f>Calc!$FC$106</f>
        <v/>
      </c>
      <c r="X104">
        <f>Calc!$EZ$106</f>
        <v/>
      </c>
      <c r="Y104">
        <f>Calc!$FA$106</f>
        <v/>
      </c>
      <c r="Z104">
        <f>Calc!$FV$106</f>
        <v/>
      </c>
      <c r="AA104">
        <f>IF($T104&lt;&gt;"row",0,IF($V104=1,IF($X104=1,IF($Y104=1,1,2),IF($Y104=1,3,4)),IF($X104=1,IF($Y104=1,5,6),IF($Y104=1,7,8))))</f>
        <v/>
      </c>
    </row>
    <row r="105" ht="11.25" customHeight="1">
      <c r="A105" s="64">
        <f>Calc!$FB$107</f>
        <v/>
      </c>
      <c r="B105" s="64">
        <f>Calc!$FC$107</f>
        <v/>
      </c>
      <c r="C105" s="65">
        <f>Calc!$FD$107</f>
        <v/>
      </c>
      <c r="D105" s="65">
        <f>Calc!$FE$107</f>
        <v/>
      </c>
      <c r="E105" s="65">
        <f>Calc!$FF$107</f>
        <v/>
      </c>
      <c r="F105" s="65">
        <f>Calc!$FG$107</f>
        <v/>
      </c>
      <c r="G105" s="65">
        <f>Calc!$FH$107</f>
        <v/>
      </c>
      <c r="H105" s="65">
        <f>Calc!$FI$107</f>
        <v/>
      </c>
      <c r="I105" s="65">
        <f>Calc!$FJ$107</f>
        <v/>
      </c>
      <c r="J105" s="65">
        <f>Calc!$FK$107</f>
        <v/>
      </c>
      <c r="K105" s="65">
        <f>Calc!$FL$107</f>
        <v/>
      </c>
      <c r="L105" s="65">
        <f>Calc!$FM$107</f>
        <v/>
      </c>
      <c r="M105" s="66">
        <f>Calc!$FN$107</f>
        <v/>
      </c>
      <c r="N105" s="66">
        <f>Calc!$FO$107</f>
        <v/>
      </c>
      <c r="O105" s="65">
        <f>Calc!$FP$107</f>
        <v/>
      </c>
      <c r="P105" s="67">
        <f>Calc!$FQ$107</f>
        <v/>
      </c>
      <c r="Q105" s="68">
        <f>Calc!$FR$107</f>
        <v/>
      </c>
      <c r="R105" s="65">
        <f>Calc!$FS$107</f>
        <v/>
      </c>
      <c r="T105">
        <f>Calc!$EY$107</f>
        <v/>
      </c>
      <c r="U105">
        <f>Calc!$FT$107</f>
        <v/>
      </c>
      <c r="V105">
        <f>Calc!$FU$107</f>
        <v/>
      </c>
      <c r="W105">
        <f>Calc!$FC$107</f>
        <v/>
      </c>
      <c r="X105">
        <f>Calc!$EZ$107</f>
        <v/>
      </c>
      <c r="Y105">
        <f>Calc!$FA$107</f>
        <v/>
      </c>
      <c r="Z105">
        <f>Calc!$FV$107</f>
        <v/>
      </c>
      <c r="AA105">
        <f>IF($T105&lt;&gt;"row",0,IF($V105=1,IF($X105=1,IF($Y105=1,1,2),IF($Y105=1,3,4)),IF($X105=1,IF($Y105=1,5,6),IF($Y105=1,7,8))))</f>
        <v/>
      </c>
    </row>
    <row r="106" ht="11.25" customHeight="1">
      <c r="A106" s="64">
        <f>Calc!$FB$108</f>
        <v/>
      </c>
      <c r="B106" s="64">
        <f>Calc!$FC$108</f>
        <v/>
      </c>
      <c r="C106" s="65">
        <f>Calc!$FD$108</f>
        <v/>
      </c>
      <c r="D106" s="65">
        <f>Calc!$FE$108</f>
        <v/>
      </c>
      <c r="E106" s="65">
        <f>Calc!$FF$108</f>
        <v/>
      </c>
      <c r="F106" s="65">
        <f>Calc!$FG$108</f>
        <v/>
      </c>
      <c r="G106" s="65">
        <f>Calc!$FH$108</f>
        <v/>
      </c>
      <c r="H106" s="65">
        <f>Calc!$FI$108</f>
        <v/>
      </c>
      <c r="I106" s="65">
        <f>Calc!$FJ$108</f>
        <v/>
      </c>
      <c r="J106" s="65">
        <f>Calc!$FK$108</f>
        <v/>
      </c>
      <c r="K106" s="65">
        <f>Calc!$FL$108</f>
        <v/>
      </c>
      <c r="L106" s="65">
        <f>Calc!$FM$108</f>
        <v/>
      </c>
      <c r="M106" s="66">
        <f>Calc!$FN$108</f>
        <v/>
      </c>
      <c r="N106" s="66">
        <f>Calc!$FO$108</f>
        <v/>
      </c>
      <c r="O106" s="65">
        <f>Calc!$FP$108</f>
        <v/>
      </c>
      <c r="P106" s="67">
        <f>Calc!$FQ$108</f>
        <v/>
      </c>
      <c r="Q106" s="68">
        <f>Calc!$FR$108</f>
        <v/>
      </c>
      <c r="R106" s="65">
        <f>Calc!$FS$108</f>
        <v/>
      </c>
      <c r="T106">
        <f>Calc!$EY$108</f>
        <v/>
      </c>
      <c r="U106">
        <f>Calc!$FT$108</f>
        <v/>
      </c>
      <c r="V106">
        <f>Calc!$FU$108</f>
        <v/>
      </c>
      <c r="W106">
        <f>Calc!$FC$108</f>
        <v/>
      </c>
      <c r="X106">
        <f>Calc!$EZ$108</f>
        <v/>
      </c>
      <c r="Y106">
        <f>Calc!$FA$108</f>
        <v/>
      </c>
      <c r="Z106">
        <f>Calc!$FV$108</f>
        <v/>
      </c>
      <c r="AA106">
        <f>IF($T106&lt;&gt;"row",0,IF($V106=1,IF($X106=1,IF($Y106=1,1,2),IF($Y106=1,3,4)),IF($X106=1,IF($Y106=1,5,6),IF($Y106=1,7,8))))</f>
        <v/>
      </c>
    </row>
    <row r="107" ht="11.25" customHeight="1">
      <c r="A107" s="64">
        <f>Calc!$FB$109</f>
        <v/>
      </c>
      <c r="B107" s="64">
        <f>Calc!$FC$109</f>
        <v/>
      </c>
      <c r="C107" s="65">
        <f>Calc!$FD$109</f>
        <v/>
      </c>
      <c r="D107" s="65">
        <f>Calc!$FE$109</f>
        <v/>
      </c>
      <c r="E107" s="65">
        <f>Calc!$FF$109</f>
        <v/>
      </c>
      <c r="F107" s="65">
        <f>Calc!$FG$109</f>
        <v/>
      </c>
      <c r="G107" s="65">
        <f>Calc!$FH$109</f>
        <v/>
      </c>
      <c r="H107" s="65">
        <f>Calc!$FI$109</f>
        <v/>
      </c>
      <c r="I107" s="65">
        <f>Calc!$FJ$109</f>
        <v/>
      </c>
      <c r="J107" s="65">
        <f>Calc!$FK$109</f>
        <v/>
      </c>
      <c r="K107" s="65">
        <f>Calc!$FL$109</f>
        <v/>
      </c>
      <c r="L107" s="65">
        <f>Calc!$FM$109</f>
        <v/>
      </c>
      <c r="M107" s="66">
        <f>Calc!$FN$109</f>
        <v/>
      </c>
      <c r="N107" s="66">
        <f>Calc!$FO$109</f>
        <v/>
      </c>
      <c r="O107" s="65">
        <f>Calc!$FP$109</f>
        <v/>
      </c>
      <c r="P107" s="67">
        <f>Calc!$FQ$109</f>
        <v/>
      </c>
      <c r="Q107" s="68">
        <f>Calc!$FR$109</f>
        <v/>
      </c>
      <c r="R107" s="65">
        <f>Calc!$FS$109</f>
        <v/>
      </c>
      <c r="T107">
        <f>Calc!$EY$109</f>
        <v/>
      </c>
      <c r="U107">
        <f>Calc!$FT$109</f>
        <v/>
      </c>
      <c r="V107">
        <f>Calc!$FU$109</f>
        <v/>
      </c>
      <c r="W107">
        <f>Calc!$FC$109</f>
        <v/>
      </c>
      <c r="X107">
        <f>Calc!$EZ$109</f>
        <v/>
      </c>
      <c r="Y107">
        <f>Calc!$FA$109</f>
        <v/>
      </c>
      <c r="Z107">
        <f>Calc!$FV$109</f>
        <v/>
      </c>
      <c r="AA107">
        <f>IF($T107&lt;&gt;"row",0,IF($V107=1,IF($X107=1,IF($Y107=1,1,2),IF($Y107=1,3,4)),IF($X107=1,IF($Y107=1,5,6),IF($Y107=1,7,8))))</f>
        <v/>
      </c>
    </row>
    <row r="108" ht="11.25" customHeight="1">
      <c r="A108" s="64">
        <f>Calc!$FB$110</f>
        <v/>
      </c>
      <c r="B108" s="64">
        <f>Calc!$FC$110</f>
        <v/>
      </c>
      <c r="C108" s="65">
        <f>Calc!$FD$110</f>
        <v/>
      </c>
      <c r="D108" s="65">
        <f>Calc!$FE$110</f>
        <v/>
      </c>
      <c r="E108" s="65">
        <f>Calc!$FF$110</f>
        <v/>
      </c>
      <c r="F108" s="65">
        <f>Calc!$FG$110</f>
        <v/>
      </c>
      <c r="G108" s="65">
        <f>Calc!$FH$110</f>
        <v/>
      </c>
      <c r="H108" s="65">
        <f>Calc!$FI$110</f>
        <v/>
      </c>
      <c r="I108" s="65">
        <f>Calc!$FJ$110</f>
        <v/>
      </c>
      <c r="J108" s="65">
        <f>Calc!$FK$110</f>
        <v/>
      </c>
      <c r="K108" s="65">
        <f>Calc!$FL$110</f>
        <v/>
      </c>
      <c r="L108" s="65">
        <f>Calc!$FM$110</f>
        <v/>
      </c>
      <c r="M108" s="66">
        <f>Calc!$FN$110</f>
        <v/>
      </c>
      <c r="N108" s="66">
        <f>Calc!$FO$110</f>
        <v/>
      </c>
      <c r="O108" s="65">
        <f>Calc!$FP$110</f>
        <v/>
      </c>
      <c r="P108" s="67">
        <f>Calc!$FQ$110</f>
        <v/>
      </c>
      <c r="Q108" s="68">
        <f>Calc!$FR$110</f>
        <v/>
      </c>
      <c r="R108" s="65">
        <f>Calc!$FS$110</f>
        <v/>
      </c>
      <c r="T108">
        <f>Calc!$EY$110</f>
        <v/>
      </c>
      <c r="U108">
        <f>Calc!$FT$110</f>
        <v/>
      </c>
      <c r="V108">
        <f>Calc!$FU$110</f>
        <v/>
      </c>
      <c r="W108">
        <f>Calc!$FC$110</f>
        <v/>
      </c>
      <c r="X108">
        <f>Calc!$EZ$110</f>
        <v/>
      </c>
      <c r="Y108">
        <f>Calc!$FA$110</f>
        <v/>
      </c>
      <c r="Z108">
        <f>Calc!$FV$110</f>
        <v/>
      </c>
      <c r="AA108">
        <f>IF($T108&lt;&gt;"row",0,IF($V108=1,IF($X108=1,IF($Y108=1,1,2),IF($Y108=1,3,4)),IF($X108=1,IF($Y108=1,5,6),IF($Y108=1,7,8))))</f>
        <v/>
      </c>
    </row>
    <row r="109" ht="11.25" customHeight="1">
      <c r="A109" s="64">
        <f>Calc!$FB$111</f>
        <v/>
      </c>
      <c r="B109" s="64">
        <f>Calc!$FC$111</f>
        <v/>
      </c>
      <c r="C109" s="65">
        <f>Calc!$FD$111</f>
        <v/>
      </c>
      <c r="D109" s="65">
        <f>Calc!$FE$111</f>
        <v/>
      </c>
      <c r="E109" s="65">
        <f>Calc!$FF$111</f>
        <v/>
      </c>
      <c r="F109" s="65">
        <f>Calc!$FG$111</f>
        <v/>
      </c>
      <c r="G109" s="65">
        <f>Calc!$FH$111</f>
        <v/>
      </c>
      <c r="H109" s="65">
        <f>Calc!$FI$111</f>
        <v/>
      </c>
      <c r="I109" s="65">
        <f>Calc!$FJ$111</f>
        <v/>
      </c>
      <c r="J109" s="65">
        <f>Calc!$FK$111</f>
        <v/>
      </c>
      <c r="K109" s="65">
        <f>Calc!$FL$111</f>
        <v/>
      </c>
      <c r="L109" s="65">
        <f>Calc!$FM$111</f>
        <v/>
      </c>
      <c r="M109" s="66">
        <f>Calc!$FN$111</f>
        <v/>
      </c>
      <c r="N109" s="66">
        <f>Calc!$FO$111</f>
        <v/>
      </c>
      <c r="O109" s="65">
        <f>Calc!$FP$111</f>
        <v/>
      </c>
      <c r="P109" s="67">
        <f>Calc!$FQ$111</f>
        <v/>
      </c>
      <c r="Q109" s="68">
        <f>Calc!$FR$111</f>
        <v/>
      </c>
      <c r="R109" s="65">
        <f>Calc!$FS$111</f>
        <v/>
      </c>
      <c r="T109">
        <f>Calc!$EY$111</f>
        <v/>
      </c>
      <c r="U109">
        <f>Calc!$FT$111</f>
        <v/>
      </c>
      <c r="V109">
        <f>Calc!$FU$111</f>
        <v/>
      </c>
      <c r="W109">
        <f>Calc!$FC$111</f>
        <v/>
      </c>
      <c r="X109">
        <f>Calc!$EZ$111</f>
        <v/>
      </c>
      <c r="Y109">
        <f>Calc!$FA$111</f>
        <v/>
      </c>
      <c r="Z109">
        <f>Calc!$FV$111</f>
        <v/>
      </c>
      <c r="AA109">
        <f>IF($T109&lt;&gt;"row",0,IF($V109=1,IF($X109=1,IF($Y109=1,1,2),IF($Y109=1,3,4)),IF($X109=1,IF($Y109=1,5,6),IF($Y109=1,7,8))))</f>
        <v/>
      </c>
    </row>
    <row r="110" ht="11.25" customHeight="1">
      <c r="A110" s="64">
        <f>Calc!$FB$112</f>
        <v/>
      </c>
      <c r="B110" s="64">
        <f>Calc!$FC$112</f>
        <v/>
      </c>
      <c r="C110" s="65">
        <f>Calc!$FD$112</f>
        <v/>
      </c>
      <c r="D110" s="65">
        <f>Calc!$FE$112</f>
        <v/>
      </c>
      <c r="E110" s="65">
        <f>Calc!$FF$112</f>
        <v/>
      </c>
      <c r="F110" s="65">
        <f>Calc!$FG$112</f>
        <v/>
      </c>
      <c r="G110" s="65">
        <f>Calc!$FH$112</f>
        <v/>
      </c>
      <c r="H110" s="65">
        <f>Calc!$FI$112</f>
        <v/>
      </c>
      <c r="I110" s="65">
        <f>Calc!$FJ$112</f>
        <v/>
      </c>
      <c r="J110" s="65">
        <f>Calc!$FK$112</f>
        <v/>
      </c>
      <c r="K110" s="65">
        <f>Calc!$FL$112</f>
        <v/>
      </c>
      <c r="L110" s="65">
        <f>Calc!$FM$112</f>
        <v/>
      </c>
      <c r="M110" s="66">
        <f>Calc!$FN$112</f>
        <v/>
      </c>
      <c r="N110" s="66">
        <f>Calc!$FO$112</f>
        <v/>
      </c>
      <c r="O110" s="65">
        <f>Calc!$FP$112</f>
        <v/>
      </c>
      <c r="P110" s="67">
        <f>Calc!$FQ$112</f>
        <v/>
      </c>
      <c r="Q110" s="68">
        <f>Calc!$FR$112</f>
        <v/>
      </c>
      <c r="R110" s="65">
        <f>Calc!$FS$112</f>
        <v/>
      </c>
      <c r="T110">
        <f>Calc!$EY$112</f>
        <v/>
      </c>
      <c r="U110">
        <f>Calc!$FT$112</f>
        <v/>
      </c>
      <c r="V110">
        <f>Calc!$FU$112</f>
        <v/>
      </c>
      <c r="W110">
        <f>Calc!$FC$112</f>
        <v/>
      </c>
      <c r="X110">
        <f>Calc!$EZ$112</f>
        <v/>
      </c>
      <c r="Y110">
        <f>Calc!$FA$112</f>
        <v/>
      </c>
      <c r="Z110">
        <f>Calc!$FV$112</f>
        <v/>
      </c>
      <c r="AA110">
        <f>IF($T110&lt;&gt;"row",0,IF($V110=1,IF($X110=1,IF($Y110=1,1,2),IF($Y110=1,3,4)),IF($X110=1,IF($Y110=1,5,6),IF($Y110=1,7,8))))</f>
        <v/>
      </c>
    </row>
    <row r="111" ht="11.25" customHeight="1">
      <c r="A111" s="64">
        <f>Calc!$FB$113</f>
        <v/>
      </c>
      <c r="B111" s="64">
        <f>Calc!$FC$113</f>
        <v/>
      </c>
      <c r="C111" s="65">
        <f>Calc!$FD$113</f>
        <v/>
      </c>
      <c r="D111" s="65">
        <f>Calc!$FE$113</f>
        <v/>
      </c>
      <c r="E111" s="65">
        <f>Calc!$FF$113</f>
        <v/>
      </c>
      <c r="F111" s="65">
        <f>Calc!$FG$113</f>
        <v/>
      </c>
      <c r="G111" s="65">
        <f>Calc!$FH$113</f>
        <v/>
      </c>
      <c r="H111" s="65">
        <f>Calc!$FI$113</f>
        <v/>
      </c>
      <c r="I111" s="65">
        <f>Calc!$FJ$113</f>
        <v/>
      </c>
      <c r="J111" s="65">
        <f>Calc!$FK$113</f>
        <v/>
      </c>
      <c r="K111" s="65">
        <f>Calc!$FL$113</f>
        <v/>
      </c>
      <c r="L111" s="65">
        <f>Calc!$FM$113</f>
        <v/>
      </c>
      <c r="M111" s="66">
        <f>Calc!$FN$113</f>
        <v/>
      </c>
      <c r="N111" s="66">
        <f>Calc!$FO$113</f>
        <v/>
      </c>
      <c r="O111" s="65">
        <f>Calc!$FP$113</f>
        <v/>
      </c>
      <c r="P111" s="67">
        <f>Calc!$FQ$113</f>
        <v/>
      </c>
      <c r="Q111" s="68">
        <f>Calc!$FR$113</f>
        <v/>
      </c>
      <c r="R111" s="65">
        <f>Calc!$FS$113</f>
        <v/>
      </c>
      <c r="T111">
        <f>Calc!$EY$113</f>
        <v/>
      </c>
      <c r="U111">
        <f>Calc!$FT$113</f>
        <v/>
      </c>
      <c r="V111">
        <f>Calc!$FU$113</f>
        <v/>
      </c>
      <c r="W111">
        <f>Calc!$FC$113</f>
        <v/>
      </c>
      <c r="X111">
        <f>Calc!$EZ$113</f>
        <v/>
      </c>
      <c r="Y111">
        <f>Calc!$FA$113</f>
        <v/>
      </c>
      <c r="Z111">
        <f>Calc!$FV$113</f>
        <v/>
      </c>
      <c r="AA111">
        <f>IF($T111&lt;&gt;"row",0,IF($V111=1,IF($X111=1,IF($Y111=1,1,2),IF($Y111=1,3,4)),IF($X111=1,IF($Y111=1,5,6),IF($Y111=1,7,8))))</f>
        <v/>
      </c>
    </row>
    <row r="112" ht="11.25" customHeight="1">
      <c r="A112" s="64">
        <f>Calc!$FB$114</f>
        <v/>
      </c>
      <c r="B112" s="64">
        <f>Calc!$FC$114</f>
        <v/>
      </c>
      <c r="C112" s="65">
        <f>Calc!$FD$114</f>
        <v/>
      </c>
      <c r="D112" s="65">
        <f>Calc!$FE$114</f>
        <v/>
      </c>
      <c r="E112" s="65">
        <f>Calc!$FF$114</f>
        <v/>
      </c>
      <c r="F112" s="65">
        <f>Calc!$FG$114</f>
        <v/>
      </c>
      <c r="G112" s="65">
        <f>Calc!$FH$114</f>
        <v/>
      </c>
      <c r="H112" s="65">
        <f>Calc!$FI$114</f>
        <v/>
      </c>
      <c r="I112" s="65">
        <f>Calc!$FJ$114</f>
        <v/>
      </c>
      <c r="J112" s="65">
        <f>Calc!$FK$114</f>
        <v/>
      </c>
      <c r="K112" s="65">
        <f>Calc!$FL$114</f>
        <v/>
      </c>
      <c r="L112" s="65">
        <f>Calc!$FM$114</f>
        <v/>
      </c>
      <c r="M112" s="66">
        <f>Calc!$FN$114</f>
        <v/>
      </c>
      <c r="N112" s="66">
        <f>Calc!$FO$114</f>
        <v/>
      </c>
      <c r="O112" s="65">
        <f>Calc!$FP$114</f>
        <v/>
      </c>
      <c r="P112" s="67">
        <f>Calc!$FQ$114</f>
        <v/>
      </c>
      <c r="Q112" s="68">
        <f>Calc!$FR$114</f>
        <v/>
      </c>
      <c r="R112" s="65">
        <f>Calc!$FS$114</f>
        <v/>
      </c>
      <c r="T112">
        <f>Calc!$EY$114</f>
        <v/>
      </c>
      <c r="U112">
        <f>Calc!$FT$114</f>
        <v/>
      </c>
      <c r="V112">
        <f>Calc!$FU$114</f>
        <v/>
      </c>
      <c r="W112">
        <f>Calc!$FC$114</f>
        <v/>
      </c>
      <c r="X112">
        <f>Calc!$EZ$114</f>
        <v/>
      </c>
      <c r="Y112">
        <f>Calc!$FA$114</f>
        <v/>
      </c>
      <c r="Z112">
        <f>Calc!$FV$114</f>
        <v/>
      </c>
      <c r="AA112">
        <f>IF($T112&lt;&gt;"row",0,IF($V112=1,IF($X112=1,IF($Y112=1,1,2),IF($Y112=1,3,4)),IF($X112=1,IF($Y112=1,5,6),IF($Y112=1,7,8))))</f>
        <v/>
      </c>
    </row>
    <row r="113" ht="11.25" customHeight="1">
      <c r="A113" s="64">
        <f>Calc!$FB$115</f>
        <v/>
      </c>
      <c r="B113" s="64">
        <f>Calc!$FC$115</f>
        <v/>
      </c>
      <c r="C113" s="65">
        <f>Calc!$FD$115</f>
        <v/>
      </c>
      <c r="D113" s="65">
        <f>Calc!$FE$115</f>
        <v/>
      </c>
      <c r="E113" s="65">
        <f>Calc!$FF$115</f>
        <v/>
      </c>
      <c r="F113" s="65">
        <f>Calc!$FG$115</f>
        <v/>
      </c>
      <c r="G113" s="65">
        <f>Calc!$FH$115</f>
        <v/>
      </c>
      <c r="H113" s="65">
        <f>Calc!$FI$115</f>
        <v/>
      </c>
      <c r="I113" s="65">
        <f>Calc!$FJ$115</f>
        <v/>
      </c>
      <c r="J113" s="65">
        <f>Calc!$FK$115</f>
        <v/>
      </c>
      <c r="K113" s="65">
        <f>Calc!$FL$115</f>
        <v/>
      </c>
      <c r="L113" s="65">
        <f>Calc!$FM$115</f>
        <v/>
      </c>
      <c r="M113" s="66">
        <f>Calc!$FN$115</f>
        <v/>
      </c>
      <c r="N113" s="66">
        <f>Calc!$FO$115</f>
        <v/>
      </c>
      <c r="O113" s="65">
        <f>Calc!$FP$115</f>
        <v/>
      </c>
      <c r="P113" s="67">
        <f>Calc!$FQ$115</f>
        <v/>
      </c>
      <c r="Q113" s="68">
        <f>Calc!$FR$115</f>
        <v/>
      </c>
      <c r="R113" s="65">
        <f>Calc!$FS$115</f>
        <v/>
      </c>
      <c r="T113">
        <f>Calc!$EY$115</f>
        <v/>
      </c>
      <c r="U113">
        <f>Calc!$FT$115</f>
        <v/>
      </c>
      <c r="V113">
        <f>Calc!$FU$115</f>
        <v/>
      </c>
      <c r="W113">
        <f>Calc!$FC$115</f>
        <v/>
      </c>
      <c r="X113">
        <f>Calc!$EZ$115</f>
        <v/>
      </c>
      <c r="Y113">
        <f>Calc!$FA$115</f>
        <v/>
      </c>
      <c r="Z113">
        <f>Calc!$FV$115</f>
        <v/>
      </c>
      <c r="AA113">
        <f>IF($T113&lt;&gt;"row",0,IF($V113=1,IF($X113=1,IF($Y113=1,1,2),IF($Y113=1,3,4)),IF($X113=1,IF($Y113=1,5,6),IF($Y113=1,7,8))))</f>
        <v/>
      </c>
    </row>
    <row r="114" ht="11.25" customHeight="1">
      <c r="A114" s="64">
        <f>Calc!$FB$116</f>
        <v/>
      </c>
      <c r="B114" s="64">
        <f>Calc!$FC$116</f>
        <v/>
      </c>
      <c r="C114" s="65">
        <f>Calc!$FD$116</f>
        <v/>
      </c>
      <c r="D114" s="65">
        <f>Calc!$FE$116</f>
        <v/>
      </c>
      <c r="E114" s="65">
        <f>Calc!$FF$116</f>
        <v/>
      </c>
      <c r="F114" s="65">
        <f>Calc!$FG$116</f>
        <v/>
      </c>
      <c r="G114" s="65">
        <f>Calc!$FH$116</f>
        <v/>
      </c>
      <c r="H114" s="65">
        <f>Calc!$FI$116</f>
        <v/>
      </c>
      <c r="I114" s="65">
        <f>Calc!$FJ$116</f>
        <v/>
      </c>
      <c r="J114" s="65">
        <f>Calc!$FK$116</f>
        <v/>
      </c>
      <c r="K114" s="65">
        <f>Calc!$FL$116</f>
        <v/>
      </c>
      <c r="L114" s="65">
        <f>Calc!$FM$116</f>
        <v/>
      </c>
      <c r="M114" s="66">
        <f>Calc!$FN$116</f>
        <v/>
      </c>
      <c r="N114" s="66">
        <f>Calc!$FO$116</f>
        <v/>
      </c>
      <c r="O114" s="65">
        <f>Calc!$FP$116</f>
        <v/>
      </c>
      <c r="P114" s="67">
        <f>Calc!$FQ$116</f>
        <v/>
      </c>
      <c r="Q114" s="68">
        <f>Calc!$FR$116</f>
        <v/>
      </c>
      <c r="R114" s="65">
        <f>Calc!$FS$116</f>
        <v/>
      </c>
      <c r="T114">
        <f>Calc!$EY$116</f>
        <v/>
      </c>
      <c r="U114">
        <f>Calc!$FT$116</f>
        <v/>
      </c>
      <c r="V114">
        <f>Calc!$FU$116</f>
        <v/>
      </c>
      <c r="W114">
        <f>Calc!$FC$116</f>
        <v/>
      </c>
      <c r="X114">
        <f>Calc!$EZ$116</f>
        <v/>
      </c>
      <c r="Y114">
        <f>Calc!$FA$116</f>
        <v/>
      </c>
      <c r="Z114">
        <f>Calc!$FV$116</f>
        <v/>
      </c>
      <c r="AA114">
        <f>IF($T114&lt;&gt;"row",0,IF($V114=1,IF($X114=1,IF($Y114=1,1,2),IF($Y114=1,3,4)),IF($X114=1,IF($Y114=1,5,6),IF($Y114=1,7,8))))</f>
        <v/>
      </c>
    </row>
    <row r="115" ht="11.25" customHeight="1">
      <c r="A115" s="64">
        <f>Calc!$FB$117</f>
        <v/>
      </c>
      <c r="B115" s="64">
        <f>Calc!$FC$117</f>
        <v/>
      </c>
      <c r="C115" s="65">
        <f>Calc!$FD$117</f>
        <v/>
      </c>
      <c r="D115" s="65">
        <f>Calc!$FE$117</f>
        <v/>
      </c>
      <c r="E115" s="65">
        <f>Calc!$FF$117</f>
        <v/>
      </c>
      <c r="F115" s="65">
        <f>Calc!$FG$117</f>
        <v/>
      </c>
      <c r="G115" s="65">
        <f>Calc!$FH$117</f>
        <v/>
      </c>
      <c r="H115" s="65">
        <f>Calc!$FI$117</f>
        <v/>
      </c>
      <c r="I115" s="65">
        <f>Calc!$FJ$117</f>
        <v/>
      </c>
      <c r="J115" s="65">
        <f>Calc!$FK$117</f>
        <v/>
      </c>
      <c r="K115" s="65">
        <f>Calc!$FL$117</f>
        <v/>
      </c>
      <c r="L115" s="65">
        <f>Calc!$FM$117</f>
        <v/>
      </c>
      <c r="M115" s="66">
        <f>Calc!$FN$117</f>
        <v/>
      </c>
      <c r="N115" s="66">
        <f>Calc!$FO$117</f>
        <v/>
      </c>
      <c r="O115" s="65">
        <f>Calc!$FP$117</f>
        <v/>
      </c>
      <c r="P115" s="67">
        <f>Calc!$FQ$117</f>
        <v/>
      </c>
      <c r="Q115" s="68">
        <f>Calc!$FR$117</f>
        <v/>
      </c>
      <c r="R115" s="65">
        <f>Calc!$FS$117</f>
        <v/>
      </c>
      <c r="T115">
        <f>Calc!$EY$117</f>
        <v/>
      </c>
      <c r="U115">
        <f>Calc!$FT$117</f>
        <v/>
      </c>
      <c r="V115">
        <f>Calc!$FU$117</f>
        <v/>
      </c>
      <c r="W115">
        <f>Calc!$FC$117</f>
        <v/>
      </c>
      <c r="X115">
        <f>Calc!$EZ$117</f>
        <v/>
      </c>
      <c r="Y115">
        <f>Calc!$FA$117</f>
        <v/>
      </c>
      <c r="Z115">
        <f>Calc!$FV$117</f>
        <v/>
      </c>
      <c r="AA115">
        <f>IF($T115&lt;&gt;"row",0,IF($V115=1,IF($X115=1,IF($Y115=1,1,2),IF($Y115=1,3,4)),IF($X115=1,IF($Y115=1,5,6),IF($Y115=1,7,8))))</f>
        <v/>
      </c>
    </row>
    <row r="116" ht="11.25" customHeight="1">
      <c r="A116" s="64">
        <f>Calc!$FB$118</f>
        <v/>
      </c>
      <c r="B116" s="64">
        <f>Calc!$FC$118</f>
        <v/>
      </c>
      <c r="C116" s="65">
        <f>Calc!$FD$118</f>
        <v/>
      </c>
      <c r="D116" s="65">
        <f>Calc!$FE$118</f>
        <v/>
      </c>
      <c r="E116" s="65">
        <f>Calc!$FF$118</f>
        <v/>
      </c>
      <c r="F116" s="65">
        <f>Calc!$FG$118</f>
        <v/>
      </c>
      <c r="G116" s="65">
        <f>Calc!$FH$118</f>
        <v/>
      </c>
      <c r="H116" s="65">
        <f>Calc!$FI$118</f>
        <v/>
      </c>
      <c r="I116" s="65">
        <f>Calc!$FJ$118</f>
        <v/>
      </c>
      <c r="J116" s="65">
        <f>Calc!$FK$118</f>
        <v/>
      </c>
      <c r="K116" s="65">
        <f>Calc!$FL$118</f>
        <v/>
      </c>
      <c r="L116" s="65">
        <f>Calc!$FM$118</f>
        <v/>
      </c>
      <c r="M116" s="66">
        <f>Calc!$FN$118</f>
        <v/>
      </c>
      <c r="N116" s="66">
        <f>Calc!$FO$118</f>
        <v/>
      </c>
      <c r="O116" s="65">
        <f>Calc!$FP$118</f>
        <v/>
      </c>
      <c r="P116" s="67">
        <f>Calc!$FQ$118</f>
        <v/>
      </c>
      <c r="Q116" s="68">
        <f>Calc!$FR$118</f>
        <v/>
      </c>
      <c r="R116" s="65">
        <f>Calc!$FS$118</f>
        <v/>
      </c>
      <c r="T116">
        <f>Calc!$EY$118</f>
        <v/>
      </c>
      <c r="U116">
        <f>Calc!$FT$118</f>
        <v/>
      </c>
      <c r="V116">
        <f>Calc!$FU$118</f>
        <v/>
      </c>
      <c r="W116">
        <f>Calc!$FC$118</f>
        <v/>
      </c>
      <c r="X116">
        <f>Calc!$EZ$118</f>
        <v/>
      </c>
      <c r="Y116">
        <f>Calc!$FA$118</f>
        <v/>
      </c>
      <c r="Z116">
        <f>Calc!$FV$118</f>
        <v/>
      </c>
      <c r="AA116">
        <f>IF($T116&lt;&gt;"row",0,IF($V116=1,IF($X116=1,IF($Y116=1,1,2),IF($Y116=1,3,4)),IF($X116=1,IF($Y116=1,5,6),IF($Y116=1,7,8))))</f>
        <v/>
      </c>
    </row>
    <row r="117" ht="11.25" customHeight="1">
      <c r="A117" s="64">
        <f>Calc!$FB$119</f>
        <v/>
      </c>
      <c r="B117" s="64">
        <f>Calc!$FC$119</f>
        <v/>
      </c>
      <c r="C117" s="65">
        <f>Calc!$FD$119</f>
        <v/>
      </c>
      <c r="D117" s="65">
        <f>Calc!$FE$119</f>
        <v/>
      </c>
      <c r="E117" s="65">
        <f>Calc!$FF$119</f>
        <v/>
      </c>
      <c r="F117" s="65">
        <f>Calc!$FG$119</f>
        <v/>
      </c>
      <c r="G117" s="65">
        <f>Calc!$FH$119</f>
        <v/>
      </c>
      <c r="H117" s="65">
        <f>Calc!$FI$119</f>
        <v/>
      </c>
      <c r="I117" s="65">
        <f>Calc!$FJ$119</f>
        <v/>
      </c>
      <c r="J117" s="65">
        <f>Calc!$FK$119</f>
        <v/>
      </c>
      <c r="K117" s="65">
        <f>Calc!$FL$119</f>
        <v/>
      </c>
      <c r="L117" s="65">
        <f>Calc!$FM$119</f>
        <v/>
      </c>
      <c r="M117" s="66">
        <f>Calc!$FN$119</f>
        <v/>
      </c>
      <c r="N117" s="66">
        <f>Calc!$FO$119</f>
        <v/>
      </c>
      <c r="O117" s="65">
        <f>Calc!$FP$119</f>
        <v/>
      </c>
      <c r="P117" s="67">
        <f>Calc!$FQ$119</f>
        <v/>
      </c>
      <c r="Q117" s="68">
        <f>Calc!$FR$119</f>
        <v/>
      </c>
      <c r="R117" s="65">
        <f>Calc!$FS$119</f>
        <v/>
      </c>
      <c r="T117">
        <f>Calc!$EY$119</f>
        <v/>
      </c>
      <c r="U117">
        <f>Calc!$FT$119</f>
        <v/>
      </c>
      <c r="V117">
        <f>Calc!$FU$119</f>
        <v/>
      </c>
      <c r="W117">
        <f>Calc!$FC$119</f>
        <v/>
      </c>
      <c r="X117">
        <f>Calc!$EZ$119</f>
        <v/>
      </c>
      <c r="Y117">
        <f>Calc!$FA$119</f>
        <v/>
      </c>
      <c r="Z117">
        <f>Calc!$FV$119</f>
        <v/>
      </c>
      <c r="AA117">
        <f>IF($T117&lt;&gt;"row",0,IF($V117=1,IF($X117=1,IF($Y117=1,1,2),IF($Y117=1,3,4)),IF($X117=1,IF($Y117=1,5,6),IF($Y117=1,7,8))))</f>
        <v/>
      </c>
    </row>
    <row r="118" ht="11.25" customHeight="1">
      <c r="A118" s="64">
        <f>Calc!$FB$120</f>
        <v/>
      </c>
      <c r="B118" s="64">
        <f>Calc!$FC$120</f>
        <v/>
      </c>
      <c r="C118" s="65">
        <f>Calc!$FD$120</f>
        <v/>
      </c>
      <c r="D118" s="65">
        <f>Calc!$FE$120</f>
        <v/>
      </c>
      <c r="E118" s="65">
        <f>Calc!$FF$120</f>
        <v/>
      </c>
      <c r="F118" s="65">
        <f>Calc!$FG$120</f>
        <v/>
      </c>
      <c r="G118" s="65">
        <f>Calc!$FH$120</f>
        <v/>
      </c>
      <c r="H118" s="65">
        <f>Calc!$FI$120</f>
        <v/>
      </c>
      <c r="I118" s="65">
        <f>Calc!$FJ$120</f>
        <v/>
      </c>
      <c r="J118" s="65">
        <f>Calc!$FK$120</f>
        <v/>
      </c>
      <c r="K118" s="65">
        <f>Calc!$FL$120</f>
        <v/>
      </c>
      <c r="L118" s="65">
        <f>Calc!$FM$120</f>
        <v/>
      </c>
      <c r="M118" s="66">
        <f>Calc!$FN$120</f>
        <v/>
      </c>
      <c r="N118" s="66">
        <f>Calc!$FO$120</f>
        <v/>
      </c>
      <c r="O118" s="65">
        <f>Calc!$FP$120</f>
        <v/>
      </c>
      <c r="P118" s="67">
        <f>Calc!$FQ$120</f>
        <v/>
      </c>
      <c r="Q118" s="68">
        <f>Calc!$FR$120</f>
        <v/>
      </c>
      <c r="R118" s="65">
        <f>Calc!$FS$120</f>
        <v/>
      </c>
      <c r="T118">
        <f>Calc!$EY$120</f>
        <v/>
      </c>
      <c r="U118">
        <f>Calc!$FT$120</f>
        <v/>
      </c>
      <c r="V118">
        <f>Calc!$FU$120</f>
        <v/>
      </c>
      <c r="W118">
        <f>Calc!$FC$120</f>
        <v/>
      </c>
      <c r="X118">
        <f>Calc!$EZ$120</f>
        <v/>
      </c>
      <c r="Y118">
        <f>Calc!$FA$120</f>
        <v/>
      </c>
      <c r="Z118">
        <f>Calc!$FV$120</f>
        <v/>
      </c>
      <c r="AA118">
        <f>IF($T118&lt;&gt;"row",0,IF($V118=1,IF($X118=1,IF($Y118=1,1,2),IF($Y118=1,3,4)),IF($X118=1,IF($Y118=1,5,6),IF($Y118=1,7,8))))</f>
        <v/>
      </c>
    </row>
    <row r="119" ht="11.25" customHeight="1">
      <c r="A119" s="64">
        <f>Calc!$FB$121</f>
        <v/>
      </c>
      <c r="B119" s="64">
        <f>Calc!$FC$121</f>
        <v/>
      </c>
      <c r="C119" s="65">
        <f>Calc!$FD$121</f>
        <v/>
      </c>
      <c r="D119" s="65">
        <f>Calc!$FE$121</f>
        <v/>
      </c>
      <c r="E119" s="65">
        <f>Calc!$FF$121</f>
        <v/>
      </c>
      <c r="F119" s="65">
        <f>Calc!$FG$121</f>
        <v/>
      </c>
      <c r="G119" s="65">
        <f>Calc!$FH$121</f>
        <v/>
      </c>
      <c r="H119" s="65">
        <f>Calc!$FI$121</f>
        <v/>
      </c>
      <c r="I119" s="65">
        <f>Calc!$FJ$121</f>
        <v/>
      </c>
      <c r="J119" s="65">
        <f>Calc!$FK$121</f>
        <v/>
      </c>
      <c r="K119" s="65">
        <f>Calc!$FL$121</f>
        <v/>
      </c>
      <c r="L119" s="65">
        <f>Calc!$FM$121</f>
        <v/>
      </c>
      <c r="M119" s="66">
        <f>Calc!$FN$121</f>
        <v/>
      </c>
      <c r="N119" s="66">
        <f>Calc!$FO$121</f>
        <v/>
      </c>
      <c r="O119" s="65">
        <f>Calc!$FP$121</f>
        <v/>
      </c>
      <c r="P119" s="67">
        <f>Calc!$FQ$121</f>
        <v/>
      </c>
      <c r="Q119" s="68">
        <f>Calc!$FR$121</f>
        <v/>
      </c>
      <c r="R119" s="65">
        <f>Calc!$FS$121</f>
        <v/>
      </c>
      <c r="T119">
        <f>Calc!$EY$121</f>
        <v/>
      </c>
      <c r="U119">
        <f>Calc!$FT$121</f>
        <v/>
      </c>
      <c r="V119">
        <f>Calc!$FU$121</f>
        <v/>
      </c>
      <c r="W119">
        <f>Calc!$FC$121</f>
        <v/>
      </c>
      <c r="X119">
        <f>Calc!$EZ$121</f>
        <v/>
      </c>
      <c r="Y119">
        <f>Calc!$FA$121</f>
        <v/>
      </c>
      <c r="Z119">
        <f>Calc!$FV$121</f>
        <v/>
      </c>
      <c r="AA119">
        <f>IF($T119&lt;&gt;"row",0,IF($V119=1,IF($X119=1,IF($Y119=1,1,2),IF($Y119=1,3,4)),IF($X119=1,IF($Y119=1,5,6),IF($Y119=1,7,8))))</f>
        <v/>
      </c>
    </row>
    <row r="120" ht="11.25" customHeight="1">
      <c r="A120" s="64">
        <f>Calc!$FB$122</f>
        <v/>
      </c>
      <c r="B120" s="64">
        <f>Calc!$FC$122</f>
        <v/>
      </c>
      <c r="C120" s="65">
        <f>Calc!$FD$122</f>
        <v/>
      </c>
      <c r="D120" s="65">
        <f>Calc!$FE$122</f>
        <v/>
      </c>
      <c r="E120" s="65">
        <f>Calc!$FF$122</f>
        <v/>
      </c>
      <c r="F120" s="65">
        <f>Calc!$FG$122</f>
        <v/>
      </c>
      <c r="G120" s="65">
        <f>Calc!$FH$122</f>
        <v/>
      </c>
      <c r="H120" s="65">
        <f>Calc!$FI$122</f>
        <v/>
      </c>
      <c r="I120" s="65">
        <f>Calc!$FJ$122</f>
        <v/>
      </c>
      <c r="J120" s="65">
        <f>Calc!$FK$122</f>
        <v/>
      </c>
      <c r="K120" s="65">
        <f>Calc!$FL$122</f>
        <v/>
      </c>
      <c r="L120" s="65">
        <f>Calc!$FM$122</f>
        <v/>
      </c>
      <c r="M120" s="66">
        <f>Calc!$FN$122</f>
        <v/>
      </c>
      <c r="N120" s="66">
        <f>Calc!$FO$122</f>
        <v/>
      </c>
      <c r="O120" s="65">
        <f>Calc!$FP$122</f>
        <v/>
      </c>
      <c r="P120" s="67">
        <f>Calc!$FQ$122</f>
        <v/>
      </c>
      <c r="Q120" s="68">
        <f>Calc!$FR$122</f>
        <v/>
      </c>
      <c r="R120" s="65">
        <f>Calc!$FS$122</f>
        <v/>
      </c>
      <c r="T120">
        <f>Calc!$EY$122</f>
        <v/>
      </c>
      <c r="U120">
        <f>Calc!$FT$122</f>
        <v/>
      </c>
      <c r="V120">
        <f>Calc!$FU$122</f>
        <v/>
      </c>
      <c r="W120">
        <f>Calc!$FC$122</f>
        <v/>
      </c>
      <c r="X120">
        <f>Calc!$EZ$122</f>
        <v/>
      </c>
      <c r="Y120">
        <f>Calc!$FA$122</f>
        <v/>
      </c>
      <c r="Z120">
        <f>Calc!$FV$122</f>
        <v/>
      </c>
      <c r="AA120">
        <f>IF($T120&lt;&gt;"row",0,IF($V120=1,IF($X120=1,IF($Y120=1,1,2),IF($Y120=1,3,4)),IF($X120=1,IF($Y120=1,5,6),IF($Y120=1,7,8))))</f>
        <v/>
      </c>
    </row>
    <row r="121" ht="11.25" customHeight="1">
      <c r="A121" s="64">
        <f>Calc!$FB$123</f>
        <v/>
      </c>
      <c r="B121" s="64">
        <f>Calc!$FC$123</f>
        <v/>
      </c>
      <c r="C121" s="65">
        <f>Calc!$FD$123</f>
        <v/>
      </c>
      <c r="D121" s="65">
        <f>Calc!$FE$123</f>
        <v/>
      </c>
      <c r="E121" s="65">
        <f>Calc!$FF$123</f>
        <v/>
      </c>
      <c r="F121" s="65">
        <f>Calc!$FG$123</f>
        <v/>
      </c>
      <c r="G121" s="65">
        <f>Calc!$FH$123</f>
        <v/>
      </c>
      <c r="H121" s="65">
        <f>Calc!$FI$123</f>
        <v/>
      </c>
      <c r="I121" s="65">
        <f>Calc!$FJ$123</f>
        <v/>
      </c>
      <c r="J121" s="65">
        <f>Calc!$FK$123</f>
        <v/>
      </c>
      <c r="K121" s="65">
        <f>Calc!$FL$123</f>
        <v/>
      </c>
      <c r="L121" s="65">
        <f>Calc!$FM$123</f>
        <v/>
      </c>
      <c r="M121" s="66">
        <f>Calc!$FN$123</f>
        <v/>
      </c>
      <c r="N121" s="66">
        <f>Calc!$FO$123</f>
        <v/>
      </c>
      <c r="O121" s="65">
        <f>Calc!$FP$123</f>
        <v/>
      </c>
      <c r="P121" s="67">
        <f>Calc!$FQ$123</f>
        <v/>
      </c>
      <c r="Q121" s="68">
        <f>Calc!$FR$123</f>
        <v/>
      </c>
      <c r="R121" s="65">
        <f>Calc!$FS$123</f>
        <v/>
      </c>
      <c r="T121">
        <f>Calc!$EY$123</f>
        <v/>
      </c>
      <c r="U121">
        <f>Calc!$FT$123</f>
        <v/>
      </c>
      <c r="V121">
        <f>Calc!$FU$123</f>
        <v/>
      </c>
      <c r="W121">
        <f>Calc!$FC$123</f>
        <v/>
      </c>
      <c r="X121">
        <f>Calc!$EZ$123</f>
        <v/>
      </c>
      <c r="Y121">
        <f>Calc!$FA$123</f>
        <v/>
      </c>
      <c r="Z121">
        <f>Calc!$FV$123</f>
        <v/>
      </c>
      <c r="AA121">
        <f>IF($T121&lt;&gt;"row",0,IF($V121=1,IF($X121=1,IF($Y121=1,1,2),IF($Y121=1,3,4)),IF($X121=1,IF($Y121=1,5,6),IF($Y121=1,7,8))))</f>
        <v/>
      </c>
    </row>
    <row r="122" ht="11.25" customHeight="1">
      <c r="A122" s="64">
        <f>Calc!$FB$124</f>
        <v/>
      </c>
      <c r="B122" s="64">
        <f>Calc!$FC$124</f>
        <v/>
      </c>
      <c r="C122" s="65">
        <f>Calc!$FD$124</f>
        <v/>
      </c>
      <c r="D122" s="65">
        <f>Calc!$FE$124</f>
        <v/>
      </c>
      <c r="E122" s="65">
        <f>Calc!$FF$124</f>
        <v/>
      </c>
      <c r="F122" s="65">
        <f>Calc!$FG$124</f>
        <v/>
      </c>
      <c r="G122" s="65">
        <f>Calc!$FH$124</f>
        <v/>
      </c>
      <c r="H122" s="65">
        <f>Calc!$FI$124</f>
        <v/>
      </c>
      <c r="I122" s="65">
        <f>Calc!$FJ$124</f>
        <v/>
      </c>
      <c r="J122" s="65">
        <f>Calc!$FK$124</f>
        <v/>
      </c>
      <c r="K122" s="65">
        <f>Calc!$FL$124</f>
        <v/>
      </c>
      <c r="L122" s="65">
        <f>Calc!$FM$124</f>
        <v/>
      </c>
      <c r="M122" s="66">
        <f>Calc!$FN$124</f>
        <v/>
      </c>
      <c r="N122" s="66">
        <f>Calc!$FO$124</f>
        <v/>
      </c>
      <c r="O122" s="65">
        <f>Calc!$FP$124</f>
        <v/>
      </c>
      <c r="P122" s="67">
        <f>Calc!$FQ$124</f>
        <v/>
      </c>
      <c r="Q122" s="68">
        <f>Calc!$FR$124</f>
        <v/>
      </c>
      <c r="R122" s="65">
        <f>Calc!$FS$124</f>
        <v/>
      </c>
      <c r="T122">
        <f>Calc!$EY$124</f>
        <v/>
      </c>
      <c r="U122">
        <f>Calc!$FT$124</f>
        <v/>
      </c>
      <c r="V122">
        <f>Calc!$FU$124</f>
        <v/>
      </c>
      <c r="W122">
        <f>Calc!$FC$124</f>
        <v/>
      </c>
      <c r="X122">
        <f>Calc!$EZ$124</f>
        <v/>
      </c>
      <c r="Y122">
        <f>Calc!$FA$124</f>
        <v/>
      </c>
      <c r="Z122">
        <f>Calc!$FV$124</f>
        <v/>
      </c>
      <c r="AA122">
        <f>IF($T122&lt;&gt;"row",0,IF($V122=1,IF($X122=1,IF($Y122=1,1,2),IF($Y122=1,3,4)),IF($X122=1,IF($Y122=1,5,6),IF($Y122=1,7,8))))</f>
        <v/>
      </c>
    </row>
    <row r="123" ht="11.25" customHeight="1">
      <c r="A123" s="64">
        <f>Calc!$FB$125</f>
        <v/>
      </c>
      <c r="B123" s="64">
        <f>Calc!$FC$125</f>
        <v/>
      </c>
      <c r="C123" s="65">
        <f>Calc!$FD$125</f>
        <v/>
      </c>
      <c r="D123" s="65">
        <f>Calc!$FE$125</f>
        <v/>
      </c>
      <c r="E123" s="65">
        <f>Calc!$FF$125</f>
        <v/>
      </c>
      <c r="F123" s="65">
        <f>Calc!$FG$125</f>
        <v/>
      </c>
      <c r="G123" s="65">
        <f>Calc!$FH$125</f>
        <v/>
      </c>
      <c r="H123" s="65">
        <f>Calc!$FI$125</f>
        <v/>
      </c>
      <c r="I123" s="65">
        <f>Calc!$FJ$125</f>
        <v/>
      </c>
      <c r="J123" s="65">
        <f>Calc!$FK$125</f>
        <v/>
      </c>
      <c r="K123" s="65">
        <f>Calc!$FL$125</f>
        <v/>
      </c>
      <c r="L123" s="65">
        <f>Calc!$FM$125</f>
        <v/>
      </c>
      <c r="M123" s="66">
        <f>Calc!$FN$125</f>
        <v/>
      </c>
      <c r="N123" s="66">
        <f>Calc!$FO$125</f>
        <v/>
      </c>
      <c r="O123" s="65">
        <f>Calc!$FP$125</f>
        <v/>
      </c>
      <c r="P123" s="67">
        <f>Calc!$FQ$125</f>
        <v/>
      </c>
      <c r="Q123" s="68">
        <f>Calc!$FR$125</f>
        <v/>
      </c>
      <c r="R123" s="65">
        <f>Calc!$FS$125</f>
        <v/>
      </c>
      <c r="T123">
        <f>Calc!$EY$125</f>
        <v/>
      </c>
      <c r="U123">
        <f>Calc!$FT$125</f>
        <v/>
      </c>
      <c r="V123">
        <f>Calc!$FU$125</f>
        <v/>
      </c>
      <c r="W123">
        <f>Calc!$FC$125</f>
        <v/>
      </c>
      <c r="X123">
        <f>Calc!$EZ$125</f>
        <v/>
      </c>
      <c r="Y123">
        <f>Calc!$FA$125</f>
        <v/>
      </c>
      <c r="Z123">
        <f>Calc!$FV$125</f>
        <v/>
      </c>
      <c r="AA123">
        <f>IF($T123&lt;&gt;"row",0,IF($V123=1,IF($X123=1,IF($Y123=1,1,2),IF($Y123=1,3,4)),IF($X123=1,IF($Y123=1,5,6),IF($Y123=1,7,8))))</f>
        <v/>
      </c>
    </row>
    <row r="124" ht="11.25" customHeight="1">
      <c r="A124" s="64">
        <f>Calc!$FB$126</f>
        <v/>
      </c>
      <c r="B124" s="64">
        <f>Calc!$FC$126</f>
        <v/>
      </c>
      <c r="C124" s="65">
        <f>Calc!$FD$126</f>
        <v/>
      </c>
      <c r="D124" s="65">
        <f>Calc!$FE$126</f>
        <v/>
      </c>
      <c r="E124" s="65">
        <f>Calc!$FF$126</f>
        <v/>
      </c>
      <c r="F124" s="65">
        <f>Calc!$FG$126</f>
        <v/>
      </c>
      <c r="G124" s="65">
        <f>Calc!$FH$126</f>
        <v/>
      </c>
      <c r="H124" s="65">
        <f>Calc!$FI$126</f>
        <v/>
      </c>
      <c r="I124" s="65">
        <f>Calc!$FJ$126</f>
        <v/>
      </c>
      <c r="J124" s="65">
        <f>Calc!$FK$126</f>
        <v/>
      </c>
      <c r="K124" s="65">
        <f>Calc!$FL$126</f>
        <v/>
      </c>
      <c r="L124" s="65">
        <f>Calc!$FM$126</f>
        <v/>
      </c>
      <c r="M124" s="66">
        <f>Calc!$FN$126</f>
        <v/>
      </c>
      <c r="N124" s="66">
        <f>Calc!$FO$126</f>
        <v/>
      </c>
      <c r="O124" s="65">
        <f>Calc!$FP$126</f>
        <v/>
      </c>
      <c r="P124" s="67">
        <f>Calc!$FQ$126</f>
        <v/>
      </c>
      <c r="Q124" s="68">
        <f>Calc!$FR$126</f>
        <v/>
      </c>
      <c r="R124" s="65">
        <f>Calc!$FS$126</f>
        <v/>
      </c>
      <c r="T124">
        <f>Calc!$EY$126</f>
        <v/>
      </c>
      <c r="U124">
        <f>Calc!$FT$126</f>
        <v/>
      </c>
      <c r="V124">
        <f>Calc!$FU$126</f>
        <v/>
      </c>
      <c r="W124">
        <f>Calc!$FC$126</f>
        <v/>
      </c>
      <c r="X124">
        <f>Calc!$EZ$126</f>
        <v/>
      </c>
      <c r="Y124">
        <f>Calc!$FA$126</f>
        <v/>
      </c>
      <c r="Z124">
        <f>Calc!$FV$126</f>
        <v/>
      </c>
      <c r="AA124">
        <f>IF($T124&lt;&gt;"row",0,IF($V124=1,IF($X124=1,IF($Y124=1,1,2),IF($Y124=1,3,4)),IF($X124=1,IF($Y124=1,5,6),IF($Y124=1,7,8))))</f>
        <v/>
      </c>
    </row>
    <row r="125" ht="11.25" customHeight="1">
      <c r="A125" s="64">
        <f>Calc!$FB$127</f>
        <v/>
      </c>
      <c r="B125" s="64">
        <f>Calc!$FC$127</f>
        <v/>
      </c>
      <c r="C125" s="65">
        <f>Calc!$FD$127</f>
        <v/>
      </c>
      <c r="D125" s="65">
        <f>Calc!$FE$127</f>
        <v/>
      </c>
      <c r="E125" s="65">
        <f>Calc!$FF$127</f>
        <v/>
      </c>
      <c r="F125" s="65">
        <f>Calc!$FG$127</f>
        <v/>
      </c>
      <c r="G125" s="65">
        <f>Calc!$FH$127</f>
        <v/>
      </c>
      <c r="H125" s="65">
        <f>Calc!$FI$127</f>
        <v/>
      </c>
      <c r="I125" s="65">
        <f>Calc!$FJ$127</f>
        <v/>
      </c>
      <c r="J125" s="65">
        <f>Calc!$FK$127</f>
        <v/>
      </c>
      <c r="K125" s="65">
        <f>Calc!$FL$127</f>
        <v/>
      </c>
      <c r="L125" s="65">
        <f>Calc!$FM$127</f>
        <v/>
      </c>
      <c r="M125" s="66">
        <f>Calc!$FN$127</f>
        <v/>
      </c>
      <c r="N125" s="66">
        <f>Calc!$FO$127</f>
        <v/>
      </c>
      <c r="O125" s="65">
        <f>Calc!$FP$127</f>
        <v/>
      </c>
      <c r="P125" s="67">
        <f>Calc!$FQ$127</f>
        <v/>
      </c>
      <c r="Q125" s="68">
        <f>Calc!$FR$127</f>
        <v/>
      </c>
      <c r="R125" s="65">
        <f>Calc!$FS$127</f>
        <v/>
      </c>
      <c r="T125">
        <f>Calc!$EY$127</f>
        <v/>
      </c>
      <c r="U125">
        <f>Calc!$FT$127</f>
        <v/>
      </c>
      <c r="V125">
        <f>Calc!$FU$127</f>
        <v/>
      </c>
      <c r="W125">
        <f>Calc!$FC$127</f>
        <v/>
      </c>
      <c r="X125">
        <f>Calc!$EZ$127</f>
        <v/>
      </c>
      <c r="Y125">
        <f>Calc!$FA$127</f>
        <v/>
      </c>
      <c r="Z125">
        <f>Calc!$FV$127</f>
        <v/>
      </c>
      <c r="AA125">
        <f>IF($T125&lt;&gt;"row",0,IF($V125=1,IF($X125=1,IF($Y125=1,1,2),IF($Y125=1,3,4)),IF($X125=1,IF($Y125=1,5,6),IF($Y125=1,7,8))))</f>
        <v/>
      </c>
    </row>
    <row r="126" ht="11.25" customHeight="1">
      <c r="A126" s="64">
        <f>Calc!$FB$128</f>
        <v/>
      </c>
      <c r="B126" s="64">
        <f>Calc!$FC$128</f>
        <v/>
      </c>
      <c r="C126" s="65">
        <f>Calc!$FD$128</f>
        <v/>
      </c>
      <c r="D126" s="65">
        <f>Calc!$FE$128</f>
        <v/>
      </c>
      <c r="E126" s="65">
        <f>Calc!$FF$128</f>
        <v/>
      </c>
      <c r="F126" s="65">
        <f>Calc!$FG$128</f>
        <v/>
      </c>
      <c r="G126" s="65">
        <f>Calc!$FH$128</f>
        <v/>
      </c>
      <c r="H126" s="65">
        <f>Calc!$FI$128</f>
        <v/>
      </c>
      <c r="I126" s="65">
        <f>Calc!$FJ$128</f>
        <v/>
      </c>
      <c r="J126" s="65">
        <f>Calc!$FK$128</f>
        <v/>
      </c>
      <c r="K126" s="65">
        <f>Calc!$FL$128</f>
        <v/>
      </c>
      <c r="L126" s="65">
        <f>Calc!$FM$128</f>
        <v/>
      </c>
      <c r="M126" s="66">
        <f>Calc!$FN$128</f>
        <v/>
      </c>
      <c r="N126" s="66">
        <f>Calc!$FO$128</f>
        <v/>
      </c>
      <c r="O126" s="65">
        <f>Calc!$FP$128</f>
        <v/>
      </c>
      <c r="P126" s="67">
        <f>Calc!$FQ$128</f>
        <v/>
      </c>
      <c r="Q126" s="68">
        <f>Calc!$FR$128</f>
        <v/>
      </c>
      <c r="R126" s="65">
        <f>Calc!$FS$128</f>
        <v/>
      </c>
      <c r="T126">
        <f>Calc!$EY$128</f>
        <v/>
      </c>
      <c r="U126">
        <f>Calc!$FT$128</f>
        <v/>
      </c>
      <c r="V126">
        <f>Calc!$FU$128</f>
        <v/>
      </c>
      <c r="W126">
        <f>Calc!$FC$128</f>
        <v/>
      </c>
      <c r="X126">
        <f>Calc!$EZ$128</f>
        <v/>
      </c>
      <c r="Y126">
        <f>Calc!$FA$128</f>
        <v/>
      </c>
      <c r="Z126">
        <f>Calc!$FV$128</f>
        <v/>
      </c>
      <c r="AA126">
        <f>IF($T126&lt;&gt;"row",0,IF($V126=1,IF($X126=1,IF($Y126=1,1,2),IF($Y126=1,3,4)),IF($X126=1,IF($Y126=1,5,6),IF($Y126=1,7,8))))</f>
        <v/>
      </c>
    </row>
    <row r="127" ht="11.25" customHeight="1">
      <c r="A127" s="64">
        <f>Calc!$FB$129</f>
        <v/>
      </c>
      <c r="B127" s="64">
        <f>Calc!$FC$129</f>
        <v/>
      </c>
      <c r="C127" s="65">
        <f>Calc!$FD$129</f>
        <v/>
      </c>
      <c r="D127" s="65">
        <f>Calc!$FE$129</f>
        <v/>
      </c>
      <c r="E127" s="65">
        <f>Calc!$FF$129</f>
        <v/>
      </c>
      <c r="F127" s="65">
        <f>Calc!$FG$129</f>
        <v/>
      </c>
      <c r="G127" s="65">
        <f>Calc!$FH$129</f>
        <v/>
      </c>
      <c r="H127" s="65">
        <f>Calc!$FI$129</f>
        <v/>
      </c>
      <c r="I127" s="65">
        <f>Calc!$FJ$129</f>
        <v/>
      </c>
      <c r="J127" s="65">
        <f>Calc!$FK$129</f>
        <v/>
      </c>
      <c r="K127" s="65">
        <f>Calc!$FL$129</f>
        <v/>
      </c>
      <c r="L127" s="65">
        <f>Calc!$FM$129</f>
        <v/>
      </c>
      <c r="M127" s="66">
        <f>Calc!$FN$129</f>
        <v/>
      </c>
      <c r="N127" s="66">
        <f>Calc!$FO$129</f>
        <v/>
      </c>
      <c r="O127" s="65">
        <f>Calc!$FP$129</f>
        <v/>
      </c>
      <c r="P127" s="67">
        <f>Calc!$FQ$129</f>
        <v/>
      </c>
      <c r="Q127" s="68">
        <f>Calc!$FR$129</f>
        <v/>
      </c>
      <c r="R127" s="65">
        <f>Calc!$FS$129</f>
        <v/>
      </c>
      <c r="T127">
        <f>Calc!$EY$129</f>
        <v/>
      </c>
      <c r="U127">
        <f>Calc!$FT$129</f>
        <v/>
      </c>
      <c r="V127">
        <f>Calc!$FU$129</f>
        <v/>
      </c>
      <c r="W127">
        <f>Calc!$FC$129</f>
        <v/>
      </c>
      <c r="X127">
        <f>Calc!$EZ$129</f>
        <v/>
      </c>
      <c r="Y127">
        <f>Calc!$FA$129</f>
        <v/>
      </c>
      <c r="Z127">
        <f>Calc!$FV$129</f>
        <v/>
      </c>
      <c r="AA127">
        <f>IF($T127&lt;&gt;"row",0,IF($V127=1,IF($X127=1,IF($Y127=1,1,2),IF($Y127=1,3,4)),IF($X127=1,IF($Y127=1,5,6),IF($Y127=1,7,8))))</f>
        <v/>
      </c>
    </row>
    <row r="128" ht="11.25" customHeight="1">
      <c r="A128" s="64">
        <f>Calc!$FB$130</f>
        <v/>
      </c>
      <c r="B128" s="64">
        <f>Calc!$FC$130</f>
        <v/>
      </c>
      <c r="C128" s="65">
        <f>Calc!$FD$130</f>
        <v/>
      </c>
      <c r="D128" s="65">
        <f>Calc!$FE$130</f>
        <v/>
      </c>
      <c r="E128" s="65">
        <f>Calc!$FF$130</f>
        <v/>
      </c>
      <c r="F128" s="65">
        <f>Calc!$FG$130</f>
        <v/>
      </c>
      <c r="G128" s="65">
        <f>Calc!$FH$130</f>
        <v/>
      </c>
      <c r="H128" s="65">
        <f>Calc!$FI$130</f>
        <v/>
      </c>
      <c r="I128" s="65">
        <f>Calc!$FJ$130</f>
        <v/>
      </c>
      <c r="J128" s="65">
        <f>Calc!$FK$130</f>
        <v/>
      </c>
      <c r="K128" s="65">
        <f>Calc!$FL$130</f>
        <v/>
      </c>
      <c r="L128" s="65">
        <f>Calc!$FM$130</f>
        <v/>
      </c>
      <c r="M128" s="66">
        <f>Calc!$FN$130</f>
        <v/>
      </c>
      <c r="N128" s="66">
        <f>Calc!$FO$130</f>
        <v/>
      </c>
      <c r="O128" s="65">
        <f>Calc!$FP$130</f>
        <v/>
      </c>
      <c r="P128" s="67">
        <f>Calc!$FQ$130</f>
        <v/>
      </c>
      <c r="Q128" s="68">
        <f>Calc!$FR$130</f>
        <v/>
      </c>
      <c r="R128" s="65">
        <f>Calc!$FS$130</f>
        <v/>
      </c>
      <c r="T128">
        <f>Calc!$EY$130</f>
        <v/>
      </c>
      <c r="U128">
        <f>Calc!$FT$130</f>
        <v/>
      </c>
      <c r="V128">
        <f>Calc!$FU$130</f>
        <v/>
      </c>
      <c r="W128">
        <f>Calc!$FC$130</f>
        <v/>
      </c>
      <c r="X128">
        <f>Calc!$EZ$130</f>
        <v/>
      </c>
      <c r="Y128">
        <f>Calc!$FA$130</f>
        <v/>
      </c>
      <c r="Z128">
        <f>Calc!$FV$130</f>
        <v/>
      </c>
      <c r="AA128">
        <f>IF($T128&lt;&gt;"row",0,IF($V128=1,IF($X128=1,IF($Y128=1,1,2),IF($Y128=1,3,4)),IF($X128=1,IF($Y128=1,5,6),IF($Y128=1,7,8))))</f>
        <v/>
      </c>
    </row>
    <row r="129" ht="11.25" customHeight="1">
      <c r="A129" s="64">
        <f>Calc!$FB$131</f>
        <v/>
      </c>
      <c r="B129" s="64">
        <f>Calc!$FC$131</f>
        <v/>
      </c>
      <c r="C129" s="65">
        <f>Calc!$FD$131</f>
        <v/>
      </c>
      <c r="D129" s="65">
        <f>Calc!$FE$131</f>
        <v/>
      </c>
      <c r="E129" s="65">
        <f>Calc!$FF$131</f>
        <v/>
      </c>
      <c r="F129" s="65">
        <f>Calc!$FG$131</f>
        <v/>
      </c>
      <c r="G129" s="65">
        <f>Calc!$FH$131</f>
        <v/>
      </c>
      <c r="H129" s="65">
        <f>Calc!$FI$131</f>
        <v/>
      </c>
      <c r="I129" s="65">
        <f>Calc!$FJ$131</f>
        <v/>
      </c>
      <c r="J129" s="65">
        <f>Calc!$FK$131</f>
        <v/>
      </c>
      <c r="K129" s="65">
        <f>Calc!$FL$131</f>
        <v/>
      </c>
      <c r="L129" s="65">
        <f>Calc!$FM$131</f>
        <v/>
      </c>
      <c r="M129" s="66">
        <f>Calc!$FN$131</f>
        <v/>
      </c>
      <c r="N129" s="66">
        <f>Calc!$FO$131</f>
        <v/>
      </c>
      <c r="O129" s="65">
        <f>Calc!$FP$131</f>
        <v/>
      </c>
      <c r="P129" s="67">
        <f>Calc!$FQ$131</f>
        <v/>
      </c>
      <c r="Q129" s="68">
        <f>Calc!$FR$131</f>
        <v/>
      </c>
      <c r="R129" s="65">
        <f>Calc!$FS$131</f>
        <v/>
      </c>
      <c r="T129">
        <f>Calc!$EY$131</f>
        <v/>
      </c>
      <c r="U129">
        <f>Calc!$FT$131</f>
        <v/>
      </c>
      <c r="V129">
        <f>Calc!$FU$131</f>
        <v/>
      </c>
      <c r="W129">
        <f>Calc!$FC$131</f>
        <v/>
      </c>
      <c r="X129">
        <f>Calc!$EZ$131</f>
        <v/>
      </c>
      <c r="Y129">
        <f>Calc!$FA$131</f>
        <v/>
      </c>
      <c r="Z129">
        <f>Calc!$FV$131</f>
        <v/>
      </c>
      <c r="AA129">
        <f>IF($T129&lt;&gt;"row",0,IF($V129=1,IF($X129=1,IF($Y129=1,1,2),IF($Y129=1,3,4)),IF($X129=1,IF($Y129=1,5,6),IF($Y129=1,7,8))))</f>
        <v/>
      </c>
    </row>
    <row r="130" ht="11.25" customHeight="1">
      <c r="A130" s="64">
        <f>Calc!$FB$132</f>
        <v/>
      </c>
      <c r="B130" s="64">
        <f>Calc!$FC$132</f>
        <v/>
      </c>
      <c r="C130" s="65">
        <f>Calc!$FD$132</f>
        <v/>
      </c>
      <c r="D130" s="65">
        <f>Calc!$FE$132</f>
        <v/>
      </c>
      <c r="E130" s="65">
        <f>Calc!$FF$132</f>
        <v/>
      </c>
      <c r="F130" s="65">
        <f>Calc!$FG$132</f>
        <v/>
      </c>
      <c r="G130" s="65">
        <f>Calc!$FH$132</f>
        <v/>
      </c>
      <c r="H130" s="65">
        <f>Calc!$FI$132</f>
        <v/>
      </c>
      <c r="I130" s="65">
        <f>Calc!$FJ$132</f>
        <v/>
      </c>
      <c r="J130" s="65">
        <f>Calc!$FK$132</f>
        <v/>
      </c>
      <c r="K130" s="65">
        <f>Calc!$FL$132</f>
        <v/>
      </c>
      <c r="L130" s="65">
        <f>Calc!$FM$132</f>
        <v/>
      </c>
      <c r="M130" s="66">
        <f>Calc!$FN$132</f>
        <v/>
      </c>
      <c r="N130" s="66">
        <f>Calc!$FO$132</f>
        <v/>
      </c>
      <c r="O130" s="65">
        <f>Calc!$FP$132</f>
        <v/>
      </c>
      <c r="P130" s="67">
        <f>Calc!$FQ$132</f>
        <v/>
      </c>
      <c r="Q130" s="68">
        <f>Calc!$FR$132</f>
        <v/>
      </c>
      <c r="R130" s="65">
        <f>Calc!$FS$132</f>
        <v/>
      </c>
      <c r="T130">
        <f>Calc!$EY$132</f>
        <v/>
      </c>
      <c r="U130">
        <f>Calc!$FT$132</f>
        <v/>
      </c>
      <c r="V130">
        <f>Calc!$FU$132</f>
        <v/>
      </c>
      <c r="W130">
        <f>Calc!$FC$132</f>
        <v/>
      </c>
      <c r="X130">
        <f>Calc!$EZ$132</f>
        <v/>
      </c>
      <c r="Y130">
        <f>Calc!$FA$132</f>
        <v/>
      </c>
      <c r="Z130">
        <f>Calc!$FV$132</f>
        <v/>
      </c>
      <c r="AA130">
        <f>IF($T130&lt;&gt;"row",0,IF($V130=1,IF($X130=1,IF($Y130=1,1,2),IF($Y130=1,3,4)),IF($X130=1,IF($Y130=1,5,6),IF($Y130=1,7,8))))</f>
        <v/>
      </c>
    </row>
    <row r="131" ht="11.25" customHeight="1">
      <c r="A131" s="64">
        <f>Calc!$FB$133</f>
        <v/>
      </c>
      <c r="B131" s="64">
        <f>Calc!$FC$133</f>
        <v/>
      </c>
      <c r="C131" s="65">
        <f>Calc!$FD$133</f>
        <v/>
      </c>
      <c r="D131" s="65">
        <f>Calc!$FE$133</f>
        <v/>
      </c>
      <c r="E131" s="65">
        <f>Calc!$FF$133</f>
        <v/>
      </c>
      <c r="F131" s="65">
        <f>Calc!$FG$133</f>
        <v/>
      </c>
      <c r="G131" s="65">
        <f>Calc!$FH$133</f>
        <v/>
      </c>
      <c r="H131" s="65">
        <f>Calc!$FI$133</f>
        <v/>
      </c>
      <c r="I131" s="65">
        <f>Calc!$FJ$133</f>
        <v/>
      </c>
      <c r="J131" s="65">
        <f>Calc!$FK$133</f>
        <v/>
      </c>
      <c r="K131" s="65">
        <f>Calc!$FL$133</f>
        <v/>
      </c>
      <c r="L131" s="65">
        <f>Calc!$FM$133</f>
        <v/>
      </c>
      <c r="M131" s="66">
        <f>Calc!$FN$133</f>
        <v/>
      </c>
      <c r="N131" s="66">
        <f>Calc!$FO$133</f>
        <v/>
      </c>
      <c r="O131" s="65">
        <f>Calc!$FP$133</f>
        <v/>
      </c>
      <c r="P131" s="67">
        <f>Calc!$FQ$133</f>
        <v/>
      </c>
      <c r="Q131" s="68">
        <f>Calc!$FR$133</f>
        <v/>
      </c>
      <c r="R131" s="65">
        <f>Calc!$FS$133</f>
        <v/>
      </c>
      <c r="T131">
        <f>Calc!$EY$133</f>
        <v/>
      </c>
      <c r="U131">
        <f>Calc!$FT$133</f>
        <v/>
      </c>
      <c r="V131">
        <f>Calc!$FU$133</f>
        <v/>
      </c>
      <c r="W131">
        <f>Calc!$FC$133</f>
        <v/>
      </c>
      <c r="X131">
        <f>Calc!$EZ$133</f>
        <v/>
      </c>
      <c r="Y131">
        <f>Calc!$FA$133</f>
        <v/>
      </c>
      <c r="Z131">
        <f>Calc!$FV$133</f>
        <v/>
      </c>
      <c r="AA131">
        <f>IF($T131&lt;&gt;"row",0,IF($V131=1,IF($X131=1,IF($Y131=1,1,2),IF($Y131=1,3,4)),IF($X131=1,IF($Y131=1,5,6),IF($Y131=1,7,8))))</f>
        <v/>
      </c>
    </row>
    <row r="132" ht="11.25" customHeight="1">
      <c r="A132" s="64">
        <f>Calc!$FB$134</f>
        <v/>
      </c>
      <c r="B132" s="64">
        <f>Calc!$FC$134</f>
        <v/>
      </c>
      <c r="C132" s="65">
        <f>Calc!$FD$134</f>
        <v/>
      </c>
      <c r="D132" s="65">
        <f>Calc!$FE$134</f>
        <v/>
      </c>
      <c r="E132" s="65">
        <f>Calc!$FF$134</f>
        <v/>
      </c>
      <c r="F132" s="65">
        <f>Calc!$FG$134</f>
        <v/>
      </c>
      <c r="G132" s="65">
        <f>Calc!$FH$134</f>
        <v/>
      </c>
      <c r="H132" s="65">
        <f>Calc!$FI$134</f>
        <v/>
      </c>
      <c r="I132" s="65">
        <f>Calc!$FJ$134</f>
        <v/>
      </c>
      <c r="J132" s="65">
        <f>Calc!$FK$134</f>
        <v/>
      </c>
      <c r="K132" s="65">
        <f>Calc!$FL$134</f>
        <v/>
      </c>
      <c r="L132" s="65">
        <f>Calc!$FM$134</f>
        <v/>
      </c>
      <c r="M132" s="66">
        <f>Calc!$FN$134</f>
        <v/>
      </c>
      <c r="N132" s="66">
        <f>Calc!$FO$134</f>
        <v/>
      </c>
      <c r="O132" s="65">
        <f>Calc!$FP$134</f>
        <v/>
      </c>
      <c r="P132" s="67">
        <f>Calc!$FQ$134</f>
        <v/>
      </c>
      <c r="Q132" s="68">
        <f>Calc!$FR$134</f>
        <v/>
      </c>
      <c r="R132" s="65">
        <f>Calc!$FS$134</f>
        <v/>
      </c>
      <c r="T132">
        <f>Calc!$EY$134</f>
        <v/>
      </c>
      <c r="U132">
        <f>Calc!$FT$134</f>
        <v/>
      </c>
      <c r="V132">
        <f>Calc!$FU$134</f>
        <v/>
      </c>
      <c r="W132">
        <f>Calc!$FC$134</f>
        <v/>
      </c>
      <c r="X132">
        <f>Calc!$EZ$134</f>
        <v/>
      </c>
      <c r="Y132">
        <f>Calc!$FA$134</f>
        <v/>
      </c>
      <c r="Z132">
        <f>Calc!$FV$134</f>
        <v/>
      </c>
      <c r="AA132">
        <f>IF($T132&lt;&gt;"row",0,IF($V132=1,IF($X132=1,IF($Y132=1,1,2),IF($Y132=1,3,4)),IF($X132=1,IF($Y132=1,5,6),IF($Y132=1,7,8))))</f>
        <v/>
      </c>
    </row>
    <row r="133" ht="11.25" customHeight="1">
      <c r="A133" s="64">
        <f>Calc!$FB$135</f>
        <v/>
      </c>
      <c r="B133" s="64">
        <f>Calc!$FC$135</f>
        <v/>
      </c>
      <c r="C133" s="65">
        <f>Calc!$FD$135</f>
        <v/>
      </c>
      <c r="D133" s="65">
        <f>Calc!$FE$135</f>
        <v/>
      </c>
      <c r="E133" s="65">
        <f>Calc!$FF$135</f>
        <v/>
      </c>
      <c r="F133" s="65">
        <f>Calc!$FG$135</f>
        <v/>
      </c>
      <c r="G133" s="65">
        <f>Calc!$FH$135</f>
        <v/>
      </c>
      <c r="H133" s="65">
        <f>Calc!$FI$135</f>
        <v/>
      </c>
      <c r="I133" s="65">
        <f>Calc!$FJ$135</f>
        <v/>
      </c>
      <c r="J133" s="65">
        <f>Calc!$FK$135</f>
        <v/>
      </c>
      <c r="K133" s="65">
        <f>Calc!$FL$135</f>
        <v/>
      </c>
      <c r="L133" s="65">
        <f>Calc!$FM$135</f>
        <v/>
      </c>
      <c r="M133" s="66">
        <f>Calc!$FN$135</f>
        <v/>
      </c>
      <c r="N133" s="66">
        <f>Calc!$FO$135</f>
        <v/>
      </c>
      <c r="O133" s="65">
        <f>Calc!$FP$135</f>
        <v/>
      </c>
      <c r="P133" s="67">
        <f>Calc!$FQ$135</f>
        <v/>
      </c>
      <c r="Q133" s="68">
        <f>Calc!$FR$135</f>
        <v/>
      </c>
      <c r="R133" s="65">
        <f>Calc!$FS$135</f>
        <v/>
      </c>
      <c r="T133">
        <f>Calc!$EY$135</f>
        <v/>
      </c>
      <c r="U133">
        <f>Calc!$FT$135</f>
        <v/>
      </c>
      <c r="V133">
        <f>Calc!$FU$135</f>
        <v/>
      </c>
      <c r="W133">
        <f>Calc!$FC$135</f>
        <v/>
      </c>
      <c r="X133">
        <f>Calc!$EZ$135</f>
        <v/>
      </c>
      <c r="Y133">
        <f>Calc!$FA$135</f>
        <v/>
      </c>
      <c r="Z133">
        <f>Calc!$FV$135</f>
        <v/>
      </c>
      <c r="AA133">
        <f>IF($T133&lt;&gt;"row",0,IF($V133=1,IF($X133=1,IF($Y133=1,1,2),IF($Y133=1,3,4)),IF($X133=1,IF($Y133=1,5,6),IF($Y133=1,7,8))))</f>
        <v/>
      </c>
    </row>
    <row r="134" ht="11.25" customHeight="1">
      <c r="A134" s="64">
        <f>Calc!$FB$136</f>
        <v/>
      </c>
      <c r="B134" s="64">
        <f>Calc!$FC$136</f>
        <v/>
      </c>
      <c r="C134" s="65">
        <f>Calc!$FD$136</f>
        <v/>
      </c>
      <c r="D134" s="65">
        <f>Calc!$FE$136</f>
        <v/>
      </c>
      <c r="E134" s="65">
        <f>Calc!$FF$136</f>
        <v/>
      </c>
      <c r="F134" s="65">
        <f>Calc!$FG$136</f>
        <v/>
      </c>
      <c r="G134" s="65">
        <f>Calc!$FH$136</f>
        <v/>
      </c>
      <c r="H134" s="65">
        <f>Calc!$FI$136</f>
        <v/>
      </c>
      <c r="I134" s="65">
        <f>Calc!$FJ$136</f>
        <v/>
      </c>
      <c r="J134" s="65">
        <f>Calc!$FK$136</f>
        <v/>
      </c>
      <c r="K134" s="65">
        <f>Calc!$FL$136</f>
        <v/>
      </c>
      <c r="L134" s="65">
        <f>Calc!$FM$136</f>
        <v/>
      </c>
      <c r="M134" s="66">
        <f>Calc!$FN$136</f>
        <v/>
      </c>
      <c r="N134" s="66">
        <f>Calc!$FO$136</f>
        <v/>
      </c>
      <c r="O134" s="65">
        <f>Calc!$FP$136</f>
        <v/>
      </c>
      <c r="P134" s="67">
        <f>Calc!$FQ$136</f>
        <v/>
      </c>
      <c r="Q134" s="68">
        <f>Calc!$FR$136</f>
        <v/>
      </c>
      <c r="R134" s="65">
        <f>Calc!$FS$136</f>
        <v/>
      </c>
      <c r="T134">
        <f>Calc!$EY$136</f>
        <v/>
      </c>
      <c r="U134">
        <f>Calc!$FT$136</f>
        <v/>
      </c>
      <c r="V134">
        <f>Calc!$FU$136</f>
        <v/>
      </c>
      <c r="W134">
        <f>Calc!$FC$136</f>
        <v/>
      </c>
      <c r="X134">
        <f>Calc!$EZ$136</f>
        <v/>
      </c>
      <c r="Y134">
        <f>Calc!$FA$136</f>
        <v/>
      </c>
      <c r="Z134">
        <f>Calc!$FV$136</f>
        <v/>
      </c>
      <c r="AA134">
        <f>IF($T134&lt;&gt;"row",0,IF($V134=1,IF($X134=1,IF($Y134=1,1,2),IF($Y134=1,3,4)),IF($X134=1,IF($Y134=1,5,6),IF($Y134=1,7,8))))</f>
        <v/>
      </c>
    </row>
    <row r="135" ht="11.25" customHeight="1">
      <c r="A135" s="64">
        <f>Calc!$FB$137</f>
        <v/>
      </c>
      <c r="B135" s="64">
        <f>Calc!$FC$137</f>
        <v/>
      </c>
      <c r="C135" s="65">
        <f>Calc!$FD$137</f>
        <v/>
      </c>
      <c r="D135" s="65">
        <f>Calc!$FE$137</f>
        <v/>
      </c>
      <c r="E135" s="65">
        <f>Calc!$FF$137</f>
        <v/>
      </c>
      <c r="F135" s="65">
        <f>Calc!$FG$137</f>
        <v/>
      </c>
      <c r="G135" s="65">
        <f>Calc!$FH$137</f>
        <v/>
      </c>
      <c r="H135" s="65">
        <f>Calc!$FI$137</f>
        <v/>
      </c>
      <c r="I135" s="65">
        <f>Calc!$FJ$137</f>
        <v/>
      </c>
      <c r="J135" s="65">
        <f>Calc!$FK$137</f>
        <v/>
      </c>
      <c r="K135" s="65">
        <f>Calc!$FL$137</f>
        <v/>
      </c>
      <c r="L135" s="65">
        <f>Calc!$FM$137</f>
        <v/>
      </c>
      <c r="M135" s="66">
        <f>Calc!$FN$137</f>
        <v/>
      </c>
      <c r="N135" s="66">
        <f>Calc!$FO$137</f>
        <v/>
      </c>
      <c r="O135" s="65">
        <f>Calc!$FP$137</f>
        <v/>
      </c>
      <c r="P135" s="67">
        <f>Calc!$FQ$137</f>
        <v/>
      </c>
      <c r="Q135" s="68">
        <f>Calc!$FR$137</f>
        <v/>
      </c>
      <c r="R135" s="65">
        <f>Calc!$FS$137</f>
        <v/>
      </c>
      <c r="T135">
        <f>Calc!$EY$137</f>
        <v/>
      </c>
      <c r="U135">
        <f>Calc!$FT$137</f>
        <v/>
      </c>
      <c r="V135">
        <f>Calc!$FU$137</f>
        <v/>
      </c>
      <c r="W135">
        <f>Calc!$FC$137</f>
        <v/>
      </c>
      <c r="X135">
        <f>Calc!$EZ$137</f>
        <v/>
      </c>
      <c r="Y135">
        <f>Calc!$FA$137</f>
        <v/>
      </c>
      <c r="Z135">
        <f>Calc!$FV$137</f>
        <v/>
      </c>
      <c r="AA135">
        <f>IF($T135&lt;&gt;"row",0,IF($V135=1,IF($X135=1,IF($Y135=1,1,2),IF($Y135=1,3,4)),IF($X135=1,IF($Y135=1,5,6),IF($Y135=1,7,8))))</f>
        <v/>
      </c>
    </row>
    <row r="136" ht="11.25" customHeight="1">
      <c r="A136" s="64">
        <f>Calc!$FB$138</f>
        <v/>
      </c>
      <c r="B136" s="64">
        <f>Calc!$FC$138</f>
        <v/>
      </c>
      <c r="C136" s="65">
        <f>Calc!$FD$138</f>
        <v/>
      </c>
      <c r="D136" s="65">
        <f>Calc!$FE$138</f>
        <v/>
      </c>
      <c r="E136" s="65">
        <f>Calc!$FF$138</f>
        <v/>
      </c>
      <c r="F136" s="65">
        <f>Calc!$FG$138</f>
        <v/>
      </c>
      <c r="G136" s="65">
        <f>Calc!$FH$138</f>
        <v/>
      </c>
      <c r="H136" s="65">
        <f>Calc!$FI$138</f>
        <v/>
      </c>
      <c r="I136" s="65">
        <f>Calc!$FJ$138</f>
        <v/>
      </c>
      <c r="J136" s="65">
        <f>Calc!$FK$138</f>
        <v/>
      </c>
      <c r="K136" s="65">
        <f>Calc!$FL$138</f>
        <v/>
      </c>
      <c r="L136" s="65">
        <f>Calc!$FM$138</f>
        <v/>
      </c>
      <c r="M136" s="66">
        <f>Calc!$FN$138</f>
        <v/>
      </c>
      <c r="N136" s="66">
        <f>Calc!$FO$138</f>
        <v/>
      </c>
      <c r="O136" s="65">
        <f>Calc!$FP$138</f>
        <v/>
      </c>
      <c r="P136" s="67">
        <f>Calc!$FQ$138</f>
        <v/>
      </c>
      <c r="Q136" s="68">
        <f>Calc!$FR$138</f>
        <v/>
      </c>
      <c r="R136" s="65">
        <f>Calc!$FS$138</f>
        <v/>
      </c>
      <c r="T136">
        <f>Calc!$EY$138</f>
        <v/>
      </c>
      <c r="U136">
        <f>Calc!$FT$138</f>
        <v/>
      </c>
      <c r="V136">
        <f>Calc!$FU$138</f>
        <v/>
      </c>
      <c r="W136">
        <f>Calc!$FC$138</f>
        <v/>
      </c>
      <c r="X136">
        <f>Calc!$EZ$138</f>
        <v/>
      </c>
      <c r="Y136">
        <f>Calc!$FA$138</f>
        <v/>
      </c>
      <c r="Z136">
        <f>Calc!$FV$138</f>
        <v/>
      </c>
      <c r="AA136">
        <f>IF($T136&lt;&gt;"row",0,IF($V136=1,IF($X136=1,IF($Y136=1,1,2),IF($Y136=1,3,4)),IF($X136=1,IF($Y136=1,5,6),IF($Y136=1,7,8))))</f>
        <v/>
      </c>
    </row>
    <row r="137" ht="11.25" customHeight="1">
      <c r="A137" s="64">
        <f>Calc!$FB$139</f>
        <v/>
      </c>
      <c r="B137" s="64">
        <f>Calc!$FC$139</f>
        <v/>
      </c>
      <c r="C137" s="65">
        <f>Calc!$FD$139</f>
        <v/>
      </c>
      <c r="D137" s="65">
        <f>Calc!$FE$139</f>
        <v/>
      </c>
      <c r="E137" s="65">
        <f>Calc!$FF$139</f>
        <v/>
      </c>
      <c r="F137" s="65">
        <f>Calc!$FG$139</f>
        <v/>
      </c>
      <c r="G137" s="65">
        <f>Calc!$FH$139</f>
        <v/>
      </c>
      <c r="H137" s="65">
        <f>Calc!$FI$139</f>
        <v/>
      </c>
      <c r="I137" s="65">
        <f>Calc!$FJ$139</f>
        <v/>
      </c>
      <c r="J137" s="65">
        <f>Calc!$FK$139</f>
        <v/>
      </c>
      <c r="K137" s="65">
        <f>Calc!$FL$139</f>
        <v/>
      </c>
      <c r="L137" s="65">
        <f>Calc!$FM$139</f>
        <v/>
      </c>
      <c r="M137" s="66">
        <f>Calc!$FN$139</f>
        <v/>
      </c>
      <c r="N137" s="66">
        <f>Calc!$FO$139</f>
        <v/>
      </c>
      <c r="O137" s="65">
        <f>Calc!$FP$139</f>
        <v/>
      </c>
      <c r="P137" s="67">
        <f>Calc!$FQ$139</f>
        <v/>
      </c>
      <c r="Q137" s="68">
        <f>Calc!$FR$139</f>
        <v/>
      </c>
      <c r="R137" s="65">
        <f>Calc!$FS$139</f>
        <v/>
      </c>
      <c r="T137">
        <f>Calc!$EY$139</f>
        <v/>
      </c>
      <c r="U137">
        <f>Calc!$FT$139</f>
        <v/>
      </c>
      <c r="V137">
        <f>Calc!$FU$139</f>
        <v/>
      </c>
      <c r="W137">
        <f>Calc!$FC$139</f>
        <v/>
      </c>
      <c r="X137">
        <f>Calc!$EZ$139</f>
        <v/>
      </c>
      <c r="Y137">
        <f>Calc!$FA$139</f>
        <v/>
      </c>
      <c r="Z137">
        <f>Calc!$FV$139</f>
        <v/>
      </c>
      <c r="AA137">
        <f>IF($T137&lt;&gt;"row",0,IF($V137=1,IF($X137=1,IF($Y137=1,1,2),IF($Y137=1,3,4)),IF($X137=1,IF($Y137=1,5,6),IF($Y137=1,7,8))))</f>
        <v/>
      </c>
    </row>
    <row r="138" ht="11.25" customHeight="1">
      <c r="A138" s="64">
        <f>Calc!$FB$140</f>
        <v/>
      </c>
      <c r="B138" s="64">
        <f>Calc!$FC$140</f>
        <v/>
      </c>
      <c r="C138" s="65">
        <f>Calc!$FD$140</f>
        <v/>
      </c>
      <c r="D138" s="65">
        <f>Calc!$FE$140</f>
        <v/>
      </c>
      <c r="E138" s="65">
        <f>Calc!$FF$140</f>
        <v/>
      </c>
      <c r="F138" s="65">
        <f>Calc!$FG$140</f>
        <v/>
      </c>
      <c r="G138" s="65">
        <f>Calc!$FH$140</f>
        <v/>
      </c>
      <c r="H138" s="65">
        <f>Calc!$FI$140</f>
        <v/>
      </c>
      <c r="I138" s="65">
        <f>Calc!$FJ$140</f>
        <v/>
      </c>
      <c r="J138" s="65">
        <f>Calc!$FK$140</f>
        <v/>
      </c>
      <c r="K138" s="65">
        <f>Calc!$FL$140</f>
        <v/>
      </c>
      <c r="L138" s="65">
        <f>Calc!$FM$140</f>
        <v/>
      </c>
      <c r="M138" s="66">
        <f>Calc!$FN$140</f>
        <v/>
      </c>
      <c r="N138" s="66">
        <f>Calc!$FO$140</f>
        <v/>
      </c>
      <c r="O138" s="65">
        <f>Calc!$FP$140</f>
        <v/>
      </c>
      <c r="P138" s="67">
        <f>Calc!$FQ$140</f>
        <v/>
      </c>
      <c r="Q138" s="68">
        <f>Calc!$FR$140</f>
        <v/>
      </c>
      <c r="R138" s="65">
        <f>Calc!$FS$140</f>
        <v/>
      </c>
      <c r="T138">
        <f>Calc!$EY$140</f>
        <v/>
      </c>
      <c r="U138">
        <f>Calc!$FT$140</f>
        <v/>
      </c>
      <c r="V138">
        <f>Calc!$FU$140</f>
        <v/>
      </c>
      <c r="W138">
        <f>Calc!$FC$140</f>
        <v/>
      </c>
      <c r="X138">
        <f>Calc!$EZ$140</f>
        <v/>
      </c>
      <c r="Y138">
        <f>Calc!$FA$140</f>
        <v/>
      </c>
      <c r="Z138">
        <f>Calc!$FV$140</f>
        <v/>
      </c>
      <c r="AA138">
        <f>IF($T138&lt;&gt;"row",0,IF($V138=1,IF($X138=1,IF($Y138=1,1,2),IF($Y138=1,3,4)),IF($X138=1,IF($Y138=1,5,6),IF($Y138=1,7,8))))</f>
        <v/>
      </c>
    </row>
    <row r="139" ht="11.25" customHeight="1">
      <c r="A139" s="64">
        <f>Calc!$FB$141</f>
        <v/>
      </c>
      <c r="B139" s="64">
        <f>Calc!$FC$141</f>
        <v/>
      </c>
      <c r="C139" s="65">
        <f>Calc!$FD$141</f>
        <v/>
      </c>
      <c r="D139" s="65">
        <f>Calc!$FE$141</f>
        <v/>
      </c>
      <c r="E139" s="65">
        <f>Calc!$FF$141</f>
        <v/>
      </c>
      <c r="F139" s="65">
        <f>Calc!$FG$141</f>
        <v/>
      </c>
      <c r="G139" s="65">
        <f>Calc!$FH$141</f>
        <v/>
      </c>
      <c r="H139" s="65">
        <f>Calc!$FI$141</f>
        <v/>
      </c>
      <c r="I139" s="65">
        <f>Calc!$FJ$141</f>
        <v/>
      </c>
      <c r="J139" s="65">
        <f>Calc!$FK$141</f>
        <v/>
      </c>
      <c r="K139" s="65">
        <f>Calc!$FL$141</f>
        <v/>
      </c>
      <c r="L139" s="65">
        <f>Calc!$FM$141</f>
        <v/>
      </c>
      <c r="M139" s="66">
        <f>Calc!$FN$141</f>
        <v/>
      </c>
      <c r="N139" s="66">
        <f>Calc!$FO$141</f>
        <v/>
      </c>
      <c r="O139" s="65">
        <f>Calc!$FP$141</f>
        <v/>
      </c>
      <c r="P139" s="67">
        <f>Calc!$FQ$141</f>
        <v/>
      </c>
      <c r="Q139" s="68">
        <f>Calc!$FR$141</f>
        <v/>
      </c>
      <c r="R139" s="65">
        <f>Calc!$FS$141</f>
        <v/>
      </c>
      <c r="T139">
        <f>Calc!$EY$141</f>
        <v/>
      </c>
      <c r="U139">
        <f>Calc!$FT$141</f>
        <v/>
      </c>
      <c r="V139">
        <f>Calc!$FU$141</f>
        <v/>
      </c>
      <c r="W139">
        <f>Calc!$FC$141</f>
        <v/>
      </c>
      <c r="X139">
        <f>Calc!$EZ$141</f>
        <v/>
      </c>
      <c r="Y139">
        <f>Calc!$FA$141</f>
        <v/>
      </c>
      <c r="Z139">
        <f>Calc!$FV$141</f>
        <v/>
      </c>
      <c r="AA139">
        <f>IF($T139&lt;&gt;"row",0,IF($V139=1,IF($X139=1,IF($Y139=1,1,2),IF($Y139=1,3,4)),IF($X139=1,IF($Y139=1,5,6),IF($Y139=1,7,8))))</f>
        <v/>
      </c>
    </row>
    <row r="140" ht="11.25" customHeight="1">
      <c r="A140" s="64">
        <f>Calc!$FB$142</f>
        <v/>
      </c>
      <c r="B140" s="64">
        <f>Calc!$FC$142</f>
        <v/>
      </c>
      <c r="C140" s="65">
        <f>Calc!$FD$142</f>
        <v/>
      </c>
      <c r="D140" s="65">
        <f>Calc!$FE$142</f>
        <v/>
      </c>
      <c r="E140" s="65">
        <f>Calc!$FF$142</f>
        <v/>
      </c>
      <c r="F140" s="65">
        <f>Calc!$FG$142</f>
        <v/>
      </c>
      <c r="G140" s="65">
        <f>Calc!$FH$142</f>
        <v/>
      </c>
      <c r="H140" s="65">
        <f>Calc!$FI$142</f>
        <v/>
      </c>
      <c r="I140" s="65">
        <f>Calc!$FJ$142</f>
        <v/>
      </c>
      <c r="J140" s="65">
        <f>Calc!$FK$142</f>
        <v/>
      </c>
      <c r="K140" s="65">
        <f>Calc!$FL$142</f>
        <v/>
      </c>
      <c r="L140" s="65">
        <f>Calc!$FM$142</f>
        <v/>
      </c>
      <c r="M140" s="66">
        <f>Calc!$FN$142</f>
        <v/>
      </c>
      <c r="N140" s="66">
        <f>Calc!$FO$142</f>
        <v/>
      </c>
      <c r="O140" s="65">
        <f>Calc!$FP$142</f>
        <v/>
      </c>
      <c r="P140" s="67">
        <f>Calc!$FQ$142</f>
        <v/>
      </c>
      <c r="Q140" s="68">
        <f>Calc!$FR$142</f>
        <v/>
      </c>
      <c r="R140" s="65">
        <f>Calc!$FS$142</f>
        <v/>
      </c>
      <c r="T140">
        <f>Calc!$EY$142</f>
        <v/>
      </c>
      <c r="U140">
        <f>Calc!$FT$142</f>
        <v/>
      </c>
      <c r="V140">
        <f>Calc!$FU$142</f>
        <v/>
      </c>
      <c r="W140">
        <f>Calc!$FC$142</f>
        <v/>
      </c>
      <c r="X140">
        <f>Calc!$EZ$142</f>
        <v/>
      </c>
      <c r="Y140">
        <f>Calc!$FA$142</f>
        <v/>
      </c>
      <c r="Z140">
        <f>Calc!$FV$142</f>
        <v/>
      </c>
      <c r="AA140">
        <f>IF($T140&lt;&gt;"row",0,IF($V140=1,IF($X140=1,IF($Y140=1,1,2),IF($Y140=1,3,4)),IF($X140=1,IF($Y140=1,5,6),IF($Y140=1,7,8))))</f>
        <v/>
      </c>
    </row>
    <row r="141" ht="11.25" customHeight="1">
      <c r="A141" s="64">
        <f>Calc!$FB$143</f>
        <v/>
      </c>
      <c r="B141" s="64">
        <f>Calc!$FC$143</f>
        <v/>
      </c>
      <c r="C141" s="65">
        <f>Calc!$FD$143</f>
        <v/>
      </c>
      <c r="D141" s="65">
        <f>Calc!$FE$143</f>
        <v/>
      </c>
      <c r="E141" s="65">
        <f>Calc!$FF$143</f>
        <v/>
      </c>
      <c r="F141" s="65">
        <f>Calc!$FG$143</f>
        <v/>
      </c>
      <c r="G141" s="65">
        <f>Calc!$FH$143</f>
        <v/>
      </c>
      <c r="H141" s="65">
        <f>Calc!$FI$143</f>
        <v/>
      </c>
      <c r="I141" s="65">
        <f>Calc!$FJ$143</f>
        <v/>
      </c>
      <c r="J141" s="65">
        <f>Calc!$FK$143</f>
        <v/>
      </c>
      <c r="K141" s="65">
        <f>Calc!$FL$143</f>
        <v/>
      </c>
      <c r="L141" s="65">
        <f>Calc!$FM$143</f>
        <v/>
      </c>
      <c r="M141" s="66">
        <f>Calc!$FN$143</f>
        <v/>
      </c>
      <c r="N141" s="66">
        <f>Calc!$FO$143</f>
        <v/>
      </c>
      <c r="O141" s="65">
        <f>Calc!$FP$143</f>
        <v/>
      </c>
      <c r="P141" s="67">
        <f>Calc!$FQ$143</f>
        <v/>
      </c>
      <c r="Q141" s="68">
        <f>Calc!$FR$143</f>
        <v/>
      </c>
      <c r="R141" s="65">
        <f>Calc!$FS$143</f>
        <v/>
      </c>
      <c r="T141">
        <f>Calc!$EY$143</f>
        <v/>
      </c>
      <c r="U141">
        <f>Calc!$FT$143</f>
        <v/>
      </c>
      <c r="V141">
        <f>Calc!$FU$143</f>
        <v/>
      </c>
      <c r="W141">
        <f>Calc!$FC$143</f>
        <v/>
      </c>
      <c r="X141">
        <f>Calc!$EZ$143</f>
        <v/>
      </c>
      <c r="Y141">
        <f>Calc!$FA$143</f>
        <v/>
      </c>
      <c r="Z141">
        <f>Calc!$FV$143</f>
        <v/>
      </c>
      <c r="AA141">
        <f>IF($T141&lt;&gt;"row",0,IF($V141=1,IF($X141=1,IF($Y141=1,1,2),IF($Y141=1,3,4)),IF($X141=1,IF($Y141=1,5,6),IF($Y141=1,7,8))))</f>
        <v/>
      </c>
    </row>
    <row r="142" ht="11.25" customHeight="1">
      <c r="A142" s="64">
        <f>Calc!$FB$144</f>
        <v/>
      </c>
      <c r="B142" s="64">
        <f>Calc!$FC$144</f>
        <v/>
      </c>
      <c r="C142" s="65">
        <f>Calc!$FD$144</f>
        <v/>
      </c>
      <c r="D142" s="65">
        <f>Calc!$FE$144</f>
        <v/>
      </c>
      <c r="E142" s="65">
        <f>Calc!$FF$144</f>
        <v/>
      </c>
      <c r="F142" s="65">
        <f>Calc!$FG$144</f>
        <v/>
      </c>
      <c r="G142" s="65">
        <f>Calc!$FH$144</f>
        <v/>
      </c>
      <c r="H142" s="65">
        <f>Calc!$FI$144</f>
        <v/>
      </c>
      <c r="I142" s="65">
        <f>Calc!$FJ$144</f>
        <v/>
      </c>
      <c r="J142" s="65">
        <f>Calc!$FK$144</f>
        <v/>
      </c>
      <c r="K142" s="65">
        <f>Calc!$FL$144</f>
        <v/>
      </c>
      <c r="L142" s="65">
        <f>Calc!$FM$144</f>
        <v/>
      </c>
      <c r="M142" s="66">
        <f>Calc!$FN$144</f>
        <v/>
      </c>
      <c r="N142" s="66">
        <f>Calc!$FO$144</f>
        <v/>
      </c>
      <c r="O142" s="65">
        <f>Calc!$FP$144</f>
        <v/>
      </c>
      <c r="P142" s="67">
        <f>Calc!$FQ$144</f>
        <v/>
      </c>
      <c r="Q142" s="68">
        <f>Calc!$FR$144</f>
        <v/>
      </c>
      <c r="R142" s="65">
        <f>Calc!$FS$144</f>
        <v/>
      </c>
      <c r="T142">
        <f>Calc!$EY$144</f>
        <v/>
      </c>
      <c r="U142">
        <f>Calc!$FT$144</f>
        <v/>
      </c>
      <c r="V142">
        <f>Calc!$FU$144</f>
        <v/>
      </c>
      <c r="W142">
        <f>Calc!$FC$144</f>
        <v/>
      </c>
      <c r="X142">
        <f>Calc!$EZ$144</f>
        <v/>
      </c>
      <c r="Y142">
        <f>Calc!$FA$144</f>
        <v/>
      </c>
      <c r="Z142">
        <f>Calc!$FV$144</f>
        <v/>
      </c>
      <c r="AA142">
        <f>IF($T142&lt;&gt;"row",0,IF($V142=1,IF($X142=1,IF($Y142=1,1,2),IF($Y142=1,3,4)),IF($X142=1,IF($Y142=1,5,6),IF($Y142=1,7,8))))</f>
        <v/>
      </c>
    </row>
    <row r="143" ht="11.25" customHeight="1">
      <c r="A143" s="64">
        <f>Calc!$FB$145</f>
        <v/>
      </c>
      <c r="B143" s="64">
        <f>Calc!$FC$145</f>
        <v/>
      </c>
      <c r="C143" s="65">
        <f>Calc!$FD$145</f>
        <v/>
      </c>
      <c r="D143" s="65">
        <f>Calc!$FE$145</f>
        <v/>
      </c>
      <c r="E143" s="65">
        <f>Calc!$FF$145</f>
        <v/>
      </c>
      <c r="F143" s="65">
        <f>Calc!$FG$145</f>
        <v/>
      </c>
      <c r="G143" s="65">
        <f>Calc!$FH$145</f>
        <v/>
      </c>
      <c r="H143" s="65">
        <f>Calc!$FI$145</f>
        <v/>
      </c>
      <c r="I143" s="65">
        <f>Calc!$FJ$145</f>
        <v/>
      </c>
      <c r="J143" s="65">
        <f>Calc!$FK$145</f>
        <v/>
      </c>
      <c r="K143" s="65">
        <f>Calc!$FL$145</f>
        <v/>
      </c>
      <c r="L143" s="65">
        <f>Calc!$FM$145</f>
        <v/>
      </c>
      <c r="M143" s="66">
        <f>Calc!$FN$145</f>
        <v/>
      </c>
      <c r="N143" s="66">
        <f>Calc!$FO$145</f>
        <v/>
      </c>
      <c r="O143" s="65">
        <f>Calc!$FP$145</f>
        <v/>
      </c>
      <c r="P143" s="67">
        <f>Calc!$FQ$145</f>
        <v/>
      </c>
      <c r="Q143" s="68">
        <f>Calc!$FR$145</f>
        <v/>
      </c>
      <c r="R143" s="65">
        <f>Calc!$FS$145</f>
        <v/>
      </c>
      <c r="T143">
        <f>Calc!$EY$145</f>
        <v/>
      </c>
      <c r="U143">
        <f>Calc!$FT$145</f>
        <v/>
      </c>
      <c r="V143">
        <f>Calc!$FU$145</f>
        <v/>
      </c>
      <c r="W143">
        <f>Calc!$FC$145</f>
        <v/>
      </c>
      <c r="X143">
        <f>Calc!$EZ$145</f>
        <v/>
      </c>
      <c r="Y143">
        <f>Calc!$FA$145</f>
        <v/>
      </c>
      <c r="Z143">
        <f>Calc!$FV$145</f>
        <v/>
      </c>
      <c r="AA143">
        <f>IF($T143&lt;&gt;"row",0,IF($V143=1,IF($X143=1,IF($Y143=1,1,2),IF($Y143=1,3,4)),IF($X143=1,IF($Y143=1,5,6),IF($Y143=1,7,8))))</f>
        <v/>
      </c>
    </row>
    <row r="144" ht="11.25" customHeight="1">
      <c r="A144" s="64">
        <f>Calc!$FB$146</f>
        <v/>
      </c>
      <c r="B144" s="64">
        <f>Calc!$FC$146</f>
        <v/>
      </c>
      <c r="C144" s="65">
        <f>Calc!$FD$146</f>
        <v/>
      </c>
      <c r="D144" s="65">
        <f>Calc!$FE$146</f>
        <v/>
      </c>
      <c r="E144" s="65">
        <f>Calc!$FF$146</f>
        <v/>
      </c>
      <c r="F144" s="65">
        <f>Calc!$FG$146</f>
        <v/>
      </c>
      <c r="G144" s="65">
        <f>Calc!$FH$146</f>
        <v/>
      </c>
      <c r="H144" s="65">
        <f>Calc!$FI$146</f>
        <v/>
      </c>
      <c r="I144" s="65">
        <f>Calc!$FJ$146</f>
        <v/>
      </c>
      <c r="J144" s="65">
        <f>Calc!$FK$146</f>
        <v/>
      </c>
      <c r="K144" s="65">
        <f>Calc!$FL$146</f>
        <v/>
      </c>
      <c r="L144" s="65">
        <f>Calc!$FM$146</f>
        <v/>
      </c>
      <c r="M144" s="66">
        <f>Calc!$FN$146</f>
        <v/>
      </c>
      <c r="N144" s="66">
        <f>Calc!$FO$146</f>
        <v/>
      </c>
      <c r="O144" s="65">
        <f>Calc!$FP$146</f>
        <v/>
      </c>
      <c r="P144" s="67">
        <f>Calc!$FQ$146</f>
        <v/>
      </c>
      <c r="Q144" s="68">
        <f>Calc!$FR$146</f>
        <v/>
      </c>
      <c r="R144" s="65">
        <f>Calc!$FS$146</f>
        <v/>
      </c>
      <c r="T144">
        <f>Calc!$EY$146</f>
        <v/>
      </c>
      <c r="U144">
        <f>Calc!$FT$146</f>
        <v/>
      </c>
      <c r="V144">
        <f>Calc!$FU$146</f>
        <v/>
      </c>
      <c r="W144">
        <f>Calc!$FC$146</f>
        <v/>
      </c>
      <c r="X144">
        <f>Calc!$EZ$146</f>
        <v/>
      </c>
      <c r="Y144">
        <f>Calc!$FA$146</f>
        <v/>
      </c>
      <c r="Z144">
        <f>Calc!$FV$146</f>
        <v/>
      </c>
      <c r="AA144">
        <f>IF($T144&lt;&gt;"row",0,IF($V144=1,IF($X144=1,IF($Y144=1,1,2),IF($Y144=1,3,4)),IF($X144=1,IF($Y144=1,5,6),IF($Y144=1,7,8))))</f>
        <v/>
      </c>
    </row>
    <row r="145" ht="11.25" customHeight="1">
      <c r="A145" s="64">
        <f>Calc!$FB$147</f>
        <v/>
      </c>
      <c r="B145" s="64">
        <f>Calc!$FC$147</f>
        <v/>
      </c>
      <c r="C145" s="65">
        <f>Calc!$FD$147</f>
        <v/>
      </c>
      <c r="D145" s="65">
        <f>Calc!$FE$147</f>
        <v/>
      </c>
      <c r="E145" s="65">
        <f>Calc!$FF$147</f>
        <v/>
      </c>
      <c r="F145" s="65">
        <f>Calc!$FG$147</f>
        <v/>
      </c>
      <c r="G145" s="65">
        <f>Calc!$FH$147</f>
        <v/>
      </c>
      <c r="H145" s="65">
        <f>Calc!$FI$147</f>
        <v/>
      </c>
      <c r="I145" s="65">
        <f>Calc!$FJ$147</f>
        <v/>
      </c>
      <c r="J145" s="65">
        <f>Calc!$FK$147</f>
        <v/>
      </c>
      <c r="K145" s="65">
        <f>Calc!$FL$147</f>
        <v/>
      </c>
      <c r="L145" s="65">
        <f>Calc!$FM$147</f>
        <v/>
      </c>
      <c r="M145" s="66">
        <f>Calc!$FN$147</f>
        <v/>
      </c>
      <c r="N145" s="66">
        <f>Calc!$FO$147</f>
        <v/>
      </c>
      <c r="O145" s="65">
        <f>Calc!$FP$147</f>
        <v/>
      </c>
      <c r="P145" s="67">
        <f>Calc!$FQ$147</f>
        <v/>
      </c>
      <c r="Q145" s="68">
        <f>Calc!$FR$147</f>
        <v/>
      </c>
      <c r="R145" s="65">
        <f>Calc!$FS$147</f>
        <v/>
      </c>
      <c r="T145">
        <f>Calc!$EY$147</f>
        <v/>
      </c>
      <c r="U145">
        <f>Calc!$FT$147</f>
        <v/>
      </c>
      <c r="V145">
        <f>Calc!$FU$147</f>
        <v/>
      </c>
      <c r="W145">
        <f>Calc!$FC$147</f>
        <v/>
      </c>
      <c r="X145">
        <f>Calc!$EZ$147</f>
        <v/>
      </c>
      <c r="Y145">
        <f>Calc!$FA$147</f>
        <v/>
      </c>
      <c r="Z145">
        <f>Calc!$FV$147</f>
        <v/>
      </c>
      <c r="AA145">
        <f>IF($T145&lt;&gt;"row",0,IF($V145=1,IF($X145=1,IF($Y145=1,1,2),IF($Y145=1,3,4)),IF($X145=1,IF($Y145=1,5,6),IF($Y145=1,7,8))))</f>
        <v/>
      </c>
    </row>
    <row r="146" ht="11.25" customHeight="1">
      <c r="A146" s="64">
        <f>Calc!$FB$148</f>
        <v/>
      </c>
      <c r="B146" s="64">
        <f>Calc!$FC$148</f>
        <v/>
      </c>
      <c r="C146" s="65">
        <f>Calc!$FD$148</f>
        <v/>
      </c>
      <c r="D146" s="65">
        <f>Calc!$FE$148</f>
        <v/>
      </c>
      <c r="E146" s="65">
        <f>Calc!$FF$148</f>
        <v/>
      </c>
      <c r="F146" s="65">
        <f>Calc!$FG$148</f>
        <v/>
      </c>
      <c r="G146" s="65">
        <f>Calc!$FH$148</f>
        <v/>
      </c>
      <c r="H146" s="65">
        <f>Calc!$FI$148</f>
        <v/>
      </c>
      <c r="I146" s="65">
        <f>Calc!$FJ$148</f>
        <v/>
      </c>
      <c r="J146" s="65">
        <f>Calc!$FK$148</f>
        <v/>
      </c>
      <c r="K146" s="65">
        <f>Calc!$FL$148</f>
        <v/>
      </c>
      <c r="L146" s="65">
        <f>Calc!$FM$148</f>
        <v/>
      </c>
      <c r="M146" s="66">
        <f>Calc!$FN$148</f>
        <v/>
      </c>
      <c r="N146" s="66">
        <f>Calc!$FO$148</f>
        <v/>
      </c>
      <c r="O146" s="65">
        <f>Calc!$FP$148</f>
        <v/>
      </c>
      <c r="P146" s="67">
        <f>Calc!$FQ$148</f>
        <v/>
      </c>
      <c r="Q146" s="68">
        <f>Calc!$FR$148</f>
        <v/>
      </c>
      <c r="R146" s="65">
        <f>Calc!$FS$148</f>
        <v/>
      </c>
      <c r="T146">
        <f>Calc!$EY$148</f>
        <v/>
      </c>
      <c r="U146">
        <f>Calc!$FT$148</f>
        <v/>
      </c>
      <c r="V146">
        <f>Calc!$FU$148</f>
        <v/>
      </c>
      <c r="W146">
        <f>Calc!$FC$148</f>
        <v/>
      </c>
      <c r="X146">
        <f>Calc!$EZ$148</f>
        <v/>
      </c>
      <c r="Y146">
        <f>Calc!$FA$148</f>
        <v/>
      </c>
      <c r="Z146">
        <f>Calc!$FV$148</f>
        <v/>
      </c>
      <c r="AA146">
        <f>IF($T146&lt;&gt;"row",0,IF($V146=1,IF($X146=1,IF($Y146=1,1,2),IF($Y146=1,3,4)),IF($X146=1,IF($Y146=1,5,6),IF($Y146=1,7,8))))</f>
        <v/>
      </c>
    </row>
    <row r="147" ht="11.25" customHeight="1">
      <c r="A147" s="64">
        <f>Calc!$FB$149</f>
        <v/>
      </c>
      <c r="B147" s="64">
        <f>Calc!$FC$149</f>
        <v/>
      </c>
      <c r="C147" s="65">
        <f>Calc!$FD$149</f>
        <v/>
      </c>
      <c r="D147" s="65">
        <f>Calc!$FE$149</f>
        <v/>
      </c>
      <c r="E147" s="65">
        <f>Calc!$FF$149</f>
        <v/>
      </c>
      <c r="F147" s="65">
        <f>Calc!$FG$149</f>
        <v/>
      </c>
      <c r="G147" s="65">
        <f>Calc!$FH$149</f>
        <v/>
      </c>
      <c r="H147" s="65">
        <f>Calc!$FI$149</f>
        <v/>
      </c>
      <c r="I147" s="65">
        <f>Calc!$FJ$149</f>
        <v/>
      </c>
      <c r="J147" s="65">
        <f>Calc!$FK$149</f>
        <v/>
      </c>
      <c r="K147" s="65">
        <f>Calc!$FL$149</f>
        <v/>
      </c>
      <c r="L147" s="65">
        <f>Calc!$FM$149</f>
        <v/>
      </c>
      <c r="M147" s="66">
        <f>Calc!$FN$149</f>
        <v/>
      </c>
      <c r="N147" s="66">
        <f>Calc!$FO$149</f>
        <v/>
      </c>
      <c r="O147" s="65">
        <f>Calc!$FP$149</f>
        <v/>
      </c>
      <c r="P147" s="67">
        <f>Calc!$FQ$149</f>
        <v/>
      </c>
      <c r="Q147" s="68">
        <f>Calc!$FR$149</f>
        <v/>
      </c>
      <c r="R147" s="65">
        <f>Calc!$FS$149</f>
        <v/>
      </c>
      <c r="T147">
        <f>Calc!$EY$149</f>
        <v/>
      </c>
      <c r="U147">
        <f>Calc!$FT$149</f>
        <v/>
      </c>
      <c r="V147">
        <f>Calc!$FU$149</f>
        <v/>
      </c>
      <c r="W147">
        <f>Calc!$FC$149</f>
        <v/>
      </c>
      <c r="X147">
        <f>Calc!$EZ$149</f>
        <v/>
      </c>
      <c r="Y147">
        <f>Calc!$FA$149</f>
        <v/>
      </c>
      <c r="Z147">
        <f>Calc!$FV$149</f>
        <v/>
      </c>
      <c r="AA147">
        <f>IF($T147&lt;&gt;"row",0,IF($V147=1,IF($X147=1,IF($Y147=1,1,2),IF($Y147=1,3,4)),IF($X147=1,IF($Y147=1,5,6),IF($Y147=1,7,8))))</f>
        <v/>
      </c>
    </row>
    <row r="148" ht="11.25" customHeight="1">
      <c r="A148" s="64">
        <f>Calc!$FB$150</f>
        <v/>
      </c>
      <c r="B148" s="64">
        <f>Calc!$FC$150</f>
        <v/>
      </c>
      <c r="C148" s="65">
        <f>Calc!$FD$150</f>
        <v/>
      </c>
      <c r="D148" s="65">
        <f>Calc!$FE$150</f>
        <v/>
      </c>
      <c r="E148" s="65">
        <f>Calc!$FF$150</f>
        <v/>
      </c>
      <c r="F148" s="65">
        <f>Calc!$FG$150</f>
        <v/>
      </c>
      <c r="G148" s="65">
        <f>Calc!$FH$150</f>
        <v/>
      </c>
      <c r="H148" s="65">
        <f>Calc!$FI$150</f>
        <v/>
      </c>
      <c r="I148" s="65">
        <f>Calc!$FJ$150</f>
        <v/>
      </c>
      <c r="J148" s="65">
        <f>Calc!$FK$150</f>
        <v/>
      </c>
      <c r="K148" s="65">
        <f>Calc!$FL$150</f>
        <v/>
      </c>
      <c r="L148" s="65">
        <f>Calc!$FM$150</f>
        <v/>
      </c>
      <c r="M148" s="66">
        <f>Calc!$FN$150</f>
        <v/>
      </c>
      <c r="N148" s="66">
        <f>Calc!$FO$150</f>
        <v/>
      </c>
      <c r="O148" s="65">
        <f>Calc!$FP$150</f>
        <v/>
      </c>
      <c r="P148" s="67">
        <f>Calc!$FQ$150</f>
        <v/>
      </c>
      <c r="Q148" s="68">
        <f>Calc!$FR$150</f>
        <v/>
      </c>
      <c r="R148" s="65">
        <f>Calc!$FS$150</f>
        <v/>
      </c>
      <c r="T148">
        <f>Calc!$EY$150</f>
        <v/>
      </c>
      <c r="U148">
        <f>Calc!$FT$150</f>
        <v/>
      </c>
      <c r="V148">
        <f>Calc!$FU$150</f>
        <v/>
      </c>
      <c r="W148">
        <f>Calc!$FC$150</f>
        <v/>
      </c>
      <c r="X148">
        <f>Calc!$EZ$150</f>
        <v/>
      </c>
      <c r="Y148">
        <f>Calc!$FA$150</f>
        <v/>
      </c>
      <c r="Z148">
        <f>Calc!$FV$150</f>
        <v/>
      </c>
      <c r="AA148">
        <f>IF($T148&lt;&gt;"row",0,IF($V148=1,IF($X148=1,IF($Y148=1,1,2),IF($Y148=1,3,4)),IF($X148=1,IF($Y148=1,5,6),IF($Y148=1,7,8))))</f>
        <v/>
      </c>
    </row>
    <row r="149" ht="11.25" customHeight="1">
      <c r="A149" s="64">
        <f>Calc!$FB$151</f>
        <v/>
      </c>
      <c r="B149" s="64">
        <f>Calc!$FC$151</f>
        <v/>
      </c>
      <c r="C149" s="65">
        <f>Calc!$FD$151</f>
        <v/>
      </c>
      <c r="D149" s="65">
        <f>Calc!$FE$151</f>
        <v/>
      </c>
      <c r="E149" s="65">
        <f>Calc!$FF$151</f>
        <v/>
      </c>
      <c r="F149" s="65">
        <f>Calc!$FG$151</f>
        <v/>
      </c>
      <c r="G149" s="65">
        <f>Calc!$FH$151</f>
        <v/>
      </c>
      <c r="H149" s="65">
        <f>Calc!$FI$151</f>
        <v/>
      </c>
      <c r="I149" s="65">
        <f>Calc!$FJ$151</f>
        <v/>
      </c>
      <c r="J149" s="65">
        <f>Calc!$FK$151</f>
        <v/>
      </c>
      <c r="K149" s="65">
        <f>Calc!$FL$151</f>
        <v/>
      </c>
      <c r="L149" s="65">
        <f>Calc!$FM$151</f>
        <v/>
      </c>
      <c r="M149" s="66">
        <f>Calc!$FN$151</f>
        <v/>
      </c>
      <c r="N149" s="66">
        <f>Calc!$FO$151</f>
        <v/>
      </c>
      <c r="O149" s="65">
        <f>Calc!$FP$151</f>
        <v/>
      </c>
      <c r="P149" s="67">
        <f>Calc!$FQ$151</f>
        <v/>
      </c>
      <c r="Q149" s="68">
        <f>Calc!$FR$151</f>
        <v/>
      </c>
      <c r="R149" s="65">
        <f>Calc!$FS$151</f>
        <v/>
      </c>
      <c r="T149">
        <f>Calc!$EY$151</f>
        <v/>
      </c>
      <c r="U149">
        <f>Calc!$FT$151</f>
        <v/>
      </c>
      <c r="V149">
        <f>Calc!$FU$151</f>
        <v/>
      </c>
      <c r="W149">
        <f>Calc!$FC$151</f>
        <v/>
      </c>
      <c r="X149">
        <f>Calc!$EZ$151</f>
        <v/>
      </c>
      <c r="Y149">
        <f>Calc!$FA$151</f>
        <v/>
      </c>
      <c r="Z149">
        <f>Calc!$FV$151</f>
        <v/>
      </c>
      <c r="AA149">
        <f>IF($T149&lt;&gt;"row",0,IF($V149=1,IF($X149=1,IF($Y149=1,1,2),IF($Y149=1,3,4)),IF($X149=1,IF($Y149=1,5,6),IF($Y149=1,7,8))))</f>
        <v/>
      </c>
    </row>
    <row r="150" ht="11.25" customHeight="1">
      <c r="A150" s="64">
        <f>Calc!$FB$152</f>
        <v/>
      </c>
      <c r="B150" s="64">
        <f>Calc!$FC$152</f>
        <v/>
      </c>
      <c r="C150" s="65">
        <f>Calc!$FD$152</f>
        <v/>
      </c>
      <c r="D150" s="65">
        <f>Calc!$FE$152</f>
        <v/>
      </c>
      <c r="E150" s="65">
        <f>Calc!$FF$152</f>
        <v/>
      </c>
      <c r="F150" s="65">
        <f>Calc!$FG$152</f>
        <v/>
      </c>
      <c r="G150" s="65">
        <f>Calc!$FH$152</f>
        <v/>
      </c>
      <c r="H150" s="65">
        <f>Calc!$FI$152</f>
        <v/>
      </c>
      <c r="I150" s="65">
        <f>Calc!$FJ$152</f>
        <v/>
      </c>
      <c r="J150" s="65">
        <f>Calc!$FK$152</f>
        <v/>
      </c>
      <c r="K150" s="65">
        <f>Calc!$FL$152</f>
        <v/>
      </c>
      <c r="L150" s="65">
        <f>Calc!$FM$152</f>
        <v/>
      </c>
      <c r="M150" s="66">
        <f>Calc!$FN$152</f>
        <v/>
      </c>
      <c r="N150" s="66">
        <f>Calc!$FO$152</f>
        <v/>
      </c>
      <c r="O150" s="65">
        <f>Calc!$FP$152</f>
        <v/>
      </c>
      <c r="P150" s="67">
        <f>Calc!$FQ$152</f>
        <v/>
      </c>
      <c r="Q150" s="68">
        <f>Calc!$FR$152</f>
        <v/>
      </c>
      <c r="R150" s="65">
        <f>Calc!$FS$152</f>
        <v/>
      </c>
      <c r="T150">
        <f>Calc!$EY$152</f>
        <v/>
      </c>
      <c r="U150">
        <f>Calc!$FT$152</f>
        <v/>
      </c>
      <c r="V150">
        <f>Calc!$FU$152</f>
        <v/>
      </c>
      <c r="W150">
        <f>Calc!$FC$152</f>
        <v/>
      </c>
      <c r="X150">
        <f>Calc!$EZ$152</f>
        <v/>
      </c>
      <c r="Y150">
        <f>Calc!$FA$152</f>
        <v/>
      </c>
      <c r="Z150">
        <f>Calc!$FV$152</f>
        <v/>
      </c>
      <c r="AA150">
        <f>IF($T150&lt;&gt;"row",0,IF($V150=1,IF($X150=1,IF($Y150=1,1,2),IF($Y150=1,3,4)),IF($X150=1,IF($Y150=1,5,6),IF($Y150=1,7,8))))</f>
        <v/>
      </c>
    </row>
    <row r="151" ht="11.25" customHeight="1">
      <c r="A151" s="64">
        <f>Calc!$FB$153</f>
        <v/>
      </c>
      <c r="B151" s="64">
        <f>Calc!$FC$153</f>
        <v/>
      </c>
      <c r="C151" s="65">
        <f>Calc!$FD$153</f>
        <v/>
      </c>
      <c r="D151" s="65">
        <f>Calc!$FE$153</f>
        <v/>
      </c>
      <c r="E151" s="65">
        <f>Calc!$FF$153</f>
        <v/>
      </c>
      <c r="F151" s="65">
        <f>Calc!$FG$153</f>
        <v/>
      </c>
      <c r="G151" s="65">
        <f>Calc!$FH$153</f>
        <v/>
      </c>
      <c r="H151" s="65">
        <f>Calc!$FI$153</f>
        <v/>
      </c>
      <c r="I151" s="65">
        <f>Calc!$FJ$153</f>
        <v/>
      </c>
      <c r="J151" s="65">
        <f>Calc!$FK$153</f>
        <v/>
      </c>
      <c r="K151" s="65">
        <f>Calc!$FL$153</f>
        <v/>
      </c>
      <c r="L151" s="65">
        <f>Calc!$FM$153</f>
        <v/>
      </c>
      <c r="M151" s="66">
        <f>Calc!$FN$153</f>
        <v/>
      </c>
      <c r="N151" s="66">
        <f>Calc!$FO$153</f>
        <v/>
      </c>
      <c r="O151" s="65">
        <f>Calc!$FP$153</f>
        <v/>
      </c>
      <c r="P151" s="67">
        <f>Calc!$FQ$153</f>
        <v/>
      </c>
      <c r="Q151" s="68">
        <f>Calc!$FR$153</f>
        <v/>
      </c>
      <c r="R151" s="65">
        <f>Calc!$FS$153</f>
        <v/>
      </c>
      <c r="T151">
        <f>Calc!$EY$153</f>
        <v/>
      </c>
      <c r="U151">
        <f>Calc!$FT$153</f>
        <v/>
      </c>
      <c r="V151">
        <f>Calc!$FU$153</f>
        <v/>
      </c>
      <c r="W151">
        <f>Calc!$FC$153</f>
        <v/>
      </c>
      <c r="X151">
        <f>Calc!$EZ$153</f>
        <v/>
      </c>
      <c r="Y151">
        <f>Calc!$FA$153</f>
        <v/>
      </c>
      <c r="Z151">
        <f>Calc!$FV$153</f>
        <v/>
      </c>
      <c r="AA151">
        <f>IF($T151&lt;&gt;"row",0,IF($V151=1,IF($X151=1,IF($Y151=1,1,2),IF($Y151=1,3,4)),IF($X151=1,IF($Y151=1,5,6),IF($Y151=1,7,8))))</f>
        <v/>
      </c>
    </row>
    <row r="152" ht="11.25" customHeight="1">
      <c r="A152" s="64">
        <f>Calc!$FB$154</f>
        <v/>
      </c>
      <c r="B152" s="64">
        <f>Calc!$FC$154</f>
        <v/>
      </c>
      <c r="C152" s="65">
        <f>Calc!$FD$154</f>
        <v/>
      </c>
      <c r="D152" s="65">
        <f>Calc!$FE$154</f>
        <v/>
      </c>
      <c r="E152" s="65">
        <f>Calc!$FF$154</f>
        <v/>
      </c>
      <c r="F152" s="65">
        <f>Calc!$FG$154</f>
        <v/>
      </c>
      <c r="G152" s="65">
        <f>Calc!$FH$154</f>
        <v/>
      </c>
      <c r="H152" s="65">
        <f>Calc!$FI$154</f>
        <v/>
      </c>
      <c r="I152" s="65">
        <f>Calc!$FJ$154</f>
        <v/>
      </c>
      <c r="J152" s="65">
        <f>Calc!$FK$154</f>
        <v/>
      </c>
      <c r="K152" s="65">
        <f>Calc!$FL$154</f>
        <v/>
      </c>
      <c r="L152" s="65">
        <f>Calc!$FM$154</f>
        <v/>
      </c>
      <c r="M152" s="66">
        <f>Calc!$FN$154</f>
        <v/>
      </c>
      <c r="N152" s="66">
        <f>Calc!$FO$154</f>
        <v/>
      </c>
      <c r="O152" s="65">
        <f>Calc!$FP$154</f>
        <v/>
      </c>
      <c r="P152" s="67">
        <f>Calc!$FQ$154</f>
        <v/>
      </c>
      <c r="Q152" s="68">
        <f>Calc!$FR$154</f>
        <v/>
      </c>
      <c r="R152" s="65">
        <f>Calc!$FS$154</f>
        <v/>
      </c>
      <c r="T152">
        <f>Calc!$EY$154</f>
        <v/>
      </c>
      <c r="U152">
        <f>Calc!$FT$154</f>
        <v/>
      </c>
      <c r="V152">
        <f>Calc!$FU$154</f>
        <v/>
      </c>
      <c r="W152">
        <f>Calc!$FC$154</f>
        <v/>
      </c>
      <c r="X152">
        <f>Calc!$EZ$154</f>
        <v/>
      </c>
      <c r="Y152">
        <f>Calc!$FA$154</f>
        <v/>
      </c>
      <c r="Z152">
        <f>Calc!$FV$154</f>
        <v/>
      </c>
      <c r="AA152">
        <f>IF($T152&lt;&gt;"row",0,IF($V152=1,IF($X152=1,IF($Y152=1,1,2),IF($Y152=1,3,4)),IF($X152=1,IF($Y152=1,5,6),IF($Y152=1,7,8))))</f>
        <v/>
      </c>
    </row>
    <row r="153" ht="11.25" customHeight="1">
      <c r="A153" s="64">
        <f>Calc!$FB$155</f>
        <v/>
      </c>
      <c r="B153" s="64">
        <f>Calc!$FC$155</f>
        <v/>
      </c>
      <c r="C153" s="65">
        <f>Calc!$FD$155</f>
        <v/>
      </c>
      <c r="D153" s="65">
        <f>Calc!$FE$155</f>
        <v/>
      </c>
      <c r="E153" s="65">
        <f>Calc!$FF$155</f>
        <v/>
      </c>
      <c r="F153" s="65">
        <f>Calc!$FG$155</f>
        <v/>
      </c>
      <c r="G153" s="65">
        <f>Calc!$FH$155</f>
        <v/>
      </c>
      <c r="H153" s="65">
        <f>Calc!$FI$155</f>
        <v/>
      </c>
      <c r="I153" s="65">
        <f>Calc!$FJ$155</f>
        <v/>
      </c>
      <c r="J153" s="65">
        <f>Calc!$FK$155</f>
        <v/>
      </c>
      <c r="K153" s="65">
        <f>Calc!$FL$155</f>
        <v/>
      </c>
      <c r="L153" s="65">
        <f>Calc!$FM$155</f>
        <v/>
      </c>
      <c r="M153" s="66">
        <f>Calc!$FN$155</f>
        <v/>
      </c>
      <c r="N153" s="66">
        <f>Calc!$FO$155</f>
        <v/>
      </c>
      <c r="O153" s="65">
        <f>Calc!$FP$155</f>
        <v/>
      </c>
      <c r="P153" s="67">
        <f>Calc!$FQ$155</f>
        <v/>
      </c>
      <c r="Q153" s="68">
        <f>Calc!$FR$155</f>
        <v/>
      </c>
      <c r="R153" s="65">
        <f>Calc!$FS$155</f>
        <v/>
      </c>
      <c r="T153">
        <f>Calc!$EY$155</f>
        <v/>
      </c>
      <c r="U153">
        <f>Calc!$FT$155</f>
        <v/>
      </c>
      <c r="V153">
        <f>Calc!$FU$155</f>
        <v/>
      </c>
      <c r="W153">
        <f>Calc!$FC$155</f>
        <v/>
      </c>
      <c r="X153">
        <f>Calc!$EZ$155</f>
        <v/>
      </c>
      <c r="Y153">
        <f>Calc!$FA$155</f>
        <v/>
      </c>
      <c r="Z153">
        <f>Calc!$FV$155</f>
        <v/>
      </c>
      <c r="AA153">
        <f>IF($T153&lt;&gt;"row",0,IF($V153=1,IF($X153=1,IF($Y153=1,1,2),IF($Y153=1,3,4)),IF($X153=1,IF($Y153=1,5,6),IF($Y153=1,7,8))))</f>
        <v/>
      </c>
    </row>
    <row r="154" ht="11.25" customHeight="1">
      <c r="A154" s="64">
        <f>Calc!$FB$156</f>
        <v/>
      </c>
      <c r="B154" s="64">
        <f>Calc!$FC$156</f>
        <v/>
      </c>
      <c r="C154" s="65">
        <f>Calc!$FD$156</f>
        <v/>
      </c>
      <c r="D154" s="65">
        <f>Calc!$FE$156</f>
        <v/>
      </c>
      <c r="E154" s="65">
        <f>Calc!$FF$156</f>
        <v/>
      </c>
      <c r="F154" s="65">
        <f>Calc!$FG$156</f>
        <v/>
      </c>
      <c r="G154" s="65">
        <f>Calc!$FH$156</f>
        <v/>
      </c>
      <c r="H154" s="65">
        <f>Calc!$FI$156</f>
        <v/>
      </c>
      <c r="I154" s="65">
        <f>Calc!$FJ$156</f>
        <v/>
      </c>
      <c r="J154" s="65">
        <f>Calc!$FK$156</f>
        <v/>
      </c>
      <c r="K154" s="65">
        <f>Calc!$FL$156</f>
        <v/>
      </c>
      <c r="L154" s="65">
        <f>Calc!$FM$156</f>
        <v/>
      </c>
      <c r="M154" s="66">
        <f>Calc!$FN$156</f>
        <v/>
      </c>
      <c r="N154" s="66">
        <f>Calc!$FO$156</f>
        <v/>
      </c>
      <c r="O154" s="65">
        <f>Calc!$FP$156</f>
        <v/>
      </c>
      <c r="P154" s="67">
        <f>Calc!$FQ$156</f>
        <v/>
      </c>
      <c r="Q154" s="68">
        <f>Calc!$FR$156</f>
        <v/>
      </c>
      <c r="R154" s="65">
        <f>Calc!$FS$156</f>
        <v/>
      </c>
      <c r="T154">
        <f>Calc!$EY$156</f>
        <v/>
      </c>
      <c r="U154">
        <f>Calc!$FT$156</f>
        <v/>
      </c>
      <c r="V154">
        <f>Calc!$FU$156</f>
        <v/>
      </c>
      <c r="W154">
        <f>Calc!$FC$156</f>
        <v/>
      </c>
      <c r="X154">
        <f>Calc!$EZ$156</f>
        <v/>
      </c>
      <c r="Y154">
        <f>Calc!$FA$156</f>
        <v/>
      </c>
      <c r="Z154">
        <f>Calc!$FV$156</f>
        <v/>
      </c>
      <c r="AA154">
        <f>IF($T154&lt;&gt;"row",0,IF($V154=1,IF($X154=1,IF($Y154=1,1,2),IF($Y154=1,3,4)),IF($X154=1,IF($Y154=1,5,6),IF($Y154=1,7,8))))</f>
        <v/>
      </c>
    </row>
    <row r="155" ht="11.25" customHeight="1">
      <c r="A155" s="64">
        <f>Calc!$FB$157</f>
        <v/>
      </c>
      <c r="B155" s="64">
        <f>Calc!$FC$157</f>
        <v/>
      </c>
      <c r="C155" s="65">
        <f>Calc!$FD$157</f>
        <v/>
      </c>
      <c r="D155" s="65">
        <f>Calc!$FE$157</f>
        <v/>
      </c>
      <c r="E155" s="65">
        <f>Calc!$FF$157</f>
        <v/>
      </c>
      <c r="F155" s="65">
        <f>Calc!$FG$157</f>
        <v/>
      </c>
      <c r="G155" s="65">
        <f>Calc!$FH$157</f>
        <v/>
      </c>
      <c r="H155" s="65">
        <f>Calc!$FI$157</f>
        <v/>
      </c>
      <c r="I155" s="65">
        <f>Calc!$FJ$157</f>
        <v/>
      </c>
      <c r="J155" s="65">
        <f>Calc!$FK$157</f>
        <v/>
      </c>
      <c r="K155" s="65">
        <f>Calc!$FL$157</f>
        <v/>
      </c>
      <c r="L155" s="65">
        <f>Calc!$FM$157</f>
        <v/>
      </c>
      <c r="M155" s="66">
        <f>Calc!$FN$157</f>
        <v/>
      </c>
      <c r="N155" s="66">
        <f>Calc!$FO$157</f>
        <v/>
      </c>
      <c r="O155" s="65">
        <f>Calc!$FP$157</f>
        <v/>
      </c>
      <c r="P155" s="67">
        <f>Calc!$FQ$157</f>
        <v/>
      </c>
      <c r="Q155" s="68">
        <f>Calc!$FR$157</f>
        <v/>
      </c>
      <c r="R155" s="65">
        <f>Calc!$FS$157</f>
        <v/>
      </c>
      <c r="T155">
        <f>Calc!$EY$157</f>
        <v/>
      </c>
      <c r="U155">
        <f>Calc!$FT$157</f>
        <v/>
      </c>
      <c r="V155">
        <f>Calc!$FU$157</f>
        <v/>
      </c>
      <c r="W155">
        <f>Calc!$FC$157</f>
        <v/>
      </c>
      <c r="X155">
        <f>Calc!$EZ$157</f>
        <v/>
      </c>
      <c r="Y155">
        <f>Calc!$FA$157</f>
        <v/>
      </c>
      <c r="Z155">
        <f>Calc!$FV$157</f>
        <v/>
      </c>
      <c r="AA155">
        <f>IF($T155&lt;&gt;"row",0,IF($V155=1,IF($X155=1,IF($Y155=1,1,2),IF($Y155=1,3,4)),IF($X155=1,IF($Y155=1,5,6),IF($Y155=1,7,8))))</f>
        <v/>
      </c>
    </row>
    <row r="156" ht="11.25" customHeight="1">
      <c r="A156" s="64">
        <f>Calc!$FB$158</f>
        <v/>
      </c>
      <c r="B156" s="64">
        <f>Calc!$FC$158</f>
        <v/>
      </c>
      <c r="C156" s="65">
        <f>Calc!$FD$158</f>
        <v/>
      </c>
      <c r="D156" s="65">
        <f>Calc!$FE$158</f>
        <v/>
      </c>
      <c r="E156" s="65">
        <f>Calc!$FF$158</f>
        <v/>
      </c>
      <c r="F156" s="65">
        <f>Calc!$FG$158</f>
        <v/>
      </c>
      <c r="G156" s="65">
        <f>Calc!$FH$158</f>
        <v/>
      </c>
      <c r="H156" s="65">
        <f>Calc!$FI$158</f>
        <v/>
      </c>
      <c r="I156" s="65">
        <f>Calc!$FJ$158</f>
        <v/>
      </c>
      <c r="J156" s="65">
        <f>Calc!$FK$158</f>
        <v/>
      </c>
      <c r="K156" s="65">
        <f>Calc!$FL$158</f>
        <v/>
      </c>
      <c r="L156" s="65">
        <f>Calc!$FM$158</f>
        <v/>
      </c>
      <c r="M156" s="66">
        <f>Calc!$FN$158</f>
        <v/>
      </c>
      <c r="N156" s="66">
        <f>Calc!$FO$158</f>
        <v/>
      </c>
      <c r="O156" s="65">
        <f>Calc!$FP$158</f>
        <v/>
      </c>
      <c r="P156" s="67">
        <f>Calc!$FQ$158</f>
        <v/>
      </c>
      <c r="Q156" s="68">
        <f>Calc!$FR$158</f>
        <v/>
      </c>
      <c r="R156" s="65">
        <f>Calc!$FS$158</f>
        <v/>
      </c>
      <c r="T156">
        <f>Calc!$EY$158</f>
        <v/>
      </c>
      <c r="U156">
        <f>Calc!$FT$158</f>
        <v/>
      </c>
      <c r="V156">
        <f>Calc!$FU$158</f>
        <v/>
      </c>
      <c r="W156">
        <f>Calc!$FC$158</f>
        <v/>
      </c>
      <c r="X156">
        <f>Calc!$EZ$158</f>
        <v/>
      </c>
      <c r="Y156">
        <f>Calc!$FA$158</f>
        <v/>
      </c>
      <c r="Z156">
        <f>Calc!$FV$158</f>
        <v/>
      </c>
      <c r="AA156">
        <f>IF($T156&lt;&gt;"row",0,IF($V156=1,IF($X156=1,IF($Y156=1,1,2),IF($Y156=1,3,4)),IF($X156=1,IF($Y156=1,5,6),IF($Y156=1,7,8))))</f>
        <v/>
      </c>
    </row>
    <row r="157" ht="11.25" customHeight="1">
      <c r="A157" s="64">
        <f>Calc!$FB$159</f>
        <v/>
      </c>
      <c r="B157" s="64">
        <f>Calc!$FC$159</f>
        <v/>
      </c>
      <c r="C157" s="65">
        <f>Calc!$FD$159</f>
        <v/>
      </c>
      <c r="D157" s="65">
        <f>Calc!$FE$159</f>
        <v/>
      </c>
      <c r="E157" s="65">
        <f>Calc!$FF$159</f>
        <v/>
      </c>
      <c r="F157" s="65">
        <f>Calc!$FG$159</f>
        <v/>
      </c>
      <c r="G157" s="65">
        <f>Calc!$FH$159</f>
        <v/>
      </c>
      <c r="H157" s="65">
        <f>Calc!$FI$159</f>
        <v/>
      </c>
      <c r="I157" s="65">
        <f>Calc!$FJ$159</f>
        <v/>
      </c>
      <c r="J157" s="65">
        <f>Calc!$FK$159</f>
        <v/>
      </c>
      <c r="K157" s="65">
        <f>Calc!$FL$159</f>
        <v/>
      </c>
      <c r="L157" s="65">
        <f>Calc!$FM$159</f>
        <v/>
      </c>
      <c r="M157" s="66">
        <f>Calc!$FN$159</f>
        <v/>
      </c>
      <c r="N157" s="66">
        <f>Calc!$FO$159</f>
        <v/>
      </c>
      <c r="O157" s="65">
        <f>Calc!$FP$159</f>
        <v/>
      </c>
      <c r="P157" s="67">
        <f>Calc!$FQ$159</f>
        <v/>
      </c>
      <c r="Q157" s="68">
        <f>Calc!$FR$159</f>
        <v/>
      </c>
      <c r="R157" s="65">
        <f>Calc!$FS$159</f>
        <v/>
      </c>
      <c r="T157">
        <f>Calc!$EY$159</f>
        <v/>
      </c>
      <c r="U157">
        <f>Calc!$FT$159</f>
        <v/>
      </c>
      <c r="V157">
        <f>Calc!$FU$159</f>
        <v/>
      </c>
      <c r="W157">
        <f>Calc!$FC$159</f>
        <v/>
      </c>
      <c r="X157">
        <f>Calc!$EZ$159</f>
        <v/>
      </c>
      <c r="Y157">
        <f>Calc!$FA$159</f>
        <v/>
      </c>
      <c r="Z157">
        <f>Calc!$FV$159</f>
        <v/>
      </c>
      <c r="AA157">
        <f>IF($T157&lt;&gt;"row",0,IF($V157=1,IF($X157=1,IF($Y157=1,1,2),IF($Y157=1,3,4)),IF($X157=1,IF($Y157=1,5,6),IF($Y157=1,7,8))))</f>
        <v/>
      </c>
    </row>
    <row r="158" ht="11.25" customHeight="1">
      <c r="A158" s="64">
        <f>Calc!$FB$160</f>
        <v/>
      </c>
      <c r="B158" s="64">
        <f>Calc!$FC$160</f>
        <v/>
      </c>
      <c r="C158" s="65">
        <f>Calc!$FD$160</f>
        <v/>
      </c>
      <c r="D158" s="65">
        <f>Calc!$FE$160</f>
        <v/>
      </c>
      <c r="E158" s="65">
        <f>Calc!$FF$160</f>
        <v/>
      </c>
      <c r="F158" s="65">
        <f>Calc!$FG$160</f>
        <v/>
      </c>
      <c r="G158" s="65">
        <f>Calc!$FH$160</f>
        <v/>
      </c>
      <c r="H158" s="65">
        <f>Calc!$FI$160</f>
        <v/>
      </c>
      <c r="I158" s="65">
        <f>Calc!$FJ$160</f>
        <v/>
      </c>
      <c r="J158" s="65">
        <f>Calc!$FK$160</f>
        <v/>
      </c>
      <c r="K158" s="65">
        <f>Calc!$FL$160</f>
        <v/>
      </c>
      <c r="L158" s="65">
        <f>Calc!$FM$160</f>
        <v/>
      </c>
      <c r="M158" s="66">
        <f>Calc!$FN$160</f>
        <v/>
      </c>
      <c r="N158" s="66">
        <f>Calc!$FO$160</f>
        <v/>
      </c>
      <c r="O158" s="65">
        <f>Calc!$FP$160</f>
        <v/>
      </c>
      <c r="P158" s="67">
        <f>Calc!$FQ$160</f>
        <v/>
      </c>
      <c r="Q158" s="68">
        <f>Calc!$FR$160</f>
        <v/>
      </c>
      <c r="R158" s="65">
        <f>Calc!$FS$160</f>
        <v/>
      </c>
      <c r="T158">
        <f>Calc!$EY$160</f>
        <v/>
      </c>
      <c r="U158">
        <f>Calc!$FT$160</f>
        <v/>
      </c>
      <c r="V158">
        <f>Calc!$FU$160</f>
        <v/>
      </c>
      <c r="W158">
        <f>Calc!$FC$160</f>
        <v/>
      </c>
      <c r="X158">
        <f>Calc!$EZ$160</f>
        <v/>
      </c>
      <c r="Y158">
        <f>Calc!$FA$160</f>
        <v/>
      </c>
      <c r="Z158">
        <f>Calc!$FV$160</f>
        <v/>
      </c>
      <c r="AA158">
        <f>IF($T158&lt;&gt;"row",0,IF($V158=1,IF($X158=1,IF($Y158=1,1,2),IF($Y158=1,3,4)),IF($X158=1,IF($Y158=1,5,6),IF($Y158=1,7,8))))</f>
        <v/>
      </c>
    </row>
    <row r="159" ht="11.25" customHeight="1">
      <c r="A159" s="64">
        <f>Calc!$FB$161</f>
        <v/>
      </c>
      <c r="B159" s="64">
        <f>Calc!$FC$161</f>
        <v/>
      </c>
      <c r="C159" s="65">
        <f>Calc!$FD$161</f>
        <v/>
      </c>
      <c r="D159" s="65">
        <f>Calc!$FE$161</f>
        <v/>
      </c>
      <c r="E159" s="65">
        <f>Calc!$FF$161</f>
        <v/>
      </c>
      <c r="F159" s="65">
        <f>Calc!$FG$161</f>
        <v/>
      </c>
      <c r="G159" s="65">
        <f>Calc!$FH$161</f>
        <v/>
      </c>
      <c r="H159" s="65">
        <f>Calc!$FI$161</f>
        <v/>
      </c>
      <c r="I159" s="65">
        <f>Calc!$FJ$161</f>
        <v/>
      </c>
      <c r="J159" s="65">
        <f>Calc!$FK$161</f>
        <v/>
      </c>
      <c r="K159" s="65">
        <f>Calc!$FL$161</f>
        <v/>
      </c>
      <c r="L159" s="65">
        <f>Calc!$FM$161</f>
        <v/>
      </c>
      <c r="M159" s="66">
        <f>Calc!$FN$161</f>
        <v/>
      </c>
      <c r="N159" s="66">
        <f>Calc!$FO$161</f>
        <v/>
      </c>
      <c r="O159" s="65">
        <f>Calc!$FP$161</f>
        <v/>
      </c>
      <c r="P159" s="67">
        <f>Calc!$FQ$161</f>
        <v/>
      </c>
      <c r="Q159" s="68">
        <f>Calc!$FR$161</f>
        <v/>
      </c>
      <c r="R159" s="65">
        <f>Calc!$FS$161</f>
        <v/>
      </c>
      <c r="T159">
        <f>Calc!$EY$161</f>
        <v/>
      </c>
      <c r="U159">
        <f>Calc!$FT$161</f>
        <v/>
      </c>
      <c r="V159">
        <f>Calc!$FU$161</f>
        <v/>
      </c>
      <c r="W159">
        <f>Calc!$FC$161</f>
        <v/>
      </c>
      <c r="X159">
        <f>Calc!$EZ$161</f>
        <v/>
      </c>
      <c r="Y159">
        <f>Calc!$FA$161</f>
        <v/>
      </c>
      <c r="Z159">
        <f>Calc!$FV$161</f>
        <v/>
      </c>
      <c r="AA159">
        <f>IF($T159&lt;&gt;"row",0,IF($V159=1,IF($X159=1,IF($Y159=1,1,2),IF($Y159=1,3,4)),IF($X159=1,IF($Y159=1,5,6),IF($Y159=1,7,8))))</f>
        <v/>
      </c>
    </row>
    <row r="160" ht="11.25" customHeight="1">
      <c r="A160" s="64">
        <f>Calc!$FB$162</f>
        <v/>
      </c>
      <c r="B160" s="64">
        <f>Calc!$FC$162</f>
        <v/>
      </c>
      <c r="C160" s="65">
        <f>Calc!$FD$162</f>
        <v/>
      </c>
      <c r="D160" s="65">
        <f>Calc!$FE$162</f>
        <v/>
      </c>
      <c r="E160" s="65">
        <f>Calc!$FF$162</f>
        <v/>
      </c>
      <c r="F160" s="65">
        <f>Calc!$FG$162</f>
        <v/>
      </c>
      <c r="G160" s="65">
        <f>Calc!$FH$162</f>
        <v/>
      </c>
      <c r="H160" s="65">
        <f>Calc!$FI$162</f>
        <v/>
      </c>
      <c r="I160" s="65">
        <f>Calc!$FJ$162</f>
        <v/>
      </c>
      <c r="J160" s="65">
        <f>Calc!$FK$162</f>
        <v/>
      </c>
      <c r="K160" s="65">
        <f>Calc!$FL$162</f>
        <v/>
      </c>
      <c r="L160" s="65">
        <f>Calc!$FM$162</f>
        <v/>
      </c>
      <c r="M160" s="66">
        <f>Calc!$FN$162</f>
        <v/>
      </c>
      <c r="N160" s="66">
        <f>Calc!$FO$162</f>
        <v/>
      </c>
      <c r="O160" s="65">
        <f>Calc!$FP$162</f>
        <v/>
      </c>
      <c r="P160" s="67">
        <f>Calc!$FQ$162</f>
        <v/>
      </c>
      <c r="Q160" s="68">
        <f>Calc!$FR$162</f>
        <v/>
      </c>
      <c r="R160" s="65">
        <f>Calc!$FS$162</f>
        <v/>
      </c>
      <c r="T160">
        <f>Calc!$EY$162</f>
        <v/>
      </c>
      <c r="U160">
        <f>Calc!$FT$162</f>
        <v/>
      </c>
      <c r="V160">
        <f>Calc!$FU$162</f>
        <v/>
      </c>
      <c r="W160">
        <f>Calc!$FC$162</f>
        <v/>
      </c>
      <c r="X160">
        <f>Calc!$EZ$162</f>
        <v/>
      </c>
      <c r="Y160">
        <f>Calc!$FA$162</f>
        <v/>
      </c>
      <c r="Z160">
        <f>Calc!$FV$162</f>
        <v/>
      </c>
      <c r="AA160">
        <f>IF($T160&lt;&gt;"row",0,IF($V160=1,IF($X160=1,IF($Y160=1,1,2),IF($Y160=1,3,4)),IF($X160=1,IF($Y160=1,5,6),IF($Y160=1,7,8))))</f>
        <v/>
      </c>
    </row>
    <row r="161" ht="11.25" customHeight="1">
      <c r="A161" s="64">
        <f>Calc!$FB$163</f>
        <v/>
      </c>
      <c r="B161" s="64">
        <f>Calc!$FC$163</f>
        <v/>
      </c>
      <c r="C161" s="65">
        <f>Calc!$FD$163</f>
        <v/>
      </c>
      <c r="D161" s="65">
        <f>Calc!$FE$163</f>
        <v/>
      </c>
      <c r="E161" s="65">
        <f>Calc!$FF$163</f>
        <v/>
      </c>
      <c r="F161" s="65">
        <f>Calc!$FG$163</f>
        <v/>
      </c>
      <c r="G161" s="65">
        <f>Calc!$FH$163</f>
        <v/>
      </c>
      <c r="H161" s="65">
        <f>Calc!$FI$163</f>
        <v/>
      </c>
      <c r="I161" s="65">
        <f>Calc!$FJ$163</f>
        <v/>
      </c>
      <c r="J161" s="65">
        <f>Calc!$FK$163</f>
        <v/>
      </c>
      <c r="K161" s="65">
        <f>Calc!$FL$163</f>
        <v/>
      </c>
      <c r="L161" s="65">
        <f>Calc!$FM$163</f>
        <v/>
      </c>
      <c r="M161" s="66">
        <f>Calc!$FN$163</f>
        <v/>
      </c>
      <c r="N161" s="66">
        <f>Calc!$FO$163</f>
        <v/>
      </c>
      <c r="O161" s="65">
        <f>Calc!$FP$163</f>
        <v/>
      </c>
      <c r="P161" s="67">
        <f>Calc!$FQ$163</f>
        <v/>
      </c>
      <c r="Q161" s="68">
        <f>Calc!$FR$163</f>
        <v/>
      </c>
      <c r="R161" s="65">
        <f>Calc!$FS$163</f>
        <v/>
      </c>
      <c r="T161">
        <f>Calc!$EY$163</f>
        <v/>
      </c>
      <c r="U161">
        <f>Calc!$FT$163</f>
        <v/>
      </c>
      <c r="V161">
        <f>Calc!$FU$163</f>
        <v/>
      </c>
      <c r="W161">
        <f>Calc!$FC$163</f>
        <v/>
      </c>
      <c r="X161">
        <f>Calc!$EZ$163</f>
        <v/>
      </c>
      <c r="Y161">
        <f>Calc!$FA$163</f>
        <v/>
      </c>
      <c r="Z161">
        <f>Calc!$FV$163</f>
        <v/>
      </c>
      <c r="AA161">
        <f>IF($T161&lt;&gt;"row",0,IF($V161=1,IF($X161=1,IF($Y161=1,1,2),IF($Y161=1,3,4)),IF($X161=1,IF($Y161=1,5,6),IF($Y161=1,7,8))))</f>
        <v/>
      </c>
    </row>
    <row r="162" ht="11.25" customHeight="1">
      <c r="A162" s="64">
        <f>Calc!$FB$164</f>
        <v/>
      </c>
      <c r="B162" s="64">
        <f>Calc!$FC$164</f>
        <v/>
      </c>
      <c r="C162" s="65">
        <f>Calc!$FD$164</f>
        <v/>
      </c>
      <c r="D162" s="65">
        <f>Calc!$FE$164</f>
        <v/>
      </c>
      <c r="E162" s="65">
        <f>Calc!$FF$164</f>
        <v/>
      </c>
      <c r="F162" s="65">
        <f>Calc!$FG$164</f>
        <v/>
      </c>
      <c r="G162" s="65">
        <f>Calc!$FH$164</f>
        <v/>
      </c>
      <c r="H162" s="65">
        <f>Calc!$FI$164</f>
        <v/>
      </c>
      <c r="I162" s="65">
        <f>Calc!$FJ$164</f>
        <v/>
      </c>
      <c r="J162" s="65">
        <f>Calc!$FK$164</f>
        <v/>
      </c>
      <c r="K162" s="65">
        <f>Calc!$FL$164</f>
        <v/>
      </c>
      <c r="L162" s="65">
        <f>Calc!$FM$164</f>
        <v/>
      </c>
      <c r="M162" s="66">
        <f>Calc!$FN$164</f>
        <v/>
      </c>
      <c r="N162" s="66">
        <f>Calc!$FO$164</f>
        <v/>
      </c>
      <c r="O162" s="65">
        <f>Calc!$FP$164</f>
        <v/>
      </c>
      <c r="P162" s="67">
        <f>Calc!$FQ$164</f>
        <v/>
      </c>
      <c r="Q162" s="68">
        <f>Calc!$FR$164</f>
        <v/>
      </c>
      <c r="R162" s="65">
        <f>Calc!$FS$164</f>
        <v/>
      </c>
      <c r="T162">
        <f>Calc!$EY$164</f>
        <v/>
      </c>
      <c r="U162">
        <f>Calc!$FT$164</f>
        <v/>
      </c>
      <c r="V162">
        <f>Calc!$FU$164</f>
        <v/>
      </c>
      <c r="W162">
        <f>Calc!$FC$164</f>
        <v/>
      </c>
      <c r="X162">
        <f>Calc!$EZ$164</f>
        <v/>
      </c>
      <c r="Y162">
        <f>Calc!$FA$164</f>
        <v/>
      </c>
      <c r="Z162">
        <f>Calc!$FV$164</f>
        <v/>
      </c>
      <c r="AA162">
        <f>IF($T162&lt;&gt;"row",0,IF($V162=1,IF($X162=1,IF($Y162=1,1,2),IF($Y162=1,3,4)),IF($X162=1,IF($Y162=1,5,6),IF($Y162=1,7,8))))</f>
        <v/>
      </c>
    </row>
    <row r="163" ht="11.25" customHeight="1">
      <c r="A163" s="64">
        <f>Calc!$FB$165</f>
        <v/>
      </c>
      <c r="B163" s="64">
        <f>Calc!$FC$165</f>
        <v/>
      </c>
      <c r="C163" s="65">
        <f>Calc!$FD$165</f>
        <v/>
      </c>
      <c r="D163" s="65">
        <f>Calc!$FE$165</f>
        <v/>
      </c>
      <c r="E163" s="65">
        <f>Calc!$FF$165</f>
        <v/>
      </c>
      <c r="F163" s="65">
        <f>Calc!$FG$165</f>
        <v/>
      </c>
      <c r="G163" s="65">
        <f>Calc!$FH$165</f>
        <v/>
      </c>
      <c r="H163" s="65">
        <f>Calc!$FI$165</f>
        <v/>
      </c>
      <c r="I163" s="65">
        <f>Calc!$FJ$165</f>
        <v/>
      </c>
      <c r="J163" s="65">
        <f>Calc!$FK$165</f>
        <v/>
      </c>
      <c r="K163" s="65">
        <f>Calc!$FL$165</f>
        <v/>
      </c>
      <c r="L163" s="65">
        <f>Calc!$FM$165</f>
        <v/>
      </c>
      <c r="M163" s="66">
        <f>Calc!$FN$165</f>
        <v/>
      </c>
      <c r="N163" s="66">
        <f>Calc!$FO$165</f>
        <v/>
      </c>
      <c r="O163" s="65">
        <f>Calc!$FP$165</f>
        <v/>
      </c>
      <c r="P163" s="67">
        <f>Calc!$FQ$165</f>
        <v/>
      </c>
      <c r="Q163" s="68">
        <f>Calc!$FR$165</f>
        <v/>
      </c>
      <c r="R163" s="65">
        <f>Calc!$FS$165</f>
        <v/>
      </c>
      <c r="T163">
        <f>Calc!$EY$165</f>
        <v/>
      </c>
      <c r="U163">
        <f>Calc!$FT$165</f>
        <v/>
      </c>
      <c r="V163">
        <f>Calc!$FU$165</f>
        <v/>
      </c>
      <c r="W163">
        <f>Calc!$FC$165</f>
        <v/>
      </c>
      <c r="X163">
        <f>Calc!$EZ$165</f>
        <v/>
      </c>
      <c r="Y163">
        <f>Calc!$FA$165</f>
        <v/>
      </c>
      <c r="Z163">
        <f>Calc!$FV$165</f>
        <v/>
      </c>
      <c r="AA163">
        <f>IF($T163&lt;&gt;"row",0,IF($V163=1,IF($X163=1,IF($Y163=1,1,2),IF($Y163=1,3,4)),IF($X163=1,IF($Y163=1,5,6),IF($Y163=1,7,8))))</f>
        <v/>
      </c>
    </row>
    <row r="164" ht="11.25" customHeight="1">
      <c r="A164" s="64">
        <f>Calc!$FB$166</f>
        <v/>
      </c>
      <c r="B164" s="64">
        <f>Calc!$FC$166</f>
        <v/>
      </c>
      <c r="C164" s="65">
        <f>Calc!$FD$166</f>
        <v/>
      </c>
      <c r="D164" s="65">
        <f>Calc!$FE$166</f>
        <v/>
      </c>
      <c r="E164" s="65">
        <f>Calc!$FF$166</f>
        <v/>
      </c>
      <c r="F164" s="65">
        <f>Calc!$FG$166</f>
        <v/>
      </c>
      <c r="G164" s="65">
        <f>Calc!$FH$166</f>
        <v/>
      </c>
      <c r="H164" s="65">
        <f>Calc!$FI$166</f>
        <v/>
      </c>
      <c r="I164" s="65">
        <f>Calc!$FJ$166</f>
        <v/>
      </c>
      <c r="J164" s="65">
        <f>Calc!$FK$166</f>
        <v/>
      </c>
      <c r="K164" s="65">
        <f>Calc!$FL$166</f>
        <v/>
      </c>
      <c r="L164" s="65">
        <f>Calc!$FM$166</f>
        <v/>
      </c>
      <c r="M164" s="66">
        <f>Calc!$FN$166</f>
        <v/>
      </c>
      <c r="N164" s="66">
        <f>Calc!$FO$166</f>
        <v/>
      </c>
      <c r="O164" s="65">
        <f>Calc!$FP$166</f>
        <v/>
      </c>
      <c r="P164" s="67">
        <f>Calc!$FQ$166</f>
        <v/>
      </c>
      <c r="Q164" s="68">
        <f>Calc!$FR$166</f>
        <v/>
      </c>
      <c r="R164" s="65">
        <f>Calc!$FS$166</f>
        <v/>
      </c>
      <c r="T164">
        <f>Calc!$EY$166</f>
        <v/>
      </c>
      <c r="U164">
        <f>Calc!$FT$166</f>
        <v/>
      </c>
      <c r="V164">
        <f>Calc!$FU$166</f>
        <v/>
      </c>
      <c r="W164">
        <f>Calc!$FC$166</f>
        <v/>
      </c>
      <c r="X164">
        <f>Calc!$EZ$166</f>
        <v/>
      </c>
      <c r="Y164">
        <f>Calc!$FA$166</f>
        <v/>
      </c>
      <c r="Z164">
        <f>Calc!$FV$166</f>
        <v/>
      </c>
      <c r="AA164">
        <f>IF($T164&lt;&gt;"row",0,IF($V164=1,IF($X164=1,IF($Y164=1,1,2),IF($Y164=1,3,4)),IF($X164=1,IF($Y164=1,5,6),IF($Y164=1,7,8))))</f>
        <v/>
      </c>
    </row>
    <row r="165" ht="11.25" customHeight="1">
      <c r="A165" s="64">
        <f>Calc!$FB$167</f>
        <v/>
      </c>
      <c r="B165" s="64">
        <f>Calc!$FC$167</f>
        <v/>
      </c>
      <c r="C165" s="65">
        <f>Calc!$FD$167</f>
        <v/>
      </c>
      <c r="D165" s="65">
        <f>Calc!$FE$167</f>
        <v/>
      </c>
      <c r="E165" s="65">
        <f>Calc!$FF$167</f>
        <v/>
      </c>
      <c r="F165" s="65">
        <f>Calc!$FG$167</f>
        <v/>
      </c>
      <c r="G165" s="65">
        <f>Calc!$FH$167</f>
        <v/>
      </c>
      <c r="H165" s="65">
        <f>Calc!$FI$167</f>
        <v/>
      </c>
      <c r="I165" s="65">
        <f>Calc!$FJ$167</f>
        <v/>
      </c>
      <c r="J165" s="65">
        <f>Calc!$FK$167</f>
        <v/>
      </c>
      <c r="K165" s="65">
        <f>Calc!$FL$167</f>
        <v/>
      </c>
      <c r="L165" s="65">
        <f>Calc!$FM$167</f>
        <v/>
      </c>
      <c r="M165" s="66">
        <f>Calc!$FN$167</f>
        <v/>
      </c>
      <c r="N165" s="66">
        <f>Calc!$FO$167</f>
        <v/>
      </c>
      <c r="O165" s="65">
        <f>Calc!$FP$167</f>
        <v/>
      </c>
      <c r="P165" s="67">
        <f>Calc!$FQ$167</f>
        <v/>
      </c>
      <c r="Q165" s="68">
        <f>Calc!$FR$167</f>
        <v/>
      </c>
      <c r="R165" s="65">
        <f>Calc!$FS$167</f>
        <v/>
      </c>
      <c r="T165">
        <f>Calc!$EY$167</f>
        <v/>
      </c>
      <c r="U165">
        <f>Calc!$FT$167</f>
        <v/>
      </c>
      <c r="V165">
        <f>Calc!$FU$167</f>
        <v/>
      </c>
      <c r="W165">
        <f>Calc!$FC$167</f>
        <v/>
      </c>
      <c r="X165">
        <f>Calc!$EZ$167</f>
        <v/>
      </c>
      <c r="Y165">
        <f>Calc!$FA$167</f>
        <v/>
      </c>
      <c r="Z165">
        <f>Calc!$FV$167</f>
        <v/>
      </c>
      <c r="AA165">
        <f>IF($T165&lt;&gt;"row",0,IF($V165=1,IF($X165=1,IF($Y165=1,1,2),IF($Y165=1,3,4)),IF($X165=1,IF($Y165=1,5,6),IF($Y165=1,7,8))))</f>
        <v/>
      </c>
    </row>
    <row r="166" ht="11.25" customHeight="1">
      <c r="A166" s="64">
        <f>Calc!$FB$168</f>
        <v/>
      </c>
      <c r="B166" s="64">
        <f>Calc!$FC$168</f>
        <v/>
      </c>
      <c r="C166" s="65">
        <f>Calc!$FD$168</f>
        <v/>
      </c>
      <c r="D166" s="65">
        <f>Calc!$FE$168</f>
        <v/>
      </c>
      <c r="E166" s="65">
        <f>Calc!$FF$168</f>
        <v/>
      </c>
      <c r="F166" s="65">
        <f>Calc!$FG$168</f>
        <v/>
      </c>
      <c r="G166" s="65">
        <f>Calc!$FH$168</f>
        <v/>
      </c>
      <c r="H166" s="65">
        <f>Calc!$FI$168</f>
        <v/>
      </c>
      <c r="I166" s="65">
        <f>Calc!$FJ$168</f>
        <v/>
      </c>
      <c r="J166" s="65">
        <f>Calc!$FK$168</f>
        <v/>
      </c>
      <c r="K166" s="65">
        <f>Calc!$FL$168</f>
        <v/>
      </c>
      <c r="L166" s="65">
        <f>Calc!$FM$168</f>
        <v/>
      </c>
      <c r="M166" s="66">
        <f>Calc!$FN$168</f>
        <v/>
      </c>
      <c r="N166" s="66">
        <f>Calc!$FO$168</f>
        <v/>
      </c>
      <c r="O166" s="65">
        <f>Calc!$FP$168</f>
        <v/>
      </c>
      <c r="P166" s="67">
        <f>Calc!$FQ$168</f>
        <v/>
      </c>
      <c r="Q166" s="68">
        <f>Calc!$FR$168</f>
        <v/>
      </c>
      <c r="R166" s="65">
        <f>Calc!$FS$168</f>
        <v/>
      </c>
      <c r="T166">
        <f>Calc!$EY$168</f>
        <v/>
      </c>
      <c r="U166">
        <f>Calc!$FT$168</f>
        <v/>
      </c>
      <c r="V166">
        <f>Calc!$FU$168</f>
        <v/>
      </c>
      <c r="W166">
        <f>Calc!$FC$168</f>
        <v/>
      </c>
      <c r="X166">
        <f>Calc!$EZ$168</f>
        <v/>
      </c>
      <c r="Y166">
        <f>Calc!$FA$168</f>
        <v/>
      </c>
      <c r="Z166">
        <f>Calc!$FV$168</f>
        <v/>
      </c>
      <c r="AA166">
        <f>IF($T166&lt;&gt;"row",0,IF($V166=1,IF($X166=1,IF($Y166=1,1,2),IF($Y166=1,3,4)),IF($X166=1,IF($Y166=1,5,6),IF($Y166=1,7,8))))</f>
        <v/>
      </c>
    </row>
    <row r="167" ht="11.25" customHeight="1">
      <c r="A167" s="64">
        <f>Calc!$FB$169</f>
        <v/>
      </c>
      <c r="B167" s="64">
        <f>Calc!$FC$169</f>
        <v/>
      </c>
      <c r="C167" s="65">
        <f>Calc!$FD$169</f>
        <v/>
      </c>
      <c r="D167" s="65">
        <f>Calc!$FE$169</f>
        <v/>
      </c>
      <c r="E167" s="65">
        <f>Calc!$FF$169</f>
        <v/>
      </c>
      <c r="F167" s="65">
        <f>Calc!$FG$169</f>
        <v/>
      </c>
      <c r="G167" s="65">
        <f>Calc!$FH$169</f>
        <v/>
      </c>
      <c r="H167" s="65">
        <f>Calc!$FI$169</f>
        <v/>
      </c>
      <c r="I167" s="65">
        <f>Calc!$FJ$169</f>
        <v/>
      </c>
      <c r="J167" s="65">
        <f>Calc!$FK$169</f>
        <v/>
      </c>
      <c r="K167" s="65">
        <f>Calc!$FL$169</f>
        <v/>
      </c>
      <c r="L167" s="65">
        <f>Calc!$FM$169</f>
        <v/>
      </c>
      <c r="M167" s="66">
        <f>Calc!$FN$169</f>
        <v/>
      </c>
      <c r="N167" s="66">
        <f>Calc!$FO$169</f>
        <v/>
      </c>
      <c r="O167" s="65">
        <f>Calc!$FP$169</f>
        <v/>
      </c>
      <c r="P167" s="67">
        <f>Calc!$FQ$169</f>
        <v/>
      </c>
      <c r="Q167" s="68">
        <f>Calc!$FR$169</f>
        <v/>
      </c>
      <c r="R167" s="65">
        <f>Calc!$FS$169</f>
        <v/>
      </c>
      <c r="T167">
        <f>Calc!$EY$169</f>
        <v/>
      </c>
      <c r="U167">
        <f>Calc!$FT$169</f>
        <v/>
      </c>
      <c r="V167">
        <f>Calc!$FU$169</f>
        <v/>
      </c>
      <c r="W167">
        <f>Calc!$FC$169</f>
        <v/>
      </c>
      <c r="X167">
        <f>Calc!$EZ$169</f>
        <v/>
      </c>
      <c r="Y167">
        <f>Calc!$FA$169</f>
        <v/>
      </c>
      <c r="Z167">
        <f>Calc!$FV$169</f>
        <v/>
      </c>
      <c r="AA167">
        <f>IF($T167&lt;&gt;"row",0,IF($V167=1,IF($X167=1,IF($Y167=1,1,2),IF($Y167=1,3,4)),IF($X167=1,IF($Y167=1,5,6),IF($Y167=1,7,8))))</f>
        <v/>
      </c>
    </row>
    <row r="168" ht="11.25" customHeight="1">
      <c r="A168" s="64">
        <f>Calc!$FB$170</f>
        <v/>
      </c>
      <c r="B168" s="64">
        <f>Calc!$FC$170</f>
        <v/>
      </c>
      <c r="C168" s="65">
        <f>Calc!$FD$170</f>
        <v/>
      </c>
      <c r="D168" s="65">
        <f>Calc!$FE$170</f>
        <v/>
      </c>
      <c r="E168" s="65">
        <f>Calc!$FF$170</f>
        <v/>
      </c>
      <c r="F168" s="65">
        <f>Calc!$FG$170</f>
        <v/>
      </c>
      <c r="G168" s="65">
        <f>Calc!$FH$170</f>
        <v/>
      </c>
      <c r="H168" s="65">
        <f>Calc!$FI$170</f>
        <v/>
      </c>
      <c r="I168" s="65">
        <f>Calc!$FJ$170</f>
        <v/>
      </c>
      <c r="J168" s="65">
        <f>Calc!$FK$170</f>
        <v/>
      </c>
      <c r="K168" s="65">
        <f>Calc!$FL$170</f>
        <v/>
      </c>
      <c r="L168" s="65">
        <f>Calc!$FM$170</f>
        <v/>
      </c>
      <c r="M168" s="66">
        <f>Calc!$FN$170</f>
        <v/>
      </c>
      <c r="N168" s="66">
        <f>Calc!$FO$170</f>
        <v/>
      </c>
      <c r="O168" s="65">
        <f>Calc!$FP$170</f>
        <v/>
      </c>
      <c r="P168" s="67">
        <f>Calc!$FQ$170</f>
        <v/>
      </c>
      <c r="Q168" s="68">
        <f>Calc!$FR$170</f>
        <v/>
      </c>
      <c r="R168" s="65">
        <f>Calc!$FS$170</f>
        <v/>
      </c>
      <c r="T168">
        <f>Calc!$EY$170</f>
        <v/>
      </c>
      <c r="U168">
        <f>Calc!$FT$170</f>
        <v/>
      </c>
      <c r="V168">
        <f>Calc!$FU$170</f>
        <v/>
      </c>
      <c r="W168">
        <f>Calc!$FC$170</f>
        <v/>
      </c>
      <c r="X168">
        <f>Calc!$EZ$170</f>
        <v/>
      </c>
      <c r="Y168">
        <f>Calc!$FA$170</f>
        <v/>
      </c>
      <c r="Z168">
        <f>Calc!$FV$170</f>
        <v/>
      </c>
      <c r="AA168">
        <f>IF($T168&lt;&gt;"row",0,IF($V168=1,IF($X168=1,IF($Y168=1,1,2),IF($Y168=1,3,4)),IF($X168=1,IF($Y168=1,5,6),IF($Y168=1,7,8))))</f>
        <v/>
      </c>
    </row>
    <row r="169" ht="11.25" customHeight="1">
      <c r="A169" s="64">
        <f>Calc!$FB$171</f>
        <v/>
      </c>
      <c r="B169" s="64">
        <f>Calc!$FC$171</f>
        <v/>
      </c>
      <c r="C169" s="65">
        <f>Calc!$FD$171</f>
        <v/>
      </c>
      <c r="D169" s="65">
        <f>Calc!$FE$171</f>
        <v/>
      </c>
      <c r="E169" s="65">
        <f>Calc!$FF$171</f>
        <v/>
      </c>
      <c r="F169" s="65">
        <f>Calc!$FG$171</f>
        <v/>
      </c>
      <c r="G169" s="65">
        <f>Calc!$FH$171</f>
        <v/>
      </c>
      <c r="H169" s="65">
        <f>Calc!$FI$171</f>
        <v/>
      </c>
      <c r="I169" s="65">
        <f>Calc!$FJ$171</f>
        <v/>
      </c>
      <c r="J169" s="65">
        <f>Calc!$FK$171</f>
        <v/>
      </c>
      <c r="K169" s="65">
        <f>Calc!$FL$171</f>
        <v/>
      </c>
      <c r="L169" s="65">
        <f>Calc!$FM$171</f>
        <v/>
      </c>
      <c r="M169" s="66">
        <f>Calc!$FN$171</f>
        <v/>
      </c>
      <c r="N169" s="66">
        <f>Calc!$FO$171</f>
        <v/>
      </c>
      <c r="O169" s="65">
        <f>Calc!$FP$171</f>
        <v/>
      </c>
      <c r="P169" s="67">
        <f>Calc!$FQ$171</f>
        <v/>
      </c>
      <c r="Q169" s="68">
        <f>Calc!$FR$171</f>
        <v/>
      </c>
      <c r="R169" s="65">
        <f>Calc!$FS$171</f>
        <v/>
      </c>
      <c r="T169">
        <f>Calc!$EY$171</f>
        <v/>
      </c>
      <c r="U169">
        <f>Calc!$FT$171</f>
        <v/>
      </c>
      <c r="V169">
        <f>Calc!$FU$171</f>
        <v/>
      </c>
      <c r="W169">
        <f>Calc!$FC$171</f>
        <v/>
      </c>
      <c r="X169">
        <f>Calc!$EZ$171</f>
        <v/>
      </c>
      <c r="Y169">
        <f>Calc!$FA$171</f>
        <v/>
      </c>
      <c r="Z169">
        <f>Calc!$FV$171</f>
        <v/>
      </c>
      <c r="AA169">
        <f>IF($T169&lt;&gt;"row",0,IF($V169=1,IF($X169=1,IF($Y169=1,1,2),IF($Y169=1,3,4)),IF($X169=1,IF($Y169=1,5,6),IF($Y169=1,7,8))))</f>
        <v/>
      </c>
    </row>
    <row r="170" ht="11.25" customHeight="1">
      <c r="A170" s="64">
        <f>Calc!$FB$172</f>
        <v/>
      </c>
      <c r="B170" s="64">
        <f>Calc!$FC$172</f>
        <v/>
      </c>
      <c r="C170" s="65">
        <f>Calc!$FD$172</f>
        <v/>
      </c>
      <c r="D170" s="65">
        <f>Calc!$FE$172</f>
        <v/>
      </c>
      <c r="E170" s="65">
        <f>Calc!$FF$172</f>
        <v/>
      </c>
      <c r="F170" s="65">
        <f>Calc!$FG$172</f>
        <v/>
      </c>
      <c r="G170" s="65">
        <f>Calc!$FH$172</f>
        <v/>
      </c>
      <c r="H170" s="65">
        <f>Calc!$FI$172</f>
        <v/>
      </c>
      <c r="I170" s="65">
        <f>Calc!$FJ$172</f>
        <v/>
      </c>
      <c r="J170" s="65">
        <f>Calc!$FK$172</f>
        <v/>
      </c>
      <c r="K170" s="65">
        <f>Calc!$FL$172</f>
        <v/>
      </c>
      <c r="L170" s="65">
        <f>Calc!$FM$172</f>
        <v/>
      </c>
      <c r="M170" s="66">
        <f>Calc!$FN$172</f>
        <v/>
      </c>
      <c r="N170" s="66">
        <f>Calc!$FO$172</f>
        <v/>
      </c>
      <c r="O170" s="65">
        <f>Calc!$FP$172</f>
        <v/>
      </c>
      <c r="P170" s="67">
        <f>Calc!$FQ$172</f>
        <v/>
      </c>
      <c r="Q170" s="68">
        <f>Calc!$FR$172</f>
        <v/>
      </c>
      <c r="R170" s="65">
        <f>Calc!$FS$172</f>
        <v/>
      </c>
      <c r="T170">
        <f>Calc!$EY$172</f>
        <v/>
      </c>
      <c r="U170">
        <f>Calc!$FT$172</f>
        <v/>
      </c>
      <c r="V170">
        <f>Calc!$FU$172</f>
        <v/>
      </c>
      <c r="W170">
        <f>Calc!$FC$172</f>
        <v/>
      </c>
      <c r="X170">
        <f>Calc!$EZ$172</f>
        <v/>
      </c>
      <c r="Y170">
        <f>Calc!$FA$172</f>
        <v/>
      </c>
      <c r="Z170">
        <f>Calc!$FV$172</f>
        <v/>
      </c>
      <c r="AA170">
        <f>IF($T170&lt;&gt;"row",0,IF($V170=1,IF($X170=1,IF($Y170=1,1,2),IF($Y170=1,3,4)),IF($X170=1,IF($Y170=1,5,6),IF($Y170=1,7,8))))</f>
        <v/>
      </c>
    </row>
    <row r="171" ht="11.25" customHeight="1">
      <c r="A171" s="64">
        <f>Calc!$FB$173</f>
        <v/>
      </c>
      <c r="B171" s="64">
        <f>Calc!$FC$173</f>
        <v/>
      </c>
      <c r="C171" s="65">
        <f>Calc!$FD$173</f>
        <v/>
      </c>
      <c r="D171" s="65">
        <f>Calc!$FE$173</f>
        <v/>
      </c>
      <c r="E171" s="65">
        <f>Calc!$FF$173</f>
        <v/>
      </c>
      <c r="F171" s="65">
        <f>Calc!$FG$173</f>
        <v/>
      </c>
      <c r="G171" s="65">
        <f>Calc!$FH$173</f>
        <v/>
      </c>
      <c r="H171" s="65">
        <f>Calc!$FI$173</f>
        <v/>
      </c>
      <c r="I171" s="65">
        <f>Calc!$FJ$173</f>
        <v/>
      </c>
      <c r="J171" s="65">
        <f>Calc!$FK$173</f>
        <v/>
      </c>
      <c r="K171" s="65">
        <f>Calc!$FL$173</f>
        <v/>
      </c>
      <c r="L171" s="65">
        <f>Calc!$FM$173</f>
        <v/>
      </c>
      <c r="M171" s="66">
        <f>Calc!$FN$173</f>
        <v/>
      </c>
      <c r="N171" s="66">
        <f>Calc!$FO$173</f>
        <v/>
      </c>
      <c r="O171" s="65">
        <f>Calc!$FP$173</f>
        <v/>
      </c>
      <c r="P171" s="67">
        <f>Calc!$FQ$173</f>
        <v/>
      </c>
      <c r="Q171" s="68">
        <f>Calc!$FR$173</f>
        <v/>
      </c>
      <c r="R171" s="65">
        <f>Calc!$FS$173</f>
        <v/>
      </c>
      <c r="T171">
        <f>Calc!$EY$173</f>
        <v/>
      </c>
      <c r="U171">
        <f>Calc!$FT$173</f>
        <v/>
      </c>
      <c r="V171">
        <f>Calc!$FU$173</f>
        <v/>
      </c>
      <c r="W171">
        <f>Calc!$FC$173</f>
        <v/>
      </c>
      <c r="X171">
        <f>Calc!$EZ$173</f>
        <v/>
      </c>
      <c r="Y171">
        <f>Calc!$FA$173</f>
        <v/>
      </c>
      <c r="Z171">
        <f>Calc!$FV$173</f>
        <v/>
      </c>
      <c r="AA171">
        <f>IF($T171&lt;&gt;"row",0,IF($V171=1,IF($X171=1,IF($Y171=1,1,2),IF($Y171=1,3,4)),IF($X171=1,IF($Y171=1,5,6),IF($Y171=1,7,8))))</f>
        <v/>
      </c>
    </row>
    <row r="172" ht="11.25" customHeight="1">
      <c r="A172" s="64">
        <f>Calc!$FB$174</f>
        <v/>
      </c>
      <c r="B172" s="64">
        <f>Calc!$FC$174</f>
        <v/>
      </c>
      <c r="C172" s="65">
        <f>Calc!$FD$174</f>
        <v/>
      </c>
      <c r="D172" s="65">
        <f>Calc!$FE$174</f>
        <v/>
      </c>
      <c r="E172" s="65">
        <f>Calc!$FF$174</f>
        <v/>
      </c>
      <c r="F172" s="65">
        <f>Calc!$FG$174</f>
        <v/>
      </c>
      <c r="G172" s="65">
        <f>Calc!$FH$174</f>
        <v/>
      </c>
      <c r="H172" s="65">
        <f>Calc!$FI$174</f>
        <v/>
      </c>
      <c r="I172" s="65">
        <f>Calc!$FJ$174</f>
        <v/>
      </c>
      <c r="J172" s="65">
        <f>Calc!$FK$174</f>
        <v/>
      </c>
      <c r="K172" s="65">
        <f>Calc!$FL$174</f>
        <v/>
      </c>
      <c r="L172" s="65">
        <f>Calc!$FM$174</f>
        <v/>
      </c>
      <c r="M172" s="66">
        <f>Calc!$FN$174</f>
        <v/>
      </c>
      <c r="N172" s="66">
        <f>Calc!$FO$174</f>
        <v/>
      </c>
      <c r="O172" s="65">
        <f>Calc!$FP$174</f>
        <v/>
      </c>
      <c r="P172" s="67">
        <f>Calc!$FQ$174</f>
        <v/>
      </c>
      <c r="Q172" s="68">
        <f>Calc!$FR$174</f>
        <v/>
      </c>
      <c r="R172" s="65">
        <f>Calc!$FS$174</f>
        <v/>
      </c>
      <c r="T172">
        <f>Calc!$EY$174</f>
        <v/>
      </c>
      <c r="U172">
        <f>Calc!$FT$174</f>
        <v/>
      </c>
      <c r="V172">
        <f>Calc!$FU$174</f>
        <v/>
      </c>
      <c r="W172">
        <f>Calc!$FC$174</f>
        <v/>
      </c>
      <c r="X172">
        <f>Calc!$EZ$174</f>
        <v/>
      </c>
      <c r="Y172">
        <f>Calc!$FA$174</f>
        <v/>
      </c>
      <c r="Z172">
        <f>Calc!$FV$174</f>
        <v/>
      </c>
      <c r="AA172">
        <f>IF($T172&lt;&gt;"row",0,IF($V172=1,IF($X172=1,IF($Y172=1,1,2),IF($Y172=1,3,4)),IF($X172=1,IF($Y172=1,5,6),IF($Y172=1,7,8))))</f>
        <v/>
      </c>
    </row>
    <row r="173" ht="11.25" customHeight="1">
      <c r="A173" s="64">
        <f>Calc!$FB$175</f>
        <v/>
      </c>
      <c r="B173" s="64">
        <f>Calc!$FC$175</f>
        <v/>
      </c>
      <c r="C173" s="65">
        <f>Calc!$FD$175</f>
        <v/>
      </c>
      <c r="D173" s="65">
        <f>Calc!$FE$175</f>
        <v/>
      </c>
      <c r="E173" s="65">
        <f>Calc!$FF$175</f>
        <v/>
      </c>
      <c r="F173" s="65">
        <f>Calc!$FG$175</f>
        <v/>
      </c>
      <c r="G173" s="65">
        <f>Calc!$FH$175</f>
        <v/>
      </c>
      <c r="H173" s="65">
        <f>Calc!$FI$175</f>
        <v/>
      </c>
      <c r="I173" s="65">
        <f>Calc!$FJ$175</f>
        <v/>
      </c>
      <c r="J173" s="65">
        <f>Calc!$FK$175</f>
        <v/>
      </c>
      <c r="K173" s="65">
        <f>Calc!$FL$175</f>
        <v/>
      </c>
      <c r="L173" s="65">
        <f>Calc!$FM$175</f>
        <v/>
      </c>
      <c r="M173" s="66">
        <f>Calc!$FN$175</f>
        <v/>
      </c>
      <c r="N173" s="66">
        <f>Calc!$FO$175</f>
        <v/>
      </c>
      <c r="O173" s="65">
        <f>Calc!$FP$175</f>
        <v/>
      </c>
      <c r="P173" s="67">
        <f>Calc!$FQ$175</f>
        <v/>
      </c>
      <c r="Q173" s="68">
        <f>Calc!$FR$175</f>
        <v/>
      </c>
      <c r="R173" s="65">
        <f>Calc!$FS$175</f>
        <v/>
      </c>
      <c r="T173">
        <f>Calc!$EY$175</f>
        <v/>
      </c>
      <c r="U173">
        <f>Calc!$FT$175</f>
        <v/>
      </c>
      <c r="V173">
        <f>Calc!$FU$175</f>
        <v/>
      </c>
      <c r="W173">
        <f>Calc!$FC$175</f>
        <v/>
      </c>
      <c r="X173">
        <f>Calc!$EZ$175</f>
        <v/>
      </c>
      <c r="Y173">
        <f>Calc!$FA$175</f>
        <v/>
      </c>
      <c r="Z173">
        <f>Calc!$FV$175</f>
        <v/>
      </c>
      <c r="AA173">
        <f>IF($T173&lt;&gt;"row",0,IF($V173=1,IF($X173=1,IF($Y173=1,1,2),IF($Y173=1,3,4)),IF($X173=1,IF($Y173=1,5,6),IF($Y173=1,7,8))))</f>
        <v/>
      </c>
    </row>
    <row r="174" ht="11.25" customHeight="1">
      <c r="A174" s="64">
        <f>Calc!$FB$176</f>
        <v/>
      </c>
      <c r="B174" s="64">
        <f>Calc!$FC$176</f>
        <v/>
      </c>
      <c r="C174" s="65">
        <f>Calc!$FD$176</f>
        <v/>
      </c>
      <c r="D174" s="65">
        <f>Calc!$FE$176</f>
        <v/>
      </c>
      <c r="E174" s="65">
        <f>Calc!$FF$176</f>
        <v/>
      </c>
      <c r="F174" s="65">
        <f>Calc!$FG$176</f>
        <v/>
      </c>
      <c r="G174" s="65">
        <f>Calc!$FH$176</f>
        <v/>
      </c>
      <c r="H174" s="65">
        <f>Calc!$FI$176</f>
        <v/>
      </c>
      <c r="I174" s="65">
        <f>Calc!$FJ$176</f>
        <v/>
      </c>
      <c r="J174" s="65">
        <f>Calc!$FK$176</f>
        <v/>
      </c>
      <c r="K174" s="65">
        <f>Calc!$FL$176</f>
        <v/>
      </c>
      <c r="L174" s="65">
        <f>Calc!$FM$176</f>
        <v/>
      </c>
      <c r="M174" s="66">
        <f>Calc!$FN$176</f>
        <v/>
      </c>
      <c r="N174" s="66">
        <f>Calc!$FO$176</f>
        <v/>
      </c>
      <c r="O174" s="65">
        <f>Calc!$FP$176</f>
        <v/>
      </c>
      <c r="P174" s="67">
        <f>Calc!$FQ$176</f>
        <v/>
      </c>
      <c r="Q174" s="68">
        <f>Calc!$FR$176</f>
        <v/>
      </c>
      <c r="R174" s="65">
        <f>Calc!$FS$176</f>
        <v/>
      </c>
      <c r="T174">
        <f>Calc!$EY$176</f>
        <v/>
      </c>
      <c r="U174">
        <f>Calc!$FT$176</f>
        <v/>
      </c>
      <c r="V174">
        <f>Calc!$FU$176</f>
        <v/>
      </c>
      <c r="W174">
        <f>Calc!$FC$176</f>
        <v/>
      </c>
      <c r="X174">
        <f>Calc!$EZ$176</f>
        <v/>
      </c>
      <c r="Y174">
        <f>Calc!$FA$176</f>
        <v/>
      </c>
      <c r="Z174">
        <f>Calc!$FV$176</f>
        <v/>
      </c>
      <c r="AA174">
        <f>IF($T174&lt;&gt;"row",0,IF($V174=1,IF($X174=1,IF($Y174=1,1,2),IF($Y174=1,3,4)),IF($X174=1,IF($Y174=1,5,6),IF($Y174=1,7,8))))</f>
        <v/>
      </c>
    </row>
    <row r="175" ht="11.25" customHeight="1">
      <c r="A175" s="64">
        <f>Calc!$FB$177</f>
        <v/>
      </c>
      <c r="B175" s="64">
        <f>Calc!$FC$177</f>
        <v/>
      </c>
      <c r="C175" s="65">
        <f>Calc!$FD$177</f>
        <v/>
      </c>
      <c r="D175" s="65">
        <f>Calc!$FE$177</f>
        <v/>
      </c>
      <c r="E175" s="65">
        <f>Calc!$FF$177</f>
        <v/>
      </c>
      <c r="F175" s="65">
        <f>Calc!$FG$177</f>
        <v/>
      </c>
      <c r="G175" s="65">
        <f>Calc!$FH$177</f>
        <v/>
      </c>
      <c r="H175" s="65">
        <f>Calc!$FI$177</f>
        <v/>
      </c>
      <c r="I175" s="65">
        <f>Calc!$FJ$177</f>
        <v/>
      </c>
      <c r="J175" s="65">
        <f>Calc!$FK$177</f>
        <v/>
      </c>
      <c r="K175" s="65">
        <f>Calc!$FL$177</f>
        <v/>
      </c>
      <c r="L175" s="65">
        <f>Calc!$FM$177</f>
        <v/>
      </c>
      <c r="M175" s="66">
        <f>Calc!$FN$177</f>
        <v/>
      </c>
      <c r="N175" s="66">
        <f>Calc!$FO$177</f>
        <v/>
      </c>
      <c r="O175" s="65">
        <f>Calc!$FP$177</f>
        <v/>
      </c>
      <c r="P175" s="67">
        <f>Calc!$FQ$177</f>
        <v/>
      </c>
      <c r="Q175" s="68">
        <f>Calc!$FR$177</f>
        <v/>
      </c>
      <c r="R175" s="65">
        <f>Calc!$FS$177</f>
        <v/>
      </c>
      <c r="T175">
        <f>Calc!$EY$177</f>
        <v/>
      </c>
      <c r="U175">
        <f>Calc!$FT$177</f>
        <v/>
      </c>
      <c r="V175">
        <f>Calc!$FU$177</f>
        <v/>
      </c>
      <c r="W175">
        <f>Calc!$FC$177</f>
        <v/>
      </c>
      <c r="X175">
        <f>Calc!$EZ$177</f>
        <v/>
      </c>
      <c r="Y175">
        <f>Calc!$FA$177</f>
        <v/>
      </c>
      <c r="Z175">
        <f>Calc!$FV$177</f>
        <v/>
      </c>
      <c r="AA175">
        <f>IF($T175&lt;&gt;"row",0,IF($V175=1,IF($X175=1,IF($Y175=1,1,2),IF($Y175=1,3,4)),IF($X175=1,IF($Y175=1,5,6),IF($Y175=1,7,8))))</f>
        <v/>
      </c>
    </row>
    <row r="176" ht="11.25" customHeight="1">
      <c r="A176" s="64">
        <f>Calc!$FB$178</f>
        <v/>
      </c>
      <c r="B176" s="64">
        <f>Calc!$FC$178</f>
        <v/>
      </c>
      <c r="C176" s="65">
        <f>Calc!$FD$178</f>
        <v/>
      </c>
      <c r="D176" s="65">
        <f>Calc!$FE$178</f>
        <v/>
      </c>
      <c r="E176" s="65">
        <f>Calc!$FF$178</f>
        <v/>
      </c>
      <c r="F176" s="65">
        <f>Calc!$FG$178</f>
        <v/>
      </c>
      <c r="G176" s="65">
        <f>Calc!$FH$178</f>
        <v/>
      </c>
      <c r="H176" s="65">
        <f>Calc!$FI$178</f>
        <v/>
      </c>
      <c r="I176" s="65">
        <f>Calc!$FJ$178</f>
        <v/>
      </c>
      <c r="J176" s="65">
        <f>Calc!$FK$178</f>
        <v/>
      </c>
      <c r="K176" s="65">
        <f>Calc!$FL$178</f>
        <v/>
      </c>
      <c r="L176" s="65">
        <f>Calc!$FM$178</f>
        <v/>
      </c>
      <c r="M176" s="66">
        <f>Calc!$FN$178</f>
        <v/>
      </c>
      <c r="N176" s="66">
        <f>Calc!$FO$178</f>
        <v/>
      </c>
      <c r="O176" s="65">
        <f>Calc!$FP$178</f>
        <v/>
      </c>
      <c r="P176" s="67">
        <f>Calc!$FQ$178</f>
        <v/>
      </c>
      <c r="Q176" s="68">
        <f>Calc!$FR$178</f>
        <v/>
      </c>
      <c r="R176" s="65">
        <f>Calc!$FS$178</f>
        <v/>
      </c>
      <c r="T176">
        <f>Calc!$EY$178</f>
        <v/>
      </c>
      <c r="U176">
        <f>Calc!$FT$178</f>
        <v/>
      </c>
      <c r="V176">
        <f>Calc!$FU$178</f>
        <v/>
      </c>
      <c r="W176">
        <f>Calc!$FC$178</f>
        <v/>
      </c>
      <c r="X176">
        <f>Calc!$EZ$178</f>
        <v/>
      </c>
      <c r="Y176">
        <f>Calc!$FA$178</f>
        <v/>
      </c>
      <c r="Z176">
        <f>Calc!$FV$178</f>
        <v/>
      </c>
      <c r="AA176">
        <f>IF($T176&lt;&gt;"row",0,IF($V176=1,IF($X176=1,IF($Y176=1,1,2),IF($Y176=1,3,4)),IF($X176=1,IF($Y176=1,5,6),IF($Y176=1,7,8))))</f>
        <v/>
      </c>
    </row>
    <row r="177" ht="11.25" customHeight="1">
      <c r="A177" s="64">
        <f>Calc!$FB$179</f>
        <v/>
      </c>
      <c r="B177" s="64">
        <f>Calc!$FC$179</f>
        <v/>
      </c>
      <c r="C177" s="65">
        <f>Calc!$FD$179</f>
        <v/>
      </c>
      <c r="D177" s="65">
        <f>Calc!$FE$179</f>
        <v/>
      </c>
      <c r="E177" s="65">
        <f>Calc!$FF$179</f>
        <v/>
      </c>
      <c r="F177" s="65">
        <f>Calc!$FG$179</f>
        <v/>
      </c>
      <c r="G177" s="65">
        <f>Calc!$FH$179</f>
        <v/>
      </c>
      <c r="H177" s="65">
        <f>Calc!$FI$179</f>
        <v/>
      </c>
      <c r="I177" s="65">
        <f>Calc!$FJ$179</f>
        <v/>
      </c>
      <c r="J177" s="65">
        <f>Calc!$FK$179</f>
        <v/>
      </c>
      <c r="K177" s="65">
        <f>Calc!$FL$179</f>
        <v/>
      </c>
      <c r="L177" s="65">
        <f>Calc!$FM$179</f>
        <v/>
      </c>
      <c r="M177" s="66">
        <f>Calc!$FN$179</f>
        <v/>
      </c>
      <c r="N177" s="66">
        <f>Calc!$FO$179</f>
        <v/>
      </c>
      <c r="O177" s="65">
        <f>Calc!$FP$179</f>
        <v/>
      </c>
      <c r="P177" s="67">
        <f>Calc!$FQ$179</f>
        <v/>
      </c>
      <c r="Q177" s="68">
        <f>Calc!$FR$179</f>
        <v/>
      </c>
      <c r="R177" s="65">
        <f>Calc!$FS$179</f>
        <v/>
      </c>
      <c r="T177">
        <f>Calc!$EY$179</f>
        <v/>
      </c>
      <c r="U177">
        <f>Calc!$FT$179</f>
        <v/>
      </c>
      <c r="V177">
        <f>Calc!$FU$179</f>
        <v/>
      </c>
      <c r="W177">
        <f>Calc!$FC$179</f>
        <v/>
      </c>
      <c r="X177">
        <f>Calc!$EZ$179</f>
        <v/>
      </c>
      <c r="Y177">
        <f>Calc!$FA$179</f>
        <v/>
      </c>
      <c r="Z177">
        <f>Calc!$FV$179</f>
        <v/>
      </c>
      <c r="AA177">
        <f>IF($T177&lt;&gt;"row",0,IF($V177=1,IF($X177=1,IF($Y177=1,1,2),IF($Y177=1,3,4)),IF($X177=1,IF($Y177=1,5,6),IF($Y177=1,7,8))))</f>
        <v/>
      </c>
    </row>
    <row r="178" ht="11.25" customHeight="1">
      <c r="A178" s="64">
        <f>Calc!$FB$180</f>
        <v/>
      </c>
      <c r="B178" s="64">
        <f>Calc!$FC$180</f>
        <v/>
      </c>
      <c r="C178" s="65">
        <f>Calc!$FD$180</f>
        <v/>
      </c>
      <c r="D178" s="65">
        <f>Calc!$FE$180</f>
        <v/>
      </c>
      <c r="E178" s="65">
        <f>Calc!$FF$180</f>
        <v/>
      </c>
      <c r="F178" s="65">
        <f>Calc!$FG$180</f>
        <v/>
      </c>
      <c r="G178" s="65">
        <f>Calc!$FH$180</f>
        <v/>
      </c>
      <c r="H178" s="65">
        <f>Calc!$FI$180</f>
        <v/>
      </c>
      <c r="I178" s="65">
        <f>Calc!$FJ$180</f>
        <v/>
      </c>
      <c r="J178" s="65">
        <f>Calc!$FK$180</f>
        <v/>
      </c>
      <c r="K178" s="65">
        <f>Calc!$FL$180</f>
        <v/>
      </c>
      <c r="L178" s="65">
        <f>Calc!$FM$180</f>
        <v/>
      </c>
      <c r="M178" s="66">
        <f>Calc!$FN$180</f>
        <v/>
      </c>
      <c r="N178" s="66">
        <f>Calc!$FO$180</f>
        <v/>
      </c>
      <c r="O178" s="65">
        <f>Calc!$FP$180</f>
        <v/>
      </c>
      <c r="P178" s="67">
        <f>Calc!$FQ$180</f>
        <v/>
      </c>
      <c r="Q178" s="68">
        <f>Calc!$FR$180</f>
        <v/>
      </c>
      <c r="R178" s="65">
        <f>Calc!$FS$180</f>
        <v/>
      </c>
      <c r="T178">
        <f>Calc!$EY$180</f>
        <v/>
      </c>
      <c r="U178">
        <f>Calc!$FT$180</f>
        <v/>
      </c>
      <c r="V178">
        <f>Calc!$FU$180</f>
        <v/>
      </c>
      <c r="W178">
        <f>Calc!$FC$180</f>
        <v/>
      </c>
      <c r="X178">
        <f>Calc!$EZ$180</f>
        <v/>
      </c>
      <c r="Y178">
        <f>Calc!$FA$180</f>
        <v/>
      </c>
      <c r="Z178">
        <f>Calc!$FV$180</f>
        <v/>
      </c>
      <c r="AA178">
        <f>IF($T178&lt;&gt;"row",0,IF($V178=1,IF($X178=1,IF($Y178=1,1,2),IF($Y178=1,3,4)),IF($X178=1,IF($Y178=1,5,6),IF($Y178=1,7,8))))</f>
        <v/>
      </c>
    </row>
    <row r="179" ht="11.25" customHeight="1">
      <c r="A179" s="64">
        <f>Calc!$FB$181</f>
        <v/>
      </c>
      <c r="B179" s="64">
        <f>Calc!$FC$181</f>
        <v/>
      </c>
      <c r="C179" s="65">
        <f>Calc!$FD$181</f>
        <v/>
      </c>
      <c r="D179" s="65">
        <f>Calc!$FE$181</f>
        <v/>
      </c>
      <c r="E179" s="65">
        <f>Calc!$FF$181</f>
        <v/>
      </c>
      <c r="F179" s="65">
        <f>Calc!$FG$181</f>
        <v/>
      </c>
      <c r="G179" s="65">
        <f>Calc!$FH$181</f>
        <v/>
      </c>
      <c r="H179" s="65">
        <f>Calc!$FI$181</f>
        <v/>
      </c>
      <c r="I179" s="65">
        <f>Calc!$FJ$181</f>
        <v/>
      </c>
      <c r="J179" s="65">
        <f>Calc!$FK$181</f>
        <v/>
      </c>
      <c r="K179" s="65">
        <f>Calc!$FL$181</f>
        <v/>
      </c>
      <c r="L179" s="65">
        <f>Calc!$FM$181</f>
        <v/>
      </c>
      <c r="M179" s="66">
        <f>Calc!$FN$181</f>
        <v/>
      </c>
      <c r="N179" s="66">
        <f>Calc!$FO$181</f>
        <v/>
      </c>
      <c r="O179" s="65">
        <f>Calc!$FP$181</f>
        <v/>
      </c>
      <c r="P179" s="67">
        <f>Calc!$FQ$181</f>
        <v/>
      </c>
      <c r="Q179" s="68">
        <f>Calc!$FR$181</f>
        <v/>
      </c>
      <c r="R179" s="65">
        <f>Calc!$FS$181</f>
        <v/>
      </c>
      <c r="T179">
        <f>Calc!$EY$181</f>
        <v/>
      </c>
      <c r="U179">
        <f>Calc!$FT$181</f>
        <v/>
      </c>
      <c r="V179">
        <f>Calc!$FU$181</f>
        <v/>
      </c>
      <c r="W179">
        <f>Calc!$FC$181</f>
        <v/>
      </c>
      <c r="X179">
        <f>Calc!$EZ$181</f>
        <v/>
      </c>
      <c r="Y179">
        <f>Calc!$FA$181</f>
        <v/>
      </c>
      <c r="Z179">
        <f>Calc!$FV$181</f>
        <v/>
      </c>
      <c r="AA179">
        <f>IF($T179&lt;&gt;"row",0,IF($V179=1,IF($X179=1,IF($Y179=1,1,2),IF($Y179=1,3,4)),IF($X179=1,IF($Y179=1,5,6),IF($Y179=1,7,8))))</f>
        <v/>
      </c>
    </row>
    <row r="180" ht="11.25" customHeight="1">
      <c r="A180" s="64">
        <f>Calc!$FB$182</f>
        <v/>
      </c>
      <c r="B180" s="64">
        <f>Calc!$FC$182</f>
        <v/>
      </c>
      <c r="C180" s="65">
        <f>Calc!$FD$182</f>
        <v/>
      </c>
      <c r="D180" s="65">
        <f>Calc!$FE$182</f>
        <v/>
      </c>
      <c r="E180" s="65">
        <f>Calc!$FF$182</f>
        <v/>
      </c>
      <c r="F180" s="65">
        <f>Calc!$FG$182</f>
        <v/>
      </c>
      <c r="G180" s="65">
        <f>Calc!$FH$182</f>
        <v/>
      </c>
      <c r="H180" s="65">
        <f>Calc!$FI$182</f>
        <v/>
      </c>
      <c r="I180" s="65">
        <f>Calc!$FJ$182</f>
        <v/>
      </c>
      <c r="J180" s="65">
        <f>Calc!$FK$182</f>
        <v/>
      </c>
      <c r="K180" s="65">
        <f>Calc!$FL$182</f>
        <v/>
      </c>
      <c r="L180" s="65">
        <f>Calc!$FM$182</f>
        <v/>
      </c>
      <c r="M180" s="66">
        <f>Calc!$FN$182</f>
        <v/>
      </c>
      <c r="N180" s="66">
        <f>Calc!$FO$182</f>
        <v/>
      </c>
      <c r="O180" s="65">
        <f>Calc!$FP$182</f>
        <v/>
      </c>
      <c r="P180" s="67">
        <f>Calc!$FQ$182</f>
        <v/>
      </c>
      <c r="Q180" s="68">
        <f>Calc!$FR$182</f>
        <v/>
      </c>
      <c r="R180" s="65">
        <f>Calc!$FS$182</f>
        <v/>
      </c>
      <c r="T180">
        <f>Calc!$EY$182</f>
        <v/>
      </c>
      <c r="U180">
        <f>Calc!$FT$182</f>
        <v/>
      </c>
      <c r="V180">
        <f>Calc!$FU$182</f>
        <v/>
      </c>
      <c r="W180">
        <f>Calc!$FC$182</f>
        <v/>
      </c>
      <c r="X180">
        <f>Calc!$EZ$182</f>
        <v/>
      </c>
      <c r="Y180">
        <f>Calc!$FA$182</f>
        <v/>
      </c>
      <c r="Z180">
        <f>Calc!$FV$182</f>
        <v/>
      </c>
      <c r="AA180">
        <f>IF($T180&lt;&gt;"row",0,IF($V180=1,IF($X180=1,IF($Y180=1,1,2),IF($Y180=1,3,4)),IF($X180=1,IF($Y180=1,5,6),IF($Y180=1,7,8))))</f>
        <v/>
      </c>
    </row>
    <row r="181" ht="11.25" customHeight="1">
      <c r="A181" s="64">
        <f>Calc!$FB$183</f>
        <v/>
      </c>
      <c r="B181" s="64">
        <f>Calc!$FC$183</f>
        <v/>
      </c>
      <c r="C181" s="65">
        <f>Calc!$FD$183</f>
        <v/>
      </c>
      <c r="D181" s="65">
        <f>Calc!$FE$183</f>
        <v/>
      </c>
      <c r="E181" s="65">
        <f>Calc!$FF$183</f>
        <v/>
      </c>
      <c r="F181" s="65">
        <f>Calc!$FG$183</f>
        <v/>
      </c>
      <c r="G181" s="65">
        <f>Calc!$FH$183</f>
        <v/>
      </c>
      <c r="H181" s="65">
        <f>Calc!$FI$183</f>
        <v/>
      </c>
      <c r="I181" s="65">
        <f>Calc!$FJ$183</f>
        <v/>
      </c>
      <c r="J181" s="65">
        <f>Calc!$FK$183</f>
        <v/>
      </c>
      <c r="K181" s="65">
        <f>Calc!$FL$183</f>
        <v/>
      </c>
      <c r="L181" s="65">
        <f>Calc!$FM$183</f>
        <v/>
      </c>
      <c r="M181" s="66">
        <f>Calc!$FN$183</f>
        <v/>
      </c>
      <c r="N181" s="66">
        <f>Calc!$FO$183</f>
        <v/>
      </c>
      <c r="O181" s="65">
        <f>Calc!$FP$183</f>
        <v/>
      </c>
      <c r="P181" s="67">
        <f>Calc!$FQ$183</f>
        <v/>
      </c>
      <c r="Q181" s="68">
        <f>Calc!$FR$183</f>
        <v/>
      </c>
      <c r="R181" s="65">
        <f>Calc!$FS$183</f>
        <v/>
      </c>
      <c r="T181">
        <f>Calc!$EY$183</f>
        <v/>
      </c>
      <c r="U181">
        <f>Calc!$FT$183</f>
        <v/>
      </c>
      <c r="V181">
        <f>Calc!$FU$183</f>
        <v/>
      </c>
      <c r="W181">
        <f>Calc!$FC$183</f>
        <v/>
      </c>
      <c r="X181">
        <f>Calc!$EZ$183</f>
        <v/>
      </c>
      <c r="Y181">
        <f>Calc!$FA$183</f>
        <v/>
      </c>
      <c r="Z181">
        <f>Calc!$FV$183</f>
        <v/>
      </c>
      <c r="AA181">
        <f>IF($T181&lt;&gt;"row",0,IF($V181=1,IF($X181=1,IF($Y181=1,1,2),IF($Y181=1,3,4)),IF($X181=1,IF($Y181=1,5,6),IF($Y181=1,7,8))))</f>
        <v/>
      </c>
    </row>
    <row r="182" ht="11.25" customHeight="1">
      <c r="A182" s="64">
        <f>Calc!$FB$184</f>
        <v/>
      </c>
      <c r="B182" s="64">
        <f>Calc!$FC$184</f>
        <v/>
      </c>
      <c r="C182" s="65">
        <f>Calc!$FD$184</f>
        <v/>
      </c>
      <c r="D182" s="65">
        <f>Calc!$FE$184</f>
        <v/>
      </c>
      <c r="E182" s="65">
        <f>Calc!$FF$184</f>
        <v/>
      </c>
      <c r="F182" s="65">
        <f>Calc!$FG$184</f>
        <v/>
      </c>
      <c r="G182" s="65">
        <f>Calc!$FH$184</f>
        <v/>
      </c>
      <c r="H182" s="65">
        <f>Calc!$FI$184</f>
        <v/>
      </c>
      <c r="I182" s="65">
        <f>Calc!$FJ$184</f>
        <v/>
      </c>
      <c r="J182" s="65">
        <f>Calc!$FK$184</f>
        <v/>
      </c>
      <c r="K182" s="65">
        <f>Calc!$FL$184</f>
        <v/>
      </c>
      <c r="L182" s="65">
        <f>Calc!$FM$184</f>
        <v/>
      </c>
      <c r="M182" s="66">
        <f>Calc!$FN$184</f>
        <v/>
      </c>
      <c r="N182" s="66">
        <f>Calc!$FO$184</f>
        <v/>
      </c>
      <c r="O182" s="65">
        <f>Calc!$FP$184</f>
        <v/>
      </c>
      <c r="P182" s="67">
        <f>Calc!$FQ$184</f>
        <v/>
      </c>
      <c r="Q182" s="68">
        <f>Calc!$FR$184</f>
        <v/>
      </c>
      <c r="R182" s="65">
        <f>Calc!$FS$184</f>
        <v/>
      </c>
      <c r="T182">
        <f>Calc!$EY$184</f>
        <v/>
      </c>
      <c r="U182">
        <f>Calc!$FT$184</f>
        <v/>
      </c>
      <c r="V182">
        <f>Calc!$FU$184</f>
        <v/>
      </c>
      <c r="W182">
        <f>Calc!$FC$184</f>
        <v/>
      </c>
      <c r="X182">
        <f>Calc!$EZ$184</f>
        <v/>
      </c>
      <c r="Y182">
        <f>Calc!$FA$184</f>
        <v/>
      </c>
      <c r="Z182">
        <f>Calc!$FV$184</f>
        <v/>
      </c>
      <c r="AA182">
        <f>IF($T182&lt;&gt;"row",0,IF($V182=1,IF($X182=1,IF($Y182=1,1,2),IF($Y182=1,3,4)),IF($X182=1,IF($Y182=1,5,6),IF($Y182=1,7,8))))</f>
        <v/>
      </c>
    </row>
    <row r="183" ht="11.25" customHeight="1">
      <c r="A183" s="64">
        <f>Calc!$FB$185</f>
        <v/>
      </c>
      <c r="B183" s="64">
        <f>Calc!$FC$185</f>
        <v/>
      </c>
      <c r="C183" s="65">
        <f>Calc!$FD$185</f>
        <v/>
      </c>
      <c r="D183" s="65">
        <f>Calc!$FE$185</f>
        <v/>
      </c>
      <c r="E183" s="65">
        <f>Calc!$FF$185</f>
        <v/>
      </c>
      <c r="F183" s="65">
        <f>Calc!$FG$185</f>
        <v/>
      </c>
      <c r="G183" s="65">
        <f>Calc!$FH$185</f>
        <v/>
      </c>
      <c r="H183" s="65">
        <f>Calc!$FI$185</f>
        <v/>
      </c>
      <c r="I183" s="65">
        <f>Calc!$FJ$185</f>
        <v/>
      </c>
      <c r="J183" s="65">
        <f>Calc!$FK$185</f>
        <v/>
      </c>
      <c r="K183" s="65">
        <f>Calc!$FL$185</f>
        <v/>
      </c>
      <c r="L183" s="65">
        <f>Calc!$FM$185</f>
        <v/>
      </c>
      <c r="M183" s="66">
        <f>Calc!$FN$185</f>
        <v/>
      </c>
      <c r="N183" s="66">
        <f>Calc!$FO$185</f>
        <v/>
      </c>
      <c r="O183" s="65">
        <f>Calc!$FP$185</f>
        <v/>
      </c>
      <c r="P183" s="67">
        <f>Calc!$FQ$185</f>
        <v/>
      </c>
      <c r="Q183" s="68">
        <f>Calc!$FR$185</f>
        <v/>
      </c>
      <c r="R183" s="65">
        <f>Calc!$FS$185</f>
        <v/>
      </c>
      <c r="T183">
        <f>Calc!$EY$185</f>
        <v/>
      </c>
      <c r="U183">
        <f>Calc!$FT$185</f>
        <v/>
      </c>
      <c r="V183">
        <f>Calc!$FU$185</f>
        <v/>
      </c>
      <c r="W183">
        <f>Calc!$FC$185</f>
        <v/>
      </c>
      <c r="X183">
        <f>Calc!$EZ$185</f>
        <v/>
      </c>
      <c r="Y183">
        <f>Calc!$FA$185</f>
        <v/>
      </c>
      <c r="Z183">
        <f>Calc!$FV$185</f>
        <v/>
      </c>
      <c r="AA183">
        <f>IF($T183&lt;&gt;"row",0,IF($V183=1,IF($X183=1,IF($Y183=1,1,2),IF($Y183=1,3,4)),IF($X183=1,IF($Y183=1,5,6),IF($Y183=1,7,8))))</f>
        <v/>
      </c>
    </row>
    <row r="184" ht="11.25" customHeight="1">
      <c r="A184" s="64">
        <f>Calc!$FB$186</f>
        <v/>
      </c>
      <c r="B184" s="64">
        <f>Calc!$FC$186</f>
        <v/>
      </c>
      <c r="C184" s="65">
        <f>Calc!$FD$186</f>
        <v/>
      </c>
      <c r="D184" s="65">
        <f>Calc!$FE$186</f>
        <v/>
      </c>
      <c r="E184" s="65">
        <f>Calc!$FF$186</f>
        <v/>
      </c>
      <c r="F184" s="65">
        <f>Calc!$FG$186</f>
        <v/>
      </c>
      <c r="G184" s="65">
        <f>Calc!$FH$186</f>
        <v/>
      </c>
      <c r="H184" s="65">
        <f>Calc!$FI$186</f>
        <v/>
      </c>
      <c r="I184" s="65">
        <f>Calc!$FJ$186</f>
        <v/>
      </c>
      <c r="J184" s="65">
        <f>Calc!$FK$186</f>
        <v/>
      </c>
      <c r="K184" s="65">
        <f>Calc!$FL$186</f>
        <v/>
      </c>
      <c r="L184" s="65">
        <f>Calc!$FM$186</f>
        <v/>
      </c>
      <c r="M184" s="66">
        <f>Calc!$FN$186</f>
        <v/>
      </c>
      <c r="N184" s="66">
        <f>Calc!$FO$186</f>
        <v/>
      </c>
      <c r="O184" s="65">
        <f>Calc!$FP$186</f>
        <v/>
      </c>
      <c r="P184" s="67">
        <f>Calc!$FQ$186</f>
        <v/>
      </c>
      <c r="Q184" s="68">
        <f>Calc!$FR$186</f>
        <v/>
      </c>
      <c r="R184" s="65">
        <f>Calc!$FS$186</f>
        <v/>
      </c>
      <c r="T184">
        <f>Calc!$EY$186</f>
        <v/>
      </c>
      <c r="U184">
        <f>Calc!$FT$186</f>
        <v/>
      </c>
      <c r="V184">
        <f>Calc!$FU$186</f>
        <v/>
      </c>
      <c r="W184">
        <f>Calc!$FC$186</f>
        <v/>
      </c>
      <c r="X184">
        <f>Calc!$EZ$186</f>
        <v/>
      </c>
      <c r="Y184">
        <f>Calc!$FA$186</f>
        <v/>
      </c>
      <c r="Z184">
        <f>Calc!$FV$186</f>
        <v/>
      </c>
      <c r="AA184">
        <f>IF($T184&lt;&gt;"row",0,IF($V184=1,IF($X184=1,IF($Y184=1,1,2),IF($Y184=1,3,4)),IF($X184=1,IF($Y184=1,5,6),IF($Y184=1,7,8))))</f>
        <v/>
      </c>
    </row>
    <row r="185" ht="11.25" customHeight="1">
      <c r="A185" s="64">
        <f>Calc!$FB$187</f>
        <v/>
      </c>
      <c r="B185" s="64">
        <f>Calc!$FC$187</f>
        <v/>
      </c>
      <c r="C185" s="65">
        <f>Calc!$FD$187</f>
        <v/>
      </c>
      <c r="D185" s="65">
        <f>Calc!$FE$187</f>
        <v/>
      </c>
      <c r="E185" s="65">
        <f>Calc!$FF$187</f>
        <v/>
      </c>
      <c r="F185" s="65">
        <f>Calc!$FG$187</f>
        <v/>
      </c>
      <c r="G185" s="65">
        <f>Calc!$FH$187</f>
        <v/>
      </c>
      <c r="H185" s="65">
        <f>Calc!$FI$187</f>
        <v/>
      </c>
      <c r="I185" s="65">
        <f>Calc!$FJ$187</f>
        <v/>
      </c>
      <c r="J185" s="65">
        <f>Calc!$FK$187</f>
        <v/>
      </c>
      <c r="K185" s="65">
        <f>Calc!$FL$187</f>
        <v/>
      </c>
      <c r="L185" s="65">
        <f>Calc!$FM$187</f>
        <v/>
      </c>
      <c r="M185" s="66">
        <f>Calc!$FN$187</f>
        <v/>
      </c>
      <c r="N185" s="66">
        <f>Calc!$FO$187</f>
        <v/>
      </c>
      <c r="O185" s="65">
        <f>Calc!$FP$187</f>
        <v/>
      </c>
      <c r="P185" s="67">
        <f>Calc!$FQ$187</f>
        <v/>
      </c>
      <c r="Q185" s="68">
        <f>Calc!$FR$187</f>
        <v/>
      </c>
      <c r="R185" s="65">
        <f>Calc!$FS$187</f>
        <v/>
      </c>
      <c r="T185">
        <f>Calc!$EY$187</f>
        <v/>
      </c>
      <c r="U185">
        <f>Calc!$FT$187</f>
        <v/>
      </c>
      <c r="V185">
        <f>Calc!$FU$187</f>
        <v/>
      </c>
      <c r="W185">
        <f>Calc!$FC$187</f>
        <v/>
      </c>
      <c r="X185">
        <f>Calc!$EZ$187</f>
        <v/>
      </c>
      <c r="Y185">
        <f>Calc!$FA$187</f>
        <v/>
      </c>
      <c r="Z185">
        <f>Calc!$FV$187</f>
        <v/>
      </c>
      <c r="AA185">
        <f>IF($T185&lt;&gt;"row",0,IF($V185=1,IF($X185=1,IF($Y185=1,1,2),IF($Y185=1,3,4)),IF($X185=1,IF($Y185=1,5,6),IF($Y185=1,7,8))))</f>
        <v/>
      </c>
    </row>
    <row r="186" ht="11.25" customHeight="1">
      <c r="A186" s="64">
        <f>Calc!$FB$188</f>
        <v/>
      </c>
      <c r="B186" s="64">
        <f>Calc!$FC$188</f>
        <v/>
      </c>
      <c r="C186" s="65">
        <f>Calc!$FD$188</f>
        <v/>
      </c>
      <c r="D186" s="65">
        <f>Calc!$FE$188</f>
        <v/>
      </c>
      <c r="E186" s="65">
        <f>Calc!$FF$188</f>
        <v/>
      </c>
      <c r="F186" s="65">
        <f>Calc!$FG$188</f>
        <v/>
      </c>
      <c r="G186" s="65">
        <f>Calc!$FH$188</f>
        <v/>
      </c>
      <c r="H186" s="65">
        <f>Calc!$FI$188</f>
        <v/>
      </c>
      <c r="I186" s="65">
        <f>Calc!$FJ$188</f>
        <v/>
      </c>
      <c r="J186" s="65">
        <f>Calc!$FK$188</f>
        <v/>
      </c>
      <c r="K186" s="65">
        <f>Calc!$FL$188</f>
        <v/>
      </c>
      <c r="L186" s="65">
        <f>Calc!$FM$188</f>
        <v/>
      </c>
      <c r="M186" s="66">
        <f>Calc!$FN$188</f>
        <v/>
      </c>
      <c r="N186" s="66">
        <f>Calc!$FO$188</f>
        <v/>
      </c>
      <c r="O186" s="65">
        <f>Calc!$FP$188</f>
        <v/>
      </c>
      <c r="P186" s="67">
        <f>Calc!$FQ$188</f>
        <v/>
      </c>
      <c r="Q186" s="68">
        <f>Calc!$FR$188</f>
        <v/>
      </c>
      <c r="R186" s="65">
        <f>Calc!$FS$188</f>
        <v/>
      </c>
      <c r="T186">
        <f>Calc!$EY$188</f>
        <v/>
      </c>
      <c r="U186">
        <f>Calc!$FT$188</f>
        <v/>
      </c>
      <c r="V186">
        <f>Calc!$FU$188</f>
        <v/>
      </c>
      <c r="W186">
        <f>Calc!$FC$188</f>
        <v/>
      </c>
      <c r="X186">
        <f>Calc!$EZ$188</f>
        <v/>
      </c>
      <c r="Y186">
        <f>Calc!$FA$188</f>
        <v/>
      </c>
      <c r="Z186">
        <f>Calc!$FV$188</f>
        <v/>
      </c>
      <c r="AA186">
        <f>IF($T186&lt;&gt;"row",0,IF($V186=1,IF($X186=1,IF($Y186=1,1,2),IF($Y186=1,3,4)),IF($X186=1,IF($Y186=1,5,6),IF($Y186=1,7,8))))</f>
        <v/>
      </c>
    </row>
    <row r="187" ht="11.25" customHeight="1">
      <c r="A187" s="64">
        <f>Calc!$FB$189</f>
        <v/>
      </c>
      <c r="B187" s="64">
        <f>Calc!$FC$189</f>
        <v/>
      </c>
      <c r="C187" s="65">
        <f>Calc!$FD$189</f>
        <v/>
      </c>
      <c r="D187" s="65">
        <f>Calc!$FE$189</f>
        <v/>
      </c>
      <c r="E187" s="65">
        <f>Calc!$FF$189</f>
        <v/>
      </c>
      <c r="F187" s="65">
        <f>Calc!$FG$189</f>
        <v/>
      </c>
      <c r="G187" s="65">
        <f>Calc!$FH$189</f>
        <v/>
      </c>
      <c r="H187" s="65">
        <f>Calc!$FI$189</f>
        <v/>
      </c>
      <c r="I187" s="65">
        <f>Calc!$FJ$189</f>
        <v/>
      </c>
      <c r="J187" s="65">
        <f>Calc!$FK$189</f>
        <v/>
      </c>
      <c r="K187" s="65">
        <f>Calc!$FL$189</f>
        <v/>
      </c>
      <c r="L187" s="65">
        <f>Calc!$FM$189</f>
        <v/>
      </c>
      <c r="M187" s="66">
        <f>Calc!$FN$189</f>
        <v/>
      </c>
      <c r="N187" s="66">
        <f>Calc!$FO$189</f>
        <v/>
      </c>
      <c r="O187" s="65">
        <f>Calc!$FP$189</f>
        <v/>
      </c>
      <c r="P187" s="67">
        <f>Calc!$FQ$189</f>
        <v/>
      </c>
      <c r="Q187" s="68">
        <f>Calc!$FR$189</f>
        <v/>
      </c>
      <c r="R187" s="65">
        <f>Calc!$FS$189</f>
        <v/>
      </c>
      <c r="T187">
        <f>Calc!$EY$189</f>
        <v/>
      </c>
      <c r="U187">
        <f>Calc!$FT$189</f>
        <v/>
      </c>
      <c r="V187">
        <f>Calc!$FU$189</f>
        <v/>
      </c>
      <c r="W187">
        <f>Calc!$FC$189</f>
        <v/>
      </c>
      <c r="X187">
        <f>Calc!$EZ$189</f>
        <v/>
      </c>
      <c r="Y187">
        <f>Calc!$FA$189</f>
        <v/>
      </c>
      <c r="Z187">
        <f>Calc!$FV$189</f>
        <v/>
      </c>
      <c r="AA187">
        <f>IF($T187&lt;&gt;"row",0,IF($V187=1,IF($X187=1,IF($Y187=1,1,2),IF($Y187=1,3,4)),IF($X187=1,IF($Y187=1,5,6),IF($Y187=1,7,8))))</f>
        <v/>
      </c>
    </row>
    <row r="188" ht="11.25" customHeight="1">
      <c r="A188" s="64">
        <f>Calc!$FB$190</f>
        <v/>
      </c>
      <c r="B188" s="64">
        <f>Calc!$FC$190</f>
        <v/>
      </c>
      <c r="C188" s="65">
        <f>Calc!$FD$190</f>
        <v/>
      </c>
      <c r="D188" s="65">
        <f>Calc!$FE$190</f>
        <v/>
      </c>
      <c r="E188" s="65">
        <f>Calc!$FF$190</f>
        <v/>
      </c>
      <c r="F188" s="65">
        <f>Calc!$FG$190</f>
        <v/>
      </c>
      <c r="G188" s="65">
        <f>Calc!$FH$190</f>
        <v/>
      </c>
      <c r="H188" s="65">
        <f>Calc!$FI$190</f>
        <v/>
      </c>
      <c r="I188" s="65">
        <f>Calc!$FJ$190</f>
        <v/>
      </c>
      <c r="J188" s="65">
        <f>Calc!$FK$190</f>
        <v/>
      </c>
      <c r="K188" s="65">
        <f>Calc!$FL$190</f>
        <v/>
      </c>
      <c r="L188" s="65">
        <f>Calc!$FM$190</f>
        <v/>
      </c>
      <c r="M188" s="66">
        <f>Calc!$FN$190</f>
        <v/>
      </c>
      <c r="N188" s="66">
        <f>Calc!$FO$190</f>
        <v/>
      </c>
      <c r="O188" s="65">
        <f>Calc!$FP$190</f>
        <v/>
      </c>
      <c r="P188" s="67">
        <f>Calc!$FQ$190</f>
        <v/>
      </c>
      <c r="Q188" s="68">
        <f>Calc!$FR$190</f>
        <v/>
      </c>
      <c r="R188" s="65">
        <f>Calc!$FS$190</f>
        <v/>
      </c>
      <c r="T188">
        <f>Calc!$EY$190</f>
        <v/>
      </c>
      <c r="U188">
        <f>Calc!$FT$190</f>
        <v/>
      </c>
      <c r="V188">
        <f>Calc!$FU$190</f>
        <v/>
      </c>
      <c r="W188">
        <f>Calc!$FC$190</f>
        <v/>
      </c>
      <c r="X188">
        <f>Calc!$EZ$190</f>
        <v/>
      </c>
      <c r="Y188">
        <f>Calc!$FA$190</f>
        <v/>
      </c>
      <c r="Z188">
        <f>Calc!$FV$190</f>
        <v/>
      </c>
      <c r="AA188">
        <f>IF($T188&lt;&gt;"row",0,IF($V188=1,IF($X188=1,IF($Y188=1,1,2),IF($Y188=1,3,4)),IF($X188=1,IF($Y188=1,5,6),IF($Y188=1,7,8))))</f>
        <v/>
      </c>
    </row>
    <row r="189" ht="11.25" customHeight="1">
      <c r="A189" s="64">
        <f>Calc!$FB$191</f>
        <v/>
      </c>
      <c r="B189" s="64">
        <f>Calc!$FC$191</f>
        <v/>
      </c>
      <c r="C189" s="65">
        <f>Calc!$FD$191</f>
        <v/>
      </c>
      <c r="D189" s="65">
        <f>Calc!$FE$191</f>
        <v/>
      </c>
      <c r="E189" s="65">
        <f>Calc!$FF$191</f>
        <v/>
      </c>
      <c r="F189" s="65">
        <f>Calc!$FG$191</f>
        <v/>
      </c>
      <c r="G189" s="65">
        <f>Calc!$FH$191</f>
        <v/>
      </c>
      <c r="H189" s="65">
        <f>Calc!$FI$191</f>
        <v/>
      </c>
      <c r="I189" s="65">
        <f>Calc!$FJ$191</f>
        <v/>
      </c>
      <c r="J189" s="65">
        <f>Calc!$FK$191</f>
        <v/>
      </c>
      <c r="K189" s="65">
        <f>Calc!$FL$191</f>
        <v/>
      </c>
      <c r="L189" s="65">
        <f>Calc!$FM$191</f>
        <v/>
      </c>
      <c r="M189" s="66">
        <f>Calc!$FN$191</f>
        <v/>
      </c>
      <c r="N189" s="66">
        <f>Calc!$FO$191</f>
        <v/>
      </c>
      <c r="O189" s="65">
        <f>Calc!$FP$191</f>
        <v/>
      </c>
      <c r="P189" s="67">
        <f>Calc!$FQ$191</f>
        <v/>
      </c>
      <c r="Q189" s="68">
        <f>Calc!$FR$191</f>
        <v/>
      </c>
      <c r="R189" s="65">
        <f>Calc!$FS$191</f>
        <v/>
      </c>
      <c r="T189">
        <f>Calc!$EY$191</f>
        <v/>
      </c>
      <c r="U189">
        <f>Calc!$FT$191</f>
        <v/>
      </c>
      <c r="V189">
        <f>Calc!$FU$191</f>
        <v/>
      </c>
      <c r="W189">
        <f>Calc!$FC$191</f>
        <v/>
      </c>
      <c r="X189">
        <f>Calc!$EZ$191</f>
        <v/>
      </c>
      <c r="Y189">
        <f>Calc!$FA$191</f>
        <v/>
      </c>
      <c r="Z189">
        <f>Calc!$FV$191</f>
        <v/>
      </c>
      <c r="AA189">
        <f>IF($T189&lt;&gt;"row",0,IF($V189=1,IF($X189=1,IF($Y189=1,1,2),IF($Y189=1,3,4)),IF($X189=1,IF($Y189=1,5,6),IF($Y189=1,7,8))))</f>
        <v/>
      </c>
    </row>
    <row r="190" ht="11.25" customHeight="1">
      <c r="A190" s="64">
        <f>Calc!$FB$192</f>
        <v/>
      </c>
      <c r="B190" s="64">
        <f>Calc!$FC$192</f>
        <v/>
      </c>
      <c r="C190" s="65">
        <f>Calc!$FD$192</f>
        <v/>
      </c>
      <c r="D190" s="65">
        <f>Calc!$FE$192</f>
        <v/>
      </c>
      <c r="E190" s="65">
        <f>Calc!$FF$192</f>
        <v/>
      </c>
      <c r="F190" s="65">
        <f>Calc!$FG$192</f>
        <v/>
      </c>
      <c r="G190" s="65">
        <f>Calc!$FH$192</f>
        <v/>
      </c>
      <c r="H190" s="65">
        <f>Calc!$FI$192</f>
        <v/>
      </c>
      <c r="I190" s="65">
        <f>Calc!$FJ$192</f>
        <v/>
      </c>
      <c r="J190" s="65">
        <f>Calc!$FK$192</f>
        <v/>
      </c>
      <c r="K190" s="65">
        <f>Calc!$FL$192</f>
        <v/>
      </c>
      <c r="L190" s="65">
        <f>Calc!$FM$192</f>
        <v/>
      </c>
      <c r="M190" s="66">
        <f>Calc!$FN$192</f>
        <v/>
      </c>
      <c r="N190" s="66">
        <f>Calc!$FO$192</f>
        <v/>
      </c>
      <c r="O190" s="65">
        <f>Calc!$FP$192</f>
        <v/>
      </c>
      <c r="P190" s="67">
        <f>Calc!$FQ$192</f>
        <v/>
      </c>
      <c r="Q190" s="68">
        <f>Calc!$FR$192</f>
        <v/>
      </c>
      <c r="R190" s="65">
        <f>Calc!$FS$192</f>
        <v/>
      </c>
      <c r="T190">
        <f>Calc!$EY$192</f>
        <v/>
      </c>
      <c r="U190">
        <f>Calc!$FT$192</f>
        <v/>
      </c>
      <c r="V190">
        <f>Calc!$FU$192</f>
        <v/>
      </c>
      <c r="W190">
        <f>Calc!$FC$192</f>
        <v/>
      </c>
      <c r="X190">
        <f>Calc!$EZ$192</f>
        <v/>
      </c>
      <c r="Y190">
        <f>Calc!$FA$192</f>
        <v/>
      </c>
      <c r="Z190">
        <f>Calc!$FV$192</f>
        <v/>
      </c>
      <c r="AA190">
        <f>IF($T190&lt;&gt;"row",0,IF($V190=1,IF($X190=1,IF($Y190=1,1,2),IF($Y190=1,3,4)),IF($X190=1,IF($Y190=1,5,6),IF($Y190=1,7,8))))</f>
        <v/>
      </c>
    </row>
    <row r="191" ht="11.25" customHeight="1">
      <c r="A191" s="64">
        <f>Calc!$FB$193</f>
        <v/>
      </c>
      <c r="B191" s="64">
        <f>Calc!$FC$193</f>
        <v/>
      </c>
      <c r="C191" s="65">
        <f>Calc!$FD$193</f>
        <v/>
      </c>
      <c r="D191" s="65">
        <f>Calc!$FE$193</f>
        <v/>
      </c>
      <c r="E191" s="65">
        <f>Calc!$FF$193</f>
        <v/>
      </c>
      <c r="F191" s="65">
        <f>Calc!$FG$193</f>
        <v/>
      </c>
      <c r="G191" s="65">
        <f>Calc!$FH$193</f>
        <v/>
      </c>
      <c r="H191" s="65">
        <f>Calc!$FI$193</f>
        <v/>
      </c>
      <c r="I191" s="65">
        <f>Calc!$FJ$193</f>
        <v/>
      </c>
      <c r="J191" s="65">
        <f>Calc!$FK$193</f>
        <v/>
      </c>
      <c r="K191" s="65">
        <f>Calc!$FL$193</f>
        <v/>
      </c>
      <c r="L191" s="65">
        <f>Calc!$FM$193</f>
        <v/>
      </c>
      <c r="M191" s="66">
        <f>Calc!$FN$193</f>
        <v/>
      </c>
      <c r="N191" s="66">
        <f>Calc!$FO$193</f>
        <v/>
      </c>
      <c r="O191" s="65">
        <f>Calc!$FP$193</f>
        <v/>
      </c>
      <c r="P191" s="67">
        <f>Calc!$FQ$193</f>
        <v/>
      </c>
      <c r="Q191" s="68">
        <f>Calc!$FR$193</f>
        <v/>
      </c>
      <c r="R191" s="65">
        <f>Calc!$FS$193</f>
        <v/>
      </c>
      <c r="T191">
        <f>Calc!$EY$193</f>
        <v/>
      </c>
      <c r="U191">
        <f>Calc!$FT$193</f>
        <v/>
      </c>
      <c r="V191">
        <f>Calc!$FU$193</f>
        <v/>
      </c>
      <c r="W191">
        <f>Calc!$FC$193</f>
        <v/>
      </c>
      <c r="X191">
        <f>Calc!$EZ$193</f>
        <v/>
      </c>
      <c r="Y191">
        <f>Calc!$FA$193</f>
        <v/>
      </c>
      <c r="Z191">
        <f>Calc!$FV$193</f>
        <v/>
      </c>
      <c r="AA191">
        <f>IF($T191&lt;&gt;"row",0,IF($V191=1,IF($X191=1,IF($Y191=1,1,2),IF($Y191=1,3,4)),IF($X191=1,IF($Y191=1,5,6),IF($Y191=1,7,8))))</f>
        <v/>
      </c>
    </row>
    <row r="192" ht="11.25" customHeight="1">
      <c r="A192" s="64">
        <f>Calc!$FB$194</f>
        <v/>
      </c>
      <c r="B192" s="64">
        <f>Calc!$FC$194</f>
        <v/>
      </c>
      <c r="C192" s="65">
        <f>Calc!$FD$194</f>
        <v/>
      </c>
      <c r="D192" s="65">
        <f>Calc!$FE$194</f>
        <v/>
      </c>
      <c r="E192" s="65">
        <f>Calc!$FF$194</f>
        <v/>
      </c>
      <c r="F192" s="65">
        <f>Calc!$FG$194</f>
        <v/>
      </c>
      <c r="G192" s="65">
        <f>Calc!$FH$194</f>
        <v/>
      </c>
      <c r="H192" s="65">
        <f>Calc!$FI$194</f>
        <v/>
      </c>
      <c r="I192" s="65">
        <f>Calc!$FJ$194</f>
        <v/>
      </c>
      <c r="J192" s="65">
        <f>Calc!$FK$194</f>
        <v/>
      </c>
      <c r="K192" s="65">
        <f>Calc!$FL$194</f>
        <v/>
      </c>
      <c r="L192" s="65">
        <f>Calc!$FM$194</f>
        <v/>
      </c>
      <c r="M192" s="66">
        <f>Calc!$FN$194</f>
        <v/>
      </c>
      <c r="N192" s="66">
        <f>Calc!$FO$194</f>
        <v/>
      </c>
      <c r="O192" s="65">
        <f>Calc!$FP$194</f>
        <v/>
      </c>
      <c r="P192" s="67">
        <f>Calc!$FQ$194</f>
        <v/>
      </c>
      <c r="Q192" s="68">
        <f>Calc!$FR$194</f>
        <v/>
      </c>
      <c r="R192" s="65">
        <f>Calc!$FS$194</f>
        <v/>
      </c>
      <c r="T192">
        <f>Calc!$EY$194</f>
        <v/>
      </c>
      <c r="U192">
        <f>Calc!$FT$194</f>
        <v/>
      </c>
      <c r="V192">
        <f>Calc!$FU$194</f>
        <v/>
      </c>
      <c r="W192">
        <f>Calc!$FC$194</f>
        <v/>
      </c>
      <c r="X192">
        <f>Calc!$EZ$194</f>
        <v/>
      </c>
      <c r="Y192">
        <f>Calc!$FA$194</f>
        <v/>
      </c>
      <c r="Z192">
        <f>Calc!$FV$194</f>
        <v/>
      </c>
      <c r="AA192">
        <f>IF($T192&lt;&gt;"row",0,IF($V192=1,IF($X192=1,IF($Y192=1,1,2),IF($Y192=1,3,4)),IF($X192=1,IF($Y192=1,5,6),IF($Y192=1,7,8))))</f>
        <v/>
      </c>
    </row>
    <row r="193" ht="11.25" customHeight="1">
      <c r="A193" s="64">
        <f>Calc!$FB$195</f>
        <v/>
      </c>
      <c r="B193" s="64">
        <f>Calc!$FC$195</f>
        <v/>
      </c>
      <c r="C193" s="65">
        <f>Calc!$FD$195</f>
        <v/>
      </c>
      <c r="D193" s="65">
        <f>Calc!$FE$195</f>
        <v/>
      </c>
      <c r="E193" s="65">
        <f>Calc!$FF$195</f>
        <v/>
      </c>
      <c r="F193" s="65">
        <f>Calc!$FG$195</f>
        <v/>
      </c>
      <c r="G193" s="65">
        <f>Calc!$FH$195</f>
        <v/>
      </c>
      <c r="H193" s="65">
        <f>Calc!$FI$195</f>
        <v/>
      </c>
      <c r="I193" s="65">
        <f>Calc!$FJ$195</f>
        <v/>
      </c>
      <c r="J193" s="65">
        <f>Calc!$FK$195</f>
        <v/>
      </c>
      <c r="K193" s="65">
        <f>Calc!$FL$195</f>
        <v/>
      </c>
      <c r="L193" s="65">
        <f>Calc!$FM$195</f>
        <v/>
      </c>
      <c r="M193" s="66">
        <f>Calc!$FN$195</f>
        <v/>
      </c>
      <c r="N193" s="66">
        <f>Calc!$FO$195</f>
        <v/>
      </c>
      <c r="O193" s="65">
        <f>Calc!$FP$195</f>
        <v/>
      </c>
      <c r="P193" s="67">
        <f>Calc!$FQ$195</f>
        <v/>
      </c>
      <c r="Q193" s="68">
        <f>Calc!$FR$195</f>
        <v/>
      </c>
      <c r="R193" s="65">
        <f>Calc!$FS$195</f>
        <v/>
      </c>
      <c r="T193">
        <f>Calc!$EY$195</f>
        <v/>
      </c>
      <c r="U193">
        <f>Calc!$FT$195</f>
        <v/>
      </c>
      <c r="V193">
        <f>Calc!$FU$195</f>
        <v/>
      </c>
      <c r="W193">
        <f>Calc!$FC$195</f>
        <v/>
      </c>
      <c r="X193">
        <f>Calc!$EZ$195</f>
        <v/>
      </c>
      <c r="Y193">
        <f>Calc!$FA$195</f>
        <v/>
      </c>
      <c r="Z193">
        <f>Calc!$FV$195</f>
        <v/>
      </c>
      <c r="AA193">
        <f>IF($T193&lt;&gt;"row",0,IF($V193=1,IF($X193=1,IF($Y193=1,1,2),IF($Y193=1,3,4)),IF($X193=1,IF($Y193=1,5,6),IF($Y193=1,7,8))))</f>
        <v/>
      </c>
    </row>
    <row r="194" ht="11.25" customHeight="1">
      <c r="A194" s="64">
        <f>Calc!$FB$196</f>
        <v/>
      </c>
      <c r="B194" s="64">
        <f>Calc!$FC$196</f>
        <v/>
      </c>
      <c r="C194" s="65">
        <f>Calc!$FD$196</f>
        <v/>
      </c>
      <c r="D194" s="65">
        <f>Calc!$FE$196</f>
        <v/>
      </c>
      <c r="E194" s="65">
        <f>Calc!$FF$196</f>
        <v/>
      </c>
      <c r="F194" s="65">
        <f>Calc!$FG$196</f>
        <v/>
      </c>
      <c r="G194" s="65">
        <f>Calc!$FH$196</f>
        <v/>
      </c>
      <c r="H194" s="65">
        <f>Calc!$FI$196</f>
        <v/>
      </c>
      <c r="I194" s="65">
        <f>Calc!$FJ$196</f>
        <v/>
      </c>
      <c r="J194" s="65">
        <f>Calc!$FK$196</f>
        <v/>
      </c>
      <c r="K194" s="65">
        <f>Calc!$FL$196</f>
        <v/>
      </c>
      <c r="L194" s="65">
        <f>Calc!$FM$196</f>
        <v/>
      </c>
      <c r="M194" s="66">
        <f>Calc!$FN$196</f>
        <v/>
      </c>
      <c r="N194" s="66">
        <f>Calc!$FO$196</f>
        <v/>
      </c>
      <c r="O194" s="65">
        <f>Calc!$FP$196</f>
        <v/>
      </c>
      <c r="P194" s="67">
        <f>Calc!$FQ$196</f>
        <v/>
      </c>
      <c r="Q194" s="68">
        <f>Calc!$FR$196</f>
        <v/>
      </c>
      <c r="R194" s="65">
        <f>Calc!$FS$196</f>
        <v/>
      </c>
      <c r="T194">
        <f>Calc!$EY$196</f>
        <v/>
      </c>
      <c r="U194">
        <f>Calc!$FT$196</f>
        <v/>
      </c>
      <c r="V194">
        <f>Calc!$FU$196</f>
        <v/>
      </c>
      <c r="W194">
        <f>Calc!$FC$196</f>
        <v/>
      </c>
      <c r="X194">
        <f>Calc!$EZ$196</f>
        <v/>
      </c>
      <c r="Y194">
        <f>Calc!$FA$196</f>
        <v/>
      </c>
      <c r="Z194">
        <f>Calc!$FV$196</f>
        <v/>
      </c>
      <c r="AA194">
        <f>IF($T194&lt;&gt;"row",0,IF($V194=1,IF($X194=1,IF($Y194=1,1,2),IF($Y194=1,3,4)),IF($X194=1,IF($Y194=1,5,6),IF($Y194=1,7,8))))</f>
        <v/>
      </c>
    </row>
    <row r="195" ht="11.25" customHeight="1">
      <c r="A195" s="64">
        <f>Calc!$FB$197</f>
        <v/>
      </c>
      <c r="B195" s="64">
        <f>Calc!$FC$197</f>
        <v/>
      </c>
      <c r="C195" s="65">
        <f>Calc!$FD$197</f>
        <v/>
      </c>
      <c r="D195" s="65">
        <f>Calc!$FE$197</f>
        <v/>
      </c>
      <c r="E195" s="65">
        <f>Calc!$FF$197</f>
        <v/>
      </c>
      <c r="F195" s="65">
        <f>Calc!$FG$197</f>
        <v/>
      </c>
      <c r="G195" s="65">
        <f>Calc!$FH$197</f>
        <v/>
      </c>
      <c r="H195" s="65">
        <f>Calc!$FI$197</f>
        <v/>
      </c>
      <c r="I195" s="65">
        <f>Calc!$FJ$197</f>
        <v/>
      </c>
      <c r="J195" s="65">
        <f>Calc!$FK$197</f>
        <v/>
      </c>
      <c r="K195" s="65">
        <f>Calc!$FL$197</f>
        <v/>
      </c>
      <c r="L195" s="65">
        <f>Calc!$FM$197</f>
        <v/>
      </c>
      <c r="M195" s="66">
        <f>Calc!$FN$197</f>
        <v/>
      </c>
      <c r="N195" s="66">
        <f>Calc!$FO$197</f>
        <v/>
      </c>
      <c r="O195" s="65">
        <f>Calc!$FP$197</f>
        <v/>
      </c>
      <c r="P195" s="67">
        <f>Calc!$FQ$197</f>
        <v/>
      </c>
      <c r="Q195" s="68">
        <f>Calc!$FR$197</f>
        <v/>
      </c>
      <c r="R195" s="65">
        <f>Calc!$FS$197</f>
        <v/>
      </c>
      <c r="T195">
        <f>Calc!$EY$197</f>
        <v/>
      </c>
      <c r="U195">
        <f>Calc!$FT$197</f>
        <v/>
      </c>
      <c r="V195">
        <f>Calc!$FU$197</f>
        <v/>
      </c>
      <c r="W195">
        <f>Calc!$FC$197</f>
        <v/>
      </c>
      <c r="X195">
        <f>Calc!$EZ$197</f>
        <v/>
      </c>
      <c r="Y195">
        <f>Calc!$FA$197</f>
        <v/>
      </c>
      <c r="Z195">
        <f>Calc!$FV$197</f>
        <v/>
      </c>
      <c r="AA195">
        <f>IF($T195&lt;&gt;"row",0,IF($V195=1,IF($X195=1,IF($Y195=1,1,2),IF($Y195=1,3,4)),IF($X195=1,IF($Y195=1,5,6),IF($Y195=1,7,8))))</f>
        <v/>
      </c>
    </row>
    <row r="196" ht="11.25" customHeight="1">
      <c r="A196" s="64">
        <f>Calc!$FB$198</f>
        <v/>
      </c>
      <c r="B196" s="64">
        <f>Calc!$FC$198</f>
        <v/>
      </c>
      <c r="C196" s="65">
        <f>Calc!$FD$198</f>
        <v/>
      </c>
      <c r="D196" s="65">
        <f>Calc!$FE$198</f>
        <v/>
      </c>
      <c r="E196" s="65">
        <f>Calc!$FF$198</f>
        <v/>
      </c>
      <c r="F196" s="65">
        <f>Calc!$FG$198</f>
        <v/>
      </c>
      <c r="G196" s="65">
        <f>Calc!$FH$198</f>
        <v/>
      </c>
      <c r="H196" s="65">
        <f>Calc!$FI$198</f>
        <v/>
      </c>
      <c r="I196" s="65">
        <f>Calc!$FJ$198</f>
        <v/>
      </c>
      <c r="J196" s="65">
        <f>Calc!$FK$198</f>
        <v/>
      </c>
      <c r="K196" s="65">
        <f>Calc!$FL$198</f>
        <v/>
      </c>
      <c r="L196" s="65">
        <f>Calc!$FM$198</f>
        <v/>
      </c>
      <c r="M196" s="66">
        <f>Calc!$FN$198</f>
        <v/>
      </c>
      <c r="N196" s="66">
        <f>Calc!$FO$198</f>
        <v/>
      </c>
      <c r="O196" s="65">
        <f>Calc!$FP$198</f>
        <v/>
      </c>
      <c r="P196" s="67">
        <f>Calc!$FQ$198</f>
        <v/>
      </c>
      <c r="Q196" s="68">
        <f>Calc!$FR$198</f>
        <v/>
      </c>
      <c r="R196" s="65">
        <f>Calc!$FS$198</f>
        <v/>
      </c>
      <c r="T196">
        <f>Calc!$EY$198</f>
        <v/>
      </c>
      <c r="U196">
        <f>Calc!$FT$198</f>
        <v/>
      </c>
      <c r="V196">
        <f>Calc!$FU$198</f>
        <v/>
      </c>
      <c r="W196">
        <f>Calc!$FC$198</f>
        <v/>
      </c>
      <c r="X196">
        <f>Calc!$EZ$198</f>
        <v/>
      </c>
      <c r="Y196">
        <f>Calc!$FA$198</f>
        <v/>
      </c>
      <c r="Z196">
        <f>Calc!$FV$198</f>
        <v/>
      </c>
      <c r="AA196">
        <f>IF($T196&lt;&gt;"row",0,IF($V196=1,IF($X196=1,IF($Y196=1,1,2),IF($Y196=1,3,4)),IF($X196=1,IF($Y196=1,5,6),IF($Y196=1,7,8))))</f>
        <v/>
      </c>
    </row>
    <row r="197" ht="11.25" customHeight="1">
      <c r="A197" s="64">
        <f>Calc!$FB$199</f>
        <v/>
      </c>
      <c r="B197" s="64">
        <f>Calc!$FC$199</f>
        <v/>
      </c>
      <c r="C197" s="65">
        <f>Calc!$FD$199</f>
        <v/>
      </c>
      <c r="D197" s="65">
        <f>Calc!$FE$199</f>
        <v/>
      </c>
      <c r="E197" s="65">
        <f>Calc!$FF$199</f>
        <v/>
      </c>
      <c r="F197" s="65">
        <f>Calc!$FG$199</f>
        <v/>
      </c>
      <c r="G197" s="65">
        <f>Calc!$FH$199</f>
        <v/>
      </c>
      <c r="H197" s="65">
        <f>Calc!$FI$199</f>
        <v/>
      </c>
      <c r="I197" s="65">
        <f>Calc!$FJ$199</f>
        <v/>
      </c>
      <c r="J197" s="65">
        <f>Calc!$FK$199</f>
        <v/>
      </c>
      <c r="K197" s="65">
        <f>Calc!$FL$199</f>
        <v/>
      </c>
      <c r="L197" s="65">
        <f>Calc!$FM$199</f>
        <v/>
      </c>
      <c r="M197" s="66">
        <f>Calc!$FN$199</f>
        <v/>
      </c>
      <c r="N197" s="66">
        <f>Calc!$FO$199</f>
        <v/>
      </c>
      <c r="O197" s="65">
        <f>Calc!$FP$199</f>
        <v/>
      </c>
      <c r="P197" s="67">
        <f>Calc!$FQ$199</f>
        <v/>
      </c>
      <c r="Q197" s="68">
        <f>Calc!$FR$199</f>
        <v/>
      </c>
      <c r="R197" s="65">
        <f>Calc!$FS$199</f>
        <v/>
      </c>
      <c r="T197">
        <f>Calc!$EY$199</f>
        <v/>
      </c>
      <c r="U197">
        <f>Calc!$FT$199</f>
        <v/>
      </c>
      <c r="V197">
        <f>Calc!$FU$199</f>
        <v/>
      </c>
      <c r="W197">
        <f>Calc!$FC$199</f>
        <v/>
      </c>
      <c r="X197">
        <f>Calc!$EZ$199</f>
        <v/>
      </c>
      <c r="Y197">
        <f>Calc!$FA$199</f>
        <v/>
      </c>
      <c r="Z197">
        <f>Calc!$FV$199</f>
        <v/>
      </c>
      <c r="AA197">
        <f>IF($T197&lt;&gt;"row",0,IF($V197=1,IF($X197=1,IF($Y197=1,1,2),IF($Y197=1,3,4)),IF($X197=1,IF($Y197=1,5,6),IF($Y197=1,7,8))))</f>
        <v/>
      </c>
    </row>
    <row r="198" ht="11.25" customHeight="1">
      <c r="A198" s="64">
        <f>Calc!$FB$200</f>
        <v/>
      </c>
      <c r="B198" s="64">
        <f>Calc!$FC$200</f>
        <v/>
      </c>
      <c r="C198" s="65">
        <f>Calc!$FD$200</f>
        <v/>
      </c>
      <c r="D198" s="65">
        <f>Calc!$FE$200</f>
        <v/>
      </c>
      <c r="E198" s="65">
        <f>Calc!$FF$200</f>
        <v/>
      </c>
      <c r="F198" s="65">
        <f>Calc!$FG$200</f>
        <v/>
      </c>
      <c r="G198" s="65">
        <f>Calc!$FH$200</f>
        <v/>
      </c>
      <c r="H198" s="65">
        <f>Calc!$FI$200</f>
        <v/>
      </c>
      <c r="I198" s="65">
        <f>Calc!$FJ$200</f>
        <v/>
      </c>
      <c r="J198" s="65">
        <f>Calc!$FK$200</f>
        <v/>
      </c>
      <c r="K198" s="65">
        <f>Calc!$FL$200</f>
        <v/>
      </c>
      <c r="L198" s="65">
        <f>Calc!$FM$200</f>
        <v/>
      </c>
      <c r="M198" s="66">
        <f>Calc!$FN$200</f>
        <v/>
      </c>
      <c r="N198" s="66">
        <f>Calc!$FO$200</f>
        <v/>
      </c>
      <c r="O198" s="65">
        <f>Calc!$FP$200</f>
        <v/>
      </c>
      <c r="P198" s="67">
        <f>Calc!$FQ$200</f>
        <v/>
      </c>
      <c r="Q198" s="68">
        <f>Calc!$FR$200</f>
        <v/>
      </c>
      <c r="R198" s="65">
        <f>Calc!$FS$200</f>
        <v/>
      </c>
      <c r="T198">
        <f>Calc!$EY$200</f>
        <v/>
      </c>
      <c r="U198">
        <f>Calc!$FT$200</f>
        <v/>
      </c>
      <c r="V198">
        <f>Calc!$FU$200</f>
        <v/>
      </c>
      <c r="W198">
        <f>Calc!$FC$200</f>
        <v/>
      </c>
      <c r="X198">
        <f>Calc!$EZ$200</f>
        <v/>
      </c>
      <c r="Y198">
        <f>Calc!$FA$200</f>
        <v/>
      </c>
      <c r="Z198">
        <f>Calc!$FV$200</f>
        <v/>
      </c>
      <c r="AA198">
        <f>IF($T198&lt;&gt;"row",0,IF($V198=1,IF($X198=1,IF($Y198=1,1,2),IF($Y198=1,3,4)),IF($X198=1,IF($Y198=1,5,6),IF($Y198=1,7,8))))</f>
        <v/>
      </c>
    </row>
    <row r="199" ht="11.25" customHeight="1">
      <c r="A199" s="64">
        <f>Calc!$FB$201</f>
        <v/>
      </c>
      <c r="B199" s="64">
        <f>Calc!$FC$201</f>
        <v/>
      </c>
      <c r="C199" s="65">
        <f>Calc!$FD$201</f>
        <v/>
      </c>
      <c r="D199" s="65">
        <f>Calc!$FE$201</f>
        <v/>
      </c>
      <c r="E199" s="65">
        <f>Calc!$FF$201</f>
        <v/>
      </c>
      <c r="F199" s="65">
        <f>Calc!$FG$201</f>
        <v/>
      </c>
      <c r="G199" s="65">
        <f>Calc!$FH$201</f>
        <v/>
      </c>
      <c r="H199" s="65">
        <f>Calc!$FI$201</f>
        <v/>
      </c>
      <c r="I199" s="65">
        <f>Calc!$FJ$201</f>
        <v/>
      </c>
      <c r="J199" s="65">
        <f>Calc!$FK$201</f>
        <v/>
      </c>
      <c r="K199" s="65">
        <f>Calc!$FL$201</f>
        <v/>
      </c>
      <c r="L199" s="65">
        <f>Calc!$FM$201</f>
        <v/>
      </c>
      <c r="M199" s="66">
        <f>Calc!$FN$201</f>
        <v/>
      </c>
      <c r="N199" s="66">
        <f>Calc!$FO$201</f>
        <v/>
      </c>
      <c r="O199" s="65">
        <f>Calc!$FP$201</f>
        <v/>
      </c>
      <c r="P199" s="67">
        <f>Calc!$FQ$201</f>
        <v/>
      </c>
      <c r="Q199" s="68">
        <f>Calc!$FR$201</f>
        <v/>
      </c>
      <c r="R199" s="65">
        <f>Calc!$FS$201</f>
        <v/>
      </c>
      <c r="T199">
        <f>Calc!$EY$201</f>
        <v/>
      </c>
      <c r="U199">
        <f>Calc!$FT$201</f>
        <v/>
      </c>
      <c r="V199">
        <f>Calc!$FU$201</f>
        <v/>
      </c>
      <c r="W199">
        <f>Calc!$FC$201</f>
        <v/>
      </c>
      <c r="X199">
        <f>Calc!$EZ$201</f>
        <v/>
      </c>
      <c r="Y199">
        <f>Calc!$FA$201</f>
        <v/>
      </c>
      <c r="Z199">
        <f>Calc!$FV$201</f>
        <v/>
      </c>
      <c r="AA199">
        <f>IF($T199&lt;&gt;"row",0,IF($V199=1,IF($X199=1,IF($Y199=1,1,2),IF($Y199=1,3,4)),IF($X199=1,IF($Y199=1,5,6),IF($Y199=1,7,8))))</f>
        <v/>
      </c>
    </row>
    <row r="200" ht="11.25" customHeight="1">
      <c r="A200" s="64">
        <f>Calc!$FB$202</f>
        <v/>
      </c>
      <c r="B200" s="64">
        <f>Calc!$FC$202</f>
        <v/>
      </c>
      <c r="C200" s="65">
        <f>Calc!$FD$202</f>
        <v/>
      </c>
      <c r="D200" s="65">
        <f>Calc!$FE$202</f>
        <v/>
      </c>
      <c r="E200" s="65">
        <f>Calc!$FF$202</f>
        <v/>
      </c>
      <c r="F200" s="65">
        <f>Calc!$FG$202</f>
        <v/>
      </c>
      <c r="G200" s="65">
        <f>Calc!$FH$202</f>
        <v/>
      </c>
      <c r="H200" s="65">
        <f>Calc!$FI$202</f>
        <v/>
      </c>
      <c r="I200" s="65">
        <f>Calc!$FJ$202</f>
        <v/>
      </c>
      <c r="J200" s="65">
        <f>Calc!$FK$202</f>
        <v/>
      </c>
      <c r="K200" s="65">
        <f>Calc!$FL$202</f>
        <v/>
      </c>
      <c r="L200" s="65">
        <f>Calc!$FM$202</f>
        <v/>
      </c>
      <c r="M200" s="66">
        <f>Calc!$FN$202</f>
        <v/>
      </c>
      <c r="N200" s="66">
        <f>Calc!$FO$202</f>
        <v/>
      </c>
      <c r="O200" s="65">
        <f>Calc!$FP$202</f>
        <v/>
      </c>
      <c r="P200" s="67">
        <f>Calc!$FQ$202</f>
        <v/>
      </c>
      <c r="Q200" s="68">
        <f>Calc!$FR$202</f>
        <v/>
      </c>
      <c r="R200" s="65">
        <f>Calc!$FS$202</f>
        <v/>
      </c>
      <c r="T200">
        <f>Calc!$EY$202</f>
        <v/>
      </c>
      <c r="U200">
        <f>Calc!$FT$202</f>
        <v/>
      </c>
      <c r="V200">
        <f>Calc!$FU$202</f>
        <v/>
      </c>
      <c r="W200">
        <f>Calc!$FC$202</f>
        <v/>
      </c>
      <c r="X200">
        <f>Calc!$EZ$202</f>
        <v/>
      </c>
      <c r="Y200">
        <f>Calc!$FA$202</f>
        <v/>
      </c>
      <c r="Z200">
        <f>Calc!$FV$202</f>
        <v/>
      </c>
      <c r="AA200">
        <f>IF($T200&lt;&gt;"row",0,IF($V200=1,IF($X200=1,IF($Y200=1,1,2),IF($Y200=1,3,4)),IF($X200=1,IF($Y200=1,5,6),IF($Y200=1,7,8))))</f>
        <v/>
      </c>
    </row>
    <row r="201" ht="11.25" customHeight="1">
      <c r="A201" s="64">
        <f>Calc!$FB$203</f>
        <v/>
      </c>
      <c r="B201" s="64">
        <f>Calc!$FC$203</f>
        <v/>
      </c>
      <c r="C201" s="65">
        <f>Calc!$FD$203</f>
        <v/>
      </c>
      <c r="D201" s="65">
        <f>Calc!$FE$203</f>
        <v/>
      </c>
      <c r="E201" s="65">
        <f>Calc!$FF$203</f>
        <v/>
      </c>
      <c r="F201" s="65">
        <f>Calc!$FG$203</f>
        <v/>
      </c>
      <c r="G201" s="65">
        <f>Calc!$FH$203</f>
        <v/>
      </c>
      <c r="H201" s="65">
        <f>Calc!$FI$203</f>
        <v/>
      </c>
      <c r="I201" s="65">
        <f>Calc!$FJ$203</f>
        <v/>
      </c>
      <c r="J201" s="65">
        <f>Calc!$FK$203</f>
        <v/>
      </c>
      <c r="K201" s="65">
        <f>Calc!$FL$203</f>
        <v/>
      </c>
      <c r="L201" s="65">
        <f>Calc!$FM$203</f>
        <v/>
      </c>
      <c r="M201" s="66">
        <f>Calc!$FN$203</f>
        <v/>
      </c>
      <c r="N201" s="66">
        <f>Calc!$FO$203</f>
        <v/>
      </c>
      <c r="O201" s="65">
        <f>Calc!$FP$203</f>
        <v/>
      </c>
      <c r="P201" s="67">
        <f>Calc!$FQ$203</f>
        <v/>
      </c>
      <c r="Q201" s="68">
        <f>Calc!$FR$203</f>
        <v/>
      </c>
      <c r="R201" s="65">
        <f>Calc!$FS$203</f>
        <v/>
      </c>
      <c r="T201">
        <f>Calc!$EY$203</f>
        <v/>
      </c>
      <c r="U201">
        <f>Calc!$FT$203</f>
        <v/>
      </c>
      <c r="V201">
        <f>Calc!$FU$203</f>
        <v/>
      </c>
      <c r="W201">
        <f>Calc!$FC$203</f>
        <v/>
      </c>
      <c r="X201">
        <f>Calc!$EZ$203</f>
        <v/>
      </c>
      <c r="Y201">
        <f>Calc!$FA$203</f>
        <v/>
      </c>
      <c r="Z201">
        <f>Calc!$FV$203</f>
        <v/>
      </c>
      <c r="AA201">
        <f>IF($T201&lt;&gt;"row",0,IF($V201=1,IF($X201=1,IF($Y201=1,1,2),IF($Y201=1,3,4)),IF($X201=1,IF($Y201=1,5,6),IF($Y201=1,7,8))))</f>
        <v/>
      </c>
    </row>
    <row r="202" ht="11.25" customHeight="1">
      <c r="A202" s="64">
        <f>Calc!$FB$204</f>
        <v/>
      </c>
      <c r="B202" s="64">
        <f>Calc!$FC$204</f>
        <v/>
      </c>
      <c r="C202" s="65">
        <f>Calc!$FD$204</f>
        <v/>
      </c>
      <c r="D202" s="65">
        <f>Calc!$FE$204</f>
        <v/>
      </c>
      <c r="E202" s="65">
        <f>Calc!$FF$204</f>
        <v/>
      </c>
      <c r="F202" s="65">
        <f>Calc!$FG$204</f>
        <v/>
      </c>
      <c r="G202" s="65">
        <f>Calc!$FH$204</f>
        <v/>
      </c>
      <c r="H202" s="65">
        <f>Calc!$FI$204</f>
        <v/>
      </c>
      <c r="I202" s="65">
        <f>Calc!$FJ$204</f>
        <v/>
      </c>
      <c r="J202" s="65">
        <f>Calc!$FK$204</f>
        <v/>
      </c>
      <c r="K202" s="65">
        <f>Calc!$FL$204</f>
        <v/>
      </c>
      <c r="L202" s="65">
        <f>Calc!$FM$204</f>
        <v/>
      </c>
      <c r="M202" s="66">
        <f>Calc!$FN$204</f>
        <v/>
      </c>
      <c r="N202" s="66">
        <f>Calc!$FO$204</f>
        <v/>
      </c>
      <c r="O202" s="65">
        <f>Calc!$FP$204</f>
        <v/>
      </c>
      <c r="P202" s="67">
        <f>Calc!$FQ$204</f>
        <v/>
      </c>
      <c r="Q202" s="68">
        <f>Calc!$FR$204</f>
        <v/>
      </c>
      <c r="R202" s="65">
        <f>Calc!$FS$204</f>
        <v/>
      </c>
      <c r="T202">
        <f>Calc!$EY$204</f>
        <v/>
      </c>
      <c r="U202">
        <f>Calc!$FT$204</f>
        <v/>
      </c>
      <c r="V202">
        <f>Calc!$FU$204</f>
        <v/>
      </c>
      <c r="W202">
        <f>Calc!$FC$204</f>
        <v/>
      </c>
      <c r="X202">
        <f>Calc!$EZ$204</f>
        <v/>
      </c>
      <c r="Y202">
        <f>Calc!$FA$204</f>
        <v/>
      </c>
      <c r="Z202">
        <f>Calc!$FV$204</f>
        <v/>
      </c>
      <c r="AA202">
        <f>IF($T202&lt;&gt;"row",0,IF($V202=1,IF($X202=1,IF($Y202=1,1,2),IF($Y202=1,3,4)),IF($X202=1,IF($Y202=1,5,6),IF($Y202=1,7,8))))</f>
        <v/>
      </c>
    </row>
    <row r="203" ht="11.25" customHeight="1">
      <c r="A203" s="64">
        <f>Calc!$FB$205</f>
        <v/>
      </c>
      <c r="B203" s="64">
        <f>Calc!$FC$205</f>
        <v/>
      </c>
      <c r="C203" s="65">
        <f>Calc!$FD$205</f>
        <v/>
      </c>
      <c r="D203" s="65">
        <f>Calc!$FE$205</f>
        <v/>
      </c>
      <c r="E203" s="65">
        <f>Calc!$FF$205</f>
        <v/>
      </c>
      <c r="F203" s="65">
        <f>Calc!$FG$205</f>
        <v/>
      </c>
      <c r="G203" s="65">
        <f>Calc!$FH$205</f>
        <v/>
      </c>
      <c r="H203" s="65">
        <f>Calc!$FI$205</f>
        <v/>
      </c>
      <c r="I203" s="65">
        <f>Calc!$FJ$205</f>
        <v/>
      </c>
      <c r="J203" s="65">
        <f>Calc!$FK$205</f>
        <v/>
      </c>
      <c r="K203" s="65">
        <f>Calc!$FL$205</f>
        <v/>
      </c>
      <c r="L203" s="65">
        <f>Calc!$FM$205</f>
        <v/>
      </c>
      <c r="M203" s="66">
        <f>Calc!$FN$205</f>
        <v/>
      </c>
      <c r="N203" s="66">
        <f>Calc!$FO$205</f>
        <v/>
      </c>
      <c r="O203" s="65">
        <f>Calc!$FP$205</f>
        <v/>
      </c>
      <c r="P203" s="67">
        <f>Calc!$FQ$205</f>
        <v/>
      </c>
      <c r="Q203" s="68">
        <f>Calc!$FR$205</f>
        <v/>
      </c>
      <c r="R203" s="65">
        <f>Calc!$FS$205</f>
        <v/>
      </c>
      <c r="T203">
        <f>Calc!$EY$205</f>
        <v/>
      </c>
      <c r="U203">
        <f>Calc!$FT$205</f>
        <v/>
      </c>
      <c r="V203">
        <f>Calc!$FU$205</f>
        <v/>
      </c>
      <c r="W203">
        <f>Calc!$FC$205</f>
        <v/>
      </c>
      <c r="X203">
        <f>Calc!$EZ$205</f>
        <v/>
      </c>
      <c r="Y203">
        <f>Calc!$FA$205</f>
        <v/>
      </c>
      <c r="Z203">
        <f>Calc!$FV$205</f>
        <v/>
      </c>
      <c r="AA203">
        <f>IF($T203&lt;&gt;"row",0,IF($V203=1,IF($X203=1,IF($Y203=1,1,2),IF($Y203=1,3,4)),IF($X203=1,IF($Y203=1,5,6),IF($Y203=1,7,8))))</f>
        <v/>
      </c>
    </row>
    <row r="204" ht="11.25" customHeight="1">
      <c r="A204" s="64">
        <f>Calc!$FB$206</f>
        <v/>
      </c>
      <c r="B204" s="64">
        <f>Calc!$FC$206</f>
        <v/>
      </c>
      <c r="C204" s="65">
        <f>Calc!$FD$206</f>
        <v/>
      </c>
      <c r="D204" s="65">
        <f>Calc!$FE$206</f>
        <v/>
      </c>
      <c r="E204" s="65">
        <f>Calc!$FF$206</f>
        <v/>
      </c>
      <c r="F204" s="65">
        <f>Calc!$FG$206</f>
        <v/>
      </c>
      <c r="G204" s="65">
        <f>Calc!$FH$206</f>
        <v/>
      </c>
      <c r="H204" s="65">
        <f>Calc!$FI$206</f>
        <v/>
      </c>
      <c r="I204" s="65">
        <f>Calc!$FJ$206</f>
        <v/>
      </c>
      <c r="J204" s="65">
        <f>Calc!$FK$206</f>
        <v/>
      </c>
      <c r="K204" s="65">
        <f>Calc!$FL$206</f>
        <v/>
      </c>
      <c r="L204" s="65">
        <f>Calc!$FM$206</f>
        <v/>
      </c>
      <c r="M204" s="66">
        <f>Calc!$FN$206</f>
        <v/>
      </c>
      <c r="N204" s="66">
        <f>Calc!$FO$206</f>
        <v/>
      </c>
      <c r="O204" s="65">
        <f>Calc!$FP$206</f>
        <v/>
      </c>
      <c r="P204" s="67">
        <f>Calc!$FQ$206</f>
        <v/>
      </c>
      <c r="Q204" s="68">
        <f>Calc!$FR$206</f>
        <v/>
      </c>
      <c r="R204" s="65">
        <f>Calc!$FS$206</f>
        <v/>
      </c>
      <c r="T204">
        <f>Calc!$EY$206</f>
        <v/>
      </c>
      <c r="U204">
        <f>Calc!$FT$206</f>
        <v/>
      </c>
      <c r="V204">
        <f>Calc!$FU$206</f>
        <v/>
      </c>
      <c r="W204">
        <f>Calc!$FC$206</f>
        <v/>
      </c>
      <c r="X204">
        <f>Calc!$EZ$206</f>
        <v/>
      </c>
      <c r="Y204">
        <f>Calc!$FA$206</f>
        <v/>
      </c>
      <c r="Z204">
        <f>Calc!$FV$206</f>
        <v/>
      </c>
      <c r="AA204">
        <f>IF($T204&lt;&gt;"row",0,IF($V204=1,IF($X204=1,IF($Y204=1,1,2),IF($Y204=1,3,4)),IF($X204=1,IF($Y204=1,5,6),IF($Y204=1,7,8))))</f>
        <v/>
      </c>
    </row>
    <row r="205" ht="11.25" customHeight="1">
      <c r="A205" s="64">
        <f>Calc!$FB$207</f>
        <v/>
      </c>
      <c r="B205" s="64">
        <f>Calc!$FC$207</f>
        <v/>
      </c>
      <c r="C205" s="65">
        <f>Calc!$FD$207</f>
        <v/>
      </c>
      <c r="D205" s="65">
        <f>Calc!$FE$207</f>
        <v/>
      </c>
      <c r="E205" s="65">
        <f>Calc!$FF$207</f>
        <v/>
      </c>
      <c r="F205" s="65">
        <f>Calc!$FG$207</f>
        <v/>
      </c>
      <c r="G205" s="65">
        <f>Calc!$FH$207</f>
        <v/>
      </c>
      <c r="H205" s="65">
        <f>Calc!$FI$207</f>
        <v/>
      </c>
      <c r="I205" s="65">
        <f>Calc!$FJ$207</f>
        <v/>
      </c>
      <c r="J205" s="65">
        <f>Calc!$FK$207</f>
        <v/>
      </c>
      <c r="K205" s="65">
        <f>Calc!$FL$207</f>
        <v/>
      </c>
      <c r="L205" s="65">
        <f>Calc!$FM$207</f>
        <v/>
      </c>
      <c r="M205" s="66">
        <f>Calc!$FN$207</f>
        <v/>
      </c>
      <c r="N205" s="66">
        <f>Calc!$FO$207</f>
        <v/>
      </c>
      <c r="O205" s="65">
        <f>Calc!$FP$207</f>
        <v/>
      </c>
      <c r="P205" s="67">
        <f>Calc!$FQ$207</f>
        <v/>
      </c>
      <c r="Q205" s="68">
        <f>Calc!$FR$207</f>
        <v/>
      </c>
      <c r="R205" s="65">
        <f>Calc!$FS$207</f>
        <v/>
      </c>
      <c r="T205">
        <f>Calc!$EY$207</f>
        <v/>
      </c>
      <c r="U205">
        <f>Calc!$FT$207</f>
        <v/>
      </c>
      <c r="V205">
        <f>Calc!$FU$207</f>
        <v/>
      </c>
      <c r="W205">
        <f>Calc!$FC$207</f>
        <v/>
      </c>
      <c r="X205">
        <f>Calc!$EZ$207</f>
        <v/>
      </c>
      <c r="Y205">
        <f>Calc!$FA$207</f>
        <v/>
      </c>
      <c r="Z205">
        <f>Calc!$FV$207</f>
        <v/>
      </c>
      <c r="AA205">
        <f>IF($T205&lt;&gt;"row",0,IF($V205=1,IF($X205=1,IF($Y205=1,1,2),IF($Y205=1,3,4)),IF($X205=1,IF($Y205=1,5,6),IF($Y205=1,7,8))))</f>
        <v/>
      </c>
    </row>
    <row r="206" ht="11.25" customHeight="1">
      <c r="A206" s="64">
        <f>Calc!$FB$208</f>
        <v/>
      </c>
      <c r="B206" s="64">
        <f>Calc!$FC$208</f>
        <v/>
      </c>
      <c r="C206" s="65">
        <f>Calc!$FD$208</f>
        <v/>
      </c>
      <c r="D206" s="65">
        <f>Calc!$FE$208</f>
        <v/>
      </c>
      <c r="E206" s="65">
        <f>Calc!$FF$208</f>
        <v/>
      </c>
      <c r="F206" s="65">
        <f>Calc!$FG$208</f>
        <v/>
      </c>
      <c r="G206" s="65">
        <f>Calc!$FH$208</f>
        <v/>
      </c>
      <c r="H206" s="65">
        <f>Calc!$FI$208</f>
        <v/>
      </c>
      <c r="I206" s="65">
        <f>Calc!$FJ$208</f>
        <v/>
      </c>
      <c r="J206" s="65">
        <f>Calc!$FK$208</f>
        <v/>
      </c>
      <c r="K206" s="65">
        <f>Calc!$FL$208</f>
        <v/>
      </c>
      <c r="L206" s="65">
        <f>Calc!$FM$208</f>
        <v/>
      </c>
      <c r="M206" s="66">
        <f>Calc!$FN$208</f>
        <v/>
      </c>
      <c r="N206" s="66">
        <f>Calc!$FO$208</f>
        <v/>
      </c>
      <c r="O206" s="65">
        <f>Calc!$FP$208</f>
        <v/>
      </c>
      <c r="P206" s="67">
        <f>Calc!$FQ$208</f>
        <v/>
      </c>
      <c r="Q206" s="68">
        <f>Calc!$FR$208</f>
        <v/>
      </c>
      <c r="R206" s="65">
        <f>Calc!$FS$208</f>
        <v/>
      </c>
      <c r="T206">
        <f>Calc!$EY$208</f>
        <v/>
      </c>
      <c r="U206">
        <f>Calc!$FT$208</f>
        <v/>
      </c>
      <c r="V206">
        <f>Calc!$FU$208</f>
        <v/>
      </c>
      <c r="W206">
        <f>Calc!$FC$208</f>
        <v/>
      </c>
      <c r="X206">
        <f>Calc!$EZ$208</f>
        <v/>
      </c>
      <c r="Y206">
        <f>Calc!$FA$208</f>
        <v/>
      </c>
      <c r="Z206">
        <f>Calc!$FV$208</f>
        <v/>
      </c>
      <c r="AA206">
        <f>IF($T206&lt;&gt;"row",0,IF($V206=1,IF($X206=1,IF($Y206=1,1,2),IF($Y206=1,3,4)),IF($X206=1,IF($Y206=1,5,6),IF($Y206=1,7,8))))</f>
        <v/>
      </c>
    </row>
    <row r="207" ht="11.25" customHeight="1">
      <c r="A207" s="64">
        <f>Calc!$FB$209</f>
        <v/>
      </c>
      <c r="B207" s="64">
        <f>Calc!$FC$209</f>
        <v/>
      </c>
      <c r="C207" s="65">
        <f>Calc!$FD$209</f>
        <v/>
      </c>
      <c r="D207" s="65">
        <f>Calc!$FE$209</f>
        <v/>
      </c>
      <c r="E207" s="65">
        <f>Calc!$FF$209</f>
        <v/>
      </c>
      <c r="F207" s="65">
        <f>Calc!$FG$209</f>
        <v/>
      </c>
      <c r="G207" s="65">
        <f>Calc!$FH$209</f>
        <v/>
      </c>
      <c r="H207" s="65">
        <f>Calc!$FI$209</f>
        <v/>
      </c>
      <c r="I207" s="65">
        <f>Calc!$FJ$209</f>
        <v/>
      </c>
      <c r="J207" s="65">
        <f>Calc!$FK$209</f>
        <v/>
      </c>
      <c r="K207" s="65">
        <f>Calc!$FL$209</f>
        <v/>
      </c>
      <c r="L207" s="65">
        <f>Calc!$FM$209</f>
        <v/>
      </c>
      <c r="M207" s="66">
        <f>Calc!$FN$209</f>
        <v/>
      </c>
      <c r="N207" s="66">
        <f>Calc!$FO$209</f>
        <v/>
      </c>
      <c r="O207" s="65">
        <f>Calc!$FP$209</f>
        <v/>
      </c>
      <c r="P207" s="67">
        <f>Calc!$FQ$209</f>
        <v/>
      </c>
      <c r="Q207" s="68">
        <f>Calc!$FR$209</f>
        <v/>
      </c>
      <c r="R207" s="65">
        <f>Calc!$FS$209</f>
        <v/>
      </c>
      <c r="T207">
        <f>Calc!$EY$209</f>
        <v/>
      </c>
      <c r="U207">
        <f>Calc!$FT$209</f>
        <v/>
      </c>
      <c r="V207">
        <f>Calc!$FU$209</f>
        <v/>
      </c>
      <c r="W207">
        <f>Calc!$FC$209</f>
        <v/>
      </c>
      <c r="X207">
        <f>Calc!$EZ$209</f>
        <v/>
      </c>
      <c r="Y207">
        <f>Calc!$FA$209</f>
        <v/>
      </c>
      <c r="Z207">
        <f>Calc!$FV$209</f>
        <v/>
      </c>
      <c r="AA207">
        <f>IF($T207&lt;&gt;"row",0,IF($V207=1,IF($X207=1,IF($Y207=1,1,2),IF($Y207=1,3,4)),IF($X207=1,IF($Y207=1,5,6),IF($Y207=1,7,8))))</f>
        <v/>
      </c>
    </row>
    <row r="208" ht="11.25" customHeight="1">
      <c r="A208" s="64">
        <f>Calc!$FB$210</f>
        <v/>
      </c>
      <c r="B208" s="64">
        <f>Calc!$FC$210</f>
        <v/>
      </c>
      <c r="C208" s="65">
        <f>Calc!$FD$210</f>
        <v/>
      </c>
      <c r="D208" s="65">
        <f>Calc!$FE$210</f>
        <v/>
      </c>
      <c r="E208" s="65">
        <f>Calc!$FF$210</f>
        <v/>
      </c>
      <c r="F208" s="65">
        <f>Calc!$FG$210</f>
        <v/>
      </c>
      <c r="G208" s="65">
        <f>Calc!$FH$210</f>
        <v/>
      </c>
      <c r="H208" s="65">
        <f>Calc!$FI$210</f>
        <v/>
      </c>
      <c r="I208" s="65">
        <f>Calc!$FJ$210</f>
        <v/>
      </c>
      <c r="J208" s="65">
        <f>Calc!$FK$210</f>
        <v/>
      </c>
      <c r="K208" s="65">
        <f>Calc!$FL$210</f>
        <v/>
      </c>
      <c r="L208" s="65">
        <f>Calc!$FM$210</f>
        <v/>
      </c>
      <c r="M208" s="66">
        <f>Calc!$FN$210</f>
        <v/>
      </c>
      <c r="N208" s="66">
        <f>Calc!$FO$210</f>
        <v/>
      </c>
      <c r="O208" s="65">
        <f>Calc!$FP$210</f>
        <v/>
      </c>
      <c r="P208" s="67">
        <f>Calc!$FQ$210</f>
        <v/>
      </c>
      <c r="Q208" s="68">
        <f>Calc!$FR$210</f>
        <v/>
      </c>
      <c r="R208" s="65">
        <f>Calc!$FS$210</f>
        <v/>
      </c>
      <c r="T208">
        <f>Calc!$EY$210</f>
        <v/>
      </c>
      <c r="U208">
        <f>Calc!$FT$210</f>
        <v/>
      </c>
      <c r="V208">
        <f>Calc!$FU$210</f>
        <v/>
      </c>
      <c r="W208">
        <f>Calc!$FC$210</f>
        <v/>
      </c>
      <c r="X208">
        <f>Calc!$EZ$210</f>
        <v/>
      </c>
      <c r="Y208">
        <f>Calc!$FA$210</f>
        <v/>
      </c>
      <c r="Z208">
        <f>Calc!$FV$210</f>
        <v/>
      </c>
      <c r="AA208">
        <f>IF($T208&lt;&gt;"row",0,IF($V208=1,IF($X208=1,IF($Y208=1,1,2),IF($Y208=1,3,4)),IF($X208=1,IF($Y208=1,5,6),IF($Y208=1,7,8))))</f>
        <v/>
      </c>
    </row>
    <row r="209" ht="11.25" customHeight="1">
      <c r="A209" s="64">
        <f>Calc!$FB$211</f>
        <v/>
      </c>
      <c r="B209" s="64">
        <f>Calc!$FC$211</f>
        <v/>
      </c>
      <c r="C209" s="65">
        <f>Calc!$FD$211</f>
        <v/>
      </c>
      <c r="D209" s="65">
        <f>Calc!$FE$211</f>
        <v/>
      </c>
      <c r="E209" s="65">
        <f>Calc!$FF$211</f>
        <v/>
      </c>
      <c r="F209" s="65">
        <f>Calc!$FG$211</f>
        <v/>
      </c>
      <c r="G209" s="65">
        <f>Calc!$FH$211</f>
        <v/>
      </c>
      <c r="H209" s="65">
        <f>Calc!$FI$211</f>
        <v/>
      </c>
      <c r="I209" s="65">
        <f>Calc!$FJ$211</f>
        <v/>
      </c>
      <c r="J209" s="65">
        <f>Calc!$FK$211</f>
        <v/>
      </c>
      <c r="K209" s="65">
        <f>Calc!$FL$211</f>
        <v/>
      </c>
      <c r="L209" s="65">
        <f>Calc!$FM$211</f>
        <v/>
      </c>
      <c r="M209" s="66">
        <f>Calc!$FN$211</f>
        <v/>
      </c>
      <c r="N209" s="66">
        <f>Calc!$FO$211</f>
        <v/>
      </c>
      <c r="O209" s="65">
        <f>Calc!$FP$211</f>
        <v/>
      </c>
      <c r="P209" s="67">
        <f>Calc!$FQ$211</f>
        <v/>
      </c>
      <c r="Q209" s="68">
        <f>Calc!$FR$211</f>
        <v/>
      </c>
      <c r="R209" s="65">
        <f>Calc!$FS$211</f>
        <v/>
      </c>
      <c r="T209">
        <f>Calc!$EY$211</f>
        <v/>
      </c>
      <c r="U209">
        <f>Calc!$FT$211</f>
        <v/>
      </c>
      <c r="V209">
        <f>Calc!$FU$211</f>
        <v/>
      </c>
      <c r="W209">
        <f>Calc!$FC$211</f>
        <v/>
      </c>
      <c r="X209">
        <f>Calc!$EZ$211</f>
        <v/>
      </c>
      <c r="Y209">
        <f>Calc!$FA$211</f>
        <v/>
      </c>
      <c r="Z209">
        <f>Calc!$FV$211</f>
        <v/>
      </c>
      <c r="AA209">
        <f>IF($T209&lt;&gt;"row",0,IF($V209=1,IF($X209=1,IF($Y209=1,1,2),IF($Y209=1,3,4)),IF($X209=1,IF($Y209=1,5,6),IF($Y209=1,7,8))))</f>
        <v/>
      </c>
    </row>
    <row r="210" ht="11.25" customHeight="1">
      <c r="A210" s="64">
        <f>Calc!$FB$212</f>
        <v/>
      </c>
      <c r="B210" s="64">
        <f>Calc!$FC$212</f>
        <v/>
      </c>
      <c r="C210" s="65">
        <f>Calc!$FD$212</f>
        <v/>
      </c>
      <c r="D210" s="65">
        <f>Calc!$FE$212</f>
        <v/>
      </c>
      <c r="E210" s="65">
        <f>Calc!$FF$212</f>
        <v/>
      </c>
      <c r="F210" s="65">
        <f>Calc!$FG$212</f>
        <v/>
      </c>
      <c r="G210" s="65">
        <f>Calc!$FH$212</f>
        <v/>
      </c>
      <c r="H210" s="65">
        <f>Calc!$FI$212</f>
        <v/>
      </c>
      <c r="I210" s="65">
        <f>Calc!$FJ$212</f>
        <v/>
      </c>
      <c r="J210" s="65">
        <f>Calc!$FK$212</f>
        <v/>
      </c>
      <c r="K210" s="65">
        <f>Calc!$FL$212</f>
        <v/>
      </c>
      <c r="L210" s="65">
        <f>Calc!$FM$212</f>
        <v/>
      </c>
      <c r="M210" s="66">
        <f>Calc!$FN$212</f>
        <v/>
      </c>
      <c r="N210" s="66">
        <f>Calc!$FO$212</f>
        <v/>
      </c>
      <c r="O210" s="65">
        <f>Calc!$FP$212</f>
        <v/>
      </c>
      <c r="P210" s="67">
        <f>Calc!$FQ$212</f>
        <v/>
      </c>
      <c r="Q210" s="68">
        <f>Calc!$FR$212</f>
        <v/>
      </c>
      <c r="R210" s="65">
        <f>Calc!$FS$212</f>
        <v/>
      </c>
      <c r="T210">
        <f>Calc!$EY$212</f>
        <v/>
      </c>
      <c r="U210">
        <f>Calc!$FT$212</f>
        <v/>
      </c>
      <c r="V210">
        <f>Calc!$FU$212</f>
        <v/>
      </c>
      <c r="W210">
        <f>Calc!$FC$212</f>
        <v/>
      </c>
      <c r="X210">
        <f>Calc!$EZ$212</f>
        <v/>
      </c>
      <c r="Y210">
        <f>Calc!$FA$212</f>
        <v/>
      </c>
      <c r="Z210">
        <f>Calc!$FV$212</f>
        <v/>
      </c>
      <c r="AA210">
        <f>IF($T210&lt;&gt;"row",0,IF($V210=1,IF($X210=1,IF($Y210=1,1,2),IF($Y210=1,3,4)),IF($X210=1,IF($Y210=1,5,6),IF($Y210=1,7,8))))</f>
        <v/>
      </c>
    </row>
    <row r="211" ht="11.25" customHeight="1">
      <c r="A211" s="64">
        <f>Calc!$FB$213</f>
        <v/>
      </c>
      <c r="B211" s="64">
        <f>Calc!$FC$213</f>
        <v/>
      </c>
      <c r="C211" s="65">
        <f>Calc!$FD$213</f>
        <v/>
      </c>
      <c r="D211" s="65">
        <f>Calc!$FE$213</f>
        <v/>
      </c>
      <c r="E211" s="65">
        <f>Calc!$FF$213</f>
        <v/>
      </c>
      <c r="F211" s="65">
        <f>Calc!$FG$213</f>
        <v/>
      </c>
      <c r="G211" s="65">
        <f>Calc!$FH$213</f>
        <v/>
      </c>
      <c r="H211" s="65">
        <f>Calc!$FI$213</f>
        <v/>
      </c>
      <c r="I211" s="65">
        <f>Calc!$FJ$213</f>
        <v/>
      </c>
      <c r="J211" s="65">
        <f>Calc!$FK$213</f>
        <v/>
      </c>
      <c r="K211" s="65">
        <f>Calc!$FL$213</f>
        <v/>
      </c>
      <c r="L211" s="65">
        <f>Calc!$FM$213</f>
        <v/>
      </c>
      <c r="M211" s="66">
        <f>Calc!$FN$213</f>
        <v/>
      </c>
      <c r="N211" s="66">
        <f>Calc!$FO$213</f>
        <v/>
      </c>
      <c r="O211" s="65">
        <f>Calc!$FP$213</f>
        <v/>
      </c>
      <c r="P211" s="67">
        <f>Calc!$FQ$213</f>
        <v/>
      </c>
      <c r="Q211" s="68">
        <f>Calc!$FR$213</f>
        <v/>
      </c>
      <c r="R211" s="65">
        <f>Calc!$FS$213</f>
        <v/>
      </c>
      <c r="T211">
        <f>Calc!$EY$213</f>
        <v/>
      </c>
      <c r="U211">
        <f>Calc!$FT$213</f>
        <v/>
      </c>
      <c r="V211">
        <f>Calc!$FU$213</f>
        <v/>
      </c>
      <c r="W211">
        <f>Calc!$FC$213</f>
        <v/>
      </c>
      <c r="X211">
        <f>Calc!$EZ$213</f>
        <v/>
      </c>
      <c r="Y211">
        <f>Calc!$FA$213</f>
        <v/>
      </c>
      <c r="Z211">
        <f>Calc!$FV$213</f>
        <v/>
      </c>
      <c r="AA211">
        <f>IF($T211&lt;&gt;"row",0,IF($V211=1,IF($X211=1,IF($Y211=1,1,2),IF($Y211=1,3,4)),IF($X211=1,IF($Y211=1,5,6),IF($Y211=1,7,8))))</f>
        <v/>
      </c>
    </row>
    <row r="212" ht="11.25" customHeight="1">
      <c r="A212" s="64">
        <f>Calc!$FB$214</f>
        <v/>
      </c>
      <c r="B212" s="64">
        <f>Calc!$FC$214</f>
        <v/>
      </c>
      <c r="C212" s="65">
        <f>Calc!$FD$214</f>
        <v/>
      </c>
      <c r="D212" s="65">
        <f>Calc!$FE$214</f>
        <v/>
      </c>
      <c r="E212" s="65">
        <f>Calc!$FF$214</f>
        <v/>
      </c>
      <c r="F212" s="65">
        <f>Calc!$FG$214</f>
        <v/>
      </c>
      <c r="G212" s="65">
        <f>Calc!$FH$214</f>
        <v/>
      </c>
      <c r="H212" s="65">
        <f>Calc!$FI$214</f>
        <v/>
      </c>
      <c r="I212" s="65">
        <f>Calc!$FJ$214</f>
        <v/>
      </c>
      <c r="J212" s="65">
        <f>Calc!$FK$214</f>
        <v/>
      </c>
      <c r="K212" s="65">
        <f>Calc!$FL$214</f>
        <v/>
      </c>
      <c r="L212" s="65">
        <f>Calc!$FM$214</f>
        <v/>
      </c>
      <c r="M212" s="66">
        <f>Calc!$FN$214</f>
        <v/>
      </c>
      <c r="N212" s="66">
        <f>Calc!$FO$214</f>
        <v/>
      </c>
      <c r="O212" s="65">
        <f>Calc!$FP$214</f>
        <v/>
      </c>
      <c r="P212" s="67">
        <f>Calc!$FQ$214</f>
        <v/>
      </c>
      <c r="Q212" s="68">
        <f>Calc!$FR$214</f>
        <v/>
      </c>
      <c r="R212" s="65">
        <f>Calc!$FS$214</f>
        <v/>
      </c>
      <c r="T212">
        <f>Calc!$EY$214</f>
        <v/>
      </c>
      <c r="U212">
        <f>Calc!$FT$214</f>
        <v/>
      </c>
      <c r="V212">
        <f>Calc!$FU$214</f>
        <v/>
      </c>
      <c r="W212">
        <f>Calc!$FC$214</f>
        <v/>
      </c>
      <c r="X212">
        <f>Calc!$EZ$214</f>
        <v/>
      </c>
      <c r="Y212">
        <f>Calc!$FA$214</f>
        <v/>
      </c>
      <c r="Z212">
        <f>Calc!$FV$214</f>
        <v/>
      </c>
      <c r="AA212">
        <f>IF($T212&lt;&gt;"row",0,IF($V212=1,IF($X212=1,IF($Y212=1,1,2),IF($Y212=1,3,4)),IF($X212=1,IF($Y212=1,5,6),IF($Y212=1,7,8))))</f>
        <v/>
      </c>
    </row>
    <row r="213" ht="11.25" customHeight="1">
      <c r="A213" s="64">
        <f>Calc!$FB$215</f>
        <v/>
      </c>
      <c r="B213" s="64">
        <f>Calc!$FC$215</f>
        <v/>
      </c>
      <c r="C213" s="65">
        <f>Calc!$FD$215</f>
        <v/>
      </c>
      <c r="D213" s="65">
        <f>Calc!$FE$215</f>
        <v/>
      </c>
      <c r="E213" s="65">
        <f>Calc!$FF$215</f>
        <v/>
      </c>
      <c r="F213" s="65">
        <f>Calc!$FG$215</f>
        <v/>
      </c>
      <c r="G213" s="65">
        <f>Calc!$FH$215</f>
        <v/>
      </c>
      <c r="H213" s="65">
        <f>Calc!$FI$215</f>
        <v/>
      </c>
      <c r="I213" s="65">
        <f>Calc!$FJ$215</f>
        <v/>
      </c>
      <c r="J213" s="65">
        <f>Calc!$FK$215</f>
        <v/>
      </c>
      <c r="K213" s="65">
        <f>Calc!$FL$215</f>
        <v/>
      </c>
      <c r="L213" s="65">
        <f>Calc!$FM$215</f>
        <v/>
      </c>
      <c r="M213" s="66">
        <f>Calc!$FN$215</f>
        <v/>
      </c>
      <c r="N213" s="66">
        <f>Calc!$FO$215</f>
        <v/>
      </c>
      <c r="O213" s="65">
        <f>Calc!$FP$215</f>
        <v/>
      </c>
      <c r="P213" s="67">
        <f>Calc!$FQ$215</f>
        <v/>
      </c>
      <c r="Q213" s="68">
        <f>Calc!$FR$215</f>
        <v/>
      </c>
      <c r="R213" s="65">
        <f>Calc!$FS$215</f>
        <v/>
      </c>
      <c r="T213">
        <f>Calc!$EY$215</f>
        <v/>
      </c>
      <c r="U213">
        <f>Calc!$FT$215</f>
        <v/>
      </c>
      <c r="V213">
        <f>Calc!$FU$215</f>
        <v/>
      </c>
      <c r="W213">
        <f>Calc!$FC$215</f>
        <v/>
      </c>
      <c r="X213">
        <f>Calc!$EZ$215</f>
        <v/>
      </c>
      <c r="Y213">
        <f>Calc!$FA$215</f>
        <v/>
      </c>
      <c r="Z213">
        <f>Calc!$FV$215</f>
        <v/>
      </c>
      <c r="AA213">
        <f>IF($T213&lt;&gt;"row",0,IF($V213=1,IF($X213=1,IF($Y213=1,1,2),IF($Y213=1,3,4)),IF($X213=1,IF($Y213=1,5,6),IF($Y213=1,7,8))))</f>
        <v/>
      </c>
    </row>
    <row r="214" ht="11.25" customHeight="1">
      <c r="A214" s="64">
        <f>Calc!$FB$216</f>
        <v/>
      </c>
      <c r="B214" s="64">
        <f>Calc!$FC$216</f>
        <v/>
      </c>
      <c r="C214" s="65">
        <f>Calc!$FD$216</f>
        <v/>
      </c>
      <c r="D214" s="65">
        <f>Calc!$FE$216</f>
        <v/>
      </c>
      <c r="E214" s="65">
        <f>Calc!$FF$216</f>
        <v/>
      </c>
      <c r="F214" s="65">
        <f>Calc!$FG$216</f>
        <v/>
      </c>
      <c r="G214" s="65">
        <f>Calc!$FH$216</f>
        <v/>
      </c>
      <c r="H214" s="65">
        <f>Calc!$FI$216</f>
        <v/>
      </c>
      <c r="I214" s="65">
        <f>Calc!$FJ$216</f>
        <v/>
      </c>
      <c r="J214" s="65">
        <f>Calc!$FK$216</f>
        <v/>
      </c>
      <c r="K214" s="65">
        <f>Calc!$FL$216</f>
        <v/>
      </c>
      <c r="L214" s="65">
        <f>Calc!$FM$216</f>
        <v/>
      </c>
      <c r="M214" s="66">
        <f>Calc!$FN$216</f>
        <v/>
      </c>
      <c r="N214" s="66">
        <f>Calc!$FO$216</f>
        <v/>
      </c>
      <c r="O214" s="65">
        <f>Calc!$FP$216</f>
        <v/>
      </c>
      <c r="P214" s="67">
        <f>Calc!$FQ$216</f>
        <v/>
      </c>
      <c r="Q214" s="68">
        <f>Calc!$FR$216</f>
        <v/>
      </c>
      <c r="R214" s="65">
        <f>Calc!$FS$216</f>
        <v/>
      </c>
      <c r="T214">
        <f>Calc!$EY$216</f>
        <v/>
      </c>
      <c r="U214">
        <f>Calc!$FT$216</f>
        <v/>
      </c>
      <c r="V214">
        <f>Calc!$FU$216</f>
        <v/>
      </c>
      <c r="W214">
        <f>Calc!$FC$216</f>
        <v/>
      </c>
      <c r="X214">
        <f>Calc!$EZ$216</f>
        <v/>
      </c>
      <c r="Y214">
        <f>Calc!$FA$216</f>
        <v/>
      </c>
      <c r="Z214">
        <f>Calc!$FV$216</f>
        <v/>
      </c>
      <c r="AA214">
        <f>IF($T214&lt;&gt;"row",0,IF($V214=1,IF($X214=1,IF($Y214=1,1,2),IF($Y214=1,3,4)),IF($X214=1,IF($Y214=1,5,6),IF($Y214=1,7,8))))</f>
        <v/>
      </c>
    </row>
    <row r="215" ht="11.25" customHeight="1">
      <c r="A215" s="64">
        <f>Calc!$FB$217</f>
        <v/>
      </c>
      <c r="B215" s="64">
        <f>Calc!$FC$217</f>
        <v/>
      </c>
      <c r="C215" s="65">
        <f>Calc!$FD$217</f>
        <v/>
      </c>
      <c r="D215" s="65">
        <f>Calc!$FE$217</f>
        <v/>
      </c>
      <c r="E215" s="65">
        <f>Calc!$FF$217</f>
        <v/>
      </c>
      <c r="F215" s="65">
        <f>Calc!$FG$217</f>
        <v/>
      </c>
      <c r="G215" s="65">
        <f>Calc!$FH$217</f>
        <v/>
      </c>
      <c r="H215" s="65">
        <f>Calc!$FI$217</f>
        <v/>
      </c>
      <c r="I215" s="65">
        <f>Calc!$FJ$217</f>
        <v/>
      </c>
      <c r="J215" s="65">
        <f>Calc!$FK$217</f>
        <v/>
      </c>
      <c r="K215" s="65">
        <f>Calc!$FL$217</f>
        <v/>
      </c>
      <c r="L215" s="65">
        <f>Calc!$FM$217</f>
        <v/>
      </c>
      <c r="M215" s="66">
        <f>Calc!$FN$217</f>
        <v/>
      </c>
      <c r="N215" s="66">
        <f>Calc!$FO$217</f>
        <v/>
      </c>
      <c r="O215" s="65">
        <f>Calc!$FP$217</f>
        <v/>
      </c>
      <c r="P215" s="67">
        <f>Calc!$FQ$217</f>
        <v/>
      </c>
      <c r="Q215" s="68">
        <f>Calc!$FR$217</f>
        <v/>
      </c>
      <c r="R215" s="65">
        <f>Calc!$FS$217</f>
        <v/>
      </c>
      <c r="T215">
        <f>Calc!$EY$217</f>
        <v/>
      </c>
      <c r="U215">
        <f>Calc!$FT$217</f>
        <v/>
      </c>
      <c r="V215">
        <f>Calc!$FU$217</f>
        <v/>
      </c>
      <c r="W215">
        <f>Calc!$FC$217</f>
        <v/>
      </c>
      <c r="X215">
        <f>Calc!$EZ$217</f>
        <v/>
      </c>
      <c r="Y215">
        <f>Calc!$FA$217</f>
        <v/>
      </c>
      <c r="Z215">
        <f>Calc!$FV$217</f>
        <v/>
      </c>
      <c r="AA215">
        <f>IF($T215&lt;&gt;"row",0,IF($V215=1,IF($X215=1,IF($Y215=1,1,2),IF($Y215=1,3,4)),IF($X215=1,IF($Y215=1,5,6),IF($Y215=1,7,8))))</f>
        <v/>
      </c>
    </row>
    <row r="216" ht="11.25" customHeight="1">
      <c r="A216" s="64">
        <f>Calc!$FB$218</f>
        <v/>
      </c>
      <c r="B216" s="64">
        <f>Calc!$FC$218</f>
        <v/>
      </c>
      <c r="C216" s="65">
        <f>Calc!$FD$218</f>
        <v/>
      </c>
      <c r="D216" s="65">
        <f>Calc!$FE$218</f>
        <v/>
      </c>
      <c r="E216" s="65">
        <f>Calc!$FF$218</f>
        <v/>
      </c>
      <c r="F216" s="65">
        <f>Calc!$FG$218</f>
        <v/>
      </c>
      <c r="G216" s="65">
        <f>Calc!$FH$218</f>
        <v/>
      </c>
      <c r="H216" s="65">
        <f>Calc!$FI$218</f>
        <v/>
      </c>
      <c r="I216" s="65">
        <f>Calc!$FJ$218</f>
        <v/>
      </c>
      <c r="J216" s="65">
        <f>Calc!$FK$218</f>
        <v/>
      </c>
      <c r="K216" s="65">
        <f>Calc!$FL$218</f>
        <v/>
      </c>
      <c r="L216" s="65">
        <f>Calc!$FM$218</f>
        <v/>
      </c>
      <c r="M216" s="66">
        <f>Calc!$FN$218</f>
        <v/>
      </c>
      <c r="N216" s="66">
        <f>Calc!$FO$218</f>
        <v/>
      </c>
      <c r="O216" s="65">
        <f>Calc!$FP$218</f>
        <v/>
      </c>
      <c r="P216" s="67">
        <f>Calc!$FQ$218</f>
        <v/>
      </c>
      <c r="Q216" s="68">
        <f>Calc!$FR$218</f>
        <v/>
      </c>
      <c r="R216" s="65">
        <f>Calc!$FS$218</f>
        <v/>
      </c>
      <c r="T216">
        <f>Calc!$EY$218</f>
        <v/>
      </c>
      <c r="U216">
        <f>Calc!$FT$218</f>
        <v/>
      </c>
      <c r="V216">
        <f>Calc!$FU$218</f>
        <v/>
      </c>
      <c r="W216">
        <f>Calc!$FC$218</f>
        <v/>
      </c>
      <c r="X216">
        <f>Calc!$EZ$218</f>
        <v/>
      </c>
      <c r="Y216">
        <f>Calc!$FA$218</f>
        <v/>
      </c>
      <c r="Z216">
        <f>Calc!$FV$218</f>
        <v/>
      </c>
      <c r="AA216">
        <f>IF($T216&lt;&gt;"row",0,IF($V216=1,IF($X216=1,IF($Y216=1,1,2),IF($Y216=1,3,4)),IF($X216=1,IF($Y216=1,5,6),IF($Y216=1,7,8))))</f>
        <v/>
      </c>
    </row>
    <row r="217" ht="11.25" customHeight="1">
      <c r="A217" s="64">
        <f>Calc!$FB$219</f>
        <v/>
      </c>
      <c r="B217" s="64">
        <f>Calc!$FC$219</f>
        <v/>
      </c>
      <c r="C217" s="65">
        <f>Calc!$FD$219</f>
        <v/>
      </c>
      <c r="D217" s="65">
        <f>Calc!$FE$219</f>
        <v/>
      </c>
      <c r="E217" s="65">
        <f>Calc!$FF$219</f>
        <v/>
      </c>
      <c r="F217" s="65">
        <f>Calc!$FG$219</f>
        <v/>
      </c>
      <c r="G217" s="65">
        <f>Calc!$FH$219</f>
        <v/>
      </c>
      <c r="H217" s="65">
        <f>Calc!$FI$219</f>
        <v/>
      </c>
      <c r="I217" s="65">
        <f>Calc!$FJ$219</f>
        <v/>
      </c>
      <c r="J217" s="65">
        <f>Calc!$FK$219</f>
        <v/>
      </c>
      <c r="K217" s="65">
        <f>Calc!$FL$219</f>
        <v/>
      </c>
      <c r="L217" s="65">
        <f>Calc!$FM$219</f>
        <v/>
      </c>
      <c r="M217" s="66">
        <f>Calc!$FN$219</f>
        <v/>
      </c>
      <c r="N217" s="66">
        <f>Calc!$FO$219</f>
        <v/>
      </c>
      <c r="O217" s="65">
        <f>Calc!$FP$219</f>
        <v/>
      </c>
      <c r="P217" s="67">
        <f>Calc!$FQ$219</f>
        <v/>
      </c>
      <c r="Q217" s="68">
        <f>Calc!$FR$219</f>
        <v/>
      </c>
      <c r="R217" s="65">
        <f>Calc!$FS$219</f>
        <v/>
      </c>
      <c r="T217">
        <f>Calc!$EY$219</f>
        <v/>
      </c>
      <c r="U217">
        <f>Calc!$FT$219</f>
        <v/>
      </c>
      <c r="V217">
        <f>Calc!$FU$219</f>
        <v/>
      </c>
      <c r="W217">
        <f>Calc!$FC$219</f>
        <v/>
      </c>
      <c r="X217">
        <f>Calc!$EZ$219</f>
        <v/>
      </c>
      <c r="Y217">
        <f>Calc!$FA$219</f>
        <v/>
      </c>
      <c r="Z217">
        <f>Calc!$FV$219</f>
        <v/>
      </c>
      <c r="AA217">
        <f>IF($T217&lt;&gt;"row",0,IF($V217=1,IF($X217=1,IF($Y217=1,1,2),IF($Y217=1,3,4)),IF($X217=1,IF($Y217=1,5,6),IF($Y217=1,7,8))))</f>
        <v/>
      </c>
    </row>
    <row r="218" ht="11.25" customHeight="1">
      <c r="A218" s="64">
        <f>Calc!$FB$220</f>
        <v/>
      </c>
      <c r="B218" s="64">
        <f>Calc!$FC$220</f>
        <v/>
      </c>
      <c r="C218" s="65">
        <f>Calc!$FD$220</f>
        <v/>
      </c>
      <c r="D218" s="65">
        <f>Calc!$FE$220</f>
        <v/>
      </c>
      <c r="E218" s="65">
        <f>Calc!$FF$220</f>
        <v/>
      </c>
      <c r="F218" s="65">
        <f>Calc!$FG$220</f>
        <v/>
      </c>
      <c r="G218" s="65">
        <f>Calc!$FH$220</f>
        <v/>
      </c>
      <c r="H218" s="65">
        <f>Calc!$FI$220</f>
        <v/>
      </c>
      <c r="I218" s="65">
        <f>Calc!$FJ$220</f>
        <v/>
      </c>
      <c r="J218" s="65">
        <f>Calc!$FK$220</f>
        <v/>
      </c>
      <c r="K218" s="65">
        <f>Calc!$FL$220</f>
        <v/>
      </c>
      <c r="L218" s="65">
        <f>Calc!$FM$220</f>
        <v/>
      </c>
      <c r="M218" s="66">
        <f>Calc!$FN$220</f>
        <v/>
      </c>
      <c r="N218" s="66">
        <f>Calc!$FO$220</f>
        <v/>
      </c>
      <c r="O218" s="65">
        <f>Calc!$FP$220</f>
        <v/>
      </c>
      <c r="P218" s="67">
        <f>Calc!$FQ$220</f>
        <v/>
      </c>
      <c r="Q218" s="68">
        <f>Calc!$FR$220</f>
        <v/>
      </c>
      <c r="R218" s="65">
        <f>Calc!$FS$220</f>
        <v/>
      </c>
      <c r="T218">
        <f>Calc!$EY$220</f>
        <v/>
      </c>
      <c r="U218">
        <f>Calc!$FT$220</f>
        <v/>
      </c>
      <c r="V218">
        <f>Calc!$FU$220</f>
        <v/>
      </c>
      <c r="W218">
        <f>Calc!$FC$220</f>
        <v/>
      </c>
      <c r="X218">
        <f>Calc!$EZ$220</f>
        <v/>
      </c>
      <c r="Y218">
        <f>Calc!$FA$220</f>
        <v/>
      </c>
      <c r="Z218">
        <f>Calc!$FV$220</f>
        <v/>
      </c>
      <c r="AA218">
        <f>IF($T218&lt;&gt;"row",0,IF($V218=1,IF($X218=1,IF($Y218=1,1,2),IF($Y218=1,3,4)),IF($X218=1,IF($Y218=1,5,6),IF($Y218=1,7,8))))</f>
        <v/>
      </c>
    </row>
    <row r="219" ht="11.25" customHeight="1">
      <c r="A219" s="64">
        <f>Calc!$FB$221</f>
        <v/>
      </c>
      <c r="B219" s="64">
        <f>Calc!$FC$221</f>
        <v/>
      </c>
      <c r="C219" s="65">
        <f>Calc!$FD$221</f>
        <v/>
      </c>
      <c r="D219" s="65">
        <f>Calc!$FE$221</f>
        <v/>
      </c>
      <c r="E219" s="65">
        <f>Calc!$FF$221</f>
        <v/>
      </c>
      <c r="F219" s="65">
        <f>Calc!$FG$221</f>
        <v/>
      </c>
      <c r="G219" s="65">
        <f>Calc!$FH$221</f>
        <v/>
      </c>
      <c r="H219" s="65">
        <f>Calc!$FI$221</f>
        <v/>
      </c>
      <c r="I219" s="65">
        <f>Calc!$FJ$221</f>
        <v/>
      </c>
      <c r="J219" s="65">
        <f>Calc!$FK$221</f>
        <v/>
      </c>
      <c r="K219" s="65">
        <f>Calc!$FL$221</f>
        <v/>
      </c>
      <c r="L219" s="65">
        <f>Calc!$FM$221</f>
        <v/>
      </c>
      <c r="M219" s="66">
        <f>Calc!$FN$221</f>
        <v/>
      </c>
      <c r="N219" s="66">
        <f>Calc!$FO$221</f>
        <v/>
      </c>
      <c r="O219" s="65">
        <f>Calc!$FP$221</f>
        <v/>
      </c>
      <c r="P219" s="67">
        <f>Calc!$FQ$221</f>
        <v/>
      </c>
      <c r="Q219" s="68">
        <f>Calc!$FR$221</f>
        <v/>
      </c>
      <c r="R219" s="65">
        <f>Calc!$FS$221</f>
        <v/>
      </c>
      <c r="T219">
        <f>Calc!$EY$221</f>
        <v/>
      </c>
      <c r="U219">
        <f>Calc!$FT$221</f>
        <v/>
      </c>
      <c r="V219">
        <f>Calc!$FU$221</f>
        <v/>
      </c>
      <c r="W219">
        <f>Calc!$FC$221</f>
        <v/>
      </c>
      <c r="X219">
        <f>Calc!$EZ$221</f>
        <v/>
      </c>
      <c r="Y219">
        <f>Calc!$FA$221</f>
        <v/>
      </c>
      <c r="Z219">
        <f>Calc!$FV$221</f>
        <v/>
      </c>
      <c r="AA219">
        <f>IF($T219&lt;&gt;"row",0,IF($V219=1,IF($X219=1,IF($Y219=1,1,2),IF($Y219=1,3,4)),IF($X219=1,IF($Y219=1,5,6),IF($Y219=1,7,8))))</f>
        <v/>
      </c>
    </row>
    <row r="220" ht="11.25" customHeight="1">
      <c r="A220" s="64">
        <f>Calc!$FB$222</f>
        <v/>
      </c>
      <c r="B220" s="64">
        <f>Calc!$FC$222</f>
        <v/>
      </c>
      <c r="C220" s="65">
        <f>Calc!$FD$222</f>
        <v/>
      </c>
      <c r="D220" s="65">
        <f>Calc!$FE$222</f>
        <v/>
      </c>
      <c r="E220" s="65">
        <f>Calc!$FF$222</f>
        <v/>
      </c>
      <c r="F220" s="65">
        <f>Calc!$FG$222</f>
        <v/>
      </c>
      <c r="G220" s="65">
        <f>Calc!$FH$222</f>
        <v/>
      </c>
      <c r="H220" s="65">
        <f>Calc!$FI$222</f>
        <v/>
      </c>
      <c r="I220" s="65">
        <f>Calc!$FJ$222</f>
        <v/>
      </c>
      <c r="J220" s="65">
        <f>Calc!$FK$222</f>
        <v/>
      </c>
      <c r="K220" s="65">
        <f>Calc!$FL$222</f>
        <v/>
      </c>
      <c r="L220" s="65">
        <f>Calc!$FM$222</f>
        <v/>
      </c>
      <c r="M220" s="66">
        <f>Calc!$FN$222</f>
        <v/>
      </c>
      <c r="N220" s="66">
        <f>Calc!$FO$222</f>
        <v/>
      </c>
      <c r="O220" s="65">
        <f>Calc!$FP$222</f>
        <v/>
      </c>
      <c r="P220" s="67">
        <f>Calc!$FQ$222</f>
        <v/>
      </c>
      <c r="Q220" s="68">
        <f>Calc!$FR$222</f>
        <v/>
      </c>
      <c r="R220" s="65">
        <f>Calc!$FS$222</f>
        <v/>
      </c>
      <c r="T220">
        <f>Calc!$EY$222</f>
        <v/>
      </c>
      <c r="U220">
        <f>Calc!$FT$222</f>
        <v/>
      </c>
      <c r="V220">
        <f>Calc!$FU$222</f>
        <v/>
      </c>
      <c r="W220">
        <f>Calc!$FC$222</f>
        <v/>
      </c>
      <c r="X220">
        <f>Calc!$EZ$222</f>
        <v/>
      </c>
      <c r="Y220">
        <f>Calc!$FA$222</f>
        <v/>
      </c>
      <c r="Z220">
        <f>Calc!$FV$222</f>
        <v/>
      </c>
      <c r="AA220">
        <f>IF($T220&lt;&gt;"row",0,IF($V220=1,IF($X220=1,IF($Y220=1,1,2),IF($Y220=1,3,4)),IF($X220=1,IF($Y220=1,5,6),IF($Y220=1,7,8))))</f>
        <v/>
      </c>
    </row>
    <row r="221" ht="11.25" customHeight="1">
      <c r="A221" s="64">
        <f>Calc!$FB$223</f>
        <v/>
      </c>
      <c r="B221" s="64">
        <f>Calc!$FC$223</f>
        <v/>
      </c>
      <c r="C221" s="65">
        <f>Calc!$FD$223</f>
        <v/>
      </c>
      <c r="D221" s="65">
        <f>Calc!$FE$223</f>
        <v/>
      </c>
      <c r="E221" s="65">
        <f>Calc!$FF$223</f>
        <v/>
      </c>
      <c r="F221" s="65">
        <f>Calc!$FG$223</f>
        <v/>
      </c>
      <c r="G221" s="65">
        <f>Calc!$FH$223</f>
        <v/>
      </c>
      <c r="H221" s="65">
        <f>Calc!$FI$223</f>
        <v/>
      </c>
      <c r="I221" s="65">
        <f>Calc!$FJ$223</f>
        <v/>
      </c>
      <c r="J221" s="65">
        <f>Calc!$FK$223</f>
        <v/>
      </c>
      <c r="K221" s="65">
        <f>Calc!$FL$223</f>
        <v/>
      </c>
      <c r="L221" s="65">
        <f>Calc!$FM$223</f>
        <v/>
      </c>
      <c r="M221" s="66">
        <f>Calc!$FN$223</f>
        <v/>
      </c>
      <c r="N221" s="66">
        <f>Calc!$FO$223</f>
        <v/>
      </c>
      <c r="O221" s="65">
        <f>Calc!$FP$223</f>
        <v/>
      </c>
      <c r="P221" s="67">
        <f>Calc!$FQ$223</f>
        <v/>
      </c>
      <c r="Q221" s="68">
        <f>Calc!$FR$223</f>
        <v/>
      </c>
      <c r="R221" s="65">
        <f>Calc!$FS$223</f>
        <v/>
      </c>
      <c r="T221">
        <f>Calc!$EY$223</f>
        <v/>
      </c>
      <c r="U221">
        <f>Calc!$FT$223</f>
        <v/>
      </c>
      <c r="V221">
        <f>Calc!$FU$223</f>
        <v/>
      </c>
      <c r="W221">
        <f>Calc!$FC$223</f>
        <v/>
      </c>
      <c r="X221">
        <f>Calc!$EZ$223</f>
        <v/>
      </c>
      <c r="Y221">
        <f>Calc!$FA$223</f>
        <v/>
      </c>
      <c r="Z221">
        <f>Calc!$FV$223</f>
        <v/>
      </c>
      <c r="AA221">
        <f>IF($T221&lt;&gt;"row",0,IF($V221=1,IF($X221=1,IF($Y221=1,1,2),IF($Y221=1,3,4)),IF($X221=1,IF($Y221=1,5,6),IF($Y221=1,7,8))))</f>
        <v/>
      </c>
    </row>
    <row r="222" ht="11.25" customHeight="1">
      <c r="A222" s="64">
        <f>Calc!$FB$224</f>
        <v/>
      </c>
      <c r="B222" s="64">
        <f>Calc!$FC$224</f>
        <v/>
      </c>
      <c r="C222" s="65">
        <f>Calc!$FD$224</f>
        <v/>
      </c>
      <c r="D222" s="65">
        <f>Calc!$FE$224</f>
        <v/>
      </c>
      <c r="E222" s="65">
        <f>Calc!$FF$224</f>
        <v/>
      </c>
      <c r="F222" s="65">
        <f>Calc!$FG$224</f>
        <v/>
      </c>
      <c r="G222" s="65">
        <f>Calc!$FH$224</f>
        <v/>
      </c>
      <c r="H222" s="65">
        <f>Calc!$FI$224</f>
        <v/>
      </c>
      <c r="I222" s="65">
        <f>Calc!$FJ$224</f>
        <v/>
      </c>
      <c r="J222" s="65">
        <f>Calc!$FK$224</f>
        <v/>
      </c>
      <c r="K222" s="65">
        <f>Calc!$FL$224</f>
        <v/>
      </c>
      <c r="L222" s="65">
        <f>Calc!$FM$224</f>
        <v/>
      </c>
      <c r="M222" s="66">
        <f>Calc!$FN$224</f>
        <v/>
      </c>
      <c r="N222" s="66">
        <f>Calc!$FO$224</f>
        <v/>
      </c>
      <c r="O222" s="65">
        <f>Calc!$FP$224</f>
        <v/>
      </c>
      <c r="P222" s="67">
        <f>Calc!$FQ$224</f>
        <v/>
      </c>
      <c r="Q222" s="68">
        <f>Calc!$FR$224</f>
        <v/>
      </c>
      <c r="R222" s="65">
        <f>Calc!$FS$224</f>
        <v/>
      </c>
      <c r="T222">
        <f>Calc!$EY$224</f>
        <v/>
      </c>
      <c r="U222">
        <f>Calc!$FT$224</f>
        <v/>
      </c>
      <c r="V222">
        <f>Calc!$FU$224</f>
        <v/>
      </c>
      <c r="W222">
        <f>Calc!$FC$224</f>
        <v/>
      </c>
      <c r="X222">
        <f>Calc!$EZ$224</f>
        <v/>
      </c>
      <c r="Y222">
        <f>Calc!$FA$224</f>
        <v/>
      </c>
      <c r="Z222">
        <f>Calc!$FV$224</f>
        <v/>
      </c>
      <c r="AA222">
        <f>IF($T222&lt;&gt;"row",0,IF($V222=1,IF($X222=1,IF($Y222=1,1,2),IF($Y222=1,3,4)),IF($X222=1,IF($Y222=1,5,6),IF($Y222=1,7,8))))</f>
        <v/>
      </c>
    </row>
    <row r="223" ht="11.25" customHeight="1">
      <c r="A223" s="64">
        <f>Calc!$FB$225</f>
        <v/>
      </c>
      <c r="B223" s="64">
        <f>Calc!$FC$225</f>
        <v/>
      </c>
      <c r="C223" s="65">
        <f>Calc!$FD$225</f>
        <v/>
      </c>
      <c r="D223" s="65">
        <f>Calc!$FE$225</f>
        <v/>
      </c>
      <c r="E223" s="65">
        <f>Calc!$FF$225</f>
        <v/>
      </c>
      <c r="F223" s="65">
        <f>Calc!$FG$225</f>
        <v/>
      </c>
      <c r="G223" s="65">
        <f>Calc!$FH$225</f>
        <v/>
      </c>
      <c r="H223" s="65">
        <f>Calc!$FI$225</f>
        <v/>
      </c>
      <c r="I223" s="65">
        <f>Calc!$FJ$225</f>
        <v/>
      </c>
      <c r="J223" s="65">
        <f>Calc!$FK$225</f>
        <v/>
      </c>
      <c r="K223" s="65">
        <f>Calc!$FL$225</f>
        <v/>
      </c>
      <c r="L223" s="65">
        <f>Calc!$FM$225</f>
        <v/>
      </c>
      <c r="M223" s="66">
        <f>Calc!$FN$225</f>
        <v/>
      </c>
      <c r="N223" s="66">
        <f>Calc!$FO$225</f>
        <v/>
      </c>
      <c r="O223" s="65">
        <f>Calc!$FP$225</f>
        <v/>
      </c>
      <c r="P223" s="67">
        <f>Calc!$FQ$225</f>
        <v/>
      </c>
      <c r="Q223" s="68">
        <f>Calc!$FR$225</f>
        <v/>
      </c>
      <c r="R223" s="65">
        <f>Calc!$FS$225</f>
        <v/>
      </c>
      <c r="T223">
        <f>Calc!$EY$225</f>
        <v/>
      </c>
      <c r="U223">
        <f>Calc!$FT$225</f>
        <v/>
      </c>
      <c r="V223">
        <f>Calc!$FU$225</f>
        <v/>
      </c>
      <c r="W223">
        <f>Calc!$FC$225</f>
        <v/>
      </c>
      <c r="X223">
        <f>Calc!$EZ$225</f>
        <v/>
      </c>
      <c r="Y223">
        <f>Calc!$FA$225</f>
        <v/>
      </c>
      <c r="Z223">
        <f>Calc!$FV$225</f>
        <v/>
      </c>
      <c r="AA223">
        <f>IF($T223&lt;&gt;"row",0,IF($V223=1,IF($X223=1,IF($Y223=1,1,2),IF($Y223=1,3,4)),IF($X223=1,IF($Y223=1,5,6),IF($Y223=1,7,8))))</f>
        <v/>
      </c>
    </row>
    <row r="224" ht="11.25" customHeight="1">
      <c r="A224" s="64">
        <f>Calc!$FB$226</f>
        <v/>
      </c>
      <c r="B224" s="64">
        <f>Calc!$FC$226</f>
        <v/>
      </c>
      <c r="C224" s="65">
        <f>Calc!$FD$226</f>
        <v/>
      </c>
      <c r="D224" s="65">
        <f>Calc!$FE$226</f>
        <v/>
      </c>
      <c r="E224" s="65">
        <f>Calc!$FF$226</f>
        <v/>
      </c>
      <c r="F224" s="65">
        <f>Calc!$FG$226</f>
        <v/>
      </c>
      <c r="G224" s="65">
        <f>Calc!$FH$226</f>
        <v/>
      </c>
      <c r="H224" s="65">
        <f>Calc!$FI$226</f>
        <v/>
      </c>
      <c r="I224" s="65">
        <f>Calc!$FJ$226</f>
        <v/>
      </c>
      <c r="J224" s="65">
        <f>Calc!$FK$226</f>
        <v/>
      </c>
      <c r="K224" s="65">
        <f>Calc!$FL$226</f>
        <v/>
      </c>
      <c r="L224" s="65">
        <f>Calc!$FM$226</f>
        <v/>
      </c>
      <c r="M224" s="66">
        <f>Calc!$FN$226</f>
        <v/>
      </c>
      <c r="N224" s="66">
        <f>Calc!$FO$226</f>
        <v/>
      </c>
      <c r="O224" s="65">
        <f>Calc!$FP$226</f>
        <v/>
      </c>
      <c r="P224" s="67">
        <f>Calc!$FQ$226</f>
        <v/>
      </c>
      <c r="Q224" s="68">
        <f>Calc!$FR$226</f>
        <v/>
      </c>
      <c r="R224" s="65">
        <f>Calc!$FS$226</f>
        <v/>
      </c>
      <c r="T224">
        <f>Calc!$EY$226</f>
        <v/>
      </c>
      <c r="U224">
        <f>Calc!$FT$226</f>
        <v/>
      </c>
      <c r="V224">
        <f>Calc!$FU$226</f>
        <v/>
      </c>
      <c r="W224">
        <f>Calc!$FC$226</f>
        <v/>
      </c>
      <c r="X224">
        <f>Calc!$EZ$226</f>
        <v/>
      </c>
      <c r="Y224">
        <f>Calc!$FA$226</f>
        <v/>
      </c>
      <c r="Z224">
        <f>Calc!$FV$226</f>
        <v/>
      </c>
      <c r="AA224">
        <f>IF($T224&lt;&gt;"row",0,IF($V224=1,IF($X224=1,IF($Y224=1,1,2),IF($Y224=1,3,4)),IF($X224=1,IF($Y224=1,5,6),IF($Y224=1,7,8))))</f>
        <v/>
      </c>
    </row>
    <row r="225" ht="11.25" customHeight="1">
      <c r="A225" s="64">
        <f>Calc!$FB$227</f>
        <v/>
      </c>
      <c r="B225" s="64">
        <f>Calc!$FC$227</f>
        <v/>
      </c>
      <c r="C225" s="65">
        <f>Calc!$FD$227</f>
        <v/>
      </c>
      <c r="D225" s="65">
        <f>Calc!$FE$227</f>
        <v/>
      </c>
      <c r="E225" s="65">
        <f>Calc!$FF$227</f>
        <v/>
      </c>
      <c r="F225" s="65">
        <f>Calc!$FG$227</f>
        <v/>
      </c>
      <c r="G225" s="65">
        <f>Calc!$FH$227</f>
        <v/>
      </c>
      <c r="H225" s="65">
        <f>Calc!$FI$227</f>
        <v/>
      </c>
      <c r="I225" s="65">
        <f>Calc!$FJ$227</f>
        <v/>
      </c>
      <c r="J225" s="65">
        <f>Calc!$FK$227</f>
        <v/>
      </c>
      <c r="K225" s="65">
        <f>Calc!$FL$227</f>
        <v/>
      </c>
      <c r="L225" s="65">
        <f>Calc!$FM$227</f>
        <v/>
      </c>
      <c r="M225" s="66">
        <f>Calc!$FN$227</f>
        <v/>
      </c>
      <c r="N225" s="66">
        <f>Calc!$FO$227</f>
        <v/>
      </c>
      <c r="O225" s="65">
        <f>Calc!$FP$227</f>
        <v/>
      </c>
      <c r="P225" s="67">
        <f>Calc!$FQ$227</f>
        <v/>
      </c>
      <c r="Q225" s="68">
        <f>Calc!$FR$227</f>
        <v/>
      </c>
      <c r="R225" s="65">
        <f>Calc!$FS$227</f>
        <v/>
      </c>
      <c r="T225">
        <f>Calc!$EY$227</f>
        <v/>
      </c>
      <c r="U225">
        <f>Calc!$FT$227</f>
        <v/>
      </c>
      <c r="V225">
        <f>Calc!$FU$227</f>
        <v/>
      </c>
      <c r="W225">
        <f>Calc!$FC$227</f>
        <v/>
      </c>
      <c r="X225">
        <f>Calc!$EZ$227</f>
        <v/>
      </c>
      <c r="Y225">
        <f>Calc!$FA$227</f>
        <v/>
      </c>
      <c r="Z225">
        <f>Calc!$FV$227</f>
        <v/>
      </c>
      <c r="AA225">
        <f>IF($T225&lt;&gt;"row",0,IF($V225=1,IF($X225=1,IF($Y225=1,1,2),IF($Y225=1,3,4)),IF($X225=1,IF($Y225=1,5,6),IF($Y225=1,7,8))))</f>
        <v/>
      </c>
    </row>
    <row r="226" ht="11.25" customHeight="1">
      <c r="A226" s="64">
        <f>Calc!$FB$228</f>
        <v/>
      </c>
      <c r="B226" s="64">
        <f>Calc!$FC$228</f>
        <v/>
      </c>
      <c r="C226" s="65">
        <f>Calc!$FD$228</f>
        <v/>
      </c>
      <c r="D226" s="65">
        <f>Calc!$FE$228</f>
        <v/>
      </c>
      <c r="E226" s="65">
        <f>Calc!$FF$228</f>
        <v/>
      </c>
      <c r="F226" s="65">
        <f>Calc!$FG$228</f>
        <v/>
      </c>
      <c r="G226" s="65">
        <f>Calc!$FH$228</f>
        <v/>
      </c>
      <c r="H226" s="65">
        <f>Calc!$FI$228</f>
        <v/>
      </c>
      <c r="I226" s="65">
        <f>Calc!$FJ$228</f>
        <v/>
      </c>
      <c r="J226" s="65">
        <f>Calc!$FK$228</f>
        <v/>
      </c>
      <c r="K226" s="65">
        <f>Calc!$FL$228</f>
        <v/>
      </c>
      <c r="L226" s="65">
        <f>Calc!$FM$228</f>
        <v/>
      </c>
      <c r="M226" s="66">
        <f>Calc!$FN$228</f>
        <v/>
      </c>
      <c r="N226" s="66">
        <f>Calc!$FO$228</f>
        <v/>
      </c>
      <c r="O226" s="65">
        <f>Calc!$FP$228</f>
        <v/>
      </c>
      <c r="P226" s="67">
        <f>Calc!$FQ$228</f>
        <v/>
      </c>
      <c r="Q226" s="68">
        <f>Calc!$FR$228</f>
        <v/>
      </c>
      <c r="R226" s="65">
        <f>Calc!$FS$228</f>
        <v/>
      </c>
      <c r="T226">
        <f>Calc!$EY$228</f>
        <v/>
      </c>
      <c r="U226">
        <f>Calc!$FT$228</f>
        <v/>
      </c>
      <c r="V226">
        <f>Calc!$FU$228</f>
        <v/>
      </c>
      <c r="W226">
        <f>Calc!$FC$228</f>
        <v/>
      </c>
      <c r="X226">
        <f>Calc!$EZ$228</f>
        <v/>
      </c>
      <c r="Y226">
        <f>Calc!$FA$228</f>
        <v/>
      </c>
      <c r="Z226">
        <f>Calc!$FV$228</f>
        <v/>
      </c>
      <c r="AA226">
        <f>IF($T226&lt;&gt;"row",0,IF($V226=1,IF($X226=1,IF($Y226=1,1,2),IF($Y226=1,3,4)),IF($X226=1,IF($Y226=1,5,6),IF($Y226=1,7,8))))</f>
        <v/>
      </c>
    </row>
    <row r="227" ht="11.25" customHeight="1">
      <c r="A227" s="64">
        <f>Calc!$FB$229</f>
        <v/>
      </c>
      <c r="B227" s="64">
        <f>Calc!$FC$229</f>
        <v/>
      </c>
      <c r="C227" s="65">
        <f>Calc!$FD$229</f>
        <v/>
      </c>
      <c r="D227" s="65">
        <f>Calc!$FE$229</f>
        <v/>
      </c>
      <c r="E227" s="65">
        <f>Calc!$FF$229</f>
        <v/>
      </c>
      <c r="F227" s="65">
        <f>Calc!$FG$229</f>
        <v/>
      </c>
      <c r="G227" s="65">
        <f>Calc!$FH$229</f>
        <v/>
      </c>
      <c r="H227" s="65">
        <f>Calc!$FI$229</f>
        <v/>
      </c>
      <c r="I227" s="65">
        <f>Calc!$FJ$229</f>
        <v/>
      </c>
      <c r="J227" s="65">
        <f>Calc!$FK$229</f>
        <v/>
      </c>
      <c r="K227" s="65">
        <f>Calc!$FL$229</f>
        <v/>
      </c>
      <c r="L227" s="65">
        <f>Calc!$FM$229</f>
        <v/>
      </c>
      <c r="M227" s="66">
        <f>Calc!$FN$229</f>
        <v/>
      </c>
      <c r="N227" s="66">
        <f>Calc!$FO$229</f>
        <v/>
      </c>
      <c r="O227" s="65">
        <f>Calc!$FP$229</f>
        <v/>
      </c>
      <c r="P227" s="67">
        <f>Calc!$FQ$229</f>
        <v/>
      </c>
      <c r="Q227" s="68">
        <f>Calc!$FR$229</f>
        <v/>
      </c>
      <c r="R227" s="65">
        <f>Calc!$FS$229</f>
        <v/>
      </c>
      <c r="T227">
        <f>Calc!$EY$229</f>
        <v/>
      </c>
      <c r="U227">
        <f>Calc!$FT$229</f>
        <v/>
      </c>
      <c r="V227">
        <f>Calc!$FU$229</f>
        <v/>
      </c>
      <c r="W227">
        <f>Calc!$FC$229</f>
        <v/>
      </c>
      <c r="X227">
        <f>Calc!$EZ$229</f>
        <v/>
      </c>
      <c r="Y227">
        <f>Calc!$FA$229</f>
        <v/>
      </c>
      <c r="Z227">
        <f>Calc!$FV$229</f>
        <v/>
      </c>
      <c r="AA227">
        <f>IF($T227&lt;&gt;"row",0,IF($V227=1,IF($X227=1,IF($Y227=1,1,2),IF($Y227=1,3,4)),IF($X227=1,IF($Y227=1,5,6),IF($Y227=1,7,8))))</f>
        <v/>
      </c>
    </row>
    <row r="228" ht="11.25" customHeight="1">
      <c r="A228" s="64">
        <f>Calc!$FB$230</f>
        <v/>
      </c>
      <c r="B228" s="64">
        <f>Calc!$FC$230</f>
        <v/>
      </c>
      <c r="C228" s="65">
        <f>Calc!$FD$230</f>
        <v/>
      </c>
      <c r="D228" s="65">
        <f>Calc!$FE$230</f>
        <v/>
      </c>
      <c r="E228" s="65">
        <f>Calc!$FF$230</f>
        <v/>
      </c>
      <c r="F228" s="65">
        <f>Calc!$FG$230</f>
        <v/>
      </c>
      <c r="G228" s="65">
        <f>Calc!$FH$230</f>
        <v/>
      </c>
      <c r="H228" s="65">
        <f>Calc!$FI$230</f>
        <v/>
      </c>
      <c r="I228" s="65">
        <f>Calc!$FJ$230</f>
        <v/>
      </c>
      <c r="J228" s="65">
        <f>Calc!$FK$230</f>
        <v/>
      </c>
      <c r="K228" s="65">
        <f>Calc!$FL$230</f>
        <v/>
      </c>
      <c r="L228" s="65">
        <f>Calc!$FM$230</f>
        <v/>
      </c>
      <c r="M228" s="66">
        <f>Calc!$FN$230</f>
        <v/>
      </c>
      <c r="N228" s="66">
        <f>Calc!$FO$230</f>
        <v/>
      </c>
      <c r="O228" s="65">
        <f>Calc!$FP$230</f>
        <v/>
      </c>
      <c r="P228" s="67">
        <f>Calc!$FQ$230</f>
        <v/>
      </c>
      <c r="Q228" s="68">
        <f>Calc!$FR$230</f>
        <v/>
      </c>
      <c r="R228" s="65">
        <f>Calc!$FS$230</f>
        <v/>
      </c>
      <c r="T228">
        <f>Calc!$EY$230</f>
        <v/>
      </c>
      <c r="U228">
        <f>Calc!$FT$230</f>
        <v/>
      </c>
      <c r="V228">
        <f>Calc!$FU$230</f>
        <v/>
      </c>
      <c r="W228">
        <f>Calc!$FC$230</f>
        <v/>
      </c>
      <c r="X228">
        <f>Calc!$EZ$230</f>
        <v/>
      </c>
      <c r="Y228">
        <f>Calc!$FA$230</f>
        <v/>
      </c>
      <c r="Z228">
        <f>Calc!$FV$230</f>
        <v/>
      </c>
      <c r="AA228">
        <f>IF($T228&lt;&gt;"row",0,IF($V228=1,IF($X228=1,IF($Y228=1,1,2),IF($Y228=1,3,4)),IF($X228=1,IF($Y228=1,5,6),IF($Y228=1,7,8))))</f>
        <v/>
      </c>
    </row>
    <row r="229" ht="11.25" customHeight="1">
      <c r="A229" s="64">
        <f>Calc!$FB$231</f>
        <v/>
      </c>
      <c r="B229" s="64">
        <f>Calc!$FC$231</f>
        <v/>
      </c>
      <c r="C229" s="65">
        <f>Calc!$FD$231</f>
        <v/>
      </c>
      <c r="D229" s="65">
        <f>Calc!$FE$231</f>
        <v/>
      </c>
      <c r="E229" s="65">
        <f>Calc!$FF$231</f>
        <v/>
      </c>
      <c r="F229" s="65">
        <f>Calc!$FG$231</f>
        <v/>
      </c>
      <c r="G229" s="65">
        <f>Calc!$FH$231</f>
        <v/>
      </c>
      <c r="H229" s="65">
        <f>Calc!$FI$231</f>
        <v/>
      </c>
      <c r="I229" s="65">
        <f>Calc!$FJ$231</f>
        <v/>
      </c>
      <c r="J229" s="65">
        <f>Calc!$FK$231</f>
        <v/>
      </c>
      <c r="K229" s="65">
        <f>Calc!$FL$231</f>
        <v/>
      </c>
      <c r="L229" s="65">
        <f>Calc!$FM$231</f>
        <v/>
      </c>
      <c r="M229" s="66">
        <f>Calc!$FN$231</f>
        <v/>
      </c>
      <c r="N229" s="66">
        <f>Calc!$FO$231</f>
        <v/>
      </c>
      <c r="O229" s="65">
        <f>Calc!$FP$231</f>
        <v/>
      </c>
      <c r="P229" s="67">
        <f>Calc!$FQ$231</f>
        <v/>
      </c>
      <c r="Q229" s="68">
        <f>Calc!$FR$231</f>
        <v/>
      </c>
      <c r="R229" s="65">
        <f>Calc!$FS$231</f>
        <v/>
      </c>
      <c r="T229">
        <f>Calc!$EY$231</f>
        <v/>
      </c>
      <c r="U229">
        <f>Calc!$FT$231</f>
        <v/>
      </c>
      <c r="V229">
        <f>Calc!$FU$231</f>
        <v/>
      </c>
      <c r="W229">
        <f>Calc!$FC$231</f>
        <v/>
      </c>
      <c r="X229">
        <f>Calc!$EZ$231</f>
        <v/>
      </c>
      <c r="Y229">
        <f>Calc!$FA$231</f>
        <v/>
      </c>
      <c r="Z229">
        <f>Calc!$FV$231</f>
        <v/>
      </c>
      <c r="AA229">
        <f>IF($T229&lt;&gt;"row",0,IF($V229=1,IF($X229=1,IF($Y229=1,1,2),IF($Y229=1,3,4)),IF($X229=1,IF($Y229=1,5,6),IF($Y229=1,7,8))))</f>
        <v/>
      </c>
    </row>
    <row r="230" ht="11.25" customHeight="1">
      <c r="A230" s="64">
        <f>Calc!$FB$232</f>
        <v/>
      </c>
      <c r="B230" s="64">
        <f>Calc!$FC$232</f>
        <v/>
      </c>
      <c r="C230" s="65">
        <f>Calc!$FD$232</f>
        <v/>
      </c>
      <c r="D230" s="65">
        <f>Calc!$FE$232</f>
        <v/>
      </c>
      <c r="E230" s="65">
        <f>Calc!$FF$232</f>
        <v/>
      </c>
      <c r="F230" s="65">
        <f>Calc!$FG$232</f>
        <v/>
      </c>
      <c r="G230" s="65">
        <f>Calc!$FH$232</f>
        <v/>
      </c>
      <c r="H230" s="65">
        <f>Calc!$FI$232</f>
        <v/>
      </c>
      <c r="I230" s="65">
        <f>Calc!$FJ$232</f>
        <v/>
      </c>
      <c r="J230" s="65">
        <f>Calc!$FK$232</f>
        <v/>
      </c>
      <c r="K230" s="65">
        <f>Calc!$FL$232</f>
        <v/>
      </c>
      <c r="L230" s="65">
        <f>Calc!$FM$232</f>
        <v/>
      </c>
      <c r="M230" s="66">
        <f>Calc!$FN$232</f>
        <v/>
      </c>
      <c r="N230" s="66">
        <f>Calc!$FO$232</f>
        <v/>
      </c>
      <c r="O230" s="65">
        <f>Calc!$FP$232</f>
        <v/>
      </c>
      <c r="P230" s="67">
        <f>Calc!$FQ$232</f>
        <v/>
      </c>
      <c r="Q230" s="68">
        <f>Calc!$FR$232</f>
        <v/>
      </c>
      <c r="R230" s="65">
        <f>Calc!$FS$232</f>
        <v/>
      </c>
      <c r="T230">
        <f>Calc!$EY$232</f>
        <v/>
      </c>
      <c r="U230">
        <f>Calc!$FT$232</f>
        <v/>
      </c>
      <c r="V230">
        <f>Calc!$FU$232</f>
        <v/>
      </c>
      <c r="W230">
        <f>Calc!$FC$232</f>
        <v/>
      </c>
      <c r="X230">
        <f>Calc!$EZ$232</f>
        <v/>
      </c>
      <c r="Y230">
        <f>Calc!$FA$232</f>
        <v/>
      </c>
      <c r="Z230">
        <f>Calc!$FV$232</f>
        <v/>
      </c>
      <c r="AA230">
        <f>IF($T230&lt;&gt;"row",0,IF($V230=1,IF($X230=1,IF($Y230=1,1,2),IF($Y230=1,3,4)),IF($X230=1,IF($Y230=1,5,6),IF($Y230=1,7,8))))</f>
        <v/>
      </c>
    </row>
    <row r="231" ht="11.25" customHeight="1">
      <c r="A231" s="64">
        <f>Calc!$FB$233</f>
        <v/>
      </c>
      <c r="B231" s="64">
        <f>Calc!$FC$233</f>
        <v/>
      </c>
      <c r="C231" s="65">
        <f>Calc!$FD$233</f>
        <v/>
      </c>
      <c r="D231" s="65">
        <f>Calc!$FE$233</f>
        <v/>
      </c>
      <c r="E231" s="65">
        <f>Calc!$FF$233</f>
        <v/>
      </c>
      <c r="F231" s="65">
        <f>Calc!$FG$233</f>
        <v/>
      </c>
      <c r="G231" s="65">
        <f>Calc!$FH$233</f>
        <v/>
      </c>
      <c r="H231" s="65">
        <f>Calc!$FI$233</f>
        <v/>
      </c>
      <c r="I231" s="65">
        <f>Calc!$FJ$233</f>
        <v/>
      </c>
      <c r="J231" s="65">
        <f>Calc!$FK$233</f>
        <v/>
      </c>
      <c r="K231" s="65">
        <f>Calc!$FL$233</f>
        <v/>
      </c>
      <c r="L231" s="65">
        <f>Calc!$FM$233</f>
        <v/>
      </c>
      <c r="M231" s="66">
        <f>Calc!$FN$233</f>
        <v/>
      </c>
      <c r="N231" s="66">
        <f>Calc!$FO$233</f>
        <v/>
      </c>
      <c r="O231" s="65">
        <f>Calc!$FP$233</f>
        <v/>
      </c>
      <c r="P231" s="67">
        <f>Calc!$FQ$233</f>
        <v/>
      </c>
      <c r="Q231" s="68">
        <f>Calc!$FR$233</f>
        <v/>
      </c>
      <c r="R231" s="65">
        <f>Calc!$FS$233</f>
        <v/>
      </c>
      <c r="T231">
        <f>Calc!$EY$233</f>
        <v/>
      </c>
      <c r="U231">
        <f>Calc!$FT$233</f>
        <v/>
      </c>
      <c r="V231">
        <f>Calc!$FU$233</f>
        <v/>
      </c>
      <c r="W231">
        <f>Calc!$FC$233</f>
        <v/>
      </c>
      <c r="X231">
        <f>Calc!$EZ$233</f>
        <v/>
      </c>
      <c r="Y231">
        <f>Calc!$FA$233</f>
        <v/>
      </c>
      <c r="Z231">
        <f>Calc!$FV$233</f>
        <v/>
      </c>
      <c r="AA231">
        <f>IF($T231&lt;&gt;"row",0,IF($V231=1,IF($X231=1,IF($Y231=1,1,2),IF($Y231=1,3,4)),IF($X231=1,IF($Y231=1,5,6),IF($Y231=1,7,8))))</f>
        <v/>
      </c>
    </row>
    <row r="232" ht="11.25" customHeight="1">
      <c r="A232" s="64">
        <f>Calc!$FB$234</f>
        <v/>
      </c>
      <c r="B232" s="64">
        <f>Calc!$FC$234</f>
        <v/>
      </c>
      <c r="C232" s="65">
        <f>Calc!$FD$234</f>
        <v/>
      </c>
      <c r="D232" s="65">
        <f>Calc!$FE$234</f>
        <v/>
      </c>
      <c r="E232" s="65">
        <f>Calc!$FF$234</f>
        <v/>
      </c>
      <c r="F232" s="65">
        <f>Calc!$FG$234</f>
        <v/>
      </c>
      <c r="G232" s="65">
        <f>Calc!$FH$234</f>
        <v/>
      </c>
      <c r="H232" s="65">
        <f>Calc!$FI$234</f>
        <v/>
      </c>
      <c r="I232" s="65">
        <f>Calc!$FJ$234</f>
        <v/>
      </c>
      <c r="J232" s="65">
        <f>Calc!$FK$234</f>
        <v/>
      </c>
      <c r="K232" s="65">
        <f>Calc!$FL$234</f>
        <v/>
      </c>
      <c r="L232" s="65">
        <f>Calc!$FM$234</f>
        <v/>
      </c>
      <c r="M232" s="66">
        <f>Calc!$FN$234</f>
        <v/>
      </c>
      <c r="N232" s="66">
        <f>Calc!$FO$234</f>
        <v/>
      </c>
      <c r="O232" s="65">
        <f>Calc!$FP$234</f>
        <v/>
      </c>
      <c r="P232" s="67">
        <f>Calc!$FQ$234</f>
        <v/>
      </c>
      <c r="Q232" s="68">
        <f>Calc!$FR$234</f>
        <v/>
      </c>
      <c r="R232" s="65">
        <f>Calc!$FS$234</f>
        <v/>
      </c>
      <c r="T232">
        <f>Calc!$EY$234</f>
        <v/>
      </c>
      <c r="U232">
        <f>Calc!$FT$234</f>
        <v/>
      </c>
      <c r="V232">
        <f>Calc!$FU$234</f>
        <v/>
      </c>
      <c r="W232">
        <f>Calc!$FC$234</f>
        <v/>
      </c>
      <c r="X232">
        <f>Calc!$EZ$234</f>
        <v/>
      </c>
      <c r="Y232">
        <f>Calc!$FA$234</f>
        <v/>
      </c>
      <c r="Z232">
        <f>Calc!$FV$234</f>
        <v/>
      </c>
      <c r="AA232">
        <f>IF($T232&lt;&gt;"row",0,IF($V232=1,IF($X232=1,IF($Y232=1,1,2),IF($Y232=1,3,4)),IF($X232=1,IF($Y232=1,5,6),IF($Y232=1,7,8))))</f>
        <v/>
      </c>
    </row>
    <row r="233" ht="11.25" customHeight="1">
      <c r="A233" s="64">
        <f>Calc!$FB$235</f>
        <v/>
      </c>
      <c r="B233" s="64">
        <f>Calc!$FC$235</f>
        <v/>
      </c>
      <c r="C233" s="65">
        <f>Calc!$FD$235</f>
        <v/>
      </c>
      <c r="D233" s="65">
        <f>Calc!$FE$235</f>
        <v/>
      </c>
      <c r="E233" s="65">
        <f>Calc!$FF$235</f>
        <v/>
      </c>
      <c r="F233" s="65">
        <f>Calc!$FG$235</f>
        <v/>
      </c>
      <c r="G233" s="65">
        <f>Calc!$FH$235</f>
        <v/>
      </c>
      <c r="H233" s="65">
        <f>Calc!$FI$235</f>
        <v/>
      </c>
      <c r="I233" s="65">
        <f>Calc!$FJ$235</f>
        <v/>
      </c>
      <c r="J233" s="65">
        <f>Calc!$FK$235</f>
        <v/>
      </c>
      <c r="K233" s="65">
        <f>Calc!$FL$235</f>
        <v/>
      </c>
      <c r="L233" s="65">
        <f>Calc!$FM$235</f>
        <v/>
      </c>
      <c r="M233" s="66">
        <f>Calc!$FN$235</f>
        <v/>
      </c>
      <c r="N233" s="66">
        <f>Calc!$FO$235</f>
        <v/>
      </c>
      <c r="O233" s="65">
        <f>Calc!$FP$235</f>
        <v/>
      </c>
      <c r="P233" s="67">
        <f>Calc!$FQ$235</f>
        <v/>
      </c>
      <c r="Q233" s="68">
        <f>Calc!$FR$235</f>
        <v/>
      </c>
      <c r="R233" s="65">
        <f>Calc!$FS$235</f>
        <v/>
      </c>
      <c r="T233">
        <f>Calc!$EY$235</f>
        <v/>
      </c>
      <c r="U233">
        <f>Calc!$FT$235</f>
        <v/>
      </c>
      <c r="V233">
        <f>Calc!$FU$235</f>
        <v/>
      </c>
      <c r="W233">
        <f>Calc!$FC$235</f>
        <v/>
      </c>
      <c r="X233">
        <f>Calc!$EZ$235</f>
        <v/>
      </c>
      <c r="Y233">
        <f>Calc!$FA$235</f>
        <v/>
      </c>
      <c r="Z233">
        <f>Calc!$FV$235</f>
        <v/>
      </c>
      <c r="AA233">
        <f>IF($T233&lt;&gt;"row",0,IF($V233=1,IF($X233=1,IF($Y233=1,1,2),IF($Y233=1,3,4)),IF($X233=1,IF($Y233=1,5,6),IF($Y233=1,7,8))))</f>
        <v/>
      </c>
    </row>
    <row r="234" ht="11.25" customHeight="1">
      <c r="A234" s="64">
        <f>Calc!$FB$236</f>
        <v/>
      </c>
      <c r="B234" s="64">
        <f>Calc!$FC$236</f>
        <v/>
      </c>
      <c r="C234" s="65">
        <f>Calc!$FD$236</f>
        <v/>
      </c>
      <c r="D234" s="65">
        <f>Calc!$FE$236</f>
        <v/>
      </c>
      <c r="E234" s="65">
        <f>Calc!$FF$236</f>
        <v/>
      </c>
      <c r="F234" s="65">
        <f>Calc!$FG$236</f>
        <v/>
      </c>
      <c r="G234" s="65">
        <f>Calc!$FH$236</f>
        <v/>
      </c>
      <c r="H234" s="65">
        <f>Calc!$FI$236</f>
        <v/>
      </c>
      <c r="I234" s="65">
        <f>Calc!$FJ$236</f>
        <v/>
      </c>
      <c r="J234" s="65">
        <f>Calc!$FK$236</f>
        <v/>
      </c>
      <c r="K234" s="65">
        <f>Calc!$FL$236</f>
        <v/>
      </c>
      <c r="L234" s="65">
        <f>Calc!$FM$236</f>
        <v/>
      </c>
      <c r="M234" s="66">
        <f>Calc!$FN$236</f>
        <v/>
      </c>
      <c r="N234" s="66">
        <f>Calc!$FO$236</f>
        <v/>
      </c>
      <c r="O234" s="65">
        <f>Calc!$FP$236</f>
        <v/>
      </c>
      <c r="P234" s="67">
        <f>Calc!$FQ$236</f>
        <v/>
      </c>
      <c r="Q234" s="68">
        <f>Calc!$FR$236</f>
        <v/>
      </c>
      <c r="R234" s="65">
        <f>Calc!$FS$236</f>
        <v/>
      </c>
      <c r="T234">
        <f>Calc!$EY$236</f>
        <v/>
      </c>
      <c r="U234">
        <f>Calc!$FT$236</f>
        <v/>
      </c>
      <c r="V234">
        <f>Calc!$FU$236</f>
        <v/>
      </c>
      <c r="W234">
        <f>Calc!$FC$236</f>
        <v/>
      </c>
      <c r="X234">
        <f>Calc!$EZ$236</f>
        <v/>
      </c>
      <c r="Y234">
        <f>Calc!$FA$236</f>
        <v/>
      </c>
      <c r="Z234">
        <f>Calc!$FV$236</f>
        <v/>
      </c>
      <c r="AA234">
        <f>IF($T234&lt;&gt;"row",0,IF($V234=1,IF($X234=1,IF($Y234=1,1,2),IF($Y234=1,3,4)),IF($X234=1,IF($Y234=1,5,6),IF($Y234=1,7,8))))</f>
        <v/>
      </c>
    </row>
    <row r="235" ht="11.25" customHeight="1">
      <c r="A235" s="64">
        <f>Calc!$FB$237</f>
        <v/>
      </c>
      <c r="B235" s="64">
        <f>Calc!$FC$237</f>
        <v/>
      </c>
      <c r="C235" s="65">
        <f>Calc!$FD$237</f>
        <v/>
      </c>
      <c r="D235" s="65">
        <f>Calc!$FE$237</f>
        <v/>
      </c>
      <c r="E235" s="65">
        <f>Calc!$FF$237</f>
        <v/>
      </c>
      <c r="F235" s="65">
        <f>Calc!$FG$237</f>
        <v/>
      </c>
      <c r="G235" s="65">
        <f>Calc!$FH$237</f>
        <v/>
      </c>
      <c r="H235" s="65">
        <f>Calc!$FI$237</f>
        <v/>
      </c>
      <c r="I235" s="65">
        <f>Calc!$FJ$237</f>
        <v/>
      </c>
      <c r="J235" s="65">
        <f>Calc!$FK$237</f>
        <v/>
      </c>
      <c r="K235" s="65">
        <f>Calc!$FL$237</f>
        <v/>
      </c>
      <c r="L235" s="65">
        <f>Calc!$FM$237</f>
        <v/>
      </c>
      <c r="M235" s="66">
        <f>Calc!$FN$237</f>
        <v/>
      </c>
      <c r="N235" s="66">
        <f>Calc!$FO$237</f>
        <v/>
      </c>
      <c r="O235" s="65">
        <f>Calc!$FP$237</f>
        <v/>
      </c>
      <c r="P235" s="67">
        <f>Calc!$FQ$237</f>
        <v/>
      </c>
      <c r="Q235" s="68">
        <f>Calc!$FR$237</f>
        <v/>
      </c>
      <c r="R235" s="65">
        <f>Calc!$FS$237</f>
        <v/>
      </c>
      <c r="T235">
        <f>Calc!$EY$237</f>
        <v/>
      </c>
      <c r="U235">
        <f>Calc!$FT$237</f>
        <v/>
      </c>
      <c r="V235">
        <f>Calc!$FU$237</f>
        <v/>
      </c>
      <c r="W235">
        <f>Calc!$FC$237</f>
        <v/>
      </c>
      <c r="X235">
        <f>Calc!$EZ$237</f>
        <v/>
      </c>
      <c r="Y235">
        <f>Calc!$FA$237</f>
        <v/>
      </c>
      <c r="Z235">
        <f>Calc!$FV$237</f>
        <v/>
      </c>
      <c r="AA235">
        <f>IF($T235&lt;&gt;"row",0,IF($V235=1,IF($X235=1,IF($Y235=1,1,2),IF($Y235=1,3,4)),IF($X235=1,IF($Y235=1,5,6),IF($Y235=1,7,8))))</f>
        <v/>
      </c>
    </row>
    <row r="236" ht="11.25" customHeight="1">
      <c r="A236" s="64">
        <f>Calc!$FB$238</f>
        <v/>
      </c>
      <c r="B236" s="64">
        <f>Calc!$FC$238</f>
        <v/>
      </c>
      <c r="C236" s="65">
        <f>Calc!$FD$238</f>
        <v/>
      </c>
      <c r="D236" s="65">
        <f>Calc!$FE$238</f>
        <v/>
      </c>
      <c r="E236" s="65">
        <f>Calc!$FF$238</f>
        <v/>
      </c>
      <c r="F236" s="65">
        <f>Calc!$FG$238</f>
        <v/>
      </c>
      <c r="G236" s="65">
        <f>Calc!$FH$238</f>
        <v/>
      </c>
      <c r="H236" s="65">
        <f>Calc!$FI$238</f>
        <v/>
      </c>
      <c r="I236" s="65">
        <f>Calc!$FJ$238</f>
        <v/>
      </c>
      <c r="J236" s="65">
        <f>Calc!$FK$238</f>
        <v/>
      </c>
      <c r="K236" s="65">
        <f>Calc!$FL$238</f>
        <v/>
      </c>
      <c r="L236" s="65">
        <f>Calc!$FM$238</f>
        <v/>
      </c>
      <c r="M236" s="66">
        <f>Calc!$FN$238</f>
        <v/>
      </c>
      <c r="N236" s="66">
        <f>Calc!$FO$238</f>
        <v/>
      </c>
      <c r="O236" s="65">
        <f>Calc!$FP$238</f>
        <v/>
      </c>
      <c r="P236" s="67">
        <f>Calc!$FQ$238</f>
        <v/>
      </c>
      <c r="Q236" s="68">
        <f>Calc!$FR$238</f>
        <v/>
      </c>
      <c r="R236" s="65">
        <f>Calc!$FS$238</f>
        <v/>
      </c>
      <c r="T236">
        <f>Calc!$EY$238</f>
        <v/>
      </c>
      <c r="U236">
        <f>Calc!$FT$238</f>
        <v/>
      </c>
      <c r="V236">
        <f>Calc!$FU$238</f>
        <v/>
      </c>
      <c r="W236">
        <f>Calc!$FC$238</f>
        <v/>
      </c>
      <c r="X236">
        <f>Calc!$EZ$238</f>
        <v/>
      </c>
      <c r="Y236">
        <f>Calc!$FA$238</f>
        <v/>
      </c>
      <c r="Z236">
        <f>Calc!$FV$238</f>
        <v/>
      </c>
      <c r="AA236">
        <f>IF($T236&lt;&gt;"row",0,IF($V236=1,IF($X236=1,IF($Y236=1,1,2),IF($Y236=1,3,4)),IF($X236=1,IF($Y236=1,5,6),IF($Y236=1,7,8))))</f>
        <v/>
      </c>
    </row>
    <row r="237" ht="11.25" customHeight="1">
      <c r="A237" s="64">
        <f>Calc!$FB$239</f>
        <v/>
      </c>
      <c r="B237" s="64">
        <f>Calc!$FC$239</f>
        <v/>
      </c>
      <c r="C237" s="65">
        <f>Calc!$FD$239</f>
        <v/>
      </c>
      <c r="D237" s="65">
        <f>Calc!$FE$239</f>
        <v/>
      </c>
      <c r="E237" s="65">
        <f>Calc!$FF$239</f>
        <v/>
      </c>
      <c r="F237" s="65">
        <f>Calc!$FG$239</f>
        <v/>
      </c>
      <c r="G237" s="65">
        <f>Calc!$FH$239</f>
        <v/>
      </c>
      <c r="H237" s="65">
        <f>Calc!$FI$239</f>
        <v/>
      </c>
      <c r="I237" s="65">
        <f>Calc!$FJ$239</f>
        <v/>
      </c>
      <c r="J237" s="65">
        <f>Calc!$FK$239</f>
        <v/>
      </c>
      <c r="K237" s="65">
        <f>Calc!$FL$239</f>
        <v/>
      </c>
      <c r="L237" s="65">
        <f>Calc!$FM$239</f>
        <v/>
      </c>
      <c r="M237" s="66">
        <f>Calc!$FN$239</f>
        <v/>
      </c>
      <c r="N237" s="66">
        <f>Calc!$FO$239</f>
        <v/>
      </c>
      <c r="O237" s="65">
        <f>Calc!$FP$239</f>
        <v/>
      </c>
      <c r="P237" s="67">
        <f>Calc!$FQ$239</f>
        <v/>
      </c>
      <c r="Q237" s="68">
        <f>Calc!$FR$239</f>
        <v/>
      </c>
      <c r="R237" s="65">
        <f>Calc!$FS$239</f>
        <v/>
      </c>
      <c r="T237">
        <f>Calc!$EY$239</f>
        <v/>
      </c>
      <c r="U237">
        <f>Calc!$FT$239</f>
        <v/>
      </c>
      <c r="V237">
        <f>Calc!$FU$239</f>
        <v/>
      </c>
      <c r="W237">
        <f>Calc!$FC$239</f>
        <v/>
      </c>
      <c r="X237">
        <f>Calc!$EZ$239</f>
        <v/>
      </c>
      <c r="Y237">
        <f>Calc!$FA$239</f>
        <v/>
      </c>
      <c r="Z237">
        <f>Calc!$FV$239</f>
        <v/>
      </c>
      <c r="AA237">
        <f>IF($T237&lt;&gt;"row",0,IF($V237=1,IF($X237=1,IF($Y237=1,1,2),IF($Y237=1,3,4)),IF($X237=1,IF($Y237=1,5,6),IF($Y237=1,7,8))))</f>
        <v/>
      </c>
    </row>
    <row r="238" ht="11.25" customHeight="1">
      <c r="A238" s="64">
        <f>Calc!$FB$240</f>
        <v/>
      </c>
      <c r="B238" s="64">
        <f>Calc!$FC$240</f>
        <v/>
      </c>
      <c r="C238" s="65">
        <f>Calc!$FD$240</f>
        <v/>
      </c>
      <c r="D238" s="65">
        <f>Calc!$FE$240</f>
        <v/>
      </c>
      <c r="E238" s="65">
        <f>Calc!$FF$240</f>
        <v/>
      </c>
      <c r="F238" s="65">
        <f>Calc!$FG$240</f>
        <v/>
      </c>
      <c r="G238" s="65">
        <f>Calc!$FH$240</f>
        <v/>
      </c>
      <c r="H238" s="65">
        <f>Calc!$FI$240</f>
        <v/>
      </c>
      <c r="I238" s="65">
        <f>Calc!$FJ$240</f>
        <v/>
      </c>
      <c r="J238" s="65">
        <f>Calc!$FK$240</f>
        <v/>
      </c>
      <c r="K238" s="65">
        <f>Calc!$FL$240</f>
        <v/>
      </c>
      <c r="L238" s="65">
        <f>Calc!$FM$240</f>
        <v/>
      </c>
      <c r="M238" s="66">
        <f>Calc!$FN$240</f>
        <v/>
      </c>
      <c r="N238" s="66">
        <f>Calc!$FO$240</f>
        <v/>
      </c>
      <c r="O238" s="65">
        <f>Calc!$FP$240</f>
        <v/>
      </c>
      <c r="P238" s="67">
        <f>Calc!$FQ$240</f>
        <v/>
      </c>
      <c r="Q238" s="68">
        <f>Calc!$FR$240</f>
        <v/>
      </c>
      <c r="R238" s="65">
        <f>Calc!$FS$240</f>
        <v/>
      </c>
      <c r="T238">
        <f>Calc!$EY$240</f>
        <v/>
      </c>
      <c r="U238">
        <f>Calc!$FT$240</f>
        <v/>
      </c>
      <c r="V238">
        <f>Calc!$FU$240</f>
        <v/>
      </c>
      <c r="W238">
        <f>Calc!$FC$240</f>
        <v/>
      </c>
      <c r="X238">
        <f>Calc!$EZ$240</f>
        <v/>
      </c>
      <c r="Y238">
        <f>Calc!$FA$240</f>
        <v/>
      </c>
      <c r="Z238">
        <f>Calc!$FV$240</f>
        <v/>
      </c>
      <c r="AA238">
        <f>IF($T238&lt;&gt;"row",0,IF($V238=1,IF($X238=1,IF($Y238=1,1,2),IF($Y238=1,3,4)),IF($X238=1,IF($Y238=1,5,6),IF($Y238=1,7,8))))</f>
        <v/>
      </c>
    </row>
    <row r="239" ht="11.25" customHeight="1">
      <c r="A239" s="64">
        <f>Calc!$FB$241</f>
        <v/>
      </c>
      <c r="B239" s="64">
        <f>Calc!$FC$241</f>
        <v/>
      </c>
      <c r="C239" s="65">
        <f>Calc!$FD$241</f>
        <v/>
      </c>
      <c r="D239" s="65">
        <f>Calc!$FE$241</f>
        <v/>
      </c>
      <c r="E239" s="65">
        <f>Calc!$FF$241</f>
        <v/>
      </c>
      <c r="F239" s="65">
        <f>Calc!$FG$241</f>
        <v/>
      </c>
      <c r="G239" s="65">
        <f>Calc!$FH$241</f>
        <v/>
      </c>
      <c r="H239" s="65">
        <f>Calc!$FI$241</f>
        <v/>
      </c>
      <c r="I239" s="65">
        <f>Calc!$FJ$241</f>
        <v/>
      </c>
      <c r="J239" s="65">
        <f>Calc!$FK$241</f>
        <v/>
      </c>
      <c r="K239" s="65">
        <f>Calc!$FL$241</f>
        <v/>
      </c>
      <c r="L239" s="65">
        <f>Calc!$FM$241</f>
        <v/>
      </c>
      <c r="M239" s="66">
        <f>Calc!$FN$241</f>
        <v/>
      </c>
      <c r="N239" s="66">
        <f>Calc!$FO$241</f>
        <v/>
      </c>
      <c r="O239" s="65">
        <f>Calc!$FP$241</f>
        <v/>
      </c>
      <c r="P239" s="67">
        <f>Calc!$FQ$241</f>
        <v/>
      </c>
      <c r="Q239" s="68">
        <f>Calc!$FR$241</f>
        <v/>
      </c>
      <c r="R239" s="65">
        <f>Calc!$FS$241</f>
        <v/>
      </c>
      <c r="T239">
        <f>Calc!$EY$241</f>
        <v/>
      </c>
      <c r="U239">
        <f>Calc!$FT$241</f>
        <v/>
      </c>
      <c r="V239">
        <f>Calc!$FU$241</f>
        <v/>
      </c>
      <c r="W239">
        <f>Calc!$FC$241</f>
        <v/>
      </c>
      <c r="X239">
        <f>Calc!$EZ$241</f>
        <v/>
      </c>
      <c r="Y239">
        <f>Calc!$FA$241</f>
        <v/>
      </c>
      <c r="Z239">
        <f>Calc!$FV$241</f>
        <v/>
      </c>
      <c r="AA239">
        <f>IF($T239&lt;&gt;"row",0,IF($V239=1,IF($X239=1,IF($Y239=1,1,2),IF($Y239=1,3,4)),IF($X239=1,IF($Y239=1,5,6),IF($Y239=1,7,8))))</f>
        <v/>
      </c>
    </row>
    <row r="240" ht="11.25" customHeight="1">
      <c r="A240" s="64">
        <f>Calc!$FB$242</f>
        <v/>
      </c>
      <c r="B240" s="64">
        <f>Calc!$FC$242</f>
        <v/>
      </c>
      <c r="C240" s="65">
        <f>Calc!$FD$242</f>
        <v/>
      </c>
      <c r="D240" s="65">
        <f>Calc!$FE$242</f>
        <v/>
      </c>
      <c r="E240" s="65">
        <f>Calc!$FF$242</f>
        <v/>
      </c>
      <c r="F240" s="65">
        <f>Calc!$FG$242</f>
        <v/>
      </c>
      <c r="G240" s="65">
        <f>Calc!$FH$242</f>
        <v/>
      </c>
      <c r="H240" s="65">
        <f>Calc!$FI$242</f>
        <v/>
      </c>
      <c r="I240" s="65">
        <f>Calc!$FJ$242</f>
        <v/>
      </c>
      <c r="J240" s="65">
        <f>Calc!$FK$242</f>
        <v/>
      </c>
      <c r="K240" s="65">
        <f>Calc!$FL$242</f>
        <v/>
      </c>
      <c r="L240" s="65">
        <f>Calc!$FM$242</f>
        <v/>
      </c>
      <c r="M240" s="66">
        <f>Calc!$FN$242</f>
        <v/>
      </c>
      <c r="N240" s="66">
        <f>Calc!$FO$242</f>
        <v/>
      </c>
      <c r="O240" s="65">
        <f>Calc!$FP$242</f>
        <v/>
      </c>
      <c r="P240" s="67">
        <f>Calc!$FQ$242</f>
        <v/>
      </c>
      <c r="Q240" s="68">
        <f>Calc!$FR$242</f>
        <v/>
      </c>
      <c r="R240" s="65">
        <f>Calc!$FS$242</f>
        <v/>
      </c>
      <c r="T240">
        <f>Calc!$EY$242</f>
        <v/>
      </c>
      <c r="U240">
        <f>Calc!$FT$242</f>
        <v/>
      </c>
      <c r="V240">
        <f>Calc!$FU$242</f>
        <v/>
      </c>
      <c r="W240">
        <f>Calc!$FC$242</f>
        <v/>
      </c>
      <c r="X240">
        <f>Calc!$EZ$242</f>
        <v/>
      </c>
      <c r="Y240">
        <f>Calc!$FA$242</f>
        <v/>
      </c>
      <c r="Z240">
        <f>Calc!$FV$242</f>
        <v/>
      </c>
      <c r="AA240">
        <f>IF($T240&lt;&gt;"row",0,IF($V240=1,IF($X240=1,IF($Y240=1,1,2),IF($Y240=1,3,4)),IF($X240=1,IF($Y240=1,5,6),IF($Y240=1,7,8))))</f>
        <v/>
      </c>
    </row>
    <row r="241" ht="11.25" customHeight="1">
      <c r="A241" s="64">
        <f>Calc!$FB$243</f>
        <v/>
      </c>
      <c r="B241" s="64">
        <f>Calc!$FC$243</f>
        <v/>
      </c>
      <c r="C241" s="65">
        <f>Calc!$FD$243</f>
        <v/>
      </c>
      <c r="D241" s="65">
        <f>Calc!$FE$243</f>
        <v/>
      </c>
      <c r="E241" s="65">
        <f>Calc!$FF$243</f>
        <v/>
      </c>
      <c r="F241" s="65">
        <f>Calc!$FG$243</f>
        <v/>
      </c>
      <c r="G241" s="65">
        <f>Calc!$FH$243</f>
        <v/>
      </c>
      <c r="H241" s="65">
        <f>Calc!$FI$243</f>
        <v/>
      </c>
      <c r="I241" s="65">
        <f>Calc!$FJ$243</f>
        <v/>
      </c>
      <c r="J241" s="65">
        <f>Calc!$FK$243</f>
        <v/>
      </c>
      <c r="K241" s="65">
        <f>Calc!$FL$243</f>
        <v/>
      </c>
      <c r="L241" s="65">
        <f>Calc!$FM$243</f>
        <v/>
      </c>
      <c r="M241" s="66">
        <f>Calc!$FN$243</f>
        <v/>
      </c>
      <c r="N241" s="66">
        <f>Calc!$FO$243</f>
        <v/>
      </c>
      <c r="O241" s="65">
        <f>Calc!$FP$243</f>
        <v/>
      </c>
      <c r="P241" s="67">
        <f>Calc!$FQ$243</f>
        <v/>
      </c>
      <c r="Q241" s="68">
        <f>Calc!$FR$243</f>
        <v/>
      </c>
      <c r="R241" s="65">
        <f>Calc!$FS$243</f>
        <v/>
      </c>
      <c r="T241">
        <f>Calc!$EY$243</f>
        <v/>
      </c>
      <c r="U241">
        <f>Calc!$FT$243</f>
        <v/>
      </c>
      <c r="V241">
        <f>Calc!$FU$243</f>
        <v/>
      </c>
      <c r="W241">
        <f>Calc!$FC$243</f>
        <v/>
      </c>
      <c r="X241">
        <f>Calc!$EZ$243</f>
        <v/>
      </c>
      <c r="Y241">
        <f>Calc!$FA$243</f>
        <v/>
      </c>
      <c r="Z241">
        <f>Calc!$FV$243</f>
        <v/>
      </c>
      <c r="AA241">
        <f>IF($T241&lt;&gt;"row",0,IF($V241=1,IF($X241=1,IF($Y241=1,1,2),IF($Y241=1,3,4)),IF($X241=1,IF($Y241=1,5,6),IF($Y241=1,7,8))))</f>
        <v/>
      </c>
    </row>
    <row r="242" ht="11.25" customHeight="1">
      <c r="A242" s="64">
        <f>Calc!$FB$244</f>
        <v/>
      </c>
      <c r="B242" s="64">
        <f>Calc!$FC$244</f>
        <v/>
      </c>
      <c r="C242" s="65">
        <f>Calc!$FD$244</f>
        <v/>
      </c>
      <c r="D242" s="65">
        <f>Calc!$FE$244</f>
        <v/>
      </c>
      <c r="E242" s="65">
        <f>Calc!$FF$244</f>
        <v/>
      </c>
      <c r="F242" s="65">
        <f>Calc!$FG$244</f>
        <v/>
      </c>
      <c r="G242" s="65">
        <f>Calc!$FH$244</f>
        <v/>
      </c>
      <c r="H242" s="65">
        <f>Calc!$FI$244</f>
        <v/>
      </c>
      <c r="I242" s="65">
        <f>Calc!$FJ$244</f>
        <v/>
      </c>
      <c r="J242" s="65">
        <f>Calc!$FK$244</f>
        <v/>
      </c>
      <c r="K242" s="65">
        <f>Calc!$FL$244</f>
        <v/>
      </c>
      <c r="L242" s="65">
        <f>Calc!$FM$244</f>
        <v/>
      </c>
      <c r="M242" s="66">
        <f>Calc!$FN$244</f>
        <v/>
      </c>
      <c r="N242" s="66">
        <f>Calc!$FO$244</f>
        <v/>
      </c>
      <c r="O242" s="65">
        <f>Calc!$FP$244</f>
        <v/>
      </c>
      <c r="P242" s="67">
        <f>Calc!$FQ$244</f>
        <v/>
      </c>
      <c r="Q242" s="68">
        <f>Calc!$FR$244</f>
        <v/>
      </c>
      <c r="R242" s="65">
        <f>Calc!$FS$244</f>
        <v/>
      </c>
      <c r="T242">
        <f>Calc!$EY$244</f>
        <v/>
      </c>
      <c r="U242">
        <f>Calc!$FT$244</f>
        <v/>
      </c>
      <c r="V242">
        <f>Calc!$FU$244</f>
        <v/>
      </c>
      <c r="W242">
        <f>Calc!$FC$244</f>
        <v/>
      </c>
      <c r="X242">
        <f>Calc!$EZ$244</f>
        <v/>
      </c>
      <c r="Y242">
        <f>Calc!$FA$244</f>
        <v/>
      </c>
      <c r="Z242">
        <f>Calc!$FV$244</f>
        <v/>
      </c>
      <c r="AA242">
        <f>IF($T242&lt;&gt;"row",0,IF($V242=1,IF($X242=1,IF($Y242=1,1,2),IF($Y242=1,3,4)),IF($X242=1,IF($Y242=1,5,6),IF($Y242=1,7,8))))</f>
        <v/>
      </c>
    </row>
    <row r="243" ht="11.25" customHeight="1">
      <c r="A243" s="64">
        <f>Calc!$FB$245</f>
        <v/>
      </c>
      <c r="B243" s="64">
        <f>Calc!$FC$245</f>
        <v/>
      </c>
      <c r="C243" s="65">
        <f>Calc!$FD$245</f>
        <v/>
      </c>
      <c r="D243" s="65">
        <f>Calc!$FE$245</f>
        <v/>
      </c>
      <c r="E243" s="65">
        <f>Calc!$FF$245</f>
        <v/>
      </c>
      <c r="F243" s="65">
        <f>Calc!$FG$245</f>
        <v/>
      </c>
      <c r="G243" s="65">
        <f>Calc!$FH$245</f>
        <v/>
      </c>
      <c r="H243" s="65">
        <f>Calc!$FI$245</f>
        <v/>
      </c>
      <c r="I243" s="65">
        <f>Calc!$FJ$245</f>
        <v/>
      </c>
      <c r="J243" s="65">
        <f>Calc!$FK$245</f>
        <v/>
      </c>
      <c r="K243" s="65">
        <f>Calc!$FL$245</f>
        <v/>
      </c>
      <c r="L243" s="65">
        <f>Calc!$FM$245</f>
        <v/>
      </c>
      <c r="M243" s="66">
        <f>Calc!$FN$245</f>
        <v/>
      </c>
      <c r="N243" s="66">
        <f>Calc!$FO$245</f>
        <v/>
      </c>
      <c r="O243" s="65">
        <f>Calc!$FP$245</f>
        <v/>
      </c>
      <c r="P243" s="67">
        <f>Calc!$FQ$245</f>
        <v/>
      </c>
      <c r="Q243" s="68">
        <f>Calc!$FR$245</f>
        <v/>
      </c>
      <c r="R243" s="65">
        <f>Calc!$FS$245</f>
        <v/>
      </c>
      <c r="T243">
        <f>Calc!$EY$245</f>
        <v/>
      </c>
      <c r="U243">
        <f>Calc!$FT$245</f>
        <v/>
      </c>
      <c r="V243">
        <f>Calc!$FU$245</f>
        <v/>
      </c>
      <c r="W243">
        <f>Calc!$FC$245</f>
        <v/>
      </c>
      <c r="X243">
        <f>Calc!$EZ$245</f>
        <v/>
      </c>
      <c r="Y243">
        <f>Calc!$FA$245</f>
        <v/>
      </c>
      <c r="Z243">
        <f>Calc!$FV$245</f>
        <v/>
      </c>
      <c r="AA243">
        <f>IF($T243&lt;&gt;"row",0,IF($V243=1,IF($X243=1,IF($Y243=1,1,2),IF($Y243=1,3,4)),IF($X243=1,IF($Y243=1,5,6),IF($Y243=1,7,8))))</f>
        <v/>
      </c>
    </row>
    <row r="244" ht="11.25" customHeight="1">
      <c r="A244" s="64">
        <f>Calc!$FB$246</f>
        <v/>
      </c>
      <c r="B244" s="64">
        <f>Calc!$FC$246</f>
        <v/>
      </c>
      <c r="C244" s="65">
        <f>Calc!$FD$246</f>
        <v/>
      </c>
      <c r="D244" s="65">
        <f>Calc!$FE$246</f>
        <v/>
      </c>
      <c r="E244" s="65">
        <f>Calc!$FF$246</f>
        <v/>
      </c>
      <c r="F244" s="65">
        <f>Calc!$FG$246</f>
        <v/>
      </c>
      <c r="G244" s="65">
        <f>Calc!$FH$246</f>
        <v/>
      </c>
      <c r="H244" s="65">
        <f>Calc!$FI$246</f>
        <v/>
      </c>
      <c r="I244" s="65">
        <f>Calc!$FJ$246</f>
        <v/>
      </c>
      <c r="J244" s="65">
        <f>Calc!$FK$246</f>
        <v/>
      </c>
      <c r="K244" s="65">
        <f>Calc!$FL$246</f>
        <v/>
      </c>
      <c r="L244" s="65">
        <f>Calc!$FM$246</f>
        <v/>
      </c>
      <c r="M244" s="66">
        <f>Calc!$FN$246</f>
        <v/>
      </c>
      <c r="N244" s="66">
        <f>Calc!$FO$246</f>
        <v/>
      </c>
      <c r="O244" s="65">
        <f>Calc!$FP$246</f>
        <v/>
      </c>
      <c r="P244" s="67">
        <f>Calc!$FQ$246</f>
        <v/>
      </c>
      <c r="Q244" s="68">
        <f>Calc!$FR$246</f>
        <v/>
      </c>
      <c r="R244" s="65">
        <f>Calc!$FS$246</f>
        <v/>
      </c>
      <c r="T244">
        <f>Calc!$EY$246</f>
        <v/>
      </c>
      <c r="U244">
        <f>Calc!$FT$246</f>
        <v/>
      </c>
      <c r="V244">
        <f>Calc!$FU$246</f>
        <v/>
      </c>
      <c r="W244">
        <f>Calc!$FC$246</f>
        <v/>
      </c>
      <c r="X244">
        <f>Calc!$EZ$246</f>
        <v/>
      </c>
      <c r="Y244">
        <f>Calc!$FA$246</f>
        <v/>
      </c>
      <c r="Z244">
        <f>Calc!$FV$246</f>
        <v/>
      </c>
      <c r="AA244">
        <f>IF($T244&lt;&gt;"row",0,IF($V244=1,IF($X244=1,IF($Y244=1,1,2),IF($Y244=1,3,4)),IF($X244=1,IF($Y244=1,5,6),IF($Y244=1,7,8))))</f>
        <v/>
      </c>
    </row>
    <row r="245" ht="11.25" customHeight="1">
      <c r="A245" s="64">
        <f>Calc!$FB$247</f>
        <v/>
      </c>
      <c r="B245" s="64">
        <f>Calc!$FC$247</f>
        <v/>
      </c>
      <c r="C245" s="65">
        <f>Calc!$FD$247</f>
        <v/>
      </c>
      <c r="D245" s="65">
        <f>Calc!$FE$247</f>
        <v/>
      </c>
      <c r="E245" s="65">
        <f>Calc!$FF$247</f>
        <v/>
      </c>
      <c r="F245" s="65">
        <f>Calc!$FG$247</f>
        <v/>
      </c>
      <c r="G245" s="65">
        <f>Calc!$FH$247</f>
        <v/>
      </c>
      <c r="H245" s="65">
        <f>Calc!$FI$247</f>
        <v/>
      </c>
      <c r="I245" s="65">
        <f>Calc!$FJ$247</f>
        <v/>
      </c>
      <c r="J245" s="65">
        <f>Calc!$FK$247</f>
        <v/>
      </c>
      <c r="K245" s="65">
        <f>Calc!$FL$247</f>
        <v/>
      </c>
      <c r="L245" s="65">
        <f>Calc!$FM$247</f>
        <v/>
      </c>
      <c r="M245" s="66">
        <f>Calc!$FN$247</f>
        <v/>
      </c>
      <c r="N245" s="66">
        <f>Calc!$FO$247</f>
        <v/>
      </c>
      <c r="O245" s="65">
        <f>Calc!$FP$247</f>
        <v/>
      </c>
      <c r="P245" s="67">
        <f>Calc!$FQ$247</f>
        <v/>
      </c>
      <c r="Q245" s="68">
        <f>Calc!$FR$247</f>
        <v/>
      </c>
      <c r="R245" s="65">
        <f>Calc!$FS$247</f>
        <v/>
      </c>
      <c r="T245">
        <f>Calc!$EY$247</f>
        <v/>
      </c>
      <c r="U245">
        <f>Calc!$FT$247</f>
        <v/>
      </c>
      <c r="V245">
        <f>Calc!$FU$247</f>
        <v/>
      </c>
      <c r="W245">
        <f>Calc!$FC$247</f>
        <v/>
      </c>
      <c r="X245">
        <f>Calc!$EZ$247</f>
        <v/>
      </c>
      <c r="Y245">
        <f>Calc!$FA$247</f>
        <v/>
      </c>
      <c r="Z245">
        <f>Calc!$FV$247</f>
        <v/>
      </c>
      <c r="AA245">
        <f>IF($T245&lt;&gt;"row",0,IF($V245=1,IF($X245=1,IF($Y245=1,1,2),IF($Y245=1,3,4)),IF($X245=1,IF($Y245=1,5,6),IF($Y245=1,7,8))))</f>
        <v/>
      </c>
    </row>
    <row r="246" ht="11.25" customHeight="1">
      <c r="A246" s="64">
        <f>Calc!$FB$248</f>
        <v/>
      </c>
      <c r="B246" s="64">
        <f>Calc!$FC$248</f>
        <v/>
      </c>
      <c r="C246" s="65">
        <f>Calc!$FD$248</f>
        <v/>
      </c>
      <c r="D246" s="65">
        <f>Calc!$FE$248</f>
        <v/>
      </c>
      <c r="E246" s="65">
        <f>Calc!$FF$248</f>
        <v/>
      </c>
      <c r="F246" s="65">
        <f>Calc!$FG$248</f>
        <v/>
      </c>
      <c r="G246" s="65">
        <f>Calc!$FH$248</f>
        <v/>
      </c>
      <c r="H246" s="65">
        <f>Calc!$FI$248</f>
        <v/>
      </c>
      <c r="I246" s="65">
        <f>Calc!$FJ$248</f>
        <v/>
      </c>
      <c r="J246" s="65">
        <f>Calc!$FK$248</f>
        <v/>
      </c>
      <c r="K246" s="65">
        <f>Calc!$FL$248</f>
        <v/>
      </c>
      <c r="L246" s="65">
        <f>Calc!$FM$248</f>
        <v/>
      </c>
      <c r="M246" s="66">
        <f>Calc!$FN$248</f>
        <v/>
      </c>
      <c r="N246" s="66">
        <f>Calc!$FO$248</f>
        <v/>
      </c>
      <c r="O246" s="65">
        <f>Calc!$FP$248</f>
        <v/>
      </c>
      <c r="P246" s="67">
        <f>Calc!$FQ$248</f>
        <v/>
      </c>
      <c r="Q246" s="68">
        <f>Calc!$FR$248</f>
        <v/>
      </c>
      <c r="R246" s="65">
        <f>Calc!$FS$248</f>
        <v/>
      </c>
      <c r="T246">
        <f>Calc!$EY$248</f>
        <v/>
      </c>
      <c r="U246">
        <f>Calc!$FT$248</f>
        <v/>
      </c>
      <c r="V246">
        <f>Calc!$FU$248</f>
        <v/>
      </c>
      <c r="W246">
        <f>Calc!$FC$248</f>
        <v/>
      </c>
      <c r="X246">
        <f>Calc!$EZ$248</f>
        <v/>
      </c>
      <c r="Y246">
        <f>Calc!$FA$248</f>
        <v/>
      </c>
      <c r="Z246">
        <f>Calc!$FV$248</f>
        <v/>
      </c>
      <c r="AA246">
        <f>IF($T246&lt;&gt;"row",0,IF($V246=1,IF($X246=1,IF($Y246=1,1,2),IF($Y246=1,3,4)),IF($X246=1,IF($Y246=1,5,6),IF($Y246=1,7,8))))</f>
        <v/>
      </c>
    </row>
    <row r="247" ht="11.25" customHeight="1">
      <c r="A247" s="64">
        <f>Calc!$FB$249</f>
        <v/>
      </c>
      <c r="B247" s="64">
        <f>Calc!$FC$249</f>
        <v/>
      </c>
      <c r="C247" s="65">
        <f>Calc!$FD$249</f>
        <v/>
      </c>
      <c r="D247" s="65">
        <f>Calc!$FE$249</f>
        <v/>
      </c>
      <c r="E247" s="65">
        <f>Calc!$FF$249</f>
        <v/>
      </c>
      <c r="F247" s="65">
        <f>Calc!$FG$249</f>
        <v/>
      </c>
      <c r="G247" s="65">
        <f>Calc!$FH$249</f>
        <v/>
      </c>
      <c r="H247" s="65">
        <f>Calc!$FI$249</f>
        <v/>
      </c>
      <c r="I247" s="65">
        <f>Calc!$FJ$249</f>
        <v/>
      </c>
      <c r="J247" s="65">
        <f>Calc!$FK$249</f>
        <v/>
      </c>
      <c r="K247" s="65">
        <f>Calc!$FL$249</f>
        <v/>
      </c>
      <c r="L247" s="65">
        <f>Calc!$FM$249</f>
        <v/>
      </c>
      <c r="M247" s="66">
        <f>Calc!$FN$249</f>
        <v/>
      </c>
      <c r="N247" s="66">
        <f>Calc!$FO$249</f>
        <v/>
      </c>
      <c r="O247" s="65">
        <f>Calc!$FP$249</f>
        <v/>
      </c>
      <c r="P247" s="67">
        <f>Calc!$FQ$249</f>
        <v/>
      </c>
      <c r="Q247" s="68">
        <f>Calc!$FR$249</f>
        <v/>
      </c>
      <c r="R247" s="65">
        <f>Calc!$FS$249</f>
        <v/>
      </c>
      <c r="T247">
        <f>Calc!$EY$249</f>
        <v/>
      </c>
      <c r="U247">
        <f>Calc!$FT$249</f>
        <v/>
      </c>
      <c r="V247">
        <f>Calc!$FU$249</f>
        <v/>
      </c>
      <c r="W247">
        <f>Calc!$FC$249</f>
        <v/>
      </c>
      <c r="X247">
        <f>Calc!$EZ$249</f>
        <v/>
      </c>
      <c r="Y247">
        <f>Calc!$FA$249</f>
        <v/>
      </c>
      <c r="Z247">
        <f>Calc!$FV$249</f>
        <v/>
      </c>
      <c r="AA247">
        <f>IF($T247&lt;&gt;"row",0,IF($V247=1,IF($X247=1,IF($Y247=1,1,2),IF($Y247=1,3,4)),IF($X247=1,IF($Y247=1,5,6),IF($Y247=1,7,8))))</f>
        <v/>
      </c>
    </row>
    <row r="248" ht="11.25" customHeight="1">
      <c r="A248" s="64">
        <f>Calc!$FB$250</f>
        <v/>
      </c>
      <c r="B248" s="64">
        <f>Calc!$FC$250</f>
        <v/>
      </c>
      <c r="C248" s="65">
        <f>Calc!$FD$250</f>
        <v/>
      </c>
      <c r="D248" s="65">
        <f>Calc!$FE$250</f>
        <v/>
      </c>
      <c r="E248" s="65">
        <f>Calc!$FF$250</f>
        <v/>
      </c>
      <c r="F248" s="65">
        <f>Calc!$FG$250</f>
        <v/>
      </c>
      <c r="G248" s="65">
        <f>Calc!$FH$250</f>
        <v/>
      </c>
      <c r="H248" s="65">
        <f>Calc!$FI$250</f>
        <v/>
      </c>
      <c r="I248" s="65">
        <f>Calc!$FJ$250</f>
        <v/>
      </c>
      <c r="J248" s="65">
        <f>Calc!$FK$250</f>
        <v/>
      </c>
      <c r="K248" s="65">
        <f>Calc!$FL$250</f>
        <v/>
      </c>
      <c r="L248" s="65">
        <f>Calc!$FM$250</f>
        <v/>
      </c>
      <c r="M248" s="66">
        <f>Calc!$FN$250</f>
        <v/>
      </c>
      <c r="N248" s="66">
        <f>Calc!$FO$250</f>
        <v/>
      </c>
      <c r="O248" s="65">
        <f>Calc!$FP$250</f>
        <v/>
      </c>
      <c r="P248" s="67">
        <f>Calc!$FQ$250</f>
        <v/>
      </c>
      <c r="Q248" s="68">
        <f>Calc!$FR$250</f>
        <v/>
      </c>
      <c r="R248" s="65">
        <f>Calc!$FS$250</f>
        <v/>
      </c>
      <c r="T248">
        <f>Calc!$EY$250</f>
        <v/>
      </c>
      <c r="U248">
        <f>Calc!$FT$250</f>
        <v/>
      </c>
      <c r="V248">
        <f>Calc!$FU$250</f>
        <v/>
      </c>
      <c r="W248">
        <f>Calc!$FC$250</f>
        <v/>
      </c>
      <c r="X248">
        <f>Calc!$EZ$250</f>
        <v/>
      </c>
      <c r="Y248">
        <f>Calc!$FA$250</f>
        <v/>
      </c>
      <c r="Z248">
        <f>Calc!$FV$250</f>
        <v/>
      </c>
      <c r="AA248">
        <f>IF($T248&lt;&gt;"row",0,IF($V248=1,IF($X248=1,IF($Y248=1,1,2),IF($Y248=1,3,4)),IF($X248=1,IF($Y248=1,5,6),IF($Y248=1,7,8))))</f>
        <v/>
      </c>
    </row>
    <row r="249" ht="11.25" customHeight="1">
      <c r="A249" s="64">
        <f>Calc!$FB$251</f>
        <v/>
      </c>
      <c r="B249" s="64">
        <f>Calc!$FC$251</f>
        <v/>
      </c>
      <c r="C249" s="65">
        <f>Calc!$FD$251</f>
        <v/>
      </c>
      <c r="D249" s="65">
        <f>Calc!$FE$251</f>
        <v/>
      </c>
      <c r="E249" s="65">
        <f>Calc!$FF$251</f>
        <v/>
      </c>
      <c r="F249" s="65">
        <f>Calc!$FG$251</f>
        <v/>
      </c>
      <c r="G249" s="65">
        <f>Calc!$FH$251</f>
        <v/>
      </c>
      <c r="H249" s="65">
        <f>Calc!$FI$251</f>
        <v/>
      </c>
      <c r="I249" s="65">
        <f>Calc!$FJ$251</f>
        <v/>
      </c>
      <c r="J249" s="65">
        <f>Calc!$FK$251</f>
        <v/>
      </c>
      <c r="K249" s="65">
        <f>Calc!$FL$251</f>
        <v/>
      </c>
      <c r="L249" s="65">
        <f>Calc!$FM$251</f>
        <v/>
      </c>
      <c r="M249" s="66">
        <f>Calc!$FN$251</f>
        <v/>
      </c>
      <c r="N249" s="66">
        <f>Calc!$FO$251</f>
        <v/>
      </c>
      <c r="O249" s="65">
        <f>Calc!$FP$251</f>
        <v/>
      </c>
      <c r="P249" s="67">
        <f>Calc!$FQ$251</f>
        <v/>
      </c>
      <c r="Q249" s="68">
        <f>Calc!$FR$251</f>
        <v/>
      </c>
      <c r="R249" s="65">
        <f>Calc!$FS$251</f>
        <v/>
      </c>
      <c r="T249">
        <f>Calc!$EY$251</f>
        <v/>
      </c>
      <c r="U249">
        <f>Calc!$FT$251</f>
        <v/>
      </c>
      <c r="V249">
        <f>Calc!$FU$251</f>
        <v/>
      </c>
      <c r="W249">
        <f>Calc!$FC$251</f>
        <v/>
      </c>
      <c r="X249">
        <f>Calc!$EZ$251</f>
        <v/>
      </c>
      <c r="Y249">
        <f>Calc!$FA$251</f>
        <v/>
      </c>
      <c r="Z249">
        <f>Calc!$FV$251</f>
        <v/>
      </c>
      <c r="AA249">
        <f>IF($T249&lt;&gt;"row",0,IF($V249=1,IF($X249=1,IF($Y249=1,1,2),IF($Y249=1,3,4)),IF($X249=1,IF($Y249=1,5,6),IF($Y249=1,7,8))))</f>
        <v/>
      </c>
    </row>
    <row r="250" ht="11.25" customHeight="1">
      <c r="A250" s="64">
        <f>Calc!$FB$252</f>
        <v/>
      </c>
      <c r="B250" s="64">
        <f>Calc!$FC$252</f>
        <v/>
      </c>
      <c r="C250" s="65">
        <f>Calc!$FD$252</f>
        <v/>
      </c>
      <c r="D250" s="65">
        <f>Calc!$FE$252</f>
        <v/>
      </c>
      <c r="E250" s="65">
        <f>Calc!$FF$252</f>
        <v/>
      </c>
      <c r="F250" s="65">
        <f>Calc!$FG$252</f>
        <v/>
      </c>
      <c r="G250" s="65">
        <f>Calc!$FH$252</f>
        <v/>
      </c>
      <c r="H250" s="65">
        <f>Calc!$FI$252</f>
        <v/>
      </c>
      <c r="I250" s="65">
        <f>Calc!$FJ$252</f>
        <v/>
      </c>
      <c r="J250" s="65">
        <f>Calc!$FK$252</f>
        <v/>
      </c>
      <c r="K250" s="65">
        <f>Calc!$FL$252</f>
        <v/>
      </c>
      <c r="L250" s="65">
        <f>Calc!$FM$252</f>
        <v/>
      </c>
      <c r="M250" s="66">
        <f>Calc!$FN$252</f>
        <v/>
      </c>
      <c r="N250" s="66">
        <f>Calc!$FO$252</f>
        <v/>
      </c>
      <c r="O250" s="65">
        <f>Calc!$FP$252</f>
        <v/>
      </c>
      <c r="P250" s="67">
        <f>Calc!$FQ$252</f>
        <v/>
      </c>
      <c r="Q250" s="68">
        <f>Calc!$FR$252</f>
        <v/>
      </c>
      <c r="R250" s="65">
        <f>Calc!$FS$252</f>
        <v/>
      </c>
      <c r="T250">
        <f>Calc!$EY$252</f>
        <v/>
      </c>
      <c r="U250">
        <f>Calc!$FT$252</f>
        <v/>
      </c>
      <c r="V250">
        <f>Calc!$FU$252</f>
        <v/>
      </c>
      <c r="W250">
        <f>Calc!$FC$252</f>
        <v/>
      </c>
      <c r="X250">
        <f>Calc!$EZ$252</f>
        <v/>
      </c>
      <c r="Y250">
        <f>Calc!$FA$252</f>
        <v/>
      </c>
      <c r="Z250">
        <f>Calc!$FV$252</f>
        <v/>
      </c>
      <c r="AA250">
        <f>IF($T250&lt;&gt;"row",0,IF($V250=1,IF($X250=1,IF($Y250=1,1,2),IF($Y250=1,3,4)),IF($X250=1,IF($Y250=1,5,6),IF($Y250=1,7,8))))</f>
        <v/>
      </c>
    </row>
    <row r="251" ht="11.25" customHeight="1">
      <c r="A251" s="64">
        <f>Calc!$FB$253</f>
        <v/>
      </c>
      <c r="B251" s="64">
        <f>Calc!$FC$253</f>
        <v/>
      </c>
      <c r="C251" s="65">
        <f>Calc!$FD$253</f>
        <v/>
      </c>
      <c r="D251" s="65">
        <f>Calc!$FE$253</f>
        <v/>
      </c>
      <c r="E251" s="65">
        <f>Calc!$FF$253</f>
        <v/>
      </c>
      <c r="F251" s="65">
        <f>Calc!$FG$253</f>
        <v/>
      </c>
      <c r="G251" s="65">
        <f>Calc!$FH$253</f>
        <v/>
      </c>
      <c r="H251" s="65">
        <f>Calc!$FI$253</f>
        <v/>
      </c>
      <c r="I251" s="65">
        <f>Calc!$FJ$253</f>
        <v/>
      </c>
      <c r="J251" s="65">
        <f>Calc!$FK$253</f>
        <v/>
      </c>
      <c r="K251" s="65">
        <f>Calc!$FL$253</f>
        <v/>
      </c>
      <c r="L251" s="65">
        <f>Calc!$FM$253</f>
        <v/>
      </c>
      <c r="M251" s="66">
        <f>Calc!$FN$253</f>
        <v/>
      </c>
      <c r="N251" s="66">
        <f>Calc!$FO$253</f>
        <v/>
      </c>
      <c r="O251" s="65">
        <f>Calc!$FP$253</f>
        <v/>
      </c>
      <c r="P251" s="67">
        <f>Calc!$FQ$253</f>
        <v/>
      </c>
      <c r="Q251" s="68">
        <f>Calc!$FR$253</f>
        <v/>
      </c>
      <c r="R251" s="65">
        <f>Calc!$FS$253</f>
        <v/>
      </c>
      <c r="T251">
        <f>Calc!$EY$253</f>
        <v/>
      </c>
      <c r="U251">
        <f>Calc!$FT$253</f>
        <v/>
      </c>
      <c r="V251">
        <f>Calc!$FU$253</f>
        <v/>
      </c>
      <c r="W251">
        <f>Calc!$FC$253</f>
        <v/>
      </c>
      <c r="X251">
        <f>Calc!$EZ$253</f>
        <v/>
      </c>
      <c r="Y251">
        <f>Calc!$FA$253</f>
        <v/>
      </c>
      <c r="Z251">
        <f>Calc!$FV$253</f>
        <v/>
      </c>
      <c r="AA251">
        <f>IF($T251&lt;&gt;"row",0,IF($V251=1,IF($X251=1,IF($Y251=1,1,2),IF($Y251=1,3,4)),IF($X251=1,IF($Y251=1,5,6),IF($Y251=1,7,8))))</f>
        <v/>
      </c>
    </row>
    <row r="252" ht="11.25" customHeight="1">
      <c r="A252" s="64">
        <f>Calc!$FB$254</f>
        <v/>
      </c>
      <c r="B252" s="64">
        <f>Calc!$FC$254</f>
        <v/>
      </c>
      <c r="C252" s="65">
        <f>Calc!$FD$254</f>
        <v/>
      </c>
      <c r="D252" s="65">
        <f>Calc!$FE$254</f>
        <v/>
      </c>
      <c r="E252" s="65">
        <f>Calc!$FF$254</f>
        <v/>
      </c>
      <c r="F252" s="65">
        <f>Calc!$FG$254</f>
        <v/>
      </c>
      <c r="G252" s="65">
        <f>Calc!$FH$254</f>
        <v/>
      </c>
      <c r="H252" s="65">
        <f>Calc!$FI$254</f>
        <v/>
      </c>
      <c r="I252" s="65">
        <f>Calc!$FJ$254</f>
        <v/>
      </c>
      <c r="J252" s="65">
        <f>Calc!$FK$254</f>
        <v/>
      </c>
      <c r="K252" s="65">
        <f>Calc!$FL$254</f>
        <v/>
      </c>
      <c r="L252" s="65">
        <f>Calc!$FM$254</f>
        <v/>
      </c>
      <c r="M252" s="66">
        <f>Calc!$FN$254</f>
        <v/>
      </c>
      <c r="N252" s="66">
        <f>Calc!$FO$254</f>
        <v/>
      </c>
      <c r="O252" s="65">
        <f>Calc!$FP$254</f>
        <v/>
      </c>
      <c r="P252" s="67">
        <f>Calc!$FQ$254</f>
        <v/>
      </c>
      <c r="Q252" s="68">
        <f>Calc!$FR$254</f>
        <v/>
      </c>
      <c r="R252" s="65">
        <f>Calc!$FS$254</f>
        <v/>
      </c>
      <c r="T252">
        <f>Calc!$EY$254</f>
        <v/>
      </c>
      <c r="U252">
        <f>Calc!$FT$254</f>
        <v/>
      </c>
      <c r="V252">
        <f>Calc!$FU$254</f>
        <v/>
      </c>
      <c r="W252">
        <f>Calc!$FC$254</f>
        <v/>
      </c>
      <c r="X252">
        <f>Calc!$EZ$254</f>
        <v/>
      </c>
      <c r="Y252">
        <f>Calc!$FA$254</f>
        <v/>
      </c>
      <c r="Z252">
        <f>Calc!$FV$254</f>
        <v/>
      </c>
      <c r="AA252">
        <f>IF($T252&lt;&gt;"row",0,IF($V252=1,IF($X252=1,IF($Y252=1,1,2),IF($Y252=1,3,4)),IF($X252=1,IF($Y252=1,5,6),IF($Y252=1,7,8))))</f>
        <v/>
      </c>
    </row>
    <row r="253" ht="11.25" customHeight="1">
      <c r="A253" s="64">
        <f>Calc!$FB$255</f>
        <v/>
      </c>
      <c r="B253" s="64">
        <f>Calc!$FC$255</f>
        <v/>
      </c>
      <c r="C253" s="65">
        <f>Calc!$FD$255</f>
        <v/>
      </c>
      <c r="D253" s="65">
        <f>Calc!$FE$255</f>
        <v/>
      </c>
      <c r="E253" s="65">
        <f>Calc!$FF$255</f>
        <v/>
      </c>
      <c r="F253" s="65">
        <f>Calc!$FG$255</f>
        <v/>
      </c>
      <c r="G253" s="65">
        <f>Calc!$FH$255</f>
        <v/>
      </c>
      <c r="H253" s="65">
        <f>Calc!$FI$255</f>
        <v/>
      </c>
      <c r="I253" s="65">
        <f>Calc!$FJ$255</f>
        <v/>
      </c>
      <c r="J253" s="65">
        <f>Calc!$FK$255</f>
        <v/>
      </c>
      <c r="K253" s="65">
        <f>Calc!$FL$255</f>
        <v/>
      </c>
      <c r="L253" s="65">
        <f>Calc!$FM$255</f>
        <v/>
      </c>
      <c r="M253" s="66">
        <f>Calc!$FN$255</f>
        <v/>
      </c>
      <c r="N253" s="66">
        <f>Calc!$FO$255</f>
        <v/>
      </c>
      <c r="O253" s="65">
        <f>Calc!$FP$255</f>
        <v/>
      </c>
      <c r="P253" s="67">
        <f>Calc!$FQ$255</f>
        <v/>
      </c>
      <c r="Q253" s="68">
        <f>Calc!$FR$255</f>
        <v/>
      </c>
      <c r="R253" s="65">
        <f>Calc!$FS$255</f>
        <v/>
      </c>
      <c r="T253">
        <f>Calc!$EY$255</f>
        <v/>
      </c>
      <c r="U253">
        <f>Calc!$FT$255</f>
        <v/>
      </c>
      <c r="V253">
        <f>Calc!$FU$255</f>
        <v/>
      </c>
      <c r="W253">
        <f>Calc!$FC$255</f>
        <v/>
      </c>
      <c r="X253">
        <f>Calc!$EZ$255</f>
        <v/>
      </c>
      <c r="Y253">
        <f>Calc!$FA$255</f>
        <v/>
      </c>
      <c r="Z253">
        <f>Calc!$FV$255</f>
        <v/>
      </c>
      <c r="AA253">
        <f>IF($T253&lt;&gt;"row",0,IF($V253=1,IF($X253=1,IF($Y253=1,1,2),IF($Y253=1,3,4)),IF($X253=1,IF($Y253=1,5,6),IF($Y253=1,7,8))))</f>
        <v/>
      </c>
    </row>
    <row r="254" ht="11.25" customHeight="1">
      <c r="A254" s="64">
        <f>Calc!$FB$256</f>
        <v/>
      </c>
      <c r="B254" s="64">
        <f>Calc!$FC$256</f>
        <v/>
      </c>
      <c r="C254" s="65">
        <f>Calc!$FD$256</f>
        <v/>
      </c>
      <c r="D254" s="65">
        <f>Calc!$FE$256</f>
        <v/>
      </c>
      <c r="E254" s="65">
        <f>Calc!$FF$256</f>
        <v/>
      </c>
      <c r="F254" s="65">
        <f>Calc!$FG$256</f>
        <v/>
      </c>
      <c r="G254" s="65">
        <f>Calc!$FH$256</f>
        <v/>
      </c>
      <c r="H254" s="65">
        <f>Calc!$FI$256</f>
        <v/>
      </c>
      <c r="I254" s="65">
        <f>Calc!$FJ$256</f>
        <v/>
      </c>
      <c r="J254" s="65">
        <f>Calc!$FK$256</f>
        <v/>
      </c>
      <c r="K254" s="65">
        <f>Calc!$FL$256</f>
        <v/>
      </c>
      <c r="L254" s="65">
        <f>Calc!$FM$256</f>
        <v/>
      </c>
      <c r="M254" s="66">
        <f>Calc!$FN$256</f>
        <v/>
      </c>
      <c r="N254" s="66">
        <f>Calc!$FO$256</f>
        <v/>
      </c>
      <c r="O254" s="65">
        <f>Calc!$FP$256</f>
        <v/>
      </c>
      <c r="P254" s="67">
        <f>Calc!$FQ$256</f>
        <v/>
      </c>
      <c r="Q254" s="68">
        <f>Calc!$FR$256</f>
        <v/>
      </c>
      <c r="R254" s="65">
        <f>Calc!$FS$256</f>
        <v/>
      </c>
      <c r="T254">
        <f>Calc!$EY$256</f>
        <v/>
      </c>
      <c r="U254">
        <f>Calc!$FT$256</f>
        <v/>
      </c>
      <c r="V254">
        <f>Calc!$FU$256</f>
        <v/>
      </c>
      <c r="W254">
        <f>Calc!$FC$256</f>
        <v/>
      </c>
      <c r="X254">
        <f>Calc!$EZ$256</f>
        <v/>
      </c>
      <c r="Y254">
        <f>Calc!$FA$256</f>
        <v/>
      </c>
      <c r="Z254">
        <f>Calc!$FV$256</f>
        <v/>
      </c>
      <c r="AA254">
        <f>IF($T254&lt;&gt;"row",0,IF($V254=1,IF($X254=1,IF($Y254=1,1,2),IF($Y254=1,3,4)),IF($X254=1,IF($Y254=1,5,6),IF($Y254=1,7,8))))</f>
        <v/>
      </c>
    </row>
    <row r="255" ht="11.25" customHeight="1">
      <c r="A255" s="64">
        <f>Calc!$FB$257</f>
        <v/>
      </c>
      <c r="B255" s="64">
        <f>Calc!$FC$257</f>
        <v/>
      </c>
      <c r="C255" s="65">
        <f>Calc!$FD$257</f>
        <v/>
      </c>
      <c r="D255" s="65">
        <f>Calc!$FE$257</f>
        <v/>
      </c>
      <c r="E255" s="65">
        <f>Calc!$FF$257</f>
        <v/>
      </c>
      <c r="F255" s="65">
        <f>Calc!$FG$257</f>
        <v/>
      </c>
      <c r="G255" s="65">
        <f>Calc!$FH$257</f>
        <v/>
      </c>
      <c r="H255" s="65">
        <f>Calc!$FI$257</f>
        <v/>
      </c>
      <c r="I255" s="65">
        <f>Calc!$FJ$257</f>
        <v/>
      </c>
      <c r="J255" s="65">
        <f>Calc!$FK$257</f>
        <v/>
      </c>
      <c r="K255" s="65">
        <f>Calc!$FL$257</f>
        <v/>
      </c>
      <c r="L255" s="65">
        <f>Calc!$FM$257</f>
        <v/>
      </c>
      <c r="M255" s="66">
        <f>Calc!$FN$257</f>
        <v/>
      </c>
      <c r="N255" s="66">
        <f>Calc!$FO$257</f>
        <v/>
      </c>
      <c r="O255" s="65">
        <f>Calc!$FP$257</f>
        <v/>
      </c>
      <c r="P255" s="67">
        <f>Calc!$FQ$257</f>
        <v/>
      </c>
      <c r="Q255" s="68">
        <f>Calc!$FR$257</f>
        <v/>
      </c>
      <c r="R255" s="65">
        <f>Calc!$FS$257</f>
        <v/>
      </c>
      <c r="T255">
        <f>Calc!$EY$257</f>
        <v/>
      </c>
      <c r="U255">
        <f>Calc!$FT$257</f>
        <v/>
      </c>
      <c r="V255">
        <f>Calc!$FU$257</f>
        <v/>
      </c>
      <c r="W255">
        <f>Calc!$FC$257</f>
        <v/>
      </c>
      <c r="X255">
        <f>Calc!$EZ$257</f>
        <v/>
      </c>
      <c r="Y255">
        <f>Calc!$FA$257</f>
        <v/>
      </c>
      <c r="Z255">
        <f>Calc!$FV$257</f>
        <v/>
      </c>
      <c r="AA255">
        <f>IF($T255&lt;&gt;"row",0,IF($V255=1,IF($X255=1,IF($Y255=1,1,2),IF($Y255=1,3,4)),IF($X255=1,IF($Y255=1,5,6),IF($Y255=1,7,8))))</f>
        <v/>
      </c>
    </row>
    <row r="256" ht="11.25" customHeight="1">
      <c r="A256" s="64">
        <f>Calc!$FB$258</f>
        <v/>
      </c>
      <c r="B256" s="64">
        <f>Calc!$FC$258</f>
        <v/>
      </c>
      <c r="C256" s="65">
        <f>Calc!$FD$258</f>
        <v/>
      </c>
      <c r="D256" s="65">
        <f>Calc!$FE$258</f>
        <v/>
      </c>
      <c r="E256" s="65">
        <f>Calc!$FF$258</f>
        <v/>
      </c>
      <c r="F256" s="65">
        <f>Calc!$FG$258</f>
        <v/>
      </c>
      <c r="G256" s="65">
        <f>Calc!$FH$258</f>
        <v/>
      </c>
      <c r="H256" s="65">
        <f>Calc!$FI$258</f>
        <v/>
      </c>
      <c r="I256" s="65">
        <f>Calc!$FJ$258</f>
        <v/>
      </c>
      <c r="J256" s="65">
        <f>Calc!$FK$258</f>
        <v/>
      </c>
      <c r="K256" s="65">
        <f>Calc!$FL$258</f>
        <v/>
      </c>
      <c r="L256" s="65">
        <f>Calc!$FM$258</f>
        <v/>
      </c>
      <c r="M256" s="66">
        <f>Calc!$FN$258</f>
        <v/>
      </c>
      <c r="N256" s="66">
        <f>Calc!$FO$258</f>
        <v/>
      </c>
      <c r="O256" s="65">
        <f>Calc!$FP$258</f>
        <v/>
      </c>
      <c r="P256" s="67">
        <f>Calc!$FQ$258</f>
        <v/>
      </c>
      <c r="Q256" s="68">
        <f>Calc!$FR$258</f>
        <v/>
      </c>
      <c r="R256" s="65">
        <f>Calc!$FS$258</f>
        <v/>
      </c>
      <c r="T256">
        <f>Calc!$EY$258</f>
        <v/>
      </c>
      <c r="U256">
        <f>Calc!$FT$258</f>
        <v/>
      </c>
      <c r="V256">
        <f>Calc!$FU$258</f>
        <v/>
      </c>
      <c r="W256">
        <f>Calc!$FC$258</f>
        <v/>
      </c>
      <c r="X256">
        <f>Calc!$EZ$258</f>
        <v/>
      </c>
      <c r="Y256">
        <f>Calc!$FA$258</f>
        <v/>
      </c>
      <c r="Z256">
        <f>Calc!$FV$258</f>
        <v/>
      </c>
      <c r="AA256">
        <f>IF($T256&lt;&gt;"row",0,IF($V256=1,IF($X256=1,IF($Y256=1,1,2),IF($Y256=1,3,4)),IF($X256=1,IF($Y256=1,5,6),IF($Y256=1,7,8))))</f>
        <v/>
      </c>
    </row>
    <row r="257" ht="11.25" customHeight="1">
      <c r="A257" s="64">
        <f>Calc!$FB$259</f>
        <v/>
      </c>
      <c r="B257" s="64">
        <f>Calc!$FC$259</f>
        <v/>
      </c>
      <c r="C257" s="65">
        <f>Calc!$FD$259</f>
        <v/>
      </c>
      <c r="D257" s="65">
        <f>Calc!$FE$259</f>
        <v/>
      </c>
      <c r="E257" s="65">
        <f>Calc!$FF$259</f>
        <v/>
      </c>
      <c r="F257" s="65">
        <f>Calc!$FG$259</f>
        <v/>
      </c>
      <c r="G257" s="65">
        <f>Calc!$FH$259</f>
        <v/>
      </c>
      <c r="H257" s="65">
        <f>Calc!$FI$259</f>
        <v/>
      </c>
      <c r="I257" s="65">
        <f>Calc!$FJ$259</f>
        <v/>
      </c>
      <c r="J257" s="65">
        <f>Calc!$FK$259</f>
        <v/>
      </c>
      <c r="K257" s="65">
        <f>Calc!$FL$259</f>
        <v/>
      </c>
      <c r="L257" s="65">
        <f>Calc!$FM$259</f>
        <v/>
      </c>
      <c r="M257" s="66">
        <f>Calc!$FN$259</f>
        <v/>
      </c>
      <c r="N257" s="66">
        <f>Calc!$FO$259</f>
        <v/>
      </c>
      <c r="O257" s="65">
        <f>Calc!$FP$259</f>
        <v/>
      </c>
      <c r="P257" s="67">
        <f>Calc!$FQ$259</f>
        <v/>
      </c>
      <c r="Q257" s="68">
        <f>Calc!$FR$259</f>
        <v/>
      </c>
      <c r="R257" s="65">
        <f>Calc!$FS$259</f>
        <v/>
      </c>
      <c r="T257">
        <f>Calc!$EY$259</f>
        <v/>
      </c>
      <c r="U257">
        <f>Calc!$FT$259</f>
        <v/>
      </c>
      <c r="V257">
        <f>Calc!$FU$259</f>
        <v/>
      </c>
      <c r="W257">
        <f>Calc!$FC$259</f>
        <v/>
      </c>
      <c r="X257">
        <f>Calc!$EZ$259</f>
        <v/>
      </c>
      <c r="Y257">
        <f>Calc!$FA$259</f>
        <v/>
      </c>
      <c r="Z257">
        <f>Calc!$FV$259</f>
        <v/>
      </c>
      <c r="AA257">
        <f>IF($T257&lt;&gt;"row",0,IF($V257=1,IF($X257=1,IF($Y257=1,1,2),IF($Y257=1,3,4)),IF($X257=1,IF($Y257=1,5,6),IF($Y257=1,7,8))))</f>
        <v/>
      </c>
    </row>
    <row r="258" ht="11.25" customHeight="1">
      <c r="A258" s="64">
        <f>Calc!$FB$260</f>
        <v/>
      </c>
      <c r="B258" s="64">
        <f>Calc!$FC$260</f>
        <v/>
      </c>
      <c r="C258" s="65">
        <f>Calc!$FD$260</f>
        <v/>
      </c>
      <c r="D258" s="65">
        <f>Calc!$FE$260</f>
        <v/>
      </c>
      <c r="E258" s="65">
        <f>Calc!$FF$260</f>
        <v/>
      </c>
      <c r="F258" s="65">
        <f>Calc!$FG$260</f>
        <v/>
      </c>
      <c r="G258" s="65">
        <f>Calc!$FH$260</f>
        <v/>
      </c>
      <c r="H258" s="65">
        <f>Calc!$FI$260</f>
        <v/>
      </c>
      <c r="I258" s="65">
        <f>Calc!$FJ$260</f>
        <v/>
      </c>
      <c r="J258" s="65">
        <f>Calc!$FK$260</f>
        <v/>
      </c>
      <c r="K258" s="65">
        <f>Calc!$FL$260</f>
        <v/>
      </c>
      <c r="L258" s="65">
        <f>Calc!$FM$260</f>
        <v/>
      </c>
      <c r="M258" s="66">
        <f>Calc!$FN$260</f>
        <v/>
      </c>
      <c r="N258" s="66">
        <f>Calc!$FO$260</f>
        <v/>
      </c>
      <c r="O258" s="65">
        <f>Calc!$FP$260</f>
        <v/>
      </c>
      <c r="P258" s="67">
        <f>Calc!$FQ$260</f>
        <v/>
      </c>
      <c r="Q258" s="68">
        <f>Calc!$FR$260</f>
        <v/>
      </c>
      <c r="R258" s="65">
        <f>Calc!$FS$260</f>
        <v/>
      </c>
      <c r="T258">
        <f>Calc!$EY$260</f>
        <v/>
      </c>
      <c r="U258">
        <f>Calc!$FT$260</f>
        <v/>
      </c>
      <c r="V258">
        <f>Calc!$FU$260</f>
        <v/>
      </c>
      <c r="W258">
        <f>Calc!$FC$260</f>
        <v/>
      </c>
      <c r="X258">
        <f>Calc!$EZ$260</f>
        <v/>
      </c>
      <c r="Y258">
        <f>Calc!$FA$260</f>
        <v/>
      </c>
      <c r="Z258">
        <f>Calc!$FV$260</f>
        <v/>
      </c>
      <c r="AA258">
        <f>IF($T258&lt;&gt;"row",0,IF($V258=1,IF($X258=1,IF($Y258=1,1,2),IF($Y258=1,3,4)),IF($X258=1,IF($Y258=1,5,6),IF($Y258=1,7,8))))</f>
        <v/>
      </c>
    </row>
    <row r="259" ht="11.25" customHeight="1">
      <c r="A259" s="64">
        <f>Calc!$FB$261</f>
        <v/>
      </c>
      <c r="B259" s="64">
        <f>Calc!$FC$261</f>
        <v/>
      </c>
      <c r="C259" s="65">
        <f>Calc!$FD$261</f>
        <v/>
      </c>
      <c r="D259" s="65">
        <f>Calc!$FE$261</f>
        <v/>
      </c>
      <c r="E259" s="65">
        <f>Calc!$FF$261</f>
        <v/>
      </c>
      <c r="F259" s="65">
        <f>Calc!$FG$261</f>
        <v/>
      </c>
      <c r="G259" s="65">
        <f>Calc!$FH$261</f>
        <v/>
      </c>
      <c r="H259" s="65">
        <f>Calc!$FI$261</f>
        <v/>
      </c>
      <c r="I259" s="65">
        <f>Calc!$FJ$261</f>
        <v/>
      </c>
      <c r="J259" s="65">
        <f>Calc!$FK$261</f>
        <v/>
      </c>
      <c r="K259" s="65">
        <f>Calc!$FL$261</f>
        <v/>
      </c>
      <c r="L259" s="65">
        <f>Calc!$FM$261</f>
        <v/>
      </c>
      <c r="M259" s="66">
        <f>Calc!$FN$261</f>
        <v/>
      </c>
      <c r="N259" s="66">
        <f>Calc!$FO$261</f>
        <v/>
      </c>
      <c r="O259" s="65">
        <f>Calc!$FP$261</f>
        <v/>
      </c>
      <c r="P259" s="67">
        <f>Calc!$FQ$261</f>
        <v/>
      </c>
      <c r="Q259" s="68">
        <f>Calc!$FR$261</f>
        <v/>
      </c>
      <c r="R259" s="65">
        <f>Calc!$FS$261</f>
        <v/>
      </c>
      <c r="T259">
        <f>Calc!$EY$261</f>
        <v/>
      </c>
      <c r="U259">
        <f>Calc!$FT$261</f>
        <v/>
      </c>
      <c r="V259">
        <f>Calc!$FU$261</f>
        <v/>
      </c>
      <c r="W259">
        <f>Calc!$FC$261</f>
        <v/>
      </c>
      <c r="X259">
        <f>Calc!$EZ$261</f>
        <v/>
      </c>
      <c r="Y259">
        <f>Calc!$FA$261</f>
        <v/>
      </c>
      <c r="Z259">
        <f>Calc!$FV$261</f>
        <v/>
      </c>
      <c r="AA259">
        <f>IF($T259&lt;&gt;"row",0,IF($V259=1,IF($X259=1,IF($Y259=1,1,2),IF($Y259=1,3,4)),IF($X259=1,IF($Y259=1,5,6),IF($Y259=1,7,8))))</f>
        <v/>
      </c>
    </row>
    <row r="260" ht="11.25" customHeight="1">
      <c r="A260" s="64">
        <f>Calc!$FB$262</f>
        <v/>
      </c>
      <c r="B260" s="64">
        <f>Calc!$FC$262</f>
        <v/>
      </c>
      <c r="C260" s="65">
        <f>Calc!$FD$262</f>
        <v/>
      </c>
      <c r="D260" s="65">
        <f>Calc!$FE$262</f>
        <v/>
      </c>
      <c r="E260" s="65">
        <f>Calc!$FF$262</f>
        <v/>
      </c>
      <c r="F260" s="65">
        <f>Calc!$FG$262</f>
        <v/>
      </c>
      <c r="G260" s="65">
        <f>Calc!$FH$262</f>
        <v/>
      </c>
      <c r="H260" s="65">
        <f>Calc!$FI$262</f>
        <v/>
      </c>
      <c r="I260" s="65">
        <f>Calc!$FJ$262</f>
        <v/>
      </c>
      <c r="J260" s="65">
        <f>Calc!$FK$262</f>
        <v/>
      </c>
      <c r="K260" s="65">
        <f>Calc!$FL$262</f>
        <v/>
      </c>
      <c r="L260" s="65">
        <f>Calc!$FM$262</f>
        <v/>
      </c>
      <c r="M260" s="66">
        <f>Calc!$FN$262</f>
        <v/>
      </c>
      <c r="N260" s="66">
        <f>Calc!$FO$262</f>
        <v/>
      </c>
      <c r="O260" s="65">
        <f>Calc!$FP$262</f>
        <v/>
      </c>
      <c r="P260" s="67">
        <f>Calc!$FQ$262</f>
        <v/>
      </c>
      <c r="Q260" s="68">
        <f>Calc!$FR$262</f>
        <v/>
      </c>
      <c r="R260" s="65">
        <f>Calc!$FS$262</f>
        <v/>
      </c>
      <c r="T260">
        <f>Calc!$EY$262</f>
        <v/>
      </c>
      <c r="U260">
        <f>Calc!$FT$262</f>
        <v/>
      </c>
      <c r="V260">
        <f>Calc!$FU$262</f>
        <v/>
      </c>
      <c r="W260">
        <f>Calc!$FC$262</f>
        <v/>
      </c>
      <c r="X260">
        <f>Calc!$EZ$262</f>
        <v/>
      </c>
      <c r="Y260">
        <f>Calc!$FA$262</f>
        <v/>
      </c>
      <c r="Z260">
        <f>Calc!$FV$262</f>
        <v/>
      </c>
      <c r="AA260">
        <f>IF($T260&lt;&gt;"row",0,IF($V260=1,IF($X260=1,IF($Y260=1,1,2),IF($Y260=1,3,4)),IF($X260=1,IF($Y260=1,5,6),IF($Y260=1,7,8))))</f>
        <v/>
      </c>
    </row>
    <row r="261" ht="11.25" customHeight="1">
      <c r="A261" s="64">
        <f>Calc!$FB$263</f>
        <v/>
      </c>
      <c r="B261" s="64">
        <f>Calc!$FC$263</f>
        <v/>
      </c>
      <c r="C261" s="65">
        <f>Calc!$FD$263</f>
        <v/>
      </c>
      <c r="D261" s="65">
        <f>Calc!$FE$263</f>
        <v/>
      </c>
      <c r="E261" s="65">
        <f>Calc!$FF$263</f>
        <v/>
      </c>
      <c r="F261" s="65">
        <f>Calc!$FG$263</f>
        <v/>
      </c>
      <c r="G261" s="65">
        <f>Calc!$FH$263</f>
        <v/>
      </c>
      <c r="H261" s="65">
        <f>Calc!$FI$263</f>
        <v/>
      </c>
      <c r="I261" s="65">
        <f>Calc!$FJ$263</f>
        <v/>
      </c>
      <c r="J261" s="65">
        <f>Calc!$FK$263</f>
        <v/>
      </c>
      <c r="K261" s="65">
        <f>Calc!$FL$263</f>
        <v/>
      </c>
      <c r="L261" s="65">
        <f>Calc!$FM$263</f>
        <v/>
      </c>
      <c r="M261" s="66">
        <f>Calc!$FN$263</f>
        <v/>
      </c>
      <c r="N261" s="66">
        <f>Calc!$FO$263</f>
        <v/>
      </c>
      <c r="O261" s="65">
        <f>Calc!$FP$263</f>
        <v/>
      </c>
      <c r="P261" s="67">
        <f>Calc!$FQ$263</f>
        <v/>
      </c>
      <c r="Q261" s="68">
        <f>Calc!$FR$263</f>
        <v/>
      </c>
      <c r="R261" s="65">
        <f>Calc!$FS$263</f>
        <v/>
      </c>
      <c r="T261">
        <f>Calc!$EY$263</f>
        <v/>
      </c>
      <c r="U261">
        <f>Calc!$FT$263</f>
        <v/>
      </c>
      <c r="V261">
        <f>Calc!$FU$263</f>
        <v/>
      </c>
      <c r="W261">
        <f>Calc!$FC$263</f>
        <v/>
      </c>
      <c r="X261">
        <f>Calc!$EZ$263</f>
        <v/>
      </c>
      <c r="Y261">
        <f>Calc!$FA$263</f>
        <v/>
      </c>
      <c r="Z261">
        <f>Calc!$FV$263</f>
        <v/>
      </c>
      <c r="AA261">
        <f>IF($T261&lt;&gt;"row",0,IF($V261=1,IF($X261=1,IF($Y261=1,1,2),IF($Y261=1,3,4)),IF($X261=1,IF($Y261=1,5,6),IF($Y261=1,7,8))))</f>
        <v/>
      </c>
    </row>
    <row r="262" ht="11.25" customHeight="1">
      <c r="A262" s="64">
        <f>Calc!$FB$264</f>
        <v/>
      </c>
      <c r="B262" s="64">
        <f>Calc!$FC$264</f>
        <v/>
      </c>
      <c r="C262" s="65">
        <f>Calc!$FD$264</f>
        <v/>
      </c>
      <c r="D262" s="65">
        <f>Calc!$FE$264</f>
        <v/>
      </c>
      <c r="E262" s="65">
        <f>Calc!$FF$264</f>
        <v/>
      </c>
      <c r="F262" s="65">
        <f>Calc!$FG$264</f>
        <v/>
      </c>
      <c r="G262" s="65">
        <f>Calc!$FH$264</f>
        <v/>
      </c>
      <c r="H262" s="65">
        <f>Calc!$FI$264</f>
        <v/>
      </c>
      <c r="I262" s="65">
        <f>Calc!$FJ$264</f>
        <v/>
      </c>
      <c r="J262" s="65">
        <f>Calc!$FK$264</f>
        <v/>
      </c>
      <c r="K262" s="65">
        <f>Calc!$FL$264</f>
        <v/>
      </c>
      <c r="L262" s="65">
        <f>Calc!$FM$264</f>
        <v/>
      </c>
      <c r="M262" s="66">
        <f>Calc!$FN$264</f>
        <v/>
      </c>
      <c r="N262" s="66">
        <f>Calc!$FO$264</f>
        <v/>
      </c>
      <c r="O262" s="65">
        <f>Calc!$FP$264</f>
        <v/>
      </c>
      <c r="P262" s="67">
        <f>Calc!$FQ$264</f>
        <v/>
      </c>
      <c r="Q262" s="68">
        <f>Calc!$FR$264</f>
        <v/>
      </c>
      <c r="R262" s="65">
        <f>Calc!$FS$264</f>
        <v/>
      </c>
      <c r="T262">
        <f>Calc!$EY$264</f>
        <v/>
      </c>
      <c r="U262">
        <f>Calc!$FT$264</f>
        <v/>
      </c>
      <c r="V262">
        <f>Calc!$FU$264</f>
        <v/>
      </c>
      <c r="W262">
        <f>Calc!$FC$264</f>
        <v/>
      </c>
      <c r="X262">
        <f>Calc!$EZ$264</f>
        <v/>
      </c>
      <c r="Y262">
        <f>Calc!$FA$264</f>
        <v/>
      </c>
      <c r="Z262">
        <f>Calc!$FV$264</f>
        <v/>
      </c>
      <c r="AA262">
        <f>IF($T262&lt;&gt;"row",0,IF($V262=1,IF($X262=1,IF($Y262=1,1,2),IF($Y262=1,3,4)),IF($X262=1,IF($Y262=1,5,6),IF($Y262=1,7,8))))</f>
        <v/>
      </c>
    </row>
    <row r="263" ht="11.25" customHeight="1">
      <c r="A263" s="64">
        <f>Calc!$FB$265</f>
        <v/>
      </c>
      <c r="B263" s="64">
        <f>Calc!$FC$265</f>
        <v/>
      </c>
      <c r="C263" s="65">
        <f>Calc!$FD$265</f>
        <v/>
      </c>
      <c r="D263" s="65">
        <f>Calc!$FE$265</f>
        <v/>
      </c>
      <c r="E263" s="65">
        <f>Calc!$FF$265</f>
        <v/>
      </c>
      <c r="F263" s="65">
        <f>Calc!$FG$265</f>
        <v/>
      </c>
      <c r="G263" s="65">
        <f>Calc!$FH$265</f>
        <v/>
      </c>
      <c r="H263" s="65">
        <f>Calc!$FI$265</f>
        <v/>
      </c>
      <c r="I263" s="65">
        <f>Calc!$FJ$265</f>
        <v/>
      </c>
      <c r="J263" s="65">
        <f>Calc!$FK$265</f>
        <v/>
      </c>
      <c r="K263" s="65">
        <f>Calc!$FL$265</f>
        <v/>
      </c>
      <c r="L263" s="65">
        <f>Calc!$FM$265</f>
        <v/>
      </c>
      <c r="M263" s="66">
        <f>Calc!$FN$265</f>
        <v/>
      </c>
      <c r="N263" s="66">
        <f>Calc!$FO$265</f>
        <v/>
      </c>
      <c r="O263" s="65">
        <f>Calc!$FP$265</f>
        <v/>
      </c>
      <c r="P263" s="67">
        <f>Calc!$FQ$265</f>
        <v/>
      </c>
      <c r="Q263" s="68">
        <f>Calc!$FR$265</f>
        <v/>
      </c>
      <c r="R263" s="65">
        <f>Calc!$FS$265</f>
        <v/>
      </c>
      <c r="T263">
        <f>Calc!$EY$265</f>
        <v/>
      </c>
      <c r="U263">
        <f>Calc!$FT$265</f>
        <v/>
      </c>
      <c r="V263">
        <f>Calc!$FU$265</f>
        <v/>
      </c>
      <c r="W263">
        <f>Calc!$FC$265</f>
        <v/>
      </c>
      <c r="X263">
        <f>Calc!$EZ$265</f>
        <v/>
      </c>
      <c r="Y263">
        <f>Calc!$FA$265</f>
        <v/>
      </c>
      <c r="Z263">
        <f>Calc!$FV$265</f>
        <v/>
      </c>
      <c r="AA263">
        <f>IF($T263&lt;&gt;"row",0,IF($V263=1,IF($X263=1,IF($Y263=1,1,2),IF($Y263=1,3,4)),IF($X263=1,IF($Y263=1,5,6),IF($Y263=1,7,8))))</f>
        <v/>
      </c>
    </row>
    <row r="264" ht="11.25" customHeight="1">
      <c r="A264" s="64">
        <f>Calc!$FB$266</f>
        <v/>
      </c>
      <c r="B264" s="64">
        <f>Calc!$FC$266</f>
        <v/>
      </c>
      <c r="C264" s="65">
        <f>Calc!$FD$266</f>
        <v/>
      </c>
      <c r="D264" s="65">
        <f>Calc!$FE$266</f>
        <v/>
      </c>
      <c r="E264" s="65">
        <f>Calc!$FF$266</f>
        <v/>
      </c>
      <c r="F264" s="65">
        <f>Calc!$FG$266</f>
        <v/>
      </c>
      <c r="G264" s="65">
        <f>Calc!$FH$266</f>
        <v/>
      </c>
      <c r="H264" s="65">
        <f>Calc!$FI$266</f>
        <v/>
      </c>
      <c r="I264" s="65">
        <f>Calc!$FJ$266</f>
        <v/>
      </c>
      <c r="J264" s="65">
        <f>Calc!$FK$266</f>
        <v/>
      </c>
      <c r="K264" s="65">
        <f>Calc!$FL$266</f>
        <v/>
      </c>
      <c r="L264" s="65">
        <f>Calc!$FM$266</f>
        <v/>
      </c>
      <c r="M264" s="66">
        <f>Calc!$FN$266</f>
        <v/>
      </c>
      <c r="N264" s="66">
        <f>Calc!$FO$266</f>
        <v/>
      </c>
      <c r="O264" s="65">
        <f>Calc!$FP$266</f>
        <v/>
      </c>
      <c r="P264" s="67">
        <f>Calc!$FQ$266</f>
        <v/>
      </c>
      <c r="Q264" s="68">
        <f>Calc!$FR$266</f>
        <v/>
      </c>
      <c r="R264" s="65">
        <f>Calc!$FS$266</f>
        <v/>
      </c>
      <c r="T264">
        <f>Calc!$EY$266</f>
        <v/>
      </c>
      <c r="U264">
        <f>Calc!$FT$266</f>
        <v/>
      </c>
      <c r="V264">
        <f>Calc!$FU$266</f>
        <v/>
      </c>
      <c r="W264">
        <f>Calc!$FC$266</f>
        <v/>
      </c>
      <c r="X264">
        <f>Calc!$EZ$266</f>
        <v/>
      </c>
      <c r="Y264">
        <f>Calc!$FA$266</f>
        <v/>
      </c>
      <c r="Z264">
        <f>Calc!$FV$266</f>
        <v/>
      </c>
      <c r="AA264">
        <f>IF($T264&lt;&gt;"row",0,IF($V264=1,IF($X264=1,IF($Y264=1,1,2),IF($Y264=1,3,4)),IF($X264=1,IF($Y264=1,5,6),IF($Y264=1,7,8))))</f>
        <v/>
      </c>
    </row>
    <row r="265" ht="11.25" customHeight="1">
      <c r="A265" s="64">
        <f>Calc!$FB$267</f>
        <v/>
      </c>
      <c r="B265" s="64">
        <f>Calc!$FC$267</f>
        <v/>
      </c>
      <c r="C265" s="65">
        <f>Calc!$FD$267</f>
        <v/>
      </c>
      <c r="D265" s="65">
        <f>Calc!$FE$267</f>
        <v/>
      </c>
      <c r="E265" s="65">
        <f>Calc!$FF$267</f>
        <v/>
      </c>
      <c r="F265" s="65">
        <f>Calc!$FG$267</f>
        <v/>
      </c>
      <c r="G265" s="65">
        <f>Calc!$FH$267</f>
        <v/>
      </c>
      <c r="H265" s="65">
        <f>Calc!$FI$267</f>
        <v/>
      </c>
      <c r="I265" s="65">
        <f>Calc!$FJ$267</f>
        <v/>
      </c>
      <c r="J265" s="65">
        <f>Calc!$FK$267</f>
        <v/>
      </c>
      <c r="K265" s="65">
        <f>Calc!$FL$267</f>
        <v/>
      </c>
      <c r="L265" s="65">
        <f>Calc!$FM$267</f>
        <v/>
      </c>
      <c r="M265" s="66">
        <f>Calc!$FN$267</f>
        <v/>
      </c>
      <c r="N265" s="66">
        <f>Calc!$FO$267</f>
        <v/>
      </c>
      <c r="O265" s="65">
        <f>Calc!$FP$267</f>
        <v/>
      </c>
      <c r="P265" s="67">
        <f>Calc!$FQ$267</f>
        <v/>
      </c>
      <c r="Q265" s="68">
        <f>Calc!$FR$267</f>
        <v/>
      </c>
      <c r="R265" s="65">
        <f>Calc!$FS$267</f>
        <v/>
      </c>
      <c r="T265">
        <f>Calc!$EY$267</f>
        <v/>
      </c>
      <c r="U265">
        <f>Calc!$FT$267</f>
        <v/>
      </c>
      <c r="V265">
        <f>Calc!$FU$267</f>
        <v/>
      </c>
      <c r="W265">
        <f>Calc!$FC$267</f>
        <v/>
      </c>
      <c r="X265">
        <f>Calc!$EZ$267</f>
        <v/>
      </c>
      <c r="Y265">
        <f>Calc!$FA$267</f>
        <v/>
      </c>
      <c r="Z265">
        <f>Calc!$FV$267</f>
        <v/>
      </c>
      <c r="AA265">
        <f>IF($T265&lt;&gt;"row",0,IF($V265=1,IF($X265=1,IF($Y265=1,1,2),IF($Y265=1,3,4)),IF($X265=1,IF($Y265=1,5,6),IF($Y265=1,7,8))))</f>
        <v/>
      </c>
    </row>
    <row r="266" ht="11.25" customHeight="1">
      <c r="A266" s="64">
        <f>Calc!$FB$268</f>
        <v/>
      </c>
      <c r="B266" s="64">
        <f>Calc!$FC$268</f>
        <v/>
      </c>
      <c r="C266" s="65">
        <f>Calc!$FD$268</f>
        <v/>
      </c>
      <c r="D266" s="65">
        <f>Calc!$FE$268</f>
        <v/>
      </c>
      <c r="E266" s="65">
        <f>Calc!$FF$268</f>
        <v/>
      </c>
      <c r="F266" s="65">
        <f>Calc!$FG$268</f>
        <v/>
      </c>
      <c r="G266" s="65">
        <f>Calc!$FH$268</f>
        <v/>
      </c>
      <c r="H266" s="65">
        <f>Calc!$FI$268</f>
        <v/>
      </c>
      <c r="I266" s="65">
        <f>Calc!$FJ$268</f>
        <v/>
      </c>
      <c r="J266" s="65">
        <f>Calc!$FK$268</f>
        <v/>
      </c>
      <c r="K266" s="65">
        <f>Calc!$FL$268</f>
        <v/>
      </c>
      <c r="L266" s="65">
        <f>Calc!$FM$268</f>
        <v/>
      </c>
      <c r="M266" s="66">
        <f>Calc!$FN$268</f>
        <v/>
      </c>
      <c r="N266" s="66">
        <f>Calc!$FO$268</f>
        <v/>
      </c>
      <c r="O266" s="65">
        <f>Calc!$FP$268</f>
        <v/>
      </c>
      <c r="P266" s="67">
        <f>Calc!$FQ$268</f>
        <v/>
      </c>
      <c r="Q266" s="68">
        <f>Calc!$FR$268</f>
        <v/>
      </c>
      <c r="R266" s="65">
        <f>Calc!$FS$268</f>
        <v/>
      </c>
      <c r="T266">
        <f>Calc!$EY$268</f>
        <v/>
      </c>
      <c r="U266">
        <f>Calc!$FT$268</f>
        <v/>
      </c>
      <c r="V266">
        <f>Calc!$FU$268</f>
        <v/>
      </c>
      <c r="W266">
        <f>Calc!$FC$268</f>
        <v/>
      </c>
      <c r="X266">
        <f>Calc!$EZ$268</f>
        <v/>
      </c>
      <c r="Y266">
        <f>Calc!$FA$268</f>
        <v/>
      </c>
      <c r="Z266">
        <f>Calc!$FV$268</f>
        <v/>
      </c>
      <c r="AA266">
        <f>IF($T266&lt;&gt;"row",0,IF($V266=1,IF($X266=1,IF($Y266=1,1,2),IF($Y266=1,3,4)),IF($X266=1,IF($Y266=1,5,6),IF($Y266=1,7,8))))</f>
        <v/>
      </c>
    </row>
    <row r="267" ht="11.25" customHeight="1">
      <c r="A267" s="64">
        <f>Calc!$FB$269</f>
        <v/>
      </c>
      <c r="B267" s="64">
        <f>Calc!$FC$269</f>
        <v/>
      </c>
      <c r="C267" s="65">
        <f>Calc!$FD$269</f>
        <v/>
      </c>
      <c r="D267" s="65">
        <f>Calc!$FE$269</f>
        <v/>
      </c>
      <c r="E267" s="65">
        <f>Calc!$FF$269</f>
        <v/>
      </c>
      <c r="F267" s="65">
        <f>Calc!$FG$269</f>
        <v/>
      </c>
      <c r="G267" s="65">
        <f>Calc!$FH$269</f>
        <v/>
      </c>
      <c r="H267" s="65">
        <f>Calc!$FI$269</f>
        <v/>
      </c>
      <c r="I267" s="65">
        <f>Calc!$FJ$269</f>
        <v/>
      </c>
      <c r="J267" s="65">
        <f>Calc!$FK$269</f>
        <v/>
      </c>
      <c r="K267" s="65">
        <f>Calc!$FL$269</f>
        <v/>
      </c>
      <c r="L267" s="65">
        <f>Calc!$FM$269</f>
        <v/>
      </c>
      <c r="M267" s="66">
        <f>Calc!$FN$269</f>
        <v/>
      </c>
      <c r="N267" s="66">
        <f>Calc!$FO$269</f>
        <v/>
      </c>
      <c r="O267" s="65">
        <f>Calc!$FP$269</f>
        <v/>
      </c>
      <c r="P267" s="67">
        <f>Calc!$FQ$269</f>
        <v/>
      </c>
      <c r="Q267" s="68">
        <f>Calc!$FR$269</f>
        <v/>
      </c>
      <c r="R267" s="65">
        <f>Calc!$FS$269</f>
        <v/>
      </c>
      <c r="T267">
        <f>Calc!$EY$269</f>
        <v/>
      </c>
      <c r="U267">
        <f>Calc!$FT$269</f>
        <v/>
      </c>
      <c r="V267">
        <f>Calc!$FU$269</f>
        <v/>
      </c>
      <c r="W267">
        <f>Calc!$FC$269</f>
        <v/>
      </c>
      <c r="X267">
        <f>Calc!$EZ$269</f>
        <v/>
      </c>
      <c r="Y267">
        <f>Calc!$FA$269</f>
        <v/>
      </c>
      <c r="Z267">
        <f>Calc!$FV$269</f>
        <v/>
      </c>
      <c r="AA267">
        <f>IF($T267&lt;&gt;"row",0,IF($V267=1,IF($X267=1,IF($Y267=1,1,2),IF($Y267=1,3,4)),IF($X267=1,IF($Y267=1,5,6),IF($Y267=1,7,8))))</f>
        <v/>
      </c>
    </row>
    <row r="268" ht="11.25" customHeight="1">
      <c r="A268" s="64">
        <f>Calc!$FB$270</f>
        <v/>
      </c>
      <c r="B268" s="64">
        <f>Calc!$FC$270</f>
        <v/>
      </c>
      <c r="C268" s="65">
        <f>Calc!$FD$270</f>
        <v/>
      </c>
      <c r="D268" s="65">
        <f>Calc!$FE$270</f>
        <v/>
      </c>
      <c r="E268" s="65">
        <f>Calc!$FF$270</f>
        <v/>
      </c>
      <c r="F268" s="65">
        <f>Calc!$FG$270</f>
        <v/>
      </c>
      <c r="G268" s="65">
        <f>Calc!$FH$270</f>
        <v/>
      </c>
      <c r="H268" s="65">
        <f>Calc!$FI$270</f>
        <v/>
      </c>
      <c r="I268" s="65">
        <f>Calc!$FJ$270</f>
        <v/>
      </c>
      <c r="J268" s="65">
        <f>Calc!$FK$270</f>
        <v/>
      </c>
      <c r="K268" s="65">
        <f>Calc!$FL$270</f>
        <v/>
      </c>
      <c r="L268" s="65">
        <f>Calc!$FM$270</f>
        <v/>
      </c>
      <c r="M268" s="66">
        <f>Calc!$FN$270</f>
        <v/>
      </c>
      <c r="N268" s="66">
        <f>Calc!$FO$270</f>
        <v/>
      </c>
      <c r="O268" s="65">
        <f>Calc!$FP$270</f>
        <v/>
      </c>
      <c r="P268" s="67">
        <f>Calc!$FQ$270</f>
        <v/>
      </c>
      <c r="Q268" s="68">
        <f>Calc!$FR$270</f>
        <v/>
      </c>
      <c r="R268" s="65">
        <f>Calc!$FS$270</f>
        <v/>
      </c>
      <c r="T268">
        <f>Calc!$EY$270</f>
        <v/>
      </c>
      <c r="U268">
        <f>Calc!$FT$270</f>
        <v/>
      </c>
      <c r="V268">
        <f>Calc!$FU$270</f>
        <v/>
      </c>
      <c r="W268">
        <f>Calc!$FC$270</f>
        <v/>
      </c>
      <c r="X268">
        <f>Calc!$EZ$270</f>
        <v/>
      </c>
      <c r="Y268">
        <f>Calc!$FA$270</f>
        <v/>
      </c>
      <c r="Z268">
        <f>Calc!$FV$270</f>
        <v/>
      </c>
      <c r="AA268">
        <f>IF($T268&lt;&gt;"row",0,IF($V268=1,IF($X268=1,IF($Y268=1,1,2),IF($Y268=1,3,4)),IF($X268=1,IF($Y268=1,5,6),IF($Y268=1,7,8))))</f>
        <v/>
      </c>
    </row>
    <row r="269" ht="11.25" customHeight="1">
      <c r="A269" s="64">
        <f>Calc!$FB$271</f>
        <v/>
      </c>
      <c r="B269" s="64">
        <f>Calc!$FC$271</f>
        <v/>
      </c>
      <c r="C269" s="65">
        <f>Calc!$FD$271</f>
        <v/>
      </c>
      <c r="D269" s="65">
        <f>Calc!$FE$271</f>
        <v/>
      </c>
      <c r="E269" s="65">
        <f>Calc!$FF$271</f>
        <v/>
      </c>
      <c r="F269" s="65">
        <f>Calc!$FG$271</f>
        <v/>
      </c>
      <c r="G269" s="65">
        <f>Calc!$FH$271</f>
        <v/>
      </c>
      <c r="H269" s="65">
        <f>Calc!$FI$271</f>
        <v/>
      </c>
      <c r="I269" s="65">
        <f>Calc!$FJ$271</f>
        <v/>
      </c>
      <c r="J269" s="65">
        <f>Calc!$FK$271</f>
        <v/>
      </c>
      <c r="K269" s="65">
        <f>Calc!$FL$271</f>
        <v/>
      </c>
      <c r="L269" s="65">
        <f>Calc!$FM$271</f>
        <v/>
      </c>
      <c r="M269" s="66">
        <f>Calc!$FN$271</f>
        <v/>
      </c>
      <c r="N269" s="66">
        <f>Calc!$FO$271</f>
        <v/>
      </c>
      <c r="O269" s="65">
        <f>Calc!$FP$271</f>
        <v/>
      </c>
      <c r="P269" s="67">
        <f>Calc!$FQ$271</f>
        <v/>
      </c>
      <c r="Q269" s="68">
        <f>Calc!$FR$271</f>
        <v/>
      </c>
      <c r="R269" s="65">
        <f>Calc!$FS$271</f>
        <v/>
      </c>
      <c r="T269">
        <f>Calc!$EY$271</f>
        <v/>
      </c>
      <c r="U269">
        <f>Calc!$FT$271</f>
        <v/>
      </c>
      <c r="V269">
        <f>Calc!$FU$271</f>
        <v/>
      </c>
      <c r="W269">
        <f>Calc!$FC$271</f>
        <v/>
      </c>
      <c r="X269">
        <f>Calc!$EZ$271</f>
        <v/>
      </c>
      <c r="Y269">
        <f>Calc!$FA$271</f>
        <v/>
      </c>
      <c r="Z269">
        <f>Calc!$FV$271</f>
        <v/>
      </c>
      <c r="AA269">
        <f>IF($T269&lt;&gt;"row",0,IF($V269=1,IF($X269=1,IF($Y269=1,1,2),IF($Y269=1,3,4)),IF($X269=1,IF($Y269=1,5,6),IF($Y269=1,7,8))))</f>
        <v/>
      </c>
    </row>
    <row r="270" ht="11.25" customHeight="1">
      <c r="A270" s="64">
        <f>Calc!$FB$272</f>
        <v/>
      </c>
      <c r="B270" s="64">
        <f>Calc!$FC$272</f>
        <v/>
      </c>
      <c r="C270" s="65">
        <f>Calc!$FD$272</f>
        <v/>
      </c>
      <c r="D270" s="65">
        <f>Calc!$FE$272</f>
        <v/>
      </c>
      <c r="E270" s="65">
        <f>Calc!$FF$272</f>
        <v/>
      </c>
      <c r="F270" s="65">
        <f>Calc!$FG$272</f>
        <v/>
      </c>
      <c r="G270" s="65">
        <f>Calc!$FH$272</f>
        <v/>
      </c>
      <c r="H270" s="65">
        <f>Calc!$FI$272</f>
        <v/>
      </c>
      <c r="I270" s="65">
        <f>Calc!$FJ$272</f>
        <v/>
      </c>
      <c r="J270" s="65">
        <f>Calc!$FK$272</f>
        <v/>
      </c>
      <c r="K270" s="65">
        <f>Calc!$FL$272</f>
        <v/>
      </c>
      <c r="L270" s="65">
        <f>Calc!$FM$272</f>
        <v/>
      </c>
      <c r="M270" s="66">
        <f>Calc!$FN$272</f>
        <v/>
      </c>
      <c r="N270" s="66">
        <f>Calc!$FO$272</f>
        <v/>
      </c>
      <c r="O270" s="65">
        <f>Calc!$FP$272</f>
        <v/>
      </c>
      <c r="P270" s="67">
        <f>Calc!$FQ$272</f>
        <v/>
      </c>
      <c r="Q270" s="68">
        <f>Calc!$FR$272</f>
        <v/>
      </c>
      <c r="R270" s="65">
        <f>Calc!$FS$272</f>
        <v/>
      </c>
      <c r="T270">
        <f>Calc!$EY$272</f>
        <v/>
      </c>
      <c r="U270">
        <f>Calc!$FT$272</f>
        <v/>
      </c>
      <c r="V270">
        <f>Calc!$FU$272</f>
        <v/>
      </c>
      <c r="W270">
        <f>Calc!$FC$272</f>
        <v/>
      </c>
      <c r="X270">
        <f>Calc!$EZ$272</f>
        <v/>
      </c>
      <c r="Y270">
        <f>Calc!$FA$272</f>
        <v/>
      </c>
      <c r="Z270">
        <f>Calc!$FV$272</f>
        <v/>
      </c>
      <c r="AA270">
        <f>IF($T270&lt;&gt;"row",0,IF($V270=1,IF($X270=1,IF($Y270=1,1,2),IF($Y270=1,3,4)),IF($X270=1,IF($Y270=1,5,6),IF($Y270=1,7,8))))</f>
        <v/>
      </c>
    </row>
    <row r="271" ht="11.25" customHeight="1">
      <c r="A271" s="64">
        <f>Calc!$FB$273</f>
        <v/>
      </c>
      <c r="B271" s="64">
        <f>Calc!$FC$273</f>
        <v/>
      </c>
      <c r="C271" s="65">
        <f>Calc!$FD$273</f>
        <v/>
      </c>
      <c r="D271" s="65">
        <f>Calc!$FE$273</f>
        <v/>
      </c>
      <c r="E271" s="65">
        <f>Calc!$FF$273</f>
        <v/>
      </c>
      <c r="F271" s="65">
        <f>Calc!$FG$273</f>
        <v/>
      </c>
      <c r="G271" s="65">
        <f>Calc!$FH$273</f>
        <v/>
      </c>
      <c r="H271" s="65">
        <f>Calc!$FI$273</f>
        <v/>
      </c>
      <c r="I271" s="65">
        <f>Calc!$FJ$273</f>
        <v/>
      </c>
      <c r="J271" s="65">
        <f>Calc!$FK$273</f>
        <v/>
      </c>
      <c r="K271" s="65">
        <f>Calc!$FL$273</f>
        <v/>
      </c>
      <c r="L271" s="65">
        <f>Calc!$FM$273</f>
        <v/>
      </c>
      <c r="M271" s="66">
        <f>Calc!$FN$273</f>
        <v/>
      </c>
      <c r="N271" s="66">
        <f>Calc!$FO$273</f>
        <v/>
      </c>
      <c r="O271" s="65">
        <f>Calc!$FP$273</f>
        <v/>
      </c>
      <c r="P271" s="67">
        <f>Calc!$FQ$273</f>
        <v/>
      </c>
      <c r="Q271" s="68">
        <f>Calc!$FR$273</f>
        <v/>
      </c>
      <c r="R271" s="65">
        <f>Calc!$FS$273</f>
        <v/>
      </c>
      <c r="T271">
        <f>Calc!$EY$273</f>
        <v/>
      </c>
      <c r="U271">
        <f>Calc!$FT$273</f>
        <v/>
      </c>
      <c r="V271">
        <f>Calc!$FU$273</f>
        <v/>
      </c>
      <c r="W271">
        <f>Calc!$FC$273</f>
        <v/>
      </c>
      <c r="X271">
        <f>Calc!$EZ$273</f>
        <v/>
      </c>
      <c r="Y271">
        <f>Calc!$FA$273</f>
        <v/>
      </c>
      <c r="Z271">
        <f>Calc!$FV$273</f>
        <v/>
      </c>
      <c r="AA271">
        <f>IF($T271&lt;&gt;"row",0,IF($V271=1,IF($X271=1,IF($Y271=1,1,2),IF($Y271=1,3,4)),IF($X271=1,IF($Y271=1,5,6),IF($Y271=1,7,8))))</f>
        <v/>
      </c>
    </row>
    <row r="272" ht="11.25" customHeight="1">
      <c r="A272" s="64">
        <f>Calc!$FB$274</f>
        <v/>
      </c>
      <c r="B272" s="64">
        <f>Calc!$FC$274</f>
        <v/>
      </c>
      <c r="C272" s="65">
        <f>Calc!$FD$274</f>
        <v/>
      </c>
      <c r="D272" s="65">
        <f>Calc!$FE$274</f>
        <v/>
      </c>
      <c r="E272" s="65">
        <f>Calc!$FF$274</f>
        <v/>
      </c>
      <c r="F272" s="65">
        <f>Calc!$FG$274</f>
        <v/>
      </c>
      <c r="G272" s="65">
        <f>Calc!$FH$274</f>
        <v/>
      </c>
      <c r="H272" s="65">
        <f>Calc!$FI$274</f>
        <v/>
      </c>
      <c r="I272" s="65">
        <f>Calc!$FJ$274</f>
        <v/>
      </c>
      <c r="J272" s="65">
        <f>Calc!$FK$274</f>
        <v/>
      </c>
      <c r="K272" s="65">
        <f>Calc!$FL$274</f>
        <v/>
      </c>
      <c r="L272" s="65">
        <f>Calc!$FM$274</f>
        <v/>
      </c>
      <c r="M272" s="66">
        <f>Calc!$FN$274</f>
        <v/>
      </c>
      <c r="N272" s="66">
        <f>Calc!$FO$274</f>
        <v/>
      </c>
      <c r="O272" s="65">
        <f>Calc!$FP$274</f>
        <v/>
      </c>
      <c r="P272" s="67">
        <f>Calc!$FQ$274</f>
        <v/>
      </c>
      <c r="Q272" s="68">
        <f>Calc!$FR$274</f>
        <v/>
      </c>
      <c r="R272" s="65">
        <f>Calc!$FS$274</f>
        <v/>
      </c>
      <c r="T272">
        <f>Calc!$EY$274</f>
        <v/>
      </c>
      <c r="U272">
        <f>Calc!$FT$274</f>
        <v/>
      </c>
      <c r="V272">
        <f>Calc!$FU$274</f>
        <v/>
      </c>
      <c r="W272">
        <f>Calc!$FC$274</f>
        <v/>
      </c>
      <c r="X272">
        <f>Calc!$EZ$274</f>
        <v/>
      </c>
      <c r="Y272">
        <f>Calc!$FA$274</f>
        <v/>
      </c>
      <c r="Z272">
        <f>Calc!$FV$274</f>
        <v/>
      </c>
      <c r="AA272">
        <f>IF($T272&lt;&gt;"row",0,IF($V272=1,IF($X272=1,IF($Y272=1,1,2),IF($Y272=1,3,4)),IF($X272=1,IF($Y272=1,5,6),IF($Y272=1,7,8))))</f>
        <v/>
      </c>
    </row>
    <row r="273" ht="11.25" customHeight="1">
      <c r="A273" s="64">
        <f>Calc!$FB$275</f>
        <v/>
      </c>
      <c r="B273" s="64">
        <f>Calc!$FC$275</f>
        <v/>
      </c>
      <c r="C273" s="65">
        <f>Calc!$FD$275</f>
        <v/>
      </c>
      <c r="D273" s="65">
        <f>Calc!$FE$275</f>
        <v/>
      </c>
      <c r="E273" s="65">
        <f>Calc!$FF$275</f>
        <v/>
      </c>
      <c r="F273" s="65">
        <f>Calc!$FG$275</f>
        <v/>
      </c>
      <c r="G273" s="65">
        <f>Calc!$FH$275</f>
        <v/>
      </c>
      <c r="H273" s="65">
        <f>Calc!$FI$275</f>
        <v/>
      </c>
      <c r="I273" s="65">
        <f>Calc!$FJ$275</f>
        <v/>
      </c>
      <c r="J273" s="65">
        <f>Calc!$FK$275</f>
        <v/>
      </c>
      <c r="K273" s="65">
        <f>Calc!$FL$275</f>
        <v/>
      </c>
      <c r="L273" s="65">
        <f>Calc!$FM$275</f>
        <v/>
      </c>
      <c r="M273" s="66">
        <f>Calc!$FN$275</f>
        <v/>
      </c>
      <c r="N273" s="66">
        <f>Calc!$FO$275</f>
        <v/>
      </c>
      <c r="O273" s="65">
        <f>Calc!$FP$275</f>
        <v/>
      </c>
      <c r="P273" s="67">
        <f>Calc!$FQ$275</f>
        <v/>
      </c>
      <c r="Q273" s="68">
        <f>Calc!$FR$275</f>
        <v/>
      </c>
      <c r="R273" s="65">
        <f>Calc!$FS$275</f>
        <v/>
      </c>
      <c r="T273">
        <f>Calc!$EY$275</f>
        <v/>
      </c>
      <c r="U273">
        <f>Calc!$FT$275</f>
        <v/>
      </c>
      <c r="V273">
        <f>Calc!$FU$275</f>
        <v/>
      </c>
      <c r="W273">
        <f>Calc!$FC$275</f>
        <v/>
      </c>
      <c r="X273">
        <f>Calc!$EZ$275</f>
        <v/>
      </c>
      <c r="Y273">
        <f>Calc!$FA$275</f>
        <v/>
      </c>
      <c r="Z273">
        <f>Calc!$FV$275</f>
        <v/>
      </c>
      <c r="AA273">
        <f>IF($T273&lt;&gt;"row",0,IF($V273=1,IF($X273=1,IF($Y273=1,1,2),IF($Y273=1,3,4)),IF($X273=1,IF($Y273=1,5,6),IF($Y273=1,7,8))))</f>
        <v/>
      </c>
    </row>
    <row r="274" ht="11.25" customHeight="1">
      <c r="A274" s="64">
        <f>Calc!$FB$276</f>
        <v/>
      </c>
      <c r="B274" s="64">
        <f>Calc!$FC$276</f>
        <v/>
      </c>
      <c r="C274" s="65">
        <f>Calc!$FD$276</f>
        <v/>
      </c>
      <c r="D274" s="65">
        <f>Calc!$FE$276</f>
        <v/>
      </c>
      <c r="E274" s="65">
        <f>Calc!$FF$276</f>
        <v/>
      </c>
      <c r="F274" s="65">
        <f>Calc!$FG$276</f>
        <v/>
      </c>
      <c r="G274" s="65">
        <f>Calc!$FH$276</f>
        <v/>
      </c>
      <c r="H274" s="65">
        <f>Calc!$FI$276</f>
        <v/>
      </c>
      <c r="I274" s="65">
        <f>Calc!$FJ$276</f>
        <v/>
      </c>
      <c r="J274" s="65">
        <f>Calc!$FK$276</f>
        <v/>
      </c>
      <c r="K274" s="65">
        <f>Calc!$FL$276</f>
        <v/>
      </c>
      <c r="L274" s="65">
        <f>Calc!$FM$276</f>
        <v/>
      </c>
      <c r="M274" s="66">
        <f>Calc!$FN$276</f>
        <v/>
      </c>
      <c r="N274" s="66">
        <f>Calc!$FO$276</f>
        <v/>
      </c>
      <c r="O274" s="65">
        <f>Calc!$FP$276</f>
        <v/>
      </c>
      <c r="P274" s="67">
        <f>Calc!$FQ$276</f>
        <v/>
      </c>
      <c r="Q274" s="68">
        <f>Calc!$FR$276</f>
        <v/>
      </c>
      <c r="R274" s="65">
        <f>Calc!$FS$276</f>
        <v/>
      </c>
      <c r="T274">
        <f>Calc!$EY$276</f>
        <v/>
      </c>
      <c r="U274">
        <f>Calc!$FT$276</f>
        <v/>
      </c>
      <c r="V274">
        <f>Calc!$FU$276</f>
        <v/>
      </c>
      <c r="W274">
        <f>Calc!$FC$276</f>
        <v/>
      </c>
      <c r="X274">
        <f>Calc!$EZ$276</f>
        <v/>
      </c>
      <c r="Y274">
        <f>Calc!$FA$276</f>
        <v/>
      </c>
      <c r="Z274">
        <f>Calc!$FV$276</f>
        <v/>
      </c>
      <c r="AA274">
        <f>IF($T274&lt;&gt;"row",0,IF($V274=1,IF($X274=1,IF($Y274=1,1,2),IF($Y274=1,3,4)),IF($X274=1,IF($Y274=1,5,6),IF($Y274=1,7,8))))</f>
        <v/>
      </c>
    </row>
    <row r="275" ht="11.25" customHeight="1">
      <c r="A275" s="64">
        <f>Calc!$FB$277</f>
        <v/>
      </c>
      <c r="B275" s="64">
        <f>Calc!$FC$277</f>
        <v/>
      </c>
      <c r="C275" s="65">
        <f>Calc!$FD$277</f>
        <v/>
      </c>
      <c r="D275" s="65">
        <f>Calc!$FE$277</f>
        <v/>
      </c>
      <c r="E275" s="65">
        <f>Calc!$FF$277</f>
        <v/>
      </c>
      <c r="F275" s="65">
        <f>Calc!$FG$277</f>
        <v/>
      </c>
      <c r="G275" s="65">
        <f>Calc!$FH$277</f>
        <v/>
      </c>
      <c r="H275" s="65">
        <f>Calc!$FI$277</f>
        <v/>
      </c>
      <c r="I275" s="65">
        <f>Calc!$FJ$277</f>
        <v/>
      </c>
      <c r="J275" s="65">
        <f>Calc!$FK$277</f>
        <v/>
      </c>
      <c r="K275" s="65">
        <f>Calc!$FL$277</f>
        <v/>
      </c>
      <c r="L275" s="65">
        <f>Calc!$FM$277</f>
        <v/>
      </c>
      <c r="M275" s="66">
        <f>Calc!$FN$277</f>
        <v/>
      </c>
      <c r="N275" s="66">
        <f>Calc!$FO$277</f>
        <v/>
      </c>
      <c r="O275" s="65">
        <f>Calc!$FP$277</f>
        <v/>
      </c>
      <c r="P275" s="67">
        <f>Calc!$FQ$277</f>
        <v/>
      </c>
      <c r="Q275" s="68">
        <f>Calc!$FR$277</f>
        <v/>
      </c>
      <c r="R275" s="65">
        <f>Calc!$FS$277</f>
        <v/>
      </c>
      <c r="T275">
        <f>Calc!$EY$277</f>
        <v/>
      </c>
      <c r="U275">
        <f>Calc!$FT$277</f>
        <v/>
      </c>
      <c r="V275">
        <f>Calc!$FU$277</f>
        <v/>
      </c>
      <c r="W275">
        <f>Calc!$FC$277</f>
        <v/>
      </c>
      <c r="X275">
        <f>Calc!$EZ$277</f>
        <v/>
      </c>
      <c r="Y275">
        <f>Calc!$FA$277</f>
        <v/>
      </c>
      <c r="Z275">
        <f>Calc!$FV$277</f>
        <v/>
      </c>
      <c r="AA275">
        <f>IF($T275&lt;&gt;"row",0,IF($V275=1,IF($X275=1,IF($Y275=1,1,2),IF($Y275=1,3,4)),IF($X275=1,IF($Y275=1,5,6),IF($Y275=1,7,8))))</f>
        <v/>
      </c>
    </row>
    <row r="276" ht="11.25" customHeight="1">
      <c r="A276" s="64">
        <f>Calc!$FB$278</f>
        <v/>
      </c>
      <c r="B276" s="64">
        <f>Calc!$FC$278</f>
        <v/>
      </c>
      <c r="C276" s="65">
        <f>Calc!$FD$278</f>
        <v/>
      </c>
      <c r="D276" s="65">
        <f>Calc!$FE$278</f>
        <v/>
      </c>
      <c r="E276" s="65">
        <f>Calc!$FF$278</f>
        <v/>
      </c>
      <c r="F276" s="65">
        <f>Calc!$FG$278</f>
        <v/>
      </c>
      <c r="G276" s="65">
        <f>Calc!$FH$278</f>
        <v/>
      </c>
      <c r="H276" s="65">
        <f>Calc!$FI$278</f>
        <v/>
      </c>
      <c r="I276" s="65">
        <f>Calc!$FJ$278</f>
        <v/>
      </c>
      <c r="J276" s="65">
        <f>Calc!$FK$278</f>
        <v/>
      </c>
      <c r="K276" s="65">
        <f>Calc!$FL$278</f>
        <v/>
      </c>
      <c r="L276" s="65">
        <f>Calc!$FM$278</f>
        <v/>
      </c>
      <c r="M276" s="66">
        <f>Calc!$FN$278</f>
        <v/>
      </c>
      <c r="N276" s="66">
        <f>Calc!$FO$278</f>
        <v/>
      </c>
      <c r="O276" s="65">
        <f>Calc!$FP$278</f>
        <v/>
      </c>
      <c r="P276" s="67">
        <f>Calc!$FQ$278</f>
        <v/>
      </c>
      <c r="Q276" s="68">
        <f>Calc!$FR$278</f>
        <v/>
      </c>
      <c r="R276" s="65">
        <f>Calc!$FS$278</f>
        <v/>
      </c>
      <c r="T276">
        <f>Calc!$EY$278</f>
        <v/>
      </c>
      <c r="U276">
        <f>Calc!$FT$278</f>
        <v/>
      </c>
      <c r="V276">
        <f>Calc!$FU$278</f>
        <v/>
      </c>
      <c r="W276">
        <f>Calc!$FC$278</f>
        <v/>
      </c>
      <c r="X276">
        <f>Calc!$EZ$278</f>
        <v/>
      </c>
      <c r="Y276">
        <f>Calc!$FA$278</f>
        <v/>
      </c>
      <c r="Z276">
        <f>Calc!$FV$278</f>
        <v/>
      </c>
      <c r="AA276">
        <f>IF($T276&lt;&gt;"row",0,IF($V276=1,IF($X276=1,IF($Y276=1,1,2),IF($Y276=1,3,4)),IF($X276=1,IF($Y276=1,5,6),IF($Y276=1,7,8))))</f>
        <v/>
      </c>
    </row>
    <row r="277" ht="11.25" customHeight="1">
      <c r="A277" s="64">
        <f>Calc!$FB$279</f>
        <v/>
      </c>
      <c r="B277" s="64">
        <f>Calc!$FC$279</f>
        <v/>
      </c>
      <c r="C277" s="65">
        <f>Calc!$FD$279</f>
        <v/>
      </c>
      <c r="D277" s="65">
        <f>Calc!$FE$279</f>
        <v/>
      </c>
      <c r="E277" s="65">
        <f>Calc!$FF$279</f>
        <v/>
      </c>
      <c r="F277" s="65">
        <f>Calc!$FG$279</f>
        <v/>
      </c>
      <c r="G277" s="65">
        <f>Calc!$FH$279</f>
        <v/>
      </c>
      <c r="H277" s="65">
        <f>Calc!$FI$279</f>
        <v/>
      </c>
      <c r="I277" s="65">
        <f>Calc!$FJ$279</f>
        <v/>
      </c>
      <c r="J277" s="65">
        <f>Calc!$FK$279</f>
        <v/>
      </c>
      <c r="K277" s="65">
        <f>Calc!$FL$279</f>
        <v/>
      </c>
      <c r="L277" s="65">
        <f>Calc!$FM$279</f>
        <v/>
      </c>
      <c r="M277" s="66">
        <f>Calc!$FN$279</f>
        <v/>
      </c>
      <c r="N277" s="66">
        <f>Calc!$FO$279</f>
        <v/>
      </c>
      <c r="O277" s="65">
        <f>Calc!$FP$279</f>
        <v/>
      </c>
      <c r="P277" s="67">
        <f>Calc!$FQ$279</f>
        <v/>
      </c>
      <c r="Q277" s="68">
        <f>Calc!$FR$279</f>
        <v/>
      </c>
      <c r="R277" s="65">
        <f>Calc!$FS$279</f>
        <v/>
      </c>
      <c r="T277">
        <f>Calc!$EY$279</f>
        <v/>
      </c>
      <c r="U277">
        <f>Calc!$FT$279</f>
        <v/>
      </c>
      <c r="V277">
        <f>Calc!$FU$279</f>
        <v/>
      </c>
      <c r="W277">
        <f>Calc!$FC$279</f>
        <v/>
      </c>
      <c r="X277">
        <f>Calc!$EZ$279</f>
        <v/>
      </c>
      <c r="Y277">
        <f>Calc!$FA$279</f>
        <v/>
      </c>
      <c r="Z277">
        <f>Calc!$FV$279</f>
        <v/>
      </c>
      <c r="AA277">
        <f>IF($T277&lt;&gt;"row",0,IF($V277=1,IF($X277=1,IF($Y277=1,1,2),IF($Y277=1,3,4)),IF($X277=1,IF($Y277=1,5,6),IF($Y277=1,7,8))))</f>
        <v/>
      </c>
    </row>
    <row r="278" ht="11.25" customHeight="1">
      <c r="A278" s="64">
        <f>Calc!$FB$280</f>
        <v/>
      </c>
      <c r="B278" s="64">
        <f>Calc!$FC$280</f>
        <v/>
      </c>
      <c r="C278" s="65">
        <f>Calc!$FD$280</f>
        <v/>
      </c>
      <c r="D278" s="65">
        <f>Calc!$FE$280</f>
        <v/>
      </c>
      <c r="E278" s="65">
        <f>Calc!$FF$280</f>
        <v/>
      </c>
      <c r="F278" s="65">
        <f>Calc!$FG$280</f>
        <v/>
      </c>
      <c r="G278" s="65">
        <f>Calc!$FH$280</f>
        <v/>
      </c>
      <c r="H278" s="65">
        <f>Calc!$FI$280</f>
        <v/>
      </c>
      <c r="I278" s="65">
        <f>Calc!$FJ$280</f>
        <v/>
      </c>
      <c r="J278" s="65">
        <f>Calc!$FK$280</f>
        <v/>
      </c>
      <c r="K278" s="65">
        <f>Calc!$FL$280</f>
        <v/>
      </c>
      <c r="L278" s="65">
        <f>Calc!$FM$280</f>
        <v/>
      </c>
      <c r="M278" s="66">
        <f>Calc!$FN$280</f>
        <v/>
      </c>
      <c r="N278" s="66">
        <f>Calc!$FO$280</f>
        <v/>
      </c>
      <c r="O278" s="65">
        <f>Calc!$FP$280</f>
        <v/>
      </c>
      <c r="P278" s="67">
        <f>Calc!$FQ$280</f>
        <v/>
      </c>
      <c r="Q278" s="68">
        <f>Calc!$FR$280</f>
        <v/>
      </c>
      <c r="R278" s="65">
        <f>Calc!$FS$280</f>
        <v/>
      </c>
      <c r="T278">
        <f>Calc!$EY$280</f>
        <v/>
      </c>
      <c r="U278">
        <f>Calc!$FT$280</f>
        <v/>
      </c>
      <c r="V278">
        <f>Calc!$FU$280</f>
        <v/>
      </c>
      <c r="W278">
        <f>Calc!$FC$280</f>
        <v/>
      </c>
      <c r="X278">
        <f>Calc!$EZ$280</f>
        <v/>
      </c>
      <c r="Y278">
        <f>Calc!$FA$280</f>
        <v/>
      </c>
      <c r="Z278">
        <f>Calc!$FV$280</f>
        <v/>
      </c>
      <c r="AA278">
        <f>IF($T278&lt;&gt;"row",0,IF($V278=1,IF($X278=1,IF($Y278=1,1,2),IF($Y278=1,3,4)),IF($X278=1,IF($Y278=1,5,6),IF($Y278=1,7,8))))</f>
        <v/>
      </c>
    </row>
    <row r="279" ht="11.25" customHeight="1">
      <c r="A279" s="64">
        <f>Calc!$FB$281</f>
        <v/>
      </c>
      <c r="B279" s="64">
        <f>Calc!$FC$281</f>
        <v/>
      </c>
      <c r="C279" s="65">
        <f>Calc!$FD$281</f>
        <v/>
      </c>
      <c r="D279" s="65">
        <f>Calc!$FE$281</f>
        <v/>
      </c>
      <c r="E279" s="65">
        <f>Calc!$FF$281</f>
        <v/>
      </c>
      <c r="F279" s="65">
        <f>Calc!$FG$281</f>
        <v/>
      </c>
      <c r="G279" s="65">
        <f>Calc!$FH$281</f>
        <v/>
      </c>
      <c r="H279" s="65">
        <f>Calc!$FI$281</f>
        <v/>
      </c>
      <c r="I279" s="65">
        <f>Calc!$FJ$281</f>
        <v/>
      </c>
      <c r="J279" s="65">
        <f>Calc!$FK$281</f>
        <v/>
      </c>
      <c r="K279" s="65">
        <f>Calc!$FL$281</f>
        <v/>
      </c>
      <c r="L279" s="65">
        <f>Calc!$FM$281</f>
        <v/>
      </c>
      <c r="M279" s="66">
        <f>Calc!$FN$281</f>
        <v/>
      </c>
      <c r="N279" s="66">
        <f>Calc!$FO$281</f>
        <v/>
      </c>
      <c r="O279" s="65">
        <f>Calc!$FP$281</f>
        <v/>
      </c>
      <c r="P279" s="67">
        <f>Calc!$FQ$281</f>
        <v/>
      </c>
      <c r="Q279" s="68">
        <f>Calc!$FR$281</f>
        <v/>
      </c>
      <c r="R279" s="65">
        <f>Calc!$FS$281</f>
        <v/>
      </c>
      <c r="T279">
        <f>Calc!$EY$281</f>
        <v/>
      </c>
      <c r="U279">
        <f>Calc!$FT$281</f>
        <v/>
      </c>
      <c r="V279">
        <f>Calc!$FU$281</f>
        <v/>
      </c>
      <c r="W279">
        <f>Calc!$FC$281</f>
        <v/>
      </c>
      <c r="X279">
        <f>Calc!$EZ$281</f>
        <v/>
      </c>
      <c r="Y279">
        <f>Calc!$FA$281</f>
        <v/>
      </c>
      <c r="Z279">
        <f>Calc!$FV$281</f>
        <v/>
      </c>
      <c r="AA279">
        <f>IF($T279&lt;&gt;"row",0,IF($V279=1,IF($X279=1,IF($Y279=1,1,2),IF($Y279=1,3,4)),IF($X279=1,IF($Y279=1,5,6),IF($Y279=1,7,8))))</f>
        <v/>
      </c>
    </row>
    <row r="280" ht="11.25" customHeight="1">
      <c r="A280" s="64">
        <f>Calc!$FB$282</f>
        <v/>
      </c>
      <c r="B280" s="64">
        <f>Calc!$FC$282</f>
        <v/>
      </c>
      <c r="C280" s="65">
        <f>Calc!$FD$282</f>
        <v/>
      </c>
      <c r="D280" s="65">
        <f>Calc!$FE$282</f>
        <v/>
      </c>
      <c r="E280" s="65">
        <f>Calc!$FF$282</f>
        <v/>
      </c>
      <c r="F280" s="65">
        <f>Calc!$FG$282</f>
        <v/>
      </c>
      <c r="G280" s="65">
        <f>Calc!$FH$282</f>
        <v/>
      </c>
      <c r="H280" s="65">
        <f>Calc!$FI$282</f>
        <v/>
      </c>
      <c r="I280" s="65">
        <f>Calc!$FJ$282</f>
        <v/>
      </c>
      <c r="J280" s="65">
        <f>Calc!$FK$282</f>
        <v/>
      </c>
      <c r="K280" s="65">
        <f>Calc!$FL$282</f>
        <v/>
      </c>
      <c r="L280" s="65">
        <f>Calc!$FM$282</f>
        <v/>
      </c>
      <c r="M280" s="66">
        <f>Calc!$FN$282</f>
        <v/>
      </c>
      <c r="N280" s="66">
        <f>Calc!$FO$282</f>
        <v/>
      </c>
      <c r="O280" s="65">
        <f>Calc!$FP$282</f>
        <v/>
      </c>
      <c r="P280" s="67">
        <f>Calc!$FQ$282</f>
        <v/>
      </c>
      <c r="Q280" s="68">
        <f>Calc!$FR$282</f>
        <v/>
      </c>
      <c r="R280" s="65">
        <f>Calc!$FS$282</f>
        <v/>
      </c>
      <c r="T280">
        <f>Calc!$EY$282</f>
        <v/>
      </c>
      <c r="U280">
        <f>Calc!$FT$282</f>
        <v/>
      </c>
      <c r="V280">
        <f>Calc!$FU$282</f>
        <v/>
      </c>
      <c r="W280">
        <f>Calc!$FC$282</f>
        <v/>
      </c>
      <c r="X280">
        <f>Calc!$EZ$282</f>
        <v/>
      </c>
      <c r="Y280">
        <f>Calc!$FA$282</f>
        <v/>
      </c>
      <c r="Z280">
        <f>Calc!$FV$282</f>
        <v/>
      </c>
      <c r="AA280">
        <f>IF($T280&lt;&gt;"row",0,IF($V280=1,IF($X280=1,IF($Y280=1,1,2),IF($Y280=1,3,4)),IF($X280=1,IF($Y280=1,5,6),IF($Y280=1,7,8))))</f>
        <v/>
      </c>
    </row>
    <row r="281" ht="11.25" customHeight="1">
      <c r="A281" s="64">
        <f>Calc!$FB$283</f>
        <v/>
      </c>
      <c r="B281" s="64">
        <f>Calc!$FC$283</f>
        <v/>
      </c>
      <c r="C281" s="65">
        <f>Calc!$FD$283</f>
        <v/>
      </c>
      <c r="D281" s="65">
        <f>Calc!$FE$283</f>
        <v/>
      </c>
      <c r="E281" s="65">
        <f>Calc!$FF$283</f>
        <v/>
      </c>
      <c r="F281" s="65">
        <f>Calc!$FG$283</f>
        <v/>
      </c>
      <c r="G281" s="65">
        <f>Calc!$FH$283</f>
        <v/>
      </c>
      <c r="H281" s="65">
        <f>Calc!$FI$283</f>
        <v/>
      </c>
      <c r="I281" s="65">
        <f>Calc!$FJ$283</f>
        <v/>
      </c>
      <c r="J281" s="65">
        <f>Calc!$FK$283</f>
        <v/>
      </c>
      <c r="K281" s="65">
        <f>Calc!$FL$283</f>
        <v/>
      </c>
      <c r="L281" s="65">
        <f>Calc!$FM$283</f>
        <v/>
      </c>
      <c r="M281" s="66">
        <f>Calc!$FN$283</f>
        <v/>
      </c>
      <c r="N281" s="66">
        <f>Calc!$FO$283</f>
        <v/>
      </c>
      <c r="O281" s="65">
        <f>Calc!$FP$283</f>
        <v/>
      </c>
      <c r="P281" s="67">
        <f>Calc!$FQ$283</f>
        <v/>
      </c>
      <c r="Q281" s="68">
        <f>Calc!$FR$283</f>
        <v/>
      </c>
      <c r="R281" s="65">
        <f>Calc!$FS$283</f>
        <v/>
      </c>
      <c r="T281">
        <f>Calc!$EY$283</f>
        <v/>
      </c>
      <c r="U281">
        <f>Calc!$FT$283</f>
        <v/>
      </c>
      <c r="V281">
        <f>Calc!$FU$283</f>
        <v/>
      </c>
      <c r="W281">
        <f>Calc!$FC$283</f>
        <v/>
      </c>
      <c r="X281">
        <f>Calc!$EZ$283</f>
        <v/>
      </c>
      <c r="Y281">
        <f>Calc!$FA$283</f>
        <v/>
      </c>
      <c r="Z281">
        <f>Calc!$FV$283</f>
        <v/>
      </c>
      <c r="AA281">
        <f>IF($T281&lt;&gt;"row",0,IF($V281=1,IF($X281=1,IF($Y281=1,1,2),IF($Y281=1,3,4)),IF($X281=1,IF($Y281=1,5,6),IF($Y281=1,7,8))))</f>
        <v/>
      </c>
    </row>
    <row r="282" ht="11.25" customHeight="1">
      <c r="A282" s="64">
        <f>Calc!$FB$284</f>
        <v/>
      </c>
      <c r="B282" s="64">
        <f>Calc!$FC$284</f>
        <v/>
      </c>
      <c r="C282" s="65">
        <f>Calc!$FD$284</f>
        <v/>
      </c>
      <c r="D282" s="65">
        <f>Calc!$FE$284</f>
        <v/>
      </c>
      <c r="E282" s="65">
        <f>Calc!$FF$284</f>
        <v/>
      </c>
      <c r="F282" s="65">
        <f>Calc!$FG$284</f>
        <v/>
      </c>
      <c r="G282" s="65">
        <f>Calc!$FH$284</f>
        <v/>
      </c>
      <c r="H282" s="65">
        <f>Calc!$FI$284</f>
        <v/>
      </c>
      <c r="I282" s="65">
        <f>Calc!$FJ$284</f>
        <v/>
      </c>
      <c r="J282" s="65">
        <f>Calc!$FK$284</f>
        <v/>
      </c>
      <c r="K282" s="65">
        <f>Calc!$FL$284</f>
        <v/>
      </c>
      <c r="L282" s="65">
        <f>Calc!$FM$284</f>
        <v/>
      </c>
      <c r="M282" s="66">
        <f>Calc!$FN$284</f>
        <v/>
      </c>
      <c r="N282" s="66">
        <f>Calc!$FO$284</f>
        <v/>
      </c>
      <c r="O282" s="65">
        <f>Calc!$FP$284</f>
        <v/>
      </c>
      <c r="P282" s="67">
        <f>Calc!$FQ$284</f>
        <v/>
      </c>
      <c r="Q282" s="68">
        <f>Calc!$FR$284</f>
        <v/>
      </c>
      <c r="R282" s="65">
        <f>Calc!$FS$284</f>
        <v/>
      </c>
      <c r="T282">
        <f>Calc!$EY$284</f>
        <v/>
      </c>
      <c r="U282">
        <f>Calc!$FT$284</f>
        <v/>
      </c>
      <c r="V282">
        <f>Calc!$FU$284</f>
        <v/>
      </c>
      <c r="W282">
        <f>Calc!$FC$284</f>
        <v/>
      </c>
      <c r="X282">
        <f>Calc!$EZ$284</f>
        <v/>
      </c>
      <c r="Y282">
        <f>Calc!$FA$284</f>
        <v/>
      </c>
      <c r="Z282">
        <f>Calc!$FV$284</f>
        <v/>
      </c>
      <c r="AA282">
        <f>IF($T282&lt;&gt;"row",0,IF($V282=1,IF($X282=1,IF($Y282=1,1,2),IF($Y282=1,3,4)),IF($X282=1,IF($Y282=1,5,6),IF($Y282=1,7,8))))</f>
        <v/>
      </c>
    </row>
    <row r="283" ht="11.25" customHeight="1">
      <c r="A283" s="64">
        <f>Calc!$FB$285</f>
        <v/>
      </c>
      <c r="B283" s="64">
        <f>Calc!$FC$285</f>
        <v/>
      </c>
      <c r="C283" s="65">
        <f>Calc!$FD$285</f>
        <v/>
      </c>
      <c r="D283" s="65">
        <f>Calc!$FE$285</f>
        <v/>
      </c>
      <c r="E283" s="65">
        <f>Calc!$FF$285</f>
        <v/>
      </c>
      <c r="F283" s="65">
        <f>Calc!$FG$285</f>
        <v/>
      </c>
      <c r="G283" s="65">
        <f>Calc!$FH$285</f>
        <v/>
      </c>
      <c r="H283" s="65">
        <f>Calc!$FI$285</f>
        <v/>
      </c>
      <c r="I283" s="65">
        <f>Calc!$FJ$285</f>
        <v/>
      </c>
      <c r="J283" s="65">
        <f>Calc!$FK$285</f>
        <v/>
      </c>
      <c r="K283" s="65">
        <f>Calc!$FL$285</f>
        <v/>
      </c>
      <c r="L283" s="65">
        <f>Calc!$FM$285</f>
        <v/>
      </c>
      <c r="M283" s="66">
        <f>Calc!$FN$285</f>
        <v/>
      </c>
      <c r="N283" s="66">
        <f>Calc!$FO$285</f>
        <v/>
      </c>
      <c r="O283" s="65">
        <f>Calc!$FP$285</f>
        <v/>
      </c>
      <c r="P283" s="67">
        <f>Calc!$FQ$285</f>
        <v/>
      </c>
      <c r="Q283" s="68">
        <f>Calc!$FR$285</f>
        <v/>
      </c>
      <c r="R283" s="65">
        <f>Calc!$FS$285</f>
        <v/>
      </c>
      <c r="T283">
        <f>Calc!$EY$285</f>
        <v/>
      </c>
      <c r="U283">
        <f>Calc!$FT$285</f>
        <v/>
      </c>
      <c r="V283">
        <f>Calc!$FU$285</f>
        <v/>
      </c>
      <c r="W283">
        <f>Calc!$FC$285</f>
        <v/>
      </c>
      <c r="X283">
        <f>Calc!$EZ$285</f>
        <v/>
      </c>
      <c r="Y283">
        <f>Calc!$FA$285</f>
        <v/>
      </c>
      <c r="Z283">
        <f>Calc!$FV$285</f>
        <v/>
      </c>
      <c r="AA283">
        <f>IF($T283&lt;&gt;"row",0,IF($V283=1,IF($X283=1,IF($Y283=1,1,2),IF($Y283=1,3,4)),IF($X283=1,IF($Y283=1,5,6),IF($Y283=1,7,8))))</f>
        <v/>
      </c>
    </row>
    <row r="284" ht="11.25" customHeight="1">
      <c r="A284" s="64">
        <f>Calc!$FB$286</f>
        <v/>
      </c>
      <c r="B284" s="64">
        <f>Calc!$FC$286</f>
        <v/>
      </c>
      <c r="C284" s="65">
        <f>Calc!$FD$286</f>
        <v/>
      </c>
      <c r="D284" s="65">
        <f>Calc!$FE$286</f>
        <v/>
      </c>
      <c r="E284" s="65">
        <f>Calc!$FF$286</f>
        <v/>
      </c>
      <c r="F284" s="65">
        <f>Calc!$FG$286</f>
        <v/>
      </c>
      <c r="G284" s="65">
        <f>Calc!$FH$286</f>
        <v/>
      </c>
      <c r="H284" s="65">
        <f>Calc!$FI$286</f>
        <v/>
      </c>
      <c r="I284" s="65">
        <f>Calc!$FJ$286</f>
        <v/>
      </c>
      <c r="J284" s="65">
        <f>Calc!$FK$286</f>
        <v/>
      </c>
      <c r="K284" s="65">
        <f>Calc!$FL$286</f>
        <v/>
      </c>
      <c r="L284" s="65">
        <f>Calc!$FM$286</f>
        <v/>
      </c>
      <c r="M284" s="66">
        <f>Calc!$FN$286</f>
        <v/>
      </c>
      <c r="N284" s="66">
        <f>Calc!$FO$286</f>
        <v/>
      </c>
      <c r="O284" s="65">
        <f>Calc!$FP$286</f>
        <v/>
      </c>
      <c r="P284" s="67">
        <f>Calc!$FQ$286</f>
        <v/>
      </c>
      <c r="Q284" s="68">
        <f>Calc!$FR$286</f>
        <v/>
      </c>
      <c r="R284" s="65">
        <f>Calc!$FS$286</f>
        <v/>
      </c>
      <c r="T284">
        <f>Calc!$EY$286</f>
        <v/>
      </c>
      <c r="U284">
        <f>Calc!$FT$286</f>
        <v/>
      </c>
      <c r="V284">
        <f>Calc!$FU$286</f>
        <v/>
      </c>
      <c r="W284">
        <f>Calc!$FC$286</f>
        <v/>
      </c>
      <c r="X284">
        <f>Calc!$EZ$286</f>
        <v/>
      </c>
      <c r="Y284">
        <f>Calc!$FA$286</f>
        <v/>
      </c>
      <c r="Z284">
        <f>Calc!$FV$286</f>
        <v/>
      </c>
      <c r="AA284">
        <f>IF($T284&lt;&gt;"row",0,IF($V284=1,IF($X284=1,IF($Y284=1,1,2),IF($Y284=1,3,4)),IF($X284=1,IF($Y284=1,5,6),IF($Y284=1,7,8))))</f>
        <v/>
      </c>
    </row>
    <row r="285" ht="11.25" customHeight="1">
      <c r="A285" s="64">
        <f>Calc!$FB$287</f>
        <v/>
      </c>
      <c r="B285" s="64">
        <f>Calc!$FC$287</f>
        <v/>
      </c>
      <c r="C285" s="65">
        <f>Calc!$FD$287</f>
        <v/>
      </c>
      <c r="D285" s="65">
        <f>Calc!$FE$287</f>
        <v/>
      </c>
      <c r="E285" s="65">
        <f>Calc!$FF$287</f>
        <v/>
      </c>
      <c r="F285" s="65">
        <f>Calc!$FG$287</f>
        <v/>
      </c>
      <c r="G285" s="65">
        <f>Calc!$FH$287</f>
        <v/>
      </c>
      <c r="H285" s="65">
        <f>Calc!$FI$287</f>
        <v/>
      </c>
      <c r="I285" s="65">
        <f>Calc!$FJ$287</f>
        <v/>
      </c>
      <c r="J285" s="65">
        <f>Calc!$FK$287</f>
        <v/>
      </c>
      <c r="K285" s="65">
        <f>Calc!$FL$287</f>
        <v/>
      </c>
      <c r="L285" s="65">
        <f>Calc!$FM$287</f>
        <v/>
      </c>
      <c r="M285" s="66">
        <f>Calc!$FN$287</f>
        <v/>
      </c>
      <c r="N285" s="66">
        <f>Calc!$FO$287</f>
        <v/>
      </c>
      <c r="O285" s="65">
        <f>Calc!$FP$287</f>
        <v/>
      </c>
      <c r="P285" s="67">
        <f>Calc!$FQ$287</f>
        <v/>
      </c>
      <c r="Q285" s="68">
        <f>Calc!$FR$287</f>
        <v/>
      </c>
      <c r="R285" s="65">
        <f>Calc!$FS$287</f>
        <v/>
      </c>
      <c r="T285">
        <f>Calc!$EY$287</f>
        <v/>
      </c>
      <c r="U285">
        <f>Calc!$FT$287</f>
        <v/>
      </c>
      <c r="V285">
        <f>Calc!$FU$287</f>
        <v/>
      </c>
      <c r="W285">
        <f>Calc!$FC$287</f>
        <v/>
      </c>
      <c r="X285">
        <f>Calc!$EZ$287</f>
        <v/>
      </c>
      <c r="Y285">
        <f>Calc!$FA$287</f>
        <v/>
      </c>
      <c r="Z285">
        <f>Calc!$FV$287</f>
        <v/>
      </c>
      <c r="AA285">
        <f>IF($T285&lt;&gt;"row",0,IF($V285=1,IF($X285=1,IF($Y285=1,1,2),IF($Y285=1,3,4)),IF($X285=1,IF($Y285=1,5,6),IF($Y285=1,7,8))))</f>
        <v/>
      </c>
    </row>
    <row r="286" ht="11.25" customHeight="1">
      <c r="A286" s="64">
        <f>Calc!$FB$288</f>
        <v/>
      </c>
      <c r="B286" s="64">
        <f>Calc!$FC$288</f>
        <v/>
      </c>
      <c r="C286" s="65">
        <f>Calc!$FD$288</f>
        <v/>
      </c>
      <c r="D286" s="65">
        <f>Calc!$FE$288</f>
        <v/>
      </c>
      <c r="E286" s="65">
        <f>Calc!$FF$288</f>
        <v/>
      </c>
      <c r="F286" s="65">
        <f>Calc!$FG$288</f>
        <v/>
      </c>
      <c r="G286" s="65">
        <f>Calc!$FH$288</f>
        <v/>
      </c>
      <c r="H286" s="65">
        <f>Calc!$FI$288</f>
        <v/>
      </c>
      <c r="I286" s="65">
        <f>Calc!$FJ$288</f>
        <v/>
      </c>
      <c r="J286" s="65">
        <f>Calc!$FK$288</f>
        <v/>
      </c>
      <c r="K286" s="65">
        <f>Calc!$FL$288</f>
        <v/>
      </c>
      <c r="L286" s="65">
        <f>Calc!$FM$288</f>
        <v/>
      </c>
      <c r="M286" s="66">
        <f>Calc!$FN$288</f>
        <v/>
      </c>
      <c r="N286" s="66">
        <f>Calc!$FO$288</f>
        <v/>
      </c>
      <c r="O286" s="65">
        <f>Calc!$FP$288</f>
        <v/>
      </c>
      <c r="P286" s="67">
        <f>Calc!$FQ$288</f>
        <v/>
      </c>
      <c r="Q286" s="68">
        <f>Calc!$FR$288</f>
        <v/>
      </c>
      <c r="R286" s="65">
        <f>Calc!$FS$288</f>
        <v/>
      </c>
      <c r="T286">
        <f>Calc!$EY$288</f>
        <v/>
      </c>
      <c r="U286">
        <f>Calc!$FT$288</f>
        <v/>
      </c>
      <c r="V286">
        <f>Calc!$FU$288</f>
        <v/>
      </c>
      <c r="W286">
        <f>Calc!$FC$288</f>
        <v/>
      </c>
      <c r="X286">
        <f>Calc!$EZ$288</f>
        <v/>
      </c>
      <c r="Y286">
        <f>Calc!$FA$288</f>
        <v/>
      </c>
      <c r="Z286">
        <f>Calc!$FV$288</f>
        <v/>
      </c>
      <c r="AA286">
        <f>IF($T286&lt;&gt;"row",0,IF($V286=1,IF($X286=1,IF($Y286=1,1,2),IF($Y286=1,3,4)),IF($X286=1,IF($Y286=1,5,6),IF($Y286=1,7,8))))</f>
        <v/>
      </c>
    </row>
    <row r="287" ht="11.25" customHeight="1">
      <c r="A287" s="64">
        <f>Calc!$FB$289</f>
        <v/>
      </c>
      <c r="B287" s="64">
        <f>Calc!$FC$289</f>
        <v/>
      </c>
      <c r="C287" s="65">
        <f>Calc!$FD$289</f>
        <v/>
      </c>
      <c r="D287" s="65">
        <f>Calc!$FE$289</f>
        <v/>
      </c>
      <c r="E287" s="65">
        <f>Calc!$FF$289</f>
        <v/>
      </c>
      <c r="F287" s="65">
        <f>Calc!$FG$289</f>
        <v/>
      </c>
      <c r="G287" s="65">
        <f>Calc!$FH$289</f>
        <v/>
      </c>
      <c r="H287" s="65">
        <f>Calc!$FI$289</f>
        <v/>
      </c>
      <c r="I287" s="65">
        <f>Calc!$FJ$289</f>
        <v/>
      </c>
      <c r="J287" s="65">
        <f>Calc!$FK$289</f>
        <v/>
      </c>
      <c r="K287" s="65">
        <f>Calc!$FL$289</f>
        <v/>
      </c>
      <c r="L287" s="65">
        <f>Calc!$FM$289</f>
        <v/>
      </c>
      <c r="M287" s="66">
        <f>Calc!$FN$289</f>
        <v/>
      </c>
      <c r="N287" s="66">
        <f>Calc!$FO$289</f>
        <v/>
      </c>
      <c r="O287" s="65">
        <f>Calc!$FP$289</f>
        <v/>
      </c>
      <c r="P287" s="67">
        <f>Calc!$FQ$289</f>
        <v/>
      </c>
      <c r="Q287" s="68">
        <f>Calc!$FR$289</f>
        <v/>
      </c>
      <c r="R287" s="65">
        <f>Calc!$FS$289</f>
        <v/>
      </c>
      <c r="T287">
        <f>Calc!$EY$289</f>
        <v/>
      </c>
      <c r="U287">
        <f>Calc!$FT$289</f>
        <v/>
      </c>
      <c r="V287">
        <f>Calc!$FU$289</f>
        <v/>
      </c>
      <c r="W287">
        <f>Calc!$FC$289</f>
        <v/>
      </c>
      <c r="X287">
        <f>Calc!$EZ$289</f>
        <v/>
      </c>
      <c r="Y287">
        <f>Calc!$FA$289</f>
        <v/>
      </c>
      <c r="Z287">
        <f>Calc!$FV$289</f>
        <v/>
      </c>
      <c r="AA287">
        <f>IF($T287&lt;&gt;"row",0,IF($V287=1,IF($X287=1,IF($Y287=1,1,2),IF($Y287=1,3,4)),IF($X287=1,IF($Y287=1,5,6),IF($Y287=1,7,8))))</f>
        <v/>
      </c>
    </row>
    <row r="288" ht="11.25" customHeight="1">
      <c r="A288" s="64">
        <f>Calc!$FB$290</f>
        <v/>
      </c>
      <c r="B288" s="64">
        <f>Calc!$FC$290</f>
        <v/>
      </c>
      <c r="C288" s="65">
        <f>Calc!$FD$290</f>
        <v/>
      </c>
      <c r="D288" s="65">
        <f>Calc!$FE$290</f>
        <v/>
      </c>
      <c r="E288" s="65">
        <f>Calc!$FF$290</f>
        <v/>
      </c>
      <c r="F288" s="65">
        <f>Calc!$FG$290</f>
        <v/>
      </c>
      <c r="G288" s="65">
        <f>Calc!$FH$290</f>
        <v/>
      </c>
      <c r="H288" s="65">
        <f>Calc!$FI$290</f>
        <v/>
      </c>
      <c r="I288" s="65">
        <f>Calc!$FJ$290</f>
        <v/>
      </c>
      <c r="J288" s="65">
        <f>Calc!$FK$290</f>
        <v/>
      </c>
      <c r="K288" s="65">
        <f>Calc!$FL$290</f>
        <v/>
      </c>
      <c r="L288" s="65">
        <f>Calc!$FM$290</f>
        <v/>
      </c>
      <c r="M288" s="66">
        <f>Calc!$FN$290</f>
        <v/>
      </c>
      <c r="N288" s="66">
        <f>Calc!$FO$290</f>
        <v/>
      </c>
      <c r="O288" s="65">
        <f>Calc!$FP$290</f>
        <v/>
      </c>
      <c r="P288" s="67">
        <f>Calc!$FQ$290</f>
        <v/>
      </c>
      <c r="Q288" s="68">
        <f>Calc!$FR$290</f>
        <v/>
      </c>
      <c r="R288" s="65">
        <f>Calc!$FS$290</f>
        <v/>
      </c>
      <c r="T288">
        <f>Calc!$EY$290</f>
        <v/>
      </c>
      <c r="U288">
        <f>Calc!$FT$290</f>
        <v/>
      </c>
      <c r="V288">
        <f>Calc!$FU$290</f>
        <v/>
      </c>
      <c r="W288">
        <f>Calc!$FC$290</f>
        <v/>
      </c>
      <c r="X288">
        <f>Calc!$EZ$290</f>
        <v/>
      </c>
      <c r="Y288">
        <f>Calc!$FA$290</f>
        <v/>
      </c>
      <c r="Z288">
        <f>Calc!$FV$290</f>
        <v/>
      </c>
      <c r="AA288">
        <f>IF($T288&lt;&gt;"row",0,IF($V288=1,IF($X288=1,IF($Y288=1,1,2),IF($Y288=1,3,4)),IF($X288=1,IF($Y288=1,5,6),IF($Y288=1,7,8))))</f>
        <v/>
      </c>
    </row>
    <row r="289" ht="11.25" customHeight="1">
      <c r="A289" s="64">
        <f>Calc!$FB$291</f>
        <v/>
      </c>
      <c r="B289" s="64">
        <f>Calc!$FC$291</f>
        <v/>
      </c>
      <c r="C289" s="65">
        <f>Calc!$FD$291</f>
        <v/>
      </c>
      <c r="D289" s="65">
        <f>Calc!$FE$291</f>
        <v/>
      </c>
      <c r="E289" s="65">
        <f>Calc!$FF$291</f>
        <v/>
      </c>
      <c r="F289" s="65">
        <f>Calc!$FG$291</f>
        <v/>
      </c>
      <c r="G289" s="65">
        <f>Calc!$FH$291</f>
        <v/>
      </c>
      <c r="H289" s="65">
        <f>Calc!$FI$291</f>
        <v/>
      </c>
      <c r="I289" s="65">
        <f>Calc!$FJ$291</f>
        <v/>
      </c>
      <c r="J289" s="65">
        <f>Calc!$FK$291</f>
        <v/>
      </c>
      <c r="K289" s="65">
        <f>Calc!$FL$291</f>
        <v/>
      </c>
      <c r="L289" s="65">
        <f>Calc!$FM$291</f>
        <v/>
      </c>
      <c r="M289" s="66">
        <f>Calc!$FN$291</f>
        <v/>
      </c>
      <c r="N289" s="66">
        <f>Calc!$FO$291</f>
        <v/>
      </c>
      <c r="O289" s="65">
        <f>Calc!$FP$291</f>
        <v/>
      </c>
      <c r="P289" s="67">
        <f>Calc!$FQ$291</f>
        <v/>
      </c>
      <c r="Q289" s="68">
        <f>Calc!$FR$291</f>
        <v/>
      </c>
      <c r="R289" s="65">
        <f>Calc!$FS$291</f>
        <v/>
      </c>
      <c r="T289">
        <f>Calc!$EY$291</f>
        <v/>
      </c>
      <c r="U289">
        <f>Calc!$FT$291</f>
        <v/>
      </c>
      <c r="V289">
        <f>Calc!$FU$291</f>
        <v/>
      </c>
      <c r="W289">
        <f>Calc!$FC$291</f>
        <v/>
      </c>
      <c r="X289">
        <f>Calc!$EZ$291</f>
        <v/>
      </c>
      <c r="Y289">
        <f>Calc!$FA$291</f>
        <v/>
      </c>
      <c r="Z289">
        <f>Calc!$FV$291</f>
        <v/>
      </c>
      <c r="AA289">
        <f>IF($T289&lt;&gt;"row",0,IF($V289=1,IF($X289=1,IF($Y289=1,1,2),IF($Y289=1,3,4)),IF($X289=1,IF($Y289=1,5,6),IF($Y289=1,7,8))))</f>
        <v/>
      </c>
    </row>
    <row r="290" ht="11.25" customHeight="1">
      <c r="A290" s="64">
        <f>Calc!$FB$292</f>
        <v/>
      </c>
      <c r="B290" s="64">
        <f>Calc!$FC$292</f>
        <v/>
      </c>
      <c r="C290" s="65">
        <f>Calc!$FD$292</f>
        <v/>
      </c>
      <c r="D290" s="65">
        <f>Calc!$FE$292</f>
        <v/>
      </c>
      <c r="E290" s="65">
        <f>Calc!$FF$292</f>
        <v/>
      </c>
      <c r="F290" s="65">
        <f>Calc!$FG$292</f>
        <v/>
      </c>
      <c r="G290" s="65">
        <f>Calc!$FH$292</f>
        <v/>
      </c>
      <c r="H290" s="65">
        <f>Calc!$FI$292</f>
        <v/>
      </c>
      <c r="I290" s="65">
        <f>Calc!$FJ$292</f>
        <v/>
      </c>
      <c r="J290" s="65">
        <f>Calc!$FK$292</f>
        <v/>
      </c>
      <c r="K290" s="65">
        <f>Calc!$FL$292</f>
        <v/>
      </c>
      <c r="L290" s="65">
        <f>Calc!$FM$292</f>
        <v/>
      </c>
      <c r="M290" s="66">
        <f>Calc!$FN$292</f>
        <v/>
      </c>
      <c r="N290" s="66">
        <f>Calc!$FO$292</f>
        <v/>
      </c>
      <c r="O290" s="65">
        <f>Calc!$FP$292</f>
        <v/>
      </c>
      <c r="P290" s="67">
        <f>Calc!$FQ$292</f>
        <v/>
      </c>
      <c r="Q290" s="68">
        <f>Calc!$FR$292</f>
        <v/>
      </c>
      <c r="R290" s="65">
        <f>Calc!$FS$292</f>
        <v/>
      </c>
      <c r="T290">
        <f>Calc!$EY$292</f>
        <v/>
      </c>
      <c r="U290">
        <f>Calc!$FT$292</f>
        <v/>
      </c>
      <c r="V290">
        <f>Calc!$FU$292</f>
        <v/>
      </c>
      <c r="W290">
        <f>Calc!$FC$292</f>
        <v/>
      </c>
      <c r="X290">
        <f>Calc!$EZ$292</f>
        <v/>
      </c>
      <c r="Y290">
        <f>Calc!$FA$292</f>
        <v/>
      </c>
      <c r="Z290">
        <f>Calc!$FV$292</f>
        <v/>
      </c>
      <c r="AA290">
        <f>IF($T290&lt;&gt;"row",0,IF($V290=1,IF($X290=1,IF($Y290=1,1,2),IF($Y290=1,3,4)),IF($X290=1,IF($Y290=1,5,6),IF($Y290=1,7,8))))</f>
        <v/>
      </c>
    </row>
    <row r="291" ht="11.25" customHeight="1">
      <c r="A291" s="64">
        <f>Calc!$FB$293</f>
        <v/>
      </c>
      <c r="B291" s="64">
        <f>Calc!$FC$293</f>
        <v/>
      </c>
      <c r="C291" s="65">
        <f>Calc!$FD$293</f>
        <v/>
      </c>
      <c r="D291" s="65">
        <f>Calc!$FE$293</f>
        <v/>
      </c>
      <c r="E291" s="65">
        <f>Calc!$FF$293</f>
        <v/>
      </c>
      <c r="F291" s="65">
        <f>Calc!$FG$293</f>
        <v/>
      </c>
      <c r="G291" s="65">
        <f>Calc!$FH$293</f>
        <v/>
      </c>
      <c r="H291" s="65">
        <f>Calc!$FI$293</f>
        <v/>
      </c>
      <c r="I291" s="65">
        <f>Calc!$FJ$293</f>
        <v/>
      </c>
      <c r="J291" s="65">
        <f>Calc!$FK$293</f>
        <v/>
      </c>
      <c r="K291" s="65">
        <f>Calc!$FL$293</f>
        <v/>
      </c>
      <c r="L291" s="65">
        <f>Calc!$FM$293</f>
        <v/>
      </c>
      <c r="M291" s="66">
        <f>Calc!$FN$293</f>
        <v/>
      </c>
      <c r="N291" s="66">
        <f>Calc!$FO$293</f>
        <v/>
      </c>
      <c r="O291" s="65">
        <f>Calc!$FP$293</f>
        <v/>
      </c>
      <c r="P291" s="67">
        <f>Calc!$FQ$293</f>
        <v/>
      </c>
      <c r="Q291" s="68">
        <f>Calc!$FR$293</f>
        <v/>
      </c>
      <c r="R291" s="65">
        <f>Calc!$FS$293</f>
        <v/>
      </c>
      <c r="T291">
        <f>Calc!$EY$293</f>
        <v/>
      </c>
      <c r="U291">
        <f>Calc!$FT$293</f>
        <v/>
      </c>
      <c r="V291">
        <f>Calc!$FU$293</f>
        <v/>
      </c>
      <c r="W291">
        <f>Calc!$FC$293</f>
        <v/>
      </c>
      <c r="X291">
        <f>Calc!$EZ$293</f>
        <v/>
      </c>
      <c r="Y291">
        <f>Calc!$FA$293</f>
        <v/>
      </c>
      <c r="Z291">
        <f>Calc!$FV$293</f>
        <v/>
      </c>
      <c r="AA291">
        <f>IF($T291&lt;&gt;"row",0,IF($V291=1,IF($X291=1,IF($Y291=1,1,2),IF($Y291=1,3,4)),IF($X291=1,IF($Y291=1,5,6),IF($Y291=1,7,8))))</f>
        <v/>
      </c>
    </row>
    <row r="292" ht="11.25" customHeight="1">
      <c r="A292" s="64">
        <f>Calc!$FB$294</f>
        <v/>
      </c>
      <c r="B292" s="64">
        <f>Calc!$FC$294</f>
        <v/>
      </c>
      <c r="C292" s="65">
        <f>Calc!$FD$294</f>
        <v/>
      </c>
      <c r="D292" s="65">
        <f>Calc!$FE$294</f>
        <v/>
      </c>
      <c r="E292" s="65">
        <f>Calc!$FF$294</f>
        <v/>
      </c>
      <c r="F292" s="65">
        <f>Calc!$FG$294</f>
        <v/>
      </c>
      <c r="G292" s="65">
        <f>Calc!$FH$294</f>
        <v/>
      </c>
      <c r="H292" s="65">
        <f>Calc!$FI$294</f>
        <v/>
      </c>
      <c r="I292" s="65">
        <f>Calc!$FJ$294</f>
        <v/>
      </c>
      <c r="J292" s="65">
        <f>Calc!$FK$294</f>
        <v/>
      </c>
      <c r="K292" s="65">
        <f>Calc!$FL$294</f>
        <v/>
      </c>
      <c r="L292" s="65">
        <f>Calc!$FM$294</f>
        <v/>
      </c>
      <c r="M292" s="66">
        <f>Calc!$FN$294</f>
        <v/>
      </c>
      <c r="N292" s="66">
        <f>Calc!$FO$294</f>
        <v/>
      </c>
      <c r="O292" s="65">
        <f>Calc!$FP$294</f>
        <v/>
      </c>
      <c r="P292" s="67">
        <f>Calc!$FQ$294</f>
        <v/>
      </c>
      <c r="Q292" s="68">
        <f>Calc!$FR$294</f>
        <v/>
      </c>
      <c r="R292" s="65">
        <f>Calc!$FS$294</f>
        <v/>
      </c>
      <c r="T292">
        <f>Calc!$EY$294</f>
        <v/>
      </c>
      <c r="U292">
        <f>Calc!$FT$294</f>
        <v/>
      </c>
      <c r="V292">
        <f>Calc!$FU$294</f>
        <v/>
      </c>
      <c r="W292">
        <f>Calc!$FC$294</f>
        <v/>
      </c>
      <c r="X292">
        <f>Calc!$EZ$294</f>
        <v/>
      </c>
      <c r="Y292">
        <f>Calc!$FA$294</f>
        <v/>
      </c>
      <c r="Z292">
        <f>Calc!$FV$294</f>
        <v/>
      </c>
      <c r="AA292">
        <f>IF($T292&lt;&gt;"row",0,IF($V292=1,IF($X292=1,IF($Y292=1,1,2),IF($Y292=1,3,4)),IF($X292=1,IF($Y292=1,5,6),IF($Y292=1,7,8))))</f>
        <v/>
      </c>
    </row>
    <row r="293" ht="11.25" customHeight="1">
      <c r="A293" s="64">
        <f>Calc!$FB$295</f>
        <v/>
      </c>
      <c r="B293" s="64">
        <f>Calc!$FC$295</f>
        <v/>
      </c>
      <c r="C293" s="65">
        <f>Calc!$FD$295</f>
        <v/>
      </c>
      <c r="D293" s="65">
        <f>Calc!$FE$295</f>
        <v/>
      </c>
      <c r="E293" s="65">
        <f>Calc!$FF$295</f>
        <v/>
      </c>
      <c r="F293" s="65">
        <f>Calc!$FG$295</f>
        <v/>
      </c>
      <c r="G293" s="65">
        <f>Calc!$FH$295</f>
        <v/>
      </c>
      <c r="H293" s="65">
        <f>Calc!$FI$295</f>
        <v/>
      </c>
      <c r="I293" s="65">
        <f>Calc!$FJ$295</f>
        <v/>
      </c>
      <c r="J293" s="65">
        <f>Calc!$FK$295</f>
        <v/>
      </c>
      <c r="K293" s="65">
        <f>Calc!$FL$295</f>
        <v/>
      </c>
      <c r="L293" s="65">
        <f>Calc!$FM$295</f>
        <v/>
      </c>
      <c r="M293" s="66">
        <f>Calc!$FN$295</f>
        <v/>
      </c>
      <c r="N293" s="66">
        <f>Calc!$FO$295</f>
        <v/>
      </c>
      <c r="O293" s="65">
        <f>Calc!$FP$295</f>
        <v/>
      </c>
      <c r="P293" s="67">
        <f>Calc!$FQ$295</f>
        <v/>
      </c>
      <c r="Q293" s="68">
        <f>Calc!$FR$295</f>
        <v/>
      </c>
      <c r="R293" s="65">
        <f>Calc!$FS$295</f>
        <v/>
      </c>
      <c r="T293">
        <f>Calc!$EY$295</f>
        <v/>
      </c>
      <c r="U293">
        <f>Calc!$FT$295</f>
        <v/>
      </c>
      <c r="V293">
        <f>Calc!$FU$295</f>
        <v/>
      </c>
      <c r="W293">
        <f>Calc!$FC$295</f>
        <v/>
      </c>
      <c r="X293">
        <f>Calc!$EZ$295</f>
        <v/>
      </c>
      <c r="Y293">
        <f>Calc!$FA$295</f>
        <v/>
      </c>
      <c r="Z293">
        <f>Calc!$FV$295</f>
        <v/>
      </c>
      <c r="AA293">
        <f>IF($T293&lt;&gt;"row",0,IF($V293=1,IF($X293=1,IF($Y293=1,1,2),IF($Y293=1,3,4)),IF($X293=1,IF($Y293=1,5,6),IF($Y293=1,7,8))))</f>
        <v/>
      </c>
    </row>
    <row r="294" ht="11.25" customHeight="1">
      <c r="A294" s="64">
        <f>Calc!$FB$296</f>
        <v/>
      </c>
      <c r="B294" s="64">
        <f>Calc!$FC$296</f>
        <v/>
      </c>
      <c r="C294" s="65">
        <f>Calc!$FD$296</f>
        <v/>
      </c>
      <c r="D294" s="65">
        <f>Calc!$FE$296</f>
        <v/>
      </c>
      <c r="E294" s="65">
        <f>Calc!$FF$296</f>
        <v/>
      </c>
      <c r="F294" s="65">
        <f>Calc!$FG$296</f>
        <v/>
      </c>
      <c r="G294" s="65">
        <f>Calc!$FH$296</f>
        <v/>
      </c>
      <c r="H294" s="65">
        <f>Calc!$FI$296</f>
        <v/>
      </c>
      <c r="I294" s="65">
        <f>Calc!$FJ$296</f>
        <v/>
      </c>
      <c r="J294" s="65">
        <f>Calc!$FK$296</f>
        <v/>
      </c>
      <c r="K294" s="65">
        <f>Calc!$FL$296</f>
        <v/>
      </c>
      <c r="L294" s="65">
        <f>Calc!$FM$296</f>
        <v/>
      </c>
      <c r="M294" s="66">
        <f>Calc!$FN$296</f>
        <v/>
      </c>
      <c r="N294" s="66">
        <f>Calc!$FO$296</f>
        <v/>
      </c>
      <c r="O294" s="65">
        <f>Calc!$FP$296</f>
        <v/>
      </c>
      <c r="P294" s="67">
        <f>Calc!$FQ$296</f>
        <v/>
      </c>
      <c r="Q294" s="68">
        <f>Calc!$FR$296</f>
        <v/>
      </c>
      <c r="R294" s="65">
        <f>Calc!$FS$296</f>
        <v/>
      </c>
      <c r="T294">
        <f>Calc!$EY$296</f>
        <v/>
      </c>
      <c r="U294">
        <f>Calc!$FT$296</f>
        <v/>
      </c>
      <c r="V294">
        <f>Calc!$FU$296</f>
        <v/>
      </c>
      <c r="W294">
        <f>Calc!$FC$296</f>
        <v/>
      </c>
      <c r="X294">
        <f>Calc!$EZ$296</f>
        <v/>
      </c>
      <c r="Y294">
        <f>Calc!$FA$296</f>
        <v/>
      </c>
      <c r="Z294">
        <f>Calc!$FV$296</f>
        <v/>
      </c>
      <c r="AA294">
        <f>IF($T294&lt;&gt;"row",0,IF($V294=1,IF($X294=1,IF($Y294=1,1,2),IF($Y294=1,3,4)),IF($X294=1,IF($Y294=1,5,6),IF($Y294=1,7,8))))</f>
        <v/>
      </c>
    </row>
    <row r="295" ht="11.25" customHeight="1">
      <c r="A295" s="64">
        <f>Calc!$FB$297</f>
        <v/>
      </c>
      <c r="B295" s="64">
        <f>Calc!$FC$297</f>
        <v/>
      </c>
      <c r="C295" s="65">
        <f>Calc!$FD$297</f>
        <v/>
      </c>
      <c r="D295" s="65">
        <f>Calc!$FE$297</f>
        <v/>
      </c>
      <c r="E295" s="65">
        <f>Calc!$FF$297</f>
        <v/>
      </c>
      <c r="F295" s="65">
        <f>Calc!$FG$297</f>
        <v/>
      </c>
      <c r="G295" s="65">
        <f>Calc!$FH$297</f>
        <v/>
      </c>
      <c r="H295" s="65">
        <f>Calc!$FI$297</f>
        <v/>
      </c>
      <c r="I295" s="65">
        <f>Calc!$FJ$297</f>
        <v/>
      </c>
      <c r="J295" s="65">
        <f>Calc!$FK$297</f>
        <v/>
      </c>
      <c r="K295" s="65">
        <f>Calc!$FL$297</f>
        <v/>
      </c>
      <c r="L295" s="65">
        <f>Calc!$FM$297</f>
        <v/>
      </c>
      <c r="M295" s="66">
        <f>Calc!$FN$297</f>
        <v/>
      </c>
      <c r="N295" s="66">
        <f>Calc!$FO$297</f>
        <v/>
      </c>
      <c r="O295" s="65">
        <f>Calc!$FP$297</f>
        <v/>
      </c>
      <c r="P295" s="67">
        <f>Calc!$FQ$297</f>
        <v/>
      </c>
      <c r="Q295" s="68">
        <f>Calc!$FR$297</f>
        <v/>
      </c>
      <c r="R295" s="65">
        <f>Calc!$FS$297</f>
        <v/>
      </c>
      <c r="T295">
        <f>Calc!$EY$297</f>
        <v/>
      </c>
      <c r="U295">
        <f>Calc!$FT$297</f>
        <v/>
      </c>
      <c r="V295">
        <f>Calc!$FU$297</f>
        <v/>
      </c>
      <c r="W295">
        <f>Calc!$FC$297</f>
        <v/>
      </c>
      <c r="X295">
        <f>Calc!$EZ$297</f>
        <v/>
      </c>
      <c r="Y295">
        <f>Calc!$FA$297</f>
        <v/>
      </c>
      <c r="Z295">
        <f>Calc!$FV$297</f>
        <v/>
      </c>
      <c r="AA295">
        <f>IF($T295&lt;&gt;"row",0,IF($V295=1,IF($X295=1,IF($Y295=1,1,2),IF($Y295=1,3,4)),IF($X295=1,IF($Y295=1,5,6),IF($Y295=1,7,8))))</f>
        <v/>
      </c>
    </row>
    <row r="296" ht="11.25" customHeight="1">
      <c r="A296" s="64">
        <f>Calc!$FB$298</f>
        <v/>
      </c>
      <c r="B296" s="64">
        <f>Calc!$FC$298</f>
        <v/>
      </c>
      <c r="C296" s="65">
        <f>Calc!$FD$298</f>
        <v/>
      </c>
      <c r="D296" s="65">
        <f>Calc!$FE$298</f>
        <v/>
      </c>
      <c r="E296" s="65">
        <f>Calc!$FF$298</f>
        <v/>
      </c>
      <c r="F296" s="65">
        <f>Calc!$FG$298</f>
        <v/>
      </c>
      <c r="G296" s="65">
        <f>Calc!$FH$298</f>
        <v/>
      </c>
      <c r="H296" s="65">
        <f>Calc!$FI$298</f>
        <v/>
      </c>
      <c r="I296" s="65">
        <f>Calc!$FJ$298</f>
        <v/>
      </c>
      <c r="J296" s="65">
        <f>Calc!$FK$298</f>
        <v/>
      </c>
      <c r="K296" s="65">
        <f>Calc!$FL$298</f>
        <v/>
      </c>
      <c r="L296" s="65">
        <f>Calc!$FM$298</f>
        <v/>
      </c>
      <c r="M296" s="66">
        <f>Calc!$FN$298</f>
        <v/>
      </c>
      <c r="N296" s="66">
        <f>Calc!$FO$298</f>
        <v/>
      </c>
      <c r="O296" s="65">
        <f>Calc!$FP$298</f>
        <v/>
      </c>
      <c r="P296" s="67">
        <f>Calc!$FQ$298</f>
        <v/>
      </c>
      <c r="Q296" s="68">
        <f>Calc!$FR$298</f>
        <v/>
      </c>
      <c r="R296" s="65">
        <f>Calc!$FS$298</f>
        <v/>
      </c>
      <c r="T296">
        <f>Calc!$EY$298</f>
        <v/>
      </c>
      <c r="U296">
        <f>Calc!$FT$298</f>
        <v/>
      </c>
      <c r="V296">
        <f>Calc!$FU$298</f>
        <v/>
      </c>
      <c r="W296">
        <f>Calc!$FC$298</f>
        <v/>
      </c>
      <c r="X296">
        <f>Calc!$EZ$298</f>
        <v/>
      </c>
      <c r="Y296">
        <f>Calc!$FA$298</f>
        <v/>
      </c>
      <c r="Z296">
        <f>Calc!$FV$298</f>
        <v/>
      </c>
      <c r="AA296">
        <f>IF($T296&lt;&gt;"row",0,IF($V296=1,IF($X296=1,IF($Y296=1,1,2),IF($Y296=1,3,4)),IF($X296=1,IF($Y296=1,5,6),IF($Y296=1,7,8))))</f>
        <v/>
      </c>
    </row>
    <row r="297" ht="11.25" customHeight="1">
      <c r="A297" s="64">
        <f>Calc!$FB$299</f>
        <v/>
      </c>
      <c r="B297" s="64">
        <f>Calc!$FC$299</f>
        <v/>
      </c>
      <c r="C297" s="65">
        <f>Calc!$FD$299</f>
        <v/>
      </c>
      <c r="D297" s="65">
        <f>Calc!$FE$299</f>
        <v/>
      </c>
      <c r="E297" s="65">
        <f>Calc!$FF$299</f>
        <v/>
      </c>
      <c r="F297" s="65">
        <f>Calc!$FG$299</f>
        <v/>
      </c>
      <c r="G297" s="65">
        <f>Calc!$FH$299</f>
        <v/>
      </c>
      <c r="H297" s="65">
        <f>Calc!$FI$299</f>
        <v/>
      </c>
      <c r="I297" s="65">
        <f>Calc!$FJ$299</f>
        <v/>
      </c>
      <c r="J297" s="65">
        <f>Calc!$FK$299</f>
        <v/>
      </c>
      <c r="K297" s="65">
        <f>Calc!$FL$299</f>
        <v/>
      </c>
      <c r="L297" s="65">
        <f>Calc!$FM$299</f>
        <v/>
      </c>
      <c r="M297" s="66">
        <f>Calc!$FN$299</f>
        <v/>
      </c>
      <c r="N297" s="66">
        <f>Calc!$FO$299</f>
        <v/>
      </c>
      <c r="O297" s="65">
        <f>Calc!$FP$299</f>
        <v/>
      </c>
      <c r="P297" s="67">
        <f>Calc!$FQ$299</f>
        <v/>
      </c>
      <c r="Q297" s="68">
        <f>Calc!$FR$299</f>
        <v/>
      </c>
      <c r="R297" s="65">
        <f>Calc!$FS$299</f>
        <v/>
      </c>
      <c r="T297">
        <f>Calc!$EY$299</f>
        <v/>
      </c>
      <c r="U297">
        <f>Calc!$FT$299</f>
        <v/>
      </c>
      <c r="V297">
        <f>Calc!$FU$299</f>
        <v/>
      </c>
      <c r="W297">
        <f>Calc!$FC$299</f>
        <v/>
      </c>
      <c r="X297">
        <f>Calc!$EZ$299</f>
        <v/>
      </c>
      <c r="Y297">
        <f>Calc!$FA$299</f>
        <v/>
      </c>
      <c r="Z297">
        <f>Calc!$FV$299</f>
        <v/>
      </c>
      <c r="AA297">
        <f>IF($T297&lt;&gt;"row",0,IF($V297=1,IF($X297=1,IF($Y297=1,1,2),IF($Y297=1,3,4)),IF($X297=1,IF($Y297=1,5,6),IF($Y297=1,7,8))))</f>
        <v/>
      </c>
    </row>
    <row r="298" ht="11.25" customHeight="1">
      <c r="A298" s="64">
        <f>Calc!$FB$300</f>
        <v/>
      </c>
      <c r="B298" s="64">
        <f>Calc!$FC$300</f>
        <v/>
      </c>
      <c r="C298" s="65">
        <f>Calc!$FD$300</f>
        <v/>
      </c>
      <c r="D298" s="65">
        <f>Calc!$FE$300</f>
        <v/>
      </c>
      <c r="E298" s="65">
        <f>Calc!$FF$300</f>
        <v/>
      </c>
      <c r="F298" s="65">
        <f>Calc!$FG$300</f>
        <v/>
      </c>
      <c r="G298" s="65">
        <f>Calc!$FH$300</f>
        <v/>
      </c>
      <c r="H298" s="65">
        <f>Calc!$FI$300</f>
        <v/>
      </c>
      <c r="I298" s="65">
        <f>Calc!$FJ$300</f>
        <v/>
      </c>
      <c r="J298" s="65">
        <f>Calc!$FK$300</f>
        <v/>
      </c>
      <c r="K298" s="65">
        <f>Calc!$FL$300</f>
        <v/>
      </c>
      <c r="L298" s="65">
        <f>Calc!$FM$300</f>
        <v/>
      </c>
      <c r="M298" s="66">
        <f>Calc!$FN$300</f>
        <v/>
      </c>
      <c r="N298" s="66">
        <f>Calc!$FO$300</f>
        <v/>
      </c>
      <c r="O298" s="65">
        <f>Calc!$FP$300</f>
        <v/>
      </c>
      <c r="P298" s="67">
        <f>Calc!$FQ$300</f>
        <v/>
      </c>
      <c r="Q298" s="68">
        <f>Calc!$FR$300</f>
        <v/>
      </c>
      <c r="R298" s="65">
        <f>Calc!$FS$300</f>
        <v/>
      </c>
      <c r="T298">
        <f>Calc!$EY$300</f>
        <v/>
      </c>
      <c r="U298">
        <f>Calc!$FT$300</f>
        <v/>
      </c>
      <c r="V298">
        <f>Calc!$FU$300</f>
        <v/>
      </c>
      <c r="W298">
        <f>Calc!$FC$300</f>
        <v/>
      </c>
      <c r="X298">
        <f>Calc!$EZ$300</f>
        <v/>
      </c>
      <c r="Y298">
        <f>Calc!$FA$300</f>
        <v/>
      </c>
      <c r="Z298">
        <f>Calc!$FV$300</f>
        <v/>
      </c>
      <c r="AA298">
        <f>IF($T298&lt;&gt;"row",0,IF($V298=1,IF($X298=1,IF($Y298=1,1,2),IF($Y298=1,3,4)),IF($X298=1,IF($Y298=1,5,6),IF($Y298=1,7,8))))</f>
        <v/>
      </c>
    </row>
    <row r="299" ht="11.25" customHeight="1">
      <c r="A299" s="64">
        <f>Calc!$FB$301</f>
        <v/>
      </c>
      <c r="B299" s="64">
        <f>Calc!$FC$301</f>
        <v/>
      </c>
      <c r="C299" s="65">
        <f>Calc!$FD$301</f>
        <v/>
      </c>
      <c r="D299" s="65">
        <f>Calc!$FE$301</f>
        <v/>
      </c>
      <c r="E299" s="65">
        <f>Calc!$FF$301</f>
        <v/>
      </c>
      <c r="F299" s="65">
        <f>Calc!$FG$301</f>
        <v/>
      </c>
      <c r="G299" s="65">
        <f>Calc!$FH$301</f>
        <v/>
      </c>
      <c r="H299" s="65">
        <f>Calc!$FI$301</f>
        <v/>
      </c>
      <c r="I299" s="65">
        <f>Calc!$FJ$301</f>
        <v/>
      </c>
      <c r="J299" s="65">
        <f>Calc!$FK$301</f>
        <v/>
      </c>
      <c r="K299" s="65">
        <f>Calc!$FL$301</f>
        <v/>
      </c>
      <c r="L299" s="65">
        <f>Calc!$FM$301</f>
        <v/>
      </c>
      <c r="M299" s="66">
        <f>Calc!$FN$301</f>
        <v/>
      </c>
      <c r="N299" s="66">
        <f>Calc!$FO$301</f>
        <v/>
      </c>
      <c r="O299" s="65">
        <f>Calc!$FP$301</f>
        <v/>
      </c>
      <c r="P299" s="67">
        <f>Calc!$FQ$301</f>
        <v/>
      </c>
      <c r="Q299" s="68">
        <f>Calc!$FR$301</f>
        <v/>
      </c>
      <c r="R299" s="65">
        <f>Calc!$FS$301</f>
        <v/>
      </c>
      <c r="T299">
        <f>Calc!$EY$301</f>
        <v/>
      </c>
      <c r="U299">
        <f>Calc!$FT$301</f>
        <v/>
      </c>
      <c r="V299">
        <f>Calc!$FU$301</f>
        <v/>
      </c>
      <c r="W299">
        <f>Calc!$FC$301</f>
        <v/>
      </c>
      <c r="X299">
        <f>Calc!$EZ$301</f>
        <v/>
      </c>
      <c r="Y299">
        <f>Calc!$FA$301</f>
        <v/>
      </c>
      <c r="Z299">
        <f>Calc!$FV$301</f>
        <v/>
      </c>
      <c r="AA299">
        <f>IF($T299&lt;&gt;"row",0,IF($V299=1,IF($X299=1,IF($Y299=1,1,2),IF($Y299=1,3,4)),IF($X299=1,IF($Y299=1,5,6),IF($Y299=1,7,8))))</f>
        <v/>
      </c>
    </row>
    <row r="300" ht="11.25" customHeight="1">
      <c r="A300" s="64">
        <f>Calc!$FB$302</f>
        <v/>
      </c>
      <c r="B300" s="64">
        <f>Calc!$FC$302</f>
        <v/>
      </c>
      <c r="C300" s="65">
        <f>Calc!$FD$302</f>
        <v/>
      </c>
      <c r="D300" s="65">
        <f>Calc!$FE$302</f>
        <v/>
      </c>
      <c r="E300" s="65">
        <f>Calc!$FF$302</f>
        <v/>
      </c>
      <c r="F300" s="65">
        <f>Calc!$FG$302</f>
        <v/>
      </c>
      <c r="G300" s="65">
        <f>Calc!$FH$302</f>
        <v/>
      </c>
      <c r="H300" s="65">
        <f>Calc!$FI$302</f>
        <v/>
      </c>
      <c r="I300" s="65">
        <f>Calc!$FJ$302</f>
        <v/>
      </c>
      <c r="J300" s="65">
        <f>Calc!$FK$302</f>
        <v/>
      </c>
      <c r="K300" s="65">
        <f>Calc!$FL$302</f>
        <v/>
      </c>
      <c r="L300" s="65">
        <f>Calc!$FM$302</f>
        <v/>
      </c>
      <c r="M300" s="66">
        <f>Calc!$FN$302</f>
        <v/>
      </c>
      <c r="N300" s="66">
        <f>Calc!$FO$302</f>
        <v/>
      </c>
      <c r="O300" s="65">
        <f>Calc!$FP$302</f>
        <v/>
      </c>
      <c r="P300" s="67">
        <f>Calc!$FQ$302</f>
        <v/>
      </c>
      <c r="Q300" s="68">
        <f>Calc!$FR$302</f>
        <v/>
      </c>
      <c r="R300" s="65">
        <f>Calc!$FS$302</f>
        <v/>
      </c>
      <c r="T300">
        <f>Calc!$EY$302</f>
        <v/>
      </c>
      <c r="U300">
        <f>Calc!$FT$302</f>
        <v/>
      </c>
      <c r="V300">
        <f>Calc!$FU$302</f>
        <v/>
      </c>
      <c r="W300">
        <f>Calc!$FC$302</f>
        <v/>
      </c>
      <c r="X300">
        <f>Calc!$EZ$302</f>
        <v/>
      </c>
      <c r="Y300">
        <f>Calc!$FA$302</f>
        <v/>
      </c>
      <c r="Z300">
        <f>Calc!$FV$302</f>
        <v/>
      </c>
      <c r="AA300">
        <f>IF($T300&lt;&gt;"row",0,IF($V300=1,IF($X300=1,IF($Y300=1,1,2),IF($Y300=1,3,4)),IF($X300=1,IF($Y300=1,5,6),IF($Y300=1,7,8))))</f>
        <v/>
      </c>
    </row>
    <row r="301" ht="11.25" customHeight="1">
      <c r="A301" s="64">
        <f>Calc!$FB$303</f>
        <v/>
      </c>
      <c r="B301" s="64">
        <f>Calc!$FC$303</f>
        <v/>
      </c>
      <c r="C301" s="65">
        <f>Calc!$FD$303</f>
        <v/>
      </c>
      <c r="D301" s="65">
        <f>Calc!$FE$303</f>
        <v/>
      </c>
      <c r="E301" s="65">
        <f>Calc!$FF$303</f>
        <v/>
      </c>
      <c r="F301" s="65">
        <f>Calc!$FG$303</f>
        <v/>
      </c>
      <c r="G301" s="65">
        <f>Calc!$FH$303</f>
        <v/>
      </c>
      <c r="H301" s="65">
        <f>Calc!$FI$303</f>
        <v/>
      </c>
      <c r="I301" s="65">
        <f>Calc!$FJ$303</f>
        <v/>
      </c>
      <c r="J301" s="65">
        <f>Calc!$FK$303</f>
        <v/>
      </c>
      <c r="K301" s="65">
        <f>Calc!$FL$303</f>
        <v/>
      </c>
      <c r="L301" s="65">
        <f>Calc!$FM$303</f>
        <v/>
      </c>
      <c r="M301" s="66">
        <f>Calc!$FN$303</f>
        <v/>
      </c>
      <c r="N301" s="66">
        <f>Calc!$FO$303</f>
        <v/>
      </c>
      <c r="O301" s="65">
        <f>Calc!$FP$303</f>
        <v/>
      </c>
      <c r="P301" s="67">
        <f>Calc!$FQ$303</f>
        <v/>
      </c>
      <c r="Q301" s="68">
        <f>Calc!$FR$303</f>
        <v/>
      </c>
      <c r="R301" s="65">
        <f>Calc!$FS$303</f>
        <v/>
      </c>
      <c r="T301">
        <f>Calc!$EY$303</f>
        <v/>
      </c>
      <c r="U301">
        <f>Calc!$FT$303</f>
        <v/>
      </c>
      <c r="V301">
        <f>Calc!$FU$303</f>
        <v/>
      </c>
      <c r="W301">
        <f>Calc!$FC$303</f>
        <v/>
      </c>
      <c r="X301">
        <f>Calc!$EZ$303</f>
        <v/>
      </c>
      <c r="Y301">
        <f>Calc!$FA$303</f>
        <v/>
      </c>
      <c r="Z301">
        <f>Calc!$FV$303</f>
        <v/>
      </c>
      <c r="AA301">
        <f>IF($T301&lt;&gt;"row",0,IF($V301=1,IF($X301=1,IF($Y301=1,1,2),IF($Y301=1,3,4)),IF($X301=1,IF($Y301=1,5,6),IF($Y301=1,7,8))))</f>
        <v/>
      </c>
    </row>
    <row r="302" ht="11.25" customHeight="1">
      <c r="A302" s="64">
        <f>Calc!$FB$304</f>
        <v/>
      </c>
      <c r="B302" s="64">
        <f>Calc!$FC$304</f>
        <v/>
      </c>
      <c r="C302" s="65">
        <f>Calc!$FD$304</f>
        <v/>
      </c>
      <c r="D302" s="65">
        <f>Calc!$FE$304</f>
        <v/>
      </c>
      <c r="E302" s="65">
        <f>Calc!$FF$304</f>
        <v/>
      </c>
      <c r="F302" s="65">
        <f>Calc!$FG$304</f>
        <v/>
      </c>
      <c r="G302" s="65">
        <f>Calc!$FH$304</f>
        <v/>
      </c>
      <c r="H302" s="65">
        <f>Calc!$FI$304</f>
        <v/>
      </c>
      <c r="I302" s="65">
        <f>Calc!$FJ$304</f>
        <v/>
      </c>
      <c r="J302" s="65">
        <f>Calc!$FK$304</f>
        <v/>
      </c>
      <c r="K302" s="65">
        <f>Calc!$FL$304</f>
        <v/>
      </c>
      <c r="L302" s="65">
        <f>Calc!$FM$304</f>
        <v/>
      </c>
      <c r="M302" s="66">
        <f>Calc!$FN$304</f>
        <v/>
      </c>
      <c r="N302" s="66">
        <f>Calc!$FO$304</f>
        <v/>
      </c>
      <c r="O302" s="65">
        <f>Calc!$FP$304</f>
        <v/>
      </c>
      <c r="P302" s="67">
        <f>Calc!$FQ$304</f>
        <v/>
      </c>
      <c r="Q302" s="68">
        <f>Calc!$FR$304</f>
        <v/>
      </c>
      <c r="R302" s="65">
        <f>Calc!$FS$304</f>
        <v/>
      </c>
      <c r="T302">
        <f>Calc!$EY$304</f>
        <v/>
      </c>
      <c r="U302">
        <f>Calc!$FT$304</f>
        <v/>
      </c>
      <c r="V302">
        <f>Calc!$FU$304</f>
        <v/>
      </c>
      <c r="W302">
        <f>Calc!$FC$304</f>
        <v/>
      </c>
      <c r="X302">
        <f>Calc!$EZ$304</f>
        <v/>
      </c>
      <c r="Y302">
        <f>Calc!$FA$304</f>
        <v/>
      </c>
      <c r="Z302">
        <f>Calc!$FV$304</f>
        <v/>
      </c>
      <c r="AA302">
        <f>IF($T302&lt;&gt;"row",0,IF($V302=1,IF($X302=1,IF($Y302=1,1,2),IF($Y302=1,3,4)),IF($X302=1,IF($Y302=1,5,6),IF($Y302=1,7,8))))</f>
        <v/>
      </c>
    </row>
    <row r="303" ht="11.25" customHeight="1">
      <c r="A303" s="64">
        <f>Calc!$FB$305</f>
        <v/>
      </c>
      <c r="B303" s="64">
        <f>Calc!$FC$305</f>
        <v/>
      </c>
      <c r="C303" s="65">
        <f>Calc!$FD$305</f>
        <v/>
      </c>
      <c r="D303" s="65">
        <f>Calc!$FE$305</f>
        <v/>
      </c>
      <c r="E303" s="65">
        <f>Calc!$FF$305</f>
        <v/>
      </c>
      <c r="F303" s="65">
        <f>Calc!$FG$305</f>
        <v/>
      </c>
      <c r="G303" s="65">
        <f>Calc!$FH$305</f>
        <v/>
      </c>
      <c r="H303" s="65">
        <f>Calc!$FI$305</f>
        <v/>
      </c>
      <c r="I303" s="65">
        <f>Calc!$FJ$305</f>
        <v/>
      </c>
      <c r="J303" s="65">
        <f>Calc!$FK$305</f>
        <v/>
      </c>
      <c r="K303" s="65">
        <f>Calc!$FL$305</f>
        <v/>
      </c>
      <c r="L303" s="65">
        <f>Calc!$FM$305</f>
        <v/>
      </c>
      <c r="M303" s="66">
        <f>Calc!$FN$305</f>
        <v/>
      </c>
      <c r="N303" s="66">
        <f>Calc!$FO$305</f>
        <v/>
      </c>
      <c r="O303" s="65">
        <f>Calc!$FP$305</f>
        <v/>
      </c>
      <c r="P303" s="67">
        <f>Calc!$FQ$305</f>
        <v/>
      </c>
      <c r="Q303" s="68">
        <f>Calc!$FR$305</f>
        <v/>
      </c>
      <c r="R303" s="65">
        <f>Calc!$FS$305</f>
        <v/>
      </c>
      <c r="T303">
        <f>Calc!$EY$305</f>
        <v/>
      </c>
      <c r="U303">
        <f>Calc!$FT$305</f>
        <v/>
      </c>
      <c r="V303">
        <f>Calc!$FU$305</f>
        <v/>
      </c>
      <c r="W303">
        <f>Calc!$FC$305</f>
        <v/>
      </c>
      <c r="X303">
        <f>Calc!$EZ$305</f>
        <v/>
      </c>
      <c r="Y303">
        <f>Calc!$FA$305</f>
        <v/>
      </c>
      <c r="Z303">
        <f>Calc!$FV$305</f>
        <v/>
      </c>
      <c r="AA303">
        <f>IF($T303&lt;&gt;"row",0,IF($V303=1,IF($X303=1,IF($Y303=1,1,2),IF($Y303=1,3,4)),IF($X303=1,IF($Y303=1,5,6),IF($Y303=1,7,8))))</f>
        <v/>
      </c>
    </row>
    <row r="304" ht="11.25" customHeight="1">
      <c r="A304" s="64">
        <f>Calc!$FB$306</f>
        <v/>
      </c>
      <c r="B304" s="64">
        <f>Calc!$FC$306</f>
        <v/>
      </c>
      <c r="C304" s="65">
        <f>Calc!$FD$306</f>
        <v/>
      </c>
      <c r="D304" s="65">
        <f>Calc!$FE$306</f>
        <v/>
      </c>
      <c r="E304" s="65">
        <f>Calc!$FF$306</f>
        <v/>
      </c>
      <c r="F304" s="65">
        <f>Calc!$FG$306</f>
        <v/>
      </c>
      <c r="G304" s="65">
        <f>Calc!$FH$306</f>
        <v/>
      </c>
      <c r="H304" s="65">
        <f>Calc!$FI$306</f>
        <v/>
      </c>
      <c r="I304" s="65">
        <f>Calc!$FJ$306</f>
        <v/>
      </c>
      <c r="J304" s="65">
        <f>Calc!$FK$306</f>
        <v/>
      </c>
      <c r="K304" s="65">
        <f>Calc!$FL$306</f>
        <v/>
      </c>
      <c r="L304" s="65">
        <f>Calc!$FM$306</f>
        <v/>
      </c>
      <c r="M304" s="66">
        <f>Calc!$FN$306</f>
        <v/>
      </c>
      <c r="N304" s="66">
        <f>Calc!$FO$306</f>
        <v/>
      </c>
      <c r="O304" s="65">
        <f>Calc!$FP$306</f>
        <v/>
      </c>
      <c r="P304" s="67">
        <f>Calc!$FQ$306</f>
        <v/>
      </c>
      <c r="Q304" s="68">
        <f>Calc!$FR$306</f>
        <v/>
      </c>
      <c r="R304" s="65">
        <f>Calc!$FS$306</f>
        <v/>
      </c>
      <c r="T304">
        <f>Calc!$EY$306</f>
        <v/>
      </c>
      <c r="U304">
        <f>Calc!$FT$306</f>
        <v/>
      </c>
      <c r="V304">
        <f>Calc!$FU$306</f>
        <v/>
      </c>
      <c r="W304">
        <f>Calc!$FC$306</f>
        <v/>
      </c>
      <c r="X304">
        <f>Calc!$EZ$306</f>
        <v/>
      </c>
      <c r="Y304">
        <f>Calc!$FA$306</f>
        <v/>
      </c>
      <c r="Z304">
        <f>Calc!$FV$306</f>
        <v/>
      </c>
      <c r="AA304">
        <f>IF($T304&lt;&gt;"row",0,IF($V304=1,IF($X304=1,IF($Y304=1,1,2),IF($Y304=1,3,4)),IF($X304=1,IF($Y304=1,5,6),IF($Y304=1,7,8))))</f>
        <v/>
      </c>
    </row>
    <row r="305" ht="11.25" customHeight="1">
      <c r="A305" s="64">
        <f>Calc!$FB$307</f>
        <v/>
      </c>
      <c r="B305" s="64">
        <f>Calc!$FC$307</f>
        <v/>
      </c>
      <c r="C305" s="65">
        <f>Calc!$FD$307</f>
        <v/>
      </c>
      <c r="D305" s="65">
        <f>Calc!$FE$307</f>
        <v/>
      </c>
      <c r="E305" s="65">
        <f>Calc!$FF$307</f>
        <v/>
      </c>
      <c r="F305" s="65">
        <f>Calc!$FG$307</f>
        <v/>
      </c>
      <c r="G305" s="65">
        <f>Calc!$FH$307</f>
        <v/>
      </c>
      <c r="H305" s="65">
        <f>Calc!$FI$307</f>
        <v/>
      </c>
      <c r="I305" s="65">
        <f>Calc!$FJ$307</f>
        <v/>
      </c>
      <c r="J305" s="65">
        <f>Calc!$FK$307</f>
        <v/>
      </c>
      <c r="K305" s="65">
        <f>Calc!$FL$307</f>
        <v/>
      </c>
      <c r="L305" s="65">
        <f>Calc!$FM$307</f>
        <v/>
      </c>
      <c r="M305" s="66">
        <f>Calc!$FN$307</f>
        <v/>
      </c>
      <c r="N305" s="66">
        <f>Calc!$FO$307</f>
        <v/>
      </c>
      <c r="O305" s="65">
        <f>Calc!$FP$307</f>
        <v/>
      </c>
      <c r="P305" s="67">
        <f>Calc!$FQ$307</f>
        <v/>
      </c>
      <c r="Q305" s="68">
        <f>Calc!$FR$307</f>
        <v/>
      </c>
      <c r="R305" s="65">
        <f>Calc!$FS$307</f>
        <v/>
      </c>
      <c r="T305">
        <f>Calc!$EY$307</f>
        <v/>
      </c>
      <c r="U305">
        <f>Calc!$FT$307</f>
        <v/>
      </c>
      <c r="V305">
        <f>Calc!$FU$307</f>
        <v/>
      </c>
      <c r="W305">
        <f>Calc!$FC$307</f>
        <v/>
      </c>
      <c r="X305">
        <f>Calc!$EZ$307</f>
        <v/>
      </c>
      <c r="Y305">
        <f>Calc!$FA$307</f>
        <v/>
      </c>
      <c r="Z305">
        <f>Calc!$FV$307</f>
        <v/>
      </c>
      <c r="AA305">
        <f>IF($T305&lt;&gt;"row",0,IF($V305=1,IF($X305=1,IF($Y305=1,1,2),IF($Y305=1,3,4)),IF($X305=1,IF($Y305=1,5,6),IF($Y305=1,7,8))))</f>
        <v/>
      </c>
    </row>
    <row r="306" ht="11.25" customHeight="1">
      <c r="A306" s="64">
        <f>Calc!$FB$308</f>
        <v/>
      </c>
      <c r="B306" s="64">
        <f>Calc!$FC$308</f>
        <v/>
      </c>
      <c r="C306" s="65">
        <f>Calc!$FD$308</f>
        <v/>
      </c>
      <c r="D306" s="65">
        <f>Calc!$FE$308</f>
        <v/>
      </c>
      <c r="E306" s="65">
        <f>Calc!$FF$308</f>
        <v/>
      </c>
      <c r="F306" s="65">
        <f>Calc!$FG$308</f>
        <v/>
      </c>
      <c r="G306" s="65">
        <f>Calc!$FH$308</f>
        <v/>
      </c>
      <c r="H306" s="65">
        <f>Calc!$FI$308</f>
        <v/>
      </c>
      <c r="I306" s="65">
        <f>Calc!$FJ$308</f>
        <v/>
      </c>
      <c r="J306" s="65">
        <f>Calc!$FK$308</f>
        <v/>
      </c>
      <c r="K306" s="65">
        <f>Calc!$FL$308</f>
        <v/>
      </c>
      <c r="L306" s="65">
        <f>Calc!$FM$308</f>
        <v/>
      </c>
      <c r="M306" s="66">
        <f>Calc!$FN$308</f>
        <v/>
      </c>
      <c r="N306" s="66">
        <f>Calc!$FO$308</f>
        <v/>
      </c>
      <c r="O306" s="65">
        <f>Calc!$FP$308</f>
        <v/>
      </c>
      <c r="P306" s="67">
        <f>Calc!$FQ$308</f>
        <v/>
      </c>
      <c r="Q306" s="68">
        <f>Calc!$FR$308</f>
        <v/>
      </c>
      <c r="R306" s="65">
        <f>Calc!$FS$308</f>
        <v/>
      </c>
      <c r="T306">
        <f>Calc!$EY$308</f>
        <v/>
      </c>
      <c r="U306">
        <f>Calc!$FT$308</f>
        <v/>
      </c>
      <c r="V306">
        <f>Calc!$FU$308</f>
        <v/>
      </c>
      <c r="W306">
        <f>Calc!$FC$308</f>
        <v/>
      </c>
      <c r="X306">
        <f>Calc!$EZ$308</f>
        <v/>
      </c>
      <c r="Y306">
        <f>Calc!$FA$308</f>
        <v/>
      </c>
      <c r="Z306">
        <f>Calc!$FV$308</f>
        <v/>
      </c>
      <c r="AA306">
        <f>IF($T306&lt;&gt;"row",0,IF($V306=1,IF($X306=1,IF($Y306=1,1,2),IF($Y306=1,3,4)),IF($X306=1,IF($Y306=1,5,6),IF($Y306=1,7,8))))</f>
        <v/>
      </c>
    </row>
    <row r="307" ht="11.25" customHeight="1">
      <c r="A307" s="64">
        <f>Calc!$FB$309</f>
        <v/>
      </c>
      <c r="B307" s="64">
        <f>Calc!$FC$309</f>
        <v/>
      </c>
      <c r="C307" s="65">
        <f>Calc!$FD$309</f>
        <v/>
      </c>
      <c r="D307" s="65">
        <f>Calc!$FE$309</f>
        <v/>
      </c>
      <c r="E307" s="65">
        <f>Calc!$FF$309</f>
        <v/>
      </c>
      <c r="F307" s="65">
        <f>Calc!$FG$309</f>
        <v/>
      </c>
      <c r="G307" s="65">
        <f>Calc!$FH$309</f>
        <v/>
      </c>
      <c r="H307" s="65">
        <f>Calc!$FI$309</f>
        <v/>
      </c>
      <c r="I307" s="65">
        <f>Calc!$FJ$309</f>
        <v/>
      </c>
      <c r="J307" s="65">
        <f>Calc!$FK$309</f>
        <v/>
      </c>
      <c r="K307" s="65">
        <f>Calc!$FL$309</f>
        <v/>
      </c>
      <c r="L307" s="65">
        <f>Calc!$FM$309</f>
        <v/>
      </c>
      <c r="M307" s="66">
        <f>Calc!$FN$309</f>
        <v/>
      </c>
      <c r="N307" s="66">
        <f>Calc!$FO$309</f>
        <v/>
      </c>
      <c r="O307" s="65">
        <f>Calc!$FP$309</f>
        <v/>
      </c>
      <c r="P307" s="67">
        <f>Calc!$FQ$309</f>
        <v/>
      </c>
      <c r="Q307" s="68">
        <f>Calc!$FR$309</f>
        <v/>
      </c>
      <c r="R307" s="65">
        <f>Calc!$FS$309</f>
        <v/>
      </c>
      <c r="T307">
        <f>Calc!$EY$309</f>
        <v/>
      </c>
      <c r="U307">
        <f>Calc!$FT$309</f>
        <v/>
      </c>
      <c r="V307">
        <f>Calc!$FU$309</f>
        <v/>
      </c>
      <c r="W307">
        <f>Calc!$FC$309</f>
        <v/>
      </c>
      <c r="X307">
        <f>Calc!$EZ$309</f>
        <v/>
      </c>
      <c r="Y307">
        <f>Calc!$FA$309</f>
        <v/>
      </c>
      <c r="Z307">
        <f>Calc!$FV$309</f>
        <v/>
      </c>
      <c r="AA307">
        <f>IF($T307&lt;&gt;"row",0,IF($V307=1,IF($X307=1,IF($Y307=1,1,2),IF($Y307=1,3,4)),IF($X307=1,IF($Y307=1,5,6),IF($Y307=1,7,8))))</f>
        <v/>
      </c>
    </row>
    <row r="308" ht="11.25" customHeight="1">
      <c r="A308" s="64">
        <f>Calc!$FB$310</f>
        <v/>
      </c>
      <c r="B308" s="64">
        <f>Calc!$FC$310</f>
        <v/>
      </c>
      <c r="C308" s="65">
        <f>Calc!$FD$310</f>
        <v/>
      </c>
      <c r="D308" s="65">
        <f>Calc!$FE$310</f>
        <v/>
      </c>
      <c r="E308" s="65">
        <f>Calc!$FF$310</f>
        <v/>
      </c>
      <c r="F308" s="65">
        <f>Calc!$FG$310</f>
        <v/>
      </c>
      <c r="G308" s="65">
        <f>Calc!$FH$310</f>
        <v/>
      </c>
      <c r="H308" s="65">
        <f>Calc!$FI$310</f>
        <v/>
      </c>
      <c r="I308" s="65">
        <f>Calc!$FJ$310</f>
        <v/>
      </c>
      <c r="J308" s="65">
        <f>Calc!$FK$310</f>
        <v/>
      </c>
      <c r="K308" s="65">
        <f>Calc!$FL$310</f>
        <v/>
      </c>
      <c r="L308" s="65">
        <f>Calc!$FM$310</f>
        <v/>
      </c>
      <c r="M308" s="66">
        <f>Calc!$FN$310</f>
        <v/>
      </c>
      <c r="N308" s="66">
        <f>Calc!$FO$310</f>
        <v/>
      </c>
      <c r="O308" s="65">
        <f>Calc!$FP$310</f>
        <v/>
      </c>
      <c r="P308" s="67">
        <f>Calc!$FQ$310</f>
        <v/>
      </c>
      <c r="Q308" s="68">
        <f>Calc!$FR$310</f>
        <v/>
      </c>
      <c r="R308" s="65">
        <f>Calc!$FS$310</f>
        <v/>
      </c>
      <c r="T308">
        <f>Calc!$EY$310</f>
        <v/>
      </c>
      <c r="U308">
        <f>Calc!$FT$310</f>
        <v/>
      </c>
      <c r="V308">
        <f>Calc!$FU$310</f>
        <v/>
      </c>
      <c r="W308">
        <f>Calc!$FC$310</f>
        <v/>
      </c>
      <c r="X308">
        <f>Calc!$EZ$310</f>
        <v/>
      </c>
      <c r="Y308">
        <f>Calc!$FA$310</f>
        <v/>
      </c>
      <c r="Z308">
        <f>Calc!$FV$310</f>
        <v/>
      </c>
      <c r="AA308">
        <f>IF($T308&lt;&gt;"row",0,IF($V308=1,IF($X308=1,IF($Y308=1,1,2),IF($Y308=1,3,4)),IF($X308=1,IF($Y308=1,5,6),IF($Y308=1,7,8))))</f>
        <v/>
      </c>
    </row>
    <row r="309" ht="11.25" customHeight="1">
      <c r="A309" s="64">
        <f>Calc!$FB$311</f>
        <v/>
      </c>
      <c r="B309" s="64">
        <f>Calc!$FC$311</f>
        <v/>
      </c>
      <c r="C309" s="65">
        <f>Calc!$FD$311</f>
        <v/>
      </c>
      <c r="D309" s="65">
        <f>Calc!$FE$311</f>
        <v/>
      </c>
      <c r="E309" s="65">
        <f>Calc!$FF$311</f>
        <v/>
      </c>
      <c r="F309" s="65">
        <f>Calc!$FG$311</f>
        <v/>
      </c>
      <c r="G309" s="65">
        <f>Calc!$FH$311</f>
        <v/>
      </c>
      <c r="H309" s="65">
        <f>Calc!$FI$311</f>
        <v/>
      </c>
      <c r="I309" s="65">
        <f>Calc!$FJ$311</f>
        <v/>
      </c>
      <c r="J309" s="65">
        <f>Calc!$FK$311</f>
        <v/>
      </c>
      <c r="K309" s="65">
        <f>Calc!$FL$311</f>
        <v/>
      </c>
      <c r="L309" s="65">
        <f>Calc!$FM$311</f>
        <v/>
      </c>
      <c r="M309" s="66">
        <f>Calc!$FN$311</f>
        <v/>
      </c>
      <c r="N309" s="66">
        <f>Calc!$FO$311</f>
        <v/>
      </c>
      <c r="O309" s="65">
        <f>Calc!$FP$311</f>
        <v/>
      </c>
      <c r="P309" s="67">
        <f>Calc!$FQ$311</f>
        <v/>
      </c>
      <c r="Q309" s="68">
        <f>Calc!$FR$311</f>
        <v/>
      </c>
      <c r="R309" s="65">
        <f>Calc!$FS$311</f>
        <v/>
      </c>
      <c r="T309">
        <f>Calc!$EY$311</f>
        <v/>
      </c>
      <c r="U309">
        <f>Calc!$FT$311</f>
        <v/>
      </c>
      <c r="V309">
        <f>Calc!$FU$311</f>
        <v/>
      </c>
      <c r="W309">
        <f>Calc!$FC$311</f>
        <v/>
      </c>
      <c r="X309">
        <f>Calc!$EZ$311</f>
        <v/>
      </c>
      <c r="Y309">
        <f>Calc!$FA$311</f>
        <v/>
      </c>
      <c r="Z309">
        <f>Calc!$FV$311</f>
        <v/>
      </c>
      <c r="AA309">
        <f>IF($T309&lt;&gt;"row",0,IF($V309=1,IF($X309=1,IF($Y309=1,1,2),IF($Y309=1,3,4)),IF($X309=1,IF($Y309=1,5,6),IF($Y309=1,7,8))))</f>
        <v/>
      </c>
    </row>
    <row r="310" ht="11.25" customHeight="1">
      <c r="A310" s="64">
        <f>Calc!$FB$312</f>
        <v/>
      </c>
      <c r="B310" s="64">
        <f>Calc!$FC$312</f>
        <v/>
      </c>
      <c r="C310" s="65">
        <f>Calc!$FD$312</f>
        <v/>
      </c>
      <c r="D310" s="65">
        <f>Calc!$FE$312</f>
        <v/>
      </c>
      <c r="E310" s="65">
        <f>Calc!$FF$312</f>
        <v/>
      </c>
      <c r="F310" s="65">
        <f>Calc!$FG$312</f>
        <v/>
      </c>
      <c r="G310" s="65">
        <f>Calc!$FH$312</f>
        <v/>
      </c>
      <c r="H310" s="65">
        <f>Calc!$FI$312</f>
        <v/>
      </c>
      <c r="I310" s="65">
        <f>Calc!$FJ$312</f>
        <v/>
      </c>
      <c r="J310" s="65">
        <f>Calc!$FK$312</f>
        <v/>
      </c>
      <c r="K310" s="65">
        <f>Calc!$FL$312</f>
        <v/>
      </c>
      <c r="L310" s="65">
        <f>Calc!$FM$312</f>
        <v/>
      </c>
      <c r="M310" s="66">
        <f>Calc!$FN$312</f>
        <v/>
      </c>
      <c r="N310" s="66">
        <f>Calc!$FO$312</f>
        <v/>
      </c>
      <c r="O310" s="65">
        <f>Calc!$FP$312</f>
        <v/>
      </c>
      <c r="P310" s="67">
        <f>Calc!$FQ$312</f>
        <v/>
      </c>
      <c r="Q310" s="68">
        <f>Calc!$FR$312</f>
        <v/>
      </c>
      <c r="R310" s="65">
        <f>Calc!$FS$312</f>
        <v/>
      </c>
      <c r="T310">
        <f>Calc!$EY$312</f>
        <v/>
      </c>
      <c r="U310">
        <f>Calc!$FT$312</f>
        <v/>
      </c>
      <c r="V310">
        <f>Calc!$FU$312</f>
        <v/>
      </c>
      <c r="W310">
        <f>Calc!$FC$312</f>
        <v/>
      </c>
      <c r="X310">
        <f>Calc!$EZ$312</f>
        <v/>
      </c>
      <c r="Y310">
        <f>Calc!$FA$312</f>
        <v/>
      </c>
      <c r="Z310">
        <f>Calc!$FV$312</f>
        <v/>
      </c>
      <c r="AA310">
        <f>IF($T310&lt;&gt;"row",0,IF($V310=1,IF($X310=1,IF($Y310=1,1,2),IF($Y310=1,3,4)),IF($X310=1,IF($Y310=1,5,6),IF($Y310=1,7,8))))</f>
        <v/>
      </c>
    </row>
    <row r="311" ht="11.25" customHeight="1">
      <c r="A311" s="64">
        <f>Calc!$FB$313</f>
        <v/>
      </c>
      <c r="B311" s="64">
        <f>Calc!$FC$313</f>
        <v/>
      </c>
      <c r="C311" s="65">
        <f>Calc!$FD$313</f>
        <v/>
      </c>
      <c r="D311" s="65">
        <f>Calc!$FE$313</f>
        <v/>
      </c>
      <c r="E311" s="65">
        <f>Calc!$FF$313</f>
        <v/>
      </c>
      <c r="F311" s="65">
        <f>Calc!$FG$313</f>
        <v/>
      </c>
      <c r="G311" s="65">
        <f>Calc!$FH$313</f>
        <v/>
      </c>
      <c r="H311" s="65">
        <f>Calc!$FI$313</f>
        <v/>
      </c>
      <c r="I311" s="65">
        <f>Calc!$FJ$313</f>
        <v/>
      </c>
      <c r="J311" s="65">
        <f>Calc!$FK$313</f>
        <v/>
      </c>
      <c r="K311" s="65">
        <f>Calc!$FL$313</f>
        <v/>
      </c>
      <c r="L311" s="65">
        <f>Calc!$FM$313</f>
        <v/>
      </c>
      <c r="M311" s="66">
        <f>Calc!$FN$313</f>
        <v/>
      </c>
      <c r="N311" s="66">
        <f>Calc!$FO$313</f>
        <v/>
      </c>
      <c r="O311" s="65">
        <f>Calc!$FP$313</f>
        <v/>
      </c>
      <c r="P311" s="67">
        <f>Calc!$FQ$313</f>
        <v/>
      </c>
      <c r="Q311" s="68">
        <f>Calc!$FR$313</f>
        <v/>
      </c>
      <c r="R311" s="65">
        <f>Calc!$FS$313</f>
        <v/>
      </c>
      <c r="T311">
        <f>Calc!$EY$313</f>
        <v/>
      </c>
      <c r="U311">
        <f>Calc!$FT$313</f>
        <v/>
      </c>
      <c r="V311">
        <f>Calc!$FU$313</f>
        <v/>
      </c>
      <c r="W311">
        <f>Calc!$FC$313</f>
        <v/>
      </c>
      <c r="X311">
        <f>Calc!$EZ$313</f>
        <v/>
      </c>
      <c r="Y311">
        <f>Calc!$FA$313</f>
        <v/>
      </c>
      <c r="Z311">
        <f>Calc!$FV$313</f>
        <v/>
      </c>
      <c r="AA311">
        <f>IF($T311&lt;&gt;"row",0,IF($V311=1,IF($X311=1,IF($Y311=1,1,2),IF($Y311=1,3,4)),IF($X311=1,IF($Y311=1,5,6),IF($Y311=1,7,8))))</f>
        <v/>
      </c>
    </row>
    <row r="312" ht="11.25" customHeight="1">
      <c r="A312" s="64">
        <f>Calc!$FB$314</f>
        <v/>
      </c>
      <c r="B312" s="64">
        <f>Calc!$FC$314</f>
        <v/>
      </c>
      <c r="C312" s="65">
        <f>Calc!$FD$314</f>
        <v/>
      </c>
      <c r="D312" s="65">
        <f>Calc!$FE$314</f>
        <v/>
      </c>
      <c r="E312" s="65">
        <f>Calc!$FF$314</f>
        <v/>
      </c>
      <c r="F312" s="65">
        <f>Calc!$FG$314</f>
        <v/>
      </c>
      <c r="G312" s="65">
        <f>Calc!$FH$314</f>
        <v/>
      </c>
      <c r="H312" s="65">
        <f>Calc!$FI$314</f>
        <v/>
      </c>
      <c r="I312" s="65">
        <f>Calc!$FJ$314</f>
        <v/>
      </c>
      <c r="J312" s="65">
        <f>Calc!$FK$314</f>
        <v/>
      </c>
      <c r="K312" s="65">
        <f>Calc!$FL$314</f>
        <v/>
      </c>
      <c r="L312" s="65">
        <f>Calc!$FM$314</f>
        <v/>
      </c>
      <c r="M312" s="66">
        <f>Calc!$FN$314</f>
        <v/>
      </c>
      <c r="N312" s="66">
        <f>Calc!$FO$314</f>
        <v/>
      </c>
      <c r="O312" s="65">
        <f>Calc!$FP$314</f>
        <v/>
      </c>
      <c r="P312" s="67">
        <f>Calc!$FQ$314</f>
        <v/>
      </c>
      <c r="Q312" s="68">
        <f>Calc!$FR$314</f>
        <v/>
      </c>
      <c r="R312" s="65">
        <f>Calc!$FS$314</f>
        <v/>
      </c>
      <c r="T312">
        <f>Calc!$EY$314</f>
        <v/>
      </c>
      <c r="U312">
        <f>Calc!$FT$314</f>
        <v/>
      </c>
      <c r="V312">
        <f>Calc!$FU$314</f>
        <v/>
      </c>
      <c r="W312">
        <f>Calc!$FC$314</f>
        <v/>
      </c>
      <c r="X312">
        <f>Calc!$EZ$314</f>
        <v/>
      </c>
      <c r="Y312">
        <f>Calc!$FA$314</f>
        <v/>
      </c>
      <c r="Z312">
        <f>Calc!$FV$314</f>
        <v/>
      </c>
      <c r="AA312">
        <f>IF($T312&lt;&gt;"row",0,IF($V312=1,IF($X312=1,IF($Y312=1,1,2),IF($Y312=1,3,4)),IF($X312=1,IF($Y312=1,5,6),IF($Y312=1,7,8))))</f>
        <v/>
      </c>
    </row>
    <row r="313" ht="11.25" customHeight="1">
      <c r="A313" s="64">
        <f>Calc!$FB$315</f>
        <v/>
      </c>
      <c r="B313" s="64">
        <f>Calc!$FC$315</f>
        <v/>
      </c>
      <c r="C313" s="65">
        <f>Calc!$FD$315</f>
        <v/>
      </c>
      <c r="D313" s="65">
        <f>Calc!$FE$315</f>
        <v/>
      </c>
      <c r="E313" s="65">
        <f>Calc!$FF$315</f>
        <v/>
      </c>
      <c r="F313" s="65">
        <f>Calc!$FG$315</f>
        <v/>
      </c>
      <c r="G313" s="65">
        <f>Calc!$FH$315</f>
        <v/>
      </c>
      <c r="H313" s="65">
        <f>Calc!$FI$315</f>
        <v/>
      </c>
      <c r="I313" s="65">
        <f>Calc!$FJ$315</f>
        <v/>
      </c>
      <c r="J313" s="65">
        <f>Calc!$FK$315</f>
        <v/>
      </c>
      <c r="K313" s="65">
        <f>Calc!$FL$315</f>
        <v/>
      </c>
      <c r="L313" s="65">
        <f>Calc!$FM$315</f>
        <v/>
      </c>
      <c r="M313" s="66">
        <f>Calc!$FN$315</f>
        <v/>
      </c>
      <c r="N313" s="66">
        <f>Calc!$FO$315</f>
        <v/>
      </c>
      <c r="O313" s="65">
        <f>Calc!$FP$315</f>
        <v/>
      </c>
      <c r="P313" s="67">
        <f>Calc!$FQ$315</f>
        <v/>
      </c>
      <c r="Q313" s="68">
        <f>Calc!$FR$315</f>
        <v/>
      </c>
      <c r="R313" s="65">
        <f>Calc!$FS$315</f>
        <v/>
      </c>
      <c r="T313">
        <f>Calc!$EY$315</f>
        <v/>
      </c>
      <c r="U313">
        <f>Calc!$FT$315</f>
        <v/>
      </c>
      <c r="V313">
        <f>Calc!$FU$315</f>
        <v/>
      </c>
      <c r="W313">
        <f>Calc!$FC$315</f>
        <v/>
      </c>
      <c r="X313">
        <f>Calc!$EZ$315</f>
        <v/>
      </c>
      <c r="Y313">
        <f>Calc!$FA$315</f>
        <v/>
      </c>
      <c r="Z313">
        <f>Calc!$FV$315</f>
        <v/>
      </c>
      <c r="AA313">
        <f>IF($T313&lt;&gt;"row",0,IF($V313=1,IF($X313=1,IF($Y313=1,1,2),IF($Y313=1,3,4)),IF($X313=1,IF($Y313=1,5,6),IF($Y313=1,7,8))))</f>
        <v/>
      </c>
    </row>
    <row r="314" ht="11.25" customHeight="1">
      <c r="A314" s="64">
        <f>Calc!$FB$316</f>
        <v/>
      </c>
      <c r="B314" s="64">
        <f>Calc!$FC$316</f>
        <v/>
      </c>
      <c r="C314" s="65">
        <f>Calc!$FD$316</f>
        <v/>
      </c>
      <c r="D314" s="65">
        <f>Calc!$FE$316</f>
        <v/>
      </c>
      <c r="E314" s="65">
        <f>Calc!$FF$316</f>
        <v/>
      </c>
      <c r="F314" s="65">
        <f>Calc!$FG$316</f>
        <v/>
      </c>
      <c r="G314" s="65">
        <f>Calc!$FH$316</f>
        <v/>
      </c>
      <c r="H314" s="65">
        <f>Calc!$FI$316</f>
        <v/>
      </c>
      <c r="I314" s="65">
        <f>Calc!$FJ$316</f>
        <v/>
      </c>
      <c r="J314" s="65">
        <f>Calc!$FK$316</f>
        <v/>
      </c>
      <c r="K314" s="65">
        <f>Calc!$FL$316</f>
        <v/>
      </c>
      <c r="L314" s="65">
        <f>Calc!$FM$316</f>
        <v/>
      </c>
      <c r="M314" s="66">
        <f>Calc!$FN$316</f>
        <v/>
      </c>
      <c r="N314" s="66">
        <f>Calc!$FO$316</f>
        <v/>
      </c>
      <c r="O314" s="65">
        <f>Calc!$FP$316</f>
        <v/>
      </c>
      <c r="P314" s="67">
        <f>Calc!$FQ$316</f>
        <v/>
      </c>
      <c r="Q314" s="68">
        <f>Calc!$FR$316</f>
        <v/>
      </c>
      <c r="R314" s="65">
        <f>Calc!$FS$316</f>
        <v/>
      </c>
      <c r="T314">
        <f>Calc!$EY$316</f>
        <v/>
      </c>
      <c r="U314">
        <f>Calc!$FT$316</f>
        <v/>
      </c>
      <c r="V314">
        <f>Calc!$FU$316</f>
        <v/>
      </c>
      <c r="W314">
        <f>Calc!$FC$316</f>
        <v/>
      </c>
      <c r="X314">
        <f>Calc!$EZ$316</f>
        <v/>
      </c>
      <c r="Y314">
        <f>Calc!$FA$316</f>
        <v/>
      </c>
      <c r="Z314">
        <f>Calc!$FV$316</f>
        <v/>
      </c>
      <c r="AA314">
        <f>IF($T314&lt;&gt;"row",0,IF($V314=1,IF($X314=1,IF($Y314=1,1,2),IF($Y314=1,3,4)),IF($X314=1,IF($Y314=1,5,6),IF($Y314=1,7,8))))</f>
        <v/>
      </c>
    </row>
    <row r="315" ht="11.25" customHeight="1">
      <c r="A315" s="64">
        <f>Calc!$FB$317</f>
        <v/>
      </c>
      <c r="B315" s="64">
        <f>Calc!$FC$317</f>
        <v/>
      </c>
      <c r="C315" s="65">
        <f>Calc!$FD$317</f>
        <v/>
      </c>
      <c r="D315" s="65">
        <f>Calc!$FE$317</f>
        <v/>
      </c>
      <c r="E315" s="65">
        <f>Calc!$FF$317</f>
        <v/>
      </c>
      <c r="F315" s="65">
        <f>Calc!$FG$317</f>
        <v/>
      </c>
      <c r="G315" s="65">
        <f>Calc!$FH$317</f>
        <v/>
      </c>
      <c r="H315" s="65">
        <f>Calc!$FI$317</f>
        <v/>
      </c>
      <c r="I315" s="65">
        <f>Calc!$FJ$317</f>
        <v/>
      </c>
      <c r="J315" s="65">
        <f>Calc!$FK$317</f>
        <v/>
      </c>
      <c r="K315" s="65">
        <f>Calc!$FL$317</f>
        <v/>
      </c>
      <c r="L315" s="65">
        <f>Calc!$FM$317</f>
        <v/>
      </c>
      <c r="M315" s="66">
        <f>Calc!$FN$317</f>
        <v/>
      </c>
      <c r="N315" s="66">
        <f>Calc!$FO$317</f>
        <v/>
      </c>
      <c r="O315" s="65">
        <f>Calc!$FP$317</f>
        <v/>
      </c>
      <c r="P315" s="67">
        <f>Calc!$FQ$317</f>
        <v/>
      </c>
      <c r="Q315" s="68">
        <f>Calc!$FR$317</f>
        <v/>
      </c>
      <c r="R315" s="65">
        <f>Calc!$FS$317</f>
        <v/>
      </c>
      <c r="T315">
        <f>Calc!$EY$317</f>
        <v/>
      </c>
      <c r="U315">
        <f>Calc!$FT$317</f>
        <v/>
      </c>
      <c r="V315">
        <f>Calc!$FU$317</f>
        <v/>
      </c>
      <c r="W315">
        <f>Calc!$FC$317</f>
        <v/>
      </c>
      <c r="X315">
        <f>Calc!$EZ$317</f>
        <v/>
      </c>
      <c r="Y315">
        <f>Calc!$FA$317</f>
        <v/>
      </c>
      <c r="Z315">
        <f>Calc!$FV$317</f>
        <v/>
      </c>
      <c r="AA315">
        <f>IF($T315&lt;&gt;"row",0,IF($V315=1,IF($X315=1,IF($Y315=1,1,2),IF($Y315=1,3,4)),IF($X315=1,IF($Y315=1,5,6),IF($Y315=1,7,8))))</f>
        <v/>
      </c>
    </row>
    <row r="316" ht="11.25" customHeight="1">
      <c r="A316" s="64">
        <f>Calc!$FB$318</f>
        <v/>
      </c>
      <c r="B316" s="64">
        <f>Calc!$FC$318</f>
        <v/>
      </c>
      <c r="C316" s="65">
        <f>Calc!$FD$318</f>
        <v/>
      </c>
      <c r="D316" s="65">
        <f>Calc!$FE$318</f>
        <v/>
      </c>
      <c r="E316" s="65">
        <f>Calc!$FF$318</f>
        <v/>
      </c>
      <c r="F316" s="65">
        <f>Calc!$FG$318</f>
        <v/>
      </c>
      <c r="G316" s="65">
        <f>Calc!$FH$318</f>
        <v/>
      </c>
      <c r="H316" s="65">
        <f>Calc!$FI$318</f>
        <v/>
      </c>
      <c r="I316" s="65">
        <f>Calc!$FJ$318</f>
        <v/>
      </c>
      <c r="J316" s="65">
        <f>Calc!$FK$318</f>
        <v/>
      </c>
      <c r="K316" s="65">
        <f>Calc!$FL$318</f>
        <v/>
      </c>
      <c r="L316" s="65">
        <f>Calc!$FM$318</f>
        <v/>
      </c>
      <c r="M316" s="66">
        <f>Calc!$FN$318</f>
        <v/>
      </c>
      <c r="N316" s="66">
        <f>Calc!$FO$318</f>
        <v/>
      </c>
      <c r="O316" s="65">
        <f>Calc!$FP$318</f>
        <v/>
      </c>
      <c r="P316" s="67">
        <f>Calc!$FQ$318</f>
        <v/>
      </c>
      <c r="Q316" s="68">
        <f>Calc!$FR$318</f>
        <v/>
      </c>
      <c r="R316" s="65">
        <f>Calc!$FS$318</f>
        <v/>
      </c>
      <c r="T316">
        <f>Calc!$EY$318</f>
        <v/>
      </c>
      <c r="U316">
        <f>Calc!$FT$318</f>
        <v/>
      </c>
      <c r="V316">
        <f>Calc!$FU$318</f>
        <v/>
      </c>
      <c r="W316">
        <f>Calc!$FC$318</f>
        <v/>
      </c>
      <c r="X316">
        <f>Calc!$EZ$318</f>
        <v/>
      </c>
      <c r="Y316">
        <f>Calc!$FA$318</f>
        <v/>
      </c>
      <c r="Z316">
        <f>Calc!$FV$318</f>
        <v/>
      </c>
      <c r="AA316">
        <f>IF($T316&lt;&gt;"row",0,IF($V316=1,IF($X316=1,IF($Y316=1,1,2),IF($Y316=1,3,4)),IF($X316=1,IF($Y316=1,5,6),IF($Y316=1,7,8))))</f>
        <v/>
      </c>
    </row>
    <row r="317" ht="11.25" customHeight="1">
      <c r="A317" s="64">
        <f>Calc!$FB$319</f>
        <v/>
      </c>
      <c r="B317" s="64">
        <f>Calc!$FC$319</f>
        <v/>
      </c>
      <c r="C317" s="65">
        <f>Calc!$FD$319</f>
        <v/>
      </c>
      <c r="D317" s="65">
        <f>Calc!$FE$319</f>
        <v/>
      </c>
      <c r="E317" s="65">
        <f>Calc!$FF$319</f>
        <v/>
      </c>
      <c r="F317" s="65">
        <f>Calc!$FG$319</f>
        <v/>
      </c>
      <c r="G317" s="65">
        <f>Calc!$FH$319</f>
        <v/>
      </c>
      <c r="H317" s="65">
        <f>Calc!$FI$319</f>
        <v/>
      </c>
      <c r="I317" s="65">
        <f>Calc!$FJ$319</f>
        <v/>
      </c>
      <c r="J317" s="65">
        <f>Calc!$FK$319</f>
        <v/>
      </c>
      <c r="K317" s="65">
        <f>Calc!$FL$319</f>
        <v/>
      </c>
      <c r="L317" s="65">
        <f>Calc!$FM$319</f>
        <v/>
      </c>
      <c r="M317" s="66">
        <f>Calc!$FN$319</f>
        <v/>
      </c>
      <c r="N317" s="66">
        <f>Calc!$FO$319</f>
        <v/>
      </c>
      <c r="O317" s="65">
        <f>Calc!$FP$319</f>
        <v/>
      </c>
      <c r="P317" s="67">
        <f>Calc!$FQ$319</f>
        <v/>
      </c>
      <c r="Q317" s="68">
        <f>Calc!$FR$319</f>
        <v/>
      </c>
      <c r="R317" s="65">
        <f>Calc!$FS$319</f>
        <v/>
      </c>
      <c r="T317">
        <f>Calc!$EY$319</f>
        <v/>
      </c>
      <c r="U317">
        <f>Calc!$FT$319</f>
        <v/>
      </c>
      <c r="V317">
        <f>Calc!$FU$319</f>
        <v/>
      </c>
      <c r="W317">
        <f>Calc!$FC$319</f>
        <v/>
      </c>
      <c r="X317">
        <f>Calc!$EZ$319</f>
        <v/>
      </c>
      <c r="Y317">
        <f>Calc!$FA$319</f>
        <v/>
      </c>
      <c r="Z317">
        <f>Calc!$FV$319</f>
        <v/>
      </c>
      <c r="AA317">
        <f>IF($T317&lt;&gt;"row",0,IF($V317=1,IF($X317=1,IF($Y317=1,1,2),IF($Y317=1,3,4)),IF($X317=1,IF($Y317=1,5,6),IF($Y317=1,7,8))))</f>
        <v/>
      </c>
    </row>
    <row r="318" ht="11.25" customHeight="1">
      <c r="A318" s="64">
        <f>Calc!$FB$320</f>
        <v/>
      </c>
      <c r="B318" s="64">
        <f>Calc!$FC$320</f>
        <v/>
      </c>
      <c r="C318" s="65">
        <f>Calc!$FD$320</f>
        <v/>
      </c>
      <c r="D318" s="65">
        <f>Calc!$FE$320</f>
        <v/>
      </c>
      <c r="E318" s="65">
        <f>Calc!$FF$320</f>
        <v/>
      </c>
      <c r="F318" s="65">
        <f>Calc!$FG$320</f>
        <v/>
      </c>
      <c r="G318" s="65">
        <f>Calc!$FH$320</f>
        <v/>
      </c>
      <c r="H318" s="65">
        <f>Calc!$FI$320</f>
        <v/>
      </c>
      <c r="I318" s="65">
        <f>Calc!$FJ$320</f>
        <v/>
      </c>
      <c r="J318" s="65">
        <f>Calc!$FK$320</f>
        <v/>
      </c>
      <c r="K318" s="65">
        <f>Calc!$FL$320</f>
        <v/>
      </c>
      <c r="L318" s="65">
        <f>Calc!$FM$320</f>
        <v/>
      </c>
      <c r="M318" s="66">
        <f>Calc!$FN$320</f>
        <v/>
      </c>
      <c r="N318" s="66">
        <f>Calc!$FO$320</f>
        <v/>
      </c>
      <c r="O318" s="65">
        <f>Calc!$FP$320</f>
        <v/>
      </c>
      <c r="P318" s="67">
        <f>Calc!$FQ$320</f>
        <v/>
      </c>
      <c r="Q318" s="68">
        <f>Calc!$FR$320</f>
        <v/>
      </c>
      <c r="R318" s="65">
        <f>Calc!$FS$320</f>
        <v/>
      </c>
      <c r="T318">
        <f>Calc!$EY$320</f>
        <v/>
      </c>
      <c r="U318">
        <f>Calc!$FT$320</f>
        <v/>
      </c>
      <c r="V318">
        <f>Calc!$FU$320</f>
        <v/>
      </c>
      <c r="W318">
        <f>Calc!$FC$320</f>
        <v/>
      </c>
      <c r="X318">
        <f>Calc!$EZ$320</f>
        <v/>
      </c>
      <c r="Y318">
        <f>Calc!$FA$320</f>
        <v/>
      </c>
      <c r="Z318">
        <f>Calc!$FV$320</f>
        <v/>
      </c>
      <c r="AA318">
        <f>IF($T318&lt;&gt;"row",0,IF($V318=1,IF($X318=1,IF($Y318=1,1,2),IF($Y318=1,3,4)),IF($X318=1,IF($Y318=1,5,6),IF($Y318=1,7,8))))</f>
        <v/>
      </c>
    </row>
    <row r="319" ht="11.25" customHeight="1">
      <c r="A319" s="64">
        <f>Calc!$FB$321</f>
        <v/>
      </c>
      <c r="B319" s="64">
        <f>Calc!$FC$321</f>
        <v/>
      </c>
      <c r="C319" s="65">
        <f>Calc!$FD$321</f>
        <v/>
      </c>
      <c r="D319" s="65">
        <f>Calc!$FE$321</f>
        <v/>
      </c>
      <c r="E319" s="65">
        <f>Calc!$FF$321</f>
        <v/>
      </c>
      <c r="F319" s="65">
        <f>Calc!$FG$321</f>
        <v/>
      </c>
      <c r="G319" s="65">
        <f>Calc!$FH$321</f>
        <v/>
      </c>
      <c r="H319" s="65">
        <f>Calc!$FI$321</f>
        <v/>
      </c>
      <c r="I319" s="65">
        <f>Calc!$FJ$321</f>
        <v/>
      </c>
      <c r="J319" s="65">
        <f>Calc!$FK$321</f>
        <v/>
      </c>
      <c r="K319" s="65">
        <f>Calc!$FL$321</f>
        <v/>
      </c>
      <c r="L319" s="65">
        <f>Calc!$FM$321</f>
        <v/>
      </c>
      <c r="M319" s="66">
        <f>Calc!$FN$321</f>
        <v/>
      </c>
      <c r="N319" s="66">
        <f>Calc!$FO$321</f>
        <v/>
      </c>
      <c r="O319" s="65">
        <f>Calc!$FP$321</f>
        <v/>
      </c>
      <c r="P319" s="67">
        <f>Calc!$FQ$321</f>
        <v/>
      </c>
      <c r="Q319" s="68">
        <f>Calc!$FR$321</f>
        <v/>
      </c>
      <c r="R319" s="65">
        <f>Calc!$FS$321</f>
        <v/>
      </c>
      <c r="T319">
        <f>Calc!$EY$321</f>
        <v/>
      </c>
      <c r="U319">
        <f>Calc!$FT$321</f>
        <v/>
      </c>
      <c r="V319">
        <f>Calc!$FU$321</f>
        <v/>
      </c>
      <c r="W319">
        <f>Calc!$FC$321</f>
        <v/>
      </c>
      <c r="X319">
        <f>Calc!$EZ$321</f>
        <v/>
      </c>
      <c r="Y319">
        <f>Calc!$FA$321</f>
        <v/>
      </c>
      <c r="Z319">
        <f>Calc!$FV$321</f>
        <v/>
      </c>
      <c r="AA319">
        <f>IF($T319&lt;&gt;"row",0,IF($V319=1,IF($X319=1,IF($Y319=1,1,2),IF($Y319=1,3,4)),IF($X319=1,IF($Y319=1,5,6),IF($Y319=1,7,8))))</f>
        <v/>
      </c>
    </row>
    <row r="320" ht="11.25" customHeight="1">
      <c r="A320" s="64">
        <f>Calc!$FB$322</f>
        <v/>
      </c>
      <c r="B320" s="64">
        <f>Calc!$FC$322</f>
        <v/>
      </c>
      <c r="C320" s="65">
        <f>Calc!$FD$322</f>
        <v/>
      </c>
      <c r="D320" s="65">
        <f>Calc!$FE$322</f>
        <v/>
      </c>
      <c r="E320" s="65">
        <f>Calc!$FF$322</f>
        <v/>
      </c>
      <c r="F320" s="65">
        <f>Calc!$FG$322</f>
        <v/>
      </c>
      <c r="G320" s="65">
        <f>Calc!$FH$322</f>
        <v/>
      </c>
      <c r="H320" s="65">
        <f>Calc!$FI$322</f>
        <v/>
      </c>
      <c r="I320" s="65">
        <f>Calc!$FJ$322</f>
        <v/>
      </c>
      <c r="J320" s="65">
        <f>Calc!$FK$322</f>
        <v/>
      </c>
      <c r="K320" s="65">
        <f>Calc!$FL$322</f>
        <v/>
      </c>
      <c r="L320" s="65">
        <f>Calc!$FM$322</f>
        <v/>
      </c>
      <c r="M320" s="66">
        <f>Calc!$FN$322</f>
        <v/>
      </c>
      <c r="N320" s="66">
        <f>Calc!$FO$322</f>
        <v/>
      </c>
      <c r="O320" s="65">
        <f>Calc!$FP$322</f>
        <v/>
      </c>
      <c r="P320" s="67">
        <f>Calc!$FQ$322</f>
        <v/>
      </c>
      <c r="Q320" s="68">
        <f>Calc!$FR$322</f>
        <v/>
      </c>
      <c r="R320" s="65">
        <f>Calc!$FS$322</f>
        <v/>
      </c>
      <c r="T320">
        <f>Calc!$EY$322</f>
        <v/>
      </c>
      <c r="U320">
        <f>Calc!$FT$322</f>
        <v/>
      </c>
      <c r="V320">
        <f>Calc!$FU$322</f>
        <v/>
      </c>
      <c r="W320">
        <f>Calc!$FC$322</f>
        <v/>
      </c>
      <c r="X320">
        <f>Calc!$EZ$322</f>
        <v/>
      </c>
      <c r="Y320">
        <f>Calc!$FA$322</f>
        <v/>
      </c>
      <c r="Z320">
        <f>Calc!$FV$322</f>
        <v/>
      </c>
      <c r="AA320">
        <f>IF($T320&lt;&gt;"row",0,IF($V320=1,IF($X320=1,IF($Y320=1,1,2),IF($Y320=1,3,4)),IF($X320=1,IF($Y320=1,5,6),IF($Y320=1,7,8))))</f>
        <v/>
      </c>
    </row>
    <row r="321" ht="11.25" customHeight="1">
      <c r="A321" s="64">
        <f>Calc!$FB$323</f>
        <v/>
      </c>
      <c r="B321" s="64">
        <f>Calc!$FC$323</f>
        <v/>
      </c>
      <c r="C321" s="65">
        <f>Calc!$FD$323</f>
        <v/>
      </c>
      <c r="D321" s="65">
        <f>Calc!$FE$323</f>
        <v/>
      </c>
      <c r="E321" s="65">
        <f>Calc!$FF$323</f>
        <v/>
      </c>
      <c r="F321" s="65">
        <f>Calc!$FG$323</f>
        <v/>
      </c>
      <c r="G321" s="65">
        <f>Calc!$FH$323</f>
        <v/>
      </c>
      <c r="H321" s="65">
        <f>Calc!$FI$323</f>
        <v/>
      </c>
      <c r="I321" s="65">
        <f>Calc!$FJ$323</f>
        <v/>
      </c>
      <c r="J321" s="65">
        <f>Calc!$FK$323</f>
        <v/>
      </c>
      <c r="K321" s="65">
        <f>Calc!$FL$323</f>
        <v/>
      </c>
      <c r="L321" s="65">
        <f>Calc!$FM$323</f>
        <v/>
      </c>
      <c r="M321" s="66">
        <f>Calc!$FN$323</f>
        <v/>
      </c>
      <c r="N321" s="66">
        <f>Calc!$FO$323</f>
        <v/>
      </c>
      <c r="O321" s="65">
        <f>Calc!$FP$323</f>
        <v/>
      </c>
      <c r="P321" s="67">
        <f>Calc!$FQ$323</f>
        <v/>
      </c>
      <c r="Q321" s="68">
        <f>Calc!$FR$323</f>
        <v/>
      </c>
      <c r="R321" s="65">
        <f>Calc!$FS$323</f>
        <v/>
      </c>
      <c r="T321">
        <f>Calc!$EY$323</f>
        <v/>
      </c>
      <c r="U321">
        <f>Calc!$FT$323</f>
        <v/>
      </c>
      <c r="V321">
        <f>Calc!$FU$323</f>
        <v/>
      </c>
      <c r="W321">
        <f>Calc!$FC$323</f>
        <v/>
      </c>
      <c r="X321">
        <f>Calc!$EZ$323</f>
        <v/>
      </c>
      <c r="Y321">
        <f>Calc!$FA$323</f>
        <v/>
      </c>
      <c r="Z321">
        <f>Calc!$FV$323</f>
        <v/>
      </c>
      <c r="AA321">
        <f>IF($T321&lt;&gt;"row",0,IF($V321=1,IF($X321=1,IF($Y321=1,1,2),IF($Y321=1,3,4)),IF($X321=1,IF($Y321=1,5,6),IF($Y321=1,7,8))))</f>
        <v/>
      </c>
    </row>
    <row r="322" ht="11.25" customHeight="1">
      <c r="A322" s="64">
        <f>Calc!$FB$324</f>
        <v/>
      </c>
      <c r="B322" s="64">
        <f>Calc!$FC$324</f>
        <v/>
      </c>
      <c r="C322" s="65">
        <f>Calc!$FD$324</f>
        <v/>
      </c>
      <c r="D322" s="65">
        <f>Calc!$FE$324</f>
        <v/>
      </c>
      <c r="E322" s="65">
        <f>Calc!$FF$324</f>
        <v/>
      </c>
      <c r="F322" s="65">
        <f>Calc!$FG$324</f>
        <v/>
      </c>
      <c r="G322" s="65">
        <f>Calc!$FH$324</f>
        <v/>
      </c>
      <c r="H322" s="65">
        <f>Calc!$FI$324</f>
        <v/>
      </c>
      <c r="I322" s="65">
        <f>Calc!$FJ$324</f>
        <v/>
      </c>
      <c r="J322" s="65">
        <f>Calc!$FK$324</f>
        <v/>
      </c>
      <c r="K322" s="65">
        <f>Calc!$FL$324</f>
        <v/>
      </c>
      <c r="L322" s="65">
        <f>Calc!$FM$324</f>
        <v/>
      </c>
      <c r="M322" s="66">
        <f>Calc!$FN$324</f>
        <v/>
      </c>
      <c r="N322" s="66">
        <f>Calc!$FO$324</f>
        <v/>
      </c>
      <c r="O322" s="65">
        <f>Calc!$FP$324</f>
        <v/>
      </c>
      <c r="P322" s="67">
        <f>Calc!$FQ$324</f>
        <v/>
      </c>
      <c r="Q322" s="68">
        <f>Calc!$FR$324</f>
        <v/>
      </c>
      <c r="R322" s="65">
        <f>Calc!$FS$324</f>
        <v/>
      </c>
      <c r="T322">
        <f>Calc!$EY$324</f>
        <v/>
      </c>
      <c r="U322">
        <f>Calc!$FT$324</f>
        <v/>
      </c>
      <c r="V322">
        <f>Calc!$FU$324</f>
        <v/>
      </c>
      <c r="W322">
        <f>Calc!$FC$324</f>
        <v/>
      </c>
      <c r="X322">
        <f>Calc!$EZ$324</f>
        <v/>
      </c>
      <c r="Y322">
        <f>Calc!$FA$324</f>
        <v/>
      </c>
      <c r="Z322">
        <f>Calc!$FV$324</f>
        <v/>
      </c>
      <c r="AA322">
        <f>IF($T322&lt;&gt;"row",0,IF($V322=1,IF($X322=1,IF($Y322=1,1,2),IF($Y322=1,3,4)),IF($X322=1,IF($Y322=1,5,6),IF($Y322=1,7,8))))</f>
        <v/>
      </c>
    </row>
    <row r="323" ht="11.25" customHeight="1">
      <c r="A323" s="64">
        <f>Calc!$FB$325</f>
        <v/>
      </c>
      <c r="B323" s="64">
        <f>Calc!$FC$325</f>
        <v/>
      </c>
      <c r="C323" s="65">
        <f>Calc!$FD$325</f>
        <v/>
      </c>
      <c r="D323" s="65">
        <f>Calc!$FE$325</f>
        <v/>
      </c>
      <c r="E323" s="65">
        <f>Calc!$FF$325</f>
        <v/>
      </c>
      <c r="F323" s="65">
        <f>Calc!$FG$325</f>
        <v/>
      </c>
      <c r="G323" s="65">
        <f>Calc!$FH$325</f>
        <v/>
      </c>
      <c r="H323" s="65">
        <f>Calc!$FI$325</f>
        <v/>
      </c>
      <c r="I323" s="65">
        <f>Calc!$FJ$325</f>
        <v/>
      </c>
      <c r="J323" s="65">
        <f>Calc!$FK$325</f>
        <v/>
      </c>
      <c r="K323" s="65">
        <f>Calc!$FL$325</f>
        <v/>
      </c>
      <c r="L323" s="65">
        <f>Calc!$FM$325</f>
        <v/>
      </c>
      <c r="M323" s="66">
        <f>Calc!$FN$325</f>
        <v/>
      </c>
      <c r="N323" s="66">
        <f>Calc!$FO$325</f>
        <v/>
      </c>
      <c r="O323" s="65">
        <f>Calc!$FP$325</f>
        <v/>
      </c>
      <c r="P323" s="67">
        <f>Calc!$FQ$325</f>
        <v/>
      </c>
      <c r="Q323" s="68">
        <f>Calc!$FR$325</f>
        <v/>
      </c>
      <c r="R323" s="65">
        <f>Calc!$FS$325</f>
        <v/>
      </c>
      <c r="T323">
        <f>Calc!$EY$325</f>
        <v/>
      </c>
      <c r="U323">
        <f>Calc!$FT$325</f>
        <v/>
      </c>
      <c r="V323">
        <f>Calc!$FU$325</f>
        <v/>
      </c>
      <c r="W323">
        <f>Calc!$FC$325</f>
        <v/>
      </c>
      <c r="X323">
        <f>Calc!$EZ$325</f>
        <v/>
      </c>
      <c r="Y323">
        <f>Calc!$FA$325</f>
        <v/>
      </c>
      <c r="Z323">
        <f>Calc!$FV$325</f>
        <v/>
      </c>
      <c r="AA323">
        <f>IF($T323&lt;&gt;"row",0,IF($V323=1,IF($X323=1,IF($Y323=1,1,2),IF($Y323=1,3,4)),IF($X323=1,IF($Y323=1,5,6),IF($Y323=1,7,8))))</f>
        <v/>
      </c>
    </row>
    <row r="324" ht="11.25" customHeight="1">
      <c r="A324" s="64">
        <f>Calc!$FB$326</f>
        <v/>
      </c>
      <c r="B324" s="64">
        <f>Calc!$FC$326</f>
        <v/>
      </c>
      <c r="C324" s="65">
        <f>Calc!$FD$326</f>
        <v/>
      </c>
      <c r="D324" s="65">
        <f>Calc!$FE$326</f>
        <v/>
      </c>
      <c r="E324" s="65">
        <f>Calc!$FF$326</f>
        <v/>
      </c>
      <c r="F324" s="65">
        <f>Calc!$FG$326</f>
        <v/>
      </c>
      <c r="G324" s="65">
        <f>Calc!$FH$326</f>
        <v/>
      </c>
      <c r="H324" s="65">
        <f>Calc!$FI$326</f>
        <v/>
      </c>
      <c r="I324" s="65">
        <f>Calc!$FJ$326</f>
        <v/>
      </c>
      <c r="J324" s="65">
        <f>Calc!$FK$326</f>
        <v/>
      </c>
      <c r="K324" s="65">
        <f>Calc!$FL$326</f>
        <v/>
      </c>
      <c r="L324" s="65">
        <f>Calc!$FM$326</f>
        <v/>
      </c>
      <c r="M324" s="66">
        <f>Calc!$FN$326</f>
        <v/>
      </c>
      <c r="N324" s="66">
        <f>Calc!$FO$326</f>
        <v/>
      </c>
      <c r="O324" s="65">
        <f>Calc!$FP$326</f>
        <v/>
      </c>
      <c r="P324" s="67">
        <f>Calc!$FQ$326</f>
        <v/>
      </c>
      <c r="Q324" s="68">
        <f>Calc!$FR$326</f>
        <v/>
      </c>
      <c r="R324" s="65">
        <f>Calc!$FS$326</f>
        <v/>
      </c>
      <c r="T324">
        <f>Calc!$EY$326</f>
        <v/>
      </c>
      <c r="U324">
        <f>Calc!$FT$326</f>
        <v/>
      </c>
      <c r="V324">
        <f>Calc!$FU$326</f>
        <v/>
      </c>
      <c r="W324">
        <f>Calc!$FC$326</f>
        <v/>
      </c>
      <c r="X324">
        <f>Calc!$EZ$326</f>
        <v/>
      </c>
      <c r="Y324">
        <f>Calc!$FA$326</f>
        <v/>
      </c>
      <c r="Z324">
        <f>Calc!$FV$326</f>
        <v/>
      </c>
      <c r="AA324">
        <f>IF($T324&lt;&gt;"row",0,IF($V324=1,IF($X324=1,IF($Y324=1,1,2),IF($Y324=1,3,4)),IF($X324=1,IF($Y324=1,5,6),IF($Y324=1,7,8))))</f>
        <v/>
      </c>
    </row>
    <row r="325" ht="11.25" customHeight="1">
      <c r="A325" s="64">
        <f>Calc!$FB$327</f>
        <v/>
      </c>
      <c r="B325" s="64">
        <f>Calc!$FC$327</f>
        <v/>
      </c>
      <c r="C325" s="65">
        <f>Calc!$FD$327</f>
        <v/>
      </c>
      <c r="D325" s="65">
        <f>Calc!$FE$327</f>
        <v/>
      </c>
      <c r="E325" s="65">
        <f>Calc!$FF$327</f>
        <v/>
      </c>
      <c r="F325" s="65">
        <f>Calc!$FG$327</f>
        <v/>
      </c>
      <c r="G325" s="65">
        <f>Calc!$FH$327</f>
        <v/>
      </c>
      <c r="H325" s="65">
        <f>Calc!$FI$327</f>
        <v/>
      </c>
      <c r="I325" s="65">
        <f>Calc!$FJ$327</f>
        <v/>
      </c>
      <c r="J325" s="65">
        <f>Calc!$FK$327</f>
        <v/>
      </c>
      <c r="K325" s="65">
        <f>Calc!$FL$327</f>
        <v/>
      </c>
      <c r="L325" s="65">
        <f>Calc!$FM$327</f>
        <v/>
      </c>
      <c r="M325" s="66">
        <f>Calc!$FN$327</f>
        <v/>
      </c>
      <c r="N325" s="66">
        <f>Calc!$FO$327</f>
        <v/>
      </c>
      <c r="O325" s="65">
        <f>Calc!$FP$327</f>
        <v/>
      </c>
      <c r="P325" s="67">
        <f>Calc!$FQ$327</f>
        <v/>
      </c>
      <c r="Q325" s="68">
        <f>Calc!$FR$327</f>
        <v/>
      </c>
      <c r="R325" s="65">
        <f>Calc!$FS$327</f>
        <v/>
      </c>
      <c r="T325">
        <f>Calc!$EY$327</f>
        <v/>
      </c>
      <c r="U325">
        <f>Calc!$FT$327</f>
        <v/>
      </c>
      <c r="V325">
        <f>Calc!$FU$327</f>
        <v/>
      </c>
      <c r="W325">
        <f>Calc!$FC$327</f>
        <v/>
      </c>
      <c r="X325">
        <f>Calc!$EZ$327</f>
        <v/>
      </c>
      <c r="Y325">
        <f>Calc!$FA$327</f>
        <v/>
      </c>
      <c r="Z325">
        <f>Calc!$FV$327</f>
        <v/>
      </c>
      <c r="AA325">
        <f>IF($T325&lt;&gt;"row",0,IF($V325=1,IF($X325=1,IF($Y325=1,1,2),IF($Y325=1,3,4)),IF($X325=1,IF($Y325=1,5,6),IF($Y325=1,7,8))))</f>
        <v/>
      </c>
    </row>
    <row r="326" ht="11.25" customHeight="1">
      <c r="A326" s="64">
        <f>Calc!$FB$328</f>
        <v/>
      </c>
      <c r="B326" s="64">
        <f>Calc!$FC$328</f>
        <v/>
      </c>
      <c r="C326" s="65">
        <f>Calc!$FD$328</f>
        <v/>
      </c>
      <c r="D326" s="65">
        <f>Calc!$FE$328</f>
        <v/>
      </c>
      <c r="E326" s="65">
        <f>Calc!$FF$328</f>
        <v/>
      </c>
      <c r="F326" s="65">
        <f>Calc!$FG$328</f>
        <v/>
      </c>
      <c r="G326" s="65">
        <f>Calc!$FH$328</f>
        <v/>
      </c>
      <c r="H326" s="65">
        <f>Calc!$FI$328</f>
        <v/>
      </c>
      <c r="I326" s="65">
        <f>Calc!$FJ$328</f>
        <v/>
      </c>
      <c r="J326" s="65">
        <f>Calc!$FK$328</f>
        <v/>
      </c>
      <c r="K326" s="65">
        <f>Calc!$FL$328</f>
        <v/>
      </c>
      <c r="L326" s="65">
        <f>Calc!$FM$328</f>
        <v/>
      </c>
      <c r="M326" s="66">
        <f>Calc!$FN$328</f>
        <v/>
      </c>
      <c r="N326" s="66">
        <f>Calc!$FO$328</f>
        <v/>
      </c>
      <c r="O326" s="65">
        <f>Calc!$FP$328</f>
        <v/>
      </c>
      <c r="P326" s="67">
        <f>Calc!$FQ$328</f>
        <v/>
      </c>
      <c r="Q326" s="68">
        <f>Calc!$FR$328</f>
        <v/>
      </c>
      <c r="R326" s="65">
        <f>Calc!$FS$328</f>
        <v/>
      </c>
      <c r="T326">
        <f>Calc!$EY$328</f>
        <v/>
      </c>
      <c r="U326">
        <f>Calc!$FT$328</f>
        <v/>
      </c>
      <c r="V326">
        <f>Calc!$FU$328</f>
        <v/>
      </c>
      <c r="W326">
        <f>Calc!$FC$328</f>
        <v/>
      </c>
      <c r="X326">
        <f>Calc!$EZ$328</f>
        <v/>
      </c>
      <c r="Y326">
        <f>Calc!$FA$328</f>
        <v/>
      </c>
      <c r="Z326">
        <f>Calc!$FV$328</f>
        <v/>
      </c>
      <c r="AA326">
        <f>IF($T326&lt;&gt;"row",0,IF($V326=1,IF($X326=1,IF($Y326=1,1,2),IF($Y326=1,3,4)),IF($X326=1,IF($Y326=1,5,6),IF($Y326=1,7,8))))</f>
        <v/>
      </c>
    </row>
    <row r="327" ht="11.25" customHeight="1">
      <c r="A327" s="64">
        <f>Calc!$FB$329</f>
        <v/>
      </c>
      <c r="B327" s="64">
        <f>Calc!$FC$329</f>
        <v/>
      </c>
      <c r="C327" s="65">
        <f>Calc!$FD$329</f>
        <v/>
      </c>
      <c r="D327" s="65">
        <f>Calc!$FE$329</f>
        <v/>
      </c>
      <c r="E327" s="65">
        <f>Calc!$FF$329</f>
        <v/>
      </c>
      <c r="F327" s="65">
        <f>Calc!$FG$329</f>
        <v/>
      </c>
      <c r="G327" s="65">
        <f>Calc!$FH$329</f>
        <v/>
      </c>
      <c r="H327" s="65">
        <f>Calc!$FI$329</f>
        <v/>
      </c>
      <c r="I327" s="65">
        <f>Calc!$FJ$329</f>
        <v/>
      </c>
      <c r="J327" s="65">
        <f>Calc!$FK$329</f>
        <v/>
      </c>
      <c r="K327" s="65">
        <f>Calc!$FL$329</f>
        <v/>
      </c>
      <c r="L327" s="65">
        <f>Calc!$FM$329</f>
        <v/>
      </c>
      <c r="M327" s="66">
        <f>Calc!$FN$329</f>
        <v/>
      </c>
      <c r="N327" s="66">
        <f>Calc!$FO$329</f>
        <v/>
      </c>
      <c r="O327" s="65">
        <f>Calc!$FP$329</f>
        <v/>
      </c>
      <c r="P327" s="67">
        <f>Calc!$FQ$329</f>
        <v/>
      </c>
      <c r="Q327" s="68">
        <f>Calc!$FR$329</f>
        <v/>
      </c>
      <c r="R327" s="65">
        <f>Calc!$FS$329</f>
        <v/>
      </c>
      <c r="T327">
        <f>Calc!$EY$329</f>
        <v/>
      </c>
      <c r="U327">
        <f>Calc!$FT$329</f>
        <v/>
      </c>
      <c r="V327">
        <f>Calc!$FU$329</f>
        <v/>
      </c>
      <c r="W327">
        <f>Calc!$FC$329</f>
        <v/>
      </c>
      <c r="X327">
        <f>Calc!$EZ$329</f>
        <v/>
      </c>
      <c r="Y327">
        <f>Calc!$FA$329</f>
        <v/>
      </c>
      <c r="Z327">
        <f>Calc!$FV$329</f>
        <v/>
      </c>
      <c r="AA327">
        <f>IF($T327&lt;&gt;"row",0,IF($V327=1,IF($X327=1,IF($Y327=1,1,2),IF($Y327=1,3,4)),IF($X327=1,IF($Y327=1,5,6),IF($Y327=1,7,8))))</f>
        <v/>
      </c>
    </row>
    <row r="328" ht="11.25" customHeight="1">
      <c r="A328" s="64">
        <f>Calc!$FB$330</f>
        <v/>
      </c>
      <c r="B328" s="64">
        <f>Calc!$FC$330</f>
        <v/>
      </c>
      <c r="C328" s="65">
        <f>Calc!$FD$330</f>
        <v/>
      </c>
      <c r="D328" s="65">
        <f>Calc!$FE$330</f>
        <v/>
      </c>
      <c r="E328" s="65">
        <f>Calc!$FF$330</f>
        <v/>
      </c>
      <c r="F328" s="65">
        <f>Calc!$FG$330</f>
        <v/>
      </c>
      <c r="G328" s="65">
        <f>Calc!$FH$330</f>
        <v/>
      </c>
      <c r="H328" s="65">
        <f>Calc!$FI$330</f>
        <v/>
      </c>
      <c r="I328" s="65">
        <f>Calc!$FJ$330</f>
        <v/>
      </c>
      <c r="J328" s="65">
        <f>Calc!$FK$330</f>
        <v/>
      </c>
      <c r="K328" s="65">
        <f>Calc!$FL$330</f>
        <v/>
      </c>
      <c r="L328" s="65">
        <f>Calc!$FM$330</f>
        <v/>
      </c>
      <c r="M328" s="66">
        <f>Calc!$FN$330</f>
        <v/>
      </c>
      <c r="N328" s="66">
        <f>Calc!$FO$330</f>
        <v/>
      </c>
      <c r="O328" s="65">
        <f>Calc!$FP$330</f>
        <v/>
      </c>
      <c r="P328" s="67">
        <f>Calc!$FQ$330</f>
        <v/>
      </c>
      <c r="Q328" s="68">
        <f>Calc!$FR$330</f>
        <v/>
      </c>
      <c r="R328" s="65">
        <f>Calc!$FS$330</f>
        <v/>
      </c>
      <c r="T328">
        <f>Calc!$EY$330</f>
        <v/>
      </c>
      <c r="U328">
        <f>Calc!$FT$330</f>
        <v/>
      </c>
      <c r="V328">
        <f>Calc!$FU$330</f>
        <v/>
      </c>
      <c r="W328">
        <f>Calc!$FC$330</f>
        <v/>
      </c>
      <c r="X328">
        <f>Calc!$EZ$330</f>
        <v/>
      </c>
      <c r="Y328">
        <f>Calc!$FA$330</f>
        <v/>
      </c>
      <c r="Z328">
        <f>Calc!$FV$330</f>
        <v/>
      </c>
      <c r="AA328">
        <f>IF($T328&lt;&gt;"row",0,IF($V328=1,IF($X328=1,IF($Y328=1,1,2),IF($Y328=1,3,4)),IF($X328=1,IF($Y328=1,5,6),IF($Y328=1,7,8))))</f>
        <v/>
      </c>
    </row>
    <row r="329" ht="11.25" customHeight="1">
      <c r="A329" s="64">
        <f>Calc!$FB$331</f>
        <v/>
      </c>
      <c r="B329" s="64">
        <f>Calc!$FC$331</f>
        <v/>
      </c>
      <c r="C329" s="65">
        <f>Calc!$FD$331</f>
        <v/>
      </c>
      <c r="D329" s="65">
        <f>Calc!$FE$331</f>
        <v/>
      </c>
      <c r="E329" s="65">
        <f>Calc!$FF$331</f>
        <v/>
      </c>
      <c r="F329" s="65">
        <f>Calc!$FG$331</f>
        <v/>
      </c>
      <c r="G329" s="65">
        <f>Calc!$FH$331</f>
        <v/>
      </c>
      <c r="H329" s="65">
        <f>Calc!$FI$331</f>
        <v/>
      </c>
      <c r="I329" s="65">
        <f>Calc!$FJ$331</f>
        <v/>
      </c>
      <c r="J329" s="65">
        <f>Calc!$FK$331</f>
        <v/>
      </c>
      <c r="K329" s="65">
        <f>Calc!$FL$331</f>
        <v/>
      </c>
      <c r="L329" s="65">
        <f>Calc!$FM$331</f>
        <v/>
      </c>
      <c r="M329" s="66">
        <f>Calc!$FN$331</f>
        <v/>
      </c>
      <c r="N329" s="66">
        <f>Calc!$FO$331</f>
        <v/>
      </c>
      <c r="O329" s="65">
        <f>Calc!$FP$331</f>
        <v/>
      </c>
      <c r="P329" s="67">
        <f>Calc!$FQ$331</f>
        <v/>
      </c>
      <c r="Q329" s="68">
        <f>Calc!$FR$331</f>
        <v/>
      </c>
      <c r="R329" s="65">
        <f>Calc!$FS$331</f>
        <v/>
      </c>
      <c r="T329">
        <f>Calc!$EY$331</f>
        <v/>
      </c>
      <c r="U329">
        <f>Calc!$FT$331</f>
        <v/>
      </c>
      <c r="V329">
        <f>Calc!$FU$331</f>
        <v/>
      </c>
      <c r="W329">
        <f>Calc!$FC$331</f>
        <v/>
      </c>
      <c r="X329">
        <f>Calc!$EZ$331</f>
        <v/>
      </c>
      <c r="Y329">
        <f>Calc!$FA$331</f>
        <v/>
      </c>
      <c r="Z329">
        <f>Calc!$FV$331</f>
        <v/>
      </c>
      <c r="AA329">
        <f>IF($T329&lt;&gt;"row",0,IF($V329=1,IF($X329=1,IF($Y329=1,1,2),IF($Y329=1,3,4)),IF($X329=1,IF($Y329=1,5,6),IF($Y329=1,7,8))))</f>
        <v/>
      </c>
    </row>
    <row r="330" ht="11.25" customHeight="1">
      <c r="A330" s="64">
        <f>Calc!$FB$332</f>
        <v/>
      </c>
      <c r="B330" s="64">
        <f>Calc!$FC$332</f>
        <v/>
      </c>
      <c r="C330" s="65">
        <f>Calc!$FD$332</f>
        <v/>
      </c>
      <c r="D330" s="65">
        <f>Calc!$FE$332</f>
        <v/>
      </c>
      <c r="E330" s="65">
        <f>Calc!$FF$332</f>
        <v/>
      </c>
      <c r="F330" s="65">
        <f>Calc!$FG$332</f>
        <v/>
      </c>
      <c r="G330" s="65">
        <f>Calc!$FH$332</f>
        <v/>
      </c>
      <c r="H330" s="65">
        <f>Calc!$FI$332</f>
        <v/>
      </c>
      <c r="I330" s="65">
        <f>Calc!$FJ$332</f>
        <v/>
      </c>
      <c r="J330" s="65">
        <f>Calc!$FK$332</f>
        <v/>
      </c>
      <c r="K330" s="65">
        <f>Calc!$FL$332</f>
        <v/>
      </c>
      <c r="L330" s="65">
        <f>Calc!$FM$332</f>
        <v/>
      </c>
      <c r="M330" s="66">
        <f>Calc!$FN$332</f>
        <v/>
      </c>
      <c r="N330" s="66">
        <f>Calc!$FO$332</f>
        <v/>
      </c>
      <c r="O330" s="65">
        <f>Calc!$FP$332</f>
        <v/>
      </c>
      <c r="P330" s="67">
        <f>Calc!$FQ$332</f>
        <v/>
      </c>
      <c r="Q330" s="68">
        <f>Calc!$FR$332</f>
        <v/>
      </c>
      <c r="R330" s="65">
        <f>Calc!$FS$332</f>
        <v/>
      </c>
      <c r="T330">
        <f>Calc!$EY$332</f>
        <v/>
      </c>
      <c r="U330">
        <f>Calc!$FT$332</f>
        <v/>
      </c>
      <c r="V330">
        <f>Calc!$FU$332</f>
        <v/>
      </c>
      <c r="W330">
        <f>Calc!$FC$332</f>
        <v/>
      </c>
      <c r="X330">
        <f>Calc!$EZ$332</f>
        <v/>
      </c>
      <c r="Y330">
        <f>Calc!$FA$332</f>
        <v/>
      </c>
      <c r="Z330">
        <f>Calc!$FV$332</f>
        <v/>
      </c>
      <c r="AA330">
        <f>IF($T330&lt;&gt;"row",0,IF($V330=1,IF($X330=1,IF($Y330=1,1,2),IF($Y330=1,3,4)),IF($X330=1,IF($Y330=1,5,6),IF($Y330=1,7,8))))</f>
        <v/>
      </c>
    </row>
    <row r="331" ht="11.25" customHeight="1">
      <c r="A331" s="64">
        <f>Calc!$FB$333</f>
        <v/>
      </c>
      <c r="B331" s="64">
        <f>Calc!$FC$333</f>
        <v/>
      </c>
      <c r="C331" s="65">
        <f>Calc!$FD$333</f>
        <v/>
      </c>
      <c r="D331" s="65">
        <f>Calc!$FE$333</f>
        <v/>
      </c>
      <c r="E331" s="65">
        <f>Calc!$FF$333</f>
        <v/>
      </c>
      <c r="F331" s="65">
        <f>Calc!$FG$333</f>
        <v/>
      </c>
      <c r="G331" s="65">
        <f>Calc!$FH$333</f>
        <v/>
      </c>
      <c r="H331" s="65">
        <f>Calc!$FI$333</f>
        <v/>
      </c>
      <c r="I331" s="65">
        <f>Calc!$FJ$333</f>
        <v/>
      </c>
      <c r="J331" s="65">
        <f>Calc!$FK$333</f>
        <v/>
      </c>
      <c r="K331" s="65">
        <f>Calc!$FL$333</f>
        <v/>
      </c>
      <c r="L331" s="65">
        <f>Calc!$FM$333</f>
        <v/>
      </c>
      <c r="M331" s="66">
        <f>Calc!$FN$333</f>
        <v/>
      </c>
      <c r="N331" s="66">
        <f>Calc!$FO$333</f>
        <v/>
      </c>
      <c r="O331" s="65">
        <f>Calc!$FP$333</f>
        <v/>
      </c>
      <c r="P331" s="67">
        <f>Calc!$FQ$333</f>
        <v/>
      </c>
      <c r="Q331" s="68">
        <f>Calc!$FR$333</f>
        <v/>
      </c>
      <c r="R331" s="65">
        <f>Calc!$FS$333</f>
        <v/>
      </c>
      <c r="T331">
        <f>Calc!$EY$333</f>
        <v/>
      </c>
      <c r="U331">
        <f>Calc!$FT$333</f>
        <v/>
      </c>
      <c r="V331">
        <f>Calc!$FU$333</f>
        <v/>
      </c>
      <c r="W331">
        <f>Calc!$FC$333</f>
        <v/>
      </c>
      <c r="X331">
        <f>Calc!$EZ$333</f>
        <v/>
      </c>
      <c r="Y331">
        <f>Calc!$FA$333</f>
        <v/>
      </c>
      <c r="Z331">
        <f>Calc!$FV$333</f>
        <v/>
      </c>
      <c r="AA331">
        <f>IF($T331&lt;&gt;"row",0,IF($V331=1,IF($X331=1,IF($Y331=1,1,2),IF($Y331=1,3,4)),IF($X331=1,IF($Y331=1,5,6),IF($Y331=1,7,8))))</f>
        <v/>
      </c>
    </row>
    <row r="332" ht="11.25" customHeight="1">
      <c r="A332" s="64">
        <f>Calc!$FB$334</f>
        <v/>
      </c>
      <c r="B332" s="64">
        <f>Calc!$FC$334</f>
        <v/>
      </c>
      <c r="C332" s="65">
        <f>Calc!$FD$334</f>
        <v/>
      </c>
      <c r="D332" s="65">
        <f>Calc!$FE$334</f>
        <v/>
      </c>
      <c r="E332" s="65">
        <f>Calc!$FF$334</f>
        <v/>
      </c>
      <c r="F332" s="65">
        <f>Calc!$FG$334</f>
        <v/>
      </c>
      <c r="G332" s="65">
        <f>Calc!$FH$334</f>
        <v/>
      </c>
      <c r="H332" s="65">
        <f>Calc!$FI$334</f>
        <v/>
      </c>
      <c r="I332" s="65">
        <f>Calc!$FJ$334</f>
        <v/>
      </c>
      <c r="J332" s="65">
        <f>Calc!$FK$334</f>
        <v/>
      </c>
      <c r="K332" s="65">
        <f>Calc!$FL$334</f>
        <v/>
      </c>
      <c r="L332" s="65">
        <f>Calc!$FM$334</f>
        <v/>
      </c>
      <c r="M332" s="66">
        <f>Calc!$FN$334</f>
        <v/>
      </c>
      <c r="N332" s="66">
        <f>Calc!$FO$334</f>
        <v/>
      </c>
      <c r="O332" s="65">
        <f>Calc!$FP$334</f>
        <v/>
      </c>
      <c r="P332" s="67">
        <f>Calc!$FQ$334</f>
        <v/>
      </c>
      <c r="Q332" s="68">
        <f>Calc!$FR$334</f>
        <v/>
      </c>
      <c r="R332" s="65">
        <f>Calc!$FS$334</f>
        <v/>
      </c>
      <c r="T332">
        <f>Calc!$EY$334</f>
        <v/>
      </c>
      <c r="U332">
        <f>Calc!$FT$334</f>
        <v/>
      </c>
      <c r="V332">
        <f>Calc!$FU$334</f>
        <v/>
      </c>
      <c r="W332">
        <f>Calc!$FC$334</f>
        <v/>
      </c>
      <c r="X332">
        <f>Calc!$EZ$334</f>
        <v/>
      </c>
      <c r="Y332">
        <f>Calc!$FA$334</f>
        <v/>
      </c>
      <c r="Z332">
        <f>Calc!$FV$334</f>
        <v/>
      </c>
      <c r="AA332">
        <f>IF($T332&lt;&gt;"row",0,IF($V332=1,IF($X332=1,IF($Y332=1,1,2),IF($Y332=1,3,4)),IF($X332=1,IF($Y332=1,5,6),IF($Y332=1,7,8))))</f>
        <v/>
      </c>
    </row>
    <row r="333" ht="11.25" customHeight="1">
      <c r="A333" s="64">
        <f>Calc!$FB$335</f>
        <v/>
      </c>
      <c r="B333" s="64">
        <f>Calc!$FC$335</f>
        <v/>
      </c>
      <c r="C333" s="65">
        <f>Calc!$FD$335</f>
        <v/>
      </c>
      <c r="D333" s="65">
        <f>Calc!$FE$335</f>
        <v/>
      </c>
      <c r="E333" s="65">
        <f>Calc!$FF$335</f>
        <v/>
      </c>
      <c r="F333" s="65">
        <f>Calc!$FG$335</f>
        <v/>
      </c>
      <c r="G333" s="65">
        <f>Calc!$FH$335</f>
        <v/>
      </c>
      <c r="H333" s="65">
        <f>Calc!$FI$335</f>
        <v/>
      </c>
      <c r="I333" s="65">
        <f>Calc!$FJ$335</f>
        <v/>
      </c>
      <c r="J333" s="65">
        <f>Calc!$FK$335</f>
        <v/>
      </c>
      <c r="K333" s="65">
        <f>Calc!$FL$335</f>
        <v/>
      </c>
      <c r="L333" s="65">
        <f>Calc!$FM$335</f>
        <v/>
      </c>
      <c r="M333" s="66">
        <f>Calc!$FN$335</f>
        <v/>
      </c>
      <c r="N333" s="66">
        <f>Calc!$FO$335</f>
        <v/>
      </c>
      <c r="O333" s="65">
        <f>Calc!$FP$335</f>
        <v/>
      </c>
      <c r="P333" s="67">
        <f>Calc!$FQ$335</f>
        <v/>
      </c>
      <c r="Q333" s="68">
        <f>Calc!$FR$335</f>
        <v/>
      </c>
      <c r="R333" s="65">
        <f>Calc!$FS$335</f>
        <v/>
      </c>
      <c r="T333">
        <f>Calc!$EY$335</f>
        <v/>
      </c>
      <c r="U333">
        <f>Calc!$FT$335</f>
        <v/>
      </c>
      <c r="V333">
        <f>Calc!$FU$335</f>
        <v/>
      </c>
      <c r="W333">
        <f>Calc!$FC$335</f>
        <v/>
      </c>
      <c r="X333">
        <f>Calc!$EZ$335</f>
        <v/>
      </c>
      <c r="Y333">
        <f>Calc!$FA$335</f>
        <v/>
      </c>
      <c r="Z333">
        <f>Calc!$FV$335</f>
        <v/>
      </c>
      <c r="AA333">
        <f>IF($T333&lt;&gt;"row",0,IF($V333=1,IF($X333=1,IF($Y333=1,1,2),IF($Y333=1,3,4)),IF($X333=1,IF($Y333=1,5,6),IF($Y333=1,7,8))))</f>
        <v/>
      </c>
    </row>
    <row r="334" ht="11.25" customHeight="1">
      <c r="A334" s="64">
        <f>Calc!$FB$336</f>
        <v/>
      </c>
      <c r="B334" s="64">
        <f>Calc!$FC$336</f>
        <v/>
      </c>
      <c r="C334" s="65">
        <f>Calc!$FD$336</f>
        <v/>
      </c>
      <c r="D334" s="65">
        <f>Calc!$FE$336</f>
        <v/>
      </c>
      <c r="E334" s="65">
        <f>Calc!$FF$336</f>
        <v/>
      </c>
      <c r="F334" s="65">
        <f>Calc!$FG$336</f>
        <v/>
      </c>
      <c r="G334" s="65">
        <f>Calc!$FH$336</f>
        <v/>
      </c>
      <c r="H334" s="65">
        <f>Calc!$FI$336</f>
        <v/>
      </c>
      <c r="I334" s="65">
        <f>Calc!$FJ$336</f>
        <v/>
      </c>
      <c r="J334" s="65">
        <f>Calc!$FK$336</f>
        <v/>
      </c>
      <c r="K334" s="65">
        <f>Calc!$FL$336</f>
        <v/>
      </c>
      <c r="L334" s="65">
        <f>Calc!$FM$336</f>
        <v/>
      </c>
      <c r="M334" s="66">
        <f>Calc!$FN$336</f>
        <v/>
      </c>
      <c r="N334" s="66">
        <f>Calc!$FO$336</f>
        <v/>
      </c>
      <c r="O334" s="65">
        <f>Calc!$FP$336</f>
        <v/>
      </c>
      <c r="P334" s="67">
        <f>Calc!$FQ$336</f>
        <v/>
      </c>
      <c r="Q334" s="68">
        <f>Calc!$FR$336</f>
        <v/>
      </c>
      <c r="R334" s="65">
        <f>Calc!$FS$336</f>
        <v/>
      </c>
      <c r="T334">
        <f>Calc!$EY$336</f>
        <v/>
      </c>
      <c r="U334">
        <f>Calc!$FT$336</f>
        <v/>
      </c>
      <c r="V334">
        <f>Calc!$FU$336</f>
        <v/>
      </c>
      <c r="W334">
        <f>Calc!$FC$336</f>
        <v/>
      </c>
      <c r="X334">
        <f>Calc!$EZ$336</f>
        <v/>
      </c>
      <c r="Y334">
        <f>Calc!$FA$336</f>
        <v/>
      </c>
      <c r="Z334">
        <f>Calc!$FV$336</f>
        <v/>
      </c>
      <c r="AA334">
        <f>IF($T334&lt;&gt;"row",0,IF($V334=1,IF($X334=1,IF($Y334=1,1,2),IF($Y334=1,3,4)),IF($X334=1,IF($Y334=1,5,6),IF($Y334=1,7,8))))</f>
        <v/>
      </c>
    </row>
    <row r="335" ht="11.25" customHeight="1">
      <c r="A335" s="64">
        <f>Calc!$FB$337</f>
        <v/>
      </c>
      <c r="B335" s="64">
        <f>Calc!$FC$337</f>
        <v/>
      </c>
      <c r="C335" s="65">
        <f>Calc!$FD$337</f>
        <v/>
      </c>
      <c r="D335" s="65">
        <f>Calc!$FE$337</f>
        <v/>
      </c>
      <c r="E335" s="65">
        <f>Calc!$FF$337</f>
        <v/>
      </c>
      <c r="F335" s="65">
        <f>Calc!$FG$337</f>
        <v/>
      </c>
      <c r="G335" s="65">
        <f>Calc!$FH$337</f>
        <v/>
      </c>
      <c r="H335" s="65">
        <f>Calc!$FI$337</f>
        <v/>
      </c>
      <c r="I335" s="65">
        <f>Calc!$FJ$337</f>
        <v/>
      </c>
      <c r="J335" s="65">
        <f>Calc!$FK$337</f>
        <v/>
      </c>
      <c r="K335" s="65">
        <f>Calc!$FL$337</f>
        <v/>
      </c>
      <c r="L335" s="65">
        <f>Calc!$FM$337</f>
        <v/>
      </c>
      <c r="M335" s="66">
        <f>Calc!$FN$337</f>
        <v/>
      </c>
      <c r="N335" s="66">
        <f>Calc!$FO$337</f>
        <v/>
      </c>
      <c r="O335" s="65">
        <f>Calc!$FP$337</f>
        <v/>
      </c>
      <c r="P335" s="67">
        <f>Calc!$FQ$337</f>
        <v/>
      </c>
      <c r="Q335" s="68">
        <f>Calc!$FR$337</f>
        <v/>
      </c>
      <c r="R335" s="65">
        <f>Calc!$FS$337</f>
        <v/>
      </c>
      <c r="T335">
        <f>Calc!$EY$337</f>
        <v/>
      </c>
      <c r="U335">
        <f>Calc!$FT$337</f>
        <v/>
      </c>
      <c r="V335">
        <f>Calc!$FU$337</f>
        <v/>
      </c>
      <c r="W335">
        <f>Calc!$FC$337</f>
        <v/>
      </c>
      <c r="X335">
        <f>Calc!$EZ$337</f>
        <v/>
      </c>
      <c r="Y335">
        <f>Calc!$FA$337</f>
        <v/>
      </c>
      <c r="Z335">
        <f>Calc!$FV$337</f>
        <v/>
      </c>
      <c r="AA335">
        <f>IF($T335&lt;&gt;"row",0,IF($V335=1,IF($X335=1,IF($Y335=1,1,2),IF($Y335=1,3,4)),IF($X335=1,IF($Y335=1,5,6),IF($Y335=1,7,8))))</f>
        <v/>
      </c>
    </row>
    <row r="336" ht="11.25" customHeight="1">
      <c r="A336" s="64">
        <f>Calc!$FB$338</f>
        <v/>
      </c>
      <c r="B336" s="64">
        <f>Calc!$FC$338</f>
        <v/>
      </c>
      <c r="C336" s="65">
        <f>Calc!$FD$338</f>
        <v/>
      </c>
      <c r="D336" s="65">
        <f>Calc!$FE$338</f>
        <v/>
      </c>
      <c r="E336" s="65">
        <f>Calc!$FF$338</f>
        <v/>
      </c>
      <c r="F336" s="65">
        <f>Calc!$FG$338</f>
        <v/>
      </c>
      <c r="G336" s="65">
        <f>Calc!$FH$338</f>
        <v/>
      </c>
      <c r="H336" s="65">
        <f>Calc!$FI$338</f>
        <v/>
      </c>
      <c r="I336" s="65">
        <f>Calc!$FJ$338</f>
        <v/>
      </c>
      <c r="J336" s="65">
        <f>Calc!$FK$338</f>
        <v/>
      </c>
      <c r="K336" s="65">
        <f>Calc!$FL$338</f>
        <v/>
      </c>
      <c r="L336" s="65">
        <f>Calc!$FM$338</f>
        <v/>
      </c>
      <c r="M336" s="66">
        <f>Calc!$FN$338</f>
        <v/>
      </c>
      <c r="N336" s="66">
        <f>Calc!$FO$338</f>
        <v/>
      </c>
      <c r="O336" s="65">
        <f>Calc!$FP$338</f>
        <v/>
      </c>
      <c r="P336" s="67">
        <f>Calc!$FQ$338</f>
        <v/>
      </c>
      <c r="Q336" s="68">
        <f>Calc!$FR$338</f>
        <v/>
      </c>
      <c r="R336" s="65">
        <f>Calc!$FS$338</f>
        <v/>
      </c>
      <c r="T336">
        <f>Calc!$EY$338</f>
        <v/>
      </c>
      <c r="U336">
        <f>Calc!$FT$338</f>
        <v/>
      </c>
      <c r="V336">
        <f>Calc!$FU$338</f>
        <v/>
      </c>
      <c r="W336">
        <f>Calc!$FC$338</f>
        <v/>
      </c>
      <c r="X336">
        <f>Calc!$EZ$338</f>
        <v/>
      </c>
      <c r="Y336">
        <f>Calc!$FA$338</f>
        <v/>
      </c>
      <c r="Z336">
        <f>Calc!$FV$338</f>
        <v/>
      </c>
      <c r="AA336">
        <f>IF($T336&lt;&gt;"row",0,IF($V336=1,IF($X336=1,IF($Y336=1,1,2),IF($Y336=1,3,4)),IF($X336=1,IF($Y336=1,5,6),IF($Y336=1,7,8))))</f>
        <v/>
      </c>
    </row>
    <row r="337" ht="11.25" customHeight="1">
      <c r="A337" s="64">
        <f>Calc!$FB$339</f>
        <v/>
      </c>
      <c r="B337" s="64">
        <f>Calc!$FC$339</f>
        <v/>
      </c>
      <c r="C337" s="65">
        <f>Calc!$FD$339</f>
        <v/>
      </c>
      <c r="D337" s="65">
        <f>Calc!$FE$339</f>
        <v/>
      </c>
      <c r="E337" s="65">
        <f>Calc!$FF$339</f>
        <v/>
      </c>
      <c r="F337" s="65">
        <f>Calc!$FG$339</f>
        <v/>
      </c>
      <c r="G337" s="65">
        <f>Calc!$FH$339</f>
        <v/>
      </c>
      <c r="H337" s="65">
        <f>Calc!$FI$339</f>
        <v/>
      </c>
      <c r="I337" s="65">
        <f>Calc!$FJ$339</f>
        <v/>
      </c>
      <c r="J337" s="65">
        <f>Calc!$FK$339</f>
        <v/>
      </c>
      <c r="K337" s="65">
        <f>Calc!$FL$339</f>
        <v/>
      </c>
      <c r="L337" s="65">
        <f>Calc!$FM$339</f>
        <v/>
      </c>
      <c r="M337" s="66">
        <f>Calc!$FN$339</f>
        <v/>
      </c>
      <c r="N337" s="66">
        <f>Calc!$FO$339</f>
        <v/>
      </c>
      <c r="O337" s="65">
        <f>Calc!$FP$339</f>
        <v/>
      </c>
      <c r="P337" s="67">
        <f>Calc!$FQ$339</f>
        <v/>
      </c>
      <c r="Q337" s="68">
        <f>Calc!$FR$339</f>
        <v/>
      </c>
      <c r="R337" s="65">
        <f>Calc!$FS$339</f>
        <v/>
      </c>
      <c r="T337">
        <f>Calc!$EY$339</f>
        <v/>
      </c>
      <c r="U337">
        <f>Calc!$FT$339</f>
        <v/>
      </c>
      <c r="V337">
        <f>Calc!$FU$339</f>
        <v/>
      </c>
      <c r="W337">
        <f>Calc!$FC$339</f>
        <v/>
      </c>
      <c r="X337">
        <f>Calc!$EZ$339</f>
        <v/>
      </c>
      <c r="Y337">
        <f>Calc!$FA$339</f>
        <v/>
      </c>
      <c r="Z337">
        <f>Calc!$FV$339</f>
        <v/>
      </c>
      <c r="AA337">
        <f>IF($T337&lt;&gt;"row",0,IF($V337=1,IF($X337=1,IF($Y337=1,1,2),IF($Y337=1,3,4)),IF($X337=1,IF($Y337=1,5,6),IF($Y337=1,7,8))))</f>
        <v/>
      </c>
    </row>
    <row r="338" ht="11.25" customHeight="1">
      <c r="A338" s="64">
        <f>Calc!$FB$340</f>
        <v/>
      </c>
      <c r="B338" s="64">
        <f>Calc!$FC$340</f>
        <v/>
      </c>
      <c r="C338" s="65">
        <f>Calc!$FD$340</f>
        <v/>
      </c>
      <c r="D338" s="65">
        <f>Calc!$FE$340</f>
        <v/>
      </c>
      <c r="E338" s="65">
        <f>Calc!$FF$340</f>
        <v/>
      </c>
      <c r="F338" s="65">
        <f>Calc!$FG$340</f>
        <v/>
      </c>
      <c r="G338" s="65">
        <f>Calc!$FH$340</f>
        <v/>
      </c>
      <c r="H338" s="65">
        <f>Calc!$FI$340</f>
        <v/>
      </c>
      <c r="I338" s="65">
        <f>Calc!$FJ$340</f>
        <v/>
      </c>
      <c r="J338" s="65">
        <f>Calc!$FK$340</f>
        <v/>
      </c>
      <c r="K338" s="65">
        <f>Calc!$FL$340</f>
        <v/>
      </c>
      <c r="L338" s="65">
        <f>Calc!$FM$340</f>
        <v/>
      </c>
      <c r="M338" s="66">
        <f>Calc!$FN$340</f>
        <v/>
      </c>
      <c r="N338" s="66">
        <f>Calc!$FO$340</f>
        <v/>
      </c>
      <c r="O338" s="65">
        <f>Calc!$FP$340</f>
        <v/>
      </c>
      <c r="P338" s="67">
        <f>Calc!$FQ$340</f>
        <v/>
      </c>
      <c r="Q338" s="68">
        <f>Calc!$FR$340</f>
        <v/>
      </c>
      <c r="R338" s="65">
        <f>Calc!$FS$340</f>
        <v/>
      </c>
      <c r="T338">
        <f>Calc!$EY$340</f>
        <v/>
      </c>
      <c r="U338">
        <f>Calc!$FT$340</f>
        <v/>
      </c>
      <c r="V338">
        <f>Calc!$FU$340</f>
        <v/>
      </c>
      <c r="W338">
        <f>Calc!$FC$340</f>
        <v/>
      </c>
      <c r="X338">
        <f>Calc!$EZ$340</f>
        <v/>
      </c>
      <c r="Y338">
        <f>Calc!$FA$340</f>
        <v/>
      </c>
      <c r="Z338">
        <f>Calc!$FV$340</f>
        <v/>
      </c>
      <c r="AA338">
        <f>IF($T338&lt;&gt;"row",0,IF($V338=1,IF($X338=1,IF($Y338=1,1,2),IF($Y338=1,3,4)),IF($X338=1,IF($Y338=1,5,6),IF($Y338=1,7,8))))</f>
        <v/>
      </c>
    </row>
    <row r="339" ht="11.25" customHeight="1">
      <c r="A339" s="64">
        <f>Calc!$FB$341</f>
        <v/>
      </c>
      <c r="B339" s="64">
        <f>Calc!$FC$341</f>
        <v/>
      </c>
      <c r="C339" s="65">
        <f>Calc!$FD$341</f>
        <v/>
      </c>
      <c r="D339" s="65">
        <f>Calc!$FE$341</f>
        <v/>
      </c>
      <c r="E339" s="65">
        <f>Calc!$FF$341</f>
        <v/>
      </c>
      <c r="F339" s="65">
        <f>Calc!$FG$341</f>
        <v/>
      </c>
      <c r="G339" s="65">
        <f>Calc!$FH$341</f>
        <v/>
      </c>
      <c r="H339" s="65">
        <f>Calc!$FI$341</f>
        <v/>
      </c>
      <c r="I339" s="65">
        <f>Calc!$FJ$341</f>
        <v/>
      </c>
      <c r="J339" s="65">
        <f>Calc!$FK$341</f>
        <v/>
      </c>
      <c r="K339" s="65">
        <f>Calc!$FL$341</f>
        <v/>
      </c>
      <c r="L339" s="65">
        <f>Calc!$FM$341</f>
        <v/>
      </c>
      <c r="M339" s="66">
        <f>Calc!$FN$341</f>
        <v/>
      </c>
      <c r="N339" s="66">
        <f>Calc!$FO$341</f>
        <v/>
      </c>
      <c r="O339" s="65">
        <f>Calc!$FP$341</f>
        <v/>
      </c>
      <c r="P339" s="67">
        <f>Calc!$FQ$341</f>
        <v/>
      </c>
      <c r="Q339" s="68">
        <f>Calc!$FR$341</f>
        <v/>
      </c>
      <c r="R339" s="65">
        <f>Calc!$FS$341</f>
        <v/>
      </c>
      <c r="T339">
        <f>Calc!$EY$341</f>
        <v/>
      </c>
      <c r="U339">
        <f>Calc!$FT$341</f>
        <v/>
      </c>
      <c r="V339">
        <f>Calc!$FU$341</f>
        <v/>
      </c>
      <c r="W339">
        <f>Calc!$FC$341</f>
        <v/>
      </c>
      <c r="X339">
        <f>Calc!$EZ$341</f>
        <v/>
      </c>
      <c r="Y339">
        <f>Calc!$FA$341</f>
        <v/>
      </c>
      <c r="Z339">
        <f>Calc!$FV$341</f>
        <v/>
      </c>
      <c r="AA339">
        <f>IF($T339&lt;&gt;"row",0,IF($V339=1,IF($X339=1,IF($Y339=1,1,2),IF($Y339=1,3,4)),IF($X339=1,IF($Y339=1,5,6),IF($Y339=1,7,8))))</f>
        <v/>
      </c>
    </row>
    <row r="340" ht="11.25" customHeight="1">
      <c r="A340" s="64">
        <f>Calc!$FB$342</f>
        <v/>
      </c>
      <c r="B340" s="64">
        <f>Calc!$FC$342</f>
        <v/>
      </c>
      <c r="C340" s="65">
        <f>Calc!$FD$342</f>
        <v/>
      </c>
      <c r="D340" s="65">
        <f>Calc!$FE$342</f>
        <v/>
      </c>
      <c r="E340" s="65">
        <f>Calc!$FF$342</f>
        <v/>
      </c>
      <c r="F340" s="65">
        <f>Calc!$FG$342</f>
        <v/>
      </c>
      <c r="G340" s="65">
        <f>Calc!$FH$342</f>
        <v/>
      </c>
      <c r="H340" s="65">
        <f>Calc!$FI$342</f>
        <v/>
      </c>
      <c r="I340" s="65">
        <f>Calc!$FJ$342</f>
        <v/>
      </c>
      <c r="J340" s="65">
        <f>Calc!$FK$342</f>
        <v/>
      </c>
      <c r="K340" s="65">
        <f>Calc!$FL$342</f>
        <v/>
      </c>
      <c r="L340" s="65">
        <f>Calc!$FM$342</f>
        <v/>
      </c>
      <c r="M340" s="66">
        <f>Calc!$FN$342</f>
        <v/>
      </c>
      <c r="N340" s="66">
        <f>Calc!$FO$342</f>
        <v/>
      </c>
      <c r="O340" s="65">
        <f>Calc!$FP$342</f>
        <v/>
      </c>
      <c r="P340" s="67">
        <f>Calc!$FQ$342</f>
        <v/>
      </c>
      <c r="Q340" s="68">
        <f>Calc!$FR$342</f>
        <v/>
      </c>
      <c r="R340" s="65">
        <f>Calc!$FS$342</f>
        <v/>
      </c>
      <c r="T340">
        <f>Calc!$EY$342</f>
        <v/>
      </c>
      <c r="U340">
        <f>Calc!$FT$342</f>
        <v/>
      </c>
      <c r="V340">
        <f>Calc!$FU$342</f>
        <v/>
      </c>
      <c r="W340">
        <f>Calc!$FC$342</f>
        <v/>
      </c>
      <c r="X340">
        <f>Calc!$EZ$342</f>
        <v/>
      </c>
      <c r="Y340">
        <f>Calc!$FA$342</f>
        <v/>
      </c>
      <c r="Z340">
        <f>Calc!$FV$342</f>
        <v/>
      </c>
      <c r="AA340">
        <f>IF($T340&lt;&gt;"row",0,IF($V340=1,IF($X340=1,IF($Y340=1,1,2),IF($Y340=1,3,4)),IF($X340=1,IF($Y340=1,5,6),IF($Y340=1,7,8))))</f>
        <v/>
      </c>
    </row>
    <row r="341" ht="11.25" customHeight="1">
      <c r="A341" s="64">
        <f>Calc!$FB$343</f>
        <v/>
      </c>
      <c r="B341" s="64">
        <f>Calc!$FC$343</f>
        <v/>
      </c>
      <c r="C341" s="65">
        <f>Calc!$FD$343</f>
        <v/>
      </c>
      <c r="D341" s="65">
        <f>Calc!$FE$343</f>
        <v/>
      </c>
      <c r="E341" s="65">
        <f>Calc!$FF$343</f>
        <v/>
      </c>
      <c r="F341" s="65">
        <f>Calc!$FG$343</f>
        <v/>
      </c>
      <c r="G341" s="65">
        <f>Calc!$FH$343</f>
        <v/>
      </c>
      <c r="H341" s="65">
        <f>Calc!$FI$343</f>
        <v/>
      </c>
      <c r="I341" s="65">
        <f>Calc!$FJ$343</f>
        <v/>
      </c>
      <c r="J341" s="65">
        <f>Calc!$FK$343</f>
        <v/>
      </c>
      <c r="K341" s="65">
        <f>Calc!$FL$343</f>
        <v/>
      </c>
      <c r="L341" s="65">
        <f>Calc!$FM$343</f>
        <v/>
      </c>
      <c r="M341" s="66">
        <f>Calc!$FN$343</f>
        <v/>
      </c>
      <c r="N341" s="66">
        <f>Calc!$FO$343</f>
        <v/>
      </c>
      <c r="O341" s="65">
        <f>Calc!$FP$343</f>
        <v/>
      </c>
      <c r="P341" s="67">
        <f>Calc!$FQ$343</f>
        <v/>
      </c>
      <c r="Q341" s="68">
        <f>Calc!$FR$343</f>
        <v/>
      </c>
      <c r="R341" s="65">
        <f>Calc!$FS$343</f>
        <v/>
      </c>
      <c r="T341">
        <f>Calc!$EY$343</f>
        <v/>
      </c>
      <c r="U341">
        <f>Calc!$FT$343</f>
        <v/>
      </c>
      <c r="V341">
        <f>Calc!$FU$343</f>
        <v/>
      </c>
      <c r="W341">
        <f>Calc!$FC$343</f>
        <v/>
      </c>
      <c r="X341">
        <f>Calc!$EZ$343</f>
        <v/>
      </c>
      <c r="Y341">
        <f>Calc!$FA$343</f>
        <v/>
      </c>
      <c r="Z341">
        <f>Calc!$FV$343</f>
        <v/>
      </c>
      <c r="AA341">
        <f>IF($T341&lt;&gt;"row",0,IF($V341=1,IF($X341=1,IF($Y341=1,1,2),IF($Y341=1,3,4)),IF($X341=1,IF($Y341=1,5,6),IF($Y341=1,7,8))))</f>
        <v/>
      </c>
    </row>
    <row r="342" ht="11.25" customHeight="1">
      <c r="A342" s="64">
        <f>Calc!$FB$344</f>
        <v/>
      </c>
      <c r="B342" s="64">
        <f>Calc!$FC$344</f>
        <v/>
      </c>
      <c r="C342" s="65">
        <f>Calc!$FD$344</f>
        <v/>
      </c>
      <c r="D342" s="65">
        <f>Calc!$FE$344</f>
        <v/>
      </c>
      <c r="E342" s="65">
        <f>Calc!$FF$344</f>
        <v/>
      </c>
      <c r="F342" s="65">
        <f>Calc!$FG$344</f>
        <v/>
      </c>
      <c r="G342" s="65">
        <f>Calc!$FH$344</f>
        <v/>
      </c>
      <c r="H342" s="65">
        <f>Calc!$FI$344</f>
        <v/>
      </c>
      <c r="I342" s="65">
        <f>Calc!$FJ$344</f>
        <v/>
      </c>
      <c r="J342" s="65">
        <f>Calc!$FK$344</f>
        <v/>
      </c>
      <c r="K342" s="65">
        <f>Calc!$FL$344</f>
        <v/>
      </c>
      <c r="L342" s="65">
        <f>Calc!$FM$344</f>
        <v/>
      </c>
      <c r="M342" s="66">
        <f>Calc!$FN$344</f>
        <v/>
      </c>
      <c r="N342" s="66">
        <f>Calc!$FO$344</f>
        <v/>
      </c>
      <c r="O342" s="65">
        <f>Calc!$FP$344</f>
        <v/>
      </c>
      <c r="P342" s="67">
        <f>Calc!$FQ$344</f>
        <v/>
      </c>
      <c r="Q342" s="68">
        <f>Calc!$FR$344</f>
        <v/>
      </c>
      <c r="R342" s="65">
        <f>Calc!$FS$344</f>
        <v/>
      </c>
      <c r="T342">
        <f>Calc!$EY$344</f>
        <v/>
      </c>
      <c r="U342">
        <f>Calc!$FT$344</f>
        <v/>
      </c>
      <c r="V342">
        <f>Calc!$FU$344</f>
        <v/>
      </c>
      <c r="W342">
        <f>Calc!$FC$344</f>
        <v/>
      </c>
      <c r="X342">
        <f>Calc!$EZ$344</f>
        <v/>
      </c>
      <c r="Y342">
        <f>Calc!$FA$344</f>
        <v/>
      </c>
      <c r="Z342">
        <f>Calc!$FV$344</f>
        <v/>
      </c>
      <c r="AA342">
        <f>IF($T342&lt;&gt;"row",0,IF($V342=1,IF($X342=1,IF($Y342=1,1,2),IF($Y342=1,3,4)),IF($X342=1,IF($Y342=1,5,6),IF($Y342=1,7,8))))</f>
        <v/>
      </c>
    </row>
    <row r="343" ht="11.25" customHeight="1">
      <c r="A343" s="64">
        <f>Calc!$FB$345</f>
        <v/>
      </c>
      <c r="B343" s="64">
        <f>Calc!$FC$345</f>
        <v/>
      </c>
      <c r="C343" s="65">
        <f>Calc!$FD$345</f>
        <v/>
      </c>
      <c r="D343" s="65">
        <f>Calc!$FE$345</f>
        <v/>
      </c>
      <c r="E343" s="65">
        <f>Calc!$FF$345</f>
        <v/>
      </c>
      <c r="F343" s="65">
        <f>Calc!$FG$345</f>
        <v/>
      </c>
      <c r="G343" s="65">
        <f>Calc!$FH$345</f>
        <v/>
      </c>
      <c r="H343" s="65">
        <f>Calc!$FI$345</f>
        <v/>
      </c>
      <c r="I343" s="65">
        <f>Calc!$FJ$345</f>
        <v/>
      </c>
      <c r="J343" s="65">
        <f>Calc!$FK$345</f>
        <v/>
      </c>
      <c r="K343" s="65">
        <f>Calc!$FL$345</f>
        <v/>
      </c>
      <c r="L343" s="65">
        <f>Calc!$FM$345</f>
        <v/>
      </c>
      <c r="M343" s="66">
        <f>Calc!$FN$345</f>
        <v/>
      </c>
      <c r="N343" s="66">
        <f>Calc!$FO$345</f>
        <v/>
      </c>
      <c r="O343" s="65">
        <f>Calc!$FP$345</f>
        <v/>
      </c>
      <c r="P343" s="67">
        <f>Calc!$FQ$345</f>
        <v/>
      </c>
      <c r="Q343" s="68">
        <f>Calc!$FR$345</f>
        <v/>
      </c>
      <c r="R343" s="65">
        <f>Calc!$FS$345</f>
        <v/>
      </c>
      <c r="T343">
        <f>Calc!$EY$345</f>
        <v/>
      </c>
      <c r="U343">
        <f>Calc!$FT$345</f>
        <v/>
      </c>
      <c r="V343">
        <f>Calc!$FU$345</f>
        <v/>
      </c>
      <c r="W343">
        <f>Calc!$FC$345</f>
        <v/>
      </c>
      <c r="X343">
        <f>Calc!$EZ$345</f>
        <v/>
      </c>
      <c r="Y343">
        <f>Calc!$FA$345</f>
        <v/>
      </c>
      <c r="Z343">
        <f>Calc!$FV$345</f>
        <v/>
      </c>
      <c r="AA343">
        <f>IF($T343&lt;&gt;"row",0,IF($V343=1,IF($X343=1,IF($Y343=1,1,2),IF($Y343=1,3,4)),IF($X343=1,IF($Y343=1,5,6),IF($Y343=1,7,8))))</f>
        <v/>
      </c>
    </row>
    <row r="344" ht="11.25" customHeight="1">
      <c r="A344" s="64">
        <f>Calc!$FB$346</f>
        <v/>
      </c>
      <c r="B344" s="64">
        <f>Calc!$FC$346</f>
        <v/>
      </c>
      <c r="C344" s="65">
        <f>Calc!$FD$346</f>
        <v/>
      </c>
      <c r="D344" s="65">
        <f>Calc!$FE$346</f>
        <v/>
      </c>
      <c r="E344" s="65">
        <f>Calc!$FF$346</f>
        <v/>
      </c>
      <c r="F344" s="65">
        <f>Calc!$FG$346</f>
        <v/>
      </c>
      <c r="G344" s="65">
        <f>Calc!$FH$346</f>
        <v/>
      </c>
      <c r="H344" s="65">
        <f>Calc!$FI$346</f>
        <v/>
      </c>
      <c r="I344" s="65">
        <f>Calc!$FJ$346</f>
        <v/>
      </c>
      <c r="J344" s="65">
        <f>Calc!$FK$346</f>
        <v/>
      </c>
      <c r="K344" s="65">
        <f>Calc!$FL$346</f>
        <v/>
      </c>
      <c r="L344" s="65">
        <f>Calc!$FM$346</f>
        <v/>
      </c>
      <c r="M344" s="66">
        <f>Calc!$FN$346</f>
        <v/>
      </c>
      <c r="N344" s="66">
        <f>Calc!$FO$346</f>
        <v/>
      </c>
      <c r="O344" s="65">
        <f>Calc!$FP$346</f>
        <v/>
      </c>
      <c r="P344" s="67">
        <f>Calc!$FQ$346</f>
        <v/>
      </c>
      <c r="Q344" s="68">
        <f>Calc!$FR$346</f>
        <v/>
      </c>
      <c r="R344" s="65">
        <f>Calc!$FS$346</f>
        <v/>
      </c>
      <c r="T344">
        <f>Calc!$EY$346</f>
        <v/>
      </c>
      <c r="U344">
        <f>Calc!$FT$346</f>
        <v/>
      </c>
      <c r="V344">
        <f>Calc!$FU$346</f>
        <v/>
      </c>
      <c r="W344">
        <f>Calc!$FC$346</f>
        <v/>
      </c>
      <c r="X344">
        <f>Calc!$EZ$346</f>
        <v/>
      </c>
      <c r="Y344">
        <f>Calc!$FA$346</f>
        <v/>
      </c>
      <c r="Z344">
        <f>Calc!$FV$346</f>
        <v/>
      </c>
      <c r="AA344">
        <f>IF($T344&lt;&gt;"row",0,IF($V344=1,IF($X344=1,IF($Y344=1,1,2),IF($Y344=1,3,4)),IF($X344=1,IF($Y344=1,5,6),IF($Y344=1,7,8))))</f>
        <v/>
      </c>
    </row>
    <row r="345" ht="11.25" customHeight="1">
      <c r="A345" s="64">
        <f>Calc!$FB$347</f>
        <v/>
      </c>
      <c r="B345" s="64">
        <f>Calc!$FC$347</f>
        <v/>
      </c>
      <c r="C345" s="65">
        <f>Calc!$FD$347</f>
        <v/>
      </c>
      <c r="D345" s="65">
        <f>Calc!$FE$347</f>
        <v/>
      </c>
      <c r="E345" s="65">
        <f>Calc!$FF$347</f>
        <v/>
      </c>
      <c r="F345" s="65">
        <f>Calc!$FG$347</f>
        <v/>
      </c>
      <c r="G345" s="65">
        <f>Calc!$FH$347</f>
        <v/>
      </c>
      <c r="H345" s="65">
        <f>Calc!$FI$347</f>
        <v/>
      </c>
      <c r="I345" s="65">
        <f>Calc!$FJ$347</f>
        <v/>
      </c>
      <c r="J345" s="65">
        <f>Calc!$FK$347</f>
        <v/>
      </c>
      <c r="K345" s="65">
        <f>Calc!$FL$347</f>
        <v/>
      </c>
      <c r="L345" s="65">
        <f>Calc!$FM$347</f>
        <v/>
      </c>
      <c r="M345" s="66">
        <f>Calc!$FN$347</f>
        <v/>
      </c>
      <c r="N345" s="66">
        <f>Calc!$FO$347</f>
        <v/>
      </c>
      <c r="O345" s="65">
        <f>Calc!$FP$347</f>
        <v/>
      </c>
      <c r="P345" s="67">
        <f>Calc!$FQ$347</f>
        <v/>
      </c>
      <c r="Q345" s="68">
        <f>Calc!$FR$347</f>
        <v/>
      </c>
      <c r="R345" s="65">
        <f>Calc!$FS$347</f>
        <v/>
      </c>
      <c r="T345">
        <f>Calc!$EY$347</f>
        <v/>
      </c>
      <c r="U345">
        <f>Calc!$FT$347</f>
        <v/>
      </c>
      <c r="V345">
        <f>Calc!$FU$347</f>
        <v/>
      </c>
      <c r="W345">
        <f>Calc!$FC$347</f>
        <v/>
      </c>
      <c r="X345">
        <f>Calc!$EZ$347</f>
        <v/>
      </c>
      <c r="Y345">
        <f>Calc!$FA$347</f>
        <v/>
      </c>
      <c r="Z345">
        <f>Calc!$FV$347</f>
        <v/>
      </c>
      <c r="AA345">
        <f>IF($T345&lt;&gt;"row",0,IF($V345=1,IF($X345=1,IF($Y345=1,1,2),IF($Y345=1,3,4)),IF($X345=1,IF($Y345=1,5,6),IF($Y345=1,7,8))))</f>
        <v/>
      </c>
    </row>
    <row r="346" ht="11.25" customHeight="1">
      <c r="A346" s="64">
        <f>Calc!$FB$348</f>
        <v/>
      </c>
      <c r="B346" s="64">
        <f>Calc!$FC$348</f>
        <v/>
      </c>
      <c r="C346" s="65">
        <f>Calc!$FD$348</f>
        <v/>
      </c>
      <c r="D346" s="65">
        <f>Calc!$FE$348</f>
        <v/>
      </c>
      <c r="E346" s="65">
        <f>Calc!$FF$348</f>
        <v/>
      </c>
      <c r="F346" s="65">
        <f>Calc!$FG$348</f>
        <v/>
      </c>
      <c r="G346" s="65">
        <f>Calc!$FH$348</f>
        <v/>
      </c>
      <c r="H346" s="65">
        <f>Calc!$FI$348</f>
        <v/>
      </c>
      <c r="I346" s="65">
        <f>Calc!$FJ$348</f>
        <v/>
      </c>
      <c r="J346" s="65">
        <f>Calc!$FK$348</f>
        <v/>
      </c>
      <c r="K346" s="65">
        <f>Calc!$FL$348</f>
        <v/>
      </c>
      <c r="L346" s="65">
        <f>Calc!$FM$348</f>
        <v/>
      </c>
      <c r="M346" s="66">
        <f>Calc!$FN$348</f>
        <v/>
      </c>
      <c r="N346" s="66">
        <f>Calc!$FO$348</f>
        <v/>
      </c>
      <c r="O346" s="65">
        <f>Calc!$FP$348</f>
        <v/>
      </c>
      <c r="P346" s="67">
        <f>Calc!$FQ$348</f>
        <v/>
      </c>
      <c r="Q346" s="68">
        <f>Calc!$FR$348</f>
        <v/>
      </c>
      <c r="R346" s="65">
        <f>Calc!$FS$348</f>
        <v/>
      </c>
      <c r="T346">
        <f>Calc!$EY$348</f>
        <v/>
      </c>
      <c r="U346">
        <f>Calc!$FT$348</f>
        <v/>
      </c>
      <c r="V346">
        <f>Calc!$FU$348</f>
        <v/>
      </c>
      <c r="W346">
        <f>Calc!$FC$348</f>
        <v/>
      </c>
      <c r="X346">
        <f>Calc!$EZ$348</f>
        <v/>
      </c>
      <c r="Y346">
        <f>Calc!$FA$348</f>
        <v/>
      </c>
      <c r="Z346">
        <f>Calc!$FV$348</f>
        <v/>
      </c>
      <c r="AA346">
        <f>IF($T346&lt;&gt;"row",0,IF($V346=1,IF($X346=1,IF($Y346=1,1,2),IF($Y346=1,3,4)),IF($X346=1,IF($Y346=1,5,6),IF($Y346=1,7,8))))</f>
        <v/>
      </c>
    </row>
    <row r="347" ht="11.25" customHeight="1">
      <c r="A347" s="64">
        <f>Calc!$FB$349</f>
        <v/>
      </c>
      <c r="B347" s="64">
        <f>Calc!$FC$349</f>
        <v/>
      </c>
      <c r="C347" s="65">
        <f>Calc!$FD$349</f>
        <v/>
      </c>
      <c r="D347" s="65">
        <f>Calc!$FE$349</f>
        <v/>
      </c>
      <c r="E347" s="65">
        <f>Calc!$FF$349</f>
        <v/>
      </c>
      <c r="F347" s="65">
        <f>Calc!$FG$349</f>
        <v/>
      </c>
      <c r="G347" s="65">
        <f>Calc!$FH$349</f>
        <v/>
      </c>
      <c r="H347" s="65">
        <f>Calc!$FI$349</f>
        <v/>
      </c>
      <c r="I347" s="65">
        <f>Calc!$FJ$349</f>
        <v/>
      </c>
      <c r="J347" s="65">
        <f>Calc!$FK$349</f>
        <v/>
      </c>
      <c r="K347" s="65">
        <f>Calc!$FL$349</f>
        <v/>
      </c>
      <c r="L347" s="65">
        <f>Calc!$FM$349</f>
        <v/>
      </c>
      <c r="M347" s="66">
        <f>Calc!$FN$349</f>
        <v/>
      </c>
      <c r="N347" s="66">
        <f>Calc!$FO$349</f>
        <v/>
      </c>
      <c r="O347" s="65">
        <f>Calc!$FP$349</f>
        <v/>
      </c>
      <c r="P347" s="67">
        <f>Calc!$FQ$349</f>
        <v/>
      </c>
      <c r="Q347" s="68">
        <f>Calc!$FR$349</f>
        <v/>
      </c>
      <c r="R347" s="65">
        <f>Calc!$FS$349</f>
        <v/>
      </c>
      <c r="T347">
        <f>Calc!$EY$349</f>
        <v/>
      </c>
      <c r="U347">
        <f>Calc!$FT$349</f>
        <v/>
      </c>
      <c r="V347">
        <f>Calc!$FU$349</f>
        <v/>
      </c>
      <c r="W347">
        <f>Calc!$FC$349</f>
        <v/>
      </c>
      <c r="X347">
        <f>Calc!$EZ$349</f>
        <v/>
      </c>
      <c r="Y347">
        <f>Calc!$FA$349</f>
        <v/>
      </c>
      <c r="Z347">
        <f>Calc!$FV$349</f>
        <v/>
      </c>
      <c r="AA347">
        <f>IF($T347&lt;&gt;"row",0,IF($V347=1,IF($X347=1,IF($Y347=1,1,2),IF($Y347=1,3,4)),IF($X347=1,IF($Y347=1,5,6),IF($Y347=1,7,8))))</f>
        <v/>
      </c>
    </row>
    <row r="348" ht="11.25" customHeight="1">
      <c r="A348" s="64">
        <f>Calc!$FB$350</f>
        <v/>
      </c>
      <c r="B348" s="64">
        <f>Calc!$FC$350</f>
        <v/>
      </c>
      <c r="C348" s="65">
        <f>Calc!$FD$350</f>
        <v/>
      </c>
      <c r="D348" s="65">
        <f>Calc!$FE$350</f>
        <v/>
      </c>
      <c r="E348" s="65">
        <f>Calc!$FF$350</f>
        <v/>
      </c>
      <c r="F348" s="65">
        <f>Calc!$FG$350</f>
        <v/>
      </c>
      <c r="G348" s="65">
        <f>Calc!$FH$350</f>
        <v/>
      </c>
      <c r="H348" s="65">
        <f>Calc!$FI$350</f>
        <v/>
      </c>
      <c r="I348" s="65">
        <f>Calc!$FJ$350</f>
        <v/>
      </c>
      <c r="J348" s="65">
        <f>Calc!$FK$350</f>
        <v/>
      </c>
      <c r="K348" s="65">
        <f>Calc!$FL$350</f>
        <v/>
      </c>
      <c r="L348" s="65">
        <f>Calc!$FM$350</f>
        <v/>
      </c>
      <c r="M348" s="66">
        <f>Calc!$FN$350</f>
        <v/>
      </c>
      <c r="N348" s="66">
        <f>Calc!$FO$350</f>
        <v/>
      </c>
      <c r="O348" s="65">
        <f>Calc!$FP$350</f>
        <v/>
      </c>
      <c r="P348" s="67">
        <f>Calc!$FQ$350</f>
        <v/>
      </c>
      <c r="Q348" s="68">
        <f>Calc!$FR$350</f>
        <v/>
      </c>
      <c r="R348" s="65">
        <f>Calc!$FS$350</f>
        <v/>
      </c>
      <c r="T348">
        <f>Calc!$EY$350</f>
        <v/>
      </c>
      <c r="U348">
        <f>Calc!$FT$350</f>
        <v/>
      </c>
      <c r="V348">
        <f>Calc!$FU$350</f>
        <v/>
      </c>
      <c r="W348">
        <f>Calc!$FC$350</f>
        <v/>
      </c>
      <c r="X348">
        <f>Calc!$EZ$350</f>
        <v/>
      </c>
      <c r="Y348">
        <f>Calc!$FA$350</f>
        <v/>
      </c>
      <c r="Z348">
        <f>Calc!$FV$350</f>
        <v/>
      </c>
      <c r="AA348">
        <f>IF($T348&lt;&gt;"row",0,IF($V348=1,IF($X348=1,IF($Y348=1,1,2),IF($Y348=1,3,4)),IF($X348=1,IF($Y348=1,5,6),IF($Y348=1,7,8))))</f>
        <v/>
      </c>
    </row>
    <row r="349" ht="11.25" customHeight="1">
      <c r="A349" s="64">
        <f>Calc!$FB$351</f>
        <v/>
      </c>
      <c r="B349" s="64">
        <f>Calc!$FC$351</f>
        <v/>
      </c>
      <c r="C349" s="65">
        <f>Calc!$FD$351</f>
        <v/>
      </c>
      <c r="D349" s="65">
        <f>Calc!$FE$351</f>
        <v/>
      </c>
      <c r="E349" s="65">
        <f>Calc!$FF$351</f>
        <v/>
      </c>
      <c r="F349" s="65">
        <f>Calc!$FG$351</f>
        <v/>
      </c>
      <c r="G349" s="65">
        <f>Calc!$FH$351</f>
        <v/>
      </c>
      <c r="H349" s="65">
        <f>Calc!$FI$351</f>
        <v/>
      </c>
      <c r="I349" s="65">
        <f>Calc!$FJ$351</f>
        <v/>
      </c>
      <c r="J349" s="65">
        <f>Calc!$FK$351</f>
        <v/>
      </c>
      <c r="K349" s="65">
        <f>Calc!$FL$351</f>
        <v/>
      </c>
      <c r="L349" s="65">
        <f>Calc!$FM$351</f>
        <v/>
      </c>
      <c r="M349" s="66">
        <f>Calc!$FN$351</f>
        <v/>
      </c>
      <c r="N349" s="66">
        <f>Calc!$FO$351</f>
        <v/>
      </c>
      <c r="O349" s="65">
        <f>Calc!$FP$351</f>
        <v/>
      </c>
      <c r="P349" s="67">
        <f>Calc!$FQ$351</f>
        <v/>
      </c>
      <c r="Q349" s="68">
        <f>Calc!$FR$351</f>
        <v/>
      </c>
      <c r="R349" s="65">
        <f>Calc!$FS$351</f>
        <v/>
      </c>
      <c r="T349">
        <f>Calc!$EY$351</f>
        <v/>
      </c>
      <c r="U349">
        <f>Calc!$FT$351</f>
        <v/>
      </c>
      <c r="V349">
        <f>Calc!$FU$351</f>
        <v/>
      </c>
      <c r="W349">
        <f>Calc!$FC$351</f>
        <v/>
      </c>
      <c r="X349">
        <f>Calc!$EZ$351</f>
        <v/>
      </c>
      <c r="Y349">
        <f>Calc!$FA$351</f>
        <v/>
      </c>
      <c r="Z349">
        <f>Calc!$FV$351</f>
        <v/>
      </c>
      <c r="AA349">
        <f>IF($T349&lt;&gt;"row",0,IF($V349=1,IF($X349=1,IF($Y349=1,1,2),IF($Y349=1,3,4)),IF($X349=1,IF($Y349=1,5,6),IF($Y349=1,7,8))))</f>
        <v/>
      </c>
    </row>
    <row r="350" ht="11.25" customHeight="1">
      <c r="A350" s="64">
        <f>Calc!$FB$352</f>
        <v/>
      </c>
      <c r="B350" s="64">
        <f>Calc!$FC$352</f>
        <v/>
      </c>
      <c r="C350" s="65">
        <f>Calc!$FD$352</f>
        <v/>
      </c>
      <c r="D350" s="65">
        <f>Calc!$FE$352</f>
        <v/>
      </c>
      <c r="E350" s="65">
        <f>Calc!$FF$352</f>
        <v/>
      </c>
      <c r="F350" s="65">
        <f>Calc!$FG$352</f>
        <v/>
      </c>
      <c r="G350" s="65">
        <f>Calc!$FH$352</f>
        <v/>
      </c>
      <c r="H350" s="65">
        <f>Calc!$FI$352</f>
        <v/>
      </c>
      <c r="I350" s="65">
        <f>Calc!$FJ$352</f>
        <v/>
      </c>
      <c r="J350" s="65">
        <f>Calc!$FK$352</f>
        <v/>
      </c>
      <c r="K350" s="65">
        <f>Calc!$FL$352</f>
        <v/>
      </c>
      <c r="L350" s="65">
        <f>Calc!$FM$352</f>
        <v/>
      </c>
      <c r="M350" s="66">
        <f>Calc!$FN$352</f>
        <v/>
      </c>
      <c r="N350" s="66">
        <f>Calc!$FO$352</f>
        <v/>
      </c>
      <c r="O350" s="65">
        <f>Calc!$FP$352</f>
        <v/>
      </c>
      <c r="P350" s="67">
        <f>Calc!$FQ$352</f>
        <v/>
      </c>
      <c r="Q350" s="68">
        <f>Calc!$FR$352</f>
        <v/>
      </c>
      <c r="R350" s="65">
        <f>Calc!$FS$352</f>
        <v/>
      </c>
      <c r="T350">
        <f>Calc!$EY$352</f>
        <v/>
      </c>
      <c r="U350">
        <f>Calc!$FT$352</f>
        <v/>
      </c>
      <c r="V350">
        <f>Calc!$FU$352</f>
        <v/>
      </c>
      <c r="W350">
        <f>Calc!$FC$352</f>
        <v/>
      </c>
      <c r="X350">
        <f>Calc!$EZ$352</f>
        <v/>
      </c>
      <c r="Y350">
        <f>Calc!$FA$352</f>
        <v/>
      </c>
      <c r="Z350">
        <f>Calc!$FV$352</f>
        <v/>
      </c>
      <c r="AA350">
        <f>IF($T350&lt;&gt;"row",0,IF($V350=1,IF($X350=1,IF($Y350=1,1,2),IF($Y350=1,3,4)),IF($X350=1,IF($Y350=1,5,6),IF($Y350=1,7,8))))</f>
        <v/>
      </c>
    </row>
    <row r="351" ht="11.25" customHeight="1">
      <c r="A351" s="64">
        <f>Calc!$FB$353</f>
        <v/>
      </c>
      <c r="B351" s="64">
        <f>Calc!$FC$353</f>
        <v/>
      </c>
      <c r="C351" s="65">
        <f>Calc!$FD$353</f>
        <v/>
      </c>
      <c r="D351" s="65">
        <f>Calc!$FE$353</f>
        <v/>
      </c>
      <c r="E351" s="65">
        <f>Calc!$FF$353</f>
        <v/>
      </c>
      <c r="F351" s="65">
        <f>Calc!$FG$353</f>
        <v/>
      </c>
      <c r="G351" s="65">
        <f>Calc!$FH$353</f>
        <v/>
      </c>
      <c r="H351" s="65">
        <f>Calc!$FI$353</f>
        <v/>
      </c>
      <c r="I351" s="65">
        <f>Calc!$FJ$353</f>
        <v/>
      </c>
      <c r="J351" s="65">
        <f>Calc!$FK$353</f>
        <v/>
      </c>
      <c r="K351" s="65">
        <f>Calc!$FL$353</f>
        <v/>
      </c>
      <c r="L351" s="65">
        <f>Calc!$FM$353</f>
        <v/>
      </c>
      <c r="M351" s="66">
        <f>Calc!$FN$353</f>
        <v/>
      </c>
      <c r="N351" s="66">
        <f>Calc!$FO$353</f>
        <v/>
      </c>
      <c r="O351" s="65">
        <f>Calc!$FP$353</f>
        <v/>
      </c>
      <c r="P351" s="67">
        <f>Calc!$FQ$353</f>
        <v/>
      </c>
      <c r="Q351" s="68">
        <f>Calc!$FR$353</f>
        <v/>
      </c>
      <c r="R351" s="65">
        <f>Calc!$FS$353</f>
        <v/>
      </c>
      <c r="T351">
        <f>Calc!$EY$353</f>
        <v/>
      </c>
      <c r="U351">
        <f>Calc!$FT$353</f>
        <v/>
      </c>
      <c r="V351">
        <f>Calc!$FU$353</f>
        <v/>
      </c>
      <c r="W351">
        <f>Calc!$FC$353</f>
        <v/>
      </c>
      <c r="X351">
        <f>Calc!$EZ$353</f>
        <v/>
      </c>
      <c r="Y351">
        <f>Calc!$FA$353</f>
        <v/>
      </c>
      <c r="Z351">
        <f>Calc!$FV$353</f>
        <v/>
      </c>
      <c r="AA351">
        <f>IF($T351&lt;&gt;"row",0,IF($V351=1,IF($X351=1,IF($Y351=1,1,2),IF($Y351=1,3,4)),IF($X351=1,IF($Y351=1,5,6),IF($Y351=1,7,8))))</f>
        <v/>
      </c>
    </row>
    <row r="352" ht="11.25" customHeight="1">
      <c r="A352" s="64">
        <f>Calc!$FB$354</f>
        <v/>
      </c>
      <c r="B352" s="64">
        <f>Calc!$FC$354</f>
        <v/>
      </c>
      <c r="C352" s="65">
        <f>Calc!$FD$354</f>
        <v/>
      </c>
      <c r="D352" s="65">
        <f>Calc!$FE$354</f>
        <v/>
      </c>
      <c r="E352" s="65">
        <f>Calc!$FF$354</f>
        <v/>
      </c>
      <c r="F352" s="65">
        <f>Calc!$FG$354</f>
        <v/>
      </c>
      <c r="G352" s="65">
        <f>Calc!$FH$354</f>
        <v/>
      </c>
      <c r="H352" s="65">
        <f>Calc!$FI$354</f>
        <v/>
      </c>
      <c r="I352" s="65">
        <f>Calc!$FJ$354</f>
        <v/>
      </c>
      <c r="J352" s="65">
        <f>Calc!$FK$354</f>
        <v/>
      </c>
      <c r="K352" s="65">
        <f>Calc!$FL$354</f>
        <v/>
      </c>
      <c r="L352" s="65">
        <f>Calc!$FM$354</f>
        <v/>
      </c>
      <c r="M352" s="66">
        <f>Calc!$FN$354</f>
        <v/>
      </c>
      <c r="N352" s="66">
        <f>Calc!$FO$354</f>
        <v/>
      </c>
      <c r="O352" s="65">
        <f>Calc!$FP$354</f>
        <v/>
      </c>
      <c r="P352" s="67">
        <f>Calc!$FQ$354</f>
        <v/>
      </c>
      <c r="Q352" s="68">
        <f>Calc!$FR$354</f>
        <v/>
      </c>
      <c r="R352" s="65">
        <f>Calc!$FS$354</f>
        <v/>
      </c>
      <c r="T352">
        <f>Calc!$EY$354</f>
        <v/>
      </c>
      <c r="U352">
        <f>Calc!$FT$354</f>
        <v/>
      </c>
      <c r="V352">
        <f>Calc!$FU$354</f>
        <v/>
      </c>
      <c r="W352">
        <f>Calc!$FC$354</f>
        <v/>
      </c>
      <c r="X352">
        <f>Calc!$EZ$354</f>
        <v/>
      </c>
      <c r="Y352">
        <f>Calc!$FA$354</f>
        <v/>
      </c>
      <c r="Z352">
        <f>Calc!$FV$354</f>
        <v/>
      </c>
      <c r="AA352">
        <f>IF($T352&lt;&gt;"row",0,IF($V352=1,IF($X352=1,IF($Y352=1,1,2),IF($Y352=1,3,4)),IF($X352=1,IF($Y352=1,5,6),IF($Y352=1,7,8))))</f>
        <v/>
      </c>
    </row>
    <row r="353" ht="11.25" customHeight="1">
      <c r="A353" s="64">
        <f>Calc!$FB$355</f>
        <v/>
      </c>
      <c r="B353" s="64">
        <f>Calc!$FC$355</f>
        <v/>
      </c>
      <c r="C353" s="65">
        <f>Calc!$FD$355</f>
        <v/>
      </c>
      <c r="D353" s="65">
        <f>Calc!$FE$355</f>
        <v/>
      </c>
      <c r="E353" s="65">
        <f>Calc!$FF$355</f>
        <v/>
      </c>
      <c r="F353" s="65">
        <f>Calc!$FG$355</f>
        <v/>
      </c>
      <c r="G353" s="65">
        <f>Calc!$FH$355</f>
        <v/>
      </c>
      <c r="H353" s="65">
        <f>Calc!$FI$355</f>
        <v/>
      </c>
      <c r="I353" s="65">
        <f>Calc!$FJ$355</f>
        <v/>
      </c>
      <c r="J353" s="65">
        <f>Calc!$FK$355</f>
        <v/>
      </c>
      <c r="K353" s="65">
        <f>Calc!$FL$355</f>
        <v/>
      </c>
      <c r="L353" s="65">
        <f>Calc!$FM$355</f>
        <v/>
      </c>
      <c r="M353" s="66">
        <f>Calc!$FN$355</f>
        <v/>
      </c>
      <c r="N353" s="66">
        <f>Calc!$FO$355</f>
        <v/>
      </c>
      <c r="O353" s="65">
        <f>Calc!$FP$355</f>
        <v/>
      </c>
      <c r="P353" s="67">
        <f>Calc!$FQ$355</f>
        <v/>
      </c>
      <c r="Q353" s="68">
        <f>Calc!$FR$355</f>
        <v/>
      </c>
      <c r="R353" s="65">
        <f>Calc!$FS$355</f>
        <v/>
      </c>
      <c r="T353">
        <f>Calc!$EY$355</f>
        <v/>
      </c>
      <c r="U353">
        <f>Calc!$FT$355</f>
        <v/>
      </c>
      <c r="V353">
        <f>Calc!$FU$355</f>
        <v/>
      </c>
      <c r="W353">
        <f>Calc!$FC$355</f>
        <v/>
      </c>
      <c r="X353">
        <f>Calc!$EZ$355</f>
        <v/>
      </c>
      <c r="Y353">
        <f>Calc!$FA$355</f>
        <v/>
      </c>
      <c r="Z353">
        <f>Calc!$FV$355</f>
        <v/>
      </c>
      <c r="AA353">
        <f>IF($T353&lt;&gt;"row",0,IF($V353=1,IF($X353=1,IF($Y353=1,1,2),IF($Y353=1,3,4)),IF($X353=1,IF($Y353=1,5,6),IF($Y353=1,7,8))))</f>
        <v/>
      </c>
    </row>
    <row r="354" ht="11.25" customHeight="1">
      <c r="A354" s="64">
        <f>Calc!$FB$356</f>
        <v/>
      </c>
      <c r="B354" s="64">
        <f>Calc!$FC$356</f>
        <v/>
      </c>
      <c r="C354" s="65">
        <f>Calc!$FD$356</f>
        <v/>
      </c>
      <c r="D354" s="65">
        <f>Calc!$FE$356</f>
        <v/>
      </c>
      <c r="E354" s="65">
        <f>Calc!$FF$356</f>
        <v/>
      </c>
      <c r="F354" s="65">
        <f>Calc!$FG$356</f>
        <v/>
      </c>
      <c r="G354" s="65">
        <f>Calc!$FH$356</f>
        <v/>
      </c>
      <c r="H354" s="65">
        <f>Calc!$FI$356</f>
        <v/>
      </c>
      <c r="I354" s="65">
        <f>Calc!$FJ$356</f>
        <v/>
      </c>
      <c r="J354" s="65">
        <f>Calc!$FK$356</f>
        <v/>
      </c>
      <c r="K354" s="65">
        <f>Calc!$FL$356</f>
        <v/>
      </c>
      <c r="L354" s="65">
        <f>Calc!$FM$356</f>
        <v/>
      </c>
      <c r="M354" s="66">
        <f>Calc!$FN$356</f>
        <v/>
      </c>
      <c r="N354" s="66">
        <f>Calc!$FO$356</f>
        <v/>
      </c>
      <c r="O354" s="65">
        <f>Calc!$FP$356</f>
        <v/>
      </c>
      <c r="P354" s="67">
        <f>Calc!$FQ$356</f>
        <v/>
      </c>
      <c r="Q354" s="68">
        <f>Calc!$FR$356</f>
        <v/>
      </c>
      <c r="R354" s="65">
        <f>Calc!$FS$356</f>
        <v/>
      </c>
      <c r="T354">
        <f>Calc!$EY$356</f>
        <v/>
      </c>
      <c r="U354">
        <f>Calc!$FT$356</f>
        <v/>
      </c>
      <c r="V354">
        <f>Calc!$FU$356</f>
        <v/>
      </c>
      <c r="W354">
        <f>Calc!$FC$356</f>
        <v/>
      </c>
      <c r="X354">
        <f>Calc!$EZ$356</f>
        <v/>
      </c>
      <c r="Y354">
        <f>Calc!$FA$356</f>
        <v/>
      </c>
      <c r="Z354">
        <f>Calc!$FV$356</f>
        <v/>
      </c>
      <c r="AA354">
        <f>IF($T354&lt;&gt;"row",0,IF($V354=1,IF($X354=1,IF($Y354=1,1,2),IF($Y354=1,3,4)),IF($X354=1,IF($Y354=1,5,6),IF($Y354=1,7,8))))</f>
        <v/>
      </c>
    </row>
    <row r="355" ht="11.25" customHeight="1">
      <c r="A355" s="64">
        <f>Calc!$FB$357</f>
        <v/>
      </c>
      <c r="B355" s="64">
        <f>Calc!$FC$357</f>
        <v/>
      </c>
      <c r="C355" s="65">
        <f>Calc!$FD$357</f>
        <v/>
      </c>
      <c r="D355" s="65">
        <f>Calc!$FE$357</f>
        <v/>
      </c>
      <c r="E355" s="65">
        <f>Calc!$FF$357</f>
        <v/>
      </c>
      <c r="F355" s="65">
        <f>Calc!$FG$357</f>
        <v/>
      </c>
      <c r="G355" s="65">
        <f>Calc!$FH$357</f>
        <v/>
      </c>
      <c r="H355" s="65">
        <f>Calc!$FI$357</f>
        <v/>
      </c>
      <c r="I355" s="65">
        <f>Calc!$FJ$357</f>
        <v/>
      </c>
      <c r="J355" s="65">
        <f>Calc!$FK$357</f>
        <v/>
      </c>
      <c r="K355" s="65">
        <f>Calc!$FL$357</f>
        <v/>
      </c>
      <c r="L355" s="65">
        <f>Calc!$FM$357</f>
        <v/>
      </c>
      <c r="M355" s="66">
        <f>Calc!$FN$357</f>
        <v/>
      </c>
      <c r="N355" s="66">
        <f>Calc!$FO$357</f>
        <v/>
      </c>
      <c r="O355" s="65">
        <f>Calc!$FP$357</f>
        <v/>
      </c>
      <c r="P355" s="67">
        <f>Calc!$FQ$357</f>
        <v/>
      </c>
      <c r="Q355" s="68">
        <f>Calc!$FR$357</f>
        <v/>
      </c>
      <c r="R355" s="65">
        <f>Calc!$FS$357</f>
        <v/>
      </c>
      <c r="T355">
        <f>Calc!$EY$357</f>
        <v/>
      </c>
      <c r="U355">
        <f>Calc!$FT$357</f>
        <v/>
      </c>
      <c r="V355">
        <f>Calc!$FU$357</f>
        <v/>
      </c>
      <c r="W355">
        <f>Calc!$FC$357</f>
        <v/>
      </c>
      <c r="X355">
        <f>Calc!$EZ$357</f>
        <v/>
      </c>
      <c r="Y355">
        <f>Calc!$FA$357</f>
        <v/>
      </c>
      <c r="Z355">
        <f>Calc!$FV$357</f>
        <v/>
      </c>
      <c r="AA355">
        <f>IF($T355&lt;&gt;"row",0,IF($V355=1,IF($X355=1,IF($Y355=1,1,2),IF($Y355=1,3,4)),IF($X355=1,IF($Y355=1,5,6),IF($Y355=1,7,8))))</f>
        <v/>
      </c>
    </row>
    <row r="356" ht="11.25" customHeight="1">
      <c r="A356" s="64">
        <f>Calc!$FB$358</f>
        <v/>
      </c>
      <c r="B356" s="64">
        <f>Calc!$FC$358</f>
        <v/>
      </c>
      <c r="C356" s="65">
        <f>Calc!$FD$358</f>
        <v/>
      </c>
      <c r="D356" s="65">
        <f>Calc!$FE$358</f>
        <v/>
      </c>
      <c r="E356" s="65">
        <f>Calc!$FF$358</f>
        <v/>
      </c>
      <c r="F356" s="65">
        <f>Calc!$FG$358</f>
        <v/>
      </c>
      <c r="G356" s="65">
        <f>Calc!$FH$358</f>
        <v/>
      </c>
      <c r="H356" s="65">
        <f>Calc!$FI$358</f>
        <v/>
      </c>
      <c r="I356" s="65">
        <f>Calc!$FJ$358</f>
        <v/>
      </c>
      <c r="J356" s="65">
        <f>Calc!$FK$358</f>
        <v/>
      </c>
      <c r="K356" s="65">
        <f>Calc!$FL$358</f>
        <v/>
      </c>
      <c r="L356" s="65">
        <f>Calc!$FM$358</f>
        <v/>
      </c>
      <c r="M356" s="66">
        <f>Calc!$FN$358</f>
        <v/>
      </c>
      <c r="N356" s="66">
        <f>Calc!$FO$358</f>
        <v/>
      </c>
      <c r="O356" s="65">
        <f>Calc!$FP$358</f>
        <v/>
      </c>
      <c r="P356" s="67">
        <f>Calc!$FQ$358</f>
        <v/>
      </c>
      <c r="Q356" s="68">
        <f>Calc!$FR$358</f>
        <v/>
      </c>
      <c r="R356" s="65">
        <f>Calc!$FS$358</f>
        <v/>
      </c>
      <c r="T356">
        <f>Calc!$EY$358</f>
        <v/>
      </c>
      <c r="U356">
        <f>Calc!$FT$358</f>
        <v/>
      </c>
      <c r="V356">
        <f>Calc!$FU$358</f>
        <v/>
      </c>
      <c r="W356">
        <f>Calc!$FC$358</f>
        <v/>
      </c>
      <c r="X356">
        <f>Calc!$EZ$358</f>
        <v/>
      </c>
      <c r="Y356">
        <f>Calc!$FA$358</f>
        <v/>
      </c>
      <c r="Z356">
        <f>Calc!$FV$358</f>
        <v/>
      </c>
      <c r="AA356">
        <f>IF($T356&lt;&gt;"row",0,IF($V356=1,IF($X356=1,IF($Y356=1,1,2),IF($Y356=1,3,4)),IF($X356=1,IF($Y356=1,5,6),IF($Y356=1,7,8))))</f>
        <v/>
      </c>
    </row>
    <row r="357" ht="11.25" customHeight="1">
      <c r="A357" s="64">
        <f>Calc!$FB$359</f>
        <v/>
      </c>
      <c r="B357" s="64">
        <f>Calc!$FC$359</f>
        <v/>
      </c>
      <c r="C357" s="65">
        <f>Calc!$FD$359</f>
        <v/>
      </c>
      <c r="D357" s="65">
        <f>Calc!$FE$359</f>
        <v/>
      </c>
      <c r="E357" s="65">
        <f>Calc!$FF$359</f>
        <v/>
      </c>
      <c r="F357" s="65">
        <f>Calc!$FG$359</f>
        <v/>
      </c>
      <c r="G357" s="65">
        <f>Calc!$FH$359</f>
        <v/>
      </c>
      <c r="H357" s="65">
        <f>Calc!$FI$359</f>
        <v/>
      </c>
      <c r="I357" s="65">
        <f>Calc!$FJ$359</f>
        <v/>
      </c>
      <c r="J357" s="65">
        <f>Calc!$FK$359</f>
        <v/>
      </c>
      <c r="K357" s="65">
        <f>Calc!$FL$359</f>
        <v/>
      </c>
      <c r="L357" s="65">
        <f>Calc!$FM$359</f>
        <v/>
      </c>
      <c r="M357" s="66">
        <f>Calc!$FN$359</f>
        <v/>
      </c>
      <c r="N357" s="66">
        <f>Calc!$FO$359</f>
        <v/>
      </c>
      <c r="O357" s="65">
        <f>Calc!$FP$359</f>
        <v/>
      </c>
      <c r="P357" s="67">
        <f>Calc!$FQ$359</f>
        <v/>
      </c>
      <c r="Q357" s="68">
        <f>Calc!$FR$359</f>
        <v/>
      </c>
      <c r="R357" s="65">
        <f>Calc!$FS$359</f>
        <v/>
      </c>
      <c r="T357">
        <f>Calc!$EY$359</f>
        <v/>
      </c>
      <c r="U357">
        <f>Calc!$FT$359</f>
        <v/>
      </c>
      <c r="V357">
        <f>Calc!$FU$359</f>
        <v/>
      </c>
      <c r="W357">
        <f>Calc!$FC$359</f>
        <v/>
      </c>
      <c r="X357">
        <f>Calc!$EZ$359</f>
        <v/>
      </c>
      <c r="Y357">
        <f>Calc!$FA$359</f>
        <v/>
      </c>
      <c r="Z357">
        <f>Calc!$FV$359</f>
        <v/>
      </c>
      <c r="AA357">
        <f>IF($T357&lt;&gt;"row",0,IF($V357=1,IF($X357=1,IF($Y357=1,1,2),IF($Y357=1,3,4)),IF($X357=1,IF($Y357=1,5,6),IF($Y357=1,7,8))))</f>
        <v/>
      </c>
    </row>
    <row r="358" ht="11.25" customHeight="1">
      <c r="A358" s="64">
        <f>Calc!$FB$360</f>
        <v/>
      </c>
      <c r="B358" s="64">
        <f>Calc!$FC$360</f>
        <v/>
      </c>
      <c r="C358" s="65">
        <f>Calc!$FD$360</f>
        <v/>
      </c>
      <c r="D358" s="65">
        <f>Calc!$FE$360</f>
        <v/>
      </c>
      <c r="E358" s="65">
        <f>Calc!$FF$360</f>
        <v/>
      </c>
      <c r="F358" s="65">
        <f>Calc!$FG$360</f>
        <v/>
      </c>
      <c r="G358" s="65">
        <f>Calc!$FH$360</f>
        <v/>
      </c>
      <c r="H358" s="65">
        <f>Calc!$FI$360</f>
        <v/>
      </c>
      <c r="I358" s="65">
        <f>Calc!$FJ$360</f>
        <v/>
      </c>
      <c r="J358" s="65">
        <f>Calc!$FK$360</f>
        <v/>
      </c>
      <c r="K358" s="65">
        <f>Calc!$FL$360</f>
        <v/>
      </c>
      <c r="L358" s="65">
        <f>Calc!$FM$360</f>
        <v/>
      </c>
      <c r="M358" s="66">
        <f>Calc!$FN$360</f>
        <v/>
      </c>
      <c r="N358" s="66">
        <f>Calc!$FO$360</f>
        <v/>
      </c>
      <c r="O358" s="65">
        <f>Calc!$FP$360</f>
        <v/>
      </c>
      <c r="P358" s="67">
        <f>Calc!$FQ$360</f>
        <v/>
      </c>
      <c r="Q358" s="68">
        <f>Calc!$FR$360</f>
        <v/>
      </c>
      <c r="R358" s="65">
        <f>Calc!$FS$360</f>
        <v/>
      </c>
      <c r="T358">
        <f>Calc!$EY$360</f>
        <v/>
      </c>
      <c r="U358">
        <f>Calc!$FT$360</f>
        <v/>
      </c>
      <c r="V358">
        <f>Calc!$FU$360</f>
        <v/>
      </c>
      <c r="W358">
        <f>Calc!$FC$360</f>
        <v/>
      </c>
      <c r="X358">
        <f>Calc!$EZ$360</f>
        <v/>
      </c>
      <c r="Y358">
        <f>Calc!$FA$360</f>
        <v/>
      </c>
      <c r="Z358">
        <f>Calc!$FV$360</f>
        <v/>
      </c>
      <c r="AA358">
        <f>IF($T358&lt;&gt;"row",0,IF($V358=1,IF($X358=1,IF($Y358=1,1,2),IF($Y358=1,3,4)),IF($X358=1,IF($Y358=1,5,6),IF($Y358=1,7,8))))</f>
        <v/>
      </c>
    </row>
    <row r="359" ht="11.25" customHeight="1">
      <c r="A359" s="64">
        <f>Calc!$FB$361</f>
        <v/>
      </c>
      <c r="B359" s="64">
        <f>Calc!$FC$361</f>
        <v/>
      </c>
      <c r="C359" s="65">
        <f>Calc!$FD$361</f>
        <v/>
      </c>
      <c r="D359" s="65">
        <f>Calc!$FE$361</f>
        <v/>
      </c>
      <c r="E359" s="65">
        <f>Calc!$FF$361</f>
        <v/>
      </c>
      <c r="F359" s="65">
        <f>Calc!$FG$361</f>
        <v/>
      </c>
      <c r="G359" s="65">
        <f>Calc!$FH$361</f>
        <v/>
      </c>
      <c r="H359" s="65">
        <f>Calc!$FI$361</f>
        <v/>
      </c>
      <c r="I359" s="65">
        <f>Calc!$FJ$361</f>
        <v/>
      </c>
      <c r="J359" s="65">
        <f>Calc!$FK$361</f>
        <v/>
      </c>
      <c r="K359" s="65">
        <f>Calc!$FL$361</f>
        <v/>
      </c>
      <c r="L359" s="65">
        <f>Calc!$FM$361</f>
        <v/>
      </c>
      <c r="M359" s="66">
        <f>Calc!$FN$361</f>
        <v/>
      </c>
      <c r="N359" s="66">
        <f>Calc!$FO$361</f>
        <v/>
      </c>
      <c r="O359" s="65">
        <f>Calc!$FP$361</f>
        <v/>
      </c>
      <c r="P359" s="67">
        <f>Calc!$FQ$361</f>
        <v/>
      </c>
      <c r="Q359" s="68">
        <f>Calc!$FR$361</f>
        <v/>
      </c>
      <c r="R359" s="65">
        <f>Calc!$FS$361</f>
        <v/>
      </c>
      <c r="T359">
        <f>Calc!$EY$361</f>
        <v/>
      </c>
      <c r="U359">
        <f>Calc!$FT$361</f>
        <v/>
      </c>
      <c r="V359">
        <f>Calc!$FU$361</f>
        <v/>
      </c>
      <c r="W359">
        <f>Calc!$FC$361</f>
        <v/>
      </c>
      <c r="X359">
        <f>Calc!$EZ$361</f>
        <v/>
      </c>
      <c r="Y359">
        <f>Calc!$FA$361</f>
        <v/>
      </c>
      <c r="Z359">
        <f>Calc!$FV$361</f>
        <v/>
      </c>
      <c r="AA359">
        <f>IF($T359&lt;&gt;"row",0,IF($V359=1,IF($X359=1,IF($Y359=1,1,2),IF($Y359=1,3,4)),IF($X359=1,IF($Y359=1,5,6),IF($Y359=1,7,8))))</f>
        <v/>
      </c>
    </row>
    <row r="360" ht="11.25" customHeight="1">
      <c r="A360" s="64">
        <f>Calc!$FB$362</f>
        <v/>
      </c>
      <c r="B360" s="64">
        <f>Calc!$FC$362</f>
        <v/>
      </c>
      <c r="C360" s="65">
        <f>Calc!$FD$362</f>
        <v/>
      </c>
      <c r="D360" s="65">
        <f>Calc!$FE$362</f>
        <v/>
      </c>
      <c r="E360" s="65">
        <f>Calc!$FF$362</f>
        <v/>
      </c>
      <c r="F360" s="65">
        <f>Calc!$FG$362</f>
        <v/>
      </c>
      <c r="G360" s="65">
        <f>Calc!$FH$362</f>
        <v/>
      </c>
      <c r="H360" s="65">
        <f>Calc!$FI$362</f>
        <v/>
      </c>
      <c r="I360" s="65">
        <f>Calc!$FJ$362</f>
        <v/>
      </c>
      <c r="J360" s="65">
        <f>Calc!$FK$362</f>
        <v/>
      </c>
      <c r="K360" s="65">
        <f>Calc!$FL$362</f>
        <v/>
      </c>
      <c r="L360" s="65">
        <f>Calc!$FM$362</f>
        <v/>
      </c>
      <c r="M360" s="66">
        <f>Calc!$FN$362</f>
        <v/>
      </c>
      <c r="N360" s="66">
        <f>Calc!$FO$362</f>
        <v/>
      </c>
      <c r="O360" s="65">
        <f>Calc!$FP$362</f>
        <v/>
      </c>
      <c r="P360" s="67">
        <f>Calc!$FQ$362</f>
        <v/>
      </c>
      <c r="Q360" s="68">
        <f>Calc!$FR$362</f>
        <v/>
      </c>
      <c r="R360" s="65">
        <f>Calc!$FS$362</f>
        <v/>
      </c>
      <c r="T360">
        <f>Calc!$EY$362</f>
        <v/>
      </c>
      <c r="U360">
        <f>Calc!$FT$362</f>
        <v/>
      </c>
      <c r="V360">
        <f>Calc!$FU$362</f>
        <v/>
      </c>
      <c r="W360">
        <f>Calc!$FC$362</f>
        <v/>
      </c>
      <c r="X360">
        <f>Calc!$EZ$362</f>
        <v/>
      </c>
      <c r="Y360">
        <f>Calc!$FA$362</f>
        <v/>
      </c>
      <c r="Z360">
        <f>Calc!$FV$362</f>
        <v/>
      </c>
      <c r="AA360">
        <f>IF($T360&lt;&gt;"row",0,IF($V360=1,IF($X360=1,IF($Y360=1,1,2),IF($Y360=1,3,4)),IF($X360=1,IF($Y360=1,5,6),IF($Y360=1,7,8))))</f>
        <v/>
      </c>
    </row>
    <row r="361" ht="11.25" customHeight="1">
      <c r="A361" s="64">
        <f>Calc!$FB$363</f>
        <v/>
      </c>
      <c r="B361" s="64">
        <f>Calc!$FC$363</f>
        <v/>
      </c>
      <c r="C361" s="65">
        <f>Calc!$FD$363</f>
        <v/>
      </c>
      <c r="D361" s="65">
        <f>Calc!$FE$363</f>
        <v/>
      </c>
      <c r="E361" s="65">
        <f>Calc!$FF$363</f>
        <v/>
      </c>
      <c r="F361" s="65">
        <f>Calc!$FG$363</f>
        <v/>
      </c>
      <c r="G361" s="65">
        <f>Calc!$FH$363</f>
        <v/>
      </c>
      <c r="H361" s="65">
        <f>Calc!$FI$363</f>
        <v/>
      </c>
      <c r="I361" s="65">
        <f>Calc!$FJ$363</f>
        <v/>
      </c>
      <c r="J361" s="65">
        <f>Calc!$FK$363</f>
        <v/>
      </c>
      <c r="K361" s="65">
        <f>Calc!$FL$363</f>
        <v/>
      </c>
      <c r="L361" s="65">
        <f>Calc!$FM$363</f>
        <v/>
      </c>
      <c r="M361" s="66">
        <f>Calc!$FN$363</f>
        <v/>
      </c>
      <c r="N361" s="66">
        <f>Calc!$FO$363</f>
        <v/>
      </c>
      <c r="O361" s="65">
        <f>Calc!$FP$363</f>
        <v/>
      </c>
      <c r="P361" s="67">
        <f>Calc!$FQ$363</f>
        <v/>
      </c>
      <c r="Q361" s="68">
        <f>Calc!$FR$363</f>
        <v/>
      </c>
      <c r="R361" s="65">
        <f>Calc!$FS$363</f>
        <v/>
      </c>
      <c r="T361">
        <f>Calc!$EY$363</f>
        <v/>
      </c>
      <c r="U361">
        <f>Calc!$FT$363</f>
        <v/>
      </c>
      <c r="V361">
        <f>Calc!$FU$363</f>
        <v/>
      </c>
      <c r="W361">
        <f>Calc!$FC$363</f>
        <v/>
      </c>
      <c r="X361">
        <f>Calc!$EZ$363</f>
        <v/>
      </c>
      <c r="Y361">
        <f>Calc!$FA$363</f>
        <v/>
      </c>
      <c r="Z361">
        <f>Calc!$FV$363</f>
        <v/>
      </c>
      <c r="AA361">
        <f>IF($T361&lt;&gt;"row",0,IF($V361=1,IF($X361=1,IF($Y361=1,1,2),IF($Y361=1,3,4)),IF($X361=1,IF($Y361=1,5,6),IF($Y361=1,7,8))))</f>
        <v/>
      </c>
    </row>
    <row r="362" ht="11.25" customHeight="1">
      <c r="A362" s="64">
        <f>Calc!$FB$364</f>
        <v/>
      </c>
      <c r="B362" s="64">
        <f>Calc!$FC$364</f>
        <v/>
      </c>
      <c r="C362" s="65">
        <f>Calc!$FD$364</f>
        <v/>
      </c>
      <c r="D362" s="65">
        <f>Calc!$FE$364</f>
        <v/>
      </c>
      <c r="E362" s="65">
        <f>Calc!$FF$364</f>
        <v/>
      </c>
      <c r="F362" s="65">
        <f>Calc!$FG$364</f>
        <v/>
      </c>
      <c r="G362" s="65">
        <f>Calc!$FH$364</f>
        <v/>
      </c>
      <c r="H362" s="65">
        <f>Calc!$FI$364</f>
        <v/>
      </c>
      <c r="I362" s="65">
        <f>Calc!$FJ$364</f>
        <v/>
      </c>
      <c r="J362" s="65">
        <f>Calc!$FK$364</f>
        <v/>
      </c>
      <c r="K362" s="65">
        <f>Calc!$FL$364</f>
        <v/>
      </c>
      <c r="L362" s="65">
        <f>Calc!$FM$364</f>
        <v/>
      </c>
      <c r="M362" s="66">
        <f>Calc!$FN$364</f>
        <v/>
      </c>
      <c r="N362" s="66">
        <f>Calc!$FO$364</f>
        <v/>
      </c>
      <c r="O362" s="65">
        <f>Calc!$FP$364</f>
        <v/>
      </c>
      <c r="P362" s="67">
        <f>Calc!$FQ$364</f>
        <v/>
      </c>
      <c r="Q362" s="68">
        <f>Calc!$FR$364</f>
        <v/>
      </c>
      <c r="R362" s="65">
        <f>Calc!$FS$364</f>
        <v/>
      </c>
      <c r="T362">
        <f>Calc!$EY$364</f>
        <v/>
      </c>
      <c r="U362">
        <f>Calc!$FT$364</f>
        <v/>
      </c>
      <c r="V362">
        <f>Calc!$FU$364</f>
        <v/>
      </c>
      <c r="W362">
        <f>Calc!$FC$364</f>
        <v/>
      </c>
      <c r="X362">
        <f>Calc!$EZ$364</f>
        <v/>
      </c>
      <c r="Y362">
        <f>Calc!$FA$364</f>
        <v/>
      </c>
      <c r="Z362">
        <f>Calc!$FV$364</f>
        <v/>
      </c>
      <c r="AA362">
        <f>IF($T362&lt;&gt;"row",0,IF($V362=1,IF($X362=1,IF($Y362=1,1,2),IF($Y362=1,3,4)),IF($X362=1,IF($Y362=1,5,6),IF($Y362=1,7,8))))</f>
        <v/>
      </c>
    </row>
    <row r="363" ht="11.25" customHeight="1">
      <c r="A363" s="64">
        <f>Calc!$FB$365</f>
        <v/>
      </c>
      <c r="B363" s="64">
        <f>Calc!$FC$365</f>
        <v/>
      </c>
      <c r="C363" s="65">
        <f>Calc!$FD$365</f>
        <v/>
      </c>
      <c r="D363" s="65">
        <f>Calc!$FE$365</f>
        <v/>
      </c>
      <c r="E363" s="65">
        <f>Calc!$FF$365</f>
        <v/>
      </c>
      <c r="F363" s="65">
        <f>Calc!$FG$365</f>
        <v/>
      </c>
      <c r="G363" s="65">
        <f>Calc!$FH$365</f>
        <v/>
      </c>
      <c r="H363" s="65">
        <f>Calc!$FI$365</f>
        <v/>
      </c>
      <c r="I363" s="65">
        <f>Calc!$FJ$365</f>
        <v/>
      </c>
      <c r="J363" s="65">
        <f>Calc!$FK$365</f>
        <v/>
      </c>
      <c r="K363" s="65">
        <f>Calc!$FL$365</f>
        <v/>
      </c>
      <c r="L363" s="65">
        <f>Calc!$FM$365</f>
        <v/>
      </c>
      <c r="M363" s="66">
        <f>Calc!$FN$365</f>
        <v/>
      </c>
      <c r="N363" s="66">
        <f>Calc!$FO$365</f>
        <v/>
      </c>
      <c r="O363" s="65">
        <f>Calc!$FP$365</f>
        <v/>
      </c>
      <c r="P363" s="67">
        <f>Calc!$FQ$365</f>
        <v/>
      </c>
      <c r="Q363" s="68">
        <f>Calc!$FR$365</f>
        <v/>
      </c>
      <c r="R363" s="65">
        <f>Calc!$FS$365</f>
        <v/>
      </c>
      <c r="T363">
        <f>Calc!$EY$365</f>
        <v/>
      </c>
      <c r="U363">
        <f>Calc!$FT$365</f>
        <v/>
      </c>
      <c r="V363">
        <f>Calc!$FU$365</f>
        <v/>
      </c>
      <c r="W363">
        <f>Calc!$FC$365</f>
        <v/>
      </c>
      <c r="X363">
        <f>Calc!$EZ$365</f>
        <v/>
      </c>
      <c r="Y363">
        <f>Calc!$FA$365</f>
        <v/>
      </c>
      <c r="Z363">
        <f>Calc!$FV$365</f>
        <v/>
      </c>
      <c r="AA363">
        <f>IF($T363&lt;&gt;"row",0,IF($V363=1,IF($X363=1,IF($Y363=1,1,2),IF($Y363=1,3,4)),IF($X363=1,IF($Y363=1,5,6),IF($Y363=1,7,8))))</f>
        <v/>
      </c>
    </row>
    <row r="364" ht="11.25" customHeight="1">
      <c r="A364" s="64">
        <f>Calc!$FB$366</f>
        <v/>
      </c>
      <c r="B364" s="64">
        <f>Calc!$FC$366</f>
        <v/>
      </c>
      <c r="C364" s="65">
        <f>Calc!$FD$366</f>
        <v/>
      </c>
      <c r="D364" s="65">
        <f>Calc!$FE$366</f>
        <v/>
      </c>
      <c r="E364" s="65">
        <f>Calc!$FF$366</f>
        <v/>
      </c>
      <c r="F364" s="65">
        <f>Calc!$FG$366</f>
        <v/>
      </c>
      <c r="G364" s="65">
        <f>Calc!$FH$366</f>
        <v/>
      </c>
      <c r="H364" s="65">
        <f>Calc!$FI$366</f>
        <v/>
      </c>
      <c r="I364" s="65">
        <f>Calc!$FJ$366</f>
        <v/>
      </c>
      <c r="J364" s="65">
        <f>Calc!$FK$366</f>
        <v/>
      </c>
      <c r="K364" s="65">
        <f>Calc!$FL$366</f>
        <v/>
      </c>
      <c r="L364" s="65">
        <f>Calc!$FM$366</f>
        <v/>
      </c>
      <c r="M364" s="66">
        <f>Calc!$FN$366</f>
        <v/>
      </c>
      <c r="N364" s="66">
        <f>Calc!$FO$366</f>
        <v/>
      </c>
      <c r="O364" s="65">
        <f>Calc!$FP$366</f>
        <v/>
      </c>
      <c r="P364" s="67">
        <f>Calc!$FQ$366</f>
        <v/>
      </c>
      <c r="Q364" s="68">
        <f>Calc!$FR$366</f>
        <v/>
      </c>
      <c r="R364" s="65">
        <f>Calc!$FS$366</f>
        <v/>
      </c>
      <c r="T364">
        <f>Calc!$EY$366</f>
        <v/>
      </c>
      <c r="U364">
        <f>Calc!$FT$366</f>
        <v/>
      </c>
      <c r="V364">
        <f>Calc!$FU$366</f>
        <v/>
      </c>
      <c r="W364">
        <f>Calc!$FC$366</f>
        <v/>
      </c>
      <c r="X364">
        <f>Calc!$EZ$366</f>
        <v/>
      </c>
      <c r="Y364">
        <f>Calc!$FA$366</f>
        <v/>
      </c>
      <c r="Z364">
        <f>Calc!$FV$366</f>
        <v/>
      </c>
      <c r="AA364">
        <f>IF($T364&lt;&gt;"row",0,IF($V364=1,IF($X364=1,IF($Y364=1,1,2),IF($Y364=1,3,4)),IF($X364=1,IF($Y364=1,5,6),IF($Y364=1,7,8))))</f>
        <v/>
      </c>
    </row>
    <row r="365" ht="11.25" customHeight="1">
      <c r="A365" s="64">
        <f>Calc!$FB$367</f>
        <v/>
      </c>
      <c r="B365" s="64">
        <f>Calc!$FC$367</f>
        <v/>
      </c>
      <c r="C365" s="65">
        <f>Calc!$FD$367</f>
        <v/>
      </c>
      <c r="D365" s="65">
        <f>Calc!$FE$367</f>
        <v/>
      </c>
      <c r="E365" s="65">
        <f>Calc!$FF$367</f>
        <v/>
      </c>
      <c r="F365" s="65">
        <f>Calc!$FG$367</f>
        <v/>
      </c>
      <c r="G365" s="65">
        <f>Calc!$FH$367</f>
        <v/>
      </c>
      <c r="H365" s="65">
        <f>Calc!$FI$367</f>
        <v/>
      </c>
      <c r="I365" s="65">
        <f>Calc!$FJ$367</f>
        <v/>
      </c>
      <c r="J365" s="65">
        <f>Calc!$FK$367</f>
        <v/>
      </c>
      <c r="K365" s="65">
        <f>Calc!$FL$367</f>
        <v/>
      </c>
      <c r="L365" s="65">
        <f>Calc!$FM$367</f>
        <v/>
      </c>
      <c r="M365" s="66">
        <f>Calc!$FN$367</f>
        <v/>
      </c>
      <c r="N365" s="66">
        <f>Calc!$FO$367</f>
        <v/>
      </c>
      <c r="O365" s="65">
        <f>Calc!$FP$367</f>
        <v/>
      </c>
      <c r="P365" s="67">
        <f>Calc!$FQ$367</f>
        <v/>
      </c>
      <c r="Q365" s="68">
        <f>Calc!$FR$367</f>
        <v/>
      </c>
      <c r="R365" s="65">
        <f>Calc!$FS$367</f>
        <v/>
      </c>
      <c r="T365">
        <f>Calc!$EY$367</f>
        <v/>
      </c>
      <c r="U365">
        <f>Calc!$FT$367</f>
        <v/>
      </c>
      <c r="V365">
        <f>Calc!$FU$367</f>
        <v/>
      </c>
      <c r="W365">
        <f>Calc!$FC$367</f>
        <v/>
      </c>
      <c r="X365">
        <f>Calc!$EZ$367</f>
        <v/>
      </c>
      <c r="Y365">
        <f>Calc!$FA$367</f>
        <v/>
      </c>
      <c r="Z365">
        <f>Calc!$FV$367</f>
        <v/>
      </c>
      <c r="AA365">
        <f>IF($T365&lt;&gt;"row",0,IF($V365=1,IF($X365=1,IF($Y365=1,1,2),IF($Y365=1,3,4)),IF($X365=1,IF($Y365=1,5,6),IF($Y365=1,7,8))))</f>
        <v/>
      </c>
    </row>
    <row r="366" ht="11.25" customHeight="1">
      <c r="A366" s="64">
        <f>Calc!$FB$368</f>
        <v/>
      </c>
      <c r="B366" s="64">
        <f>Calc!$FC$368</f>
        <v/>
      </c>
      <c r="C366" s="65">
        <f>Calc!$FD$368</f>
        <v/>
      </c>
      <c r="D366" s="65">
        <f>Calc!$FE$368</f>
        <v/>
      </c>
      <c r="E366" s="65">
        <f>Calc!$FF$368</f>
        <v/>
      </c>
      <c r="F366" s="65">
        <f>Calc!$FG$368</f>
        <v/>
      </c>
      <c r="G366" s="65">
        <f>Calc!$FH$368</f>
        <v/>
      </c>
      <c r="H366" s="65">
        <f>Calc!$FI$368</f>
        <v/>
      </c>
      <c r="I366" s="65">
        <f>Calc!$FJ$368</f>
        <v/>
      </c>
      <c r="J366" s="65">
        <f>Calc!$FK$368</f>
        <v/>
      </c>
      <c r="K366" s="65">
        <f>Calc!$FL$368</f>
        <v/>
      </c>
      <c r="L366" s="65">
        <f>Calc!$FM$368</f>
        <v/>
      </c>
      <c r="M366" s="66">
        <f>Calc!$FN$368</f>
        <v/>
      </c>
      <c r="N366" s="66">
        <f>Calc!$FO$368</f>
        <v/>
      </c>
      <c r="O366" s="65">
        <f>Calc!$FP$368</f>
        <v/>
      </c>
      <c r="P366" s="67">
        <f>Calc!$FQ$368</f>
        <v/>
      </c>
      <c r="Q366" s="68">
        <f>Calc!$FR$368</f>
        <v/>
      </c>
      <c r="R366" s="65">
        <f>Calc!$FS$368</f>
        <v/>
      </c>
      <c r="T366">
        <f>Calc!$EY$368</f>
        <v/>
      </c>
      <c r="U366">
        <f>Calc!$FT$368</f>
        <v/>
      </c>
      <c r="V366">
        <f>Calc!$FU$368</f>
        <v/>
      </c>
      <c r="W366">
        <f>Calc!$FC$368</f>
        <v/>
      </c>
      <c r="X366">
        <f>Calc!$EZ$368</f>
        <v/>
      </c>
      <c r="Y366">
        <f>Calc!$FA$368</f>
        <v/>
      </c>
      <c r="Z366">
        <f>Calc!$FV$368</f>
        <v/>
      </c>
      <c r="AA366">
        <f>IF($T366&lt;&gt;"row",0,IF($V366=1,IF($X366=1,IF($Y366=1,1,2),IF($Y366=1,3,4)),IF($X366=1,IF($Y366=1,5,6),IF($Y366=1,7,8))))</f>
        <v/>
      </c>
    </row>
    <row r="367" ht="11.25" customHeight="1">
      <c r="A367" s="64">
        <f>Calc!$FB$369</f>
        <v/>
      </c>
      <c r="B367" s="64">
        <f>Calc!$FC$369</f>
        <v/>
      </c>
      <c r="C367" s="65">
        <f>Calc!$FD$369</f>
        <v/>
      </c>
      <c r="D367" s="65">
        <f>Calc!$FE$369</f>
        <v/>
      </c>
      <c r="E367" s="65">
        <f>Calc!$FF$369</f>
        <v/>
      </c>
      <c r="F367" s="65">
        <f>Calc!$FG$369</f>
        <v/>
      </c>
      <c r="G367" s="65">
        <f>Calc!$FH$369</f>
        <v/>
      </c>
      <c r="H367" s="65">
        <f>Calc!$FI$369</f>
        <v/>
      </c>
      <c r="I367" s="65">
        <f>Calc!$FJ$369</f>
        <v/>
      </c>
      <c r="J367" s="65">
        <f>Calc!$FK$369</f>
        <v/>
      </c>
      <c r="K367" s="65">
        <f>Calc!$FL$369</f>
        <v/>
      </c>
      <c r="L367" s="65">
        <f>Calc!$FM$369</f>
        <v/>
      </c>
      <c r="M367" s="66">
        <f>Calc!$FN$369</f>
        <v/>
      </c>
      <c r="N367" s="66">
        <f>Calc!$FO$369</f>
        <v/>
      </c>
      <c r="O367" s="65">
        <f>Calc!$FP$369</f>
        <v/>
      </c>
      <c r="P367" s="67">
        <f>Calc!$FQ$369</f>
        <v/>
      </c>
      <c r="Q367" s="68">
        <f>Calc!$FR$369</f>
        <v/>
      </c>
      <c r="R367" s="65">
        <f>Calc!$FS$369</f>
        <v/>
      </c>
      <c r="T367">
        <f>Calc!$EY$369</f>
        <v/>
      </c>
      <c r="U367">
        <f>Calc!$FT$369</f>
        <v/>
      </c>
      <c r="V367">
        <f>Calc!$FU$369</f>
        <v/>
      </c>
      <c r="W367">
        <f>Calc!$FC$369</f>
        <v/>
      </c>
      <c r="X367">
        <f>Calc!$EZ$369</f>
        <v/>
      </c>
      <c r="Y367">
        <f>Calc!$FA$369</f>
        <v/>
      </c>
      <c r="Z367">
        <f>Calc!$FV$369</f>
        <v/>
      </c>
      <c r="AA367">
        <f>IF($T367&lt;&gt;"row",0,IF($V367=1,IF($X367=1,IF($Y367=1,1,2),IF($Y367=1,3,4)),IF($X367=1,IF($Y367=1,5,6),IF($Y367=1,7,8))))</f>
        <v/>
      </c>
    </row>
    <row r="368" ht="11.25" customHeight="1">
      <c r="A368" s="64">
        <f>Calc!$FB$370</f>
        <v/>
      </c>
      <c r="B368" s="64">
        <f>Calc!$FC$370</f>
        <v/>
      </c>
      <c r="C368" s="65">
        <f>Calc!$FD$370</f>
        <v/>
      </c>
      <c r="D368" s="65">
        <f>Calc!$FE$370</f>
        <v/>
      </c>
      <c r="E368" s="65">
        <f>Calc!$FF$370</f>
        <v/>
      </c>
      <c r="F368" s="65">
        <f>Calc!$FG$370</f>
        <v/>
      </c>
      <c r="G368" s="65">
        <f>Calc!$FH$370</f>
        <v/>
      </c>
      <c r="H368" s="65">
        <f>Calc!$FI$370</f>
        <v/>
      </c>
      <c r="I368" s="65">
        <f>Calc!$FJ$370</f>
        <v/>
      </c>
      <c r="J368" s="65">
        <f>Calc!$FK$370</f>
        <v/>
      </c>
      <c r="K368" s="65">
        <f>Calc!$FL$370</f>
        <v/>
      </c>
      <c r="L368" s="65">
        <f>Calc!$FM$370</f>
        <v/>
      </c>
      <c r="M368" s="66">
        <f>Calc!$FN$370</f>
        <v/>
      </c>
      <c r="N368" s="66">
        <f>Calc!$FO$370</f>
        <v/>
      </c>
      <c r="O368" s="65">
        <f>Calc!$FP$370</f>
        <v/>
      </c>
      <c r="P368" s="67">
        <f>Calc!$FQ$370</f>
        <v/>
      </c>
      <c r="Q368" s="68">
        <f>Calc!$FR$370</f>
        <v/>
      </c>
      <c r="R368" s="65">
        <f>Calc!$FS$370</f>
        <v/>
      </c>
      <c r="T368">
        <f>Calc!$EY$370</f>
        <v/>
      </c>
      <c r="U368">
        <f>Calc!$FT$370</f>
        <v/>
      </c>
      <c r="V368">
        <f>Calc!$FU$370</f>
        <v/>
      </c>
      <c r="W368">
        <f>Calc!$FC$370</f>
        <v/>
      </c>
      <c r="X368">
        <f>Calc!$EZ$370</f>
        <v/>
      </c>
      <c r="Y368">
        <f>Calc!$FA$370</f>
        <v/>
      </c>
      <c r="Z368">
        <f>Calc!$FV$370</f>
        <v/>
      </c>
      <c r="AA368">
        <f>IF($T368&lt;&gt;"row",0,IF($V368=1,IF($X368=1,IF($Y368=1,1,2),IF($Y368=1,3,4)),IF($X368=1,IF($Y368=1,5,6),IF($Y368=1,7,8))))</f>
        <v/>
      </c>
    </row>
    <row r="369" ht="11.25" customHeight="1">
      <c r="A369" s="64">
        <f>Calc!$FB$371</f>
        <v/>
      </c>
      <c r="B369" s="64">
        <f>Calc!$FC$371</f>
        <v/>
      </c>
      <c r="C369" s="65">
        <f>Calc!$FD$371</f>
        <v/>
      </c>
      <c r="D369" s="65">
        <f>Calc!$FE$371</f>
        <v/>
      </c>
      <c r="E369" s="65">
        <f>Calc!$FF$371</f>
        <v/>
      </c>
      <c r="F369" s="65">
        <f>Calc!$FG$371</f>
        <v/>
      </c>
      <c r="G369" s="65">
        <f>Calc!$FH$371</f>
        <v/>
      </c>
      <c r="H369" s="65">
        <f>Calc!$FI$371</f>
        <v/>
      </c>
      <c r="I369" s="65">
        <f>Calc!$FJ$371</f>
        <v/>
      </c>
      <c r="J369" s="65">
        <f>Calc!$FK$371</f>
        <v/>
      </c>
      <c r="K369" s="65">
        <f>Calc!$FL$371</f>
        <v/>
      </c>
      <c r="L369" s="65">
        <f>Calc!$FM$371</f>
        <v/>
      </c>
      <c r="M369" s="66">
        <f>Calc!$FN$371</f>
        <v/>
      </c>
      <c r="N369" s="66">
        <f>Calc!$FO$371</f>
        <v/>
      </c>
      <c r="O369" s="65">
        <f>Calc!$FP$371</f>
        <v/>
      </c>
      <c r="P369" s="67">
        <f>Calc!$FQ$371</f>
        <v/>
      </c>
      <c r="Q369" s="68">
        <f>Calc!$FR$371</f>
        <v/>
      </c>
      <c r="R369" s="65">
        <f>Calc!$FS$371</f>
        <v/>
      </c>
      <c r="T369">
        <f>Calc!$EY$371</f>
        <v/>
      </c>
      <c r="U369">
        <f>Calc!$FT$371</f>
        <v/>
      </c>
      <c r="V369">
        <f>Calc!$FU$371</f>
        <v/>
      </c>
      <c r="W369">
        <f>Calc!$FC$371</f>
        <v/>
      </c>
      <c r="X369">
        <f>Calc!$EZ$371</f>
        <v/>
      </c>
      <c r="Y369">
        <f>Calc!$FA$371</f>
        <v/>
      </c>
      <c r="Z369">
        <f>Calc!$FV$371</f>
        <v/>
      </c>
      <c r="AA369">
        <f>IF($T369&lt;&gt;"row",0,IF($V369=1,IF($X369=1,IF($Y369=1,1,2),IF($Y369=1,3,4)),IF($X369=1,IF($Y369=1,5,6),IF($Y369=1,7,8))))</f>
        <v/>
      </c>
    </row>
    <row r="370" ht="11.25" customHeight="1">
      <c r="A370" s="64">
        <f>Calc!$FB$372</f>
        <v/>
      </c>
      <c r="B370" s="64">
        <f>Calc!$FC$372</f>
        <v/>
      </c>
      <c r="C370" s="65">
        <f>Calc!$FD$372</f>
        <v/>
      </c>
      <c r="D370" s="65">
        <f>Calc!$FE$372</f>
        <v/>
      </c>
      <c r="E370" s="65">
        <f>Calc!$FF$372</f>
        <v/>
      </c>
      <c r="F370" s="65">
        <f>Calc!$FG$372</f>
        <v/>
      </c>
      <c r="G370" s="65">
        <f>Calc!$FH$372</f>
        <v/>
      </c>
      <c r="H370" s="65">
        <f>Calc!$FI$372</f>
        <v/>
      </c>
      <c r="I370" s="65">
        <f>Calc!$FJ$372</f>
        <v/>
      </c>
      <c r="J370" s="65">
        <f>Calc!$FK$372</f>
        <v/>
      </c>
      <c r="K370" s="65">
        <f>Calc!$FL$372</f>
        <v/>
      </c>
      <c r="L370" s="65">
        <f>Calc!$FM$372</f>
        <v/>
      </c>
      <c r="M370" s="66">
        <f>Calc!$FN$372</f>
        <v/>
      </c>
      <c r="N370" s="66">
        <f>Calc!$FO$372</f>
        <v/>
      </c>
      <c r="O370" s="65">
        <f>Calc!$FP$372</f>
        <v/>
      </c>
      <c r="P370" s="67">
        <f>Calc!$FQ$372</f>
        <v/>
      </c>
      <c r="Q370" s="68">
        <f>Calc!$FR$372</f>
        <v/>
      </c>
      <c r="R370" s="65">
        <f>Calc!$FS$372</f>
        <v/>
      </c>
      <c r="T370">
        <f>Calc!$EY$372</f>
        <v/>
      </c>
      <c r="U370">
        <f>Calc!$FT$372</f>
        <v/>
      </c>
      <c r="V370">
        <f>Calc!$FU$372</f>
        <v/>
      </c>
      <c r="W370">
        <f>Calc!$FC$372</f>
        <v/>
      </c>
      <c r="X370">
        <f>Calc!$EZ$372</f>
        <v/>
      </c>
      <c r="Y370">
        <f>Calc!$FA$372</f>
        <v/>
      </c>
      <c r="Z370">
        <f>Calc!$FV$372</f>
        <v/>
      </c>
      <c r="AA370">
        <f>IF($T370&lt;&gt;"row",0,IF($V370=1,IF($X370=1,IF($Y370=1,1,2),IF($Y370=1,3,4)),IF($X370=1,IF($Y370=1,5,6),IF($Y370=1,7,8))))</f>
        <v/>
      </c>
    </row>
    <row r="371" ht="11.25" customHeight="1">
      <c r="A371" s="64">
        <f>Calc!$FB$373</f>
        <v/>
      </c>
      <c r="B371" s="64">
        <f>Calc!$FC$373</f>
        <v/>
      </c>
      <c r="C371" s="65">
        <f>Calc!$FD$373</f>
        <v/>
      </c>
      <c r="D371" s="65">
        <f>Calc!$FE$373</f>
        <v/>
      </c>
      <c r="E371" s="65">
        <f>Calc!$FF$373</f>
        <v/>
      </c>
      <c r="F371" s="65">
        <f>Calc!$FG$373</f>
        <v/>
      </c>
      <c r="G371" s="65">
        <f>Calc!$FH$373</f>
        <v/>
      </c>
      <c r="H371" s="65">
        <f>Calc!$FI$373</f>
        <v/>
      </c>
      <c r="I371" s="65">
        <f>Calc!$FJ$373</f>
        <v/>
      </c>
      <c r="J371" s="65">
        <f>Calc!$FK$373</f>
        <v/>
      </c>
      <c r="K371" s="65">
        <f>Calc!$FL$373</f>
        <v/>
      </c>
      <c r="L371" s="65">
        <f>Calc!$FM$373</f>
        <v/>
      </c>
      <c r="M371" s="66">
        <f>Calc!$FN$373</f>
        <v/>
      </c>
      <c r="N371" s="66">
        <f>Calc!$FO$373</f>
        <v/>
      </c>
      <c r="O371" s="65">
        <f>Calc!$FP$373</f>
        <v/>
      </c>
      <c r="P371" s="67">
        <f>Calc!$FQ$373</f>
        <v/>
      </c>
      <c r="Q371" s="68">
        <f>Calc!$FR$373</f>
        <v/>
      </c>
      <c r="R371" s="65">
        <f>Calc!$FS$373</f>
        <v/>
      </c>
      <c r="T371">
        <f>Calc!$EY$373</f>
        <v/>
      </c>
      <c r="U371">
        <f>Calc!$FT$373</f>
        <v/>
      </c>
      <c r="V371">
        <f>Calc!$FU$373</f>
        <v/>
      </c>
      <c r="W371">
        <f>Calc!$FC$373</f>
        <v/>
      </c>
      <c r="X371">
        <f>Calc!$EZ$373</f>
        <v/>
      </c>
      <c r="Y371">
        <f>Calc!$FA$373</f>
        <v/>
      </c>
      <c r="Z371">
        <f>Calc!$FV$373</f>
        <v/>
      </c>
      <c r="AA371">
        <f>IF($T371&lt;&gt;"row",0,IF($V371=1,IF($X371=1,IF($Y371=1,1,2),IF($Y371=1,3,4)),IF($X371=1,IF($Y371=1,5,6),IF($Y371=1,7,8))))</f>
        <v/>
      </c>
    </row>
    <row r="372" ht="11.25" customHeight="1">
      <c r="A372" s="64">
        <f>Calc!$FB$374</f>
        <v/>
      </c>
      <c r="B372" s="64">
        <f>Calc!$FC$374</f>
        <v/>
      </c>
      <c r="C372" s="65">
        <f>Calc!$FD$374</f>
        <v/>
      </c>
      <c r="D372" s="65">
        <f>Calc!$FE$374</f>
        <v/>
      </c>
      <c r="E372" s="65">
        <f>Calc!$FF$374</f>
        <v/>
      </c>
      <c r="F372" s="65">
        <f>Calc!$FG$374</f>
        <v/>
      </c>
      <c r="G372" s="65">
        <f>Calc!$FH$374</f>
        <v/>
      </c>
      <c r="H372" s="65">
        <f>Calc!$FI$374</f>
        <v/>
      </c>
      <c r="I372" s="65">
        <f>Calc!$FJ$374</f>
        <v/>
      </c>
      <c r="J372" s="65">
        <f>Calc!$FK$374</f>
        <v/>
      </c>
      <c r="K372" s="65">
        <f>Calc!$FL$374</f>
        <v/>
      </c>
      <c r="L372" s="65">
        <f>Calc!$FM$374</f>
        <v/>
      </c>
      <c r="M372" s="66">
        <f>Calc!$FN$374</f>
        <v/>
      </c>
      <c r="N372" s="66">
        <f>Calc!$FO$374</f>
        <v/>
      </c>
      <c r="O372" s="65">
        <f>Calc!$FP$374</f>
        <v/>
      </c>
      <c r="P372" s="67">
        <f>Calc!$FQ$374</f>
        <v/>
      </c>
      <c r="Q372" s="68">
        <f>Calc!$FR$374</f>
        <v/>
      </c>
      <c r="R372" s="65">
        <f>Calc!$FS$374</f>
        <v/>
      </c>
      <c r="T372">
        <f>Calc!$EY$374</f>
        <v/>
      </c>
      <c r="U372">
        <f>Calc!$FT$374</f>
        <v/>
      </c>
      <c r="V372">
        <f>Calc!$FU$374</f>
        <v/>
      </c>
      <c r="W372">
        <f>Calc!$FC$374</f>
        <v/>
      </c>
      <c r="X372">
        <f>Calc!$EZ$374</f>
        <v/>
      </c>
      <c r="Y372">
        <f>Calc!$FA$374</f>
        <v/>
      </c>
      <c r="Z372">
        <f>Calc!$FV$374</f>
        <v/>
      </c>
      <c r="AA372">
        <f>IF($T372&lt;&gt;"row",0,IF($V372=1,IF($X372=1,IF($Y372=1,1,2),IF($Y372=1,3,4)),IF($X372=1,IF($Y372=1,5,6),IF($Y372=1,7,8))))</f>
        <v/>
      </c>
    </row>
    <row r="373" ht="11.25" customHeight="1">
      <c r="A373" s="64">
        <f>Calc!$FB$375</f>
        <v/>
      </c>
      <c r="B373" s="64">
        <f>Calc!$FC$375</f>
        <v/>
      </c>
      <c r="C373" s="65">
        <f>Calc!$FD$375</f>
        <v/>
      </c>
      <c r="D373" s="65">
        <f>Calc!$FE$375</f>
        <v/>
      </c>
      <c r="E373" s="65">
        <f>Calc!$FF$375</f>
        <v/>
      </c>
      <c r="F373" s="65">
        <f>Calc!$FG$375</f>
        <v/>
      </c>
      <c r="G373" s="65">
        <f>Calc!$FH$375</f>
        <v/>
      </c>
      <c r="H373" s="65">
        <f>Calc!$FI$375</f>
        <v/>
      </c>
      <c r="I373" s="65">
        <f>Calc!$FJ$375</f>
        <v/>
      </c>
      <c r="J373" s="65">
        <f>Calc!$FK$375</f>
        <v/>
      </c>
      <c r="K373" s="65">
        <f>Calc!$FL$375</f>
        <v/>
      </c>
      <c r="L373" s="65">
        <f>Calc!$FM$375</f>
        <v/>
      </c>
      <c r="M373" s="66">
        <f>Calc!$FN$375</f>
        <v/>
      </c>
      <c r="N373" s="66">
        <f>Calc!$FO$375</f>
        <v/>
      </c>
      <c r="O373" s="65">
        <f>Calc!$FP$375</f>
        <v/>
      </c>
      <c r="P373" s="67">
        <f>Calc!$FQ$375</f>
        <v/>
      </c>
      <c r="Q373" s="68">
        <f>Calc!$FR$375</f>
        <v/>
      </c>
      <c r="R373" s="65">
        <f>Calc!$FS$375</f>
        <v/>
      </c>
      <c r="T373">
        <f>Calc!$EY$375</f>
        <v/>
      </c>
      <c r="U373">
        <f>Calc!$FT$375</f>
        <v/>
      </c>
      <c r="V373">
        <f>Calc!$FU$375</f>
        <v/>
      </c>
      <c r="W373">
        <f>Calc!$FC$375</f>
        <v/>
      </c>
      <c r="X373">
        <f>Calc!$EZ$375</f>
        <v/>
      </c>
      <c r="Y373">
        <f>Calc!$FA$375</f>
        <v/>
      </c>
      <c r="Z373">
        <f>Calc!$FV$375</f>
        <v/>
      </c>
      <c r="AA373">
        <f>IF($T373&lt;&gt;"row",0,IF($V373=1,IF($X373=1,IF($Y373=1,1,2),IF($Y373=1,3,4)),IF($X373=1,IF($Y373=1,5,6),IF($Y373=1,7,8))))</f>
        <v/>
      </c>
    </row>
    <row r="374" ht="11.25" customHeight="1">
      <c r="A374" s="64">
        <f>Calc!$FB$376</f>
        <v/>
      </c>
      <c r="B374" s="64">
        <f>Calc!$FC$376</f>
        <v/>
      </c>
      <c r="C374" s="65">
        <f>Calc!$FD$376</f>
        <v/>
      </c>
      <c r="D374" s="65">
        <f>Calc!$FE$376</f>
        <v/>
      </c>
      <c r="E374" s="65">
        <f>Calc!$FF$376</f>
        <v/>
      </c>
      <c r="F374" s="65">
        <f>Calc!$FG$376</f>
        <v/>
      </c>
      <c r="G374" s="65">
        <f>Calc!$FH$376</f>
        <v/>
      </c>
      <c r="H374" s="65">
        <f>Calc!$FI$376</f>
        <v/>
      </c>
      <c r="I374" s="65">
        <f>Calc!$FJ$376</f>
        <v/>
      </c>
      <c r="J374" s="65">
        <f>Calc!$FK$376</f>
        <v/>
      </c>
      <c r="K374" s="65">
        <f>Calc!$FL$376</f>
        <v/>
      </c>
      <c r="L374" s="65">
        <f>Calc!$FM$376</f>
        <v/>
      </c>
      <c r="M374" s="66">
        <f>Calc!$FN$376</f>
        <v/>
      </c>
      <c r="N374" s="66">
        <f>Calc!$FO$376</f>
        <v/>
      </c>
      <c r="O374" s="65">
        <f>Calc!$FP$376</f>
        <v/>
      </c>
      <c r="P374" s="67">
        <f>Calc!$FQ$376</f>
        <v/>
      </c>
      <c r="Q374" s="68">
        <f>Calc!$FR$376</f>
        <v/>
      </c>
      <c r="R374" s="65">
        <f>Calc!$FS$376</f>
        <v/>
      </c>
      <c r="T374">
        <f>Calc!$EY$376</f>
        <v/>
      </c>
      <c r="U374">
        <f>Calc!$FT$376</f>
        <v/>
      </c>
      <c r="V374">
        <f>Calc!$FU$376</f>
        <v/>
      </c>
      <c r="W374">
        <f>Calc!$FC$376</f>
        <v/>
      </c>
      <c r="X374">
        <f>Calc!$EZ$376</f>
        <v/>
      </c>
      <c r="Y374">
        <f>Calc!$FA$376</f>
        <v/>
      </c>
      <c r="Z374">
        <f>Calc!$FV$376</f>
        <v/>
      </c>
      <c r="AA374">
        <f>IF($T374&lt;&gt;"row",0,IF($V374=1,IF($X374=1,IF($Y374=1,1,2),IF($Y374=1,3,4)),IF($X374=1,IF($Y374=1,5,6),IF($Y374=1,7,8))))</f>
        <v/>
      </c>
    </row>
    <row r="375" ht="11.25" customHeight="1">
      <c r="A375" s="64">
        <f>Calc!$FB$377</f>
        <v/>
      </c>
      <c r="B375" s="64">
        <f>Calc!$FC$377</f>
        <v/>
      </c>
      <c r="C375" s="65">
        <f>Calc!$FD$377</f>
        <v/>
      </c>
      <c r="D375" s="65">
        <f>Calc!$FE$377</f>
        <v/>
      </c>
      <c r="E375" s="65">
        <f>Calc!$FF$377</f>
        <v/>
      </c>
      <c r="F375" s="65">
        <f>Calc!$FG$377</f>
        <v/>
      </c>
      <c r="G375" s="65">
        <f>Calc!$FH$377</f>
        <v/>
      </c>
      <c r="H375" s="65">
        <f>Calc!$FI$377</f>
        <v/>
      </c>
      <c r="I375" s="65">
        <f>Calc!$FJ$377</f>
        <v/>
      </c>
      <c r="J375" s="65">
        <f>Calc!$FK$377</f>
        <v/>
      </c>
      <c r="K375" s="65">
        <f>Calc!$FL$377</f>
        <v/>
      </c>
      <c r="L375" s="65">
        <f>Calc!$FM$377</f>
        <v/>
      </c>
      <c r="M375" s="66">
        <f>Calc!$FN$377</f>
        <v/>
      </c>
      <c r="N375" s="66">
        <f>Calc!$FO$377</f>
        <v/>
      </c>
      <c r="O375" s="65">
        <f>Calc!$FP$377</f>
        <v/>
      </c>
      <c r="P375" s="67">
        <f>Calc!$FQ$377</f>
        <v/>
      </c>
      <c r="Q375" s="68">
        <f>Calc!$FR$377</f>
        <v/>
      </c>
      <c r="R375" s="65">
        <f>Calc!$FS$377</f>
        <v/>
      </c>
      <c r="T375">
        <f>Calc!$EY$377</f>
        <v/>
      </c>
      <c r="U375">
        <f>Calc!$FT$377</f>
        <v/>
      </c>
      <c r="V375">
        <f>Calc!$FU$377</f>
        <v/>
      </c>
      <c r="W375">
        <f>Calc!$FC$377</f>
        <v/>
      </c>
      <c r="X375">
        <f>Calc!$EZ$377</f>
        <v/>
      </c>
      <c r="Y375">
        <f>Calc!$FA$377</f>
        <v/>
      </c>
      <c r="Z375">
        <f>Calc!$FV$377</f>
        <v/>
      </c>
      <c r="AA375">
        <f>IF($T375&lt;&gt;"row",0,IF($V375=1,IF($X375=1,IF($Y375=1,1,2),IF($Y375=1,3,4)),IF($X375=1,IF($Y375=1,5,6),IF($Y375=1,7,8))))</f>
        <v/>
      </c>
    </row>
    <row r="376" ht="11.25" customHeight="1">
      <c r="A376" s="64">
        <f>Calc!$FB$378</f>
        <v/>
      </c>
      <c r="B376" s="64">
        <f>Calc!$FC$378</f>
        <v/>
      </c>
      <c r="C376" s="65">
        <f>Calc!$FD$378</f>
        <v/>
      </c>
      <c r="D376" s="65">
        <f>Calc!$FE$378</f>
        <v/>
      </c>
      <c r="E376" s="65">
        <f>Calc!$FF$378</f>
        <v/>
      </c>
      <c r="F376" s="65">
        <f>Calc!$FG$378</f>
        <v/>
      </c>
      <c r="G376" s="65">
        <f>Calc!$FH$378</f>
        <v/>
      </c>
      <c r="H376" s="65">
        <f>Calc!$FI$378</f>
        <v/>
      </c>
      <c r="I376" s="65">
        <f>Calc!$FJ$378</f>
        <v/>
      </c>
      <c r="J376" s="65">
        <f>Calc!$FK$378</f>
        <v/>
      </c>
      <c r="K376" s="65">
        <f>Calc!$FL$378</f>
        <v/>
      </c>
      <c r="L376" s="65">
        <f>Calc!$FM$378</f>
        <v/>
      </c>
      <c r="M376" s="66">
        <f>Calc!$FN$378</f>
        <v/>
      </c>
      <c r="N376" s="66">
        <f>Calc!$FO$378</f>
        <v/>
      </c>
      <c r="O376" s="65">
        <f>Calc!$FP$378</f>
        <v/>
      </c>
      <c r="P376" s="67">
        <f>Calc!$FQ$378</f>
        <v/>
      </c>
      <c r="Q376" s="68">
        <f>Calc!$FR$378</f>
        <v/>
      </c>
      <c r="R376" s="65">
        <f>Calc!$FS$378</f>
        <v/>
      </c>
      <c r="T376">
        <f>Calc!$EY$378</f>
        <v/>
      </c>
      <c r="U376">
        <f>Calc!$FT$378</f>
        <v/>
      </c>
      <c r="V376">
        <f>Calc!$FU$378</f>
        <v/>
      </c>
      <c r="W376">
        <f>Calc!$FC$378</f>
        <v/>
      </c>
      <c r="X376">
        <f>Calc!$EZ$378</f>
        <v/>
      </c>
      <c r="Y376">
        <f>Calc!$FA$378</f>
        <v/>
      </c>
      <c r="Z376">
        <f>Calc!$FV$378</f>
        <v/>
      </c>
      <c r="AA376">
        <f>IF($T376&lt;&gt;"row",0,IF($V376=1,IF($X376=1,IF($Y376=1,1,2),IF($Y376=1,3,4)),IF($X376=1,IF($Y376=1,5,6),IF($Y376=1,7,8))))</f>
        <v/>
      </c>
    </row>
    <row r="377" ht="11.25" customHeight="1">
      <c r="A377" s="64">
        <f>Calc!$FB$379</f>
        <v/>
      </c>
      <c r="B377" s="64">
        <f>Calc!$FC$379</f>
        <v/>
      </c>
      <c r="C377" s="65">
        <f>Calc!$FD$379</f>
        <v/>
      </c>
      <c r="D377" s="65">
        <f>Calc!$FE$379</f>
        <v/>
      </c>
      <c r="E377" s="65">
        <f>Calc!$FF$379</f>
        <v/>
      </c>
      <c r="F377" s="65">
        <f>Calc!$FG$379</f>
        <v/>
      </c>
      <c r="G377" s="65">
        <f>Calc!$FH$379</f>
        <v/>
      </c>
      <c r="H377" s="65">
        <f>Calc!$FI$379</f>
        <v/>
      </c>
      <c r="I377" s="65">
        <f>Calc!$FJ$379</f>
        <v/>
      </c>
      <c r="J377" s="65">
        <f>Calc!$FK$379</f>
        <v/>
      </c>
      <c r="K377" s="65">
        <f>Calc!$FL$379</f>
        <v/>
      </c>
      <c r="L377" s="65">
        <f>Calc!$FM$379</f>
        <v/>
      </c>
      <c r="M377" s="66">
        <f>Calc!$FN$379</f>
        <v/>
      </c>
      <c r="N377" s="66">
        <f>Calc!$FO$379</f>
        <v/>
      </c>
      <c r="O377" s="65">
        <f>Calc!$FP$379</f>
        <v/>
      </c>
      <c r="P377" s="67">
        <f>Calc!$FQ$379</f>
        <v/>
      </c>
      <c r="Q377" s="68">
        <f>Calc!$FR$379</f>
        <v/>
      </c>
      <c r="R377" s="65">
        <f>Calc!$FS$379</f>
        <v/>
      </c>
      <c r="T377">
        <f>Calc!$EY$379</f>
        <v/>
      </c>
      <c r="U377">
        <f>Calc!$FT$379</f>
        <v/>
      </c>
      <c r="V377">
        <f>Calc!$FU$379</f>
        <v/>
      </c>
      <c r="W377">
        <f>Calc!$FC$379</f>
        <v/>
      </c>
      <c r="X377">
        <f>Calc!$EZ$379</f>
        <v/>
      </c>
      <c r="Y377">
        <f>Calc!$FA$379</f>
        <v/>
      </c>
      <c r="Z377">
        <f>Calc!$FV$379</f>
        <v/>
      </c>
      <c r="AA377">
        <f>IF($T377&lt;&gt;"row",0,IF($V377=1,IF($X377=1,IF($Y377=1,1,2),IF($Y377=1,3,4)),IF($X377=1,IF($Y377=1,5,6),IF($Y377=1,7,8))))</f>
        <v/>
      </c>
    </row>
    <row r="378" ht="11.25" customHeight="1">
      <c r="A378" s="64">
        <f>Calc!$FB$380</f>
        <v/>
      </c>
      <c r="B378" s="64">
        <f>Calc!$FC$380</f>
        <v/>
      </c>
      <c r="C378" s="65">
        <f>Calc!$FD$380</f>
        <v/>
      </c>
      <c r="D378" s="65">
        <f>Calc!$FE$380</f>
        <v/>
      </c>
      <c r="E378" s="65">
        <f>Calc!$FF$380</f>
        <v/>
      </c>
      <c r="F378" s="65">
        <f>Calc!$FG$380</f>
        <v/>
      </c>
      <c r="G378" s="65">
        <f>Calc!$FH$380</f>
        <v/>
      </c>
      <c r="H378" s="65">
        <f>Calc!$FI$380</f>
        <v/>
      </c>
      <c r="I378" s="65">
        <f>Calc!$FJ$380</f>
        <v/>
      </c>
      <c r="J378" s="65">
        <f>Calc!$FK$380</f>
        <v/>
      </c>
      <c r="K378" s="65">
        <f>Calc!$FL$380</f>
        <v/>
      </c>
      <c r="L378" s="65">
        <f>Calc!$FM$380</f>
        <v/>
      </c>
      <c r="M378" s="66">
        <f>Calc!$FN$380</f>
        <v/>
      </c>
      <c r="N378" s="66">
        <f>Calc!$FO$380</f>
        <v/>
      </c>
      <c r="O378" s="65">
        <f>Calc!$FP$380</f>
        <v/>
      </c>
      <c r="P378" s="67">
        <f>Calc!$FQ$380</f>
        <v/>
      </c>
      <c r="Q378" s="68">
        <f>Calc!$FR$380</f>
        <v/>
      </c>
      <c r="R378" s="65">
        <f>Calc!$FS$380</f>
        <v/>
      </c>
      <c r="T378">
        <f>Calc!$EY$380</f>
        <v/>
      </c>
      <c r="U378">
        <f>Calc!$FT$380</f>
        <v/>
      </c>
      <c r="V378">
        <f>Calc!$FU$380</f>
        <v/>
      </c>
      <c r="W378">
        <f>Calc!$FC$380</f>
        <v/>
      </c>
      <c r="X378">
        <f>Calc!$EZ$380</f>
        <v/>
      </c>
      <c r="Y378">
        <f>Calc!$FA$380</f>
        <v/>
      </c>
      <c r="Z378">
        <f>Calc!$FV$380</f>
        <v/>
      </c>
      <c r="AA378">
        <f>IF($T378&lt;&gt;"row",0,IF($V378=1,IF($X378=1,IF($Y378=1,1,2),IF($Y378=1,3,4)),IF($X378=1,IF($Y378=1,5,6),IF($Y378=1,7,8))))</f>
        <v/>
      </c>
    </row>
    <row r="379" ht="11.25" customHeight="1">
      <c r="A379" s="64">
        <f>Calc!$FB$381</f>
        <v/>
      </c>
      <c r="B379" s="64">
        <f>Calc!$FC$381</f>
        <v/>
      </c>
      <c r="C379" s="65">
        <f>Calc!$FD$381</f>
        <v/>
      </c>
      <c r="D379" s="65">
        <f>Calc!$FE$381</f>
        <v/>
      </c>
      <c r="E379" s="65">
        <f>Calc!$FF$381</f>
        <v/>
      </c>
      <c r="F379" s="65">
        <f>Calc!$FG$381</f>
        <v/>
      </c>
      <c r="G379" s="65">
        <f>Calc!$FH$381</f>
        <v/>
      </c>
      <c r="H379" s="65">
        <f>Calc!$FI$381</f>
        <v/>
      </c>
      <c r="I379" s="65">
        <f>Calc!$FJ$381</f>
        <v/>
      </c>
      <c r="J379" s="65">
        <f>Calc!$FK$381</f>
        <v/>
      </c>
      <c r="K379" s="65">
        <f>Calc!$FL$381</f>
        <v/>
      </c>
      <c r="L379" s="65">
        <f>Calc!$FM$381</f>
        <v/>
      </c>
      <c r="M379" s="66">
        <f>Calc!$FN$381</f>
        <v/>
      </c>
      <c r="N379" s="66">
        <f>Calc!$FO$381</f>
        <v/>
      </c>
      <c r="O379" s="65">
        <f>Calc!$FP$381</f>
        <v/>
      </c>
      <c r="P379" s="67">
        <f>Calc!$FQ$381</f>
        <v/>
      </c>
      <c r="Q379" s="68">
        <f>Calc!$FR$381</f>
        <v/>
      </c>
      <c r="R379" s="65">
        <f>Calc!$FS$381</f>
        <v/>
      </c>
      <c r="T379">
        <f>Calc!$EY$381</f>
        <v/>
      </c>
      <c r="U379">
        <f>Calc!$FT$381</f>
        <v/>
      </c>
      <c r="V379">
        <f>Calc!$FU$381</f>
        <v/>
      </c>
      <c r="W379">
        <f>Calc!$FC$381</f>
        <v/>
      </c>
      <c r="X379">
        <f>Calc!$EZ$381</f>
        <v/>
      </c>
      <c r="Y379">
        <f>Calc!$FA$381</f>
        <v/>
      </c>
      <c r="Z379">
        <f>Calc!$FV$381</f>
        <v/>
      </c>
      <c r="AA379">
        <f>IF($T379&lt;&gt;"row",0,IF($V379=1,IF($X379=1,IF($Y379=1,1,2),IF($Y379=1,3,4)),IF($X379=1,IF($Y379=1,5,6),IF($Y379=1,7,8))))</f>
        <v/>
      </c>
    </row>
    <row r="380" ht="11.25" customHeight="1">
      <c r="A380" s="64">
        <f>Calc!$FB$382</f>
        <v/>
      </c>
      <c r="B380" s="64">
        <f>Calc!$FC$382</f>
        <v/>
      </c>
      <c r="C380" s="65">
        <f>Calc!$FD$382</f>
        <v/>
      </c>
      <c r="D380" s="65">
        <f>Calc!$FE$382</f>
        <v/>
      </c>
      <c r="E380" s="65">
        <f>Calc!$FF$382</f>
        <v/>
      </c>
      <c r="F380" s="65">
        <f>Calc!$FG$382</f>
        <v/>
      </c>
      <c r="G380" s="65">
        <f>Calc!$FH$382</f>
        <v/>
      </c>
      <c r="H380" s="65">
        <f>Calc!$FI$382</f>
        <v/>
      </c>
      <c r="I380" s="65">
        <f>Calc!$FJ$382</f>
        <v/>
      </c>
      <c r="J380" s="65">
        <f>Calc!$FK$382</f>
        <v/>
      </c>
      <c r="K380" s="65">
        <f>Calc!$FL$382</f>
        <v/>
      </c>
      <c r="L380" s="65">
        <f>Calc!$FM$382</f>
        <v/>
      </c>
      <c r="M380" s="66">
        <f>Calc!$FN$382</f>
        <v/>
      </c>
      <c r="N380" s="66">
        <f>Calc!$FO$382</f>
        <v/>
      </c>
      <c r="O380" s="65">
        <f>Calc!$FP$382</f>
        <v/>
      </c>
      <c r="P380" s="67">
        <f>Calc!$FQ$382</f>
        <v/>
      </c>
      <c r="Q380" s="68">
        <f>Calc!$FR$382</f>
        <v/>
      </c>
      <c r="R380" s="65">
        <f>Calc!$FS$382</f>
        <v/>
      </c>
      <c r="T380">
        <f>Calc!$EY$382</f>
        <v/>
      </c>
      <c r="U380">
        <f>Calc!$FT$382</f>
        <v/>
      </c>
      <c r="V380">
        <f>Calc!$FU$382</f>
        <v/>
      </c>
      <c r="W380">
        <f>Calc!$FC$382</f>
        <v/>
      </c>
      <c r="X380">
        <f>Calc!$EZ$382</f>
        <v/>
      </c>
      <c r="Y380">
        <f>Calc!$FA$382</f>
        <v/>
      </c>
      <c r="Z380">
        <f>Calc!$FV$382</f>
        <v/>
      </c>
      <c r="AA380">
        <f>IF($T380&lt;&gt;"row",0,IF($V380=1,IF($X380=1,IF($Y380=1,1,2),IF($Y380=1,3,4)),IF($X380=1,IF($Y380=1,5,6),IF($Y380=1,7,8))))</f>
        <v/>
      </c>
    </row>
    <row r="381" ht="11.25" customHeight="1">
      <c r="A381" s="64">
        <f>Calc!$FB$383</f>
        <v/>
      </c>
      <c r="B381" s="64">
        <f>Calc!$FC$383</f>
        <v/>
      </c>
      <c r="C381" s="65">
        <f>Calc!$FD$383</f>
        <v/>
      </c>
      <c r="D381" s="65">
        <f>Calc!$FE$383</f>
        <v/>
      </c>
      <c r="E381" s="65">
        <f>Calc!$FF$383</f>
        <v/>
      </c>
      <c r="F381" s="65">
        <f>Calc!$FG$383</f>
        <v/>
      </c>
      <c r="G381" s="65">
        <f>Calc!$FH$383</f>
        <v/>
      </c>
      <c r="H381" s="65">
        <f>Calc!$FI$383</f>
        <v/>
      </c>
      <c r="I381" s="65">
        <f>Calc!$FJ$383</f>
        <v/>
      </c>
      <c r="J381" s="65">
        <f>Calc!$FK$383</f>
        <v/>
      </c>
      <c r="K381" s="65">
        <f>Calc!$FL$383</f>
        <v/>
      </c>
      <c r="L381" s="65">
        <f>Calc!$FM$383</f>
        <v/>
      </c>
      <c r="M381" s="66">
        <f>Calc!$FN$383</f>
        <v/>
      </c>
      <c r="N381" s="66">
        <f>Calc!$FO$383</f>
        <v/>
      </c>
      <c r="O381" s="65">
        <f>Calc!$FP$383</f>
        <v/>
      </c>
      <c r="P381" s="67">
        <f>Calc!$FQ$383</f>
        <v/>
      </c>
      <c r="Q381" s="68">
        <f>Calc!$FR$383</f>
        <v/>
      </c>
      <c r="R381" s="65">
        <f>Calc!$FS$383</f>
        <v/>
      </c>
      <c r="T381">
        <f>Calc!$EY$383</f>
        <v/>
      </c>
      <c r="U381">
        <f>Calc!$FT$383</f>
        <v/>
      </c>
      <c r="V381">
        <f>Calc!$FU$383</f>
        <v/>
      </c>
      <c r="W381">
        <f>Calc!$FC$383</f>
        <v/>
      </c>
      <c r="X381">
        <f>Calc!$EZ$383</f>
        <v/>
      </c>
      <c r="Y381">
        <f>Calc!$FA$383</f>
        <v/>
      </c>
      <c r="Z381">
        <f>Calc!$FV$383</f>
        <v/>
      </c>
      <c r="AA381">
        <f>IF($T381&lt;&gt;"row",0,IF($V381=1,IF($X381=1,IF($Y381=1,1,2),IF($Y381=1,3,4)),IF($X381=1,IF($Y381=1,5,6),IF($Y381=1,7,8))))</f>
        <v/>
      </c>
    </row>
    <row r="382" ht="11.25" customHeight="1">
      <c r="A382" s="64">
        <f>Calc!$FB$384</f>
        <v/>
      </c>
      <c r="B382" s="64">
        <f>Calc!$FC$384</f>
        <v/>
      </c>
      <c r="C382" s="65">
        <f>Calc!$FD$384</f>
        <v/>
      </c>
      <c r="D382" s="65">
        <f>Calc!$FE$384</f>
        <v/>
      </c>
      <c r="E382" s="65">
        <f>Calc!$FF$384</f>
        <v/>
      </c>
      <c r="F382" s="65">
        <f>Calc!$FG$384</f>
        <v/>
      </c>
      <c r="G382" s="65">
        <f>Calc!$FH$384</f>
        <v/>
      </c>
      <c r="H382" s="65">
        <f>Calc!$FI$384</f>
        <v/>
      </c>
      <c r="I382" s="65">
        <f>Calc!$FJ$384</f>
        <v/>
      </c>
      <c r="J382" s="65">
        <f>Calc!$FK$384</f>
        <v/>
      </c>
      <c r="K382" s="65">
        <f>Calc!$FL$384</f>
        <v/>
      </c>
      <c r="L382" s="65">
        <f>Calc!$FM$384</f>
        <v/>
      </c>
      <c r="M382" s="66">
        <f>Calc!$FN$384</f>
        <v/>
      </c>
      <c r="N382" s="66">
        <f>Calc!$FO$384</f>
        <v/>
      </c>
      <c r="O382" s="65">
        <f>Calc!$FP$384</f>
        <v/>
      </c>
      <c r="P382" s="67">
        <f>Calc!$FQ$384</f>
        <v/>
      </c>
      <c r="Q382" s="68">
        <f>Calc!$FR$384</f>
        <v/>
      </c>
      <c r="R382" s="65">
        <f>Calc!$FS$384</f>
        <v/>
      </c>
      <c r="T382">
        <f>Calc!$EY$384</f>
        <v/>
      </c>
      <c r="U382">
        <f>Calc!$FT$384</f>
        <v/>
      </c>
      <c r="V382">
        <f>Calc!$FU$384</f>
        <v/>
      </c>
      <c r="W382">
        <f>Calc!$FC$384</f>
        <v/>
      </c>
      <c r="X382">
        <f>Calc!$EZ$384</f>
        <v/>
      </c>
      <c r="Y382">
        <f>Calc!$FA$384</f>
        <v/>
      </c>
      <c r="Z382">
        <f>Calc!$FV$384</f>
        <v/>
      </c>
      <c r="AA382">
        <f>IF($T382&lt;&gt;"row",0,IF($V382=1,IF($X382=1,IF($Y382=1,1,2),IF($Y382=1,3,4)),IF($X382=1,IF($Y382=1,5,6),IF($Y382=1,7,8))))</f>
        <v/>
      </c>
    </row>
    <row r="383" ht="11.25" customHeight="1">
      <c r="A383" s="64">
        <f>Calc!$FB$385</f>
        <v/>
      </c>
      <c r="B383" s="64">
        <f>Calc!$FC$385</f>
        <v/>
      </c>
      <c r="C383" s="65">
        <f>Calc!$FD$385</f>
        <v/>
      </c>
      <c r="D383" s="65">
        <f>Calc!$FE$385</f>
        <v/>
      </c>
      <c r="E383" s="65">
        <f>Calc!$FF$385</f>
        <v/>
      </c>
      <c r="F383" s="65">
        <f>Calc!$FG$385</f>
        <v/>
      </c>
      <c r="G383" s="65">
        <f>Calc!$FH$385</f>
        <v/>
      </c>
      <c r="H383" s="65">
        <f>Calc!$FI$385</f>
        <v/>
      </c>
      <c r="I383" s="65">
        <f>Calc!$FJ$385</f>
        <v/>
      </c>
      <c r="J383" s="65">
        <f>Calc!$FK$385</f>
        <v/>
      </c>
      <c r="K383" s="65">
        <f>Calc!$FL$385</f>
        <v/>
      </c>
      <c r="L383" s="65">
        <f>Calc!$FM$385</f>
        <v/>
      </c>
      <c r="M383" s="66">
        <f>Calc!$FN$385</f>
        <v/>
      </c>
      <c r="N383" s="66">
        <f>Calc!$FO$385</f>
        <v/>
      </c>
      <c r="O383" s="65">
        <f>Calc!$FP$385</f>
        <v/>
      </c>
      <c r="P383" s="67">
        <f>Calc!$FQ$385</f>
        <v/>
      </c>
      <c r="Q383" s="68">
        <f>Calc!$FR$385</f>
        <v/>
      </c>
      <c r="R383" s="65">
        <f>Calc!$FS$385</f>
        <v/>
      </c>
      <c r="T383">
        <f>Calc!$EY$385</f>
        <v/>
      </c>
      <c r="U383">
        <f>Calc!$FT$385</f>
        <v/>
      </c>
      <c r="V383">
        <f>Calc!$FU$385</f>
        <v/>
      </c>
      <c r="W383">
        <f>Calc!$FC$385</f>
        <v/>
      </c>
      <c r="X383">
        <f>Calc!$EZ$385</f>
        <v/>
      </c>
      <c r="Y383">
        <f>Calc!$FA$385</f>
        <v/>
      </c>
      <c r="Z383">
        <f>Calc!$FV$385</f>
        <v/>
      </c>
      <c r="AA383">
        <f>IF($T383&lt;&gt;"row",0,IF($V383=1,IF($X383=1,IF($Y383=1,1,2),IF($Y383=1,3,4)),IF($X383=1,IF($Y383=1,5,6),IF($Y383=1,7,8))))</f>
        <v/>
      </c>
    </row>
    <row r="384" ht="11.25" customHeight="1">
      <c r="A384" s="64">
        <f>Calc!$FB$386</f>
        <v/>
      </c>
      <c r="B384" s="64">
        <f>Calc!$FC$386</f>
        <v/>
      </c>
      <c r="C384" s="65">
        <f>Calc!$FD$386</f>
        <v/>
      </c>
      <c r="D384" s="65">
        <f>Calc!$FE$386</f>
        <v/>
      </c>
      <c r="E384" s="65">
        <f>Calc!$FF$386</f>
        <v/>
      </c>
      <c r="F384" s="65">
        <f>Calc!$FG$386</f>
        <v/>
      </c>
      <c r="G384" s="65">
        <f>Calc!$FH$386</f>
        <v/>
      </c>
      <c r="H384" s="65">
        <f>Calc!$FI$386</f>
        <v/>
      </c>
      <c r="I384" s="65">
        <f>Calc!$FJ$386</f>
        <v/>
      </c>
      <c r="J384" s="65">
        <f>Calc!$FK$386</f>
        <v/>
      </c>
      <c r="K384" s="65">
        <f>Calc!$FL$386</f>
        <v/>
      </c>
      <c r="L384" s="65">
        <f>Calc!$FM$386</f>
        <v/>
      </c>
      <c r="M384" s="66">
        <f>Calc!$FN$386</f>
        <v/>
      </c>
      <c r="N384" s="66">
        <f>Calc!$FO$386</f>
        <v/>
      </c>
      <c r="O384" s="65">
        <f>Calc!$FP$386</f>
        <v/>
      </c>
      <c r="P384" s="67">
        <f>Calc!$FQ$386</f>
        <v/>
      </c>
      <c r="Q384" s="68">
        <f>Calc!$FR$386</f>
        <v/>
      </c>
      <c r="R384" s="65">
        <f>Calc!$FS$386</f>
        <v/>
      </c>
      <c r="T384">
        <f>Calc!$EY$386</f>
        <v/>
      </c>
      <c r="U384">
        <f>Calc!$FT$386</f>
        <v/>
      </c>
      <c r="V384">
        <f>Calc!$FU$386</f>
        <v/>
      </c>
      <c r="W384">
        <f>Calc!$FC$386</f>
        <v/>
      </c>
      <c r="X384">
        <f>Calc!$EZ$386</f>
        <v/>
      </c>
      <c r="Y384">
        <f>Calc!$FA$386</f>
        <v/>
      </c>
      <c r="Z384">
        <f>Calc!$FV$386</f>
        <v/>
      </c>
      <c r="AA384">
        <f>IF($T384&lt;&gt;"row",0,IF($V384=1,IF($X384=1,IF($Y384=1,1,2),IF($Y384=1,3,4)),IF($X384=1,IF($Y384=1,5,6),IF($Y384=1,7,8))))</f>
        <v/>
      </c>
    </row>
    <row r="385" ht="11.25" customHeight="1">
      <c r="A385" s="64">
        <f>Calc!$FB$387</f>
        <v/>
      </c>
      <c r="B385" s="64">
        <f>Calc!$FC$387</f>
        <v/>
      </c>
      <c r="C385" s="65">
        <f>Calc!$FD$387</f>
        <v/>
      </c>
      <c r="D385" s="65">
        <f>Calc!$FE$387</f>
        <v/>
      </c>
      <c r="E385" s="65">
        <f>Calc!$FF$387</f>
        <v/>
      </c>
      <c r="F385" s="65">
        <f>Calc!$FG$387</f>
        <v/>
      </c>
      <c r="G385" s="65">
        <f>Calc!$FH$387</f>
        <v/>
      </c>
      <c r="H385" s="65">
        <f>Calc!$FI$387</f>
        <v/>
      </c>
      <c r="I385" s="65">
        <f>Calc!$FJ$387</f>
        <v/>
      </c>
      <c r="J385" s="65">
        <f>Calc!$FK$387</f>
        <v/>
      </c>
      <c r="K385" s="65">
        <f>Calc!$FL$387</f>
        <v/>
      </c>
      <c r="L385" s="65">
        <f>Calc!$FM$387</f>
        <v/>
      </c>
      <c r="M385" s="66">
        <f>Calc!$FN$387</f>
        <v/>
      </c>
      <c r="N385" s="66">
        <f>Calc!$FO$387</f>
        <v/>
      </c>
      <c r="O385" s="65">
        <f>Calc!$FP$387</f>
        <v/>
      </c>
      <c r="P385" s="67">
        <f>Calc!$FQ$387</f>
        <v/>
      </c>
      <c r="Q385" s="68">
        <f>Calc!$FR$387</f>
        <v/>
      </c>
      <c r="R385" s="65">
        <f>Calc!$FS$387</f>
        <v/>
      </c>
      <c r="T385">
        <f>Calc!$EY$387</f>
        <v/>
      </c>
      <c r="U385">
        <f>Calc!$FT$387</f>
        <v/>
      </c>
      <c r="V385">
        <f>Calc!$FU$387</f>
        <v/>
      </c>
      <c r="W385">
        <f>Calc!$FC$387</f>
        <v/>
      </c>
      <c r="X385">
        <f>Calc!$EZ$387</f>
        <v/>
      </c>
      <c r="Y385">
        <f>Calc!$FA$387</f>
        <v/>
      </c>
      <c r="Z385">
        <f>Calc!$FV$387</f>
        <v/>
      </c>
      <c r="AA385">
        <f>IF($T385&lt;&gt;"row",0,IF($V385=1,IF($X385=1,IF($Y385=1,1,2),IF($Y385=1,3,4)),IF($X385=1,IF($Y385=1,5,6),IF($Y385=1,7,8))))</f>
        <v/>
      </c>
    </row>
    <row r="386" ht="11.25" customHeight="1">
      <c r="A386" s="64">
        <f>Calc!$FB$388</f>
        <v/>
      </c>
      <c r="B386" s="64">
        <f>Calc!$FC$388</f>
        <v/>
      </c>
      <c r="C386" s="65">
        <f>Calc!$FD$388</f>
        <v/>
      </c>
      <c r="D386" s="65">
        <f>Calc!$FE$388</f>
        <v/>
      </c>
      <c r="E386" s="65">
        <f>Calc!$FF$388</f>
        <v/>
      </c>
      <c r="F386" s="65">
        <f>Calc!$FG$388</f>
        <v/>
      </c>
      <c r="G386" s="65">
        <f>Calc!$FH$388</f>
        <v/>
      </c>
      <c r="H386" s="65">
        <f>Calc!$FI$388</f>
        <v/>
      </c>
      <c r="I386" s="65">
        <f>Calc!$FJ$388</f>
        <v/>
      </c>
      <c r="J386" s="65">
        <f>Calc!$FK$388</f>
        <v/>
      </c>
      <c r="K386" s="65">
        <f>Calc!$FL$388</f>
        <v/>
      </c>
      <c r="L386" s="65">
        <f>Calc!$FM$388</f>
        <v/>
      </c>
      <c r="M386" s="66">
        <f>Calc!$FN$388</f>
        <v/>
      </c>
      <c r="N386" s="66">
        <f>Calc!$FO$388</f>
        <v/>
      </c>
      <c r="O386" s="65">
        <f>Calc!$FP$388</f>
        <v/>
      </c>
      <c r="P386" s="67">
        <f>Calc!$FQ$388</f>
        <v/>
      </c>
      <c r="Q386" s="68">
        <f>Calc!$FR$388</f>
        <v/>
      </c>
      <c r="R386" s="65">
        <f>Calc!$FS$388</f>
        <v/>
      </c>
      <c r="T386">
        <f>Calc!$EY$388</f>
        <v/>
      </c>
      <c r="U386">
        <f>Calc!$FT$388</f>
        <v/>
      </c>
      <c r="V386">
        <f>Calc!$FU$388</f>
        <v/>
      </c>
      <c r="W386">
        <f>Calc!$FC$388</f>
        <v/>
      </c>
      <c r="X386">
        <f>Calc!$EZ$388</f>
        <v/>
      </c>
      <c r="Y386">
        <f>Calc!$FA$388</f>
        <v/>
      </c>
      <c r="Z386">
        <f>Calc!$FV$388</f>
        <v/>
      </c>
      <c r="AA386">
        <f>IF($T386&lt;&gt;"row",0,IF($V386=1,IF($X386=1,IF($Y386=1,1,2),IF($Y386=1,3,4)),IF($X386=1,IF($Y386=1,5,6),IF($Y386=1,7,8))))</f>
        <v/>
      </c>
    </row>
    <row r="387" ht="11.25" customHeight="1">
      <c r="A387" s="64">
        <f>Calc!$FB$389</f>
        <v/>
      </c>
      <c r="B387" s="64">
        <f>Calc!$FC$389</f>
        <v/>
      </c>
      <c r="C387" s="65">
        <f>Calc!$FD$389</f>
        <v/>
      </c>
      <c r="D387" s="65">
        <f>Calc!$FE$389</f>
        <v/>
      </c>
      <c r="E387" s="65">
        <f>Calc!$FF$389</f>
        <v/>
      </c>
      <c r="F387" s="65">
        <f>Calc!$FG$389</f>
        <v/>
      </c>
      <c r="G387" s="65">
        <f>Calc!$FH$389</f>
        <v/>
      </c>
      <c r="H387" s="65">
        <f>Calc!$FI$389</f>
        <v/>
      </c>
      <c r="I387" s="65">
        <f>Calc!$FJ$389</f>
        <v/>
      </c>
      <c r="J387" s="65">
        <f>Calc!$FK$389</f>
        <v/>
      </c>
      <c r="K387" s="65">
        <f>Calc!$FL$389</f>
        <v/>
      </c>
      <c r="L387" s="65">
        <f>Calc!$FM$389</f>
        <v/>
      </c>
      <c r="M387" s="66">
        <f>Calc!$FN$389</f>
        <v/>
      </c>
      <c r="N387" s="66">
        <f>Calc!$FO$389</f>
        <v/>
      </c>
      <c r="O387" s="65">
        <f>Calc!$FP$389</f>
        <v/>
      </c>
      <c r="P387" s="67">
        <f>Calc!$FQ$389</f>
        <v/>
      </c>
      <c r="Q387" s="68">
        <f>Calc!$FR$389</f>
        <v/>
      </c>
      <c r="R387" s="65">
        <f>Calc!$FS$389</f>
        <v/>
      </c>
      <c r="T387">
        <f>Calc!$EY$389</f>
        <v/>
      </c>
      <c r="U387">
        <f>Calc!$FT$389</f>
        <v/>
      </c>
      <c r="V387">
        <f>Calc!$FU$389</f>
        <v/>
      </c>
      <c r="W387">
        <f>Calc!$FC$389</f>
        <v/>
      </c>
      <c r="X387">
        <f>Calc!$EZ$389</f>
        <v/>
      </c>
      <c r="Y387">
        <f>Calc!$FA$389</f>
        <v/>
      </c>
      <c r="Z387">
        <f>Calc!$FV$389</f>
        <v/>
      </c>
      <c r="AA387">
        <f>IF($T387&lt;&gt;"row",0,IF($V387=1,IF($X387=1,IF($Y387=1,1,2),IF($Y387=1,3,4)),IF($X387=1,IF($Y387=1,5,6),IF($Y387=1,7,8))))</f>
        <v/>
      </c>
    </row>
    <row r="388" ht="11.25" customHeight="1">
      <c r="A388" s="64">
        <f>Calc!$FB$390</f>
        <v/>
      </c>
      <c r="B388" s="64">
        <f>Calc!$FC$390</f>
        <v/>
      </c>
      <c r="C388" s="65">
        <f>Calc!$FD$390</f>
        <v/>
      </c>
      <c r="D388" s="65">
        <f>Calc!$FE$390</f>
        <v/>
      </c>
      <c r="E388" s="65">
        <f>Calc!$FF$390</f>
        <v/>
      </c>
      <c r="F388" s="65">
        <f>Calc!$FG$390</f>
        <v/>
      </c>
      <c r="G388" s="65">
        <f>Calc!$FH$390</f>
        <v/>
      </c>
      <c r="H388" s="65">
        <f>Calc!$FI$390</f>
        <v/>
      </c>
      <c r="I388" s="65">
        <f>Calc!$FJ$390</f>
        <v/>
      </c>
      <c r="J388" s="65">
        <f>Calc!$FK$390</f>
        <v/>
      </c>
      <c r="K388" s="65">
        <f>Calc!$FL$390</f>
        <v/>
      </c>
      <c r="L388" s="65">
        <f>Calc!$FM$390</f>
        <v/>
      </c>
      <c r="M388" s="66">
        <f>Calc!$FN$390</f>
        <v/>
      </c>
      <c r="N388" s="66">
        <f>Calc!$FO$390</f>
        <v/>
      </c>
      <c r="O388" s="65">
        <f>Calc!$FP$390</f>
        <v/>
      </c>
      <c r="P388" s="67">
        <f>Calc!$FQ$390</f>
        <v/>
      </c>
      <c r="Q388" s="68">
        <f>Calc!$FR$390</f>
        <v/>
      </c>
      <c r="R388" s="65">
        <f>Calc!$FS$390</f>
        <v/>
      </c>
      <c r="T388">
        <f>Calc!$EY$390</f>
        <v/>
      </c>
      <c r="U388">
        <f>Calc!$FT$390</f>
        <v/>
      </c>
      <c r="V388">
        <f>Calc!$FU$390</f>
        <v/>
      </c>
      <c r="W388">
        <f>Calc!$FC$390</f>
        <v/>
      </c>
      <c r="X388">
        <f>Calc!$EZ$390</f>
        <v/>
      </c>
      <c r="Y388">
        <f>Calc!$FA$390</f>
        <v/>
      </c>
      <c r="Z388">
        <f>Calc!$FV$390</f>
        <v/>
      </c>
      <c r="AA388">
        <f>IF($T388&lt;&gt;"row",0,IF($V388=1,IF($X388=1,IF($Y388=1,1,2),IF($Y388=1,3,4)),IF($X388=1,IF($Y388=1,5,6),IF($Y388=1,7,8))))</f>
        <v/>
      </c>
    </row>
    <row r="389" ht="11.25" customHeight="1">
      <c r="A389" s="64">
        <f>Calc!$FB$391</f>
        <v/>
      </c>
      <c r="B389" s="64">
        <f>Calc!$FC$391</f>
        <v/>
      </c>
      <c r="C389" s="65">
        <f>Calc!$FD$391</f>
        <v/>
      </c>
      <c r="D389" s="65">
        <f>Calc!$FE$391</f>
        <v/>
      </c>
      <c r="E389" s="65">
        <f>Calc!$FF$391</f>
        <v/>
      </c>
      <c r="F389" s="65">
        <f>Calc!$FG$391</f>
        <v/>
      </c>
      <c r="G389" s="65">
        <f>Calc!$FH$391</f>
        <v/>
      </c>
      <c r="H389" s="65">
        <f>Calc!$FI$391</f>
        <v/>
      </c>
      <c r="I389" s="65">
        <f>Calc!$FJ$391</f>
        <v/>
      </c>
      <c r="J389" s="65">
        <f>Calc!$FK$391</f>
        <v/>
      </c>
      <c r="K389" s="65">
        <f>Calc!$FL$391</f>
        <v/>
      </c>
      <c r="L389" s="65">
        <f>Calc!$FM$391</f>
        <v/>
      </c>
      <c r="M389" s="66">
        <f>Calc!$FN$391</f>
        <v/>
      </c>
      <c r="N389" s="66">
        <f>Calc!$FO$391</f>
        <v/>
      </c>
      <c r="O389" s="65">
        <f>Calc!$FP$391</f>
        <v/>
      </c>
      <c r="P389" s="67">
        <f>Calc!$FQ$391</f>
        <v/>
      </c>
      <c r="Q389" s="68">
        <f>Calc!$FR$391</f>
        <v/>
      </c>
      <c r="R389" s="65">
        <f>Calc!$FS$391</f>
        <v/>
      </c>
      <c r="T389">
        <f>Calc!$EY$391</f>
        <v/>
      </c>
      <c r="U389">
        <f>Calc!$FT$391</f>
        <v/>
      </c>
      <c r="V389">
        <f>Calc!$FU$391</f>
        <v/>
      </c>
      <c r="W389">
        <f>Calc!$FC$391</f>
        <v/>
      </c>
      <c r="X389">
        <f>Calc!$EZ$391</f>
        <v/>
      </c>
      <c r="Y389">
        <f>Calc!$FA$391</f>
        <v/>
      </c>
      <c r="Z389">
        <f>Calc!$FV$391</f>
        <v/>
      </c>
      <c r="AA389">
        <f>IF($T389&lt;&gt;"row",0,IF($V389=1,IF($X389=1,IF($Y389=1,1,2),IF($Y389=1,3,4)),IF($X389=1,IF($Y389=1,5,6),IF($Y389=1,7,8))))</f>
        <v/>
      </c>
    </row>
    <row r="390" ht="11.25" customHeight="1">
      <c r="A390" s="64">
        <f>Calc!$FB$392</f>
        <v/>
      </c>
      <c r="B390" s="64">
        <f>Calc!$FC$392</f>
        <v/>
      </c>
      <c r="C390" s="65">
        <f>Calc!$FD$392</f>
        <v/>
      </c>
      <c r="D390" s="65">
        <f>Calc!$FE$392</f>
        <v/>
      </c>
      <c r="E390" s="65">
        <f>Calc!$FF$392</f>
        <v/>
      </c>
      <c r="F390" s="65">
        <f>Calc!$FG$392</f>
        <v/>
      </c>
      <c r="G390" s="65">
        <f>Calc!$FH$392</f>
        <v/>
      </c>
      <c r="H390" s="65">
        <f>Calc!$FI$392</f>
        <v/>
      </c>
      <c r="I390" s="65">
        <f>Calc!$FJ$392</f>
        <v/>
      </c>
      <c r="J390" s="65">
        <f>Calc!$FK$392</f>
        <v/>
      </c>
      <c r="K390" s="65">
        <f>Calc!$FL$392</f>
        <v/>
      </c>
      <c r="L390" s="65">
        <f>Calc!$FM$392</f>
        <v/>
      </c>
      <c r="M390" s="66">
        <f>Calc!$FN$392</f>
        <v/>
      </c>
      <c r="N390" s="66">
        <f>Calc!$FO$392</f>
        <v/>
      </c>
      <c r="O390" s="65">
        <f>Calc!$FP$392</f>
        <v/>
      </c>
      <c r="P390" s="67">
        <f>Calc!$FQ$392</f>
        <v/>
      </c>
      <c r="Q390" s="68">
        <f>Calc!$FR$392</f>
        <v/>
      </c>
      <c r="R390" s="65">
        <f>Calc!$FS$392</f>
        <v/>
      </c>
      <c r="T390">
        <f>Calc!$EY$392</f>
        <v/>
      </c>
      <c r="U390">
        <f>Calc!$FT$392</f>
        <v/>
      </c>
      <c r="V390">
        <f>Calc!$FU$392</f>
        <v/>
      </c>
      <c r="W390">
        <f>Calc!$FC$392</f>
        <v/>
      </c>
      <c r="X390">
        <f>Calc!$EZ$392</f>
        <v/>
      </c>
      <c r="Y390">
        <f>Calc!$FA$392</f>
        <v/>
      </c>
      <c r="Z390">
        <f>Calc!$FV$392</f>
        <v/>
      </c>
      <c r="AA390">
        <f>IF($T390&lt;&gt;"row",0,IF($V390=1,IF($X390=1,IF($Y390=1,1,2),IF($Y390=1,3,4)),IF($X390=1,IF($Y390=1,5,6),IF($Y390=1,7,8))))</f>
        <v/>
      </c>
    </row>
    <row r="391" ht="11.25" customHeight="1">
      <c r="A391" s="64">
        <f>Calc!$FB$393</f>
        <v/>
      </c>
      <c r="B391" s="64">
        <f>Calc!$FC$393</f>
        <v/>
      </c>
      <c r="C391" s="65">
        <f>Calc!$FD$393</f>
        <v/>
      </c>
      <c r="D391" s="65">
        <f>Calc!$FE$393</f>
        <v/>
      </c>
      <c r="E391" s="65">
        <f>Calc!$FF$393</f>
        <v/>
      </c>
      <c r="F391" s="65">
        <f>Calc!$FG$393</f>
        <v/>
      </c>
      <c r="G391" s="65">
        <f>Calc!$FH$393</f>
        <v/>
      </c>
      <c r="H391" s="65">
        <f>Calc!$FI$393</f>
        <v/>
      </c>
      <c r="I391" s="65">
        <f>Calc!$FJ$393</f>
        <v/>
      </c>
      <c r="J391" s="65">
        <f>Calc!$FK$393</f>
        <v/>
      </c>
      <c r="K391" s="65">
        <f>Calc!$FL$393</f>
        <v/>
      </c>
      <c r="L391" s="65">
        <f>Calc!$FM$393</f>
        <v/>
      </c>
      <c r="M391" s="66">
        <f>Calc!$FN$393</f>
        <v/>
      </c>
      <c r="N391" s="66">
        <f>Calc!$FO$393</f>
        <v/>
      </c>
      <c r="O391" s="65">
        <f>Calc!$FP$393</f>
        <v/>
      </c>
      <c r="P391" s="67">
        <f>Calc!$FQ$393</f>
        <v/>
      </c>
      <c r="Q391" s="68">
        <f>Calc!$FR$393</f>
        <v/>
      </c>
      <c r="R391" s="65">
        <f>Calc!$FS$393</f>
        <v/>
      </c>
      <c r="T391">
        <f>Calc!$EY$393</f>
        <v/>
      </c>
      <c r="U391">
        <f>Calc!$FT$393</f>
        <v/>
      </c>
      <c r="V391">
        <f>Calc!$FU$393</f>
        <v/>
      </c>
      <c r="W391">
        <f>Calc!$FC$393</f>
        <v/>
      </c>
      <c r="X391">
        <f>Calc!$EZ$393</f>
        <v/>
      </c>
      <c r="Y391">
        <f>Calc!$FA$393</f>
        <v/>
      </c>
      <c r="Z391">
        <f>Calc!$FV$393</f>
        <v/>
      </c>
      <c r="AA391">
        <f>IF($T391&lt;&gt;"row",0,IF($V391=1,IF($X391=1,IF($Y391=1,1,2),IF($Y391=1,3,4)),IF($X391=1,IF($Y391=1,5,6),IF($Y391=1,7,8))))</f>
        <v/>
      </c>
    </row>
    <row r="392" ht="11.25" customHeight="1">
      <c r="A392" s="64">
        <f>Calc!$FB$394</f>
        <v/>
      </c>
      <c r="B392" s="64">
        <f>Calc!$FC$394</f>
        <v/>
      </c>
      <c r="C392" s="65">
        <f>Calc!$FD$394</f>
        <v/>
      </c>
      <c r="D392" s="65">
        <f>Calc!$FE$394</f>
        <v/>
      </c>
      <c r="E392" s="65">
        <f>Calc!$FF$394</f>
        <v/>
      </c>
      <c r="F392" s="65">
        <f>Calc!$FG$394</f>
        <v/>
      </c>
      <c r="G392" s="65">
        <f>Calc!$FH$394</f>
        <v/>
      </c>
      <c r="H392" s="65">
        <f>Calc!$FI$394</f>
        <v/>
      </c>
      <c r="I392" s="65">
        <f>Calc!$FJ$394</f>
        <v/>
      </c>
      <c r="J392" s="65">
        <f>Calc!$FK$394</f>
        <v/>
      </c>
      <c r="K392" s="65">
        <f>Calc!$FL$394</f>
        <v/>
      </c>
      <c r="L392" s="65">
        <f>Calc!$FM$394</f>
        <v/>
      </c>
      <c r="M392" s="66">
        <f>Calc!$FN$394</f>
        <v/>
      </c>
      <c r="N392" s="66">
        <f>Calc!$FO$394</f>
        <v/>
      </c>
      <c r="O392" s="65">
        <f>Calc!$FP$394</f>
        <v/>
      </c>
      <c r="P392" s="67">
        <f>Calc!$FQ$394</f>
        <v/>
      </c>
      <c r="Q392" s="68">
        <f>Calc!$FR$394</f>
        <v/>
      </c>
      <c r="R392" s="65">
        <f>Calc!$FS$394</f>
        <v/>
      </c>
      <c r="T392">
        <f>Calc!$EY$394</f>
        <v/>
      </c>
      <c r="U392">
        <f>Calc!$FT$394</f>
        <v/>
      </c>
      <c r="V392">
        <f>Calc!$FU$394</f>
        <v/>
      </c>
      <c r="W392">
        <f>Calc!$FC$394</f>
        <v/>
      </c>
      <c r="X392">
        <f>Calc!$EZ$394</f>
        <v/>
      </c>
      <c r="Y392">
        <f>Calc!$FA$394</f>
        <v/>
      </c>
      <c r="Z392">
        <f>Calc!$FV$394</f>
        <v/>
      </c>
      <c r="AA392">
        <f>IF($T392&lt;&gt;"row",0,IF($V392=1,IF($X392=1,IF($Y392=1,1,2),IF($Y392=1,3,4)),IF($X392=1,IF($Y392=1,5,6),IF($Y392=1,7,8))))</f>
        <v/>
      </c>
    </row>
    <row r="393" ht="11.25" customHeight="1">
      <c r="A393" s="64">
        <f>Calc!$FB$395</f>
        <v/>
      </c>
      <c r="B393" s="64">
        <f>Calc!$FC$395</f>
        <v/>
      </c>
      <c r="C393" s="65">
        <f>Calc!$FD$395</f>
        <v/>
      </c>
      <c r="D393" s="65">
        <f>Calc!$FE$395</f>
        <v/>
      </c>
      <c r="E393" s="65">
        <f>Calc!$FF$395</f>
        <v/>
      </c>
      <c r="F393" s="65">
        <f>Calc!$FG$395</f>
        <v/>
      </c>
      <c r="G393" s="65">
        <f>Calc!$FH$395</f>
        <v/>
      </c>
      <c r="H393" s="65">
        <f>Calc!$FI$395</f>
        <v/>
      </c>
      <c r="I393" s="65">
        <f>Calc!$FJ$395</f>
        <v/>
      </c>
      <c r="J393" s="65">
        <f>Calc!$FK$395</f>
        <v/>
      </c>
      <c r="K393" s="65">
        <f>Calc!$FL$395</f>
        <v/>
      </c>
      <c r="L393" s="65">
        <f>Calc!$FM$395</f>
        <v/>
      </c>
      <c r="M393" s="66">
        <f>Calc!$FN$395</f>
        <v/>
      </c>
      <c r="N393" s="66">
        <f>Calc!$FO$395</f>
        <v/>
      </c>
      <c r="O393" s="65">
        <f>Calc!$FP$395</f>
        <v/>
      </c>
      <c r="P393" s="67">
        <f>Calc!$FQ$395</f>
        <v/>
      </c>
      <c r="Q393" s="68">
        <f>Calc!$FR$395</f>
        <v/>
      </c>
      <c r="R393" s="65">
        <f>Calc!$FS$395</f>
        <v/>
      </c>
      <c r="T393">
        <f>Calc!$EY$395</f>
        <v/>
      </c>
      <c r="U393">
        <f>Calc!$FT$395</f>
        <v/>
      </c>
      <c r="V393">
        <f>Calc!$FU$395</f>
        <v/>
      </c>
      <c r="W393">
        <f>Calc!$FC$395</f>
        <v/>
      </c>
      <c r="X393">
        <f>Calc!$EZ$395</f>
        <v/>
      </c>
      <c r="Y393">
        <f>Calc!$FA$395</f>
        <v/>
      </c>
      <c r="Z393">
        <f>Calc!$FV$395</f>
        <v/>
      </c>
      <c r="AA393">
        <f>IF($T393&lt;&gt;"row",0,IF($V393=1,IF($X393=1,IF($Y393=1,1,2),IF($Y393=1,3,4)),IF($X393=1,IF($Y393=1,5,6),IF($Y393=1,7,8))))</f>
        <v/>
      </c>
    </row>
    <row r="394" ht="11.25" customHeight="1">
      <c r="A394" s="64">
        <f>Calc!$FB$396</f>
        <v/>
      </c>
      <c r="B394" s="64">
        <f>Calc!$FC$396</f>
        <v/>
      </c>
      <c r="C394" s="65">
        <f>Calc!$FD$396</f>
        <v/>
      </c>
      <c r="D394" s="65">
        <f>Calc!$FE$396</f>
        <v/>
      </c>
      <c r="E394" s="65">
        <f>Calc!$FF$396</f>
        <v/>
      </c>
      <c r="F394" s="65">
        <f>Calc!$FG$396</f>
        <v/>
      </c>
      <c r="G394" s="65">
        <f>Calc!$FH$396</f>
        <v/>
      </c>
      <c r="H394" s="65">
        <f>Calc!$FI$396</f>
        <v/>
      </c>
      <c r="I394" s="65">
        <f>Calc!$FJ$396</f>
        <v/>
      </c>
      <c r="J394" s="65">
        <f>Calc!$FK$396</f>
        <v/>
      </c>
      <c r="K394" s="65">
        <f>Calc!$FL$396</f>
        <v/>
      </c>
      <c r="L394" s="65">
        <f>Calc!$FM$396</f>
        <v/>
      </c>
      <c r="M394" s="66">
        <f>Calc!$FN$396</f>
        <v/>
      </c>
      <c r="N394" s="66">
        <f>Calc!$FO$396</f>
        <v/>
      </c>
      <c r="O394" s="65">
        <f>Calc!$FP$396</f>
        <v/>
      </c>
      <c r="P394" s="67">
        <f>Calc!$FQ$396</f>
        <v/>
      </c>
      <c r="Q394" s="68">
        <f>Calc!$FR$396</f>
        <v/>
      </c>
      <c r="R394" s="65">
        <f>Calc!$FS$396</f>
        <v/>
      </c>
      <c r="T394">
        <f>Calc!$EY$396</f>
        <v/>
      </c>
      <c r="U394">
        <f>Calc!$FT$396</f>
        <v/>
      </c>
      <c r="V394">
        <f>Calc!$FU$396</f>
        <v/>
      </c>
      <c r="W394">
        <f>Calc!$FC$396</f>
        <v/>
      </c>
      <c r="X394">
        <f>Calc!$EZ$396</f>
        <v/>
      </c>
      <c r="Y394">
        <f>Calc!$FA$396</f>
        <v/>
      </c>
      <c r="Z394">
        <f>Calc!$FV$396</f>
        <v/>
      </c>
      <c r="AA394">
        <f>IF($T394&lt;&gt;"row",0,IF($V394=1,IF($X394=1,IF($Y394=1,1,2),IF($Y394=1,3,4)),IF($X394=1,IF($Y394=1,5,6),IF($Y394=1,7,8))))</f>
        <v/>
      </c>
    </row>
    <row r="395" ht="11.25" customHeight="1">
      <c r="A395" s="64">
        <f>Calc!$FB$397</f>
        <v/>
      </c>
      <c r="B395" s="64">
        <f>Calc!$FC$397</f>
        <v/>
      </c>
      <c r="C395" s="65">
        <f>Calc!$FD$397</f>
        <v/>
      </c>
      <c r="D395" s="65">
        <f>Calc!$FE$397</f>
        <v/>
      </c>
      <c r="E395" s="65">
        <f>Calc!$FF$397</f>
        <v/>
      </c>
      <c r="F395" s="65">
        <f>Calc!$FG$397</f>
        <v/>
      </c>
      <c r="G395" s="65">
        <f>Calc!$FH$397</f>
        <v/>
      </c>
      <c r="H395" s="65">
        <f>Calc!$FI$397</f>
        <v/>
      </c>
      <c r="I395" s="65">
        <f>Calc!$FJ$397</f>
        <v/>
      </c>
      <c r="J395" s="65">
        <f>Calc!$FK$397</f>
        <v/>
      </c>
      <c r="K395" s="65">
        <f>Calc!$FL$397</f>
        <v/>
      </c>
      <c r="L395" s="65">
        <f>Calc!$FM$397</f>
        <v/>
      </c>
      <c r="M395" s="66">
        <f>Calc!$FN$397</f>
        <v/>
      </c>
      <c r="N395" s="66">
        <f>Calc!$FO$397</f>
        <v/>
      </c>
      <c r="O395" s="65">
        <f>Calc!$FP$397</f>
        <v/>
      </c>
      <c r="P395" s="67">
        <f>Calc!$FQ$397</f>
        <v/>
      </c>
      <c r="Q395" s="68">
        <f>Calc!$FR$397</f>
        <v/>
      </c>
      <c r="R395" s="65">
        <f>Calc!$FS$397</f>
        <v/>
      </c>
      <c r="T395">
        <f>Calc!$EY$397</f>
        <v/>
      </c>
      <c r="U395">
        <f>Calc!$FT$397</f>
        <v/>
      </c>
      <c r="V395">
        <f>Calc!$FU$397</f>
        <v/>
      </c>
      <c r="W395">
        <f>Calc!$FC$397</f>
        <v/>
      </c>
      <c r="X395">
        <f>Calc!$EZ$397</f>
        <v/>
      </c>
      <c r="Y395">
        <f>Calc!$FA$397</f>
        <v/>
      </c>
      <c r="Z395">
        <f>Calc!$FV$397</f>
        <v/>
      </c>
      <c r="AA395">
        <f>IF($T395&lt;&gt;"row",0,IF($V395=1,IF($X395=1,IF($Y395=1,1,2),IF($Y395=1,3,4)),IF($X395=1,IF($Y395=1,5,6),IF($Y395=1,7,8))))</f>
        <v/>
      </c>
    </row>
    <row r="396" ht="11.25" customHeight="1">
      <c r="A396" s="64">
        <f>Calc!$FB$398</f>
        <v/>
      </c>
      <c r="B396" s="64">
        <f>Calc!$FC$398</f>
        <v/>
      </c>
      <c r="C396" s="65">
        <f>Calc!$FD$398</f>
        <v/>
      </c>
      <c r="D396" s="65">
        <f>Calc!$FE$398</f>
        <v/>
      </c>
      <c r="E396" s="65">
        <f>Calc!$FF$398</f>
        <v/>
      </c>
      <c r="F396" s="65">
        <f>Calc!$FG$398</f>
        <v/>
      </c>
      <c r="G396" s="65">
        <f>Calc!$FH$398</f>
        <v/>
      </c>
      <c r="H396" s="65">
        <f>Calc!$FI$398</f>
        <v/>
      </c>
      <c r="I396" s="65">
        <f>Calc!$FJ$398</f>
        <v/>
      </c>
      <c r="J396" s="65">
        <f>Calc!$FK$398</f>
        <v/>
      </c>
      <c r="K396" s="65">
        <f>Calc!$FL$398</f>
        <v/>
      </c>
      <c r="L396" s="65">
        <f>Calc!$FM$398</f>
        <v/>
      </c>
      <c r="M396" s="66">
        <f>Calc!$FN$398</f>
        <v/>
      </c>
      <c r="N396" s="66">
        <f>Calc!$FO$398</f>
        <v/>
      </c>
      <c r="O396" s="65">
        <f>Calc!$FP$398</f>
        <v/>
      </c>
      <c r="P396" s="67">
        <f>Calc!$FQ$398</f>
        <v/>
      </c>
      <c r="Q396" s="68">
        <f>Calc!$FR$398</f>
        <v/>
      </c>
      <c r="R396" s="65">
        <f>Calc!$FS$398</f>
        <v/>
      </c>
      <c r="T396">
        <f>Calc!$EY$398</f>
        <v/>
      </c>
      <c r="U396">
        <f>Calc!$FT$398</f>
        <v/>
      </c>
      <c r="V396">
        <f>Calc!$FU$398</f>
        <v/>
      </c>
      <c r="W396">
        <f>Calc!$FC$398</f>
        <v/>
      </c>
      <c r="X396">
        <f>Calc!$EZ$398</f>
        <v/>
      </c>
      <c r="Y396">
        <f>Calc!$FA$398</f>
        <v/>
      </c>
      <c r="Z396">
        <f>Calc!$FV$398</f>
        <v/>
      </c>
      <c r="AA396">
        <f>IF($T396&lt;&gt;"row",0,IF($V396=1,IF($X396=1,IF($Y396=1,1,2),IF($Y396=1,3,4)),IF($X396=1,IF($Y396=1,5,6),IF($Y396=1,7,8))))</f>
        <v/>
      </c>
    </row>
    <row r="397" ht="11.25" customHeight="1">
      <c r="A397" s="64">
        <f>Calc!$FB$399</f>
        <v/>
      </c>
      <c r="B397" s="64">
        <f>Calc!$FC$399</f>
        <v/>
      </c>
      <c r="C397" s="65">
        <f>Calc!$FD$399</f>
        <v/>
      </c>
      <c r="D397" s="65">
        <f>Calc!$FE$399</f>
        <v/>
      </c>
      <c r="E397" s="65">
        <f>Calc!$FF$399</f>
        <v/>
      </c>
      <c r="F397" s="65">
        <f>Calc!$FG$399</f>
        <v/>
      </c>
      <c r="G397" s="65">
        <f>Calc!$FH$399</f>
        <v/>
      </c>
      <c r="H397" s="65">
        <f>Calc!$FI$399</f>
        <v/>
      </c>
      <c r="I397" s="65">
        <f>Calc!$FJ$399</f>
        <v/>
      </c>
      <c r="J397" s="65">
        <f>Calc!$FK$399</f>
        <v/>
      </c>
      <c r="K397" s="65">
        <f>Calc!$FL$399</f>
        <v/>
      </c>
      <c r="L397" s="65">
        <f>Calc!$FM$399</f>
        <v/>
      </c>
      <c r="M397" s="66">
        <f>Calc!$FN$399</f>
        <v/>
      </c>
      <c r="N397" s="66">
        <f>Calc!$FO$399</f>
        <v/>
      </c>
      <c r="O397" s="65">
        <f>Calc!$FP$399</f>
        <v/>
      </c>
      <c r="P397" s="67">
        <f>Calc!$FQ$399</f>
        <v/>
      </c>
      <c r="Q397" s="68">
        <f>Calc!$FR$399</f>
        <v/>
      </c>
      <c r="R397" s="65">
        <f>Calc!$FS$399</f>
        <v/>
      </c>
      <c r="T397">
        <f>Calc!$EY$399</f>
        <v/>
      </c>
      <c r="U397">
        <f>Calc!$FT$399</f>
        <v/>
      </c>
      <c r="V397">
        <f>Calc!$FU$399</f>
        <v/>
      </c>
      <c r="W397">
        <f>Calc!$FC$399</f>
        <v/>
      </c>
      <c r="X397">
        <f>Calc!$EZ$399</f>
        <v/>
      </c>
      <c r="Y397">
        <f>Calc!$FA$399</f>
        <v/>
      </c>
      <c r="Z397">
        <f>Calc!$FV$399</f>
        <v/>
      </c>
      <c r="AA397">
        <f>IF($T397&lt;&gt;"row",0,IF($V397=1,IF($X397=1,IF($Y397=1,1,2),IF($Y397=1,3,4)),IF($X397=1,IF($Y397=1,5,6),IF($Y397=1,7,8))))</f>
        <v/>
      </c>
    </row>
    <row r="398" ht="11.25" customHeight="1">
      <c r="A398" s="64">
        <f>Calc!$FB$400</f>
        <v/>
      </c>
      <c r="B398" s="64">
        <f>Calc!$FC$400</f>
        <v/>
      </c>
      <c r="C398" s="65">
        <f>Calc!$FD$400</f>
        <v/>
      </c>
      <c r="D398" s="65">
        <f>Calc!$FE$400</f>
        <v/>
      </c>
      <c r="E398" s="65">
        <f>Calc!$FF$400</f>
        <v/>
      </c>
      <c r="F398" s="65">
        <f>Calc!$FG$400</f>
        <v/>
      </c>
      <c r="G398" s="65">
        <f>Calc!$FH$400</f>
        <v/>
      </c>
      <c r="H398" s="65">
        <f>Calc!$FI$400</f>
        <v/>
      </c>
      <c r="I398" s="65">
        <f>Calc!$FJ$400</f>
        <v/>
      </c>
      <c r="J398" s="65">
        <f>Calc!$FK$400</f>
        <v/>
      </c>
      <c r="K398" s="65">
        <f>Calc!$FL$400</f>
        <v/>
      </c>
      <c r="L398" s="65">
        <f>Calc!$FM$400</f>
        <v/>
      </c>
      <c r="M398" s="66">
        <f>Calc!$FN$400</f>
        <v/>
      </c>
      <c r="N398" s="66">
        <f>Calc!$FO$400</f>
        <v/>
      </c>
      <c r="O398" s="65">
        <f>Calc!$FP$400</f>
        <v/>
      </c>
      <c r="P398" s="67">
        <f>Calc!$FQ$400</f>
        <v/>
      </c>
      <c r="Q398" s="68">
        <f>Calc!$FR$400</f>
        <v/>
      </c>
      <c r="R398" s="65">
        <f>Calc!$FS$400</f>
        <v/>
      </c>
      <c r="T398">
        <f>Calc!$EY$400</f>
        <v/>
      </c>
      <c r="U398">
        <f>Calc!$FT$400</f>
        <v/>
      </c>
      <c r="V398">
        <f>Calc!$FU$400</f>
        <v/>
      </c>
      <c r="W398">
        <f>Calc!$FC$400</f>
        <v/>
      </c>
      <c r="X398">
        <f>Calc!$EZ$400</f>
        <v/>
      </c>
      <c r="Y398">
        <f>Calc!$FA$400</f>
        <v/>
      </c>
      <c r="Z398">
        <f>Calc!$FV$400</f>
        <v/>
      </c>
      <c r="AA398">
        <f>IF($T398&lt;&gt;"row",0,IF($V398=1,IF($X398=1,IF($Y398=1,1,2),IF($Y398=1,3,4)),IF($X398=1,IF($Y398=1,5,6),IF($Y398=1,7,8))))</f>
        <v/>
      </c>
    </row>
    <row r="399" ht="11.25" customHeight="1">
      <c r="A399" s="64">
        <f>Calc!$FB$401</f>
        <v/>
      </c>
      <c r="B399" s="64">
        <f>Calc!$FC$401</f>
        <v/>
      </c>
      <c r="C399" s="65">
        <f>Calc!$FD$401</f>
        <v/>
      </c>
      <c r="D399" s="65">
        <f>Calc!$FE$401</f>
        <v/>
      </c>
      <c r="E399" s="65">
        <f>Calc!$FF$401</f>
        <v/>
      </c>
      <c r="F399" s="65">
        <f>Calc!$FG$401</f>
        <v/>
      </c>
      <c r="G399" s="65">
        <f>Calc!$FH$401</f>
        <v/>
      </c>
      <c r="H399" s="65">
        <f>Calc!$FI$401</f>
        <v/>
      </c>
      <c r="I399" s="65">
        <f>Calc!$FJ$401</f>
        <v/>
      </c>
      <c r="J399" s="65">
        <f>Calc!$FK$401</f>
        <v/>
      </c>
      <c r="K399" s="65">
        <f>Calc!$FL$401</f>
        <v/>
      </c>
      <c r="L399" s="65">
        <f>Calc!$FM$401</f>
        <v/>
      </c>
      <c r="M399" s="66">
        <f>Calc!$FN$401</f>
        <v/>
      </c>
      <c r="N399" s="66">
        <f>Calc!$FO$401</f>
        <v/>
      </c>
      <c r="O399" s="65">
        <f>Calc!$FP$401</f>
        <v/>
      </c>
      <c r="P399" s="67">
        <f>Calc!$FQ$401</f>
        <v/>
      </c>
      <c r="Q399" s="68">
        <f>Calc!$FR$401</f>
        <v/>
      </c>
      <c r="R399" s="65">
        <f>Calc!$FS$401</f>
        <v/>
      </c>
      <c r="T399">
        <f>Calc!$EY$401</f>
        <v/>
      </c>
      <c r="U399">
        <f>Calc!$FT$401</f>
        <v/>
      </c>
      <c r="V399">
        <f>Calc!$FU$401</f>
        <v/>
      </c>
      <c r="W399">
        <f>Calc!$FC$401</f>
        <v/>
      </c>
      <c r="X399">
        <f>Calc!$EZ$401</f>
        <v/>
      </c>
      <c r="Y399">
        <f>Calc!$FA$401</f>
        <v/>
      </c>
      <c r="Z399">
        <f>Calc!$FV$401</f>
        <v/>
      </c>
      <c r="AA399">
        <f>IF($T399&lt;&gt;"row",0,IF($V399=1,IF($X399=1,IF($Y399=1,1,2),IF($Y399=1,3,4)),IF($X399=1,IF($Y399=1,5,6),IF($Y399=1,7,8))))</f>
        <v/>
      </c>
    </row>
    <row r="400" ht="11.25" customHeight="1">
      <c r="A400" s="64">
        <f>Calc!$FB$402</f>
        <v/>
      </c>
      <c r="B400" s="64">
        <f>Calc!$FC$402</f>
        <v/>
      </c>
      <c r="C400" s="65">
        <f>Calc!$FD$402</f>
        <v/>
      </c>
      <c r="D400" s="65">
        <f>Calc!$FE$402</f>
        <v/>
      </c>
      <c r="E400" s="65">
        <f>Calc!$FF$402</f>
        <v/>
      </c>
      <c r="F400" s="65">
        <f>Calc!$FG$402</f>
        <v/>
      </c>
      <c r="G400" s="65">
        <f>Calc!$FH$402</f>
        <v/>
      </c>
      <c r="H400" s="65">
        <f>Calc!$FI$402</f>
        <v/>
      </c>
      <c r="I400" s="65">
        <f>Calc!$FJ$402</f>
        <v/>
      </c>
      <c r="J400" s="65">
        <f>Calc!$FK$402</f>
        <v/>
      </c>
      <c r="K400" s="65">
        <f>Calc!$FL$402</f>
        <v/>
      </c>
      <c r="L400" s="65">
        <f>Calc!$FM$402</f>
        <v/>
      </c>
      <c r="M400" s="66">
        <f>Calc!$FN$402</f>
        <v/>
      </c>
      <c r="N400" s="66">
        <f>Calc!$FO$402</f>
        <v/>
      </c>
      <c r="O400" s="65">
        <f>Calc!$FP$402</f>
        <v/>
      </c>
      <c r="P400" s="67">
        <f>Calc!$FQ$402</f>
        <v/>
      </c>
      <c r="Q400" s="68">
        <f>Calc!$FR$402</f>
        <v/>
      </c>
      <c r="R400" s="65">
        <f>Calc!$FS$402</f>
        <v/>
      </c>
      <c r="T400">
        <f>Calc!$EY$402</f>
        <v/>
      </c>
      <c r="U400">
        <f>Calc!$FT$402</f>
        <v/>
      </c>
      <c r="V400">
        <f>Calc!$FU$402</f>
        <v/>
      </c>
      <c r="W400">
        <f>Calc!$FC$402</f>
        <v/>
      </c>
      <c r="X400">
        <f>Calc!$EZ$402</f>
        <v/>
      </c>
      <c r="Y400">
        <f>Calc!$FA$402</f>
        <v/>
      </c>
      <c r="Z400">
        <f>Calc!$FV$402</f>
        <v/>
      </c>
      <c r="AA400">
        <f>IF($T400&lt;&gt;"row",0,IF($V400=1,IF($X400=1,IF($Y400=1,1,2),IF($Y400=1,3,4)),IF($X400=1,IF($Y400=1,5,6),IF($Y400=1,7,8))))</f>
        <v/>
      </c>
    </row>
    <row r="401" ht="11.25" customHeight="1">
      <c r="A401" s="64">
        <f>Calc!$FB$403</f>
        <v/>
      </c>
      <c r="B401" s="64">
        <f>Calc!$FC$403</f>
        <v/>
      </c>
      <c r="C401" s="65">
        <f>Calc!$FD$403</f>
        <v/>
      </c>
      <c r="D401" s="65">
        <f>Calc!$FE$403</f>
        <v/>
      </c>
      <c r="E401" s="65">
        <f>Calc!$FF$403</f>
        <v/>
      </c>
      <c r="F401" s="65">
        <f>Calc!$FG$403</f>
        <v/>
      </c>
      <c r="G401" s="65">
        <f>Calc!$FH$403</f>
        <v/>
      </c>
      <c r="H401" s="65">
        <f>Calc!$FI$403</f>
        <v/>
      </c>
      <c r="I401" s="65">
        <f>Calc!$FJ$403</f>
        <v/>
      </c>
      <c r="J401" s="65">
        <f>Calc!$FK$403</f>
        <v/>
      </c>
      <c r="K401" s="65">
        <f>Calc!$FL$403</f>
        <v/>
      </c>
      <c r="L401" s="65">
        <f>Calc!$FM$403</f>
        <v/>
      </c>
      <c r="M401" s="66">
        <f>Calc!$FN$403</f>
        <v/>
      </c>
      <c r="N401" s="66">
        <f>Calc!$FO$403</f>
        <v/>
      </c>
      <c r="O401" s="65">
        <f>Calc!$FP$403</f>
        <v/>
      </c>
      <c r="P401" s="67">
        <f>Calc!$FQ$403</f>
        <v/>
      </c>
      <c r="Q401" s="68">
        <f>Calc!$FR$403</f>
        <v/>
      </c>
      <c r="R401" s="65">
        <f>Calc!$FS$403</f>
        <v/>
      </c>
      <c r="T401">
        <f>Calc!$EY$403</f>
        <v/>
      </c>
      <c r="U401">
        <f>Calc!$FT$403</f>
        <v/>
      </c>
      <c r="V401">
        <f>Calc!$FU$403</f>
        <v/>
      </c>
      <c r="W401">
        <f>Calc!$FC$403</f>
        <v/>
      </c>
      <c r="X401">
        <f>Calc!$EZ$403</f>
        <v/>
      </c>
      <c r="Y401">
        <f>Calc!$FA$403</f>
        <v/>
      </c>
      <c r="Z401">
        <f>Calc!$FV$403</f>
        <v/>
      </c>
      <c r="AA401">
        <f>IF($T401&lt;&gt;"row",0,IF($V401=1,IF($X401=1,IF($Y401=1,1,2),IF($Y401=1,3,4)),IF($X401=1,IF($Y401=1,5,6),IF($Y401=1,7,8))))</f>
        <v/>
      </c>
    </row>
    <row r="402" ht="11.25" customHeight="1">
      <c r="A402" s="64">
        <f>Calc!$FB$404</f>
        <v/>
      </c>
      <c r="B402" s="64">
        <f>Calc!$FC$404</f>
        <v/>
      </c>
      <c r="C402" s="65">
        <f>Calc!$FD$404</f>
        <v/>
      </c>
      <c r="D402" s="65">
        <f>Calc!$FE$404</f>
        <v/>
      </c>
      <c r="E402" s="65">
        <f>Calc!$FF$404</f>
        <v/>
      </c>
      <c r="F402" s="65">
        <f>Calc!$FG$404</f>
        <v/>
      </c>
      <c r="G402" s="65">
        <f>Calc!$FH$404</f>
        <v/>
      </c>
      <c r="H402" s="65">
        <f>Calc!$FI$404</f>
        <v/>
      </c>
      <c r="I402" s="65">
        <f>Calc!$FJ$404</f>
        <v/>
      </c>
      <c r="J402" s="65">
        <f>Calc!$FK$404</f>
        <v/>
      </c>
      <c r="K402" s="65">
        <f>Calc!$FL$404</f>
        <v/>
      </c>
      <c r="L402" s="65">
        <f>Calc!$FM$404</f>
        <v/>
      </c>
      <c r="M402" s="66">
        <f>Calc!$FN$404</f>
        <v/>
      </c>
      <c r="N402" s="66">
        <f>Calc!$FO$404</f>
        <v/>
      </c>
      <c r="O402" s="65">
        <f>Calc!$FP$404</f>
        <v/>
      </c>
      <c r="P402" s="67">
        <f>Calc!$FQ$404</f>
        <v/>
      </c>
      <c r="Q402" s="68">
        <f>Calc!$FR$404</f>
        <v/>
      </c>
      <c r="R402" s="65">
        <f>Calc!$FS$404</f>
        <v/>
      </c>
      <c r="T402">
        <f>Calc!$EY$404</f>
        <v/>
      </c>
      <c r="U402">
        <f>Calc!$FT$404</f>
        <v/>
      </c>
      <c r="V402">
        <f>Calc!$FU$404</f>
        <v/>
      </c>
      <c r="W402">
        <f>Calc!$FC$404</f>
        <v/>
      </c>
      <c r="X402">
        <f>Calc!$EZ$404</f>
        <v/>
      </c>
      <c r="Y402">
        <f>Calc!$FA$404</f>
        <v/>
      </c>
      <c r="Z402">
        <f>Calc!$FV$404</f>
        <v/>
      </c>
      <c r="AA402">
        <f>IF($T402&lt;&gt;"row",0,IF($V402=1,IF($X402=1,IF($Y402=1,1,2),IF($Y402=1,3,4)),IF($X402=1,IF($Y402=1,5,6),IF($Y402=1,7,8))))</f>
        <v/>
      </c>
    </row>
    <row r="403" ht="11.25" customHeight="1">
      <c r="A403" s="64">
        <f>Calc!$FB$405</f>
        <v/>
      </c>
      <c r="B403" s="64">
        <f>Calc!$FC$405</f>
        <v/>
      </c>
      <c r="C403" s="65">
        <f>Calc!$FD$405</f>
        <v/>
      </c>
      <c r="D403" s="65">
        <f>Calc!$FE$405</f>
        <v/>
      </c>
      <c r="E403" s="65">
        <f>Calc!$FF$405</f>
        <v/>
      </c>
      <c r="F403" s="65">
        <f>Calc!$FG$405</f>
        <v/>
      </c>
      <c r="G403" s="65">
        <f>Calc!$FH$405</f>
        <v/>
      </c>
      <c r="H403" s="65">
        <f>Calc!$FI$405</f>
        <v/>
      </c>
      <c r="I403" s="65">
        <f>Calc!$FJ$405</f>
        <v/>
      </c>
      <c r="J403" s="65">
        <f>Calc!$FK$405</f>
        <v/>
      </c>
      <c r="K403" s="65">
        <f>Calc!$FL$405</f>
        <v/>
      </c>
      <c r="L403" s="65">
        <f>Calc!$FM$405</f>
        <v/>
      </c>
      <c r="M403" s="66">
        <f>Calc!$FN$405</f>
        <v/>
      </c>
      <c r="N403" s="66">
        <f>Calc!$FO$405</f>
        <v/>
      </c>
      <c r="O403" s="65">
        <f>Calc!$FP$405</f>
        <v/>
      </c>
      <c r="P403" s="67">
        <f>Calc!$FQ$405</f>
        <v/>
      </c>
      <c r="Q403" s="68">
        <f>Calc!$FR$405</f>
        <v/>
      </c>
      <c r="R403" s="65">
        <f>Calc!$FS$405</f>
        <v/>
      </c>
      <c r="T403">
        <f>Calc!$EY$405</f>
        <v/>
      </c>
      <c r="U403">
        <f>Calc!$FT$405</f>
        <v/>
      </c>
      <c r="V403">
        <f>Calc!$FU$405</f>
        <v/>
      </c>
      <c r="W403">
        <f>Calc!$FC$405</f>
        <v/>
      </c>
      <c r="X403">
        <f>Calc!$EZ$405</f>
        <v/>
      </c>
      <c r="Y403">
        <f>Calc!$FA$405</f>
        <v/>
      </c>
      <c r="Z403">
        <f>Calc!$FV$405</f>
        <v/>
      </c>
      <c r="AA403">
        <f>IF($T403&lt;&gt;"row",0,IF($V403=1,IF($X403=1,IF($Y403=1,1,2),IF($Y403=1,3,4)),IF($X403=1,IF($Y403=1,5,6),IF($Y403=1,7,8))))</f>
        <v/>
      </c>
    </row>
    <row r="404" ht="11.25" customHeight="1">
      <c r="A404" s="64">
        <f>Calc!$FB$406</f>
        <v/>
      </c>
      <c r="B404" s="64">
        <f>Calc!$FC$406</f>
        <v/>
      </c>
      <c r="C404" s="65">
        <f>Calc!$FD$406</f>
        <v/>
      </c>
      <c r="D404" s="65">
        <f>Calc!$FE$406</f>
        <v/>
      </c>
      <c r="E404" s="65">
        <f>Calc!$FF$406</f>
        <v/>
      </c>
      <c r="F404" s="65">
        <f>Calc!$FG$406</f>
        <v/>
      </c>
      <c r="G404" s="65">
        <f>Calc!$FH$406</f>
        <v/>
      </c>
      <c r="H404" s="65">
        <f>Calc!$FI$406</f>
        <v/>
      </c>
      <c r="I404" s="65">
        <f>Calc!$FJ$406</f>
        <v/>
      </c>
      <c r="J404" s="65">
        <f>Calc!$FK$406</f>
        <v/>
      </c>
      <c r="K404" s="65">
        <f>Calc!$FL$406</f>
        <v/>
      </c>
      <c r="L404" s="65">
        <f>Calc!$FM$406</f>
        <v/>
      </c>
      <c r="M404" s="66">
        <f>Calc!$FN$406</f>
        <v/>
      </c>
      <c r="N404" s="66">
        <f>Calc!$FO$406</f>
        <v/>
      </c>
      <c r="O404" s="65">
        <f>Calc!$FP$406</f>
        <v/>
      </c>
      <c r="P404" s="67">
        <f>Calc!$FQ$406</f>
        <v/>
      </c>
      <c r="Q404" s="68">
        <f>Calc!$FR$406</f>
        <v/>
      </c>
      <c r="R404" s="65">
        <f>Calc!$FS$406</f>
        <v/>
      </c>
      <c r="T404">
        <f>Calc!$EY$406</f>
        <v/>
      </c>
      <c r="U404">
        <f>Calc!$FT$406</f>
        <v/>
      </c>
      <c r="V404">
        <f>Calc!$FU$406</f>
        <v/>
      </c>
      <c r="W404">
        <f>Calc!$FC$406</f>
        <v/>
      </c>
      <c r="X404">
        <f>Calc!$EZ$406</f>
        <v/>
      </c>
      <c r="Y404">
        <f>Calc!$FA$406</f>
        <v/>
      </c>
      <c r="Z404">
        <f>Calc!$FV$406</f>
        <v/>
      </c>
      <c r="AA404">
        <f>IF($T404&lt;&gt;"row",0,IF($V404=1,IF($X404=1,IF($Y404=1,1,2),IF($Y404=1,3,4)),IF($X404=1,IF($Y404=1,5,6),IF($Y404=1,7,8))))</f>
        <v/>
      </c>
    </row>
    <row r="405" ht="11.25" customHeight="1">
      <c r="A405" s="64">
        <f>Calc!$FB$407</f>
        <v/>
      </c>
      <c r="B405" s="64">
        <f>Calc!$FC$407</f>
        <v/>
      </c>
      <c r="C405" s="65">
        <f>Calc!$FD$407</f>
        <v/>
      </c>
      <c r="D405" s="65">
        <f>Calc!$FE$407</f>
        <v/>
      </c>
      <c r="E405" s="65">
        <f>Calc!$FF$407</f>
        <v/>
      </c>
      <c r="F405" s="65">
        <f>Calc!$FG$407</f>
        <v/>
      </c>
      <c r="G405" s="65">
        <f>Calc!$FH$407</f>
        <v/>
      </c>
      <c r="H405" s="65">
        <f>Calc!$FI$407</f>
        <v/>
      </c>
      <c r="I405" s="65">
        <f>Calc!$FJ$407</f>
        <v/>
      </c>
      <c r="J405" s="65">
        <f>Calc!$FK$407</f>
        <v/>
      </c>
      <c r="K405" s="65">
        <f>Calc!$FL$407</f>
        <v/>
      </c>
      <c r="L405" s="65">
        <f>Calc!$FM$407</f>
        <v/>
      </c>
      <c r="M405" s="66">
        <f>Calc!$FN$407</f>
        <v/>
      </c>
      <c r="N405" s="66">
        <f>Calc!$FO$407</f>
        <v/>
      </c>
      <c r="O405" s="65">
        <f>Calc!$FP$407</f>
        <v/>
      </c>
      <c r="P405" s="67">
        <f>Calc!$FQ$407</f>
        <v/>
      </c>
      <c r="Q405" s="68">
        <f>Calc!$FR$407</f>
        <v/>
      </c>
      <c r="R405" s="65">
        <f>Calc!$FS$407</f>
        <v/>
      </c>
      <c r="T405">
        <f>Calc!$EY$407</f>
        <v/>
      </c>
      <c r="U405">
        <f>Calc!$FT$407</f>
        <v/>
      </c>
      <c r="V405">
        <f>Calc!$FU$407</f>
        <v/>
      </c>
      <c r="W405">
        <f>Calc!$FC$407</f>
        <v/>
      </c>
      <c r="X405">
        <f>Calc!$EZ$407</f>
        <v/>
      </c>
      <c r="Y405">
        <f>Calc!$FA$407</f>
        <v/>
      </c>
      <c r="Z405">
        <f>Calc!$FV$407</f>
        <v/>
      </c>
      <c r="AA405">
        <f>IF($T405&lt;&gt;"row",0,IF($V405=1,IF($X405=1,IF($Y405=1,1,2),IF($Y405=1,3,4)),IF($X405=1,IF($Y405=1,5,6),IF($Y405=1,7,8))))</f>
        <v/>
      </c>
    </row>
    <row r="406" ht="11.25" customHeight="1">
      <c r="A406" s="64">
        <f>Calc!$FB$408</f>
        <v/>
      </c>
      <c r="B406" s="64">
        <f>Calc!$FC$408</f>
        <v/>
      </c>
      <c r="C406" s="65">
        <f>Calc!$FD$408</f>
        <v/>
      </c>
      <c r="D406" s="65">
        <f>Calc!$FE$408</f>
        <v/>
      </c>
      <c r="E406" s="65">
        <f>Calc!$FF$408</f>
        <v/>
      </c>
      <c r="F406" s="65">
        <f>Calc!$FG$408</f>
        <v/>
      </c>
      <c r="G406" s="65">
        <f>Calc!$FH$408</f>
        <v/>
      </c>
      <c r="H406" s="65">
        <f>Calc!$FI$408</f>
        <v/>
      </c>
      <c r="I406" s="65">
        <f>Calc!$FJ$408</f>
        <v/>
      </c>
      <c r="J406" s="65">
        <f>Calc!$FK$408</f>
        <v/>
      </c>
      <c r="K406" s="65">
        <f>Calc!$FL$408</f>
        <v/>
      </c>
      <c r="L406" s="65">
        <f>Calc!$FM$408</f>
        <v/>
      </c>
      <c r="M406" s="66">
        <f>Calc!$FN$408</f>
        <v/>
      </c>
      <c r="N406" s="66">
        <f>Calc!$FO$408</f>
        <v/>
      </c>
      <c r="O406" s="65">
        <f>Calc!$FP$408</f>
        <v/>
      </c>
      <c r="P406" s="67">
        <f>Calc!$FQ$408</f>
        <v/>
      </c>
      <c r="Q406" s="68">
        <f>Calc!$FR$408</f>
        <v/>
      </c>
      <c r="R406" s="65">
        <f>Calc!$FS$408</f>
        <v/>
      </c>
      <c r="T406">
        <f>Calc!$EY$408</f>
        <v/>
      </c>
      <c r="U406">
        <f>Calc!$FT$408</f>
        <v/>
      </c>
      <c r="V406">
        <f>Calc!$FU$408</f>
        <v/>
      </c>
      <c r="W406">
        <f>Calc!$FC$408</f>
        <v/>
      </c>
      <c r="X406">
        <f>Calc!$EZ$408</f>
        <v/>
      </c>
      <c r="Y406">
        <f>Calc!$FA$408</f>
        <v/>
      </c>
      <c r="Z406">
        <f>Calc!$FV$408</f>
        <v/>
      </c>
      <c r="AA406">
        <f>IF($T406&lt;&gt;"row",0,IF($V406=1,IF($X406=1,IF($Y406=1,1,2),IF($Y406=1,3,4)),IF($X406=1,IF($Y406=1,5,6),IF($Y406=1,7,8))))</f>
        <v/>
      </c>
    </row>
    <row r="407" ht="11.25" customHeight="1">
      <c r="A407" s="64">
        <f>Calc!$FB$409</f>
        <v/>
      </c>
      <c r="B407" s="64">
        <f>Calc!$FC$409</f>
        <v/>
      </c>
      <c r="C407" s="65">
        <f>Calc!$FD$409</f>
        <v/>
      </c>
      <c r="D407" s="65">
        <f>Calc!$FE$409</f>
        <v/>
      </c>
      <c r="E407" s="65">
        <f>Calc!$FF$409</f>
        <v/>
      </c>
      <c r="F407" s="65">
        <f>Calc!$FG$409</f>
        <v/>
      </c>
      <c r="G407" s="65">
        <f>Calc!$FH$409</f>
        <v/>
      </c>
      <c r="H407" s="65">
        <f>Calc!$FI$409</f>
        <v/>
      </c>
      <c r="I407" s="65">
        <f>Calc!$FJ$409</f>
        <v/>
      </c>
      <c r="J407" s="65">
        <f>Calc!$FK$409</f>
        <v/>
      </c>
      <c r="K407" s="65">
        <f>Calc!$FL$409</f>
        <v/>
      </c>
      <c r="L407" s="65">
        <f>Calc!$FM$409</f>
        <v/>
      </c>
      <c r="M407" s="66">
        <f>Calc!$FN$409</f>
        <v/>
      </c>
      <c r="N407" s="66">
        <f>Calc!$FO$409</f>
        <v/>
      </c>
      <c r="O407" s="65">
        <f>Calc!$FP$409</f>
        <v/>
      </c>
      <c r="P407" s="67">
        <f>Calc!$FQ$409</f>
        <v/>
      </c>
      <c r="Q407" s="68">
        <f>Calc!$FR$409</f>
        <v/>
      </c>
      <c r="R407" s="65">
        <f>Calc!$FS$409</f>
        <v/>
      </c>
      <c r="T407">
        <f>Calc!$EY$409</f>
        <v/>
      </c>
      <c r="U407">
        <f>Calc!$FT$409</f>
        <v/>
      </c>
      <c r="V407">
        <f>Calc!$FU$409</f>
        <v/>
      </c>
      <c r="W407">
        <f>Calc!$FC$409</f>
        <v/>
      </c>
      <c r="X407">
        <f>Calc!$EZ$409</f>
        <v/>
      </c>
      <c r="Y407">
        <f>Calc!$FA$409</f>
        <v/>
      </c>
      <c r="Z407">
        <f>Calc!$FV$409</f>
        <v/>
      </c>
      <c r="AA407">
        <f>IF($T407&lt;&gt;"row",0,IF($V407=1,IF($X407=1,IF($Y407=1,1,2),IF($Y407=1,3,4)),IF($X407=1,IF($Y407=1,5,6),IF($Y407=1,7,8))))</f>
        <v/>
      </c>
    </row>
    <row r="408" ht="11.25" customHeight="1">
      <c r="A408" s="64">
        <f>Calc!$FB$410</f>
        <v/>
      </c>
      <c r="B408" s="64">
        <f>Calc!$FC$410</f>
        <v/>
      </c>
      <c r="C408" s="65">
        <f>Calc!$FD$410</f>
        <v/>
      </c>
      <c r="D408" s="65">
        <f>Calc!$FE$410</f>
        <v/>
      </c>
      <c r="E408" s="65">
        <f>Calc!$FF$410</f>
        <v/>
      </c>
      <c r="F408" s="65">
        <f>Calc!$FG$410</f>
        <v/>
      </c>
      <c r="G408" s="65">
        <f>Calc!$FH$410</f>
        <v/>
      </c>
      <c r="H408" s="65">
        <f>Calc!$FI$410</f>
        <v/>
      </c>
      <c r="I408" s="65">
        <f>Calc!$FJ$410</f>
        <v/>
      </c>
      <c r="J408" s="65">
        <f>Calc!$FK$410</f>
        <v/>
      </c>
      <c r="K408" s="65">
        <f>Calc!$FL$410</f>
        <v/>
      </c>
      <c r="L408" s="65">
        <f>Calc!$FM$410</f>
        <v/>
      </c>
      <c r="M408" s="66">
        <f>Calc!$FN$410</f>
        <v/>
      </c>
      <c r="N408" s="66">
        <f>Calc!$FO$410</f>
        <v/>
      </c>
      <c r="O408" s="65">
        <f>Calc!$FP$410</f>
        <v/>
      </c>
      <c r="P408" s="67">
        <f>Calc!$FQ$410</f>
        <v/>
      </c>
      <c r="Q408" s="68">
        <f>Calc!$FR$410</f>
        <v/>
      </c>
      <c r="R408" s="65">
        <f>Calc!$FS$410</f>
        <v/>
      </c>
      <c r="T408">
        <f>Calc!$EY$410</f>
        <v/>
      </c>
      <c r="U408">
        <f>Calc!$FT$410</f>
        <v/>
      </c>
      <c r="V408">
        <f>Calc!$FU$410</f>
        <v/>
      </c>
      <c r="W408">
        <f>Calc!$FC$410</f>
        <v/>
      </c>
      <c r="X408">
        <f>Calc!$EZ$410</f>
        <v/>
      </c>
      <c r="Y408">
        <f>Calc!$FA$410</f>
        <v/>
      </c>
      <c r="Z408">
        <f>Calc!$FV$410</f>
        <v/>
      </c>
      <c r="AA408">
        <f>IF($T408&lt;&gt;"row",0,IF($V408=1,IF($X408=1,IF($Y408=1,1,2),IF($Y408=1,3,4)),IF($X408=1,IF($Y408=1,5,6),IF($Y408=1,7,8))))</f>
        <v/>
      </c>
    </row>
    <row r="409" ht="11.25" customHeight="1">
      <c r="A409" s="64">
        <f>Calc!$FB$411</f>
        <v/>
      </c>
      <c r="B409" s="64">
        <f>Calc!$FC$411</f>
        <v/>
      </c>
      <c r="C409" s="65">
        <f>Calc!$FD$411</f>
        <v/>
      </c>
      <c r="D409" s="65">
        <f>Calc!$FE$411</f>
        <v/>
      </c>
      <c r="E409" s="65">
        <f>Calc!$FF$411</f>
        <v/>
      </c>
      <c r="F409" s="65">
        <f>Calc!$FG$411</f>
        <v/>
      </c>
      <c r="G409" s="65">
        <f>Calc!$FH$411</f>
        <v/>
      </c>
      <c r="H409" s="65">
        <f>Calc!$FI$411</f>
        <v/>
      </c>
      <c r="I409" s="65">
        <f>Calc!$FJ$411</f>
        <v/>
      </c>
      <c r="J409" s="65">
        <f>Calc!$FK$411</f>
        <v/>
      </c>
      <c r="K409" s="65">
        <f>Calc!$FL$411</f>
        <v/>
      </c>
      <c r="L409" s="65">
        <f>Calc!$FM$411</f>
        <v/>
      </c>
      <c r="M409" s="66">
        <f>Calc!$FN$411</f>
        <v/>
      </c>
      <c r="N409" s="66">
        <f>Calc!$FO$411</f>
        <v/>
      </c>
      <c r="O409" s="65">
        <f>Calc!$FP$411</f>
        <v/>
      </c>
      <c r="P409" s="67">
        <f>Calc!$FQ$411</f>
        <v/>
      </c>
      <c r="Q409" s="68">
        <f>Calc!$FR$411</f>
        <v/>
      </c>
      <c r="R409" s="65">
        <f>Calc!$FS$411</f>
        <v/>
      </c>
      <c r="T409">
        <f>Calc!$EY$411</f>
        <v/>
      </c>
      <c r="U409">
        <f>Calc!$FT$411</f>
        <v/>
      </c>
      <c r="V409">
        <f>Calc!$FU$411</f>
        <v/>
      </c>
      <c r="W409">
        <f>Calc!$FC$411</f>
        <v/>
      </c>
      <c r="X409">
        <f>Calc!$EZ$411</f>
        <v/>
      </c>
      <c r="Y409">
        <f>Calc!$FA$411</f>
        <v/>
      </c>
      <c r="Z409">
        <f>Calc!$FV$411</f>
        <v/>
      </c>
      <c r="AA409">
        <f>IF($T409&lt;&gt;"row",0,IF($V409=1,IF($X409=1,IF($Y409=1,1,2),IF($Y409=1,3,4)),IF($X409=1,IF($Y409=1,5,6),IF($Y409=1,7,8))))</f>
        <v/>
      </c>
    </row>
    <row r="410" ht="11.25" customHeight="1">
      <c r="A410" s="64">
        <f>Calc!$FB$412</f>
        <v/>
      </c>
      <c r="B410" s="64">
        <f>Calc!$FC$412</f>
        <v/>
      </c>
      <c r="C410" s="65">
        <f>Calc!$FD$412</f>
        <v/>
      </c>
      <c r="D410" s="65">
        <f>Calc!$FE$412</f>
        <v/>
      </c>
      <c r="E410" s="65">
        <f>Calc!$FF$412</f>
        <v/>
      </c>
      <c r="F410" s="65">
        <f>Calc!$FG$412</f>
        <v/>
      </c>
      <c r="G410" s="65">
        <f>Calc!$FH$412</f>
        <v/>
      </c>
      <c r="H410" s="65">
        <f>Calc!$FI$412</f>
        <v/>
      </c>
      <c r="I410" s="65">
        <f>Calc!$FJ$412</f>
        <v/>
      </c>
      <c r="J410" s="65">
        <f>Calc!$FK$412</f>
        <v/>
      </c>
      <c r="K410" s="65">
        <f>Calc!$FL$412</f>
        <v/>
      </c>
      <c r="L410" s="65">
        <f>Calc!$FM$412</f>
        <v/>
      </c>
      <c r="M410" s="66">
        <f>Calc!$FN$412</f>
        <v/>
      </c>
      <c r="N410" s="66">
        <f>Calc!$FO$412</f>
        <v/>
      </c>
      <c r="O410" s="65">
        <f>Calc!$FP$412</f>
        <v/>
      </c>
      <c r="P410" s="67">
        <f>Calc!$FQ$412</f>
        <v/>
      </c>
      <c r="Q410" s="68">
        <f>Calc!$FR$412</f>
        <v/>
      </c>
      <c r="R410" s="65">
        <f>Calc!$FS$412</f>
        <v/>
      </c>
      <c r="T410">
        <f>Calc!$EY$412</f>
        <v/>
      </c>
      <c r="U410">
        <f>Calc!$FT$412</f>
        <v/>
      </c>
      <c r="V410">
        <f>Calc!$FU$412</f>
        <v/>
      </c>
      <c r="W410">
        <f>Calc!$FC$412</f>
        <v/>
      </c>
      <c r="X410">
        <f>Calc!$EZ$412</f>
        <v/>
      </c>
      <c r="Y410">
        <f>Calc!$FA$412</f>
        <v/>
      </c>
      <c r="Z410">
        <f>Calc!$FV$412</f>
        <v/>
      </c>
      <c r="AA410">
        <f>IF($T410&lt;&gt;"row",0,IF($V410=1,IF($X410=1,IF($Y410=1,1,2),IF($Y410=1,3,4)),IF($X410=1,IF($Y410=1,5,6),IF($Y410=1,7,8))))</f>
        <v/>
      </c>
    </row>
    <row r="411" ht="11.25" customHeight="1">
      <c r="A411" s="64">
        <f>Calc!$FB$413</f>
        <v/>
      </c>
      <c r="B411" s="64">
        <f>Calc!$FC$413</f>
        <v/>
      </c>
      <c r="C411" s="65">
        <f>Calc!$FD$413</f>
        <v/>
      </c>
      <c r="D411" s="65">
        <f>Calc!$FE$413</f>
        <v/>
      </c>
      <c r="E411" s="65">
        <f>Calc!$FF$413</f>
        <v/>
      </c>
      <c r="F411" s="65">
        <f>Calc!$FG$413</f>
        <v/>
      </c>
      <c r="G411" s="65">
        <f>Calc!$FH$413</f>
        <v/>
      </c>
      <c r="H411" s="65">
        <f>Calc!$FI$413</f>
        <v/>
      </c>
      <c r="I411" s="65">
        <f>Calc!$FJ$413</f>
        <v/>
      </c>
      <c r="J411" s="65">
        <f>Calc!$FK$413</f>
        <v/>
      </c>
      <c r="K411" s="65">
        <f>Calc!$FL$413</f>
        <v/>
      </c>
      <c r="L411" s="65">
        <f>Calc!$FM$413</f>
        <v/>
      </c>
      <c r="M411" s="66">
        <f>Calc!$FN$413</f>
        <v/>
      </c>
      <c r="N411" s="66">
        <f>Calc!$FO$413</f>
        <v/>
      </c>
      <c r="O411" s="65">
        <f>Calc!$FP$413</f>
        <v/>
      </c>
      <c r="P411" s="67">
        <f>Calc!$FQ$413</f>
        <v/>
      </c>
      <c r="Q411" s="68">
        <f>Calc!$FR$413</f>
        <v/>
      </c>
      <c r="R411" s="65">
        <f>Calc!$FS$413</f>
        <v/>
      </c>
      <c r="T411">
        <f>Calc!$EY$413</f>
        <v/>
      </c>
      <c r="U411">
        <f>Calc!$FT$413</f>
        <v/>
      </c>
      <c r="V411">
        <f>Calc!$FU$413</f>
        <v/>
      </c>
      <c r="W411">
        <f>Calc!$FC$413</f>
        <v/>
      </c>
      <c r="X411">
        <f>Calc!$EZ$413</f>
        <v/>
      </c>
      <c r="Y411">
        <f>Calc!$FA$413</f>
        <v/>
      </c>
      <c r="Z411">
        <f>Calc!$FV$413</f>
        <v/>
      </c>
      <c r="AA411">
        <f>IF($T411&lt;&gt;"row",0,IF($V411=1,IF($X411=1,IF($Y411=1,1,2),IF($Y411=1,3,4)),IF($X411=1,IF($Y411=1,5,6),IF($Y411=1,7,8))))</f>
        <v/>
      </c>
    </row>
    <row r="412" ht="11.25" customHeight="1">
      <c r="A412" s="64">
        <f>Calc!$FB$414</f>
        <v/>
      </c>
      <c r="B412" s="64">
        <f>Calc!$FC$414</f>
        <v/>
      </c>
      <c r="C412" s="65">
        <f>Calc!$FD$414</f>
        <v/>
      </c>
      <c r="D412" s="65">
        <f>Calc!$FE$414</f>
        <v/>
      </c>
      <c r="E412" s="65">
        <f>Calc!$FF$414</f>
        <v/>
      </c>
      <c r="F412" s="65">
        <f>Calc!$FG$414</f>
        <v/>
      </c>
      <c r="G412" s="65">
        <f>Calc!$FH$414</f>
        <v/>
      </c>
      <c r="H412" s="65">
        <f>Calc!$FI$414</f>
        <v/>
      </c>
      <c r="I412" s="65">
        <f>Calc!$FJ$414</f>
        <v/>
      </c>
      <c r="J412" s="65">
        <f>Calc!$FK$414</f>
        <v/>
      </c>
      <c r="K412" s="65">
        <f>Calc!$FL$414</f>
        <v/>
      </c>
      <c r="L412" s="65">
        <f>Calc!$FM$414</f>
        <v/>
      </c>
      <c r="M412" s="66">
        <f>Calc!$FN$414</f>
        <v/>
      </c>
      <c r="N412" s="66">
        <f>Calc!$FO$414</f>
        <v/>
      </c>
      <c r="O412" s="65">
        <f>Calc!$FP$414</f>
        <v/>
      </c>
      <c r="P412" s="67">
        <f>Calc!$FQ$414</f>
        <v/>
      </c>
      <c r="Q412" s="68">
        <f>Calc!$FR$414</f>
        <v/>
      </c>
      <c r="R412" s="65">
        <f>Calc!$FS$414</f>
        <v/>
      </c>
      <c r="T412">
        <f>Calc!$EY$414</f>
        <v/>
      </c>
      <c r="U412">
        <f>Calc!$FT$414</f>
        <v/>
      </c>
      <c r="V412">
        <f>Calc!$FU$414</f>
        <v/>
      </c>
      <c r="W412">
        <f>Calc!$FC$414</f>
        <v/>
      </c>
      <c r="X412">
        <f>Calc!$EZ$414</f>
        <v/>
      </c>
      <c r="Y412">
        <f>Calc!$FA$414</f>
        <v/>
      </c>
      <c r="Z412">
        <f>Calc!$FV$414</f>
        <v/>
      </c>
      <c r="AA412">
        <f>IF($T412&lt;&gt;"row",0,IF($V412=1,IF($X412=1,IF($Y412=1,1,2),IF($Y412=1,3,4)),IF($X412=1,IF($Y412=1,5,6),IF($Y412=1,7,8))))</f>
        <v/>
      </c>
    </row>
    <row r="413" ht="11.25" customHeight="1">
      <c r="A413" s="64">
        <f>Calc!$FB$415</f>
        <v/>
      </c>
      <c r="B413" s="64">
        <f>Calc!$FC$415</f>
        <v/>
      </c>
      <c r="C413" s="65">
        <f>Calc!$FD$415</f>
        <v/>
      </c>
      <c r="D413" s="65">
        <f>Calc!$FE$415</f>
        <v/>
      </c>
      <c r="E413" s="65">
        <f>Calc!$FF$415</f>
        <v/>
      </c>
      <c r="F413" s="65">
        <f>Calc!$FG$415</f>
        <v/>
      </c>
      <c r="G413" s="65">
        <f>Calc!$FH$415</f>
        <v/>
      </c>
      <c r="H413" s="65">
        <f>Calc!$FI$415</f>
        <v/>
      </c>
      <c r="I413" s="65">
        <f>Calc!$FJ$415</f>
        <v/>
      </c>
      <c r="J413" s="65">
        <f>Calc!$FK$415</f>
        <v/>
      </c>
      <c r="K413" s="65">
        <f>Calc!$FL$415</f>
        <v/>
      </c>
      <c r="L413" s="65">
        <f>Calc!$FM$415</f>
        <v/>
      </c>
      <c r="M413" s="66">
        <f>Calc!$FN$415</f>
        <v/>
      </c>
      <c r="N413" s="66">
        <f>Calc!$FO$415</f>
        <v/>
      </c>
      <c r="O413" s="65">
        <f>Calc!$FP$415</f>
        <v/>
      </c>
      <c r="P413" s="67">
        <f>Calc!$FQ$415</f>
        <v/>
      </c>
      <c r="Q413" s="68">
        <f>Calc!$FR$415</f>
        <v/>
      </c>
      <c r="R413" s="65">
        <f>Calc!$FS$415</f>
        <v/>
      </c>
      <c r="T413">
        <f>Calc!$EY$415</f>
        <v/>
      </c>
      <c r="U413">
        <f>Calc!$FT$415</f>
        <v/>
      </c>
      <c r="V413">
        <f>Calc!$FU$415</f>
        <v/>
      </c>
      <c r="W413">
        <f>Calc!$FC$415</f>
        <v/>
      </c>
      <c r="X413">
        <f>Calc!$EZ$415</f>
        <v/>
      </c>
      <c r="Y413">
        <f>Calc!$FA$415</f>
        <v/>
      </c>
      <c r="Z413">
        <f>Calc!$FV$415</f>
        <v/>
      </c>
      <c r="AA413">
        <f>IF($T413&lt;&gt;"row",0,IF($V413=1,IF($X413=1,IF($Y413=1,1,2),IF($Y413=1,3,4)),IF($X413=1,IF($Y413=1,5,6),IF($Y413=1,7,8))))</f>
        <v/>
      </c>
    </row>
    <row r="414" ht="11.25" customHeight="1">
      <c r="A414" s="64">
        <f>Calc!$FB$416</f>
        <v/>
      </c>
      <c r="B414" s="64">
        <f>Calc!$FC$416</f>
        <v/>
      </c>
      <c r="C414" s="65">
        <f>Calc!$FD$416</f>
        <v/>
      </c>
      <c r="D414" s="65">
        <f>Calc!$FE$416</f>
        <v/>
      </c>
      <c r="E414" s="65">
        <f>Calc!$FF$416</f>
        <v/>
      </c>
      <c r="F414" s="65">
        <f>Calc!$FG$416</f>
        <v/>
      </c>
      <c r="G414" s="65">
        <f>Calc!$FH$416</f>
        <v/>
      </c>
      <c r="H414" s="65">
        <f>Calc!$FI$416</f>
        <v/>
      </c>
      <c r="I414" s="65">
        <f>Calc!$FJ$416</f>
        <v/>
      </c>
      <c r="J414" s="65">
        <f>Calc!$FK$416</f>
        <v/>
      </c>
      <c r="K414" s="65">
        <f>Calc!$FL$416</f>
        <v/>
      </c>
      <c r="L414" s="65">
        <f>Calc!$FM$416</f>
        <v/>
      </c>
      <c r="M414" s="66">
        <f>Calc!$FN$416</f>
        <v/>
      </c>
      <c r="N414" s="66">
        <f>Calc!$FO$416</f>
        <v/>
      </c>
      <c r="O414" s="65">
        <f>Calc!$FP$416</f>
        <v/>
      </c>
      <c r="P414" s="67">
        <f>Calc!$FQ$416</f>
        <v/>
      </c>
      <c r="Q414" s="68">
        <f>Calc!$FR$416</f>
        <v/>
      </c>
      <c r="R414" s="65">
        <f>Calc!$FS$416</f>
        <v/>
      </c>
      <c r="T414">
        <f>Calc!$EY$416</f>
        <v/>
      </c>
      <c r="U414">
        <f>Calc!$FT$416</f>
        <v/>
      </c>
      <c r="V414">
        <f>Calc!$FU$416</f>
        <v/>
      </c>
      <c r="W414">
        <f>Calc!$FC$416</f>
        <v/>
      </c>
      <c r="X414">
        <f>Calc!$EZ$416</f>
        <v/>
      </c>
      <c r="Y414">
        <f>Calc!$FA$416</f>
        <v/>
      </c>
      <c r="Z414">
        <f>Calc!$FV$416</f>
        <v/>
      </c>
      <c r="AA414">
        <f>IF($T414&lt;&gt;"row",0,IF($V414=1,IF($X414=1,IF($Y414=1,1,2),IF($Y414=1,3,4)),IF($X414=1,IF($Y414=1,5,6),IF($Y414=1,7,8))))</f>
        <v/>
      </c>
    </row>
    <row r="415" ht="11.25" customHeight="1">
      <c r="A415" s="64">
        <f>Calc!$FB$417</f>
        <v/>
      </c>
      <c r="B415" s="64">
        <f>Calc!$FC$417</f>
        <v/>
      </c>
      <c r="C415" s="65">
        <f>Calc!$FD$417</f>
        <v/>
      </c>
      <c r="D415" s="65">
        <f>Calc!$FE$417</f>
        <v/>
      </c>
      <c r="E415" s="65">
        <f>Calc!$FF$417</f>
        <v/>
      </c>
      <c r="F415" s="65">
        <f>Calc!$FG$417</f>
        <v/>
      </c>
      <c r="G415" s="65">
        <f>Calc!$FH$417</f>
        <v/>
      </c>
      <c r="H415" s="65">
        <f>Calc!$FI$417</f>
        <v/>
      </c>
      <c r="I415" s="65">
        <f>Calc!$FJ$417</f>
        <v/>
      </c>
      <c r="J415" s="65">
        <f>Calc!$FK$417</f>
        <v/>
      </c>
      <c r="K415" s="65">
        <f>Calc!$FL$417</f>
        <v/>
      </c>
      <c r="L415" s="65">
        <f>Calc!$FM$417</f>
        <v/>
      </c>
      <c r="M415" s="66">
        <f>Calc!$FN$417</f>
        <v/>
      </c>
      <c r="N415" s="66">
        <f>Calc!$FO$417</f>
        <v/>
      </c>
      <c r="O415" s="65">
        <f>Calc!$FP$417</f>
        <v/>
      </c>
      <c r="P415" s="67">
        <f>Calc!$FQ$417</f>
        <v/>
      </c>
      <c r="Q415" s="68">
        <f>Calc!$FR$417</f>
        <v/>
      </c>
      <c r="R415" s="65">
        <f>Calc!$FS$417</f>
        <v/>
      </c>
      <c r="T415">
        <f>Calc!$EY$417</f>
        <v/>
      </c>
      <c r="U415">
        <f>Calc!$FT$417</f>
        <v/>
      </c>
      <c r="V415">
        <f>Calc!$FU$417</f>
        <v/>
      </c>
      <c r="W415">
        <f>Calc!$FC$417</f>
        <v/>
      </c>
      <c r="X415">
        <f>Calc!$EZ$417</f>
        <v/>
      </c>
      <c r="Y415">
        <f>Calc!$FA$417</f>
        <v/>
      </c>
      <c r="Z415">
        <f>Calc!$FV$417</f>
        <v/>
      </c>
      <c r="AA415">
        <f>IF($T415&lt;&gt;"row",0,IF($V415=1,IF($X415=1,IF($Y415=1,1,2),IF($Y415=1,3,4)),IF($X415=1,IF($Y415=1,5,6),IF($Y415=1,7,8))))</f>
        <v/>
      </c>
    </row>
    <row r="416" ht="11.25" customHeight="1">
      <c r="A416" s="64">
        <f>Calc!$FB$418</f>
        <v/>
      </c>
      <c r="B416" s="64">
        <f>Calc!$FC$418</f>
        <v/>
      </c>
      <c r="C416" s="65">
        <f>Calc!$FD$418</f>
        <v/>
      </c>
      <c r="D416" s="65">
        <f>Calc!$FE$418</f>
        <v/>
      </c>
      <c r="E416" s="65">
        <f>Calc!$FF$418</f>
        <v/>
      </c>
      <c r="F416" s="65">
        <f>Calc!$FG$418</f>
        <v/>
      </c>
      <c r="G416" s="65">
        <f>Calc!$FH$418</f>
        <v/>
      </c>
      <c r="H416" s="65">
        <f>Calc!$FI$418</f>
        <v/>
      </c>
      <c r="I416" s="65">
        <f>Calc!$FJ$418</f>
        <v/>
      </c>
      <c r="J416" s="65">
        <f>Calc!$FK$418</f>
        <v/>
      </c>
      <c r="K416" s="65">
        <f>Calc!$FL$418</f>
        <v/>
      </c>
      <c r="L416" s="65">
        <f>Calc!$FM$418</f>
        <v/>
      </c>
      <c r="M416" s="66">
        <f>Calc!$FN$418</f>
        <v/>
      </c>
      <c r="N416" s="66">
        <f>Calc!$FO$418</f>
        <v/>
      </c>
      <c r="O416" s="65">
        <f>Calc!$FP$418</f>
        <v/>
      </c>
      <c r="P416" s="67">
        <f>Calc!$FQ$418</f>
        <v/>
      </c>
      <c r="Q416" s="68">
        <f>Calc!$FR$418</f>
        <v/>
      </c>
      <c r="R416" s="65">
        <f>Calc!$FS$418</f>
        <v/>
      </c>
      <c r="T416">
        <f>Calc!$EY$418</f>
        <v/>
      </c>
      <c r="U416">
        <f>Calc!$FT$418</f>
        <v/>
      </c>
      <c r="V416">
        <f>Calc!$FU$418</f>
        <v/>
      </c>
      <c r="W416">
        <f>Calc!$FC$418</f>
        <v/>
      </c>
      <c r="X416">
        <f>Calc!$EZ$418</f>
        <v/>
      </c>
      <c r="Y416">
        <f>Calc!$FA$418</f>
        <v/>
      </c>
      <c r="Z416">
        <f>Calc!$FV$418</f>
        <v/>
      </c>
      <c r="AA416">
        <f>IF($T416&lt;&gt;"row",0,IF($V416=1,IF($X416=1,IF($Y416=1,1,2),IF($Y416=1,3,4)),IF($X416=1,IF($Y416=1,5,6),IF($Y416=1,7,8))))</f>
        <v/>
      </c>
    </row>
    <row r="417" ht="11.25" customHeight="1">
      <c r="A417" s="64">
        <f>Calc!$FB$419</f>
        <v/>
      </c>
      <c r="B417" s="64">
        <f>Calc!$FC$419</f>
        <v/>
      </c>
      <c r="C417" s="65">
        <f>Calc!$FD$419</f>
        <v/>
      </c>
      <c r="D417" s="65">
        <f>Calc!$FE$419</f>
        <v/>
      </c>
      <c r="E417" s="65">
        <f>Calc!$FF$419</f>
        <v/>
      </c>
      <c r="F417" s="65">
        <f>Calc!$FG$419</f>
        <v/>
      </c>
      <c r="G417" s="65">
        <f>Calc!$FH$419</f>
        <v/>
      </c>
      <c r="H417" s="65">
        <f>Calc!$FI$419</f>
        <v/>
      </c>
      <c r="I417" s="65">
        <f>Calc!$FJ$419</f>
        <v/>
      </c>
      <c r="J417" s="65">
        <f>Calc!$FK$419</f>
        <v/>
      </c>
      <c r="K417" s="65">
        <f>Calc!$FL$419</f>
        <v/>
      </c>
      <c r="L417" s="65">
        <f>Calc!$FM$419</f>
        <v/>
      </c>
      <c r="M417" s="66">
        <f>Calc!$FN$419</f>
        <v/>
      </c>
      <c r="N417" s="66">
        <f>Calc!$FO$419</f>
        <v/>
      </c>
      <c r="O417" s="65">
        <f>Calc!$FP$419</f>
        <v/>
      </c>
      <c r="P417" s="67">
        <f>Calc!$FQ$419</f>
        <v/>
      </c>
      <c r="Q417" s="68">
        <f>Calc!$FR$419</f>
        <v/>
      </c>
      <c r="R417" s="65">
        <f>Calc!$FS$419</f>
        <v/>
      </c>
      <c r="T417">
        <f>Calc!$EY$419</f>
        <v/>
      </c>
      <c r="U417">
        <f>Calc!$FT$419</f>
        <v/>
      </c>
      <c r="V417">
        <f>Calc!$FU$419</f>
        <v/>
      </c>
      <c r="W417">
        <f>Calc!$FC$419</f>
        <v/>
      </c>
      <c r="X417">
        <f>Calc!$EZ$419</f>
        <v/>
      </c>
      <c r="Y417">
        <f>Calc!$FA$419</f>
        <v/>
      </c>
      <c r="Z417">
        <f>Calc!$FV$419</f>
        <v/>
      </c>
      <c r="AA417">
        <f>IF($T417&lt;&gt;"row",0,IF($V417=1,IF($X417=1,IF($Y417=1,1,2),IF($Y417=1,3,4)),IF($X417=1,IF($Y417=1,5,6),IF($Y417=1,7,8))))</f>
        <v/>
      </c>
    </row>
    <row r="418" ht="11.25" customHeight="1">
      <c r="A418" s="64">
        <f>Calc!$FB$420</f>
        <v/>
      </c>
      <c r="B418" s="64">
        <f>Calc!$FC$420</f>
        <v/>
      </c>
      <c r="C418" s="65">
        <f>Calc!$FD$420</f>
        <v/>
      </c>
      <c r="D418" s="65">
        <f>Calc!$FE$420</f>
        <v/>
      </c>
      <c r="E418" s="65">
        <f>Calc!$FF$420</f>
        <v/>
      </c>
      <c r="F418" s="65">
        <f>Calc!$FG$420</f>
        <v/>
      </c>
      <c r="G418" s="65">
        <f>Calc!$FH$420</f>
        <v/>
      </c>
      <c r="H418" s="65">
        <f>Calc!$FI$420</f>
        <v/>
      </c>
      <c r="I418" s="65">
        <f>Calc!$FJ$420</f>
        <v/>
      </c>
      <c r="J418" s="65">
        <f>Calc!$FK$420</f>
        <v/>
      </c>
      <c r="K418" s="65">
        <f>Calc!$FL$420</f>
        <v/>
      </c>
      <c r="L418" s="65">
        <f>Calc!$FM$420</f>
        <v/>
      </c>
      <c r="M418" s="66">
        <f>Calc!$FN$420</f>
        <v/>
      </c>
      <c r="N418" s="66">
        <f>Calc!$FO$420</f>
        <v/>
      </c>
      <c r="O418" s="65">
        <f>Calc!$FP$420</f>
        <v/>
      </c>
      <c r="P418" s="67">
        <f>Calc!$FQ$420</f>
        <v/>
      </c>
      <c r="Q418" s="68">
        <f>Calc!$FR$420</f>
        <v/>
      </c>
      <c r="R418" s="65">
        <f>Calc!$FS$420</f>
        <v/>
      </c>
      <c r="T418">
        <f>Calc!$EY$420</f>
        <v/>
      </c>
      <c r="U418">
        <f>Calc!$FT$420</f>
        <v/>
      </c>
      <c r="V418">
        <f>Calc!$FU$420</f>
        <v/>
      </c>
      <c r="W418">
        <f>Calc!$FC$420</f>
        <v/>
      </c>
      <c r="X418">
        <f>Calc!$EZ$420</f>
        <v/>
      </c>
      <c r="Y418">
        <f>Calc!$FA$420</f>
        <v/>
      </c>
      <c r="Z418">
        <f>Calc!$FV$420</f>
        <v/>
      </c>
      <c r="AA418">
        <f>IF($T418&lt;&gt;"row",0,IF($V418=1,IF($X418=1,IF($Y418=1,1,2),IF($Y418=1,3,4)),IF($X418=1,IF($Y418=1,5,6),IF($Y418=1,7,8))))</f>
        <v/>
      </c>
    </row>
    <row r="419" ht="11.25" customHeight="1">
      <c r="A419" s="64">
        <f>Calc!$FB$421</f>
        <v/>
      </c>
      <c r="B419" s="64">
        <f>Calc!$FC$421</f>
        <v/>
      </c>
      <c r="C419" s="65">
        <f>Calc!$FD$421</f>
        <v/>
      </c>
      <c r="D419" s="65">
        <f>Calc!$FE$421</f>
        <v/>
      </c>
      <c r="E419" s="65">
        <f>Calc!$FF$421</f>
        <v/>
      </c>
      <c r="F419" s="65">
        <f>Calc!$FG$421</f>
        <v/>
      </c>
      <c r="G419" s="65">
        <f>Calc!$FH$421</f>
        <v/>
      </c>
      <c r="H419" s="65">
        <f>Calc!$FI$421</f>
        <v/>
      </c>
      <c r="I419" s="65">
        <f>Calc!$FJ$421</f>
        <v/>
      </c>
      <c r="J419" s="65">
        <f>Calc!$FK$421</f>
        <v/>
      </c>
      <c r="K419" s="65">
        <f>Calc!$FL$421</f>
        <v/>
      </c>
      <c r="L419" s="65">
        <f>Calc!$FM$421</f>
        <v/>
      </c>
      <c r="M419" s="66">
        <f>Calc!$FN$421</f>
        <v/>
      </c>
      <c r="N419" s="66">
        <f>Calc!$FO$421</f>
        <v/>
      </c>
      <c r="O419" s="65">
        <f>Calc!$FP$421</f>
        <v/>
      </c>
      <c r="P419" s="67">
        <f>Calc!$FQ$421</f>
        <v/>
      </c>
      <c r="Q419" s="68">
        <f>Calc!$FR$421</f>
        <v/>
      </c>
      <c r="R419" s="65">
        <f>Calc!$FS$421</f>
        <v/>
      </c>
      <c r="T419">
        <f>Calc!$EY$421</f>
        <v/>
      </c>
      <c r="U419">
        <f>Calc!$FT$421</f>
        <v/>
      </c>
      <c r="V419">
        <f>Calc!$FU$421</f>
        <v/>
      </c>
      <c r="W419">
        <f>Calc!$FC$421</f>
        <v/>
      </c>
      <c r="X419">
        <f>Calc!$EZ$421</f>
        <v/>
      </c>
      <c r="Y419">
        <f>Calc!$FA$421</f>
        <v/>
      </c>
      <c r="Z419">
        <f>Calc!$FV$421</f>
        <v/>
      </c>
      <c r="AA419">
        <f>IF($T419&lt;&gt;"row",0,IF($V419=1,IF($X419=1,IF($Y419=1,1,2),IF($Y419=1,3,4)),IF($X419=1,IF($Y419=1,5,6),IF($Y419=1,7,8))))</f>
        <v/>
      </c>
    </row>
    <row r="420" ht="11.25" customHeight="1">
      <c r="A420" s="64">
        <f>Calc!$FB$422</f>
        <v/>
      </c>
      <c r="B420" s="64">
        <f>Calc!$FC$422</f>
        <v/>
      </c>
      <c r="C420" s="65">
        <f>Calc!$FD$422</f>
        <v/>
      </c>
      <c r="D420" s="65">
        <f>Calc!$FE$422</f>
        <v/>
      </c>
      <c r="E420" s="65">
        <f>Calc!$FF$422</f>
        <v/>
      </c>
      <c r="F420" s="65">
        <f>Calc!$FG$422</f>
        <v/>
      </c>
      <c r="G420" s="65">
        <f>Calc!$FH$422</f>
        <v/>
      </c>
      <c r="H420" s="65">
        <f>Calc!$FI$422</f>
        <v/>
      </c>
      <c r="I420" s="65">
        <f>Calc!$FJ$422</f>
        <v/>
      </c>
      <c r="J420" s="65">
        <f>Calc!$FK$422</f>
        <v/>
      </c>
      <c r="K420" s="65">
        <f>Calc!$FL$422</f>
        <v/>
      </c>
      <c r="L420" s="65">
        <f>Calc!$FM$422</f>
        <v/>
      </c>
      <c r="M420" s="66">
        <f>Calc!$FN$422</f>
        <v/>
      </c>
      <c r="N420" s="66">
        <f>Calc!$FO$422</f>
        <v/>
      </c>
      <c r="O420" s="65">
        <f>Calc!$FP$422</f>
        <v/>
      </c>
      <c r="P420" s="67">
        <f>Calc!$FQ$422</f>
        <v/>
      </c>
      <c r="Q420" s="68">
        <f>Calc!$FR$422</f>
        <v/>
      </c>
      <c r="R420" s="65">
        <f>Calc!$FS$422</f>
        <v/>
      </c>
      <c r="T420">
        <f>Calc!$EY$422</f>
        <v/>
      </c>
      <c r="U420">
        <f>Calc!$FT$422</f>
        <v/>
      </c>
      <c r="V420">
        <f>Calc!$FU$422</f>
        <v/>
      </c>
      <c r="W420">
        <f>Calc!$FC$422</f>
        <v/>
      </c>
      <c r="X420">
        <f>Calc!$EZ$422</f>
        <v/>
      </c>
      <c r="Y420">
        <f>Calc!$FA$422</f>
        <v/>
      </c>
      <c r="Z420">
        <f>Calc!$FV$422</f>
        <v/>
      </c>
      <c r="AA420">
        <f>IF($T420&lt;&gt;"row",0,IF($V420=1,IF($X420=1,IF($Y420=1,1,2),IF($Y420=1,3,4)),IF($X420=1,IF($Y420=1,5,6),IF($Y420=1,7,8))))</f>
        <v/>
      </c>
    </row>
    <row r="421" ht="11.25" customHeight="1">
      <c r="A421" s="64">
        <f>Calc!$FB$423</f>
        <v/>
      </c>
      <c r="B421" s="64">
        <f>Calc!$FC$423</f>
        <v/>
      </c>
      <c r="C421" s="65">
        <f>Calc!$FD$423</f>
        <v/>
      </c>
      <c r="D421" s="65">
        <f>Calc!$FE$423</f>
        <v/>
      </c>
      <c r="E421" s="65">
        <f>Calc!$FF$423</f>
        <v/>
      </c>
      <c r="F421" s="65">
        <f>Calc!$FG$423</f>
        <v/>
      </c>
      <c r="G421" s="65">
        <f>Calc!$FH$423</f>
        <v/>
      </c>
      <c r="H421" s="65">
        <f>Calc!$FI$423</f>
        <v/>
      </c>
      <c r="I421" s="65">
        <f>Calc!$FJ$423</f>
        <v/>
      </c>
      <c r="J421" s="65">
        <f>Calc!$FK$423</f>
        <v/>
      </c>
      <c r="K421" s="65">
        <f>Calc!$FL$423</f>
        <v/>
      </c>
      <c r="L421" s="65">
        <f>Calc!$FM$423</f>
        <v/>
      </c>
      <c r="M421" s="66">
        <f>Calc!$FN$423</f>
        <v/>
      </c>
      <c r="N421" s="66">
        <f>Calc!$FO$423</f>
        <v/>
      </c>
      <c r="O421" s="65">
        <f>Calc!$FP$423</f>
        <v/>
      </c>
      <c r="P421" s="67">
        <f>Calc!$FQ$423</f>
        <v/>
      </c>
      <c r="Q421" s="68">
        <f>Calc!$FR$423</f>
        <v/>
      </c>
      <c r="R421" s="65">
        <f>Calc!$FS$423</f>
        <v/>
      </c>
      <c r="T421">
        <f>Calc!$EY$423</f>
        <v/>
      </c>
      <c r="U421">
        <f>Calc!$FT$423</f>
        <v/>
      </c>
      <c r="V421">
        <f>Calc!$FU$423</f>
        <v/>
      </c>
      <c r="W421">
        <f>Calc!$FC$423</f>
        <v/>
      </c>
      <c r="X421">
        <f>Calc!$EZ$423</f>
        <v/>
      </c>
      <c r="Y421">
        <f>Calc!$FA$423</f>
        <v/>
      </c>
      <c r="Z421">
        <f>Calc!$FV$423</f>
        <v/>
      </c>
      <c r="AA421">
        <f>IF($T421&lt;&gt;"row",0,IF($V421=1,IF($X421=1,IF($Y421=1,1,2),IF($Y421=1,3,4)),IF($X421=1,IF($Y421=1,5,6),IF($Y421=1,7,8))))</f>
        <v/>
      </c>
    </row>
    <row r="422" ht="11.25" customHeight="1">
      <c r="A422" s="64">
        <f>Calc!$FB$424</f>
        <v/>
      </c>
      <c r="B422" s="64">
        <f>Calc!$FC$424</f>
        <v/>
      </c>
      <c r="C422" s="65">
        <f>Calc!$FD$424</f>
        <v/>
      </c>
      <c r="D422" s="65">
        <f>Calc!$FE$424</f>
        <v/>
      </c>
      <c r="E422" s="65">
        <f>Calc!$FF$424</f>
        <v/>
      </c>
      <c r="F422" s="65">
        <f>Calc!$FG$424</f>
        <v/>
      </c>
      <c r="G422" s="65">
        <f>Calc!$FH$424</f>
        <v/>
      </c>
      <c r="H422" s="65">
        <f>Calc!$FI$424</f>
        <v/>
      </c>
      <c r="I422" s="65">
        <f>Calc!$FJ$424</f>
        <v/>
      </c>
      <c r="J422" s="65">
        <f>Calc!$FK$424</f>
        <v/>
      </c>
      <c r="K422" s="65">
        <f>Calc!$FL$424</f>
        <v/>
      </c>
      <c r="L422" s="65">
        <f>Calc!$FM$424</f>
        <v/>
      </c>
      <c r="M422" s="66">
        <f>Calc!$FN$424</f>
        <v/>
      </c>
      <c r="N422" s="66">
        <f>Calc!$FO$424</f>
        <v/>
      </c>
      <c r="O422" s="65">
        <f>Calc!$FP$424</f>
        <v/>
      </c>
      <c r="P422" s="67">
        <f>Calc!$FQ$424</f>
        <v/>
      </c>
      <c r="Q422" s="68">
        <f>Calc!$FR$424</f>
        <v/>
      </c>
      <c r="R422" s="65">
        <f>Calc!$FS$424</f>
        <v/>
      </c>
      <c r="T422">
        <f>Calc!$EY$424</f>
        <v/>
      </c>
      <c r="U422">
        <f>Calc!$FT$424</f>
        <v/>
      </c>
      <c r="V422">
        <f>Calc!$FU$424</f>
        <v/>
      </c>
      <c r="W422">
        <f>Calc!$FC$424</f>
        <v/>
      </c>
      <c r="X422">
        <f>Calc!$EZ$424</f>
        <v/>
      </c>
      <c r="Y422">
        <f>Calc!$FA$424</f>
        <v/>
      </c>
      <c r="Z422">
        <f>Calc!$FV$424</f>
        <v/>
      </c>
      <c r="AA422">
        <f>IF($T422&lt;&gt;"row",0,IF($V422=1,IF($X422=1,IF($Y422=1,1,2),IF($Y422=1,3,4)),IF($X422=1,IF($Y422=1,5,6),IF($Y422=1,7,8))))</f>
        <v/>
      </c>
    </row>
    <row r="423" ht="11.25" customHeight="1">
      <c r="A423" s="64">
        <f>Calc!$FB$425</f>
        <v/>
      </c>
      <c r="B423" s="64">
        <f>Calc!$FC$425</f>
        <v/>
      </c>
      <c r="C423" s="65">
        <f>Calc!$FD$425</f>
        <v/>
      </c>
      <c r="D423" s="65">
        <f>Calc!$FE$425</f>
        <v/>
      </c>
      <c r="E423" s="65">
        <f>Calc!$FF$425</f>
        <v/>
      </c>
      <c r="F423" s="65">
        <f>Calc!$FG$425</f>
        <v/>
      </c>
      <c r="G423" s="65">
        <f>Calc!$FH$425</f>
        <v/>
      </c>
      <c r="H423" s="65">
        <f>Calc!$FI$425</f>
        <v/>
      </c>
      <c r="I423" s="65">
        <f>Calc!$FJ$425</f>
        <v/>
      </c>
      <c r="J423" s="65">
        <f>Calc!$FK$425</f>
        <v/>
      </c>
      <c r="K423" s="65">
        <f>Calc!$FL$425</f>
        <v/>
      </c>
      <c r="L423" s="65">
        <f>Calc!$FM$425</f>
        <v/>
      </c>
      <c r="M423" s="66">
        <f>Calc!$FN$425</f>
        <v/>
      </c>
      <c r="N423" s="66">
        <f>Calc!$FO$425</f>
        <v/>
      </c>
      <c r="O423" s="65">
        <f>Calc!$FP$425</f>
        <v/>
      </c>
      <c r="P423" s="67">
        <f>Calc!$FQ$425</f>
        <v/>
      </c>
      <c r="Q423" s="68">
        <f>Calc!$FR$425</f>
        <v/>
      </c>
      <c r="R423" s="65">
        <f>Calc!$FS$425</f>
        <v/>
      </c>
      <c r="T423">
        <f>Calc!$EY$425</f>
        <v/>
      </c>
      <c r="U423">
        <f>Calc!$FT$425</f>
        <v/>
      </c>
      <c r="V423">
        <f>Calc!$FU$425</f>
        <v/>
      </c>
      <c r="W423">
        <f>Calc!$FC$425</f>
        <v/>
      </c>
      <c r="X423">
        <f>Calc!$EZ$425</f>
        <v/>
      </c>
      <c r="Y423">
        <f>Calc!$FA$425</f>
        <v/>
      </c>
      <c r="Z423">
        <f>Calc!$FV$425</f>
        <v/>
      </c>
      <c r="AA423">
        <f>IF($T423&lt;&gt;"row",0,IF($V423=1,IF($X423=1,IF($Y423=1,1,2),IF($Y423=1,3,4)),IF($X423=1,IF($Y423=1,5,6),IF($Y423=1,7,8))))</f>
        <v/>
      </c>
    </row>
    <row r="424" ht="11.25" customHeight="1">
      <c r="A424" s="64">
        <f>Calc!$FB$426</f>
        <v/>
      </c>
      <c r="B424" s="64">
        <f>Calc!$FC$426</f>
        <v/>
      </c>
      <c r="C424" s="65">
        <f>Calc!$FD$426</f>
        <v/>
      </c>
      <c r="D424" s="65">
        <f>Calc!$FE$426</f>
        <v/>
      </c>
      <c r="E424" s="65">
        <f>Calc!$FF$426</f>
        <v/>
      </c>
      <c r="F424" s="65">
        <f>Calc!$FG$426</f>
        <v/>
      </c>
      <c r="G424" s="65">
        <f>Calc!$FH$426</f>
        <v/>
      </c>
      <c r="H424" s="65">
        <f>Calc!$FI$426</f>
        <v/>
      </c>
      <c r="I424" s="65">
        <f>Calc!$FJ$426</f>
        <v/>
      </c>
      <c r="J424" s="65">
        <f>Calc!$FK$426</f>
        <v/>
      </c>
      <c r="K424" s="65">
        <f>Calc!$FL$426</f>
        <v/>
      </c>
      <c r="L424" s="65">
        <f>Calc!$FM$426</f>
        <v/>
      </c>
      <c r="M424" s="66">
        <f>Calc!$FN$426</f>
        <v/>
      </c>
      <c r="N424" s="66">
        <f>Calc!$FO$426</f>
        <v/>
      </c>
      <c r="O424" s="65">
        <f>Calc!$FP$426</f>
        <v/>
      </c>
      <c r="P424" s="67">
        <f>Calc!$FQ$426</f>
        <v/>
      </c>
      <c r="Q424" s="68">
        <f>Calc!$FR$426</f>
        <v/>
      </c>
      <c r="R424" s="65">
        <f>Calc!$FS$426</f>
        <v/>
      </c>
      <c r="T424">
        <f>Calc!$EY$426</f>
        <v/>
      </c>
      <c r="U424">
        <f>Calc!$FT$426</f>
        <v/>
      </c>
      <c r="V424">
        <f>Calc!$FU$426</f>
        <v/>
      </c>
      <c r="W424">
        <f>Calc!$FC$426</f>
        <v/>
      </c>
      <c r="X424">
        <f>Calc!$EZ$426</f>
        <v/>
      </c>
      <c r="Y424">
        <f>Calc!$FA$426</f>
        <v/>
      </c>
      <c r="Z424">
        <f>Calc!$FV$426</f>
        <v/>
      </c>
      <c r="AA424">
        <f>IF($T424&lt;&gt;"row",0,IF($V424=1,IF($X424=1,IF($Y424=1,1,2),IF($Y424=1,3,4)),IF($X424=1,IF($Y424=1,5,6),IF($Y424=1,7,8))))</f>
        <v/>
      </c>
    </row>
    <row r="425" ht="11.25" customHeight="1">
      <c r="A425" s="64">
        <f>Calc!$FB$427</f>
        <v/>
      </c>
      <c r="B425" s="64">
        <f>Calc!$FC$427</f>
        <v/>
      </c>
      <c r="C425" s="65">
        <f>Calc!$FD$427</f>
        <v/>
      </c>
      <c r="D425" s="65">
        <f>Calc!$FE$427</f>
        <v/>
      </c>
      <c r="E425" s="65">
        <f>Calc!$FF$427</f>
        <v/>
      </c>
      <c r="F425" s="65">
        <f>Calc!$FG$427</f>
        <v/>
      </c>
      <c r="G425" s="65">
        <f>Calc!$FH$427</f>
        <v/>
      </c>
      <c r="H425" s="65">
        <f>Calc!$FI$427</f>
        <v/>
      </c>
      <c r="I425" s="65">
        <f>Calc!$FJ$427</f>
        <v/>
      </c>
      <c r="J425" s="65">
        <f>Calc!$FK$427</f>
        <v/>
      </c>
      <c r="K425" s="65">
        <f>Calc!$FL$427</f>
        <v/>
      </c>
      <c r="L425" s="65">
        <f>Calc!$FM$427</f>
        <v/>
      </c>
      <c r="M425" s="66">
        <f>Calc!$FN$427</f>
        <v/>
      </c>
      <c r="N425" s="66">
        <f>Calc!$FO$427</f>
        <v/>
      </c>
      <c r="O425" s="65">
        <f>Calc!$FP$427</f>
        <v/>
      </c>
      <c r="P425" s="67">
        <f>Calc!$FQ$427</f>
        <v/>
      </c>
      <c r="Q425" s="68">
        <f>Calc!$FR$427</f>
        <v/>
      </c>
      <c r="R425" s="65">
        <f>Calc!$FS$427</f>
        <v/>
      </c>
      <c r="T425">
        <f>Calc!$EY$427</f>
        <v/>
      </c>
      <c r="U425">
        <f>Calc!$FT$427</f>
        <v/>
      </c>
      <c r="V425">
        <f>Calc!$FU$427</f>
        <v/>
      </c>
      <c r="W425">
        <f>Calc!$FC$427</f>
        <v/>
      </c>
      <c r="X425">
        <f>Calc!$EZ$427</f>
        <v/>
      </c>
      <c r="Y425">
        <f>Calc!$FA$427</f>
        <v/>
      </c>
      <c r="Z425">
        <f>Calc!$FV$427</f>
        <v/>
      </c>
      <c r="AA425">
        <f>IF($T425&lt;&gt;"row",0,IF($V425=1,IF($X425=1,IF($Y425=1,1,2),IF($Y425=1,3,4)),IF($X425=1,IF($Y425=1,5,6),IF($Y425=1,7,8))))</f>
        <v/>
      </c>
    </row>
    <row r="426" ht="11.25" customHeight="1">
      <c r="A426" s="64">
        <f>Calc!$FB$428</f>
        <v/>
      </c>
      <c r="B426" s="64">
        <f>Calc!$FC$428</f>
        <v/>
      </c>
      <c r="C426" s="65">
        <f>Calc!$FD$428</f>
        <v/>
      </c>
      <c r="D426" s="65">
        <f>Calc!$FE$428</f>
        <v/>
      </c>
      <c r="E426" s="65">
        <f>Calc!$FF$428</f>
        <v/>
      </c>
      <c r="F426" s="65">
        <f>Calc!$FG$428</f>
        <v/>
      </c>
      <c r="G426" s="65">
        <f>Calc!$FH$428</f>
        <v/>
      </c>
      <c r="H426" s="65">
        <f>Calc!$FI$428</f>
        <v/>
      </c>
      <c r="I426" s="65">
        <f>Calc!$FJ$428</f>
        <v/>
      </c>
      <c r="J426" s="65">
        <f>Calc!$FK$428</f>
        <v/>
      </c>
      <c r="K426" s="65">
        <f>Calc!$FL$428</f>
        <v/>
      </c>
      <c r="L426" s="65">
        <f>Calc!$FM$428</f>
        <v/>
      </c>
      <c r="M426" s="66">
        <f>Calc!$FN$428</f>
        <v/>
      </c>
      <c r="N426" s="66">
        <f>Calc!$FO$428</f>
        <v/>
      </c>
      <c r="O426" s="65">
        <f>Calc!$FP$428</f>
        <v/>
      </c>
      <c r="P426" s="67">
        <f>Calc!$FQ$428</f>
        <v/>
      </c>
      <c r="Q426" s="68">
        <f>Calc!$FR$428</f>
        <v/>
      </c>
      <c r="R426" s="65">
        <f>Calc!$FS$428</f>
        <v/>
      </c>
      <c r="T426">
        <f>Calc!$EY$428</f>
        <v/>
      </c>
      <c r="U426">
        <f>Calc!$FT$428</f>
        <v/>
      </c>
      <c r="V426">
        <f>Calc!$FU$428</f>
        <v/>
      </c>
      <c r="W426">
        <f>Calc!$FC$428</f>
        <v/>
      </c>
      <c r="X426">
        <f>Calc!$EZ$428</f>
        <v/>
      </c>
      <c r="Y426">
        <f>Calc!$FA$428</f>
        <v/>
      </c>
      <c r="Z426">
        <f>Calc!$FV$428</f>
        <v/>
      </c>
      <c r="AA426">
        <f>IF($T426&lt;&gt;"row",0,IF($V426=1,IF($X426=1,IF($Y426=1,1,2),IF($Y426=1,3,4)),IF($X426=1,IF($Y426=1,5,6),IF($Y426=1,7,8))))</f>
        <v/>
      </c>
    </row>
    <row r="427" ht="11.25" customHeight="1">
      <c r="A427" s="64">
        <f>Calc!$FB$429</f>
        <v/>
      </c>
      <c r="B427" s="64">
        <f>Calc!$FC$429</f>
        <v/>
      </c>
      <c r="C427" s="65">
        <f>Calc!$FD$429</f>
        <v/>
      </c>
      <c r="D427" s="65">
        <f>Calc!$FE$429</f>
        <v/>
      </c>
      <c r="E427" s="65">
        <f>Calc!$FF$429</f>
        <v/>
      </c>
      <c r="F427" s="65">
        <f>Calc!$FG$429</f>
        <v/>
      </c>
      <c r="G427" s="65">
        <f>Calc!$FH$429</f>
        <v/>
      </c>
      <c r="H427" s="65">
        <f>Calc!$FI$429</f>
        <v/>
      </c>
      <c r="I427" s="65">
        <f>Calc!$FJ$429</f>
        <v/>
      </c>
      <c r="J427" s="65">
        <f>Calc!$FK$429</f>
        <v/>
      </c>
      <c r="K427" s="65">
        <f>Calc!$FL$429</f>
        <v/>
      </c>
      <c r="L427" s="65">
        <f>Calc!$FM$429</f>
        <v/>
      </c>
      <c r="M427" s="66">
        <f>Calc!$FN$429</f>
        <v/>
      </c>
      <c r="N427" s="66">
        <f>Calc!$FO$429</f>
        <v/>
      </c>
      <c r="O427" s="65">
        <f>Calc!$FP$429</f>
        <v/>
      </c>
      <c r="P427" s="67">
        <f>Calc!$FQ$429</f>
        <v/>
      </c>
      <c r="Q427" s="68">
        <f>Calc!$FR$429</f>
        <v/>
      </c>
      <c r="R427" s="65">
        <f>Calc!$FS$429</f>
        <v/>
      </c>
      <c r="T427">
        <f>Calc!$EY$429</f>
        <v/>
      </c>
      <c r="U427">
        <f>Calc!$FT$429</f>
        <v/>
      </c>
      <c r="V427">
        <f>Calc!$FU$429</f>
        <v/>
      </c>
      <c r="W427">
        <f>Calc!$FC$429</f>
        <v/>
      </c>
      <c r="X427">
        <f>Calc!$EZ$429</f>
        <v/>
      </c>
      <c r="Y427">
        <f>Calc!$FA$429</f>
        <v/>
      </c>
      <c r="Z427">
        <f>Calc!$FV$429</f>
        <v/>
      </c>
      <c r="AA427">
        <f>IF($T427&lt;&gt;"row",0,IF($V427=1,IF($X427=1,IF($Y427=1,1,2),IF($Y427=1,3,4)),IF($X427=1,IF($Y427=1,5,6),IF($Y427=1,7,8))))</f>
        <v/>
      </c>
    </row>
    <row r="428" ht="11.25" customHeight="1">
      <c r="A428" s="64">
        <f>Calc!$FB$430</f>
        <v/>
      </c>
      <c r="B428" s="64">
        <f>Calc!$FC$430</f>
        <v/>
      </c>
      <c r="C428" s="65">
        <f>Calc!$FD$430</f>
        <v/>
      </c>
      <c r="D428" s="65">
        <f>Calc!$FE$430</f>
        <v/>
      </c>
      <c r="E428" s="65">
        <f>Calc!$FF$430</f>
        <v/>
      </c>
      <c r="F428" s="65">
        <f>Calc!$FG$430</f>
        <v/>
      </c>
      <c r="G428" s="65">
        <f>Calc!$FH$430</f>
        <v/>
      </c>
      <c r="H428" s="65">
        <f>Calc!$FI$430</f>
        <v/>
      </c>
      <c r="I428" s="65">
        <f>Calc!$FJ$430</f>
        <v/>
      </c>
      <c r="J428" s="65">
        <f>Calc!$FK$430</f>
        <v/>
      </c>
      <c r="K428" s="65">
        <f>Calc!$FL$430</f>
        <v/>
      </c>
      <c r="L428" s="65">
        <f>Calc!$FM$430</f>
        <v/>
      </c>
      <c r="M428" s="66">
        <f>Calc!$FN$430</f>
        <v/>
      </c>
      <c r="N428" s="66">
        <f>Calc!$FO$430</f>
        <v/>
      </c>
      <c r="O428" s="65">
        <f>Calc!$FP$430</f>
        <v/>
      </c>
      <c r="P428" s="67">
        <f>Calc!$FQ$430</f>
        <v/>
      </c>
      <c r="Q428" s="68">
        <f>Calc!$FR$430</f>
        <v/>
      </c>
      <c r="R428" s="65">
        <f>Calc!$FS$430</f>
        <v/>
      </c>
      <c r="T428">
        <f>Calc!$EY$430</f>
        <v/>
      </c>
      <c r="U428">
        <f>Calc!$FT$430</f>
        <v/>
      </c>
      <c r="V428">
        <f>Calc!$FU$430</f>
        <v/>
      </c>
      <c r="W428">
        <f>Calc!$FC$430</f>
        <v/>
      </c>
      <c r="X428">
        <f>Calc!$EZ$430</f>
        <v/>
      </c>
      <c r="Y428">
        <f>Calc!$FA$430</f>
        <v/>
      </c>
      <c r="Z428">
        <f>Calc!$FV$430</f>
        <v/>
      </c>
      <c r="AA428">
        <f>IF($T428&lt;&gt;"row",0,IF($V428=1,IF($X428=1,IF($Y428=1,1,2),IF($Y428=1,3,4)),IF($X428=1,IF($Y428=1,5,6),IF($Y428=1,7,8))))</f>
        <v/>
      </c>
    </row>
    <row r="429" ht="11.25" customHeight="1">
      <c r="A429" s="64">
        <f>Calc!$FB$431</f>
        <v/>
      </c>
      <c r="B429" s="64">
        <f>Calc!$FC$431</f>
        <v/>
      </c>
      <c r="C429" s="65">
        <f>Calc!$FD$431</f>
        <v/>
      </c>
      <c r="D429" s="65">
        <f>Calc!$FE$431</f>
        <v/>
      </c>
      <c r="E429" s="65">
        <f>Calc!$FF$431</f>
        <v/>
      </c>
      <c r="F429" s="65">
        <f>Calc!$FG$431</f>
        <v/>
      </c>
      <c r="G429" s="65">
        <f>Calc!$FH$431</f>
        <v/>
      </c>
      <c r="H429" s="65">
        <f>Calc!$FI$431</f>
        <v/>
      </c>
      <c r="I429" s="65">
        <f>Calc!$FJ$431</f>
        <v/>
      </c>
      <c r="J429" s="65">
        <f>Calc!$FK$431</f>
        <v/>
      </c>
      <c r="K429" s="65">
        <f>Calc!$FL$431</f>
        <v/>
      </c>
      <c r="L429" s="65">
        <f>Calc!$FM$431</f>
        <v/>
      </c>
      <c r="M429" s="66">
        <f>Calc!$FN$431</f>
        <v/>
      </c>
      <c r="N429" s="66">
        <f>Calc!$FO$431</f>
        <v/>
      </c>
      <c r="O429" s="65">
        <f>Calc!$FP$431</f>
        <v/>
      </c>
      <c r="P429" s="67">
        <f>Calc!$FQ$431</f>
        <v/>
      </c>
      <c r="Q429" s="68">
        <f>Calc!$FR$431</f>
        <v/>
      </c>
      <c r="R429" s="65">
        <f>Calc!$FS$431</f>
        <v/>
      </c>
      <c r="T429">
        <f>Calc!$EY$431</f>
        <v/>
      </c>
      <c r="U429">
        <f>Calc!$FT$431</f>
        <v/>
      </c>
      <c r="V429">
        <f>Calc!$FU$431</f>
        <v/>
      </c>
      <c r="W429">
        <f>Calc!$FC$431</f>
        <v/>
      </c>
      <c r="X429">
        <f>Calc!$EZ$431</f>
        <v/>
      </c>
      <c r="Y429">
        <f>Calc!$FA$431</f>
        <v/>
      </c>
      <c r="Z429">
        <f>Calc!$FV$431</f>
        <v/>
      </c>
      <c r="AA429">
        <f>IF($T429&lt;&gt;"row",0,IF($V429=1,IF($X429=1,IF($Y429=1,1,2),IF($Y429=1,3,4)),IF($X429=1,IF($Y429=1,5,6),IF($Y429=1,7,8))))</f>
        <v/>
      </c>
    </row>
    <row r="430" ht="11.25" customHeight="1">
      <c r="A430" s="64">
        <f>Calc!$FB$432</f>
        <v/>
      </c>
      <c r="B430" s="64">
        <f>Calc!$FC$432</f>
        <v/>
      </c>
      <c r="C430" s="65">
        <f>Calc!$FD$432</f>
        <v/>
      </c>
      <c r="D430" s="65">
        <f>Calc!$FE$432</f>
        <v/>
      </c>
      <c r="E430" s="65">
        <f>Calc!$FF$432</f>
        <v/>
      </c>
      <c r="F430" s="65">
        <f>Calc!$FG$432</f>
        <v/>
      </c>
      <c r="G430" s="65">
        <f>Calc!$FH$432</f>
        <v/>
      </c>
      <c r="H430" s="65">
        <f>Calc!$FI$432</f>
        <v/>
      </c>
      <c r="I430" s="65">
        <f>Calc!$FJ$432</f>
        <v/>
      </c>
      <c r="J430" s="65">
        <f>Calc!$FK$432</f>
        <v/>
      </c>
      <c r="K430" s="65">
        <f>Calc!$FL$432</f>
        <v/>
      </c>
      <c r="L430" s="65">
        <f>Calc!$FM$432</f>
        <v/>
      </c>
      <c r="M430" s="66">
        <f>Calc!$FN$432</f>
        <v/>
      </c>
      <c r="N430" s="66">
        <f>Calc!$FO$432</f>
        <v/>
      </c>
      <c r="O430" s="65">
        <f>Calc!$FP$432</f>
        <v/>
      </c>
      <c r="P430" s="67">
        <f>Calc!$FQ$432</f>
        <v/>
      </c>
      <c r="Q430" s="68">
        <f>Calc!$FR$432</f>
        <v/>
      </c>
      <c r="R430" s="65">
        <f>Calc!$FS$432</f>
        <v/>
      </c>
      <c r="T430">
        <f>Calc!$EY$432</f>
        <v/>
      </c>
      <c r="U430">
        <f>Calc!$FT$432</f>
        <v/>
      </c>
      <c r="V430">
        <f>Calc!$FU$432</f>
        <v/>
      </c>
      <c r="W430">
        <f>Calc!$FC$432</f>
        <v/>
      </c>
      <c r="X430">
        <f>Calc!$EZ$432</f>
        <v/>
      </c>
      <c r="Y430">
        <f>Calc!$FA$432</f>
        <v/>
      </c>
      <c r="Z430">
        <f>Calc!$FV$432</f>
        <v/>
      </c>
      <c r="AA430">
        <f>IF($T430&lt;&gt;"row",0,IF($V430=1,IF($X430=1,IF($Y430=1,1,2),IF($Y430=1,3,4)),IF($X430=1,IF($Y430=1,5,6),IF($Y430=1,7,8))))</f>
        <v/>
      </c>
    </row>
    <row r="431" ht="11.25" customHeight="1">
      <c r="A431" s="64">
        <f>Calc!$FB$433</f>
        <v/>
      </c>
      <c r="B431" s="64">
        <f>Calc!$FC$433</f>
        <v/>
      </c>
      <c r="C431" s="65">
        <f>Calc!$FD$433</f>
        <v/>
      </c>
      <c r="D431" s="65">
        <f>Calc!$FE$433</f>
        <v/>
      </c>
      <c r="E431" s="65">
        <f>Calc!$FF$433</f>
        <v/>
      </c>
      <c r="F431" s="65">
        <f>Calc!$FG$433</f>
        <v/>
      </c>
      <c r="G431" s="65">
        <f>Calc!$FH$433</f>
        <v/>
      </c>
      <c r="H431" s="65">
        <f>Calc!$FI$433</f>
        <v/>
      </c>
      <c r="I431" s="65">
        <f>Calc!$FJ$433</f>
        <v/>
      </c>
      <c r="J431" s="65">
        <f>Calc!$FK$433</f>
        <v/>
      </c>
      <c r="K431" s="65">
        <f>Calc!$FL$433</f>
        <v/>
      </c>
      <c r="L431" s="65">
        <f>Calc!$FM$433</f>
        <v/>
      </c>
      <c r="M431" s="66">
        <f>Calc!$FN$433</f>
        <v/>
      </c>
      <c r="N431" s="66">
        <f>Calc!$FO$433</f>
        <v/>
      </c>
      <c r="O431" s="65">
        <f>Calc!$FP$433</f>
        <v/>
      </c>
      <c r="P431" s="67">
        <f>Calc!$FQ$433</f>
        <v/>
      </c>
      <c r="Q431" s="68">
        <f>Calc!$FR$433</f>
        <v/>
      </c>
      <c r="R431" s="65">
        <f>Calc!$FS$433</f>
        <v/>
      </c>
      <c r="T431">
        <f>Calc!$EY$433</f>
        <v/>
      </c>
      <c r="U431">
        <f>Calc!$FT$433</f>
        <v/>
      </c>
      <c r="V431">
        <f>Calc!$FU$433</f>
        <v/>
      </c>
      <c r="W431">
        <f>Calc!$FC$433</f>
        <v/>
      </c>
      <c r="X431">
        <f>Calc!$EZ$433</f>
        <v/>
      </c>
      <c r="Y431">
        <f>Calc!$FA$433</f>
        <v/>
      </c>
      <c r="Z431">
        <f>Calc!$FV$433</f>
        <v/>
      </c>
      <c r="AA431">
        <f>IF($T431&lt;&gt;"row",0,IF($V431=1,IF($X431=1,IF($Y431=1,1,2),IF($Y431=1,3,4)),IF($X431=1,IF($Y431=1,5,6),IF($Y431=1,7,8))))</f>
        <v/>
      </c>
    </row>
    <row r="432" ht="11.25" customHeight="1">
      <c r="A432" s="64">
        <f>Calc!$FB$434</f>
        <v/>
      </c>
      <c r="B432" s="64">
        <f>Calc!$FC$434</f>
        <v/>
      </c>
      <c r="C432" s="65">
        <f>Calc!$FD$434</f>
        <v/>
      </c>
      <c r="D432" s="65">
        <f>Calc!$FE$434</f>
        <v/>
      </c>
      <c r="E432" s="65">
        <f>Calc!$FF$434</f>
        <v/>
      </c>
      <c r="F432" s="65">
        <f>Calc!$FG$434</f>
        <v/>
      </c>
      <c r="G432" s="65">
        <f>Calc!$FH$434</f>
        <v/>
      </c>
      <c r="H432" s="65">
        <f>Calc!$FI$434</f>
        <v/>
      </c>
      <c r="I432" s="65">
        <f>Calc!$FJ$434</f>
        <v/>
      </c>
      <c r="J432" s="65">
        <f>Calc!$FK$434</f>
        <v/>
      </c>
      <c r="K432" s="65">
        <f>Calc!$FL$434</f>
        <v/>
      </c>
      <c r="L432" s="65">
        <f>Calc!$FM$434</f>
        <v/>
      </c>
      <c r="M432" s="66">
        <f>Calc!$FN$434</f>
        <v/>
      </c>
      <c r="N432" s="66">
        <f>Calc!$FO$434</f>
        <v/>
      </c>
      <c r="O432" s="65">
        <f>Calc!$FP$434</f>
        <v/>
      </c>
      <c r="P432" s="67">
        <f>Calc!$FQ$434</f>
        <v/>
      </c>
      <c r="Q432" s="68">
        <f>Calc!$FR$434</f>
        <v/>
      </c>
      <c r="R432" s="65">
        <f>Calc!$FS$434</f>
        <v/>
      </c>
      <c r="T432">
        <f>Calc!$EY$434</f>
        <v/>
      </c>
      <c r="U432">
        <f>Calc!$FT$434</f>
        <v/>
      </c>
      <c r="V432">
        <f>Calc!$FU$434</f>
        <v/>
      </c>
      <c r="W432">
        <f>Calc!$FC$434</f>
        <v/>
      </c>
      <c r="X432">
        <f>Calc!$EZ$434</f>
        <v/>
      </c>
      <c r="Y432">
        <f>Calc!$FA$434</f>
        <v/>
      </c>
      <c r="Z432">
        <f>Calc!$FV$434</f>
        <v/>
      </c>
      <c r="AA432">
        <f>IF($T432&lt;&gt;"row",0,IF($V432=1,IF($X432=1,IF($Y432=1,1,2),IF($Y432=1,3,4)),IF($X432=1,IF($Y432=1,5,6),IF($Y432=1,7,8))))</f>
        <v/>
      </c>
    </row>
    <row r="433" ht="11.25" customHeight="1">
      <c r="A433" s="64">
        <f>Calc!$FB$435</f>
        <v/>
      </c>
      <c r="B433" s="64">
        <f>Calc!$FC$435</f>
        <v/>
      </c>
      <c r="C433" s="65">
        <f>Calc!$FD$435</f>
        <v/>
      </c>
      <c r="D433" s="65">
        <f>Calc!$FE$435</f>
        <v/>
      </c>
      <c r="E433" s="65">
        <f>Calc!$FF$435</f>
        <v/>
      </c>
      <c r="F433" s="65">
        <f>Calc!$FG$435</f>
        <v/>
      </c>
      <c r="G433" s="65">
        <f>Calc!$FH$435</f>
        <v/>
      </c>
      <c r="H433" s="65">
        <f>Calc!$FI$435</f>
        <v/>
      </c>
      <c r="I433" s="65">
        <f>Calc!$FJ$435</f>
        <v/>
      </c>
      <c r="J433" s="65">
        <f>Calc!$FK$435</f>
        <v/>
      </c>
      <c r="K433" s="65">
        <f>Calc!$FL$435</f>
        <v/>
      </c>
      <c r="L433" s="65">
        <f>Calc!$FM$435</f>
        <v/>
      </c>
      <c r="M433" s="66">
        <f>Calc!$FN$435</f>
        <v/>
      </c>
      <c r="N433" s="66">
        <f>Calc!$FO$435</f>
        <v/>
      </c>
      <c r="O433" s="65">
        <f>Calc!$FP$435</f>
        <v/>
      </c>
      <c r="P433" s="67">
        <f>Calc!$FQ$435</f>
        <v/>
      </c>
      <c r="Q433" s="68">
        <f>Calc!$FR$435</f>
        <v/>
      </c>
      <c r="R433" s="65">
        <f>Calc!$FS$435</f>
        <v/>
      </c>
      <c r="T433">
        <f>Calc!$EY$435</f>
        <v/>
      </c>
      <c r="U433">
        <f>Calc!$FT$435</f>
        <v/>
      </c>
      <c r="V433">
        <f>Calc!$FU$435</f>
        <v/>
      </c>
      <c r="W433">
        <f>Calc!$FC$435</f>
        <v/>
      </c>
      <c r="X433">
        <f>Calc!$EZ$435</f>
        <v/>
      </c>
      <c r="Y433">
        <f>Calc!$FA$435</f>
        <v/>
      </c>
      <c r="Z433">
        <f>Calc!$FV$435</f>
        <v/>
      </c>
      <c r="AA433">
        <f>IF($T433&lt;&gt;"row",0,IF($V433=1,IF($X433=1,IF($Y433=1,1,2),IF($Y433=1,3,4)),IF($X433=1,IF($Y433=1,5,6),IF($Y433=1,7,8))))</f>
        <v/>
      </c>
    </row>
    <row r="434" ht="11.25" customHeight="1">
      <c r="A434" s="64">
        <f>Calc!$FB$436</f>
        <v/>
      </c>
      <c r="B434" s="64">
        <f>Calc!$FC$436</f>
        <v/>
      </c>
      <c r="C434" s="65">
        <f>Calc!$FD$436</f>
        <v/>
      </c>
      <c r="D434" s="65">
        <f>Calc!$FE$436</f>
        <v/>
      </c>
      <c r="E434" s="65">
        <f>Calc!$FF$436</f>
        <v/>
      </c>
      <c r="F434" s="65">
        <f>Calc!$FG$436</f>
        <v/>
      </c>
      <c r="G434" s="65">
        <f>Calc!$FH$436</f>
        <v/>
      </c>
      <c r="H434" s="65">
        <f>Calc!$FI$436</f>
        <v/>
      </c>
      <c r="I434" s="65">
        <f>Calc!$FJ$436</f>
        <v/>
      </c>
      <c r="J434" s="65">
        <f>Calc!$FK$436</f>
        <v/>
      </c>
      <c r="K434" s="65">
        <f>Calc!$FL$436</f>
        <v/>
      </c>
      <c r="L434" s="65">
        <f>Calc!$FM$436</f>
        <v/>
      </c>
      <c r="M434" s="66">
        <f>Calc!$FN$436</f>
        <v/>
      </c>
      <c r="N434" s="66">
        <f>Calc!$FO$436</f>
        <v/>
      </c>
      <c r="O434" s="65">
        <f>Calc!$FP$436</f>
        <v/>
      </c>
      <c r="P434" s="67">
        <f>Calc!$FQ$436</f>
        <v/>
      </c>
      <c r="Q434" s="68">
        <f>Calc!$FR$436</f>
        <v/>
      </c>
      <c r="R434" s="65">
        <f>Calc!$FS$436</f>
        <v/>
      </c>
      <c r="T434">
        <f>Calc!$EY$436</f>
        <v/>
      </c>
      <c r="U434">
        <f>Calc!$FT$436</f>
        <v/>
      </c>
      <c r="V434">
        <f>Calc!$FU$436</f>
        <v/>
      </c>
      <c r="W434">
        <f>Calc!$FC$436</f>
        <v/>
      </c>
      <c r="X434">
        <f>Calc!$EZ$436</f>
        <v/>
      </c>
      <c r="Y434">
        <f>Calc!$FA$436</f>
        <v/>
      </c>
      <c r="Z434">
        <f>Calc!$FV$436</f>
        <v/>
      </c>
      <c r="AA434">
        <f>IF($T434&lt;&gt;"row",0,IF($V434=1,IF($X434=1,IF($Y434=1,1,2),IF($Y434=1,3,4)),IF($X434=1,IF($Y434=1,5,6),IF($Y434=1,7,8))))</f>
        <v/>
      </c>
    </row>
    <row r="435" ht="11.25" customHeight="1">
      <c r="A435" s="64">
        <f>Calc!$FB$437</f>
        <v/>
      </c>
      <c r="B435" s="64">
        <f>Calc!$FC$437</f>
        <v/>
      </c>
      <c r="C435" s="65">
        <f>Calc!$FD$437</f>
        <v/>
      </c>
      <c r="D435" s="65">
        <f>Calc!$FE$437</f>
        <v/>
      </c>
      <c r="E435" s="65">
        <f>Calc!$FF$437</f>
        <v/>
      </c>
      <c r="F435" s="65">
        <f>Calc!$FG$437</f>
        <v/>
      </c>
      <c r="G435" s="65">
        <f>Calc!$FH$437</f>
        <v/>
      </c>
      <c r="H435" s="65">
        <f>Calc!$FI$437</f>
        <v/>
      </c>
      <c r="I435" s="65">
        <f>Calc!$FJ$437</f>
        <v/>
      </c>
      <c r="J435" s="65">
        <f>Calc!$FK$437</f>
        <v/>
      </c>
      <c r="K435" s="65">
        <f>Calc!$FL$437</f>
        <v/>
      </c>
      <c r="L435" s="65">
        <f>Calc!$FM$437</f>
        <v/>
      </c>
      <c r="M435" s="66">
        <f>Calc!$FN$437</f>
        <v/>
      </c>
      <c r="N435" s="66">
        <f>Calc!$FO$437</f>
        <v/>
      </c>
      <c r="O435" s="65">
        <f>Calc!$FP$437</f>
        <v/>
      </c>
      <c r="P435" s="67">
        <f>Calc!$FQ$437</f>
        <v/>
      </c>
      <c r="Q435" s="68">
        <f>Calc!$FR$437</f>
        <v/>
      </c>
      <c r="R435" s="65">
        <f>Calc!$FS$437</f>
        <v/>
      </c>
      <c r="T435">
        <f>Calc!$EY$437</f>
        <v/>
      </c>
      <c r="U435">
        <f>Calc!$FT$437</f>
        <v/>
      </c>
      <c r="V435">
        <f>Calc!$FU$437</f>
        <v/>
      </c>
      <c r="W435">
        <f>Calc!$FC$437</f>
        <v/>
      </c>
      <c r="X435">
        <f>Calc!$EZ$437</f>
        <v/>
      </c>
      <c r="Y435">
        <f>Calc!$FA$437</f>
        <v/>
      </c>
      <c r="Z435">
        <f>Calc!$FV$437</f>
        <v/>
      </c>
      <c r="AA435">
        <f>IF($T435&lt;&gt;"row",0,IF($V435=1,IF($X435=1,IF($Y435=1,1,2),IF($Y435=1,3,4)),IF($X435=1,IF($Y435=1,5,6),IF($Y435=1,7,8))))</f>
        <v/>
      </c>
    </row>
    <row r="436" ht="11.25" customHeight="1">
      <c r="A436" s="64">
        <f>Calc!$FB$438</f>
        <v/>
      </c>
      <c r="B436" s="64">
        <f>Calc!$FC$438</f>
        <v/>
      </c>
      <c r="C436" s="65">
        <f>Calc!$FD$438</f>
        <v/>
      </c>
      <c r="D436" s="65">
        <f>Calc!$FE$438</f>
        <v/>
      </c>
      <c r="E436" s="65">
        <f>Calc!$FF$438</f>
        <v/>
      </c>
      <c r="F436" s="65">
        <f>Calc!$FG$438</f>
        <v/>
      </c>
      <c r="G436" s="65">
        <f>Calc!$FH$438</f>
        <v/>
      </c>
      <c r="H436" s="65">
        <f>Calc!$FI$438</f>
        <v/>
      </c>
      <c r="I436" s="65">
        <f>Calc!$FJ$438</f>
        <v/>
      </c>
      <c r="J436" s="65">
        <f>Calc!$FK$438</f>
        <v/>
      </c>
      <c r="K436" s="65">
        <f>Calc!$FL$438</f>
        <v/>
      </c>
      <c r="L436" s="65">
        <f>Calc!$FM$438</f>
        <v/>
      </c>
      <c r="M436" s="66">
        <f>Calc!$FN$438</f>
        <v/>
      </c>
      <c r="N436" s="66">
        <f>Calc!$FO$438</f>
        <v/>
      </c>
      <c r="O436" s="65">
        <f>Calc!$FP$438</f>
        <v/>
      </c>
      <c r="P436" s="67">
        <f>Calc!$FQ$438</f>
        <v/>
      </c>
      <c r="Q436" s="68">
        <f>Calc!$FR$438</f>
        <v/>
      </c>
      <c r="R436" s="65">
        <f>Calc!$FS$438</f>
        <v/>
      </c>
      <c r="T436">
        <f>Calc!$EY$438</f>
        <v/>
      </c>
      <c r="U436">
        <f>Calc!$FT$438</f>
        <v/>
      </c>
      <c r="V436">
        <f>Calc!$FU$438</f>
        <v/>
      </c>
      <c r="W436">
        <f>Calc!$FC$438</f>
        <v/>
      </c>
      <c r="X436">
        <f>Calc!$EZ$438</f>
        <v/>
      </c>
      <c r="Y436">
        <f>Calc!$FA$438</f>
        <v/>
      </c>
      <c r="Z436">
        <f>Calc!$FV$438</f>
        <v/>
      </c>
      <c r="AA436">
        <f>IF($T436&lt;&gt;"row",0,IF($V436=1,IF($X436=1,IF($Y436=1,1,2),IF($Y436=1,3,4)),IF($X436=1,IF($Y436=1,5,6),IF($Y436=1,7,8))))</f>
        <v/>
      </c>
    </row>
    <row r="437" ht="11.25" customHeight="1">
      <c r="A437" s="64">
        <f>Calc!$FB$439</f>
        <v/>
      </c>
      <c r="B437" s="64">
        <f>Calc!$FC$439</f>
        <v/>
      </c>
      <c r="C437" s="65">
        <f>Calc!$FD$439</f>
        <v/>
      </c>
      <c r="D437" s="65">
        <f>Calc!$FE$439</f>
        <v/>
      </c>
      <c r="E437" s="65">
        <f>Calc!$FF$439</f>
        <v/>
      </c>
      <c r="F437" s="65">
        <f>Calc!$FG$439</f>
        <v/>
      </c>
      <c r="G437" s="65">
        <f>Calc!$FH$439</f>
        <v/>
      </c>
      <c r="H437" s="65">
        <f>Calc!$FI$439</f>
        <v/>
      </c>
      <c r="I437" s="65">
        <f>Calc!$FJ$439</f>
        <v/>
      </c>
      <c r="J437" s="65">
        <f>Calc!$FK$439</f>
        <v/>
      </c>
      <c r="K437" s="65">
        <f>Calc!$FL$439</f>
        <v/>
      </c>
      <c r="L437" s="65">
        <f>Calc!$FM$439</f>
        <v/>
      </c>
      <c r="M437" s="66">
        <f>Calc!$FN$439</f>
        <v/>
      </c>
      <c r="N437" s="66">
        <f>Calc!$FO$439</f>
        <v/>
      </c>
      <c r="O437" s="65">
        <f>Calc!$FP$439</f>
        <v/>
      </c>
      <c r="P437" s="67">
        <f>Calc!$FQ$439</f>
        <v/>
      </c>
      <c r="Q437" s="68">
        <f>Calc!$FR$439</f>
        <v/>
      </c>
      <c r="R437" s="65">
        <f>Calc!$FS$439</f>
        <v/>
      </c>
      <c r="T437">
        <f>Calc!$EY$439</f>
        <v/>
      </c>
      <c r="U437">
        <f>Calc!$FT$439</f>
        <v/>
      </c>
      <c r="V437">
        <f>Calc!$FU$439</f>
        <v/>
      </c>
      <c r="W437">
        <f>Calc!$FC$439</f>
        <v/>
      </c>
      <c r="X437">
        <f>Calc!$EZ$439</f>
        <v/>
      </c>
      <c r="Y437">
        <f>Calc!$FA$439</f>
        <v/>
      </c>
      <c r="Z437">
        <f>Calc!$FV$439</f>
        <v/>
      </c>
      <c r="AA437">
        <f>IF($T437&lt;&gt;"row",0,IF($V437=1,IF($X437=1,IF($Y437=1,1,2),IF($Y437=1,3,4)),IF($X437=1,IF($Y437=1,5,6),IF($Y437=1,7,8))))</f>
        <v/>
      </c>
    </row>
    <row r="438" ht="11.25" customHeight="1">
      <c r="A438" s="64">
        <f>Calc!$FB$440</f>
        <v/>
      </c>
      <c r="B438" s="64">
        <f>Calc!$FC$440</f>
        <v/>
      </c>
      <c r="C438" s="65">
        <f>Calc!$FD$440</f>
        <v/>
      </c>
      <c r="D438" s="65">
        <f>Calc!$FE$440</f>
        <v/>
      </c>
      <c r="E438" s="65">
        <f>Calc!$FF$440</f>
        <v/>
      </c>
      <c r="F438" s="65">
        <f>Calc!$FG$440</f>
        <v/>
      </c>
      <c r="G438" s="65">
        <f>Calc!$FH$440</f>
        <v/>
      </c>
      <c r="H438" s="65">
        <f>Calc!$FI$440</f>
        <v/>
      </c>
      <c r="I438" s="65">
        <f>Calc!$FJ$440</f>
        <v/>
      </c>
      <c r="J438" s="65">
        <f>Calc!$FK$440</f>
        <v/>
      </c>
      <c r="K438" s="65">
        <f>Calc!$FL$440</f>
        <v/>
      </c>
      <c r="L438" s="65">
        <f>Calc!$FM$440</f>
        <v/>
      </c>
      <c r="M438" s="66">
        <f>Calc!$FN$440</f>
        <v/>
      </c>
      <c r="N438" s="66">
        <f>Calc!$FO$440</f>
        <v/>
      </c>
      <c r="O438" s="65">
        <f>Calc!$FP$440</f>
        <v/>
      </c>
      <c r="P438" s="67">
        <f>Calc!$FQ$440</f>
        <v/>
      </c>
      <c r="Q438" s="68">
        <f>Calc!$FR$440</f>
        <v/>
      </c>
      <c r="R438" s="65">
        <f>Calc!$FS$440</f>
        <v/>
      </c>
      <c r="T438">
        <f>Calc!$EY$440</f>
        <v/>
      </c>
      <c r="U438">
        <f>Calc!$FT$440</f>
        <v/>
      </c>
      <c r="V438">
        <f>Calc!$FU$440</f>
        <v/>
      </c>
      <c r="W438">
        <f>Calc!$FC$440</f>
        <v/>
      </c>
      <c r="X438">
        <f>Calc!$EZ$440</f>
        <v/>
      </c>
      <c r="Y438">
        <f>Calc!$FA$440</f>
        <v/>
      </c>
      <c r="Z438">
        <f>Calc!$FV$440</f>
        <v/>
      </c>
      <c r="AA438">
        <f>IF($T438&lt;&gt;"row",0,IF($V438=1,IF($X438=1,IF($Y438=1,1,2),IF($Y438=1,3,4)),IF($X438=1,IF($Y438=1,5,6),IF($Y438=1,7,8))))</f>
        <v/>
      </c>
    </row>
    <row r="439" ht="11.25" customHeight="1">
      <c r="A439" s="64">
        <f>Calc!$FB$441</f>
        <v/>
      </c>
      <c r="B439" s="64">
        <f>Calc!$FC$441</f>
        <v/>
      </c>
      <c r="C439" s="65">
        <f>Calc!$FD$441</f>
        <v/>
      </c>
      <c r="D439" s="65">
        <f>Calc!$FE$441</f>
        <v/>
      </c>
      <c r="E439" s="65">
        <f>Calc!$FF$441</f>
        <v/>
      </c>
      <c r="F439" s="65">
        <f>Calc!$FG$441</f>
        <v/>
      </c>
      <c r="G439" s="65">
        <f>Calc!$FH$441</f>
        <v/>
      </c>
      <c r="H439" s="65">
        <f>Calc!$FI$441</f>
        <v/>
      </c>
      <c r="I439" s="65">
        <f>Calc!$FJ$441</f>
        <v/>
      </c>
      <c r="J439" s="65">
        <f>Calc!$FK$441</f>
        <v/>
      </c>
      <c r="K439" s="65">
        <f>Calc!$FL$441</f>
        <v/>
      </c>
      <c r="L439" s="65">
        <f>Calc!$FM$441</f>
        <v/>
      </c>
      <c r="M439" s="66">
        <f>Calc!$FN$441</f>
        <v/>
      </c>
      <c r="N439" s="66">
        <f>Calc!$FO$441</f>
        <v/>
      </c>
      <c r="O439" s="65">
        <f>Calc!$FP$441</f>
        <v/>
      </c>
      <c r="P439" s="67">
        <f>Calc!$FQ$441</f>
        <v/>
      </c>
      <c r="Q439" s="68">
        <f>Calc!$FR$441</f>
        <v/>
      </c>
      <c r="R439" s="65">
        <f>Calc!$FS$441</f>
        <v/>
      </c>
      <c r="T439">
        <f>Calc!$EY$441</f>
        <v/>
      </c>
      <c r="U439">
        <f>Calc!$FT$441</f>
        <v/>
      </c>
      <c r="V439">
        <f>Calc!$FU$441</f>
        <v/>
      </c>
      <c r="W439">
        <f>Calc!$FC$441</f>
        <v/>
      </c>
      <c r="X439">
        <f>Calc!$EZ$441</f>
        <v/>
      </c>
      <c r="Y439">
        <f>Calc!$FA$441</f>
        <v/>
      </c>
      <c r="Z439">
        <f>Calc!$FV$441</f>
        <v/>
      </c>
      <c r="AA439">
        <f>IF($T439&lt;&gt;"row",0,IF($V439=1,IF($X439=1,IF($Y439=1,1,2),IF($Y439=1,3,4)),IF($X439=1,IF($Y439=1,5,6),IF($Y439=1,7,8))))</f>
        <v/>
      </c>
    </row>
    <row r="440" ht="11.25" customHeight="1">
      <c r="A440" s="64">
        <f>Calc!$FB$442</f>
        <v/>
      </c>
      <c r="B440" s="64">
        <f>Calc!$FC$442</f>
        <v/>
      </c>
      <c r="C440" s="65">
        <f>Calc!$FD$442</f>
        <v/>
      </c>
      <c r="D440" s="65">
        <f>Calc!$FE$442</f>
        <v/>
      </c>
      <c r="E440" s="65">
        <f>Calc!$FF$442</f>
        <v/>
      </c>
      <c r="F440" s="65">
        <f>Calc!$FG$442</f>
        <v/>
      </c>
      <c r="G440" s="65">
        <f>Calc!$FH$442</f>
        <v/>
      </c>
      <c r="H440" s="65">
        <f>Calc!$FI$442</f>
        <v/>
      </c>
      <c r="I440" s="65">
        <f>Calc!$FJ$442</f>
        <v/>
      </c>
      <c r="J440" s="65">
        <f>Calc!$FK$442</f>
        <v/>
      </c>
      <c r="K440" s="65">
        <f>Calc!$FL$442</f>
        <v/>
      </c>
      <c r="L440" s="65">
        <f>Calc!$FM$442</f>
        <v/>
      </c>
      <c r="M440" s="66">
        <f>Calc!$FN$442</f>
        <v/>
      </c>
      <c r="N440" s="66">
        <f>Calc!$FO$442</f>
        <v/>
      </c>
      <c r="O440" s="65">
        <f>Calc!$FP$442</f>
        <v/>
      </c>
      <c r="P440" s="67">
        <f>Calc!$FQ$442</f>
        <v/>
      </c>
      <c r="Q440" s="68">
        <f>Calc!$FR$442</f>
        <v/>
      </c>
      <c r="R440" s="65">
        <f>Calc!$FS$442</f>
        <v/>
      </c>
      <c r="T440">
        <f>Calc!$EY$442</f>
        <v/>
      </c>
      <c r="U440">
        <f>Calc!$FT$442</f>
        <v/>
      </c>
      <c r="V440">
        <f>Calc!$FU$442</f>
        <v/>
      </c>
      <c r="W440">
        <f>Calc!$FC$442</f>
        <v/>
      </c>
      <c r="X440">
        <f>Calc!$EZ$442</f>
        <v/>
      </c>
      <c r="Y440">
        <f>Calc!$FA$442</f>
        <v/>
      </c>
      <c r="Z440">
        <f>Calc!$FV$442</f>
        <v/>
      </c>
      <c r="AA440">
        <f>IF($T440&lt;&gt;"row",0,IF($V440=1,IF($X440=1,IF($Y440=1,1,2),IF($Y440=1,3,4)),IF($X440=1,IF($Y440=1,5,6),IF($Y440=1,7,8))))</f>
        <v/>
      </c>
    </row>
    <row r="441" ht="11.25" customHeight="1">
      <c r="A441" s="64">
        <f>Calc!$FB$443</f>
        <v/>
      </c>
      <c r="B441" s="64">
        <f>Calc!$FC$443</f>
        <v/>
      </c>
      <c r="C441" s="65">
        <f>Calc!$FD$443</f>
        <v/>
      </c>
      <c r="D441" s="65">
        <f>Calc!$FE$443</f>
        <v/>
      </c>
      <c r="E441" s="65">
        <f>Calc!$FF$443</f>
        <v/>
      </c>
      <c r="F441" s="65">
        <f>Calc!$FG$443</f>
        <v/>
      </c>
      <c r="G441" s="65">
        <f>Calc!$FH$443</f>
        <v/>
      </c>
      <c r="H441" s="65">
        <f>Calc!$FI$443</f>
        <v/>
      </c>
      <c r="I441" s="65">
        <f>Calc!$FJ$443</f>
        <v/>
      </c>
      <c r="J441" s="65">
        <f>Calc!$FK$443</f>
        <v/>
      </c>
      <c r="K441" s="65">
        <f>Calc!$FL$443</f>
        <v/>
      </c>
      <c r="L441" s="65">
        <f>Calc!$FM$443</f>
        <v/>
      </c>
      <c r="M441" s="66">
        <f>Calc!$FN$443</f>
        <v/>
      </c>
      <c r="N441" s="66">
        <f>Calc!$FO$443</f>
        <v/>
      </c>
      <c r="O441" s="65">
        <f>Calc!$FP$443</f>
        <v/>
      </c>
      <c r="P441" s="67">
        <f>Calc!$FQ$443</f>
        <v/>
      </c>
      <c r="Q441" s="68">
        <f>Calc!$FR$443</f>
        <v/>
      </c>
      <c r="R441" s="65">
        <f>Calc!$FS$443</f>
        <v/>
      </c>
      <c r="T441">
        <f>Calc!$EY$443</f>
        <v/>
      </c>
      <c r="U441">
        <f>Calc!$FT$443</f>
        <v/>
      </c>
      <c r="V441">
        <f>Calc!$FU$443</f>
        <v/>
      </c>
      <c r="W441">
        <f>Calc!$FC$443</f>
        <v/>
      </c>
      <c r="X441">
        <f>Calc!$EZ$443</f>
        <v/>
      </c>
      <c r="Y441">
        <f>Calc!$FA$443</f>
        <v/>
      </c>
      <c r="Z441">
        <f>Calc!$FV$443</f>
        <v/>
      </c>
      <c r="AA441">
        <f>IF($T441&lt;&gt;"row",0,IF($V441=1,IF($X441=1,IF($Y441=1,1,2),IF($Y441=1,3,4)),IF($X441=1,IF($Y441=1,5,6),IF($Y441=1,7,8))))</f>
        <v/>
      </c>
    </row>
    <row r="442" ht="11.25" customHeight="1">
      <c r="A442" s="64">
        <f>Calc!$FB$444</f>
        <v/>
      </c>
      <c r="B442" s="64">
        <f>Calc!$FC$444</f>
        <v/>
      </c>
      <c r="C442" s="65">
        <f>Calc!$FD$444</f>
        <v/>
      </c>
      <c r="D442" s="65">
        <f>Calc!$FE$444</f>
        <v/>
      </c>
      <c r="E442" s="65">
        <f>Calc!$FF$444</f>
        <v/>
      </c>
      <c r="F442" s="65">
        <f>Calc!$FG$444</f>
        <v/>
      </c>
      <c r="G442" s="65">
        <f>Calc!$FH$444</f>
        <v/>
      </c>
      <c r="H442" s="65">
        <f>Calc!$FI$444</f>
        <v/>
      </c>
      <c r="I442" s="65">
        <f>Calc!$FJ$444</f>
        <v/>
      </c>
      <c r="J442" s="65">
        <f>Calc!$FK$444</f>
        <v/>
      </c>
      <c r="K442" s="65">
        <f>Calc!$FL$444</f>
        <v/>
      </c>
      <c r="L442" s="65">
        <f>Calc!$FM$444</f>
        <v/>
      </c>
      <c r="M442" s="66">
        <f>Calc!$FN$444</f>
        <v/>
      </c>
      <c r="N442" s="66">
        <f>Calc!$FO$444</f>
        <v/>
      </c>
      <c r="O442" s="65">
        <f>Calc!$FP$444</f>
        <v/>
      </c>
      <c r="P442" s="67">
        <f>Calc!$FQ$444</f>
        <v/>
      </c>
      <c r="Q442" s="68">
        <f>Calc!$FR$444</f>
        <v/>
      </c>
      <c r="R442" s="65">
        <f>Calc!$FS$444</f>
        <v/>
      </c>
      <c r="T442">
        <f>Calc!$EY$444</f>
        <v/>
      </c>
      <c r="U442">
        <f>Calc!$FT$444</f>
        <v/>
      </c>
      <c r="V442">
        <f>Calc!$FU$444</f>
        <v/>
      </c>
      <c r="W442">
        <f>Calc!$FC$444</f>
        <v/>
      </c>
      <c r="X442">
        <f>Calc!$EZ$444</f>
        <v/>
      </c>
      <c r="Y442">
        <f>Calc!$FA$444</f>
        <v/>
      </c>
      <c r="Z442">
        <f>Calc!$FV$444</f>
        <v/>
      </c>
      <c r="AA442">
        <f>IF($T442&lt;&gt;"row",0,IF($V442=1,IF($X442=1,IF($Y442=1,1,2),IF($Y442=1,3,4)),IF($X442=1,IF($Y442=1,5,6),IF($Y442=1,7,8))))</f>
        <v/>
      </c>
    </row>
    <row r="443" ht="11.25" customHeight="1">
      <c r="A443" s="64">
        <f>Calc!$FB$445</f>
        <v/>
      </c>
      <c r="B443" s="64">
        <f>Calc!$FC$445</f>
        <v/>
      </c>
      <c r="C443" s="65">
        <f>Calc!$FD$445</f>
        <v/>
      </c>
      <c r="D443" s="65">
        <f>Calc!$FE$445</f>
        <v/>
      </c>
      <c r="E443" s="65">
        <f>Calc!$FF$445</f>
        <v/>
      </c>
      <c r="F443" s="65">
        <f>Calc!$FG$445</f>
        <v/>
      </c>
      <c r="G443" s="65">
        <f>Calc!$FH$445</f>
        <v/>
      </c>
      <c r="H443" s="65">
        <f>Calc!$FI$445</f>
        <v/>
      </c>
      <c r="I443" s="65">
        <f>Calc!$FJ$445</f>
        <v/>
      </c>
      <c r="J443" s="65">
        <f>Calc!$FK$445</f>
        <v/>
      </c>
      <c r="K443" s="65">
        <f>Calc!$FL$445</f>
        <v/>
      </c>
      <c r="L443" s="65">
        <f>Calc!$FM$445</f>
        <v/>
      </c>
      <c r="M443" s="66">
        <f>Calc!$FN$445</f>
        <v/>
      </c>
      <c r="N443" s="66">
        <f>Calc!$FO$445</f>
        <v/>
      </c>
      <c r="O443" s="65">
        <f>Calc!$FP$445</f>
        <v/>
      </c>
      <c r="P443" s="67">
        <f>Calc!$FQ$445</f>
        <v/>
      </c>
      <c r="Q443" s="68">
        <f>Calc!$FR$445</f>
        <v/>
      </c>
      <c r="R443" s="65">
        <f>Calc!$FS$445</f>
        <v/>
      </c>
      <c r="T443">
        <f>Calc!$EY$445</f>
        <v/>
      </c>
      <c r="U443">
        <f>Calc!$FT$445</f>
        <v/>
      </c>
      <c r="V443">
        <f>Calc!$FU$445</f>
        <v/>
      </c>
      <c r="W443">
        <f>Calc!$FC$445</f>
        <v/>
      </c>
      <c r="X443">
        <f>Calc!$EZ$445</f>
        <v/>
      </c>
      <c r="Y443">
        <f>Calc!$FA$445</f>
        <v/>
      </c>
      <c r="Z443">
        <f>Calc!$FV$445</f>
        <v/>
      </c>
      <c r="AA443">
        <f>IF($T443&lt;&gt;"row",0,IF($V443=1,IF($X443=1,IF($Y443=1,1,2),IF($Y443=1,3,4)),IF($X443=1,IF($Y443=1,5,6),IF($Y443=1,7,8))))</f>
        <v/>
      </c>
    </row>
    <row r="444" ht="11.25" customHeight="1">
      <c r="A444" s="64">
        <f>Calc!$FB$446</f>
        <v/>
      </c>
      <c r="B444" s="64">
        <f>Calc!$FC$446</f>
        <v/>
      </c>
      <c r="C444" s="65">
        <f>Calc!$FD$446</f>
        <v/>
      </c>
      <c r="D444" s="65">
        <f>Calc!$FE$446</f>
        <v/>
      </c>
      <c r="E444" s="65">
        <f>Calc!$FF$446</f>
        <v/>
      </c>
      <c r="F444" s="65">
        <f>Calc!$FG$446</f>
        <v/>
      </c>
      <c r="G444" s="65">
        <f>Calc!$FH$446</f>
        <v/>
      </c>
      <c r="H444" s="65">
        <f>Calc!$FI$446</f>
        <v/>
      </c>
      <c r="I444" s="65">
        <f>Calc!$FJ$446</f>
        <v/>
      </c>
      <c r="J444" s="65">
        <f>Calc!$FK$446</f>
        <v/>
      </c>
      <c r="K444" s="65">
        <f>Calc!$FL$446</f>
        <v/>
      </c>
      <c r="L444" s="65">
        <f>Calc!$FM$446</f>
        <v/>
      </c>
      <c r="M444" s="66">
        <f>Calc!$FN$446</f>
        <v/>
      </c>
      <c r="N444" s="66">
        <f>Calc!$FO$446</f>
        <v/>
      </c>
      <c r="O444" s="65">
        <f>Calc!$FP$446</f>
        <v/>
      </c>
      <c r="P444" s="67">
        <f>Calc!$FQ$446</f>
        <v/>
      </c>
      <c r="Q444" s="68">
        <f>Calc!$FR$446</f>
        <v/>
      </c>
      <c r="R444" s="65">
        <f>Calc!$FS$446</f>
        <v/>
      </c>
      <c r="T444">
        <f>Calc!$EY$446</f>
        <v/>
      </c>
      <c r="U444">
        <f>Calc!$FT$446</f>
        <v/>
      </c>
      <c r="V444">
        <f>Calc!$FU$446</f>
        <v/>
      </c>
      <c r="W444">
        <f>Calc!$FC$446</f>
        <v/>
      </c>
      <c r="X444">
        <f>Calc!$EZ$446</f>
        <v/>
      </c>
      <c r="Y444">
        <f>Calc!$FA$446</f>
        <v/>
      </c>
      <c r="Z444">
        <f>Calc!$FV$446</f>
        <v/>
      </c>
      <c r="AA444">
        <f>IF($T444&lt;&gt;"row",0,IF($V444=1,IF($X444=1,IF($Y444=1,1,2),IF($Y444=1,3,4)),IF($X444=1,IF($Y444=1,5,6),IF($Y444=1,7,8))))</f>
        <v/>
      </c>
    </row>
    <row r="445" ht="11.25" customHeight="1">
      <c r="A445" s="64">
        <f>Calc!$FB$447</f>
        <v/>
      </c>
      <c r="B445" s="64">
        <f>Calc!$FC$447</f>
        <v/>
      </c>
      <c r="C445" s="65">
        <f>Calc!$FD$447</f>
        <v/>
      </c>
      <c r="D445" s="65">
        <f>Calc!$FE$447</f>
        <v/>
      </c>
      <c r="E445" s="65">
        <f>Calc!$FF$447</f>
        <v/>
      </c>
      <c r="F445" s="65">
        <f>Calc!$FG$447</f>
        <v/>
      </c>
      <c r="G445" s="65">
        <f>Calc!$FH$447</f>
        <v/>
      </c>
      <c r="H445" s="65">
        <f>Calc!$FI$447</f>
        <v/>
      </c>
      <c r="I445" s="65">
        <f>Calc!$FJ$447</f>
        <v/>
      </c>
      <c r="J445" s="65">
        <f>Calc!$FK$447</f>
        <v/>
      </c>
      <c r="K445" s="65">
        <f>Calc!$FL$447</f>
        <v/>
      </c>
      <c r="L445" s="65">
        <f>Calc!$FM$447</f>
        <v/>
      </c>
      <c r="M445" s="66">
        <f>Calc!$FN$447</f>
        <v/>
      </c>
      <c r="N445" s="66">
        <f>Calc!$FO$447</f>
        <v/>
      </c>
      <c r="O445" s="65">
        <f>Calc!$FP$447</f>
        <v/>
      </c>
      <c r="P445" s="67">
        <f>Calc!$FQ$447</f>
        <v/>
      </c>
      <c r="Q445" s="68">
        <f>Calc!$FR$447</f>
        <v/>
      </c>
      <c r="R445" s="65">
        <f>Calc!$FS$447</f>
        <v/>
      </c>
      <c r="T445">
        <f>Calc!$EY$447</f>
        <v/>
      </c>
      <c r="U445">
        <f>Calc!$FT$447</f>
        <v/>
      </c>
      <c r="V445">
        <f>Calc!$FU$447</f>
        <v/>
      </c>
      <c r="W445">
        <f>Calc!$FC$447</f>
        <v/>
      </c>
      <c r="X445">
        <f>Calc!$EZ$447</f>
        <v/>
      </c>
      <c r="Y445">
        <f>Calc!$FA$447</f>
        <v/>
      </c>
      <c r="Z445">
        <f>Calc!$FV$447</f>
        <v/>
      </c>
      <c r="AA445">
        <f>IF($T445&lt;&gt;"row",0,IF($V445=1,IF($X445=1,IF($Y445=1,1,2),IF($Y445=1,3,4)),IF($X445=1,IF($Y445=1,5,6),IF($Y445=1,7,8))))</f>
        <v/>
      </c>
    </row>
    <row r="446" ht="11.25" customHeight="1">
      <c r="A446" s="64">
        <f>Calc!$FB$448</f>
        <v/>
      </c>
      <c r="B446" s="64">
        <f>Calc!$FC$448</f>
        <v/>
      </c>
      <c r="C446" s="65">
        <f>Calc!$FD$448</f>
        <v/>
      </c>
      <c r="D446" s="65">
        <f>Calc!$FE$448</f>
        <v/>
      </c>
      <c r="E446" s="65">
        <f>Calc!$FF$448</f>
        <v/>
      </c>
      <c r="F446" s="65">
        <f>Calc!$FG$448</f>
        <v/>
      </c>
      <c r="G446" s="65">
        <f>Calc!$FH$448</f>
        <v/>
      </c>
      <c r="H446" s="65">
        <f>Calc!$FI$448</f>
        <v/>
      </c>
      <c r="I446" s="65">
        <f>Calc!$FJ$448</f>
        <v/>
      </c>
      <c r="J446" s="65">
        <f>Calc!$FK$448</f>
        <v/>
      </c>
      <c r="K446" s="65">
        <f>Calc!$FL$448</f>
        <v/>
      </c>
      <c r="L446" s="65">
        <f>Calc!$FM$448</f>
        <v/>
      </c>
      <c r="M446" s="66">
        <f>Calc!$FN$448</f>
        <v/>
      </c>
      <c r="N446" s="66">
        <f>Calc!$FO$448</f>
        <v/>
      </c>
      <c r="O446" s="65">
        <f>Calc!$FP$448</f>
        <v/>
      </c>
      <c r="P446" s="67">
        <f>Calc!$FQ$448</f>
        <v/>
      </c>
      <c r="Q446" s="68">
        <f>Calc!$FR$448</f>
        <v/>
      </c>
      <c r="R446" s="65">
        <f>Calc!$FS$448</f>
        <v/>
      </c>
      <c r="T446">
        <f>Calc!$EY$448</f>
        <v/>
      </c>
      <c r="U446">
        <f>Calc!$FT$448</f>
        <v/>
      </c>
      <c r="V446">
        <f>Calc!$FU$448</f>
        <v/>
      </c>
      <c r="W446">
        <f>Calc!$FC$448</f>
        <v/>
      </c>
      <c r="X446">
        <f>Calc!$EZ$448</f>
        <v/>
      </c>
      <c r="Y446">
        <f>Calc!$FA$448</f>
        <v/>
      </c>
      <c r="Z446">
        <f>Calc!$FV$448</f>
        <v/>
      </c>
      <c r="AA446">
        <f>IF($T446&lt;&gt;"row",0,IF($V446=1,IF($X446=1,IF($Y446=1,1,2),IF($Y446=1,3,4)),IF($X446=1,IF($Y446=1,5,6),IF($Y446=1,7,8))))</f>
        <v/>
      </c>
    </row>
    <row r="447" ht="11.25" customHeight="1">
      <c r="A447" s="64">
        <f>Calc!$FB$449</f>
        <v/>
      </c>
      <c r="B447" s="64">
        <f>Calc!$FC$449</f>
        <v/>
      </c>
      <c r="C447" s="65">
        <f>Calc!$FD$449</f>
        <v/>
      </c>
      <c r="D447" s="65">
        <f>Calc!$FE$449</f>
        <v/>
      </c>
      <c r="E447" s="65">
        <f>Calc!$FF$449</f>
        <v/>
      </c>
      <c r="F447" s="65">
        <f>Calc!$FG$449</f>
        <v/>
      </c>
      <c r="G447" s="65">
        <f>Calc!$FH$449</f>
        <v/>
      </c>
      <c r="H447" s="65">
        <f>Calc!$FI$449</f>
        <v/>
      </c>
      <c r="I447" s="65">
        <f>Calc!$FJ$449</f>
        <v/>
      </c>
      <c r="J447" s="65">
        <f>Calc!$FK$449</f>
        <v/>
      </c>
      <c r="K447" s="65">
        <f>Calc!$FL$449</f>
        <v/>
      </c>
      <c r="L447" s="65">
        <f>Calc!$FM$449</f>
        <v/>
      </c>
      <c r="M447" s="66">
        <f>Calc!$FN$449</f>
        <v/>
      </c>
      <c r="N447" s="66">
        <f>Calc!$FO$449</f>
        <v/>
      </c>
      <c r="O447" s="65">
        <f>Calc!$FP$449</f>
        <v/>
      </c>
      <c r="P447" s="67">
        <f>Calc!$FQ$449</f>
        <v/>
      </c>
      <c r="Q447" s="68">
        <f>Calc!$FR$449</f>
        <v/>
      </c>
      <c r="R447" s="65">
        <f>Calc!$FS$449</f>
        <v/>
      </c>
      <c r="T447">
        <f>Calc!$EY$449</f>
        <v/>
      </c>
      <c r="U447">
        <f>Calc!$FT$449</f>
        <v/>
      </c>
      <c r="V447">
        <f>Calc!$FU$449</f>
        <v/>
      </c>
      <c r="W447">
        <f>Calc!$FC$449</f>
        <v/>
      </c>
      <c r="X447">
        <f>Calc!$EZ$449</f>
        <v/>
      </c>
      <c r="Y447">
        <f>Calc!$FA$449</f>
        <v/>
      </c>
      <c r="Z447">
        <f>Calc!$FV$449</f>
        <v/>
      </c>
      <c r="AA447">
        <f>IF($T447&lt;&gt;"row",0,IF($V447=1,IF($X447=1,IF($Y447=1,1,2),IF($Y447=1,3,4)),IF($X447=1,IF($Y447=1,5,6),IF($Y447=1,7,8))))</f>
        <v/>
      </c>
    </row>
    <row r="448" ht="11.25" customHeight="1">
      <c r="A448" s="64">
        <f>Calc!$FB$450</f>
        <v/>
      </c>
      <c r="B448" s="64">
        <f>Calc!$FC$450</f>
        <v/>
      </c>
      <c r="C448" s="65">
        <f>Calc!$FD$450</f>
        <v/>
      </c>
      <c r="D448" s="65">
        <f>Calc!$FE$450</f>
        <v/>
      </c>
      <c r="E448" s="65">
        <f>Calc!$FF$450</f>
        <v/>
      </c>
      <c r="F448" s="65">
        <f>Calc!$FG$450</f>
        <v/>
      </c>
      <c r="G448" s="65">
        <f>Calc!$FH$450</f>
        <v/>
      </c>
      <c r="H448" s="65">
        <f>Calc!$FI$450</f>
        <v/>
      </c>
      <c r="I448" s="65">
        <f>Calc!$FJ$450</f>
        <v/>
      </c>
      <c r="J448" s="65">
        <f>Calc!$FK$450</f>
        <v/>
      </c>
      <c r="K448" s="65">
        <f>Calc!$FL$450</f>
        <v/>
      </c>
      <c r="L448" s="65">
        <f>Calc!$FM$450</f>
        <v/>
      </c>
      <c r="M448" s="66">
        <f>Calc!$FN$450</f>
        <v/>
      </c>
      <c r="N448" s="66">
        <f>Calc!$FO$450</f>
        <v/>
      </c>
      <c r="O448" s="65">
        <f>Calc!$FP$450</f>
        <v/>
      </c>
      <c r="P448" s="67">
        <f>Calc!$FQ$450</f>
        <v/>
      </c>
      <c r="Q448" s="68">
        <f>Calc!$FR$450</f>
        <v/>
      </c>
      <c r="R448" s="65">
        <f>Calc!$FS$450</f>
        <v/>
      </c>
      <c r="T448">
        <f>Calc!$EY$450</f>
        <v/>
      </c>
      <c r="U448">
        <f>Calc!$FT$450</f>
        <v/>
      </c>
      <c r="V448">
        <f>Calc!$FU$450</f>
        <v/>
      </c>
      <c r="W448">
        <f>Calc!$FC$450</f>
        <v/>
      </c>
      <c r="X448">
        <f>Calc!$EZ$450</f>
        <v/>
      </c>
      <c r="Y448">
        <f>Calc!$FA$450</f>
        <v/>
      </c>
      <c r="Z448">
        <f>Calc!$FV$450</f>
        <v/>
      </c>
      <c r="AA448">
        <f>IF($T448&lt;&gt;"row",0,IF($V448=1,IF($X448=1,IF($Y448=1,1,2),IF($Y448=1,3,4)),IF($X448=1,IF($Y448=1,5,6),IF($Y448=1,7,8))))</f>
        <v/>
      </c>
    </row>
    <row r="449" ht="11.25" customHeight="1">
      <c r="A449" s="64">
        <f>Calc!$FB$451</f>
        <v/>
      </c>
      <c r="B449" s="64">
        <f>Calc!$FC$451</f>
        <v/>
      </c>
      <c r="C449" s="65">
        <f>Calc!$FD$451</f>
        <v/>
      </c>
      <c r="D449" s="65">
        <f>Calc!$FE$451</f>
        <v/>
      </c>
      <c r="E449" s="65">
        <f>Calc!$FF$451</f>
        <v/>
      </c>
      <c r="F449" s="65">
        <f>Calc!$FG$451</f>
        <v/>
      </c>
      <c r="G449" s="65">
        <f>Calc!$FH$451</f>
        <v/>
      </c>
      <c r="H449" s="65">
        <f>Calc!$FI$451</f>
        <v/>
      </c>
      <c r="I449" s="65">
        <f>Calc!$FJ$451</f>
        <v/>
      </c>
      <c r="J449" s="65">
        <f>Calc!$FK$451</f>
        <v/>
      </c>
      <c r="K449" s="65">
        <f>Calc!$FL$451</f>
        <v/>
      </c>
      <c r="L449" s="65">
        <f>Calc!$FM$451</f>
        <v/>
      </c>
      <c r="M449" s="66">
        <f>Calc!$FN$451</f>
        <v/>
      </c>
      <c r="N449" s="66">
        <f>Calc!$FO$451</f>
        <v/>
      </c>
      <c r="O449" s="65">
        <f>Calc!$FP$451</f>
        <v/>
      </c>
      <c r="P449" s="67">
        <f>Calc!$FQ$451</f>
        <v/>
      </c>
      <c r="Q449" s="68">
        <f>Calc!$FR$451</f>
        <v/>
      </c>
      <c r="R449" s="65">
        <f>Calc!$FS$451</f>
        <v/>
      </c>
      <c r="T449">
        <f>Calc!$EY$451</f>
        <v/>
      </c>
      <c r="U449">
        <f>Calc!$FT$451</f>
        <v/>
      </c>
      <c r="V449">
        <f>Calc!$FU$451</f>
        <v/>
      </c>
      <c r="W449">
        <f>Calc!$FC$451</f>
        <v/>
      </c>
      <c r="X449">
        <f>Calc!$EZ$451</f>
        <v/>
      </c>
      <c r="Y449">
        <f>Calc!$FA$451</f>
        <v/>
      </c>
      <c r="Z449">
        <f>Calc!$FV$451</f>
        <v/>
      </c>
      <c r="AA449">
        <f>IF($T449&lt;&gt;"row",0,IF($V449=1,IF($X449=1,IF($Y449=1,1,2),IF($Y449=1,3,4)),IF($X449=1,IF($Y449=1,5,6),IF($Y449=1,7,8))))</f>
        <v/>
      </c>
    </row>
    <row r="450" ht="11.25" customHeight="1">
      <c r="A450" s="64">
        <f>Calc!$FB$452</f>
        <v/>
      </c>
      <c r="B450" s="64">
        <f>Calc!$FC$452</f>
        <v/>
      </c>
      <c r="C450" s="65">
        <f>Calc!$FD$452</f>
        <v/>
      </c>
      <c r="D450" s="65">
        <f>Calc!$FE$452</f>
        <v/>
      </c>
      <c r="E450" s="65">
        <f>Calc!$FF$452</f>
        <v/>
      </c>
      <c r="F450" s="65">
        <f>Calc!$FG$452</f>
        <v/>
      </c>
      <c r="G450" s="65">
        <f>Calc!$FH$452</f>
        <v/>
      </c>
      <c r="H450" s="65">
        <f>Calc!$FI$452</f>
        <v/>
      </c>
      <c r="I450" s="65">
        <f>Calc!$FJ$452</f>
        <v/>
      </c>
      <c r="J450" s="65">
        <f>Calc!$FK$452</f>
        <v/>
      </c>
      <c r="K450" s="65">
        <f>Calc!$FL$452</f>
        <v/>
      </c>
      <c r="L450" s="65">
        <f>Calc!$FM$452</f>
        <v/>
      </c>
      <c r="M450" s="66">
        <f>Calc!$FN$452</f>
        <v/>
      </c>
      <c r="N450" s="66">
        <f>Calc!$FO$452</f>
        <v/>
      </c>
      <c r="O450" s="65">
        <f>Calc!$FP$452</f>
        <v/>
      </c>
      <c r="P450" s="67">
        <f>Calc!$FQ$452</f>
        <v/>
      </c>
      <c r="Q450" s="68">
        <f>Calc!$FR$452</f>
        <v/>
      </c>
      <c r="R450" s="65">
        <f>Calc!$FS$452</f>
        <v/>
      </c>
      <c r="T450">
        <f>Calc!$EY$452</f>
        <v/>
      </c>
      <c r="U450">
        <f>Calc!$FT$452</f>
        <v/>
      </c>
      <c r="V450">
        <f>Calc!$FU$452</f>
        <v/>
      </c>
      <c r="W450">
        <f>Calc!$FC$452</f>
        <v/>
      </c>
      <c r="X450">
        <f>Calc!$EZ$452</f>
        <v/>
      </c>
      <c r="Y450">
        <f>Calc!$FA$452</f>
        <v/>
      </c>
      <c r="Z450">
        <f>Calc!$FV$452</f>
        <v/>
      </c>
      <c r="AA450">
        <f>IF($T450&lt;&gt;"row",0,IF($V450=1,IF($X450=1,IF($Y450=1,1,2),IF($Y450=1,3,4)),IF($X450=1,IF($Y450=1,5,6),IF($Y450=1,7,8))))</f>
        <v/>
      </c>
    </row>
    <row r="451" ht="11.25" customHeight="1">
      <c r="A451" s="64">
        <f>Calc!$FB$453</f>
        <v/>
      </c>
      <c r="B451" s="64">
        <f>Calc!$FC$453</f>
        <v/>
      </c>
      <c r="C451" s="65">
        <f>Calc!$FD$453</f>
        <v/>
      </c>
      <c r="D451" s="65">
        <f>Calc!$FE$453</f>
        <v/>
      </c>
      <c r="E451" s="65">
        <f>Calc!$FF$453</f>
        <v/>
      </c>
      <c r="F451" s="65">
        <f>Calc!$FG$453</f>
        <v/>
      </c>
      <c r="G451" s="65">
        <f>Calc!$FH$453</f>
        <v/>
      </c>
      <c r="H451" s="65">
        <f>Calc!$FI$453</f>
        <v/>
      </c>
      <c r="I451" s="65">
        <f>Calc!$FJ$453</f>
        <v/>
      </c>
      <c r="J451" s="65">
        <f>Calc!$FK$453</f>
        <v/>
      </c>
      <c r="K451" s="65">
        <f>Calc!$FL$453</f>
        <v/>
      </c>
      <c r="L451" s="65">
        <f>Calc!$FM$453</f>
        <v/>
      </c>
      <c r="M451" s="66">
        <f>Calc!$FN$453</f>
        <v/>
      </c>
      <c r="N451" s="66">
        <f>Calc!$FO$453</f>
        <v/>
      </c>
      <c r="O451" s="65">
        <f>Calc!$FP$453</f>
        <v/>
      </c>
      <c r="P451" s="67">
        <f>Calc!$FQ$453</f>
        <v/>
      </c>
      <c r="Q451" s="68">
        <f>Calc!$FR$453</f>
        <v/>
      </c>
      <c r="R451" s="65">
        <f>Calc!$FS$453</f>
        <v/>
      </c>
      <c r="T451">
        <f>Calc!$EY$453</f>
        <v/>
      </c>
      <c r="U451">
        <f>Calc!$FT$453</f>
        <v/>
      </c>
      <c r="V451">
        <f>Calc!$FU$453</f>
        <v/>
      </c>
      <c r="W451">
        <f>Calc!$FC$453</f>
        <v/>
      </c>
      <c r="X451">
        <f>Calc!$EZ$453</f>
        <v/>
      </c>
      <c r="Y451">
        <f>Calc!$FA$453</f>
        <v/>
      </c>
      <c r="Z451">
        <f>Calc!$FV$453</f>
        <v/>
      </c>
      <c r="AA451">
        <f>IF($T451&lt;&gt;"row",0,IF($V451=1,IF($X451=1,IF($Y451=1,1,2),IF($Y451=1,3,4)),IF($X451=1,IF($Y451=1,5,6),IF($Y451=1,7,8))))</f>
        <v/>
      </c>
    </row>
    <row r="452" ht="11.25" customHeight="1">
      <c r="A452" s="64">
        <f>Calc!$FB$454</f>
        <v/>
      </c>
      <c r="B452" s="64">
        <f>Calc!$FC$454</f>
        <v/>
      </c>
      <c r="C452" s="65">
        <f>Calc!$FD$454</f>
        <v/>
      </c>
      <c r="D452" s="65">
        <f>Calc!$FE$454</f>
        <v/>
      </c>
      <c r="E452" s="65">
        <f>Calc!$FF$454</f>
        <v/>
      </c>
      <c r="F452" s="65">
        <f>Calc!$FG$454</f>
        <v/>
      </c>
      <c r="G452" s="65">
        <f>Calc!$FH$454</f>
        <v/>
      </c>
      <c r="H452" s="65">
        <f>Calc!$FI$454</f>
        <v/>
      </c>
      <c r="I452" s="65">
        <f>Calc!$FJ$454</f>
        <v/>
      </c>
      <c r="J452" s="65">
        <f>Calc!$FK$454</f>
        <v/>
      </c>
      <c r="K452" s="65">
        <f>Calc!$FL$454</f>
        <v/>
      </c>
      <c r="L452" s="65">
        <f>Calc!$FM$454</f>
        <v/>
      </c>
      <c r="M452" s="66">
        <f>Calc!$FN$454</f>
        <v/>
      </c>
      <c r="N452" s="66">
        <f>Calc!$FO$454</f>
        <v/>
      </c>
      <c r="O452" s="65">
        <f>Calc!$FP$454</f>
        <v/>
      </c>
      <c r="P452" s="67">
        <f>Calc!$FQ$454</f>
        <v/>
      </c>
      <c r="Q452" s="68">
        <f>Calc!$FR$454</f>
        <v/>
      </c>
      <c r="R452" s="65">
        <f>Calc!$FS$454</f>
        <v/>
      </c>
      <c r="T452">
        <f>Calc!$EY$454</f>
        <v/>
      </c>
      <c r="U452">
        <f>Calc!$FT$454</f>
        <v/>
      </c>
      <c r="V452">
        <f>Calc!$FU$454</f>
        <v/>
      </c>
      <c r="W452">
        <f>Calc!$FC$454</f>
        <v/>
      </c>
      <c r="X452">
        <f>Calc!$EZ$454</f>
        <v/>
      </c>
      <c r="Y452">
        <f>Calc!$FA$454</f>
        <v/>
      </c>
      <c r="Z452">
        <f>Calc!$FV$454</f>
        <v/>
      </c>
      <c r="AA452">
        <f>IF($T452&lt;&gt;"row",0,IF($V452=1,IF($X452=1,IF($Y452=1,1,2),IF($Y452=1,3,4)),IF($X452=1,IF($Y452=1,5,6),IF($Y452=1,7,8))))</f>
        <v/>
      </c>
    </row>
    <row r="453" ht="11.25" customHeight="1">
      <c r="A453" s="64">
        <f>Calc!$FB$455</f>
        <v/>
      </c>
      <c r="B453" s="64">
        <f>Calc!$FC$455</f>
        <v/>
      </c>
      <c r="C453" s="65">
        <f>Calc!$FD$455</f>
        <v/>
      </c>
      <c r="D453" s="65">
        <f>Calc!$FE$455</f>
        <v/>
      </c>
      <c r="E453" s="65">
        <f>Calc!$FF$455</f>
        <v/>
      </c>
      <c r="F453" s="65">
        <f>Calc!$FG$455</f>
        <v/>
      </c>
      <c r="G453" s="65">
        <f>Calc!$FH$455</f>
        <v/>
      </c>
      <c r="H453" s="65">
        <f>Calc!$FI$455</f>
        <v/>
      </c>
      <c r="I453" s="65">
        <f>Calc!$FJ$455</f>
        <v/>
      </c>
      <c r="J453" s="65">
        <f>Calc!$FK$455</f>
        <v/>
      </c>
      <c r="K453" s="65">
        <f>Calc!$FL$455</f>
        <v/>
      </c>
      <c r="L453" s="65">
        <f>Calc!$FM$455</f>
        <v/>
      </c>
      <c r="M453" s="66">
        <f>Calc!$FN$455</f>
        <v/>
      </c>
      <c r="N453" s="66">
        <f>Calc!$FO$455</f>
        <v/>
      </c>
      <c r="O453" s="65">
        <f>Calc!$FP$455</f>
        <v/>
      </c>
      <c r="P453" s="67">
        <f>Calc!$FQ$455</f>
        <v/>
      </c>
      <c r="Q453" s="68">
        <f>Calc!$FR$455</f>
        <v/>
      </c>
      <c r="R453" s="65">
        <f>Calc!$FS$455</f>
        <v/>
      </c>
      <c r="T453">
        <f>Calc!$EY$455</f>
        <v/>
      </c>
      <c r="U453">
        <f>Calc!$FT$455</f>
        <v/>
      </c>
      <c r="V453">
        <f>Calc!$FU$455</f>
        <v/>
      </c>
      <c r="W453">
        <f>Calc!$FC$455</f>
        <v/>
      </c>
      <c r="X453">
        <f>Calc!$EZ$455</f>
        <v/>
      </c>
      <c r="Y453">
        <f>Calc!$FA$455</f>
        <v/>
      </c>
      <c r="Z453">
        <f>Calc!$FV$455</f>
        <v/>
      </c>
      <c r="AA453">
        <f>IF($T453&lt;&gt;"row",0,IF($V453=1,IF($X453=1,IF($Y453=1,1,2),IF($Y453=1,3,4)),IF($X453=1,IF($Y453=1,5,6),IF($Y453=1,7,8))))</f>
        <v/>
      </c>
    </row>
    <row r="454" ht="11.25" customHeight="1">
      <c r="A454" s="64">
        <f>Calc!$FB$456</f>
        <v/>
      </c>
      <c r="B454" s="64">
        <f>Calc!$FC$456</f>
        <v/>
      </c>
      <c r="C454" s="65">
        <f>Calc!$FD$456</f>
        <v/>
      </c>
      <c r="D454" s="65">
        <f>Calc!$FE$456</f>
        <v/>
      </c>
      <c r="E454" s="65">
        <f>Calc!$FF$456</f>
        <v/>
      </c>
      <c r="F454" s="65">
        <f>Calc!$FG$456</f>
        <v/>
      </c>
      <c r="G454" s="65">
        <f>Calc!$FH$456</f>
        <v/>
      </c>
      <c r="H454" s="65">
        <f>Calc!$FI$456</f>
        <v/>
      </c>
      <c r="I454" s="65">
        <f>Calc!$FJ$456</f>
        <v/>
      </c>
      <c r="J454" s="65">
        <f>Calc!$FK$456</f>
        <v/>
      </c>
      <c r="K454" s="65">
        <f>Calc!$FL$456</f>
        <v/>
      </c>
      <c r="L454" s="65">
        <f>Calc!$FM$456</f>
        <v/>
      </c>
      <c r="M454" s="66">
        <f>Calc!$FN$456</f>
        <v/>
      </c>
      <c r="N454" s="66">
        <f>Calc!$FO$456</f>
        <v/>
      </c>
      <c r="O454" s="65">
        <f>Calc!$FP$456</f>
        <v/>
      </c>
      <c r="P454" s="67">
        <f>Calc!$FQ$456</f>
        <v/>
      </c>
      <c r="Q454" s="68">
        <f>Calc!$FR$456</f>
        <v/>
      </c>
      <c r="R454" s="65">
        <f>Calc!$FS$456</f>
        <v/>
      </c>
      <c r="T454">
        <f>Calc!$EY$456</f>
        <v/>
      </c>
      <c r="U454">
        <f>Calc!$FT$456</f>
        <v/>
      </c>
      <c r="V454">
        <f>Calc!$FU$456</f>
        <v/>
      </c>
      <c r="W454">
        <f>Calc!$FC$456</f>
        <v/>
      </c>
      <c r="X454">
        <f>Calc!$EZ$456</f>
        <v/>
      </c>
      <c r="Y454">
        <f>Calc!$FA$456</f>
        <v/>
      </c>
      <c r="Z454">
        <f>Calc!$FV$456</f>
        <v/>
      </c>
      <c r="AA454">
        <f>IF($T454&lt;&gt;"row",0,IF($V454=1,IF($X454=1,IF($Y454=1,1,2),IF($Y454=1,3,4)),IF($X454=1,IF($Y454=1,5,6),IF($Y454=1,7,8))))</f>
        <v/>
      </c>
    </row>
    <row r="455" ht="11.25" customHeight="1">
      <c r="A455" s="64">
        <f>Calc!$FB$457</f>
        <v/>
      </c>
      <c r="B455" s="64">
        <f>Calc!$FC$457</f>
        <v/>
      </c>
      <c r="C455" s="65">
        <f>Calc!$FD$457</f>
        <v/>
      </c>
      <c r="D455" s="65">
        <f>Calc!$FE$457</f>
        <v/>
      </c>
      <c r="E455" s="65">
        <f>Calc!$FF$457</f>
        <v/>
      </c>
      <c r="F455" s="65">
        <f>Calc!$FG$457</f>
        <v/>
      </c>
      <c r="G455" s="65">
        <f>Calc!$FH$457</f>
        <v/>
      </c>
      <c r="H455" s="65">
        <f>Calc!$FI$457</f>
        <v/>
      </c>
      <c r="I455" s="65">
        <f>Calc!$FJ$457</f>
        <v/>
      </c>
      <c r="J455" s="65">
        <f>Calc!$FK$457</f>
        <v/>
      </c>
      <c r="K455" s="65">
        <f>Calc!$FL$457</f>
        <v/>
      </c>
      <c r="L455" s="65">
        <f>Calc!$FM$457</f>
        <v/>
      </c>
      <c r="M455" s="66">
        <f>Calc!$FN$457</f>
        <v/>
      </c>
      <c r="N455" s="66">
        <f>Calc!$FO$457</f>
        <v/>
      </c>
      <c r="O455" s="65">
        <f>Calc!$FP$457</f>
        <v/>
      </c>
      <c r="P455" s="67">
        <f>Calc!$FQ$457</f>
        <v/>
      </c>
      <c r="Q455" s="68">
        <f>Calc!$FR$457</f>
        <v/>
      </c>
      <c r="R455" s="65">
        <f>Calc!$FS$457</f>
        <v/>
      </c>
      <c r="T455">
        <f>Calc!$EY$457</f>
        <v/>
      </c>
      <c r="U455">
        <f>Calc!$FT$457</f>
        <v/>
      </c>
      <c r="V455">
        <f>Calc!$FU$457</f>
        <v/>
      </c>
      <c r="W455">
        <f>Calc!$FC$457</f>
        <v/>
      </c>
      <c r="X455">
        <f>Calc!$EZ$457</f>
        <v/>
      </c>
      <c r="Y455">
        <f>Calc!$FA$457</f>
        <v/>
      </c>
      <c r="Z455">
        <f>Calc!$FV$457</f>
        <v/>
      </c>
      <c r="AA455">
        <f>IF($T455&lt;&gt;"row",0,IF($V455=1,IF($X455=1,IF($Y455=1,1,2),IF($Y455=1,3,4)),IF($X455=1,IF($Y455=1,5,6),IF($Y455=1,7,8))))</f>
        <v/>
      </c>
    </row>
    <row r="456" ht="11.25" customHeight="1">
      <c r="A456" s="64">
        <f>Calc!$FB$458</f>
        <v/>
      </c>
      <c r="B456" s="64">
        <f>Calc!$FC$458</f>
        <v/>
      </c>
      <c r="C456" s="65">
        <f>Calc!$FD$458</f>
        <v/>
      </c>
      <c r="D456" s="65">
        <f>Calc!$FE$458</f>
        <v/>
      </c>
      <c r="E456" s="65">
        <f>Calc!$FF$458</f>
        <v/>
      </c>
      <c r="F456" s="65">
        <f>Calc!$FG$458</f>
        <v/>
      </c>
      <c r="G456" s="65">
        <f>Calc!$FH$458</f>
        <v/>
      </c>
      <c r="H456" s="65">
        <f>Calc!$FI$458</f>
        <v/>
      </c>
      <c r="I456" s="65">
        <f>Calc!$FJ$458</f>
        <v/>
      </c>
      <c r="J456" s="65">
        <f>Calc!$FK$458</f>
        <v/>
      </c>
      <c r="K456" s="65">
        <f>Calc!$FL$458</f>
        <v/>
      </c>
      <c r="L456" s="65">
        <f>Calc!$FM$458</f>
        <v/>
      </c>
      <c r="M456" s="66">
        <f>Calc!$FN$458</f>
        <v/>
      </c>
      <c r="N456" s="66">
        <f>Calc!$FO$458</f>
        <v/>
      </c>
      <c r="O456" s="65">
        <f>Calc!$FP$458</f>
        <v/>
      </c>
      <c r="P456" s="67">
        <f>Calc!$FQ$458</f>
        <v/>
      </c>
      <c r="Q456" s="68">
        <f>Calc!$FR$458</f>
        <v/>
      </c>
      <c r="R456" s="65">
        <f>Calc!$FS$458</f>
        <v/>
      </c>
      <c r="T456">
        <f>Calc!$EY$458</f>
        <v/>
      </c>
      <c r="U456">
        <f>Calc!$FT$458</f>
        <v/>
      </c>
      <c r="V456">
        <f>Calc!$FU$458</f>
        <v/>
      </c>
      <c r="W456">
        <f>Calc!$FC$458</f>
        <v/>
      </c>
      <c r="X456">
        <f>Calc!$EZ$458</f>
        <v/>
      </c>
      <c r="Y456">
        <f>Calc!$FA$458</f>
        <v/>
      </c>
      <c r="Z456">
        <f>Calc!$FV$458</f>
        <v/>
      </c>
      <c r="AA456">
        <f>IF($T456&lt;&gt;"row",0,IF($V456=1,IF($X456=1,IF($Y456=1,1,2),IF($Y456=1,3,4)),IF($X456=1,IF($Y456=1,5,6),IF($Y456=1,7,8))))</f>
        <v/>
      </c>
    </row>
    <row r="457" ht="11.25" customHeight="1">
      <c r="A457" s="64">
        <f>Calc!$FB$459</f>
        <v/>
      </c>
      <c r="B457" s="64">
        <f>Calc!$FC$459</f>
        <v/>
      </c>
      <c r="C457" s="65">
        <f>Calc!$FD$459</f>
        <v/>
      </c>
      <c r="D457" s="65">
        <f>Calc!$FE$459</f>
        <v/>
      </c>
      <c r="E457" s="65">
        <f>Calc!$FF$459</f>
        <v/>
      </c>
      <c r="F457" s="65">
        <f>Calc!$FG$459</f>
        <v/>
      </c>
      <c r="G457" s="65">
        <f>Calc!$FH$459</f>
        <v/>
      </c>
      <c r="H457" s="65">
        <f>Calc!$FI$459</f>
        <v/>
      </c>
      <c r="I457" s="65">
        <f>Calc!$FJ$459</f>
        <v/>
      </c>
      <c r="J457" s="65">
        <f>Calc!$FK$459</f>
        <v/>
      </c>
      <c r="K457" s="65">
        <f>Calc!$FL$459</f>
        <v/>
      </c>
      <c r="L457" s="65">
        <f>Calc!$FM$459</f>
        <v/>
      </c>
      <c r="M457" s="66">
        <f>Calc!$FN$459</f>
        <v/>
      </c>
      <c r="N457" s="66">
        <f>Calc!$FO$459</f>
        <v/>
      </c>
      <c r="O457" s="65">
        <f>Calc!$FP$459</f>
        <v/>
      </c>
      <c r="P457" s="67">
        <f>Calc!$FQ$459</f>
        <v/>
      </c>
      <c r="Q457" s="68">
        <f>Calc!$FR$459</f>
        <v/>
      </c>
      <c r="R457" s="65">
        <f>Calc!$FS$459</f>
        <v/>
      </c>
      <c r="T457">
        <f>Calc!$EY$459</f>
        <v/>
      </c>
      <c r="U457">
        <f>Calc!$FT$459</f>
        <v/>
      </c>
      <c r="V457">
        <f>Calc!$FU$459</f>
        <v/>
      </c>
      <c r="W457">
        <f>Calc!$FC$459</f>
        <v/>
      </c>
      <c r="X457">
        <f>Calc!$EZ$459</f>
        <v/>
      </c>
      <c r="Y457">
        <f>Calc!$FA$459</f>
        <v/>
      </c>
      <c r="Z457">
        <f>Calc!$FV$459</f>
        <v/>
      </c>
      <c r="AA457">
        <f>IF($T457&lt;&gt;"row",0,IF($V457=1,IF($X457=1,IF($Y457=1,1,2),IF($Y457=1,3,4)),IF($X457=1,IF($Y457=1,5,6),IF($Y457=1,7,8))))</f>
        <v/>
      </c>
    </row>
    <row r="458" ht="11.25" customHeight="1">
      <c r="A458" s="64">
        <f>Calc!$FB$460</f>
        <v/>
      </c>
      <c r="B458" s="64">
        <f>Calc!$FC$460</f>
        <v/>
      </c>
      <c r="C458" s="65">
        <f>Calc!$FD$460</f>
        <v/>
      </c>
      <c r="D458" s="65">
        <f>Calc!$FE$460</f>
        <v/>
      </c>
      <c r="E458" s="65">
        <f>Calc!$FF$460</f>
        <v/>
      </c>
      <c r="F458" s="65">
        <f>Calc!$FG$460</f>
        <v/>
      </c>
      <c r="G458" s="65">
        <f>Calc!$FH$460</f>
        <v/>
      </c>
      <c r="H458" s="65">
        <f>Calc!$FI$460</f>
        <v/>
      </c>
      <c r="I458" s="65">
        <f>Calc!$FJ$460</f>
        <v/>
      </c>
      <c r="J458" s="65">
        <f>Calc!$FK$460</f>
        <v/>
      </c>
      <c r="K458" s="65">
        <f>Calc!$FL$460</f>
        <v/>
      </c>
      <c r="L458" s="65">
        <f>Calc!$FM$460</f>
        <v/>
      </c>
      <c r="M458" s="66">
        <f>Calc!$FN$460</f>
        <v/>
      </c>
      <c r="N458" s="66">
        <f>Calc!$FO$460</f>
        <v/>
      </c>
      <c r="O458" s="65">
        <f>Calc!$FP$460</f>
        <v/>
      </c>
      <c r="P458" s="67">
        <f>Calc!$FQ$460</f>
        <v/>
      </c>
      <c r="Q458" s="68">
        <f>Calc!$FR$460</f>
        <v/>
      </c>
      <c r="R458" s="65">
        <f>Calc!$FS$460</f>
        <v/>
      </c>
      <c r="T458">
        <f>Calc!$EY$460</f>
        <v/>
      </c>
      <c r="U458">
        <f>Calc!$FT$460</f>
        <v/>
      </c>
      <c r="V458">
        <f>Calc!$FU$460</f>
        <v/>
      </c>
      <c r="W458">
        <f>Calc!$FC$460</f>
        <v/>
      </c>
      <c r="X458">
        <f>Calc!$EZ$460</f>
        <v/>
      </c>
      <c r="Y458">
        <f>Calc!$FA$460</f>
        <v/>
      </c>
      <c r="Z458">
        <f>Calc!$FV$460</f>
        <v/>
      </c>
      <c r="AA458">
        <f>IF($T458&lt;&gt;"row",0,IF($V458=1,IF($X458=1,IF($Y458=1,1,2),IF($Y458=1,3,4)),IF($X458=1,IF($Y458=1,5,6),IF($Y458=1,7,8))))</f>
        <v/>
      </c>
    </row>
    <row r="459" ht="11.25" customHeight="1">
      <c r="A459" s="64">
        <f>Calc!$FB$461</f>
        <v/>
      </c>
      <c r="B459" s="64">
        <f>Calc!$FC$461</f>
        <v/>
      </c>
      <c r="C459" s="65">
        <f>Calc!$FD$461</f>
        <v/>
      </c>
      <c r="D459" s="65">
        <f>Calc!$FE$461</f>
        <v/>
      </c>
      <c r="E459" s="65">
        <f>Calc!$FF$461</f>
        <v/>
      </c>
      <c r="F459" s="65">
        <f>Calc!$FG$461</f>
        <v/>
      </c>
      <c r="G459" s="65">
        <f>Calc!$FH$461</f>
        <v/>
      </c>
      <c r="H459" s="65">
        <f>Calc!$FI$461</f>
        <v/>
      </c>
      <c r="I459" s="65">
        <f>Calc!$FJ$461</f>
        <v/>
      </c>
      <c r="J459" s="65">
        <f>Calc!$FK$461</f>
        <v/>
      </c>
      <c r="K459" s="65">
        <f>Calc!$FL$461</f>
        <v/>
      </c>
      <c r="L459" s="65">
        <f>Calc!$FM$461</f>
        <v/>
      </c>
      <c r="M459" s="66">
        <f>Calc!$FN$461</f>
        <v/>
      </c>
      <c r="N459" s="66">
        <f>Calc!$FO$461</f>
        <v/>
      </c>
      <c r="O459" s="65">
        <f>Calc!$FP$461</f>
        <v/>
      </c>
      <c r="P459" s="67">
        <f>Calc!$FQ$461</f>
        <v/>
      </c>
      <c r="Q459" s="68">
        <f>Calc!$FR$461</f>
        <v/>
      </c>
      <c r="R459" s="65">
        <f>Calc!$FS$461</f>
        <v/>
      </c>
      <c r="T459">
        <f>Calc!$EY$461</f>
        <v/>
      </c>
      <c r="U459">
        <f>Calc!$FT$461</f>
        <v/>
      </c>
      <c r="V459">
        <f>Calc!$FU$461</f>
        <v/>
      </c>
      <c r="W459">
        <f>Calc!$FC$461</f>
        <v/>
      </c>
      <c r="X459">
        <f>Calc!$EZ$461</f>
        <v/>
      </c>
      <c r="Y459">
        <f>Calc!$FA$461</f>
        <v/>
      </c>
      <c r="Z459">
        <f>Calc!$FV$461</f>
        <v/>
      </c>
      <c r="AA459">
        <f>IF($T459&lt;&gt;"row",0,IF($V459=1,IF($X459=1,IF($Y459=1,1,2),IF($Y459=1,3,4)),IF($X459=1,IF($Y459=1,5,6),IF($Y459=1,7,8))))</f>
        <v/>
      </c>
    </row>
    <row r="460" ht="11.25" customHeight="1">
      <c r="A460" s="64">
        <f>Calc!$FB$462</f>
        <v/>
      </c>
      <c r="B460" s="64">
        <f>Calc!$FC$462</f>
        <v/>
      </c>
      <c r="C460" s="65">
        <f>Calc!$FD$462</f>
        <v/>
      </c>
      <c r="D460" s="65">
        <f>Calc!$FE$462</f>
        <v/>
      </c>
      <c r="E460" s="65">
        <f>Calc!$FF$462</f>
        <v/>
      </c>
      <c r="F460" s="65">
        <f>Calc!$FG$462</f>
        <v/>
      </c>
      <c r="G460" s="65">
        <f>Calc!$FH$462</f>
        <v/>
      </c>
      <c r="H460" s="65">
        <f>Calc!$FI$462</f>
        <v/>
      </c>
      <c r="I460" s="65">
        <f>Calc!$FJ$462</f>
        <v/>
      </c>
      <c r="J460" s="65">
        <f>Calc!$FK$462</f>
        <v/>
      </c>
      <c r="K460" s="65">
        <f>Calc!$FL$462</f>
        <v/>
      </c>
      <c r="L460" s="65">
        <f>Calc!$FM$462</f>
        <v/>
      </c>
      <c r="M460" s="66">
        <f>Calc!$FN$462</f>
        <v/>
      </c>
      <c r="N460" s="66">
        <f>Calc!$FO$462</f>
        <v/>
      </c>
      <c r="O460" s="65">
        <f>Calc!$FP$462</f>
        <v/>
      </c>
      <c r="P460" s="67">
        <f>Calc!$FQ$462</f>
        <v/>
      </c>
      <c r="Q460" s="68">
        <f>Calc!$FR$462</f>
        <v/>
      </c>
      <c r="R460" s="65">
        <f>Calc!$FS$462</f>
        <v/>
      </c>
      <c r="T460">
        <f>Calc!$EY$462</f>
        <v/>
      </c>
      <c r="U460">
        <f>Calc!$FT$462</f>
        <v/>
      </c>
      <c r="V460">
        <f>Calc!$FU$462</f>
        <v/>
      </c>
      <c r="W460">
        <f>Calc!$FC$462</f>
        <v/>
      </c>
      <c r="X460">
        <f>Calc!$EZ$462</f>
        <v/>
      </c>
      <c r="Y460">
        <f>Calc!$FA$462</f>
        <v/>
      </c>
      <c r="Z460">
        <f>Calc!$FV$462</f>
        <v/>
      </c>
      <c r="AA460">
        <f>IF($T460&lt;&gt;"row",0,IF($V460=1,IF($X460=1,IF($Y460=1,1,2),IF($Y460=1,3,4)),IF($X460=1,IF($Y460=1,5,6),IF($Y460=1,7,8))))</f>
        <v/>
      </c>
    </row>
    <row r="461" ht="11.25" customHeight="1">
      <c r="A461" s="64">
        <f>Calc!$FB$463</f>
        <v/>
      </c>
      <c r="B461" s="64">
        <f>Calc!$FC$463</f>
        <v/>
      </c>
      <c r="C461" s="65">
        <f>Calc!$FD$463</f>
        <v/>
      </c>
      <c r="D461" s="65">
        <f>Calc!$FE$463</f>
        <v/>
      </c>
      <c r="E461" s="65">
        <f>Calc!$FF$463</f>
        <v/>
      </c>
      <c r="F461" s="65">
        <f>Calc!$FG$463</f>
        <v/>
      </c>
      <c r="G461" s="65">
        <f>Calc!$FH$463</f>
        <v/>
      </c>
      <c r="H461" s="65">
        <f>Calc!$FI$463</f>
        <v/>
      </c>
      <c r="I461" s="65">
        <f>Calc!$FJ$463</f>
        <v/>
      </c>
      <c r="J461" s="65">
        <f>Calc!$FK$463</f>
        <v/>
      </c>
      <c r="K461" s="65">
        <f>Calc!$FL$463</f>
        <v/>
      </c>
      <c r="L461" s="65">
        <f>Calc!$FM$463</f>
        <v/>
      </c>
      <c r="M461" s="66">
        <f>Calc!$FN$463</f>
        <v/>
      </c>
      <c r="N461" s="66">
        <f>Calc!$FO$463</f>
        <v/>
      </c>
      <c r="O461" s="65">
        <f>Calc!$FP$463</f>
        <v/>
      </c>
      <c r="P461" s="67">
        <f>Calc!$FQ$463</f>
        <v/>
      </c>
      <c r="Q461" s="68">
        <f>Calc!$FR$463</f>
        <v/>
      </c>
      <c r="R461" s="65">
        <f>Calc!$FS$463</f>
        <v/>
      </c>
      <c r="T461">
        <f>Calc!$EY$463</f>
        <v/>
      </c>
      <c r="U461">
        <f>Calc!$FT$463</f>
        <v/>
      </c>
      <c r="V461">
        <f>Calc!$FU$463</f>
        <v/>
      </c>
      <c r="W461">
        <f>Calc!$FC$463</f>
        <v/>
      </c>
      <c r="X461">
        <f>Calc!$EZ$463</f>
        <v/>
      </c>
      <c r="Y461">
        <f>Calc!$FA$463</f>
        <v/>
      </c>
      <c r="Z461">
        <f>Calc!$FV$463</f>
        <v/>
      </c>
      <c r="AA461">
        <f>IF($T461&lt;&gt;"row",0,IF($V461=1,IF($X461=1,IF($Y461=1,1,2),IF($Y461=1,3,4)),IF($X461=1,IF($Y461=1,5,6),IF($Y461=1,7,8))))</f>
        <v/>
      </c>
    </row>
    <row r="462" ht="11.25" customHeight="1">
      <c r="A462" s="64">
        <f>Calc!$FB$464</f>
        <v/>
      </c>
      <c r="B462" s="64">
        <f>Calc!$FC$464</f>
        <v/>
      </c>
      <c r="C462" s="65">
        <f>Calc!$FD$464</f>
        <v/>
      </c>
      <c r="D462" s="65">
        <f>Calc!$FE$464</f>
        <v/>
      </c>
      <c r="E462" s="65">
        <f>Calc!$FF$464</f>
        <v/>
      </c>
      <c r="F462" s="65">
        <f>Calc!$FG$464</f>
        <v/>
      </c>
      <c r="G462" s="65">
        <f>Calc!$FH$464</f>
        <v/>
      </c>
      <c r="H462" s="65">
        <f>Calc!$FI$464</f>
        <v/>
      </c>
      <c r="I462" s="65">
        <f>Calc!$FJ$464</f>
        <v/>
      </c>
      <c r="J462" s="65">
        <f>Calc!$FK$464</f>
        <v/>
      </c>
      <c r="K462" s="65">
        <f>Calc!$FL$464</f>
        <v/>
      </c>
      <c r="L462" s="65">
        <f>Calc!$FM$464</f>
        <v/>
      </c>
      <c r="M462" s="66">
        <f>Calc!$FN$464</f>
        <v/>
      </c>
      <c r="N462" s="66">
        <f>Calc!$FO$464</f>
        <v/>
      </c>
      <c r="O462" s="65">
        <f>Calc!$FP$464</f>
        <v/>
      </c>
      <c r="P462" s="67">
        <f>Calc!$FQ$464</f>
        <v/>
      </c>
      <c r="Q462" s="68">
        <f>Calc!$FR$464</f>
        <v/>
      </c>
      <c r="R462" s="65">
        <f>Calc!$FS$464</f>
        <v/>
      </c>
      <c r="T462">
        <f>Calc!$EY$464</f>
        <v/>
      </c>
      <c r="U462">
        <f>Calc!$FT$464</f>
        <v/>
      </c>
      <c r="V462">
        <f>Calc!$FU$464</f>
        <v/>
      </c>
      <c r="W462">
        <f>Calc!$FC$464</f>
        <v/>
      </c>
      <c r="X462">
        <f>Calc!$EZ$464</f>
        <v/>
      </c>
      <c r="Y462">
        <f>Calc!$FA$464</f>
        <v/>
      </c>
      <c r="Z462">
        <f>Calc!$FV$464</f>
        <v/>
      </c>
      <c r="AA462">
        <f>IF($T462&lt;&gt;"row",0,IF($V462=1,IF($X462=1,IF($Y462=1,1,2),IF($Y462=1,3,4)),IF($X462=1,IF($Y462=1,5,6),IF($Y462=1,7,8))))</f>
        <v/>
      </c>
    </row>
    <row r="463" ht="11.25" customHeight="1">
      <c r="A463" s="64">
        <f>Calc!$FB$465</f>
        <v/>
      </c>
      <c r="B463" s="64">
        <f>Calc!$FC$465</f>
        <v/>
      </c>
      <c r="C463" s="65">
        <f>Calc!$FD$465</f>
        <v/>
      </c>
      <c r="D463" s="65">
        <f>Calc!$FE$465</f>
        <v/>
      </c>
      <c r="E463" s="65">
        <f>Calc!$FF$465</f>
        <v/>
      </c>
      <c r="F463" s="65">
        <f>Calc!$FG$465</f>
        <v/>
      </c>
      <c r="G463" s="65">
        <f>Calc!$FH$465</f>
        <v/>
      </c>
      <c r="H463" s="65">
        <f>Calc!$FI$465</f>
        <v/>
      </c>
      <c r="I463" s="65">
        <f>Calc!$FJ$465</f>
        <v/>
      </c>
      <c r="J463" s="65">
        <f>Calc!$FK$465</f>
        <v/>
      </c>
      <c r="K463" s="65">
        <f>Calc!$FL$465</f>
        <v/>
      </c>
      <c r="L463" s="65">
        <f>Calc!$FM$465</f>
        <v/>
      </c>
      <c r="M463" s="66">
        <f>Calc!$FN$465</f>
        <v/>
      </c>
      <c r="N463" s="66">
        <f>Calc!$FO$465</f>
        <v/>
      </c>
      <c r="O463" s="65">
        <f>Calc!$FP$465</f>
        <v/>
      </c>
      <c r="P463" s="67">
        <f>Calc!$FQ$465</f>
        <v/>
      </c>
      <c r="Q463" s="68">
        <f>Calc!$FR$465</f>
        <v/>
      </c>
      <c r="R463" s="65">
        <f>Calc!$FS$465</f>
        <v/>
      </c>
      <c r="T463">
        <f>Calc!$EY$465</f>
        <v/>
      </c>
      <c r="U463">
        <f>Calc!$FT$465</f>
        <v/>
      </c>
      <c r="V463">
        <f>Calc!$FU$465</f>
        <v/>
      </c>
      <c r="W463">
        <f>Calc!$FC$465</f>
        <v/>
      </c>
      <c r="X463">
        <f>Calc!$EZ$465</f>
        <v/>
      </c>
      <c r="Y463">
        <f>Calc!$FA$465</f>
        <v/>
      </c>
      <c r="Z463">
        <f>Calc!$FV$465</f>
        <v/>
      </c>
      <c r="AA463">
        <f>IF($T463&lt;&gt;"row",0,IF($V463=1,IF($X463=1,IF($Y463=1,1,2),IF($Y463=1,3,4)),IF($X463=1,IF($Y463=1,5,6),IF($Y463=1,7,8))))</f>
        <v/>
      </c>
    </row>
    <row r="464" ht="11.25" customHeight="1">
      <c r="A464" s="64">
        <f>Calc!$FB$466</f>
        <v/>
      </c>
      <c r="B464" s="64">
        <f>Calc!$FC$466</f>
        <v/>
      </c>
      <c r="C464" s="65">
        <f>Calc!$FD$466</f>
        <v/>
      </c>
      <c r="D464" s="65">
        <f>Calc!$FE$466</f>
        <v/>
      </c>
      <c r="E464" s="65">
        <f>Calc!$FF$466</f>
        <v/>
      </c>
      <c r="F464" s="65">
        <f>Calc!$FG$466</f>
        <v/>
      </c>
      <c r="G464" s="65">
        <f>Calc!$FH$466</f>
        <v/>
      </c>
      <c r="H464" s="65">
        <f>Calc!$FI$466</f>
        <v/>
      </c>
      <c r="I464" s="65">
        <f>Calc!$FJ$466</f>
        <v/>
      </c>
      <c r="J464" s="65">
        <f>Calc!$FK$466</f>
        <v/>
      </c>
      <c r="K464" s="65">
        <f>Calc!$FL$466</f>
        <v/>
      </c>
      <c r="L464" s="65">
        <f>Calc!$FM$466</f>
        <v/>
      </c>
      <c r="M464" s="66">
        <f>Calc!$FN$466</f>
        <v/>
      </c>
      <c r="N464" s="66">
        <f>Calc!$FO$466</f>
        <v/>
      </c>
      <c r="O464" s="65">
        <f>Calc!$FP$466</f>
        <v/>
      </c>
      <c r="P464" s="67">
        <f>Calc!$FQ$466</f>
        <v/>
      </c>
      <c r="Q464" s="68">
        <f>Calc!$FR$466</f>
        <v/>
      </c>
      <c r="R464" s="65">
        <f>Calc!$FS$466</f>
        <v/>
      </c>
      <c r="T464">
        <f>Calc!$EY$466</f>
        <v/>
      </c>
      <c r="U464">
        <f>Calc!$FT$466</f>
        <v/>
      </c>
      <c r="V464">
        <f>Calc!$FU$466</f>
        <v/>
      </c>
      <c r="W464">
        <f>Calc!$FC$466</f>
        <v/>
      </c>
      <c r="X464">
        <f>Calc!$EZ$466</f>
        <v/>
      </c>
      <c r="Y464">
        <f>Calc!$FA$466</f>
        <v/>
      </c>
      <c r="Z464">
        <f>Calc!$FV$466</f>
        <v/>
      </c>
      <c r="AA464">
        <f>IF($T464&lt;&gt;"row",0,IF($V464=1,IF($X464=1,IF($Y464=1,1,2),IF($Y464=1,3,4)),IF($X464=1,IF($Y464=1,5,6),IF($Y464=1,7,8))))</f>
        <v/>
      </c>
    </row>
    <row r="465" ht="11.25" customHeight="1">
      <c r="A465" s="64">
        <f>Calc!$FB$467</f>
        <v/>
      </c>
      <c r="B465" s="64">
        <f>Calc!$FC$467</f>
        <v/>
      </c>
      <c r="C465" s="65">
        <f>Calc!$FD$467</f>
        <v/>
      </c>
      <c r="D465" s="65">
        <f>Calc!$FE$467</f>
        <v/>
      </c>
      <c r="E465" s="65">
        <f>Calc!$FF$467</f>
        <v/>
      </c>
      <c r="F465" s="65">
        <f>Calc!$FG$467</f>
        <v/>
      </c>
      <c r="G465" s="65">
        <f>Calc!$FH$467</f>
        <v/>
      </c>
      <c r="H465" s="65">
        <f>Calc!$FI$467</f>
        <v/>
      </c>
      <c r="I465" s="65">
        <f>Calc!$FJ$467</f>
        <v/>
      </c>
      <c r="J465" s="65">
        <f>Calc!$FK$467</f>
        <v/>
      </c>
      <c r="K465" s="65">
        <f>Calc!$FL$467</f>
        <v/>
      </c>
      <c r="L465" s="65">
        <f>Calc!$FM$467</f>
        <v/>
      </c>
      <c r="M465" s="66">
        <f>Calc!$FN$467</f>
        <v/>
      </c>
      <c r="N465" s="66">
        <f>Calc!$FO$467</f>
        <v/>
      </c>
      <c r="O465" s="65">
        <f>Calc!$FP$467</f>
        <v/>
      </c>
      <c r="P465" s="67">
        <f>Calc!$FQ$467</f>
        <v/>
      </c>
      <c r="Q465" s="68">
        <f>Calc!$FR$467</f>
        <v/>
      </c>
      <c r="R465" s="65">
        <f>Calc!$FS$467</f>
        <v/>
      </c>
      <c r="T465">
        <f>Calc!$EY$467</f>
        <v/>
      </c>
      <c r="U465">
        <f>Calc!$FT$467</f>
        <v/>
      </c>
      <c r="V465">
        <f>Calc!$FU$467</f>
        <v/>
      </c>
      <c r="W465">
        <f>Calc!$FC$467</f>
        <v/>
      </c>
      <c r="X465">
        <f>Calc!$EZ$467</f>
        <v/>
      </c>
      <c r="Y465">
        <f>Calc!$FA$467</f>
        <v/>
      </c>
      <c r="Z465">
        <f>Calc!$FV$467</f>
        <v/>
      </c>
      <c r="AA465">
        <f>IF($T465&lt;&gt;"row",0,IF($V465=1,IF($X465=1,IF($Y465=1,1,2),IF($Y465=1,3,4)),IF($X465=1,IF($Y465=1,5,6),IF($Y465=1,7,8))))</f>
        <v/>
      </c>
    </row>
    <row r="466" ht="11.25" customHeight="1">
      <c r="A466" s="64">
        <f>Calc!$FB$468</f>
        <v/>
      </c>
      <c r="B466" s="64">
        <f>Calc!$FC$468</f>
        <v/>
      </c>
      <c r="C466" s="65">
        <f>Calc!$FD$468</f>
        <v/>
      </c>
      <c r="D466" s="65">
        <f>Calc!$FE$468</f>
        <v/>
      </c>
      <c r="E466" s="65">
        <f>Calc!$FF$468</f>
        <v/>
      </c>
      <c r="F466" s="65">
        <f>Calc!$FG$468</f>
        <v/>
      </c>
      <c r="G466" s="65">
        <f>Calc!$FH$468</f>
        <v/>
      </c>
      <c r="H466" s="65">
        <f>Calc!$FI$468</f>
        <v/>
      </c>
      <c r="I466" s="65">
        <f>Calc!$FJ$468</f>
        <v/>
      </c>
      <c r="J466" s="65">
        <f>Calc!$FK$468</f>
        <v/>
      </c>
      <c r="K466" s="65">
        <f>Calc!$FL$468</f>
        <v/>
      </c>
      <c r="L466" s="65">
        <f>Calc!$FM$468</f>
        <v/>
      </c>
      <c r="M466" s="66">
        <f>Calc!$FN$468</f>
        <v/>
      </c>
      <c r="N466" s="66">
        <f>Calc!$FO$468</f>
        <v/>
      </c>
      <c r="O466" s="65">
        <f>Calc!$FP$468</f>
        <v/>
      </c>
      <c r="P466" s="67">
        <f>Calc!$FQ$468</f>
        <v/>
      </c>
      <c r="Q466" s="68">
        <f>Calc!$FR$468</f>
        <v/>
      </c>
      <c r="R466" s="65">
        <f>Calc!$FS$468</f>
        <v/>
      </c>
      <c r="T466">
        <f>Calc!$EY$468</f>
        <v/>
      </c>
      <c r="U466">
        <f>Calc!$FT$468</f>
        <v/>
      </c>
      <c r="V466">
        <f>Calc!$FU$468</f>
        <v/>
      </c>
      <c r="W466">
        <f>Calc!$FC$468</f>
        <v/>
      </c>
      <c r="X466">
        <f>Calc!$EZ$468</f>
        <v/>
      </c>
      <c r="Y466">
        <f>Calc!$FA$468</f>
        <v/>
      </c>
      <c r="Z466">
        <f>Calc!$FV$468</f>
        <v/>
      </c>
      <c r="AA466">
        <f>IF($T466&lt;&gt;"row",0,IF($V466=1,IF($X466=1,IF($Y466=1,1,2),IF($Y466=1,3,4)),IF($X466=1,IF($Y466=1,5,6),IF($Y466=1,7,8))))</f>
        <v/>
      </c>
    </row>
    <row r="467" ht="11.25" customHeight="1">
      <c r="A467" s="64">
        <f>Calc!$FB$469</f>
        <v/>
      </c>
      <c r="B467" s="64">
        <f>Calc!$FC$469</f>
        <v/>
      </c>
      <c r="C467" s="65">
        <f>Calc!$FD$469</f>
        <v/>
      </c>
      <c r="D467" s="65">
        <f>Calc!$FE$469</f>
        <v/>
      </c>
      <c r="E467" s="65">
        <f>Calc!$FF$469</f>
        <v/>
      </c>
      <c r="F467" s="65">
        <f>Calc!$FG$469</f>
        <v/>
      </c>
      <c r="G467" s="65">
        <f>Calc!$FH$469</f>
        <v/>
      </c>
      <c r="H467" s="65">
        <f>Calc!$FI$469</f>
        <v/>
      </c>
      <c r="I467" s="65">
        <f>Calc!$FJ$469</f>
        <v/>
      </c>
      <c r="J467" s="65">
        <f>Calc!$FK$469</f>
        <v/>
      </c>
      <c r="K467" s="65">
        <f>Calc!$FL$469</f>
        <v/>
      </c>
      <c r="L467" s="65">
        <f>Calc!$FM$469</f>
        <v/>
      </c>
      <c r="M467" s="66">
        <f>Calc!$FN$469</f>
        <v/>
      </c>
      <c r="N467" s="66">
        <f>Calc!$FO$469</f>
        <v/>
      </c>
      <c r="O467" s="65">
        <f>Calc!$FP$469</f>
        <v/>
      </c>
      <c r="P467" s="67">
        <f>Calc!$FQ$469</f>
        <v/>
      </c>
      <c r="Q467" s="68">
        <f>Calc!$FR$469</f>
        <v/>
      </c>
      <c r="R467" s="65">
        <f>Calc!$FS$469</f>
        <v/>
      </c>
      <c r="T467">
        <f>Calc!$EY$469</f>
        <v/>
      </c>
      <c r="U467">
        <f>Calc!$FT$469</f>
        <v/>
      </c>
      <c r="V467">
        <f>Calc!$FU$469</f>
        <v/>
      </c>
      <c r="W467">
        <f>Calc!$FC$469</f>
        <v/>
      </c>
      <c r="X467">
        <f>Calc!$EZ$469</f>
        <v/>
      </c>
      <c r="Y467">
        <f>Calc!$FA$469</f>
        <v/>
      </c>
      <c r="Z467">
        <f>Calc!$FV$469</f>
        <v/>
      </c>
      <c r="AA467">
        <f>IF($T467&lt;&gt;"row",0,IF($V467=1,IF($X467=1,IF($Y467=1,1,2),IF($Y467=1,3,4)),IF($X467=1,IF($Y467=1,5,6),IF($Y467=1,7,8))))</f>
        <v/>
      </c>
    </row>
    <row r="468" ht="11.25" customHeight="1">
      <c r="A468" s="64">
        <f>Calc!$FB$470</f>
        <v/>
      </c>
      <c r="B468" s="64">
        <f>Calc!$FC$470</f>
        <v/>
      </c>
      <c r="C468" s="65">
        <f>Calc!$FD$470</f>
        <v/>
      </c>
      <c r="D468" s="65">
        <f>Calc!$FE$470</f>
        <v/>
      </c>
      <c r="E468" s="65">
        <f>Calc!$FF$470</f>
        <v/>
      </c>
      <c r="F468" s="65">
        <f>Calc!$FG$470</f>
        <v/>
      </c>
      <c r="G468" s="65">
        <f>Calc!$FH$470</f>
        <v/>
      </c>
      <c r="H468" s="65">
        <f>Calc!$FI$470</f>
        <v/>
      </c>
      <c r="I468" s="65">
        <f>Calc!$FJ$470</f>
        <v/>
      </c>
      <c r="J468" s="65">
        <f>Calc!$FK$470</f>
        <v/>
      </c>
      <c r="K468" s="65">
        <f>Calc!$FL$470</f>
        <v/>
      </c>
      <c r="L468" s="65">
        <f>Calc!$FM$470</f>
        <v/>
      </c>
      <c r="M468" s="66">
        <f>Calc!$FN$470</f>
        <v/>
      </c>
      <c r="N468" s="66">
        <f>Calc!$FO$470</f>
        <v/>
      </c>
      <c r="O468" s="65">
        <f>Calc!$FP$470</f>
        <v/>
      </c>
      <c r="P468" s="67">
        <f>Calc!$FQ$470</f>
        <v/>
      </c>
      <c r="Q468" s="68">
        <f>Calc!$FR$470</f>
        <v/>
      </c>
      <c r="R468" s="65">
        <f>Calc!$FS$470</f>
        <v/>
      </c>
      <c r="T468">
        <f>Calc!$EY$470</f>
        <v/>
      </c>
      <c r="U468">
        <f>Calc!$FT$470</f>
        <v/>
      </c>
      <c r="V468">
        <f>Calc!$FU$470</f>
        <v/>
      </c>
      <c r="W468">
        <f>Calc!$FC$470</f>
        <v/>
      </c>
      <c r="X468">
        <f>Calc!$EZ$470</f>
        <v/>
      </c>
      <c r="Y468">
        <f>Calc!$FA$470</f>
        <v/>
      </c>
      <c r="Z468">
        <f>Calc!$FV$470</f>
        <v/>
      </c>
      <c r="AA468">
        <f>IF($T468&lt;&gt;"row",0,IF($V468=1,IF($X468=1,IF($Y468=1,1,2),IF($Y468=1,3,4)),IF($X468=1,IF($Y468=1,5,6),IF($Y468=1,7,8))))</f>
        <v/>
      </c>
    </row>
    <row r="469" ht="11.25" customHeight="1">
      <c r="A469" s="64">
        <f>Calc!$FB$471</f>
        <v/>
      </c>
      <c r="B469" s="64">
        <f>Calc!$FC$471</f>
        <v/>
      </c>
      <c r="C469" s="65">
        <f>Calc!$FD$471</f>
        <v/>
      </c>
      <c r="D469" s="65">
        <f>Calc!$FE$471</f>
        <v/>
      </c>
      <c r="E469" s="65">
        <f>Calc!$FF$471</f>
        <v/>
      </c>
      <c r="F469" s="65">
        <f>Calc!$FG$471</f>
        <v/>
      </c>
      <c r="G469" s="65">
        <f>Calc!$FH$471</f>
        <v/>
      </c>
      <c r="H469" s="65">
        <f>Calc!$FI$471</f>
        <v/>
      </c>
      <c r="I469" s="65">
        <f>Calc!$FJ$471</f>
        <v/>
      </c>
      <c r="J469" s="65">
        <f>Calc!$FK$471</f>
        <v/>
      </c>
      <c r="K469" s="65">
        <f>Calc!$FL$471</f>
        <v/>
      </c>
      <c r="L469" s="65">
        <f>Calc!$FM$471</f>
        <v/>
      </c>
      <c r="M469" s="66">
        <f>Calc!$FN$471</f>
        <v/>
      </c>
      <c r="N469" s="66">
        <f>Calc!$FO$471</f>
        <v/>
      </c>
      <c r="O469" s="65">
        <f>Calc!$FP$471</f>
        <v/>
      </c>
      <c r="P469" s="67">
        <f>Calc!$FQ$471</f>
        <v/>
      </c>
      <c r="Q469" s="68">
        <f>Calc!$FR$471</f>
        <v/>
      </c>
      <c r="R469" s="65">
        <f>Calc!$FS$471</f>
        <v/>
      </c>
      <c r="T469">
        <f>Calc!$EY$471</f>
        <v/>
      </c>
      <c r="U469">
        <f>Calc!$FT$471</f>
        <v/>
      </c>
      <c r="V469">
        <f>Calc!$FU$471</f>
        <v/>
      </c>
      <c r="W469">
        <f>Calc!$FC$471</f>
        <v/>
      </c>
      <c r="X469">
        <f>Calc!$EZ$471</f>
        <v/>
      </c>
      <c r="Y469">
        <f>Calc!$FA$471</f>
        <v/>
      </c>
      <c r="Z469">
        <f>Calc!$FV$471</f>
        <v/>
      </c>
      <c r="AA469">
        <f>IF($T469&lt;&gt;"row",0,IF($V469=1,IF($X469=1,IF($Y469=1,1,2),IF($Y469=1,3,4)),IF($X469=1,IF($Y469=1,5,6),IF($Y469=1,7,8))))</f>
        <v/>
      </c>
    </row>
    <row r="470" ht="11.25" customHeight="1">
      <c r="A470" s="64">
        <f>Calc!$FB$472</f>
        <v/>
      </c>
      <c r="B470" s="64">
        <f>Calc!$FC$472</f>
        <v/>
      </c>
      <c r="C470" s="65">
        <f>Calc!$FD$472</f>
        <v/>
      </c>
      <c r="D470" s="65">
        <f>Calc!$FE$472</f>
        <v/>
      </c>
      <c r="E470" s="65">
        <f>Calc!$FF$472</f>
        <v/>
      </c>
      <c r="F470" s="65">
        <f>Calc!$FG$472</f>
        <v/>
      </c>
      <c r="G470" s="65">
        <f>Calc!$FH$472</f>
        <v/>
      </c>
      <c r="H470" s="65">
        <f>Calc!$FI$472</f>
        <v/>
      </c>
      <c r="I470" s="65">
        <f>Calc!$FJ$472</f>
        <v/>
      </c>
      <c r="J470" s="65">
        <f>Calc!$FK$472</f>
        <v/>
      </c>
      <c r="K470" s="65">
        <f>Calc!$FL$472</f>
        <v/>
      </c>
      <c r="L470" s="65">
        <f>Calc!$FM$472</f>
        <v/>
      </c>
      <c r="M470" s="66">
        <f>Calc!$FN$472</f>
        <v/>
      </c>
      <c r="N470" s="66">
        <f>Calc!$FO$472</f>
        <v/>
      </c>
      <c r="O470" s="65">
        <f>Calc!$FP$472</f>
        <v/>
      </c>
      <c r="P470" s="67">
        <f>Calc!$FQ$472</f>
        <v/>
      </c>
      <c r="Q470" s="68">
        <f>Calc!$FR$472</f>
        <v/>
      </c>
      <c r="R470" s="65">
        <f>Calc!$FS$472</f>
        <v/>
      </c>
      <c r="T470">
        <f>Calc!$EY$472</f>
        <v/>
      </c>
      <c r="U470">
        <f>Calc!$FT$472</f>
        <v/>
      </c>
      <c r="V470">
        <f>Calc!$FU$472</f>
        <v/>
      </c>
      <c r="W470">
        <f>Calc!$FC$472</f>
        <v/>
      </c>
      <c r="X470">
        <f>Calc!$EZ$472</f>
        <v/>
      </c>
      <c r="Y470">
        <f>Calc!$FA$472</f>
        <v/>
      </c>
      <c r="Z470">
        <f>Calc!$FV$472</f>
        <v/>
      </c>
      <c r="AA470">
        <f>IF($T470&lt;&gt;"row",0,IF($V470=1,IF($X470=1,IF($Y470=1,1,2),IF($Y470=1,3,4)),IF($X470=1,IF($Y470=1,5,6),IF($Y470=1,7,8))))</f>
        <v/>
      </c>
    </row>
    <row r="471" ht="11.25" customHeight="1">
      <c r="A471" s="64">
        <f>Calc!$FB$473</f>
        <v/>
      </c>
      <c r="B471" s="64">
        <f>Calc!$FC$473</f>
        <v/>
      </c>
      <c r="C471" s="65">
        <f>Calc!$FD$473</f>
        <v/>
      </c>
      <c r="D471" s="65">
        <f>Calc!$FE$473</f>
        <v/>
      </c>
      <c r="E471" s="65">
        <f>Calc!$FF$473</f>
        <v/>
      </c>
      <c r="F471" s="65">
        <f>Calc!$FG$473</f>
        <v/>
      </c>
      <c r="G471" s="65">
        <f>Calc!$FH$473</f>
        <v/>
      </c>
      <c r="H471" s="65">
        <f>Calc!$FI$473</f>
        <v/>
      </c>
      <c r="I471" s="65">
        <f>Calc!$FJ$473</f>
        <v/>
      </c>
      <c r="J471" s="65">
        <f>Calc!$FK$473</f>
        <v/>
      </c>
      <c r="K471" s="65">
        <f>Calc!$FL$473</f>
        <v/>
      </c>
      <c r="L471" s="65">
        <f>Calc!$FM$473</f>
        <v/>
      </c>
      <c r="M471" s="66">
        <f>Calc!$FN$473</f>
        <v/>
      </c>
      <c r="N471" s="66">
        <f>Calc!$FO$473</f>
        <v/>
      </c>
      <c r="O471" s="65">
        <f>Calc!$FP$473</f>
        <v/>
      </c>
      <c r="P471" s="67">
        <f>Calc!$FQ$473</f>
        <v/>
      </c>
      <c r="Q471" s="68">
        <f>Calc!$FR$473</f>
        <v/>
      </c>
      <c r="R471" s="65">
        <f>Calc!$FS$473</f>
        <v/>
      </c>
      <c r="T471">
        <f>Calc!$EY$473</f>
        <v/>
      </c>
      <c r="U471">
        <f>Calc!$FT$473</f>
        <v/>
      </c>
      <c r="V471">
        <f>Calc!$FU$473</f>
        <v/>
      </c>
      <c r="W471">
        <f>Calc!$FC$473</f>
        <v/>
      </c>
      <c r="X471">
        <f>Calc!$EZ$473</f>
        <v/>
      </c>
      <c r="Y471">
        <f>Calc!$FA$473</f>
        <v/>
      </c>
      <c r="Z471">
        <f>Calc!$FV$473</f>
        <v/>
      </c>
      <c r="AA471">
        <f>IF($T471&lt;&gt;"row",0,IF($V471=1,IF($X471=1,IF($Y471=1,1,2),IF($Y471=1,3,4)),IF($X471=1,IF($Y471=1,5,6),IF($Y471=1,7,8))))</f>
        <v/>
      </c>
    </row>
    <row r="472" ht="11.25" customHeight="1">
      <c r="A472" s="64">
        <f>Calc!$FB$474</f>
        <v/>
      </c>
      <c r="B472" s="64">
        <f>Calc!$FC$474</f>
        <v/>
      </c>
      <c r="C472" s="65">
        <f>Calc!$FD$474</f>
        <v/>
      </c>
      <c r="D472" s="65">
        <f>Calc!$FE$474</f>
        <v/>
      </c>
      <c r="E472" s="65">
        <f>Calc!$FF$474</f>
        <v/>
      </c>
      <c r="F472" s="65">
        <f>Calc!$FG$474</f>
        <v/>
      </c>
      <c r="G472" s="65">
        <f>Calc!$FH$474</f>
        <v/>
      </c>
      <c r="H472" s="65">
        <f>Calc!$FI$474</f>
        <v/>
      </c>
      <c r="I472" s="65">
        <f>Calc!$FJ$474</f>
        <v/>
      </c>
      <c r="J472" s="65">
        <f>Calc!$FK$474</f>
        <v/>
      </c>
      <c r="K472" s="65">
        <f>Calc!$FL$474</f>
        <v/>
      </c>
      <c r="L472" s="65">
        <f>Calc!$FM$474</f>
        <v/>
      </c>
      <c r="M472" s="66">
        <f>Calc!$FN$474</f>
        <v/>
      </c>
      <c r="N472" s="66">
        <f>Calc!$FO$474</f>
        <v/>
      </c>
      <c r="O472" s="65">
        <f>Calc!$FP$474</f>
        <v/>
      </c>
      <c r="P472" s="67">
        <f>Calc!$FQ$474</f>
        <v/>
      </c>
      <c r="Q472" s="68">
        <f>Calc!$FR$474</f>
        <v/>
      </c>
      <c r="R472" s="65">
        <f>Calc!$FS$474</f>
        <v/>
      </c>
      <c r="T472">
        <f>Calc!$EY$474</f>
        <v/>
      </c>
      <c r="U472">
        <f>Calc!$FT$474</f>
        <v/>
      </c>
      <c r="V472">
        <f>Calc!$FU$474</f>
        <v/>
      </c>
      <c r="W472">
        <f>Calc!$FC$474</f>
        <v/>
      </c>
      <c r="X472">
        <f>Calc!$EZ$474</f>
        <v/>
      </c>
      <c r="Y472">
        <f>Calc!$FA$474</f>
        <v/>
      </c>
      <c r="Z472">
        <f>Calc!$FV$474</f>
        <v/>
      </c>
      <c r="AA472">
        <f>IF($T472&lt;&gt;"row",0,IF($V472=1,IF($X472=1,IF($Y472=1,1,2),IF($Y472=1,3,4)),IF($X472=1,IF($Y472=1,5,6),IF($Y472=1,7,8))))</f>
        <v/>
      </c>
    </row>
    <row r="473" ht="11.25" customHeight="1">
      <c r="A473" s="64">
        <f>Calc!$FB$475</f>
        <v/>
      </c>
      <c r="B473" s="64">
        <f>Calc!$FC$475</f>
        <v/>
      </c>
      <c r="C473" s="65">
        <f>Calc!$FD$475</f>
        <v/>
      </c>
      <c r="D473" s="65">
        <f>Calc!$FE$475</f>
        <v/>
      </c>
      <c r="E473" s="65">
        <f>Calc!$FF$475</f>
        <v/>
      </c>
      <c r="F473" s="65">
        <f>Calc!$FG$475</f>
        <v/>
      </c>
      <c r="G473" s="65">
        <f>Calc!$FH$475</f>
        <v/>
      </c>
      <c r="H473" s="65">
        <f>Calc!$FI$475</f>
        <v/>
      </c>
      <c r="I473" s="65">
        <f>Calc!$FJ$475</f>
        <v/>
      </c>
      <c r="J473" s="65">
        <f>Calc!$FK$475</f>
        <v/>
      </c>
      <c r="K473" s="65">
        <f>Calc!$FL$475</f>
        <v/>
      </c>
      <c r="L473" s="65">
        <f>Calc!$FM$475</f>
        <v/>
      </c>
      <c r="M473" s="66">
        <f>Calc!$FN$475</f>
        <v/>
      </c>
      <c r="N473" s="66">
        <f>Calc!$FO$475</f>
        <v/>
      </c>
      <c r="O473" s="65">
        <f>Calc!$FP$475</f>
        <v/>
      </c>
      <c r="P473" s="67">
        <f>Calc!$FQ$475</f>
        <v/>
      </c>
      <c r="Q473" s="68">
        <f>Calc!$FR$475</f>
        <v/>
      </c>
      <c r="R473" s="65">
        <f>Calc!$FS$475</f>
        <v/>
      </c>
      <c r="T473">
        <f>Calc!$EY$475</f>
        <v/>
      </c>
      <c r="U473">
        <f>Calc!$FT$475</f>
        <v/>
      </c>
      <c r="V473">
        <f>Calc!$FU$475</f>
        <v/>
      </c>
      <c r="W473">
        <f>Calc!$FC$475</f>
        <v/>
      </c>
      <c r="X473">
        <f>Calc!$EZ$475</f>
        <v/>
      </c>
      <c r="Y473">
        <f>Calc!$FA$475</f>
        <v/>
      </c>
      <c r="Z473">
        <f>Calc!$FV$475</f>
        <v/>
      </c>
      <c r="AA473">
        <f>IF($T473&lt;&gt;"row",0,IF($V473=1,IF($X473=1,IF($Y473=1,1,2),IF($Y473=1,3,4)),IF($X473=1,IF($Y473=1,5,6),IF($Y473=1,7,8))))</f>
        <v/>
      </c>
    </row>
    <row r="474" ht="11.25" customHeight="1">
      <c r="A474" s="64">
        <f>Calc!$FB$476</f>
        <v/>
      </c>
      <c r="B474" s="64">
        <f>Calc!$FC$476</f>
        <v/>
      </c>
      <c r="C474" s="65">
        <f>Calc!$FD$476</f>
        <v/>
      </c>
      <c r="D474" s="65">
        <f>Calc!$FE$476</f>
        <v/>
      </c>
      <c r="E474" s="65">
        <f>Calc!$FF$476</f>
        <v/>
      </c>
      <c r="F474" s="65">
        <f>Calc!$FG$476</f>
        <v/>
      </c>
      <c r="G474" s="65">
        <f>Calc!$FH$476</f>
        <v/>
      </c>
      <c r="H474" s="65">
        <f>Calc!$FI$476</f>
        <v/>
      </c>
      <c r="I474" s="65">
        <f>Calc!$FJ$476</f>
        <v/>
      </c>
      <c r="J474" s="65">
        <f>Calc!$FK$476</f>
        <v/>
      </c>
      <c r="K474" s="65">
        <f>Calc!$FL$476</f>
        <v/>
      </c>
      <c r="L474" s="65">
        <f>Calc!$FM$476</f>
        <v/>
      </c>
      <c r="M474" s="66">
        <f>Calc!$FN$476</f>
        <v/>
      </c>
      <c r="N474" s="66">
        <f>Calc!$FO$476</f>
        <v/>
      </c>
      <c r="O474" s="65">
        <f>Calc!$FP$476</f>
        <v/>
      </c>
      <c r="P474" s="67">
        <f>Calc!$FQ$476</f>
        <v/>
      </c>
      <c r="Q474" s="68">
        <f>Calc!$FR$476</f>
        <v/>
      </c>
      <c r="R474" s="65">
        <f>Calc!$FS$476</f>
        <v/>
      </c>
      <c r="T474">
        <f>Calc!$EY$476</f>
        <v/>
      </c>
      <c r="U474">
        <f>Calc!$FT$476</f>
        <v/>
      </c>
      <c r="V474">
        <f>Calc!$FU$476</f>
        <v/>
      </c>
      <c r="W474">
        <f>Calc!$FC$476</f>
        <v/>
      </c>
      <c r="X474">
        <f>Calc!$EZ$476</f>
        <v/>
      </c>
      <c r="Y474">
        <f>Calc!$FA$476</f>
        <v/>
      </c>
      <c r="Z474">
        <f>Calc!$FV$476</f>
        <v/>
      </c>
      <c r="AA474">
        <f>IF($T474&lt;&gt;"row",0,IF($V474=1,IF($X474=1,IF($Y474=1,1,2),IF($Y474=1,3,4)),IF($X474=1,IF($Y474=1,5,6),IF($Y474=1,7,8))))</f>
        <v/>
      </c>
    </row>
    <row r="475" ht="11.25" customHeight="1">
      <c r="A475" s="64">
        <f>Calc!$FB$477</f>
        <v/>
      </c>
      <c r="B475" s="64">
        <f>Calc!$FC$477</f>
        <v/>
      </c>
      <c r="C475" s="65">
        <f>Calc!$FD$477</f>
        <v/>
      </c>
      <c r="D475" s="65">
        <f>Calc!$FE$477</f>
        <v/>
      </c>
      <c r="E475" s="65">
        <f>Calc!$FF$477</f>
        <v/>
      </c>
      <c r="F475" s="65">
        <f>Calc!$FG$477</f>
        <v/>
      </c>
      <c r="G475" s="65">
        <f>Calc!$FH$477</f>
        <v/>
      </c>
      <c r="H475" s="65">
        <f>Calc!$FI$477</f>
        <v/>
      </c>
      <c r="I475" s="65">
        <f>Calc!$FJ$477</f>
        <v/>
      </c>
      <c r="J475" s="65">
        <f>Calc!$FK$477</f>
        <v/>
      </c>
      <c r="K475" s="65">
        <f>Calc!$FL$477</f>
        <v/>
      </c>
      <c r="L475" s="65">
        <f>Calc!$FM$477</f>
        <v/>
      </c>
      <c r="M475" s="66">
        <f>Calc!$FN$477</f>
        <v/>
      </c>
      <c r="N475" s="66">
        <f>Calc!$FO$477</f>
        <v/>
      </c>
      <c r="O475" s="65">
        <f>Calc!$FP$477</f>
        <v/>
      </c>
      <c r="P475" s="67">
        <f>Calc!$FQ$477</f>
        <v/>
      </c>
      <c r="Q475" s="68">
        <f>Calc!$FR$477</f>
        <v/>
      </c>
      <c r="R475" s="65">
        <f>Calc!$FS$477</f>
        <v/>
      </c>
      <c r="T475">
        <f>Calc!$EY$477</f>
        <v/>
      </c>
      <c r="U475">
        <f>Calc!$FT$477</f>
        <v/>
      </c>
      <c r="V475">
        <f>Calc!$FU$477</f>
        <v/>
      </c>
      <c r="W475">
        <f>Calc!$FC$477</f>
        <v/>
      </c>
      <c r="X475">
        <f>Calc!$EZ$477</f>
        <v/>
      </c>
      <c r="Y475">
        <f>Calc!$FA$477</f>
        <v/>
      </c>
      <c r="Z475">
        <f>Calc!$FV$477</f>
        <v/>
      </c>
      <c r="AA475">
        <f>IF($T475&lt;&gt;"row",0,IF($V475=1,IF($X475=1,IF($Y475=1,1,2),IF($Y475=1,3,4)),IF($X475=1,IF($Y475=1,5,6),IF($Y475=1,7,8))))</f>
        <v/>
      </c>
    </row>
    <row r="476" ht="11.25" customHeight="1">
      <c r="A476" s="64">
        <f>Calc!$FB$478</f>
        <v/>
      </c>
      <c r="B476" s="64">
        <f>Calc!$FC$478</f>
        <v/>
      </c>
      <c r="C476" s="65">
        <f>Calc!$FD$478</f>
        <v/>
      </c>
      <c r="D476" s="65">
        <f>Calc!$FE$478</f>
        <v/>
      </c>
      <c r="E476" s="65">
        <f>Calc!$FF$478</f>
        <v/>
      </c>
      <c r="F476" s="65">
        <f>Calc!$FG$478</f>
        <v/>
      </c>
      <c r="G476" s="65">
        <f>Calc!$FH$478</f>
        <v/>
      </c>
      <c r="H476" s="65">
        <f>Calc!$FI$478</f>
        <v/>
      </c>
      <c r="I476" s="65">
        <f>Calc!$FJ$478</f>
        <v/>
      </c>
      <c r="J476" s="65">
        <f>Calc!$FK$478</f>
        <v/>
      </c>
      <c r="K476" s="65">
        <f>Calc!$FL$478</f>
        <v/>
      </c>
      <c r="L476" s="65">
        <f>Calc!$FM$478</f>
        <v/>
      </c>
      <c r="M476" s="66">
        <f>Calc!$FN$478</f>
        <v/>
      </c>
      <c r="N476" s="66">
        <f>Calc!$FO$478</f>
        <v/>
      </c>
      <c r="O476" s="65">
        <f>Calc!$FP$478</f>
        <v/>
      </c>
      <c r="P476" s="67">
        <f>Calc!$FQ$478</f>
        <v/>
      </c>
      <c r="Q476" s="68">
        <f>Calc!$FR$478</f>
        <v/>
      </c>
      <c r="R476" s="65">
        <f>Calc!$FS$478</f>
        <v/>
      </c>
      <c r="T476">
        <f>Calc!$EY$478</f>
        <v/>
      </c>
      <c r="U476">
        <f>Calc!$FT$478</f>
        <v/>
      </c>
      <c r="V476">
        <f>Calc!$FU$478</f>
        <v/>
      </c>
      <c r="W476">
        <f>Calc!$FC$478</f>
        <v/>
      </c>
      <c r="X476">
        <f>Calc!$EZ$478</f>
        <v/>
      </c>
      <c r="Y476">
        <f>Calc!$FA$478</f>
        <v/>
      </c>
      <c r="Z476">
        <f>Calc!$FV$478</f>
        <v/>
      </c>
      <c r="AA476">
        <f>IF($T476&lt;&gt;"row",0,IF($V476=1,IF($X476=1,IF($Y476=1,1,2),IF($Y476=1,3,4)),IF($X476=1,IF($Y476=1,5,6),IF($Y476=1,7,8))))</f>
        <v/>
      </c>
    </row>
    <row r="477" ht="11.25" customHeight="1">
      <c r="A477" s="64">
        <f>Calc!$FB$479</f>
        <v/>
      </c>
      <c r="B477" s="64">
        <f>Calc!$FC$479</f>
        <v/>
      </c>
      <c r="C477" s="65">
        <f>Calc!$FD$479</f>
        <v/>
      </c>
      <c r="D477" s="65">
        <f>Calc!$FE$479</f>
        <v/>
      </c>
      <c r="E477" s="65">
        <f>Calc!$FF$479</f>
        <v/>
      </c>
      <c r="F477" s="65">
        <f>Calc!$FG$479</f>
        <v/>
      </c>
      <c r="G477" s="65">
        <f>Calc!$FH$479</f>
        <v/>
      </c>
      <c r="H477" s="65">
        <f>Calc!$FI$479</f>
        <v/>
      </c>
      <c r="I477" s="65">
        <f>Calc!$FJ$479</f>
        <v/>
      </c>
      <c r="J477" s="65">
        <f>Calc!$FK$479</f>
        <v/>
      </c>
      <c r="K477" s="65">
        <f>Calc!$FL$479</f>
        <v/>
      </c>
      <c r="L477" s="65">
        <f>Calc!$FM$479</f>
        <v/>
      </c>
      <c r="M477" s="66">
        <f>Calc!$FN$479</f>
        <v/>
      </c>
      <c r="N477" s="66">
        <f>Calc!$FO$479</f>
        <v/>
      </c>
      <c r="O477" s="65">
        <f>Calc!$FP$479</f>
        <v/>
      </c>
      <c r="P477" s="67">
        <f>Calc!$FQ$479</f>
        <v/>
      </c>
      <c r="Q477" s="68">
        <f>Calc!$FR$479</f>
        <v/>
      </c>
      <c r="R477" s="65">
        <f>Calc!$FS$479</f>
        <v/>
      </c>
      <c r="T477">
        <f>Calc!$EY$479</f>
        <v/>
      </c>
      <c r="U477">
        <f>Calc!$FT$479</f>
        <v/>
      </c>
      <c r="V477">
        <f>Calc!$FU$479</f>
        <v/>
      </c>
      <c r="W477">
        <f>Calc!$FC$479</f>
        <v/>
      </c>
      <c r="X477">
        <f>Calc!$EZ$479</f>
        <v/>
      </c>
      <c r="Y477">
        <f>Calc!$FA$479</f>
        <v/>
      </c>
      <c r="Z477">
        <f>Calc!$FV$479</f>
        <v/>
      </c>
      <c r="AA477">
        <f>IF($T477&lt;&gt;"row",0,IF($V477=1,IF($X477=1,IF($Y477=1,1,2),IF($Y477=1,3,4)),IF($X477=1,IF($Y477=1,5,6),IF($Y477=1,7,8))))</f>
        <v/>
      </c>
    </row>
    <row r="478" ht="11.25" customHeight="1">
      <c r="A478" s="64">
        <f>Calc!$FB$480</f>
        <v/>
      </c>
      <c r="B478" s="64">
        <f>Calc!$FC$480</f>
        <v/>
      </c>
      <c r="C478" s="65">
        <f>Calc!$FD$480</f>
        <v/>
      </c>
      <c r="D478" s="65">
        <f>Calc!$FE$480</f>
        <v/>
      </c>
      <c r="E478" s="65">
        <f>Calc!$FF$480</f>
        <v/>
      </c>
      <c r="F478" s="65">
        <f>Calc!$FG$480</f>
        <v/>
      </c>
      <c r="G478" s="65">
        <f>Calc!$FH$480</f>
        <v/>
      </c>
      <c r="H478" s="65">
        <f>Calc!$FI$480</f>
        <v/>
      </c>
      <c r="I478" s="65">
        <f>Calc!$FJ$480</f>
        <v/>
      </c>
      <c r="J478" s="65">
        <f>Calc!$FK$480</f>
        <v/>
      </c>
      <c r="K478" s="65">
        <f>Calc!$FL$480</f>
        <v/>
      </c>
      <c r="L478" s="65">
        <f>Calc!$FM$480</f>
        <v/>
      </c>
      <c r="M478" s="66">
        <f>Calc!$FN$480</f>
        <v/>
      </c>
      <c r="N478" s="66">
        <f>Calc!$FO$480</f>
        <v/>
      </c>
      <c r="O478" s="65">
        <f>Calc!$FP$480</f>
        <v/>
      </c>
      <c r="P478" s="67">
        <f>Calc!$FQ$480</f>
        <v/>
      </c>
      <c r="Q478" s="68">
        <f>Calc!$FR$480</f>
        <v/>
      </c>
      <c r="R478" s="65">
        <f>Calc!$FS$480</f>
        <v/>
      </c>
      <c r="T478">
        <f>Calc!$EY$480</f>
        <v/>
      </c>
      <c r="U478">
        <f>Calc!$FT$480</f>
        <v/>
      </c>
      <c r="V478">
        <f>Calc!$FU$480</f>
        <v/>
      </c>
      <c r="W478">
        <f>Calc!$FC$480</f>
        <v/>
      </c>
      <c r="X478">
        <f>Calc!$EZ$480</f>
        <v/>
      </c>
      <c r="Y478">
        <f>Calc!$FA$480</f>
        <v/>
      </c>
      <c r="Z478">
        <f>Calc!$FV$480</f>
        <v/>
      </c>
      <c r="AA478">
        <f>IF($T478&lt;&gt;"row",0,IF($V478=1,IF($X478=1,IF($Y478=1,1,2),IF($Y478=1,3,4)),IF($X478=1,IF($Y478=1,5,6),IF($Y478=1,7,8))))</f>
        <v/>
      </c>
    </row>
    <row r="479" ht="11.25" customHeight="1">
      <c r="A479" s="64">
        <f>Calc!$FB$481</f>
        <v/>
      </c>
      <c r="B479" s="64">
        <f>Calc!$FC$481</f>
        <v/>
      </c>
      <c r="C479" s="65">
        <f>Calc!$FD$481</f>
        <v/>
      </c>
      <c r="D479" s="65">
        <f>Calc!$FE$481</f>
        <v/>
      </c>
      <c r="E479" s="65">
        <f>Calc!$FF$481</f>
        <v/>
      </c>
      <c r="F479" s="65">
        <f>Calc!$FG$481</f>
        <v/>
      </c>
      <c r="G479" s="65">
        <f>Calc!$FH$481</f>
        <v/>
      </c>
      <c r="H479" s="65">
        <f>Calc!$FI$481</f>
        <v/>
      </c>
      <c r="I479" s="65">
        <f>Calc!$FJ$481</f>
        <v/>
      </c>
      <c r="J479" s="65">
        <f>Calc!$FK$481</f>
        <v/>
      </c>
      <c r="K479" s="65">
        <f>Calc!$FL$481</f>
        <v/>
      </c>
      <c r="L479" s="65">
        <f>Calc!$FM$481</f>
        <v/>
      </c>
      <c r="M479" s="66">
        <f>Calc!$FN$481</f>
        <v/>
      </c>
      <c r="N479" s="66">
        <f>Calc!$FO$481</f>
        <v/>
      </c>
      <c r="O479" s="65">
        <f>Calc!$FP$481</f>
        <v/>
      </c>
      <c r="P479" s="67">
        <f>Calc!$FQ$481</f>
        <v/>
      </c>
      <c r="Q479" s="68">
        <f>Calc!$FR$481</f>
        <v/>
      </c>
      <c r="R479" s="65">
        <f>Calc!$FS$481</f>
        <v/>
      </c>
      <c r="T479">
        <f>Calc!$EY$481</f>
        <v/>
      </c>
      <c r="U479">
        <f>Calc!$FT$481</f>
        <v/>
      </c>
      <c r="V479">
        <f>Calc!$FU$481</f>
        <v/>
      </c>
      <c r="W479">
        <f>Calc!$FC$481</f>
        <v/>
      </c>
      <c r="X479">
        <f>Calc!$EZ$481</f>
        <v/>
      </c>
      <c r="Y479">
        <f>Calc!$FA$481</f>
        <v/>
      </c>
      <c r="Z479">
        <f>Calc!$FV$481</f>
        <v/>
      </c>
      <c r="AA479">
        <f>IF($T479&lt;&gt;"row",0,IF($V479=1,IF($X479=1,IF($Y479=1,1,2),IF($Y479=1,3,4)),IF($X479=1,IF($Y479=1,5,6),IF($Y479=1,7,8))))</f>
        <v/>
      </c>
    </row>
    <row r="480" ht="11.25" customHeight="1">
      <c r="A480" s="64">
        <f>Calc!$FB$482</f>
        <v/>
      </c>
      <c r="B480" s="64">
        <f>Calc!$FC$482</f>
        <v/>
      </c>
      <c r="C480" s="65">
        <f>Calc!$FD$482</f>
        <v/>
      </c>
      <c r="D480" s="65">
        <f>Calc!$FE$482</f>
        <v/>
      </c>
      <c r="E480" s="65">
        <f>Calc!$FF$482</f>
        <v/>
      </c>
      <c r="F480" s="65">
        <f>Calc!$FG$482</f>
        <v/>
      </c>
      <c r="G480" s="65">
        <f>Calc!$FH$482</f>
        <v/>
      </c>
      <c r="H480" s="65">
        <f>Calc!$FI$482</f>
        <v/>
      </c>
      <c r="I480" s="65">
        <f>Calc!$FJ$482</f>
        <v/>
      </c>
      <c r="J480" s="65">
        <f>Calc!$FK$482</f>
        <v/>
      </c>
      <c r="K480" s="65">
        <f>Calc!$FL$482</f>
        <v/>
      </c>
      <c r="L480" s="65">
        <f>Calc!$FM$482</f>
        <v/>
      </c>
      <c r="M480" s="66">
        <f>Calc!$FN$482</f>
        <v/>
      </c>
      <c r="N480" s="66">
        <f>Calc!$FO$482</f>
        <v/>
      </c>
      <c r="O480" s="65">
        <f>Calc!$FP$482</f>
        <v/>
      </c>
      <c r="P480" s="67">
        <f>Calc!$FQ$482</f>
        <v/>
      </c>
      <c r="Q480" s="68">
        <f>Calc!$FR$482</f>
        <v/>
      </c>
      <c r="R480" s="65">
        <f>Calc!$FS$482</f>
        <v/>
      </c>
      <c r="T480">
        <f>Calc!$EY$482</f>
        <v/>
      </c>
      <c r="U480">
        <f>Calc!$FT$482</f>
        <v/>
      </c>
      <c r="V480">
        <f>Calc!$FU$482</f>
        <v/>
      </c>
      <c r="W480">
        <f>Calc!$FC$482</f>
        <v/>
      </c>
      <c r="X480">
        <f>Calc!$EZ$482</f>
        <v/>
      </c>
      <c r="Y480">
        <f>Calc!$FA$482</f>
        <v/>
      </c>
      <c r="Z480">
        <f>Calc!$FV$482</f>
        <v/>
      </c>
      <c r="AA480">
        <f>IF($T480&lt;&gt;"row",0,IF($V480=1,IF($X480=1,IF($Y480=1,1,2),IF($Y480=1,3,4)),IF($X480=1,IF($Y480=1,5,6),IF($Y480=1,7,8))))</f>
        <v/>
      </c>
    </row>
    <row r="481" ht="11.25" customHeight="1">
      <c r="A481" s="64">
        <f>Calc!$FB$483</f>
        <v/>
      </c>
      <c r="B481" s="64">
        <f>Calc!$FC$483</f>
        <v/>
      </c>
      <c r="C481" s="65">
        <f>Calc!$FD$483</f>
        <v/>
      </c>
      <c r="D481" s="65">
        <f>Calc!$FE$483</f>
        <v/>
      </c>
      <c r="E481" s="65">
        <f>Calc!$FF$483</f>
        <v/>
      </c>
      <c r="F481" s="65">
        <f>Calc!$FG$483</f>
        <v/>
      </c>
      <c r="G481" s="65">
        <f>Calc!$FH$483</f>
        <v/>
      </c>
      <c r="H481" s="65">
        <f>Calc!$FI$483</f>
        <v/>
      </c>
      <c r="I481" s="65">
        <f>Calc!$FJ$483</f>
        <v/>
      </c>
      <c r="J481" s="65">
        <f>Calc!$FK$483</f>
        <v/>
      </c>
      <c r="K481" s="65">
        <f>Calc!$FL$483</f>
        <v/>
      </c>
      <c r="L481" s="65">
        <f>Calc!$FM$483</f>
        <v/>
      </c>
      <c r="M481" s="66">
        <f>Calc!$FN$483</f>
        <v/>
      </c>
      <c r="N481" s="66">
        <f>Calc!$FO$483</f>
        <v/>
      </c>
      <c r="O481" s="65">
        <f>Calc!$FP$483</f>
        <v/>
      </c>
      <c r="P481" s="67">
        <f>Calc!$FQ$483</f>
        <v/>
      </c>
      <c r="Q481" s="68">
        <f>Calc!$FR$483</f>
        <v/>
      </c>
      <c r="R481" s="65">
        <f>Calc!$FS$483</f>
        <v/>
      </c>
      <c r="T481">
        <f>Calc!$EY$483</f>
        <v/>
      </c>
      <c r="U481">
        <f>Calc!$FT$483</f>
        <v/>
      </c>
      <c r="V481">
        <f>Calc!$FU$483</f>
        <v/>
      </c>
      <c r="W481">
        <f>Calc!$FC$483</f>
        <v/>
      </c>
      <c r="X481">
        <f>Calc!$EZ$483</f>
        <v/>
      </c>
      <c r="Y481">
        <f>Calc!$FA$483</f>
        <v/>
      </c>
      <c r="Z481">
        <f>Calc!$FV$483</f>
        <v/>
      </c>
      <c r="AA481">
        <f>IF($T481&lt;&gt;"row",0,IF($V481=1,IF($X481=1,IF($Y481=1,1,2),IF($Y481=1,3,4)),IF($X481=1,IF($Y481=1,5,6),IF($Y481=1,7,8))))</f>
        <v/>
      </c>
    </row>
    <row r="482" ht="11.25" customHeight="1">
      <c r="A482" s="64">
        <f>Calc!$FB$484</f>
        <v/>
      </c>
      <c r="B482" s="64">
        <f>Calc!$FC$484</f>
        <v/>
      </c>
      <c r="C482" s="65">
        <f>Calc!$FD$484</f>
        <v/>
      </c>
      <c r="D482" s="65">
        <f>Calc!$FE$484</f>
        <v/>
      </c>
      <c r="E482" s="65">
        <f>Calc!$FF$484</f>
        <v/>
      </c>
      <c r="F482" s="65">
        <f>Calc!$FG$484</f>
        <v/>
      </c>
      <c r="G482" s="65">
        <f>Calc!$FH$484</f>
        <v/>
      </c>
      <c r="H482" s="65">
        <f>Calc!$FI$484</f>
        <v/>
      </c>
      <c r="I482" s="65">
        <f>Calc!$FJ$484</f>
        <v/>
      </c>
      <c r="J482" s="65">
        <f>Calc!$FK$484</f>
        <v/>
      </c>
      <c r="K482" s="65">
        <f>Calc!$FL$484</f>
        <v/>
      </c>
      <c r="L482" s="65">
        <f>Calc!$FM$484</f>
        <v/>
      </c>
      <c r="M482" s="66">
        <f>Calc!$FN$484</f>
        <v/>
      </c>
      <c r="N482" s="66">
        <f>Calc!$FO$484</f>
        <v/>
      </c>
      <c r="O482" s="65">
        <f>Calc!$FP$484</f>
        <v/>
      </c>
      <c r="P482" s="67">
        <f>Calc!$FQ$484</f>
        <v/>
      </c>
      <c r="Q482" s="68">
        <f>Calc!$FR$484</f>
        <v/>
      </c>
      <c r="R482" s="65">
        <f>Calc!$FS$484</f>
        <v/>
      </c>
      <c r="T482">
        <f>Calc!$EY$484</f>
        <v/>
      </c>
      <c r="U482">
        <f>Calc!$FT$484</f>
        <v/>
      </c>
      <c r="V482">
        <f>Calc!$FU$484</f>
        <v/>
      </c>
      <c r="W482">
        <f>Calc!$FC$484</f>
        <v/>
      </c>
      <c r="X482">
        <f>Calc!$EZ$484</f>
        <v/>
      </c>
      <c r="Y482">
        <f>Calc!$FA$484</f>
        <v/>
      </c>
      <c r="Z482">
        <f>Calc!$FV$484</f>
        <v/>
      </c>
      <c r="AA482">
        <f>IF($T482&lt;&gt;"row",0,IF($V482=1,IF($X482=1,IF($Y482=1,1,2),IF($Y482=1,3,4)),IF($X482=1,IF($Y482=1,5,6),IF($Y482=1,7,8))))</f>
        <v/>
      </c>
    </row>
    <row r="483" ht="11.25" customHeight="1">
      <c r="A483" s="64">
        <f>Calc!$FB$485</f>
        <v/>
      </c>
      <c r="B483" s="64">
        <f>Calc!$FC$485</f>
        <v/>
      </c>
      <c r="C483" s="65">
        <f>Calc!$FD$485</f>
        <v/>
      </c>
      <c r="D483" s="65">
        <f>Calc!$FE$485</f>
        <v/>
      </c>
      <c r="E483" s="65">
        <f>Calc!$FF$485</f>
        <v/>
      </c>
      <c r="F483" s="65">
        <f>Calc!$FG$485</f>
        <v/>
      </c>
      <c r="G483" s="65">
        <f>Calc!$FH$485</f>
        <v/>
      </c>
      <c r="H483" s="65">
        <f>Calc!$FI$485</f>
        <v/>
      </c>
      <c r="I483" s="65">
        <f>Calc!$FJ$485</f>
        <v/>
      </c>
      <c r="J483" s="65">
        <f>Calc!$FK$485</f>
        <v/>
      </c>
      <c r="K483" s="65">
        <f>Calc!$FL$485</f>
        <v/>
      </c>
      <c r="L483" s="65">
        <f>Calc!$FM$485</f>
        <v/>
      </c>
      <c r="M483" s="66">
        <f>Calc!$FN$485</f>
        <v/>
      </c>
      <c r="N483" s="66">
        <f>Calc!$FO$485</f>
        <v/>
      </c>
      <c r="O483" s="65">
        <f>Calc!$FP$485</f>
        <v/>
      </c>
      <c r="P483" s="67">
        <f>Calc!$FQ$485</f>
        <v/>
      </c>
      <c r="Q483" s="68">
        <f>Calc!$FR$485</f>
        <v/>
      </c>
      <c r="R483" s="65">
        <f>Calc!$FS$485</f>
        <v/>
      </c>
      <c r="T483">
        <f>Calc!$EY$485</f>
        <v/>
      </c>
      <c r="U483">
        <f>Calc!$FT$485</f>
        <v/>
      </c>
      <c r="V483">
        <f>Calc!$FU$485</f>
        <v/>
      </c>
      <c r="W483">
        <f>Calc!$FC$485</f>
        <v/>
      </c>
      <c r="X483">
        <f>Calc!$EZ$485</f>
        <v/>
      </c>
      <c r="Y483">
        <f>Calc!$FA$485</f>
        <v/>
      </c>
      <c r="Z483">
        <f>Calc!$FV$485</f>
        <v/>
      </c>
      <c r="AA483">
        <f>IF($T483&lt;&gt;"row",0,IF($V483=1,IF($X483=1,IF($Y483=1,1,2),IF($Y483=1,3,4)),IF($X483=1,IF($Y483=1,5,6),IF($Y483=1,7,8))))</f>
        <v/>
      </c>
    </row>
    <row r="484" ht="11.25" customHeight="1">
      <c r="A484" s="64">
        <f>Calc!$FB$486</f>
        <v/>
      </c>
      <c r="B484" s="64">
        <f>Calc!$FC$486</f>
        <v/>
      </c>
      <c r="C484" s="65">
        <f>Calc!$FD$486</f>
        <v/>
      </c>
      <c r="D484" s="65">
        <f>Calc!$FE$486</f>
        <v/>
      </c>
      <c r="E484" s="65">
        <f>Calc!$FF$486</f>
        <v/>
      </c>
      <c r="F484" s="65">
        <f>Calc!$FG$486</f>
        <v/>
      </c>
      <c r="G484" s="65">
        <f>Calc!$FH$486</f>
        <v/>
      </c>
      <c r="H484" s="65">
        <f>Calc!$FI$486</f>
        <v/>
      </c>
      <c r="I484" s="65">
        <f>Calc!$FJ$486</f>
        <v/>
      </c>
      <c r="J484" s="65">
        <f>Calc!$FK$486</f>
        <v/>
      </c>
      <c r="K484" s="65">
        <f>Calc!$FL$486</f>
        <v/>
      </c>
      <c r="L484" s="65">
        <f>Calc!$FM$486</f>
        <v/>
      </c>
      <c r="M484" s="66">
        <f>Calc!$FN$486</f>
        <v/>
      </c>
      <c r="N484" s="66">
        <f>Calc!$FO$486</f>
        <v/>
      </c>
      <c r="O484" s="65">
        <f>Calc!$FP$486</f>
        <v/>
      </c>
      <c r="P484" s="67">
        <f>Calc!$FQ$486</f>
        <v/>
      </c>
      <c r="Q484" s="68">
        <f>Calc!$FR$486</f>
        <v/>
      </c>
      <c r="R484" s="65">
        <f>Calc!$FS$486</f>
        <v/>
      </c>
      <c r="T484">
        <f>Calc!$EY$486</f>
        <v/>
      </c>
      <c r="U484">
        <f>Calc!$FT$486</f>
        <v/>
      </c>
      <c r="V484">
        <f>Calc!$FU$486</f>
        <v/>
      </c>
      <c r="W484">
        <f>Calc!$FC$486</f>
        <v/>
      </c>
      <c r="X484">
        <f>Calc!$EZ$486</f>
        <v/>
      </c>
      <c r="Y484">
        <f>Calc!$FA$486</f>
        <v/>
      </c>
      <c r="Z484">
        <f>Calc!$FV$486</f>
        <v/>
      </c>
      <c r="AA484">
        <f>IF($T484&lt;&gt;"row",0,IF($V484=1,IF($X484=1,IF($Y484=1,1,2),IF($Y484=1,3,4)),IF($X484=1,IF($Y484=1,5,6),IF($Y484=1,7,8))))</f>
        <v/>
      </c>
    </row>
    <row r="485" ht="11.25" customHeight="1">
      <c r="A485" s="64">
        <f>Calc!$FB$487</f>
        <v/>
      </c>
      <c r="B485" s="64">
        <f>Calc!$FC$487</f>
        <v/>
      </c>
      <c r="C485" s="65">
        <f>Calc!$FD$487</f>
        <v/>
      </c>
      <c r="D485" s="65">
        <f>Calc!$FE$487</f>
        <v/>
      </c>
      <c r="E485" s="65">
        <f>Calc!$FF$487</f>
        <v/>
      </c>
      <c r="F485" s="65">
        <f>Calc!$FG$487</f>
        <v/>
      </c>
      <c r="G485" s="65">
        <f>Calc!$FH$487</f>
        <v/>
      </c>
      <c r="H485" s="65">
        <f>Calc!$FI$487</f>
        <v/>
      </c>
      <c r="I485" s="65">
        <f>Calc!$FJ$487</f>
        <v/>
      </c>
      <c r="J485" s="65">
        <f>Calc!$FK$487</f>
        <v/>
      </c>
      <c r="K485" s="65">
        <f>Calc!$FL$487</f>
        <v/>
      </c>
      <c r="L485" s="65">
        <f>Calc!$FM$487</f>
        <v/>
      </c>
      <c r="M485" s="66">
        <f>Calc!$FN$487</f>
        <v/>
      </c>
      <c r="N485" s="66">
        <f>Calc!$FO$487</f>
        <v/>
      </c>
      <c r="O485" s="65">
        <f>Calc!$FP$487</f>
        <v/>
      </c>
      <c r="P485" s="67">
        <f>Calc!$FQ$487</f>
        <v/>
      </c>
      <c r="Q485" s="68">
        <f>Calc!$FR$487</f>
        <v/>
      </c>
      <c r="R485" s="65">
        <f>Calc!$FS$487</f>
        <v/>
      </c>
      <c r="T485">
        <f>Calc!$EY$487</f>
        <v/>
      </c>
      <c r="U485">
        <f>Calc!$FT$487</f>
        <v/>
      </c>
      <c r="V485">
        <f>Calc!$FU$487</f>
        <v/>
      </c>
      <c r="W485">
        <f>Calc!$FC$487</f>
        <v/>
      </c>
      <c r="X485">
        <f>Calc!$EZ$487</f>
        <v/>
      </c>
      <c r="Y485">
        <f>Calc!$FA$487</f>
        <v/>
      </c>
      <c r="Z485">
        <f>Calc!$FV$487</f>
        <v/>
      </c>
      <c r="AA485">
        <f>IF($T485&lt;&gt;"row",0,IF($V485=1,IF($X485=1,IF($Y485=1,1,2),IF($Y485=1,3,4)),IF($X485=1,IF($Y485=1,5,6),IF($Y485=1,7,8))))</f>
        <v/>
      </c>
    </row>
    <row r="486" ht="11.25" customHeight="1">
      <c r="A486" s="64">
        <f>Calc!$FB$488</f>
        <v/>
      </c>
      <c r="B486" s="64">
        <f>Calc!$FC$488</f>
        <v/>
      </c>
      <c r="C486" s="65">
        <f>Calc!$FD$488</f>
        <v/>
      </c>
      <c r="D486" s="65">
        <f>Calc!$FE$488</f>
        <v/>
      </c>
      <c r="E486" s="65">
        <f>Calc!$FF$488</f>
        <v/>
      </c>
      <c r="F486" s="65">
        <f>Calc!$FG$488</f>
        <v/>
      </c>
      <c r="G486" s="65">
        <f>Calc!$FH$488</f>
        <v/>
      </c>
      <c r="H486" s="65">
        <f>Calc!$FI$488</f>
        <v/>
      </c>
      <c r="I486" s="65">
        <f>Calc!$FJ$488</f>
        <v/>
      </c>
      <c r="J486" s="65">
        <f>Calc!$FK$488</f>
        <v/>
      </c>
      <c r="K486" s="65">
        <f>Calc!$FL$488</f>
        <v/>
      </c>
      <c r="L486" s="65">
        <f>Calc!$FM$488</f>
        <v/>
      </c>
      <c r="M486" s="66">
        <f>Calc!$FN$488</f>
        <v/>
      </c>
      <c r="N486" s="66">
        <f>Calc!$FO$488</f>
        <v/>
      </c>
      <c r="O486" s="65">
        <f>Calc!$FP$488</f>
        <v/>
      </c>
      <c r="P486" s="67">
        <f>Calc!$FQ$488</f>
        <v/>
      </c>
      <c r="Q486" s="68">
        <f>Calc!$FR$488</f>
        <v/>
      </c>
      <c r="R486" s="65">
        <f>Calc!$FS$488</f>
        <v/>
      </c>
      <c r="T486">
        <f>Calc!$EY$488</f>
        <v/>
      </c>
      <c r="U486">
        <f>Calc!$FT$488</f>
        <v/>
      </c>
      <c r="V486">
        <f>Calc!$FU$488</f>
        <v/>
      </c>
      <c r="W486">
        <f>Calc!$FC$488</f>
        <v/>
      </c>
      <c r="X486">
        <f>Calc!$EZ$488</f>
        <v/>
      </c>
      <c r="Y486">
        <f>Calc!$FA$488</f>
        <v/>
      </c>
      <c r="Z486">
        <f>Calc!$FV$488</f>
        <v/>
      </c>
      <c r="AA486">
        <f>IF($T486&lt;&gt;"row",0,IF($V486=1,IF($X486=1,IF($Y486=1,1,2),IF($Y486=1,3,4)),IF($X486=1,IF($Y486=1,5,6),IF($Y486=1,7,8))))</f>
        <v/>
      </c>
    </row>
    <row r="487" ht="11.25" customHeight="1">
      <c r="A487" s="64">
        <f>Calc!$FB$489</f>
        <v/>
      </c>
      <c r="B487" s="64">
        <f>Calc!$FC$489</f>
        <v/>
      </c>
      <c r="C487" s="65">
        <f>Calc!$FD$489</f>
        <v/>
      </c>
      <c r="D487" s="65">
        <f>Calc!$FE$489</f>
        <v/>
      </c>
      <c r="E487" s="65">
        <f>Calc!$FF$489</f>
        <v/>
      </c>
      <c r="F487" s="65">
        <f>Calc!$FG$489</f>
        <v/>
      </c>
      <c r="G487" s="65">
        <f>Calc!$FH$489</f>
        <v/>
      </c>
      <c r="H487" s="65">
        <f>Calc!$FI$489</f>
        <v/>
      </c>
      <c r="I487" s="65">
        <f>Calc!$FJ$489</f>
        <v/>
      </c>
      <c r="J487" s="65">
        <f>Calc!$FK$489</f>
        <v/>
      </c>
      <c r="K487" s="65">
        <f>Calc!$FL$489</f>
        <v/>
      </c>
      <c r="L487" s="65">
        <f>Calc!$FM$489</f>
        <v/>
      </c>
      <c r="M487" s="66">
        <f>Calc!$FN$489</f>
        <v/>
      </c>
      <c r="N487" s="66">
        <f>Calc!$FO$489</f>
        <v/>
      </c>
      <c r="O487" s="65">
        <f>Calc!$FP$489</f>
        <v/>
      </c>
      <c r="P487" s="67">
        <f>Calc!$FQ$489</f>
        <v/>
      </c>
      <c r="Q487" s="68">
        <f>Calc!$FR$489</f>
        <v/>
      </c>
      <c r="R487" s="65">
        <f>Calc!$FS$489</f>
        <v/>
      </c>
      <c r="T487">
        <f>Calc!$EY$489</f>
        <v/>
      </c>
      <c r="U487">
        <f>Calc!$FT$489</f>
        <v/>
      </c>
      <c r="V487">
        <f>Calc!$FU$489</f>
        <v/>
      </c>
      <c r="W487">
        <f>Calc!$FC$489</f>
        <v/>
      </c>
      <c r="X487">
        <f>Calc!$EZ$489</f>
        <v/>
      </c>
      <c r="Y487">
        <f>Calc!$FA$489</f>
        <v/>
      </c>
      <c r="Z487">
        <f>Calc!$FV$489</f>
        <v/>
      </c>
      <c r="AA487">
        <f>IF($T487&lt;&gt;"row",0,IF($V487=1,IF($X487=1,IF($Y487=1,1,2),IF($Y487=1,3,4)),IF($X487=1,IF($Y487=1,5,6),IF($Y487=1,7,8))))</f>
        <v/>
      </c>
    </row>
    <row r="488" ht="11.25" customHeight="1">
      <c r="A488" s="64">
        <f>Calc!$FB$490</f>
        <v/>
      </c>
      <c r="B488" s="64">
        <f>Calc!$FC$490</f>
        <v/>
      </c>
      <c r="C488" s="65">
        <f>Calc!$FD$490</f>
        <v/>
      </c>
      <c r="D488" s="65">
        <f>Calc!$FE$490</f>
        <v/>
      </c>
      <c r="E488" s="65">
        <f>Calc!$FF$490</f>
        <v/>
      </c>
      <c r="F488" s="65">
        <f>Calc!$FG$490</f>
        <v/>
      </c>
      <c r="G488" s="65">
        <f>Calc!$FH$490</f>
        <v/>
      </c>
      <c r="H488" s="65">
        <f>Calc!$FI$490</f>
        <v/>
      </c>
      <c r="I488" s="65">
        <f>Calc!$FJ$490</f>
        <v/>
      </c>
      <c r="J488" s="65">
        <f>Calc!$FK$490</f>
        <v/>
      </c>
      <c r="K488" s="65">
        <f>Calc!$FL$490</f>
        <v/>
      </c>
      <c r="L488" s="65">
        <f>Calc!$FM$490</f>
        <v/>
      </c>
      <c r="M488" s="66">
        <f>Calc!$FN$490</f>
        <v/>
      </c>
      <c r="N488" s="66">
        <f>Calc!$FO$490</f>
        <v/>
      </c>
      <c r="O488" s="65">
        <f>Calc!$FP$490</f>
        <v/>
      </c>
      <c r="P488" s="67">
        <f>Calc!$FQ$490</f>
        <v/>
      </c>
      <c r="Q488" s="68">
        <f>Calc!$FR$490</f>
        <v/>
      </c>
      <c r="R488" s="65">
        <f>Calc!$FS$490</f>
        <v/>
      </c>
      <c r="T488">
        <f>Calc!$EY$490</f>
        <v/>
      </c>
      <c r="U488">
        <f>Calc!$FT$490</f>
        <v/>
      </c>
      <c r="V488">
        <f>Calc!$FU$490</f>
        <v/>
      </c>
      <c r="W488">
        <f>Calc!$FC$490</f>
        <v/>
      </c>
      <c r="X488">
        <f>Calc!$EZ$490</f>
        <v/>
      </c>
      <c r="Y488">
        <f>Calc!$FA$490</f>
        <v/>
      </c>
      <c r="Z488">
        <f>Calc!$FV$490</f>
        <v/>
      </c>
      <c r="AA488">
        <f>IF($T488&lt;&gt;"row",0,IF($V488=1,IF($X488=1,IF($Y488=1,1,2),IF($Y488=1,3,4)),IF($X488=1,IF($Y488=1,5,6),IF($Y488=1,7,8))))</f>
        <v/>
      </c>
    </row>
    <row r="489" ht="11.25" customHeight="1">
      <c r="A489" s="64">
        <f>Calc!$FB$491</f>
        <v/>
      </c>
      <c r="B489" s="64">
        <f>Calc!$FC$491</f>
        <v/>
      </c>
      <c r="C489" s="65">
        <f>Calc!$FD$491</f>
        <v/>
      </c>
      <c r="D489" s="65">
        <f>Calc!$FE$491</f>
        <v/>
      </c>
      <c r="E489" s="65">
        <f>Calc!$FF$491</f>
        <v/>
      </c>
      <c r="F489" s="65">
        <f>Calc!$FG$491</f>
        <v/>
      </c>
      <c r="G489" s="65">
        <f>Calc!$FH$491</f>
        <v/>
      </c>
      <c r="H489" s="65">
        <f>Calc!$FI$491</f>
        <v/>
      </c>
      <c r="I489" s="65">
        <f>Calc!$FJ$491</f>
        <v/>
      </c>
      <c r="J489" s="65">
        <f>Calc!$FK$491</f>
        <v/>
      </c>
      <c r="K489" s="65">
        <f>Calc!$FL$491</f>
        <v/>
      </c>
      <c r="L489" s="65">
        <f>Calc!$FM$491</f>
        <v/>
      </c>
      <c r="M489" s="66">
        <f>Calc!$FN$491</f>
        <v/>
      </c>
      <c r="N489" s="66">
        <f>Calc!$FO$491</f>
        <v/>
      </c>
      <c r="O489" s="65">
        <f>Calc!$FP$491</f>
        <v/>
      </c>
      <c r="P489" s="67">
        <f>Calc!$FQ$491</f>
        <v/>
      </c>
      <c r="Q489" s="68">
        <f>Calc!$FR$491</f>
        <v/>
      </c>
      <c r="R489" s="65">
        <f>Calc!$FS$491</f>
        <v/>
      </c>
      <c r="T489">
        <f>Calc!$EY$491</f>
        <v/>
      </c>
      <c r="U489">
        <f>Calc!$FT$491</f>
        <v/>
      </c>
      <c r="V489">
        <f>Calc!$FU$491</f>
        <v/>
      </c>
      <c r="W489">
        <f>Calc!$FC$491</f>
        <v/>
      </c>
      <c r="X489">
        <f>Calc!$EZ$491</f>
        <v/>
      </c>
      <c r="Y489">
        <f>Calc!$FA$491</f>
        <v/>
      </c>
      <c r="Z489">
        <f>Calc!$FV$491</f>
        <v/>
      </c>
      <c r="AA489">
        <f>IF($T489&lt;&gt;"row",0,IF($V489=1,IF($X489=1,IF($Y489=1,1,2),IF($Y489=1,3,4)),IF($X489=1,IF($Y489=1,5,6),IF($Y489=1,7,8))))</f>
        <v/>
      </c>
    </row>
    <row r="490" ht="11.25" customHeight="1">
      <c r="A490" s="64">
        <f>Calc!$FB$492</f>
        <v/>
      </c>
      <c r="B490" s="64">
        <f>Calc!$FC$492</f>
        <v/>
      </c>
      <c r="C490" s="65">
        <f>Calc!$FD$492</f>
        <v/>
      </c>
      <c r="D490" s="65">
        <f>Calc!$FE$492</f>
        <v/>
      </c>
      <c r="E490" s="65">
        <f>Calc!$FF$492</f>
        <v/>
      </c>
      <c r="F490" s="65">
        <f>Calc!$FG$492</f>
        <v/>
      </c>
      <c r="G490" s="65">
        <f>Calc!$FH$492</f>
        <v/>
      </c>
      <c r="H490" s="65">
        <f>Calc!$FI$492</f>
        <v/>
      </c>
      <c r="I490" s="65">
        <f>Calc!$FJ$492</f>
        <v/>
      </c>
      <c r="J490" s="65">
        <f>Calc!$FK$492</f>
        <v/>
      </c>
      <c r="K490" s="65">
        <f>Calc!$FL$492</f>
        <v/>
      </c>
      <c r="L490" s="65">
        <f>Calc!$FM$492</f>
        <v/>
      </c>
      <c r="M490" s="66">
        <f>Calc!$FN$492</f>
        <v/>
      </c>
      <c r="N490" s="66">
        <f>Calc!$FO$492</f>
        <v/>
      </c>
      <c r="O490" s="65">
        <f>Calc!$FP$492</f>
        <v/>
      </c>
      <c r="P490" s="67">
        <f>Calc!$FQ$492</f>
        <v/>
      </c>
      <c r="Q490" s="68">
        <f>Calc!$FR$492</f>
        <v/>
      </c>
      <c r="R490" s="65">
        <f>Calc!$FS$492</f>
        <v/>
      </c>
      <c r="T490">
        <f>Calc!$EY$492</f>
        <v/>
      </c>
      <c r="U490">
        <f>Calc!$FT$492</f>
        <v/>
      </c>
      <c r="V490">
        <f>Calc!$FU$492</f>
        <v/>
      </c>
      <c r="W490">
        <f>Calc!$FC$492</f>
        <v/>
      </c>
      <c r="X490">
        <f>Calc!$EZ$492</f>
        <v/>
      </c>
      <c r="Y490">
        <f>Calc!$FA$492</f>
        <v/>
      </c>
      <c r="Z490">
        <f>Calc!$FV$492</f>
        <v/>
      </c>
      <c r="AA490">
        <f>IF($T490&lt;&gt;"row",0,IF($V490=1,IF($X490=1,IF($Y490=1,1,2),IF($Y490=1,3,4)),IF($X490=1,IF($Y490=1,5,6),IF($Y490=1,7,8))))</f>
        <v/>
      </c>
    </row>
    <row r="491" ht="11.25" customHeight="1">
      <c r="A491" s="64">
        <f>Calc!$FB$493</f>
        <v/>
      </c>
      <c r="B491" s="64">
        <f>Calc!$FC$493</f>
        <v/>
      </c>
      <c r="C491" s="65">
        <f>Calc!$FD$493</f>
        <v/>
      </c>
      <c r="D491" s="65">
        <f>Calc!$FE$493</f>
        <v/>
      </c>
      <c r="E491" s="65">
        <f>Calc!$FF$493</f>
        <v/>
      </c>
      <c r="F491" s="65">
        <f>Calc!$FG$493</f>
        <v/>
      </c>
      <c r="G491" s="65">
        <f>Calc!$FH$493</f>
        <v/>
      </c>
      <c r="H491" s="65">
        <f>Calc!$FI$493</f>
        <v/>
      </c>
      <c r="I491" s="65">
        <f>Calc!$FJ$493</f>
        <v/>
      </c>
      <c r="J491" s="65">
        <f>Calc!$FK$493</f>
        <v/>
      </c>
      <c r="K491" s="65">
        <f>Calc!$FL$493</f>
        <v/>
      </c>
      <c r="L491" s="65">
        <f>Calc!$FM$493</f>
        <v/>
      </c>
      <c r="M491" s="66">
        <f>Calc!$FN$493</f>
        <v/>
      </c>
      <c r="N491" s="66">
        <f>Calc!$FO$493</f>
        <v/>
      </c>
      <c r="O491" s="65">
        <f>Calc!$FP$493</f>
        <v/>
      </c>
      <c r="P491" s="67">
        <f>Calc!$FQ$493</f>
        <v/>
      </c>
      <c r="Q491" s="68">
        <f>Calc!$FR$493</f>
        <v/>
      </c>
      <c r="R491" s="65">
        <f>Calc!$FS$493</f>
        <v/>
      </c>
      <c r="T491">
        <f>Calc!$EY$493</f>
        <v/>
      </c>
      <c r="U491">
        <f>Calc!$FT$493</f>
        <v/>
      </c>
      <c r="V491">
        <f>Calc!$FU$493</f>
        <v/>
      </c>
      <c r="W491">
        <f>Calc!$FC$493</f>
        <v/>
      </c>
      <c r="X491">
        <f>Calc!$EZ$493</f>
        <v/>
      </c>
      <c r="Y491">
        <f>Calc!$FA$493</f>
        <v/>
      </c>
      <c r="Z491">
        <f>Calc!$FV$493</f>
        <v/>
      </c>
      <c r="AA491">
        <f>IF($T491&lt;&gt;"row",0,IF($V491=1,IF($X491=1,IF($Y491=1,1,2),IF($Y491=1,3,4)),IF($X491=1,IF($Y491=1,5,6),IF($Y491=1,7,8))))</f>
        <v/>
      </c>
    </row>
    <row r="492" ht="11.25" customHeight="1">
      <c r="A492" s="64">
        <f>Calc!$FB$494</f>
        <v/>
      </c>
      <c r="B492" s="64">
        <f>Calc!$FC$494</f>
        <v/>
      </c>
      <c r="C492" s="65">
        <f>Calc!$FD$494</f>
        <v/>
      </c>
      <c r="D492" s="65">
        <f>Calc!$FE$494</f>
        <v/>
      </c>
      <c r="E492" s="65">
        <f>Calc!$FF$494</f>
        <v/>
      </c>
      <c r="F492" s="65">
        <f>Calc!$FG$494</f>
        <v/>
      </c>
      <c r="G492" s="65">
        <f>Calc!$FH$494</f>
        <v/>
      </c>
      <c r="H492" s="65">
        <f>Calc!$FI$494</f>
        <v/>
      </c>
      <c r="I492" s="65">
        <f>Calc!$FJ$494</f>
        <v/>
      </c>
      <c r="J492" s="65">
        <f>Calc!$FK$494</f>
        <v/>
      </c>
      <c r="K492" s="65">
        <f>Calc!$FL$494</f>
        <v/>
      </c>
      <c r="L492" s="65">
        <f>Calc!$FM$494</f>
        <v/>
      </c>
      <c r="M492" s="66">
        <f>Calc!$FN$494</f>
        <v/>
      </c>
      <c r="N492" s="66">
        <f>Calc!$FO$494</f>
        <v/>
      </c>
      <c r="O492" s="65">
        <f>Calc!$FP$494</f>
        <v/>
      </c>
      <c r="P492" s="67">
        <f>Calc!$FQ$494</f>
        <v/>
      </c>
      <c r="Q492" s="68">
        <f>Calc!$FR$494</f>
        <v/>
      </c>
      <c r="R492" s="65">
        <f>Calc!$FS$494</f>
        <v/>
      </c>
      <c r="T492">
        <f>Calc!$EY$494</f>
        <v/>
      </c>
      <c r="U492">
        <f>Calc!$FT$494</f>
        <v/>
      </c>
      <c r="V492">
        <f>Calc!$FU$494</f>
        <v/>
      </c>
      <c r="W492">
        <f>Calc!$FC$494</f>
        <v/>
      </c>
      <c r="X492">
        <f>Calc!$EZ$494</f>
        <v/>
      </c>
      <c r="Y492">
        <f>Calc!$FA$494</f>
        <v/>
      </c>
      <c r="Z492">
        <f>Calc!$FV$494</f>
        <v/>
      </c>
      <c r="AA492">
        <f>IF($T492&lt;&gt;"row",0,IF($V492=1,IF($X492=1,IF($Y492=1,1,2),IF($Y492=1,3,4)),IF($X492=1,IF($Y492=1,5,6),IF($Y492=1,7,8))))</f>
        <v/>
      </c>
    </row>
    <row r="493" ht="11.25" customHeight="1">
      <c r="A493" s="64">
        <f>Calc!$FB$495</f>
        <v/>
      </c>
      <c r="B493" s="64">
        <f>Calc!$FC$495</f>
        <v/>
      </c>
      <c r="C493" s="65">
        <f>Calc!$FD$495</f>
        <v/>
      </c>
      <c r="D493" s="65">
        <f>Calc!$FE$495</f>
        <v/>
      </c>
      <c r="E493" s="65">
        <f>Calc!$FF$495</f>
        <v/>
      </c>
      <c r="F493" s="65">
        <f>Calc!$FG$495</f>
        <v/>
      </c>
      <c r="G493" s="65">
        <f>Calc!$FH$495</f>
        <v/>
      </c>
      <c r="H493" s="65">
        <f>Calc!$FI$495</f>
        <v/>
      </c>
      <c r="I493" s="65">
        <f>Calc!$FJ$495</f>
        <v/>
      </c>
      <c r="J493" s="65">
        <f>Calc!$FK$495</f>
        <v/>
      </c>
      <c r="K493" s="65">
        <f>Calc!$FL$495</f>
        <v/>
      </c>
      <c r="L493" s="65">
        <f>Calc!$FM$495</f>
        <v/>
      </c>
      <c r="M493" s="66">
        <f>Calc!$FN$495</f>
        <v/>
      </c>
      <c r="N493" s="66">
        <f>Calc!$FO$495</f>
        <v/>
      </c>
      <c r="O493" s="65">
        <f>Calc!$FP$495</f>
        <v/>
      </c>
      <c r="P493" s="67">
        <f>Calc!$FQ$495</f>
        <v/>
      </c>
      <c r="Q493" s="68">
        <f>Calc!$FR$495</f>
        <v/>
      </c>
      <c r="R493" s="65">
        <f>Calc!$FS$495</f>
        <v/>
      </c>
      <c r="T493">
        <f>Calc!$EY$495</f>
        <v/>
      </c>
      <c r="U493">
        <f>Calc!$FT$495</f>
        <v/>
      </c>
      <c r="V493">
        <f>Calc!$FU$495</f>
        <v/>
      </c>
      <c r="W493">
        <f>Calc!$FC$495</f>
        <v/>
      </c>
      <c r="X493">
        <f>Calc!$EZ$495</f>
        <v/>
      </c>
      <c r="Y493">
        <f>Calc!$FA$495</f>
        <v/>
      </c>
      <c r="Z493">
        <f>Calc!$FV$495</f>
        <v/>
      </c>
      <c r="AA493">
        <f>IF($T493&lt;&gt;"row",0,IF($V493=1,IF($X493=1,IF($Y493=1,1,2),IF($Y493=1,3,4)),IF($X493=1,IF($Y493=1,5,6),IF($Y493=1,7,8))))</f>
        <v/>
      </c>
    </row>
    <row r="494" ht="11.25" customHeight="1">
      <c r="A494" s="64">
        <f>Calc!$FB$496</f>
        <v/>
      </c>
      <c r="B494" s="64">
        <f>Calc!$FC$496</f>
        <v/>
      </c>
      <c r="C494" s="65">
        <f>Calc!$FD$496</f>
        <v/>
      </c>
      <c r="D494" s="65">
        <f>Calc!$FE$496</f>
        <v/>
      </c>
      <c r="E494" s="65">
        <f>Calc!$FF$496</f>
        <v/>
      </c>
      <c r="F494" s="65">
        <f>Calc!$FG$496</f>
        <v/>
      </c>
      <c r="G494" s="65">
        <f>Calc!$FH$496</f>
        <v/>
      </c>
      <c r="H494" s="65">
        <f>Calc!$FI$496</f>
        <v/>
      </c>
      <c r="I494" s="65">
        <f>Calc!$FJ$496</f>
        <v/>
      </c>
      <c r="J494" s="65">
        <f>Calc!$FK$496</f>
        <v/>
      </c>
      <c r="K494" s="65">
        <f>Calc!$FL$496</f>
        <v/>
      </c>
      <c r="L494" s="65">
        <f>Calc!$FM$496</f>
        <v/>
      </c>
      <c r="M494" s="66">
        <f>Calc!$FN$496</f>
        <v/>
      </c>
      <c r="N494" s="66">
        <f>Calc!$FO$496</f>
        <v/>
      </c>
      <c r="O494" s="65">
        <f>Calc!$FP$496</f>
        <v/>
      </c>
      <c r="P494" s="67">
        <f>Calc!$FQ$496</f>
        <v/>
      </c>
      <c r="Q494" s="68">
        <f>Calc!$FR$496</f>
        <v/>
      </c>
      <c r="R494" s="65">
        <f>Calc!$FS$496</f>
        <v/>
      </c>
      <c r="T494">
        <f>Calc!$EY$496</f>
        <v/>
      </c>
      <c r="U494">
        <f>Calc!$FT$496</f>
        <v/>
      </c>
      <c r="V494">
        <f>Calc!$FU$496</f>
        <v/>
      </c>
      <c r="W494">
        <f>Calc!$FC$496</f>
        <v/>
      </c>
      <c r="X494">
        <f>Calc!$EZ$496</f>
        <v/>
      </c>
      <c r="Y494">
        <f>Calc!$FA$496</f>
        <v/>
      </c>
      <c r="Z494">
        <f>Calc!$FV$496</f>
        <v/>
      </c>
      <c r="AA494">
        <f>IF($T494&lt;&gt;"row",0,IF($V494=1,IF($X494=1,IF($Y494=1,1,2),IF($Y494=1,3,4)),IF($X494=1,IF($Y494=1,5,6),IF($Y494=1,7,8))))</f>
        <v/>
      </c>
    </row>
    <row r="495" ht="11.25" customHeight="1">
      <c r="A495" s="64">
        <f>Calc!$FB$497</f>
        <v/>
      </c>
      <c r="B495" s="64">
        <f>Calc!$FC$497</f>
        <v/>
      </c>
      <c r="C495" s="65">
        <f>Calc!$FD$497</f>
        <v/>
      </c>
      <c r="D495" s="65">
        <f>Calc!$FE$497</f>
        <v/>
      </c>
      <c r="E495" s="65">
        <f>Calc!$FF$497</f>
        <v/>
      </c>
      <c r="F495" s="65">
        <f>Calc!$FG$497</f>
        <v/>
      </c>
      <c r="G495" s="65">
        <f>Calc!$FH$497</f>
        <v/>
      </c>
      <c r="H495" s="65">
        <f>Calc!$FI$497</f>
        <v/>
      </c>
      <c r="I495" s="65">
        <f>Calc!$FJ$497</f>
        <v/>
      </c>
      <c r="J495" s="65">
        <f>Calc!$FK$497</f>
        <v/>
      </c>
      <c r="K495" s="65">
        <f>Calc!$FL$497</f>
        <v/>
      </c>
      <c r="L495" s="65">
        <f>Calc!$FM$497</f>
        <v/>
      </c>
      <c r="M495" s="66">
        <f>Calc!$FN$497</f>
        <v/>
      </c>
      <c r="N495" s="66">
        <f>Calc!$FO$497</f>
        <v/>
      </c>
      <c r="O495" s="65">
        <f>Calc!$FP$497</f>
        <v/>
      </c>
      <c r="P495" s="67">
        <f>Calc!$FQ$497</f>
        <v/>
      </c>
      <c r="Q495" s="68">
        <f>Calc!$FR$497</f>
        <v/>
      </c>
      <c r="R495" s="65">
        <f>Calc!$FS$497</f>
        <v/>
      </c>
      <c r="T495">
        <f>Calc!$EY$497</f>
        <v/>
      </c>
      <c r="U495">
        <f>Calc!$FT$497</f>
        <v/>
      </c>
      <c r="V495">
        <f>Calc!$FU$497</f>
        <v/>
      </c>
      <c r="W495">
        <f>Calc!$FC$497</f>
        <v/>
      </c>
      <c r="X495">
        <f>Calc!$EZ$497</f>
        <v/>
      </c>
      <c r="Y495">
        <f>Calc!$FA$497</f>
        <v/>
      </c>
      <c r="Z495">
        <f>Calc!$FV$497</f>
        <v/>
      </c>
      <c r="AA495">
        <f>IF($T495&lt;&gt;"row",0,IF($V495=1,IF($X495=1,IF($Y495=1,1,2),IF($Y495=1,3,4)),IF($X495=1,IF($Y495=1,5,6),IF($Y495=1,7,8))))</f>
        <v/>
      </c>
    </row>
    <row r="496" ht="11.25" customHeight="1">
      <c r="A496" s="64">
        <f>Calc!$FB$498</f>
        <v/>
      </c>
      <c r="B496" s="64">
        <f>Calc!$FC$498</f>
        <v/>
      </c>
      <c r="C496" s="65">
        <f>Calc!$FD$498</f>
        <v/>
      </c>
      <c r="D496" s="65">
        <f>Calc!$FE$498</f>
        <v/>
      </c>
      <c r="E496" s="65">
        <f>Calc!$FF$498</f>
        <v/>
      </c>
      <c r="F496" s="65">
        <f>Calc!$FG$498</f>
        <v/>
      </c>
      <c r="G496" s="65">
        <f>Calc!$FH$498</f>
        <v/>
      </c>
      <c r="H496" s="65">
        <f>Calc!$FI$498</f>
        <v/>
      </c>
      <c r="I496" s="65">
        <f>Calc!$FJ$498</f>
        <v/>
      </c>
      <c r="J496" s="65">
        <f>Calc!$FK$498</f>
        <v/>
      </c>
      <c r="K496" s="65">
        <f>Calc!$FL$498</f>
        <v/>
      </c>
      <c r="L496" s="65">
        <f>Calc!$FM$498</f>
        <v/>
      </c>
      <c r="M496" s="66">
        <f>Calc!$FN$498</f>
        <v/>
      </c>
      <c r="N496" s="66">
        <f>Calc!$FO$498</f>
        <v/>
      </c>
      <c r="O496" s="65">
        <f>Calc!$FP$498</f>
        <v/>
      </c>
      <c r="P496" s="67">
        <f>Calc!$FQ$498</f>
        <v/>
      </c>
      <c r="Q496" s="68">
        <f>Calc!$FR$498</f>
        <v/>
      </c>
      <c r="R496" s="65">
        <f>Calc!$FS$498</f>
        <v/>
      </c>
      <c r="T496">
        <f>Calc!$EY$498</f>
        <v/>
      </c>
      <c r="U496">
        <f>Calc!$FT$498</f>
        <v/>
      </c>
      <c r="V496">
        <f>Calc!$FU$498</f>
        <v/>
      </c>
      <c r="W496">
        <f>Calc!$FC$498</f>
        <v/>
      </c>
      <c r="X496">
        <f>Calc!$EZ$498</f>
        <v/>
      </c>
      <c r="Y496">
        <f>Calc!$FA$498</f>
        <v/>
      </c>
      <c r="Z496">
        <f>Calc!$FV$498</f>
        <v/>
      </c>
      <c r="AA496">
        <f>IF($T496&lt;&gt;"row",0,IF($V496=1,IF($X496=1,IF($Y496=1,1,2),IF($Y496=1,3,4)),IF($X496=1,IF($Y496=1,5,6),IF($Y496=1,7,8))))</f>
        <v/>
      </c>
    </row>
    <row r="497" ht="11.25" customHeight="1">
      <c r="A497" s="64">
        <f>Calc!$FB$499</f>
        <v/>
      </c>
      <c r="B497" s="64">
        <f>Calc!$FC$499</f>
        <v/>
      </c>
      <c r="C497" s="65">
        <f>Calc!$FD$499</f>
        <v/>
      </c>
      <c r="D497" s="65">
        <f>Calc!$FE$499</f>
        <v/>
      </c>
      <c r="E497" s="65">
        <f>Calc!$FF$499</f>
        <v/>
      </c>
      <c r="F497" s="65">
        <f>Calc!$FG$499</f>
        <v/>
      </c>
      <c r="G497" s="65">
        <f>Calc!$FH$499</f>
        <v/>
      </c>
      <c r="H497" s="65">
        <f>Calc!$FI$499</f>
        <v/>
      </c>
      <c r="I497" s="65">
        <f>Calc!$FJ$499</f>
        <v/>
      </c>
      <c r="J497" s="65">
        <f>Calc!$FK$499</f>
        <v/>
      </c>
      <c r="K497" s="65">
        <f>Calc!$FL$499</f>
        <v/>
      </c>
      <c r="L497" s="65">
        <f>Calc!$FM$499</f>
        <v/>
      </c>
      <c r="M497" s="66">
        <f>Calc!$FN$499</f>
        <v/>
      </c>
      <c r="N497" s="66">
        <f>Calc!$FO$499</f>
        <v/>
      </c>
      <c r="O497" s="65">
        <f>Calc!$FP$499</f>
        <v/>
      </c>
      <c r="P497" s="67">
        <f>Calc!$FQ$499</f>
        <v/>
      </c>
      <c r="Q497" s="68">
        <f>Calc!$FR$499</f>
        <v/>
      </c>
      <c r="R497" s="65">
        <f>Calc!$FS$499</f>
        <v/>
      </c>
      <c r="T497">
        <f>Calc!$EY$499</f>
        <v/>
      </c>
      <c r="U497">
        <f>Calc!$FT$499</f>
        <v/>
      </c>
      <c r="V497">
        <f>Calc!$FU$499</f>
        <v/>
      </c>
      <c r="W497">
        <f>Calc!$FC$499</f>
        <v/>
      </c>
      <c r="X497">
        <f>Calc!$EZ$499</f>
        <v/>
      </c>
      <c r="Y497">
        <f>Calc!$FA$499</f>
        <v/>
      </c>
      <c r="Z497">
        <f>Calc!$FV$499</f>
        <v/>
      </c>
      <c r="AA497">
        <f>IF($T497&lt;&gt;"row",0,IF($V497=1,IF($X497=1,IF($Y497=1,1,2),IF($Y497=1,3,4)),IF($X497=1,IF($Y497=1,5,6),IF($Y497=1,7,8))))</f>
        <v/>
      </c>
    </row>
    <row r="498" ht="11.25" customHeight="1">
      <c r="A498" s="64">
        <f>Calc!$FB$500</f>
        <v/>
      </c>
      <c r="B498" s="64">
        <f>Calc!$FC$500</f>
        <v/>
      </c>
      <c r="C498" s="65">
        <f>Calc!$FD$500</f>
        <v/>
      </c>
      <c r="D498" s="65">
        <f>Calc!$FE$500</f>
        <v/>
      </c>
      <c r="E498" s="65">
        <f>Calc!$FF$500</f>
        <v/>
      </c>
      <c r="F498" s="65">
        <f>Calc!$FG$500</f>
        <v/>
      </c>
      <c r="G498" s="65">
        <f>Calc!$FH$500</f>
        <v/>
      </c>
      <c r="H498" s="65">
        <f>Calc!$FI$500</f>
        <v/>
      </c>
      <c r="I498" s="65">
        <f>Calc!$FJ$500</f>
        <v/>
      </c>
      <c r="J498" s="65">
        <f>Calc!$FK$500</f>
        <v/>
      </c>
      <c r="K498" s="65">
        <f>Calc!$FL$500</f>
        <v/>
      </c>
      <c r="L498" s="65">
        <f>Calc!$FM$500</f>
        <v/>
      </c>
      <c r="M498" s="66">
        <f>Calc!$FN$500</f>
        <v/>
      </c>
      <c r="N498" s="66">
        <f>Calc!$FO$500</f>
        <v/>
      </c>
      <c r="O498" s="65">
        <f>Calc!$FP$500</f>
        <v/>
      </c>
      <c r="P498" s="67">
        <f>Calc!$FQ$500</f>
        <v/>
      </c>
      <c r="Q498" s="68">
        <f>Calc!$FR$500</f>
        <v/>
      </c>
      <c r="R498" s="65">
        <f>Calc!$FS$500</f>
        <v/>
      </c>
      <c r="T498">
        <f>Calc!$EY$500</f>
        <v/>
      </c>
      <c r="U498">
        <f>Calc!$FT$500</f>
        <v/>
      </c>
      <c r="V498">
        <f>Calc!$FU$500</f>
        <v/>
      </c>
      <c r="W498">
        <f>Calc!$FC$500</f>
        <v/>
      </c>
      <c r="X498">
        <f>Calc!$EZ$500</f>
        <v/>
      </c>
      <c r="Y498">
        <f>Calc!$FA$500</f>
        <v/>
      </c>
      <c r="Z498">
        <f>Calc!$FV$500</f>
        <v/>
      </c>
      <c r="AA498">
        <f>IF($T498&lt;&gt;"row",0,IF($V498=1,IF($X498=1,IF($Y498=1,1,2),IF($Y498=1,3,4)),IF($X498=1,IF($Y498=1,5,6),IF($Y498=1,7,8))))</f>
        <v/>
      </c>
    </row>
    <row r="499" ht="11.25" customHeight="1">
      <c r="A499" s="64">
        <f>Calc!$FB$501</f>
        <v/>
      </c>
      <c r="B499" s="64">
        <f>Calc!$FC$501</f>
        <v/>
      </c>
      <c r="C499" s="65">
        <f>Calc!$FD$501</f>
        <v/>
      </c>
      <c r="D499" s="65">
        <f>Calc!$FE$501</f>
        <v/>
      </c>
      <c r="E499" s="65">
        <f>Calc!$FF$501</f>
        <v/>
      </c>
      <c r="F499" s="65">
        <f>Calc!$FG$501</f>
        <v/>
      </c>
      <c r="G499" s="65">
        <f>Calc!$FH$501</f>
        <v/>
      </c>
      <c r="H499" s="65">
        <f>Calc!$FI$501</f>
        <v/>
      </c>
      <c r="I499" s="65">
        <f>Calc!$FJ$501</f>
        <v/>
      </c>
      <c r="J499" s="65">
        <f>Calc!$FK$501</f>
        <v/>
      </c>
      <c r="K499" s="65">
        <f>Calc!$FL$501</f>
        <v/>
      </c>
      <c r="L499" s="65">
        <f>Calc!$FM$501</f>
        <v/>
      </c>
      <c r="M499" s="66">
        <f>Calc!$FN$501</f>
        <v/>
      </c>
      <c r="N499" s="66">
        <f>Calc!$FO$501</f>
        <v/>
      </c>
      <c r="O499" s="65">
        <f>Calc!$FP$501</f>
        <v/>
      </c>
      <c r="P499" s="67">
        <f>Calc!$FQ$501</f>
        <v/>
      </c>
      <c r="Q499" s="68">
        <f>Calc!$FR$501</f>
        <v/>
      </c>
      <c r="R499" s="65">
        <f>Calc!$FS$501</f>
        <v/>
      </c>
      <c r="T499">
        <f>Calc!$EY$501</f>
        <v/>
      </c>
      <c r="U499">
        <f>Calc!$FT$501</f>
        <v/>
      </c>
      <c r="V499">
        <f>Calc!$FU$501</f>
        <v/>
      </c>
      <c r="W499">
        <f>Calc!$FC$501</f>
        <v/>
      </c>
      <c r="X499">
        <f>Calc!$EZ$501</f>
        <v/>
      </c>
      <c r="Y499">
        <f>Calc!$FA$501</f>
        <v/>
      </c>
      <c r="Z499">
        <f>Calc!$FV$501</f>
        <v/>
      </c>
      <c r="AA499">
        <f>IF($T499&lt;&gt;"row",0,IF($V499=1,IF($X499=1,IF($Y499=1,1,2),IF($Y499=1,3,4)),IF($X499=1,IF($Y499=1,5,6),IF($Y499=1,7,8))))</f>
        <v/>
      </c>
    </row>
    <row r="500" ht="11.25" customHeight="1">
      <c r="A500" s="64">
        <f>Calc!$FB$502</f>
        <v/>
      </c>
      <c r="B500" s="64">
        <f>Calc!$FC$502</f>
        <v/>
      </c>
      <c r="C500" s="65">
        <f>Calc!$FD$502</f>
        <v/>
      </c>
      <c r="D500" s="65">
        <f>Calc!$FE$502</f>
        <v/>
      </c>
      <c r="E500" s="65">
        <f>Calc!$FF$502</f>
        <v/>
      </c>
      <c r="F500" s="65">
        <f>Calc!$FG$502</f>
        <v/>
      </c>
      <c r="G500" s="65">
        <f>Calc!$FH$502</f>
        <v/>
      </c>
      <c r="H500" s="65">
        <f>Calc!$FI$502</f>
        <v/>
      </c>
      <c r="I500" s="65">
        <f>Calc!$FJ$502</f>
        <v/>
      </c>
      <c r="J500" s="65">
        <f>Calc!$FK$502</f>
        <v/>
      </c>
      <c r="K500" s="65">
        <f>Calc!$FL$502</f>
        <v/>
      </c>
      <c r="L500" s="65">
        <f>Calc!$FM$502</f>
        <v/>
      </c>
      <c r="M500" s="66">
        <f>Calc!$FN$502</f>
        <v/>
      </c>
      <c r="N500" s="66">
        <f>Calc!$FO$502</f>
        <v/>
      </c>
      <c r="O500" s="65">
        <f>Calc!$FP$502</f>
        <v/>
      </c>
      <c r="P500" s="67">
        <f>Calc!$FQ$502</f>
        <v/>
      </c>
      <c r="Q500" s="68">
        <f>Calc!$FR$502</f>
        <v/>
      </c>
      <c r="R500" s="65">
        <f>Calc!$FS$502</f>
        <v/>
      </c>
      <c r="T500">
        <f>Calc!$EY$502</f>
        <v/>
      </c>
      <c r="U500">
        <f>Calc!$FT$502</f>
        <v/>
      </c>
      <c r="V500">
        <f>Calc!$FU$502</f>
        <v/>
      </c>
      <c r="W500">
        <f>Calc!$FC$502</f>
        <v/>
      </c>
      <c r="X500">
        <f>Calc!$EZ$502</f>
        <v/>
      </c>
      <c r="Y500">
        <f>Calc!$FA$502</f>
        <v/>
      </c>
      <c r="Z500">
        <f>Calc!$FV$502</f>
        <v/>
      </c>
      <c r="AA500">
        <f>IF($T500&lt;&gt;"row",0,IF($V500=1,IF($X500=1,IF($Y500=1,1,2),IF($Y500=1,3,4)),IF($X500=1,IF($Y500=1,5,6),IF($Y500=1,7,8))))</f>
        <v/>
      </c>
    </row>
    <row r="501" ht="11.25" customHeight="1">
      <c r="A501" s="64">
        <f>Calc!$FB$503</f>
        <v/>
      </c>
      <c r="B501" s="64">
        <f>Calc!$FC$503</f>
        <v/>
      </c>
      <c r="C501" s="65">
        <f>Calc!$FD$503</f>
        <v/>
      </c>
      <c r="D501" s="65">
        <f>Calc!$FE$503</f>
        <v/>
      </c>
      <c r="E501" s="65">
        <f>Calc!$FF$503</f>
        <v/>
      </c>
      <c r="F501" s="65">
        <f>Calc!$FG$503</f>
        <v/>
      </c>
      <c r="G501" s="65">
        <f>Calc!$FH$503</f>
        <v/>
      </c>
      <c r="H501" s="65">
        <f>Calc!$FI$503</f>
        <v/>
      </c>
      <c r="I501" s="65">
        <f>Calc!$FJ$503</f>
        <v/>
      </c>
      <c r="J501" s="65">
        <f>Calc!$FK$503</f>
        <v/>
      </c>
      <c r="K501" s="65">
        <f>Calc!$FL$503</f>
        <v/>
      </c>
      <c r="L501" s="65">
        <f>Calc!$FM$503</f>
        <v/>
      </c>
      <c r="M501" s="66">
        <f>Calc!$FN$503</f>
        <v/>
      </c>
      <c r="N501" s="66">
        <f>Calc!$FO$503</f>
        <v/>
      </c>
      <c r="O501" s="65">
        <f>Calc!$FP$503</f>
        <v/>
      </c>
      <c r="P501" s="67">
        <f>Calc!$FQ$503</f>
        <v/>
      </c>
      <c r="Q501" s="68">
        <f>Calc!$FR$503</f>
        <v/>
      </c>
      <c r="R501" s="65">
        <f>Calc!$FS$503</f>
        <v/>
      </c>
      <c r="T501">
        <f>Calc!$EY$503</f>
        <v/>
      </c>
      <c r="U501">
        <f>Calc!$FT$503</f>
        <v/>
      </c>
      <c r="V501">
        <f>Calc!$FU$503</f>
        <v/>
      </c>
      <c r="W501">
        <f>Calc!$FC$503</f>
        <v/>
      </c>
      <c r="X501">
        <f>Calc!$EZ$503</f>
        <v/>
      </c>
      <c r="Y501">
        <f>Calc!$FA$503</f>
        <v/>
      </c>
      <c r="Z501">
        <f>Calc!$FV$503</f>
        <v/>
      </c>
      <c r="AA501">
        <f>IF($T501&lt;&gt;"row",0,IF($V501=1,IF($X501=1,IF($Y501=1,1,2),IF($Y501=1,3,4)),IF($X501=1,IF($Y501=1,5,6),IF($Y501=1,7,8))))</f>
        <v/>
      </c>
    </row>
    <row r="502" ht="11.25" customHeight="1">
      <c r="A502" s="64">
        <f>Calc!$FB$504</f>
        <v/>
      </c>
      <c r="B502" s="64">
        <f>Calc!$FC$504</f>
        <v/>
      </c>
      <c r="C502" s="65">
        <f>Calc!$FD$504</f>
        <v/>
      </c>
      <c r="D502" s="65">
        <f>Calc!$FE$504</f>
        <v/>
      </c>
      <c r="E502" s="65">
        <f>Calc!$FF$504</f>
        <v/>
      </c>
      <c r="F502" s="65">
        <f>Calc!$FG$504</f>
        <v/>
      </c>
      <c r="G502" s="65">
        <f>Calc!$FH$504</f>
        <v/>
      </c>
      <c r="H502" s="65">
        <f>Calc!$FI$504</f>
        <v/>
      </c>
      <c r="I502" s="65">
        <f>Calc!$FJ$504</f>
        <v/>
      </c>
      <c r="J502" s="65">
        <f>Calc!$FK$504</f>
        <v/>
      </c>
      <c r="K502" s="65">
        <f>Calc!$FL$504</f>
        <v/>
      </c>
      <c r="L502" s="65">
        <f>Calc!$FM$504</f>
        <v/>
      </c>
      <c r="M502" s="66">
        <f>Calc!$FN$504</f>
        <v/>
      </c>
      <c r="N502" s="66">
        <f>Calc!$FO$504</f>
        <v/>
      </c>
      <c r="O502" s="65">
        <f>Calc!$FP$504</f>
        <v/>
      </c>
      <c r="P502" s="67">
        <f>Calc!$FQ$504</f>
        <v/>
      </c>
      <c r="Q502" s="68">
        <f>Calc!$FR$504</f>
        <v/>
      </c>
      <c r="R502" s="65">
        <f>Calc!$FS$504</f>
        <v/>
      </c>
      <c r="T502">
        <f>Calc!$EY$504</f>
        <v/>
      </c>
      <c r="U502">
        <f>Calc!$FT$504</f>
        <v/>
      </c>
      <c r="V502">
        <f>Calc!$FU$504</f>
        <v/>
      </c>
      <c r="W502">
        <f>Calc!$FC$504</f>
        <v/>
      </c>
      <c r="X502">
        <f>Calc!$EZ$504</f>
        <v/>
      </c>
      <c r="Y502">
        <f>Calc!$FA$504</f>
        <v/>
      </c>
      <c r="Z502">
        <f>Calc!$FV$504</f>
        <v/>
      </c>
      <c r="AA502">
        <f>IF($T502&lt;&gt;"row",0,IF($V502=1,IF($X502=1,IF($Y502=1,1,2),IF($Y502=1,3,4)),IF($X502=1,IF($Y502=1,5,6),IF($Y502=1,7,8))))</f>
        <v/>
      </c>
    </row>
    <row r="503" ht="11.25" customHeight="1">
      <c r="A503" s="64">
        <f>Calc!$FB$505</f>
        <v/>
      </c>
      <c r="B503" s="64">
        <f>Calc!$FC$505</f>
        <v/>
      </c>
      <c r="C503" s="65">
        <f>Calc!$FD$505</f>
        <v/>
      </c>
      <c r="D503" s="65">
        <f>Calc!$FE$505</f>
        <v/>
      </c>
      <c r="E503" s="65">
        <f>Calc!$FF$505</f>
        <v/>
      </c>
      <c r="F503" s="65">
        <f>Calc!$FG$505</f>
        <v/>
      </c>
      <c r="G503" s="65">
        <f>Calc!$FH$505</f>
        <v/>
      </c>
      <c r="H503" s="65">
        <f>Calc!$FI$505</f>
        <v/>
      </c>
      <c r="I503" s="65">
        <f>Calc!$FJ$505</f>
        <v/>
      </c>
      <c r="J503" s="65">
        <f>Calc!$FK$505</f>
        <v/>
      </c>
      <c r="K503" s="65">
        <f>Calc!$FL$505</f>
        <v/>
      </c>
      <c r="L503" s="65">
        <f>Calc!$FM$505</f>
        <v/>
      </c>
      <c r="M503" s="66">
        <f>Calc!$FN$505</f>
        <v/>
      </c>
      <c r="N503" s="66">
        <f>Calc!$FO$505</f>
        <v/>
      </c>
      <c r="O503" s="65">
        <f>Calc!$FP$505</f>
        <v/>
      </c>
      <c r="P503" s="67">
        <f>Calc!$FQ$505</f>
        <v/>
      </c>
      <c r="Q503" s="68">
        <f>Calc!$FR$505</f>
        <v/>
      </c>
      <c r="R503" s="65">
        <f>Calc!$FS$505</f>
        <v/>
      </c>
      <c r="T503">
        <f>Calc!$EY$505</f>
        <v/>
      </c>
      <c r="U503">
        <f>Calc!$FT$505</f>
        <v/>
      </c>
      <c r="V503">
        <f>Calc!$FU$505</f>
        <v/>
      </c>
      <c r="W503">
        <f>Calc!$FC$505</f>
        <v/>
      </c>
      <c r="X503">
        <f>Calc!$EZ$505</f>
        <v/>
      </c>
      <c r="Y503">
        <f>Calc!$FA$505</f>
        <v/>
      </c>
      <c r="Z503">
        <f>Calc!$FV$505</f>
        <v/>
      </c>
      <c r="AA503">
        <f>IF($T503&lt;&gt;"row",0,IF($V503=1,IF($X503=1,IF($Y503=1,1,2),IF($Y503=1,3,4)),IF($X503=1,IF($Y503=1,5,6),IF($Y503=1,7,8))))</f>
        <v/>
      </c>
    </row>
    <row r="504" ht="11.25" customHeight="1">
      <c r="A504" s="64">
        <f>Calc!$FB$506</f>
        <v/>
      </c>
      <c r="B504" s="64">
        <f>Calc!$FC$506</f>
        <v/>
      </c>
      <c r="C504" s="65">
        <f>Calc!$FD$506</f>
        <v/>
      </c>
      <c r="D504" s="65">
        <f>Calc!$FE$506</f>
        <v/>
      </c>
      <c r="E504" s="65">
        <f>Calc!$FF$506</f>
        <v/>
      </c>
      <c r="F504" s="65">
        <f>Calc!$FG$506</f>
        <v/>
      </c>
      <c r="G504" s="65">
        <f>Calc!$FH$506</f>
        <v/>
      </c>
      <c r="H504" s="65">
        <f>Calc!$FI$506</f>
        <v/>
      </c>
      <c r="I504" s="65">
        <f>Calc!$FJ$506</f>
        <v/>
      </c>
      <c r="J504" s="65">
        <f>Calc!$FK$506</f>
        <v/>
      </c>
      <c r="K504" s="65">
        <f>Calc!$FL$506</f>
        <v/>
      </c>
      <c r="L504" s="65">
        <f>Calc!$FM$506</f>
        <v/>
      </c>
      <c r="M504" s="66">
        <f>Calc!$FN$506</f>
        <v/>
      </c>
      <c r="N504" s="66">
        <f>Calc!$FO$506</f>
        <v/>
      </c>
      <c r="O504" s="65">
        <f>Calc!$FP$506</f>
        <v/>
      </c>
      <c r="P504" s="67">
        <f>Calc!$FQ$506</f>
        <v/>
      </c>
      <c r="Q504" s="68">
        <f>Calc!$FR$506</f>
        <v/>
      </c>
      <c r="R504" s="65">
        <f>Calc!$FS$506</f>
        <v/>
      </c>
      <c r="T504">
        <f>Calc!$EY$506</f>
        <v/>
      </c>
      <c r="U504">
        <f>Calc!$FT$506</f>
        <v/>
      </c>
      <c r="V504">
        <f>Calc!$FU$506</f>
        <v/>
      </c>
      <c r="W504">
        <f>Calc!$FC$506</f>
        <v/>
      </c>
      <c r="X504">
        <f>Calc!$EZ$506</f>
        <v/>
      </c>
      <c r="Y504">
        <f>Calc!$FA$506</f>
        <v/>
      </c>
      <c r="Z504">
        <f>Calc!$FV$506</f>
        <v/>
      </c>
      <c r="AA504">
        <f>IF($T504&lt;&gt;"row",0,IF($V504=1,IF($X504=1,IF($Y504=1,1,2),IF($Y504=1,3,4)),IF($X504=1,IF($Y504=1,5,6),IF($Y504=1,7,8))))</f>
        <v/>
      </c>
    </row>
    <row r="505" ht="11.25" customHeight="1">
      <c r="A505" s="64">
        <f>Calc!$FB$507</f>
        <v/>
      </c>
      <c r="B505" s="64">
        <f>Calc!$FC$507</f>
        <v/>
      </c>
      <c r="C505" s="65">
        <f>Calc!$FD$507</f>
        <v/>
      </c>
      <c r="D505" s="65">
        <f>Calc!$FE$507</f>
        <v/>
      </c>
      <c r="E505" s="65">
        <f>Calc!$FF$507</f>
        <v/>
      </c>
      <c r="F505" s="65">
        <f>Calc!$FG$507</f>
        <v/>
      </c>
      <c r="G505" s="65">
        <f>Calc!$FH$507</f>
        <v/>
      </c>
      <c r="H505" s="65">
        <f>Calc!$FI$507</f>
        <v/>
      </c>
      <c r="I505" s="65">
        <f>Calc!$FJ$507</f>
        <v/>
      </c>
      <c r="J505" s="65">
        <f>Calc!$FK$507</f>
        <v/>
      </c>
      <c r="K505" s="65">
        <f>Calc!$FL$507</f>
        <v/>
      </c>
      <c r="L505" s="65">
        <f>Calc!$FM$507</f>
        <v/>
      </c>
      <c r="M505" s="66">
        <f>Calc!$FN$507</f>
        <v/>
      </c>
      <c r="N505" s="66">
        <f>Calc!$FO$507</f>
        <v/>
      </c>
      <c r="O505" s="65">
        <f>Calc!$FP$507</f>
        <v/>
      </c>
      <c r="P505" s="67">
        <f>Calc!$FQ$507</f>
        <v/>
      </c>
      <c r="Q505" s="68">
        <f>Calc!$FR$507</f>
        <v/>
      </c>
      <c r="R505" s="65">
        <f>Calc!$FS$507</f>
        <v/>
      </c>
      <c r="T505">
        <f>Calc!$EY$507</f>
        <v/>
      </c>
      <c r="U505">
        <f>Calc!$FT$507</f>
        <v/>
      </c>
      <c r="V505">
        <f>Calc!$FU$507</f>
        <v/>
      </c>
      <c r="W505">
        <f>Calc!$FC$507</f>
        <v/>
      </c>
      <c r="X505">
        <f>Calc!$EZ$507</f>
        <v/>
      </c>
      <c r="Y505">
        <f>Calc!$FA$507</f>
        <v/>
      </c>
      <c r="Z505">
        <f>Calc!$FV$507</f>
        <v/>
      </c>
      <c r="AA505">
        <f>IF($T505&lt;&gt;"row",0,IF($V505=1,IF($X505=1,IF($Y505=1,1,2),IF($Y505=1,3,4)),IF($X505=1,IF($Y505=1,5,6),IF($Y505=1,7,8))))</f>
        <v/>
      </c>
    </row>
    <row r="506" ht="11.25" customHeight="1">
      <c r="A506" s="64">
        <f>Calc!$FB$508</f>
        <v/>
      </c>
      <c r="B506" s="64">
        <f>Calc!$FC$508</f>
        <v/>
      </c>
      <c r="C506" s="65">
        <f>Calc!$FD$508</f>
        <v/>
      </c>
      <c r="D506" s="65">
        <f>Calc!$FE$508</f>
        <v/>
      </c>
      <c r="E506" s="65">
        <f>Calc!$FF$508</f>
        <v/>
      </c>
      <c r="F506" s="65">
        <f>Calc!$FG$508</f>
        <v/>
      </c>
      <c r="G506" s="65">
        <f>Calc!$FH$508</f>
        <v/>
      </c>
      <c r="H506" s="65">
        <f>Calc!$FI$508</f>
        <v/>
      </c>
      <c r="I506" s="65">
        <f>Calc!$FJ$508</f>
        <v/>
      </c>
      <c r="J506" s="65">
        <f>Calc!$FK$508</f>
        <v/>
      </c>
      <c r="K506" s="65">
        <f>Calc!$FL$508</f>
        <v/>
      </c>
      <c r="L506" s="65">
        <f>Calc!$FM$508</f>
        <v/>
      </c>
      <c r="M506" s="66">
        <f>Calc!$FN$508</f>
        <v/>
      </c>
      <c r="N506" s="66">
        <f>Calc!$FO$508</f>
        <v/>
      </c>
      <c r="O506" s="65">
        <f>Calc!$FP$508</f>
        <v/>
      </c>
      <c r="P506" s="67">
        <f>Calc!$FQ$508</f>
        <v/>
      </c>
      <c r="Q506" s="68">
        <f>Calc!$FR$508</f>
        <v/>
      </c>
      <c r="R506" s="65">
        <f>Calc!$FS$508</f>
        <v/>
      </c>
      <c r="T506">
        <f>Calc!$EY$508</f>
        <v/>
      </c>
      <c r="U506">
        <f>Calc!$FT$508</f>
        <v/>
      </c>
      <c r="V506">
        <f>Calc!$FU$508</f>
        <v/>
      </c>
      <c r="W506">
        <f>Calc!$FC$508</f>
        <v/>
      </c>
      <c r="X506">
        <f>Calc!$EZ$508</f>
        <v/>
      </c>
      <c r="Y506">
        <f>Calc!$FA$508</f>
        <v/>
      </c>
      <c r="Z506">
        <f>Calc!$FV$508</f>
        <v/>
      </c>
      <c r="AA506">
        <f>IF($T506&lt;&gt;"row",0,IF($V506=1,IF($X506=1,IF($Y506=1,1,2),IF($Y506=1,3,4)),IF($X506=1,IF($Y506=1,5,6),IF($Y506=1,7,8))))</f>
        <v/>
      </c>
    </row>
    <row r="507" ht="11.25" customHeight="1">
      <c r="A507" s="64">
        <f>Calc!$FB$509</f>
        <v/>
      </c>
      <c r="B507" s="64">
        <f>Calc!$FC$509</f>
        <v/>
      </c>
      <c r="C507" s="65">
        <f>Calc!$FD$509</f>
        <v/>
      </c>
      <c r="D507" s="65">
        <f>Calc!$FE$509</f>
        <v/>
      </c>
      <c r="E507" s="65">
        <f>Calc!$FF$509</f>
        <v/>
      </c>
      <c r="F507" s="65">
        <f>Calc!$FG$509</f>
        <v/>
      </c>
      <c r="G507" s="65">
        <f>Calc!$FH$509</f>
        <v/>
      </c>
      <c r="H507" s="65">
        <f>Calc!$FI$509</f>
        <v/>
      </c>
      <c r="I507" s="65">
        <f>Calc!$FJ$509</f>
        <v/>
      </c>
      <c r="J507" s="65">
        <f>Calc!$FK$509</f>
        <v/>
      </c>
      <c r="K507" s="65">
        <f>Calc!$FL$509</f>
        <v/>
      </c>
      <c r="L507" s="65">
        <f>Calc!$FM$509</f>
        <v/>
      </c>
      <c r="M507" s="66">
        <f>Calc!$FN$509</f>
        <v/>
      </c>
      <c r="N507" s="66">
        <f>Calc!$FO$509</f>
        <v/>
      </c>
      <c r="O507" s="65">
        <f>Calc!$FP$509</f>
        <v/>
      </c>
      <c r="P507" s="67">
        <f>Calc!$FQ$509</f>
        <v/>
      </c>
      <c r="Q507" s="68">
        <f>Calc!$FR$509</f>
        <v/>
      </c>
      <c r="R507" s="65">
        <f>Calc!$FS$509</f>
        <v/>
      </c>
      <c r="T507">
        <f>Calc!$EY$509</f>
        <v/>
      </c>
      <c r="U507">
        <f>Calc!$FT$509</f>
        <v/>
      </c>
      <c r="V507">
        <f>Calc!$FU$509</f>
        <v/>
      </c>
      <c r="W507">
        <f>Calc!$FC$509</f>
        <v/>
      </c>
      <c r="X507">
        <f>Calc!$EZ$509</f>
        <v/>
      </c>
      <c r="Y507">
        <f>Calc!$FA$509</f>
        <v/>
      </c>
      <c r="Z507">
        <f>Calc!$FV$509</f>
        <v/>
      </c>
      <c r="AA507">
        <f>IF($T507&lt;&gt;"row",0,IF($V507=1,IF($X507=1,IF($Y507=1,1,2),IF($Y507=1,3,4)),IF($X507=1,IF($Y507=1,5,6),IF($Y507=1,7,8))))</f>
        <v/>
      </c>
    </row>
    <row r="508" ht="11.25" customHeight="1">
      <c r="A508" s="64">
        <f>Calc!$FB$510</f>
        <v/>
      </c>
      <c r="B508" s="64">
        <f>Calc!$FC$510</f>
        <v/>
      </c>
      <c r="C508" s="65">
        <f>Calc!$FD$510</f>
        <v/>
      </c>
      <c r="D508" s="65">
        <f>Calc!$FE$510</f>
        <v/>
      </c>
      <c r="E508" s="65">
        <f>Calc!$FF$510</f>
        <v/>
      </c>
      <c r="F508" s="65">
        <f>Calc!$FG$510</f>
        <v/>
      </c>
      <c r="G508" s="65">
        <f>Calc!$FH$510</f>
        <v/>
      </c>
      <c r="H508" s="65">
        <f>Calc!$FI$510</f>
        <v/>
      </c>
      <c r="I508" s="65">
        <f>Calc!$FJ$510</f>
        <v/>
      </c>
      <c r="J508" s="65">
        <f>Calc!$FK$510</f>
        <v/>
      </c>
      <c r="K508" s="65">
        <f>Calc!$FL$510</f>
        <v/>
      </c>
      <c r="L508" s="65">
        <f>Calc!$FM$510</f>
        <v/>
      </c>
      <c r="M508" s="66">
        <f>Calc!$FN$510</f>
        <v/>
      </c>
      <c r="N508" s="66">
        <f>Calc!$FO$510</f>
        <v/>
      </c>
      <c r="O508" s="65">
        <f>Calc!$FP$510</f>
        <v/>
      </c>
      <c r="P508" s="67">
        <f>Calc!$FQ$510</f>
        <v/>
      </c>
      <c r="Q508" s="68">
        <f>Calc!$FR$510</f>
        <v/>
      </c>
      <c r="R508" s="65">
        <f>Calc!$FS$510</f>
        <v/>
      </c>
      <c r="T508">
        <f>Calc!$EY$510</f>
        <v/>
      </c>
      <c r="U508">
        <f>Calc!$FT$510</f>
        <v/>
      </c>
      <c r="V508">
        <f>Calc!$FU$510</f>
        <v/>
      </c>
      <c r="W508">
        <f>Calc!$FC$510</f>
        <v/>
      </c>
      <c r="X508">
        <f>Calc!$EZ$510</f>
        <v/>
      </c>
      <c r="Y508">
        <f>Calc!$FA$510</f>
        <v/>
      </c>
      <c r="Z508">
        <f>Calc!$FV$510</f>
        <v/>
      </c>
      <c r="AA508">
        <f>IF($T508&lt;&gt;"row",0,IF($V508=1,IF($X508=1,IF($Y508=1,1,2),IF($Y508=1,3,4)),IF($X508=1,IF($Y508=1,5,6),IF($Y508=1,7,8))))</f>
        <v/>
      </c>
    </row>
    <row r="509" ht="11.25" customHeight="1">
      <c r="A509" s="64">
        <f>Calc!$FB$511</f>
        <v/>
      </c>
      <c r="B509" s="64">
        <f>Calc!$FC$511</f>
        <v/>
      </c>
      <c r="C509" s="65">
        <f>Calc!$FD$511</f>
        <v/>
      </c>
      <c r="D509" s="65">
        <f>Calc!$FE$511</f>
        <v/>
      </c>
      <c r="E509" s="65">
        <f>Calc!$FF$511</f>
        <v/>
      </c>
      <c r="F509" s="65">
        <f>Calc!$FG$511</f>
        <v/>
      </c>
      <c r="G509" s="65">
        <f>Calc!$FH$511</f>
        <v/>
      </c>
      <c r="H509" s="65">
        <f>Calc!$FI$511</f>
        <v/>
      </c>
      <c r="I509" s="65">
        <f>Calc!$FJ$511</f>
        <v/>
      </c>
      <c r="J509" s="65">
        <f>Calc!$FK$511</f>
        <v/>
      </c>
      <c r="K509" s="65">
        <f>Calc!$FL$511</f>
        <v/>
      </c>
      <c r="L509" s="65">
        <f>Calc!$FM$511</f>
        <v/>
      </c>
      <c r="M509" s="66">
        <f>Calc!$FN$511</f>
        <v/>
      </c>
      <c r="N509" s="66">
        <f>Calc!$FO$511</f>
        <v/>
      </c>
      <c r="O509" s="65">
        <f>Calc!$FP$511</f>
        <v/>
      </c>
      <c r="P509" s="67">
        <f>Calc!$FQ$511</f>
        <v/>
      </c>
      <c r="Q509" s="68">
        <f>Calc!$FR$511</f>
        <v/>
      </c>
      <c r="R509" s="65">
        <f>Calc!$FS$511</f>
        <v/>
      </c>
      <c r="T509">
        <f>Calc!$EY$511</f>
        <v/>
      </c>
      <c r="U509">
        <f>Calc!$FT$511</f>
        <v/>
      </c>
      <c r="V509">
        <f>Calc!$FU$511</f>
        <v/>
      </c>
      <c r="W509">
        <f>Calc!$FC$511</f>
        <v/>
      </c>
      <c r="X509">
        <f>Calc!$EZ$511</f>
        <v/>
      </c>
      <c r="Y509">
        <f>Calc!$FA$511</f>
        <v/>
      </c>
      <c r="Z509">
        <f>Calc!$FV$511</f>
        <v/>
      </c>
      <c r="AA509">
        <f>IF($T509&lt;&gt;"row",0,IF($V509=1,IF($X509=1,IF($Y509=1,1,2),IF($Y509=1,3,4)),IF($X509=1,IF($Y509=1,5,6),IF($Y509=1,7,8))))</f>
        <v/>
      </c>
    </row>
    <row r="510" ht="11.25" customHeight="1">
      <c r="A510" s="64">
        <f>Calc!$FB$512</f>
        <v/>
      </c>
      <c r="B510" s="64">
        <f>Calc!$FC$512</f>
        <v/>
      </c>
      <c r="C510" s="65">
        <f>Calc!$FD$512</f>
        <v/>
      </c>
      <c r="D510" s="65">
        <f>Calc!$FE$512</f>
        <v/>
      </c>
      <c r="E510" s="65">
        <f>Calc!$FF$512</f>
        <v/>
      </c>
      <c r="F510" s="65">
        <f>Calc!$FG$512</f>
        <v/>
      </c>
      <c r="G510" s="65">
        <f>Calc!$FH$512</f>
        <v/>
      </c>
      <c r="H510" s="65">
        <f>Calc!$FI$512</f>
        <v/>
      </c>
      <c r="I510" s="65">
        <f>Calc!$FJ$512</f>
        <v/>
      </c>
      <c r="J510" s="65">
        <f>Calc!$FK$512</f>
        <v/>
      </c>
      <c r="K510" s="65">
        <f>Calc!$FL$512</f>
        <v/>
      </c>
      <c r="L510" s="65">
        <f>Calc!$FM$512</f>
        <v/>
      </c>
      <c r="M510" s="66">
        <f>Calc!$FN$512</f>
        <v/>
      </c>
      <c r="N510" s="66">
        <f>Calc!$FO$512</f>
        <v/>
      </c>
      <c r="O510" s="65">
        <f>Calc!$FP$512</f>
        <v/>
      </c>
      <c r="P510" s="67">
        <f>Calc!$FQ$512</f>
        <v/>
      </c>
      <c r="Q510" s="68">
        <f>Calc!$FR$512</f>
        <v/>
      </c>
      <c r="R510" s="65">
        <f>Calc!$FS$512</f>
        <v/>
      </c>
      <c r="T510">
        <f>Calc!$EY$512</f>
        <v/>
      </c>
      <c r="U510">
        <f>Calc!$FT$512</f>
        <v/>
      </c>
      <c r="V510">
        <f>Calc!$FU$512</f>
        <v/>
      </c>
      <c r="W510">
        <f>Calc!$FC$512</f>
        <v/>
      </c>
      <c r="X510">
        <f>Calc!$EZ$512</f>
        <v/>
      </c>
      <c r="Y510">
        <f>Calc!$FA$512</f>
        <v/>
      </c>
      <c r="Z510">
        <f>Calc!$FV$512</f>
        <v/>
      </c>
      <c r="AA510">
        <f>IF($T510&lt;&gt;"row",0,IF($V510=1,IF($X510=1,IF($Y510=1,1,2),IF($Y510=1,3,4)),IF($X510=1,IF($Y510=1,5,6),IF($Y510=1,7,8))))</f>
        <v/>
      </c>
    </row>
    <row r="511" ht="11.25" customHeight="1">
      <c r="A511" s="64">
        <f>Calc!$FB$513</f>
        <v/>
      </c>
      <c r="B511" s="64">
        <f>Calc!$FC$513</f>
        <v/>
      </c>
      <c r="C511" s="65">
        <f>Calc!$FD$513</f>
        <v/>
      </c>
      <c r="D511" s="65">
        <f>Calc!$FE$513</f>
        <v/>
      </c>
      <c r="E511" s="65">
        <f>Calc!$FF$513</f>
        <v/>
      </c>
      <c r="F511" s="65">
        <f>Calc!$FG$513</f>
        <v/>
      </c>
      <c r="G511" s="65">
        <f>Calc!$FH$513</f>
        <v/>
      </c>
      <c r="H511" s="65">
        <f>Calc!$FI$513</f>
        <v/>
      </c>
      <c r="I511" s="65">
        <f>Calc!$FJ$513</f>
        <v/>
      </c>
      <c r="J511" s="65">
        <f>Calc!$FK$513</f>
        <v/>
      </c>
      <c r="K511" s="65">
        <f>Calc!$FL$513</f>
        <v/>
      </c>
      <c r="L511" s="65">
        <f>Calc!$FM$513</f>
        <v/>
      </c>
      <c r="M511" s="66">
        <f>Calc!$FN$513</f>
        <v/>
      </c>
      <c r="N511" s="66">
        <f>Calc!$FO$513</f>
        <v/>
      </c>
      <c r="O511" s="65">
        <f>Calc!$FP$513</f>
        <v/>
      </c>
      <c r="P511" s="67">
        <f>Calc!$FQ$513</f>
        <v/>
      </c>
      <c r="Q511" s="68">
        <f>Calc!$FR$513</f>
        <v/>
      </c>
      <c r="R511" s="65">
        <f>Calc!$FS$513</f>
        <v/>
      </c>
      <c r="T511">
        <f>Calc!$EY$513</f>
        <v/>
      </c>
      <c r="U511">
        <f>Calc!$FT$513</f>
        <v/>
      </c>
      <c r="V511">
        <f>Calc!$FU$513</f>
        <v/>
      </c>
      <c r="W511">
        <f>Calc!$FC$513</f>
        <v/>
      </c>
      <c r="X511">
        <f>Calc!$EZ$513</f>
        <v/>
      </c>
      <c r="Y511">
        <f>Calc!$FA$513</f>
        <v/>
      </c>
      <c r="Z511">
        <f>Calc!$FV$513</f>
        <v/>
      </c>
      <c r="AA511">
        <f>IF($T511&lt;&gt;"row",0,IF($V511=1,IF($X511=1,IF($Y511=1,1,2),IF($Y511=1,3,4)),IF($X511=1,IF($Y511=1,5,6),IF($Y511=1,7,8))))</f>
        <v/>
      </c>
    </row>
    <row r="512" ht="11.25" customHeight="1">
      <c r="A512" s="64">
        <f>Calc!$FB$514</f>
        <v/>
      </c>
      <c r="B512" s="64">
        <f>Calc!$FC$514</f>
        <v/>
      </c>
      <c r="C512" s="65">
        <f>Calc!$FD$514</f>
        <v/>
      </c>
      <c r="D512" s="65">
        <f>Calc!$FE$514</f>
        <v/>
      </c>
      <c r="E512" s="65">
        <f>Calc!$FF$514</f>
        <v/>
      </c>
      <c r="F512" s="65">
        <f>Calc!$FG$514</f>
        <v/>
      </c>
      <c r="G512" s="65">
        <f>Calc!$FH$514</f>
        <v/>
      </c>
      <c r="H512" s="65">
        <f>Calc!$FI$514</f>
        <v/>
      </c>
      <c r="I512" s="65">
        <f>Calc!$FJ$514</f>
        <v/>
      </c>
      <c r="J512" s="65">
        <f>Calc!$FK$514</f>
        <v/>
      </c>
      <c r="K512" s="65">
        <f>Calc!$FL$514</f>
        <v/>
      </c>
      <c r="L512" s="65">
        <f>Calc!$FM$514</f>
        <v/>
      </c>
      <c r="M512" s="66">
        <f>Calc!$FN$514</f>
        <v/>
      </c>
      <c r="N512" s="66">
        <f>Calc!$FO$514</f>
        <v/>
      </c>
      <c r="O512" s="65">
        <f>Calc!$FP$514</f>
        <v/>
      </c>
      <c r="P512" s="67">
        <f>Calc!$FQ$514</f>
        <v/>
      </c>
      <c r="Q512" s="68">
        <f>Calc!$FR$514</f>
        <v/>
      </c>
      <c r="R512" s="65">
        <f>Calc!$FS$514</f>
        <v/>
      </c>
      <c r="T512">
        <f>Calc!$EY$514</f>
        <v/>
      </c>
      <c r="U512">
        <f>Calc!$FT$514</f>
        <v/>
      </c>
      <c r="V512">
        <f>Calc!$FU$514</f>
        <v/>
      </c>
      <c r="W512">
        <f>Calc!$FC$514</f>
        <v/>
      </c>
      <c r="X512">
        <f>Calc!$EZ$514</f>
        <v/>
      </c>
      <c r="Y512">
        <f>Calc!$FA$514</f>
        <v/>
      </c>
      <c r="Z512">
        <f>Calc!$FV$514</f>
        <v/>
      </c>
      <c r="AA512">
        <f>IF($T512&lt;&gt;"row",0,IF($V512=1,IF($X512=1,IF($Y512=1,1,2),IF($Y512=1,3,4)),IF($X512=1,IF($Y512=1,5,6),IF($Y512=1,7,8))))</f>
        <v/>
      </c>
    </row>
    <row r="513" ht="11.25" customHeight="1">
      <c r="A513" s="64">
        <f>Calc!$FB$515</f>
        <v/>
      </c>
      <c r="B513" s="64">
        <f>Calc!$FC$515</f>
        <v/>
      </c>
      <c r="C513" s="65">
        <f>Calc!$FD$515</f>
        <v/>
      </c>
      <c r="D513" s="65">
        <f>Calc!$FE$515</f>
        <v/>
      </c>
      <c r="E513" s="65">
        <f>Calc!$FF$515</f>
        <v/>
      </c>
      <c r="F513" s="65">
        <f>Calc!$FG$515</f>
        <v/>
      </c>
      <c r="G513" s="65">
        <f>Calc!$FH$515</f>
        <v/>
      </c>
      <c r="H513" s="65">
        <f>Calc!$FI$515</f>
        <v/>
      </c>
      <c r="I513" s="65">
        <f>Calc!$FJ$515</f>
        <v/>
      </c>
      <c r="J513" s="65">
        <f>Calc!$FK$515</f>
        <v/>
      </c>
      <c r="K513" s="65">
        <f>Calc!$FL$515</f>
        <v/>
      </c>
      <c r="L513" s="65">
        <f>Calc!$FM$515</f>
        <v/>
      </c>
      <c r="M513" s="66">
        <f>Calc!$FN$515</f>
        <v/>
      </c>
      <c r="N513" s="66">
        <f>Calc!$FO$515</f>
        <v/>
      </c>
      <c r="O513" s="65">
        <f>Calc!$FP$515</f>
        <v/>
      </c>
      <c r="P513" s="67">
        <f>Calc!$FQ$515</f>
        <v/>
      </c>
      <c r="Q513" s="68">
        <f>Calc!$FR$515</f>
        <v/>
      </c>
      <c r="R513" s="65">
        <f>Calc!$FS$515</f>
        <v/>
      </c>
      <c r="T513">
        <f>Calc!$EY$515</f>
        <v/>
      </c>
      <c r="U513">
        <f>Calc!$FT$515</f>
        <v/>
      </c>
      <c r="V513">
        <f>Calc!$FU$515</f>
        <v/>
      </c>
      <c r="W513">
        <f>Calc!$FC$515</f>
        <v/>
      </c>
      <c r="X513">
        <f>Calc!$EZ$515</f>
        <v/>
      </c>
      <c r="Y513">
        <f>Calc!$FA$515</f>
        <v/>
      </c>
      <c r="Z513">
        <f>Calc!$FV$515</f>
        <v/>
      </c>
      <c r="AA513">
        <f>IF($T513&lt;&gt;"row",0,IF($V513=1,IF($X513=1,IF($Y513=1,1,2),IF($Y513=1,3,4)),IF($X513=1,IF($Y513=1,5,6),IF($Y513=1,7,8))))</f>
        <v/>
      </c>
    </row>
    <row r="514" ht="11.25" customHeight="1">
      <c r="A514" s="64">
        <f>Calc!$FB$516</f>
        <v/>
      </c>
      <c r="B514" s="64">
        <f>Calc!$FC$516</f>
        <v/>
      </c>
      <c r="C514" s="65">
        <f>Calc!$FD$516</f>
        <v/>
      </c>
      <c r="D514" s="65">
        <f>Calc!$FE$516</f>
        <v/>
      </c>
      <c r="E514" s="65">
        <f>Calc!$FF$516</f>
        <v/>
      </c>
      <c r="F514" s="65">
        <f>Calc!$FG$516</f>
        <v/>
      </c>
      <c r="G514" s="65">
        <f>Calc!$FH$516</f>
        <v/>
      </c>
      <c r="H514" s="65">
        <f>Calc!$FI$516</f>
        <v/>
      </c>
      <c r="I514" s="65">
        <f>Calc!$FJ$516</f>
        <v/>
      </c>
      <c r="J514" s="65">
        <f>Calc!$FK$516</f>
        <v/>
      </c>
      <c r="K514" s="65">
        <f>Calc!$FL$516</f>
        <v/>
      </c>
      <c r="L514" s="65">
        <f>Calc!$FM$516</f>
        <v/>
      </c>
      <c r="M514" s="66">
        <f>Calc!$FN$516</f>
        <v/>
      </c>
      <c r="N514" s="66">
        <f>Calc!$FO$516</f>
        <v/>
      </c>
      <c r="O514" s="65">
        <f>Calc!$FP$516</f>
        <v/>
      </c>
      <c r="P514" s="67">
        <f>Calc!$FQ$516</f>
        <v/>
      </c>
      <c r="Q514" s="68">
        <f>Calc!$FR$516</f>
        <v/>
      </c>
      <c r="R514" s="65">
        <f>Calc!$FS$516</f>
        <v/>
      </c>
      <c r="T514">
        <f>Calc!$EY$516</f>
        <v/>
      </c>
      <c r="U514">
        <f>Calc!$FT$516</f>
        <v/>
      </c>
      <c r="V514">
        <f>Calc!$FU$516</f>
        <v/>
      </c>
      <c r="W514">
        <f>Calc!$FC$516</f>
        <v/>
      </c>
      <c r="X514">
        <f>Calc!$EZ$516</f>
        <v/>
      </c>
      <c r="Y514">
        <f>Calc!$FA$516</f>
        <v/>
      </c>
      <c r="Z514">
        <f>Calc!$FV$516</f>
        <v/>
      </c>
      <c r="AA514">
        <f>IF($T514&lt;&gt;"row",0,IF($V514=1,IF($X514=1,IF($Y514=1,1,2),IF($Y514=1,3,4)),IF($X514=1,IF($Y514=1,5,6),IF($Y514=1,7,8))))</f>
        <v/>
      </c>
    </row>
    <row r="515" ht="11.25" customHeight="1">
      <c r="A515" s="64">
        <f>Calc!$FB$517</f>
        <v/>
      </c>
      <c r="B515" s="64">
        <f>Calc!$FC$517</f>
        <v/>
      </c>
      <c r="C515" s="65">
        <f>Calc!$FD$517</f>
        <v/>
      </c>
      <c r="D515" s="65">
        <f>Calc!$FE$517</f>
        <v/>
      </c>
      <c r="E515" s="65">
        <f>Calc!$FF$517</f>
        <v/>
      </c>
      <c r="F515" s="65">
        <f>Calc!$FG$517</f>
        <v/>
      </c>
      <c r="G515" s="65">
        <f>Calc!$FH$517</f>
        <v/>
      </c>
      <c r="H515" s="65">
        <f>Calc!$FI$517</f>
        <v/>
      </c>
      <c r="I515" s="65">
        <f>Calc!$FJ$517</f>
        <v/>
      </c>
      <c r="J515" s="65">
        <f>Calc!$FK$517</f>
        <v/>
      </c>
      <c r="K515" s="65">
        <f>Calc!$FL$517</f>
        <v/>
      </c>
      <c r="L515" s="65">
        <f>Calc!$FM$517</f>
        <v/>
      </c>
      <c r="M515" s="66">
        <f>Calc!$FN$517</f>
        <v/>
      </c>
      <c r="N515" s="66">
        <f>Calc!$FO$517</f>
        <v/>
      </c>
      <c r="O515" s="65">
        <f>Calc!$FP$517</f>
        <v/>
      </c>
      <c r="P515" s="67">
        <f>Calc!$FQ$517</f>
        <v/>
      </c>
      <c r="Q515" s="68">
        <f>Calc!$FR$517</f>
        <v/>
      </c>
      <c r="R515" s="65">
        <f>Calc!$FS$517</f>
        <v/>
      </c>
      <c r="T515">
        <f>Calc!$EY$517</f>
        <v/>
      </c>
      <c r="U515">
        <f>Calc!$FT$517</f>
        <v/>
      </c>
      <c r="V515">
        <f>Calc!$FU$517</f>
        <v/>
      </c>
      <c r="W515">
        <f>Calc!$FC$517</f>
        <v/>
      </c>
      <c r="X515">
        <f>Calc!$EZ$517</f>
        <v/>
      </c>
      <c r="Y515">
        <f>Calc!$FA$517</f>
        <v/>
      </c>
      <c r="Z515">
        <f>Calc!$FV$517</f>
        <v/>
      </c>
      <c r="AA515">
        <f>IF($T515&lt;&gt;"row",0,IF($V515=1,IF($X515=1,IF($Y515=1,1,2),IF($Y515=1,3,4)),IF($X515=1,IF($Y515=1,5,6),IF($Y515=1,7,8))))</f>
        <v/>
      </c>
    </row>
    <row r="516" ht="11.25" customHeight="1">
      <c r="A516" s="64">
        <f>Calc!$FB$518</f>
        <v/>
      </c>
      <c r="B516" s="64">
        <f>Calc!$FC$518</f>
        <v/>
      </c>
      <c r="C516" s="65">
        <f>Calc!$FD$518</f>
        <v/>
      </c>
      <c r="D516" s="65">
        <f>Calc!$FE$518</f>
        <v/>
      </c>
      <c r="E516" s="65">
        <f>Calc!$FF$518</f>
        <v/>
      </c>
      <c r="F516" s="65">
        <f>Calc!$FG$518</f>
        <v/>
      </c>
      <c r="G516" s="65">
        <f>Calc!$FH$518</f>
        <v/>
      </c>
      <c r="H516" s="65">
        <f>Calc!$FI$518</f>
        <v/>
      </c>
      <c r="I516" s="65">
        <f>Calc!$FJ$518</f>
        <v/>
      </c>
      <c r="J516" s="65">
        <f>Calc!$FK$518</f>
        <v/>
      </c>
      <c r="K516" s="65">
        <f>Calc!$FL$518</f>
        <v/>
      </c>
      <c r="L516" s="65">
        <f>Calc!$FM$518</f>
        <v/>
      </c>
      <c r="M516" s="66">
        <f>Calc!$FN$518</f>
        <v/>
      </c>
      <c r="N516" s="66">
        <f>Calc!$FO$518</f>
        <v/>
      </c>
      <c r="O516" s="65">
        <f>Calc!$FP$518</f>
        <v/>
      </c>
      <c r="P516" s="67">
        <f>Calc!$FQ$518</f>
        <v/>
      </c>
      <c r="Q516" s="68">
        <f>Calc!$FR$518</f>
        <v/>
      </c>
      <c r="R516" s="65">
        <f>Calc!$FS$518</f>
        <v/>
      </c>
      <c r="T516">
        <f>Calc!$EY$518</f>
        <v/>
      </c>
      <c r="U516">
        <f>Calc!$FT$518</f>
        <v/>
      </c>
      <c r="V516">
        <f>Calc!$FU$518</f>
        <v/>
      </c>
      <c r="W516">
        <f>Calc!$FC$518</f>
        <v/>
      </c>
      <c r="X516">
        <f>Calc!$EZ$518</f>
        <v/>
      </c>
      <c r="Y516">
        <f>Calc!$FA$518</f>
        <v/>
      </c>
      <c r="Z516">
        <f>Calc!$FV$518</f>
        <v/>
      </c>
      <c r="AA516">
        <f>IF($T516&lt;&gt;"row",0,IF($V516=1,IF($X516=1,IF($Y516=1,1,2),IF($Y516=1,3,4)),IF($X516=1,IF($Y516=1,5,6),IF($Y516=1,7,8))))</f>
        <v/>
      </c>
    </row>
    <row r="517" ht="11.25" customHeight="1">
      <c r="A517" s="64">
        <f>Calc!$FB$519</f>
        <v/>
      </c>
      <c r="B517" s="64">
        <f>Calc!$FC$519</f>
        <v/>
      </c>
      <c r="C517" s="65">
        <f>Calc!$FD$519</f>
        <v/>
      </c>
      <c r="D517" s="65">
        <f>Calc!$FE$519</f>
        <v/>
      </c>
      <c r="E517" s="65">
        <f>Calc!$FF$519</f>
        <v/>
      </c>
      <c r="F517" s="65">
        <f>Calc!$FG$519</f>
        <v/>
      </c>
      <c r="G517" s="65">
        <f>Calc!$FH$519</f>
        <v/>
      </c>
      <c r="H517" s="65">
        <f>Calc!$FI$519</f>
        <v/>
      </c>
      <c r="I517" s="65">
        <f>Calc!$FJ$519</f>
        <v/>
      </c>
      <c r="J517" s="65">
        <f>Calc!$FK$519</f>
        <v/>
      </c>
      <c r="K517" s="65">
        <f>Calc!$FL$519</f>
        <v/>
      </c>
      <c r="L517" s="65">
        <f>Calc!$FM$519</f>
        <v/>
      </c>
      <c r="M517" s="66">
        <f>Calc!$FN$519</f>
        <v/>
      </c>
      <c r="N517" s="66">
        <f>Calc!$FO$519</f>
        <v/>
      </c>
      <c r="O517" s="65">
        <f>Calc!$FP$519</f>
        <v/>
      </c>
      <c r="P517" s="67">
        <f>Calc!$FQ$519</f>
        <v/>
      </c>
      <c r="Q517" s="68">
        <f>Calc!$FR$519</f>
        <v/>
      </c>
      <c r="R517" s="65">
        <f>Calc!$FS$519</f>
        <v/>
      </c>
      <c r="T517">
        <f>Calc!$EY$519</f>
        <v/>
      </c>
      <c r="U517">
        <f>Calc!$FT$519</f>
        <v/>
      </c>
      <c r="V517">
        <f>Calc!$FU$519</f>
        <v/>
      </c>
      <c r="W517">
        <f>Calc!$FC$519</f>
        <v/>
      </c>
      <c r="X517">
        <f>Calc!$EZ$519</f>
        <v/>
      </c>
      <c r="Y517">
        <f>Calc!$FA$519</f>
        <v/>
      </c>
      <c r="Z517">
        <f>Calc!$FV$519</f>
        <v/>
      </c>
      <c r="AA517">
        <f>IF($T517&lt;&gt;"row",0,IF($V517=1,IF($X517=1,IF($Y517=1,1,2),IF($Y517=1,3,4)),IF($X517=1,IF($Y517=1,5,6),IF($Y517=1,7,8))))</f>
        <v/>
      </c>
    </row>
    <row r="518" ht="11.25" customHeight="1">
      <c r="A518" s="64">
        <f>Calc!$FB$520</f>
        <v/>
      </c>
      <c r="B518" s="64">
        <f>Calc!$FC$520</f>
        <v/>
      </c>
      <c r="C518" s="65">
        <f>Calc!$FD$520</f>
        <v/>
      </c>
      <c r="D518" s="65">
        <f>Calc!$FE$520</f>
        <v/>
      </c>
      <c r="E518" s="65">
        <f>Calc!$FF$520</f>
        <v/>
      </c>
      <c r="F518" s="65">
        <f>Calc!$FG$520</f>
        <v/>
      </c>
      <c r="G518" s="65">
        <f>Calc!$FH$520</f>
        <v/>
      </c>
      <c r="H518" s="65">
        <f>Calc!$FI$520</f>
        <v/>
      </c>
      <c r="I518" s="65">
        <f>Calc!$FJ$520</f>
        <v/>
      </c>
      <c r="J518" s="65">
        <f>Calc!$FK$520</f>
        <v/>
      </c>
      <c r="K518" s="65">
        <f>Calc!$FL$520</f>
        <v/>
      </c>
      <c r="L518" s="65">
        <f>Calc!$FM$520</f>
        <v/>
      </c>
      <c r="M518" s="66">
        <f>Calc!$FN$520</f>
        <v/>
      </c>
      <c r="N518" s="66">
        <f>Calc!$FO$520</f>
        <v/>
      </c>
      <c r="O518" s="65">
        <f>Calc!$FP$520</f>
        <v/>
      </c>
      <c r="P518" s="67">
        <f>Calc!$FQ$520</f>
        <v/>
      </c>
      <c r="Q518" s="68">
        <f>Calc!$FR$520</f>
        <v/>
      </c>
      <c r="R518" s="65">
        <f>Calc!$FS$520</f>
        <v/>
      </c>
      <c r="T518">
        <f>Calc!$EY$520</f>
        <v/>
      </c>
      <c r="U518">
        <f>Calc!$FT$520</f>
        <v/>
      </c>
      <c r="V518">
        <f>Calc!$FU$520</f>
        <v/>
      </c>
      <c r="W518">
        <f>Calc!$FC$520</f>
        <v/>
      </c>
      <c r="X518">
        <f>Calc!$EZ$520</f>
        <v/>
      </c>
      <c r="Y518">
        <f>Calc!$FA$520</f>
        <v/>
      </c>
      <c r="Z518">
        <f>Calc!$FV$520</f>
        <v/>
      </c>
      <c r="AA518">
        <f>IF($T518&lt;&gt;"row",0,IF($V518=1,IF($X518=1,IF($Y518=1,1,2),IF($Y518=1,3,4)),IF($X518=1,IF($Y518=1,5,6),IF($Y518=1,7,8))))</f>
        <v/>
      </c>
    </row>
    <row r="519" ht="11.25" customHeight="1">
      <c r="A519" s="64">
        <f>Calc!$FB$521</f>
        <v/>
      </c>
      <c r="B519" s="64">
        <f>Calc!$FC$521</f>
        <v/>
      </c>
      <c r="C519" s="65">
        <f>Calc!$FD$521</f>
        <v/>
      </c>
      <c r="D519" s="65">
        <f>Calc!$FE$521</f>
        <v/>
      </c>
      <c r="E519" s="65">
        <f>Calc!$FF$521</f>
        <v/>
      </c>
      <c r="F519" s="65">
        <f>Calc!$FG$521</f>
        <v/>
      </c>
      <c r="G519" s="65">
        <f>Calc!$FH$521</f>
        <v/>
      </c>
      <c r="H519" s="65">
        <f>Calc!$FI$521</f>
        <v/>
      </c>
      <c r="I519" s="65">
        <f>Calc!$FJ$521</f>
        <v/>
      </c>
      <c r="J519" s="65">
        <f>Calc!$FK$521</f>
        <v/>
      </c>
      <c r="K519" s="65">
        <f>Calc!$FL$521</f>
        <v/>
      </c>
      <c r="L519" s="65">
        <f>Calc!$FM$521</f>
        <v/>
      </c>
      <c r="M519" s="66">
        <f>Calc!$FN$521</f>
        <v/>
      </c>
      <c r="N519" s="66">
        <f>Calc!$FO$521</f>
        <v/>
      </c>
      <c r="O519" s="65">
        <f>Calc!$FP$521</f>
        <v/>
      </c>
      <c r="P519" s="67">
        <f>Calc!$FQ$521</f>
        <v/>
      </c>
      <c r="Q519" s="68">
        <f>Calc!$FR$521</f>
        <v/>
      </c>
      <c r="R519" s="65">
        <f>Calc!$FS$521</f>
        <v/>
      </c>
      <c r="T519">
        <f>Calc!$EY$521</f>
        <v/>
      </c>
      <c r="U519">
        <f>Calc!$FT$521</f>
        <v/>
      </c>
      <c r="V519">
        <f>Calc!$FU$521</f>
        <v/>
      </c>
      <c r="W519">
        <f>Calc!$FC$521</f>
        <v/>
      </c>
      <c r="X519">
        <f>Calc!$EZ$521</f>
        <v/>
      </c>
      <c r="Y519">
        <f>Calc!$FA$521</f>
        <v/>
      </c>
      <c r="Z519">
        <f>Calc!$FV$521</f>
        <v/>
      </c>
      <c r="AA519">
        <f>IF($T519&lt;&gt;"row",0,IF($V519=1,IF($X519=1,IF($Y519=1,1,2),IF($Y519=1,3,4)),IF($X519=1,IF($Y519=1,5,6),IF($Y519=1,7,8))))</f>
        <v/>
      </c>
    </row>
    <row r="520" ht="11.25" customHeight="1">
      <c r="A520" s="64">
        <f>Calc!$FB$522</f>
        <v/>
      </c>
      <c r="B520" s="64">
        <f>Calc!$FC$522</f>
        <v/>
      </c>
      <c r="C520" s="65">
        <f>Calc!$FD$522</f>
        <v/>
      </c>
      <c r="D520" s="65">
        <f>Calc!$FE$522</f>
        <v/>
      </c>
      <c r="E520" s="65">
        <f>Calc!$FF$522</f>
        <v/>
      </c>
      <c r="F520" s="65">
        <f>Calc!$FG$522</f>
        <v/>
      </c>
      <c r="G520" s="65">
        <f>Calc!$FH$522</f>
        <v/>
      </c>
      <c r="H520" s="65">
        <f>Calc!$FI$522</f>
        <v/>
      </c>
      <c r="I520" s="65">
        <f>Calc!$FJ$522</f>
        <v/>
      </c>
      <c r="J520" s="65">
        <f>Calc!$FK$522</f>
        <v/>
      </c>
      <c r="K520" s="65">
        <f>Calc!$FL$522</f>
        <v/>
      </c>
      <c r="L520" s="65">
        <f>Calc!$FM$522</f>
        <v/>
      </c>
      <c r="M520" s="66">
        <f>Calc!$FN$522</f>
        <v/>
      </c>
      <c r="N520" s="66">
        <f>Calc!$FO$522</f>
        <v/>
      </c>
      <c r="O520" s="65">
        <f>Calc!$FP$522</f>
        <v/>
      </c>
      <c r="P520" s="67">
        <f>Calc!$FQ$522</f>
        <v/>
      </c>
      <c r="Q520" s="68">
        <f>Calc!$FR$522</f>
        <v/>
      </c>
      <c r="R520" s="65">
        <f>Calc!$FS$522</f>
        <v/>
      </c>
      <c r="T520">
        <f>Calc!$EY$522</f>
        <v/>
      </c>
      <c r="U520">
        <f>Calc!$FT$522</f>
        <v/>
      </c>
      <c r="V520">
        <f>Calc!$FU$522</f>
        <v/>
      </c>
      <c r="W520">
        <f>Calc!$FC$522</f>
        <v/>
      </c>
      <c r="X520">
        <f>Calc!$EZ$522</f>
        <v/>
      </c>
      <c r="Y520">
        <f>Calc!$FA$522</f>
        <v/>
      </c>
      <c r="Z520">
        <f>Calc!$FV$522</f>
        <v/>
      </c>
      <c r="AA520">
        <f>IF($T520&lt;&gt;"row",0,IF($V520=1,IF($X520=1,IF($Y520=1,1,2),IF($Y520=1,3,4)),IF($X520=1,IF($Y520=1,5,6),IF($Y520=1,7,8))))</f>
        <v/>
      </c>
    </row>
    <row r="521" ht="11.25" customHeight="1">
      <c r="A521" s="64">
        <f>Calc!$FB$523</f>
        <v/>
      </c>
      <c r="B521" s="64">
        <f>Calc!$FC$523</f>
        <v/>
      </c>
      <c r="C521" s="65">
        <f>Calc!$FD$523</f>
        <v/>
      </c>
      <c r="D521" s="65">
        <f>Calc!$FE$523</f>
        <v/>
      </c>
      <c r="E521" s="65">
        <f>Calc!$FF$523</f>
        <v/>
      </c>
      <c r="F521" s="65">
        <f>Calc!$FG$523</f>
        <v/>
      </c>
      <c r="G521" s="65">
        <f>Calc!$FH$523</f>
        <v/>
      </c>
      <c r="H521" s="65">
        <f>Calc!$FI$523</f>
        <v/>
      </c>
      <c r="I521" s="65">
        <f>Calc!$FJ$523</f>
        <v/>
      </c>
      <c r="J521" s="65">
        <f>Calc!$FK$523</f>
        <v/>
      </c>
      <c r="K521" s="65">
        <f>Calc!$FL$523</f>
        <v/>
      </c>
      <c r="L521" s="65">
        <f>Calc!$FM$523</f>
        <v/>
      </c>
      <c r="M521" s="66">
        <f>Calc!$FN$523</f>
        <v/>
      </c>
      <c r="N521" s="66">
        <f>Calc!$FO$523</f>
        <v/>
      </c>
      <c r="O521" s="65">
        <f>Calc!$FP$523</f>
        <v/>
      </c>
      <c r="P521" s="67">
        <f>Calc!$FQ$523</f>
        <v/>
      </c>
      <c r="Q521" s="68">
        <f>Calc!$FR$523</f>
        <v/>
      </c>
      <c r="R521" s="65">
        <f>Calc!$FS$523</f>
        <v/>
      </c>
      <c r="T521">
        <f>Calc!$EY$523</f>
        <v/>
      </c>
      <c r="U521">
        <f>Calc!$FT$523</f>
        <v/>
      </c>
      <c r="V521">
        <f>Calc!$FU$523</f>
        <v/>
      </c>
      <c r="W521">
        <f>Calc!$FC$523</f>
        <v/>
      </c>
      <c r="X521">
        <f>Calc!$EZ$523</f>
        <v/>
      </c>
      <c r="Y521">
        <f>Calc!$FA$523</f>
        <v/>
      </c>
      <c r="Z521">
        <f>Calc!$FV$523</f>
        <v/>
      </c>
      <c r="AA521">
        <f>IF($T521&lt;&gt;"row",0,IF($V521=1,IF($X521=1,IF($Y521=1,1,2),IF($Y521=1,3,4)),IF($X521=1,IF($Y521=1,5,6),IF($Y521=1,7,8))))</f>
        <v/>
      </c>
    </row>
    <row r="522" ht="11.25" customHeight="1">
      <c r="A522" s="64">
        <f>Calc!$FB$524</f>
        <v/>
      </c>
      <c r="B522" s="64">
        <f>Calc!$FC$524</f>
        <v/>
      </c>
      <c r="C522" s="65">
        <f>Calc!$FD$524</f>
        <v/>
      </c>
      <c r="D522" s="65">
        <f>Calc!$FE$524</f>
        <v/>
      </c>
      <c r="E522" s="65">
        <f>Calc!$FF$524</f>
        <v/>
      </c>
      <c r="F522" s="65">
        <f>Calc!$FG$524</f>
        <v/>
      </c>
      <c r="G522" s="65">
        <f>Calc!$FH$524</f>
        <v/>
      </c>
      <c r="H522" s="65">
        <f>Calc!$FI$524</f>
        <v/>
      </c>
      <c r="I522" s="65">
        <f>Calc!$FJ$524</f>
        <v/>
      </c>
      <c r="J522" s="65">
        <f>Calc!$FK$524</f>
        <v/>
      </c>
      <c r="K522" s="65">
        <f>Calc!$FL$524</f>
        <v/>
      </c>
      <c r="L522" s="65">
        <f>Calc!$FM$524</f>
        <v/>
      </c>
      <c r="M522" s="66">
        <f>Calc!$FN$524</f>
        <v/>
      </c>
      <c r="N522" s="66">
        <f>Calc!$FO$524</f>
        <v/>
      </c>
      <c r="O522" s="65">
        <f>Calc!$FP$524</f>
        <v/>
      </c>
      <c r="P522" s="67">
        <f>Calc!$FQ$524</f>
        <v/>
      </c>
      <c r="Q522" s="68">
        <f>Calc!$FR$524</f>
        <v/>
      </c>
      <c r="R522" s="65">
        <f>Calc!$FS$524</f>
        <v/>
      </c>
      <c r="T522">
        <f>Calc!$EY$524</f>
        <v/>
      </c>
      <c r="U522">
        <f>Calc!$FT$524</f>
        <v/>
      </c>
      <c r="V522">
        <f>Calc!$FU$524</f>
        <v/>
      </c>
      <c r="W522">
        <f>Calc!$FC$524</f>
        <v/>
      </c>
      <c r="X522">
        <f>Calc!$EZ$524</f>
        <v/>
      </c>
      <c r="Y522">
        <f>Calc!$FA$524</f>
        <v/>
      </c>
      <c r="Z522">
        <f>Calc!$FV$524</f>
        <v/>
      </c>
      <c r="AA522">
        <f>IF($T522&lt;&gt;"row",0,IF($V522=1,IF($X522=1,IF($Y522=1,1,2),IF($Y522=1,3,4)),IF($X522=1,IF($Y522=1,5,6),IF($Y522=1,7,8))))</f>
        <v/>
      </c>
    </row>
    <row r="523" ht="11.25" customHeight="1">
      <c r="A523" s="64">
        <f>Calc!$FB$525</f>
        <v/>
      </c>
      <c r="B523" s="64">
        <f>Calc!$FC$525</f>
        <v/>
      </c>
      <c r="C523" s="65">
        <f>Calc!$FD$525</f>
        <v/>
      </c>
      <c r="D523" s="65">
        <f>Calc!$FE$525</f>
        <v/>
      </c>
      <c r="E523" s="65">
        <f>Calc!$FF$525</f>
        <v/>
      </c>
      <c r="F523" s="65">
        <f>Calc!$FG$525</f>
        <v/>
      </c>
      <c r="G523" s="65">
        <f>Calc!$FH$525</f>
        <v/>
      </c>
      <c r="H523" s="65">
        <f>Calc!$FI$525</f>
        <v/>
      </c>
      <c r="I523" s="65">
        <f>Calc!$FJ$525</f>
        <v/>
      </c>
      <c r="J523" s="65">
        <f>Calc!$FK$525</f>
        <v/>
      </c>
      <c r="K523" s="65">
        <f>Calc!$FL$525</f>
        <v/>
      </c>
      <c r="L523" s="65">
        <f>Calc!$FM$525</f>
        <v/>
      </c>
      <c r="M523" s="66">
        <f>Calc!$FN$525</f>
        <v/>
      </c>
      <c r="N523" s="66">
        <f>Calc!$FO$525</f>
        <v/>
      </c>
      <c r="O523" s="65">
        <f>Calc!$FP$525</f>
        <v/>
      </c>
      <c r="P523" s="67">
        <f>Calc!$FQ$525</f>
        <v/>
      </c>
      <c r="Q523" s="68">
        <f>Calc!$FR$525</f>
        <v/>
      </c>
      <c r="R523" s="65">
        <f>Calc!$FS$525</f>
        <v/>
      </c>
      <c r="T523">
        <f>Calc!$EY$525</f>
        <v/>
      </c>
      <c r="U523">
        <f>Calc!$FT$525</f>
        <v/>
      </c>
      <c r="V523">
        <f>Calc!$FU$525</f>
        <v/>
      </c>
      <c r="W523">
        <f>Calc!$FC$525</f>
        <v/>
      </c>
      <c r="X523">
        <f>Calc!$EZ$525</f>
        <v/>
      </c>
      <c r="Y523">
        <f>Calc!$FA$525</f>
        <v/>
      </c>
      <c r="Z523">
        <f>Calc!$FV$525</f>
        <v/>
      </c>
      <c r="AA523">
        <f>IF($T523&lt;&gt;"row",0,IF($V523=1,IF($X523=1,IF($Y523=1,1,2),IF($Y523=1,3,4)),IF($X523=1,IF($Y523=1,5,6),IF($Y523=1,7,8))))</f>
        <v/>
      </c>
    </row>
    <row r="524" ht="11.25" customHeight="1">
      <c r="A524" s="64">
        <f>Calc!$FB$526</f>
        <v/>
      </c>
      <c r="B524" s="64">
        <f>Calc!$FC$526</f>
        <v/>
      </c>
      <c r="C524" s="65">
        <f>Calc!$FD$526</f>
        <v/>
      </c>
      <c r="D524" s="65">
        <f>Calc!$FE$526</f>
        <v/>
      </c>
      <c r="E524" s="65">
        <f>Calc!$FF$526</f>
        <v/>
      </c>
      <c r="F524" s="65">
        <f>Calc!$FG$526</f>
        <v/>
      </c>
      <c r="G524" s="65">
        <f>Calc!$FH$526</f>
        <v/>
      </c>
      <c r="H524" s="65">
        <f>Calc!$FI$526</f>
        <v/>
      </c>
      <c r="I524" s="65">
        <f>Calc!$FJ$526</f>
        <v/>
      </c>
      <c r="J524" s="65">
        <f>Calc!$FK$526</f>
        <v/>
      </c>
      <c r="K524" s="65">
        <f>Calc!$FL$526</f>
        <v/>
      </c>
      <c r="L524" s="65">
        <f>Calc!$FM$526</f>
        <v/>
      </c>
      <c r="M524" s="66">
        <f>Calc!$FN$526</f>
        <v/>
      </c>
      <c r="N524" s="66">
        <f>Calc!$FO$526</f>
        <v/>
      </c>
      <c r="O524" s="65">
        <f>Calc!$FP$526</f>
        <v/>
      </c>
      <c r="P524" s="67">
        <f>Calc!$FQ$526</f>
        <v/>
      </c>
      <c r="Q524" s="68">
        <f>Calc!$FR$526</f>
        <v/>
      </c>
      <c r="R524" s="65">
        <f>Calc!$FS$526</f>
        <v/>
      </c>
      <c r="T524">
        <f>Calc!$EY$526</f>
        <v/>
      </c>
      <c r="U524">
        <f>Calc!$FT$526</f>
        <v/>
      </c>
      <c r="V524">
        <f>Calc!$FU$526</f>
        <v/>
      </c>
      <c r="W524">
        <f>Calc!$FC$526</f>
        <v/>
      </c>
      <c r="X524">
        <f>Calc!$EZ$526</f>
        <v/>
      </c>
      <c r="Y524">
        <f>Calc!$FA$526</f>
        <v/>
      </c>
      <c r="Z524">
        <f>Calc!$FV$526</f>
        <v/>
      </c>
      <c r="AA524">
        <f>IF($T524&lt;&gt;"row",0,IF($V524=1,IF($X524=1,IF($Y524=1,1,2),IF($Y524=1,3,4)),IF($X524=1,IF($Y524=1,5,6),IF($Y524=1,7,8))))</f>
        <v/>
      </c>
    </row>
    <row r="525" ht="11.25" customHeight="1">
      <c r="A525" s="64">
        <f>Calc!$FB$527</f>
        <v/>
      </c>
      <c r="B525" s="64">
        <f>Calc!$FC$527</f>
        <v/>
      </c>
      <c r="C525" s="65">
        <f>Calc!$FD$527</f>
        <v/>
      </c>
      <c r="D525" s="65">
        <f>Calc!$FE$527</f>
        <v/>
      </c>
      <c r="E525" s="65">
        <f>Calc!$FF$527</f>
        <v/>
      </c>
      <c r="F525" s="65">
        <f>Calc!$FG$527</f>
        <v/>
      </c>
      <c r="G525" s="65">
        <f>Calc!$FH$527</f>
        <v/>
      </c>
      <c r="H525" s="65">
        <f>Calc!$FI$527</f>
        <v/>
      </c>
      <c r="I525" s="65">
        <f>Calc!$FJ$527</f>
        <v/>
      </c>
      <c r="J525" s="65">
        <f>Calc!$FK$527</f>
        <v/>
      </c>
      <c r="K525" s="65">
        <f>Calc!$FL$527</f>
        <v/>
      </c>
      <c r="L525" s="65">
        <f>Calc!$FM$527</f>
        <v/>
      </c>
      <c r="M525" s="66">
        <f>Calc!$FN$527</f>
        <v/>
      </c>
      <c r="N525" s="66">
        <f>Calc!$FO$527</f>
        <v/>
      </c>
      <c r="O525" s="65">
        <f>Calc!$FP$527</f>
        <v/>
      </c>
      <c r="P525" s="67">
        <f>Calc!$FQ$527</f>
        <v/>
      </c>
      <c r="Q525" s="68">
        <f>Calc!$FR$527</f>
        <v/>
      </c>
      <c r="R525" s="65">
        <f>Calc!$FS$527</f>
        <v/>
      </c>
      <c r="T525">
        <f>Calc!$EY$527</f>
        <v/>
      </c>
      <c r="U525">
        <f>Calc!$FT$527</f>
        <v/>
      </c>
      <c r="V525">
        <f>Calc!$FU$527</f>
        <v/>
      </c>
      <c r="W525">
        <f>Calc!$FC$527</f>
        <v/>
      </c>
      <c r="X525">
        <f>Calc!$EZ$527</f>
        <v/>
      </c>
      <c r="Y525">
        <f>Calc!$FA$527</f>
        <v/>
      </c>
      <c r="Z525">
        <f>Calc!$FV$527</f>
        <v/>
      </c>
      <c r="AA525">
        <f>IF($T525&lt;&gt;"row",0,IF($V525=1,IF($X525=1,IF($Y525=1,1,2),IF($Y525=1,3,4)),IF($X525=1,IF($Y525=1,5,6),IF($Y525=1,7,8))))</f>
        <v/>
      </c>
    </row>
    <row r="526" ht="11.25" customHeight="1">
      <c r="A526" s="64">
        <f>Calc!$FB$528</f>
        <v/>
      </c>
      <c r="B526" s="64">
        <f>Calc!$FC$528</f>
        <v/>
      </c>
      <c r="C526" s="65">
        <f>Calc!$FD$528</f>
        <v/>
      </c>
      <c r="D526" s="65">
        <f>Calc!$FE$528</f>
        <v/>
      </c>
      <c r="E526" s="65">
        <f>Calc!$FF$528</f>
        <v/>
      </c>
      <c r="F526" s="65">
        <f>Calc!$FG$528</f>
        <v/>
      </c>
      <c r="G526" s="65">
        <f>Calc!$FH$528</f>
        <v/>
      </c>
      <c r="H526" s="65">
        <f>Calc!$FI$528</f>
        <v/>
      </c>
      <c r="I526" s="65">
        <f>Calc!$FJ$528</f>
        <v/>
      </c>
      <c r="J526" s="65">
        <f>Calc!$FK$528</f>
        <v/>
      </c>
      <c r="K526" s="65">
        <f>Calc!$FL$528</f>
        <v/>
      </c>
      <c r="L526" s="65">
        <f>Calc!$FM$528</f>
        <v/>
      </c>
      <c r="M526" s="66">
        <f>Calc!$FN$528</f>
        <v/>
      </c>
      <c r="N526" s="66">
        <f>Calc!$FO$528</f>
        <v/>
      </c>
      <c r="O526" s="65">
        <f>Calc!$FP$528</f>
        <v/>
      </c>
      <c r="P526" s="67">
        <f>Calc!$FQ$528</f>
        <v/>
      </c>
      <c r="Q526" s="68">
        <f>Calc!$FR$528</f>
        <v/>
      </c>
      <c r="R526" s="65">
        <f>Calc!$FS$528</f>
        <v/>
      </c>
      <c r="T526">
        <f>Calc!$EY$528</f>
        <v/>
      </c>
      <c r="U526">
        <f>Calc!$FT$528</f>
        <v/>
      </c>
      <c r="V526">
        <f>Calc!$FU$528</f>
        <v/>
      </c>
      <c r="W526">
        <f>Calc!$FC$528</f>
        <v/>
      </c>
      <c r="X526">
        <f>Calc!$EZ$528</f>
        <v/>
      </c>
      <c r="Y526">
        <f>Calc!$FA$528</f>
        <v/>
      </c>
      <c r="Z526">
        <f>Calc!$FV$528</f>
        <v/>
      </c>
      <c r="AA526">
        <f>IF($T526&lt;&gt;"row",0,IF($V526=1,IF($X526=1,IF($Y526=1,1,2),IF($Y526=1,3,4)),IF($X526=1,IF($Y526=1,5,6),IF($Y526=1,7,8))))</f>
        <v/>
      </c>
    </row>
    <row r="527" ht="11.25" customHeight="1">
      <c r="A527" s="64">
        <f>Calc!$FB$529</f>
        <v/>
      </c>
      <c r="B527" s="64">
        <f>Calc!$FC$529</f>
        <v/>
      </c>
      <c r="C527" s="65">
        <f>Calc!$FD$529</f>
        <v/>
      </c>
      <c r="D527" s="65">
        <f>Calc!$FE$529</f>
        <v/>
      </c>
      <c r="E527" s="65">
        <f>Calc!$FF$529</f>
        <v/>
      </c>
      <c r="F527" s="65">
        <f>Calc!$FG$529</f>
        <v/>
      </c>
      <c r="G527" s="65">
        <f>Calc!$FH$529</f>
        <v/>
      </c>
      <c r="H527" s="65">
        <f>Calc!$FI$529</f>
        <v/>
      </c>
      <c r="I527" s="65">
        <f>Calc!$FJ$529</f>
        <v/>
      </c>
      <c r="J527" s="65">
        <f>Calc!$FK$529</f>
        <v/>
      </c>
      <c r="K527" s="65">
        <f>Calc!$FL$529</f>
        <v/>
      </c>
      <c r="L527" s="65">
        <f>Calc!$FM$529</f>
        <v/>
      </c>
      <c r="M527" s="66">
        <f>Calc!$FN$529</f>
        <v/>
      </c>
      <c r="N527" s="66">
        <f>Calc!$FO$529</f>
        <v/>
      </c>
      <c r="O527" s="65">
        <f>Calc!$FP$529</f>
        <v/>
      </c>
      <c r="P527" s="67">
        <f>Calc!$FQ$529</f>
        <v/>
      </c>
      <c r="Q527" s="68">
        <f>Calc!$FR$529</f>
        <v/>
      </c>
      <c r="R527" s="65">
        <f>Calc!$FS$529</f>
        <v/>
      </c>
      <c r="T527">
        <f>Calc!$EY$529</f>
        <v/>
      </c>
      <c r="U527">
        <f>Calc!$FT$529</f>
        <v/>
      </c>
      <c r="V527">
        <f>Calc!$FU$529</f>
        <v/>
      </c>
      <c r="W527">
        <f>Calc!$FC$529</f>
        <v/>
      </c>
      <c r="X527">
        <f>Calc!$EZ$529</f>
        <v/>
      </c>
      <c r="Y527">
        <f>Calc!$FA$529</f>
        <v/>
      </c>
      <c r="Z527">
        <f>Calc!$FV$529</f>
        <v/>
      </c>
      <c r="AA527">
        <f>IF($T527&lt;&gt;"row",0,IF($V527=1,IF($X527=1,IF($Y527=1,1,2),IF($Y527=1,3,4)),IF($X527=1,IF($Y527=1,5,6),IF($Y527=1,7,8))))</f>
        <v/>
      </c>
    </row>
    <row r="528" ht="11.25" customHeight="1">
      <c r="A528" s="64">
        <f>Calc!$FB$530</f>
        <v/>
      </c>
      <c r="B528" s="64">
        <f>Calc!$FC$530</f>
        <v/>
      </c>
      <c r="C528" s="65">
        <f>Calc!$FD$530</f>
        <v/>
      </c>
      <c r="D528" s="65">
        <f>Calc!$FE$530</f>
        <v/>
      </c>
      <c r="E528" s="65">
        <f>Calc!$FF$530</f>
        <v/>
      </c>
      <c r="F528" s="65">
        <f>Calc!$FG$530</f>
        <v/>
      </c>
      <c r="G528" s="65">
        <f>Calc!$FH$530</f>
        <v/>
      </c>
      <c r="H528" s="65">
        <f>Calc!$FI$530</f>
        <v/>
      </c>
      <c r="I528" s="65">
        <f>Calc!$FJ$530</f>
        <v/>
      </c>
      <c r="J528" s="65">
        <f>Calc!$FK$530</f>
        <v/>
      </c>
      <c r="K528" s="65">
        <f>Calc!$FL$530</f>
        <v/>
      </c>
      <c r="L528" s="65">
        <f>Calc!$FM$530</f>
        <v/>
      </c>
      <c r="M528" s="66">
        <f>Calc!$FN$530</f>
        <v/>
      </c>
      <c r="N528" s="66">
        <f>Calc!$FO$530</f>
        <v/>
      </c>
      <c r="O528" s="65">
        <f>Calc!$FP$530</f>
        <v/>
      </c>
      <c r="P528" s="67">
        <f>Calc!$FQ$530</f>
        <v/>
      </c>
      <c r="Q528" s="68">
        <f>Calc!$FR$530</f>
        <v/>
      </c>
      <c r="R528" s="65">
        <f>Calc!$FS$530</f>
        <v/>
      </c>
      <c r="T528">
        <f>Calc!$EY$530</f>
        <v/>
      </c>
      <c r="U528">
        <f>Calc!$FT$530</f>
        <v/>
      </c>
      <c r="V528">
        <f>Calc!$FU$530</f>
        <v/>
      </c>
      <c r="W528">
        <f>Calc!$FC$530</f>
        <v/>
      </c>
      <c r="X528">
        <f>Calc!$EZ$530</f>
        <v/>
      </c>
      <c r="Y528">
        <f>Calc!$FA$530</f>
        <v/>
      </c>
      <c r="Z528">
        <f>Calc!$FV$530</f>
        <v/>
      </c>
      <c r="AA528">
        <f>IF($T528&lt;&gt;"row",0,IF($V528=1,IF($X528=1,IF($Y528=1,1,2),IF($Y528=1,3,4)),IF($X528=1,IF($Y528=1,5,6),IF($Y528=1,7,8))))</f>
        <v/>
      </c>
    </row>
    <row r="529" ht="11.25" customHeight="1">
      <c r="A529" s="64">
        <f>Calc!$FB$531</f>
        <v/>
      </c>
      <c r="B529" s="64">
        <f>Calc!$FC$531</f>
        <v/>
      </c>
      <c r="C529" s="65">
        <f>Calc!$FD$531</f>
        <v/>
      </c>
      <c r="D529" s="65">
        <f>Calc!$FE$531</f>
        <v/>
      </c>
      <c r="E529" s="65">
        <f>Calc!$FF$531</f>
        <v/>
      </c>
      <c r="F529" s="65">
        <f>Calc!$FG$531</f>
        <v/>
      </c>
      <c r="G529" s="65">
        <f>Calc!$FH$531</f>
        <v/>
      </c>
      <c r="H529" s="65">
        <f>Calc!$FI$531</f>
        <v/>
      </c>
      <c r="I529" s="65">
        <f>Calc!$FJ$531</f>
        <v/>
      </c>
      <c r="J529" s="65">
        <f>Calc!$FK$531</f>
        <v/>
      </c>
      <c r="K529" s="65">
        <f>Calc!$FL$531</f>
        <v/>
      </c>
      <c r="L529" s="65">
        <f>Calc!$FM$531</f>
        <v/>
      </c>
      <c r="M529" s="66">
        <f>Calc!$FN$531</f>
        <v/>
      </c>
      <c r="N529" s="66">
        <f>Calc!$FO$531</f>
        <v/>
      </c>
      <c r="O529" s="65">
        <f>Calc!$FP$531</f>
        <v/>
      </c>
      <c r="P529" s="67">
        <f>Calc!$FQ$531</f>
        <v/>
      </c>
      <c r="Q529" s="68">
        <f>Calc!$FR$531</f>
        <v/>
      </c>
      <c r="R529" s="65">
        <f>Calc!$FS$531</f>
        <v/>
      </c>
      <c r="T529">
        <f>Calc!$EY$531</f>
        <v/>
      </c>
      <c r="U529">
        <f>Calc!$FT$531</f>
        <v/>
      </c>
      <c r="V529">
        <f>Calc!$FU$531</f>
        <v/>
      </c>
      <c r="W529">
        <f>Calc!$FC$531</f>
        <v/>
      </c>
      <c r="X529">
        <f>Calc!$EZ$531</f>
        <v/>
      </c>
      <c r="Y529">
        <f>Calc!$FA$531</f>
        <v/>
      </c>
      <c r="Z529">
        <f>Calc!$FV$531</f>
        <v/>
      </c>
      <c r="AA529">
        <f>IF($T529&lt;&gt;"row",0,IF($V529=1,IF($X529=1,IF($Y529=1,1,2),IF($Y529=1,3,4)),IF($X529=1,IF($Y529=1,5,6),IF($Y529=1,7,8))))</f>
        <v/>
      </c>
    </row>
    <row r="530" ht="11.25" customHeight="1">
      <c r="A530" s="64">
        <f>Calc!$FB$532</f>
        <v/>
      </c>
      <c r="B530" s="64">
        <f>Calc!$FC$532</f>
        <v/>
      </c>
      <c r="C530" s="65">
        <f>Calc!$FD$532</f>
        <v/>
      </c>
      <c r="D530" s="65">
        <f>Calc!$FE$532</f>
        <v/>
      </c>
      <c r="E530" s="65">
        <f>Calc!$FF$532</f>
        <v/>
      </c>
      <c r="F530" s="65">
        <f>Calc!$FG$532</f>
        <v/>
      </c>
      <c r="G530" s="65">
        <f>Calc!$FH$532</f>
        <v/>
      </c>
      <c r="H530" s="65">
        <f>Calc!$FI$532</f>
        <v/>
      </c>
      <c r="I530" s="65">
        <f>Calc!$FJ$532</f>
        <v/>
      </c>
      <c r="J530" s="65">
        <f>Calc!$FK$532</f>
        <v/>
      </c>
      <c r="K530" s="65">
        <f>Calc!$FL$532</f>
        <v/>
      </c>
      <c r="L530" s="65">
        <f>Calc!$FM$532</f>
        <v/>
      </c>
      <c r="M530" s="66">
        <f>Calc!$FN$532</f>
        <v/>
      </c>
      <c r="N530" s="66">
        <f>Calc!$FO$532</f>
        <v/>
      </c>
      <c r="O530" s="65">
        <f>Calc!$FP$532</f>
        <v/>
      </c>
      <c r="P530" s="67">
        <f>Calc!$FQ$532</f>
        <v/>
      </c>
      <c r="Q530" s="68">
        <f>Calc!$FR$532</f>
        <v/>
      </c>
      <c r="R530" s="65">
        <f>Calc!$FS$532</f>
        <v/>
      </c>
      <c r="T530">
        <f>Calc!$EY$532</f>
        <v/>
      </c>
      <c r="U530">
        <f>Calc!$FT$532</f>
        <v/>
      </c>
      <c r="V530">
        <f>Calc!$FU$532</f>
        <v/>
      </c>
      <c r="W530">
        <f>Calc!$FC$532</f>
        <v/>
      </c>
      <c r="X530">
        <f>Calc!$EZ$532</f>
        <v/>
      </c>
      <c r="Y530">
        <f>Calc!$FA$532</f>
        <v/>
      </c>
      <c r="Z530">
        <f>Calc!$FV$532</f>
        <v/>
      </c>
      <c r="AA530">
        <f>IF($T530&lt;&gt;"row",0,IF($V530=1,IF($X530=1,IF($Y530=1,1,2),IF($Y530=1,3,4)),IF($X530=1,IF($Y530=1,5,6),IF($Y530=1,7,8))))</f>
        <v/>
      </c>
    </row>
    <row r="531" ht="11.25" customHeight="1">
      <c r="A531" s="64">
        <f>Calc!$FB$533</f>
        <v/>
      </c>
      <c r="B531" s="64">
        <f>Calc!$FC$533</f>
        <v/>
      </c>
      <c r="C531" s="65">
        <f>Calc!$FD$533</f>
        <v/>
      </c>
      <c r="D531" s="65">
        <f>Calc!$FE$533</f>
        <v/>
      </c>
      <c r="E531" s="65">
        <f>Calc!$FF$533</f>
        <v/>
      </c>
      <c r="F531" s="65">
        <f>Calc!$FG$533</f>
        <v/>
      </c>
      <c r="G531" s="65">
        <f>Calc!$FH$533</f>
        <v/>
      </c>
      <c r="H531" s="65">
        <f>Calc!$FI$533</f>
        <v/>
      </c>
      <c r="I531" s="65">
        <f>Calc!$FJ$533</f>
        <v/>
      </c>
      <c r="J531" s="65">
        <f>Calc!$FK$533</f>
        <v/>
      </c>
      <c r="K531" s="65">
        <f>Calc!$FL$533</f>
        <v/>
      </c>
      <c r="L531" s="65">
        <f>Calc!$FM$533</f>
        <v/>
      </c>
      <c r="M531" s="66">
        <f>Calc!$FN$533</f>
        <v/>
      </c>
      <c r="N531" s="66">
        <f>Calc!$FO$533</f>
        <v/>
      </c>
      <c r="O531" s="65">
        <f>Calc!$FP$533</f>
        <v/>
      </c>
      <c r="P531" s="67">
        <f>Calc!$FQ$533</f>
        <v/>
      </c>
      <c r="Q531" s="68">
        <f>Calc!$FR$533</f>
        <v/>
      </c>
      <c r="R531" s="65">
        <f>Calc!$FS$533</f>
        <v/>
      </c>
      <c r="T531">
        <f>Calc!$EY$533</f>
        <v/>
      </c>
      <c r="U531">
        <f>Calc!$FT$533</f>
        <v/>
      </c>
      <c r="V531">
        <f>Calc!$FU$533</f>
        <v/>
      </c>
      <c r="W531">
        <f>Calc!$FC$533</f>
        <v/>
      </c>
      <c r="X531">
        <f>Calc!$EZ$533</f>
        <v/>
      </c>
      <c r="Y531">
        <f>Calc!$FA$533</f>
        <v/>
      </c>
      <c r="Z531">
        <f>Calc!$FV$533</f>
        <v/>
      </c>
      <c r="AA531">
        <f>IF($T531&lt;&gt;"row",0,IF($V531=1,IF($X531=1,IF($Y531=1,1,2),IF($Y531=1,3,4)),IF($X531=1,IF($Y531=1,5,6),IF($Y531=1,7,8))))</f>
        <v/>
      </c>
    </row>
    <row r="532" ht="11.25" customHeight="1">
      <c r="A532" s="64">
        <f>Calc!$FB$534</f>
        <v/>
      </c>
      <c r="B532" s="64">
        <f>Calc!$FC$534</f>
        <v/>
      </c>
      <c r="C532" s="65">
        <f>Calc!$FD$534</f>
        <v/>
      </c>
      <c r="D532" s="65">
        <f>Calc!$FE$534</f>
        <v/>
      </c>
      <c r="E532" s="65">
        <f>Calc!$FF$534</f>
        <v/>
      </c>
      <c r="F532" s="65">
        <f>Calc!$FG$534</f>
        <v/>
      </c>
      <c r="G532" s="65">
        <f>Calc!$FH$534</f>
        <v/>
      </c>
      <c r="H532" s="65">
        <f>Calc!$FI$534</f>
        <v/>
      </c>
      <c r="I532" s="65">
        <f>Calc!$FJ$534</f>
        <v/>
      </c>
      <c r="J532" s="65">
        <f>Calc!$FK$534</f>
        <v/>
      </c>
      <c r="K532" s="65">
        <f>Calc!$FL$534</f>
        <v/>
      </c>
      <c r="L532" s="65">
        <f>Calc!$FM$534</f>
        <v/>
      </c>
      <c r="M532" s="66">
        <f>Calc!$FN$534</f>
        <v/>
      </c>
      <c r="N532" s="66">
        <f>Calc!$FO$534</f>
        <v/>
      </c>
      <c r="O532" s="65">
        <f>Calc!$FP$534</f>
        <v/>
      </c>
      <c r="P532" s="67">
        <f>Calc!$FQ$534</f>
        <v/>
      </c>
      <c r="Q532" s="68">
        <f>Calc!$FR$534</f>
        <v/>
      </c>
      <c r="R532" s="65">
        <f>Calc!$FS$534</f>
        <v/>
      </c>
      <c r="T532">
        <f>Calc!$EY$534</f>
        <v/>
      </c>
      <c r="U532">
        <f>Calc!$FT$534</f>
        <v/>
      </c>
      <c r="V532">
        <f>Calc!$FU$534</f>
        <v/>
      </c>
      <c r="W532">
        <f>Calc!$FC$534</f>
        <v/>
      </c>
      <c r="X532">
        <f>Calc!$EZ$534</f>
        <v/>
      </c>
      <c r="Y532">
        <f>Calc!$FA$534</f>
        <v/>
      </c>
      <c r="Z532">
        <f>Calc!$FV$534</f>
        <v/>
      </c>
      <c r="AA532">
        <f>IF($T532&lt;&gt;"row",0,IF($V532=1,IF($X532=1,IF($Y532=1,1,2),IF($Y532=1,3,4)),IF($X532=1,IF($Y532=1,5,6),IF($Y532=1,7,8))))</f>
        <v/>
      </c>
    </row>
    <row r="533" ht="11.25" customHeight="1">
      <c r="A533" s="64">
        <f>Calc!$FB$535</f>
        <v/>
      </c>
      <c r="B533" s="64">
        <f>Calc!$FC$535</f>
        <v/>
      </c>
      <c r="C533" s="65">
        <f>Calc!$FD$535</f>
        <v/>
      </c>
      <c r="D533" s="65">
        <f>Calc!$FE$535</f>
        <v/>
      </c>
      <c r="E533" s="65">
        <f>Calc!$FF$535</f>
        <v/>
      </c>
      <c r="F533" s="65">
        <f>Calc!$FG$535</f>
        <v/>
      </c>
      <c r="G533" s="65">
        <f>Calc!$FH$535</f>
        <v/>
      </c>
      <c r="H533" s="65">
        <f>Calc!$FI$535</f>
        <v/>
      </c>
      <c r="I533" s="65">
        <f>Calc!$FJ$535</f>
        <v/>
      </c>
      <c r="J533" s="65">
        <f>Calc!$FK$535</f>
        <v/>
      </c>
      <c r="K533" s="65">
        <f>Calc!$FL$535</f>
        <v/>
      </c>
      <c r="L533" s="65">
        <f>Calc!$FM$535</f>
        <v/>
      </c>
      <c r="M533" s="66">
        <f>Calc!$FN$535</f>
        <v/>
      </c>
      <c r="N533" s="66">
        <f>Calc!$FO$535</f>
        <v/>
      </c>
      <c r="O533" s="65">
        <f>Calc!$FP$535</f>
        <v/>
      </c>
      <c r="P533" s="67">
        <f>Calc!$FQ$535</f>
        <v/>
      </c>
      <c r="Q533" s="68">
        <f>Calc!$FR$535</f>
        <v/>
      </c>
      <c r="R533" s="65">
        <f>Calc!$FS$535</f>
        <v/>
      </c>
      <c r="T533">
        <f>Calc!$EY$535</f>
        <v/>
      </c>
      <c r="U533">
        <f>Calc!$FT$535</f>
        <v/>
      </c>
      <c r="V533">
        <f>Calc!$FU$535</f>
        <v/>
      </c>
      <c r="W533">
        <f>Calc!$FC$535</f>
        <v/>
      </c>
      <c r="X533">
        <f>Calc!$EZ$535</f>
        <v/>
      </c>
      <c r="Y533">
        <f>Calc!$FA$535</f>
        <v/>
      </c>
      <c r="Z533">
        <f>Calc!$FV$535</f>
        <v/>
      </c>
      <c r="AA533">
        <f>IF($T533&lt;&gt;"row",0,IF($V533=1,IF($X533=1,IF($Y533=1,1,2),IF($Y533=1,3,4)),IF($X533=1,IF($Y533=1,5,6),IF($Y533=1,7,8))))</f>
        <v/>
      </c>
    </row>
    <row r="534" ht="11.25" customHeight="1">
      <c r="A534" s="64">
        <f>Calc!$FB$536</f>
        <v/>
      </c>
      <c r="B534" s="64">
        <f>Calc!$FC$536</f>
        <v/>
      </c>
      <c r="C534" s="65">
        <f>Calc!$FD$536</f>
        <v/>
      </c>
      <c r="D534" s="65">
        <f>Calc!$FE$536</f>
        <v/>
      </c>
      <c r="E534" s="65">
        <f>Calc!$FF$536</f>
        <v/>
      </c>
      <c r="F534" s="65">
        <f>Calc!$FG$536</f>
        <v/>
      </c>
      <c r="G534" s="65">
        <f>Calc!$FH$536</f>
        <v/>
      </c>
      <c r="H534" s="65">
        <f>Calc!$FI$536</f>
        <v/>
      </c>
      <c r="I534" s="65">
        <f>Calc!$FJ$536</f>
        <v/>
      </c>
      <c r="J534" s="65">
        <f>Calc!$FK$536</f>
        <v/>
      </c>
      <c r="K534" s="65">
        <f>Calc!$FL$536</f>
        <v/>
      </c>
      <c r="L534" s="65">
        <f>Calc!$FM$536</f>
        <v/>
      </c>
      <c r="M534" s="66">
        <f>Calc!$FN$536</f>
        <v/>
      </c>
      <c r="N534" s="66">
        <f>Calc!$FO$536</f>
        <v/>
      </c>
      <c r="O534" s="65">
        <f>Calc!$FP$536</f>
        <v/>
      </c>
      <c r="P534" s="67">
        <f>Calc!$FQ$536</f>
        <v/>
      </c>
      <c r="Q534" s="68">
        <f>Calc!$FR$536</f>
        <v/>
      </c>
      <c r="R534" s="65">
        <f>Calc!$FS$536</f>
        <v/>
      </c>
      <c r="T534">
        <f>Calc!$EY$536</f>
        <v/>
      </c>
      <c r="U534">
        <f>Calc!$FT$536</f>
        <v/>
      </c>
      <c r="V534">
        <f>Calc!$FU$536</f>
        <v/>
      </c>
      <c r="W534">
        <f>Calc!$FC$536</f>
        <v/>
      </c>
      <c r="X534">
        <f>Calc!$EZ$536</f>
        <v/>
      </c>
      <c r="Y534">
        <f>Calc!$FA$536</f>
        <v/>
      </c>
      <c r="Z534">
        <f>Calc!$FV$536</f>
        <v/>
      </c>
      <c r="AA534">
        <f>IF($T534&lt;&gt;"row",0,IF($V534=1,IF($X534=1,IF($Y534=1,1,2),IF($Y534=1,3,4)),IF($X534=1,IF($Y534=1,5,6),IF($Y534=1,7,8))))</f>
        <v/>
      </c>
    </row>
    <row r="535" ht="11.25" customHeight="1">
      <c r="A535" s="64">
        <f>Calc!$FB$537</f>
        <v/>
      </c>
      <c r="B535" s="64">
        <f>Calc!$FC$537</f>
        <v/>
      </c>
      <c r="C535" s="65">
        <f>Calc!$FD$537</f>
        <v/>
      </c>
      <c r="D535" s="65">
        <f>Calc!$FE$537</f>
        <v/>
      </c>
      <c r="E535" s="65">
        <f>Calc!$FF$537</f>
        <v/>
      </c>
      <c r="F535" s="65">
        <f>Calc!$FG$537</f>
        <v/>
      </c>
      <c r="G535" s="65">
        <f>Calc!$FH$537</f>
        <v/>
      </c>
      <c r="H535" s="65">
        <f>Calc!$FI$537</f>
        <v/>
      </c>
      <c r="I535" s="65">
        <f>Calc!$FJ$537</f>
        <v/>
      </c>
      <c r="J535" s="65">
        <f>Calc!$FK$537</f>
        <v/>
      </c>
      <c r="K535" s="65">
        <f>Calc!$FL$537</f>
        <v/>
      </c>
      <c r="L535" s="65">
        <f>Calc!$FM$537</f>
        <v/>
      </c>
      <c r="M535" s="66">
        <f>Calc!$FN$537</f>
        <v/>
      </c>
      <c r="N535" s="66">
        <f>Calc!$FO$537</f>
        <v/>
      </c>
      <c r="O535" s="65">
        <f>Calc!$FP$537</f>
        <v/>
      </c>
      <c r="P535" s="67">
        <f>Calc!$FQ$537</f>
        <v/>
      </c>
      <c r="Q535" s="68">
        <f>Calc!$FR$537</f>
        <v/>
      </c>
      <c r="R535" s="65">
        <f>Calc!$FS$537</f>
        <v/>
      </c>
      <c r="T535">
        <f>Calc!$EY$537</f>
        <v/>
      </c>
      <c r="U535">
        <f>Calc!$FT$537</f>
        <v/>
      </c>
      <c r="V535">
        <f>Calc!$FU$537</f>
        <v/>
      </c>
      <c r="W535">
        <f>Calc!$FC$537</f>
        <v/>
      </c>
      <c r="X535">
        <f>Calc!$EZ$537</f>
        <v/>
      </c>
      <c r="Y535">
        <f>Calc!$FA$537</f>
        <v/>
      </c>
      <c r="Z535">
        <f>Calc!$FV$537</f>
        <v/>
      </c>
      <c r="AA535">
        <f>IF($T535&lt;&gt;"row",0,IF($V535=1,IF($X535=1,IF($Y535=1,1,2),IF($Y535=1,3,4)),IF($X535=1,IF($Y535=1,5,6),IF($Y535=1,7,8))))</f>
        <v/>
      </c>
    </row>
    <row r="536" ht="11.25" customHeight="1">
      <c r="A536" s="64">
        <f>Calc!$FB$538</f>
        <v/>
      </c>
      <c r="B536" s="64">
        <f>Calc!$FC$538</f>
        <v/>
      </c>
      <c r="C536" s="65">
        <f>Calc!$FD$538</f>
        <v/>
      </c>
      <c r="D536" s="65">
        <f>Calc!$FE$538</f>
        <v/>
      </c>
      <c r="E536" s="65">
        <f>Calc!$FF$538</f>
        <v/>
      </c>
      <c r="F536" s="65">
        <f>Calc!$FG$538</f>
        <v/>
      </c>
      <c r="G536" s="65">
        <f>Calc!$FH$538</f>
        <v/>
      </c>
      <c r="H536" s="65">
        <f>Calc!$FI$538</f>
        <v/>
      </c>
      <c r="I536" s="65">
        <f>Calc!$FJ$538</f>
        <v/>
      </c>
      <c r="J536" s="65">
        <f>Calc!$FK$538</f>
        <v/>
      </c>
      <c r="K536" s="65">
        <f>Calc!$FL$538</f>
        <v/>
      </c>
      <c r="L536" s="65">
        <f>Calc!$FM$538</f>
        <v/>
      </c>
      <c r="M536" s="66">
        <f>Calc!$FN$538</f>
        <v/>
      </c>
      <c r="N536" s="66">
        <f>Calc!$FO$538</f>
        <v/>
      </c>
      <c r="O536" s="65">
        <f>Calc!$FP$538</f>
        <v/>
      </c>
      <c r="P536" s="67">
        <f>Calc!$FQ$538</f>
        <v/>
      </c>
      <c r="Q536" s="68">
        <f>Calc!$FR$538</f>
        <v/>
      </c>
      <c r="R536" s="65">
        <f>Calc!$FS$538</f>
        <v/>
      </c>
      <c r="T536">
        <f>Calc!$EY$538</f>
        <v/>
      </c>
      <c r="U536">
        <f>Calc!$FT$538</f>
        <v/>
      </c>
      <c r="V536">
        <f>Calc!$FU$538</f>
        <v/>
      </c>
      <c r="W536">
        <f>Calc!$FC$538</f>
        <v/>
      </c>
      <c r="X536">
        <f>Calc!$EZ$538</f>
        <v/>
      </c>
      <c r="Y536">
        <f>Calc!$FA$538</f>
        <v/>
      </c>
      <c r="Z536">
        <f>Calc!$FV$538</f>
        <v/>
      </c>
      <c r="AA536">
        <f>IF($T536&lt;&gt;"row",0,IF($V536=1,IF($X536=1,IF($Y536=1,1,2),IF($Y536=1,3,4)),IF($X536=1,IF($Y536=1,5,6),IF($Y536=1,7,8))))</f>
        <v/>
      </c>
    </row>
    <row r="537" ht="11.25" customHeight="1">
      <c r="A537" s="64">
        <f>Calc!$FB$539</f>
        <v/>
      </c>
      <c r="B537" s="64">
        <f>Calc!$FC$539</f>
        <v/>
      </c>
      <c r="C537" s="65">
        <f>Calc!$FD$539</f>
        <v/>
      </c>
      <c r="D537" s="65">
        <f>Calc!$FE$539</f>
        <v/>
      </c>
      <c r="E537" s="65">
        <f>Calc!$FF$539</f>
        <v/>
      </c>
      <c r="F537" s="65">
        <f>Calc!$FG$539</f>
        <v/>
      </c>
      <c r="G537" s="65">
        <f>Calc!$FH$539</f>
        <v/>
      </c>
      <c r="H537" s="65">
        <f>Calc!$FI$539</f>
        <v/>
      </c>
      <c r="I537" s="65">
        <f>Calc!$FJ$539</f>
        <v/>
      </c>
      <c r="J537" s="65">
        <f>Calc!$FK$539</f>
        <v/>
      </c>
      <c r="K537" s="65">
        <f>Calc!$FL$539</f>
        <v/>
      </c>
      <c r="L537" s="65">
        <f>Calc!$FM$539</f>
        <v/>
      </c>
      <c r="M537" s="66">
        <f>Calc!$FN$539</f>
        <v/>
      </c>
      <c r="N537" s="66">
        <f>Calc!$FO$539</f>
        <v/>
      </c>
      <c r="O537" s="65">
        <f>Calc!$FP$539</f>
        <v/>
      </c>
      <c r="P537" s="67">
        <f>Calc!$FQ$539</f>
        <v/>
      </c>
      <c r="Q537" s="68">
        <f>Calc!$FR$539</f>
        <v/>
      </c>
      <c r="R537" s="65">
        <f>Calc!$FS$539</f>
        <v/>
      </c>
      <c r="T537">
        <f>Calc!$EY$539</f>
        <v/>
      </c>
      <c r="U537">
        <f>Calc!$FT$539</f>
        <v/>
      </c>
      <c r="V537">
        <f>Calc!$FU$539</f>
        <v/>
      </c>
      <c r="W537">
        <f>Calc!$FC$539</f>
        <v/>
      </c>
      <c r="X537">
        <f>Calc!$EZ$539</f>
        <v/>
      </c>
      <c r="Y537">
        <f>Calc!$FA$539</f>
        <v/>
      </c>
      <c r="Z537">
        <f>Calc!$FV$539</f>
        <v/>
      </c>
      <c r="AA537">
        <f>IF($T537&lt;&gt;"row",0,IF($V537=1,IF($X537=1,IF($Y537=1,1,2),IF($Y537=1,3,4)),IF($X537=1,IF($Y537=1,5,6),IF($Y537=1,7,8))))</f>
        <v/>
      </c>
    </row>
    <row r="538" ht="11.25" customHeight="1">
      <c r="A538" s="64">
        <f>Calc!$FB$540</f>
        <v/>
      </c>
      <c r="B538" s="64">
        <f>Calc!$FC$540</f>
        <v/>
      </c>
      <c r="C538" s="65">
        <f>Calc!$FD$540</f>
        <v/>
      </c>
      <c r="D538" s="65">
        <f>Calc!$FE$540</f>
        <v/>
      </c>
      <c r="E538" s="65">
        <f>Calc!$FF$540</f>
        <v/>
      </c>
      <c r="F538" s="65">
        <f>Calc!$FG$540</f>
        <v/>
      </c>
      <c r="G538" s="65">
        <f>Calc!$FH$540</f>
        <v/>
      </c>
      <c r="H538" s="65">
        <f>Calc!$FI$540</f>
        <v/>
      </c>
      <c r="I538" s="65">
        <f>Calc!$FJ$540</f>
        <v/>
      </c>
      <c r="J538" s="65">
        <f>Calc!$FK$540</f>
        <v/>
      </c>
      <c r="K538" s="65">
        <f>Calc!$FL$540</f>
        <v/>
      </c>
      <c r="L538" s="65">
        <f>Calc!$FM$540</f>
        <v/>
      </c>
      <c r="M538" s="66">
        <f>Calc!$FN$540</f>
        <v/>
      </c>
      <c r="N538" s="66">
        <f>Calc!$FO$540</f>
        <v/>
      </c>
      <c r="O538" s="65">
        <f>Calc!$FP$540</f>
        <v/>
      </c>
      <c r="P538" s="67">
        <f>Calc!$FQ$540</f>
        <v/>
      </c>
      <c r="Q538" s="68">
        <f>Calc!$FR$540</f>
        <v/>
      </c>
      <c r="R538" s="65">
        <f>Calc!$FS$540</f>
        <v/>
      </c>
      <c r="T538">
        <f>Calc!$EY$540</f>
        <v/>
      </c>
      <c r="U538">
        <f>Calc!$FT$540</f>
        <v/>
      </c>
      <c r="V538">
        <f>Calc!$FU$540</f>
        <v/>
      </c>
      <c r="W538">
        <f>Calc!$FC$540</f>
        <v/>
      </c>
      <c r="X538">
        <f>Calc!$EZ$540</f>
        <v/>
      </c>
      <c r="Y538">
        <f>Calc!$FA$540</f>
        <v/>
      </c>
      <c r="Z538">
        <f>Calc!$FV$540</f>
        <v/>
      </c>
      <c r="AA538">
        <f>IF($T538&lt;&gt;"row",0,IF($V538=1,IF($X538=1,IF($Y538=1,1,2),IF($Y538=1,3,4)),IF($X538=1,IF($Y538=1,5,6),IF($Y538=1,7,8))))</f>
        <v/>
      </c>
    </row>
    <row r="539" ht="11.25" customHeight="1">
      <c r="A539" s="64">
        <f>Calc!$FB$541</f>
        <v/>
      </c>
      <c r="B539" s="64">
        <f>Calc!$FC$541</f>
        <v/>
      </c>
      <c r="C539" s="65">
        <f>Calc!$FD$541</f>
        <v/>
      </c>
      <c r="D539" s="65">
        <f>Calc!$FE$541</f>
        <v/>
      </c>
      <c r="E539" s="65">
        <f>Calc!$FF$541</f>
        <v/>
      </c>
      <c r="F539" s="65">
        <f>Calc!$FG$541</f>
        <v/>
      </c>
      <c r="G539" s="65">
        <f>Calc!$FH$541</f>
        <v/>
      </c>
      <c r="H539" s="65">
        <f>Calc!$FI$541</f>
        <v/>
      </c>
      <c r="I539" s="65">
        <f>Calc!$FJ$541</f>
        <v/>
      </c>
      <c r="J539" s="65">
        <f>Calc!$FK$541</f>
        <v/>
      </c>
      <c r="K539" s="65">
        <f>Calc!$FL$541</f>
        <v/>
      </c>
      <c r="L539" s="65">
        <f>Calc!$FM$541</f>
        <v/>
      </c>
      <c r="M539" s="66">
        <f>Calc!$FN$541</f>
        <v/>
      </c>
      <c r="N539" s="66">
        <f>Calc!$FO$541</f>
        <v/>
      </c>
      <c r="O539" s="65">
        <f>Calc!$FP$541</f>
        <v/>
      </c>
      <c r="P539" s="67">
        <f>Calc!$FQ$541</f>
        <v/>
      </c>
      <c r="Q539" s="68">
        <f>Calc!$FR$541</f>
        <v/>
      </c>
      <c r="R539" s="65">
        <f>Calc!$FS$541</f>
        <v/>
      </c>
      <c r="T539">
        <f>Calc!$EY$541</f>
        <v/>
      </c>
      <c r="U539">
        <f>Calc!$FT$541</f>
        <v/>
      </c>
      <c r="V539">
        <f>Calc!$FU$541</f>
        <v/>
      </c>
      <c r="W539">
        <f>Calc!$FC$541</f>
        <v/>
      </c>
      <c r="X539">
        <f>Calc!$EZ$541</f>
        <v/>
      </c>
      <c r="Y539">
        <f>Calc!$FA$541</f>
        <v/>
      </c>
      <c r="Z539">
        <f>Calc!$FV$541</f>
        <v/>
      </c>
      <c r="AA539">
        <f>IF($T539&lt;&gt;"row",0,IF($V539=1,IF($X539=1,IF($Y539=1,1,2),IF($Y539=1,3,4)),IF($X539=1,IF($Y539=1,5,6),IF($Y539=1,7,8))))</f>
        <v/>
      </c>
    </row>
    <row r="540" ht="11.25" customHeight="1">
      <c r="A540" s="64">
        <f>Calc!$FB$542</f>
        <v/>
      </c>
      <c r="B540" s="64">
        <f>Calc!$FC$542</f>
        <v/>
      </c>
      <c r="C540" s="65">
        <f>Calc!$FD$542</f>
        <v/>
      </c>
      <c r="D540" s="65">
        <f>Calc!$FE$542</f>
        <v/>
      </c>
      <c r="E540" s="65">
        <f>Calc!$FF$542</f>
        <v/>
      </c>
      <c r="F540" s="65">
        <f>Calc!$FG$542</f>
        <v/>
      </c>
      <c r="G540" s="65">
        <f>Calc!$FH$542</f>
        <v/>
      </c>
      <c r="H540" s="65">
        <f>Calc!$FI$542</f>
        <v/>
      </c>
      <c r="I540" s="65">
        <f>Calc!$FJ$542</f>
        <v/>
      </c>
      <c r="J540" s="65">
        <f>Calc!$FK$542</f>
        <v/>
      </c>
      <c r="K540" s="65">
        <f>Calc!$FL$542</f>
        <v/>
      </c>
      <c r="L540" s="65">
        <f>Calc!$FM$542</f>
        <v/>
      </c>
      <c r="M540" s="66">
        <f>Calc!$FN$542</f>
        <v/>
      </c>
      <c r="N540" s="66">
        <f>Calc!$FO$542</f>
        <v/>
      </c>
      <c r="O540" s="65">
        <f>Calc!$FP$542</f>
        <v/>
      </c>
      <c r="P540" s="67">
        <f>Calc!$FQ$542</f>
        <v/>
      </c>
      <c r="Q540" s="68">
        <f>Calc!$FR$542</f>
        <v/>
      </c>
      <c r="R540" s="65">
        <f>Calc!$FS$542</f>
        <v/>
      </c>
      <c r="T540">
        <f>Calc!$EY$542</f>
        <v/>
      </c>
      <c r="U540">
        <f>Calc!$FT$542</f>
        <v/>
      </c>
      <c r="V540">
        <f>Calc!$FU$542</f>
        <v/>
      </c>
      <c r="W540">
        <f>Calc!$FC$542</f>
        <v/>
      </c>
      <c r="X540">
        <f>Calc!$EZ$542</f>
        <v/>
      </c>
      <c r="Y540">
        <f>Calc!$FA$542</f>
        <v/>
      </c>
      <c r="Z540">
        <f>Calc!$FV$542</f>
        <v/>
      </c>
      <c r="AA540">
        <f>IF($T540&lt;&gt;"row",0,IF($V540=1,IF($X540=1,IF($Y540=1,1,2),IF($Y540=1,3,4)),IF($X540=1,IF($Y540=1,5,6),IF($Y540=1,7,8))))</f>
        <v/>
      </c>
    </row>
    <row r="541" ht="11.25" customHeight="1">
      <c r="A541" s="64">
        <f>Calc!$FB$543</f>
        <v/>
      </c>
      <c r="B541" s="64">
        <f>Calc!$FC$543</f>
        <v/>
      </c>
      <c r="C541" s="65">
        <f>Calc!$FD$543</f>
        <v/>
      </c>
      <c r="D541" s="65">
        <f>Calc!$FE$543</f>
        <v/>
      </c>
      <c r="E541" s="65">
        <f>Calc!$FF$543</f>
        <v/>
      </c>
      <c r="F541" s="65">
        <f>Calc!$FG$543</f>
        <v/>
      </c>
      <c r="G541" s="65">
        <f>Calc!$FH$543</f>
        <v/>
      </c>
      <c r="H541" s="65">
        <f>Calc!$FI$543</f>
        <v/>
      </c>
      <c r="I541" s="65">
        <f>Calc!$FJ$543</f>
        <v/>
      </c>
      <c r="J541" s="65">
        <f>Calc!$FK$543</f>
        <v/>
      </c>
      <c r="K541" s="65">
        <f>Calc!$FL$543</f>
        <v/>
      </c>
      <c r="L541" s="65">
        <f>Calc!$FM$543</f>
        <v/>
      </c>
      <c r="M541" s="66">
        <f>Calc!$FN$543</f>
        <v/>
      </c>
      <c r="N541" s="66">
        <f>Calc!$FO$543</f>
        <v/>
      </c>
      <c r="O541" s="65">
        <f>Calc!$FP$543</f>
        <v/>
      </c>
      <c r="P541" s="67">
        <f>Calc!$FQ$543</f>
        <v/>
      </c>
      <c r="Q541" s="68">
        <f>Calc!$FR$543</f>
        <v/>
      </c>
      <c r="R541" s="65">
        <f>Calc!$FS$543</f>
        <v/>
      </c>
      <c r="T541">
        <f>Calc!$EY$543</f>
        <v/>
      </c>
      <c r="U541">
        <f>Calc!$FT$543</f>
        <v/>
      </c>
      <c r="V541">
        <f>Calc!$FU$543</f>
        <v/>
      </c>
      <c r="W541">
        <f>Calc!$FC$543</f>
        <v/>
      </c>
      <c r="X541">
        <f>Calc!$EZ$543</f>
        <v/>
      </c>
      <c r="Y541">
        <f>Calc!$FA$543</f>
        <v/>
      </c>
      <c r="Z541">
        <f>Calc!$FV$543</f>
        <v/>
      </c>
      <c r="AA541">
        <f>IF($T541&lt;&gt;"row",0,IF($V541=1,IF($X541=1,IF($Y541=1,1,2),IF($Y541=1,3,4)),IF($X541=1,IF($Y541=1,5,6),IF($Y541=1,7,8))))</f>
        <v/>
      </c>
    </row>
    <row r="542" ht="11.25" customHeight="1">
      <c r="A542" s="64">
        <f>Calc!$FB$544</f>
        <v/>
      </c>
      <c r="B542" s="64">
        <f>Calc!$FC$544</f>
        <v/>
      </c>
      <c r="C542" s="65">
        <f>Calc!$FD$544</f>
        <v/>
      </c>
      <c r="D542" s="65">
        <f>Calc!$FE$544</f>
        <v/>
      </c>
      <c r="E542" s="65">
        <f>Calc!$FF$544</f>
        <v/>
      </c>
      <c r="F542" s="65">
        <f>Calc!$FG$544</f>
        <v/>
      </c>
      <c r="G542" s="65">
        <f>Calc!$FH$544</f>
        <v/>
      </c>
      <c r="H542" s="65">
        <f>Calc!$FI$544</f>
        <v/>
      </c>
      <c r="I542" s="65">
        <f>Calc!$FJ$544</f>
        <v/>
      </c>
      <c r="J542" s="65">
        <f>Calc!$FK$544</f>
        <v/>
      </c>
      <c r="K542" s="65">
        <f>Calc!$FL$544</f>
        <v/>
      </c>
      <c r="L542" s="65">
        <f>Calc!$FM$544</f>
        <v/>
      </c>
      <c r="M542" s="66">
        <f>Calc!$FN$544</f>
        <v/>
      </c>
      <c r="N542" s="66">
        <f>Calc!$FO$544</f>
        <v/>
      </c>
      <c r="O542" s="65">
        <f>Calc!$FP$544</f>
        <v/>
      </c>
      <c r="P542" s="67">
        <f>Calc!$FQ$544</f>
        <v/>
      </c>
      <c r="Q542" s="68">
        <f>Calc!$FR$544</f>
        <v/>
      </c>
      <c r="R542" s="65">
        <f>Calc!$FS$544</f>
        <v/>
      </c>
      <c r="T542">
        <f>Calc!$EY$544</f>
        <v/>
      </c>
      <c r="U542">
        <f>Calc!$FT$544</f>
        <v/>
      </c>
      <c r="V542">
        <f>Calc!$FU$544</f>
        <v/>
      </c>
      <c r="W542">
        <f>Calc!$FC$544</f>
        <v/>
      </c>
      <c r="X542">
        <f>Calc!$EZ$544</f>
        <v/>
      </c>
      <c r="Y542">
        <f>Calc!$FA$544</f>
        <v/>
      </c>
      <c r="Z542">
        <f>Calc!$FV$544</f>
        <v/>
      </c>
      <c r="AA542">
        <f>IF($T542&lt;&gt;"row",0,IF($V542=1,IF($X542=1,IF($Y542=1,1,2),IF($Y542=1,3,4)),IF($X542=1,IF($Y542=1,5,6),IF($Y542=1,7,8))))</f>
        <v/>
      </c>
    </row>
    <row r="543" ht="11.25" customHeight="1">
      <c r="A543" s="64">
        <f>Calc!$FB$545</f>
        <v/>
      </c>
      <c r="B543" s="64">
        <f>Calc!$FC$545</f>
        <v/>
      </c>
      <c r="C543" s="65">
        <f>Calc!$FD$545</f>
        <v/>
      </c>
      <c r="D543" s="65">
        <f>Calc!$FE$545</f>
        <v/>
      </c>
      <c r="E543" s="65">
        <f>Calc!$FF$545</f>
        <v/>
      </c>
      <c r="F543" s="65">
        <f>Calc!$FG$545</f>
        <v/>
      </c>
      <c r="G543" s="65">
        <f>Calc!$FH$545</f>
        <v/>
      </c>
      <c r="H543" s="65">
        <f>Calc!$FI$545</f>
        <v/>
      </c>
      <c r="I543" s="65">
        <f>Calc!$FJ$545</f>
        <v/>
      </c>
      <c r="J543" s="65">
        <f>Calc!$FK$545</f>
        <v/>
      </c>
      <c r="K543" s="65">
        <f>Calc!$FL$545</f>
        <v/>
      </c>
      <c r="L543" s="65">
        <f>Calc!$FM$545</f>
        <v/>
      </c>
      <c r="M543" s="66">
        <f>Calc!$FN$545</f>
        <v/>
      </c>
      <c r="N543" s="66">
        <f>Calc!$FO$545</f>
        <v/>
      </c>
      <c r="O543" s="65">
        <f>Calc!$FP$545</f>
        <v/>
      </c>
      <c r="P543" s="67">
        <f>Calc!$FQ$545</f>
        <v/>
      </c>
      <c r="Q543" s="68">
        <f>Calc!$FR$545</f>
        <v/>
      </c>
      <c r="R543" s="65">
        <f>Calc!$FS$545</f>
        <v/>
      </c>
      <c r="T543">
        <f>Calc!$EY$545</f>
        <v/>
      </c>
      <c r="U543">
        <f>Calc!$FT$545</f>
        <v/>
      </c>
      <c r="V543">
        <f>Calc!$FU$545</f>
        <v/>
      </c>
      <c r="W543">
        <f>Calc!$FC$545</f>
        <v/>
      </c>
      <c r="X543">
        <f>Calc!$EZ$545</f>
        <v/>
      </c>
      <c r="Y543">
        <f>Calc!$FA$545</f>
        <v/>
      </c>
      <c r="Z543">
        <f>Calc!$FV$545</f>
        <v/>
      </c>
      <c r="AA543">
        <f>IF($T543&lt;&gt;"row",0,IF($V543=1,IF($X543=1,IF($Y543=1,1,2),IF($Y543=1,3,4)),IF($X543=1,IF($Y543=1,5,6),IF($Y543=1,7,8))))</f>
        <v/>
      </c>
    </row>
    <row r="544" ht="11.25" customHeight="1">
      <c r="A544" s="64">
        <f>Calc!$FB$546</f>
        <v/>
      </c>
      <c r="B544" s="64">
        <f>Calc!$FC$546</f>
        <v/>
      </c>
      <c r="C544" s="65">
        <f>Calc!$FD$546</f>
        <v/>
      </c>
      <c r="D544" s="65">
        <f>Calc!$FE$546</f>
        <v/>
      </c>
      <c r="E544" s="65">
        <f>Calc!$FF$546</f>
        <v/>
      </c>
      <c r="F544" s="65">
        <f>Calc!$FG$546</f>
        <v/>
      </c>
      <c r="G544" s="65">
        <f>Calc!$FH$546</f>
        <v/>
      </c>
      <c r="H544" s="65">
        <f>Calc!$FI$546</f>
        <v/>
      </c>
      <c r="I544" s="65">
        <f>Calc!$FJ$546</f>
        <v/>
      </c>
      <c r="J544" s="65">
        <f>Calc!$FK$546</f>
        <v/>
      </c>
      <c r="K544" s="65">
        <f>Calc!$FL$546</f>
        <v/>
      </c>
      <c r="L544" s="65">
        <f>Calc!$FM$546</f>
        <v/>
      </c>
      <c r="M544" s="66">
        <f>Calc!$FN$546</f>
        <v/>
      </c>
      <c r="N544" s="66">
        <f>Calc!$FO$546</f>
        <v/>
      </c>
      <c r="O544" s="65">
        <f>Calc!$FP$546</f>
        <v/>
      </c>
      <c r="P544" s="67">
        <f>Calc!$FQ$546</f>
        <v/>
      </c>
      <c r="Q544" s="68">
        <f>Calc!$FR$546</f>
        <v/>
      </c>
      <c r="R544" s="65">
        <f>Calc!$FS$546</f>
        <v/>
      </c>
      <c r="T544">
        <f>Calc!$EY$546</f>
        <v/>
      </c>
      <c r="U544">
        <f>Calc!$FT$546</f>
        <v/>
      </c>
      <c r="V544">
        <f>Calc!$FU$546</f>
        <v/>
      </c>
      <c r="W544">
        <f>Calc!$FC$546</f>
        <v/>
      </c>
      <c r="X544">
        <f>Calc!$EZ$546</f>
        <v/>
      </c>
      <c r="Y544">
        <f>Calc!$FA$546</f>
        <v/>
      </c>
      <c r="Z544">
        <f>Calc!$FV$546</f>
        <v/>
      </c>
      <c r="AA544">
        <f>IF($T544&lt;&gt;"row",0,IF($V544=1,IF($X544=1,IF($Y544=1,1,2),IF($Y544=1,3,4)),IF($X544=1,IF($Y544=1,5,6),IF($Y544=1,7,8))))</f>
        <v/>
      </c>
    </row>
    <row r="545" ht="11.25" customHeight="1">
      <c r="A545" s="64">
        <f>Calc!$FB$547</f>
        <v/>
      </c>
      <c r="B545" s="64">
        <f>Calc!$FC$547</f>
        <v/>
      </c>
      <c r="C545" s="65">
        <f>Calc!$FD$547</f>
        <v/>
      </c>
      <c r="D545" s="65">
        <f>Calc!$FE$547</f>
        <v/>
      </c>
      <c r="E545" s="65">
        <f>Calc!$FF$547</f>
        <v/>
      </c>
      <c r="F545" s="65">
        <f>Calc!$FG$547</f>
        <v/>
      </c>
      <c r="G545" s="65">
        <f>Calc!$FH$547</f>
        <v/>
      </c>
      <c r="H545" s="65">
        <f>Calc!$FI$547</f>
        <v/>
      </c>
      <c r="I545" s="65">
        <f>Calc!$FJ$547</f>
        <v/>
      </c>
      <c r="J545" s="65">
        <f>Calc!$FK$547</f>
        <v/>
      </c>
      <c r="K545" s="65">
        <f>Calc!$FL$547</f>
        <v/>
      </c>
      <c r="L545" s="65">
        <f>Calc!$FM$547</f>
        <v/>
      </c>
      <c r="M545" s="66">
        <f>Calc!$FN$547</f>
        <v/>
      </c>
      <c r="N545" s="66">
        <f>Calc!$FO$547</f>
        <v/>
      </c>
      <c r="O545" s="65">
        <f>Calc!$FP$547</f>
        <v/>
      </c>
      <c r="P545" s="67">
        <f>Calc!$FQ$547</f>
        <v/>
      </c>
      <c r="Q545" s="68">
        <f>Calc!$FR$547</f>
        <v/>
      </c>
      <c r="R545" s="65">
        <f>Calc!$FS$547</f>
        <v/>
      </c>
      <c r="T545">
        <f>Calc!$EY$547</f>
        <v/>
      </c>
      <c r="U545">
        <f>Calc!$FT$547</f>
        <v/>
      </c>
      <c r="V545">
        <f>Calc!$FU$547</f>
        <v/>
      </c>
      <c r="W545">
        <f>Calc!$FC$547</f>
        <v/>
      </c>
      <c r="X545">
        <f>Calc!$EZ$547</f>
        <v/>
      </c>
      <c r="Y545">
        <f>Calc!$FA$547</f>
        <v/>
      </c>
      <c r="Z545">
        <f>Calc!$FV$547</f>
        <v/>
      </c>
      <c r="AA545">
        <f>IF($T545&lt;&gt;"row",0,IF($V545=1,IF($X545=1,IF($Y545=1,1,2),IF($Y545=1,3,4)),IF($X545=1,IF($Y545=1,5,6),IF($Y545=1,7,8))))</f>
        <v/>
      </c>
    </row>
    <row r="546" ht="11.25" customHeight="1">
      <c r="A546" s="64">
        <f>Calc!$FB$548</f>
        <v/>
      </c>
      <c r="B546" s="64">
        <f>Calc!$FC$548</f>
        <v/>
      </c>
      <c r="C546" s="65">
        <f>Calc!$FD$548</f>
        <v/>
      </c>
      <c r="D546" s="65">
        <f>Calc!$FE$548</f>
        <v/>
      </c>
      <c r="E546" s="65">
        <f>Calc!$FF$548</f>
        <v/>
      </c>
      <c r="F546" s="65">
        <f>Calc!$FG$548</f>
        <v/>
      </c>
      <c r="G546" s="65">
        <f>Calc!$FH$548</f>
        <v/>
      </c>
      <c r="H546" s="65">
        <f>Calc!$FI$548</f>
        <v/>
      </c>
      <c r="I546" s="65">
        <f>Calc!$FJ$548</f>
        <v/>
      </c>
      <c r="J546" s="65">
        <f>Calc!$FK$548</f>
        <v/>
      </c>
      <c r="K546" s="65">
        <f>Calc!$FL$548</f>
        <v/>
      </c>
      <c r="L546" s="65">
        <f>Calc!$FM$548</f>
        <v/>
      </c>
      <c r="M546" s="66">
        <f>Calc!$FN$548</f>
        <v/>
      </c>
      <c r="N546" s="66">
        <f>Calc!$FO$548</f>
        <v/>
      </c>
      <c r="O546" s="65">
        <f>Calc!$FP$548</f>
        <v/>
      </c>
      <c r="P546" s="67">
        <f>Calc!$FQ$548</f>
        <v/>
      </c>
      <c r="Q546" s="68">
        <f>Calc!$FR$548</f>
        <v/>
      </c>
      <c r="R546" s="65">
        <f>Calc!$FS$548</f>
        <v/>
      </c>
      <c r="T546">
        <f>Calc!$EY$548</f>
        <v/>
      </c>
      <c r="U546">
        <f>Calc!$FT$548</f>
        <v/>
      </c>
      <c r="V546">
        <f>Calc!$FU$548</f>
        <v/>
      </c>
      <c r="W546">
        <f>Calc!$FC$548</f>
        <v/>
      </c>
      <c r="X546">
        <f>Calc!$EZ$548</f>
        <v/>
      </c>
      <c r="Y546">
        <f>Calc!$FA$548</f>
        <v/>
      </c>
      <c r="Z546">
        <f>Calc!$FV$548</f>
        <v/>
      </c>
      <c r="AA546">
        <f>IF($T546&lt;&gt;"row",0,IF($V546=1,IF($X546=1,IF($Y546=1,1,2),IF($Y546=1,3,4)),IF($X546=1,IF($Y546=1,5,6),IF($Y546=1,7,8))))</f>
        <v/>
      </c>
    </row>
    <row r="547" ht="11.25" customHeight="1">
      <c r="A547" s="64">
        <f>Calc!$FB$549</f>
        <v/>
      </c>
      <c r="B547" s="64">
        <f>Calc!$FC$549</f>
        <v/>
      </c>
      <c r="C547" s="65">
        <f>Calc!$FD$549</f>
        <v/>
      </c>
      <c r="D547" s="65">
        <f>Calc!$FE$549</f>
        <v/>
      </c>
      <c r="E547" s="65">
        <f>Calc!$FF$549</f>
        <v/>
      </c>
      <c r="F547" s="65">
        <f>Calc!$FG$549</f>
        <v/>
      </c>
      <c r="G547" s="65">
        <f>Calc!$FH$549</f>
        <v/>
      </c>
      <c r="H547" s="65">
        <f>Calc!$FI$549</f>
        <v/>
      </c>
      <c r="I547" s="65">
        <f>Calc!$FJ$549</f>
        <v/>
      </c>
      <c r="J547" s="65">
        <f>Calc!$FK$549</f>
        <v/>
      </c>
      <c r="K547" s="65">
        <f>Calc!$FL$549</f>
        <v/>
      </c>
      <c r="L547" s="65">
        <f>Calc!$FM$549</f>
        <v/>
      </c>
      <c r="M547" s="66">
        <f>Calc!$FN$549</f>
        <v/>
      </c>
      <c r="N547" s="66">
        <f>Calc!$FO$549</f>
        <v/>
      </c>
      <c r="O547" s="65">
        <f>Calc!$FP$549</f>
        <v/>
      </c>
      <c r="P547" s="67">
        <f>Calc!$FQ$549</f>
        <v/>
      </c>
      <c r="Q547" s="68">
        <f>Calc!$FR$549</f>
        <v/>
      </c>
      <c r="R547" s="65">
        <f>Calc!$FS$549</f>
        <v/>
      </c>
      <c r="T547">
        <f>Calc!$EY$549</f>
        <v/>
      </c>
      <c r="U547">
        <f>Calc!$FT$549</f>
        <v/>
      </c>
      <c r="V547">
        <f>Calc!$FU$549</f>
        <v/>
      </c>
      <c r="W547">
        <f>Calc!$FC$549</f>
        <v/>
      </c>
      <c r="X547">
        <f>Calc!$EZ$549</f>
        <v/>
      </c>
      <c r="Y547">
        <f>Calc!$FA$549</f>
        <v/>
      </c>
      <c r="Z547">
        <f>Calc!$FV$549</f>
        <v/>
      </c>
      <c r="AA547">
        <f>IF($T547&lt;&gt;"row",0,IF($V547=1,IF($X547=1,IF($Y547=1,1,2),IF($Y547=1,3,4)),IF($X547=1,IF($Y547=1,5,6),IF($Y547=1,7,8))))</f>
        <v/>
      </c>
    </row>
    <row r="548" ht="11.25" customHeight="1">
      <c r="A548" s="64">
        <f>Calc!$FB$550</f>
        <v/>
      </c>
      <c r="B548" s="64">
        <f>Calc!$FC$550</f>
        <v/>
      </c>
      <c r="C548" s="65">
        <f>Calc!$FD$550</f>
        <v/>
      </c>
      <c r="D548" s="65">
        <f>Calc!$FE$550</f>
        <v/>
      </c>
      <c r="E548" s="65">
        <f>Calc!$FF$550</f>
        <v/>
      </c>
      <c r="F548" s="65">
        <f>Calc!$FG$550</f>
        <v/>
      </c>
      <c r="G548" s="65">
        <f>Calc!$FH$550</f>
        <v/>
      </c>
      <c r="H548" s="65">
        <f>Calc!$FI$550</f>
        <v/>
      </c>
      <c r="I548" s="65">
        <f>Calc!$FJ$550</f>
        <v/>
      </c>
      <c r="J548" s="65">
        <f>Calc!$FK$550</f>
        <v/>
      </c>
      <c r="K548" s="65">
        <f>Calc!$FL$550</f>
        <v/>
      </c>
      <c r="L548" s="65">
        <f>Calc!$FM$550</f>
        <v/>
      </c>
      <c r="M548" s="66">
        <f>Calc!$FN$550</f>
        <v/>
      </c>
      <c r="N548" s="66">
        <f>Calc!$FO$550</f>
        <v/>
      </c>
      <c r="O548" s="65">
        <f>Calc!$FP$550</f>
        <v/>
      </c>
      <c r="P548" s="67">
        <f>Calc!$FQ$550</f>
        <v/>
      </c>
      <c r="Q548" s="68">
        <f>Calc!$FR$550</f>
        <v/>
      </c>
      <c r="R548" s="65">
        <f>Calc!$FS$550</f>
        <v/>
      </c>
      <c r="T548">
        <f>Calc!$EY$550</f>
        <v/>
      </c>
      <c r="U548">
        <f>Calc!$FT$550</f>
        <v/>
      </c>
      <c r="V548">
        <f>Calc!$FU$550</f>
        <v/>
      </c>
      <c r="W548">
        <f>Calc!$FC$550</f>
        <v/>
      </c>
      <c r="X548">
        <f>Calc!$EZ$550</f>
        <v/>
      </c>
      <c r="Y548">
        <f>Calc!$FA$550</f>
        <v/>
      </c>
      <c r="Z548">
        <f>Calc!$FV$550</f>
        <v/>
      </c>
      <c r="AA548">
        <f>IF($T548&lt;&gt;"row",0,IF($V548=1,IF($X548=1,IF($Y548=1,1,2),IF($Y548=1,3,4)),IF($X548=1,IF($Y548=1,5,6),IF($Y548=1,7,8))))</f>
        <v/>
      </c>
    </row>
    <row r="549" ht="11.25" customHeight="1">
      <c r="A549" s="64">
        <f>Calc!$FB$551</f>
        <v/>
      </c>
      <c r="B549" s="64">
        <f>Calc!$FC$551</f>
        <v/>
      </c>
      <c r="C549" s="65">
        <f>Calc!$FD$551</f>
        <v/>
      </c>
      <c r="D549" s="65">
        <f>Calc!$FE$551</f>
        <v/>
      </c>
      <c r="E549" s="65">
        <f>Calc!$FF$551</f>
        <v/>
      </c>
      <c r="F549" s="65">
        <f>Calc!$FG$551</f>
        <v/>
      </c>
      <c r="G549" s="65">
        <f>Calc!$FH$551</f>
        <v/>
      </c>
      <c r="H549" s="65">
        <f>Calc!$FI$551</f>
        <v/>
      </c>
      <c r="I549" s="65">
        <f>Calc!$FJ$551</f>
        <v/>
      </c>
      <c r="J549" s="65">
        <f>Calc!$FK$551</f>
        <v/>
      </c>
      <c r="K549" s="65">
        <f>Calc!$FL$551</f>
        <v/>
      </c>
      <c r="L549" s="65">
        <f>Calc!$FM$551</f>
        <v/>
      </c>
      <c r="M549" s="66">
        <f>Calc!$FN$551</f>
        <v/>
      </c>
      <c r="N549" s="66">
        <f>Calc!$FO$551</f>
        <v/>
      </c>
      <c r="O549" s="65">
        <f>Calc!$FP$551</f>
        <v/>
      </c>
      <c r="P549" s="67">
        <f>Calc!$FQ$551</f>
        <v/>
      </c>
      <c r="Q549" s="68">
        <f>Calc!$FR$551</f>
        <v/>
      </c>
      <c r="R549" s="65">
        <f>Calc!$FS$551</f>
        <v/>
      </c>
      <c r="T549">
        <f>Calc!$EY$551</f>
        <v/>
      </c>
      <c r="U549">
        <f>Calc!$FT$551</f>
        <v/>
      </c>
      <c r="V549">
        <f>Calc!$FU$551</f>
        <v/>
      </c>
      <c r="W549">
        <f>Calc!$FC$551</f>
        <v/>
      </c>
      <c r="X549">
        <f>Calc!$EZ$551</f>
        <v/>
      </c>
      <c r="Y549">
        <f>Calc!$FA$551</f>
        <v/>
      </c>
      <c r="Z549">
        <f>Calc!$FV$551</f>
        <v/>
      </c>
      <c r="AA549">
        <f>IF($T549&lt;&gt;"row",0,IF($V549=1,IF($X549=1,IF($Y549=1,1,2),IF($Y549=1,3,4)),IF($X549=1,IF($Y549=1,5,6),IF($Y549=1,7,8))))</f>
        <v/>
      </c>
    </row>
    <row r="550" ht="11.25" customHeight="1">
      <c r="A550" s="64">
        <f>Calc!$FB$552</f>
        <v/>
      </c>
      <c r="B550" s="64">
        <f>Calc!$FC$552</f>
        <v/>
      </c>
      <c r="C550" s="65">
        <f>Calc!$FD$552</f>
        <v/>
      </c>
      <c r="D550" s="65">
        <f>Calc!$FE$552</f>
        <v/>
      </c>
      <c r="E550" s="65">
        <f>Calc!$FF$552</f>
        <v/>
      </c>
      <c r="F550" s="65">
        <f>Calc!$FG$552</f>
        <v/>
      </c>
      <c r="G550" s="65">
        <f>Calc!$FH$552</f>
        <v/>
      </c>
      <c r="H550" s="65">
        <f>Calc!$FI$552</f>
        <v/>
      </c>
      <c r="I550" s="65">
        <f>Calc!$FJ$552</f>
        <v/>
      </c>
      <c r="J550" s="65">
        <f>Calc!$FK$552</f>
        <v/>
      </c>
      <c r="K550" s="65">
        <f>Calc!$FL$552</f>
        <v/>
      </c>
      <c r="L550" s="65">
        <f>Calc!$FM$552</f>
        <v/>
      </c>
      <c r="M550" s="66">
        <f>Calc!$FN$552</f>
        <v/>
      </c>
      <c r="N550" s="66">
        <f>Calc!$FO$552</f>
        <v/>
      </c>
      <c r="O550" s="65">
        <f>Calc!$FP$552</f>
        <v/>
      </c>
      <c r="P550" s="67">
        <f>Calc!$FQ$552</f>
        <v/>
      </c>
      <c r="Q550" s="68">
        <f>Calc!$FR$552</f>
        <v/>
      </c>
      <c r="R550" s="65">
        <f>Calc!$FS$552</f>
        <v/>
      </c>
      <c r="T550">
        <f>Calc!$EY$552</f>
        <v/>
      </c>
      <c r="U550">
        <f>Calc!$FT$552</f>
        <v/>
      </c>
      <c r="V550">
        <f>Calc!$FU$552</f>
        <v/>
      </c>
      <c r="W550">
        <f>Calc!$FC$552</f>
        <v/>
      </c>
      <c r="X550">
        <f>Calc!$EZ$552</f>
        <v/>
      </c>
      <c r="Y550">
        <f>Calc!$FA$552</f>
        <v/>
      </c>
      <c r="Z550">
        <f>Calc!$FV$552</f>
        <v/>
      </c>
      <c r="AA550">
        <f>IF($T550&lt;&gt;"row",0,IF($V550=1,IF($X550=1,IF($Y550=1,1,2),IF($Y550=1,3,4)),IF($X550=1,IF($Y550=1,5,6),IF($Y550=1,7,8))))</f>
        <v/>
      </c>
    </row>
    <row r="551" ht="11.25" customHeight="1">
      <c r="A551" s="64">
        <f>Calc!$FB$553</f>
        <v/>
      </c>
      <c r="B551" s="64">
        <f>Calc!$FC$553</f>
        <v/>
      </c>
      <c r="C551" s="65">
        <f>Calc!$FD$553</f>
        <v/>
      </c>
      <c r="D551" s="65">
        <f>Calc!$FE$553</f>
        <v/>
      </c>
      <c r="E551" s="65">
        <f>Calc!$FF$553</f>
        <v/>
      </c>
      <c r="F551" s="65">
        <f>Calc!$FG$553</f>
        <v/>
      </c>
      <c r="G551" s="65">
        <f>Calc!$FH$553</f>
        <v/>
      </c>
      <c r="H551" s="65">
        <f>Calc!$FI$553</f>
        <v/>
      </c>
      <c r="I551" s="65">
        <f>Calc!$FJ$553</f>
        <v/>
      </c>
      <c r="J551" s="65">
        <f>Calc!$FK$553</f>
        <v/>
      </c>
      <c r="K551" s="65">
        <f>Calc!$FL$553</f>
        <v/>
      </c>
      <c r="L551" s="65">
        <f>Calc!$FM$553</f>
        <v/>
      </c>
      <c r="M551" s="66">
        <f>Calc!$FN$553</f>
        <v/>
      </c>
      <c r="N551" s="66">
        <f>Calc!$FO$553</f>
        <v/>
      </c>
      <c r="O551" s="65">
        <f>Calc!$FP$553</f>
        <v/>
      </c>
      <c r="P551" s="67">
        <f>Calc!$FQ$553</f>
        <v/>
      </c>
      <c r="Q551" s="68">
        <f>Calc!$FR$553</f>
        <v/>
      </c>
      <c r="R551" s="65">
        <f>Calc!$FS$553</f>
        <v/>
      </c>
      <c r="T551">
        <f>Calc!$EY$553</f>
        <v/>
      </c>
      <c r="U551">
        <f>Calc!$FT$553</f>
        <v/>
      </c>
      <c r="V551">
        <f>Calc!$FU$553</f>
        <v/>
      </c>
      <c r="W551">
        <f>Calc!$FC$553</f>
        <v/>
      </c>
      <c r="X551">
        <f>Calc!$EZ$553</f>
        <v/>
      </c>
      <c r="Y551">
        <f>Calc!$FA$553</f>
        <v/>
      </c>
      <c r="Z551">
        <f>Calc!$FV$553</f>
        <v/>
      </c>
      <c r="AA551">
        <f>IF($T551&lt;&gt;"row",0,IF($V551=1,IF($X551=1,IF($Y551=1,1,2),IF($Y551=1,3,4)),IF($X551=1,IF($Y551=1,5,6),IF($Y551=1,7,8))))</f>
        <v/>
      </c>
    </row>
    <row r="552" ht="11.25" customHeight="1">
      <c r="A552" s="64">
        <f>Calc!$FB$554</f>
        <v/>
      </c>
      <c r="B552" s="64">
        <f>Calc!$FC$554</f>
        <v/>
      </c>
      <c r="C552" s="65">
        <f>Calc!$FD$554</f>
        <v/>
      </c>
      <c r="D552" s="65">
        <f>Calc!$FE$554</f>
        <v/>
      </c>
      <c r="E552" s="65">
        <f>Calc!$FF$554</f>
        <v/>
      </c>
      <c r="F552" s="65">
        <f>Calc!$FG$554</f>
        <v/>
      </c>
      <c r="G552" s="65">
        <f>Calc!$FH$554</f>
        <v/>
      </c>
      <c r="H552" s="65">
        <f>Calc!$FI$554</f>
        <v/>
      </c>
      <c r="I552" s="65">
        <f>Calc!$FJ$554</f>
        <v/>
      </c>
      <c r="J552" s="65">
        <f>Calc!$FK$554</f>
        <v/>
      </c>
      <c r="K552" s="65">
        <f>Calc!$FL$554</f>
        <v/>
      </c>
      <c r="L552" s="65">
        <f>Calc!$FM$554</f>
        <v/>
      </c>
      <c r="M552" s="66">
        <f>Calc!$FN$554</f>
        <v/>
      </c>
      <c r="N552" s="66">
        <f>Calc!$FO$554</f>
        <v/>
      </c>
      <c r="O552" s="65">
        <f>Calc!$FP$554</f>
        <v/>
      </c>
      <c r="P552" s="67">
        <f>Calc!$FQ$554</f>
        <v/>
      </c>
      <c r="Q552" s="68">
        <f>Calc!$FR$554</f>
        <v/>
      </c>
      <c r="R552" s="65">
        <f>Calc!$FS$554</f>
        <v/>
      </c>
      <c r="T552">
        <f>Calc!$EY$554</f>
        <v/>
      </c>
      <c r="U552">
        <f>Calc!$FT$554</f>
        <v/>
      </c>
      <c r="V552">
        <f>Calc!$FU$554</f>
        <v/>
      </c>
      <c r="W552">
        <f>Calc!$FC$554</f>
        <v/>
      </c>
      <c r="X552">
        <f>Calc!$EZ$554</f>
        <v/>
      </c>
      <c r="Y552">
        <f>Calc!$FA$554</f>
        <v/>
      </c>
      <c r="Z552">
        <f>Calc!$FV$554</f>
        <v/>
      </c>
      <c r="AA552">
        <f>IF($T552&lt;&gt;"row",0,IF($V552=1,IF($X552=1,IF($Y552=1,1,2),IF($Y552=1,3,4)),IF($X552=1,IF($Y552=1,5,6),IF($Y552=1,7,8))))</f>
        <v/>
      </c>
    </row>
    <row r="553" ht="11.25" customHeight="1">
      <c r="A553" s="64">
        <f>Calc!$FB$555</f>
        <v/>
      </c>
      <c r="B553" s="64">
        <f>Calc!$FC$555</f>
        <v/>
      </c>
      <c r="C553" s="65">
        <f>Calc!$FD$555</f>
        <v/>
      </c>
      <c r="D553" s="65">
        <f>Calc!$FE$555</f>
        <v/>
      </c>
      <c r="E553" s="65">
        <f>Calc!$FF$555</f>
        <v/>
      </c>
      <c r="F553" s="65">
        <f>Calc!$FG$555</f>
        <v/>
      </c>
      <c r="G553" s="65">
        <f>Calc!$FH$555</f>
        <v/>
      </c>
      <c r="H553" s="65">
        <f>Calc!$FI$555</f>
        <v/>
      </c>
      <c r="I553" s="65">
        <f>Calc!$FJ$555</f>
        <v/>
      </c>
      <c r="J553" s="65">
        <f>Calc!$FK$555</f>
        <v/>
      </c>
      <c r="K553" s="65">
        <f>Calc!$FL$555</f>
        <v/>
      </c>
      <c r="L553" s="65">
        <f>Calc!$FM$555</f>
        <v/>
      </c>
      <c r="M553" s="66">
        <f>Calc!$FN$555</f>
        <v/>
      </c>
      <c r="N553" s="66">
        <f>Calc!$FO$555</f>
        <v/>
      </c>
      <c r="O553" s="65">
        <f>Calc!$FP$555</f>
        <v/>
      </c>
      <c r="P553" s="67">
        <f>Calc!$FQ$555</f>
        <v/>
      </c>
      <c r="Q553" s="68">
        <f>Calc!$FR$555</f>
        <v/>
      </c>
      <c r="R553" s="65">
        <f>Calc!$FS$555</f>
        <v/>
      </c>
      <c r="T553">
        <f>Calc!$EY$555</f>
        <v/>
      </c>
      <c r="U553">
        <f>Calc!$FT$555</f>
        <v/>
      </c>
      <c r="V553">
        <f>Calc!$FU$555</f>
        <v/>
      </c>
      <c r="W553">
        <f>Calc!$FC$555</f>
        <v/>
      </c>
      <c r="X553">
        <f>Calc!$EZ$555</f>
        <v/>
      </c>
      <c r="Y553">
        <f>Calc!$FA$555</f>
        <v/>
      </c>
      <c r="Z553">
        <f>Calc!$FV$555</f>
        <v/>
      </c>
      <c r="AA553">
        <f>IF($T553&lt;&gt;"row",0,IF($V553=1,IF($X553=1,IF($Y553=1,1,2),IF($Y553=1,3,4)),IF($X553=1,IF($Y553=1,5,6),IF($Y553=1,7,8))))</f>
        <v/>
      </c>
    </row>
    <row r="554" ht="11.25" customHeight="1">
      <c r="A554" s="64">
        <f>Calc!$FB$556</f>
        <v/>
      </c>
      <c r="B554" s="64">
        <f>Calc!$FC$556</f>
        <v/>
      </c>
      <c r="C554" s="65">
        <f>Calc!$FD$556</f>
        <v/>
      </c>
      <c r="D554" s="65">
        <f>Calc!$FE$556</f>
        <v/>
      </c>
      <c r="E554" s="65">
        <f>Calc!$FF$556</f>
        <v/>
      </c>
      <c r="F554" s="65">
        <f>Calc!$FG$556</f>
        <v/>
      </c>
      <c r="G554" s="65">
        <f>Calc!$FH$556</f>
        <v/>
      </c>
      <c r="H554" s="65">
        <f>Calc!$FI$556</f>
        <v/>
      </c>
      <c r="I554" s="65">
        <f>Calc!$FJ$556</f>
        <v/>
      </c>
      <c r="J554" s="65">
        <f>Calc!$FK$556</f>
        <v/>
      </c>
      <c r="K554" s="65">
        <f>Calc!$FL$556</f>
        <v/>
      </c>
      <c r="L554" s="65">
        <f>Calc!$FM$556</f>
        <v/>
      </c>
      <c r="M554" s="66">
        <f>Calc!$FN$556</f>
        <v/>
      </c>
      <c r="N554" s="66">
        <f>Calc!$FO$556</f>
        <v/>
      </c>
      <c r="O554" s="65">
        <f>Calc!$FP$556</f>
        <v/>
      </c>
      <c r="P554" s="67">
        <f>Calc!$FQ$556</f>
        <v/>
      </c>
      <c r="Q554" s="68">
        <f>Calc!$FR$556</f>
        <v/>
      </c>
      <c r="R554" s="65">
        <f>Calc!$FS$556</f>
        <v/>
      </c>
      <c r="T554">
        <f>Calc!$EY$556</f>
        <v/>
      </c>
      <c r="U554">
        <f>Calc!$FT$556</f>
        <v/>
      </c>
      <c r="V554">
        <f>Calc!$FU$556</f>
        <v/>
      </c>
      <c r="W554">
        <f>Calc!$FC$556</f>
        <v/>
      </c>
      <c r="X554">
        <f>Calc!$EZ$556</f>
        <v/>
      </c>
      <c r="Y554">
        <f>Calc!$FA$556</f>
        <v/>
      </c>
      <c r="Z554">
        <f>Calc!$FV$556</f>
        <v/>
      </c>
      <c r="AA554">
        <f>IF($T554&lt;&gt;"row",0,IF($V554=1,IF($X554=1,IF($Y554=1,1,2),IF($Y554=1,3,4)),IF($X554=1,IF($Y554=1,5,6),IF($Y554=1,7,8))))</f>
        <v/>
      </c>
    </row>
    <row r="555" ht="11.25" customHeight="1">
      <c r="A555" s="64">
        <f>Calc!$FB$557</f>
        <v/>
      </c>
      <c r="B555" s="64">
        <f>Calc!$FC$557</f>
        <v/>
      </c>
      <c r="C555" s="65">
        <f>Calc!$FD$557</f>
        <v/>
      </c>
      <c r="D555" s="65">
        <f>Calc!$FE$557</f>
        <v/>
      </c>
      <c r="E555" s="65">
        <f>Calc!$FF$557</f>
        <v/>
      </c>
      <c r="F555" s="65">
        <f>Calc!$FG$557</f>
        <v/>
      </c>
      <c r="G555" s="65">
        <f>Calc!$FH$557</f>
        <v/>
      </c>
      <c r="H555" s="65">
        <f>Calc!$FI$557</f>
        <v/>
      </c>
      <c r="I555" s="65">
        <f>Calc!$FJ$557</f>
        <v/>
      </c>
      <c r="J555" s="65">
        <f>Calc!$FK$557</f>
        <v/>
      </c>
      <c r="K555" s="65">
        <f>Calc!$FL$557</f>
        <v/>
      </c>
      <c r="L555" s="65">
        <f>Calc!$FM$557</f>
        <v/>
      </c>
      <c r="M555" s="66">
        <f>Calc!$FN$557</f>
        <v/>
      </c>
      <c r="N555" s="66">
        <f>Calc!$FO$557</f>
        <v/>
      </c>
      <c r="O555" s="65">
        <f>Calc!$FP$557</f>
        <v/>
      </c>
      <c r="P555" s="67">
        <f>Calc!$FQ$557</f>
        <v/>
      </c>
      <c r="Q555" s="68">
        <f>Calc!$FR$557</f>
        <v/>
      </c>
      <c r="R555" s="65">
        <f>Calc!$FS$557</f>
        <v/>
      </c>
      <c r="T555">
        <f>Calc!$EY$557</f>
        <v/>
      </c>
      <c r="U555">
        <f>Calc!$FT$557</f>
        <v/>
      </c>
      <c r="V555">
        <f>Calc!$FU$557</f>
        <v/>
      </c>
      <c r="W555">
        <f>Calc!$FC$557</f>
        <v/>
      </c>
      <c r="X555">
        <f>Calc!$EZ$557</f>
        <v/>
      </c>
      <c r="Y555">
        <f>Calc!$FA$557</f>
        <v/>
      </c>
      <c r="Z555">
        <f>Calc!$FV$557</f>
        <v/>
      </c>
      <c r="AA555">
        <f>IF($T555&lt;&gt;"row",0,IF($V555=1,IF($X555=1,IF($Y555=1,1,2),IF($Y555=1,3,4)),IF($X555=1,IF($Y555=1,5,6),IF($Y555=1,7,8))))</f>
        <v/>
      </c>
    </row>
    <row r="556" ht="11.25" customHeight="1">
      <c r="A556" s="64">
        <f>Calc!$FB$558</f>
        <v/>
      </c>
      <c r="B556" s="64">
        <f>Calc!$FC$558</f>
        <v/>
      </c>
      <c r="C556" s="65">
        <f>Calc!$FD$558</f>
        <v/>
      </c>
      <c r="D556" s="65">
        <f>Calc!$FE$558</f>
        <v/>
      </c>
      <c r="E556" s="65">
        <f>Calc!$FF$558</f>
        <v/>
      </c>
      <c r="F556" s="65">
        <f>Calc!$FG$558</f>
        <v/>
      </c>
      <c r="G556" s="65">
        <f>Calc!$FH$558</f>
        <v/>
      </c>
      <c r="H556" s="65">
        <f>Calc!$FI$558</f>
        <v/>
      </c>
      <c r="I556" s="65">
        <f>Calc!$FJ$558</f>
        <v/>
      </c>
      <c r="J556" s="65">
        <f>Calc!$FK$558</f>
        <v/>
      </c>
      <c r="K556" s="65">
        <f>Calc!$FL$558</f>
        <v/>
      </c>
      <c r="L556" s="65">
        <f>Calc!$FM$558</f>
        <v/>
      </c>
      <c r="M556" s="66">
        <f>Calc!$FN$558</f>
        <v/>
      </c>
      <c r="N556" s="66">
        <f>Calc!$FO$558</f>
        <v/>
      </c>
      <c r="O556" s="65">
        <f>Calc!$FP$558</f>
        <v/>
      </c>
      <c r="P556" s="67">
        <f>Calc!$FQ$558</f>
        <v/>
      </c>
      <c r="Q556" s="68">
        <f>Calc!$FR$558</f>
        <v/>
      </c>
      <c r="R556" s="65">
        <f>Calc!$FS$558</f>
        <v/>
      </c>
      <c r="T556">
        <f>Calc!$EY$558</f>
        <v/>
      </c>
      <c r="U556">
        <f>Calc!$FT$558</f>
        <v/>
      </c>
      <c r="V556">
        <f>Calc!$FU$558</f>
        <v/>
      </c>
      <c r="W556">
        <f>Calc!$FC$558</f>
        <v/>
      </c>
      <c r="X556">
        <f>Calc!$EZ$558</f>
        <v/>
      </c>
      <c r="Y556">
        <f>Calc!$FA$558</f>
        <v/>
      </c>
      <c r="Z556">
        <f>Calc!$FV$558</f>
        <v/>
      </c>
      <c r="AA556">
        <f>IF($T556&lt;&gt;"row",0,IF($V556=1,IF($X556=1,IF($Y556=1,1,2),IF($Y556=1,3,4)),IF($X556=1,IF($Y556=1,5,6),IF($Y556=1,7,8))))</f>
        <v/>
      </c>
    </row>
    <row r="557" ht="11.25" customHeight="1">
      <c r="A557" s="64">
        <f>Calc!$FB$559</f>
        <v/>
      </c>
      <c r="B557" s="64">
        <f>Calc!$FC$559</f>
        <v/>
      </c>
      <c r="C557" s="65">
        <f>Calc!$FD$559</f>
        <v/>
      </c>
      <c r="D557" s="65">
        <f>Calc!$FE$559</f>
        <v/>
      </c>
      <c r="E557" s="65">
        <f>Calc!$FF$559</f>
        <v/>
      </c>
      <c r="F557" s="65">
        <f>Calc!$FG$559</f>
        <v/>
      </c>
      <c r="G557" s="65">
        <f>Calc!$FH$559</f>
        <v/>
      </c>
      <c r="H557" s="65">
        <f>Calc!$FI$559</f>
        <v/>
      </c>
      <c r="I557" s="65">
        <f>Calc!$FJ$559</f>
        <v/>
      </c>
      <c r="J557" s="65">
        <f>Calc!$FK$559</f>
        <v/>
      </c>
      <c r="K557" s="65">
        <f>Calc!$FL$559</f>
        <v/>
      </c>
      <c r="L557" s="65">
        <f>Calc!$FM$559</f>
        <v/>
      </c>
      <c r="M557" s="66">
        <f>Calc!$FN$559</f>
        <v/>
      </c>
      <c r="N557" s="66">
        <f>Calc!$FO$559</f>
        <v/>
      </c>
      <c r="O557" s="65">
        <f>Calc!$FP$559</f>
        <v/>
      </c>
      <c r="P557" s="67">
        <f>Calc!$FQ$559</f>
        <v/>
      </c>
      <c r="Q557" s="68">
        <f>Calc!$FR$559</f>
        <v/>
      </c>
      <c r="R557" s="65">
        <f>Calc!$FS$559</f>
        <v/>
      </c>
      <c r="T557">
        <f>Calc!$EY$559</f>
        <v/>
      </c>
      <c r="U557">
        <f>Calc!$FT$559</f>
        <v/>
      </c>
      <c r="V557">
        <f>Calc!$FU$559</f>
        <v/>
      </c>
      <c r="W557">
        <f>Calc!$FC$559</f>
        <v/>
      </c>
      <c r="X557">
        <f>Calc!$EZ$559</f>
        <v/>
      </c>
      <c r="Y557">
        <f>Calc!$FA$559</f>
        <v/>
      </c>
      <c r="Z557">
        <f>Calc!$FV$559</f>
        <v/>
      </c>
      <c r="AA557">
        <f>IF($T557&lt;&gt;"row",0,IF($V557=1,IF($X557=1,IF($Y557=1,1,2),IF($Y557=1,3,4)),IF($X557=1,IF($Y557=1,5,6),IF($Y557=1,7,8))))</f>
        <v/>
      </c>
    </row>
    <row r="558" ht="11.25" customHeight="1">
      <c r="A558" s="64">
        <f>Calc!$FB$560</f>
        <v/>
      </c>
      <c r="B558" s="64">
        <f>Calc!$FC$560</f>
        <v/>
      </c>
      <c r="C558" s="65">
        <f>Calc!$FD$560</f>
        <v/>
      </c>
      <c r="D558" s="65">
        <f>Calc!$FE$560</f>
        <v/>
      </c>
      <c r="E558" s="65">
        <f>Calc!$FF$560</f>
        <v/>
      </c>
      <c r="F558" s="65">
        <f>Calc!$FG$560</f>
        <v/>
      </c>
      <c r="G558" s="65">
        <f>Calc!$FH$560</f>
        <v/>
      </c>
      <c r="H558" s="65">
        <f>Calc!$FI$560</f>
        <v/>
      </c>
      <c r="I558" s="65">
        <f>Calc!$FJ$560</f>
        <v/>
      </c>
      <c r="J558" s="65">
        <f>Calc!$FK$560</f>
        <v/>
      </c>
      <c r="K558" s="65">
        <f>Calc!$FL$560</f>
        <v/>
      </c>
      <c r="L558" s="65">
        <f>Calc!$FM$560</f>
        <v/>
      </c>
      <c r="M558" s="66">
        <f>Calc!$FN$560</f>
        <v/>
      </c>
      <c r="N558" s="66">
        <f>Calc!$FO$560</f>
        <v/>
      </c>
      <c r="O558" s="65">
        <f>Calc!$FP$560</f>
        <v/>
      </c>
      <c r="P558" s="67">
        <f>Calc!$FQ$560</f>
        <v/>
      </c>
      <c r="Q558" s="68">
        <f>Calc!$FR$560</f>
        <v/>
      </c>
      <c r="R558" s="65">
        <f>Calc!$FS$560</f>
        <v/>
      </c>
      <c r="T558">
        <f>Calc!$EY$560</f>
        <v/>
      </c>
      <c r="U558">
        <f>Calc!$FT$560</f>
        <v/>
      </c>
      <c r="V558">
        <f>Calc!$FU$560</f>
        <v/>
      </c>
      <c r="W558">
        <f>Calc!$FC$560</f>
        <v/>
      </c>
      <c r="X558">
        <f>Calc!$EZ$560</f>
        <v/>
      </c>
      <c r="Y558">
        <f>Calc!$FA$560</f>
        <v/>
      </c>
      <c r="Z558">
        <f>Calc!$FV$560</f>
        <v/>
      </c>
      <c r="AA558">
        <f>IF($T558&lt;&gt;"row",0,IF($V558=1,IF($X558=1,IF($Y558=1,1,2),IF($Y558=1,3,4)),IF($X558=1,IF($Y558=1,5,6),IF($Y558=1,7,8))))</f>
        <v/>
      </c>
    </row>
    <row r="559" ht="11.25" customHeight="1">
      <c r="A559" s="64">
        <f>Calc!$FB$561</f>
        <v/>
      </c>
      <c r="B559" s="64">
        <f>Calc!$FC$561</f>
        <v/>
      </c>
      <c r="C559" s="65">
        <f>Calc!$FD$561</f>
        <v/>
      </c>
      <c r="D559" s="65">
        <f>Calc!$FE$561</f>
        <v/>
      </c>
      <c r="E559" s="65">
        <f>Calc!$FF$561</f>
        <v/>
      </c>
      <c r="F559" s="65">
        <f>Calc!$FG$561</f>
        <v/>
      </c>
      <c r="G559" s="65">
        <f>Calc!$FH$561</f>
        <v/>
      </c>
      <c r="H559" s="65">
        <f>Calc!$FI$561</f>
        <v/>
      </c>
      <c r="I559" s="65">
        <f>Calc!$FJ$561</f>
        <v/>
      </c>
      <c r="J559" s="65">
        <f>Calc!$FK$561</f>
        <v/>
      </c>
      <c r="K559" s="65">
        <f>Calc!$FL$561</f>
        <v/>
      </c>
      <c r="L559" s="65">
        <f>Calc!$FM$561</f>
        <v/>
      </c>
      <c r="M559" s="66">
        <f>Calc!$FN$561</f>
        <v/>
      </c>
      <c r="N559" s="66">
        <f>Calc!$FO$561</f>
        <v/>
      </c>
      <c r="O559" s="65">
        <f>Calc!$FP$561</f>
        <v/>
      </c>
      <c r="P559" s="67">
        <f>Calc!$FQ$561</f>
        <v/>
      </c>
      <c r="Q559" s="68">
        <f>Calc!$FR$561</f>
        <v/>
      </c>
      <c r="R559" s="65">
        <f>Calc!$FS$561</f>
        <v/>
      </c>
      <c r="T559">
        <f>Calc!$EY$561</f>
        <v/>
      </c>
      <c r="U559">
        <f>Calc!$FT$561</f>
        <v/>
      </c>
      <c r="V559">
        <f>Calc!$FU$561</f>
        <v/>
      </c>
      <c r="W559">
        <f>Calc!$FC$561</f>
        <v/>
      </c>
      <c r="X559">
        <f>Calc!$EZ$561</f>
        <v/>
      </c>
      <c r="Y559">
        <f>Calc!$FA$561</f>
        <v/>
      </c>
      <c r="Z559">
        <f>Calc!$FV$561</f>
        <v/>
      </c>
      <c r="AA559">
        <f>IF($T559&lt;&gt;"row",0,IF($V559=1,IF($X559=1,IF($Y559=1,1,2),IF($Y559=1,3,4)),IF($X559=1,IF($Y559=1,5,6),IF($Y559=1,7,8))))</f>
        <v/>
      </c>
    </row>
    <row r="560" ht="11.25" customHeight="1">
      <c r="A560" s="64">
        <f>Calc!$FB$562</f>
        <v/>
      </c>
      <c r="B560" s="64">
        <f>Calc!$FC$562</f>
        <v/>
      </c>
      <c r="C560" s="65">
        <f>Calc!$FD$562</f>
        <v/>
      </c>
      <c r="D560" s="65">
        <f>Calc!$FE$562</f>
        <v/>
      </c>
      <c r="E560" s="65">
        <f>Calc!$FF$562</f>
        <v/>
      </c>
      <c r="F560" s="65">
        <f>Calc!$FG$562</f>
        <v/>
      </c>
      <c r="G560" s="65">
        <f>Calc!$FH$562</f>
        <v/>
      </c>
      <c r="H560" s="65">
        <f>Calc!$FI$562</f>
        <v/>
      </c>
      <c r="I560" s="65">
        <f>Calc!$FJ$562</f>
        <v/>
      </c>
      <c r="J560" s="65">
        <f>Calc!$FK$562</f>
        <v/>
      </c>
      <c r="K560" s="65">
        <f>Calc!$FL$562</f>
        <v/>
      </c>
      <c r="L560" s="65">
        <f>Calc!$FM$562</f>
        <v/>
      </c>
      <c r="M560" s="66">
        <f>Calc!$FN$562</f>
        <v/>
      </c>
      <c r="N560" s="66">
        <f>Calc!$FO$562</f>
        <v/>
      </c>
      <c r="O560" s="65">
        <f>Calc!$FP$562</f>
        <v/>
      </c>
      <c r="P560" s="67">
        <f>Calc!$FQ$562</f>
        <v/>
      </c>
      <c r="Q560" s="68">
        <f>Calc!$FR$562</f>
        <v/>
      </c>
      <c r="R560" s="65">
        <f>Calc!$FS$562</f>
        <v/>
      </c>
      <c r="T560">
        <f>Calc!$EY$562</f>
        <v/>
      </c>
      <c r="U560">
        <f>Calc!$FT$562</f>
        <v/>
      </c>
      <c r="V560">
        <f>Calc!$FU$562</f>
        <v/>
      </c>
      <c r="W560">
        <f>Calc!$FC$562</f>
        <v/>
      </c>
      <c r="X560">
        <f>Calc!$EZ$562</f>
        <v/>
      </c>
      <c r="Y560">
        <f>Calc!$FA$562</f>
        <v/>
      </c>
      <c r="Z560">
        <f>Calc!$FV$562</f>
        <v/>
      </c>
      <c r="AA560">
        <f>IF($T560&lt;&gt;"row",0,IF($V560=1,IF($X560=1,IF($Y560=1,1,2),IF($Y560=1,3,4)),IF($X560=1,IF($Y560=1,5,6),IF($Y560=1,7,8))))</f>
        <v/>
      </c>
    </row>
    <row r="561" ht="11.25" customHeight="1">
      <c r="A561" s="64">
        <f>Calc!$FB$563</f>
        <v/>
      </c>
      <c r="B561" s="64">
        <f>Calc!$FC$563</f>
        <v/>
      </c>
      <c r="C561" s="65">
        <f>Calc!$FD$563</f>
        <v/>
      </c>
      <c r="D561" s="65">
        <f>Calc!$FE$563</f>
        <v/>
      </c>
      <c r="E561" s="65">
        <f>Calc!$FF$563</f>
        <v/>
      </c>
      <c r="F561" s="65">
        <f>Calc!$FG$563</f>
        <v/>
      </c>
      <c r="G561" s="65">
        <f>Calc!$FH$563</f>
        <v/>
      </c>
      <c r="H561" s="65">
        <f>Calc!$FI$563</f>
        <v/>
      </c>
      <c r="I561" s="65">
        <f>Calc!$FJ$563</f>
        <v/>
      </c>
      <c r="J561" s="65">
        <f>Calc!$FK$563</f>
        <v/>
      </c>
      <c r="K561" s="65">
        <f>Calc!$FL$563</f>
        <v/>
      </c>
      <c r="L561" s="65">
        <f>Calc!$FM$563</f>
        <v/>
      </c>
      <c r="M561" s="66">
        <f>Calc!$FN$563</f>
        <v/>
      </c>
      <c r="N561" s="66">
        <f>Calc!$FO$563</f>
        <v/>
      </c>
      <c r="O561" s="65">
        <f>Calc!$FP$563</f>
        <v/>
      </c>
      <c r="P561" s="67">
        <f>Calc!$FQ$563</f>
        <v/>
      </c>
      <c r="Q561" s="68">
        <f>Calc!$FR$563</f>
        <v/>
      </c>
      <c r="R561" s="65">
        <f>Calc!$FS$563</f>
        <v/>
      </c>
      <c r="T561">
        <f>Calc!$EY$563</f>
        <v/>
      </c>
      <c r="U561">
        <f>Calc!$FT$563</f>
        <v/>
      </c>
      <c r="V561">
        <f>Calc!$FU$563</f>
        <v/>
      </c>
      <c r="W561">
        <f>Calc!$FC$563</f>
        <v/>
      </c>
      <c r="X561">
        <f>Calc!$EZ$563</f>
        <v/>
      </c>
      <c r="Y561">
        <f>Calc!$FA$563</f>
        <v/>
      </c>
      <c r="Z561">
        <f>Calc!$FV$563</f>
        <v/>
      </c>
      <c r="AA561">
        <f>IF($T561&lt;&gt;"row",0,IF($V561=1,IF($X561=1,IF($Y561=1,1,2),IF($Y561=1,3,4)),IF($X561=1,IF($Y561=1,5,6),IF($Y561=1,7,8))))</f>
        <v/>
      </c>
    </row>
    <row r="562" ht="11.25" customHeight="1">
      <c r="A562" s="64">
        <f>Calc!$FB$564</f>
        <v/>
      </c>
      <c r="B562" s="64">
        <f>Calc!$FC$564</f>
        <v/>
      </c>
      <c r="C562" s="65">
        <f>Calc!$FD$564</f>
        <v/>
      </c>
      <c r="D562" s="65">
        <f>Calc!$FE$564</f>
        <v/>
      </c>
      <c r="E562" s="65">
        <f>Calc!$FF$564</f>
        <v/>
      </c>
      <c r="F562" s="65">
        <f>Calc!$FG$564</f>
        <v/>
      </c>
      <c r="G562" s="65">
        <f>Calc!$FH$564</f>
        <v/>
      </c>
      <c r="H562" s="65">
        <f>Calc!$FI$564</f>
        <v/>
      </c>
      <c r="I562" s="65">
        <f>Calc!$FJ$564</f>
        <v/>
      </c>
      <c r="J562" s="65">
        <f>Calc!$FK$564</f>
        <v/>
      </c>
      <c r="K562" s="65">
        <f>Calc!$FL$564</f>
        <v/>
      </c>
      <c r="L562" s="65">
        <f>Calc!$FM$564</f>
        <v/>
      </c>
      <c r="M562" s="66">
        <f>Calc!$FN$564</f>
        <v/>
      </c>
      <c r="N562" s="66">
        <f>Calc!$FO$564</f>
        <v/>
      </c>
      <c r="O562" s="65">
        <f>Calc!$FP$564</f>
        <v/>
      </c>
      <c r="P562" s="67">
        <f>Calc!$FQ$564</f>
        <v/>
      </c>
      <c r="Q562" s="68">
        <f>Calc!$FR$564</f>
        <v/>
      </c>
      <c r="R562" s="65">
        <f>Calc!$FS$564</f>
        <v/>
      </c>
      <c r="T562">
        <f>Calc!$EY$564</f>
        <v/>
      </c>
      <c r="U562">
        <f>Calc!$FT$564</f>
        <v/>
      </c>
      <c r="V562">
        <f>Calc!$FU$564</f>
        <v/>
      </c>
      <c r="W562">
        <f>Calc!$FC$564</f>
        <v/>
      </c>
      <c r="X562">
        <f>Calc!$EZ$564</f>
        <v/>
      </c>
      <c r="Y562">
        <f>Calc!$FA$564</f>
        <v/>
      </c>
      <c r="Z562">
        <f>Calc!$FV$564</f>
        <v/>
      </c>
      <c r="AA562">
        <f>IF($T562&lt;&gt;"row",0,IF($V562=1,IF($X562=1,IF($Y562=1,1,2),IF($Y562=1,3,4)),IF($X562=1,IF($Y562=1,5,6),IF($Y562=1,7,8))))</f>
        <v/>
      </c>
    </row>
    <row r="563" ht="11.25" customHeight="1">
      <c r="A563" s="64">
        <f>Calc!$FB$565</f>
        <v/>
      </c>
      <c r="B563" s="64">
        <f>Calc!$FC$565</f>
        <v/>
      </c>
      <c r="C563" s="65">
        <f>Calc!$FD$565</f>
        <v/>
      </c>
      <c r="D563" s="65">
        <f>Calc!$FE$565</f>
        <v/>
      </c>
      <c r="E563" s="65">
        <f>Calc!$FF$565</f>
        <v/>
      </c>
      <c r="F563" s="65">
        <f>Calc!$FG$565</f>
        <v/>
      </c>
      <c r="G563" s="65">
        <f>Calc!$FH$565</f>
        <v/>
      </c>
      <c r="H563" s="65">
        <f>Calc!$FI$565</f>
        <v/>
      </c>
      <c r="I563" s="65">
        <f>Calc!$FJ$565</f>
        <v/>
      </c>
      <c r="J563" s="65">
        <f>Calc!$FK$565</f>
        <v/>
      </c>
      <c r="K563" s="65">
        <f>Calc!$FL$565</f>
        <v/>
      </c>
      <c r="L563" s="65">
        <f>Calc!$FM$565</f>
        <v/>
      </c>
      <c r="M563" s="66">
        <f>Calc!$FN$565</f>
        <v/>
      </c>
      <c r="N563" s="66">
        <f>Calc!$FO$565</f>
        <v/>
      </c>
      <c r="O563" s="65">
        <f>Calc!$FP$565</f>
        <v/>
      </c>
      <c r="P563" s="67">
        <f>Calc!$FQ$565</f>
        <v/>
      </c>
      <c r="Q563" s="68">
        <f>Calc!$FR$565</f>
        <v/>
      </c>
      <c r="R563" s="65">
        <f>Calc!$FS$565</f>
        <v/>
      </c>
      <c r="T563">
        <f>Calc!$EY$565</f>
        <v/>
      </c>
      <c r="U563">
        <f>Calc!$FT$565</f>
        <v/>
      </c>
      <c r="V563">
        <f>Calc!$FU$565</f>
        <v/>
      </c>
      <c r="W563">
        <f>Calc!$FC$565</f>
        <v/>
      </c>
      <c r="X563">
        <f>Calc!$EZ$565</f>
        <v/>
      </c>
      <c r="Y563">
        <f>Calc!$FA$565</f>
        <v/>
      </c>
      <c r="Z563">
        <f>Calc!$FV$565</f>
        <v/>
      </c>
      <c r="AA563">
        <f>IF($T563&lt;&gt;"row",0,IF($V563=1,IF($X563=1,IF($Y563=1,1,2),IF($Y563=1,3,4)),IF($X563=1,IF($Y563=1,5,6),IF($Y563=1,7,8))))</f>
        <v/>
      </c>
    </row>
    <row r="564" ht="11.25" customHeight="1">
      <c r="A564" s="64">
        <f>Calc!$FB$566</f>
        <v/>
      </c>
      <c r="B564" s="64">
        <f>Calc!$FC$566</f>
        <v/>
      </c>
      <c r="C564" s="65">
        <f>Calc!$FD$566</f>
        <v/>
      </c>
      <c r="D564" s="65">
        <f>Calc!$FE$566</f>
        <v/>
      </c>
      <c r="E564" s="65">
        <f>Calc!$FF$566</f>
        <v/>
      </c>
      <c r="F564" s="65">
        <f>Calc!$FG$566</f>
        <v/>
      </c>
      <c r="G564" s="65">
        <f>Calc!$FH$566</f>
        <v/>
      </c>
      <c r="H564" s="65">
        <f>Calc!$FI$566</f>
        <v/>
      </c>
      <c r="I564" s="65">
        <f>Calc!$FJ$566</f>
        <v/>
      </c>
      <c r="J564" s="65">
        <f>Calc!$FK$566</f>
        <v/>
      </c>
      <c r="K564" s="65">
        <f>Calc!$FL$566</f>
        <v/>
      </c>
      <c r="L564" s="65">
        <f>Calc!$FM$566</f>
        <v/>
      </c>
      <c r="M564" s="66">
        <f>Calc!$FN$566</f>
        <v/>
      </c>
      <c r="N564" s="66">
        <f>Calc!$FO$566</f>
        <v/>
      </c>
      <c r="O564" s="65">
        <f>Calc!$FP$566</f>
        <v/>
      </c>
      <c r="P564" s="67">
        <f>Calc!$FQ$566</f>
        <v/>
      </c>
      <c r="Q564" s="68">
        <f>Calc!$FR$566</f>
        <v/>
      </c>
      <c r="R564" s="65">
        <f>Calc!$FS$566</f>
        <v/>
      </c>
      <c r="T564">
        <f>Calc!$EY$566</f>
        <v/>
      </c>
      <c r="U564">
        <f>Calc!$FT$566</f>
        <v/>
      </c>
      <c r="V564">
        <f>Calc!$FU$566</f>
        <v/>
      </c>
      <c r="W564">
        <f>Calc!$FC$566</f>
        <v/>
      </c>
      <c r="X564">
        <f>Calc!$EZ$566</f>
        <v/>
      </c>
      <c r="Y564">
        <f>Calc!$FA$566</f>
        <v/>
      </c>
      <c r="Z564">
        <f>Calc!$FV$566</f>
        <v/>
      </c>
      <c r="AA564">
        <f>IF($T564&lt;&gt;"row",0,IF($V564=1,IF($X564=1,IF($Y564=1,1,2),IF($Y564=1,3,4)),IF($X564=1,IF($Y564=1,5,6),IF($Y564=1,7,8))))</f>
        <v/>
      </c>
    </row>
    <row r="565" ht="11.25" customHeight="1">
      <c r="A565" s="64">
        <f>Calc!$FB$567</f>
        <v/>
      </c>
      <c r="B565" s="64">
        <f>Calc!$FC$567</f>
        <v/>
      </c>
      <c r="C565" s="65">
        <f>Calc!$FD$567</f>
        <v/>
      </c>
      <c r="D565" s="65">
        <f>Calc!$FE$567</f>
        <v/>
      </c>
      <c r="E565" s="65">
        <f>Calc!$FF$567</f>
        <v/>
      </c>
      <c r="F565" s="65">
        <f>Calc!$FG$567</f>
        <v/>
      </c>
      <c r="G565" s="65">
        <f>Calc!$FH$567</f>
        <v/>
      </c>
      <c r="H565" s="65">
        <f>Calc!$FI$567</f>
        <v/>
      </c>
      <c r="I565" s="65">
        <f>Calc!$FJ$567</f>
        <v/>
      </c>
      <c r="J565" s="65">
        <f>Calc!$FK$567</f>
        <v/>
      </c>
      <c r="K565" s="65">
        <f>Calc!$FL$567</f>
        <v/>
      </c>
      <c r="L565" s="65">
        <f>Calc!$FM$567</f>
        <v/>
      </c>
      <c r="M565" s="66">
        <f>Calc!$FN$567</f>
        <v/>
      </c>
      <c r="N565" s="66">
        <f>Calc!$FO$567</f>
        <v/>
      </c>
      <c r="O565" s="65">
        <f>Calc!$FP$567</f>
        <v/>
      </c>
      <c r="P565" s="67">
        <f>Calc!$FQ$567</f>
        <v/>
      </c>
      <c r="Q565" s="68">
        <f>Calc!$FR$567</f>
        <v/>
      </c>
      <c r="R565" s="65">
        <f>Calc!$FS$567</f>
        <v/>
      </c>
      <c r="T565">
        <f>Calc!$EY$567</f>
        <v/>
      </c>
      <c r="U565">
        <f>Calc!$FT$567</f>
        <v/>
      </c>
      <c r="V565">
        <f>Calc!$FU$567</f>
        <v/>
      </c>
      <c r="W565">
        <f>Calc!$FC$567</f>
        <v/>
      </c>
      <c r="X565">
        <f>Calc!$EZ$567</f>
        <v/>
      </c>
      <c r="Y565">
        <f>Calc!$FA$567</f>
        <v/>
      </c>
      <c r="Z565">
        <f>Calc!$FV$567</f>
        <v/>
      </c>
      <c r="AA565">
        <f>IF($T565&lt;&gt;"row",0,IF($V565=1,IF($X565=1,IF($Y565=1,1,2),IF($Y565=1,3,4)),IF($X565=1,IF($Y565=1,5,6),IF($Y565=1,7,8))))</f>
        <v/>
      </c>
    </row>
    <row r="566" ht="11.25" customHeight="1">
      <c r="A566" s="64">
        <f>Calc!$FB$568</f>
        <v/>
      </c>
      <c r="B566" s="64">
        <f>Calc!$FC$568</f>
        <v/>
      </c>
      <c r="C566" s="65">
        <f>Calc!$FD$568</f>
        <v/>
      </c>
      <c r="D566" s="65">
        <f>Calc!$FE$568</f>
        <v/>
      </c>
      <c r="E566" s="65">
        <f>Calc!$FF$568</f>
        <v/>
      </c>
      <c r="F566" s="65">
        <f>Calc!$FG$568</f>
        <v/>
      </c>
      <c r="G566" s="65">
        <f>Calc!$FH$568</f>
        <v/>
      </c>
      <c r="H566" s="65">
        <f>Calc!$FI$568</f>
        <v/>
      </c>
      <c r="I566" s="65">
        <f>Calc!$FJ$568</f>
        <v/>
      </c>
      <c r="J566" s="65">
        <f>Calc!$FK$568</f>
        <v/>
      </c>
      <c r="K566" s="65">
        <f>Calc!$FL$568</f>
        <v/>
      </c>
      <c r="L566" s="65">
        <f>Calc!$FM$568</f>
        <v/>
      </c>
      <c r="M566" s="66">
        <f>Calc!$FN$568</f>
        <v/>
      </c>
      <c r="N566" s="66">
        <f>Calc!$FO$568</f>
        <v/>
      </c>
      <c r="O566" s="65">
        <f>Calc!$FP$568</f>
        <v/>
      </c>
      <c r="P566" s="67">
        <f>Calc!$FQ$568</f>
        <v/>
      </c>
      <c r="Q566" s="68">
        <f>Calc!$FR$568</f>
        <v/>
      </c>
      <c r="R566" s="65">
        <f>Calc!$FS$568</f>
        <v/>
      </c>
      <c r="T566">
        <f>Calc!$EY$568</f>
        <v/>
      </c>
      <c r="U566">
        <f>Calc!$FT$568</f>
        <v/>
      </c>
      <c r="V566">
        <f>Calc!$FU$568</f>
        <v/>
      </c>
      <c r="W566">
        <f>Calc!$FC$568</f>
        <v/>
      </c>
      <c r="X566">
        <f>Calc!$EZ$568</f>
        <v/>
      </c>
      <c r="Y566">
        <f>Calc!$FA$568</f>
        <v/>
      </c>
      <c r="Z566">
        <f>Calc!$FV$568</f>
        <v/>
      </c>
      <c r="AA566">
        <f>IF($T566&lt;&gt;"row",0,IF($V566=1,IF($X566=1,IF($Y566=1,1,2),IF($Y566=1,3,4)),IF($X566=1,IF($Y566=1,5,6),IF($Y566=1,7,8))))</f>
        <v/>
      </c>
    </row>
    <row r="567" ht="11.25" customHeight="1">
      <c r="A567" s="64">
        <f>Calc!$FB$569</f>
        <v/>
      </c>
      <c r="B567" s="64">
        <f>Calc!$FC$569</f>
        <v/>
      </c>
      <c r="C567" s="65">
        <f>Calc!$FD$569</f>
        <v/>
      </c>
      <c r="D567" s="65">
        <f>Calc!$FE$569</f>
        <v/>
      </c>
      <c r="E567" s="65">
        <f>Calc!$FF$569</f>
        <v/>
      </c>
      <c r="F567" s="65">
        <f>Calc!$FG$569</f>
        <v/>
      </c>
      <c r="G567" s="65">
        <f>Calc!$FH$569</f>
        <v/>
      </c>
      <c r="H567" s="65">
        <f>Calc!$FI$569</f>
        <v/>
      </c>
      <c r="I567" s="65">
        <f>Calc!$FJ$569</f>
        <v/>
      </c>
      <c r="J567" s="65">
        <f>Calc!$FK$569</f>
        <v/>
      </c>
      <c r="K567" s="65">
        <f>Calc!$FL$569</f>
        <v/>
      </c>
      <c r="L567" s="65">
        <f>Calc!$FM$569</f>
        <v/>
      </c>
      <c r="M567" s="66">
        <f>Calc!$FN$569</f>
        <v/>
      </c>
      <c r="N567" s="66">
        <f>Calc!$FO$569</f>
        <v/>
      </c>
      <c r="O567" s="65">
        <f>Calc!$FP$569</f>
        <v/>
      </c>
      <c r="P567" s="67">
        <f>Calc!$FQ$569</f>
        <v/>
      </c>
      <c r="Q567" s="68">
        <f>Calc!$FR$569</f>
        <v/>
      </c>
      <c r="R567" s="65">
        <f>Calc!$FS$569</f>
        <v/>
      </c>
      <c r="T567">
        <f>Calc!$EY$569</f>
        <v/>
      </c>
      <c r="U567">
        <f>Calc!$FT$569</f>
        <v/>
      </c>
      <c r="V567">
        <f>Calc!$FU$569</f>
        <v/>
      </c>
      <c r="W567">
        <f>Calc!$FC$569</f>
        <v/>
      </c>
      <c r="X567">
        <f>Calc!$EZ$569</f>
        <v/>
      </c>
      <c r="Y567">
        <f>Calc!$FA$569</f>
        <v/>
      </c>
      <c r="Z567">
        <f>Calc!$FV$569</f>
        <v/>
      </c>
      <c r="AA567">
        <f>IF($T567&lt;&gt;"row",0,IF($V567=1,IF($X567=1,IF($Y567=1,1,2),IF($Y567=1,3,4)),IF($X567=1,IF($Y567=1,5,6),IF($Y567=1,7,8))))</f>
        <v/>
      </c>
    </row>
    <row r="568" ht="11.25" customHeight="1">
      <c r="A568" s="64">
        <f>Calc!$FB$570</f>
        <v/>
      </c>
      <c r="B568" s="64">
        <f>Calc!$FC$570</f>
        <v/>
      </c>
      <c r="C568" s="65">
        <f>Calc!$FD$570</f>
        <v/>
      </c>
      <c r="D568" s="65">
        <f>Calc!$FE$570</f>
        <v/>
      </c>
      <c r="E568" s="65">
        <f>Calc!$FF$570</f>
        <v/>
      </c>
      <c r="F568" s="65">
        <f>Calc!$FG$570</f>
        <v/>
      </c>
      <c r="G568" s="65">
        <f>Calc!$FH$570</f>
        <v/>
      </c>
      <c r="H568" s="65">
        <f>Calc!$FI$570</f>
        <v/>
      </c>
      <c r="I568" s="65">
        <f>Calc!$FJ$570</f>
        <v/>
      </c>
      <c r="J568" s="65">
        <f>Calc!$FK$570</f>
        <v/>
      </c>
      <c r="K568" s="65">
        <f>Calc!$FL$570</f>
        <v/>
      </c>
      <c r="L568" s="65">
        <f>Calc!$FM$570</f>
        <v/>
      </c>
      <c r="M568" s="66">
        <f>Calc!$FN$570</f>
        <v/>
      </c>
      <c r="N568" s="66">
        <f>Calc!$FO$570</f>
        <v/>
      </c>
      <c r="O568" s="65">
        <f>Calc!$FP$570</f>
        <v/>
      </c>
      <c r="P568" s="67">
        <f>Calc!$FQ$570</f>
        <v/>
      </c>
      <c r="Q568" s="68">
        <f>Calc!$FR$570</f>
        <v/>
      </c>
      <c r="R568" s="65">
        <f>Calc!$FS$570</f>
        <v/>
      </c>
      <c r="T568">
        <f>Calc!$EY$570</f>
        <v/>
      </c>
      <c r="U568">
        <f>Calc!$FT$570</f>
        <v/>
      </c>
      <c r="V568">
        <f>Calc!$FU$570</f>
        <v/>
      </c>
      <c r="W568">
        <f>Calc!$FC$570</f>
        <v/>
      </c>
      <c r="X568">
        <f>Calc!$EZ$570</f>
        <v/>
      </c>
      <c r="Y568">
        <f>Calc!$FA$570</f>
        <v/>
      </c>
      <c r="Z568">
        <f>Calc!$FV$570</f>
        <v/>
      </c>
      <c r="AA568">
        <f>IF($T568&lt;&gt;"row",0,IF($V568=1,IF($X568=1,IF($Y568=1,1,2),IF($Y568=1,3,4)),IF($X568=1,IF($Y568=1,5,6),IF($Y568=1,7,8))))</f>
        <v/>
      </c>
    </row>
    <row r="569" ht="11.25" customHeight="1">
      <c r="A569" s="64">
        <f>Calc!$FB$571</f>
        <v/>
      </c>
      <c r="B569" s="64">
        <f>Calc!$FC$571</f>
        <v/>
      </c>
      <c r="C569" s="65">
        <f>Calc!$FD$571</f>
        <v/>
      </c>
      <c r="D569" s="65">
        <f>Calc!$FE$571</f>
        <v/>
      </c>
      <c r="E569" s="65">
        <f>Calc!$FF$571</f>
        <v/>
      </c>
      <c r="F569" s="65">
        <f>Calc!$FG$571</f>
        <v/>
      </c>
      <c r="G569" s="65">
        <f>Calc!$FH$571</f>
        <v/>
      </c>
      <c r="H569" s="65">
        <f>Calc!$FI$571</f>
        <v/>
      </c>
      <c r="I569" s="65">
        <f>Calc!$FJ$571</f>
        <v/>
      </c>
      <c r="J569" s="65">
        <f>Calc!$FK$571</f>
        <v/>
      </c>
      <c r="K569" s="65">
        <f>Calc!$FL$571</f>
        <v/>
      </c>
      <c r="L569" s="65">
        <f>Calc!$FM$571</f>
        <v/>
      </c>
      <c r="M569" s="66">
        <f>Calc!$FN$571</f>
        <v/>
      </c>
      <c r="N569" s="66">
        <f>Calc!$FO$571</f>
        <v/>
      </c>
      <c r="O569" s="65">
        <f>Calc!$FP$571</f>
        <v/>
      </c>
      <c r="P569" s="67">
        <f>Calc!$FQ$571</f>
        <v/>
      </c>
      <c r="Q569" s="68">
        <f>Calc!$FR$571</f>
        <v/>
      </c>
      <c r="R569" s="65">
        <f>Calc!$FS$571</f>
        <v/>
      </c>
      <c r="T569">
        <f>Calc!$EY$571</f>
        <v/>
      </c>
      <c r="U569">
        <f>Calc!$FT$571</f>
        <v/>
      </c>
      <c r="V569">
        <f>Calc!$FU$571</f>
        <v/>
      </c>
      <c r="W569">
        <f>Calc!$FC$571</f>
        <v/>
      </c>
      <c r="X569">
        <f>Calc!$EZ$571</f>
        <v/>
      </c>
      <c r="Y569">
        <f>Calc!$FA$571</f>
        <v/>
      </c>
      <c r="Z569">
        <f>Calc!$FV$571</f>
        <v/>
      </c>
      <c r="AA569">
        <f>IF($T569&lt;&gt;"row",0,IF($V569=1,IF($X569=1,IF($Y569=1,1,2),IF($Y569=1,3,4)),IF($X569=1,IF($Y569=1,5,6),IF($Y569=1,7,8))))</f>
        <v/>
      </c>
    </row>
    <row r="570" ht="11.25" customHeight="1">
      <c r="A570" s="64">
        <f>Calc!$FB$572</f>
        <v/>
      </c>
      <c r="B570" s="64">
        <f>Calc!$FC$572</f>
        <v/>
      </c>
      <c r="C570" s="65">
        <f>Calc!$FD$572</f>
        <v/>
      </c>
      <c r="D570" s="65">
        <f>Calc!$FE$572</f>
        <v/>
      </c>
      <c r="E570" s="65">
        <f>Calc!$FF$572</f>
        <v/>
      </c>
      <c r="F570" s="65">
        <f>Calc!$FG$572</f>
        <v/>
      </c>
      <c r="G570" s="65">
        <f>Calc!$FH$572</f>
        <v/>
      </c>
      <c r="H570" s="65">
        <f>Calc!$FI$572</f>
        <v/>
      </c>
      <c r="I570" s="65">
        <f>Calc!$FJ$572</f>
        <v/>
      </c>
      <c r="J570" s="65">
        <f>Calc!$FK$572</f>
        <v/>
      </c>
      <c r="K570" s="65">
        <f>Calc!$FL$572</f>
        <v/>
      </c>
      <c r="L570" s="65">
        <f>Calc!$FM$572</f>
        <v/>
      </c>
      <c r="M570" s="66">
        <f>Calc!$FN$572</f>
        <v/>
      </c>
      <c r="N570" s="66">
        <f>Calc!$FO$572</f>
        <v/>
      </c>
      <c r="O570" s="65">
        <f>Calc!$FP$572</f>
        <v/>
      </c>
      <c r="P570" s="67">
        <f>Calc!$FQ$572</f>
        <v/>
      </c>
      <c r="Q570" s="68">
        <f>Calc!$FR$572</f>
        <v/>
      </c>
      <c r="R570" s="65">
        <f>Calc!$FS$572</f>
        <v/>
      </c>
      <c r="T570">
        <f>Calc!$EY$572</f>
        <v/>
      </c>
      <c r="U570">
        <f>Calc!$FT$572</f>
        <v/>
      </c>
      <c r="V570">
        <f>Calc!$FU$572</f>
        <v/>
      </c>
      <c r="W570">
        <f>Calc!$FC$572</f>
        <v/>
      </c>
      <c r="X570">
        <f>Calc!$EZ$572</f>
        <v/>
      </c>
      <c r="Y570">
        <f>Calc!$FA$572</f>
        <v/>
      </c>
      <c r="Z570">
        <f>Calc!$FV$572</f>
        <v/>
      </c>
      <c r="AA570">
        <f>IF($T570&lt;&gt;"row",0,IF($V570=1,IF($X570=1,IF($Y570=1,1,2),IF($Y570=1,3,4)),IF($X570=1,IF($Y570=1,5,6),IF($Y570=1,7,8))))</f>
        <v/>
      </c>
    </row>
    <row r="571" ht="11.25" customHeight="1">
      <c r="A571" s="64">
        <f>Calc!$FB$573</f>
        <v/>
      </c>
      <c r="B571" s="64">
        <f>Calc!$FC$573</f>
        <v/>
      </c>
      <c r="C571" s="65">
        <f>Calc!$FD$573</f>
        <v/>
      </c>
      <c r="D571" s="65">
        <f>Calc!$FE$573</f>
        <v/>
      </c>
      <c r="E571" s="65">
        <f>Calc!$FF$573</f>
        <v/>
      </c>
      <c r="F571" s="65">
        <f>Calc!$FG$573</f>
        <v/>
      </c>
      <c r="G571" s="65">
        <f>Calc!$FH$573</f>
        <v/>
      </c>
      <c r="H571" s="65">
        <f>Calc!$FI$573</f>
        <v/>
      </c>
      <c r="I571" s="65">
        <f>Calc!$FJ$573</f>
        <v/>
      </c>
      <c r="J571" s="65">
        <f>Calc!$FK$573</f>
        <v/>
      </c>
      <c r="K571" s="65">
        <f>Calc!$FL$573</f>
        <v/>
      </c>
      <c r="L571" s="65">
        <f>Calc!$FM$573</f>
        <v/>
      </c>
      <c r="M571" s="66">
        <f>Calc!$FN$573</f>
        <v/>
      </c>
      <c r="N571" s="66">
        <f>Calc!$FO$573</f>
        <v/>
      </c>
      <c r="O571" s="65">
        <f>Calc!$FP$573</f>
        <v/>
      </c>
      <c r="P571" s="67">
        <f>Calc!$FQ$573</f>
        <v/>
      </c>
      <c r="Q571" s="68">
        <f>Calc!$FR$573</f>
        <v/>
      </c>
      <c r="R571" s="65">
        <f>Calc!$FS$573</f>
        <v/>
      </c>
      <c r="T571">
        <f>Calc!$EY$573</f>
        <v/>
      </c>
      <c r="U571">
        <f>Calc!$FT$573</f>
        <v/>
      </c>
      <c r="V571">
        <f>Calc!$FU$573</f>
        <v/>
      </c>
      <c r="W571">
        <f>Calc!$FC$573</f>
        <v/>
      </c>
      <c r="X571">
        <f>Calc!$EZ$573</f>
        <v/>
      </c>
      <c r="Y571">
        <f>Calc!$FA$573</f>
        <v/>
      </c>
      <c r="Z571">
        <f>Calc!$FV$573</f>
        <v/>
      </c>
      <c r="AA571">
        <f>IF($T571&lt;&gt;"row",0,IF($V571=1,IF($X571=1,IF($Y571=1,1,2),IF($Y571=1,3,4)),IF($X571=1,IF($Y571=1,5,6),IF($Y571=1,7,8))))</f>
        <v/>
      </c>
    </row>
    <row r="572" ht="11.25" customHeight="1">
      <c r="A572" s="64">
        <f>Calc!$FB$574</f>
        <v/>
      </c>
      <c r="B572" s="64">
        <f>Calc!$FC$574</f>
        <v/>
      </c>
      <c r="C572" s="65">
        <f>Calc!$FD$574</f>
        <v/>
      </c>
      <c r="D572" s="65">
        <f>Calc!$FE$574</f>
        <v/>
      </c>
      <c r="E572" s="65">
        <f>Calc!$FF$574</f>
        <v/>
      </c>
      <c r="F572" s="65">
        <f>Calc!$FG$574</f>
        <v/>
      </c>
      <c r="G572" s="65">
        <f>Calc!$FH$574</f>
        <v/>
      </c>
      <c r="H572" s="65">
        <f>Calc!$FI$574</f>
        <v/>
      </c>
      <c r="I572" s="65">
        <f>Calc!$FJ$574</f>
        <v/>
      </c>
      <c r="J572" s="65">
        <f>Calc!$FK$574</f>
        <v/>
      </c>
      <c r="K572" s="65">
        <f>Calc!$FL$574</f>
        <v/>
      </c>
      <c r="L572" s="65">
        <f>Calc!$FM$574</f>
        <v/>
      </c>
      <c r="M572" s="66">
        <f>Calc!$FN$574</f>
        <v/>
      </c>
      <c r="N572" s="66">
        <f>Calc!$FO$574</f>
        <v/>
      </c>
      <c r="O572" s="65">
        <f>Calc!$FP$574</f>
        <v/>
      </c>
      <c r="P572" s="67">
        <f>Calc!$FQ$574</f>
        <v/>
      </c>
      <c r="Q572" s="68">
        <f>Calc!$FR$574</f>
        <v/>
      </c>
      <c r="R572" s="65">
        <f>Calc!$FS$574</f>
        <v/>
      </c>
      <c r="T572">
        <f>Calc!$EY$574</f>
        <v/>
      </c>
      <c r="U572">
        <f>Calc!$FT$574</f>
        <v/>
      </c>
      <c r="V572">
        <f>Calc!$FU$574</f>
        <v/>
      </c>
      <c r="W572">
        <f>Calc!$FC$574</f>
        <v/>
      </c>
      <c r="X572">
        <f>Calc!$EZ$574</f>
        <v/>
      </c>
      <c r="Y572">
        <f>Calc!$FA$574</f>
        <v/>
      </c>
      <c r="Z572">
        <f>Calc!$FV$574</f>
        <v/>
      </c>
      <c r="AA572">
        <f>IF($T572&lt;&gt;"row",0,IF($V572=1,IF($X572=1,IF($Y572=1,1,2),IF($Y572=1,3,4)),IF($X572=1,IF($Y572=1,5,6),IF($Y572=1,7,8))))</f>
        <v/>
      </c>
    </row>
    <row r="573" ht="11.25" customHeight="1">
      <c r="A573" s="64">
        <f>Calc!$FB$575</f>
        <v/>
      </c>
      <c r="B573" s="64">
        <f>Calc!$FC$575</f>
        <v/>
      </c>
      <c r="C573" s="65">
        <f>Calc!$FD$575</f>
        <v/>
      </c>
      <c r="D573" s="65">
        <f>Calc!$FE$575</f>
        <v/>
      </c>
      <c r="E573" s="65">
        <f>Calc!$FF$575</f>
        <v/>
      </c>
      <c r="F573" s="65">
        <f>Calc!$FG$575</f>
        <v/>
      </c>
      <c r="G573" s="65">
        <f>Calc!$FH$575</f>
        <v/>
      </c>
      <c r="H573" s="65">
        <f>Calc!$FI$575</f>
        <v/>
      </c>
      <c r="I573" s="65">
        <f>Calc!$FJ$575</f>
        <v/>
      </c>
      <c r="J573" s="65">
        <f>Calc!$FK$575</f>
        <v/>
      </c>
      <c r="K573" s="65">
        <f>Calc!$FL$575</f>
        <v/>
      </c>
      <c r="L573" s="65">
        <f>Calc!$FM$575</f>
        <v/>
      </c>
      <c r="M573" s="66">
        <f>Calc!$FN$575</f>
        <v/>
      </c>
      <c r="N573" s="66">
        <f>Calc!$FO$575</f>
        <v/>
      </c>
      <c r="O573" s="65">
        <f>Calc!$FP$575</f>
        <v/>
      </c>
      <c r="P573" s="67">
        <f>Calc!$FQ$575</f>
        <v/>
      </c>
      <c r="Q573" s="68">
        <f>Calc!$FR$575</f>
        <v/>
      </c>
      <c r="R573" s="65">
        <f>Calc!$FS$575</f>
        <v/>
      </c>
      <c r="T573">
        <f>Calc!$EY$575</f>
        <v/>
      </c>
      <c r="U573">
        <f>Calc!$FT$575</f>
        <v/>
      </c>
      <c r="V573">
        <f>Calc!$FU$575</f>
        <v/>
      </c>
      <c r="W573">
        <f>Calc!$FC$575</f>
        <v/>
      </c>
      <c r="X573">
        <f>Calc!$EZ$575</f>
        <v/>
      </c>
      <c r="Y573">
        <f>Calc!$FA$575</f>
        <v/>
      </c>
      <c r="Z573">
        <f>Calc!$FV$575</f>
        <v/>
      </c>
      <c r="AA573">
        <f>IF($T573&lt;&gt;"row",0,IF($V573=1,IF($X573=1,IF($Y573=1,1,2),IF($Y573=1,3,4)),IF($X573=1,IF($Y573=1,5,6),IF($Y573=1,7,8))))</f>
        <v/>
      </c>
    </row>
    <row r="574" ht="11.25" customHeight="1">
      <c r="A574" s="64">
        <f>Calc!$FB$576</f>
        <v/>
      </c>
      <c r="B574" s="64">
        <f>Calc!$FC$576</f>
        <v/>
      </c>
      <c r="C574" s="65">
        <f>Calc!$FD$576</f>
        <v/>
      </c>
      <c r="D574" s="65">
        <f>Calc!$FE$576</f>
        <v/>
      </c>
      <c r="E574" s="65">
        <f>Calc!$FF$576</f>
        <v/>
      </c>
      <c r="F574" s="65">
        <f>Calc!$FG$576</f>
        <v/>
      </c>
      <c r="G574" s="65">
        <f>Calc!$FH$576</f>
        <v/>
      </c>
      <c r="H574" s="65">
        <f>Calc!$FI$576</f>
        <v/>
      </c>
      <c r="I574" s="65">
        <f>Calc!$FJ$576</f>
        <v/>
      </c>
      <c r="J574" s="65">
        <f>Calc!$FK$576</f>
        <v/>
      </c>
      <c r="K574" s="65">
        <f>Calc!$FL$576</f>
        <v/>
      </c>
      <c r="L574" s="65">
        <f>Calc!$FM$576</f>
        <v/>
      </c>
      <c r="M574" s="66">
        <f>Calc!$FN$576</f>
        <v/>
      </c>
      <c r="N574" s="66">
        <f>Calc!$FO$576</f>
        <v/>
      </c>
      <c r="O574" s="65">
        <f>Calc!$FP$576</f>
        <v/>
      </c>
      <c r="P574" s="67">
        <f>Calc!$FQ$576</f>
        <v/>
      </c>
      <c r="Q574" s="68">
        <f>Calc!$FR$576</f>
        <v/>
      </c>
      <c r="R574" s="65">
        <f>Calc!$FS$576</f>
        <v/>
      </c>
      <c r="T574">
        <f>Calc!$EY$576</f>
        <v/>
      </c>
      <c r="U574">
        <f>Calc!$FT$576</f>
        <v/>
      </c>
      <c r="V574">
        <f>Calc!$FU$576</f>
        <v/>
      </c>
      <c r="W574">
        <f>Calc!$FC$576</f>
        <v/>
      </c>
      <c r="X574">
        <f>Calc!$EZ$576</f>
        <v/>
      </c>
      <c r="Y574">
        <f>Calc!$FA$576</f>
        <v/>
      </c>
      <c r="Z574">
        <f>Calc!$FV$576</f>
        <v/>
      </c>
      <c r="AA574">
        <f>IF($T574&lt;&gt;"row",0,IF($V574=1,IF($X574=1,IF($Y574=1,1,2),IF($Y574=1,3,4)),IF($X574=1,IF($Y574=1,5,6),IF($Y574=1,7,8))))</f>
        <v/>
      </c>
    </row>
    <row r="575" ht="11.25" customHeight="1">
      <c r="A575" s="64">
        <f>Calc!$FB$577</f>
        <v/>
      </c>
      <c r="B575" s="64">
        <f>Calc!$FC$577</f>
        <v/>
      </c>
      <c r="C575" s="65">
        <f>Calc!$FD$577</f>
        <v/>
      </c>
      <c r="D575" s="65">
        <f>Calc!$FE$577</f>
        <v/>
      </c>
      <c r="E575" s="65">
        <f>Calc!$FF$577</f>
        <v/>
      </c>
      <c r="F575" s="65">
        <f>Calc!$FG$577</f>
        <v/>
      </c>
      <c r="G575" s="65">
        <f>Calc!$FH$577</f>
        <v/>
      </c>
      <c r="H575" s="65">
        <f>Calc!$FI$577</f>
        <v/>
      </c>
      <c r="I575" s="65">
        <f>Calc!$FJ$577</f>
        <v/>
      </c>
      <c r="J575" s="65">
        <f>Calc!$FK$577</f>
        <v/>
      </c>
      <c r="K575" s="65">
        <f>Calc!$FL$577</f>
        <v/>
      </c>
      <c r="L575" s="65">
        <f>Calc!$FM$577</f>
        <v/>
      </c>
      <c r="M575" s="66">
        <f>Calc!$FN$577</f>
        <v/>
      </c>
      <c r="N575" s="66">
        <f>Calc!$FO$577</f>
        <v/>
      </c>
      <c r="O575" s="65">
        <f>Calc!$FP$577</f>
        <v/>
      </c>
      <c r="P575" s="67">
        <f>Calc!$FQ$577</f>
        <v/>
      </c>
      <c r="Q575" s="68">
        <f>Calc!$FR$577</f>
        <v/>
      </c>
      <c r="R575" s="65">
        <f>Calc!$FS$577</f>
        <v/>
      </c>
      <c r="T575">
        <f>Calc!$EY$577</f>
        <v/>
      </c>
      <c r="U575">
        <f>Calc!$FT$577</f>
        <v/>
      </c>
      <c r="V575">
        <f>Calc!$FU$577</f>
        <v/>
      </c>
      <c r="W575">
        <f>Calc!$FC$577</f>
        <v/>
      </c>
      <c r="X575">
        <f>Calc!$EZ$577</f>
        <v/>
      </c>
      <c r="Y575">
        <f>Calc!$FA$577</f>
        <v/>
      </c>
      <c r="Z575">
        <f>Calc!$FV$577</f>
        <v/>
      </c>
      <c r="AA575">
        <f>IF($T575&lt;&gt;"row",0,IF($V575=1,IF($X575=1,IF($Y575=1,1,2),IF($Y575=1,3,4)),IF($X575=1,IF($Y575=1,5,6),IF($Y575=1,7,8))))</f>
        <v/>
      </c>
    </row>
    <row r="576" ht="11.25" customHeight="1">
      <c r="A576" s="64">
        <f>Calc!$FB$578</f>
        <v/>
      </c>
      <c r="B576" s="64">
        <f>Calc!$FC$578</f>
        <v/>
      </c>
      <c r="C576" s="65">
        <f>Calc!$FD$578</f>
        <v/>
      </c>
      <c r="D576" s="65">
        <f>Calc!$FE$578</f>
        <v/>
      </c>
      <c r="E576" s="65">
        <f>Calc!$FF$578</f>
        <v/>
      </c>
      <c r="F576" s="65">
        <f>Calc!$FG$578</f>
        <v/>
      </c>
      <c r="G576" s="65">
        <f>Calc!$FH$578</f>
        <v/>
      </c>
      <c r="H576" s="65">
        <f>Calc!$FI$578</f>
        <v/>
      </c>
      <c r="I576" s="65">
        <f>Calc!$FJ$578</f>
        <v/>
      </c>
      <c r="J576" s="65">
        <f>Calc!$FK$578</f>
        <v/>
      </c>
      <c r="K576" s="65">
        <f>Calc!$FL$578</f>
        <v/>
      </c>
      <c r="L576" s="65">
        <f>Calc!$FM$578</f>
        <v/>
      </c>
      <c r="M576" s="66">
        <f>Calc!$FN$578</f>
        <v/>
      </c>
      <c r="N576" s="66">
        <f>Calc!$FO$578</f>
        <v/>
      </c>
      <c r="O576" s="65">
        <f>Calc!$FP$578</f>
        <v/>
      </c>
      <c r="P576" s="67">
        <f>Calc!$FQ$578</f>
        <v/>
      </c>
      <c r="Q576" s="68">
        <f>Calc!$FR$578</f>
        <v/>
      </c>
      <c r="R576" s="65">
        <f>Calc!$FS$578</f>
        <v/>
      </c>
      <c r="T576">
        <f>Calc!$EY$578</f>
        <v/>
      </c>
      <c r="U576">
        <f>Calc!$FT$578</f>
        <v/>
      </c>
      <c r="V576">
        <f>Calc!$FU$578</f>
        <v/>
      </c>
      <c r="W576">
        <f>Calc!$FC$578</f>
        <v/>
      </c>
      <c r="X576">
        <f>Calc!$EZ$578</f>
        <v/>
      </c>
      <c r="Y576">
        <f>Calc!$FA$578</f>
        <v/>
      </c>
      <c r="Z576">
        <f>Calc!$FV$578</f>
        <v/>
      </c>
      <c r="AA576">
        <f>IF($T576&lt;&gt;"row",0,IF($V576=1,IF($X576=1,IF($Y576=1,1,2),IF($Y576=1,3,4)),IF($X576=1,IF($Y576=1,5,6),IF($Y576=1,7,8))))</f>
        <v/>
      </c>
    </row>
    <row r="577" ht="11.25" customHeight="1">
      <c r="A577" s="64">
        <f>Calc!$FB$579</f>
        <v/>
      </c>
      <c r="B577" s="64">
        <f>Calc!$FC$579</f>
        <v/>
      </c>
      <c r="C577" s="65">
        <f>Calc!$FD$579</f>
        <v/>
      </c>
      <c r="D577" s="65">
        <f>Calc!$FE$579</f>
        <v/>
      </c>
      <c r="E577" s="65">
        <f>Calc!$FF$579</f>
        <v/>
      </c>
      <c r="F577" s="65">
        <f>Calc!$FG$579</f>
        <v/>
      </c>
      <c r="G577" s="65">
        <f>Calc!$FH$579</f>
        <v/>
      </c>
      <c r="H577" s="65">
        <f>Calc!$FI$579</f>
        <v/>
      </c>
      <c r="I577" s="65">
        <f>Calc!$FJ$579</f>
        <v/>
      </c>
      <c r="J577" s="65">
        <f>Calc!$FK$579</f>
        <v/>
      </c>
      <c r="K577" s="65">
        <f>Calc!$FL$579</f>
        <v/>
      </c>
      <c r="L577" s="65">
        <f>Calc!$FM$579</f>
        <v/>
      </c>
      <c r="M577" s="66">
        <f>Calc!$FN$579</f>
        <v/>
      </c>
      <c r="N577" s="66">
        <f>Calc!$FO$579</f>
        <v/>
      </c>
      <c r="O577" s="65">
        <f>Calc!$FP$579</f>
        <v/>
      </c>
      <c r="P577" s="67">
        <f>Calc!$FQ$579</f>
        <v/>
      </c>
      <c r="Q577" s="68">
        <f>Calc!$FR$579</f>
        <v/>
      </c>
      <c r="R577" s="65">
        <f>Calc!$FS$579</f>
        <v/>
      </c>
      <c r="T577">
        <f>Calc!$EY$579</f>
        <v/>
      </c>
      <c r="U577">
        <f>Calc!$FT$579</f>
        <v/>
      </c>
      <c r="V577">
        <f>Calc!$FU$579</f>
        <v/>
      </c>
      <c r="W577">
        <f>Calc!$FC$579</f>
        <v/>
      </c>
      <c r="X577">
        <f>Calc!$EZ$579</f>
        <v/>
      </c>
      <c r="Y577">
        <f>Calc!$FA$579</f>
        <v/>
      </c>
      <c r="Z577">
        <f>Calc!$FV$579</f>
        <v/>
      </c>
      <c r="AA577">
        <f>IF($T577&lt;&gt;"row",0,IF($V577=1,IF($X577=1,IF($Y577=1,1,2),IF($Y577=1,3,4)),IF($X577=1,IF($Y577=1,5,6),IF($Y577=1,7,8))))</f>
        <v/>
      </c>
    </row>
    <row r="578" ht="11.25" customHeight="1">
      <c r="A578" s="64">
        <f>Calc!$FB$580</f>
        <v/>
      </c>
      <c r="B578" s="64">
        <f>Calc!$FC$580</f>
        <v/>
      </c>
      <c r="C578" s="65">
        <f>Calc!$FD$580</f>
        <v/>
      </c>
      <c r="D578" s="65">
        <f>Calc!$FE$580</f>
        <v/>
      </c>
      <c r="E578" s="65">
        <f>Calc!$FF$580</f>
        <v/>
      </c>
      <c r="F578" s="65">
        <f>Calc!$FG$580</f>
        <v/>
      </c>
      <c r="G578" s="65">
        <f>Calc!$FH$580</f>
        <v/>
      </c>
      <c r="H578" s="65">
        <f>Calc!$FI$580</f>
        <v/>
      </c>
      <c r="I578" s="65">
        <f>Calc!$FJ$580</f>
        <v/>
      </c>
      <c r="J578" s="65">
        <f>Calc!$FK$580</f>
        <v/>
      </c>
      <c r="K578" s="65">
        <f>Calc!$FL$580</f>
        <v/>
      </c>
      <c r="L578" s="65">
        <f>Calc!$FM$580</f>
        <v/>
      </c>
      <c r="M578" s="66">
        <f>Calc!$FN$580</f>
        <v/>
      </c>
      <c r="N578" s="66">
        <f>Calc!$FO$580</f>
        <v/>
      </c>
      <c r="O578" s="65">
        <f>Calc!$FP$580</f>
        <v/>
      </c>
      <c r="P578" s="67">
        <f>Calc!$FQ$580</f>
        <v/>
      </c>
      <c r="Q578" s="68">
        <f>Calc!$FR$580</f>
        <v/>
      </c>
      <c r="R578" s="65">
        <f>Calc!$FS$580</f>
        <v/>
      </c>
      <c r="T578">
        <f>Calc!$EY$580</f>
        <v/>
      </c>
      <c r="U578">
        <f>Calc!$FT$580</f>
        <v/>
      </c>
      <c r="V578">
        <f>Calc!$FU$580</f>
        <v/>
      </c>
      <c r="W578">
        <f>Calc!$FC$580</f>
        <v/>
      </c>
      <c r="X578">
        <f>Calc!$EZ$580</f>
        <v/>
      </c>
      <c r="Y578">
        <f>Calc!$FA$580</f>
        <v/>
      </c>
      <c r="Z578">
        <f>Calc!$FV$580</f>
        <v/>
      </c>
      <c r="AA578">
        <f>IF($T578&lt;&gt;"row",0,IF($V578=1,IF($X578=1,IF($Y578=1,1,2),IF($Y578=1,3,4)),IF($X578=1,IF($Y578=1,5,6),IF($Y578=1,7,8))))</f>
        <v/>
      </c>
    </row>
    <row r="579" ht="11.25" customHeight="1">
      <c r="A579" s="64">
        <f>Calc!$FB$581</f>
        <v/>
      </c>
      <c r="B579" s="64">
        <f>Calc!$FC$581</f>
        <v/>
      </c>
      <c r="C579" s="65">
        <f>Calc!$FD$581</f>
        <v/>
      </c>
      <c r="D579" s="65">
        <f>Calc!$FE$581</f>
        <v/>
      </c>
      <c r="E579" s="65">
        <f>Calc!$FF$581</f>
        <v/>
      </c>
      <c r="F579" s="65">
        <f>Calc!$FG$581</f>
        <v/>
      </c>
      <c r="G579" s="65">
        <f>Calc!$FH$581</f>
        <v/>
      </c>
      <c r="H579" s="65">
        <f>Calc!$FI$581</f>
        <v/>
      </c>
      <c r="I579" s="65">
        <f>Calc!$FJ$581</f>
        <v/>
      </c>
      <c r="J579" s="65">
        <f>Calc!$FK$581</f>
        <v/>
      </c>
      <c r="K579" s="65">
        <f>Calc!$FL$581</f>
        <v/>
      </c>
      <c r="L579" s="65">
        <f>Calc!$FM$581</f>
        <v/>
      </c>
      <c r="M579" s="66">
        <f>Calc!$FN$581</f>
        <v/>
      </c>
      <c r="N579" s="66">
        <f>Calc!$FO$581</f>
        <v/>
      </c>
      <c r="O579" s="65">
        <f>Calc!$FP$581</f>
        <v/>
      </c>
      <c r="P579" s="67">
        <f>Calc!$FQ$581</f>
        <v/>
      </c>
      <c r="Q579" s="68">
        <f>Calc!$FR$581</f>
        <v/>
      </c>
      <c r="R579" s="65">
        <f>Calc!$FS$581</f>
        <v/>
      </c>
      <c r="T579">
        <f>Calc!$EY$581</f>
        <v/>
      </c>
      <c r="U579">
        <f>Calc!$FT$581</f>
        <v/>
      </c>
      <c r="V579">
        <f>Calc!$FU$581</f>
        <v/>
      </c>
      <c r="W579">
        <f>Calc!$FC$581</f>
        <v/>
      </c>
      <c r="X579">
        <f>Calc!$EZ$581</f>
        <v/>
      </c>
      <c r="Y579">
        <f>Calc!$FA$581</f>
        <v/>
      </c>
      <c r="Z579">
        <f>Calc!$FV$581</f>
        <v/>
      </c>
      <c r="AA579">
        <f>IF($T579&lt;&gt;"row",0,IF($V579=1,IF($X579=1,IF($Y579=1,1,2),IF($Y579=1,3,4)),IF($X579=1,IF($Y579=1,5,6),IF($Y579=1,7,8))))</f>
        <v/>
      </c>
    </row>
    <row r="580" ht="11.25" customHeight="1">
      <c r="A580" s="64">
        <f>Calc!$FB$582</f>
        <v/>
      </c>
      <c r="B580" s="64">
        <f>Calc!$FC$582</f>
        <v/>
      </c>
      <c r="C580" s="65">
        <f>Calc!$FD$582</f>
        <v/>
      </c>
      <c r="D580" s="65">
        <f>Calc!$FE$582</f>
        <v/>
      </c>
      <c r="E580" s="65">
        <f>Calc!$FF$582</f>
        <v/>
      </c>
      <c r="F580" s="65">
        <f>Calc!$FG$582</f>
        <v/>
      </c>
      <c r="G580" s="65">
        <f>Calc!$FH$582</f>
        <v/>
      </c>
      <c r="H580" s="65">
        <f>Calc!$FI$582</f>
        <v/>
      </c>
      <c r="I580" s="65">
        <f>Calc!$FJ$582</f>
        <v/>
      </c>
      <c r="J580" s="65">
        <f>Calc!$FK$582</f>
        <v/>
      </c>
      <c r="K580" s="65">
        <f>Calc!$FL$582</f>
        <v/>
      </c>
      <c r="L580" s="65">
        <f>Calc!$FM$582</f>
        <v/>
      </c>
      <c r="M580" s="66">
        <f>Calc!$FN$582</f>
        <v/>
      </c>
      <c r="N580" s="66">
        <f>Calc!$FO$582</f>
        <v/>
      </c>
      <c r="O580" s="65">
        <f>Calc!$FP$582</f>
        <v/>
      </c>
      <c r="P580" s="67">
        <f>Calc!$FQ$582</f>
        <v/>
      </c>
      <c r="Q580" s="68">
        <f>Calc!$FR$582</f>
        <v/>
      </c>
      <c r="R580" s="65">
        <f>Calc!$FS$582</f>
        <v/>
      </c>
      <c r="T580">
        <f>Calc!$EY$582</f>
        <v/>
      </c>
      <c r="U580">
        <f>Calc!$FT$582</f>
        <v/>
      </c>
      <c r="V580">
        <f>Calc!$FU$582</f>
        <v/>
      </c>
      <c r="W580">
        <f>Calc!$FC$582</f>
        <v/>
      </c>
      <c r="X580">
        <f>Calc!$EZ$582</f>
        <v/>
      </c>
      <c r="Y580">
        <f>Calc!$FA$582</f>
        <v/>
      </c>
      <c r="Z580">
        <f>Calc!$FV$582</f>
        <v/>
      </c>
      <c r="AA580">
        <f>IF($T580&lt;&gt;"row",0,IF($V580=1,IF($X580=1,IF($Y580=1,1,2),IF($Y580=1,3,4)),IF($X580=1,IF($Y580=1,5,6),IF($Y580=1,7,8))))</f>
        <v/>
      </c>
    </row>
    <row r="581" ht="11.25" customHeight="1">
      <c r="A581" s="64">
        <f>Calc!$FB$583</f>
        <v/>
      </c>
      <c r="B581" s="64">
        <f>Calc!$FC$583</f>
        <v/>
      </c>
      <c r="C581" s="65">
        <f>Calc!$FD$583</f>
        <v/>
      </c>
      <c r="D581" s="65">
        <f>Calc!$FE$583</f>
        <v/>
      </c>
      <c r="E581" s="65">
        <f>Calc!$FF$583</f>
        <v/>
      </c>
      <c r="F581" s="65">
        <f>Calc!$FG$583</f>
        <v/>
      </c>
      <c r="G581" s="65">
        <f>Calc!$FH$583</f>
        <v/>
      </c>
      <c r="H581" s="65">
        <f>Calc!$FI$583</f>
        <v/>
      </c>
      <c r="I581" s="65">
        <f>Calc!$FJ$583</f>
        <v/>
      </c>
      <c r="J581" s="65">
        <f>Calc!$FK$583</f>
        <v/>
      </c>
      <c r="K581" s="65">
        <f>Calc!$FL$583</f>
        <v/>
      </c>
      <c r="L581" s="65">
        <f>Calc!$FM$583</f>
        <v/>
      </c>
      <c r="M581" s="66">
        <f>Calc!$FN$583</f>
        <v/>
      </c>
      <c r="N581" s="66">
        <f>Calc!$FO$583</f>
        <v/>
      </c>
      <c r="O581" s="65">
        <f>Calc!$FP$583</f>
        <v/>
      </c>
      <c r="P581" s="67">
        <f>Calc!$FQ$583</f>
        <v/>
      </c>
      <c r="Q581" s="68">
        <f>Calc!$FR$583</f>
        <v/>
      </c>
      <c r="R581" s="65">
        <f>Calc!$FS$583</f>
        <v/>
      </c>
      <c r="T581">
        <f>Calc!$EY$583</f>
        <v/>
      </c>
      <c r="U581">
        <f>Calc!$FT$583</f>
        <v/>
      </c>
      <c r="V581">
        <f>Calc!$FU$583</f>
        <v/>
      </c>
      <c r="W581">
        <f>Calc!$FC$583</f>
        <v/>
      </c>
      <c r="X581">
        <f>Calc!$EZ$583</f>
        <v/>
      </c>
      <c r="Y581">
        <f>Calc!$FA$583</f>
        <v/>
      </c>
      <c r="Z581">
        <f>Calc!$FV$583</f>
        <v/>
      </c>
      <c r="AA581">
        <f>IF($T581&lt;&gt;"row",0,IF($V581=1,IF($X581=1,IF($Y581=1,1,2),IF($Y581=1,3,4)),IF($X581=1,IF($Y581=1,5,6),IF($Y581=1,7,8))))</f>
        <v/>
      </c>
    </row>
    <row r="582" ht="11.25" customHeight="1">
      <c r="A582" s="64">
        <f>Calc!$FB$584</f>
        <v/>
      </c>
      <c r="B582" s="64">
        <f>Calc!$FC$584</f>
        <v/>
      </c>
      <c r="C582" s="65">
        <f>Calc!$FD$584</f>
        <v/>
      </c>
      <c r="D582" s="65">
        <f>Calc!$FE$584</f>
        <v/>
      </c>
      <c r="E582" s="65">
        <f>Calc!$FF$584</f>
        <v/>
      </c>
      <c r="F582" s="65">
        <f>Calc!$FG$584</f>
        <v/>
      </c>
      <c r="G582" s="65">
        <f>Calc!$FH$584</f>
        <v/>
      </c>
      <c r="H582" s="65">
        <f>Calc!$FI$584</f>
        <v/>
      </c>
      <c r="I582" s="65">
        <f>Calc!$FJ$584</f>
        <v/>
      </c>
      <c r="J582" s="65">
        <f>Calc!$FK$584</f>
        <v/>
      </c>
      <c r="K582" s="65">
        <f>Calc!$FL$584</f>
        <v/>
      </c>
      <c r="L582" s="65">
        <f>Calc!$FM$584</f>
        <v/>
      </c>
      <c r="M582" s="66">
        <f>Calc!$FN$584</f>
        <v/>
      </c>
      <c r="N582" s="66">
        <f>Calc!$FO$584</f>
        <v/>
      </c>
      <c r="O582" s="65">
        <f>Calc!$FP$584</f>
        <v/>
      </c>
      <c r="P582" s="67">
        <f>Calc!$FQ$584</f>
        <v/>
      </c>
      <c r="Q582" s="68">
        <f>Calc!$FR$584</f>
        <v/>
      </c>
      <c r="R582" s="65">
        <f>Calc!$FS$584</f>
        <v/>
      </c>
      <c r="T582">
        <f>Calc!$EY$584</f>
        <v/>
      </c>
      <c r="U582">
        <f>Calc!$FT$584</f>
        <v/>
      </c>
      <c r="V582">
        <f>Calc!$FU$584</f>
        <v/>
      </c>
      <c r="W582">
        <f>Calc!$FC$584</f>
        <v/>
      </c>
      <c r="X582">
        <f>Calc!$EZ$584</f>
        <v/>
      </c>
      <c r="Y582">
        <f>Calc!$FA$584</f>
        <v/>
      </c>
      <c r="Z582">
        <f>Calc!$FV$584</f>
        <v/>
      </c>
      <c r="AA582">
        <f>IF($T582&lt;&gt;"row",0,IF($V582=1,IF($X582=1,IF($Y582=1,1,2),IF($Y582=1,3,4)),IF($X582=1,IF($Y582=1,5,6),IF($Y582=1,7,8))))</f>
        <v/>
      </c>
    </row>
    <row r="583" ht="11.25" customHeight="1">
      <c r="A583" s="64">
        <f>Calc!$FB$585</f>
        <v/>
      </c>
      <c r="B583" s="64">
        <f>Calc!$FC$585</f>
        <v/>
      </c>
      <c r="C583" s="65">
        <f>Calc!$FD$585</f>
        <v/>
      </c>
      <c r="D583" s="65">
        <f>Calc!$FE$585</f>
        <v/>
      </c>
      <c r="E583" s="65">
        <f>Calc!$FF$585</f>
        <v/>
      </c>
      <c r="F583" s="65">
        <f>Calc!$FG$585</f>
        <v/>
      </c>
      <c r="G583" s="65">
        <f>Calc!$FH$585</f>
        <v/>
      </c>
      <c r="H583" s="65">
        <f>Calc!$FI$585</f>
        <v/>
      </c>
      <c r="I583" s="65">
        <f>Calc!$FJ$585</f>
        <v/>
      </c>
      <c r="J583" s="65">
        <f>Calc!$FK$585</f>
        <v/>
      </c>
      <c r="K583" s="65">
        <f>Calc!$FL$585</f>
        <v/>
      </c>
      <c r="L583" s="65">
        <f>Calc!$FM$585</f>
        <v/>
      </c>
      <c r="M583" s="66">
        <f>Calc!$FN$585</f>
        <v/>
      </c>
      <c r="N583" s="66">
        <f>Calc!$FO$585</f>
        <v/>
      </c>
      <c r="O583" s="65">
        <f>Calc!$FP$585</f>
        <v/>
      </c>
      <c r="P583" s="67">
        <f>Calc!$FQ$585</f>
        <v/>
      </c>
      <c r="Q583" s="68">
        <f>Calc!$FR$585</f>
        <v/>
      </c>
      <c r="R583" s="65">
        <f>Calc!$FS$585</f>
        <v/>
      </c>
      <c r="T583">
        <f>Calc!$EY$585</f>
        <v/>
      </c>
      <c r="U583">
        <f>Calc!$FT$585</f>
        <v/>
      </c>
      <c r="V583">
        <f>Calc!$FU$585</f>
        <v/>
      </c>
      <c r="W583">
        <f>Calc!$FC$585</f>
        <v/>
      </c>
      <c r="X583">
        <f>Calc!$EZ$585</f>
        <v/>
      </c>
      <c r="Y583">
        <f>Calc!$FA$585</f>
        <v/>
      </c>
      <c r="Z583">
        <f>Calc!$FV$585</f>
        <v/>
      </c>
      <c r="AA583">
        <f>IF($T583&lt;&gt;"row",0,IF($V583=1,IF($X583=1,IF($Y583=1,1,2),IF($Y583=1,3,4)),IF($X583=1,IF($Y583=1,5,6),IF($Y583=1,7,8))))</f>
        <v/>
      </c>
    </row>
    <row r="584" ht="11.25" customHeight="1">
      <c r="A584" s="64">
        <f>Calc!$FB$586</f>
        <v/>
      </c>
      <c r="B584" s="64">
        <f>Calc!$FC$586</f>
        <v/>
      </c>
      <c r="C584" s="65">
        <f>Calc!$FD$586</f>
        <v/>
      </c>
      <c r="D584" s="65">
        <f>Calc!$FE$586</f>
        <v/>
      </c>
      <c r="E584" s="65">
        <f>Calc!$FF$586</f>
        <v/>
      </c>
      <c r="F584" s="65">
        <f>Calc!$FG$586</f>
        <v/>
      </c>
      <c r="G584" s="65">
        <f>Calc!$FH$586</f>
        <v/>
      </c>
      <c r="H584" s="65">
        <f>Calc!$FI$586</f>
        <v/>
      </c>
      <c r="I584" s="65">
        <f>Calc!$FJ$586</f>
        <v/>
      </c>
      <c r="J584" s="65">
        <f>Calc!$FK$586</f>
        <v/>
      </c>
      <c r="K584" s="65">
        <f>Calc!$FL$586</f>
        <v/>
      </c>
      <c r="L584" s="65">
        <f>Calc!$FM$586</f>
        <v/>
      </c>
      <c r="M584" s="66">
        <f>Calc!$FN$586</f>
        <v/>
      </c>
      <c r="N584" s="66">
        <f>Calc!$FO$586</f>
        <v/>
      </c>
      <c r="O584" s="65">
        <f>Calc!$FP$586</f>
        <v/>
      </c>
      <c r="P584" s="67">
        <f>Calc!$FQ$586</f>
        <v/>
      </c>
      <c r="Q584" s="68">
        <f>Calc!$FR$586</f>
        <v/>
      </c>
      <c r="R584" s="65">
        <f>Calc!$FS$586</f>
        <v/>
      </c>
      <c r="T584">
        <f>Calc!$EY$586</f>
        <v/>
      </c>
      <c r="U584">
        <f>Calc!$FT$586</f>
        <v/>
      </c>
      <c r="V584">
        <f>Calc!$FU$586</f>
        <v/>
      </c>
      <c r="W584">
        <f>Calc!$FC$586</f>
        <v/>
      </c>
      <c r="X584">
        <f>Calc!$EZ$586</f>
        <v/>
      </c>
      <c r="Y584">
        <f>Calc!$FA$586</f>
        <v/>
      </c>
      <c r="Z584">
        <f>Calc!$FV$586</f>
        <v/>
      </c>
      <c r="AA584">
        <f>IF($T584&lt;&gt;"row",0,IF($V584=1,IF($X584=1,IF($Y584=1,1,2),IF($Y584=1,3,4)),IF($X584=1,IF($Y584=1,5,6),IF($Y584=1,7,8))))</f>
        <v/>
      </c>
    </row>
    <row r="585" ht="11.25" customHeight="1">
      <c r="A585" s="64">
        <f>Calc!$FB$587</f>
        <v/>
      </c>
      <c r="B585" s="64">
        <f>Calc!$FC$587</f>
        <v/>
      </c>
      <c r="C585" s="65">
        <f>Calc!$FD$587</f>
        <v/>
      </c>
      <c r="D585" s="65">
        <f>Calc!$FE$587</f>
        <v/>
      </c>
      <c r="E585" s="65">
        <f>Calc!$FF$587</f>
        <v/>
      </c>
      <c r="F585" s="65">
        <f>Calc!$FG$587</f>
        <v/>
      </c>
      <c r="G585" s="65">
        <f>Calc!$FH$587</f>
        <v/>
      </c>
      <c r="H585" s="65">
        <f>Calc!$FI$587</f>
        <v/>
      </c>
      <c r="I585" s="65">
        <f>Calc!$FJ$587</f>
        <v/>
      </c>
      <c r="J585" s="65">
        <f>Calc!$FK$587</f>
        <v/>
      </c>
      <c r="K585" s="65">
        <f>Calc!$FL$587</f>
        <v/>
      </c>
      <c r="L585" s="65">
        <f>Calc!$FM$587</f>
        <v/>
      </c>
      <c r="M585" s="66">
        <f>Calc!$FN$587</f>
        <v/>
      </c>
      <c r="N585" s="66">
        <f>Calc!$FO$587</f>
        <v/>
      </c>
      <c r="O585" s="65">
        <f>Calc!$FP$587</f>
        <v/>
      </c>
      <c r="P585" s="67">
        <f>Calc!$FQ$587</f>
        <v/>
      </c>
      <c r="Q585" s="68">
        <f>Calc!$FR$587</f>
        <v/>
      </c>
      <c r="R585" s="65">
        <f>Calc!$FS$587</f>
        <v/>
      </c>
      <c r="T585">
        <f>Calc!$EY$587</f>
        <v/>
      </c>
      <c r="U585">
        <f>Calc!$FT$587</f>
        <v/>
      </c>
      <c r="V585">
        <f>Calc!$FU$587</f>
        <v/>
      </c>
      <c r="W585">
        <f>Calc!$FC$587</f>
        <v/>
      </c>
      <c r="X585">
        <f>Calc!$EZ$587</f>
        <v/>
      </c>
      <c r="Y585">
        <f>Calc!$FA$587</f>
        <v/>
      </c>
      <c r="Z585">
        <f>Calc!$FV$587</f>
        <v/>
      </c>
      <c r="AA585">
        <f>IF($T585&lt;&gt;"row",0,IF($V585=1,IF($X585=1,IF($Y585=1,1,2),IF($Y585=1,3,4)),IF($X585=1,IF($Y585=1,5,6),IF($Y585=1,7,8))))</f>
        <v/>
      </c>
    </row>
    <row r="586" ht="11.25" customHeight="1">
      <c r="A586" s="64">
        <f>Calc!$FB$588</f>
        <v/>
      </c>
      <c r="B586" s="64">
        <f>Calc!$FC$588</f>
        <v/>
      </c>
      <c r="C586" s="65">
        <f>Calc!$FD$588</f>
        <v/>
      </c>
      <c r="D586" s="65">
        <f>Calc!$FE$588</f>
        <v/>
      </c>
      <c r="E586" s="65">
        <f>Calc!$FF$588</f>
        <v/>
      </c>
      <c r="F586" s="65">
        <f>Calc!$FG$588</f>
        <v/>
      </c>
      <c r="G586" s="65">
        <f>Calc!$FH$588</f>
        <v/>
      </c>
      <c r="H586" s="65">
        <f>Calc!$FI$588</f>
        <v/>
      </c>
      <c r="I586" s="65">
        <f>Calc!$FJ$588</f>
        <v/>
      </c>
      <c r="J586" s="65">
        <f>Calc!$FK$588</f>
        <v/>
      </c>
      <c r="K586" s="65">
        <f>Calc!$FL$588</f>
        <v/>
      </c>
      <c r="L586" s="65">
        <f>Calc!$FM$588</f>
        <v/>
      </c>
      <c r="M586" s="66">
        <f>Calc!$FN$588</f>
        <v/>
      </c>
      <c r="N586" s="66">
        <f>Calc!$FO$588</f>
        <v/>
      </c>
      <c r="O586" s="65">
        <f>Calc!$FP$588</f>
        <v/>
      </c>
      <c r="P586" s="67">
        <f>Calc!$FQ$588</f>
        <v/>
      </c>
      <c r="Q586" s="68">
        <f>Calc!$FR$588</f>
        <v/>
      </c>
      <c r="R586" s="65">
        <f>Calc!$FS$588</f>
        <v/>
      </c>
      <c r="T586">
        <f>Calc!$EY$588</f>
        <v/>
      </c>
      <c r="U586">
        <f>Calc!$FT$588</f>
        <v/>
      </c>
      <c r="V586">
        <f>Calc!$FU$588</f>
        <v/>
      </c>
      <c r="W586">
        <f>Calc!$FC$588</f>
        <v/>
      </c>
      <c r="X586">
        <f>Calc!$EZ$588</f>
        <v/>
      </c>
      <c r="Y586">
        <f>Calc!$FA$588</f>
        <v/>
      </c>
      <c r="Z586">
        <f>Calc!$FV$588</f>
        <v/>
      </c>
      <c r="AA586">
        <f>IF($T586&lt;&gt;"row",0,IF($V586=1,IF($X586=1,IF($Y586=1,1,2),IF($Y586=1,3,4)),IF($X586=1,IF($Y586=1,5,6),IF($Y586=1,7,8))))</f>
        <v/>
      </c>
    </row>
    <row r="587" ht="11.25" customHeight="1">
      <c r="A587" s="64">
        <f>Calc!$FB$589</f>
        <v/>
      </c>
      <c r="B587" s="64">
        <f>Calc!$FC$589</f>
        <v/>
      </c>
      <c r="C587" s="65">
        <f>Calc!$FD$589</f>
        <v/>
      </c>
      <c r="D587" s="65">
        <f>Calc!$FE$589</f>
        <v/>
      </c>
      <c r="E587" s="65">
        <f>Calc!$FF$589</f>
        <v/>
      </c>
      <c r="F587" s="65">
        <f>Calc!$FG$589</f>
        <v/>
      </c>
      <c r="G587" s="65">
        <f>Calc!$FH$589</f>
        <v/>
      </c>
      <c r="H587" s="65">
        <f>Calc!$FI$589</f>
        <v/>
      </c>
      <c r="I587" s="65">
        <f>Calc!$FJ$589</f>
        <v/>
      </c>
      <c r="J587" s="65">
        <f>Calc!$FK$589</f>
        <v/>
      </c>
      <c r="K587" s="65">
        <f>Calc!$FL$589</f>
        <v/>
      </c>
      <c r="L587" s="65">
        <f>Calc!$FM$589</f>
        <v/>
      </c>
      <c r="M587" s="66">
        <f>Calc!$FN$589</f>
        <v/>
      </c>
      <c r="N587" s="66">
        <f>Calc!$FO$589</f>
        <v/>
      </c>
      <c r="O587" s="65">
        <f>Calc!$FP$589</f>
        <v/>
      </c>
      <c r="P587" s="67">
        <f>Calc!$FQ$589</f>
        <v/>
      </c>
      <c r="Q587" s="68">
        <f>Calc!$FR$589</f>
        <v/>
      </c>
      <c r="R587" s="65">
        <f>Calc!$FS$589</f>
        <v/>
      </c>
      <c r="T587">
        <f>Calc!$EY$589</f>
        <v/>
      </c>
      <c r="U587">
        <f>Calc!$FT$589</f>
        <v/>
      </c>
      <c r="V587">
        <f>Calc!$FU$589</f>
        <v/>
      </c>
      <c r="W587">
        <f>Calc!$FC$589</f>
        <v/>
      </c>
      <c r="X587">
        <f>Calc!$EZ$589</f>
        <v/>
      </c>
      <c r="Y587">
        <f>Calc!$FA$589</f>
        <v/>
      </c>
      <c r="Z587">
        <f>Calc!$FV$589</f>
        <v/>
      </c>
      <c r="AA587">
        <f>IF($T587&lt;&gt;"row",0,IF($V587=1,IF($X587=1,IF($Y587=1,1,2),IF($Y587=1,3,4)),IF($X587=1,IF($Y587=1,5,6),IF($Y587=1,7,8))))</f>
        <v/>
      </c>
    </row>
    <row r="588" ht="11.25" customHeight="1">
      <c r="A588" s="64">
        <f>Calc!$FB$590</f>
        <v/>
      </c>
      <c r="B588" s="64">
        <f>Calc!$FC$590</f>
        <v/>
      </c>
      <c r="C588" s="65">
        <f>Calc!$FD$590</f>
        <v/>
      </c>
      <c r="D588" s="65">
        <f>Calc!$FE$590</f>
        <v/>
      </c>
      <c r="E588" s="65">
        <f>Calc!$FF$590</f>
        <v/>
      </c>
      <c r="F588" s="65">
        <f>Calc!$FG$590</f>
        <v/>
      </c>
      <c r="G588" s="65">
        <f>Calc!$FH$590</f>
        <v/>
      </c>
      <c r="H588" s="65">
        <f>Calc!$FI$590</f>
        <v/>
      </c>
      <c r="I588" s="65">
        <f>Calc!$FJ$590</f>
        <v/>
      </c>
      <c r="J588" s="65">
        <f>Calc!$FK$590</f>
        <v/>
      </c>
      <c r="K588" s="65">
        <f>Calc!$FL$590</f>
        <v/>
      </c>
      <c r="L588" s="65">
        <f>Calc!$FM$590</f>
        <v/>
      </c>
      <c r="M588" s="66">
        <f>Calc!$FN$590</f>
        <v/>
      </c>
      <c r="N588" s="66">
        <f>Calc!$FO$590</f>
        <v/>
      </c>
      <c r="O588" s="65">
        <f>Calc!$FP$590</f>
        <v/>
      </c>
      <c r="P588" s="67">
        <f>Calc!$FQ$590</f>
        <v/>
      </c>
      <c r="Q588" s="68">
        <f>Calc!$FR$590</f>
        <v/>
      </c>
      <c r="R588" s="65">
        <f>Calc!$FS$590</f>
        <v/>
      </c>
      <c r="T588">
        <f>Calc!$EY$590</f>
        <v/>
      </c>
      <c r="U588">
        <f>Calc!$FT$590</f>
        <v/>
      </c>
      <c r="V588">
        <f>Calc!$FU$590</f>
        <v/>
      </c>
      <c r="W588">
        <f>Calc!$FC$590</f>
        <v/>
      </c>
      <c r="X588">
        <f>Calc!$EZ$590</f>
        <v/>
      </c>
      <c r="Y588">
        <f>Calc!$FA$590</f>
        <v/>
      </c>
      <c r="Z588">
        <f>Calc!$FV$590</f>
        <v/>
      </c>
      <c r="AA588">
        <f>IF($T588&lt;&gt;"row",0,IF($V588=1,IF($X588=1,IF($Y588=1,1,2),IF($Y588=1,3,4)),IF($X588=1,IF($Y588=1,5,6),IF($Y588=1,7,8))))</f>
        <v/>
      </c>
    </row>
    <row r="589" ht="11.25" customHeight="1">
      <c r="A589" s="64">
        <f>Calc!$FB$591</f>
        <v/>
      </c>
      <c r="B589" s="64">
        <f>Calc!$FC$591</f>
        <v/>
      </c>
      <c r="C589" s="65">
        <f>Calc!$FD$591</f>
        <v/>
      </c>
      <c r="D589" s="65">
        <f>Calc!$FE$591</f>
        <v/>
      </c>
      <c r="E589" s="65">
        <f>Calc!$FF$591</f>
        <v/>
      </c>
      <c r="F589" s="65">
        <f>Calc!$FG$591</f>
        <v/>
      </c>
      <c r="G589" s="65">
        <f>Calc!$FH$591</f>
        <v/>
      </c>
      <c r="H589" s="65">
        <f>Calc!$FI$591</f>
        <v/>
      </c>
      <c r="I589" s="65">
        <f>Calc!$FJ$591</f>
        <v/>
      </c>
      <c r="J589" s="65">
        <f>Calc!$FK$591</f>
        <v/>
      </c>
      <c r="K589" s="65">
        <f>Calc!$FL$591</f>
        <v/>
      </c>
      <c r="L589" s="65">
        <f>Calc!$FM$591</f>
        <v/>
      </c>
      <c r="M589" s="66">
        <f>Calc!$FN$591</f>
        <v/>
      </c>
      <c r="N589" s="66">
        <f>Calc!$FO$591</f>
        <v/>
      </c>
      <c r="O589" s="65">
        <f>Calc!$FP$591</f>
        <v/>
      </c>
      <c r="P589" s="67">
        <f>Calc!$FQ$591</f>
        <v/>
      </c>
      <c r="Q589" s="68">
        <f>Calc!$FR$591</f>
        <v/>
      </c>
      <c r="R589" s="65">
        <f>Calc!$FS$591</f>
        <v/>
      </c>
      <c r="T589">
        <f>Calc!$EY$591</f>
        <v/>
      </c>
      <c r="U589">
        <f>Calc!$FT$591</f>
        <v/>
      </c>
      <c r="V589">
        <f>Calc!$FU$591</f>
        <v/>
      </c>
      <c r="W589">
        <f>Calc!$FC$591</f>
        <v/>
      </c>
      <c r="X589">
        <f>Calc!$EZ$591</f>
        <v/>
      </c>
      <c r="Y589">
        <f>Calc!$FA$591</f>
        <v/>
      </c>
      <c r="Z589">
        <f>Calc!$FV$591</f>
        <v/>
      </c>
      <c r="AA589">
        <f>IF($T589&lt;&gt;"row",0,IF($V589=1,IF($X589=1,IF($Y589=1,1,2),IF($Y589=1,3,4)),IF($X589=1,IF($Y589=1,5,6),IF($Y589=1,7,8))))</f>
        <v/>
      </c>
    </row>
    <row r="590" ht="11.25" customHeight="1">
      <c r="A590" s="64">
        <f>Calc!$FB$592</f>
        <v/>
      </c>
      <c r="B590" s="64">
        <f>Calc!$FC$592</f>
        <v/>
      </c>
      <c r="C590" s="65">
        <f>Calc!$FD$592</f>
        <v/>
      </c>
      <c r="D590" s="65">
        <f>Calc!$FE$592</f>
        <v/>
      </c>
      <c r="E590" s="65">
        <f>Calc!$FF$592</f>
        <v/>
      </c>
      <c r="F590" s="65">
        <f>Calc!$FG$592</f>
        <v/>
      </c>
      <c r="G590" s="65">
        <f>Calc!$FH$592</f>
        <v/>
      </c>
      <c r="H590" s="65">
        <f>Calc!$FI$592</f>
        <v/>
      </c>
      <c r="I590" s="65">
        <f>Calc!$FJ$592</f>
        <v/>
      </c>
      <c r="J590" s="65">
        <f>Calc!$FK$592</f>
        <v/>
      </c>
      <c r="K590" s="65">
        <f>Calc!$FL$592</f>
        <v/>
      </c>
      <c r="L590" s="65">
        <f>Calc!$FM$592</f>
        <v/>
      </c>
      <c r="M590" s="66">
        <f>Calc!$FN$592</f>
        <v/>
      </c>
      <c r="N590" s="66">
        <f>Calc!$FO$592</f>
        <v/>
      </c>
      <c r="O590" s="65">
        <f>Calc!$FP$592</f>
        <v/>
      </c>
      <c r="P590" s="67">
        <f>Calc!$FQ$592</f>
        <v/>
      </c>
      <c r="Q590" s="68">
        <f>Calc!$FR$592</f>
        <v/>
      </c>
      <c r="R590" s="65">
        <f>Calc!$FS$592</f>
        <v/>
      </c>
      <c r="T590">
        <f>Calc!$EY$592</f>
        <v/>
      </c>
      <c r="U590">
        <f>Calc!$FT$592</f>
        <v/>
      </c>
      <c r="V590">
        <f>Calc!$FU$592</f>
        <v/>
      </c>
      <c r="W590">
        <f>Calc!$FC$592</f>
        <v/>
      </c>
      <c r="X590">
        <f>Calc!$EZ$592</f>
        <v/>
      </c>
      <c r="Y590">
        <f>Calc!$FA$592</f>
        <v/>
      </c>
      <c r="Z590">
        <f>Calc!$FV$592</f>
        <v/>
      </c>
      <c r="AA590">
        <f>IF($T590&lt;&gt;"row",0,IF($V590=1,IF($X590=1,IF($Y590=1,1,2),IF($Y590=1,3,4)),IF($X590=1,IF($Y590=1,5,6),IF($Y590=1,7,8))))</f>
        <v/>
      </c>
    </row>
    <row r="591" ht="11.25" customHeight="1">
      <c r="A591" s="64">
        <f>Calc!$FB$593</f>
        <v/>
      </c>
      <c r="B591" s="64">
        <f>Calc!$FC$593</f>
        <v/>
      </c>
      <c r="C591" s="65">
        <f>Calc!$FD$593</f>
        <v/>
      </c>
      <c r="D591" s="65">
        <f>Calc!$FE$593</f>
        <v/>
      </c>
      <c r="E591" s="65">
        <f>Calc!$FF$593</f>
        <v/>
      </c>
      <c r="F591" s="65">
        <f>Calc!$FG$593</f>
        <v/>
      </c>
      <c r="G591" s="65">
        <f>Calc!$FH$593</f>
        <v/>
      </c>
      <c r="H591" s="65">
        <f>Calc!$FI$593</f>
        <v/>
      </c>
      <c r="I591" s="65">
        <f>Calc!$FJ$593</f>
        <v/>
      </c>
      <c r="J591" s="65">
        <f>Calc!$FK$593</f>
        <v/>
      </c>
      <c r="K591" s="65">
        <f>Calc!$FL$593</f>
        <v/>
      </c>
      <c r="L591" s="65">
        <f>Calc!$FM$593</f>
        <v/>
      </c>
      <c r="M591" s="66">
        <f>Calc!$FN$593</f>
        <v/>
      </c>
      <c r="N591" s="66">
        <f>Calc!$FO$593</f>
        <v/>
      </c>
      <c r="O591" s="65">
        <f>Calc!$FP$593</f>
        <v/>
      </c>
      <c r="P591" s="67">
        <f>Calc!$FQ$593</f>
        <v/>
      </c>
      <c r="Q591" s="68">
        <f>Calc!$FR$593</f>
        <v/>
      </c>
      <c r="R591" s="65">
        <f>Calc!$FS$593</f>
        <v/>
      </c>
      <c r="T591">
        <f>Calc!$EY$593</f>
        <v/>
      </c>
      <c r="U591">
        <f>Calc!$FT$593</f>
        <v/>
      </c>
      <c r="V591">
        <f>Calc!$FU$593</f>
        <v/>
      </c>
      <c r="W591">
        <f>Calc!$FC$593</f>
        <v/>
      </c>
      <c r="X591">
        <f>Calc!$EZ$593</f>
        <v/>
      </c>
      <c r="Y591">
        <f>Calc!$FA$593</f>
        <v/>
      </c>
      <c r="Z591">
        <f>Calc!$FV$593</f>
        <v/>
      </c>
      <c r="AA591">
        <f>IF($T591&lt;&gt;"row",0,IF($V591=1,IF($X591=1,IF($Y591=1,1,2),IF($Y591=1,3,4)),IF($X591=1,IF($Y591=1,5,6),IF($Y591=1,7,8))))</f>
        <v/>
      </c>
    </row>
    <row r="592" ht="11.25" customHeight="1">
      <c r="A592" s="64">
        <f>Calc!$FB$594</f>
        <v/>
      </c>
      <c r="B592" s="64">
        <f>Calc!$FC$594</f>
        <v/>
      </c>
      <c r="C592" s="65">
        <f>Calc!$FD$594</f>
        <v/>
      </c>
      <c r="D592" s="65">
        <f>Calc!$FE$594</f>
        <v/>
      </c>
      <c r="E592" s="65">
        <f>Calc!$FF$594</f>
        <v/>
      </c>
      <c r="F592" s="65">
        <f>Calc!$FG$594</f>
        <v/>
      </c>
      <c r="G592" s="65">
        <f>Calc!$FH$594</f>
        <v/>
      </c>
      <c r="H592" s="65">
        <f>Calc!$FI$594</f>
        <v/>
      </c>
      <c r="I592" s="65">
        <f>Calc!$FJ$594</f>
        <v/>
      </c>
      <c r="J592" s="65">
        <f>Calc!$FK$594</f>
        <v/>
      </c>
      <c r="K592" s="65">
        <f>Calc!$FL$594</f>
        <v/>
      </c>
      <c r="L592" s="65">
        <f>Calc!$FM$594</f>
        <v/>
      </c>
      <c r="M592" s="66">
        <f>Calc!$FN$594</f>
        <v/>
      </c>
      <c r="N592" s="66">
        <f>Calc!$FO$594</f>
        <v/>
      </c>
      <c r="O592" s="65">
        <f>Calc!$FP$594</f>
        <v/>
      </c>
      <c r="P592" s="67">
        <f>Calc!$FQ$594</f>
        <v/>
      </c>
      <c r="Q592" s="68">
        <f>Calc!$FR$594</f>
        <v/>
      </c>
      <c r="R592" s="65">
        <f>Calc!$FS$594</f>
        <v/>
      </c>
      <c r="T592">
        <f>Calc!$EY$594</f>
        <v/>
      </c>
      <c r="U592">
        <f>Calc!$FT$594</f>
        <v/>
      </c>
      <c r="V592">
        <f>Calc!$FU$594</f>
        <v/>
      </c>
      <c r="W592">
        <f>Calc!$FC$594</f>
        <v/>
      </c>
      <c r="X592">
        <f>Calc!$EZ$594</f>
        <v/>
      </c>
      <c r="Y592">
        <f>Calc!$FA$594</f>
        <v/>
      </c>
      <c r="Z592">
        <f>Calc!$FV$594</f>
        <v/>
      </c>
      <c r="AA592">
        <f>IF($T592&lt;&gt;"row",0,IF($V592=1,IF($X592=1,IF($Y592=1,1,2),IF($Y592=1,3,4)),IF($X592=1,IF($Y592=1,5,6),IF($Y592=1,7,8))))</f>
        <v/>
      </c>
    </row>
    <row r="593" ht="11.25" customHeight="1">
      <c r="A593" s="64">
        <f>Calc!$FB$595</f>
        <v/>
      </c>
      <c r="B593" s="64">
        <f>Calc!$FC$595</f>
        <v/>
      </c>
      <c r="C593" s="65">
        <f>Calc!$FD$595</f>
        <v/>
      </c>
      <c r="D593" s="65">
        <f>Calc!$FE$595</f>
        <v/>
      </c>
      <c r="E593" s="65">
        <f>Calc!$FF$595</f>
        <v/>
      </c>
      <c r="F593" s="65">
        <f>Calc!$FG$595</f>
        <v/>
      </c>
      <c r="G593" s="65">
        <f>Calc!$FH$595</f>
        <v/>
      </c>
      <c r="H593" s="65">
        <f>Calc!$FI$595</f>
        <v/>
      </c>
      <c r="I593" s="65">
        <f>Calc!$FJ$595</f>
        <v/>
      </c>
      <c r="J593" s="65">
        <f>Calc!$FK$595</f>
        <v/>
      </c>
      <c r="K593" s="65">
        <f>Calc!$FL$595</f>
        <v/>
      </c>
      <c r="L593" s="65">
        <f>Calc!$FM$595</f>
        <v/>
      </c>
      <c r="M593" s="66">
        <f>Calc!$FN$595</f>
        <v/>
      </c>
      <c r="N593" s="66">
        <f>Calc!$FO$595</f>
        <v/>
      </c>
      <c r="O593" s="65">
        <f>Calc!$FP$595</f>
        <v/>
      </c>
      <c r="P593" s="67">
        <f>Calc!$FQ$595</f>
        <v/>
      </c>
      <c r="Q593" s="68">
        <f>Calc!$FR$595</f>
        <v/>
      </c>
      <c r="R593" s="65">
        <f>Calc!$FS$595</f>
        <v/>
      </c>
      <c r="T593">
        <f>Calc!$EY$595</f>
        <v/>
      </c>
      <c r="U593">
        <f>Calc!$FT$595</f>
        <v/>
      </c>
      <c r="V593">
        <f>Calc!$FU$595</f>
        <v/>
      </c>
      <c r="W593">
        <f>Calc!$FC$595</f>
        <v/>
      </c>
      <c r="X593">
        <f>Calc!$EZ$595</f>
        <v/>
      </c>
      <c r="Y593">
        <f>Calc!$FA$595</f>
        <v/>
      </c>
      <c r="Z593">
        <f>Calc!$FV$595</f>
        <v/>
      </c>
      <c r="AA593">
        <f>IF($T593&lt;&gt;"row",0,IF($V593=1,IF($X593=1,IF($Y593=1,1,2),IF($Y593=1,3,4)),IF($X593=1,IF($Y593=1,5,6),IF($Y593=1,7,8))))</f>
        <v/>
      </c>
    </row>
    <row r="594" ht="11.25" customHeight="1">
      <c r="A594" s="64">
        <f>Calc!$FB$596</f>
        <v/>
      </c>
      <c r="B594" s="64">
        <f>Calc!$FC$596</f>
        <v/>
      </c>
      <c r="C594" s="65">
        <f>Calc!$FD$596</f>
        <v/>
      </c>
      <c r="D594" s="65">
        <f>Calc!$FE$596</f>
        <v/>
      </c>
      <c r="E594" s="65">
        <f>Calc!$FF$596</f>
        <v/>
      </c>
      <c r="F594" s="65">
        <f>Calc!$FG$596</f>
        <v/>
      </c>
      <c r="G594" s="65">
        <f>Calc!$FH$596</f>
        <v/>
      </c>
      <c r="H594" s="65">
        <f>Calc!$FI$596</f>
        <v/>
      </c>
      <c r="I594" s="65">
        <f>Calc!$FJ$596</f>
        <v/>
      </c>
      <c r="J594" s="65">
        <f>Calc!$FK$596</f>
        <v/>
      </c>
      <c r="K594" s="65">
        <f>Calc!$FL$596</f>
        <v/>
      </c>
      <c r="L594" s="65">
        <f>Calc!$FM$596</f>
        <v/>
      </c>
      <c r="M594" s="66">
        <f>Calc!$FN$596</f>
        <v/>
      </c>
      <c r="N594" s="66">
        <f>Calc!$FO$596</f>
        <v/>
      </c>
      <c r="O594" s="65">
        <f>Calc!$FP$596</f>
        <v/>
      </c>
      <c r="P594" s="67">
        <f>Calc!$FQ$596</f>
        <v/>
      </c>
      <c r="Q594" s="68">
        <f>Calc!$FR$596</f>
        <v/>
      </c>
      <c r="R594" s="65">
        <f>Calc!$FS$596</f>
        <v/>
      </c>
      <c r="T594">
        <f>Calc!$EY$596</f>
        <v/>
      </c>
      <c r="U594">
        <f>Calc!$FT$596</f>
        <v/>
      </c>
      <c r="V594">
        <f>Calc!$FU$596</f>
        <v/>
      </c>
      <c r="W594">
        <f>Calc!$FC$596</f>
        <v/>
      </c>
      <c r="X594">
        <f>Calc!$EZ$596</f>
        <v/>
      </c>
      <c r="Y594">
        <f>Calc!$FA$596</f>
        <v/>
      </c>
      <c r="Z594">
        <f>Calc!$FV$596</f>
        <v/>
      </c>
      <c r="AA594">
        <f>IF($T594&lt;&gt;"row",0,IF($V594=1,IF($X594=1,IF($Y594=1,1,2),IF($Y594=1,3,4)),IF($X594=1,IF($Y594=1,5,6),IF($Y594=1,7,8))))</f>
        <v/>
      </c>
    </row>
    <row r="595" ht="11.25" customHeight="1">
      <c r="A595" s="64">
        <f>Calc!$FB$597</f>
        <v/>
      </c>
      <c r="B595" s="64">
        <f>Calc!$FC$597</f>
        <v/>
      </c>
      <c r="C595" s="65">
        <f>Calc!$FD$597</f>
        <v/>
      </c>
      <c r="D595" s="65">
        <f>Calc!$FE$597</f>
        <v/>
      </c>
      <c r="E595" s="65">
        <f>Calc!$FF$597</f>
        <v/>
      </c>
      <c r="F595" s="65">
        <f>Calc!$FG$597</f>
        <v/>
      </c>
      <c r="G595" s="65">
        <f>Calc!$FH$597</f>
        <v/>
      </c>
      <c r="H595" s="65">
        <f>Calc!$FI$597</f>
        <v/>
      </c>
      <c r="I595" s="65">
        <f>Calc!$FJ$597</f>
        <v/>
      </c>
      <c r="J595" s="65">
        <f>Calc!$FK$597</f>
        <v/>
      </c>
      <c r="K595" s="65">
        <f>Calc!$FL$597</f>
        <v/>
      </c>
      <c r="L595" s="65">
        <f>Calc!$FM$597</f>
        <v/>
      </c>
      <c r="M595" s="66">
        <f>Calc!$FN$597</f>
        <v/>
      </c>
      <c r="N595" s="66">
        <f>Calc!$FO$597</f>
        <v/>
      </c>
      <c r="O595" s="65">
        <f>Calc!$FP$597</f>
        <v/>
      </c>
      <c r="P595" s="67">
        <f>Calc!$FQ$597</f>
        <v/>
      </c>
      <c r="Q595" s="68">
        <f>Calc!$FR$597</f>
        <v/>
      </c>
      <c r="R595" s="65">
        <f>Calc!$FS$597</f>
        <v/>
      </c>
      <c r="T595">
        <f>Calc!$EY$597</f>
        <v/>
      </c>
      <c r="U595">
        <f>Calc!$FT$597</f>
        <v/>
      </c>
      <c r="V595">
        <f>Calc!$FU$597</f>
        <v/>
      </c>
      <c r="W595">
        <f>Calc!$FC$597</f>
        <v/>
      </c>
      <c r="X595">
        <f>Calc!$EZ$597</f>
        <v/>
      </c>
      <c r="Y595">
        <f>Calc!$FA$597</f>
        <v/>
      </c>
      <c r="Z595">
        <f>Calc!$FV$597</f>
        <v/>
      </c>
      <c r="AA595">
        <f>IF($T595&lt;&gt;"row",0,IF($V595=1,IF($X595=1,IF($Y595=1,1,2),IF($Y595=1,3,4)),IF($X595=1,IF($Y595=1,5,6),IF($Y595=1,7,8))))</f>
        <v/>
      </c>
    </row>
    <row r="596" ht="11.25" customHeight="1">
      <c r="A596" s="64">
        <f>Calc!$FB$598</f>
        <v/>
      </c>
      <c r="B596" s="64">
        <f>Calc!$FC$598</f>
        <v/>
      </c>
      <c r="C596" s="65">
        <f>Calc!$FD$598</f>
        <v/>
      </c>
      <c r="D596" s="65">
        <f>Calc!$FE$598</f>
        <v/>
      </c>
      <c r="E596" s="65">
        <f>Calc!$FF$598</f>
        <v/>
      </c>
      <c r="F596" s="65">
        <f>Calc!$FG$598</f>
        <v/>
      </c>
      <c r="G596" s="65">
        <f>Calc!$FH$598</f>
        <v/>
      </c>
      <c r="H596" s="65">
        <f>Calc!$FI$598</f>
        <v/>
      </c>
      <c r="I596" s="65">
        <f>Calc!$FJ$598</f>
        <v/>
      </c>
      <c r="J596" s="65">
        <f>Calc!$FK$598</f>
        <v/>
      </c>
      <c r="K596" s="65">
        <f>Calc!$FL$598</f>
        <v/>
      </c>
      <c r="L596" s="65">
        <f>Calc!$FM$598</f>
        <v/>
      </c>
      <c r="M596" s="66">
        <f>Calc!$FN$598</f>
        <v/>
      </c>
      <c r="N596" s="66">
        <f>Calc!$FO$598</f>
        <v/>
      </c>
      <c r="O596" s="65">
        <f>Calc!$FP$598</f>
        <v/>
      </c>
      <c r="P596" s="67">
        <f>Calc!$FQ$598</f>
        <v/>
      </c>
      <c r="Q596" s="68">
        <f>Calc!$FR$598</f>
        <v/>
      </c>
      <c r="R596" s="65">
        <f>Calc!$FS$598</f>
        <v/>
      </c>
      <c r="T596">
        <f>Calc!$EY$598</f>
        <v/>
      </c>
      <c r="U596">
        <f>Calc!$FT$598</f>
        <v/>
      </c>
      <c r="V596">
        <f>Calc!$FU$598</f>
        <v/>
      </c>
      <c r="W596">
        <f>Calc!$FC$598</f>
        <v/>
      </c>
      <c r="X596">
        <f>Calc!$EZ$598</f>
        <v/>
      </c>
      <c r="Y596">
        <f>Calc!$FA$598</f>
        <v/>
      </c>
      <c r="Z596">
        <f>Calc!$FV$598</f>
        <v/>
      </c>
      <c r="AA596">
        <f>IF($T596&lt;&gt;"row",0,IF($V596=1,IF($X596=1,IF($Y596=1,1,2),IF($Y596=1,3,4)),IF($X596=1,IF($Y596=1,5,6),IF($Y596=1,7,8))))</f>
        <v/>
      </c>
    </row>
    <row r="597" ht="11.25" customHeight="1">
      <c r="A597" s="64">
        <f>Calc!$FB$599</f>
        <v/>
      </c>
      <c r="B597" s="64">
        <f>Calc!$FC$599</f>
        <v/>
      </c>
      <c r="C597" s="65">
        <f>Calc!$FD$599</f>
        <v/>
      </c>
      <c r="D597" s="65">
        <f>Calc!$FE$599</f>
        <v/>
      </c>
      <c r="E597" s="65">
        <f>Calc!$FF$599</f>
        <v/>
      </c>
      <c r="F597" s="65">
        <f>Calc!$FG$599</f>
        <v/>
      </c>
      <c r="G597" s="65">
        <f>Calc!$FH$599</f>
        <v/>
      </c>
      <c r="H597" s="65">
        <f>Calc!$FI$599</f>
        <v/>
      </c>
      <c r="I597" s="65">
        <f>Calc!$FJ$599</f>
        <v/>
      </c>
      <c r="J597" s="65">
        <f>Calc!$FK$599</f>
        <v/>
      </c>
      <c r="K597" s="65">
        <f>Calc!$FL$599</f>
        <v/>
      </c>
      <c r="L597" s="65">
        <f>Calc!$FM$599</f>
        <v/>
      </c>
      <c r="M597" s="66">
        <f>Calc!$FN$599</f>
        <v/>
      </c>
      <c r="N597" s="66">
        <f>Calc!$FO$599</f>
        <v/>
      </c>
      <c r="O597" s="65">
        <f>Calc!$FP$599</f>
        <v/>
      </c>
      <c r="P597" s="67">
        <f>Calc!$FQ$599</f>
        <v/>
      </c>
      <c r="Q597" s="68">
        <f>Calc!$FR$599</f>
        <v/>
      </c>
      <c r="R597" s="65">
        <f>Calc!$FS$599</f>
        <v/>
      </c>
      <c r="T597">
        <f>Calc!$EY$599</f>
        <v/>
      </c>
      <c r="U597">
        <f>Calc!$FT$599</f>
        <v/>
      </c>
      <c r="V597">
        <f>Calc!$FU$599</f>
        <v/>
      </c>
      <c r="W597">
        <f>Calc!$FC$599</f>
        <v/>
      </c>
      <c r="X597">
        <f>Calc!$EZ$599</f>
        <v/>
      </c>
      <c r="Y597">
        <f>Calc!$FA$599</f>
        <v/>
      </c>
      <c r="Z597">
        <f>Calc!$FV$599</f>
        <v/>
      </c>
      <c r="AA597">
        <f>IF($T597&lt;&gt;"row",0,IF($V597=1,IF($X597=1,IF($Y597=1,1,2),IF($Y597=1,3,4)),IF($X597=1,IF($Y597=1,5,6),IF($Y597=1,7,8))))</f>
        <v/>
      </c>
    </row>
    <row r="598" ht="11.25" customHeight="1">
      <c r="A598" s="64">
        <f>Calc!$FB$600</f>
        <v/>
      </c>
      <c r="B598" s="64">
        <f>Calc!$FC$600</f>
        <v/>
      </c>
      <c r="C598" s="65">
        <f>Calc!$FD$600</f>
        <v/>
      </c>
      <c r="D598" s="65">
        <f>Calc!$FE$600</f>
        <v/>
      </c>
      <c r="E598" s="65">
        <f>Calc!$FF$600</f>
        <v/>
      </c>
      <c r="F598" s="65">
        <f>Calc!$FG$600</f>
        <v/>
      </c>
      <c r="G598" s="65">
        <f>Calc!$FH$600</f>
        <v/>
      </c>
      <c r="H598" s="65">
        <f>Calc!$FI$600</f>
        <v/>
      </c>
      <c r="I598" s="65">
        <f>Calc!$FJ$600</f>
        <v/>
      </c>
      <c r="J598" s="65">
        <f>Calc!$FK$600</f>
        <v/>
      </c>
      <c r="K598" s="65">
        <f>Calc!$FL$600</f>
        <v/>
      </c>
      <c r="L598" s="65">
        <f>Calc!$FM$600</f>
        <v/>
      </c>
      <c r="M598" s="66">
        <f>Calc!$FN$600</f>
        <v/>
      </c>
      <c r="N598" s="66">
        <f>Calc!$FO$600</f>
        <v/>
      </c>
      <c r="O598" s="65">
        <f>Calc!$FP$600</f>
        <v/>
      </c>
      <c r="P598" s="67">
        <f>Calc!$FQ$600</f>
        <v/>
      </c>
      <c r="Q598" s="68">
        <f>Calc!$FR$600</f>
        <v/>
      </c>
      <c r="R598" s="65">
        <f>Calc!$FS$600</f>
        <v/>
      </c>
      <c r="T598">
        <f>Calc!$EY$600</f>
        <v/>
      </c>
      <c r="U598">
        <f>Calc!$FT$600</f>
        <v/>
      </c>
      <c r="V598">
        <f>Calc!$FU$600</f>
        <v/>
      </c>
      <c r="W598">
        <f>Calc!$FC$600</f>
        <v/>
      </c>
      <c r="X598">
        <f>Calc!$EZ$600</f>
        <v/>
      </c>
      <c r="Y598">
        <f>Calc!$FA$600</f>
        <v/>
      </c>
      <c r="Z598">
        <f>Calc!$FV$600</f>
        <v/>
      </c>
      <c r="AA598">
        <f>IF($T598&lt;&gt;"row",0,IF($V598=1,IF($X598=1,IF($Y598=1,1,2),IF($Y598=1,3,4)),IF($X598=1,IF($Y598=1,5,6),IF($Y598=1,7,8))))</f>
        <v/>
      </c>
    </row>
    <row r="599" ht="11.25" customHeight="1">
      <c r="A599" s="64">
        <f>Calc!$FB$601</f>
        <v/>
      </c>
      <c r="B599" s="64">
        <f>Calc!$FC$601</f>
        <v/>
      </c>
      <c r="C599" s="65">
        <f>Calc!$FD$601</f>
        <v/>
      </c>
      <c r="D599" s="65">
        <f>Calc!$FE$601</f>
        <v/>
      </c>
      <c r="E599" s="65">
        <f>Calc!$FF$601</f>
        <v/>
      </c>
      <c r="F599" s="65">
        <f>Calc!$FG$601</f>
        <v/>
      </c>
      <c r="G599" s="65">
        <f>Calc!$FH$601</f>
        <v/>
      </c>
      <c r="H599" s="65">
        <f>Calc!$FI$601</f>
        <v/>
      </c>
      <c r="I599" s="65">
        <f>Calc!$FJ$601</f>
        <v/>
      </c>
      <c r="J599" s="65">
        <f>Calc!$FK$601</f>
        <v/>
      </c>
      <c r="K599" s="65">
        <f>Calc!$FL$601</f>
        <v/>
      </c>
      <c r="L599" s="65">
        <f>Calc!$FM$601</f>
        <v/>
      </c>
      <c r="M599" s="66">
        <f>Calc!$FN$601</f>
        <v/>
      </c>
      <c r="N599" s="66">
        <f>Calc!$FO$601</f>
        <v/>
      </c>
      <c r="O599" s="65">
        <f>Calc!$FP$601</f>
        <v/>
      </c>
      <c r="P599" s="67">
        <f>Calc!$FQ$601</f>
        <v/>
      </c>
      <c r="Q599" s="68">
        <f>Calc!$FR$601</f>
        <v/>
      </c>
      <c r="R599" s="65">
        <f>Calc!$FS$601</f>
        <v/>
      </c>
      <c r="T599">
        <f>Calc!$EY$601</f>
        <v/>
      </c>
      <c r="U599">
        <f>Calc!$FT$601</f>
        <v/>
      </c>
      <c r="V599">
        <f>Calc!$FU$601</f>
        <v/>
      </c>
      <c r="W599">
        <f>Calc!$FC$601</f>
        <v/>
      </c>
      <c r="X599">
        <f>Calc!$EZ$601</f>
        <v/>
      </c>
      <c r="Y599">
        <f>Calc!$FA$601</f>
        <v/>
      </c>
      <c r="Z599">
        <f>Calc!$FV$601</f>
        <v/>
      </c>
      <c r="AA599">
        <f>IF($T599&lt;&gt;"row",0,IF($V599=1,IF($X599=1,IF($Y599=1,1,2),IF($Y599=1,3,4)),IF($X599=1,IF($Y599=1,5,6),IF($Y599=1,7,8))))</f>
        <v/>
      </c>
    </row>
    <row r="600" ht="11.25" customHeight="1">
      <c r="A600" s="64">
        <f>Calc!$FB$602</f>
        <v/>
      </c>
      <c r="B600" s="64">
        <f>Calc!$FC$602</f>
        <v/>
      </c>
      <c r="C600" s="65">
        <f>Calc!$FD$602</f>
        <v/>
      </c>
      <c r="D600" s="65">
        <f>Calc!$FE$602</f>
        <v/>
      </c>
      <c r="E600" s="65">
        <f>Calc!$FF$602</f>
        <v/>
      </c>
      <c r="F600" s="65">
        <f>Calc!$FG$602</f>
        <v/>
      </c>
      <c r="G600" s="65">
        <f>Calc!$FH$602</f>
        <v/>
      </c>
      <c r="H600" s="65">
        <f>Calc!$FI$602</f>
        <v/>
      </c>
      <c r="I600" s="65">
        <f>Calc!$FJ$602</f>
        <v/>
      </c>
      <c r="J600" s="65">
        <f>Calc!$FK$602</f>
        <v/>
      </c>
      <c r="K600" s="65">
        <f>Calc!$FL$602</f>
        <v/>
      </c>
      <c r="L600" s="65">
        <f>Calc!$FM$602</f>
        <v/>
      </c>
      <c r="M600" s="66">
        <f>Calc!$FN$602</f>
        <v/>
      </c>
      <c r="N600" s="66">
        <f>Calc!$FO$602</f>
        <v/>
      </c>
      <c r="O600" s="65">
        <f>Calc!$FP$602</f>
        <v/>
      </c>
      <c r="P600" s="67">
        <f>Calc!$FQ$602</f>
        <v/>
      </c>
      <c r="Q600" s="68">
        <f>Calc!$FR$602</f>
        <v/>
      </c>
      <c r="R600" s="65">
        <f>Calc!$FS$602</f>
        <v/>
      </c>
      <c r="T600">
        <f>Calc!$EY$602</f>
        <v/>
      </c>
      <c r="U600">
        <f>Calc!$FT$602</f>
        <v/>
      </c>
      <c r="V600">
        <f>Calc!$FU$602</f>
        <v/>
      </c>
      <c r="W600">
        <f>Calc!$FC$602</f>
        <v/>
      </c>
      <c r="X600">
        <f>Calc!$EZ$602</f>
        <v/>
      </c>
      <c r="Y600">
        <f>Calc!$FA$602</f>
        <v/>
      </c>
      <c r="Z600">
        <f>Calc!$FV$602</f>
        <v/>
      </c>
      <c r="AA600">
        <f>IF($T600&lt;&gt;"row",0,IF($V600=1,IF($X600=1,IF($Y600=1,1,2),IF($Y600=1,3,4)),IF($X600=1,IF($Y600=1,5,6),IF($Y600=1,7,8))))</f>
        <v/>
      </c>
    </row>
    <row r="601" ht="11.25" customHeight="1">
      <c r="A601" s="64">
        <f>Calc!$FB$603</f>
        <v/>
      </c>
      <c r="B601" s="64">
        <f>Calc!$FC$603</f>
        <v/>
      </c>
      <c r="C601" s="65">
        <f>Calc!$FD$603</f>
        <v/>
      </c>
      <c r="D601" s="65">
        <f>Calc!$FE$603</f>
        <v/>
      </c>
      <c r="E601" s="65">
        <f>Calc!$FF$603</f>
        <v/>
      </c>
      <c r="F601" s="65">
        <f>Calc!$FG$603</f>
        <v/>
      </c>
      <c r="G601" s="65">
        <f>Calc!$FH$603</f>
        <v/>
      </c>
      <c r="H601" s="65">
        <f>Calc!$FI$603</f>
        <v/>
      </c>
      <c r="I601" s="65">
        <f>Calc!$FJ$603</f>
        <v/>
      </c>
      <c r="J601" s="65">
        <f>Calc!$FK$603</f>
        <v/>
      </c>
      <c r="K601" s="65">
        <f>Calc!$FL$603</f>
        <v/>
      </c>
      <c r="L601" s="65">
        <f>Calc!$FM$603</f>
        <v/>
      </c>
      <c r="M601" s="66">
        <f>Calc!$FN$603</f>
        <v/>
      </c>
      <c r="N601" s="66">
        <f>Calc!$FO$603</f>
        <v/>
      </c>
      <c r="O601" s="65">
        <f>Calc!$FP$603</f>
        <v/>
      </c>
      <c r="P601" s="67">
        <f>Calc!$FQ$603</f>
        <v/>
      </c>
      <c r="Q601" s="68">
        <f>Calc!$FR$603</f>
        <v/>
      </c>
      <c r="R601" s="65">
        <f>Calc!$FS$603</f>
        <v/>
      </c>
      <c r="T601">
        <f>Calc!$EY$603</f>
        <v/>
      </c>
      <c r="U601">
        <f>Calc!$FT$603</f>
        <v/>
      </c>
      <c r="V601">
        <f>Calc!$FU$603</f>
        <v/>
      </c>
      <c r="W601">
        <f>Calc!$FC$603</f>
        <v/>
      </c>
      <c r="X601">
        <f>Calc!$EZ$603</f>
        <v/>
      </c>
      <c r="Y601">
        <f>Calc!$FA$603</f>
        <v/>
      </c>
      <c r="Z601">
        <f>Calc!$FV$603</f>
        <v/>
      </c>
      <c r="AA601">
        <f>IF($T601&lt;&gt;"row",0,IF($V601=1,IF($X601=1,IF($Y601=1,1,2),IF($Y601=1,3,4)),IF($X601=1,IF($Y601=1,5,6),IF($Y601=1,7,8))))</f>
        <v/>
      </c>
    </row>
    <row r="602" ht="11.25" customHeight="1">
      <c r="A602" s="64">
        <f>Calc!$FB$604</f>
        <v/>
      </c>
      <c r="B602" s="64">
        <f>Calc!$FC$604</f>
        <v/>
      </c>
      <c r="C602" s="65">
        <f>Calc!$FD$604</f>
        <v/>
      </c>
      <c r="D602" s="65">
        <f>Calc!$FE$604</f>
        <v/>
      </c>
      <c r="E602" s="65">
        <f>Calc!$FF$604</f>
        <v/>
      </c>
      <c r="F602" s="65">
        <f>Calc!$FG$604</f>
        <v/>
      </c>
      <c r="G602" s="65">
        <f>Calc!$FH$604</f>
        <v/>
      </c>
      <c r="H602" s="65">
        <f>Calc!$FI$604</f>
        <v/>
      </c>
      <c r="I602" s="65">
        <f>Calc!$FJ$604</f>
        <v/>
      </c>
      <c r="J602" s="65">
        <f>Calc!$FK$604</f>
        <v/>
      </c>
      <c r="K602" s="65">
        <f>Calc!$FL$604</f>
        <v/>
      </c>
      <c r="L602" s="65">
        <f>Calc!$FM$604</f>
        <v/>
      </c>
      <c r="M602" s="66">
        <f>Calc!$FN$604</f>
        <v/>
      </c>
      <c r="N602" s="66">
        <f>Calc!$FO$604</f>
        <v/>
      </c>
      <c r="O602" s="65">
        <f>Calc!$FP$604</f>
        <v/>
      </c>
      <c r="P602" s="67">
        <f>Calc!$FQ$604</f>
        <v/>
      </c>
      <c r="Q602" s="68">
        <f>Calc!$FR$604</f>
        <v/>
      </c>
      <c r="R602" s="65">
        <f>Calc!$FS$604</f>
        <v/>
      </c>
      <c r="T602">
        <f>Calc!$EY$604</f>
        <v/>
      </c>
      <c r="U602">
        <f>Calc!$FT$604</f>
        <v/>
      </c>
      <c r="V602">
        <f>Calc!$FU$604</f>
        <v/>
      </c>
      <c r="W602">
        <f>Calc!$FC$604</f>
        <v/>
      </c>
      <c r="X602">
        <f>Calc!$EZ$604</f>
        <v/>
      </c>
      <c r="Y602">
        <f>Calc!$FA$604</f>
        <v/>
      </c>
      <c r="Z602">
        <f>Calc!$FV$604</f>
        <v/>
      </c>
      <c r="AA602">
        <f>IF($T602&lt;&gt;"row",0,IF($V602=1,IF($X602=1,IF($Y602=1,1,2),IF($Y602=1,3,4)),IF($X602=1,IF($Y602=1,5,6),IF($Y602=1,7,8))))</f>
        <v/>
      </c>
    </row>
    <row r="603" ht="11.25" customHeight="1">
      <c r="A603" s="64">
        <f>Calc!$FB$605</f>
        <v/>
      </c>
      <c r="B603" s="64">
        <f>Calc!$FC$605</f>
        <v/>
      </c>
      <c r="C603" s="65">
        <f>Calc!$FD$605</f>
        <v/>
      </c>
      <c r="D603" s="65">
        <f>Calc!$FE$605</f>
        <v/>
      </c>
      <c r="E603" s="65">
        <f>Calc!$FF$605</f>
        <v/>
      </c>
      <c r="F603" s="65">
        <f>Calc!$FG$605</f>
        <v/>
      </c>
      <c r="G603" s="65">
        <f>Calc!$FH$605</f>
        <v/>
      </c>
      <c r="H603" s="65">
        <f>Calc!$FI$605</f>
        <v/>
      </c>
      <c r="I603" s="65">
        <f>Calc!$FJ$605</f>
        <v/>
      </c>
      <c r="J603" s="65">
        <f>Calc!$FK$605</f>
        <v/>
      </c>
      <c r="K603" s="65">
        <f>Calc!$FL$605</f>
        <v/>
      </c>
      <c r="L603" s="65">
        <f>Calc!$FM$605</f>
        <v/>
      </c>
      <c r="M603" s="66">
        <f>Calc!$FN$605</f>
        <v/>
      </c>
      <c r="N603" s="66">
        <f>Calc!$FO$605</f>
        <v/>
      </c>
      <c r="O603" s="65">
        <f>Calc!$FP$605</f>
        <v/>
      </c>
      <c r="P603" s="67">
        <f>Calc!$FQ$605</f>
        <v/>
      </c>
      <c r="Q603" s="68">
        <f>Calc!$FR$605</f>
        <v/>
      </c>
      <c r="R603" s="65">
        <f>Calc!$FS$605</f>
        <v/>
      </c>
      <c r="T603">
        <f>Calc!$EY$605</f>
        <v/>
      </c>
      <c r="U603">
        <f>Calc!$FT$605</f>
        <v/>
      </c>
      <c r="V603">
        <f>Calc!$FU$605</f>
        <v/>
      </c>
      <c r="W603">
        <f>Calc!$FC$605</f>
        <v/>
      </c>
      <c r="X603">
        <f>Calc!$EZ$605</f>
        <v/>
      </c>
      <c r="Y603">
        <f>Calc!$FA$605</f>
        <v/>
      </c>
      <c r="Z603">
        <f>Calc!$FV$605</f>
        <v/>
      </c>
      <c r="AA603">
        <f>IF($T603&lt;&gt;"row",0,IF($V603=1,IF($X603=1,IF($Y603=1,1,2),IF($Y603=1,3,4)),IF($X603=1,IF($Y603=1,5,6),IF($Y603=1,7,8))))</f>
        <v/>
      </c>
    </row>
    <row r="604" ht="11.25" customHeight="1">
      <c r="A604" s="64">
        <f>Calc!$FB$606</f>
        <v/>
      </c>
      <c r="B604" s="64">
        <f>Calc!$FC$606</f>
        <v/>
      </c>
      <c r="C604" s="65">
        <f>Calc!$FD$606</f>
        <v/>
      </c>
      <c r="D604" s="65">
        <f>Calc!$FE$606</f>
        <v/>
      </c>
      <c r="E604" s="65">
        <f>Calc!$FF$606</f>
        <v/>
      </c>
      <c r="F604" s="65">
        <f>Calc!$FG$606</f>
        <v/>
      </c>
      <c r="G604" s="65">
        <f>Calc!$FH$606</f>
        <v/>
      </c>
      <c r="H604" s="65">
        <f>Calc!$FI$606</f>
        <v/>
      </c>
      <c r="I604" s="65">
        <f>Calc!$FJ$606</f>
        <v/>
      </c>
      <c r="J604" s="65">
        <f>Calc!$FK$606</f>
        <v/>
      </c>
      <c r="K604" s="65">
        <f>Calc!$FL$606</f>
        <v/>
      </c>
      <c r="L604" s="65">
        <f>Calc!$FM$606</f>
        <v/>
      </c>
      <c r="M604" s="66">
        <f>Calc!$FN$606</f>
        <v/>
      </c>
      <c r="N604" s="66">
        <f>Calc!$FO$606</f>
        <v/>
      </c>
      <c r="O604" s="65">
        <f>Calc!$FP$606</f>
        <v/>
      </c>
      <c r="P604" s="67">
        <f>Calc!$FQ$606</f>
        <v/>
      </c>
      <c r="Q604" s="68">
        <f>Calc!$FR$606</f>
        <v/>
      </c>
      <c r="R604" s="65">
        <f>Calc!$FS$606</f>
        <v/>
      </c>
      <c r="T604">
        <f>Calc!$EY$606</f>
        <v/>
      </c>
      <c r="U604">
        <f>Calc!$FT$606</f>
        <v/>
      </c>
      <c r="V604">
        <f>Calc!$FU$606</f>
        <v/>
      </c>
      <c r="W604">
        <f>Calc!$FC$606</f>
        <v/>
      </c>
      <c r="X604">
        <f>Calc!$EZ$606</f>
        <v/>
      </c>
      <c r="Y604">
        <f>Calc!$FA$606</f>
        <v/>
      </c>
      <c r="Z604">
        <f>Calc!$FV$606</f>
        <v/>
      </c>
      <c r="AA604">
        <f>IF($T604&lt;&gt;"row",0,IF($V604=1,IF($X604=1,IF($Y604=1,1,2),IF($Y604=1,3,4)),IF($X604=1,IF($Y604=1,5,6),IF($Y604=1,7,8))))</f>
        <v/>
      </c>
    </row>
    <row r="605" ht="11.25" customHeight="1">
      <c r="A605" s="64">
        <f>Calc!$FB$607</f>
        <v/>
      </c>
      <c r="B605" s="64">
        <f>Calc!$FC$607</f>
        <v/>
      </c>
      <c r="C605" s="65">
        <f>Calc!$FD$607</f>
        <v/>
      </c>
      <c r="D605" s="65">
        <f>Calc!$FE$607</f>
        <v/>
      </c>
      <c r="E605" s="65">
        <f>Calc!$FF$607</f>
        <v/>
      </c>
      <c r="F605" s="65">
        <f>Calc!$FG$607</f>
        <v/>
      </c>
      <c r="G605" s="65">
        <f>Calc!$FH$607</f>
        <v/>
      </c>
      <c r="H605" s="65">
        <f>Calc!$FI$607</f>
        <v/>
      </c>
      <c r="I605" s="65">
        <f>Calc!$FJ$607</f>
        <v/>
      </c>
      <c r="J605" s="65">
        <f>Calc!$FK$607</f>
        <v/>
      </c>
      <c r="K605" s="65">
        <f>Calc!$FL$607</f>
        <v/>
      </c>
      <c r="L605" s="65">
        <f>Calc!$FM$607</f>
        <v/>
      </c>
      <c r="M605" s="66">
        <f>Calc!$FN$607</f>
        <v/>
      </c>
      <c r="N605" s="66">
        <f>Calc!$FO$607</f>
        <v/>
      </c>
      <c r="O605" s="65">
        <f>Calc!$FP$607</f>
        <v/>
      </c>
      <c r="P605" s="67">
        <f>Calc!$FQ$607</f>
        <v/>
      </c>
      <c r="Q605" s="68">
        <f>Calc!$FR$607</f>
        <v/>
      </c>
      <c r="R605" s="65">
        <f>Calc!$FS$607</f>
        <v/>
      </c>
      <c r="T605">
        <f>Calc!$EY$607</f>
        <v/>
      </c>
      <c r="U605">
        <f>Calc!$FT$607</f>
        <v/>
      </c>
      <c r="V605">
        <f>Calc!$FU$607</f>
        <v/>
      </c>
      <c r="W605">
        <f>Calc!$FC$607</f>
        <v/>
      </c>
      <c r="X605">
        <f>Calc!$EZ$607</f>
        <v/>
      </c>
      <c r="Y605">
        <f>Calc!$FA$607</f>
        <v/>
      </c>
      <c r="Z605">
        <f>Calc!$FV$607</f>
        <v/>
      </c>
      <c r="AA605">
        <f>IF($T605&lt;&gt;"row",0,IF($V605=1,IF($X605=1,IF($Y605=1,1,2),IF($Y605=1,3,4)),IF($X605=1,IF($Y605=1,5,6),IF($Y605=1,7,8))))</f>
        <v/>
      </c>
    </row>
    <row r="606" ht="11.25" customHeight="1">
      <c r="A606" s="64">
        <f>Calc!$FB$608</f>
        <v/>
      </c>
      <c r="B606" s="64">
        <f>Calc!$FC$608</f>
        <v/>
      </c>
      <c r="C606" s="65">
        <f>Calc!$FD$608</f>
        <v/>
      </c>
      <c r="D606" s="65">
        <f>Calc!$FE$608</f>
        <v/>
      </c>
      <c r="E606" s="65">
        <f>Calc!$FF$608</f>
        <v/>
      </c>
      <c r="F606" s="65">
        <f>Calc!$FG$608</f>
        <v/>
      </c>
      <c r="G606" s="65">
        <f>Calc!$FH$608</f>
        <v/>
      </c>
      <c r="H606" s="65">
        <f>Calc!$FI$608</f>
        <v/>
      </c>
      <c r="I606" s="65">
        <f>Calc!$FJ$608</f>
        <v/>
      </c>
      <c r="J606" s="65">
        <f>Calc!$FK$608</f>
        <v/>
      </c>
      <c r="K606" s="65">
        <f>Calc!$FL$608</f>
        <v/>
      </c>
      <c r="L606" s="65">
        <f>Calc!$FM$608</f>
        <v/>
      </c>
      <c r="M606" s="66">
        <f>Calc!$FN$608</f>
        <v/>
      </c>
      <c r="N606" s="66">
        <f>Calc!$FO$608</f>
        <v/>
      </c>
      <c r="O606" s="65">
        <f>Calc!$FP$608</f>
        <v/>
      </c>
      <c r="P606" s="67">
        <f>Calc!$FQ$608</f>
        <v/>
      </c>
      <c r="Q606" s="68">
        <f>Calc!$FR$608</f>
        <v/>
      </c>
      <c r="R606" s="65">
        <f>Calc!$FS$608</f>
        <v/>
      </c>
      <c r="T606">
        <f>Calc!$EY$608</f>
        <v/>
      </c>
      <c r="U606">
        <f>Calc!$FT$608</f>
        <v/>
      </c>
      <c r="V606">
        <f>Calc!$FU$608</f>
        <v/>
      </c>
      <c r="W606">
        <f>Calc!$FC$608</f>
        <v/>
      </c>
      <c r="X606">
        <f>Calc!$EZ$608</f>
        <v/>
      </c>
      <c r="Y606">
        <f>Calc!$FA$608</f>
        <v/>
      </c>
      <c r="Z606">
        <f>Calc!$FV$608</f>
        <v/>
      </c>
      <c r="AA606">
        <f>IF($T606&lt;&gt;"row",0,IF($V606=1,IF($X606=1,IF($Y606=1,1,2),IF($Y606=1,3,4)),IF($X606=1,IF($Y606=1,5,6),IF($Y606=1,7,8))))</f>
        <v/>
      </c>
    </row>
    <row r="607" ht="11.25" customHeight="1">
      <c r="A607" s="64">
        <f>Calc!$FB$609</f>
        <v/>
      </c>
      <c r="B607" s="64">
        <f>Calc!$FC$609</f>
        <v/>
      </c>
      <c r="C607" s="65">
        <f>Calc!$FD$609</f>
        <v/>
      </c>
      <c r="D607" s="65">
        <f>Calc!$FE$609</f>
        <v/>
      </c>
      <c r="E607" s="65">
        <f>Calc!$FF$609</f>
        <v/>
      </c>
      <c r="F607" s="65">
        <f>Calc!$FG$609</f>
        <v/>
      </c>
      <c r="G607" s="65">
        <f>Calc!$FH$609</f>
        <v/>
      </c>
      <c r="H607" s="65">
        <f>Calc!$FI$609</f>
        <v/>
      </c>
      <c r="I607" s="65">
        <f>Calc!$FJ$609</f>
        <v/>
      </c>
      <c r="J607" s="65">
        <f>Calc!$FK$609</f>
        <v/>
      </c>
      <c r="K607" s="65">
        <f>Calc!$FL$609</f>
        <v/>
      </c>
      <c r="L607" s="65">
        <f>Calc!$FM$609</f>
        <v/>
      </c>
      <c r="M607" s="66">
        <f>Calc!$FN$609</f>
        <v/>
      </c>
      <c r="N607" s="66">
        <f>Calc!$FO$609</f>
        <v/>
      </c>
      <c r="O607" s="65">
        <f>Calc!$FP$609</f>
        <v/>
      </c>
      <c r="P607" s="67">
        <f>Calc!$FQ$609</f>
        <v/>
      </c>
      <c r="Q607" s="68">
        <f>Calc!$FR$609</f>
        <v/>
      </c>
      <c r="R607" s="65">
        <f>Calc!$FS$609</f>
        <v/>
      </c>
      <c r="T607">
        <f>Calc!$EY$609</f>
        <v/>
      </c>
      <c r="U607">
        <f>Calc!$FT$609</f>
        <v/>
      </c>
      <c r="V607">
        <f>Calc!$FU$609</f>
        <v/>
      </c>
      <c r="W607">
        <f>Calc!$FC$609</f>
        <v/>
      </c>
      <c r="X607">
        <f>Calc!$EZ$609</f>
        <v/>
      </c>
      <c r="Y607">
        <f>Calc!$FA$609</f>
        <v/>
      </c>
      <c r="Z607">
        <f>Calc!$FV$609</f>
        <v/>
      </c>
      <c r="AA607">
        <f>IF($T607&lt;&gt;"row",0,IF($V607=1,IF($X607=1,IF($Y607=1,1,2),IF($Y607=1,3,4)),IF($X607=1,IF($Y607=1,5,6),IF($Y607=1,7,8))))</f>
        <v/>
      </c>
    </row>
    <row r="608" ht="11.25" customHeight="1">
      <c r="A608" s="64">
        <f>Calc!$FB$610</f>
        <v/>
      </c>
      <c r="B608" s="64">
        <f>Calc!$FC$610</f>
        <v/>
      </c>
      <c r="C608" s="65">
        <f>Calc!$FD$610</f>
        <v/>
      </c>
      <c r="D608" s="65">
        <f>Calc!$FE$610</f>
        <v/>
      </c>
      <c r="E608" s="65">
        <f>Calc!$FF$610</f>
        <v/>
      </c>
      <c r="F608" s="65">
        <f>Calc!$FG$610</f>
        <v/>
      </c>
      <c r="G608" s="65">
        <f>Calc!$FH$610</f>
        <v/>
      </c>
      <c r="H608" s="65">
        <f>Calc!$FI$610</f>
        <v/>
      </c>
      <c r="I608" s="65">
        <f>Calc!$FJ$610</f>
        <v/>
      </c>
      <c r="J608" s="65">
        <f>Calc!$FK$610</f>
        <v/>
      </c>
      <c r="K608" s="65">
        <f>Calc!$FL$610</f>
        <v/>
      </c>
      <c r="L608" s="65">
        <f>Calc!$FM$610</f>
        <v/>
      </c>
      <c r="M608" s="66">
        <f>Calc!$FN$610</f>
        <v/>
      </c>
      <c r="N608" s="66">
        <f>Calc!$FO$610</f>
        <v/>
      </c>
      <c r="O608" s="65">
        <f>Calc!$FP$610</f>
        <v/>
      </c>
      <c r="P608" s="67">
        <f>Calc!$FQ$610</f>
        <v/>
      </c>
      <c r="Q608" s="68">
        <f>Calc!$FR$610</f>
        <v/>
      </c>
      <c r="R608" s="65">
        <f>Calc!$FS$610</f>
        <v/>
      </c>
      <c r="T608">
        <f>Calc!$EY$610</f>
        <v/>
      </c>
      <c r="U608">
        <f>Calc!$FT$610</f>
        <v/>
      </c>
      <c r="V608">
        <f>Calc!$FU$610</f>
        <v/>
      </c>
      <c r="W608">
        <f>Calc!$FC$610</f>
        <v/>
      </c>
      <c r="X608">
        <f>Calc!$EZ$610</f>
        <v/>
      </c>
      <c r="Y608">
        <f>Calc!$FA$610</f>
        <v/>
      </c>
      <c r="Z608">
        <f>Calc!$FV$610</f>
        <v/>
      </c>
      <c r="AA608">
        <f>IF($T608&lt;&gt;"row",0,IF($V608=1,IF($X608=1,IF($Y608=1,1,2),IF($Y608=1,3,4)),IF($X608=1,IF($Y608=1,5,6),IF($Y608=1,7,8))))</f>
        <v/>
      </c>
    </row>
    <row r="609" ht="11.25" customHeight="1">
      <c r="A609" s="64">
        <f>Calc!$FB$611</f>
        <v/>
      </c>
      <c r="B609" s="64">
        <f>Calc!$FC$611</f>
        <v/>
      </c>
      <c r="C609" s="65">
        <f>Calc!$FD$611</f>
        <v/>
      </c>
      <c r="D609" s="65">
        <f>Calc!$FE$611</f>
        <v/>
      </c>
      <c r="E609" s="65">
        <f>Calc!$FF$611</f>
        <v/>
      </c>
      <c r="F609" s="65">
        <f>Calc!$FG$611</f>
        <v/>
      </c>
      <c r="G609" s="65">
        <f>Calc!$FH$611</f>
        <v/>
      </c>
      <c r="H609" s="65">
        <f>Calc!$FI$611</f>
        <v/>
      </c>
      <c r="I609" s="65">
        <f>Calc!$FJ$611</f>
        <v/>
      </c>
      <c r="J609" s="65">
        <f>Calc!$FK$611</f>
        <v/>
      </c>
      <c r="K609" s="65">
        <f>Calc!$FL$611</f>
        <v/>
      </c>
      <c r="L609" s="65">
        <f>Calc!$FM$611</f>
        <v/>
      </c>
      <c r="M609" s="66">
        <f>Calc!$FN$611</f>
        <v/>
      </c>
      <c r="N609" s="66">
        <f>Calc!$FO$611</f>
        <v/>
      </c>
      <c r="O609" s="65">
        <f>Calc!$FP$611</f>
        <v/>
      </c>
      <c r="P609" s="67">
        <f>Calc!$FQ$611</f>
        <v/>
      </c>
      <c r="Q609" s="68">
        <f>Calc!$FR$611</f>
        <v/>
      </c>
      <c r="R609" s="65">
        <f>Calc!$FS$611</f>
        <v/>
      </c>
      <c r="T609">
        <f>Calc!$EY$611</f>
        <v/>
      </c>
      <c r="U609">
        <f>Calc!$FT$611</f>
        <v/>
      </c>
      <c r="V609">
        <f>Calc!$FU$611</f>
        <v/>
      </c>
      <c r="W609">
        <f>Calc!$FC$611</f>
        <v/>
      </c>
      <c r="X609">
        <f>Calc!$EZ$611</f>
        <v/>
      </c>
      <c r="Y609">
        <f>Calc!$FA$611</f>
        <v/>
      </c>
      <c r="Z609">
        <f>Calc!$FV$611</f>
        <v/>
      </c>
      <c r="AA609">
        <f>IF($T609&lt;&gt;"row",0,IF($V609=1,IF($X609=1,IF($Y609=1,1,2),IF($Y609=1,3,4)),IF($X609=1,IF($Y609=1,5,6),IF($Y609=1,7,8))))</f>
        <v/>
      </c>
    </row>
    <row r="610" ht="11.25" customHeight="1">
      <c r="A610" s="64">
        <f>Calc!$FB$612</f>
        <v/>
      </c>
      <c r="B610" s="64">
        <f>Calc!$FC$612</f>
        <v/>
      </c>
      <c r="C610" s="65">
        <f>Calc!$FD$612</f>
        <v/>
      </c>
      <c r="D610" s="65">
        <f>Calc!$FE$612</f>
        <v/>
      </c>
      <c r="E610" s="65">
        <f>Calc!$FF$612</f>
        <v/>
      </c>
      <c r="F610" s="65">
        <f>Calc!$FG$612</f>
        <v/>
      </c>
      <c r="G610" s="65">
        <f>Calc!$FH$612</f>
        <v/>
      </c>
      <c r="H610" s="65">
        <f>Calc!$FI$612</f>
        <v/>
      </c>
      <c r="I610" s="65">
        <f>Calc!$FJ$612</f>
        <v/>
      </c>
      <c r="J610" s="65">
        <f>Calc!$FK$612</f>
        <v/>
      </c>
      <c r="K610" s="65">
        <f>Calc!$FL$612</f>
        <v/>
      </c>
      <c r="L610" s="65">
        <f>Calc!$FM$612</f>
        <v/>
      </c>
      <c r="M610" s="66">
        <f>Calc!$FN$612</f>
        <v/>
      </c>
      <c r="N610" s="66">
        <f>Calc!$FO$612</f>
        <v/>
      </c>
      <c r="O610" s="65">
        <f>Calc!$FP$612</f>
        <v/>
      </c>
      <c r="P610" s="67">
        <f>Calc!$FQ$612</f>
        <v/>
      </c>
      <c r="Q610" s="68">
        <f>Calc!$FR$612</f>
        <v/>
      </c>
      <c r="R610" s="65">
        <f>Calc!$FS$612</f>
        <v/>
      </c>
      <c r="T610">
        <f>Calc!$EY$612</f>
        <v/>
      </c>
      <c r="U610">
        <f>Calc!$FT$612</f>
        <v/>
      </c>
      <c r="V610">
        <f>Calc!$FU$612</f>
        <v/>
      </c>
      <c r="W610">
        <f>Calc!$FC$612</f>
        <v/>
      </c>
      <c r="X610">
        <f>Calc!$EZ$612</f>
        <v/>
      </c>
      <c r="Y610">
        <f>Calc!$FA$612</f>
        <v/>
      </c>
      <c r="Z610">
        <f>Calc!$FV$612</f>
        <v/>
      </c>
      <c r="AA610">
        <f>IF($T610&lt;&gt;"row",0,IF($V610=1,IF($X610=1,IF($Y610=1,1,2),IF($Y610=1,3,4)),IF($X610=1,IF($Y610=1,5,6),IF($Y610=1,7,8))))</f>
        <v/>
      </c>
    </row>
    <row r="611" ht="11.25" customHeight="1">
      <c r="A611" s="64">
        <f>Calc!$FB$613</f>
        <v/>
      </c>
      <c r="B611" s="64">
        <f>Calc!$FC$613</f>
        <v/>
      </c>
      <c r="C611" s="65">
        <f>Calc!$FD$613</f>
        <v/>
      </c>
      <c r="D611" s="65">
        <f>Calc!$FE$613</f>
        <v/>
      </c>
      <c r="E611" s="65">
        <f>Calc!$FF$613</f>
        <v/>
      </c>
      <c r="F611" s="65">
        <f>Calc!$FG$613</f>
        <v/>
      </c>
      <c r="G611" s="65">
        <f>Calc!$FH$613</f>
        <v/>
      </c>
      <c r="H611" s="65">
        <f>Calc!$FI$613</f>
        <v/>
      </c>
      <c r="I611" s="65">
        <f>Calc!$FJ$613</f>
        <v/>
      </c>
      <c r="J611" s="65">
        <f>Calc!$FK$613</f>
        <v/>
      </c>
      <c r="K611" s="65">
        <f>Calc!$FL$613</f>
        <v/>
      </c>
      <c r="L611" s="65">
        <f>Calc!$FM$613</f>
        <v/>
      </c>
      <c r="M611" s="66">
        <f>Calc!$FN$613</f>
        <v/>
      </c>
      <c r="N611" s="66">
        <f>Calc!$FO$613</f>
        <v/>
      </c>
      <c r="O611" s="65">
        <f>Calc!$FP$613</f>
        <v/>
      </c>
      <c r="P611" s="67">
        <f>Calc!$FQ$613</f>
        <v/>
      </c>
      <c r="Q611" s="68">
        <f>Calc!$FR$613</f>
        <v/>
      </c>
      <c r="R611" s="65">
        <f>Calc!$FS$613</f>
        <v/>
      </c>
      <c r="T611">
        <f>Calc!$EY$613</f>
        <v/>
      </c>
      <c r="U611">
        <f>Calc!$FT$613</f>
        <v/>
      </c>
      <c r="V611">
        <f>Calc!$FU$613</f>
        <v/>
      </c>
      <c r="W611">
        <f>Calc!$FC$613</f>
        <v/>
      </c>
      <c r="X611">
        <f>Calc!$EZ$613</f>
        <v/>
      </c>
      <c r="Y611">
        <f>Calc!$FA$613</f>
        <v/>
      </c>
      <c r="Z611">
        <f>Calc!$FV$613</f>
        <v/>
      </c>
      <c r="AA611">
        <f>IF($T611&lt;&gt;"row",0,IF($V611=1,IF($X611=1,IF($Y611=1,1,2),IF($Y611=1,3,4)),IF($X611=1,IF($Y611=1,5,6),IF($Y611=1,7,8))))</f>
        <v/>
      </c>
    </row>
    <row r="612" ht="11.25" customHeight="1">
      <c r="A612" s="64">
        <f>Calc!$FB$614</f>
        <v/>
      </c>
      <c r="B612" s="64">
        <f>Calc!$FC$614</f>
        <v/>
      </c>
      <c r="C612" s="65">
        <f>Calc!$FD$614</f>
        <v/>
      </c>
      <c r="D612" s="65">
        <f>Calc!$FE$614</f>
        <v/>
      </c>
      <c r="E612" s="65">
        <f>Calc!$FF$614</f>
        <v/>
      </c>
      <c r="F612" s="65">
        <f>Calc!$FG$614</f>
        <v/>
      </c>
      <c r="G612" s="65">
        <f>Calc!$FH$614</f>
        <v/>
      </c>
      <c r="H612" s="65">
        <f>Calc!$FI$614</f>
        <v/>
      </c>
      <c r="I612" s="65">
        <f>Calc!$FJ$614</f>
        <v/>
      </c>
      <c r="J612" s="65">
        <f>Calc!$FK$614</f>
        <v/>
      </c>
      <c r="K612" s="65">
        <f>Calc!$FL$614</f>
        <v/>
      </c>
      <c r="L612" s="65">
        <f>Calc!$FM$614</f>
        <v/>
      </c>
      <c r="M612" s="66">
        <f>Calc!$FN$614</f>
        <v/>
      </c>
      <c r="N612" s="66">
        <f>Calc!$FO$614</f>
        <v/>
      </c>
      <c r="O612" s="65">
        <f>Calc!$FP$614</f>
        <v/>
      </c>
      <c r="P612" s="67">
        <f>Calc!$FQ$614</f>
        <v/>
      </c>
      <c r="Q612" s="68">
        <f>Calc!$FR$614</f>
        <v/>
      </c>
      <c r="R612" s="65">
        <f>Calc!$FS$614</f>
        <v/>
      </c>
      <c r="T612">
        <f>Calc!$EY$614</f>
        <v/>
      </c>
      <c r="U612">
        <f>Calc!$FT$614</f>
        <v/>
      </c>
      <c r="V612">
        <f>Calc!$FU$614</f>
        <v/>
      </c>
      <c r="W612">
        <f>Calc!$FC$614</f>
        <v/>
      </c>
      <c r="X612">
        <f>Calc!$EZ$614</f>
        <v/>
      </c>
      <c r="Y612">
        <f>Calc!$FA$614</f>
        <v/>
      </c>
      <c r="Z612">
        <f>Calc!$FV$614</f>
        <v/>
      </c>
      <c r="AA612">
        <f>IF($T612&lt;&gt;"row",0,IF($V612=1,IF($X612=1,IF($Y612=1,1,2),IF($Y612=1,3,4)),IF($X612=1,IF($Y612=1,5,6),IF($Y612=1,7,8))))</f>
        <v/>
      </c>
    </row>
    <row r="613" ht="11.25" customHeight="1">
      <c r="A613" s="64">
        <f>Calc!$FB$615</f>
        <v/>
      </c>
      <c r="B613" s="64">
        <f>Calc!$FC$615</f>
        <v/>
      </c>
      <c r="C613" s="65">
        <f>Calc!$FD$615</f>
        <v/>
      </c>
      <c r="D613" s="65">
        <f>Calc!$FE$615</f>
        <v/>
      </c>
      <c r="E613" s="65">
        <f>Calc!$FF$615</f>
        <v/>
      </c>
      <c r="F613" s="65">
        <f>Calc!$FG$615</f>
        <v/>
      </c>
      <c r="G613" s="65">
        <f>Calc!$FH$615</f>
        <v/>
      </c>
      <c r="H613" s="65">
        <f>Calc!$FI$615</f>
        <v/>
      </c>
      <c r="I613" s="65">
        <f>Calc!$FJ$615</f>
        <v/>
      </c>
      <c r="J613" s="65">
        <f>Calc!$FK$615</f>
        <v/>
      </c>
      <c r="K613" s="65">
        <f>Calc!$FL$615</f>
        <v/>
      </c>
      <c r="L613" s="65">
        <f>Calc!$FM$615</f>
        <v/>
      </c>
      <c r="M613" s="66">
        <f>Calc!$FN$615</f>
        <v/>
      </c>
      <c r="N613" s="66">
        <f>Calc!$FO$615</f>
        <v/>
      </c>
      <c r="O613" s="65">
        <f>Calc!$FP$615</f>
        <v/>
      </c>
      <c r="P613" s="67">
        <f>Calc!$FQ$615</f>
        <v/>
      </c>
      <c r="Q613" s="68">
        <f>Calc!$FR$615</f>
        <v/>
      </c>
      <c r="R613" s="65">
        <f>Calc!$FS$615</f>
        <v/>
      </c>
      <c r="T613">
        <f>Calc!$EY$615</f>
        <v/>
      </c>
      <c r="U613">
        <f>Calc!$FT$615</f>
        <v/>
      </c>
      <c r="V613">
        <f>Calc!$FU$615</f>
        <v/>
      </c>
      <c r="W613">
        <f>Calc!$FC$615</f>
        <v/>
      </c>
      <c r="X613">
        <f>Calc!$EZ$615</f>
        <v/>
      </c>
      <c r="Y613">
        <f>Calc!$FA$615</f>
        <v/>
      </c>
      <c r="Z613">
        <f>Calc!$FV$615</f>
        <v/>
      </c>
      <c r="AA613">
        <f>IF($T613&lt;&gt;"row",0,IF($V613=1,IF($X613=1,IF($Y613=1,1,2),IF($Y613=1,3,4)),IF($X613=1,IF($Y613=1,5,6),IF($Y613=1,7,8))))</f>
        <v/>
      </c>
    </row>
    <row r="614" ht="11.25" customHeight="1">
      <c r="A614" s="64">
        <f>Calc!$FB$616</f>
        <v/>
      </c>
      <c r="B614" s="64">
        <f>Calc!$FC$616</f>
        <v/>
      </c>
      <c r="C614" s="65">
        <f>Calc!$FD$616</f>
        <v/>
      </c>
      <c r="D614" s="65">
        <f>Calc!$FE$616</f>
        <v/>
      </c>
      <c r="E614" s="65">
        <f>Calc!$FF$616</f>
        <v/>
      </c>
      <c r="F614" s="65">
        <f>Calc!$FG$616</f>
        <v/>
      </c>
      <c r="G614" s="65">
        <f>Calc!$FH$616</f>
        <v/>
      </c>
      <c r="H614" s="65">
        <f>Calc!$FI$616</f>
        <v/>
      </c>
      <c r="I614" s="65">
        <f>Calc!$FJ$616</f>
        <v/>
      </c>
      <c r="J614" s="65">
        <f>Calc!$FK$616</f>
        <v/>
      </c>
      <c r="K614" s="65">
        <f>Calc!$FL$616</f>
        <v/>
      </c>
      <c r="L614" s="65">
        <f>Calc!$FM$616</f>
        <v/>
      </c>
      <c r="M614" s="66">
        <f>Calc!$FN$616</f>
        <v/>
      </c>
      <c r="N614" s="66">
        <f>Calc!$FO$616</f>
        <v/>
      </c>
      <c r="O614" s="65">
        <f>Calc!$FP$616</f>
        <v/>
      </c>
      <c r="P614" s="67">
        <f>Calc!$FQ$616</f>
        <v/>
      </c>
      <c r="Q614" s="68">
        <f>Calc!$FR$616</f>
        <v/>
      </c>
      <c r="R614" s="65">
        <f>Calc!$FS$616</f>
        <v/>
      </c>
      <c r="T614">
        <f>Calc!$EY$616</f>
        <v/>
      </c>
      <c r="U614">
        <f>Calc!$FT$616</f>
        <v/>
      </c>
      <c r="V614">
        <f>Calc!$FU$616</f>
        <v/>
      </c>
      <c r="W614">
        <f>Calc!$FC$616</f>
        <v/>
      </c>
      <c r="X614">
        <f>Calc!$EZ$616</f>
        <v/>
      </c>
      <c r="Y614">
        <f>Calc!$FA$616</f>
        <v/>
      </c>
      <c r="Z614">
        <f>Calc!$FV$616</f>
        <v/>
      </c>
      <c r="AA614">
        <f>IF($T614&lt;&gt;"row",0,IF($V614=1,IF($X614=1,IF($Y614=1,1,2),IF($Y614=1,3,4)),IF($X614=1,IF($Y614=1,5,6),IF($Y614=1,7,8))))</f>
        <v/>
      </c>
    </row>
    <row r="615" ht="11.25" customHeight="1">
      <c r="A615" s="64">
        <f>Calc!$FB$617</f>
        <v/>
      </c>
      <c r="B615" s="64">
        <f>Calc!$FC$617</f>
        <v/>
      </c>
      <c r="C615" s="65">
        <f>Calc!$FD$617</f>
        <v/>
      </c>
      <c r="D615" s="65">
        <f>Calc!$FE$617</f>
        <v/>
      </c>
      <c r="E615" s="65">
        <f>Calc!$FF$617</f>
        <v/>
      </c>
      <c r="F615" s="65">
        <f>Calc!$FG$617</f>
        <v/>
      </c>
      <c r="G615" s="65">
        <f>Calc!$FH$617</f>
        <v/>
      </c>
      <c r="H615" s="65">
        <f>Calc!$FI$617</f>
        <v/>
      </c>
      <c r="I615" s="65">
        <f>Calc!$FJ$617</f>
        <v/>
      </c>
      <c r="J615" s="65">
        <f>Calc!$FK$617</f>
        <v/>
      </c>
      <c r="K615" s="65">
        <f>Calc!$FL$617</f>
        <v/>
      </c>
      <c r="L615" s="65">
        <f>Calc!$FM$617</f>
        <v/>
      </c>
      <c r="M615" s="66">
        <f>Calc!$FN$617</f>
        <v/>
      </c>
      <c r="N615" s="66">
        <f>Calc!$FO$617</f>
        <v/>
      </c>
      <c r="O615" s="65">
        <f>Calc!$FP$617</f>
        <v/>
      </c>
      <c r="P615" s="67">
        <f>Calc!$FQ$617</f>
        <v/>
      </c>
      <c r="Q615" s="68">
        <f>Calc!$FR$617</f>
        <v/>
      </c>
      <c r="R615" s="65">
        <f>Calc!$FS$617</f>
        <v/>
      </c>
      <c r="T615">
        <f>Calc!$EY$617</f>
        <v/>
      </c>
      <c r="U615">
        <f>Calc!$FT$617</f>
        <v/>
      </c>
      <c r="V615">
        <f>Calc!$FU$617</f>
        <v/>
      </c>
      <c r="W615">
        <f>Calc!$FC$617</f>
        <v/>
      </c>
      <c r="X615">
        <f>Calc!$EZ$617</f>
        <v/>
      </c>
      <c r="Y615">
        <f>Calc!$FA$617</f>
        <v/>
      </c>
      <c r="Z615">
        <f>Calc!$FV$617</f>
        <v/>
      </c>
      <c r="AA615">
        <f>IF($T615&lt;&gt;"row",0,IF($V615=1,IF($X615=1,IF($Y615=1,1,2),IF($Y615=1,3,4)),IF($X615=1,IF($Y615=1,5,6),IF($Y615=1,7,8))))</f>
        <v/>
      </c>
    </row>
    <row r="616" ht="11.25" customHeight="1">
      <c r="A616" s="64">
        <f>Calc!$FB$618</f>
        <v/>
      </c>
      <c r="B616" s="64">
        <f>Calc!$FC$618</f>
        <v/>
      </c>
      <c r="C616" s="65">
        <f>Calc!$FD$618</f>
        <v/>
      </c>
      <c r="D616" s="65">
        <f>Calc!$FE$618</f>
        <v/>
      </c>
      <c r="E616" s="65">
        <f>Calc!$FF$618</f>
        <v/>
      </c>
      <c r="F616" s="65">
        <f>Calc!$FG$618</f>
        <v/>
      </c>
      <c r="G616" s="65">
        <f>Calc!$FH$618</f>
        <v/>
      </c>
      <c r="H616" s="65">
        <f>Calc!$FI$618</f>
        <v/>
      </c>
      <c r="I616" s="65">
        <f>Calc!$FJ$618</f>
        <v/>
      </c>
      <c r="J616" s="65">
        <f>Calc!$FK$618</f>
        <v/>
      </c>
      <c r="K616" s="65">
        <f>Calc!$FL$618</f>
        <v/>
      </c>
      <c r="L616" s="65">
        <f>Calc!$FM$618</f>
        <v/>
      </c>
      <c r="M616" s="66">
        <f>Calc!$FN$618</f>
        <v/>
      </c>
      <c r="N616" s="66">
        <f>Calc!$FO$618</f>
        <v/>
      </c>
      <c r="O616" s="65">
        <f>Calc!$FP$618</f>
        <v/>
      </c>
      <c r="P616" s="67">
        <f>Calc!$FQ$618</f>
        <v/>
      </c>
      <c r="Q616" s="68">
        <f>Calc!$FR$618</f>
        <v/>
      </c>
      <c r="R616" s="65">
        <f>Calc!$FS$618</f>
        <v/>
      </c>
      <c r="T616">
        <f>Calc!$EY$618</f>
        <v/>
      </c>
      <c r="U616">
        <f>Calc!$FT$618</f>
        <v/>
      </c>
      <c r="V616">
        <f>Calc!$FU$618</f>
        <v/>
      </c>
      <c r="W616">
        <f>Calc!$FC$618</f>
        <v/>
      </c>
      <c r="X616">
        <f>Calc!$EZ$618</f>
        <v/>
      </c>
      <c r="Y616">
        <f>Calc!$FA$618</f>
        <v/>
      </c>
      <c r="Z616">
        <f>Calc!$FV$618</f>
        <v/>
      </c>
      <c r="AA616">
        <f>IF($T616&lt;&gt;"row",0,IF($V616=1,IF($X616=1,IF($Y616=1,1,2),IF($Y616=1,3,4)),IF($X616=1,IF($Y616=1,5,6),IF($Y616=1,7,8))))</f>
        <v/>
      </c>
    </row>
    <row r="617" ht="11.25" customHeight="1">
      <c r="A617" s="64">
        <f>Calc!$FB$619</f>
        <v/>
      </c>
      <c r="B617" s="64">
        <f>Calc!$FC$619</f>
        <v/>
      </c>
      <c r="C617" s="65">
        <f>Calc!$FD$619</f>
        <v/>
      </c>
      <c r="D617" s="65">
        <f>Calc!$FE$619</f>
        <v/>
      </c>
      <c r="E617" s="65">
        <f>Calc!$FF$619</f>
        <v/>
      </c>
      <c r="F617" s="65">
        <f>Calc!$FG$619</f>
        <v/>
      </c>
      <c r="G617" s="65">
        <f>Calc!$FH$619</f>
        <v/>
      </c>
      <c r="H617" s="65">
        <f>Calc!$FI$619</f>
        <v/>
      </c>
      <c r="I617" s="65">
        <f>Calc!$FJ$619</f>
        <v/>
      </c>
      <c r="J617" s="65">
        <f>Calc!$FK$619</f>
        <v/>
      </c>
      <c r="K617" s="65">
        <f>Calc!$FL$619</f>
        <v/>
      </c>
      <c r="L617" s="65">
        <f>Calc!$FM$619</f>
        <v/>
      </c>
      <c r="M617" s="66">
        <f>Calc!$FN$619</f>
        <v/>
      </c>
      <c r="N617" s="66">
        <f>Calc!$FO$619</f>
        <v/>
      </c>
      <c r="O617" s="65">
        <f>Calc!$FP$619</f>
        <v/>
      </c>
      <c r="P617" s="67">
        <f>Calc!$FQ$619</f>
        <v/>
      </c>
      <c r="Q617" s="68">
        <f>Calc!$FR$619</f>
        <v/>
      </c>
      <c r="R617" s="65">
        <f>Calc!$FS$619</f>
        <v/>
      </c>
      <c r="T617">
        <f>Calc!$EY$619</f>
        <v/>
      </c>
      <c r="U617">
        <f>Calc!$FT$619</f>
        <v/>
      </c>
      <c r="V617">
        <f>Calc!$FU$619</f>
        <v/>
      </c>
      <c r="W617">
        <f>Calc!$FC$619</f>
        <v/>
      </c>
      <c r="X617">
        <f>Calc!$EZ$619</f>
        <v/>
      </c>
      <c r="Y617">
        <f>Calc!$FA$619</f>
        <v/>
      </c>
      <c r="Z617">
        <f>Calc!$FV$619</f>
        <v/>
      </c>
      <c r="AA617">
        <f>IF($T617&lt;&gt;"row",0,IF($V617=1,IF($X617=1,IF($Y617=1,1,2),IF($Y617=1,3,4)),IF($X617=1,IF($Y617=1,5,6),IF($Y617=1,7,8))))</f>
        <v/>
      </c>
    </row>
    <row r="618" ht="11.25" customHeight="1">
      <c r="A618" s="64">
        <f>Calc!$FB$620</f>
        <v/>
      </c>
      <c r="B618" s="64">
        <f>Calc!$FC$620</f>
        <v/>
      </c>
      <c r="C618" s="65">
        <f>Calc!$FD$620</f>
        <v/>
      </c>
      <c r="D618" s="65">
        <f>Calc!$FE$620</f>
        <v/>
      </c>
      <c r="E618" s="65">
        <f>Calc!$FF$620</f>
        <v/>
      </c>
      <c r="F618" s="65">
        <f>Calc!$FG$620</f>
        <v/>
      </c>
      <c r="G618" s="65">
        <f>Calc!$FH$620</f>
        <v/>
      </c>
      <c r="H618" s="65">
        <f>Calc!$FI$620</f>
        <v/>
      </c>
      <c r="I618" s="65">
        <f>Calc!$FJ$620</f>
        <v/>
      </c>
      <c r="J618" s="65">
        <f>Calc!$FK$620</f>
        <v/>
      </c>
      <c r="K618" s="65">
        <f>Calc!$FL$620</f>
        <v/>
      </c>
      <c r="L618" s="65">
        <f>Calc!$FM$620</f>
        <v/>
      </c>
      <c r="M618" s="66">
        <f>Calc!$FN$620</f>
        <v/>
      </c>
      <c r="N618" s="66">
        <f>Calc!$FO$620</f>
        <v/>
      </c>
      <c r="O618" s="65">
        <f>Calc!$FP$620</f>
        <v/>
      </c>
      <c r="P618" s="67">
        <f>Calc!$FQ$620</f>
        <v/>
      </c>
      <c r="Q618" s="68">
        <f>Calc!$FR$620</f>
        <v/>
      </c>
      <c r="R618" s="65">
        <f>Calc!$FS$620</f>
        <v/>
      </c>
      <c r="T618">
        <f>Calc!$EY$620</f>
        <v/>
      </c>
      <c r="U618">
        <f>Calc!$FT$620</f>
        <v/>
      </c>
      <c r="V618">
        <f>Calc!$FU$620</f>
        <v/>
      </c>
      <c r="W618">
        <f>Calc!$FC$620</f>
        <v/>
      </c>
      <c r="X618">
        <f>Calc!$EZ$620</f>
        <v/>
      </c>
      <c r="Y618">
        <f>Calc!$FA$620</f>
        <v/>
      </c>
      <c r="Z618">
        <f>Calc!$FV$620</f>
        <v/>
      </c>
      <c r="AA618">
        <f>IF($T618&lt;&gt;"row",0,IF($V618=1,IF($X618=1,IF($Y618=1,1,2),IF($Y618=1,3,4)),IF($X618=1,IF($Y618=1,5,6),IF($Y618=1,7,8))))</f>
        <v/>
      </c>
    </row>
    <row r="619" ht="11.25" customHeight="1">
      <c r="A619" s="64">
        <f>Calc!$FB$621</f>
        <v/>
      </c>
      <c r="B619" s="64">
        <f>Calc!$FC$621</f>
        <v/>
      </c>
      <c r="C619" s="65">
        <f>Calc!$FD$621</f>
        <v/>
      </c>
      <c r="D619" s="65">
        <f>Calc!$FE$621</f>
        <v/>
      </c>
      <c r="E619" s="65">
        <f>Calc!$FF$621</f>
        <v/>
      </c>
      <c r="F619" s="65">
        <f>Calc!$FG$621</f>
        <v/>
      </c>
      <c r="G619" s="65">
        <f>Calc!$FH$621</f>
        <v/>
      </c>
      <c r="H619" s="65">
        <f>Calc!$FI$621</f>
        <v/>
      </c>
      <c r="I619" s="65">
        <f>Calc!$FJ$621</f>
        <v/>
      </c>
      <c r="J619" s="65">
        <f>Calc!$FK$621</f>
        <v/>
      </c>
      <c r="K619" s="65">
        <f>Calc!$FL$621</f>
        <v/>
      </c>
      <c r="L619" s="65">
        <f>Calc!$FM$621</f>
        <v/>
      </c>
      <c r="M619" s="66">
        <f>Calc!$FN$621</f>
        <v/>
      </c>
      <c r="N619" s="66">
        <f>Calc!$FO$621</f>
        <v/>
      </c>
      <c r="O619" s="65">
        <f>Calc!$FP$621</f>
        <v/>
      </c>
      <c r="P619" s="67">
        <f>Calc!$FQ$621</f>
        <v/>
      </c>
      <c r="Q619" s="68">
        <f>Calc!$FR$621</f>
        <v/>
      </c>
      <c r="R619" s="65">
        <f>Calc!$FS$621</f>
        <v/>
      </c>
      <c r="T619">
        <f>Calc!$EY$621</f>
        <v/>
      </c>
      <c r="U619">
        <f>Calc!$FT$621</f>
        <v/>
      </c>
      <c r="V619">
        <f>Calc!$FU$621</f>
        <v/>
      </c>
      <c r="W619">
        <f>Calc!$FC$621</f>
        <v/>
      </c>
      <c r="X619">
        <f>Calc!$EZ$621</f>
        <v/>
      </c>
      <c r="Y619">
        <f>Calc!$FA$621</f>
        <v/>
      </c>
      <c r="Z619">
        <f>Calc!$FV$621</f>
        <v/>
      </c>
      <c r="AA619">
        <f>IF($T619&lt;&gt;"row",0,IF($V619=1,IF($X619=1,IF($Y619=1,1,2),IF($Y619=1,3,4)),IF($X619=1,IF($Y619=1,5,6),IF($Y619=1,7,8))))</f>
        <v/>
      </c>
    </row>
    <row r="620" ht="11.25" customHeight="1">
      <c r="A620" s="64">
        <f>Calc!$FB$622</f>
        <v/>
      </c>
      <c r="B620" s="64">
        <f>Calc!$FC$622</f>
        <v/>
      </c>
      <c r="C620" s="65">
        <f>Calc!$FD$622</f>
        <v/>
      </c>
      <c r="D620" s="65">
        <f>Calc!$FE$622</f>
        <v/>
      </c>
      <c r="E620" s="65">
        <f>Calc!$FF$622</f>
        <v/>
      </c>
      <c r="F620" s="65">
        <f>Calc!$FG$622</f>
        <v/>
      </c>
      <c r="G620" s="65">
        <f>Calc!$FH$622</f>
        <v/>
      </c>
      <c r="H620" s="65">
        <f>Calc!$FI$622</f>
        <v/>
      </c>
      <c r="I620" s="65">
        <f>Calc!$FJ$622</f>
        <v/>
      </c>
      <c r="J620" s="65">
        <f>Calc!$FK$622</f>
        <v/>
      </c>
      <c r="K620" s="65">
        <f>Calc!$FL$622</f>
        <v/>
      </c>
      <c r="L620" s="65">
        <f>Calc!$FM$622</f>
        <v/>
      </c>
      <c r="M620" s="66">
        <f>Calc!$FN$622</f>
        <v/>
      </c>
      <c r="N620" s="66">
        <f>Calc!$FO$622</f>
        <v/>
      </c>
      <c r="O620" s="65">
        <f>Calc!$FP$622</f>
        <v/>
      </c>
      <c r="P620" s="67">
        <f>Calc!$FQ$622</f>
        <v/>
      </c>
      <c r="Q620" s="68">
        <f>Calc!$FR$622</f>
        <v/>
      </c>
      <c r="R620" s="65">
        <f>Calc!$FS$622</f>
        <v/>
      </c>
      <c r="T620">
        <f>Calc!$EY$622</f>
        <v/>
      </c>
      <c r="U620">
        <f>Calc!$FT$622</f>
        <v/>
      </c>
      <c r="V620">
        <f>Calc!$FU$622</f>
        <v/>
      </c>
      <c r="W620">
        <f>Calc!$FC$622</f>
        <v/>
      </c>
      <c r="X620">
        <f>Calc!$EZ$622</f>
        <v/>
      </c>
      <c r="Y620">
        <f>Calc!$FA$622</f>
        <v/>
      </c>
      <c r="Z620">
        <f>Calc!$FV$622</f>
        <v/>
      </c>
      <c r="AA620">
        <f>IF($T620&lt;&gt;"row",0,IF($V620=1,IF($X620=1,IF($Y620=1,1,2),IF($Y620=1,3,4)),IF($X620=1,IF($Y620=1,5,6),IF($Y620=1,7,8))))</f>
        <v/>
      </c>
    </row>
    <row r="621" ht="11.25" customHeight="1">
      <c r="A621" s="64">
        <f>Calc!$FB$623</f>
        <v/>
      </c>
      <c r="B621" s="64">
        <f>Calc!$FC$623</f>
        <v/>
      </c>
      <c r="C621" s="65">
        <f>Calc!$FD$623</f>
        <v/>
      </c>
      <c r="D621" s="65">
        <f>Calc!$FE$623</f>
        <v/>
      </c>
      <c r="E621" s="65">
        <f>Calc!$FF$623</f>
        <v/>
      </c>
      <c r="F621" s="65">
        <f>Calc!$FG$623</f>
        <v/>
      </c>
      <c r="G621" s="65">
        <f>Calc!$FH$623</f>
        <v/>
      </c>
      <c r="H621" s="65">
        <f>Calc!$FI$623</f>
        <v/>
      </c>
      <c r="I621" s="65">
        <f>Calc!$FJ$623</f>
        <v/>
      </c>
      <c r="J621" s="65">
        <f>Calc!$FK$623</f>
        <v/>
      </c>
      <c r="K621" s="65">
        <f>Calc!$FL$623</f>
        <v/>
      </c>
      <c r="L621" s="65">
        <f>Calc!$FM$623</f>
        <v/>
      </c>
      <c r="M621" s="66">
        <f>Calc!$FN$623</f>
        <v/>
      </c>
      <c r="N621" s="66">
        <f>Calc!$FO$623</f>
        <v/>
      </c>
      <c r="O621" s="65">
        <f>Calc!$FP$623</f>
        <v/>
      </c>
      <c r="P621" s="67">
        <f>Calc!$FQ$623</f>
        <v/>
      </c>
      <c r="Q621" s="68">
        <f>Calc!$FR$623</f>
        <v/>
      </c>
      <c r="R621" s="65">
        <f>Calc!$FS$623</f>
        <v/>
      </c>
      <c r="T621">
        <f>Calc!$EY$623</f>
        <v/>
      </c>
      <c r="U621">
        <f>Calc!$FT$623</f>
        <v/>
      </c>
      <c r="V621">
        <f>Calc!$FU$623</f>
        <v/>
      </c>
      <c r="W621">
        <f>Calc!$FC$623</f>
        <v/>
      </c>
      <c r="X621">
        <f>Calc!$EZ$623</f>
        <v/>
      </c>
      <c r="Y621">
        <f>Calc!$FA$623</f>
        <v/>
      </c>
      <c r="Z621">
        <f>Calc!$FV$623</f>
        <v/>
      </c>
      <c r="AA621">
        <f>IF($T621&lt;&gt;"row",0,IF($V621=1,IF($X621=1,IF($Y621=1,1,2),IF($Y621=1,3,4)),IF($X621=1,IF($Y621=1,5,6),IF($Y621=1,7,8))))</f>
        <v/>
      </c>
    </row>
    <row r="622" ht="11.25" customHeight="1">
      <c r="A622" s="64">
        <f>Calc!$FB$624</f>
        <v/>
      </c>
      <c r="B622" s="64">
        <f>Calc!$FC$624</f>
        <v/>
      </c>
      <c r="C622" s="65">
        <f>Calc!$FD$624</f>
        <v/>
      </c>
      <c r="D622" s="65">
        <f>Calc!$FE$624</f>
        <v/>
      </c>
      <c r="E622" s="65">
        <f>Calc!$FF$624</f>
        <v/>
      </c>
      <c r="F622" s="65">
        <f>Calc!$FG$624</f>
        <v/>
      </c>
      <c r="G622" s="65">
        <f>Calc!$FH$624</f>
        <v/>
      </c>
      <c r="H622" s="65">
        <f>Calc!$FI$624</f>
        <v/>
      </c>
      <c r="I622" s="65">
        <f>Calc!$FJ$624</f>
        <v/>
      </c>
      <c r="J622" s="65">
        <f>Calc!$FK$624</f>
        <v/>
      </c>
      <c r="K622" s="65">
        <f>Calc!$FL$624</f>
        <v/>
      </c>
      <c r="L622" s="65">
        <f>Calc!$FM$624</f>
        <v/>
      </c>
      <c r="M622" s="66">
        <f>Calc!$FN$624</f>
        <v/>
      </c>
      <c r="N622" s="66">
        <f>Calc!$FO$624</f>
        <v/>
      </c>
      <c r="O622" s="65">
        <f>Calc!$FP$624</f>
        <v/>
      </c>
      <c r="P622" s="67">
        <f>Calc!$FQ$624</f>
        <v/>
      </c>
      <c r="Q622" s="68">
        <f>Calc!$FR$624</f>
        <v/>
      </c>
      <c r="R622" s="65">
        <f>Calc!$FS$624</f>
        <v/>
      </c>
      <c r="T622">
        <f>Calc!$EY$624</f>
        <v/>
      </c>
      <c r="U622">
        <f>Calc!$FT$624</f>
        <v/>
      </c>
      <c r="V622">
        <f>Calc!$FU$624</f>
        <v/>
      </c>
      <c r="W622">
        <f>Calc!$FC$624</f>
        <v/>
      </c>
      <c r="X622">
        <f>Calc!$EZ$624</f>
        <v/>
      </c>
      <c r="Y622">
        <f>Calc!$FA$624</f>
        <v/>
      </c>
      <c r="Z622">
        <f>Calc!$FV$624</f>
        <v/>
      </c>
      <c r="AA622">
        <f>IF($T622&lt;&gt;"row",0,IF($V622=1,IF($X622=1,IF($Y622=1,1,2),IF($Y622=1,3,4)),IF($X622=1,IF($Y622=1,5,6),IF($Y622=1,7,8))))</f>
        <v/>
      </c>
    </row>
    <row r="623" ht="11.25" customHeight="1">
      <c r="A623" s="64">
        <f>Calc!$FB$625</f>
        <v/>
      </c>
      <c r="B623" s="64">
        <f>Calc!$FC$625</f>
        <v/>
      </c>
      <c r="C623" s="65">
        <f>Calc!$FD$625</f>
        <v/>
      </c>
      <c r="D623" s="65">
        <f>Calc!$FE$625</f>
        <v/>
      </c>
      <c r="E623" s="65">
        <f>Calc!$FF$625</f>
        <v/>
      </c>
      <c r="F623" s="65">
        <f>Calc!$FG$625</f>
        <v/>
      </c>
      <c r="G623" s="65">
        <f>Calc!$FH$625</f>
        <v/>
      </c>
      <c r="H623" s="65">
        <f>Calc!$FI$625</f>
        <v/>
      </c>
      <c r="I623" s="65">
        <f>Calc!$FJ$625</f>
        <v/>
      </c>
      <c r="J623" s="65">
        <f>Calc!$FK$625</f>
        <v/>
      </c>
      <c r="K623" s="65">
        <f>Calc!$FL$625</f>
        <v/>
      </c>
      <c r="L623" s="65">
        <f>Calc!$FM$625</f>
        <v/>
      </c>
      <c r="M623" s="66">
        <f>Calc!$FN$625</f>
        <v/>
      </c>
      <c r="N623" s="66">
        <f>Calc!$FO$625</f>
        <v/>
      </c>
      <c r="O623" s="65">
        <f>Calc!$FP$625</f>
        <v/>
      </c>
      <c r="P623" s="67">
        <f>Calc!$FQ$625</f>
        <v/>
      </c>
      <c r="Q623" s="68">
        <f>Calc!$FR$625</f>
        <v/>
      </c>
      <c r="R623" s="65">
        <f>Calc!$FS$625</f>
        <v/>
      </c>
      <c r="T623">
        <f>Calc!$EY$625</f>
        <v/>
      </c>
      <c r="U623">
        <f>Calc!$FT$625</f>
        <v/>
      </c>
      <c r="V623">
        <f>Calc!$FU$625</f>
        <v/>
      </c>
      <c r="W623">
        <f>Calc!$FC$625</f>
        <v/>
      </c>
      <c r="X623">
        <f>Calc!$EZ$625</f>
        <v/>
      </c>
      <c r="Y623">
        <f>Calc!$FA$625</f>
        <v/>
      </c>
      <c r="Z623">
        <f>Calc!$FV$625</f>
        <v/>
      </c>
      <c r="AA623">
        <f>IF($T623&lt;&gt;"row",0,IF($V623=1,IF($X623=1,IF($Y623=1,1,2),IF($Y623=1,3,4)),IF($X623=1,IF($Y623=1,5,6),IF($Y623=1,7,8))))</f>
        <v/>
      </c>
    </row>
    <row r="624" ht="11.25" customHeight="1">
      <c r="A624" s="64">
        <f>Calc!$FB$626</f>
        <v/>
      </c>
      <c r="B624" s="64">
        <f>Calc!$FC$626</f>
        <v/>
      </c>
      <c r="C624" s="65">
        <f>Calc!$FD$626</f>
        <v/>
      </c>
      <c r="D624" s="65">
        <f>Calc!$FE$626</f>
        <v/>
      </c>
      <c r="E624" s="65">
        <f>Calc!$FF$626</f>
        <v/>
      </c>
      <c r="F624" s="65">
        <f>Calc!$FG$626</f>
        <v/>
      </c>
      <c r="G624" s="65">
        <f>Calc!$FH$626</f>
        <v/>
      </c>
      <c r="H624" s="65">
        <f>Calc!$FI$626</f>
        <v/>
      </c>
      <c r="I624" s="65">
        <f>Calc!$FJ$626</f>
        <v/>
      </c>
      <c r="J624" s="65">
        <f>Calc!$FK$626</f>
        <v/>
      </c>
      <c r="K624" s="65">
        <f>Calc!$FL$626</f>
        <v/>
      </c>
      <c r="L624" s="65">
        <f>Calc!$FM$626</f>
        <v/>
      </c>
      <c r="M624" s="66">
        <f>Calc!$FN$626</f>
        <v/>
      </c>
      <c r="N624" s="66">
        <f>Calc!$FO$626</f>
        <v/>
      </c>
      <c r="O624" s="65">
        <f>Calc!$FP$626</f>
        <v/>
      </c>
      <c r="P624" s="67">
        <f>Calc!$FQ$626</f>
        <v/>
      </c>
      <c r="Q624" s="68">
        <f>Calc!$FR$626</f>
        <v/>
      </c>
      <c r="R624" s="65">
        <f>Calc!$FS$626</f>
        <v/>
      </c>
      <c r="T624">
        <f>Calc!$EY$626</f>
        <v/>
      </c>
      <c r="U624">
        <f>Calc!$FT$626</f>
        <v/>
      </c>
      <c r="V624">
        <f>Calc!$FU$626</f>
        <v/>
      </c>
      <c r="W624">
        <f>Calc!$FC$626</f>
        <v/>
      </c>
      <c r="X624">
        <f>Calc!$EZ$626</f>
        <v/>
      </c>
      <c r="Y624">
        <f>Calc!$FA$626</f>
        <v/>
      </c>
      <c r="Z624">
        <f>Calc!$FV$626</f>
        <v/>
      </c>
      <c r="AA624">
        <f>IF($T624&lt;&gt;"row",0,IF($V624=1,IF($X624=1,IF($Y624=1,1,2),IF($Y624=1,3,4)),IF($X624=1,IF($Y624=1,5,6),IF($Y624=1,7,8))))</f>
        <v/>
      </c>
    </row>
    <row r="625" ht="11.25" customHeight="1">
      <c r="A625" s="64">
        <f>Calc!$FB$627</f>
        <v/>
      </c>
      <c r="B625" s="64">
        <f>Calc!$FC$627</f>
        <v/>
      </c>
      <c r="C625" s="65">
        <f>Calc!$FD$627</f>
        <v/>
      </c>
      <c r="D625" s="65">
        <f>Calc!$FE$627</f>
        <v/>
      </c>
      <c r="E625" s="65">
        <f>Calc!$FF$627</f>
        <v/>
      </c>
      <c r="F625" s="65">
        <f>Calc!$FG$627</f>
        <v/>
      </c>
      <c r="G625" s="65">
        <f>Calc!$FH$627</f>
        <v/>
      </c>
      <c r="H625" s="65">
        <f>Calc!$FI$627</f>
        <v/>
      </c>
      <c r="I625" s="65">
        <f>Calc!$FJ$627</f>
        <v/>
      </c>
      <c r="J625" s="65">
        <f>Calc!$FK$627</f>
        <v/>
      </c>
      <c r="K625" s="65">
        <f>Calc!$FL$627</f>
        <v/>
      </c>
      <c r="L625" s="65">
        <f>Calc!$FM$627</f>
        <v/>
      </c>
      <c r="M625" s="66">
        <f>Calc!$FN$627</f>
        <v/>
      </c>
      <c r="N625" s="66">
        <f>Calc!$FO$627</f>
        <v/>
      </c>
      <c r="O625" s="65">
        <f>Calc!$FP$627</f>
        <v/>
      </c>
      <c r="P625" s="67">
        <f>Calc!$FQ$627</f>
        <v/>
      </c>
      <c r="Q625" s="68">
        <f>Calc!$FR$627</f>
        <v/>
      </c>
      <c r="R625" s="65">
        <f>Calc!$FS$627</f>
        <v/>
      </c>
      <c r="T625">
        <f>Calc!$EY$627</f>
        <v/>
      </c>
      <c r="U625">
        <f>Calc!$FT$627</f>
        <v/>
      </c>
      <c r="V625">
        <f>Calc!$FU$627</f>
        <v/>
      </c>
      <c r="W625">
        <f>Calc!$FC$627</f>
        <v/>
      </c>
      <c r="X625">
        <f>Calc!$EZ$627</f>
        <v/>
      </c>
      <c r="Y625">
        <f>Calc!$FA$627</f>
        <v/>
      </c>
      <c r="Z625">
        <f>Calc!$FV$627</f>
        <v/>
      </c>
      <c r="AA625">
        <f>IF($T625&lt;&gt;"row",0,IF($V625=1,IF($X625=1,IF($Y625=1,1,2),IF($Y625=1,3,4)),IF($X625=1,IF($Y625=1,5,6),IF($Y625=1,7,8))))</f>
        <v/>
      </c>
    </row>
    <row r="626" ht="11.25" customHeight="1">
      <c r="A626" s="64">
        <f>Calc!$FB$628</f>
        <v/>
      </c>
      <c r="B626" s="64">
        <f>Calc!$FC$628</f>
        <v/>
      </c>
      <c r="C626" s="65">
        <f>Calc!$FD$628</f>
        <v/>
      </c>
      <c r="D626" s="65">
        <f>Calc!$FE$628</f>
        <v/>
      </c>
      <c r="E626" s="65">
        <f>Calc!$FF$628</f>
        <v/>
      </c>
      <c r="F626" s="65">
        <f>Calc!$FG$628</f>
        <v/>
      </c>
      <c r="G626" s="65">
        <f>Calc!$FH$628</f>
        <v/>
      </c>
      <c r="H626" s="65">
        <f>Calc!$FI$628</f>
        <v/>
      </c>
      <c r="I626" s="65">
        <f>Calc!$FJ$628</f>
        <v/>
      </c>
      <c r="J626" s="65">
        <f>Calc!$FK$628</f>
        <v/>
      </c>
      <c r="K626" s="65">
        <f>Calc!$FL$628</f>
        <v/>
      </c>
      <c r="L626" s="65">
        <f>Calc!$FM$628</f>
        <v/>
      </c>
      <c r="M626" s="66">
        <f>Calc!$FN$628</f>
        <v/>
      </c>
      <c r="N626" s="66">
        <f>Calc!$FO$628</f>
        <v/>
      </c>
      <c r="O626" s="65">
        <f>Calc!$FP$628</f>
        <v/>
      </c>
      <c r="P626" s="67">
        <f>Calc!$FQ$628</f>
        <v/>
      </c>
      <c r="Q626" s="68">
        <f>Calc!$FR$628</f>
        <v/>
      </c>
      <c r="R626" s="65">
        <f>Calc!$FS$628</f>
        <v/>
      </c>
      <c r="T626">
        <f>Calc!$EY$628</f>
        <v/>
      </c>
      <c r="U626">
        <f>Calc!$FT$628</f>
        <v/>
      </c>
      <c r="V626">
        <f>Calc!$FU$628</f>
        <v/>
      </c>
      <c r="W626">
        <f>Calc!$FC$628</f>
        <v/>
      </c>
      <c r="X626">
        <f>Calc!$EZ$628</f>
        <v/>
      </c>
      <c r="Y626">
        <f>Calc!$FA$628</f>
        <v/>
      </c>
      <c r="Z626">
        <f>Calc!$FV$628</f>
        <v/>
      </c>
      <c r="AA626">
        <f>IF($T626&lt;&gt;"row",0,IF($V626=1,IF($X626=1,IF($Y626=1,1,2),IF($Y626=1,3,4)),IF($X626=1,IF($Y626=1,5,6),IF($Y626=1,7,8))))</f>
        <v/>
      </c>
    </row>
    <row r="627" ht="11.25" customHeight="1">
      <c r="A627" s="64">
        <f>Calc!$FB$629</f>
        <v/>
      </c>
      <c r="B627" s="64">
        <f>Calc!$FC$629</f>
        <v/>
      </c>
      <c r="C627" s="65">
        <f>Calc!$FD$629</f>
        <v/>
      </c>
      <c r="D627" s="65">
        <f>Calc!$FE$629</f>
        <v/>
      </c>
      <c r="E627" s="65">
        <f>Calc!$FF$629</f>
        <v/>
      </c>
      <c r="F627" s="65">
        <f>Calc!$FG$629</f>
        <v/>
      </c>
      <c r="G627" s="65">
        <f>Calc!$FH$629</f>
        <v/>
      </c>
      <c r="H627" s="65">
        <f>Calc!$FI$629</f>
        <v/>
      </c>
      <c r="I627" s="65">
        <f>Calc!$FJ$629</f>
        <v/>
      </c>
      <c r="J627" s="65">
        <f>Calc!$FK$629</f>
        <v/>
      </c>
      <c r="K627" s="65">
        <f>Calc!$FL$629</f>
        <v/>
      </c>
      <c r="L627" s="65">
        <f>Calc!$FM$629</f>
        <v/>
      </c>
      <c r="M627" s="66">
        <f>Calc!$FN$629</f>
        <v/>
      </c>
      <c r="N627" s="66">
        <f>Calc!$FO$629</f>
        <v/>
      </c>
      <c r="O627" s="65">
        <f>Calc!$FP$629</f>
        <v/>
      </c>
      <c r="P627" s="67">
        <f>Calc!$FQ$629</f>
        <v/>
      </c>
      <c r="Q627" s="68">
        <f>Calc!$FR$629</f>
        <v/>
      </c>
      <c r="R627" s="65">
        <f>Calc!$FS$629</f>
        <v/>
      </c>
      <c r="T627">
        <f>Calc!$EY$629</f>
        <v/>
      </c>
      <c r="U627">
        <f>Calc!$FT$629</f>
        <v/>
      </c>
      <c r="V627">
        <f>Calc!$FU$629</f>
        <v/>
      </c>
      <c r="W627">
        <f>Calc!$FC$629</f>
        <v/>
      </c>
      <c r="X627">
        <f>Calc!$EZ$629</f>
        <v/>
      </c>
      <c r="Y627">
        <f>Calc!$FA$629</f>
        <v/>
      </c>
      <c r="Z627">
        <f>Calc!$FV$629</f>
        <v/>
      </c>
      <c r="AA627">
        <f>IF($T627&lt;&gt;"row",0,IF($V627=1,IF($X627=1,IF($Y627=1,1,2),IF($Y627=1,3,4)),IF($X627=1,IF($Y627=1,5,6),IF($Y627=1,7,8))))</f>
        <v/>
      </c>
    </row>
    <row r="628" ht="11.25" customHeight="1">
      <c r="A628" s="64">
        <f>Calc!$FB$630</f>
        <v/>
      </c>
      <c r="B628" s="64">
        <f>Calc!$FC$630</f>
        <v/>
      </c>
      <c r="C628" s="65">
        <f>Calc!$FD$630</f>
        <v/>
      </c>
      <c r="D628" s="65">
        <f>Calc!$FE$630</f>
        <v/>
      </c>
      <c r="E628" s="65">
        <f>Calc!$FF$630</f>
        <v/>
      </c>
      <c r="F628" s="65">
        <f>Calc!$FG$630</f>
        <v/>
      </c>
      <c r="G628" s="65">
        <f>Calc!$FH$630</f>
        <v/>
      </c>
      <c r="H628" s="65">
        <f>Calc!$FI$630</f>
        <v/>
      </c>
      <c r="I628" s="65">
        <f>Calc!$FJ$630</f>
        <v/>
      </c>
      <c r="J628" s="65">
        <f>Calc!$FK$630</f>
        <v/>
      </c>
      <c r="K628" s="65">
        <f>Calc!$FL$630</f>
        <v/>
      </c>
      <c r="L628" s="65">
        <f>Calc!$FM$630</f>
        <v/>
      </c>
      <c r="M628" s="66">
        <f>Calc!$FN$630</f>
        <v/>
      </c>
      <c r="N628" s="66">
        <f>Calc!$FO$630</f>
        <v/>
      </c>
      <c r="O628" s="65">
        <f>Calc!$FP$630</f>
        <v/>
      </c>
      <c r="P628" s="67">
        <f>Calc!$FQ$630</f>
        <v/>
      </c>
      <c r="Q628" s="68">
        <f>Calc!$FR$630</f>
        <v/>
      </c>
      <c r="R628" s="65">
        <f>Calc!$FS$630</f>
        <v/>
      </c>
      <c r="T628">
        <f>Calc!$EY$630</f>
        <v/>
      </c>
      <c r="U628">
        <f>Calc!$FT$630</f>
        <v/>
      </c>
      <c r="V628">
        <f>Calc!$FU$630</f>
        <v/>
      </c>
      <c r="W628">
        <f>Calc!$FC$630</f>
        <v/>
      </c>
      <c r="X628">
        <f>Calc!$EZ$630</f>
        <v/>
      </c>
      <c r="Y628">
        <f>Calc!$FA$630</f>
        <v/>
      </c>
      <c r="Z628">
        <f>Calc!$FV$630</f>
        <v/>
      </c>
      <c r="AA628">
        <f>IF($T628&lt;&gt;"row",0,IF($V628=1,IF($X628=1,IF($Y628=1,1,2),IF($Y628=1,3,4)),IF($X628=1,IF($Y628=1,5,6),IF($Y628=1,7,8))))</f>
        <v/>
      </c>
    </row>
    <row r="629" ht="11.25" customHeight="1">
      <c r="A629" s="64">
        <f>Calc!$FB$631</f>
        <v/>
      </c>
      <c r="B629" s="64">
        <f>Calc!$FC$631</f>
        <v/>
      </c>
      <c r="C629" s="65">
        <f>Calc!$FD$631</f>
        <v/>
      </c>
      <c r="D629" s="65">
        <f>Calc!$FE$631</f>
        <v/>
      </c>
      <c r="E629" s="65">
        <f>Calc!$FF$631</f>
        <v/>
      </c>
      <c r="F629" s="65">
        <f>Calc!$FG$631</f>
        <v/>
      </c>
      <c r="G629" s="65">
        <f>Calc!$FH$631</f>
        <v/>
      </c>
      <c r="H629" s="65">
        <f>Calc!$FI$631</f>
        <v/>
      </c>
      <c r="I629" s="65">
        <f>Calc!$FJ$631</f>
        <v/>
      </c>
      <c r="J629" s="65">
        <f>Calc!$FK$631</f>
        <v/>
      </c>
      <c r="K629" s="65">
        <f>Calc!$FL$631</f>
        <v/>
      </c>
      <c r="L629" s="65">
        <f>Calc!$FM$631</f>
        <v/>
      </c>
      <c r="M629" s="66">
        <f>Calc!$FN$631</f>
        <v/>
      </c>
      <c r="N629" s="66">
        <f>Calc!$FO$631</f>
        <v/>
      </c>
      <c r="O629" s="65">
        <f>Calc!$FP$631</f>
        <v/>
      </c>
      <c r="P629" s="67">
        <f>Calc!$FQ$631</f>
        <v/>
      </c>
      <c r="Q629" s="68">
        <f>Calc!$FR$631</f>
        <v/>
      </c>
      <c r="R629" s="65">
        <f>Calc!$FS$631</f>
        <v/>
      </c>
      <c r="T629">
        <f>Calc!$EY$631</f>
        <v/>
      </c>
      <c r="U629">
        <f>Calc!$FT$631</f>
        <v/>
      </c>
      <c r="V629">
        <f>Calc!$FU$631</f>
        <v/>
      </c>
      <c r="W629">
        <f>Calc!$FC$631</f>
        <v/>
      </c>
      <c r="X629">
        <f>Calc!$EZ$631</f>
        <v/>
      </c>
      <c r="Y629">
        <f>Calc!$FA$631</f>
        <v/>
      </c>
      <c r="Z629">
        <f>Calc!$FV$631</f>
        <v/>
      </c>
      <c r="AA629">
        <f>IF($T629&lt;&gt;"row",0,IF($V629=1,IF($X629=1,IF($Y629=1,1,2),IF($Y629=1,3,4)),IF($X629=1,IF($Y629=1,5,6),IF($Y629=1,7,8))))</f>
        <v/>
      </c>
    </row>
    <row r="630" ht="11.25" customHeight="1">
      <c r="A630" s="64">
        <f>Calc!$FB$632</f>
        <v/>
      </c>
      <c r="B630" s="64">
        <f>Calc!$FC$632</f>
        <v/>
      </c>
      <c r="C630" s="65">
        <f>Calc!$FD$632</f>
        <v/>
      </c>
      <c r="D630" s="65">
        <f>Calc!$FE$632</f>
        <v/>
      </c>
      <c r="E630" s="65">
        <f>Calc!$FF$632</f>
        <v/>
      </c>
      <c r="F630" s="65">
        <f>Calc!$FG$632</f>
        <v/>
      </c>
      <c r="G630" s="65">
        <f>Calc!$FH$632</f>
        <v/>
      </c>
      <c r="H630" s="65">
        <f>Calc!$FI$632</f>
        <v/>
      </c>
      <c r="I630" s="65">
        <f>Calc!$FJ$632</f>
        <v/>
      </c>
      <c r="J630" s="65">
        <f>Calc!$FK$632</f>
        <v/>
      </c>
      <c r="K630" s="65">
        <f>Calc!$FL$632</f>
        <v/>
      </c>
      <c r="L630" s="65">
        <f>Calc!$FM$632</f>
        <v/>
      </c>
      <c r="M630" s="66">
        <f>Calc!$FN$632</f>
        <v/>
      </c>
      <c r="N630" s="66">
        <f>Calc!$FO$632</f>
        <v/>
      </c>
      <c r="O630" s="65">
        <f>Calc!$FP$632</f>
        <v/>
      </c>
      <c r="P630" s="67">
        <f>Calc!$FQ$632</f>
        <v/>
      </c>
      <c r="Q630" s="68">
        <f>Calc!$FR$632</f>
        <v/>
      </c>
      <c r="R630" s="65">
        <f>Calc!$FS$632</f>
        <v/>
      </c>
      <c r="T630">
        <f>Calc!$EY$632</f>
        <v/>
      </c>
      <c r="U630">
        <f>Calc!$FT$632</f>
        <v/>
      </c>
      <c r="V630">
        <f>Calc!$FU$632</f>
        <v/>
      </c>
      <c r="W630">
        <f>Calc!$FC$632</f>
        <v/>
      </c>
      <c r="X630">
        <f>Calc!$EZ$632</f>
        <v/>
      </c>
      <c r="Y630">
        <f>Calc!$FA$632</f>
        <v/>
      </c>
      <c r="Z630">
        <f>Calc!$FV$632</f>
        <v/>
      </c>
      <c r="AA630">
        <f>IF($T630&lt;&gt;"row",0,IF($V630=1,IF($X630=1,IF($Y630=1,1,2),IF($Y630=1,3,4)),IF($X630=1,IF($Y630=1,5,6),IF($Y630=1,7,8))))</f>
        <v/>
      </c>
    </row>
    <row r="631" ht="11.25" customHeight="1">
      <c r="A631" s="64">
        <f>Calc!$FB$633</f>
        <v/>
      </c>
      <c r="B631" s="64">
        <f>Calc!$FC$633</f>
        <v/>
      </c>
      <c r="C631" s="65">
        <f>Calc!$FD$633</f>
        <v/>
      </c>
      <c r="D631" s="65">
        <f>Calc!$FE$633</f>
        <v/>
      </c>
      <c r="E631" s="65">
        <f>Calc!$FF$633</f>
        <v/>
      </c>
      <c r="F631" s="65">
        <f>Calc!$FG$633</f>
        <v/>
      </c>
      <c r="G631" s="65">
        <f>Calc!$FH$633</f>
        <v/>
      </c>
      <c r="H631" s="65">
        <f>Calc!$FI$633</f>
        <v/>
      </c>
      <c r="I631" s="65">
        <f>Calc!$FJ$633</f>
        <v/>
      </c>
      <c r="J631" s="65">
        <f>Calc!$FK$633</f>
        <v/>
      </c>
      <c r="K631" s="65">
        <f>Calc!$FL$633</f>
        <v/>
      </c>
      <c r="L631" s="65">
        <f>Calc!$FM$633</f>
        <v/>
      </c>
      <c r="M631" s="66">
        <f>Calc!$FN$633</f>
        <v/>
      </c>
      <c r="N631" s="66">
        <f>Calc!$FO$633</f>
        <v/>
      </c>
      <c r="O631" s="65">
        <f>Calc!$FP$633</f>
        <v/>
      </c>
      <c r="P631" s="67">
        <f>Calc!$FQ$633</f>
        <v/>
      </c>
      <c r="Q631" s="68">
        <f>Calc!$FR$633</f>
        <v/>
      </c>
      <c r="R631" s="65">
        <f>Calc!$FS$633</f>
        <v/>
      </c>
      <c r="T631">
        <f>Calc!$EY$633</f>
        <v/>
      </c>
      <c r="U631">
        <f>Calc!$FT$633</f>
        <v/>
      </c>
      <c r="V631">
        <f>Calc!$FU$633</f>
        <v/>
      </c>
      <c r="W631">
        <f>Calc!$FC$633</f>
        <v/>
      </c>
      <c r="X631">
        <f>Calc!$EZ$633</f>
        <v/>
      </c>
      <c r="Y631">
        <f>Calc!$FA$633</f>
        <v/>
      </c>
      <c r="Z631">
        <f>Calc!$FV$633</f>
        <v/>
      </c>
      <c r="AA631">
        <f>IF($T631&lt;&gt;"row",0,IF($V631=1,IF($X631=1,IF($Y631=1,1,2),IF($Y631=1,3,4)),IF($X631=1,IF($Y631=1,5,6),IF($Y631=1,7,8))))</f>
        <v/>
      </c>
    </row>
    <row r="632" ht="11.25" customHeight="1">
      <c r="A632" s="64">
        <f>Calc!$FB$634</f>
        <v/>
      </c>
      <c r="B632" s="64">
        <f>Calc!$FC$634</f>
        <v/>
      </c>
      <c r="C632" s="65">
        <f>Calc!$FD$634</f>
        <v/>
      </c>
      <c r="D632" s="65">
        <f>Calc!$FE$634</f>
        <v/>
      </c>
      <c r="E632" s="65">
        <f>Calc!$FF$634</f>
        <v/>
      </c>
      <c r="F632" s="65">
        <f>Calc!$FG$634</f>
        <v/>
      </c>
      <c r="G632" s="65">
        <f>Calc!$FH$634</f>
        <v/>
      </c>
      <c r="H632" s="65">
        <f>Calc!$FI$634</f>
        <v/>
      </c>
      <c r="I632" s="65">
        <f>Calc!$FJ$634</f>
        <v/>
      </c>
      <c r="J632" s="65">
        <f>Calc!$FK$634</f>
        <v/>
      </c>
      <c r="K632" s="65">
        <f>Calc!$FL$634</f>
        <v/>
      </c>
      <c r="L632" s="65">
        <f>Calc!$FM$634</f>
        <v/>
      </c>
      <c r="M632" s="66">
        <f>Calc!$FN$634</f>
        <v/>
      </c>
      <c r="N632" s="66">
        <f>Calc!$FO$634</f>
        <v/>
      </c>
      <c r="O632" s="65">
        <f>Calc!$FP$634</f>
        <v/>
      </c>
      <c r="P632" s="67">
        <f>Calc!$FQ$634</f>
        <v/>
      </c>
      <c r="Q632" s="68">
        <f>Calc!$FR$634</f>
        <v/>
      </c>
      <c r="R632" s="65">
        <f>Calc!$FS$634</f>
        <v/>
      </c>
      <c r="T632">
        <f>Calc!$EY$634</f>
        <v/>
      </c>
      <c r="U632">
        <f>Calc!$FT$634</f>
        <v/>
      </c>
      <c r="V632">
        <f>Calc!$FU$634</f>
        <v/>
      </c>
      <c r="W632">
        <f>Calc!$FC$634</f>
        <v/>
      </c>
      <c r="X632">
        <f>Calc!$EZ$634</f>
        <v/>
      </c>
      <c r="Y632">
        <f>Calc!$FA$634</f>
        <v/>
      </c>
      <c r="Z632">
        <f>Calc!$FV$634</f>
        <v/>
      </c>
      <c r="AA632">
        <f>IF($T632&lt;&gt;"row",0,IF($V632=1,IF($X632=1,IF($Y632=1,1,2),IF($Y632=1,3,4)),IF($X632=1,IF($Y632=1,5,6),IF($Y632=1,7,8))))</f>
        <v/>
      </c>
    </row>
    <row r="633" ht="11.25" customHeight="1">
      <c r="A633" s="64">
        <f>Calc!$FB$635</f>
        <v/>
      </c>
      <c r="B633" s="64">
        <f>Calc!$FC$635</f>
        <v/>
      </c>
      <c r="C633" s="65">
        <f>Calc!$FD$635</f>
        <v/>
      </c>
      <c r="D633" s="65">
        <f>Calc!$FE$635</f>
        <v/>
      </c>
      <c r="E633" s="65">
        <f>Calc!$FF$635</f>
        <v/>
      </c>
      <c r="F633" s="65">
        <f>Calc!$FG$635</f>
        <v/>
      </c>
      <c r="G633" s="65">
        <f>Calc!$FH$635</f>
        <v/>
      </c>
      <c r="H633" s="65">
        <f>Calc!$FI$635</f>
        <v/>
      </c>
      <c r="I633" s="65">
        <f>Calc!$FJ$635</f>
        <v/>
      </c>
      <c r="J633" s="65">
        <f>Calc!$FK$635</f>
        <v/>
      </c>
      <c r="K633" s="65">
        <f>Calc!$FL$635</f>
        <v/>
      </c>
      <c r="L633" s="65">
        <f>Calc!$FM$635</f>
        <v/>
      </c>
      <c r="M633" s="66">
        <f>Calc!$FN$635</f>
        <v/>
      </c>
      <c r="N633" s="66">
        <f>Calc!$FO$635</f>
        <v/>
      </c>
      <c r="O633" s="65">
        <f>Calc!$FP$635</f>
        <v/>
      </c>
      <c r="P633" s="67">
        <f>Calc!$FQ$635</f>
        <v/>
      </c>
      <c r="Q633" s="68">
        <f>Calc!$FR$635</f>
        <v/>
      </c>
      <c r="R633" s="65">
        <f>Calc!$FS$635</f>
        <v/>
      </c>
      <c r="T633">
        <f>Calc!$EY$635</f>
        <v/>
      </c>
      <c r="U633">
        <f>Calc!$FT$635</f>
        <v/>
      </c>
      <c r="V633">
        <f>Calc!$FU$635</f>
        <v/>
      </c>
      <c r="W633">
        <f>Calc!$FC$635</f>
        <v/>
      </c>
      <c r="X633">
        <f>Calc!$EZ$635</f>
        <v/>
      </c>
      <c r="Y633">
        <f>Calc!$FA$635</f>
        <v/>
      </c>
      <c r="Z633">
        <f>Calc!$FV$635</f>
        <v/>
      </c>
      <c r="AA633">
        <f>IF($T633&lt;&gt;"row",0,IF($V633=1,IF($X633=1,IF($Y633=1,1,2),IF($Y633=1,3,4)),IF($X633=1,IF($Y633=1,5,6),IF($Y633=1,7,8))))</f>
        <v/>
      </c>
    </row>
    <row r="634" ht="11.25" customHeight="1">
      <c r="A634" s="64">
        <f>Calc!$FB$636</f>
        <v/>
      </c>
      <c r="B634" s="64">
        <f>Calc!$FC$636</f>
        <v/>
      </c>
      <c r="C634" s="65">
        <f>Calc!$FD$636</f>
        <v/>
      </c>
      <c r="D634" s="65">
        <f>Calc!$FE$636</f>
        <v/>
      </c>
      <c r="E634" s="65">
        <f>Calc!$FF$636</f>
        <v/>
      </c>
      <c r="F634" s="65">
        <f>Calc!$FG$636</f>
        <v/>
      </c>
      <c r="G634" s="65">
        <f>Calc!$FH$636</f>
        <v/>
      </c>
      <c r="H634" s="65">
        <f>Calc!$FI$636</f>
        <v/>
      </c>
      <c r="I634" s="65">
        <f>Calc!$FJ$636</f>
        <v/>
      </c>
      <c r="J634" s="65">
        <f>Calc!$FK$636</f>
        <v/>
      </c>
      <c r="K634" s="65">
        <f>Calc!$FL$636</f>
        <v/>
      </c>
      <c r="L634" s="65">
        <f>Calc!$FM$636</f>
        <v/>
      </c>
      <c r="M634" s="66">
        <f>Calc!$FN$636</f>
        <v/>
      </c>
      <c r="N634" s="66">
        <f>Calc!$FO$636</f>
        <v/>
      </c>
      <c r="O634" s="65">
        <f>Calc!$FP$636</f>
        <v/>
      </c>
      <c r="P634" s="67">
        <f>Calc!$FQ$636</f>
        <v/>
      </c>
      <c r="Q634" s="68">
        <f>Calc!$FR$636</f>
        <v/>
      </c>
      <c r="R634" s="65">
        <f>Calc!$FS$636</f>
        <v/>
      </c>
      <c r="T634">
        <f>Calc!$EY$636</f>
        <v/>
      </c>
      <c r="U634">
        <f>Calc!$FT$636</f>
        <v/>
      </c>
      <c r="V634">
        <f>Calc!$FU$636</f>
        <v/>
      </c>
      <c r="W634">
        <f>Calc!$FC$636</f>
        <v/>
      </c>
      <c r="X634">
        <f>Calc!$EZ$636</f>
        <v/>
      </c>
      <c r="Y634">
        <f>Calc!$FA$636</f>
        <v/>
      </c>
      <c r="Z634">
        <f>Calc!$FV$636</f>
        <v/>
      </c>
      <c r="AA634">
        <f>IF($T634&lt;&gt;"row",0,IF($V634=1,IF($X634=1,IF($Y634=1,1,2),IF($Y634=1,3,4)),IF($X634=1,IF($Y634=1,5,6),IF($Y634=1,7,8))))</f>
        <v/>
      </c>
    </row>
    <row r="635" ht="11.25" customHeight="1">
      <c r="A635" s="64">
        <f>Calc!$FB$637</f>
        <v/>
      </c>
      <c r="B635" s="64">
        <f>Calc!$FC$637</f>
        <v/>
      </c>
      <c r="C635" s="65">
        <f>Calc!$FD$637</f>
        <v/>
      </c>
      <c r="D635" s="65">
        <f>Calc!$FE$637</f>
        <v/>
      </c>
      <c r="E635" s="65">
        <f>Calc!$FF$637</f>
        <v/>
      </c>
      <c r="F635" s="65">
        <f>Calc!$FG$637</f>
        <v/>
      </c>
      <c r="G635" s="65">
        <f>Calc!$FH$637</f>
        <v/>
      </c>
      <c r="H635" s="65">
        <f>Calc!$FI$637</f>
        <v/>
      </c>
      <c r="I635" s="65">
        <f>Calc!$FJ$637</f>
        <v/>
      </c>
      <c r="J635" s="65">
        <f>Calc!$FK$637</f>
        <v/>
      </c>
      <c r="K635" s="65">
        <f>Calc!$FL$637</f>
        <v/>
      </c>
      <c r="L635" s="65">
        <f>Calc!$FM$637</f>
        <v/>
      </c>
      <c r="M635" s="66">
        <f>Calc!$FN$637</f>
        <v/>
      </c>
      <c r="N635" s="66">
        <f>Calc!$FO$637</f>
        <v/>
      </c>
      <c r="O635" s="65">
        <f>Calc!$FP$637</f>
        <v/>
      </c>
      <c r="P635" s="67">
        <f>Calc!$FQ$637</f>
        <v/>
      </c>
      <c r="Q635" s="68">
        <f>Calc!$FR$637</f>
        <v/>
      </c>
      <c r="R635" s="65">
        <f>Calc!$FS$637</f>
        <v/>
      </c>
      <c r="T635">
        <f>Calc!$EY$637</f>
        <v/>
      </c>
      <c r="U635">
        <f>Calc!$FT$637</f>
        <v/>
      </c>
      <c r="V635">
        <f>Calc!$FU$637</f>
        <v/>
      </c>
      <c r="W635">
        <f>Calc!$FC$637</f>
        <v/>
      </c>
      <c r="X635">
        <f>Calc!$EZ$637</f>
        <v/>
      </c>
      <c r="Y635">
        <f>Calc!$FA$637</f>
        <v/>
      </c>
      <c r="Z635">
        <f>Calc!$FV$637</f>
        <v/>
      </c>
      <c r="AA635">
        <f>IF($T635&lt;&gt;"row",0,IF($V635=1,IF($X635=1,IF($Y635=1,1,2),IF($Y635=1,3,4)),IF($X635=1,IF($Y635=1,5,6),IF($Y635=1,7,8))))</f>
        <v/>
      </c>
    </row>
    <row r="636" ht="11.25" customHeight="1">
      <c r="A636" s="64">
        <f>Calc!$FB$638</f>
        <v/>
      </c>
      <c r="B636" s="64">
        <f>Calc!$FC$638</f>
        <v/>
      </c>
      <c r="C636" s="65">
        <f>Calc!$FD$638</f>
        <v/>
      </c>
      <c r="D636" s="65">
        <f>Calc!$FE$638</f>
        <v/>
      </c>
      <c r="E636" s="65">
        <f>Calc!$FF$638</f>
        <v/>
      </c>
      <c r="F636" s="65">
        <f>Calc!$FG$638</f>
        <v/>
      </c>
      <c r="G636" s="65">
        <f>Calc!$FH$638</f>
        <v/>
      </c>
      <c r="H636" s="65">
        <f>Calc!$FI$638</f>
        <v/>
      </c>
      <c r="I636" s="65">
        <f>Calc!$FJ$638</f>
        <v/>
      </c>
      <c r="J636" s="65">
        <f>Calc!$FK$638</f>
        <v/>
      </c>
      <c r="K636" s="65">
        <f>Calc!$FL$638</f>
        <v/>
      </c>
      <c r="L636" s="65">
        <f>Calc!$FM$638</f>
        <v/>
      </c>
      <c r="M636" s="66">
        <f>Calc!$FN$638</f>
        <v/>
      </c>
      <c r="N636" s="66">
        <f>Calc!$FO$638</f>
        <v/>
      </c>
      <c r="O636" s="65">
        <f>Calc!$FP$638</f>
        <v/>
      </c>
      <c r="P636" s="67">
        <f>Calc!$FQ$638</f>
        <v/>
      </c>
      <c r="Q636" s="68">
        <f>Calc!$FR$638</f>
        <v/>
      </c>
      <c r="R636" s="65">
        <f>Calc!$FS$638</f>
        <v/>
      </c>
      <c r="T636">
        <f>Calc!$EY$638</f>
        <v/>
      </c>
      <c r="U636">
        <f>Calc!$FT$638</f>
        <v/>
      </c>
      <c r="V636">
        <f>Calc!$FU$638</f>
        <v/>
      </c>
      <c r="W636">
        <f>Calc!$FC$638</f>
        <v/>
      </c>
      <c r="X636">
        <f>Calc!$EZ$638</f>
        <v/>
      </c>
      <c r="Y636">
        <f>Calc!$FA$638</f>
        <v/>
      </c>
      <c r="Z636">
        <f>Calc!$FV$638</f>
        <v/>
      </c>
      <c r="AA636">
        <f>IF($T636&lt;&gt;"row",0,IF($V636=1,IF($X636=1,IF($Y636=1,1,2),IF($Y636=1,3,4)),IF($X636=1,IF($Y636=1,5,6),IF($Y636=1,7,8))))</f>
        <v/>
      </c>
    </row>
    <row r="637" ht="11.25" customHeight="1">
      <c r="A637" s="64">
        <f>Calc!$FB$639</f>
        <v/>
      </c>
      <c r="B637" s="64">
        <f>Calc!$FC$639</f>
        <v/>
      </c>
      <c r="C637" s="65">
        <f>Calc!$FD$639</f>
        <v/>
      </c>
      <c r="D637" s="65">
        <f>Calc!$FE$639</f>
        <v/>
      </c>
      <c r="E637" s="65">
        <f>Calc!$FF$639</f>
        <v/>
      </c>
      <c r="F637" s="65">
        <f>Calc!$FG$639</f>
        <v/>
      </c>
      <c r="G637" s="65">
        <f>Calc!$FH$639</f>
        <v/>
      </c>
      <c r="H637" s="65">
        <f>Calc!$FI$639</f>
        <v/>
      </c>
      <c r="I637" s="65">
        <f>Calc!$FJ$639</f>
        <v/>
      </c>
      <c r="J637" s="65">
        <f>Calc!$FK$639</f>
        <v/>
      </c>
      <c r="K637" s="65">
        <f>Calc!$FL$639</f>
        <v/>
      </c>
      <c r="L637" s="65">
        <f>Calc!$FM$639</f>
        <v/>
      </c>
      <c r="M637" s="66">
        <f>Calc!$FN$639</f>
        <v/>
      </c>
      <c r="N637" s="66">
        <f>Calc!$FO$639</f>
        <v/>
      </c>
      <c r="O637" s="65">
        <f>Calc!$FP$639</f>
        <v/>
      </c>
      <c r="P637" s="67">
        <f>Calc!$FQ$639</f>
        <v/>
      </c>
      <c r="Q637" s="68">
        <f>Calc!$FR$639</f>
        <v/>
      </c>
      <c r="R637" s="65">
        <f>Calc!$FS$639</f>
        <v/>
      </c>
      <c r="T637">
        <f>Calc!$EY$639</f>
        <v/>
      </c>
      <c r="U637">
        <f>Calc!$FT$639</f>
        <v/>
      </c>
      <c r="V637">
        <f>Calc!$FU$639</f>
        <v/>
      </c>
      <c r="W637">
        <f>Calc!$FC$639</f>
        <v/>
      </c>
      <c r="X637">
        <f>Calc!$EZ$639</f>
        <v/>
      </c>
      <c r="Y637">
        <f>Calc!$FA$639</f>
        <v/>
      </c>
      <c r="Z637">
        <f>Calc!$FV$639</f>
        <v/>
      </c>
      <c r="AA637">
        <f>IF($T637&lt;&gt;"row",0,IF($V637=1,IF($X637=1,IF($Y637=1,1,2),IF($Y637=1,3,4)),IF($X637=1,IF($Y637=1,5,6),IF($Y637=1,7,8))))</f>
        <v/>
      </c>
    </row>
    <row r="638" ht="11.25" customHeight="1">
      <c r="A638" s="64">
        <f>Calc!$FB$640</f>
        <v/>
      </c>
      <c r="B638" s="64">
        <f>Calc!$FC$640</f>
        <v/>
      </c>
      <c r="C638" s="65">
        <f>Calc!$FD$640</f>
        <v/>
      </c>
      <c r="D638" s="65">
        <f>Calc!$FE$640</f>
        <v/>
      </c>
      <c r="E638" s="65">
        <f>Calc!$FF$640</f>
        <v/>
      </c>
      <c r="F638" s="65">
        <f>Calc!$FG$640</f>
        <v/>
      </c>
      <c r="G638" s="65">
        <f>Calc!$FH$640</f>
        <v/>
      </c>
      <c r="H638" s="65">
        <f>Calc!$FI$640</f>
        <v/>
      </c>
      <c r="I638" s="65">
        <f>Calc!$FJ$640</f>
        <v/>
      </c>
      <c r="J638" s="65">
        <f>Calc!$FK$640</f>
        <v/>
      </c>
      <c r="K638" s="65">
        <f>Calc!$FL$640</f>
        <v/>
      </c>
      <c r="L638" s="65">
        <f>Calc!$FM$640</f>
        <v/>
      </c>
      <c r="M638" s="66">
        <f>Calc!$FN$640</f>
        <v/>
      </c>
      <c r="N638" s="66">
        <f>Calc!$FO$640</f>
        <v/>
      </c>
      <c r="O638" s="65">
        <f>Calc!$FP$640</f>
        <v/>
      </c>
      <c r="P638" s="67">
        <f>Calc!$FQ$640</f>
        <v/>
      </c>
      <c r="Q638" s="68">
        <f>Calc!$FR$640</f>
        <v/>
      </c>
      <c r="R638" s="65">
        <f>Calc!$FS$640</f>
        <v/>
      </c>
      <c r="T638">
        <f>Calc!$EY$640</f>
        <v/>
      </c>
      <c r="U638">
        <f>Calc!$FT$640</f>
        <v/>
      </c>
      <c r="V638">
        <f>Calc!$FU$640</f>
        <v/>
      </c>
      <c r="W638">
        <f>Calc!$FC$640</f>
        <v/>
      </c>
      <c r="X638">
        <f>Calc!$EZ$640</f>
        <v/>
      </c>
      <c r="Y638">
        <f>Calc!$FA$640</f>
        <v/>
      </c>
      <c r="Z638">
        <f>Calc!$FV$640</f>
        <v/>
      </c>
      <c r="AA638">
        <f>IF($T638&lt;&gt;"row",0,IF($V638=1,IF($X638=1,IF($Y638=1,1,2),IF($Y638=1,3,4)),IF($X638=1,IF($Y638=1,5,6),IF($Y638=1,7,8))))</f>
        <v/>
      </c>
    </row>
    <row r="639" ht="11.25" customHeight="1">
      <c r="A639" s="64">
        <f>Calc!$FB$641</f>
        <v/>
      </c>
      <c r="B639" s="64">
        <f>Calc!$FC$641</f>
        <v/>
      </c>
      <c r="C639" s="65">
        <f>Calc!$FD$641</f>
        <v/>
      </c>
      <c r="D639" s="65">
        <f>Calc!$FE$641</f>
        <v/>
      </c>
      <c r="E639" s="65">
        <f>Calc!$FF$641</f>
        <v/>
      </c>
      <c r="F639" s="65">
        <f>Calc!$FG$641</f>
        <v/>
      </c>
      <c r="G639" s="65">
        <f>Calc!$FH$641</f>
        <v/>
      </c>
      <c r="H639" s="65">
        <f>Calc!$FI$641</f>
        <v/>
      </c>
      <c r="I639" s="65">
        <f>Calc!$FJ$641</f>
        <v/>
      </c>
      <c r="J639" s="65">
        <f>Calc!$FK$641</f>
        <v/>
      </c>
      <c r="K639" s="65">
        <f>Calc!$FL$641</f>
        <v/>
      </c>
      <c r="L639" s="65">
        <f>Calc!$FM$641</f>
        <v/>
      </c>
      <c r="M639" s="66">
        <f>Calc!$FN$641</f>
        <v/>
      </c>
      <c r="N639" s="66">
        <f>Calc!$FO$641</f>
        <v/>
      </c>
      <c r="O639" s="65">
        <f>Calc!$FP$641</f>
        <v/>
      </c>
      <c r="P639" s="67">
        <f>Calc!$FQ$641</f>
        <v/>
      </c>
      <c r="Q639" s="68">
        <f>Calc!$FR$641</f>
        <v/>
      </c>
      <c r="R639" s="65">
        <f>Calc!$FS$641</f>
        <v/>
      </c>
      <c r="T639">
        <f>Calc!$EY$641</f>
        <v/>
      </c>
      <c r="U639">
        <f>Calc!$FT$641</f>
        <v/>
      </c>
      <c r="V639">
        <f>Calc!$FU$641</f>
        <v/>
      </c>
      <c r="W639">
        <f>Calc!$FC$641</f>
        <v/>
      </c>
      <c r="X639">
        <f>Calc!$EZ$641</f>
        <v/>
      </c>
      <c r="Y639">
        <f>Calc!$FA$641</f>
        <v/>
      </c>
      <c r="Z639">
        <f>Calc!$FV$641</f>
        <v/>
      </c>
      <c r="AA639">
        <f>IF($T639&lt;&gt;"row",0,IF($V639=1,IF($X639=1,IF($Y639=1,1,2),IF($Y639=1,3,4)),IF($X639=1,IF($Y639=1,5,6),IF($Y639=1,7,8))))</f>
        <v/>
      </c>
    </row>
    <row r="640" ht="11.25" customHeight="1">
      <c r="A640" s="64">
        <f>Calc!$FB$642</f>
        <v/>
      </c>
      <c r="B640" s="64">
        <f>Calc!$FC$642</f>
        <v/>
      </c>
      <c r="C640" s="65">
        <f>Calc!$FD$642</f>
        <v/>
      </c>
      <c r="D640" s="65">
        <f>Calc!$FE$642</f>
        <v/>
      </c>
      <c r="E640" s="65">
        <f>Calc!$FF$642</f>
        <v/>
      </c>
      <c r="F640" s="65">
        <f>Calc!$FG$642</f>
        <v/>
      </c>
      <c r="G640" s="65">
        <f>Calc!$FH$642</f>
        <v/>
      </c>
      <c r="H640" s="65">
        <f>Calc!$FI$642</f>
        <v/>
      </c>
      <c r="I640" s="65">
        <f>Calc!$FJ$642</f>
        <v/>
      </c>
      <c r="J640" s="65">
        <f>Calc!$FK$642</f>
        <v/>
      </c>
      <c r="K640" s="65">
        <f>Calc!$FL$642</f>
        <v/>
      </c>
      <c r="L640" s="65">
        <f>Calc!$FM$642</f>
        <v/>
      </c>
      <c r="M640" s="66">
        <f>Calc!$FN$642</f>
        <v/>
      </c>
      <c r="N640" s="66">
        <f>Calc!$FO$642</f>
        <v/>
      </c>
      <c r="O640" s="65">
        <f>Calc!$FP$642</f>
        <v/>
      </c>
      <c r="P640" s="67">
        <f>Calc!$FQ$642</f>
        <v/>
      </c>
      <c r="Q640" s="68">
        <f>Calc!$FR$642</f>
        <v/>
      </c>
      <c r="R640" s="65">
        <f>Calc!$FS$642</f>
        <v/>
      </c>
      <c r="T640">
        <f>Calc!$EY$642</f>
        <v/>
      </c>
      <c r="U640">
        <f>Calc!$FT$642</f>
        <v/>
      </c>
      <c r="V640">
        <f>Calc!$FU$642</f>
        <v/>
      </c>
      <c r="W640">
        <f>Calc!$FC$642</f>
        <v/>
      </c>
      <c r="X640">
        <f>Calc!$EZ$642</f>
        <v/>
      </c>
      <c r="Y640">
        <f>Calc!$FA$642</f>
        <v/>
      </c>
      <c r="Z640">
        <f>Calc!$FV$642</f>
        <v/>
      </c>
      <c r="AA640">
        <f>IF($T640&lt;&gt;"row",0,IF($V640=1,IF($X640=1,IF($Y640=1,1,2),IF($Y640=1,3,4)),IF($X640=1,IF($Y640=1,5,6),IF($Y640=1,7,8))))</f>
        <v/>
      </c>
    </row>
    <row r="641" ht="11.25" customHeight="1">
      <c r="A641" s="64">
        <f>Calc!$FB$643</f>
        <v/>
      </c>
      <c r="B641" s="64">
        <f>Calc!$FC$643</f>
        <v/>
      </c>
      <c r="C641" s="65">
        <f>Calc!$FD$643</f>
        <v/>
      </c>
      <c r="D641" s="65">
        <f>Calc!$FE$643</f>
        <v/>
      </c>
      <c r="E641" s="65">
        <f>Calc!$FF$643</f>
        <v/>
      </c>
      <c r="F641" s="65">
        <f>Calc!$FG$643</f>
        <v/>
      </c>
      <c r="G641" s="65">
        <f>Calc!$FH$643</f>
        <v/>
      </c>
      <c r="H641" s="65">
        <f>Calc!$FI$643</f>
        <v/>
      </c>
      <c r="I641" s="65">
        <f>Calc!$FJ$643</f>
        <v/>
      </c>
      <c r="J641" s="65">
        <f>Calc!$FK$643</f>
        <v/>
      </c>
      <c r="K641" s="65">
        <f>Calc!$FL$643</f>
        <v/>
      </c>
      <c r="L641" s="65">
        <f>Calc!$FM$643</f>
        <v/>
      </c>
      <c r="M641" s="66">
        <f>Calc!$FN$643</f>
        <v/>
      </c>
      <c r="N641" s="66">
        <f>Calc!$FO$643</f>
        <v/>
      </c>
      <c r="O641" s="65">
        <f>Calc!$FP$643</f>
        <v/>
      </c>
      <c r="P641" s="67">
        <f>Calc!$FQ$643</f>
        <v/>
      </c>
      <c r="Q641" s="68">
        <f>Calc!$FR$643</f>
        <v/>
      </c>
      <c r="R641" s="65">
        <f>Calc!$FS$643</f>
        <v/>
      </c>
      <c r="T641">
        <f>Calc!$EY$643</f>
        <v/>
      </c>
      <c r="U641">
        <f>Calc!$FT$643</f>
        <v/>
      </c>
      <c r="V641">
        <f>Calc!$FU$643</f>
        <v/>
      </c>
      <c r="W641">
        <f>Calc!$FC$643</f>
        <v/>
      </c>
      <c r="X641">
        <f>Calc!$EZ$643</f>
        <v/>
      </c>
      <c r="Y641">
        <f>Calc!$FA$643</f>
        <v/>
      </c>
      <c r="Z641">
        <f>Calc!$FV$643</f>
        <v/>
      </c>
      <c r="AA641">
        <f>IF($T641&lt;&gt;"row",0,IF($V641=1,IF($X641=1,IF($Y641=1,1,2),IF($Y641=1,3,4)),IF($X641=1,IF($Y641=1,5,6),IF($Y641=1,7,8))))</f>
        <v/>
      </c>
    </row>
    <row r="642" ht="11.25" customHeight="1">
      <c r="A642" s="64">
        <f>Calc!$FB$644</f>
        <v/>
      </c>
      <c r="B642" s="64">
        <f>Calc!$FC$644</f>
        <v/>
      </c>
      <c r="C642" s="65">
        <f>Calc!$FD$644</f>
        <v/>
      </c>
      <c r="D642" s="65">
        <f>Calc!$FE$644</f>
        <v/>
      </c>
      <c r="E642" s="65">
        <f>Calc!$FF$644</f>
        <v/>
      </c>
      <c r="F642" s="65">
        <f>Calc!$FG$644</f>
        <v/>
      </c>
      <c r="G642" s="65">
        <f>Calc!$FH$644</f>
        <v/>
      </c>
      <c r="H642" s="65">
        <f>Calc!$FI$644</f>
        <v/>
      </c>
      <c r="I642" s="65">
        <f>Calc!$FJ$644</f>
        <v/>
      </c>
      <c r="J642" s="65">
        <f>Calc!$FK$644</f>
        <v/>
      </c>
      <c r="K642" s="65">
        <f>Calc!$FL$644</f>
        <v/>
      </c>
      <c r="L642" s="65">
        <f>Calc!$FM$644</f>
        <v/>
      </c>
      <c r="M642" s="66">
        <f>Calc!$FN$644</f>
        <v/>
      </c>
      <c r="N642" s="66">
        <f>Calc!$FO$644</f>
        <v/>
      </c>
      <c r="O642" s="65">
        <f>Calc!$FP$644</f>
        <v/>
      </c>
      <c r="P642" s="67">
        <f>Calc!$FQ$644</f>
        <v/>
      </c>
      <c r="Q642" s="68">
        <f>Calc!$FR$644</f>
        <v/>
      </c>
      <c r="R642" s="65">
        <f>Calc!$FS$644</f>
        <v/>
      </c>
      <c r="T642">
        <f>Calc!$EY$644</f>
        <v/>
      </c>
      <c r="U642">
        <f>Calc!$FT$644</f>
        <v/>
      </c>
      <c r="V642">
        <f>Calc!$FU$644</f>
        <v/>
      </c>
      <c r="W642">
        <f>Calc!$FC$644</f>
        <v/>
      </c>
      <c r="X642">
        <f>Calc!$EZ$644</f>
        <v/>
      </c>
      <c r="Y642">
        <f>Calc!$FA$644</f>
        <v/>
      </c>
      <c r="Z642">
        <f>Calc!$FV$644</f>
        <v/>
      </c>
      <c r="AA642">
        <f>IF($T642&lt;&gt;"row",0,IF($V642=1,IF($X642=1,IF($Y642=1,1,2),IF($Y642=1,3,4)),IF($X642=1,IF($Y642=1,5,6),IF($Y642=1,7,8))))</f>
        <v/>
      </c>
    </row>
    <row r="643" ht="11.25" customHeight="1">
      <c r="A643" s="64">
        <f>Calc!$FB$645</f>
        <v/>
      </c>
      <c r="B643" s="64">
        <f>Calc!$FC$645</f>
        <v/>
      </c>
      <c r="C643" s="65">
        <f>Calc!$FD$645</f>
        <v/>
      </c>
      <c r="D643" s="65">
        <f>Calc!$FE$645</f>
        <v/>
      </c>
      <c r="E643" s="65">
        <f>Calc!$FF$645</f>
        <v/>
      </c>
      <c r="F643" s="65">
        <f>Calc!$FG$645</f>
        <v/>
      </c>
      <c r="G643" s="65">
        <f>Calc!$FH$645</f>
        <v/>
      </c>
      <c r="H643" s="65">
        <f>Calc!$FI$645</f>
        <v/>
      </c>
      <c r="I643" s="65">
        <f>Calc!$FJ$645</f>
        <v/>
      </c>
      <c r="J643" s="65">
        <f>Calc!$FK$645</f>
        <v/>
      </c>
      <c r="K643" s="65">
        <f>Calc!$FL$645</f>
        <v/>
      </c>
      <c r="L643" s="65">
        <f>Calc!$FM$645</f>
        <v/>
      </c>
      <c r="M643" s="66">
        <f>Calc!$FN$645</f>
        <v/>
      </c>
      <c r="N643" s="66">
        <f>Calc!$FO$645</f>
        <v/>
      </c>
      <c r="O643" s="65">
        <f>Calc!$FP$645</f>
        <v/>
      </c>
      <c r="P643" s="67">
        <f>Calc!$FQ$645</f>
        <v/>
      </c>
      <c r="Q643" s="68">
        <f>Calc!$FR$645</f>
        <v/>
      </c>
      <c r="R643" s="65">
        <f>Calc!$FS$645</f>
        <v/>
      </c>
      <c r="T643">
        <f>Calc!$EY$645</f>
        <v/>
      </c>
      <c r="U643">
        <f>Calc!$FT$645</f>
        <v/>
      </c>
      <c r="V643">
        <f>Calc!$FU$645</f>
        <v/>
      </c>
      <c r="W643">
        <f>Calc!$FC$645</f>
        <v/>
      </c>
      <c r="X643">
        <f>Calc!$EZ$645</f>
        <v/>
      </c>
      <c r="Y643">
        <f>Calc!$FA$645</f>
        <v/>
      </c>
      <c r="Z643">
        <f>Calc!$FV$645</f>
        <v/>
      </c>
      <c r="AA643">
        <f>IF($T643&lt;&gt;"row",0,IF($V643=1,IF($X643=1,IF($Y643=1,1,2),IF($Y643=1,3,4)),IF($X643=1,IF($Y643=1,5,6),IF($Y643=1,7,8))))</f>
        <v/>
      </c>
    </row>
    <row r="644" ht="11.25" customHeight="1">
      <c r="A644" s="64">
        <f>Calc!$FB$646</f>
        <v/>
      </c>
      <c r="B644" s="64">
        <f>Calc!$FC$646</f>
        <v/>
      </c>
      <c r="C644" s="65">
        <f>Calc!$FD$646</f>
        <v/>
      </c>
      <c r="D644" s="65">
        <f>Calc!$FE$646</f>
        <v/>
      </c>
      <c r="E644" s="65">
        <f>Calc!$FF$646</f>
        <v/>
      </c>
      <c r="F644" s="65">
        <f>Calc!$FG$646</f>
        <v/>
      </c>
      <c r="G644" s="65">
        <f>Calc!$FH$646</f>
        <v/>
      </c>
      <c r="H644" s="65">
        <f>Calc!$FI$646</f>
        <v/>
      </c>
      <c r="I644" s="65">
        <f>Calc!$FJ$646</f>
        <v/>
      </c>
      <c r="J644" s="65">
        <f>Calc!$FK$646</f>
        <v/>
      </c>
      <c r="K644" s="65">
        <f>Calc!$FL$646</f>
        <v/>
      </c>
      <c r="L644" s="65">
        <f>Calc!$FM$646</f>
        <v/>
      </c>
      <c r="M644" s="66">
        <f>Calc!$FN$646</f>
        <v/>
      </c>
      <c r="N644" s="66">
        <f>Calc!$FO$646</f>
        <v/>
      </c>
      <c r="O644" s="65">
        <f>Calc!$FP$646</f>
        <v/>
      </c>
      <c r="P644" s="67">
        <f>Calc!$FQ$646</f>
        <v/>
      </c>
      <c r="Q644" s="68">
        <f>Calc!$FR$646</f>
        <v/>
      </c>
      <c r="R644" s="65">
        <f>Calc!$FS$646</f>
        <v/>
      </c>
      <c r="T644">
        <f>Calc!$EY$646</f>
        <v/>
      </c>
      <c r="U644">
        <f>Calc!$FT$646</f>
        <v/>
      </c>
      <c r="V644">
        <f>Calc!$FU$646</f>
        <v/>
      </c>
      <c r="W644">
        <f>Calc!$FC$646</f>
        <v/>
      </c>
      <c r="X644">
        <f>Calc!$EZ$646</f>
        <v/>
      </c>
      <c r="Y644">
        <f>Calc!$FA$646</f>
        <v/>
      </c>
      <c r="Z644">
        <f>Calc!$FV$646</f>
        <v/>
      </c>
      <c r="AA644">
        <f>IF($T644&lt;&gt;"row",0,IF($V644=1,IF($X644=1,IF($Y644=1,1,2),IF($Y644=1,3,4)),IF($X644=1,IF($Y644=1,5,6),IF($Y644=1,7,8))))</f>
        <v/>
      </c>
    </row>
    <row r="645" ht="11.25" customHeight="1">
      <c r="A645" s="64">
        <f>Calc!$FB$647</f>
        <v/>
      </c>
      <c r="B645" s="64">
        <f>Calc!$FC$647</f>
        <v/>
      </c>
      <c r="C645" s="65">
        <f>Calc!$FD$647</f>
        <v/>
      </c>
      <c r="D645" s="65">
        <f>Calc!$FE$647</f>
        <v/>
      </c>
      <c r="E645" s="65">
        <f>Calc!$FF$647</f>
        <v/>
      </c>
      <c r="F645" s="65">
        <f>Calc!$FG$647</f>
        <v/>
      </c>
      <c r="G645" s="65">
        <f>Calc!$FH$647</f>
        <v/>
      </c>
      <c r="H645" s="65">
        <f>Calc!$FI$647</f>
        <v/>
      </c>
      <c r="I645" s="65">
        <f>Calc!$FJ$647</f>
        <v/>
      </c>
      <c r="J645" s="65">
        <f>Calc!$FK$647</f>
        <v/>
      </c>
      <c r="K645" s="65">
        <f>Calc!$FL$647</f>
        <v/>
      </c>
      <c r="L645" s="65">
        <f>Calc!$FM$647</f>
        <v/>
      </c>
      <c r="M645" s="66">
        <f>Calc!$FN$647</f>
        <v/>
      </c>
      <c r="N645" s="66">
        <f>Calc!$FO$647</f>
        <v/>
      </c>
      <c r="O645" s="65">
        <f>Calc!$FP$647</f>
        <v/>
      </c>
      <c r="P645" s="67">
        <f>Calc!$FQ$647</f>
        <v/>
      </c>
      <c r="Q645" s="68">
        <f>Calc!$FR$647</f>
        <v/>
      </c>
      <c r="R645" s="65">
        <f>Calc!$FS$647</f>
        <v/>
      </c>
      <c r="T645">
        <f>Calc!$EY$647</f>
        <v/>
      </c>
      <c r="U645">
        <f>Calc!$FT$647</f>
        <v/>
      </c>
      <c r="V645">
        <f>Calc!$FU$647</f>
        <v/>
      </c>
      <c r="W645">
        <f>Calc!$FC$647</f>
        <v/>
      </c>
      <c r="X645">
        <f>Calc!$EZ$647</f>
        <v/>
      </c>
      <c r="Y645">
        <f>Calc!$FA$647</f>
        <v/>
      </c>
      <c r="Z645">
        <f>Calc!$FV$647</f>
        <v/>
      </c>
      <c r="AA645">
        <f>IF($T645&lt;&gt;"row",0,IF($V645=1,IF($X645=1,IF($Y645=1,1,2),IF($Y645=1,3,4)),IF($X645=1,IF($Y645=1,5,6),IF($Y645=1,7,8))))</f>
        <v/>
      </c>
    </row>
    <row r="646" ht="11.25" customHeight="1">
      <c r="A646" s="64">
        <f>Calc!$FB$648</f>
        <v/>
      </c>
      <c r="B646" s="64">
        <f>Calc!$FC$648</f>
        <v/>
      </c>
      <c r="C646" s="65">
        <f>Calc!$FD$648</f>
        <v/>
      </c>
      <c r="D646" s="65">
        <f>Calc!$FE$648</f>
        <v/>
      </c>
      <c r="E646" s="65">
        <f>Calc!$FF$648</f>
        <v/>
      </c>
      <c r="F646" s="65">
        <f>Calc!$FG$648</f>
        <v/>
      </c>
      <c r="G646" s="65">
        <f>Calc!$FH$648</f>
        <v/>
      </c>
      <c r="H646" s="65">
        <f>Calc!$FI$648</f>
        <v/>
      </c>
      <c r="I646" s="65">
        <f>Calc!$FJ$648</f>
        <v/>
      </c>
      <c r="J646" s="65">
        <f>Calc!$FK$648</f>
        <v/>
      </c>
      <c r="K646" s="65">
        <f>Calc!$FL$648</f>
        <v/>
      </c>
      <c r="L646" s="65">
        <f>Calc!$FM$648</f>
        <v/>
      </c>
      <c r="M646" s="66">
        <f>Calc!$FN$648</f>
        <v/>
      </c>
      <c r="N646" s="66">
        <f>Calc!$FO$648</f>
        <v/>
      </c>
      <c r="O646" s="65">
        <f>Calc!$FP$648</f>
        <v/>
      </c>
      <c r="P646" s="67">
        <f>Calc!$FQ$648</f>
        <v/>
      </c>
      <c r="Q646" s="68">
        <f>Calc!$FR$648</f>
        <v/>
      </c>
      <c r="R646" s="65">
        <f>Calc!$FS$648</f>
        <v/>
      </c>
      <c r="T646">
        <f>Calc!$EY$648</f>
        <v/>
      </c>
      <c r="U646">
        <f>Calc!$FT$648</f>
        <v/>
      </c>
      <c r="V646">
        <f>Calc!$FU$648</f>
        <v/>
      </c>
      <c r="W646">
        <f>Calc!$FC$648</f>
        <v/>
      </c>
      <c r="X646">
        <f>Calc!$EZ$648</f>
        <v/>
      </c>
      <c r="Y646">
        <f>Calc!$FA$648</f>
        <v/>
      </c>
      <c r="Z646">
        <f>Calc!$FV$648</f>
        <v/>
      </c>
      <c r="AA646">
        <f>IF($T646&lt;&gt;"row",0,IF($V646=1,IF($X646=1,IF($Y646=1,1,2),IF($Y646=1,3,4)),IF($X646=1,IF($Y646=1,5,6),IF($Y646=1,7,8))))</f>
        <v/>
      </c>
    </row>
    <row r="647" ht="11.25" customHeight="1">
      <c r="A647" s="64">
        <f>Calc!$FB$649</f>
        <v/>
      </c>
      <c r="B647" s="64">
        <f>Calc!$FC$649</f>
        <v/>
      </c>
      <c r="C647" s="65">
        <f>Calc!$FD$649</f>
        <v/>
      </c>
      <c r="D647" s="65">
        <f>Calc!$FE$649</f>
        <v/>
      </c>
      <c r="E647" s="65">
        <f>Calc!$FF$649</f>
        <v/>
      </c>
      <c r="F647" s="65">
        <f>Calc!$FG$649</f>
        <v/>
      </c>
      <c r="G647" s="65">
        <f>Calc!$FH$649</f>
        <v/>
      </c>
      <c r="H647" s="65">
        <f>Calc!$FI$649</f>
        <v/>
      </c>
      <c r="I647" s="65">
        <f>Calc!$FJ$649</f>
        <v/>
      </c>
      <c r="J647" s="65">
        <f>Calc!$FK$649</f>
        <v/>
      </c>
      <c r="K647" s="65">
        <f>Calc!$FL$649</f>
        <v/>
      </c>
      <c r="L647" s="65">
        <f>Calc!$FM$649</f>
        <v/>
      </c>
      <c r="M647" s="66">
        <f>Calc!$FN$649</f>
        <v/>
      </c>
      <c r="N647" s="66">
        <f>Calc!$FO$649</f>
        <v/>
      </c>
      <c r="O647" s="65">
        <f>Calc!$FP$649</f>
        <v/>
      </c>
      <c r="P647" s="67">
        <f>Calc!$FQ$649</f>
        <v/>
      </c>
      <c r="Q647" s="68">
        <f>Calc!$FR$649</f>
        <v/>
      </c>
      <c r="R647" s="65">
        <f>Calc!$FS$649</f>
        <v/>
      </c>
      <c r="T647">
        <f>Calc!$EY$649</f>
        <v/>
      </c>
      <c r="U647">
        <f>Calc!$FT$649</f>
        <v/>
      </c>
      <c r="V647">
        <f>Calc!$FU$649</f>
        <v/>
      </c>
      <c r="W647">
        <f>Calc!$FC$649</f>
        <v/>
      </c>
      <c r="X647">
        <f>Calc!$EZ$649</f>
        <v/>
      </c>
      <c r="Y647">
        <f>Calc!$FA$649</f>
        <v/>
      </c>
      <c r="Z647">
        <f>Calc!$FV$649</f>
        <v/>
      </c>
      <c r="AA647">
        <f>IF($T647&lt;&gt;"row",0,IF($V647=1,IF($X647=1,IF($Y647=1,1,2),IF($Y647=1,3,4)),IF($X647=1,IF($Y647=1,5,6),IF($Y647=1,7,8))))</f>
        <v/>
      </c>
    </row>
    <row r="648" ht="11.25" customHeight="1">
      <c r="A648" s="64">
        <f>Calc!$FB$650</f>
        <v/>
      </c>
      <c r="B648" s="64">
        <f>Calc!$FC$650</f>
        <v/>
      </c>
      <c r="C648" s="65">
        <f>Calc!$FD$650</f>
        <v/>
      </c>
      <c r="D648" s="65">
        <f>Calc!$FE$650</f>
        <v/>
      </c>
      <c r="E648" s="65">
        <f>Calc!$FF$650</f>
        <v/>
      </c>
      <c r="F648" s="65">
        <f>Calc!$FG$650</f>
        <v/>
      </c>
      <c r="G648" s="65">
        <f>Calc!$FH$650</f>
        <v/>
      </c>
      <c r="H648" s="65">
        <f>Calc!$FI$650</f>
        <v/>
      </c>
      <c r="I648" s="65">
        <f>Calc!$FJ$650</f>
        <v/>
      </c>
      <c r="J648" s="65">
        <f>Calc!$FK$650</f>
        <v/>
      </c>
      <c r="K648" s="65">
        <f>Calc!$FL$650</f>
        <v/>
      </c>
      <c r="L648" s="65">
        <f>Calc!$FM$650</f>
        <v/>
      </c>
      <c r="M648" s="66">
        <f>Calc!$FN$650</f>
        <v/>
      </c>
      <c r="N648" s="66">
        <f>Calc!$FO$650</f>
        <v/>
      </c>
      <c r="O648" s="65">
        <f>Calc!$FP$650</f>
        <v/>
      </c>
      <c r="P648" s="67">
        <f>Calc!$FQ$650</f>
        <v/>
      </c>
      <c r="Q648" s="68">
        <f>Calc!$FR$650</f>
        <v/>
      </c>
      <c r="R648" s="65">
        <f>Calc!$FS$650</f>
        <v/>
      </c>
      <c r="T648">
        <f>Calc!$EY$650</f>
        <v/>
      </c>
      <c r="U648">
        <f>Calc!$FT$650</f>
        <v/>
      </c>
      <c r="V648">
        <f>Calc!$FU$650</f>
        <v/>
      </c>
      <c r="W648">
        <f>Calc!$FC$650</f>
        <v/>
      </c>
      <c r="X648">
        <f>Calc!$EZ$650</f>
        <v/>
      </c>
      <c r="Y648">
        <f>Calc!$FA$650</f>
        <v/>
      </c>
      <c r="Z648">
        <f>Calc!$FV$650</f>
        <v/>
      </c>
      <c r="AA648">
        <f>IF($T648&lt;&gt;"row",0,IF($V648=1,IF($X648=1,IF($Y648=1,1,2),IF($Y648=1,3,4)),IF($X648=1,IF($Y648=1,5,6),IF($Y648=1,7,8))))</f>
        <v/>
      </c>
    </row>
    <row r="649" ht="11.25" customHeight="1">
      <c r="A649" s="64">
        <f>Calc!$FB$651</f>
        <v/>
      </c>
      <c r="B649" s="64">
        <f>Calc!$FC$651</f>
        <v/>
      </c>
      <c r="C649" s="65">
        <f>Calc!$FD$651</f>
        <v/>
      </c>
      <c r="D649" s="65">
        <f>Calc!$FE$651</f>
        <v/>
      </c>
      <c r="E649" s="65">
        <f>Calc!$FF$651</f>
        <v/>
      </c>
      <c r="F649" s="65">
        <f>Calc!$FG$651</f>
        <v/>
      </c>
      <c r="G649" s="65">
        <f>Calc!$FH$651</f>
        <v/>
      </c>
      <c r="H649" s="65">
        <f>Calc!$FI$651</f>
        <v/>
      </c>
      <c r="I649" s="65">
        <f>Calc!$FJ$651</f>
        <v/>
      </c>
      <c r="J649" s="65">
        <f>Calc!$FK$651</f>
        <v/>
      </c>
      <c r="K649" s="65">
        <f>Calc!$FL$651</f>
        <v/>
      </c>
      <c r="L649" s="65">
        <f>Calc!$FM$651</f>
        <v/>
      </c>
      <c r="M649" s="66">
        <f>Calc!$FN$651</f>
        <v/>
      </c>
      <c r="N649" s="66">
        <f>Calc!$FO$651</f>
        <v/>
      </c>
      <c r="O649" s="65">
        <f>Calc!$FP$651</f>
        <v/>
      </c>
      <c r="P649" s="67">
        <f>Calc!$FQ$651</f>
        <v/>
      </c>
      <c r="Q649" s="68">
        <f>Calc!$FR$651</f>
        <v/>
      </c>
      <c r="R649" s="65">
        <f>Calc!$FS$651</f>
        <v/>
      </c>
      <c r="T649">
        <f>Calc!$EY$651</f>
        <v/>
      </c>
      <c r="U649">
        <f>Calc!$FT$651</f>
        <v/>
      </c>
      <c r="V649">
        <f>Calc!$FU$651</f>
        <v/>
      </c>
      <c r="W649">
        <f>Calc!$FC$651</f>
        <v/>
      </c>
      <c r="X649">
        <f>Calc!$EZ$651</f>
        <v/>
      </c>
      <c r="Y649">
        <f>Calc!$FA$651</f>
        <v/>
      </c>
      <c r="Z649">
        <f>Calc!$FV$651</f>
        <v/>
      </c>
      <c r="AA649">
        <f>IF($T649&lt;&gt;"row",0,IF($V649=1,IF($X649=1,IF($Y649=1,1,2),IF($Y649=1,3,4)),IF($X649=1,IF($Y649=1,5,6),IF($Y649=1,7,8))))</f>
        <v/>
      </c>
    </row>
    <row r="650" ht="11.25" customHeight="1">
      <c r="A650" s="64">
        <f>Calc!$FB$652</f>
        <v/>
      </c>
      <c r="B650" s="64">
        <f>Calc!$FC$652</f>
        <v/>
      </c>
      <c r="C650" s="65">
        <f>Calc!$FD$652</f>
        <v/>
      </c>
      <c r="D650" s="65">
        <f>Calc!$FE$652</f>
        <v/>
      </c>
      <c r="E650" s="65">
        <f>Calc!$FF$652</f>
        <v/>
      </c>
      <c r="F650" s="65">
        <f>Calc!$FG$652</f>
        <v/>
      </c>
      <c r="G650" s="65">
        <f>Calc!$FH$652</f>
        <v/>
      </c>
      <c r="H650" s="65">
        <f>Calc!$FI$652</f>
        <v/>
      </c>
      <c r="I650" s="65">
        <f>Calc!$FJ$652</f>
        <v/>
      </c>
      <c r="J650" s="65">
        <f>Calc!$FK$652</f>
        <v/>
      </c>
      <c r="K650" s="65">
        <f>Calc!$FL$652</f>
        <v/>
      </c>
      <c r="L650" s="65">
        <f>Calc!$FM$652</f>
        <v/>
      </c>
      <c r="M650" s="66">
        <f>Calc!$FN$652</f>
        <v/>
      </c>
      <c r="N650" s="66">
        <f>Calc!$FO$652</f>
        <v/>
      </c>
      <c r="O650" s="65">
        <f>Calc!$FP$652</f>
        <v/>
      </c>
      <c r="P650" s="67">
        <f>Calc!$FQ$652</f>
        <v/>
      </c>
      <c r="Q650" s="68">
        <f>Calc!$FR$652</f>
        <v/>
      </c>
      <c r="R650" s="65">
        <f>Calc!$FS$652</f>
        <v/>
      </c>
      <c r="T650">
        <f>Calc!$EY$652</f>
        <v/>
      </c>
      <c r="U650">
        <f>Calc!$FT$652</f>
        <v/>
      </c>
      <c r="V650">
        <f>Calc!$FU$652</f>
        <v/>
      </c>
      <c r="W650">
        <f>Calc!$FC$652</f>
        <v/>
      </c>
      <c r="X650">
        <f>Calc!$EZ$652</f>
        <v/>
      </c>
      <c r="Y650">
        <f>Calc!$FA$652</f>
        <v/>
      </c>
      <c r="Z650">
        <f>Calc!$FV$652</f>
        <v/>
      </c>
      <c r="AA650">
        <f>IF($T650&lt;&gt;"row",0,IF($V650=1,IF($X650=1,IF($Y650=1,1,2),IF($Y650=1,3,4)),IF($X650=1,IF($Y650=1,5,6),IF($Y650=1,7,8))))</f>
        <v/>
      </c>
    </row>
    <row r="651" ht="11.25" customHeight="1">
      <c r="A651" s="64">
        <f>Calc!$FB$653</f>
        <v/>
      </c>
      <c r="B651" s="64">
        <f>Calc!$FC$653</f>
        <v/>
      </c>
      <c r="C651" s="65">
        <f>Calc!$FD$653</f>
        <v/>
      </c>
      <c r="D651" s="65">
        <f>Calc!$FE$653</f>
        <v/>
      </c>
      <c r="E651" s="65">
        <f>Calc!$FF$653</f>
        <v/>
      </c>
      <c r="F651" s="65">
        <f>Calc!$FG$653</f>
        <v/>
      </c>
      <c r="G651" s="65">
        <f>Calc!$FH$653</f>
        <v/>
      </c>
      <c r="H651" s="65">
        <f>Calc!$FI$653</f>
        <v/>
      </c>
      <c r="I651" s="65">
        <f>Calc!$FJ$653</f>
        <v/>
      </c>
      <c r="J651" s="65">
        <f>Calc!$FK$653</f>
        <v/>
      </c>
      <c r="K651" s="65">
        <f>Calc!$FL$653</f>
        <v/>
      </c>
      <c r="L651" s="65">
        <f>Calc!$FM$653</f>
        <v/>
      </c>
      <c r="M651" s="66">
        <f>Calc!$FN$653</f>
        <v/>
      </c>
      <c r="N651" s="66">
        <f>Calc!$FO$653</f>
        <v/>
      </c>
      <c r="O651" s="65">
        <f>Calc!$FP$653</f>
        <v/>
      </c>
      <c r="P651" s="67">
        <f>Calc!$FQ$653</f>
        <v/>
      </c>
      <c r="Q651" s="68">
        <f>Calc!$FR$653</f>
        <v/>
      </c>
      <c r="R651" s="65">
        <f>Calc!$FS$653</f>
        <v/>
      </c>
      <c r="T651">
        <f>Calc!$EY$653</f>
        <v/>
      </c>
      <c r="U651">
        <f>Calc!$FT$653</f>
        <v/>
      </c>
      <c r="V651">
        <f>Calc!$FU$653</f>
        <v/>
      </c>
      <c r="W651">
        <f>Calc!$FC$653</f>
        <v/>
      </c>
      <c r="X651">
        <f>Calc!$EZ$653</f>
        <v/>
      </c>
      <c r="Y651">
        <f>Calc!$FA$653</f>
        <v/>
      </c>
      <c r="Z651">
        <f>Calc!$FV$653</f>
        <v/>
      </c>
      <c r="AA651">
        <f>IF($T651&lt;&gt;"row",0,IF($V651=1,IF($X651=1,IF($Y651=1,1,2),IF($Y651=1,3,4)),IF($X651=1,IF($Y651=1,5,6),IF($Y651=1,7,8))))</f>
        <v/>
      </c>
    </row>
    <row r="652" ht="11.25" customHeight="1">
      <c r="A652" s="64">
        <f>Calc!$FB$654</f>
        <v/>
      </c>
      <c r="B652" s="64">
        <f>Calc!$FC$654</f>
        <v/>
      </c>
      <c r="C652" s="65">
        <f>Calc!$FD$654</f>
        <v/>
      </c>
      <c r="D652" s="65">
        <f>Calc!$FE$654</f>
        <v/>
      </c>
      <c r="E652" s="65">
        <f>Calc!$FF$654</f>
        <v/>
      </c>
      <c r="F652" s="65">
        <f>Calc!$FG$654</f>
        <v/>
      </c>
      <c r="G652" s="65">
        <f>Calc!$FH$654</f>
        <v/>
      </c>
      <c r="H652" s="65">
        <f>Calc!$FI$654</f>
        <v/>
      </c>
      <c r="I652" s="65">
        <f>Calc!$FJ$654</f>
        <v/>
      </c>
      <c r="J652" s="65">
        <f>Calc!$FK$654</f>
        <v/>
      </c>
      <c r="K652" s="65">
        <f>Calc!$FL$654</f>
        <v/>
      </c>
      <c r="L652" s="65">
        <f>Calc!$FM$654</f>
        <v/>
      </c>
      <c r="M652" s="66">
        <f>Calc!$FN$654</f>
        <v/>
      </c>
      <c r="N652" s="66">
        <f>Calc!$FO$654</f>
        <v/>
      </c>
      <c r="O652" s="65">
        <f>Calc!$FP$654</f>
        <v/>
      </c>
      <c r="P652" s="67">
        <f>Calc!$FQ$654</f>
        <v/>
      </c>
      <c r="Q652" s="68">
        <f>Calc!$FR$654</f>
        <v/>
      </c>
      <c r="R652" s="65">
        <f>Calc!$FS$654</f>
        <v/>
      </c>
      <c r="T652">
        <f>Calc!$EY$654</f>
        <v/>
      </c>
      <c r="U652">
        <f>Calc!$FT$654</f>
        <v/>
      </c>
      <c r="V652">
        <f>Calc!$FU$654</f>
        <v/>
      </c>
      <c r="W652">
        <f>Calc!$FC$654</f>
        <v/>
      </c>
      <c r="X652">
        <f>Calc!$EZ$654</f>
        <v/>
      </c>
      <c r="Y652">
        <f>Calc!$FA$654</f>
        <v/>
      </c>
      <c r="Z652">
        <f>Calc!$FV$654</f>
        <v/>
      </c>
      <c r="AA652">
        <f>IF($T652&lt;&gt;"row",0,IF($V652=1,IF($X652=1,IF($Y652=1,1,2),IF($Y652=1,3,4)),IF($X652=1,IF($Y652=1,5,6),IF($Y652=1,7,8))))</f>
        <v/>
      </c>
    </row>
    <row r="653" ht="11.25" customHeight="1">
      <c r="A653" s="64">
        <f>Calc!$FB$655</f>
        <v/>
      </c>
      <c r="B653" s="64">
        <f>Calc!$FC$655</f>
        <v/>
      </c>
      <c r="C653" s="65">
        <f>Calc!$FD$655</f>
        <v/>
      </c>
      <c r="D653" s="65">
        <f>Calc!$FE$655</f>
        <v/>
      </c>
      <c r="E653" s="65">
        <f>Calc!$FF$655</f>
        <v/>
      </c>
      <c r="F653" s="65">
        <f>Calc!$FG$655</f>
        <v/>
      </c>
      <c r="G653" s="65">
        <f>Calc!$FH$655</f>
        <v/>
      </c>
      <c r="H653" s="65">
        <f>Calc!$FI$655</f>
        <v/>
      </c>
      <c r="I653" s="65">
        <f>Calc!$FJ$655</f>
        <v/>
      </c>
      <c r="J653" s="65">
        <f>Calc!$FK$655</f>
        <v/>
      </c>
      <c r="K653" s="65">
        <f>Calc!$FL$655</f>
        <v/>
      </c>
      <c r="L653" s="65">
        <f>Calc!$FM$655</f>
        <v/>
      </c>
      <c r="M653" s="66">
        <f>Calc!$FN$655</f>
        <v/>
      </c>
      <c r="N653" s="66">
        <f>Calc!$FO$655</f>
        <v/>
      </c>
      <c r="O653" s="65">
        <f>Calc!$FP$655</f>
        <v/>
      </c>
      <c r="P653" s="67">
        <f>Calc!$FQ$655</f>
        <v/>
      </c>
      <c r="Q653" s="68">
        <f>Calc!$FR$655</f>
        <v/>
      </c>
      <c r="R653" s="65">
        <f>Calc!$FS$655</f>
        <v/>
      </c>
      <c r="T653">
        <f>Calc!$EY$655</f>
        <v/>
      </c>
      <c r="U653">
        <f>Calc!$FT$655</f>
        <v/>
      </c>
      <c r="V653">
        <f>Calc!$FU$655</f>
        <v/>
      </c>
      <c r="W653">
        <f>Calc!$FC$655</f>
        <v/>
      </c>
      <c r="X653">
        <f>Calc!$EZ$655</f>
        <v/>
      </c>
      <c r="Y653">
        <f>Calc!$FA$655</f>
        <v/>
      </c>
      <c r="Z653">
        <f>Calc!$FV$655</f>
        <v/>
      </c>
      <c r="AA653">
        <f>IF($T653&lt;&gt;"row",0,IF($V653=1,IF($X653=1,IF($Y653=1,1,2),IF($Y653=1,3,4)),IF($X653=1,IF($Y653=1,5,6),IF($Y653=1,7,8))))</f>
        <v/>
      </c>
    </row>
    <row r="654" ht="11.25" customHeight="1">
      <c r="A654" s="64">
        <f>Calc!$FB$656</f>
        <v/>
      </c>
      <c r="B654" s="64">
        <f>Calc!$FC$656</f>
        <v/>
      </c>
      <c r="C654" s="65">
        <f>Calc!$FD$656</f>
        <v/>
      </c>
      <c r="D654" s="65">
        <f>Calc!$FE$656</f>
        <v/>
      </c>
      <c r="E654" s="65">
        <f>Calc!$FF$656</f>
        <v/>
      </c>
      <c r="F654" s="65">
        <f>Calc!$FG$656</f>
        <v/>
      </c>
      <c r="G654" s="65">
        <f>Calc!$FH$656</f>
        <v/>
      </c>
      <c r="H654" s="65">
        <f>Calc!$FI$656</f>
        <v/>
      </c>
      <c r="I654" s="65">
        <f>Calc!$FJ$656</f>
        <v/>
      </c>
      <c r="J654" s="65">
        <f>Calc!$FK$656</f>
        <v/>
      </c>
      <c r="K654" s="65">
        <f>Calc!$FL$656</f>
        <v/>
      </c>
      <c r="L654" s="65">
        <f>Calc!$FM$656</f>
        <v/>
      </c>
      <c r="M654" s="66">
        <f>Calc!$FN$656</f>
        <v/>
      </c>
      <c r="N654" s="66">
        <f>Calc!$FO$656</f>
        <v/>
      </c>
      <c r="O654" s="65">
        <f>Calc!$FP$656</f>
        <v/>
      </c>
      <c r="P654" s="67">
        <f>Calc!$FQ$656</f>
        <v/>
      </c>
      <c r="Q654" s="68">
        <f>Calc!$FR$656</f>
        <v/>
      </c>
      <c r="R654" s="65">
        <f>Calc!$FS$656</f>
        <v/>
      </c>
      <c r="T654">
        <f>Calc!$EY$656</f>
        <v/>
      </c>
      <c r="U654">
        <f>Calc!$FT$656</f>
        <v/>
      </c>
      <c r="V654">
        <f>Calc!$FU$656</f>
        <v/>
      </c>
      <c r="W654">
        <f>Calc!$FC$656</f>
        <v/>
      </c>
      <c r="X654">
        <f>Calc!$EZ$656</f>
        <v/>
      </c>
      <c r="Y654">
        <f>Calc!$FA$656</f>
        <v/>
      </c>
      <c r="Z654">
        <f>Calc!$FV$656</f>
        <v/>
      </c>
      <c r="AA654">
        <f>IF($T654&lt;&gt;"row",0,IF($V654=1,IF($X654=1,IF($Y654=1,1,2),IF($Y654=1,3,4)),IF($X654=1,IF($Y654=1,5,6),IF($Y654=1,7,8))))</f>
        <v/>
      </c>
    </row>
    <row r="655" ht="11.25" customHeight="1">
      <c r="A655" s="64">
        <f>Calc!$FB$657</f>
        <v/>
      </c>
      <c r="B655" s="64">
        <f>Calc!$FC$657</f>
        <v/>
      </c>
      <c r="C655" s="65">
        <f>Calc!$FD$657</f>
        <v/>
      </c>
      <c r="D655" s="65">
        <f>Calc!$FE$657</f>
        <v/>
      </c>
      <c r="E655" s="65">
        <f>Calc!$FF$657</f>
        <v/>
      </c>
      <c r="F655" s="65">
        <f>Calc!$FG$657</f>
        <v/>
      </c>
      <c r="G655" s="65">
        <f>Calc!$FH$657</f>
        <v/>
      </c>
      <c r="H655" s="65">
        <f>Calc!$FI$657</f>
        <v/>
      </c>
      <c r="I655" s="65">
        <f>Calc!$FJ$657</f>
        <v/>
      </c>
      <c r="J655" s="65">
        <f>Calc!$FK$657</f>
        <v/>
      </c>
      <c r="K655" s="65">
        <f>Calc!$FL$657</f>
        <v/>
      </c>
      <c r="L655" s="65">
        <f>Calc!$FM$657</f>
        <v/>
      </c>
      <c r="M655" s="66">
        <f>Calc!$FN$657</f>
        <v/>
      </c>
      <c r="N655" s="66">
        <f>Calc!$FO$657</f>
        <v/>
      </c>
      <c r="O655" s="65">
        <f>Calc!$FP$657</f>
        <v/>
      </c>
      <c r="P655" s="67">
        <f>Calc!$FQ$657</f>
        <v/>
      </c>
      <c r="Q655" s="68">
        <f>Calc!$FR$657</f>
        <v/>
      </c>
      <c r="R655" s="65">
        <f>Calc!$FS$657</f>
        <v/>
      </c>
      <c r="T655">
        <f>Calc!$EY$657</f>
        <v/>
      </c>
      <c r="U655">
        <f>Calc!$FT$657</f>
        <v/>
      </c>
      <c r="V655">
        <f>Calc!$FU$657</f>
        <v/>
      </c>
      <c r="W655">
        <f>Calc!$FC$657</f>
        <v/>
      </c>
      <c r="X655">
        <f>Calc!$EZ$657</f>
        <v/>
      </c>
      <c r="Y655">
        <f>Calc!$FA$657</f>
        <v/>
      </c>
      <c r="Z655">
        <f>Calc!$FV$657</f>
        <v/>
      </c>
      <c r="AA655">
        <f>IF($T655&lt;&gt;"row",0,IF($V655=1,IF($X655=1,IF($Y655=1,1,2),IF($Y655=1,3,4)),IF($X655=1,IF($Y655=1,5,6),IF($Y655=1,7,8))))</f>
        <v/>
      </c>
    </row>
    <row r="656" ht="11.25" customHeight="1">
      <c r="A656" s="64">
        <f>Calc!$FB$658</f>
        <v/>
      </c>
      <c r="B656" s="64">
        <f>Calc!$FC$658</f>
        <v/>
      </c>
      <c r="C656" s="65">
        <f>Calc!$FD$658</f>
        <v/>
      </c>
      <c r="D656" s="65">
        <f>Calc!$FE$658</f>
        <v/>
      </c>
      <c r="E656" s="65">
        <f>Calc!$FF$658</f>
        <v/>
      </c>
      <c r="F656" s="65">
        <f>Calc!$FG$658</f>
        <v/>
      </c>
      <c r="G656" s="65">
        <f>Calc!$FH$658</f>
        <v/>
      </c>
      <c r="H656" s="65">
        <f>Calc!$FI$658</f>
        <v/>
      </c>
      <c r="I656" s="65">
        <f>Calc!$FJ$658</f>
        <v/>
      </c>
      <c r="J656" s="65">
        <f>Calc!$FK$658</f>
        <v/>
      </c>
      <c r="K656" s="65">
        <f>Calc!$FL$658</f>
        <v/>
      </c>
      <c r="L656" s="65">
        <f>Calc!$FM$658</f>
        <v/>
      </c>
      <c r="M656" s="66">
        <f>Calc!$FN$658</f>
        <v/>
      </c>
      <c r="N656" s="66">
        <f>Calc!$FO$658</f>
        <v/>
      </c>
      <c r="O656" s="65">
        <f>Calc!$FP$658</f>
        <v/>
      </c>
      <c r="P656" s="67">
        <f>Calc!$FQ$658</f>
        <v/>
      </c>
      <c r="Q656" s="68">
        <f>Calc!$FR$658</f>
        <v/>
      </c>
      <c r="R656" s="65">
        <f>Calc!$FS$658</f>
        <v/>
      </c>
      <c r="T656">
        <f>Calc!$EY$658</f>
        <v/>
      </c>
      <c r="U656">
        <f>Calc!$FT$658</f>
        <v/>
      </c>
      <c r="V656">
        <f>Calc!$FU$658</f>
        <v/>
      </c>
      <c r="W656">
        <f>Calc!$FC$658</f>
        <v/>
      </c>
      <c r="X656">
        <f>Calc!$EZ$658</f>
        <v/>
      </c>
      <c r="Y656">
        <f>Calc!$FA$658</f>
        <v/>
      </c>
      <c r="Z656">
        <f>Calc!$FV$658</f>
        <v/>
      </c>
      <c r="AA656">
        <f>IF($T656&lt;&gt;"row",0,IF($V656=1,IF($X656=1,IF($Y656=1,1,2),IF($Y656=1,3,4)),IF($X656=1,IF($Y656=1,5,6),IF($Y656=1,7,8))))</f>
        <v/>
      </c>
    </row>
    <row r="657" ht="11.25" customHeight="1">
      <c r="A657" s="64">
        <f>Calc!$FB$659</f>
        <v/>
      </c>
      <c r="B657" s="64">
        <f>Calc!$FC$659</f>
        <v/>
      </c>
      <c r="C657" s="65">
        <f>Calc!$FD$659</f>
        <v/>
      </c>
      <c r="D657" s="65">
        <f>Calc!$FE$659</f>
        <v/>
      </c>
      <c r="E657" s="65">
        <f>Calc!$FF$659</f>
        <v/>
      </c>
      <c r="F657" s="65">
        <f>Calc!$FG$659</f>
        <v/>
      </c>
      <c r="G657" s="65">
        <f>Calc!$FH$659</f>
        <v/>
      </c>
      <c r="H657" s="65">
        <f>Calc!$FI$659</f>
        <v/>
      </c>
      <c r="I657" s="65">
        <f>Calc!$FJ$659</f>
        <v/>
      </c>
      <c r="J657" s="65">
        <f>Calc!$FK$659</f>
        <v/>
      </c>
      <c r="K657" s="65">
        <f>Calc!$FL$659</f>
        <v/>
      </c>
      <c r="L657" s="65">
        <f>Calc!$FM$659</f>
        <v/>
      </c>
      <c r="M657" s="66">
        <f>Calc!$FN$659</f>
        <v/>
      </c>
      <c r="N657" s="66">
        <f>Calc!$FO$659</f>
        <v/>
      </c>
      <c r="O657" s="65">
        <f>Calc!$FP$659</f>
        <v/>
      </c>
      <c r="P657" s="67">
        <f>Calc!$FQ$659</f>
        <v/>
      </c>
      <c r="Q657" s="68">
        <f>Calc!$FR$659</f>
        <v/>
      </c>
      <c r="R657" s="65">
        <f>Calc!$FS$659</f>
        <v/>
      </c>
      <c r="T657">
        <f>Calc!$EY$659</f>
        <v/>
      </c>
      <c r="U657">
        <f>Calc!$FT$659</f>
        <v/>
      </c>
      <c r="V657">
        <f>Calc!$FU$659</f>
        <v/>
      </c>
      <c r="W657">
        <f>Calc!$FC$659</f>
        <v/>
      </c>
      <c r="X657">
        <f>Calc!$EZ$659</f>
        <v/>
      </c>
      <c r="Y657">
        <f>Calc!$FA$659</f>
        <v/>
      </c>
      <c r="Z657">
        <f>Calc!$FV$659</f>
        <v/>
      </c>
      <c r="AA657">
        <f>IF($T657&lt;&gt;"row",0,IF($V657=1,IF($X657=1,IF($Y657=1,1,2),IF($Y657=1,3,4)),IF($X657=1,IF($Y657=1,5,6),IF($Y657=1,7,8))))</f>
        <v/>
      </c>
    </row>
    <row r="658" ht="11.25" customHeight="1">
      <c r="A658" s="64">
        <f>Calc!$FB$660</f>
        <v/>
      </c>
      <c r="B658" s="64">
        <f>Calc!$FC$660</f>
        <v/>
      </c>
      <c r="C658" s="65">
        <f>Calc!$FD$660</f>
        <v/>
      </c>
      <c r="D658" s="65">
        <f>Calc!$FE$660</f>
        <v/>
      </c>
      <c r="E658" s="65">
        <f>Calc!$FF$660</f>
        <v/>
      </c>
      <c r="F658" s="65">
        <f>Calc!$FG$660</f>
        <v/>
      </c>
      <c r="G658" s="65">
        <f>Calc!$FH$660</f>
        <v/>
      </c>
      <c r="H658" s="65">
        <f>Calc!$FI$660</f>
        <v/>
      </c>
      <c r="I658" s="65">
        <f>Calc!$FJ$660</f>
        <v/>
      </c>
      <c r="J658" s="65">
        <f>Calc!$FK$660</f>
        <v/>
      </c>
      <c r="K658" s="65">
        <f>Calc!$FL$660</f>
        <v/>
      </c>
      <c r="L658" s="65">
        <f>Calc!$FM$660</f>
        <v/>
      </c>
      <c r="M658" s="66">
        <f>Calc!$FN$660</f>
        <v/>
      </c>
      <c r="N658" s="66">
        <f>Calc!$FO$660</f>
        <v/>
      </c>
      <c r="O658" s="65">
        <f>Calc!$FP$660</f>
        <v/>
      </c>
      <c r="P658" s="67">
        <f>Calc!$FQ$660</f>
        <v/>
      </c>
      <c r="Q658" s="68">
        <f>Calc!$FR$660</f>
        <v/>
      </c>
      <c r="R658" s="65">
        <f>Calc!$FS$660</f>
        <v/>
      </c>
      <c r="T658">
        <f>Calc!$EY$660</f>
        <v/>
      </c>
      <c r="U658">
        <f>Calc!$FT$660</f>
        <v/>
      </c>
      <c r="V658">
        <f>Calc!$FU$660</f>
        <v/>
      </c>
      <c r="W658">
        <f>Calc!$FC$660</f>
        <v/>
      </c>
      <c r="X658">
        <f>Calc!$EZ$660</f>
        <v/>
      </c>
      <c r="Y658">
        <f>Calc!$FA$660</f>
        <v/>
      </c>
      <c r="Z658">
        <f>Calc!$FV$660</f>
        <v/>
      </c>
      <c r="AA658">
        <f>IF($T658&lt;&gt;"row",0,IF($V658=1,IF($X658=1,IF($Y658=1,1,2),IF($Y658=1,3,4)),IF($X658=1,IF($Y658=1,5,6),IF($Y658=1,7,8))))</f>
        <v/>
      </c>
    </row>
    <row r="659" ht="11.25" customHeight="1">
      <c r="A659" s="64">
        <f>Calc!$FB$661</f>
        <v/>
      </c>
      <c r="B659" s="64">
        <f>Calc!$FC$661</f>
        <v/>
      </c>
      <c r="C659" s="65">
        <f>Calc!$FD$661</f>
        <v/>
      </c>
      <c r="D659" s="65">
        <f>Calc!$FE$661</f>
        <v/>
      </c>
      <c r="E659" s="65">
        <f>Calc!$FF$661</f>
        <v/>
      </c>
      <c r="F659" s="65">
        <f>Calc!$FG$661</f>
        <v/>
      </c>
      <c r="G659" s="65">
        <f>Calc!$FH$661</f>
        <v/>
      </c>
      <c r="H659" s="65">
        <f>Calc!$FI$661</f>
        <v/>
      </c>
      <c r="I659" s="65">
        <f>Calc!$FJ$661</f>
        <v/>
      </c>
      <c r="J659" s="65">
        <f>Calc!$FK$661</f>
        <v/>
      </c>
      <c r="K659" s="65">
        <f>Calc!$FL$661</f>
        <v/>
      </c>
      <c r="L659" s="65">
        <f>Calc!$FM$661</f>
        <v/>
      </c>
      <c r="M659" s="66">
        <f>Calc!$FN$661</f>
        <v/>
      </c>
      <c r="N659" s="66">
        <f>Calc!$FO$661</f>
        <v/>
      </c>
      <c r="O659" s="65">
        <f>Calc!$FP$661</f>
        <v/>
      </c>
      <c r="P659" s="67">
        <f>Calc!$FQ$661</f>
        <v/>
      </c>
      <c r="Q659" s="68">
        <f>Calc!$FR$661</f>
        <v/>
      </c>
      <c r="R659" s="65">
        <f>Calc!$FS$661</f>
        <v/>
      </c>
      <c r="T659">
        <f>Calc!$EY$661</f>
        <v/>
      </c>
      <c r="U659">
        <f>Calc!$FT$661</f>
        <v/>
      </c>
      <c r="V659">
        <f>Calc!$FU$661</f>
        <v/>
      </c>
      <c r="W659">
        <f>Calc!$FC$661</f>
        <v/>
      </c>
      <c r="X659">
        <f>Calc!$EZ$661</f>
        <v/>
      </c>
      <c r="Y659">
        <f>Calc!$FA$661</f>
        <v/>
      </c>
      <c r="Z659">
        <f>Calc!$FV$661</f>
        <v/>
      </c>
      <c r="AA659">
        <f>IF($T659&lt;&gt;"row",0,IF($V659=1,IF($X659=1,IF($Y659=1,1,2),IF($Y659=1,3,4)),IF($X659=1,IF($Y659=1,5,6),IF($Y659=1,7,8))))</f>
        <v/>
      </c>
    </row>
    <row r="660" ht="11.25" customHeight="1">
      <c r="A660" s="64">
        <f>Calc!$FB$662</f>
        <v/>
      </c>
      <c r="B660" s="64">
        <f>Calc!$FC$662</f>
        <v/>
      </c>
      <c r="C660" s="65">
        <f>Calc!$FD$662</f>
        <v/>
      </c>
      <c r="D660" s="65">
        <f>Calc!$FE$662</f>
        <v/>
      </c>
      <c r="E660" s="65">
        <f>Calc!$FF$662</f>
        <v/>
      </c>
      <c r="F660" s="65">
        <f>Calc!$FG$662</f>
        <v/>
      </c>
      <c r="G660" s="65">
        <f>Calc!$FH$662</f>
        <v/>
      </c>
      <c r="H660" s="65">
        <f>Calc!$FI$662</f>
        <v/>
      </c>
      <c r="I660" s="65">
        <f>Calc!$FJ$662</f>
        <v/>
      </c>
      <c r="J660" s="65">
        <f>Calc!$FK$662</f>
        <v/>
      </c>
      <c r="K660" s="65">
        <f>Calc!$FL$662</f>
        <v/>
      </c>
      <c r="L660" s="65">
        <f>Calc!$FM$662</f>
        <v/>
      </c>
      <c r="M660" s="66">
        <f>Calc!$FN$662</f>
        <v/>
      </c>
      <c r="N660" s="66">
        <f>Calc!$FO$662</f>
        <v/>
      </c>
      <c r="O660" s="65">
        <f>Calc!$FP$662</f>
        <v/>
      </c>
      <c r="P660" s="67">
        <f>Calc!$FQ$662</f>
        <v/>
      </c>
      <c r="Q660" s="68">
        <f>Calc!$FR$662</f>
        <v/>
      </c>
      <c r="R660" s="65">
        <f>Calc!$FS$662</f>
        <v/>
      </c>
      <c r="T660">
        <f>Calc!$EY$662</f>
        <v/>
      </c>
      <c r="U660">
        <f>Calc!$FT$662</f>
        <v/>
      </c>
      <c r="V660">
        <f>Calc!$FU$662</f>
        <v/>
      </c>
      <c r="W660">
        <f>Calc!$FC$662</f>
        <v/>
      </c>
      <c r="X660">
        <f>Calc!$EZ$662</f>
        <v/>
      </c>
      <c r="Y660">
        <f>Calc!$FA$662</f>
        <v/>
      </c>
      <c r="Z660">
        <f>Calc!$FV$662</f>
        <v/>
      </c>
      <c r="AA660">
        <f>IF($T660&lt;&gt;"row",0,IF($V660=1,IF($X660=1,IF($Y660=1,1,2),IF($Y660=1,3,4)),IF($X660=1,IF($Y660=1,5,6),IF($Y660=1,7,8))))</f>
        <v/>
      </c>
    </row>
    <row r="661" ht="11.25" customHeight="1">
      <c r="A661" s="64">
        <f>Calc!$FB$663</f>
        <v/>
      </c>
      <c r="B661" s="64">
        <f>Calc!$FC$663</f>
        <v/>
      </c>
      <c r="C661" s="65">
        <f>Calc!$FD$663</f>
        <v/>
      </c>
      <c r="D661" s="65">
        <f>Calc!$FE$663</f>
        <v/>
      </c>
      <c r="E661" s="65">
        <f>Calc!$FF$663</f>
        <v/>
      </c>
      <c r="F661" s="65">
        <f>Calc!$FG$663</f>
        <v/>
      </c>
      <c r="G661" s="65">
        <f>Calc!$FH$663</f>
        <v/>
      </c>
      <c r="H661" s="65">
        <f>Calc!$FI$663</f>
        <v/>
      </c>
      <c r="I661" s="65">
        <f>Calc!$FJ$663</f>
        <v/>
      </c>
      <c r="J661" s="65">
        <f>Calc!$FK$663</f>
        <v/>
      </c>
      <c r="K661" s="65">
        <f>Calc!$FL$663</f>
        <v/>
      </c>
      <c r="L661" s="65">
        <f>Calc!$FM$663</f>
        <v/>
      </c>
      <c r="M661" s="66">
        <f>Calc!$FN$663</f>
        <v/>
      </c>
      <c r="N661" s="66">
        <f>Calc!$FO$663</f>
        <v/>
      </c>
      <c r="O661" s="65">
        <f>Calc!$FP$663</f>
        <v/>
      </c>
      <c r="P661" s="67">
        <f>Calc!$FQ$663</f>
        <v/>
      </c>
      <c r="Q661" s="68">
        <f>Calc!$FR$663</f>
        <v/>
      </c>
      <c r="R661" s="65">
        <f>Calc!$FS$663</f>
        <v/>
      </c>
      <c r="T661">
        <f>Calc!$EY$663</f>
        <v/>
      </c>
      <c r="U661">
        <f>Calc!$FT$663</f>
        <v/>
      </c>
      <c r="V661">
        <f>Calc!$FU$663</f>
        <v/>
      </c>
      <c r="W661">
        <f>Calc!$FC$663</f>
        <v/>
      </c>
      <c r="X661">
        <f>Calc!$EZ$663</f>
        <v/>
      </c>
      <c r="Y661">
        <f>Calc!$FA$663</f>
        <v/>
      </c>
      <c r="Z661">
        <f>Calc!$FV$663</f>
        <v/>
      </c>
      <c r="AA661">
        <f>IF($T661&lt;&gt;"row",0,IF($V661=1,IF($X661=1,IF($Y661=1,1,2),IF($Y661=1,3,4)),IF($X661=1,IF($Y661=1,5,6),IF($Y661=1,7,8))))</f>
        <v/>
      </c>
    </row>
    <row r="662" ht="11.25" customHeight="1">
      <c r="A662" s="64">
        <f>Calc!$FB$664</f>
        <v/>
      </c>
      <c r="B662" s="64">
        <f>Calc!$FC$664</f>
        <v/>
      </c>
      <c r="C662" s="65">
        <f>Calc!$FD$664</f>
        <v/>
      </c>
      <c r="D662" s="65">
        <f>Calc!$FE$664</f>
        <v/>
      </c>
      <c r="E662" s="65">
        <f>Calc!$FF$664</f>
        <v/>
      </c>
      <c r="F662" s="65">
        <f>Calc!$FG$664</f>
        <v/>
      </c>
      <c r="G662" s="65">
        <f>Calc!$FH$664</f>
        <v/>
      </c>
      <c r="H662" s="65">
        <f>Calc!$FI$664</f>
        <v/>
      </c>
      <c r="I662" s="65">
        <f>Calc!$FJ$664</f>
        <v/>
      </c>
      <c r="J662" s="65">
        <f>Calc!$FK$664</f>
        <v/>
      </c>
      <c r="K662" s="65">
        <f>Calc!$FL$664</f>
        <v/>
      </c>
      <c r="L662" s="65">
        <f>Calc!$FM$664</f>
        <v/>
      </c>
      <c r="M662" s="66">
        <f>Calc!$FN$664</f>
        <v/>
      </c>
      <c r="N662" s="66">
        <f>Calc!$FO$664</f>
        <v/>
      </c>
      <c r="O662" s="65">
        <f>Calc!$FP$664</f>
        <v/>
      </c>
      <c r="P662" s="67">
        <f>Calc!$FQ$664</f>
        <v/>
      </c>
      <c r="Q662" s="68">
        <f>Calc!$FR$664</f>
        <v/>
      </c>
      <c r="R662" s="65">
        <f>Calc!$FS$664</f>
        <v/>
      </c>
      <c r="T662">
        <f>Calc!$EY$664</f>
        <v/>
      </c>
      <c r="U662">
        <f>Calc!$FT$664</f>
        <v/>
      </c>
      <c r="V662">
        <f>Calc!$FU$664</f>
        <v/>
      </c>
      <c r="W662">
        <f>Calc!$FC$664</f>
        <v/>
      </c>
      <c r="X662">
        <f>Calc!$EZ$664</f>
        <v/>
      </c>
      <c r="Y662">
        <f>Calc!$FA$664</f>
        <v/>
      </c>
      <c r="Z662">
        <f>Calc!$FV$664</f>
        <v/>
      </c>
      <c r="AA662">
        <f>IF($T662&lt;&gt;"row",0,IF($V662=1,IF($X662=1,IF($Y662=1,1,2),IF($Y662=1,3,4)),IF($X662=1,IF($Y662=1,5,6),IF($Y662=1,7,8))))</f>
        <v/>
      </c>
    </row>
    <row r="663" ht="11.25" customHeight="1">
      <c r="A663" s="64">
        <f>Calc!$FB$665</f>
        <v/>
      </c>
      <c r="B663" s="64">
        <f>Calc!$FC$665</f>
        <v/>
      </c>
      <c r="C663" s="65">
        <f>Calc!$FD$665</f>
        <v/>
      </c>
      <c r="D663" s="65">
        <f>Calc!$FE$665</f>
        <v/>
      </c>
      <c r="E663" s="65">
        <f>Calc!$FF$665</f>
        <v/>
      </c>
      <c r="F663" s="65">
        <f>Calc!$FG$665</f>
        <v/>
      </c>
      <c r="G663" s="65">
        <f>Calc!$FH$665</f>
        <v/>
      </c>
      <c r="H663" s="65">
        <f>Calc!$FI$665</f>
        <v/>
      </c>
      <c r="I663" s="65">
        <f>Calc!$FJ$665</f>
        <v/>
      </c>
      <c r="J663" s="65">
        <f>Calc!$FK$665</f>
        <v/>
      </c>
      <c r="K663" s="65">
        <f>Calc!$FL$665</f>
        <v/>
      </c>
      <c r="L663" s="65">
        <f>Calc!$FM$665</f>
        <v/>
      </c>
      <c r="M663" s="66">
        <f>Calc!$FN$665</f>
        <v/>
      </c>
      <c r="N663" s="66">
        <f>Calc!$FO$665</f>
        <v/>
      </c>
      <c r="O663" s="65">
        <f>Calc!$FP$665</f>
        <v/>
      </c>
      <c r="P663" s="67">
        <f>Calc!$FQ$665</f>
        <v/>
      </c>
      <c r="Q663" s="68">
        <f>Calc!$FR$665</f>
        <v/>
      </c>
      <c r="R663" s="65">
        <f>Calc!$FS$665</f>
        <v/>
      </c>
      <c r="T663">
        <f>Calc!$EY$665</f>
        <v/>
      </c>
      <c r="U663">
        <f>Calc!$FT$665</f>
        <v/>
      </c>
      <c r="V663">
        <f>Calc!$FU$665</f>
        <v/>
      </c>
      <c r="W663">
        <f>Calc!$FC$665</f>
        <v/>
      </c>
      <c r="X663">
        <f>Calc!$EZ$665</f>
        <v/>
      </c>
      <c r="Y663">
        <f>Calc!$FA$665</f>
        <v/>
      </c>
      <c r="Z663">
        <f>Calc!$FV$665</f>
        <v/>
      </c>
      <c r="AA663">
        <f>IF($T663&lt;&gt;"row",0,IF($V663=1,IF($X663=1,IF($Y663=1,1,2),IF($Y663=1,3,4)),IF($X663=1,IF($Y663=1,5,6),IF($Y663=1,7,8))))</f>
        <v/>
      </c>
    </row>
    <row r="664" ht="11.25" customHeight="1">
      <c r="A664" s="64">
        <f>Calc!$FB$666</f>
        <v/>
      </c>
      <c r="B664" s="64">
        <f>Calc!$FC$666</f>
        <v/>
      </c>
      <c r="C664" s="65">
        <f>Calc!$FD$666</f>
        <v/>
      </c>
      <c r="D664" s="65">
        <f>Calc!$FE$666</f>
        <v/>
      </c>
      <c r="E664" s="65">
        <f>Calc!$FF$666</f>
        <v/>
      </c>
      <c r="F664" s="65">
        <f>Calc!$FG$666</f>
        <v/>
      </c>
      <c r="G664" s="65">
        <f>Calc!$FH$666</f>
        <v/>
      </c>
      <c r="H664" s="65">
        <f>Calc!$FI$666</f>
        <v/>
      </c>
      <c r="I664" s="65">
        <f>Calc!$FJ$666</f>
        <v/>
      </c>
      <c r="J664" s="65">
        <f>Calc!$FK$666</f>
        <v/>
      </c>
      <c r="K664" s="65">
        <f>Calc!$FL$666</f>
        <v/>
      </c>
      <c r="L664" s="65">
        <f>Calc!$FM$666</f>
        <v/>
      </c>
      <c r="M664" s="66">
        <f>Calc!$FN$666</f>
        <v/>
      </c>
      <c r="N664" s="66">
        <f>Calc!$FO$666</f>
        <v/>
      </c>
      <c r="O664" s="65">
        <f>Calc!$FP$666</f>
        <v/>
      </c>
      <c r="P664" s="67">
        <f>Calc!$FQ$666</f>
        <v/>
      </c>
      <c r="Q664" s="68">
        <f>Calc!$FR$666</f>
        <v/>
      </c>
      <c r="R664" s="65">
        <f>Calc!$FS$666</f>
        <v/>
      </c>
      <c r="T664">
        <f>Calc!$EY$666</f>
        <v/>
      </c>
      <c r="U664">
        <f>Calc!$FT$666</f>
        <v/>
      </c>
      <c r="V664">
        <f>Calc!$FU$666</f>
        <v/>
      </c>
      <c r="W664">
        <f>Calc!$FC$666</f>
        <v/>
      </c>
      <c r="X664">
        <f>Calc!$EZ$666</f>
        <v/>
      </c>
      <c r="Y664">
        <f>Calc!$FA$666</f>
        <v/>
      </c>
      <c r="Z664">
        <f>Calc!$FV$666</f>
        <v/>
      </c>
      <c r="AA664">
        <f>IF($T664&lt;&gt;"row",0,IF($V664=1,IF($X664=1,IF($Y664=1,1,2),IF($Y664=1,3,4)),IF($X664=1,IF($Y664=1,5,6),IF($Y664=1,7,8))))</f>
        <v/>
      </c>
    </row>
    <row r="665" ht="11.25" customHeight="1">
      <c r="A665" s="64">
        <f>Calc!$FB$667</f>
        <v/>
      </c>
      <c r="B665" s="64">
        <f>Calc!$FC$667</f>
        <v/>
      </c>
      <c r="C665" s="65">
        <f>Calc!$FD$667</f>
        <v/>
      </c>
      <c r="D665" s="65">
        <f>Calc!$FE$667</f>
        <v/>
      </c>
      <c r="E665" s="65">
        <f>Calc!$FF$667</f>
        <v/>
      </c>
      <c r="F665" s="65">
        <f>Calc!$FG$667</f>
        <v/>
      </c>
      <c r="G665" s="65">
        <f>Calc!$FH$667</f>
        <v/>
      </c>
      <c r="H665" s="65">
        <f>Calc!$FI$667</f>
        <v/>
      </c>
      <c r="I665" s="65">
        <f>Calc!$FJ$667</f>
        <v/>
      </c>
      <c r="J665" s="65">
        <f>Calc!$FK$667</f>
        <v/>
      </c>
      <c r="K665" s="65">
        <f>Calc!$FL$667</f>
        <v/>
      </c>
      <c r="L665" s="65">
        <f>Calc!$FM$667</f>
        <v/>
      </c>
      <c r="M665" s="66">
        <f>Calc!$FN$667</f>
        <v/>
      </c>
      <c r="N665" s="66">
        <f>Calc!$FO$667</f>
        <v/>
      </c>
      <c r="O665" s="65">
        <f>Calc!$FP$667</f>
        <v/>
      </c>
      <c r="P665" s="67">
        <f>Calc!$FQ$667</f>
        <v/>
      </c>
      <c r="Q665" s="68">
        <f>Calc!$FR$667</f>
        <v/>
      </c>
      <c r="R665" s="65">
        <f>Calc!$FS$667</f>
        <v/>
      </c>
      <c r="T665">
        <f>Calc!$EY$667</f>
        <v/>
      </c>
      <c r="U665">
        <f>Calc!$FT$667</f>
        <v/>
      </c>
      <c r="V665">
        <f>Calc!$FU$667</f>
        <v/>
      </c>
      <c r="W665">
        <f>Calc!$FC$667</f>
        <v/>
      </c>
      <c r="X665">
        <f>Calc!$EZ$667</f>
        <v/>
      </c>
      <c r="Y665">
        <f>Calc!$FA$667</f>
        <v/>
      </c>
      <c r="Z665">
        <f>Calc!$FV$667</f>
        <v/>
      </c>
      <c r="AA665">
        <f>IF($T665&lt;&gt;"row",0,IF($V665=1,IF($X665=1,IF($Y665=1,1,2),IF($Y665=1,3,4)),IF($X665=1,IF($Y665=1,5,6),IF($Y665=1,7,8))))</f>
        <v/>
      </c>
    </row>
    <row r="666" ht="11.25" customHeight="1">
      <c r="A666" s="64">
        <f>Calc!$FB$668</f>
        <v/>
      </c>
      <c r="B666" s="64">
        <f>Calc!$FC$668</f>
        <v/>
      </c>
      <c r="C666" s="65">
        <f>Calc!$FD$668</f>
        <v/>
      </c>
      <c r="D666" s="65">
        <f>Calc!$FE$668</f>
        <v/>
      </c>
      <c r="E666" s="65">
        <f>Calc!$FF$668</f>
        <v/>
      </c>
      <c r="F666" s="65">
        <f>Calc!$FG$668</f>
        <v/>
      </c>
      <c r="G666" s="65">
        <f>Calc!$FH$668</f>
        <v/>
      </c>
      <c r="H666" s="65">
        <f>Calc!$FI$668</f>
        <v/>
      </c>
      <c r="I666" s="65">
        <f>Calc!$FJ$668</f>
        <v/>
      </c>
      <c r="J666" s="65">
        <f>Calc!$FK$668</f>
        <v/>
      </c>
      <c r="K666" s="65">
        <f>Calc!$FL$668</f>
        <v/>
      </c>
      <c r="L666" s="65">
        <f>Calc!$FM$668</f>
        <v/>
      </c>
      <c r="M666" s="66">
        <f>Calc!$FN$668</f>
        <v/>
      </c>
      <c r="N666" s="66">
        <f>Calc!$FO$668</f>
        <v/>
      </c>
      <c r="O666" s="65">
        <f>Calc!$FP$668</f>
        <v/>
      </c>
      <c r="P666" s="67">
        <f>Calc!$FQ$668</f>
        <v/>
      </c>
      <c r="Q666" s="68">
        <f>Calc!$FR$668</f>
        <v/>
      </c>
      <c r="R666" s="65">
        <f>Calc!$FS$668</f>
        <v/>
      </c>
      <c r="T666">
        <f>Calc!$EY$668</f>
        <v/>
      </c>
      <c r="U666">
        <f>Calc!$FT$668</f>
        <v/>
      </c>
      <c r="V666">
        <f>Calc!$FU$668</f>
        <v/>
      </c>
      <c r="W666">
        <f>Calc!$FC$668</f>
        <v/>
      </c>
      <c r="X666">
        <f>Calc!$EZ$668</f>
        <v/>
      </c>
      <c r="Y666">
        <f>Calc!$FA$668</f>
        <v/>
      </c>
      <c r="Z666">
        <f>Calc!$FV$668</f>
        <v/>
      </c>
      <c r="AA666">
        <f>IF($T666&lt;&gt;"row",0,IF($V666=1,IF($X666=1,IF($Y666=1,1,2),IF($Y666=1,3,4)),IF($X666=1,IF($Y666=1,5,6),IF($Y666=1,7,8))))</f>
        <v/>
      </c>
    </row>
    <row r="667" ht="11.25" customHeight="1">
      <c r="A667" s="64">
        <f>Calc!$FB$669</f>
        <v/>
      </c>
      <c r="B667" s="64">
        <f>Calc!$FC$669</f>
        <v/>
      </c>
      <c r="C667" s="65">
        <f>Calc!$FD$669</f>
        <v/>
      </c>
      <c r="D667" s="65">
        <f>Calc!$FE$669</f>
        <v/>
      </c>
      <c r="E667" s="65">
        <f>Calc!$FF$669</f>
        <v/>
      </c>
      <c r="F667" s="65">
        <f>Calc!$FG$669</f>
        <v/>
      </c>
      <c r="G667" s="65">
        <f>Calc!$FH$669</f>
        <v/>
      </c>
      <c r="H667" s="65">
        <f>Calc!$FI$669</f>
        <v/>
      </c>
      <c r="I667" s="65">
        <f>Calc!$FJ$669</f>
        <v/>
      </c>
      <c r="J667" s="65">
        <f>Calc!$FK$669</f>
        <v/>
      </c>
      <c r="K667" s="65">
        <f>Calc!$FL$669</f>
        <v/>
      </c>
      <c r="L667" s="65">
        <f>Calc!$FM$669</f>
        <v/>
      </c>
      <c r="M667" s="66">
        <f>Calc!$FN$669</f>
        <v/>
      </c>
      <c r="N667" s="66">
        <f>Calc!$FO$669</f>
        <v/>
      </c>
      <c r="O667" s="65">
        <f>Calc!$FP$669</f>
        <v/>
      </c>
      <c r="P667" s="67">
        <f>Calc!$FQ$669</f>
        <v/>
      </c>
      <c r="Q667" s="68">
        <f>Calc!$FR$669</f>
        <v/>
      </c>
      <c r="R667" s="65">
        <f>Calc!$FS$669</f>
        <v/>
      </c>
      <c r="T667">
        <f>Calc!$EY$669</f>
        <v/>
      </c>
      <c r="U667">
        <f>Calc!$FT$669</f>
        <v/>
      </c>
      <c r="V667">
        <f>Calc!$FU$669</f>
        <v/>
      </c>
      <c r="W667">
        <f>Calc!$FC$669</f>
        <v/>
      </c>
      <c r="X667">
        <f>Calc!$EZ$669</f>
        <v/>
      </c>
      <c r="Y667">
        <f>Calc!$FA$669</f>
        <v/>
      </c>
      <c r="Z667">
        <f>Calc!$FV$669</f>
        <v/>
      </c>
      <c r="AA667">
        <f>IF($T667&lt;&gt;"row",0,IF($V667=1,IF($X667=1,IF($Y667=1,1,2),IF($Y667=1,3,4)),IF($X667=1,IF($Y667=1,5,6),IF($Y667=1,7,8))))</f>
        <v/>
      </c>
    </row>
    <row r="668" ht="11.25" customHeight="1">
      <c r="A668" s="64">
        <f>Calc!$FB$670</f>
        <v/>
      </c>
      <c r="B668" s="64">
        <f>Calc!$FC$670</f>
        <v/>
      </c>
      <c r="C668" s="65">
        <f>Calc!$FD$670</f>
        <v/>
      </c>
      <c r="D668" s="65">
        <f>Calc!$FE$670</f>
        <v/>
      </c>
      <c r="E668" s="65">
        <f>Calc!$FF$670</f>
        <v/>
      </c>
      <c r="F668" s="65">
        <f>Calc!$FG$670</f>
        <v/>
      </c>
      <c r="G668" s="65">
        <f>Calc!$FH$670</f>
        <v/>
      </c>
      <c r="H668" s="65">
        <f>Calc!$FI$670</f>
        <v/>
      </c>
      <c r="I668" s="65">
        <f>Calc!$FJ$670</f>
        <v/>
      </c>
      <c r="J668" s="65">
        <f>Calc!$FK$670</f>
        <v/>
      </c>
      <c r="K668" s="65">
        <f>Calc!$FL$670</f>
        <v/>
      </c>
      <c r="L668" s="65">
        <f>Calc!$FM$670</f>
        <v/>
      </c>
      <c r="M668" s="66">
        <f>Calc!$FN$670</f>
        <v/>
      </c>
      <c r="N668" s="66">
        <f>Calc!$FO$670</f>
        <v/>
      </c>
      <c r="O668" s="65">
        <f>Calc!$FP$670</f>
        <v/>
      </c>
      <c r="P668" s="67">
        <f>Calc!$FQ$670</f>
        <v/>
      </c>
      <c r="Q668" s="68">
        <f>Calc!$FR$670</f>
        <v/>
      </c>
      <c r="R668" s="65">
        <f>Calc!$FS$670</f>
        <v/>
      </c>
      <c r="T668">
        <f>Calc!$EY$670</f>
        <v/>
      </c>
      <c r="U668">
        <f>Calc!$FT$670</f>
        <v/>
      </c>
      <c r="V668">
        <f>Calc!$FU$670</f>
        <v/>
      </c>
      <c r="W668">
        <f>Calc!$FC$670</f>
        <v/>
      </c>
      <c r="X668">
        <f>Calc!$EZ$670</f>
        <v/>
      </c>
      <c r="Y668">
        <f>Calc!$FA$670</f>
        <v/>
      </c>
      <c r="Z668">
        <f>Calc!$FV$670</f>
        <v/>
      </c>
      <c r="AA668">
        <f>IF($T668&lt;&gt;"row",0,IF($V668=1,IF($X668=1,IF($Y668=1,1,2),IF($Y668=1,3,4)),IF($X668=1,IF($Y668=1,5,6),IF($Y668=1,7,8))))</f>
        <v/>
      </c>
    </row>
    <row r="669" ht="11.25" customHeight="1">
      <c r="A669" s="64">
        <f>Calc!$FB$671</f>
        <v/>
      </c>
      <c r="B669" s="64">
        <f>Calc!$FC$671</f>
        <v/>
      </c>
      <c r="C669" s="65">
        <f>Calc!$FD$671</f>
        <v/>
      </c>
      <c r="D669" s="65">
        <f>Calc!$FE$671</f>
        <v/>
      </c>
      <c r="E669" s="65">
        <f>Calc!$FF$671</f>
        <v/>
      </c>
      <c r="F669" s="65">
        <f>Calc!$FG$671</f>
        <v/>
      </c>
      <c r="G669" s="65">
        <f>Calc!$FH$671</f>
        <v/>
      </c>
      <c r="H669" s="65">
        <f>Calc!$FI$671</f>
        <v/>
      </c>
      <c r="I669" s="65">
        <f>Calc!$FJ$671</f>
        <v/>
      </c>
      <c r="J669" s="65">
        <f>Calc!$FK$671</f>
        <v/>
      </c>
      <c r="K669" s="65">
        <f>Calc!$FL$671</f>
        <v/>
      </c>
      <c r="L669" s="65">
        <f>Calc!$FM$671</f>
        <v/>
      </c>
      <c r="M669" s="66">
        <f>Calc!$FN$671</f>
        <v/>
      </c>
      <c r="N669" s="66">
        <f>Calc!$FO$671</f>
        <v/>
      </c>
      <c r="O669" s="65">
        <f>Calc!$FP$671</f>
        <v/>
      </c>
      <c r="P669" s="67">
        <f>Calc!$FQ$671</f>
        <v/>
      </c>
      <c r="Q669" s="68">
        <f>Calc!$FR$671</f>
        <v/>
      </c>
      <c r="R669" s="65">
        <f>Calc!$FS$671</f>
        <v/>
      </c>
      <c r="T669">
        <f>Calc!$EY$671</f>
        <v/>
      </c>
      <c r="U669">
        <f>Calc!$FT$671</f>
        <v/>
      </c>
      <c r="V669">
        <f>Calc!$FU$671</f>
        <v/>
      </c>
      <c r="W669">
        <f>Calc!$FC$671</f>
        <v/>
      </c>
      <c r="X669">
        <f>Calc!$EZ$671</f>
        <v/>
      </c>
      <c r="Y669">
        <f>Calc!$FA$671</f>
        <v/>
      </c>
      <c r="Z669">
        <f>Calc!$FV$671</f>
        <v/>
      </c>
      <c r="AA669">
        <f>IF($T669&lt;&gt;"row",0,IF($V669=1,IF($X669=1,IF($Y669=1,1,2),IF($Y669=1,3,4)),IF($X669=1,IF($Y669=1,5,6),IF($Y669=1,7,8))))</f>
        <v/>
      </c>
    </row>
    <row r="670" ht="11.25" customHeight="1">
      <c r="A670" s="64">
        <f>Calc!$FB$672</f>
        <v/>
      </c>
      <c r="B670" s="64">
        <f>Calc!$FC$672</f>
        <v/>
      </c>
      <c r="C670" s="65">
        <f>Calc!$FD$672</f>
        <v/>
      </c>
      <c r="D670" s="65">
        <f>Calc!$FE$672</f>
        <v/>
      </c>
      <c r="E670" s="65">
        <f>Calc!$FF$672</f>
        <v/>
      </c>
      <c r="F670" s="65">
        <f>Calc!$FG$672</f>
        <v/>
      </c>
      <c r="G670" s="65">
        <f>Calc!$FH$672</f>
        <v/>
      </c>
      <c r="H670" s="65">
        <f>Calc!$FI$672</f>
        <v/>
      </c>
      <c r="I670" s="65">
        <f>Calc!$FJ$672</f>
        <v/>
      </c>
      <c r="J670" s="65">
        <f>Calc!$FK$672</f>
        <v/>
      </c>
      <c r="K670" s="65">
        <f>Calc!$FL$672</f>
        <v/>
      </c>
      <c r="L670" s="65">
        <f>Calc!$FM$672</f>
        <v/>
      </c>
      <c r="M670" s="66">
        <f>Calc!$FN$672</f>
        <v/>
      </c>
      <c r="N670" s="66">
        <f>Calc!$FO$672</f>
        <v/>
      </c>
      <c r="O670" s="65">
        <f>Calc!$FP$672</f>
        <v/>
      </c>
      <c r="P670" s="67">
        <f>Calc!$FQ$672</f>
        <v/>
      </c>
      <c r="Q670" s="68">
        <f>Calc!$FR$672</f>
        <v/>
      </c>
      <c r="R670" s="65">
        <f>Calc!$FS$672</f>
        <v/>
      </c>
      <c r="T670">
        <f>Calc!$EY$672</f>
        <v/>
      </c>
      <c r="U670">
        <f>Calc!$FT$672</f>
        <v/>
      </c>
      <c r="V670">
        <f>Calc!$FU$672</f>
        <v/>
      </c>
      <c r="W670">
        <f>Calc!$FC$672</f>
        <v/>
      </c>
      <c r="X670">
        <f>Calc!$EZ$672</f>
        <v/>
      </c>
      <c r="Y670">
        <f>Calc!$FA$672</f>
        <v/>
      </c>
      <c r="Z670">
        <f>Calc!$FV$672</f>
        <v/>
      </c>
      <c r="AA670">
        <f>IF($T670&lt;&gt;"row",0,IF($V670=1,IF($X670=1,IF($Y670=1,1,2),IF($Y670=1,3,4)),IF($X670=1,IF($Y670=1,5,6),IF($Y670=1,7,8))))</f>
        <v/>
      </c>
    </row>
    <row r="671" ht="11.25" customHeight="1">
      <c r="A671" s="64">
        <f>Calc!$FB$673</f>
        <v/>
      </c>
      <c r="B671" s="64">
        <f>Calc!$FC$673</f>
        <v/>
      </c>
      <c r="C671" s="65">
        <f>Calc!$FD$673</f>
        <v/>
      </c>
      <c r="D671" s="65">
        <f>Calc!$FE$673</f>
        <v/>
      </c>
      <c r="E671" s="65">
        <f>Calc!$FF$673</f>
        <v/>
      </c>
      <c r="F671" s="65">
        <f>Calc!$FG$673</f>
        <v/>
      </c>
      <c r="G671" s="65">
        <f>Calc!$FH$673</f>
        <v/>
      </c>
      <c r="H671" s="65">
        <f>Calc!$FI$673</f>
        <v/>
      </c>
      <c r="I671" s="65">
        <f>Calc!$FJ$673</f>
        <v/>
      </c>
      <c r="J671" s="65">
        <f>Calc!$FK$673</f>
        <v/>
      </c>
      <c r="K671" s="65">
        <f>Calc!$FL$673</f>
        <v/>
      </c>
      <c r="L671" s="65">
        <f>Calc!$FM$673</f>
        <v/>
      </c>
      <c r="M671" s="66">
        <f>Calc!$FN$673</f>
        <v/>
      </c>
      <c r="N671" s="66">
        <f>Calc!$FO$673</f>
        <v/>
      </c>
      <c r="O671" s="65">
        <f>Calc!$FP$673</f>
        <v/>
      </c>
      <c r="P671" s="67">
        <f>Calc!$FQ$673</f>
        <v/>
      </c>
      <c r="Q671" s="68">
        <f>Calc!$FR$673</f>
        <v/>
      </c>
      <c r="R671" s="65">
        <f>Calc!$FS$673</f>
        <v/>
      </c>
      <c r="T671">
        <f>Calc!$EY$673</f>
        <v/>
      </c>
      <c r="U671">
        <f>Calc!$FT$673</f>
        <v/>
      </c>
      <c r="V671">
        <f>Calc!$FU$673</f>
        <v/>
      </c>
      <c r="W671">
        <f>Calc!$FC$673</f>
        <v/>
      </c>
      <c r="X671">
        <f>Calc!$EZ$673</f>
        <v/>
      </c>
      <c r="Y671">
        <f>Calc!$FA$673</f>
        <v/>
      </c>
      <c r="Z671">
        <f>Calc!$FV$673</f>
        <v/>
      </c>
      <c r="AA671">
        <f>IF($T671&lt;&gt;"row",0,IF($V671=1,IF($X671=1,IF($Y671=1,1,2),IF($Y671=1,3,4)),IF($X671=1,IF($Y671=1,5,6),IF($Y671=1,7,8))))</f>
        <v/>
      </c>
    </row>
    <row r="672" ht="11.25" customHeight="1">
      <c r="A672" s="64">
        <f>Calc!$FB$674</f>
        <v/>
      </c>
      <c r="B672" s="64">
        <f>Calc!$FC$674</f>
        <v/>
      </c>
      <c r="C672" s="65">
        <f>Calc!$FD$674</f>
        <v/>
      </c>
      <c r="D672" s="65">
        <f>Calc!$FE$674</f>
        <v/>
      </c>
      <c r="E672" s="65">
        <f>Calc!$FF$674</f>
        <v/>
      </c>
      <c r="F672" s="65">
        <f>Calc!$FG$674</f>
        <v/>
      </c>
      <c r="G672" s="65">
        <f>Calc!$FH$674</f>
        <v/>
      </c>
      <c r="H672" s="65">
        <f>Calc!$FI$674</f>
        <v/>
      </c>
      <c r="I672" s="65">
        <f>Calc!$FJ$674</f>
        <v/>
      </c>
      <c r="J672" s="65">
        <f>Calc!$FK$674</f>
        <v/>
      </c>
      <c r="K672" s="65">
        <f>Calc!$FL$674</f>
        <v/>
      </c>
      <c r="L672" s="65">
        <f>Calc!$FM$674</f>
        <v/>
      </c>
      <c r="M672" s="66">
        <f>Calc!$FN$674</f>
        <v/>
      </c>
      <c r="N672" s="66">
        <f>Calc!$FO$674</f>
        <v/>
      </c>
      <c r="O672" s="65">
        <f>Calc!$FP$674</f>
        <v/>
      </c>
      <c r="P672" s="67">
        <f>Calc!$FQ$674</f>
        <v/>
      </c>
      <c r="Q672" s="68">
        <f>Calc!$FR$674</f>
        <v/>
      </c>
      <c r="R672" s="65">
        <f>Calc!$FS$674</f>
        <v/>
      </c>
      <c r="T672">
        <f>Calc!$EY$674</f>
        <v/>
      </c>
      <c r="U672">
        <f>Calc!$FT$674</f>
        <v/>
      </c>
      <c r="V672">
        <f>Calc!$FU$674</f>
        <v/>
      </c>
      <c r="W672">
        <f>Calc!$FC$674</f>
        <v/>
      </c>
      <c r="X672">
        <f>Calc!$EZ$674</f>
        <v/>
      </c>
      <c r="Y672">
        <f>Calc!$FA$674</f>
        <v/>
      </c>
      <c r="Z672">
        <f>Calc!$FV$674</f>
        <v/>
      </c>
      <c r="AA672">
        <f>IF($T672&lt;&gt;"row",0,IF($V672=1,IF($X672=1,IF($Y672=1,1,2),IF($Y672=1,3,4)),IF($X672=1,IF($Y672=1,5,6),IF($Y672=1,7,8))))</f>
        <v/>
      </c>
    </row>
    <row r="673" ht="11.25" customHeight="1">
      <c r="A673" s="64">
        <f>Calc!$FB$675</f>
        <v/>
      </c>
      <c r="B673" s="64">
        <f>Calc!$FC$675</f>
        <v/>
      </c>
      <c r="C673" s="65">
        <f>Calc!$FD$675</f>
        <v/>
      </c>
      <c r="D673" s="65">
        <f>Calc!$FE$675</f>
        <v/>
      </c>
      <c r="E673" s="65">
        <f>Calc!$FF$675</f>
        <v/>
      </c>
      <c r="F673" s="65">
        <f>Calc!$FG$675</f>
        <v/>
      </c>
      <c r="G673" s="65">
        <f>Calc!$FH$675</f>
        <v/>
      </c>
      <c r="H673" s="65">
        <f>Calc!$FI$675</f>
        <v/>
      </c>
      <c r="I673" s="65">
        <f>Calc!$FJ$675</f>
        <v/>
      </c>
      <c r="J673" s="65">
        <f>Calc!$FK$675</f>
        <v/>
      </c>
      <c r="K673" s="65">
        <f>Calc!$FL$675</f>
        <v/>
      </c>
      <c r="L673" s="65">
        <f>Calc!$FM$675</f>
        <v/>
      </c>
      <c r="M673" s="66">
        <f>Calc!$FN$675</f>
        <v/>
      </c>
      <c r="N673" s="66">
        <f>Calc!$FO$675</f>
        <v/>
      </c>
      <c r="O673" s="65">
        <f>Calc!$FP$675</f>
        <v/>
      </c>
      <c r="P673" s="67">
        <f>Calc!$FQ$675</f>
        <v/>
      </c>
      <c r="Q673" s="68">
        <f>Calc!$FR$675</f>
        <v/>
      </c>
      <c r="R673" s="65">
        <f>Calc!$FS$675</f>
        <v/>
      </c>
      <c r="T673">
        <f>Calc!$EY$675</f>
        <v/>
      </c>
      <c r="U673">
        <f>Calc!$FT$675</f>
        <v/>
      </c>
      <c r="V673">
        <f>Calc!$FU$675</f>
        <v/>
      </c>
      <c r="W673">
        <f>Calc!$FC$675</f>
        <v/>
      </c>
      <c r="X673">
        <f>Calc!$EZ$675</f>
        <v/>
      </c>
      <c r="Y673">
        <f>Calc!$FA$675</f>
        <v/>
      </c>
      <c r="Z673">
        <f>Calc!$FV$675</f>
        <v/>
      </c>
      <c r="AA673">
        <f>IF($T673&lt;&gt;"row",0,IF($V673=1,IF($X673=1,IF($Y673=1,1,2),IF($Y673=1,3,4)),IF($X673=1,IF($Y673=1,5,6),IF($Y673=1,7,8))))</f>
        <v/>
      </c>
    </row>
    <row r="674" ht="11.25" customHeight="1">
      <c r="A674" s="64">
        <f>Calc!$FB$676</f>
        <v/>
      </c>
      <c r="B674" s="64">
        <f>Calc!$FC$676</f>
        <v/>
      </c>
      <c r="C674" s="65">
        <f>Calc!$FD$676</f>
        <v/>
      </c>
      <c r="D674" s="65">
        <f>Calc!$FE$676</f>
        <v/>
      </c>
      <c r="E674" s="65">
        <f>Calc!$FF$676</f>
        <v/>
      </c>
      <c r="F674" s="65">
        <f>Calc!$FG$676</f>
        <v/>
      </c>
      <c r="G674" s="65">
        <f>Calc!$FH$676</f>
        <v/>
      </c>
      <c r="H674" s="65">
        <f>Calc!$FI$676</f>
        <v/>
      </c>
      <c r="I674" s="65">
        <f>Calc!$FJ$676</f>
        <v/>
      </c>
      <c r="J674" s="65">
        <f>Calc!$FK$676</f>
        <v/>
      </c>
      <c r="K674" s="65">
        <f>Calc!$FL$676</f>
        <v/>
      </c>
      <c r="L674" s="65">
        <f>Calc!$FM$676</f>
        <v/>
      </c>
      <c r="M674" s="66">
        <f>Calc!$FN$676</f>
        <v/>
      </c>
      <c r="N674" s="66">
        <f>Calc!$FO$676</f>
        <v/>
      </c>
      <c r="O674" s="65">
        <f>Calc!$FP$676</f>
        <v/>
      </c>
      <c r="P674" s="67">
        <f>Calc!$FQ$676</f>
        <v/>
      </c>
      <c r="Q674" s="68">
        <f>Calc!$FR$676</f>
        <v/>
      </c>
      <c r="R674" s="65">
        <f>Calc!$FS$676</f>
        <v/>
      </c>
      <c r="T674">
        <f>Calc!$EY$676</f>
        <v/>
      </c>
      <c r="U674">
        <f>Calc!$FT$676</f>
        <v/>
      </c>
      <c r="V674">
        <f>Calc!$FU$676</f>
        <v/>
      </c>
      <c r="W674">
        <f>Calc!$FC$676</f>
        <v/>
      </c>
      <c r="X674">
        <f>Calc!$EZ$676</f>
        <v/>
      </c>
      <c r="Y674">
        <f>Calc!$FA$676</f>
        <v/>
      </c>
      <c r="Z674">
        <f>Calc!$FV$676</f>
        <v/>
      </c>
      <c r="AA674">
        <f>IF($T674&lt;&gt;"row",0,IF($V674=1,IF($X674=1,IF($Y674=1,1,2),IF($Y674=1,3,4)),IF($X674=1,IF($Y674=1,5,6),IF($Y674=1,7,8))))</f>
        <v/>
      </c>
    </row>
    <row r="675" ht="11.25" customHeight="1">
      <c r="A675" s="64">
        <f>Calc!$FB$677</f>
        <v/>
      </c>
      <c r="B675" s="64">
        <f>Calc!$FC$677</f>
        <v/>
      </c>
      <c r="C675" s="65">
        <f>Calc!$FD$677</f>
        <v/>
      </c>
      <c r="D675" s="65">
        <f>Calc!$FE$677</f>
        <v/>
      </c>
      <c r="E675" s="65">
        <f>Calc!$FF$677</f>
        <v/>
      </c>
      <c r="F675" s="65">
        <f>Calc!$FG$677</f>
        <v/>
      </c>
      <c r="G675" s="65">
        <f>Calc!$FH$677</f>
        <v/>
      </c>
      <c r="H675" s="65">
        <f>Calc!$FI$677</f>
        <v/>
      </c>
      <c r="I675" s="65">
        <f>Calc!$FJ$677</f>
        <v/>
      </c>
      <c r="J675" s="65">
        <f>Calc!$FK$677</f>
        <v/>
      </c>
      <c r="K675" s="65">
        <f>Calc!$FL$677</f>
        <v/>
      </c>
      <c r="L675" s="65">
        <f>Calc!$FM$677</f>
        <v/>
      </c>
      <c r="M675" s="66">
        <f>Calc!$FN$677</f>
        <v/>
      </c>
      <c r="N675" s="66">
        <f>Calc!$FO$677</f>
        <v/>
      </c>
      <c r="O675" s="65">
        <f>Calc!$FP$677</f>
        <v/>
      </c>
      <c r="P675" s="67">
        <f>Calc!$FQ$677</f>
        <v/>
      </c>
      <c r="Q675" s="68">
        <f>Calc!$FR$677</f>
        <v/>
      </c>
      <c r="R675" s="65">
        <f>Calc!$FS$677</f>
        <v/>
      </c>
      <c r="T675">
        <f>Calc!$EY$677</f>
        <v/>
      </c>
      <c r="U675">
        <f>Calc!$FT$677</f>
        <v/>
      </c>
      <c r="V675">
        <f>Calc!$FU$677</f>
        <v/>
      </c>
      <c r="W675">
        <f>Calc!$FC$677</f>
        <v/>
      </c>
      <c r="X675">
        <f>Calc!$EZ$677</f>
        <v/>
      </c>
      <c r="Y675">
        <f>Calc!$FA$677</f>
        <v/>
      </c>
      <c r="Z675">
        <f>Calc!$FV$677</f>
        <v/>
      </c>
      <c r="AA675">
        <f>IF($T675&lt;&gt;"row",0,IF($V675=1,IF($X675=1,IF($Y675=1,1,2),IF($Y675=1,3,4)),IF($X675=1,IF($Y675=1,5,6),IF($Y675=1,7,8))))</f>
        <v/>
      </c>
    </row>
    <row r="676" ht="11.25" customHeight="1">
      <c r="A676" s="64">
        <f>Calc!$FB$678</f>
        <v/>
      </c>
      <c r="B676" s="64">
        <f>Calc!$FC$678</f>
        <v/>
      </c>
      <c r="C676" s="65">
        <f>Calc!$FD$678</f>
        <v/>
      </c>
      <c r="D676" s="65">
        <f>Calc!$FE$678</f>
        <v/>
      </c>
      <c r="E676" s="65">
        <f>Calc!$FF$678</f>
        <v/>
      </c>
      <c r="F676" s="65">
        <f>Calc!$FG$678</f>
        <v/>
      </c>
      <c r="G676" s="65">
        <f>Calc!$FH$678</f>
        <v/>
      </c>
      <c r="H676" s="65">
        <f>Calc!$FI$678</f>
        <v/>
      </c>
      <c r="I676" s="65">
        <f>Calc!$FJ$678</f>
        <v/>
      </c>
      <c r="J676" s="65">
        <f>Calc!$FK$678</f>
        <v/>
      </c>
      <c r="K676" s="65">
        <f>Calc!$FL$678</f>
        <v/>
      </c>
      <c r="L676" s="65">
        <f>Calc!$FM$678</f>
        <v/>
      </c>
      <c r="M676" s="66">
        <f>Calc!$FN$678</f>
        <v/>
      </c>
      <c r="N676" s="66">
        <f>Calc!$FO$678</f>
        <v/>
      </c>
      <c r="O676" s="65">
        <f>Calc!$FP$678</f>
        <v/>
      </c>
      <c r="P676" s="67">
        <f>Calc!$FQ$678</f>
        <v/>
      </c>
      <c r="Q676" s="68">
        <f>Calc!$FR$678</f>
        <v/>
      </c>
      <c r="R676" s="65">
        <f>Calc!$FS$678</f>
        <v/>
      </c>
      <c r="T676">
        <f>Calc!$EY$678</f>
        <v/>
      </c>
      <c r="U676">
        <f>Calc!$FT$678</f>
        <v/>
      </c>
      <c r="V676">
        <f>Calc!$FU$678</f>
        <v/>
      </c>
      <c r="W676">
        <f>Calc!$FC$678</f>
        <v/>
      </c>
      <c r="X676">
        <f>Calc!$EZ$678</f>
        <v/>
      </c>
      <c r="Y676">
        <f>Calc!$FA$678</f>
        <v/>
      </c>
      <c r="Z676">
        <f>Calc!$FV$678</f>
        <v/>
      </c>
      <c r="AA676">
        <f>IF($T676&lt;&gt;"row",0,IF($V676=1,IF($X676=1,IF($Y676=1,1,2),IF($Y676=1,3,4)),IF($X676=1,IF($Y676=1,5,6),IF($Y676=1,7,8))))</f>
        <v/>
      </c>
    </row>
    <row r="677" ht="11.25" customHeight="1">
      <c r="A677" s="64">
        <f>Calc!$FB$679</f>
        <v/>
      </c>
      <c r="B677" s="64">
        <f>Calc!$FC$679</f>
        <v/>
      </c>
      <c r="C677" s="65">
        <f>Calc!$FD$679</f>
        <v/>
      </c>
      <c r="D677" s="65">
        <f>Calc!$FE$679</f>
        <v/>
      </c>
      <c r="E677" s="65">
        <f>Calc!$FF$679</f>
        <v/>
      </c>
      <c r="F677" s="65">
        <f>Calc!$FG$679</f>
        <v/>
      </c>
      <c r="G677" s="65">
        <f>Calc!$FH$679</f>
        <v/>
      </c>
      <c r="H677" s="65">
        <f>Calc!$FI$679</f>
        <v/>
      </c>
      <c r="I677" s="65">
        <f>Calc!$FJ$679</f>
        <v/>
      </c>
      <c r="J677" s="65">
        <f>Calc!$FK$679</f>
        <v/>
      </c>
      <c r="K677" s="65">
        <f>Calc!$FL$679</f>
        <v/>
      </c>
      <c r="L677" s="65">
        <f>Calc!$FM$679</f>
        <v/>
      </c>
      <c r="M677" s="66">
        <f>Calc!$FN$679</f>
        <v/>
      </c>
      <c r="N677" s="66">
        <f>Calc!$FO$679</f>
        <v/>
      </c>
      <c r="O677" s="65">
        <f>Calc!$FP$679</f>
        <v/>
      </c>
      <c r="P677" s="67">
        <f>Calc!$FQ$679</f>
        <v/>
      </c>
      <c r="Q677" s="68">
        <f>Calc!$FR$679</f>
        <v/>
      </c>
      <c r="R677" s="65">
        <f>Calc!$FS$679</f>
        <v/>
      </c>
      <c r="T677">
        <f>Calc!$EY$679</f>
        <v/>
      </c>
      <c r="U677">
        <f>Calc!$FT$679</f>
        <v/>
      </c>
      <c r="V677">
        <f>Calc!$FU$679</f>
        <v/>
      </c>
      <c r="W677">
        <f>Calc!$FC$679</f>
        <v/>
      </c>
      <c r="X677">
        <f>Calc!$EZ$679</f>
        <v/>
      </c>
      <c r="Y677">
        <f>Calc!$FA$679</f>
        <v/>
      </c>
      <c r="Z677">
        <f>Calc!$FV$679</f>
        <v/>
      </c>
      <c r="AA677">
        <f>IF($T677&lt;&gt;"row",0,IF($V677=1,IF($X677=1,IF($Y677=1,1,2),IF($Y677=1,3,4)),IF($X677=1,IF($Y677=1,5,6),IF($Y677=1,7,8))))</f>
        <v/>
      </c>
    </row>
    <row r="678" ht="11.25" customHeight="1">
      <c r="A678" s="64">
        <f>Calc!$FB$680</f>
        <v/>
      </c>
      <c r="B678" s="64">
        <f>Calc!$FC$680</f>
        <v/>
      </c>
      <c r="C678" s="65">
        <f>Calc!$FD$680</f>
        <v/>
      </c>
      <c r="D678" s="65">
        <f>Calc!$FE$680</f>
        <v/>
      </c>
      <c r="E678" s="65">
        <f>Calc!$FF$680</f>
        <v/>
      </c>
      <c r="F678" s="65">
        <f>Calc!$FG$680</f>
        <v/>
      </c>
      <c r="G678" s="65">
        <f>Calc!$FH$680</f>
        <v/>
      </c>
      <c r="H678" s="65">
        <f>Calc!$FI$680</f>
        <v/>
      </c>
      <c r="I678" s="65">
        <f>Calc!$FJ$680</f>
        <v/>
      </c>
      <c r="J678" s="65">
        <f>Calc!$FK$680</f>
        <v/>
      </c>
      <c r="K678" s="65">
        <f>Calc!$FL$680</f>
        <v/>
      </c>
      <c r="L678" s="65">
        <f>Calc!$FM$680</f>
        <v/>
      </c>
      <c r="M678" s="66">
        <f>Calc!$FN$680</f>
        <v/>
      </c>
      <c r="N678" s="66">
        <f>Calc!$FO$680</f>
        <v/>
      </c>
      <c r="O678" s="65">
        <f>Calc!$FP$680</f>
        <v/>
      </c>
      <c r="P678" s="67">
        <f>Calc!$FQ$680</f>
        <v/>
      </c>
      <c r="Q678" s="68">
        <f>Calc!$FR$680</f>
        <v/>
      </c>
      <c r="R678" s="65">
        <f>Calc!$FS$680</f>
        <v/>
      </c>
      <c r="T678">
        <f>Calc!$EY$680</f>
        <v/>
      </c>
      <c r="U678">
        <f>Calc!$FT$680</f>
        <v/>
      </c>
      <c r="V678">
        <f>Calc!$FU$680</f>
        <v/>
      </c>
      <c r="W678">
        <f>Calc!$FC$680</f>
        <v/>
      </c>
      <c r="X678">
        <f>Calc!$EZ$680</f>
        <v/>
      </c>
      <c r="Y678">
        <f>Calc!$FA$680</f>
        <v/>
      </c>
      <c r="Z678">
        <f>Calc!$FV$680</f>
        <v/>
      </c>
      <c r="AA678">
        <f>IF($T678&lt;&gt;"row",0,IF($V678=1,IF($X678=1,IF($Y678=1,1,2),IF($Y678=1,3,4)),IF($X678=1,IF($Y678=1,5,6),IF($Y678=1,7,8))))</f>
        <v/>
      </c>
    </row>
    <row r="679" ht="11.25" customHeight="1">
      <c r="A679" s="64">
        <f>Calc!$FB$681</f>
        <v/>
      </c>
      <c r="B679" s="64">
        <f>Calc!$FC$681</f>
        <v/>
      </c>
      <c r="C679" s="65">
        <f>Calc!$FD$681</f>
        <v/>
      </c>
      <c r="D679" s="65">
        <f>Calc!$FE$681</f>
        <v/>
      </c>
      <c r="E679" s="65">
        <f>Calc!$FF$681</f>
        <v/>
      </c>
      <c r="F679" s="65">
        <f>Calc!$FG$681</f>
        <v/>
      </c>
      <c r="G679" s="65">
        <f>Calc!$FH$681</f>
        <v/>
      </c>
      <c r="H679" s="65">
        <f>Calc!$FI$681</f>
        <v/>
      </c>
      <c r="I679" s="65">
        <f>Calc!$FJ$681</f>
        <v/>
      </c>
      <c r="J679" s="65">
        <f>Calc!$FK$681</f>
        <v/>
      </c>
      <c r="K679" s="65">
        <f>Calc!$FL$681</f>
        <v/>
      </c>
      <c r="L679" s="65">
        <f>Calc!$FM$681</f>
        <v/>
      </c>
      <c r="M679" s="66">
        <f>Calc!$FN$681</f>
        <v/>
      </c>
      <c r="N679" s="66">
        <f>Calc!$FO$681</f>
        <v/>
      </c>
      <c r="O679" s="65">
        <f>Calc!$FP$681</f>
        <v/>
      </c>
      <c r="P679" s="67">
        <f>Calc!$FQ$681</f>
        <v/>
      </c>
      <c r="Q679" s="68">
        <f>Calc!$FR$681</f>
        <v/>
      </c>
      <c r="R679" s="65">
        <f>Calc!$FS$681</f>
        <v/>
      </c>
      <c r="T679">
        <f>Calc!$EY$681</f>
        <v/>
      </c>
      <c r="U679">
        <f>Calc!$FT$681</f>
        <v/>
      </c>
      <c r="V679">
        <f>Calc!$FU$681</f>
        <v/>
      </c>
      <c r="W679">
        <f>Calc!$FC$681</f>
        <v/>
      </c>
      <c r="X679">
        <f>Calc!$EZ$681</f>
        <v/>
      </c>
      <c r="Y679">
        <f>Calc!$FA$681</f>
        <v/>
      </c>
      <c r="Z679">
        <f>Calc!$FV$681</f>
        <v/>
      </c>
      <c r="AA679">
        <f>IF($T679&lt;&gt;"row",0,IF($V679=1,IF($X679=1,IF($Y679=1,1,2),IF($Y679=1,3,4)),IF($X679=1,IF($Y679=1,5,6),IF($Y679=1,7,8))))</f>
        <v/>
      </c>
    </row>
    <row r="680" ht="11.25" customHeight="1">
      <c r="A680" s="64">
        <f>Calc!$FB$682</f>
        <v/>
      </c>
      <c r="B680" s="64">
        <f>Calc!$FC$682</f>
        <v/>
      </c>
      <c r="C680" s="65">
        <f>Calc!$FD$682</f>
        <v/>
      </c>
      <c r="D680" s="65">
        <f>Calc!$FE$682</f>
        <v/>
      </c>
      <c r="E680" s="65">
        <f>Calc!$FF$682</f>
        <v/>
      </c>
      <c r="F680" s="65">
        <f>Calc!$FG$682</f>
        <v/>
      </c>
      <c r="G680" s="65">
        <f>Calc!$FH$682</f>
        <v/>
      </c>
      <c r="H680" s="65">
        <f>Calc!$FI$682</f>
        <v/>
      </c>
      <c r="I680" s="65">
        <f>Calc!$FJ$682</f>
        <v/>
      </c>
      <c r="J680" s="65">
        <f>Calc!$FK$682</f>
        <v/>
      </c>
      <c r="K680" s="65">
        <f>Calc!$FL$682</f>
        <v/>
      </c>
      <c r="L680" s="65">
        <f>Calc!$FM$682</f>
        <v/>
      </c>
      <c r="M680" s="66">
        <f>Calc!$FN$682</f>
        <v/>
      </c>
      <c r="N680" s="66">
        <f>Calc!$FO$682</f>
        <v/>
      </c>
      <c r="O680" s="65">
        <f>Calc!$FP$682</f>
        <v/>
      </c>
      <c r="P680" s="67">
        <f>Calc!$FQ$682</f>
        <v/>
      </c>
      <c r="Q680" s="68">
        <f>Calc!$FR$682</f>
        <v/>
      </c>
      <c r="R680" s="65">
        <f>Calc!$FS$682</f>
        <v/>
      </c>
      <c r="T680">
        <f>Calc!$EY$682</f>
        <v/>
      </c>
      <c r="U680">
        <f>Calc!$FT$682</f>
        <v/>
      </c>
      <c r="V680">
        <f>Calc!$FU$682</f>
        <v/>
      </c>
      <c r="W680">
        <f>Calc!$FC$682</f>
        <v/>
      </c>
      <c r="X680">
        <f>Calc!$EZ$682</f>
        <v/>
      </c>
      <c r="Y680">
        <f>Calc!$FA$682</f>
        <v/>
      </c>
      <c r="Z680">
        <f>Calc!$FV$682</f>
        <v/>
      </c>
      <c r="AA680">
        <f>IF($T680&lt;&gt;"row",0,IF($V680=1,IF($X680=1,IF($Y680=1,1,2),IF($Y680=1,3,4)),IF($X680=1,IF($Y680=1,5,6),IF($Y680=1,7,8))))</f>
        <v/>
      </c>
    </row>
    <row r="681" ht="11.25" customHeight="1">
      <c r="A681" s="64">
        <f>Calc!$FB$683</f>
        <v/>
      </c>
      <c r="B681" s="64">
        <f>Calc!$FC$683</f>
        <v/>
      </c>
      <c r="C681" s="65">
        <f>Calc!$FD$683</f>
        <v/>
      </c>
      <c r="D681" s="65">
        <f>Calc!$FE$683</f>
        <v/>
      </c>
      <c r="E681" s="65">
        <f>Calc!$FF$683</f>
        <v/>
      </c>
      <c r="F681" s="65">
        <f>Calc!$FG$683</f>
        <v/>
      </c>
      <c r="G681" s="65">
        <f>Calc!$FH$683</f>
        <v/>
      </c>
      <c r="H681" s="65">
        <f>Calc!$FI$683</f>
        <v/>
      </c>
      <c r="I681" s="65">
        <f>Calc!$FJ$683</f>
        <v/>
      </c>
      <c r="J681" s="65">
        <f>Calc!$FK$683</f>
        <v/>
      </c>
      <c r="K681" s="65">
        <f>Calc!$FL$683</f>
        <v/>
      </c>
      <c r="L681" s="65">
        <f>Calc!$FM$683</f>
        <v/>
      </c>
      <c r="M681" s="66">
        <f>Calc!$FN$683</f>
        <v/>
      </c>
      <c r="N681" s="66">
        <f>Calc!$FO$683</f>
        <v/>
      </c>
      <c r="O681" s="65">
        <f>Calc!$FP$683</f>
        <v/>
      </c>
      <c r="P681" s="67">
        <f>Calc!$FQ$683</f>
        <v/>
      </c>
      <c r="Q681" s="68">
        <f>Calc!$FR$683</f>
        <v/>
      </c>
      <c r="R681" s="65">
        <f>Calc!$FS$683</f>
        <v/>
      </c>
      <c r="T681">
        <f>Calc!$EY$683</f>
        <v/>
      </c>
      <c r="U681">
        <f>Calc!$FT$683</f>
        <v/>
      </c>
      <c r="V681">
        <f>Calc!$FU$683</f>
        <v/>
      </c>
      <c r="W681">
        <f>Calc!$FC$683</f>
        <v/>
      </c>
      <c r="X681">
        <f>Calc!$EZ$683</f>
        <v/>
      </c>
      <c r="Y681">
        <f>Calc!$FA$683</f>
        <v/>
      </c>
      <c r="Z681">
        <f>Calc!$FV$683</f>
        <v/>
      </c>
      <c r="AA681">
        <f>IF($T681&lt;&gt;"row",0,IF($V681=1,IF($X681=1,IF($Y681=1,1,2),IF($Y681=1,3,4)),IF($X681=1,IF($Y681=1,5,6),IF($Y681=1,7,8))))</f>
        <v/>
      </c>
    </row>
    <row r="682" ht="11.25" customHeight="1">
      <c r="A682" s="64">
        <f>Calc!$FB$684</f>
        <v/>
      </c>
      <c r="B682" s="64">
        <f>Calc!$FC$684</f>
        <v/>
      </c>
      <c r="C682" s="65">
        <f>Calc!$FD$684</f>
        <v/>
      </c>
      <c r="D682" s="65">
        <f>Calc!$FE$684</f>
        <v/>
      </c>
      <c r="E682" s="65">
        <f>Calc!$FF$684</f>
        <v/>
      </c>
      <c r="F682" s="65">
        <f>Calc!$FG$684</f>
        <v/>
      </c>
      <c r="G682" s="65">
        <f>Calc!$FH$684</f>
        <v/>
      </c>
      <c r="H682" s="65">
        <f>Calc!$FI$684</f>
        <v/>
      </c>
      <c r="I682" s="65">
        <f>Calc!$FJ$684</f>
        <v/>
      </c>
      <c r="J682" s="65">
        <f>Calc!$FK$684</f>
        <v/>
      </c>
      <c r="K682" s="65">
        <f>Calc!$FL$684</f>
        <v/>
      </c>
      <c r="L682" s="65">
        <f>Calc!$FM$684</f>
        <v/>
      </c>
      <c r="M682" s="66">
        <f>Calc!$FN$684</f>
        <v/>
      </c>
      <c r="N682" s="66">
        <f>Calc!$FO$684</f>
        <v/>
      </c>
      <c r="O682" s="65">
        <f>Calc!$FP$684</f>
        <v/>
      </c>
      <c r="P682" s="67">
        <f>Calc!$FQ$684</f>
        <v/>
      </c>
      <c r="Q682" s="68">
        <f>Calc!$FR$684</f>
        <v/>
      </c>
      <c r="R682" s="65">
        <f>Calc!$FS$684</f>
        <v/>
      </c>
      <c r="T682">
        <f>Calc!$EY$684</f>
        <v/>
      </c>
      <c r="U682">
        <f>Calc!$FT$684</f>
        <v/>
      </c>
      <c r="V682">
        <f>Calc!$FU$684</f>
        <v/>
      </c>
      <c r="W682">
        <f>Calc!$FC$684</f>
        <v/>
      </c>
      <c r="X682">
        <f>Calc!$EZ$684</f>
        <v/>
      </c>
      <c r="Y682">
        <f>Calc!$FA$684</f>
        <v/>
      </c>
      <c r="Z682">
        <f>Calc!$FV$684</f>
        <v/>
      </c>
      <c r="AA682">
        <f>IF($T682&lt;&gt;"row",0,IF($V682=1,IF($X682=1,IF($Y682=1,1,2),IF($Y682=1,3,4)),IF($X682=1,IF($Y682=1,5,6),IF($Y682=1,7,8))))</f>
        <v/>
      </c>
    </row>
    <row r="683" ht="11.25" customHeight="1">
      <c r="A683" s="64">
        <f>Calc!$FB$685</f>
        <v/>
      </c>
      <c r="B683" s="64">
        <f>Calc!$FC$685</f>
        <v/>
      </c>
      <c r="C683" s="65">
        <f>Calc!$FD$685</f>
        <v/>
      </c>
      <c r="D683" s="65">
        <f>Calc!$FE$685</f>
        <v/>
      </c>
      <c r="E683" s="65">
        <f>Calc!$FF$685</f>
        <v/>
      </c>
      <c r="F683" s="65">
        <f>Calc!$FG$685</f>
        <v/>
      </c>
      <c r="G683" s="65">
        <f>Calc!$FH$685</f>
        <v/>
      </c>
      <c r="H683" s="65">
        <f>Calc!$FI$685</f>
        <v/>
      </c>
      <c r="I683" s="65">
        <f>Calc!$FJ$685</f>
        <v/>
      </c>
      <c r="J683" s="65">
        <f>Calc!$FK$685</f>
        <v/>
      </c>
      <c r="K683" s="65">
        <f>Calc!$FL$685</f>
        <v/>
      </c>
      <c r="L683" s="65">
        <f>Calc!$FM$685</f>
        <v/>
      </c>
      <c r="M683" s="66">
        <f>Calc!$FN$685</f>
        <v/>
      </c>
      <c r="N683" s="66">
        <f>Calc!$FO$685</f>
        <v/>
      </c>
      <c r="O683" s="65">
        <f>Calc!$FP$685</f>
        <v/>
      </c>
      <c r="P683" s="67">
        <f>Calc!$FQ$685</f>
        <v/>
      </c>
      <c r="Q683" s="68">
        <f>Calc!$FR$685</f>
        <v/>
      </c>
      <c r="R683" s="65">
        <f>Calc!$FS$685</f>
        <v/>
      </c>
      <c r="T683">
        <f>Calc!$EY$685</f>
        <v/>
      </c>
      <c r="U683">
        <f>Calc!$FT$685</f>
        <v/>
      </c>
      <c r="V683">
        <f>Calc!$FU$685</f>
        <v/>
      </c>
      <c r="W683">
        <f>Calc!$FC$685</f>
        <v/>
      </c>
      <c r="X683">
        <f>Calc!$EZ$685</f>
        <v/>
      </c>
      <c r="Y683">
        <f>Calc!$FA$685</f>
        <v/>
      </c>
      <c r="Z683">
        <f>Calc!$FV$685</f>
        <v/>
      </c>
      <c r="AA683">
        <f>IF($T683&lt;&gt;"row",0,IF($V683=1,IF($X683=1,IF($Y683=1,1,2),IF($Y683=1,3,4)),IF($X683=1,IF($Y683=1,5,6),IF($Y683=1,7,8))))</f>
        <v/>
      </c>
    </row>
    <row r="684" ht="11.25" customHeight="1">
      <c r="A684" s="64">
        <f>Calc!$FB$686</f>
        <v/>
      </c>
      <c r="B684" s="64">
        <f>Calc!$FC$686</f>
        <v/>
      </c>
      <c r="C684" s="65">
        <f>Calc!$FD$686</f>
        <v/>
      </c>
      <c r="D684" s="65">
        <f>Calc!$FE$686</f>
        <v/>
      </c>
      <c r="E684" s="65">
        <f>Calc!$FF$686</f>
        <v/>
      </c>
      <c r="F684" s="65">
        <f>Calc!$FG$686</f>
        <v/>
      </c>
      <c r="G684" s="65">
        <f>Calc!$FH$686</f>
        <v/>
      </c>
      <c r="H684" s="65">
        <f>Calc!$FI$686</f>
        <v/>
      </c>
      <c r="I684" s="65">
        <f>Calc!$FJ$686</f>
        <v/>
      </c>
      <c r="J684" s="65">
        <f>Calc!$FK$686</f>
        <v/>
      </c>
      <c r="K684" s="65">
        <f>Calc!$FL$686</f>
        <v/>
      </c>
      <c r="L684" s="65">
        <f>Calc!$FM$686</f>
        <v/>
      </c>
      <c r="M684" s="66">
        <f>Calc!$FN$686</f>
        <v/>
      </c>
      <c r="N684" s="66">
        <f>Calc!$FO$686</f>
        <v/>
      </c>
      <c r="O684" s="65">
        <f>Calc!$FP$686</f>
        <v/>
      </c>
      <c r="P684" s="67">
        <f>Calc!$FQ$686</f>
        <v/>
      </c>
      <c r="Q684" s="68">
        <f>Calc!$FR$686</f>
        <v/>
      </c>
      <c r="R684" s="65">
        <f>Calc!$FS$686</f>
        <v/>
      </c>
      <c r="T684">
        <f>Calc!$EY$686</f>
        <v/>
      </c>
      <c r="U684">
        <f>Calc!$FT$686</f>
        <v/>
      </c>
      <c r="V684">
        <f>Calc!$FU$686</f>
        <v/>
      </c>
      <c r="W684">
        <f>Calc!$FC$686</f>
        <v/>
      </c>
      <c r="X684">
        <f>Calc!$EZ$686</f>
        <v/>
      </c>
      <c r="Y684">
        <f>Calc!$FA$686</f>
        <v/>
      </c>
      <c r="Z684">
        <f>Calc!$FV$686</f>
        <v/>
      </c>
      <c r="AA684">
        <f>IF($T684&lt;&gt;"row",0,IF($V684=1,IF($X684=1,IF($Y684=1,1,2),IF($Y684=1,3,4)),IF($X684=1,IF($Y684=1,5,6),IF($Y684=1,7,8))))</f>
        <v/>
      </c>
    </row>
    <row r="685" ht="11.25" customHeight="1">
      <c r="A685" s="64">
        <f>Calc!$FB$687</f>
        <v/>
      </c>
      <c r="B685" s="64">
        <f>Calc!$FC$687</f>
        <v/>
      </c>
      <c r="C685" s="65">
        <f>Calc!$FD$687</f>
        <v/>
      </c>
      <c r="D685" s="65">
        <f>Calc!$FE$687</f>
        <v/>
      </c>
      <c r="E685" s="65">
        <f>Calc!$FF$687</f>
        <v/>
      </c>
      <c r="F685" s="65">
        <f>Calc!$FG$687</f>
        <v/>
      </c>
      <c r="G685" s="65">
        <f>Calc!$FH$687</f>
        <v/>
      </c>
      <c r="H685" s="65">
        <f>Calc!$FI$687</f>
        <v/>
      </c>
      <c r="I685" s="65">
        <f>Calc!$FJ$687</f>
        <v/>
      </c>
      <c r="J685" s="65">
        <f>Calc!$FK$687</f>
        <v/>
      </c>
      <c r="K685" s="65">
        <f>Calc!$FL$687</f>
        <v/>
      </c>
      <c r="L685" s="65">
        <f>Calc!$FM$687</f>
        <v/>
      </c>
      <c r="M685" s="66">
        <f>Calc!$FN$687</f>
        <v/>
      </c>
      <c r="N685" s="66">
        <f>Calc!$FO$687</f>
        <v/>
      </c>
      <c r="O685" s="65">
        <f>Calc!$FP$687</f>
        <v/>
      </c>
      <c r="P685" s="67">
        <f>Calc!$FQ$687</f>
        <v/>
      </c>
      <c r="Q685" s="68">
        <f>Calc!$FR$687</f>
        <v/>
      </c>
      <c r="R685" s="65">
        <f>Calc!$FS$687</f>
        <v/>
      </c>
      <c r="T685">
        <f>Calc!$EY$687</f>
        <v/>
      </c>
      <c r="U685">
        <f>Calc!$FT$687</f>
        <v/>
      </c>
      <c r="V685">
        <f>Calc!$FU$687</f>
        <v/>
      </c>
      <c r="W685">
        <f>Calc!$FC$687</f>
        <v/>
      </c>
      <c r="X685">
        <f>Calc!$EZ$687</f>
        <v/>
      </c>
      <c r="Y685">
        <f>Calc!$FA$687</f>
        <v/>
      </c>
      <c r="Z685">
        <f>Calc!$FV$687</f>
        <v/>
      </c>
      <c r="AA685">
        <f>IF($T685&lt;&gt;"row",0,IF($V685=1,IF($X685=1,IF($Y685=1,1,2),IF($Y685=1,3,4)),IF($X685=1,IF($Y685=1,5,6),IF($Y685=1,7,8))))</f>
        <v/>
      </c>
    </row>
    <row r="686" ht="11.25" customHeight="1">
      <c r="A686" s="64">
        <f>Calc!$FB$688</f>
        <v/>
      </c>
      <c r="B686" s="64">
        <f>Calc!$FC$688</f>
        <v/>
      </c>
      <c r="C686" s="65">
        <f>Calc!$FD$688</f>
        <v/>
      </c>
      <c r="D686" s="65">
        <f>Calc!$FE$688</f>
        <v/>
      </c>
      <c r="E686" s="65">
        <f>Calc!$FF$688</f>
        <v/>
      </c>
      <c r="F686" s="65">
        <f>Calc!$FG$688</f>
        <v/>
      </c>
      <c r="G686" s="65">
        <f>Calc!$FH$688</f>
        <v/>
      </c>
      <c r="H686" s="65">
        <f>Calc!$FI$688</f>
        <v/>
      </c>
      <c r="I686" s="65">
        <f>Calc!$FJ$688</f>
        <v/>
      </c>
      <c r="J686" s="65">
        <f>Calc!$FK$688</f>
        <v/>
      </c>
      <c r="K686" s="65">
        <f>Calc!$FL$688</f>
        <v/>
      </c>
      <c r="L686" s="65">
        <f>Calc!$FM$688</f>
        <v/>
      </c>
      <c r="M686" s="66">
        <f>Calc!$FN$688</f>
        <v/>
      </c>
      <c r="N686" s="66">
        <f>Calc!$FO$688</f>
        <v/>
      </c>
      <c r="O686" s="65">
        <f>Calc!$FP$688</f>
        <v/>
      </c>
      <c r="P686" s="67">
        <f>Calc!$FQ$688</f>
        <v/>
      </c>
      <c r="Q686" s="68">
        <f>Calc!$FR$688</f>
        <v/>
      </c>
      <c r="R686" s="65">
        <f>Calc!$FS$688</f>
        <v/>
      </c>
      <c r="T686">
        <f>Calc!$EY$688</f>
        <v/>
      </c>
      <c r="U686">
        <f>Calc!$FT$688</f>
        <v/>
      </c>
      <c r="V686">
        <f>Calc!$FU$688</f>
        <v/>
      </c>
      <c r="W686">
        <f>Calc!$FC$688</f>
        <v/>
      </c>
      <c r="X686">
        <f>Calc!$EZ$688</f>
        <v/>
      </c>
      <c r="Y686">
        <f>Calc!$FA$688</f>
        <v/>
      </c>
      <c r="Z686">
        <f>Calc!$FV$688</f>
        <v/>
      </c>
      <c r="AA686">
        <f>IF($T686&lt;&gt;"row",0,IF($V686=1,IF($X686=1,IF($Y686=1,1,2),IF($Y686=1,3,4)),IF($X686=1,IF($Y686=1,5,6),IF($Y686=1,7,8))))</f>
        <v/>
      </c>
    </row>
    <row r="687" ht="11.25" customHeight="1">
      <c r="A687" s="64">
        <f>Calc!$FB$689</f>
        <v/>
      </c>
      <c r="B687" s="64">
        <f>Calc!$FC$689</f>
        <v/>
      </c>
      <c r="C687" s="65">
        <f>Calc!$FD$689</f>
        <v/>
      </c>
      <c r="D687" s="65">
        <f>Calc!$FE$689</f>
        <v/>
      </c>
      <c r="E687" s="65">
        <f>Calc!$FF$689</f>
        <v/>
      </c>
      <c r="F687" s="65">
        <f>Calc!$FG$689</f>
        <v/>
      </c>
      <c r="G687" s="65">
        <f>Calc!$FH$689</f>
        <v/>
      </c>
      <c r="H687" s="65">
        <f>Calc!$FI$689</f>
        <v/>
      </c>
      <c r="I687" s="65">
        <f>Calc!$FJ$689</f>
        <v/>
      </c>
      <c r="J687" s="65">
        <f>Calc!$FK$689</f>
        <v/>
      </c>
      <c r="K687" s="65">
        <f>Calc!$FL$689</f>
        <v/>
      </c>
      <c r="L687" s="65">
        <f>Calc!$FM$689</f>
        <v/>
      </c>
      <c r="M687" s="66">
        <f>Calc!$FN$689</f>
        <v/>
      </c>
      <c r="N687" s="66">
        <f>Calc!$FO$689</f>
        <v/>
      </c>
      <c r="O687" s="65">
        <f>Calc!$FP$689</f>
        <v/>
      </c>
      <c r="P687" s="67">
        <f>Calc!$FQ$689</f>
        <v/>
      </c>
      <c r="Q687" s="68">
        <f>Calc!$FR$689</f>
        <v/>
      </c>
      <c r="R687" s="65">
        <f>Calc!$FS$689</f>
        <v/>
      </c>
      <c r="T687">
        <f>Calc!$EY$689</f>
        <v/>
      </c>
      <c r="U687">
        <f>Calc!$FT$689</f>
        <v/>
      </c>
      <c r="V687">
        <f>Calc!$FU$689</f>
        <v/>
      </c>
      <c r="W687">
        <f>Calc!$FC$689</f>
        <v/>
      </c>
      <c r="X687">
        <f>Calc!$EZ$689</f>
        <v/>
      </c>
      <c r="Y687">
        <f>Calc!$FA$689</f>
        <v/>
      </c>
      <c r="Z687">
        <f>Calc!$FV$689</f>
        <v/>
      </c>
      <c r="AA687">
        <f>IF($T687&lt;&gt;"row",0,IF($V687=1,IF($X687=1,IF($Y687=1,1,2),IF($Y687=1,3,4)),IF($X687=1,IF($Y687=1,5,6),IF($Y687=1,7,8))))</f>
        <v/>
      </c>
    </row>
    <row r="688" ht="11.25" customHeight="1">
      <c r="A688" s="64">
        <f>Calc!$FB$690</f>
        <v/>
      </c>
      <c r="B688" s="64">
        <f>Calc!$FC$690</f>
        <v/>
      </c>
      <c r="C688" s="65">
        <f>Calc!$FD$690</f>
        <v/>
      </c>
      <c r="D688" s="65">
        <f>Calc!$FE$690</f>
        <v/>
      </c>
      <c r="E688" s="65">
        <f>Calc!$FF$690</f>
        <v/>
      </c>
      <c r="F688" s="65">
        <f>Calc!$FG$690</f>
        <v/>
      </c>
      <c r="G688" s="65">
        <f>Calc!$FH$690</f>
        <v/>
      </c>
      <c r="H688" s="65">
        <f>Calc!$FI$690</f>
        <v/>
      </c>
      <c r="I688" s="65">
        <f>Calc!$FJ$690</f>
        <v/>
      </c>
      <c r="J688" s="65">
        <f>Calc!$FK$690</f>
        <v/>
      </c>
      <c r="K688" s="65">
        <f>Calc!$FL$690</f>
        <v/>
      </c>
      <c r="L688" s="65">
        <f>Calc!$FM$690</f>
        <v/>
      </c>
      <c r="M688" s="66">
        <f>Calc!$FN$690</f>
        <v/>
      </c>
      <c r="N688" s="66">
        <f>Calc!$FO$690</f>
        <v/>
      </c>
      <c r="O688" s="65">
        <f>Calc!$FP$690</f>
        <v/>
      </c>
      <c r="P688" s="67">
        <f>Calc!$FQ$690</f>
        <v/>
      </c>
      <c r="Q688" s="68">
        <f>Calc!$FR$690</f>
        <v/>
      </c>
      <c r="R688" s="65">
        <f>Calc!$FS$690</f>
        <v/>
      </c>
      <c r="T688">
        <f>Calc!$EY$690</f>
        <v/>
      </c>
      <c r="U688">
        <f>Calc!$FT$690</f>
        <v/>
      </c>
      <c r="V688">
        <f>Calc!$FU$690</f>
        <v/>
      </c>
      <c r="W688">
        <f>Calc!$FC$690</f>
        <v/>
      </c>
      <c r="X688">
        <f>Calc!$EZ$690</f>
        <v/>
      </c>
      <c r="Y688">
        <f>Calc!$FA$690</f>
        <v/>
      </c>
      <c r="Z688">
        <f>Calc!$FV$690</f>
        <v/>
      </c>
      <c r="AA688">
        <f>IF($T688&lt;&gt;"row",0,IF($V688=1,IF($X688=1,IF($Y688=1,1,2),IF($Y688=1,3,4)),IF($X688=1,IF($Y688=1,5,6),IF($Y688=1,7,8))))</f>
        <v/>
      </c>
    </row>
    <row r="689" ht="11.25" customHeight="1">
      <c r="A689" s="64">
        <f>Calc!$FB$691</f>
        <v/>
      </c>
      <c r="B689" s="64">
        <f>Calc!$FC$691</f>
        <v/>
      </c>
      <c r="C689" s="65">
        <f>Calc!$FD$691</f>
        <v/>
      </c>
      <c r="D689" s="65">
        <f>Calc!$FE$691</f>
        <v/>
      </c>
      <c r="E689" s="65">
        <f>Calc!$FF$691</f>
        <v/>
      </c>
      <c r="F689" s="65">
        <f>Calc!$FG$691</f>
        <v/>
      </c>
      <c r="G689" s="65">
        <f>Calc!$FH$691</f>
        <v/>
      </c>
      <c r="H689" s="65">
        <f>Calc!$FI$691</f>
        <v/>
      </c>
      <c r="I689" s="65">
        <f>Calc!$FJ$691</f>
        <v/>
      </c>
      <c r="J689" s="65">
        <f>Calc!$FK$691</f>
        <v/>
      </c>
      <c r="K689" s="65">
        <f>Calc!$FL$691</f>
        <v/>
      </c>
      <c r="L689" s="65">
        <f>Calc!$FM$691</f>
        <v/>
      </c>
      <c r="M689" s="66">
        <f>Calc!$FN$691</f>
        <v/>
      </c>
      <c r="N689" s="66">
        <f>Calc!$FO$691</f>
        <v/>
      </c>
      <c r="O689" s="65">
        <f>Calc!$FP$691</f>
        <v/>
      </c>
      <c r="P689" s="67">
        <f>Calc!$FQ$691</f>
        <v/>
      </c>
      <c r="Q689" s="68">
        <f>Calc!$FR$691</f>
        <v/>
      </c>
      <c r="R689" s="65">
        <f>Calc!$FS$691</f>
        <v/>
      </c>
      <c r="T689">
        <f>Calc!$EY$691</f>
        <v/>
      </c>
      <c r="U689">
        <f>Calc!$FT$691</f>
        <v/>
      </c>
      <c r="V689">
        <f>Calc!$FU$691</f>
        <v/>
      </c>
      <c r="W689">
        <f>Calc!$FC$691</f>
        <v/>
      </c>
      <c r="X689">
        <f>Calc!$EZ$691</f>
        <v/>
      </c>
      <c r="Y689">
        <f>Calc!$FA$691</f>
        <v/>
      </c>
      <c r="Z689">
        <f>Calc!$FV$691</f>
        <v/>
      </c>
      <c r="AA689">
        <f>IF($T689&lt;&gt;"row",0,IF($V689=1,IF($X689=1,IF($Y689=1,1,2),IF($Y689=1,3,4)),IF($X689=1,IF($Y689=1,5,6),IF($Y689=1,7,8))))</f>
        <v/>
      </c>
    </row>
    <row r="690" ht="11.25" customHeight="1">
      <c r="A690" s="64">
        <f>Calc!$FB$692</f>
        <v/>
      </c>
      <c r="B690" s="64">
        <f>Calc!$FC$692</f>
        <v/>
      </c>
      <c r="C690" s="65">
        <f>Calc!$FD$692</f>
        <v/>
      </c>
      <c r="D690" s="65">
        <f>Calc!$FE$692</f>
        <v/>
      </c>
      <c r="E690" s="65">
        <f>Calc!$FF$692</f>
        <v/>
      </c>
      <c r="F690" s="65">
        <f>Calc!$FG$692</f>
        <v/>
      </c>
      <c r="G690" s="65">
        <f>Calc!$FH$692</f>
        <v/>
      </c>
      <c r="H690" s="65">
        <f>Calc!$FI$692</f>
        <v/>
      </c>
      <c r="I690" s="65">
        <f>Calc!$FJ$692</f>
        <v/>
      </c>
      <c r="J690" s="65">
        <f>Calc!$FK$692</f>
        <v/>
      </c>
      <c r="K690" s="65">
        <f>Calc!$FL$692</f>
        <v/>
      </c>
      <c r="L690" s="65">
        <f>Calc!$FM$692</f>
        <v/>
      </c>
      <c r="M690" s="66">
        <f>Calc!$FN$692</f>
        <v/>
      </c>
      <c r="N690" s="66">
        <f>Calc!$FO$692</f>
        <v/>
      </c>
      <c r="O690" s="65">
        <f>Calc!$FP$692</f>
        <v/>
      </c>
      <c r="P690" s="67">
        <f>Calc!$FQ$692</f>
        <v/>
      </c>
      <c r="Q690" s="68">
        <f>Calc!$FR$692</f>
        <v/>
      </c>
      <c r="R690" s="65">
        <f>Calc!$FS$692</f>
        <v/>
      </c>
      <c r="T690">
        <f>Calc!$EY$692</f>
        <v/>
      </c>
      <c r="U690">
        <f>Calc!$FT$692</f>
        <v/>
      </c>
      <c r="V690">
        <f>Calc!$FU$692</f>
        <v/>
      </c>
      <c r="W690">
        <f>Calc!$FC$692</f>
        <v/>
      </c>
      <c r="X690">
        <f>Calc!$EZ$692</f>
        <v/>
      </c>
      <c r="Y690">
        <f>Calc!$FA$692</f>
        <v/>
      </c>
      <c r="Z690">
        <f>Calc!$FV$692</f>
        <v/>
      </c>
      <c r="AA690">
        <f>IF($T690&lt;&gt;"row",0,IF($V690=1,IF($X690=1,IF($Y690=1,1,2),IF($Y690=1,3,4)),IF($X690=1,IF($Y690=1,5,6),IF($Y690=1,7,8))))</f>
        <v/>
      </c>
    </row>
    <row r="691" ht="11.25" customHeight="1">
      <c r="A691" s="64">
        <f>Calc!$FB$693</f>
        <v/>
      </c>
      <c r="B691" s="64">
        <f>Calc!$FC$693</f>
        <v/>
      </c>
      <c r="C691" s="65">
        <f>Calc!$FD$693</f>
        <v/>
      </c>
      <c r="D691" s="65">
        <f>Calc!$FE$693</f>
        <v/>
      </c>
      <c r="E691" s="65">
        <f>Calc!$FF$693</f>
        <v/>
      </c>
      <c r="F691" s="65">
        <f>Calc!$FG$693</f>
        <v/>
      </c>
      <c r="G691" s="65">
        <f>Calc!$FH$693</f>
        <v/>
      </c>
      <c r="H691" s="65">
        <f>Calc!$FI$693</f>
        <v/>
      </c>
      <c r="I691" s="65">
        <f>Calc!$FJ$693</f>
        <v/>
      </c>
      <c r="J691" s="65">
        <f>Calc!$FK$693</f>
        <v/>
      </c>
      <c r="K691" s="65">
        <f>Calc!$FL$693</f>
        <v/>
      </c>
      <c r="L691" s="65">
        <f>Calc!$FM$693</f>
        <v/>
      </c>
      <c r="M691" s="66">
        <f>Calc!$FN$693</f>
        <v/>
      </c>
      <c r="N691" s="66">
        <f>Calc!$FO$693</f>
        <v/>
      </c>
      <c r="O691" s="65">
        <f>Calc!$FP$693</f>
        <v/>
      </c>
      <c r="P691" s="67">
        <f>Calc!$FQ$693</f>
        <v/>
      </c>
      <c r="Q691" s="68">
        <f>Calc!$FR$693</f>
        <v/>
      </c>
      <c r="R691" s="65">
        <f>Calc!$FS$693</f>
        <v/>
      </c>
      <c r="T691">
        <f>Calc!$EY$693</f>
        <v/>
      </c>
      <c r="U691">
        <f>Calc!$FT$693</f>
        <v/>
      </c>
      <c r="V691">
        <f>Calc!$FU$693</f>
        <v/>
      </c>
      <c r="W691">
        <f>Calc!$FC$693</f>
        <v/>
      </c>
      <c r="X691">
        <f>Calc!$EZ$693</f>
        <v/>
      </c>
      <c r="Y691">
        <f>Calc!$FA$693</f>
        <v/>
      </c>
      <c r="Z691">
        <f>Calc!$FV$693</f>
        <v/>
      </c>
      <c r="AA691">
        <f>IF($T691&lt;&gt;"row",0,IF($V691=1,IF($X691=1,IF($Y691=1,1,2),IF($Y691=1,3,4)),IF($X691=1,IF($Y691=1,5,6),IF($Y691=1,7,8))))</f>
        <v/>
      </c>
    </row>
    <row r="692" ht="11.25" customHeight="1">
      <c r="A692" s="64">
        <f>Calc!$FB$694</f>
        <v/>
      </c>
      <c r="B692" s="64">
        <f>Calc!$FC$694</f>
        <v/>
      </c>
      <c r="C692" s="65">
        <f>Calc!$FD$694</f>
        <v/>
      </c>
      <c r="D692" s="65">
        <f>Calc!$FE$694</f>
        <v/>
      </c>
      <c r="E692" s="65">
        <f>Calc!$FF$694</f>
        <v/>
      </c>
      <c r="F692" s="65">
        <f>Calc!$FG$694</f>
        <v/>
      </c>
      <c r="G692" s="65">
        <f>Calc!$FH$694</f>
        <v/>
      </c>
      <c r="H692" s="65">
        <f>Calc!$FI$694</f>
        <v/>
      </c>
      <c r="I692" s="65">
        <f>Calc!$FJ$694</f>
        <v/>
      </c>
      <c r="J692" s="65">
        <f>Calc!$FK$694</f>
        <v/>
      </c>
      <c r="K692" s="65">
        <f>Calc!$FL$694</f>
        <v/>
      </c>
      <c r="L692" s="65">
        <f>Calc!$FM$694</f>
        <v/>
      </c>
      <c r="M692" s="66">
        <f>Calc!$FN$694</f>
        <v/>
      </c>
      <c r="N692" s="66">
        <f>Calc!$FO$694</f>
        <v/>
      </c>
      <c r="O692" s="65">
        <f>Calc!$FP$694</f>
        <v/>
      </c>
      <c r="P692" s="67">
        <f>Calc!$FQ$694</f>
        <v/>
      </c>
      <c r="Q692" s="68">
        <f>Calc!$FR$694</f>
        <v/>
      </c>
      <c r="R692" s="65">
        <f>Calc!$FS$694</f>
        <v/>
      </c>
      <c r="T692">
        <f>Calc!$EY$694</f>
        <v/>
      </c>
      <c r="U692">
        <f>Calc!$FT$694</f>
        <v/>
      </c>
      <c r="V692">
        <f>Calc!$FU$694</f>
        <v/>
      </c>
      <c r="W692">
        <f>Calc!$FC$694</f>
        <v/>
      </c>
      <c r="X692">
        <f>Calc!$EZ$694</f>
        <v/>
      </c>
      <c r="Y692">
        <f>Calc!$FA$694</f>
        <v/>
      </c>
      <c r="Z692">
        <f>Calc!$FV$694</f>
        <v/>
      </c>
      <c r="AA692">
        <f>IF($T692&lt;&gt;"row",0,IF($V692=1,IF($X692=1,IF($Y692=1,1,2),IF($Y692=1,3,4)),IF($X692=1,IF($Y692=1,5,6),IF($Y692=1,7,8))))</f>
        <v/>
      </c>
    </row>
    <row r="693" ht="11.25" customHeight="1">
      <c r="A693" s="64">
        <f>Calc!$FB$695</f>
        <v/>
      </c>
      <c r="B693" s="64">
        <f>Calc!$FC$695</f>
        <v/>
      </c>
      <c r="C693" s="65">
        <f>Calc!$FD$695</f>
        <v/>
      </c>
      <c r="D693" s="65">
        <f>Calc!$FE$695</f>
        <v/>
      </c>
      <c r="E693" s="65">
        <f>Calc!$FF$695</f>
        <v/>
      </c>
      <c r="F693" s="65">
        <f>Calc!$FG$695</f>
        <v/>
      </c>
      <c r="G693" s="65">
        <f>Calc!$FH$695</f>
        <v/>
      </c>
      <c r="H693" s="65">
        <f>Calc!$FI$695</f>
        <v/>
      </c>
      <c r="I693" s="65">
        <f>Calc!$FJ$695</f>
        <v/>
      </c>
      <c r="J693" s="65">
        <f>Calc!$FK$695</f>
        <v/>
      </c>
      <c r="K693" s="65">
        <f>Calc!$FL$695</f>
        <v/>
      </c>
      <c r="L693" s="65">
        <f>Calc!$FM$695</f>
        <v/>
      </c>
      <c r="M693" s="66">
        <f>Calc!$FN$695</f>
        <v/>
      </c>
      <c r="N693" s="66">
        <f>Calc!$FO$695</f>
        <v/>
      </c>
      <c r="O693" s="65">
        <f>Calc!$FP$695</f>
        <v/>
      </c>
      <c r="P693" s="67">
        <f>Calc!$FQ$695</f>
        <v/>
      </c>
      <c r="Q693" s="68">
        <f>Calc!$FR$695</f>
        <v/>
      </c>
      <c r="R693" s="65">
        <f>Calc!$FS$695</f>
        <v/>
      </c>
      <c r="T693">
        <f>Calc!$EY$695</f>
        <v/>
      </c>
      <c r="U693">
        <f>Calc!$FT$695</f>
        <v/>
      </c>
      <c r="V693">
        <f>Calc!$FU$695</f>
        <v/>
      </c>
      <c r="W693">
        <f>Calc!$FC$695</f>
        <v/>
      </c>
      <c r="X693">
        <f>Calc!$EZ$695</f>
        <v/>
      </c>
      <c r="Y693">
        <f>Calc!$FA$695</f>
        <v/>
      </c>
      <c r="Z693">
        <f>Calc!$FV$695</f>
        <v/>
      </c>
      <c r="AA693">
        <f>IF($T693&lt;&gt;"row",0,IF($V693=1,IF($X693=1,IF($Y693=1,1,2),IF($Y693=1,3,4)),IF($X693=1,IF($Y693=1,5,6),IF($Y693=1,7,8))))</f>
        <v/>
      </c>
    </row>
    <row r="694" ht="11.25" customHeight="1">
      <c r="A694" s="64">
        <f>Calc!$FB$696</f>
        <v/>
      </c>
      <c r="B694" s="64">
        <f>Calc!$FC$696</f>
        <v/>
      </c>
      <c r="C694" s="65">
        <f>Calc!$FD$696</f>
        <v/>
      </c>
      <c r="D694" s="65">
        <f>Calc!$FE$696</f>
        <v/>
      </c>
      <c r="E694" s="65">
        <f>Calc!$FF$696</f>
        <v/>
      </c>
      <c r="F694" s="65">
        <f>Calc!$FG$696</f>
        <v/>
      </c>
      <c r="G694" s="65">
        <f>Calc!$FH$696</f>
        <v/>
      </c>
      <c r="H694" s="65">
        <f>Calc!$FI$696</f>
        <v/>
      </c>
      <c r="I694" s="65">
        <f>Calc!$FJ$696</f>
        <v/>
      </c>
      <c r="J694" s="65">
        <f>Calc!$FK$696</f>
        <v/>
      </c>
      <c r="K694" s="65">
        <f>Calc!$FL$696</f>
        <v/>
      </c>
      <c r="L694" s="65">
        <f>Calc!$FM$696</f>
        <v/>
      </c>
      <c r="M694" s="66">
        <f>Calc!$FN$696</f>
        <v/>
      </c>
      <c r="N694" s="66">
        <f>Calc!$FO$696</f>
        <v/>
      </c>
      <c r="O694" s="65">
        <f>Calc!$FP$696</f>
        <v/>
      </c>
      <c r="P694" s="67">
        <f>Calc!$FQ$696</f>
        <v/>
      </c>
      <c r="Q694" s="68">
        <f>Calc!$FR$696</f>
        <v/>
      </c>
      <c r="R694" s="65">
        <f>Calc!$FS$696</f>
        <v/>
      </c>
      <c r="T694">
        <f>Calc!$EY$696</f>
        <v/>
      </c>
      <c r="U694">
        <f>Calc!$FT$696</f>
        <v/>
      </c>
      <c r="V694">
        <f>Calc!$FU$696</f>
        <v/>
      </c>
      <c r="W694">
        <f>Calc!$FC$696</f>
        <v/>
      </c>
      <c r="X694">
        <f>Calc!$EZ$696</f>
        <v/>
      </c>
      <c r="Y694">
        <f>Calc!$FA$696</f>
        <v/>
      </c>
      <c r="Z694">
        <f>Calc!$FV$696</f>
        <v/>
      </c>
      <c r="AA694">
        <f>IF($T694&lt;&gt;"row",0,IF($V694=1,IF($X694=1,IF($Y694=1,1,2),IF($Y694=1,3,4)),IF($X694=1,IF($Y694=1,5,6),IF($Y694=1,7,8))))</f>
        <v/>
      </c>
    </row>
    <row r="695" ht="11.25" customHeight="1">
      <c r="A695" s="64">
        <f>Calc!$FB$697</f>
        <v/>
      </c>
      <c r="B695" s="64">
        <f>Calc!$FC$697</f>
        <v/>
      </c>
      <c r="C695" s="65">
        <f>Calc!$FD$697</f>
        <v/>
      </c>
      <c r="D695" s="65">
        <f>Calc!$FE$697</f>
        <v/>
      </c>
      <c r="E695" s="65">
        <f>Calc!$FF$697</f>
        <v/>
      </c>
      <c r="F695" s="65">
        <f>Calc!$FG$697</f>
        <v/>
      </c>
      <c r="G695" s="65">
        <f>Calc!$FH$697</f>
        <v/>
      </c>
      <c r="H695" s="65">
        <f>Calc!$FI$697</f>
        <v/>
      </c>
      <c r="I695" s="65">
        <f>Calc!$FJ$697</f>
        <v/>
      </c>
      <c r="J695" s="65">
        <f>Calc!$FK$697</f>
        <v/>
      </c>
      <c r="K695" s="65">
        <f>Calc!$FL$697</f>
        <v/>
      </c>
      <c r="L695" s="65">
        <f>Calc!$FM$697</f>
        <v/>
      </c>
      <c r="M695" s="66">
        <f>Calc!$FN$697</f>
        <v/>
      </c>
      <c r="N695" s="66">
        <f>Calc!$FO$697</f>
        <v/>
      </c>
      <c r="O695" s="65">
        <f>Calc!$FP$697</f>
        <v/>
      </c>
      <c r="P695" s="67">
        <f>Calc!$FQ$697</f>
        <v/>
      </c>
      <c r="Q695" s="68">
        <f>Calc!$FR$697</f>
        <v/>
      </c>
      <c r="R695" s="65">
        <f>Calc!$FS$697</f>
        <v/>
      </c>
      <c r="T695">
        <f>Calc!$EY$697</f>
        <v/>
      </c>
      <c r="U695">
        <f>Calc!$FT$697</f>
        <v/>
      </c>
      <c r="V695">
        <f>Calc!$FU$697</f>
        <v/>
      </c>
      <c r="W695">
        <f>Calc!$FC$697</f>
        <v/>
      </c>
      <c r="X695">
        <f>Calc!$EZ$697</f>
        <v/>
      </c>
      <c r="Y695">
        <f>Calc!$FA$697</f>
        <v/>
      </c>
      <c r="Z695">
        <f>Calc!$FV$697</f>
        <v/>
      </c>
      <c r="AA695">
        <f>IF($T695&lt;&gt;"row",0,IF($V695=1,IF($X695=1,IF($Y695=1,1,2),IF($Y695=1,3,4)),IF($X695=1,IF($Y695=1,5,6),IF($Y695=1,7,8))))</f>
        <v/>
      </c>
    </row>
    <row r="696" ht="11.25" customHeight="1">
      <c r="A696" s="64">
        <f>Calc!$FB$698</f>
        <v/>
      </c>
      <c r="B696" s="64">
        <f>Calc!$FC$698</f>
        <v/>
      </c>
      <c r="C696" s="65">
        <f>Calc!$FD$698</f>
        <v/>
      </c>
      <c r="D696" s="65">
        <f>Calc!$FE$698</f>
        <v/>
      </c>
      <c r="E696" s="65">
        <f>Calc!$FF$698</f>
        <v/>
      </c>
      <c r="F696" s="65">
        <f>Calc!$FG$698</f>
        <v/>
      </c>
      <c r="G696" s="65">
        <f>Calc!$FH$698</f>
        <v/>
      </c>
      <c r="H696" s="65">
        <f>Calc!$FI$698</f>
        <v/>
      </c>
      <c r="I696" s="65">
        <f>Calc!$FJ$698</f>
        <v/>
      </c>
      <c r="J696" s="65">
        <f>Calc!$FK$698</f>
        <v/>
      </c>
      <c r="K696" s="65">
        <f>Calc!$FL$698</f>
        <v/>
      </c>
      <c r="L696" s="65">
        <f>Calc!$FM$698</f>
        <v/>
      </c>
      <c r="M696" s="66">
        <f>Calc!$FN$698</f>
        <v/>
      </c>
      <c r="N696" s="66">
        <f>Calc!$FO$698</f>
        <v/>
      </c>
      <c r="O696" s="65">
        <f>Calc!$FP$698</f>
        <v/>
      </c>
      <c r="P696" s="67">
        <f>Calc!$FQ$698</f>
        <v/>
      </c>
      <c r="Q696" s="68">
        <f>Calc!$FR$698</f>
        <v/>
      </c>
      <c r="R696" s="65">
        <f>Calc!$FS$698</f>
        <v/>
      </c>
      <c r="T696">
        <f>Calc!$EY$698</f>
        <v/>
      </c>
      <c r="U696">
        <f>Calc!$FT$698</f>
        <v/>
      </c>
      <c r="V696">
        <f>Calc!$FU$698</f>
        <v/>
      </c>
      <c r="W696">
        <f>Calc!$FC$698</f>
        <v/>
      </c>
      <c r="X696">
        <f>Calc!$EZ$698</f>
        <v/>
      </c>
      <c r="Y696">
        <f>Calc!$FA$698</f>
        <v/>
      </c>
      <c r="Z696">
        <f>Calc!$FV$698</f>
        <v/>
      </c>
      <c r="AA696">
        <f>IF($T696&lt;&gt;"row",0,IF($V696=1,IF($X696=1,IF($Y696=1,1,2),IF($Y696=1,3,4)),IF($X696=1,IF($Y696=1,5,6),IF($Y696=1,7,8))))</f>
        <v/>
      </c>
    </row>
    <row r="697" ht="11.25" customHeight="1">
      <c r="A697" s="64">
        <f>Calc!$FB$699</f>
        <v/>
      </c>
      <c r="B697" s="64">
        <f>Calc!$FC$699</f>
        <v/>
      </c>
      <c r="C697" s="65">
        <f>Calc!$FD$699</f>
        <v/>
      </c>
      <c r="D697" s="65">
        <f>Calc!$FE$699</f>
        <v/>
      </c>
      <c r="E697" s="65">
        <f>Calc!$FF$699</f>
        <v/>
      </c>
      <c r="F697" s="65">
        <f>Calc!$FG$699</f>
        <v/>
      </c>
      <c r="G697" s="65">
        <f>Calc!$FH$699</f>
        <v/>
      </c>
      <c r="H697" s="65">
        <f>Calc!$FI$699</f>
        <v/>
      </c>
      <c r="I697" s="65">
        <f>Calc!$FJ$699</f>
        <v/>
      </c>
      <c r="J697" s="65">
        <f>Calc!$FK$699</f>
        <v/>
      </c>
      <c r="K697" s="65">
        <f>Calc!$FL$699</f>
        <v/>
      </c>
      <c r="L697" s="65">
        <f>Calc!$FM$699</f>
        <v/>
      </c>
      <c r="M697" s="66">
        <f>Calc!$FN$699</f>
        <v/>
      </c>
      <c r="N697" s="66">
        <f>Calc!$FO$699</f>
        <v/>
      </c>
      <c r="O697" s="65">
        <f>Calc!$FP$699</f>
        <v/>
      </c>
      <c r="P697" s="67">
        <f>Calc!$FQ$699</f>
        <v/>
      </c>
      <c r="Q697" s="68">
        <f>Calc!$FR$699</f>
        <v/>
      </c>
      <c r="R697" s="65">
        <f>Calc!$FS$699</f>
        <v/>
      </c>
      <c r="T697">
        <f>Calc!$EY$699</f>
        <v/>
      </c>
      <c r="U697">
        <f>Calc!$FT$699</f>
        <v/>
      </c>
      <c r="V697">
        <f>Calc!$FU$699</f>
        <v/>
      </c>
      <c r="W697">
        <f>Calc!$FC$699</f>
        <v/>
      </c>
      <c r="X697">
        <f>Calc!$EZ$699</f>
        <v/>
      </c>
      <c r="Y697">
        <f>Calc!$FA$699</f>
        <v/>
      </c>
      <c r="Z697">
        <f>Calc!$FV$699</f>
        <v/>
      </c>
      <c r="AA697">
        <f>IF($T697&lt;&gt;"row",0,IF($V697=1,IF($X697=1,IF($Y697=1,1,2),IF($Y697=1,3,4)),IF($X697=1,IF($Y697=1,5,6),IF($Y697=1,7,8))))</f>
        <v/>
      </c>
    </row>
    <row r="698" ht="11.25" customHeight="1">
      <c r="A698" s="64">
        <f>Calc!$FB$700</f>
        <v/>
      </c>
      <c r="B698" s="64">
        <f>Calc!$FC$700</f>
        <v/>
      </c>
      <c r="C698" s="65">
        <f>Calc!$FD$700</f>
        <v/>
      </c>
      <c r="D698" s="65">
        <f>Calc!$FE$700</f>
        <v/>
      </c>
      <c r="E698" s="65">
        <f>Calc!$FF$700</f>
        <v/>
      </c>
      <c r="F698" s="65">
        <f>Calc!$FG$700</f>
        <v/>
      </c>
      <c r="G698" s="65">
        <f>Calc!$FH$700</f>
        <v/>
      </c>
      <c r="H698" s="65">
        <f>Calc!$FI$700</f>
        <v/>
      </c>
      <c r="I698" s="65">
        <f>Calc!$FJ$700</f>
        <v/>
      </c>
      <c r="J698" s="65">
        <f>Calc!$FK$700</f>
        <v/>
      </c>
      <c r="K698" s="65">
        <f>Calc!$FL$700</f>
        <v/>
      </c>
      <c r="L698" s="65">
        <f>Calc!$FM$700</f>
        <v/>
      </c>
      <c r="M698" s="66">
        <f>Calc!$FN$700</f>
        <v/>
      </c>
      <c r="N698" s="66">
        <f>Calc!$FO$700</f>
        <v/>
      </c>
      <c r="O698" s="65">
        <f>Calc!$FP$700</f>
        <v/>
      </c>
      <c r="P698" s="67">
        <f>Calc!$FQ$700</f>
        <v/>
      </c>
      <c r="Q698" s="68">
        <f>Calc!$FR$700</f>
        <v/>
      </c>
      <c r="R698" s="65">
        <f>Calc!$FS$700</f>
        <v/>
      </c>
      <c r="T698">
        <f>Calc!$EY$700</f>
        <v/>
      </c>
      <c r="U698">
        <f>Calc!$FT$700</f>
        <v/>
      </c>
      <c r="V698">
        <f>Calc!$FU$700</f>
        <v/>
      </c>
      <c r="W698">
        <f>Calc!$FC$700</f>
        <v/>
      </c>
      <c r="X698">
        <f>Calc!$EZ$700</f>
        <v/>
      </c>
      <c r="Y698">
        <f>Calc!$FA$700</f>
        <v/>
      </c>
      <c r="Z698">
        <f>Calc!$FV$700</f>
        <v/>
      </c>
      <c r="AA698">
        <f>IF($T698&lt;&gt;"row",0,IF($V698=1,IF($X698=1,IF($Y698=1,1,2),IF($Y698=1,3,4)),IF($X698=1,IF($Y698=1,5,6),IF($Y698=1,7,8))))</f>
        <v/>
      </c>
    </row>
    <row r="699" ht="11.25" customHeight="1">
      <c r="A699" s="64">
        <f>Calc!$FB$701</f>
        <v/>
      </c>
      <c r="B699" s="64">
        <f>Calc!$FC$701</f>
        <v/>
      </c>
      <c r="C699" s="65">
        <f>Calc!$FD$701</f>
        <v/>
      </c>
      <c r="D699" s="65">
        <f>Calc!$FE$701</f>
        <v/>
      </c>
      <c r="E699" s="65">
        <f>Calc!$FF$701</f>
        <v/>
      </c>
      <c r="F699" s="65">
        <f>Calc!$FG$701</f>
        <v/>
      </c>
      <c r="G699" s="65">
        <f>Calc!$FH$701</f>
        <v/>
      </c>
      <c r="H699" s="65">
        <f>Calc!$FI$701</f>
        <v/>
      </c>
      <c r="I699" s="65">
        <f>Calc!$FJ$701</f>
        <v/>
      </c>
      <c r="J699" s="65">
        <f>Calc!$FK$701</f>
        <v/>
      </c>
      <c r="K699" s="65">
        <f>Calc!$FL$701</f>
        <v/>
      </c>
      <c r="L699" s="65">
        <f>Calc!$FM$701</f>
        <v/>
      </c>
      <c r="M699" s="66">
        <f>Calc!$FN$701</f>
        <v/>
      </c>
      <c r="N699" s="66">
        <f>Calc!$FO$701</f>
        <v/>
      </c>
      <c r="O699" s="65">
        <f>Calc!$FP$701</f>
        <v/>
      </c>
      <c r="P699" s="67">
        <f>Calc!$FQ$701</f>
        <v/>
      </c>
      <c r="Q699" s="68">
        <f>Calc!$FR$701</f>
        <v/>
      </c>
      <c r="R699" s="65">
        <f>Calc!$FS$701</f>
        <v/>
      </c>
      <c r="T699">
        <f>Calc!$EY$701</f>
        <v/>
      </c>
      <c r="U699">
        <f>Calc!$FT$701</f>
        <v/>
      </c>
      <c r="V699">
        <f>Calc!$FU$701</f>
        <v/>
      </c>
      <c r="W699">
        <f>Calc!$FC$701</f>
        <v/>
      </c>
      <c r="X699">
        <f>Calc!$EZ$701</f>
        <v/>
      </c>
      <c r="Y699">
        <f>Calc!$FA$701</f>
        <v/>
      </c>
      <c r="Z699">
        <f>Calc!$FV$701</f>
        <v/>
      </c>
      <c r="AA699">
        <f>IF($T699&lt;&gt;"row",0,IF($V699=1,IF($X699=1,IF($Y699=1,1,2),IF($Y699=1,3,4)),IF($X699=1,IF($Y699=1,5,6),IF($Y699=1,7,8))))</f>
        <v/>
      </c>
    </row>
    <row r="700" ht="11.25" customHeight="1">
      <c r="A700" s="64">
        <f>Calc!$FB$702</f>
        <v/>
      </c>
      <c r="B700" s="64">
        <f>Calc!$FC$702</f>
        <v/>
      </c>
      <c r="C700" s="65">
        <f>Calc!$FD$702</f>
        <v/>
      </c>
      <c r="D700" s="65">
        <f>Calc!$FE$702</f>
        <v/>
      </c>
      <c r="E700" s="65">
        <f>Calc!$FF$702</f>
        <v/>
      </c>
      <c r="F700" s="65">
        <f>Calc!$FG$702</f>
        <v/>
      </c>
      <c r="G700" s="65">
        <f>Calc!$FH$702</f>
        <v/>
      </c>
      <c r="H700" s="65">
        <f>Calc!$FI$702</f>
        <v/>
      </c>
      <c r="I700" s="65">
        <f>Calc!$FJ$702</f>
        <v/>
      </c>
      <c r="J700" s="65">
        <f>Calc!$FK$702</f>
        <v/>
      </c>
      <c r="K700" s="65">
        <f>Calc!$FL$702</f>
        <v/>
      </c>
      <c r="L700" s="65">
        <f>Calc!$FM$702</f>
        <v/>
      </c>
      <c r="M700" s="66">
        <f>Calc!$FN$702</f>
        <v/>
      </c>
      <c r="N700" s="66">
        <f>Calc!$FO$702</f>
        <v/>
      </c>
      <c r="O700" s="65">
        <f>Calc!$FP$702</f>
        <v/>
      </c>
      <c r="P700" s="67">
        <f>Calc!$FQ$702</f>
        <v/>
      </c>
      <c r="Q700" s="68">
        <f>Calc!$FR$702</f>
        <v/>
      </c>
      <c r="R700" s="65">
        <f>Calc!$FS$702</f>
        <v/>
      </c>
      <c r="T700">
        <f>Calc!$EY$702</f>
        <v/>
      </c>
      <c r="U700">
        <f>Calc!$FT$702</f>
        <v/>
      </c>
      <c r="V700">
        <f>Calc!$FU$702</f>
        <v/>
      </c>
      <c r="W700">
        <f>Calc!$FC$702</f>
        <v/>
      </c>
      <c r="X700">
        <f>Calc!$EZ$702</f>
        <v/>
      </c>
      <c r="Y700">
        <f>Calc!$FA$702</f>
        <v/>
      </c>
      <c r="Z700">
        <f>Calc!$FV$702</f>
        <v/>
      </c>
      <c r="AA700">
        <f>IF($T700&lt;&gt;"row",0,IF($V700=1,IF($X700=1,IF($Y700=1,1,2),IF($Y700=1,3,4)),IF($X700=1,IF($Y700=1,5,6),IF($Y700=1,7,8))))</f>
        <v/>
      </c>
    </row>
    <row r="701" ht="11.25" customHeight="1">
      <c r="A701" s="64">
        <f>Calc!$FB$703</f>
        <v/>
      </c>
      <c r="B701" s="64">
        <f>Calc!$FC$703</f>
        <v/>
      </c>
      <c r="C701" s="65">
        <f>Calc!$FD$703</f>
        <v/>
      </c>
      <c r="D701" s="65">
        <f>Calc!$FE$703</f>
        <v/>
      </c>
      <c r="E701" s="65">
        <f>Calc!$FF$703</f>
        <v/>
      </c>
      <c r="F701" s="65">
        <f>Calc!$FG$703</f>
        <v/>
      </c>
      <c r="G701" s="65">
        <f>Calc!$FH$703</f>
        <v/>
      </c>
      <c r="H701" s="65">
        <f>Calc!$FI$703</f>
        <v/>
      </c>
      <c r="I701" s="65">
        <f>Calc!$FJ$703</f>
        <v/>
      </c>
      <c r="J701" s="65">
        <f>Calc!$FK$703</f>
        <v/>
      </c>
      <c r="K701" s="65">
        <f>Calc!$FL$703</f>
        <v/>
      </c>
      <c r="L701" s="65">
        <f>Calc!$FM$703</f>
        <v/>
      </c>
      <c r="M701" s="66">
        <f>Calc!$FN$703</f>
        <v/>
      </c>
      <c r="N701" s="66">
        <f>Calc!$FO$703</f>
        <v/>
      </c>
      <c r="O701" s="65">
        <f>Calc!$FP$703</f>
        <v/>
      </c>
      <c r="P701" s="67">
        <f>Calc!$FQ$703</f>
        <v/>
      </c>
      <c r="Q701" s="68">
        <f>Calc!$FR$703</f>
        <v/>
      </c>
      <c r="R701" s="65">
        <f>Calc!$FS$703</f>
        <v/>
      </c>
      <c r="T701">
        <f>Calc!$EY$703</f>
        <v/>
      </c>
      <c r="U701">
        <f>Calc!$FT$703</f>
        <v/>
      </c>
      <c r="V701">
        <f>Calc!$FU$703</f>
        <v/>
      </c>
      <c r="W701">
        <f>Calc!$FC$703</f>
        <v/>
      </c>
      <c r="X701">
        <f>Calc!$EZ$703</f>
        <v/>
      </c>
      <c r="Y701">
        <f>Calc!$FA$703</f>
        <v/>
      </c>
      <c r="Z701">
        <f>Calc!$FV$703</f>
        <v/>
      </c>
      <c r="AA701">
        <f>IF($T701&lt;&gt;"row",0,IF($V701=1,IF($X701=1,IF($Y701=1,1,2),IF($Y701=1,3,4)),IF($X701=1,IF($Y701=1,5,6),IF($Y701=1,7,8))))</f>
        <v/>
      </c>
    </row>
    <row r="702" ht="11.25" customHeight="1">
      <c r="A702" s="64">
        <f>Calc!$FB$704</f>
        <v/>
      </c>
      <c r="B702" s="64">
        <f>Calc!$FC$704</f>
        <v/>
      </c>
      <c r="C702" s="65">
        <f>Calc!$FD$704</f>
        <v/>
      </c>
      <c r="D702" s="65">
        <f>Calc!$FE$704</f>
        <v/>
      </c>
      <c r="E702" s="65">
        <f>Calc!$FF$704</f>
        <v/>
      </c>
      <c r="F702" s="65">
        <f>Calc!$FG$704</f>
        <v/>
      </c>
      <c r="G702" s="65">
        <f>Calc!$FH$704</f>
        <v/>
      </c>
      <c r="H702" s="65">
        <f>Calc!$FI$704</f>
        <v/>
      </c>
      <c r="I702" s="65">
        <f>Calc!$FJ$704</f>
        <v/>
      </c>
      <c r="J702" s="65">
        <f>Calc!$FK$704</f>
        <v/>
      </c>
      <c r="K702" s="65">
        <f>Calc!$FL$704</f>
        <v/>
      </c>
      <c r="L702" s="65">
        <f>Calc!$FM$704</f>
        <v/>
      </c>
      <c r="M702" s="66">
        <f>Calc!$FN$704</f>
        <v/>
      </c>
      <c r="N702" s="66">
        <f>Calc!$FO$704</f>
        <v/>
      </c>
      <c r="O702" s="65">
        <f>Calc!$FP$704</f>
        <v/>
      </c>
      <c r="P702" s="67">
        <f>Calc!$FQ$704</f>
        <v/>
      </c>
      <c r="Q702" s="68">
        <f>Calc!$FR$704</f>
        <v/>
      </c>
      <c r="R702" s="65">
        <f>Calc!$FS$704</f>
        <v/>
      </c>
      <c r="T702">
        <f>Calc!$EY$704</f>
        <v/>
      </c>
      <c r="U702">
        <f>Calc!$FT$704</f>
        <v/>
      </c>
      <c r="V702">
        <f>Calc!$FU$704</f>
        <v/>
      </c>
      <c r="W702">
        <f>Calc!$FC$704</f>
        <v/>
      </c>
      <c r="X702">
        <f>Calc!$EZ$704</f>
        <v/>
      </c>
      <c r="Y702">
        <f>Calc!$FA$704</f>
        <v/>
      </c>
      <c r="Z702">
        <f>Calc!$FV$704</f>
        <v/>
      </c>
      <c r="AA702">
        <f>IF($T702&lt;&gt;"row",0,IF($V702=1,IF($X702=1,IF($Y702=1,1,2),IF($Y702=1,3,4)),IF($X702=1,IF($Y702=1,5,6),IF($Y702=1,7,8))))</f>
        <v/>
      </c>
    </row>
  </sheetData>
  <sheetProtection selectLockedCells="0" selectUnlockedCells="0" sheet="1" objects="0" insertRows="1" insertHyperlinks="1" autoFilter="1" scenarios="0" formatColumns="0" deleteColumns="1" insertColumns="1" pivotTables="1" deleteRows="1" formatCells="1" formatRows="0" sort="1"/>
  <mergeCells count="3">
    <mergeCell ref="A1:C1"/>
    <mergeCell ref="P1:R1"/>
    <mergeCell ref="D1:O1"/>
  </mergeCells>
  <conditionalFormatting sqref="A3:A702">
    <cfRule type="expression" priority="1" dxfId="6" stopIfTrue="1">
      <formula>$AA3=1</formula>
    </cfRule>
    <cfRule type="expression" priority="2" dxfId="7" stopIfTrue="1">
      <formula>$AA3=2</formula>
    </cfRule>
    <cfRule type="expression" priority="3" dxfId="8" stopIfTrue="1">
      <formula>$AA3=3</formula>
    </cfRule>
    <cfRule type="expression" priority="4" dxfId="9" stopIfTrue="1">
      <formula>$AA3=4</formula>
    </cfRule>
    <cfRule type="expression" priority="5" dxfId="10" stopIfTrue="1">
      <formula>AND($AA3=5,$W3="READY")</formula>
    </cfRule>
    <cfRule type="expression" priority="6" dxfId="11" stopIfTrue="1">
      <formula>AND($AA3=5,$W3="PM")</formula>
    </cfRule>
    <cfRule type="expression" priority="7" dxfId="12" stopIfTrue="1">
      <formula>AND($AA3=5,$W3="OT")</formula>
    </cfRule>
    <cfRule type="expression" priority="8" dxfId="13" stopIfTrue="1">
      <formula>AND($AA3=5,AND($W3&lt;&gt;"READY",$W3&lt;&gt;"PM",$W3&lt;&gt;"OT"))</formula>
    </cfRule>
    <cfRule type="expression" priority="9" dxfId="14" stopIfTrue="1">
      <formula>AND($AA3=6,$W3="READY")</formula>
    </cfRule>
    <cfRule type="expression" priority="10" dxfId="15" stopIfTrue="1">
      <formula>AND($AA3=6,$W3="PM")</formula>
    </cfRule>
    <cfRule type="expression" priority="11" dxfId="16" stopIfTrue="1">
      <formula>AND($AA3=6,$W3="OT")</formula>
    </cfRule>
    <cfRule type="expression" priority="12" dxfId="17" stopIfTrue="1">
      <formula>AND($AA3=6,AND($W3&lt;&gt;"READY",$W3&lt;&gt;"PM",$W3&lt;&gt;"OT"))</formula>
    </cfRule>
    <cfRule type="expression" priority="13" dxfId="18" stopIfTrue="1">
      <formula>AND($AA3=7,$W3="READY")</formula>
    </cfRule>
    <cfRule type="expression" priority="14" dxfId="19" stopIfTrue="1">
      <formula>AND($AA3=7,$W3="PM")</formula>
    </cfRule>
    <cfRule type="expression" priority="15" dxfId="20" stopIfTrue="1">
      <formula>AND($AA3=7,$W3="OT")</formula>
    </cfRule>
    <cfRule type="expression" priority="16" dxfId="21" stopIfTrue="1">
      <formula>AND($AA3=7,AND($W3&lt;&gt;"READY",$W3&lt;&gt;"PM",$W3&lt;&gt;"OT"))</formula>
    </cfRule>
    <cfRule type="expression" priority="17" dxfId="22" stopIfTrue="1">
      <formula>AND($AA3=8,$W3="READY")</formula>
    </cfRule>
    <cfRule type="expression" priority="18" dxfId="23" stopIfTrue="1">
      <formula>AND($AA3=8,$W3="PM")</formula>
    </cfRule>
    <cfRule type="expression" priority="19" dxfId="24" stopIfTrue="1">
      <formula>AND($AA3=8,$W3="OT")</formula>
    </cfRule>
    <cfRule type="expression" priority="20" dxfId="25" stopIfTrue="1">
      <formula>AND($AA3=8,AND($W3&lt;&gt;"READY",$W3&lt;&gt;"PM",$W3&lt;&gt;"OT"))</formula>
    </cfRule>
  </conditionalFormatting>
  <conditionalFormatting sqref="B3:B702">
    <cfRule type="expression" priority="21" dxfId="26" stopIfTrue="1">
      <formula>AND($AA3=1,$W3="READY")</formula>
    </cfRule>
    <cfRule type="expression" priority="22" dxfId="27" stopIfTrue="1">
      <formula>AND($AA3=1,$W3="PM")</formula>
    </cfRule>
    <cfRule type="expression" priority="23" dxfId="28" stopIfTrue="1">
      <formula>AND($AA3=1,$W3="OT")</formula>
    </cfRule>
    <cfRule type="expression" priority="24" dxfId="29" stopIfTrue="1">
      <formula>AND($AA3=1,AND($W3&lt;&gt;"READY",$W3&lt;&gt;"PM",$W3&lt;&gt;"OT"))</formula>
    </cfRule>
    <cfRule type="expression" priority="25" dxfId="30" stopIfTrue="1">
      <formula>AND($AA3=2,$W3="READY")</formula>
    </cfRule>
    <cfRule type="expression" priority="26" dxfId="31" stopIfTrue="1">
      <formula>AND($AA3=2,$W3="PM")</formula>
    </cfRule>
    <cfRule type="expression" priority="27" dxfId="32" stopIfTrue="1">
      <formula>AND($AA3=2,$W3="OT")</formula>
    </cfRule>
    <cfRule type="expression" priority="28" dxfId="33" stopIfTrue="1">
      <formula>AND($AA3=2,AND($W3&lt;&gt;"READY",$W3&lt;&gt;"PM",$W3&lt;&gt;"OT"))</formula>
    </cfRule>
    <cfRule type="expression" priority="29" dxfId="34" stopIfTrue="1">
      <formula>AND($AA3=3,$W3="READY")</formula>
    </cfRule>
    <cfRule type="expression" priority="30" dxfId="35" stopIfTrue="1">
      <formula>AND($AA3=3,$W3="PM")</formula>
    </cfRule>
    <cfRule type="expression" priority="31" dxfId="36" stopIfTrue="1">
      <formula>AND($AA3=3,$W3="OT")</formula>
    </cfRule>
    <cfRule type="expression" priority="32" dxfId="37" stopIfTrue="1">
      <formula>AND($AA3=3,AND($W3&lt;&gt;"READY",$W3&lt;&gt;"PM",$W3&lt;&gt;"OT"))</formula>
    </cfRule>
    <cfRule type="expression" priority="33" dxfId="38" stopIfTrue="1">
      <formula>AND(OR($AA3=4,$AA3=6,$AA3=8),$W3="READY")</formula>
    </cfRule>
    <cfRule type="expression" priority="34" dxfId="39" stopIfTrue="1">
      <formula>AND(OR($AA3=4,$AA3=6,$AA3=8),$W3="PM")</formula>
    </cfRule>
    <cfRule type="expression" priority="35" dxfId="40" stopIfTrue="1">
      <formula>AND(OR($AA3=4,$AA3=6,$AA3=8),$W3="OT")</formula>
    </cfRule>
    <cfRule type="expression" priority="36" dxfId="41" stopIfTrue="1">
      <formula>AND(OR($AA3=4,$AA3=6,$AA3=8),AND($W3&lt;&gt;"READY",$W3&lt;&gt;"PM",$W3&lt;&gt;"OT"))</formula>
    </cfRule>
    <cfRule type="expression" priority="37" dxfId="42" stopIfTrue="1">
      <formula>AND(OR($AA3=5,$AA3=7),$W3="READY")</formula>
    </cfRule>
    <cfRule type="expression" priority="38" dxfId="43" stopIfTrue="1">
      <formula>AND(OR($AA3=5,$AA3=7),$W3="PM")</formula>
    </cfRule>
    <cfRule type="expression" priority="39" dxfId="44" stopIfTrue="1">
      <formula>AND(OR($AA3=5,$AA3=7),$W3="OT")</formula>
    </cfRule>
    <cfRule type="expression" priority="40" dxfId="13" stopIfTrue="1">
      <formula>AND(OR($AA3=5,$AA3=7),AND($W3&lt;&gt;"READY",$W3&lt;&gt;"PM",$W3&lt;&gt;"OT"))</formula>
    </cfRule>
  </conditionalFormatting>
  <conditionalFormatting sqref="C3:F702 H3:O702">
    <cfRule type="expression" priority="41" dxfId="45" stopIfTrue="1">
      <formula>AND($AA3=1,$U3="allergen")</formula>
    </cfRule>
    <cfRule type="expression" priority="42" dxfId="46" stopIfTrue="1">
      <formula>AND($AA3=1,$U3="oil")</formula>
    </cfRule>
    <cfRule type="expression" priority="43" dxfId="47" stopIfTrue="1">
      <formula>AND($AA3=1,$U3="bulk")</formula>
    </cfRule>
    <cfRule type="expression" priority="44" dxfId="29" stopIfTrue="1">
      <formula>AND($AA3=1,$U3="")</formula>
    </cfRule>
    <cfRule type="expression" priority="45" dxfId="48" stopIfTrue="1">
      <formula>AND($AA3=2,$U3="allergen")</formula>
    </cfRule>
    <cfRule type="expression" priority="46" dxfId="49" stopIfTrue="1">
      <formula>AND($AA3=2,$U3="oil")</formula>
    </cfRule>
    <cfRule type="expression" priority="47" dxfId="50" stopIfTrue="1">
      <formula>AND($AA3=2,$U3="bulk")</formula>
    </cfRule>
    <cfRule type="expression" priority="48" dxfId="33" stopIfTrue="1">
      <formula>AND($AA3=2,$U3="")</formula>
    </cfRule>
    <cfRule type="expression" priority="49" dxfId="51" stopIfTrue="1">
      <formula>AND($AA3=3,$U3="allergen")</formula>
    </cfRule>
    <cfRule type="expression" priority="50" dxfId="52" stopIfTrue="1">
      <formula>AND($AA3=3,$U3="oil")</formula>
    </cfRule>
    <cfRule type="expression" priority="51" dxfId="53" stopIfTrue="1">
      <formula>AND($AA3=3,$U3="bulk")</formula>
    </cfRule>
    <cfRule type="expression" priority="52" dxfId="37" stopIfTrue="1">
      <formula>AND($AA3=3,$U3="")</formula>
    </cfRule>
    <cfRule type="expression" priority="53" dxfId="54" stopIfTrue="1">
      <formula>AND(OR($AA3=4,$AA3=6,$AA3=8),$U3="allergen")</formula>
    </cfRule>
    <cfRule type="expression" priority="54" dxfId="55" stopIfTrue="1">
      <formula>AND(OR($AA3=4,$AA3=6,$AA3=8),$U3="oil")</formula>
    </cfRule>
    <cfRule type="expression" priority="55" dxfId="56" stopIfTrue="1">
      <formula>AND(OR($AA3=4,$AA3=6,$AA3=8),$U3="bulk")</formula>
    </cfRule>
    <cfRule type="expression" priority="56" dxfId="41" stopIfTrue="1">
      <formula>AND(OR($AA3=4,$AA3=6,$AA3=8),$U3="")</formula>
    </cfRule>
    <cfRule type="expression" priority="57" dxfId="57" stopIfTrue="1">
      <formula>AND(OR($AA3=5,$AA3=7),$U3="allergen")</formula>
    </cfRule>
    <cfRule type="expression" priority="58" dxfId="58" stopIfTrue="1">
      <formula>AND(OR($AA3=5,$AA3=7),$U3="oil")</formula>
    </cfRule>
    <cfRule type="expression" priority="59" dxfId="59" stopIfTrue="1">
      <formula>AND(OR($AA3=5,$AA3=7),$U3="bulk")</formula>
    </cfRule>
    <cfRule type="expression" priority="60" dxfId="13" stopIfTrue="1">
      <formula>AND(OR($AA3=5,$AA3=7),$U3="")</formula>
    </cfRule>
  </conditionalFormatting>
  <conditionalFormatting sqref="G3:G702">
    <cfRule type="expression" priority="61" dxfId="60" stopIfTrue="1">
      <formula>AND($AA3=1,$U3="allergen",$Z3=1)</formula>
    </cfRule>
    <cfRule type="expression" priority="62" dxfId="45" stopIfTrue="1">
      <formula>AND($AA3=1,$U3="allergen",$Z3&lt;&gt;1)</formula>
    </cfRule>
    <cfRule type="expression" priority="63" dxfId="61" stopIfTrue="1">
      <formula>AND($AA3=1,$U3="oil",$Z3=1)</formula>
    </cfRule>
    <cfRule type="expression" priority="64" dxfId="46" stopIfTrue="1">
      <formula>AND($AA3=1,$U3="oil",$Z3&lt;&gt;1)</formula>
    </cfRule>
    <cfRule type="expression" priority="65" dxfId="62" stopIfTrue="1">
      <formula>AND($AA3=1,$U3="bulk",$Z3=1)</formula>
    </cfRule>
    <cfRule type="expression" priority="66" dxfId="47" stopIfTrue="1">
      <formula>AND($AA3=1,$U3="bulk",$Z3&lt;&gt;1)</formula>
    </cfRule>
    <cfRule type="expression" priority="67" dxfId="63" stopIfTrue="1">
      <formula>AND($AA3=1,$U3="",$Z3=1)</formula>
    </cfRule>
    <cfRule type="expression" priority="68" dxfId="29" stopIfTrue="1">
      <formula>AND($AA3=1,$U3="",$Z3&lt;&gt;1)</formula>
    </cfRule>
    <cfRule type="expression" priority="69" dxfId="64" stopIfTrue="1">
      <formula>AND($AA3=2,$U3="allergen",$Z3=1)</formula>
    </cfRule>
    <cfRule type="expression" priority="70" dxfId="48" stopIfTrue="1">
      <formula>AND($AA3=2,$U3="allergen",$Z3&lt;&gt;1)</formula>
    </cfRule>
    <cfRule type="expression" priority="71" dxfId="65" stopIfTrue="1">
      <formula>AND($AA3=2,$U3="oil",$Z3=1)</formula>
    </cfRule>
    <cfRule type="expression" priority="72" dxfId="49" stopIfTrue="1">
      <formula>AND($AA3=2,$U3="oil",$Z3&lt;&gt;1)</formula>
    </cfRule>
    <cfRule type="expression" priority="73" dxfId="66" stopIfTrue="1">
      <formula>AND($AA3=2,$U3="bulk",$Z3=1)</formula>
    </cfRule>
    <cfRule type="expression" priority="74" dxfId="50" stopIfTrue="1">
      <formula>AND($AA3=2,$U3="bulk",$Z3&lt;&gt;1)</formula>
    </cfRule>
    <cfRule type="expression" priority="75" dxfId="67" stopIfTrue="1">
      <formula>AND($AA3=2,$U3="",$Z3=1)</formula>
    </cfRule>
    <cfRule type="expression" priority="76" dxfId="33" stopIfTrue="1">
      <formula>AND($AA3=2,$U3="",$Z3&lt;&gt;1)</formula>
    </cfRule>
    <cfRule type="expression" priority="77" dxfId="68" stopIfTrue="1">
      <formula>AND($AA3=3,$U3="allergen",$Z3=1)</formula>
    </cfRule>
    <cfRule type="expression" priority="78" dxfId="51" stopIfTrue="1">
      <formula>AND($AA3=3,$U3="allergen",$Z3&lt;&gt;1)</formula>
    </cfRule>
    <cfRule type="expression" priority="79" dxfId="69" stopIfTrue="1">
      <formula>AND($AA3=3,$U3="oil",$Z3=1)</formula>
    </cfRule>
    <cfRule type="expression" priority="80" dxfId="52" stopIfTrue="1">
      <formula>AND($AA3=3,$U3="oil",$Z3&lt;&gt;1)</formula>
    </cfRule>
    <cfRule type="expression" priority="81" dxfId="70" stopIfTrue="1">
      <formula>AND($AA3=3,$U3="bulk",$Z3=1)</formula>
    </cfRule>
    <cfRule type="expression" priority="82" dxfId="53" stopIfTrue="1">
      <formula>AND($AA3=3,$U3="bulk",$Z3&lt;&gt;1)</formula>
    </cfRule>
    <cfRule type="expression" priority="83" dxfId="71" stopIfTrue="1">
      <formula>AND($AA3=3,$U3="",$Z3=1)</formula>
    </cfRule>
    <cfRule type="expression" priority="84" dxfId="37" stopIfTrue="1">
      <formula>AND($AA3=3,$U3="",$Z3&lt;&gt;1)</formula>
    </cfRule>
    <cfRule type="expression" priority="85" dxfId="72" stopIfTrue="1">
      <formula>AND(OR($AA3=4,$AA3=6,$AA3=8),$U3="allergen",$Z3=1)</formula>
    </cfRule>
    <cfRule type="expression" priority="86" dxfId="54" stopIfTrue="1">
      <formula>AND(OR($AA3=4,$AA3=6,$AA3=8),$U3="allergen",$Z3&lt;&gt;1)</formula>
    </cfRule>
    <cfRule type="expression" priority="87" dxfId="73" stopIfTrue="1">
      <formula>AND(OR($AA3=4,$AA3=6,$AA3=8),$U3="oil",$Z3=1)</formula>
    </cfRule>
    <cfRule type="expression" priority="88" dxfId="55" stopIfTrue="1">
      <formula>AND(OR($AA3=4,$AA3=6,$AA3=8),$U3="oil",$Z3&lt;&gt;1)</formula>
    </cfRule>
    <cfRule type="expression" priority="89" dxfId="74" stopIfTrue="1">
      <formula>AND(OR($AA3=4,$AA3=6,$AA3=8),$U3="bulk",$Z3=1)</formula>
    </cfRule>
    <cfRule type="expression" priority="90" dxfId="56" stopIfTrue="1">
      <formula>AND(OR($AA3=4,$AA3=6,$AA3=8),$U3="bulk",$Z3&lt;&gt;1)</formula>
    </cfRule>
    <cfRule type="expression" priority="91" dxfId="75" stopIfTrue="1">
      <formula>AND(OR($AA3=4,$AA3=6,$AA3=8),$U3="",$Z3=1)</formula>
    </cfRule>
    <cfRule type="expression" priority="92" dxfId="41" stopIfTrue="1">
      <formula>AND(OR($AA3=4,$AA3=6,$AA3=8),$U3="",$Z3&lt;&gt;1)</formula>
    </cfRule>
    <cfRule type="expression" priority="93" dxfId="76" stopIfTrue="1">
      <formula>AND(OR($AA3=5,$AA3=7),$U3="allergen",$Z3=1)</formula>
    </cfRule>
    <cfRule type="expression" priority="94" dxfId="57" stopIfTrue="1">
      <formula>AND(OR($AA3=5,$AA3=7),$U3="allergen",$Z3&lt;&gt;1)</formula>
    </cfRule>
    <cfRule type="expression" priority="95" dxfId="77" stopIfTrue="1">
      <formula>AND(OR($AA3=5,$AA3=7),$U3="oil",$Z3=1)</formula>
    </cfRule>
    <cfRule type="expression" priority="96" dxfId="58" stopIfTrue="1">
      <formula>AND(OR($AA3=5,$AA3=7),$U3="oil",$Z3&lt;&gt;1)</formula>
    </cfRule>
    <cfRule type="expression" priority="97" dxfId="78" stopIfTrue="1">
      <formula>AND(OR($AA3=5,$AA3=7),$U3="bulk",$Z3=1)</formula>
    </cfRule>
    <cfRule type="expression" priority="98" dxfId="59" stopIfTrue="1">
      <formula>AND(OR($AA3=5,$AA3=7),$U3="bulk",$Z3&lt;&gt;1)</formula>
    </cfRule>
    <cfRule type="expression" priority="99" dxfId="79" stopIfTrue="1">
      <formula>AND(OR($AA3=5,$AA3=7),$U3="",$Z3=1)</formula>
    </cfRule>
    <cfRule type="expression" priority="100" dxfId="13" stopIfTrue="1">
      <formula>AND(OR($AA3=5,$AA3=7),$U3="",$Z3&lt;&gt;1)</formula>
    </cfRule>
  </conditionalFormatting>
  <conditionalFormatting sqref="P3:P702">
    <cfRule type="expression" priority="101" dxfId="80" stopIfTrue="1">
      <formula>AND($AA3=1,$U3="allergen")</formula>
    </cfRule>
    <cfRule type="expression" priority="102" dxfId="81" stopIfTrue="1">
      <formula>AND($AA3=1,$U3="oil")</formula>
    </cfRule>
    <cfRule type="expression" priority="103" dxfId="82" stopIfTrue="1">
      <formula>AND($AA3=1,$U3="bulk")</formula>
    </cfRule>
    <cfRule type="expression" priority="104" dxfId="83" stopIfTrue="1">
      <formula>AND($AA3=1,$U3="")</formula>
    </cfRule>
    <cfRule type="expression" priority="105" dxfId="84" stopIfTrue="1">
      <formula>AND($AA3=2,$U3="allergen")</formula>
    </cfRule>
    <cfRule type="expression" priority="106" dxfId="85" stopIfTrue="1">
      <formula>AND($AA3=2,$U3="oil")</formula>
    </cfRule>
    <cfRule type="expression" priority="107" dxfId="86" stopIfTrue="1">
      <formula>AND($AA3=2,$U3="bulk")</formula>
    </cfRule>
    <cfRule type="expression" priority="108" dxfId="87" stopIfTrue="1">
      <formula>AND($AA3=2,$U3="")</formula>
    </cfRule>
    <cfRule type="expression" priority="109" dxfId="88" stopIfTrue="1">
      <formula>AND($AA3=3,$U3="allergen")</formula>
    </cfRule>
    <cfRule type="expression" priority="110" dxfId="89" stopIfTrue="1">
      <formula>AND($AA3=3,$U3="oil")</formula>
    </cfRule>
    <cfRule type="expression" priority="111" dxfId="90" stopIfTrue="1">
      <formula>AND($AA3=3,$U3="bulk")</formula>
    </cfRule>
    <cfRule type="expression" priority="112" dxfId="91" stopIfTrue="1">
      <formula>AND($AA3=3,$U3="")</formula>
    </cfRule>
    <cfRule type="expression" priority="113" dxfId="92" stopIfTrue="1">
      <formula>AND(OR($AA3=4,$AA3=6,$AA3=8),$U3="allergen")</formula>
    </cfRule>
    <cfRule type="expression" priority="114" dxfId="93" stopIfTrue="1">
      <formula>AND(OR($AA3=4,$AA3=6,$AA3=8),$U3="oil")</formula>
    </cfRule>
    <cfRule type="expression" priority="115" dxfId="94" stopIfTrue="1">
      <formula>AND(OR($AA3=4,$AA3=6,$AA3=8),$U3="bulk")</formula>
    </cfRule>
    <cfRule type="expression" priority="116" dxfId="95" stopIfTrue="1">
      <formula>AND(OR($AA3=4,$AA3=6,$AA3=8),$U3="")</formula>
    </cfRule>
    <cfRule type="expression" priority="117" dxfId="96" stopIfTrue="1">
      <formula>AND(OR($AA3=5,$AA3=7),$U3="allergen")</formula>
    </cfRule>
    <cfRule type="expression" priority="118" dxfId="97" stopIfTrue="1">
      <formula>AND(OR($AA3=5,$AA3=7),$U3="oil")</formula>
    </cfRule>
    <cfRule type="expression" priority="119" dxfId="98" stopIfTrue="1">
      <formula>AND(OR($AA3=5,$AA3=7),$U3="bulk")</formula>
    </cfRule>
    <cfRule type="expression" priority="120" dxfId="99" stopIfTrue="1">
      <formula>AND(OR($AA3=5,$AA3=7),$U3="")</formula>
    </cfRule>
  </conditionalFormatting>
  <conditionalFormatting sqref="Q3:Q702">
    <cfRule type="expression" priority="121" dxfId="45" stopIfTrue="1">
      <formula>AND($AA3=1,$U3="allergen")</formula>
    </cfRule>
    <cfRule type="expression" priority="122" dxfId="46" stopIfTrue="1">
      <formula>AND($AA3=1,$U3="oil")</formula>
    </cfRule>
    <cfRule type="expression" priority="123" dxfId="47" stopIfTrue="1">
      <formula>AND($AA3=1,$U3="bulk")</formula>
    </cfRule>
    <cfRule type="expression" priority="124" dxfId="100" stopIfTrue="1">
      <formula>AND($AA3=1,$U3="")</formula>
    </cfRule>
    <cfRule type="expression" priority="125" dxfId="48" stopIfTrue="1">
      <formula>AND($AA3=2,$U3="allergen")</formula>
    </cfRule>
    <cfRule type="expression" priority="126" dxfId="49" stopIfTrue="1">
      <formula>AND($AA3=2,$U3="oil")</formula>
    </cfRule>
    <cfRule type="expression" priority="127" dxfId="50" stopIfTrue="1">
      <formula>AND($AA3=2,$U3="bulk")</formula>
    </cfRule>
    <cfRule type="expression" priority="128" dxfId="101" stopIfTrue="1">
      <formula>AND($AA3=2,$U3="")</formula>
    </cfRule>
    <cfRule type="expression" priority="129" dxfId="51" stopIfTrue="1">
      <formula>AND($AA3=3,$U3="allergen")</formula>
    </cfRule>
    <cfRule type="expression" priority="130" dxfId="52" stopIfTrue="1">
      <formula>AND($AA3=3,$U3="oil")</formula>
    </cfRule>
    <cfRule type="expression" priority="131" dxfId="53" stopIfTrue="1">
      <formula>AND($AA3=3,$U3="bulk")</formula>
    </cfRule>
    <cfRule type="expression" priority="132" dxfId="102" stopIfTrue="1">
      <formula>AND($AA3=3,$U3="")</formula>
    </cfRule>
    <cfRule type="expression" priority="133" dxfId="54" stopIfTrue="1">
      <formula>AND(OR($AA3=4,$AA3=6,$AA3=8),$U3="allergen")</formula>
    </cfRule>
    <cfRule type="expression" priority="134" dxfId="55" stopIfTrue="1">
      <formula>AND(OR($AA3=4,$AA3=6,$AA3=8),$U3="oil")</formula>
    </cfRule>
    <cfRule type="expression" priority="135" dxfId="56" stopIfTrue="1">
      <formula>AND(OR($AA3=4,$AA3=6,$AA3=8),$U3="bulk")</formula>
    </cfRule>
    <cfRule type="expression" priority="136" dxfId="103" stopIfTrue="1">
      <formula>AND(OR($AA3=4,$AA3=6,$AA3=8),$U3="")</formula>
    </cfRule>
    <cfRule type="expression" priority="137" dxfId="57" stopIfTrue="1">
      <formula>AND(OR($AA3=5,$AA3=7),$U3="allergen")</formula>
    </cfRule>
    <cfRule type="expression" priority="138" dxfId="58" stopIfTrue="1">
      <formula>AND(OR($AA3=5,$AA3=7),$U3="oil")</formula>
    </cfRule>
    <cfRule type="expression" priority="139" dxfId="59" stopIfTrue="1">
      <formula>AND(OR($AA3=5,$AA3=7),$U3="bulk")</formula>
    </cfRule>
    <cfRule type="expression" priority="140" dxfId="104" stopIfTrue="1">
      <formula>AND(OR($AA3=5,$AA3=7),$U3="")</formula>
    </cfRule>
  </conditionalFormatting>
  <conditionalFormatting sqref="R3:R702">
    <cfRule type="expression" priority="141" dxfId="105" stopIfTrue="1">
      <formula>AND($AA3=1,$U3="allergen")</formula>
    </cfRule>
    <cfRule type="expression" priority="142" dxfId="106" stopIfTrue="1">
      <formula>AND($AA3=1,$U3="oil")</formula>
    </cfRule>
    <cfRule type="expression" priority="143" dxfId="107" stopIfTrue="1">
      <formula>AND($AA3=1,$U3="bulk")</formula>
    </cfRule>
    <cfRule type="expression" priority="144" dxfId="108" stopIfTrue="1">
      <formula>AND($AA3=1,$U3="")</formula>
    </cfRule>
    <cfRule type="expression" priority="145" dxfId="109" stopIfTrue="1">
      <formula>AND($AA3=2,$U3="allergen")</formula>
    </cfRule>
    <cfRule type="expression" priority="146" dxfId="110" stopIfTrue="1">
      <formula>AND($AA3=2,$U3="oil")</formula>
    </cfRule>
    <cfRule type="expression" priority="147" dxfId="111" stopIfTrue="1">
      <formula>AND($AA3=2,$U3="bulk")</formula>
    </cfRule>
    <cfRule type="expression" priority="148" dxfId="112" stopIfTrue="1">
      <formula>AND($AA3=2,$U3="")</formula>
    </cfRule>
    <cfRule type="expression" priority="149" dxfId="113" stopIfTrue="1">
      <formula>AND($AA3=3,$U3="allergen")</formula>
    </cfRule>
    <cfRule type="expression" priority="150" dxfId="114" stopIfTrue="1">
      <formula>AND($AA3=3,$U3="oil")</formula>
    </cfRule>
    <cfRule type="expression" priority="151" dxfId="115" stopIfTrue="1">
      <formula>AND($AA3=3,$U3="bulk")</formula>
    </cfRule>
    <cfRule type="expression" priority="152" dxfId="116" stopIfTrue="1">
      <formula>AND($AA3=3,$U3="")</formula>
    </cfRule>
    <cfRule type="expression" priority="153" dxfId="117" stopIfTrue="1">
      <formula>AND($AA3=4,$U3="allergen")</formula>
    </cfRule>
    <cfRule type="expression" priority="154" dxfId="118" stopIfTrue="1">
      <formula>AND($AA3=4,$U3="oil")</formula>
    </cfRule>
    <cfRule type="expression" priority="155" dxfId="119" stopIfTrue="1">
      <formula>AND($AA3=4,$U3="bulk")</formula>
    </cfRule>
    <cfRule type="expression" priority="156" dxfId="120" stopIfTrue="1">
      <formula>AND($AA3=4,$U3="")</formula>
    </cfRule>
    <cfRule type="expression" priority="157" dxfId="54" stopIfTrue="1">
      <formula>AND(OR($AA3=6,$AA3=8),$U3="allergen")</formula>
    </cfRule>
    <cfRule type="expression" priority="158" dxfId="55" stopIfTrue="1">
      <formula>AND(OR($AA3=6,$AA3=8),$U3="oil")</formula>
    </cfRule>
    <cfRule type="expression" priority="159" dxfId="56" stopIfTrue="1">
      <formula>AND(OR($AA3=6,$AA3=8),$U3="bulk")</formula>
    </cfRule>
    <cfRule type="expression" priority="160" dxfId="103" stopIfTrue="1">
      <formula>AND(OR($AA3=6,$AA3=8),$U3="")</formula>
    </cfRule>
    <cfRule type="expression" priority="161" dxfId="57" stopIfTrue="1">
      <formula>AND(OR($AA3=5,$AA3=7),$U3="allergen")</formula>
    </cfRule>
    <cfRule type="expression" priority="162" dxfId="58" stopIfTrue="1">
      <formula>AND(OR($AA3=5,$AA3=7),$U3="oil")</formula>
    </cfRule>
    <cfRule type="expression" priority="163" dxfId="59" stopIfTrue="1">
      <formula>AND(OR($AA3=5,$AA3=7),$U3="bulk")</formula>
    </cfRule>
    <cfRule type="expression" priority="164" dxfId="104" stopIfTrue="1">
      <formula>AND(OR($AA3=5,$AA3=7),$U3="")</formula>
    </cfRule>
  </conditionalFormatting>
  <printOptions horizontalCentered="1"/>
  <pageMargins left="0.4" right="0.4" top="0.4" bottom="0.5" header="0.2" footer="0.25"/>
  <pageSetup orientation="landscape" paperSize="1" fitToHeight="0" fitToWidth="1"/>
  <headerFooter>
    <oddHeader/>
    <oddFooter>&amp;C&amp;8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G1004"/>
  <sheetViews>
    <sheetView tabSelected="0" workbookViewId="0">
      <selection activeCell="A1" sqref="A1"/>
    </sheetView>
  </sheetViews>
  <sheetFormatPr baseColWidth="8" defaultRowHeight="15"/>
  <sheetData>
    <row r="1">
      <c r="A1" s="69" t="inlineStr">
        <is>
          <t>Calc - helper sheet for 4. Schedule, 2. Check Columns and 3. Lines. Do not edit. Layout: see the comments at the top of excel/build_workbook.py.</t>
        </is>
      </c>
    </row>
    <row r="2"/>
    <row r="3">
      <c r="A3" s="69" t="inlineStr">
        <is>
          <t>Scalars</t>
        </is>
      </c>
      <c r="D3" s="69" t="inlineStr">
        <is>
          <t>Field table</t>
        </is>
      </c>
      <c r="S3" s="69" t="inlineStr">
        <is>
          <t>Columns</t>
        </is>
      </c>
      <c r="V3" s="69" t="inlineStr">
        <is>
          <t>Header aliases (EXACT)</t>
        </is>
      </c>
      <c r="Y3" s="69" t="inlineStr">
        <is>
          <t>Header scan (pasted rows 1-40 x columns A-BH)</t>
        </is>
      </c>
      <c r="DA3" s="69" t="inlineStr">
        <is>
          <t>Pasted rows</t>
        </is>
      </c>
      <c r="DE3" s="69" t="inlineStr">
        <is>
          <t>Window: pasted rows HEADER_ROW+1 .. 1000 (the first 600 work orders are kept)</t>
        </is>
      </c>
      <c r="EW3" s="69" t="inlineStr">
        <is>
          <t>Report: 4. Schedule rows 3-702</t>
        </is>
      </c>
      <c r="FX3" s="69" t="inlineStr">
        <is>
          <t>Lines in today's schedule</t>
        </is>
      </c>
    </row>
    <row r="4">
      <c r="D4" s="69" t="inlineStr">
        <is>
          <t>#</t>
        </is>
      </c>
      <c r="E4" s="69" t="inlineStr">
        <is>
          <t>key</t>
        </is>
      </c>
      <c r="F4" s="69" t="inlineStr">
        <is>
          <t>label</t>
        </is>
      </c>
      <c r="G4" s="69" t="inlineStr">
        <is>
          <t>2^#</t>
        </is>
      </c>
      <c r="H4" s="69" t="inlineStr">
        <is>
          <t>override text</t>
        </is>
      </c>
      <c r="I4" s="69" t="inlineStr">
        <is>
          <t>override parsed</t>
        </is>
      </c>
      <c r="J4" s="69" t="inlineStr">
        <is>
          <t>override used</t>
        </is>
      </c>
      <c r="K4" s="69" t="inlineStr">
        <is>
          <t>auto col</t>
        </is>
      </c>
      <c r="L4" s="69" t="inlineStr">
        <is>
          <t>used col</t>
        </is>
      </c>
      <c r="M4" s="69" t="inlineStr">
        <is>
          <t>auto letter</t>
        </is>
      </c>
      <c r="N4" s="69" t="inlineStr">
        <is>
          <t>used letter</t>
        </is>
      </c>
      <c r="O4" s="69" t="inlineStr">
        <is>
          <t>header text</t>
        </is>
      </c>
      <c r="P4" s="69" t="inlineStr">
        <is>
          <t>example</t>
        </is>
      </c>
      <c r="Q4" s="69" t="inlineStr">
        <is>
          <t>note</t>
        </is>
      </c>
      <c r="R4" s="69" t="inlineStr">
        <is>
          <t>override worth a look</t>
        </is>
      </c>
      <c r="Y4" s="69" t="inlineStr">
        <is>
          <t>A</t>
        </is>
      </c>
      <c r="Z4" s="69" t="inlineStr">
        <is>
          <t>B</t>
        </is>
      </c>
      <c r="AA4" s="69" t="inlineStr">
        <is>
          <t>C</t>
        </is>
      </c>
      <c r="AB4" s="69" t="inlineStr">
        <is>
          <t>D</t>
        </is>
      </c>
      <c r="AC4" s="69" t="inlineStr">
        <is>
          <t>E</t>
        </is>
      </c>
      <c r="AD4" s="69" t="inlineStr">
        <is>
          <t>F</t>
        </is>
      </c>
      <c r="AE4" s="69" t="inlineStr">
        <is>
          <t>G</t>
        </is>
      </c>
      <c r="AF4" s="69" t="inlineStr">
        <is>
          <t>H</t>
        </is>
      </c>
      <c r="AG4" s="69" t="inlineStr">
        <is>
          <t>I</t>
        </is>
      </c>
      <c r="AH4" s="69" t="inlineStr">
        <is>
          <t>J</t>
        </is>
      </c>
      <c r="AI4" s="69" t="inlineStr">
        <is>
          <t>K</t>
        </is>
      </c>
      <c r="AJ4" s="69" t="inlineStr">
        <is>
          <t>L</t>
        </is>
      </c>
      <c r="AK4" s="69" t="inlineStr">
        <is>
          <t>M</t>
        </is>
      </c>
      <c r="AL4" s="69" t="inlineStr">
        <is>
          <t>N</t>
        </is>
      </c>
      <c r="AM4" s="69" t="inlineStr">
        <is>
          <t>O</t>
        </is>
      </c>
      <c r="AN4" s="69" t="inlineStr">
        <is>
          <t>P</t>
        </is>
      </c>
      <c r="AO4" s="69" t="inlineStr">
        <is>
          <t>Q</t>
        </is>
      </c>
      <c r="AP4" s="69" t="inlineStr">
        <is>
          <t>R</t>
        </is>
      </c>
      <c r="AQ4" s="69" t="inlineStr">
        <is>
          <t>S</t>
        </is>
      </c>
      <c r="AR4" s="69" t="inlineStr">
        <is>
          <t>T</t>
        </is>
      </c>
      <c r="AS4" s="69" t="inlineStr">
        <is>
          <t>U</t>
        </is>
      </c>
      <c r="AT4" s="69" t="inlineStr">
        <is>
          <t>V</t>
        </is>
      </c>
      <c r="AU4" s="69" t="inlineStr">
        <is>
          <t>W</t>
        </is>
      </c>
      <c r="AV4" s="69" t="inlineStr">
        <is>
          <t>X</t>
        </is>
      </c>
      <c r="AW4" s="69" t="inlineStr">
        <is>
          <t>Y</t>
        </is>
      </c>
      <c r="AX4" s="69" t="inlineStr">
        <is>
          <t>Z</t>
        </is>
      </c>
      <c r="AY4" s="69" t="inlineStr">
        <is>
          <t>AA</t>
        </is>
      </c>
      <c r="AZ4" s="69" t="inlineStr">
        <is>
          <t>AB</t>
        </is>
      </c>
      <c r="BA4" s="69" t="inlineStr">
        <is>
          <t>AC</t>
        </is>
      </c>
      <c r="BB4" s="69" t="inlineStr">
        <is>
          <t>AD</t>
        </is>
      </c>
      <c r="BC4" s="69" t="inlineStr">
        <is>
          <t>AE</t>
        </is>
      </c>
      <c r="BD4" s="69" t="inlineStr">
        <is>
          <t>AF</t>
        </is>
      </c>
      <c r="BE4" s="69" t="inlineStr">
        <is>
          <t>AG</t>
        </is>
      </c>
      <c r="BF4" s="69" t="inlineStr">
        <is>
          <t>AH</t>
        </is>
      </c>
      <c r="BG4" s="69" t="inlineStr">
        <is>
          <t>AI</t>
        </is>
      </c>
      <c r="BH4" s="69" t="inlineStr">
        <is>
          <t>AJ</t>
        </is>
      </c>
      <c r="BI4" s="69" t="inlineStr">
        <is>
          <t>AK</t>
        </is>
      </c>
      <c r="BJ4" s="69" t="inlineStr">
        <is>
          <t>AL</t>
        </is>
      </c>
      <c r="BK4" s="69" t="inlineStr">
        <is>
          <t>AM</t>
        </is>
      </c>
      <c r="BL4" s="69" t="inlineStr">
        <is>
          <t>AN</t>
        </is>
      </c>
      <c r="BM4" s="69" t="inlineStr">
        <is>
          <t>AO</t>
        </is>
      </c>
      <c r="BN4" s="69" t="inlineStr">
        <is>
          <t>AP</t>
        </is>
      </c>
      <c r="BO4" s="69" t="inlineStr">
        <is>
          <t>AQ</t>
        </is>
      </c>
      <c r="BP4" s="69" t="inlineStr">
        <is>
          <t>AR</t>
        </is>
      </c>
      <c r="BQ4" s="69" t="inlineStr">
        <is>
          <t>AS</t>
        </is>
      </c>
      <c r="BR4" s="69" t="inlineStr">
        <is>
          <t>AT</t>
        </is>
      </c>
      <c r="BS4" s="69" t="inlineStr">
        <is>
          <t>AU</t>
        </is>
      </c>
      <c r="BT4" s="69" t="inlineStr">
        <is>
          <t>AV</t>
        </is>
      </c>
      <c r="BU4" s="69" t="inlineStr">
        <is>
          <t>AW</t>
        </is>
      </c>
      <c r="BV4" s="69" t="inlineStr">
        <is>
          <t>AX</t>
        </is>
      </c>
      <c r="BW4" s="69" t="inlineStr">
        <is>
          <t>AY</t>
        </is>
      </c>
      <c r="BX4" s="69" t="inlineStr">
        <is>
          <t>AZ</t>
        </is>
      </c>
      <c r="BY4" s="69" t="inlineStr">
        <is>
          <t>BA</t>
        </is>
      </c>
      <c r="BZ4" s="69" t="inlineStr">
        <is>
          <t>BB</t>
        </is>
      </c>
      <c r="CA4" s="69" t="inlineStr">
        <is>
          <t>BC</t>
        </is>
      </c>
      <c r="CB4" s="69" t="inlineStr">
        <is>
          <t>BD</t>
        </is>
      </c>
      <c r="CC4" s="69" t="inlineStr">
        <is>
          <t>BE</t>
        </is>
      </c>
      <c r="CD4" s="69" t="inlineStr">
        <is>
          <t>BF</t>
        </is>
      </c>
      <c r="CE4" s="69" t="inlineStr">
        <is>
          <t>BG</t>
        </is>
      </c>
      <c r="CF4" s="69" t="inlineStr">
        <is>
          <t>BH</t>
        </is>
      </c>
      <c r="CH4" s="69" t="inlineStr">
        <is>
          <t>filled</t>
        </is>
      </c>
      <c r="CI4" s="69" t="inlineStr">
        <is>
          <t>nums</t>
        </is>
      </c>
      <c r="CJ4" s="69" t="inlineStr">
        <is>
          <t>exm</t>
        </is>
      </c>
      <c r="CK4" s="69" t="inlineStr">
        <is>
          <t>cmm</t>
        </is>
      </c>
      <c r="CL4" s="69" t="inlineStr">
        <is>
          <t>mapped</t>
        </is>
      </c>
      <c r="CM4" s="69" t="inlineStr">
        <is>
          <t>score</t>
        </is>
      </c>
      <c r="DA4" s="69" t="inlineStr">
        <is>
          <t>row</t>
        </is>
      </c>
      <c r="DB4" s="69" t="inlineStr">
        <is>
          <t>line</t>
        </is>
      </c>
      <c r="DC4" s="69" t="inlineStr">
        <is>
          <t>LEGEND</t>
        </is>
      </c>
      <c r="DE4" s="69" t="inlineStr">
        <is>
          <t>kn</t>
        </is>
      </c>
      <c r="DF4" s="69" t="inlineStr">
        <is>
          <t>pr</t>
        </is>
      </c>
      <c r="DG4" s="69" t="inlineStr">
        <is>
          <t>valid</t>
        </is>
      </c>
      <c r="DH4" s="69" t="inlineStr">
        <is>
          <t>line</t>
        </is>
      </c>
      <c r="DI4" s="69" t="inlineStr">
        <is>
          <t>key</t>
        </is>
      </c>
      <c r="DJ4" s="69" t="inlineStr">
        <is>
          <t>dup</t>
        </is>
      </c>
      <c r="DK4" s="69" t="inlineStr">
        <is>
          <t>keep0</t>
        </is>
      </c>
      <c r="DL4" s="69" t="inlineStr">
        <is>
          <t>ord0</t>
        </is>
      </c>
      <c r="DM4" s="69" t="inlineStr">
        <is>
          <t>keep</t>
        </is>
      </c>
      <c r="DN4" s="69" t="inlineStr">
        <is>
          <t>wo</t>
        </is>
      </c>
      <c r="DO4" s="69" t="inlineStr">
        <is>
          <t>seq</t>
        </is>
      </c>
      <c r="DP4" s="69" t="inlineStr">
        <is>
          <t>item</t>
        </is>
      </c>
      <c r="DQ4" s="69" t="inlineStr">
        <is>
          <t>desc</t>
        </is>
      </c>
      <c r="DR4" s="69" t="inlineStr">
        <is>
          <t>count</t>
        </is>
      </c>
      <c r="DS4" s="69" t="inlineStr">
        <is>
          <t>bulk</t>
        </is>
      </c>
      <c r="DT4" s="69" t="inlineStr">
        <is>
          <t>bottle</t>
        </is>
      </c>
      <c r="DU4" s="69" t="inlineStr">
        <is>
          <t>cap</t>
        </is>
      </c>
      <c r="DV4" s="69" t="inlineStr">
        <is>
          <t>allergen</t>
        </is>
      </c>
      <c r="DW4" s="69" t="inlineStr">
        <is>
          <t>remarks</t>
        </is>
      </c>
      <c r="DX4" s="69" t="inlineStr">
        <is>
          <t>qty_s</t>
        </is>
      </c>
      <c r="DY4" s="69" t="inlineStr">
        <is>
          <t>qty</t>
        </is>
      </c>
      <c r="DZ4" s="69" t="inlineStr">
        <is>
          <t>pct_s</t>
        </is>
      </c>
      <c r="EA4" s="69" t="inlineStr">
        <is>
          <t>pct</t>
        </is>
      </c>
      <c r="EB4" s="69" t="inlineStr">
        <is>
          <t>stat</t>
        </is>
      </c>
      <c r="EC4" s="69" t="inlineStr">
        <is>
          <t>desiccant</t>
        </is>
      </c>
      <c r="ED4" s="69" t="inlineStr">
        <is>
          <t>firstk</t>
        </is>
      </c>
      <c r="EE4" s="69" t="inlineStr">
        <is>
          <t>isfirst</t>
        </is>
      </c>
      <c r="EF4" s="69" t="inlineStr">
        <is>
          <t>cumf</t>
        </is>
      </c>
      <c r="EG4" s="69" t="inlineStr">
        <is>
          <t>lno</t>
        </is>
      </c>
      <c r="EH4" s="69" t="inlineStr">
        <is>
          <t>anch</t>
        </is>
      </c>
      <c r="EI4" s="69" t="inlineStr">
        <is>
          <t>sk</t>
        </is>
      </c>
      <c r="EJ4" s="69" t="inlineStr">
        <is>
          <t>grp</t>
        </is>
      </c>
      <c r="EK4" s="69" t="inlineStr">
        <is>
          <t>nv</t>
        </is>
      </c>
      <c r="EL4" s="69" t="inlineStr">
        <is>
          <t>rank</t>
        </is>
      </c>
      <c r="EM4" s="69" t="inlineStr">
        <is>
          <t>pos</t>
        </is>
      </c>
      <c r="EN4" s="69" t="inlineStr">
        <is>
          <t>lidx</t>
        </is>
      </c>
      <c r="EO4" s="69" t="inlineStr">
        <is>
          <t>sched</t>
        </is>
      </c>
      <c r="EP4" s="69" t="inlineStr">
        <is>
          <t>der</t>
        </is>
      </c>
      <c r="EQ4" s="69" t="inlineStr">
        <is>
          <t>ovst</t>
        </is>
      </c>
      <c r="ER4" s="69" t="inlineStr">
        <is>
          <t>stshown</t>
        </is>
      </c>
      <c r="ES4" s="69" t="inlineStr">
        <is>
          <t>hl</t>
        </is>
      </c>
      <c r="ET4" s="69" t="inlineStr">
        <is>
          <t>pa</t>
        </is>
      </c>
      <c r="EU4" s="69" t="inlineStr">
        <is>
          <t>br</t>
        </is>
      </c>
      <c r="EW4" s="69" t="inlineStr">
        <is>
          <t>pn</t>
        </is>
      </c>
      <c r="EX4" s="69" t="inlineStr">
        <is>
          <t>k</t>
        </is>
      </c>
      <c r="EY4" s="69" t="inlineStr">
        <is>
          <t>kind</t>
        </is>
      </c>
      <c r="EZ4" s="69" t="inlineStr">
        <is>
          <t>first</t>
        </is>
      </c>
      <c r="FA4" s="69" t="inlineStr">
        <is>
          <t>last</t>
        </is>
      </c>
      <c r="FB4" s="69" t="inlineStr">
        <is>
          <t>o_line</t>
        </is>
      </c>
      <c r="FC4" s="69" t="inlineStr">
        <is>
          <t>o_status</t>
        </is>
      </c>
      <c r="FD4" s="69" t="inlineStr">
        <is>
          <t>o_wo</t>
        </is>
      </c>
      <c r="FE4" s="69" t="inlineStr">
        <is>
          <t>o_seq</t>
        </is>
      </c>
      <c r="FF4" s="69" t="inlineStr">
        <is>
          <t>o_item</t>
        </is>
      </c>
      <c r="FG4" s="69" t="inlineStr">
        <is>
          <t>o_desc</t>
        </is>
      </c>
      <c r="FH4" s="69" t="inlineStr">
        <is>
          <t>o_count</t>
        </is>
      </c>
      <c r="FI4" s="69" t="inlineStr">
        <is>
          <t>o_bulk</t>
        </is>
      </c>
      <c r="FJ4" s="69" t="inlineStr">
        <is>
          <t>o_bottle</t>
        </is>
      </c>
      <c r="FK4" s="69" t="inlineStr">
        <is>
          <t>o_cap</t>
        </is>
      </c>
      <c r="FL4" s="69" t="inlineStr">
        <is>
          <t>o_allergen</t>
        </is>
      </c>
      <c r="FM4" s="69" t="inlineStr">
        <is>
          <t>o_remarks</t>
        </is>
      </c>
      <c r="FN4" s="69" t="inlineStr">
        <is>
          <t>o_qty</t>
        </is>
      </c>
      <c r="FO4" s="69" t="inlineStr">
        <is>
          <t>o_pct</t>
        </is>
      </c>
      <c r="FP4" s="69" t="inlineStr">
        <is>
          <t>o_desiccant</t>
        </is>
      </c>
      <c r="FQ4" s="69" t="inlineStr">
        <is>
          <t>o_pa</t>
        </is>
      </c>
      <c r="FR4" s="69" t="inlineStr">
        <is>
          <t>o_br</t>
        </is>
      </c>
      <c r="FS4" s="69" t="inlineStr">
        <is>
          <t>o_chg</t>
        </is>
      </c>
      <c r="FT4" s="69" t="inlineStr">
        <is>
          <t>hl</t>
        </is>
      </c>
      <c r="FU4" s="69" t="inlineStr">
        <is>
          <t>sched</t>
        </is>
      </c>
      <c r="FV4" s="69" t="inlineStr">
        <is>
          <t>cchg</t>
        </is>
      </c>
      <c r="FX4" s="69" t="inlineStr">
        <is>
          <t>n</t>
        </is>
      </c>
      <c r="FY4" s="69" t="inlineStr">
        <is>
          <t>lk</t>
        </is>
      </c>
      <c r="FZ4" s="69" t="inlineStr">
        <is>
          <t>name</t>
        </is>
      </c>
      <c r="GA4" s="69" t="inlineStr">
        <is>
          <t>cnt</t>
        </is>
      </c>
      <c r="GB4" s="69" t="inlineStr">
        <is>
          <t>st</t>
        </is>
      </c>
      <c r="GC4" s="69" t="inlineStr">
        <is>
          <t>sc</t>
        </is>
      </c>
      <c r="GD4" s="69" t="inlineStr">
        <is>
          <t>note</t>
        </is>
      </c>
      <c r="GE4" s="69" t="inlineStr">
        <is>
          <t>miss</t>
        </is>
      </c>
      <c r="GF4" s="69" t="inlineStr">
        <is>
          <t>mcum</t>
        </is>
      </c>
      <c r="GG4" s="69" t="inlineStr">
        <is>
          <t>mname</t>
        </is>
      </c>
    </row>
    <row r="5">
      <c r="A5" t="inlineStr">
        <is>
          <t>Header row found automatically</t>
        </is>
      </c>
      <c r="B5">
        <f>IF(MAX($CM$5:$CM$44)&gt;=0,MATCH(MAX($CM$5:$CM$44),$CM$5:$CM$44,0),1)</f>
        <v/>
      </c>
      <c r="D5" t="n">
        <v>1</v>
      </c>
      <c r="E5" t="inlineStr">
        <is>
          <t>line</t>
        </is>
      </c>
      <c r="F5" t="inlineStr">
        <is>
          <t>Line</t>
        </is>
      </c>
      <c r="G5" t="n">
        <v>2</v>
      </c>
      <c r="H5">
        <f>IFERROR(UPPER(TRIM('2. Check Columns'!$F$13&amp;"")),"#")</f>
        <v/>
      </c>
      <c r="I5">
        <f>IF(H5="",0,IF(OR(H5="-",H5="NONE"),-1,IFERROR(MATCH(1,INDEX(--EXACT($T$5:$T$64,H5),0),0),-2)))</f>
        <v/>
      </c>
      <c r="J5">
        <f>IF(I5&lt;=0,IF(I5=-1,-1,0),I5)</f>
        <v/>
      </c>
      <c r="K5">
        <f>IFERROR(MATCH(1,$Y$235:$CF$235,0),0)</f>
        <v/>
      </c>
      <c r="L5">
        <f>IFERROR(MATCH(1,$Y$239:$CF$239,0),0)</f>
        <v/>
      </c>
      <c r="M5">
        <f>IF(K5=0,"(not found)",INDEX($T$5:$T$64,K5))</f>
        <v/>
      </c>
      <c r="N5">
        <f>IF(L5=0,IF(J5=-1,"(left out)","(none)"),INDEX($T$5:$T$64,L5))</f>
        <v/>
      </c>
      <c r="O5">
        <f>IF(L5=0,"",IFERROR(TRIM(SUBSTITUTE(SUBSTITUTE(SUBSTITUTE(SUBSTITUTE(INDEX(PASTE_ALL,HEADER_ROW,L5)&amp;""," "," "),CHAR(9)," "),CHAR(10)," "),CHAR(13)," ")),""))</f>
        <v/>
      </c>
      <c r="P5">
        <f>IF(OR(L5=0,$B$16=0),"",IFERROR(IF(ISNUMBER(INDEX(PASTE_ALL,$B$16,L5)),INDEX(PASTE_ALL,$B$16,L5),TRIM(SUBSTITUTE(SUBSTITUTE(SUBSTITUTE(SUBSTITUTE(INDEX(PASTE_ALL,$B$16,L5)&amp;""," "," "),CHAR(9)," "),CHAR(10)," "),CHAR(13)," "))),""))</f>
        <v/>
      </c>
      <c r="Q5">
        <f>IF(I5=-2,"'"&amp;H5&amp;"' is not a column letter from A to BH - ignored",IF(AND(I5&gt;0,J5=0),"Column "&amp;H5&amp;" is already used by "&amp;INDEX($F$5:$F$19,MATCH(I5,$I$5:$I$19,0))&amp;" - ignored",IF(AND(J5=0,K5&gt;0,COUNTIF($J$5:$J$19,K5)&gt;0),"Column "&amp;M5&amp;" is used by "&amp;INDEX($F$5:$F$19,MATCH(K5,$J$5:$J$19,0))&amp;" (Override)"&amp;IF(L5&gt;0," - using column "&amp;N5&amp;" instead"," - REQUIRED: type its column letter in Override"),IF(AND(L5=0,J5&lt;&gt;-1),"REQUIRED - not found: type its column letter in Override",IF(J5=-1,"REQUIRED - it can't be left out",IF(AND(J5&gt;0,K5&gt;0,J5&lt;&gt;K5),"Override in use - this file's own title for it is in column "&amp;M5&amp;" ("&amp;IFERROR(TRIM(SUBSTITUTE(SUBSTITUTE(SUBSTITUTE(SUBSTITUTE(INDEX(PASTE_ALL,HEADER_ROW,K5)&amp;""," "," "),CHAR(9)," "),CHAR(10)," "),CHAR(13)," ")),"")&amp;"). Clear the Override if that is right.",""))))))</f>
        <v/>
      </c>
      <c r="R5">
        <f>IF(OR(AND(J5&gt;0,K5&gt;0,J5&lt;&gt;K5),AND(J5=-1,K5&gt;0),AND(J5=0,K5&gt;0,COUNTIF($J$5:$J$19,K5)&gt;0)),1,0)</f>
        <v/>
      </c>
      <c r="S5" t="n">
        <v>1</v>
      </c>
      <c r="T5" t="inlineStr">
        <is>
          <t>A</t>
        </is>
      </c>
      <c r="V5" t="inlineStr">
        <is>
          <t>LINE</t>
        </is>
      </c>
      <c r="W5" t="n">
        <v>1</v>
      </c>
      <c r="X5" s="69" t="inlineStr">
        <is>
          <t>normalized</t>
        </is>
      </c>
      <c r="Y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 ",""),"!",""),CHAR(34),""),"#",""),"$",""),"%",""),"&amp;",""),"'",""),"(",""),")",""),"*",""),"+",""),",",""),"-",""),".",""),"/",""),":",""),";",""),"&lt;",""),"=",""),"&gt;",""),"?",""),"@",""),"[",""),"\",""),"]",""),"^",""),"_",""),"`",""),"{",""),"|",""),"}",""),"~",""),CHAR(9),""),CHAR(10),""),CHAR(13),"")," ",""),"")</f>
        <v/>
      </c>
      <c r="Z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 ",""),"!",""),CHAR(34),""),"#",""),"$",""),"%",""),"&amp;",""),"'",""),"(",""),")",""),"*",""),"+",""),",",""),"-",""),".",""),"/",""),":",""),";",""),"&lt;",""),"=",""),"&gt;",""),"?",""),"@",""),"[",""),"\",""),"]",""),"^",""),"_",""),"`",""),"{",""),"|",""),"}",""),"~",""),CHAR(9),""),CHAR(10),""),CHAR(13),"")," ",""),"")</f>
        <v/>
      </c>
      <c r="AA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 ",""),"!",""),CHAR(34),""),"#",""),"$",""),"%",""),"&amp;",""),"'",""),"(",""),")",""),"*",""),"+",""),",",""),"-",""),".",""),"/",""),":",""),";",""),"&lt;",""),"=",""),"&gt;",""),"?",""),"@",""),"[",""),"\",""),"]",""),"^",""),"_",""),"`",""),"{",""),"|",""),"}",""),"~",""),CHAR(9),""),CHAR(10),""),CHAR(13),"")," ",""),"")</f>
        <v/>
      </c>
      <c r="AB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 ",""),"!",""),CHAR(34),""),"#",""),"$",""),"%",""),"&amp;",""),"'",""),"(",""),")",""),"*",""),"+",""),",",""),"-",""),".",""),"/",""),":",""),";",""),"&lt;",""),"=",""),"&gt;",""),"?",""),"@",""),"[",""),"\",""),"]",""),"^",""),"_",""),"`",""),"{",""),"|",""),"}",""),"~",""),CHAR(9),""),CHAR(10),""),CHAR(13),"")," ",""),"")</f>
        <v/>
      </c>
      <c r="AC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 ",""),"!",""),CHAR(34),""),"#",""),"$",""),"%",""),"&amp;",""),"'",""),"(",""),")",""),"*",""),"+",""),",",""),"-",""),".",""),"/",""),":",""),";",""),"&lt;",""),"=",""),"&gt;",""),"?",""),"@",""),"[",""),"\",""),"]",""),"^",""),"_",""),"`",""),"{",""),"|",""),"}",""),"~",""),CHAR(9),""),CHAR(10),""),CHAR(13),"")," ",""),"")</f>
        <v/>
      </c>
      <c r="AD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 ",""),"!",""),CHAR(34),""),"#",""),"$",""),"%",""),"&amp;",""),"'",""),"(",""),")",""),"*",""),"+",""),",",""),"-",""),".",""),"/",""),":",""),";",""),"&lt;",""),"=",""),"&gt;",""),"?",""),"@",""),"[",""),"\",""),"]",""),"^",""),"_",""),"`",""),"{",""),"|",""),"}",""),"~",""),CHAR(9),""),CHAR(10),""),CHAR(13),"")," ",""),"")</f>
        <v/>
      </c>
      <c r="AE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 ",""),"!",""),CHAR(34),""),"#",""),"$",""),"%",""),"&amp;",""),"'",""),"(",""),")",""),"*",""),"+",""),",",""),"-",""),".",""),"/",""),":",""),";",""),"&lt;",""),"=",""),"&gt;",""),"?",""),"@",""),"[",""),"\",""),"]",""),"^",""),"_",""),"`",""),"{",""),"|",""),"}",""),"~",""),CHAR(9),""),CHAR(10),""),CHAR(13),"")," ",""),"")</f>
        <v/>
      </c>
      <c r="AF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 ",""),"!",""),CHAR(34),""),"#",""),"$",""),"%",""),"&amp;",""),"'",""),"(",""),")",""),"*",""),"+",""),",",""),"-",""),".",""),"/",""),":",""),";",""),"&lt;",""),"=",""),"&gt;",""),"?",""),"@",""),"[",""),"\",""),"]",""),"^",""),"_",""),"`",""),"{",""),"|",""),"}",""),"~",""),CHAR(9),""),CHAR(10),""),CHAR(13),"")," ",""),"")</f>
        <v/>
      </c>
      <c r="AG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 ",""),"!",""),CHAR(34),""),"#",""),"$",""),"%",""),"&amp;",""),"'",""),"(",""),")",""),"*",""),"+",""),",",""),"-",""),".",""),"/",""),":",""),";",""),"&lt;",""),"=",""),"&gt;",""),"?",""),"@",""),"[",""),"\",""),"]",""),"^",""),"_",""),"`",""),"{",""),"|",""),"}",""),"~",""),CHAR(9),""),CHAR(10),""),CHAR(13),"")," ",""),"")</f>
        <v/>
      </c>
      <c r="AH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1,10))," ",""),"!",""),CHAR(34),""),"#",""),"$",""),"%",""),"&amp;",""),"'",""),"(",""),")",""),"*",""),"+",""),",",""),"-",""),".",""),"/",""),":",""),";",""),"&lt;",""),"=",""),"&gt;",""),"?",""),"@",""),"[",""),"\",""),"]",""),"^",""),"_",""),"`",""),"{",""),"|",""),"}",""),"~",""),CHAR(9),""),CHAR(10),""),CHAR(13),"")," ",""),"")</f>
        <v/>
      </c>
      <c r="AI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 ",""),"!",""),CHAR(34),""),"#",""),"$",""),"%",""),"&amp;",""),"'",""),"(",""),")",""),"*",""),"+",""),",",""),"-",""),".",""),"/",""),":",""),";",""),"&lt;",""),"=",""),"&gt;",""),"?",""),"@",""),"[",""),"\",""),"]",""),"^",""),"_",""),"`",""),"{",""),"|",""),"}",""),"~",""),CHAR(9),""),CHAR(10),""),CHAR(13),"")," ",""),"")</f>
        <v/>
      </c>
      <c r="AJ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 ",""),"!",""),CHAR(34),""),"#",""),"$",""),"%",""),"&amp;",""),"'",""),"(",""),")",""),"*",""),"+",""),",",""),"-",""),".",""),"/",""),":",""),";",""),"&lt;",""),"=",""),"&gt;",""),"?",""),"@",""),"[",""),"\",""),"]",""),"^",""),"_",""),"`",""),"{",""),"|",""),"}",""),"~",""),CHAR(9),""),CHAR(10),""),CHAR(13),"")," ",""),"")</f>
        <v/>
      </c>
      <c r="AK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 ",""),"!",""),CHAR(34),""),"#",""),"$",""),"%",""),"&amp;",""),"'",""),"(",""),")",""),"*",""),"+",""),",",""),"-",""),".",""),"/",""),":",""),";",""),"&lt;",""),"=",""),"&gt;",""),"?",""),"@",""),"[",""),"\",""),"]",""),"^",""),"_",""),"`",""),"{",""),"|",""),"}",""),"~",""),CHAR(9),""),CHAR(10),""),CHAR(13),"")," ",""),"")</f>
        <v/>
      </c>
      <c r="AL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 ",""),"!",""),CHAR(34),""),"#",""),"$",""),"%",""),"&amp;",""),"'",""),"(",""),")",""),"*",""),"+",""),",",""),"-",""),".",""),"/",""),":",""),";",""),"&lt;",""),"=",""),"&gt;",""),"?",""),"@",""),"[",""),"\",""),"]",""),"^",""),"_",""),"`",""),"{",""),"|",""),"}",""),"~",""),CHAR(9),""),CHAR(10),""),CHAR(13),"")," ",""),"")</f>
        <v/>
      </c>
      <c r="AM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 ",""),"!",""),CHAR(34),""),"#",""),"$",""),"%",""),"&amp;",""),"'",""),"(",""),")",""),"*",""),"+",""),",",""),"-",""),".",""),"/",""),":",""),";",""),"&lt;",""),"=",""),"&gt;",""),"?",""),"@",""),"[",""),"\",""),"]",""),"^",""),"_",""),"`",""),"{",""),"|",""),"}",""),"~",""),CHAR(9),""),CHAR(10),""),CHAR(13),"")," ",""),"")</f>
        <v/>
      </c>
      <c r="AN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1,16))," ",""),"!",""),CHAR(34),""),"#",""),"$",""),"%",""),"&amp;",""),"'",""),"(",""),")",""),"*",""),"+",""),",",""),"-",""),".",""),"/",""),":",""),";",""),"&lt;",""),"=",""),"&gt;",""),"?",""),"@",""),"[",""),"\",""),"]",""),"^",""),"_",""),"`",""),"{",""),"|",""),"}",""),"~",""),CHAR(9),""),CHAR(10),""),CHAR(13),"")," ",""),"")</f>
        <v/>
      </c>
      <c r="AO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1,17))," ",""),"!",""),CHAR(34),""),"#",""),"$",""),"%",""),"&amp;",""),"'",""),"(",""),")",""),"*",""),"+",""),",",""),"-",""),".",""),"/",""),":",""),";",""),"&lt;",""),"=",""),"&gt;",""),"?",""),"@",""),"[",""),"\",""),"]",""),"^",""),"_",""),"`",""),"{",""),"|",""),"}",""),"~",""),CHAR(9),""),CHAR(10),""),CHAR(13),"")," ",""),"")</f>
        <v/>
      </c>
      <c r="AP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1,18))," ",""),"!",""),CHAR(34),""),"#",""),"$",""),"%",""),"&amp;",""),"'",""),"(",""),")",""),"*",""),"+",""),",",""),"-",""),".",""),"/",""),":",""),";",""),"&lt;",""),"=",""),"&gt;",""),"?",""),"@",""),"[",""),"\",""),"]",""),"^",""),"_",""),"`",""),"{",""),"|",""),"}",""),"~",""),CHAR(9),""),CHAR(10),""),CHAR(13),"")," ",""),"")</f>
        <v/>
      </c>
      <c r="AQ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1,19))," ",""),"!",""),CHAR(34),""),"#",""),"$",""),"%",""),"&amp;",""),"'",""),"(",""),")",""),"*",""),"+",""),",",""),"-",""),".",""),"/",""),":",""),";",""),"&lt;",""),"=",""),"&gt;",""),"?",""),"@",""),"[",""),"\",""),"]",""),"^",""),"_",""),"`",""),"{",""),"|",""),"}",""),"~",""),CHAR(9),""),CHAR(10),""),CHAR(13),"")," ",""),"")</f>
        <v/>
      </c>
      <c r="AR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1,20))," ",""),"!",""),CHAR(34),""),"#",""),"$",""),"%",""),"&amp;",""),"'",""),"(",""),")",""),"*",""),"+",""),",",""),"-",""),".",""),"/",""),":",""),";",""),"&lt;",""),"=",""),"&gt;",""),"?",""),"@",""),"[",""),"\",""),"]",""),"^",""),"_",""),"`",""),"{",""),"|",""),"}",""),"~",""),CHAR(9),""),CHAR(10),""),CHAR(13),"")," ",""),"")</f>
        <v/>
      </c>
      <c r="AS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 ",""),"!",""),CHAR(34),""),"#",""),"$",""),"%",""),"&amp;",""),"'",""),"(",""),")",""),"*",""),"+",""),",",""),"-",""),".",""),"/",""),":",""),";",""),"&lt;",""),"=",""),"&gt;",""),"?",""),"@",""),"[",""),"\",""),"]",""),"^",""),"_",""),"`",""),"{",""),"|",""),"}",""),"~",""),CHAR(9),""),CHAR(10),""),CHAR(13),"")," ",""),"")</f>
        <v/>
      </c>
      <c r="AT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 ",""),"!",""),CHAR(34),""),"#",""),"$",""),"%",""),"&amp;",""),"'",""),"(",""),")",""),"*",""),"+",""),",",""),"-",""),".",""),"/",""),":",""),";",""),"&lt;",""),"=",""),"&gt;",""),"?",""),"@",""),"[",""),"\",""),"]",""),"^",""),"_",""),"`",""),"{",""),"|",""),"}",""),"~",""),CHAR(9),""),CHAR(10),""),CHAR(13),"")," ",""),"")</f>
        <v/>
      </c>
      <c r="AU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 ",""),"!",""),CHAR(34),""),"#",""),"$",""),"%",""),"&amp;",""),"'",""),"(",""),")",""),"*",""),"+",""),",",""),"-",""),".",""),"/",""),":",""),";",""),"&lt;",""),"=",""),"&gt;",""),"?",""),"@",""),"[",""),"\",""),"]",""),"^",""),"_",""),"`",""),"{",""),"|",""),"}",""),"~",""),CHAR(9),""),CHAR(10),""),CHAR(13),"")," ",""),"")</f>
        <v/>
      </c>
      <c r="AV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 ",""),"!",""),CHAR(34),""),"#",""),"$",""),"%",""),"&amp;",""),"'",""),"(",""),")",""),"*",""),"+",""),",",""),"-",""),".",""),"/",""),":",""),";",""),"&lt;",""),"=",""),"&gt;",""),"?",""),"@",""),"[",""),"\",""),"]",""),"^",""),"_",""),"`",""),"{",""),"|",""),"}",""),"~",""),CHAR(9),""),CHAR(10),""),CHAR(13),"")," ",""),"")</f>
        <v/>
      </c>
      <c r="AW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 ",""),"!",""),CHAR(34),""),"#",""),"$",""),"%",""),"&amp;",""),"'",""),"(",""),")",""),"*",""),"+",""),",",""),"-",""),".",""),"/",""),":",""),";",""),"&lt;",""),"=",""),"&gt;",""),"?",""),"@",""),"[",""),"\",""),"]",""),"^",""),"_",""),"`",""),"{",""),"|",""),"}",""),"~",""),CHAR(9),""),CHAR(10),""),CHAR(13),"")," ",""),"")</f>
        <v/>
      </c>
      <c r="AX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1,26))," ",""),"!",""),CHAR(34),""),"#",""),"$",""),"%",""),"&amp;",""),"'",""),"(",""),")",""),"*",""),"+",""),",",""),"-",""),".",""),"/",""),":",""),";",""),"&lt;",""),"=",""),"&gt;",""),"?",""),"@",""),"[",""),"\",""),"]",""),"^",""),"_",""),"`",""),"{",""),"|",""),"}",""),"~",""),CHAR(9),""),CHAR(10),""),CHAR(13),"")," ",""),"")</f>
        <v/>
      </c>
      <c r="AY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1,27))," ",""),"!",""),CHAR(34),""),"#",""),"$",""),"%",""),"&amp;",""),"'",""),"(",""),")",""),"*",""),"+",""),",",""),"-",""),".",""),"/",""),":",""),";",""),"&lt;",""),"=",""),"&gt;",""),"?",""),"@",""),"[",""),"\",""),"]",""),"^",""),"_",""),"`",""),"{",""),"|",""),"}",""),"~",""),CHAR(9),""),CHAR(10),""),CHAR(13),"")," ",""),"")</f>
        <v/>
      </c>
      <c r="AZ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1,28))," ",""),"!",""),CHAR(34),""),"#",""),"$",""),"%",""),"&amp;",""),"'",""),"(",""),")",""),"*",""),"+",""),",",""),"-",""),".",""),"/",""),":",""),";",""),"&lt;",""),"=",""),"&gt;",""),"?",""),"@",""),"[",""),"\",""),"]",""),"^",""),"_",""),"`",""),"{",""),"|",""),"}",""),"~",""),CHAR(9),""),CHAR(10),""),CHAR(13),"")," ",""),"")</f>
        <v/>
      </c>
      <c r="BA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1,29))," ",""),"!",""),CHAR(34),""),"#",""),"$",""),"%",""),"&amp;",""),"'",""),"(",""),")",""),"*",""),"+",""),",",""),"-",""),".",""),"/",""),":",""),";",""),"&lt;",""),"=",""),"&gt;",""),"?",""),"@",""),"[",""),"\",""),"]",""),"^",""),"_",""),"`",""),"{",""),"|",""),"}",""),"~",""),CHAR(9),""),CHAR(10),""),CHAR(13),"")," ",""),"")</f>
        <v/>
      </c>
      <c r="BB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1,30))," ",""),"!",""),CHAR(34),""),"#",""),"$",""),"%",""),"&amp;",""),"'",""),"(",""),")",""),"*",""),"+",""),",",""),"-",""),".",""),"/",""),":",""),";",""),"&lt;",""),"=",""),"&gt;",""),"?",""),"@",""),"[",""),"\",""),"]",""),"^",""),"_",""),"`",""),"{",""),"|",""),"}",""),"~",""),CHAR(9),""),CHAR(10),""),CHAR(13),"")," ",""),"")</f>
        <v/>
      </c>
      <c r="BC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 ",""),"!",""),CHAR(34),""),"#",""),"$",""),"%",""),"&amp;",""),"'",""),"(",""),")",""),"*",""),"+",""),",",""),"-",""),".",""),"/",""),":",""),";",""),"&lt;",""),"=",""),"&gt;",""),"?",""),"@",""),"[",""),"\",""),"]",""),"^",""),"_",""),"`",""),"{",""),"|",""),"}",""),"~",""),CHAR(9),""),CHAR(10),""),CHAR(13),"")," ",""),"")</f>
        <v/>
      </c>
      <c r="BD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 ",""),"!",""),CHAR(34),""),"#",""),"$",""),"%",""),"&amp;",""),"'",""),"(",""),")",""),"*",""),"+",""),",",""),"-",""),".",""),"/",""),":",""),";",""),"&lt;",""),"=",""),"&gt;",""),"?",""),"@",""),"[",""),"\",""),"]",""),"^",""),"_",""),"`",""),"{",""),"|",""),"}",""),"~",""),CHAR(9),""),CHAR(10),""),CHAR(13),"")," ",""),"")</f>
        <v/>
      </c>
      <c r="BE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 ",""),"!",""),CHAR(34),""),"#",""),"$",""),"%",""),"&amp;",""),"'",""),"(",""),")",""),"*",""),"+",""),",",""),"-",""),".",""),"/",""),":",""),";",""),"&lt;",""),"=",""),"&gt;",""),"?",""),"@",""),"[",""),"\",""),"]",""),"^",""),"_",""),"`",""),"{",""),"|",""),"}",""),"~",""),CHAR(9),""),CHAR(10),""),CHAR(13),"")," ",""),"")</f>
        <v/>
      </c>
      <c r="BF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 ",""),"!",""),CHAR(34),""),"#",""),"$",""),"%",""),"&amp;",""),"'",""),"(",""),")",""),"*",""),"+",""),",",""),"-",""),".",""),"/",""),":",""),";",""),"&lt;",""),"=",""),"&gt;",""),"?",""),"@",""),"[",""),"\",""),"]",""),"^",""),"_",""),"`",""),"{",""),"|",""),"}",""),"~",""),CHAR(9),""),CHAR(10),""),CHAR(13),"")," ",""),"")</f>
        <v/>
      </c>
      <c r="BG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 ",""),"!",""),CHAR(34),""),"#",""),"$",""),"%",""),"&amp;",""),"'",""),"(",""),")",""),"*",""),"+",""),",",""),"-",""),".",""),"/",""),":",""),";",""),"&lt;",""),"=",""),"&gt;",""),"?",""),"@",""),"[",""),"\",""),"]",""),"^",""),"_",""),"`",""),"{",""),"|",""),"}",""),"~",""),CHAR(9),""),CHAR(10),""),CHAR(13),"")," ",""),"")</f>
        <v/>
      </c>
      <c r="BH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1,36))," ",""),"!",""),CHAR(34),""),"#",""),"$",""),"%",""),"&amp;",""),"'",""),"(",""),")",""),"*",""),"+",""),",",""),"-",""),".",""),"/",""),":",""),";",""),"&lt;",""),"=",""),"&gt;",""),"?",""),"@",""),"[",""),"\",""),"]",""),"^",""),"_",""),"`",""),"{",""),"|",""),"}",""),"~",""),CHAR(9),""),CHAR(10),""),CHAR(13),"")," ",""),"")</f>
        <v/>
      </c>
      <c r="BI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1,37))," ",""),"!",""),CHAR(34),""),"#",""),"$",""),"%",""),"&amp;",""),"'",""),"(",""),")",""),"*",""),"+",""),",",""),"-",""),".",""),"/",""),":",""),";",""),"&lt;",""),"=",""),"&gt;",""),"?",""),"@",""),"[",""),"\",""),"]",""),"^",""),"_",""),"`",""),"{",""),"|",""),"}",""),"~",""),CHAR(9),""),CHAR(10),""),CHAR(13),"")," ",""),"")</f>
        <v/>
      </c>
      <c r="BJ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1,38))," ",""),"!",""),CHAR(34),""),"#",""),"$",""),"%",""),"&amp;",""),"'",""),"(",""),")",""),"*",""),"+",""),",",""),"-",""),".",""),"/",""),":",""),";",""),"&lt;",""),"=",""),"&gt;",""),"?",""),"@",""),"[",""),"\",""),"]",""),"^",""),"_",""),"`",""),"{",""),"|",""),"}",""),"~",""),CHAR(9),""),CHAR(10),""),CHAR(13),"")," ",""),"")</f>
        <v/>
      </c>
      <c r="BK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1,39))," ",""),"!",""),CHAR(34),""),"#",""),"$",""),"%",""),"&amp;",""),"'",""),"(",""),")",""),"*",""),"+",""),",",""),"-",""),".",""),"/",""),":",""),";",""),"&lt;",""),"=",""),"&gt;",""),"?",""),"@",""),"[",""),"\",""),"]",""),"^",""),"_",""),"`",""),"{",""),"|",""),"}",""),"~",""),CHAR(9),""),CHAR(10),""),CHAR(13),"")," ",""),"")</f>
        <v/>
      </c>
      <c r="BL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1,40))," ",""),"!",""),CHAR(34),""),"#",""),"$",""),"%",""),"&amp;",""),"'",""),"(",""),")",""),"*",""),"+",""),",",""),"-",""),".",""),"/",""),":",""),";",""),"&lt;",""),"=",""),"&gt;",""),"?",""),"@",""),"[",""),"\",""),"]",""),"^",""),"_",""),"`",""),"{",""),"|",""),"}",""),"~",""),CHAR(9),""),CHAR(10),""),CHAR(13),"")," ",""),"")</f>
        <v/>
      </c>
      <c r="BM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 ",""),"!",""),CHAR(34),""),"#",""),"$",""),"%",""),"&amp;",""),"'",""),"(",""),")",""),"*",""),"+",""),",",""),"-",""),".",""),"/",""),":",""),";",""),"&lt;",""),"=",""),"&gt;",""),"?",""),"@",""),"[",""),"\",""),"]",""),"^",""),"_",""),"`",""),"{",""),"|",""),"}",""),"~",""),CHAR(9),""),CHAR(10),""),CHAR(13),"")," ",""),"")</f>
        <v/>
      </c>
      <c r="BN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 ",""),"!",""),CHAR(34),""),"#",""),"$",""),"%",""),"&amp;",""),"'",""),"(",""),")",""),"*",""),"+",""),",",""),"-",""),".",""),"/",""),":",""),";",""),"&lt;",""),"=",""),"&gt;",""),"?",""),"@",""),"[",""),"\",""),"]",""),"^",""),"_",""),"`",""),"{",""),"|",""),"}",""),"~",""),CHAR(9),""),CHAR(10),""),CHAR(13),"")," ",""),"")</f>
        <v/>
      </c>
      <c r="BO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 ",""),"!",""),CHAR(34),""),"#",""),"$",""),"%",""),"&amp;",""),"'",""),"(",""),")",""),"*",""),"+",""),",",""),"-",""),".",""),"/",""),":",""),";",""),"&lt;",""),"=",""),"&gt;",""),"?",""),"@",""),"[",""),"\",""),"]",""),"^",""),"_",""),"`",""),"{",""),"|",""),"}",""),"~",""),CHAR(9),""),CHAR(10),""),CHAR(13),"")," ",""),"")</f>
        <v/>
      </c>
      <c r="BP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 ",""),"!",""),CHAR(34),""),"#",""),"$",""),"%",""),"&amp;",""),"'",""),"(",""),")",""),"*",""),"+",""),",",""),"-",""),".",""),"/",""),":",""),";",""),"&lt;",""),"=",""),"&gt;",""),"?",""),"@",""),"[",""),"\",""),"]",""),"^",""),"_",""),"`",""),"{",""),"|",""),"}",""),"~",""),CHAR(9),""),CHAR(10),""),CHAR(13),"")," ",""),"")</f>
        <v/>
      </c>
      <c r="BQ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 ",""),"!",""),CHAR(34),""),"#",""),"$",""),"%",""),"&amp;",""),"'",""),"(",""),")",""),"*",""),"+",""),",",""),"-",""),".",""),"/",""),":",""),";",""),"&lt;",""),"=",""),"&gt;",""),"?",""),"@",""),"[",""),"\",""),"]",""),"^",""),"_",""),"`",""),"{",""),"|",""),"}",""),"~",""),CHAR(9),""),CHAR(10),""),CHAR(13),"")," ",""),"")</f>
        <v/>
      </c>
      <c r="BR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1,46))," ",""),"!",""),CHAR(34),""),"#",""),"$",""),"%",""),"&amp;",""),"'",""),"(",""),")",""),"*",""),"+",""),",",""),"-",""),".",""),"/",""),":",""),";",""),"&lt;",""),"=",""),"&gt;",""),"?",""),"@",""),"[",""),"\",""),"]",""),"^",""),"_",""),"`",""),"{",""),"|",""),"}",""),"~",""),CHAR(9),""),CHAR(10),""),CHAR(13),"")," ",""),"")</f>
        <v/>
      </c>
      <c r="BS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1,47))," ",""),"!",""),CHAR(34),""),"#",""),"$",""),"%",""),"&amp;",""),"'",""),"(",""),")",""),"*",""),"+",""),",",""),"-",""),".",""),"/",""),":",""),";",""),"&lt;",""),"=",""),"&gt;",""),"?",""),"@",""),"[",""),"\",""),"]",""),"^",""),"_",""),"`",""),"{",""),"|",""),"}",""),"~",""),CHAR(9),""),CHAR(10),""),CHAR(13),"")," ",""),"")</f>
        <v/>
      </c>
      <c r="BT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1,48))," ",""),"!",""),CHAR(34),""),"#",""),"$",""),"%",""),"&amp;",""),"'",""),"(",""),")",""),"*",""),"+",""),",",""),"-",""),".",""),"/",""),":",""),";",""),"&lt;",""),"=",""),"&gt;",""),"?",""),"@",""),"[",""),"\",""),"]",""),"^",""),"_",""),"`",""),"{",""),"|",""),"}",""),"~",""),CHAR(9),""),CHAR(10),""),CHAR(13),"")," ",""),"")</f>
        <v/>
      </c>
      <c r="BU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1,49))," ",""),"!",""),CHAR(34),""),"#",""),"$",""),"%",""),"&amp;",""),"'",""),"(",""),")",""),"*",""),"+",""),",",""),"-",""),".",""),"/",""),":",""),";",""),"&lt;",""),"=",""),"&gt;",""),"?",""),"@",""),"[",""),"\",""),"]",""),"^",""),"_",""),"`",""),"{",""),"|",""),"}",""),"~",""),CHAR(9),""),CHAR(10),""),CHAR(13),"")," ",""),"")</f>
        <v/>
      </c>
      <c r="BV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1,50))," ",""),"!",""),CHAR(34),""),"#",""),"$",""),"%",""),"&amp;",""),"'",""),"(",""),")",""),"*",""),"+",""),",",""),"-",""),".",""),"/",""),":",""),";",""),"&lt;",""),"=",""),"&gt;",""),"?",""),"@",""),"[",""),"\",""),"]",""),"^",""),"_",""),"`",""),"{",""),"|",""),"}",""),"~",""),CHAR(9),""),CHAR(10),""),CHAR(13),"")," ",""),"")</f>
        <v/>
      </c>
      <c r="BW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 ",""),"!",""),CHAR(34),""),"#",""),"$",""),"%",""),"&amp;",""),"'",""),"(",""),")",""),"*",""),"+",""),",",""),"-",""),".",""),"/",""),":",""),";",""),"&lt;",""),"=",""),"&gt;",""),"?",""),"@",""),"[",""),"\",""),"]",""),"^",""),"_",""),"`",""),"{",""),"|",""),"}",""),"~",""),CHAR(9),""),CHAR(10),""),CHAR(13),"")," ",""),"")</f>
        <v/>
      </c>
      <c r="BX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 ",""),"!",""),CHAR(34),""),"#",""),"$",""),"%",""),"&amp;",""),"'",""),"(",""),")",""),"*",""),"+",""),",",""),"-",""),".",""),"/",""),":",""),";",""),"&lt;",""),"=",""),"&gt;",""),"?",""),"@",""),"[",""),"\",""),"]",""),"^",""),"_",""),"`",""),"{",""),"|",""),"}",""),"~",""),CHAR(9),""),CHAR(10),""),CHAR(13),"")," ",""),"")</f>
        <v/>
      </c>
      <c r="BY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 ",""),"!",""),CHAR(34),""),"#",""),"$",""),"%",""),"&amp;",""),"'",""),"(",""),")",""),"*",""),"+",""),",",""),"-",""),".",""),"/",""),":",""),";",""),"&lt;",""),"=",""),"&gt;",""),"?",""),"@",""),"[",""),"\",""),"]",""),"^",""),"_",""),"`",""),"{",""),"|",""),"}",""),"~",""),CHAR(9),""),CHAR(10),""),CHAR(13),"")," ",""),"")</f>
        <v/>
      </c>
      <c r="BZ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 ",""),"!",""),CHAR(34),""),"#",""),"$",""),"%",""),"&amp;",""),"'",""),"(",""),")",""),"*",""),"+",""),",",""),"-",""),".",""),"/",""),":",""),";",""),"&lt;",""),"=",""),"&gt;",""),"?",""),"@",""),"[",""),"\",""),"]",""),"^",""),"_",""),"`",""),"{",""),"|",""),"}",""),"~",""),CHAR(9),""),CHAR(10),""),CHAR(13),"")," ",""),"")</f>
        <v/>
      </c>
      <c r="CA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 ",""),"!",""),CHAR(34),""),"#",""),"$",""),"%",""),"&amp;",""),"'",""),"(",""),")",""),"*",""),"+",""),",",""),"-",""),".",""),"/",""),":",""),";",""),"&lt;",""),"=",""),"&gt;",""),"?",""),"@",""),"[",""),"\",""),"]",""),"^",""),"_",""),"`",""),"{",""),"|",""),"}",""),"~",""),CHAR(9),""),CHAR(10),""),CHAR(13),"")," ",""),"")</f>
        <v/>
      </c>
      <c r="CB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1,56))," ",""),"!",""),CHAR(34),""),"#",""),"$",""),"%",""),"&amp;",""),"'",""),"(",""),")",""),"*",""),"+",""),",",""),"-",""),".",""),"/",""),":",""),";",""),"&lt;",""),"=",""),"&gt;",""),"?",""),"@",""),"[",""),"\",""),"]",""),"^",""),"_",""),"`",""),"{",""),"|",""),"}",""),"~",""),CHAR(9),""),CHAR(10),""),CHAR(13),"")," ",""),"")</f>
        <v/>
      </c>
      <c r="CC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1,57))," ",""),"!",""),CHAR(34),""),"#",""),"$",""),"%",""),"&amp;",""),"'",""),"(",""),")",""),"*",""),"+",""),",",""),"-",""),".",""),"/",""),":",""),";",""),"&lt;",""),"=",""),"&gt;",""),"?",""),"@",""),"[",""),"\",""),"]",""),"^",""),"_",""),"`",""),"{",""),"|",""),"}",""),"~",""),CHAR(9),""),CHAR(10),""),CHAR(13),"")," ",""),"")</f>
        <v/>
      </c>
      <c r="CD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1,58))," ",""),"!",""),CHAR(34),""),"#",""),"$",""),"%",""),"&amp;",""),"'",""),"(",""),")",""),"*",""),"+",""),",",""),"-",""),".",""),"/",""),":",""),";",""),"&lt;",""),"=",""),"&gt;",""),"?",""),"@",""),"[",""),"\",""),"]",""),"^",""),"_",""),"`",""),"{",""),"|",""),"}",""),"~",""),CHAR(9),""),CHAR(10),""),CHAR(13),"")," ",""),"")</f>
        <v/>
      </c>
      <c r="CE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1,59))," ",""),"!",""),CHAR(34),""),"#",""),"$",""),"%",""),"&amp;",""),"'",""),"(",""),")",""),"*",""),"+",""),",",""),"-",""),".",""),"/",""),":",""),";",""),"&lt;",""),"=",""),"&gt;",""),"?",""),"@",""),"[",""),"\",""),"]",""),"^",""),"_",""),"`",""),"{",""),"|",""),"}",""),"~",""),CHAR(9),""),CHAR(10),""),CHAR(13),"")," ",""),"")</f>
        <v/>
      </c>
      <c r="CF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1,60))," ",""),"!",""),CHAR(34),""),"#",""),"$",""),"%",""),"&amp;",""),"'",""),"(",""),")",""),"*",""),"+",""),",",""),"-",""),".",""),"/",""),":",""),";",""),"&lt;",""),"=",""),"&gt;",""),"?",""),"@",""),"[",""),"\",""),"]",""),"^",""),"_",""),"`",""),"{",""),"|",""),"}",""),"~",""),CHAR(9),""),CHAR(10),""),CHAR(13),"")," ",""),"")</f>
        <v/>
      </c>
      <c r="CH5">
        <f>COUNTIF($Y50:$CF50,"&gt;0")</f>
        <v/>
      </c>
      <c r="CI5">
        <f>COUNTIF($Y50:$CF50,2)</f>
        <v/>
      </c>
      <c r="CJ5">
        <f>SUMPRODUCT((COUNTIF($Y95:$CF95,{1,2,3,4,5,6,7,8,9,10,11,12,13,14,15})&gt;0)*{2,4,8,16,32,64,128,256,512,1024,2048,4096,8192,16384,32768})</f>
        <v/>
      </c>
      <c r="CK5">
        <f>CF185</f>
        <v/>
      </c>
      <c r="CL5">
        <f>SUMPRODUCT(MOD(INT(((CJ5+CK5))/{2,4,8,16,32,64,128,256,512,1024,2048,4096,8192,16384,32768}),2))</f>
        <v/>
      </c>
      <c r="CM5">
        <f>IF(CH5&lt;2,-9999,CL5+2*MOD(INT(((CJ5+CK5))/2),2)+2*MOD(INT(((CJ5+CK5))/4),2)-CI5)</f>
        <v/>
      </c>
      <c r="DA5" t="n">
        <v>1</v>
      </c>
      <c r="DB5">
        <f>IF($B$37=0,"",IFERROR(TRIM(SUBSTITUTE(SUBSTITUTE(SUBSTITUTE(SUBSTITUTE(INDEX(PASTE_ALL,1,$B$37)," "," "),CHAR(9)," "),CHAR(10)," "),CHAR(13)," ")),""))</f>
        <v/>
      </c>
      <c r="DC5">
        <f>IF(AND(1&gt;HEADER_ROW,UPPER(DB5)="LEGEND"),1,0)</f>
        <v/>
      </c>
      <c r="DE5" t="n">
        <v>1</v>
      </c>
      <c r="DF5">
        <f>HEADER_ROW+$DE5</f>
        <v/>
      </c>
      <c r="DG5">
        <f>IF(AND($DF5&lt;=1000,$DF5&lt;$B$8),1,0)</f>
        <v/>
      </c>
      <c r="DH5">
        <f>IF($DG5=1,IFERROR(INDEX($DB$5:$DB$1004,$DF5),""),"")</f>
        <v/>
      </c>
      <c r="DI5">
        <f>IF(AND($DG5=1,$DH5&lt;&gt;""),IFERROR(SUBSTITUTE(SUBSTITUTE(TRIM(SUBSTITUTE(SUBSTITUTE(SUBSTITUTE(SUBSTITUTE(IFERROR(INDEX(PASTE_ALL,$DF5,1)&amp;"","")&amp;"␟"&amp;IFERROR(INDEX(PASTE_ALL,$DF5,2)&amp;"","")&amp;"␟"&amp;IFERROR(INDEX(PASTE_ALL,$DF5,3)&amp;"","")&amp;"␟"&amp;IFERROR(INDEX(PASTE_ALL,$DF5,4)&amp;"","")&amp;"␟"&amp;IFERROR(INDEX(PASTE_ALL,$DF5,5)&amp;"","")&amp;"␟"&amp;IFERROR(INDEX(PASTE_ALL,$DF5,6)&amp;"","")&amp;"␟"&amp;IFERROR(INDEX(PASTE_ALL,$DF5,7)&amp;"","")&amp;"␟"&amp;IFERROR(INDEX(PASTE_ALL,$DF5,8)&amp;"","")&amp;"␟"&amp;IFERROR(INDEX(PASTE_ALL,$DF5,9)&amp;"","")&amp;"␟"&amp;IFERROR(INDEX(PASTE_ALL,$DF5,10)&amp;"","")&amp;"␟"&amp;IFERROR(INDEX(PASTE_ALL,$DF5,11)&amp;"","")&amp;"␟"&amp;IFERROR(INDEX(PASTE_ALL,$DF5,12)&amp;"","")&amp;"␟"&amp;IFERROR(INDEX(PASTE_ALL,$DF5,13)&amp;"","")&amp;"␟"&amp;IFERROR(INDEX(PASTE_ALL,$DF5,14)&amp;"","")&amp;"␟"&amp;IFERROR(INDEX(PASTE_ALL,$DF5,15)&amp;"","")&amp;"␟"&amp;IFERROR(INDEX(PASTE_ALL,$DF5,16)&amp;"","")&amp;"␟"&amp;IFERROR(INDEX(PASTE_ALL,$DF5,17)&amp;"","")&amp;"␟"&amp;IFERROR(INDEX(PASTE_ALL,$DF5,18)&amp;"","")&amp;"␟"&amp;IFERROR(INDEX(PASTE_ALL,$DF5,19)&amp;"","")&amp;"␟"&amp;IFERROR(INDEX(PASTE_ALL,$DF5,20)&amp;"","")&amp;"␟"&amp;IFERROR(INDEX(PASTE_ALL,$DF5,21)&amp;"","")&amp;"␟"&amp;IFERROR(INDEX(PASTE_ALL,$DF5,22)&amp;"","")&amp;"␟"&amp;IFERROR(INDEX(PASTE_ALL,$DF5,23)&amp;"","")&amp;"␟"&amp;IFERROR(INDEX(PASTE_ALL,$DF5,24)&amp;"","")&amp;"␟"&amp;IFERROR(INDEX(PASTE_ALL,$DF5,25)&amp;"","")&amp;"␟"&amp;IFERROR(INDEX(PASTE_ALL,$DF5,26)&amp;"","")&amp;"␟"&amp;IFERROR(INDEX(PASTE_ALL,$DF5,27)&amp;"","")&amp;"␟"&amp;IFERROR(INDEX(PASTE_ALL,$DF5,28)&amp;"","")&amp;"␟"&amp;IFERROR(INDEX(PASTE_ALL,$DF5,29)&amp;"","")&amp;"␟"&amp;IFERROR(INDEX(PASTE_ALL,$DF5,30)&amp;"","")&amp;"␟"&amp;IFERROR(INDEX(PASTE_ALL,$DF5,31)&amp;"","")&amp;"␟"&amp;IFERROR(INDEX(PASTE_ALL,$DF5,32)&amp;"","")&amp;"␟"&amp;IFERROR(INDEX(PASTE_ALL,$DF5,33)&amp;"","")&amp;"␟"&amp;IFERROR(INDEX(PASTE_ALL,$DF5,34)&amp;"","")&amp;"␟"&amp;IFERROR(INDEX(PASTE_ALL,$DF5,35)&amp;"","")&amp;"␟"&amp;IFERROR(INDEX(PASTE_ALL,$DF5,36)&amp;"","")&amp;"␟"&amp;IFERROR(INDEX(PASTE_ALL,$DF5,37)&amp;"","")&amp;"␟"&amp;IFERROR(INDEX(PASTE_ALL,$DF5,38)&amp;"","")&amp;"␟"&amp;IFERROR(INDEX(PASTE_ALL,$DF5,39)&amp;"","")&amp;"␟"&amp;IFERROR(INDEX(PASTE_ALL,$DF5,40)&amp;"","")&amp;"␟"&amp;IFERROR(INDEX(PASTE_ALL,$DF5,41)&amp;"","")&amp;"␟"&amp;IFERROR(INDEX(PASTE_ALL,$DF5,42)&amp;"","")&amp;"␟"&amp;IFERROR(INDEX(PASTE_ALL,$DF5,43)&amp;"","")&amp;"␟"&amp;IFERROR(INDEX(PASTE_ALL,$DF5,44)&amp;"","")&amp;"␟"&amp;IFERROR(INDEX(PASTE_ALL,$DF5,45)&amp;"","")&amp;"␟"&amp;IFERROR(INDEX(PASTE_ALL,$DF5,46)&amp;"","")&amp;"␟"&amp;IFERROR(INDEX(PASTE_ALL,$DF5,47)&amp;"","")&amp;"␟"&amp;IFERROR(INDEX(PASTE_ALL,$DF5,48)&amp;"","")&amp;"␟"&amp;IFERROR(INDEX(PASTE_ALL,$DF5,49)&amp;"","")&amp;"␟"&amp;IFERROR(INDEX(PASTE_ALL,$DF5,50)&amp;"","")&amp;"␟"&amp;IFERROR(INDEX(PASTE_ALL,$DF5,51)&amp;"","")&amp;"␟"&amp;IFERROR(INDEX(PASTE_ALL,$DF5,52)&amp;"","")&amp;"␟"&amp;IFERROR(INDEX(PASTE_ALL,$DF5,53)&amp;"","")&amp;"␟"&amp;IFERROR(INDEX(PASTE_ALL,$DF5,54)&amp;"","")&amp;"␟"&amp;IFERROR(INDEX(PASTE_ALL,$DF5,55)&amp;"","")&amp;"␟"&amp;IFERROR(INDEX(PASTE_ALL,$DF5,56)&amp;"","")&amp;"␟"&amp;IFERROR(INDEX(PASTE_ALL,$DF5,57)&amp;"","")&amp;"␟"&amp;IFERROR(INDEX(PASTE_ALL,$DF5,58)&amp;"","")&amp;"␟"&amp;IFERROR(INDEX(PASTE_ALL,$DF5,59)&amp;"","")&amp;"␟"&amp;IFERROR(INDEX(PASTE_ALL,$DF5,60)&amp;"","")," "," "),CHAR(9)," "),CHAR(10)," "),CHAR(13)," "))," ␟","␟"),"␟ ","␟"),"#"&amp;$DE5),"")</f>
        <v/>
      </c>
      <c r="DJ5">
        <f>IF($DI5="",0,IF(SUMPRODUCT(--EXACT($DI$4:DI4,$DI5))&gt;0,1,0))</f>
        <v/>
      </c>
      <c r="DK5">
        <f>IF(AND($DI5&lt;&gt;"",$DJ5=0),1,0)</f>
        <v/>
      </c>
      <c r="DL5">
        <f>$DK5</f>
        <v/>
      </c>
      <c r="DM5">
        <f>IF(AND($DK5=1,$DL5&lt;=600),1,0)</f>
        <v/>
      </c>
      <c r="DN5">
        <f>IF($DM5=0,"",IF($L$6=0,"",IFERROR(IF(ISNUMBER(INDEX(PASTE_ALL,$DF5,$L$6)),INDEX(PASTE_ALL,$DF5,$L$6),TRIM(SUBSTITUTE(SUBSTITUTE(SUBSTITUTE(SUBSTITUTE(INDEX(PASTE_ALL,$DF5,$L$6)," "," "),CHAR(9)," "),CHAR(10)," "),CHAR(13)," "))),"")))</f>
        <v/>
      </c>
      <c r="DO5">
        <f>IF($DM5=0,"",IF($L$7=0,"",IFERROR(IF(ISNUMBER(INDEX(PASTE_ALL,$DF5,$L$7)),INDEX(PASTE_ALL,$DF5,$L$7),TRIM(SUBSTITUTE(SUBSTITUTE(SUBSTITUTE(SUBSTITUTE(INDEX(PASTE_ALL,$DF5,$L$7)," "," "),CHAR(9)," "),CHAR(10)," "),CHAR(13)," "))),"")))</f>
        <v/>
      </c>
      <c r="DP5">
        <f>IF($DM5=0,"",IF($L$8=0,"",IFERROR(IF(ISNUMBER(INDEX(PASTE_ALL,$DF5,$L$8)),INDEX(PASTE_ALL,$DF5,$L$8),TRIM(SUBSTITUTE(SUBSTITUTE(SUBSTITUTE(SUBSTITUTE(INDEX(PASTE_ALL,$DF5,$L$8)," "," "),CHAR(9)," "),CHAR(10)," "),CHAR(13)," "))),"")))</f>
        <v/>
      </c>
      <c r="DQ5">
        <f>IF($DM5=0,"",IF($L$9=0,"",IFERROR(IF(ISNUMBER(INDEX(PASTE_ALL,$DF5,$L$9)),INDEX(PASTE_ALL,$DF5,$L$9),TRIM(SUBSTITUTE(SUBSTITUTE(SUBSTITUTE(SUBSTITUTE(INDEX(PASTE_ALL,$DF5,$L$9)," "," "),CHAR(9)," "),CHAR(10)," "),CHAR(13)," "))),"")))</f>
        <v/>
      </c>
      <c r="DR5">
        <f>IF($DM5=0,"",IF($L$10=0,"",IFERROR(IF(ISNUMBER(INDEX(PASTE_ALL,$DF5,$L$10)),INDEX(PASTE_ALL,$DF5,$L$10),TRIM(SUBSTITUTE(SUBSTITUTE(SUBSTITUTE(SUBSTITUTE(INDEX(PASTE_ALL,$DF5,$L$10)," "," "),CHAR(9)," "),CHAR(10)," "),CHAR(13)," "))),"")))</f>
        <v/>
      </c>
      <c r="DS5">
        <f>IF($DM5=0,"",IF($L$11=0,"",IFERROR(IF(ISNUMBER(INDEX(PASTE_ALL,$DF5,$L$11)),INDEX(PASTE_ALL,$DF5,$L$11),TRIM(SUBSTITUTE(SUBSTITUTE(SUBSTITUTE(SUBSTITUTE(INDEX(PASTE_ALL,$DF5,$L$11)," "," "),CHAR(9)," "),CHAR(10)," "),CHAR(13)," "))),"")))</f>
        <v/>
      </c>
      <c r="DT5">
        <f>IF($DM5=0,"",IF($L$12=0,"",IFERROR(IF(ISNUMBER(INDEX(PASTE_ALL,$DF5,$L$12)),INDEX(PASTE_ALL,$DF5,$L$12),TRIM(SUBSTITUTE(SUBSTITUTE(SUBSTITUTE(SUBSTITUTE(INDEX(PASTE_ALL,$DF5,$L$12)," "," "),CHAR(9)," "),CHAR(10)," "),CHAR(13)," "))),"")))</f>
        <v/>
      </c>
      <c r="DU5">
        <f>IF($DM5=0,"",IF($L$13=0,"",IFERROR(IF(ISNUMBER(INDEX(PASTE_ALL,$DF5,$L$13)),INDEX(PASTE_ALL,$DF5,$L$13),TRIM(SUBSTITUTE(SUBSTITUTE(SUBSTITUTE(SUBSTITUTE(INDEX(PASTE_ALL,$DF5,$L$13)," "," "),CHAR(9)," "),CHAR(10)," "),CHAR(13)," "))),"")))</f>
        <v/>
      </c>
      <c r="DV5">
        <f>IF($DM5=0,"",IF($L$14=0,"",IFERROR(IF(ISNUMBER(INDEX(PASTE_ALL,$DF5,$L$14)),INDEX(PASTE_ALL,$DF5,$L$14),TRIM(SUBSTITUTE(SUBSTITUTE(SUBSTITUTE(SUBSTITUTE(INDEX(PASTE_ALL,$DF5,$L$14)," "," "),CHAR(9)," "),CHAR(10)," "),CHAR(13)," "))),"")))</f>
        <v/>
      </c>
      <c r="DW5">
        <f>IF($DM5=0,"",IF($L$15=0,"",IFERROR(IF(ISNUMBER(INDEX(PASTE_ALL,$DF5,$L$15)),INDEX(PASTE_ALL,$DF5,$L$15),IF(SUMPRODUCT(--ISNUMBER(FIND({"A","B","C","D","E","F","G","H","I","J","K","L","M","N","O","P","Q","R","S","T","U","V","W","X","Y","Z","0","1","2","3","4","5","6","7","8","9"},UPPER(TRIM(SUBSTITUTE(SUBSTITUTE(SUBSTITUTE(SUBSTITUTE(INDEX(PASTE_ALL,$DF5,$L$15)," "," "),CHAR(9)," "),CHAR(10)," "),CHAR(13)," "))))))&gt;0,TRIM(SUBSTITUTE(SUBSTITUTE(SUBSTITUTE(SUBSTITUTE(INDEX(PASTE_ALL,$DF5,$L$15)," "," "),CHAR(9)," "),CHAR(10)," "),CHAR(13)," ")),"")),"")))</f>
        <v/>
      </c>
      <c r="DX5">
        <f>IF($DM5=0,"",IF($L$16=0,"",IFERROR(IF(ISNUMBER(INDEX(PASTE_ALL,$DF5,$L$16)),INDEX(PASTE_ALL,$DF5,$L$16),SUBSTITUTE(SUBSTITUTE(TRIM(SUBSTITUTE(SUBSTITUTE(SUBSTITUTE(SUBSTITUTE(INDEX(PASTE_ALL,$DF5,$L$16)," "," "),CHAR(9)," "),CHAR(10)," "),CHAR(13)," ")),",",""),"%","")),"")))</f>
        <v/>
      </c>
      <c r="DY5">
        <f>IF($DM5=0,"",IFERROR(IF(ISNUMBER($DX5),$DX5,IF($DX5="","",IF(TRIM($DX5)="",0,IF(AND(AND(SUBSTITUTE(SUBSTITUTE(SUBSTITUTE(SUBSTITUTE(SUBSTITUTE(SUBSTITUTE(SUBSTITUTE(SUBSTITUTE(SUBSTITUTE(SUBSTITUTE(SUBSTITUTE(SUBSTITUTE(SUBSTITUTE(SUBSTITUTE(UPPER(TRIM($DX5)),"0",""),"1",""),"2",""),"3",""),"4",""),"5",""),"6",""),"7",""),"8",""),"9",""),".",""),"+",""),"-",""),"E","")="",LEN(SUBSTITUTE(SUBSTITUTE(MID(UPPER(TRIM($DX5)),1+OR(LEFT(UPPER(TRIM($DX5)),1)="+",LEFT(UPPER(TRIM($DX5)),1)="-"),999),"E+","E"),"E-","E"))=LEN(SUBSTITUTE(SUBSTITUTE(SUBSTITUTE(SUBSTITUTE(MID(UPPER(TRIM($DX5)),1+OR(LEFT(UPPER(TRIM($DX5)),1)="+",LEFT(UPPER(TRIM($DX5)),1)="-"),999),"E+","E"),"E-","E"),"+",""),"-","")),LEN(UPPER(TRIM($DX5)))-LEN(SUBSTITUTE(UPPER(TRIM($DX5)),"E",""))&lt;2,LEN(UPPER(TRIM($DX5)))-LEN(SUBSTITUTE(UPPER(TRIM($DX5)),".",""))&lt;2,IFERROR(FIND(".",UPPER(TRIM($DX5))),0)&lt;IFERROR(FIND("E",UPPER(TRIM($DX5))),999)),ISNUMBER(VALUE(TRIM($DX5)))),VALUE(TRIM($DX5)),"")))),""))</f>
        <v/>
      </c>
      <c r="DZ5">
        <f>IF($DM5=0,"",IF($L$17=0,"",IFERROR(IF(ISNUMBER(INDEX(PASTE_ALL,$DF5,$L$17)),INDEX(PASTE_ALL,$DF5,$L$17),SUBSTITUTE(SUBSTITUTE(TRIM(SUBSTITUTE(SUBSTITUTE(SUBSTITUTE(SUBSTITUTE(INDEX(PASTE_ALL,$DF5,$L$17)," "," "),CHAR(9)," "),CHAR(10)," "),CHAR(13)," ")),",",""),"%","")),"")))</f>
        <v/>
      </c>
      <c r="EA5">
        <f>IF($DM5=0,"",IFERROR(IF(ISNUMBER($DZ5),$DZ5,IF($DZ5="","",IF(TRIM($DZ5)="",0,IF(AND(AND(SUBSTITUTE(SUBSTITUTE(SUBSTITUTE(SUBSTITUTE(SUBSTITUTE(SUBSTITUTE(SUBSTITUTE(SUBSTITUTE(SUBSTITUTE(SUBSTITUTE(SUBSTITUTE(SUBSTITUTE(SUBSTITUTE(SUBSTITUTE(UPPER(TRIM($DZ5)),"0",""),"1",""),"2",""),"3",""),"4",""),"5",""),"6",""),"7",""),"8",""),"9",""),".",""),"+",""),"-",""),"E","")="",LEN(SUBSTITUTE(SUBSTITUTE(MID(UPPER(TRIM($DZ5)),1+OR(LEFT(UPPER(TRIM($DZ5)),1)="+",LEFT(UPPER(TRIM($DZ5)),1)="-"),999),"E+","E"),"E-","E"))=LEN(SUBSTITUTE(SUBSTITUTE(SUBSTITUTE(SUBSTITUTE(MID(UPPER(TRIM($DZ5)),1+OR(LEFT(UPPER(TRIM($DZ5)),1)="+",LEFT(UPPER(TRIM($DZ5)),1)="-"),999),"E+","E"),"E-","E"),"+",""),"-","")),LEN(UPPER(TRIM($DZ5)))-LEN(SUBSTITUTE(UPPER(TRIM($DZ5)),"E",""))&lt;2,LEN(UPPER(TRIM($DZ5)))-LEN(SUBSTITUTE(UPPER(TRIM($DZ5)),".",""))&lt;2,IFERROR(FIND(".",UPPER(TRIM($DZ5))),0)&lt;IFERROR(FIND("E",UPPER(TRIM($DZ5))),999)),ISNUMBER(VALUE(TRIM($DZ5)))),VALUE(TRIM($DZ5)),"")))),""))</f>
        <v/>
      </c>
      <c r="EB5">
        <f>IF($DM5=0,"",IF($L$18=0,"",IFERROR(IF(UPPER(TRIM(SUBSTITUTE(SUBSTITUTE(SUBSTITUTE(SUBSTITUTE(INDEX(PASTE_ALL,$DF5,$L$18)," "," "),CHAR(9)," "),CHAR(10)," "),CHAR(13)," ")))="READY","Ready",IF(UPPER(TRIM(SUBSTITUTE(SUBSTITUTE(SUBSTITUTE(SUBSTITUTE(INDEX(PASTE_ALL,$DF5,$L$18)," "," "),CHAR(9)," "),CHAR(10)," "),CHAR(13)," ")))="PM","PM",IF(OR(UPPER(TRIM(SUBSTITUTE(SUBSTITUTE(SUBSTITUTE(SUBSTITUTE(INDEX(PASTE_ALL,$DF5,$L$18)," "," "),CHAR(9)," "),CHAR(10)," "),CHAR(13)," ")))="OT",UPPER(TRIM(SUBSTITUTE(SUBSTITUTE(SUBSTITUTE(SUBSTITUTE(INDEX(PASTE_ALL,$DF5,$L$18)," "," "),CHAR(9)," "),CHAR(10)," "),CHAR(13)," ")))="OVERTIME",UPPER(TRIM(SUBSTITUTE(SUBSTITUTE(SUBSTITUTE(SUBSTITUTE(INDEX(PASTE_ALL,$DF5,$L$18)," "," "),CHAR(9)," "),CHAR(10)," "),CHAR(13)," ")))="TRIAL"),"OT",TRIM(SUBSTITUTE(SUBSTITUTE(SUBSTITUTE(SUBSTITUTE(INDEX(PASTE_ALL,$DF5,$L$18)," "," "),CHAR(9)," "),CHAR(10)," "),CHAR(13)," "))))),"")))</f>
        <v/>
      </c>
      <c r="EC5">
        <f>IF($DM5=0,"",IF($L$19=0,"",IFERROR(IF(ISNUMBER(INDEX(PASTE_ALL,$DF5,$L$19)),INDEX(PASTE_ALL,$DF5,$L$19),TRIM(SUBSTITUTE(SUBSTITUTE(SUBSTITUTE(SUBSTITUTE(INDEX(PASTE_ALL,$DF5,$L$19)," "," "),CHAR(9)," "),CHAR(10)," "),CHAR(13)," "))),"")))</f>
        <v/>
      </c>
      <c r="ED5">
        <f>IF($DM5=0,"",MATCH(1,INDEX(EXACT($DH$5:DH5,$DH5)*$DM$5:DM5,0),0))</f>
        <v/>
      </c>
      <c r="EE5">
        <f>IF($DM5=0,0,IF($ED5=$DE5,1,0))</f>
        <v/>
      </c>
      <c r="EF5">
        <f>$EE5</f>
        <v/>
      </c>
      <c r="EG5">
        <f>IF($DM5=0,"",INDEX($EF$5:$EF$1003,$ED5))</f>
        <v/>
      </c>
      <c r="EH5">
        <f>IF($DM5=0,"",IF($DO5&lt;&gt;"","",IFERROR(LOOKUP(2,1/(($EG$4:EG4=$EG5)*($DO$4:DO4&lt;&gt;"")),$DO$4:DO4),"")))</f>
        <v/>
      </c>
      <c r="EI5">
        <f>IF($DM5=0,"",IF($DO5&lt;&gt;"",$DO5,$EH5))</f>
        <v/>
      </c>
      <c r="EJ5">
        <f>IF($DM5=0,"",IF($EI5="",0,IF(OR(ISNUMBER($EI5),AND(AND(SUBSTITUTE(SUBSTITUTE(SUBSTITUTE(SUBSTITUTE(SUBSTITUTE(SUBSTITUTE(SUBSTITUTE(SUBSTITUTE(SUBSTITUTE(SUBSTITUTE(SUBSTITUTE(SUBSTITUTE(SUBSTITUTE(SUBSTITUTE(UPPER($EI5),"0",""),"1",""),"2",""),"3",""),"4",""),"5",""),"6",""),"7",""),"8",""),"9",""),".",""),"+",""),"-",""),"E","")="",LEN(SUBSTITUTE(SUBSTITUTE(MID(UPPER($EI5),1+OR(LEFT(UPPER($EI5),1)="+",LEFT(UPPER($EI5),1)="-"),999),"E+","E"),"E-","E"))=LEN(SUBSTITUTE(SUBSTITUTE(SUBSTITUTE(SUBSTITUTE(MID(UPPER($EI5),1+OR(LEFT(UPPER($EI5),1)="+",LEFT(UPPER($EI5),1)="-"),999),"E+","E"),"E-","E"),"+",""),"-","")),LEN(UPPER($EI5))-LEN(SUBSTITUTE(UPPER($EI5),"E",""))&lt;2,LEN(UPPER($EI5))-LEN(SUBSTITUTE(UPPER($EI5),".",""))&lt;2,IFERROR(FIND(".",UPPER($EI5)),0)&lt;IFERROR(FIND("E",UPPER($EI5)),999)),ISNUMBER(VALUE($EI5)))),1,2)))</f>
        <v/>
      </c>
      <c r="EK5">
        <f>IF($DM5=0,"",IF($EJ5=1,IF(ISNUMBER($EI5),$EI5,VALUE($EI5)),IF($EJ5=2,$DE5,0)))</f>
        <v/>
      </c>
      <c r="EL5">
        <f>IF($DM5=0,"",COUNTIF($EG$5:$EG$1003,"&lt;"&amp;$EG5)+SUMPRODUCT(($EG$5:$EG$1003=$EG5)*(($EJ$5:$EJ$1003&lt;$EJ5)+($EJ$5:$EJ$1003=$EJ5)*(($EK$5:$EK$1003&lt;$EK5)+($EK$5:$EK$1003=$EK5)*($DE$5:$DE$1003&lt;$DE5))))+1)</f>
        <v/>
      </c>
      <c r="EM5">
        <f>IF($DM5=0,"",$EL5+$EG5-1)</f>
        <v/>
      </c>
      <c r="EN5">
        <f>IF($DM5=0,0,IFERROR(MATCH(1,INDEX(--(TRIM(SUBSTITUTE(SUBSTITUTE(SUBSTITUTE(SUBSTITUTE(LINES_NAME&amp;""," "," "),CHAR(9)," "),CHAR(10)," "),CHAR(13)," "))=$DH5),0),0),0))</f>
        <v/>
      </c>
      <c r="EO5">
        <f>IF($EN5=0,0,IF(OR(UPPER(TRIM(INDEX(LINES_SCHEDULED,$EN5)&amp;""))="YES",UPPER(TRIM(INDEX(LINES_SCHEDULED,$EN5)&amp;""))="Y",UPPER(TRIM(INDEX(LINES_SCHEDULED,$EN5)&amp;""))="X"),1,0))</f>
        <v/>
      </c>
      <c r="EP5">
        <f>IF($DM5=0,"",IF(COUNTIFS($EG$5:$EG$1003,$EG5,$EB$5:$EB$1003,"Ready")&gt;0,"READY",IF(COUNTIFS($EG$5:$EG$1003,$EG5,$EB$5:$EB$1003,"PM")&gt;0,"PM",IF(COUNTIFS($EG$5:$EG$1003,$EG5,$EB$5:$EB$1003,"OT")&gt;0,"OT",""))))</f>
        <v/>
      </c>
      <c r="EQ5">
        <f>IF($EN5=0,"",UPPER(TRIM(INDEX(LINES_STATUS,$EN5)&amp;"")))</f>
        <v/>
      </c>
      <c r="ER5">
        <f>IF($DM5=0,"",IF(OR($EQ5="READY",$EQ5="PM",$EQ5="OT"),$EQ5,$EP5))</f>
        <v/>
      </c>
      <c r="ES5">
        <f>IF($DM5=0,"",IF(AND($DV5&lt;&gt;"",UPPER($DV5)&lt;&gt;"N"),"allergen",IF(ISNUMBER(SEARCH("oil",$DQ5)),"oil",IF(OR(EXACT($DS5,"A662"),EXACT($DS5,"A624")),"bulk",""))))</f>
        <v/>
      </c>
      <c r="ET5">
        <f>IF($DM5=0,"",IF(OR($EA5="",$EA5=0),"",$EA5/100))</f>
        <v/>
      </c>
      <c r="EU5">
        <f>IF(OR($ET5="",$DY5=""),"",INT($DY5*(1-$ET5)+0.5))</f>
        <v/>
      </c>
      <c r="EW5" t="n">
        <v>1</v>
      </c>
      <c r="EX5">
        <f>IFERROR(MATCH($EW5,$EM$5:$EM$1003,0),0)</f>
        <v/>
      </c>
      <c r="EY5">
        <f>IF($EW5&gt;$B$12,"",IF($EX5&gt;0,"row","spacer"))</f>
        <v/>
      </c>
      <c r="EZ5">
        <f>IF(AND($EY5="row",$EY4&lt;&gt;"row"),1,0)</f>
        <v/>
      </c>
      <c r="FA5">
        <f>IF(AND($EY5="row",$EY6&lt;&gt;"row"),1,0)</f>
        <v/>
      </c>
      <c r="FB5">
        <f>IF($EZ5=1,IFERROR(IF(ISNUMBER(INDEX(PASTE_ALL,INDEX($DF$5:$DF$1003,$EX5),$B$37)),INDEX(PASTE_ALL,INDEX($DF$5:$DF$1003,$EX5),$B$37),INDEX($DH$5:$DH$1003,$EX5)),INDEX($DH$5:$DH$1003,$EX5)),"")</f>
        <v/>
      </c>
      <c r="FC5">
        <f>IF($EY5="row",INDEX($ER$5:$ER$1003,$EX5),"")</f>
        <v/>
      </c>
      <c r="FD5">
        <f>IF($EY5="row",INDEX($DN$5:$DN$1003,$EX5),"")</f>
        <v/>
      </c>
      <c r="FE5">
        <f>IF($EY5="row",INDEX($DO$5:$DO$1003,$EX5),"")</f>
        <v/>
      </c>
      <c r="FF5">
        <f>IF($EY5="row",INDEX($DP$5:$DP$1003,$EX5),"")</f>
        <v/>
      </c>
      <c r="FG5">
        <f>IF($EY5="row",INDEX($DQ$5:$DQ$1003,$EX5),"")</f>
        <v/>
      </c>
      <c r="FH5">
        <f>IF($EY5="row",INDEX($DR$5:$DR$1003,$EX5),"")</f>
        <v/>
      </c>
      <c r="FI5">
        <f>IF($EY5="row",INDEX($DS$5:$DS$1003,$EX5),"")</f>
        <v/>
      </c>
      <c r="FJ5">
        <f>IF($EY5="row",INDEX($DT$5:$DT$1003,$EX5),"")</f>
        <v/>
      </c>
      <c r="FK5">
        <f>IF($EY5="row",INDEX($DU$5:$DU$1003,$EX5),"")</f>
        <v/>
      </c>
      <c r="FL5">
        <f>IF($EY5="row",INDEX($DV$5:$DV$1003,$EX5),"")</f>
        <v/>
      </c>
      <c r="FM5">
        <f>IF($EY5="row",INDEX($DW$5:$DW$1003,$EX5),"")</f>
        <v/>
      </c>
      <c r="FN5">
        <f>IF($EY5="row",INDEX($DY$5:$DY$1003,$EX5),"")</f>
        <v/>
      </c>
      <c r="FO5">
        <f>IF($EY5="row",INDEX($EA$5:$EA$1003,$EX5),"")</f>
        <v/>
      </c>
      <c r="FP5">
        <f>IF($EY5="row",INDEX($EC$5:$EC$1003,$EX5),"")</f>
        <v/>
      </c>
      <c r="FQ5">
        <f>IF($EY5="row",INDEX($ET$5:$ET$1003,$EX5),"")</f>
        <v/>
      </c>
      <c r="FR5">
        <f>IF($EY5="row",INDEX($EU$5:$EU$1003,$EX5),"")</f>
        <v/>
      </c>
      <c r="FS5">
        <f>IF(AND($EY5="row",$EY4="row"),IF(OR(INDEX($DT$5:$DT$1003,$EX4)="",INDEX($DT$5:$DT$1003,$EX5)=""),"",IF(NOT(EXACT(INDEX($DT$5:$DT$1003,$EX4),INDEX($DT$5:$DT$1003,$EX5))),"S4",IF(NOT(EXACT(INDEX($DS$5:$DS$1003,$EX4),INDEX($DS$5:$DS$1003,$EX5))),"S3",IF(NOT(EXACT(INDEX($DR$5:$DR$1003,$EX4),INDEX($DR$5:$DR$1003,$EX5))),"S1 Count Change","S1")))),"")</f>
        <v/>
      </c>
      <c r="FT5">
        <f>IF($EY5="row",INDEX($ES$5:$ES$1003,$EX5),"")</f>
        <v/>
      </c>
      <c r="FU5">
        <f>IF($EY5="row",INDEX($EO$5:$EO$1003,$EX5),0)</f>
        <v/>
      </c>
      <c r="FV5">
        <f>IF($FS5="S1 Count Change",1,0)</f>
        <v/>
      </c>
      <c r="FX5" t="n">
        <v>1</v>
      </c>
      <c r="FY5">
        <f>IFERROR(MATCH($FX5,$EF$5:$EF$1003,0),0)</f>
        <v/>
      </c>
      <c r="FZ5">
        <f>IF($FY5=0,"",INDEX($DH$5:$DH$1003,$FY5))</f>
        <v/>
      </c>
      <c r="GA5">
        <f>IF($FY5=0,"",COUNTIF($EG$5:$EG$1003,$FX5))</f>
        <v/>
      </c>
      <c r="GB5">
        <f>IF($FY5=0,"",INDEX($ER$5:$ER$1003,$FY5))</f>
        <v/>
      </c>
      <c r="GC5">
        <f>IF($FY5=0,"",IF(INDEX($EO$5:$EO$1003,$FY5)=1,"Yes",""))</f>
        <v/>
      </c>
      <c r="GD5">
        <f>IF($FY5=0,"",IF(INDEX($EN$5:$EN$1003,$FY5)&gt;0,"","NOT IN YOUR LIST - type it in column A to tick it"))</f>
        <v/>
      </c>
      <c r="GE5">
        <f>IF(AND($FY5&gt;0,$GD5&lt;&gt;""),1,0)</f>
        <v/>
      </c>
      <c r="GF5">
        <f>$GE5</f>
        <v/>
      </c>
      <c r="GG5">
        <f>IFERROR(INDEX($FZ$5:$FZ$104,MATCH($FX5,$GF$5:$GF$104,0)),"")</f>
        <v/>
      </c>
    </row>
    <row r="6">
      <c r="A6" t="inlineStr">
        <is>
          <t>Header row override (number)</t>
        </is>
      </c>
      <c r="B6">
        <f>IFERROR(VALUE(TRIM(HEADER_ROW_OVERRIDE&amp;"")),0)</f>
        <v/>
      </c>
      <c r="D6" t="n">
        <v>2</v>
      </c>
      <c r="E6" t="inlineStr">
        <is>
          <t>wo</t>
        </is>
      </c>
      <c r="F6" t="inlineStr">
        <is>
          <t>WO #</t>
        </is>
      </c>
      <c r="G6" t="n">
        <v>4</v>
      </c>
      <c r="H6">
        <f>IFERROR(UPPER(TRIM('2. Check Columns'!$F$14&amp;"")),"#")</f>
        <v/>
      </c>
      <c r="I6">
        <f>IF(H6="",0,IF(OR(H6="-",H6="NONE"),-1,IFERROR(MATCH(1,INDEX(--EXACT($T$5:$T$64,H6),0),0),-2)))</f>
        <v/>
      </c>
      <c r="J6">
        <f>IF(I6&lt;=0,IF(I6=-1,-1,0),IF(COUNTIF($I$5:I5,I6)&gt;0,0,I6))</f>
        <v/>
      </c>
      <c r="K6">
        <f>IFERROR(MATCH(2,$Y$235:$CF$235,0),0)</f>
        <v/>
      </c>
      <c r="L6">
        <f>IFERROR(MATCH(2,$Y$239:$CF$239,0),0)</f>
        <v/>
      </c>
      <c r="M6">
        <f>IF(K6=0,"(not found)",INDEX($T$5:$T$64,K6))</f>
        <v/>
      </c>
      <c r="N6">
        <f>IF(L6=0,IF(J6=-1,"(left out)","(none)"),INDEX($T$5:$T$64,L6))</f>
        <v/>
      </c>
      <c r="O6">
        <f>IF(L6=0,"",IFERROR(TRIM(SUBSTITUTE(SUBSTITUTE(SUBSTITUTE(SUBSTITUTE(INDEX(PASTE_ALL,HEADER_ROW,L6)&amp;""," "," "),CHAR(9)," "),CHAR(10)," "),CHAR(13)," ")),""))</f>
        <v/>
      </c>
      <c r="P6">
        <f>IF(OR(L6=0,$B$16=0),"",IFERROR(IF(ISNUMBER(INDEX(PASTE_ALL,$B$16,L6)),INDEX(PASTE_ALL,$B$16,L6),TRIM(SUBSTITUTE(SUBSTITUTE(SUBSTITUTE(SUBSTITUTE(INDEX(PASTE_ALL,$B$16,L6)&amp;""," "," "),CHAR(9)," "),CHAR(10)," "),CHAR(13)," "))),""))</f>
        <v/>
      </c>
      <c r="Q6">
        <f>IF(I6=-2,"'"&amp;H6&amp;"' is not a column letter from A to BH - ignored",IF(AND(I6&gt;0,J6=0),"Column "&amp;H6&amp;" is already used by "&amp;INDEX($F$5:$F$19,MATCH(I6,$I$5:$I$19,0))&amp;" - ignored",IF(AND(J6=0,K6&gt;0,COUNTIF($J$5:$J$19,K6)&gt;0),"Column "&amp;M6&amp;" is used by "&amp;INDEX($F$5:$F$19,MATCH(K6,$J$5:$J$19,0))&amp;" (Override)"&amp;IF(L6&gt;0," - using column "&amp;N6&amp;" instead"," - REQUIRED: type its column letter in Override"),IF(AND(L6=0,J6&lt;&gt;-1),"REQUIRED - not found: type its column letter in Override",IF(J6=-1,"REQUIRED - it can't be left out",IF(AND(J6&gt;0,K6&gt;0,J6&lt;&gt;K6),"Override in use - this file's own title for it is in column "&amp;M6&amp;" ("&amp;IFERROR(TRIM(SUBSTITUTE(SUBSTITUTE(SUBSTITUTE(SUBSTITUTE(INDEX(PASTE_ALL,HEADER_ROW,K6)&amp;""," "," "),CHAR(9)," "),CHAR(10)," "),CHAR(13)," ")),"")&amp;"). Clear the Override if that is right.",""))))))</f>
        <v/>
      </c>
      <c r="R6">
        <f>IF(OR(AND(J6&gt;0,K6&gt;0,J6&lt;&gt;K6),AND(J6=-1,K6&gt;0),AND(J6=0,K6&gt;0,COUNTIF($J$5:$J$19,K6)&gt;0)),1,0)</f>
        <v/>
      </c>
      <c r="S6" t="n">
        <v>2</v>
      </c>
      <c r="T6" t="inlineStr">
        <is>
          <t>B</t>
        </is>
      </c>
      <c r="V6" t="inlineStr">
        <is>
          <t>WORKCENTER</t>
        </is>
      </c>
      <c r="W6" t="n">
        <v>1</v>
      </c>
      <c r="Y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 ",""),"!",""),CHAR(34),""),"#",""),"$",""),"%",""),"&amp;",""),"'",""),"(",""),")",""),"*",""),"+",""),",",""),"-",""),".",""),"/",""),":",""),";",""),"&lt;",""),"=",""),"&gt;",""),"?",""),"@",""),"[",""),"\",""),"]",""),"^",""),"_",""),"`",""),"{",""),"|",""),"}",""),"~",""),CHAR(9),""),CHAR(10),""),CHAR(13),"")," ",""),"")</f>
        <v/>
      </c>
      <c r="Z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 ",""),"!",""),CHAR(34),""),"#",""),"$",""),"%",""),"&amp;",""),"'",""),"(",""),")",""),"*",""),"+",""),",",""),"-",""),".",""),"/",""),":",""),";",""),"&lt;",""),"=",""),"&gt;",""),"?",""),"@",""),"[",""),"\",""),"]",""),"^",""),"_",""),"`",""),"{",""),"|",""),"}",""),"~",""),CHAR(9),""),CHAR(10),""),CHAR(13),"")," ",""),"")</f>
        <v/>
      </c>
      <c r="AA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 ",""),"!",""),CHAR(34),""),"#",""),"$",""),"%",""),"&amp;",""),"'",""),"(",""),")",""),"*",""),"+",""),",",""),"-",""),".",""),"/",""),":",""),";",""),"&lt;",""),"=",""),"&gt;",""),"?",""),"@",""),"[",""),"\",""),"]",""),"^",""),"_",""),"`",""),"{",""),"|",""),"}",""),"~",""),CHAR(9),""),CHAR(10),""),CHAR(13),"")," ",""),"")</f>
        <v/>
      </c>
      <c r="AB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 ",""),"!",""),CHAR(34),""),"#",""),"$",""),"%",""),"&amp;",""),"'",""),"(",""),")",""),"*",""),"+",""),",",""),"-",""),".",""),"/",""),":",""),";",""),"&lt;",""),"=",""),"&gt;",""),"?",""),"@",""),"[",""),"\",""),"]",""),"^",""),"_",""),"`",""),"{",""),"|",""),"}",""),"~",""),CHAR(9),""),CHAR(10),""),CHAR(13),"")," ",""),"")</f>
        <v/>
      </c>
      <c r="AC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 ",""),"!",""),CHAR(34),""),"#",""),"$",""),"%",""),"&amp;",""),"'",""),"(",""),")",""),"*",""),"+",""),",",""),"-",""),".",""),"/",""),":",""),";",""),"&lt;",""),"=",""),"&gt;",""),"?",""),"@",""),"[",""),"\",""),"]",""),"^",""),"_",""),"`",""),"{",""),"|",""),"}",""),"~",""),CHAR(9),""),CHAR(10),""),CHAR(13),"")," ",""),"")</f>
        <v/>
      </c>
      <c r="AD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 ",""),"!",""),CHAR(34),""),"#",""),"$",""),"%",""),"&amp;",""),"'",""),"(",""),")",""),"*",""),"+",""),",",""),"-",""),".",""),"/",""),":",""),";",""),"&lt;",""),"=",""),"&gt;",""),"?",""),"@",""),"[",""),"\",""),"]",""),"^",""),"_",""),"`",""),"{",""),"|",""),"}",""),"~",""),CHAR(9),""),CHAR(10),""),CHAR(13),"")," ",""),"")</f>
        <v/>
      </c>
      <c r="AE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 ",""),"!",""),CHAR(34),""),"#",""),"$",""),"%",""),"&amp;",""),"'",""),"(",""),")",""),"*",""),"+",""),",",""),"-",""),".",""),"/",""),":",""),";",""),"&lt;",""),"=",""),"&gt;",""),"?",""),"@",""),"[",""),"\",""),"]",""),"^",""),"_",""),"`",""),"{",""),"|",""),"}",""),"~",""),CHAR(9),""),CHAR(10),""),CHAR(13),"")," ",""),"")</f>
        <v/>
      </c>
      <c r="AF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 ",""),"!",""),CHAR(34),""),"#",""),"$",""),"%",""),"&amp;",""),"'",""),"(",""),")",""),"*",""),"+",""),",",""),"-",""),".",""),"/",""),":",""),";",""),"&lt;",""),"=",""),"&gt;",""),"?",""),"@",""),"[",""),"\",""),"]",""),"^",""),"_",""),"`",""),"{",""),"|",""),"}",""),"~",""),CHAR(9),""),CHAR(10),""),CHAR(13),"")," ",""),"")</f>
        <v/>
      </c>
      <c r="AG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 ",""),"!",""),CHAR(34),""),"#",""),"$",""),"%",""),"&amp;",""),"'",""),"(",""),")",""),"*",""),"+",""),",",""),"-",""),".",""),"/",""),":",""),";",""),"&lt;",""),"=",""),"&gt;",""),"?",""),"@",""),"[",""),"\",""),"]",""),"^",""),"_",""),"`",""),"{",""),"|",""),"}",""),"~",""),CHAR(9),""),CHAR(10),""),CHAR(13),"")," ",""),"")</f>
        <v/>
      </c>
      <c r="AH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2,10))," ",""),"!",""),CHAR(34),""),"#",""),"$",""),"%",""),"&amp;",""),"'",""),"(",""),")",""),"*",""),"+",""),",",""),"-",""),".",""),"/",""),":",""),";",""),"&lt;",""),"=",""),"&gt;",""),"?",""),"@",""),"[",""),"\",""),"]",""),"^",""),"_",""),"`",""),"{",""),"|",""),"}",""),"~",""),CHAR(9),""),CHAR(10),""),CHAR(13),"")," ",""),"")</f>
        <v/>
      </c>
      <c r="AI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 ",""),"!",""),CHAR(34),""),"#",""),"$",""),"%",""),"&amp;",""),"'",""),"(",""),")",""),"*",""),"+",""),",",""),"-",""),".",""),"/",""),":",""),";",""),"&lt;",""),"=",""),"&gt;",""),"?",""),"@",""),"[",""),"\",""),"]",""),"^",""),"_",""),"`",""),"{",""),"|",""),"}",""),"~",""),CHAR(9),""),CHAR(10),""),CHAR(13),"")," ",""),"")</f>
        <v/>
      </c>
      <c r="AJ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 ",""),"!",""),CHAR(34),""),"#",""),"$",""),"%",""),"&amp;",""),"'",""),"(",""),")",""),"*",""),"+",""),",",""),"-",""),".",""),"/",""),":",""),";",""),"&lt;",""),"=",""),"&gt;",""),"?",""),"@",""),"[",""),"\",""),"]",""),"^",""),"_",""),"`",""),"{",""),"|",""),"}",""),"~",""),CHAR(9),""),CHAR(10),""),CHAR(13),"")," ",""),"")</f>
        <v/>
      </c>
      <c r="AK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 ",""),"!",""),CHAR(34),""),"#",""),"$",""),"%",""),"&amp;",""),"'",""),"(",""),")",""),"*",""),"+",""),",",""),"-",""),".",""),"/",""),":",""),";",""),"&lt;",""),"=",""),"&gt;",""),"?",""),"@",""),"[",""),"\",""),"]",""),"^",""),"_",""),"`",""),"{",""),"|",""),"}",""),"~",""),CHAR(9),""),CHAR(10),""),CHAR(13),"")," ",""),"")</f>
        <v/>
      </c>
      <c r="AL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 ",""),"!",""),CHAR(34),""),"#",""),"$",""),"%",""),"&amp;",""),"'",""),"(",""),")",""),"*",""),"+",""),",",""),"-",""),".",""),"/",""),":",""),";",""),"&lt;",""),"=",""),"&gt;",""),"?",""),"@",""),"[",""),"\",""),"]",""),"^",""),"_",""),"`",""),"{",""),"|",""),"}",""),"~",""),CHAR(9),""),CHAR(10),""),CHAR(13),"")," ",""),"")</f>
        <v/>
      </c>
      <c r="AM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 ",""),"!",""),CHAR(34),""),"#",""),"$",""),"%",""),"&amp;",""),"'",""),"(",""),")",""),"*",""),"+",""),",",""),"-",""),".",""),"/",""),":",""),";",""),"&lt;",""),"=",""),"&gt;",""),"?",""),"@",""),"[",""),"\",""),"]",""),"^",""),"_",""),"`",""),"{",""),"|",""),"}",""),"~",""),CHAR(9),""),CHAR(10),""),CHAR(13),"")," ",""),"")</f>
        <v/>
      </c>
      <c r="AN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2,16))," ",""),"!",""),CHAR(34),""),"#",""),"$",""),"%",""),"&amp;",""),"'",""),"(",""),")",""),"*",""),"+",""),",",""),"-",""),".",""),"/",""),":",""),";",""),"&lt;",""),"=",""),"&gt;",""),"?",""),"@",""),"[",""),"\",""),"]",""),"^",""),"_",""),"`",""),"{",""),"|",""),"}",""),"~",""),CHAR(9),""),CHAR(10),""),CHAR(13),"")," ",""),"")</f>
        <v/>
      </c>
      <c r="AO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2,17))," ",""),"!",""),CHAR(34),""),"#",""),"$",""),"%",""),"&amp;",""),"'",""),"(",""),")",""),"*",""),"+",""),",",""),"-",""),".",""),"/",""),":",""),";",""),"&lt;",""),"=",""),"&gt;",""),"?",""),"@",""),"[",""),"\",""),"]",""),"^",""),"_",""),"`",""),"{",""),"|",""),"}",""),"~",""),CHAR(9),""),CHAR(10),""),CHAR(13),"")," ",""),"")</f>
        <v/>
      </c>
      <c r="AP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2,18))," ",""),"!",""),CHAR(34),""),"#",""),"$",""),"%",""),"&amp;",""),"'",""),"(",""),")",""),"*",""),"+",""),",",""),"-",""),".",""),"/",""),":",""),";",""),"&lt;",""),"=",""),"&gt;",""),"?",""),"@",""),"[",""),"\",""),"]",""),"^",""),"_",""),"`",""),"{",""),"|",""),"}",""),"~",""),CHAR(9),""),CHAR(10),""),CHAR(13),"")," ",""),"")</f>
        <v/>
      </c>
      <c r="AQ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2,19))," ",""),"!",""),CHAR(34),""),"#",""),"$",""),"%",""),"&amp;",""),"'",""),"(",""),")",""),"*",""),"+",""),",",""),"-",""),".",""),"/",""),":",""),";",""),"&lt;",""),"=",""),"&gt;",""),"?",""),"@",""),"[",""),"\",""),"]",""),"^",""),"_",""),"`",""),"{",""),"|",""),"}",""),"~",""),CHAR(9),""),CHAR(10),""),CHAR(13),"")," ",""),"")</f>
        <v/>
      </c>
      <c r="AR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2,20))," ",""),"!",""),CHAR(34),""),"#",""),"$",""),"%",""),"&amp;",""),"'",""),"(",""),")",""),"*",""),"+",""),",",""),"-",""),".",""),"/",""),":",""),";",""),"&lt;",""),"=",""),"&gt;",""),"?",""),"@",""),"[",""),"\",""),"]",""),"^",""),"_",""),"`",""),"{",""),"|",""),"}",""),"~",""),CHAR(9),""),CHAR(10),""),CHAR(13),"")," ",""),"")</f>
        <v/>
      </c>
      <c r="AS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 ",""),"!",""),CHAR(34),""),"#",""),"$",""),"%",""),"&amp;",""),"'",""),"(",""),")",""),"*",""),"+",""),",",""),"-",""),".",""),"/",""),":",""),";",""),"&lt;",""),"=",""),"&gt;",""),"?",""),"@",""),"[",""),"\",""),"]",""),"^",""),"_",""),"`",""),"{",""),"|",""),"}",""),"~",""),CHAR(9),""),CHAR(10),""),CHAR(13),"")," ",""),"")</f>
        <v/>
      </c>
      <c r="AT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 ",""),"!",""),CHAR(34),""),"#",""),"$",""),"%",""),"&amp;",""),"'",""),"(",""),")",""),"*",""),"+",""),",",""),"-",""),".",""),"/",""),":",""),";",""),"&lt;",""),"=",""),"&gt;",""),"?",""),"@",""),"[",""),"\",""),"]",""),"^",""),"_",""),"`",""),"{",""),"|",""),"}",""),"~",""),CHAR(9),""),CHAR(10),""),CHAR(13),"")," ",""),"")</f>
        <v/>
      </c>
      <c r="AU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 ",""),"!",""),CHAR(34),""),"#",""),"$",""),"%",""),"&amp;",""),"'",""),"(",""),")",""),"*",""),"+",""),",",""),"-",""),".",""),"/",""),":",""),";",""),"&lt;",""),"=",""),"&gt;",""),"?",""),"@",""),"[",""),"\",""),"]",""),"^",""),"_",""),"`",""),"{",""),"|",""),"}",""),"~",""),CHAR(9),""),CHAR(10),""),CHAR(13),"")," ",""),"")</f>
        <v/>
      </c>
      <c r="AV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 ",""),"!",""),CHAR(34),""),"#",""),"$",""),"%",""),"&amp;",""),"'",""),"(",""),")",""),"*",""),"+",""),",",""),"-",""),".",""),"/",""),":",""),";",""),"&lt;",""),"=",""),"&gt;",""),"?",""),"@",""),"[",""),"\",""),"]",""),"^",""),"_",""),"`",""),"{",""),"|",""),"}",""),"~",""),CHAR(9),""),CHAR(10),""),CHAR(13),"")," ",""),"")</f>
        <v/>
      </c>
      <c r="AW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 ",""),"!",""),CHAR(34),""),"#",""),"$",""),"%",""),"&amp;",""),"'",""),"(",""),")",""),"*",""),"+",""),",",""),"-",""),".",""),"/",""),":",""),";",""),"&lt;",""),"=",""),"&gt;",""),"?",""),"@",""),"[",""),"\",""),"]",""),"^",""),"_",""),"`",""),"{",""),"|",""),"}",""),"~",""),CHAR(9),""),CHAR(10),""),CHAR(13),"")," ",""),"")</f>
        <v/>
      </c>
      <c r="AX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2,26))," ",""),"!",""),CHAR(34),""),"#",""),"$",""),"%",""),"&amp;",""),"'",""),"(",""),")",""),"*",""),"+",""),",",""),"-",""),".",""),"/",""),":",""),";",""),"&lt;",""),"=",""),"&gt;",""),"?",""),"@",""),"[",""),"\",""),"]",""),"^",""),"_",""),"`",""),"{",""),"|",""),"}",""),"~",""),CHAR(9),""),CHAR(10),""),CHAR(13),"")," ",""),"")</f>
        <v/>
      </c>
      <c r="AY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2,27))," ",""),"!",""),CHAR(34),""),"#",""),"$",""),"%",""),"&amp;",""),"'",""),"(",""),")",""),"*",""),"+",""),",",""),"-",""),".",""),"/",""),":",""),";",""),"&lt;",""),"=",""),"&gt;",""),"?",""),"@",""),"[",""),"\",""),"]",""),"^",""),"_",""),"`",""),"{",""),"|",""),"}",""),"~",""),CHAR(9),""),CHAR(10),""),CHAR(13),"")," ",""),"")</f>
        <v/>
      </c>
      <c r="AZ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2,28))," ",""),"!",""),CHAR(34),""),"#",""),"$",""),"%",""),"&amp;",""),"'",""),"(",""),")",""),"*",""),"+",""),",",""),"-",""),".",""),"/",""),":",""),";",""),"&lt;",""),"=",""),"&gt;",""),"?",""),"@",""),"[",""),"\",""),"]",""),"^",""),"_",""),"`",""),"{",""),"|",""),"}",""),"~",""),CHAR(9),""),CHAR(10),""),CHAR(13),"")," ",""),"")</f>
        <v/>
      </c>
      <c r="BA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2,29))," ",""),"!",""),CHAR(34),""),"#",""),"$",""),"%",""),"&amp;",""),"'",""),"(",""),")",""),"*",""),"+",""),",",""),"-",""),".",""),"/",""),":",""),";",""),"&lt;",""),"=",""),"&gt;",""),"?",""),"@",""),"[",""),"\",""),"]",""),"^",""),"_",""),"`",""),"{",""),"|",""),"}",""),"~",""),CHAR(9),""),CHAR(10),""),CHAR(13),"")," ",""),"")</f>
        <v/>
      </c>
      <c r="BB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2,30))," ",""),"!",""),CHAR(34),""),"#",""),"$",""),"%",""),"&amp;",""),"'",""),"(",""),")",""),"*",""),"+",""),",",""),"-",""),".",""),"/",""),":",""),";",""),"&lt;",""),"=",""),"&gt;",""),"?",""),"@",""),"[",""),"\",""),"]",""),"^",""),"_",""),"`",""),"{",""),"|",""),"}",""),"~",""),CHAR(9),""),CHAR(10),""),CHAR(13),"")," ",""),"")</f>
        <v/>
      </c>
      <c r="BC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 ",""),"!",""),CHAR(34),""),"#",""),"$",""),"%",""),"&amp;",""),"'",""),"(",""),")",""),"*",""),"+",""),",",""),"-",""),".",""),"/",""),":",""),";",""),"&lt;",""),"=",""),"&gt;",""),"?",""),"@",""),"[",""),"\",""),"]",""),"^",""),"_",""),"`",""),"{",""),"|",""),"}",""),"~",""),CHAR(9),""),CHAR(10),""),CHAR(13),"")," ",""),"")</f>
        <v/>
      </c>
      <c r="BD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 ",""),"!",""),CHAR(34),""),"#",""),"$",""),"%",""),"&amp;",""),"'",""),"(",""),")",""),"*",""),"+",""),",",""),"-",""),".",""),"/",""),":",""),";",""),"&lt;",""),"=",""),"&gt;",""),"?",""),"@",""),"[",""),"\",""),"]",""),"^",""),"_",""),"`",""),"{",""),"|",""),"}",""),"~",""),CHAR(9),""),CHAR(10),""),CHAR(13),"")," ",""),"")</f>
        <v/>
      </c>
      <c r="BE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 ",""),"!",""),CHAR(34),""),"#",""),"$",""),"%",""),"&amp;",""),"'",""),"(",""),")",""),"*",""),"+",""),",",""),"-",""),".",""),"/",""),":",""),";",""),"&lt;",""),"=",""),"&gt;",""),"?",""),"@",""),"[",""),"\",""),"]",""),"^",""),"_",""),"`",""),"{",""),"|",""),"}",""),"~",""),CHAR(9),""),CHAR(10),""),CHAR(13),"")," ",""),"")</f>
        <v/>
      </c>
      <c r="BF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 ",""),"!",""),CHAR(34),""),"#",""),"$",""),"%",""),"&amp;",""),"'",""),"(",""),")",""),"*",""),"+",""),",",""),"-",""),".",""),"/",""),":",""),";",""),"&lt;",""),"=",""),"&gt;",""),"?",""),"@",""),"[",""),"\",""),"]",""),"^",""),"_",""),"`",""),"{",""),"|",""),"}",""),"~",""),CHAR(9),""),CHAR(10),""),CHAR(13),"")," ",""),"")</f>
        <v/>
      </c>
      <c r="BG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 ",""),"!",""),CHAR(34),""),"#",""),"$",""),"%",""),"&amp;",""),"'",""),"(",""),")",""),"*",""),"+",""),",",""),"-",""),".",""),"/",""),":",""),";",""),"&lt;",""),"=",""),"&gt;",""),"?",""),"@",""),"[",""),"\",""),"]",""),"^",""),"_",""),"`",""),"{",""),"|",""),"}",""),"~",""),CHAR(9),""),CHAR(10),""),CHAR(13),"")," ",""),"")</f>
        <v/>
      </c>
      <c r="BH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2,36))," ",""),"!",""),CHAR(34),""),"#",""),"$",""),"%",""),"&amp;",""),"'",""),"(",""),")",""),"*",""),"+",""),",",""),"-",""),".",""),"/",""),":",""),";",""),"&lt;",""),"=",""),"&gt;",""),"?",""),"@",""),"[",""),"\",""),"]",""),"^",""),"_",""),"`",""),"{",""),"|",""),"}",""),"~",""),CHAR(9),""),CHAR(10),""),CHAR(13),"")," ",""),"")</f>
        <v/>
      </c>
      <c r="BI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2,37))," ",""),"!",""),CHAR(34),""),"#",""),"$",""),"%",""),"&amp;",""),"'",""),"(",""),")",""),"*",""),"+",""),",",""),"-",""),".",""),"/",""),":",""),";",""),"&lt;",""),"=",""),"&gt;",""),"?",""),"@",""),"[",""),"\",""),"]",""),"^",""),"_",""),"`",""),"{",""),"|",""),"}",""),"~",""),CHAR(9),""),CHAR(10),""),CHAR(13),"")," ",""),"")</f>
        <v/>
      </c>
      <c r="BJ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2,38))," ",""),"!",""),CHAR(34),""),"#",""),"$",""),"%",""),"&amp;",""),"'",""),"(",""),")",""),"*",""),"+",""),",",""),"-",""),".",""),"/",""),":",""),";",""),"&lt;",""),"=",""),"&gt;",""),"?",""),"@",""),"[",""),"\",""),"]",""),"^",""),"_",""),"`",""),"{",""),"|",""),"}",""),"~",""),CHAR(9),""),CHAR(10),""),CHAR(13),"")," ",""),"")</f>
        <v/>
      </c>
      <c r="BK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2,39))," ",""),"!",""),CHAR(34),""),"#",""),"$",""),"%",""),"&amp;",""),"'",""),"(",""),")",""),"*",""),"+",""),",",""),"-",""),".",""),"/",""),":",""),";",""),"&lt;",""),"=",""),"&gt;",""),"?",""),"@",""),"[",""),"\",""),"]",""),"^",""),"_",""),"`",""),"{",""),"|",""),"}",""),"~",""),CHAR(9),""),CHAR(10),""),CHAR(13),"")," ",""),"")</f>
        <v/>
      </c>
      <c r="BL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2,40))," ",""),"!",""),CHAR(34),""),"#",""),"$",""),"%",""),"&amp;",""),"'",""),"(",""),")",""),"*",""),"+",""),",",""),"-",""),".",""),"/",""),":",""),";",""),"&lt;",""),"=",""),"&gt;",""),"?",""),"@",""),"[",""),"\",""),"]",""),"^",""),"_",""),"`",""),"{",""),"|",""),"}",""),"~",""),CHAR(9),""),CHAR(10),""),CHAR(13),"")," ",""),"")</f>
        <v/>
      </c>
      <c r="BM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 ",""),"!",""),CHAR(34),""),"#",""),"$",""),"%",""),"&amp;",""),"'",""),"(",""),")",""),"*",""),"+",""),",",""),"-",""),".",""),"/",""),":",""),";",""),"&lt;",""),"=",""),"&gt;",""),"?",""),"@",""),"[",""),"\",""),"]",""),"^",""),"_",""),"`",""),"{",""),"|",""),"}",""),"~",""),CHAR(9),""),CHAR(10),""),CHAR(13),"")," ",""),"")</f>
        <v/>
      </c>
      <c r="BN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 ",""),"!",""),CHAR(34),""),"#",""),"$",""),"%",""),"&amp;",""),"'",""),"(",""),")",""),"*",""),"+",""),",",""),"-",""),".",""),"/",""),":",""),";",""),"&lt;",""),"=",""),"&gt;",""),"?",""),"@",""),"[",""),"\",""),"]",""),"^",""),"_",""),"`",""),"{",""),"|",""),"}",""),"~",""),CHAR(9),""),CHAR(10),""),CHAR(13),"")," ",""),"")</f>
        <v/>
      </c>
      <c r="BO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 ",""),"!",""),CHAR(34),""),"#",""),"$",""),"%",""),"&amp;",""),"'",""),"(",""),")",""),"*",""),"+",""),",",""),"-",""),".",""),"/",""),":",""),";",""),"&lt;",""),"=",""),"&gt;",""),"?",""),"@",""),"[",""),"\",""),"]",""),"^",""),"_",""),"`",""),"{",""),"|",""),"}",""),"~",""),CHAR(9),""),CHAR(10),""),CHAR(13),"")," ",""),"")</f>
        <v/>
      </c>
      <c r="BP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 ",""),"!",""),CHAR(34),""),"#",""),"$",""),"%",""),"&amp;",""),"'",""),"(",""),")",""),"*",""),"+",""),",",""),"-",""),".",""),"/",""),":",""),";",""),"&lt;",""),"=",""),"&gt;",""),"?",""),"@",""),"[",""),"\",""),"]",""),"^",""),"_",""),"`",""),"{",""),"|",""),"}",""),"~",""),CHAR(9),""),CHAR(10),""),CHAR(13),"")," ",""),"")</f>
        <v/>
      </c>
      <c r="BQ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 ",""),"!",""),CHAR(34),""),"#",""),"$",""),"%",""),"&amp;",""),"'",""),"(",""),")",""),"*",""),"+",""),",",""),"-",""),".",""),"/",""),":",""),";",""),"&lt;",""),"=",""),"&gt;",""),"?",""),"@",""),"[",""),"\",""),"]",""),"^",""),"_",""),"`",""),"{",""),"|",""),"}",""),"~",""),CHAR(9),""),CHAR(10),""),CHAR(13),"")," ",""),"")</f>
        <v/>
      </c>
      <c r="BR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2,46))," ",""),"!",""),CHAR(34),""),"#",""),"$",""),"%",""),"&amp;",""),"'",""),"(",""),")",""),"*",""),"+",""),",",""),"-",""),".",""),"/",""),":",""),";",""),"&lt;",""),"=",""),"&gt;",""),"?",""),"@",""),"[",""),"\",""),"]",""),"^",""),"_",""),"`",""),"{",""),"|",""),"}",""),"~",""),CHAR(9),""),CHAR(10),""),CHAR(13),"")," ",""),"")</f>
        <v/>
      </c>
      <c r="BS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2,47))," ",""),"!",""),CHAR(34),""),"#",""),"$",""),"%",""),"&amp;",""),"'",""),"(",""),")",""),"*",""),"+",""),",",""),"-",""),".",""),"/",""),":",""),";",""),"&lt;",""),"=",""),"&gt;",""),"?",""),"@",""),"[",""),"\",""),"]",""),"^",""),"_",""),"`",""),"{",""),"|",""),"}",""),"~",""),CHAR(9),""),CHAR(10),""),CHAR(13),"")," ",""),"")</f>
        <v/>
      </c>
      <c r="BT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2,48))," ",""),"!",""),CHAR(34),""),"#",""),"$",""),"%",""),"&amp;",""),"'",""),"(",""),")",""),"*",""),"+",""),",",""),"-",""),".",""),"/",""),":",""),";",""),"&lt;",""),"=",""),"&gt;",""),"?",""),"@",""),"[",""),"\",""),"]",""),"^",""),"_",""),"`",""),"{",""),"|",""),"}",""),"~",""),CHAR(9),""),CHAR(10),""),CHAR(13),"")," ",""),"")</f>
        <v/>
      </c>
      <c r="BU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2,49))," ",""),"!",""),CHAR(34),""),"#",""),"$",""),"%",""),"&amp;",""),"'",""),"(",""),")",""),"*",""),"+",""),",",""),"-",""),".",""),"/",""),":",""),";",""),"&lt;",""),"=",""),"&gt;",""),"?",""),"@",""),"[",""),"\",""),"]",""),"^",""),"_",""),"`",""),"{",""),"|",""),"}",""),"~",""),CHAR(9),""),CHAR(10),""),CHAR(13),"")," ",""),"")</f>
        <v/>
      </c>
      <c r="BV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2,50))," ",""),"!",""),CHAR(34),""),"#",""),"$",""),"%",""),"&amp;",""),"'",""),"(",""),")",""),"*",""),"+",""),",",""),"-",""),".",""),"/",""),":",""),";",""),"&lt;",""),"=",""),"&gt;",""),"?",""),"@",""),"[",""),"\",""),"]",""),"^",""),"_",""),"`",""),"{",""),"|",""),"}",""),"~",""),CHAR(9),""),CHAR(10),""),CHAR(13),"")," ",""),"")</f>
        <v/>
      </c>
      <c r="BW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 ",""),"!",""),CHAR(34),""),"#",""),"$",""),"%",""),"&amp;",""),"'",""),"(",""),")",""),"*",""),"+",""),",",""),"-",""),".",""),"/",""),":",""),";",""),"&lt;",""),"=",""),"&gt;",""),"?",""),"@",""),"[",""),"\",""),"]",""),"^",""),"_",""),"`",""),"{",""),"|",""),"}",""),"~",""),CHAR(9),""),CHAR(10),""),CHAR(13),"")," ",""),"")</f>
        <v/>
      </c>
      <c r="BX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 ",""),"!",""),CHAR(34),""),"#",""),"$",""),"%",""),"&amp;",""),"'",""),"(",""),")",""),"*",""),"+",""),",",""),"-",""),".",""),"/",""),":",""),";",""),"&lt;",""),"=",""),"&gt;",""),"?",""),"@",""),"[",""),"\",""),"]",""),"^",""),"_",""),"`",""),"{",""),"|",""),"}",""),"~",""),CHAR(9),""),CHAR(10),""),CHAR(13),"")," ",""),"")</f>
        <v/>
      </c>
      <c r="BY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 ",""),"!",""),CHAR(34),""),"#",""),"$",""),"%",""),"&amp;",""),"'",""),"(",""),")",""),"*",""),"+",""),",",""),"-",""),".",""),"/",""),":",""),";",""),"&lt;",""),"=",""),"&gt;",""),"?",""),"@",""),"[",""),"\",""),"]",""),"^",""),"_",""),"`",""),"{",""),"|",""),"}",""),"~",""),CHAR(9),""),CHAR(10),""),CHAR(13),"")," ",""),"")</f>
        <v/>
      </c>
      <c r="BZ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 ",""),"!",""),CHAR(34),""),"#",""),"$",""),"%",""),"&amp;",""),"'",""),"(",""),")",""),"*",""),"+",""),",",""),"-",""),".",""),"/",""),":",""),";",""),"&lt;",""),"=",""),"&gt;",""),"?",""),"@",""),"[",""),"\",""),"]",""),"^",""),"_",""),"`",""),"{",""),"|",""),"}",""),"~",""),CHAR(9),""),CHAR(10),""),CHAR(13),"")," ",""),"")</f>
        <v/>
      </c>
      <c r="CA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 ",""),"!",""),CHAR(34),""),"#",""),"$",""),"%",""),"&amp;",""),"'",""),"(",""),")",""),"*",""),"+",""),",",""),"-",""),".",""),"/",""),":",""),";",""),"&lt;",""),"=",""),"&gt;",""),"?",""),"@",""),"[",""),"\",""),"]",""),"^",""),"_",""),"`",""),"{",""),"|",""),"}",""),"~",""),CHAR(9),""),CHAR(10),""),CHAR(13),"")," ",""),"")</f>
        <v/>
      </c>
      <c r="CB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2,56))," ",""),"!",""),CHAR(34),""),"#",""),"$",""),"%",""),"&amp;",""),"'",""),"(",""),")",""),"*",""),"+",""),",",""),"-",""),".",""),"/",""),":",""),";",""),"&lt;",""),"=",""),"&gt;",""),"?",""),"@",""),"[",""),"\",""),"]",""),"^",""),"_",""),"`",""),"{",""),"|",""),"}",""),"~",""),CHAR(9),""),CHAR(10),""),CHAR(13),"")," ",""),"")</f>
        <v/>
      </c>
      <c r="CC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2,57))," ",""),"!",""),CHAR(34),""),"#",""),"$",""),"%",""),"&amp;",""),"'",""),"(",""),")",""),"*",""),"+",""),",",""),"-",""),".",""),"/",""),":",""),";",""),"&lt;",""),"=",""),"&gt;",""),"?",""),"@",""),"[",""),"\",""),"]",""),"^",""),"_",""),"`",""),"{",""),"|",""),"}",""),"~",""),CHAR(9),""),CHAR(10),""),CHAR(13),"")," ",""),"")</f>
        <v/>
      </c>
      <c r="CD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2,58))," ",""),"!",""),CHAR(34),""),"#",""),"$",""),"%",""),"&amp;",""),"'",""),"(",""),")",""),"*",""),"+",""),",",""),"-",""),".",""),"/",""),":",""),";",""),"&lt;",""),"=",""),"&gt;",""),"?",""),"@",""),"[",""),"\",""),"]",""),"^",""),"_",""),"`",""),"{",""),"|",""),"}",""),"~",""),CHAR(9),""),CHAR(10),""),CHAR(13),"")," ",""),"")</f>
        <v/>
      </c>
      <c r="CE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2,59))," ",""),"!",""),CHAR(34),""),"#",""),"$",""),"%",""),"&amp;",""),"'",""),"(",""),")",""),"*",""),"+",""),",",""),"-",""),".",""),"/",""),":",""),";",""),"&lt;",""),"=",""),"&gt;",""),"?",""),"@",""),"[",""),"\",""),"]",""),"^",""),"_",""),"`",""),"{",""),"|",""),"}",""),"~",""),CHAR(9),""),CHAR(10),""),CHAR(13),"")," ",""),"")</f>
        <v/>
      </c>
      <c r="CF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2,60))," ",""),"!",""),CHAR(34),""),"#",""),"$",""),"%",""),"&amp;",""),"'",""),"(",""),")",""),"*",""),"+",""),",",""),"-",""),".",""),"/",""),":",""),";",""),"&lt;",""),"=",""),"&gt;",""),"?",""),"@",""),"[",""),"\",""),"]",""),"^",""),"_",""),"`",""),"{",""),"|",""),"}",""),"~",""),CHAR(9),""),CHAR(10),""),CHAR(13),"")," ",""),"")</f>
        <v/>
      </c>
      <c r="CH6">
        <f>COUNTIF($Y51:$CF51,"&gt;0")</f>
        <v/>
      </c>
      <c r="CI6">
        <f>COUNTIF($Y51:$CF51,2)</f>
        <v/>
      </c>
      <c r="CJ6">
        <f>SUMPRODUCT((COUNTIF($Y96:$CF96,{1,2,3,4,5,6,7,8,9,10,11,12,13,14,15})&gt;0)*{2,4,8,16,32,64,128,256,512,1024,2048,4096,8192,16384,32768})</f>
        <v/>
      </c>
      <c r="CK6">
        <f>CF186</f>
        <v/>
      </c>
      <c r="CL6">
        <f>SUMPRODUCT(MOD(INT(((CJ6+CK6))/{2,4,8,16,32,64,128,256,512,1024,2048,4096,8192,16384,32768}),2))</f>
        <v/>
      </c>
      <c r="CM6">
        <f>IF(CH6&lt;2,-9999,CL6+2*MOD(INT(((CJ6+CK6))/2),2)+2*MOD(INT(((CJ6+CK6))/4),2)-CI6)</f>
        <v/>
      </c>
      <c r="DA6" t="n">
        <v>2</v>
      </c>
      <c r="DB6">
        <f>IF($B$37=0,"",IFERROR(TRIM(SUBSTITUTE(SUBSTITUTE(SUBSTITUTE(SUBSTITUTE(INDEX(PASTE_ALL,2,$B$37)," "," "),CHAR(9)," "),CHAR(10)," "),CHAR(13)," ")),""))</f>
        <v/>
      </c>
      <c r="DC6">
        <f>IF(AND(2&gt;HEADER_ROW,UPPER(DB6)="LEGEND"),1,0)</f>
        <v/>
      </c>
      <c r="DE6" t="n">
        <v>2</v>
      </c>
      <c r="DF6">
        <f>HEADER_ROW+$DE6</f>
        <v/>
      </c>
      <c r="DG6">
        <f>IF(AND($DF6&lt;=1000,$DF6&lt;$B$8),1,0)</f>
        <v/>
      </c>
      <c r="DH6">
        <f>IF($DG6=1,IFERROR(INDEX($DB$5:$DB$1004,$DF6),""),"")</f>
        <v/>
      </c>
      <c r="DI6">
        <f>IF(AND($DG6=1,$DH6&lt;&gt;""),IFERROR(SUBSTITUTE(SUBSTITUTE(TRIM(SUBSTITUTE(SUBSTITUTE(SUBSTITUTE(SUBSTITUTE(IFERROR(INDEX(PASTE_ALL,$DF6,1)&amp;"","")&amp;"␟"&amp;IFERROR(INDEX(PASTE_ALL,$DF6,2)&amp;"","")&amp;"␟"&amp;IFERROR(INDEX(PASTE_ALL,$DF6,3)&amp;"","")&amp;"␟"&amp;IFERROR(INDEX(PASTE_ALL,$DF6,4)&amp;"","")&amp;"␟"&amp;IFERROR(INDEX(PASTE_ALL,$DF6,5)&amp;"","")&amp;"␟"&amp;IFERROR(INDEX(PASTE_ALL,$DF6,6)&amp;"","")&amp;"␟"&amp;IFERROR(INDEX(PASTE_ALL,$DF6,7)&amp;"","")&amp;"␟"&amp;IFERROR(INDEX(PASTE_ALL,$DF6,8)&amp;"","")&amp;"␟"&amp;IFERROR(INDEX(PASTE_ALL,$DF6,9)&amp;"","")&amp;"␟"&amp;IFERROR(INDEX(PASTE_ALL,$DF6,10)&amp;"","")&amp;"␟"&amp;IFERROR(INDEX(PASTE_ALL,$DF6,11)&amp;"","")&amp;"␟"&amp;IFERROR(INDEX(PASTE_ALL,$DF6,12)&amp;"","")&amp;"␟"&amp;IFERROR(INDEX(PASTE_ALL,$DF6,13)&amp;"","")&amp;"␟"&amp;IFERROR(INDEX(PASTE_ALL,$DF6,14)&amp;"","")&amp;"␟"&amp;IFERROR(INDEX(PASTE_ALL,$DF6,15)&amp;"","")&amp;"␟"&amp;IFERROR(INDEX(PASTE_ALL,$DF6,16)&amp;"","")&amp;"␟"&amp;IFERROR(INDEX(PASTE_ALL,$DF6,17)&amp;"","")&amp;"␟"&amp;IFERROR(INDEX(PASTE_ALL,$DF6,18)&amp;"","")&amp;"␟"&amp;IFERROR(INDEX(PASTE_ALL,$DF6,19)&amp;"","")&amp;"␟"&amp;IFERROR(INDEX(PASTE_ALL,$DF6,20)&amp;"","")&amp;"␟"&amp;IFERROR(INDEX(PASTE_ALL,$DF6,21)&amp;"","")&amp;"␟"&amp;IFERROR(INDEX(PASTE_ALL,$DF6,22)&amp;"","")&amp;"␟"&amp;IFERROR(INDEX(PASTE_ALL,$DF6,23)&amp;"","")&amp;"␟"&amp;IFERROR(INDEX(PASTE_ALL,$DF6,24)&amp;"","")&amp;"␟"&amp;IFERROR(INDEX(PASTE_ALL,$DF6,25)&amp;"","")&amp;"␟"&amp;IFERROR(INDEX(PASTE_ALL,$DF6,26)&amp;"","")&amp;"␟"&amp;IFERROR(INDEX(PASTE_ALL,$DF6,27)&amp;"","")&amp;"␟"&amp;IFERROR(INDEX(PASTE_ALL,$DF6,28)&amp;"","")&amp;"␟"&amp;IFERROR(INDEX(PASTE_ALL,$DF6,29)&amp;"","")&amp;"␟"&amp;IFERROR(INDEX(PASTE_ALL,$DF6,30)&amp;"","")&amp;"␟"&amp;IFERROR(INDEX(PASTE_ALL,$DF6,31)&amp;"","")&amp;"␟"&amp;IFERROR(INDEX(PASTE_ALL,$DF6,32)&amp;"","")&amp;"␟"&amp;IFERROR(INDEX(PASTE_ALL,$DF6,33)&amp;"","")&amp;"␟"&amp;IFERROR(INDEX(PASTE_ALL,$DF6,34)&amp;"","")&amp;"␟"&amp;IFERROR(INDEX(PASTE_ALL,$DF6,35)&amp;"","")&amp;"␟"&amp;IFERROR(INDEX(PASTE_ALL,$DF6,36)&amp;"","")&amp;"␟"&amp;IFERROR(INDEX(PASTE_ALL,$DF6,37)&amp;"","")&amp;"␟"&amp;IFERROR(INDEX(PASTE_ALL,$DF6,38)&amp;"","")&amp;"␟"&amp;IFERROR(INDEX(PASTE_ALL,$DF6,39)&amp;"","")&amp;"␟"&amp;IFERROR(INDEX(PASTE_ALL,$DF6,40)&amp;"","")&amp;"␟"&amp;IFERROR(INDEX(PASTE_ALL,$DF6,41)&amp;"","")&amp;"␟"&amp;IFERROR(INDEX(PASTE_ALL,$DF6,42)&amp;"","")&amp;"␟"&amp;IFERROR(INDEX(PASTE_ALL,$DF6,43)&amp;"","")&amp;"␟"&amp;IFERROR(INDEX(PASTE_ALL,$DF6,44)&amp;"","")&amp;"␟"&amp;IFERROR(INDEX(PASTE_ALL,$DF6,45)&amp;"","")&amp;"␟"&amp;IFERROR(INDEX(PASTE_ALL,$DF6,46)&amp;"","")&amp;"␟"&amp;IFERROR(INDEX(PASTE_ALL,$DF6,47)&amp;"","")&amp;"␟"&amp;IFERROR(INDEX(PASTE_ALL,$DF6,48)&amp;"","")&amp;"␟"&amp;IFERROR(INDEX(PASTE_ALL,$DF6,49)&amp;"","")&amp;"␟"&amp;IFERROR(INDEX(PASTE_ALL,$DF6,50)&amp;"","")&amp;"␟"&amp;IFERROR(INDEX(PASTE_ALL,$DF6,51)&amp;"","")&amp;"␟"&amp;IFERROR(INDEX(PASTE_ALL,$DF6,52)&amp;"","")&amp;"␟"&amp;IFERROR(INDEX(PASTE_ALL,$DF6,53)&amp;"","")&amp;"␟"&amp;IFERROR(INDEX(PASTE_ALL,$DF6,54)&amp;"","")&amp;"␟"&amp;IFERROR(INDEX(PASTE_ALL,$DF6,55)&amp;"","")&amp;"␟"&amp;IFERROR(INDEX(PASTE_ALL,$DF6,56)&amp;"","")&amp;"␟"&amp;IFERROR(INDEX(PASTE_ALL,$DF6,57)&amp;"","")&amp;"␟"&amp;IFERROR(INDEX(PASTE_ALL,$DF6,58)&amp;"","")&amp;"␟"&amp;IFERROR(INDEX(PASTE_ALL,$DF6,59)&amp;"","")&amp;"␟"&amp;IFERROR(INDEX(PASTE_ALL,$DF6,60)&amp;"","")," "," "),CHAR(9)," "),CHAR(10)," "),CHAR(13)," "))," ␟","␟"),"␟ ","␟"),"#"&amp;$DE6),"")</f>
        <v/>
      </c>
      <c r="DJ6">
        <f>IF($DI6="",0,IF(SUMPRODUCT(--EXACT($DI$4:DI5,$DI6))&gt;0,1,0))</f>
        <v/>
      </c>
      <c r="DK6">
        <f>IF(AND($DI6&lt;&gt;"",$DJ6=0),1,0)</f>
        <v/>
      </c>
      <c r="DL6">
        <f>DL5+$DK6</f>
        <v/>
      </c>
      <c r="DM6">
        <f>IF(AND($DK6=1,$DL6&lt;=600),1,0)</f>
        <v/>
      </c>
      <c r="DN6">
        <f>IF($DM6=0,"",IF($L$6=0,"",IFERROR(IF(ISNUMBER(INDEX(PASTE_ALL,$DF6,$L$6)),INDEX(PASTE_ALL,$DF6,$L$6),TRIM(SUBSTITUTE(SUBSTITUTE(SUBSTITUTE(SUBSTITUTE(INDEX(PASTE_ALL,$DF6,$L$6)," "," "),CHAR(9)," "),CHAR(10)," "),CHAR(13)," "))),"")))</f>
        <v/>
      </c>
      <c r="DO6">
        <f>IF($DM6=0,"",IF($L$7=0,"",IFERROR(IF(ISNUMBER(INDEX(PASTE_ALL,$DF6,$L$7)),INDEX(PASTE_ALL,$DF6,$L$7),TRIM(SUBSTITUTE(SUBSTITUTE(SUBSTITUTE(SUBSTITUTE(INDEX(PASTE_ALL,$DF6,$L$7)," "," "),CHAR(9)," "),CHAR(10)," "),CHAR(13)," "))),"")))</f>
        <v/>
      </c>
      <c r="DP6">
        <f>IF($DM6=0,"",IF($L$8=0,"",IFERROR(IF(ISNUMBER(INDEX(PASTE_ALL,$DF6,$L$8)),INDEX(PASTE_ALL,$DF6,$L$8),TRIM(SUBSTITUTE(SUBSTITUTE(SUBSTITUTE(SUBSTITUTE(INDEX(PASTE_ALL,$DF6,$L$8)," "," "),CHAR(9)," "),CHAR(10)," "),CHAR(13)," "))),"")))</f>
        <v/>
      </c>
      <c r="DQ6">
        <f>IF($DM6=0,"",IF($L$9=0,"",IFERROR(IF(ISNUMBER(INDEX(PASTE_ALL,$DF6,$L$9)),INDEX(PASTE_ALL,$DF6,$L$9),TRIM(SUBSTITUTE(SUBSTITUTE(SUBSTITUTE(SUBSTITUTE(INDEX(PASTE_ALL,$DF6,$L$9)," "," "),CHAR(9)," "),CHAR(10)," "),CHAR(13)," "))),"")))</f>
        <v/>
      </c>
      <c r="DR6">
        <f>IF($DM6=0,"",IF($L$10=0,"",IFERROR(IF(ISNUMBER(INDEX(PASTE_ALL,$DF6,$L$10)),INDEX(PASTE_ALL,$DF6,$L$10),TRIM(SUBSTITUTE(SUBSTITUTE(SUBSTITUTE(SUBSTITUTE(INDEX(PASTE_ALL,$DF6,$L$10)," "," "),CHAR(9)," "),CHAR(10)," "),CHAR(13)," "))),"")))</f>
        <v/>
      </c>
      <c r="DS6">
        <f>IF($DM6=0,"",IF($L$11=0,"",IFERROR(IF(ISNUMBER(INDEX(PASTE_ALL,$DF6,$L$11)),INDEX(PASTE_ALL,$DF6,$L$11),TRIM(SUBSTITUTE(SUBSTITUTE(SUBSTITUTE(SUBSTITUTE(INDEX(PASTE_ALL,$DF6,$L$11)," "," "),CHAR(9)," "),CHAR(10)," "),CHAR(13)," "))),"")))</f>
        <v/>
      </c>
      <c r="DT6">
        <f>IF($DM6=0,"",IF($L$12=0,"",IFERROR(IF(ISNUMBER(INDEX(PASTE_ALL,$DF6,$L$12)),INDEX(PASTE_ALL,$DF6,$L$12),TRIM(SUBSTITUTE(SUBSTITUTE(SUBSTITUTE(SUBSTITUTE(INDEX(PASTE_ALL,$DF6,$L$12)," "," "),CHAR(9)," "),CHAR(10)," "),CHAR(13)," "))),"")))</f>
        <v/>
      </c>
      <c r="DU6">
        <f>IF($DM6=0,"",IF($L$13=0,"",IFERROR(IF(ISNUMBER(INDEX(PASTE_ALL,$DF6,$L$13)),INDEX(PASTE_ALL,$DF6,$L$13),TRIM(SUBSTITUTE(SUBSTITUTE(SUBSTITUTE(SUBSTITUTE(INDEX(PASTE_ALL,$DF6,$L$13)," "," "),CHAR(9)," "),CHAR(10)," "),CHAR(13)," "))),"")))</f>
        <v/>
      </c>
      <c r="DV6">
        <f>IF($DM6=0,"",IF($L$14=0,"",IFERROR(IF(ISNUMBER(INDEX(PASTE_ALL,$DF6,$L$14)),INDEX(PASTE_ALL,$DF6,$L$14),TRIM(SUBSTITUTE(SUBSTITUTE(SUBSTITUTE(SUBSTITUTE(INDEX(PASTE_ALL,$DF6,$L$14)," "," "),CHAR(9)," "),CHAR(10)," "),CHAR(13)," "))),"")))</f>
        <v/>
      </c>
      <c r="DW6">
        <f>IF($DM6=0,"",IF($L$15=0,"",IFERROR(IF(ISNUMBER(INDEX(PASTE_ALL,$DF6,$L$15)),INDEX(PASTE_ALL,$DF6,$L$15),IF(SUMPRODUCT(--ISNUMBER(FIND({"A","B","C","D","E","F","G","H","I","J","K","L","M","N","O","P","Q","R","S","T","U","V","W","X","Y","Z","0","1","2","3","4","5","6","7","8","9"},UPPER(TRIM(SUBSTITUTE(SUBSTITUTE(SUBSTITUTE(SUBSTITUTE(INDEX(PASTE_ALL,$DF6,$L$15)," "," "),CHAR(9)," "),CHAR(10)," "),CHAR(13)," "))))))&gt;0,TRIM(SUBSTITUTE(SUBSTITUTE(SUBSTITUTE(SUBSTITUTE(INDEX(PASTE_ALL,$DF6,$L$15)," "," "),CHAR(9)," "),CHAR(10)," "),CHAR(13)," ")),"")),"")))</f>
        <v/>
      </c>
      <c r="DX6">
        <f>IF($DM6=0,"",IF($L$16=0,"",IFERROR(IF(ISNUMBER(INDEX(PASTE_ALL,$DF6,$L$16)),INDEX(PASTE_ALL,$DF6,$L$16),SUBSTITUTE(SUBSTITUTE(TRIM(SUBSTITUTE(SUBSTITUTE(SUBSTITUTE(SUBSTITUTE(INDEX(PASTE_ALL,$DF6,$L$16)," "," "),CHAR(9)," "),CHAR(10)," "),CHAR(13)," ")),",",""),"%","")),"")))</f>
        <v/>
      </c>
      <c r="DY6">
        <f>IF($DM6=0,"",IFERROR(IF(ISNUMBER($DX6),$DX6,IF($DX6="","",IF(TRIM($DX6)="",0,IF(AND(AND(SUBSTITUTE(SUBSTITUTE(SUBSTITUTE(SUBSTITUTE(SUBSTITUTE(SUBSTITUTE(SUBSTITUTE(SUBSTITUTE(SUBSTITUTE(SUBSTITUTE(SUBSTITUTE(SUBSTITUTE(SUBSTITUTE(SUBSTITUTE(UPPER(TRIM($DX6)),"0",""),"1",""),"2",""),"3",""),"4",""),"5",""),"6",""),"7",""),"8",""),"9",""),".",""),"+",""),"-",""),"E","")="",LEN(SUBSTITUTE(SUBSTITUTE(MID(UPPER(TRIM($DX6)),1+OR(LEFT(UPPER(TRIM($DX6)),1)="+",LEFT(UPPER(TRIM($DX6)),1)="-"),999),"E+","E"),"E-","E"))=LEN(SUBSTITUTE(SUBSTITUTE(SUBSTITUTE(SUBSTITUTE(MID(UPPER(TRIM($DX6)),1+OR(LEFT(UPPER(TRIM($DX6)),1)="+",LEFT(UPPER(TRIM($DX6)),1)="-"),999),"E+","E"),"E-","E"),"+",""),"-","")),LEN(UPPER(TRIM($DX6)))-LEN(SUBSTITUTE(UPPER(TRIM($DX6)),"E",""))&lt;2,LEN(UPPER(TRIM($DX6)))-LEN(SUBSTITUTE(UPPER(TRIM($DX6)),".",""))&lt;2,IFERROR(FIND(".",UPPER(TRIM($DX6))),0)&lt;IFERROR(FIND("E",UPPER(TRIM($DX6))),999)),ISNUMBER(VALUE(TRIM($DX6)))),VALUE(TRIM($DX6)),"")))),""))</f>
        <v/>
      </c>
      <c r="DZ6">
        <f>IF($DM6=0,"",IF($L$17=0,"",IFERROR(IF(ISNUMBER(INDEX(PASTE_ALL,$DF6,$L$17)),INDEX(PASTE_ALL,$DF6,$L$17),SUBSTITUTE(SUBSTITUTE(TRIM(SUBSTITUTE(SUBSTITUTE(SUBSTITUTE(SUBSTITUTE(INDEX(PASTE_ALL,$DF6,$L$17)," "," "),CHAR(9)," "),CHAR(10)," "),CHAR(13)," ")),",",""),"%","")),"")))</f>
        <v/>
      </c>
      <c r="EA6">
        <f>IF($DM6=0,"",IFERROR(IF(ISNUMBER($DZ6),$DZ6,IF($DZ6="","",IF(TRIM($DZ6)="",0,IF(AND(AND(SUBSTITUTE(SUBSTITUTE(SUBSTITUTE(SUBSTITUTE(SUBSTITUTE(SUBSTITUTE(SUBSTITUTE(SUBSTITUTE(SUBSTITUTE(SUBSTITUTE(SUBSTITUTE(SUBSTITUTE(SUBSTITUTE(SUBSTITUTE(UPPER(TRIM($DZ6)),"0",""),"1",""),"2",""),"3",""),"4",""),"5",""),"6",""),"7",""),"8",""),"9",""),".",""),"+",""),"-",""),"E","")="",LEN(SUBSTITUTE(SUBSTITUTE(MID(UPPER(TRIM($DZ6)),1+OR(LEFT(UPPER(TRIM($DZ6)),1)="+",LEFT(UPPER(TRIM($DZ6)),1)="-"),999),"E+","E"),"E-","E"))=LEN(SUBSTITUTE(SUBSTITUTE(SUBSTITUTE(SUBSTITUTE(MID(UPPER(TRIM($DZ6)),1+OR(LEFT(UPPER(TRIM($DZ6)),1)="+",LEFT(UPPER(TRIM($DZ6)),1)="-"),999),"E+","E"),"E-","E"),"+",""),"-","")),LEN(UPPER(TRIM($DZ6)))-LEN(SUBSTITUTE(UPPER(TRIM($DZ6)),"E",""))&lt;2,LEN(UPPER(TRIM($DZ6)))-LEN(SUBSTITUTE(UPPER(TRIM($DZ6)),".",""))&lt;2,IFERROR(FIND(".",UPPER(TRIM($DZ6))),0)&lt;IFERROR(FIND("E",UPPER(TRIM($DZ6))),999)),ISNUMBER(VALUE(TRIM($DZ6)))),VALUE(TRIM($DZ6)),"")))),""))</f>
        <v/>
      </c>
      <c r="EB6">
        <f>IF($DM6=0,"",IF($L$18=0,"",IFERROR(IF(UPPER(TRIM(SUBSTITUTE(SUBSTITUTE(SUBSTITUTE(SUBSTITUTE(INDEX(PASTE_ALL,$DF6,$L$18)," "," "),CHAR(9)," "),CHAR(10)," "),CHAR(13)," ")))="READY","Ready",IF(UPPER(TRIM(SUBSTITUTE(SUBSTITUTE(SUBSTITUTE(SUBSTITUTE(INDEX(PASTE_ALL,$DF6,$L$18)," "," "),CHAR(9)," "),CHAR(10)," "),CHAR(13)," ")))="PM","PM",IF(OR(UPPER(TRIM(SUBSTITUTE(SUBSTITUTE(SUBSTITUTE(SUBSTITUTE(INDEX(PASTE_ALL,$DF6,$L$18)," "," "),CHAR(9)," "),CHAR(10)," "),CHAR(13)," ")))="OT",UPPER(TRIM(SUBSTITUTE(SUBSTITUTE(SUBSTITUTE(SUBSTITUTE(INDEX(PASTE_ALL,$DF6,$L$18)," "," "),CHAR(9)," "),CHAR(10)," "),CHAR(13)," ")))="OVERTIME",UPPER(TRIM(SUBSTITUTE(SUBSTITUTE(SUBSTITUTE(SUBSTITUTE(INDEX(PASTE_ALL,$DF6,$L$18)," "," "),CHAR(9)," "),CHAR(10)," "),CHAR(13)," ")))="TRIAL"),"OT",TRIM(SUBSTITUTE(SUBSTITUTE(SUBSTITUTE(SUBSTITUTE(INDEX(PASTE_ALL,$DF6,$L$18)," "," "),CHAR(9)," "),CHAR(10)," "),CHAR(13)," "))))),"")))</f>
        <v/>
      </c>
      <c r="EC6">
        <f>IF($DM6=0,"",IF($L$19=0,"",IFERROR(IF(ISNUMBER(INDEX(PASTE_ALL,$DF6,$L$19)),INDEX(PASTE_ALL,$DF6,$L$19),TRIM(SUBSTITUTE(SUBSTITUTE(SUBSTITUTE(SUBSTITUTE(INDEX(PASTE_ALL,$DF6,$L$19)," "," "),CHAR(9)," "),CHAR(10)," "),CHAR(13)," "))),"")))</f>
        <v/>
      </c>
      <c r="ED6">
        <f>IF($DM6=0,"",MATCH(1,INDEX(EXACT($DH$5:DH6,$DH6)*$DM$5:DM6,0),0))</f>
        <v/>
      </c>
      <c r="EE6">
        <f>IF($DM6=0,0,IF($ED6=$DE6,1,0))</f>
        <v/>
      </c>
      <c r="EF6">
        <f>EF5+$EE6</f>
        <v/>
      </c>
      <c r="EG6">
        <f>IF($DM6=0,"",INDEX($EF$5:$EF$1003,$ED6))</f>
        <v/>
      </c>
      <c r="EH6">
        <f>IF($DM6=0,"",IF($DO6&lt;&gt;"","",IFERROR(LOOKUP(2,1/(($EG$4:EG5=$EG6)*($DO$4:DO5&lt;&gt;"")),$DO$4:DO5),"")))</f>
        <v/>
      </c>
      <c r="EI6">
        <f>IF($DM6=0,"",IF($DO6&lt;&gt;"",$DO6,$EH6))</f>
        <v/>
      </c>
      <c r="EJ6">
        <f>IF($DM6=0,"",IF($EI6="",0,IF(OR(ISNUMBER($EI6),AND(AND(SUBSTITUTE(SUBSTITUTE(SUBSTITUTE(SUBSTITUTE(SUBSTITUTE(SUBSTITUTE(SUBSTITUTE(SUBSTITUTE(SUBSTITUTE(SUBSTITUTE(SUBSTITUTE(SUBSTITUTE(SUBSTITUTE(SUBSTITUTE(UPPER($EI6),"0",""),"1",""),"2",""),"3",""),"4",""),"5",""),"6",""),"7",""),"8",""),"9",""),".",""),"+",""),"-",""),"E","")="",LEN(SUBSTITUTE(SUBSTITUTE(MID(UPPER($EI6),1+OR(LEFT(UPPER($EI6),1)="+",LEFT(UPPER($EI6),1)="-"),999),"E+","E"),"E-","E"))=LEN(SUBSTITUTE(SUBSTITUTE(SUBSTITUTE(SUBSTITUTE(MID(UPPER($EI6),1+OR(LEFT(UPPER($EI6),1)="+",LEFT(UPPER($EI6),1)="-"),999),"E+","E"),"E-","E"),"+",""),"-","")),LEN(UPPER($EI6))-LEN(SUBSTITUTE(UPPER($EI6),"E",""))&lt;2,LEN(UPPER($EI6))-LEN(SUBSTITUTE(UPPER($EI6),".",""))&lt;2,IFERROR(FIND(".",UPPER($EI6)),0)&lt;IFERROR(FIND("E",UPPER($EI6)),999)),ISNUMBER(VALUE($EI6)))),1,2)))</f>
        <v/>
      </c>
      <c r="EK6">
        <f>IF($DM6=0,"",IF($EJ6=1,IF(ISNUMBER($EI6),$EI6,VALUE($EI6)),IF($EJ6=2,$DE6,0)))</f>
        <v/>
      </c>
      <c r="EL6">
        <f>IF($DM6=0,"",COUNTIF($EG$5:$EG$1003,"&lt;"&amp;$EG6)+SUMPRODUCT(($EG$5:$EG$1003=$EG6)*(($EJ$5:$EJ$1003&lt;$EJ6)+($EJ$5:$EJ$1003=$EJ6)*(($EK$5:$EK$1003&lt;$EK6)+($EK$5:$EK$1003=$EK6)*($DE$5:$DE$1003&lt;$DE6))))+1)</f>
        <v/>
      </c>
      <c r="EM6">
        <f>IF($DM6=0,"",$EL6+$EG6-1)</f>
        <v/>
      </c>
      <c r="EN6">
        <f>IF($DM6=0,0,IFERROR(MATCH(1,INDEX(--(TRIM(SUBSTITUTE(SUBSTITUTE(SUBSTITUTE(SUBSTITUTE(LINES_NAME&amp;""," "," "),CHAR(9)," "),CHAR(10)," "),CHAR(13)," "))=$DH6),0),0),0))</f>
        <v/>
      </c>
      <c r="EO6">
        <f>IF($EN6=0,0,IF(OR(UPPER(TRIM(INDEX(LINES_SCHEDULED,$EN6)&amp;""))="YES",UPPER(TRIM(INDEX(LINES_SCHEDULED,$EN6)&amp;""))="Y",UPPER(TRIM(INDEX(LINES_SCHEDULED,$EN6)&amp;""))="X"),1,0))</f>
        <v/>
      </c>
      <c r="EP6">
        <f>IF($DM6=0,"",IF(COUNTIFS($EG$5:$EG$1003,$EG6,$EB$5:$EB$1003,"Ready")&gt;0,"READY",IF(COUNTIFS($EG$5:$EG$1003,$EG6,$EB$5:$EB$1003,"PM")&gt;0,"PM",IF(COUNTIFS($EG$5:$EG$1003,$EG6,$EB$5:$EB$1003,"OT")&gt;0,"OT",""))))</f>
        <v/>
      </c>
      <c r="EQ6">
        <f>IF($EN6=0,"",UPPER(TRIM(INDEX(LINES_STATUS,$EN6)&amp;"")))</f>
        <v/>
      </c>
      <c r="ER6">
        <f>IF($DM6=0,"",IF(OR($EQ6="READY",$EQ6="PM",$EQ6="OT"),$EQ6,$EP6))</f>
        <v/>
      </c>
      <c r="ES6">
        <f>IF($DM6=0,"",IF(AND($DV6&lt;&gt;"",UPPER($DV6)&lt;&gt;"N"),"allergen",IF(ISNUMBER(SEARCH("oil",$DQ6)),"oil",IF(OR(EXACT($DS6,"A662"),EXACT($DS6,"A624")),"bulk",""))))</f>
        <v/>
      </c>
      <c r="ET6">
        <f>IF($DM6=0,"",IF(OR($EA6="",$EA6=0),"",$EA6/100))</f>
        <v/>
      </c>
      <c r="EU6">
        <f>IF(OR($ET6="",$DY6=""),"",INT($DY6*(1-$ET6)+0.5))</f>
        <v/>
      </c>
      <c r="EW6" t="n">
        <v>2</v>
      </c>
      <c r="EX6">
        <f>IFERROR(MATCH($EW6,$EM$5:$EM$1003,0),0)</f>
        <v/>
      </c>
      <c r="EY6">
        <f>IF($EW6&gt;$B$12,"",IF($EX6&gt;0,"row","spacer"))</f>
        <v/>
      </c>
      <c r="EZ6">
        <f>IF(AND($EY6="row",$EY5&lt;&gt;"row"),1,0)</f>
        <v/>
      </c>
      <c r="FA6">
        <f>IF(AND($EY6="row",$EY7&lt;&gt;"row"),1,0)</f>
        <v/>
      </c>
      <c r="FB6">
        <f>IF($EZ6=1,IFERROR(IF(ISNUMBER(INDEX(PASTE_ALL,INDEX($DF$5:$DF$1003,$EX6),$B$37)),INDEX(PASTE_ALL,INDEX($DF$5:$DF$1003,$EX6),$B$37),INDEX($DH$5:$DH$1003,$EX6)),INDEX($DH$5:$DH$1003,$EX6)),"")</f>
        <v/>
      </c>
      <c r="FC6">
        <f>IF($EY6="row",INDEX($ER$5:$ER$1003,$EX6),"")</f>
        <v/>
      </c>
      <c r="FD6">
        <f>IF($EY6="row",INDEX($DN$5:$DN$1003,$EX6),"")</f>
        <v/>
      </c>
      <c r="FE6">
        <f>IF($EY6="row",INDEX($DO$5:$DO$1003,$EX6),"")</f>
        <v/>
      </c>
      <c r="FF6">
        <f>IF($EY6="row",INDEX($DP$5:$DP$1003,$EX6),"")</f>
        <v/>
      </c>
      <c r="FG6">
        <f>IF($EY6="row",INDEX($DQ$5:$DQ$1003,$EX6),"")</f>
        <v/>
      </c>
      <c r="FH6">
        <f>IF($EY6="row",INDEX($DR$5:$DR$1003,$EX6),"")</f>
        <v/>
      </c>
      <c r="FI6">
        <f>IF($EY6="row",INDEX($DS$5:$DS$1003,$EX6),"")</f>
        <v/>
      </c>
      <c r="FJ6">
        <f>IF($EY6="row",INDEX($DT$5:$DT$1003,$EX6),"")</f>
        <v/>
      </c>
      <c r="FK6">
        <f>IF($EY6="row",INDEX($DU$5:$DU$1003,$EX6),"")</f>
        <v/>
      </c>
      <c r="FL6">
        <f>IF($EY6="row",INDEX($DV$5:$DV$1003,$EX6),"")</f>
        <v/>
      </c>
      <c r="FM6">
        <f>IF($EY6="row",INDEX($DW$5:$DW$1003,$EX6),"")</f>
        <v/>
      </c>
      <c r="FN6">
        <f>IF($EY6="row",INDEX($DY$5:$DY$1003,$EX6),"")</f>
        <v/>
      </c>
      <c r="FO6">
        <f>IF($EY6="row",INDEX($EA$5:$EA$1003,$EX6),"")</f>
        <v/>
      </c>
      <c r="FP6">
        <f>IF($EY6="row",INDEX($EC$5:$EC$1003,$EX6),"")</f>
        <v/>
      </c>
      <c r="FQ6">
        <f>IF($EY6="row",INDEX($ET$5:$ET$1003,$EX6),"")</f>
        <v/>
      </c>
      <c r="FR6">
        <f>IF($EY6="row",INDEX($EU$5:$EU$1003,$EX6),"")</f>
        <v/>
      </c>
      <c r="FS6">
        <f>IF(AND($EY6="row",$EY5="row"),IF(OR(INDEX($DT$5:$DT$1003,$EX5)="",INDEX($DT$5:$DT$1003,$EX6)=""),"",IF(NOT(EXACT(INDEX($DT$5:$DT$1003,$EX5),INDEX($DT$5:$DT$1003,$EX6))),"S4",IF(NOT(EXACT(INDEX($DS$5:$DS$1003,$EX5),INDEX($DS$5:$DS$1003,$EX6))),"S3",IF(NOT(EXACT(INDEX($DR$5:$DR$1003,$EX5),INDEX($DR$5:$DR$1003,$EX6))),"S1 Count Change","S1")))),"")</f>
        <v/>
      </c>
      <c r="FT6">
        <f>IF($EY6="row",INDEX($ES$5:$ES$1003,$EX6),"")</f>
        <v/>
      </c>
      <c r="FU6">
        <f>IF($EY6="row",INDEX($EO$5:$EO$1003,$EX6),0)</f>
        <v/>
      </c>
      <c r="FV6">
        <f>IF($FS6="S1 Count Change",1,0)</f>
        <v/>
      </c>
      <c r="FX6" t="n">
        <v>2</v>
      </c>
      <c r="FY6">
        <f>IFERROR(MATCH($FX6,$EF$5:$EF$1003,0),0)</f>
        <v/>
      </c>
      <c r="FZ6">
        <f>IF($FY6=0,"",INDEX($DH$5:$DH$1003,$FY6))</f>
        <v/>
      </c>
      <c r="GA6">
        <f>IF($FY6=0,"",COUNTIF($EG$5:$EG$1003,$FX6))</f>
        <v/>
      </c>
      <c r="GB6">
        <f>IF($FY6=0,"",INDEX($ER$5:$ER$1003,$FY6))</f>
        <v/>
      </c>
      <c r="GC6">
        <f>IF($FY6=0,"",IF(INDEX($EO$5:$EO$1003,$FY6)=1,"Yes",""))</f>
        <v/>
      </c>
      <c r="GD6">
        <f>IF($FY6=0,"",IF(INDEX($EN$5:$EN$1003,$FY6)&gt;0,"","NOT IN YOUR LIST - type it in column A to tick it"))</f>
        <v/>
      </c>
      <c r="GE6">
        <f>IF(AND($FY6&gt;0,$GD6&lt;&gt;""),1,0)</f>
        <v/>
      </c>
      <c r="GF6">
        <f>GF5+$GE6</f>
        <v/>
      </c>
      <c r="GG6">
        <f>IFERROR(INDEX($FZ$5:$FZ$104,MATCH($FX6,$GF$5:$GF$104,0)),"")</f>
        <v/>
      </c>
    </row>
    <row r="7">
      <c r="A7" t="inlineStr">
        <is>
          <t>Override valid</t>
        </is>
      </c>
      <c r="B7">
        <f>IF(AND($B$6&gt;=1,$B$6&lt;=999,$B$6=INT($B$6)),1,0)</f>
        <v/>
      </c>
      <c r="D7" t="n">
        <v>3</v>
      </c>
      <c r="E7" t="inlineStr">
        <is>
          <t>seq</t>
        </is>
      </c>
      <c r="F7" t="inlineStr">
        <is>
          <t>Seq</t>
        </is>
      </c>
      <c r="G7" t="n">
        <v>8</v>
      </c>
      <c r="H7">
        <f>IFERROR(UPPER(TRIM('2. Check Columns'!$F$15&amp;"")),"#")</f>
        <v/>
      </c>
      <c r="I7">
        <f>IF(H7="",0,IF(OR(H7="-",H7="NONE"),-1,IFERROR(MATCH(1,INDEX(--EXACT($T$5:$T$64,H7),0),0),-2)))</f>
        <v/>
      </c>
      <c r="J7">
        <f>IF(I7&lt;=0,IF(I7=-1,-1,0),IF(COUNTIF($I$5:I6,I7)&gt;0,0,I7))</f>
        <v/>
      </c>
      <c r="K7">
        <f>IFERROR(MATCH(3,$Y$235:$CF$235,0),0)</f>
        <v/>
      </c>
      <c r="L7">
        <f>IFERROR(MATCH(3,$Y$239:$CF$239,0),0)</f>
        <v/>
      </c>
      <c r="M7">
        <f>IF(K7=0,"(not found)",INDEX($T$5:$T$64,K7))</f>
        <v/>
      </c>
      <c r="N7">
        <f>IF(L7=0,IF(J7=-1,"(left out)","(none)"),INDEX($T$5:$T$64,L7))</f>
        <v/>
      </c>
      <c r="O7">
        <f>IF(L7=0,"",IFERROR(TRIM(SUBSTITUTE(SUBSTITUTE(SUBSTITUTE(SUBSTITUTE(INDEX(PASTE_ALL,HEADER_ROW,L7)&amp;""," "," "),CHAR(9)," "),CHAR(10)," "),CHAR(13)," ")),""))</f>
        <v/>
      </c>
      <c r="P7">
        <f>IF(OR(L7=0,$B$16=0),"",IFERROR(IF(ISNUMBER(INDEX(PASTE_ALL,$B$16,L7)),INDEX(PASTE_ALL,$B$16,L7),TRIM(SUBSTITUTE(SUBSTITUTE(SUBSTITUTE(SUBSTITUTE(INDEX(PASTE_ALL,$B$16,L7)&amp;""," "," "),CHAR(9)," "),CHAR(10)," "),CHAR(13)," "))),""))</f>
        <v/>
      </c>
      <c r="Q7">
        <f>IF(I7=-2,"'"&amp;H7&amp;"' is not a column letter from A to BH - ignored",IF(AND(I7&gt;0,J7=0),"Column "&amp;H7&amp;" is already used by "&amp;INDEX($F$5:$F$19,MATCH(I7,$I$5:$I$19,0))&amp;" - ignored",IF(AND(J7=0,K7&gt;0,COUNTIF($J$5:$J$19,K7)&gt;0),"Column "&amp;M7&amp;" is used by "&amp;INDEX($F$5:$F$19,MATCH(K7,$J$5:$J$19,0))&amp;" (Override)"&amp;IF(L7&gt;0," - using column "&amp;N7&amp;" instead"," - not used"),IF(AND(J7&gt;0,K7&gt;0,J7&lt;&gt;K7),"Override in use - this file's own title for it is in column "&amp;M7&amp;" ("&amp;IFERROR(TRIM(SUBSTITUTE(SUBSTITUTE(SUBSTITUTE(SUBSTITUTE(INDEX(PASTE_ALL,HEADER_ROW,K7)&amp;""," "," "),CHAR(9)," "),CHAR(10)," "),CHAR(13)," ")),"")&amp;"). Clear the Override if that is right.",IF(AND(J7=-1,K7&gt;0),"Left out by the Override - this file has it in column "&amp;M7&amp;" ("&amp;IFERROR(TRIM(SUBSTITUTE(SUBSTITUTE(SUBSTITUTE(SUBSTITUTE(INDEX(PASTE_ALL,HEADER_ROW,K7)&amp;""," "," "),CHAR(9)," "),CHAR(10)," "),CHAR(13)," ")),"")&amp;").","")))))</f>
        <v/>
      </c>
      <c r="R7">
        <f>IF(OR(AND(J7&gt;0,K7&gt;0,J7&lt;&gt;K7),AND(J7=-1,K7&gt;0),AND(J7=0,K7&gt;0,COUNTIF($J$5:$J$19,K7)&gt;0)),1,0)</f>
        <v/>
      </c>
      <c r="S7" t="n">
        <v>3</v>
      </c>
      <c r="T7" t="inlineStr">
        <is>
          <t>C</t>
        </is>
      </c>
      <c r="V7" t="inlineStr">
        <is>
          <t>WC</t>
        </is>
      </c>
      <c r="W7" t="n">
        <v>1</v>
      </c>
      <c r="Y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 ",""),"!",""),CHAR(34),""),"#",""),"$",""),"%",""),"&amp;",""),"'",""),"(",""),")",""),"*",""),"+",""),",",""),"-",""),".",""),"/",""),":",""),";",""),"&lt;",""),"=",""),"&gt;",""),"?",""),"@",""),"[",""),"\",""),"]",""),"^",""),"_",""),"`",""),"{",""),"|",""),"}",""),"~",""),CHAR(9),""),CHAR(10),""),CHAR(13),"")," ",""),"")</f>
        <v/>
      </c>
      <c r="Z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 ",""),"!",""),CHAR(34),""),"#",""),"$",""),"%",""),"&amp;",""),"'",""),"(",""),")",""),"*",""),"+",""),",",""),"-",""),".",""),"/",""),":",""),";",""),"&lt;",""),"=",""),"&gt;",""),"?",""),"@",""),"[",""),"\",""),"]",""),"^",""),"_",""),"`",""),"{",""),"|",""),"}",""),"~",""),CHAR(9),""),CHAR(10),""),CHAR(13),"")," ",""),"")</f>
        <v/>
      </c>
      <c r="AA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 ",""),"!",""),CHAR(34),""),"#",""),"$",""),"%",""),"&amp;",""),"'",""),"(",""),")",""),"*",""),"+",""),",",""),"-",""),".",""),"/",""),":",""),";",""),"&lt;",""),"=",""),"&gt;",""),"?",""),"@",""),"[",""),"\",""),"]",""),"^",""),"_",""),"`",""),"{",""),"|",""),"}",""),"~",""),CHAR(9),""),CHAR(10),""),CHAR(13),"")," ",""),"")</f>
        <v/>
      </c>
      <c r="AB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 ",""),"!",""),CHAR(34),""),"#",""),"$",""),"%",""),"&amp;",""),"'",""),"(",""),")",""),"*",""),"+",""),",",""),"-",""),".",""),"/",""),":",""),";",""),"&lt;",""),"=",""),"&gt;",""),"?",""),"@",""),"[",""),"\",""),"]",""),"^",""),"_",""),"`",""),"{",""),"|",""),"}",""),"~",""),CHAR(9),""),CHAR(10),""),CHAR(13),"")," ",""),"")</f>
        <v/>
      </c>
      <c r="AC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 ",""),"!",""),CHAR(34),""),"#",""),"$",""),"%",""),"&amp;",""),"'",""),"(",""),")",""),"*",""),"+",""),",",""),"-",""),".",""),"/",""),":",""),";",""),"&lt;",""),"=",""),"&gt;",""),"?",""),"@",""),"[",""),"\",""),"]",""),"^",""),"_",""),"`",""),"{",""),"|",""),"}",""),"~",""),CHAR(9),""),CHAR(10),""),CHAR(13),"")," ",""),"")</f>
        <v/>
      </c>
      <c r="AD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 ",""),"!",""),CHAR(34),""),"#",""),"$",""),"%",""),"&amp;",""),"'",""),"(",""),")",""),"*",""),"+",""),",",""),"-",""),".",""),"/",""),":",""),";",""),"&lt;",""),"=",""),"&gt;",""),"?",""),"@",""),"[",""),"\",""),"]",""),"^",""),"_",""),"`",""),"{",""),"|",""),"}",""),"~",""),CHAR(9),""),CHAR(10),""),CHAR(13),"")," ",""),"")</f>
        <v/>
      </c>
      <c r="AE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 ",""),"!",""),CHAR(34),""),"#",""),"$",""),"%",""),"&amp;",""),"'",""),"(",""),")",""),"*",""),"+",""),",",""),"-",""),".",""),"/",""),":",""),";",""),"&lt;",""),"=",""),"&gt;",""),"?",""),"@",""),"[",""),"\",""),"]",""),"^",""),"_",""),"`",""),"{",""),"|",""),"}",""),"~",""),CHAR(9),""),CHAR(10),""),CHAR(13),"")," ",""),"")</f>
        <v/>
      </c>
      <c r="AF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 ",""),"!",""),CHAR(34),""),"#",""),"$",""),"%",""),"&amp;",""),"'",""),"(",""),")",""),"*",""),"+",""),",",""),"-",""),".",""),"/",""),":",""),";",""),"&lt;",""),"=",""),"&gt;",""),"?",""),"@",""),"[",""),"\",""),"]",""),"^",""),"_",""),"`",""),"{",""),"|",""),"}",""),"~",""),CHAR(9),""),CHAR(10),""),CHAR(13),"")," ",""),"")</f>
        <v/>
      </c>
      <c r="AG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 ",""),"!",""),CHAR(34),""),"#",""),"$",""),"%",""),"&amp;",""),"'",""),"(",""),")",""),"*",""),"+",""),",",""),"-",""),".",""),"/",""),":",""),";",""),"&lt;",""),"=",""),"&gt;",""),"?",""),"@",""),"[",""),"\",""),"]",""),"^",""),"_",""),"`",""),"{",""),"|",""),"}",""),"~",""),CHAR(9),""),CHAR(10),""),CHAR(13),"")," ",""),"")</f>
        <v/>
      </c>
      <c r="AH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3,10))," ",""),"!",""),CHAR(34),""),"#",""),"$",""),"%",""),"&amp;",""),"'",""),"(",""),")",""),"*",""),"+",""),",",""),"-",""),".",""),"/",""),":",""),";",""),"&lt;",""),"=",""),"&gt;",""),"?",""),"@",""),"[",""),"\",""),"]",""),"^",""),"_",""),"`",""),"{",""),"|",""),"}",""),"~",""),CHAR(9),""),CHAR(10),""),CHAR(13),"")," ",""),"")</f>
        <v/>
      </c>
      <c r="AI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 ",""),"!",""),CHAR(34),""),"#",""),"$",""),"%",""),"&amp;",""),"'",""),"(",""),")",""),"*",""),"+",""),",",""),"-",""),".",""),"/",""),":",""),";",""),"&lt;",""),"=",""),"&gt;",""),"?",""),"@",""),"[",""),"\",""),"]",""),"^",""),"_",""),"`",""),"{",""),"|",""),"}",""),"~",""),CHAR(9),""),CHAR(10),""),CHAR(13),"")," ",""),"")</f>
        <v/>
      </c>
      <c r="AJ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 ",""),"!",""),CHAR(34),""),"#",""),"$",""),"%",""),"&amp;",""),"'",""),"(",""),")",""),"*",""),"+",""),",",""),"-",""),".",""),"/",""),":",""),";",""),"&lt;",""),"=",""),"&gt;",""),"?",""),"@",""),"[",""),"\",""),"]",""),"^",""),"_",""),"`",""),"{",""),"|",""),"}",""),"~",""),CHAR(9),""),CHAR(10),""),CHAR(13),"")," ",""),"")</f>
        <v/>
      </c>
      <c r="AK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 ",""),"!",""),CHAR(34),""),"#",""),"$",""),"%",""),"&amp;",""),"'",""),"(",""),")",""),"*",""),"+",""),",",""),"-",""),".",""),"/",""),":",""),";",""),"&lt;",""),"=",""),"&gt;",""),"?",""),"@",""),"[",""),"\",""),"]",""),"^",""),"_",""),"`",""),"{",""),"|",""),"}",""),"~",""),CHAR(9),""),CHAR(10),""),CHAR(13),"")," ",""),"")</f>
        <v/>
      </c>
      <c r="AL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 ",""),"!",""),CHAR(34),""),"#",""),"$",""),"%",""),"&amp;",""),"'",""),"(",""),")",""),"*",""),"+",""),",",""),"-",""),".",""),"/",""),":",""),";",""),"&lt;",""),"=",""),"&gt;",""),"?",""),"@",""),"[",""),"\",""),"]",""),"^",""),"_",""),"`",""),"{",""),"|",""),"}",""),"~",""),CHAR(9),""),CHAR(10),""),CHAR(13),"")," ",""),"")</f>
        <v/>
      </c>
      <c r="AM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 ",""),"!",""),CHAR(34),""),"#",""),"$",""),"%",""),"&amp;",""),"'",""),"(",""),")",""),"*",""),"+",""),",",""),"-",""),".",""),"/",""),":",""),";",""),"&lt;",""),"=",""),"&gt;",""),"?",""),"@",""),"[",""),"\",""),"]",""),"^",""),"_",""),"`",""),"{",""),"|",""),"}",""),"~",""),CHAR(9),""),CHAR(10),""),CHAR(13),"")," ",""),"")</f>
        <v/>
      </c>
      <c r="AN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3,16))," ",""),"!",""),CHAR(34),""),"#",""),"$",""),"%",""),"&amp;",""),"'",""),"(",""),")",""),"*",""),"+",""),",",""),"-",""),".",""),"/",""),":",""),";",""),"&lt;",""),"=",""),"&gt;",""),"?",""),"@",""),"[",""),"\",""),"]",""),"^",""),"_",""),"`",""),"{",""),"|",""),"}",""),"~",""),CHAR(9),""),CHAR(10),""),CHAR(13),"")," ",""),"")</f>
        <v/>
      </c>
      <c r="AO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3,17))," ",""),"!",""),CHAR(34),""),"#",""),"$",""),"%",""),"&amp;",""),"'",""),"(",""),")",""),"*",""),"+",""),",",""),"-",""),".",""),"/",""),":",""),";",""),"&lt;",""),"=",""),"&gt;",""),"?",""),"@",""),"[",""),"\",""),"]",""),"^",""),"_",""),"`",""),"{",""),"|",""),"}",""),"~",""),CHAR(9),""),CHAR(10),""),CHAR(13),"")," ",""),"")</f>
        <v/>
      </c>
      <c r="AP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3,18))," ",""),"!",""),CHAR(34),""),"#",""),"$",""),"%",""),"&amp;",""),"'",""),"(",""),")",""),"*",""),"+",""),",",""),"-",""),".",""),"/",""),":",""),";",""),"&lt;",""),"=",""),"&gt;",""),"?",""),"@",""),"[",""),"\",""),"]",""),"^",""),"_",""),"`",""),"{",""),"|",""),"}",""),"~",""),CHAR(9),""),CHAR(10),""),CHAR(13),"")," ",""),"")</f>
        <v/>
      </c>
      <c r="AQ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3,19))," ",""),"!",""),CHAR(34),""),"#",""),"$",""),"%",""),"&amp;",""),"'",""),"(",""),")",""),"*",""),"+",""),",",""),"-",""),".",""),"/",""),":",""),";",""),"&lt;",""),"=",""),"&gt;",""),"?",""),"@",""),"[",""),"\",""),"]",""),"^",""),"_",""),"`",""),"{",""),"|",""),"}",""),"~",""),CHAR(9),""),CHAR(10),""),CHAR(13),"")," ",""),"")</f>
        <v/>
      </c>
      <c r="AR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3,20))," ",""),"!",""),CHAR(34),""),"#",""),"$",""),"%",""),"&amp;",""),"'",""),"(",""),")",""),"*",""),"+",""),",",""),"-",""),".",""),"/",""),":",""),";",""),"&lt;",""),"=",""),"&gt;",""),"?",""),"@",""),"[",""),"\",""),"]",""),"^",""),"_",""),"`",""),"{",""),"|",""),"}",""),"~",""),CHAR(9),""),CHAR(10),""),CHAR(13),"")," ",""),"")</f>
        <v/>
      </c>
      <c r="AS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 ",""),"!",""),CHAR(34),""),"#",""),"$",""),"%",""),"&amp;",""),"'",""),"(",""),")",""),"*",""),"+",""),",",""),"-",""),".",""),"/",""),":",""),";",""),"&lt;",""),"=",""),"&gt;",""),"?",""),"@",""),"[",""),"\",""),"]",""),"^",""),"_",""),"`",""),"{",""),"|",""),"}",""),"~",""),CHAR(9),""),CHAR(10),""),CHAR(13),"")," ",""),"")</f>
        <v/>
      </c>
      <c r="AT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 ",""),"!",""),CHAR(34),""),"#",""),"$",""),"%",""),"&amp;",""),"'",""),"(",""),")",""),"*",""),"+",""),",",""),"-",""),".",""),"/",""),":",""),";",""),"&lt;",""),"=",""),"&gt;",""),"?",""),"@",""),"[",""),"\",""),"]",""),"^",""),"_",""),"`",""),"{",""),"|",""),"}",""),"~",""),CHAR(9),""),CHAR(10),""),CHAR(13),"")," ",""),"")</f>
        <v/>
      </c>
      <c r="AU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 ",""),"!",""),CHAR(34),""),"#",""),"$",""),"%",""),"&amp;",""),"'",""),"(",""),")",""),"*",""),"+",""),",",""),"-",""),".",""),"/",""),":",""),";",""),"&lt;",""),"=",""),"&gt;",""),"?",""),"@",""),"[",""),"\",""),"]",""),"^",""),"_",""),"`",""),"{",""),"|",""),"}",""),"~",""),CHAR(9),""),CHAR(10),""),CHAR(13),"")," ",""),"")</f>
        <v/>
      </c>
      <c r="AV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 ",""),"!",""),CHAR(34),""),"#",""),"$",""),"%",""),"&amp;",""),"'",""),"(",""),")",""),"*",""),"+",""),",",""),"-",""),".",""),"/",""),":",""),";",""),"&lt;",""),"=",""),"&gt;",""),"?",""),"@",""),"[",""),"\",""),"]",""),"^",""),"_",""),"`",""),"{",""),"|",""),"}",""),"~",""),CHAR(9),""),CHAR(10),""),CHAR(13),"")," ",""),"")</f>
        <v/>
      </c>
      <c r="AW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 ",""),"!",""),CHAR(34),""),"#",""),"$",""),"%",""),"&amp;",""),"'",""),"(",""),")",""),"*",""),"+",""),",",""),"-",""),".",""),"/",""),":",""),";",""),"&lt;",""),"=",""),"&gt;",""),"?",""),"@",""),"[",""),"\",""),"]",""),"^",""),"_",""),"`",""),"{",""),"|",""),"}",""),"~",""),CHAR(9),""),CHAR(10),""),CHAR(13),"")," ",""),"")</f>
        <v/>
      </c>
      <c r="AX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3,26))," ",""),"!",""),CHAR(34),""),"#",""),"$",""),"%",""),"&amp;",""),"'",""),"(",""),")",""),"*",""),"+",""),",",""),"-",""),".",""),"/",""),":",""),";",""),"&lt;",""),"=",""),"&gt;",""),"?",""),"@",""),"[",""),"\",""),"]",""),"^",""),"_",""),"`",""),"{",""),"|",""),"}",""),"~",""),CHAR(9),""),CHAR(10),""),CHAR(13),"")," ",""),"")</f>
        <v/>
      </c>
      <c r="AY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3,27))," ",""),"!",""),CHAR(34),""),"#",""),"$",""),"%",""),"&amp;",""),"'",""),"(",""),")",""),"*",""),"+",""),",",""),"-",""),".",""),"/",""),":",""),";",""),"&lt;",""),"=",""),"&gt;",""),"?",""),"@",""),"[",""),"\",""),"]",""),"^",""),"_",""),"`",""),"{",""),"|",""),"}",""),"~",""),CHAR(9),""),CHAR(10),""),CHAR(13),"")," ",""),"")</f>
        <v/>
      </c>
      <c r="AZ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3,28))," ",""),"!",""),CHAR(34),""),"#",""),"$",""),"%",""),"&amp;",""),"'",""),"(",""),")",""),"*",""),"+",""),",",""),"-",""),".",""),"/",""),":",""),";",""),"&lt;",""),"=",""),"&gt;",""),"?",""),"@",""),"[",""),"\",""),"]",""),"^",""),"_",""),"`",""),"{",""),"|",""),"}",""),"~",""),CHAR(9),""),CHAR(10),""),CHAR(13),"")," ",""),"")</f>
        <v/>
      </c>
      <c r="BA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3,29))," ",""),"!",""),CHAR(34),""),"#",""),"$",""),"%",""),"&amp;",""),"'",""),"(",""),")",""),"*",""),"+",""),",",""),"-",""),".",""),"/",""),":",""),";",""),"&lt;",""),"=",""),"&gt;",""),"?",""),"@",""),"[",""),"\",""),"]",""),"^",""),"_",""),"`",""),"{",""),"|",""),"}",""),"~",""),CHAR(9),""),CHAR(10),""),CHAR(13),"")," ",""),"")</f>
        <v/>
      </c>
      <c r="BB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3,30))," ",""),"!",""),CHAR(34),""),"#",""),"$",""),"%",""),"&amp;",""),"'",""),"(",""),")",""),"*",""),"+",""),",",""),"-",""),".",""),"/",""),":",""),";",""),"&lt;",""),"=",""),"&gt;",""),"?",""),"@",""),"[",""),"\",""),"]",""),"^",""),"_",""),"`",""),"{",""),"|",""),"}",""),"~",""),CHAR(9),""),CHAR(10),""),CHAR(13),"")," ",""),"")</f>
        <v/>
      </c>
      <c r="BC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 ",""),"!",""),CHAR(34),""),"#",""),"$",""),"%",""),"&amp;",""),"'",""),"(",""),")",""),"*",""),"+",""),",",""),"-",""),".",""),"/",""),":",""),";",""),"&lt;",""),"=",""),"&gt;",""),"?",""),"@",""),"[",""),"\",""),"]",""),"^",""),"_",""),"`",""),"{",""),"|",""),"}",""),"~",""),CHAR(9),""),CHAR(10),""),CHAR(13),"")," ",""),"")</f>
        <v/>
      </c>
      <c r="BD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 ",""),"!",""),CHAR(34),""),"#",""),"$",""),"%",""),"&amp;",""),"'",""),"(",""),")",""),"*",""),"+",""),",",""),"-",""),".",""),"/",""),":",""),";",""),"&lt;",""),"=",""),"&gt;",""),"?",""),"@",""),"[",""),"\",""),"]",""),"^",""),"_",""),"`",""),"{",""),"|",""),"}",""),"~",""),CHAR(9),""),CHAR(10),""),CHAR(13),"")," ",""),"")</f>
        <v/>
      </c>
      <c r="BE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 ",""),"!",""),CHAR(34),""),"#",""),"$",""),"%",""),"&amp;",""),"'",""),"(",""),")",""),"*",""),"+",""),",",""),"-",""),".",""),"/",""),":",""),";",""),"&lt;",""),"=",""),"&gt;",""),"?",""),"@",""),"[",""),"\",""),"]",""),"^",""),"_",""),"`",""),"{",""),"|",""),"}",""),"~",""),CHAR(9),""),CHAR(10),""),CHAR(13),"")," ",""),"")</f>
        <v/>
      </c>
      <c r="BF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 ",""),"!",""),CHAR(34),""),"#",""),"$",""),"%",""),"&amp;",""),"'",""),"(",""),")",""),"*",""),"+",""),",",""),"-",""),".",""),"/",""),":",""),";",""),"&lt;",""),"=",""),"&gt;",""),"?",""),"@",""),"[",""),"\",""),"]",""),"^",""),"_",""),"`",""),"{",""),"|",""),"}",""),"~",""),CHAR(9),""),CHAR(10),""),CHAR(13),"")," ",""),"")</f>
        <v/>
      </c>
      <c r="BG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 ",""),"!",""),CHAR(34),""),"#",""),"$",""),"%",""),"&amp;",""),"'",""),"(",""),")",""),"*",""),"+",""),",",""),"-",""),".",""),"/",""),":",""),";",""),"&lt;",""),"=",""),"&gt;",""),"?",""),"@",""),"[",""),"\",""),"]",""),"^",""),"_",""),"`",""),"{",""),"|",""),"}",""),"~",""),CHAR(9),""),CHAR(10),""),CHAR(13),"")," ",""),"")</f>
        <v/>
      </c>
      <c r="BH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3,36))," ",""),"!",""),CHAR(34),""),"#",""),"$",""),"%",""),"&amp;",""),"'",""),"(",""),")",""),"*",""),"+",""),",",""),"-",""),".",""),"/",""),":",""),";",""),"&lt;",""),"=",""),"&gt;",""),"?",""),"@",""),"[",""),"\",""),"]",""),"^",""),"_",""),"`",""),"{",""),"|",""),"}",""),"~",""),CHAR(9),""),CHAR(10),""),CHAR(13),"")," ",""),"")</f>
        <v/>
      </c>
      <c r="BI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3,37))," ",""),"!",""),CHAR(34),""),"#",""),"$",""),"%",""),"&amp;",""),"'",""),"(",""),")",""),"*",""),"+",""),",",""),"-",""),".",""),"/",""),":",""),";",""),"&lt;",""),"=",""),"&gt;",""),"?",""),"@",""),"[",""),"\",""),"]",""),"^",""),"_",""),"`",""),"{",""),"|",""),"}",""),"~",""),CHAR(9),""),CHAR(10),""),CHAR(13),"")," ",""),"")</f>
        <v/>
      </c>
      <c r="BJ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3,38))," ",""),"!",""),CHAR(34),""),"#",""),"$",""),"%",""),"&amp;",""),"'",""),"(",""),")",""),"*",""),"+",""),",",""),"-",""),".",""),"/",""),":",""),";",""),"&lt;",""),"=",""),"&gt;",""),"?",""),"@",""),"[",""),"\",""),"]",""),"^",""),"_",""),"`",""),"{",""),"|",""),"}",""),"~",""),CHAR(9),""),CHAR(10),""),CHAR(13),"")," ",""),"")</f>
        <v/>
      </c>
      <c r="BK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3,39))," ",""),"!",""),CHAR(34),""),"#",""),"$",""),"%",""),"&amp;",""),"'",""),"(",""),")",""),"*",""),"+",""),",",""),"-",""),".",""),"/",""),":",""),";",""),"&lt;",""),"=",""),"&gt;",""),"?",""),"@",""),"[",""),"\",""),"]",""),"^",""),"_",""),"`",""),"{",""),"|",""),"}",""),"~",""),CHAR(9),""),CHAR(10),""),CHAR(13),"")," ",""),"")</f>
        <v/>
      </c>
      <c r="BL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3,40))," ",""),"!",""),CHAR(34),""),"#",""),"$",""),"%",""),"&amp;",""),"'",""),"(",""),")",""),"*",""),"+",""),",",""),"-",""),".",""),"/",""),":",""),";",""),"&lt;",""),"=",""),"&gt;",""),"?",""),"@",""),"[",""),"\",""),"]",""),"^",""),"_",""),"`",""),"{",""),"|",""),"}",""),"~",""),CHAR(9),""),CHAR(10),""),CHAR(13),"")," ",""),"")</f>
        <v/>
      </c>
      <c r="BM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 ",""),"!",""),CHAR(34),""),"#",""),"$",""),"%",""),"&amp;",""),"'",""),"(",""),")",""),"*",""),"+",""),",",""),"-",""),".",""),"/",""),":",""),";",""),"&lt;",""),"=",""),"&gt;",""),"?",""),"@",""),"[",""),"\",""),"]",""),"^",""),"_",""),"`",""),"{",""),"|",""),"}",""),"~",""),CHAR(9),""),CHAR(10),""),CHAR(13),"")," ",""),"")</f>
        <v/>
      </c>
      <c r="BN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 ",""),"!",""),CHAR(34),""),"#",""),"$",""),"%",""),"&amp;",""),"'",""),"(",""),")",""),"*",""),"+",""),",",""),"-",""),".",""),"/",""),":",""),";",""),"&lt;",""),"=",""),"&gt;",""),"?",""),"@",""),"[",""),"\",""),"]",""),"^",""),"_",""),"`",""),"{",""),"|",""),"}",""),"~",""),CHAR(9),""),CHAR(10),""),CHAR(13),"")," ",""),"")</f>
        <v/>
      </c>
      <c r="BO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 ",""),"!",""),CHAR(34),""),"#",""),"$",""),"%",""),"&amp;",""),"'",""),"(",""),")",""),"*",""),"+",""),",",""),"-",""),".",""),"/",""),":",""),";",""),"&lt;",""),"=",""),"&gt;",""),"?",""),"@",""),"[",""),"\",""),"]",""),"^",""),"_",""),"`",""),"{",""),"|",""),"}",""),"~",""),CHAR(9),""),CHAR(10),""),CHAR(13),"")," ",""),"")</f>
        <v/>
      </c>
      <c r="BP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 ",""),"!",""),CHAR(34),""),"#",""),"$",""),"%",""),"&amp;",""),"'",""),"(",""),")",""),"*",""),"+",""),",",""),"-",""),".",""),"/",""),":",""),";",""),"&lt;",""),"=",""),"&gt;",""),"?",""),"@",""),"[",""),"\",""),"]",""),"^",""),"_",""),"`",""),"{",""),"|",""),"}",""),"~",""),CHAR(9),""),CHAR(10),""),CHAR(13),"")," ",""),"")</f>
        <v/>
      </c>
      <c r="BQ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 ",""),"!",""),CHAR(34),""),"#",""),"$",""),"%",""),"&amp;",""),"'",""),"(",""),")",""),"*",""),"+",""),",",""),"-",""),".",""),"/",""),":",""),";",""),"&lt;",""),"=",""),"&gt;",""),"?",""),"@",""),"[",""),"\",""),"]",""),"^",""),"_",""),"`",""),"{",""),"|",""),"}",""),"~",""),CHAR(9),""),CHAR(10),""),CHAR(13),"")," ",""),"")</f>
        <v/>
      </c>
      <c r="BR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3,46))," ",""),"!",""),CHAR(34),""),"#",""),"$",""),"%",""),"&amp;",""),"'",""),"(",""),")",""),"*",""),"+",""),",",""),"-",""),".",""),"/",""),":",""),";",""),"&lt;",""),"=",""),"&gt;",""),"?",""),"@",""),"[",""),"\",""),"]",""),"^",""),"_",""),"`",""),"{",""),"|",""),"}",""),"~",""),CHAR(9),""),CHAR(10),""),CHAR(13),"")," ",""),"")</f>
        <v/>
      </c>
      <c r="BS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3,47))," ",""),"!",""),CHAR(34),""),"#",""),"$",""),"%",""),"&amp;",""),"'",""),"(",""),")",""),"*",""),"+",""),",",""),"-",""),".",""),"/",""),":",""),";",""),"&lt;",""),"=",""),"&gt;",""),"?",""),"@",""),"[",""),"\",""),"]",""),"^",""),"_",""),"`",""),"{",""),"|",""),"}",""),"~",""),CHAR(9),""),CHAR(10),""),CHAR(13),"")," ",""),"")</f>
        <v/>
      </c>
      <c r="BT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3,48))," ",""),"!",""),CHAR(34),""),"#",""),"$",""),"%",""),"&amp;",""),"'",""),"(",""),")",""),"*",""),"+",""),",",""),"-",""),".",""),"/",""),":",""),";",""),"&lt;",""),"=",""),"&gt;",""),"?",""),"@",""),"[",""),"\",""),"]",""),"^",""),"_",""),"`",""),"{",""),"|",""),"}",""),"~",""),CHAR(9),""),CHAR(10),""),CHAR(13),"")," ",""),"")</f>
        <v/>
      </c>
      <c r="BU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3,49))," ",""),"!",""),CHAR(34),""),"#",""),"$",""),"%",""),"&amp;",""),"'",""),"(",""),")",""),"*",""),"+",""),",",""),"-",""),".",""),"/",""),":",""),";",""),"&lt;",""),"=",""),"&gt;",""),"?",""),"@",""),"[",""),"\",""),"]",""),"^",""),"_",""),"`",""),"{",""),"|",""),"}",""),"~",""),CHAR(9),""),CHAR(10),""),CHAR(13),"")," ",""),"")</f>
        <v/>
      </c>
      <c r="BV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3,50))," ",""),"!",""),CHAR(34),""),"#",""),"$",""),"%",""),"&amp;",""),"'",""),"(",""),")",""),"*",""),"+",""),",",""),"-",""),".",""),"/",""),":",""),";",""),"&lt;",""),"=",""),"&gt;",""),"?",""),"@",""),"[",""),"\",""),"]",""),"^",""),"_",""),"`",""),"{",""),"|",""),"}",""),"~",""),CHAR(9),""),CHAR(10),""),CHAR(13),"")," ",""),"")</f>
        <v/>
      </c>
      <c r="BW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 ",""),"!",""),CHAR(34),""),"#",""),"$",""),"%",""),"&amp;",""),"'",""),"(",""),")",""),"*",""),"+",""),",",""),"-",""),".",""),"/",""),":",""),";",""),"&lt;",""),"=",""),"&gt;",""),"?",""),"@",""),"[",""),"\",""),"]",""),"^",""),"_",""),"`",""),"{",""),"|",""),"}",""),"~",""),CHAR(9),""),CHAR(10),""),CHAR(13),"")," ",""),"")</f>
        <v/>
      </c>
      <c r="BX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 ",""),"!",""),CHAR(34),""),"#",""),"$",""),"%",""),"&amp;",""),"'",""),"(",""),")",""),"*",""),"+",""),",",""),"-",""),".",""),"/",""),":",""),";",""),"&lt;",""),"=",""),"&gt;",""),"?",""),"@",""),"[",""),"\",""),"]",""),"^",""),"_",""),"`",""),"{",""),"|",""),"}",""),"~",""),CHAR(9),""),CHAR(10),""),CHAR(13),"")," ",""),"")</f>
        <v/>
      </c>
      <c r="BY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 ",""),"!",""),CHAR(34),""),"#",""),"$",""),"%",""),"&amp;",""),"'",""),"(",""),")",""),"*",""),"+",""),",",""),"-",""),".",""),"/",""),":",""),";",""),"&lt;",""),"=",""),"&gt;",""),"?",""),"@",""),"[",""),"\",""),"]",""),"^",""),"_",""),"`",""),"{",""),"|",""),"}",""),"~",""),CHAR(9),""),CHAR(10),""),CHAR(13),"")," ",""),"")</f>
        <v/>
      </c>
      <c r="BZ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 ",""),"!",""),CHAR(34),""),"#",""),"$",""),"%",""),"&amp;",""),"'",""),"(",""),")",""),"*",""),"+",""),",",""),"-",""),".",""),"/",""),":",""),";",""),"&lt;",""),"=",""),"&gt;",""),"?",""),"@",""),"[",""),"\",""),"]",""),"^",""),"_",""),"`",""),"{",""),"|",""),"}",""),"~",""),CHAR(9),""),CHAR(10),""),CHAR(13),"")," ",""),"")</f>
        <v/>
      </c>
      <c r="CA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 ",""),"!",""),CHAR(34),""),"#",""),"$",""),"%",""),"&amp;",""),"'",""),"(",""),")",""),"*",""),"+",""),",",""),"-",""),".",""),"/",""),":",""),";",""),"&lt;",""),"=",""),"&gt;",""),"?",""),"@",""),"[",""),"\",""),"]",""),"^",""),"_",""),"`",""),"{",""),"|",""),"}",""),"~",""),CHAR(9),""),CHAR(10),""),CHAR(13),"")," ",""),"")</f>
        <v/>
      </c>
      <c r="CB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3,56))," ",""),"!",""),CHAR(34),""),"#",""),"$",""),"%",""),"&amp;",""),"'",""),"(",""),")",""),"*",""),"+",""),",",""),"-",""),".",""),"/",""),":",""),";",""),"&lt;",""),"=",""),"&gt;",""),"?",""),"@",""),"[",""),"\",""),"]",""),"^",""),"_",""),"`",""),"{",""),"|",""),"}",""),"~",""),CHAR(9),""),CHAR(10),""),CHAR(13),"")," ",""),"")</f>
        <v/>
      </c>
      <c r="CC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3,57))," ",""),"!",""),CHAR(34),""),"#",""),"$",""),"%",""),"&amp;",""),"'",""),"(",""),")",""),"*",""),"+",""),",",""),"-",""),".",""),"/",""),":",""),";",""),"&lt;",""),"=",""),"&gt;",""),"?",""),"@",""),"[",""),"\",""),"]",""),"^",""),"_",""),"`",""),"{",""),"|",""),"}",""),"~",""),CHAR(9),""),CHAR(10),""),CHAR(13),"")," ",""),"")</f>
        <v/>
      </c>
      <c r="CD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3,58))," ",""),"!",""),CHAR(34),""),"#",""),"$",""),"%",""),"&amp;",""),"'",""),"(",""),")",""),"*",""),"+",""),",",""),"-",""),".",""),"/",""),":",""),";",""),"&lt;",""),"=",""),"&gt;",""),"?",""),"@",""),"[",""),"\",""),"]",""),"^",""),"_",""),"`",""),"{",""),"|",""),"}",""),"~",""),CHAR(9),""),CHAR(10),""),CHAR(13),"")," ",""),"")</f>
        <v/>
      </c>
      <c r="CE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3,59))," ",""),"!",""),CHAR(34),""),"#",""),"$",""),"%",""),"&amp;",""),"'",""),"(",""),")",""),"*",""),"+",""),",",""),"-",""),".",""),"/",""),":",""),";",""),"&lt;",""),"=",""),"&gt;",""),"?",""),"@",""),"[",""),"\",""),"]",""),"^",""),"_",""),"`",""),"{",""),"|",""),"}",""),"~",""),CHAR(9),""),CHAR(10),""),CHAR(13),"")," ",""),"")</f>
        <v/>
      </c>
      <c r="CF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3,60))," ",""),"!",""),CHAR(34),""),"#",""),"$",""),"%",""),"&amp;",""),"'",""),"(",""),")",""),"*",""),"+",""),",",""),"-",""),".",""),"/",""),":",""),";",""),"&lt;",""),"=",""),"&gt;",""),"?",""),"@",""),"[",""),"\",""),"]",""),"^",""),"_",""),"`",""),"{",""),"|",""),"}",""),"~",""),CHAR(9),""),CHAR(10),""),CHAR(13),"")," ",""),"")</f>
        <v/>
      </c>
      <c r="CH7">
        <f>COUNTIF($Y52:$CF52,"&gt;0")</f>
        <v/>
      </c>
      <c r="CI7">
        <f>COUNTIF($Y52:$CF52,2)</f>
        <v/>
      </c>
      <c r="CJ7">
        <f>SUMPRODUCT((COUNTIF($Y97:$CF97,{1,2,3,4,5,6,7,8,9,10,11,12,13,14,15})&gt;0)*{2,4,8,16,32,64,128,256,512,1024,2048,4096,8192,16384,32768})</f>
        <v/>
      </c>
      <c r="CK7">
        <f>CF187</f>
        <v/>
      </c>
      <c r="CL7">
        <f>SUMPRODUCT(MOD(INT(((CJ7+CK7))/{2,4,8,16,32,64,128,256,512,1024,2048,4096,8192,16384,32768}),2))</f>
        <v/>
      </c>
      <c r="CM7">
        <f>IF(CH7&lt;2,-9999,CL7+2*MOD(INT(((CJ7+CK7))/2),2)+2*MOD(INT(((CJ7+CK7))/4),2)-CI7)</f>
        <v/>
      </c>
      <c r="DA7" t="n">
        <v>3</v>
      </c>
      <c r="DB7">
        <f>IF($B$37=0,"",IFERROR(TRIM(SUBSTITUTE(SUBSTITUTE(SUBSTITUTE(SUBSTITUTE(INDEX(PASTE_ALL,3,$B$37)," "," "),CHAR(9)," "),CHAR(10)," "),CHAR(13)," ")),""))</f>
        <v/>
      </c>
      <c r="DC7">
        <f>IF(AND(3&gt;HEADER_ROW,UPPER(DB7)="LEGEND"),1,0)</f>
        <v/>
      </c>
      <c r="DE7" t="n">
        <v>3</v>
      </c>
      <c r="DF7">
        <f>HEADER_ROW+$DE7</f>
        <v/>
      </c>
      <c r="DG7">
        <f>IF(AND($DF7&lt;=1000,$DF7&lt;$B$8),1,0)</f>
        <v/>
      </c>
      <c r="DH7">
        <f>IF($DG7=1,IFERROR(INDEX($DB$5:$DB$1004,$DF7),""),"")</f>
        <v/>
      </c>
      <c r="DI7">
        <f>IF(AND($DG7=1,$DH7&lt;&gt;""),IFERROR(SUBSTITUTE(SUBSTITUTE(TRIM(SUBSTITUTE(SUBSTITUTE(SUBSTITUTE(SUBSTITUTE(IFERROR(INDEX(PASTE_ALL,$DF7,1)&amp;"","")&amp;"␟"&amp;IFERROR(INDEX(PASTE_ALL,$DF7,2)&amp;"","")&amp;"␟"&amp;IFERROR(INDEX(PASTE_ALL,$DF7,3)&amp;"","")&amp;"␟"&amp;IFERROR(INDEX(PASTE_ALL,$DF7,4)&amp;"","")&amp;"␟"&amp;IFERROR(INDEX(PASTE_ALL,$DF7,5)&amp;"","")&amp;"␟"&amp;IFERROR(INDEX(PASTE_ALL,$DF7,6)&amp;"","")&amp;"␟"&amp;IFERROR(INDEX(PASTE_ALL,$DF7,7)&amp;"","")&amp;"␟"&amp;IFERROR(INDEX(PASTE_ALL,$DF7,8)&amp;"","")&amp;"␟"&amp;IFERROR(INDEX(PASTE_ALL,$DF7,9)&amp;"","")&amp;"␟"&amp;IFERROR(INDEX(PASTE_ALL,$DF7,10)&amp;"","")&amp;"␟"&amp;IFERROR(INDEX(PASTE_ALL,$DF7,11)&amp;"","")&amp;"␟"&amp;IFERROR(INDEX(PASTE_ALL,$DF7,12)&amp;"","")&amp;"␟"&amp;IFERROR(INDEX(PASTE_ALL,$DF7,13)&amp;"","")&amp;"␟"&amp;IFERROR(INDEX(PASTE_ALL,$DF7,14)&amp;"","")&amp;"␟"&amp;IFERROR(INDEX(PASTE_ALL,$DF7,15)&amp;"","")&amp;"␟"&amp;IFERROR(INDEX(PASTE_ALL,$DF7,16)&amp;"","")&amp;"␟"&amp;IFERROR(INDEX(PASTE_ALL,$DF7,17)&amp;"","")&amp;"␟"&amp;IFERROR(INDEX(PASTE_ALL,$DF7,18)&amp;"","")&amp;"␟"&amp;IFERROR(INDEX(PASTE_ALL,$DF7,19)&amp;"","")&amp;"␟"&amp;IFERROR(INDEX(PASTE_ALL,$DF7,20)&amp;"","")&amp;"␟"&amp;IFERROR(INDEX(PASTE_ALL,$DF7,21)&amp;"","")&amp;"␟"&amp;IFERROR(INDEX(PASTE_ALL,$DF7,22)&amp;"","")&amp;"␟"&amp;IFERROR(INDEX(PASTE_ALL,$DF7,23)&amp;"","")&amp;"␟"&amp;IFERROR(INDEX(PASTE_ALL,$DF7,24)&amp;"","")&amp;"␟"&amp;IFERROR(INDEX(PASTE_ALL,$DF7,25)&amp;"","")&amp;"␟"&amp;IFERROR(INDEX(PASTE_ALL,$DF7,26)&amp;"","")&amp;"␟"&amp;IFERROR(INDEX(PASTE_ALL,$DF7,27)&amp;"","")&amp;"␟"&amp;IFERROR(INDEX(PASTE_ALL,$DF7,28)&amp;"","")&amp;"␟"&amp;IFERROR(INDEX(PASTE_ALL,$DF7,29)&amp;"","")&amp;"␟"&amp;IFERROR(INDEX(PASTE_ALL,$DF7,30)&amp;"","")&amp;"␟"&amp;IFERROR(INDEX(PASTE_ALL,$DF7,31)&amp;"","")&amp;"␟"&amp;IFERROR(INDEX(PASTE_ALL,$DF7,32)&amp;"","")&amp;"␟"&amp;IFERROR(INDEX(PASTE_ALL,$DF7,33)&amp;"","")&amp;"␟"&amp;IFERROR(INDEX(PASTE_ALL,$DF7,34)&amp;"","")&amp;"␟"&amp;IFERROR(INDEX(PASTE_ALL,$DF7,35)&amp;"","")&amp;"␟"&amp;IFERROR(INDEX(PASTE_ALL,$DF7,36)&amp;"","")&amp;"␟"&amp;IFERROR(INDEX(PASTE_ALL,$DF7,37)&amp;"","")&amp;"␟"&amp;IFERROR(INDEX(PASTE_ALL,$DF7,38)&amp;"","")&amp;"␟"&amp;IFERROR(INDEX(PASTE_ALL,$DF7,39)&amp;"","")&amp;"␟"&amp;IFERROR(INDEX(PASTE_ALL,$DF7,40)&amp;"","")&amp;"␟"&amp;IFERROR(INDEX(PASTE_ALL,$DF7,41)&amp;"","")&amp;"␟"&amp;IFERROR(INDEX(PASTE_ALL,$DF7,42)&amp;"","")&amp;"␟"&amp;IFERROR(INDEX(PASTE_ALL,$DF7,43)&amp;"","")&amp;"␟"&amp;IFERROR(INDEX(PASTE_ALL,$DF7,44)&amp;"","")&amp;"␟"&amp;IFERROR(INDEX(PASTE_ALL,$DF7,45)&amp;"","")&amp;"␟"&amp;IFERROR(INDEX(PASTE_ALL,$DF7,46)&amp;"","")&amp;"␟"&amp;IFERROR(INDEX(PASTE_ALL,$DF7,47)&amp;"","")&amp;"␟"&amp;IFERROR(INDEX(PASTE_ALL,$DF7,48)&amp;"","")&amp;"␟"&amp;IFERROR(INDEX(PASTE_ALL,$DF7,49)&amp;"","")&amp;"␟"&amp;IFERROR(INDEX(PASTE_ALL,$DF7,50)&amp;"","")&amp;"␟"&amp;IFERROR(INDEX(PASTE_ALL,$DF7,51)&amp;"","")&amp;"␟"&amp;IFERROR(INDEX(PASTE_ALL,$DF7,52)&amp;"","")&amp;"␟"&amp;IFERROR(INDEX(PASTE_ALL,$DF7,53)&amp;"","")&amp;"␟"&amp;IFERROR(INDEX(PASTE_ALL,$DF7,54)&amp;"","")&amp;"␟"&amp;IFERROR(INDEX(PASTE_ALL,$DF7,55)&amp;"","")&amp;"␟"&amp;IFERROR(INDEX(PASTE_ALL,$DF7,56)&amp;"","")&amp;"␟"&amp;IFERROR(INDEX(PASTE_ALL,$DF7,57)&amp;"","")&amp;"␟"&amp;IFERROR(INDEX(PASTE_ALL,$DF7,58)&amp;"","")&amp;"␟"&amp;IFERROR(INDEX(PASTE_ALL,$DF7,59)&amp;"","")&amp;"␟"&amp;IFERROR(INDEX(PASTE_ALL,$DF7,60)&amp;"","")," "," "),CHAR(9)," "),CHAR(10)," "),CHAR(13)," "))," ␟","␟"),"␟ ","␟"),"#"&amp;$DE7),"")</f>
        <v/>
      </c>
      <c r="DJ7">
        <f>IF($DI7="",0,IF(SUMPRODUCT(--EXACT($DI$4:DI6,$DI7))&gt;0,1,0))</f>
        <v/>
      </c>
      <c r="DK7">
        <f>IF(AND($DI7&lt;&gt;"",$DJ7=0),1,0)</f>
        <v/>
      </c>
      <c r="DL7">
        <f>DL6+$DK7</f>
        <v/>
      </c>
      <c r="DM7">
        <f>IF(AND($DK7=1,$DL7&lt;=600),1,0)</f>
        <v/>
      </c>
      <c r="DN7">
        <f>IF($DM7=0,"",IF($L$6=0,"",IFERROR(IF(ISNUMBER(INDEX(PASTE_ALL,$DF7,$L$6)),INDEX(PASTE_ALL,$DF7,$L$6),TRIM(SUBSTITUTE(SUBSTITUTE(SUBSTITUTE(SUBSTITUTE(INDEX(PASTE_ALL,$DF7,$L$6)," "," "),CHAR(9)," "),CHAR(10)," "),CHAR(13)," "))),"")))</f>
        <v/>
      </c>
      <c r="DO7">
        <f>IF($DM7=0,"",IF($L$7=0,"",IFERROR(IF(ISNUMBER(INDEX(PASTE_ALL,$DF7,$L$7)),INDEX(PASTE_ALL,$DF7,$L$7),TRIM(SUBSTITUTE(SUBSTITUTE(SUBSTITUTE(SUBSTITUTE(INDEX(PASTE_ALL,$DF7,$L$7)," "," "),CHAR(9)," "),CHAR(10)," "),CHAR(13)," "))),"")))</f>
        <v/>
      </c>
      <c r="DP7">
        <f>IF($DM7=0,"",IF($L$8=0,"",IFERROR(IF(ISNUMBER(INDEX(PASTE_ALL,$DF7,$L$8)),INDEX(PASTE_ALL,$DF7,$L$8),TRIM(SUBSTITUTE(SUBSTITUTE(SUBSTITUTE(SUBSTITUTE(INDEX(PASTE_ALL,$DF7,$L$8)," "," "),CHAR(9)," "),CHAR(10)," "),CHAR(13)," "))),"")))</f>
        <v/>
      </c>
      <c r="DQ7">
        <f>IF($DM7=0,"",IF($L$9=0,"",IFERROR(IF(ISNUMBER(INDEX(PASTE_ALL,$DF7,$L$9)),INDEX(PASTE_ALL,$DF7,$L$9),TRIM(SUBSTITUTE(SUBSTITUTE(SUBSTITUTE(SUBSTITUTE(INDEX(PASTE_ALL,$DF7,$L$9)," "," "),CHAR(9)," "),CHAR(10)," "),CHAR(13)," "))),"")))</f>
        <v/>
      </c>
      <c r="DR7">
        <f>IF($DM7=0,"",IF($L$10=0,"",IFERROR(IF(ISNUMBER(INDEX(PASTE_ALL,$DF7,$L$10)),INDEX(PASTE_ALL,$DF7,$L$10),TRIM(SUBSTITUTE(SUBSTITUTE(SUBSTITUTE(SUBSTITUTE(INDEX(PASTE_ALL,$DF7,$L$10)," "," "),CHAR(9)," "),CHAR(10)," "),CHAR(13)," "))),"")))</f>
        <v/>
      </c>
      <c r="DS7">
        <f>IF($DM7=0,"",IF($L$11=0,"",IFERROR(IF(ISNUMBER(INDEX(PASTE_ALL,$DF7,$L$11)),INDEX(PASTE_ALL,$DF7,$L$11),TRIM(SUBSTITUTE(SUBSTITUTE(SUBSTITUTE(SUBSTITUTE(INDEX(PASTE_ALL,$DF7,$L$11)," "," "),CHAR(9)," "),CHAR(10)," "),CHAR(13)," "))),"")))</f>
        <v/>
      </c>
      <c r="DT7">
        <f>IF($DM7=0,"",IF($L$12=0,"",IFERROR(IF(ISNUMBER(INDEX(PASTE_ALL,$DF7,$L$12)),INDEX(PASTE_ALL,$DF7,$L$12),TRIM(SUBSTITUTE(SUBSTITUTE(SUBSTITUTE(SUBSTITUTE(INDEX(PASTE_ALL,$DF7,$L$12)," "," "),CHAR(9)," "),CHAR(10)," "),CHAR(13)," "))),"")))</f>
        <v/>
      </c>
      <c r="DU7">
        <f>IF($DM7=0,"",IF($L$13=0,"",IFERROR(IF(ISNUMBER(INDEX(PASTE_ALL,$DF7,$L$13)),INDEX(PASTE_ALL,$DF7,$L$13),TRIM(SUBSTITUTE(SUBSTITUTE(SUBSTITUTE(SUBSTITUTE(INDEX(PASTE_ALL,$DF7,$L$13)," "," "),CHAR(9)," "),CHAR(10)," "),CHAR(13)," "))),"")))</f>
        <v/>
      </c>
      <c r="DV7">
        <f>IF($DM7=0,"",IF($L$14=0,"",IFERROR(IF(ISNUMBER(INDEX(PASTE_ALL,$DF7,$L$14)),INDEX(PASTE_ALL,$DF7,$L$14),TRIM(SUBSTITUTE(SUBSTITUTE(SUBSTITUTE(SUBSTITUTE(INDEX(PASTE_ALL,$DF7,$L$14)," "," "),CHAR(9)," "),CHAR(10)," "),CHAR(13)," "))),"")))</f>
        <v/>
      </c>
      <c r="DW7">
        <f>IF($DM7=0,"",IF($L$15=0,"",IFERROR(IF(ISNUMBER(INDEX(PASTE_ALL,$DF7,$L$15)),INDEX(PASTE_ALL,$DF7,$L$15),IF(SUMPRODUCT(--ISNUMBER(FIND({"A","B","C","D","E","F","G","H","I","J","K","L","M","N","O","P","Q","R","S","T","U","V","W","X","Y","Z","0","1","2","3","4","5","6","7","8","9"},UPPER(TRIM(SUBSTITUTE(SUBSTITUTE(SUBSTITUTE(SUBSTITUTE(INDEX(PASTE_ALL,$DF7,$L$15)," "," "),CHAR(9)," "),CHAR(10)," "),CHAR(13)," "))))))&gt;0,TRIM(SUBSTITUTE(SUBSTITUTE(SUBSTITUTE(SUBSTITUTE(INDEX(PASTE_ALL,$DF7,$L$15)," "," "),CHAR(9)," "),CHAR(10)," "),CHAR(13)," ")),"")),"")))</f>
        <v/>
      </c>
      <c r="DX7">
        <f>IF($DM7=0,"",IF($L$16=0,"",IFERROR(IF(ISNUMBER(INDEX(PASTE_ALL,$DF7,$L$16)),INDEX(PASTE_ALL,$DF7,$L$16),SUBSTITUTE(SUBSTITUTE(TRIM(SUBSTITUTE(SUBSTITUTE(SUBSTITUTE(SUBSTITUTE(INDEX(PASTE_ALL,$DF7,$L$16)," "," "),CHAR(9)," "),CHAR(10)," "),CHAR(13)," ")),",",""),"%","")),"")))</f>
        <v/>
      </c>
      <c r="DY7">
        <f>IF($DM7=0,"",IFERROR(IF(ISNUMBER($DX7),$DX7,IF($DX7="","",IF(TRIM($DX7)="",0,IF(AND(AND(SUBSTITUTE(SUBSTITUTE(SUBSTITUTE(SUBSTITUTE(SUBSTITUTE(SUBSTITUTE(SUBSTITUTE(SUBSTITUTE(SUBSTITUTE(SUBSTITUTE(SUBSTITUTE(SUBSTITUTE(SUBSTITUTE(SUBSTITUTE(UPPER(TRIM($DX7)),"0",""),"1",""),"2",""),"3",""),"4",""),"5",""),"6",""),"7",""),"8",""),"9",""),".",""),"+",""),"-",""),"E","")="",LEN(SUBSTITUTE(SUBSTITUTE(MID(UPPER(TRIM($DX7)),1+OR(LEFT(UPPER(TRIM($DX7)),1)="+",LEFT(UPPER(TRIM($DX7)),1)="-"),999),"E+","E"),"E-","E"))=LEN(SUBSTITUTE(SUBSTITUTE(SUBSTITUTE(SUBSTITUTE(MID(UPPER(TRIM($DX7)),1+OR(LEFT(UPPER(TRIM($DX7)),1)="+",LEFT(UPPER(TRIM($DX7)),1)="-"),999),"E+","E"),"E-","E"),"+",""),"-","")),LEN(UPPER(TRIM($DX7)))-LEN(SUBSTITUTE(UPPER(TRIM($DX7)),"E",""))&lt;2,LEN(UPPER(TRIM($DX7)))-LEN(SUBSTITUTE(UPPER(TRIM($DX7)),".",""))&lt;2,IFERROR(FIND(".",UPPER(TRIM($DX7))),0)&lt;IFERROR(FIND("E",UPPER(TRIM($DX7))),999)),ISNUMBER(VALUE(TRIM($DX7)))),VALUE(TRIM($DX7)),"")))),""))</f>
        <v/>
      </c>
      <c r="DZ7">
        <f>IF($DM7=0,"",IF($L$17=0,"",IFERROR(IF(ISNUMBER(INDEX(PASTE_ALL,$DF7,$L$17)),INDEX(PASTE_ALL,$DF7,$L$17),SUBSTITUTE(SUBSTITUTE(TRIM(SUBSTITUTE(SUBSTITUTE(SUBSTITUTE(SUBSTITUTE(INDEX(PASTE_ALL,$DF7,$L$17)," "," "),CHAR(9)," "),CHAR(10)," "),CHAR(13)," ")),",",""),"%","")),"")))</f>
        <v/>
      </c>
      <c r="EA7">
        <f>IF($DM7=0,"",IFERROR(IF(ISNUMBER($DZ7),$DZ7,IF($DZ7="","",IF(TRIM($DZ7)="",0,IF(AND(AND(SUBSTITUTE(SUBSTITUTE(SUBSTITUTE(SUBSTITUTE(SUBSTITUTE(SUBSTITUTE(SUBSTITUTE(SUBSTITUTE(SUBSTITUTE(SUBSTITUTE(SUBSTITUTE(SUBSTITUTE(SUBSTITUTE(SUBSTITUTE(UPPER(TRIM($DZ7)),"0",""),"1",""),"2",""),"3",""),"4",""),"5",""),"6",""),"7",""),"8",""),"9",""),".",""),"+",""),"-",""),"E","")="",LEN(SUBSTITUTE(SUBSTITUTE(MID(UPPER(TRIM($DZ7)),1+OR(LEFT(UPPER(TRIM($DZ7)),1)="+",LEFT(UPPER(TRIM($DZ7)),1)="-"),999),"E+","E"),"E-","E"))=LEN(SUBSTITUTE(SUBSTITUTE(SUBSTITUTE(SUBSTITUTE(MID(UPPER(TRIM($DZ7)),1+OR(LEFT(UPPER(TRIM($DZ7)),1)="+",LEFT(UPPER(TRIM($DZ7)),1)="-"),999),"E+","E"),"E-","E"),"+",""),"-","")),LEN(UPPER(TRIM($DZ7)))-LEN(SUBSTITUTE(UPPER(TRIM($DZ7)),"E",""))&lt;2,LEN(UPPER(TRIM($DZ7)))-LEN(SUBSTITUTE(UPPER(TRIM($DZ7)),".",""))&lt;2,IFERROR(FIND(".",UPPER(TRIM($DZ7))),0)&lt;IFERROR(FIND("E",UPPER(TRIM($DZ7))),999)),ISNUMBER(VALUE(TRIM($DZ7)))),VALUE(TRIM($DZ7)),"")))),""))</f>
        <v/>
      </c>
      <c r="EB7">
        <f>IF($DM7=0,"",IF($L$18=0,"",IFERROR(IF(UPPER(TRIM(SUBSTITUTE(SUBSTITUTE(SUBSTITUTE(SUBSTITUTE(INDEX(PASTE_ALL,$DF7,$L$18)," "," "),CHAR(9)," "),CHAR(10)," "),CHAR(13)," ")))="READY","Ready",IF(UPPER(TRIM(SUBSTITUTE(SUBSTITUTE(SUBSTITUTE(SUBSTITUTE(INDEX(PASTE_ALL,$DF7,$L$18)," "," "),CHAR(9)," "),CHAR(10)," "),CHAR(13)," ")))="PM","PM",IF(OR(UPPER(TRIM(SUBSTITUTE(SUBSTITUTE(SUBSTITUTE(SUBSTITUTE(INDEX(PASTE_ALL,$DF7,$L$18)," "," "),CHAR(9)," "),CHAR(10)," "),CHAR(13)," ")))="OT",UPPER(TRIM(SUBSTITUTE(SUBSTITUTE(SUBSTITUTE(SUBSTITUTE(INDEX(PASTE_ALL,$DF7,$L$18)," "," "),CHAR(9)," "),CHAR(10)," "),CHAR(13)," ")))="OVERTIME",UPPER(TRIM(SUBSTITUTE(SUBSTITUTE(SUBSTITUTE(SUBSTITUTE(INDEX(PASTE_ALL,$DF7,$L$18)," "," "),CHAR(9)," "),CHAR(10)," "),CHAR(13)," ")))="TRIAL"),"OT",TRIM(SUBSTITUTE(SUBSTITUTE(SUBSTITUTE(SUBSTITUTE(INDEX(PASTE_ALL,$DF7,$L$18)," "," "),CHAR(9)," "),CHAR(10)," "),CHAR(13)," "))))),"")))</f>
        <v/>
      </c>
      <c r="EC7">
        <f>IF($DM7=0,"",IF($L$19=0,"",IFERROR(IF(ISNUMBER(INDEX(PASTE_ALL,$DF7,$L$19)),INDEX(PASTE_ALL,$DF7,$L$19),TRIM(SUBSTITUTE(SUBSTITUTE(SUBSTITUTE(SUBSTITUTE(INDEX(PASTE_ALL,$DF7,$L$19)," "," "),CHAR(9)," "),CHAR(10)," "),CHAR(13)," "))),"")))</f>
        <v/>
      </c>
      <c r="ED7">
        <f>IF($DM7=0,"",MATCH(1,INDEX(EXACT($DH$5:DH7,$DH7)*$DM$5:DM7,0),0))</f>
        <v/>
      </c>
      <c r="EE7">
        <f>IF($DM7=0,0,IF($ED7=$DE7,1,0))</f>
        <v/>
      </c>
      <c r="EF7">
        <f>EF6+$EE7</f>
        <v/>
      </c>
      <c r="EG7">
        <f>IF($DM7=0,"",INDEX($EF$5:$EF$1003,$ED7))</f>
        <v/>
      </c>
      <c r="EH7">
        <f>IF($DM7=0,"",IF($DO7&lt;&gt;"","",IFERROR(LOOKUP(2,1/(($EG$4:EG6=$EG7)*($DO$4:DO6&lt;&gt;"")),$DO$4:DO6),"")))</f>
        <v/>
      </c>
      <c r="EI7">
        <f>IF($DM7=0,"",IF($DO7&lt;&gt;"",$DO7,$EH7))</f>
        <v/>
      </c>
      <c r="EJ7">
        <f>IF($DM7=0,"",IF($EI7="",0,IF(OR(ISNUMBER($EI7),AND(AND(SUBSTITUTE(SUBSTITUTE(SUBSTITUTE(SUBSTITUTE(SUBSTITUTE(SUBSTITUTE(SUBSTITUTE(SUBSTITUTE(SUBSTITUTE(SUBSTITUTE(SUBSTITUTE(SUBSTITUTE(SUBSTITUTE(SUBSTITUTE(UPPER($EI7),"0",""),"1",""),"2",""),"3",""),"4",""),"5",""),"6",""),"7",""),"8",""),"9",""),".",""),"+",""),"-",""),"E","")="",LEN(SUBSTITUTE(SUBSTITUTE(MID(UPPER($EI7),1+OR(LEFT(UPPER($EI7),1)="+",LEFT(UPPER($EI7),1)="-"),999),"E+","E"),"E-","E"))=LEN(SUBSTITUTE(SUBSTITUTE(SUBSTITUTE(SUBSTITUTE(MID(UPPER($EI7),1+OR(LEFT(UPPER($EI7),1)="+",LEFT(UPPER($EI7),1)="-"),999),"E+","E"),"E-","E"),"+",""),"-","")),LEN(UPPER($EI7))-LEN(SUBSTITUTE(UPPER($EI7),"E",""))&lt;2,LEN(UPPER($EI7))-LEN(SUBSTITUTE(UPPER($EI7),".",""))&lt;2,IFERROR(FIND(".",UPPER($EI7)),0)&lt;IFERROR(FIND("E",UPPER($EI7)),999)),ISNUMBER(VALUE($EI7)))),1,2)))</f>
        <v/>
      </c>
      <c r="EK7">
        <f>IF($DM7=0,"",IF($EJ7=1,IF(ISNUMBER($EI7),$EI7,VALUE($EI7)),IF($EJ7=2,$DE7,0)))</f>
        <v/>
      </c>
      <c r="EL7">
        <f>IF($DM7=0,"",COUNTIF($EG$5:$EG$1003,"&lt;"&amp;$EG7)+SUMPRODUCT(($EG$5:$EG$1003=$EG7)*(($EJ$5:$EJ$1003&lt;$EJ7)+($EJ$5:$EJ$1003=$EJ7)*(($EK$5:$EK$1003&lt;$EK7)+($EK$5:$EK$1003=$EK7)*($DE$5:$DE$1003&lt;$DE7))))+1)</f>
        <v/>
      </c>
      <c r="EM7">
        <f>IF($DM7=0,"",$EL7+$EG7-1)</f>
        <v/>
      </c>
      <c r="EN7">
        <f>IF($DM7=0,0,IFERROR(MATCH(1,INDEX(--(TRIM(SUBSTITUTE(SUBSTITUTE(SUBSTITUTE(SUBSTITUTE(LINES_NAME&amp;""," "," "),CHAR(9)," "),CHAR(10)," "),CHAR(13)," "))=$DH7),0),0),0))</f>
        <v/>
      </c>
      <c r="EO7">
        <f>IF($EN7=0,0,IF(OR(UPPER(TRIM(INDEX(LINES_SCHEDULED,$EN7)&amp;""))="YES",UPPER(TRIM(INDEX(LINES_SCHEDULED,$EN7)&amp;""))="Y",UPPER(TRIM(INDEX(LINES_SCHEDULED,$EN7)&amp;""))="X"),1,0))</f>
        <v/>
      </c>
      <c r="EP7">
        <f>IF($DM7=0,"",IF(COUNTIFS($EG$5:$EG$1003,$EG7,$EB$5:$EB$1003,"Ready")&gt;0,"READY",IF(COUNTIFS($EG$5:$EG$1003,$EG7,$EB$5:$EB$1003,"PM")&gt;0,"PM",IF(COUNTIFS($EG$5:$EG$1003,$EG7,$EB$5:$EB$1003,"OT")&gt;0,"OT",""))))</f>
        <v/>
      </c>
      <c r="EQ7">
        <f>IF($EN7=0,"",UPPER(TRIM(INDEX(LINES_STATUS,$EN7)&amp;"")))</f>
        <v/>
      </c>
      <c r="ER7">
        <f>IF($DM7=0,"",IF(OR($EQ7="READY",$EQ7="PM",$EQ7="OT"),$EQ7,$EP7))</f>
        <v/>
      </c>
      <c r="ES7">
        <f>IF($DM7=0,"",IF(AND($DV7&lt;&gt;"",UPPER($DV7)&lt;&gt;"N"),"allergen",IF(ISNUMBER(SEARCH("oil",$DQ7)),"oil",IF(OR(EXACT($DS7,"A662"),EXACT($DS7,"A624")),"bulk",""))))</f>
        <v/>
      </c>
      <c r="ET7">
        <f>IF($DM7=0,"",IF(OR($EA7="",$EA7=0),"",$EA7/100))</f>
        <v/>
      </c>
      <c r="EU7">
        <f>IF(OR($ET7="",$DY7=""),"",INT($DY7*(1-$ET7)+0.5))</f>
        <v/>
      </c>
      <c r="EW7" t="n">
        <v>3</v>
      </c>
      <c r="EX7">
        <f>IFERROR(MATCH($EW7,$EM$5:$EM$1003,0),0)</f>
        <v/>
      </c>
      <c r="EY7">
        <f>IF($EW7&gt;$B$12,"",IF($EX7&gt;0,"row","spacer"))</f>
        <v/>
      </c>
      <c r="EZ7">
        <f>IF(AND($EY7="row",$EY6&lt;&gt;"row"),1,0)</f>
        <v/>
      </c>
      <c r="FA7">
        <f>IF(AND($EY7="row",$EY8&lt;&gt;"row"),1,0)</f>
        <v/>
      </c>
      <c r="FB7">
        <f>IF($EZ7=1,IFERROR(IF(ISNUMBER(INDEX(PASTE_ALL,INDEX($DF$5:$DF$1003,$EX7),$B$37)),INDEX(PASTE_ALL,INDEX($DF$5:$DF$1003,$EX7),$B$37),INDEX($DH$5:$DH$1003,$EX7)),INDEX($DH$5:$DH$1003,$EX7)),"")</f>
        <v/>
      </c>
      <c r="FC7">
        <f>IF($EY7="row",INDEX($ER$5:$ER$1003,$EX7),"")</f>
        <v/>
      </c>
      <c r="FD7">
        <f>IF($EY7="row",INDEX($DN$5:$DN$1003,$EX7),"")</f>
        <v/>
      </c>
      <c r="FE7">
        <f>IF($EY7="row",INDEX($DO$5:$DO$1003,$EX7),"")</f>
        <v/>
      </c>
      <c r="FF7">
        <f>IF($EY7="row",INDEX($DP$5:$DP$1003,$EX7),"")</f>
        <v/>
      </c>
      <c r="FG7">
        <f>IF($EY7="row",INDEX($DQ$5:$DQ$1003,$EX7),"")</f>
        <v/>
      </c>
      <c r="FH7">
        <f>IF($EY7="row",INDEX($DR$5:$DR$1003,$EX7),"")</f>
        <v/>
      </c>
      <c r="FI7">
        <f>IF($EY7="row",INDEX($DS$5:$DS$1003,$EX7),"")</f>
        <v/>
      </c>
      <c r="FJ7">
        <f>IF($EY7="row",INDEX($DT$5:$DT$1003,$EX7),"")</f>
        <v/>
      </c>
      <c r="FK7">
        <f>IF($EY7="row",INDEX($DU$5:$DU$1003,$EX7),"")</f>
        <v/>
      </c>
      <c r="FL7">
        <f>IF($EY7="row",INDEX($DV$5:$DV$1003,$EX7),"")</f>
        <v/>
      </c>
      <c r="FM7">
        <f>IF($EY7="row",INDEX($DW$5:$DW$1003,$EX7),"")</f>
        <v/>
      </c>
      <c r="FN7">
        <f>IF($EY7="row",INDEX($DY$5:$DY$1003,$EX7),"")</f>
        <v/>
      </c>
      <c r="FO7">
        <f>IF($EY7="row",INDEX($EA$5:$EA$1003,$EX7),"")</f>
        <v/>
      </c>
      <c r="FP7">
        <f>IF($EY7="row",INDEX($EC$5:$EC$1003,$EX7),"")</f>
        <v/>
      </c>
      <c r="FQ7">
        <f>IF($EY7="row",INDEX($ET$5:$ET$1003,$EX7),"")</f>
        <v/>
      </c>
      <c r="FR7">
        <f>IF($EY7="row",INDEX($EU$5:$EU$1003,$EX7),"")</f>
        <v/>
      </c>
      <c r="FS7">
        <f>IF(AND($EY7="row",$EY6="row"),IF(OR(INDEX($DT$5:$DT$1003,$EX6)="",INDEX($DT$5:$DT$1003,$EX7)=""),"",IF(NOT(EXACT(INDEX($DT$5:$DT$1003,$EX6),INDEX($DT$5:$DT$1003,$EX7))),"S4",IF(NOT(EXACT(INDEX($DS$5:$DS$1003,$EX6),INDEX($DS$5:$DS$1003,$EX7))),"S3",IF(NOT(EXACT(INDEX($DR$5:$DR$1003,$EX6),INDEX($DR$5:$DR$1003,$EX7))),"S1 Count Change","S1")))),"")</f>
        <v/>
      </c>
      <c r="FT7">
        <f>IF($EY7="row",INDEX($ES$5:$ES$1003,$EX7),"")</f>
        <v/>
      </c>
      <c r="FU7">
        <f>IF($EY7="row",INDEX($EO$5:$EO$1003,$EX7),0)</f>
        <v/>
      </c>
      <c r="FV7">
        <f>IF($FS7="S1 Count Change",1,0)</f>
        <v/>
      </c>
      <c r="FX7" t="n">
        <v>3</v>
      </c>
      <c r="FY7">
        <f>IFERROR(MATCH($FX7,$EF$5:$EF$1003,0),0)</f>
        <v/>
      </c>
      <c r="FZ7">
        <f>IF($FY7=0,"",INDEX($DH$5:$DH$1003,$FY7))</f>
        <v/>
      </c>
      <c r="GA7">
        <f>IF($FY7=0,"",COUNTIF($EG$5:$EG$1003,$FX7))</f>
        <v/>
      </c>
      <c r="GB7">
        <f>IF($FY7=0,"",INDEX($ER$5:$ER$1003,$FY7))</f>
        <v/>
      </c>
      <c r="GC7">
        <f>IF($FY7=0,"",IF(INDEX($EO$5:$EO$1003,$FY7)=1,"Yes",""))</f>
        <v/>
      </c>
      <c r="GD7">
        <f>IF($FY7=0,"",IF(INDEX($EN$5:$EN$1003,$FY7)&gt;0,"","NOT IN YOUR LIST - type it in column A to tick it"))</f>
        <v/>
      </c>
      <c r="GE7">
        <f>IF(AND($FY7&gt;0,$GD7&lt;&gt;""),1,0)</f>
        <v/>
      </c>
      <c r="GF7">
        <f>GF6+$GE7</f>
        <v/>
      </c>
      <c r="GG7">
        <f>IFERROR(INDEX($FZ$5:$FZ$104,MATCH($FX7,$GF$5:$GF$104,0)),"")</f>
        <v/>
      </c>
    </row>
    <row r="8">
      <c r="A8" t="inlineStr">
        <is>
          <t>LEGEND row (1001 = none)</t>
        </is>
      </c>
      <c r="B8">
        <f>IFERROR(MATCH(1,$DC$5:$DC$1004,0),1001)</f>
        <v/>
      </c>
      <c r="D8" t="n">
        <v>4</v>
      </c>
      <c r="E8" t="inlineStr">
        <is>
          <t>item</t>
        </is>
      </c>
      <c r="F8" t="inlineStr">
        <is>
          <t>Item</t>
        </is>
      </c>
      <c r="G8" t="n">
        <v>16</v>
      </c>
      <c r="H8">
        <f>IFERROR(UPPER(TRIM('2. Check Columns'!$F$16&amp;"")),"#")</f>
        <v/>
      </c>
      <c r="I8">
        <f>IF(H8="",0,IF(OR(H8="-",H8="NONE"),-1,IFERROR(MATCH(1,INDEX(--EXACT($T$5:$T$64,H8),0),0),-2)))</f>
        <v/>
      </c>
      <c r="J8">
        <f>IF(I8&lt;=0,IF(I8=-1,-1,0),IF(COUNTIF($I$5:I7,I8)&gt;0,0,I8))</f>
        <v/>
      </c>
      <c r="K8">
        <f>IFERROR(MATCH(4,$Y$235:$CF$235,0),0)</f>
        <v/>
      </c>
      <c r="L8">
        <f>IFERROR(MATCH(4,$Y$239:$CF$239,0),0)</f>
        <v/>
      </c>
      <c r="M8">
        <f>IF(K8=0,"(not found)",INDEX($T$5:$T$64,K8))</f>
        <v/>
      </c>
      <c r="N8">
        <f>IF(L8=0,IF(J8=-1,"(left out)","(none)"),INDEX($T$5:$T$64,L8))</f>
        <v/>
      </c>
      <c r="O8">
        <f>IF(L8=0,"",IFERROR(TRIM(SUBSTITUTE(SUBSTITUTE(SUBSTITUTE(SUBSTITUTE(INDEX(PASTE_ALL,HEADER_ROW,L8)&amp;""," "," "),CHAR(9)," "),CHAR(10)," "),CHAR(13)," ")),""))</f>
        <v/>
      </c>
      <c r="P8">
        <f>IF(OR(L8=0,$B$16=0),"",IFERROR(IF(ISNUMBER(INDEX(PASTE_ALL,$B$16,L8)),INDEX(PASTE_ALL,$B$16,L8),TRIM(SUBSTITUTE(SUBSTITUTE(SUBSTITUTE(SUBSTITUTE(INDEX(PASTE_ALL,$B$16,L8)&amp;""," "," "),CHAR(9)," "),CHAR(10)," "),CHAR(13)," "))),""))</f>
        <v/>
      </c>
      <c r="Q8">
        <f>IF(I8=-2,"'"&amp;H8&amp;"' is not a column letter from A to BH - ignored",IF(AND(I8&gt;0,J8=0),"Column "&amp;H8&amp;" is already used by "&amp;INDEX($F$5:$F$19,MATCH(I8,$I$5:$I$19,0))&amp;" - ignored",IF(AND(J8=0,K8&gt;0,COUNTIF($J$5:$J$19,K8)&gt;0),"Column "&amp;M8&amp;" is used by "&amp;INDEX($F$5:$F$19,MATCH(K8,$J$5:$J$19,0))&amp;" (Override)"&amp;IF(L8&gt;0," - using column "&amp;N8&amp;" instead"," - not used"),IF(AND(J8&gt;0,K8&gt;0,J8&lt;&gt;K8),"Override in use - this file's own title for it is in column "&amp;M8&amp;" ("&amp;IFERROR(TRIM(SUBSTITUTE(SUBSTITUTE(SUBSTITUTE(SUBSTITUTE(INDEX(PASTE_ALL,HEADER_ROW,K8)&amp;""," "," "),CHAR(9)," "),CHAR(10)," "),CHAR(13)," ")),"")&amp;"). Clear the Override if that is right.",IF(AND(J8=-1,K8&gt;0),"Left out by the Override - this file has it in column "&amp;M8&amp;" ("&amp;IFERROR(TRIM(SUBSTITUTE(SUBSTITUTE(SUBSTITUTE(SUBSTITUTE(INDEX(PASTE_ALL,HEADER_ROW,K8)&amp;""," "," "),CHAR(9)," "),CHAR(10)," "),CHAR(13)," ")),"")&amp;").","")))))</f>
        <v/>
      </c>
      <c r="R8">
        <f>IF(OR(AND(J8&gt;0,K8&gt;0,J8&lt;&gt;K8),AND(J8=-1,K8&gt;0),AND(J8=0,K8&gt;0,COUNTIF($J$5:$J$19,K8)&gt;0)),1,0)</f>
        <v/>
      </c>
      <c r="S8" t="n">
        <v>4</v>
      </c>
      <c r="T8" t="inlineStr">
        <is>
          <t>D</t>
        </is>
      </c>
      <c r="V8" t="inlineStr">
        <is>
          <t>LINENUMBER</t>
        </is>
      </c>
      <c r="W8" t="n">
        <v>1</v>
      </c>
      <c r="Y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 ",""),"!",""),CHAR(34),""),"#",""),"$",""),"%",""),"&amp;",""),"'",""),"(",""),")",""),"*",""),"+",""),",",""),"-",""),".",""),"/",""),":",""),";",""),"&lt;",""),"=",""),"&gt;",""),"?",""),"@",""),"[",""),"\",""),"]",""),"^",""),"_",""),"`",""),"{",""),"|",""),"}",""),"~",""),CHAR(9),""),CHAR(10),""),CHAR(13),"")," ",""),"")</f>
        <v/>
      </c>
      <c r="Z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 ",""),"!",""),CHAR(34),""),"#",""),"$",""),"%",""),"&amp;",""),"'",""),"(",""),")",""),"*",""),"+",""),",",""),"-",""),".",""),"/",""),":",""),";",""),"&lt;",""),"=",""),"&gt;",""),"?",""),"@",""),"[",""),"\",""),"]",""),"^",""),"_",""),"`",""),"{",""),"|",""),"}",""),"~",""),CHAR(9),""),CHAR(10),""),CHAR(13),"")," ",""),"")</f>
        <v/>
      </c>
      <c r="AA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 ",""),"!",""),CHAR(34),""),"#",""),"$",""),"%",""),"&amp;",""),"'",""),"(",""),")",""),"*",""),"+",""),",",""),"-",""),".",""),"/",""),":",""),";",""),"&lt;",""),"=",""),"&gt;",""),"?",""),"@",""),"[",""),"\",""),"]",""),"^",""),"_",""),"`",""),"{",""),"|",""),"}",""),"~",""),CHAR(9),""),CHAR(10),""),CHAR(13),"")," ",""),"")</f>
        <v/>
      </c>
      <c r="AB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 ",""),"!",""),CHAR(34),""),"#",""),"$",""),"%",""),"&amp;",""),"'",""),"(",""),")",""),"*",""),"+",""),",",""),"-",""),".",""),"/",""),":",""),";",""),"&lt;",""),"=",""),"&gt;",""),"?",""),"@",""),"[",""),"\",""),"]",""),"^",""),"_",""),"`",""),"{",""),"|",""),"}",""),"~",""),CHAR(9),""),CHAR(10),""),CHAR(13),"")," ",""),"")</f>
        <v/>
      </c>
      <c r="AC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 ",""),"!",""),CHAR(34),""),"#",""),"$",""),"%",""),"&amp;",""),"'",""),"(",""),")",""),"*",""),"+",""),",",""),"-",""),".",""),"/",""),":",""),";",""),"&lt;",""),"=",""),"&gt;",""),"?",""),"@",""),"[",""),"\",""),"]",""),"^",""),"_",""),"`",""),"{",""),"|",""),"}",""),"~",""),CHAR(9),""),CHAR(10),""),CHAR(13),"")," ",""),"")</f>
        <v/>
      </c>
      <c r="AD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4,6))," ",""),"!",""),CHAR(34),""),"#",""),"$",""),"%",""),"&amp;",""),"'",""),"(",""),")",""),"*",""),"+",""),",",""),"-",""),".",""),"/",""),":",""),";",""),"&lt;",""),"=",""),"&gt;",""),"?",""),"@",""),"[",""),"\",""),"]",""),"^",""),"_",""),"`",""),"{",""),"|",""),"}",""),"~",""),CHAR(9),""),CHAR(10),""),CHAR(13),"")," ",""),"")</f>
        <v/>
      </c>
      <c r="AE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4,7))," ",""),"!",""),CHAR(34),""),"#",""),"$",""),"%",""),"&amp;",""),"'",""),"(",""),")",""),"*",""),"+",""),",",""),"-",""),".",""),"/",""),":",""),";",""),"&lt;",""),"=",""),"&gt;",""),"?",""),"@",""),"[",""),"\",""),"]",""),"^",""),"_",""),"`",""),"{",""),"|",""),"}",""),"~",""),CHAR(9),""),CHAR(10),""),CHAR(13),"")," ",""),"")</f>
        <v/>
      </c>
      <c r="AF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4,8))," ",""),"!",""),CHAR(34),""),"#",""),"$",""),"%",""),"&amp;",""),"'",""),"(",""),")",""),"*",""),"+",""),",",""),"-",""),".",""),"/",""),":",""),";",""),"&lt;",""),"=",""),"&gt;",""),"?",""),"@",""),"[",""),"\",""),"]",""),"^",""),"_",""),"`",""),"{",""),"|",""),"}",""),"~",""),CHAR(9),""),CHAR(10),""),CHAR(13),"")," ",""),"")</f>
        <v/>
      </c>
      <c r="AG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4,9))," ",""),"!",""),CHAR(34),""),"#",""),"$",""),"%",""),"&amp;",""),"'",""),"(",""),")",""),"*",""),"+",""),",",""),"-",""),".",""),"/",""),":",""),";",""),"&lt;",""),"=",""),"&gt;",""),"?",""),"@",""),"[",""),"\",""),"]",""),"^",""),"_",""),"`",""),"{",""),"|",""),"}",""),"~",""),CHAR(9),""),CHAR(10),""),CHAR(13),"")," ",""),"")</f>
        <v/>
      </c>
      <c r="AH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4,10))," ",""),"!",""),CHAR(34),""),"#",""),"$",""),"%",""),"&amp;",""),"'",""),"(",""),")",""),"*",""),"+",""),",",""),"-",""),".",""),"/",""),":",""),";",""),"&lt;",""),"=",""),"&gt;",""),"?",""),"@",""),"[",""),"\",""),"]",""),"^",""),"_",""),"`",""),"{",""),"|",""),"}",""),"~",""),CHAR(9),""),CHAR(10),""),CHAR(13),"")," ",""),"")</f>
        <v/>
      </c>
      <c r="AI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4,11))," ",""),"!",""),CHAR(34),""),"#",""),"$",""),"%",""),"&amp;",""),"'",""),"(",""),")",""),"*",""),"+",""),",",""),"-",""),".",""),"/",""),":",""),";",""),"&lt;",""),"=",""),"&gt;",""),"?",""),"@",""),"[",""),"\",""),"]",""),"^",""),"_",""),"`",""),"{",""),"|",""),"}",""),"~",""),CHAR(9),""),CHAR(10),""),CHAR(13),"")," ",""),"")</f>
        <v/>
      </c>
      <c r="AJ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4,12))," ",""),"!",""),CHAR(34),""),"#",""),"$",""),"%",""),"&amp;",""),"'",""),"(",""),")",""),"*",""),"+",""),",",""),"-",""),".",""),"/",""),":",""),";",""),"&lt;",""),"=",""),"&gt;",""),"?",""),"@",""),"[",""),"\",""),"]",""),"^",""),"_",""),"`",""),"{",""),"|",""),"}",""),"~",""),CHAR(9),""),CHAR(10),""),CHAR(13),"")," ",""),"")</f>
        <v/>
      </c>
      <c r="AK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4,13))," ",""),"!",""),CHAR(34),""),"#",""),"$",""),"%",""),"&amp;",""),"'",""),"(",""),")",""),"*",""),"+",""),",",""),"-",""),".",""),"/",""),":",""),";",""),"&lt;",""),"=",""),"&gt;",""),"?",""),"@",""),"[",""),"\",""),"]",""),"^",""),"_",""),"`",""),"{",""),"|",""),"}",""),"~",""),CHAR(9),""),CHAR(10),""),CHAR(13),"")," ",""),"")</f>
        <v/>
      </c>
      <c r="AL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4,14))," ",""),"!",""),CHAR(34),""),"#",""),"$",""),"%",""),"&amp;",""),"'",""),"(",""),")",""),"*",""),"+",""),",",""),"-",""),".",""),"/",""),":",""),";",""),"&lt;",""),"=",""),"&gt;",""),"?",""),"@",""),"[",""),"\",""),"]",""),"^",""),"_",""),"`",""),"{",""),"|",""),"}",""),"~",""),CHAR(9),""),CHAR(10),""),CHAR(13),"")," ",""),"")</f>
        <v/>
      </c>
      <c r="AM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4,15))," ",""),"!",""),CHAR(34),""),"#",""),"$",""),"%",""),"&amp;",""),"'",""),"(",""),")",""),"*",""),"+",""),",",""),"-",""),".",""),"/",""),":",""),";",""),"&lt;",""),"=",""),"&gt;",""),"?",""),"@",""),"[",""),"\",""),"]",""),"^",""),"_",""),"`",""),"{",""),"|",""),"}",""),"~",""),CHAR(9),""),CHAR(10),""),CHAR(13),"")," ",""),"")</f>
        <v/>
      </c>
      <c r="AN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4,16))," ",""),"!",""),CHAR(34),""),"#",""),"$",""),"%",""),"&amp;",""),"'",""),"(",""),")",""),"*",""),"+",""),",",""),"-",""),".",""),"/",""),":",""),";",""),"&lt;",""),"=",""),"&gt;",""),"?",""),"@",""),"[",""),"\",""),"]",""),"^",""),"_",""),"`",""),"{",""),"|",""),"}",""),"~",""),CHAR(9),""),CHAR(10),""),CHAR(13),"")," ",""),"")</f>
        <v/>
      </c>
      <c r="AO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4,17))," ",""),"!",""),CHAR(34),""),"#",""),"$",""),"%",""),"&amp;",""),"'",""),"(",""),")",""),"*",""),"+",""),",",""),"-",""),".",""),"/",""),":",""),";",""),"&lt;",""),"=",""),"&gt;",""),"?",""),"@",""),"[",""),"\",""),"]",""),"^",""),"_",""),"`",""),"{",""),"|",""),"}",""),"~",""),CHAR(9),""),CHAR(10),""),CHAR(13),"")," ",""),"")</f>
        <v/>
      </c>
      <c r="AP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4,18))," ",""),"!",""),CHAR(34),""),"#",""),"$",""),"%",""),"&amp;",""),"'",""),"(",""),")",""),"*",""),"+",""),",",""),"-",""),".",""),"/",""),":",""),";",""),"&lt;",""),"=",""),"&gt;",""),"?",""),"@",""),"[",""),"\",""),"]",""),"^",""),"_",""),"`",""),"{",""),"|",""),"}",""),"~",""),CHAR(9),""),CHAR(10),""),CHAR(13),"")," ",""),"")</f>
        <v/>
      </c>
      <c r="AQ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4,19))," ",""),"!",""),CHAR(34),""),"#",""),"$",""),"%",""),"&amp;",""),"'",""),"(",""),")",""),"*",""),"+",""),",",""),"-",""),".",""),"/",""),":",""),";",""),"&lt;",""),"=",""),"&gt;",""),"?",""),"@",""),"[",""),"\",""),"]",""),"^",""),"_",""),"`",""),"{",""),"|",""),"}",""),"~",""),CHAR(9),""),CHAR(10),""),CHAR(13),"")," ",""),"")</f>
        <v/>
      </c>
      <c r="AR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4,20))," ",""),"!",""),CHAR(34),""),"#",""),"$",""),"%",""),"&amp;",""),"'",""),"(",""),")",""),"*",""),"+",""),",",""),"-",""),".",""),"/",""),":",""),";",""),"&lt;",""),"=",""),"&gt;",""),"?",""),"@",""),"[",""),"\",""),"]",""),"^",""),"_",""),"`",""),"{",""),"|",""),"}",""),"~",""),CHAR(9),""),CHAR(10),""),CHAR(13),"")," ",""),"")</f>
        <v/>
      </c>
      <c r="AS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4,21))," ",""),"!",""),CHAR(34),""),"#",""),"$",""),"%",""),"&amp;",""),"'",""),"(",""),")",""),"*",""),"+",""),",",""),"-",""),".",""),"/",""),":",""),";",""),"&lt;",""),"=",""),"&gt;",""),"?",""),"@",""),"[",""),"\",""),"]",""),"^",""),"_",""),"`",""),"{",""),"|",""),"}",""),"~",""),CHAR(9),""),CHAR(10),""),CHAR(13),"")," ",""),"")</f>
        <v/>
      </c>
      <c r="AT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4,22))," ",""),"!",""),CHAR(34),""),"#",""),"$",""),"%",""),"&amp;",""),"'",""),"(",""),")",""),"*",""),"+",""),",",""),"-",""),".",""),"/",""),":",""),";",""),"&lt;",""),"=",""),"&gt;",""),"?",""),"@",""),"[",""),"\",""),"]",""),"^",""),"_",""),"`",""),"{",""),"|",""),"}",""),"~",""),CHAR(9),""),CHAR(10),""),CHAR(13),"")," ",""),"")</f>
        <v/>
      </c>
      <c r="AU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4,23))," ",""),"!",""),CHAR(34),""),"#",""),"$",""),"%",""),"&amp;",""),"'",""),"(",""),")",""),"*",""),"+",""),",",""),"-",""),".",""),"/",""),":",""),";",""),"&lt;",""),"=",""),"&gt;",""),"?",""),"@",""),"[",""),"\",""),"]",""),"^",""),"_",""),"`",""),"{",""),"|",""),"}",""),"~",""),CHAR(9),""),CHAR(10),""),CHAR(13),"")," ",""),"")</f>
        <v/>
      </c>
      <c r="AV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4,24))," ",""),"!",""),CHAR(34),""),"#",""),"$",""),"%",""),"&amp;",""),"'",""),"(",""),")",""),"*",""),"+",""),",",""),"-",""),".",""),"/",""),":",""),";",""),"&lt;",""),"=",""),"&gt;",""),"?",""),"@",""),"[",""),"\",""),"]",""),"^",""),"_",""),"`",""),"{",""),"|",""),"}",""),"~",""),CHAR(9),""),CHAR(10),""),CHAR(13),"")," ",""),"")</f>
        <v/>
      </c>
      <c r="AW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4,25))," ",""),"!",""),CHAR(34),""),"#",""),"$",""),"%",""),"&amp;",""),"'",""),"(",""),")",""),"*",""),"+",""),",",""),"-",""),".",""),"/",""),":",""),";",""),"&lt;",""),"=",""),"&gt;",""),"?",""),"@",""),"[",""),"\",""),"]",""),"^",""),"_",""),"`",""),"{",""),"|",""),"}",""),"~",""),CHAR(9),""),CHAR(10),""),CHAR(13),"")," ",""),"")</f>
        <v/>
      </c>
      <c r="AX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4,26))," ",""),"!",""),CHAR(34),""),"#",""),"$",""),"%",""),"&amp;",""),"'",""),"(",""),")",""),"*",""),"+",""),",",""),"-",""),".",""),"/",""),":",""),";",""),"&lt;",""),"=",""),"&gt;",""),"?",""),"@",""),"[",""),"\",""),"]",""),"^",""),"_",""),"`",""),"{",""),"|",""),"}",""),"~",""),CHAR(9),""),CHAR(10),""),CHAR(13),"")," ",""),"")</f>
        <v/>
      </c>
      <c r="AY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4,27))," ",""),"!",""),CHAR(34),""),"#",""),"$",""),"%",""),"&amp;",""),"'",""),"(",""),")",""),"*",""),"+",""),",",""),"-",""),".",""),"/",""),":",""),";",""),"&lt;",""),"=",""),"&gt;",""),"?",""),"@",""),"[",""),"\",""),"]",""),"^",""),"_",""),"`",""),"{",""),"|",""),"}",""),"~",""),CHAR(9),""),CHAR(10),""),CHAR(13),"")," ",""),"")</f>
        <v/>
      </c>
      <c r="AZ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4,28))," ",""),"!",""),CHAR(34),""),"#",""),"$",""),"%",""),"&amp;",""),"'",""),"(",""),")",""),"*",""),"+",""),",",""),"-",""),".",""),"/",""),":",""),";",""),"&lt;",""),"=",""),"&gt;",""),"?",""),"@",""),"[",""),"\",""),"]",""),"^",""),"_",""),"`",""),"{",""),"|",""),"}",""),"~",""),CHAR(9),""),CHAR(10),""),CHAR(13),"")," ",""),"")</f>
        <v/>
      </c>
      <c r="BA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4,29))," ",""),"!",""),CHAR(34),""),"#",""),"$",""),"%",""),"&amp;",""),"'",""),"(",""),")",""),"*",""),"+",""),",",""),"-",""),".",""),"/",""),":",""),";",""),"&lt;",""),"=",""),"&gt;",""),"?",""),"@",""),"[",""),"\",""),"]",""),"^",""),"_",""),"`",""),"{",""),"|",""),"}",""),"~",""),CHAR(9),""),CHAR(10),""),CHAR(13),"")," ",""),"")</f>
        <v/>
      </c>
      <c r="BB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4,30))," ",""),"!",""),CHAR(34),""),"#",""),"$",""),"%",""),"&amp;",""),"'",""),"(",""),")",""),"*",""),"+",""),",",""),"-",""),".",""),"/",""),":",""),";",""),"&lt;",""),"=",""),"&gt;",""),"?",""),"@",""),"[",""),"\",""),"]",""),"^",""),"_",""),"`",""),"{",""),"|",""),"}",""),"~",""),CHAR(9),""),CHAR(10),""),CHAR(13),"")," ",""),"")</f>
        <v/>
      </c>
      <c r="BC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4,31))," ",""),"!",""),CHAR(34),""),"#",""),"$",""),"%",""),"&amp;",""),"'",""),"(",""),")",""),"*",""),"+",""),",",""),"-",""),".",""),"/",""),":",""),";",""),"&lt;",""),"=",""),"&gt;",""),"?",""),"@",""),"[",""),"\",""),"]",""),"^",""),"_",""),"`",""),"{",""),"|",""),"}",""),"~",""),CHAR(9),""),CHAR(10),""),CHAR(13),"")," ",""),"")</f>
        <v/>
      </c>
      <c r="BD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4,32))," ",""),"!",""),CHAR(34),""),"#",""),"$",""),"%",""),"&amp;",""),"'",""),"(",""),")",""),"*",""),"+",""),",",""),"-",""),".",""),"/",""),":",""),";",""),"&lt;",""),"=",""),"&gt;",""),"?",""),"@",""),"[",""),"\",""),"]",""),"^",""),"_",""),"`",""),"{",""),"|",""),"}",""),"~",""),CHAR(9),""),CHAR(10),""),CHAR(13),"")," ",""),"")</f>
        <v/>
      </c>
      <c r="BE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4,33))," ",""),"!",""),CHAR(34),""),"#",""),"$",""),"%",""),"&amp;",""),"'",""),"(",""),")",""),"*",""),"+",""),",",""),"-",""),".",""),"/",""),":",""),";",""),"&lt;",""),"=",""),"&gt;",""),"?",""),"@",""),"[",""),"\",""),"]",""),"^",""),"_",""),"`",""),"{",""),"|",""),"}",""),"~",""),CHAR(9),""),CHAR(10),""),CHAR(13),"")," ",""),"")</f>
        <v/>
      </c>
      <c r="BF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4,34))," ",""),"!",""),CHAR(34),""),"#",""),"$",""),"%",""),"&amp;",""),"'",""),"(",""),")",""),"*",""),"+",""),",",""),"-",""),".",""),"/",""),":",""),";",""),"&lt;",""),"=",""),"&gt;",""),"?",""),"@",""),"[",""),"\",""),"]",""),"^",""),"_",""),"`",""),"{",""),"|",""),"}",""),"~",""),CHAR(9),""),CHAR(10),""),CHAR(13),"")," ",""),"")</f>
        <v/>
      </c>
      <c r="BG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4,35))," ",""),"!",""),CHAR(34),""),"#",""),"$",""),"%",""),"&amp;",""),"'",""),"(",""),")",""),"*",""),"+",""),",",""),"-",""),".",""),"/",""),":",""),";",""),"&lt;",""),"=",""),"&gt;",""),"?",""),"@",""),"[",""),"\",""),"]",""),"^",""),"_",""),"`",""),"{",""),"|",""),"}",""),"~",""),CHAR(9),""),CHAR(10),""),CHAR(13),"")," ",""),"")</f>
        <v/>
      </c>
      <c r="BH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4,36))," ",""),"!",""),CHAR(34),""),"#",""),"$",""),"%",""),"&amp;",""),"'",""),"(",""),")",""),"*",""),"+",""),",",""),"-",""),".",""),"/",""),":",""),";",""),"&lt;",""),"=",""),"&gt;",""),"?",""),"@",""),"[",""),"\",""),"]",""),"^",""),"_",""),"`",""),"{",""),"|",""),"}",""),"~",""),CHAR(9),""),CHAR(10),""),CHAR(13),"")," ",""),"")</f>
        <v/>
      </c>
      <c r="BI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4,37))," ",""),"!",""),CHAR(34),""),"#",""),"$",""),"%",""),"&amp;",""),"'",""),"(",""),")",""),"*",""),"+",""),",",""),"-",""),".",""),"/",""),":",""),";",""),"&lt;",""),"=",""),"&gt;",""),"?",""),"@",""),"[",""),"\",""),"]",""),"^",""),"_",""),"`",""),"{",""),"|",""),"}",""),"~",""),CHAR(9),""),CHAR(10),""),CHAR(13),"")," ",""),"")</f>
        <v/>
      </c>
      <c r="BJ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4,38))," ",""),"!",""),CHAR(34),""),"#",""),"$",""),"%",""),"&amp;",""),"'",""),"(",""),")",""),"*",""),"+",""),",",""),"-",""),".",""),"/",""),":",""),";",""),"&lt;",""),"=",""),"&gt;",""),"?",""),"@",""),"[",""),"\",""),"]",""),"^",""),"_",""),"`",""),"{",""),"|",""),"}",""),"~",""),CHAR(9),""),CHAR(10),""),CHAR(13),"")," ",""),"")</f>
        <v/>
      </c>
      <c r="BK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4,39))," ",""),"!",""),CHAR(34),""),"#",""),"$",""),"%",""),"&amp;",""),"'",""),"(",""),")",""),"*",""),"+",""),",",""),"-",""),".",""),"/",""),":",""),";",""),"&lt;",""),"=",""),"&gt;",""),"?",""),"@",""),"[",""),"\",""),"]",""),"^",""),"_",""),"`",""),"{",""),"|",""),"}",""),"~",""),CHAR(9),""),CHAR(10),""),CHAR(13),"")," ",""),"")</f>
        <v/>
      </c>
      <c r="BL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4,40))," ",""),"!",""),CHAR(34),""),"#",""),"$",""),"%",""),"&amp;",""),"'",""),"(",""),")",""),"*",""),"+",""),",",""),"-",""),".",""),"/",""),":",""),";",""),"&lt;",""),"=",""),"&gt;",""),"?",""),"@",""),"[",""),"\",""),"]",""),"^",""),"_",""),"`",""),"{",""),"|",""),"}",""),"~",""),CHAR(9),""),CHAR(10),""),CHAR(13),"")," ",""),"")</f>
        <v/>
      </c>
      <c r="BM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4,41))," ",""),"!",""),CHAR(34),""),"#",""),"$",""),"%",""),"&amp;",""),"'",""),"(",""),")",""),"*",""),"+",""),",",""),"-",""),".",""),"/",""),":",""),";",""),"&lt;",""),"=",""),"&gt;",""),"?",""),"@",""),"[",""),"\",""),"]",""),"^",""),"_",""),"`",""),"{",""),"|",""),"}",""),"~",""),CHAR(9),""),CHAR(10),""),CHAR(13),"")," ",""),"")</f>
        <v/>
      </c>
      <c r="BN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4,42))," ",""),"!",""),CHAR(34),""),"#",""),"$",""),"%",""),"&amp;",""),"'",""),"(",""),")",""),"*",""),"+",""),",",""),"-",""),".",""),"/",""),":",""),";",""),"&lt;",""),"=",""),"&gt;",""),"?",""),"@",""),"[",""),"\",""),"]",""),"^",""),"_",""),"`",""),"{",""),"|",""),"}",""),"~",""),CHAR(9),""),CHAR(10),""),CHAR(13),"")," ",""),"")</f>
        <v/>
      </c>
      <c r="BO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4,43))," ",""),"!",""),CHAR(34),""),"#",""),"$",""),"%",""),"&amp;",""),"'",""),"(",""),")",""),"*",""),"+",""),",",""),"-",""),".",""),"/",""),":",""),";",""),"&lt;",""),"=",""),"&gt;",""),"?",""),"@",""),"[",""),"\",""),"]",""),"^",""),"_",""),"`",""),"{",""),"|",""),"}",""),"~",""),CHAR(9),""),CHAR(10),""),CHAR(13),"")," ",""),"")</f>
        <v/>
      </c>
      <c r="BP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4,44))," ",""),"!",""),CHAR(34),""),"#",""),"$",""),"%",""),"&amp;",""),"'",""),"(",""),")",""),"*",""),"+",""),",",""),"-",""),".",""),"/",""),":",""),";",""),"&lt;",""),"=",""),"&gt;",""),"?",""),"@",""),"[",""),"\",""),"]",""),"^",""),"_",""),"`",""),"{",""),"|",""),"}",""),"~",""),CHAR(9),""),CHAR(10),""),CHAR(13),"")," ",""),"")</f>
        <v/>
      </c>
      <c r="BQ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4,45))," ",""),"!",""),CHAR(34),""),"#",""),"$",""),"%",""),"&amp;",""),"'",""),"(",""),")",""),"*",""),"+",""),",",""),"-",""),".",""),"/",""),":",""),";",""),"&lt;",""),"=",""),"&gt;",""),"?",""),"@",""),"[",""),"\",""),"]",""),"^",""),"_",""),"`",""),"{",""),"|",""),"}",""),"~",""),CHAR(9),""),CHAR(10),""),CHAR(13),"")," ",""),"")</f>
        <v/>
      </c>
      <c r="BR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4,46))," ",""),"!",""),CHAR(34),""),"#",""),"$",""),"%",""),"&amp;",""),"'",""),"(",""),")",""),"*",""),"+",""),",",""),"-",""),".",""),"/",""),":",""),";",""),"&lt;",""),"=",""),"&gt;",""),"?",""),"@",""),"[",""),"\",""),"]",""),"^",""),"_",""),"`",""),"{",""),"|",""),"}",""),"~",""),CHAR(9),""),CHAR(10),""),CHAR(13),"")," ",""),"")</f>
        <v/>
      </c>
      <c r="BS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4,47))," ",""),"!",""),CHAR(34),""),"#",""),"$",""),"%",""),"&amp;",""),"'",""),"(",""),")",""),"*",""),"+",""),",",""),"-",""),".",""),"/",""),":",""),";",""),"&lt;",""),"=",""),"&gt;",""),"?",""),"@",""),"[",""),"\",""),"]",""),"^",""),"_",""),"`",""),"{",""),"|",""),"}",""),"~",""),CHAR(9),""),CHAR(10),""),CHAR(13),"")," ",""),"")</f>
        <v/>
      </c>
      <c r="BT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4,48))," ",""),"!",""),CHAR(34),""),"#",""),"$",""),"%",""),"&amp;",""),"'",""),"(",""),")",""),"*",""),"+",""),",",""),"-",""),".",""),"/",""),":",""),";",""),"&lt;",""),"=",""),"&gt;",""),"?",""),"@",""),"[",""),"\",""),"]",""),"^",""),"_",""),"`",""),"{",""),"|",""),"}",""),"~",""),CHAR(9),""),CHAR(10),""),CHAR(13),"")," ",""),"")</f>
        <v/>
      </c>
      <c r="BU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4,49))," ",""),"!",""),CHAR(34),""),"#",""),"$",""),"%",""),"&amp;",""),"'",""),"(",""),")",""),"*",""),"+",""),",",""),"-",""),".",""),"/",""),":",""),";",""),"&lt;",""),"=",""),"&gt;",""),"?",""),"@",""),"[",""),"\",""),"]",""),"^",""),"_",""),"`",""),"{",""),"|",""),"}",""),"~",""),CHAR(9),""),CHAR(10),""),CHAR(13),"")," ",""),"")</f>
        <v/>
      </c>
      <c r="BV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4,50))," ",""),"!",""),CHAR(34),""),"#",""),"$",""),"%",""),"&amp;",""),"'",""),"(",""),")",""),"*",""),"+",""),",",""),"-",""),".",""),"/",""),":",""),";",""),"&lt;",""),"=",""),"&gt;",""),"?",""),"@",""),"[",""),"\",""),"]",""),"^",""),"_",""),"`",""),"{",""),"|",""),"}",""),"~",""),CHAR(9),""),CHAR(10),""),CHAR(13),"")," ",""),"")</f>
        <v/>
      </c>
      <c r="BW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4,51))," ",""),"!",""),CHAR(34),""),"#",""),"$",""),"%",""),"&amp;",""),"'",""),"(",""),")",""),"*",""),"+",""),",",""),"-",""),".",""),"/",""),":",""),";",""),"&lt;",""),"=",""),"&gt;",""),"?",""),"@",""),"[",""),"\",""),"]",""),"^",""),"_",""),"`",""),"{",""),"|",""),"}",""),"~",""),CHAR(9),""),CHAR(10),""),CHAR(13),"")," ",""),"")</f>
        <v/>
      </c>
      <c r="BX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4,52))," ",""),"!",""),CHAR(34),""),"#",""),"$",""),"%",""),"&amp;",""),"'",""),"(",""),")",""),"*",""),"+",""),",",""),"-",""),".",""),"/",""),":",""),";",""),"&lt;",""),"=",""),"&gt;",""),"?",""),"@",""),"[",""),"\",""),"]",""),"^",""),"_",""),"`",""),"{",""),"|",""),"}",""),"~",""),CHAR(9),""),CHAR(10),""),CHAR(13),"")," ",""),"")</f>
        <v/>
      </c>
      <c r="BY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4,53))," ",""),"!",""),CHAR(34),""),"#",""),"$",""),"%",""),"&amp;",""),"'",""),"(",""),")",""),"*",""),"+",""),",",""),"-",""),".",""),"/",""),":",""),";",""),"&lt;",""),"=",""),"&gt;",""),"?",""),"@",""),"[",""),"\",""),"]",""),"^",""),"_",""),"`",""),"{",""),"|",""),"}",""),"~",""),CHAR(9),""),CHAR(10),""),CHAR(13),"")," ",""),"")</f>
        <v/>
      </c>
      <c r="BZ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4,54))," ",""),"!",""),CHAR(34),""),"#",""),"$",""),"%",""),"&amp;",""),"'",""),"(",""),")",""),"*",""),"+",""),",",""),"-",""),".",""),"/",""),":",""),";",""),"&lt;",""),"=",""),"&gt;",""),"?",""),"@",""),"[",""),"\",""),"]",""),"^",""),"_",""),"`",""),"{",""),"|",""),"}",""),"~",""),CHAR(9),""),CHAR(10),""),CHAR(13),"")," ",""),"")</f>
        <v/>
      </c>
      <c r="CA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4,55))," ",""),"!",""),CHAR(34),""),"#",""),"$",""),"%",""),"&amp;",""),"'",""),"(",""),")",""),"*",""),"+",""),",",""),"-",""),".",""),"/",""),":",""),";",""),"&lt;",""),"=",""),"&gt;",""),"?",""),"@",""),"[",""),"\",""),"]",""),"^",""),"_",""),"`",""),"{",""),"|",""),"}",""),"~",""),CHAR(9),""),CHAR(10),""),CHAR(13),"")," ",""),"")</f>
        <v/>
      </c>
      <c r="CB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4,56))," ",""),"!",""),CHAR(34),""),"#",""),"$",""),"%",""),"&amp;",""),"'",""),"(",""),")",""),"*",""),"+",""),",",""),"-",""),".",""),"/",""),":",""),";",""),"&lt;",""),"=",""),"&gt;",""),"?",""),"@",""),"[",""),"\",""),"]",""),"^",""),"_",""),"`",""),"{",""),"|",""),"}",""),"~",""),CHAR(9),""),CHAR(10),""),CHAR(13),"")," ",""),"")</f>
        <v/>
      </c>
      <c r="CC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4,57))," ",""),"!",""),CHAR(34),""),"#",""),"$",""),"%",""),"&amp;",""),"'",""),"(",""),")",""),"*",""),"+",""),",",""),"-",""),".",""),"/",""),":",""),";",""),"&lt;",""),"=",""),"&gt;",""),"?",""),"@",""),"[",""),"\",""),"]",""),"^",""),"_",""),"`",""),"{",""),"|",""),"}",""),"~",""),CHAR(9),""),CHAR(10),""),CHAR(13),"")," ",""),"")</f>
        <v/>
      </c>
      <c r="CD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4,58))," ",""),"!",""),CHAR(34),""),"#",""),"$",""),"%",""),"&amp;",""),"'",""),"(",""),")",""),"*",""),"+",""),",",""),"-",""),".",""),"/",""),":",""),";",""),"&lt;",""),"=",""),"&gt;",""),"?",""),"@",""),"[",""),"\",""),"]",""),"^",""),"_",""),"`",""),"{",""),"|",""),"}",""),"~",""),CHAR(9),""),CHAR(10),""),CHAR(13),"")," ",""),"")</f>
        <v/>
      </c>
      <c r="CE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4,59))," ",""),"!",""),CHAR(34),""),"#",""),"$",""),"%",""),"&amp;",""),"'",""),"(",""),")",""),"*",""),"+",""),",",""),"-",""),".",""),"/",""),":",""),";",""),"&lt;",""),"=",""),"&gt;",""),"?",""),"@",""),"[",""),"\",""),"]",""),"^",""),"_",""),"`",""),"{",""),"|",""),"}",""),"~",""),CHAR(9),""),CHAR(10),""),CHAR(13),"")," ",""),"")</f>
        <v/>
      </c>
      <c r="CF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4,60))," ",""),"!",""),CHAR(34),""),"#",""),"$",""),"%",""),"&amp;",""),"'",""),"(",""),")",""),"*",""),"+",""),",",""),"-",""),".",""),"/",""),":",""),";",""),"&lt;",""),"=",""),"&gt;",""),"?",""),"@",""),"[",""),"\",""),"]",""),"^",""),"_",""),"`",""),"{",""),"|",""),"}",""),"~",""),CHAR(9),""),CHAR(10),""),CHAR(13),"")," ",""),"")</f>
        <v/>
      </c>
      <c r="CH8">
        <f>COUNTIF($Y53:$CF53,"&gt;0")</f>
        <v/>
      </c>
      <c r="CI8">
        <f>COUNTIF($Y53:$CF53,2)</f>
        <v/>
      </c>
      <c r="CJ8">
        <f>SUMPRODUCT((COUNTIF($Y98:$CF98,{1,2,3,4,5,6,7,8,9,10,11,12,13,14,15})&gt;0)*{2,4,8,16,32,64,128,256,512,1024,2048,4096,8192,16384,32768})</f>
        <v/>
      </c>
      <c r="CK8">
        <f>CF188</f>
        <v/>
      </c>
      <c r="CL8">
        <f>SUMPRODUCT(MOD(INT(((CJ8+CK8))/{2,4,8,16,32,64,128,256,512,1024,2048,4096,8192,16384,32768}),2))</f>
        <v/>
      </c>
      <c r="CM8">
        <f>IF(CH8&lt;2,-9999,CL8+2*MOD(INT(((CJ8+CK8))/2),2)+2*MOD(INT(((CJ8+CK8))/4),2)-CI8)</f>
        <v/>
      </c>
      <c r="DA8" t="n">
        <v>4</v>
      </c>
      <c r="DB8">
        <f>IF($B$37=0,"",IFERROR(TRIM(SUBSTITUTE(SUBSTITUTE(SUBSTITUTE(SUBSTITUTE(INDEX(PASTE_ALL,4,$B$37)," "," "),CHAR(9)," "),CHAR(10)," "),CHAR(13)," ")),""))</f>
        <v/>
      </c>
      <c r="DC8">
        <f>IF(AND(4&gt;HEADER_ROW,UPPER(DB8)="LEGEND"),1,0)</f>
        <v/>
      </c>
      <c r="DE8" t="n">
        <v>4</v>
      </c>
      <c r="DF8">
        <f>HEADER_ROW+$DE8</f>
        <v/>
      </c>
      <c r="DG8">
        <f>IF(AND($DF8&lt;=1000,$DF8&lt;$B$8),1,0)</f>
        <v/>
      </c>
      <c r="DH8">
        <f>IF($DG8=1,IFERROR(INDEX($DB$5:$DB$1004,$DF8),""),"")</f>
        <v/>
      </c>
      <c r="DI8">
        <f>IF(AND($DG8=1,$DH8&lt;&gt;""),IFERROR(SUBSTITUTE(SUBSTITUTE(TRIM(SUBSTITUTE(SUBSTITUTE(SUBSTITUTE(SUBSTITUTE(IFERROR(INDEX(PASTE_ALL,$DF8,1)&amp;"","")&amp;"␟"&amp;IFERROR(INDEX(PASTE_ALL,$DF8,2)&amp;"","")&amp;"␟"&amp;IFERROR(INDEX(PASTE_ALL,$DF8,3)&amp;"","")&amp;"␟"&amp;IFERROR(INDEX(PASTE_ALL,$DF8,4)&amp;"","")&amp;"␟"&amp;IFERROR(INDEX(PASTE_ALL,$DF8,5)&amp;"","")&amp;"␟"&amp;IFERROR(INDEX(PASTE_ALL,$DF8,6)&amp;"","")&amp;"␟"&amp;IFERROR(INDEX(PASTE_ALL,$DF8,7)&amp;"","")&amp;"␟"&amp;IFERROR(INDEX(PASTE_ALL,$DF8,8)&amp;"","")&amp;"␟"&amp;IFERROR(INDEX(PASTE_ALL,$DF8,9)&amp;"","")&amp;"␟"&amp;IFERROR(INDEX(PASTE_ALL,$DF8,10)&amp;"","")&amp;"␟"&amp;IFERROR(INDEX(PASTE_ALL,$DF8,11)&amp;"","")&amp;"␟"&amp;IFERROR(INDEX(PASTE_ALL,$DF8,12)&amp;"","")&amp;"␟"&amp;IFERROR(INDEX(PASTE_ALL,$DF8,13)&amp;"","")&amp;"␟"&amp;IFERROR(INDEX(PASTE_ALL,$DF8,14)&amp;"","")&amp;"␟"&amp;IFERROR(INDEX(PASTE_ALL,$DF8,15)&amp;"","")&amp;"␟"&amp;IFERROR(INDEX(PASTE_ALL,$DF8,16)&amp;"","")&amp;"␟"&amp;IFERROR(INDEX(PASTE_ALL,$DF8,17)&amp;"","")&amp;"␟"&amp;IFERROR(INDEX(PASTE_ALL,$DF8,18)&amp;"","")&amp;"␟"&amp;IFERROR(INDEX(PASTE_ALL,$DF8,19)&amp;"","")&amp;"␟"&amp;IFERROR(INDEX(PASTE_ALL,$DF8,20)&amp;"","")&amp;"␟"&amp;IFERROR(INDEX(PASTE_ALL,$DF8,21)&amp;"","")&amp;"␟"&amp;IFERROR(INDEX(PASTE_ALL,$DF8,22)&amp;"","")&amp;"␟"&amp;IFERROR(INDEX(PASTE_ALL,$DF8,23)&amp;"","")&amp;"␟"&amp;IFERROR(INDEX(PASTE_ALL,$DF8,24)&amp;"","")&amp;"␟"&amp;IFERROR(INDEX(PASTE_ALL,$DF8,25)&amp;"","")&amp;"␟"&amp;IFERROR(INDEX(PASTE_ALL,$DF8,26)&amp;"","")&amp;"␟"&amp;IFERROR(INDEX(PASTE_ALL,$DF8,27)&amp;"","")&amp;"␟"&amp;IFERROR(INDEX(PASTE_ALL,$DF8,28)&amp;"","")&amp;"␟"&amp;IFERROR(INDEX(PASTE_ALL,$DF8,29)&amp;"","")&amp;"␟"&amp;IFERROR(INDEX(PASTE_ALL,$DF8,30)&amp;"","")&amp;"␟"&amp;IFERROR(INDEX(PASTE_ALL,$DF8,31)&amp;"","")&amp;"␟"&amp;IFERROR(INDEX(PASTE_ALL,$DF8,32)&amp;"","")&amp;"␟"&amp;IFERROR(INDEX(PASTE_ALL,$DF8,33)&amp;"","")&amp;"␟"&amp;IFERROR(INDEX(PASTE_ALL,$DF8,34)&amp;"","")&amp;"␟"&amp;IFERROR(INDEX(PASTE_ALL,$DF8,35)&amp;"","")&amp;"␟"&amp;IFERROR(INDEX(PASTE_ALL,$DF8,36)&amp;"","")&amp;"␟"&amp;IFERROR(INDEX(PASTE_ALL,$DF8,37)&amp;"","")&amp;"␟"&amp;IFERROR(INDEX(PASTE_ALL,$DF8,38)&amp;"","")&amp;"␟"&amp;IFERROR(INDEX(PASTE_ALL,$DF8,39)&amp;"","")&amp;"␟"&amp;IFERROR(INDEX(PASTE_ALL,$DF8,40)&amp;"","")&amp;"␟"&amp;IFERROR(INDEX(PASTE_ALL,$DF8,41)&amp;"","")&amp;"␟"&amp;IFERROR(INDEX(PASTE_ALL,$DF8,42)&amp;"","")&amp;"␟"&amp;IFERROR(INDEX(PASTE_ALL,$DF8,43)&amp;"","")&amp;"␟"&amp;IFERROR(INDEX(PASTE_ALL,$DF8,44)&amp;"","")&amp;"␟"&amp;IFERROR(INDEX(PASTE_ALL,$DF8,45)&amp;"","")&amp;"␟"&amp;IFERROR(INDEX(PASTE_ALL,$DF8,46)&amp;"","")&amp;"␟"&amp;IFERROR(INDEX(PASTE_ALL,$DF8,47)&amp;"","")&amp;"␟"&amp;IFERROR(INDEX(PASTE_ALL,$DF8,48)&amp;"","")&amp;"␟"&amp;IFERROR(INDEX(PASTE_ALL,$DF8,49)&amp;"","")&amp;"␟"&amp;IFERROR(INDEX(PASTE_ALL,$DF8,50)&amp;"","")&amp;"␟"&amp;IFERROR(INDEX(PASTE_ALL,$DF8,51)&amp;"","")&amp;"␟"&amp;IFERROR(INDEX(PASTE_ALL,$DF8,52)&amp;"","")&amp;"␟"&amp;IFERROR(INDEX(PASTE_ALL,$DF8,53)&amp;"","")&amp;"␟"&amp;IFERROR(INDEX(PASTE_ALL,$DF8,54)&amp;"","")&amp;"␟"&amp;IFERROR(INDEX(PASTE_ALL,$DF8,55)&amp;"","")&amp;"␟"&amp;IFERROR(INDEX(PASTE_ALL,$DF8,56)&amp;"","")&amp;"␟"&amp;IFERROR(INDEX(PASTE_ALL,$DF8,57)&amp;"","")&amp;"␟"&amp;IFERROR(INDEX(PASTE_ALL,$DF8,58)&amp;"","")&amp;"␟"&amp;IFERROR(INDEX(PASTE_ALL,$DF8,59)&amp;"","")&amp;"␟"&amp;IFERROR(INDEX(PASTE_ALL,$DF8,60)&amp;"","")," "," "),CHAR(9)," "),CHAR(10)," "),CHAR(13)," "))," ␟","␟"),"␟ ","␟"),"#"&amp;$DE8),"")</f>
        <v/>
      </c>
      <c r="DJ8">
        <f>IF($DI8="",0,IF(SUMPRODUCT(--EXACT($DI$4:DI7,$DI8))&gt;0,1,0))</f>
        <v/>
      </c>
      <c r="DK8">
        <f>IF(AND($DI8&lt;&gt;"",$DJ8=0),1,0)</f>
        <v/>
      </c>
      <c r="DL8">
        <f>DL7+$DK8</f>
        <v/>
      </c>
      <c r="DM8">
        <f>IF(AND($DK8=1,$DL8&lt;=600),1,0)</f>
        <v/>
      </c>
      <c r="DN8">
        <f>IF($DM8=0,"",IF($L$6=0,"",IFERROR(IF(ISNUMBER(INDEX(PASTE_ALL,$DF8,$L$6)),INDEX(PASTE_ALL,$DF8,$L$6),TRIM(SUBSTITUTE(SUBSTITUTE(SUBSTITUTE(SUBSTITUTE(INDEX(PASTE_ALL,$DF8,$L$6)," "," "),CHAR(9)," "),CHAR(10)," "),CHAR(13)," "))),"")))</f>
        <v/>
      </c>
      <c r="DO8">
        <f>IF($DM8=0,"",IF($L$7=0,"",IFERROR(IF(ISNUMBER(INDEX(PASTE_ALL,$DF8,$L$7)),INDEX(PASTE_ALL,$DF8,$L$7),TRIM(SUBSTITUTE(SUBSTITUTE(SUBSTITUTE(SUBSTITUTE(INDEX(PASTE_ALL,$DF8,$L$7)," "," "),CHAR(9)," "),CHAR(10)," "),CHAR(13)," "))),"")))</f>
        <v/>
      </c>
      <c r="DP8">
        <f>IF($DM8=0,"",IF($L$8=0,"",IFERROR(IF(ISNUMBER(INDEX(PASTE_ALL,$DF8,$L$8)),INDEX(PASTE_ALL,$DF8,$L$8),TRIM(SUBSTITUTE(SUBSTITUTE(SUBSTITUTE(SUBSTITUTE(INDEX(PASTE_ALL,$DF8,$L$8)," "," "),CHAR(9)," "),CHAR(10)," "),CHAR(13)," "))),"")))</f>
        <v/>
      </c>
      <c r="DQ8">
        <f>IF($DM8=0,"",IF($L$9=0,"",IFERROR(IF(ISNUMBER(INDEX(PASTE_ALL,$DF8,$L$9)),INDEX(PASTE_ALL,$DF8,$L$9),TRIM(SUBSTITUTE(SUBSTITUTE(SUBSTITUTE(SUBSTITUTE(INDEX(PASTE_ALL,$DF8,$L$9)," "," "),CHAR(9)," "),CHAR(10)," "),CHAR(13)," "))),"")))</f>
        <v/>
      </c>
      <c r="DR8">
        <f>IF($DM8=0,"",IF($L$10=0,"",IFERROR(IF(ISNUMBER(INDEX(PASTE_ALL,$DF8,$L$10)),INDEX(PASTE_ALL,$DF8,$L$10),TRIM(SUBSTITUTE(SUBSTITUTE(SUBSTITUTE(SUBSTITUTE(INDEX(PASTE_ALL,$DF8,$L$10)," "," "),CHAR(9)," "),CHAR(10)," "),CHAR(13)," "))),"")))</f>
        <v/>
      </c>
      <c r="DS8">
        <f>IF($DM8=0,"",IF($L$11=0,"",IFERROR(IF(ISNUMBER(INDEX(PASTE_ALL,$DF8,$L$11)),INDEX(PASTE_ALL,$DF8,$L$11),TRIM(SUBSTITUTE(SUBSTITUTE(SUBSTITUTE(SUBSTITUTE(INDEX(PASTE_ALL,$DF8,$L$11)," "," "),CHAR(9)," "),CHAR(10)," "),CHAR(13)," "))),"")))</f>
        <v/>
      </c>
      <c r="DT8">
        <f>IF($DM8=0,"",IF($L$12=0,"",IFERROR(IF(ISNUMBER(INDEX(PASTE_ALL,$DF8,$L$12)),INDEX(PASTE_ALL,$DF8,$L$12),TRIM(SUBSTITUTE(SUBSTITUTE(SUBSTITUTE(SUBSTITUTE(INDEX(PASTE_ALL,$DF8,$L$12)," "," "),CHAR(9)," "),CHAR(10)," "),CHAR(13)," "))),"")))</f>
        <v/>
      </c>
      <c r="DU8">
        <f>IF($DM8=0,"",IF($L$13=0,"",IFERROR(IF(ISNUMBER(INDEX(PASTE_ALL,$DF8,$L$13)),INDEX(PASTE_ALL,$DF8,$L$13),TRIM(SUBSTITUTE(SUBSTITUTE(SUBSTITUTE(SUBSTITUTE(INDEX(PASTE_ALL,$DF8,$L$13)," "," "),CHAR(9)," "),CHAR(10)," "),CHAR(13)," "))),"")))</f>
        <v/>
      </c>
      <c r="DV8">
        <f>IF($DM8=0,"",IF($L$14=0,"",IFERROR(IF(ISNUMBER(INDEX(PASTE_ALL,$DF8,$L$14)),INDEX(PASTE_ALL,$DF8,$L$14),TRIM(SUBSTITUTE(SUBSTITUTE(SUBSTITUTE(SUBSTITUTE(INDEX(PASTE_ALL,$DF8,$L$14)," "," "),CHAR(9)," "),CHAR(10)," "),CHAR(13)," "))),"")))</f>
        <v/>
      </c>
      <c r="DW8">
        <f>IF($DM8=0,"",IF($L$15=0,"",IFERROR(IF(ISNUMBER(INDEX(PASTE_ALL,$DF8,$L$15)),INDEX(PASTE_ALL,$DF8,$L$15),IF(SUMPRODUCT(--ISNUMBER(FIND({"A","B","C","D","E","F","G","H","I","J","K","L","M","N","O","P","Q","R","S","T","U","V","W","X","Y","Z","0","1","2","3","4","5","6","7","8","9"},UPPER(TRIM(SUBSTITUTE(SUBSTITUTE(SUBSTITUTE(SUBSTITUTE(INDEX(PASTE_ALL,$DF8,$L$15)," "," "),CHAR(9)," "),CHAR(10)," "),CHAR(13)," "))))))&gt;0,TRIM(SUBSTITUTE(SUBSTITUTE(SUBSTITUTE(SUBSTITUTE(INDEX(PASTE_ALL,$DF8,$L$15)," "," "),CHAR(9)," "),CHAR(10)," "),CHAR(13)," ")),"")),"")))</f>
        <v/>
      </c>
      <c r="DX8">
        <f>IF($DM8=0,"",IF($L$16=0,"",IFERROR(IF(ISNUMBER(INDEX(PASTE_ALL,$DF8,$L$16)),INDEX(PASTE_ALL,$DF8,$L$16),SUBSTITUTE(SUBSTITUTE(TRIM(SUBSTITUTE(SUBSTITUTE(SUBSTITUTE(SUBSTITUTE(INDEX(PASTE_ALL,$DF8,$L$16)," "," "),CHAR(9)," "),CHAR(10)," "),CHAR(13)," ")),",",""),"%","")),"")))</f>
        <v/>
      </c>
      <c r="DY8">
        <f>IF($DM8=0,"",IFERROR(IF(ISNUMBER($DX8),$DX8,IF($DX8="","",IF(TRIM($DX8)="",0,IF(AND(AND(SUBSTITUTE(SUBSTITUTE(SUBSTITUTE(SUBSTITUTE(SUBSTITUTE(SUBSTITUTE(SUBSTITUTE(SUBSTITUTE(SUBSTITUTE(SUBSTITUTE(SUBSTITUTE(SUBSTITUTE(SUBSTITUTE(SUBSTITUTE(UPPER(TRIM($DX8)),"0",""),"1",""),"2",""),"3",""),"4",""),"5",""),"6",""),"7",""),"8",""),"9",""),".",""),"+",""),"-",""),"E","")="",LEN(SUBSTITUTE(SUBSTITUTE(MID(UPPER(TRIM($DX8)),1+OR(LEFT(UPPER(TRIM($DX8)),1)="+",LEFT(UPPER(TRIM($DX8)),1)="-"),999),"E+","E"),"E-","E"))=LEN(SUBSTITUTE(SUBSTITUTE(SUBSTITUTE(SUBSTITUTE(MID(UPPER(TRIM($DX8)),1+OR(LEFT(UPPER(TRIM($DX8)),1)="+",LEFT(UPPER(TRIM($DX8)),1)="-"),999),"E+","E"),"E-","E"),"+",""),"-","")),LEN(UPPER(TRIM($DX8)))-LEN(SUBSTITUTE(UPPER(TRIM($DX8)),"E",""))&lt;2,LEN(UPPER(TRIM($DX8)))-LEN(SUBSTITUTE(UPPER(TRIM($DX8)),".",""))&lt;2,IFERROR(FIND(".",UPPER(TRIM($DX8))),0)&lt;IFERROR(FIND("E",UPPER(TRIM($DX8))),999)),ISNUMBER(VALUE(TRIM($DX8)))),VALUE(TRIM($DX8)),"")))),""))</f>
        <v/>
      </c>
      <c r="DZ8">
        <f>IF($DM8=0,"",IF($L$17=0,"",IFERROR(IF(ISNUMBER(INDEX(PASTE_ALL,$DF8,$L$17)),INDEX(PASTE_ALL,$DF8,$L$17),SUBSTITUTE(SUBSTITUTE(TRIM(SUBSTITUTE(SUBSTITUTE(SUBSTITUTE(SUBSTITUTE(INDEX(PASTE_ALL,$DF8,$L$17)," "," "),CHAR(9)," "),CHAR(10)," "),CHAR(13)," ")),",",""),"%","")),"")))</f>
        <v/>
      </c>
      <c r="EA8">
        <f>IF($DM8=0,"",IFERROR(IF(ISNUMBER($DZ8),$DZ8,IF($DZ8="","",IF(TRIM($DZ8)="",0,IF(AND(AND(SUBSTITUTE(SUBSTITUTE(SUBSTITUTE(SUBSTITUTE(SUBSTITUTE(SUBSTITUTE(SUBSTITUTE(SUBSTITUTE(SUBSTITUTE(SUBSTITUTE(SUBSTITUTE(SUBSTITUTE(SUBSTITUTE(SUBSTITUTE(UPPER(TRIM($DZ8)),"0",""),"1",""),"2",""),"3",""),"4",""),"5",""),"6",""),"7",""),"8",""),"9",""),".",""),"+",""),"-",""),"E","")="",LEN(SUBSTITUTE(SUBSTITUTE(MID(UPPER(TRIM($DZ8)),1+OR(LEFT(UPPER(TRIM($DZ8)),1)="+",LEFT(UPPER(TRIM($DZ8)),1)="-"),999),"E+","E"),"E-","E"))=LEN(SUBSTITUTE(SUBSTITUTE(SUBSTITUTE(SUBSTITUTE(MID(UPPER(TRIM($DZ8)),1+OR(LEFT(UPPER(TRIM($DZ8)),1)="+",LEFT(UPPER(TRIM($DZ8)),1)="-"),999),"E+","E"),"E-","E"),"+",""),"-","")),LEN(UPPER(TRIM($DZ8)))-LEN(SUBSTITUTE(UPPER(TRIM($DZ8)),"E",""))&lt;2,LEN(UPPER(TRIM($DZ8)))-LEN(SUBSTITUTE(UPPER(TRIM($DZ8)),".",""))&lt;2,IFERROR(FIND(".",UPPER(TRIM($DZ8))),0)&lt;IFERROR(FIND("E",UPPER(TRIM($DZ8))),999)),ISNUMBER(VALUE(TRIM($DZ8)))),VALUE(TRIM($DZ8)),"")))),""))</f>
        <v/>
      </c>
      <c r="EB8">
        <f>IF($DM8=0,"",IF($L$18=0,"",IFERROR(IF(UPPER(TRIM(SUBSTITUTE(SUBSTITUTE(SUBSTITUTE(SUBSTITUTE(INDEX(PASTE_ALL,$DF8,$L$18)," "," "),CHAR(9)," "),CHAR(10)," "),CHAR(13)," ")))="READY","Ready",IF(UPPER(TRIM(SUBSTITUTE(SUBSTITUTE(SUBSTITUTE(SUBSTITUTE(INDEX(PASTE_ALL,$DF8,$L$18)," "," "),CHAR(9)," "),CHAR(10)," "),CHAR(13)," ")))="PM","PM",IF(OR(UPPER(TRIM(SUBSTITUTE(SUBSTITUTE(SUBSTITUTE(SUBSTITUTE(INDEX(PASTE_ALL,$DF8,$L$18)," "," "),CHAR(9)," "),CHAR(10)," "),CHAR(13)," ")))="OT",UPPER(TRIM(SUBSTITUTE(SUBSTITUTE(SUBSTITUTE(SUBSTITUTE(INDEX(PASTE_ALL,$DF8,$L$18)," "," "),CHAR(9)," "),CHAR(10)," "),CHAR(13)," ")))="OVERTIME",UPPER(TRIM(SUBSTITUTE(SUBSTITUTE(SUBSTITUTE(SUBSTITUTE(INDEX(PASTE_ALL,$DF8,$L$18)," "," "),CHAR(9)," "),CHAR(10)," "),CHAR(13)," ")))="TRIAL"),"OT",TRIM(SUBSTITUTE(SUBSTITUTE(SUBSTITUTE(SUBSTITUTE(INDEX(PASTE_ALL,$DF8,$L$18)," "," "),CHAR(9)," "),CHAR(10)," "),CHAR(13)," "))))),"")))</f>
        <v/>
      </c>
      <c r="EC8">
        <f>IF($DM8=0,"",IF($L$19=0,"",IFERROR(IF(ISNUMBER(INDEX(PASTE_ALL,$DF8,$L$19)),INDEX(PASTE_ALL,$DF8,$L$19),TRIM(SUBSTITUTE(SUBSTITUTE(SUBSTITUTE(SUBSTITUTE(INDEX(PASTE_ALL,$DF8,$L$19)," "," "),CHAR(9)," "),CHAR(10)," "),CHAR(13)," "))),"")))</f>
        <v/>
      </c>
      <c r="ED8">
        <f>IF($DM8=0,"",MATCH(1,INDEX(EXACT($DH$5:DH8,$DH8)*$DM$5:DM8,0),0))</f>
        <v/>
      </c>
      <c r="EE8">
        <f>IF($DM8=0,0,IF($ED8=$DE8,1,0))</f>
        <v/>
      </c>
      <c r="EF8">
        <f>EF7+$EE8</f>
        <v/>
      </c>
      <c r="EG8">
        <f>IF($DM8=0,"",INDEX($EF$5:$EF$1003,$ED8))</f>
        <v/>
      </c>
      <c r="EH8">
        <f>IF($DM8=0,"",IF($DO8&lt;&gt;"","",IFERROR(LOOKUP(2,1/(($EG$4:EG7=$EG8)*($DO$4:DO7&lt;&gt;"")),$DO$4:DO7),"")))</f>
        <v/>
      </c>
      <c r="EI8">
        <f>IF($DM8=0,"",IF($DO8&lt;&gt;"",$DO8,$EH8))</f>
        <v/>
      </c>
      <c r="EJ8">
        <f>IF($DM8=0,"",IF($EI8="",0,IF(OR(ISNUMBER($EI8),AND(AND(SUBSTITUTE(SUBSTITUTE(SUBSTITUTE(SUBSTITUTE(SUBSTITUTE(SUBSTITUTE(SUBSTITUTE(SUBSTITUTE(SUBSTITUTE(SUBSTITUTE(SUBSTITUTE(SUBSTITUTE(SUBSTITUTE(SUBSTITUTE(UPPER($EI8),"0",""),"1",""),"2",""),"3",""),"4",""),"5",""),"6",""),"7",""),"8",""),"9",""),".",""),"+",""),"-",""),"E","")="",LEN(SUBSTITUTE(SUBSTITUTE(MID(UPPER($EI8),1+OR(LEFT(UPPER($EI8),1)="+",LEFT(UPPER($EI8),1)="-"),999),"E+","E"),"E-","E"))=LEN(SUBSTITUTE(SUBSTITUTE(SUBSTITUTE(SUBSTITUTE(MID(UPPER($EI8),1+OR(LEFT(UPPER($EI8),1)="+",LEFT(UPPER($EI8),1)="-"),999),"E+","E"),"E-","E"),"+",""),"-","")),LEN(UPPER($EI8))-LEN(SUBSTITUTE(UPPER($EI8),"E",""))&lt;2,LEN(UPPER($EI8))-LEN(SUBSTITUTE(UPPER($EI8),".",""))&lt;2,IFERROR(FIND(".",UPPER($EI8)),0)&lt;IFERROR(FIND("E",UPPER($EI8)),999)),ISNUMBER(VALUE($EI8)))),1,2)))</f>
        <v/>
      </c>
      <c r="EK8">
        <f>IF($DM8=0,"",IF($EJ8=1,IF(ISNUMBER($EI8),$EI8,VALUE($EI8)),IF($EJ8=2,$DE8,0)))</f>
        <v/>
      </c>
      <c r="EL8">
        <f>IF($DM8=0,"",COUNTIF($EG$5:$EG$1003,"&lt;"&amp;$EG8)+SUMPRODUCT(($EG$5:$EG$1003=$EG8)*(($EJ$5:$EJ$1003&lt;$EJ8)+($EJ$5:$EJ$1003=$EJ8)*(($EK$5:$EK$1003&lt;$EK8)+($EK$5:$EK$1003=$EK8)*($DE$5:$DE$1003&lt;$DE8))))+1)</f>
        <v/>
      </c>
      <c r="EM8">
        <f>IF($DM8=0,"",$EL8+$EG8-1)</f>
        <v/>
      </c>
      <c r="EN8">
        <f>IF($DM8=0,0,IFERROR(MATCH(1,INDEX(--(TRIM(SUBSTITUTE(SUBSTITUTE(SUBSTITUTE(SUBSTITUTE(LINES_NAME&amp;""," "," "),CHAR(9)," "),CHAR(10)," "),CHAR(13)," "))=$DH8),0),0),0))</f>
        <v/>
      </c>
      <c r="EO8">
        <f>IF($EN8=0,0,IF(OR(UPPER(TRIM(INDEX(LINES_SCHEDULED,$EN8)&amp;""))="YES",UPPER(TRIM(INDEX(LINES_SCHEDULED,$EN8)&amp;""))="Y",UPPER(TRIM(INDEX(LINES_SCHEDULED,$EN8)&amp;""))="X"),1,0))</f>
        <v/>
      </c>
      <c r="EP8">
        <f>IF($DM8=0,"",IF(COUNTIFS($EG$5:$EG$1003,$EG8,$EB$5:$EB$1003,"Ready")&gt;0,"READY",IF(COUNTIFS($EG$5:$EG$1003,$EG8,$EB$5:$EB$1003,"PM")&gt;0,"PM",IF(COUNTIFS($EG$5:$EG$1003,$EG8,$EB$5:$EB$1003,"OT")&gt;0,"OT",""))))</f>
        <v/>
      </c>
      <c r="EQ8">
        <f>IF($EN8=0,"",UPPER(TRIM(INDEX(LINES_STATUS,$EN8)&amp;"")))</f>
        <v/>
      </c>
      <c r="ER8">
        <f>IF($DM8=0,"",IF(OR($EQ8="READY",$EQ8="PM",$EQ8="OT"),$EQ8,$EP8))</f>
        <v/>
      </c>
      <c r="ES8">
        <f>IF($DM8=0,"",IF(AND($DV8&lt;&gt;"",UPPER($DV8)&lt;&gt;"N"),"allergen",IF(ISNUMBER(SEARCH("oil",$DQ8)),"oil",IF(OR(EXACT($DS8,"A662"),EXACT($DS8,"A624")),"bulk",""))))</f>
        <v/>
      </c>
      <c r="ET8">
        <f>IF($DM8=0,"",IF(OR($EA8="",$EA8=0),"",$EA8/100))</f>
        <v/>
      </c>
      <c r="EU8">
        <f>IF(OR($ET8="",$DY8=""),"",INT($DY8*(1-$ET8)+0.5))</f>
        <v/>
      </c>
      <c r="EW8" t="n">
        <v>4</v>
      </c>
      <c r="EX8">
        <f>IFERROR(MATCH($EW8,$EM$5:$EM$1003,0),0)</f>
        <v/>
      </c>
      <c r="EY8">
        <f>IF($EW8&gt;$B$12,"",IF($EX8&gt;0,"row","spacer"))</f>
        <v/>
      </c>
      <c r="EZ8">
        <f>IF(AND($EY8="row",$EY7&lt;&gt;"row"),1,0)</f>
        <v/>
      </c>
      <c r="FA8">
        <f>IF(AND($EY8="row",$EY9&lt;&gt;"row"),1,0)</f>
        <v/>
      </c>
      <c r="FB8">
        <f>IF($EZ8=1,IFERROR(IF(ISNUMBER(INDEX(PASTE_ALL,INDEX($DF$5:$DF$1003,$EX8),$B$37)),INDEX(PASTE_ALL,INDEX($DF$5:$DF$1003,$EX8),$B$37),INDEX($DH$5:$DH$1003,$EX8)),INDEX($DH$5:$DH$1003,$EX8)),"")</f>
        <v/>
      </c>
      <c r="FC8">
        <f>IF($EY8="row",INDEX($ER$5:$ER$1003,$EX8),"")</f>
        <v/>
      </c>
      <c r="FD8">
        <f>IF($EY8="row",INDEX($DN$5:$DN$1003,$EX8),"")</f>
        <v/>
      </c>
      <c r="FE8">
        <f>IF($EY8="row",INDEX($DO$5:$DO$1003,$EX8),"")</f>
        <v/>
      </c>
      <c r="FF8">
        <f>IF($EY8="row",INDEX($DP$5:$DP$1003,$EX8),"")</f>
        <v/>
      </c>
      <c r="FG8">
        <f>IF($EY8="row",INDEX($DQ$5:$DQ$1003,$EX8),"")</f>
        <v/>
      </c>
      <c r="FH8">
        <f>IF($EY8="row",INDEX($DR$5:$DR$1003,$EX8),"")</f>
        <v/>
      </c>
      <c r="FI8">
        <f>IF($EY8="row",INDEX($DS$5:$DS$1003,$EX8),"")</f>
        <v/>
      </c>
      <c r="FJ8">
        <f>IF($EY8="row",INDEX($DT$5:$DT$1003,$EX8),"")</f>
        <v/>
      </c>
      <c r="FK8">
        <f>IF($EY8="row",INDEX($DU$5:$DU$1003,$EX8),"")</f>
        <v/>
      </c>
      <c r="FL8">
        <f>IF($EY8="row",INDEX($DV$5:$DV$1003,$EX8),"")</f>
        <v/>
      </c>
      <c r="FM8">
        <f>IF($EY8="row",INDEX($DW$5:$DW$1003,$EX8),"")</f>
        <v/>
      </c>
      <c r="FN8">
        <f>IF($EY8="row",INDEX($DY$5:$DY$1003,$EX8),"")</f>
        <v/>
      </c>
      <c r="FO8">
        <f>IF($EY8="row",INDEX($EA$5:$EA$1003,$EX8),"")</f>
        <v/>
      </c>
      <c r="FP8">
        <f>IF($EY8="row",INDEX($EC$5:$EC$1003,$EX8),"")</f>
        <v/>
      </c>
      <c r="FQ8">
        <f>IF($EY8="row",INDEX($ET$5:$ET$1003,$EX8),"")</f>
        <v/>
      </c>
      <c r="FR8">
        <f>IF($EY8="row",INDEX($EU$5:$EU$1003,$EX8),"")</f>
        <v/>
      </c>
      <c r="FS8">
        <f>IF(AND($EY8="row",$EY7="row"),IF(OR(INDEX($DT$5:$DT$1003,$EX7)="",INDEX($DT$5:$DT$1003,$EX8)=""),"",IF(NOT(EXACT(INDEX($DT$5:$DT$1003,$EX7),INDEX($DT$5:$DT$1003,$EX8))),"S4",IF(NOT(EXACT(INDEX($DS$5:$DS$1003,$EX7),INDEX($DS$5:$DS$1003,$EX8))),"S3",IF(NOT(EXACT(INDEX($DR$5:$DR$1003,$EX7),INDEX($DR$5:$DR$1003,$EX8))),"S1 Count Change","S1")))),"")</f>
        <v/>
      </c>
      <c r="FT8">
        <f>IF($EY8="row",INDEX($ES$5:$ES$1003,$EX8),"")</f>
        <v/>
      </c>
      <c r="FU8">
        <f>IF($EY8="row",INDEX($EO$5:$EO$1003,$EX8),0)</f>
        <v/>
      </c>
      <c r="FV8">
        <f>IF($FS8="S1 Count Change",1,0)</f>
        <v/>
      </c>
      <c r="FX8" t="n">
        <v>4</v>
      </c>
      <c r="FY8">
        <f>IFERROR(MATCH($FX8,$EF$5:$EF$1003,0),0)</f>
        <v/>
      </c>
      <c r="FZ8">
        <f>IF($FY8=0,"",INDEX($DH$5:$DH$1003,$FY8))</f>
        <v/>
      </c>
      <c r="GA8">
        <f>IF($FY8=0,"",COUNTIF($EG$5:$EG$1003,$FX8))</f>
        <v/>
      </c>
      <c r="GB8">
        <f>IF($FY8=0,"",INDEX($ER$5:$ER$1003,$FY8))</f>
        <v/>
      </c>
      <c r="GC8">
        <f>IF($FY8=0,"",IF(INDEX($EO$5:$EO$1003,$FY8)=1,"Yes",""))</f>
        <v/>
      </c>
      <c r="GD8">
        <f>IF($FY8=0,"",IF(INDEX($EN$5:$EN$1003,$FY8)&gt;0,"","NOT IN YOUR LIST - type it in column A to tick it"))</f>
        <v/>
      </c>
      <c r="GE8">
        <f>IF(AND($FY8&gt;0,$GD8&lt;&gt;""),1,0)</f>
        <v/>
      </c>
      <c r="GF8">
        <f>GF7+$GE8</f>
        <v/>
      </c>
      <c r="GG8">
        <f>IFERROR(INDEX($FZ$5:$FZ$104,MATCH($FX8,$GF$5:$GF$104,0)),"")</f>
        <v/>
      </c>
    </row>
    <row r="9">
      <c r="A9" t="inlineStr">
        <is>
          <t>Work orders in rows 1-1000</t>
        </is>
      </c>
      <c r="B9">
        <f>$DL$1003</f>
        <v/>
      </c>
      <c r="D9" t="n">
        <v>5</v>
      </c>
      <c r="E9" t="inlineStr">
        <is>
          <t>desc</t>
        </is>
      </c>
      <c r="F9" t="inlineStr">
        <is>
          <t>Product Description</t>
        </is>
      </c>
      <c r="G9" t="n">
        <v>32</v>
      </c>
      <c r="H9">
        <f>IFERROR(UPPER(TRIM('2. Check Columns'!$F$17&amp;"")),"#")</f>
        <v/>
      </c>
      <c r="I9">
        <f>IF(H9="",0,IF(OR(H9="-",H9="NONE"),-1,IFERROR(MATCH(1,INDEX(--EXACT($T$5:$T$64,H9),0),0),-2)))</f>
        <v/>
      </c>
      <c r="J9">
        <f>IF(I9&lt;=0,IF(I9=-1,-1,0),IF(COUNTIF($I$5:I8,I9)&gt;0,0,I9))</f>
        <v/>
      </c>
      <c r="K9">
        <f>IFERROR(MATCH(5,$Y$235:$CF$235,0),0)</f>
        <v/>
      </c>
      <c r="L9">
        <f>IFERROR(MATCH(5,$Y$239:$CF$239,0),0)</f>
        <v/>
      </c>
      <c r="M9">
        <f>IF(K9=0,"(not found)",INDEX($T$5:$T$64,K9))</f>
        <v/>
      </c>
      <c r="N9">
        <f>IF(L9=0,IF(J9=-1,"(left out)","(none)"),INDEX($T$5:$T$64,L9))</f>
        <v/>
      </c>
      <c r="O9">
        <f>IF(L9=0,"",IFERROR(TRIM(SUBSTITUTE(SUBSTITUTE(SUBSTITUTE(SUBSTITUTE(INDEX(PASTE_ALL,HEADER_ROW,L9)&amp;""," "," "),CHAR(9)," "),CHAR(10)," "),CHAR(13)," ")),""))</f>
        <v/>
      </c>
      <c r="P9">
        <f>IF(OR(L9=0,$B$16=0),"",IFERROR(IF(ISNUMBER(INDEX(PASTE_ALL,$B$16,L9)),INDEX(PASTE_ALL,$B$16,L9),TRIM(SUBSTITUTE(SUBSTITUTE(SUBSTITUTE(SUBSTITUTE(INDEX(PASTE_ALL,$B$16,L9)&amp;""," "," "),CHAR(9)," "),CHAR(10)," "),CHAR(13)," "))),""))</f>
        <v/>
      </c>
      <c r="Q9">
        <f>IF(I9=-2,"'"&amp;H9&amp;"' is not a column letter from A to BH - ignored",IF(AND(I9&gt;0,J9=0),"Column "&amp;H9&amp;" is already used by "&amp;INDEX($F$5:$F$19,MATCH(I9,$I$5:$I$19,0))&amp;" - ignored",IF(AND(J9=0,K9&gt;0,COUNTIF($J$5:$J$19,K9)&gt;0),"Column "&amp;M9&amp;" is used by "&amp;INDEX($F$5:$F$19,MATCH(K9,$J$5:$J$19,0))&amp;" (Override)"&amp;IF(L9&gt;0," - using column "&amp;N9&amp;" instead"," - not used"),IF(AND(J9&gt;0,K9&gt;0,J9&lt;&gt;K9),"Override in use - this file's own title for it is in column "&amp;M9&amp;" ("&amp;IFERROR(TRIM(SUBSTITUTE(SUBSTITUTE(SUBSTITUTE(SUBSTITUTE(INDEX(PASTE_ALL,HEADER_ROW,K9)&amp;""," "," "),CHAR(9)," "),CHAR(10)," "),CHAR(13)," ")),"")&amp;"). Clear the Override if that is right.",IF(AND(J9=-1,K9&gt;0),"Left out by the Override - this file has it in column "&amp;M9&amp;" ("&amp;IFERROR(TRIM(SUBSTITUTE(SUBSTITUTE(SUBSTITUTE(SUBSTITUTE(INDEX(PASTE_ALL,HEADER_ROW,K9)&amp;""," "," "),CHAR(9)," "),CHAR(10)," "),CHAR(13)," ")),"")&amp;").","")))))</f>
        <v/>
      </c>
      <c r="R9">
        <f>IF(OR(AND(J9&gt;0,K9&gt;0,J9&lt;&gt;K9),AND(J9=-1,K9&gt;0),AND(J9=0,K9&gt;0,COUNTIF($J$5:$J$19,K9)&gt;0)),1,0)</f>
        <v/>
      </c>
      <c r="S9" t="n">
        <v>5</v>
      </c>
      <c r="T9" t="inlineStr">
        <is>
          <t>E</t>
        </is>
      </c>
      <c r="V9" t="inlineStr">
        <is>
          <t>LINENO</t>
        </is>
      </c>
      <c r="W9" t="n">
        <v>1</v>
      </c>
      <c r="Y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 ",""),"!",""),CHAR(34),""),"#",""),"$",""),"%",""),"&amp;",""),"'",""),"(",""),")",""),"*",""),"+",""),",",""),"-",""),".",""),"/",""),":",""),";",""),"&lt;",""),"=",""),"&gt;",""),"?",""),"@",""),"[",""),"\",""),"]",""),"^",""),"_",""),"`",""),"{",""),"|",""),"}",""),"~",""),CHAR(9),""),CHAR(10),""),CHAR(13),"")," ",""),"")</f>
        <v/>
      </c>
      <c r="Z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 ",""),"!",""),CHAR(34),""),"#",""),"$",""),"%",""),"&amp;",""),"'",""),"(",""),")",""),"*",""),"+",""),",",""),"-",""),".",""),"/",""),":",""),";",""),"&lt;",""),"=",""),"&gt;",""),"?",""),"@",""),"[",""),"\",""),"]",""),"^",""),"_",""),"`",""),"{",""),"|",""),"}",""),"~",""),CHAR(9),""),CHAR(10),""),CHAR(13),"")," ",""),"")</f>
        <v/>
      </c>
      <c r="AA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 ",""),"!",""),CHAR(34),""),"#",""),"$",""),"%",""),"&amp;",""),"'",""),"(",""),")",""),"*",""),"+",""),",",""),"-",""),".",""),"/",""),":",""),";",""),"&lt;",""),"=",""),"&gt;",""),"?",""),"@",""),"[",""),"\",""),"]",""),"^",""),"_",""),"`",""),"{",""),"|",""),"}",""),"~",""),CHAR(9),""),CHAR(10),""),CHAR(13),"")," ",""),"")</f>
        <v/>
      </c>
      <c r="AB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 ",""),"!",""),CHAR(34),""),"#",""),"$",""),"%",""),"&amp;",""),"'",""),"(",""),")",""),"*",""),"+",""),",",""),"-",""),".",""),"/",""),":",""),";",""),"&lt;",""),"=",""),"&gt;",""),"?",""),"@",""),"[",""),"\",""),"]",""),"^",""),"_",""),"`",""),"{",""),"|",""),"}",""),"~",""),CHAR(9),""),CHAR(10),""),CHAR(13),"")," ",""),"")</f>
        <v/>
      </c>
      <c r="AC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 ",""),"!",""),CHAR(34),""),"#",""),"$",""),"%",""),"&amp;",""),"'",""),"(",""),")",""),"*",""),"+",""),",",""),"-",""),".",""),"/",""),":",""),";",""),"&lt;",""),"=",""),"&gt;",""),"?",""),"@",""),"[",""),"\",""),"]",""),"^",""),"_",""),"`",""),"{",""),"|",""),"}",""),"~",""),CHAR(9),""),CHAR(10),""),CHAR(13),"")," ",""),"")</f>
        <v/>
      </c>
      <c r="AD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5,6))," ",""),"!",""),CHAR(34),""),"#",""),"$",""),"%",""),"&amp;",""),"'",""),"(",""),")",""),"*",""),"+",""),",",""),"-",""),".",""),"/",""),":",""),";",""),"&lt;",""),"=",""),"&gt;",""),"?",""),"@",""),"[",""),"\",""),"]",""),"^",""),"_",""),"`",""),"{",""),"|",""),"}",""),"~",""),CHAR(9),""),CHAR(10),""),CHAR(13),"")," ",""),"")</f>
        <v/>
      </c>
      <c r="AE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5,7))," ",""),"!",""),CHAR(34),""),"#",""),"$",""),"%",""),"&amp;",""),"'",""),"(",""),")",""),"*",""),"+",""),",",""),"-",""),".",""),"/",""),":",""),";",""),"&lt;",""),"=",""),"&gt;",""),"?",""),"@",""),"[",""),"\",""),"]",""),"^",""),"_",""),"`",""),"{",""),"|",""),"}",""),"~",""),CHAR(9),""),CHAR(10),""),CHAR(13),"")," ",""),"")</f>
        <v/>
      </c>
      <c r="AF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5,8))," ",""),"!",""),CHAR(34),""),"#",""),"$",""),"%",""),"&amp;",""),"'",""),"(",""),")",""),"*",""),"+",""),",",""),"-",""),".",""),"/",""),":",""),";",""),"&lt;",""),"=",""),"&gt;",""),"?",""),"@",""),"[",""),"\",""),"]",""),"^",""),"_",""),"`",""),"{",""),"|",""),"}",""),"~",""),CHAR(9),""),CHAR(10),""),CHAR(13),"")," ",""),"")</f>
        <v/>
      </c>
      <c r="AG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5,9))," ",""),"!",""),CHAR(34),""),"#",""),"$",""),"%",""),"&amp;",""),"'",""),"(",""),")",""),"*",""),"+",""),",",""),"-",""),".",""),"/",""),":",""),";",""),"&lt;",""),"=",""),"&gt;",""),"?",""),"@",""),"[",""),"\",""),"]",""),"^",""),"_",""),"`",""),"{",""),"|",""),"}",""),"~",""),CHAR(9),""),CHAR(10),""),CHAR(13),"")," ",""),"")</f>
        <v/>
      </c>
      <c r="AH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5,10))," ",""),"!",""),CHAR(34),""),"#",""),"$",""),"%",""),"&amp;",""),"'",""),"(",""),")",""),"*",""),"+",""),",",""),"-",""),".",""),"/",""),":",""),";",""),"&lt;",""),"=",""),"&gt;",""),"?",""),"@",""),"[",""),"\",""),"]",""),"^",""),"_",""),"`",""),"{",""),"|",""),"}",""),"~",""),CHAR(9),""),CHAR(10),""),CHAR(13),"")," ",""),"")</f>
        <v/>
      </c>
      <c r="AI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5,11))," ",""),"!",""),CHAR(34),""),"#",""),"$",""),"%",""),"&amp;",""),"'",""),"(",""),")",""),"*",""),"+",""),",",""),"-",""),".",""),"/",""),":",""),";",""),"&lt;",""),"=",""),"&gt;",""),"?",""),"@",""),"[",""),"\",""),"]",""),"^",""),"_",""),"`",""),"{",""),"|",""),"}",""),"~",""),CHAR(9),""),CHAR(10),""),CHAR(13),"")," ",""),"")</f>
        <v/>
      </c>
      <c r="AJ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5,12))," ",""),"!",""),CHAR(34),""),"#",""),"$",""),"%",""),"&amp;",""),"'",""),"(",""),")",""),"*",""),"+",""),",",""),"-",""),".",""),"/",""),":",""),";",""),"&lt;",""),"=",""),"&gt;",""),"?",""),"@",""),"[",""),"\",""),"]",""),"^",""),"_",""),"`",""),"{",""),"|",""),"}",""),"~",""),CHAR(9),""),CHAR(10),""),CHAR(13),"")," ",""),"")</f>
        <v/>
      </c>
      <c r="AK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5,13))," ",""),"!",""),CHAR(34),""),"#",""),"$",""),"%",""),"&amp;",""),"'",""),"(",""),")",""),"*",""),"+",""),",",""),"-",""),".",""),"/",""),":",""),";",""),"&lt;",""),"=",""),"&gt;",""),"?",""),"@",""),"[",""),"\",""),"]",""),"^",""),"_",""),"`",""),"{",""),"|",""),"}",""),"~",""),CHAR(9),""),CHAR(10),""),CHAR(13),"")," ",""),"")</f>
        <v/>
      </c>
      <c r="AL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5,14))," ",""),"!",""),CHAR(34),""),"#",""),"$",""),"%",""),"&amp;",""),"'",""),"(",""),")",""),"*",""),"+",""),",",""),"-",""),".",""),"/",""),":",""),";",""),"&lt;",""),"=",""),"&gt;",""),"?",""),"@",""),"[",""),"\",""),"]",""),"^",""),"_",""),"`",""),"{",""),"|",""),"}",""),"~",""),CHAR(9),""),CHAR(10),""),CHAR(13),"")," ",""),"")</f>
        <v/>
      </c>
      <c r="AM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5,15))," ",""),"!",""),CHAR(34),""),"#",""),"$",""),"%",""),"&amp;",""),"'",""),"(",""),")",""),"*",""),"+",""),",",""),"-",""),".",""),"/",""),":",""),";",""),"&lt;",""),"=",""),"&gt;",""),"?",""),"@",""),"[",""),"\",""),"]",""),"^",""),"_",""),"`",""),"{",""),"|",""),"}",""),"~",""),CHAR(9),""),CHAR(10),""),CHAR(13),"")," ",""),"")</f>
        <v/>
      </c>
      <c r="AN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5,16))," ",""),"!",""),CHAR(34),""),"#",""),"$",""),"%",""),"&amp;",""),"'",""),"(",""),")",""),"*",""),"+",""),",",""),"-",""),".",""),"/",""),":",""),";",""),"&lt;",""),"=",""),"&gt;",""),"?",""),"@",""),"[",""),"\",""),"]",""),"^",""),"_",""),"`",""),"{",""),"|",""),"}",""),"~",""),CHAR(9),""),CHAR(10),""),CHAR(13),"")," ",""),"")</f>
        <v/>
      </c>
      <c r="AO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5,17))," ",""),"!",""),CHAR(34),""),"#",""),"$",""),"%",""),"&amp;",""),"'",""),"(",""),")",""),"*",""),"+",""),",",""),"-",""),".",""),"/",""),":",""),";",""),"&lt;",""),"=",""),"&gt;",""),"?",""),"@",""),"[",""),"\",""),"]",""),"^",""),"_",""),"`",""),"{",""),"|",""),"}",""),"~",""),CHAR(9),""),CHAR(10),""),CHAR(13),"")," ",""),"")</f>
        <v/>
      </c>
      <c r="AP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5,18))," ",""),"!",""),CHAR(34),""),"#",""),"$",""),"%",""),"&amp;",""),"'",""),"(",""),")",""),"*",""),"+",""),",",""),"-",""),".",""),"/",""),":",""),";",""),"&lt;",""),"=",""),"&gt;",""),"?",""),"@",""),"[",""),"\",""),"]",""),"^",""),"_",""),"`",""),"{",""),"|",""),"}",""),"~",""),CHAR(9),""),CHAR(10),""),CHAR(13),"")," ",""),"")</f>
        <v/>
      </c>
      <c r="AQ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5,19))," ",""),"!",""),CHAR(34),""),"#",""),"$",""),"%",""),"&amp;",""),"'",""),"(",""),")",""),"*",""),"+",""),",",""),"-",""),".",""),"/",""),":",""),";",""),"&lt;",""),"=",""),"&gt;",""),"?",""),"@",""),"[",""),"\",""),"]",""),"^",""),"_",""),"`",""),"{",""),"|",""),"}",""),"~",""),CHAR(9),""),CHAR(10),""),CHAR(13),"")," ",""),"")</f>
        <v/>
      </c>
      <c r="AR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5,20))," ",""),"!",""),CHAR(34),""),"#",""),"$",""),"%",""),"&amp;",""),"'",""),"(",""),")",""),"*",""),"+",""),",",""),"-",""),".",""),"/",""),":",""),";",""),"&lt;",""),"=",""),"&gt;",""),"?",""),"@",""),"[",""),"\",""),"]",""),"^",""),"_",""),"`",""),"{",""),"|",""),"}",""),"~",""),CHAR(9),""),CHAR(10),""),CHAR(13),"")," ",""),"")</f>
        <v/>
      </c>
      <c r="AS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5,21))," ",""),"!",""),CHAR(34),""),"#",""),"$",""),"%",""),"&amp;",""),"'",""),"(",""),")",""),"*",""),"+",""),",",""),"-",""),".",""),"/",""),":",""),";",""),"&lt;",""),"=",""),"&gt;",""),"?",""),"@",""),"[",""),"\",""),"]",""),"^",""),"_",""),"`",""),"{",""),"|",""),"}",""),"~",""),CHAR(9),""),CHAR(10),""),CHAR(13),"")," ",""),"")</f>
        <v/>
      </c>
      <c r="AT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5,22))," ",""),"!",""),CHAR(34),""),"#",""),"$",""),"%",""),"&amp;",""),"'",""),"(",""),")",""),"*",""),"+",""),",",""),"-",""),".",""),"/",""),":",""),";",""),"&lt;",""),"=",""),"&gt;",""),"?",""),"@",""),"[",""),"\",""),"]",""),"^",""),"_",""),"`",""),"{",""),"|",""),"}",""),"~",""),CHAR(9),""),CHAR(10),""),CHAR(13),"")," ",""),"")</f>
        <v/>
      </c>
      <c r="AU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5,23))," ",""),"!",""),CHAR(34),""),"#",""),"$",""),"%",""),"&amp;",""),"'",""),"(",""),")",""),"*",""),"+",""),",",""),"-",""),".",""),"/",""),":",""),";",""),"&lt;",""),"=",""),"&gt;",""),"?",""),"@",""),"[",""),"\",""),"]",""),"^",""),"_",""),"`",""),"{",""),"|",""),"}",""),"~",""),CHAR(9),""),CHAR(10),""),CHAR(13),"")," ",""),"")</f>
        <v/>
      </c>
      <c r="AV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5,24))," ",""),"!",""),CHAR(34),""),"#",""),"$",""),"%",""),"&amp;",""),"'",""),"(",""),")",""),"*",""),"+",""),",",""),"-",""),".",""),"/",""),":",""),";",""),"&lt;",""),"=",""),"&gt;",""),"?",""),"@",""),"[",""),"\",""),"]",""),"^",""),"_",""),"`",""),"{",""),"|",""),"}",""),"~",""),CHAR(9),""),CHAR(10),""),CHAR(13),"")," ",""),"")</f>
        <v/>
      </c>
      <c r="AW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5,25))," ",""),"!",""),CHAR(34),""),"#",""),"$",""),"%",""),"&amp;",""),"'",""),"(",""),")",""),"*",""),"+",""),",",""),"-",""),".",""),"/",""),":",""),";",""),"&lt;",""),"=",""),"&gt;",""),"?",""),"@",""),"[",""),"\",""),"]",""),"^",""),"_",""),"`",""),"{",""),"|",""),"}",""),"~",""),CHAR(9),""),CHAR(10),""),CHAR(13),"")," ",""),"")</f>
        <v/>
      </c>
      <c r="AX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5,26))," ",""),"!",""),CHAR(34),""),"#",""),"$",""),"%",""),"&amp;",""),"'",""),"(",""),")",""),"*",""),"+",""),",",""),"-",""),".",""),"/",""),":",""),";",""),"&lt;",""),"=",""),"&gt;",""),"?",""),"@",""),"[",""),"\",""),"]",""),"^",""),"_",""),"`",""),"{",""),"|",""),"}",""),"~",""),CHAR(9),""),CHAR(10),""),CHAR(13),"")," ",""),"")</f>
        <v/>
      </c>
      <c r="AY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5,27))," ",""),"!",""),CHAR(34),""),"#",""),"$",""),"%",""),"&amp;",""),"'",""),"(",""),")",""),"*",""),"+",""),",",""),"-",""),".",""),"/",""),":",""),";",""),"&lt;",""),"=",""),"&gt;",""),"?",""),"@",""),"[",""),"\",""),"]",""),"^",""),"_",""),"`",""),"{",""),"|",""),"}",""),"~",""),CHAR(9),""),CHAR(10),""),CHAR(13),"")," ",""),"")</f>
        <v/>
      </c>
      <c r="AZ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5,28))," ",""),"!",""),CHAR(34),""),"#",""),"$",""),"%",""),"&amp;",""),"'",""),"(",""),")",""),"*",""),"+",""),",",""),"-",""),".",""),"/",""),":",""),";",""),"&lt;",""),"=",""),"&gt;",""),"?",""),"@",""),"[",""),"\",""),"]",""),"^",""),"_",""),"`",""),"{",""),"|",""),"}",""),"~",""),CHAR(9),""),CHAR(10),""),CHAR(13),"")," ",""),"")</f>
        <v/>
      </c>
      <c r="BA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5,29))," ",""),"!",""),CHAR(34),""),"#",""),"$",""),"%",""),"&amp;",""),"'",""),"(",""),")",""),"*",""),"+",""),",",""),"-",""),".",""),"/",""),":",""),";",""),"&lt;",""),"=",""),"&gt;",""),"?",""),"@",""),"[",""),"\",""),"]",""),"^",""),"_",""),"`",""),"{",""),"|",""),"}",""),"~",""),CHAR(9),""),CHAR(10),""),CHAR(13),"")," ",""),"")</f>
        <v/>
      </c>
      <c r="BB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5,30))," ",""),"!",""),CHAR(34),""),"#",""),"$",""),"%",""),"&amp;",""),"'",""),"(",""),")",""),"*",""),"+",""),",",""),"-",""),".",""),"/",""),":",""),";",""),"&lt;",""),"=",""),"&gt;",""),"?",""),"@",""),"[",""),"\",""),"]",""),"^",""),"_",""),"`",""),"{",""),"|",""),"}",""),"~",""),CHAR(9),""),CHAR(10),""),CHAR(13),"")," ",""),"")</f>
        <v/>
      </c>
      <c r="BC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5,31))," ",""),"!",""),CHAR(34),""),"#",""),"$",""),"%",""),"&amp;",""),"'",""),"(",""),")",""),"*",""),"+",""),",",""),"-",""),".",""),"/",""),":",""),";",""),"&lt;",""),"=",""),"&gt;",""),"?",""),"@",""),"[",""),"\",""),"]",""),"^",""),"_",""),"`",""),"{",""),"|",""),"}",""),"~",""),CHAR(9),""),CHAR(10),""),CHAR(13),"")," ",""),"")</f>
        <v/>
      </c>
      <c r="BD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5,32))," ",""),"!",""),CHAR(34),""),"#",""),"$",""),"%",""),"&amp;",""),"'",""),"(",""),")",""),"*",""),"+",""),",",""),"-",""),".",""),"/",""),":",""),";",""),"&lt;",""),"=",""),"&gt;",""),"?",""),"@",""),"[",""),"\",""),"]",""),"^",""),"_",""),"`",""),"{",""),"|",""),"}",""),"~",""),CHAR(9),""),CHAR(10),""),CHAR(13),"")," ",""),"")</f>
        <v/>
      </c>
      <c r="BE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5,33))," ",""),"!",""),CHAR(34),""),"#",""),"$",""),"%",""),"&amp;",""),"'",""),"(",""),")",""),"*",""),"+",""),",",""),"-",""),".",""),"/",""),":",""),";",""),"&lt;",""),"=",""),"&gt;",""),"?",""),"@",""),"[",""),"\",""),"]",""),"^",""),"_",""),"`",""),"{",""),"|",""),"}",""),"~",""),CHAR(9),""),CHAR(10),""),CHAR(13),"")," ",""),"")</f>
        <v/>
      </c>
      <c r="BF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5,34))," ",""),"!",""),CHAR(34),""),"#",""),"$",""),"%",""),"&amp;",""),"'",""),"(",""),")",""),"*",""),"+",""),",",""),"-",""),".",""),"/",""),":",""),";",""),"&lt;",""),"=",""),"&gt;",""),"?",""),"@",""),"[",""),"\",""),"]",""),"^",""),"_",""),"`",""),"{",""),"|",""),"}",""),"~",""),CHAR(9),""),CHAR(10),""),CHAR(13),"")," ",""),"")</f>
        <v/>
      </c>
      <c r="BG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5,35))," ",""),"!",""),CHAR(34),""),"#",""),"$",""),"%",""),"&amp;",""),"'",""),"(",""),")",""),"*",""),"+",""),",",""),"-",""),".",""),"/",""),":",""),";",""),"&lt;",""),"=",""),"&gt;",""),"?",""),"@",""),"[",""),"\",""),"]",""),"^",""),"_",""),"`",""),"{",""),"|",""),"}",""),"~",""),CHAR(9),""),CHAR(10),""),CHAR(13),"")," ",""),"")</f>
        <v/>
      </c>
      <c r="BH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5,36))," ",""),"!",""),CHAR(34),""),"#",""),"$",""),"%",""),"&amp;",""),"'",""),"(",""),")",""),"*",""),"+",""),",",""),"-",""),".",""),"/",""),":",""),";",""),"&lt;",""),"=",""),"&gt;",""),"?",""),"@",""),"[",""),"\",""),"]",""),"^",""),"_",""),"`",""),"{",""),"|",""),"}",""),"~",""),CHAR(9),""),CHAR(10),""),CHAR(13),"")," ",""),"")</f>
        <v/>
      </c>
      <c r="BI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5,37))," ",""),"!",""),CHAR(34),""),"#",""),"$",""),"%",""),"&amp;",""),"'",""),"(",""),")",""),"*",""),"+",""),",",""),"-",""),".",""),"/",""),":",""),";",""),"&lt;",""),"=",""),"&gt;",""),"?",""),"@",""),"[",""),"\",""),"]",""),"^",""),"_",""),"`",""),"{",""),"|",""),"}",""),"~",""),CHAR(9),""),CHAR(10),""),CHAR(13),"")," ",""),"")</f>
        <v/>
      </c>
      <c r="BJ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5,38))," ",""),"!",""),CHAR(34),""),"#",""),"$",""),"%",""),"&amp;",""),"'",""),"(",""),")",""),"*",""),"+",""),",",""),"-",""),".",""),"/",""),":",""),";",""),"&lt;",""),"=",""),"&gt;",""),"?",""),"@",""),"[",""),"\",""),"]",""),"^",""),"_",""),"`",""),"{",""),"|",""),"}",""),"~",""),CHAR(9),""),CHAR(10),""),CHAR(13),"")," ",""),"")</f>
        <v/>
      </c>
      <c r="BK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5,39))," ",""),"!",""),CHAR(34),""),"#",""),"$",""),"%",""),"&amp;",""),"'",""),"(",""),")",""),"*",""),"+",""),",",""),"-",""),".",""),"/",""),":",""),";",""),"&lt;",""),"=",""),"&gt;",""),"?",""),"@",""),"[",""),"\",""),"]",""),"^",""),"_",""),"`",""),"{",""),"|",""),"}",""),"~",""),CHAR(9),""),CHAR(10),""),CHAR(13),"")," ",""),"")</f>
        <v/>
      </c>
      <c r="BL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5,40))," ",""),"!",""),CHAR(34),""),"#",""),"$",""),"%",""),"&amp;",""),"'",""),"(",""),")",""),"*",""),"+",""),",",""),"-",""),".",""),"/",""),":",""),";",""),"&lt;",""),"=",""),"&gt;",""),"?",""),"@",""),"[",""),"\",""),"]",""),"^",""),"_",""),"`",""),"{",""),"|",""),"}",""),"~",""),CHAR(9),""),CHAR(10),""),CHAR(13),"")," ",""),"")</f>
        <v/>
      </c>
      <c r="BM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5,41))," ",""),"!",""),CHAR(34),""),"#",""),"$",""),"%",""),"&amp;",""),"'",""),"(",""),")",""),"*",""),"+",""),",",""),"-",""),".",""),"/",""),":",""),";",""),"&lt;",""),"=",""),"&gt;",""),"?",""),"@",""),"[",""),"\",""),"]",""),"^",""),"_",""),"`",""),"{",""),"|",""),"}",""),"~",""),CHAR(9),""),CHAR(10),""),CHAR(13),"")," ",""),"")</f>
        <v/>
      </c>
      <c r="BN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5,42))," ",""),"!",""),CHAR(34),""),"#",""),"$",""),"%",""),"&amp;",""),"'",""),"(",""),")",""),"*",""),"+",""),",",""),"-",""),".",""),"/",""),":",""),";",""),"&lt;",""),"=",""),"&gt;",""),"?",""),"@",""),"[",""),"\",""),"]",""),"^",""),"_",""),"`",""),"{",""),"|",""),"}",""),"~",""),CHAR(9),""),CHAR(10),""),CHAR(13),"")," ",""),"")</f>
        <v/>
      </c>
      <c r="BO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5,43))," ",""),"!",""),CHAR(34),""),"#",""),"$",""),"%",""),"&amp;",""),"'",""),"(",""),")",""),"*",""),"+",""),",",""),"-",""),".",""),"/",""),":",""),";",""),"&lt;",""),"=",""),"&gt;",""),"?",""),"@",""),"[",""),"\",""),"]",""),"^",""),"_",""),"`",""),"{",""),"|",""),"}",""),"~",""),CHAR(9),""),CHAR(10),""),CHAR(13),"")," ",""),"")</f>
        <v/>
      </c>
      <c r="BP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5,44))," ",""),"!",""),CHAR(34),""),"#",""),"$",""),"%",""),"&amp;",""),"'",""),"(",""),")",""),"*",""),"+",""),",",""),"-",""),".",""),"/",""),":",""),";",""),"&lt;",""),"=",""),"&gt;",""),"?",""),"@",""),"[",""),"\",""),"]",""),"^",""),"_",""),"`",""),"{",""),"|",""),"}",""),"~",""),CHAR(9),""),CHAR(10),""),CHAR(13),"")," ",""),"")</f>
        <v/>
      </c>
      <c r="BQ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5,45))," ",""),"!",""),CHAR(34),""),"#",""),"$",""),"%",""),"&amp;",""),"'",""),"(",""),")",""),"*",""),"+",""),",",""),"-",""),".",""),"/",""),":",""),";",""),"&lt;",""),"=",""),"&gt;",""),"?",""),"@",""),"[",""),"\",""),"]",""),"^",""),"_",""),"`",""),"{",""),"|",""),"}",""),"~",""),CHAR(9),""),CHAR(10),""),CHAR(13),"")," ",""),"")</f>
        <v/>
      </c>
      <c r="BR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5,46))," ",""),"!",""),CHAR(34),""),"#",""),"$",""),"%",""),"&amp;",""),"'",""),"(",""),")",""),"*",""),"+",""),",",""),"-",""),".",""),"/",""),":",""),";",""),"&lt;",""),"=",""),"&gt;",""),"?",""),"@",""),"[",""),"\",""),"]",""),"^",""),"_",""),"`",""),"{",""),"|",""),"}",""),"~",""),CHAR(9),""),CHAR(10),""),CHAR(13),"")," ",""),"")</f>
        <v/>
      </c>
      <c r="BS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5,47))," ",""),"!",""),CHAR(34),""),"#",""),"$",""),"%",""),"&amp;",""),"'",""),"(",""),")",""),"*",""),"+",""),",",""),"-",""),".",""),"/",""),":",""),";",""),"&lt;",""),"=",""),"&gt;",""),"?",""),"@",""),"[",""),"\",""),"]",""),"^",""),"_",""),"`",""),"{",""),"|",""),"}",""),"~",""),CHAR(9),""),CHAR(10),""),CHAR(13),"")," ",""),"")</f>
        <v/>
      </c>
      <c r="BT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5,48))," ",""),"!",""),CHAR(34),""),"#",""),"$",""),"%",""),"&amp;",""),"'",""),"(",""),")",""),"*",""),"+",""),",",""),"-",""),".",""),"/",""),":",""),";",""),"&lt;",""),"=",""),"&gt;",""),"?",""),"@",""),"[",""),"\",""),"]",""),"^",""),"_",""),"`",""),"{",""),"|",""),"}",""),"~",""),CHAR(9),""),CHAR(10),""),CHAR(13),"")," ",""),"")</f>
        <v/>
      </c>
      <c r="BU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5,49))," ",""),"!",""),CHAR(34),""),"#",""),"$",""),"%",""),"&amp;",""),"'",""),"(",""),")",""),"*",""),"+",""),",",""),"-",""),".",""),"/",""),":",""),";",""),"&lt;",""),"=",""),"&gt;",""),"?",""),"@",""),"[",""),"\",""),"]",""),"^",""),"_",""),"`",""),"{",""),"|",""),"}",""),"~",""),CHAR(9),""),CHAR(10),""),CHAR(13),"")," ",""),"")</f>
        <v/>
      </c>
      <c r="BV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5,50))," ",""),"!",""),CHAR(34),""),"#",""),"$",""),"%",""),"&amp;",""),"'",""),"(",""),")",""),"*",""),"+",""),",",""),"-",""),".",""),"/",""),":",""),";",""),"&lt;",""),"=",""),"&gt;",""),"?",""),"@",""),"[",""),"\",""),"]",""),"^",""),"_",""),"`",""),"{",""),"|",""),"}",""),"~",""),CHAR(9),""),CHAR(10),""),CHAR(13),"")," ",""),"")</f>
        <v/>
      </c>
      <c r="BW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5,51))," ",""),"!",""),CHAR(34),""),"#",""),"$",""),"%",""),"&amp;",""),"'",""),"(",""),")",""),"*",""),"+",""),",",""),"-",""),".",""),"/",""),":",""),";",""),"&lt;",""),"=",""),"&gt;",""),"?",""),"@",""),"[",""),"\",""),"]",""),"^",""),"_",""),"`",""),"{",""),"|",""),"}",""),"~",""),CHAR(9),""),CHAR(10),""),CHAR(13),"")," ",""),"")</f>
        <v/>
      </c>
      <c r="BX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5,52))," ",""),"!",""),CHAR(34),""),"#",""),"$",""),"%",""),"&amp;",""),"'",""),"(",""),")",""),"*",""),"+",""),",",""),"-",""),".",""),"/",""),":",""),";",""),"&lt;",""),"=",""),"&gt;",""),"?",""),"@",""),"[",""),"\",""),"]",""),"^",""),"_",""),"`",""),"{",""),"|",""),"}",""),"~",""),CHAR(9),""),CHAR(10),""),CHAR(13),"")," ",""),"")</f>
        <v/>
      </c>
      <c r="BY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5,53))," ",""),"!",""),CHAR(34),""),"#",""),"$",""),"%",""),"&amp;",""),"'",""),"(",""),")",""),"*",""),"+",""),",",""),"-",""),".",""),"/",""),":",""),";",""),"&lt;",""),"=",""),"&gt;",""),"?",""),"@",""),"[",""),"\",""),"]",""),"^",""),"_",""),"`",""),"{",""),"|",""),"}",""),"~",""),CHAR(9),""),CHAR(10),""),CHAR(13),"")," ",""),"")</f>
        <v/>
      </c>
      <c r="BZ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5,54))," ",""),"!",""),CHAR(34),""),"#",""),"$",""),"%",""),"&amp;",""),"'",""),"(",""),")",""),"*",""),"+",""),",",""),"-",""),".",""),"/",""),":",""),";",""),"&lt;",""),"=",""),"&gt;",""),"?",""),"@",""),"[",""),"\",""),"]",""),"^",""),"_",""),"`",""),"{",""),"|",""),"}",""),"~",""),CHAR(9),""),CHAR(10),""),CHAR(13),"")," ",""),"")</f>
        <v/>
      </c>
      <c r="CA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5,55))," ",""),"!",""),CHAR(34),""),"#",""),"$",""),"%",""),"&amp;",""),"'",""),"(",""),")",""),"*",""),"+",""),",",""),"-",""),".",""),"/",""),":",""),";",""),"&lt;",""),"=",""),"&gt;",""),"?",""),"@",""),"[",""),"\",""),"]",""),"^",""),"_",""),"`",""),"{",""),"|",""),"}",""),"~",""),CHAR(9),""),CHAR(10),""),CHAR(13),"")," ",""),"")</f>
        <v/>
      </c>
      <c r="CB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5,56))," ",""),"!",""),CHAR(34),""),"#",""),"$",""),"%",""),"&amp;",""),"'",""),"(",""),")",""),"*",""),"+",""),",",""),"-",""),".",""),"/",""),":",""),";",""),"&lt;",""),"=",""),"&gt;",""),"?",""),"@",""),"[",""),"\",""),"]",""),"^",""),"_",""),"`",""),"{",""),"|",""),"}",""),"~",""),CHAR(9),""),CHAR(10),""),CHAR(13),"")," ",""),"")</f>
        <v/>
      </c>
      <c r="CC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5,57))," ",""),"!",""),CHAR(34),""),"#",""),"$",""),"%",""),"&amp;",""),"'",""),"(",""),")",""),"*",""),"+",""),",",""),"-",""),".",""),"/",""),":",""),";",""),"&lt;",""),"=",""),"&gt;",""),"?",""),"@",""),"[",""),"\",""),"]",""),"^",""),"_",""),"`",""),"{",""),"|",""),"}",""),"~",""),CHAR(9),""),CHAR(10),""),CHAR(13),"")," ",""),"")</f>
        <v/>
      </c>
      <c r="CD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5,58))," ",""),"!",""),CHAR(34),""),"#",""),"$",""),"%",""),"&amp;",""),"'",""),"(",""),")",""),"*",""),"+",""),",",""),"-",""),".",""),"/",""),":",""),";",""),"&lt;",""),"=",""),"&gt;",""),"?",""),"@",""),"[",""),"\",""),"]",""),"^",""),"_",""),"`",""),"{",""),"|",""),"}",""),"~",""),CHAR(9),""),CHAR(10),""),CHAR(13),"")," ",""),"")</f>
        <v/>
      </c>
      <c r="CE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5,59))," ",""),"!",""),CHAR(34),""),"#",""),"$",""),"%",""),"&amp;",""),"'",""),"(",""),")",""),"*",""),"+",""),",",""),"-",""),".",""),"/",""),":",""),";",""),"&lt;",""),"=",""),"&gt;",""),"?",""),"@",""),"[",""),"\",""),"]",""),"^",""),"_",""),"`",""),"{",""),"|",""),"}",""),"~",""),CHAR(9),""),CHAR(10),""),CHAR(13),"")," ",""),"")</f>
        <v/>
      </c>
      <c r="CF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5,60))," ",""),"!",""),CHAR(34),""),"#",""),"$",""),"%",""),"&amp;",""),"'",""),"(",""),")",""),"*",""),"+",""),",",""),"-",""),".",""),"/",""),":",""),";",""),"&lt;",""),"=",""),"&gt;",""),"?",""),"@",""),"[",""),"\",""),"]",""),"^",""),"_",""),"`",""),"{",""),"|",""),"}",""),"~",""),CHAR(9),""),CHAR(10),""),CHAR(13),"")," ",""),"")</f>
        <v/>
      </c>
      <c r="CH9">
        <f>COUNTIF($Y54:$CF54,"&gt;0")</f>
        <v/>
      </c>
      <c r="CI9">
        <f>COUNTIF($Y54:$CF54,2)</f>
        <v/>
      </c>
      <c r="CJ9">
        <f>SUMPRODUCT((COUNTIF($Y99:$CF99,{1,2,3,4,5,6,7,8,9,10,11,12,13,14,15})&gt;0)*{2,4,8,16,32,64,128,256,512,1024,2048,4096,8192,16384,32768})</f>
        <v/>
      </c>
      <c r="CK9">
        <f>CF189</f>
        <v/>
      </c>
      <c r="CL9">
        <f>SUMPRODUCT(MOD(INT(((CJ9+CK9))/{2,4,8,16,32,64,128,256,512,1024,2048,4096,8192,16384,32768}),2))</f>
        <v/>
      </c>
      <c r="CM9">
        <f>IF(CH9&lt;2,-9999,CL9+2*MOD(INT(((CJ9+CK9))/2),2)+2*MOD(INT(((CJ9+CK9))/4),2)-CI9)</f>
        <v/>
      </c>
      <c r="DA9" t="n">
        <v>5</v>
      </c>
      <c r="DB9">
        <f>IF($B$37=0,"",IFERROR(TRIM(SUBSTITUTE(SUBSTITUTE(SUBSTITUTE(SUBSTITUTE(INDEX(PASTE_ALL,5,$B$37)," "," "),CHAR(9)," "),CHAR(10)," "),CHAR(13)," ")),""))</f>
        <v/>
      </c>
      <c r="DC9">
        <f>IF(AND(5&gt;HEADER_ROW,UPPER(DB9)="LEGEND"),1,0)</f>
        <v/>
      </c>
      <c r="DE9" t="n">
        <v>5</v>
      </c>
      <c r="DF9">
        <f>HEADER_ROW+$DE9</f>
        <v/>
      </c>
      <c r="DG9">
        <f>IF(AND($DF9&lt;=1000,$DF9&lt;$B$8),1,0)</f>
        <v/>
      </c>
      <c r="DH9">
        <f>IF($DG9=1,IFERROR(INDEX($DB$5:$DB$1004,$DF9),""),"")</f>
        <v/>
      </c>
      <c r="DI9">
        <f>IF(AND($DG9=1,$DH9&lt;&gt;""),IFERROR(SUBSTITUTE(SUBSTITUTE(TRIM(SUBSTITUTE(SUBSTITUTE(SUBSTITUTE(SUBSTITUTE(IFERROR(INDEX(PASTE_ALL,$DF9,1)&amp;"","")&amp;"␟"&amp;IFERROR(INDEX(PASTE_ALL,$DF9,2)&amp;"","")&amp;"␟"&amp;IFERROR(INDEX(PASTE_ALL,$DF9,3)&amp;"","")&amp;"␟"&amp;IFERROR(INDEX(PASTE_ALL,$DF9,4)&amp;"","")&amp;"␟"&amp;IFERROR(INDEX(PASTE_ALL,$DF9,5)&amp;"","")&amp;"␟"&amp;IFERROR(INDEX(PASTE_ALL,$DF9,6)&amp;"","")&amp;"␟"&amp;IFERROR(INDEX(PASTE_ALL,$DF9,7)&amp;"","")&amp;"␟"&amp;IFERROR(INDEX(PASTE_ALL,$DF9,8)&amp;"","")&amp;"␟"&amp;IFERROR(INDEX(PASTE_ALL,$DF9,9)&amp;"","")&amp;"␟"&amp;IFERROR(INDEX(PASTE_ALL,$DF9,10)&amp;"","")&amp;"␟"&amp;IFERROR(INDEX(PASTE_ALL,$DF9,11)&amp;"","")&amp;"␟"&amp;IFERROR(INDEX(PASTE_ALL,$DF9,12)&amp;"","")&amp;"␟"&amp;IFERROR(INDEX(PASTE_ALL,$DF9,13)&amp;"","")&amp;"␟"&amp;IFERROR(INDEX(PASTE_ALL,$DF9,14)&amp;"","")&amp;"␟"&amp;IFERROR(INDEX(PASTE_ALL,$DF9,15)&amp;"","")&amp;"␟"&amp;IFERROR(INDEX(PASTE_ALL,$DF9,16)&amp;"","")&amp;"␟"&amp;IFERROR(INDEX(PASTE_ALL,$DF9,17)&amp;"","")&amp;"␟"&amp;IFERROR(INDEX(PASTE_ALL,$DF9,18)&amp;"","")&amp;"␟"&amp;IFERROR(INDEX(PASTE_ALL,$DF9,19)&amp;"","")&amp;"␟"&amp;IFERROR(INDEX(PASTE_ALL,$DF9,20)&amp;"","")&amp;"␟"&amp;IFERROR(INDEX(PASTE_ALL,$DF9,21)&amp;"","")&amp;"␟"&amp;IFERROR(INDEX(PASTE_ALL,$DF9,22)&amp;"","")&amp;"␟"&amp;IFERROR(INDEX(PASTE_ALL,$DF9,23)&amp;"","")&amp;"␟"&amp;IFERROR(INDEX(PASTE_ALL,$DF9,24)&amp;"","")&amp;"␟"&amp;IFERROR(INDEX(PASTE_ALL,$DF9,25)&amp;"","")&amp;"␟"&amp;IFERROR(INDEX(PASTE_ALL,$DF9,26)&amp;"","")&amp;"␟"&amp;IFERROR(INDEX(PASTE_ALL,$DF9,27)&amp;"","")&amp;"␟"&amp;IFERROR(INDEX(PASTE_ALL,$DF9,28)&amp;"","")&amp;"␟"&amp;IFERROR(INDEX(PASTE_ALL,$DF9,29)&amp;"","")&amp;"␟"&amp;IFERROR(INDEX(PASTE_ALL,$DF9,30)&amp;"","")&amp;"␟"&amp;IFERROR(INDEX(PASTE_ALL,$DF9,31)&amp;"","")&amp;"␟"&amp;IFERROR(INDEX(PASTE_ALL,$DF9,32)&amp;"","")&amp;"␟"&amp;IFERROR(INDEX(PASTE_ALL,$DF9,33)&amp;"","")&amp;"␟"&amp;IFERROR(INDEX(PASTE_ALL,$DF9,34)&amp;"","")&amp;"␟"&amp;IFERROR(INDEX(PASTE_ALL,$DF9,35)&amp;"","")&amp;"␟"&amp;IFERROR(INDEX(PASTE_ALL,$DF9,36)&amp;"","")&amp;"␟"&amp;IFERROR(INDEX(PASTE_ALL,$DF9,37)&amp;"","")&amp;"␟"&amp;IFERROR(INDEX(PASTE_ALL,$DF9,38)&amp;"","")&amp;"␟"&amp;IFERROR(INDEX(PASTE_ALL,$DF9,39)&amp;"","")&amp;"␟"&amp;IFERROR(INDEX(PASTE_ALL,$DF9,40)&amp;"","")&amp;"␟"&amp;IFERROR(INDEX(PASTE_ALL,$DF9,41)&amp;"","")&amp;"␟"&amp;IFERROR(INDEX(PASTE_ALL,$DF9,42)&amp;"","")&amp;"␟"&amp;IFERROR(INDEX(PASTE_ALL,$DF9,43)&amp;"","")&amp;"␟"&amp;IFERROR(INDEX(PASTE_ALL,$DF9,44)&amp;"","")&amp;"␟"&amp;IFERROR(INDEX(PASTE_ALL,$DF9,45)&amp;"","")&amp;"␟"&amp;IFERROR(INDEX(PASTE_ALL,$DF9,46)&amp;"","")&amp;"␟"&amp;IFERROR(INDEX(PASTE_ALL,$DF9,47)&amp;"","")&amp;"␟"&amp;IFERROR(INDEX(PASTE_ALL,$DF9,48)&amp;"","")&amp;"␟"&amp;IFERROR(INDEX(PASTE_ALL,$DF9,49)&amp;"","")&amp;"␟"&amp;IFERROR(INDEX(PASTE_ALL,$DF9,50)&amp;"","")&amp;"␟"&amp;IFERROR(INDEX(PASTE_ALL,$DF9,51)&amp;"","")&amp;"␟"&amp;IFERROR(INDEX(PASTE_ALL,$DF9,52)&amp;"","")&amp;"␟"&amp;IFERROR(INDEX(PASTE_ALL,$DF9,53)&amp;"","")&amp;"␟"&amp;IFERROR(INDEX(PASTE_ALL,$DF9,54)&amp;"","")&amp;"␟"&amp;IFERROR(INDEX(PASTE_ALL,$DF9,55)&amp;"","")&amp;"␟"&amp;IFERROR(INDEX(PASTE_ALL,$DF9,56)&amp;"","")&amp;"␟"&amp;IFERROR(INDEX(PASTE_ALL,$DF9,57)&amp;"","")&amp;"␟"&amp;IFERROR(INDEX(PASTE_ALL,$DF9,58)&amp;"","")&amp;"␟"&amp;IFERROR(INDEX(PASTE_ALL,$DF9,59)&amp;"","")&amp;"␟"&amp;IFERROR(INDEX(PASTE_ALL,$DF9,60)&amp;"","")," "," "),CHAR(9)," "),CHAR(10)," "),CHAR(13)," "))," ␟","␟"),"␟ ","␟"),"#"&amp;$DE9),"")</f>
        <v/>
      </c>
      <c r="DJ9">
        <f>IF($DI9="",0,IF(SUMPRODUCT(--EXACT($DI$4:DI8,$DI9))&gt;0,1,0))</f>
        <v/>
      </c>
      <c r="DK9">
        <f>IF(AND($DI9&lt;&gt;"",$DJ9=0),1,0)</f>
        <v/>
      </c>
      <c r="DL9">
        <f>DL8+$DK9</f>
        <v/>
      </c>
      <c r="DM9">
        <f>IF(AND($DK9=1,$DL9&lt;=600),1,0)</f>
        <v/>
      </c>
      <c r="DN9">
        <f>IF($DM9=0,"",IF($L$6=0,"",IFERROR(IF(ISNUMBER(INDEX(PASTE_ALL,$DF9,$L$6)),INDEX(PASTE_ALL,$DF9,$L$6),TRIM(SUBSTITUTE(SUBSTITUTE(SUBSTITUTE(SUBSTITUTE(INDEX(PASTE_ALL,$DF9,$L$6)," "," "),CHAR(9)," "),CHAR(10)," "),CHAR(13)," "))),"")))</f>
        <v/>
      </c>
      <c r="DO9">
        <f>IF($DM9=0,"",IF($L$7=0,"",IFERROR(IF(ISNUMBER(INDEX(PASTE_ALL,$DF9,$L$7)),INDEX(PASTE_ALL,$DF9,$L$7),TRIM(SUBSTITUTE(SUBSTITUTE(SUBSTITUTE(SUBSTITUTE(INDEX(PASTE_ALL,$DF9,$L$7)," "," "),CHAR(9)," "),CHAR(10)," "),CHAR(13)," "))),"")))</f>
        <v/>
      </c>
      <c r="DP9">
        <f>IF($DM9=0,"",IF($L$8=0,"",IFERROR(IF(ISNUMBER(INDEX(PASTE_ALL,$DF9,$L$8)),INDEX(PASTE_ALL,$DF9,$L$8),TRIM(SUBSTITUTE(SUBSTITUTE(SUBSTITUTE(SUBSTITUTE(INDEX(PASTE_ALL,$DF9,$L$8)," "," "),CHAR(9)," "),CHAR(10)," "),CHAR(13)," "))),"")))</f>
        <v/>
      </c>
      <c r="DQ9">
        <f>IF($DM9=0,"",IF($L$9=0,"",IFERROR(IF(ISNUMBER(INDEX(PASTE_ALL,$DF9,$L$9)),INDEX(PASTE_ALL,$DF9,$L$9),TRIM(SUBSTITUTE(SUBSTITUTE(SUBSTITUTE(SUBSTITUTE(INDEX(PASTE_ALL,$DF9,$L$9)," "," "),CHAR(9)," "),CHAR(10)," "),CHAR(13)," "))),"")))</f>
        <v/>
      </c>
      <c r="DR9">
        <f>IF($DM9=0,"",IF($L$10=0,"",IFERROR(IF(ISNUMBER(INDEX(PASTE_ALL,$DF9,$L$10)),INDEX(PASTE_ALL,$DF9,$L$10),TRIM(SUBSTITUTE(SUBSTITUTE(SUBSTITUTE(SUBSTITUTE(INDEX(PASTE_ALL,$DF9,$L$10)," "," "),CHAR(9)," "),CHAR(10)," "),CHAR(13)," "))),"")))</f>
        <v/>
      </c>
      <c r="DS9">
        <f>IF($DM9=0,"",IF($L$11=0,"",IFERROR(IF(ISNUMBER(INDEX(PASTE_ALL,$DF9,$L$11)),INDEX(PASTE_ALL,$DF9,$L$11),TRIM(SUBSTITUTE(SUBSTITUTE(SUBSTITUTE(SUBSTITUTE(INDEX(PASTE_ALL,$DF9,$L$11)," "," "),CHAR(9)," "),CHAR(10)," "),CHAR(13)," "))),"")))</f>
        <v/>
      </c>
      <c r="DT9">
        <f>IF($DM9=0,"",IF($L$12=0,"",IFERROR(IF(ISNUMBER(INDEX(PASTE_ALL,$DF9,$L$12)),INDEX(PASTE_ALL,$DF9,$L$12),TRIM(SUBSTITUTE(SUBSTITUTE(SUBSTITUTE(SUBSTITUTE(INDEX(PASTE_ALL,$DF9,$L$12)," "," "),CHAR(9)," "),CHAR(10)," "),CHAR(13)," "))),"")))</f>
        <v/>
      </c>
      <c r="DU9">
        <f>IF($DM9=0,"",IF($L$13=0,"",IFERROR(IF(ISNUMBER(INDEX(PASTE_ALL,$DF9,$L$13)),INDEX(PASTE_ALL,$DF9,$L$13),TRIM(SUBSTITUTE(SUBSTITUTE(SUBSTITUTE(SUBSTITUTE(INDEX(PASTE_ALL,$DF9,$L$13)," "," "),CHAR(9)," "),CHAR(10)," "),CHAR(13)," "))),"")))</f>
        <v/>
      </c>
      <c r="DV9">
        <f>IF($DM9=0,"",IF($L$14=0,"",IFERROR(IF(ISNUMBER(INDEX(PASTE_ALL,$DF9,$L$14)),INDEX(PASTE_ALL,$DF9,$L$14),TRIM(SUBSTITUTE(SUBSTITUTE(SUBSTITUTE(SUBSTITUTE(INDEX(PASTE_ALL,$DF9,$L$14)," "," "),CHAR(9)," "),CHAR(10)," "),CHAR(13)," "))),"")))</f>
        <v/>
      </c>
      <c r="DW9">
        <f>IF($DM9=0,"",IF($L$15=0,"",IFERROR(IF(ISNUMBER(INDEX(PASTE_ALL,$DF9,$L$15)),INDEX(PASTE_ALL,$DF9,$L$15),IF(SUMPRODUCT(--ISNUMBER(FIND({"A","B","C","D","E","F","G","H","I","J","K","L","M","N","O","P","Q","R","S","T","U","V","W","X","Y","Z","0","1","2","3","4","5","6","7","8","9"},UPPER(TRIM(SUBSTITUTE(SUBSTITUTE(SUBSTITUTE(SUBSTITUTE(INDEX(PASTE_ALL,$DF9,$L$15)," "," "),CHAR(9)," "),CHAR(10)," "),CHAR(13)," "))))))&gt;0,TRIM(SUBSTITUTE(SUBSTITUTE(SUBSTITUTE(SUBSTITUTE(INDEX(PASTE_ALL,$DF9,$L$15)," "," "),CHAR(9)," "),CHAR(10)," "),CHAR(13)," ")),"")),"")))</f>
        <v/>
      </c>
      <c r="DX9">
        <f>IF($DM9=0,"",IF($L$16=0,"",IFERROR(IF(ISNUMBER(INDEX(PASTE_ALL,$DF9,$L$16)),INDEX(PASTE_ALL,$DF9,$L$16),SUBSTITUTE(SUBSTITUTE(TRIM(SUBSTITUTE(SUBSTITUTE(SUBSTITUTE(SUBSTITUTE(INDEX(PASTE_ALL,$DF9,$L$16)," "," "),CHAR(9)," "),CHAR(10)," "),CHAR(13)," ")),",",""),"%","")),"")))</f>
        <v/>
      </c>
      <c r="DY9">
        <f>IF($DM9=0,"",IFERROR(IF(ISNUMBER($DX9),$DX9,IF($DX9="","",IF(TRIM($DX9)="",0,IF(AND(AND(SUBSTITUTE(SUBSTITUTE(SUBSTITUTE(SUBSTITUTE(SUBSTITUTE(SUBSTITUTE(SUBSTITUTE(SUBSTITUTE(SUBSTITUTE(SUBSTITUTE(SUBSTITUTE(SUBSTITUTE(SUBSTITUTE(SUBSTITUTE(UPPER(TRIM($DX9)),"0",""),"1",""),"2",""),"3",""),"4",""),"5",""),"6",""),"7",""),"8",""),"9",""),".",""),"+",""),"-",""),"E","")="",LEN(SUBSTITUTE(SUBSTITUTE(MID(UPPER(TRIM($DX9)),1+OR(LEFT(UPPER(TRIM($DX9)),1)="+",LEFT(UPPER(TRIM($DX9)),1)="-"),999),"E+","E"),"E-","E"))=LEN(SUBSTITUTE(SUBSTITUTE(SUBSTITUTE(SUBSTITUTE(MID(UPPER(TRIM($DX9)),1+OR(LEFT(UPPER(TRIM($DX9)),1)="+",LEFT(UPPER(TRIM($DX9)),1)="-"),999),"E+","E"),"E-","E"),"+",""),"-","")),LEN(UPPER(TRIM($DX9)))-LEN(SUBSTITUTE(UPPER(TRIM($DX9)),"E",""))&lt;2,LEN(UPPER(TRIM($DX9)))-LEN(SUBSTITUTE(UPPER(TRIM($DX9)),".",""))&lt;2,IFERROR(FIND(".",UPPER(TRIM($DX9))),0)&lt;IFERROR(FIND("E",UPPER(TRIM($DX9))),999)),ISNUMBER(VALUE(TRIM($DX9)))),VALUE(TRIM($DX9)),"")))),""))</f>
        <v/>
      </c>
      <c r="DZ9">
        <f>IF($DM9=0,"",IF($L$17=0,"",IFERROR(IF(ISNUMBER(INDEX(PASTE_ALL,$DF9,$L$17)),INDEX(PASTE_ALL,$DF9,$L$17),SUBSTITUTE(SUBSTITUTE(TRIM(SUBSTITUTE(SUBSTITUTE(SUBSTITUTE(SUBSTITUTE(INDEX(PASTE_ALL,$DF9,$L$17)," "," "),CHAR(9)," "),CHAR(10)," "),CHAR(13)," ")),",",""),"%","")),"")))</f>
        <v/>
      </c>
      <c r="EA9">
        <f>IF($DM9=0,"",IFERROR(IF(ISNUMBER($DZ9),$DZ9,IF($DZ9="","",IF(TRIM($DZ9)="",0,IF(AND(AND(SUBSTITUTE(SUBSTITUTE(SUBSTITUTE(SUBSTITUTE(SUBSTITUTE(SUBSTITUTE(SUBSTITUTE(SUBSTITUTE(SUBSTITUTE(SUBSTITUTE(SUBSTITUTE(SUBSTITUTE(SUBSTITUTE(SUBSTITUTE(UPPER(TRIM($DZ9)),"0",""),"1",""),"2",""),"3",""),"4",""),"5",""),"6",""),"7",""),"8",""),"9",""),".",""),"+",""),"-",""),"E","")="",LEN(SUBSTITUTE(SUBSTITUTE(MID(UPPER(TRIM($DZ9)),1+OR(LEFT(UPPER(TRIM($DZ9)),1)="+",LEFT(UPPER(TRIM($DZ9)),1)="-"),999),"E+","E"),"E-","E"))=LEN(SUBSTITUTE(SUBSTITUTE(SUBSTITUTE(SUBSTITUTE(MID(UPPER(TRIM($DZ9)),1+OR(LEFT(UPPER(TRIM($DZ9)),1)="+",LEFT(UPPER(TRIM($DZ9)),1)="-"),999),"E+","E"),"E-","E"),"+",""),"-","")),LEN(UPPER(TRIM($DZ9)))-LEN(SUBSTITUTE(UPPER(TRIM($DZ9)),"E",""))&lt;2,LEN(UPPER(TRIM($DZ9)))-LEN(SUBSTITUTE(UPPER(TRIM($DZ9)),".",""))&lt;2,IFERROR(FIND(".",UPPER(TRIM($DZ9))),0)&lt;IFERROR(FIND("E",UPPER(TRIM($DZ9))),999)),ISNUMBER(VALUE(TRIM($DZ9)))),VALUE(TRIM($DZ9)),"")))),""))</f>
        <v/>
      </c>
      <c r="EB9">
        <f>IF($DM9=0,"",IF($L$18=0,"",IFERROR(IF(UPPER(TRIM(SUBSTITUTE(SUBSTITUTE(SUBSTITUTE(SUBSTITUTE(INDEX(PASTE_ALL,$DF9,$L$18)," "," "),CHAR(9)," "),CHAR(10)," "),CHAR(13)," ")))="READY","Ready",IF(UPPER(TRIM(SUBSTITUTE(SUBSTITUTE(SUBSTITUTE(SUBSTITUTE(INDEX(PASTE_ALL,$DF9,$L$18)," "," "),CHAR(9)," "),CHAR(10)," "),CHAR(13)," ")))="PM","PM",IF(OR(UPPER(TRIM(SUBSTITUTE(SUBSTITUTE(SUBSTITUTE(SUBSTITUTE(INDEX(PASTE_ALL,$DF9,$L$18)," "," "),CHAR(9)," "),CHAR(10)," "),CHAR(13)," ")))="OT",UPPER(TRIM(SUBSTITUTE(SUBSTITUTE(SUBSTITUTE(SUBSTITUTE(INDEX(PASTE_ALL,$DF9,$L$18)," "," "),CHAR(9)," "),CHAR(10)," "),CHAR(13)," ")))="OVERTIME",UPPER(TRIM(SUBSTITUTE(SUBSTITUTE(SUBSTITUTE(SUBSTITUTE(INDEX(PASTE_ALL,$DF9,$L$18)," "," "),CHAR(9)," "),CHAR(10)," "),CHAR(13)," ")))="TRIAL"),"OT",TRIM(SUBSTITUTE(SUBSTITUTE(SUBSTITUTE(SUBSTITUTE(INDEX(PASTE_ALL,$DF9,$L$18)," "," "),CHAR(9)," "),CHAR(10)," "),CHAR(13)," "))))),"")))</f>
        <v/>
      </c>
      <c r="EC9">
        <f>IF($DM9=0,"",IF($L$19=0,"",IFERROR(IF(ISNUMBER(INDEX(PASTE_ALL,$DF9,$L$19)),INDEX(PASTE_ALL,$DF9,$L$19),TRIM(SUBSTITUTE(SUBSTITUTE(SUBSTITUTE(SUBSTITUTE(INDEX(PASTE_ALL,$DF9,$L$19)," "," "),CHAR(9)," "),CHAR(10)," "),CHAR(13)," "))),"")))</f>
        <v/>
      </c>
      <c r="ED9">
        <f>IF($DM9=0,"",MATCH(1,INDEX(EXACT($DH$5:DH9,$DH9)*$DM$5:DM9,0),0))</f>
        <v/>
      </c>
      <c r="EE9">
        <f>IF($DM9=0,0,IF($ED9=$DE9,1,0))</f>
        <v/>
      </c>
      <c r="EF9">
        <f>EF8+$EE9</f>
        <v/>
      </c>
      <c r="EG9">
        <f>IF($DM9=0,"",INDEX($EF$5:$EF$1003,$ED9))</f>
        <v/>
      </c>
      <c r="EH9">
        <f>IF($DM9=0,"",IF($DO9&lt;&gt;"","",IFERROR(LOOKUP(2,1/(($EG$4:EG8=$EG9)*($DO$4:DO8&lt;&gt;"")),$DO$4:DO8),"")))</f>
        <v/>
      </c>
      <c r="EI9">
        <f>IF($DM9=0,"",IF($DO9&lt;&gt;"",$DO9,$EH9))</f>
        <v/>
      </c>
      <c r="EJ9">
        <f>IF($DM9=0,"",IF($EI9="",0,IF(OR(ISNUMBER($EI9),AND(AND(SUBSTITUTE(SUBSTITUTE(SUBSTITUTE(SUBSTITUTE(SUBSTITUTE(SUBSTITUTE(SUBSTITUTE(SUBSTITUTE(SUBSTITUTE(SUBSTITUTE(SUBSTITUTE(SUBSTITUTE(SUBSTITUTE(SUBSTITUTE(UPPER($EI9),"0",""),"1",""),"2",""),"3",""),"4",""),"5",""),"6",""),"7",""),"8",""),"9",""),".",""),"+",""),"-",""),"E","")="",LEN(SUBSTITUTE(SUBSTITUTE(MID(UPPER($EI9),1+OR(LEFT(UPPER($EI9),1)="+",LEFT(UPPER($EI9),1)="-"),999),"E+","E"),"E-","E"))=LEN(SUBSTITUTE(SUBSTITUTE(SUBSTITUTE(SUBSTITUTE(MID(UPPER($EI9),1+OR(LEFT(UPPER($EI9),1)="+",LEFT(UPPER($EI9),1)="-"),999),"E+","E"),"E-","E"),"+",""),"-","")),LEN(UPPER($EI9))-LEN(SUBSTITUTE(UPPER($EI9),"E",""))&lt;2,LEN(UPPER($EI9))-LEN(SUBSTITUTE(UPPER($EI9),".",""))&lt;2,IFERROR(FIND(".",UPPER($EI9)),0)&lt;IFERROR(FIND("E",UPPER($EI9)),999)),ISNUMBER(VALUE($EI9)))),1,2)))</f>
        <v/>
      </c>
      <c r="EK9">
        <f>IF($DM9=0,"",IF($EJ9=1,IF(ISNUMBER($EI9),$EI9,VALUE($EI9)),IF($EJ9=2,$DE9,0)))</f>
        <v/>
      </c>
      <c r="EL9">
        <f>IF($DM9=0,"",COUNTIF($EG$5:$EG$1003,"&lt;"&amp;$EG9)+SUMPRODUCT(($EG$5:$EG$1003=$EG9)*(($EJ$5:$EJ$1003&lt;$EJ9)+($EJ$5:$EJ$1003=$EJ9)*(($EK$5:$EK$1003&lt;$EK9)+($EK$5:$EK$1003=$EK9)*($DE$5:$DE$1003&lt;$DE9))))+1)</f>
        <v/>
      </c>
      <c r="EM9">
        <f>IF($DM9=0,"",$EL9+$EG9-1)</f>
        <v/>
      </c>
      <c r="EN9">
        <f>IF($DM9=0,0,IFERROR(MATCH(1,INDEX(--(TRIM(SUBSTITUTE(SUBSTITUTE(SUBSTITUTE(SUBSTITUTE(LINES_NAME&amp;""," "," "),CHAR(9)," "),CHAR(10)," "),CHAR(13)," "))=$DH9),0),0),0))</f>
        <v/>
      </c>
      <c r="EO9">
        <f>IF($EN9=0,0,IF(OR(UPPER(TRIM(INDEX(LINES_SCHEDULED,$EN9)&amp;""))="YES",UPPER(TRIM(INDEX(LINES_SCHEDULED,$EN9)&amp;""))="Y",UPPER(TRIM(INDEX(LINES_SCHEDULED,$EN9)&amp;""))="X"),1,0))</f>
        <v/>
      </c>
      <c r="EP9">
        <f>IF($DM9=0,"",IF(COUNTIFS($EG$5:$EG$1003,$EG9,$EB$5:$EB$1003,"Ready")&gt;0,"READY",IF(COUNTIFS($EG$5:$EG$1003,$EG9,$EB$5:$EB$1003,"PM")&gt;0,"PM",IF(COUNTIFS($EG$5:$EG$1003,$EG9,$EB$5:$EB$1003,"OT")&gt;0,"OT",""))))</f>
        <v/>
      </c>
      <c r="EQ9">
        <f>IF($EN9=0,"",UPPER(TRIM(INDEX(LINES_STATUS,$EN9)&amp;"")))</f>
        <v/>
      </c>
      <c r="ER9">
        <f>IF($DM9=0,"",IF(OR($EQ9="READY",$EQ9="PM",$EQ9="OT"),$EQ9,$EP9))</f>
        <v/>
      </c>
      <c r="ES9">
        <f>IF($DM9=0,"",IF(AND($DV9&lt;&gt;"",UPPER($DV9)&lt;&gt;"N"),"allergen",IF(ISNUMBER(SEARCH("oil",$DQ9)),"oil",IF(OR(EXACT($DS9,"A662"),EXACT($DS9,"A624")),"bulk",""))))</f>
        <v/>
      </c>
      <c r="ET9">
        <f>IF($DM9=0,"",IF(OR($EA9="",$EA9=0),"",$EA9/100))</f>
        <v/>
      </c>
      <c r="EU9">
        <f>IF(OR($ET9="",$DY9=""),"",INT($DY9*(1-$ET9)+0.5))</f>
        <v/>
      </c>
      <c r="EW9" t="n">
        <v>5</v>
      </c>
      <c r="EX9">
        <f>IFERROR(MATCH($EW9,$EM$5:$EM$1003,0),0)</f>
        <v/>
      </c>
      <c r="EY9">
        <f>IF($EW9&gt;$B$12,"",IF($EX9&gt;0,"row","spacer"))</f>
        <v/>
      </c>
      <c r="EZ9">
        <f>IF(AND($EY9="row",$EY8&lt;&gt;"row"),1,0)</f>
        <v/>
      </c>
      <c r="FA9">
        <f>IF(AND($EY9="row",$EY10&lt;&gt;"row"),1,0)</f>
        <v/>
      </c>
      <c r="FB9">
        <f>IF($EZ9=1,IFERROR(IF(ISNUMBER(INDEX(PASTE_ALL,INDEX($DF$5:$DF$1003,$EX9),$B$37)),INDEX(PASTE_ALL,INDEX($DF$5:$DF$1003,$EX9),$B$37),INDEX($DH$5:$DH$1003,$EX9)),INDEX($DH$5:$DH$1003,$EX9)),"")</f>
        <v/>
      </c>
      <c r="FC9">
        <f>IF($EY9="row",INDEX($ER$5:$ER$1003,$EX9),"")</f>
        <v/>
      </c>
      <c r="FD9">
        <f>IF($EY9="row",INDEX($DN$5:$DN$1003,$EX9),"")</f>
        <v/>
      </c>
      <c r="FE9">
        <f>IF($EY9="row",INDEX($DO$5:$DO$1003,$EX9),"")</f>
        <v/>
      </c>
      <c r="FF9">
        <f>IF($EY9="row",INDEX($DP$5:$DP$1003,$EX9),"")</f>
        <v/>
      </c>
      <c r="FG9">
        <f>IF($EY9="row",INDEX($DQ$5:$DQ$1003,$EX9),"")</f>
        <v/>
      </c>
      <c r="FH9">
        <f>IF($EY9="row",INDEX($DR$5:$DR$1003,$EX9),"")</f>
        <v/>
      </c>
      <c r="FI9">
        <f>IF($EY9="row",INDEX($DS$5:$DS$1003,$EX9),"")</f>
        <v/>
      </c>
      <c r="FJ9">
        <f>IF($EY9="row",INDEX($DT$5:$DT$1003,$EX9),"")</f>
        <v/>
      </c>
      <c r="FK9">
        <f>IF($EY9="row",INDEX($DU$5:$DU$1003,$EX9),"")</f>
        <v/>
      </c>
      <c r="FL9">
        <f>IF($EY9="row",INDEX($DV$5:$DV$1003,$EX9),"")</f>
        <v/>
      </c>
      <c r="FM9">
        <f>IF($EY9="row",INDEX($DW$5:$DW$1003,$EX9),"")</f>
        <v/>
      </c>
      <c r="FN9">
        <f>IF($EY9="row",INDEX($DY$5:$DY$1003,$EX9),"")</f>
        <v/>
      </c>
      <c r="FO9">
        <f>IF($EY9="row",INDEX($EA$5:$EA$1003,$EX9),"")</f>
        <v/>
      </c>
      <c r="FP9">
        <f>IF($EY9="row",INDEX($EC$5:$EC$1003,$EX9),"")</f>
        <v/>
      </c>
      <c r="FQ9">
        <f>IF($EY9="row",INDEX($ET$5:$ET$1003,$EX9),"")</f>
        <v/>
      </c>
      <c r="FR9">
        <f>IF($EY9="row",INDEX($EU$5:$EU$1003,$EX9),"")</f>
        <v/>
      </c>
      <c r="FS9">
        <f>IF(AND($EY9="row",$EY8="row"),IF(OR(INDEX($DT$5:$DT$1003,$EX8)="",INDEX($DT$5:$DT$1003,$EX9)=""),"",IF(NOT(EXACT(INDEX($DT$5:$DT$1003,$EX8),INDEX($DT$5:$DT$1003,$EX9))),"S4",IF(NOT(EXACT(INDEX($DS$5:$DS$1003,$EX8),INDEX($DS$5:$DS$1003,$EX9))),"S3",IF(NOT(EXACT(INDEX($DR$5:$DR$1003,$EX8),INDEX($DR$5:$DR$1003,$EX9))),"S1 Count Change","S1")))),"")</f>
        <v/>
      </c>
      <c r="FT9">
        <f>IF($EY9="row",INDEX($ES$5:$ES$1003,$EX9),"")</f>
        <v/>
      </c>
      <c r="FU9">
        <f>IF($EY9="row",INDEX($EO$5:$EO$1003,$EX9),0)</f>
        <v/>
      </c>
      <c r="FV9">
        <f>IF($FS9="S1 Count Change",1,0)</f>
        <v/>
      </c>
      <c r="FX9" t="n">
        <v>5</v>
      </c>
      <c r="FY9">
        <f>IFERROR(MATCH($FX9,$EF$5:$EF$1003,0),0)</f>
        <v/>
      </c>
      <c r="FZ9">
        <f>IF($FY9=0,"",INDEX($DH$5:$DH$1003,$FY9))</f>
        <v/>
      </c>
      <c r="GA9">
        <f>IF($FY9=0,"",COUNTIF($EG$5:$EG$1003,$FX9))</f>
        <v/>
      </c>
      <c r="GB9">
        <f>IF($FY9=0,"",INDEX($ER$5:$ER$1003,$FY9))</f>
        <v/>
      </c>
      <c r="GC9">
        <f>IF($FY9=0,"",IF(INDEX($EO$5:$EO$1003,$FY9)=1,"Yes",""))</f>
        <v/>
      </c>
      <c r="GD9">
        <f>IF($FY9=0,"",IF(INDEX($EN$5:$EN$1003,$FY9)&gt;0,"","NOT IN YOUR LIST - type it in column A to tick it"))</f>
        <v/>
      </c>
      <c r="GE9">
        <f>IF(AND($FY9&gt;0,$GD9&lt;&gt;""),1,0)</f>
        <v/>
      </c>
      <c r="GF9">
        <f>GF8+$GE9</f>
        <v/>
      </c>
      <c r="GG9">
        <f>IFERROR(INDEX($FZ$5:$FZ$104,MATCH($FX9,$GF$5:$GF$104,0)),"")</f>
        <v/>
      </c>
    </row>
    <row r="10">
      <c r="A10" t="inlineStr">
        <is>
          <t>Work orders kept (max 600)</t>
        </is>
      </c>
      <c r="B10">
        <f>MIN($B$9,600)</f>
        <v/>
      </c>
      <c r="D10" t="n">
        <v>6</v>
      </c>
      <c r="E10" t="inlineStr">
        <is>
          <t>count</t>
        </is>
      </c>
      <c r="F10" t="inlineStr">
        <is>
          <t>Count</t>
        </is>
      </c>
      <c r="G10" t="n">
        <v>64</v>
      </c>
      <c r="H10">
        <f>IFERROR(UPPER(TRIM('2. Check Columns'!$F$18&amp;"")),"#")</f>
        <v/>
      </c>
      <c r="I10">
        <f>IF(H10="",0,IF(OR(H10="-",H10="NONE"),-1,IFERROR(MATCH(1,INDEX(--EXACT($T$5:$T$64,H10),0),0),-2)))</f>
        <v/>
      </c>
      <c r="J10">
        <f>IF(I10&lt;=0,IF(I10=-1,-1,0),IF(COUNTIF($I$5:I9,I10)&gt;0,0,I10))</f>
        <v/>
      </c>
      <c r="K10">
        <f>IFERROR(MATCH(6,$Y$235:$CF$235,0),0)</f>
        <v/>
      </c>
      <c r="L10">
        <f>IFERROR(MATCH(6,$Y$239:$CF$239,0),0)</f>
        <v/>
      </c>
      <c r="M10">
        <f>IF(K10=0,"(not found)",INDEX($T$5:$T$64,K10))</f>
        <v/>
      </c>
      <c r="N10">
        <f>IF(L10=0,IF(J10=-1,"(left out)","(none)"),INDEX($T$5:$T$64,L10))</f>
        <v/>
      </c>
      <c r="O10">
        <f>IF(L10=0,"",IFERROR(TRIM(SUBSTITUTE(SUBSTITUTE(SUBSTITUTE(SUBSTITUTE(INDEX(PASTE_ALL,HEADER_ROW,L10)&amp;""," "," "),CHAR(9)," "),CHAR(10)," "),CHAR(13)," ")),""))</f>
        <v/>
      </c>
      <c r="P10">
        <f>IF(OR(L10=0,$B$16=0),"",IFERROR(IF(ISNUMBER(INDEX(PASTE_ALL,$B$16,L10)),INDEX(PASTE_ALL,$B$16,L10),TRIM(SUBSTITUTE(SUBSTITUTE(SUBSTITUTE(SUBSTITUTE(INDEX(PASTE_ALL,$B$16,L10)&amp;""," "," "),CHAR(9)," "),CHAR(10)," "),CHAR(13)," "))),""))</f>
        <v/>
      </c>
      <c r="Q10">
        <f>IF(I10=-2,"'"&amp;H10&amp;"' is not a column letter from A to BH - ignored",IF(AND(I10&gt;0,J10=0),"Column "&amp;H10&amp;" is already used by "&amp;INDEX($F$5:$F$19,MATCH(I10,$I$5:$I$19,0))&amp;" - ignored",IF(AND(J10=0,K10&gt;0,COUNTIF($J$5:$J$19,K10)&gt;0),"Column "&amp;M10&amp;" is used by "&amp;INDEX($F$5:$F$19,MATCH(K10,$J$5:$J$19,0))&amp;" (Override)"&amp;IF(L10&gt;0," - using column "&amp;N10&amp;" instead"," - not used"),IF(AND(J10&gt;0,K10&gt;0,J10&lt;&gt;K10),"Override in use - this file's own title for it is in column "&amp;M10&amp;" ("&amp;IFERROR(TRIM(SUBSTITUTE(SUBSTITUTE(SUBSTITUTE(SUBSTITUTE(INDEX(PASTE_ALL,HEADER_ROW,K10)&amp;""," "," "),CHAR(9)," "),CHAR(10)," "),CHAR(13)," ")),"")&amp;"). Clear the Override if that is right.",IF(AND(J10=-1,K10&gt;0),"Left out by the Override - this file has it in column "&amp;M10&amp;" ("&amp;IFERROR(TRIM(SUBSTITUTE(SUBSTITUTE(SUBSTITUTE(SUBSTITUTE(INDEX(PASTE_ALL,HEADER_ROW,K10)&amp;""," "," "),CHAR(9)," "),CHAR(10)," "),CHAR(13)," ")),"")&amp;").","")))))</f>
        <v/>
      </c>
      <c r="R10">
        <f>IF(OR(AND(J10&gt;0,K10&gt;0,J10&lt;&gt;K10),AND(J10=-1,K10&gt;0),AND(J10=0,K10&gt;0,COUNTIF($J$5:$J$19,K10)&gt;0)),1,0)</f>
        <v/>
      </c>
      <c r="S10" t="n">
        <v>6</v>
      </c>
      <c r="T10" t="inlineStr">
        <is>
          <t>F</t>
        </is>
      </c>
      <c r="V10" t="inlineStr">
        <is>
          <t>PRODUCTIONLINE</t>
        </is>
      </c>
      <c r="W10" t="n">
        <v>1</v>
      </c>
      <c r="Y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 ",""),"!",""),CHAR(34),""),"#",""),"$",""),"%",""),"&amp;",""),"'",""),"(",""),")",""),"*",""),"+",""),",",""),"-",""),".",""),"/",""),":",""),";",""),"&lt;",""),"=",""),"&gt;",""),"?",""),"@",""),"[",""),"\",""),"]",""),"^",""),"_",""),"`",""),"{",""),"|",""),"}",""),"~",""),CHAR(9),""),CHAR(10),""),CHAR(13),"")," ",""),"")</f>
        <v/>
      </c>
      <c r="Z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 ",""),"!",""),CHAR(34),""),"#",""),"$",""),"%",""),"&amp;",""),"'",""),"(",""),")",""),"*",""),"+",""),",",""),"-",""),".",""),"/",""),":",""),";",""),"&lt;",""),"=",""),"&gt;",""),"?",""),"@",""),"[",""),"\",""),"]",""),"^",""),"_",""),"`",""),"{",""),"|",""),"}",""),"~",""),CHAR(9),""),CHAR(10),""),CHAR(13),"")," ",""),"")</f>
        <v/>
      </c>
      <c r="AA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 ",""),"!",""),CHAR(34),""),"#",""),"$",""),"%",""),"&amp;",""),"'",""),"(",""),")",""),"*",""),"+",""),",",""),"-",""),".",""),"/",""),":",""),";",""),"&lt;",""),"=",""),"&gt;",""),"?",""),"@",""),"[",""),"\",""),"]",""),"^",""),"_",""),"`",""),"{",""),"|",""),"}",""),"~",""),CHAR(9),""),CHAR(10),""),CHAR(13),"")," ",""),"")</f>
        <v/>
      </c>
      <c r="AB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 ",""),"!",""),CHAR(34),""),"#",""),"$",""),"%",""),"&amp;",""),"'",""),"(",""),")",""),"*",""),"+",""),",",""),"-",""),".",""),"/",""),":",""),";",""),"&lt;",""),"=",""),"&gt;",""),"?",""),"@",""),"[",""),"\",""),"]",""),"^",""),"_",""),"`",""),"{",""),"|",""),"}",""),"~",""),CHAR(9),""),CHAR(10),""),CHAR(13),"")," ",""),"")</f>
        <v/>
      </c>
      <c r="AC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 ",""),"!",""),CHAR(34),""),"#",""),"$",""),"%",""),"&amp;",""),"'",""),"(",""),")",""),"*",""),"+",""),",",""),"-",""),".",""),"/",""),":",""),";",""),"&lt;",""),"=",""),"&gt;",""),"?",""),"@",""),"[",""),"\",""),"]",""),"^",""),"_",""),"`",""),"{",""),"|",""),"}",""),"~",""),CHAR(9),""),CHAR(10),""),CHAR(13),"")," ",""),"")</f>
        <v/>
      </c>
      <c r="AD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6,6))," ",""),"!",""),CHAR(34),""),"#",""),"$",""),"%",""),"&amp;",""),"'",""),"(",""),")",""),"*",""),"+",""),",",""),"-",""),".",""),"/",""),":",""),";",""),"&lt;",""),"=",""),"&gt;",""),"?",""),"@",""),"[",""),"\",""),"]",""),"^",""),"_",""),"`",""),"{",""),"|",""),"}",""),"~",""),CHAR(9),""),CHAR(10),""),CHAR(13),"")," ",""),"")</f>
        <v/>
      </c>
      <c r="AE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6,7))," ",""),"!",""),CHAR(34),""),"#",""),"$",""),"%",""),"&amp;",""),"'",""),"(",""),")",""),"*",""),"+",""),",",""),"-",""),".",""),"/",""),":",""),";",""),"&lt;",""),"=",""),"&gt;",""),"?",""),"@",""),"[",""),"\",""),"]",""),"^",""),"_",""),"`",""),"{",""),"|",""),"}",""),"~",""),CHAR(9),""),CHAR(10),""),CHAR(13),"")," ",""),"")</f>
        <v/>
      </c>
      <c r="AF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6,8))," ",""),"!",""),CHAR(34),""),"#",""),"$",""),"%",""),"&amp;",""),"'",""),"(",""),")",""),"*",""),"+",""),",",""),"-",""),".",""),"/",""),":",""),";",""),"&lt;",""),"=",""),"&gt;",""),"?",""),"@",""),"[",""),"\",""),"]",""),"^",""),"_",""),"`",""),"{",""),"|",""),"}",""),"~",""),CHAR(9),""),CHAR(10),""),CHAR(13),"")," ",""),"")</f>
        <v/>
      </c>
      <c r="AG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6,9))," ",""),"!",""),CHAR(34),""),"#",""),"$",""),"%",""),"&amp;",""),"'",""),"(",""),")",""),"*",""),"+",""),",",""),"-",""),".",""),"/",""),":",""),";",""),"&lt;",""),"=",""),"&gt;",""),"?",""),"@",""),"[",""),"\",""),"]",""),"^",""),"_",""),"`",""),"{",""),"|",""),"}",""),"~",""),CHAR(9),""),CHAR(10),""),CHAR(13),"")," ",""),"")</f>
        <v/>
      </c>
      <c r="AH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6,10))," ",""),"!",""),CHAR(34),""),"#",""),"$",""),"%",""),"&amp;",""),"'",""),"(",""),")",""),"*",""),"+",""),",",""),"-",""),".",""),"/",""),":",""),";",""),"&lt;",""),"=",""),"&gt;",""),"?",""),"@",""),"[",""),"\",""),"]",""),"^",""),"_",""),"`",""),"{",""),"|",""),"}",""),"~",""),CHAR(9),""),CHAR(10),""),CHAR(13),"")," ",""),"")</f>
        <v/>
      </c>
      <c r="AI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6,11))," ",""),"!",""),CHAR(34),""),"#",""),"$",""),"%",""),"&amp;",""),"'",""),"(",""),")",""),"*",""),"+",""),",",""),"-",""),".",""),"/",""),":",""),";",""),"&lt;",""),"=",""),"&gt;",""),"?",""),"@",""),"[",""),"\",""),"]",""),"^",""),"_",""),"`",""),"{",""),"|",""),"}",""),"~",""),CHAR(9),""),CHAR(10),""),CHAR(13),"")," ",""),"")</f>
        <v/>
      </c>
      <c r="AJ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6,12))," ",""),"!",""),CHAR(34),""),"#",""),"$",""),"%",""),"&amp;",""),"'",""),"(",""),")",""),"*",""),"+",""),",",""),"-",""),".",""),"/",""),":",""),";",""),"&lt;",""),"=",""),"&gt;",""),"?",""),"@",""),"[",""),"\",""),"]",""),"^",""),"_",""),"`",""),"{",""),"|",""),"}",""),"~",""),CHAR(9),""),CHAR(10),""),CHAR(13),"")," ",""),"")</f>
        <v/>
      </c>
      <c r="AK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6,13))," ",""),"!",""),CHAR(34),""),"#",""),"$",""),"%",""),"&amp;",""),"'",""),"(",""),")",""),"*",""),"+",""),",",""),"-",""),".",""),"/",""),":",""),";",""),"&lt;",""),"=",""),"&gt;",""),"?",""),"@",""),"[",""),"\",""),"]",""),"^",""),"_",""),"`",""),"{",""),"|",""),"}",""),"~",""),CHAR(9),""),CHAR(10),""),CHAR(13),"")," ",""),"")</f>
        <v/>
      </c>
      <c r="AL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6,14))," ",""),"!",""),CHAR(34),""),"#",""),"$",""),"%",""),"&amp;",""),"'",""),"(",""),")",""),"*",""),"+",""),",",""),"-",""),".",""),"/",""),":",""),";",""),"&lt;",""),"=",""),"&gt;",""),"?",""),"@",""),"[",""),"\",""),"]",""),"^",""),"_",""),"`",""),"{",""),"|",""),"}",""),"~",""),CHAR(9),""),CHAR(10),""),CHAR(13),"")," ",""),"")</f>
        <v/>
      </c>
      <c r="AM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6,15))," ",""),"!",""),CHAR(34),""),"#",""),"$",""),"%",""),"&amp;",""),"'",""),"(",""),")",""),"*",""),"+",""),",",""),"-",""),".",""),"/",""),":",""),";",""),"&lt;",""),"=",""),"&gt;",""),"?",""),"@",""),"[",""),"\",""),"]",""),"^",""),"_",""),"`",""),"{",""),"|",""),"}",""),"~",""),CHAR(9),""),CHAR(10),""),CHAR(13),"")," ",""),"")</f>
        <v/>
      </c>
      <c r="AN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6,16))," ",""),"!",""),CHAR(34),""),"#",""),"$",""),"%",""),"&amp;",""),"'",""),"(",""),")",""),"*",""),"+",""),",",""),"-",""),".",""),"/",""),":",""),";",""),"&lt;",""),"=",""),"&gt;",""),"?",""),"@",""),"[",""),"\",""),"]",""),"^",""),"_",""),"`",""),"{",""),"|",""),"}",""),"~",""),CHAR(9),""),CHAR(10),""),CHAR(13),"")," ",""),"")</f>
        <v/>
      </c>
      <c r="AO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6,17))," ",""),"!",""),CHAR(34),""),"#",""),"$",""),"%",""),"&amp;",""),"'",""),"(",""),")",""),"*",""),"+",""),",",""),"-",""),".",""),"/",""),":",""),";",""),"&lt;",""),"=",""),"&gt;",""),"?",""),"@",""),"[",""),"\",""),"]",""),"^",""),"_",""),"`",""),"{",""),"|",""),"}",""),"~",""),CHAR(9),""),CHAR(10),""),CHAR(13),"")," ",""),"")</f>
        <v/>
      </c>
      <c r="AP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6,18))," ",""),"!",""),CHAR(34),""),"#",""),"$",""),"%",""),"&amp;",""),"'",""),"(",""),")",""),"*",""),"+",""),",",""),"-",""),".",""),"/",""),":",""),";",""),"&lt;",""),"=",""),"&gt;",""),"?",""),"@",""),"[",""),"\",""),"]",""),"^",""),"_",""),"`",""),"{",""),"|",""),"}",""),"~",""),CHAR(9),""),CHAR(10),""),CHAR(13),"")," ",""),"")</f>
        <v/>
      </c>
      <c r="AQ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6,19))," ",""),"!",""),CHAR(34),""),"#",""),"$",""),"%",""),"&amp;",""),"'",""),"(",""),")",""),"*",""),"+",""),",",""),"-",""),".",""),"/",""),":",""),";",""),"&lt;",""),"=",""),"&gt;",""),"?",""),"@",""),"[",""),"\",""),"]",""),"^",""),"_",""),"`",""),"{",""),"|",""),"}",""),"~",""),CHAR(9),""),CHAR(10),""),CHAR(13),"")," ",""),"")</f>
        <v/>
      </c>
      <c r="AR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6,20))," ",""),"!",""),CHAR(34),""),"#",""),"$",""),"%",""),"&amp;",""),"'",""),"(",""),")",""),"*",""),"+",""),",",""),"-",""),".",""),"/",""),":",""),";",""),"&lt;",""),"=",""),"&gt;",""),"?",""),"@",""),"[",""),"\",""),"]",""),"^",""),"_",""),"`",""),"{",""),"|",""),"}",""),"~",""),CHAR(9),""),CHAR(10),""),CHAR(13),"")," ",""),"")</f>
        <v/>
      </c>
      <c r="AS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6,21))," ",""),"!",""),CHAR(34),""),"#",""),"$",""),"%",""),"&amp;",""),"'",""),"(",""),")",""),"*",""),"+",""),",",""),"-",""),".",""),"/",""),":",""),";",""),"&lt;",""),"=",""),"&gt;",""),"?",""),"@",""),"[",""),"\",""),"]",""),"^",""),"_",""),"`",""),"{",""),"|",""),"}",""),"~",""),CHAR(9),""),CHAR(10),""),CHAR(13),"")," ",""),"")</f>
        <v/>
      </c>
      <c r="AT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6,22))," ",""),"!",""),CHAR(34),""),"#",""),"$",""),"%",""),"&amp;",""),"'",""),"(",""),")",""),"*",""),"+",""),",",""),"-",""),".",""),"/",""),":",""),";",""),"&lt;",""),"=",""),"&gt;",""),"?",""),"@",""),"[",""),"\",""),"]",""),"^",""),"_",""),"`",""),"{",""),"|",""),"}",""),"~",""),CHAR(9),""),CHAR(10),""),CHAR(13),"")," ",""),"")</f>
        <v/>
      </c>
      <c r="AU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6,23))," ",""),"!",""),CHAR(34),""),"#",""),"$",""),"%",""),"&amp;",""),"'",""),"(",""),")",""),"*",""),"+",""),",",""),"-",""),".",""),"/",""),":",""),";",""),"&lt;",""),"=",""),"&gt;",""),"?",""),"@",""),"[",""),"\",""),"]",""),"^",""),"_",""),"`",""),"{",""),"|",""),"}",""),"~",""),CHAR(9),""),CHAR(10),""),CHAR(13),"")," ",""),"")</f>
        <v/>
      </c>
      <c r="AV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6,24))," ",""),"!",""),CHAR(34),""),"#",""),"$",""),"%",""),"&amp;",""),"'",""),"(",""),")",""),"*",""),"+",""),",",""),"-",""),".",""),"/",""),":",""),";",""),"&lt;",""),"=",""),"&gt;",""),"?",""),"@",""),"[",""),"\",""),"]",""),"^",""),"_",""),"`",""),"{",""),"|",""),"}",""),"~",""),CHAR(9),""),CHAR(10),""),CHAR(13),"")," ",""),"")</f>
        <v/>
      </c>
      <c r="AW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6,25))," ",""),"!",""),CHAR(34),""),"#",""),"$",""),"%",""),"&amp;",""),"'",""),"(",""),")",""),"*",""),"+",""),",",""),"-",""),".",""),"/",""),":",""),";",""),"&lt;",""),"=",""),"&gt;",""),"?",""),"@",""),"[",""),"\",""),"]",""),"^",""),"_",""),"`",""),"{",""),"|",""),"}",""),"~",""),CHAR(9),""),CHAR(10),""),CHAR(13),"")," ",""),"")</f>
        <v/>
      </c>
      <c r="AX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6,26))," ",""),"!",""),CHAR(34),""),"#",""),"$",""),"%",""),"&amp;",""),"'",""),"(",""),")",""),"*",""),"+",""),",",""),"-",""),".",""),"/",""),":",""),";",""),"&lt;",""),"=",""),"&gt;",""),"?",""),"@",""),"[",""),"\",""),"]",""),"^",""),"_",""),"`",""),"{",""),"|",""),"}",""),"~",""),CHAR(9),""),CHAR(10),""),CHAR(13),"")," ",""),"")</f>
        <v/>
      </c>
      <c r="AY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6,27))," ",""),"!",""),CHAR(34),""),"#",""),"$",""),"%",""),"&amp;",""),"'",""),"(",""),")",""),"*",""),"+",""),",",""),"-",""),".",""),"/",""),":",""),";",""),"&lt;",""),"=",""),"&gt;",""),"?",""),"@",""),"[",""),"\",""),"]",""),"^",""),"_",""),"`",""),"{",""),"|",""),"}",""),"~",""),CHAR(9),""),CHAR(10),""),CHAR(13),"")," ",""),"")</f>
        <v/>
      </c>
      <c r="AZ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6,28))," ",""),"!",""),CHAR(34),""),"#",""),"$",""),"%",""),"&amp;",""),"'",""),"(",""),")",""),"*",""),"+",""),",",""),"-",""),".",""),"/",""),":",""),";",""),"&lt;",""),"=",""),"&gt;",""),"?",""),"@",""),"[",""),"\",""),"]",""),"^",""),"_",""),"`",""),"{",""),"|",""),"}",""),"~",""),CHAR(9),""),CHAR(10),""),CHAR(13),"")," ",""),"")</f>
        <v/>
      </c>
      <c r="BA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6,29))," ",""),"!",""),CHAR(34),""),"#",""),"$",""),"%",""),"&amp;",""),"'",""),"(",""),")",""),"*",""),"+",""),",",""),"-",""),".",""),"/",""),":",""),";",""),"&lt;",""),"=",""),"&gt;",""),"?",""),"@",""),"[",""),"\",""),"]",""),"^",""),"_",""),"`",""),"{",""),"|",""),"}",""),"~",""),CHAR(9),""),CHAR(10),""),CHAR(13),"")," ",""),"")</f>
        <v/>
      </c>
      <c r="BB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6,30))," ",""),"!",""),CHAR(34),""),"#",""),"$",""),"%",""),"&amp;",""),"'",""),"(",""),")",""),"*",""),"+",""),",",""),"-",""),".",""),"/",""),":",""),";",""),"&lt;",""),"=",""),"&gt;",""),"?",""),"@",""),"[",""),"\",""),"]",""),"^",""),"_",""),"`",""),"{",""),"|",""),"}",""),"~",""),CHAR(9),""),CHAR(10),""),CHAR(13),"")," ",""),"")</f>
        <v/>
      </c>
      <c r="BC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6,31))," ",""),"!",""),CHAR(34),""),"#",""),"$",""),"%",""),"&amp;",""),"'",""),"(",""),")",""),"*",""),"+",""),",",""),"-",""),".",""),"/",""),":",""),";",""),"&lt;",""),"=",""),"&gt;",""),"?",""),"@",""),"[",""),"\",""),"]",""),"^",""),"_",""),"`",""),"{",""),"|",""),"}",""),"~",""),CHAR(9),""),CHAR(10),""),CHAR(13),"")," ",""),"")</f>
        <v/>
      </c>
      <c r="BD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6,32))," ",""),"!",""),CHAR(34),""),"#",""),"$",""),"%",""),"&amp;",""),"'",""),"(",""),")",""),"*",""),"+",""),",",""),"-",""),".",""),"/",""),":",""),";",""),"&lt;",""),"=",""),"&gt;",""),"?",""),"@",""),"[",""),"\",""),"]",""),"^",""),"_",""),"`",""),"{",""),"|",""),"}",""),"~",""),CHAR(9),""),CHAR(10),""),CHAR(13),"")," ",""),"")</f>
        <v/>
      </c>
      <c r="BE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6,33))," ",""),"!",""),CHAR(34),""),"#",""),"$",""),"%",""),"&amp;",""),"'",""),"(",""),")",""),"*",""),"+",""),",",""),"-",""),".",""),"/",""),":",""),";",""),"&lt;",""),"=",""),"&gt;",""),"?",""),"@",""),"[",""),"\",""),"]",""),"^",""),"_",""),"`",""),"{",""),"|",""),"}",""),"~",""),CHAR(9),""),CHAR(10),""),CHAR(13),"")," ",""),"")</f>
        <v/>
      </c>
      <c r="BF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6,34))," ",""),"!",""),CHAR(34),""),"#",""),"$",""),"%",""),"&amp;",""),"'",""),"(",""),")",""),"*",""),"+",""),",",""),"-",""),".",""),"/",""),":",""),";",""),"&lt;",""),"=",""),"&gt;",""),"?",""),"@",""),"[",""),"\",""),"]",""),"^",""),"_",""),"`",""),"{",""),"|",""),"}",""),"~",""),CHAR(9),""),CHAR(10),""),CHAR(13),"")," ",""),"")</f>
        <v/>
      </c>
      <c r="BG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6,35))," ",""),"!",""),CHAR(34),""),"#",""),"$",""),"%",""),"&amp;",""),"'",""),"(",""),")",""),"*",""),"+",""),",",""),"-",""),".",""),"/",""),":",""),";",""),"&lt;",""),"=",""),"&gt;",""),"?",""),"@",""),"[",""),"\",""),"]",""),"^",""),"_",""),"`",""),"{",""),"|",""),"}",""),"~",""),CHAR(9),""),CHAR(10),""),CHAR(13),"")," ",""),"")</f>
        <v/>
      </c>
      <c r="BH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6,36))," ",""),"!",""),CHAR(34),""),"#",""),"$",""),"%",""),"&amp;",""),"'",""),"(",""),")",""),"*",""),"+",""),",",""),"-",""),".",""),"/",""),":",""),";",""),"&lt;",""),"=",""),"&gt;",""),"?",""),"@",""),"[",""),"\",""),"]",""),"^",""),"_",""),"`",""),"{",""),"|",""),"}",""),"~",""),CHAR(9),""),CHAR(10),""),CHAR(13),"")," ",""),"")</f>
        <v/>
      </c>
      <c r="BI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6,37))," ",""),"!",""),CHAR(34),""),"#",""),"$",""),"%",""),"&amp;",""),"'",""),"(",""),")",""),"*",""),"+",""),",",""),"-",""),".",""),"/",""),":",""),";",""),"&lt;",""),"=",""),"&gt;",""),"?",""),"@",""),"[",""),"\",""),"]",""),"^",""),"_",""),"`",""),"{",""),"|",""),"}",""),"~",""),CHAR(9),""),CHAR(10),""),CHAR(13),"")," ",""),"")</f>
        <v/>
      </c>
      <c r="BJ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6,38))," ",""),"!",""),CHAR(34),""),"#",""),"$",""),"%",""),"&amp;",""),"'",""),"(",""),")",""),"*",""),"+",""),",",""),"-",""),".",""),"/",""),":",""),";",""),"&lt;",""),"=",""),"&gt;",""),"?",""),"@",""),"[",""),"\",""),"]",""),"^",""),"_",""),"`",""),"{",""),"|",""),"}",""),"~",""),CHAR(9),""),CHAR(10),""),CHAR(13),"")," ",""),"")</f>
        <v/>
      </c>
      <c r="BK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6,39))," ",""),"!",""),CHAR(34),""),"#",""),"$",""),"%",""),"&amp;",""),"'",""),"(",""),")",""),"*",""),"+",""),",",""),"-",""),".",""),"/",""),":",""),";",""),"&lt;",""),"=",""),"&gt;",""),"?",""),"@",""),"[",""),"\",""),"]",""),"^",""),"_",""),"`",""),"{",""),"|",""),"}",""),"~",""),CHAR(9),""),CHAR(10),""),CHAR(13),"")," ",""),"")</f>
        <v/>
      </c>
      <c r="BL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6,40))," ",""),"!",""),CHAR(34),""),"#",""),"$",""),"%",""),"&amp;",""),"'",""),"(",""),")",""),"*",""),"+",""),",",""),"-",""),".",""),"/",""),":",""),";",""),"&lt;",""),"=",""),"&gt;",""),"?",""),"@",""),"[",""),"\",""),"]",""),"^",""),"_",""),"`",""),"{",""),"|",""),"}",""),"~",""),CHAR(9),""),CHAR(10),""),CHAR(13),"")," ",""),"")</f>
        <v/>
      </c>
      <c r="BM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6,41))," ",""),"!",""),CHAR(34),""),"#",""),"$",""),"%",""),"&amp;",""),"'",""),"(",""),")",""),"*",""),"+",""),",",""),"-",""),".",""),"/",""),":",""),";",""),"&lt;",""),"=",""),"&gt;",""),"?",""),"@",""),"[",""),"\",""),"]",""),"^",""),"_",""),"`",""),"{",""),"|",""),"}",""),"~",""),CHAR(9),""),CHAR(10),""),CHAR(13),"")," ",""),"")</f>
        <v/>
      </c>
      <c r="BN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6,42))," ",""),"!",""),CHAR(34),""),"#",""),"$",""),"%",""),"&amp;",""),"'",""),"(",""),")",""),"*",""),"+",""),",",""),"-",""),".",""),"/",""),":",""),";",""),"&lt;",""),"=",""),"&gt;",""),"?",""),"@",""),"[",""),"\",""),"]",""),"^",""),"_",""),"`",""),"{",""),"|",""),"}",""),"~",""),CHAR(9),""),CHAR(10),""),CHAR(13),"")," ",""),"")</f>
        <v/>
      </c>
      <c r="BO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6,43))," ",""),"!",""),CHAR(34),""),"#",""),"$",""),"%",""),"&amp;",""),"'",""),"(",""),")",""),"*",""),"+",""),",",""),"-",""),".",""),"/",""),":",""),";",""),"&lt;",""),"=",""),"&gt;",""),"?",""),"@",""),"[",""),"\",""),"]",""),"^",""),"_",""),"`",""),"{",""),"|",""),"}",""),"~",""),CHAR(9),""),CHAR(10),""),CHAR(13),"")," ",""),"")</f>
        <v/>
      </c>
      <c r="BP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6,44))," ",""),"!",""),CHAR(34),""),"#",""),"$",""),"%",""),"&amp;",""),"'",""),"(",""),")",""),"*",""),"+",""),",",""),"-",""),".",""),"/",""),":",""),";",""),"&lt;",""),"=",""),"&gt;",""),"?",""),"@",""),"[",""),"\",""),"]",""),"^",""),"_",""),"`",""),"{",""),"|",""),"}",""),"~",""),CHAR(9),""),CHAR(10),""),CHAR(13),"")," ",""),"")</f>
        <v/>
      </c>
      <c r="BQ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6,45))," ",""),"!",""),CHAR(34),""),"#",""),"$",""),"%",""),"&amp;",""),"'",""),"(",""),")",""),"*",""),"+",""),",",""),"-",""),".",""),"/",""),":",""),";",""),"&lt;",""),"=",""),"&gt;",""),"?",""),"@",""),"[",""),"\",""),"]",""),"^",""),"_",""),"`",""),"{",""),"|",""),"}",""),"~",""),CHAR(9),""),CHAR(10),""),CHAR(13),"")," ",""),"")</f>
        <v/>
      </c>
      <c r="BR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6,46))," ",""),"!",""),CHAR(34),""),"#",""),"$",""),"%",""),"&amp;",""),"'",""),"(",""),")",""),"*",""),"+",""),",",""),"-",""),".",""),"/",""),":",""),";",""),"&lt;",""),"=",""),"&gt;",""),"?",""),"@",""),"[",""),"\",""),"]",""),"^",""),"_",""),"`",""),"{",""),"|",""),"}",""),"~",""),CHAR(9),""),CHAR(10),""),CHAR(13),"")," ",""),"")</f>
        <v/>
      </c>
      <c r="BS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6,47))," ",""),"!",""),CHAR(34),""),"#",""),"$",""),"%",""),"&amp;",""),"'",""),"(",""),")",""),"*",""),"+",""),",",""),"-",""),".",""),"/",""),":",""),";",""),"&lt;",""),"=",""),"&gt;",""),"?",""),"@",""),"[",""),"\",""),"]",""),"^",""),"_",""),"`",""),"{",""),"|",""),"}",""),"~",""),CHAR(9),""),CHAR(10),""),CHAR(13),"")," ",""),"")</f>
        <v/>
      </c>
      <c r="BT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6,48))," ",""),"!",""),CHAR(34),""),"#",""),"$",""),"%",""),"&amp;",""),"'",""),"(",""),")",""),"*",""),"+",""),",",""),"-",""),".",""),"/",""),":",""),";",""),"&lt;",""),"=",""),"&gt;",""),"?",""),"@",""),"[",""),"\",""),"]",""),"^",""),"_",""),"`",""),"{",""),"|",""),"}",""),"~",""),CHAR(9),""),CHAR(10),""),CHAR(13),"")," ",""),"")</f>
        <v/>
      </c>
      <c r="BU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6,49))," ",""),"!",""),CHAR(34),""),"#",""),"$",""),"%",""),"&amp;",""),"'",""),"(",""),")",""),"*",""),"+",""),",",""),"-",""),".",""),"/",""),":",""),";",""),"&lt;",""),"=",""),"&gt;",""),"?",""),"@",""),"[",""),"\",""),"]",""),"^",""),"_",""),"`",""),"{",""),"|",""),"}",""),"~",""),CHAR(9),""),CHAR(10),""),CHAR(13),"")," ",""),"")</f>
        <v/>
      </c>
      <c r="BV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6,50))," ",""),"!",""),CHAR(34),""),"#",""),"$",""),"%",""),"&amp;",""),"'",""),"(",""),")",""),"*",""),"+",""),",",""),"-",""),".",""),"/",""),":",""),";",""),"&lt;",""),"=",""),"&gt;",""),"?",""),"@",""),"[",""),"\",""),"]",""),"^",""),"_",""),"`",""),"{",""),"|",""),"}",""),"~",""),CHAR(9),""),CHAR(10),""),CHAR(13),"")," ",""),"")</f>
        <v/>
      </c>
      <c r="BW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6,51))," ",""),"!",""),CHAR(34),""),"#",""),"$",""),"%",""),"&amp;",""),"'",""),"(",""),")",""),"*",""),"+",""),",",""),"-",""),".",""),"/",""),":",""),";",""),"&lt;",""),"=",""),"&gt;",""),"?",""),"@",""),"[",""),"\",""),"]",""),"^",""),"_",""),"`",""),"{",""),"|",""),"}",""),"~",""),CHAR(9),""),CHAR(10),""),CHAR(13),"")," ",""),"")</f>
        <v/>
      </c>
      <c r="BX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6,52))," ",""),"!",""),CHAR(34),""),"#",""),"$",""),"%",""),"&amp;",""),"'",""),"(",""),")",""),"*",""),"+",""),",",""),"-",""),".",""),"/",""),":",""),";",""),"&lt;",""),"=",""),"&gt;",""),"?",""),"@",""),"[",""),"\",""),"]",""),"^",""),"_",""),"`",""),"{",""),"|",""),"}",""),"~",""),CHAR(9),""),CHAR(10),""),CHAR(13),"")," ",""),"")</f>
        <v/>
      </c>
      <c r="BY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6,53))," ",""),"!",""),CHAR(34),""),"#",""),"$",""),"%",""),"&amp;",""),"'",""),"(",""),")",""),"*",""),"+",""),",",""),"-",""),".",""),"/",""),":",""),";",""),"&lt;",""),"=",""),"&gt;",""),"?",""),"@",""),"[",""),"\",""),"]",""),"^",""),"_",""),"`",""),"{",""),"|",""),"}",""),"~",""),CHAR(9),""),CHAR(10),""),CHAR(13),"")," ",""),"")</f>
        <v/>
      </c>
      <c r="BZ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6,54))," ",""),"!",""),CHAR(34),""),"#",""),"$",""),"%",""),"&amp;",""),"'",""),"(",""),")",""),"*",""),"+",""),",",""),"-",""),".",""),"/",""),":",""),";",""),"&lt;",""),"=",""),"&gt;",""),"?",""),"@",""),"[",""),"\",""),"]",""),"^",""),"_",""),"`",""),"{",""),"|",""),"}",""),"~",""),CHAR(9),""),CHAR(10),""),CHAR(13),"")," ",""),"")</f>
        <v/>
      </c>
      <c r="CA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6,55))," ",""),"!",""),CHAR(34),""),"#",""),"$",""),"%",""),"&amp;",""),"'",""),"(",""),")",""),"*",""),"+",""),",",""),"-",""),".",""),"/",""),":",""),";",""),"&lt;",""),"=",""),"&gt;",""),"?",""),"@",""),"[",""),"\",""),"]",""),"^",""),"_",""),"`",""),"{",""),"|",""),"}",""),"~",""),CHAR(9),""),CHAR(10),""),CHAR(13),"")," ",""),"")</f>
        <v/>
      </c>
      <c r="CB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6,56))," ",""),"!",""),CHAR(34),""),"#",""),"$",""),"%",""),"&amp;",""),"'",""),"(",""),")",""),"*",""),"+",""),",",""),"-",""),".",""),"/",""),":",""),";",""),"&lt;",""),"=",""),"&gt;",""),"?",""),"@",""),"[",""),"\",""),"]",""),"^",""),"_",""),"`",""),"{",""),"|",""),"}",""),"~",""),CHAR(9),""),CHAR(10),""),CHAR(13),"")," ",""),"")</f>
        <v/>
      </c>
      <c r="CC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6,57))," ",""),"!",""),CHAR(34),""),"#",""),"$",""),"%",""),"&amp;",""),"'",""),"(",""),")",""),"*",""),"+",""),",",""),"-",""),".",""),"/",""),":",""),";",""),"&lt;",""),"=",""),"&gt;",""),"?",""),"@",""),"[",""),"\",""),"]",""),"^",""),"_",""),"`",""),"{",""),"|",""),"}",""),"~",""),CHAR(9),""),CHAR(10),""),CHAR(13),"")," ",""),"")</f>
        <v/>
      </c>
      <c r="CD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6,58))," ",""),"!",""),CHAR(34),""),"#",""),"$",""),"%",""),"&amp;",""),"'",""),"(",""),")",""),"*",""),"+",""),",",""),"-",""),".",""),"/",""),":",""),";",""),"&lt;",""),"=",""),"&gt;",""),"?",""),"@",""),"[",""),"\",""),"]",""),"^",""),"_",""),"`",""),"{",""),"|",""),"}",""),"~",""),CHAR(9),""),CHAR(10),""),CHAR(13),"")," ",""),"")</f>
        <v/>
      </c>
      <c r="CE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6,59))," ",""),"!",""),CHAR(34),""),"#",""),"$",""),"%",""),"&amp;",""),"'",""),"(",""),")",""),"*",""),"+",""),",",""),"-",""),".",""),"/",""),":",""),";",""),"&lt;",""),"=",""),"&gt;",""),"?",""),"@",""),"[",""),"\",""),"]",""),"^",""),"_",""),"`",""),"{",""),"|",""),"}",""),"~",""),CHAR(9),""),CHAR(10),""),CHAR(13),"")," ",""),"")</f>
        <v/>
      </c>
      <c r="CF1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6,60))," ",""),"!",""),CHAR(34),""),"#",""),"$",""),"%",""),"&amp;",""),"'",""),"(",""),")",""),"*",""),"+",""),",",""),"-",""),".",""),"/",""),":",""),";",""),"&lt;",""),"=",""),"&gt;",""),"?",""),"@",""),"[",""),"\",""),"]",""),"^",""),"_",""),"`",""),"{",""),"|",""),"}",""),"~",""),CHAR(9),""),CHAR(10),""),CHAR(13),"")," ",""),"")</f>
        <v/>
      </c>
      <c r="CH10">
        <f>COUNTIF($Y55:$CF55,"&gt;0")</f>
        <v/>
      </c>
      <c r="CI10">
        <f>COUNTIF($Y55:$CF55,2)</f>
        <v/>
      </c>
      <c r="CJ10">
        <f>SUMPRODUCT((COUNTIF($Y100:$CF100,{1,2,3,4,5,6,7,8,9,10,11,12,13,14,15})&gt;0)*{2,4,8,16,32,64,128,256,512,1024,2048,4096,8192,16384,32768})</f>
        <v/>
      </c>
      <c r="CK10">
        <f>CF190</f>
        <v/>
      </c>
      <c r="CL10">
        <f>SUMPRODUCT(MOD(INT(((CJ10+CK10))/{2,4,8,16,32,64,128,256,512,1024,2048,4096,8192,16384,32768}),2))</f>
        <v/>
      </c>
      <c r="CM10">
        <f>IF(CH10&lt;2,-9999,CL10+2*MOD(INT(((CJ10+CK10))/2),2)+2*MOD(INT(((CJ10+CK10))/4),2)-CI10)</f>
        <v/>
      </c>
      <c r="DA10" t="n">
        <v>6</v>
      </c>
      <c r="DB10">
        <f>IF($B$37=0,"",IFERROR(TRIM(SUBSTITUTE(SUBSTITUTE(SUBSTITUTE(SUBSTITUTE(INDEX(PASTE_ALL,6,$B$37)," "," "),CHAR(9)," "),CHAR(10)," "),CHAR(13)," ")),""))</f>
        <v/>
      </c>
      <c r="DC10">
        <f>IF(AND(6&gt;HEADER_ROW,UPPER(DB10)="LEGEND"),1,0)</f>
        <v/>
      </c>
      <c r="DE10" t="n">
        <v>6</v>
      </c>
      <c r="DF10">
        <f>HEADER_ROW+$DE10</f>
        <v/>
      </c>
      <c r="DG10">
        <f>IF(AND($DF10&lt;=1000,$DF10&lt;$B$8),1,0)</f>
        <v/>
      </c>
      <c r="DH10">
        <f>IF($DG10=1,IFERROR(INDEX($DB$5:$DB$1004,$DF10),""),"")</f>
        <v/>
      </c>
      <c r="DI10">
        <f>IF(AND($DG10=1,$DH10&lt;&gt;""),IFERROR(SUBSTITUTE(SUBSTITUTE(TRIM(SUBSTITUTE(SUBSTITUTE(SUBSTITUTE(SUBSTITUTE(IFERROR(INDEX(PASTE_ALL,$DF10,1)&amp;"","")&amp;"␟"&amp;IFERROR(INDEX(PASTE_ALL,$DF10,2)&amp;"","")&amp;"␟"&amp;IFERROR(INDEX(PASTE_ALL,$DF10,3)&amp;"","")&amp;"␟"&amp;IFERROR(INDEX(PASTE_ALL,$DF10,4)&amp;"","")&amp;"␟"&amp;IFERROR(INDEX(PASTE_ALL,$DF10,5)&amp;"","")&amp;"␟"&amp;IFERROR(INDEX(PASTE_ALL,$DF10,6)&amp;"","")&amp;"␟"&amp;IFERROR(INDEX(PASTE_ALL,$DF10,7)&amp;"","")&amp;"␟"&amp;IFERROR(INDEX(PASTE_ALL,$DF10,8)&amp;"","")&amp;"␟"&amp;IFERROR(INDEX(PASTE_ALL,$DF10,9)&amp;"","")&amp;"␟"&amp;IFERROR(INDEX(PASTE_ALL,$DF10,10)&amp;"","")&amp;"␟"&amp;IFERROR(INDEX(PASTE_ALL,$DF10,11)&amp;"","")&amp;"␟"&amp;IFERROR(INDEX(PASTE_ALL,$DF10,12)&amp;"","")&amp;"␟"&amp;IFERROR(INDEX(PASTE_ALL,$DF10,13)&amp;"","")&amp;"␟"&amp;IFERROR(INDEX(PASTE_ALL,$DF10,14)&amp;"","")&amp;"␟"&amp;IFERROR(INDEX(PASTE_ALL,$DF10,15)&amp;"","")&amp;"␟"&amp;IFERROR(INDEX(PASTE_ALL,$DF10,16)&amp;"","")&amp;"␟"&amp;IFERROR(INDEX(PASTE_ALL,$DF10,17)&amp;"","")&amp;"␟"&amp;IFERROR(INDEX(PASTE_ALL,$DF10,18)&amp;"","")&amp;"␟"&amp;IFERROR(INDEX(PASTE_ALL,$DF10,19)&amp;"","")&amp;"␟"&amp;IFERROR(INDEX(PASTE_ALL,$DF10,20)&amp;"","")&amp;"␟"&amp;IFERROR(INDEX(PASTE_ALL,$DF10,21)&amp;"","")&amp;"␟"&amp;IFERROR(INDEX(PASTE_ALL,$DF10,22)&amp;"","")&amp;"␟"&amp;IFERROR(INDEX(PASTE_ALL,$DF10,23)&amp;"","")&amp;"␟"&amp;IFERROR(INDEX(PASTE_ALL,$DF10,24)&amp;"","")&amp;"␟"&amp;IFERROR(INDEX(PASTE_ALL,$DF10,25)&amp;"","")&amp;"␟"&amp;IFERROR(INDEX(PASTE_ALL,$DF10,26)&amp;"","")&amp;"␟"&amp;IFERROR(INDEX(PASTE_ALL,$DF10,27)&amp;"","")&amp;"␟"&amp;IFERROR(INDEX(PASTE_ALL,$DF10,28)&amp;"","")&amp;"␟"&amp;IFERROR(INDEX(PASTE_ALL,$DF10,29)&amp;"","")&amp;"␟"&amp;IFERROR(INDEX(PASTE_ALL,$DF10,30)&amp;"","")&amp;"␟"&amp;IFERROR(INDEX(PASTE_ALL,$DF10,31)&amp;"","")&amp;"␟"&amp;IFERROR(INDEX(PASTE_ALL,$DF10,32)&amp;"","")&amp;"␟"&amp;IFERROR(INDEX(PASTE_ALL,$DF10,33)&amp;"","")&amp;"␟"&amp;IFERROR(INDEX(PASTE_ALL,$DF10,34)&amp;"","")&amp;"␟"&amp;IFERROR(INDEX(PASTE_ALL,$DF10,35)&amp;"","")&amp;"␟"&amp;IFERROR(INDEX(PASTE_ALL,$DF10,36)&amp;"","")&amp;"␟"&amp;IFERROR(INDEX(PASTE_ALL,$DF10,37)&amp;"","")&amp;"␟"&amp;IFERROR(INDEX(PASTE_ALL,$DF10,38)&amp;"","")&amp;"␟"&amp;IFERROR(INDEX(PASTE_ALL,$DF10,39)&amp;"","")&amp;"␟"&amp;IFERROR(INDEX(PASTE_ALL,$DF10,40)&amp;"","")&amp;"␟"&amp;IFERROR(INDEX(PASTE_ALL,$DF10,41)&amp;"","")&amp;"␟"&amp;IFERROR(INDEX(PASTE_ALL,$DF10,42)&amp;"","")&amp;"␟"&amp;IFERROR(INDEX(PASTE_ALL,$DF10,43)&amp;"","")&amp;"␟"&amp;IFERROR(INDEX(PASTE_ALL,$DF10,44)&amp;"","")&amp;"␟"&amp;IFERROR(INDEX(PASTE_ALL,$DF10,45)&amp;"","")&amp;"␟"&amp;IFERROR(INDEX(PASTE_ALL,$DF10,46)&amp;"","")&amp;"␟"&amp;IFERROR(INDEX(PASTE_ALL,$DF10,47)&amp;"","")&amp;"␟"&amp;IFERROR(INDEX(PASTE_ALL,$DF10,48)&amp;"","")&amp;"␟"&amp;IFERROR(INDEX(PASTE_ALL,$DF10,49)&amp;"","")&amp;"␟"&amp;IFERROR(INDEX(PASTE_ALL,$DF10,50)&amp;"","")&amp;"␟"&amp;IFERROR(INDEX(PASTE_ALL,$DF10,51)&amp;"","")&amp;"␟"&amp;IFERROR(INDEX(PASTE_ALL,$DF10,52)&amp;"","")&amp;"␟"&amp;IFERROR(INDEX(PASTE_ALL,$DF10,53)&amp;"","")&amp;"␟"&amp;IFERROR(INDEX(PASTE_ALL,$DF10,54)&amp;"","")&amp;"␟"&amp;IFERROR(INDEX(PASTE_ALL,$DF10,55)&amp;"","")&amp;"␟"&amp;IFERROR(INDEX(PASTE_ALL,$DF10,56)&amp;"","")&amp;"␟"&amp;IFERROR(INDEX(PASTE_ALL,$DF10,57)&amp;"","")&amp;"␟"&amp;IFERROR(INDEX(PASTE_ALL,$DF10,58)&amp;"","")&amp;"␟"&amp;IFERROR(INDEX(PASTE_ALL,$DF10,59)&amp;"","")&amp;"␟"&amp;IFERROR(INDEX(PASTE_ALL,$DF10,60)&amp;"","")," "," "),CHAR(9)," "),CHAR(10)," "),CHAR(13)," "))," ␟","␟"),"␟ ","␟"),"#"&amp;$DE10),"")</f>
        <v/>
      </c>
      <c r="DJ10">
        <f>IF($DI10="",0,IF(SUMPRODUCT(--EXACT($DI$4:DI9,$DI10))&gt;0,1,0))</f>
        <v/>
      </c>
      <c r="DK10">
        <f>IF(AND($DI10&lt;&gt;"",$DJ10=0),1,0)</f>
        <v/>
      </c>
      <c r="DL10">
        <f>DL9+$DK10</f>
        <v/>
      </c>
      <c r="DM10">
        <f>IF(AND($DK10=1,$DL10&lt;=600),1,0)</f>
        <v/>
      </c>
      <c r="DN10">
        <f>IF($DM10=0,"",IF($L$6=0,"",IFERROR(IF(ISNUMBER(INDEX(PASTE_ALL,$DF10,$L$6)),INDEX(PASTE_ALL,$DF10,$L$6),TRIM(SUBSTITUTE(SUBSTITUTE(SUBSTITUTE(SUBSTITUTE(INDEX(PASTE_ALL,$DF10,$L$6)," "," "),CHAR(9)," "),CHAR(10)," "),CHAR(13)," "))),"")))</f>
        <v/>
      </c>
      <c r="DO10">
        <f>IF($DM10=0,"",IF($L$7=0,"",IFERROR(IF(ISNUMBER(INDEX(PASTE_ALL,$DF10,$L$7)),INDEX(PASTE_ALL,$DF10,$L$7),TRIM(SUBSTITUTE(SUBSTITUTE(SUBSTITUTE(SUBSTITUTE(INDEX(PASTE_ALL,$DF10,$L$7)," "," "),CHAR(9)," "),CHAR(10)," "),CHAR(13)," "))),"")))</f>
        <v/>
      </c>
      <c r="DP10">
        <f>IF($DM10=0,"",IF($L$8=0,"",IFERROR(IF(ISNUMBER(INDEX(PASTE_ALL,$DF10,$L$8)),INDEX(PASTE_ALL,$DF10,$L$8),TRIM(SUBSTITUTE(SUBSTITUTE(SUBSTITUTE(SUBSTITUTE(INDEX(PASTE_ALL,$DF10,$L$8)," "," "),CHAR(9)," "),CHAR(10)," "),CHAR(13)," "))),"")))</f>
        <v/>
      </c>
      <c r="DQ10">
        <f>IF($DM10=0,"",IF($L$9=0,"",IFERROR(IF(ISNUMBER(INDEX(PASTE_ALL,$DF10,$L$9)),INDEX(PASTE_ALL,$DF10,$L$9),TRIM(SUBSTITUTE(SUBSTITUTE(SUBSTITUTE(SUBSTITUTE(INDEX(PASTE_ALL,$DF10,$L$9)," "," "),CHAR(9)," "),CHAR(10)," "),CHAR(13)," "))),"")))</f>
        <v/>
      </c>
      <c r="DR10">
        <f>IF($DM10=0,"",IF($L$10=0,"",IFERROR(IF(ISNUMBER(INDEX(PASTE_ALL,$DF10,$L$10)),INDEX(PASTE_ALL,$DF10,$L$10),TRIM(SUBSTITUTE(SUBSTITUTE(SUBSTITUTE(SUBSTITUTE(INDEX(PASTE_ALL,$DF10,$L$10)," "," "),CHAR(9)," "),CHAR(10)," "),CHAR(13)," "))),"")))</f>
        <v/>
      </c>
      <c r="DS10">
        <f>IF($DM10=0,"",IF($L$11=0,"",IFERROR(IF(ISNUMBER(INDEX(PASTE_ALL,$DF10,$L$11)),INDEX(PASTE_ALL,$DF10,$L$11),TRIM(SUBSTITUTE(SUBSTITUTE(SUBSTITUTE(SUBSTITUTE(INDEX(PASTE_ALL,$DF10,$L$11)," "," "),CHAR(9)," "),CHAR(10)," "),CHAR(13)," "))),"")))</f>
        <v/>
      </c>
      <c r="DT10">
        <f>IF($DM10=0,"",IF($L$12=0,"",IFERROR(IF(ISNUMBER(INDEX(PASTE_ALL,$DF10,$L$12)),INDEX(PASTE_ALL,$DF10,$L$12),TRIM(SUBSTITUTE(SUBSTITUTE(SUBSTITUTE(SUBSTITUTE(INDEX(PASTE_ALL,$DF10,$L$12)," "," "),CHAR(9)," "),CHAR(10)," "),CHAR(13)," "))),"")))</f>
        <v/>
      </c>
      <c r="DU10">
        <f>IF($DM10=0,"",IF($L$13=0,"",IFERROR(IF(ISNUMBER(INDEX(PASTE_ALL,$DF10,$L$13)),INDEX(PASTE_ALL,$DF10,$L$13),TRIM(SUBSTITUTE(SUBSTITUTE(SUBSTITUTE(SUBSTITUTE(INDEX(PASTE_ALL,$DF10,$L$13)," "," "),CHAR(9)," "),CHAR(10)," "),CHAR(13)," "))),"")))</f>
        <v/>
      </c>
      <c r="DV10">
        <f>IF($DM10=0,"",IF($L$14=0,"",IFERROR(IF(ISNUMBER(INDEX(PASTE_ALL,$DF10,$L$14)),INDEX(PASTE_ALL,$DF10,$L$14),TRIM(SUBSTITUTE(SUBSTITUTE(SUBSTITUTE(SUBSTITUTE(INDEX(PASTE_ALL,$DF10,$L$14)," "," "),CHAR(9)," "),CHAR(10)," "),CHAR(13)," "))),"")))</f>
        <v/>
      </c>
      <c r="DW10">
        <f>IF($DM10=0,"",IF($L$15=0,"",IFERROR(IF(ISNUMBER(INDEX(PASTE_ALL,$DF10,$L$15)),INDEX(PASTE_ALL,$DF10,$L$15),IF(SUMPRODUCT(--ISNUMBER(FIND({"A","B","C","D","E","F","G","H","I","J","K","L","M","N","O","P","Q","R","S","T","U","V","W","X","Y","Z","0","1","2","3","4","5","6","7","8","9"},UPPER(TRIM(SUBSTITUTE(SUBSTITUTE(SUBSTITUTE(SUBSTITUTE(INDEX(PASTE_ALL,$DF10,$L$15)," "," "),CHAR(9)," "),CHAR(10)," "),CHAR(13)," "))))))&gt;0,TRIM(SUBSTITUTE(SUBSTITUTE(SUBSTITUTE(SUBSTITUTE(INDEX(PASTE_ALL,$DF10,$L$15)," "," "),CHAR(9)," "),CHAR(10)," "),CHAR(13)," ")),"")),"")))</f>
        <v/>
      </c>
      <c r="DX10">
        <f>IF($DM10=0,"",IF($L$16=0,"",IFERROR(IF(ISNUMBER(INDEX(PASTE_ALL,$DF10,$L$16)),INDEX(PASTE_ALL,$DF10,$L$16),SUBSTITUTE(SUBSTITUTE(TRIM(SUBSTITUTE(SUBSTITUTE(SUBSTITUTE(SUBSTITUTE(INDEX(PASTE_ALL,$DF10,$L$16)," "," "),CHAR(9)," "),CHAR(10)," "),CHAR(13)," ")),",",""),"%","")),"")))</f>
        <v/>
      </c>
      <c r="DY10">
        <f>IF($DM10=0,"",IFERROR(IF(ISNUMBER($DX10),$DX10,IF($DX10="","",IF(TRIM($DX10)="",0,IF(AND(AND(SUBSTITUTE(SUBSTITUTE(SUBSTITUTE(SUBSTITUTE(SUBSTITUTE(SUBSTITUTE(SUBSTITUTE(SUBSTITUTE(SUBSTITUTE(SUBSTITUTE(SUBSTITUTE(SUBSTITUTE(SUBSTITUTE(SUBSTITUTE(UPPER(TRIM($DX10)),"0",""),"1",""),"2",""),"3",""),"4",""),"5",""),"6",""),"7",""),"8",""),"9",""),".",""),"+",""),"-",""),"E","")="",LEN(SUBSTITUTE(SUBSTITUTE(MID(UPPER(TRIM($DX10)),1+OR(LEFT(UPPER(TRIM($DX10)),1)="+",LEFT(UPPER(TRIM($DX10)),1)="-"),999),"E+","E"),"E-","E"))=LEN(SUBSTITUTE(SUBSTITUTE(SUBSTITUTE(SUBSTITUTE(MID(UPPER(TRIM($DX10)),1+OR(LEFT(UPPER(TRIM($DX10)),1)="+",LEFT(UPPER(TRIM($DX10)),1)="-"),999),"E+","E"),"E-","E"),"+",""),"-","")),LEN(UPPER(TRIM($DX10)))-LEN(SUBSTITUTE(UPPER(TRIM($DX10)),"E",""))&lt;2,LEN(UPPER(TRIM($DX10)))-LEN(SUBSTITUTE(UPPER(TRIM($DX10)),".",""))&lt;2,IFERROR(FIND(".",UPPER(TRIM($DX10))),0)&lt;IFERROR(FIND("E",UPPER(TRIM($DX10))),999)),ISNUMBER(VALUE(TRIM($DX10)))),VALUE(TRIM($DX10)),"")))),""))</f>
        <v/>
      </c>
      <c r="DZ10">
        <f>IF($DM10=0,"",IF($L$17=0,"",IFERROR(IF(ISNUMBER(INDEX(PASTE_ALL,$DF10,$L$17)),INDEX(PASTE_ALL,$DF10,$L$17),SUBSTITUTE(SUBSTITUTE(TRIM(SUBSTITUTE(SUBSTITUTE(SUBSTITUTE(SUBSTITUTE(INDEX(PASTE_ALL,$DF10,$L$17)," "," "),CHAR(9)," "),CHAR(10)," "),CHAR(13)," ")),",",""),"%","")),"")))</f>
        <v/>
      </c>
      <c r="EA10">
        <f>IF($DM10=0,"",IFERROR(IF(ISNUMBER($DZ10),$DZ10,IF($DZ10="","",IF(TRIM($DZ10)="",0,IF(AND(AND(SUBSTITUTE(SUBSTITUTE(SUBSTITUTE(SUBSTITUTE(SUBSTITUTE(SUBSTITUTE(SUBSTITUTE(SUBSTITUTE(SUBSTITUTE(SUBSTITUTE(SUBSTITUTE(SUBSTITUTE(SUBSTITUTE(SUBSTITUTE(UPPER(TRIM($DZ10)),"0",""),"1",""),"2",""),"3",""),"4",""),"5",""),"6",""),"7",""),"8",""),"9",""),".",""),"+",""),"-",""),"E","")="",LEN(SUBSTITUTE(SUBSTITUTE(MID(UPPER(TRIM($DZ10)),1+OR(LEFT(UPPER(TRIM($DZ10)),1)="+",LEFT(UPPER(TRIM($DZ10)),1)="-"),999),"E+","E"),"E-","E"))=LEN(SUBSTITUTE(SUBSTITUTE(SUBSTITUTE(SUBSTITUTE(MID(UPPER(TRIM($DZ10)),1+OR(LEFT(UPPER(TRIM($DZ10)),1)="+",LEFT(UPPER(TRIM($DZ10)),1)="-"),999),"E+","E"),"E-","E"),"+",""),"-","")),LEN(UPPER(TRIM($DZ10)))-LEN(SUBSTITUTE(UPPER(TRIM($DZ10)),"E",""))&lt;2,LEN(UPPER(TRIM($DZ10)))-LEN(SUBSTITUTE(UPPER(TRIM($DZ10)),".",""))&lt;2,IFERROR(FIND(".",UPPER(TRIM($DZ10))),0)&lt;IFERROR(FIND("E",UPPER(TRIM($DZ10))),999)),ISNUMBER(VALUE(TRIM($DZ10)))),VALUE(TRIM($DZ10)),"")))),""))</f>
        <v/>
      </c>
      <c r="EB10">
        <f>IF($DM10=0,"",IF($L$18=0,"",IFERROR(IF(UPPER(TRIM(SUBSTITUTE(SUBSTITUTE(SUBSTITUTE(SUBSTITUTE(INDEX(PASTE_ALL,$DF10,$L$18)," "," "),CHAR(9)," "),CHAR(10)," "),CHAR(13)," ")))="READY","Ready",IF(UPPER(TRIM(SUBSTITUTE(SUBSTITUTE(SUBSTITUTE(SUBSTITUTE(INDEX(PASTE_ALL,$DF10,$L$18)," "," "),CHAR(9)," "),CHAR(10)," "),CHAR(13)," ")))="PM","PM",IF(OR(UPPER(TRIM(SUBSTITUTE(SUBSTITUTE(SUBSTITUTE(SUBSTITUTE(INDEX(PASTE_ALL,$DF10,$L$18)," "," "),CHAR(9)," "),CHAR(10)," "),CHAR(13)," ")))="OT",UPPER(TRIM(SUBSTITUTE(SUBSTITUTE(SUBSTITUTE(SUBSTITUTE(INDEX(PASTE_ALL,$DF10,$L$18)," "," "),CHAR(9)," "),CHAR(10)," "),CHAR(13)," ")))="OVERTIME",UPPER(TRIM(SUBSTITUTE(SUBSTITUTE(SUBSTITUTE(SUBSTITUTE(INDEX(PASTE_ALL,$DF10,$L$18)," "," "),CHAR(9)," "),CHAR(10)," "),CHAR(13)," ")))="TRIAL"),"OT",TRIM(SUBSTITUTE(SUBSTITUTE(SUBSTITUTE(SUBSTITUTE(INDEX(PASTE_ALL,$DF10,$L$18)," "," "),CHAR(9)," "),CHAR(10)," "),CHAR(13)," "))))),"")))</f>
        <v/>
      </c>
      <c r="EC10">
        <f>IF($DM10=0,"",IF($L$19=0,"",IFERROR(IF(ISNUMBER(INDEX(PASTE_ALL,$DF10,$L$19)),INDEX(PASTE_ALL,$DF10,$L$19),TRIM(SUBSTITUTE(SUBSTITUTE(SUBSTITUTE(SUBSTITUTE(INDEX(PASTE_ALL,$DF10,$L$19)," "," "),CHAR(9)," "),CHAR(10)," "),CHAR(13)," "))),"")))</f>
        <v/>
      </c>
      <c r="ED10">
        <f>IF($DM10=0,"",MATCH(1,INDEX(EXACT($DH$5:DH10,$DH10)*$DM$5:DM10,0),0))</f>
        <v/>
      </c>
      <c r="EE10">
        <f>IF($DM10=0,0,IF($ED10=$DE10,1,0))</f>
        <v/>
      </c>
      <c r="EF10">
        <f>EF9+$EE10</f>
        <v/>
      </c>
      <c r="EG10">
        <f>IF($DM10=0,"",INDEX($EF$5:$EF$1003,$ED10))</f>
        <v/>
      </c>
      <c r="EH10">
        <f>IF($DM10=0,"",IF($DO10&lt;&gt;"","",IFERROR(LOOKUP(2,1/(($EG$4:EG9=$EG10)*($DO$4:DO9&lt;&gt;"")),$DO$4:DO9),"")))</f>
        <v/>
      </c>
      <c r="EI10">
        <f>IF($DM10=0,"",IF($DO10&lt;&gt;"",$DO10,$EH10))</f>
        <v/>
      </c>
      <c r="EJ10">
        <f>IF($DM10=0,"",IF($EI10="",0,IF(OR(ISNUMBER($EI10),AND(AND(SUBSTITUTE(SUBSTITUTE(SUBSTITUTE(SUBSTITUTE(SUBSTITUTE(SUBSTITUTE(SUBSTITUTE(SUBSTITUTE(SUBSTITUTE(SUBSTITUTE(SUBSTITUTE(SUBSTITUTE(SUBSTITUTE(SUBSTITUTE(UPPER($EI10),"0",""),"1",""),"2",""),"3",""),"4",""),"5",""),"6",""),"7",""),"8",""),"9",""),".",""),"+",""),"-",""),"E","")="",LEN(SUBSTITUTE(SUBSTITUTE(MID(UPPER($EI10),1+OR(LEFT(UPPER($EI10),1)="+",LEFT(UPPER($EI10),1)="-"),999),"E+","E"),"E-","E"))=LEN(SUBSTITUTE(SUBSTITUTE(SUBSTITUTE(SUBSTITUTE(MID(UPPER($EI10),1+OR(LEFT(UPPER($EI10),1)="+",LEFT(UPPER($EI10),1)="-"),999),"E+","E"),"E-","E"),"+",""),"-","")),LEN(UPPER($EI10))-LEN(SUBSTITUTE(UPPER($EI10),"E",""))&lt;2,LEN(UPPER($EI10))-LEN(SUBSTITUTE(UPPER($EI10),".",""))&lt;2,IFERROR(FIND(".",UPPER($EI10)),0)&lt;IFERROR(FIND("E",UPPER($EI10)),999)),ISNUMBER(VALUE($EI10)))),1,2)))</f>
        <v/>
      </c>
      <c r="EK10">
        <f>IF($DM10=0,"",IF($EJ10=1,IF(ISNUMBER($EI10),$EI10,VALUE($EI10)),IF($EJ10=2,$DE10,0)))</f>
        <v/>
      </c>
      <c r="EL10">
        <f>IF($DM10=0,"",COUNTIF($EG$5:$EG$1003,"&lt;"&amp;$EG10)+SUMPRODUCT(($EG$5:$EG$1003=$EG10)*(($EJ$5:$EJ$1003&lt;$EJ10)+($EJ$5:$EJ$1003=$EJ10)*(($EK$5:$EK$1003&lt;$EK10)+($EK$5:$EK$1003=$EK10)*($DE$5:$DE$1003&lt;$DE10))))+1)</f>
        <v/>
      </c>
      <c r="EM10">
        <f>IF($DM10=0,"",$EL10+$EG10-1)</f>
        <v/>
      </c>
      <c r="EN10">
        <f>IF($DM10=0,0,IFERROR(MATCH(1,INDEX(--(TRIM(SUBSTITUTE(SUBSTITUTE(SUBSTITUTE(SUBSTITUTE(LINES_NAME&amp;""," "," "),CHAR(9)," "),CHAR(10)," "),CHAR(13)," "))=$DH10),0),0),0))</f>
        <v/>
      </c>
      <c r="EO10">
        <f>IF($EN10=0,0,IF(OR(UPPER(TRIM(INDEX(LINES_SCHEDULED,$EN10)&amp;""))="YES",UPPER(TRIM(INDEX(LINES_SCHEDULED,$EN10)&amp;""))="Y",UPPER(TRIM(INDEX(LINES_SCHEDULED,$EN10)&amp;""))="X"),1,0))</f>
        <v/>
      </c>
      <c r="EP10">
        <f>IF($DM10=0,"",IF(COUNTIFS($EG$5:$EG$1003,$EG10,$EB$5:$EB$1003,"Ready")&gt;0,"READY",IF(COUNTIFS($EG$5:$EG$1003,$EG10,$EB$5:$EB$1003,"PM")&gt;0,"PM",IF(COUNTIFS($EG$5:$EG$1003,$EG10,$EB$5:$EB$1003,"OT")&gt;0,"OT",""))))</f>
        <v/>
      </c>
      <c r="EQ10">
        <f>IF($EN10=0,"",UPPER(TRIM(INDEX(LINES_STATUS,$EN10)&amp;"")))</f>
        <v/>
      </c>
      <c r="ER10">
        <f>IF($DM10=0,"",IF(OR($EQ10="READY",$EQ10="PM",$EQ10="OT"),$EQ10,$EP10))</f>
        <v/>
      </c>
      <c r="ES10">
        <f>IF($DM10=0,"",IF(AND($DV10&lt;&gt;"",UPPER($DV10)&lt;&gt;"N"),"allergen",IF(ISNUMBER(SEARCH("oil",$DQ10)),"oil",IF(OR(EXACT($DS10,"A662"),EXACT($DS10,"A624")),"bulk",""))))</f>
        <v/>
      </c>
      <c r="ET10">
        <f>IF($DM10=0,"",IF(OR($EA10="",$EA10=0),"",$EA10/100))</f>
        <v/>
      </c>
      <c r="EU10">
        <f>IF(OR($ET10="",$DY10=""),"",INT($DY10*(1-$ET10)+0.5))</f>
        <v/>
      </c>
      <c r="EW10" t="n">
        <v>6</v>
      </c>
      <c r="EX10">
        <f>IFERROR(MATCH($EW10,$EM$5:$EM$1003,0),0)</f>
        <v/>
      </c>
      <c r="EY10">
        <f>IF($EW10&gt;$B$12,"",IF($EX10&gt;0,"row","spacer"))</f>
        <v/>
      </c>
      <c r="EZ10">
        <f>IF(AND($EY10="row",$EY9&lt;&gt;"row"),1,0)</f>
        <v/>
      </c>
      <c r="FA10">
        <f>IF(AND($EY10="row",$EY11&lt;&gt;"row"),1,0)</f>
        <v/>
      </c>
      <c r="FB10">
        <f>IF($EZ10=1,IFERROR(IF(ISNUMBER(INDEX(PASTE_ALL,INDEX($DF$5:$DF$1003,$EX10),$B$37)),INDEX(PASTE_ALL,INDEX($DF$5:$DF$1003,$EX10),$B$37),INDEX($DH$5:$DH$1003,$EX10)),INDEX($DH$5:$DH$1003,$EX10)),"")</f>
        <v/>
      </c>
      <c r="FC10">
        <f>IF($EY10="row",INDEX($ER$5:$ER$1003,$EX10),"")</f>
        <v/>
      </c>
      <c r="FD10">
        <f>IF($EY10="row",INDEX($DN$5:$DN$1003,$EX10),"")</f>
        <v/>
      </c>
      <c r="FE10">
        <f>IF($EY10="row",INDEX($DO$5:$DO$1003,$EX10),"")</f>
        <v/>
      </c>
      <c r="FF10">
        <f>IF($EY10="row",INDEX($DP$5:$DP$1003,$EX10),"")</f>
        <v/>
      </c>
      <c r="FG10">
        <f>IF($EY10="row",INDEX($DQ$5:$DQ$1003,$EX10),"")</f>
        <v/>
      </c>
      <c r="FH10">
        <f>IF($EY10="row",INDEX($DR$5:$DR$1003,$EX10),"")</f>
        <v/>
      </c>
      <c r="FI10">
        <f>IF($EY10="row",INDEX($DS$5:$DS$1003,$EX10),"")</f>
        <v/>
      </c>
      <c r="FJ10">
        <f>IF($EY10="row",INDEX($DT$5:$DT$1003,$EX10),"")</f>
        <v/>
      </c>
      <c r="FK10">
        <f>IF($EY10="row",INDEX($DU$5:$DU$1003,$EX10),"")</f>
        <v/>
      </c>
      <c r="FL10">
        <f>IF($EY10="row",INDEX($DV$5:$DV$1003,$EX10),"")</f>
        <v/>
      </c>
      <c r="FM10">
        <f>IF($EY10="row",INDEX($DW$5:$DW$1003,$EX10),"")</f>
        <v/>
      </c>
      <c r="FN10">
        <f>IF($EY10="row",INDEX($DY$5:$DY$1003,$EX10),"")</f>
        <v/>
      </c>
      <c r="FO10">
        <f>IF($EY10="row",INDEX($EA$5:$EA$1003,$EX10),"")</f>
        <v/>
      </c>
      <c r="FP10">
        <f>IF($EY10="row",INDEX($EC$5:$EC$1003,$EX10),"")</f>
        <v/>
      </c>
      <c r="FQ10">
        <f>IF($EY10="row",INDEX($ET$5:$ET$1003,$EX10),"")</f>
        <v/>
      </c>
      <c r="FR10">
        <f>IF($EY10="row",INDEX($EU$5:$EU$1003,$EX10),"")</f>
        <v/>
      </c>
      <c r="FS10">
        <f>IF(AND($EY10="row",$EY9="row"),IF(OR(INDEX($DT$5:$DT$1003,$EX9)="",INDEX($DT$5:$DT$1003,$EX10)=""),"",IF(NOT(EXACT(INDEX($DT$5:$DT$1003,$EX9),INDEX($DT$5:$DT$1003,$EX10))),"S4",IF(NOT(EXACT(INDEX($DS$5:$DS$1003,$EX9),INDEX($DS$5:$DS$1003,$EX10))),"S3",IF(NOT(EXACT(INDEX($DR$5:$DR$1003,$EX9),INDEX($DR$5:$DR$1003,$EX10))),"S1 Count Change","S1")))),"")</f>
        <v/>
      </c>
      <c r="FT10">
        <f>IF($EY10="row",INDEX($ES$5:$ES$1003,$EX10),"")</f>
        <v/>
      </c>
      <c r="FU10">
        <f>IF($EY10="row",INDEX($EO$5:$EO$1003,$EX10),0)</f>
        <v/>
      </c>
      <c r="FV10">
        <f>IF($FS10="S1 Count Change",1,0)</f>
        <v/>
      </c>
      <c r="FX10" t="n">
        <v>6</v>
      </c>
      <c r="FY10">
        <f>IFERROR(MATCH($FX10,$EF$5:$EF$1003,0),0)</f>
        <v/>
      </c>
      <c r="FZ10">
        <f>IF($FY10=0,"",INDEX($DH$5:$DH$1003,$FY10))</f>
        <v/>
      </c>
      <c r="GA10">
        <f>IF($FY10=0,"",COUNTIF($EG$5:$EG$1003,$FX10))</f>
        <v/>
      </c>
      <c r="GB10">
        <f>IF($FY10=0,"",INDEX($ER$5:$ER$1003,$FY10))</f>
        <v/>
      </c>
      <c r="GC10">
        <f>IF($FY10=0,"",IF(INDEX($EO$5:$EO$1003,$FY10)=1,"Yes",""))</f>
        <v/>
      </c>
      <c r="GD10">
        <f>IF($FY10=0,"",IF(INDEX($EN$5:$EN$1003,$FY10)&gt;0,"","NOT IN YOUR LIST - type it in column A to tick it"))</f>
        <v/>
      </c>
      <c r="GE10">
        <f>IF(AND($FY10&gt;0,$GD10&lt;&gt;""),1,0)</f>
        <v/>
      </c>
      <c r="GF10">
        <f>GF9+$GE10</f>
        <v/>
      </c>
      <c r="GG10">
        <f>IFERROR(INDEX($FZ$5:$FZ$104,MATCH($FX10,$GF$5:$GF$104,0)),"")</f>
        <v/>
      </c>
    </row>
    <row r="11">
      <c r="A11" t="inlineStr">
        <is>
          <t>Lines</t>
        </is>
      </c>
      <c r="B11">
        <f>$EF$1003</f>
        <v/>
      </c>
      <c r="D11" t="n">
        <v>7</v>
      </c>
      <c r="E11" t="inlineStr">
        <is>
          <t>bulk</t>
        </is>
      </c>
      <c r="F11" t="inlineStr">
        <is>
          <t>Bulk Item</t>
        </is>
      </c>
      <c r="G11" t="n">
        <v>128</v>
      </c>
      <c r="H11">
        <f>IFERROR(UPPER(TRIM('2. Check Columns'!$F$19&amp;"")),"#")</f>
        <v/>
      </c>
      <c r="I11">
        <f>IF(H11="",0,IF(OR(H11="-",H11="NONE"),-1,IFERROR(MATCH(1,INDEX(--EXACT($T$5:$T$64,H11),0),0),-2)))</f>
        <v/>
      </c>
      <c r="J11">
        <f>IF(I11&lt;=0,IF(I11=-1,-1,0),IF(COUNTIF($I$5:I10,I11)&gt;0,0,I11))</f>
        <v/>
      </c>
      <c r="K11">
        <f>IFERROR(MATCH(7,$Y$235:$CF$235,0),0)</f>
        <v/>
      </c>
      <c r="L11">
        <f>IFERROR(MATCH(7,$Y$239:$CF$239,0),0)</f>
        <v/>
      </c>
      <c r="M11">
        <f>IF(K11=0,"(not found)",INDEX($T$5:$T$64,K11))</f>
        <v/>
      </c>
      <c r="N11">
        <f>IF(L11=0,IF(J11=-1,"(left out)","(none)"),INDEX($T$5:$T$64,L11))</f>
        <v/>
      </c>
      <c r="O11">
        <f>IF(L11=0,"",IFERROR(TRIM(SUBSTITUTE(SUBSTITUTE(SUBSTITUTE(SUBSTITUTE(INDEX(PASTE_ALL,HEADER_ROW,L11)&amp;""," "," "),CHAR(9)," "),CHAR(10)," "),CHAR(13)," ")),""))</f>
        <v/>
      </c>
      <c r="P11">
        <f>IF(OR(L11=0,$B$16=0),"",IFERROR(IF(ISNUMBER(INDEX(PASTE_ALL,$B$16,L11)),INDEX(PASTE_ALL,$B$16,L11),TRIM(SUBSTITUTE(SUBSTITUTE(SUBSTITUTE(SUBSTITUTE(INDEX(PASTE_ALL,$B$16,L11)&amp;""," "," "),CHAR(9)," "),CHAR(10)," "),CHAR(13)," "))),""))</f>
        <v/>
      </c>
      <c r="Q11">
        <f>IF(I11=-2,"'"&amp;H11&amp;"' is not a column letter from A to BH - ignored",IF(AND(I11&gt;0,J11=0),"Column "&amp;H11&amp;" is already used by "&amp;INDEX($F$5:$F$19,MATCH(I11,$I$5:$I$19,0))&amp;" - ignored",IF(AND(J11=0,K11&gt;0,COUNTIF($J$5:$J$19,K11)&gt;0),"Column "&amp;M11&amp;" is used by "&amp;INDEX($F$5:$F$19,MATCH(K11,$J$5:$J$19,0))&amp;" (Override)"&amp;IF(L11&gt;0," - using column "&amp;N11&amp;" instead"," - not used"),IF(AND(J11&gt;0,K11&gt;0,J11&lt;&gt;K11),"Override in use - this file's own title for it is in column "&amp;M11&amp;" ("&amp;IFERROR(TRIM(SUBSTITUTE(SUBSTITUTE(SUBSTITUTE(SUBSTITUTE(INDEX(PASTE_ALL,HEADER_ROW,K11)&amp;""," "," "),CHAR(9)," "),CHAR(10)," "),CHAR(13)," ")),"")&amp;"). Clear the Override if that is right.",IF(AND(J11=-1,K11&gt;0),"Left out by the Override - this file has it in column "&amp;M11&amp;" ("&amp;IFERROR(TRIM(SUBSTITUTE(SUBSTITUTE(SUBSTITUTE(SUBSTITUTE(INDEX(PASTE_ALL,HEADER_ROW,K11)&amp;""," "," "),CHAR(9)," "),CHAR(10)," "),CHAR(13)," ")),"")&amp;").","")))))</f>
        <v/>
      </c>
      <c r="R11">
        <f>IF(OR(AND(J11&gt;0,K11&gt;0,J11&lt;&gt;K11),AND(J11=-1,K11&gt;0),AND(J11=0,K11&gt;0,COUNTIF($J$5:$J$19,K11)&gt;0)),1,0)</f>
        <v/>
      </c>
      <c r="S11" t="n">
        <v>7</v>
      </c>
      <c r="T11" t="inlineStr">
        <is>
          <t>G</t>
        </is>
      </c>
      <c r="V11" t="inlineStr">
        <is>
          <t>LINEID</t>
        </is>
      </c>
      <c r="W11" t="n">
        <v>1</v>
      </c>
      <c r="Y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 ",""),"!",""),CHAR(34),""),"#",""),"$",""),"%",""),"&amp;",""),"'",""),"(",""),")",""),"*",""),"+",""),",",""),"-",""),".",""),"/",""),":",""),";",""),"&lt;",""),"=",""),"&gt;",""),"?",""),"@",""),"[",""),"\",""),"]",""),"^",""),"_",""),"`",""),"{",""),"|",""),"}",""),"~",""),CHAR(9),""),CHAR(10),""),CHAR(13),"")," ",""),"")</f>
        <v/>
      </c>
      <c r="Z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 ",""),"!",""),CHAR(34),""),"#",""),"$",""),"%",""),"&amp;",""),"'",""),"(",""),")",""),"*",""),"+",""),",",""),"-",""),".",""),"/",""),":",""),";",""),"&lt;",""),"=",""),"&gt;",""),"?",""),"@",""),"[",""),"\",""),"]",""),"^",""),"_",""),"`",""),"{",""),"|",""),"}",""),"~",""),CHAR(9),""),CHAR(10),""),CHAR(13),"")," ",""),"")</f>
        <v/>
      </c>
      <c r="AA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 ",""),"!",""),CHAR(34),""),"#",""),"$",""),"%",""),"&amp;",""),"'",""),"(",""),")",""),"*",""),"+",""),",",""),"-",""),".",""),"/",""),":",""),";",""),"&lt;",""),"=",""),"&gt;",""),"?",""),"@",""),"[",""),"\",""),"]",""),"^",""),"_",""),"`",""),"{",""),"|",""),"}",""),"~",""),CHAR(9),""),CHAR(10),""),CHAR(13),"")," ",""),"")</f>
        <v/>
      </c>
      <c r="AB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 ",""),"!",""),CHAR(34),""),"#",""),"$",""),"%",""),"&amp;",""),"'",""),"(",""),")",""),"*",""),"+",""),",",""),"-",""),".",""),"/",""),":",""),";",""),"&lt;",""),"=",""),"&gt;",""),"?",""),"@",""),"[",""),"\",""),"]",""),"^",""),"_",""),"`",""),"{",""),"|",""),"}",""),"~",""),CHAR(9),""),CHAR(10),""),CHAR(13),"")," ",""),"")</f>
        <v/>
      </c>
      <c r="AC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 ",""),"!",""),CHAR(34),""),"#",""),"$",""),"%",""),"&amp;",""),"'",""),"(",""),")",""),"*",""),"+",""),",",""),"-",""),".",""),"/",""),":",""),";",""),"&lt;",""),"=",""),"&gt;",""),"?",""),"@",""),"[",""),"\",""),"]",""),"^",""),"_",""),"`",""),"{",""),"|",""),"}",""),"~",""),CHAR(9),""),CHAR(10),""),CHAR(13),"")," ",""),"")</f>
        <v/>
      </c>
      <c r="AD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7,6))," ",""),"!",""),CHAR(34),""),"#",""),"$",""),"%",""),"&amp;",""),"'",""),"(",""),")",""),"*",""),"+",""),",",""),"-",""),".",""),"/",""),":",""),";",""),"&lt;",""),"=",""),"&gt;",""),"?",""),"@",""),"[",""),"\",""),"]",""),"^",""),"_",""),"`",""),"{",""),"|",""),"}",""),"~",""),CHAR(9),""),CHAR(10),""),CHAR(13),"")," ",""),"")</f>
        <v/>
      </c>
      <c r="AE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7,7))," ",""),"!",""),CHAR(34),""),"#",""),"$",""),"%",""),"&amp;",""),"'",""),"(",""),")",""),"*",""),"+",""),",",""),"-",""),".",""),"/",""),":",""),";",""),"&lt;",""),"=",""),"&gt;",""),"?",""),"@",""),"[",""),"\",""),"]",""),"^",""),"_",""),"`",""),"{",""),"|",""),"}",""),"~",""),CHAR(9),""),CHAR(10),""),CHAR(13),"")," ",""),"")</f>
        <v/>
      </c>
      <c r="AF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7,8))," ",""),"!",""),CHAR(34),""),"#",""),"$",""),"%",""),"&amp;",""),"'",""),"(",""),")",""),"*",""),"+",""),",",""),"-",""),".",""),"/",""),":",""),";",""),"&lt;",""),"=",""),"&gt;",""),"?",""),"@",""),"[",""),"\",""),"]",""),"^",""),"_",""),"`",""),"{",""),"|",""),"}",""),"~",""),CHAR(9),""),CHAR(10),""),CHAR(13),"")," ",""),"")</f>
        <v/>
      </c>
      <c r="AG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7,9))," ",""),"!",""),CHAR(34),""),"#",""),"$",""),"%",""),"&amp;",""),"'",""),"(",""),")",""),"*",""),"+",""),",",""),"-",""),".",""),"/",""),":",""),";",""),"&lt;",""),"=",""),"&gt;",""),"?",""),"@",""),"[",""),"\",""),"]",""),"^",""),"_",""),"`",""),"{",""),"|",""),"}",""),"~",""),CHAR(9),""),CHAR(10),""),CHAR(13),"")," ",""),"")</f>
        <v/>
      </c>
      <c r="AH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7,10))," ",""),"!",""),CHAR(34),""),"#",""),"$",""),"%",""),"&amp;",""),"'",""),"(",""),")",""),"*",""),"+",""),",",""),"-",""),".",""),"/",""),":",""),";",""),"&lt;",""),"=",""),"&gt;",""),"?",""),"@",""),"[",""),"\",""),"]",""),"^",""),"_",""),"`",""),"{",""),"|",""),"}",""),"~",""),CHAR(9),""),CHAR(10),""),CHAR(13),"")," ",""),"")</f>
        <v/>
      </c>
      <c r="AI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7,11))," ",""),"!",""),CHAR(34),""),"#",""),"$",""),"%",""),"&amp;",""),"'",""),"(",""),")",""),"*",""),"+",""),",",""),"-",""),".",""),"/",""),":",""),";",""),"&lt;",""),"=",""),"&gt;",""),"?",""),"@",""),"[",""),"\",""),"]",""),"^",""),"_",""),"`",""),"{",""),"|",""),"}",""),"~",""),CHAR(9),""),CHAR(10),""),CHAR(13),"")," ",""),"")</f>
        <v/>
      </c>
      <c r="AJ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7,12))," ",""),"!",""),CHAR(34),""),"#",""),"$",""),"%",""),"&amp;",""),"'",""),"(",""),")",""),"*",""),"+",""),",",""),"-",""),".",""),"/",""),":",""),";",""),"&lt;",""),"=",""),"&gt;",""),"?",""),"@",""),"[",""),"\",""),"]",""),"^",""),"_",""),"`",""),"{",""),"|",""),"}",""),"~",""),CHAR(9),""),CHAR(10),""),CHAR(13),"")," ",""),"")</f>
        <v/>
      </c>
      <c r="AK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7,13))," ",""),"!",""),CHAR(34),""),"#",""),"$",""),"%",""),"&amp;",""),"'",""),"(",""),")",""),"*",""),"+",""),",",""),"-",""),".",""),"/",""),":",""),";",""),"&lt;",""),"=",""),"&gt;",""),"?",""),"@",""),"[",""),"\",""),"]",""),"^",""),"_",""),"`",""),"{",""),"|",""),"}",""),"~",""),CHAR(9),""),CHAR(10),""),CHAR(13),"")," ",""),"")</f>
        <v/>
      </c>
      <c r="AL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7,14))," ",""),"!",""),CHAR(34),""),"#",""),"$",""),"%",""),"&amp;",""),"'",""),"(",""),")",""),"*",""),"+",""),",",""),"-",""),".",""),"/",""),":",""),";",""),"&lt;",""),"=",""),"&gt;",""),"?",""),"@",""),"[",""),"\",""),"]",""),"^",""),"_",""),"`",""),"{",""),"|",""),"}",""),"~",""),CHAR(9),""),CHAR(10),""),CHAR(13),"")," ",""),"")</f>
        <v/>
      </c>
      <c r="AM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7,15))," ",""),"!",""),CHAR(34),""),"#",""),"$",""),"%",""),"&amp;",""),"'",""),"(",""),")",""),"*",""),"+",""),",",""),"-",""),".",""),"/",""),":",""),";",""),"&lt;",""),"=",""),"&gt;",""),"?",""),"@",""),"[",""),"\",""),"]",""),"^",""),"_",""),"`",""),"{",""),"|",""),"}",""),"~",""),CHAR(9),""),CHAR(10),""),CHAR(13),"")," ",""),"")</f>
        <v/>
      </c>
      <c r="AN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7,16))," ",""),"!",""),CHAR(34),""),"#",""),"$",""),"%",""),"&amp;",""),"'",""),"(",""),")",""),"*",""),"+",""),",",""),"-",""),".",""),"/",""),":",""),";",""),"&lt;",""),"=",""),"&gt;",""),"?",""),"@",""),"[",""),"\",""),"]",""),"^",""),"_",""),"`",""),"{",""),"|",""),"}",""),"~",""),CHAR(9),""),CHAR(10),""),CHAR(13),"")," ",""),"")</f>
        <v/>
      </c>
      <c r="AO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7,17))," ",""),"!",""),CHAR(34),""),"#",""),"$",""),"%",""),"&amp;",""),"'",""),"(",""),")",""),"*",""),"+",""),",",""),"-",""),".",""),"/",""),":",""),";",""),"&lt;",""),"=",""),"&gt;",""),"?",""),"@",""),"[",""),"\",""),"]",""),"^",""),"_",""),"`",""),"{",""),"|",""),"}",""),"~",""),CHAR(9),""),CHAR(10),""),CHAR(13),"")," ",""),"")</f>
        <v/>
      </c>
      <c r="AP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7,18))," ",""),"!",""),CHAR(34),""),"#",""),"$",""),"%",""),"&amp;",""),"'",""),"(",""),")",""),"*",""),"+",""),",",""),"-",""),".",""),"/",""),":",""),";",""),"&lt;",""),"=",""),"&gt;",""),"?",""),"@",""),"[",""),"\",""),"]",""),"^",""),"_",""),"`",""),"{",""),"|",""),"}",""),"~",""),CHAR(9),""),CHAR(10),""),CHAR(13),"")," ",""),"")</f>
        <v/>
      </c>
      <c r="AQ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7,19))," ",""),"!",""),CHAR(34),""),"#",""),"$",""),"%",""),"&amp;",""),"'",""),"(",""),")",""),"*",""),"+",""),",",""),"-",""),".",""),"/",""),":",""),";",""),"&lt;",""),"=",""),"&gt;",""),"?",""),"@",""),"[",""),"\",""),"]",""),"^",""),"_",""),"`",""),"{",""),"|",""),"}",""),"~",""),CHAR(9),""),CHAR(10),""),CHAR(13),"")," ",""),"")</f>
        <v/>
      </c>
      <c r="AR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7,20))," ",""),"!",""),CHAR(34),""),"#",""),"$",""),"%",""),"&amp;",""),"'",""),"(",""),")",""),"*",""),"+",""),",",""),"-",""),".",""),"/",""),":",""),";",""),"&lt;",""),"=",""),"&gt;",""),"?",""),"@",""),"[",""),"\",""),"]",""),"^",""),"_",""),"`",""),"{",""),"|",""),"}",""),"~",""),CHAR(9),""),CHAR(10),""),CHAR(13),"")," ",""),"")</f>
        <v/>
      </c>
      <c r="AS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7,21))," ",""),"!",""),CHAR(34),""),"#",""),"$",""),"%",""),"&amp;",""),"'",""),"(",""),")",""),"*",""),"+",""),",",""),"-",""),".",""),"/",""),":",""),";",""),"&lt;",""),"=",""),"&gt;",""),"?",""),"@",""),"[",""),"\",""),"]",""),"^",""),"_",""),"`",""),"{",""),"|",""),"}",""),"~",""),CHAR(9),""),CHAR(10),""),CHAR(13),"")," ",""),"")</f>
        <v/>
      </c>
      <c r="AT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7,22))," ",""),"!",""),CHAR(34),""),"#",""),"$",""),"%",""),"&amp;",""),"'",""),"(",""),")",""),"*",""),"+",""),",",""),"-",""),".",""),"/",""),":",""),";",""),"&lt;",""),"=",""),"&gt;",""),"?",""),"@",""),"[",""),"\",""),"]",""),"^",""),"_",""),"`",""),"{",""),"|",""),"}",""),"~",""),CHAR(9),""),CHAR(10),""),CHAR(13),"")," ",""),"")</f>
        <v/>
      </c>
      <c r="AU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7,23))," ",""),"!",""),CHAR(34),""),"#",""),"$",""),"%",""),"&amp;",""),"'",""),"(",""),")",""),"*",""),"+",""),",",""),"-",""),".",""),"/",""),":",""),";",""),"&lt;",""),"=",""),"&gt;",""),"?",""),"@",""),"[",""),"\",""),"]",""),"^",""),"_",""),"`",""),"{",""),"|",""),"}",""),"~",""),CHAR(9),""),CHAR(10),""),CHAR(13),"")," ",""),"")</f>
        <v/>
      </c>
      <c r="AV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7,24))," ",""),"!",""),CHAR(34),""),"#",""),"$",""),"%",""),"&amp;",""),"'",""),"(",""),")",""),"*",""),"+",""),",",""),"-",""),".",""),"/",""),":",""),";",""),"&lt;",""),"=",""),"&gt;",""),"?",""),"@",""),"[",""),"\",""),"]",""),"^",""),"_",""),"`",""),"{",""),"|",""),"}",""),"~",""),CHAR(9),""),CHAR(10),""),CHAR(13),"")," ",""),"")</f>
        <v/>
      </c>
      <c r="AW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7,25))," ",""),"!",""),CHAR(34),""),"#",""),"$",""),"%",""),"&amp;",""),"'",""),"(",""),")",""),"*",""),"+",""),",",""),"-",""),".",""),"/",""),":",""),";",""),"&lt;",""),"=",""),"&gt;",""),"?",""),"@",""),"[",""),"\",""),"]",""),"^",""),"_",""),"`",""),"{",""),"|",""),"}",""),"~",""),CHAR(9),""),CHAR(10),""),CHAR(13),"")," ",""),"")</f>
        <v/>
      </c>
      <c r="AX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7,26))," ",""),"!",""),CHAR(34),""),"#",""),"$",""),"%",""),"&amp;",""),"'",""),"(",""),")",""),"*",""),"+",""),",",""),"-",""),".",""),"/",""),":",""),";",""),"&lt;",""),"=",""),"&gt;",""),"?",""),"@",""),"[",""),"\",""),"]",""),"^",""),"_",""),"`",""),"{",""),"|",""),"}",""),"~",""),CHAR(9),""),CHAR(10),""),CHAR(13),"")," ",""),"")</f>
        <v/>
      </c>
      <c r="AY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7,27))," ",""),"!",""),CHAR(34),""),"#",""),"$",""),"%",""),"&amp;",""),"'",""),"(",""),")",""),"*",""),"+",""),",",""),"-",""),".",""),"/",""),":",""),";",""),"&lt;",""),"=",""),"&gt;",""),"?",""),"@",""),"[",""),"\",""),"]",""),"^",""),"_",""),"`",""),"{",""),"|",""),"}",""),"~",""),CHAR(9),""),CHAR(10),""),CHAR(13),"")," ",""),"")</f>
        <v/>
      </c>
      <c r="AZ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7,28))," ",""),"!",""),CHAR(34),""),"#",""),"$",""),"%",""),"&amp;",""),"'",""),"(",""),")",""),"*",""),"+",""),",",""),"-",""),".",""),"/",""),":",""),";",""),"&lt;",""),"=",""),"&gt;",""),"?",""),"@",""),"[",""),"\",""),"]",""),"^",""),"_",""),"`",""),"{",""),"|",""),"}",""),"~",""),CHAR(9),""),CHAR(10),""),CHAR(13),"")," ",""),"")</f>
        <v/>
      </c>
      <c r="BA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7,29))," ",""),"!",""),CHAR(34),""),"#",""),"$",""),"%",""),"&amp;",""),"'",""),"(",""),")",""),"*",""),"+",""),",",""),"-",""),".",""),"/",""),":",""),";",""),"&lt;",""),"=",""),"&gt;",""),"?",""),"@",""),"[",""),"\",""),"]",""),"^",""),"_",""),"`",""),"{",""),"|",""),"}",""),"~",""),CHAR(9),""),CHAR(10),""),CHAR(13),"")," ",""),"")</f>
        <v/>
      </c>
      <c r="BB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7,30))," ",""),"!",""),CHAR(34),""),"#",""),"$",""),"%",""),"&amp;",""),"'",""),"(",""),")",""),"*",""),"+",""),",",""),"-",""),".",""),"/",""),":",""),";",""),"&lt;",""),"=",""),"&gt;",""),"?",""),"@",""),"[",""),"\",""),"]",""),"^",""),"_",""),"`",""),"{",""),"|",""),"}",""),"~",""),CHAR(9),""),CHAR(10),""),CHAR(13),"")," ",""),"")</f>
        <v/>
      </c>
      <c r="BC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7,31))," ",""),"!",""),CHAR(34),""),"#",""),"$",""),"%",""),"&amp;",""),"'",""),"(",""),")",""),"*",""),"+",""),",",""),"-",""),".",""),"/",""),":",""),";",""),"&lt;",""),"=",""),"&gt;",""),"?",""),"@",""),"[",""),"\",""),"]",""),"^",""),"_",""),"`",""),"{",""),"|",""),"}",""),"~",""),CHAR(9),""),CHAR(10),""),CHAR(13),"")," ",""),"")</f>
        <v/>
      </c>
      <c r="BD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7,32))," ",""),"!",""),CHAR(34),""),"#",""),"$",""),"%",""),"&amp;",""),"'",""),"(",""),")",""),"*",""),"+",""),",",""),"-",""),".",""),"/",""),":",""),";",""),"&lt;",""),"=",""),"&gt;",""),"?",""),"@",""),"[",""),"\",""),"]",""),"^",""),"_",""),"`",""),"{",""),"|",""),"}",""),"~",""),CHAR(9),""),CHAR(10),""),CHAR(13),"")," ",""),"")</f>
        <v/>
      </c>
      <c r="BE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7,33))," ",""),"!",""),CHAR(34),""),"#",""),"$",""),"%",""),"&amp;",""),"'",""),"(",""),")",""),"*",""),"+",""),",",""),"-",""),".",""),"/",""),":",""),";",""),"&lt;",""),"=",""),"&gt;",""),"?",""),"@",""),"[",""),"\",""),"]",""),"^",""),"_",""),"`",""),"{",""),"|",""),"}",""),"~",""),CHAR(9),""),CHAR(10),""),CHAR(13),"")," ",""),"")</f>
        <v/>
      </c>
      <c r="BF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7,34))," ",""),"!",""),CHAR(34),""),"#",""),"$",""),"%",""),"&amp;",""),"'",""),"(",""),")",""),"*",""),"+",""),",",""),"-",""),".",""),"/",""),":",""),";",""),"&lt;",""),"=",""),"&gt;",""),"?",""),"@",""),"[",""),"\",""),"]",""),"^",""),"_",""),"`",""),"{",""),"|",""),"}",""),"~",""),CHAR(9),""),CHAR(10),""),CHAR(13),"")," ",""),"")</f>
        <v/>
      </c>
      <c r="BG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7,35))," ",""),"!",""),CHAR(34),""),"#",""),"$",""),"%",""),"&amp;",""),"'",""),"(",""),")",""),"*",""),"+",""),",",""),"-",""),".",""),"/",""),":",""),";",""),"&lt;",""),"=",""),"&gt;",""),"?",""),"@",""),"[",""),"\",""),"]",""),"^",""),"_",""),"`",""),"{",""),"|",""),"}",""),"~",""),CHAR(9),""),CHAR(10),""),CHAR(13),"")," ",""),"")</f>
        <v/>
      </c>
      <c r="BH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7,36))," ",""),"!",""),CHAR(34),""),"#",""),"$",""),"%",""),"&amp;",""),"'",""),"(",""),")",""),"*",""),"+",""),",",""),"-",""),".",""),"/",""),":",""),";",""),"&lt;",""),"=",""),"&gt;",""),"?",""),"@",""),"[",""),"\",""),"]",""),"^",""),"_",""),"`",""),"{",""),"|",""),"}",""),"~",""),CHAR(9),""),CHAR(10),""),CHAR(13),"")," ",""),"")</f>
        <v/>
      </c>
      <c r="BI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7,37))," ",""),"!",""),CHAR(34),""),"#",""),"$",""),"%",""),"&amp;",""),"'",""),"(",""),")",""),"*",""),"+",""),",",""),"-",""),".",""),"/",""),":",""),";",""),"&lt;",""),"=",""),"&gt;",""),"?",""),"@",""),"[",""),"\",""),"]",""),"^",""),"_",""),"`",""),"{",""),"|",""),"}",""),"~",""),CHAR(9),""),CHAR(10),""),CHAR(13),"")," ",""),"")</f>
        <v/>
      </c>
      <c r="BJ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7,38))," ",""),"!",""),CHAR(34),""),"#",""),"$",""),"%",""),"&amp;",""),"'",""),"(",""),")",""),"*",""),"+",""),",",""),"-",""),".",""),"/",""),":",""),";",""),"&lt;",""),"=",""),"&gt;",""),"?",""),"@",""),"[",""),"\",""),"]",""),"^",""),"_",""),"`",""),"{",""),"|",""),"}",""),"~",""),CHAR(9),""),CHAR(10),""),CHAR(13),"")," ",""),"")</f>
        <v/>
      </c>
      <c r="BK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7,39))," ",""),"!",""),CHAR(34),""),"#",""),"$",""),"%",""),"&amp;",""),"'",""),"(",""),")",""),"*",""),"+",""),",",""),"-",""),".",""),"/",""),":",""),";",""),"&lt;",""),"=",""),"&gt;",""),"?",""),"@",""),"[",""),"\",""),"]",""),"^",""),"_",""),"`",""),"{",""),"|",""),"}",""),"~",""),CHAR(9),""),CHAR(10),""),CHAR(13),"")," ",""),"")</f>
        <v/>
      </c>
      <c r="BL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7,40))," ",""),"!",""),CHAR(34),""),"#",""),"$",""),"%",""),"&amp;",""),"'",""),"(",""),")",""),"*",""),"+",""),",",""),"-",""),".",""),"/",""),":",""),";",""),"&lt;",""),"=",""),"&gt;",""),"?",""),"@",""),"[",""),"\",""),"]",""),"^",""),"_",""),"`",""),"{",""),"|",""),"}",""),"~",""),CHAR(9),""),CHAR(10),""),CHAR(13),"")," ",""),"")</f>
        <v/>
      </c>
      <c r="BM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7,41))," ",""),"!",""),CHAR(34),""),"#",""),"$",""),"%",""),"&amp;",""),"'",""),"(",""),")",""),"*",""),"+",""),",",""),"-",""),".",""),"/",""),":",""),";",""),"&lt;",""),"=",""),"&gt;",""),"?",""),"@",""),"[",""),"\",""),"]",""),"^",""),"_",""),"`",""),"{",""),"|",""),"}",""),"~",""),CHAR(9),""),CHAR(10),""),CHAR(13),"")," ",""),"")</f>
        <v/>
      </c>
      <c r="BN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7,42))," ",""),"!",""),CHAR(34),""),"#",""),"$",""),"%",""),"&amp;",""),"'",""),"(",""),")",""),"*",""),"+",""),",",""),"-",""),".",""),"/",""),":",""),";",""),"&lt;",""),"=",""),"&gt;",""),"?",""),"@",""),"[",""),"\",""),"]",""),"^",""),"_",""),"`",""),"{",""),"|",""),"}",""),"~",""),CHAR(9),""),CHAR(10),""),CHAR(13),"")," ",""),"")</f>
        <v/>
      </c>
      <c r="BO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7,43))," ",""),"!",""),CHAR(34),""),"#",""),"$",""),"%",""),"&amp;",""),"'",""),"(",""),")",""),"*",""),"+",""),",",""),"-",""),".",""),"/",""),":",""),";",""),"&lt;",""),"=",""),"&gt;",""),"?",""),"@",""),"[",""),"\",""),"]",""),"^",""),"_",""),"`",""),"{",""),"|",""),"}",""),"~",""),CHAR(9),""),CHAR(10),""),CHAR(13),"")," ",""),"")</f>
        <v/>
      </c>
      <c r="BP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7,44))," ",""),"!",""),CHAR(34),""),"#",""),"$",""),"%",""),"&amp;",""),"'",""),"(",""),")",""),"*",""),"+",""),",",""),"-",""),".",""),"/",""),":",""),";",""),"&lt;",""),"=",""),"&gt;",""),"?",""),"@",""),"[",""),"\",""),"]",""),"^",""),"_",""),"`",""),"{",""),"|",""),"}",""),"~",""),CHAR(9),""),CHAR(10),""),CHAR(13),"")," ",""),"")</f>
        <v/>
      </c>
      <c r="BQ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7,45))," ",""),"!",""),CHAR(34),""),"#",""),"$",""),"%",""),"&amp;",""),"'",""),"(",""),")",""),"*",""),"+",""),",",""),"-",""),".",""),"/",""),":",""),";",""),"&lt;",""),"=",""),"&gt;",""),"?",""),"@",""),"[",""),"\",""),"]",""),"^",""),"_",""),"`",""),"{",""),"|",""),"}",""),"~",""),CHAR(9),""),CHAR(10),""),CHAR(13),"")," ",""),"")</f>
        <v/>
      </c>
      <c r="BR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7,46))," ",""),"!",""),CHAR(34),""),"#",""),"$",""),"%",""),"&amp;",""),"'",""),"(",""),")",""),"*",""),"+",""),",",""),"-",""),".",""),"/",""),":",""),";",""),"&lt;",""),"=",""),"&gt;",""),"?",""),"@",""),"[",""),"\",""),"]",""),"^",""),"_",""),"`",""),"{",""),"|",""),"}",""),"~",""),CHAR(9),""),CHAR(10),""),CHAR(13),"")," ",""),"")</f>
        <v/>
      </c>
      <c r="BS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7,47))," ",""),"!",""),CHAR(34),""),"#",""),"$",""),"%",""),"&amp;",""),"'",""),"(",""),")",""),"*",""),"+",""),",",""),"-",""),".",""),"/",""),":",""),";",""),"&lt;",""),"=",""),"&gt;",""),"?",""),"@",""),"[",""),"\",""),"]",""),"^",""),"_",""),"`",""),"{",""),"|",""),"}",""),"~",""),CHAR(9),""),CHAR(10),""),CHAR(13),"")," ",""),"")</f>
        <v/>
      </c>
      <c r="BT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7,48))," ",""),"!",""),CHAR(34),""),"#",""),"$",""),"%",""),"&amp;",""),"'",""),"(",""),")",""),"*",""),"+",""),",",""),"-",""),".",""),"/",""),":",""),";",""),"&lt;",""),"=",""),"&gt;",""),"?",""),"@",""),"[",""),"\",""),"]",""),"^",""),"_",""),"`",""),"{",""),"|",""),"}",""),"~",""),CHAR(9),""),CHAR(10),""),CHAR(13),"")," ",""),"")</f>
        <v/>
      </c>
      <c r="BU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7,49))," ",""),"!",""),CHAR(34),""),"#",""),"$",""),"%",""),"&amp;",""),"'",""),"(",""),")",""),"*",""),"+",""),",",""),"-",""),".",""),"/",""),":",""),";",""),"&lt;",""),"=",""),"&gt;",""),"?",""),"@",""),"[",""),"\",""),"]",""),"^",""),"_",""),"`",""),"{",""),"|",""),"}",""),"~",""),CHAR(9),""),CHAR(10),""),CHAR(13),"")," ",""),"")</f>
        <v/>
      </c>
      <c r="BV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7,50))," ",""),"!",""),CHAR(34),""),"#",""),"$",""),"%",""),"&amp;",""),"'",""),"(",""),")",""),"*",""),"+",""),",",""),"-",""),".",""),"/",""),":",""),";",""),"&lt;",""),"=",""),"&gt;",""),"?",""),"@",""),"[",""),"\",""),"]",""),"^",""),"_",""),"`",""),"{",""),"|",""),"}",""),"~",""),CHAR(9),""),CHAR(10),""),CHAR(13),"")," ",""),"")</f>
        <v/>
      </c>
      <c r="BW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7,51))," ",""),"!",""),CHAR(34),""),"#",""),"$",""),"%",""),"&amp;",""),"'",""),"(",""),")",""),"*",""),"+",""),",",""),"-",""),".",""),"/",""),":",""),";",""),"&lt;",""),"=",""),"&gt;",""),"?",""),"@",""),"[",""),"\",""),"]",""),"^",""),"_",""),"`",""),"{",""),"|",""),"}",""),"~",""),CHAR(9),""),CHAR(10),""),CHAR(13),"")," ",""),"")</f>
        <v/>
      </c>
      <c r="BX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7,52))," ",""),"!",""),CHAR(34),""),"#",""),"$",""),"%",""),"&amp;",""),"'",""),"(",""),")",""),"*",""),"+",""),",",""),"-",""),".",""),"/",""),":",""),";",""),"&lt;",""),"=",""),"&gt;",""),"?",""),"@",""),"[",""),"\",""),"]",""),"^",""),"_",""),"`",""),"{",""),"|",""),"}",""),"~",""),CHAR(9),""),CHAR(10),""),CHAR(13),"")," ",""),"")</f>
        <v/>
      </c>
      <c r="BY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7,53))," ",""),"!",""),CHAR(34),""),"#",""),"$",""),"%",""),"&amp;",""),"'",""),"(",""),")",""),"*",""),"+",""),",",""),"-",""),".",""),"/",""),":",""),";",""),"&lt;",""),"=",""),"&gt;",""),"?",""),"@",""),"[",""),"\",""),"]",""),"^",""),"_",""),"`",""),"{",""),"|",""),"}",""),"~",""),CHAR(9),""),CHAR(10),""),CHAR(13),"")," ",""),"")</f>
        <v/>
      </c>
      <c r="BZ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7,54))," ",""),"!",""),CHAR(34),""),"#",""),"$",""),"%",""),"&amp;",""),"'",""),"(",""),")",""),"*",""),"+",""),",",""),"-",""),".",""),"/",""),":",""),";",""),"&lt;",""),"=",""),"&gt;",""),"?",""),"@",""),"[",""),"\",""),"]",""),"^",""),"_",""),"`",""),"{",""),"|",""),"}",""),"~",""),CHAR(9),""),CHAR(10),""),CHAR(13),"")," ",""),"")</f>
        <v/>
      </c>
      <c r="CA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7,55))," ",""),"!",""),CHAR(34),""),"#",""),"$",""),"%",""),"&amp;",""),"'",""),"(",""),")",""),"*",""),"+",""),",",""),"-",""),".",""),"/",""),":",""),";",""),"&lt;",""),"=",""),"&gt;",""),"?",""),"@",""),"[",""),"\",""),"]",""),"^",""),"_",""),"`",""),"{",""),"|",""),"}",""),"~",""),CHAR(9),""),CHAR(10),""),CHAR(13),"")," ",""),"")</f>
        <v/>
      </c>
      <c r="CB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7,56))," ",""),"!",""),CHAR(34),""),"#",""),"$",""),"%",""),"&amp;",""),"'",""),"(",""),")",""),"*",""),"+",""),",",""),"-",""),".",""),"/",""),":",""),";",""),"&lt;",""),"=",""),"&gt;",""),"?",""),"@",""),"[",""),"\",""),"]",""),"^",""),"_",""),"`",""),"{",""),"|",""),"}",""),"~",""),CHAR(9),""),CHAR(10),""),CHAR(13),"")," ",""),"")</f>
        <v/>
      </c>
      <c r="CC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7,57))," ",""),"!",""),CHAR(34),""),"#",""),"$",""),"%",""),"&amp;",""),"'",""),"(",""),")",""),"*",""),"+",""),",",""),"-",""),".",""),"/",""),":",""),";",""),"&lt;",""),"=",""),"&gt;",""),"?",""),"@",""),"[",""),"\",""),"]",""),"^",""),"_",""),"`",""),"{",""),"|",""),"}",""),"~",""),CHAR(9),""),CHAR(10),""),CHAR(13),"")," ",""),"")</f>
        <v/>
      </c>
      <c r="CD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7,58))," ",""),"!",""),CHAR(34),""),"#",""),"$",""),"%",""),"&amp;",""),"'",""),"(",""),")",""),"*",""),"+",""),",",""),"-",""),".",""),"/",""),":",""),";",""),"&lt;",""),"=",""),"&gt;",""),"?",""),"@",""),"[",""),"\",""),"]",""),"^",""),"_",""),"`",""),"{",""),"|",""),"}",""),"~",""),CHAR(9),""),CHAR(10),""),CHAR(13),"")," ",""),"")</f>
        <v/>
      </c>
      <c r="CE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7,59))," ",""),"!",""),CHAR(34),""),"#",""),"$",""),"%",""),"&amp;",""),"'",""),"(",""),")",""),"*",""),"+",""),",",""),"-",""),".",""),"/",""),":",""),";",""),"&lt;",""),"=",""),"&gt;",""),"?",""),"@",""),"[",""),"\",""),"]",""),"^",""),"_",""),"`",""),"{",""),"|",""),"}",""),"~",""),CHAR(9),""),CHAR(10),""),CHAR(13),"")," ",""),"")</f>
        <v/>
      </c>
      <c r="CF1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7,60))," ",""),"!",""),CHAR(34),""),"#",""),"$",""),"%",""),"&amp;",""),"'",""),"(",""),")",""),"*",""),"+",""),",",""),"-",""),".",""),"/",""),":",""),";",""),"&lt;",""),"=",""),"&gt;",""),"?",""),"@",""),"[",""),"\",""),"]",""),"^",""),"_",""),"`",""),"{",""),"|",""),"}",""),"~",""),CHAR(9),""),CHAR(10),""),CHAR(13),"")," ",""),"")</f>
        <v/>
      </c>
      <c r="CH11">
        <f>COUNTIF($Y56:$CF56,"&gt;0")</f>
        <v/>
      </c>
      <c r="CI11">
        <f>COUNTIF($Y56:$CF56,2)</f>
        <v/>
      </c>
      <c r="CJ11">
        <f>SUMPRODUCT((COUNTIF($Y101:$CF101,{1,2,3,4,5,6,7,8,9,10,11,12,13,14,15})&gt;0)*{2,4,8,16,32,64,128,256,512,1024,2048,4096,8192,16384,32768})</f>
        <v/>
      </c>
      <c r="CK11">
        <f>CF191</f>
        <v/>
      </c>
      <c r="CL11">
        <f>SUMPRODUCT(MOD(INT(((CJ11+CK11))/{2,4,8,16,32,64,128,256,512,1024,2048,4096,8192,16384,32768}),2))</f>
        <v/>
      </c>
      <c r="CM11">
        <f>IF(CH11&lt;2,-9999,CL11+2*MOD(INT(((CJ11+CK11))/2),2)+2*MOD(INT(((CJ11+CK11))/4),2)-CI11)</f>
        <v/>
      </c>
      <c r="DA11" t="n">
        <v>7</v>
      </c>
      <c r="DB11">
        <f>IF($B$37=0,"",IFERROR(TRIM(SUBSTITUTE(SUBSTITUTE(SUBSTITUTE(SUBSTITUTE(INDEX(PASTE_ALL,7,$B$37)," "," "),CHAR(9)," "),CHAR(10)," "),CHAR(13)," ")),""))</f>
        <v/>
      </c>
      <c r="DC11">
        <f>IF(AND(7&gt;HEADER_ROW,UPPER(DB11)="LEGEND"),1,0)</f>
        <v/>
      </c>
      <c r="DE11" t="n">
        <v>7</v>
      </c>
      <c r="DF11">
        <f>HEADER_ROW+$DE11</f>
        <v/>
      </c>
      <c r="DG11">
        <f>IF(AND($DF11&lt;=1000,$DF11&lt;$B$8),1,0)</f>
        <v/>
      </c>
      <c r="DH11">
        <f>IF($DG11=1,IFERROR(INDEX($DB$5:$DB$1004,$DF11),""),"")</f>
        <v/>
      </c>
      <c r="DI11">
        <f>IF(AND($DG11=1,$DH11&lt;&gt;""),IFERROR(SUBSTITUTE(SUBSTITUTE(TRIM(SUBSTITUTE(SUBSTITUTE(SUBSTITUTE(SUBSTITUTE(IFERROR(INDEX(PASTE_ALL,$DF11,1)&amp;"","")&amp;"␟"&amp;IFERROR(INDEX(PASTE_ALL,$DF11,2)&amp;"","")&amp;"␟"&amp;IFERROR(INDEX(PASTE_ALL,$DF11,3)&amp;"","")&amp;"␟"&amp;IFERROR(INDEX(PASTE_ALL,$DF11,4)&amp;"","")&amp;"␟"&amp;IFERROR(INDEX(PASTE_ALL,$DF11,5)&amp;"","")&amp;"␟"&amp;IFERROR(INDEX(PASTE_ALL,$DF11,6)&amp;"","")&amp;"␟"&amp;IFERROR(INDEX(PASTE_ALL,$DF11,7)&amp;"","")&amp;"␟"&amp;IFERROR(INDEX(PASTE_ALL,$DF11,8)&amp;"","")&amp;"␟"&amp;IFERROR(INDEX(PASTE_ALL,$DF11,9)&amp;"","")&amp;"␟"&amp;IFERROR(INDEX(PASTE_ALL,$DF11,10)&amp;"","")&amp;"␟"&amp;IFERROR(INDEX(PASTE_ALL,$DF11,11)&amp;"","")&amp;"␟"&amp;IFERROR(INDEX(PASTE_ALL,$DF11,12)&amp;"","")&amp;"␟"&amp;IFERROR(INDEX(PASTE_ALL,$DF11,13)&amp;"","")&amp;"␟"&amp;IFERROR(INDEX(PASTE_ALL,$DF11,14)&amp;"","")&amp;"␟"&amp;IFERROR(INDEX(PASTE_ALL,$DF11,15)&amp;"","")&amp;"␟"&amp;IFERROR(INDEX(PASTE_ALL,$DF11,16)&amp;"","")&amp;"␟"&amp;IFERROR(INDEX(PASTE_ALL,$DF11,17)&amp;"","")&amp;"␟"&amp;IFERROR(INDEX(PASTE_ALL,$DF11,18)&amp;"","")&amp;"␟"&amp;IFERROR(INDEX(PASTE_ALL,$DF11,19)&amp;"","")&amp;"␟"&amp;IFERROR(INDEX(PASTE_ALL,$DF11,20)&amp;"","")&amp;"␟"&amp;IFERROR(INDEX(PASTE_ALL,$DF11,21)&amp;"","")&amp;"␟"&amp;IFERROR(INDEX(PASTE_ALL,$DF11,22)&amp;"","")&amp;"␟"&amp;IFERROR(INDEX(PASTE_ALL,$DF11,23)&amp;"","")&amp;"␟"&amp;IFERROR(INDEX(PASTE_ALL,$DF11,24)&amp;"","")&amp;"␟"&amp;IFERROR(INDEX(PASTE_ALL,$DF11,25)&amp;"","")&amp;"␟"&amp;IFERROR(INDEX(PASTE_ALL,$DF11,26)&amp;"","")&amp;"␟"&amp;IFERROR(INDEX(PASTE_ALL,$DF11,27)&amp;"","")&amp;"␟"&amp;IFERROR(INDEX(PASTE_ALL,$DF11,28)&amp;"","")&amp;"␟"&amp;IFERROR(INDEX(PASTE_ALL,$DF11,29)&amp;"","")&amp;"␟"&amp;IFERROR(INDEX(PASTE_ALL,$DF11,30)&amp;"","")&amp;"␟"&amp;IFERROR(INDEX(PASTE_ALL,$DF11,31)&amp;"","")&amp;"␟"&amp;IFERROR(INDEX(PASTE_ALL,$DF11,32)&amp;"","")&amp;"␟"&amp;IFERROR(INDEX(PASTE_ALL,$DF11,33)&amp;"","")&amp;"␟"&amp;IFERROR(INDEX(PASTE_ALL,$DF11,34)&amp;"","")&amp;"␟"&amp;IFERROR(INDEX(PASTE_ALL,$DF11,35)&amp;"","")&amp;"␟"&amp;IFERROR(INDEX(PASTE_ALL,$DF11,36)&amp;"","")&amp;"␟"&amp;IFERROR(INDEX(PASTE_ALL,$DF11,37)&amp;"","")&amp;"␟"&amp;IFERROR(INDEX(PASTE_ALL,$DF11,38)&amp;"","")&amp;"␟"&amp;IFERROR(INDEX(PASTE_ALL,$DF11,39)&amp;"","")&amp;"␟"&amp;IFERROR(INDEX(PASTE_ALL,$DF11,40)&amp;"","")&amp;"␟"&amp;IFERROR(INDEX(PASTE_ALL,$DF11,41)&amp;"","")&amp;"␟"&amp;IFERROR(INDEX(PASTE_ALL,$DF11,42)&amp;"","")&amp;"␟"&amp;IFERROR(INDEX(PASTE_ALL,$DF11,43)&amp;"","")&amp;"␟"&amp;IFERROR(INDEX(PASTE_ALL,$DF11,44)&amp;"","")&amp;"␟"&amp;IFERROR(INDEX(PASTE_ALL,$DF11,45)&amp;"","")&amp;"␟"&amp;IFERROR(INDEX(PASTE_ALL,$DF11,46)&amp;"","")&amp;"␟"&amp;IFERROR(INDEX(PASTE_ALL,$DF11,47)&amp;"","")&amp;"␟"&amp;IFERROR(INDEX(PASTE_ALL,$DF11,48)&amp;"","")&amp;"␟"&amp;IFERROR(INDEX(PASTE_ALL,$DF11,49)&amp;"","")&amp;"␟"&amp;IFERROR(INDEX(PASTE_ALL,$DF11,50)&amp;"","")&amp;"␟"&amp;IFERROR(INDEX(PASTE_ALL,$DF11,51)&amp;"","")&amp;"␟"&amp;IFERROR(INDEX(PASTE_ALL,$DF11,52)&amp;"","")&amp;"␟"&amp;IFERROR(INDEX(PASTE_ALL,$DF11,53)&amp;"","")&amp;"␟"&amp;IFERROR(INDEX(PASTE_ALL,$DF11,54)&amp;"","")&amp;"␟"&amp;IFERROR(INDEX(PASTE_ALL,$DF11,55)&amp;"","")&amp;"␟"&amp;IFERROR(INDEX(PASTE_ALL,$DF11,56)&amp;"","")&amp;"␟"&amp;IFERROR(INDEX(PASTE_ALL,$DF11,57)&amp;"","")&amp;"␟"&amp;IFERROR(INDEX(PASTE_ALL,$DF11,58)&amp;"","")&amp;"␟"&amp;IFERROR(INDEX(PASTE_ALL,$DF11,59)&amp;"","")&amp;"␟"&amp;IFERROR(INDEX(PASTE_ALL,$DF11,60)&amp;"","")," "," "),CHAR(9)," "),CHAR(10)," "),CHAR(13)," "))," ␟","␟"),"␟ ","␟"),"#"&amp;$DE11),"")</f>
        <v/>
      </c>
      <c r="DJ11">
        <f>IF($DI11="",0,IF(SUMPRODUCT(--EXACT($DI$4:DI10,$DI11))&gt;0,1,0))</f>
        <v/>
      </c>
      <c r="DK11">
        <f>IF(AND($DI11&lt;&gt;"",$DJ11=0),1,0)</f>
        <v/>
      </c>
      <c r="DL11">
        <f>DL10+$DK11</f>
        <v/>
      </c>
      <c r="DM11">
        <f>IF(AND($DK11=1,$DL11&lt;=600),1,0)</f>
        <v/>
      </c>
      <c r="DN11">
        <f>IF($DM11=0,"",IF($L$6=0,"",IFERROR(IF(ISNUMBER(INDEX(PASTE_ALL,$DF11,$L$6)),INDEX(PASTE_ALL,$DF11,$L$6),TRIM(SUBSTITUTE(SUBSTITUTE(SUBSTITUTE(SUBSTITUTE(INDEX(PASTE_ALL,$DF11,$L$6)," "," "),CHAR(9)," "),CHAR(10)," "),CHAR(13)," "))),"")))</f>
        <v/>
      </c>
      <c r="DO11">
        <f>IF($DM11=0,"",IF($L$7=0,"",IFERROR(IF(ISNUMBER(INDEX(PASTE_ALL,$DF11,$L$7)),INDEX(PASTE_ALL,$DF11,$L$7),TRIM(SUBSTITUTE(SUBSTITUTE(SUBSTITUTE(SUBSTITUTE(INDEX(PASTE_ALL,$DF11,$L$7)," "," "),CHAR(9)," "),CHAR(10)," "),CHAR(13)," "))),"")))</f>
        <v/>
      </c>
      <c r="DP11">
        <f>IF($DM11=0,"",IF($L$8=0,"",IFERROR(IF(ISNUMBER(INDEX(PASTE_ALL,$DF11,$L$8)),INDEX(PASTE_ALL,$DF11,$L$8),TRIM(SUBSTITUTE(SUBSTITUTE(SUBSTITUTE(SUBSTITUTE(INDEX(PASTE_ALL,$DF11,$L$8)," "," "),CHAR(9)," "),CHAR(10)," "),CHAR(13)," "))),"")))</f>
        <v/>
      </c>
      <c r="DQ11">
        <f>IF($DM11=0,"",IF($L$9=0,"",IFERROR(IF(ISNUMBER(INDEX(PASTE_ALL,$DF11,$L$9)),INDEX(PASTE_ALL,$DF11,$L$9),TRIM(SUBSTITUTE(SUBSTITUTE(SUBSTITUTE(SUBSTITUTE(INDEX(PASTE_ALL,$DF11,$L$9)," "," "),CHAR(9)," "),CHAR(10)," "),CHAR(13)," "))),"")))</f>
        <v/>
      </c>
      <c r="DR11">
        <f>IF($DM11=0,"",IF($L$10=0,"",IFERROR(IF(ISNUMBER(INDEX(PASTE_ALL,$DF11,$L$10)),INDEX(PASTE_ALL,$DF11,$L$10),TRIM(SUBSTITUTE(SUBSTITUTE(SUBSTITUTE(SUBSTITUTE(INDEX(PASTE_ALL,$DF11,$L$10)," "," "),CHAR(9)," "),CHAR(10)," "),CHAR(13)," "))),"")))</f>
        <v/>
      </c>
      <c r="DS11">
        <f>IF($DM11=0,"",IF($L$11=0,"",IFERROR(IF(ISNUMBER(INDEX(PASTE_ALL,$DF11,$L$11)),INDEX(PASTE_ALL,$DF11,$L$11),TRIM(SUBSTITUTE(SUBSTITUTE(SUBSTITUTE(SUBSTITUTE(INDEX(PASTE_ALL,$DF11,$L$11)," "," "),CHAR(9)," "),CHAR(10)," "),CHAR(13)," "))),"")))</f>
        <v/>
      </c>
      <c r="DT11">
        <f>IF($DM11=0,"",IF($L$12=0,"",IFERROR(IF(ISNUMBER(INDEX(PASTE_ALL,$DF11,$L$12)),INDEX(PASTE_ALL,$DF11,$L$12),TRIM(SUBSTITUTE(SUBSTITUTE(SUBSTITUTE(SUBSTITUTE(INDEX(PASTE_ALL,$DF11,$L$12)," "," "),CHAR(9)," "),CHAR(10)," "),CHAR(13)," "))),"")))</f>
        <v/>
      </c>
      <c r="DU11">
        <f>IF($DM11=0,"",IF($L$13=0,"",IFERROR(IF(ISNUMBER(INDEX(PASTE_ALL,$DF11,$L$13)),INDEX(PASTE_ALL,$DF11,$L$13),TRIM(SUBSTITUTE(SUBSTITUTE(SUBSTITUTE(SUBSTITUTE(INDEX(PASTE_ALL,$DF11,$L$13)," "," "),CHAR(9)," "),CHAR(10)," "),CHAR(13)," "))),"")))</f>
        <v/>
      </c>
      <c r="DV11">
        <f>IF($DM11=0,"",IF($L$14=0,"",IFERROR(IF(ISNUMBER(INDEX(PASTE_ALL,$DF11,$L$14)),INDEX(PASTE_ALL,$DF11,$L$14),TRIM(SUBSTITUTE(SUBSTITUTE(SUBSTITUTE(SUBSTITUTE(INDEX(PASTE_ALL,$DF11,$L$14)," "," "),CHAR(9)," "),CHAR(10)," "),CHAR(13)," "))),"")))</f>
        <v/>
      </c>
      <c r="DW11">
        <f>IF($DM11=0,"",IF($L$15=0,"",IFERROR(IF(ISNUMBER(INDEX(PASTE_ALL,$DF11,$L$15)),INDEX(PASTE_ALL,$DF11,$L$15),IF(SUMPRODUCT(--ISNUMBER(FIND({"A","B","C","D","E","F","G","H","I","J","K","L","M","N","O","P","Q","R","S","T","U","V","W","X","Y","Z","0","1","2","3","4","5","6","7","8","9"},UPPER(TRIM(SUBSTITUTE(SUBSTITUTE(SUBSTITUTE(SUBSTITUTE(INDEX(PASTE_ALL,$DF11,$L$15)," "," "),CHAR(9)," "),CHAR(10)," "),CHAR(13)," "))))))&gt;0,TRIM(SUBSTITUTE(SUBSTITUTE(SUBSTITUTE(SUBSTITUTE(INDEX(PASTE_ALL,$DF11,$L$15)," "," "),CHAR(9)," "),CHAR(10)," "),CHAR(13)," ")),"")),"")))</f>
        <v/>
      </c>
      <c r="DX11">
        <f>IF($DM11=0,"",IF($L$16=0,"",IFERROR(IF(ISNUMBER(INDEX(PASTE_ALL,$DF11,$L$16)),INDEX(PASTE_ALL,$DF11,$L$16),SUBSTITUTE(SUBSTITUTE(TRIM(SUBSTITUTE(SUBSTITUTE(SUBSTITUTE(SUBSTITUTE(INDEX(PASTE_ALL,$DF11,$L$16)," "," "),CHAR(9)," "),CHAR(10)," "),CHAR(13)," ")),",",""),"%","")),"")))</f>
        <v/>
      </c>
      <c r="DY11">
        <f>IF($DM11=0,"",IFERROR(IF(ISNUMBER($DX11),$DX11,IF($DX11="","",IF(TRIM($DX11)="",0,IF(AND(AND(SUBSTITUTE(SUBSTITUTE(SUBSTITUTE(SUBSTITUTE(SUBSTITUTE(SUBSTITUTE(SUBSTITUTE(SUBSTITUTE(SUBSTITUTE(SUBSTITUTE(SUBSTITUTE(SUBSTITUTE(SUBSTITUTE(SUBSTITUTE(UPPER(TRIM($DX11)),"0",""),"1",""),"2",""),"3",""),"4",""),"5",""),"6",""),"7",""),"8",""),"9",""),".",""),"+",""),"-",""),"E","")="",LEN(SUBSTITUTE(SUBSTITUTE(MID(UPPER(TRIM($DX11)),1+OR(LEFT(UPPER(TRIM($DX11)),1)="+",LEFT(UPPER(TRIM($DX11)),1)="-"),999),"E+","E"),"E-","E"))=LEN(SUBSTITUTE(SUBSTITUTE(SUBSTITUTE(SUBSTITUTE(MID(UPPER(TRIM($DX11)),1+OR(LEFT(UPPER(TRIM($DX11)),1)="+",LEFT(UPPER(TRIM($DX11)),1)="-"),999),"E+","E"),"E-","E"),"+",""),"-","")),LEN(UPPER(TRIM($DX11)))-LEN(SUBSTITUTE(UPPER(TRIM($DX11)),"E",""))&lt;2,LEN(UPPER(TRIM($DX11)))-LEN(SUBSTITUTE(UPPER(TRIM($DX11)),".",""))&lt;2,IFERROR(FIND(".",UPPER(TRIM($DX11))),0)&lt;IFERROR(FIND("E",UPPER(TRIM($DX11))),999)),ISNUMBER(VALUE(TRIM($DX11)))),VALUE(TRIM($DX11)),"")))),""))</f>
        <v/>
      </c>
      <c r="DZ11">
        <f>IF($DM11=0,"",IF($L$17=0,"",IFERROR(IF(ISNUMBER(INDEX(PASTE_ALL,$DF11,$L$17)),INDEX(PASTE_ALL,$DF11,$L$17),SUBSTITUTE(SUBSTITUTE(TRIM(SUBSTITUTE(SUBSTITUTE(SUBSTITUTE(SUBSTITUTE(INDEX(PASTE_ALL,$DF11,$L$17)," "," "),CHAR(9)," "),CHAR(10)," "),CHAR(13)," ")),",",""),"%","")),"")))</f>
        <v/>
      </c>
      <c r="EA11">
        <f>IF($DM11=0,"",IFERROR(IF(ISNUMBER($DZ11),$DZ11,IF($DZ11="","",IF(TRIM($DZ11)="",0,IF(AND(AND(SUBSTITUTE(SUBSTITUTE(SUBSTITUTE(SUBSTITUTE(SUBSTITUTE(SUBSTITUTE(SUBSTITUTE(SUBSTITUTE(SUBSTITUTE(SUBSTITUTE(SUBSTITUTE(SUBSTITUTE(SUBSTITUTE(SUBSTITUTE(UPPER(TRIM($DZ11)),"0",""),"1",""),"2",""),"3",""),"4",""),"5",""),"6",""),"7",""),"8",""),"9",""),".",""),"+",""),"-",""),"E","")="",LEN(SUBSTITUTE(SUBSTITUTE(MID(UPPER(TRIM($DZ11)),1+OR(LEFT(UPPER(TRIM($DZ11)),1)="+",LEFT(UPPER(TRIM($DZ11)),1)="-"),999),"E+","E"),"E-","E"))=LEN(SUBSTITUTE(SUBSTITUTE(SUBSTITUTE(SUBSTITUTE(MID(UPPER(TRIM($DZ11)),1+OR(LEFT(UPPER(TRIM($DZ11)),1)="+",LEFT(UPPER(TRIM($DZ11)),1)="-"),999),"E+","E"),"E-","E"),"+",""),"-","")),LEN(UPPER(TRIM($DZ11)))-LEN(SUBSTITUTE(UPPER(TRIM($DZ11)),"E",""))&lt;2,LEN(UPPER(TRIM($DZ11)))-LEN(SUBSTITUTE(UPPER(TRIM($DZ11)),".",""))&lt;2,IFERROR(FIND(".",UPPER(TRIM($DZ11))),0)&lt;IFERROR(FIND("E",UPPER(TRIM($DZ11))),999)),ISNUMBER(VALUE(TRIM($DZ11)))),VALUE(TRIM($DZ11)),"")))),""))</f>
        <v/>
      </c>
      <c r="EB11">
        <f>IF($DM11=0,"",IF($L$18=0,"",IFERROR(IF(UPPER(TRIM(SUBSTITUTE(SUBSTITUTE(SUBSTITUTE(SUBSTITUTE(INDEX(PASTE_ALL,$DF11,$L$18)," "," "),CHAR(9)," "),CHAR(10)," "),CHAR(13)," ")))="READY","Ready",IF(UPPER(TRIM(SUBSTITUTE(SUBSTITUTE(SUBSTITUTE(SUBSTITUTE(INDEX(PASTE_ALL,$DF11,$L$18)," "," "),CHAR(9)," "),CHAR(10)," "),CHAR(13)," ")))="PM","PM",IF(OR(UPPER(TRIM(SUBSTITUTE(SUBSTITUTE(SUBSTITUTE(SUBSTITUTE(INDEX(PASTE_ALL,$DF11,$L$18)," "," "),CHAR(9)," "),CHAR(10)," "),CHAR(13)," ")))="OT",UPPER(TRIM(SUBSTITUTE(SUBSTITUTE(SUBSTITUTE(SUBSTITUTE(INDEX(PASTE_ALL,$DF11,$L$18)," "," "),CHAR(9)," "),CHAR(10)," "),CHAR(13)," ")))="OVERTIME",UPPER(TRIM(SUBSTITUTE(SUBSTITUTE(SUBSTITUTE(SUBSTITUTE(INDEX(PASTE_ALL,$DF11,$L$18)," "," "),CHAR(9)," "),CHAR(10)," "),CHAR(13)," ")))="TRIAL"),"OT",TRIM(SUBSTITUTE(SUBSTITUTE(SUBSTITUTE(SUBSTITUTE(INDEX(PASTE_ALL,$DF11,$L$18)," "," "),CHAR(9)," "),CHAR(10)," "),CHAR(13)," "))))),"")))</f>
        <v/>
      </c>
      <c r="EC11">
        <f>IF($DM11=0,"",IF($L$19=0,"",IFERROR(IF(ISNUMBER(INDEX(PASTE_ALL,$DF11,$L$19)),INDEX(PASTE_ALL,$DF11,$L$19),TRIM(SUBSTITUTE(SUBSTITUTE(SUBSTITUTE(SUBSTITUTE(INDEX(PASTE_ALL,$DF11,$L$19)," "," "),CHAR(9)," "),CHAR(10)," "),CHAR(13)," "))),"")))</f>
        <v/>
      </c>
      <c r="ED11">
        <f>IF($DM11=0,"",MATCH(1,INDEX(EXACT($DH$5:DH11,$DH11)*$DM$5:DM11,0),0))</f>
        <v/>
      </c>
      <c r="EE11">
        <f>IF($DM11=0,0,IF($ED11=$DE11,1,0))</f>
        <v/>
      </c>
      <c r="EF11">
        <f>EF10+$EE11</f>
        <v/>
      </c>
      <c r="EG11">
        <f>IF($DM11=0,"",INDEX($EF$5:$EF$1003,$ED11))</f>
        <v/>
      </c>
      <c r="EH11">
        <f>IF($DM11=0,"",IF($DO11&lt;&gt;"","",IFERROR(LOOKUP(2,1/(($EG$4:EG10=$EG11)*($DO$4:DO10&lt;&gt;"")),$DO$4:DO10),"")))</f>
        <v/>
      </c>
      <c r="EI11">
        <f>IF($DM11=0,"",IF($DO11&lt;&gt;"",$DO11,$EH11))</f>
        <v/>
      </c>
      <c r="EJ11">
        <f>IF($DM11=0,"",IF($EI11="",0,IF(OR(ISNUMBER($EI11),AND(AND(SUBSTITUTE(SUBSTITUTE(SUBSTITUTE(SUBSTITUTE(SUBSTITUTE(SUBSTITUTE(SUBSTITUTE(SUBSTITUTE(SUBSTITUTE(SUBSTITUTE(SUBSTITUTE(SUBSTITUTE(SUBSTITUTE(SUBSTITUTE(UPPER($EI11),"0",""),"1",""),"2",""),"3",""),"4",""),"5",""),"6",""),"7",""),"8",""),"9",""),".",""),"+",""),"-",""),"E","")="",LEN(SUBSTITUTE(SUBSTITUTE(MID(UPPER($EI11),1+OR(LEFT(UPPER($EI11),1)="+",LEFT(UPPER($EI11),1)="-"),999),"E+","E"),"E-","E"))=LEN(SUBSTITUTE(SUBSTITUTE(SUBSTITUTE(SUBSTITUTE(MID(UPPER($EI11),1+OR(LEFT(UPPER($EI11),1)="+",LEFT(UPPER($EI11),1)="-"),999),"E+","E"),"E-","E"),"+",""),"-","")),LEN(UPPER($EI11))-LEN(SUBSTITUTE(UPPER($EI11),"E",""))&lt;2,LEN(UPPER($EI11))-LEN(SUBSTITUTE(UPPER($EI11),".",""))&lt;2,IFERROR(FIND(".",UPPER($EI11)),0)&lt;IFERROR(FIND("E",UPPER($EI11)),999)),ISNUMBER(VALUE($EI11)))),1,2)))</f>
        <v/>
      </c>
      <c r="EK11">
        <f>IF($DM11=0,"",IF($EJ11=1,IF(ISNUMBER($EI11),$EI11,VALUE($EI11)),IF($EJ11=2,$DE11,0)))</f>
        <v/>
      </c>
      <c r="EL11">
        <f>IF($DM11=0,"",COUNTIF($EG$5:$EG$1003,"&lt;"&amp;$EG11)+SUMPRODUCT(($EG$5:$EG$1003=$EG11)*(($EJ$5:$EJ$1003&lt;$EJ11)+($EJ$5:$EJ$1003=$EJ11)*(($EK$5:$EK$1003&lt;$EK11)+($EK$5:$EK$1003=$EK11)*($DE$5:$DE$1003&lt;$DE11))))+1)</f>
        <v/>
      </c>
      <c r="EM11">
        <f>IF($DM11=0,"",$EL11+$EG11-1)</f>
        <v/>
      </c>
      <c r="EN11">
        <f>IF($DM11=0,0,IFERROR(MATCH(1,INDEX(--(TRIM(SUBSTITUTE(SUBSTITUTE(SUBSTITUTE(SUBSTITUTE(LINES_NAME&amp;""," "," "),CHAR(9)," "),CHAR(10)," "),CHAR(13)," "))=$DH11),0),0),0))</f>
        <v/>
      </c>
      <c r="EO11">
        <f>IF($EN11=0,0,IF(OR(UPPER(TRIM(INDEX(LINES_SCHEDULED,$EN11)&amp;""))="YES",UPPER(TRIM(INDEX(LINES_SCHEDULED,$EN11)&amp;""))="Y",UPPER(TRIM(INDEX(LINES_SCHEDULED,$EN11)&amp;""))="X"),1,0))</f>
        <v/>
      </c>
      <c r="EP11">
        <f>IF($DM11=0,"",IF(COUNTIFS($EG$5:$EG$1003,$EG11,$EB$5:$EB$1003,"Ready")&gt;0,"READY",IF(COUNTIFS($EG$5:$EG$1003,$EG11,$EB$5:$EB$1003,"PM")&gt;0,"PM",IF(COUNTIFS($EG$5:$EG$1003,$EG11,$EB$5:$EB$1003,"OT")&gt;0,"OT",""))))</f>
        <v/>
      </c>
      <c r="EQ11">
        <f>IF($EN11=0,"",UPPER(TRIM(INDEX(LINES_STATUS,$EN11)&amp;"")))</f>
        <v/>
      </c>
      <c r="ER11">
        <f>IF($DM11=0,"",IF(OR($EQ11="READY",$EQ11="PM",$EQ11="OT"),$EQ11,$EP11))</f>
        <v/>
      </c>
      <c r="ES11">
        <f>IF($DM11=0,"",IF(AND($DV11&lt;&gt;"",UPPER($DV11)&lt;&gt;"N"),"allergen",IF(ISNUMBER(SEARCH("oil",$DQ11)),"oil",IF(OR(EXACT($DS11,"A662"),EXACT($DS11,"A624")),"bulk",""))))</f>
        <v/>
      </c>
      <c r="ET11">
        <f>IF($DM11=0,"",IF(OR($EA11="",$EA11=0),"",$EA11/100))</f>
        <v/>
      </c>
      <c r="EU11">
        <f>IF(OR($ET11="",$DY11=""),"",INT($DY11*(1-$ET11)+0.5))</f>
        <v/>
      </c>
      <c r="EW11" t="n">
        <v>7</v>
      </c>
      <c r="EX11">
        <f>IFERROR(MATCH($EW11,$EM$5:$EM$1003,0),0)</f>
        <v/>
      </c>
      <c r="EY11">
        <f>IF($EW11&gt;$B$12,"",IF($EX11&gt;0,"row","spacer"))</f>
        <v/>
      </c>
      <c r="EZ11">
        <f>IF(AND($EY11="row",$EY10&lt;&gt;"row"),1,0)</f>
        <v/>
      </c>
      <c r="FA11">
        <f>IF(AND($EY11="row",$EY12&lt;&gt;"row"),1,0)</f>
        <v/>
      </c>
      <c r="FB11">
        <f>IF($EZ11=1,IFERROR(IF(ISNUMBER(INDEX(PASTE_ALL,INDEX($DF$5:$DF$1003,$EX11),$B$37)),INDEX(PASTE_ALL,INDEX($DF$5:$DF$1003,$EX11),$B$37),INDEX($DH$5:$DH$1003,$EX11)),INDEX($DH$5:$DH$1003,$EX11)),"")</f>
        <v/>
      </c>
      <c r="FC11">
        <f>IF($EY11="row",INDEX($ER$5:$ER$1003,$EX11),"")</f>
        <v/>
      </c>
      <c r="FD11">
        <f>IF($EY11="row",INDEX($DN$5:$DN$1003,$EX11),"")</f>
        <v/>
      </c>
      <c r="FE11">
        <f>IF($EY11="row",INDEX($DO$5:$DO$1003,$EX11),"")</f>
        <v/>
      </c>
      <c r="FF11">
        <f>IF($EY11="row",INDEX($DP$5:$DP$1003,$EX11),"")</f>
        <v/>
      </c>
      <c r="FG11">
        <f>IF($EY11="row",INDEX($DQ$5:$DQ$1003,$EX11),"")</f>
        <v/>
      </c>
      <c r="FH11">
        <f>IF($EY11="row",INDEX($DR$5:$DR$1003,$EX11),"")</f>
        <v/>
      </c>
      <c r="FI11">
        <f>IF($EY11="row",INDEX($DS$5:$DS$1003,$EX11),"")</f>
        <v/>
      </c>
      <c r="FJ11">
        <f>IF($EY11="row",INDEX($DT$5:$DT$1003,$EX11),"")</f>
        <v/>
      </c>
      <c r="FK11">
        <f>IF($EY11="row",INDEX($DU$5:$DU$1003,$EX11),"")</f>
        <v/>
      </c>
      <c r="FL11">
        <f>IF($EY11="row",INDEX($DV$5:$DV$1003,$EX11),"")</f>
        <v/>
      </c>
      <c r="FM11">
        <f>IF($EY11="row",INDEX($DW$5:$DW$1003,$EX11),"")</f>
        <v/>
      </c>
      <c r="FN11">
        <f>IF($EY11="row",INDEX($DY$5:$DY$1003,$EX11),"")</f>
        <v/>
      </c>
      <c r="FO11">
        <f>IF($EY11="row",INDEX($EA$5:$EA$1003,$EX11),"")</f>
        <v/>
      </c>
      <c r="FP11">
        <f>IF($EY11="row",INDEX($EC$5:$EC$1003,$EX11),"")</f>
        <v/>
      </c>
      <c r="FQ11">
        <f>IF($EY11="row",INDEX($ET$5:$ET$1003,$EX11),"")</f>
        <v/>
      </c>
      <c r="FR11">
        <f>IF($EY11="row",INDEX($EU$5:$EU$1003,$EX11),"")</f>
        <v/>
      </c>
      <c r="FS11">
        <f>IF(AND($EY11="row",$EY10="row"),IF(OR(INDEX($DT$5:$DT$1003,$EX10)="",INDEX($DT$5:$DT$1003,$EX11)=""),"",IF(NOT(EXACT(INDEX($DT$5:$DT$1003,$EX10),INDEX($DT$5:$DT$1003,$EX11))),"S4",IF(NOT(EXACT(INDEX($DS$5:$DS$1003,$EX10),INDEX($DS$5:$DS$1003,$EX11))),"S3",IF(NOT(EXACT(INDEX($DR$5:$DR$1003,$EX10),INDEX($DR$5:$DR$1003,$EX11))),"S1 Count Change","S1")))),"")</f>
        <v/>
      </c>
      <c r="FT11">
        <f>IF($EY11="row",INDEX($ES$5:$ES$1003,$EX11),"")</f>
        <v/>
      </c>
      <c r="FU11">
        <f>IF($EY11="row",INDEX($EO$5:$EO$1003,$EX11),0)</f>
        <v/>
      </c>
      <c r="FV11">
        <f>IF($FS11="S1 Count Change",1,0)</f>
        <v/>
      </c>
      <c r="FX11" t="n">
        <v>7</v>
      </c>
      <c r="FY11">
        <f>IFERROR(MATCH($FX11,$EF$5:$EF$1003,0),0)</f>
        <v/>
      </c>
      <c r="FZ11">
        <f>IF($FY11=0,"",INDEX($DH$5:$DH$1003,$FY11))</f>
        <v/>
      </c>
      <c r="GA11">
        <f>IF($FY11=0,"",COUNTIF($EG$5:$EG$1003,$FX11))</f>
        <v/>
      </c>
      <c r="GB11">
        <f>IF($FY11=0,"",INDEX($ER$5:$ER$1003,$FY11))</f>
        <v/>
      </c>
      <c r="GC11">
        <f>IF($FY11=0,"",IF(INDEX($EO$5:$EO$1003,$FY11)=1,"Yes",""))</f>
        <v/>
      </c>
      <c r="GD11">
        <f>IF($FY11=0,"",IF(INDEX($EN$5:$EN$1003,$FY11)&gt;0,"","NOT IN YOUR LIST - type it in column A to tick it"))</f>
        <v/>
      </c>
      <c r="GE11">
        <f>IF(AND($FY11&gt;0,$GD11&lt;&gt;""),1,0)</f>
        <v/>
      </c>
      <c r="GF11">
        <f>GF10+$GE11</f>
        <v/>
      </c>
      <c r="GG11">
        <f>IFERROR(INDEX($FZ$5:$FZ$104,MATCH($FX11,$GF$5:$GF$104,0)),"")</f>
        <v/>
      </c>
    </row>
    <row r="12">
      <c r="A12" t="inlineStr">
        <is>
          <t>Report rows needed</t>
        </is>
      </c>
      <c r="B12">
        <f>IF($B$10=0,0,$B$10+$B$11-1)</f>
        <v/>
      </c>
      <c r="D12" t="n">
        <v>8</v>
      </c>
      <c r="E12" t="inlineStr">
        <is>
          <t>bottle</t>
        </is>
      </c>
      <c r="F12" t="inlineStr">
        <is>
          <t>Bottle Size</t>
        </is>
      </c>
      <c r="G12" t="n">
        <v>256</v>
      </c>
      <c r="H12">
        <f>IFERROR(UPPER(TRIM('2. Check Columns'!$F$20&amp;"")),"#")</f>
        <v/>
      </c>
      <c r="I12">
        <f>IF(H12="",0,IF(OR(H12="-",H12="NONE"),-1,IFERROR(MATCH(1,INDEX(--EXACT($T$5:$T$64,H12),0),0),-2)))</f>
        <v/>
      </c>
      <c r="J12">
        <f>IF(I12&lt;=0,IF(I12=-1,-1,0),IF(COUNTIF($I$5:I11,I12)&gt;0,0,I12))</f>
        <v/>
      </c>
      <c r="K12">
        <f>IFERROR(MATCH(8,$Y$235:$CF$235,0),0)</f>
        <v/>
      </c>
      <c r="L12">
        <f>IFERROR(MATCH(8,$Y$239:$CF$239,0),0)</f>
        <v/>
      </c>
      <c r="M12">
        <f>IF(K12=0,"(not found)",INDEX($T$5:$T$64,K12))</f>
        <v/>
      </c>
      <c r="N12">
        <f>IF(L12=0,IF(J12=-1,"(left out)","(none)"),INDEX($T$5:$T$64,L12))</f>
        <v/>
      </c>
      <c r="O12">
        <f>IF(L12=0,"",IFERROR(TRIM(SUBSTITUTE(SUBSTITUTE(SUBSTITUTE(SUBSTITUTE(INDEX(PASTE_ALL,HEADER_ROW,L12)&amp;""," "," "),CHAR(9)," "),CHAR(10)," "),CHAR(13)," ")),""))</f>
        <v/>
      </c>
      <c r="P12">
        <f>IF(OR(L12=0,$B$16=0),"",IFERROR(IF(ISNUMBER(INDEX(PASTE_ALL,$B$16,L12)),INDEX(PASTE_ALL,$B$16,L12),TRIM(SUBSTITUTE(SUBSTITUTE(SUBSTITUTE(SUBSTITUTE(INDEX(PASTE_ALL,$B$16,L12)&amp;""," "," "),CHAR(9)," "),CHAR(10)," "),CHAR(13)," "))),""))</f>
        <v/>
      </c>
      <c r="Q12">
        <f>IF(I12=-2,"'"&amp;H12&amp;"' is not a column letter from A to BH - ignored",IF(AND(I12&gt;0,J12=0),"Column "&amp;H12&amp;" is already used by "&amp;INDEX($F$5:$F$19,MATCH(I12,$I$5:$I$19,0))&amp;" - ignored",IF(AND(J12=0,K12&gt;0,COUNTIF($J$5:$J$19,K12)&gt;0),"Column "&amp;M12&amp;" is used by "&amp;INDEX($F$5:$F$19,MATCH(K12,$J$5:$J$19,0))&amp;" (Override)"&amp;IF(L12&gt;0," - using column "&amp;N12&amp;" instead"," - not used"),IF(AND(J12&gt;0,K12&gt;0,J12&lt;&gt;K12),"Override in use - this file's own title for it is in column "&amp;M12&amp;" ("&amp;IFERROR(TRIM(SUBSTITUTE(SUBSTITUTE(SUBSTITUTE(SUBSTITUTE(INDEX(PASTE_ALL,HEADER_ROW,K12)&amp;""," "," "),CHAR(9)," "),CHAR(10)," "),CHAR(13)," ")),"")&amp;"). Clear the Override if that is right.",IF(AND(J12=-1,K12&gt;0),"Left out by the Override - this file has it in column "&amp;M12&amp;" ("&amp;IFERROR(TRIM(SUBSTITUTE(SUBSTITUTE(SUBSTITUTE(SUBSTITUTE(INDEX(PASTE_ALL,HEADER_ROW,K12)&amp;""," "," "),CHAR(9)," "),CHAR(10)," "),CHAR(13)," ")),"")&amp;").","")))))</f>
        <v/>
      </c>
      <c r="R12">
        <f>IF(OR(AND(J12&gt;0,K12&gt;0,J12&lt;&gt;K12),AND(J12=-1,K12&gt;0),AND(J12=0,K12&gt;0,COUNTIF($J$5:$J$19,K12)&gt;0)),1,0)</f>
        <v/>
      </c>
      <c r="S12" t="n">
        <v>8</v>
      </c>
      <c r="T12" t="inlineStr">
        <is>
          <t>H</t>
        </is>
      </c>
      <c r="V12" t="inlineStr">
        <is>
          <t>WO</t>
        </is>
      </c>
      <c r="W12" t="n">
        <v>2</v>
      </c>
      <c r="Y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 ",""),"!",""),CHAR(34),""),"#",""),"$",""),"%",""),"&amp;",""),"'",""),"(",""),")",""),"*",""),"+",""),",",""),"-",""),".",""),"/",""),":",""),";",""),"&lt;",""),"=",""),"&gt;",""),"?",""),"@",""),"[",""),"\",""),"]",""),"^",""),"_",""),"`",""),"{",""),"|",""),"}",""),"~",""),CHAR(9),""),CHAR(10),""),CHAR(13),"")," ",""),"")</f>
        <v/>
      </c>
      <c r="Z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 ",""),"!",""),CHAR(34),""),"#",""),"$",""),"%",""),"&amp;",""),"'",""),"(",""),")",""),"*",""),"+",""),",",""),"-",""),".",""),"/",""),":",""),";",""),"&lt;",""),"=",""),"&gt;",""),"?",""),"@",""),"[",""),"\",""),"]",""),"^",""),"_",""),"`",""),"{",""),"|",""),"}",""),"~",""),CHAR(9),""),CHAR(10),""),CHAR(13),"")," ",""),"")</f>
        <v/>
      </c>
      <c r="AA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 ",""),"!",""),CHAR(34),""),"#",""),"$",""),"%",""),"&amp;",""),"'",""),"(",""),")",""),"*",""),"+",""),",",""),"-",""),".",""),"/",""),":",""),";",""),"&lt;",""),"=",""),"&gt;",""),"?",""),"@",""),"[",""),"\",""),"]",""),"^",""),"_",""),"`",""),"{",""),"|",""),"}",""),"~",""),CHAR(9),""),CHAR(10),""),CHAR(13),"")," ",""),"")</f>
        <v/>
      </c>
      <c r="AB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 ",""),"!",""),CHAR(34),""),"#",""),"$",""),"%",""),"&amp;",""),"'",""),"(",""),")",""),"*",""),"+",""),",",""),"-",""),".",""),"/",""),":",""),";",""),"&lt;",""),"=",""),"&gt;",""),"?",""),"@",""),"[",""),"\",""),"]",""),"^",""),"_",""),"`",""),"{",""),"|",""),"}",""),"~",""),CHAR(9),""),CHAR(10),""),CHAR(13),"")," ",""),"")</f>
        <v/>
      </c>
      <c r="AC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 ",""),"!",""),CHAR(34),""),"#",""),"$",""),"%",""),"&amp;",""),"'",""),"(",""),")",""),"*",""),"+",""),",",""),"-",""),".",""),"/",""),":",""),";",""),"&lt;",""),"=",""),"&gt;",""),"?",""),"@",""),"[",""),"\",""),"]",""),"^",""),"_",""),"`",""),"{",""),"|",""),"}",""),"~",""),CHAR(9),""),CHAR(10),""),CHAR(13),"")," ",""),"")</f>
        <v/>
      </c>
      <c r="AD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8,6))," ",""),"!",""),CHAR(34),""),"#",""),"$",""),"%",""),"&amp;",""),"'",""),"(",""),")",""),"*",""),"+",""),",",""),"-",""),".",""),"/",""),":",""),";",""),"&lt;",""),"=",""),"&gt;",""),"?",""),"@",""),"[",""),"\",""),"]",""),"^",""),"_",""),"`",""),"{",""),"|",""),"}",""),"~",""),CHAR(9),""),CHAR(10),""),CHAR(13),"")," ",""),"")</f>
        <v/>
      </c>
      <c r="AE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8,7))," ",""),"!",""),CHAR(34),""),"#",""),"$",""),"%",""),"&amp;",""),"'",""),"(",""),")",""),"*",""),"+",""),",",""),"-",""),".",""),"/",""),":",""),";",""),"&lt;",""),"=",""),"&gt;",""),"?",""),"@",""),"[",""),"\",""),"]",""),"^",""),"_",""),"`",""),"{",""),"|",""),"}",""),"~",""),CHAR(9),""),CHAR(10),""),CHAR(13),"")," ",""),"")</f>
        <v/>
      </c>
      <c r="AF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8,8))," ",""),"!",""),CHAR(34),""),"#",""),"$",""),"%",""),"&amp;",""),"'",""),"(",""),")",""),"*",""),"+",""),",",""),"-",""),".",""),"/",""),":",""),";",""),"&lt;",""),"=",""),"&gt;",""),"?",""),"@",""),"[",""),"\",""),"]",""),"^",""),"_",""),"`",""),"{",""),"|",""),"}",""),"~",""),CHAR(9),""),CHAR(10),""),CHAR(13),"")," ",""),"")</f>
        <v/>
      </c>
      <c r="AG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8,9))," ",""),"!",""),CHAR(34),""),"#",""),"$",""),"%",""),"&amp;",""),"'",""),"(",""),")",""),"*",""),"+",""),",",""),"-",""),".",""),"/",""),":",""),";",""),"&lt;",""),"=",""),"&gt;",""),"?",""),"@",""),"[",""),"\",""),"]",""),"^",""),"_",""),"`",""),"{",""),"|",""),"}",""),"~",""),CHAR(9),""),CHAR(10),""),CHAR(13),"")," ",""),"")</f>
        <v/>
      </c>
      <c r="AH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8,10))," ",""),"!",""),CHAR(34),""),"#",""),"$",""),"%",""),"&amp;",""),"'",""),"(",""),")",""),"*",""),"+",""),",",""),"-",""),".",""),"/",""),":",""),";",""),"&lt;",""),"=",""),"&gt;",""),"?",""),"@",""),"[",""),"\",""),"]",""),"^",""),"_",""),"`",""),"{",""),"|",""),"}",""),"~",""),CHAR(9),""),CHAR(10),""),CHAR(13),"")," ",""),"")</f>
        <v/>
      </c>
      <c r="AI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8,11))," ",""),"!",""),CHAR(34),""),"#",""),"$",""),"%",""),"&amp;",""),"'",""),"(",""),")",""),"*",""),"+",""),",",""),"-",""),".",""),"/",""),":",""),";",""),"&lt;",""),"=",""),"&gt;",""),"?",""),"@",""),"[",""),"\",""),"]",""),"^",""),"_",""),"`",""),"{",""),"|",""),"}",""),"~",""),CHAR(9),""),CHAR(10),""),CHAR(13),"")," ",""),"")</f>
        <v/>
      </c>
      <c r="AJ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8,12))," ",""),"!",""),CHAR(34),""),"#",""),"$",""),"%",""),"&amp;",""),"'",""),"(",""),")",""),"*",""),"+",""),",",""),"-",""),".",""),"/",""),":",""),";",""),"&lt;",""),"=",""),"&gt;",""),"?",""),"@",""),"[",""),"\",""),"]",""),"^",""),"_",""),"`",""),"{",""),"|",""),"}",""),"~",""),CHAR(9),""),CHAR(10),""),CHAR(13),"")," ",""),"")</f>
        <v/>
      </c>
      <c r="AK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8,13))," ",""),"!",""),CHAR(34),""),"#",""),"$",""),"%",""),"&amp;",""),"'",""),"(",""),")",""),"*",""),"+",""),",",""),"-",""),".",""),"/",""),":",""),";",""),"&lt;",""),"=",""),"&gt;",""),"?",""),"@",""),"[",""),"\",""),"]",""),"^",""),"_",""),"`",""),"{",""),"|",""),"}",""),"~",""),CHAR(9),""),CHAR(10),""),CHAR(13),"")," ",""),"")</f>
        <v/>
      </c>
      <c r="AL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8,14))," ",""),"!",""),CHAR(34),""),"#",""),"$",""),"%",""),"&amp;",""),"'",""),"(",""),")",""),"*",""),"+",""),",",""),"-",""),".",""),"/",""),":",""),";",""),"&lt;",""),"=",""),"&gt;",""),"?",""),"@",""),"[",""),"\",""),"]",""),"^",""),"_",""),"`",""),"{",""),"|",""),"}",""),"~",""),CHAR(9),""),CHAR(10),""),CHAR(13),"")," ",""),"")</f>
        <v/>
      </c>
      <c r="AM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8,15))," ",""),"!",""),CHAR(34),""),"#",""),"$",""),"%",""),"&amp;",""),"'",""),"(",""),")",""),"*",""),"+",""),",",""),"-",""),".",""),"/",""),":",""),";",""),"&lt;",""),"=",""),"&gt;",""),"?",""),"@",""),"[",""),"\",""),"]",""),"^",""),"_",""),"`",""),"{",""),"|",""),"}",""),"~",""),CHAR(9),""),CHAR(10),""),CHAR(13),"")," ",""),"")</f>
        <v/>
      </c>
      <c r="AN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8,16))," ",""),"!",""),CHAR(34),""),"#",""),"$",""),"%",""),"&amp;",""),"'",""),"(",""),")",""),"*",""),"+",""),",",""),"-",""),".",""),"/",""),":",""),";",""),"&lt;",""),"=",""),"&gt;",""),"?",""),"@",""),"[",""),"\",""),"]",""),"^",""),"_",""),"`",""),"{",""),"|",""),"}",""),"~",""),CHAR(9),""),CHAR(10),""),CHAR(13),"")," ",""),"")</f>
        <v/>
      </c>
      <c r="AO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8,17))," ",""),"!",""),CHAR(34),""),"#",""),"$",""),"%",""),"&amp;",""),"'",""),"(",""),")",""),"*",""),"+",""),",",""),"-",""),".",""),"/",""),":",""),";",""),"&lt;",""),"=",""),"&gt;",""),"?",""),"@",""),"[",""),"\",""),"]",""),"^",""),"_",""),"`",""),"{",""),"|",""),"}",""),"~",""),CHAR(9),""),CHAR(10),""),CHAR(13),"")," ",""),"")</f>
        <v/>
      </c>
      <c r="AP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8,18))," ",""),"!",""),CHAR(34),""),"#",""),"$",""),"%",""),"&amp;",""),"'",""),"(",""),")",""),"*",""),"+",""),",",""),"-",""),".",""),"/",""),":",""),";",""),"&lt;",""),"=",""),"&gt;",""),"?",""),"@",""),"[",""),"\",""),"]",""),"^",""),"_",""),"`",""),"{",""),"|",""),"}",""),"~",""),CHAR(9),""),CHAR(10),""),CHAR(13),"")," ",""),"")</f>
        <v/>
      </c>
      <c r="AQ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8,19))," ",""),"!",""),CHAR(34),""),"#",""),"$",""),"%",""),"&amp;",""),"'",""),"(",""),")",""),"*",""),"+",""),",",""),"-",""),".",""),"/",""),":",""),";",""),"&lt;",""),"=",""),"&gt;",""),"?",""),"@",""),"[",""),"\",""),"]",""),"^",""),"_",""),"`",""),"{",""),"|",""),"}",""),"~",""),CHAR(9),""),CHAR(10),""),CHAR(13),"")," ",""),"")</f>
        <v/>
      </c>
      <c r="AR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8,20))," ",""),"!",""),CHAR(34),""),"#",""),"$",""),"%",""),"&amp;",""),"'",""),"(",""),")",""),"*",""),"+",""),",",""),"-",""),".",""),"/",""),":",""),";",""),"&lt;",""),"=",""),"&gt;",""),"?",""),"@",""),"[",""),"\",""),"]",""),"^",""),"_",""),"`",""),"{",""),"|",""),"}",""),"~",""),CHAR(9),""),CHAR(10),""),CHAR(13),"")," ",""),"")</f>
        <v/>
      </c>
      <c r="AS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8,21))," ",""),"!",""),CHAR(34),""),"#",""),"$",""),"%",""),"&amp;",""),"'",""),"(",""),")",""),"*",""),"+",""),",",""),"-",""),".",""),"/",""),":",""),";",""),"&lt;",""),"=",""),"&gt;",""),"?",""),"@",""),"[",""),"\",""),"]",""),"^",""),"_",""),"`",""),"{",""),"|",""),"}",""),"~",""),CHAR(9),""),CHAR(10),""),CHAR(13),"")," ",""),"")</f>
        <v/>
      </c>
      <c r="AT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8,22))," ",""),"!",""),CHAR(34),""),"#",""),"$",""),"%",""),"&amp;",""),"'",""),"(",""),")",""),"*",""),"+",""),",",""),"-",""),".",""),"/",""),":",""),";",""),"&lt;",""),"=",""),"&gt;",""),"?",""),"@",""),"[",""),"\",""),"]",""),"^",""),"_",""),"`",""),"{",""),"|",""),"}",""),"~",""),CHAR(9),""),CHAR(10),""),CHAR(13),"")," ",""),"")</f>
        <v/>
      </c>
      <c r="AU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8,23))," ",""),"!",""),CHAR(34),""),"#",""),"$",""),"%",""),"&amp;",""),"'",""),"(",""),")",""),"*",""),"+",""),",",""),"-",""),".",""),"/",""),":",""),";",""),"&lt;",""),"=",""),"&gt;",""),"?",""),"@",""),"[",""),"\",""),"]",""),"^",""),"_",""),"`",""),"{",""),"|",""),"}",""),"~",""),CHAR(9),""),CHAR(10),""),CHAR(13),"")," ",""),"")</f>
        <v/>
      </c>
      <c r="AV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8,24))," ",""),"!",""),CHAR(34),""),"#",""),"$",""),"%",""),"&amp;",""),"'",""),"(",""),")",""),"*",""),"+",""),",",""),"-",""),".",""),"/",""),":",""),";",""),"&lt;",""),"=",""),"&gt;",""),"?",""),"@",""),"[",""),"\",""),"]",""),"^",""),"_",""),"`",""),"{",""),"|",""),"}",""),"~",""),CHAR(9),""),CHAR(10),""),CHAR(13),"")," ",""),"")</f>
        <v/>
      </c>
      <c r="AW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8,25))," ",""),"!",""),CHAR(34),""),"#",""),"$",""),"%",""),"&amp;",""),"'",""),"(",""),")",""),"*",""),"+",""),",",""),"-",""),".",""),"/",""),":",""),";",""),"&lt;",""),"=",""),"&gt;",""),"?",""),"@",""),"[",""),"\",""),"]",""),"^",""),"_",""),"`",""),"{",""),"|",""),"}",""),"~",""),CHAR(9),""),CHAR(10),""),CHAR(13),"")," ",""),"")</f>
        <v/>
      </c>
      <c r="AX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8,26))," ",""),"!",""),CHAR(34),""),"#",""),"$",""),"%",""),"&amp;",""),"'",""),"(",""),")",""),"*",""),"+",""),",",""),"-",""),".",""),"/",""),":",""),";",""),"&lt;",""),"=",""),"&gt;",""),"?",""),"@",""),"[",""),"\",""),"]",""),"^",""),"_",""),"`",""),"{",""),"|",""),"}",""),"~",""),CHAR(9),""),CHAR(10),""),CHAR(13),"")," ",""),"")</f>
        <v/>
      </c>
      <c r="AY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8,27))," ",""),"!",""),CHAR(34),""),"#",""),"$",""),"%",""),"&amp;",""),"'",""),"(",""),")",""),"*",""),"+",""),",",""),"-",""),".",""),"/",""),":",""),";",""),"&lt;",""),"=",""),"&gt;",""),"?",""),"@",""),"[",""),"\",""),"]",""),"^",""),"_",""),"`",""),"{",""),"|",""),"}",""),"~",""),CHAR(9),""),CHAR(10),""),CHAR(13),"")," ",""),"")</f>
        <v/>
      </c>
      <c r="AZ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8,28))," ",""),"!",""),CHAR(34),""),"#",""),"$",""),"%",""),"&amp;",""),"'",""),"(",""),")",""),"*",""),"+",""),",",""),"-",""),".",""),"/",""),":",""),";",""),"&lt;",""),"=",""),"&gt;",""),"?",""),"@",""),"[",""),"\",""),"]",""),"^",""),"_",""),"`",""),"{",""),"|",""),"}",""),"~",""),CHAR(9),""),CHAR(10),""),CHAR(13),"")," ",""),"")</f>
        <v/>
      </c>
      <c r="BA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8,29))," ",""),"!",""),CHAR(34),""),"#",""),"$",""),"%",""),"&amp;",""),"'",""),"(",""),")",""),"*",""),"+",""),",",""),"-",""),".",""),"/",""),":",""),";",""),"&lt;",""),"=",""),"&gt;",""),"?",""),"@",""),"[",""),"\",""),"]",""),"^",""),"_",""),"`",""),"{",""),"|",""),"}",""),"~",""),CHAR(9),""),CHAR(10),""),CHAR(13),"")," ",""),"")</f>
        <v/>
      </c>
      <c r="BB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8,30))," ",""),"!",""),CHAR(34),""),"#",""),"$",""),"%",""),"&amp;",""),"'",""),"(",""),")",""),"*",""),"+",""),",",""),"-",""),".",""),"/",""),":",""),";",""),"&lt;",""),"=",""),"&gt;",""),"?",""),"@",""),"[",""),"\",""),"]",""),"^",""),"_",""),"`",""),"{",""),"|",""),"}",""),"~",""),CHAR(9),""),CHAR(10),""),CHAR(13),"")," ",""),"")</f>
        <v/>
      </c>
      <c r="BC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8,31))," ",""),"!",""),CHAR(34),""),"#",""),"$",""),"%",""),"&amp;",""),"'",""),"(",""),")",""),"*",""),"+",""),",",""),"-",""),".",""),"/",""),":",""),";",""),"&lt;",""),"=",""),"&gt;",""),"?",""),"@",""),"[",""),"\",""),"]",""),"^",""),"_",""),"`",""),"{",""),"|",""),"}",""),"~",""),CHAR(9),""),CHAR(10),""),CHAR(13),"")," ",""),"")</f>
        <v/>
      </c>
      <c r="BD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8,32))," ",""),"!",""),CHAR(34),""),"#",""),"$",""),"%",""),"&amp;",""),"'",""),"(",""),")",""),"*",""),"+",""),",",""),"-",""),".",""),"/",""),":",""),";",""),"&lt;",""),"=",""),"&gt;",""),"?",""),"@",""),"[",""),"\",""),"]",""),"^",""),"_",""),"`",""),"{",""),"|",""),"}",""),"~",""),CHAR(9),""),CHAR(10),""),CHAR(13),"")," ",""),"")</f>
        <v/>
      </c>
      <c r="BE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8,33))," ",""),"!",""),CHAR(34),""),"#",""),"$",""),"%",""),"&amp;",""),"'",""),"(",""),")",""),"*",""),"+",""),",",""),"-",""),".",""),"/",""),":",""),";",""),"&lt;",""),"=",""),"&gt;",""),"?",""),"@",""),"[",""),"\",""),"]",""),"^",""),"_",""),"`",""),"{",""),"|",""),"}",""),"~",""),CHAR(9),""),CHAR(10),""),CHAR(13),"")," ",""),"")</f>
        <v/>
      </c>
      <c r="BF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8,34))," ",""),"!",""),CHAR(34),""),"#",""),"$",""),"%",""),"&amp;",""),"'",""),"(",""),")",""),"*",""),"+",""),",",""),"-",""),".",""),"/",""),":",""),";",""),"&lt;",""),"=",""),"&gt;",""),"?",""),"@",""),"[",""),"\",""),"]",""),"^",""),"_",""),"`",""),"{",""),"|",""),"}",""),"~",""),CHAR(9),""),CHAR(10),""),CHAR(13),"")," ",""),"")</f>
        <v/>
      </c>
      <c r="BG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8,35))," ",""),"!",""),CHAR(34),""),"#",""),"$",""),"%",""),"&amp;",""),"'",""),"(",""),")",""),"*",""),"+",""),",",""),"-",""),".",""),"/",""),":",""),";",""),"&lt;",""),"=",""),"&gt;",""),"?",""),"@",""),"[",""),"\",""),"]",""),"^",""),"_",""),"`",""),"{",""),"|",""),"}",""),"~",""),CHAR(9),""),CHAR(10),""),CHAR(13),"")," ",""),"")</f>
        <v/>
      </c>
      <c r="BH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8,36))," ",""),"!",""),CHAR(34),""),"#",""),"$",""),"%",""),"&amp;",""),"'",""),"(",""),")",""),"*",""),"+",""),",",""),"-",""),".",""),"/",""),":",""),";",""),"&lt;",""),"=",""),"&gt;",""),"?",""),"@",""),"[",""),"\",""),"]",""),"^",""),"_",""),"`",""),"{",""),"|",""),"}",""),"~",""),CHAR(9),""),CHAR(10),""),CHAR(13),"")," ",""),"")</f>
        <v/>
      </c>
      <c r="BI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8,37))," ",""),"!",""),CHAR(34),""),"#",""),"$",""),"%",""),"&amp;",""),"'",""),"(",""),")",""),"*",""),"+",""),",",""),"-",""),".",""),"/",""),":",""),";",""),"&lt;",""),"=",""),"&gt;",""),"?",""),"@",""),"[",""),"\",""),"]",""),"^",""),"_",""),"`",""),"{",""),"|",""),"}",""),"~",""),CHAR(9),""),CHAR(10),""),CHAR(13),"")," ",""),"")</f>
        <v/>
      </c>
      <c r="BJ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8,38))," ",""),"!",""),CHAR(34),""),"#",""),"$",""),"%",""),"&amp;",""),"'",""),"(",""),")",""),"*",""),"+",""),",",""),"-",""),".",""),"/",""),":",""),";",""),"&lt;",""),"=",""),"&gt;",""),"?",""),"@",""),"[",""),"\",""),"]",""),"^",""),"_",""),"`",""),"{",""),"|",""),"}",""),"~",""),CHAR(9),""),CHAR(10),""),CHAR(13),"")," ",""),"")</f>
        <v/>
      </c>
      <c r="BK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8,39))," ",""),"!",""),CHAR(34),""),"#",""),"$",""),"%",""),"&amp;",""),"'",""),"(",""),")",""),"*",""),"+",""),",",""),"-",""),".",""),"/",""),":",""),";",""),"&lt;",""),"=",""),"&gt;",""),"?",""),"@",""),"[",""),"\",""),"]",""),"^",""),"_",""),"`",""),"{",""),"|",""),"}",""),"~",""),CHAR(9),""),CHAR(10),""),CHAR(13),"")," ",""),"")</f>
        <v/>
      </c>
      <c r="BL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8,40))," ",""),"!",""),CHAR(34),""),"#",""),"$",""),"%",""),"&amp;",""),"'",""),"(",""),")",""),"*",""),"+",""),",",""),"-",""),".",""),"/",""),":",""),";",""),"&lt;",""),"=",""),"&gt;",""),"?",""),"@",""),"[",""),"\",""),"]",""),"^",""),"_",""),"`",""),"{",""),"|",""),"}",""),"~",""),CHAR(9),""),CHAR(10),""),CHAR(13),"")," ",""),"")</f>
        <v/>
      </c>
      <c r="BM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8,41))," ",""),"!",""),CHAR(34),""),"#",""),"$",""),"%",""),"&amp;",""),"'",""),"(",""),")",""),"*",""),"+",""),",",""),"-",""),".",""),"/",""),":",""),";",""),"&lt;",""),"=",""),"&gt;",""),"?",""),"@",""),"[",""),"\",""),"]",""),"^",""),"_",""),"`",""),"{",""),"|",""),"}",""),"~",""),CHAR(9),""),CHAR(10),""),CHAR(13),"")," ",""),"")</f>
        <v/>
      </c>
      <c r="BN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8,42))," ",""),"!",""),CHAR(34),""),"#",""),"$",""),"%",""),"&amp;",""),"'",""),"(",""),")",""),"*",""),"+",""),",",""),"-",""),".",""),"/",""),":",""),";",""),"&lt;",""),"=",""),"&gt;",""),"?",""),"@",""),"[",""),"\",""),"]",""),"^",""),"_",""),"`",""),"{",""),"|",""),"}",""),"~",""),CHAR(9),""),CHAR(10),""),CHAR(13),"")," ",""),"")</f>
        <v/>
      </c>
      <c r="BO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8,43))," ",""),"!",""),CHAR(34),""),"#",""),"$",""),"%",""),"&amp;",""),"'",""),"(",""),")",""),"*",""),"+",""),",",""),"-",""),".",""),"/",""),":",""),";",""),"&lt;",""),"=",""),"&gt;",""),"?",""),"@",""),"[",""),"\",""),"]",""),"^",""),"_",""),"`",""),"{",""),"|",""),"}",""),"~",""),CHAR(9),""),CHAR(10),""),CHAR(13),"")," ",""),"")</f>
        <v/>
      </c>
      <c r="BP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8,44))," ",""),"!",""),CHAR(34),""),"#",""),"$",""),"%",""),"&amp;",""),"'",""),"(",""),")",""),"*",""),"+",""),",",""),"-",""),".",""),"/",""),":",""),";",""),"&lt;",""),"=",""),"&gt;",""),"?",""),"@",""),"[",""),"\",""),"]",""),"^",""),"_",""),"`",""),"{",""),"|",""),"}",""),"~",""),CHAR(9),""),CHAR(10),""),CHAR(13),"")," ",""),"")</f>
        <v/>
      </c>
      <c r="BQ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8,45))," ",""),"!",""),CHAR(34),""),"#",""),"$",""),"%",""),"&amp;",""),"'",""),"(",""),")",""),"*",""),"+",""),",",""),"-",""),".",""),"/",""),":",""),";",""),"&lt;",""),"=",""),"&gt;",""),"?",""),"@",""),"[",""),"\",""),"]",""),"^",""),"_",""),"`",""),"{",""),"|",""),"}",""),"~",""),CHAR(9),""),CHAR(10),""),CHAR(13),"")," ",""),"")</f>
        <v/>
      </c>
      <c r="BR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8,46))," ",""),"!",""),CHAR(34),""),"#",""),"$",""),"%",""),"&amp;",""),"'",""),"(",""),")",""),"*",""),"+",""),",",""),"-",""),".",""),"/",""),":",""),";",""),"&lt;",""),"=",""),"&gt;",""),"?",""),"@",""),"[",""),"\",""),"]",""),"^",""),"_",""),"`",""),"{",""),"|",""),"}",""),"~",""),CHAR(9),""),CHAR(10),""),CHAR(13),"")," ",""),"")</f>
        <v/>
      </c>
      <c r="BS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8,47))," ",""),"!",""),CHAR(34),""),"#",""),"$",""),"%",""),"&amp;",""),"'",""),"(",""),")",""),"*",""),"+",""),",",""),"-",""),".",""),"/",""),":",""),";",""),"&lt;",""),"=",""),"&gt;",""),"?",""),"@",""),"[",""),"\",""),"]",""),"^",""),"_",""),"`",""),"{",""),"|",""),"}",""),"~",""),CHAR(9),""),CHAR(10),""),CHAR(13),"")," ",""),"")</f>
        <v/>
      </c>
      <c r="BT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8,48))," ",""),"!",""),CHAR(34),""),"#",""),"$",""),"%",""),"&amp;",""),"'",""),"(",""),")",""),"*",""),"+",""),",",""),"-",""),".",""),"/",""),":",""),";",""),"&lt;",""),"=",""),"&gt;",""),"?",""),"@",""),"[",""),"\",""),"]",""),"^",""),"_",""),"`",""),"{",""),"|",""),"}",""),"~",""),CHAR(9),""),CHAR(10),""),CHAR(13),"")," ",""),"")</f>
        <v/>
      </c>
      <c r="BU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8,49))," ",""),"!",""),CHAR(34),""),"#",""),"$",""),"%",""),"&amp;",""),"'",""),"(",""),")",""),"*",""),"+",""),",",""),"-",""),".",""),"/",""),":",""),";",""),"&lt;",""),"=",""),"&gt;",""),"?",""),"@",""),"[",""),"\",""),"]",""),"^",""),"_",""),"`",""),"{",""),"|",""),"}",""),"~",""),CHAR(9),""),CHAR(10),""),CHAR(13),"")," ",""),"")</f>
        <v/>
      </c>
      <c r="BV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8,50))," ",""),"!",""),CHAR(34),""),"#",""),"$",""),"%",""),"&amp;",""),"'",""),"(",""),")",""),"*",""),"+",""),",",""),"-",""),".",""),"/",""),":",""),";",""),"&lt;",""),"=",""),"&gt;",""),"?",""),"@",""),"[",""),"\",""),"]",""),"^",""),"_",""),"`",""),"{",""),"|",""),"}",""),"~",""),CHAR(9),""),CHAR(10),""),CHAR(13),"")," ",""),"")</f>
        <v/>
      </c>
      <c r="BW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8,51))," ",""),"!",""),CHAR(34),""),"#",""),"$",""),"%",""),"&amp;",""),"'",""),"(",""),")",""),"*",""),"+",""),",",""),"-",""),".",""),"/",""),":",""),";",""),"&lt;",""),"=",""),"&gt;",""),"?",""),"@",""),"[",""),"\",""),"]",""),"^",""),"_",""),"`",""),"{",""),"|",""),"}",""),"~",""),CHAR(9),""),CHAR(10),""),CHAR(13),"")," ",""),"")</f>
        <v/>
      </c>
      <c r="BX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8,52))," ",""),"!",""),CHAR(34),""),"#",""),"$",""),"%",""),"&amp;",""),"'",""),"(",""),")",""),"*",""),"+",""),",",""),"-",""),".",""),"/",""),":",""),";",""),"&lt;",""),"=",""),"&gt;",""),"?",""),"@",""),"[",""),"\",""),"]",""),"^",""),"_",""),"`",""),"{",""),"|",""),"}",""),"~",""),CHAR(9),""),CHAR(10),""),CHAR(13),"")," ",""),"")</f>
        <v/>
      </c>
      <c r="BY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8,53))," ",""),"!",""),CHAR(34),""),"#",""),"$",""),"%",""),"&amp;",""),"'",""),"(",""),")",""),"*",""),"+",""),",",""),"-",""),".",""),"/",""),":",""),";",""),"&lt;",""),"=",""),"&gt;",""),"?",""),"@",""),"[",""),"\",""),"]",""),"^",""),"_",""),"`",""),"{",""),"|",""),"}",""),"~",""),CHAR(9),""),CHAR(10),""),CHAR(13),"")," ",""),"")</f>
        <v/>
      </c>
      <c r="BZ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8,54))," ",""),"!",""),CHAR(34),""),"#",""),"$",""),"%",""),"&amp;",""),"'",""),"(",""),")",""),"*",""),"+",""),",",""),"-",""),".",""),"/",""),":",""),";",""),"&lt;",""),"=",""),"&gt;",""),"?",""),"@",""),"[",""),"\",""),"]",""),"^",""),"_",""),"`",""),"{",""),"|",""),"}",""),"~",""),CHAR(9),""),CHAR(10),""),CHAR(13),"")," ",""),"")</f>
        <v/>
      </c>
      <c r="CA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8,55))," ",""),"!",""),CHAR(34),""),"#",""),"$",""),"%",""),"&amp;",""),"'",""),"(",""),")",""),"*",""),"+",""),",",""),"-",""),".",""),"/",""),":",""),";",""),"&lt;",""),"=",""),"&gt;",""),"?",""),"@",""),"[",""),"\",""),"]",""),"^",""),"_",""),"`",""),"{",""),"|",""),"}",""),"~",""),CHAR(9),""),CHAR(10),""),CHAR(13),"")," ",""),"")</f>
        <v/>
      </c>
      <c r="CB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8,56))," ",""),"!",""),CHAR(34),""),"#",""),"$",""),"%",""),"&amp;",""),"'",""),"(",""),")",""),"*",""),"+",""),",",""),"-",""),".",""),"/",""),":",""),";",""),"&lt;",""),"=",""),"&gt;",""),"?",""),"@",""),"[",""),"\",""),"]",""),"^",""),"_",""),"`",""),"{",""),"|",""),"}",""),"~",""),CHAR(9),""),CHAR(10),""),CHAR(13),"")," ",""),"")</f>
        <v/>
      </c>
      <c r="CC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8,57))," ",""),"!",""),CHAR(34),""),"#",""),"$",""),"%",""),"&amp;",""),"'",""),"(",""),")",""),"*",""),"+",""),",",""),"-",""),".",""),"/",""),":",""),";",""),"&lt;",""),"=",""),"&gt;",""),"?",""),"@",""),"[",""),"\",""),"]",""),"^",""),"_",""),"`",""),"{",""),"|",""),"}",""),"~",""),CHAR(9),""),CHAR(10),""),CHAR(13),"")," ",""),"")</f>
        <v/>
      </c>
      <c r="CD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8,58))," ",""),"!",""),CHAR(34),""),"#",""),"$",""),"%",""),"&amp;",""),"'",""),"(",""),")",""),"*",""),"+",""),",",""),"-",""),".",""),"/",""),":",""),";",""),"&lt;",""),"=",""),"&gt;",""),"?",""),"@",""),"[",""),"\",""),"]",""),"^",""),"_",""),"`",""),"{",""),"|",""),"}",""),"~",""),CHAR(9),""),CHAR(10),""),CHAR(13),"")," ",""),"")</f>
        <v/>
      </c>
      <c r="CE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8,59))," ",""),"!",""),CHAR(34),""),"#",""),"$",""),"%",""),"&amp;",""),"'",""),"(",""),")",""),"*",""),"+",""),",",""),"-",""),".",""),"/",""),":",""),";",""),"&lt;",""),"=",""),"&gt;",""),"?",""),"@",""),"[",""),"\",""),"]",""),"^",""),"_",""),"`",""),"{",""),"|",""),"}",""),"~",""),CHAR(9),""),CHAR(10),""),CHAR(13),"")," ",""),"")</f>
        <v/>
      </c>
      <c r="CF1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8,60))," ",""),"!",""),CHAR(34),""),"#",""),"$",""),"%",""),"&amp;",""),"'",""),"(",""),")",""),"*",""),"+",""),",",""),"-",""),".",""),"/",""),":",""),";",""),"&lt;",""),"=",""),"&gt;",""),"?",""),"@",""),"[",""),"\",""),"]",""),"^",""),"_",""),"`",""),"{",""),"|",""),"}",""),"~",""),CHAR(9),""),CHAR(10),""),CHAR(13),"")," ",""),"")</f>
        <v/>
      </c>
      <c r="CH12">
        <f>COUNTIF($Y57:$CF57,"&gt;0")</f>
        <v/>
      </c>
      <c r="CI12">
        <f>COUNTIF($Y57:$CF57,2)</f>
        <v/>
      </c>
      <c r="CJ12">
        <f>SUMPRODUCT((COUNTIF($Y102:$CF102,{1,2,3,4,5,6,7,8,9,10,11,12,13,14,15})&gt;0)*{2,4,8,16,32,64,128,256,512,1024,2048,4096,8192,16384,32768})</f>
        <v/>
      </c>
      <c r="CK12">
        <f>CF192</f>
        <v/>
      </c>
      <c r="CL12">
        <f>SUMPRODUCT(MOD(INT(((CJ12+CK12))/{2,4,8,16,32,64,128,256,512,1024,2048,4096,8192,16384,32768}),2))</f>
        <v/>
      </c>
      <c r="CM12">
        <f>IF(CH12&lt;2,-9999,CL12+2*MOD(INT(((CJ12+CK12))/2),2)+2*MOD(INT(((CJ12+CK12))/4),2)-CI12)</f>
        <v/>
      </c>
      <c r="DA12" t="n">
        <v>8</v>
      </c>
      <c r="DB12">
        <f>IF($B$37=0,"",IFERROR(TRIM(SUBSTITUTE(SUBSTITUTE(SUBSTITUTE(SUBSTITUTE(INDEX(PASTE_ALL,8,$B$37)," "," "),CHAR(9)," "),CHAR(10)," "),CHAR(13)," ")),""))</f>
        <v/>
      </c>
      <c r="DC12">
        <f>IF(AND(8&gt;HEADER_ROW,UPPER(DB12)="LEGEND"),1,0)</f>
        <v/>
      </c>
      <c r="DE12" t="n">
        <v>8</v>
      </c>
      <c r="DF12">
        <f>HEADER_ROW+$DE12</f>
        <v/>
      </c>
      <c r="DG12">
        <f>IF(AND($DF12&lt;=1000,$DF12&lt;$B$8),1,0)</f>
        <v/>
      </c>
      <c r="DH12">
        <f>IF($DG12=1,IFERROR(INDEX($DB$5:$DB$1004,$DF12),""),"")</f>
        <v/>
      </c>
      <c r="DI12">
        <f>IF(AND($DG12=1,$DH12&lt;&gt;""),IFERROR(SUBSTITUTE(SUBSTITUTE(TRIM(SUBSTITUTE(SUBSTITUTE(SUBSTITUTE(SUBSTITUTE(IFERROR(INDEX(PASTE_ALL,$DF12,1)&amp;"","")&amp;"␟"&amp;IFERROR(INDEX(PASTE_ALL,$DF12,2)&amp;"","")&amp;"␟"&amp;IFERROR(INDEX(PASTE_ALL,$DF12,3)&amp;"","")&amp;"␟"&amp;IFERROR(INDEX(PASTE_ALL,$DF12,4)&amp;"","")&amp;"␟"&amp;IFERROR(INDEX(PASTE_ALL,$DF12,5)&amp;"","")&amp;"␟"&amp;IFERROR(INDEX(PASTE_ALL,$DF12,6)&amp;"","")&amp;"␟"&amp;IFERROR(INDEX(PASTE_ALL,$DF12,7)&amp;"","")&amp;"␟"&amp;IFERROR(INDEX(PASTE_ALL,$DF12,8)&amp;"","")&amp;"␟"&amp;IFERROR(INDEX(PASTE_ALL,$DF12,9)&amp;"","")&amp;"␟"&amp;IFERROR(INDEX(PASTE_ALL,$DF12,10)&amp;"","")&amp;"␟"&amp;IFERROR(INDEX(PASTE_ALL,$DF12,11)&amp;"","")&amp;"␟"&amp;IFERROR(INDEX(PASTE_ALL,$DF12,12)&amp;"","")&amp;"␟"&amp;IFERROR(INDEX(PASTE_ALL,$DF12,13)&amp;"","")&amp;"␟"&amp;IFERROR(INDEX(PASTE_ALL,$DF12,14)&amp;"","")&amp;"␟"&amp;IFERROR(INDEX(PASTE_ALL,$DF12,15)&amp;"","")&amp;"␟"&amp;IFERROR(INDEX(PASTE_ALL,$DF12,16)&amp;"","")&amp;"␟"&amp;IFERROR(INDEX(PASTE_ALL,$DF12,17)&amp;"","")&amp;"␟"&amp;IFERROR(INDEX(PASTE_ALL,$DF12,18)&amp;"","")&amp;"␟"&amp;IFERROR(INDEX(PASTE_ALL,$DF12,19)&amp;"","")&amp;"␟"&amp;IFERROR(INDEX(PASTE_ALL,$DF12,20)&amp;"","")&amp;"␟"&amp;IFERROR(INDEX(PASTE_ALL,$DF12,21)&amp;"","")&amp;"␟"&amp;IFERROR(INDEX(PASTE_ALL,$DF12,22)&amp;"","")&amp;"␟"&amp;IFERROR(INDEX(PASTE_ALL,$DF12,23)&amp;"","")&amp;"␟"&amp;IFERROR(INDEX(PASTE_ALL,$DF12,24)&amp;"","")&amp;"␟"&amp;IFERROR(INDEX(PASTE_ALL,$DF12,25)&amp;"","")&amp;"␟"&amp;IFERROR(INDEX(PASTE_ALL,$DF12,26)&amp;"","")&amp;"␟"&amp;IFERROR(INDEX(PASTE_ALL,$DF12,27)&amp;"","")&amp;"␟"&amp;IFERROR(INDEX(PASTE_ALL,$DF12,28)&amp;"","")&amp;"␟"&amp;IFERROR(INDEX(PASTE_ALL,$DF12,29)&amp;"","")&amp;"␟"&amp;IFERROR(INDEX(PASTE_ALL,$DF12,30)&amp;"","")&amp;"␟"&amp;IFERROR(INDEX(PASTE_ALL,$DF12,31)&amp;"","")&amp;"␟"&amp;IFERROR(INDEX(PASTE_ALL,$DF12,32)&amp;"","")&amp;"␟"&amp;IFERROR(INDEX(PASTE_ALL,$DF12,33)&amp;"","")&amp;"␟"&amp;IFERROR(INDEX(PASTE_ALL,$DF12,34)&amp;"","")&amp;"␟"&amp;IFERROR(INDEX(PASTE_ALL,$DF12,35)&amp;"","")&amp;"␟"&amp;IFERROR(INDEX(PASTE_ALL,$DF12,36)&amp;"","")&amp;"␟"&amp;IFERROR(INDEX(PASTE_ALL,$DF12,37)&amp;"","")&amp;"␟"&amp;IFERROR(INDEX(PASTE_ALL,$DF12,38)&amp;"","")&amp;"␟"&amp;IFERROR(INDEX(PASTE_ALL,$DF12,39)&amp;"","")&amp;"␟"&amp;IFERROR(INDEX(PASTE_ALL,$DF12,40)&amp;"","")&amp;"␟"&amp;IFERROR(INDEX(PASTE_ALL,$DF12,41)&amp;"","")&amp;"␟"&amp;IFERROR(INDEX(PASTE_ALL,$DF12,42)&amp;"","")&amp;"␟"&amp;IFERROR(INDEX(PASTE_ALL,$DF12,43)&amp;"","")&amp;"␟"&amp;IFERROR(INDEX(PASTE_ALL,$DF12,44)&amp;"","")&amp;"␟"&amp;IFERROR(INDEX(PASTE_ALL,$DF12,45)&amp;"","")&amp;"␟"&amp;IFERROR(INDEX(PASTE_ALL,$DF12,46)&amp;"","")&amp;"␟"&amp;IFERROR(INDEX(PASTE_ALL,$DF12,47)&amp;"","")&amp;"␟"&amp;IFERROR(INDEX(PASTE_ALL,$DF12,48)&amp;"","")&amp;"␟"&amp;IFERROR(INDEX(PASTE_ALL,$DF12,49)&amp;"","")&amp;"␟"&amp;IFERROR(INDEX(PASTE_ALL,$DF12,50)&amp;"","")&amp;"␟"&amp;IFERROR(INDEX(PASTE_ALL,$DF12,51)&amp;"","")&amp;"␟"&amp;IFERROR(INDEX(PASTE_ALL,$DF12,52)&amp;"","")&amp;"␟"&amp;IFERROR(INDEX(PASTE_ALL,$DF12,53)&amp;"","")&amp;"␟"&amp;IFERROR(INDEX(PASTE_ALL,$DF12,54)&amp;"","")&amp;"␟"&amp;IFERROR(INDEX(PASTE_ALL,$DF12,55)&amp;"","")&amp;"␟"&amp;IFERROR(INDEX(PASTE_ALL,$DF12,56)&amp;"","")&amp;"␟"&amp;IFERROR(INDEX(PASTE_ALL,$DF12,57)&amp;"","")&amp;"␟"&amp;IFERROR(INDEX(PASTE_ALL,$DF12,58)&amp;"","")&amp;"␟"&amp;IFERROR(INDEX(PASTE_ALL,$DF12,59)&amp;"","")&amp;"␟"&amp;IFERROR(INDEX(PASTE_ALL,$DF12,60)&amp;"","")," "," "),CHAR(9)," "),CHAR(10)," "),CHAR(13)," "))," ␟","␟"),"␟ ","␟"),"#"&amp;$DE12),"")</f>
        <v/>
      </c>
      <c r="DJ12">
        <f>IF($DI12="",0,IF(SUMPRODUCT(--EXACT($DI$4:DI11,$DI12))&gt;0,1,0))</f>
        <v/>
      </c>
      <c r="DK12">
        <f>IF(AND($DI12&lt;&gt;"",$DJ12=0),1,0)</f>
        <v/>
      </c>
      <c r="DL12">
        <f>DL11+$DK12</f>
        <v/>
      </c>
      <c r="DM12">
        <f>IF(AND($DK12=1,$DL12&lt;=600),1,0)</f>
        <v/>
      </c>
      <c r="DN12">
        <f>IF($DM12=0,"",IF($L$6=0,"",IFERROR(IF(ISNUMBER(INDEX(PASTE_ALL,$DF12,$L$6)),INDEX(PASTE_ALL,$DF12,$L$6),TRIM(SUBSTITUTE(SUBSTITUTE(SUBSTITUTE(SUBSTITUTE(INDEX(PASTE_ALL,$DF12,$L$6)," "," "),CHAR(9)," "),CHAR(10)," "),CHAR(13)," "))),"")))</f>
        <v/>
      </c>
      <c r="DO12">
        <f>IF($DM12=0,"",IF($L$7=0,"",IFERROR(IF(ISNUMBER(INDEX(PASTE_ALL,$DF12,$L$7)),INDEX(PASTE_ALL,$DF12,$L$7),TRIM(SUBSTITUTE(SUBSTITUTE(SUBSTITUTE(SUBSTITUTE(INDEX(PASTE_ALL,$DF12,$L$7)," "," "),CHAR(9)," "),CHAR(10)," "),CHAR(13)," "))),"")))</f>
        <v/>
      </c>
      <c r="DP12">
        <f>IF($DM12=0,"",IF($L$8=0,"",IFERROR(IF(ISNUMBER(INDEX(PASTE_ALL,$DF12,$L$8)),INDEX(PASTE_ALL,$DF12,$L$8),TRIM(SUBSTITUTE(SUBSTITUTE(SUBSTITUTE(SUBSTITUTE(INDEX(PASTE_ALL,$DF12,$L$8)," "," "),CHAR(9)," "),CHAR(10)," "),CHAR(13)," "))),"")))</f>
        <v/>
      </c>
      <c r="DQ12">
        <f>IF($DM12=0,"",IF($L$9=0,"",IFERROR(IF(ISNUMBER(INDEX(PASTE_ALL,$DF12,$L$9)),INDEX(PASTE_ALL,$DF12,$L$9),TRIM(SUBSTITUTE(SUBSTITUTE(SUBSTITUTE(SUBSTITUTE(INDEX(PASTE_ALL,$DF12,$L$9)," "," "),CHAR(9)," "),CHAR(10)," "),CHAR(13)," "))),"")))</f>
        <v/>
      </c>
      <c r="DR12">
        <f>IF($DM12=0,"",IF($L$10=0,"",IFERROR(IF(ISNUMBER(INDEX(PASTE_ALL,$DF12,$L$10)),INDEX(PASTE_ALL,$DF12,$L$10),TRIM(SUBSTITUTE(SUBSTITUTE(SUBSTITUTE(SUBSTITUTE(INDEX(PASTE_ALL,$DF12,$L$10)," "," "),CHAR(9)," "),CHAR(10)," "),CHAR(13)," "))),"")))</f>
        <v/>
      </c>
      <c r="DS12">
        <f>IF($DM12=0,"",IF($L$11=0,"",IFERROR(IF(ISNUMBER(INDEX(PASTE_ALL,$DF12,$L$11)),INDEX(PASTE_ALL,$DF12,$L$11),TRIM(SUBSTITUTE(SUBSTITUTE(SUBSTITUTE(SUBSTITUTE(INDEX(PASTE_ALL,$DF12,$L$11)," "," "),CHAR(9)," "),CHAR(10)," "),CHAR(13)," "))),"")))</f>
        <v/>
      </c>
      <c r="DT12">
        <f>IF($DM12=0,"",IF($L$12=0,"",IFERROR(IF(ISNUMBER(INDEX(PASTE_ALL,$DF12,$L$12)),INDEX(PASTE_ALL,$DF12,$L$12),TRIM(SUBSTITUTE(SUBSTITUTE(SUBSTITUTE(SUBSTITUTE(INDEX(PASTE_ALL,$DF12,$L$12)," "," "),CHAR(9)," "),CHAR(10)," "),CHAR(13)," "))),"")))</f>
        <v/>
      </c>
      <c r="DU12">
        <f>IF($DM12=0,"",IF($L$13=0,"",IFERROR(IF(ISNUMBER(INDEX(PASTE_ALL,$DF12,$L$13)),INDEX(PASTE_ALL,$DF12,$L$13),TRIM(SUBSTITUTE(SUBSTITUTE(SUBSTITUTE(SUBSTITUTE(INDEX(PASTE_ALL,$DF12,$L$13)," "," "),CHAR(9)," "),CHAR(10)," "),CHAR(13)," "))),"")))</f>
        <v/>
      </c>
      <c r="DV12">
        <f>IF($DM12=0,"",IF($L$14=0,"",IFERROR(IF(ISNUMBER(INDEX(PASTE_ALL,$DF12,$L$14)),INDEX(PASTE_ALL,$DF12,$L$14),TRIM(SUBSTITUTE(SUBSTITUTE(SUBSTITUTE(SUBSTITUTE(INDEX(PASTE_ALL,$DF12,$L$14)," "," "),CHAR(9)," "),CHAR(10)," "),CHAR(13)," "))),"")))</f>
        <v/>
      </c>
      <c r="DW12">
        <f>IF($DM12=0,"",IF($L$15=0,"",IFERROR(IF(ISNUMBER(INDEX(PASTE_ALL,$DF12,$L$15)),INDEX(PASTE_ALL,$DF12,$L$15),IF(SUMPRODUCT(--ISNUMBER(FIND({"A","B","C","D","E","F","G","H","I","J","K","L","M","N","O","P","Q","R","S","T","U","V","W","X","Y","Z","0","1","2","3","4","5","6","7","8","9"},UPPER(TRIM(SUBSTITUTE(SUBSTITUTE(SUBSTITUTE(SUBSTITUTE(INDEX(PASTE_ALL,$DF12,$L$15)," "," "),CHAR(9)," "),CHAR(10)," "),CHAR(13)," "))))))&gt;0,TRIM(SUBSTITUTE(SUBSTITUTE(SUBSTITUTE(SUBSTITUTE(INDEX(PASTE_ALL,$DF12,$L$15)," "," "),CHAR(9)," "),CHAR(10)," "),CHAR(13)," ")),"")),"")))</f>
        <v/>
      </c>
      <c r="DX12">
        <f>IF($DM12=0,"",IF($L$16=0,"",IFERROR(IF(ISNUMBER(INDEX(PASTE_ALL,$DF12,$L$16)),INDEX(PASTE_ALL,$DF12,$L$16),SUBSTITUTE(SUBSTITUTE(TRIM(SUBSTITUTE(SUBSTITUTE(SUBSTITUTE(SUBSTITUTE(INDEX(PASTE_ALL,$DF12,$L$16)," "," "),CHAR(9)," "),CHAR(10)," "),CHAR(13)," ")),",",""),"%","")),"")))</f>
        <v/>
      </c>
      <c r="DY12">
        <f>IF($DM12=0,"",IFERROR(IF(ISNUMBER($DX12),$DX12,IF($DX12="","",IF(TRIM($DX12)="",0,IF(AND(AND(SUBSTITUTE(SUBSTITUTE(SUBSTITUTE(SUBSTITUTE(SUBSTITUTE(SUBSTITUTE(SUBSTITUTE(SUBSTITUTE(SUBSTITUTE(SUBSTITUTE(SUBSTITUTE(SUBSTITUTE(SUBSTITUTE(SUBSTITUTE(UPPER(TRIM($DX12)),"0",""),"1",""),"2",""),"3",""),"4",""),"5",""),"6",""),"7",""),"8",""),"9",""),".",""),"+",""),"-",""),"E","")="",LEN(SUBSTITUTE(SUBSTITUTE(MID(UPPER(TRIM($DX12)),1+OR(LEFT(UPPER(TRIM($DX12)),1)="+",LEFT(UPPER(TRIM($DX12)),1)="-"),999),"E+","E"),"E-","E"))=LEN(SUBSTITUTE(SUBSTITUTE(SUBSTITUTE(SUBSTITUTE(MID(UPPER(TRIM($DX12)),1+OR(LEFT(UPPER(TRIM($DX12)),1)="+",LEFT(UPPER(TRIM($DX12)),1)="-"),999),"E+","E"),"E-","E"),"+",""),"-","")),LEN(UPPER(TRIM($DX12)))-LEN(SUBSTITUTE(UPPER(TRIM($DX12)),"E",""))&lt;2,LEN(UPPER(TRIM($DX12)))-LEN(SUBSTITUTE(UPPER(TRIM($DX12)),".",""))&lt;2,IFERROR(FIND(".",UPPER(TRIM($DX12))),0)&lt;IFERROR(FIND("E",UPPER(TRIM($DX12))),999)),ISNUMBER(VALUE(TRIM($DX12)))),VALUE(TRIM($DX12)),"")))),""))</f>
        <v/>
      </c>
      <c r="DZ12">
        <f>IF($DM12=0,"",IF($L$17=0,"",IFERROR(IF(ISNUMBER(INDEX(PASTE_ALL,$DF12,$L$17)),INDEX(PASTE_ALL,$DF12,$L$17),SUBSTITUTE(SUBSTITUTE(TRIM(SUBSTITUTE(SUBSTITUTE(SUBSTITUTE(SUBSTITUTE(INDEX(PASTE_ALL,$DF12,$L$17)," "," "),CHAR(9)," "),CHAR(10)," "),CHAR(13)," ")),",",""),"%","")),"")))</f>
        <v/>
      </c>
      <c r="EA12">
        <f>IF($DM12=0,"",IFERROR(IF(ISNUMBER($DZ12),$DZ12,IF($DZ12="","",IF(TRIM($DZ12)="",0,IF(AND(AND(SUBSTITUTE(SUBSTITUTE(SUBSTITUTE(SUBSTITUTE(SUBSTITUTE(SUBSTITUTE(SUBSTITUTE(SUBSTITUTE(SUBSTITUTE(SUBSTITUTE(SUBSTITUTE(SUBSTITUTE(SUBSTITUTE(SUBSTITUTE(UPPER(TRIM($DZ12)),"0",""),"1",""),"2",""),"3",""),"4",""),"5",""),"6",""),"7",""),"8",""),"9",""),".",""),"+",""),"-",""),"E","")="",LEN(SUBSTITUTE(SUBSTITUTE(MID(UPPER(TRIM($DZ12)),1+OR(LEFT(UPPER(TRIM($DZ12)),1)="+",LEFT(UPPER(TRIM($DZ12)),1)="-"),999),"E+","E"),"E-","E"))=LEN(SUBSTITUTE(SUBSTITUTE(SUBSTITUTE(SUBSTITUTE(MID(UPPER(TRIM($DZ12)),1+OR(LEFT(UPPER(TRIM($DZ12)),1)="+",LEFT(UPPER(TRIM($DZ12)),1)="-"),999),"E+","E"),"E-","E"),"+",""),"-","")),LEN(UPPER(TRIM($DZ12)))-LEN(SUBSTITUTE(UPPER(TRIM($DZ12)),"E",""))&lt;2,LEN(UPPER(TRIM($DZ12)))-LEN(SUBSTITUTE(UPPER(TRIM($DZ12)),".",""))&lt;2,IFERROR(FIND(".",UPPER(TRIM($DZ12))),0)&lt;IFERROR(FIND("E",UPPER(TRIM($DZ12))),999)),ISNUMBER(VALUE(TRIM($DZ12)))),VALUE(TRIM($DZ12)),"")))),""))</f>
        <v/>
      </c>
      <c r="EB12">
        <f>IF($DM12=0,"",IF($L$18=0,"",IFERROR(IF(UPPER(TRIM(SUBSTITUTE(SUBSTITUTE(SUBSTITUTE(SUBSTITUTE(INDEX(PASTE_ALL,$DF12,$L$18)," "," "),CHAR(9)," "),CHAR(10)," "),CHAR(13)," ")))="READY","Ready",IF(UPPER(TRIM(SUBSTITUTE(SUBSTITUTE(SUBSTITUTE(SUBSTITUTE(INDEX(PASTE_ALL,$DF12,$L$18)," "," "),CHAR(9)," "),CHAR(10)," "),CHAR(13)," ")))="PM","PM",IF(OR(UPPER(TRIM(SUBSTITUTE(SUBSTITUTE(SUBSTITUTE(SUBSTITUTE(INDEX(PASTE_ALL,$DF12,$L$18)," "," "),CHAR(9)," "),CHAR(10)," "),CHAR(13)," ")))="OT",UPPER(TRIM(SUBSTITUTE(SUBSTITUTE(SUBSTITUTE(SUBSTITUTE(INDEX(PASTE_ALL,$DF12,$L$18)," "," "),CHAR(9)," "),CHAR(10)," "),CHAR(13)," ")))="OVERTIME",UPPER(TRIM(SUBSTITUTE(SUBSTITUTE(SUBSTITUTE(SUBSTITUTE(INDEX(PASTE_ALL,$DF12,$L$18)," "," "),CHAR(9)," "),CHAR(10)," "),CHAR(13)," ")))="TRIAL"),"OT",TRIM(SUBSTITUTE(SUBSTITUTE(SUBSTITUTE(SUBSTITUTE(INDEX(PASTE_ALL,$DF12,$L$18)," "," "),CHAR(9)," "),CHAR(10)," "),CHAR(13)," "))))),"")))</f>
        <v/>
      </c>
      <c r="EC12">
        <f>IF($DM12=0,"",IF($L$19=0,"",IFERROR(IF(ISNUMBER(INDEX(PASTE_ALL,$DF12,$L$19)),INDEX(PASTE_ALL,$DF12,$L$19),TRIM(SUBSTITUTE(SUBSTITUTE(SUBSTITUTE(SUBSTITUTE(INDEX(PASTE_ALL,$DF12,$L$19)," "," "),CHAR(9)," "),CHAR(10)," "),CHAR(13)," "))),"")))</f>
        <v/>
      </c>
      <c r="ED12">
        <f>IF($DM12=0,"",MATCH(1,INDEX(EXACT($DH$5:DH12,$DH12)*$DM$5:DM12,0),0))</f>
        <v/>
      </c>
      <c r="EE12">
        <f>IF($DM12=0,0,IF($ED12=$DE12,1,0))</f>
        <v/>
      </c>
      <c r="EF12">
        <f>EF11+$EE12</f>
        <v/>
      </c>
      <c r="EG12">
        <f>IF($DM12=0,"",INDEX($EF$5:$EF$1003,$ED12))</f>
        <v/>
      </c>
      <c r="EH12">
        <f>IF($DM12=0,"",IF($DO12&lt;&gt;"","",IFERROR(LOOKUP(2,1/(($EG$4:EG11=$EG12)*($DO$4:DO11&lt;&gt;"")),$DO$4:DO11),"")))</f>
        <v/>
      </c>
      <c r="EI12">
        <f>IF($DM12=0,"",IF($DO12&lt;&gt;"",$DO12,$EH12))</f>
        <v/>
      </c>
      <c r="EJ12">
        <f>IF($DM12=0,"",IF($EI12="",0,IF(OR(ISNUMBER($EI12),AND(AND(SUBSTITUTE(SUBSTITUTE(SUBSTITUTE(SUBSTITUTE(SUBSTITUTE(SUBSTITUTE(SUBSTITUTE(SUBSTITUTE(SUBSTITUTE(SUBSTITUTE(SUBSTITUTE(SUBSTITUTE(SUBSTITUTE(SUBSTITUTE(UPPER($EI12),"0",""),"1",""),"2",""),"3",""),"4",""),"5",""),"6",""),"7",""),"8",""),"9",""),".",""),"+",""),"-",""),"E","")="",LEN(SUBSTITUTE(SUBSTITUTE(MID(UPPER($EI12),1+OR(LEFT(UPPER($EI12),1)="+",LEFT(UPPER($EI12),1)="-"),999),"E+","E"),"E-","E"))=LEN(SUBSTITUTE(SUBSTITUTE(SUBSTITUTE(SUBSTITUTE(MID(UPPER($EI12),1+OR(LEFT(UPPER($EI12),1)="+",LEFT(UPPER($EI12),1)="-"),999),"E+","E"),"E-","E"),"+",""),"-","")),LEN(UPPER($EI12))-LEN(SUBSTITUTE(UPPER($EI12),"E",""))&lt;2,LEN(UPPER($EI12))-LEN(SUBSTITUTE(UPPER($EI12),".",""))&lt;2,IFERROR(FIND(".",UPPER($EI12)),0)&lt;IFERROR(FIND("E",UPPER($EI12)),999)),ISNUMBER(VALUE($EI12)))),1,2)))</f>
        <v/>
      </c>
      <c r="EK12">
        <f>IF($DM12=0,"",IF($EJ12=1,IF(ISNUMBER($EI12),$EI12,VALUE($EI12)),IF($EJ12=2,$DE12,0)))</f>
        <v/>
      </c>
      <c r="EL12">
        <f>IF($DM12=0,"",COUNTIF($EG$5:$EG$1003,"&lt;"&amp;$EG12)+SUMPRODUCT(($EG$5:$EG$1003=$EG12)*(($EJ$5:$EJ$1003&lt;$EJ12)+($EJ$5:$EJ$1003=$EJ12)*(($EK$5:$EK$1003&lt;$EK12)+($EK$5:$EK$1003=$EK12)*($DE$5:$DE$1003&lt;$DE12))))+1)</f>
        <v/>
      </c>
      <c r="EM12">
        <f>IF($DM12=0,"",$EL12+$EG12-1)</f>
        <v/>
      </c>
      <c r="EN12">
        <f>IF($DM12=0,0,IFERROR(MATCH(1,INDEX(--(TRIM(SUBSTITUTE(SUBSTITUTE(SUBSTITUTE(SUBSTITUTE(LINES_NAME&amp;""," "," "),CHAR(9)," "),CHAR(10)," "),CHAR(13)," "))=$DH12),0),0),0))</f>
        <v/>
      </c>
      <c r="EO12">
        <f>IF($EN12=0,0,IF(OR(UPPER(TRIM(INDEX(LINES_SCHEDULED,$EN12)&amp;""))="YES",UPPER(TRIM(INDEX(LINES_SCHEDULED,$EN12)&amp;""))="Y",UPPER(TRIM(INDEX(LINES_SCHEDULED,$EN12)&amp;""))="X"),1,0))</f>
        <v/>
      </c>
      <c r="EP12">
        <f>IF($DM12=0,"",IF(COUNTIFS($EG$5:$EG$1003,$EG12,$EB$5:$EB$1003,"Ready")&gt;0,"READY",IF(COUNTIFS($EG$5:$EG$1003,$EG12,$EB$5:$EB$1003,"PM")&gt;0,"PM",IF(COUNTIFS($EG$5:$EG$1003,$EG12,$EB$5:$EB$1003,"OT")&gt;0,"OT",""))))</f>
        <v/>
      </c>
      <c r="EQ12">
        <f>IF($EN12=0,"",UPPER(TRIM(INDEX(LINES_STATUS,$EN12)&amp;"")))</f>
        <v/>
      </c>
      <c r="ER12">
        <f>IF($DM12=0,"",IF(OR($EQ12="READY",$EQ12="PM",$EQ12="OT"),$EQ12,$EP12))</f>
        <v/>
      </c>
      <c r="ES12">
        <f>IF($DM12=0,"",IF(AND($DV12&lt;&gt;"",UPPER($DV12)&lt;&gt;"N"),"allergen",IF(ISNUMBER(SEARCH("oil",$DQ12)),"oil",IF(OR(EXACT($DS12,"A662"),EXACT($DS12,"A624")),"bulk",""))))</f>
        <v/>
      </c>
      <c r="ET12">
        <f>IF($DM12=0,"",IF(OR($EA12="",$EA12=0),"",$EA12/100))</f>
        <v/>
      </c>
      <c r="EU12">
        <f>IF(OR($ET12="",$DY12=""),"",INT($DY12*(1-$ET12)+0.5))</f>
        <v/>
      </c>
      <c r="EW12" t="n">
        <v>8</v>
      </c>
      <c r="EX12">
        <f>IFERROR(MATCH($EW12,$EM$5:$EM$1003,0),0)</f>
        <v/>
      </c>
      <c r="EY12">
        <f>IF($EW12&gt;$B$12,"",IF($EX12&gt;0,"row","spacer"))</f>
        <v/>
      </c>
      <c r="EZ12">
        <f>IF(AND($EY12="row",$EY11&lt;&gt;"row"),1,0)</f>
        <v/>
      </c>
      <c r="FA12">
        <f>IF(AND($EY12="row",$EY13&lt;&gt;"row"),1,0)</f>
        <v/>
      </c>
      <c r="FB12">
        <f>IF($EZ12=1,IFERROR(IF(ISNUMBER(INDEX(PASTE_ALL,INDEX($DF$5:$DF$1003,$EX12),$B$37)),INDEX(PASTE_ALL,INDEX($DF$5:$DF$1003,$EX12),$B$37),INDEX($DH$5:$DH$1003,$EX12)),INDEX($DH$5:$DH$1003,$EX12)),"")</f>
        <v/>
      </c>
      <c r="FC12">
        <f>IF($EY12="row",INDEX($ER$5:$ER$1003,$EX12),"")</f>
        <v/>
      </c>
      <c r="FD12">
        <f>IF($EY12="row",INDEX($DN$5:$DN$1003,$EX12),"")</f>
        <v/>
      </c>
      <c r="FE12">
        <f>IF($EY12="row",INDEX($DO$5:$DO$1003,$EX12),"")</f>
        <v/>
      </c>
      <c r="FF12">
        <f>IF($EY12="row",INDEX($DP$5:$DP$1003,$EX12),"")</f>
        <v/>
      </c>
      <c r="FG12">
        <f>IF($EY12="row",INDEX($DQ$5:$DQ$1003,$EX12),"")</f>
        <v/>
      </c>
      <c r="FH12">
        <f>IF($EY12="row",INDEX($DR$5:$DR$1003,$EX12),"")</f>
        <v/>
      </c>
      <c r="FI12">
        <f>IF($EY12="row",INDEX($DS$5:$DS$1003,$EX12),"")</f>
        <v/>
      </c>
      <c r="FJ12">
        <f>IF($EY12="row",INDEX($DT$5:$DT$1003,$EX12),"")</f>
        <v/>
      </c>
      <c r="FK12">
        <f>IF($EY12="row",INDEX($DU$5:$DU$1003,$EX12),"")</f>
        <v/>
      </c>
      <c r="FL12">
        <f>IF($EY12="row",INDEX($DV$5:$DV$1003,$EX12),"")</f>
        <v/>
      </c>
      <c r="FM12">
        <f>IF($EY12="row",INDEX($DW$5:$DW$1003,$EX12),"")</f>
        <v/>
      </c>
      <c r="FN12">
        <f>IF($EY12="row",INDEX($DY$5:$DY$1003,$EX12),"")</f>
        <v/>
      </c>
      <c r="FO12">
        <f>IF($EY12="row",INDEX($EA$5:$EA$1003,$EX12),"")</f>
        <v/>
      </c>
      <c r="FP12">
        <f>IF($EY12="row",INDEX($EC$5:$EC$1003,$EX12),"")</f>
        <v/>
      </c>
      <c r="FQ12">
        <f>IF($EY12="row",INDEX($ET$5:$ET$1003,$EX12),"")</f>
        <v/>
      </c>
      <c r="FR12">
        <f>IF($EY12="row",INDEX($EU$5:$EU$1003,$EX12),"")</f>
        <v/>
      </c>
      <c r="FS12">
        <f>IF(AND($EY12="row",$EY11="row"),IF(OR(INDEX($DT$5:$DT$1003,$EX11)="",INDEX($DT$5:$DT$1003,$EX12)=""),"",IF(NOT(EXACT(INDEX($DT$5:$DT$1003,$EX11),INDEX($DT$5:$DT$1003,$EX12))),"S4",IF(NOT(EXACT(INDEX($DS$5:$DS$1003,$EX11),INDEX($DS$5:$DS$1003,$EX12))),"S3",IF(NOT(EXACT(INDEX($DR$5:$DR$1003,$EX11),INDEX($DR$5:$DR$1003,$EX12))),"S1 Count Change","S1")))),"")</f>
        <v/>
      </c>
      <c r="FT12">
        <f>IF($EY12="row",INDEX($ES$5:$ES$1003,$EX12),"")</f>
        <v/>
      </c>
      <c r="FU12">
        <f>IF($EY12="row",INDEX($EO$5:$EO$1003,$EX12),0)</f>
        <v/>
      </c>
      <c r="FV12">
        <f>IF($FS12="S1 Count Change",1,0)</f>
        <v/>
      </c>
      <c r="FX12" t="n">
        <v>8</v>
      </c>
      <c r="FY12">
        <f>IFERROR(MATCH($FX12,$EF$5:$EF$1003,0),0)</f>
        <v/>
      </c>
      <c r="FZ12">
        <f>IF($FY12=0,"",INDEX($DH$5:$DH$1003,$FY12))</f>
        <v/>
      </c>
      <c r="GA12">
        <f>IF($FY12=0,"",COUNTIF($EG$5:$EG$1003,$FX12))</f>
        <v/>
      </c>
      <c r="GB12">
        <f>IF($FY12=0,"",INDEX($ER$5:$ER$1003,$FY12))</f>
        <v/>
      </c>
      <c r="GC12">
        <f>IF($FY12=0,"",IF(INDEX($EO$5:$EO$1003,$FY12)=1,"Yes",""))</f>
        <v/>
      </c>
      <c r="GD12">
        <f>IF($FY12=0,"",IF(INDEX($EN$5:$EN$1003,$FY12)&gt;0,"","NOT IN YOUR LIST - type it in column A to tick it"))</f>
        <v/>
      </c>
      <c r="GE12">
        <f>IF(AND($FY12&gt;0,$GD12&lt;&gt;""),1,0)</f>
        <v/>
      </c>
      <c r="GF12">
        <f>GF11+$GE12</f>
        <v/>
      </c>
      <c r="GG12">
        <f>IFERROR(INDEX($FZ$5:$FZ$104,MATCH($FX12,$GF$5:$GF$104,0)),"")</f>
        <v/>
      </c>
    </row>
    <row r="13">
      <c r="A13" t="inlineStr">
        <is>
          <t>Report rows shown</t>
        </is>
      </c>
      <c r="B13">
        <f>MIN($B$12,700)</f>
        <v/>
      </c>
      <c r="D13" t="n">
        <v>9</v>
      </c>
      <c r="E13" t="inlineStr">
        <is>
          <t>cap</t>
        </is>
      </c>
      <c r="F13" t="inlineStr">
        <is>
          <t>Cap Description</t>
        </is>
      </c>
      <c r="G13" t="n">
        <v>512</v>
      </c>
      <c r="H13">
        <f>IFERROR(UPPER(TRIM('2. Check Columns'!$F$21&amp;"")),"#")</f>
        <v/>
      </c>
      <c r="I13">
        <f>IF(H13="",0,IF(OR(H13="-",H13="NONE"),-1,IFERROR(MATCH(1,INDEX(--EXACT($T$5:$T$64,H13),0),0),-2)))</f>
        <v/>
      </c>
      <c r="J13">
        <f>IF(I13&lt;=0,IF(I13=-1,-1,0),IF(COUNTIF($I$5:I12,I13)&gt;0,0,I13))</f>
        <v/>
      </c>
      <c r="K13">
        <f>IFERROR(MATCH(9,$Y$235:$CF$235,0),0)</f>
        <v/>
      </c>
      <c r="L13">
        <f>IFERROR(MATCH(9,$Y$239:$CF$239,0),0)</f>
        <v/>
      </c>
      <c r="M13">
        <f>IF(K13=0,"(not found)",INDEX($T$5:$T$64,K13))</f>
        <v/>
      </c>
      <c r="N13">
        <f>IF(L13=0,IF(J13=-1,"(left out)","(none)"),INDEX($T$5:$T$64,L13))</f>
        <v/>
      </c>
      <c r="O13">
        <f>IF(L13=0,"",IFERROR(TRIM(SUBSTITUTE(SUBSTITUTE(SUBSTITUTE(SUBSTITUTE(INDEX(PASTE_ALL,HEADER_ROW,L13)&amp;""," "," "),CHAR(9)," "),CHAR(10)," "),CHAR(13)," ")),""))</f>
        <v/>
      </c>
      <c r="P13">
        <f>IF(OR(L13=0,$B$16=0),"",IFERROR(IF(ISNUMBER(INDEX(PASTE_ALL,$B$16,L13)),INDEX(PASTE_ALL,$B$16,L13),TRIM(SUBSTITUTE(SUBSTITUTE(SUBSTITUTE(SUBSTITUTE(INDEX(PASTE_ALL,$B$16,L13)&amp;""," "," "),CHAR(9)," "),CHAR(10)," "),CHAR(13)," "))),""))</f>
        <v/>
      </c>
      <c r="Q13">
        <f>IF(I13=-2,"'"&amp;H13&amp;"' is not a column letter from A to BH - ignored",IF(AND(I13&gt;0,J13=0),"Column "&amp;H13&amp;" is already used by "&amp;INDEX($F$5:$F$19,MATCH(I13,$I$5:$I$19,0))&amp;" - ignored",IF(AND(J13=0,K13&gt;0,COUNTIF($J$5:$J$19,K13)&gt;0),"Column "&amp;M13&amp;" is used by "&amp;INDEX($F$5:$F$19,MATCH(K13,$J$5:$J$19,0))&amp;" (Override)"&amp;IF(L13&gt;0," - using column "&amp;N13&amp;" instead"," - not used"),IF(AND(J13&gt;0,K13&gt;0,J13&lt;&gt;K13),"Override in use - this file's own title for it is in column "&amp;M13&amp;" ("&amp;IFERROR(TRIM(SUBSTITUTE(SUBSTITUTE(SUBSTITUTE(SUBSTITUTE(INDEX(PASTE_ALL,HEADER_ROW,K13)&amp;""," "," "),CHAR(9)," "),CHAR(10)," "),CHAR(13)," ")),"")&amp;"). Clear the Override if that is right.",IF(AND(J13=-1,K13&gt;0),"Left out by the Override - this file has it in column "&amp;M13&amp;" ("&amp;IFERROR(TRIM(SUBSTITUTE(SUBSTITUTE(SUBSTITUTE(SUBSTITUTE(INDEX(PASTE_ALL,HEADER_ROW,K13)&amp;""," "," "),CHAR(9)," "),CHAR(10)," "),CHAR(13)," ")),"")&amp;").","")))))</f>
        <v/>
      </c>
      <c r="R13">
        <f>IF(OR(AND(J13&gt;0,K13&gt;0,J13&lt;&gt;K13),AND(J13=-1,K13&gt;0),AND(J13=0,K13&gt;0,COUNTIF($J$5:$J$19,K13)&gt;0)),1,0)</f>
        <v/>
      </c>
      <c r="S13" t="n">
        <v>9</v>
      </c>
      <c r="T13" t="inlineStr">
        <is>
          <t>I</t>
        </is>
      </c>
      <c r="V13" t="inlineStr">
        <is>
          <t>WONUMBER</t>
        </is>
      </c>
      <c r="W13" t="n">
        <v>2</v>
      </c>
      <c r="Y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 ",""),"!",""),CHAR(34),""),"#",""),"$",""),"%",""),"&amp;",""),"'",""),"(",""),")",""),"*",""),"+",""),",",""),"-",""),".",""),"/",""),":",""),";",""),"&lt;",""),"=",""),"&gt;",""),"?",""),"@",""),"[",""),"\",""),"]",""),"^",""),"_",""),"`",""),"{",""),"|",""),"}",""),"~",""),CHAR(9),""),CHAR(10),""),CHAR(13),"")," ",""),"")</f>
        <v/>
      </c>
      <c r="Z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 ",""),"!",""),CHAR(34),""),"#",""),"$",""),"%",""),"&amp;",""),"'",""),"(",""),")",""),"*",""),"+",""),",",""),"-",""),".",""),"/",""),":",""),";",""),"&lt;",""),"=",""),"&gt;",""),"?",""),"@",""),"[",""),"\",""),"]",""),"^",""),"_",""),"`",""),"{",""),"|",""),"}",""),"~",""),CHAR(9),""),CHAR(10),""),CHAR(13),"")," ",""),"")</f>
        <v/>
      </c>
      <c r="AA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 ",""),"!",""),CHAR(34),""),"#",""),"$",""),"%",""),"&amp;",""),"'",""),"(",""),")",""),"*",""),"+",""),",",""),"-",""),".",""),"/",""),":",""),";",""),"&lt;",""),"=",""),"&gt;",""),"?",""),"@",""),"[",""),"\",""),"]",""),"^",""),"_",""),"`",""),"{",""),"|",""),"}",""),"~",""),CHAR(9),""),CHAR(10),""),CHAR(13),"")," ",""),"")</f>
        <v/>
      </c>
      <c r="AB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 ",""),"!",""),CHAR(34),""),"#",""),"$",""),"%",""),"&amp;",""),"'",""),"(",""),")",""),"*",""),"+",""),",",""),"-",""),".",""),"/",""),":",""),";",""),"&lt;",""),"=",""),"&gt;",""),"?",""),"@",""),"[",""),"\",""),"]",""),"^",""),"_",""),"`",""),"{",""),"|",""),"}",""),"~",""),CHAR(9),""),CHAR(10),""),CHAR(13),"")," ",""),"")</f>
        <v/>
      </c>
      <c r="AC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 ",""),"!",""),CHAR(34),""),"#",""),"$",""),"%",""),"&amp;",""),"'",""),"(",""),")",""),"*",""),"+",""),",",""),"-",""),".",""),"/",""),":",""),";",""),"&lt;",""),"=",""),"&gt;",""),"?",""),"@",""),"[",""),"\",""),"]",""),"^",""),"_",""),"`",""),"{",""),"|",""),"}",""),"~",""),CHAR(9),""),CHAR(10),""),CHAR(13),"")," ",""),"")</f>
        <v/>
      </c>
      <c r="AD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9,6))," ",""),"!",""),CHAR(34),""),"#",""),"$",""),"%",""),"&amp;",""),"'",""),"(",""),")",""),"*",""),"+",""),",",""),"-",""),".",""),"/",""),":",""),";",""),"&lt;",""),"=",""),"&gt;",""),"?",""),"@",""),"[",""),"\",""),"]",""),"^",""),"_",""),"`",""),"{",""),"|",""),"}",""),"~",""),CHAR(9),""),CHAR(10),""),CHAR(13),"")," ",""),"")</f>
        <v/>
      </c>
      <c r="AE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9,7))," ",""),"!",""),CHAR(34),""),"#",""),"$",""),"%",""),"&amp;",""),"'",""),"(",""),")",""),"*",""),"+",""),",",""),"-",""),".",""),"/",""),":",""),";",""),"&lt;",""),"=",""),"&gt;",""),"?",""),"@",""),"[",""),"\",""),"]",""),"^",""),"_",""),"`",""),"{",""),"|",""),"}",""),"~",""),CHAR(9),""),CHAR(10),""),CHAR(13),"")," ",""),"")</f>
        <v/>
      </c>
      <c r="AF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9,8))," ",""),"!",""),CHAR(34),""),"#",""),"$",""),"%",""),"&amp;",""),"'",""),"(",""),")",""),"*",""),"+",""),",",""),"-",""),".",""),"/",""),":",""),";",""),"&lt;",""),"=",""),"&gt;",""),"?",""),"@",""),"[",""),"\",""),"]",""),"^",""),"_",""),"`",""),"{",""),"|",""),"}",""),"~",""),CHAR(9),""),CHAR(10),""),CHAR(13),"")," ",""),"")</f>
        <v/>
      </c>
      <c r="AG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9,9))," ",""),"!",""),CHAR(34),""),"#",""),"$",""),"%",""),"&amp;",""),"'",""),"(",""),")",""),"*",""),"+",""),",",""),"-",""),".",""),"/",""),":",""),";",""),"&lt;",""),"=",""),"&gt;",""),"?",""),"@",""),"[",""),"\",""),"]",""),"^",""),"_",""),"`",""),"{",""),"|",""),"}",""),"~",""),CHAR(9),""),CHAR(10),""),CHAR(13),"")," ",""),"")</f>
        <v/>
      </c>
      <c r="AH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9,10))," ",""),"!",""),CHAR(34),""),"#",""),"$",""),"%",""),"&amp;",""),"'",""),"(",""),")",""),"*",""),"+",""),",",""),"-",""),".",""),"/",""),":",""),";",""),"&lt;",""),"=",""),"&gt;",""),"?",""),"@",""),"[",""),"\",""),"]",""),"^",""),"_",""),"`",""),"{",""),"|",""),"}",""),"~",""),CHAR(9),""),CHAR(10),""),CHAR(13),"")," ",""),"")</f>
        <v/>
      </c>
      <c r="AI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9,11))," ",""),"!",""),CHAR(34),""),"#",""),"$",""),"%",""),"&amp;",""),"'",""),"(",""),")",""),"*",""),"+",""),",",""),"-",""),".",""),"/",""),":",""),";",""),"&lt;",""),"=",""),"&gt;",""),"?",""),"@",""),"[",""),"\",""),"]",""),"^",""),"_",""),"`",""),"{",""),"|",""),"}",""),"~",""),CHAR(9),""),CHAR(10),""),CHAR(13),"")," ",""),"")</f>
        <v/>
      </c>
      <c r="AJ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9,12))," ",""),"!",""),CHAR(34),""),"#",""),"$",""),"%",""),"&amp;",""),"'",""),"(",""),")",""),"*",""),"+",""),",",""),"-",""),".",""),"/",""),":",""),";",""),"&lt;",""),"=",""),"&gt;",""),"?",""),"@",""),"[",""),"\",""),"]",""),"^",""),"_",""),"`",""),"{",""),"|",""),"}",""),"~",""),CHAR(9),""),CHAR(10),""),CHAR(13),"")," ",""),"")</f>
        <v/>
      </c>
      <c r="AK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9,13))," ",""),"!",""),CHAR(34),""),"#",""),"$",""),"%",""),"&amp;",""),"'",""),"(",""),")",""),"*",""),"+",""),",",""),"-",""),".",""),"/",""),":",""),";",""),"&lt;",""),"=",""),"&gt;",""),"?",""),"@",""),"[",""),"\",""),"]",""),"^",""),"_",""),"`",""),"{",""),"|",""),"}",""),"~",""),CHAR(9),""),CHAR(10),""),CHAR(13),"")," ",""),"")</f>
        <v/>
      </c>
      <c r="AL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9,14))," ",""),"!",""),CHAR(34),""),"#",""),"$",""),"%",""),"&amp;",""),"'",""),"(",""),")",""),"*",""),"+",""),",",""),"-",""),".",""),"/",""),":",""),";",""),"&lt;",""),"=",""),"&gt;",""),"?",""),"@",""),"[",""),"\",""),"]",""),"^",""),"_",""),"`",""),"{",""),"|",""),"}",""),"~",""),CHAR(9),""),CHAR(10),""),CHAR(13),"")," ",""),"")</f>
        <v/>
      </c>
      <c r="AM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9,15))," ",""),"!",""),CHAR(34),""),"#",""),"$",""),"%",""),"&amp;",""),"'",""),"(",""),")",""),"*",""),"+",""),",",""),"-",""),".",""),"/",""),":",""),";",""),"&lt;",""),"=",""),"&gt;",""),"?",""),"@",""),"[",""),"\",""),"]",""),"^",""),"_",""),"`",""),"{",""),"|",""),"}",""),"~",""),CHAR(9),""),CHAR(10),""),CHAR(13),"")," ",""),"")</f>
        <v/>
      </c>
      <c r="AN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9,16))," ",""),"!",""),CHAR(34),""),"#",""),"$",""),"%",""),"&amp;",""),"'",""),"(",""),")",""),"*",""),"+",""),",",""),"-",""),".",""),"/",""),":",""),";",""),"&lt;",""),"=",""),"&gt;",""),"?",""),"@",""),"[",""),"\",""),"]",""),"^",""),"_",""),"`",""),"{",""),"|",""),"}",""),"~",""),CHAR(9),""),CHAR(10),""),CHAR(13),"")," ",""),"")</f>
        <v/>
      </c>
      <c r="AO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9,17))," ",""),"!",""),CHAR(34),""),"#",""),"$",""),"%",""),"&amp;",""),"'",""),"(",""),")",""),"*",""),"+",""),",",""),"-",""),".",""),"/",""),":",""),";",""),"&lt;",""),"=",""),"&gt;",""),"?",""),"@",""),"[",""),"\",""),"]",""),"^",""),"_",""),"`",""),"{",""),"|",""),"}",""),"~",""),CHAR(9),""),CHAR(10),""),CHAR(13),"")," ",""),"")</f>
        <v/>
      </c>
      <c r="AP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9,18))," ",""),"!",""),CHAR(34),""),"#",""),"$",""),"%",""),"&amp;",""),"'",""),"(",""),")",""),"*",""),"+",""),",",""),"-",""),".",""),"/",""),":",""),";",""),"&lt;",""),"=",""),"&gt;",""),"?",""),"@",""),"[",""),"\",""),"]",""),"^",""),"_",""),"`",""),"{",""),"|",""),"}",""),"~",""),CHAR(9),""),CHAR(10),""),CHAR(13),"")," ",""),"")</f>
        <v/>
      </c>
      <c r="AQ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9,19))," ",""),"!",""),CHAR(34),""),"#",""),"$",""),"%",""),"&amp;",""),"'",""),"(",""),")",""),"*",""),"+",""),",",""),"-",""),".",""),"/",""),":",""),";",""),"&lt;",""),"=",""),"&gt;",""),"?",""),"@",""),"[",""),"\",""),"]",""),"^",""),"_",""),"`",""),"{",""),"|",""),"}",""),"~",""),CHAR(9),""),CHAR(10),""),CHAR(13),"")," ",""),"")</f>
        <v/>
      </c>
      <c r="AR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9,20))," ",""),"!",""),CHAR(34),""),"#",""),"$",""),"%",""),"&amp;",""),"'",""),"(",""),")",""),"*",""),"+",""),",",""),"-",""),".",""),"/",""),":",""),";",""),"&lt;",""),"=",""),"&gt;",""),"?",""),"@",""),"[",""),"\",""),"]",""),"^",""),"_",""),"`",""),"{",""),"|",""),"}",""),"~",""),CHAR(9),""),CHAR(10),""),CHAR(13),"")," ",""),"")</f>
        <v/>
      </c>
      <c r="AS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9,21))," ",""),"!",""),CHAR(34),""),"#",""),"$",""),"%",""),"&amp;",""),"'",""),"(",""),")",""),"*",""),"+",""),",",""),"-",""),".",""),"/",""),":",""),";",""),"&lt;",""),"=",""),"&gt;",""),"?",""),"@",""),"[",""),"\",""),"]",""),"^",""),"_",""),"`",""),"{",""),"|",""),"}",""),"~",""),CHAR(9),""),CHAR(10),""),CHAR(13),"")," ",""),"")</f>
        <v/>
      </c>
      <c r="AT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9,22))," ",""),"!",""),CHAR(34),""),"#",""),"$",""),"%",""),"&amp;",""),"'",""),"(",""),")",""),"*",""),"+",""),",",""),"-",""),".",""),"/",""),":",""),";",""),"&lt;",""),"=",""),"&gt;",""),"?",""),"@",""),"[",""),"\",""),"]",""),"^",""),"_",""),"`",""),"{",""),"|",""),"}",""),"~",""),CHAR(9),""),CHAR(10),""),CHAR(13),"")," ",""),"")</f>
        <v/>
      </c>
      <c r="AU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9,23))," ",""),"!",""),CHAR(34),""),"#",""),"$",""),"%",""),"&amp;",""),"'",""),"(",""),")",""),"*",""),"+",""),",",""),"-",""),".",""),"/",""),":",""),";",""),"&lt;",""),"=",""),"&gt;",""),"?",""),"@",""),"[",""),"\",""),"]",""),"^",""),"_",""),"`",""),"{",""),"|",""),"}",""),"~",""),CHAR(9),""),CHAR(10),""),CHAR(13),"")," ",""),"")</f>
        <v/>
      </c>
      <c r="AV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9,24))," ",""),"!",""),CHAR(34),""),"#",""),"$",""),"%",""),"&amp;",""),"'",""),"(",""),")",""),"*",""),"+",""),",",""),"-",""),".",""),"/",""),":",""),";",""),"&lt;",""),"=",""),"&gt;",""),"?",""),"@",""),"[",""),"\",""),"]",""),"^",""),"_",""),"`",""),"{",""),"|",""),"}",""),"~",""),CHAR(9),""),CHAR(10),""),CHAR(13),"")," ",""),"")</f>
        <v/>
      </c>
      <c r="AW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9,25))," ",""),"!",""),CHAR(34),""),"#",""),"$",""),"%",""),"&amp;",""),"'",""),"(",""),")",""),"*",""),"+",""),",",""),"-",""),".",""),"/",""),":",""),";",""),"&lt;",""),"=",""),"&gt;",""),"?",""),"@",""),"[",""),"\",""),"]",""),"^",""),"_",""),"`",""),"{",""),"|",""),"}",""),"~",""),CHAR(9),""),CHAR(10),""),CHAR(13),"")," ",""),"")</f>
        <v/>
      </c>
      <c r="AX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9,26))," ",""),"!",""),CHAR(34),""),"#",""),"$",""),"%",""),"&amp;",""),"'",""),"(",""),")",""),"*",""),"+",""),",",""),"-",""),".",""),"/",""),":",""),";",""),"&lt;",""),"=",""),"&gt;",""),"?",""),"@",""),"[",""),"\",""),"]",""),"^",""),"_",""),"`",""),"{",""),"|",""),"}",""),"~",""),CHAR(9),""),CHAR(10),""),CHAR(13),"")," ",""),"")</f>
        <v/>
      </c>
      <c r="AY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9,27))," ",""),"!",""),CHAR(34),""),"#",""),"$",""),"%",""),"&amp;",""),"'",""),"(",""),")",""),"*",""),"+",""),",",""),"-",""),".",""),"/",""),":",""),";",""),"&lt;",""),"=",""),"&gt;",""),"?",""),"@",""),"[",""),"\",""),"]",""),"^",""),"_",""),"`",""),"{",""),"|",""),"}",""),"~",""),CHAR(9),""),CHAR(10),""),CHAR(13),"")," ",""),"")</f>
        <v/>
      </c>
      <c r="AZ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9,28))," ",""),"!",""),CHAR(34),""),"#",""),"$",""),"%",""),"&amp;",""),"'",""),"(",""),")",""),"*",""),"+",""),",",""),"-",""),".",""),"/",""),":",""),";",""),"&lt;",""),"=",""),"&gt;",""),"?",""),"@",""),"[",""),"\",""),"]",""),"^",""),"_",""),"`",""),"{",""),"|",""),"}",""),"~",""),CHAR(9),""),CHAR(10),""),CHAR(13),"")," ",""),"")</f>
        <v/>
      </c>
      <c r="BA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9,29))," ",""),"!",""),CHAR(34),""),"#",""),"$",""),"%",""),"&amp;",""),"'",""),"(",""),")",""),"*",""),"+",""),",",""),"-",""),".",""),"/",""),":",""),";",""),"&lt;",""),"=",""),"&gt;",""),"?",""),"@",""),"[",""),"\",""),"]",""),"^",""),"_",""),"`",""),"{",""),"|",""),"}",""),"~",""),CHAR(9),""),CHAR(10),""),CHAR(13),"")," ",""),"")</f>
        <v/>
      </c>
      <c r="BB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9,30))," ",""),"!",""),CHAR(34),""),"#",""),"$",""),"%",""),"&amp;",""),"'",""),"(",""),")",""),"*",""),"+",""),",",""),"-",""),".",""),"/",""),":",""),";",""),"&lt;",""),"=",""),"&gt;",""),"?",""),"@",""),"[",""),"\",""),"]",""),"^",""),"_",""),"`",""),"{",""),"|",""),"}",""),"~",""),CHAR(9),""),CHAR(10),""),CHAR(13),"")," ",""),"")</f>
        <v/>
      </c>
      <c r="BC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9,31))," ",""),"!",""),CHAR(34),""),"#",""),"$",""),"%",""),"&amp;",""),"'",""),"(",""),")",""),"*",""),"+",""),",",""),"-",""),".",""),"/",""),":",""),";",""),"&lt;",""),"=",""),"&gt;",""),"?",""),"@",""),"[",""),"\",""),"]",""),"^",""),"_",""),"`",""),"{",""),"|",""),"}",""),"~",""),CHAR(9),""),CHAR(10),""),CHAR(13),"")," ",""),"")</f>
        <v/>
      </c>
      <c r="BD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9,32))," ",""),"!",""),CHAR(34),""),"#",""),"$",""),"%",""),"&amp;",""),"'",""),"(",""),")",""),"*",""),"+",""),",",""),"-",""),".",""),"/",""),":",""),";",""),"&lt;",""),"=",""),"&gt;",""),"?",""),"@",""),"[",""),"\",""),"]",""),"^",""),"_",""),"`",""),"{",""),"|",""),"}",""),"~",""),CHAR(9),""),CHAR(10),""),CHAR(13),"")," ",""),"")</f>
        <v/>
      </c>
      <c r="BE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9,33))," ",""),"!",""),CHAR(34),""),"#",""),"$",""),"%",""),"&amp;",""),"'",""),"(",""),")",""),"*",""),"+",""),",",""),"-",""),".",""),"/",""),":",""),";",""),"&lt;",""),"=",""),"&gt;",""),"?",""),"@",""),"[",""),"\",""),"]",""),"^",""),"_",""),"`",""),"{",""),"|",""),"}",""),"~",""),CHAR(9),""),CHAR(10),""),CHAR(13),"")," ",""),"")</f>
        <v/>
      </c>
      <c r="BF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9,34))," ",""),"!",""),CHAR(34),""),"#",""),"$",""),"%",""),"&amp;",""),"'",""),"(",""),")",""),"*",""),"+",""),",",""),"-",""),".",""),"/",""),":",""),";",""),"&lt;",""),"=",""),"&gt;",""),"?",""),"@",""),"[",""),"\",""),"]",""),"^",""),"_",""),"`",""),"{",""),"|",""),"}",""),"~",""),CHAR(9),""),CHAR(10),""),CHAR(13),"")," ",""),"")</f>
        <v/>
      </c>
      <c r="BG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9,35))," ",""),"!",""),CHAR(34),""),"#",""),"$",""),"%",""),"&amp;",""),"'",""),"(",""),")",""),"*",""),"+",""),",",""),"-",""),".",""),"/",""),":",""),";",""),"&lt;",""),"=",""),"&gt;",""),"?",""),"@",""),"[",""),"\",""),"]",""),"^",""),"_",""),"`",""),"{",""),"|",""),"}",""),"~",""),CHAR(9),""),CHAR(10),""),CHAR(13),"")," ",""),"")</f>
        <v/>
      </c>
      <c r="BH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9,36))," ",""),"!",""),CHAR(34),""),"#",""),"$",""),"%",""),"&amp;",""),"'",""),"(",""),")",""),"*",""),"+",""),",",""),"-",""),".",""),"/",""),":",""),";",""),"&lt;",""),"=",""),"&gt;",""),"?",""),"@",""),"[",""),"\",""),"]",""),"^",""),"_",""),"`",""),"{",""),"|",""),"}",""),"~",""),CHAR(9),""),CHAR(10),""),CHAR(13),"")," ",""),"")</f>
        <v/>
      </c>
      <c r="BI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9,37))," ",""),"!",""),CHAR(34),""),"#",""),"$",""),"%",""),"&amp;",""),"'",""),"(",""),")",""),"*",""),"+",""),",",""),"-",""),".",""),"/",""),":",""),";",""),"&lt;",""),"=",""),"&gt;",""),"?",""),"@",""),"[",""),"\",""),"]",""),"^",""),"_",""),"`",""),"{",""),"|",""),"}",""),"~",""),CHAR(9),""),CHAR(10),""),CHAR(13),"")," ",""),"")</f>
        <v/>
      </c>
      <c r="BJ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9,38))," ",""),"!",""),CHAR(34),""),"#",""),"$",""),"%",""),"&amp;",""),"'",""),"(",""),")",""),"*",""),"+",""),",",""),"-",""),".",""),"/",""),":",""),";",""),"&lt;",""),"=",""),"&gt;",""),"?",""),"@",""),"[",""),"\",""),"]",""),"^",""),"_",""),"`",""),"{",""),"|",""),"}",""),"~",""),CHAR(9),""),CHAR(10),""),CHAR(13),"")," ",""),"")</f>
        <v/>
      </c>
      <c r="BK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9,39))," ",""),"!",""),CHAR(34),""),"#",""),"$",""),"%",""),"&amp;",""),"'",""),"(",""),")",""),"*",""),"+",""),",",""),"-",""),".",""),"/",""),":",""),";",""),"&lt;",""),"=",""),"&gt;",""),"?",""),"@",""),"[",""),"\",""),"]",""),"^",""),"_",""),"`",""),"{",""),"|",""),"}",""),"~",""),CHAR(9),""),CHAR(10),""),CHAR(13),"")," ",""),"")</f>
        <v/>
      </c>
      <c r="BL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9,40))," ",""),"!",""),CHAR(34),""),"#",""),"$",""),"%",""),"&amp;",""),"'",""),"(",""),")",""),"*",""),"+",""),",",""),"-",""),".",""),"/",""),":",""),";",""),"&lt;",""),"=",""),"&gt;",""),"?",""),"@",""),"[",""),"\",""),"]",""),"^",""),"_",""),"`",""),"{",""),"|",""),"}",""),"~",""),CHAR(9),""),CHAR(10),""),CHAR(13),"")," ",""),"")</f>
        <v/>
      </c>
      <c r="BM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9,41))," ",""),"!",""),CHAR(34),""),"#",""),"$",""),"%",""),"&amp;",""),"'",""),"(",""),")",""),"*",""),"+",""),",",""),"-",""),".",""),"/",""),":",""),";",""),"&lt;",""),"=",""),"&gt;",""),"?",""),"@",""),"[",""),"\",""),"]",""),"^",""),"_",""),"`",""),"{",""),"|",""),"}",""),"~",""),CHAR(9),""),CHAR(10),""),CHAR(13),"")," ",""),"")</f>
        <v/>
      </c>
      <c r="BN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9,42))," ",""),"!",""),CHAR(34),""),"#",""),"$",""),"%",""),"&amp;",""),"'",""),"(",""),")",""),"*",""),"+",""),",",""),"-",""),".",""),"/",""),":",""),";",""),"&lt;",""),"=",""),"&gt;",""),"?",""),"@",""),"[",""),"\",""),"]",""),"^",""),"_",""),"`",""),"{",""),"|",""),"}",""),"~",""),CHAR(9),""),CHAR(10),""),CHAR(13),"")," ",""),"")</f>
        <v/>
      </c>
      <c r="BO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9,43))," ",""),"!",""),CHAR(34),""),"#",""),"$",""),"%",""),"&amp;",""),"'",""),"(",""),")",""),"*",""),"+",""),",",""),"-",""),".",""),"/",""),":",""),";",""),"&lt;",""),"=",""),"&gt;",""),"?",""),"@",""),"[",""),"\",""),"]",""),"^",""),"_",""),"`",""),"{",""),"|",""),"}",""),"~",""),CHAR(9),""),CHAR(10),""),CHAR(13),"")," ",""),"")</f>
        <v/>
      </c>
      <c r="BP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9,44))," ",""),"!",""),CHAR(34),""),"#",""),"$",""),"%",""),"&amp;",""),"'",""),"(",""),")",""),"*",""),"+",""),",",""),"-",""),".",""),"/",""),":",""),";",""),"&lt;",""),"=",""),"&gt;",""),"?",""),"@",""),"[",""),"\",""),"]",""),"^",""),"_",""),"`",""),"{",""),"|",""),"}",""),"~",""),CHAR(9),""),CHAR(10),""),CHAR(13),"")," ",""),"")</f>
        <v/>
      </c>
      <c r="BQ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9,45))," ",""),"!",""),CHAR(34),""),"#",""),"$",""),"%",""),"&amp;",""),"'",""),"(",""),")",""),"*",""),"+",""),",",""),"-",""),".",""),"/",""),":",""),";",""),"&lt;",""),"=",""),"&gt;",""),"?",""),"@",""),"[",""),"\",""),"]",""),"^",""),"_",""),"`",""),"{",""),"|",""),"}",""),"~",""),CHAR(9),""),CHAR(10),""),CHAR(13),"")," ",""),"")</f>
        <v/>
      </c>
      <c r="BR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9,46))," ",""),"!",""),CHAR(34),""),"#",""),"$",""),"%",""),"&amp;",""),"'",""),"(",""),")",""),"*",""),"+",""),",",""),"-",""),".",""),"/",""),":",""),";",""),"&lt;",""),"=",""),"&gt;",""),"?",""),"@",""),"[",""),"\",""),"]",""),"^",""),"_",""),"`",""),"{",""),"|",""),"}",""),"~",""),CHAR(9),""),CHAR(10),""),CHAR(13),"")," ",""),"")</f>
        <v/>
      </c>
      <c r="BS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9,47))," ",""),"!",""),CHAR(34),""),"#",""),"$",""),"%",""),"&amp;",""),"'",""),"(",""),")",""),"*",""),"+",""),",",""),"-",""),".",""),"/",""),":",""),";",""),"&lt;",""),"=",""),"&gt;",""),"?",""),"@",""),"[",""),"\",""),"]",""),"^",""),"_",""),"`",""),"{",""),"|",""),"}",""),"~",""),CHAR(9),""),CHAR(10),""),CHAR(13),"")," ",""),"")</f>
        <v/>
      </c>
      <c r="BT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9,48))," ",""),"!",""),CHAR(34),""),"#",""),"$",""),"%",""),"&amp;",""),"'",""),"(",""),")",""),"*",""),"+",""),",",""),"-",""),".",""),"/",""),":",""),";",""),"&lt;",""),"=",""),"&gt;",""),"?",""),"@",""),"[",""),"\",""),"]",""),"^",""),"_",""),"`",""),"{",""),"|",""),"}",""),"~",""),CHAR(9),""),CHAR(10),""),CHAR(13),"")," ",""),"")</f>
        <v/>
      </c>
      <c r="BU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9,49))," ",""),"!",""),CHAR(34),""),"#",""),"$",""),"%",""),"&amp;",""),"'",""),"(",""),")",""),"*",""),"+",""),",",""),"-",""),".",""),"/",""),":",""),";",""),"&lt;",""),"=",""),"&gt;",""),"?",""),"@",""),"[",""),"\",""),"]",""),"^",""),"_",""),"`",""),"{",""),"|",""),"}",""),"~",""),CHAR(9),""),CHAR(10),""),CHAR(13),"")," ",""),"")</f>
        <v/>
      </c>
      <c r="BV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9,50))," ",""),"!",""),CHAR(34),""),"#",""),"$",""),"%",""),"&amp;",""),"'",""),"(",""),")",""),"*",""),"+",""),",",""),"-",""),".",""),"/",""),":",""),";",""),"&lt;",""),"=",""),"&gt;",""),"?",""),"@",""),"[",""),"\",""),"]",""),"^",""),"_",""),"`",""),"{",""),"|",""),"}",""),"~",""),CHAR(9),""),CHAR(10),""),CHAR(13),"")," ",""),"")</f>
        <v/>
      </c>
      <c r="BW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9,51))," ",""),"!",""),CHAR(34),""),"#",""),"$",""),"%",""),"&amp;",""),"'",""),"(",""),")",""),"*",""),"+",""),",",""),"-",""),".",""),"/",""),":",""),";",""),"&lt;",""),"=",""),"&gt;",""),"?",""),"@",""),"[",""),"\",""),"]",""),"^",""),"_",""),"`",""),"{",""),"|",""),"}",""),"~",""),CHAR(9),""),CHAR(10),""),CHAR(13),"")," ",""),"")</f>
        <v/>
      </c>
      <c r="BX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9,52))," ",""),"!",""),CHAR(34),""),"#",""),"$",""),"%",""),"&amp;",""),"'",""),"(",""),")",""),"*",""),"+",""),",",""),"-",""),".",""),"/",""),":",""),";",""),"&lt;",""),"=",""),"&gt;",""),"?",""),"@",""),"[",""),"\",""),"]",""),"^",""),"_",""),"`",""),"{",""),"|",""),"}",""),"~",""),CHAR(9),""),CHAR(10),""),CHAR(13),"")," ",""),"")</f>
        <v/>
      </c>
      <c r="BY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9,53))," ",""),"!",""),CHAR(34),""),"#",""),"$",""),"%",""),"&amp;",""),"'",""),"(",""),")",""),"*",""),"+",""),",",""),"-",""),".",""),"/",""),":",""),";",""),"&lt;",""),"=",""),"&gt;",""),"?",""),"@",""),"[",""),"\",""),"]",""),"^",""),"_",""),"`",""),"{",""),"|",""),"}",""),"~",""),CHAR(9),""),CHAR(10),""),CHAR(13),"")," ",""),"")</f>
        <v/>
      </c>
      <c r="BZ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9,54))," ",""),"!",""),CHAR(34),""),"#",""),"$",""),"%",""),"&amp;",""),"'",""),"(",""),")",""),"*",""),"+",""),",",""),"-",""),".",""),"/",""),":",""),";",""),"&lt;",""),"=",""),"&gt;",""),"?",""),"@",""),"[",""),"\",""),"]",""),"^",""),"_",""),"`",""),"{",""),"|",""),"}",""),"~",""),CHAR(9),""),CHAR(10),""),CHAR(13),"")," ",""),"")</f>
        <v/>
      </c>
      <c r="CA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9,55))," ",""),"!",""),CHAR(34),""),"#",""),"$",""),"%",""),"&amp;",""),"'",""),"(",""),")",""),"*",""),"+",""),",",""),"-",""),".",""),"/",""),":",""),";",""),"&lt;",""),"=",""),"&gt;",""),"?",""),"@",""),"[",""),"\",""),"]",""),"^",""),"_",""),"`",""),"{",""),"|",""),"}",""),"~",""),CHAR(9),""),CHAR(10),""),CHAR(13),"")," ",""),"")</f>
        <v/>
      </c>
      <c r="CB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9,56))," ",""),"!",""),CHAR(34),""),"#",""),"$",""),"%",""),"&amp;",""),"'",""),"(",""),")",""),"*",""),"+",""),",",""),"-",""),".",""),"/",""),":",""),";",""),"&lt;",""),"=",""),"&gt;",""),"?",""),"@",""),"[",""),"\",""),"]",""),"^",""),"_",""),"`",""),"{",""),"|",""),"}",""),"~",""),CHAR(9),""),CHAR(10),""),CHAR(13),"")," ",""),"")</f>
        <v/>
      </c>
      <c r="CC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9,57))," ",""),"!",""),CHAR(34),""),"#",""),"$",""),"%",""),"&amp;",""),"'",""),"(",""),")",""),"*",""),"+",""),",",""),"-",""),".",""),"/",""),":",""),";",""),"&lt;",""),"=",""),"&gt;",""),"?",""),"@",""),"[",""),"\",""),"]",""),"^",""),"_",""),"`",""),"{",""),"|",""),"}",""),"~",""),CHAR(9),""),CHAR(10),""),CHAR(13),"")," ",""),"")</f>
        <v/>
      </c>
      <c r="CD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9,58))," ",""),"!",""),CHAR(34),""),"#",""),"$",""),"%",""),"&amp;",""),"'",""),"(",""),")",""),"*",""),"+",""),",",""),"-",""),".",""),"/",""),":",""),";",""),"&lt;",""),"=",""),"&gt;",""),"?",""),"@",""),"[",""),"\",""),"]",""),"^",""),"_",""),"`",""),"{",""),"|",""),"}",""),"~",""),CHAR(9),""),CHAR(10),""),CHAR(13),"")," ",""),"")</f>
        <v/>
      </c>
      <c r="CE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9,59))," ",""),"!",""),CHAR(34),""),"#",""),"$",""),"%",""),"&amp;",""),"'",""),"(",""),")",""),"*",""),"+",""),",",""),"-",""),".",""),"/",""),":",""),";",""),"&lt;",""),"=",""),"&gt;",""),"?",""),"@",""),"[",""),"\",""),"]",""),"^",""),"_",""),"`",""),"{",""),"|",""),"}",""),"~",""),CHAR(9),""),CHAR(10),""),CHAR(13),"")," ",""),"")</f>
        <v/>
      </c>
      <c r="CF1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9,60))," ",""),"!",""),CHAR(34),""),"#",""),"$",""),"%",""),"&amp;",""),"'",""),"(",""),")",""),"*",""),"+",""),",",""),"-",""),".",""),"/",""),":",""),";",""),"&lt;",""),"=",""),"&gt;",""),"?",""),"@",""),"[",""),"\",""),"]",""),"^",""),"_",""),"`",""),"{",""),"|",""),"}",""),"~",""),CHAR(9),""),CHAR(10),""),CHAR(13),"")," ",""),"")</f>
        <v/>
      </c>
      <c r="CH13">
        <f>COUNTIF($Y58:$CF58,"&gt;0")</f>
        <v/>
      </c>
      <c r="CI13">
        <f>COUNTIF($Y58:$CF58,2)</f>
        <v/>
      </c>
      <c r="CJ13">
        <f>SUMPRODUCT((COUNTIF($Y103:$CF103,{1,2,3,4,5,6,7,8,9,10,11,12,13,14,15})&gt;0)*{2,4,8,16,32,64,128,256,512,1024,2048,4096,8192,16384,32768})</f>
        <v/>
      </c>
      <c r="CK13">
        <f>CF193</f>
        <v/>
      </c>
      <c r="CL13">
        <f>SUMPRODUCT(MOD(INT(((CJ13+CK13))/{2,4,8,16,32,64,128,256,512,1024,2048,4096,8192,16384,32768}),2))</f>
        <v/>
      </c>
      <c r="CM13">
        <f>IF(CH13&lt;2,-9999,CL13+2*MOD(INT(((CJ13+CK13))/2),2)+2*MOD(INT(((CJ13+CK13))/4),2)-CI13)</f>
        <v/>
      </c>
      <c r="DA13" t="n">
        <v>9</v>
      </c>
      <c r="DB13">
        <f>IF($B$37=0,"",IFERROR(TRIM(SUBSTITUTE(SUBSTITUTE(SUBSTITUTE(SUBSTITUTE(INDEX(PASTE_ALL,9,$B$37)," "," "),CHAR(9)," "),CHAR(10)," "),CHAR(13)," ")),""))</f>
        <v/>
      </c>
      <c r="DC13">
        <f>IF(AND(9&gt;HEADER_ROW,UPPER(DB13)="LEGEND"),1,0)</f>
        <v/>
      </c>
      <c r="DE13" t="n">
        <v>9</v>
      </c>
      <c r="DF13">
        <f>HEADER_ROW+$DE13</f>
        <v/>
      </c>
      <c r="DG13">
        <f>IF(AND($DF13&lt;=1000,$DF13&lt;$B$8),1,0)</f>
        <v/>
      </c>
      <c r="DH13">
        <f>IF($DG13=1,IFERROR(INDEX($DB$5:$DB$1004,$DF13),""),"")</f>
        <v/>
      </c>
      <c r="DI13">
        <f>IF(AND($DG13=1,$DH13&lt;&gt;""),IFERROR(SUBSTITUTE(SUBSTITUTE(TRIM(SUBSTITUTE(SUBSTITUTE(SUBSTITUTE(SUBSTITUTE(IFERROR(INDEX(PASTE_ALL,$DF13,1)&amp;"","")&amp;"␟"&amp;IFERROR(INDEX(PASTE_ALL,$DF13,2)&amp;"","")&amp;"␟"&amp;IFERROR(INDEX(PASTE_ALL,$DF13,3)&amp;"","")&amp;"␟"&amp;IFERROR(INDEX(PASTE_ALL,$DF13,4)&amp;"","")&amp;"␟"&amp;IFERROR(INDEX(PASTE_ALL,$DF13,5)&amp;"","")&amp;"␟"&amp;IFERROR(INDEX(PASTE_ALL,$DF13,6)&amp;"","")&amp;"␟"&amp;IFERROR(INDEX(PASTE_ALL,$DF13,7)&amp;"","")&amp;"␟"&amp;IFERROR(INDEX(PASTE_ALL,$DF13,8)&amp;"","")&amp;"␟"&amp;IFERROR(INDEX(PASTE_ALL,$DF13,9)&amp;"","")&amp;"␟"&amp;IFERROR(INDEX(PASTE_ALL,$DF13,10)&amp;"","")&amp;"␟"&amp;IFERROR(INDEX(PASTE_ALL,$DF13,11)&amp;"","")&amp;"␟"&amp;IFERROR(INDEX(PASTE_ALL,$DF13,12)&amp;"","")&amp;"␟"&amp;IFERROR(INDEX(PASTE_ALL,$DF13,13)&amp;"","")&amp;"␟"&amp;IFERROR(INDEX(PASTE_ALL,$DF13,14)&amp;"","")&amp;"␟"&amp;IFERROR(INDEX(PASTE_ALL,$DF13,15)&amp;"","")&amp;"␟"&amp;IFERROR(INDEX(PASTE_ALL,$DF13,16)&amp;"","")&amp;"␟"&amp;IFERROR(INDEX(PASTE_ALL,$DF13,17)&amp;"","")&amp;"␟"&amp;IFERROR(INDEX(PASTE_ALL,$DF13,18)&amp;"","")&amp;"␟"&amp;IFERROR(INDEX(PASTE_ALL,$DF13,19)&amp;"","")&amp;"␟"&amp;IFERROR(INDEX(PASTE_ALL,$DF13,20)&amp;"","")&amp;"␟"&amp;IFERROR(INDEX(PASTE_ALL,$DF13,21)&amp;"","")&amp;"␟"&amp;IFERROR(INDEX(PASTE_ALL,$DF13,22)&amp;"","")&amp;"␟"&amp;IFERROR(INDEX(PASTE_ALL,$DF13,23)&amp;"","")&amp;"␟"&amp;IFERROR(INDEX(PASTE_ALL,$DF13,24)&amp;"","")&amp;"␟"&amp;IFERROR(INDEX(PASTE_ALL,$DF13,25)&amp;"","")&amp;"␟"&amp;IFERROR(INDEX(PASTE_ALL,$DF13,26)&amp;"","")&amp;"␟"&amp;IFERROR(INDEX(PASTE_ALL,$DF13,27)&amp;"","")&amp;"␟"&amp;IFERROR(INDEX(PASTE_ALL,$DF13,28)&amp;"","")&amp;"␟"&amp;IFERROR(INDEX(PASTE_ALL,$DF13,29)&amp;"","")&amp;"␟"&amp;IFERROR(INDEX(PASTE_ALL,$DF13,30)&amp;"","")&amp;"␟"&amp;IFERROR(INDEX(PASTE_ALL,$DF13,31)&amp;"","")&amp;"␟"&amp;IFERROR(INDEX(PASTE_ALL,$DF13,32)&amp;"","")&amp;"␟"&amp;IFERROR(INDEX(PASTE_ALL,$DF13,33)&amp;"","")&amp;"␟"&amp;IFERROR(INDEX(PASTE_ALL,$DF13,34)&amp;"","")&amp;"␟"&amp;IFERROR(INDEX(PASTE_ALL,$DF13,35)&amp;"","")&amp;"␟"&amp;IFERROR(INDEX(PASTE_ALL,$DF13,36)&amp;"","")&amp;"␟"&amp;IFERROR(INDEX(PASTE_ALL,$DF13,37)&amp;"","")&amp;"␟"&amp;IFERROR(INDEX(PASTE_ALL,$DF13,38)&amp;"","")&amp;"␟"&amp;IFERROR(INDEX(PASTE_ALL,$DF13,39)&amp;"","")&amp;"␟"&amp;IFERROR(INDEX(PASTE_ALL,$DF13,40)&amp;"","")&amp;"␟"&amp;IFERROR(INDEX(PASTE_ALL,$DF13,41)&amp;"","")&amp;"␟"&amp;IFERROR(INDEX(PASTE_ALL,$DF13,42)&amp;"","")&amp;"␟"&amp;IFERROR(INDEX(PASTE_ALL,$DF13,43)&amp;"","")&amp;"␟"&amp;IFERROR(INDEX(PASTE_ALL,$DF13,44)&amp;"","")&amp;"␟"&amp;IFERROR(INDEX(PASTE_ALL,$DF13,45)&amp;"","")&amp;"␟"&amp;IFERROR(INDEX(PASTE_ALL,$DF13,46)&amp;"","")&amp;"␟"&amp;IFERROR(INDEX(PASTE_ALL,$DF13,47)&amp;"","")&amp;"␟"&amp;IFERROR(INDEX(PASTE_ALL,$DF13,48)&amp;"","")&amp;"␟"&amp;IFERROR(INDEX(PASTE_ALL,$DF13,49)&amp;"","")&amp;"␟"&amp;IFERROR(INDEX(PASTE_ALL,$DF13,50)&amp;"","")&amp;"␟"&amp;IFERROR(INDEX(PASTE_ALL,$DF13,51)&amp;"","")&amp;"␟"&amp;IFERROR(INDEX(PASTE_ALL,$DF13,52)&amp;"","")&amp;"␟"&amp;IFERROR(INDEX(PASTE_ALL,$DF13,53)&amp;"","")&amp;"␟"&amp;IFERROR(INDEX(PASTE_ALL,$DF13,54)&amp;"","")&amp;"␟"&amp;IFERROR(INDEX(PASTE_ALL,$DF13,55)&amp;"","")&amp;"␟"&amp;IFERROR(INDEX(PASTE_ALL,$DF13,56)&amp;"","")&amp;"␟"&amp;IFERROR(INDEX(PASTE_ALL,$DF13,57)&amp;"","")&amp;"␟"&amp;IFERROR(INDEX(PASTE_ALL,$DF13,58)&amp;"","")&amp;"␟"&amp;IFERROR(INDEX(PASTE_ALL,$DF13,59)&amp;"","")&amp;"␟"&amp;IFERROR(INDEX(PASTE_ALL,$DF13,60)&amp;"","")," "," "),CHAR(9)," "),CHAR(10)," "),CHAR(13)," "))," ␟","␟"),"␟ ","␟"),"#"&amp;$DE13),"")</f>
        <v/>
      </c>
      <c r="DJ13">
        <f>IF($DI13="",0,IF(SUMPRODUCT(--EXACT($DI$4:DI12,$DI13))&gt;0,1,0))</f>
        <v/>
      </c>
      <c r="DK13">
        <f>IF(AND($DI13&lt;&gt;"",$DJ13=0),1,0)</f>
        <v/>
      </c>
      <c r="DL13">
        <f>DL12+$DK13</f>
        <v/>
      </c>
      <c r="DM13">
        <f>IF(AND($DK13=1,$DL13&lt;=600),1,0)</f>
        <v/>
      </c>
      <c r="DN13">
        <f>IF($DM13=0,"",IF($L$6=0,"",IFERROR(IF(ISNUMBER(INDEX(PASTE_ALL,$DF13,$L$6)),INDEX(PASTE_ALL,$DF13,$L$6),TRIM(SUBSTITUTE(SUBSTITUTE(SUBSTITUTE(SUBSTITUTE(INDEX(PASTE_ALL,$DF13,$L$6)," "," "),CHAR(9)," "),CHAR(10)," "),CHAR(13)," "))),"")))</f>
        <v/>
      </c>
      <c r="DO13">
        <f>IF($DM13=0,"",IF($L$7=0,"",IFERROR(IF(ISNUMBER(INDEX(PASTE_ALL,$DF13,$L$7)),INDEX(PASTE_ALL,$DF13,$L$7),TRIM(SUBSTITUTE(SUBSTITUTE(SUBSTITUTE(SUBSTITUTE(INDEX(PASTE_ALL,$DF13,$L$7)," "," "),CHAR(9)," "),CHAR(10)," "),CHAR(13)," "))),"")))</f>
        <v/>
      </c>
      <c r="DP13">
        <f>IF($DM13=0,"",IF($L$8=0,"",IFERROR(IF(ISNUMBER(INDEX(PASTE_ALL,$DF13,$L$8)),INDEX(PASTE_ALL,$DF13,$L$8),TRIM(SUBSTITUTE(SUBSTITUTE(SUBSTITUTE(SUBSTITUTE(INDEX(PASTE_ALL,$DF13,$L$8)," "," "),CHAR(9)," "),CHAR(10)," "),CHAR(13)," "))),"")))</f>
        <v/>
      </c>
      <c r="DQ13">
        <f>IF($DM13=0,"",IF($L$9=0,"",IFERROR(IF(ISNUMBER(INDEX(PASTE_ALL,$DF13,$L$9)),INDEX(PASTE_ALL,$DF13,$L$9),TRIM(SUBSTITUTE(SUBSTITUTE(SUBSTITUTE(SUBSTITUTE(INDEX(PASTE_ALL,$DF13,$L$9)," "," "),CHAR(9)," "),CHAR(10)," "),CHAR(13)," "))),"")))</f>
        <v/>
      </c>
      <c r="DR13">
        <f>IF($DM13=0,"",IF($L$10=0,"",IFERROR(IF(ISNUMBER(INDEX(PASTE_ALL,$DF13,$L$10)),INDEX(PASTE_ALL,$DF13,$L$10),TRIM(SUBSTITUTE(SUBSTITUTE(SUBSTITUTE(SUBSTITUTE(INDEX(PASTE_ALL,$DF13,$L$10)," "," "),CHAR(9)," "),CHAR(10)," "),CHAR(13)," "))),"")))</f>
        <v/>
      </c>
      <c r="DS13">
        <f>IF($DM13=0,"",IF($L$11=0,"",IFERROR(IF(ISNUMBER(INDEX(PASTE_ALL,$DF13,$L$11)),INDEX(PASTE_ALL,$DF13,$L$11),TRIM(SUBSTITUTE(SUBSTITUTE(SUBSTITUTE(SUBSTITUTE(INDEX(PASTE_ALL,$DF13,$L$11)," "," "),CHAR(9)," "),CHAR(10)," "),CHAR(13)," "))),"")))</f>
        <v/>
      </c>
      <c r="DT13">
        <f>IF($DM13=0,"",IF($L$12=0,"",IFERROR(IF(ISNUMBER(INDEX(PASTE_ALL,$DF13,$L$12)),INDEX(PASTE_ALL,$DF13,$L$12),TRIM(SUBSTITUTE(SUBSTITUTE(SUBSTITUTE(SUBSTITUTE(INDEX(PASTE_ALL,$DF13,$L$12)," "," "),CHAR(9)," "),CHAR(10)," "),CHAR(13)," "))),"")))</f>
        <v/>
      </c>
      <c r="DU13">
        <f>IF($DM13=0,"",IF($L$13=0,"",IFERROR(IF(ISNUMBER(INDEX(PASTE_ALL,$DF13,$L$13)),INDEX(PASTE_ALL,$DF13,$L$13),TRIM(SUBSTITUTE(SUBSTITUTE(SUBSTITUTE(SUBSTITUTE(INDEX(PASTE_ALL,$DF13,$L$13)," "," "),CHAR(9)," "),CHAR(10)," "),CHAR(13)," "))),"")))</f>
        <v/>
      </c>
      <c r="DV13">
        <f>IF($DM13=0,"",IF($L$14=0,"",IFERROR(IF(ISNUMBER(INDEX(PASTE_ALL,$DF13,$L$14)),INDEX(PASTE_ALL,$DF13,$L$14),TRIM(SUBSTITUTE(SUBSTITUTE(SUBSTITUTE(SUBSTITUTE(INDEX(PASTE_ALL,$DF13,$L$14)," "," "),CHAR(9)," "),CHAR(10)," "),CHAR(13)," "))),"")))</f>
        <v/>
      </c>
      <c r="DW13">
        <f>IF($DM13=0,"",IF($L$15=0,"",IFERROR(IF(ISNUMBER(INDEX(PASTE_ALL,$DF13,$L$15)),INDEX(PASTE_ALL,$DF13,$L$15),IF(SUMPRODUCT(--ISNUMBER(FIND({"A","B","C","D","E","F","G","H","I","J","K","L","M","N","O","P","Q","R","S","T","U","V","W","X","Y","Z","0","1","2","3","4","5","6","7","8","9"},UPPER(TRIM(SUBSTITUTE(SUBSTITUTE(SUBSTITUTE(SUBSTITUTE(INDEX(PASTE_ALL,$DF13,$L$15)," "," "),CHAR(9)," "),CHAR(10)," "),CHAR(13)," "))))))&gt;0,TRIM(SUBSTITUTE(SUBSTITUTE(SUBSTITUTE(SUBSTITUTE(INDEX(PASTE_ALL,$DF13,$L$15)," "," "),CHAR(9)," "),CHAR(10)," "),CHAR(13)," ")),"")),"")))</f>
        <v/>
      </c>
      <c r="DX13">
        <f>IF($DM13=0,"",IF($L$16=0,"",IFERROR(IF(ISNUMBER(INDEX(PASTE_ALL,$DF13,$L$16)),INDEX(PASTE_ALL,$DF13,$L$16),SUBSTITUTE(SUBSTITUTE(TRIM(SUBSTITUTE(SUBSTITUTE(SUBSTITUTE(SUBSTITUTE(INDEX(PASTE_ALL,$DF13,$L$16)," "," "),CHAR(9)," "),CHAR(10)," "),CHAR(13)," ")),",",""),"%","")),"")))</f>
        <v/>
      </c>
      <c r="DY13">
        <f>IF($DM13=0,"",IFERROR(IF(ISNUMBER($DX13),$DX13,IF($DX13="","",IF(TRIM($DX13)="",0,IF(AND(AND(SUBSTITUTE(SUBSTITUTE(SUBSTITUTE(SUBSTITUTE(SUBSTITUTE(SUBSTITUTE(SUBSTITUTE(SUBSTITUTE(SUBSTITUTE(SUBSTITUTE(SUBSTITUTE(SUBSTITUTE(SUBSTITUTE(SUBSTITUTE(UPPER(TRIM($DX13)),"0",""),"1",""),"2",""),"3",""),"4",""),"5",""),"6",""),"7",""),"8",""),"9",""),".",""),"+",""),"-",""),"E","")="",LEN(SUBSTITUTE(SUBSTITUTE(MID(UPPER(TRIM($DX13)),1+OR(LEFT(UPPER(TRIM($DX13)),1)="+",LEFT(UPPER(TRIM($DX13)),1)="-"),999),"E+","E"),"E-","E"))=LEN(SUBSTITUTE(SUBSTITUTE(SUBSTITUTE(SUBSTITUTE(MID(UPPER(TRIM($DX13)),1+OR(LEFT(UPPER(TRIM($DX13)),1)="+",LEFT(UPPER(TRIM($DX13)),1)="-"),999),"E+","E"),"E-","E"),"+",""),"-","")),LEN(UPPER(TRIM($DX13)))-LEN(SUBSTITUTE(UPPER(TRIM($DX13)),"E",""))&lt;2,LEN(UPPER(TRIM($DX13)))-LEN(SUBSTITUTE(UPPER(TRIM($DX13)),".",""))&lt;2,IFERROR(FIND(".",UPPER(TRIM($DX13))),0)&lt;IFERROR(FIND("E",UPPER(TRIM($DX13))),999)),ISNUMBER(VALUE(TRIM($DX13)))),VALUE(TRIM($DX13)),"")))),""))</f>
        <v/>
      </c>
      <c r="DZ13">
        <f>IF($DM13=0,"",IF($L$17=0,"",IFERROR(IF(ISNUMBER(INDEX(PASTE_ALL,$DF13,$L$17)),INDEX(PASTE_ALL,$DF13,$L$17),SUBSTITUTE(SUBSTITUTE(TRIM(SUBSTITUTE(SUBSTITUTE(SUBSTITUTE(SUBSTITUTE(INDEX(PASTE_ALL,$DF13,$L$17)," "," "),CHAR(9)," "),CHAR(10)," "),CHAR(13)," ")),",",""),"%","")),"")))</f>
        <v/>
      </c>
      <c r="EA13">
        <f>IF($DM13=0,"",IFERROR(IF(ISNUMBER($DZ13),$DZ13,IF($DZ13="","",IF(TRIM($DZ13)="",0,IF(AND(AND(SUBSTITUTE(SUBSTITUTE(SUBSTITUTE(SUBSTITUTE(SUBSTITUTE(SUBSTITUTE(SUBSTITUTE(SUBSTITUTE(SUBSTITUTE(SUBSTITUTE(SUBSTITUTE(SUBSTITUTE(SUBSTITUTE(SUBSTITUTE(UPPER(TRIM($DZ13)),"0",""),"1",""),"2",""),"3",""),"4",""),"5",""),"6",""),"7",""),"8",""),"9",""),".",""),"+",""),"-",""),"E","")="",LEN(SUBSTITUTE(SUBSTITUTE(MID(UPPER(TRIM($DZ13)),1+OR(LEFT(UPPER(TRIM($DZ13)),1)="+",LEFT(UPPER(TRIM($DZ13)),1)="-"),999),"E+","E"),"E-","E"))=LEN(SUBSTITUTE(SUBSTITUTE(SUBSTITUTE(SUBSTITUTE(MID(UPPER(TRIM($DZ13)),1+OR(LEFT(UPPER(TRIM($DZ13)),1)="+",LEFT(UPPER(TRIM($DZ13)),1)="-"),999),"E+","E"),"E-","E"),"+",""),"-","")),LEN(UPPER(TRIM($DZ13)))-LEN(SUBSTITUTE(UPPER(TRIM($DZ13)),"E",""))&lt;2,LEN(UPPER(TRIM($DZ13)))-LEN(SUBSTITUTE(UPPER(TRIM($DZ13)),".",""))&lt;2,IFERROR(FIND(".",UPPER(TRIM($DZ13))),0)&lt;IFERROR(FIND("E",UPPER(TRIM($DZ13))),999)),ISNUMBER(VALUE(TRIM($DZ13)))),VALUE(TRIM($DZ13)),"")))),""))</f>
        <v/>
      </c>
      <c r="EB13">
        <f>IF($DM13=0,"",IF($L$18=0,"",IFERROR(IF(UPPER(TRIM(SUBSTITUTE(SUBSTITUTE(SUBSTITUTE(SUBSTITUTE(INDEX(PASTE_ALL,$DF13,$L$18)," "," "),CHAR(9)," "),CHAR(10)," "),CHAR(13)," ")))="READY","Ready",IF(UPPER(TRIM(SUBSTITUTE(SUBSTITUTE(SUBSTITUTE(SUBSTITUTE(INDEX(PASTE_ALL,$DF13,$L$18)," "," "),CHAR(9)," "),CHAR(10)," "),CHAR(13)," ")))="PM","PM",IF(OR(UPPER(TRIM(SUBSTITUTE(SUBSTITUTE(SUBSTITUTE(SUBSTITUTE(INDEX(PASTE_ALL,$DF13,$L$18)," "," "),CHAR(9)," "),CHAR(10)," "),CHAR(13)," ")))="OT",UPPER(TRIM(SUBSTITUTE(SUBSTITUTE(SUBSTITUTE(SUBSTITUTE(INDEX(PASTE_ALL,$DF13,$L$18)," "," "),CHAR(9)," "),CHAR(10)," "),CHAR(13)," ")))="OVERTIME",UPPER(TRIM(SUBSTITUTE(SUBSTITUTE(SUBSTITUTE(SUBSTITUTE(INDEX(PASTE_ALL,$DF13,$L$18)," "," "),CHAR(9)," "),CHAR(10)," "),CHAR(13)," ")))="TRIAL"),"OT",TRIM(SUBSTITUTE(SUBSTITUTE(SUBSTITUTE(SUBSTITUTE(INDEX(PASTE_ALL,$DF13,$L$18)," "," "),CHAR(9)," "),CHAR(10)," "),CHAR(13)," "))))),"")))</f>
        <v/>
      </c>
      <c r="EC13">
        <f>IF($DM13=0,"",IF($L$19=0,"",IFERROR(IF(ISNUMBER(INDEX(PASTE_ALL,$DF13,$L$19)),INDEX(PASTE_ALL,$DF13,$L$19),TRIM(SUBSTITUTE(SUBSTITUTE(SUBSTITUTE(SUBSTITUTE(INDEX(PASTE_ALL,$DF13,$L$19)," "," "),CHAR(9)," "),CHAR(10)," "),CHAR(13)," "))),"")))</f>
        <v/>
      </c>
      <c r="ED13">
        <f>IF($DM13=0,"",MATCH(1,INDEX(EXACT($DH$5:DH13,$DH13)*$DM$5:DM13,0),0))</f>
        <v/>
      </c>
      <c r="EE13">
        <f>IF($DM13=0,0,IF($ED13=$DE13,1,0))</f>
        <v/>
      </c>
      <c r="EF13">
        <f>EF12+$EE13</f>
        <v/>
      </c>
      <c r="EG13">
        <f>IF($DM13=0,"",INDEX($EF$5:$EF$1003,$ED13))</f>
        <v/>
      </c>
      <c r="EH13">
        <f>IF($DM13=0,"",IF($DO13&lt;&gt;"","",IFERROR(LOOKUP(2,1/(($EG$4:EG12=$EG13)*($DO$4:DO12&lt;&gt;"")),$DO$4:DO12),"")))</f>
        <v/>
      </c>
      <c r="EI13">
        <f>IF($DM13=0,"",IF($DO13&lt;&gt;"",$DO13,$EH13))</f>
        <v/>
      </c>
      <c r="EJ13">
        <f>IF($DM13=0,"",IF($EI13="",0,IF(OR(ISNUMBER($EI13),AND(AND(SUBSTITUTE(SUBSTITUTE(SUBSTITUTE(SUBSTITUTE(SUBSTITUTE(SUBSTITUTE(SUBSTITUTE(SUBSTITUTE(SUBSTITUTE(SUBSTITUTE(SUBSTITUTE(SUBSTITUTE(SUBSTITUTE(SUBSTITUTE(UPPER($EI13),"0",""),"1",""),"2",""),"3",""),"4",""),"5",""),"6",""),"7",""),"8",""),"9",""),".",""),"+",""),"-",""),"E","")="",LEN(SUBSTITUTE(SUBSTITUTE(MID(UPPER($EI13),1+OR(LEFT(UPPER($EI13),1)="+",LEFT(UPPER($EI13),1)="-"),999),"E+","E"),"E-","E"))=LEN(SUBSTITUTE(SUBSTITUTE(SUBSTITUTE(SUBSTITUTE(MID(UPPER($EI13),1+OR(LEFT(UPPER($EI13),1)="+",LEFT(UPPER($EI13),1)="-"),999),"E+","E"),"E-","E"),"+",""),"-","")),LEN(UPPER($EI13))-LEN(SUBSTITUTE(UPPER($EI13),"E",""))&lt;2,LEN(UPPER($EI13))-LEN(SUBSTITUTE(UPPER($EI13),".",""))&lt;2,IFERROR(FIND(".",UPPER($EI13)),0)&lt;IFERROR(FIND("E",UPPER($EI13)),999)),ISNUMBER(VALUE($EI13)))),1,2)))</f>
        <v/>
      </c>
      <c r="EK13">
        <f>IF($DM13=0,"",IF($EJ13=1,IF(ISNUMBER($EI13),$EI13,VALUE($EI13)),IF($EJ13=2,$DE13,0)))</f>
        <v/>
      </c>
      <c r="EL13">
        <f>IF($DM13=0,"",COUNTIF($EG$5:$EG$1003,"&lt;"&amp;$EG13)+SUMPRODUCT(($EG$5:$EG$1003=$EG13)*(($EJ$5:$EJ$1003&lt;$EJ13)+($EJ$5:$EJ$1003=$EJ13)*(($EK$5:$EK$1003&lt;$EK13)+($EK$5:$EK$1003=$EK13)*($DE$5:$DE$1003&lt;$DE13))))+1)</f>
        <v/>
      </c>
      <c r="EM13">
        <f>IF($DM13=0,"",$EL13+$EG13-1)</f>
        <v/>
      </c>
      <c r="EN13">
        <f>IF($DM13=0,0,IFERROR(MATCH(1,INDEX(--(TRIM(SUBSTITUTE(SUBSTITUTE(SUBSTITUTE(SUBSTITUTE(LINES_NAME&amp;""," "," "),CHAR(9)," "),CHAR(10)," "),CHAR(13)," "))=$DH13),0),0),0))</f>
        <v/>
      </c>
      <c r="EO13">
        <f>IF($EN13=0,0,IF(OR(UPPER(TRIM(INDEX(LINES_SCHEDULED,$EN13)&amp;""))="YES",UPPER(TRIM(INDEX(LINES_SCHEDULED,$EN13)&amp;""))="Y",UPPER(TRIM(INDEX(LINES_SCHEDULED,$EN13)&amp;""))="X"),1,0))</f>
        <v/>
      </c>
      <c r="EP13">
        <f>IF($DM13=0,"",IF(COUNTIFS($EG$5:$EG$1003,$EG13,$EB$5:$EB$1003,"Ready")&gt;0,"READY",IF(COUNTIFS($EG$5:$EG$1003,$EG13,$EB$5:$EB$1003,"PM")&gt;0,"PM",IF(COUNTIFS($EG$5:$EG$1003,$EG13,$EB$5:$EB$1003,"OT")&gt;0,"OT",""))))</f>
        <v/>
      </c>
      <c r="EQ13">
        <f>IF($EN13=0,"",UPPER(TRIM(INDEX(LINES_STATUS,$EN13)&amp;"")))</f>
        <v/>
      </c>
      <c r="ER13">
        <f>IF($DM13=0,"",IF(OR($EQ13="READY",$EQ13="PM",$EQ13="OT"),$EQ13,$EP13))</f>
        <v/>
      </c>
      <c r="ES13">
        <f>IF($DM13=0,"",IF(AND($DV13&lt;&gt;"",UPPER($DV13)&lt;&gt;"N"),"allergen",IF(ISNUMBER(SEARCH("oil",$DQ13)),"oil",IF(OR(EXACT($DS13,"A662"),EXACT($DS13,"A624")),"bulk",""))))</f>
        <v/>
      </c>
      <c r="ET13">
        <f>IF($DM13=0,"",IF(OR($EA13="",$EA13=0),"",$EA13/100))</f>
        <v/>
      </c>
      <c r="EU13">
        <f>IF(OR($ET13="",$DY13=""),"",INT($DY13*(1-$ET13)+0.5))</f>
        <v/>
      </c>
      <c r="EW13" t="n">
        <v>9</v>
      </c>
      <c r="EX13">
        <f>IFERROR(MATCH($EW13,$EM$5:$EM$1003,0),0)</f>
        <v/>
      </c>
      <c r="EY13">
        <f>IF($EW13&gt;$B$12,"",IF($EX13&gt;0,"row","spacer"))</f>
        <v/>
      </c>
      <c r="EZ13">
        <f>IF(AND($EY13="row",$EY12&lt;&gt;"row"),1,0)</f>
        <v/>
      </c>
      <c r="FA13">
        <f>IF(AND($EY13="row",$EY14&lt;&gt;"row"),1,0)</f>
        <v/>
      </c>
      <c r="FB13">
        <f>IF($EZ13=1,IFERROR(IF(ISNUMBER(INDEX(PASTE_ALL,INDEX($DF$5:$DF$1003,$EX13),$B$37)),INDEX(PASTE_ALL,INDEX($DF$5:$DF$1003,$EX13),$B$37),INDEX($DH$5:$DH$1003,$EX13)),INDEX($DH$5:$DH$1003,$EX13)),"")</f>
        <v/>
      </c>
      <c r="FC13">
        <f>IF($EY13="row",INDEX($ER$5:$ER$1003,$EX13),"")</f>
        <v/>
      </c>
      <c r="FD13">
        <f>IF($EY13="row",INDEX($DN$5:$DN$1003,$EX13),"")</f>
        <v/>
      </c>
      <c r="FE13">
        <f>IF($EY13="row",INDEX($DO$5:$DO$1003,$EX13),"")</f>
        <v/>
      </c>
      <c r="FF13">
        <f>IF($EY13="row",INDEX($DP$5:$DP$1003,$EX13),"")</f>
        <v/>
      </c>
      <c r="FG13">
        <f>IF($EY13="row",INDEX($DQ$5:$DQ$1003,$EX13),"")</f>
        <v/>
      </c>
      <c r="FH13">
        <f>IF($EY13="row",INDEX($DR$5:$DR$1003,$EX13),"")</f>
        <v/>
      </c>
      <c r="FI13">
        <f>IF($EY13="row",INDEX($DS$5:$DS$1003,$EX13),"")</f>
        <v/>
      </c>
      <c r="FJ13">
        <f>IF($EY13="row",INDEX($DT$5:$DT$1003,$EX13),"")</f>
        <v/>
      </c>
      <c r="FK13">
        <f>IF($EY13="row",INDEX($DU$5:$DU$1003,$EX13),"")</f>
        <v/>
      </c>
      <c r="FL13">
        <f>IF($EY13="row",INDEX($DV$5:$DV$1003,$EX13),"")</f>
        <v/>
      </c>
      <c r="FM13">
        <f>IF($EY13="row",INDEX($DW$5:$DW$1003,$EX13),"")</f>
        <v/>
      </c>
      <c r="FN13">
        <f>IF($EY13="row",INDEX($DY$5:$DY$1003,$EX13),"")</f>
        <v/>
      </c>
      <c r="FO13">
        <f>IF($EY13="row",INDEX($EA$5:$EA$1003,$EX13),"")</f>
        <v/>
      </c>
      <c r="FP13">
        <f>IF($EY13="row",INDEX($EC$5:$EC$1003,$EX13),"")</f>
        <v/>
      </c>
      <c r="FQ13">
        <f>IF($EY13="row",INDEX($ET$5:$ET$1003,$EX13),"")</f>
        <v/>
      </c>
      <c r="FR13">
        <f>IF($EY13="row",INDEX($EU$5:$EU$1003,$EX13),"")</f>
        <v/>
      </c>
      <c r="FS13">
        <f>IF(AND($EY13="row",$EY12="row"),IF(OR(INDEX($DT$5:$DT$1003,$EX12)="",INDEX($DT$5:$DT$1003,$EX13)=""),"",IF(NOT(EXACT(INDEX($DT$5:$DT$1003,$EX12),INDEX($DT$5:$DT$1003,$EX13))),"S4",IF(NOT(EXACT(INDEX($DS$5:$DS$1003,$EX12),INDEX($DS$5:$DS$1003,$EX13))),"S3",IF(NOT(EXACT(INDEX($DR$5:$DR$1003,$EX12),INDEX($DR$5:$DR$1003,$EX13))),"S1 Count Change","S1")))),"")</f>
        <v/>
      </c>
      <c r="FT13">
        <f>IF($EY13="row",INDEX($ES$5:$ES$1003,$EX13),"")</f>
        <v/>
      </c>
      <c r="FU13">
        <f>IF($EY13="row",INDEX($EO$5:$EO$1003,$EX13),0)</f>
        <v/>
      </c>
      <c r="FV13">
        <f>IF($FS13="S1 Count Change",1,0)</f>
        <v/>
      </c>
      <c r="FX13" t="n">
        <v>9</v>
      </c>
      <c r="FY13">
        <f>IFERROR(MATCH($FX13,$EF$5:$EF$1003,0),0)</f>
        <v/>
      </c>
      <c r="FZ13">
        <f>IF($FY13=0,"",INDEX($DH$5:$DH$1003,$FY13))</f>
        <v/>
      </c>
      <c r="GA13">
        <f>IF($FY13=0,"",COUNTIF($EG$5:$EG$1003,$FX13))</f>
        <v/>
      </c>
      <c r="GB13">
        <f>IF($FY13=0,"",INDEX($ER$5:$ER$1003,$FY13))</f>
        <v/>
      </c>
      <c r="GC13">
        <f>IF($FY13=0,"",IF(INDEX($EO$5:$EO$1003,$FY13)=1,"Yes",""))</f>
        <v/>
      </c>
      <c r="GD13">
        <f>IF($FY13=0,"",IF(INDEX($EN$5:$EN$1003,$FY13)&gt;0,"","NOT IN YOUR LIST - type it in column A to tick it"))</f>
        <v/>
      </c>
      <c r="GE13">
        <f>IF(AND($FY13&gt;0,$GD13&lt;&gt;""),1,0)</f>
        <v/>
      </c>
      <c r="GF13">
        <f>GF12+$GE13</f>
        <v/>
      </c>
      <c r="GG13">
        <f>IFERROR(INDEX($FZ$5:$FZ$104,MATCH($FX13,$GF$5:$GF$104,0)),"")</f>
        <v/>
      </c>
    </row>
    <row r="14">
      <c r="A14" t="inlineStr">
        <is>
          <t>Last print row</t>
        </is>
      </c>
      <c r="B14">
        <f>2+$B$13</f>
        <v/>
      </c>
      <c r="D14" t="n">
        <v>10</v>
      </c>
      <c r="E14" t="inlineStr">
        <is>
          <t>allergen</t>
        </is>
      </c>
      <c r="F14" t="inlineStr">
        <is>
          <t>Allergen</t>
        </is>
      </c>
      <c r="G14" t="n">
        <v>1024</v>
      </c>
      <c r="H14">
        <f>IFERROR(UPPER(TRIM('2. Check Columns'!$F$22&amp;"")),"#")</f>
        <v/>
      </c>
      <c r="I14">
        <f>IF(H14="",0,IF(OR(H14="-",H14="NONE"),-1,IFERROR(MATCH(1,INDEX(--EXACT($T$5:$T$64,H14),0),0),-2)))</f>
        <v/>
      </c>
      <c r="J14">
        <f>IF(I14&lt;=0,IF(I14=-1,-1,0),IF(COUNTIF($I$5:I13,I14)&gt;0,0,I14))</f>
        <v/>
      </c>
      <c r="K14">
        <f>IFERROR(MATCH(10,$Y$235:$CF$235,0),0)</f>
        <v/>
      </c>
      <c r="L14">
        <f>IFERROR(MATCH(10,$Y$239:$CF$239,0),0)</f>
        <v/>
      </c>
      <c r="M14">
        <f>IF(K14=0,"(not found)",INDEX($T$5:$T$64,K14))</f>
        <v/>
      </c>
      <c r="N14">
        <f>IF(L14=0,IF(J14=-1,"(left out)","(none)"),INDEX($T$5:$T$64,L14))</f>
        <v/>
      </c>
      <c r="O14">
        <f>IF(L14=0,"",IFERROR(TRIM(SUBSTITUTE(SUBSTITUTE(SUBSTITUTE(SUBSTITUTE(INDEX(PASTE_ALL,HEADER_ROW,L14)&amp;""," "," "),CHAR(9)," "),CHAR(10)," "),CHAR(13)," ")),""))</f>
        <v/>
      </c>
      <c r="P14">
        <f>IF(OR(L14=0,$B$16=0),"",IFERROR(IF(ISNUMBER(INDEX(PASTE_ALL,$B$16,L14)),INDEX(PASTE_ALL,$B$16,L14),TRIM(SUBSTITUTE(SUBSTITUTE(SUBSTITUTE(SUBSTITUTE(INDEX(PASTE_ALL,$B$16,L14)&amp;""," "," "),CHAR(9)," "),CHAR(10)," "),CHAR(13)," "))),""))</f>
        <v/>
      </c>
      <c r="Q14">
        <f>IF(I14=-2,"'"&amp;H14&amp;"' is not a column letter from A to BH - ignored",IF(AND(I14&gt;0,J14=0),"Column "&amp;H14&amp;" is already used by "&amp;INDEX($F$5:$F$19,MATCH(I14,$I$5:$I$19,0))&amp;" - ignored",IF(AND(J14=0,K14&gt;0,COUNTIF($J$5:$J$19,K14)&gt;0),"Column "&amp;M14&amp;" is used by "&amp;INDEX($F$5:$F$19,MATCH(K14,$J$5:$J$19,0))&amp;" (Override)"&amp;IF(L14&gt;0," - using column "&amp;N14&amp;" instead"," - not used"),IF(AND(J14&gt;0,K14&gt;0,J14&lt;&gt;K14),"Override in use - this file's own title for it is in column "&amp;M14&amp;" ("&amp;IFERROR(TRIM(SUBSTITUTE(SUBSTITUTE(SUBSTITUTE(SUBSTITUTE(INDEX(PASTE_ALL,HEADER_ROW,K14)&amp;""," "," "),CHAR(9)," "),CHAR(10)," "),CHAR(13)," ")),"")&amp;"). Clear the Override if that is right.",IF(AND(J14=-1,K14&gt;0),"Left out by the Override - this file has it in column "&amp;M14&amp;" ("&amp;IFERROR(TRIM(SUBSTITUTE(SUBSTITUTE(SUBSTITUTE(SUBSTITUTE(INDEX(PASTE_ALL,HEADER_ROW,K14)&amp;""," "," "),CHAR(9)," "),CHAR(10)," "),CHAR(13)," ")),"")&amp;").","")))))</f>
        <v/>
      </c>
      <c r="R14">
        <f>IF(OR(AND(J14&gt;0,K14&gt;0,J14&lt;&gt;K14),AND(J14=-1,K14&gt;0),AND(J14=0,K14&gt;0,COUNTIF($J$5:$J$19,K14)&gt;0)),1,0)</f>
        <v/>
      </c>
      <c r="S14" t="n">
        <v>10</v>
      </c>
      <c r="T14" t="inlineStr">
        <is>
          <t>J</t>
        </is>
      </c>
      <c r="V14" t="inlineStr">
        <is>
          <t>WONO</t>
        </is>
      </c>
      <c r="W14" t="n">
        <v>2</v>
      </c>
      <c r="Y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 ",""),"!",""),CHAR(34),""),"#",""),"$",""),"%",""),"&amp;",""),"'",""),"(",""),")",""),"*",""),"+",""),",",""),"-",""),".",""),"/",""),":",""),";",""),"&lt;",""),"=",""),"&gt;",""),"?",""),"@",""),"[",""),"\",""),"]",""),"^",""),"_",""),"`",""),"{",""),"|",""),"}",""),"~",""),CHAR(9),""),CHAR(10),""),CHAR(13),"")," ",""),"")</f>
        <v/>
      </c>
      <c r="Z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 ",""),"!",""),CHAR(34),""),"#",""),"$",""),"%",""),"&amp;",""),"'",""),"(",""),")",""),"*",""),"+",""),",",""),"-",""),".",""),"/",""),":",""),";",""),"&lt;",""),"=",""),"&gt;",""),"?",""),"@",""),"[",""),"\",""),"]",""),"^",""),"_",""),"`",""),"{",""),"|",""),"}",""),"~",""),CHAR(9),""),CHAR(10),""),CHAR(13),"")," ",""),"")</f>
        <v/>
      </c>
      <c r="AA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 ",""),"!",""),CHAR(34),""),"#",""),"$",""),"%",""),"&amp;",""),"'",""),"(",""),")",""),"*",""),"+",""),",",""),"-",""),".",""),"/",""),":",""),";",""),"&lt;",""),"=",""),"&gt;",""),"?",""),"@",""),"[",""),"\",""),"]",""),"^",""),"_",""),"`",""),"{",""),"|",""),"}",""),"~",""),CHAR(9),""),CHAR(10),""),CHAR(13),"")," ",""),"")</f>
        <v/>
      </c>
      <c r="AB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 ",""),"!",""),CHAR(34),""),"#",""),"$",""),"%",""),"&amp;",""),"'",""),"(",""),")",""),"*",""),"+",""),",",""),"-",""),".",""),"/",""),":",""),";",""),"&lt;",""),"=",""),"&gt;",""),"?",""),"@",""),"[",""),"\",""),"]",""),"^",""),"_",""),"`",""),"{",""),"|",""),"}",""),"~",""),CHAR(9),""),CHAR(10),""),CHAR(13),"")," ",""),"")</f>
        <v/>
      </c>
      <c r="AC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 ",""),"!",""),CHAR(34),""),"#",""),"$",""),"%",""),"&amp;",""),"'",""),"(",""),")",""),"*",""),"+",""),",",""),"-",""),".",""),"/",""),":",""),";",""),"&lt;",""),"=",""),"&gt;",""),"?",""),"@",""),"[",""),"\",""),"]",""),"^",""),"_",""),"`",""),"{",""),"|",""),"}",""),"~",""),CHAR(9),""),CHAR(10),""),CHAR(13),"")," ",""),"")</f>
        <v/>
      </c>
      <c r="AD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10,6))," ",""),"!",""),CHAR(34),""),"#",""),"$",""),"%",""),"&amp;",""),"'",""),"(",""),")",""),"*",""),"+",""),",",""),"-",""),".",""),"/",""),":",""),";",""),"&lt;",""),"=",""),"&gt;",""),"?",""),"@",""),"[",""),"\",""),"]",""),"^",""),"_",""),"`",""),"{",""),"|",""),"}",""),"~",""),CHAR(9),""),CHAR(10),""),CHAR(13),"")," ",""),"")</f>
        <v/>
      </c>
      <c r="AE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10,7))," ",""),"!",""),CHAR(34),""),"#",""),"$",""),"%",""),"&amp;",""),"'",""),"(",""),")",""),"*",""),"+",""),",",""),"-",""),".",""),"/",""),":",""),";",""),"&lt;",""),"=",""),"&gt;",""),"?",""),"@",""),"[",""),"\",""),"]",""),"^",""),"_",""),"`",""),"{",""),"|",""),"}",""),"~",""),CHAR(9),""),CHAR(10),""),CHAR(13),"")," ",""),"")</f>
        <v/>
      </c>
      <c r="AF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10,8))," ",""),"!",""),CHAR(34),""),"#",""),"$",""),"%",""),"&amp;",""),"'",""),"(",""),")",""),"*",""),"+",""),",",""),"-",""),".",""),"/",""),":",""),";",""),"&lt;",""),"=",""),"&gt;",""),"?",""),"@",""),"[",""),"\",""),"]",""),"^",""),"_",""),"`",""),"{",""),"|",""),"}",""),"~",""),CHAR(9),""),CHAR(10),""),CHAR(13),"")," ",""),"")</f>
        <v/>
      </c>
      <c r="AG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10,9))," ",""),"!",""),CHAR(34),""),"#",""),"$",""),"%",""),"&amp;",""),"'",""),"(",""),")",""),"*",""),"+",""),",",""),"-",""),".",""),"/",""),":",""),";",""),"&lt;",""),"=",""),"&gt;",""),"?",""),"@",""),"[",""),"\",""),"]",""),"^",""),"_",""),"`",""),"{",""),"|",""),"}",""),"~",""),CHAR(9),""),CHAR(10),""),CHAR(13),"")," ",""),"")</f>
        <v/>
      </c>
      <c r="AH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10,10))," ",""),"!",""),CHAR(34),""),"#",""),"$",""),"%",""),"&amp;",""),"'",""),"(",""),")",""),"*",""),"+",""),",",""),"-",""),".",""),"/",""),":",""),";",""),"&lt;",""),"=",""),"&gt;",""),"?",""),"@",""),"[",""),"\",""),"]",""),"^",""),"_",""),"`",""),"{",""),"|",""),"}",""),"~",""),CHAR(9),""),CHAR(10),""),CHAR(13),"")," ",""),"")</f>
        <v/>
      </c>
      <c r="AI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10,11))," ",""),"!",""),CHAR(34),""),"#",""),"$",""),"%",""),"&amp;",""),"'",""),"(",""),")",""),"*",""),"+",""),",",""),"-",""),".",""),"/",""),":",""),";",""),"&lt;",""),"=",""),"&gt;",""),"?",""),"@",""),"[",""),"\",""),"]",""),"^",""),"_",""),"`",""),"{",""),"|",""),"}",""),"~",""),CHAR(9),""),CHAR(10),""),CHAR(13),"")," ",""),"")</f>
        <v/>
      </c>
      <c r="AJ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10,12))," ",""),"!",""),CHAR(34),""),"#",""),"$",""),"%",""),"&amp;",""),"'",""),"(",""),")",""),"*",""),"+",""),",",""),"-",""),".",""),"/",""),":",""),";",""),"&lt;",""),"=",""),"&gt;",""),"?",""),"@",""),"[",""),"\",""),"]",""),"^",""),"_",""),"`",""),"{",""),"|",""),"}",""),"~",""),CHAR(9),""),CHAR(10),""),CHAR(13),"")," ",""),"")</f>
        <v/>
      </c>
      <c r="AK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10,13))," ",""),"!",""),CHAR(34),""),"#",""),"$",""),"%",""),"&amp;",""),"'",""),"(",""),")",""),"*",""),"+",""),",",""),"-",""),".",""),"/",""),":",""),";",""),"&lt;",""),"=",""),"&gt;",""),"?",""),"@",""),"[",""),"\",""),"]",""),"^",""),"_",""),"`",""),"{",""),"|",""),"}",""),"~",""),CHAR(9),""),CHAR(10),""),CHAR(13),"")," ",""),"")</f>
        <v/>
      </c>
      <c r="AL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10,14))," ",""),"!",""),CHAR(34),""),"#",""),"$",""),"%",""),"&amp;",""),"'",""),"(",""),")",""),"*",""),"+",""),",",""),"-",""),".",""),"/",""),":",""),";",""),"&lt;",""),"=",""),"&gt;",""),"?",""),"@",""),"[",""),"\",""),"]",""),"^",""),"_",""),"`",""),"{",""),"|",""),"}",""),"~",""),CHAR(9),""),CHAR(10),""),CHAR(13),"")," ",""),"")</f>
        <v/>
      </c>
      <c r="AM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10,15))," ",""),"!",""),CHAR(34),""),"#",""),"$",""),"%",""),"&amp;",""),"'",""),"(",""),")",""),"*",""),"+",""),",",""),"-",""),".",""),"/",""),":",""),";",""),"&lt;",""),"=",""),"&gt;",""),"?",""),"@",""),"[",""),"\",""),"]",""),"^",""),"_",""),"`",""),"{",""),"|",""),"}",""),"~",""),CHAR(9),""),CHAR(10),""),CHAR(13),"")," ",""),"")</f>
        <v/>
      </c>
      <c r="AN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10,16))," ",""),"!",""),CHAR(34),""),"#",""),"$",""),"%",""),"&amp;",""),"'",""),"(",""),")",""),"*",""),"+",""),",",""),"-",""),".",""),"/",""),":",""),";",""),"&lt;",""),"=",""),"&gt;",""),"?",""),"@",""),"[",""),"\",""),"]",""),"^",""),"_",""),"`",""),"{",""),"|",""),"}",""),"~",""),CHAR(9),""),CHAR(10),""),CHAR(13),"")," ",""),"")</f>
        <v/>
      </c>
      <c r="AO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10,17))," ",""),"!",""),CHAR(34),""),"#",""),"$",""),"%",""),"&amp;",""),"'",""),"(",""),")",""),"*",""),"+",""),",",""),"-",""),".",""),"/",""),":",""),";",""),"&lt;",""),"=",""),"&gt;",""),"?",""),"@",""),"[",""),"\",""),"]",""),"^",""),"_",""),"`",""),"{",""),"|",""),"}",""),"~",""),CHAR(9),""),CHAR(10),""),CHAR(13),"")," ",""),"")</f>
        <v/>
      </c>
      <c r="AP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10,18))," ",""),"!",""),CHAR(34),""),"#",""),"$",""),"%",""),"&amp;",""),"'",""),"(",""),")",""),"*",""),"+",""),",",""),"-",""),".",""),"/",""),":",""),";",""),"&lt;",""),"=",""),"&gt;",""),"?",""),"@",""),"[",""),"\",""),"]",""),"^",""),"_",""),"`",""),"{",""),"|",""),"}",""),"~",""),CHAR(9),""),CHAR(10),""),CHAR(13),"")," ",""),"")</f>
        <v/>
      </c>
      <c r="AQ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10,19))," ",""),"!",""),CHAR(34),""),"#",""),"$",""),"%",""),"&amp;",""),"'",""),"(",""),")",""),"*",""),"+",""),",",""),"-",""),".",""),"/",""),":",""),";",""),"&lt;",""),"=",""),"&gt;",""),"?",""),"@",""),"[",""),"\",""),"]",""),"^",""),"_",""),"`",""),"{",""),"|",""),"}",""),"~",""),CHAR(9),""),CHAR(10),""),CHAR(13),"")," ",""),"")</f>
        <v/>
      </c>
      <c r="AR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10,20))," ",""),"!",""),CHAR(34),""),"#",""),"$",""),"%",""),"&amp;",""),"'",""),"(",""),")",""),"*",""),"+",""),",",""),"-",""),".",""),"/",""),":",""),";",""),"&lt;",""),"=",""),"&gt;",""),"?",""),"@",""),"[",""),"\",""),"]",""),"^",""),"_",""),"`",""),"{",""),"|",""),"}",""),"~",""),CHAR(9),""),CHAR(10),""),CHAR(13),"")," ",""),"")</f>
        <v/>
      </c>
      <c r="AS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10,21))," ",""),"!",""),CHAR(34),""),"#",""),"$",""),"%",""),"&amp;",""),"'",""),"(",""),")",""),"*",""),"+",""),",",""),"-",""),".",""),"/",""),":",""),";",""),"&lt;",""),"=",""),"&gt;",""),"?",""),"@",""),"[",""),"\",""),"]",""),"^",""),"_",""),"`",""),"{",""),"|",""),"}",""),"~",""),CHAR(9),""),CHAR(10),""),CHAR(13),"")," ",""),"")</f>
        <v/>
      </c>
      <c r="AT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10,22))," ",""),"!",""),CHAR(34),""),"#",""),"$",""),"%",""),"&amp;",""),"'",""),"(",""),")",""),"*",""),"+",""),",",""),"-",""),".",""),"/",""),":",""),";",""),"&lt;",""),"=",""),"&gt;",""),"?",""),"@",""),"[",""),"\",""),"]",""),"^",""),"_",""),"`",""),"{",""),"|",""),"}",""),"~",""),CHAR(9),""),CHAR(10),""),CHAR(13),"")," ",""),"")</f>
        <v/>
      </c>
      <c r="AU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10,23))," ",""),"!",""),CHAR(34),""),"#",""),"$",""),"%",""),"&amp;",""),"'",""),"(",""),")",""),"*",""),"+",""),",",""),"-",""),".",""),"/",""),":",""),";",""),"&lt;",""),"=",""),"&gt;",""),"?",""),"@",""),"[",""),"\",""),"]",""),"^",""),"_",""),"`",""),"{",""),"|",""),"}",""),"~",""),CHAR(9),""),CHAR(10),""),CHAR(13),"")," ",""),"")</f>
        <v/>
      </c>
      <c r="AV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10,24))," ",""),"!",""),CHAR(34),""),"#",""),"$",""),"%",""),"&amp;",""),"'",""),"(",""),")",""),"*",""),"+",""),",",""),"-",""),".",""),"/",""),":",""),";",""),"&lt;",""),"=",""),"&gt;",""),"?",""),"@",""),"[",""),"\",""),"]",""),"^",""),"_",""),"`",""),"{",""),"|",""),"}",""),"~",""),CHAR(9),""),CHAR(10),""),CHAR(13),"")," ",""),"")</f>
        <v/>
      </c>
      <c r="AW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10,25))," ",""),"!",""),CHAR(34),""),"#",""),"$",""),"%",""),"&amp;",""),"'",""),"(",""),")",""),"*",""),"+",""),",",""),"-",""),".",""),"/",""),":",""),";",""),"&lt;",""),"=",""),"&gt;",""),"?",""),"@",""),"[",""),"\",""),"]",""),"^",""),"_",""),"`",""),"{",""),"|",""),"}",""),"~",""),CHAR(9),""),CHAR(10),""),CHAR(13),"")," ",""),"")</f>
        <v/>
      </c>
      <c r="AX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10,26))," ",""),"!",""),CHAR(34),""),"#",""),"$",""),"%",""),"&amp;",""),"'",""),"(",""),")",""),"*",""),"+",""),",",""),"-",""),".",""),"/",""),":",""),";",""),"&lt;",""),"=",""),"&gt;",""),"?",""),"@",""),"[",""),"\",""),"]",""),"^",""),"_",""),"`",""),"{",""),"|",""),"}",""),"~",""),CHAR(9),""),CHAR(10),""),CHAR(13),"")," ",""),"")</f>
        <v/>
      </c>
      <c r="AY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10,27))," ",""),"!",""),CHAR(34),""),"#",""),"$",""),"%",""),"&amp;",""),"'",""),"(",""),")",""),"*",""),"+",""),",",""),"-",""),".",""),"/",""),":",""),";",""),"&lt;",""),"=",""),"&gt;",""),"?",""),"@",""),"[",""),"\",""),"]",""),"^",""),"_",""),"`",""),"{",""),"|",""),"}",""),"~",""),CHAR(9),""),CHAR(10),""),CHAR(13),"")," ",""),"")</f>
        <v/>
      </c>
      <c r="AZ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10,28))," ",""),"!",""),CHAR(34),""),"#",""),"$",""),"%",""),"&amp;",""),"'",""),"(",""),")",""),"*",""),"+",""),",",""),"-",""),".",""),"/",""),":",""),";",""),"&lt;",""),"=",""),"&gt;",""),"?",""),"@",""),"[",""),"\",""),"]",""),"^",""),"_",""),"`",""),"{",""),"|",""),"}",""),"~",""),CHAR(9),""),CHAR(10),""),CHAR(13),"")," ",""),"")</f>
        <v/>
      </c>
      <c r="BA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10,29))," ",""),"!",""),CHAR(34),""),"#",""),"$",""),"%",""),"&amp;",""),"'",""),"(",""),")",""),"*",""),"+",""),",",""),"-",""),".",""),"/",""),":",""),";",""),"&lt;",""),"=",""),"&gt;",""),"?",""),"@",""),"[",""),"\",""),"]",""),"^",""),"_",""),"`",""),"{",""),"|",""),"}",""),"~",""),CHAR(9),""),CHAR(10),""),CHAR(13),"")," ",""),"")</f>
        <v/>
      </c>
      <c r="BB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10,30))," ",""),"!",""),CHAR(34),""),"#",""),"$",""),"%",""),"&amp;",""),"'",""),"(",""),")",""),"*",""),"+",""),",",""),"-",""),".",""),"/",""),":",""),";",""),"&lt;",""),"=",""),"&gt;",""),"?",""),"@",""),"[",""),"\",""),"]",""),"^",""),"_",""),"`",""),"{",""),"|",""),"}",""),"~",""),CHAR(9),""),CHAR(10),""),CHAR(13),"")," ",""),"")</f>
        <v/>
      </c>
      <c r="BC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10,31))," ",""),"!",""),CHAR(34),""),"#",""),"$",""),"%",""),"&amp;",""),"'",""),"(",""),")",""),"*",""),"+",""),",",""),"-",""),".",""),"/",""),":",""),";",""),"&lt;",""),"=",""),"&gt;",""),"?",""),"@",""),"[",""),"\",""),"]",""),"^",""),"_",""),"`",""),"{",""),"|",""),"}",""),"~",""),CHAR(9),""),CHAR(10),""),CHAR(13),"")," ",""),"")</f>
        <v/>
      </c>
      <c r="BD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10,32))," ",""),"!",""),CHAR(34),""),"#",""),"$",""),"%",""),"&amp;",""),"'",""),"(",""),")",""),"*",""),"+",""),",",""),"-",""),".",""),"/",""),":",""),";",""),"&lt;",""),"=",""),"&gt;",""),"?",""),"@",""),"[",""),"\",""),"]",""),"^",""),"_",""),"`",""),"{",""),"|",""),"}",""),"~",""),CHAR(9),""),CHAR(10),""),CHAR(13),"")," ",""),"")</f>
        <v/>
      </c>
      <c r="BE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10,33))," ",""),"!",""),CHAR(34),""),"#",""),"$",""),"%",""),"&amp;",""),"'",""),"(",""),")",""),"*",""),"+",""),",",""),"-",""),".",""),"/",""),":",""),";",""),"&lt;",""),"=",""),"&gt;",""),"?",""),"@",""),"[",""),"\",""),"]",""),"^",""),"_",""),"`",""),"{",""),"|",""),"}",""),"~",""),CHAR(9),""),CHAR(10),""),CHAR(13),"")," ",""),"")</f>
        <v/>
      </c>
      <c r="BF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10,34))," ",""),"!",""),CHAR(34),""),"#",""),"$",""),"%",""),"&amp;",""),"'",""),"(",""),")",""),"*",""),"+",""),",",""),"-",""),".",""),"/",""),":",""),";",""),"&lt;",""),"=",""),"&gt;",""),"?",""),"@",""),"[",""),"\",""),"]",""),"^",""),"_",""),"`",""),"{",""),"|",""),"}",""),"~",""),CHAR(9),""),CHAR(10),""),CHAR(13),"")," ",""),"")</f>
        <v/>
      </c>
      <c r="BG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10,35))," ",""),"!",""),CHAR(34),""),"#",""),"$",""),"%",""),"&amp;",""),"'",""),"(",""),")",""),"*",""),"+",""),",",""),"-",""),".",""),"/",""),":",""),";",""),"&lt;",""),"=",""),"&gt;",""),"?",""),"@",""),"[",""),"\",""),"]",""),"^",""),"_",""),"`",""),"{",""),"|",""),"}",""),"~",""),CHAR(9),""),CHAR(10),""),CHAR(13),"")," ",""),"")</f>
        <v/>
      </c>
      <c r="BH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10,36))," ",""),"!",""),CHAR(34),""),"#",""),"$",""),"%",""),"&amp;",""),"'",""),"(",""),")",""),"*",""),"+",""),",",""),"-",""),".",""),"/",""),":",""),";",""),"&lt;",""),"=",""),"&gt;",""),"?",""),"@",""),"[",""),"\",""),"]",""),"^",""),"_",""),"`",""),"{",""),"|",""),"}",""),"~",""),CHAR(9),""),CHAR(10),""),CHAR(13),"")," ",""),"")</f>
        <v/>
      </c>
      <c r="BI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10,37))," ",""),"!",""),CHAR(34),""),"#",""),"$",""),"%",""),"&amp;",""),"'",""),"(",""),")",""),"*",""),"+",""),",",""),"-",""),".",""),"/",""),":",""),";",""),"&lt;",""),"=",""),"&gt;",""),"?",""),"@",""),"[",""),"\",""),"]",""),"^",""),"_",""),"`",""),"{",""),"|",""),"}",""),"~",""),CHAR(9),""),CHAR(10),""),CHAR(13),"")," ",""),"")</f>
        <v/>
      </c>
      <c r="BJ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10,38))," ",""),"!",""),CHAR(34),""),"#",""),"$",""),"%",""),"&amp;",""),"'",""),"(",""),")",""),"*",""),"+",""),",",""),"-",""),".",""),"/",""),":",""),";",""),"&lt;",""),"=",""),"&gt;",""),"?",""),"@",""),"[",""),"\",""),"]",""),"^",""),"_",""),"`",""),"{",""),"|",""),"}",""),"~",""),CHAR(9),""),CHAR(10),""),CHAR(13),"")," ",""),"")</f>
        <v/>
      </c>
      <c r="BK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10,39))," ",""),"!",""),CHAR(34),""),"#",""),"$",""),"%",""),"&amp;",""),"'",""),"(",""),")",""),"*",""),"+",""),",",""),"-",""),".",""),"/",""),":",""),";",""),"&lt;",""),"=",""),"&gt;",""),"?",""),"@",""),"[",""),"\",""),"]",""),"^",""),"_",""),"`",""),"{",""),"|",""),"}",""),"~",""),CHAR(9),""),CHAR(10),""),CHAR(13),"")," ",""),"")</f>
        <v/>
      </c>
      <c r="BL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10,40))," ",""),"!",""),CHAR(34),""),"#",""),"$",""),"%",""),"&amp;",""),"'",""),"(",""),")",""),"*",""),"+",""),",",""),"-",""),".",""),"/",""),":",""),";",""),"&lt;",""),"=",""),"&gt;",""),"?",""),"@",""),"[",""),"\",""),"]",""),"^",""),"_",""),"`",""),"{",""),"|",""),"}",""),"~",""),CHAR(9),""),CHAR(10),""),CHAR(13),"")," ",""),"")</f>
        <v/>
      </c>
      <c r="BM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10,41))," ",""),"!",""),CHAR(34),""),"#",""),"$",""),"%",""),"&amp;",""),"'",""),"(",""),")",""),"*",""),"+",""),",",""),"-",""),".",""),"/",""),":",""),";",""),"&lt;",""),"=",""),"&gt;",""),"?",""),"@",""),"[",""),"\",""),"]",""),"^",""),"_",""),"`",""),"{",""),"|",""),"}",""),"~",""),CHAR(9),""),CHAR(10),""),CHAR(13),"")," ",""),"")</f>
        <v/>
      </c>
      <c r="BN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10,42))," ",""),"!",""),CHAR(34),""),"#",""),"$",""),"%",""),"&amp;",""),"'",""),"(",""),")",""),"*",""),"+",""),",",""),"-",""),".",""),"/",""),":",""),";",""),"&lt;",""),"=",""),"&gt;",""),"?",""),"@",""),"[",""),"\",""),"]",""),"^",""),"_",""),"`",""),"{",""),"|",""),"}",""),"~",""),CHAR(9),""),CHAR(10),""),CHAR(13),"")," ",""),"")</f>
        <v/>
      </c>
      <c r="BO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10,43))," ",""),"!",""),CHAR(34),""),"#",""),"$",""),"%",""),"&amp;",""),"'",""),"(",""),")",""),"*",""),"+",""),",",""),"-",""),".",""),"/",""),":",""),";",""),"&lt;",""),"=",""),"&gt;",""),"?",""),"@",""),"[",""),"\",""),"]",""),"^",""),"_",""),"`",""),"{",""),"|",""),"}",""),"~",""),CHAR(9),""),CHAR(10),""),CHAR(13),"")," ",""),"")</f>
        <v/>
      </c>
      <c r="BP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10,44))," ",""),"!",""),CHAR(34),""),"#",""),"$",""),"%",""),"&amp;",""),"'",""),"(",""),")",""),"*",""),"+",""),",",""),"-",""),".",""),"/",""),":",""),";",""),"&lt;",""),"=",""),"&gt;",""),"?",""),"@",""),"[",""),"\",""),"]",""),"^",""),"_",""),"`",""),"{",""),"|",""),"}",""),"~",""),CHAR(9),""),CHAR(10),""),CHAR(13),"")," ",""),"")</f>
        <v/>
      </c>
      <c r="BQ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10,45))," ",""),"!",""),CHAR(34),""),"#",""),"$",""),"%",""),"&amp;",""),"'",""),"(",""),")",""),"*",""),"+",""),",",""),"-",""),".",""),"/",""),":",""),";",""),"&lt;",""),"=",""),"&gt;",""),"?",""),"@",""),"[",""),"\",""),"]",""),"^",""),"_",""),"`",""),"{",""),"|",""),"}",""),"~",""),CHAR(9),""),CHAR(10),""),CHAR(13),"")," ",""),"")</f>
        <v/>
      </c>
      <c r="BR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10,46))," ",""),"!",""),CHAR(34),""),"#",""),"$",""),"%",""),"&amp;",""),"'",""),"(",""),")",""),"*",""),"+",""),",",""),"-",""),".",""),"/",""),":",""),";",""),"&lt;",""),"=",""),"&gt;",""),"?",""),"@",""),"[",""),"\",""),"]",""),"^",""),"_",""),"`",""),"{",""),"|",""),"}",""),"~",""),CHAR(9),""),CHAR(10),""),CHAR(13),"")," ",""),"")</f>
        <v/>
      </c>
      <c r="BS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10,47))," ",""),"!",""),CHAR(34),""),"#",""),"$",""),"%",""),"&amp;",""),"'",""),"(",""),")",""),"*",""),"+",""),",",""),"-",""),".",""),"/",""),":",""),";",""),"&lt;",""),"=",""),"&gt;",""),"?",""),"@",""),"[",""),"\",""),"]",""),"^",""),"_",""),"`",""),"{",""),"|",""),"}",""),"~",""),CHAR(9),""),CHAR(10),""),CHAR(13),"")," ",""),"")</f>
        <v/>
      </c>
      <c r="BT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10,48))," ",""),"!",""),CHAR(34),""),"#",""),"$",""),"%",""),"&amp;",""),"'",""),"(",""),")",""),"*",""),"+",""),",",""),"-",""),".",""),"/",""),":",""),";",""),"&lt;",""),"=",""),"&gt;",""),"?",""),"@",""),"[",""),"\",""),"]",""),"^",""),"_",""),"`",""),"{",""),"|",""),"}",""),"~",""),CHAR(9),""),CHAR(10),""),CHAR(13),"")," ",""),"")</f>
        <v/>
      </c>
      <c r="BU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10,49))," ",""),"!",""),CHAR(34),""),"#",""),"$",""),"%",""),"&amp;",""),"'",""),"(",""),")",""),"*",""),"+",""),",",""),"-",""),".",""),"/",""),":",""),";",""),"&lt;",""),"=",""),"&gt;",""),"?",""),"@",""),"[",""),"\",""),"]",""),"^",""),"_",""),"`",""),"{",""),"|",""),"}",""),"~",""),CHAR(9),""),CHAR(10),""),CHAR(13),"")," ",""),"")</f>
        <v/>
      </c>
      <c r="BV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10,50))," ",""),"!",""),CHAR(34),""),"#",""),"$",""),"%",""),"&amp;",""),"'",""),"(",""),")",""),"*",""),"+",""),",",""),"-",""),".",""),"/",""),":",""),";",""),"&lt;",""),"=",""),"&gt;",""),"?",""),"@",""),"[",""),"\",""),"]",""),"^",""),"_",""),"`",""),"{",""),"|",""),"}",""),"~",""),CHAR(9),""),CHAR(10),""),CHAR(13),"")," ",""),"")</f>
        <v/>
      </c>
      <c r="BW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10,51))," ",""),"!",""),CHAR(34),""),"#",""),"$",""),"%",""),"&amp;",""),"'",""),"(",""),")",""),"*",""),"+",""),",",""),"-",""),".",""),"/",""),":",""),";",""),"&lt;",""),"=",""),"&gt;",""),"?",""),"@",""),"[",""),"\",""),"]",""),"^",""),"_",""),"`",""),"{",""),"|",""),"}",""),"~",""),CHAR(9),""),CHAR(10),""),CHAR(13),"")," ",""),"")</f>
        <v/>
      </c>
      <c r="BX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10,52))," ",""),"!",""),CHAR(34),""),"#",""),"$",""),"%",""),"&amp;",""),"'",""),"(",""),")",""),"*",""),"+",""),",",""),"-",""),".",""),"/",""),":",""),";",""),"&lt;",""),"=",""),"&gt;",""),"?",""),"@",""),"[",""),"\",""),"]",""),"^",""),"_",""),"`",""),"{",""),"|",""),"}",""),"~",""),CHAR(9),""),CHAR(10),""),CHAR(13),"")," ",""),"")</f>
        <v/>
      </c>
      <c r="BY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10,53))," ",""),"!",""),CHAR(34),""),"#",""),"$",""),"%",""),"&amp;",""),"'",""),"(",""),")",""),"*",""),"+",""),",",""),"-",""),".",""),"/",""),":",""),";",""),"&lt;",""),"=",""),"&gt;",""),"?",""),"@",""),"[",""),"\",""),"]",""),"^",""),"_",""),"`",""),"{",""),"|",""),"}",""),"~",""),CHAR(9),""),CHAR(10),""),CHAR(13),"")," ",""),"")</f>
        <v/>
      </c>
      <c r="BZ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10,54))," ",""),"!",""),CHAR(34),""),"#",""),"$",""),"%",""),"&amp;",""),"'",""),"(",""),")",""),"*",""),"+",""),",",""),"-",""),".",""),"/",""),":",""),";",""),"&lt;",""),"=",""),"&gt;",""),"?",""),"@",""),"[",""),"\",""),"]",""),"^",""),"_",""),"`",""),"{",""),"|",""),"}",""),"~",""),CHAR(9),""),CHAR(10),""),CHAR(13),"")," ",""),"")</f>
        <v/>
      </c>
      <c r="CA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10,55))," ",""),"!",""),CHAR(34),""),"#",""),"$",""),"%",""),"&amp;",""),"'",""),"(",""),")",""),"*",""),"+",""),",",""),"-",""),".",""),"/",""),":",""),";",""),"&lt;",""),"=",""),"&gt;",""),"?",""),"@",""),"[",""),"\",""),"]",""),"^",""),"_",""),"`",""),"{",""),"|",""),"}",""),"~",""),CHAR(9),""),CHAR(10),""),CHAR(13),"")," ",""),"")</f>
        <v/>
      </c>
      <c r="CB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10,56))," ",""),"!",""),CHAR(34),""),"#",""),"$",""),"%",""),"&amp;",""),"'",""),"(",""),")",""),"*",""),"+",""),",",""),"-",""),".",""),"/",""),":",""),";",""),"&lt;",""),"=",""),"&gt;",""),"?",""),"@",""),"[",""),"\",""),"]",""),"^",""),"_",""),"`",""),"{",""),"|",""),"}",""),"~",""),CHAR(9),""),CHAR(10),""),CHAR(13),"")," ",""),"")</f>
        <v/>
      </c>
      <c r="CC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10,57))," ",""),"!",""),CHAR(34),""),"#",""),"$",""),"%",""),"&amp;",""),"'",""),"(",""),")",""),"*",""),"+",""),",",""),"-",""),".",""),"/",""),":",""),";",""),"&lt;",""),"=",""),"&gt;",""),"?",""),"@",""),"[",""),"\",""),"]",""),"^",""),"_",""),"`",""),"{",""),"|",""),"}",""),"~",""),CHAR(9),""),CHAR(10),""),CHAR(13),"")," ",""),"")</f>
        <v/>
      </c>
      <c r="CD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10,58))," ",""),"!",""),CHAR(34),""),"#",""),"$",""),"%",""),"&amp;",""),"'",""),"(",""),")",""),"*",""),"+",""),",",""),"-",""),".",""),"/",""),":",""),";",""),"&lt;",""),"=",""),"&gt;",""),"?",""),"@",""),"[",""),"\",""),"]",""),"^",""),"_",""),"`",""),"{",""),"|",""),"}",""),"~",""),CHAR(9),""),CHAR(10),""),CHAR(13),"")," ",""),"")</f>
        <v/>
      </c>
      <c r="CE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10,59))," ",""),"!",""),CHAR(34),""),"#",""),"$",""),"%",""),"&amp;",""),"'",""),"(",""),")",""),"*",""),"+",""),",",""),"-",""),".",""),"/",""),":",""),";",""),"&lt;",""),"=",""),"&gt;",""),"?",""),"@",""),"[",""),"\",""),"]",""),"^",""),"_",""),"`",""),"{",""),"|",""),"}",""),"~",""),CHAR(9),""),CHAR(10),""),CHAR(13),"")," ",""),"")</f>
        <v/>
      </c>
      <c r="CF1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10,60))," ",""),"!",""),CHAR(34),""),"#",""),"$",""),"%",""),"&amp;",""),"'",""),"(",""),")",""),"*",""),"+",""),",",""),"-",""),".",""),"/",""),":",""),";",""),"&lt;",""),"=",""),"&gt;",""),"?",""),"@",""),"[",""),"\",""),"]",""),"^",""),"_",""),"`",""),"{",""),"|",""),"}",""),"~",""),CHAR(9),""),CHAR(10),""),CHAR(13),"")," ",""),"")</f>
        <v/>
      </c>
      <c r="CH14">
        <f>COUNTIF($Y59:$CF59,"&gt;0")</f>
        <v/>
      </c>
      <c r="CI14">
        <f>COUNTIF($Y59:$CF59,2)</f>
        <v/>
      </c>
      <c r="CJ14">
        <f>SUMPRODUCT((COUNTIF($Y104:$CF104,{1,2,3,4,5,6,7,8,9,10,11,12,13,14,15})&gt;0)*{2,4,8,16,32,64,128,256,512,1024,2048,4096,8192,16384,32768})</f>
        <v/>
      </c>
      <c r="CK14">
        <f>CF194</f>
        <v/>
      </c>
      <c r="CL14">
        <f>SUMPRODUCT(MOD(INT(((CJ14+CK14))/{2,4,8,16,32,64,128,256,512,1024,2048,4096,8192,16384,32768}),2))</f>
        <v/>
      </c>
      <c r="CM14">
        <f>IF(CH14&lt;2,-9999,CL14+2*MOD(INT(((CJ14+CK14))/2),2)+2*MOD(INT(((CJ14+CK14))/4),2)-CI14)</f>
        <v/>
      </c>
      <c r="DA14" t="n">
        <v>10</v>
      </c>
      <c r="DB14">
        <f>IF($B$37=0,"",IFERROR(TRIM(SUBSTITUTE(SUBSTITUTE(SUBSTITUTE(SUBSTITUTE(INDEX(PASTE_ALL,10,$B$37)," "," "),CHAR(9)," "),CHAR(10)," "),CHAR(13)," ")),""))</f>
        <v/>
      </c>
      <c r="DC14">
        <f>IF(AND(10&gt;HEADER_ROW,UPPER(DB14)="LEGEND"),1,0)</f>
        <v/>
      </c>
      <c r="DE14" t="n">
        <v>10</v>
      </c>
      <c r="DF14">
        <f>HEADER_ROW+$DE14</f>
        <v/>
      </c>
      <c r="DG14">
        <f>IF(AND($DF14&lt;=1000,$DF14&lt;$B$8),1,0)</f>
        <v/>
      </c>
      <c r="DH14">
        <f>IF($DG14=1,IFERROR(INDEX($DB$5:$DB$1004,$DF14),""),"")</f>
        <v/>
      </c>
      <c r="DI14">
        <f>IF(AND($DG14=1,$DH14&lt;&gt;""),IFERROR(SUBSTITUTE(SUBSTITUTE(TRIM(SUBSTITUTE(SUBSTITUTE(SUBSTITUTE(SUBSTITUTE(IFERROR(INDEX(PASTE_ALL,$DF14,1)&amp;"","")&amp;"␟"&amp;IFERROR(INDEX(PASTE_ALL,$DF14,2)&amp;"","")&amp;"␟"&amp;IFERROR(INDEX(PASTE_ALL,$DF14,3)&amp;"","")&amp;"␟"&amp;IFERROR(INDEX(PASTE_ALL,$DF14,4)&amp;"","")&amp;"␟"&amp;IFERROR(INDEX(PASTE_ALL,$DF14,5)&amp;"","")&amp;"␟"&amp;IFERROR(INDEX(PASTE_ALL,$DF14,6)&amp;"","")&amp;"␟"&amp;IFERROR(INDEX(PASTE_ALL,$DF14,7)&amp;"","")&amp;"␟"&amp;IFERROR(INDEX(PASTE_ALL,$DF14,8)&amp;"","")&amp;"␟"&amp;IFERROR(INDEX(PASTE_ALL,$DF14,9)&amp;"","")&amp;"␟"&amp;IFERROR(INDEX(PASTE_ALL,$DF14,10)&amp;"","")&amp;"␟"&amp;IFERROR(INDEX(PASTE_ALL,$DF14,11)&amp;"","")&amp;"␟"&amp;IFERROR(INDEX(PASTE_ALL,$DF14,12)&amp;"","")&amp;"␟"&amp;IFERROR(INDEX(PASTE_ALL,$DF14,13)&amp;"","")&amp;"␟"&amp;IFERROR(INDEX(PASTE_ALL,$DF14,14)&amp;"","")&amp;"␟"&amp;IFERROR(INDEX(PASTE_ALL,$DF14,15)&amp;"","")&amp;"␟"&amp;IFERROR(INDEX(PASTE_ALL,$DF14,16)&amp;"","")&amp;"␟"&amp;IFERROR(INDEX(PASTE_ALL,$DF14,17)&amp;"","")&amp;"␟"&amp;IFERROR(INDEX(PASTE_ALL,$DF14,18)&amp;"","")&amp;"␟"&amp;IFERROR(INDEX(PASTE_ALL,$DF14,19)&amp;"","")&amp;"␟"&amp;IFERROR(INDEX(PASTE_ALL,$DF14,20)&amp;"","")&amp;"␟"&amp;IFERROR(INDEX(PASTE_ALL,$DF14,21)&amp;"","")&amp;"␟"&amp;IFERROR(INDEX(PASTE_ALL,$DF14,22)&amp;"","")&amp;"␟"&amp;IFERROR(INDEX(PASTE_ALL,$DF14,23)&amp;"","")&amp;"␟"&amp;IFERROR(INDEX(PASTE_ALL,$DF14,24)&amp;"","")&amp;"␟"&amp;IFERROR(INDEX(PASTE_ALL,$DF14,25)&amp;"","")&amp;"␟"&amp;IFERROR(INDEX(PASTE_ALL,$DF14,26)&amp;"","")&amp;"␟"&amp;IFERROR(INDEX(PASTE_ALL,$DF14,27)&amp;"","")&amp;"␟"&amp;IFERROR(INDEX(PASTE_ALL,$DF14,28)&amp;"","")&amp;"␟"&amp;IFERROR(INDEX(PASTE_ALL,$DF14,29)&amp;"","")&amp;"␟"&amp;IFERROR(INDEX(PASTE_ALL,$DF14,30)&amp;"","")&amp;"␟"&amp;IFERROR(INDEX(PASTE_ALL,$DF14,31)&amp;"","")&amp;"␟"&amp;IFERROR(INDEX(PASTE_ALL,$DF14,32)&amp;"","")&amp;"␟"&amp;IFERROR(INDEX(PASTE_ALL,$DF14,33)&amp;"","")&amp;"␟"&amp;IFERROR(INDEX(PASTE_ALL,$DF14,34)&amp;"","")&amp;"␟"&amp;IFERROR(INDEX(PASTE_ALL,$DF14,35)&amp;"","")&amp;"␟"&amp;IFERROR(INDEX(PASTE_ALL,$DF14,36)&amp;"","")&amp;"␟"&amp;IFERROR(INDEX(PASTE_ALL,$DF14,37)&amp;"","")&amp;"␟"&amp;IFERROR(INDEX(PASTE_ALL,$DF14,38)&amp;"","")&amp;"␟"&amp;IFERROR(INDEX(PASTE_ALL,$DF14,39)&amp;"","")&amp;"␟"&amp;IFERROR(INDEX(PASTE_ALL,$DF14,40)&amp;"","")&amp;"␟"&amp;IFERROR(INDEX(PASTE_ALL,$DF14,41)&amp;"","")&amp;"␟"&amp;IFERROR(INDEX(PASTE_ALL,$DF14,42)&amp;"","")&amp;"␟"&amp;IFERROR(INDEX(PASTE_ALL,$DF14,43)&amp;"","")&amp;"␟"&amp;IFERROR(INDEX(PASTE_ALL,$DF14,44)&amp;"","")&amp;"␟"&amp;IFERROR(INDEX(PASTE_ALL,$DF14,45)&amp;"","")&amp;"␟"&amp;IFERROR(INDEX(PASTE_ALL,$DF14,46)&amp;"","")&amp;"␟"&amp;IFERROR(INDEX(PASTE_ALL,$DF14,47)&amp;"","")&amp;"␟"&amp;IFERROR(INDEX(PASTE_ALL,$DF14,48)&amp;"","")&amp;"␟"&amp;IFERROR(INDEX(PASTE_ALL,$DF14,49)&amp;"","")&amp;"␟"&amp;IFERROR(INDEX(PASTE_ALL,$DF14,50)&amp;"","")&amp;"␟"&amp;IFERROR(INDEX(PASTE_ALL,$DF14,51)&amp;"","")&amp;"␟"&amp;IFERROR(INDEX(PASTE_ALL,$DF14,52)&amp;"","")&amp;"␟"&amp;IFERROR(INDEX(PASTE_ALL,$DF14,53)&amp;"","")&amp;"␟"&amp;IFERROR(INDEX(PASTE_ALL,$DF14,54)&amp;"","")&amp;"␟"&amp;IFERROR(INDEX(PASTE_ALL,$DF14,55)&amp;"","")&amp;"␟"&amp;IFERROR(INDEX(PASTE_ALL,$DF14,56)&amp;"","")&amp;"␟"&amp;IFERROR(INDEX(PASTE_ALL,$DF14,57)&amp;"","")&amp;"␟"&amp;IFERROR(INDEX(PASTE_ALL,$DF14,58)&amp;"","")&amp;"␟"&amp;IFERROR(INDEX(PASTE_ALL,$DF14,59)&amp;"","")&amp;"␟"&amp;IFERROR(INDEX(PASTE_ALL,$DF14,60)&amp;"","")," "," "),CHAR(9)," "),CHAR(10)," "),CHAR(13)," "))," ␟","␟"),"␟ ","␟"),"#"&amp;$DE14),"")</f>
        <v/>
      </c>
      <c r="DJ14">
        <f>IF($DI14="",0,IF(SUMPRODUCT(--EXACT($DI$4:DI13,$DI14))&gt;0,1,0))</f>
        <v/>
      </c>
      <c r="DK14">
        <f>IF(AND($DI14&lt;&gt;"",$DJ14=0),1,0)</f>
        <v/>
      </c>
      <c r="DL14">
        <f>DL13+$DK14</f>
        <v/>
      </c>
      <c r="DM14">
        <f>IF(AND($DK14=1,$DL14&lt;=600),1,0)</f>
        <v/>
      </c>
      <c r="DN14">
        <f>IF($DM14=0,"",IF($L$6=0,"",IFERROR(IF(ISNUMBER(INDEX(PASTE_ALL,$DF14,$L$6)),INDEX(PASTE_ALL,$DF14,$L$6),TRIM(SUBSTITUTE(SUBSTITUTE(SUBSTITUTE(SUBSTITUTE(INDEX(PASTE_ALL,$DF14,$L$6)," "," "),CHAR(9)," "),CHAR(10)," "),CHAR(13)," "))),"")))</f>
        <v/>
      </c>
      <c r="DO14">
        <f>IF($DM14=0,"",IF($L$7=0,"",IFERROR(IF(ISNUMBER(INDEX(PASTE_ALL,$DF14,$L$7)),INDEX(PASTE_ALL,$DF14,$L$7),TRIM(SUBSTITUTE(SUBSTITUTE(SUBSTITUTE(SUBSTITUTE(INDEX(PASTE_ALL,$DF14,$L$7)," "," "),CHAR(9)," "),CHAR(10)," "),CHAR(13)," "))),"")))</f>
        <v/>
      </c>
      <c r="DP14">
        <f>IF($DM14=0,"",IF($L$8=0,"",IFERROR(IF(ISNUMBER(INDEX(PASTE_ALL,$DF14,$L$8)),INDEX(PASTE_ALL,$DF14,$L$8),TRIM(SUBSTITUTE(SUBSTITUTE(SUBSTITUTE(SUBSTITUTE(INDEX(PASTE_ALL,$DF14,$L$8)," "," "),CHAR(9)," "),CHAR(10)," "),CHAR(13)," "))),"")))</f>
        <v/>
      </c>
      <c r="DQ14">
        <f>IF($DM14=0,"",IF($L$9=0,"",IFERROR(IF(ISNUMBER(INDEX(PASTE_ALL,$DF14,$L$9)),INDEX(PASTE_ALL,$DF14,$L$9),TRIM(SUBSTITUTE(SUBSTITUTE(SUBSTITUTE(SUBSTITUTE(INDEX(PASTE_ALL,$DF14,$L$9)," "," "),CHAR(9)," "),CHAR(10)," "),CHAR(13)," "))),"")))</f>
        <v/>
      </c>
      <c r="DR14">
        <f>IF($DM14=0,"",IF($L$10=0,"",IFERROR(IF(ISNUMBER(INDEX(PASTE_ALL,$DF14,$L$10)),INDEX(PASTE_ALL,$DF14,$L$10),TRIM(SUBSTITUTE(SUBSTITUTE(SUBSTITUTE(SUBSTITUTE(INDEX(PASTE_ALL,$DF14,$L$10)," "," "),CHAR(9)," "),CHAR(10)," "),CHAR(13)," "))),"")))</f>
        <v/>
      </c>
      <c r="DS14">
        <f>IF($DM14=0,"",IF($L$11=0,"",IFERROR(IF(ISNUMBER(INDEX(PASTE_ALL,$DF14,$L$11)),INDEX(PASTE_ALL,$DF14,$L$11),TRIM(SUBSTITUTE(SUBSTITUTE(SUBSTITUTE(SUBSTITUTE(INDEX(PASTE_ALL,$DF14,$L$11)," "," "),CHAR(9)," "),CHAR(10)," "),CHAR(13)," "))),"")))</f>
        <v/>
      </c>
      <c r="DT14">
        <f>IF($DM14=0,"",IF($L$12=0,"",IFERROR(IF(ISNUMBER(INDEX(PASTE_ALL,$DF14,$L$12)),INDEX(PASTE_ALL,$DF14,$L$12),TRIM(SUBSTITUTE(SUBSTITUTE(SUBSTITUTE(SUBSTITUTE(INDEX(PASTE_ALL,$DF14,$L$12)," "," "),CHAR(9)," "),CHAR(10)," "),CHAR(13)," "))),"")))</f>
        <v/>
      </c>
      <c r="DU14">
        <f>IF($DM14=0,"",IF($L$13=0,"",IFERROR(IF(ISNUMBER(INDEX(PASTE_ALL,$DF14,$L$13)),INDEX(PASTE_ALL,$DF14,$L$13),TRIM(SUBSTITUTE(SUBSTITUTE(SUBSTITUTE(SUBSTITUTE(INDEX(PASTE_ALL,$DF14,$L$13)," "," "),CHAR(9)," "),CHAR(10)," "),CHAR(13)," "))),"")))</f>
        <v/>
      </c>
      <c r="DV14">
        <f>IF($DM14=0,"",IF($L$14=0,"",IFERROR(IF(ISNUMBER(INDEX(PASTE_ALL,$DF14,$L$14)),INDEX(PASTE_ALL,$DF14,$L$14),TRIM(SUBSTITUTE(SUBSTITUTE(SUBSTITUTE(SUBSTITUTE(INDEX(PASTE_ALL,$DF14,$L$14)," "," "),CHAR(9)," "),CHAR(10)," "),CHAR(13)," "))),"")))</f>
        <v/>
      </c>
      <c r="DW14">
        <f>IF($DM14=0,"",IF($L$15=0,"",IFERROR(IF(ISNUMBER(INDEX(PASTE_ALL,$DF14,$L$15)),INDEX(PASTE_ALL,$DF14,$L$15),IF(SUMPRODUCT(--ISNUMBER(FIND({"A","B","C","D","E","F","G","H","I","J","K","L","M","N","O","P","Q","R","S","T","U","V","W","X","Y","Z","0","1","2","3","4","5","6","7","8","9"},UPPER(TRIM(SUBSTITUTE(SUBSTITUTE(SUBSTITUTE(SUBSTITUTE(INDEX(PASTE_ALL,$DF14,$L$15)," "," "),CHAR(9)," "),CHAR(10)," "),CHAR(13)," "))))))&gt;0,TRIM(SUBSTITUTE(SUBSTITUTE(SUBSTITUTE(SUBSTITUTE(INDEX(PASTE_ALL,$DF14,$L$15)," "," "),CHAR(9)," "),CHAR(10)," "),CHAR(13)," ")),"")),"")))</f>
        <v/>
      </c>
      <c r="DX14">
        <f>IF($DM14=0,"",IF($L$16=0,"",IFERROR(IF(ISNUMBER(INDEX(PASTE_ALL,$DF14,$L$16)),INDEX(PASTE_ALL,$DF14,$L$16),SUBSTITUTE(SUBSTITUTE(TRIM(SUBSTITUTE(SUBSTITUTE(SUBSTITUTE(SUBSTITUTE(INDEX(PASTE_ALL,$DF14,$L$16)," "," "),CHAR(9)," "),CHAR(10)," "),CHAR(13)," ")),",",""),"%","")),"")))</f>
        <v/>
      </c>
      <c r="DY14">
        <f>IF($DM14=0,"",IFERROR(IF(ISNUMBER($DX14),$DX14,IF($DX14="","",IF(TRIM($DX14)="",0,IF(AND(AND(SUBSTITUTE(SUBSTITUTE(SUBSTITUTE(SUBSTITUTE(SUBSTITUTE(SUBSTITUTE(SUBSTITUTE(SUBSTITUTE(SUBSTITUTE(SUBSTITUTE(SUBSTITUTE(SUBSTITUTE(SUBSTITUTE(SUBSTITUTE(UPPER(TRIM($DX14)),"0",""),"1",""),"2",""),"3",""),"4",""),"5",""),"6",""),"7",""),"8",""),"9",""),".",""),"+",""),"-",""),"E","")="",LEN(SUBSTITUTE(SUBSTITUTE(MID(UPPER(TRIM($DX14)),1+OR(LEFT(UPPER(TRIM($DX14)),1)="+",LEFT(UPPER(TRIM($DX14)),1)="-"),999),"E+","E"),"E-","E"))=LEN(SUBSTITUTE(SUBSTITUTE(SUBSTITUTE(SUBSTITUTE(MID(UPPER(TRIM($DX14)),1+OR(LEFT(UPPER(TRIM($DX14)),1)="+",LEFT(UPPER(TRIM($DX14)),1)="-"),999),"E+","E"),"E-","E"),"+",""),"-","")),LEN(UPPER(TRIM($DX14)))-LEN(SUBSTITUTE(UPPER(TRIM($DX14)),"E",""))&lt;2,LEN(UPPER(TRIM($DX14)))-LEN(SUBSTITUTE(UPPER(TRIM($DX14)),".",""))&lt;2,IFERROR(FIND(".",UPPER(TRIM($DX14))),0)&lt;IFERROR(FIND("E",UPPER(TRIM($DX14))),999)),ISNUMBER(VALUE(TRIM($DX14)))),VALUE(TRIM($DX14)),"")))),""))</f>
        <v/>
      </c>
      <c r="DZ14">
        <f>IF($DM14=0,"",IF($L$17=0,"",IFERROR(IF(ISNUMBER(INDEX(PASTE_ALL,$DF14,$L$17)),INDEX(PASTE_ALL,$DF14,$L$17),SUBSTITUTE(SUBSTITUTE(TRIM(SUBSTITUTE(SUBSTITUTE(SUBSTITUTE(SUBSTITUTE(INDEX(PASTE_ALL,$DF14,$L$17)," "," "),CHAR(9)," "),CHAR(10)," "),CHAR(13)," ")),",",""),"%","")),"")))</f>
        <v/>
      </c>
      <c r="EA14">
        <f>IF($DM14=0,"",IFERROR(IF(ISNUMBER($DZ14),$DZ14,IF($DZ14="","",IF(TRIM($DZ14)="",0,IF(AND(AND(SUBSTITUTE(SUBSTITUTE(SUBSTITUTE(SUBSTITUTE(SUBSTITUTE(SUBSTITUTE(SUBSTITUTE(SUBSTITUTE(SUBSTITUTE(SUBSTITUTE(SUBSTITUTE(SUBSTITUTE(SUBSTITUTE(SUBSTITUTE(UPPER(TRIM($DZ14)),"0",""),"1",""),"2",""),"3",""),"4",""),"5",""),"6",""),"7",""),"8",""),"9",""),".",""),"+",""),"-",""),"E","")="",LEN(SUBSTITUTE(SUBSTITUTE(MID(UPPER(TRIM($DZ14)),1+OR(LEFT(UPPER(TRIM($DZ14)),1)="+",LEFT(UPPER(TRIM($DZ14)),1)="-"),999),"E+","E"),"E-","E"))=LEN(SUBSTITUTE(SUBSTITUTE(SUBSTITUTE(SUBSTITUTE(MID(UPPER(TRIM($DZ14)),1+OR(LEFT(UPPER(TRIM($DZ14)),1)="+",LEFT(UPPER(TRIM($DZ14)),1)="-"),999),"E+","E"),"E-","E"),"+",""),"-","")),LEN(UPPER(TRIM($DZ14)))-LEN(SUBSTITUTE(UPPER(TRIM($DZ14)),"E",""))&lt;2,LEN(UPPER(TRIM($DZ14)))-LEN(SUBSTITUTE(UPPER(TRIM($DZ14)),".",""))&lt;2,IFERROR(FIND(".",UPPER(TRIM($DZ14))),0)&lt;IFERROR(FIND("E",UPPER(TRIM($DZ14))),999)),ISNUMBER(VALUE(TRIM($DZ14)))),VALUE(TRIM($DZ14)),"")))),""))</f>
        <v/>
      </c>
      <c r="EB14">
        <f>IF($DM14=0,"",IF($L$18=0,"",IFERROR(IF(UPPER(TRIM(SUBSTITUTE(SUBSTITUTE(SUBSTITUTE(SUBSTITUTE(INDEX(PASTE_ALL,$DF14,$L$18)," "," "),CHAR(9)," "),CHAR(10)," "),CHAR(13)," ")))="READY","Ready",IF(UPPER(TRIM(SUBSTITUTE(SUBSTITUTE(SUBSTITUTE(SUBSTITUTE(INDEX(PASTE_ALL,$DF14,$L$18)," "," "),CHAR(9)," "),CHAR(10)," "),CHAR(13)," ")))="PM","PM",IF(OR(UPPER(TRIM(SUBSTITUTE(SUBSTITUTE(SUBSTITUTE(SUBSTITUTE(INDEX(PASTE_ALL,$DF14,$L$18)," "," "),CHAR(9)," "),CHAR(10)," "),CHAR(13)," ")))="OT",UPPER(TRIM(SUBSTITUTE(SUBSTITUTE(SUBSTITUTE(SUBSTITUTE(INDEX(PASTE_ALL,$DF14,$L$18)," "," "),CHAR(9)," "),CHAR(10)," "),CHAR(13)," ")))="OVERTIME",UPPER(TRIM(SUBSTITUTE(SUBSTITUTE(SUBSTITUTE(SUBSTITUTE(INDEX(PASTE_ALL,$DF14,$L$18)," "," "),CHAR(9)," "),CHAR(10)," "),CHAR(13)," ")))="TRIAL"),"OT",TRIM(SUBSTITUTE(SUBSTITUTE(SUBSTITUTE(SUBSTITUTE(INDEX(PASTE_ALL,$DF14,$L$18)," "," "),CHAR(9)," "),CHAR(10)," "),CHAR(13)," "))))),"")))</f>
        <v/>
      </c>
      <c r="EC14">
        <f>IF($DM14=0,"",IF($L$19=0,"",IFERROR(IF(ISNUMBER(INDEX(PASTE_ALL,$DF14,$L$19)),INDEX(PASTE_ALL,$DF14,$L$19),TRIM(SUBSTITUTE(SUBSTITUTE(SUBSTITUTE(SUBSTITUTE(INDEX(PASTE_ALL,$DF14,$L$19)," "," "),CHAR(9)," "),CHAR(10)," "),CHAR(13)," "))),"")))</f>
        <v/>
      </c>
      <c r="ED14">
        <f>IF($DM14=0,"",MATCH(1,INDEX(EXACT($DH$5:DH14,$DH14)*$DM$5:DM14,0),0))</f>
        <v/>
      </c>
      <c r="EE14">
        <f>IF($DM14=0,0,IF($ED14=$DE14,1,0))</f>
        <v/>
      </c>
      <c r="EF14">
        <f>EF13+$EE14</f>
        <v/>
      </c>
      <c r="EG14">
        <f>IF($DM14=0,"",INDEX($EF$5:$EF$1003,$ED14))</f>
        <v/>
      </c>
      <c r="EH14">
        <f>IF($DM14=0,"",IF($DO14&lt;&gt;"","",IFERROR(LOOKUP(2,1/(($EG$4:EG13=$EG14)*($DO$4:DO13&lt;&gt;"")),$DO$4:DO13),"")))</f>
        <v/>
      </c>
      <c r="EI14">
        <f>IF($DM14=0,"",IF($DO14&lt;&gt;"",$DO14,$EH14))</f>
        <v/>
      </c>
      <c r="EJ14">
        <f>IF($DM14=0,"",IF($EI14="",0,IF(OR(ISNUMBER($EI14),AND(AND(SUBSTITUTE(SUBSTITUTE(SUBSTITUTE(SUBSTITUTE(SUBSTITUTE(SUBSTITUTE(SUBSTITUTE(SUBSTITUTE(SUBSTITUTE(SUBSTITUTE(SUBSTITUTE(SUBSTITUTE(SUBSTITUTE(SUBSTITUTE(UPPER($EI14),"0",""),"1",""),"2",""),"3",""),"4",""),"5",""),"6",""),"7",""),"8",""),"9",""),".",""),"+",""),"-",""),"E","")="",LEN(SUBSTITUTE(SUBSTITUTE(MID(UPPER($EI14),1+OR(LEFT(UPPER($EI14),1)="+",LEFT(UPPER($EI14),1)="-"),999),"E+","E"),"E-","E"))=LEN(SUBSTITUTE(SUBSTITUTE(SUBSTITUTE(SUBSTITUTE(MID(UPPER($EI14),1+OR(LEFT(UPPER($EI14),1)="+",LEFT(UPPER($EI14),1)="-"),999),"E+","E"),"E-","E"),"+",""),"-","")),LEN(UPPER($EI14))-LEN(SUBSTITUTE(UPPER($EI14),"E",""))&lt;2,LEN(UPPER($EI14))-LEN(SUBSTITUTE(UPPER($EI14),".",""))&lt;2,IFERROR(FIND(".",UPPER($EI14)),0)&lt;IFERROR(FIND("E",UPPER($EI14)),999)),ISNUMBER(VALUE($EI14)))),1,2)))</f>
        <v/>
      </c>
      <c r="EK14">
        <f>IF($DM14=0,"",IF($EJ14=1,IF(ISNUMBER($EI14),$EI14,VALUE($EI14)),IF($EJ14=2,$DE14,0)))</f>
        <v/>
      </c>
      <c r="EL14">
        <f>IF($DM14=0,"",COUNTIF($EG$5:$EG$1003,"&lt;"&amp;$EG14)+SUMPRODUCT(($EG$5:$EG$1003=$EG14)*(($EJ$5:$EJ$1003&lt;$EJ14)+($EJ$5:$EJ$1003=$EJ14)*(($EK$5:$EK$1003&lt;$EK14)+($EK$5:$EK$1003=$EK14)*($DE$5:$DE$1003&lt;$DE14))))+1)</f>
        <v/>
      </c>
      <c r="EM14">
        <f>IF($DM14=0,"",$EL14+$EG14-1)</f>
        <v/>
      </c>
      <c r="EN14">
        <f>IF($DM14=0,0,IFERROR(MATCH(1,INDEX(--(TRIM(SUBSTITUTE(SUBSTITUTE(SUBSTITUTE(SUBSTITUTE(LINES_NAME&amp;""," "," "),CHAR(9)," "),CHAR(10)," "),CHAR(13)," "))=$DH14),0),0),0))</f>
        <v/>
      </c>
      <c r="EO14">
        <f>IF($EN14=0,0,IF(OR(UPPER(TRIM(INDEX(LINES_SCHEDULED,$EN14)&amp;""))="YES",UPPER(TRIM(INDEX(LINES_SCHEDULED,$EN14)&amp;""))="Y",UPPER(TRIM(INDEX(LINES_SCHEDULED,$EN14)&amp;""))="X"),1,0))</f>
        <v/>
      </c>
      <c r="EP14">
        <f>IF($DM14=0,"",IF(COUNTIFS($EG$5:$EG$1003,$EG14,$EB$5:$EB$1003,"Ready")&gt;0,"READY",IF(COUNTIFS($EG$5:$EG$1003,$EG14,$EB$5:$EB$1003,"PM")&gt;0,"PM",IF(COUNTIFS($EG$5:$EG$1003,$EG14,$EB$5:$EB$1003,"OT")&gt;0,"OT",""))))</f>
        <v/>
      </c>
      <c r="EQ14">
        <f>IF($EN14=0,"",UPPER(TRIM(INDEX(LINES_STATUS,$EN14)&amp;"")))</f>
        <v/>
      </c>
      <c r="ER14">
        <f>IF($DM14=0,"",IF(OR($EQ14="READY",$EQ14="PM",$EQ14="OT"),$EQ14,$EP14))</f>
        <v/>
      </c>
      <c r="ES14">
        <f>IF($DM14=0,"",IF(AND($DV14&lt;&gt;"",UPPER($DV14)&lt;&gt;"N"),"allergen",IF(ISNUMBER(SEARCH("oil",$DQ14)),"oil",IF(OR(EXACT($DS14,"A662"),EXACT($DS14,"A624")),"bulk",""))))</f>
        <v/>
      </c>
      <c r="ET14">
        <f>IF($DM14=0,"",IF(OR($EA14="",$EA14=0),"",$EA14/100))</f>
        <v/>
      </c>
      <c r="EU14">
        <f>IF(OR($ET14="",$DY14=""),"",INT($DY14*(1-$ET14)+0.5))</f>
        <v/>
      </c>
      <c r="EW14" t="n">
        <v>10</v>
      </c>
      <c r="EX14">
        <f>IFERROR(MATCH($EW14,$EM$5:$EM$1003,0),0)</f>
        <v/>
      </c>
      <c r="EY14">
        <f>IF($EW14&gt;$B$12,"",IF($EX14&gt;0,"row","spacer"))</f>
        <v/>
      </c>
      <c r="EZ14">
        <f>IF(AND($EY14="row",$EY13&lt;&gt;"row"),1,0)</f>
        <v/>
      </c>
      <c r="FA14">
        <f>IF(AND($EY14="row",$EY15&lt;&gt;"row"),1,0)</f>
        <v/>
      </c>
      <c r="FB14">
        <f>IF($EZ14=1,IFERROR(IF(ISNUMBER(INDEX(PASTE_ALL,INDEX($DF$5:$DF$1003,$EX14),$B$37)),INDEX(PASTE_ALL,INDEX($DF$5:$DF$1003,$EX14),$B$37),INDEX($DH$5:$DH$1003,$EX14)),INDEX($DH$5:$DH$1003,$EX14)),"")</f>
        <v/>
      </c>
      <c r="FC14">
        <f>IF($EY14="row",INDEX($ER$5:$ER$1003,$EX14),"")</f>
        <v/>
      </c>
      <c r="FD14">
        <f>IF($EY14="row",INDEX($DN$5:$DN$1003,$EX14),"")</f>
        <v/>
      </c>
      <c r="FE14">
        <f>IF($EY14="row",INDEX($DO$5:$DO$1003,$EX14),"")</f>
        <v/>
      </c>
      <c r="FF14">
        <f>IF($EY14="row",INDEX($DP$5:$DP$1003,$EX14),"")</f>
        <v/>
      </c>
      <c r="FG14">
        <f>IF($EY14="row",INDEX($DQ$5:$DQ$1003,$EX14),"")</f>
        <v/>
      </c>
      <c r="FH14">
        <f>IF($EY14="row",INDEX($DR$5:$DR$1003,$EX14),"")</f>
        <v/>
      </c>
      <c r="FI14">
        <f>IF($EY14="row",INDEX($DS$5:$DS$1003,$EX14),"")</f>
        <v/>
      </c>
      <c r="FJ14">
        <f>IF($EY14="row",INDEX($DT$5:$DT$1003,$EX14),"")</f>
        <v/>
      </c>
      <c r="FK14">
        <f>IF($EY14="row",INDEX($DU$5:$DU$1003,$EX14),"")</f>
        <v/>
      </c>
      <c r="FL14">
        <f>IF($EY14="row",INDEX($DV$5:$DV$1003,$EX14),"")</f>
        <v/>
      </c>
      <c r="FM14">
        <f>IF($EY14="row",INDEX($DW$5:$DW$1003,$EX14),"")</f>
        <v/>
      </c>
      <c r="FN14">
        <f>IF($EY14="row",INDEX($DY$5:$DY$1003,$EX14),"")</f>
        <v/>
      </c>
      <c r="FO14">
        <f>IF($EY14="row",INDEX($EA$5:$EA$1003,$EX14),"")</f>
        <v/>
      </c>
      <c r="FP14">
        <f>IF($EY14="row",INDEX($EC$5:$EC$1003,$EX14),"")</f>
        <v/>
      </c>
      <c r="FQ14">
        <f>IF($EY14="row",INDEX($ET$5:$ET$1003,$EX14),"")</f>
        <v/>
      </c>
      <c r="FR14">
        <f>IF($EY14="row",INDEX($EU$5:$EU$1003,$EX14),"")</f>
        <v/>
      </c>
      <c r="FS14">
        <f>IF(AND($EY14="row",$EY13="row"),IF(OR(INDEX($DT$5:$DT$1003,$EX13)="",INDEX($DT$5:$DT$1003,$EX14)=""),"",IF(NOT(EXACT(INDEX($DT$5:$DT$1003,$EX13),INDEX($DT$5:$DT$1003,$EX14))),"S4",IF(NOT(EXACT(INDEX($DS$5:$DS$1003,$EX13),INDEX($DS$5:$DS$1003,$EX14))),"S3",IF(NOT(EXACT(INDEX($DR$5:$DR$1003,$EX13),INDEX($DR$5:$DR$1003,$EX14))),"S1 Count Change","S1")))),"")</f>
        <v/>
      </c>
      <c r="FT14">
        <f>IF($EY14="row",INDEX($ES$5:$ES$1003,$EX14),"")</f>
        <v/>
      </c>
      <c r="FU14">
        <f>IF($EY14="row",INDEX($EO$5:$EO$1003,$EX14),0)</f>
        <v/>
      </c>
      <c r="FV14">
        <f>IF($FS14="S1 Count Change",1,0)</f>
        <v/>
      </c>
      <c r="FX14" t="n">
        <v>10</v>
      </c>
      <c r="FY14">
        <f>IFERROR(MATCH($FX14,$EF$5:$EF$1003,0),0)</f>
        <v/>
      </c>
      <c r="FZ14">
        <f>IF($FY14=0,"",INDEX($DH$5:$DH$1003,$FY14))</f>
        <v/>
      </c>
      <c r="GA14">
        <f>IF($FY14=0,"",COUNTIF($EG$5:$EG$1003,$FX14))</f>
        <v/>
      </c>
      <c r="GB14">
        <f>IF($FY14=0,"",INDEX($ER$5:$ER$1003,$FY14))</f>
        <v/>
      </c>
      <c r="GC14">
        <f>IF($FY14=0,"",IF(INDEX($EO$5:$EO$1003,$FY14)=1,"Yes",""))</f>
        <v/>
      </c>
      <c r="GD14">
        <f>IF($FY14=0,"",IF(INDEX($EN$5:$EN$1003,$FY14)&gt;0,"","NOT IN YOUR LIST - type it in column A to tick it"))</f>
        <v/>
      </c>
      <c r="GE14">
        <f>IF(AND($FY14&gt;0,$GD14&lt;&gt;""),1,0)</f>
        <v/>
      </c>
      <c r="GF14">
        <f>GF13+$GE14</f>
        <v/>
      </c>
      <c r="GG14">
        <f>IFERROR(INDEX($FZ$5:$FZ$104,MATCH($FX14,$GF$5:$GF$104,0)),"")</f>
        <v/>
      </c>
    </row>
    <row r="15">
      <c r="A15" t="inlineStr">
        <is>
          <t>Window row of first WO</t>
        </is>
      </c>
      <c r="B15">
        <f>IFERROR(MATCH(1,$DM$5:$DM$1003,0),0)</f>
        <v/>
      </c>
      <c r="D15" t="n">
        <v>11</v>
      </c>
      <c r="E15" t="inlineStr">
        <is>
          <t>remarks</t>
        </is>
      </c>
      <c r="F15" t="inlineStr">
        <is>
          <t>Remarks</t>
        </is>
      </c>
      <c r="G15" t="n">
        <v>2048</v>
      </c>
      <c r="H15">
        <f>IFERROR(UPPER(TRIM('2. Check Columns'!$F$23&amp;"")),"#")</f>
        <v/>
      </c>
      <c r="I15">
        <f>IF(H15="",0,IF(OR(H15="-",H15="NONE"),-1,IFERROR(MATCH(1,INDEX(--EXACT($T$5:$T$64,H15),0),0),-2)))</f>
        <v/>
      </c>
      <c r="J15">
        <f>IF(I15&lt;=0,IF(I15=-1,-1,0),IF(COUNTIF($I$5:I14,I15)&gt;0,0,I15))</f>
        <v/>
      </c>
      <c r="K15">
        <f>IFERROR(MATCH(11,$Y$235:$CF$235,0),0)</f>
        <v/>
      </c>
      <c r="L15">
        <f>IFERROR(MATCH(11,$Y$239:$CF$239,0),0)</f>
        <v/>
      </c>
      <c r="M15">
        <f>IF(K15=0,"(not found)",INDEX($T$5:$T$64,K15))</f>
        <v/>
      </c>
      <c r="N15">
        <f>IF(L15=0,IF(J15=-1,"(left out)","(none)"),INDEX($T$5:$T$64,L15))</f>
        <v/>
      </c>
      <c r="O15">
        <f>IF(L15=0,"",IFERROR(TRIM(SUBSTITUTE(SUBSTITUTE(SUBSTITUTE(SUBSTITUTE(INDEX(PASTE_ALL,HEADER_ROW,L15)&amp;""," "," "),CHAR(9)," "),CHAR(10)," "),CHAR(13)," ")),""))</f>
        <v/>
      </c>
      <c r="P15">
        <f>IF(OR(L15=0,$B$16=0),"",IFERROR(IF(ISNUMBER(INDEX(PASTE_ALL,$B$16,L15)),INDEX(PASTE_ALL,$B$16,L15),TRIM(SUBSTITUTE(SUBSTITUTE(SUBSTITUTE(SUBSTITUTE(INDEX(PASTE_ALL,$B$16,L15)&amp;""," "," "),CHAR(9)," "),CHAR(10)," "),CHAR(13)," "))),""))</f>
        <v/>
      </c>
      <c r="Q15">
        <f>IF(I15=-2,"'"&amp;H15&amp;"' is not a column letter from A to BH - ignored",IF(AND(I15&gt;0,J15=0),"Column "&amp;H15&amp;" is already used by "&amp;INDEX($F$5:$F$19,MATCH(I15,$I$5:$I$19,0))&amp;" - ignored",IF(AND(J15=0,K15&gt;0,COUNTIF($J$5:$J$19,K15)&gt;0),"Column "&amp;M15&amp;" is used by "&amp;INDEX($F$5:$F$19,MATCH(K15,$J$5:$J$19,0))&amp;" (Override)"&amp;IF(L15&gt;0," - using column "&amp;N15&amp;" instead"," - not used"),IF(AND(J15&gt;0,K15&gt;0,J15&lt;&gt;K15),"Override in use - this file's own title for it is in column "&amp;M15&amp;" ("&amp;IFERROR(TRIM(SUBSTITUTE(SUBSTITUTE(SUBSTITUTE(SUBSTITUTE(INDEX(PASTE_ALL,HEADER_ROW,K15)&amp;""," "," "),CHAR(9)," "),CHAR(10)," "),CHAR(13)," ")),"")&amp;"). Clear the Override if that is right.",IF(AND(J15=-1,K15&gt;0),"Left out by the Override - this file has it in column "&amp;M15&amp;" ("&amp;IFERROR(TRIM(SUBSTITUTE(SUBSTITUTE(SUBSTITUTE(SUBSTITUTE(INDEX(PASTE_ALL,HEADER_ROW,K15)&amp;""," "," "),CHAR(9)," "),CHAR(10)," "),CHAR(13)," ")),"")&amp;").","")))))</f>
        <v/>
      </c>
      <c r="R15">
        <f>IF(OR(AND(J15&gt;0,K15&gt;0,J15&lt;&gt;K15),AND(J15=-1,K15&gt;0),AND(J15=0,K15&gt;0,COUNTIF($J$5:$J$19,K15)&gt;0)),1,0)</f>
        <v/>
      </c>
      <c r="S15" t="n">
        <v>11</v>
      </c>
      <c r="T15" t="inlineStr">
        <is>
          <t>K</t>
        </is>
      </c>
      <c r="V15" t="inlineStr">
        <is>
          <t>WORKORDER</t>
        </is>
      </c>
      <c r="W15" t="n">
        <v>2</v>
      </c>
      <c r="Y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 ",""),"!",""),CHAR(34),""),"#",""),"$",""),"%",""),"&amp;",""),"'",""),"(",""),")",""),"*",""),"+",""),",",""),"-",""),".",""),"/",""),":",""),";",""),"&lt;",""),"=",""),"&gt;",""),"?",""),"@",""),"[",""),"\",""),"]",""),"^",""),"_",""),"`",""),"{",""),"|",""),"}",""),"~",""),CHAR(9),""),CHAR(10),""),CHAR(13),"")," ",""),"")</f>
        <v/>
      </c>
      <c r="Z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 ",""),"!",""),CHAR(34),""),"#",""),"$",""),"%",""),"&amp;",""),"'",""),"(",""),")",""),"*",""),"+",""),",",""),"-",""),".",""),"/",""),":",""),";",""),"&lt;",""),"=",""),"&gt;",""),"?",""),"@",""),"[",""),"\",""),"]",""),"^",""),"_",""),"`",""),"{",""),"|",""),"}",""),"~",""),CHAR(9),""),CHAR(10),""),CHAR(13),"")," ",""),"")</f>
        <v/>
      </c>
      <c r="AA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 ",""),"!",""),CHAR(34),""),"#",""),"$",""),"%",""),"&amp;",""),"'",""),"(",""),")",""),"*",""),"+",""),",",""),"-",""),".",""),"/",""),":",""),";",""),"&lt;",""),"=",""),"&gt;",""),"?",""),"@",""),"[",""),"\",""),"]",""),"^",""),"_",""),"`",""),"{",""),"|",""),"}",""),"~",""),CHAR(9),""),CHAR(10),""),CHAR(13),"")," ",""),"")</f>
        <v/>
      </c>
      <c r="AB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 ",""),"!",""),CHAR(34),""),"#",""),"$",""),"%",""),"&amp;",""),"'",""),"(",""),")",""),"*",""),"+",""),",",""),"-",""),".",""),"/",""),":",""),";",""),"&lt;",""),"=",""),"&gt;",""),"?",""),"@",""),"[",""),"\",""),"]",""),"^",""),"_",""),"`",""),"{",""),"|",""),"}",""),"~",""),CHAR(9),""),CHAR(10),""),CHAR(13),"")," ",""),"")</f>
        <v/>
      </c>
      <c r="AC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 ",""),"!",""),CHAR(34),""),"#",""),"$",""),"%",""),"&amp;",""),"'",""),"(",""),")",""),"*",""),"+",""),",",""),"-",""),".",""),"/",""),":",""),";",""),"&lt;",""),"=",""),"&gt;",""),"?",""),"@",""),"[",""),"\",""),"]",""),"^",""),"_",""),"`",""),"{",""),"|",""),"}",""),"~",""),CHAR(9),""),CHAR(10),""),CHAR(13),"")," ",""),"")</f>
        <v/>
      </c>
      <c r="AD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11,6))," ",""),"!",""),CHAR(34),""),"#",""),"$",""),"%",""),"&amp;",""),"'",""),"(",""),")",""),"*",""),"+",""),",",""),"-",""),".",""),"/",""),":",""),";",""),"&lt;",""),"=",""),"&gt;",""),"?",""),"@",""),"[",""),"\",""),"]",""),"^",""),"_",""),"`",""),"{",""),"|",""),"}",""),"~",""),CHAR(9),""),CHAR(10),""),CHAR(13),"")," ",""),"")</f>
        <v/>
      </c>
      <c r="AE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11,7))," ",""),"!",""),CHAR(34),""),"#",""),"$",""),"%",""),"&amp;",""),"'",""),"(",""),")",""),"*",""),"+",""),",",""),"-",""),".",""),"/",""),":",""),";",""),"&lt;",""),"=",""),"&gt;",""),"?",""),"@",""),"[",""),"\",""),"]",""),"^",""),"_",""),"`",""),"{",""),"|",""),"}",""),"~",""),CHAR(9),""),CHAR(10),""),CHAR(13),"")," ",""),"")</f>
        <v/>
      </c>
      <c r="AF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11,8))," ",""),"!",""),CHAR(34),""),"#",""),"$",""),"%",""),"&amp;",""),"'",""),"(",""),")",""),"*",""),"+",""),",",""),"-",""),".",""),"/",""),":",""),";",""),"&lt;",""),"=",""),"&gt;",""),"?",""),"@",""),"[",""),"\",""),"]",""),"^",""),"_",""),"`",""),"{",""),"|",""),"}",""),"~",""),CHAR(9),""),CHAR(10),""),CHAR(13),"")," ",""),"")</f>
        <v/>
      </c>
      <c r="AG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11,9))," ",""),"!",""),CHAR(34),""),"#",""),"$",""),"%",""),"&amp;",""),"'",""),"(",""),")",""),"*",""),"+",""),",",""),"-",""),".",""),"/",""),":",""),";",""),"&lt;",""),"=",""),"&gt;",""),"?",""),"@",""),"[",""),"\",""),"]",""),"^",""),"_",""),"`",""),"{",""),"|",""),"}",""),"~",""),CHAR(9),""),CHAR(10),""),CHAR(13),"")," ",""),"")</f>
        <v/>
      </c>
      <c r="AH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11,10))," ",""),"!",""),CHAR(34),""),"#",""),"$",""),"%",""),"&amp;",""),"'",""),"(",""),")",""),"*",""),"+",""),",",""),"-",""),".",""),"/",""),":",""),";",""),"&lt;",""),"=",""),"&gt;",""),"?",""),"@",""),"[",""),"\",""),"]",""),"^",""),"_",""),"`",""),"{",""),"|",""),"}",""),"~",""),CHAR(9),""),CHAR(10),""),CHAR(13),"")," ",""),"")</f>
        <v/>
      </c>
      <c r="AI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11,11))," ",""),"!",""),CHAR(34),""),"#",""),"$",""),"%",""),"&amp;",""),"'",""),"(",""),")",""),"*",""),"+",""),",",""),"-",""),".",""),"/",""),":",""),";",""),"&lt;",""),"=",""),"&gt;",""),"?",""),"@",""),"[",""),"\",""),"]",""),"^",""),"_",""),"`",""),"{",""),"|",""),"}",""),"~",""),CHAR(9),""),CHAR(10),""),CHAR(13),"")," ",""),"")</f>
        <v/>
      </c>
      <c r="AJ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11,12))," ",""),"!",""),CHAR(34),""),"#",""),"$",""),"%",""),"&amp;",""),"'",""),"(",""),")",""),"*",""),"+",""),",",""),"-",""),".",""),"/",""),":",""),";",""),"&lt;",""),"=",""),"&gt;",""),"?",""),"@",""),"[",""),"\",""),"]",""),"^",""),"_",""),"`",""),"{",""),"|",""),"}",""),"~",""),CHAR(9),""),CHAR(10),""),CHAR(13),"")," ",""),"")</f>
        <v/>
      </c>
      <c r="AK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11,13))," ",""),"!",""),CHAR(34),""),"#",""),"$",""),"%",""),"&amp;",""),"'",""),"(",""),")",""),"*",""),"+",""),",",""),"-",""),".",""),"/",""),":",""),";",""),"&lt;",""),"=",""),"&gt;",""),"?",""),"@",""),"[",""),"\",""),"]",""),"^",""),"_",""),"`",""),"{",""),"|",""),"}",""),"~",""),CHAR(9),""),CHAR(10),""),CHAR(13),"")," ",""),"")</f>
        <v/>
      </c>
      <c r="AL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11,14))," ",""),"!",""),CHAR(34),""),"#",""),"$",""),"%",""),"&amp;",""),"'",""),"(",""),")",""),"*",""),"+",""),",",""),"-",""),".",""),"/",""),":",""),";",""),"&lt;",""),"=",""),"&gt;",""),"?",""),"@",""),"[",""),"\",""),"]",""),"^",""),"_",""),"`",""),"{",""),"|",""),"}",""),"~",""),CHAR(9),""),CHAR(10),""),CHAR(13),"")," ",""),"")</f>
        <v/>
      </c>
      <c r="AM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11,15))," ",""),"!",""),CHAR(34),""),"#",""),"$",""),"%",""),"&amp;",""),"'",""),"(",""),")",""),"*",""),"+",""),",",""),"-",""),".",""),"/",""),":",""),";",""),"&lt;",""),"=",""),"&gt;",""),"?",""),"@",""),"[",""),"\",""),"]",""),"^",""),"_",""),"`",""),"{",""),"|",""),"}",""),"~",""),CHAR(9),""),CHAR(10),""),CHAR(13),"")," ",""),"")</f>
        <v/>
      </c>
      <c r="AN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11,16))," ",""),"!",""),CHAR(34),""),"#",""),"$",""),"%",""),"&amp;",""),"'",""),"(",""),")",""),"*",""),"+",""),",",""),"-",""),".",""),"/",""),":",""),";",""),"&lt;",""),"=",""),"&gt;",""),"?",""),"@",""),"[",""),"\",""),"]",""),"^",""),"_",""),"`",""),"{",""),"|",""),"}",""),"~",""),CHAR(9),""),CHAR(10),""),CHAR(13),"")," ",""),"")</f>
        <v/>
      </c>
      <c r="AO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11,17))," ",""),"!",""),CHAR(34),""),"#",""),"$",""),"%",""),"&amp;",""),"'",""),"(",""),")",""),"*",""),"+",""),",",""),"-",""),".",""),"/",""),":",""),";",""),"&lt;",""),"=",""),"&gt;",""),"?",""),"@",""),"[",""),"\",""),"]",""),"^",""),"_",""),"`",""),"{",""),"|",""),"}",""),"~",""),CHAR(9),""),CHAR(10),""),CHAR(13),"")," ",""),"")</f>
        <v/>
      </c>
      <c r="AP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11,18))," ",""),"!",""),CHAR(34),""),"#",""),"$",""),"%",""),"&amp;",""),"'",""),"(",""),")",""),"*",""),"+",""),",",""),"-",""),".",""),"/",""),":",""),";",""),"&lt;",""),"=",""),"&gt;",""),"?",""),"@",""),"[",""),"\",""),"]",""),"^",""),"_",""),"`",""),"{",""),"|",""),"}",""),"~",""),CHAR(9),""),CHAR(10),""),CHAR(13),"")," ",""),"")</f>
        <v/>
      </c>
      <c r="AQ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11,19))," ",""),"!",""),CHAR(34),""),"#",""),"$",""),"%",""),"&amp;",""),"'",""),"(",""),")",""),"*",""),"+",""),",",""),"-",""),".",""),"/",""),":",""),";",""),"&lt;",""),"=",""),"&gt;",""),"?",""),"@",""),"[",""),"\",""),"]",""),"^",""),"_",""),"`",""),"{",""),"|",""),"}",""),"~",""),CHAR(9),""),CHAR(10),""),CHAR(13),"")," ",""),"")</f>
        <v/>
      </c>
      <c r="AR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11,20))," ",""),"!",""),CHAR(34),""),"#",""),"$",""),"%",""),"&amp;",""),"'",""),"(",""),")",""),"*",""),"+",""),",",""),"-",""),".",""),"/",""),":",""),";",""),"&lt;",""),"=",""),"&gt;",""),"?",""),"@",""),"[",""),"\",""),"]",""),"^",""),"_",""),"`",""),"{",""),"|",""),"}",""),"~",""),CHAR(9),""),CHAR(10),""),CHAR(13),"")," ",""),"")</f>
        <v/>
      </c>
      <c r="AS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11,21))," ",""),"!",""),CHAR(34),""),"#",""),"$",""),"%",""),"&amp;",""),"'",""),"(",""),")",""),"*",""),"+",""),",",""),"-",""),".",""),"/",""),":",""),";",""),"&lt;",""),"=",""),"&gt;",""),"?",""),"@",""),"[",""),"\",""),"]",""),"^",""),"_",""),"`",""),"{",""),"|",""),"}",""),"~",""),CHAR(9),""),CHAR(10),""),CHAR(13),"")," ",""),"")</f>
        <v/>
      </c>
      <c r="AT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11,22))," ",""),"!",""),CHAR(34),""),"#",""),"$",""),"%",""),"&amp;",""),"'",""),"(",""),")",""),"*",""),"+",""),",",""),"-",""),".",""),"/",""),":",""),";",""),"&lt;",""),"=",""),"&gt;",""),"?",""),"@",""),"[",""),"\",""),"]",""),"^",""),"_",""),"`",""),"{",""),"|",""),"}",""),"~",""),CHAR(9),""),CHAR(10),""),CHAR(13),"")," ",""),"")</f>
        <v/>
      </c>
      <c r="AU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11,23))," ",""),"!",""),CHAR(34),""),"#",""),"$",""),"%",""),"&amp;",""),"'",""),"(",""),")",""),"*",""),"+",""),",",""),"-",""),".",""),"/",""),":",""),";",""),"&lt;",""),"=",""),"&gt;",""),"?",""),"@",""),"[",""),"\",""),"]",""),"^",""),"_",""),"`",""),"{",""),"|",""),"}",""),"~",""),CHAR(9),""),CHAR(10),""),CHAR(13),"")," ",""),"")</f>
        <v/>
      </c>
      <c r="AV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11,24))," ",""),"!",""),CHAR(34),""),"#",""),"$",""),"%",""),"&amp;",""),"'",""),"(",""),")",""),"*",""),"+",""),",",""),"-",""),".",""),"/",""),":",""),";",""),"&lt;",""),"=",""),"&gt;",""),"?",""),"@",""),"[",""),"\",""),"]",""),"^",""),"_",""),"`",""),"{",""),"|",""),"}",""),"~",""),CHAR(9),""),CHAR(10),""),CHAR(13),"")," ",""),"")</f>
        <v/>
      </c>
      <c r="AW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11,25))," ",""),"!",""),CHAR(34),""),"#",""),"$",""),"%",""),"&amp;",""),"'",""),"(",""),")",""),"*",""),"+",""),",",""),"-",""),".",""),"/",""),":",""),";",""),"&lt;",""),"=",""),"&gt;",""),"?",""),"@",""),"[",""),"\",""),"]",""),"^",""),"_",""),"`",""),"{",""),"|",""),"}",""),"~",""),CHAR(9),""),CHAR(10),""),CHAR(13),"")," ",""),"")</f>
        <v/>
      </c>
      <c r="AX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11,26))," ",""),"!",""),CHAR(34),""),"#",""),"$",""),"%",""),"&amp;",""),"'",""),"(",""),")",""),"*",""),"+",""),",",""),"-",""),".",""),"/",""),":",""),";",""),"&lt;",""),"=",""),"&gt;",""),"?",""),"@",""),"[",""),"\",""),"]",""),"^",""),"_",""),"`",""),"{",""),"|",""),"}",""),"~",""),CHAR(9),""),CHAR(10),""),CHAR(13),"")," ",""),"")</f>
        <v/>
      </c>
      <c r="AY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11,27))," ",""),"!",""),CHAR(34),""),"#",""),"$",""),"%",""),"&amp;",""),"'",""),"(",""),")",""),"*",""),"+",""),",",""),"-",""),".",""),"/",""),":",""),";",""),"&lt;",""),"=",""),"&gt;",""),"?",""),"@",""),"[",""),"\",""),"]",""),"^",""),"_",""),"`",""),"{",""),"|",""),"}",""),"~",""),CHAR(9),""),CHAR(10),""),CHAR(13),"")," ",""),"")</f>
        <v/>
      </c>
      <c r="AZ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11,28))," ",""),"!",""),CHAR(34),""),"#",""),"$",""),"%",""),"&amp;",""),"'",""),"(",""),")",""),"*",""),"+",""),",",""),"-",""),".",""),"/",""),":",""),";",""),"&lt;",""),"=",""),"&gt;",""),"?",""),"@",""),"[",""),"\",""),"]",""),"^",""),"_",""),"`",""),"{",""),"|",""),"}",""),"~",""),CHAR(9),""),CHAR(10),""),CHAR(13),"")," ",""),"")</f>
        <v/>
      </c>
      <c r="BA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11,29))," ",""),"!",""),CHAR(34),""),"#",""),"$",""),"%",""),"&amp;",""),"'",""),"(",""),")",""),"*",""),"+",""),",",""),"-",""),".",""),"/",""),":",""),";",""),"&lt;",""),"=",""),"&gt;",""),"?",""),"@",""),"[",""),"\",""),"]",""),"^",""),"_",""),"`",""),"{",""),"|",""),"}",""),"~",""),CHAR(9),""),CHAR(10),""),CHAR(13),"")," ",""),"")</f>
        <v/>
      </c>
      <c r="BB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11,30))," ",""),"!",""),CHAR(34),""),"#",""),"$",""),"%",""),"&amp;",""),"'",""),"(",""),")",""),"*",""),"+",""),",",""),"-",""),".",""),"/",""),":",""),";",""),"&lt;",""),"=",""),"&gt;",""),"?",""),"@",""),"[",""),"\",""),"]",""),"^",""),"_",""),"`",""),"{",""),"|",""),"}",""),"~",""),CHAR(9),""),CHAR(10),""),CHAR(13),"")," ",""),"")</f>
        <v/>
      </c>
      <c r="BC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11,31))," ",""),"!",""),CHAR(34),""),"#",""),"$",""),"%",""),"&amp;",""),"'",""),"(",""),")",""),"*",""),"+",""),",",""),"-",""),".",""),"/",""),":",""),";",""),"&lt;",""),"=",""),"&gt;",""),"?",""),"@",""),"[",""),"\",""),"]",""),"^",""),"_",""),"`",""),"{",""),"|",""),"}",""),"~",""),CHAR(9),""),CHAR(10),""),CHAR(13),"")," ",""),"")</f>
        <v/>
      </c>
      <c r="BD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11,32))," ",""),"!",""),CHAR(34),""),"#",""),"$",""),"%",""),"&amp;",""),"'",""),"(",""),")",""),"*",""),"+",""),",",""),"-",""),".",""),"/",""),":",""),";",""),"&lt;",""),"=",""),"&gt;",""),"?",""),"@",""),"[",""),"\",""),"]",""),"^",""),"_",""),"`",""),"{",""),"|",""),"}",""),"~",""),CHAR(9),""),CHAR(10),""),CHAR(13),"")," ",""),"")</f>
        <v/>
      </c>
      <c r="BE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11,33))," ",""),"!",""),CHAR(34),""),"#",""),"$",""),"%",""),"&amp;",""),"'",""),"(",""),")",""),"*",""),"+",""),",",""),"-",""),".",""),"/",""),":",""),";",""),"&lt;",""),"=",""),"&gt;",""),"?",""),"@",""),"[",""),"\",""),"]",""),"^",""),"_",""),"`",""),"{",""),"|",""),"}",""),"~",""),CHAR(9),""),CHAR(10),""),CHAR(13),"")," ",""),"")</f>
        <v/>
      </c>
      <c r="BF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11,34))," ",""),"!",""),CHAR(34),""),"#",""),"$",""),"%",""),"&amp;",""),"'",""),"(",""),")",""),"*",""),"+",""),",",""),"-",""),".",""),"/",""),":",""),";",""),"&lt;",""),"=",""),"&gt;",""),"?",""),"@",""),"[",""),"\",""),"]",""),"^",""),"_",""),"`",""),"{",""),"|",""),"}",""),"~",""),CHAR(9),""),CHAR(10),""),CHAR(13),"")," ",""),"")</f>
        <v/>
      </c>
      <c r="BG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11,35))," ",""),"!",""),CHAR(34),""),"#",""),"$",""),"%",""),"&amp;",""),"'",""),"(",""),")",""),"*",""),"+",""),",",""),"-",""),".",""),"/",""),":",""),";",""),"&lt;",""),"=",""),"&gt;",""),"?",""),"@",""),"[",""),"\",""),"]",""),"^",""),"_",""),"`",""),"{",""),"|",""),"}",""),"~",""),CHAR(9),""),CHAR(10),""),CHAR(13),"")," ",""),"")</f>
        <v/>
      </c>
      <c r="BH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11,36))," ",""),"!",""),CHAR(34),""),"#",""),"$",""),"%",""),"&amp;",""),"'",""),"(",""),")",""),"*",""),"+",""),",",""),"-",""),".",""),"/",""),":",""),";",""),"&lt;",""),"=",""),"&gt;",""),"?",""),"@",""),"[",""),"\",""),"]",""),"^",""),"_",""),"`",""),"{",""),"|",""),"}",""),"~",""),CHAR(9),""),CHAR(10),""),CHAR(13),"")," ",""),"")</f>
        <v/>
      </c>
      <c r="BI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11,37))," ",""),"!",""),CHAR(34),""),"#",""),"$",""),"%",""),"&amp;",""),"'",""),"(",""),")",""),"*",""),"+",""),",",""),"-",""),".",""),"/",""),":",""),";",""),"&lt;",""),"=",""),"&gt;",""),"?",""),"@",""),"[",""),"\",""),"]",""),"^",""),"_",""),"`",""),"{",""),"|",""),"}",""),"~",""),CHAR(9),""),CHAR(10),""),CHAR(13),"")," ",""),"")</f>
        <v/>
      </c>
      <c r="BJ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11,38))," ",""),"!",""),CHAR(34),""),"#",""),"$",""),"%",""),"&amp;",""),"'",""),"(",""),")",""),"*",""),"+",""),",",""),"-",""),".",""),"/",""),":",""),";",""),"&lt;",""),"=",""),"&gt;",""),"?",""),"@",""),"[",""),"\",""),"]",""),"^",""),"_",""),"`",""),"{",""),"|",""),"}",""),"~",""),CHAR(9),""),CHAR(10),""),CHAR(13),"")," ",""),"")</f>
        <v/>
      </c>
      <c r="BK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11,39))," ",""),"!",""),CHAR(34),""),"#",""),"$",""),"%",""),"&amp;",""),"'",""),"(",""),")",""),"*",""),"+",""),",",""),"-",""),".",""),"/",""),":",""),";",""),"&lt;",""),"=",""),"&gt;",""),"?",""),"@",""),"[",""),"\",""),"]",""),"^",""),"_",""),"`",""),"{",""),"|",""),"}",""),"~",""),CHAR(9),""),CHAR(10),""),CHAR(13),"")," ",""),"")</f>
        <v/>
      </c>
      <c r="BL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11,40))," ",""),"!",""),CHAR(34),""),"#",""),"$",""),"%",""),"&amp;",""),"'",""),"(",""),")",""),"*",""),"+",""),",",""),"-",""),".",""),"/",""),":",""),";",""),"&lt;",""),"=",""),"&gt;",""),"?",""),"@",""),"[",""),"\",""),"]",""),"^",""),"_",""),"`",""),"{",""),"|",""),"}",""),"~",""),CHAR(9),""),CHAR(10),""),CHAR(13),"")," ",""),"")</f>
        <v/>
      </c>
      <c r="BM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11,41))," ",""),"!",""),CHAR(34),""),"#",""),"$",""),"%",""),"&amp;",""),"'",""),"(",""),")",""),"*",""),"+",""),",",""),"-",""),".",""),"/",""),":",""),";",""),"&lt;",""),"=",""),"&gt;",""),"?",""),"@",""),"[",""),"\",""),"]",""),"^",""),"_",""),"`",""),"{",""),"|",""),"}",""),"~",""),CHAR(9),""),CHAR(10),""),CHAR(13),"")," ",""),"")</f>
        <v/>
      </c>
      <c r="BN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11,42))," ",""),"!",""),CHAR(34),""),"#",""),"$",""),"%",""),"&amp;",""),"'",""),"(",""),")",""),"*",""),"+",""),",",""),"-",""),".",""),"/",""),":",""),";",""),"&lt;",""),"=",""),"&gt;",""),"?",""),"@",""),"[",""),"\",""),"]",""),"^",""),"_",""),"`",""),"{",""),"|",""),"}",""),"~",""),CHAR(9),""),CHAR(10),""),CHAR(13),"")," ",""),"")</f>
        <v/>
      </c>
      <c r="BO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11,43))," ",""),"!",""),CHAR(34),""),"#",""),"$",""),"%",""),"&amp;",""),"'",""),"(",""),")",""),"*",""),"+",""),",",""),"-",""),".",""),"/",""),":",""),";",""),"&lt;",""),"=",""),"&gt;",""),"?",""),"@",""),"[",""),"\",""),"]",""),"^",""),"_",""),"`",""),"{",""),"|",""),"}",""),"~",""),CHAR(9),""),CHAR(10),""),CHAR(13),"")," ",""),"")</f>
        <v/>
      </c>
      <c r="BP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11,44))," ",""),"!",""),CHAR(34),""),"#",""),"$",""),"%",""),"&amp;",""),"'",""),"(",""),")",""),"*",""),"+",""),",",""),"-",""),".",""),"/",""),":",""),";",""),"&lt;",""),"=",""),"&gt;",""),"?",""),"@",""),"[",""),"\",""),"]",""),"^",""),"_",""),"`",""),"{",""),"|",""),"}",""),"~",""),CHAR(9),""),CHAR(10),""),CHAR(13),"")," ",""),"")</f>
        <v/>
      </c>
      <c r="BQ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11,45))," ",""),"!",""),CHAR(34),""),"#",""),"$",""),"%",""),"&amp;",""),"'",""),"(",""),")",""),"*",""),"+",""),",",""),"-",""),".",""),"/",""),":",""),";",""),"&lt;",""),"=",""),"&gt;",""),"?",""),"@",""),"[",""),"\",""),"]",""),"^",""),"_",""),"`",""),"{",""),"|",""),"}",""),"~",""),CHAR(9),""),CHAR(10),""),CHAR(13),"")," ",""),"")</f>
        <v/>
      </c>
      <c r="BR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11,46))," ",""),"!",""),CHAR(34),""),"#",""),"$",""),"%",""),"&amp;",""),"'",""),"(",""),")",""),"*",""),"+",""),",",""),"-",""),".",""),"/",""),":",""),";",""),"&lt;",""),"=",""),"&gt;",""),"?",""),"@",""),"[",""),"\",""),"]",""),"^",""),"_",""),"`",""),"{",""),"|",""),"}",""),"~",""),CHAR(9),""),CHAR(10),""),CHAR(13),"")," ",""),"")</f>
        <v/>
      </c>
      <c r="BS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11,47))," ",""),"!",""),CHAR(34),""),"#",""),"$",""),"%",""),"&amp;",""),"'",""),"(",""),")",""),"*",""),"+",""),",",""),"-",""),".",""),"/",""),":",""),";",""),"&lt;",""),"=",""),"&gt;",""),"?",""),"@",""),"[",""),"\",""),"]",""),"^",""),"_",""),"`",""),"{",""),"|",""),"}",""),"~",""),CHAR(9),""),CHAR(10),""),CHAR(13),"")," ",""),"")</f>
        <v/>
      </c>
      <c r="BT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11,48))," ",""),"!",""),CHAR(34),""),"#",""),"$",""),"%",""),"&amp;",""),"'",""),"(",""),")",""),"*",""),"+",""),",",""),"-",""),".",""),"/",""),":",""),";",""),"&lt;",""),"=",""),"&gt;",""),"?",""),"@",""),"[",""),"\",""),"]",""),"^",""),"_",""),"`",""),"{",""),"|",""),"}",""),"~",""),CHAR(9),""),CHAR(10),""),CHAR(13),"")," ",""),"")</f>
        <v/>
      </c>
      <c r="BU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11,49))," ",""),"!",""),CHAR(34),""),"#",""),"$",""),"%",""),"&amp;",""),"'",""),"(",""),")",""),"*",""),"+",""),",",""),"-",""),".",""),"/",""),":",""),";",""),"&lt;",""),"=",""),"&gt;",""),"?",""),"@",""),"[",""),"\",""),"]",""),"^",""),"_",""),"`",""),"{",""),"|",""),"}",""),"~",""),CHAR(9),""),CHAR(10),""),CHAR(13),"")," ",""),"")</f>
        <v/>
      </c>
      <c r="BV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11,50))," ",""),"!",""),CHAR(34),""),"#",""),"$",""),"%",""),"&amp;",""),"'",""),"(",""),")",""),"*",""),"+",""),",",""),"-",""),".",""),"/",""),":",""),";",""),"&lt;",""),"=",""),"&gt;",""),"?",""),"@",""),"[",""),"\",""),"]",""),"^",""),"_",""),"`",""),"{",""),"|",""),"}",""),"~",""),CHAR(9),""),CHAR(10),""),CHAR(13),"")," ",""),"")</f>
        <v/>
      </c>
      <c r="BW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11,51))," ",""),"!",""),CHAR(34),""),"#",""),"$",""),"%",""),"&amp;",""),"'",""),"(",""),")",""),"*",""),"+",""),",",""),"-",""),".",""),"/",""),":",""),";",""),"&lt;",""),"=",""),"&gt;",""),"?",""),"@",""),"[",""),"\",""),"]",""),"^",""),"_",""),"`",""),"{",""),"|",""),"}",""),"~",""),CHAR(9),""),CHAR(10),""),CHAR(13),"")," ",""),"")</f>
        <v/>
      </c>
      <c r="BX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11,52))," ",""),"!",""),CHAR(34),""),"#",""),"$",""),"%",""),"&amp;",""),"'",""),"(",""),")",""),"*",""),"+",""),",",""),"-",""),".",""),"/",""),":",""),";",""),"&lt;",""),"=",""),"&gt;",""),"?",""),"@",""),"[",""),"\",""),"]",""),"^",""),"_",""),"`",""),"{",""),"|",""),"}",""),"~",""),CHAR(9),""),CHAR(10),""),CHAR(13),"")," ",""),"")</f>
        <v/>
      </c>
      <c r="BY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11,53))," ",""),"!",""),CHAR(34),""),"#",""),"$",""),"%",""),"&amp;",""),"'",""),"(",""),")",""),"*",""),"+",""),",",""),"-",""),".",""),"/",""),":",""),";",""),"&lt;",""),"=",""),"&gt;",""),"?",""),"@",""),"[",""),"\",""),"]",""),"^",""),"_",""),"`",""),"{",""),"|",""),"}",""),"~",""),CHAR(9),""),CHAR(10),""),CHAR(13),"")," ",""),"")</f>
        <v/>
      </c>
      <c r="BZ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11,54))," ",""),"!",""),CHAR(34),""),"#",""),"$",""),"%",""),"&amp;",""),"'",""),"(",""),")",""),"*",""),"+",""),",",""),"-",""),".",""),"/",""),":",""),";",""),"&lt;",""),"=",""),"&gt;",""),"?",""),"@",""),"[",""),"\",""),"]",""),"^",""),"_",""),"`",""),"{",""),"|",""),"}",""),"~",""),CHAR(9),""),CHAR(10),""),CHAR(13),"")," ",""),"")</f>
        <v/>
      </c>
      <c r="CA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11,55))," ",""),"!",""),CHAR(34),""),"#",""),"$",""),"%",""),"&amp;",""),"'",""),"(",""),")",""),"*",""),"+",""),",",""),"-",""),".",""),"/",""),":",""),";",""),"&lt;",""),"=",""),"&gt;",""),"?",""),"@",""),"[",""),"\",""),"]",""),"^",""),"_",""),"`",""),"{",""),"|",""),"}",""),"~",""),CHAR(9),""),CHAR(10),""),CHAR(13),"")," ",""),"")</f>
        <v/>
      </c>
      <c r="CB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11,56))," ",""),"!",""),CHAR(34),""),"#",""),"$",""),"%",""),"&amp;",""),"'",""),"(",""),")",""),"*",""),"+",""),",",""),"-",""),".",""),"/",""),":",""),";",""),"&lt;",""),"=",""),"&gt;",""),"?",""),"@",""),"[",""),"\",""),"]",""),"^",""),"_",""),"`",""),"{",""),"|",""),"}",""),"~",""),CHAR(9),""),CHAR(10),""),CHAR(13),"")," ",""),"")</f>
        <v/>
      </c>
      <c r="CC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11,57))," ",""),"!",""),CHAR(34),""),"#",""),"$",""),"%",""),"&amp;",""),"'",""),"(",""),")",""),"*",""),"+",""),",",""),"-",""),".",""),"/",""),":",""),";",""),"&lt;",""),"=",""),"&gt;",""),"?",""),"@",""),"[",""),"\",""),"]",""),"^",""),"_",""),"`",""),"{",""),"|",""),"}",""),"~",""),CHAR(9),""),CHAR(10),""),CHAR(13),"")," ",""),"")</f>
        <v/>
      </c>
      <c r="CD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11,58))," ",""),"!",""),CHAR(34),""),"#",""),"$",""),"%",""),"&amp;",""),"'",""),"(",""),")",""),"*",""),"+",""),",",""),"-",""),".",""),"/",""),":",""),";",""),"&lt;",""),"=",""),"&gt;",""),"?",""),"@",""),"[",""),"\",""),"]",""),"^",""),"_",""),"`",""),"{",""),"|",""),"}",""),"~",""),CHAR(9),""),CHAR(10),""),CHAR(13),"")," ",""),"")</f>
        <v/>
      </c>
      <c r="CE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11,59))," ",""),"!",""),CHAR(34),""),"#",""),"$",""),"%",""),"&amp;",""),"'",""),"(",""),")",""),"*",""),"+",""),",",""),"-",""),".",""),"/",""),":",""),";",""),"&lt;",""),"=",""),"&gt;",""),"?",""),"@",""),"[",""),"\",""),"]",""),"^",""),"_",""),"`",""),"{",""),"|",""),"}",""),"~",""),CHAR(9),""),CHAR(10),""),CHAR(13),"")," ",""),"")</f>
        <v/>
      </c>
      <c r="CF1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11,60))," ",""),"!",""),CHAR(34),""),"#",""),"$",""),"%",""),"&amp;",""),"'",""),"(",""),")",""),"*",""),"+",""),",",""),"-",""),".",""),"/",""),":",""),";",""),"&lt;",""),"=",""),"&gt;",""),"?",""),"@",""),"[",""),"\",""),"]",""),"^",""),"_",""),"`",""),"{",""),"|",""),"}",""),"~",""),CHAR(9),""),CHAR(10),""),CHAR(13),"")," ",""),"")</f>
        <v/>
      </c>
      <c r="CH15">
        <f>COUNTIF($Y60:$CF60,"&gt;0")</f>
        <v/>
      </c>
      <c r="CI15">
        <f>COUNTIF($Y60:$CF60,2)</f>
        <v/>
      </c>
      <c r="CJ15">
        <f>SUMPRODUCT((COUNTIF($Y105:$CF105,{1,2,3,4,5,6,7,8,9,10,11,12,13,14,15})&gt;0)*{2,4,8,16,32,64,128,256,512,1024,2048,4096,8192,16384,32768})</f>
        <v/>
      </c>
      <c r="CK15">
        <f>CF195</f>
        <v/>
      </c>
      <c r="CL15">
        <f>SUMPRODUCT(MOD(INT(((CJ15+CK15))/{2,4,8,16,32,64,128,256,512,1024,2048,4096,8192,16384,32768}),2))</f>
        <v/>
      </c>
      <c r="CM15">
        <f>IF(CH15&lt;2,-9999,CL15+2*MOD(INT(((CJ15+CK15))/2),2)+2*MOD(INT(((CJ15+CK15))/4),2)-CI15)</f>
        <v/>
      </c>
      <c r="DA15" t="n">
        <v>11</v>
      </c>
      <c r="DB15">
        <f>IF($B$37=0,"",IFERROR(TRIM(SUBSTITUTE(SUBSTITUTE(SUBSTITUTE(SUBSTITUTE(INDEX(PASTE_ALL,11,$B$37)," "," "),CHAR(9)," "),CHAR(10)," "),CHAR(13)," ")),""))</f>
        <v/>
      </c>
      <c r="DC15">
        <f>IF(AND(11&gt;HEADER_ROW,UPPER(DB15)="LEGEND"),1,0)</f>
        <v/>
      </c>
      <c r="DE15" t="n">
        <v>11</v>
      </c>
      <c r="DF15">
        <f>HEADER_ROW+$DE15</f>
        <v/>
      </c>
      <c r="DG15">
        <f>IF(AND($DF15&lt;=1000,$DF15&lt;$B$8),1,0)</f>
        <v/>
      </c>
      <c r="DH15">
        <f>IF($DG15=1,IFERROR(INDEX($DB$5:$DB$1004,$DF15),""),"")</f>
        <v/>
      </c>
      <c r="DI15">
        <f>IF(AND($DG15=1,$DH15&lt;&gt;""),IFERROR(SUBSTITUTE(SUBSTITUTE(TRIM(SUBSTITUTE(SUBSTITUTE(SUBSTITUTE(SUBSTITUTE(IFERROR(INDEX(PASTE_ALL,$DF15,1)&amp;"","")&amp;"␟"&amp;IFERROR(INDEX(PASTE_ALL,$DF15,2)&amp;"","")&amp;"␟"&amp;IFERROR(INDEX(PASTE_ALL,$DF15,3)&amp;"","")&amp;"␟"&amp;IFERROR(INDEX(PASTE_ALL,$DF15,4)&amp;"","")&amp;"␟"&amp;IFERROR(INDEX(PASTE_ALL,$DF15,5)&amp;"","")&amp;"␟"&amp;IFERROR(INDEX(PASTE_ALL,$DF15,6)&amp;"","")&amp;"␟"&amp;IFERROR(INDEX(PASTE_ALL,$DF15,7)&amp;"","")&amp;"␟"&amp;IFERROR(INDEX(PASTE_ALL,$DF15,8)&amp;"","")&amp;"␟"&amp;IFERROR(INDEX(PASTE_ALL,$DF15,9)&amp;"","")&amp;"␟"&amp;IFERROR(INDEX(PASTE_ALL,$DF15,10)&amp;"","")&amp;"␟"&amp;IFERROR(INDEX(PASTE_ALL,$DF15,11)&amp;"","")&amp;"␟"&amp;IFERROR(INDEX(PASTE_ALL,$DF15,12)&amp;"","")&amp;"␟"&amp;IFERROR(INDEX(PASTE_ALL,$DF15,13)&amp;"","")&amp;"␟"&amp;IFERROR(INDEX(PASTE_ALL,$DF15,14)&amp;"","")&amp;"␟"&amp;IFERROR(INDEX(PASTE_ALL,$DF15,15)&amp;"","")&amp;"␟"&amp;IFERROR(INDEX(PASTE_ALL,$DF15,16)&amp;"","")&amp;"␟"&amp;IFERROR(INDEX(PASTE_ALL,$DF15,17)&amp;"","")&amp;"␟"&amp;IFERROR(INDEX(PASTE_ALL,$DF15,18)&amp;"","")&amp;"␟"&amp;IFERROR(INDEX(PASTE_ALL,$DF15,19)&amp;"","")&amp;"␟"&amp;IFERROR(INDEX(PASTE_ALL,$DF15,20)&amp;"","")&amp;"␟"&amp;IFERROR(INDEX(PASTE_ALL,$DF15,21)&amp;"","")&amp;"␟"&amp;IFERROR(INDEX(PASTE_ALL,$DF15,22)&amp;"","")&amp;"␟"&amp;IFERROR(INDEX(PASTE_ALL,$DF15,23)&amp;"","")&amp;"␟"&amp;IFERROR(INDEX(PASTE_ALL,$DF15,24)&amp;"","")&amp;"␟"&amp;IFERROR(INDEX(PASTE_ALL,$DF15,25)&amp;"","")&amp;"␟"&amp;IFERROR(INDEX(PASTE_ALL,$DF15,26)&amp;"","")&amp;"␟"&amp;IFERROR(INDEX(PASTE_ALL,$DF15,27)&amp;"","")&amp;"␟"&amp;IFERROR(INDEX(PASTE_ALL,$DF15,28)&amp;"","")&amp;"␟"&amp;IFERROR(INDEX(PASTE_ALL,$DF15,29)&amp;"","")&amp;"␟"&amp;IFERROR(INDEX(PASTE_ALL,$DF15,30)&amp;"","")&amp;"␟"&amp;IFERROR(INDEX(PASTE_ALL,$DF15,31)&amp;"","")&amp;"␟"&amp;IFERROR(INDEX(PASTE_ALL,$DF15,32)&amp;"","")&amp;"␟"&amp;IFERROR(INDEX(PASTE_ALL,$DF15,33)&amp;"","")&amp;"␟"&amp;IFERROR(INDEX(PASTE_ALL,$DF15,34)&amp;"","")&amp;"␟"&amp;IFERROR(INDEX(PASTE_ALL,$DF15,35)&amp;"","")&amp;"␟"&amp;IFERROR(INDEX(PASTE_ALL,$DF15,36)&amp;"","")&amp;"␟"&amp;IFERROR(INDEX(PASTE_ALL,$DF15,37)&amp;"","")&amp;"␟"&amp;IFERROR(INDEX(PASTE_ALL,$DF15,38)&amp;"","")&amp;"␟"&amp;IFERROR(INDEX(PASTE_ALL,$DF15,39)&amp;"","")&amp;"␟"&amp;IFERROR(INDEX(PASTE_ALL,$DF15,40)&amp;"","")&amp;"␟"&amp;IFERROR(INDEX(PASTE_ALL,$DF15,41)&amp;"","")&amp;"␟"&amp;IFERROR(INDEX(PASTE_ALL,$DF15,42)&amp;"","")&amp;"␟"&amp;IFERROR(INDEX(PASTE_ALL,$DF15,43)&amp;"","")&amp;"␟"&amp;IFERROR(INDEX(PASTE_ALL,$DF15,44)&amp;"","")&amp;"␟"&amp;IFERROR(INDEX(PASTE_ALL,$DF15,45)&amp;"","")&amp;"␟"&amp;IFERROR(INDEX(PASTE_ALL,$DF15,46)&amp;"","")&amp;"␟"&amp;IFERROR(INDEX(PASTE_ALL,$DF15,47)&amp;"","")&amp;"␟"&amp;IFERROR(INDEX(PASTE_ALL,$DF15,48)&amp;"","")&amp;"␟"&amp;IFERROR(INDEX(PASTE_ALL,$DF15,49)&amp;"","")&amp;"␟"&amp;IFERROR(INDEX(PASTE_ALL,$DF15,50)&amp;"","")&amp;"␟"&amp;IFERROR(INDEX(PASTE_ALL,$DF15,51)&amp;"","")&amp;"␟"&amp;IFERROR(INDEX(PASTE_ALL,$DF15,52)&amp;"","")&amp;"␟"&amp;IFERROR(INDEX(PASTE_ALL,$DF15,53)&amp;"","")&amp;"␟"&amp;IFERROR(INDEX(PASTE_ALL,$DF15,54)&amp;"","")&amp;"␟"&amp;IFERROR(INDEX(PASTE_ALL,$DF15,55)&amp;"","")&amp;"␟"&amp;IFERROR(INDEX(PASTE_ALL,$DF15,56)&amp;"","")&amp;"␟"&amp;IFERROR(INDEX(PASTE_ALL,$DF15,57)&amp;"","")&amp;"␟"&amp;IFERROR(INDEX(PASTE_ALL,$DF15,58)&amp;"","")&amp;"␟"&amp;IFERROR(INDEX(PASTE_ALL,$DF15,59)&amp;"","")&amp;"␟"&amp;IFERROR(INDEX(PASTE_ALL,$DF15,60)&amp;"","")," "," "),CHAR(9)," "),CHAR(10)," "),CHAR(13)," "))," ␟","␟"),"␟ ","␟"),"#"&amp;$DE15),"")</f>
        <v/>
      </c>
      <c r="DJ15">
        <f>IF($DI15="",0,IF(SUMPRODUCT(--EXACT($DI$4:DI14,$DI15))&gt;0,1,0))</f>
        <v/>
      </c>
      <c r="DK15">
        <f>IF(AND($DI15&lt;&gt;"",$DJ15=0),1,0)</f>
        <v/>
      </c>
      <c r="DL15">
        <f>DL14+$DK15</f>
        <v/>
      </c>
      <c r="DM15">
        <f>IF(AND($DK15=1,$DL15&lt;=600),1,0)</f>
        <v/>
      </c>
      <c r="DN15">
        <f>IF($DM15=0,"",IF($L$6=0,"",IFERROR(IF(ISNUMBER(INDEX(PASTE_ALL,$DF15,$L$6)),INDEX(PASTE_ALL,$DF15,$L$6),TRIM(SUBSTITUTE(SUBSTITUTE(SUBSTITUTE(SUBSTITUTE(INDEX(PASTE_ALL,$DF15,$L$6)," "," "),CHAR(9)," "),CHAR(10)," "),CHAR(13)," "))),"")))</f>
        <v/>
      </c>
      <c r="DO15">
        <f>IF($DM15=0,"",IF($L$7=0,"",IFERROR(IF(ISNUMBER(INDEX(PASTE_ALL,$DF15,$L$7)),INDEX(PASTE_ALL,$DF15,$L$7),TRIM(SUBSTITUTE(SUBSTITUTE(SUBSTITUTE(SUBSTITUTE(INDEX(PASTE_ALL,$DF15,$L$7)," "," "),CHAR(9)," "),CHAR(10)," "),CHAR(13)," "))),"")))</f>
        <v/>
      </c>
      <c r="DP15">
        <f>IF($DM15=0,"",IF($L$8=0,"",IFERROR(IF(ISNUMBER(INDEX(PASTE_ALL,$DF15,$L$8)),INDEX(PASTE_ALL,$DF15,$L$8),TRIM(SUBSTITUTE(SUBSTITUTE(SUBSTITUTE(SUBSTITUTE(INDEX(PASTE_ALL,$DF15,$L$8)," "," "),CHAR(9)," "),CHAR(10)," "),CHAR(13)," "))),"")))</f>
        <v/>
      </c>
      <c r="DQ15">
        <f>IF($DM15=0,"",IF($L$9=0,"",IFERROR(IF(ISNUMBER(INDEX(PASTE_ALL,$DF15,$L$9)),INDEX(PASTE_ALL,$DF15,$L$9),TRIM(SUBSTITUTE(SUBSTITUTE(SUBSTITUTE(SUBSTITUTE(INDEX(PASTE_ALL,$DF15,$L$9)," "," "),CHAR(9)," "),CHAR(10)," "),CHAR(13)," "))),"")))</f>
        <v/>
      </c>
      <c r="DR15">
        <f>IF($DM15=0,"",IF($L$10=0,"",IFERROR(IF(ISNUMBER(INDEX(PASTE_ALL,$DF15,$L$10)),INDEX(PASTE_ALL,$DF15,$L$10),TRIM(SUBSTITUTE(SUBSTITUTE(SUBSTITUTE(SUBSTITUTE(INDEX(PASTE_ALL,$DF15,$L$10)," "," "),CHAR(9)," "),CHAR(10)," "),CHAR(13)," "))),"")))</f>
        <v/>
      </c>
      <c r="DS15">
        <f>IF($DM15=0,"",IF($L$11=0,"",IFERROR(IF(ISNUMBER(INDEX(PASTE_ALL,$DF15,$L$11)),INDEX(PASTE_ALL,$DF15,$L$11),TRIM(SUBSTITUTE(SUBSTITUTE(SUBSTITUTE(SUBSTITUTE(INDEX(PASTE_ALL,$DF15,$L$11)," "," "),CHAR(9)," "),CHAR(10)," "),CHAR(13)," "))),"")))</f>
        <v/>
      </c>
      <c r="DT15">
        <f>IF($DM15=0,"",IF($L$12=0,"",IFERROR(IF(ISNUMBER(INDEX(PASTE_ALL,$DF15,$L$12)),INDEX(PASTE_ALL,$DF15,$L$12),TRIM(SUBSTITUTE(SUBSTITUTE(SUBSTITUTE(SUBSTITUTE(INDEX(PASTE_ALL,$DF15,$L$12)," "," "),CHAR(9)," "),CHAR(10)," "),CHAR(13)," "))),"")))</f>
        <v/>
      </c>
      <c r="DU15">
        <f>IF($DM15=0,"",IF($L$13=0,"",IFERROR(IF(ISNUMBER(INDEX(PASTE_ALL,$DF15,$L$13)),INDEX(PASTE_ALL,$DF15,$L$13),TRIM(SUBSTITUTE(SUBSTITUTE(SUBSTITUTE(SUBSTITUTE(INDEX(PASTE_ALL,$DF15,$L$13)," "," "),CHAR(9)," "),CHAR(10)," "),CHAR(13)," "))),"")))</f>
        <v/>
      </c>
      <c r="DV15">
        <f>IF($DM15=0,"",IF($L$14=0,"",IFERROR(IF(ISNUMBER(INDEX(PASTE_ALL,$DF15,$L$14)),INDEX(PASTE_ALL,$DF15,$L$14),TRIM(SUBSTITUTE(SUBSTITUTE(SUBSTITUTE(SUBSTITUTE(INDEX(PASTE_ALL,$DF15,$L$14)," "," "),CHAR(9)," "),CHAR(10)," "),CHAR(13)," "))),"")))</f>
        <v/>
      </c>
      <c r="DW15">
        <f>IF($DM15=0,"",IF($L$15=0,"",IFERROR(IF(ISNUMBER(INDEX(PASTE_ALL,$DF15,$L$15)),INDEX(PASTE_ALL,$DF15,$L$15),IF(SUMPRODUCT(--ISNUMBER(FIND({"A","B","C","D","E","F","G","H","I","J","K","L","M","N","O","P","Q","R","S","T","U","V","W","X","Y","Z","0","1","2","3","4","5","6","7","8","9"},UPPER(TRIM(SUBSTITUTE(SUBSTITUTE(SUBSTITUTE(SUBSTITUTE(INDEX(PASTE_ALL,$DF15,$L$15)," "," "),CHAR(9)," "),CHAR(10)," "),CHAR(13)," "))))))&gt;0,TRIM(SUBSTITUTE(SUBSTITUTE(SUBSTITUTE(SUBSTITUTE(INDEX(PASTE_ALL,$DF15,$L$15)," "," "),CHAR(9)," "),CHAR(10)," "),CHAR(13)," ")),"")),"")))</f>
        <v/>
      </c>
      <c r="DX15">
        <f>IF($DM15=0,"",IF($L$16=0,"",IFERROR(IF(ISNUMBER(INDEX(PASTE_ALL,$DF15,$L$16)),INDEX(PASTE_ALL,$DF15,$L$16),SUBSTITUTE(SUBSTITUTE(TRIM(SUBSTITUTE(SUBSTITUTE(SUBSTITUTE(SUBSTITUTE(INDEX(PASTE_ALL,$DF15,$L$16)," "," "),CHAR(9)," "),CHAR(10)," "),CHAR(13)," ")),",",""),"%","")),"")))</f>
        <v/>
      </c>
      <c r="DY15">
        <f>IF($DM15=0,"",IFERROR(IF(ISNUMBER($DX15),$DX15,IF($DX15="","",IF(TRIM($DX15)="",0,IF(AND(AND(SUBSTITUTE(SUBSTITUTE(SUBSTITUTE(SUBSTITUTE(SUBSTITUTE(SUBSTITUTE(SUBSTITUTE(SUBSTITUTE(SUBSTITUTE(SUBSTITUTE(SUBSTITUTE(SUBSTITUTE(SUBSTITUTE(SUBSTITUTE(UPPER(TRIM($DX15)),"0",""),"1",""),"2",""),"3",""),"4",""),"5",""),"6",""),"7",""),"8",""),"9",""),".",""),"+",""),"-",""),"E","")="",LEN(SUBSTITUTE(SUBSTITUTE(MID(UPPER(TRIM($DX15)),1+OR(LEFT(UPPER(TRIM($DX15)),1)="+",LEFT(UPPER(TRIM($DX15)),1)="-"),999),"E+","E"),"E-","E"))=LEN(SUBSTITUTE(SUBSTITUTE(SUBSTITUTE(SUBSTITUTE(MID(UPPER(TRIM($DX15)),1+OR(LEFT(UPPER(TRIM($DX15)),1)="+",LEFT(UPPER(TRIM($DX15)),1)="-"),999),"E+","E"),"E-","E"),"+",""),"-","")),LEN(UPPER(TRIM($DX15)))-LEN(SUBSTITUTE(UPPER(TRIM($DX15)),"E",""))&lt;2,LEN(UPPER(TRIM($DX15)))-LEN(SUBSTITUTE(UPPER(TRIM($DX15)),".",""))&lt;2,IFERROR(FIND(".",UPPER(TRIM($DX15))),0)&lt;IFERROR(FIND("E",UPPER(TRIM($DX15))),999)),ISNUMBER(VALUE(TRIM($DX15)))),VALUE(TRIM($DX15)),"")))),""))</f>
        <v/>
      </c>
      <c r="DZ15">
        <f>IF($DM15=0,"",IF($L$17=0,"",IFERROR(IF(ISNUMBER(INDEX(PASTE_ALL,$DF15,$L$17)),INDEX(PASTE_ALL,$DF15,$L$17),SUBSTITUTE(SUBSTITUTE(TRIM(SUBSTITUTE(SUBSTITUTE(SUBSTITUTE(SUBSTITUTE(INDEX(PASTE_ALL,$DF15,$L$17)," "," "),CHAR(9)," "),CHAR(10)," "),CHAR(13)," ")),",",""),"%","")),"")))</f>
        <v/>
      </c>
      <c r="EA15">
        <f>IF($DM15=0,"",IFERROR(IF(ISNUMBER($DZ15),$DZ15,IF($DZ15="","",IF(TRIM($DZ15)="",0,IF(AND(AND(SUBSTITUTE(SUBSTITUTE(SUBSTITUTE(SUBSTITUTE(SUBSTITUTE(SUBSTITUTE(SUBSTITUTE(SUBSTITUTE(SUBSTITUTE(SUBSTITUTE(SUBSTITUTE(SUBSTITUTE(SUBSTITUTE(SUBSTITUTE(UPPER(TRIM($DZ15)),"0",""),"1",""),"2",""),"3",""),"4",""),"5",""),"6",""),"7",""),"8",""),"9",""),".",""),"+",""),"-",""),"E","")="",LEN(SUBSTITUTE(SUBSTITUTE(MID(UPPER(TRIM($DZ15)),1+OR(LEFT(UPPER(TRIM($DZ15)),1)="+",LEFT(UPPER(TRIM($DZ15)),1)="-"),999),"E+","E"),"E-","E"))=LEN(SUBSTITUTE(SUBSTITUTE(SUBSTITUTE(SUBSTITUTE(MID(UPPER(TRIM($DZ15)),1+OR(LEFT(UPPER(TRIM($DZ15)),1)="+",LEFT(UPPER(TRIM($DZ15)),1)="-"),999),"E+","E"),"E-","E"),"+",""),"-","")),LEN(UPPER(TRIM($DZ15)))-LEN(SUBSTITUTE(UPPER(TRIM($DZ15)),"E",""))&lt;2,LEN(UPPER(TRIM($DZ15)))-LEN(SUBSTITUTE(UPPER(TRIM($DZ15)),".",""))&lt;2,IFERROR(FIND(".",UPPER(TRIM($DZ15))),0)&lt;IFERROR(FIND("E",UPPER(TRIM($DZ15))),999)),ISNUMBER(VALUE(TRIM($DZ15)))),VALUE(TRIM($DZ15)),"")))),""))</f>
        <v/>
      </c>
      <c r="EB15">
        <f>IF($DM15=0,"",IF($L$18=0,"",IFERROR(IF(UPPER(TRIM(SUBSTITUTE(SUBSTITUTE(SUBSTITUTE(SUBSTITUTE(INDEX(PASTE_ALL,$DF15,$L$18)," "," "),CHAR(9)," "),CHAR(10)," "),CHAR(13)," ")))="READY","Ready",IF(UPPER(TRIM(SUBSTITUTE(SUBSTITUTE(SUBSTITUTE(SUBSTITUTE(INDEX(PASTE_ALL,$DF15,$L$18)," "," "),CHAR(9)," "),CHAR(10)," "),CHAR(13)," ")))="PM","PM",IF(OR(UPPER(TRIM(SUBSTITUTE(SUBSTITUTE(SUBSTITUTE(SUBSTITUTE(INDEX(PASTE_ALL,$DF15,$L$18)," "," "),CHAR(9)," "),CHAR(10)," "),CHAR(13)," ")))="OT",UPPER(TRIM(SUBSTITUTE(SUBSTITUTE(SUBSTITUTE(SUBSTITUTE(INDEX(PASTE_ALL,$DF15,$L$18)," "," "),CHAR(9)," "),CHAR(10)," "),CHAR(13)," ")))="OVERTIME",UPPER(TRIM(SUBSTITUTE(SUBSTITUTE(SUBSTITUTE(SUBSTITUTE(INDEX(PASTE_ALL,$DF15,$L$18)," "," "),CHAR(9)," "),CHAR(10)," "),CHAR(13)," ")))="TRIAL"),"OT",TRIM(SUBSTITUTE(SUBSTITUTE(SUBSTITUTE(SUBSTITUTE(INDEX(PASTE_ALL,$DF15,$L$18)," "," "),CHAR(9)," "),CHAR(10)," "),CHAR(13)," "))))),"")))</f>
        <v/>
      </c>
      <c r="EC15">
        <f>IF($DM15=0,"",IF($L$19=0,"",IFERROR(IF(ISNUMBER(INDEX(PASTE_ALL,$DF15,$L$19)),INDEX(PASTE_ALL,$DF15,$L$19),TRIM(SUBSTITUTE(SUBSTITUTE(SUBSTITUTE(SUBSTITUTE(INDEX(PASTE_ALL,$DF15,$L$19)," "," "),CHAR(9)," "),CHAR(10)," "),CHAR(13)," "))),"")))</f>
        <v/>
      </c>
      <c r="ED15">
        <f>IF($DM15=0,"",MATCH(1,INDEX(EXACT($DH$5:DH15,$DH15)*$DM$5:DM15,0),0))</f>
        <v/>
      </c>
      <c r="EE15">
        <f>IF($DM15=0,0,IF($ED15=$DE15,1,0))</f>
        <v/>
      </c>
      <c r="EF15">
        <f>EF14+$EE15</f>
        <v/>
      </c>
      <c r="EG15">
        <f>IF($DM15=0,"",INDEX($EF$5:$EF$1003,$ED15))</f>
        <v/>
      </c>
      <c r="EH15">
        <f>IF($DM15=0,"",IF($DO15&lt;&gt;"","",IFERROR(LOOKUP(2,1/(($EG$4:EG14=$EG15)*($DO$4:DO14&lt;&gt;"")),$DO$4:DO14),"")))</f>
        <v/>
      </c>
      <c r="EI15">
        <f>IF($DM15=0,"",IF($DO15&lt;&gt;"",$DO15,$EH15))</f>
        <v/>
      </c>
      <c r="EJ15">
        <f>IF($DM15=0,"",IF($EI15="",0,IF(OR(ISNUMBER($EI15),AND(AND(SUBSTITUTE(SUBSTITUTE(SUBSTITUTE(SUBSTITUTE(SUBSTITUTE(SUBSTITUTE(SUBSTITUTE(SUBSTITUTE(SUBSTITUTE(SUBSTITUTE(SUBSTITUTE(SUBSTITUTE(SUBSTITUTE(SUBSTITUTE(UPPER($EI15),"0",""),"1",""),"2",""),"3",""),"4",""),"5",""),"6",""),"7",""),"8",""),"9",""),".",""),"+",""),"-",""),"E","")="",LEN(SUBSTITUTE(SUBSTITUTE(MID(UPPER($EI15),1+OR(LEFT(UPPER($EI15),1)="+",LEFT(UPPER($EI15),1)="-"),999),"E+","E"),"E-","E"))=LEN(SUBSTITUTE(SUBSTITUTE(SUBSTITUTE(SUBSTITUTE(MID(UPPER($EI15),1+OR(LEFT(UPPER($EI15),1)="+",LEFT(UPPER($EI15),1)="-"),999),"E+","E"),"E-","E"),"+",""),"-","")),LEN(UPPER($EI15))-LEN(SUBSTITUTE(UPPER($EI15),"E",""))&lt;2,LEN(UPPER($EI15))-LEN(SUBSTITUTE(UPPER($EI15),".",""))&lt;2,IFERROR(FIND(".",UPPER($EI15)),0)&lt;IFERROR(FIND("E",UPPER($EI15)),999)),ISNUMBER(VALUE($EI15)))),1,2)))</f>
        <v/>
      </c>
      <c r="EK15">
        <f>IF($DM15=0,"",IF($EJ15=1,IF(ISNUMBER($EI15),$EI15,VALUE($EI15)),IF($EJ15=2,$DE15,0)))</f>
        <v/>
      </c>
      <c r="EL15">
        <f>IF($DM15=0,"",COUNTIF($EG$5:$EG$1003,"&lt;"&amp;$EG15)+SUMPRODUCT(($EG$5:$EG$1003=$EG15)*(($EJ$5:$EJ$1003&lt;$EJ15)+($EJ$5:$EJ$1003=$EJ15)*(($EK$5:$EK$1003&lt;$EK15)+($EK$5:$EK$1003=$EK15)*($DE$5:$DE$1003&lt;$DE15))))+1)</f>
        <v/>
      </c>
      <c r="EM15">
        <f>IF($DM15=0,"",$EL15+$EG15-1)</f>
        <v/>
      </c>
      <c r="EN15">
        <f>IF($DM15=0,0,IFERROR(MATCH(1,INDEX(--(TRIM(SUBSTITUTE(SUBSTITUTE(SUBSTITUTE(SUBSTITUTE(LINES_NAME&amp;""," "," "),CHAR(9)," "),CHAR(10)," "),CHAR(13)," "))=$DH15),0),0),0))</f>
        <v/>
      </c>
      <c r="EO15">
        <f>IF($EN15=0,0,IF(OR(UPPER(TRIM(INDEX(LINES_SCHEDULED,$EN15)&amp;""))="YES",UPPER(TRIM(INDEX(LINES_SCHEDULED,$EN15)&amp;""))="Y",UPPER(TRIM(INDEX(LINES_SCHEDULED,$EN15)&amp;""))="X"),1,0))</f>
        <v/>
      </c>
      <c r="EP15">
        <f>IF($DM15=0,"",IF(COUNTIFS($EG$5:$EG$1003,$EG15,$EB$5:$EB$1003,"Ready")&gt;0,"READY",IF(COUNTIFS($EG$5:$EG$1003,$EG15,$EB$5:$EB$1003,"PM")&gt;0,"PM",IF(COUNTIFS($EG$5:$EG$1003,$EG15,$EB$5:$EB$1003,"OT")&gt;0,"OT",""))))</f>
        <v/>
      </c>
      <c r="EQ15">
        <f>IF($EN15=0,"",UPPER(TRIM(INDEX(LINES_STATUS,$EN15)&amp;"")))</f>
        <v/>
      </c>
      <c r="ER15">
        <f>IF($DM15=0,"",IF(OR($EQ15="READY",$EQ15="PM",$EQ15="OT"),$EQ15,$EP15))</f>
        <v/>
      </c>
      <c r="ES15">
        <f>IF($DM15=0,"",IF(AND($DV15&lt;&gt;"",UPPER($DV15)&lt;&gt;"N"),"allergen",IF(ISNUMBER(SEARCH("oil",$DQ15)),"oil",IF(OR(EXACT($DS15,"A662"),EXACT($DS15,"A624")),"bulk",""))))</f>
        <v/>
      </c>
      <c r="ET15">
        <f>IF($DM15=0,"",IF(OR($EA15="",$EA15=0),"",$EA15/100))</f>
        <v/>
      </c>
      <c r="EU15">
        <f>IF(OR($ET15="",$DY15=""),"",INT($DY15*(1-$ET15)+0.5))</f>
        <v/>
      </c>
      <c r="EW15" t="n">
        <v>11</v>
      </c>
      <c r="EX15">
        <f>IFERROR(MATCH($EW15,$EM$5:$EM$1003,0),0)</f>
        <v/>
      </c>
      <c r="EY15">
        <f>IF($EW15&gt;$B$12,"",IF($EX15&gt;0,"row","spacer"))</f>
        <v/>
      </c>
      <c r="EZ15">
        <f>IF(AND($EY15="row",$EY14&lt;&gt;"row"),1,0)</f>
        <v/>
      </c>
      <c r="FA15">
        <f>IF(AND($EY15="row",$EY16&lt;&gt;"row"),1,0)</f>
        <v/>
      </c>
      <c r="FB15">
        <f>IF($EZ15=1,IFERROR(IF(ISNUMBER(INDEX(PASTE_ALL,INDEX($DF$5:$DF$1003,$EX15),$B$37)),INDEX(PASTE_ALL,INDEX($DF$5:$DF$1003,$EX15),$B$37),INDEX($DH$5:$DH$1003,$EX15)),INDEX($DH$5:$DH$1003,$EX15)),"")</f>
        <v/>
      </c>
      <c r="FC15">
        <f>IF($EY15="row",INDEX($ER$5:$ER$1003,$EX15),"")</f>
        <v/>
      </c>
      <c r="FD15">
        <f>IF($EY15="row",INDEX($DN$5:$DN$1003,$EX15),"")</f>
        <v/>
      </c>
      <c r="FE15">
        <f>IF($EY15="row",INDEX($DO$5:$DO$1003,$EX15),"")</f>
        <v/>
      </c>
      <c r="FF15">
        <f>IF($EY15="row",INDEX($DP$5:$DP$1003,$EX15),"")</f>
        <v/>
      </c>
      <c r="FG15">
        <f>IF($EY15="row",INDEX($DQ$5:$DQ$1003,$EX15),"")</f>
        <v/>
      </c>
      <c r="FH15">
        <f>IF($EY15="row",INDEX($DR$5:$DR$1003,$EX15),"")</f>
        <v/>
      </c>
      <c r="FI15">
        <f>IF($EY15="row",INDEX($DS$5:$DS$1003,$EX15),"")</f>
        <v/>
      </c>
      <c r="FJ15">
        <f>IF($EY15="row",INDEX($DT$5:$DT$1003,$EX15),"")</f>
        <v/>
      </c>
      <c r="FK15">
        <f>IF($EY15="row",INDEX($DU$5:$DU$1003,$EX15),"")</f>
        <v/>
      </c>
      <c r="FL15">
        <f>IF($EY15="row",INDEX($DV$5:$DV$1003,$EX15),"")</f>
        <v/>
      </c>
      <c r="FM15">
        <f>IF($EY15="row",INDEX($DW$5:$DW$1003,$EX15),"")</f>
        <v/>
      </c>
      <c r="FN15">
        <f>IF($EY15="row",INDEX($DY$5:$DY$1003,$EX15),"")</f>
        <v/>
      </c>
      <c r="FO15">
        <f>IF($EY15="row",INDEX($EA$5:$EA$1003,$EX15),"")</f>
        <v/>
      </c>
      <c r="FP15">
        <f>IF($EY15="row",INDEX($EC$5:$EC$1003,$EX15),"")</f>
        <v/>
      </c>
      <c r="FQ15">
        <f>IF($EY15="row",INDEX($ET$5:$ET$1003,$EX15),"")</f>
        <v/>
      </c>
      <c r="FR15">
        <f>IF($EY15="row",INDEX($EU$5:$EU$1003,$EX15),"")</f>
        <v/>
      </c>
      <c r="FS15">
        <f>IF(AND($EY15="row",$EY14="row"),IF(OR(INDEX($DT$5:$DT$1003,$EX14)="",INDEX($DT$5:$DT$1003,$EX15)=""),"",IF(NOT(EXACT(INDEX($DT$5:$DT$1003,$EX14),INDEX($DT$5:$DT$1003,$EX15))),"S4",IF(NOT(EXACT(INDEX($DS$5:$DS$1003,$EX14),INDEX($DS$5:$DS$1003,$EX15))),"S3",IF(NOT(EXACT(INDEX($DR$5:$DR$1003,$EX14),INDEX($DR$5:$DR$1003,$EX15))),"S1 Count Change","S1")))),"")</f>
        <v/>
      </c>
      <c r="FT15">
        <f>IF($EY15="row",INDEX($ES$5:$ES$1003,$EX15),"")</f>
        <v/>
      </c>
      <c r="FU15">
        <f>IF($EY15="row",INDEX($EO$5:$EO$1003,$EX15),0)</f>
        <v/>
      </c>
      <c r="FV15">
        <f>IF($FS15="S1 Count Change",1,0)</f>
        <v/>
      </c>
      <c r="FX15" t="n">
        <v>11</v>
      </c>
      <c r="FY15">
        <f>IFERROR(MATCH($FX15,$EF$5:$EF$1003,0),0)</f>
        <v/>
      </c>
      <c r="FZ15">
        <f>IF($FY15=0,"",INDEX($DH$5:$DH$1003,$FY15))</f>
        <v/>
      </c>
      <c r="GA15">
        <f>IF($FY15=0,"",COUNTIF($EG$5:$EG$1003,$FX15))</f>
        <v/>
      </c>
      <c r="GB15">
        <f>IF($FY15=0,"",INDEX($ER$5:$ER$1003,$FY15))</f>
        <v/>
      </c>
      <c r="GC15">
        <f>IF($FY15=0,"",IF(INDEX($EO$5:$EO$1003,$FY15)=1,"Yes",""))</f>
        <v/>
      </c>
      <c r="GD15">
        <f>IF($FY15=0,"",IF(INDEX($EN$5:$EN$1003,$FY15)&gt;0,"","NOT IN YOUR LIST - type it in column A to tick it"))</f>
        <v/>
      </c>
      <c r="GE15">
        <f>IF(AND($FY15&gt;0,$GD15&lt;&gt;""),1,0)</f>
        <v/>
      </c>
      <c r="GF15">
        <f>GF14+$GE15</f>
        <v/>
      </c>
      <c r="GG15">
        <f>IFERROR(INDEX($FZ$5:$FZ$104,MATCH($FX15,$GF$5:$GF$104,0)),"")</f>
        <v/>
      </c>
    </row>
    <row r="16">
      <c r="A16" t="inlineStr">
        <is>
          <t>Paste row of first WO</t>
        </is>
      </c>
      <c r="B16">
        <f>IF($B$15=0,0,INDEX($DF$5:$DF$1003,$B$15))</f>
        <v/>
      </c>
      <c r="D16" t="n">
        <v>12</v>
      </c>
      <c r="E16" t="inlineStr">
        <is>
          <t>qty</t>
        </is>
      </c>
      <c r="F16" t="inlineStr">
        <is>
          <t>WO Qty</t>
        </is>
      </c>
      <c r="G16" t="n">
        <v>4096</v>
      </c>
      <c r="H16">
        <f>IFERROR(UPPER(TRIM('2. Check Columns'!$F$24&amp;"")),"#")</f>
        <v/>
      </c>
      <c r="I16">
        <f>IF(H16="",0,IF(OR(H16="-",H16="NONE"),-1,IFERROR(MATCH(1,INDEX(--EXACT($T$5:$T$64,H16),0),0),-2)))</f>
        <v/>
      </c>
      <c r="J16">
        <f>IF(I16&lt;=0,IF(I16=-1,-1,0),IF(COUNTIF($I$5:I15,I16)&gt;0,0,I16))</f>
        <v/>
      </c>
      <c r="K16">
        <f>IFERROR(MATCH(12,$Y$235:$CF$235,0),0)</f>
        <v/>
      </c>
      <c r="L16">
        <f>IFERROR(MATCH(12,$Y$239:$CF$239,0),0)</f>
        <v/>
      </c>
      <c r="M16">
        <f>IF(K16=0,"(not found)",INDEX($T$5:$T$64,K16))</f>
        <v/>
      </c>
      <c r="N16">
        <f>IF(L16=0,IF(J16=-1,"(left out)","(none)"),INDEX($T$5:$T$64,L16))</f>
        <v/>
      </c>
      <c r="O16">
        <f>IF(L16=0,"",IFERROR(TRIM(SUBSTITUTE(SUBSTITUTE(SUBSTITUTE(SUBSTITUTE(INDEX(PASTE_ALL,HEADER_ROW,L16)&amp;""," "," "),CHAR(9)," "),CHAR(10)," "),CHAR(13)," ")),""))</f>
        <v/>
      </c>
      <c r="P16">
        <f>IF(OR(L16=0,$B$16=0),"",IFERROR(IF(ISNUMBER(INDEX(PASTE_ALL,$B$16,L16)),INDEX(PASTE_ALL,$B$16,L16),TRIM(SUBSTITUTE(SUBSTITUTE(SUBSTITUTE(SUBSTITUTE(INDEX(PASTE_ALL,$B$16,L16)&amp;""," "," "),CHAR(9)," "),CHAR(10)," "),CHAR(13)," "))),""))</f>
        <v/>
      </c>
      <c r="Q16">
        <f>IF(I16=-2,"'"&amp;H16&amp;"' is not a column letter from A to BH - ignored",IF(AND(I16&gt;0,J16=0),"Column "&amp;H16&amp;" is already used by "&amp;INDEX($F$5:$F$19,MATCH(I16,$I$5:$I$19,0))&amp;" - ignored",IF(AND(J16=0,K16&gt;0,COUNTIF($J$5:$J$19,K16)&gt;0),"Column "&amp;M16&amp;" is used by "&amp;INDEX($F$5:$F$19,MATCH(K16,$J$5:$J$19,0))&amp;" (Override)"&amp;IF(L16&gt;0," - using column "&amp;N16&amp;" instead"," - not used"),IF(AND(J16&gt;0,K16&gt;0,J16&lt;&gt;K16),"Override in use - this file's own title for it is in column "&amp;M16&amp;" ("&amp;IFERROR(TRIM(SUBSTITUTE(SUBSTITUTE(SUBSTITUTE(SUBSTITUTE(INDEX(PASTE_ALL,HEADER_ROW,K16)&amp;""," "," "),CHAR(9)," "),CHAR(10)," "),CHAR(13)," ")),"")&amp;"). Clear the Override if that is right.",IF(AND(J16=-1,K16&gt;0),"Left out by the Override - this file has it in column "&amp;M16&amp;" ("&amp;IFERROR(TRIM(SUBSTITUTE(SUBSTITUTE(SUBSTITUTE(SUBSTITUTE(INDEX(PASTE_ALL,HEADER_ROW,K16)&amp;""," "," "),CHAR(9)," "),CHAR(10)," "),CHAR(13)," ")),"")&amp;").","")))))</f>
        <v/>
      </c>
      <c r="R16">
        <f>IF(OR(AND(J16&gt;0,K16&gt;0,J16&lt;&gt;K16),AND(J16=-1,K16&gt;0),AND(J16=0,K16&gt;0,COUNTIF($J$5:$J$19,K16)&gt;0)),1,0)</f>
        <v/>
      </c>
      <c r="S16" t="n">
        <v>12</v>
      </c>
      <c r="T16" t="inlineStr">
        <is>
          <t>L</t>
        </is>
      </c>
      <c r="V16" t="inlineStr">
        <is>
          <t>WORKORDERNUMBER</t>
        </is>
      </c>
      <c r="W16" t="n">
        <v>2</v>
      </c>
      <c r="Y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 ",""),"!",""),CHAR(34),""),"#",""),"$",""),"%",""),"&amp;",""),"'",""),"(",""),")",""),"*",""),"+",""),",",""),"-",""),".",""),"/",""),":",""),";",""),"&lt;",""),"=",""),"&gt;",""),"?",""),"@",""),"[",""),"\",""),"]",""),"^",""),"_",""),"`",""),"{",""),"|",""),"}",""),"~",""),CHAR(9),""),CHAR(10),""),CHAR(13),"")," ",""),"")</f>
        <v/>
      </c>
      <c r="Z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 ",""),"!",""),CHAR(34),""),"#",""),"$",""),"%",""),"&amp;",""),"'",""),"(",""),")",""),"*",""),"+",""),",",""),"-",""),".",""),"/",""),":",""),";",""),"&lt;",""),"=",""),"&gt;",""),"?",""),"@",""),"[",""),"\",""),"]",""),"^",""),"_",""),"`",""),"{",""),"|",""),"}",""),"~",""),CHAR(9),""),CHAR(10),""),CHAR(13),"")," ",""),"")</f>
        <v/>
      </c>
      <c r="AA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 ",""),"!",""),CHAR(34),""),"#",""),"$",""),"%",""),"&amp;",""),"'",""),"(",""),")",""),"*",""),"+",""),",",""),"-",""),".",""),"/",""),":",""),";",""),"&lt;",""),"=",""),"&gt;",""),"?",""),"@",""),"[",""),"\",""),"]",""),"^",""),"_",""),"`",""),"{",""),"|",""),"}",""),"~",""),CHAR(9),""),CHAR(10),""),CHAR(13),"")," ",""),"")</f>
        <v/>
      </c>
      <c r="AB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 ",""),"!",""),CHAR(34),""),"#",""),"$",""),"%",""),"&amp;",""),"'",""),"(",""),")",""),"*",""),"+",""),",",""),"-",""),".",""),"/",""),":",""),";",""),"&lt;",""),"=",""),"&gt;",""),"?",""),"@",""),"[",""),"\",""),"]",""),"^",""),"_",""),"`",""),"{",""),"|",""),"}",""),"~",""),CHAR(9),""),CHAR(10),""),CHAR(13),"")," ",""),"")</f>
        <v/>
      </c>
      <c r="AC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 ",""),"!",""),CHAR(34),""),"#",""),"$",""),"%",""),"&amp;",""),"'",""),"(",""),")",""),"*",""),"+",""),",",""),"-",""),".",""),"/",""),":",""),";",""),"&lt;",""),"=",""),"&gt;",""),"?",""),"@",""),"[",""),"\",""),"]",""),"^",""),"_",""),"`",""),"{",""),"|",""),"}",""),"~",""),CHAR(9),""),CHAR(10),""),CHAR(13),"")," ",""),"")</f>
        <v/>
      </c>
      <c r="AD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12,6))," ",""),"!",""),CHAR(34),""),"#",""),"$",""),"%",""),"&amp;",""),"'",""),"(",""),")",""),"*",""),"+",""),",",""),"-",""),".",""),"/",""),":",""),";",""),"&lt;",""),"=",""),"&gt;",""),"?",""),"@",""),"[",""),"\",""),"]",""),"^",""),"_",""),"`",""),"{",""),"|",""),"}",""),"~",""),CHAR(9),""),CHAR(10),""),CHAR(13),"")," ",""),"")</f>
        <v/>
      </c>
      <c r="AE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12,7))," ",""),"!",""),CHAR(34),""),"#",""),"$",""),"%",""),"&amp;",""),"'",""),"(",""),")",""),"*",""),"+",""),",",""),"-",""),".",""),"/",""),":",""),";",""),"&lt;",""),"=",""),"&gt;",""),"?",""),"@",""),"[",""),"\",""),"]",""),"^",""),"_",""),"`",""),"{",""),"|",""),"}",""),"~",""),CHAR(9),""),CHAR(10),""),CHAR(13),"")," ",""),"")</f>
        <v/>
      </c>
      <c r="AF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12,8))," ",""),"!",""),CHAR(34),""),"#",""),"$",""),"%",""),"&amp;",""),"'",""),"(",""),")",""),"*",""),"+",""),",",""),"-",""),".",""),"/",""),":",""),";",""),"&lt;",""),"=",""),"&gt;",""),"?",""),"@",""),"[",""),"\",""),"]",""),"^",""),"_",""),"`",""),"{",""),"|",""),"}",""),"~",""),CHAR(9),""),CHAR(10),""),CHAR(13),"")," ",""),"")</f>
        <v/>
      </c>
      <c r="AG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12,9))," ",""),"!",""),CHAR(34),""),"#",""),"$",""),"%",""),"&amp;",""),"'",""),"(",""),")",""),"*",""),"+",""),",",""),"-",""),".",""),"/",""),":",""),";",""),"&lt;",""),"=",""),"&gt;",""),"?",""),"@",""),"[",""),"\",""),"]",""),"^",""),"_",""),"`",""),"{",""),"|",""),"}",""),"~",""),CHAR(9),""),CHAR(10),""),CHAR(13),"")," ",""),"")</f>
        <v/>
      </c>
      <c r="AH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12,10))," ",""),"!",""),CHAR(34),""),"#",""),"$",""),"%",""),"&amp;",""),"'",""),"(",""),")",""),"*",""),"+",""),",",""),"-",""),".",""),"/",""),":",""),";",""),"&lt;",""),"=",""),"&gt;",""),"?",""),"@",""),"[",""),"\",""),"]",""),"^",""),"_",""),"`",""),"{",""),"|",""),"}",""),"~",""),CHAR(9),""),CHAR(10),""),CHAR(13),"")," ",""),"")</f>
        <v/>
      </c>
      <c r="AI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12,11))," ",""),"!",""),CHAR(34),""),"#",""),"$",""),"%",""),"&amp;",""),"'",""),"(",""),")",""),"*",""),"+",""),",",""),"-",""),".",""),"/",""),":",""),";",""),"&lt;",""),"=",""),"&gt;",""),"?",""),"@",""),"[",""),"\",""),"]",""),"^",""),"_",""),"`",""),"{",""),"|",""),"}",""),"~",""),CHAR(9),""),CHAR(10),""),CHAR(13),"")," ",""),"")</f>
        <v/>
      </c>
      <c r="AJ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12,12))," ",""),"!",""),CHAR(34),""),"#",""),"$",""),"%",""),"&amp;",""),"'",""),"(",""),")",""),"*",""),"+",""),",",""),"-",""),".",""),"/",""),":",""),";",""),"&lt;",""),"=",""),"&gt;",""),"?",""),"@",""),"[",""),"\",""),"]",""),"^",""),"_",""),"`",""),"{",""),"|",""),"}",""),"~",""),CHAR(9),""),CHAR(10),""),CHAR(13),"")," ",""),"")</f>
        <v/>
      </c>
      <c r="AK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12,13))," ",""),"!",""),CHAR(34),""),"#",""),"$",""),"%",""),"&amp;",""),"'",""),"(",""),")",""),"*",""),"+",""),",",""),"-",""),".",""),"/",""),":",""),";",""),"&lt;",""),"=",""),"&gt;",""),"?",""),"@",""),"[",""),"\",""),"]",""),"^",""),"_",""),"`",""),"{",""),"|",""),"}",""),"~",""),CHAR(9),""),CHAR(10),""),CHAR(13),"")," ",""),"")</f>
        <v/>
      </c>
      <c r="AL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12,14))," ",""),"!",""),CHAR(34),""),"#",""),"$",""),"%",""),"&amp;",""),"'",""),"(",""),")",""),"*",""),"+",""),",",""),"-",""),".",""),"/",""),":",""),";",""),"&lt;",""),"=",""),"&gt;",""),"?",""),"@",""),"[",""),"\",""),"]",""),"^",""),"_",""),"`",""),"{",""),"|",""),"}",""),"~",""),CHAR(9),""),CHAR(10),""),CHAR(13),"")," ",""),"")</f>
        <v/>
      </c>
      <c r="AM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12,15))," ",""),"!",""),CHAR(34),""),"#",""),"$",""),"%",""),"&amp;",""),"'",""),"(",""),")",""),"*",""),"+",""),",",""),"-",""),".",""),"/",""),":",""),";",""),"&lt;",""),"=",""),"&gt;",""),"?",""),"@",""),"[",""),"\",""),"]",""),"^",""),"_",""),"`",""),"{",""),"|",""),"}",""),"~",""),CHAR(9),""),CHAR(10),""),CHAR(13),"")," ",""),"")</f>
        <v/>
      </c>
      <c r="AN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12,16))," ",""),"!",""),CHAR(34),""),"#",""),"$",""),"%",""),"&amp;",""),"'",""),"(",""),")",""),"*",""),"+",""),",",""),"-",""),".",""),"/",""),":",""),";",""),"&lt;",""),"=",""),"&gt;",""),"?",""),"@",""),"[",""),"\",""),"]",""),"^",""),"_",""),"`",""),"{",""),"|",""),"}",""),"~",""),CHAR(9),""),CHAR(10),""),CHAR(13),"")," ",""),"")</f>
        <v/>
      </c>
      <c r="AO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12,17))," ",""),"!",""),CHAR(34),""),"#",""),"$",""),"%",""),"&amp;",""),"'",""),"(",""),")",""),"*",""),"+",""),",",""),"-",""),".",""),"/",""),":",""),";",""),"&lt;",""),"=",""),"&gt;",""),"?",""),"@",""),"[",""),"\",""),"]",""),"^",""),"_",""),"`",""),"{",""),"|",""),"}",""),"~",""),CHAR(9),""),CHAR(10),""),CHAR(13),"")," ",""),"")</f>
        <v/>
      </c>
      <c r="AP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12,18))," ",""),"!",""),CHAR(34),""),"#",""),"$",""),"%",""),"&amp;",""),"'",""),"(",""),")",""),"*",""),"+",""),",",""),"-",""),".",""),"/",""),":",""),";",""),"&lt;",""),"=",""),"&gt;",""),"?",""),"@",""),"[",""),"\",""),"]",""),"^",""),"_",""),"`",""),"{",""),"|",""),"}",""),"~",""),CHAR(9),""),CHAR(10),""),CHAR(13),"")," ",""),"")</f>
        <v/>
      </c>
      <c r="AQ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12,19))," ",""),"!",""),CHAR(34),""),"#",""),"$",""),"%",""),"&amp;",""),"'",""),"(",""),")",""),"*",""),"+",""),",",""),"-",""),".",""),"/",""),":",""),";",""),"&lt;",""),"=",""),"&gt;",""),"?",""),"@",""),"[",""),"\",""),"]",""),"^",""),"_",""),"`",""),"{",""),"|",""),"}",""),"~",""),CHAR(9),""),CHAR(10),""),CHAR(13),"")," ",""),"")</f>
        <v/>
      </c>
      <c r="AR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12,20))," ",""),"!",""),CHAR(34),""),"#",""),"$",""),"%",""),"&amp;",""),"'",""),"(",""),")",""),"*",""),"+",""),",",""),"-",""),".",""),"/",""),":",""),";",""),"&lt;",""),"=",""),"&gt;",""),"?",""),"@",""),"[",""),"\",""),"]",""),"^",""),"_",""),"`",""),"{",""),"|",""),"}",""),"~",""),CHAR(9),""),CHAR(10),""),CHAR(13),"")," ",""),"")</f>
        <v/>
      </c>
      <c r="AS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12,21))," ",""),"!",""),CHAR(34),""),"#",""),"$",""),"%",""),"&amp;",""),"'",""),"(",""),")",""),"*",""),"+",""),",",""),"-",""),".",""),"/",""),":",""),";",""),"&lt;",""),"=",""),"&gt;",""),"?",""),"@",""),"[",""),"\",""),"]",""),"^",""),"_",""),"`",""),"{",""),"|",""),"}",""),"~",""),CHAR(9),""),CHAR(10),""),CHAR(13),"")," ",""),"")</f>
        <v/>
      </c>
      <c r="AT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12,22))," ",""),"!",""),CHAR(34),""),"#",""),"$",""),"%",""),"&amp;",""),"'",""),"(",""),")",""),"*",""),"+",""),",",""),"-",""),".",""),"/",""),":",""),";",""),"&lt;",""),"=",""),"&gt;",""),"?",""),"@",""),"[",""),"\",""),"]",""),"^",""),"_",""),"`",""),"{",""),"|",""),"}",""),"~",""),CHAR(9),""),CHAR(10),""),CHAR(13),"")," ",""),"")</f>
        <v/>
      </c>
      <c r="AU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12,23))," ",""),"!",""),CHAR(34),""),"#",""),"$",""),"%",""),"&amp;",""),"'",""),"(",""),")",""),"*",""),"+",""),",",""),"-",""),".",""),"/",""),":",""),";",""),"&lt;",""),"=",""),"&gt;",""),"?",""),"@",""),"[",""),"\",""),"]",""),"^",""),"_",""),"`",""),"{",""),"|",""),"}",""),"~",""),CHAR(9),""),CHAR(10),""),CHAR(13),"")," ",""),"")</f>
        <v/>
      </c>
      <c r="AV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12,24))," ",""),"!",""),CHAR(34),""),"#",""),"$",""),"%",""),"&amp;",""),"'",""),"(",""),")",""),"*",""),"+",""),",",""),"-",""),".",""),"/",""),":",""),";",""),"&lt;",""),"=",""),"&gt;",""),"?",""),"@",""),"[",""),"\",""),"]",""),"^",""),"_",""),"`",""),"{",""),"|",""),"}",""),"~",""),CHAR(9),""),CHAR(10),""),CHAR(13),"")," ",""),"")</f>
        <v/>
      </c>
      <c r="AW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12,25))," ",""),"!",""),CHAR(34),""),"#",""),"$",""),"%",""),"&amp;",""),"'",""),"(",""),")",""),"*",""),"+",""),",",""),"-",""),".",""),"/",""),":",""),";",""),"&lt;",""),"=",""),"&gt;",""),"?",""),"@",""),"[",""),"\",""),"]",""),"^",""),"_",""),"`",""),"{",""),"|",""),"}",""),"~",""),CHAR(9),""),CHAR(10),""),CHAR(13),"")," ",""),"")</f>
        <v/>
      </c>
      <c r="AX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12,26))," ",""),"!",""),CHAR(34),""),"#",""),"$",""),"%",""),"&amp;",""),"'",""),"(",""),")",""),"*",""),"+",""),",",""),"-",""),".",""),"/",""),":",""),";",""),"&lt;",""),"=",""),"&gt;",""),"?",""),"@",""),"[",""),"\",""),"]",""),"^",""),"_",""),"`",""),"{",""),"|",""),"}",""),"~",""),CHAR(9),""),CHAR(10),""),CHAR(13),"")," ",""),"")</f>
        <v/>
      </c>
      <c r="AY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12,27))," ",""),"!",""),CHAR(34),""),"#",""),"$",""),"%",""),"&amp;",""),"'",""),"(",""),")",""),"*",""),"+",""),",",""),"-",""),".",""),"/",""),":",""),";",""),"&lt;",""),"=",""),"&gt;",""),"?",""),"@",""),"[",""),"\",""),"]",""),"^",""),"_",""),"`",""),"{",""),"|",""),"}",""),"~",""),CHAR(9),""),CHAR(10),""),CHAR(13),"")," ",""),"")</f>
        <v/>
      </c>
      <c r="AZ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12,28))," ",""),"!",""),CHAR(34),""),"#",""),"$",""),"%",""),"&amp;",""),"'",""),"(",""),")",""),"*",""),"+",""),",",""),"-",""),".",""),"/",""),":",""),";",""),"&lt;",""),"=",""),"&gt;",""),"?",""),"@",""),"[",""),"\",""),"]",""),"^",""),"_",""),"`",""),"{",""),"|",""),"}",""),"~",""),CHAR(9),""),CHAR(10),""),CHAR(13),"")," ",""),"")</f>
        <v/>
      </c>
      <c r="BA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12,29))," ",""),"!",""),CHAR(34),""),"#",""),"$",""),"%",""),"&amp;",""),"'",""),"(",""),")",""),"*",""),"+",""),",",""),"-",""),".",""),"/",""),":",""),";",""),"&lt;",""),"=",""),"&gt;",""),"?",""),"@",""),"[",""),"\",""),"]",""),"^",""),"_",""),"`",""),"{",""),"|",""),"}",""),"~",""),CHAR(9),""),CHAR(10),""),CHAR(13),"")," ",""),"")</f>
        <v/>
      </c>
      <c r="BB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12,30))," ",""),"!",""),CHAR(34),""),"#",""),"$",""),"%",""),"&amp;",""),"'",""),"(",""),")",""),"*",""),"+",""),",",""),"-",""),".",""),"/",""),":",""),";",""),"&lt;",""),"=",""),"&gt;",""),"?",""),"@",""),"[",""),"\",""),"]",""),"^",""),"_",""),"`",""),"{",""),"|",""),"}",""),"~",""),CHAR(9),""),CHAR(10),""),CHAR(13),"")," ",""),"")</f>
        <v/>
      </c>
      <c r="BC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12,31))," ",""),"!",""),CHAR(34),""),"#",""),"$",""),"%",""),"&amp;",""),"'",""),"(",""),")",""),"*",""),"+",""),",",""),"-",""),".",""),"/",""),":",""),";",""),"&lt;",""),"=",""),"&gt;",""),"?",""),"@",""),"[",""),"\",""),"]",""),"^",""),"_",""),"`",""),"{",""),"|",""),"}",""),"~",""),CHAR(9),""),CHAR(10),""),CHAR(13),"")," ",""),"")</f>
        <v/>
      </c>
      <c r="BD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12,32))," ",""),"!",""),CHAR(34),""),"#",""),"$",""),"%",""),"&amp;",""),"'",""),"(",""),")",""),"*",""),"+",""),",",""),"-",""),".",""),"/",""),":",""),";",""),"&lt;",""),"=",""),"&gt;",""),"?",""),"@",""),"[",""),"\",""),"]",""),"^",""),"_",""),"`",""),"{",""),"|",""),"}",""),"~",""),CHAR(9),""),CHAR(10),""),CHAR(13),"")," ",""),"")</f>
        <v/>
      </c>
      <c r="BE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12,33))," ",""),"!",""),CHAR(34),""),"#",""),"$",""),"%",""),"&amp;",""),"'",""),"(",""),")",""),"*",""),"+",""),",",""),"-",""),".",""),"/",""),":",""),";",""),"&lt;",""),"=",""),"&gt;",""),"?",""),"@",""),"[",""),"\",""),"]",""),"^",""),"_",""),"`",""),"{",""),"|",""),"}",""),"~",""),CHAR(9),""),CHAR(10),""),CHAR(13),"")," ",""),"")</f>
        <v/>
      </c>
      <c r="BF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12,34))," ",""),"!",""),CHAR(34),""),"#",""),"$",""),"%",""),"&amp;",""),"'",""),"(",""),")",""),"*",""),"+",""),",",""),"-",""),".",""),"/",""),":",""),";",""),"&lt;",""),"=",""),"&gt;",""),"?",""),"@",""),"[",""),"\",""),"]",""),"^",""),"_",""),"`",""),"{",""),"|",""),"}",""),"~",""),CHAR(9),""),CHAR(10),""),CHAR(13),"")," ",""),"")</f>
        <v/>
      </c>
      <c r="BG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12,35))," ",""),"!",""),CHAR(34),""),"#",""),"$",""),"%",""),"&amp;",""),"'",""),"(",""),")",""),"*",""),"+",""),",",""),"-",""),".",""),"/",""),":",""),";",""),"&lt;",""),"=",""),"&gt;",""),"?",""),"@",""),"[",""),"\",""),"]",""),"^",""),"_",""),"`",""),"{",""),"|",""),"}",""),"~",""),CHAR(9),""),CHAR(10),""),CHAR(13),"")," ",""),"")</f>
        <v/>
      </c>
      <c r="BH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12,36))," ",""),"!",""),CHAR(34),""),"#",""),"$",""),"%",""),"&amp;",""),"'",""),"(",""),")",""),"*",""),"+",""),",",""),"-",""),".",""),"/",""),":",""),";",""),"&lt;",""),"=",""),"&gt;",""),"?",""),"@",""),"[",""),"\",""),"]",""),"^",""),"_",""),"`",""),"{",""),"|",""),"}",""),"~",""),CHAR(9),""),CHAR(10),""),CHAR(13),"")," ",""),"")</f>
        <v/>
      </c>
      <c r="BI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12,37))," ",""),"!",""),CHAR(34),""),"#",""),"$",""),"%",""),"&amp;",""),"'",""),"(",""),")",""),"*",""),"+",""),",",""),"-",""),".",""),"/",""),":",""),";",""),"&lt;",""),"=",""),"&gt;",""),"?",""),"@",""),"[",""),"\",""),"]",""),"^",""),"_",""),"`",""),"{",""),"|",""),"}",""),"~",""),CHAR(9),""),CHAR(10),""),CHAR(13),"")," ",""),"")</f>
        <v/>
      </c>
      <c r="BJ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12,38))," ",""),"!",""),CHAR(34),""),"#",""),"$",""),"%",""),"&amp;",""),"'",""),"(",""),")",""),"*",""),"+",""),",",""),"-",""),".",""),"/",""),":",""),";",""),"&lt;",""),"=",""),"&gt;",""),"?",""),"@",""),"[",""),"\",""),"]",""),"^",""),"_",""),"`",""),"{",""),"|",""),"}",""),"~",""),CHAR(9),""),CHAR(10),""),CHAR(13),"")," ",""),"")</f>
        <v/>
      </c>
      <c r="BK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12,39))," ",""),"!",""),CHAR(34),""),"#",""),"$",""),"%",""),"&amp;",""),"'",""),"(",""),")",""),"*",""),"+",""),",",""),"-",""),".",""),"/",""),":",""),";",""),"&lt;",""),"=",""),"&gt;",""),"?",""),"@",""),"[",""),"\",""),"]",""),"^",""),"_",""),"`",""),"{",""),"|",""),"}",""),"~",""),CHAR(9),""),CHAR(10),""),CHAR(13),"")," ",""),"")</f>
        <v/>
      </c>
      <c r="BL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12,40))," ",""),"!",""),CHAR(34),""),"#",""),"$",""),"%",""),"&amp;",""),"'",""),"(",""),")",""),"*",""),"+",""),",",""),"-",""),".",""),"/",""),":",""),";",""),"&lt;",""),"=",""),"&gt;",""),"?",""),"@",""),"[",""),"\",""),"]",""),"^",""),"_",""),"`",""),"{",""),"|",""),"}",""),"~",""),CHAR(9),""),CHAR(10),""),CHAR(13),"")," ",""),"")</f>
        <v/>
      </c>
      <c r="BM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12,41))," ",""),"!",""),CHAR(34),""),"#",""),"$",""),"%",""),"&amp;",""),"'",""),"(",""),")",""),"*",""),"+",""),",",""),"-",""),".",""),"/",""),":",""),";",""),"&lt;",""),"=",""),"&gt;",""),"?",""),"@",""),"[",""),"\",""),"]",""),"^",""),"_",""),"`",""),"{",""),"|",""),"}",""),"~",""),CHAR(9),""),CHAR(10),""),CHAR(13),"")," ",""),"")</f>
        <v/>
      </c>
      <c r="BN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12,42))," ",""),"!",""),CHAR(34),""),"#",""),"$",""),"%",""),"&amp;",""),"'",""),"(",""),")",""),"*",""),"+",""),",",""),"-",""),".",""),"/",""),":",""),";",""),"&lt;",""),"=",""),"&gt;",""),"?",""),"@",""),"[",""),"\",""),"]",""),"^",""),"_",""),"`",""),"{",""),"|",""),"}",""),"~",""),CHAR(9),""),CHAR(10),""),CHAR(13),"")," ",""),"")</f>
        <v/>
      </c>
      <c r="BO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12,43))," ",""),"!",""),CHAR(34),""),"#",""),"$",""),"%",""),"&amp;",""),"'",""),"(",""),")",""),"*",""),"+",""),",",""),"-",""),".",""),"/",""),":",""),";",""),"&lt;",""),"=",""),"&gt;",""),"?",""),"@",""),"[",""),"\",""),"]",""),"^",""),"_",""),"`",""),"{",""),"|",""),"}",""),"~",""),CHAR(9),""),CHAR(10),""),CHAR(13),"")," ",""),"")</f>
        <v/>
      </c>
      <c r="BP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12,44))," ",""),"!",""),CHAR(34),""),"#",""),"$",""),"%",""),"&amp;",""),"'",""),"(",""),")",""),"*",""),"+",""),",",""),"-",""),".",""),"/",""),":",""),";",""),"&lt;",""),"=",""),"&gt;",""),"?",""),"@",""),"[",""),"\",""),"]",""),"^",""),"_",""),"`",""),"{",""),"|",""),"}",""),"~",""),CHAR(9),""),CHAR(10),""),CHAR(13),"")," ",""),"")</f>
        <v/>
      </c>
      <c r="BQ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12,45))," ",""),"!",""),CHAR(34),""),"#",""),"$",""),"%",""),"&amp;",""),"'",""),"(",""),")",""),"*",""),"+",""),",",""),"-",""),".",""),"/",""),":",""),";",""),"&lt;",""),"=",""),"&gt;",""),"?",""),"@",""),"[",""),"\",""),"]",""),"^",""),"_",""),"`",""),"{",""),"|",""),"}",""),"~",""),CHAR(9),""),CHAR(10),""),CHAR(13),"")," ",""),"")</f>
        <v/>
      </c>
      <c r="BR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12,46))," ",""),"!",""),CHAR(34),""),"#",""),"$",""),"%",""),"&amp;",""),"'",""),"(",""),")",""),"*",""),"+",""),",",""),"-",""),".",""),"/",""),":",""),";",""),"&lt;",""),"=",""),"&gt;",""),"?",""),"@",""),"[",""),"\",""),"]",""),"^",""),"_",""),"`",""),"{",""),"|",""),"}",""),"~",""),CHAR(9),""),CHAR(10),""),CHAR(13),"")," ",""),"")</f>
        <v/>
      </c>
      <c r="BS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12,47))," ",""),"!",""),CHAR(34),""),"#",""),"$",""),"%",""),"&amp;",""),"'",""),"(",""),")",""),"*",""),"+",""),",",""),"-",""),".",""),"/",""),":",""),";",""),"&lt;",""),"=",""),"&gt;",""),"?",""),"@",""),"[",""),"\",""),"]",""),"^",""),"_",""),"`",""),"{",""),"|",""),"}",""),"~",""),CHAR(9),""),CHAR(10),""),CHAR(13),"")," ",""),"")</f>
        <v/>
      </c>
      <c r="BT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12,48))," ",""),"!",""),CHAR(34),""),"#",""),"$",""),"%",""),"&amp;",""),"'",""),"(",""),")",""),"*",""),"+",""),",",""),"-",""),".",""),"/",""),":",""),";",""),"&lt;",""),"=",""),"&gt;",""),"?",""),"@",""),"[",""),"\",""),"]",""),"^",""),"_",""),"`",""),"{",""),"|",""),"}",""),"~",""),CHAR(9),""),CHAR(10),""),CHAR(13),"")," ",""),"")</f>
        <v/>
      </c>
      <c r="BU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12,49))," ",""),"!",""),CHAR(34),""),"#",""),"$",""),"%",""),"&amp;",""),"'",""),"(",""),")",""),"*",""),"+",""),",",""),"-",""),".",""),"/",""),":",""),";",""),"&lt;",""),"=",""),"&gt;",""),"?",""),"@",""),"[",""),"\",""),"]",""),"^",""),"_",""),"`",""),"{",""),"|",""),"}",""),"~",""),CHAR(9),""),CHAR(10),""),CHAR(13),"")," ",""),"")</f>
        <v/>
      </c>
      <c r="BV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12,50))," ",""),"!",""),CHAR(34),""),"#",""),"$",""),"%",""),"&amp;",""),"'",""),"(",""),")",""),"*",""),"+",""),",",""),"-",""),".",""),"/",""),":",""),";",""),"&lt;",""),"=",""),"&gt;",""),"?",""),"@",""),"[",""),"\",""),"]",""),"^",""),"_",""),"`",""),"{",""),"|",""),"}",""),"~",""),CHAR(9),""),CHAR(10),""),CHAR(13),"")," ",""),"")</f>
        <v/>
      </c>
      <c r="BW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12,51))," ",""),"!",""),CHAR(34),""),"#",""),"$",""),"%",""),"&amp;",""),"'",""),"(",""),")",""),"*",""),"+",""),",",""),"-",""),".",""),"/",""),":",""),";",""),"&lt;",""),"=",""),"&gt;",""),"?",""),"@",""),"[",""),"\",""),"]",""),"^",""),"_",""),"`",""),"{",""),"|",""),"}",""),"~",""),CHAR(9),""),CHAR(10),""),CHAR(13),"")," ",""),"")</f>
        <v/>
      </c>
      <c r="BX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12,52))," ",""),"!",""),CHAR(34),""),"#",""),"$",""),"%",""),"&amp;",""),"'",""),"(",""),")",""),"*",""),"+",""),",",""),"-",""),".",""),"/",""),":",""),";",""),"&lt;",""),"=",""),"&gt;",""),"?",""),"@",""),"[",""),"\",""),"]",""),"^",""),"_",""),"`",""),"{",""),"|",""),"}",""),"~",""),CHAR(9),""),CHAR(10),""),CHAR(13),"")," ",""),"")</f>
        <v/>
      </c>
      <c r="BY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12,53))," ",""),"!",""),CHAR(34),""),"#",""),"$",""),"%",""),"&amp;",""),"'",""),"(",""),")",""),"*",""),"+",""),",",""),"-",""),".",""),"/",""),":",""),";",""),"&lt;",""),"=",""),"&gt;",""),"?",""),"@",""),"[",""),"\",""),"]",""),"^",""),"_",""),"`",""),"{",""),"|",""),"}",""),"~",""),CHAR(9),""),CHAR(10),""),CHAR(13),"")," ",""),"")</f>
        <v/>
      </c>
      <c r="BZ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12,54))," ",""),"!",""),CHAR(34),""),"#",""),"$",""),"%",""),"&amp;",""),"'",""),"(",""),")",""),"*",""),"+",""),",",""),"-",""),".",""),"/",""),":",""),";",""),"&lt;",""),"=",""),"&gt;",""),"?",""),"@",""),"[",""),"\",""),"]",""),"^",""),"_",""),"`",""),"{",""),"|",""),"}",""),"~",""),CHAR(9),""),CHAR(10),""),CHAR(13),"")," ",""),"")</f>
        <v/>
      </c>
      <c r="CA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12,55))," ",""),"!",""),CHAR(34),""),"#",""),"$",""),"%",""),"&amp;",""),"'",""),"(",""),")",""),"*",""),"+",""),",",""),"-",""),".",""),"/",""),":",""),";",""),"&lt;",""),"=",""),"&gt;",""),"?",""),"@",""),"[",""),"\",""),"]",""),"^",""),"_",""),"`",""),"{",""),"|",""),"}",""),"~",""),CHAR(9),""),CHAR(10),""),CHAR(13),"")," ",""),"")</f>
        <v/>
      </c>
      <c r="CB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12,56))," ",""),"!",""),CHAR(34),""),"#",""),"$",""),"%",""),"&amp;",""),"'",""),"(",""),")",""),"*",""),"+",""),",",""),"-",""),".",""),"/",""),":",""),";",""),"&lt;",""),"=",""),"&gt;",""),"?",""),"@",""),"[",""),"\",""),"]",""),"^",""),"_",""),"`",""),"{",""),"|",""),"}",""),"~",""),CHAR(9),""),CHAR(10),""),CHAR(13),"")," ",""),"")</f>
        <v/>
      </c>
      <c r="CC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12,57))," ",""),"!",""),CHAR(34),""),"#",""),"$",""),"%",""),"&amp;",""),"'",""),"(",""),")",""),"*",""),"+",""),",",""),"-",""),".",""),"/",""),":",""),";",""),"&lt;",""),"=",""),"&gt;",""),"?",""),"@",""),"[",""),"\",""),"]",""),"^",""),"_",""),"`",""),"{",""),"|",""),"}",""),"~",""),CHAR(9),""),CHAR(10),""),CHAR(13),"")," ",""),"")</f>
        <v/>
      </c>
      <c r="CD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12,58))," ",""),"!",""),CHAR(34),""),"#",""),"$",""),"%",""),"&amp;",""),"'",""),"(",""),")",""),"*",""),"+",""),",",""),"-",""),".",""),"/",""),":",""),";",""),"&lt;",""),"=",""),"&gt;",""),"?",""),"@",""),"[",""),"\",""),"]",""),"^",""),"_",""),"`",""),"{",""),"|",""),"}",""),"~",""),CHAR(9),""),CHAR(10),""),CHAR(13),"")," ",""),"")</f>
        <v/>
      </c>
      <c r="CE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12,59))," ",""),"!",""),CHAR(34),""),"#",""),"$",""),"%",""),"&amp;",""),"'",""),"(",""),")",""),"*",""),"+",""),",",""),"-",""),".",""),"/",""),":",""),";",""),"&lt;",""),"=",""),"&gt;",""),"?",""),"@",""),"[",""),"\",""),"]",""),"^",""),"_",""),"`",""),"{",""),"|",""),"}",""),"~",""),CHAR(9),""),CHAR(10),""),CHAR(13),"")," ",""),"")</f>
        <v/>
      </c>
      <c r="CF1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12,60))," ",""),"!",""),CHAR(34),""),"#",""),"$",""),"%",""),"&amp;",""),"'",""),"(",""),")",""),"*",""),"+",""),",",""),"-",""),".",""),"/",""),":",""),";",""),"&lt;",""),"=",""),"&gt;",""),"?",""),"@",""),"[",""),"\",""),"]",""),"^",""),"_",""),"`",""),"{",""),"|",""),"}",""),"~",""),CHAR(9),""),CHAR(10),""),CHAR(13),"")," ",""),"")</f>
        <v/>
      </c>
      <c r="CH16">
        <f>COUNTIF($Y61:$CF61,"&gt;0")</f>
        <v/>
      </c>
      <c r="CI16">
        <f>COUNTIF($Y61:$CF61,2)</f>
        <v/>
      </c>
      <c r="CJ16">
        <f>SUMPRODUCT((COUNTIF($Y106:$CF106,{1,2,3,4,5,6,7,8,9,10,11,12,13,14,15})&gt;0)*{2,4,8,16,32,64,128,256,512,1024,2048,4096,8192,16384,32768})</f>
        <v/>
      </c>
      <c r="CK16">
        <f>CF196</f>
        <v/>
      </c>
      <c r="CL16">
        <f>SUMPRODUCT(MOD(INT(((CJ16+CK16))/{2,4,8,16,32,64,128,256,512,1024,2048,4096,8192,16384,32768}),2))</f>
        <v/>
      </c>
      <c r="CM16">
        <f>IF(CH16&lt;2,-9999,CL16+2*MOD(INT(((CJ16+CK16))/2),2)+2*MOD(INT(((CJ16+CK16))/4),2)-CI16)</f>
        <v/>
      </c>
      <c r="DA16" t="n">
        <v>12</v>
      </c>
      <c r="DB16">
        <f>IF($B$37=0,"",IFERROR(TRIM(SUBSTITUTE(SUBSTITUTE(SUBSTITUTE(SUBSTITUTE(INDEX(PASTE_ALL,12,$B$37)," "," "),CHAR(9)," "),CHAR(10)," "),CHAR(13)," ")),""))</f>
        <v/>
      </c>
      <c r="DC16">
        <f>IF(AND(12&gt;HEADER_ROW,UPPER(DB16)="LEGEND"),1,0)</f>
        <v/>
      </c>
      <c r="DE16" t="n">
        <v>12</v>
      </c>
      <c r="DF16">
        <f>HEADER_ROW+$DE16</f>
        <v/>
      </c>
      <c r="DG16">
        <f>IF(AND($DF16&lt;=1000,$DF16&lt;$B$8),1,0)</f>
        <v/>
      </c>
      <c r="DH16">
        <f>IF($DG16=1,IFERROR(INDEX($DB$5:$DB$1004,$DF16),""),"")</f>
        <v/>
      </c>
      <c r="DI16">
        <f>IF(AND($DG16=1,$DH16&lt;&gt;""),IFERROR(SUBSTITUTE(SUBSTITUTE(TRIM(SUBSTITUTE(SUBSTITUTE(SUBSTITUTE(SUBSTITUTE(IFERROR(INDEX(PASTE_ALL,$DF16,1)&amp;"","")&amp;"␟"&amp;IFERROR(INDEX(PASTE_ALL,$DF16,2)&amp;"","")&amp;"␟"&amp;IFERROR(INDEX(PASTE_ALL,$DF16,3)&amp;"","")&amp;"␟"&amp;IFERROR(INDEX(PASTE_ALL,$DF16,4)&amp;"","")&amp;"␟"&amp;IFERROR(INDEX(PASTE_ALL,$DF16,5)&amp;"","")&amp;"␟"&amp;IFERROR(INDEX(PASTE_ALL,$DF16,6)&amp;"","")&amp;"␟"&amp;IFERROR(INDEX(PASTE_ALL,$DF16,7)&amp;"","")&amp;"␟"&amp;IFERROR(INDEX(PASTE_ALL,$DF16,8)&amp;"","")&amp;"␟"&amp;IFERROR(INDEX(PASTE_ALL,$DF16,9)&amp;"","")&amp;"␟"&amp;IFERROR(INDEX(PASTE_ALL,$DF16,10)&amp;"","")&amp;"␟"&amp;IFERROR(INDEX(PASTE_ALL,$DF16,11)&amp;"","")&amp;"␟"&amp;IFERROR(INDEX(PASTE_ALL,$DF16,12)&amp;"","")&amp;"␟"&amp;IFERROR(INDEX(PASTE_ALL,$DF16,13)&amp;"","")&amp;"␟"&amp;IFERROR(INDEX(PASTE_ALL,$DF16,14)&amp;"","")&amp;"␟"&amp;IFERROR(INDEX(PASTE_ALL,$DF16,15)&amp;"","")&amp;"␟"&amp;IFERROR(INDEX(PASTE_ALL,$DF16,16)&amp;"","")&amp;"␟"&amp;IFERROR(INDEX(PASTE_ALL,$DF16,17)&amp;"","")&amp;"␟"&amp;IFERROR(INDEX(PASTE_ALL,$DF16,18)&amp;"","")&amp;"␟"&amp;IFERROR(INDEX(PASTE_ALL,$DF16,19)&amp;"","")&amp;"␟"&amp;IFERROR(INDEX(PASTE_ALL,$DF16,20)&amp;"","")&amp;"␟"&amp;IFERROR(INDEX(PASTE_ALL,$DF16,21)&amp;"","")&amp;"␟"&amp;IFERROR(INDEX(PASTE_ALL,$DF16,22)&amp;"","")&amp;"␟"&amp;IFERROR(INDEX(PASTE_ALL,$DF16,23)&amp;"","")&amp;"␟"&amp;IFERROR(INDEX(PASTE_ALL,$DF16,24)&amp;"","")&amp;"␟"&amp;IFERROR(INDEX(PASTE_ALL,$DF16,25)&amp;"","")&amp;"␟"&amp;IFERROR(INDEX(PASTE_ALL,$DF16,26)&amp;"","")&amp;"␟"&amp;IFERROR(INDEX(PASTE_ALL,$DF16,27)&amp;"","")&amp;"␟"&amp;IFERROR(INDEX(PASTE_ALL,$DF16,28)&amp;"","")&amp;"␟"&amp;IFERROR(INDEX(PASTE_ALL,$DF16,29)&amp;"","")&amp;"␟"&amp;IFERROR(INDEX(PASTE_ALL,$DF16,30)&amp;"","")&amp;"␟"&amp;IFERROR(INDEX(PASTE_ALL,$DF16,31)&amp;"","")&amp;"␟"&amp;IFERROR(INDEX(PASTE_ALL,$DF16,32)&amp;"","")&amp;"␟"&amp;IFERROR(INDEX(PASTE_ALL,$DF16,33)&amp;"","")&amp;"␟"&amp;IFERROR(INDEX(PASTE_ALL,$DF16,34)&amp;"","")&amp;"␟"&amp;IFERROR(INDEX(PASTE_ALL,$DF16,35)&amp;"","")&amp;"␟"&amp;IFERROR(INDEX(PASTE_ALL,$DF16,36)&amp;"","")&amp;"␟"&amp;IFERROR(INDEX(PASTE_ALL,$DF16,37)&amp;"","")&amp;"␟"&amp;IFERROR(INDEX(PASTE_ALL,$DF16,38)&amp;"","")&amp;"␟"&amp;IFERROR(INDEX(PASTE_ALL,$DF16,39)&amp;"","")&amp;"␟"&amp;IFERROR(INDEX(PASTE_ALL,$DF16,40)&amp;"","")&amp;"␟"&amp;IFERROR(INDEX(PASTE_ALL,$DF16,41)&amp;"","")&amp;"␟"&amp;IFERROR(INDEX(PASTE_ALL,$DF16,42)&amp;"","")&amp;"␟"&amp;IFERROR(INDEX(PASTE_ALL,$DF16,43)&amp;"","")&amp;"␟"&amp;IFERROR(INDEX(PASTE_ALL,$DF16,44)&amp;"","")&amp;"␟"&amp;IFERROR(INDEX(PASTE_ALL,$DF16,45)&amp;"","")&amp;"␟"&amp;IFERROR(INDEX(PASTE_ALL,$DF16,46)&amp;"","")&amp;"␟"&amp;IFERROR(INDEX(PASTE_ALL,$DF16,47)&amp;"","")&amp;"␟"&amp;IFERROR(INDEX(PASTE_ALL,$DF16,48)&amp;"","")&amp;"␟"&amp;IFERROR(INDEX(PASTE_ALL,$DF16,49)&amp;"","")&amp;"␟"&amp;IFERROR(INDEX(PASTE_ALL,$DF16,50)&amp;"","")&amp;"␟"&amp;IFERROR(INDEX(PASTE_ALL,$DF16,51)&amp;"","")&amp;"␟"&amp;IFERROR(INDEX(PASTE_ALL,$DF16,52)&amp;"","")&amp;"␟"&amp;IFERROR(INDEX(PASTE_ALL,$DF16,53)&amp;"","")&amp;"␟"&amp;IFERROR(INDEX(PASTE_ALL,$DF16,54)&amp;"","")&amp;"␟"&amp;IFERROR(INDEX(PASTE_ALL,$DF16,55)&amp;"","")&amp;"␟"&amp;IFERROR(INDEX(PASTE_ALL,$DF16,56)&amp;"","")&amp;"␟"&amp;IFERROR(INDEX(PASTE_ALL,$DF16,57)&amp;"","")&amp;"␟"&amp;IFERROR(INDEX(PASTE_ALL,$DF16,58)&amp;"","")&amp;"␟"&amp;IFERROR(INDEX(PASTE_ALL,$DF16,59)&amp;"","")&amp;"␟"&amp;IFERROR(INDEX(PASTE_ALL,$DF16,60)&amp;"","")," "," "),CHAR(9)," "),CHAR(10)," "),CHAR(13)," "))," ␟","␟"),"␟ ","␟"),"#"&amp;$DE16),"")</f>
        <v/>
      </c>
      <c r="DJ16">
        <f>IF($DI16="",0,IF(SUMPRODUCT(--EXACT($DI$4:DI15,$DI16))&gt;0,1,0))</f>
        <v/>
      </c>
      <c r="DK16">
        <f>IF(AND($DI16&lt;&gt;"",$DJ16=0),1,0)</f>
        <v/>
      </c>
      <c r="DL16">
        <f>DL15+$DK16</f>
        <v/>
      </c>
      <c r="DM16">
        <f>IF(AND($DK16=1,$DL16&lt;=600),1,0)</f>
        <v/>
      </c>
      <c r="DN16">
        <f>IF($DM16=0,"",IF($L$6=0,"",IFERROR(IF(ISNUMBER(INDEX(PASTE_ALL,$DF16,$L$6)),INDEX(PASTE_ALL,$DF16,$L$6),TRIM(SUBSTITUTE(SUBSTITUTE(SUBSTITUTE(SUBSTITUTE(INDEX(PASTE_ALL,$DF16,$L$6)," "," "),CHAR(9)," "),CHAR(10)," "),CHAR(13)," "))),"")))</f>
        <v/>
      </c>
      <c r="DO16">
        <f>IF($DM16=0,"",IF($L$7=0,"",IFERROR(IF(ISNUMBER(INDEX(PASTE_ALL,$DF16,$L$7)),INDEX(PASTE_ALL,$DF16,$L$7),TRIM(SUBSTITUTE(SUBSTITUTE(SUBSTITUTE(SUBSTITUTE(INDEX(PASTE_ALL,$DF16,$L$7)," "," "),CHAR(9)," "),CHAR(10)," "),CHAR(13)," "))),"")))</f>
        <v/>
      </c>
      <c r="DP16">
        <f>IF($DM16=0,"",IF($L$8=0,"",IFERROR(IF(ISNUMBER(INDEX(PASTE_ALL,$DF16,$L$8)),INDEX(PASTE_ALL,$DF16,$L$8),TRIM(SUBSTITUTE(SUBSTITUTE(SUBSTITUTE(SUBSTITUTE(INDEX(PASTE_ALL,$DF16,$L$8)," "," "),CHAR(9)," "),CHAR(10)," "),CHAR(13)," "))),"")))</f>
        <v/>
      </c>
      <c r="DQ16">
        <f>IF($DM16=0,"",IF($L$9=0,"",IFERROR(IF(ISNUMBER(INDEX(PASTE_ALL,$DF16,$L$9)),INDEX(PASTE_ALL,$DF16,$L$9),TRIM(SUBSTITUTE(SUBSTITUTE(SUBSTITUTE(SUBSTITUTE(INDEX(PASTE_ALL,$DF16,$L$9)," "," "),CHAR(9)," "),CHAR(10)," "),CHAR(13)," "))),"")))</f>
        <v/>
      </c>
      <c r="DR16">
        <f>IF($DM16=0,"",IF($L$10=0,"",IFERROR(IF(ISNUMBER(INDEX(PASTE_ALL,$DF16,$L$10)),INDEX(PASTE_ALL,$DF16,$L$10),TRIM(SUBSTITUTE(SUBSTITUTE(SUBSTITUTE(SUBSTITUTE(INDEX(PASTE_ALL,$DF16,$L$10)," "," "),CHAR(9)," "),CHAR(10)," "),CHAR(13)," "))),"")))</f>
        <v/>
      </c>
      <c r="DS16">
        <f>IF($DM16=0,"",IF($L$11=0,"",IFERROR(IF(ISNUMBER(INDEX(PASTE_ALL,$DF16,$L$11)),INDEX(PASTE_ALL,$DF16,$L$11),TRIM(SUBSTITUTE(SUBSTITUTE(SUBSTITUTE(SUBSTITUTE(INDEX(PASTE_ALL,$DF16,$L$11)," "," "),CHAR(9)," "),CHAR(10)," "),CHAR(13)," "))),"")))</f>
        <v/>
      </c>
      <c r="DT16">
        <f>IF($DM16=0,"",IF($L$12=0,"",IFERROR(IF(ISNUMBER(INDEX(PASTE_ALL,$DF16,$L$12)),INDEX(PASTE_ALL,$DF16,$L$12),TRIM(SUBSTITUTE(SUBSTITUTE(SUBSTITUTE(SUBSTITUTE(INDEX(PASTE_ALL,$DF16,$L$12)," "," "),CHAR(9)," "),CHAR(10)," "),CHAR(13)," "))),"")))</f>
        <v/>
      </c>
      <c r="DU16">
        <f>IF($DM16=0,"",IF($L$13=0,"",IFERROR(IF(ISNUMBER(INDEX(PASTE_ALL,$DF16,$L$13)),INDEX(PASTE_ALL,$DF16,$L$13),TRIM(SUBSTITUTE(SUBSTITUTE(SUBSTITUTE(SUBSTITUTE(INDEX(PASTE_ALL,$DF16,$L$13)," "," "),CHAR(9)," "),CHAR(10)," "),CHAR(13)," "))),"")))</f>
        <v/>
      </c>
      <c r="DV16">
        <f>IF($DM16=0,"",IF($L$14=0,"",IFERROR(IF(ISNUMBER(INDEX(PASTE_ALL,$DF16,$L$14)),INDEX(PASTE_ALL,$DF16,$L$14),TRIM(SUBSTITUTE(SUBSTITUTE(SUBSTITUTE(SUBSTITUTE(INDEX(PASTE_ALL,$DF16,$L$14)," "," "),CHAR(9)," "),CHAR(10)," "),CHAR(13)," "))),"")))</f>
        <v/>
      </c>
      <c r="DW16">
        <f>IF($DM16=0,"",IF($L$15=0,"",IFERROR(IF(ISNUMBER(INDEX(PASTE_ALL,$DF16,$L$15)),INDEX(PASTE_ALL,$DF16,$L$15),IF(SUMPRODUCT(--ISNUMBER(FIND({"A","B","C","D","E","F","G","H","I","J","K","L","M","N","O","P","Q","R","S","T","U","V","W","X","Y","Z","0","1","2","3","4","5","6","7","8","9"},UPPER(TRIM(SUBSTITUTE(SUBSTITUTE(SUBSTITUTE(SUBSTITUTE(INDEX(PASTE_ALL,$DF16,$L$15)," "," "),CHAR(9)," "),CHAR(10)," "),CHAR(13)," "))))))&gt;0,TRIM(SUBSTITUTE(SUBSTITUTE(SUBSTITUTE(SUBSTITUTE(INDEX(PASTE_ALL,$DF16,$L$15)," "," "),CHAR(9)," "),CHAR(10)," "),CHAR(13)," ")),"")),"")))</f>
        <v/>
      </c>
      <c r="DX16">
        <f>IF($DM16=0,"",IF($L$16=0,"",IFERROR(IF(ISNUMBER(INDEX(PASTE_ALL,$DF16,$L$16)),INDEX(PASTE_ALL,$DF16,$L$16),SUBSTITUTE(SUBSTITUTE(TRIM(SUBSTITUTE(SUBSTITUTE(SUBSTITUTE(SUBSTITUTE(INDEX(PASTE_ALL,$DF16,$L$16)," "," "),CHAR(9)," "),CHAR(10)," "),CHAR(13)," ")),",",""),"%","")),"")))</f>
        <v/>
      </c>
      <c r="DY16">
        <f>IF($DM16=0,"",IFERROR(IF(ISNUMBER($DX16),$DX16,IF($DX16="","",IF(TRIM($DX16)="",0,IF(AND(AND(SUBSTITUTE(SUBSTITUTE(SUBSTITUTE(SUBSTITUTE(SUBSTITUTE(SUBSTITUTE(SUBSTITUTE(SUBSTITUTE(SUBSTITUTE(SUBSTITUTE(SUBSTITUTE(SUBSTITUTE(SUBSTITUTE(SUBSTITUTE(UPPER(TRIM($DX16)),"0",""),"1",""),"2",""),"3",""),"4",""),"5",""),"6",""),"7",""),"8",""),"9",""),".",""),"+",""),"-",""),"E","")="",LEN(SUBSTITUTE(SUBSTITUTE(MID(UPPER(TRIM($DX16)),1+OR(LEFT(UPPER(TRIM($DX16)),1)="+",LEFT(UPPER(TRIM($DX16)),1)="-"),999),"E+","E"),"E-","E"))=LEN(SUBSTITUTE(SUBSTITUTE(SUBSTITUTE(SUBSTITUTE(MID(UPPER(TRIM($DX16)),1+OR(LEFT(UPPER(TRIM($DX16)),1)="+",LEFT(UPPER(TRIM($DX16)),1)="-"),999),"E+","E"),"E-","E"),"+",""),"-","")),LEN(UPPER(TRIM($DX16)))-LEN(SUBSTITUTE(UPPER(TRIM($DX16)),"E",""))&lt;2,LEN(UPPER(TRIM($DX16)))-LEN(SUBSTITUTE(UPPER(TRIM($DX16)),".",""))&lt;2,IFERROR(FIND(".",UPPER(TRIM($DX16))),0)&lt;IFERROR(FIND("E",UPPER(TRIM($DX16))),999)),ISNUMBER(VALUE(TRIM($DX16)))),VALUE(TRIM($DX16)),"")))),""))</f>
        <v/>
      </c>
      <c r="DZ16">
        <f>IF($DM16=0,"",IF($L$17=0,"",IFERROR(IF(ISNUMBER(INDEX(PASTE_ALL,$DF16,$L$17)),INDEX(PASTE_ALL,$DF16,$L$17),SUBSTITUTE(SUBSTITUTE(TRIM(SUBSTITUTE(SUBSTITUTE(SUBSTITUTE(SUBSTITUTE(INDEX(PASTE_ALL,$DF16,$L$17)," "," "),CHAR(9)," "),CHAR(10)," "),CHAR(13)," ")),",",""),"%","")),"")))</f>
        <v/>
      </c>
      <c r="EA16">
        <f>IF($DM16=0,"",IFERROR(IF(ISNUMBER($DZ16),$DZ16,IF($DZ16="","",IF(TRIM($DZ16)="",0,IF(AND(AND(SUBSTITUTE(SUBSTITUTE(SUBSTITUTE(SUBSTITUTE(SUBSTITUTE(SUBSTITUTE(SUBSTITUTE(SUBSTITUTE(SUBSTITUTE(SUBSTITUTE(SUBSTITUTE(SUBSTITUTE(SUBSTITUTE(SUBSTITUTE(UPPER(TRIM($DZ16)),"0",""),"1",""),"2",""),"3",""),"4",""),"5",""),"6",""),"7",""),"8",""),"9",""),".",""),"+",""),"-",""),"E","")="",LEN(SUBSTITUTE(SUBSTITUTE(MID(UPPER(TRIM($DZ16)),1+OR(LEFT(UPPER(TRIM($DZ16)),1)="+",LEFT(UPPER(TRIM($DZ16)),1)="-"),999),"E+","E"),"E-","E"))=LEN(SUBSTITUTE(SUBSTITUTE(SUBSTITUTE(SUBSTITUTE(MID(UPPER(TRIM($DZ16)),1+OR(LEFT(UPPER(TRIM($DZ16)),1)="+",LEFT(UPPER(TRIM($DZ16)),1)="-"),999),"E+","E"),"E-","E"),"+",""),"-","")),LEN(UPPER(TRIM($DZ16)))-LEN(SUBSTITUTE(UPPER(TRIM($DZ16)),"E",""))&lt;2,LEN(UPPER(TRIM($DZ16)))-LEN(SUBSTITUTE(UPPER(TRIM($DZ16)),".",""))&lt;2,IFERROR(FIND(".",UPPER(TRIM($DZ16))),0)&lt;IFERROR(FIND("E",UPPER(TRIM($DZ16))),999)),ISNUMBER(VALUE(TRIM($DZ16)))),VALUE(TRIM($DZ16)),"")))),""))</f>
        <v/>
      </c>
      <c r="EB16">
        <f>IF($DM16=0,"",IF($L$18=0,"",IFERROR(IF(UPPER(TRIM(SUBSTITUTE(SUBSTITUTE(SUBSTITUTE(SUBSTITUTE(INDEX(PASTE_ALL,$DF16,$L$18)," "," "),CHAR(9)," "),CHAR(10)," "),CHAR(13)," ")))="READY","Ready",IF(UPPER(TRIM(SUBSTITUTE(SUBSTITUTE(SUBSTITUTE(SUBSTITUTE(INDEX(PASTE_ALL,$DF16,$L$18)," "," "),CHAR(9)," "),CHAR(10)," "),CHAR(13)," ")))="PM","PM",IF(OR(UPPER(TRIM(SUBSTITUTE(SUBSTITUTE(SUBSTITUTE(SUBSTITUTE(INDEX(PASTE_ALL,$DF16,$L$18)," "," "),CHAR(9)," "),CHAR(10)," "),CHAR(13)," ")))="OT",UPPER(TRIM(SUBSTITUTE(SUBSTITUTE(SUBSTITUTE(SUBSTITUTE(INDEX(PASTE_ALL,$DF16,$L$18)," "," "),CHAR(9)," "),CHAR(10)," "),CHAR(13)," ")))="OVERTIME",UPPER(TRIM(SUBSTITUTE(SUBSTITUTE(SUBSTITUTE(SUBSTITUTE(INDEX(PASTE_ALL,$DF16,$L$18)," "," "),CHAR(9)," "),CHAR(10)," "),CHAR(13)," ")))="TRIAL"),"OT",TRIM(SUBSTITUTE(SUBSTITUTE(SUBSTITUTE(SUBSTITUTE(INDEX(PASTE_ALL,$DF16,$L$18)," "," "),CHAR(9)," "),CHAR(10)," "),CHAR(13)," "))))),"")))</f>
        <v/>
      </c>
      <c r="EC16">
        <f>IF($DM16=0,"",IF($L$19=0,"",IFERROR(IF(ISNUMBER(INDEX(PASTE_ALL,$DF16,$L$19)),INDEX(PASTE_ALL,$DF16,$L$19),TRIM(SUBSTITUTE(SUBSTITUTE(SUBSTITUTE(SUBSTITUTE(INDEX(PASTE_ALL,$DF16,$L$19)," "," "),CHAR(9)," "),CHAR(10)," "),CHAR(13)," "))),"")))</f>
        <v/>
      </c>
      <c r="ED16">
        <f>IF($DM16=0,"",MATCH(1,INDEX(EXACT($DH$5:DH16,$DH16)*$DM$5:DM16,0),0))</f>
        <v/>
      </c>
      <c r="EE16">
        <f>IF($DM16=0,0,IF($ED16=$DE16,1,0))</f>
        <v/>
      </c>
      <c r="EF16">
        <f>EF15+$EE16</f>
        <v/>
      </c>
      <c r="EG16">
        <f>IF($DM16=0,"",INDEX($EF$5:$EF$1003,$ED16))</f>
        <v/>
      </c>
      <c r="EH16">
        <f>IF($DM16=0,"",IF($DO16&lt;&gt;"","",IFERROR(LOOKUP(2,1/(($EG$4:EG15=$EG16)*($DO$4:DO15&lt;&gt;"")),$DO$4:DO15),"")))</f>
        <v/>
      </c>
      <c r="EI16">
        <f>IF($DM16=0,"",IF($DO16&lt;&gt;"",$DO16,$EH16))</f>
        <v/>
      </c>
      <c r="EJ16">
        <f>IF($DM16=0,"",IF($EI16="",0,IF(OR(ISNUMBER($EI16),AND(AND(SUBSTITUTE(SUBSTITUTE(SUBSTITUTE(SUBSTITUTE(SUBSTITUTE(SUBSTITUTE(SUBSTITUTE(SUBSTITUTE(SUBSTITUTE(SUBSTITUTE(SUBSTITUTE(SUBSTITUTE(SUBSTITUTE(SUBSTITUTE(UPPER($EI16),"0",""),"1",""),"2",""),"3",""),"4",""),"5",""),"6",""),"7",""),"8",""),"9",""),".",""),"+",""),"-",""),"E","")="",LEN(SUBSTITUTE(SUBSTITUTE(MID(UPPER($EI16),1+OR(LEFT(UPPER($EI16),1)="+",LEFT(UPPER($EI16),1)="-"),999),"E+","E"),"E-","E"))=LEN(SUBSTITUTE(SUBSTITUTE(SUBSTITUTE(SUBSTITUTE(MID(UPPER($EI16),1+OR(LEFT(UPPER($EI16),1)="+",LEFT(UPPER($EI16),1)="-"),999),"E+","E"),"E-","E"),"+",""),"-","")),LEN(UPPER($EI16))-LEN(SUBSTITUTE(UPPER($EI16),"E",""))&lt;2,LEN(UPPER($EI16))-LEN(SUBSTITUTE(UPPER($EI16),".",""))&lt;2,IFERROR(FIND(".",UPPER($EI16)),0)&lt;IFERROR(FIND("E",UPPER($EI16)),999)),ISNUMBER(VALUE($EI16)))),1,2)))</f>
        <v/>
      </c>
      <c r="EK16">
        <f>IF($DM16=0,"",IF($EJ16=1,IF(ISNUMBER($EI16),$EI16,VALUE($EI16)),IF($EJ16=2,$DE16,0)))</f>
        <v/>
      </c>
      <c r="EL16">
        <f>IF($DM16=0,"",COUNTIF($EG$5:$EG$1003,"&lt;"&amp;$EG16)+SUMPRODUCT(($EG$5:$EG$1003=$EG16)*(($EJ$5:$EJ$1003&lt;$EJ16)+($EJ$5:$EJ$1003=$EJ16)*(($EK$5:$EK$1003&lt;$EK16)+($EK$5:$EK$1003=$EK16)*($DE$5:$DE$1003&lt;$DE16))))+1)</f>
        <v/>
      </c>
      <c r="EM16">
        <f>IF($DM16=0,"",$EL16+$EG16-1)</f>
        <v/>
      </c>
      <c r="EN16">
        <f>IF($DM16=0,0,IFERROR(MATCH(1,INDEX(--(TRIM(SUBSTITUTE(SUBSTITUTE(SUBSTITUTE(SUBSTITUTE(LINES_NAME&amp;""," "," "),CHAR(9)," "),CHAR(10)," "),CHAR(13)," "))=$DH16),0),0),0))</f>
        <v/>
      </c>
      <c r="EO16">
        <f>IF($EN16=0,0,IF(OR(UPPER(TRIM(INDEX(LINES_SCHEDULED,$EN16)&amp;""))="YES",UPPER(TRIM(INDEX(LINES_SCHEDULED,$EN16)&amp;""))="Y",UPPER(TRIM(INDEX(LINES_SCHEDULED,$EN16)&amp;""))="X"),1,0))</f>
        <v/>
      </c>
      <c r="EP16">
        <f>IF($DM16=0,"",IF(COUNTIFS($EG$5:$EG$1003,$EG16,$EB$5:$EB$1003,"Ready")&gt;0,"READY",IF(COUNTIFS($EG$5:$EG$1003,$EG16,$EB$5:$EB$1003,"PM")&gt;0,"PM",IF(COUNTIFS($EG$5:$EG$1003,$EG16,$EB$5:$EB$1003,"OT")&gt;0,"OT",""))))</f>
        <v/>
      </c>
      <c r="EQ16">
        <f>IF($EN16=0,"",UPPER(TRIM(INDEX(LINES_STATUS,$EN16)&amp;"")))</f>
        <v/>
      </c>
      <c r="ER16">
        <f>IF($DM16=0,"",IF(OR($EQ16="READY",$EQ16="PM",$EQ16="OT"),$EQ16,$EP16))</f>
        <v/>
      </c>
      <c r="ES16">
        <f>IF($DM16=0,"",IF(AND($DV16&lt;&gt;"",UPPER($DV16)&lt;&gt;"N"),"allergen",IF(ISNUMBER(SEARCH("oil",$DQ16)),"oil",IF(OR(EXACT($DS16,"A662"),EXACT($DS16,"A624")),"bulk",""))))</f>
        <v/>
      </c>
      <c r="ET16">
        <f>IF($DM16=0,"",IF(OR($EA16="",$EA16=0),"",$EA16/100))</f>
        <v/>
      </c>
      <c r="EU16">
        <f>IF(OR($ET16="",$DY16=""),"",INT($DY16*(1-$ET16)+0.5))</f>
        <v/>
      </c>
      <c r="EW16" t="n">
        <v>12</v>
      </c>
      <c r="EX16">
        <f>IFERROR(MATCH($EW16,$EM$5:$EM$1003,0),0)</f>
        <v/>
      </c>
      <c r="EY16">
        <f>IF($EW16&gt;$B$12,"",IF($EX16&gt;0,"row","spacer"))</f>
        <v/>
      </c>
      <c r="EZ16">
        <f>IF(AND($EY16="row",$EY15&lt;&gt;"row"),1,0)</f>
        <v/>
      </c>
      <c r="FA16">
        <f>IF(AND($EY16="row",$EY17&lt;&gt;"row"),1,0)</f>
        <v/>
      </c>
      <c r="FB16">
        <f>IF($EZ16=1,IFERROR(IF(ISNUMBER(INDEX(PASTE_ALL,INDEX($DF$5:$DF$1003,$EX16),$B$37)),INDEX(PASTE_ALL,INDEX($DF$5:$DF$1003,$EX16),$B$37),INDEX($DH$5:$DH$1003,$EX16)),INDEX($DH$5:$DH$1003,$EX16)),"")</f>
        <v/>
      </c>
      <c r="FC16">
        <f>IF($EY16="row",INDEX($ER$5:$ER$1003,$EX16),"")</f>
        <v/>
      </c>
      <c r="FD16">
        <f>IF($EY16="row",INDEX($DN$5:$DN$1003,$EX16),"")</f>
        <v/>
      </c>
      <c r="FE16">
        <f>IF($EY16="row",INDEX($DO$5:$DO$1003,$EX16),"")</f>
        <v/>
      </c>
      <c r="FF16">
        <f>IF($EY16="row",INDEX($DP$5:$DP$1003,$EX16),"")</f>
        <v/>
      </c>
      <c r="FG16">
        <f>IF($EY16="row",INDEX($DQ$5:$DQ$1003,$EX16),"")</f>
        <v/>
      </c>
      <c r="FH16">
        <f>IF($EY16="row",INDEX($DR$5:$DR$1003,$EX16),"")</f>
        <v/>
      </c>
      <c r="FI16">
        <f>IF($EY16="row",INDEX($DS$5:$DS$1003,$EX16),"")</f>
        <v/>
      </c>
      <c r="FJ16">
        <f>IF($EY16="row",INDEX($DT$5:$DT$1003,$EX16),"")</f>
        <v/>
      </c>
      <c r="FK16">
        <f>IF($EY16="row",INDEX($DU$5:$DU$1003,$EX16),"")</f>
        <v/>
      </c>
      <c r="FL16">
        <f>IF($EY16="row",INDEX($DV$5:$DV$1003,$EX16),"")</f>
        <v/>
      </c>
      <c r="FM16">
        <f>IF($EY16="row",INDEX($DW$5:$DW$1003,$EX16),"")</f>
        <v/>
      </c>
      <c r="FN16">
        <f>IF($EY16="row",INDEX($DY$5:$DY$1003,$EX16),"")</f>
        <v/>
      </c>
      <c r="FO16">
        <f>IF($EY16="row",INDEX($EA$5:$EA$1003,$EX16),"")</f>
        <v/>
      </c>
      <c r="FP16">
        <f>IF($EY16="row",INDEX($EC$5:$EC$1003,$EX16),"")</f>
        <v/>
      </c>
      <c r="FQ16">
        <f>IF($EY16="row",INDEX($ET$5:$ET$1003,$EX16),"")</f>
        <v/>
      </c>
      <c r="FR16">
        <f>IF($EY16="row",INDEX($EU$5:$EU$1003,$EX16),"")</f>
        <v/>
      </c>
      <c r="FS16">
        <f>IF(AND($EY16="row",$EY15="row"),IF(OR(INDEX($DT$5:$DT$1003,$EX15)="",INDEX($DT$5:$DT$1003,$EX16)=""),"",IF(NOT(EXACT(INDEX($DT$5:$DT$1003,$EX15),INDEX($DT$5:$DT$1003,$EX16))),"S4",IF(NOT(EXACT(INDEX($DS$5:$DS$1003,$EX15),INDEX($DS$5:$DS$1003,$EX16))),"S3",IF(NOT(EXACT(INDEX($DR$5:$DR$1003,$EX15),INDEX($DR$5:$DR$1003,$EX16))),"S1 Count Change","S1")))),"")</f>
        <v/>
      </c>
      <c r="FT16">
        <f>IF($EY16="row",INDEX($ES$5:$ES$1003,$EX16),"")</f>
        <v/>
      </c>
      <c r="FU16">
        <f>IF($EY16="row",INDEX($EO$5:$EO$1003,$EX16),0)</f>
        <v/>
      </c>
      <c r="FV16">
        <f>IF($FS16="S1 Count Change",1,0)</f>
        <v/>
      </c>
      <c r="FX16" t="n">
        <v>12</v>
      </c>
      <c r="FY16">
        <f>IFERROR(MATCH($FX16,$EF$5:$EF$1003,0),0)</f>
        <v/>
      </c>
      <c r="FZ16">
        <f>IF($FY16=0,"",INDEX($DH$5:$DH$1003,$FY16))</f>
        <v/>
      </c>
      <c r="GA16">
        <f>IF($FY16=0,"",COUNTIF($EG$5:$EG$1003,$FX16))</f>
        <v/>
      </c>
      <c r="GB16">
        <f>IF($FY16=0,"",INDEX($ER$5:$ER$1003,$FY16))</f>
        <v/>
      </c>
      <c r="GC16">
        <f>IF($FY16=0,"",IF(INDEX($EO$5:$EO$1003,$FY16)=1,"Yes",""))</f>
        <v/>
      </c>
      <c r="GD16">
        <f>IF($FY16=0,"",IF(INDEX($EN$5:$EN$1003,$FY16)&gt;0,"","NOT IN YOUR LIST - type it in column A to tick it"))</f>
        <v/>
      </c>
      <c r="GE16">
        <f>IF(AND($FY16&gt;0,$GD16&lt;&gt;""),1,0)</f>
        <v/>
      </c>
      <c r="GF16">
        <f>GF15+$GE16</f>
        <v/>
      </c>
      <c r="GG16">
        <f>IFERROR(INDEX($FZ$5:$FZ$104,MATCH($FX16,$GF$5:$GF$104,0)),"")</f>
        <v/>
      </c>
    </row>
    <row r="17">
      <c r="A17" t="inlineStr">
        <is>
          <t>Window row of last WO</t>
        </is>
      </c>
      <c r="B17">
        <f>IFERROR(LOOKUP(2,1/($DM$5:$DM$1003=1),$DE$5:$DE$1003),0)</f>
        <v/>
      </c>
      <c r="D17" t="n">
        <v>13</v>
      </c>
      <c r="E17" t="inlineStr">
        <is>
          <t>pct</t>
        </is>
      </c>
      <c r="F17" t="inlineStr">
        <is>
          <t>% Complete</t>
        </is>
      </c>
      <c r="G17" t="n">
        <v>8192</v>
      </c>
      <c r="H17">
        <f>IFERROR(UPPER(TRIM('2. Check Columns'!$F$25&amp;"")),"#")</f>
        <v/>
      </c>
      <c r="I17">
        <f>IF(H17="",0,IF(OR(H17="-",H17="NONE"),-1,IFERROR(MATCH(1,INDEX(--EXACT($T$5:$T$64,H17),0),0),-2)))</f>
        <v/>
      </c>
      <c r="J17">
        <f>IF(I17&lt;=0,IF(I17=-1,-1,0),IF(COUNTIF($I$5:I16,I17)&gt;0,0,I17))</f>
        <v/>
      </c>
      <c r="K17">
        <f>IFERROR(MATCH(13,$Y$235:$CF$235,0),0)</f>
        <v/>
      </c>
      <c r="L17">
        <f>IFERROR(MATCH(13,$Y$239:$CF$239,0),0)</f>
        <v/>
      </c>
      <c r="M17">
        <f>IF(K17=0,"(not found)",INDEX($T$5:$T$64,K17))</f>
        <v/>
      </c>
      <c r="N17">
        <f>IF(L17=0,IF(J17=-1,"(left out)","(none)"),INDEX($T$5:$T$64,L17))</f>
        <v/>
      </c>
      <c r="O17">
        <f>IF(L17=0,"",IFERROR(TRIM(SUBSTITUTE(SUBSTITUTE(SUBSTITUTE(SUBSTITUTE(INDEX(PASTE_ALL,HEADER_ROW,L17)&amp;""," "," "),CHAR(9)," "),CHAR(10)," "),CHAR(13)," ")),""))</f>
        <v/>
      </c>
      <c r="P17">
        <f>IF(OR(L17=0,$B$16=0),"",IFERROR(IF(ISNUMBER(INDEX(PASTE_ALL,$B$16,L17)),INDEX(PASTE_ALL,$B$16,L17),TRIM(SUBSTITUTE(SUBSTITUTE(SUBSTITUTE(SUBSTITUTE(INDEX(PASTE_ALL,$B$16,L17)&amp;""," "," "),CHAR(9)," "),CHAR(10)," "),CHAR(13)," "))),""))</f>
        <v/>
      </c>
      <c r="Q17">
        <f>IF(I17=-2,"'"&amp;H17&amp;"' is not a column letter from A to BH - ignored",IF(AND(I17&gt;0,J17=0),"Column "&amp;H17&amp;" is already used by "&amp;INDEX($F$5:$F$19,MATCH(I17,$I$5:$I$19,0))&amp;" - ignored",IF(AND(J17=0,K17&gt;0,COUNTIF($J$5:$J$19,K17)&gt;0),"Column "&amp;M17&amp;" is used by "&amp;INDEX($F$5:$F$19,MATCH(K17,$J$5:$J$19,0))&amp;" (Override)"&amp;IF(L17&gt;0," - using column "&amp;N17&amp;" instead"," - not used"),IF(AND(J17&gt;0,K17&gt;0,J17&lt;&gt;K17),"Override in use - this file's own title for it is in column "&amp;M17&amp;" ("&amp;IFERROR(TRIM(SUBSTITUTE(SUBSTITUTE(SUBSTITUTE(SUBSTITUTE(INDEX(PASTE_ALL,HEADER_ROW,K17)&amp;""," "," "),CHAR(9)," "),CHAR(10)," "),CHAR(13)," ")),"")&amp;"). Clear the Override if that is right.",IF(AND(J17=-1,K17&gt;0),"Left out by the Override - this file has it in column "&amp;M17&amp;" ("&amp;IFERROR(TRIM(SUBSTITUTE(SUBSTITUTE(SUBSTITUTE(SUBSTITUTE(INDEX(PASTE_ALL,HEADER_ROW,K17)&amp;""," "," "),CHAR(9)," "),CHAR(10)," "),CHAR(13)," ")),"")&amp;").","")))))</f>
        <v/>
      </c>
      <c r="R17">
        <f>IF(OR(AND(J17&gt;0,K17&gt;0,J17&lt;&gt;K17),AND(J17=-1,K17&gt;0),AND(J17=0,K17&gt;0,COUNTIF($J$5:$J$19,K17)&gt;0)),1,0)</f>
        <v/>
      </c>
      <c r="S17" t="n">
        <v>13</v>
      </c>
      <c r="T17" t="inlineStr">
        <is>
          <t>M</t>
        </is>
      </c>
      <c r="V17" t="inlineStr">
        <is>
          <t>WORKORDERNO</t>
        </is>
      </c>
      <c r="W17" t="n">
        <v>2</v>
      </c>
      <c r="Y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 ",""),"!",""),CHAR(34),""),"#",""),"$",""),"%",""),"&amp;",""),"'",""),"(",""),")",""),"*",""),"+",""),",",""),"-",""),".",""),"/",""),":",""),";",""),"&lt;",""),"=",""),"&gt;",""),"?",""),"@",""),"[",""),"\",""),"]",""),"^",""),"_",""),"`",""),"{",""),"|",""),"}",""),"~",""),CHAR(9),""),CHAR(10),""),CHAR(13),"")," ",""),"")</f>
        <v/>
      </c>
      <c r="Z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 ",""),"!",""),CHAR(34),""),"#",""),"$",""),"%",""),"&amp;",""),"'",""),"(",""),")",""),"*",""),"+",""),",",""),"-",""),".",""),"/",""),":",""),";",""),"&lt;",""),"=",""),"&gt;",""),"?",""),"@",""),"[",""),"\",""),"]",""),"^",""),"_",""),"`",""),"{",""),"|",""),"}",""),"~",""),CHAR(9),""),CHAR(10),""),CHAR(13),"")," ",""),"")</f>
        <v/>
      </c>
      <c r="AA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 ",""),"!",""),CHAR(34),""),"#",""),"$",""),"%",""),"&amp;",""),"'",""),"(",""),")",""),"*",""),"+",""),",",""),"-",""),".",""),"/",""),":",""),";",""),"&lt;",""),"=",""),"&gt;",""),"?",""),"@",""),"[",""),"\",""),"]",""),"^",""),"_",""),"`",""),"{",""),"|",""),"}",""),"~",""),CHAR(9),""),CHAR(10),""),CHAR(13),"")," ",""),"")</f>
        <v/>
      </c>
      <c r="AB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 ",""),"!",""),CHAR(34),""),"#",""),"$",""),"%",""),"&amp;",""),"'",""),"(",""),")",""),"*",""),"+",""),",",""),"-",""),".",""),"/",""),":",""),";",""),"&lt;",""),"=",""),"&gt;",""),"?",""),"@",""),"[",""),"\",""),"]",""),"^",""),"_",""),"`",""),"{",""),"|",""),"}",""),"~",""),CHAR(9),""),CHAR(10),""),CHAR(13),"")," ",""),"")</f>
        <v/>
      </c>
      <c r="AC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 ",""),"!",""),CHAR(34),""),"#",""),"$",""),"%",""),"&amp;",""),"'",""),"(",""),")",""),"*",""),"+",""),",",""),"-",""),".",""),"/",""),":",""),";",""),"&lt;",""),"=",""),"&gt;",""),"?",""),"@",""),"[",""),"\",""),"]",""),"^",""),"_",""),"`",""),"{",""),"|",""),"}",""),"~",""),CHAR(9),""),CHAR(10),""),CHAR(13),"")," ",""),"")</f>
        <v/>
      </c>
      <c r="AD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13,6))," ",""),"!",""),CHAR(34),""),"#",""),"$",""),"%",""),"&amp;",""),"'",""),"(",""),")",""),"*",""),"+",""),",",""),"-",""),".",""),"/",""),":",""),";",""),"&lt;",""),"=",""),"&gt;",""),"?",""),"@",""),"[",""),"\",""),"]",""),"^",""),"_",""),"`",""),"{",""),"|",""),"}",""),"~",""),CHAR(9),""),CHAR(10),""),CHAR(13),"")," ",""),"")</f>
        <v/>
      </c>
      <c r="AE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13,7))," ",""),"!",""),CHAR(34),""),"#",""),"$",""),"%",""),"&amp;",""),"'",""),"(",""),")",""),"*",""),"+",""),",",""),"-",""),".",""),"/",""),":",""),";",""),"&lt;",""),"=",""),"&gt;",""),"?",""),"@",""),"[",""),"\",""),"]",""),"^",""),"_",""),"`",""),"{",""),"|",""),"}",""),"~",""),CHAR(9),""),CHAR(10),""),CHAR(13),"")," ",""),"")</f>
        <v/>
      </c>
      <c r="AF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13,8))," ",""),"!",""),CHAR(34),""),"#",""),"$",""),"%",""),"&amp;",""),"'",""),"(",""),")",""),"*",""),"+",""),",",""),"-",""),".",""),"/",""),":",""),";",""),"&lt;",""),"=",""),"&gt;",""),"?",""),"@",""),"[",""),"\",""),"]",""),"^",""),"_",""),"`",""),"{",""),"|",""),"}",""),"~",""),CHAR(9),""),CHAR(10),""),CHAR(13),"")," ",""),"")</f>
        <v/>
      </c>
      <c r="AG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13,9))," ",""),"!",""),CHAR(34),""),"#",""),"$",""),"%",""),"&amp;",""),"'",""),"(",""),")",""),"*",""),"+",""),",",""),"-",""),".",""),"/",""),":",""),";",""),"&lt;",""),"=",""),"&gt;",""),"?",""),"@",""),"[",""),"\",""),"]",""),"^",""),"_",""),"`",""),"{",""),"|",""),"}",""),"~",""),CHAR(9),""),CHAR(10),""),CHAR(13),"")," ",""),"")</f>
        <v/>
      </c>
      <c r="AH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13,10))," ",""),"!",""),CHAR(34),""),"#",""),"$",""),"%",""),"&amp;",""),"'",""),"(",""),")",""),"*",""),"+",""),",",""),"-",""),".",""),"/",""),":",""),";",""),"&lt;",""),"=",""),"&gt;",""),"?",""),"@",""),"[",""),"\",""),"]",""),"^",""),"_",""),"`",""),"{",""),"|",""),"}",""),"~",""),CHAR(9),""),CHAR(10),""),CHAR(13),"")," ",""),"")</f>
        <v/>
      </c>
      <c r="AI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13,11))," ",""),"!",""),CHAR(34),""),"#",""),"$",""),"%",""),"&amp;",""),"'",""),"(",""),")",""),"*",""),"+",""),",",""),"-",""),".",""),"/",""),":",""),";",""),"&lt;",""),"=",""),"&gt;",""),"?",""),"@",""),"[",""),"\",""),"]",""),"^",""),"_",""),"`",""),"{",""),"|",""),"}",""),"~",""),CHAR(9),""),CHAR(10),""),CHAR(13),"")," ",""),"")</f>
        <v/>
      </c>
      <c r="AJ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13,12))," ",""),"!",""),CHAR(34),""),"#",""),"$",""),"%",""),"&amp;",""),"'",""),"(",""),")",""),"*",""),"+",""),",",""),"-",""),".",""),"/",""),":",""),";",""),"&lt;",""),"=",""),"&gt;",""),"?",""),"@",""),"[",""),"\",""),"]",""),"^",""),"_",""),"`",""),"{",""),"|",""),"}",""),"~",""),CHAR(9),""),CHAR(10),""),CHAR(13),"")," ",""),"")</f>
        <v/>
      </c>
      <c r="AK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13,13))," ",""),"!",""),CHAR(34),""),"#",""),"$",""),"%",""),"&amp;",""),"'",""),"(",""),")",""),"*",""),"+",""),",",""),"-",""),".",""),"/",""),":",""),";",""),"&lt;",""),"=",""),"&gt;",""),"?",""),"@",""),"[",""),"\",""),"]",""),"^",""),"_",""),"`",""),"{",""),"|",""),"}",""),"~",""),CHAR(9),""),CHAR(10),""),CHAR(13),"")," ",""),"")</f>
        <v/>
      </c>
      <c r="AL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13,14))," ",""),"!",""),CHAR(34),""),"#",""),"$",""),"%",""),"&amp;",""),"'",""),"(",""),")",""),"*",""),"+",""),",",""),"-",""),".",""),"/",""),":",""),";",""),"&lt;",""),"=",""),"&gt;",""),"?",""),"@",""),"[",""),"\",""),"]",""),"^",""),"_",""),"`",""),"{",""),"|",""),"}",""),"~",""),CHAR(9),""),CHAR(10),""),CHAR(13),"")," ",""),"")</f>
        <v/>
      </c>
      <c r="AM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13,15))," ",""),"!",""),CHAR(34),""),"#",""),"$",""),"%",""),"&amp;",""),"'",""),"(",""),")",""),"*",""),"+",""),",",""),"-",""),".",""),"/",""),":",""),";",""),"&lt;",""),"=",""),"&gt;",""),"?",""),"@",""),"[",""),"\",""),"]",""),"^",""),"_",""),"`",""),"{",""),"|",""),"}",""),"~",""),CHAR(9),""),CHAR(10),""),CHAR(13),"")," ",""),"")</f>
        <v/>
      </c>
      <c r="AN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13,16))," ",""),"!",""),CHAR(34),""),"#",""),"$",""),"%",""),"&amp;",""),"'",""),"(",""),")",""),"*",""),"+",""),",",""),"-",""),".",""),"/",""),":",""),";",""),"&lt;",""),"=",""),"&gt;",""),"?",""),"@",""),"[",""),"\",""),"]",""),"^",""),"_",""),"`",""),"{",""),"|",""),"}",""),"~",""),CHAR(9),""),CHAR(10),""),CHAR(13),"")," ",""),"")</f>
        <v/>
      </c>
      <c r="AO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13,17))," ",""),"!",""),CHAR(34),""),"#",""),"$",""),"%",""),"&amp;",""),"'",""),"(",""),")",""),"*",""),"+",""),",",""),"-",""),".",""),"/",""),":",""),";",""),"&lt;",""),"=",""),"&gt;",""),"?",""),"@",""),"[",""),"\",""),"]",""),"^",""),"_",""),"`",""),"{",""),"|",""),"}",""),"~",""),CHAR(9),""),CHAR(10),""),CHAR(13),"")," ",""),"")</f>
        <v/>
      </c>
      <c r="AP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13,18))," ",""),"!",""),CHAR(34),""),"#",""),"$",""),"%",""),"&amp;",""),"'",""),"(",""),")",""),"*",""),"+",""),",",""),"-",""),".",""),"/",""),":",""),";",""),"&lt;",""),"=",""),"&gt;",""),"?",""),"@",""),"[",""),"\",""),"]",""),"^",""),"_",""),"`",""),"{",""),"|",""),"}",""),"~",""),CHAR(9),""),CHAR(10),""),CHAR(13),"")," ",""),"")</f>
        <v/>
      </c>
      <c r="AQ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13,19))," ",""),"!",""),CHAR(34),""),"#",""),"$",""),"%",""),"&amp;",""),"'",""),"(",""),")",""),"*",""),"+",""),",",""),"-",""),".",""),"/",""),":",""),";",""),"&lt;",""),"=",""),"&gt;",""),"?",""),"@",""),"[",""),"\",""),"]",""),"^",""),"_",""),"`",""),"{",""),"|",""),"}",""),"~",""),CHAR(9),""),CHAR(10),""),CHAR(13),"")," ",""),"")</f>
        <v/>
      </c>
      <c r="AR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13,20))," ",""),"!",""),CHAR(34),""),"#",""),"$",""),"%",""),"&amp;",""),"'",""),"(",""),")",""),"*",""),"+",""),",",""),"-",""),".",""),"/",""),":",""),";",""),"&lt;",""),"=",""),"&gt;",""),"?",""),"@",""),"[",""),"\",""),"]",""),"^",""),"_",""),"`",""),"{",""),"|",""),"}",""),"~",""),CHAR(9),""),CHAR(10),""),CHAR(13),"")," ",""),"")</f>
        <v/>
      </c>
      <c r="AS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13,21))," ",""),"!",""),CHAR(34),""),"#",""),"$",""),"%",""),"&amp;",""),"'",""),"(",""),")",""),"*",""),"+",""),",",""),"-",""),".",""),"/",""),":",""),";",""),"&lt;",""),"=",""),"&gt;",""),"?",""),"@",""),"[",""),"\",""),"]",""),"^",""),"_",""),"`",""),"{",""),"|",""),"}",""),"~",""),CHAR(9),""),CHAR(10),""),CHAR(13),"")," ",""),"")</f>
        <v/>
      </c>
      <c r="AT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13,22))," ",""),"!",""),CHAR(34),""),"#",""),"$",""),"%",""),"&amp;",""),"'",""),"(",""),")",""),"*",""),"+",""),",",""),"-",""),".",""),"/",""),":",""),";",""),"&lt;",""),"=",""),"&gt;",""),"?",""),"@",""),"[",""),"\",""),"]",""),"^",""),"_",""),"`",""),"{",""),"|",""),"}",""),"~",""),CHAR(9),""),CHAR(10),""),CHAR(13),"")," ",""),"")</f>
        <v/>
      </c>
      <c r="AU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13,23))," ",""),"!",""),CHAR(34),""),"#",""),"$",""),"%",""),"&amp;",""),"'",""),"(",""),")",""),"*",""),"+",""),",",""),"-",""),".",""),"/",""),":",""),";",""),"&lt;",""),"=",""),"&gt;",""),"?",""),"@",""),"[",""),"\",""),"]",""),"^",""),"_",""),"`",""),"{",""),"|",""),"}",""),"~",""),CHAR(9),""),CHAR(10),""),CHAR(13),"")," ",""),"")</f>
        <v/>
      </c>
      <c r="AV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13,24))," ",""),"!",""),CHAR(34),""),"#",""),"$",""),"%",""),"&amp;",""),"'",""),"(",""),")",""),"*",""),"+",""),",",""),"-",""),".",""),"/",""),":",""),";",""),"&lt;",""),"=",""),"&gt;",""),"?",""),"@",""),"[",""),"\",""),"]",""),"^",""),"_",""),"`",""),"{",""),"|",""),"}",""),"~",""),CHAR(9),""),CHAR(10),""),CHAR(13),"")," ",""),"")</f>
        <v/>
      </c>
      <c r="AW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13,25))," ",""),"!",""),CHAR(34),""),"#",""),"$",""),"%",""),"&amp;",""),"'",""),"(",""),")",""),"*",""),"+",""),",",""),"-",""),".",""),"/",""),":",""),";",""),"&lt;",""),"=",""),"&gt;",""),"?",""),"@",""),"[",""),"\",""),"]",""),"^",""),"_",""),"`",""),"{",""),"|",""),"}",""),"~",""),CHAR(9),""),CHAR(10),""),CHAR(13),"")," ",""),"")</f>
        <v/>
      </c>
      <c r="AX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13,26))," ",""),"!",""),CHAR(34),""),"#",""),"$",""),"%",""),"&amp;",""),"'",""),"(",""),")",""),"*",""),"+",""),",",""),"-",""),".",""),"/",""),":",""),";",""),"&lt;",""),"=",""),"&gt;",""),"?",""),"@",""),"[",""),"\",""),"]",""),"^",""),"_",""),"`",""),"{",""),"|",""),"}",""),"~",""),CHAR(9),""),CHAR(10),""),CHAR(13),"")," ",""),"")</f>
        <v/>
      </c>
      <c r="AY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13,27))," ",""),"!",""),CHAR(34),""),"#",""),"$",""),"%",""),"&amp;",""),"'",""),"(",""),")",""),"*",""),"+",""),",",""),"-",""),".",""),"/",""),":",""),";",""),"&lt;",""),"=",""),"&gt;",""),"?",""),"@",""),"[",""),"\",""),"]",""),"^",""),"_",""),"`",""),"{",""),"|",""),"}",""),"~",""),CHAR(9),""),CHAR(10),""),CHAR(13),"")," ",""),"")</f>
        <v/>
      </c>
      <c r="AZ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13,28))," ",""),"!",""),CHAR(34),""),"#",""),"$",""),"%",""),"&amp;",""),"'",""),"(",""),")",""),"*",""),"+",""),",",""),"-",""),".",""),"/",""),":",""),";",""),"&lt;",""),"=",""),"&gt;",""),"?",""),"@",""),"[",""),"\",""),"]",""),"^",""),"_",""),"`",""),"{",""),"|",""),"}",""),"~",""),CHAR(9),""),CHAR(10),""),CHAR(13),"")," ",""),"")</f>
        <v/>
      </c>
      <c r="BA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13,29))," ",""),"!",""),CHAR(34),""),"#",""),"$",""),"%",""),"&amp;",""),"'",""),"(",""),")",""),"*",""),"+",""),",",""),"-",""),".",""),"/",""),":",""),";",""),"&lt;",""),"=",""),"&gt;",""),"?",""),"@",""),"[",""),"\",""),"]",""),"^",""),"_",""),"`",""),"{",""),"|",""),"}",""),"~",""),CHAR(9),""),CHAR(10),""),CHAR(13),"")," ",""),"")</f>
        <v/>
      </c>
      <c r="BB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13,30))," ",""),"!",""),CHAR(34),""),"#",""),"$",""),"%",""),"&amp;",""),"'",""),"(",""),")",""),"*",""),"+",""),",",""),"-",""),".",""),"/",""),":",""),";",""),"&lt;",""),"=",""),"&gt;",""),"?",""),"@",""),"[",""),"\",""),"]",""),"^",""),"_",""),"`",""),"{",""),"|",""),"}",""),"~",""),CHAR(9),""),CHAR(10),""),CHAR(13),"")," ",""),"")</f>
        <v/>
      </c>
      <c r="BC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13,31))," ",""),"!",""),CHAR(34),""),"#",""),"$",""),"%",""),"&amp;",""),"'",""),"(",""),")",""),"*",""),"+",""),",",""),"-",""),".",""),"/",""),":",""),";",""),"&lt;",""),"=",""),"&gt;",""),"?",""),"@",""),"[",""),"\",""),"]",""),"^",""),"_",""),"`",""),"{",""),"|",""),"}",""),"~",""),CHAR(9),""),CHAR(10),""),CHAR(13),"")," ",""),"")</f>
        <v/>
      </c>
      <c r="BD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13,32))," ",""),"!",""),CHAR(34),""),"#",""),"$",""),"%",""),"&amp;",""),"'",""),"(",""),")",""),"*",""),"+",""),",",""),"-",""),".",""),"/",""),":",""),";",""),"&lt;",""),"=",""),"&gt;",""),"?",""),"@",""),"[",""),"\",""),"]",""),"^",""),"_",""),"`",""),"{",""),"|",""),"}",""),"~",""),CHAR(9),""),CHAR(10),""),CHAR(13),"")," ",""),"")</f>
        <v/>
      </c>
      <c r="BE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13,33))," ",""),"!",""),CHAR(34),""),"#",""),"$",""),"%",""),"&amp;",""),"'",""),"(",""),")",""),"*",""),"+",""),",",""),"-",""),".",""),"/",""),":",""),";",""),"&lt;",""),"=",""),"&gt;",""),"?",""),"@",""),"[",""),"\",""),"]",""),"^",""),"_",""),"`",""),"{",""),"|",""),"}",""),"~",""),CHAR(9),""),CHAR(10),""),CHAR(13),"")," ",""),"")</f>
        <v/>
      </c>
      <c r="BF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13,34))," ",""),"!",""),CHAR(34),""),"#",""),"$",""),"%",""),"&amp;",""),"'",""),"(",""),")",""),"*",""),"+",""),",",""),"-",""),".",""),"/",""),":",""),";",""),"&lt;",""),"=",""),"&gt;",""),"?",""),"@",""),"[",""),"\",""),"]",""),"^",""),"_",""),"`",""),"{",""),"|",""),"}",""),"~",""),CHAR(9),""),CHAR(10),""),CHAR(13),"")," ",""),"")</f>
        <v/>
      </c>
      <c r="BG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13,35))," ",""),"!",""),CHAR(34),""),"#",""),"$",""),"%",""),"&amp;",""),"'",""),"(",""),")",""),"*",""),"+",""),",",""),"-",""),".",""),"/",""),":",""),";",""),"&lt;",""),"=",""),"&gt;",""),"?",""),"@",""),"[",""),"\",""),"]",""),"^",""),"_",""),"`",""),"{",""),"|",""),"}",""),"~",""),CHAR(9),""),CHAR(10),""),CHAR(13),"")," ",""),"")</f>
        <v/>
      </c>
      <c r="BH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13,36))," ",""),"!",""),CHAR(34),""),"#",""),"$",""),"%",""),"&amp;",""),"'",""),"(",""),")",""),"*",""),"+",""),",",""),"-",""),".",""),"/",""),":",""),";",""),"&lt;",""),"=",""),"&gt;",""),"?",""),"@",""),"[",""),"\",""),"]",""),"^",""),"_",""),"`",""),"{",""),"|",""),"}",""),"~",""),CHAR(9),""),CHAR(10),""),CHAR(13),"")," ",""),"")</f>
        <v/>
      </c>
      <c r="BI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13,37))," ",""),"!",""),CHAR(34),""),"#",""),"$",""),"%",""),"&amp;",""),"'",""),"(",""),")",""),"*",""),"+",""),",",""),"-",""),".",""),"/",""),":",""),";",""),"&lt;",""),"=",""),"&gt;",""),"?",""),"@",""),"[",""),"\",""),"]",""),"^",""),"_",""),"`",""),"{",""),"|",""),"}",""),"~",""),CHAR(9),""),CHAR(10),""),CHAR(13),"")," ",""),"")</f>
        <v/>
      </c>
      <c r="BJ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13,38))," ",""),"!",""),CHAR(34),""),"#",""),"$",""),"%",""),"&amp;",""),"'",""),"(",""),")",""),"*",""),"+",""),",",""),"-",""),".",""),"/",""),":",""),";",""),"&lt;",""),"=",""),"&gt;",""),"?",""),"@",""),"[",""),"\",""),"]",""),"^",""),"_",""),"`",""),"{",""),"|",""),"}",""),"~",""),CHAR(9),""),CHAR(10),""),CHAR(13),"")," ",""),"")</f>
        <v/>
      </c>
      <c r="BK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13,39))," ",""),"!",""),CHAR(34),""),"#",""),"$",""),"%",""),"&amp;",""),"'",""),"(",""),")",""),"*",""),"+",""),",",""),"-",""),".",""),"/",""),":",""),";",""),"&lt;",""),"=",""),"&gt;",""),"?",""),"@",""),"[",""),"\",""),"]",""),"^",""),"_",""),"`",""),"{",""),"|",""),"}",""),"~",""),CHAR(9),""),CHAR(10),""),CHAR(13),"")," ",""),"")</f>
        <v/>
      </c>
      <c r="BL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13,40))," ",""),"!",""),CHAR(34),""),"#",""),"$",""),"%",""),"&amp;",""),"'",""),"(",""),")",""),"*",""),"+",""),",",""),"-",""),".",""),"/",""),":",""),";",""),"&lt;",""),"=",""),"&gt;",""),"?",""),"@",""),"[",""),"\",""),"]",""),"^",""),"_",""),"`",""),"{",""),"|",""),"}",""),"~",""),CHAR(9),""),CHAR(10),""),CHAR(13),"")," ",""),"")</f>
        <v/>
      </c>
      <c r="BM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13,41))," ",""),"!",""),CHAR(34),""),"#",""),"$",""),"%",""),"&amp;",""),"'",""),"(",""),")",""),"*",""),"+",""),",",""),"-",""),".",""),"/",""),":",""),";",""),"&lt;",""),"=",""),"&gt;",""),"?",""),"@",""),"[",""),"\",""),"]",""),"^",""),"_",""),"`",""),"{",""),"|",""),"}",""),"~",""),CHAR(9),""),CHAR(10),""),CHAR(13),"")," ",""),"")</f>
        <v/>
      </c>
      <c r="BN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13,42))," ",""),"!",""),CHAR(34),""),"#",""),"$",""),"%",""),"&amp;",""),"'",""),"(",""),")",""),"*",""),"+",""),",",""),"-",""),".",""),"/",""),":",""),";",""),"&lt;",""),"=",""),"&gt;",""),"?",""),"@",""),"[",""),"\",""),"]",""),"^",""),"_",""),"`",""),"{",""),"|",""),"}",""),"~",""),CHAR(9),""),CHAR(10),""),CHAR(13),"")," ",""),"")</f>
        <v/>
      </c>
      <c r="BO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13,43))," ",""),"!",""),CHAR(34),""),"#",""),"$",""),"%",""),"&amp;",""),"'",""),"(",""),")",""),"*",""),"+",""),",",""),"-",""),".",""),"/",""),":",""),";",""),"&lt;",""),"=",""),"&gt;",""),"?",""),"@",""),"[",""),"\",""),"]",""),"^",""),"_",""),"`",""),"{",""),"|",""),"}",""),"~",""),CHAR(9),""),CHAR(10),""),CHAR(13),"")," ",""),"")</f>
        <v/>
      </c>
      <c r="BP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13,44))," ",""),"!",""),CHAR(34),""),"#",""),"$",""),"%",""),"&amp;",""),"'",""),"(",""),")",""),"*",""),"+",""),",",""),"-",""),".",""),"/",""),":",""),";",""),"&lt;",""),"=",""),"&gt;",""),"?",""),"@",""),"[",""),"\",""),"]",""),"^",""),"_",""),"`",""),"{",""),"|",""),"}",""),"~",""),CHAR(9),""),CHAR(10),""),CHAR(13),"")," ",""),"")</f>
        <v/>
      </c>
      <c r="BQ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13,45))," ",""),"!",""),CHAR(34),""),"#",""),"$",""),"%",""),"&amp;",""),"'",""),"(",""),")",""),"*",""),"+",""),",",""),"-",""),".",""),"/",""),":",""),";",""),"&lt;",""),"=",""),"&gt;",""),"?",""),"@",""),"[",""),"\",""),"]",""),"^",""),"_",""),"`",""),"{",""),"|",""),"}",""),"~",""),CHAR(9),""),CHAR(10),""),CHAR(13),"")," ",""),"")</f>
        <v/>
      </c>
      <c r="BR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13,46))," ",""),"!",""),CHAR(34),""),"#",""),"$",""),"%",""),"&amp;",""),"'",""),"(",""),")",""),"*",""),"+",""),",",""),"-",""),".",""),"/",""),":",""),";",""),"&lt;",""),"=",""),"&gt;",""),"?",""),"@",""),"[",""),"\",""),"]",""),"^",""),"_",""),"`",""),"{",""),"|",""),"}",""),"~",""),CHAR(9),""),CHAR(10),""),CHAR(13),"")," ",""),"")</f>
        <v/>
      </c>
      <c r="BS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13,47))," ",""),"!",""),CHAR(34),""),"#",""),"$",""),"%",""),"&amp;",""),"'",""),"(",""),")",""),"*",""),"+",""),",",""),"-",""),".",""),"/",""),":",""),";",""),"&lt;",""),"=",""),"&gt;",""),"?",""),"@",""),"[",""),"\",""),"]",""),"^",""),"_",""),"`",""),"{",""),"|",""),"}",""),"~",""),CHAR(9),""),CHAR(10),""),CHAR(13),"")," ",""),"")</f>
        <v/>
      </c>
      <c r="BT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13,48))," ",""),"!",""),CHAR(34),""),"#",""),"$",""),"%",""),"&amp;",""),"'",""),"(",""),")",""),"*",""),"+",""),",",""),"-",""),".",""),"/",""),":",""),";",""),"&lt;",""),"=",""),"&gt;",""),"?",""),"@",""),"[",""),"\",""),"]",""),"^",""),"_",""),"`",""),"{",""),"|",""),"}",""),"~",""),CHAR(9),""),CHAR(10),""),CHAR(13),"")," ",""),"")</f>
        <v/>
      </c>
      <c r="BU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13,49))," ",""),"!",""),CHAR(34),""),"#",""),"$",""),"%",""),"&amp;",""),"'",""),"(",""),")",""),"*",""),"+",""),",",""),"-",""),".",""),"/",""),":",""),";",""),"&lt;",""),"=",""),"&gt;",""),"?",""),"@",""),"[",""),"\",""),"]",""),"^",""),"_",""),"`",""),"{",""),"|",""),"}",""),"~",""),CHAR(9),""),CHAR(10),""),CHAR(13),"")," ",""),"")</f>
        <v/>
      </c>
      <c r="BV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13,50))," ",""),"!",""),CHAR(34),""),"#",""),"$",""),"%",""),"&amp;",""),"'",""),"(",""),")",""),"*",""),"+",""),",",""),"-",""),".",""),"/",""),":",""),";",""),"&lt;",""),"=",""),"&gt;",""),"?",""),"@",""),"[",""),"\",""),"]",""),"^",""),"_",""),"`",""),"{",""),"|",""),"}",""),"~",""),CHAR(9),""),CHAR(10),""),CHAR(13),"")," ",""),"")</f>
        <v/>
      </c>
      <c r="BW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13,51))," ",""),"!",""),CHAR(34),""),"#",""),"$",""),"%",""),"&amp;",""),"'",""),"(",""),")",""),"*",""),"+",""),",",""),"-",""),".",""),"/",""),":",""),";",""),"&lt;",""),"=",""),"&gt;",""),"?",""),"@",""),"[",""),"\",""),"]",""),"^",""),"_",""),"`",""),"{",""),"|",""),"}",""),"~",""),CHAR(9),""),CHAR(10),""),CHAR(13),"")," ",""),"")</f>
        <v/>
      </c>
      <c r="BX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13,52))," ",""),"!",""),CHAR(34),""),"#",""),"$",""),"%",""),"&amp;",""),"'",""),"(",""),")",""),"*",""),"+",""),",",""),"-",""),".",""),"/",""),":",""),";",""),"&lt;",""),"=",""),"&gt;",""),"?",""),"@",""),"[",""),"\",""),"]",""),"^",""),"_",""),"`",""),"{",""),"|",""),"}",""),"~",""),CHAR(9),""),CHAR(10),""),CHAR(13),"")," ",""),"")</f>
        <v/>
      </c>
      <c r="BY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13,53))," ",""),"!",""),CHAR(34),""),"#",""),"$",""),"%",""),"&amp;",""),"'",""),"(",""),")",""),"*",""),"+",""),",",""),"-",""),".",""),"/",""),":",""),";",""),"&lt;",""),"=",""),"&gt;",""),"?",""),"@",""),"[",""),"\",""),"]",""),"^",""),"_",""),"`",""),"{",""),"|",""),"}",""),"~",""),CHAR(9),""),CHAR(10),""),CHAR(13),"")," ",""),"")</f>
        <v/>
      </c>
      <c r="BZ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13,54))," ",""),"!",""),CHAR(34),""),"#",""),"$",""),"%",""),"&amp;",""),"'",""),"(",""),")",""),"*",""),"+",""),",",""),"-",""),".",""),"/",""),":",""),";",""),"&lt;",""),"=",""),"&gt;",""),"?",""),"@",""),"[",""),"\",""),"]",""),"^",""),"_",""),"`",""),"{",""),"|",""),"}",""),"~",""),CHAR(9),""),CHAR(10),""),CHAR(13),"")," ",""),"")</f>
        <v/>
      </c>
      <c r="CA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13,55))," ",""),"!",""),CHAR(34),""),"#",""),"$",""),"%",""),"&amp;",""),"'",""),"(",""),")",""),"*",""),"+",""),",",""),"-",""),".",""),"/",""),":",""),";",""),"&lt;",""),"=",""),"&gt;",""),"?",""),"@",""),"[",""),"\",""),"]",""),"^",""),"_",""),"`",""),"{",""),"|",""),"}",""),"~",""),CHAR(9),""),CHAR(10),""),CHAR(13),"")," ",""),"")</f>
        <v/>
      </c>
      <c r="CB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13,56))," ",""),"!",""),CHAR(34),""),"#",""),"$",""),"%",""),"&amp;",""),"'",""),"(",""),")",""),"*",""),"+",""),",",""),"-",""),".",""),"/",""),":",""),";",""),"&lt;",""),"=",""),"&gt;",""),"?",""),"@",""),"[",""),"\",""),"]",""),"^",""),"_",""),"`",""),"{",""),"|",""),"}",""),"~",""),CHAR(9),""),CHAR(10),""),CHAR(13),"")," ",""),"")</f>
        <v/>
      </c>
      <c r="CC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13,57))," ",""),"!",""),CHAR(34),""),"#",""),"$",""),"%",""),"&amp;",""),"'",""),"(",""),")",""),"*",""),"+",""),",",""),"-",""),".",""),"/",""),":",""),";",""),"&lt;",""),"=",""),"&gt;",""),"?",""),"@",""),"[",""),"\",""),"]",""),"^",""),"_",""),"`",""),"{",""),"|",""),"}",""),"~",""),CHAR(9),""),CHAR(10),""),CHAR(13),"")," ",""),"")</f>
        <v/>
      </c>
      <c r="CD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13,58))," ",""),"!",""),CHAR(34),""),"#",""),"$",""),"%",""),"&amp;",""),"'",""),"(",""),")",""),"*",""),"+",""),",",""),"-",""),".",""),"/",""),":",""),";",""),"&lt;",""),"=",""),"&gt;",""),"?",""),"@",""),"[",""),"\",""),"]",""),"^",""),"_",""),"`",""),"{",""),"|",""),"}",""),"~",""),CHAR(9),""),CHAR(10),""),CHAR(13),"")," ",""),"")</f>
        <v/>
      </c>
      <c r="CE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13,59))," ",""),"!",""),CHAR(34),""),"#",""),"$",""),"%",""),"&amp;",""),"'",""),"(",""),")",""),"*",""),"+",""),",",""),"-",""),".",""),"/",""),":",""),";",""),"&lt;",""),"=",""),"&gt;",""),"?",""),"@",""),"[",""),"\",""),"]",""),"^",""),"_",""),"`",""),"{",""),"|",""),"}",""),"~",""),CHAR(9),""),CHAR(10),""),CHAR(13),"")," ",""),"")</f>
        <v/>
      </c>
      <c r="CF1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13,60))," ",""),"!",""),CHAR(34),""),"#",""),"$",""),"%",""),"&amp;",""),"'",""),"(",""),")",""),"*",""),"+",""),",",""),"-",""),".",""),"/",""),":",""),";",""),"&lt;",""),"=",""),"&gt;",""),"?",""),"@",""),"[",""),"\",""),"]",""),"^",""),"_",""),"`",""),"{",""),"|",""),"}",""),"~",""),CHAR(9),""),CHAR(10),""),CHAR(13),"")," ",""),"")</f>
        <v/>
      </c>
      <c r="CH17">
        <f>COUNTIF($Y62:$CF62,"&gt;0")</f>
        <v/>
      </c>
      <c r="CI17">
        <f>COUNTIF($Y62:$CF62,2)</f>
        <v/>
      </c>
      <c r="CJ17">
        <f>SUMPRODUCT((COUNTIF($Y107:$CF107,{1,2,3,4,5,6,7,8,9,10,11,12,13,14,15})&gt;0)*{2,4,8,16,32,64,128,256,512,1024,2048,4096,8192,16384,32768})</f>
        <v/>
      </c>
      <c r="CK17">
        <f>CF197</f>
        <v/>
      </c>
      <c r="CL17">
        <f>SUMPRODUCT(MOD(INT(((CJ17+CK17))/{2,4,8,16,32,64,128,256,512,1024,2048,4096,8192,16384,32768}),2))</f>
        <v/>
      </c>
      <c r="CM17">
        <f>IF(CH17&lt;2,-9999,CL17+2*MOD(INT(((CJ17+CK17))/2),2)+2*MOD(INT(((CJ17+CK17))/4),2)-CI17)</f>
        <v/>
      </c>
      <c r="DA17" t="n">
        <v>13</v>
      </c>
      <c r="DB17">
        <f>IF($B$37=0,"",IFERROR(TRIM(SUBSTITUTE(SUBSTITUTE(SUBSTITUTE(SUBSTITUTE(INDEX(PASTE_ALL,13,$B$37)," "," "),CHAR(9)," "),CHAR(10)," "),CHAR(13)," ")),""))</f>
        <v/>
      </c>
      <c r="DC17">
        <f>IF(AND(13&gt;HEADER_ROW,UPPER(DB17)="LEGEND"),1,0)</f>
        <v/>
      </c>
      <c r="DE17" t="n">
        <v>13</v>
      </c>
      <c r="DF17">
        <f>HEADER_ROW+$DE17</f>
        <v/>
      </c>
      <c r="DG17">
        <f>IF(AND($DF17&lt;=1000,$DF17&lt;$B$8),1,0)</f>
        <v/>
      </c>
      <c r="DH17">
        <f>IF($DG17=1,IFERROR(INDEX($DB$5:$DB$1004,$DF17),""),"")</f>
        <v/>
      </c>
      <c r="DI17">
        <f>IF(AND($DG17=1,$DH17&lt;&gt;""),IFERROR(SUBSTITUTE(SUBSTITUTE(TRIM(SUBSTITUTE(SUBSTITUTE(SUBSTITUTE(SUBSTITUTE(IFERROR(INDEX(PASTE_ALL,$DF17,1)&amp;"","")&amp;"␟"&amp;IFERROR(INDEX(PASTE_ALL,$DF17,2)&amp;"","")&amp;"␟"&amp;IFERROR(INDEX(PASTE_ALL,$DF17,3)&amp;"","")&amp;"␟"&amp;IFERROR(INDEX(PASTE_ALL,$DF17,4)&amp;"","")&amp;"␟"&amp;IFERROR(INDEX(PASTE_ALL,$DF17,5)&amp;"","")&amp;"␟"&amp;IFERROR(INDEX(PASTE_ALL,$DF17,6)&amp;"","")&amp;"␟"&amp;IFERROR(INDEX(PASTE_ALL,$DF17,7)&amp;"","")&amp;"␟"&amp;IFERROR(INDEX(PASTE_ALL,$DF17,8)&amp;"","")&amp;"␟"&amp;IFERROR(INDEX(PASTE_ALL,$DF17,9)&amp;"","")&amp;"␟"&amp;IFERROR(INDEX(PASTE_ALL,$DF17,10)&amp;"","")&amp;"␟"&amp;IFERROR(INDEX(PASTE_ALL,$DF17,11)&amp;"","")&amp;"␟"&amp;IFERROR(INDEX(PASTE_ALL,$DF17,12)&amp;"","")&amp;"␟"&amp;IFERROR(INDEX(PASTE_ALL,$DF17,13)&amp;"","")&amp;"␟"&amp;IFERROR(INDEX(PASTE_ALL,$DF17,14)&amp;"","")&amp;"␟"&amp;IFERROR(INDEX(PASTE_ALL,$DF17,15)&amp;"","")&amp;"␟"&amp;IFERROR(INDEX(PASTE_ALL,$DF17,16)&amp;"","")&amp;"␟"&amp;IFERROR(INDEX(PASTE_ALL,$DF17,17)&amp;"","")&amp;"␟"&amp;IFERROR(INDEX(PASTE_ALL,$DF17,18)&amp;"","")&amp;"␟"&amp;IFERROR(INDEX(PASTE_ALL,$DF17,19)&amp;"","")&amp;"␟"&amp;IFERROR(INDEX(PASTE_ALL,$DF17,20)&amp;"","")&amp;"␟"&amp;IFERROR(INDEX(PASTE_ALL,$DF17,21)&amp;"","")&amp;"␟"&amp;IFERROR(INDEX(PASTE_ALL,$DF17,22)&amp;"","")&amp;"␟"&amp;IFERROR(INDEX(PASTE_ALL,$DF17,23)&amp;"","")&amp;"␟"&amp;IFERROR(INDEX(PASTE_ALL,$DF17,24)&amp;"","")&amp;"␟"&amp;IFERROR(INDEX(PASTE_ALL,$DF17,25)&amp;"","")&amp;"␟"&amp;IFERROR(INDEX(PASTE_ALL,$DF17,26)&amp;"","")&amp;"␟"&amp;IFERROR(INDEX(PASTE_ALL,$DF17,27)&amp;"","")&amp;"␟"&amp;IFERROR(INDEX(PASTE_ALL,$DF17,28)&amp;"","")&amp;"␟"&amp;IFERROR(INDEX(PASTE_ALL,$DF17,29)&amp;"","")&amp;"␟"&amp;IFERROR(INDEX(PASTE_ALL,$DF17,30)&amp;"","")&amp;"␟"&amp;IFERROR(INDEX(PASTE_ALL,$DF17,31)&amp;"","")&amp;"␟"&amp;IFERROR(INDEX(PASTE_ALL,$DF17,32)&amp;"","")&amp;"␟"&amp;IFERROR(INDEX(PASTE_ALL,$DF17,33)&amp;"","")&amp;"␟"&amp;IFERROR(INDEX(PASTE_ALL,$DF17,34)&amp;"","")&amp;"␟"&amp;IFERROR(INDEX(PASTE_ALL,$DF17,35)&amp;"","")&amp;"␟"&amp;IFERROR(INDEX(PASTE_ALL,$DF17,36)&amp;"","")&amp;"␟"&amp;IFERROR(INDEX(PASTE_ALL,$DF17,37)&amp;"","")&amp;"␟"&amp;IFERROR(INDEX(PASTE_ALL,$DF17,38)&amp;"","")&amp;"␟"&amp;IFERROR(INDEX(PASTE_ALL,$DF17,39)&amp;"","")&amp;"␟"&amp;IFERROR(INDEX(PASTE_ALL,$DF17,40)&amp;"","")&amp;"␟"&amp;IFERROR(INDEX(PASTE_ALL,$DF17,41)&amp;"","")&amp;"␟"&amp;IFERROR(INDEX(PASTE_ALL,$DF17,42)&amp;"","")&amp;"␟"&amp;IFERROR(INDEX(PASTE_ALL,$DF17,43)&amp;"","")&amp;"␟"&amp;IFERROR(INDEX(PASTE_ALL,$DF17,44)&amp;"","")&amp;"␟"&amp;IFERROR(INDEX(PASTE_ALL,$DF17,45)&amp;"","")&amp;"␟"&amp;IFERROR(INDEX(PASTE_ALL,$DF17,46)&amp;"","")&amp;"␟"&amp;IFERROR(INDEX(PASTE_ALL,$DF17,47)&amp;"","")&amp;"␟"&amp;IFERROR(INDEX(PASTE_ALL,$DF17,48)&amp;"","")&amp;"␟"&amp;IFERROR(INDEX(PASTE_ALL,$DF17,49)&amp;"","")&amp;"␟"&amp;IFERROR(INDEX(PASTE_ALL,$DF17,50)&amp;"","")&amp;"␟"&amp;IFERROR(INDEX(PASTE_ALL,$DF17,51)&amp;"","")&amp;"␟"&amp;IFERROR(INDEX(PASTE_ALL,$DF17,52)&amp;"","")&amp;"␟"&amp;IFERROR(INDEX(PASTE_ALL,$DF17,53)&amp;"","")&amp;"␟"&amp;IFERROR(INDEX(PASTE_ALL,$DF17,54)&amp;"","")&amp;"␟"&amp;IFERROR(INDEX(PASTE_ALL,$DF17,55)&amp;"","")&amp;"␟"&amp;IFERROR(INDEX(PASTE_ALL,$DF17,56)&amp;"","")&amp;"␟"&amp;IFERROR(INDEX(PASTE_ALL,$DF17,57)&amp;"","")&amp;"␟"&amp;IFERROR(INDEX(PASTE_ALL,$DF17,58)&amp;"","")&amp;"␟"&amp;IFERROR(INDEX(PASTE_ALL,$DF17,59)&amp;"","")&amp;"␟"&amp;IFERROR(INDEX(PASTE_ALL,$DF17,60)&amp;"","")," "," "),CHAR(9)," "),CHAR(10)," "),CHAR(13)," "))," ␟","␟"),"␟ ","␟"),"#"&amp;$DE17),"")</f>
        <v/>
      </c>
      <c r="DJ17">
        <f>IF($DI17="",0,IF(SUMPRODUCT(--EXACT($DI$4:DI16,$DI17))&gt;0,1,0))</f>
        <v/>
      </c>
      <c r="DK17">
        <f>IF(AND($DI17&lt;&gt;"",$DJ17=0),1,0)</f>
        <v/>
      </c>
      <c r="DL17">
        <f>DL16+$DK17</f>
        <v/>
      </c>
      <c r="DM17">
        <f>IF(AND($DK17=1,$DL17&lt;=600),1,0)</f>
        <v/>
      </c>
      <c r="DN17">
        <f>IF($DM17=0,"",IF($L$6=0,"",IFERROR(IF(ISNUMBER(INDEX(PASTE_ALL,$DF17,$L$6)),INDEX(PASTE_ALL,$DF17,$L$6),TRIM(SUBSTITUTE(SUBSTITUTE(SUBSTITUTE(SUBSTITUTE(INDEX(PASTE_ALL,$DF17,$L$6)," "," "),CHAR(9)," "),CHAR(10)," "),CHAR(13)," "))),"")))</f>
        <v/>
      </c>
      <c r="DO17">
        <f>IF($DM17=0,"",IF($L$7=0,"",IFERROR(IF(ISNUMBER(INDEX(PASTE_ALL,$DF17,$L$7)),INDEX(PASTE_ALL,$DF17,$L$7),TRIM(SUBSTITUTE(SUBSTITUTE(SUBSTITUTE(SUBSTITUTE(INDEX(PASTE_ALL,$DF17,$L$7)," "," "),CHAR(9)," "),CHAR(10)," "),CHAR(13)," "))),"")))</f>
        <v/>
      </c>
      <c r="DP17">
        <f>IF($DM17=0,"",IF($L$8=0,"",IFERROR(IF(ISNUMBER(INDEX(PASTE_ALL,$DF17,$L$8)),INDEX(PASTE_ALL,$DF17,$L$8),TRIM(SUBSTITUTE(SUBSTITUTE(SUBSTITUTE(SUBSTITUTE(INDEX(PASTE_ALL,$DF17,$L$8)," "," "),CHAR(9)," "),CHAR(10)," "),CHAR(13)," "))),"")))</f>
        <v/>
      </c>
      <c r="DQ17">
        <f>IF($DM17=0,"",IF($L$9=0,"",IFERROR(IF(ISNUMBER(INDEX(PASTE_ALL,$DF17,$L$9)),INDEX(PASTE_ALL,$DF17,$L$9),TRIM(SUBSTITUTE(SUBSTITUTE(SUBSTITUTE(SUBSTITUTE(INDEX(PASTE_ALL,$DF17,$L$9)," "," "),CHAR(9)," "),CHAR(10)," "),CHAR(13)," "))),"")))</f>
        <v/>
      </c>
      <c r="DR17">
        <f>IF($DM17=0,"",IF($L$10=0,"",IFERROR(IF(ISNUMBER(INDEX(PASTE_ALL,$DF17,$L$10)),INDEX(PASTE_ALL,$DF17,$L$10),TRIM(SUBSTITUTE(SUBSTITUTE(SUBSTITUTE(SUBSTITUTE(INDEX(PASTE_ALL,$DF17,$L$10)," "," "),CHAR(9)," "),CHAR(10)," "),CHAR(13)," "))),"")))</f>
        <v/>
      </c>
      <c r="DS17">
        <f>IF($DM17=0,"",IF($L$11=0,"",IFERROR(IF(ISNUMBER(INDEX(PASTE_ALL,$DF17,$L$11)),INDEX(PASTE_ALL,$DF17,$L$11),TRIM(SUBSTITUTE(SUBSTITUTE(SUBSTITUTE(SUBSTITUTE(INDEX(PASTE_ALL,$DF17,$L$11)," "," "),CHAR(9)," "),CHAR(10)," "),CHAR(13)," "))),"")))</f>
        <v/>
      </c>
      <c r="DT17">
        <f>IF($DM17=0,"",IF($L$12=0,"",IFERROR(IF(ISNUMBER(INDEX(PASTE_ALL,$DF17,$L$12)),INDEX(PASTE_ALL,$DF17,$L$12),TRIM(SUBSTITUTE(SUBSTITUTE(SUBSTITUTE(SUBSTITUTE(INDEX(PASTE_ALL,$DF17,$L$12)," "," "),CHAR(9)," "),CHAR(10)," "),CHAR(13)," "))),"")))</f>
        <v/>
      </c>
      <c r="DU17">
        <f>IF($DM17=0,"",IF($L$13=0,"",IFERROR(IF(ISNUMBER(INDEX(PASTE_ALL,$DF17,$L$13)),INDEX(PASTE_ALL,$DF17,$L$13),TRIM(SUBSTITUTE(SUBSTITUTE(SUBSTITUTE(SUBSTITUTE(INDEX(PASTE_ALL,$DF17,$L$13)," "," "),CHAR(9)," "),CHAR(10)," "),CHAR(13)," "))),"")))</f>
        <v/>
      </c>
      <c r="DV17">
        <f>IF($DM17=0,"",IF($L$14=0,"",IFERROR(IF(ISNUMBER(INDEX(PASTE_ALL,$DF17,$L$14)),INDEX(PASTE_ALL,$DF17,$L$14),TRIM(SUBSTITUTE(SUBSTITUTE(SUBSTITUTE(SUBSTITUTE(INDEX(PASTE_ALL,$DF17,$L$14)," "," "),CHAR(9)," "),CHAR(10)," "),CHAR(13)," "))),"")))</f>
        <v/>
      </c>
      <c r="DW17">
        <f>IF($DM17=0,"",IF($L$15=0,"",IFERROR(IF(ISNUMBER(INDEX(PASTE_ALL,$DF17,$L$15)),INDEX(PASTE_ALL,$DF17,$L$15),IF(SUMPRODUCT(--ISNUMBER(FIND({"A","B","C","D","E","F","G","H","I","J","K","L","M","N","O","P","Q","R","S","T","U","V","W","X","Y","Z","0","1","2","3","4","5","6","7","8","9"},UPPER(TRIM(SUBSTITUTE(SUBSTITUTE(SUBSTITUTE(SUBSTITUTE(INDEX(PASTE_ALL,$DF17,$L$15)," "," "),CHAR(9)," "),CHAR(10)," "),CHAR(13)," "))))))&gt;0,TRIM(SUBSTITUTE(SUBSTITUTE(SUBSTITUTE(SUBSTITUTE(INDEX(PASTE_ALL,$DF17,$L$15)," "," "),CHAR(9)," "),CHAR(10)," "),CHAR(13)," ")),"")),"")))</f>
        <v/>
      </c>
      <c r="DX17">
        <f>IF($DM17=0,"",IF($L$16=0,"",IFERROR(IF(ISNUMBER(INDEX(PASTE_ALL,$DF17,$L$16)),INDEX(PASTE_ALL,$DF17,$L$16),SUBSTITUTE(SUBSTITUTE(TRIM(SUBSTITUTE(SUBSTITUTE(SUBSTITUTE(SUBSTITUTE(INDEX(PASTE_ALL,$DF17,$L$16)," "," "),CHAR(9)," "),CHAR(10)," "),CHAR(13)," ")),",",""),"%","")),"")))</f>
        <v/>
      </c>
      <c r="DY17">
        <f>IF($DM17=0,"",IFERROR(IF(ISNUMBER($DX17),$DX17,IF($DX17="","",IF(TRIM($DX17)="",0,IF(AND(AND(SUBSTITUTE(SUBSTITUTE(SUBSTITUTE(SUBSTITUTE(SUBSTITUTE(SUBSTITUTE(SUBSTITUTE(SUBSTITUTE(SUBSTITUTE(SUBSTITUTE(SUBSTITUTE(SUBSTITUTE(SUBSTITUTE(SUBSTITUTE(UPPER(TRIM($DX17)),"0",""),"1",""),"2",""),"3",""),"4",""),"5",""),"6",""),"7",""),"8",""),"9",""),".",""),"+",""),"-",""),"E","")="",LEN(SUBSTITUTE(SUBSTITUTE(MID(UPPER(TRIM($DX17)),1+OR(LEFT(UPPER(TRIM($DX17)),1)="+",LEFT(UPPER(TRIM($DX17)),1)="-"),999),"E+","E"),"E-","E"))=LEN(SUBSTITUTE(SUBSTITUTE(SUBSTITUTE(SUBSTITUTE(MID(UPPER(TRIM($DX17)),1+OR(LEFT(UPPER(TRIM($DX17)),1)="+",LEFT(UPPER(TRIM($DX17)),1)="-"),999),"E+","E"),"E-","E"),"+",""),"-","")),LEN(UPPER(TRIM($DX17)))-LEN(SUBSTITUTE(UPPER(TRIM($DX17)),"E",""))&lt;2,LEN(UPPER(TRIM($DX17)))-LEN(SUBSTITUTE(UPPER(TRIM($DX17)),".",""))&lt;2,IFERROR(FIND(".",UPPER(TRIM($DX17))),0)&lt;IFERROR(FIND("E",UPPER(TRIM($DX17))),999)),ISNUMBER(VALUE(TRIM($DX17)))),VALUE(TRIM($DX17)),"")))),""))</f>
        <v/>
      </c>
      <c r="DZ17">
        <f>IF($DM17=0,"",IF($L$17=0,"",IFERROR(IF(ISNUMBER(INDEX(PASTE_ALL,$DF17,$L$17)),INDEX(PASTE_ALL,$DF17,$L$17),SUBSTITUTE(SUBSTITUTE(TRIM(SUBSTITUTE(SUBSTITUTE(SUBSTITUTE(SUBSTITUTE(INDEX(PASTE_ALL,$DF17,$L$17)," "," "),CHAR(9)," "),CHAR(10)," "),CHAR(13)," ")),",",""),"%","")),"")))</f>
        <v/>
      </c>
      <c r="EA17">
        <f>IF($DM17=0,"",IFERROR(IF(ISNUMBER($DZ17),$DZ17,IF($DZ17="","",IF(TRIM($DZ17)="",0,IF(AND(AND(SUBSTITUTE(SUBSTITUTE(SUBSTITUTE(SUBSTITUTE(SUBSTITUTE(SUBSTITUTE(SUBSTITUTE(SUBSTITUTE(SUBSTITUTE(SUBSTITUTE(SUBSTITUTE(SUBSTITUTE(SUBSTITUTE(SUBSTITUTE(UPPER(TRIM($DZ17)),"0",""),"1",""),"2",""),"3",""),"4",""),"5",""),"6",""),"7",""),"8",""),"9",""),".",""),"+",""),"-",""),"E","")="",LEN(SUBSTITUTE(SUBSTITUTE(MID(UPPER(TRIM($DZ17)),1+OR(LEFT(UPPER(TRIM($DZ17)),1)="+",LEFT(UPPER(TRIM($DZ17)),1)="-"),999),"E+","E"),"E-","E"))=LEN(SUBSTITUTE(SUBSTITUTE(SUBSTITUTE(SUBSTITUTE(MID(UPPER(TRIM($DZ17)),1+OR(LEFT(UPPER(TRIM($DZ17)),1)="+",LEFT(UPPER(TRIM($DZ17)),1)="-"),999),"E+","E"),"E-","E"),"+",""),"-","")),LEN(UPPER(TRIM($DZ17)))-LEN(SUBSTITUTE(UPPER(TRIM($DZ17)),"E",""))&lt;2,LEN(UPPER(TRIM($DZ17)))-LEN(SUBSTITUTE(UPPER(TRIM($DZ17)),".",""))&lt;2,IFERROR(FIND(".",UPPER(TRIM($DZ17))),0)&lt;IFERROR(FIND("E",UPPER(TRIM($DZ17))),999)),ISNUMBER(VALUE(TRIM($DZ17)))),VALUE(TRIM($DZ17)),"")))),""))</f>
        <v/>
      </c>
      <c r="EB17">
        <f>IF($DM17=0,"",IF($L$18=0,"",IFERROR(IF(UPPER(TRIM(SUBSTITUTE(SUBSTITUTE(SUBSTITUTE(SUBSTITUTE(INDEX(PASTE_ALL,$DF17,$L$18)," "," "),CHAR(9)," "),CHAR(10)," "),CHAR(13)," ")))="READY","Ready",IF(UPPER(TRIM(SUBSTITUTE(SUBSTITUTE(SUBSTITUTE(SUBSTITUTE(INDEX(PASTE_ALL,$DF17,$L$18)," "," "),CHAR(9)," "),CHAR(10)," "),CHAR(13)," ")))="PM","PM",IF(OR(UPPER(TRIM(SUBSTITUTE(SUBSTITUTE(SUBSTITUTE(SUBSTITUTE(INDEX(PASTE_ALL,$DF17,$L$18)," "," "),CHAR(9)," "),CHAR(10)," "),CHAR(13)," ")))="OT",UPPER(TRIM(SUBSTITUTE(SUBSTITUTE(SUBSTITUTE(SUBSTITUTE(INDEX(PASTE_ALL,$DF17,$L$18)," "," "),CHAR(9)," "),CHAR(10)," "),CHAR(13)," ")))="OVERTIME",UPPER(TRIM(SUBSTITUTE(SUBSTITUTE(SUBSTITUTE(SUBSTITUTE(INDEX(PASTE_ALL,$DF17,$L$18)," "," "),CHAR(9)," "),CHAR(10)," "),CHAR(13)," ")))="TRIAL"),"OT",TRIM(SUBSTITUTE(SUBSTITUTE(SUBSTITUTE(SUBSTITUTE(INDEX(PASTE_ALL,$DF17,$L$18)," "," "),CHAR(9)," "),CHAR(10)," "),CHAR(13)," "))))),"")))</f>
        <v/>
      </c>
      <c r="EC17">
        <f>IF($DM17=0,"",IF($L$19=0,"",IFERROR(IF(ISNUMBER(INDEX(PASTE_ALL,$DF17,$L$19)),INDEX(PASTE_ALL,$DF17,$L$19),TRIM(SUBSTITUTE(SUBSTITUTE(SUBSTITUTE(SUBSTITUTE(INDEX(PASTE_ALL,$DF17,$L$19)," "," "),CHAR(9)," "),CHAR(10)," "),CHAR(13)," "))),"")))</f>
        <v/>
      </c>
      <c r="ED17">
        <f>IF($DM17=0,"",MATCH(1,INDEX(EXACT($DH$5:DH17,$DH17)*$DM$5:DM17,0),0))</f>
        <v/>
      </c>
      <c r="EE17">
        <f>IF($DM17=0,0,IF($ED17=$DE17,1,0))</f>
        <v/>
      </c>
      <c r="EF17">
        <f>EF16+$EE17</f>
        <v/>
      </c>
      <c r="EG17">
        <f>IF($DM17=0,"",INDEX($EF$5:$EF$1003,$ED17))</f>
        <v/>
      </c>
      <c r="EH17">
        <f>IF($DM17=0,"",IF($DO17&lt;&gt;"","",IFERROR(LOOKUP(2,1/(($EG$4:EG16=$EG17)*($DO$4:DO16&lt;&gt;"")),$DO$4:DO16),"")))</f>
        <v/>
      </c>
      <c r="EI17">
        <f>IF($DM17=0,"",IF($DO17&lt;&gt;"",$DO17,$EH17))</f>
        <v/>
      </c>
      <c r="EJ17">
        <f>IF($DM17=0,"",IF($EI17="",0,IF(OR(ISNUMBER($EI17),AND(AND(SUBSTITUTE(SUBSTITUTE(SUBSTITUTE(SUBSTITUTE(SUBSTITUTE(SUBSTITUTE(SUBSTITUTE(SUBSTITUTE(SUBSTITUTE(SUBSTITUTE(SUBSTITUTE(SUBSTITUTE(SUBSTITUTE(SUBSTITUTE(UPPER($EI17),"0",""),"1",""),"2",""),"3",""),"4",""),"5",""),"6",""),"7",""),"8",""),"9",""),".",""),"+",""),"-",""),"E","")="",LEN(SUBSTITUTE(SUBSTITUTE(MID(UPPER($EI17),1+OR(LEFT(UPPER($EI17),1)="+",LEFT(UPPER($EI17),1)="-"),999),"E+","E"),"E-","E"))=LEN(SUBSTITUTE(SUBSTITUTE(SUBSTITUTE(SUBSTITUTE(MID(UPPER($EI17),1+OR(LEFT(UPPER($EI17),1)="+",LEFT(UPPER($EI17),1)="-"),999),"E+","E"),"E-","E"),"+",""),"-","")),LEN(UPPER($EI17))-LEN(SUBSTITUTE(UPPER($EI17),"E",""))&lt;2,LEN(UPPER($EI17))-LEN(SUBSTITUTE(UPPER($EI17),".",""))&lt;2,IFERROR(FIND(".",UPPER($EI17)),0)&lt;IFERROR(FIND("E",UPPER($EI17)),999)),ISNUMBER(VALUE($EI17)))),1,2)))</f>
        <v/>
      </c>
      <c r="EK17">
        <f>IF($DM17=0,"",IF($EJ17=1,IF(ISNUMBER($EI17),$EI17,VALUE($EI17)),IF($EJ17=2,$DE17,0)))</f>
        <v/>
      </c>
      <c r="EL17">
        <f>IF($DM17=0,"",COUNTIF($EG$5:$EG$1003,"&lt;"&amp;$EG17)+SUMPRODUCT(($EG$5:$EG$1003=$EG17)*(($EJ$5:$EJ$1003&lt;$EJ17)+($EJ$5:$EJ$1003=$EJ17)*(($EK$5:$EK$1003&lt;$EK17)+($EK$5:$EK$1003=$EK17)*($DE$5:$DE$1003&lt;$DE17))))+1)</f>
        <v/>
      </c>
      <c r="EM17">
        <f>IF($DM17=0,"",$EL17+$EG17-1)</f>
        <v/>
      </c>
      <c r="EN17">
        <f>IF($DM17=0,0,IFERROR(MATCH(1,INDEX(--(TRIM(SUBSTITUTE(SUBSTITUTE(SUBSTITUTE(SUBSTITUTE(LINES_NAME&amp;""," "," "),CHAR(9)," "),CHAR(10)," "),CHAR(13)," "))=$DH17),0),0),0))</f>
        <v/>
      </c>
      <c r="EO17">
        <f>IF($EN17=0,0,IF(OR(UPPER(TRIM(INDEX(LINES_SCHEDULED,$EN17)&amp;""))="YES",UPPER(TRIM(INDEX(LINES_SCHEDULED,$EN17)&amp;""))="Y",UPPER(TRIM(INDEX(LINES_SCHEDULED,$EN17)&amp;""))="X"),1,0))</f>
        <v/>
      </c>
      <c r="EP17">
        <f>IF($DM17=0,"",IF(COUNTIFS($EG$5:$EG$1003,$EG17,$EB$5:$EB$1003,"Ready")&gt;0,"READY",IF(COUNTIFS($EG$5:$EG$1003,$EG17,$EB$5:$EB$1003,"PM")&gt;0,"PM",IF(COUNTIFS($EG$5:$EG$1003,$EG17,$EB$5:$EB$1003,"OT")&gt;0,"OT",""))))</f>
        <v/>
      </c>
      <c r="EQ17">
        <f>IF($EN17=0,"",UPPER(TRIM(INDEX(LINES_STATUS,$EN17)&amp;"")))</f>
        <v/>
      </c>
      <c r="ER17">
        <f>IF($DM17=0,"",IF(OR($EQ17="READY",$EQ17="PM",$EQ17="OT"),$EQ17,$EP17))</f>
        <v/>
      </c>
      <c r="ES17">
        <f>IF($DM17=0,"",IF(AND($DV17&lt;&gt;"",UPPER($DV17)&lt;&gt;"N"),"allergen",IF(ISNUMBER(SEARCH("oil",$DQ17)),"oil",IF(OR(EXACT($DS17,"A662"),EXACT($DS17,"A624")),"bulk",""))))</f>
        <v/>
      </c>
      <c r="ET17">
        <f>IF($DM17=0,"",IF(OR($EA17="",$EA17=0),"",$EA17/100))</f>
        <v/>
      </c>
      <c r="EU17">
        <f>IF(OR($ET17="",$DY17=""),"",INT($DY17*(1-$ET17)+0.5))</f>
        <v/>
      </c>
      <c r="EW17" t="n">
        <v>13</v>
      </c>
      <c r="EX17">
        <f>IFERROR(MATCH($EW17,$EM$5:$EM$1003,0),0)</f>
        <v/>
      </c>
      <c r="EY17">
        <f>IF($EW17&gt;$B$12,"",IF($EX17&gt;0,"row","spacer"))</f>
        <v/>
      </c>
      <c r="EZ17">
        <f>IF(AND($EY17="row",$EY16&lt;&gt;"row"),1,0)</f>
        <v/>
      </c>
      <c r="FA17">
        <f>IF(AND($EY17="row",$EY18&lt;&gt;"row"),1,0)</f>
        <v/>
      </c>
      <c r="FB17">
        <f>IF($EZ17=1,IFERROR(IF(ISNUMBER(INDEX(PASTE_ALL,INDEX($DF$5:$DF$1003,$EX17),$B$37)),INDEX(PASTE_ALL,INDEX($DF$5:$DF$1003,$EX17),$B$37),INDEX($DH$5:$DH$1003,$EX17)),INDEX($DH$5:$DH$1003,$EX17)),"")</f>
        <v/>
      </c>
      <c r="FC17">
        <f>IF($EY17="row",INDEX($ER$5:$ER$1003,$EX17),"")</f>
        <v/>
      </c>
      <c r="FD17">
        <f>IF($EY17="row",INDEX($DN$5:$DN$1003,$EX17),"")</f>
        <v/>
      </c>
      <c r="FE17">
        <f>IF($EY17="row",INDEX($DO$5:$DO$1003,$EX17),"")</f>
        <v/>
      </c>
      <c r="FF17">
        <f>IF($EY17="row",INDEX($DP$5:$DP$1003,$EX17),"")</f>
        <v/>
      </c>
      <c r="FG17">
        <f>IF($EY17="row",INDEX($DQ$5:$DQ$1003,$EX17),"")</f>
        <v/>
      </c>
      <c r="FH17">
        <f>IF($EY17="row",INDEX($DR$5:$DR$1003,$EX17),"")</f>
        <v/>
      </c>
      <c r="FI17">
        <f>IF($EY17="row",INDEX($DS$5:$DS$1003,$EX17),"")</f>
        <v/>
      </c>
      <c r="FJ17">
        <f>IF($EY17="row",INDEX($DT$5:$DT$1003,$EX17),"")</f>
        <v/>
      </c>
      <c r="FK17">
        <f>IF($EY17="row",INDEX($DU$5:$DU$1003,$EX17),"")</f>
        <v/>
      </c>
      <c r="FL17">
        <f>IF($EY17="row",INDEX($DV$5:$DV$1003,$EX17),"")</f>
        <v/>
      </c>
      <c r="FM17">
        <f>IF($EY17="row",INDEX($DW$5:$DW$1003,$EX17),"")</f>
        <v/>
      </c>
      <c r="FN17">
        <f>IF($EY17="row",INDEX($DY$5:$DY$1003,$EX17),"")</f>
        <v/>
      </c>
      <c r="FO17">
        <f>IF($EY17="row",INDEX($EA$5:$EA$1003,$EX17),"")</f>
        <v/>
      </c>
      <c r="FP17">
        <f>IF($EY17="row",INDEX($EC$5:$EC$1003,$EX17),"")</f>
        <v/>
      </c>
      <c r="FQ17">
        <f>IF($EY17="row",INDEX($ET$5:$ET$1003,$EX17),"")</f>
        <v/>
      </c>
      <c r="FR17">
        <f>IF($EY17="row",INDEX($EU$5:$EU$1003,$EX17),"")</f>
        <v/>
      </c>
      <c r="FS17">
        <f>IF(AND($EY17="row",$EY16="row"),IF(OR(INDEX($DT$5:$DT$1003,$EX16)="",INDEX($DT$5:$DT$1003,$EX17)=""),"",IF(NOT(EXACT(INDEX($DT$5:$DT$1003,$EX16),INDEX($DT$5:$DT$1003,$EX17))),"S4",IF(NOT(EXACT(INDEX($DS$5:$DS$1003,$EX16),INDEX($DS$5:$DS$1003,$EX17))),"S3",IF(NOT(EXACT(INDEX($DR$5:$DR$1003,$EX16),INDEX($DR$5:$DR$1003,$EX17))),"S1 Count Change","S1")))),"")</f>
        <v/>
      </c>
      <c r="FT17">
        <f>IF($EY17="row",INDEX($ES$5:$ES$1003,$EX17),"")</f>
        <v/>
      </c>
      <c r="FU17">
        <f>IF($EY17="row",INDEX($EO$5:$EO$1003,$EX17),0)</f>
        <v/>
      </c>
      <c r="FV17">
        <f>IF($FS17="S1 Count Change",1,0)</f>
        <v/>
      </c>
      <c r="FX17" t="n">
        <v>13</v>
      </c>
      <c r="FY17">
        <f>IFERROR(MATCH($FX17,$EF$5:$EF$1003,0),0)</f>
        <v/>
      </c>
      <c r="FZ17">
        <f>IF($FY17=0,"",INDEX($DH$5:$DH$1003,$FY17))</f>
        <v/>
      </c>
      <c r="GA17">
        <f>IF($FY17=0,"",COUNTIF($EG$5:$EG$1003,$FX17))</f>
        <v/>
      </c>
      <c r="GB17">
        <f>IF($FY17=0,"",INDEX($ER$5:$ER$1003,$FY17))</f>
        <v/>
      </c>
      <c r="GC17">
        <f>IF($FY17=0,"",IF(INDEX($EO$5:$EO$1003,$FY17)=1,"Yes",""))</f>
        <v/>
      </c>
      <c r="GD17">
        <f>IF($FY17=0,"",IF(INDEX($EN$5:$EN$1003,$FY17)&gt;0,"","NOT IN YOUR LIST - type it in column A to tick it"))</f>
        <v/>
      </c>
      <c r="GE17">
        <f>IF(AND($FY17&gt;0,$GD17&lt;&gt;""),1,0)</f>
        <v/>
      </c>
      <c r="GF17">
        <f>GF16+$GE17</f>
        <v/>
      </c>
      <c r="GG17">
        <f>IFERROR(INDEX($FZ$5:$FZ$104,MATCH($FX17,$GF$5:$GF$104,0)),"")</f>
        <v/>
      </c>
    </row>
    <row r="18">
      <c r="A18" t="inlineStr">
        <is>
          <t>Paste row of last WO</t>
        </is>
      </c>
      <c r="B18">
        <f>IF($B$17=0,0,INDEX($DF$5:$DF$1003,$B$17))</f>
        <v/>
      </c>
      <c r="D18" t="n">
        <v>14</v>
      </c>
      <c r="E18" t="inlineStr">
        <is>
          <t>status</t>
        </is>
      </c>
      <c r="F18" t="inlineStr">
        <is>
          <t>Line Status</t>
        </is>
      </c>
      <c r="G18" t="n">
        <v>16384</v>
      </c>
      <c r="H18">
        <f>IFERROR(UPPER(TRIM('2. Check Columns'!$F$26&amp;"")),"#")</f>
        <v/>
      </c>
      <c r="I18">
        <f>IF(H18="",0,IF(OR(H18="-",H18="NONE"),-1,IFERROR(MATCH(1,INDEX(--EXACT($T$5:$T$64,H18),0),0),-2)))</f>
        <v/>
      </c>
      <c r="J18">
        <f>IF(I18&lt;=0,IF(I18=-1,-1,0),IF(COUNTIF($I$5:I17,I18)&gt;0,0,I18))</f>
        <v/>
      </c>
      <c r="K18">
        <f>IFERROR(MATCH(14,$Y$235:$CF$235,0),0)</f>
        <v/>
      </c>
      <c r="L18">
        <f>IFERROR(MATCH(14,$Y$239:$CF$239,0),0)</f>
        <v/>
      </c>
      <c r="M18">
        <f>IF(K18=0,"(not found)",INDEX($T$5:$T$64,K18))</f>
        <v/>
      </c>
      <c r="N18">
        <f>IF(L18=0,IF(J18=-1,"(left out)","(none)"),INDEX($T$5:$T$64,L18))</f>
        <v/>
      </c>
      <c r="O18">
        <f>IF(L18=0,"",IFERROR(TRIM(SUBSTITUTE(SUBSTITUTE(SUBSTITUTE(SUBSTITUTE(INDEX(PASTE_ALL,HEADER_ROW,L18)&amp;""," "," "),CHAR(9)," "),CHAR(10)," "),CHAR(13)," ")),""))</f>
        <v/>
      </c>
      <c r="P18">
        <f>IF(OR(L18=0,$B$16=0),"",IFERROR(IF(ISNUMBER(INDEX(PASTE_ALL,$B$16,L18)),INDEX(PASTE_ALL,$B$16,L18),TRIM(SUBSTITUTE(SUBSTITUTE(SUBSTITUTE(SUBSTITUTE(INDEX(PASTE_ALL,$B$16,L18)&amp;""," "," "),CHAR(9)," "),CHAR(10)," "),CHAR(13)," "))),""))</f>
        <v/>
      </c>
      <c r="Q18">
        <f>IF(I18=-2,"'"&amp;H18&amp;"' is not a column letter from A to BH - ignored",IF(AND(I18&gt;0,J18=0),"Column "&amp;H18&amp;" is already used by "&amp;INDEX($F$5:$F$19,MATCH(I18,$I$5:$I$19,0))&amp;" - ignored",IF(AND(J18=0,K18&gt;0,COUNTIF($J$5:$J$19,K18)&gt;0),"Column "&amp;M18&amp;" is used by "&amp;INDEX($F$5:$F$19,MATCH(K18,$J$5:$J$19,0))&amp;" (Override)"&amp;IF(L18&gt;0," - using column "&amp;N18&amp;" instead"," - not used"),IF(AND(J18&gt;0,K18&gt;0,J18&lt;&gt;K18),"Override in use - this file's own title for it is in column "&amp;M18&amp;" ("&amp;IFERROR(TRIM(SUBSTITUTE(SUBSTITUTE(SUBSTITUTE(SUBSTITUTE(INDEX(PASTE_ALL,HEADER_ROW,K18)&amp;""," "," "),CHAR(9)," "),CHAR(10)," "),CHAR(13)," ")),"")&amp;"). Clear the Override if that is right.",IF(AND(J18=-1,K18&gt;0),"Left out by the Override - this file has it in column "&amp;M18&amp;" ("&amp;IFERROR(TRIM(SUBSTITUTE(SUBSTITUTE(SUBSTITUTE(SUBSTITUTE(INDEX(PASTE_ALL,HEADER_ROW,K18)&amp;""," "," "),CHAR(9)," "),CHAR(10)," "),CHAR(13)," ")),"")&amp;").","")))))</f>
        <v/>
      </c>
      <c r="R18">
        <f>IF(OR(AND(J18&gt;0,K18&gt;0,J18&lt;&gt;K18),AND(J18=-1,K18&gt;0),AND(J18=0,K18&gt;0,COUNTIF($J$5:$J$19,K18)&gt;0)),1,0)</f>
        <v/>
      </c>
      <c r="S18" t="n">
        <v>14</v>
      </c>
      <c r="T18" t="inlineStr">
        <is>
          <t>N</t>
        </is>
      </c>
      <c r="V18" t="inlineStr">
        <is>
          <t>ORDERNUMBER</t>
        </is>
      </c>
      <c r="W18" t="n">
        <v>2</v>
      </c>
      <c r="Y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 ",""),"!",""),CHAR(34),""),"#",""),"$",""),"%",""),"&amp;",""),"'",""),"(",""),")",""),"*",""),"+",""),",",""),"-",""),".",""),"/",""),":",""),";",""),"&lt;",""),"=",""),"&gt;",""),"?",""),"@",""),"[",""),"\",""),"]",""),"^",""),"_",""),"`",""),"{",""),"|",""),"}",""),"~",""),CHAR(9),""),CHAR(10),""),CHAR(13),"")," ",""),"")</f>
        <v/>
      </c>
      <c r="Z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 ",""),"!",""),CHAR(34),""),"#",""),"$",""),"%",""),"&amp;",""),"'",""),"(",""),")",""),"*",""),"+",""),",",""),"-",""),".",""),"/",""),":",""),";",""),"&lt;",""),"=",""),"&gt;",""),"?",""),"@",""),"[",""),"\",""),"]",""),"^",""),"_",""),"`",""),"{",""),"|",""),"}",""),"~",""),CHAR(9),""),CHAR(10),""),CHAR(13),"")," ",""),"")</f>
        <v/>
      </c>
      <c r="AA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 ",""),"!",""),CHAR(34),""),"#",""),"$",""),"%",""),"&amp;",""),"'",""),"(",""),")",""),"*",""),"+",""),",",""),"-",""),".",""),"/",""),":",""),";",""),"&lt;",""),"=",""),"&gt;",""),"?",""),"@",""),"[",""),"\",""),"]",""),"^",""),"_",""),"`",""),"{",""),"|",""),"}",""),"~",""),CHAR(9),""),CHAR(10),""),CHAR(13),"")," ",""),"")</f>
        <v/>
      </c>
      <c r="AB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 ",""),"!",""),CHAR(34),""),"#",""),"$",""),"%",""),"&amp;",""),"'",""),"(",""),")",""),"*",""),"+",""),",",""),"-",""),".",""),"/",""),":",""),";",""),"&lt;",""),"=",""),"&gt;",""),"?",""),"@",""),"[",""),"\",""),"]",""),"^",""),"_",""),"`",""),"{",""),"|",""),"}",""),"~",""),CHAR(9),""),CHAR(10),""),CHAR(13),"")," ",""),"")</f>
        <v/>
      </c>
      <c r="AC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 ",""),"!",""),CHAR(34),""),"#",""),"$",""),"%",""),"&amp;",""),"'",""),"(",""),")",""),"*",""),"+",""),",",""),"-",""),".",""),"/",""),":",""),";",""),"&lt;",""),"=",""),"&gt;",""),"?",""),"@",""),"[",""),"\",""),"]",""),"^",""),"_",""),"`",""),"{",""),"|",""),"}",""),"~",""),CHAR(9),""),CHAR(10),""),CHAR(13),"")," ",""),"")</f>
        <v/>
      </c>
      <c r="AD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14,6))," ",""),"!",""),CHAR(34),""),"#",""),"$",""),"%",""),"&amp;",""),"'",""),"(",""),")",""),"*",""),"+",""),",",""),"-",""),".",""),"/",""),":",""),";",""),"&lt;",""),"=",""),"&gt;",""),"?",""),"@",""),"[",""),"\",""),"]",""),"^",""),"_",""),"`",""),"{",""),"|",""),"}",""),"~",""),CHAR(9),""),CHAR(10),""),CHAR(13),"")," ",""),"")</f>
        <v/>
      </c>
      <c r="AE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14,7))," ",""),"!",""),CHAR(34),""),"#",""),"$",""),"%",""),"&amp;",""),"'",""),"(",""),")",""),"*",""),"+",""),",",""),"-",""),".",""),"/",""),":",""),";",""),"&lt;",""),"=",""),"&gt;",""),"?",""),"@",""),"[",""),"\",""),"]",""),"^",""),"_",""),"`",""),"{",""),"|",""),"}",""),"~",""),CHAR(9),""),CHAR(10),""),CHAR(13),"")," ",""),"")</f>
        <v/>
      </c>
      <c r="AF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14,8))," ",""),"!",""),CHAR(34),""),"#",""),"$",""),"%",""),"&amp;",""),"'",""),"(",""),")",""),"*",""),"+",""),",",""),"-",""),".",""),"/",""),":",""),";",""),"&lt;",""),"=",""),"&gt;",""),"?",""),"@",""),"[",""),"\",""),"]",""),"^",""),"_",""),"`",""),"{",""),"|",""),"}",""),"~",""),CHAR(9),""),CHAR(10),""),CHAR(13),"")," ",""),"")</f>
        <v/>
      </c>
      <c r="AG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14,9))," ",""),"!",""),CHAR(34),""),"#",""),"$",""),"%",""),"&amp;",""),"'",""),"(",""),")",""),"*",""),"+",""),",",""),"-",""),".",""),"/",""),":",""),";",""),"&lt;",""),"=",""),"&gt;",""),"?",""),"@",""),"[",""),"\",""),"]",""),"^",""),"_",""),"`",""),"{",""),"|",""),"}",""),"~",""),CHAR(9),""),CHAR(10),""),CHAR(13),"")," ",""),"")</f>
        <v/>
      </c>
      <c r="AH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14,10))," ",""),"!",""),CHAR(34),""),"#",""),"$",""),"%",""),"&amp;",""),"'",""),"(",""),")",""),"*",""),"+",""),",",""),"-",""),".",""),"/",""),":",""),";",""),"&lt;",""),"=",""),"&gt;",""),"?",""),"@",""),"[",""),"\",""),"]",""),"^",""),"_",""),"`",""),"{",""),"|",""),"}",""),"~",""),CHAR(9),""),CHAR(10),""),CHAR(13),"")," ",""),"")</f>
        <v/>
      </c>
      <c r="AI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14,11))," ",""),"!",""),CHAR(34),""),"#",""),"$",""),"%",""),"&amp;",""),"'",""),"(",""),")",""),"*",""),"+",""),",",""),"-",""),".",""),"/",""),":",""),";",""),"&lt;",""),"=",""),"&gt;",""),"?",""),"@",""),"[",""),"\",""),"]",""),"^",""),"_",""),"`",""),"{",""),"|",""),"}",""),"~",""),CHAR(9),""),CHAR(10),""),CHAR(13),"")," ",""),"")</f>
        <v/>
      </c>
      <c r="AJ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14,12))," ",""),"!",""),CHAR(34),""),"#",""),"$",""),"%",""),"&amp;",""),"'",""),"(",""),")",""),"*",""),"+",""),",",""),"-",""),".",""),"/",""),":",""),";",""),"&lt;",""),"=",""),"&gt;",""),"?",""),"@",""),"[",""),"\",""),"]",""),"^",""),"_",""),"`",""),"{",""),"|",""),"}",""),"~",""),CHAR(9),""),CHAR(10),""),CHAR(13),"")," ",""),"")</f>
        <v/>
      </c>
      <c r="AK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14,13))," ",""),"!",""),CHAR(34),""),"#",""),"$",""),"%",""),"&amp;",""),"'",""),"(",""),")",""),"*",""),"+",""),",",""),"-",""),".",""),"/",""),":",""),";",""),"&lt;",""),"=",""),"&gt;",""),"?",""),"@",""),"[",""),"\",""),"]",""),"^",""),"_",""),"`",""),"{",""),"|",""),"}",""),"~",""),CHAR(9),""),CHAR(10),""),CHAR(13),"")," ",""),"")</f>
        <v/>
      </c>
      <c r="AL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14,14))," ",""),"!",""),CHAR(34),""),"#",""),"$",""),"%",""),"&amp;",""),"'",""),"(",""),")",""),"*",""),"+",""),",",""),"-",""),".",""),"/",""),":",""),";",""),"&lt;",""),"=",""),"&gt;",""),"?",""),"@",""),"[",""),"\",""),"]",""),"^",""),"_",""),"`",""),"{",""),"|",""),"}",""),"~",""),CHAR(9),""),CHAR(10),""),CHAR(13),"")," ",""),"")</f>
        <v/>
      </c>
      <c r="AM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14,15))," ",""),"!",""),CHAR(34),""),"#",""),"$",""),"%",""),"&amp;",""),"'",""),"(",""),")",""),"*",""),"+",""),",",""),"-",""),".",""),"/",""),":",""),";",""),"&lt;",""),"=",""),"&gt;",""),"?",""),"@",""),"[",""),"\",""),"]",""),"^",""),"_",""),"`",""),"{",""),"|",""),"}",""),"~",""),CHAR(9),""),CHAR(10),""),CHAR(13),"")," ",""),"")</f>
        <v/>
      </c>
      <c r="AN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14,16))," ",""),"!",""),CHAR(34),""),"#",""),"$",""),"%",""),"&amp;",""),"'",""),"(",""),")",""),"*",""),"+",""),",",""),"-",""),".",""),"/",""),":",""),";",""),"&lt;",""),"=",""),"&gt;",""),"?",""),"@",""),"[",""),"\",""),"]",""),"^",""),"_",""),"`",""),"{",""),"|",""),"}",""),"~",""),CHAR(9),""),CHAR(10),""),CHAR(13),"")," ",""),"")</f>
        <v/>
      </c>
      <c r="AO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14,17))," ",""),"!",""),CHAR(34),""),"#",""),"$",""),"%",""),"&amp;",""),"'",""),"(",""),")",""),"*",""),"+",""),",",""),"-",""),".",""),"/",""),":",""),";",""),"&lt;",""),"=",""),"&gt;",""),"?",""),"@",""),"[",""),"\",""),"]",""),"^",""),"_",""),"`",""),"{",""),"|",""),"}",""),"~",""),CHAR(9),""),CHAR(10),""),CHAR(13),"")," ",""),"")</f>
        <v/>
      </c>
      <c r="AP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14,18))," ",""),"!",""),CHAR(34),""),"#",""),"$",""),"%",""),"&amp;",""),"'",""),"(",""),")",""),"*",""),"+",""),",",""),"-",""),".",""),"/",""),":",""),";",""),"&lt;",""),"=",""),"&gt;",""),"?",""),"@",""),"[",""),"\",""),"]",""),"^",""),"_",""),"`",""),"{",""),"|",""),"}",""),"~",""),CHAR(9),""),CHAR(10),""),CHAR(13),"")," ",""),"")</f>
        <v/>
      </c>
      <c r="AQ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14,19))," ",""),"!",""),CHAR(34),""),"#",""),"$",""),"%",""),"&amp;",""),"'",""),"(",""),")",""),"*",""),"+",""),",",""),"-",""),".",""),"/",""),":",""),";",""),"&lt;",""),"=",""),"&gt;",""),"?",""),"@",""),"[",""),"\",""),"]",""),"^",""),"_",""),"`",""),"{",""),"|",""),"}",""),"~",""),CHAR(9),""),CHAR(10),""),CHAR(13),"")," ",""),"")</f>
        <v/>
      </c>
      <c r="AR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14,20))," ",""),"!",""),CHAR(34),""),"#",""),"$",""),"%",""),"&amp;",""),"'",""),"(",""),")",""),"*",""),"+",""),",",""),"-",""),".",""),"/",""),":",""),";",""),"&lt;",""),"=",""),"&gt;",""),"?",""),"@",""),"[",""),"\",""),"]",""),"^",""),"_",""),"`",""),"{",""),"|",""),"}",""),"~",""),CHAR(9),""),CHAR(10),""),CHAR(13),"")," ",""),"")</f>
        <v/>
      </c>
      <c r="AS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14,21))," ",""),"!",""),CHAR(34),""),"#",""),"$",""),"%",""),"&amp;",""),"'",""),"(",""),")",""),"*",""),"+",""),",",""),"-",""),".",""),"/",""),":",""),";",""),"&lt;",""),"=",""),"&gt;",""),"?",""),"@",""),"[",""),"\",""),"]",""),"^",""),"_",""),"`",""),"{",""),"|",""),"}",""),"~",""),CHAR(9),""),CHAR(10),""),CHAR(13),"")," ",""),"")</f>
        <v/>
      </c>
      <c r="AT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14,22))," ",""),"!",""),CHAR(34),""),"#",""),"$",""),"%",""),"&amp;",""),"'",""),"(",""),")",""),"*",""),"+",""),",",""),"-",""),".",""),"/",""),":",""),";",""),"&lt;",""),"=",""),"&gt;",""),"?",""),"@",""),"[",""),"\",""),"]",""),"^",""),"_",""),"`",""),"{",""),"|",""),"}",""),"~",""),CHAR(9),""),CHAR(10),""),CHAR(13),"")," ",""),"")</f>
        <v/>
      </c>
      <c r="AU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14,23))," ",""),"!",""),CHAR(34),""),"#",""),"$",""),"%",""),"&amp;",""),"'",""),"(",""),")",""),"*",""),"+",""),",",""),"-",""),".",""),"/",""),":",""),";",""),"&lt;",""),"=",""),"&gt;",""),"?",""),"@",""),"[",""),"\",""),"]",""),"^",""),"_",""),"`",""),"{",""),"|",""),"}",""),"~",""),CHAR(9),""),CHAR(10),""),CHAR(13),"")," ",""),"")</f>
        <v/>
      </c>
      <c r="AV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14,24))," ",""),"!",""),CHAR(34),""),"#",""),"$",""),"%",""),"&amp;",""),"'",""),"(",""),")",""),"*",""),"+",""),",",""),"-",""),".",""),"/",""),":",""),";",""),"&lt;",""),"=",""),"&gt;",""),"?",""),"@",""),"[",""),"\",""),"]",""),"^",""),"_",""),"`",""),"{",""),"|",""),"}",""),"~",""),CHAR(9),""),CHAR(10),""),CHAR(13),"")," ",""),"")</f>
        <v/>
      </c>
      <c r="AW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14,25))," ",""),"!",""),CHAR(34),""),"#",""),"$",""),"%",""),"&amp;",""),"'",""),"(",""),")",""),"*",""),"+",""),",",""),"-",""),".",""),"/",""),":",""),";",""),"&lt;",""),"=",""),"&gt;",""),"?",""),"@",""),"[",""),"\",""),"]",""),"^",""),"_",""),"`",""),"{",""),"|",""),"}",""),"~",""),CHAR(9),""),CHAR(10),""),CHAR(13),"")," ",""),"")</f>
        <v/>
      </c>
      <c r="AX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14,26))," ",""),"!",""),CHAR(34),""),"#",""),"$",""),"%",""),"&amp;",""),"'",""),"(",""),")",""),"*",""),"+",""),",",""),"-",""),".",""),"/",""),":",""),";",""),"&lt;",""),"=",""),"&gt;",""),"?",""),"@",""),"[",""),"\",""),"]",""),"^",""),"_",""),"`",""),"{",""),"|",""),"}",""),"~",""),CHAR(9),""),CHAR(10),""),CHAR(13),"")," ",""),"")</f>
        <v/>
      </c>
      <c r="AY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14,27))," ",""),"!",""),CHAR(34),""),"#",""),"$",""),"%",""),"&amp;",""),"'",""),"(",""),")",""),"*",""),"+",""),",",""),"-",""),".",""),"/",""),":",""),";",""),"&lt;",""),"=",""),"&gt;",""),"?",""),"@",""),"[",""),"\",""),"]",""),"^",""),"_",""),"`",""),"{",""),"|",""),"}",""),"~",""),CHAR(9),""),CHAR(10),""),CHAR(13),"")," ",""),"")</f>
        <v/>
      </c>
      <c r="AZ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14,28))," ",""),"!",""),CHAR(34),""),"#",""),"$",""),"%",""),"&amp;",""),"'",""),"(",""),")",""),"*",""),"+",""),",",""),"-",""),".",""),"/",""),":",""),";",""),"&lt;",""),"=",""),"&gt;",""),"?",""),"@",""),"[",""),"\",""),"]",""),"^",""),"_",""),"`",""),"{",""),"|",""),"}",""),"~",""),CHAR(9),""),CHAR(10),""),CHAR(13),"")," ",""),"")</f>
        <v/>
      </c>
      <c r="BA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14,29))," ",""),"!",""),CHAR(34),""),"#",""),"$",""),"%",""),"&amp;",""),"'",""),"(",""),")",""),"*",""),"+",""),",",""),"-",""),".",""),"/",""),":",""),";",""),"&lt;",""),"=",""),"&gt;",""),"?",""),"@",""),"[",""),"\",""),"]",""),"^",""),"_",""),"`",""),"{",""),"|",""),"}",""),"~",""),CHAR(9),""),CHAR(10),""),CHAR(13),"")," ",""),"")</f>
        <v/>
      </c>
      <c r="BB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14,30))," ",""),"!",""),CHAR(34),""),"#",""),"$",""),"%",""),"&amp;",""),"'",""),"(",""),")",""),"*",""),"+",""),",",""),"-",""),".",""),"/",""),":",""),";",""),"&lt;",""),"=",""),"&gt;",""),"?",""),"@",""),"[",""),"\",""),"]",""),"^",""),"_",""),"`",""),"{",""),"|",""),"}",""),"~",""),CHAR(9),""),CHAR(10),""),CHAR(13),"")," ",""),"")</f>
        <v/>
      </c>
      <c r="BC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14,31))," ",""),"!",""),CHAR(34),""),"#",""),"$",""),"%",""),"&amp;",""),"'",""),"(",""),")",""),"*",""),"+",""),",",""),"-",""),".",""),"/",""),":",""),";",""),"&lt;",""),"=",""),"&gt;",""),"?",""),"@",""),"[",""),"\",""),"]",""),"^",""),"_",""),"`",""),"{",""),"|",""),"}",""),"~",""),CHAR(9),""),CHAR(10),""),CHAR(13),"")," ",""),"")</f>
        <v/>
      </c>
      <c r="BD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14,32))," ",""),"!",""),CHAR(34),""),"#",""),"$",""),"%",""),"&amp;",""),"'",""),"(",""),")",""),"*",""),"+",""),",",""),"-",""),".",""),"/",""),":",""),";",""),"&lt;",""),"=",""),"&gt;",""),"?",""),"@",""),"[",""),"\",""),"]",""),"^",""),"_",""),"`",""),"{",""),"|",""),"}",""),"~",""),CHAR(9),""),CHAR(10),""),CHAR(13),"")," ",""),"")</f>
        <v/>
      </c>
      <c r="BE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14,33))," ",""),"!",""),CHAR(34),""),"#",""),"$",""),"%",""),"&amp;",""),"'",""),"(",""),")",""),"*",""),"+",""),",",""),"-",""),".",""),"/",""),":",""),";",""),"&lt;",""),"=",""),"&gt;",""),"?",""),"@",""),"[",""),"\",""),"]",""),"^",""),"_",""),"`",""),"{",""),"|",""),"}",""),"~",""),CHAR(9),""),CHAR(10),""),CHAR(13),"")," ",""),"")</f>
        <v/>
      </c>
      <c r="BF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14,34))," ",""),"!",""),CHAR(34),""),"#",""),"$",""),"%",""),"&amp;",""),"'",""),"(",""),")",""),"*",""),"+",""),",",""),"-",""),".",""),"/",""),":",""),";",""),"&lt;",""),"=",""),"&gt;",""),"?",""),"@",""),"[",""),"\",""),"]",""),"^",""),"_",""),"`",""),"{",""),"|",""),"}",""),"~",""),CHAR(9),""),CHAR(10),""),CHAR(13),"")," ",""),"")</f>
        <v/>
      </c>
      <c r="BG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14,35))," ",""),"!",""),CHAR(34),""),"#",""),"$",""),"%",""),"&amp;",""),"'",""),"(",""),")",""),"*",""),"+",""),",",""),"-",""),".",""),"/",""),":",""),";",""),"&lt;",""),"=",""),"&gt;",""),"?",""),"@",""),"[",""),"\",""),"]",""),"^",""),"_",""),"`",""),"{",""),"|",""),"}",""),"~",""),CHAR(9),""),CHAR(10),""),CHAR(13),"")," ",""),"")</f>
        <v/>
      </c>
      <c r="BH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14,36))," ",""),"!",""),CHAR(34),""),"#",""),"$",""),"%",""),"&amp;",""),"'",""),"(",""),")",""),"*",""),"+",""),",",""),"-",""),".",""),"/",""),":",""),";",""),"&lt;",""),"=",""),"&gt;",""),"?",""),"@",""),"[",""),"\",""),"]",""),"^",""),"_",""),"`",""),"{",""),"|",""),"}",""),"~",""),CHAR(9),""),CHAR(10),""),CHAR(13),"")," ",""),"")</f>
        <v/>
      </c>
      <c r="BI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14,37))," ",""),"!",""),CHAR(34),""),"#",""),"$",""),"%",""),"&amp;",""),"'",""),"(",""),")",""),"*",""),"+",""),",",""),"-",""),".",""),"/",""),":",""),";",""),"&lt;",""),"=",""),"&gt;",""),"?",""),"@",""),"[",""),"\",""),"]",""),"^",""),"_",""),"`",""),"{",""),"|",""),"}",""),"~",""),CHAR(9),""),CHAR(10),""),CHAR(13),"")," ",""),"")</f>
        <v/>
      </c>
      <c r="BJ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14,38))," ",""),"!",""),CHAR(34),""),"#",""),"$",""),"%",""),"&amp;",""),"'",""),"(",""),")",""),"*",""),"+",""),",",""),"-",""),".",""),"/",""),":",""),";",""),"&lt;",""),"=",""),"&gt;",""),"?",""),"@",""),"[",""),"\",""),"]",""),"^",""),"_",""),"`",""),"{",""),"|",""),"}",""),"~",""),CHAR(9),""),CHAR(10),""),CHAR(13),"")," ",""),"")</f>
        <v/>
      </c>
      <c r="BK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14,39))," ",""),"!",""),CHAR(34),""),"#",""),"$",""),"%",""),"&amp;",""),"'",""),"(",""),")",""),"*",""),"+",""),",",""),"-",""),".",""),"/",""),":",""),";",""),"&lt;",""),"=",""),"&gt;",""),"?",""),"@",""),"[",""),"\",""),"]",""),"^",""),"_",""),"`",""),"{",""),"|",""),"}",""),"~",""),CHAR(9),""),CHAR(10),""),CHAR(13),"")," ",""),"")</f>
        <v/>
      </c>
      <c r="BL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14,40))," ",""),"!",""),CHAR(34),""),"#",""),"$",""),"%",""),"&amp;",""),"'",""),"(",""),")",""),"*",""),"+",""),",",""),"-",""),".",""),"/",""),":",""),";",""),"&lt;",""),"=",""),"&gt;",""),"?",""),"@",""),"[",""),"\",""),"]",""),"^",""),"_",""),"`",""),"{",""),"|",""),"}",""),"~",""),CHAR(9),""),CHAR(10),""),CHAR(13),"")," ",""),"")</f>
        <v/>
      </c>
      <c r="BM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14,41))," ",""),"!",""),CHAR(34),""),"#",""),"$",""),"%",""),"&amp;",""),"'",""),"(",""),")",""),"*",""),"+",""),",",""),"-",""),".",""),"/",""),":",""),";",""),"&lt;",""),"=",""),"&gt;",""),"?",""),"@",""),"[",""),"\",""),"]",""),"^",""),"_",""),"`",""),"{",""),"|",""),"}",""),"~",""),CHAR(9),""),CHAR(10),""),CHAR(13),"")," ",""),"")</f>
        <v/>
      </c>
      <c r="BN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14,42))," ",""),"!",""),CHAR(34),""),"#",""),"$",""),"%",""),"&amp;",""),"'",""),"(",""),")",""),"*",""),"+",""),",",""),"-",""),".",""),"/",""),":",""),";",""),"&lt;",""),"=",""),"&gt;",""),"?",""),"@",""),"[",""),"\",""),"]",""),"^",""),"_",""),"`",""),"{",""),"|",""),"}",""),"~",""),CHAR(9),""),CHAR(10),""),CHAR(13),"")," ",""),"")</f>
        <v/>
      </c>
      <c r="BO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14,43))," ",""),"!",""),CHAR(34),""),"#",""),"$",""),"%",""),"&amp;",""),"'",""),"(",""),")",""),"*",""),"+",""),",",""),"-",""),".",""),"/",""),":",""),";",""),"&lt;",""),"=",""),"&gt;",""),"?",""),"@",""),"[",""),"\",""),"]",""),"^",""),"_",""),"`",""),"{",""),"|",""),"}",""),"~",""),CHAR(9),""),CHAR(10),""),CHAR(13),"")," ",""),"")</f>
        <v/>
      </c>
      <c r="BP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14,44))," ",""),"!",""),CHAR(34),""),"#",""),"$",""),"%",""),"&amp;",""),"'",""),"(",""),")",""),"*",""),"+",""),",",""),"-",""),".",""),"/",""),":",""),";",""),"&lt;",""),"=",""),"&gt;",""),"?",""),"@",""),"[",""),"\",""),"]",""),"^",""),"_",""),"`",""),"{",""),"|",""),"}",""),"~",""),CHAR(9),""),CHAR(10),""),CHAR(13),"")," ",""),"")</f>
        <v/>
      </c>
      <c r="BQ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14,45))," ",""),"!",""),CHAR(34),""),"#",""),"$",""),"%",""),"&amp;",""),"'",""),"(",""),")",""),"*",""),"+",""),",",""),"-",""),".",""),"/",""),":",""),";",""),"&lt;",""),"=",""),"&gt;",""),"?",""),"@",""),"[",""),"\",""),"]",""),"^",""),"_",""),"`",""),"{",""),"|",""),"}",""),"~",""),CHAR(9),""),CHAR(10),""),CHAR(13),"")," ",""),"")</f>
        <v/>
      </c>
      <c r="BR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14,46))," ",""),"!",""),CHAR(34),""),"#",""),"$",""),"%",""),"&amp;",""),"'",""),"(",""),")",""),"*",""),"+",""),",",""),"-",""),".",""),"/",""),":",""),";",""),"&lt;",""),"=",""),"&gt;",""),"?",""),"@",""),"[",""),"\",""),"]",""),"^",""),"_",""),"`",""),"{",""),"|",""),"}",""),"~",""),CHAR(9),""),CHAR(10),""),CHAR(13),"")," ",""),"")</f>
        <v/>
      </c>
      <c r="BS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14,47))," ",""),"!",""),CHAR(34),""),"#",""),"$",""),"%",""),"&amp;",""),"'",""),"(",""),")",""),"*",""),"+",""),",",""),"-",""),".",""),"/",""),":",""),";",""),"&lt;",""),"=",""),"&gt;",""),"?",""),"@",""),"[",""),"\",""),"]",""),"^",""),"_",""),"`",""),"{",""),"|",""),"}",""),"~",""),CHAR(9),""),CHAR(10),""),CHAR(13),"")," ",""),"")</f>
        <v/>
      </c>
      <c r="BT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14,48))," ",""),"!",""),CHAR(34),""),"#",""),"$",""),"%",""),"&amp;",""),"'",""),"(",""),")",""),"*",""),"+",""),",",""),"-",""),".",""),"/",""),":",""),";",""),"&lt;",""),"=",""),"&gt;",""),"?",""),"@",""),"[",""),"\",""),"]",""),"^",""),"_",""),"`",""),"{",""),"|",""),"}",""),"~",""),CHAR(9),""),CHAR(10),""),CHAR(13),"")," ",""),"")</f>
        <v/>
      </c>
      <c r="BU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14,49))," ",""),"!",""),CHAR(34),""),"#",""),"$",""),"%",""),"&amp;",""),"'",""),"(",""),")",""),"*",""),"+",""),",",""),"-",""),".",""),"/",""),":",""),";",""),"&lt;",""),"=",""),"&gt;",""),"?",""),"@",""),"[",""),"\",""),"]",""),"^",""),"_",""),"`",""),"{",""),"|",""),"}",""),"~",""),CHAR(9),""),CHAR(10),""),CHAR(13),"")," ",""),"")</f>
        <v/>
      </c>
      <c r="BV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14,50))," ",""),"!",""),CHAR(34),""),"#",""),"$",""),"%",""),"&amp;",""),"'",""),"(",""),")",""),"*",""),"+",""),",",""),"-",""),".",""),"/",""),":",""),";",""),"&lt;",""),"=",""),"&gt;",""),"?",""),"@",""),"[",""),"\",""),"]",""),"^",""),"_",""),"`",""),"{",""),"|",""),"}",""),"~",""),CHAR(9),""),CHAR(10),""),CHAR(13),"")," ",""),"")</f>
        <v/>
      </c>
      <c r="BW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14,51))," ",""),"!",""),CHAR(34),""),"#",""),"$",""),"%",""),"&amp;",""),"'",""),"(",""),")",""),"*",""),"+",""),",",""),"-",""),".",""),"/",""),":",""),";",""),"&lt;",""),"=",""),"&gt;",""),"?",""),"@",""),"[",""),"\",""),"]",""),"^",""),"_",""),"`",""),"{",""),"|",""),"}",""),"~",""),CHAR(9),""),CHAR(10),""),CHAR(13),"")," ",""),"")</f>
        <v/>
      </c>
      <c r="BX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14,52))," ",""),"!",""),CHAR(34),""),"#",""),"$",""),"%",""),"&amp;",""),"'",""),"(",""),")",""),"*",""),"+",""),",",""),"-",""),".",""),"/",""),":",""),";",""),"&lt;",""),"=",""),"&gt;",""),"?",""),"@",""),"[",""),"\",""),"]",""),"^",""),"_",""),"`",""),"{",""),"|",""),"}",""),"~",""),CHAR(9),""),CHAR(10),""),CHAR(13),"")," ",""),"")</f>
        <v/>
      </c>
      <c r="BY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14,53))," ",""),"!",""),CHAR(34),""),"#",""),"$",""),"%",""),"&amp;",""),"'",""),"(",""),")",""),"*",""),"+",""),",",""),"-",""),".",""),"/",""),":",""),";",""),"&lt;",""),"=",""),"&gt;",""),"?",""),"@",""),"[",""),"\",""),"]",""),"^",""),"_",""),"`",""),"{",""),"|",""),"}",""),"~",""),CHAR(9),""),CHAR(10),""),CHAR(13),"")," ",""),"")</f>
        <v/>
      </c>
      <c r="BZ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14,54))," ",""),"!",""),CHAR(34),""),"#",""),"$",""),"%",""),"&amp;",""),"'",""),"(",""),")",""),"*",""),"+",""),",",""),"-",""),".",""),"/",""),":",""),";",""),"&lt;",""),"=",""),"&gt;",""),"?",""),"@",""),"[",""),"\",""),"]",""),"^",""),"_",""),"`",""),"{",""),"|",""),"}",""),"~",""),CHAR(9),""),CHAR(10),""),CHAR(13),"")," ",""),"")</f>
        <v/>
      </c>
      <c r="CA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14,55))," ",""),"!",""),CHAR(34),""),"#",""),"$",""),"%",""),"&amp;",""),"'",""),"(",""),")",""),"*",""),"+",""),",",""),"-",""),".",""),"/",""),":",""),";",""),"&lt;",""),"=",""),"&gt;",""),"?",""),"@",""),"[",""),"\",""),"]",""),"^",""),"_",""),"`",""),"{",""),"|",""),"}",""),"~",""),CHAR(9),""),CHAR(10),""),CHAR(13),"")," ",""),"")</f>
        <v/>
      </c>
      <c r="CB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14,56))," ",""),"!",""),CHAR(34),""),"#",""),"$",""),"%",""),"&amp;",""),"'",""),"(",""),")",""),"*",""),"+",""),",",""),"-",""),".",""),"/",""),":",""),";",""),"&lt;",""),"=",""),"&gt;",""),"?",""),"@",""),"[",""),"\",""),"]",""),"^",""),"_",""),"`",""),"{",""),"|",""),"}",""),"~",""),CHAR(9),""),CHAR(10),""),CHAR(13),"")," ",""),"")</f>
        <v/>
      </c>
      <c r="CC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14,57))," ",""),"!",""),CHAR(34),""),"#",""),"$",""),"%",""),"&amp;",""),"'",""),"(",""),")",""),"*",""),"+",""),",",""),"-",""),".",""),"/",""),":",""),";",""),"&lt;",""),"=",""),"&gt;",""),"?",""),"@",""),"[",""),"\",""),"]",""),"^",""),"_",""),"`",""),"{",""),"|",""),"}",""),"~",""),CHAR(9),""),CHAR(10),""),CHAR(13),"")," ",""),"")</f>
        <v/>
      </c>
      <c r="CD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14,58))," ",""),"!",""),CHAR(34),""),"#",""),"$",""),"%",""),"&amp;",""),"'",""),"(",""),")",""),"*",""),"+",""),",",""),"-",""),".",""),"/",""),":",""),";",""),"&lt;",""),"=",""),"&gt;",""),"?",""),"@",""),"[",""),"\",""),"]",""),"^",""),"_",""),"`",""),"{",""),"|",""),"}",""),"~",""),CHAR(9),""),CHAR(10),""),CHAR(13),"")," ",""),"")</f>
        <v/>
      </c>
      <c r="CE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14,59))," ",""),"!",""),CHAR(34),""),"#",""),"$",""),"%",""),"&amp;",""),"'",""),"(",""),")",""),"*",""),"+",""),",",""),"-",""),".",""),"/",""),":",""),";",""),"&lt;",""),"=",""),"&gt;",""),"?",""),"@",""),"[",""),"\",""),"]",""),"^",""),"_",""),"`",""),"{",""),"|",""),"}",""),"~",""),CHAR(9),""),CHAR(10),""),CHAR(13),"")," ",""),"")</f>
        <v/>
      </c>
      <c r="CF1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14,60))," ",""),"!",""),CHAR(34),""),"#",""),"$",""),"%",""),"&amp;",""),"'",""),"(",""),")",""),"*",""),"+",""),",",""),"-",""),".",""),"/",""),":",""),";",""),"&lt;",""),"=",""),"&gt;",""),"?",""),"@",""),"[",""),"\",""),"]",""),"^",""),"_",""),"`",""),"{",""),"|",""),"}",""),"~",""),CHAR(9),""),CHAR(10),""),CHAR(13),"")," ",""),"")</f>
        <v/>
      </c>
      <c r="CH18">
        <f>COUNTIF($Y63:$CF63,"&gt;0")</f>
        <v/>
      </c>
      <c r="CI18">
        <f>COUNTIF($Y63:$CF63,2)</f>
        <v/>
      </c>
      <c r="CJ18">
        <f>SUMPRODUCT((COUNTIF($Y108:$CF108,{1,2,3,4,5,6,7,8,9,10,11,12,13,14,15})&gt;0)*{2,4,8,16,32,64,128,256,512,1024,2048,4096,8192,16384,32768})</f>
        <v/>
      </c>
      <c r="CK18">
        <f>CF198</f>
        <v/>
      </c>
      <c r="CL18">
        <f>SUMPRODUCT(MOD(INT(((CJ18+CK18))/{2,4,8,16,32,64,128,256,512,1024,2048,4096,8192,16384,32768}),2))</f>
        <v/>
      </c>
      <c r="CM18">
        <f>IF(CH18&lt;2,-9999,CL18+2*MOD(INT(((CJ18+CK18))/2),2)+2*MOD(INT(((CJ18+CK18))/4),2)-CI18)</f>
        <v/>
      </c>
      <c r="DA18" t="n">
        <v>14</v>
      </c>
      <c r="DB18">
        <f>IF($B$37=0,"",IFERROR(TRIM(SUBSTITUTE(SUBSTITUTE(SUBSTITUTE(SUBSTITUTE(INDEX(PASTE_ALL,14,$B$37)," "," "),CHAR(9)," "),CHAR(10)," "),CHAR(13)," ")),""))</f>
        <v/>
      </c>
      <c r="DC18">
        <f>IF(AND(14&gt;HEADER_ROW,UPPER(DB18)="LEGEND"),1,0)</f>
        <v/>
      </c>
      <c r="DE18" t="n">
        <v>14</v>
      </c>
      <c r="DF18">
        <f>HEADER_ROW+$DE18</f>
        <v/>
      </c>
      <c r="DG18">
        <f>IF(AND($DF18&lt;=1000,$DF18&lt;$B$8),1,0)</f>
        <v/>
      </c>
      <c r="DH18">
        <f>IF($DG18=1,IFERROR(INDEX($DB$5:$DB$1004,$DF18),""),"")</f>
        <v/>
      </c>
      <c r="DI18">
        <f>IF(AND($DG18=1,$DH18&lt;&gt;""),IFERROR(SUBSTITUTE(SUBSTITUTE(TRIM(SUBSTITUTE(SUBSTITUTE(SUBSTITUTE(SUBSTITUTE(IFERROR(INDEX(PASTE_ALL,$DF18,1)&amp;"","")&amp;"␟"&amp;IFERROR(INDEX(PASTE_ALL,$DF18,2)&amp;"","")&amp;"␟"&amp;IFERROR(INDEX(PASTE_ALL,$DF18,3)&amp;"","")&amp;"␟"&amp;IFERROR(INDEX(PASTE_ALL,$DF18,4)&amp;"","")&amp;"␟"&amp;IFERROR(INDEX(PASTE_ALL,$DF18,5)&amp;"","")&amp;"␟"&amp;IFERROR(INDEX(PASTE_ALL,$DF18,6)&amp;"","")&amp;"␟"&amp;IFERROR(INDEX(PASTE_ALL,$DF18,7)&amp;"","")&amp;"␟"&amp;IFERROR(INDEX(PASTE_ALL,$DF18,8)&amp;"","")&amp;"␟"&amp;IFERROR(INDEX(PASTE_ALL,$DF18,9)&amp;"","")&amp;"␟"&amp;IFERROR(INDEX(PASTE_ALL,$DF18,10)&amp;"","")&amp;"␟"&amp;IFERROR(INDEX(PASTE_ALL,$DF18,11)&amp;"","")&amp;"␟"&amp;IFERROR(INDEX(PASTE_ALL,$DF18,12)&amp;"","")&amp;"␟"&amp;IFERROR(INDEX(PASTE_ALL,$DF18,13)&amp;"","")&amp;"␟"&amp;IFERROR(INDEX(PASTE_ALL,$DF18,14)&amp;"","")&amp;"␟"&amp;IFERROR(INDEX(PASTE_ALL,$DF18,15)&amp;"","")&amp;"␟"&amp;IFERROR(INDEX(PASTE_ALL,$DF18,16)&amp;"","")&amp;"␟"&amp;IFERROR(INDEX(PASTE_ALL,$DF18,17)&amp;"","")&amp;"␟"&amp;IFERROR(INDEX(PASTE_ALL,$DF18,18)&amp;"","")&amp;"␟"&amp;IFERROR(INDEX(PASTE_ALL,$DF18,19)&amp;"","")&amp;"␟"&amp;IFERROR(INDEX(PASTE_ALL,$DF18,20)&amp;"","")&amp;"␟"&amp;IFERROR(INDEX(PASTE_ALL,$DF18,21)&amp;"","")&amp;"␟"&amp;IFERROR(INDEX(PASTE_ALL,$DF18,22)&amp;"","")&amp;"␟"&amp;IFERROR(INDEX(PASTE_ALL,$DF18,23)&amp;"","")&amp;"␟"&amp;IFERROR(INDEX(PASTE_ALL,$DF18,24)&amp;"","")&amp;"␟"&amp;IFERROR(INDEX(PASTE_ALL,$DF18,25)&amp;"","")&amp;"␟"&amp;IFERROR(INDEX(PASTE_ALL,$DF18,26)&amp;"","")&amp;"␟"&amp;IFERROR(INDEX(PASTE_ALL,$DF18,27)&amp;"","")&amp;"␟"&amp;IFERROR(INDEX(PASTE_ALL,$DF18,28)&amp;"","")&amp;"␟"&amp;IFERROR(INDEX(PASTE_ALL,$DF18,29)&amp;"","")&amp;"␟"&amp;IFERROR(INDEX(PASTE_ALL,$DF18,30)&amp;"","")&amp;"␟"&amp;IFERROR(INDEX(PASTE_ALL,$DF18,31)&amp;"","")&amp;"␟"&amp;IFERROR(INDEX(PASTE_ALL,$DF18,32)&amp;"","")&amp;"␟"&amp;IFERROR(INDEX(PASTE_ALL,$DF18,33)&amp;"","")&amp;"␟"&amp;IFERROR(INDEX(PASTE_ALL,$DF18,34)&amp;"","")&amp;"␟"&amp;IFERROR(INDEX(PASTE_ALL,$DF18,35)&amp;"","")&amp;"␟"&amp;IFERROR(INDEX(PASTE_ALL,$DF18,36)&amp;"","")&amp;"␟"&amp;IFERROR(INDEX(PASTE_ALL,$DF18,37)&amp;"","")&amp;"␟"&amp;IFERROR(INDEX(PASTE_ALL,$DF18,38)&amp;"","")&amp;"␟"&amp;IFERROR(INDEX(PASTE_ALL,$DF18,39)&amp;"","")&amp;"␟"&amp;IFERROR(INDEX(PASTE_ALL,$DF18,40)&amp;"","")&amp;"␟"&amp;IFERROR(INDEX(PASTE_ALL,$DF18,41)&amp;"","")&amp;"␟"&amp;IFERROR(INDEX(PASTE_ALL,$DF18,42)&amp;"","")&amp;"␟"&amp;IFERROR(INDEX(PASTE_ALL,$DF18,43)&amp;"","")&amp;"␟"&amp;IFERROR(INDEX(PASTE_ALL,$DF18,44)&amp;"","")&amp;"␟"&amp;IFERROR(INDEX(PASTE_ALL,$DF18,45)&amp;"","")&amp;"␟"&amp;IFERROR(INDEX(PASTE_ALL,$DF18,46)&amp;"","")&amp;"␟"&amp;IFERROR(INDEX(PASTE_ALL,$DF18,47)&amp;"","")&amp;"␟"&amp;IFERROR(INDEX(PASTE_ALL,$DF18,48)&amp;"","")&amp;"␟"&amp;IFERROR(INDEX(PASTE_ALL,$DF18,49)&amp;"","")&amp;"␟"&amp;IFERROR(INDEX(PASTE_ALL,$DF18,50)&amp;"","")&amp;"␟"&amp;IFERROR(INDEX(PASTE_ALL,$DF18,51)&amp;"","")&amp;"␟"&amp;IFERROR(INDEX(PASTE_ALL,$DF18,52)&amp;"","")&amp;"␟"&amp;IFERROR(INDEX(PASTE_ALL,$DF18,53)&amp;"","")&amp;"␟"&amp;IFERROR(INDEX(PASTE_ALL,$DF18,54)&amp;"","")&amp;"␟"&amp;IFERROR(INDEX(PASTE_ALL,$DF18,55)&amp;"","")&amp;"␟"&amp;IFERROR(INDEX(PASTE_ALL,$DF18,56)&amp;"","")&amp;"␟"&amp;IFERROR(INDEX(PASTE_ALL,$DF18,57)&amp;"","")&amp;"␟"&amp;IFERROR(INDEX(PASTE_ALL,$DF18,58)&amp;"","")&amp;"␟"&amp;IFERROR(INDEX(PASTE_ALL,$DF18,59)&amp;"","")&amp;"␟"&amp;IFERROR(INDEX(PASTE_ALL,$DF18,60)&amp;"","")," "," "),CHAR(9)," "),CHAR(10)," "),CHAR(13)," "))," ␟","␟"),"␟ ","␟"),"#"&amp;$DE18),"")</f>
        <v/>
      </c>
      <c r="DJ18">
        <f>IF($DI18="",0,IF(SUMPRODUCT(--EXACT($DI$4:DI17,$DI18))&gt;0,1,0))</f>
        <v/>
      </c>
      <c r="DK18">
        <f>IF(AND($DI18&lt;&gt;"",$DJ18=0),1,0)</f>
        <v/>
      </c>
      <c r="DL18">
        <f>DL17+$DK18</f>
        <v/>
      </c>
      <c r="DM18">
        <f>IF(AND($DK18=1,$DL18&lt;=600),1,0)</f>
        <v/>
      </c>
      <c r="DN18">
        <f>IF($DM18=0,"",IF($L$6=0,"",IFERROR(IF(ISNUMBER(INDEX(PASTE_ALL,$DF18,$L$6)),INDEX(PASTE_ALL,$DF18,$L$6),TRIM(SUBSTITUTE(SUBSTITUTE(SUBSTITUTE(SUBSTITUTE(INDEX(PASTE_ALL,$DF18,$L$6)," "," "),CHAR(9)," "),CHAR(10)," "),CHAR(13)," "))),"")))</f>
        <v/>
      </c>
      <c r="DO18">
        <f>IF($DM18=0,"",IF($L$7=0,"",IFERROR(IF(ISNUMBER(INDEX(PASTE_ALL,$DF18,$L$7)),INDEX(PASTE_ALL,$DF18,$L$7),TRIM(SUBSTITUTE(SUBSTITUTE(SUBSTITUTE(SUBSTITUTE(INDEX(PASTE_ALL,$DF18,$L$7)," "," "),CHAR(9)," "),CHAR(10)," "),CHAR(13)," "))),"")))</f>
        <v/>
      </c>
      <c r="DP18">
        <f>IF($DM18=0,"",IF($L$8=0,"",IFERROR(IF(ISNUMBER(INDEX(PASTE_ALL,$DF18,$L$8)),INDEX(PASTE_ALL,$DF18,$L$8),TRIM(SUBSTITUTE(SUBSTITUTE(SUBSTITUTE(SUBSTITUTE(INDEX(PASTE_ALL,$DF18,$L$8)," "," "),CHAR(9)," "),CHAR(10)," "),CHAR(13)," "))),"")))</f>
        <v/>
      </c>
      <c r="DQ18">
        <f>IF($DM18=0,"",IF($L$9=0,"",IFERROR(IF(ISNUMBER(INDEX(PASTE_ALL,$DF18,$L$9)),INDEX(PASTE_ALL,$DF18,$L$9),TRIM(SUBSTITUTE(SUBSTITUTE(SUBSTITUTE(SUBSTITUTE(INDEX(PASTE_ALL,$DF18,$L$9)," "," "),CHAR(9)," "),CHAR(10)," "),CHAR(13)," "))),"")))</f>
        <v/>
      </c>
      <c r="DR18">
        <f>IF($DM18=0,"",IF($L$10=0,"",IFERROR(IF(ISNUMBER(INDEX(PASTE_ALL,$DF18,$L$10)),INDEX(PASTE_ALL,$DF18,$L$10),TRIM(SUBSTITUTE(SUBSTITUTE(SUBSTITUTE(SUBSTITUTE(INDEX(PASTE_ALL,$DF18,$L$10)," "," "),CHAR(9)," "),CHAR(10)," "),CHAR(13)," "))),"")))</f>
        <v/>
      </c>
      <c r="DS18">
        <f>IF($DM18=0,"",IF($L$11=0,"",IFERROR(IF(ISNUMBER(INDEX(PASTE_ALL,$DF18,$L$11)),INDEX(PASTE_ALL,$DF18,$L$11),TRIM(SUBSTITUTE(SUBSTITUTE(SUBSTITUTE(SUBSTITUTE(INDEX(PASTE_ALL,$DF18,$L$11)," "," "),CHAR(9)," "),CHAR(10)," "),CHAR(13)," "))),"")))</f>
        <v/>
      </c>
      <c r="DT18">
        <f>IF($DM18=0,"",IF($L$12=0,"",IFERROR(IF(ISNUMBER(INDEX(PASTE_ALL,$DF18,$L$12)),INDEX(PASTE_ALL,$DF18,$L$12),TRIM(SUBSTITUTE(SUBSTITUTE(SUBSTITUTE(SUBSTITUTE(INDEX(PASTE_ALL,$DF18,$L$12)," "," "),CHAR(9)," "),CHAR(10)," "),CHAR(13)," "))),"")))</f>
        <v/>
      </c>
      <c r="DU18">
        <f>IF($DM18=0,"",IF($L$13=0,"",IFERROR(IF(ISNUMBER(INDEX(PASTE_ALL,$DF18,$L$13)),INDEX(PASTE_ALL,$DF18,$L$13),TRIM(SUBSTITUTE(SUBSTITUTE(SUBSTITUTE(SUBSTITUTE(INDEX(PASTE_ALL,$DF18,$L$13)," "," "),CHAR(9)," "),CHAR(10)," "),CHAR(13)," "))),"")))</f>
        <v/>
      </c>
      <c r="DV18">
        <f>IF($DM18=0,"",IF($L$14=0,"",IFERROR(IF(ISNUMBER(INDEX(PASTE_ALL,$DF18,$L$14)),INDEX(PASTE_ALL,$DF18,$L$14),TRIM(SUBSTITUTE(SUBSTITUTE(SUBSTITUTE(SUBSTITUTE(INDEX(PASTE_ALL,$DF18,$L$14)," "," "),CHAR(9)," "),CHAR(10)," "),CHAR(13)," "))),"")))</f>
        <v/>
      </c>
      <c r="DW18">
        <f>IF($DM18=0,"",IF($L$15=0,"",IFERROR(IF(ISNUMBER(INDEX(PASTE_ALL,$DF18,$L$15)),INDEX(PASTE_ALL,$DF18,$L$15),IF(SUMPRODUCT(--ISNUMBER(FIND({"A","B","C","D","E","F","G","H","I","J","K","L","M","N","O","P","Q","R","S","T","U","V","W","X","Y","Z","0","1","2","3","4","5","6","7","8","9"},UPPER(TRIM(SUBSTITUTE(SUBSTITUTE(SUBSTITUTE(SUBSTITUTE(INDEX(PASTE_ALL,$DF18,$L$15)," "," "),CHAR(9)," "),CHAR(10)," "),CHAR(13)," "))))))&gt;0,TRIM(SUBSTITUTE(SUBSTITUTE(SUBSTITUTE(SUBSTITUTE(INDEX(PASTE_ALL,$DF18,$L$15)," "," "),CHAR(9)," "),CHAR(10)," "),CHAR(13)," ")),"")),"")))</f>
        <v/>
      </c>
      <c r="DX18">
        <f>IF($DM18=0,"",IF($L$16=0,"",IFERROR(IF(ISNUMBER(INDEX(PASTE_ALL,$DF18,$L$16)),INDEX(PASTE_ALL,$DF18,$L$16),SUBSTITUTE(SUBSTITUTE(TRIM(SUBSTITUTE(SUBSTITUTE(SUBSTITUTE(SUBSTITUTE(INDEX(PASTE_ALL,$DF18,$L$16)," "," "),CHAR(9)," "),CHAR(10)," "),CHAR(13)," ")),",",""),"%","")),"")))</f>
        <v/>
      </c>
      <c r="DY18">
        <f>IF($DM18=0,"",IFERROR(IF(ISNUMBER($DX18),$DX18,IF($DX18="","",IF(TRIM($DX18)="",0,IF(AND(AND(SUBSTITUTE(SUBSTITUTE(SUBSTITUTE(SUBSTITUTE(SUBSTITUTE(SUBSTITUTE(SUBSTITUTE(SUBSTITUTE(SUBSTITUTE(SUBSTITUTE(SUBSTITUTE(SUBSTITUTE(SUBSTITUTE(SUBSTITUTE(UPPER(TRIM($DX18)),"0",""),"1",""),"2",""),"3",""),"4",""),"5",""),"6",""),"7",""),"8",""),"9",""),".",""),"+",""),"-",""),"E","")="",LEN(SUBSTITUTE(SUBSTITUTE(MID(UPPER(TRIM($DX18)),1+OR(LEFT(UPPER(TRIM($DX18)),1)="+",LEFT(UPPER(TRIM($DX18)),1)="-"),999),"E+","E"),"E-","E"))=LEN(SUBSTITUTE(SUBSTITUTE(SUBSTITUTE(SUBSTITUTE(MID(UPPER(TRIM($DX18)),1+OR(LEFT(UPPER(TRIM($DX18)),1)="+",LEFT(UPPER(TRIM($DX18)),1)="-"),999),"E+","E"),"E-","E"),"+",""),"-","")),LEN(UPPER(TRIM($DX18)))-LEN(SUBSTITUTE(UPPER(TRIM($DX18)),"E",""))&lt;2,LEN(UPPER(TRIM($DX18)))-LEN(SUBSTITUTE(UPPER(TRIM($DX18)),".",""))&lt;2,IFERROR(FIND(".",UPPER(TRIM($DX18))),0)&lt;IFERROR(FIND("E",UPPER(TRIM($DX18))),999)),ISNUMBER(VALUE(TRIM($DX18)))),VALUE(TRIM($DX18)),"")))),""))</f>
        <v/>
      </c>
      <c r="DZ18">
        <f>IF($DM18=0,"",IF($L$17=0,"",IFERROR(IF(ISNUMBER(INDEX(PASTE_ALL,$DF18,$L$17)),INDEX(PASTE_ALL,$DF18,$L$17),SUBSTITUTE(SUBSTITUTE(TRIM(SUBSTITUTE(SUBSTITUTE(SUBSTITUTE(SUBSTITUTE(INDEX(PASTE_ALL,$DF18,$L$17)," "," "),CHAR(9)," "),CHAR(10)," "),CHAR(13)," ")),",",""),"%","")),"")))</f>
        <v/>
      </c>
      <c r="EA18">
        <f>IF($DM18=0,"",IFERROR(IF(ISNUMBER($DZ18),$DZ18,IF($DZ18="","",IF(TRIM($DZ18)="",0,IF(AND(AND(SUBSTITUTE(SUBSTITUTE(SUBSTITUTE(SUBSTITUTE(SUBSTITUTE(SUBSTITUTE(SUBSTITUTE(SUBSTITUTE(SUBSTITUTE(SUBSTITUTE(SUBSTITUTE(SUBSTITUTE(SUBSTITUTE(SUBSTITUTE(UPPER(TRIM($DZ18)),"0",""),"1",""),"2",""),"3",""),"4",""),"5",""),"6",""),"7",""),"8",""),"9",""),".",""),"+",""),"-",""),"E","")="",LEN(SUBSTITUTE(SUBSTITUTE(MID(UPPER(TRIM($DZ18)),1+OR(LEFT(UPPER(TRIM($DZ18)),1)="+",LEFT(UPPER(TRIM($DZ18)),1)="-"),999),"E+","E"),"E-","E"))=LEN(SUBSTITUTE(SUBSTITUTE(SUBSTITUTE(SUBSTITUTE(MID(UPPER(TRIM($DZ18)),1+OR(LEFT(UPPER(TRIM($DZ18)),1)="+",LEFT(UPPER(TRIM($DZ18)),1)="-"),999),"E+","E"),"E-","E"),"+",""),"-","")),LEN(UPPER(TRIM($DZ18)))-LEN(SUBSTITUTE(UPPER(TRIM($DZ18)),"E",""))&lt;2,LEN(UPPER(TRIM($DZ18)))-LEN(SUBSTITUTE(UPPER(TRIM($DZ18)),".",""))&lt;2,IFERROR(FIND(".",UPPER(TRIM($DZ18))),0)&lt;IFERROR(FIND("E",UPPER(TRIM($DZ18))),999)),ISNUMBER(VALUE(TRIM($DZ18)))),VALUE(TRIM($DZ18)),"")))),""))</f>
        <v/>
      </c>
      <c r="EB18">
        <f>IF($DM18=0,"",IF($L$18=0,"",IFERROR(IF(UPPER(TRIM(SUBSTITUTE(SUBSTITUTE(SUBSTITUTE(SUBSTITUTE(INDEX(PASTE_ALL,$DF18,$L$18)," "," "),CHAR(9)," "),CHAR(10)," "),CHAR(13)," ")))="READY","Ready",IF(UPPER(TRIM(SUBSTITUTE(SUBSTITUTE(SUBSTITUTE(SUBSTITUTE(INDEX(PASTE_ALL,$DF18,$L$18)," "," "),CHAR(9)," "),CHAR(10)," "),CHAR(13)," ")))="PM","PM",IF(OR(UPPER(TRIM(SUBSTITUTE(SUBSTITUTE(SUBSTITUTE(SUBSTITUTE(INDEX(PASTE_ALL,$DF18,$L$18)," "," "),CHAR(9)," "),CHAR(10)," "),CHAR(13)," ")))="OT",UPPER(TRIM(SUBSTITUTE(SUBSTITUTE(SUBSTITUTE(SUBSTITUTE(INDEX(PASTE_ALL,$DF18,$L$18)," "," "),CHAR(9)," "),CHAR(10)," "),CHAR(13)," ")))="OVERTIME",UPPER(TRIM(SUBSTITUTE(SUBSTITUTE(SUBSTITUTE(SUBSTITUTE(INDEX(PASTE_ALL,$DF18,$L$18)," "," "),CHAR(9)," "),CHAR(10)," "),CHAR(13)," ")))="TRIAL"),"OT",TRIM(SUBSTITUTE(SUBSTITUTE(SUBSTITUTE(SUBSTITUTE(INDEX(PASTE_ALL,$DF18,$L$18)," "," "),CHAR(9)," "),CHAR(10)," "),CHAR(13)," "))))),"")))</f>
        <v/>
      </c>
      <c r="EC18">
        <f>IF($DM18=0,"",IF($L$19=0,"",IFERROR(IF(ISNUMBER(INDEX(PASTE_ALL,$DF18,$L$19)),INDEX(PASTE_ALL,$DF18,$L$19),TRIM(SUBSTITUTE(SUBSTITUTE(SUBSTITUTE(SUBSTITUTE(INDEX(PASTE_ALL,$DF18,$L$19)," "," "),CHAR(9)," "),CHAR(10)," "),CHAR(13)," "))),"")))</f>
        <v/>
      </c>
      <c r="ED18">
        <f>IF($DM18=0,"",MATCH(1,INDEX(EXACT($DH$5:DH18,$DH18)*$DM$5:DM18,0),0))</f>
        <v/>
      </c>
      <c r="EE18">
        <f>IF($DM18=0,0,IF($ED18=$DE18,1,0))</f>
        <v/>
      </c>
      <c r="EF18">
        <f>EF17+$EE18</f>
        <v/>
      </c>
      <c r="EG18">
        <f>IF($DM18=0,"",INDEX($EF$5:$EF$1003,$ED18))</f>
        <v/>
      </c>
      <c r="EH18">
        <f>IF($DM18=0,"",IF($DO18&lt;&gt;"","",IFERROR(LOOKUP(2,1/(($EG$4:EG17=$EG18)*($DO$4:DO17&lt;&gt;"")),$DO$4:DO17),"")))</f>
        <v/>
      </c>
      <c r="EI18">
        <f>IF($DM18=0,"",IF($DO18&lt;&gt;"",$DO18,$EH18))</f>
        <v/>
      </c>
      <c r="EJ18">
        <f>IF($DM18=0,"",IF($EI18="",0,IF(OR(ISNUMBER($EI18),AND(AND(SUBSTITUTE(SUBSTITUTE(SUBSTITUTE(SUBSTITUTE(SUBSTITUTE(SUBSTITUTE(SUBSTITUTE(SUBSTITUTE(SUBSTITUTE(SUBSTITUTE(SUBSTITUTE(SUBSTITUTE(SUBSTITUTE(SUBSTITUTE(UPPER($EI18),"0",""),"1",""),"2",""),"3",""),"4",""),"5",""),"6",""),"7",""),"8",""),"9",""),".",""),"+",""),"-",""),"E","")="",LEN(SUBSTITUTE(SUBSTITUTE(MID(UPPER($EI18),1+OR(LEFT(UPPER($EI18),1)="+",LEFT(UPPER($EI18),1)="-"),999),"E+","E"),"E-","E"))=LEN(SUBSTITUTE(SUBSTITUTE(SUBSTITUTE(SUBSTITUTE(MID(UPPER($EI18),1+OR(LEFT(UPPER($EI18),1)="+",LEFT(UPPER($EI18),1)="-"),999),"E+","E"),"E-","E"),"+",""),"-","")),LEN(UPPER($EI18))-LEN(SUBSTITUTE(UPPER($EI18),"E",""))&lt;2,LEN(UPPER($EI18))-LEN(SUBSTITUTE(UPPER($EI18),".",""))&lt;2,IFERROR(FIND(".",UPPER($EI18)),0)&lt;IFERROR(FIND("E",UPPER($EI18)),999)),ISNUMBER(VALUE($EI18)))),1,2)))</f>
        <v/>
      </c>
      <c r="EK18">
        <f>IF($DM18=0,"",IF($EJ18=1,IF(ISNUMBER($EI18),$EI18,VALUE($EI18)),IF($EJ18=2,$DE18,0)))</f>
        <v/>
      </c>
      <c r="EL18">
        <f>IF($DM18=0,"",COUNTIF($EG$5:$EG$1003,"&lt;"&amp;$EG18)+SUMPRODUCT(($EG$5:$EG$1003=$EG18)*(($EJ$5:$EJ$1003&lt;$EJ18)+($EJ$5:$EJ$1003=$EJ18)*(($EK$5:$EK$1003&lt;$EK18)+($EK$5:$EK$1003=$EK18)*($DE$5:$DE$1003&lt;$DE18))))+1)</f>
        <v/>
      </c>
      <c r="EM18">
        <f>IF($DM18=0,"",$EL18+$EG18-1)</f>
        <v/>
      </c>
      <c r="EN18">
        <f>IF($DM18=0,0,IFERROR(MATCH(1,INDEX(--(TRIM(SUBSTITUTE(SUBSTITUTE(SUBSTITUTE(SUBSTITUTE(LINES_NAME&amp;""," "," "),CHAR(9)," "),CHAR(10)," "),CHAR(13)," "))=$DH18),0),0),0))</f>
        <v/>
      </c>
      <c r="EO18">
        <f>IF($EN18=0,0,IF(OR(UPPER(TRIM(INDEX(LINES_SCHEDULED,$EN18)&amp;""))="YES",UPPER(TRIM(INDEX(LINES_SCHEDULED,$EN18)&amp;""))="Y",UPPER(TRIM(INDEX(LINES_SCHEDULED,$EN18)&amp;""))="X"),1,0))</f>
        <v/>
      </c>
      <c r="EP18">
        <f>IF($DM18=0,"",IF(COUNTIFS($EG$5:$EG$1003,$EG18,$EB$5:$EB$1003,"Ready")&gt;0,"READY",IF(COUNTIFS($EG$5:$EG$1003,$EG18,$EB$5:$EB$1003,"PM")&gt;0,"PM",IF(COUNTIFS($EG$5:$EG$1003,$EG18,$EB$5:$EB$1003,"OT")&gt;0,"OT",""))))</f>
        <v/>
      </c>
      <c r="EQ18">
        <f>IF($EN18=0,"",UPPER(TRIM(INDEX(LINES_STATUS,$EN18)&amp;"")))</f>
        <v/>
      </c>
      <c r="ER18">
        <f>IF($DM18=0,"",IF(OR($EQ18="READY",$EQ18="PM",$EQ18="OT"),$EQ18,$EP18))</f>
        <v/>
      </c>
      <c r="ES18">
        <f>IF($DM18=0,"",IF(AND($DV18&lt;&gt;"",UPPER($DV18)&lt;&gt;"N"),"allergen",IF(ISNUMBER(SEARCH("oil",$DQ18)),"oil",IF(OR(EXACT($DS18,"A662"),EXACT($DS18,"A624")),"bulk",""))))</f>
        <v/>
      </c>
      <c r="ET18">
        <f>IF($DM18=0,"",IF(OR($EA18="",$EA18=0),"",$EA18/100))</f>
        <v/>
      </c>
      <c r="EU18">
        <f>IF(OR($ET18="",$DY18=""),"",INT($DY18*(1-$ET18)+0.5))</f>
        <v/>
      </c>
      <c r="EW18" t="n">
        <v>14</v>
      </c>
      <c r="EX18">
        <f>IFERROR(MATCH($EW18,$EM$5:$EM$1003,0),0)</f>
        <v/>
      </c>
      <c r="EY18">
        <f>IF($EW18&gt;$B$12,"",IF($EX18&gt;0,"row","spacer"))</f>
        <v/>
      </c>
      <c r="EZ18">
        <f>IF(AND($EY18="row",$EY17&lt;&gt;"row"),1,0)</f>
        <v/>
      </c>
      <c r="FA18">
        <f>IF(AND($EY18="row",$EY19&lt;&gt;"row"),1,0)</f>
        <v/>
      </c>
      <c r="FB18">
        <f>IF($EZ18=1,IFERROR(IF(ISNUMBER(INDEX(PASTE_ALL,INDEX($DF$5:$DF$1003,$EX18),$B$37)),INDEX(PASTE_ALL,INDEX($DF$5:$DF$1003,$EX18),$B$37),INDEX($DH$5:$DH$1003,$EX18)),INDEX($DH$5:$DH$1003,$EX18)),"")</f>
        <v/>
      </c>
      <c r="FC18">
        <f>IF($EY18="row",INDEX($ER$5:$ER$1003,$EX18),"")</f>
        <v/>
      </c>
      <c r="FD18">
        <f>IF($EY18="row",INDEX($DN$5:$DN$1003,$EX18),"")</f>
        <v/>
      </c>
      <c r="FE18">
        <f>IF($EY18="row",INDEX($DO$5:$DO$1003,$EX18),"")</f>
        <v/>
      </c>
      <c r="FF18">
        <f>IF($EY18="row",INDEX($DP$5:$DP$1003,$EX18),"")</f>
        <v/>
      </c>
      <c r="FG18">
        <f>IF($EY18="row",INDEX($DQ$5:$DQ$1003,$EX18),"")</f>
        <v/>
      </c>
      <c r="FH18">
        <f>IF($EY18="row",INDEX($DR$5:$DR$1003,$EX18),"")</f>
        <v/>
      </c>
      <c r="FI18">
        <f>IF($EY18="row",INDEX($DS$5:$DS$1003,$EX18),"")</f>
        <v/>
      </c>
      <c r="FJ18">
        <f>IF($EY18="row",INDEX($DT$5:$DT$1003,$EX18),"")</f>
        <v/>
      </c>
      <c r="FK18">
        <f>IF($EY18="row",INDEX($DU$5:$DU$1003,$EX18),"")</f>
        <v/>
      </c>
      <c r="FL18">
        <f>IF($EY18="row",INDEX($DV$5:$DV$1003,$EX18),"")</f>
        <v/>
      </c>
      <c r="FM18">
        <f>IF($EY18="row",INDEX($DW$5:$DW$1003,$EX18),"")</f>
        <v/>
      </c>
      <c r="FN18">
        <f>IF($EY18="row",INDEX($DY$5:$DY$1003,$EX18),"")</f>
        <v/>
      </c>
      <c r="FO18">
        <f>IF($EY18="row",INDEX($EA$5:$EA$1003,$EX18),"")</f>
        <v/>
      </c>
      <c r="FP18">
        <f>IF($EY18="row",INDEX($EC$5:$EC$1003,$EX18),"")</f>
        <v/>
      </c>
      <c r="FQ18">
        <f>IF($EY18="row",INDEX($ET$5:$ET$1003,$EX18),"")</f>
        <v/>
      </c>
      <c r="FR18">
        <f>IF($EY18="row",INDEX($EU$5:$EU$1003,$EX18),"")</f>
        <v/>
      </c>
      <c r="FS18">
        <f>IF(AND($EY18="row",$EY17="row"),IF(OR(INDEX($DT$5:$DT$1003,$EX17)="",INDEX($DT$5:$DT$1003,$EX18)=""),"",IF(NOT(EXACT(INDEX($DT$5:$DT$1003,$EX17),INDEX($DT$5:$DT$1003,$EX18))),"S4",IF(NOT(EXACT(INDEX($DS$5:$DS$1003,$EX17),INDEX($DS$5:$DS$1003,$EX18))),"S3",IF(NOT(EXACT(INDEX($DR$5:$DR$1003,$EX17),INDEX($DR$5:$DR$1003,$EX18))),"S1 Count Change","S1")))),"")</f>
        <v/>
      </c>
      <c r="FT18">
        <f>IF($EY18="row",INDEX($ES$5:$ES$1003,$EX18),"")</f>
        <v/>
      </c>
      <c r="FU18">
        <f>IF($EY18="row",INDEX($EO$5:$EO$1003,$EX18),0)</f>
        <v/>
      </c>
      <c r="FV18">
        <f>IF($FS18="S1 Count Change",1,0)</f>
        <v/>
      </c>
      <c r="FX18" t="n">
        <v>14</v>
      </c>
      <c r="FY18">
        <f>IFERROR(MATCH($FX18,$EF$5:$EF$1003,0),0)</f>
        <v/>
      </c>
      <c r="FZ18">
        <f>IF($FY18=0,"",INDEX($DH$5:$DH$1003,$FY18))</f>
        <v/>
      </c>
      <c r="GA18">
        <f>IF($FY18=0,"",COUNTIF($EG$5:$EG$1003,$FX18))</f>
        <v/>
      </c>
      <c r="GB18">
        <f>IF($FY18=0,"",INDEX($ER$5:$ER$1003,$FY18))</f>
        <v/>
      </c>
      <c r="GC18">
        <f>IF($FY18=0,"",IF(INDEX($EO$5:$EO$1003,$FY18)=1,"Yes",""))</f>
        <v/>
      </c>
      <c r="GD18">
        <f>IF($FY18=0,"",IF(INDEX($EN$5:$EN$1003,$FY18)&gt;0,"","NOT IN YOUR LIST - type it in column A to tick it"))</f>
        <v/>
      </c>
      <c r="GE18">
        <f>IF(AND($FY18&gt;0,$GD18&lt;&gt;""),1,0)</f>
        <v/>
      </c>
      <c r="GF18">
        <f>GF17+$GE18</f>
        <v/>
      </c>
      <c r="GG18">
        <f>IFERROR(INDEX($FZ$5:$FZ$104,MATCH($FX18,$GF$5:$GF$104,0)),"")</f>
        <v/>
      </c>
    </row>
    <row r="19">
      <c r="A19" t="inlineStr">
        <is>
          <t>Work orders past 600</t>
        </is>
      </c>
      <c r="B19">
        <f>MAX(0,$B$9-600)</f>
        <v/>
      </c>
      <c r="D19" t="n">
        <v>15</v>
      </c>
      <c r="E19" t="inlineStr">
        <is>
          <t>desiccant</t>
        </is>
      </c>
      <c r="F19" t="inlineStr">
        <is>
          <t>Desiccant</t>
        </is>
      </c>
      <c r="G19" t="n">
        <v>32768</v>
      </c>
      <c r="H19">
        <f>IFERROR(UPPER(TRIM('2. Check Columns'!$F$27&amp;"")),"#")</f>
        <v/>
      </c>
      <c r="I19">
        <f>IF(H19="",0,IF(OR(H19="-",H19="NONE"),-1,IFERROR(MATCH(1,INDEX(--EXACT($T$5:$T$64,H19),0),0),-2)))</f>
        <v/>
      </c>
      <c r="J19">
        <f>IF(I19&lt;=0,IF(I19=-1,-1,0),IF(COUNTIF($I$5:I18,I19)&gt;0,0,I19))</f>
        <v/>
      </c>
      <c r="K19">
        <f>IFERROR(MATCH(15,$Y$235:$CF$235,0),0)</f>
        <v/>
      </c>
      <c r="L19">
        <f>IFERROR(MATCH(15,$Y$239:$CF$239,0),0)</f>
        <v/>
      </c>
      <c r="M19">
        <f>IF(K19=0,"(not found)",INDEX($T$5:$T$64,K19))</f>
        <v/>
      </c>
      <c r="N19">
        <f>IF(L19=0,IF(J19=-1,"(left out)","(none)"),INDEX($T$5:$T$64,L19))</f>
        <v/>
      </c>
      <c r="O19">
        <f>IF(L19=0,"",IFERROR(TRIM(SUBSTITUTE(SUBSTITUTE(SUBSTITUTE(SUBSTITUTE(INDEX(PASTE_ALL,HEADER_ROW,L19)&amp;""," "," "),CHAR(9)," "),CHAR(10)," "),CHAR(13)," ")),""))</f>
        <v/>
      </c>
      <c r="P19">
        <f>IF(OR(L19=0,$B$16=0),"",IFERROR(IF(ISNUMBER(INDEX(PASTE_ALL,$B$16,L19)),INDEX(PASTE_ALL,$B$16,L19),TRIM(SUBSTITUTE(SUBSTITUTE(SUBSTITUTE(SUBSTITUTE(INDEX(PASTE_ALL,$B$16,L19)&amp;""," "," "),CHAR(9)," "),CHAR(10)," "),CHAR(13)," "))),""))</f>
        <v/>
      </c>
      <c r="Q19">
        <f>IF(I19=-2,"'"&amp;H19&amp;"' is not a column letter from A to BH - ignored",IF(AND(I19&gt;0,J19=0),"Column "&amp;H19&amp;" is already used by "&amp;INDEX($F$5:$F$19,MATCH(I19,$I$5:$I$19,0))&amp;" - ignored",IF(AND(J19=0,K19&gt;0,COUNTIF($J$5:$J$19,K19)&gt;0),"Column "&amp;M19&amp;" is used by "&amp;INDEX($F$5:$F$19,MATCH(K19,$J$5:$J$19,0))&amp;" (Override)"&amp;IF(L19&gt;0," - using column "&amp;N19&amp;" instead"," - not used"),IF(AND(J19&gt;0,K19&gt;0,J19&lt;&gt;K19),"Override in use - this file's own title for it is in column "&amp;M19&amp;" ("&amp;IFERROR(TRIM(SUBSTITUTE(SUBSTITUTE(SUBSTITUTE(SUBSTITUTE(INDEX(PASTE_ALL,HEADER_ROW,K19)&amp;""," "," "),CHAR(9)," "),CHAR(10)," "),CHAR(13)," ")),"")&amp;"). Clear the Override if that is right.",IF(AND(J19=-1,K19&gt;0),"Left out by the Override - this file has it in column "&amp;M19&amp;" ("&amp;IFERROR(TRIM(SUBSTITUTE(SUBSTITUTE(SUBSTITUTE(SUBSTITUTE(INDEX(PASTE_ALL,HEADER_ROW,K19)&amp;""," "," "),CHAR(9)," "),CHAR(10)," "),CHAR(13)," ")),"")&amp;").","")))))</f>
        <v/>
      </c>
      <c r="R19">
        <f>IF(OR(AND(J19&gt;0,K19&gt;0,J19&lt;&gt;K19),AND(J19=-1,K19&gt;0),AND(J19=0,K19&gt;0,COUNTIF($J$5:$J$19,K19)&gt;0)),1,0)</f>
        <v/>
      </c>
      <c r="S19" t="n">
        <v>15</v>
      </c>
      <c r="T19" t="inlineStr">
        <is>
          <t>O</t>
        </is>
      </c>
      <c r="V19" t="inlineStr">
        <is>
          <t>ORDERNO</t>
        </is>
      </c>
      <c r="W19" t="n">
        <v>2</v>
      </c>
      <c r="Y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 ",""),"!",""),CHAR(34),""),"#",""),"$",""),"%",""),"&amp;",""),"'",""),"(",""),")",""),"*",""),"+",""),",",""),"-",""),".",""),"/",""),":",""),";",""),"&lt;",""),"=",""),"&gt;",""),"?",""),"@",""),"[",""),"\",""),"]",""),"^",""),"_",""),"`",""),"{",""),"|",""),"}",""),"~",""),CHAR(9),""),CHAR(10),""),CHAR(13),"")," ",""),"")</f>
        <v/>
      </c>
      <c r="Z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 ",""),"!",""),CHAR(34),""),"#",""),"$",""),"%",""),"&amp;",""),"'",""),"(",""),")",""),"*",""),"+",""),",",""),"-",""),".",""),"/",""),":",""),";",""),"&lt;",""),"=",""),"&gt;",""),"?",""),"@",""),"[",""),"\",""),"]",""),"^",""),"_",""),"`",""),"{",""),"|",""),"}",""),"~",""),CHAR(9),""),CHAR(10),""),CHAR(13),"")," ",""),"")</f>
        <v/>
      </c>
      <c r="AA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 ",""),"!",""),CHAR(34),""),"#",""),"$",""),"%",""),"&amp;",""),"'",""),"(",""),")",""),"*",""),"+",""),",",""),"-",""),".",""),"/",""),":",""),";",""),"&lt;",""),"=",""),"&gt;",""),"?",""),"@",""),"[",""),"\",""),"]",""),"^",""),"_",""),"`",""),"{",""),"|",""),"}",""),"~",""),CHAR(9),""),CHAR(10),""),CHAR(13),"")," ",""),"")</f>
        <v/>
      </c>
      <c r="AB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 ",""),"!",""),CHAR(34),""),"#",""),"$",""),"%",""),"&amp;",""),"'",""),"(",""),")",""),"*",""),"+",""),",",""),"-",""),".",""),"/",""),":",""),";",""),"&lt;",""),"=",""),"&gt;",""),"?",""),"@",""),"[",""),"\",""),"]",""),"^",""),"_",""),"`",""),"{",""),"|",""),"}",""),"~",""),CHAR(9),""),CHAR(10),""),CHAR(13),"")," ",""),"")</f>
        <v/>
      </c>
      <c r="AC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 ",""),"!",""),CHAR(34),""),"#",""),"$",""),"%",""),"&amp;",""),"'",""),"(",""),")",""),"*",""),"+",""),",",""),"-",""),".",""),"/",""),":",""),";",""),"&lt;",""),"=",""),"&gt;",""),"?",""),"@",""),"[",""),"\",""),"]",""),"^",""),"_",""),"`",""),"{",""),"|",""),"}",""),"~",""),CHAR(9),""),CHAR(10),""),CHAR(13),"")," ",""),"")</f>
        <v/>
      </c>
      <c r="AD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15,6))," ",""),"!",""),CHAR(34),""),"#",""),"$",""),"%",""),"&amp;",""),"'",""),"(",""),")",""),"*",""),"+",""),",",""),"-",""),".",""),"/",""),":",""),";",""),"&lt;",""),"=",""),"&gt;",""),"?",""),"@",""),"[",""),"\",""),"]",""),"^",""),"_",""),"`",""),"{",""),"|",""),"}",""),"~",""),CHAR(9),""),CHAR(10),""),CHAR(13),"")," ",""),"")</f>
        <v/>
      </c>
      <c r="AE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15,7))," ",""),"!",""),CHAR(34),""),"#",""),"$",""),"%",""),"&amp;",""),"'",""),"(",""),")",""),"*",""),"+",""),",",""),"-",""),".",""),"/",""),":",""),";",""),"&lt;",""),"=",""),"&gt;",""),"?",""),"@",""),"[",""),"\",""),"]",""),"^",""),"_",""),"`",""),"{",""),"|",""),"}",""),"~",""),CHAR(9),""),CHAR(10),""),CHAR(13),"")," ",""),"")</f>
        <v/>
      </c>
      <c r="AF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15,8))," ",""),"!",""),CHAR(34),""),"#",""),"$",""),"%",""),"&amp;",""),"'",""),"(",""),")",""),"*",""),"+",""),",",""),"-",""),".",""),"/",""),":",""),";",""),"&lt;",""),"=",""),"&gt;",""),"?",""),"@",""),"[",""),"\",""),"]",""),"^",""),"_",""),"`",""),"{",""),"|",""),"}",""),"~",""),CHAR(9),""),CHAR(10),""),CHAR(13),"")," ",""),"")</f>
        <v/>
      </c>
      <c r="AG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15,9))," ",""),"!",""),CHAR(34),""),"#",""),"$",""),"%",""),"&amp;",""),"'",""),"(",""),")",""),"*",""),"+",""),",",""),"-",""),".",""),"/",""),":",""),";",""),"&lt;",""),"=",""),"&gt;",""),"?",""),"@",""),"[",""),"\",""),"]",""),"^",""),"_",""),"`",""),"{",""),"|",""),"}",""),"~",""),CHAR(9),""),CHAR(10),""),CHAR(13),"")," ",""),"")</f>
        <v/>
      </c>
      <c r="AH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15,10))," ",""),"!",""),CHAR(34),""),"#",""),"$",""),"%",""),"&amp;",""),"'",""),"(",""),")",""),"*",""),"+",""),",",""),"-",""),".",""),"/",""),":",""),";",""),"&lt;",""),"=",""),"&gt;",""),"?",""),"@",""),"[",""),"\",""),"]",""),"^",""),"_",""),"`",""),"{",""),"|",""),"}",""),"~",""),CHAR(9),""),CHAR(10),""),CHAR(13),"")," ",""),"")</f>
        <v/>
      </c>
      <c r="AI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15,11))," ",""),"!",""),CHAR(34),""),"#",""),"$",""),"%",""),"&amp;",""),"'",""),"(",""),")",""),"*",""),"+",""),",",""),"-",""),".",""),"/",""),":",""),";",""),"&lt;",""),"=",""),"&gt;",""),"?",""),"@",""),"[",""),"\",""),"]",""),"^",""),"_",""),"`",""),"{",""),"|",""),"}",""),"~",""),CHAR(9),""),CHAR(10),""),CHAR(13),"")," ",""),"")</f>
        <v/>
      </c>
      <c r="AJ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15,12))," ",""),"!",""),CHAR(34),""),"#",""),"$",""),"%",""),"&amp;",""),"'",""),"(",""),")",""),"*",""),"+",""),",",""),"-",""),".",""),"/",""),":",""),";",""),"&lt;",""),"=",""),"&gt;",""),"?",""),"@",""),"[",""),"\",""),"]",""),"^",""),"_",""),"`",""),"{",""),"|",""),"}",""),"~",""),CHAR(9),""),CHAR(10),""),CHAR(13),"")," ",""),"")</f>
        <v/>
      </c>
      <c r="AK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15,13))," ",""),"!",""),CHAR(34),""),"#",""),"$",""),"%",""),"&amp;",""),"'",""),"(",""),")",""),"*",""),"+",""),",",""),"-",""),".",""),"/",""),":",""),";",""),"&lt;",""),"=",""),"&gt;",""),"?",""),"@",""),"[",""),"\",""),"]",""),"^",""),"_",""),"`",""),"{",""),"|",""),"}",""),"~",""),CHAR(9),""),CHAR(10),""),CHAR(13),"")," ",""),"")</f>
        <v/>
      </c>
      <c r="AL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15,14))," ",""),"!",""),CHAR(34),""),"#",""),"$",""),"%",""),"&amp;",""),"'",""),"(",""),")",""),"*",""),"+",""),",",""),"-",""),".",""),"/",""),":",""),";",""),"&lt;",""),"=",""),"&gt;",""),"?",""),"@",""),"[",""),"\",""),"]",""),"^",""),"_",""),"`",""),"{",""),"|",""),"}",""),"~",""),CHAR(9),""),CHAR(10),""),CHAR(13),"")," ",""),"")</f>
        <v/>
      </c>
      <c r="AM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15,15))," ",""),"!",""),CHAR(34),""),"#",""),"$",""),"%",""),"&amp;",""),"'",""),"(",""),")",""),"*",""),"+",""),",",""),"-",""),".",""),"/",""),":",""),";",""),"&lt;",""),"=",""),"&gt;",""),"?",""),"@",""),"[",""),"\",""),"]",""),"^",""),"_",""),"`",""),"{",""),"|",""),"}",""),"~",""),CHAR(9),""),CHAR(10),""),CHAR(13),"")," ",""),"")</f>
        <v/>
      </c>
      <c r="AN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15,16))," ",""),"!",""),CHAR(34),""),"#",""),"$",""),"%",""),"&amp;",""),"'",""),"(",""),")",""),"*",""),"+",""),",",""),"-",""),".",""),"/",""),":",""),";",""),"&lt;",""),"=",""),"&gt;",""),"?",""),"@",""),"[",""),"\",""),"]",""),"^",""),"_",""),"`",""),"{",""),"|",""),"}",""),"~",""),CHAR(9),""),CHAR(10),""),CHAR(13),"")," ",""),"")</f>
        <v/>
      </c>
      <c r="AO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15,17))," ",""),"!",""),CHAR(34),""),"#",""),"$",""),"%",""),"&amp;",""),"'",""),"(",""),")",""),"*",""),"+",""),",",""),"-",""),".",""),"/",""),":",""),";",""),"&lt;",""),"=",""),"&gt;",""),"?",""),"@",""),"[",""),"\",""),"]",""),"^",""),"_",""),"`",""),"{",""),"|",""),"}",""),"~",""),CHAR(9),""),CHAR(10),""),CHAR(13),"")," ",""),"")</f>
        <v/>
      </c>
      <c r="AP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15,18))," ",""),"!",""),CHAR(34),""),"#",""),"$",""),"%",""),"&amp;",""),"'",""),"(",""),")",""),"*",""),"+",""),",",""),"-",""),".",""),"/",""),":",""),";",""),"&lt;",""),"=",""),"&gt;",""),"?",""),"@",""),"[",""),"\",""),"]",""),"^",""),"_",""),"`",""),"{",""),"|",""),"}",""),"~",""),CHAR(9),""),CHAR(10),""),CHAR(13),"")," ",""),"")</f>
        <v/>
      </c>
      <c r="AQ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15,19))," ",""),"!",""),CHAR(34),""),"#",""),"$",""),"%",""),"&amp;",""),"'",""),"(",""),")",""),"*",""),"+",""),",",""),"-",""),".",""),"/",""),":",""),";",""),"&lt;",""),"=",""),"&gt;",""),"?",""),"@",""),"[",""),"\",""),"]",""),"^",""),"_",""),"`",""),"{",""),"|",""),"}",""),"~",""),CHAR(9),""),CHAR(10),""),CHAR(13),"")," ",""),"")</f>
        <v/>
      </c>
      <c r="AR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15,20))," ",""),"!",""),CHAR(34),""),"#",""),"$",""),"%",""),"&amp;",""),"'",""),"(",""),")",""),"*",""),"+",""),",",""),"-",""),".",""),"/",""),":",""),";",""),"&lt;",""),"=",""),"&gt;",""),"?",""),"@",""),"[",""),"\",""),"]",""),"^",""),"_",""),"`",""),"{",""),"|",""),"}",""),"~",""),CHAR(9),""),CHAR(10),""),CHAR(13),"")," ",""),"")</f>
        <v/>
      </c>
      <c r="AS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15,21))," ",""),"!",""),CHAR(34),""),"#",""),"$",""),"%",""),"&amp;",""),"'",""),"(",""),")",""),"*",""),"+",""),",",""),"-",""),".",""),"/",""),":",""),";",""),"&lt;",""),"=",""),"&gt;",""),"?",""),"@",""),"[",""),"\",""),"]",""),"^",""),"_",""),"`",""),"{",""),"|",""),"}",""),"~",""),CHAR(9),""),CHAR(10),""),CHAR(13),"")," ",""),"")</f>
        <v/>
      </c>
      <c r="AT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15,22))," ",""),"!",""),CHAR(34),""),"#",""),"$",""),"%",""),"&amp;",""),"'",""),"(",""),")",""),"*",""),"+",""),",",""),"-",""),".",""),"/",""),":",""),";",""),"&lt;",""),"=",""),"&gt;",""),"?",""),"@",""),"[",""),"\",""),"]",""),"^",""),"_",""),"`",""),"{",""),"|",""),"}",""),"~",""),CHAR(9),""),CHAR(10),""),CHAR(13),"")," ",""),"")</f>
        <v/>
      </c>
      <c r="AU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15,23))," ",""),"!",""),CHAR(34),""),"#",""),"$",""),"%",""),"&amp;",""),"'",""),"(",""),")",""),"*",""),"+",""),",",""),"-",""),".",""),"/",""),":",""),";",""),"&lt;",""),"=",""),"&gt;",""),"?",""),"@",""),"[",""),"\",""),"]",""),"^",""),"_",""),"`",""),"{",""),"|",""),"}",""),"~",""),CHAR(9),""),CHAR(10),""),CHAR(13),"")," ",""),"")</f>
        <v/>
      </c>
      <c r="AV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15,24))," ",""),"!",""),CHAR(34),""),"#",""),"$",""),"%",""),"&amp;",""),"'",""),"(",""),")",""),"*",""),"+",""),",",""),"-",""),".",""),"/",""),":",""),";",""),"&lt;",""),"=",""),"&gt;",""),"?",""),"@",""),"[",""),"\",""),"]",""),"^",""),"_",""),"`",""),"{",""),"|",""),"}",""),"~",""),CHAR(9),""),CHAR(10),""),CHAR(13),"")," ",""),"")</f>
        <v/>
      </c>
      <c r="AW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15,25))," ",""),"!",""),CHAR(34),""),"#",""),"$",""),"%",""),"&amp;",""),"'",""),"(",""),")",""),"*",""),"+",""),",",""),"-",""),".",""),"/",""),":",""),";",""),"&lt;",""),"=",""),"&gt;",""),"?",""),"@",""),"[",""),"\",""),"]",""),"^",""),"_",""),"`",""),"{",""),"|",""),"}",""),"~",""),CHAR(9),""),CHAR(10),""),CHAR(13),"")," ",""),"")</f>
        <v/>
      </c>
      <c r="AX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15,26))," ",""),"!",""),CHAR(34),""),"#",""),"$",""),"%",""),"&amp;",""),"'",""),"(",""),")",""),"*",""),"+",""),",",""),"-",""),".",""),"/",""),":",""),";",""),"&lt;",""),"=",""),"&gt;",""),"?",""),"@",""),"[",""),"\",""),"]",""),"^",""),"_",""),"`",""),"{",""),"|",""),"}",""),"~",""),CHAR(9),""),CHAR(10),""),CHAR(13),"")," ",""),"")</f>
        <v/>
      </c>
      <c r="AY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15,27))," ",""),"!",""),CHAR(34),""),"#",""),"$",""),"%",""),"&amp;",""),"'",""),"(",""),")",""),"*",""),"+",""),",",""),"-",""),".",""),"/",""),":",""),";",""),"&lt;",""),"=",""),"&gt;",""),"?",""),"@",""),"[",""),"\",""),"]",""),"^",""),"_",""),"`",""),"{",""),"|",""),"}",""),"~",""),CHAR(9),""),CHAR(10),""),CHAR(13),"")," ",""),"")</f>
        <v/>
      </c>
      <c r="AZ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15,28))," ",""),"!",""),CHAR(34),""),"#",""),"$",""),"%",""),"&amp;",""),"'",""),"(",""),")",""),"*",""),"+",""),",",""),"-",""),".",""),"/",""),":",""),";",""),"&lt;",""),"=",""),"&gt;",""),"?",""),"@",""),"[",""),"\",""),"]",""),"^",""),"_",""),"`",""),"{",""),"|",""),"}",""),"~",""),CHAR(9),""),CHAR(10),""),CHAR(13),"")," ",""),"")</f>
        <v/>
      </c>
      <c r="BA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15,29))," ",""),"!",""),CHAR(34),""),"#",""),"$",""),"%",""),"&amp;",""),"'",""),"(",""),")",""),"*",""),"+",""),",",""),"-",""),".",""),"/",""),":",""),";",""),"&lt;",""),"=",""),"&gt;",""),"?",""),"@",""),"[",""),"\",""),"]",""),"^",""),"_",""),"`",""),"{",""),"|",""),"}",""),"~",""),CHAR(9),""),CHAR(10),""),CHAR(13),"")," ",""),"")</f>
        <v/>
      </c>
      <c r="BB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15,30))," ",""),"!",""),CHAR(34),""),"#",""),"$",""),"%",""),"&amp;",""),"'",""),"(",""),")",""),"*",""),"+",""),",",""),"-",""),".",""),"/",""),":",""),";",""),"&lt;",""),"=",""),"&gt;",""),"?",""),"@",""),"[",""),"\",""),"]",""),"^",""),"_",""),"`",""),"{",""),"|",""),"}",""),"~",""),CHAR(9),""),CHAR(10),""),CHAR(13),"")," ",""),"")</f>
        <v/>
      </c>
      <c r="BC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15,31))," ",""),"!",""),CHAR(34),""),"#",""),"$",""),"%",""),"&amp;",""),"'",""),"(",""),")",""),"*",""),"+",""),",",""),"-",""),".",""),"/",""),":",""),";",""),"&lt;",""),"=",""),"&gt;",""),"?",""),"@",""),"[",""),"\",""),"]",""),"^",""),"_",""),"`",""),"{",""),"|",""),"}",""),"~",""),CHAR(9),""),CHAR(10),""),CHAR(13),"")," ",""),"")</f>
        <v/>
      </c>
      <c r="BD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15,32))," ",""),"!",""),CHAR(34),""),"#",""),"$",""),"%",""),"&amp;",""),"'",""),"(",""),")",""),"*",""),"+",""),",",""),"-",""),".",""),"/",""),":",""),";",""),"&lt;",""),"=",""),"&gt;",""),"?",""),"@",""),"[",""),"\",""),"]",""),"^",""),"_",""),"`",""),"{",""),"|",""),"}",""),"~",""),CHAR(9),""),CHAR(10),""),CHAR(13),"")," ",""),"")</f>
        <v/>
      </c>
      <c r="BE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15,33))," ",""),"!",""),CHAR(34),""),"#",""),"$",""),"%",""),"&amp;",""),"'",""),"(",""),")",""),"*",""),"+",""),",",""),"-",""),".",""),"/",""),":",""),";",""),"&lt;",""),"=",""),"&gt;",""),"?",""),"@",""),"[",""),"\",""),"]",""),"^",""),"_",""),"`",""),"{",""),"|",""),"}",""),"~",""),CHAR(9),""),CHAR(10),""),CHAR(13),"")," ",""),"")</f>
        <v/>
      </c>
      <c r="BF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15,34))," ",""),"!",""),CHAR(34),""),"#",""),"$",""),"%",""),"&amp;",""),"'",""),"(",""),")",""),"*",""),"+",""),",",""),"-",""),".",""),"/",""),":",""),";",""),"&lt;",""),"=",""),"&gt;",""),"?",""),"@",""),"[",""),"\",""),"]",""),"^",""),"_",""),"`",""),"{",""),"|",""),"}",""),"~",""),CHAR(9),""),CHAR(10),""),CHAR(13),"")," ",""),"")</f>
        <v/>
      </c>
      <c r="BG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15,35))," ",""),"!",""),CHAR(34),""),"#",""),"$",""),"%",""),"&amp;",""),"'",""),"(",""),")",""),"*",""),"+",""),",",""),"-",""),".",""),"/",""),":",""),";",""),"&lt;",""),"=",""),"&gt;",""),"?",""),"@",""),"[",""),"\",""),"]",""),"^",""),"_",""),"`",""),"{",""),"|",""),"}",""),"~",""),CHAR(9),""),CHAR(10),""),CHAR(13),"")," ",""),"")</f>
        <v/>
      </c>
      <c r="BH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15,36))," ",""),"!",""),CHAR(34),""),"#",""),"$",""),"%",""),"&amp;",""),"'",""),"(",""),")",""),"*",""),"+",""),",",""),"-",""),".",""),"/",""),":",""),";",""),"&lt;",""),"=",""),"&gt;",""),"?",""),"@",""),"[",""),"\",""),"]",""),"^",""),"_",""),"`",""),"{",""),"|",""),"}",""),"~",""),CHAR(9),""),CHAR(10),""),CHAR(13),"")," ",""),"")</f>
        <v/>
      </c>
      <c r="BI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15,37))," ",""),"!",""),CHAR(34),""),"#",""),"$",""),"%",""),"&amp;",""),"'",""),"(",""),")",""),"*",""),"+",""),",",""),"-",""),".",""),"/",""),":",""),";",""),"&lt;",""),"=",""),"&gt;",""),"?",""),"@",""),"[",""),"\",""),"]",""),"^",""),"_",""),"`",""),"{",""),"|",""),"}",""),"~",""),CHAR(9),""),CHAR(10),""),CHAR(13),"")," ",""),"")</f>
        <v/>
      </c>
      <c r="BJ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15,38))," ",""),"!",""),CHAR(34),""),"#",""),"$",""),"%",""),"&amp;",""),"'",""),"(",""),")",""),"*",""),"+",""),",",""),"-",""),".",""),"/",""),":",""),";",""),"&lt;",""),"=",""),"&gt;",""),"?",""),"@",""),"[",""),"\",""),"]",""),"^",""),"_",""),"`",""),"{",""),"|",""),"}",""),"~",""),CHAR(9),""),CHAR(10),""),CHAR(13),"")," ",""),"")</f>
        <v/>
      </c>
      <c r="BK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15,39))," ",""),"!",""),CHAR(34),""),"#",""),"$",""),"%",""),"&amp;",""),"'",""),"(",""),")",""),"*",""),"+",""),",",""),"-",""),".",""),"/",""),":",""),";",""),"&lt;",""),"=",""),"&gt;",""),"?",""),"@",""),"[",""),"\",""),"]",""),"^",""),"_",""),"`",""),"{",""),"|",""),"}",""),"~",""),CHAR(9),""),CHAR(10),""),CHAR(13),"")," ",""),"")</f>
        <v/>
      </c>
      <c r="BL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15,40))," ",""),"!",""),CHAR(34),""),"#",""),"$",""),"%",""),"&amp;",""),"'",""),"(",""),")",""),"*",""),"+",""),",",""),"-",""),".",""),"/",""),":",""),";",""),"&lt;",""),"=",""),"&gt;",""),"?",""),"@",""),"[",""),"\",""),"]",""),"^",""),"_",""),"`",""),"{",""),"|",""),"}",""),"~",""),CHAR(9),""),CHAR(10),""),CHAR(13),"")," ",""),"")</f>
        <v/>
      </c>
      <c r="BM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15,41))," ",""),"!",""),CHAR(34),""),"#",""),"$",""),"%",""),"&amp;",""),"'",""),"(",""),")",""),"*",""),"+",""),",",""),"-",""),".",""),"/",""),":",""),";",""),"&lt;",""),"=",""),"&gt;",""),"?",""),"@",""),"[",""),"\",""),"]",""),"^",""),"_",""),"`",""),"{",""),"|",""),"}",""),"~",""),CHAR(9),""),CHAR(10),""),CHAR(13),"")," ",""),"")</f>
        <v/>
      </c>
      <c r="BN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15,42))," ",""),"!",""),CHAR(34),""),"#",""),"$",""),"%",""),"&amp;",""),"'",""),"(",""),")",""),"*",""),"+",""),",",""),"-",""),".",""),"/",""),":",""),";",""),"&lt;",""),"=",""),"&gt;",""),"?",""),"@",""),"[",""),"\",""),"]",""),"^",""),"_",""),"`",""),"{",""),"|",""),"}",""),"~",""),CHAR(9),""),CHAR(10),""),CHAR(13),"")," ",""),"")</f>
        <v/>
      </c>
      <c r="BO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15,43))," ",""),"!",""),CHAR(34),""),"#",""),"$",""),"%",""),"&amp;",""),"'",""),"(",""),")",""),"*",""),"+",""),",",""),"-",""),".",""),"/",""),":",""),";",""),"&lt;",""),"=",""),"&gt;",""),"?",""),"@",""),"[",""),"\",""),"]",""),"^",""),"_",""),"`",""),"{",""),"|",""),"}",""),"~",""),CHAR(9),""),CHAR(10),""),CHAR(13),"")," ",""),"")</f>
        <v/>
      </c>
      <c r="BP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15,44))," ",""),"!",""),CHAR(34),""),"#",""),"$",""),"%",""),"&amp;",""),"'",""),"(",""),")",""),"*",""),"+",""),",",""),"-",""),".",""),"/",""),":",""),";",""),"&lt;",""),"=",""),"&gt;",""),"?",""),"@",""),"[",""),"\",""),"]",""),"^",""),"_",""),"`",""),"{",""),"|",""),"}",""),"~",""),CHAR(9),""),CHAR(10),""),CHAR(13),"")," ",""),"")</f>
        <v/>
      </c>
      <c r="BQ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15,45))," ",""),"!",""),CHAR(34),""),"#",""),"$",""),"%",""),"&amp;",""),"'",""),"(",""),")",""),"*",""),"+",""),",",""),"-",""),".",""),"/",""),":",""),";",""),"&lt;",""),"=",""),"&gt;",""),"?",""),"@",""),"[",""),"\",""),"]",""),"^",""),"_",""),"`",""),"{",""),"|",""),"}",""),"~",""),CHAR(9),""),CHAR(10),""),CHAR(13),"")," ",""),"")</f>
        <v/>
      </c>
      <c r="BR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15,46))," ",""),"!",""),CHAR(34),""),"#",""),"$",""),"%",""),"&amp;",""),"'",""),"(",""),")",""),"*",""),"+",""),",",""),"-",""),".",""),"/",""),":",""),";",""),"&lt;",""),"=",""),"&gt;",""),"?",""),"@",""),"[",""),"\",""),"]",""),"^",""),"_",""),"`",""),"{",""),"|",""),"}",""),"~",""),CHAR(9),""),CHAR(10),""),CHAR(13),"")," ",""),"")</f>
        <v/>
      </c>
      <c r="BS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15,47))," ",""),"!",""),CHAR(34),""),"#",""),"$",""),"%",""),"&amp;",""),"'",""),"(",""),")",""),"*",""),"+",""),",",""),"-",""),".",""),"/",""),":",""),";",""),"&lt;",""),"=",""),"&gt;",""),"?",""),"@",""),"[",""),"\",""),"]",""),"^",""),"_",""),"`",""),"{",""),"|",""),"}",""),"~",""),CHAR(9),""),CHAR(10),""),CHAR(13),"")," ",""),"")</f>
        <v/>
      </c>
      <c r="BT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15,48))," ",""),"!",""),CHAR(34),""),"#",""),"$",""),"%",""),"&amp;",""),"'",""),"(",""),")",""),"*",""),"+",""),",",""),"-",""),".",""),"/",""),":",""),";",""),"&lt;",""),"=",""),"&gt;",""),"?",""),"@",""),"[",""),"\",""),"]",""),"^",""),"_",""),"`",""),"{",""),"|",""),"}",""),"~",""),CHAR(9),""),CHAR(10),""),CHAR(13),"")," ",""),"")</f>
        <v/>
      </c>
      <c r="BU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15,49))," ",""),"!",""),CHAR(34),""),"#",""),"$",""),"%",""),"&amp;",""),"'",""),"(",""),")",""),"*",""),"+",""),",",""),"-",""),".",""),"/",""),":",""),";",""),"&lt;",""),"=",""),"&gt;",""),"?",""),"@",""),"[",""),"\",""),"]",""),"^",""),"_",""),"`",""),"{",""),"|",""),"}",""),"~",""),CHAR(9),""),CHAR(10),""),CHAR(13),"")," ",""),"")</f>
        <v/>
      </c>
      <c r="BV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15,50))," ",""),"!",""),CHAR(34),""),"#",""),"$",""),"%",""),"&amp;",""),"'",""),"(",""),")",""),"*",""),"+",""),",",""),"-",""),".",""),"/",""),":",""),";",""),"&lt;",""),"=",""),"&gt;",""),"?",""),"@",""),"[",""),"\",""),"]",""),"^",""),"_",""),"`",""),"{",""),"|",""),"}",""),"~",""),CHAR(9),""),CHAR(10),""),CHAR(13),"")," ",""),"")</f>
        <v/>
      </c>
      <c r="BW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15,51))," ",""),"!",""),CHAR(34),""),"#",""),"$",""),"%",""),"&amp;",""),"'",""),"(",""),")",""),"*",""),"+",""),",",""),"-",""),".",""),"/",""),":",""),";",""),"&lt;",""),"=",""),"&gt;",""),"?",""),"@",""),"[",""),"\",""),"]",""),"^",""),"_",""),"`",""),"{",""),"|",""),"}",""),"~",""),CHAR(9),""),CHAR(10),""),CHAR(13),"")," ",""),"")</f>
        <v/>
      </c>
      <c r="BX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15,52))," ",""),"!",""),CHAR(34),""),"#",""),"$",""),"%",""),"&amp;",""),"'",""),"(",""),")",""),"*",""),"+",""),",",""),"-",""),".",""),"/",""),":",""),";",""),"&lt;",""),"=",""),"&gt;",""),"?",""),"@",""),"[",""),"\",""),"]",""),"^",""),"_",""),"`",""),"{",""),"|",""),"}",""),"~",""),CHAR(9),""),CHAR(10),""),CHAR(13),"")," ",""),"")</f>
        <v/>
      </c>
      <c r="BY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15,53))," ",""),"!",""),CHAR(34),""),"#",""),"$",""),"%",""),"&amp;",""),"'",""),"(",""),")",""),"*",""),"+",""),",",""),"-",""),".",""),"/",""),":",""),";",""),"&lt;",""),"=",""),"&gt;",""),"?",""),"@",""),"[",""),"\",""),"]",""),"^",""),"_",""),"`",""),"{",""),"|",""),"}",""),"~",""),CHAR(9),""),CHAR(10),""),CHAR(13),"")," ",""),"")</f>
        <v/>
      </c>
      <c r="BZ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15,54))," ",""),"!",""),CHAR(34),""),"#",""),"$",""),"%",""),"&amp;",""),"'",""),"(",""),")",""),"*",""),"+",""),",",""),"-",""),".",""),"/",""),":",""),";",""),"&lt;",""),"=",""),"&gt;",""),"?",""),"@",""),"[",""),"\",""),"]",""),"^",""),"_",""),"`",""),"{",""),"|",""),"}",""),"~",""),CHAR(9),""),CHAR(10),""),CHAR(13),"")," ",""),"")</f>
        <v/>
      </c>
      <c r="CA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15,55))," ",""),"!",""),CHAR(34),""),"#",""),"$",""),"%",""),"&amp;",""),"'",""),"(",""),")",""),"*",""),"+",""),",",""),"-",""),".",""),"/",""),":",""),";",""),"&lt;",""),"=",""),"&gt;",""),"?",""),"@",""),"[",""),"\",""),"]",""),"^",""),"_",""),"`",""),"{",""),"|",""),"}",""),"~",""),CHAR(9),""),CHAR(10),""),CHAR(13),"")," ",""),"")</f>
        <v/>
      </c>
      <c r="CB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15,56))," ",""),"!",""),CHAR(34),""),"#",""),"$",""),"%",""),"&amp;",""),"'",""),"(",""),")",""),"*",""),"+",""),",",""),"-",""),".",""),"/",""),":",""),";",""),"&lt;",""),"=",""),"&gt;",""),"?",""),"@",""),"[",""),"\",""),"]",""),"^",""),"_",""),"`",""),"{",""),"|",""),"}",""),"~",""),CHAR(9),""),CHAR(10),""),CHAR(13),"")," ",""),"")</f>
        <v/>
      </c>
      <c r="CC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15,57))," ",""),"!",""),CHAR(34),""),"#",""),"$",""),"%",""),"&amp;",""),"'",""),"(",""),")",""),"*",""),"+",""),",",""),"-",""),".",""),"/",""),":",""),";",""),"&lt;",""),"=",""),"&gt;",""),"?",""),"@",""),"[",""),"\",""),"]",""),"^",""),"_",""),"`",""),"{",""),"|",""),"}",""),"~",""),CHAR(9),""),CHAR(10),""),CHAR(13),"")," ",""),"")</f>
        <v/>
      </c>
      <c r="CD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15,58))," ",""),"!",""),CHAR(34),""),"#",""),"$",""),"%",""),"&amp;",""),"'",""),"(",""),")",""),"*",""),"+",""),",",""),"-",""),".",""),"/",""),":",""),";",""),"&lt;",""),"=",""),"&gt;",""),"?",""),"@",""),"[",""),"\",""),"]",""),"^",""),"_",""),"`",""),"{",""),"|",""),"}",""),"~",""),CHAR(9),""),CHAR(10),""),CHAR(13),"")," ",""),"")</f>
        <v/>
      </c>
      <c r="CE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15,59))," ",""),"!",""),CHAR(34),""),"#",""),"$",""),"%",""),"&amp;",""),"'",""),"(",""),")",""),"*",""),"+",""),",",""),"-",""),".",""),"/",""),":",""),";",""),"&lt;",""),"=",""),"&gt;",""),"?",""),"@",""),"[",""),"\",""),"]",""),"^",""),"_",""),"`",""),"{",""),"|",""),"}",""),"~",""),CHAR(9),""),CHAR(10),""),CHAR(13),"")," ",""),"")</f>
        <v/>
      </c>
      <c r="CF1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15,60))," ",""),"!",""),CHAR(34),""),"#",""),"$",""),"%",""),"&amp;",""),"'",""),"(",""),")",""),"*",""),"+",""),",",""),"-",""),".",""),"/",""),":",""),";",""),"&lt;",""),"=",""),"&gt;",""),"?",""),"@",""),"[",""),"\",""),"]",""),"^",""),"_",""),"`",""),"{",""),"|",""),"}",""),"~",""),CHAR(9),""),CHAR(10),""),CHAR(13),"")," ",""),"")</f>
        <v/>
      </c>
      <c r="CH19">
        <f>COUNTIF($Y64:$CF64,"&gt;0")</f>
        <v/>
      </c>
      <c r="CI19">
        <f>COUNTIF($Y64:$CF64,2)</f>
        <v/>
      </c>
      <c r="CJ19">
        <f>SUMPRODUCT((COUNTIF($Y109:$CF109,{1,2,3,4,5,6,7,8,9,10,11,12,13,14,15})&gt;0)*{2,4,8,16,32,64,128,256,512,1024,2048,4096,8192,16384,32768})</f>
        <v/>
      </c>
      <c r="CK19">
        <f>CF199</f>
        <v/>
      </c>
      <c r="CL19">
        <f>SUMPRODUCT(MOD(INT(((CJ19+CK19))/{2,4,8,16,32,64,128,256,512,1024,2048,4096,8192,16384,32768}),2))</f>
        <v/>
      </c>
      <c r="CM19">
        <f>IF(CH19&lt;2,-9999,CL19+2*MOD(INT(((CJ19+CK19))/2),2)+2*MOD(INT(((CJ19+CK19))/4),2)-CI19)</f>
        <v/>
      </c>
      <c r="DA19" t="n">
        <v>15</v>
      </c>
      <c r="DB19">
        <f>IF($B$37=0,"",IFERROR(TRIM(SUBSTITUTE(SUBSTITUTE(SUBSTITUTE(SUBSTITUTE(INDEX(PASTE_ALL,15,$B$37)," "," "),CHAR(9)," "),CHAR(10)," "),CHAR(13)," ")),""))</f>
        <v/>
      </c>
      <c r="DC19">
        <f>IF(AND(15&gt;HEADER_ROW,UPPER(DB19)="LEGEND"),1,0)</f>
        <v/>
      </c>
      <c r="DE19" t="n">
        <v>15</v>
      </c>
      <c r="DF19">
        <f>HEADER_ROW+$DE19</f>
        <v/>
      </c>
      <c r="DG19">
        <f>IF(AND($DF19&lt;=1000,$DF19&lt;$B$8),1,0)</f>
        <v/>
      </c>
      <c r="DH19">
        <f>IF($DG19=1,IFERROR(INDEX($DB$5:$DB$1004,$DF19),""),"")</f>
        <v/>
      </c>
      <c r="DI19">
        <f>IF(AND($DG19=1,$DH19&lt;&gt;""),IFERROR(SUBSTITUTE(SUBSTITUTE(TRIM(SUBSTITUTE(SUBSTITUTE(SUBSTITUTE(SUBSTITUTE(IFERROR(INDEX(PASTE_ALL,$DF19,1)&amp;"","")&amp;"␟"&amp;IFERROR(INDEX(PASTE_ALL,$DF19,2)&amp;"","")&amp;"␟"&amp;IFERROR(INDEX(PASTE_ALL,$DF19,3)&amp;"","")&amp;"␟"&amp;IFERROR(INDEX(PASTE_ALL,$DF19,4)&amp;"","")&amp;"␟"&amp;IFERROR(INDEX(PASTE_ALL,$DF19,5)&amp;"","")&amp;"␟"&amp;IFERROR(INDEX(PASTE_ALL,$DF19,6)&amp;"","")&amp;"␟"&amp;IFERROR(INDEX(PASTE_ALL,$DF19,7)&amp;"","")&amp;"␟"&amp;IFERROR(INDEX(PASTE_ALL,$DF19,8)&amp;"","")&amp;"␟"&amp;IFERROR(INDEX(PASTE_ALL,$DF19,9)&amp;"","")&amp;"␟"&amp;IFERROR(INDEX(PASTE_ALL,$DF19,10)&amp;"","")&amp;"␟"&amp;IFERROR(INDEX(PASTE_ALL,$DF19,11)&amp;"","")&amp;"␟"&amp;IFERROR(INDEX(PASTE_ALL,$DF19,12)&amp;"","")&amp;"␟"&amp;IFERROR(INDEX(PASTE_ALL,$DF19,13)&amp;"","")&amp;"␟"&amp;IFERROR(INDEX(PASTE_ALL,$DF19,14)&amp;"","")&amp;"␟"&amp;IFERROR(INDEX(PASTE_ALL,$DF19,15)&amp;"","")&amp;"␟"&amp;IFERROR(INDEX(PASTE_ALL,$DF19,16)&amp;"","")&amp;"␟"&amp;IFERROR(INDEX(PASTE_ALL,$DF19,17)&amp;"","")&amp;"␟"&amp;IFERROR(INDEX(PASTE_ALL,$DF19,18)&amp;"","")&amp;"␟"&amp;IFERROR(INDEX(PASTE_ALL,$DF19,19)&amp;"","")&amp;"␟"&amp;IFERROR(INDEX(PASTE_ALL,$DF19,20)&amp;"","")&amp;"␟"&amp;IFERROR(INDEX(PASTE_ALL,$DF19,21)&amp;"","")&amp;"␟"&amp;IFERROR(INDEX(PASTE_ALL,$DF19,22)&amp;"","")&amp;"␟"&amp;IFERROR(INDEX(PASTE_ALL,$DF19,23)&amp;"","")&amp;"␟"&amp;IFERROR(INDEX(PASTE_ALL,$DF19,24)&amp;"","")&amp;"␟"&amp;IFERROR(INDEX(PASTE_ALL,$DF19,25)&amp;"","")&amp;"␟"&amp;IFERROR(INDEX(PASTE_ALL,$DF19,26)&amp;"","")&amp;"␟"&amp;IFERROR(INDEX(PASTE_ALL,$DF19,27)&amp;"","")&amp;"␟"&amp;IFERROR(INDEX(PASTE_ALL,$DF19,28)&amp;"","")&amp;"␟"&amp;IFERROR(INDEX(PASTE_ALL,$DF19,29)&amp;"","")&amp;"␟"&amp;IFERROR(INDEX(PASTE_ALL,$DF19,30)&amp;"","")&amp;"␟"&amp;IFERROR(INDEX(PASTE_ALL,$DF19,31)&amp;"","")&amp;"␟"&amp;IFERROR(INDEX(PASTE_ALL,$DF19,32)&amp;"","")&amp;"␟"&amp;IFERROR(INDEX(PASTE_ALL,$DF19,33)&amp;"","")&amp;"␟"&amp;IFERROR(INDEX(PASTE_ALL,$DF19,34)&amp;"","")&amp;"␟"&amp;IFERROR(INDEX(PASTE_ALL,$DF19,35)&amp;"","")&amp;"␟"&amp;IFERROR(INDEX(PASTE_ALL,$DF19,36)&amp;"","")&amp;"␟"&amp;IFERROR(INDEX(PASTE_ALL,$DF19,37)&amp;"","")&amp;"␟"&amp;IFERROR(INDEX(PASTE_ALL,$DF19,38)&amp;"","")&amp;"␟"&amp;IFERROR(INDEX(PASTE_ALL,$DF19,39)&amp;"","")&amp;"␟"&amp;IFERROR(INDEX(PASTE_ALL,$DF19,40)&amp;"","")&amp;"␟"&amp;IFERROR(INDEX(PASTE_ALL,$DF19,41)&amp;"","")&amp;"␟"&amp;IFERROR(INDEX(PASTE_ALL,$DF19,42)&amp;"","")&amp;"␟"&amp;IFERROR(INDEX(PASTE_ALL,$DF19,43)&amp;"","")&amp;"␟"&amp;IFERROR(INDEX(PASTE_ALL,$DF19,44)&amp;"","")&amp;"␟"&amp;IFERROR(INDEX(PASTE_ALL,$DF19,45)&amp;"","")&amp;"␟"&amp;IFERROR(INDEX(PASTE_ALL,$DF19,46)&amp;"","")&amp;"␟"&amp;IFERROR(INDEX(PASTE_ALL,$DF19,47)&amp;"","")&amp;"␟"&amp;IFERROR(INDEX(PASTE_ALL,$DF19,48)&amp;"","")&amp;"␟"&amp;IFERROR(INDEX(PASTE_ALL,$DF19,49)&amp;"","")&amp;"␟"&amp;IFERROR(INDEX(PASTE_ALL,$DF19,50)&amp;"","")&amp;"␟"&amp;IFERROR(INDEX(PASTE_ALL,$DF19,51)&amp;"","")&amp;"␟"&amp;IFERROR(INDEX(PASTE_ALL,$DF19,52)&amp;"","")&amp;"␟"&amp;IFERROR(INDEX(PASTE_ALL,$DF19,53)&amp;"","")&amp;"␟"&amp;IFERROR(INDEX(PASTE_ALL,$DF19,54)&amp;"","")&amp;"␟"&amp;IFERROR(INDEX(PASTE_ALL,$DF19,55)&amp;"","")&amp;"␟"&amp;IFERROR(INDEX(PASTE_ALL,$DF19,56)&amp;"","")&amp;"␟"&amp;IFERROR(INDEX(PASTE_ALL,$DF19,57)&amp;"","")&amp;"␟"&amp;IFERROR(INDEX(PASTE_ALL,$DF19,58)&amp;"","")&amp;"␟"&amp;IFERROR(INDEX(PASTE_ALL,$DF19,59)&amp;"","")&amp;"␟"&amp;IFERROR(INDEX(PASTE_ALL,$DF19,60)&amp;"","")," "," "),CHAR(9)," "),CHAR(10)," "),CHAR(13)," "))," ␟","␟"),"␟ ","␟"),"#"&amp;$DE19),"")</f>
        <v/>
      </c>
      <c r="DJ19">
        <f>IF($DI19="",0,IF(SUMPRODUCT(--EXACT($DI$4:DI18,$DI19))&gt;0,1,0))</f>
        <v/>
      </c>
      <c r="DK19">
        <f>IF(AND($DI19&lt;&gt;"",$DJ19=0),1,0)</f>
        <v/>
      </c>
      <c r="DL19">
        <f>DL18+$DK19</f>
        <v/>
      </c>
      <c r="DM19">
        <f>IF(AND($DK19=1,$DL19&lt;=600),1,0)</f>
        <v/>
      </c>
      <c r="DN19">
        <f>IF($DM19=0,"",IF($L$6=0,"",IFERROR(IF(ISNUMBER(INDEX(PASTE_ALL,$DF19,$L$6)),INDEX(PASTE_ALL,$DF19,$L$6),TRIM(SUBSTITUTE(SUBSTITUTE(SUBSTITUTE(SUBSTITUTE(INDEX(PASTE_ALL,$DF19,$L$6)," "," "),CHAR(9)," "),CHAR(10)," "),CHAR(13)," "))),"")))</f>
        <v/>
      </c>
      <c r="DO19">
        <f>IF($DM19=0,"",IF($L$7=0,"",IFERROR(IF(ISNUMBER(INDEX(PASTE_ALL,$DF19,$L$7)),INDEX(PASTE_ALL,$DF19,$L$7),TRIM(SUBSTITUTE(SUBSTITUTE(SUBSTITUTE(SUBSTITUTE(INDEX(PASTE_ALL,$DF19,$L$7)," "," "),CHAR(9)," "),CHAR(10)," "),CHAR(13)," "))),"")))</f>
        <v/>
      </c>
      <c r="DP19">
        <f>IF($DM19=0,"",IF($L$8=0,"",IFERROR(IF(ISNUMBER(INDEX(PASTE_ALL,$DF19,$L$8)),INDEX(PASTE_ALL,$DF19,$L$8),TRIM(SUBSTITUTE(SUBSTITUTE(SUBSTITUTE(SUBSTITUTE(INDEX(PASTE_ALL,$DF19,$L$8)," "," "),CHAR(9)," "),CHAR(10)," "),CHAR(13)," "))),"")))</f>
        <v/>
      </c>
      <c r="DQ19">
        <f>IF($DM19=0,"",IF($L$9=0,"",IFERROR(IF(ISNUMBER(INDEX(PASTE_ALL,$DF19,$L$9)),INDEX(PASTE_ALL,$DF19,$L$9),TRIM(SUBSTITUTE(SUBSTITUTE(SUBSTITUTE(SUBSTITUTE(INDEX(PASTE_ALL,$DF19,$L$9)," "," "),CHAR(9)," "),CHAR(10)," "),CHAR(13)," "))),"")))</f>
        <v/>
      </c>
      <c r="DR19">
        <f>IF($DM19=0,"",IF($L$10=0,"",IFERROR(IF(ISNUMBER(INDEX(PASTE_ALL,$DF19,$L$10)),INDEX(PASTE_ALL,$DF19,$L$10),TRIM(SUBSTITUTE(SUBSTITUTE(SUBSTITUTE(SUBSTITUTE(INDEX(PASTE_ALL,$DF19,$L$10)," "," "),CHAR(9)," "),CHAR(10)," "),CHAR(13)," "))),"")))</f>
        <v/>
      </c>
      <c r="DS19">
        <f>IF($DM19=0,"",IF($L$11=0,"",IFERROR(IF(ISNUMBER(INDEX(PASTE_ALL,$DF19,$L$11)),INDEX(PASTE_ALL,$DF19,$L$11),TRIM(SUBSTITUTE(SUBSTITUTE(SUBSTITUTE(SUBSTITUTE(INDEX(PASTE_ALL,$DF19,$L$11)," "," "),CHAR(9)," "),CHAR(10)," "),CHAR(13)," "))),"")))</f>
        <v/>
      </c>
      <c r="DT19">
        <f>IF($DM19=0,"",IF($L$12=0,"",IFERROR(IF(ISNUMBER(INDEX(PASTE_ALL,$DF19,$L$12)),INDEX(PASTE_ALL,$DF19,$L$12),TRIM(SUBSTITUTE(SUBSTITUTE(SUBSTITUTE(SUBSTITUTE(INDEX(PASTE_ALL,$DF19,$L$12)," "," "),CHAR(9)," "),CHAR(10)," "),CHAR(13)," "))),"")))</f>
        <v/>
      </c>
      <c r="DU19">
        <f>IF($DM19=0,"",IF($L$13=0,"",IFERROR(IF(ISNUMBER(INDEX(PASTE_ALL,$DF19,$L$13)),INDEX(PASTE_ALL,$DF19,$L$13),TRIM(SUBSTITUTE(SUBSTITUTE(SUBSTITUTE(SUBSTITUTE(INDEX(PASTE_ALL,$DF19,$L$13)," "," "),CHAR(9)," "),CHAR(10)," "),CHAR(13)," "))),"")))</f>
        <v/>
      </c>
      <c r="DV19">
        <f>IF($DM19=0,"",IF($L$14=0,"",IFERROR(IF(ISNUMBER(INDEX(PASTE_ALL,$DF19,$L$14)),INDEX(PASTE_ALL,$DF19,$L$14),TRIM(SUBSTITUTE(SUBSTITUTE(SUBSTITUTE(SUBSTITUTE(INDEX(PASTE_ALL,$DF19,$L$14)," "," "),CHAR(9)," "),CHAR(10)," "),CHAR(13)," "))),"")))</f>
        <v/>
      </c>
      <c r="DW19">
        <f>IF($DM19=0,"",IF($L$15=0,"",IFERROR(IF(ISNUMBER(INDEX(PASTE_ALL,$DF19,$L$15)),INDEX(PASTE_ALL,$DF19,$L$15),IF(SUMPRODUCT(--ISNUMBER(FIND({"A","B","C","D","E","F","G","H","I","J","K","L","M","N","O","P","Q","R","S","T","U","V","W","X","Y","Z","0","1","2","3","4","5","6","7","8","9"},UPPER(TRIM(SUBSTITUTE(SUBSTITUTE(SUBSTITUTE(SUBSTITUTE(INDEX(PASTE_ALL,$DF19,$L$15)," "," "),CHAR(9)," "),CHAR(10)," "),CHAR(13)," "))))))&gt;0,TRIM(SUBSTITUTE(SUBSTITUTE(SUBSTITUTE(SUBSTITUTE(INDEX(PASTE_ALL,$DF19,$L$15)," "," "),CHAR(9)," "),CHAR(10)," "),CHAR(13)," ")),"")),"")))</f>
        <v/>
      </c>
      <c r="DX19">
        <f>IF($DM19=0,"",IF($L$16=0,"",IFERROR(IF(ISNUMBER(INDEX(PASTE_ALL,$DF19,$L$16)),INDEX(PASTE_ALL,$DF19,$L$16),SUBSTITUTE(SUBSTITUTE(TRIM(SUBSTITUTE(SUBSTITUTE(SUBSTITUTE(SUBSTITUTE(INDEX(PASTE_ALL,$DF19,$L$16)," "," "),CHAR(9)," "),CHAR(10)," "),CHAR(13)," ")),",",""),"%","")),"")))</f>
        <v/>
      </c>
      <c r="DY19">
        <f>IF($DM19=0,"",IFERROR(IF(ISNUMBER($DX19),$DX19,IF($DX19="","",IF(TRIM($DX19)="",0,IF(AND(AND(SUBSTITUTE(SUBSTITUTE(SUBSTITUTE(SUBSTITUTE(SUBSTITUTE(SUBSTITUTE(SUBSTITUTE(SUBSTITUTE(SUBSTITUTE(SUBSTITUTE(SUBSTITUTE(SUBSTITUTE(SUBSTITUTE(SUBSTITUTE(UPPER(TRIM($DX19)),"0",""),"1",""),"2",""),"3",""),"4",""),"5",""),"6",""),"7",""),"8",""),"9",""),".",""),"+",""),"-",""),"E","")="",LEN(SUBSTITUTE(SUBSTITUTE(MID(UPPER(TRIM($DX19)),1+OR(LEFT(UPPER(TRIM($DX19)),1)="+",LEFT(UPPER(TRIM($DX19)),1)="-"),999),"E+","E"),"E-","E"))=LEN(SUBSTITUTE(SUBSTITUTE(SUBSTITUTE(SUBSTITUTE(MID(UPPER(TRIM($DX19)),1+OR(LEFT(UPPER(TRIM($DX19)),1)="+",LEFT(UPPER(TRIM($DX19)),1)="-"),999),"E+","E"),"E-","E"),"+",""),"-","")),LEN(UPPER(TRIM($DX19)))-LEN(SUBSTITUTE(UPPER(TRIM($DX19)),"E",""))&lt;2,LEN(UPPER(TRIM($DX19)))-LEN(SUBSTITUTE(UPPER(TRIM($DX19)),".",""))&lt;2,IFERROR(FIND(".",UPPER(TRIM($DX19))),0)&lt;IFERROR(FIND("E",UPPER(TRIM($DX19))),999)),ISNUMBER(VALUE(TRIM($DX19)))),VALUE(TRIM($DX19)),"")))),""))</f>
        <v/>
      </c>
      <c r="DZ19">
        <f>IF($DM19=0,"",IF($L$17=0,"",IFERROR(IF(ISNUMBER(INDEX(PASTE_ALL,$DF19,$L$17)),INDEX(PASTE_ALL,$DF19,$L$17),SUBSTITUTE(SUBSTITUTE(TRIM(SUBSTITUTE(SUBSTITUTE(SUBSTITUTE(SUBSTITUTE(INDEX(PASTE_ALL,$DF19,$L$17)," "," "),CHAR(9)," "),CHAR(10)," "),CHAR(13)," ")),",",""),"%","")),"")))</f>
        <v/>
      </c>
      <c r="EA19">
        <f>IF($DM19=0,"",IFERROR(IF(ISNUMBER($DZ19),$DZ19,IF($DZ19="","",IF(TRIM($DZ19)="",0,IF(AND(AND(SUBSTITUTE(SUBSTITUTE(SUBSTITUTE(SUBSTITUTE(SUBSTITUTE(SUBSTITUTE(SUBSTITUTE(SUBSTITUTE(SUBSTITUTE(SUBSTITUTE(SUBSTITUTE(SUBSTITUTE(SUBSTITUTE(SUBSTITUTE(UPPER(TRIM($DZ19)),"0",""),"1",""),"2",""),"3",""),"4",""),"5",""),"6",""),"7",""),"8",""),"9",""),".",""),"+",""),"-",""),"E","")="",LEN(SUBSTITUTE(SUBSTITUTE(MID(UPPER(TRIM($DZ19)),1+OR(LEFT(UPPER(TRIM($DZ19)),1)="+",LEFT(UPPER(TRIM($DZ19)),1)="-"),999),"E+","E"),"E-","E"))=LEN(SUBSTITUTE(SUBSTITUTE(SUBSTITUTE(SUBSTITUTE(MID(UPPER(TRIM($DZ19)),1+OR(LEFT(UPPER(TRIM($DZ19)),1)="+",LEFT(UPPER(TRIM($DZ19)),1)="-"),999),"E+","E"),"E-","E"),"+",""),"-","")),LEN(UPPER(TRIM($DZ19)))-LEN(SUBSTITUTE(UPPER(TRIM($DZ19)),"E",""))&lt;2,LEN(UPPER(TRIM($DZ19)))-LEN(SUBSTITUTE(UPPER(TRIM($DZ19)),".",""))&lt;2,IFERROR(FIND(".",UPPER(TRIM($DZ19))),0)&lt;IFERROR(FIND("E",UPPER(TRIM($DZ19))),999)),ISNUMBER(VALUE(TRIM($DZ19)))),VALUE(TRIM($DZ19)),"")))),""))</f>
        <v/>
      </c>
      <c r="EB19">
        <f>IF($DM19=0,"",IF($L$18=0,"",IFERROR(IF(UPPER(TRIM(SUBSTITUTE(SUBSTITUTE(SUBSTITUTE(SUBSTITUTE(INDEX(PASTE_ALL,$DF19,$L$18)," "," "),CHAR(9)," "),CHAR(10)," "),CHAR(13)," ")))="READY","Ready",IF(UPPER(TRIM(SUBSTITUTE(SUBSTITUTE(SUBSTITUTE(SUBSTITUTE(INDEX(PASTE_ALL,$DF19,$L$18)," "," "),CHAR(9)," "),CHAR(10)," "),CHAR(13)," ")))="PM","PM",IF(OR(UPPER(TRIM(SUBSTITUTE(SUBSTITUTE(SUBSTITUTE(SUBSTITUTE(INDEX(PASTE_ALL,$DF19,$L$18)," "," "),CHAR(9)," "),CHAR(10)," "),CHAR(13)," ")))="OT",UPPER(TRIM(SUBSTITUTE(SUBSTITUTE(SUBSTITUTE(SUBSTITUTE(INDEX(PASTE_ALL,$DF19,$L$18)," "," "),CHAR(9)," "),CHAR(10)," "),CHAR(13)," ")))="OVERTIME",UPPER(TRIM(SUBSTITUTE(SUBSTITUTE(SUBSTITUTE(SUBSTITUTE(INDEX(PASTE_ALL,$DF19,$L$18)," "," "),CHAR(9)," "),CHAR(10)," "),CHAR(13)," ")))="TRIAL"),"OT",TRIM(SUBSTITUTE(SUBSTITUTE(SUBSTITUTE(SUBSTITUTE(INDEX(PASTE_ALL,$DF19,$L$18)," "," "),CHAR(9)," "),CHAR(10)," "),CHAR(13)," "))))),"")))</f>
        <v/>
      </c>
      <c r="EC19">
        <f>IF($DM19=0,"",IF($L$19=0,"",IFERROR(IF(ISNUMBER(INDEX(PASTE_ALL,$DF19,$L$19)),INDEX(PASTE_ALL,$DF19,$L$19),TRIM(SUBSTITUTE(SUBSTITUTE(SUBSTITUTE(SUBSTITUTE(INDEX(PASTE_ALL,$DF19,$L$19)," "," "),CHAR(9)," "),CHAR(10)," "),CHAR(13)," "))),"")))</f>
        <v/>
      </c>
      <c r="ED19">
        <f>IF($DM19=0,"",MATCH(1,INDEX(EXACT($DH$5:DH19,$DH19)*$DM$5:DM19,0),0))</f>
        <v/>
      </c>
      <c r="EE19">
        <f>IF($DM19=0,0,IF($ED19=$DE19,1,0))</f>
        <v/>
      </c>
      <c r="EF19">
        <f>EF18+$EE19</f>
        <v/>
      </c>
      <c r="EG19">
        <f>IF($DM19=0,"",INDEX($EF$5:$EF$1003,$ED19))</f>
        <v/>
      </c>
      <c r="EH19">
        <f>IF($DM19=0,"",IF($DO19&lt;&gt;"","",IFERROR(LOOKUP(2,1/(($EG$4:EG18=$EG19)*($DO$4:DO18&lt;&gt;"")),$DO$4:DO18),"")))</f>
        <v/>
      </c>
      <c r="EI19">
        <f>IF($DM19=0,"",IF($DO19&lt;&gt;"",$DO19,$EH19))</f>
        <v/>
      </c>
      <c r="EJ19">
        <f>IF($DM19=0,"",IF($EI19="",0,IF(OR(ISNUMBER($EI19),AND(AND(SUBSTITUTE(SUBSTITUTE(SUBSTITUTE(SUBSTITUTE(SUBSTITUTE(SUBSTITUTE(SUBSTITUTE(SUBSTITUTE(SUBSTITUTE(SUBSTITUTE(SUBSTITUTE(SUBSTITUTE(SUBSTITUTE(SUBSTITUTE(UPPER($EI19),"0",""),"1",""),"2",""),"3",""),"4",""),"5",""),"6",""),"7",""),"8",""),"9",""),".",""),"+",""),"-",""),"E","")="",LEN(SUBSTITUTE(SUBSTITUTE(MID(UPPER($EI19),1+OR(LEFT(UPPER($EI19),1)="+",LEFT(UPPER($EI19),1)="-"),999),"E+","E"),"E-","E"))=LEN(SUBSTITUTE(SUBSTITUTE(SUBSTITUTE(SUBSTITUTE(MID(UPPER($EI19),1+OR(LEFT(UPPER($EI19),1)="+",LEFT(UPPER($EI19),1)="-"),999),"E+","E"),"E-","E"),"+",""),"-","")),LEN(UPPER($EI19))-LEN(SUBSTITUTE(UPPER($EI19),"E",""))&lt;2,LEN(UPPER($EI19))-LEN(SUBSTITUTE(UPPER($EI19),".",""))&lt;2,IFERROR(FIND(".",UPPER($EI19)),0)&lt;IFERROR(FIND("E",UPPER($EI19)),999)),ISNUMBER(VALUE($EI19)))),1,2)))</f>
        <v/>
      </c>
      <c r="EK19">
        <f>IF($DM19=0,"",IF($EJ19=1,IF(ISNUMBER($EI19),$EI19,VALUE($EI19)),IF($EJ19=2,$DE19,0)))</f>
        <v/>
      </c>
      <c r="EL19">
        <f>IF($DM19=0,"",COUNTIF($EG$5:$EG$1003,"&lt;"&amp;$EG19)+SUMPRODUCT(($EG$5:$EG$1003=$EG19)*(($EJ$5:$EJ$1003&lt;$EJ19)+($EJ$5:$EJ$1003=$EJ19)*(($EK$5:$EK$1003&lt;$EK19)+($EK$5:$EK$1003=$EK19)*($DE$5:$DE$1003&lt;$DE19))))+1)</f>
        <v/>
      </c>
      <c r="EM19">
        <f>IF($DM19=0,"",$EL19+$EG19-1)</f>
        <v/>
      </c>
      <c r="EN19">
        <f>IF($DM19=0,0,IFERROR(MATCH(1,INDEX(--(TRIM(SUBSTITUTE(SUBSTITUTE(SUBSTITUTE(SUBSTITUTE(LINES_NAME&amp;""," "," "),CHAR(9)," "),CHAR(10)," "),CHAR(13)," "))=$DH19),0),0),0))</f>
        <v/>
      </c>
      <c r="EO19">
        <f>IF($EN19=0,0,IF(OR(UPPER(TRIM(INDEX(LINES_SCHEDULED,$EN19)&amp;""))="YES",UPPER(TRIM(INDEX(LINES_SCHEDULED,$EN19)&amp;""))="Y",UPPER(TRIM(INDEX(LINES_SCHEDULED,$EN19)&amp;""))="X"),1,0))</f>
        <v/>
      </c>
      <c r="EP19">
        <f>IF($DM19=0,"",IF(COUNTIFS($EG$5:$EG$1003,$EG19,$EB$5:$EB$1003,"Ready")&gt;0,"READY",IF(COUNTIFS($EG$5:$EG$1003,$EG19,$EB$5:$EB$1003,"PM")&gt;0,"PM",IF(COUNTIFS($EG$5:$EG$1003,$EG19,$EB$5:$EB$1003,"OT")&gt;0,"OT",""))))</f>
        <v/>
      </c>
      <c r="EQ19">
        <f>IF($EN19=0,"",UPPER(TRIM(INDEX(LINES_STATUS,$EN19)&amp;"")))</f>
        <v/>
      </c>
      <c r="ER19">
        <f>IF($DM19=0,"",IF(OR($EQ19="READY",$EQ19="PM",$EQ19="OT"),$EQ19,$EP19))</f>
        <v/>
      </c>
      <c r="ES19">
        <f>IF($DM19=0,"",IF(AND($DV19&lt;&gt;"",UPPER($DV19)&lt;&gt;"N"),"allergen",IF(ISNUMBER(SEARCH("oil",$DQ19)),"oil",IF(OR(EXACT($DS19,"A662"),EXACT($DS19,"A624")),"bulk",""))))</f>
        <v/>
      </c>
      <c r="ET19">
        <f>IF($DM19=0,"",IF(OR($EA19="",$EA19=0),"",$EA19/100))</f>
        <v/>
      </c>
      <c r="EU19">
        <f>IF(OR($ET19="",$DY19=""),"",INT($DY19*(1-$ET19)+0.5))</f>
        <v/>
      </c>
      <c r="EW19" t="n">
        <v>15</v>
      </c>
      <c r="EX19">
        <f>IFERROR(MATCH($EW19,$EM$5:$EM$1003,0),0)</f>
        <v/>
      </c>
      <c r="EY19">
        <f>IF($EW19&gt;$B$12,"",IF($EX19&gt;0,"row","spacer"))</f>
        <v/>
      </c>
      <c r="EZ19">
        <f>IF(AND($EY19="row",$EY18&lt;&gt;"row"),1,0)</f>
        <v/>
      </c>
      <c r="FA19">
        <f>IF(AND($EY19="row",$EY20&lt;&gt;"row"),1,0)</f>
        <v/>
      </c>
      <c r="FB19">
        <f>IF($EZ19=1,IFERROR(IF(ISNUMBER(INDEX(PASTE_ALL,INDEX($DF$5:$DF$1003,$EX19),$B$37)),INDEX(PASTE_ALL,INDEX($DF$5:$DF$1003,$EX19),$B$37),INDEX($DH$5:$DH$1003,$EX19)),INDEX($DH$5:$DH$1003,$EX19)),"")</f>
        <v/>
      </c>
      <c r="FC19">
        <f>IF($EY19="row",INDEX($ER$5:$ER$1003,$EX19),"")</f>
        <v/>
      </c>
      <c r="FD19">
        <f>IF($EY19="row",INDEX($DN$5:$DN$1003,$EX19),"")</f>
        <v/>
      </c>
      <c r="FE19">
        <f>IF($EY19="row",INDEX($DO$5:$DO$1003,$EX19),"")</f>
        <v/>
      </c>
      <c r="FF19">
        <f>IF($EY19="row",INDEX($DP$5:$DP$1003,$EX19),"")</f>
        <v/>
      </c>
      <c r="FG19">
        <f>IF($EY19="row",INDEX($DQ$5:$DQ$1003,$EX19),"")</f>
        <v/>
      </c>
      <c r="FH19">
        <f>IF($EY19="row",INDEX($DR$5:$DR$1003,$EX19),"")</f>
        <v/>
      </c>
      <c r="FI19">
        <f>IF($EY19="row",INDEX($DS$5:$DS$1003,$EX19),"")</f>
        <v/>
      </c>
      <c r="FJ19">
        <f>IF($EY19="row",INDEX($DT$5:$DT$1003,$EX19),"")</f>
        <v/>
      </c>
      <c r="FK19">
        <f>IF($EY19="row",INDEX($DU$5:$DU$1003,$EX19),"")</f>
        <v/>
      </c>
      <c r="FL19">
        <f>IF($EY19="row",INDEX($DV$5:$DV$1003,$EX19),"")</f>
        <v/>
      </c>
      <c r="FM19">
        <f>IF($EY19="row",INDEX($DW$5:$DW$1003,$EX19),"")</f>
        <v/>
      </c>
      <c r="FN19">
        <f>IF($EY19="row",INDEX($DY$5:$DY$1003,$EX19),"")</f>
        <v/>
      </c>
      <c r="FO19">
        <f>IF($EY19="row",INDEX($EA$5:$EA$1003,$EX19),"")</f>
        <v/>
      </c>
      <c r="FP19">
        <f>IF($EY19="row",INDEX($EC$5:$EC$1003,$EX19),"")</f>
        <v/>
      </c>
      <c r="FQ19">
        <f>IF($EY19="row",INDEX($ET$5:$ET$1003,$EX19),"")</f>
        <v/>
      </c>
      <c r="FR19">
        <f>IF($EY19="row",INDEX($EU$5:$EU$1003,$EX19),"")</f>
        <v/>
      </c>
      <c r="FS19">
        <f>IF(AND($EY19="row",$EY18="row"),IF(OR(INDEX($DT$5:$DT$1003,$EX18)="",INDEX($DT$5:$DT$1003,$EX19)=""),"",IF(NOT(EXACT(INDEX($DT$5:$DT$1003,$EX18),INDEX($DT$5:$DT$1003,$EX19))),"S4",IF(NOT(EXACT(INDEX($DS$5:$DS$1003,$EX18),INDEX($DS$5:$DS$1003,$EX19))),"S3",IF(NOT(EXACT(INDEX($DR$5:$DR$1003,$EX18),INDEX($DR$5:$DR$1003,$EX19))),"S1 Count Change","S1")))),"")</f>
        <v/>
      </c>
      <c r="FT19">
        <f>IF($EY19="row",INDEX($ES$5:$ES$1003,$EX19),"")</f>
        <v/>
      </c>
      <c r="FU19">
        <f>IF($EY19="row",INDEX($EO$5:$EO$1003,$EX19),0)</f>
        <v/>
      </c>
      <c r="FV19">
        <f>IF($FS19="S1 Count Change",1,0)</f>
        <v/>
      </c>
      <c r="FX19" t="n">
        <v>15</v>
      </c>
      <c r="FY19">
        <f>IFERROR(MATCH($FX19,$EF$5:$EF$1003,0),0)</f>
        <v/>
      </c>
      <c r="FZ19">
        <f>IF($FY19=0,"",INDEX($DH$5:$DH$1003,$FY19))</f>
        <v/>
      </c>
      <c r="GA19">
        <f>IF($FY19=0,"",COUNTIF($EG$5:$EG$1003,$FX19))</f>
        <v/>
      </c>
      <c r="GB19">
        <f>IF($FY19=0,"",INDEX($ER$5:$ER$1003,$FY19))</f>
        <v/>
      </c>
      <c r="GC19">
        <f>IF($FY19=0,"",IF(INDEX($EO$5:$EO$1003,$FY19)=1,"Yes",""))</f>
        <v/>
      </c>
      <c r="GD19">
        <f>IF($FY19=0,"",IF(INDEX($EN$5:$EN$1003,$FY19)&gt;0,"","NOT IN YOUR LIST - type it in column A to tick it"))</f>
        <v/>
      </c>
      <c r="GE19">
        <f>IF(AND($FY19&gt;0,$GD19&lt;&gt;""),1,0)</f>
        <v/>
      </c>
      <c r="GF19">
        <f>GF18+$GE19</f>
        <v/>
      </c>
      <c r="GG19">
        <f>IFERROR(INDEX($FZ$5:$FZ$104,MATCH($FX19,$GF$5:$GF$104,0)),"")</f>
        <v/>
      </c>
    </row>
    <row r="20">
      <c r="A20" t="inlineStr">
        <is>
          <t>Cells below row 1000</t>
        </is>
      </c>
      <c r="B20">
        <f>IFERROR(IF($B$8&lt;=1000,0,COUNTIF(INDEX(PASTE_ALL,1001,1):INDEX(PASTE_ALL,ROWS(PASTE_ALL),60),"&lt;&gt;")),0)</f>
        <v/>
      </c>
      <c r="S20" t="n">
        <v>16</v>
      </c>
      <c r="T20" t="inlineStr">
        <is>
          <t>P</t>
        </is>
      </c>
      <c r="V20" t="inlineStr">
        <is>
          <t>ORDER</t>
        </is>
      </c>
      <c r="W20" t="n">
        <v>2</v>
      </c>
      <c r="Y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 ",""),"!",""),CHAR(34),""),"#",""),"$",""),"%",""),"&amp;",""),"'",""),"(",""),")",""),"*",""),"+",""),",",""),"-",""),".",""),"/",""),":",""),";",""),"&lt;",""),"=",""),"&gt;",""),"?",""),"@",""),"[",""),"\",""),"]",""),"^",""),"_",""),"`",""),"{",""),"|",""),"}",""),"~",""),CHAR(9),""),CHAR(10),""),CHAR(13),"")," ",""),"")</f>
        <v/>
      </c>
      <c r="Z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 ",""),"!",""),CHAR(34),""),"#",""),"$",""),"%",""),"&amp;",""),"'",""),"(",""),")",""),"*",""),"+",""),",",""),"-",""),".",""),"/",""),":",""),";",""),"&lt;",""),"=",""),"&gt;",""),"?",""),"@",""),"[",""),"\",""),"]",""),"^",""),"_",""),"`",""),"{",""),"|",""),"}",""),"~",""),CHAR(9),""),CHAR(10),""),CHAR(13),"")," ",""),"")</f>
        <v/>
      </c>
      <c r="AA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 ",""),"!",""),CHAR(34),""),"#",""),"$",""),"%",""),"&amp;",""),"'",""),"(",""),")",""),"*",""),"+",""),",",""),"-",""),".",""),"/",""),":",""),";",""),"&lt;",""),"=",""),"&gt;",""),"?",""),"@",""),"[",""),"\",""),"]",""),"^",""),"_",""),"`",""),"{",""),"|",""),"}",""),"~",""),CHAR(9),""),CHAR(10),""),CHAR(13),"")," ",""),"")</f>
        <v/>
      </c>
      <c r="AB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 ",""),"!",""),CHAR(34),""),"#",""),"$",""),"%",""),"&amp;",""),"'",""),"(",""),")",""),"*",""),"+",""),",",""),"-",""),".",""),"/",""),":",""),";",""),"&lt;",""),"=",""),"&gt;",""),"?",""),"@",""),"[",""),"\",""),"]",""),"^",""),"_",""),"`",""),"{",""),"|",""),"}",""),"~",""),CHAR(9),""),CHAR(10),""),CHAR(13),"")," ",""),"")</f>
        <v/>
      </c>
      <c r="AC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 ",""),"!",""),CHAR(34),""),"#",""),"$",""),"%",""),"&amp;",""),"'",""),"(",""),")",""),"*",""),"+",""),",",""),"-",""),".",""),"/",""),":",""),";",""),"&lt;",""),"=",""),"&gt;",""),"?",""),"@",""),"[",""),"\",""),"]",""),"^",""),"_",""),"`",""),"{",""),"|",""),"}",""),"~",""),CHAR(9),""),CHAR(10),""),CHAR(13),"")," ",""),"")</f>
        <v/>
      </c>
      <c r="AD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16,6))," ",""),"!",""),CHAR(34),""),"#",""),"$",""),"%",""),"&amp;",""),"'",""),"(",""),")",""),"*",""),"+",""),",",""),"-",""),".",""),"/",""),":",""),";",""),"&lt;",""),"=",""),"&gt;",""),"?",""),"@",""),"[",""),"\",""),"]",""),"^",""),"_",""),"`",""),"{",""),"|",""),"}",""),"~",""),CHAR(9),""),CHAR(10),""),CHAR(13),"")," ",""),"")</f>
        <v/>
      </c>
      <c r="AE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16,7))," ",""),"!",""),CHAR(34),""),"#",""),"$",""),"%",""),"&amp;",""),"'",""),"(",""),")",""),"*",""),"+",""),",",""),"-",""),".",""),"/",""),":",""),";",""),"&lt;",""),"=",""),"&gt;",""),"?",""),"@",""),"[",""),"\",""),"]",""),"^",""),"_",""),"`",""),"{",""),"|",""),"}",""),"~",""),CHAR(9),""),CHAR(10),""),CHAR(13),"")," ",""),"")</f>
        <v/>
      </c>
      <c r="AF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16,8))," ",""),"!",""),CHAR(34),""),"#",""),"$",""),"%",""),"&amp;",""),"'",""),"(",""),")",""),"*",""),"+",""),",",""),"-",""),".",""),"/",""),":",""),";",""),"&lt;",""),"=",""),"&gt;",""),"?",""),"@",""),"[",""),"\",""),"]",""),"^",""),"_",""),"`",""),"{",""),"|",""),"}",""),"~",""),CHAR(9),""),CHAR(10),""),CHAR(13),"")," ",""),"")</f>
        <v/>
      </c>
      <c r="AG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16,9))," ",""),"!",""),CHAR(34),""),"#",""),"$",""),"%",""),"&amp;",""),"'",""),"(",""),")",""),"*",""),"+",""),",",""),"-",""),".",""),"/",""),":",""),";",""),"&lt;",""),"=",""),"&gt;",""),"?",""),"@",""),"[",""),"\",""),"]",""),"^",""),"_",""),"`",""),"{",""),"|",""),"}",""),"~",""),CHAR(9),""),CHAR(10),""),CHAR(13),"")," ",""),"")</f>
        <v/>
      </c>
      <c r="AH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16,10))," ",""),"!",""),CHAR(34),""),"#",""),"$",""),"%",""),"&amp;",""),"'",""),"(",""),")",""),"*",""),"+",""),",",""),"-",""),".",""),"/",""),":",""),";",""),"&lt;",""),"=",""),"&gt;",""),"?",""),"@",""),"[",""),"\",""),"]",""),"^",""),"_",""),"`",""),"{",""),"|",""),"}",""),"~",""),CHAR(9),""),CHAR(10),""),CHAR(13),"")," ",""),"")</f>
        <v/>
      </c>
      <c r="AI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16,11))," ",""),"!",""),CHAR(34),""),"#",""),"$",""),"%",""),"&amp;",""),"'",""),"(",""),")",""),"*",""),"+",""),",",""),"-",""),".",""),"/",""),":",""),";",""),"&lt;",""),"=",""),"&gt;",""),"?",""),"@",""),"[",""),"\",""),"]",""),"^",""),"_",""),"`",""),"{",""),"|",""),"}",""),"~",""),CHAR(9),""),CHAR(10),""),CHAR(13),"")," ",""),"")</f>
        <v/>
      </c>
      <c r="AJ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16,12))," ",""),"!",""),CHAR(34),""),"#",""),"$",""),"%",""),"&amp;",""),"'",""),"(",""),")",""),"*",""),"+",""),",",""),"-",""),".",""),"/",""),":",""),";",""),"&lt;",""),"=",""),"&gt;",""),"?",""),"@",""),"[",""),"\",""),"]",""),"^",""),"_",""),"`",""),"{",""),"|",""),"}",""),"~",""),CHAR(9),""),CHAR(10),""),CHAR(13),"")," ",""),"")</f>
        <v/>
      </c>
      <c r="AK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16,13))," ",""),"!",""),CHAR(34),""),"#",""),"$",""),"%",""),"&amp;",""),"'",""),"(",""),")",""),"*",""),"+",""),",",""),"-",""),".",""),"/",""),":",""),";",""),"&lt;",""),"=",""),"&gt;",""),"?",""),"@",""),"[",""),"\",""),"]",""),"^",""),"_",""),"`",""),"{",""),"|",""),"}",""),"~",""),CHAR(9),""),CHAR(10),""),CHAR(13),"")," ",""),"")</f>
        <v/>
      </c>
      <c r="AL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16,14))," ",""),"!",""),CHAR(34),""),"#",""),"$",""),"%",""),"&amp;",""),"'",""),"(",""),")",""),"*",""),"+",""),",",""),"-",""),".",""),"/",""),":",""),";",""),"&lt;",""),"=",""),"&gt;",""),"?",""),"@",""),"[",""),"\",""),"]",""),"^",""),"_",""),"`",""),"{",""),"|",""),"}",""),"~",""),CHAR(9),""),CHAR(10),""),CHAR(13),"")," ",""),"")</f>
        <v/>
      </c>
      <c r="AM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16,15))," ",""),"!",""),CHAR(34),""),"#",""),"$",""),"%",""),"&amp;",""),"'",""),"(",""),")",""),"*",""),"+",""),",",""),"-",""),".",""),"/",""),":",""),";",""),"&lt;",""),"=",""),"&gt;",""),"?",""),"@",""),"[",""),"\",""),"]",""),"^",""),"_",""),"`",""),"{",""),"|",""),"}",""),"~",""),CHAR(9),""),CHAR(10),""),CHAR(13),"")," ",""),"")</f>
        <v/>
      </c>
      <c r="AN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16,16))," ",""),"!",""),CHAR(34),""),"#",""),"$",""),"%",""),"&amp;",""),"'",""),"(",""),")",""),"*",""),"+",""),",",""),"-",""),".",""),"/",""),":",""),";",""),"&lt;",""),"=",""),"&gt;",""),"?",""),"@",""),"[",""),"\",""),"]",""),"^",""),"_",""),"`",""),"{",""),"|",""),"}",""),"~",""),CHAR(9),""),CHAR(10),""),CHAR(13),"")," ",""),"")</f>
        <v/>
      </c>
      <c r="AO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16,17))," ",""),"!",""),CHAR(34),""),"#",""),"$",""),"%",""),"&amp;",""),"'",""),"(",""),")",""),"*",""),"+",""),",",""),"-",""),".",""),"/",""),":",""),";",""),"&lt;",""),"=",""),"&gt;",""),"?",""),"@",""),"[",""),"\",""),"]",""),"^",""),"_",""),"`",""),"{",""),"|",""),"}",""),"~",""),CHAR(9),""),CHAR(10),""),CHAR(13),"")," ",""),"")</f>
        <v/>
      </c>
      <c r="AP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16,18))," ",""),"!",""),CHAR(34),""),"#",""),"$",""),"%",""),"&amp;",""),"'",""),"(",""),")",""),"*",""),"+",""),",",""),"-",""),".",""),"/",""),":",""),";",""),"&lt;",""),"=",""),"&gt;",""),"?",""),"@",""),"[",""),"\",""),"]",""),"^",""),"_",""),"`",""),"{",""),"|",""),"}",""),"~",""),CHAR(9),""),CHAR(10),""),CHAR(13),"")," ",""),"")</f>
        <v/>
      </c>
      <c r="AQ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16,19))," ",""),"!",""),CHAR(34),""),"#",""),"$",""),"%",""),"&amp;",""),"'",""),"(",""),")",""),"*",""),"+",""),",",""),"-",""),".",""),"/",""),":",""),";",""),"&lt;",""),"=",""),"&gt;",""),"?",""),"@",""),"[",""),"\",""),"]",""),"^",""),"_",""),"`",""),"{",""),"|",""),"}",""),"~",""),CHAR(9),""),CHAR(10),""),CHAR(13),"")," ",""),"")</f>
        <v/>
      </c>
      <c r="AR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16,20))," ",""),"!",""),CHAR(34),""),"#",""),"$",""),"%",""),"&amp;",""),"'",""),"(",""),")",""),"*",""),"+",""),",",""),"-",""),".",""),"/",""),":",""),";",""),"&lt;",""),"=",""),"&gt;",""),"?",""),"@",""),"[",""),"\",""),"]",""),"^",""),"_",""),"`",""),"{",""),"|",""),"}",""),"~",""),CHAR(9),""),CHAR(10),""),CHAR(13),"")," ",""),"")</f>
        <v/>
      </c>
      <c r="AS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16,21))," ",""),"!",""),CHAR(34),""),"#",""),"$",""),"%",""),"&amp;",""),"'",""),"(",""),")",""),"*",""),"+",""),",",""),"-",""),".",""),"/",""),":",""),";",""),"&lt;",""),"=",""),"&gt;",""),"?",""),"@",""),"[",""),"\",""),"]",""),"^",""),"_",""),"`",""),"{",""),"|",""),"}",""),"~",""),CHAR(9),""),CHAR(10),""),CHAR(13),"")," ",""),"")</f>
        <v/>
      </c>
      <c r="AT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16,22))," ",""),"!",""),CHAR(34),""),"#",""),"$",""),"%",""),"&amp;",""),"'",""),"(",""),")",""),"*",""),"+",""),",",""),"-",""),".",""),"/",""),":",""),";",""),"&lt;",""),"=",""),"&gt;",""),"?",""),"@",""),"[",""),"\",""),"]",""),"^",""),"_",""),"`",""),"{",""),"|",""),"}",""),"~",""),CHAR(9),""),CHAR(10),""),CHAR(13),"")," ",""),"")</f>
        <v/>
      </c>
      <c r="AU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16,23))," ",""),"!",""),CHAR(34),""),"#",""),"$",""),"%",""),"&amp;",""),"'",""),"(",""),")",""),"*",""),"+",""),",",""),"-",""),".",""),"/",""),":",""),";",""),"&lt;",""),"=",""),"&gt;",""),"?",""),"@",""),"[",""),"\",""),"]",""),"^",""),"_",""),"`",""),"{",""),"|",""),"}",""),"~",""),CHAR(9),""),CHAR(10),""),CHAR(13),"")," ",""),"")</f>
        <v/>
      </c>
      <c r="AV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16,24))," ",""),"!",""),CHAR(34),""),"#",""),"$",""),"%",""),"&amp;",""),"'",""),"(",""),")",""),"*",""),"+",""),",",""),"-",""),".",""),"/",""),":",""),";",""),"&lt;",""),"=",""),"&gt;",""),"?",""),"@",""),"[",""),"\",""),"]",""),"^",""),"_",""),"`",""),"{",""),"|",""),"}",""),"~",""),CHAR(9),""),CHAR(10),""),CHAR(13),"")," ",""),"")</f>
        <v/>
      </c>
      <c r="AW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16,25))," ",""),"!",""),CHAR(34),""),"#",""),"$",""),"%",""),"&amp;",""),"'",""),"(",""),")",""),"*",""),"+",""),",",""),"-",""),".",""),"/",""),":",""),";",""),"&lt;",""),"=",""),"&gt;",""),"?",""),"@",""),"[",""),"\",""),"]",""),"^",""),"_",""),"`",""),"{",""),"|",""),"}",""),"~",""),CHAR(9),""),CHAR(10),""),CHAR(13),"")," ",""),"")</f>
        <v/>
      </c>
      <c r="AX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16,26))," ",""),"!",""),CHAR(34),""),"#",""),"$",""),"%",""),"&amp;",""),"'",""),"(",""),")",""),"*",""),"+",""),",",""),"-",""),".",""),"/",""),":",""),";",""),"&lt;",""),"=",""),"&gt;",""),"?",""),"@",""),"[",""),"\",""),"]",""),"^",""),"_",""),"`",""),"{",""),"|",""),"}",""),"~",""),CHAR(9),""),CHAR(10),""),CHAR(13),"")," ",""),"")</f>
        <v/>
      </c>
      <c r="AY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16,27))," ",""),"!",""),CHAR(34),""),"#",""),"$",""),"%",""),"&amp;",""),"'",""),"(",""),")",""),"*",""),"+",""),",",""),"-",""),".",""),"/",""),":",""),";",""),"&lt;",""),"=",""),"&gt;",""),"?",""),"@",""),"[",""),"\",""),"]",""),"^",""),"_",""),"`",""),"{",""),"|",""),"}",""),"~",""),CHAR(9),""),CHAR(10),""),CHAR(13),"")," ",""),"")</f>
        <v/>
      </c>
      <c r="AZ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16,28))," ",""),"!",""),CHAR(34),""),"#",""),"$",""),"%",""),"&amp;",""),"'",""),"(",""),")",""),"*",""),"+",""),",",""),"-",""),".",""),"/",""),":",""),";",""),"&lt;",""),"=",""),"&gt;",""),"?",""),"@",""),"[",""),"\",""),"]",""),"^",""),"_",""),"`",""),"{",""),"|",""),"}",""),"~",""),CHAR(9),""),CHAR(10),""),CHAR(13),"")," ",""),"")</f>
        <v/>
      </c>
      <c r="BA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16,29))," ",""),"!",""),CHAR(34),""),"#",""),"$",""),"%",""),"&amp;",""),"'",""),"(",""),")",""),"*",""),"+",""),",",""),"-",""),".",""),"/",""),":",""),";",""),"&lt;",""),"=",""),"&gt;",""),"?",""),"@",""),"[",""),"\",""),"]",""),"^",""),"_",""),"`",""),"{",""),"|",""),"}",""),"~",""),CHAR(9),""),CHAR(10),""),CHAR(13),"")," ",""),"")</f>
        <v/>
      </c>
      <c r="BB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16,30))," ",""),"!",""),CHAR(34),""),"#",""),"$",""),"%",""),"&amp;",""),"'",""),"(",""),")",""),"*",""),"+",""),",",""),"-",""),".",""),"/",""),":",""),";",""),"&lt;",""),"=",""),"&gt;",""),"?",""),"@",""),"[",""),"\",""),"]",""),"^",""),"_",""),"`",""),"{",""),"|",""),"}",""),"~",""),CHAR(9),""),CHAR(10),""),CHAR(13),"")," ",""),"")</f>
        <v/>
      </c>
      <c r="BC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16,31))," ",""),"!",""),CHAR(34),""),"#",""),"$",""),"%",""),"&amp;",""),"'",""),"(",""),")",""),"*",""),"+",""),",",""),"-",""),".",""),"/",""),":",""),";",""),"&lt;",""),"=",""),"&gt;",""),"?",""),"@",""),"[",""),"\",""),"]",""),"^",""),"_",""),"`",""),"{",""),"|",""),"}",""),"~",""),CHAR(9),""),CHAR(10),""),CHAR(13),"")," ",""),"")</f>
        <v/>
      </c>
      <c r="BD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16,32))," ",""),"!",""),CHAR(34),""),"#",""),"$",""),"%",""),"&amp;",""),"'",""),"(",""),")",""),"*",""),"+",""),",",""),"-",""),".",""),"/",""),":",""),";",""),"&lt;",""),"=",""),"&gt;",""),"?",""),"@",""),"[",""),"\",""),"]",""),"^",""),"_",""),"`",""),"{",""),"|",""),"}",""),"~",""),CHAR(9),""),CHAR(10),""),CHAR(13),"")," ",""),"")</f>
        <v/>
      </c>
      <c r="BE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16,33))," ",""),"!",""),CHAR(34),""),"#",""),"$",""),"%",""),"&amp;",""),"'",""),"(",""),")",""),"*",""),"+",""),",",""),"-",""),".",""),"/",""),":",""),";",""),"&lt;",""),"=",""),"&gt;",""),"?",""),"@",""),"[",""),"\",""),"]",""),"^",""),"_",""),"`",""),"{",""),"|",""),"}",""),"~",""),CHAR(9),""),CHAR(10),""),CHAR(13),"")," ",""),"")</f>
        <v/>
      </c>
      <c r="BF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16,34))," ",""),"!",""),CHAR(34),""),"#",""),"$",""),"%",""),"&amp;",""),"'",""),"(",""),")",""),"*",""),"+",""),",",""),"-",""),".",""),"/",""),":",""),";",""),"&lt;",""),"=",""),"&gt;",""),"?",""),"@",""),"[",""),"\",""),"]",""),"^",""),"_",""),"`",""),"{",""),"|",""),"}",""),"~",""),CHAR(9),""),CHAR(10),""),CHAR(13),"")," ",""),"")</f>
        <v/>
      </c>
      <c r="BG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16,35))," ",""),"!",""),CHAR(34),""),"#",""),"$",""),"%",""),"&amp;",""),"'",""),"(",""),")",""),"*",""),"+",""),",",""),"-",""),".",""),"/",""),":",""),";",""),"&lt;",""),"=",""),"&gt;",""),"?",""),"@",""),"[",""),"\",""),"]",""),"^",""),"_",""),"`",""),"{",""),"|",""),"}",""),"~",""),CHAR(9),""),CHAR(10),""),CHAR(13),"")," ",""),"")</f>
        <v/>
      </c>
      <c r="BH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16,36))," ",""),"!",""),CHAR(34),""),"#",""),"$",""),"%",""),"&amp;",""),"'",""),"(",""),")",""),"*",""),"+",""),",",""),"-",""),".",""),"/",""),":",""),";",""),"&lt;",""),"=",""),"&gt;",""),"?",""),"@",""),"[",""),"\",""),"]",""),"^",""),"_",""),"`",""),"{",""),"|",""),"}",""),"~",""),CHAR(9),""),CHAR(10),""),CHAR(13),"")," ",""),"")</f>
        <v/>
      </c>
      <c r="BI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16,37))," ",""),"!",""),CHAR(34),""),"#",""),"$",""),"%",""),"&amp;",""),"'",""),"(",""),")",""),"*",""),"+",""),",",""),"-",""),".",""),"/",""),":",""),";",""),"&lt;",""),"=",""),"&gt;",""),"?",""),"@",""),"[",""),"\",""),"]",""),"^",""),"_",""),"`",""),"{",""),"|",""),"}",""),"~",""),CHAR(9),""),CHAR(10),""),CHAR(13),"")," ",""),"")</f>
        <v/>
      </c>
      <c r="BJ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16,38))," ",""),"!",""),CHAR(34),""),"#",""),"$",""),"%",""),"&amp;",""),"'",""),"(",""),")",""),"*",""),"+",""),",",""),"-",""),".",""),"/",""),":",""),";",""),"&lt;",""),"=",""),"&gt;",""),"?",""),"@",""),"[",""),"\",""),"]",""),"^",""),"_",""),"`",""),"{",""),"|",""),"}",""),"~",""),CHAR(9),""),CHAR(10),""),CHAR(13),"")," ",""),"")</f>
        <v/>
      </c>
      <c r="BK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16,39))," ",""),"!",""),CHAR(34),""),"#",""),"$",""),"%",""),"&amp;",""),"'",""),"(",""),")",""),"*",""),"+",""),",",""),"-",""),".",""),"/",""),":",""),";",""),"&lt;",""),"=",""),"&gt;",""),"?",""),"@",""),"[",""),"\",""),"]",""),"^",""),"_",""),"`",""),"{",""),"|",""),"}",""),"~",""),CHAR(9),""),CHAR(10),""),CHAR(13),"")," ",""),"")</f>
        <v/>
      </c>
      <c r="BL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16,40))," ",""),"!",""),CHAR(34),""),"#",""),"$",""),"%",""),"&amp;",""),"'",""),"(",""),")",""),"*",""),"+",""),",",""),"-",""),".",""),"/",""),":",""),";",""),"&lt;",""),"=",""),"&gt;",""),"?",""),"@",""),"[",""),"\",""),"]",""),"^",""),"_",""),"`",""),"{",""),"|",""),"}",""),"~",""),CHAR(9),""),CHAR(10),""),CHAR(13),"")," ",""),"")</f>
        <v/>
      </c>
      <c r="BM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16,41))," ",""),"!",""),CHAR(34),""),"#",""),"$",""),"%",""),"&amp;",""),"'",""),"(",""),")",""),"*",""),"+",""),",",""),"-",""),".",""),"/",""),":",""),";",""),"&lt;",""),"=",""),"&gt;",""),"?",""),"@",""),"[",""),"\",""),"]",""),"^",""),"_",""),"`",""),"{",""),"|",""),"}",""),"~",""),CHAR(9),""),CHAR(10),""),CHAR(13),"")," ",""),"")</f>
        <v/>
      </c>
      <c r="BN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16,42))," ",""),"!",""),CHAR(34),""),"#",""),"$",""),"%",""),"&amp;",""),"'",""),"(",""),")",""),"*",""),"+",""),",",""),"-",""),".",""),"/",""),":",""),";",""),"&lt;",""),"=",""),"&gt;",""),"?",""),"@",""),"[",""),"\",""),"]",""),"^",""),"_",""),"`",""),"{",""),"|",""),"}",""),"~",""),CHAR(9),""),CHAR(10),""),CHAR(13),"")," ",""),"")</f>
        <v/>
      </c>
      <c r="BO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16,43))," ",""),"!",""),CHAR(34),""),"#",""),"$",""),"%",""),"&amp;",""),"'",""),"(",""),")",""),"*",""),"+",""),",",""),"-",""),".",""),"/",""),":",""),";",""),"&lt;",""),"=",""),"&gt;",""),"?",""),"@",""),"[",""),"\",""),"]",""),"^",""),"_",""),"`",""),"{",""),"|",""),"}",""),"~",""),CHAR(9),""),CHAR(10),""),CHAR(13),"")," ",""),"")</f>
        <v/>
      </c>
      <c r="BP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16,44))," ",""),"!",""),CHAR(34),""),"#",""),"$",""),"%",""),"&amp;",""),"'",""),"(",""),")",""),"*",""),"+",""),",",""),"-",""),".",""),"/",""),":",""),";",""),"&lt;",""),"=",""),"&gt;",""),"?",""),"@",""),"[",""),"\",""),"]",""),"^",""),"_",""),"`",""),"{",""),"|",""),"}",""),"~",""),CHAR(9),""),CHAR(10),""),CHAR(13),"")," ",""),"")</f>
        <v/>
      </c>
      <c r="BQ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16,45))," ",""),"!",""),CHAR(34),""),"#",""),"$",""),"%",""),"&amp;",""),"'",""),"(",""),")",""),"*",""),"+",""),",",""),"-",""),".",""),"/",""),":",""),";",""),"&lt;",""),"=",""),"&gt;",""),"?",""),"@",""),"[",""),"\",""),"]",""),"^",""),"_",""),"`",""),"{",""),"|",""),"}",""),"~",""),CHAR(9),""),CHAR(10),""),CHAR(13),"")," ",""),"")</f>
        <v/>
      </c>
      <c r="BR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16,46))," ",""),"!",""),CHAR(34),""),"#",""),"$",""),"%",""),"&amp;",""),"'",""),"(",""),")",""),"*",""),"+",""),",",""),"-",""),".",""),"/",""),":",""),";",""),"&lt;",""),"=",""),"&gt;",""),"?",""),"@",""),"[",""),"\",""),"]",""),"^",""),"_",""),"`",""),"{",""),"|",""),"}",""),"~",""),CHAR(9),""),CHAR(10),""),CHAR(13),"")," ",""),"")</f>
        <v/>
      </c>
      <c r="BS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16,47))," ",""),"!",""),CHAR(34),""),"#",""),"$",""),"%",""),"&amp;",""),"'",""),"(",""),")",""),"*",""),"+",""),",",""),"-",""),".",""),"/",""),":",""),";",""),"&lt;",""),"=",""),"&gt;",""),"?",""),"@",""),"[",""),"\",""),"]",""),"^",""),"_",""),"`",""),"{",""),"|",""),"}",""),"~",""),CHAR(9),""),CHAR(10),""),CHAR(13),"")," ",""),"")</f>
        <v/>
      </c>
      <c r="BT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16,48))," ",""),"!",""),CHAR(34),""),"#",""),"$",""),"%",""),"&amp;",""),"'",""),"(",""),")",""),"*",""),"+",""),",",""),"-",""),".",""),"/",""),":",""),";",""),"&lt;",""),"=",""),"&gt;",""),"?",""),"@",""),"[",""),"\",""),"]",""),"^",""),"_",""),"`",""),"{",""),"|",""),"}",""),"~",""),CHAR(9),""),CHAR(10),""),CHAR(13),"")," ",""),"")</f>
        <v/>
      </c>
      <c r="BU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16,49))," ",""),"!",""),CHAR(34),""),"#",""),"$",""),"%",""),"&amp;",""),"'",""),"(",""),")",""),"*",""),"+",""),",",""),"-",""),".",""),"/",""),":",""),";",""),"&lt;",""),"=",""),"&gt;",""),"?",""),"@",""),"[",""),"\",""),"]",""),"^",""),"_",""),"`",""),"{",""),"|",""),"}",""),"~",""),CHAR(9),""),CHAR(10),""),CHAR(13),"")," ",""),"")</f>
        <v/>
      </c>
      <c r="BV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16,50))," ",""),"!",""),CHAR(34),""),"#",""),"$",""),"%",""),"&amp;",""),"'",""),"(",""),")",""),"*",""),"+",""),",",""),"-",""),".",""),"/",""),":",""),";",""),"&lt;",""),"=",""),"&gt;",""),"?",""),"@",""),"[",""),"\",""),"]",""),"^",""),"_",""),"`",""),"{",""),"|",""),"}",""),"~",""),CHAR(9),""),CHAR(10),""),CHAR(13),"")," ",""),"")</f>
        <v/>
      </c>
      <c r="BW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16,51))," ",""),"!",""),CHAR(34),""),"#",""),"$",""),"%",""),"&amp;",""),"'",""),"(",""),")",""),"*",""),"+",""),",",""),"-",""),".",""),"/",""),":",""),";",""),"&lt;",""),"=",""),"&gt;",""),"?",""),"@",""),"[",""),"\",""),"]",""),"^",""),"_",""),"`",""),"{",""),"|",""),"}",""),"~",""),CHAR(9),""),CHAR(10),""),CHAR(13),"")," ",""),"")</f>
        <v/>
      </c>
      <c r="BX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16,52))," ",""),"!",""),CHAR(34),""),"#",""),"$",""),"%",""),"&amp;",""),"'",""),"(",""),")",""),"*",""),"+",""),",",""),"-",""),".",""),"/",""),":",""),";",""),"&lt;",""),"=",""),"&gt;",""),"?",""),"@",""),"[",""),"\",""),"]",""),"^",""),"_",""),"`",""),"{",""),"|",""),"}",""),"~",""),CHAR(9),""),CHAR(10),""),CHAR(13),"")," ",""),"")</f>
        <v/>
      </c>
      <c r="BY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16,53))," ",""),"!",""),CHAR(34),""),"#",""),"$",""),"%",""),"&amp;",""),"'",""),"(",""),")",""),"*",""),"+",""),",",""),"-",""),".",""),"/",""),":",""),";",""),"&lt;",""),"=",""),"&gt;",""),"?",""),"@",""),"[",""),"\",""),"]",""),"^",""),"_",""),"`",""),"{",""),"|",""),"}",""),"~",""),CHAR(9),""),CHAR(10),""),CHAR(13),"")," ",""),"")</f>
        <v/>
      </c>
      <c r="BZ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16,54))," ",""),"!",""),CHAR(34),""),"#",""),"$",""),"%",""),"&amp;",""),"'",""),"(",""),")",""),"*",""),"+",""),",",""),"-",""),".",""),"/",""),":",""),";",""),"&lt;",""),"=",""),"&gt;",""),"?",""),"@",""),"[",""),"\",""),"]",""),"^",""),"_",""),"`",""),"{",""),"|",""),"}",""),"~",""),CHAR(9),""),CHAR(10),""),CHAR(13),"")," ",""),"")</f>
        <v/>
      </c>
      <c r="CA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16,55))," ",""),"!",""),CHAR(34),""),"#",""),"$",""),"%",""),"&amp;",""),"'",""),"(",""),")",""),"*",""),"+",""),",",""),"-",""),".",""),"/",""),":",""),";",""),"&lt;",""),"=",""),"&gt;",""),"?",""),"@",""),"[",""),"\",""),"]",""),"^",""),"_",""),"`",""),"{",""),"|",""),"}",""),"~",""),CHAR(9),""),CHAR(10),""),CHAR(13),"")," ",""),"")</f>
        <v/>
      </c>
      <c r="CB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16,56))," ",""),"!",""),CHAR(34),""),"#",""),"$",""),"%",""),"&amp;",""),"'",""),"(",""),")",""),"*",""),"+",""),",",""),"-",""),".",""),"/",""),":",""),";",""),"&lt;",""),"=",""),"&gt;",""),"?",""),"@",""),"[",""),"\",""),"]",""),"^",""),"_",""),"`",""),"{",""),"|",""),"}",""),"~",""),CHAR(9),""),CHAR(10),""),CHAR(13),"")," ",""),"")</f>
        <v/>
      </c>
      <c r="CC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16,57))," ",""),"!",""),CHAR(34),""),"#",""),"$",""),"%",""),"&amp;",""),"'",""),"(",""),")",""),"*",""),"+",""),",",""),"-",""),".",""),"/",""),":",""),";",""),"&lt;",""),"=",""),"&gt;",""),"?",""),"@",""),"[",""),"\",""),"]",""),"^",""),"_",""),"`",""),"{",""),"|",""),"}",""),"~",""),CHAR(9),""),CHAR(10),""),CHAR(13),"")," ",""),"")</f>
        <v/>
      </c>
      <c r="CD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16,58))," ",""),"!",""),CHAR(34),""),"#",""),"$",""),"%",""),"&amp;",""),"'",""),"(",""),")",""),"*",""),"+",""),",",""),"-",""),".",""),"/",""),":",""),";",""),"&lt;",""),"=",""),"&gt;",""),"?",""),"@",""),"[",""),"\",""),"]",""),"^",""),"_",""),"`",""),"{",""),"|",""),"}",""),"~",""),CHAR(9),""),CHAR(10),""),CHAR(13),"")," ",""),"")</f>
        <v/>
      </c>
      <c r="CE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16,59))," ",""),"!",""),CHAR(34),""),"#",""),"$",""),"%",""),"&amp;",""),"'",""),"(",""),")",""),"*",""),"+",""),",",""),"-",""),".",""),"/",""),":",""),";",""),"&lt;",""),"=",""),"&gt;",""),"?",""),"@",""),"[",""),"\",""),"]",""),"^",""),"_",""),"`",""),"{",""),"|",""),"}",""),"~",""),CHAR(9),""),CHAR(10),""),CHAR(13),"")," ",""),"")</f>
        <v/>
      </c>
      <c r="CF2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16,60))," ",""),"!",""),CHAR(34),""),"#",""),"$",""),"%",""),"&amp;",""),"'",""),"(",""),")",""),"*",""),"+",""),",",""),"-",""),".",""),"/",""),":",""),";",""),"&lt;",""),"=",""),"&gt;",""),"?",""),"@",""),"[",""),"\",""),"]",""),"^",""),"_",""),"`",""),"{",""),"|",""),"}",""),"~",""),CHAR(9),""),CHAR(10),""),CHAR(13),"")," ",""),"")</f>
        <v/>
      </c>
      <c r="CH20">
        <f>COUNTIF($Y65:$CF65,"&gt;0")</f>
        <v/>
      </c>
      <c r="CI20">
        <f>COUNTIF($Y65:$CF65,2)</f>
        <v/>
      </c>
      <c r="CJ20">
        <f>SUMPRODUCT((COUNTIF($Y110:$CF110,{1,2,3,4,5,6,7,8,9,10,11,12,13,14,15})&gt;0)*{2,4,8,16,32,64,128,256,512,1024,2048,4096,8192,16384,32768})</f>
        <v/>
      </c>
      <c r="CK20">
        <f>CF200</f>
        <v/>
      </c>
      <c r="CL20">
        <f>SUMPRODUCT(MOD(INT(((CJ20+CK20))/{2,4,8,16,32,64,128,256,512,1024,2048,4096,8192,16384,32768}),2))</f>
        <v/>
      </c>
      <c r="CM20">
        <f>IF(CH20&lt;2,-9999,CL20+2*MOD(INT(((CJ20+CK20))/2),2)+2*MOD(INT(((CJ20+CK20))/4),2)-CI20)</f>
        <v/>
      </c>
      <c r="DA20" t="n">
        <v>16</v>
      </c>
      <c r="DB20">
        <f>IF($B$37=0,"",IFERROR(TRIM(SUBSTITUTE(SUBSTITUTE(SUBSTITUTE(SUBSTITUTE(INDEX(PASTE_ALL,16,$B$37)," "," "),CHAR(9)," "),CHAR(10)," "),CHAR(13)," ")),""))</f>
        <v/>
      </c>
      <c r="DC20">
        <f>IF(AND(16&gt;HEADER_ROW,UPPER(DB20)="LEGEND"),1,0)</f>
        <v/>
      </c>
      <c r="DE20" t="n">
        <v>16</v>
      </c>
      <c r="DF20">
        <f>HEADER_ROW+$DE20</f>
        <v/>
      </c>
      <c r="DG20">
        <f>IF(AND($DF20&lt;=1000,$DF20&lt;$B$8),1,0)</f>
        <v/>
      </c>
      <c r="DH20">
        <f>IF($DG20=1,IFERROR(INDEX($DB$5:$DB$1004,$DF20),""),"")</f>
        <v/>
      </c>
      <c r="DI20">
        <f>IF(AND($DG20=1,$DH20&lt;&gt;""),IFERROR(SUBSTITUTE(SUBSTITUTE(TRIM(SUBSTITUTE(SUBSTITUTE(SUBSTITUTE(SUBSTITUTE(IFERROR(INDEX(PASTE_ALL,$DF20,1)&amp;"","")&amp;"␟"&amp;IFERROR(INDEX(PASTE_ALL,$DF20,2)&amp;"","")&amp;"␟"&amp;IFERROR(INDEX(PASTE_ALL,$DF20,3)&amp;"","")&amp;"␟"&amp;IFERROR(INDEX(PASTE_ALL,$DF20,4)&amp;"","")&amp;"␟"&amp;IFERROR(INDEX(PASTE_ALL,$DF20,5)&amp;"","")&amp;"␟"&amp;IFERROR(INDEX(PASTE_ALL,$DF20,6)&amp;"","")&amp;"␟"&amp;IFERROR(INDEX(PASTE_ALL,$DF20,7)&amp;"","")&amp;"␟"&amp;IFERROR(INDEX(PASTE_ALL,$DF20,8)&amp;"","")&amp;"␟"&amp;IFERROR(INDEX(PASTE_ALL,$DF20,9)&amp;"","")&amp;"␟"&amp;IFERROR(INDEX(PASTE_ALL,$DF20,10)&amp;"","")&amp;"␟"&amp;IFERROR(INDEX(PASTE_ALL,$DF20,11)&amp;"","")&amp;"␟"&amp;IFERROR(INDEX(PASTE_ALL,$DF20,12)&amp;"","")&amp;"␟"&amp;IFERROR(INDEX(PASTE_ALL,$DF20,13)&amp;"","")&amp;"␟"&amp;IFERROR(INDEX(PASTE_ALL,$DF20,14)&amp;"","")&amp;"␟"&amp;IFERROR(INDEX(PASTE_ALL,$DF20,15)&amp;"","")&amp;"␟"&amp;IFERROR(INDEX(PASTE_ALL,$DF20,16)&amp;"","")&amp;"␟"&amp;IFERROR(INDEX(PASTE_ALL,$DF20,17)&amp;"","")&amp;"␟"&amp;IFERROR(INDEX(PASTE_ALL,$DF20,18)&amp;"","")&amp;"␟"&amp;IFERROR(INDEX(PASTE_ALL,$DF20,19)&amp;"","")&amp;"␟"&amp;IFERROR(INDEX(PASTE_ALL,$DF20,20)&amp;"","")&amp;"␟"&amp;IFERROR(INDEX(PASTE_ALL,$DF20,21)&amp;"","")&amp;"␟"&amp;IFERROR(INDEX(PASTE_ALL,$DF20,22)&amp;"","")&amp;"␟"&amp;IFERROR(INDEX(PASTE_ALL,$DF20,23)&amp;"","")&amp;"␟"&amp;IFERROR(INDEX(PASTE_ALL,$DF20,24)&amp;"","")&amp;"␟"&amp;IFERROR(INDEX(PASTE_ALL,$DF20,25)&amp;"","")&amp;"␟"&amp;IFERROR(INDEX(PASTE_ALL,$DF20,26)&amp;"","")&amp;"␟"&amp;IFERROR(INDEX(PASTE_ALL,$DF20,27)&amp;"","")&amp;"␟"&amp;IFERROR(INDEX(PASTE_ALL,$DF20,28)&amp;"","")&amp;"␟"&amp;IFERROR(INDEX(PASTE_ALL,$DF20,29)&amp;"","")&amp;"␟"&amp;IFERROR(INDEX(PASTE_ALL,$DF20,30)&amp;"","")&amp;"␟"&amp;IFERROR(INDEX(PASTE_ALL,$DF20,31)&amp;"","")&amp;"␟"&amp;IFERROR(INDEX(PASTE_ALL,$DF20,32)&amp;"","")&amp;"␟"&amp;IFERROR(INDEX(PASTE_ALL,$DF20,33)&amp;"","")&amp;"␟"&amp;IFERROR(INDEX(PASTE_ALL,$DF20,34)&amp;"","")&amp;"␟"&amp;IFERROR(INDEX(PASTE_ALL,$DF20,35)&amp;"","")&amp;"␟"&amp;IFERROR(INDEX(PASTE_ALL,$DF20,36)&amp;"","")&amp;"␟"&amp;IFERROR(INDEX(PASTE_ALL,$DF20,37)&amp;"","")&amp;"␟"&amp;IFERROR(INDEX(PASTE_ALL,$DF20,38)&amp;"","")&amp;"␟"&amp;IFERROR(INDEX(PASTE_ALL,$DF20,39)&amp;"","")&amp;"␟"&amp;IFERROR(INDEX(PASTE_ALL,$DF20,40)&amp;"","")&amp;"␟"&amp;IFERROR(INDEX(PASTE_ALL,$DF20,41)&amp;"","")&amp;"␟"&amp;IFERROR(INDEX(PASTE_ALL,$DF20,42)&amp;"","")&amp;"␟"&amp;IFERROR(INDEX(PASTE_ALL,$DF20,43)&amp;"","")&amp;"␟"&amp;IFERROR(INDEX(PASTE_ALL,$DF20,44)&amp;"","")&amp;"␟"&amp;IFERROR(INDEX(PASTE_ALL,$DF20,45)&amp;"","")&amp;"␟"&amp;IFERROR(INDEX(PASTE_ALL,$DF20,46)&amp;"","")&amp;"␟"&amp;IFERROR(INDEX(PASTE_ALL,$DF20,47)&amp;"","")&amp;"␟"&amp;IFERROR(INDEX(PASTE_ALL,$DF20,48)&amp;"","")&amp;"␟"&amp;IFERROR(INDEX(PASTE_ALL,$DF20,49)&amp;"","")&amp;"␟"&amp;IFERROR(INDEX(PASTE_ALL,$DF20,50)&amp;"","")&amp;"␟"&amp;IFERROR(INDEX(PASTE_ALL,$DF20,51)&amp;"","")&amp;"␟"&amp;IFERROR(INDEX(PASTE_ALL,$DF20,52)&amp;"","")&amp;"␟"&amp;IFERROR(INDEX(PASTE_ALL,$DF20,53)&amp;"","")&amp;"␟"&amp;IFERROR(INDEX(PASTE_ALL,$DF20,54)&amp;"","")&amp;"␟"&amp;IFERROR(INDEX(PASTE_ALL,$DF20,55)&amp;"","")&amp;"␟"&amp;IFERROR(INDEX(PASTE_ALL,$DF20,56)&amp;"","")&amp;"␟"&amp;IFERROR(INDEX(PASTE_ALL,$DF20,57)&amp;"","")&amp;"␟"&amp;IFERROR(INDEX(PASTE_ALL,$DF20,58)&amp;"","")&amp;"␟"&amp;IFERROR(INDEX(PASTE_ALL,$DF20,59)&amp;"","")&amp;"␟"&amp;IFERROR(INDEX(PASTE_ALL,$DF20,60)&amp;"","")," "," "),CHAR(9)," "),CHAR(10)," "),CHAR(13)," "))," ␟","␟"),"␟ ","␟"),"#"&amp;$DE20),"")</f>
        <v/>
      </c>
      <c r="DJ20">
        <f>IF($DI20="",0,IF(SUMPRODUCT(--EXACT($DI$4:DI19,$DI20))&gt;0,1,0))</f>
        <v/>
      </c>
      <c r="DK20">
        <f>IF(AND($DI20&lt;&gt;"",$DJ20=0),1,0)</f>
        <v/>
      </c>
      <c r="DL20">
        <f>DL19+$DK20</f>
        <v/>
      </c>
      <c r="DM20">
        <f>IF(AND($DK20=1,$DL20&lt;=600),1,0)</f>
        <v/>
      </c>
      <c r="DN20">
        <f>IF($DM20=0,"",IF($L$6=0,"",IFERROR(IF(ISNUMBER(INDEX(PASTE_ALL,$DF20,$L$6)),INDEX(PASTE_ALL,$DF20,$L$6),TRIM(SUBSTITUTE(SUBSTITUTE(SUBSTITUTE(SUBSTITUTE(INDEX(PASTE_ALL,$DF20,$L$6)," "," "),CHAR(9)," "),CHAR(10)," "),CHAR(13)," "))),"")))</f>
        <v/>
      </c>
      <c r="DO20">
        <f>IF($DM20=0,"",IF($L$7=0,"",IFERROR(IF(ISNUMBER(INDEX(PASTE_ALL,$DF20,$L$7)),INDEX(PASTE_ALL,$DF20,$L$7),TRIM(SUBSTITUTE(SUBSTITUTE(SUBSTITUTE(SUBSTITUTE(INDEX(PASTE_ALL,$DF20,$L$7)," "," "),CHAR(9)," "),CHAR(10)," "),CHAR(13)," "))),"")))</f>
        <v/>
      </c>
      <c r="DP20">
        <f>IF($DM20=0,"",IF($L$8=0,"",IFERROR(IF(ISNUMBER(INDEX(PASTE_ALL,$DF20,$L$8)),INDEX(PASTE_ALL,$DF20,$L$8),TRIM(SUBSTITUTE(SUBSTITUTE(SUBSTITUTE(SUBSTITUTE(INDEX(PASTE_ALL,$DF20,$L$8)," "," "),CHAR(9)," "),CHAR(10)," "),CHAR(13)," "))),"")))</f>
        <v/>
      </c>
      <c r="DQ20">
        <f>IF($DM20=0,"",IF($L$9=0,"",IFERROR(IF(ISNUMBER(INDEX(PASTE_ALL,$DF20,$L$9)),INDEX(PASTE_ALL,$DF20,$L$9),TRIM(SUBSTITUTE(SUBSTITUTE(SUBSTITUTE(SUBSTITUTE(INDEX(PASTE_ALL,$DF20,$L$9)," "," "),CHAR(9)," "),CHAR(10)," "),CHAR(13)," "))),"")))</f>
        <v/>
      </c>
      <c r="DR20">
        <f>IF($DM20=0,"",IF($L$10=0,"",IFERROR(IF(ISNUMBER(INDEX(PASTE_ALL,$DF20,$L$10)),INDEX(PASTE_ALL,$DF20,$L$10),TRIM(SUBSTITUTE(SUBSTITUTE(SUBSTITUTE(SUBSTITUTE(INDEX(PASTE_ALL,$DF20,$L$10)," "," "),CHAR(9)," "),CHAR(10)," "),CHAR(13)," "))),"")))</f>
        <v/>
      </c>
      <c r="DS20">
        <f>IF($DM20=0,"",IF($L$11=0,"",IFERROR(IF(ISNUMBER(INDEX(PASTE_ALL,$DF20,$L$11)),INDEX(PASTE_ALL,$DF20,$L$11),TRIM(SUBSTITUTE(SUBSTITUTE(SUBSTITUTE(SUBSTITUTE(INDEX(PASTE_ALL,$DF20,$L$11)," "," "),CHAR(9)," "),CHAR(10)," "),CHAR(13)," "))),"")))</f>
        <v/>
      </c>
      <c r="DT20">
        <f>IF($DM20=0,"",IF($L$12=0,"",IFERROR(IF(ISNUMBER(INDEX(PASTE_ALL,$DF20,$L$12)),INDEX(PASTE_ALL,$DF20,$L$12),TRIM(SUBSTITUTE(SUBSTITUTE(SUBSTITUTE(SUBSTITUTE(INDEX(PASTE_ALL,$DF20,$L$12)," "," "),CHAR(9)," "),CHAR(10)," "),CHAR(13)," "))),"")))</f>
        <v/>
      </c>
      <c r="DU20">
        <f>IF($DM20=0,"",IF($L$13=0,"",IFERROR(IF(ISNUMBER(INDEX(PASTE_ALL,$DF20,$L$13)),INDEX(PASTE_ALL,$DF20,$L$13),TRIM(SUBSTITUTE(SUBSTITUTE(SUBSTITUTE(SUBSTITUTE(INDEX(PASTE_ALL,$DF20,$L$13)," "," "),CHAR(9)," "),CHAR(10)," "),CHAR(13)," "))),"")))</f>
        <v/>
      </c>
      <c r="DV20">
        <f>IF($DM20=0,"",IF($L$14=0,"",IFERROR(IF(ISNUMBER(INDEX(PASTE_ALL,$DF20,$L$14)),INDEX(PASTE_ALL,$DF20,$L$14),TRIM(SUBSTITUTE(SUBSTITUTE(SUBSTITUTE(SUBSTITUTE(INDEX(PASTE_ALL,$DF20,$L$14)," "," "),CHAR(9)," "),CHAR(10)," "),CHAR(13)," "))),"")))</f>
        <v/>
      </c>
      <c r="DW20">
        <f>IF($DM20=0,"",IF($L$15=0,"",IFERROR(IF(ISNUMBER(INDEX(PASTE_ALL,$DF20,$L$15)),INDEX(PASTE_ALL,$DF20,$L$15),IF(SUMPRODUCT(--ISNUMBER(FIND({"A","B","C","D","E","F","G","H","I","J","K","L","M","N","O","P","Q","R","S","T","U","V","W","X","Y","Z","0","1","2","3","4","5","6","7","8","9"},UPPER(TRIM(SUBSTITUTE(SUBSTITUTE(SUBSTITUTE(SUBSTITUTE(INDEX(PASTE_ALL,$DF20,$L$15)," "," "),CHAR(9)," "),CHAR(10)," "),CHAR(13)," "))))))&gt;0,TRIM(SUBSTITUTE(SUBSTITUTE(SUBSTITUTE(SUBSTITUTE(INDEX(PASTE_ALL,$DF20,$L$15)," "," "),CHAR(9)," "),CHAR(10)," "),CHAR(13)," ")),"")),"")))</f>
        <v/>
      </c>
      <c r="DX20">
        <f>IF($DM20=0,"",IF($L$16=0,"",IFERROR(IF(ISNUMBER(INDEX(PASTE_ALL,$DF20,$L$16)),INDEX(PASTE_ALL,$DF20,$L$16),SUBSTITUTE(SUBSTITUTE(TRIM(SUBSTITUTE(SUBSTITUTE(SUBSTITUTE(SUBSTITUTE(INDEX(PASTE_ALL,$DF20,$L$16)," "," "),CHAR(9)," "),CHAR(10)," "),CHAR(13)," ")),",",""),"%","")),"")))</f>
        <v/>
      </c>
      <c r="DY20">
        <f>IF($DM20=0,"",IFERROR(IF(ISNUMBER($DX20),$DX20,IF($DX20="","",IF(TRIM($DX20)="",0,IF(AND(AND(SUBSTITUTE(SUBSTITUTE(SUBSTITUTE(SUBSTITUTE(SUBSTITUTE(SUBSTITUTE(SUBSTITUTE(SUBSTITUTE(SUBSTITUTE(SUBSTITUTE(SUBSTITUTE(SUBSTITUTE(SUBSTITUTE(SUBSTITUTE(UPPER(TRIM($DX20)),"0",""),"1",""),"2",""),"3",""),"4",""),"5",""),"6",""),"7",""),"8",""),"9",""),".",""),"+",""),"-",""),"E","")="",LEN(SUBSTITUTE(SUBSTITUTE(MID(UPPER(TRIM($DX20)),1+OR(LEFT(UPPER(TRIM($DX20)),1)="+",LEFT(UPPER(TRIM($DX20)),1)="-"),999),"E+","E"),"E-","E"))=LEN(SUBSTITUTE(SUBSTITUTE(SUBSTITUTE(SUBSTITUTE(MID(UPPER(TRIM($DX20)),1+OR(LEFT(UPPER(TRIM($DX20)),1)="+",LEFT(UPPER(TRIM($DX20)),1)="-"),999),"E+","E"),"E-","E"),"+",""),"-","")),LEN(UPPER(TRIM($DX20)))-LEN(SUBSTITUTE(UPPER(TRIM($DX20)),"E",""))&lt;2,LEN(UPPER(TRIM($DX20)))-LEN(SUBSTITUTE(UPPER(TRIM($DX20)),".",""))&lt;2,IFERROR(FIND(".",UPPER(TRIM($DX20))),0)&lt;IFERROR(FIND("E",UPPER(TRIM($DX20))),999)),ISNUMBER(VALUE(TRIM($DX20)))),VALUE(TRIM($DX20)),"")))),""))</f>
        <v/>
      </c>
      <c r="DZ20">
        <f>IF($DM20=0,"",IF($L$17=0,"",IFERROR(IF(ISNUMBER(INDEX(PASTE_ALL,$DF20,$L$17)),INDEX(PASTE_ALL,$DF20,$L$17),SUBSTITUTE(SUBSTITUTE(TRIM(SUBSTITUTE(SUBSTITUTE(SUBSTITUTE(SUBSTITUTE(INDEX(PASTE_ALL,$DF20,$L$17)," "," "),CHAR(9)," "),CHAR(10)," "),CHAR(13)," ")),",",""),"%","")),"")))</f>
        <v/>
      </c>
      <c r="EA20">
        <f>IF($DM20=0,"",IFERROR(IF(ISNUMBER($DZ20),$DZ20,IF($DZ20="","",IF(TRIM($DZ20)="",0,IF(AND(AND(SUBSTITUTE(SUBSTITUTE(SUBSTITUTE(SUBSTITUTE(SUBSTITUTE(SUBSTITUTE(SUBSTITUTE(SUBSTITUTE(SUBSTITUTE(SUBSTITUTE(SUBSTITUTE(SUBSTITUTE(SUBSTITUTE(SUBSTITUTE(UPPER(TRIM($DZ20)),"0",""),"1",""),"2",""),"3",""),"4",""),"5",""),"6",""),"7",""),"8",""),"9",""),".",""),"+",""),"-",""),"E","")="",LEN(SUBSTITUTE(SUBSTITUTE(MID(UPPER(TRIM($DZ20)),1+OR(LEFT(UPPER(TRIM($DZ20)),1)="+",LEFT(UPPER(TRIM($DZ20)),1)="-"),999),"E+","E"),"E-","E"))=LEN(SUBSTITUTE(SUBSTITUTE(SUBSTITUTE(SUBSTITUTE(MID(UPPER(TRIM($DZ20)),1+OR(LEFT(UPPER(TRIM($DZ20)),1)="+",LEFT(UPPER(TRIM($DZ20)),1)="-"),999),"E+","E"),"E-","E"),"+",""),"-","")),LEN(UPPER(TRIM($DZ20)))-LEN(SUBSTITUTE(UPPER(TRIM($DZ20)),"E",""))&lt;2,LEN(UPPER(TRIM($DZ20)))-LEN(SUBSTITUTE(UPPER(TRIM($DZ20)),".",""))&lt;2,IFERROR(FIND(".",UPPER(TRIM($DZ20))),0)&lt;IFERROR(FIND("E",UPPER(TRIM($DZ20))),999)),ISNUMBER(VALUE(TRIM($DZ20)))),VALUE(TRIM($DZ20)),"")))),""))</f>
        <v/>
      </c>
      <c r="EB20">
        <f>IF($DM20=0,"",IF($L$18=0,"",IFERROR(IF(UPPER(TRIM(SUBSTITUTE(SUBSTITUTE(SUBSTITUTE(SUBSTITUTE(INDEX(PASTE_ALL,$DF20,$L$18)," "," "),CHAR(9)," "),CHAR(10)," "),CHAR(13)," ")))="READY","Ready",IF(UPPER(TRIM(SUBSTITUTE(SUBSTITUTE(SUBSTITUTE(SUBSTITUTE(INDEX(PASTE_ALL,$DF20,$L$18)," "," "),CHAR(9)," "),CHAR(10)," "),CHAR(13)," ")))="PM","PM",IF(OR(UPPER(TRIM(SUBSTITUTE(SUBSTITUTE(SUBSTITUTE(SUBSTITUTE(INDEX(PASTE_ALL,$DF20,$L$18)," "," "),CHAR(9)," "),CHAR(10)," "),CHAR(13)," ")))="OT",UPPER(TRIM(SUBSTITUTE(SUBSTITUTE(SUBSTITUTE(SUBSTITUTE(INDEX(PASTE_ALL,$DF20,$L$18)," "," "),CHAR(9)," "),CHAR(10)," "),CHAR(13)," ")))="OVERTIME",UPPER(TRIM(SUBSTITUTE(SUBSTITUTE(SUBSTITUTE(SUBSTITUTE(INDEX(PASTE_ALL,$DF20,$L$18)," "," "),CHAR(9)," "),CHAR(10)," "),CHAR(13)," ")))="TRIAL"),"OT",TRIM(SUBSTITUTE(SUBSTITUTE(SUBSTITUTE(SUBSTITUTE(INDEX(PASTE_ALL,$DF20,$L$18)," "," "),CHAR(9)," "),CHAR(10)," "),CHAR(13)," "))))),"")))</f>
        <v/>
      </c>
      <c r="EC20">
        <f>IF($DM20=0,"",IF($L$19=0,"",IFERROR(IF(ISNUMBER(INDEX(PASTE_ALL,$DF20,$L$19)),INDEX(PASTE_ALL,$DF20,$L$19),TRIM(SUBSTITUTE(SUBSTITUTE(SUBSTITUTE(SUBSTITUTE(INDEX(PASTE_ALL,$DF20,$L$19)," "," "),CHAR(9)," "),CHAR(10)," "),CHAR(13)," "))),"")))</f>
        <v/>
      </c>
      <c r="ED20">
        <f>IF($DM20=0,"",MATCH(1,INDEX(EXACT($DH$5:DH20,$DH20)*$DM$5:DM20,0),0))</f>
        <v/>
      </c>
      <c r="EE20">
        <f>IF($DM20=0,0,IF($ED20=$DE20,1,0))</f>
        <v/>
      </c>
      <c r="EF20">
        <f>EF19+$EE20</f>
        <v/>
      </c>
      <c r="EG20">
        <f>IF($DM20=0,"",INDEX($EF$5:$EF$1003,$ED20))</f>
        <v/>
      </c>
      <c r="EH20">
        <f>IF($DM20=0,"",IF($DO20&lt;&gt;"","",IFERROR(LOOKUP(2,1/(($EG$4:EG19=$EG20)*($DO$4:DO19&lt;&gt;"")),$DO$4:DO19),"")))</f>
        <v/>
      </c>
      <c r="EI20">
        <f>IF($DM20=0,"",IF($DO20&lt;&gt;"",$DO20,$EH20))</f>
        <v/>
      </c>
      <c r="EJ20">
        <f>IF($DM20=0,"",IF($EI20="",0,IF(OR(ISNUMBER($EI20),AND(AND(SUBSTITUTE(SUBSTITUTE(SUBSTITUTE(SUBSTITUTE(SUBSTITUTE(SUBSTITUTE(SUBSTITUTE(SUBSTITUTE(SUBSTITUTE(SUBSTITUTE(SUBSTITUTE(SUBSTITUTE(SUBSTITUTE(SUBSTITUTE(UPPER($EI20),"0",""),"1",""),"2",""),"3",""),"4",""),"5",""),"6",""),"7",""),"8",""),"9",""),".",""),"+",""),"-",""),"E","")="",LEN(SUBSTITUTE(SUBSTITUTE(MID(UPPER($EI20),1+OR(LEFT(UPPER($EI20),1)="+",LEFT(UPPER($EI20),1)="-"),999),"E+","E"),"E-","E"))=LEN(SUBSTITUTE(SUBSTITUTE(SUBSTITUTE(SUBSTITUTE(MID(UPPER($EI20),1+OR(LEFT(UPPER($EI20),1)="+",LEFT(UPPER($EI20),1)="-"),999),"E+","E"),"E-","E"),"+",""),"-","")),LEN(UPPER($EI20))-LEN(SUBSTITUTE(UPPER($EI20),"E",""))&lt;2,LEN(UPPER($EI20))-LEN(SUBSTITUTE(UPPER($EI20),".",""))&lt;2,IFERROR(FIND(".",UPPER($EI20)),0)&lt;IFERROR(FIND("E",UPPER($EI20)),999)),ISNUMBER(VALUE($EI20)))),1,2)))</f>
        <v/>
      </c>
      <c r="EK20">
        <f>IF($DM20=0,"",IF($EJ20=1,IF(ISNUMBER($EI20),$EI20,VALUE($EI20)),IF($EJ20=2,$DE20,0)))</f>
        <v/>
      </c>
      <c r="EL20">
        <f>IF($DM20=0,"",COUNTIF($EG$5:$EG$1003,"&lt;"&amp;$EG20)+SUMPRODUCT(($EG$5:$EG$1003=$EG20)*(($EJ$5:$EJ$1003&lt;$EJ20)+($EJ$5:$EJ$1003=$EJ20)*(($EK$5:$EK$1003&lt;$EK20)+($EK$5:$EK$1003=$EK20)*($DE$5:$DE$1003&lt;$DE20))))+1)</f>
        <v/>
      </c>
      <c r="EM20">
        <f>IF($DM20=0,"",$EL20+$EG20-1)</f>
        <v/>
      </c>
      <c r="EN20">
        <f>IF($DM20=0,0,IFERROR(MATCH(1,INDEX(--(TRIM(SUBSTITUTE(SUBSTITUTE(SUBSTITUTE(SUBSTITUTE(LINES_NAME&amp;""," "," "),CHAR(9)," "),CHAR(10)," "),CHAR(13)," "))=$DH20),0),0),0))</f>
        <v/>
      </c>
      <c r="EO20">
        <f>IF($EN20=0,0,IF(OR(UPPER(TRIM(INDEX(LINES_SCHEDULED,$EN20)&amp;""))="YES",UPPER(TRIM(INDEX(LINES_SCHEDULED,$EN20)&amp;""))="Y",UPPER(TRIM(INDEX(LINES_SCHEDULED,$EN20)&amp;""))="X"),1,0))</f>
        <v/>
      </c>
      <c r="EP20">
        <f>IF($DM20=0,"",IF(COUNTIFS($EG$5:$EG$1003,$EG20,$EB$5:$EB$1003,"Ready")&gt;0,"READY",IF(COUNTIFS($EG$5:$EG$1003,$EG20,$EB$5:$EB$1003,"PM")&gt;0,"PM",IF(COUNTIFS($EG$5:$EG$1003,$EG20,$EB$5:$EB$1003,"OT")&gt;0,"OT",""))))</f>
        <v/>
      </c>
      <c r="EQ20">
        <f>IF($EN20=0,"",UPPER(TRIM(INDEX(LINES_STATUS,$EN20)&amp;"")))</f>
        <v/>
      </c>
      <c r="ER20">
        <f>IF($DM20=0,"",IF(OR($EQ20="READY",$EQ20="PM",$EQ20="OT"),$EQ20,$EP20))</f>
        <v/>
      </c>
      <c r="ES20">
        <f>IF($DM20=0,"",IF(AND($DV20&lt;&gt;"",UPPER($DV20)&lt;&gt;"N"),"allergen",IF(ISNUMBER(SEARCH("oil",$DQ20)),"oil",IF(OR(EXACT($DS20,"A662"),EXACT($DS20,"A624")),"bulk",""))))</f>
        <v/>
      </c>
      <c r="ET20">
        <f>IF($DM20=0,"",IF(OR($EA20="",$EA20=0),"",$EA20/100))</f>
        <v/>
      </c>
      <c r="EU20">
        <f>IF(OR($ET20="",$DY20=""),"",INT($DY20*(1-$ET20)+0.5))</f>
        <v/>
      </c>
      <c r="EW20" t="n">
        <v>16</v>
      </c>
      <c r="EX20">
        <f>IFERROR(MATCH($EW20,$EM$5:$EM$1003,0),0)</f>
        <v/>
      </c>
      <c r="EY20">
        <f>IF($EW20&gt;$B$12,"",IF($EX20&gt;0,"row","spacer"))</f>
        <v/>
      </c>
      <c r="EZ20">
        <f>IF(AND($EY20="row",$EY19&lt;&gt;"row"),1,0)</f>
        <v/>
      </c>
      <c r="FA20">
        <f>IF(AND($EY20="row",$EY21&lt;&gt;"row"),1,0)</f>
        <v/>
      </c>
      <c r="FB20">
        <f>IF($EZ20=1,IFERROR(IF(ISNUMBER(INDEX(PASTE_ALL,INDEX($DF$5:$DF$1003,$EX20),$B$37)),INDEX(PASTE_ALL,INDEX($DF$5:$DF$1003,$EX20),$B$37),INDEX($DH$5:$DH$1003,$EX20)),INDEX($DH$5:$DH$1003,$EX20)),"")</f>
        <v/>
      </c>
      <c r="FC20">
        <f>IF($EY20="row",INDEX($ER$5:$ER$1003,$EX20),"")</f>
        <v/>
      </c>
      <c r="FD20">
        <f>IF($EY20="row",INDEX($DN$5:$DN$1003,$EX20),"")</f>
        <v/>
      </c>
      <c r="FE20">
        <f>IF($EY20="row",INDEX($DO$5:$DO$1003,$EX20),"")</f>
        <v/>
      </c>
      <c r="FF20">
        <f>IF($EY20="row",INDEX($DP$5:$DP$1003,$EX20),"")</f>
        <v/>
      </c>
      <c r="FG20">
        <f>IF($EY20="row",INDEX($DQ$5:$DQ$1003,$EX20),"")</f>
        <v/>
      </c>
      <c r="FH20">
        <f>IF($EY20="row",INDEX($DR$5:$DR$1003,$EX20),"")</f>
        <v/>
      </c>
      <c r="FI20">
        <f>IF($EY20="row",INDEX($DS$5:$DS$1003,$EX20),"")</f>
        <v/>
      </c>
      <c r="FJ20">
        <f>IF($EY20="row",INDEX($DT$5:$DT$1003,$EX20),"")</f>
        <v/>
      </c>
      <c r="FK20">
        <f>IF($EY20="row",INDEX($DU$5:$DU$1003,$EX20),"")</f>
        <v/>
      </c>
      <c r="FL20">
        <f>IF($EY20="row",INDEX($DV$5:$DV$1003,$EX20),"")</f>
        <v/>
      </c>
      <c r="FM20">
        <f>IF($EY20="row",INDEX($DW$5:$DW$1003,$EX20),"")</f>
        <v/>
      </c>
      <c r="FN20">
        <f>IF($EY20="row",INDEX($DY$5:$DY$1003,$EX20),"")</f>
        <v/>
      </c>
      <c r="FO20">
        <f>IF($EY20="row",INDEX($EA$5:$EA$1003,$EX20),"")</f>
        <v/>
      </c>
      <c r="FP20">
        <f>IF($EY20="row",INDEX($EC$5:$EC$1003,$EX20),"")</f>
        <v/>
      </c>
      <c r="FQ20">
        <f>IF($EY20="row",INDEX($ET$5:$ET$1003,$EX20),"")</f>
        <v/>
      </c>
      <c r="FR20">
        <f>IF($EY20="row",INDEX($EU$5:$EU$1003,$EX20),"")</f>
        <v/>
      </c>
      <c r="FS20">
        <f>IF(AND($EY20="row",$EY19="row"),IF(OR(INDEX($DT$5:$DT$1003,$EX19)="",INDEX($DT$5:$DT$1003,$EX20)=""),"",IF(NOT(EXACT(INDEX($DT$5:$DT$1003,$EX19),INDEX($DT$5:$DT$1003,$EX20))),"S4",IF(NOT(EXACT(INDEX($DS$5:$DS$1003,$EX19),INDEX($DS$5:$DS$1003,$EX20))),"S3",IF(NOT(EXACT(INDEX($DR$5:$DR$1003,$EX19),INDEX($DR$5:$DR$1003,$EX20))),"S1 Count Change","S1")))),"")</f>
        <v/>
      </c>
      <c r="FT20">
        <f>IF($EY20="row",INDEX($ES$5:$ES$1003,$EX20),"")</f>
        <v/>
      </c>
      <c r="FU20">
        <f>IF($EY20="row",INDEX($EO$5:$EO$1003,$EX20),0)</f>
        <v/>
      </c>
      <c r="FV20">
        <f>IF($FS20="S1 Count Change",1,0)</f>
        <v/>
      </c>
      <c r="FX20" t="n">
        <v>16</v>
      </c>
      <c r="FY20">
        <f>IFERROR(MATCH($FX20,$EF$5:$EF$1003,0),0)</f>
        <v/>
      </c>
      <c r="FZ20">
        <f>IF($FY20=0,"",INDEX($DH$5:$DH$1003,$FY20))</f>
        <v/>
      </c>
      <c r="GA20">
        <f>IF($FY20=0,"",COUNTIF($EG$5:$EG$1003,$FX20))</f>
        <v/>
      </c>
      <c r="GB20">
        <f>IF($FY20=0,"",INDEX($ER$5:$ER$1003,$FY20))</f>
        <v/>
      </c>
      <c r="GC20">
        <f>IF($FY20=0,"",IF(INDEX($EO$5:$EO$1003,$FY20)=1,"Yes",""))</f>
        <v/>
      </c>
      <c r="GD20">
        <f>IF($FY20=0,"",IF(INDEX($EN$5:$EN$1003,$FY20)&gt;0,"","NOT IN YOUR LIST - type it in column A to tick it"))</f>
        <v/>
      </c>
      <c r="GE20">
        <f>IF(AND($FY20&gt;0,$GD20&lt;&gt;""),1,0)</f>
        <v/>
      </c>
      <c r="GF20">
        <f>GF19+$GE20</f>
        <v/>
      </c>
      <c r="GG20">
        <f>IFERROR(INDEX($FZ$5:$FZ$104,MATCH($FX20,$GF$5:$GF$104,0)),"")</f>
        <v/>
      </c>
    </row>
    <row r="21">
      <c r="A21" t="inlineStr">
        <is>
          <t>Cells right of BH</t>
        </is>
      </c>
      <c r="B21">
        <f>IFERROR(COUNTIF(INDEX(PASTE_ALL,0,61):INDEX(PASTE_ALL,0,COLUMNS(PASTE_ALL)),"&lt;&gt;"),0)</f>
        <v/>
      </c>
      <c r="S21" t="n">
        <v>17</v>
      </c>
      <c r="T21" t="inlineStr">
        <is>
          <t>Q</t>
        </is>
      </c>
      <c r="V21" t="inlineStr">
        <is>
          <t>SEQ</t>
        </is>
      </c>
      <c r="W21" t="n">
        <v>3</v>
      </c>
      <c r="Y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 ",""),"!",""),CHAR(34),""),"#",""),"$",""),"%",""),"&amp;",""),"'",""),"(",""),")",""),"*",""),"+",""),",",""),"-",""),".",""),"/",""),":",""),";",""),"&lt;",""),"=",""),"&gt;",""),"?",""),"@",""),"[",""),"\",""),"]",""),"^",""),"_",""),"`",""),"{",""),"|",""),"}",""),"~",""),CHAR(9),""),CHAR(10),""),CHAR(13),"")," ",""),"")</f>
        <v/>
      </c>
      <c r="Z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 ",""),"!",""),CHAR(34),""),"#",""),"$",""),"%",""),"&amp;",""),"'",""),"(",""),")",""),"*",""),"+",""),",",""),"-",""),".",""),"/",""),":",""),";",""),"&lt;",""),"=",""),"&gt;",""),"?",""),"@",""),"[",""),"\",""),"]",""),"^",""),"_",""),"`",""),"{",""),"|",""),"}",""),"~",""),CHAR(9),""),CHAR(10),""),CHAR(13),"")," ",""),"")</f>
        <v/>
      </c>
      <c r="AA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 ",""),"!",""),CHAR(34),""),"#",""),"$",""),"%",""),"&amp;",""),"'",""),"(",""),")",""),"*",""),"+",""),",",""),"-",""),".",""),"/",""),":",""),";",""),"&lt;",""),"=",""),"&gt;",""),"?",""),"@",""),"[",""),"\",""),"]",""),"^",""),"_",""),"`",""),"{",""),"|",""),"}",""),"~",""),CHAR(9),""),CHAR(10),""),CHAR(13),"")," ",""),"")</f>
        <v/>
      </c>
      <c r="AB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 ",""),"!",""),CHAR(34),""),"#",""),"$",""),"%",""),"&amp;",""),"'",""),"(",""),")",""),"*",""),"+",""),",",""),"-",""),".",""),"/",""),":",""),";",""),"&lt;",""),"=",""),"&gt;",""),"?",""),"@",""),"[",""),"\",""),"]",""),"^",""),"_",""),"`",""),"{",""),"|",""),"}",""),"~",""),CHAR(9),""),CHAR(10),""),CHAR(13),"")," ",""),"")</f>
        <v/>
      </c>
      <c r="AC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 ",""),"!",""),CHAR(34),""),"#",""),"$",""),"%",""),"&amp;",""),"'",""),"(",""),")",""),"*",""),"+",""),",",""),"-",""),".",""),"/",""),":",""),";",""),"&lt;",""),"=",""),"&gt;",""),"?",""),"@",""),"[",""),"\",""),"]",""),"^",""),"_",""),"`",""),"{",""),"|",""),"}",""),"~",""),CHAR(9),""),CHAR(10),""),CHAR(13),"")," ",""),"")</f>
        <v/>
      </c>
      <c r="AD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17,6))," ",""),"!",""),CHAR(34),""),"#",""),"$",""),"%",""),"&amp;",""),"'",""),"(",""),")",""),"*",""),"+",""),",",""),"-",""),".",""),"/",""),":",""),";",""),"&lt;",""),"=",""),"&gt;",""),"?",""),"@",""),"[",""),"\",""),"]",""),"^",""),"_",""),"`",""),"{",""),"|",""),"}",""),"~",""),CHAR(9),""),CHAR(10),""),CHAR(13),"")," ",""),"")</f>
        <v/>
      </c>
      <c r="AE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17,7))," ",""),"!",""),CHAR(34),""),"#",""),"$",""),"%",""),"&amp;",""),"'",""),"(",""),")",""),"*",""),"+",""),",",""),"-",""),".",""),"/",""),":",""),";",""),"&lt;",""),"=",""),"&gt;",""),"?",""),"@",""),"[",""),"\",""),"]",""),"^",""),"_",""),"`",""),"{",""),"|",""),"}",""),"~",""),CHAR(9),""),CHAR(10),""),CHAR(13),"")," ",""),"")</f>
        <v/>
      </c>
      <c r="AF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17,8))," ",""),"!",""),CHAR(34),""),"#",""),"$",""),"%",""),"&amp;",""),"'",""),"(",""),")",""),"*",""),"+",""),",",""),"-",""),".",""),"/",""),":",""),";",""),"&lt;",""),"=",""),"&gt;",""),"?",""),"@",""),"[",""),"\",""),"]",""),"^",""),"_",""),"`",""),"{",""),"|",""),"}",""),"~",""),CHAR(9),""),CHAR(10),""),CHAR(13),"")," ",""),"")</f>
        <v/>
      </c>
      <c r="AG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17,9))," ",""),"!",""),CHAR(34),""),"#",""),"$",""),"%",""),"&amp;",""),"'",""),"(",""),")",""),"*",""),"+",""),",",""),"-",""),".",""),"/",""),":",""),";",""),"&lt;",""),"=",""),"&gt;",""),"?",""),"@",""),"[",""),"\",""),"]",""),"^",""),"_",""),"`",""),"{",""),"|",""),"}",""),"~",""),CHAR(9),""),CHAR(10),""),CHAR(13),"")," ",""),"")</f>
        <v/>
      </c>
      <c r="AH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17,10))," ",""),"!",""),CHAR(34),""),"#",""),"$",""),"%",""),"&amp;",""),"'",""),"(",""),")",""),"*",""),"+",""),",",""),"-",""),".",""),"/",""),":",""),";",""),"&lt;",""),"=",""),"&gt;",""),"?",""),"@",""),"[",""),"\",""),"]",""),"^",""),"_",""),"`",""),"{",""),"|",""),"}",""),"~",""),CHAR(9),""),CHAR(10),""),CHAR(13),"")," ",""),"")</f>
        <v/>
      </c>
      <c r="AI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17,11))," ",""),"!",""),CHAR(34),""),"#",""),"$",""),"%",""),"&amp;",""),"'",""),"(",""),")",""),"*",""),"+",""),",",""),"-",""),".",""),"/",""),":",""),";",""),"&lt;",""),"=",""),"&gt;",""),"?",""),"@",""),"[",""),"\",""),"]",""),"^",""),"_",""),"`",""),"{",""),"|",""),"}",""),"~",""),CHAR(9),""),CHAR(10),""),CHAR(13),"")," ",""),"")</f>
        <v/>
      </c>
      <c r="AJ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17,12))," ",""),"!",""),CHAR(34),""),"#",""),"$",""),"%",""),"&amp;",""),"'",""),"(",""),")",""),"*",""),"+",""),",",""),"-",""),".",""),"/",""),":",""),";",""),"&lt;",""),"=",""),"&gt;",""),"?",""),"@",""),"[",""),"\",""),"]",""),"^",""),"_",""),"`",""),"{",""),"|",""),"}",""),"~",""),CHAR(9),""),CHAR(10),""),CHAR(13),"")," ",""),"")</f>
        <v/>
      </c>
      <c r="AK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17,13))," ",""),"!",""),CHAR(34),""),"#",""),"$",""),"%",""),"&amp;",""),"'",""),"(",""),")",""),"*",""),"+",""),",",""),"-",""),".",""),"/",""),":",""),";",""),"&lt;",""),"=",""),"&gt;",""),"?",""),"@",""),"[",""),"\",""),"]",""),"^",""),"_",""),"`",""),"{",""),"|",""),"}",""),"~",""),CHAR(9),""),CHAR(10),""),CHAR(13),"")," ",""),"")</f>
        <v/>
      </c>
      <c r="AL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17,14))," ",""),"!",""),CHAR(34),""),"#",""),"$",""),"%",""),"&amp;",""),"'",""),"(",""),")",""),"*",""),"+",""),",",""),"-",""),".",""),"/",""),":",""),";",""),"&lt;",""),"=",""),"&gt;",""),"?",""),"@",""),"[",""),"\",""),"]",""),"^",""),"_",""),"`",""),"{",""),"|",""),"}",""),"~",""),CHAR(9),""),CHAR(10),""),CHAR(13),"")," ",""),"")</f>
        <v/>
      </c>
      <c r="AM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17,15))," ",""),"!",""),CHAR(34),""),"#",""),"$",""),"%",""),"&amp;",""),"'",""),"(",""),")",""),"*",""),"+",""),",",""),"-",""),".",""),"/",""),":",""),";",""),"&lt;",""),"=",""),"&gt;",""),"?",""),"@",""),"[",""),"\",""),"]",""),"^",""),"_",""),"`",""),"{",""),"|",""),"}",""),"~",""),CHAR(9),""),CHAR(10),""),CHAR(13),"")," ",""),"")</f>
        <v/>
      </c>
      <c r="AN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17,16))," ",""),"!",""),CHAR(34),""),"#",""),"$",""),"%",""),"&amp;",""),"'",""),"(",""),")",""),"*",""),"+",""),",",""),"-",""),".",""),"/",""),":",""),";",""),"&lt;",""),"=",""),"&gt;",""),"?",""),"@",""),"[",""),"\",""),"]",""),"^",""),"_",""),"`",""),"{",""),"|",""),"}",""),"~",""),CHAR(9),""),CHAR(10),""),CHAR(13),"")," ",""),"")</f>
        <v/>
      </c>
      <c r="AO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17,17))," ",""),"!",""),CHAR(34),""),"#",""),"$",""),"%",""),"&amp;",""),"'",""),"(",""),")",""),"*",""),"+",""),",",""),"-",""),".",""),"/",""),":",""),";",""),"&lt;",""),"=",""),"&gt;",""),"?",""),"@",""),"[",""),"\",""),"]",""),"^",""),"_",""),"`",""),"{",""),"|",""),"}",""),"~",""),CHAR(9),""),CHAR(10),""),CHAR(13),"")," ",""),"")</f>
        <v/>
      </c>
      <c r="AP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17,18))," ",""),"!",""),CHAR(34),""),"#",""),"$",""),"%",""),"&amp;",""),"'",""),"(",""),")",""),"*",""),"+",""),",",""),"-",""),".",""),"/",""),":",""),";",""),"&lt;",""),"=",""),"&gt;",""),"?",""),"@",""),"[",""),"\",""),"]",""),"^",""),"_",""),"`",""),"{",""),"|",""),"}",""),"~",""),CHAR(9),""),CHAR(10),""),CHAR(13),"")," ",""),"")</f>
        <v/>
      </c>
      <c r="AQ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17,19))," ",""),"!",""),CHAR(34),""),"#",""),"$",""),"%",""),"&amp;",""),"'",""),"(",""),")",""),"*",""),"+",""),",",""),"-",""),".",""),"/",""),":",""),";",""),"&lt;",""),"=",""),"&gt;",""),"?",""),"@",""),"[",""),"\",""),"]",""),"^",""),"_",""),"`",""),"{",""),"|",""),"}",""),"~",""),CHAR(9),""),CHAR(10),""),CHAR(13),"")," ",""),"")</f>
        <v/>
      </c>
      <c r="AR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17,20))," ",""),"!",""),CHAR(34),""),"#",""),"$",""),"%",""),"&amp;",""),"'",""),"(",""),")",""),"*",""),"+",""),",",""),"-",""),".",""),"/",""),":",""),";",""),"&lt;",""),"=",""),"&gt;",""),"?",""),"@",""),"[",""),"\",""),"]",""),"^",""),"_",""),"`",""),"{",""),"|",""),"}",""),"~",""),CHAR(9),""),CHAR(10),""),CHAR(13),"")," ",""),"")</f>
        <v/>
      </c>
      <c r="AS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17,21))," ",""),"!",""),CHAR(34),""),"#",""),"$",""),"%",""),"&amp;",""),"'",""),"(",""),")",""),"*",""),"+",""),",",""),"-",""),".",""),"/",""),":",""),";",""),"&lt;",""),"=",""),"&gt;",""),"?",""),"@",""),"[",""),"\",""),"]",""),"^",""),"_",""),"`",""),"{",""),"|",""),"}",""),"~",""),CHAR(9),""),CHAR(10),""),CHAR(13),"")," ",""),"")</f>
        <v/>
      </c>
      <c r="AT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17,22))," ",""),"!",""),CHAR(34),""),"#",""),"$",""),"%",""),"&amp;",""),"'",""),"(",""),")",""),"*",""),"+",""),",",""),"-",""),".",""),"/",""),":",""),";",""),"&lt;",""),"=",""),"&gt;",""),"?",""),"@",""),"[",""),"\",""),"]",""),"^",""),"_",""),"`",""),"{",""),"|",""),"}",""),"~",""),CHAR(9),""),CHAR(10),""),CHAR(13),"")," ",""),"")</f>
        <v/>
      </c>
      <c r="AU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17,23))," ",""),"!",""),CHAR(34),""),"#",""),"$",""),"%",""),"&amp;",""),"'",""),"(",""),")",""),"*",""),"+",""),",",""),"-",""),".",""),"/",""),":",""),";",""),"&lt;",""),"=",""),"&gt;",""),"?",""),"@",""),"[",""),"\",""),"]",""),"^",""),"_",""),"`",""),"{",""),"|",""),"}",""),"~",""),CHAR(9),""),CHAR(10),""),CHAR(13),"")," ",""),"")</f>
        <v/>
      </c>
      <c r="AV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17,24))," ",""),"!",""),CHAR(34),""),"#",""),"$",""),"%",""),"&amp;",""),"'",""),"(",""),")",""),"*",""),"+",""),",",""),"-",""),".",""),"/",""),":",""),";",""),"&lt;",""),"=",""),"&gt;",""),"?",""),"@",""),"[",""),"\",""),"]",""),"^",""),"_",""),"`",""),"{",""),"|",""),"}",""),"~",""),CHAR(9),""),CHAR(10),""),CHAR(13),"")," ",""),"")</f>
        <v/>
      </c>
      <c r="AW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17,25))," ",""),"!",""),CHAR(34),""),"#",""),"$",""),"%",""),"&amp;",""),"'",""),"(",""),")",""),"*",""),"+",""),",",""),"-",""),".",""),"/",""),":",""),";",""),"&lt;",""),"=",""),"&gt;",""),"?",""),"@",""),"[",""),"\",""),"]",""),"^",""),"_",""),"`",""),"{",""),"|",""),"}",""),"~",""),CHAR(9),""),CHAR(10),""),CHAR(13),"")," ",""),"")</f>
        <v/>
      </c>
      <c r="AX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17,26))," ",""),"!",""),CHAR(34),""),"#",""),"$",""),"%",""),"&amp;",""),"'",""),"(",""),")",""),"*",""),"+",""),",",""),"-",""),".",""),"/",""),":",""),";",""),"&lt;",""),"=",""),"&gt;",""),"?",""),"@",""),"[",""),"\",""),"]",""),"^",""),"_",""),"`",""),"{",""),"|",""),"}",""),"~",""),CHAR(9),""),CHAR(10),""),CHAR(13),"")," ",""),"")</f>
        <v/>
      </c>
      <c r="AY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17,27))," ",""),"!",""),CHAR(34),""),"#",""),"$",""),"%",""),"&amp;",""),"'",""),"(",""),")",""),"*",""),"+",""),",",""),"-",""),".",""),"/",""),":",""),";",""),"&lt;",""),"=",""),"&gt;",""),"?",""),"@",""),"[",""),"\",""),"]",""),"^",""),"_",""),"`",""),"{",""),"|",""),"}",""),"~",""),CHAR(9),""),CHAR(10),""),CHAR(13),"")," ",""),"")</f>
        <v/>
      </c>
      <c r="AZ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17,28))," ",""),"!",""),CHAR(34),""),"#",""),"$",""),"%",""),"&amp;",""),"'",""),"(",""),")",""),"*",""),"+",""),",",""),"-",""),".",""),"/",""),":",""),";",""),"&lt;",""),"=",""),"&gt;",""),"?",""),"@",""),"[",""),"\",""),"]",""),"^",""),"_",""),"`",""),"{",""),"|",""),"}",""),"~",""),CHAR(9),""),CHAR(10),""),CHAR(13),"")," ",""),"")</f>
        <v/>
      </c>
      <c r="BA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17,29))," ",""),"!",""),CHAR(34),""),"#",""),"$",""),"%",""),"&amp;",""),"'",""),"(",""),")",""),"*",""),"+",""),",",""),"-",""),".",""),"/",""),":",""),";",""),"&lt;",""),"=",""),"&gt;",""),"?",""),"@",""),"[",""),"\",""),"]",""),"^",""),"_",""),"`",""),"{",""),"|",""),"}",""),"~",""),CHAR(9),""),CHAR(10),""),CHAR(13),"")," ",""),"")</f>
        <v/>
      </c>
      <c r="BB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17,30))," ",""),"!",""),CHAR(34),""),"#",""),"$",""),"%",""),"&amp;",""),"'",""),"(",""),")",""),"*",""),"+",""),",",""),"-",""),".",""),"/",""),":",""),";",""),"&lt;",""),"=",""),"&gt;",""),"?",""),"@",""),"[",""),"\",""),"]",""),"^",""),"_",""),"`",""),"{",""),"|",""),"}",""),"~",""),CHAR(9),""),CHAR(10),""),CHAR(13),"")," ",""),"")</f>
        <v/>
      </c>
      <c r="BC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17,31))," ",""),"!",""),CHAR(34),""),"#",""),"$",""),"%",""),"&amp;",""),"'",""),"(",""),")",""),"*",""),"+",""),",",""),"-",""),".",""),"/",""),":",""),";",""),"&lt;",""),"=",""),"&gt;",""),"?",""),"@",""),"[",""),"\",""),"]",""),"^",""),"_",""),"`",""),"{",""),"|",""),"}",""),"~",""),CHAR(9),""),CHAR(10),""),CHAR(13),"")," ",""),"")</f>
        <v/>
      </c>
      <c r="BD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17,32))," ",""),"!",""),CHAR(34),""),"#",""),"$",""),"%",""),"&amp;",""),"'",""),"(",""),")",""),"*",""),"+",""),",",""),"-",""),".",""),"/",""),":",""),";",""),"&lt;",""),"=",""),"&gt;",""),"?",""),"@",""),"[",""),"\",""),"]",""),"^",""),"_",""),"`",""),"{",""),"|",""),"}",""),"~",""),CHAR(9),""),CHAR(10),""),CHAR(13),"")," ",""),"")</f>
        <v/>
      </c>
      <c r="BE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17,33))," ",""),"!",""),CHAR(34),""),"#",""),"$",""),"%",""),"&amp;",""),"'",""),"(",""),")",""),"*",""),"+",""),",",""),"-",""),".",""),"/",""),":",""),";",""),"&lt;",""),"=",""),"&gt;",""),"?",""),"@",""),"[",""),"\",""),"]",""),"^",""),"_",""),"`",""),"{",""),"|",""),"}",""),"~",""),CHAR(9),""),CHAR(10),""),CHAR(13),"")," ",""),"")</f>
        <v/>
      </c>
      <c r="BF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17,34))," ",""),"!",""),CHAR(34),""),"#",""),"$",""),"%",""),"&amp;",""),"'",""),"(",""),")",""),"*",""),"+",""),",",""),"-",""),".",""),"/",""),":",""),";",""),"&lt;",""),"=",""),"&gt;",""),"?",""),"@",""),"[",""),"\",""),"]",""),"^",""),"_",""),"`",""),"{",""),"|",""),"}",""),"~",""),CHAR(9),""),CHAR(10),""),CHAR(13),"")," ",""),"")</f>
        <v/>
      </c>
      <c r="BG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17,35))," ",""),"!",""),CHAR(34),""),"#",""),"$",""),"%",""),"&amp;",""),"'",""),"(",""),")",""),"*",""),"+",""),",",""),"-",""),".",""),"/",""),":",""),";",""),"&lt;",""),"=",""),"&gt;",""),"?",""),"@",""),"[",""),"\",""),"]",""),"^",""),"_",""),"`",""),"{",""),"|",""),"}",""),"~",""),CHAR(9),""),CHAR(10),""),CHAR(13),"")," ",""),"")</f>
        <v/>
      </c>
      <c r="BH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17,36))," ",""),"!",""),CHAR(34),""),"#",""),"$",""),"%",""),"&amp;",""),"'",""),"(",""),")",""),"*",""),"+",""),",",""),"-",""),".",""),"/",""),":",""),";",""),"&lt;",""),"=",""),"&gt;",""),"?",""),"@",""),"[",""),"\",""),"]",""),"^",""),"_",""),"`",""),"{",""),"|",""),"}",""),"~",""),CHAR(9),""),CHAR(10),""),CHAR(13),"")," ",""),"")</f>
        <v/>
      </c>
      <c r="BI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17,37))," ",""),"!",""),CHAR(34),""),"#",""),"$",""),"%",""),"&amp;",""),"'",""),"(",""),")",""),"*",""),"+",""),",",""),"-",""),".",""),"/",""),":",""),";",""),"&lt;",""),"=",""),"&gt;",""),"?",""),"@",""),"[",""),"\",""),"]",""),"^",""),"_",""),"`",""),"{",""),"|",""),"}",""),"~",""),CHAR(9),""),CHAR(10),""),CHAR(13),"")," ",""),"")</f>
        <v/>
      </c>
      <c r="BJ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17,38))," ",""),"!",""),CHAR(34),""),"#",""),"$",""),"%",""),"&amp;",""),"'",""),"(",""),")",""),"*",""),"+",""),",",""),"-",""),".",""),"/",""),":",""),";",""),"&lt;",""),"=",""),"&gt;",""),"?",""),"@",""),"[",""),"\",""),"]",""),"^",""),"_",""),"`",""),"{",""),"|",""),"}",""),"~",""),CHAR(9),""),CHAR(10),""),CHAR(13),"")," ",""),"")</f>
        <v/>
      </c>
      <c r="BK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17,39))," ",""),"!",""),CHAR(34),""),"#",""),"$",""),"%",""),"&amp;",""),"'",""),"(",""),")",""),"*",""),"+",""),",",""),"-",""),".",""),"/",""),":",""),";",""),"&lt;",""),"=",""),"&gt;",""),"?",""),"@",""),"[",""),"\",""),"]",""),"^",""),"_",""),"`",""),"{",""),"|",""),"}",""),"~",""),CHAR(9),""),CHAR(10),""),CHAR(13),"")," ",""),"")</f>
        <v/>
      </c>
      <c r="BL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17,40))," ",""),"!",""),CHAR(34),""),"#",""),"$",""),"%",""),"&amp;",""),"'",""),"(",""),")",""),"*",""),"+",""),",",""),"-",""),".",""),"/",""),":",""),";",""),"&lt;",""),"=",""),"&gt;",""),"?",""),"@",""),"[",""),"\",""),"]",""),"^",""),"_",""),"`",""),"{",""),"|",""),"}",""),"~",""),CHAR(9),""),CHAR(10),""),CHAR(13),"")," ",""),"")</f>
        <v/>
      </c>
      <c r="BM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17,41))," ",""),"!",""),CHAR(34),""),"#",""),"$",""),"%",""),"&amp;",""),"'",""),"(",""),")",""),"*",""),"+",""),",",""),"-",""),".",""),"/",""),":",""),";",""),"&lt;",""),"=",""),"&gt;",""),"?",""),"@",""),"[",""),"\",""),"]",""),"^",""),"_",""),"`",""),"{",""),"|",""),"}",""),"~",""),CHAR(9),""),CHAR(10),""),CHAR(13),"")," ",""),"")</f>
        <v/>
      </c>
      <c r="BN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17,42))," ",""),"!",""),CHAR(34),""),"#",""),"$",""),"%",""),"&amp;",""),"'",""),"(",""),")",""),"*",""),"+",""),",",""),"-",""),".",""),"/",""),":",""),";",""),"&lt;",""),"=",""),"&gt;",""),"?",""),"@",""),"[",""),"\",""),"]",""),"^",""),"_",""),"`",""),"{",""),"|",""),"}",""),"~",""),CHAR(9),""),CHAR(10),""),CHAR(13),"")," ",""),"")</f>
        <v/>
      </c>
      <c r="BO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17,43))," ",""),"!",""),CHAR(34),""),"#",""),"$",""),"%",""),"&amp;",""),"'",""),"(",""),")",""),"*",""),"+",""),",",""),"-",""),".",""),"/",""),":",""),";",""),"&lt;",""),"=",""),"&gt;",""),"?",""),"@",""),"[",""),"\",""),"]",""),"^",""),"_",""),"`",""),"{",""),"|",""),"}",""),"~",""),CHAR(9),""),CHAR(10),""),CHAR(13),"")," ",""),"")</f>
        <v/>
      </c>
      <c r="BP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17,44))," ",""),"!",""),CHAR(34),""),"#",""),"$",""),"%",""),"&amp;",""),"'",""),"(",""),")",""),"*",""),"+",""),",",""),"-",""),".",""),"/",""),":",""),";",""),"&lt;",""),"=",""),"&gt;",""),"?",""),"@",""),"[",""),"\",""),"]",""),"^",""),"_",""),"`",""),"{",""),"|",""),"}",""),"~",""),CHAR(9),""),CHAR(10),""),CHAR(13),"")," ",""),"")</f>
        <v/>
      </c>
      <c r="BQ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17,45))," ",""),"!",""),CHAR(34),""),"#",""),"$",""),"%",""),"&amp;",""),"'",""),"(",""),")",""),"*",""),"+",""),",",""),"-",""),".",""),"/",""),":",""),";",""),"&lt;",""),"=",""),"&gt;",""),"?",""),"@",""),"[",""),"\",""),"]",""),"^",""),"_",""),"`",""),"{",""),"|",""),"}",""),"~",""),CHAR(9),""),CHAR(10),""),CHAR(13),"")," ",""),"")</f>
        <v/>
      </c>
      <c r="BR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17,46))," ",""),"!",""),CHAR(34),""),"#",""),"$",""),"%",""),"&amp;",""),"'",""),"(",""),")",""),"*",""),"+",""),",",""),"-",""),".",""),"/",""),":",""),";",""),"&lt;",""),"=",""),"&gt;",""),"?",""),"@",""),"[",""),"\",""),"]",""),"^",""),"_",""),"`",""),"{",""),"|",""),"}",""),"~",""),CHAR(9),""),CHAR(10),""),CHAR(13),"")," ",""),"")</f>
        <v/>
      </c>
      <c r="BS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17,47))," ",""),"!",""),CHAR(34),""),"#",""),"$",""),"%",""),"&amp;",""),"'",""),"(",""),")",""),"*",""),"+",""),",",""),"-",""),".",""),"/",""),":",""),";",""),"&lt;",""),"=",""),"&gt;",""),"?",""),"@",""),"[",""),"\",""),"]",""),"^",""),"_",""),"`",""),"{",""),"|",""),"}",""),"~",""),CHAR(9),""),CHAR(10),""),CHAR(13),"")," ",""),"")</f>
        <v/>
      </c>
      <c r="BT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17,48))," ",""),"!",""),CHAR(34),""),"#",""),"$",""),"%",""),"&amp;",""),"'",""),"(",""),")",""),"*",""),"+",""),",",""),"-",""),".",""),"/",""),":",""),";",""),"&lt;",""),"=",""),"&gt;",""),"?",""),"@",""),"[",""),"\",""),"]",""),"^",""),"_",""),"`",""),"{",""),"|",""),"}",""),"~",""),CHAR(9),""),CHAR(10),""),CHAR(13),"")," ",""),"")</f>
        <v/>
      </c>
      <c r="BU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17,49))," ",""),"!",""),CHAR(34),""),"#",""),"$",""),"%",""),"&amp;",""),"'",""),"(",""),")",""),"*",""),"+",""),",",""),"-",""),".",""),"/",""),":",""),";",""),"&lt;",""),"=",""),"&gt;",""),"?",""),"@",""),"[",""),"\",""),"]",""),"^",""),"_",""),"`",""),"{",""),"|",""),"}",""),"~",""),CHAR(9),""),CHAR(10),""),CHAR(13),"")," ",""),"")</f>
        <v/>
      </c>
      <c r="BV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17,50))," ",""),"!",""),CHAR(34),""),"#",""),"$",""),"%",""),"&amp;",""),"'",""),"(",""),")",""),"*",""),"+",""),",",""),"-",""),".",""),"/",""),":",""),";",""),"&lt;",""),"=",""),"&gt;",""),"?",""),"@",""),"[",""),"\",""),"]",""),"^",""),"_",""),"`",""),"{",""),"|",""),"}",""),"~",""),CHAR(9),""),CHAR(10),""),CHAR(13),"")," ",""),"")</f>
        <v/>
      </c>
      <c r="BW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17,51))," ",""),"!",""),CHAR(34),""),"#",""),"$",""),"%",""),"&amp;",""),"'",""),"(",""),")",""),"*",""),"+",""),",",""),"-",""),".",""),"/",""),":",""),";",""),"&lt;",""),"=",""),"&gt;",""),"?",""),"@",""),"[",""),"\",""),"]",""),"^",""),"_",""),"`",""),"{",""),"|",""),"}",""),"~",""),CHAR(9),""),CHAR(10),""),CHAR(13),"")," ",""),"")</f>
        <v/>
      </c>
      <c r="BX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17,52))," ",""),"!",""),CHAR(34),""),"#",""),"$",""),"%",""),"&amp;",""),"'",""),"(",""),")",""),"*",""),"+",""),",",""),"-",""),".",""),"/",""),":",""),";",""),"&lt;",""),"=",""),"&gt;",""),"?",""),"@",""),"[",""),"\",""),"]",""),"^",""),"_",""),"`",""),"{",""),"|",""),"}",""),"~",""),CHAR(9),""),CHAR(10),""),CHAR(13),"")," ",""),"")</f>
        <v/>
      </c>
      <c r="BY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17,53))," ",""),"!",""),CHAR(34),""),"#",""),"$",""),"%",""),"&amp;",""),"'",""),"(",""),")",""),"*",""),"+",""),",",""),"-",""),".",""),"/",""),":",""),";",""),"&lt;",""),"=",""),"&gt;",""),"?",""),"@",""),"[",""),"\",""),"]",""),"^",""),"_",""),"`",""),"{",""),"|",""),"}",""),"~",""),CHAR(9),""),CHAR(10),""),CHAR(13),"")," ",""),"")</f>
        <v/>
      </c>
      <c r="BZ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17,54))," ",""),"!",""),CHAR(34),""),"#",""),"$",""),"%",""),"&amp;",""),"'",""),"(",""),")",""),"*",""),"+",""),",",""),"-",""),".",""),"/",""),":",""),";",""),"&lt;",""),"=",""),"&gt;",""),"?",""),"@",""),"[",""),"\",""),"]",""),"^",""),"_",""),"`",""),"{",""),"|",""),"}",""),"~",""),CHAR(9),""),CHAR(10),""),CHAR(13),"")," ",""),"")</f>
        <v/>
      </c>
      <c r="CA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17,55))," ",""),"!",""),CHAR(34),""),"#",""),"$",""),"%",""),"&amp;",""),"'",""),"(",""),")",""),"*",""),"+",""),",",""),"-",""),".",""),"/",""),":",""),";",""),"&lt;",""),"=",""),"&gt;",""),"?",""),"@",""),"[",""),"\",""),"]",""),"^",""),"_",""),"`",""),"{",""),"|",""),"}",""),"~",""),CHAR(9),""),CHAR(10),""),CHAR(13),"")," ",""),"")</f>
        <v/>
      </c>
      <c r="CB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17,56))," ",""),"!",""),CHAR(34),""),"#",""),"$",""),"%",""),"&amp;",""),"'",""),"(",""),")",""),"*",""),"+",""),",",""),"-",""),".",""),"/",""),":",""),";",""),"&lt;",""),"=",""),"&gt;",""),"?",""),"@",""),"[",""),"\",""),"]",""),"^",""),"_",""),"`",""),"{",""),"|",""),"}",""),"~",""),CHAR(9),""),CHAR(10),""),CHAR(13),"")," ",""),"")</f>
        <v/>
      </c>
      <c r="CC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17,57))," ",""),"!",""),CHAR(34),""),"#",""),"$",""),"%",""),"&amp;",""),"'",""),"(",""),")",""),"*",""),"+",""),",",""),"-",""),".",""),"/",""),":",""),";",""),"&lt;",""),"=",""),"&gt;",""),"?",""),"@",""),"[",""),"\",""),"]",""),"^",""),"_",""),"`",""),"{",""),"|",""),"}",""),"~",""),CHAR(9),""),CHAR(10),""),CHAR(13),"")," ",""),"")</f>
        <v/>
      </c>
      <c r="CD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17,58))," ",""),"!",""),CHAR(34),""),"#",""),"$",""),"%",""),"&amp;",""),"'",""),"(",""),")",""),"*",""),"+",""),",",""),"-",""),".",""),"/",""),":",""),";",""),"&lt;",""),"=",""),"&gt;",""),"?",""),"@",""),"[",""),"\",""),"]",""),"^",""),"_",""),"`",""),"{",""),"|",""),"}",""),"~",""),CHAR(9),""),CHAR(10),""),CHAR(13),"")," ",""),"")</f>
        <v/>
      </c>
      <c r="CE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17,59))," ",""),"!",""),CHAR(34),""),"#",""),"$",""),"%",""),"&amp;",""),"'",""),"(",""),")",""),"*",""),"+",""),",",""),"-",""),".",""),"/",""),":",""),";",""),"&lt;",""),"=",""),"&gt;",""),"?",""),"@",""),"[",""),"\",""),"]",""),"^",""),"_",""),"`",""),"{",""),"|",""),"}",""),"~",""),CHAR(9),""),CHAR(10),""),CHAR(13),"")," ",""),"")</f>
        <v/>
      </c>
      <c r="CF2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17,60))," ",""),"!",""),CHAR(34),""),"#",""),"$",""),"%",""),"&amp;",""),"'",""),"(",""),")",""),"*",""),"+",""),",",""),"-",""),".",""),"/",""),":",""),";",""),"&lt;",""),"=",""),"&gt;",""),"?",""),"@",""),"[",""),"\",""),"]",""),"^",""),"_",""),"`",""),"{",""),"|",""),"}",""),"~",""),CHAR(9),""),CHAR(10),""),CHAR(13),"")," ",""),"")</f>
        <v/>
      </c>
      <c r="CH21">
        <f>COUNTIF($Y66:$CF66,"&gt;0")</f>
        <v/>
      </c>
      <c r="CI21">
        <f>COUNTIF($Y66:$CF66,2)</f>
        <v/>
      </c>
      <c r="CJ21">
        <f>SUMPRODUCT((COUNTIF($Y111:$CF111,{1,2,3,4,5,6,7,8,9,10,11,12,13,14,15})&gt;0)*{2,4,8,16,32,64,128,256,512,1024,2048,4096,8192,16384,32768})</f>
        <v/>
      </c>
      <c r="CK21">
        <f>CF201</f>
        <v/>
      </c>
      <c r="CL21">
        <f>SUMPRODUCT(MOD(INT(((CJ21+CK21))/{2,4,8,16,32,64,128,256,512,1024,2048,4096,8192,16384,32768}),2))</f>
        <v/>
      </c>
      <c r="CM21">
        <f>IF(CH21&lt;2,-9999,CL21+2*MOD(INT(((CJ21+CK21))/2),2)+2*MOD(INT(((CJ21+CK21))/4),2)-CI21)</f>
        <v/>
      </c>
      <c r="DA21" t="n">
        <v>17</v>
      </c>
      <c r="DB21">
        <f>IF($B$37=0,"",IFERROR(TRIM(SUBSTITUTE(SUBSTITUTE(SUBSTITUTE(SUBSTITUTE(INDEX(PASTE_ALL,17,$B$37)," "," "),CHAR(9)," "),CHAR(10)," "),CHAR(13)," ")),""))</f>
        <v/>
      </c>
      <c r="DC21">
        <f>IF(AND(17&gt;HEADER_ROW,UPPER(DB21)="LEGEND"),1,0)</f>
        <v/>
      </c>
      <c r="DE21" t="n">
        <v>17</v>
      </c>
      <c r="DF21">
        <f>HEADER_ROW+$DE21</f>
        <v/>
      </c>
      <c r="DG21">
        <f>IF(AND($DF21&lt;=1000,$DF21&lt;$B$8),1,0)</f>
        <v/>
      </c>
      <c r="DH21">
        <f>IF($DG21=1,IFERROR(INDEX($DB$5:$DB$1004,$DF21),""),"")</f>
        <v/>
      </c>
      <c r="DI21">
        <f>IF(AND($DG21=1,$DH21&lt;&gt;""),IFERROR(SUBSTITUTE(SUBSTITUTE(TRIM(SUBSTITUTE(SUBSTITUTE(SUBSTITUTE(SUBSTITUTE(IFERROR(INDEX(PASTE_ALL,$DF21,1)&amp;"","")&amp;"␟"&amp;IFERROR(INDEX(PASTE_ALL,$DF21,2)&amp;"","")&amp;"␟"&amp;IFERROR(INDEX(PASTE_ALL,$DF21,3)&amp;"","")&amp;"␟"&amp;IFERROR(INDEX(PASTE_ALL,$DF21,4)&amp;"","")&amp;"␟"&amp;IFERROR(INDEX(PASTE_ALL,$DF21,5)&amp;"","")&amp;"␟"&amp;IFERROR(INDEX(PASTE_ALL,$DF21,6)&amp;"","")&amp;"␟"&amp;IFERROR(INDEX(PASTE_ALL,$DF21,7)&amp;"","")&amp;"␟"&amp;IFERROR(INDEX(PASTE_ALL,$DF21,8)&amp;"","")&amp;"␟"&amp;IFERROR(INDEX(PASTE_ALL,$DF21,9)&amp;"","")&amp;"␟"&amp;IFERROR(INDEX(PASTE_ALL,$DF21,10)&amp;"","")&amp;"␟"&amp;IFERROR(INDEX(PASTE_ALL,$DF21,11)&amp;"","")&amp;"␟"&amp;IFERROR(INDEX(PASTE_ALL,$DF21,12)&amp;"","")&amp;"␟"&amp;IFERROR(INDEX(PASTE_ALL,$DF21,13)&amp;"","")&amp;"␟"&amp;IFERROR(INDEX(PASTE_ALL,$DF21,14)&amp;"","")&amp;"␟"&amp;IFERROR(INDEX(PASTE_ALL,$DF21,15)&amp;"","")&amp;"␟"&amp;IFERROR(INDEX(PASTE_ALL,$DF21,16)&amp;"","")&amp;"␟"&amp;IFERROR(INDEX(PASTE_ALL,$DF21,17)&amp;"","")&amp;"␟"&amp;IFERROR(INDEX(PASTE_ALL,$DF21,18)&amp;"","")&amp;"␟"&amp;IFERROR(INDEX(PASTE_ALL,$DF21,19)&amp;"","")&amp;"␟"&amp;IFERROR(INDEX(PASTE_ALL,$DF21,20)&amp;"","")&amp;"␟"&amp;IFERROR(INDEX(PASTE_ALL,$DF21,21)&amp;"","")&amp;"␟"&amp;IFERROR(INDEX(PASTE_ALL,$DF21,22)&amp;"","")&amp;"␟"&amp;IFERROR(INDEX(PASTE_ALL,$DF21,23)&amp;"","")&amp;"␟"&amp;IFERROR(INDEX(PASTE_ALL,$DF21,24)&amp;"","")&amp;"␟"&amp;IFERROR(INDEX(PASTE_ALL,$DF21,25)&amp;"","")&amp;"␟"&amp;IFERROR(INDEX(PASTE_ALL,$DF21,26)&amp;"","")&amp;"␟"&amp;IFERROR(INDEX(PASTE_ALL,$DF21,27)&amp;"","")&amp;"␟"&amp;IFERROR(INDEX(PASTE_ALL,$DF21,28)&amp;"","")&amp;"␟"&amp;IFERROR(INDEX(PASTE_ALL,$DF21,29)&amp;"","")&amp;"␟"&amp;IFERROR(INDEX(PASTE_ALL,$DF21,30)&amp;"","")&amp;"␟"&amp;IFERROR(INDEX(PASTE_ALL,$DF21,31)&amp;"","")&amp;"␟"&amp;IFERROR(INDEX(PASTE_ALL,$DF21,32)&amp;"","")&amp;"␟"&amp;IFERROR(INDEX(PASTE_ALL,$DF21,33)&amp;"","")&amp;"␟"&amp;IFERROR(INDEX(PASTE_ALL,$DF21,34)&amp;"","")&amp;"␟"&amp;IFERROR(INDEX(PASTE_ALL,$DF21,35)&amp;"","")&amp;"␟"&amp;IFERROR(INDEX(PASTE_ALL,$DF21,36)&amp;"","")&amp;"␟"&amp;IFERROR(INDEX(PASTE_ALL,$DF21,37)&amp;"","")&amp;"␟"&amp;IFERROR(INDEX(PASTE_ALL,$DF21,38)&amp;"","")&amp;"␟"&amp;IFERROR(INDEX(PASTE_ALL,$DF21,39)&amp;"","")&amp;"␟"&amp;IFERROR(INDEX(PASTE_ALL,$DF21,40)&amp;"","")&amp;"␟"&amp;IFERROR(INDEX(PASTE_ALL,$DF21,41)&amp;"","")&amp;"␟"&amp;IFERROR(INDEX(PASTE_ALL,$DF21,42)&amp;"","")&amp;"␟"&amp;IFERROR(INDEX(PASTE_ALL,$DF21,43)&amp;"","")&amp;"␟"&amp;IFERROR(INDEX(PASTE_ALL,$DF21,44)&amp;"","")&amp;"␟"&amp;IFERROR(INDEX(PASTE_ALL,$DF21,45)&amp;"","")&amp;"␟"&amp;IFERROR(INDEX(PASTE_ALL,$DF21,46)&amp;"","")&amp;"␟"&amp;IFERROR(INDEX(PASTE_ALL,$DF21,47)&amp;"","")&amp;"␟"&amp;IFERROR(INDEX(PASTE_ALL,$DF21,48)&amp;"","")&amp;"␟"&amp;IFERROR(INDEX(PASTE_ALL,$DF21,49)&amp;"","")&amp;"␟"&amp;IFERROR(INDEX(PASTE_ALL,$DF21,50)&amp;"","")&amp;"␟"&amp;IFERROR(INDEX(PASTE_ALL,$DF21,51)&amp;"","")&amp;"␟"&amp;IFERROR(INDEX(PASTE_ALL,$DF21,52)&amp;"","")&amp;"␟"&amp;IFERROR(INDEX(PASTE_ALL,$DF21,53)&amp;"","")&amp;"␟"&amp;IFERROR(INDEX(PASTE_ALL,$DF21,54)&amp;"","")&amp;"␟"&amp;IFERROR(INDEX(PASTE_ALL,$DF21,55)&amp;"","")&amp;"␟"&amp;IFERROR(INDEX(PASTE_ALL,$DF21,56)&amp;"","")&amp;"␟"&amp;IFERROR(INDEX(PASTE_ALL,$DF21,57)&amp;"","")&amp;"␟"&amp;IFERROR(INDEX(PASTE_ALL,$DF21,58)&amp;"","")&amp;"␟"&amp;IFERROR(INDEX(PASTE_ALL,$DF21,59)&amp;"","")&amp;"␟"&amp;IFERROR(INDEX(PASTE_ALL,$DF21,60)&amp;"","")," "," "),CHAR(9)," "),CHAR(10)," "),CHAR(13)," "))," ␟","␟"),"␟ ","␟"),"#"&amp;$DE21),"")</f>
        <v/>
      </c>
      <c r="DJ21">
        <f>IF($DI21="",0,IF(SUMPRODUCT(--EXACT($DI$4:DI20,$DI21))&gt;0,1,0))</f>
        <v/>
      </c>
      <c r="DK21">
        <f>IF(AND($DI21&lt;&gt;"",$DJ21=0),1,0)</f>
        <v/>
      </c>
      <c r="DL21">
        <f>DL20+$DK21</f>
        <v/>
      </c>
      <c r="DM21">
        <f>IF(AND($DK21=1,$DL21&lt;=600),1,0)</f>
        <v/>
      </c>
      <c r="DN21">
        <f>IF($DM21=0,"",IF($L$6=0,"",IFERROR(IF(ISNUMBER(INDEX(PASTE_ALL,$DF21,$L$6)),INDEX(PASTE_ALL,$DF21,$L$6),TRIM(SUBSTITUTE(SUBSTITUTE(SUBSTITUTE(SUBSTITUTE(INDEX(PASTE_ALL,$DF21,$L$6)," "," "),CHAR(9)," "),CHAR(10)," "),CHAR(13)," "))),"")))</f>
        <v/>
      </c>
      <c r="DO21">
        <f>IF($DM21=0,"",IF($L$7=0,"",IFERROR(IF(ISNUMBER(INDEX(PASTE_ALL,$DF21,$L$7)),INDEX(PASTE_ALL,$DF21,$L$7),TRIM(SUBSTITUTE(SUBSTITUTE(SUBSTITUTE(SUBSTITUTE(INDEX(PASTE_ALL,$DF21,$L$7)," "," "),CHAR(9)," "),CHAR(10)," "),CHAR(13)," "))),"")))</f>
        <v/>
      </c>
      <c r="DP21">
        <f>IF($DM21=0,"",IF($L$8=0,"",IFERROR(IF(ISNUMBER(INDEX(PASTE_ALL,$DF21,$L$8)),INDEX(PASTE_ALL,$DF21,$L$8),TRIM(SUBSTITUTE(SUBSTITUTE(SUBSTITUTE(SUBSTITUTE(INDEX(PASTE_ALL,$DF21,$L$8)," "," "),CHAR(9)," "),CHAR(10)," "),CHAR(13)," "))),"")))</f>
        <v/>
      </c>
      <c r="DQ21">
        <f>IF($DM21=0,"",IF($L$9=0,"",IFERROR(IF(ISNUMBER(INDEX(PASTE_ALL,$DF21,$L$9)),INDEX(PASTE_ALL,$DF21,$L$9),TRIM(SUBSTITUTE(SUBSTITUTE(SUBSTITUTE(SUBSTITUTE(INDEX(PASTE_ALL,$DF21,$L$9)," "," "),CHAR(9)," "),CHAR(10)," "),CHAR(13)," "))),"")))</f>
        <v/>
      </c>
      <c r="DR21">
        <f>IF($DM21=0,"",IF($L$10=0,"",IFERROR(IF(ISNUMBER(INDEX(PASTE_ALL,$DF21,$L$10)),INDEX(PASTE_ALL,$DF21,$L$10),TRIM(SUBSTITUTE(SUBSTITUTE(SUBSTITUTE(SUBSTITUTE(INDEX(PASTE_ALL,$DF21,$L$10)," "," "),CHAR(9)," "),CHAR(10)," "),CHAR(13)," "))),"")))</f>
        <v/>
      </c>
      <c r="DS21">
        <f>IF($DM21=0,"",IF($L$11=0,"",IFERROR(IF(ISNUMBER(INDEX(PASTE_ALL,$DF21,$L$11)),INDEX(PASTE_ALL,$DF21,$L$11),TRIM(SUBSTITUTE(SUBSTITUTE(SUBSTITUTE(SUBSTITUTE(INDEX(PASTE_ALL,$DF21,$L$11)," "," "),CHAR(9)," "),CHAR(10)," "),CHAR(13)," "))),"")))</f>
        <v/>
      </c>
      <c r="DT21">
        <f>IF($DM21=0,"",IF($L$12=0,"",IFERROR(IF(ISNUMBER(INDEX(PASTE_ALL,$DF21,$L$12)),INDEX(PASTE_ALL,$DF21,$L$12),TRIM(SUBSTITUTE(SUBSTITUTE(SUBSTITUTE(SUBSTITUTE(INDEX(PASTE_ALL,$DF21,$L$12)," "," "),CHAR(9)," "),CHAR(10)," "),CHAR(13)," "))),"")))</f>
        <v/>
      </c>
      <c r="DU21">
        <f>IF($DM21=0,"",IF($L$13=0,"",IFERROR(IF(ISNUMBER(INDEX(PASTE_ALL,$DF21,$L$13)),INDEX(PASTE_ALL,$DF21,$L$13),TRIM(SUBSTITUTE(SUBSTITUTE(SUBSTITUTE(SUBSTITUTE(INDEX(PASTE_ALL,$DF21,$L$13)," "," "),CHAR(9)," "),CHAR(10)," "),CHAR(13)," "))),"")))</f>
        <v/>
      </c>
      <c r="DV21">
        <f>IF($DM21=0,"",IF($L$14=0,"",IFERROR(IF(ISNUMBER(INDEX(PASTE_ALL,$DF21,$L$14)),INDEX(PASTE_ALL,$DF21,$L$14),TRIM(SUBSTITUTE(SUBSTITUTE(SUBSTITUTE(SUBSTITUTE(INDEX(PASTE_ALL,$DF21,$L$14)," "," "),CHAR(9)," "),CHAR(10)," "),CHAR(13)," "))),"")))</f>
        <v/>
      </c>
      <c r="DW21">
        <f>IF($DM21=0,"",IF($L$15=0,"",IFERROR(IF(ISNUMBER(INDEX(PASTE_ALL,$DF21,$L$15)),INDEX(PASTE_ALL,$DF21,$L$15),IF(SUMPRODUCT(--ISNUMBER(FIND({"A","B","C","D","E","F","G","H","I","J","K","L","M","N","O","P","Q","R","S","T","U","V","W","X","Y","Z","0","1","2","3","4","5","6","7","8","9"},UPPER(TRIM(SUBSTITUTE(SUBSTITUTE(SUBSTITUTE(SUBSTITUTE(INDEX(PASTE_ALL,$DF21,$L$15)," "," "),CHAR(9)," "),CHAR(10)," "),CHAR(13)," "))))))&gt;0,TRIM(SUBSTITUTE(SUBSTITUTE(SUBSTITUTE(SUBSTITUTE(INDEX(PASTE_ALL,$DF21,$L$15)," "," "),CHAR(9)," "),CHAR(10)," "),CHAR(13)," ")),"")),"")))</f>
        <v/>
      </c>
      <c r="DX21">
        <f>IF($DM21=0,"",IF($L$16=0,"",IFERROR(IF(ISNUMBER(INDEX(PASTE_ALL,$DF21,$L$16)),INDEX(PASTE_ALL,$DF21,$L$16),SUBSTITUTE(SUBSTITUTE(TRIM(SUBSTITUTE(SUBSTITUTE(SUBSTITUTE(SUBSTITUTE(INDEX(PASTE_ALL,$DF21,$L$16)," "," "),CHAR(9)," "),CHAR(10)," "),CHAR(13)," ")),",",""),"%","")),"")))</f>
        <v/>
      </c>
      <c r="DY21">
        <f>IF($DM21=0,"",IFERROR(IF(ISNUMBER($DX21),$DX21,IF($DX21="","",IF(TRIM($DX21)="",0,IF(AND(AND(SUBSTITUTE(SUBSTITUTE(SUBSTITUTE(SUBSTITUTE(SUBSTITUTE(SUBSTITUTE(SUBSTITUTE(SUBSTITUTE(SUBSTITUTE(SUBSTITUTE(SUBSTITUTE(SUBSTITUTE(SUBSTITUTE(SUBSTITUTE(UPPER(TRIM($DX21)),"0",""),"1",""),"2",""),"3",""),"4",""),"5",""),"6",""),"7",""),"8",""),"9",""),".",""),"+",""),"-",""),"E","")="",LEN(SUBSTITUTE(SUBSTITUTE(MID(UPPER(TRIM($DX21)),1+OR(LEFT(UPPER(TRIM($DX21)),1)="+",LEFT(UPPER(TRIM($DX21)),1)="-"),999),"E+","E"),"E-","E"))=LEN(SUBSTITUTE(SUBSTITUTE(SUBSTITUTE(SUBSTITUTE(MID(UPPER(TRIM($DX21)),1+OR(LEFT(UPPER(TRIM($DX21)),1)="+",LEFT(UPPER(TRIM($DX21)),1)="-"),999),"E+","E"),"E-","E"),"+",""),"-","")),LEN(UPPER(TRIM($DX21)))-LEN(SUBSTITUTE(UPPER(TRIM($DX21)),"E",""))&lt;2,LEN(UPPER(TRIM($DX21)))-LEN(SUBSTITUTE(UPPER(TRIM($DX21)),".",""))&lt;2,IFERROR(FIND(".",UPPER(TRIM($DX21))),0)&lt;IFERROR(FIND("E",UPPER(TRIM($DX21))),999)),ISNUMBER(VALUE(TRIM($DX21)))),VALUE(TRIM($DX21)),"")))),""))</f>
        <v/>
      </c>
      <c r="DZ21">
        <f>IF($DM21=0,"",IF($L$17=0,"",IFERROR(IF(ISNUMBER(INDEX(PASTE_ALL,$DF21,$L$17)),INDEX(PASTE_ALL,$DF21,$L$17),SUBSTITUTE(SUBSTITUTE(TRIM(SUBSTITUTE(SUBSTITUTE(SUBSTITUTE(SUBSTITUTE(INDEX(PASTE_ALL,$DF21,$L$17)," "," "),CHAR(9)," "),CHAR(10)," "),CHAR(13)," ")),",",""),"%","")),"")))</f>
        <v/>
      </c>
      <c r="EA21">
        <f>IF($DM21=0,"",IFERROR(IF(ISNUMBER($DZ21),$DZ21,IF($DZ21="","",IF(TRIM($DZ21)="",0,IF(AND(AND(SUBSTITUTE(SUBSTITUTE(SUBSTITUTE(SUBSTITUTE(SUBSTITUTE(SUBSTITUTE(SUBSTITUTE(SUBSTITUTE(SUBSTITUTE(SUBSTITUTE(SUBSTITUTE(SUBSTITUTE(SUBSTITUTE(SUBSTITUTE(UPPER(TRIM($DZ21)),"0",""),"1",""),"2",""),"3",""),"4",""),"5",""),"6",""),"7",""),"8",""),"9",""),".",""),"+",""),"-",""),"E","")="",LEN(SUBSTITUTE(SUBSTITUTE(MID(UPPER(TRIM($DZ21)),1+OR(LEFT(UPPER(TRIM($DZ21)),1)="+",LEFT(UPPER(TRIM($DZ21)),1)="-"),999),"E+","E"),"E-","E"))=LEN(SUBSTITUTE(SUBSTITUTE(SUBSTITUTE(SUBSTITUTE(MID(UPPER(TRIM($DZ21)),1+OR(LEFT(UPPER(TRIM($DZ21)),1)="+",LEFT(UPPER(TRIM($DZ21)),1)="-"),999),"E+","E"),"E-","E"),"+",""),"-","")),LEN(UPPER(TRIM($DZ21)))-LEN(SUBSTITUTE(UPPER(TRIM($DZ21)),"E",""))&lt;2,LEN(UPPER(TRIM($DZ21)))-LEN(SUBSTITUTE(UPPER(TRIM($DZ21)),".",""))&lt;2,IFERROR(FIND(".",UPPER(TRIM($DZ21))),0)&lt;IFERROR(FIND("E",UPPER(TRIM($DZ21))),999)),ISNUMBER(VALUE(TRIM($DZ21)))),VALUE(TRIM($DZ21)),"")))),""))</f>
        <v/>
      </c>
      <c r="EB21">
        <f>IF($DM21=0,"",IF($L$18=0,"",IFERROR(IF(UPPER(TRIM(SUBSTITUTE(SUBSTITUTE(SUBSTITUTE(SUBSTITUTE(INDEX(PASTE_ALL,$DF21,$L$18)," "," "),CHAR(9)," "),CHAR(10)," "),CHAR(13)," ")))="READY","Ready",IF(UPPER(TRIM(SUBSTITUTE(SUBSTITUTE(SUBSTITUTE(SUBSTITUTE(INDEX(PASTE_ALL,$DF21,$L$18)," "," "),CHAR(9)," "),CHAR(10)," "),CHAR(13)," ")))="PM","PM",IF(OR(UPPER(TRIM(SUBSTITUTE(SUBSTITUTE(SUBSTITUTE(SUBSTITUTE(INDEX(PASTE_ALL,$DF21,$L$18)," "," "),CHAR(9)," "),CHAR(10)," "),CHAR(13)," ")))="OT",UPPER(TRIM(SUBSTITUTE(SUBSTITUTE(SUBSTITUTE(SUBSTITUTE(INDEX(PASTE_ALL,$DF21,$L$18)," "," "),CHAR(9)," "),CHAR(10)," "),CHAR(13)," ")))="OVERTIME",UPPER(TRIM(SUBSTITUTE(SUBSTITUTE(SUBSTITUTE(SUBSTITUTE(INDEX(PASTE_ALL,$DF21,$L$18)," "," "),CHAR(9)," "),CHAR(10)," "),CHAR(13)," ")))="TRIAL"),"OT",TRIM(SUBSTITUTE(SUBSTITUTE(SUBSTITUTE(SUBSTITUTE(INDEX(PASTE_ALL,$DF21,$L$18)," "," "),CHAR(9)," "),CHAR(10)," "),CHAR(13)," "))))),"")))</f>
        <v/>
      </c>
      <c r="EC21">
        <f>IF($DM21=0,"",IF($L$19=0,"",IFERROR(IF(ISNUMBER(INDEX(PASTE_ALL,$DF21,$L$19)),INDEX(PASTE_ALL,$DF21,$L$19),TRIM(SUBSTITUTE(SUBSTITUTE(SUBSTITUTE(SUBSTITUTE(INDEX(PASTE_ALL,$DF21,$L$19)," "," "),CHAR(9)," "),CHAR(10)," "),CHAR(13)," "))),"")))</f>
        <v/>
      </c>
      <c r="ED21">
        <f>IF($DM21=0,"",MATCH(1,INDEX(EXACT($DH$5:DH21,$DH21)*$DM$5:DM21,0),0))</f>
        <v/>
      </c>
      <c r="EE21">
        <f>IF($DM21=0,0,IF($ED21=$DE21,1,0))</f>
        <v/>
      </c>
      <c r="EF21">
        <f>EF20+$EE21</f>
        <v/>
      </c>
      <c r="EG21">
        <f>IF($DM21=0,"",INDEX($EF$5:$EF$1003,$ED21))</f>
        <v/>
      </c>
      <c r="EH21">
        <f>IF($DM21=0,"",IF($DO21&lt;&gt;"","",IFERROR(LOOKUP(2,1/(($EG$4:EG20=$EG21)*($DO$4:DO20&lt;&gt;"")),$DO$4:DO20),"")))</f>
        <v/>
      </c>
      <c r="EI21">
        <f>IF($DM21=0,"",IF($DO21&lt;&gt;"",$DO21,$EH21))</f>
        <v/>
      </c>
      <c r="EJ21">
        <f>IF($DM21=0,"",IF($EI21="",0,IF(OR(ISNUMBER($EI21),AND(AND(SUBSTITUTE(SUBSTITUTE(SUBSTITUTE(SUBSTITUTE(SUBSTITUTE(SUBSTITUTE(SUBSTITUTE(SUBSTITUTE(SUBSTITUTE(SUBSTITUTE(SUBSTITUTE(SUBSTITUTE(SUBSTITUTE(SUBSTITUTE(UPPER($EI21),"0",""),"1",""),"2",""),"3",""),"4",""),"5",""),"6",""),"7",""),"8",""),"9",""),".",""),"+",""),"-",""),"E","")="",LEN(SUBSTITUTE(SUBSTITUTE(MID(UPPER($EI21),1+OR(LEFT(UPPER($EI21),1)="+",LEFT(UPPER($EI21),1)="-"),999),"E+","E"),"E-","E"))=LEN(SUBSTITUTE(SUBSTITUTE(SUBSTITUTE(SUBSTITUTE(MID(UPPER($EI21),1+OR(LEFT(UPPER($EI21),1)="+",LEFT(UPPER($EI21),1)="-"),999),"E+","E"),"E-","E"),"+",""),"-","")),LEN(UPPER($EI21))-LEN(SUBSTITUTE(UPPER($EI21),"E",""))&lt;2,LEN(UPPER($EI21))-LEN(SUBSTITUTE(UPPER($EI21),".",""))&lt;2,IFERROR(FIND(".",UPPER($EI21)),0)&lt;IFERROR(FIND("E",UPPER($EI21)),999)),ISNUMBER(VALUE($EI21)))),1,2)))</f>
        <v/>
      </c>
      <c r="EK21">
        <f>IF($DM21=0,"",IF($EJ21=1,IF(ISNUMBER($EI21),$EI21,VALUE($EI21)),IF($EJ21=2,$DE21,0)))</f>
        <v/>
      </c>
      <c r="EL21">
        <f>IF($DM21=0,"",COUNTIF($EG$5:$EG$1003,"&lt;"&amp;$EG21)+SUMPRODUCT(($EG$5:$EG$1003=$EG21)*(($EJ$5:$EJ$1003&lt;$EJ21)+($EJ$5:$EJ$1003=$EJ21)*(($EK$5:$EK$1003&lt;$EK21)+($EK$5:$EK$1003=$EK21)*($DE$5:$DE$1003&lt;$DE21))))+1)</f>
        <v/>
      </c>
      <c r="EM21">
        <f>IF($DM21=0,"",$EL21+$EG21-1)</f>
        <v/>
      </c>
      <c r="EN21">
        <f>IF($DM21=0,0,IFERROR(MATCH(1,INDEX(--(TRIM(SUBSTITUTE(SUBSTITUTE(SUBSTITUTE(SUBSTITUTE(LINES_NAME&amp;""," "," "),CHAR(9)," "),CHAR(10)," "),CHAR(13)," "))=$DH21),0),0),0))</f>
        <v/>
      </c>
      <c r="EO21">
        <f>IF($EN21=0,0,IF(OR(UPPER(TRIM(INDEX(LINES_SCHEDULED,$EN21)&amp;""))="YES",UPPER(TRIM(INDEX(LINES_SCHEDULED,$EN21)&amp;""))="Y",UPPER(TRIM(INDEX(LINES_SCHEDULED,$EN21)&amp;""))="X"),1,0))</f>
        <v/>
      </c>
      <c r="EP21">
        <f>IF($DM21=0,"",IF(COUNTIFS($EG$5:$EG$1003,$EG21,$EB$5:$EB$1003,"Ready")&gt;0,"READY",IF(COUNTIFS($EG$5:$EG$1003,$EG21,$EB$5:$EB$1003,"PM")&gt;0,"PM",IF(COUNTIFS($EG$5:$EG$1003,$EG21,$EB$5:$EB$1003,"OT")&gt;0,"OT",""))))</f>
        <v/>
      </c>
      <c r="EQ21">
        <f>IF($EN21=0,"",UPPER(TRIM(INDEX(LINES_STATUS,$EN21)&amp;"")))</f>
        <v/>
      </c>
      <c r="ER21">
        <f>IF($DM21=0,"",IF(OR($EQ21="READY",$EQ21="PM",$EQ21="OT"),$EQ21,$EP21))</f>
        <v/>
      </c>
      <c r="ES21">
        <f>IF($DM21=0,"",IF(AND($DV21&lt;&gt;"",UPPER($DV21)&lt;&gt;"N"),"allergen",IF(ISNUMBER(SEARCH("oil",$DQ21)),"oil",IF(OR(EXACT($DS21,"A662"),EXACT($DS21,"A624")),"bulk",""))))</f>
        <v/>
      </c>
      <c r="ET21">
        <f>IF($DM21=0,"",IF(OR($EA21="",$EA21=0),"",$EA21/100))</f>
        <v/>
      </c>
      <c r="EU21">
        <f>IF(OR($ET21="",$DY21=""),"",INT($DY21*(1-$ET21)+0.5))</f>
        <v/>
      </c>
      <c r="EW21" t="n">
        <v>17</v>
      </c>
      <c r="EX21">
        <f>IFERROR(MATCH($EW21,$EM$5:$EM$1003,0),0)</f>
        <v/>
      </c>
      <c r="EY21">
        <f>IF($EW21&gt;$B$12,"",IF($EX21&gt;0,"row","spacer"))</f>
        <v/>
      </c>
      <c r="EZ21">
        <f>IF(AND($EY21="row",$EY20&lt;&gt;"row"),1,0)</f>
        <v/>
      </c>
      <c r="FA21">
        <f>IF(AND($EY21="row",$EY22&lt;&gt;"row"),1,0)</f>
        <v/>
      </c>
      <c r="FB21">
        <f>IF($EZ21=1,IFERROR(IF(ISNUMBER(INDEX(PASTE_ALL,INDEX($DF$5:$DF$1003,$EX21),$B$37)),INDEX(PASTE_ALL,INDEX($DF$5:$DF$1003,$EX21),$B$37),INDEX($DH$5:$DH$1003,$EX21)),INDEX($DH$5:$DH$1003,$EX21)),"")</f>
        <v/>
      </c>
      <c r="FC21">
        <f>IF($EY21="row",INDEX($ER$5:$ER$1003,$EX21),"")</f>
        <v/>
      </c>
      <c r="FD21">
        <f>IF($EY21="row",INDEX($DN$5:$DN$1003,$EX21),"")</f>
        <v/>
      </c>
      <c r="FE21">
        <f>IF($EY21="row",INDEX($DO$5:$DO$1003,$EX21),"")</f>
        <v/>
      </c>
      <c r="FF21">
        <f>IF($EY21="row",INDEX($DP$5:$DP$1003,$EX21),"")</f>
        <v/>
      </c>
      <c r="FG21">
        <f>IF($EY21="row",INDEX($DQ$5:$DQ$1003,$EX21),"")</f>
        <v/>
      </c>
      <c r="FH21">
        <f>IF($EY21="row",INDEX($DR$5:$DR$1003,$EX21),"")</f>
        <v/>
      </c>
      <c r="FI21">
        <f>IF($EY21="row",INDEX($DS$5:$DS$1003,$EX21),"")</f>
        <v/>
      </c>
      <c r="FJ21">
        <f>IF($EY21="row",INDEX($DT$5:$DT$1003,$EX21),"")</f>
        <v/>
      </c>
      <c r="FK21">
        <f>IF($EY21="row",INDEX($DU$5:$DU$1003,$EX21),"")</f>
        <v/>
      </c>
      <c r="FL21">
        <f>IF($EY21="row",INDEX($DV$5:$DV$1003,$EX21),"")</f>
        <v/>
      </c>
      <c r="FM21">
        <f>IF($EY21="row",INDEX($DW$5:$DW$1003,$EX21),"")</f>
        <v/>
      </c>
      <c r="FN21">
        <f>IF($EY21="row",INDEX($DY$5:$DY$1003,$EX21),"")</f>
        <v/>
      </c>
      <c r="FO21">
        <f>IF($EY21="row",INDEX($EA$5:$EA$1003,$EX21),"")</f>
        <v/>
      </c>
      <c r="FP21">
        <f>IF($EY21="row",INDEX($EC$5:$EC$1003,$EX21),"")</f>
        <v/>
      </c>
      <c r="FQ21">
        <f>IF($EY21="row",INDEX($ET$5:$ET$1003,$EX21),"")</f>
        <v/>
      </c>
      <c r="FR21">
        <f>IF($EY21="row",INDEX($EU$5:$EU$1003,$EX21),"")</f>
        <v/>
      </c>
      <c r="FS21">
        <f>IF(AND($EY21="row",$EY20="row"),IF(OR(INDEX($DT$5:$DT$1003,$EX20)="",INDEX($DT$5:$DT$1003,$EX21)=""),"",IF(NOT(EXACT(INDEX($DT$5:$DT$1003,$EX20),INDEX($DT$5:$DT$1003,$EX21))),"S4",IF(NOT(EXACT(INDEX($DS$5:$DS$1003,$EX20),INDEX($DS$5:$DS$1003,$EX21))),"S3",IF(NOT(EXACT(INDEX($DR$5:$DR$1003,$EX20),INDEX($DR$5:$DR$1003,$EX21))),"S1 Count Change","S1")))),"")</f>
        <v/>
      </c>
      <c r="FT21">
        <f>IF($EY21="row",INDEX($ES$5:$ES$1003,$EX21),"")</f>
        <v/>
      </c>
      <c r="FU21">
        <f>IF($EY21="row",INDEX($EO$5:$EO$1003,$EX21),0)</f>
        <v/>
      </c>
      <c r="FV21">
        <f>IF($FS21="S1 Count Change",1,0)</f>
        <v/>
      </c>
      <c r="FX21" t="n">
        <v>17</v>
      </c>
      <c r="FY21">
        <f>IFERROR(MATCH($FX21,$EF$5:$EF$1003,0),0)</f>
        <v/>
      </c>
      <c r="FZ21">
        <f>IF($FY21=0,"",INDEX($DH$5:$DH$1003,$FY21))</f>
        <v/>
      </c>
      <c r="GA21">
        <f>IF($FY21=0,"",COUNTIF($EG$5:$EG$1003,$FX21))</f>
        <v/>
      </c>
      <c r="GB21">
        <f>IF($FY21=0,"",INDEX($ER$5:$ER$1003,$FY21))</f>
        <v/>
      </c>
      <c r="GC21">
        <f>IF($FY21=0,"",IF(INDEX($EO$5:$EO$1003,$FY21)=1,"Yes",""))</f>
        <v/>
      </c>
      <c r="GD21">
        <f>IF($FY21=0,"",IF(INDEX($EN$5:$EN$1003,$FY21)&gt;0,"","NOT IN YOUR LIST - type it in column A to tick it"))</f>
        <v/>
      </c>
      <c r="GE21">
        <f>IF(AND($FY21&gt;0,$GD21&lt;&gt;""),1,0)</f>
        <v/>
      </c>
      <c r="GF21">
        <f>GF20+$GE21</f>
        <v/>
      </c>
      <c r="GG21">
        <f>IFERROR(INDEX($FZ$5:$FZ$104,MATCH($FX21,$GF$5:$GF$104,0)),"")</f>
        <v/>
      </c>
    </row>
    <row r="22">
      <c r="A22" t="inlineStr">
        <is>
          <t>Report rows that don't fit</t>
        </is>
      </c>
      <c r="B22">
        <f>MAX(0,$B$12-700)</f>
        <v/>
      </c>
      <c r="S22" t="n">
        <v>18</v>
      </c>
      <c r="T22" t="inlineStr">
        <is>
          <t>R</t>
        </is>
      </c>
      <c r="V22" t="inlineStr">
        <is>
          <t>SEQUENCE</t>
        </is>
      </c>
      <c r="W22" t="n">
        <v>3</v>
      </c>
      <c r="Y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 ",""),"!",""),CHAR(34),""),"#",""),"$",""),"%",""),"&amp;",""),"'",""),"(",""),")",""),"*",""),"+",""),",",""),"-",""),".",""),"/",""),":",""),";",""),"&lt;",""),"=",""),"&gt;",""),"?",""),"@",""),"[",""),"\",""),"]",""),"^",""),"_",""),"`",""),"{",""),"|",""),"}",""),"~",""),CHAR(9),""),CHAR(10),""),CHAR(13),"")," ",""),"")</f>
        <v/>
      </c>
      <c r="Z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 ",""),"!",""),CHAR(34),""),"#",""),"$",""),"%",""),"&amp;",""),"'",""),"(",""),")",""),"*",""),"+",""),",",""),"-",""),".",""),"/",""),":",""),";",""),"&lt;",""),"=",""),"&gt;",""),"?",""),"@",""),"[",""),"\",""),"]",""),"^",""),"_",""),"`",""),"{",""),"|",""),"}",""),"~",""),CHAR(9),""),CHAR(10),""),CHAR(13),"")," ",""),"")</f>
        <v/>
      </c>
      <c r="AA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 ",""),"!",""),CHAR(34),""),"#",""),"$",""),"%",""),"&amp;",""),"'",""),"(",""),")",""),"*",""),"+",""),",",""),"-",""),".",""),"/",""),":",""),";",""),"&lt;",""),"=",""),"&gt;",""),"?",""),"@",""),"[",""),"\",""),"]",""),"^",""),"_",""),"`",""),"{",""),"|",""),"}",""),"~",""),CHAR(9),""),CHAR(10),""),CHAR(13),"")," ",""),"")</f>
        <v/>
      </c>
      <c r="AB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 ",""),"!",""),CHAR(34),""),"#",""),"$",""),"%",""),"&amp;",""),"'",""),"(",""),")",""),"*",""),"+",""),",",""),"-",""),".",""),"/",""),":",""),";",""),"&lt;",""),"=",""),"&gt;",""),"?",""),"@",""),"[",""),"\",""),"]",""),"^",""),"_",""),"`",""),"{",""),"|",""),"}",""),"~",""),CHAR(9),""),CHAR(10),""),CHAR(13),"")," ",""),"")</f>
        <v/>
      </c>
      <c r="AC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 ",""),"!",""),CHAR(34),""),"#",""),"$",""),"%",""),"&amp;",""),"'",""),"(",""),")",""),"*",""),"+",""),",",""),"-",""),".",""),"/",""),":",""),";",""),"&lt;",""),"=",""),"&gt;",""),"?",""),"@",""),"[",""),"\",""),"]",""),"^",""),"_",""),"`",""),"{",""),"|",""),"}",""),"~",""),CHAR(9),""),CHAR(10),""),CHAR(13),"")," ",""),"")</f>
        <v/>
      </c>
      <c r="AD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18,6))," ",""),"!",""),CHAR(34),""),"#",""),"$",""),"%",""),"&amp;",""),"'",""),"(",""),")",""),"*",""),"+",""),",",""),"-",""),".",""),"/",""),":",""),";",""),"&lt;",""),"=",""),"&gt;",""),"?",""),"@",""),"[",""),"\",""),"]",""),"^",""),"_",""),"`",""),"{",""),"|",""),"}",""),"~",""),CHAR(9),""),CHAR(10),""),CHAR(13),"")," ",""),"")</f>
        <v/>
      </c>
      <c r="AE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18,7))," ",""),"!",""),CHAR(34),""),"#",""),"$",""),"%",""),"&amp;",""),"'",""),"(",""),")",""),"*",""),"+",""),",",""),"-",""),".",""),"/",""),":",""),";",""),"&lt;",""),"=",""),"&gt;",""),"?",""),"@",""),"[",""),"\",""),"]",""),"^",""),"_",""),"`",""),"{",""),"|",""),"}",""),"~",""),CHAR(9),""),CHAR(10),""),CHAR(13),"")," ",""),"")</f>
        <v/>
      </c>
      <c r="AF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18,8))," ",""),"!",""),CHAR(34),""),"#",""),"$",""),"%",""),"&amp;",""),"'",""),"(",""),")",""),"*",""),"+",""),",",""),"-",""),".",""),"/",""),":",""),";",""),"&lt;",""),"=",""),"&gt;",""),"?",""),"@",""),"[",""),"\",""),"]",""),"^",""),"_",""),"`",""),"{",""),"|",""),"}",""),"~",""),CHAR(9),""),CHAR(10),""),CHAR(13),"")," ",""),"")</f>
        <v/>
      </c>
      <c r="AG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18,9))," ",""),"!",""),CHAR(34),""),"#",""),"$",""),"%",""),"&amp;",""),"'",""),"(",""),")",""),"*",""),"+",""),",",""),"-",""),".",""),"/",""),":",""),";",""),"&lt;",""),"=",""),"&gt;",""),"?",""),"@",""),"[",""),"\",""),"]",""),"^",""),"_",""),"`",""),"{",""),"|",""),"}",""),"~",""),CHAR(9),""),CHAR(10),""),CHAR(13),"")," ",""),"")</f>
        <v/>
      </c>
      <c r="AH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18,10))," ",""),"!",""),CHAR(34),""),"#",""),"$",""),"%",""),"&amp;",""),"'",""),"(",""),")",""),"*",""),"+",""),",",""),"-",""),".",""),"/",""),":",""),";",""),"&lt;",""),"=",""),"&gt;",""),"?",""),"@",""),"[",""),"\",""),"]",""),"^",""),"_",""),"`",""),"{",""),"|",""),"}",""),"~",""),CHAR(9),""),CHAR(10),""),CHAR(13),"")," ",""),"")</f>
        <v/>
      </c>
      <c r="AI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18,11))," ",""),"!",""),CHAR(34),""),"#",""),"$",""),"%",""),"&amp;",""),"'",""),"(",""),")",""),"*",""),"+",""),",",""),"-",""),".",""),"/",""),":",""),";",""),"&lt;",""),"=",""),"&gt;",""),"?",""),"@",""),"[",""),"\",""),"]",""),"^",""),"_",""),"`",""),"{",""),"|",""),"}",""),"~",""),CHAR(9),""),CHAR(10),""),CHAR(13),"")," ",""),"")</f>
        <v/>
      </c>
      <c r="AJ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18,12))," ",""),"!",""),CHAR(34),""),"#",""),"$",""),"%",""),"&amp;",""),"'",""),"(",""),")",""),"*",""),"+",""),",",""),"-",""),".",""),"/",""),":",""),";",""),"&lt;",""),"=",""),"&gt;",""),"?",""),"@",""),"[",""),"\",""),"]",""),"^",""),"_",""),"`",""),"{",""),"|",""),"}",""),"~",""),CHAR(9),""),CHAR(10),""),CHAR(13),"")," ",""),"")</f>
        <v/>
      </c>
      <c r="AK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18,13))," ",""),"!",""),CHAR(34),""),"#",""),"$",""),"%",""),"&amp;",""),"'",""),"(",""),")",""),"*",""),"+",""),",",""),"-",""),".",""),"/",""),":",""),";",""),"&lt;",""),"=",""),"&gt;",""),"?",""),"@",""),"[",""),"\",""),"]",""),"^",""),"_",""),"`",""),"{",""),"|",""),"}",""),"~",""),CHAR(9),""),CHAR(10),""),CHAR(13),"")," ",""),"")</f>
        <v/>
      </c>
      <c r="AL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18,14))," ",""),"!",""),CHAR(34),""),"#",""),"$",""),"%",""),"&amp;",""),"'",""),"(",""),")",""),"*",""),"+",""),",",""),"-",""),".",""),"/",""),":",""),";",""),"&lt;",""),"=",""),"&gt;",""),"?",""),"@",""),"[",""),"\",""),"]",""),"^",""),"_",""),"`",""),"{",""),"|",""),"}",""),"~",""),CHAR(9),""),CHAR(10),""),CHAR(13),"")," ",""),"")</f>
        <v/>
      </c>
      <c r="AM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18,15))," ",""),"!",""),CHAR(34),""),"#",""),"$",""),"%",""),"&amp;",""),"'",""),"(",""),")",""),"*",""),"+",""),",",""),"-",""),".",""),"/",""),":",""),";",""),"&lt;",""),"=",""),"&gt;",""),"?",""),"@",""),"[",""),"\",""),"]",""),"^",""),"_",""),"`",""),"{",""),"|",""),"}",""),"~",""),CHAR(9),""),CHAR(10),""),CHAR(13),"")," ",""),"")</f>
        <v/>
      </c>
      <c r="AN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18,16))," ",""),"!",""),CHAR(34),""),"#",""),"$",""),"%",""),"&amp;",""),"'",""),"(",""),")",""),"*",""),"+",""),",",""),"-",""),".",""),"/",""),":",""),";",""),"&lt;",""),"=",""),"&gt;",""),"?",""),"@",""),"[",""),"\",""),"]",""),"^",""),"_",""),"`",""),"{",""),"|",""),"}",""),"~",""),CHAR(9),""),CHAR(10),""),CHAR(13),"")," ",""),"")</f>
        <v/>
      </c>
      <c r="AO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18,17))," ",""),"!",""),CHAR(34),""),"#",""),"$",""),"%",""),"&amp;",""),"'",""),"(",""),")",""),"*",""),"+",""),",",""),"-",""),".",""),"/",""),":",""),";",""),"&lt;",""),"=",""),"&gt;",""),"?",""),"@",""),"[",""),"\",""),"]",""),"^",""),"_",""),"`",""),"{",""),"|",""),"}",""),"~",""),CHAR(9),""),CHAR(10),""),CHAR(13),"")," ",""),"")</f>
        <v/>
      </c>
      <c r="AP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18,18))," ",""),"!",""),CHAR(34),""),"#",""),"$",""),"%",""),"&amp;",""),"'",""),"(",""),")",""),"*",""),"+",""),",",""),"-",""),".",""),"/",""),":",""),";",""),"&lt;",""),"=",""),"&gt;",""),"?",""),"@",""),"[",""),"\",""),"]",""),"^",""),"_",""),"`",""),"{",""),"|",""),"}",""),"~",""),CHAR(9),""),CHAR(10),""),CHAR(13),"")," ",""),"")</f>
        <v/>
      </c>
      <c r="AQ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18,19))," ",""),"!",""),CHAR(34),""),"#",""),"$",""),"%",""),"&amp;",""),"'",""),"(",""),")",""),"*",""),"+",""),",",""),"-",""),".",""),"/",""),":",""),";",""),"&lt;",""),"=",""),"&gt;",""),"?",""),"@",""),"[",""),"\",""),"]",""),"^",""),"_",""),"`",""),"{",""),"|",""),"}",""),"~",""),CHAR(9),""),CHAR(10),""),CHAR(13),"")," ",""),"")</f>
        <v/>
      </c>
      <c r="AR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18,20))," ",""),"!",""),CHAR(34),""),"#",""),"$",""),"%",""),"&amp;",""),"'",""),"(",""),")",""),"*",""),"+",""),",",""),"-",""),".",""),"/",""),":",""),";",""),"&lt;",""),"=",""),"&gt;",""),"?",""),"@",""),"[",""),"\",""),"]",""),"^",""),"_",""),"`",""),"{",""),"|",""),"}",""),"~",""),CHAR(9),""),CHAR(10),""),CHAR(13),"")," ",""),"")</f>
        <v/>
      </c>
      <c r="AS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18,21))," ",""),"!",""),CHAR(34),""),"#",""),"$",""),"%",""),"&amp;",""),"'",""),"(",""),")",""),"*",""),"+",""),",",""),"-",""),".",""),"/",""),":",""),";",""),"&lt;",""),"=",""),"&gt;",""),"?",""),"@",""),"[",""),"\",""),"]",""),"^",""),"_",""),"`",""),"{",""),"|",""),"}",""),"~",""),CHAR(9),""),CHAR(10),""),CHAR(13),"")," ",""),"")</f>
        <v/>
      </c>
      <c r="AT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18,22))," ",""),"!",""),CHAR(34),""),"#",""),"$",""),"%",""),"&amp;",""),"'",""),"(",""),")",""),"*",""),"+",""),",",""),"-",""),".",""),"/",""),":",""),";",""),"&lt;",""),"=",""),"&gt;",""),"?",""),"@",""),"[",""),"\",""),"]",""),"^",""),"_",""),"`",""),"{",""),"|",""),"}",""),"~",""),CHAR(9),""),CHAR(10),""),CHAR(13),"")," ",""),"")</f>
        <v/>
      </c>
      <c r="AU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18,23))," ",""),"!",""),CHAR(34),""),"#",""),"$",""),"%",""),"&amp;",""),"'",""),"(",""),")",""),"*",""),"+",""),",",""),"-",""),".",""),"/",""),":",""),";",""),"&lt;",""),"=",""),"&gt;",""),"?",""),"@",""),"[",""),"\",""),"]",""),"^",""),"_",""),"`",""),"{",""),"|",""),"}",""),"~",""),CHAR(9),""),CHAR(10),""),CHAR(13),"")," ",""),"")</f>
        <v/>
      </c>
      <c r="AV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18,24))," ",""),"!",""),CHAR(34),""),"#",""),"$",""),"%",""),"&amp;",""),"'",""),"(",""),")",""),"*",""),"+",""),",",""),"-",""),".",""),"/",""),":",""),";",""),"&lt;",""),"=",""),"&gt;",""),"?",""),"@",""),"[",""),"\",""),"]",""),"^",""),"_",""),"`",""),"{",""),"|",""),"}",""),"~",""),CHAR(9),""),CHAR(10),""),CHAR(13),"")," ",""),"")</f>
        <v/>
      </c>
      <c r="AW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18,25))," ",""),"!",""),CHAR(34),""),"#",""),"$",""),"%",""),"&amp;",""),"'",""),"(",""),")",""),"*",""),"+",""),",",""),"-",""),".",""),"/",""),":",""),";",""),"&lt;",""),"=",""),"&gt;",""),"?",""),"@",""),"[",""),"\",""),"]",""),"^",""),"_",""),"`",""),"{",""),"|",""),"}",""),"~",""),CHAR(9),""),CHAR(10),""),CHAR(13),"")," ",""),"")</f>
        <v/>
      </c>
      <c r="AX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18,26))," ",""),"!",""),CHAR(34),""),"#",""),"$",""),"%",""),"&amp;",""),"'",""),"(",""),")",""),"*",""),"+",""),",",""),"-",""),".",""),"/",""),":",""),";",""),"&lt;",""),"=",""),"&gt;",""),"?",""),"@",""),"[",""),"\",""),"]",""),"^",""),"_",""),"`",""),"{",""),"|",""),"}",""),"~",""),CHAR(9),""),CHAR(10),""),CHAR(13),"")," ",""),"")</f>
        <v/>
      </c>
      <c r="AY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18,27))," ",""),"!",""),CHAR(34),""),"#",""),"$",""),"%",""),"&amp;",""),"'",""),"(",""),")",""),"*",""),"+",""),",",""),"-",""),".",""),"/",""),":",""),";",""),"&lt;",""),"=",""),"&gt;",""),"?",""),"@",""),"[",""),"\",""),"]",""),"^",""),"_",""),"`",""),"{",""),"|",""),"}",""),"~",""),CHAR(9),""),CHAR(10),""),CHAR(13),"")," ",""),"")</f>
        <v/>
      </c>
      <c r="AZ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18,28))," ",""),"!",""),CHAR(34),""),"#",""),"$",""),"%",""),"&amp;",""),"'",""),"(",""),")",""),"*",""),"+",""),",",""),"-",""),".",""),"/",""),":",""),";",""),"&lt;",""),"=",""),"&gt;",""),"?",""),"@",""),"[",""),"\",""),"]",""),"^",""),"_",""),"`",""),"{",""),"|",""),"}",""),"~",""),CHAR(9),""),CHAR(10),""),CHAR(13),"")," ",""),"")</f>
        <v/>
      </c>
      <c r="BA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18,29))," ",""),"!",""),CHAR(34),""),"#",""),"$",""),"%",""),"&amp;",""),"'",""),"(",""),")",""),"*",""),"+",""),",",""),"-",""),".",""),"/",""),":",""),";",""),"&lt;",""),"=",""),"&gt;",""),"?",""),"@",""),"[",""),"\",""),"]",""),"^",""),"_",""),"`",""),"{",""),"|",""),"}",""),"~",""),CHAR(9),""),CHAR(10),""),CHAR(13),"")," ",""),"")</f>
        <v/>
      </c>
      <c r="BB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18,30))," ",""),"!",""),CHAR(34),""),"#",""),"$",""),"%",""),"&amp;",""),"'",""),"(",""),")",""),"*",""),"+",""),",",""),"-",""),".",""),"/",""),":",""),";",""),"&lt;",""),"=",""),"&gt;",""),"?",""),"@",""),"[",""),"\",""),"]",""),"^",""),"_",""),"`",""),"{",""),"|",""),"}",""),"~",""),CHAR(9),""),CHAR(10),""),CHAR(13),"")," ",""),"")</f>
        <v/>
      </c>
      <c r="BC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18,31))," ",""),"!",""),CHAR(34),""),"#",""),"$",""),"%",""),"&amp;",""),"'",""),"(",""),")",""),"*",""),"+",""),",",""),"-",""),".",""),"/",""),":",""),";",""),"&lt;",""),"=",""),"&gt;",""),"?",""),"@",""),"[",""),"\",""),"]",""),"^",""),"_",""),"`",""),"{",""),"|",""),"}",""),"~",""),CHAR(9),""),CHAR(10),""),CHAR(13),"")," ",""),"")</f>
        <v/>
      </c>
      <c r="BD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18,32))," ",""),"!",""),CHAR(34),""),"#",""),"$",""),"%",""),"&amp;",""),"'",""),"(",""),")",""),"*",""),"+",""),",",""),"-",""),".",""),"/",""),":",""),";",""),"&lt;",""),"=",""),"&gt;",""),"?",""),"@",""),"[",""),"\",""),"]",""),"^",""),"_",""),"`",""),"{",""),"|",""),"}",""),"~",""),CHAR(9),""),CHAR(10),""),CHAR(13),"")," ",""),"")</f>
        <v/>
      </c>
      <c r="BE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18,33))," ",""),"!",""),CHAR(34),""),"#",""),"$",""),"%",""),"&amp;",""),"'",""),"(",""),")",""),"*",""),"+",""),",",""),"-",""),".",""),"/",""),":",""),";",""),"&lt;",""),"=",""),"&gt;",""),"?",""),"@",""),"[",""),"\",""),"]",""),"^",""),"_",""),"`",""),"{",""),"|",""),"}",""),"~",""),CHAR(9),""),CHAR(10),""),CHAR(13),"")," ",""),"")</f>
        <v/>
      </c>
      <c r="BF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18,34))," ",""),"!",""),CHAR(34),""),"#",""),"$",""),"%",""),"&amp;",""),"'",""),"(",""),")",""),"*",""),"+",""),",",""),"-",""),".",""),"/",""),":",""),";",""),"&lt;",""),"=",""),"&gt;",""),"?",""),"@",""),"[",""),"\",""),"]",""),"^",""),"_",""),"`",""),"{",""),"|",""),"}",""),"~",""),CHAR(9),""),CHAR(10),""),CHAR(13),"")," ",""),"")</f>
        <v/>
      </c>
      <c r="BG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18,35))," ",""),"!",""),CHAR(34),""),"#",""),"$",""),"%",""),"&amp;",""),"'",""),"(",""),")",""),"*",""),"+",""),",",""),"-",""),".",""),"/",""),":",""),";",""),"&lt;",""),"=",""),"&gt;",""),"?",""),"@",""),"[",""),"\",""),"]",""),"^",""),"_",""),"`",""),"{",""),"|",""),"}",""),"~",""),CHAR(9),""),CHAR(10),""),CHAR(13),"")," ",""),"")</f>
        <v/>
      </c>
      <c r="BH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18,36))," ",""),"!",""),CHAR(34),""),"#",""),"$",""),"%",""),"&amp;",""),"'",""),"(",""),")",""),"*",""),"+",""),",",""),"-",""),".",""),"/",""),":",""),";",""),"&lt;",""),"=",""),"&gt;",""),"?",""),"@",""),"[",""),"\",""),"]",""),"^",""),"_",""),"`",""),"{",""),"|",""),"}",""),"~",""),CHAR(9),""),CHAR(10),""),CHAR(13),"")," ",""),"")</f>
        <v/>
      </c>
      <c r="BI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18,37))," ",""),"!",""),CHAR(34),""),"#",""),"$",""),"%",""),"&amp;",""),"'",""),"(",""),")",""),"*",""),"+",""),",",""),"-",""),".",""),"/",""),":",""),";",""),"&lt;",""),"=",""),"&gt;",""),"?",""),"@",""),"[",""),"\",""),"]",""),"^",""),"_",""),"`",""),"{",""),"|",""),"}",""),"~",""),CHAR(9),""),CHAR(10),""),CHAR(13),"")," ",""),"")</f>
        <v/>
      </c>
      <c r="BJ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18,38))," ",""),"!",""),CHAR(34),""),"#",""),"$",""),"%",""),"&amp;",""),"'",""),"(",""),")",""),"*",""),"+",""),",",""),"-",""),".",""),"/",""),":",""),";",""),"&lt;",""),"=",""),"&gt;",""),"?",""),"@",""),"[",""),"\",""),"]",""),"^",""),"_",""),"`",""),"{",""),"|",""),"}",""),"~",""),CHAR(9),""),CHAR(10),""),CHAR(13),"")," ",""),"")</f>
        <v/>
      </c>
      <c r="BK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18,39))," ",""),"!",""),CHAR(34),""),"#",""),"$",""),"%",""),"&amp;",""),"'",""),"(",""),")",""),"*",""),"+",""),",",""),"-",""),".",""),"/",""),":",""),";",""),"&lt;",""),"=",""),"&gt;",""),"?",""),"@",""),"[",""),"\",""),"]",""),"^",""),"_",""),"`",""),"{",""),"|",""),"}",""),"~",""),CHAR(9),""),CHAR(10),""),CHAR(13),"")," ",""),"")</f>
        <v/>
      </c>
      <c r="BL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18,40))," ",""),"!",""),CHAR(34),""),"#",""),"$",""),"%",""),"&amp;",""),"'",""),"(",""),")",""),"*",""),"+",""),",",""),"-",""),".",""),"/",""),":",""),";",""),"&lt;",""),"=",""),"&gt;",""),"?",""),"@",""),"[",""),"\",""),"]",""),"^",""),"_",""),"`",""),"{",""),"|",""),"}",""),"~",""),CHAR(9),""),CHAR(10),""),CHAR(13),"")," ",""),"")</f>
        <v/>
      </c>
      <c r="BM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18,41))," ",""),"!",""),CHAR(34),""),"#",""),"$",""),"%",""),"&amp;",""),"'",""),"(",""),")",""),"*",""),"+",""),",",""),"-",""),".",""),"/",""),":",""),";",""),"&lt;",""),"=",""),"&gt;",""),"?",""),"@",""),"[",""),"\",""),"]",""),"^",""),"_",""),"`",""),"{",""),"|",""),"}",""),"~",""),CHAR(9),""),CHAR(10),""),CHAR(13),"")," ",""),"")</f>
        <v/>
      </c>
      <c r="BN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18,42))," ",""),"!",""),CHAR(34),""),"#",""),"$",""),"%",""),"&amp;",""),"'",""),"(",""),")",""),"*",""),"+",""),",",""),"-",""),".",""),"/",""),":",""),";",""),"&lt;",""),"=",""),"&gt;",""),"?",""),"@",""),"[",""),"\",""),"]",""),"^",""),"_",""),"`",""),"{",""),"|",""),"}",""),"~",""),CHAR(9),""),CHAR(10),""),CHAR(13),"")," ",""),"")</f>
        <v/>
      </c>
      <c r="BO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18,43))," ",""),"!",""),CHAR(34),""),"#",""),"$",""),"%",""),"&amp;",""),"'",""),"(",""),")",""),"*",""),"+",""),",",""),"-",""),".",""),"/",""),":",""),";",""),"&lt;",""),"=",""),"&gt;",""),"?",""),"@",""),"[",""),"\",""),"]",""),"^",""),"_",""),"`",""),"{",""),"|",""),"}",""),"~",""),CHAR(9),""),CHAR(10),""),CHAR(13),"")," ",""),"")</f>
        <v/>
      </c>
      <c r="BP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18,44))," ",""),"!",""),CHAR(34),""),"#",""),"$",""),"%",""),"&amp;",""),"'",""),"(",""),")",""),"*",""),"+",""),",",""),"-",""),".",""),"/",""),":",""),";",""),"&lt;",""),"=",""),"&gt;",""),"?",""),"@",""),"[",""),"\",""),"]",""),"^",""),"_",""),"`",""),"{",""),"|",""),"}",""),"~",""),CHAR(9),""),CHAR(10),""),CHAR(13),"")," ",""),"")</f>
        <v/>
      </c>
      <c r="BQ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18,45))," ",""),"!",""),CHAR(34),""),"#",""),"$",""),"%",""),"&amp;",""),"'",""),"(",""),")",""),"*",""),"+",""),",",""),"-",""),".",""),"/",""),":",""),";",""),"&lt;",""),"=",""),"&gt;",""),"?",""),"@",""),"[",""),"\",""),"]",""),"^",""),"_",""),"`",""),"{",""),"|",""),"}",""),"~",""),CHAR(9),""),CHAR(10),""),CHAR(13),"")," ",""),"")</f>
        <v/>
      </c>
      <c r="BR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18,46))," ",""),"!",""),CHAR(34),""),"#",""),"$",""),"%",""),"&amp;",""),"'",""),"(",""),")",""),"*",""),"+",""),",",""),"-",""),".",""),"/",""),":",""),";",""),"&lt;",""),"=",""),"&gt;",""),"?",""),"@",""),"[",""),"\",""),"]",""),"^",""),"_",""),"`",""),"{",""),"|",""),"}",""),"~",""),CHAR(9),""),CHAR(10),""),CHAR(13),"")," ",""),"")</f>
        <v/>
      </c>
      <c r="BS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18,47))," ",""),"!",""),CHAR(34),""),"#",""),"$",""),"%",""),"&amp;",""),"'",""),"(",""),")",""),"*",""),"+",""),",",""),"-",""),".",""),"/",""),":",""),";",""),"&lt;",""),"=",""),"&gt;",""),"?",""),"@",""),"[",""),"\",""),"]",""),"^",""),"_",""),"`",""),"{",""),"|",""),"}",""),"~",""),CHAR(9),""),CHAR(10),""),CHAR(13),"")," ",""),"")</f>
        <v/>
      </c>
      <c r="BT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18,48))," ",""),"!",""),CHAR(34),""),"#",""),"$",""),"%",""),"&amp;",""),"'",""),"(",""),")",""),"*",""),"+",""),",",""),"-",""),".",""),"/",""),":",""),";",""),"&lt;",""),"=",""),"&gt;",""),"?",""),"@",""),"[",""),"\",""),"]",""),"^",""),"_",""),"`",""),"{",""),"|",""),"}",""),"~",""),CHAR(9),""),CHAR(10),""),CHAR(13),"")," ",""),"")</f>
        <v/>
      </c>
      <c r="BU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18,49))," ",""),"!",""),CHAR(34),""),"#",""),"$",""),"%",""),"&amp;",""),"'",""),"(",""),")",""),"*",""),"+",""),",",""),"-",""),".",""),"/",""),":",""),";",""),"&lt;",""),"=",""),"&gt;",""),"?",""),"@",""),"[",""),"\",""),"]",""),"^",""),"_",""),"`",""),"{",""),"|",""),"}",""),"~",""),CHAR(9),""),CHAR(10),""),CHAR(13),"")," ",""),"")</f>
        <v/>
      </c>
      <c r="BV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18,50))," ",""),"!",""),CHAR(34),""),"#",""),"$",""),"%",""),"&amp;",""),"'",""),"(",""),")",""),"*",""),"+",""),",",""),"-",""),".",""),"/",""),":",""),";",""),"&lt;",""),"=",""),"&gt;",""),"?",""),"@",""),"[",""),"\",""),"]",""),"^",""),"_",""),"`",""),"{",""),"|",""),"}",""),"~",""),CHAR(9),""),CHAR(10),""),CHAR(13),"")," ",""),"")</f>
        <v/>
      </c>
      <c r="BW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18,51))," ",""),"!",""),CHAR(34),""),"#",""),"$",""),"%",""),"&amp;",""),"'",""),"(",""),")",""),"*",""),"+",""),",",""),"-",""),".",""),"/",""),":",""),";",""),"&lt;",""),"=",""),"&gt;",""),"?",""),"@",""),"[",""),"\",""),"]",""),"^",""),"_",""),"`",""),"{",""),"|",""),"}",""),"~",""),CHAR(9),""),CHAR(10),""),CHAR(13),"")," ",""),"")</f>
        <v/>
      </c>
      <c r="BX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18,52))," ",""),"!",""),CHAR(34),""),"#",""),"$",""),"%",""),"&amp;",""),"'",""),"(",""),")",""),"*",""),"+",""),",",""),"-",""),".",""),"/",""),":",""),";",""),"&lt;",""),"=",""),"&gt;",""),"?",""),"@",""),"[",""),"\",""),"]",""),"^",""),"_",""),"`",""),"{",""),"|",""),"}",""),"~",""),CHAR(9),""),CHAR(10),""),CHAR(13),"")," ",""),"")</f>
        <v/>
      </c>
      <c r="BY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18,53))," ",""),"!",""),CHAR(34),""),"#",""),"$",""),"%",""),"&amp;",""),"'",""),"(",""),")",""),"*",""),"+",""),",",""),"-",""),".",""),"/",""),":",""),";",""),"&lt;",""),"=",""),"&gt;",""),"?",""),"@",""),"[",""),"\",""),"]",""),"^",""),"_",""),"`",""),"{",""),"|",""),"}",""),"~",""),CHAR(9),""),CHAR(10),""),CHAR(13),"")," ",""),"")</f>
        <v/>
      </c>
      <c r="BZ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18,54))," ",""),"!",""),CHAR(34),""),"#",""),"$",""),"%",""),"&amp;",""),"'",""),"(",""),")",""),"*",""),"+",""),",",""),"-",""),".",""),"/",""),":",""),";",""),"&lt;",""),"=",""),"&gt;",""),"?",""),"@",""),"[",""),"\",""),"]",""),"^",""),"_",""),"`",""),"{",""),"|",""),"}",""),"~",""),CHAR(9),""),CHAR(10),""),CHAR(13),"")," ",""),"")</f>
        <v/>
      </c>
      <c r="CA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18,55))," ",""),"!",""),CHAR(34),""),"#",""),"$",""),"%",""),"&amp;",""),"'",""),"(",""),")",""),"*",""),"+",""),",",""),"-",""),".",""),"/",""),":",""),";",""),"&lt;",""),"=",""),"&gt;",""),"?",""),"@",""),"[",""),"\",""),"]",""),"^",""),"_",""),"`",""),"{",""),"|",""),"}",""),"~",""),CHAR(9),""),CHAR(10),""),CHAR(13),"")," ",""),"")</f>
        <v/>
      </c>
      <c r="CB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18,56))," ",""),"!",""),CHAR(34),""),"#",""),"$",""),"%",""),"&amp;",""),"'",""),"(",""),")",""),"*",""),"+",""),",",""),"-",""),".",""),"/",""),":",""),";",""),"&lt;",""),"=",""),"&gt;",""),"?",""),"@",""),"[",""),"\",""),"]",""),"^",""),"_",""),"`",""),"{",""),"|",""),"}",""),"~",""),CHAR(9),""),CHAR(10),""),CHAR(13),"")," ",""),"")</f>
        <v/>
      </c>
      <c r="CC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18,57))," ",""),"!",""),CHAR(34),""),"#",""),"$",""),"%",""),"&amp;",""),"'",""),"(",""),")",""),"*",""),"+",""),",",""),"-",""),".",""),"/",""),":",""),";",""),"&lt;",""),"=",""),"&gt;",""),"?",""),"@",""),"[",""),"\",""),"]",""),"^",""),"_",""),"`",""),"{",""),"|",""),"}",""),"~",""),CHAR(9),""),CHAR(10),""),CHAR(13),"")," ",""),"")</f>
        <v/>
      </c>
      <c r="CD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18,58))," ",""),"!",""),CHAR(34),""),"#",""),"$",""),"%",""),"&amp;",""),"'",""),"(",""),")",""),"*",""),"+",""),",",""),"-",""),".",""),"/",""),":",""),";",""),"&lt;",""),"=",""),"&gt;",""),"?",""),"@",""),"[",""),"\",""),"]",""),"^",""),"_",""),"`",""),"{",""),"|",""),"}",""),"~",""),CHAR(9),""),CHAR(10),""),CHAR(13),"")," ",""),"")</f>
        <v/>
      </c>
      <c r="CE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18,59))," ",""),"!",""),CHAR(34),""),"#",""),"$",""),"%",""),"&amp;",""),"'",""),"(",""),")",""),"*",""),"+",""),",",""),"-",""),".",""),"/",""),":",""),";",""),"&lt;",""),"=",""),"&gt;",""),"?",""),"@",""),"[",""),"\",""),"]",""),"^",""),"_",""),"`",""),"{",""),"|",""),"}",""),"~",""),CHAR(9),""),CHAR(10),""),CHAR(13),"")," ",""),"")</f>
        <v/>
      </c>
      <c r="CF2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18,60))," ",""),"!",""),CHAR(34),""),"#",""),"$",""),"%",""),"&amp;",""),"'",""),"(",""),")",""),"*",""),"+",""),",",""),"-",""),".",""),"/",""),":",""),";",""),"&lt;",""),"=",""),"&gt;",""),"?",""),"@",""),"[",""),"\",""),"]",""),"^",""),"_",""),"`",""),"{",""),"|",""),"}",""),"~",""),CHAR(9),""),CHAR(10),""),CHAR(13),"")," ",""),"")</f>
        <v/>
      </c>
      <c r="CH22">
        <f>COUNTIF($Y67:$CF67,"&gt;0")</f>
        <v/>
      </c>
      <c r="CI22">
        <f>COUNTIF($Y67:$CF67,2)</f>
        <v/>
      </c>
      <c r="CJ22">
        <f>SUMPRODUCT((COUNTIF($Y112:$CF112,{1,2,3,4,5,6,7,8,9,10,11,12,13,14,15})&gt;0)*{2,4,8,16,32,64,128,256,512,1024,2048,4096,8192,16384,32768})</f>
        <v/>
      </c>
      <c r="CK22">
        <f>CF202</f>
        <v/>
      </c>
      <c r="CL22">
        <f>SUMPRODUCT(MOD(INT(((CJ22+CK22))/{2,4,8,16,32,64,128,256,512,1024,2048,4096,8192,16384,32768}),2))</f>
        <v/>
      </c>
      <c r="CM22">
        <f>IF(CH22&lt;2,-9999,CL22+2*MOD(INT(((CJ22+CK22))/2),2)+2*MOD(INT(((CJ22+CK22))/4),2)-CI22)</f>
        <v/>
      </c>
      <c r="DA22" t="n">
        <v>18</v>
      </c>
      <c r="DB22">
        <f>IF($B$37=0,"",IFERROR(TRIM(SUBSTITUTE(SUBSTITUTE(SUBSTITUTE(SUBSTITUTE(INDEX(PASTE_ALL,18,$B$37)," "," "),CHAR(9)," "),CHAR(10)," "),CHAR(13)," ")),""))</f>
        <v/>
      </c>
      <c r="DC22">
        <f>IF(AND(18&gt;HEADER_ROW,UPPER(DB22)="LEGEND"),1,0)</f>
        <v/>
      </c>
      <c r="DE22" t="n">
        <v>18</v>
      </c>
      <c r="DF22">
        <f>HEADER_ROW+$DE22</f>
        <v/>
      </c>
      <c r="DG22">
        <f>IF(AND($DF22&lt;=1000,$DF22&lt;$B$8),1,0)</f>
        <v/>
      </c>
      <c r="DH22">
        <f>IF($DG22=1,IFERROR(INDEX($DB$5:$DB$1004,$DF22),""),"")</f>
        <v/>
      </c>
      <c r="DI22">
        <f>IF(AND($DG22=1,$DH22&lt;&gt;""),IFERROR(SUBSTITUTE(SUBSTITUTE(TRIM(SUBSTITUTE(SUBSTITUTE(SUBSTITUTE(SUBSTITUTE(IFERROR(INDEX(PASTE_ALL,$DF22,1)&amp;"","")&amp;"␟"&amp;IFERROR(INDEX(PASTE_ALL,$DF22,2)&amp;"","")&amp;"␟"&amp;IFERROR(INDEX(PASTE_ALL,$DF22,3)&amp;"","")&amp;"␟"&amp;IFERROR(INDEX(PASTE_ALL,$DF22,4)&amp;"","")&amp;"␟"&amp;IFERROR(INDEX(PASTE_ALL,$DF22,5)&amp;"","")&amp;"␟"&amp;IFERROR(INDEX(PASTE_ALL,$DF22,6)&amp;"","")&amp;"␟"&amp;IFERROR(INDEX(PASTE_ALL,$DF22,7)&amp;"","")&amp;"␟"&amp;IFERROR(INDEX(PASTE_ALL,$DF22,8)&amp;"","")&amp;"␟"&amp;IFERROR(INDEX(PASTE_ALL,$DF22,9)&amp;"","")&amp;"␟"&amp;IFERROR(INDEX(PASTE_ALL,$DF22,10)&amp;"","")&amp;"␟"&amp;IFERROR(INDEX(PASTE_ALL,$DF22,11)&amp;"","")&amp;"␟"&amp;IFERROR(INDEX(PASTE_ALL,$DF22,12)&amp;"","")&amp;"␟"&amp;IFERROR(INDEX(PASTE_ALL,$DF22,13)&amp;"","")&amp;"␟"&amp;IFERROR(INDEX(PASTE_ALL,$DF22,14)&amp;"","")&amp;"␟"&amp;IFERROR(INDEX(PASTE_ALL,$DF22,15)&amp;"","")&amp;"␟"&amp;IFERROR(INDEX(PASTE_ALL,$DF22,16)&amp;"","")&amp;"␟"&amp;IFERROR(INDEX(PASTE_ALL,$DF22,17)&amp;"","")&amp;"␟"&amp;IFERROR(INDEX(PASTE_ALL,$DF22,18)&amp;"","")&amp;"␟"&amp;IFERROR(INDEX(PASTE_ALL,$DF22,19)&amp;"","")&amp;"␟"&amp;IFERROR(INDEX(PASTE_ALL,$DF22,20)&amp;"","")&amp;"␟"&amp;IFERROR(INDEX(PASTE_ALL,$DF22,21)&amp;"","")&amp;"␟"&amp;IFERROR(INDEX(PASTE_ALL,$DF22,22)&amp;"","")&amp;"␟"&amp;IFERROR(INDEX(PASTE_ALL,$DF22,23)&amp;"","")&amp;"␟"&amp;IFERROR(INDEX(PASTE_ALL,$DF22,24)&amp;"","")&amp;"␟"&amp;IFERROR(INDEX(PASTE_ALL,$DF22,25)&amp;"","")&amp;"␟"&amp;IFERROR(INDEX(PASTE_ALL,$DF22,26)&amp;"","")&amp;"␟"&amp;IFERROR(INDEX(PASTE_ALL,$DF22,27)&amp;"","")&amp;"␟"&amp;IFERROR(INDEX(PASTE_ALL,$DF22,28)&amp;"","")&amp;"␟"&amp;IFERROR(INDEX(PASTE_ALL,$DF22,29)&amp;"","")&amp;"␟"&amp;IFERROR(INDEX(PASTE_ALL,$DF22,30)&amp;"","")&amp;"␟"&amp;IFERROR(INDEX(PASTE_ALL,$DF22,31)&amp;"","")&amp;"␟"&amp;IFERROR(INDEX(PASTE_ALL,$DF22,32)&amp;"","")&amp;"␟"&amp;IFERROR(INDEX(PASTE_ALL,$DF22,33)&amp;"","")&amp;"␟"&amp;IFERROR(INDEX(PASTE_ALL,$DF22,34)&amp;"","")&amp;"␟"&amp;IFERROR(INDEX(PASTE_ALL,$DF22,35)&amp;"","")&amp;"␟"&amp;IFERROR(INDEX(PASTE_ALL,$DF22,36)&amp;"","")&amp;"␟"&amp;IFERROR(INDEX(PASTE_ALL,$DF22,37)&amp;"","")&amp;"␟"&amp;IFERROR(INDEX(PASTE_ALL,$DF22,38)&amp;"","")&amp;"␟"&amp;IFERROR(INDEX(PASTE_ALL,$DF22,39)&amp;"","")&amp;"␟"&amp;IFERROR(INDEX(PASTE_ALL,$DF22,40)&amp;"","")&amp;"␟"&amp;IFERROR(INDEX(PASTE_ALL,$DF22,41)&amp;"","")&amp;"␟"&amp;IFERROR(INDEX(PASTE_ALL,$DF22,42)&amp;"","")&amp;"␟"&amp;IFERROR(INDEX(PASTE_ALL,$DF22,43)&amp;"","")&amp;"␟"&amp;IFERROR(INDEX(PASTE_ALL,$DF22,44)&amp;"","")&amp;"␟"&amp;IFERROR(INDEX(PASTE_ALL,$DF22,45)&amp;"","")&amp;"␟"&amp;IFERROR(INDEX(PASTE_ALL,$DF22,46)&amp;"","")&amp;"␟"&amp;IFERROR(INDEX(PASTE_ALL,$DF22,47)&amp;"","")&amp;"␟"&amp;IFERROR(INDEX(PASTE_ALL,$DF22,48)&amp;"","")&amp;"␟"&amp;IFERROR(INDEX(PASTE_ALL,$DF22,49)&amp;"","")&amp;"␟"&amp;IFERROR(INDEX(PASTE_ALL,$DF22,50)&amp;"","")&amp;"␟"&amp;IFERROR(INDEX(PASTE_ALL,$DF22,51)&amp;"","")&amp;"␟"&amp;IFERROR(INDEX(PASTE_ALL,$DF22,52)&amp;"","")&amp;"␟"&amp;IFERROR(INDEX(PASTE_ALL,$DF22,53)&amp;"","")&amp;"␟"&amp;IFERROR(INDEX(PASTE_ALL,$DF22,54)&amp;"","")&amp;"␟"&amp;IFERROR(INDEX(PASTE_ALL,$DF22,55)&amp;"","")&amp;"␟"&amp;IFERROR(INDEX(PASTE_ALL,$DF22,56)&amp;"","")&amp;"␟"&amp;IFERROR(INDEX(PASTE_ALL,$DF22,57)&amp;"","")&amp;"␟"&amp;IFERROR(INDEX(PASTE_ALL,$DF22,58)&amp;"","")&amp;"␟"&amp;IFERROR(INDEX(PASTE_ALL,$DF22,59)&amp;"","")&amp;"␟"&amp;IFERROR(INDEX(PASTE_ALL,$DF22,60)&amp;"","")," "," "),CHAR(9)," "),CHAR(10)," "),CHAR(13)," "))," ␟","␟"),"␟ ","␟"),"#"&amp;$DE22),"")</f>
        <v/>
      </c>
      <c r="DJ22">
        <f>IF($DI22="",0,IF(SUMPRODUCT(--EXACT($DI$4:DI21,$DI22))&gt;0,1,0))</f>
        <v/>
      </c>
      <c r="DK22">
        <f>IF(AND($DI22&lt;&gt;"",$DJ22=0),1,0)</f>
        <v/>
      </c>
      <c r="DL22">
        <f>DL21+$DK22</f>
        <v/>
      </c>
      <c r="DM22">
        <f>IF(AND($DK22=1,$DL22&lt;=600),1,0)</f>
        <v/>
      </c>
      <c r="DN22">
        <f>IF($DM22=0,"",IF($L$6=0,"",IFERROR(IF(ISNUMBER(INDEX(PASTE_ALL,$DF22,$L$6)),INDEX(PASTE_ALL,$DF22,$L$6),TRIM(SUBSTITUTE(SUBSTITUTE(SUBSTITUTE(SUBSTITUTE(INDEX(PASTE_ALL,$DF22,$L$6)," "," "),CHAR(9)," "),CHAR(10)," "),CHAR(13)," "))),"")))</f>
        <v/>
      </c>
      <c r="DO22">
        <f>IF($DM22=0,"",IF($L$7=0,"",IFERROR(IF(ISNUMBER(INDEX(PASTE_ALL,$DF22,$L$7)),INDEX(PASTE_ALL,$DF22,$L$7),TRIM(SUBSTITUTE(SUBSTITUTE(SUBSTITUTE(SUBSTITUTE(INDEX(PASTE_ALL,$DF22,$L$7)," "," "),CHAR(9)," "),CHAR(10)," "),CHAR(13)," "))),"")))</f>
        <v/>
      </c>
      <c r="DP22">
        <f>IF($DM22=0,"",IF($L$8=0,"",IFERROR(IF(ISNUMBER(INDEX(PASTE_ALL,$DF22,$L$8)),INDEX(PASTE_ALL,$DF22,$L$8),TRIM(SUBSTITUTE(SUBSTITUTE(SUBSTITUTE(SUBSTITUTE(INDEX(PASTE_ALL,$DF22,$L$8)," "," "),CHAR(9)," "),CHAR(10)," "),CHAR(13)," "))),"")))</f>
        <v/>
      </c>
      <c r="DQ22">
        <f>IF($DM22=0,"",IF($L$9=0,"",IFERROR(IF(ISNUMBER(INDEX(PASTE_ALL,$DF22,$L$9)),INDEX(PASTE_ALL,$DF22,$L$9),TRIM(SUBSTITUTE(SUBSTITUTE(SUBSTITUTE(SUBSTITUTE(INDEX(PASTE_ALL,$DF22,$L$9)," "," "),CHAR(9)," "),CHAR(10)," "),CHAR(13)," "))),"")))</f>
        <v/>
      </c>
      <c r="DR22">
        <f>IF($DM22=0,"",IF($L$10=0,"",IFERROR(IF(ISNUMBER(INDEX(PASTE_ALL,$DF22,$L$10)),INDEX(PASTE_ALL,$DF22,$L$10),TRIM(SUBSTITUTE(SUBSTITUTE(SUBSTITUTE(SUBSTITUTE(INDEX(PASTE_ALL,$DF22,$L$10)," "," "),CHAR(9)," "),CHAR(10)," "),CHAR(13)," "))),"")))</f>
        <v/>
      </c>
      <c r="DS22">
        <f>IF($DM22=0,"",IF($L$11=0,"",IFERROR(IF(ISNUMBER(INDEX(PASTE_ALL,$DF22,$L$11)),INDEX(PASTE_ALL,$DF22,$L$11),TRIM(SUBSTITUTE(SUBSTITUTE(SUBSTITUTE(SUBSTITUTE(INDEX(PASTE_ALL,$DF22,$L$11)," "," "),CHAR(9)," "),CHAR(10)," "),CHAR(13)," "))),"")))</f>
        <v/>
      </c>
      <c r="DT22">
        <f>IF($DM22=0,"",IF($L$12=0,"",IFERROR(IF(ISNUMBER(INDEX(PASTE_ALL,$DF22,$L$12)),INDEX(PASTE_ALL,$DF22,$L$12),TRIM(SUBSTITUTE(SUBSTITUTE(SUBSTITUTE(SUBSTITUTE(INDEX(PASTE_ALL,$DF22,$L$12)," "," "),CHAR(9)," "),CHAR(10)," "),CHAR(13)," "))),"")))</f>
        <v/>
      </c>
      <c r="DU22">
        <f>IF($DM22=0,"",IF($L$13=0,"",IFERROR(IF(ISNUMBER(INDEX(PASTE_ALL,$DF22,$L$13)),INDEX(PASTE_ALL,$DF22,$L$13),TRIM(SUBSTITUTE(SUBSTITUTE(SUBSTITUTE(SUBSTITUTE(INDEX(PASTE_ALL,$DF22,$L$13)," "," "),CHAR(9)," "),CHAR(10)," "),CHAR(13)," "))),"")))</f>
        <v/>
      </c>
      <c r="DV22">
        <f>IF($DM22=0,"",IF($L$14=0,"",IFERROR(IF(ISNUMBER(INDEX(PASTE_ALL,$DF22,$L$14)),INDEX(PASTE_ALL,$DF22,$L$14),TRIM(SUBSTITUTE(SUBSTITUTE(SUBSTITUTE(SUBSTITUTE(INDEX(PASTE_ALL,$DF22,$L$14)," "," "),CHAR(9)," "),CHAR(10)," "),CHAR(13)," "))),"")))</f>
        <v/>
      </c>
      <c r="DW22">
        <f>IF($DM22=0,"",IF($L$15=0,"",IFERROR(IF(ISNUMBER(INDEX(PASTE_ALL,$DF22,$L$15)),INDEX(PASTE_ALL,$DF22,$L$15),IF(SUMPRODUCT(--ISNUMBER(FIND({"A","B","C","D","E","F","G","H","I","J","K","L","M","N","O","P","Q","R","S","T","U","V","W","X","Y","Z","0","1","2","3","4","5","6","7","8","9"},UPPER(TRIM(SUBSTITUTE(SUBSTITUTE(SUBSTITUTE(SUBSTITUTE(INDEX(PASTE_ALL,$DF22,$L$15)," "," "),CHAR(9)," "),CHAR(10)," "),CHAR(13)," "))))))&gt;0,TRIM(SUBSTITUTE(SUBSTITUTE(SUBSTITUTE(SUBSTITUTE(INDEX(PASTE_ALL,$DF22,$L$15)," "," "),CHAR(9)," "),CHAR(10)," "),CHAR(13)," ")),"")),"")))</f>
        <v/>
      </c>
      <c r="DX22">
        <f>IF($DM22=0,"",IF($L$16=0,"",IFERROR(IF(ISNUMBER(INDEX(PASTE_ALL,$DF22,$L$16)),INDEX(PASTE_ALL,$DF22,$L$16),SUBSTITUTE(SUBSTITUTE(TRIM(SUBSTITUTE(SUBSTITUTE(SUBSTITUTE(SUBSTITUTE(INDEX(PASTE_ALL,$DF22,$L$16)," "," "),CHAR(9)," "),CHAR(10)," "),CHAR(13)," ")),",",""),"%","")),"")))</f>
        <v/>
      </c>
      <c r="DY22">
        <f>IF($DM22=0,"",IFERROR(IF(ISNUMBER($DX22),$DX22,IF($DX22="","",IF(TRIM($DX22)="",0,IF(AND(AND(SUBSTITUTE(SUBSTITUTE(SUBSTITUTE(SUBSTITUTE(SUBSTITUTE(SUBSTITUTE(SUBSTITUTE(SUBSTITUTE(SUBSTITUTE(SUBSTITUTE(SUBSTITUTE(SUBSTITUTE(SUBSTITUTE(SUBSTITUTE(UPPER(TRIM($DX22)),"0",""),"1",""),"2",""),"3",""),"4",""),"5",""),"6",""),"7",""),"8",""),"9",""),".",""),"+",""),"-",""),"E","")="",LEN(SUBSTITUTE(SUBSTITUTE(MID(UPPER(TRIM($DX22)),1+OR(LEFT(UPPER(TRIM($DX22)),1)="+",LEFT(UPPER(TRIM($DX22)),1)="-"),999),"E+","E"),"E-","E"))=LEN(SUBSTITUTE(SUBSTITUTE(SUBSTITUTE(SUBSTITUTE(MID(UPPER(TRIM($DX22)),1+OR(LEFT(UPPER(TRIM($DX22)),1)="+",LEFT(UPPER(TRIM($DX22)),1)="-"),999),"E+","E"),"E-","E"),"+",""),"-","")),LEN(UPPER(TRIM($DX22)))-LEN(SUBSTITUTE(UPPER(TRIM($DX22)),"E",""))&lt;2,LEN(UPPER(TRIM($DX22)))-LEN(SUBSTITUTE(UPPER(TRIM($DX22)),".",""))&lt;2,IFERROR(FIND(".",UPPER(TRIM($DX22))),0)&lt;IFERROR(FIND("E",UPPER(TRIM($DX22))),999)),ISNUMBER(VALUE(TRIM($DX22)))),VALUE(TRIM($DX22)),"")))),""))</f>
        <v/>
      </c>
      <c r="DZ22">
        <f>IF($DM22=0,"",IF($L$17=0,"",IFERROR(IF(ISNUMBER(INDEX(PASTE_ALL,$DF22,$L$17)),INDEX(PASTE_ALL,$DF22,$L$17),SUBSTITUTE(SUBSTITUTE(TRIM(SUBSTITUTE(SUBSTITUTE(SUBSTITUTE(SUBSTITUTE(INDEX(PASTE_ALL,$DF22,$L$17)," "," "),CHAR(9)," "),CHAR(10)," "),CHAR(13)," ")),",",""),"%","")),"")))</f>
        <v/>
      </c>
      <c r="EA22">
        <f>IF($DM22=0,"",IFERROR(IF(ISNUMBER($DZ22),$DZ22,IF($DZ22="","",IF(TRIM($DZ22)="",0,IF(AND(AND(SUBSTITUTE(SUBSTITUTE(SUBSTITUTE(SUBSTITUTE(SUBSTITUTE(SUBSTITUTE(SUBSTITUTE(SUBSTITUTE(SUBSTITUTE(SUBSTITUTE(SUBSTITUTE(SUBSTITUTE(SUBSTITUTE(SUBSTITUTE(UPPER(TRIM($DZ22)),"0",""),"1",""),"2",""),"3",""),"4",""),"5",""),"6",""),"7",""),"8",""),"9",""),".",""),"+",""),"-",""),"E","")="",LEN(SUBSTITUTE(SUBSTITUTE(MID(UPPER(TRIM($DZ22)),1+OR(LEFT(UPPER(TRIM($DZ22)),1)="+",LEFT(UPPER(TRIM($DZ22)),1)="-"),999),"E+","E"),"E-","E"))=LEN(SUBSTITUTE(SUBSTITUTE(SUBSTITUTE(SUBSTITUTE(MID(UPPER(TRIM($DZ22)),1+OR(LEFT(UPPER(TRIM($DZ22)),1)="+",LEFT(UPPER(TRIM($DZ22)),1)="-"),999),"E+","E"),"E-","E"),"+",""),"-","")),LEN(UPPER(TRIM($DZ22)))-LEN(SUBSTITUTE(UPPER(TRIM($DZ22)),"E",""))&lt;2,LEN(UPPER(TRIM($DZ22)))-LEN(SUBSTITUTE(UPPER(TRIM($DZ22)),".",""))&lt;2,IFERROR(FIND(".",UPPER(TRIM($DZ22))),0)&lt;IFERROR(FIND("E",UPPER(TRIM($DZ22))),999)),ISNUMBER(VALUE(TRIM($DZ22)))),VALUE(TRIM($DZ22)),"")))),""))</f>
        <v/>
      </c>
      <c r="EB22">
        <f>IF($DM22=0,"",IF($L$18=0,"",IFERROR(IF(UPPER(TRIM(SUBSTITUTE(SUBSTITUTE(SUBSTITUTE(SUBSTITUTE(INDEX(PASTE_ALL,$DF22,$L$18)," "," "),CHAR(9)," "),CHAR(10)," "),CHAR(13)," ")))="READY","Ready",IF(UPPER(TRIM(SUBSTITUTE(SUBSTITUTE(SUBSTITUTE(SUBSTITUTE(INDEX(PASTE_ALL,$DF22,$L$18)," "," "),CHAR(9)," "),CHAR(10)," "),CHAR(13)," ")))="PM","PM",IF(OR(UPPER(TRIM(SUBSTITUTE(SUBSTITUTE(SUBSTITUTE(SUBSTITUTE(INDEX(PASTE_ALL,$DF22,$L$18)," "," "),CHAR(9)," "),CHAR(10)," "),CHAR(13)," ")))="OT",UPPER(TRIM(SUBSTITUTE(SUBSTITUTE(SUBSTITUTE(SUBSTITUTE(INDEX(PASTE_ALL,$DF22,$L$18)," "," "),CHAR(9)," "),CHAR(10)," "),CHAR(13)," ")))="OVERTIME",UPPER(TRIM(SUBSTITUTE(SUBSTITUTE(SUBSTITUTE(SUBSTITUTE(INDEX(PASTE_ALL,$DF22,$L$18)," "," "),CHAR(9)," "),CHAR(10)," "),CHAR(13)," ")))="TRIAL"),"OT",TRIM(SUBSTITUTE(SUBSTITUTE(SUBSTITUTE(SUBSTITUTE(INDEX(PASTE_ALL,$DF22,$L$18)," "," "),CHAR(9)," "),CHAR(10)," "),CHAR(13)," "))))),"")))</f>
        <v/>
      </c>
      <c r="EC22">
        <f>IF($DM22=0,"",IF($L$19=0,"",IFERROR(IF(ISNUMBER(INDEX(PASTE_ALL,$DF22,$L$19)),INDEX(PASTE_ALL,$DF22,$L$19),TRIM(SUBSTITUTE(SUBSTITUTE(SUBSTITUTE(SUBSTITUTE(INDEX(PASTE_ALL,$DF22,$L$19)," "," "),CHAR(9)," "),CHAR(10)," "),CHAR(13)," "))),"")))</f>
        <v/>
      </c>
      <c r="ED22">
        <f>IF($DM22=0,"",MATCH(1,INDEX(EXACT($DH$5:DH22,$DH22)*$DM$5:DM22,0),0))</f>
        <v/>
      </c>
      <c r="EE22">
        <f>IF($DM22=0,0,IF($ED22=$DE22,1,0))</f>
        <v/>
      </c>
      <c r="EF22">
        <f>EF21+$EE22</f>
        <v/>
      </c>
      <c r="EG22">
        <f>IF($DM22=0,"",INDEX($EF$5:$EF$1003,$ED22))</f>
        <v/>
      </c>
      <c r="EH22">
        <f>IF($DM22=0,"",IF($DO22&lt;&gt;"","",IFERROR(LOOKUP(2,1/(($EG$4:EG21=$EG22)*($DO$4:DO21&lt;&gt;"")),$DO$4:DO21),"")))</f>
        <v/>
      </c>
      <c r="EI22">
        <f>IF($DM22=0,"",IF($DO22&lt;&gt;"",$DO22,$EH22))</f>
        <v/>
      </c>
      <c r="EJ22">
        <f>IF($DM22=0,"",IF($EI22="",0,IF(OR(ISNUMBER($EI22),AND(AND(SUBSTITUTE(SUBSTITUTE(SUBSTITUTE(SUBSTITUTE(SUBSTITUTE(SUBSTITUTE(SUBSTITUTE(SUBSTITUTE(SUBSTITUTE(SUBSTITUTE(SUBSTITUTE(SUBSTITUTE(SUBSTITUTE(SUBSTITUTE(UPPER($EI22),"0",""),"1",""),"2",""),"3",""),"4",""),"5",""),"6",""),"7",""),"8",""),"9",""),".",""),"+",""),"-",""),"E","")="",LEN(SUBSTITUTE(SUBSTITUTE(MID(UPPER($EI22),1+OR(LEFT(UPPER($EI22),1)="+",LEFT(UPPER($EI22),1)="-"),999),"E+","E"),"E-","E"))=LEN(SUBSTITUTE(SUBSTITUTE(SUBSTITUTE(SUBSTITUTE(MID(UPPER($EI22),1+OR(LEFT(UPPER($EI22),1)="+",LEFT(UPPER($EI22),1)="-"),999),"E+","E"),"E-","E"),"+",""),"-","")),LEN(UPPER($EI22))-LEN(SUBSTITUTE(UPPER($EI22),"E",""))&lt;2,LEN(UPPER($EI22))-LEN(SUBSTITUTE(UPPER($EI22),".",""))&lt;2,IFERROR(FIND(".",UPPER($EI22)),0)&lt;IFERROR(FIND("E",UPPER($EI22)),999)),ISNUMBER(VALUE($EI22)))),1,2)))</f>
        <v/>
      </c>
      <c r="EK22">
        <f>IF($DM22=0,"",IF($EJ22=1,IF(ISNUMBER($EI22),$EI22,VALUE($EI22)),IF($EJ22=2,$DE22,0)))</f>
        <v/>
      </c>
      <c r="EL22">
        <f>IF($DM22=0,"",COUNTIF($EG$5:$EG$1003,"&lt;"&amp;$EG22)+SUMPRODUCT(($EG$5:$EG$1003=$EG22)*(($EJ$5:$EJ$1003&lt;$EJ22)+($EJ$5:$EJ$1003=$EJ22)*(($EK$5:$EK$1003&lt;$EK22)+($EK$5:$EK$1003=$EK22)*($DE$5:$DE$1003&lt;$DE22))))+1)</f>
        <v/>
      </c>
      <c r="EM22">
        <f>IF($DM22=0,"",$EL22+$EG22-1)</f>
        <v/>
      </c>
      <c r="EN22">
        <f>IF($DM22=0,0,IFERROR(MATCH(1,INDEX(--(TRIM(SUBSTITUTE(SUBSTITUTE(SUBSTITUTE(SUBSTITUTE(LINES_NAME&amp;""," "," "),CHAR(9)," "),CHAR(10)," "),CHAR(13)," "))=$DH22),0),0),0))</f>
        <v/>
      </c>
      <c r="EO22">
        <f>IF($EN22=0,0,IF(OR(UPPER(TRIM(INDEX(LINES_SCHEDULED,$EN22)&amp;""))="YES",UPPER(TRIM(INDEX(LINES_SCHEDULED,$EN22)&amp;""))="Y",UPPER(TRIM(INDEX(LINES_SCHEDULED,$EN22)&amp;""))="X"),1,0))</f>
        <v/>
      </c>
      <c r="EP22">
        <f>IF($DM22=0,"",IF(COUNTIFS($EG$5:$EG$1003,$EG22,$EB$5:$EB$1003,"Ready")&gt;0,"READY",IF(COUNTIFS($EG$5:$EG$1003,$EG22,$EB$5:$EB$1003,"PM")&gt;0,"PM",IF(COUNTIFS($EG$5:$EG$1003,$EG22,$EB$5:$EB$1003,"OT")&gt;0,"OT",""))))</f>
        <v/>
      </c>
      <c r="EQ22">
        <f>IF($EN22=0,"",UPPER(TRIM(INDEX(LINES_STATUS,$EN22)&amp;"")))</f>
        <v/>
      </c>
      <c r="ER22">
        <f>IF($DM22=0,"",IF(OR($EQ22="READY",$EQ22="PM",$EQ22="OT"),$EQ22,$EP22))</f>
        <v/>
      </c>
      <c r="ES22">
        <f>IF($DM22=0,"",IF(AND($DV22&lt;&gt;"",UPPER($DV22)&lt;&gt;"N"),"allergen",IF(ISNUMBER(SEARCH("oil",$DQ22)),"oil",IF(OR(EXACT($DS22,"A662"),EXACT($DS22,"A624")),"bulk",""))))</f>
        <v/>
      </c>
      <c r="ET22">
        <f>IF($DM22=0,"",IF(OR($EA22="",$EA22=0),"",$EA22/100))</f>
        <v/>
      </c>
      <c r="EU22">
        <f>IF(OR($ET22="",$DY22=""),"",INT($DY22*(1-$ET22)+0.5))</f>
        <v/>
      </c>
      <c r="EW22" t="n">
        <v>18</v>
      </c>
      <c r="EX22">
        <f>IFERROR(MATCH($EW22,$EM$5:$EM$1003,0),0)</f>
        <v/>
      </c>
      <c r="EY22">
        <f>IF($EW22&gt;$B$12,"",IF($EX22&gt;0,"row","spacer"))</f>
        <v/>
      </c>
      <c r="EZ22">
        <f>IF(AND($EY22="row",$EY21&lt;&gt;"row"),1,0)</f>
        <v/>
      </c>
      <c r="FA22">
        <f>IF(AND($EY22="row",$EY23&lt;&gt;"row"),1,0)</f>
        <v/>
      </c>
      <c r="FB22">
        <f>IF($EZ22=1,IFERROR(IF(ISNUMBER(INDEX(PASTE_ALL,INDEX($DF$5:$DF$1003,$EX22),$B$37)),INDEX(PASTE_ALL,INDEX($DF$5:$DF$1003,$EX22),$B$37),INDEX($DH$5:$DH$1003,$EX22)),INDEX($DH$5:$DH$1003,$EX22)),"")</f>
        <v/>
      </c>
      <c r="FC22">
        <f>IF($EY22="row",INDEX($ER$5:$ER$1003,$EX22),"")</f>
        <v/>
      </c>
      <c r="FD22">
        <f>IF($EY22="row",INDEX($DN$5:$DN$1003,$EX22),"")</f>
        <v/>
      </c>
      <c r="FE22">
        <f>IF($EY22="row",INDEX($DO$5:$DO$1003,$EX22),"")</f>
        <v/>
      </c>
      <c r="FF22">
        <f>IF($EY22="row",INDEX($DP$5:$DP$1003,$EX22),"")</f>
        <v/>
      </c>
      <c r="FG22">
        <f>IF($EY22="row",INDEX($DQ$5:$DQ$1003,$EX22),"")</f>
        <v/>
      </c>
      <c r="FH22">
        <f>IF($EY22="row",INDEX($DR$5:$DR$1003,$EX22),"")</f>
        <v/>
      </c>
      <c r="FI22">
        <f>IF($EY22="row",INDEX($DS$5:$DS$1003,$EX22),"")</f>
        <v/>
      </c>
      <c r="FJ22">
        <f>IF($EY22="row",INDEX($DT$5:$DT$1003,$EX22),"")</f>
        <v/>
      </c>
      <c r="FK22">
        <f>IF($EY22="row",INDEX($DU$5:$DU$1003,$EX22),"")</f>
        <v/>
      </c>
      <c r="FL22">
        <f>IF($EY22="row",INDEX($DV$5:$DV$1003,$EX22),"")</f>
        <v/>
      </c>
      <c r="FM22">
        <f>IF($EY22="row",INDEX($DW$5:$DW$1003,$EX22),"")</f>
        <v/>
      </c>
      <c r="FN22">
        <f>IF($EY22="row",INDEX($DY$5:$DY$1003,$EX22),"")</f>
        <v/>
      </c>
      <c r="FO22">
        <f>IF($EY22="row",INDEX($EA$5:$EA$1003,$EX22),"")</f>
        <v/>
      </c>
      <c r="FP22">
        <f>IF($EY22="row",INDEX($EC$5:$EC$1003,$EX22),"")</f>
        <v/>
      </c>
      <c r="FQ22">
        <f>IF($EY22="row",INDEX($ET$5:$ET$1003,$EX22),"")</f>
        <v/>
      </c>
      <c r="FR22">
        <f>IF($EY22="row",INDEX($EU$5:$EU$1003,$EX22),"")</f>
        <v/>
      </c>
      <c r="FS22">
        <f>IF(AND($EY22="row",$EY21="row"),IF(OR(INDEX($DT$5:$DT$1003,$EX21)="",INDEX($DT$5:$DT$1003,$EX22)=""),"",IF(NOT(EXACT(INDEX($DT$5:$DT$1003,$EX21),INDEX($DT$5:$DT$1003,$EX22))),"S4",IF(NOT(EXACT(INDEX($DS$5:$DS$1003,$EX21),INDEX($DS$5:$DS$1003,$EX22))),"S3",IF(NOT(EXACT(INDEX($DR$5:$DR$1003,$EX21),INDEX($DR$5:$DR$1003,$EX22))),"S1 Count Change","S1")))),"")</f>
        <v/>
      </c>
      <c r="FT22">
        <f>IF($EY22="row",INDEX($ES$5:$ES$1003,$EX22),"")</f>
        <v/>
      </c>
      <c r="FU22">
        <f>IF($EY22="row",INDEX($EO$5:$EO$1003,$EX22),0)</f>
        <v/>
      </c>
      <c r="FV22">
        <f>IF($FS22="S1 Count Change",1,0)</f>
        <v/>
      </c>
      <c r="FX22" t="n">
        <v>18</v>
      </c>
      <c r="FY22">
        <f>IFERROR(MATCH($FX22,$EF$5:$EF$1003,0),0)</f>
        <v/>
      </c>
      <c r="FZ22">
        <f>IF($FY22=0,"",INDEX($DH$5:$DH$1003,$FY22))</f>
        <v/>
      </c>
      <c r="GA22">
        <f>IF($FY22=0,"",COUNTIF($EG$5:$EG$1003,$FX22))</f>
        <v/>
      </c>
      <c r="GB22">
        <f>IF($FY22=0,"",INDEX($ER$5:$ER$1003,$FY22))</f>
        <v/>
      </c>
      <c r="GC22">
        <f>IF($FY22=0,"",IF(INDEX($EO$5:$EO$1003,$FY22)=1,"Yes",""))</f>
        <v/>
      </c>
      <c r="GD22">
        <f>IF($FY22=0,"",IF(INDEX($EN$5:$EN$1003,$FY22)&gt;0,"","NOT IN YOUR LIST - type it in column A to tick it"))</f>
        <v/>
      </c>
      <c r="GE22">
        <f>IF(AND($FY22&gt;0,$GD22&lt;&gt;""),1,0)</f>
        <v/>
      </c>
      <c r="GF22">
        <f>GF21+$GE22</f>
        <v/>
      </c>
      <c r="GG22">
        <f>IFERROR(INDEX($FZ$5:$FZ$104,MATCH($FX22,$GF$5:$GF$104,0)),"")</f>
        <v/>
      </c>
    </row>
    <row r="23">
      <c r="A23" t="inlineStr">
        <is>
          <t>Lines past 100</t>
        </is>
      </c>
      <c r="B23">
        <f>MAX(0,$B$11-100)</f>
        <v/>
      </c>
      <c r="S23" t="n">
        <v>19</v>
      </c>
      <c r="T23" t="inlineStr">
        <is>
          <t>S</t>
        </is>
      </c>
      <c r="V23" t="inlineStr">
        <is>
          <t>SEQUENCENUMBER</t>
        </is>
      </c>
      <c r="W23" t="n">
        <v>3</v>
      </c>
      <c r="Y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 ",""),"!",""),CHAR(34),""),"#",""),"$",""),"%",""),"&amp;",""),"'",""),"(",""),")",""),"*",""),"+",""),",",""),"-",""),".",""),"/",""),":",""),";",""),"&lt;",""),"=",""),"&gt;",""),"?",""),"@",""),"[",""),"\",""),"]",""),"^",""),"_",""),"`",""),"{",""),"|",""),"}",""),"~",""),CHAR(9),""),CHAR(10),""),CHAR(13),"")," ",""),"")</f>
        <v/>
      </c>
      <c r="Z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 ",""),"!",""),CHAR(34),""),"#",""),"$",""),"%",""),"&amp;",""),"'",""),"(",""),")",""),"*",""),"+",""),",",""),"-",""),".",""),"/",""),":",""),";",""),"&lt;",""),"=",""),"&gt;",""),"?",""),"@",""),"[",""),"\",""),"]",""),"^",""),"_",""),"`",""),"{",""),"|",""),"}",""),"~",""),CHAR(9),""),CHAR(10),""),CHAR(13),"")," ",""),"")</f>
        <v/>
      </c>
      <c r="AA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 ",""),"!",""),CHAR(34),""),"#",""),"$",""),"%",""),"&amp;",""),"'",""),"(",""),")",""),"*",""),"+",""),",",""),"-",""),".",""),"/",""),":",""),";",""),"&lt;",""),"=",""),"&gt;",""),"?",""),"@",""),"[",""),"\",""),"]",""),"^",""),"_",""),"`",""),"{",""),"|",""),"}",""),"~",""),CHAR(9),""),CHAR(10),""),CHAR(13),"")," ",""),"")</f>
        <v/>
      </c>
      <c r="AB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 ",""),"!",""),CHAR(34),""),"#",""),"$",""),"%",""),"&amp;",""),"'",""),"(",""),")",""),"*",""),"+",""),",",""),"-",""),".",""),"/",""),":",""),";",""),"&lt;",""),"=",""),"&gt;",""),"?",""),"@",""),"[",""),"\",""),"]",""),"^",""),"_",""),"`",""),"{",""),"|",""),"}",""),"~",""),CHAR(9),""),CHAR(10),""),CHAR(13),"")," ",""),"")</f>
        <v/>
      </c>
      <c r="AC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 ",""),"!",""),CHAR(34),""),"#",""),"$",""),"%",""),"&amp;",""),"'",""),"(",""),")",""),"*",""),"+",""),",",""),"-",""),".",""),"/",""),":",""),";",""),"&lt;",""),"=",""),"&gt;",""),"?",""),"@",""),"[",""),"\",""),"]",""),"^",""),"_",""),"`",""),"{",""),"|",""),"}",""),"~",""),CHAR(9),""),CHAR(10),""),CHAR(13),"")," ",""),"")</f>
        <v/>
      </c>
      <c r="AD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19,6))," ",""),"!",""),CHAR(34),""),"#",""),"$",""),"%",""),"&amp;",""),"'",""),"(",""),")",""),"*",""),"+",""),",",""),"-",""),".",""),"/",""),":",""),";",""),"&lt;",""),"=",""),"&gt;",""),"?",""),"@",""),"[",""),"\",""),"]",""),"^",""),"_",""),"`",""),"{",""),"|",""),"}",""),"~",""),CHAR(9),""),CHAR(10),""),CHAR(13),"")," ",""),"")</f>
        <v/>
      </c>
      <c r="AE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19,7))," ",""),"!",""),CHAR(34),""),"#",""),"$",""),"%",""),"&amp;",""),"'",""),"(",""),")",""),"*",""),"+",""),",",""),"-",""),".",""),"/",""),":",""),";",""),"&lt;",""),"=",""),"&gt;",""),"?",""),"@",""),"[",""),"\",""),"]",""),"^",""),"_",""),"`",""),"{",""),"|",""),"}",""),"~",""),CHAR(9),""),CHAR(10),""),CHAR(13),"")," ",""),"")</f>
        <v/>
      </c>
      <c r="AF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19,8))," ",""),"!",""),CHAR(34),""),"#",""),"$",""),"%",""),"&amp;",""),"'",""),"(",""),")",""),"*",""),"+",""),",",""),"-",""),".",""),"/",""),":",""),";",""),"&lt;",""),"=",""),"&gt;",""),"?",""),"@",""),"[",""),"\",""),"]",""),"^",""),"_",""),"`",""),"{",""),"|",""),"}",""),"~",""),CHAR(9),""),CHAR(10),""),CHAR(13),"")," ",""),"")</f>
        <v/>
      </c>
      <c r="AG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19,9))," ",""),"!",""),CHAR(34),""),"#",""),"$",""),"%",""),"&amp;",""),"'",""),"(",""),")",""),"*",""),"+",""),",",""),"-",""),".",""),"/",""),":",""),";",""),"&lt;",""),"=",""),"&gt;",""),"?",""),"@",""),"[",""),"\",""),"]",""),"^",""),"_",""),"`",""),"{",""),"|",""),"}",""),"~",""),CHAR(9),""),CHAR(10),""),CHAR(13),"")," ",""),"")</f>
        <v/>
      </c>
      <c r="AH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19,10))," ",""),"!",""),CHAR(34),""),"#",""),"$",""),"%",""),"&amp;",""),"'",""),"(",""),")",""),"*",""),"+",""),",",""),"-",""),".",""),"/",""),":",""),";",""),"&lt;",""),"=",""),"&gt;",""),"?",""),"@",""),"[",""),"\",""),"]",""),"^",""),"_",""),"`",""),"{",""),"|",""),"}",""),"~",""),CHAR(9),""),CHAR(10),""),CHAR(13),"")," ",""),"")</f>
        <v/>
      </c>
      <c r="AI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19,11))," ",""),"!",""),CHAR(34),""),"#",""),"$",""),"%",""),"&amp;",""),"'",""),"(",""),")",""),"*",""),"+",""),",",""),"-",""),".",""),"/",""),":",""),";",""),"&lt;",""),"=",""),"&gt;",""),"?",""),"@",""),"[",""),"\",""),"]",""),"^",""),"_",""),"`",""),"{",""),"|",""),"}",""),"~",""),CHAR(9),""),CHAR(10),""),CHAR(13),"")," ",""),"")</f>
        <v/>
      </c>
      <c r="AJ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19,12))," ",""),"!",""),CHAR(34),""),"#",""),"$",""),"%",""),"&amp;",""),"'",""),"(",""),")",""),"*",""),"+",""),",",""),"-",""),".",""),"/",""),":",""),";",""),"&lt;",""),"=",""),"&gt;",""),"?",""),"@",""),"[",""),"\",""),"]",""),"^",""),"_",""),"`",""),"{",""),"|",""),"}",""),"~",""),CHAR(9),""),CHAR(10),""),CHAR(13),"")," ",""),"")</f>
        <v/>
      </c>
      <c r="AK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19,13))," ",""),"!",""),CHAR(34),""),"#",""),"$",""),"%",""),"&amp;",""),"'",""),"(",""),")",""),"*",""),"+",""),",",""),"-",""),".",""),"/",""),":",""),";",""),"&lt;",""),"=",""),"&gt;",""),"?",""),"@",""),"[",""),"\",""),"]",""),"^",""),"_",""),"`",""),"{",""),"|",""),"}",""),"~",""),CHAR(9),""),CHAR(10),""),CHAR(13),"")," ",""),"")</f>
        <v/>
      </c>
      <c r="AL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19,14))," ",""),"!",""),CHAR(34),""),"#",""),"$",""),"%",""),"&amp;",""),"'",""),"(",""),")",""),"*",""),"+",""),",",""),"-",""),".",""),"/",""),":",""),";",""),"&lt;",""),"=",""),"&gt;",""),"?",""),"@",""),"[",""),"\",""),"]",""),"^",""),"_",""),"`",""),"{",""),"|",""),"}",""),"~",""),CHAR(9),""),CHAR(10),""),CHAR(13),"")," ",""),"")</f>
        <v/>
      </c>
      <c r="AM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19,15))," ",""),"!",""),CHAR(34),""),"#",""),"$",""),"%",""),"&amp;",""),"'",""),"(",""),")",""),"*",""),"+",""),",",""),"-",""),".",""),"/",""),":",""),";",""),"&lt;",""),"=",""),"&gt;",""),"?",""),"@",""),"[",""),"\",""),"]",""),"^",""),"_",""),"`",""),"{",""),"|",""),"}",""),"~",""),CHAR(9),""),CHAR(10),""),CHAR(13),"")," ",""),"")</f>
        <v/>
      </c>
      <c r="AN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19,16))," ",""),"!",""),CHAR(34),""),"#",""),"$",""),"%",""),"&amp;",""),"'",""),"(",""),")",""),"*",""),"+",""),",",""),"-",""),".",""),"/",""),":",""),";",""),"&lt;",""),"=",""),"&gt;",""),"?",""),"@",""),"[",""),"\",""),"]",""),"^",""),"_",""),"`",""),"{",""),"|",""),"}",""),"~",""),CHAR(9),""),CHAR(10),""),CHAR(13),"")," ",""),"")</f>
        <v/>
      </c>
      <c r="AO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19,17))," ",""),"!",""),CHAR(34),""),"#",""),"$",""),"%",""),"&amp;",""),"'",""),"(",""),")",""),"*",""),"+",""),",",""),"-",""),".",""),"/",""),":",""),";",""),"&lt;",""),"=",""),"&gt;",""),"?",""),"@",""),"[",""),"\",""),"]",""),"^",""),"_",""),"`",""),"{",""),"|",""),"}",""),"~",""),CHAR(9),""),CHAR(10),""),CHAR(13),"")," ",""),"")</f>
        <v/>
      </c>
      <c r="AP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19,18))," ",""),"!",""),CHAR(34),""),"#",""),"$",""),"%",""),"&amp;",""),"'",""),"(",""),")",""),"*",""),"+",""),",",""),"-",""),".",""),"/",""),":",""),";",""),"&lt;",""),"=",""),"&gt;",""),"?",""),"@",""),"[",""),"\",""),"]",""),"^",""),"_",""),"`",""),"{",""),"|",""),"}",""),"~",""),CHAR(9),""),CHAR(10),""),CHAR(13),"")," ",""),"")</f>
        <v/>
      </c>
      <c r="AQ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19,19))," ",""),"!",""),CHAR(34),""),"#",""),"$",""),"%",""),"&amp;",""),"'",""),"(",""),")",""),"*",""),"+",""),",",""),"-",""),".",""),"/",""),":",""),";",""),"&lt;",""),"=",""),"&gt;",""),"?",""),"@",""),"[",""),"\",""),"]",""),"^",""),"_",""),"`",""),"{",""),"|",""),"}",""),"~",""),CHAR(9),""),CHAR(10),""),CHAR(13),"")," ",""),"")</f>
        <v/>
      </c>
      <c r="AR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19,20))," ",""),"!",""),CHAR(34),""),"#",""),"$",""),"%",""),"&amp;",""),"'",""),"(",""),")",""),"*",""),"+",""),",",""),"-",""),".",""),"/",""),":",""),";",""),"&lt;",""),"=",""),"&gt;",""),"?",""),"@",""),"[",""),"\",""),"]",""),"^",""),"_",""),"`",""),"{",""),"|",""),"}",""),"~",""),CHAR(9),""),CHAR(10),""),CHAR(13),"")," ",""),"")</f>
        <v/>
      </c>
      <c r="AS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19,21))," ",""),"!",""),CHAR(34),""),"#",""),"$",""),"%",""),"&amp;",""),"'",""),"(",""),")",""),"*",""),"+",""),",",""),"-",""),".",""),"/",""),":",""),";",""),"&lt;",""),"=",""),"&gt;",""),"?",""),"@",""),"[",""),"\",""),"]",""),"^",""),"_",""),"`",""),"{",""),"|",""),"}",""),"~",""),CHAR(9),""),CHAR(10),""),CHAR(13),"")," ",""),"")</f>
        <v/>
      </c>
      <c r="AT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19,22))," ",""),"!",""),CHAR(34),""),"#",""),"$",""),"%",""),"&amp;",""),"'",""),"(",""),")",""),"*",""),"+",""),",",""),"-",""),".",""),"/",""),":",""),";",""),"&lt;",""),"=",""),"&gt;",""),"?",""),"@",""),"[",""),"\",""),"]",""),"^",""),"_",""),"`",""),"{",""),"|",""),"}",""),"~",""),CHAR(9),""),CHAR(10),""),CHAR(13),"")," ",""),"")</f>
        <v/>
      </c>
      <c r="AU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19,23))," ",""),"!",""),CHAR(34),""),"#",""),"$",""),"%",""),"&amp;",""),"'",""),"(",""),")",""),"*",""),"+",""),",",""),"-",""),".",""),"/",""),":",""),";",""),"&lt;",""),"=",""),"&gt;",""),"?",""),"@",""),"[",""),"\",""),"]",""),"^",""),"_",""),"`",""),"{",""),"|",""),"}",""),"~",""),CHAR(9),""),CHAR(10),""),CHAR(13),"")," ",""),"")</f>
        <v/>
      </c>
      <c r="AV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19,24))," ",""),"!",""),CHAR(34),""),"#",""),"$",""),"%",""),"&amp;",""),"'",""),"(",""),")",""),"*",""),"+",""),",",""),"-",""),".",""),"/",""),":",""),";",""),"&lt;",""),"=",""),"&gt;",""),"?",""),"@",""),"[",""),"\",""),"]",""),"^",""),"_",""),"`",""),"{",""),"|",""),"}",""),"~",""),CHAR(9),""),CHAR(10),""),CHAR(13),"")," ",""),"")</f>
        <v/>
      </c>
      <c r="AW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19,25))," ",""),"!",""),CHAR(34),""),"#",""),"$",""),"%",""),"&amp;",""),"'",""),"(",""),")",""),"*",""),"+",""),",",""),"-",""),".",""),"/",""),":",""),";",""),"&lt;",""),"=",""),"&gt;",""),"?",""),"@",""),"[",""),"\",""),"]",""),"^",""),"_",""),"`",""),"{",""),"|",""),"}",""),"~",""),CHAR(9),""),CHAR(10),""),CHAR(13),"")," ",""),"")</f>
        <v/>
      </c>
      <c r="AX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19,26))," ",""),"!",""),CHAR(34),""),"#",""),"$",""),"%",""),"&amp;",""),"'",""),"(",""),")",""),"*",""),"+",""),",",""),"-",""),".",""),"/",""),":",""),";",""),"&lt;",""),"=",""),"&gt;",""),"?",""),"@",""),"[",""),"\",""),"]",""),"^",""),"_",""),"`",""),"{",""),"|",""),"}",""),"~",""),CHAR(9),""),CHAR(10),""),CHAR(13),"")," ",""),"")</f>
        <v/>
      </c>
      <c r="AY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19,27))," ",""),"!",""),CHAR(34),""),"#",""),"$",""),"%",""),"&amp;",""),"'",""),"(",""),")",""),"*",""),"+",""),",",""),"-",""),".",""),"/",""),":",""),";",""),"&lt;",""),"=",""),"&gt;",""),"?",""),"@",""),"[",""),"\",""),"]",""),"^",""),"_",""),"`",""),"{",""),"|",""),"}",""),"~",""),CHAR(9),""),CHAR(10),""),CHAR(13),"")," ",""),"")</f>
        <v/>
      </c>
      <c r="AZ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19,28))," ",""),"!",""),CHAR(34),""),"#",""),"$",""),"%",""),"&amp;",""),"'",""),"(",""),")",""),"*",""),"+",""),",",""),"-",""),".",""),"/",""),":",""),";",""),"&lt;",""),"=",""),"&gt;",""),"?",""),"@",""),"[",""),"\",""),"]",""),"^",""),"_",""),"`",""),"{",""),"|",""),"}",""),"~",""),CHAR(9),""),CHAR(10),""),CHAR(13),"")," ",""),"")</f>
        <v/>
      </c>
      <c r="BA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19,29))," ",""),"!",""),CHAR(34),""),"#",""),"$",""),"%",""),"&amp;",""),"'",""),"(",""),")",""),"*",""),"+",""),",",""),"-",""),".",""),"/",""),":",""),";",""),"&lt;",""),"=",""),"&gt;",""),"?",""),"@",""),"[",""),"\",""),"]",""),"^",""),"_",""),"`",""),"{",""),"|",""),"}",""),"~",""),CHAR(9),""),CHAR(10),""),CHAR(13),"")," ",""),"")</f>
        <v/>
      </c>
      <c r="BB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19,30))," ",""),"!",""),CHAR(34),""),"#",""),"$",""),"%",""),"&amp;",""),"'",""),"(",""),")",""),"*",""),"+",""),",",""),"-",""),".",""),"/",""),":",""),";",""),"&lt;",""),"=",""),"&gt;",""),"?",""),"@",""),"[",""),"\",""),"]",""),"^",""),"_",""),"`",""),"{",""),"|",""),"}",""),"~",""),CHAR(9),""),CHAR(10),""),CHAR(13),"")," ",""),"")</f>
        <v/>
      </c>
      <c r="BC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19,31))," ",""),"!",""),CHAR(34),""),"#",""),"$",""),"%",""),"&amp;",""),"'",""),"(",""),")",""),"*",""),"+",""),",",""),"-",""),".",""),"/",""),":",""),";",""),"&lt;",""),"=",""),"&gt;",""),"?",""),"@",""),"[",""),"\",""),"]",""),"^",""),"_",""),"`",""),"{",""),"|",""),"}",""),"~",""),CHAR(9),""),CHAR(10),""),CHAR(13),"")," ",""),"")</f>
        <v/>
      </c>
      <c r="BD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19,32))," ",""),"!",""),CHAR(34),""),"#",""),"$",""),"%",""),"&amp;",""),"'",""),"(",""),")",""),"*",""),"+",""),",",""),"-",""),".",""),"/",""),":",""),";",""),"&lt;",""),"=",""),"&gt;",""),"?",""),"@",""),"[",""),"\",""),"]",""),"^",""),"_",""),"`",""),"{",""),"|",""),"}",""),"~",""),CHAR(9),""),CHAR(10),""),CHAR(13),"")," ",""),"")</f>
        <v/>
      </c>
      <c r="BE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19,33))," ",""),"!",""),CHAR(34),""),"#",""),"$",""),"%",""),"&amp;",""),"'",""),"(",""),")",""),"*",""),"+",""),",",""),"-",""),".",""),"/",""),":",""),";",""),"&lt;",""),"=",""),"&gt;",""),"?",""),"@",""),"[",""),"\",""),"]",""),"^",""),"_",""),"`",""),"{",""),"|",""),"}",""),"~",""),CHAR(9),""),CHAR(10),""),CHAR(13),"")," ",""),"")</f>
        <v/>
      </c>
      <c r="BF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19,34))," ",""),"!",""),CHAR(34),""),"#",""),"$",""),"%",""),"&amp;",""),"'",""),"(",""),")",""),"*",""),"+",""),",",""),"-",""),".",""),"/",""),":",""),";",""),"&lt;",""),"=",""),"&gt;",""),"?",""),"@",""),"[",""),"\",""),"]",""),"^",""),"_",""),"`",""),"{",""),"|",""),"}",""),"~",""),CHAR(9),""),CHAR(10),""),CHAR(13),"")," ",""),"")</f>
        <v/>
      </c>
      <c r="BG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19,35))," ",""),"!",""),CHAR(34),""),"#",""),"$",""),"%",""),"&amp;",""),"'",""),"(",""),")",""),"*",""),"+",""),",",""),"-",""),".",""),"/",""),":",""),";",""),"&lt;",""),"=",""),"&gt;",""),"?",""),"@",""),"[",""),"\",""),"]",""),"^",""),"_",""),"`",""),"{",""),"|",""),"}",""),"~",""),CHAR(9),""),CHAR(10),""),CHAR(13),"")," ",""),"")</f>
        <v/>
      </c>
      <c r="BH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19,36))," ",""),"!",""),CHAR(34),""),"#",""),"$",""),"%",""),"&amp;",""),"'",""),"(",""),")",""),"*",""),"+",""),",",""),"-",""),".",""),"/",""),":",""),";",""),"&lt;",""),"=",""),"&gt;",""),"?",""),"@",""),"[",""),"\",""),"]",""),"^",""),"_",""),"`",""),"{",""),"|",""),"}",""),"~",""),CHAR(9),""),CHAR(10),""),CHAR(13),"")," ",""),"")</f>
        <v/>
      </c>
      <c r="BI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19,37))," ",""),"!",""),CHAR(34),""),"#",""),"$",""),"%",""),"&amp;",""),"'",""),"(",""),")",""),"*",""),"+",""),",",""),"-",""),".",""),"/",""),":",""),";",""),"&lt;",""),"=",""),"&gt;",""),"?",""),"@",""),"[",""),"\",""),"]",""),"^",""),"_",""),"`",""),"{",""),"|",""),"}",""),"~",""),CHAR(9),""),CHAR(10),""),CHAR(13),"")," ",""),"")</f>
        <v/>
      </c>
      <c r="BJ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19,38))," ",""),"!",""),CHAR(34),""),"#",""),"$",""),"%",""),"&amp;",""),"'",""),"(",""),")",""),"*",""),"+",""),",",""),"-",""),".",""),"/",""),":",""),";",""),"&lt;",""),"=",""),"&gt;",""),"?",""),"@",""),"[",""),"\",""),"]",""),"^",""),"_",""),"`",""),"{",""),"|",""),"}",""),"~",""),CHAR(9),""),CHAR(10),""),CHAR(13),"")," ",""),"")</f>
        <v/>
      </c>
      <c r="BK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19,39))," ",""),"!",""),CHAR(34),""),"#",""),"$",""),"%",""),"&amp;",""),"'",""),"(",""),")",""),"*",""),"+",""),",",""),"-",""),".",""),"/",""),":",""),";",""),"&lt;",""),"=",""),"&gt;",""),"?",""),"@",""),"[",""),"\",""),"]",""),"^",""),"_",""),"`",""),"{",""),"|",""),"}",""),"~",""),CHAR(9),""),CHAR(10),""),CHAR(13),"")," ",""),"")</f>
        <v/>
      </c>
      <c r="BL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19,40))," ",""),"!",""),CHAR(34),""),"#",""),"$",""),"%",""),"&amp;",""),"'",""),"(",""),")",""),"*",""),"+",""),",",""),"-",""),".",""),"/",""),":",""),";",""),"&lt;",""),"=",""),"&gt;",""),"?",""),"@",""),"[",""),"\",""),"]",""),"^",""),"_",""),"`",""),"{",""),"|",""),"}",""),"~",""),CHAR(9),""),CHAR(10),""),CHAR(13),"")," ",""),"")</f>
        <v/>
      </c>
      <c r="BM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19,41))," ",""),"!",""),CHAR(34),""),"#",""),"$",""),"%",""),"&amp;",""),"'",""),"(",""),")",""),"*",""),"+",""),",",""),"-",""),".",""),"/",""),":",""),";",""),"&lt;",""),"=",""),"&gt;",""),"?",""),"@",""),"[",""),"\",""),"]",""),"^",""),"_",""),"`",""),"{",""),"|",""),"}",""),"~",""),CHAR(9),""),CHAR(10),""),CHAR(13),"")," ",""),"")</f>
        <v/>
      </c>
      <c r="BN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19,42))," ",""),"!",""),CHAR(34),""),"#",""),"$",""),"%",""),"&amp;",""),"'",""),"(",""),")",""),"*",""),"+",""),",",""),"-",""),".",""),"/",""),":",""),";",""),"&lt;",""),"=",""),"&gt;",""),"?",""),"@",""),"[",""),"\",""),"]",""),"^",""),"_",""),"`",""),"{",""),"|",""),"}",""),"~",""),CHAR(9),""),CHAR(10),""),CHAR(13),"")," ",""),"")</f>
        <v/>
      </c>
      <c r="BO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19,43))," ",""),"!",""),CHAR(34),""),"#",""),"$",""),"%",""),"&amp;",""),"'",""),"(",""),")",""),"*",""),"+",""),",",""),"-",""),".",""),"/",""),":",""),";",""),"&lt;",""),"=",""),"&gt;",""),"?",""),"@",""),"[",""),"\",""),"]",""),"^",""),"_",""),"`",""),"{",""),"|",""),"}",""),"~",""),CHAR(9),""),CHAR(10),""),CHAR(13),"")," ",""),"")</f>
        <v/>
      </c>
      <c r="BP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19,44))," ",""),"!",""),CHAR(34),""),"#",""),"$",""),"%",""),"&amp;",""),"'",""),"(",""),")",""),"*",""),"+",""),",",""),"-",""),".",""),"/",""),":",""),";",""),"&lt;",""),"=",""),"&gt;",""),"?",""),"@",""),"[",""),"\",""),"]",""),"^",""),"_",""),"`",""),"{",""),"|",""),"}",""),"~",""),CHAR(9),""),CHAR(10),""),CHAR(13),"")," ",""),"")</f>
        <v/>
      </c>
      <c r="BQ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19,45))," ",""),"!",""),CHAR(34),""),"#",""),"$",""),"%",""),"&amp;",""),"'",""),"(",""),")",""),"*",""),"+",""),",",""),"-",""),".",""),"/",""),":",""),";",""),"&lt;",""),"=",""),"&gt;",""),"?",""),"@",""),"[",""),"\",""),"]",""),"^",""),"_",""),"`",""),"{",""),"|",""),"}",""),"~",""),CHAR(9),""),CHAR(10),""),CHAR(13),"")," ",""),"")</f>
        <v/>
      </c>
      <c r="BR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19,46))," ",""),"!",""),CHAR(34),""),"#",""),"$",""),"%",""),"&amp;",""),"'",""),"(",""),")",""),"*",""),"+",""),",",""),"-",""),".",""),"/",""),":",""),";",""),"&lt;",""),"=",""),"&gt;",""),"?",""),"@",""),"[",""),"\",""),"]",""),"^",""),"_",""),"`",""),"{",""),"|",""),"}",""),"~",""),CHAR(9),""),CHAR(10),""),CHAR(13),"")," ",""),"")</f>
        <v/>
      </c>
      <c r="BS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19,47))," ",""),"!",""),CHAR(34),""),"#",""),"$",""),"%",""),"&amp;",""),"'",""),"(",""),")",""),"*",""),"+",""),",",""),"-",""),".",""),"/",""),":",""),";",""),"&lt;",""),"=",""),"&gt;",""),"?",""),"@",""),"[",""),"\",""),"]",""),"^",""),"_",""),"`",""),"{",""),"|",""),"}",""),"~",""),CHAR(9),""),CHAR(10),""),CHAR(13),"")," ",""),"")</f>
        <v/>
      </c>
      <c r="BT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19,48))," ",""),"!",""),CHAR(34),""),"#",""),"$",""),"%",""),"&amp;",""),"'",""),"(",""),")",""),"*",""),"+",""),",",""),"-",""),".",""),"/",""),":",""),";",""),"&lt;",""),"=",""),"&gt;",""),"?",""),"@",""),"[",""),"\",""),"]",""),"^",""),"_",""),"`",""),"{",""),"|",""),"}",""),"~",""),CHAR(9),""),CHAR(10),""),CHAR(13),"")," ",""),"")</f>
        <v/>
      </c>
      <c r="BU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19,49))," ",""),"!",""),CHAR(34),""),"#",""),"$",""),"%",""),"&amp;",""),"'",""),"(",""),")",""),"*",""),"+",""),",",""),"-",""),".",""),"/",""),":",""),";",""),"&lt;",""),"=",""),"&gt;",""),"?",""),"@",""),"[",""),"\",""),"]",""),"^",""),"_",""),"`",""),"{",""),"|",""),"}",""),"~",""),CHAR(9),""),CHAR(10),""),CHAR(13),"")," ",""),"")</f>
        <v/>
      </c>
      <c r="BV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19,50))," ",""),"!",""),CHAR(34),""),"#",""),"$",""),"%",""),"&amp;",""),"'",""),"(",""),")",""),"*",""),"+",""),",",""),"-",""),".",""),"/",""),":",""),";",""),"&lt;",""),"=",""),"&gt;",""),"?",""),"@",""),"[",""),"\",""),"]",""),"^",""),"_",""),"`",""),"{",""),"|",""),"}",""),"~",""),CHAR(9),""),CHAR(10),""),CHAR(13),"")," ",""),"")</f>
        <v/>
      </c>
      <c r="BW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19,51))," ",""),"!",""),CHAR(34),""),"#",""),"$",""),"%",""),"&amp;",""),"'",""),"(",""),")",""),"*",""),"+",""),",",""),"-",""),".",""),"/",""),":",""),";",""),"&lt;",""),"=",""),"&gt;",""),"?",""),"@",""),"[",""),"\",""),"]",""),"^",""),"_",""),"`",""),"{",""),"|",""),"}",""),"~",""),CHAR(9),""),CHAR(10),""),CHAR(13),"")," ",""),"")</f>
        <v/>
      </c>
      <c r="BX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19,52))," ",""),"!",""),CHAR(34),""),"#",""),"$",""),"%",""),"&amp;",""),"'",""),"(",""),")",""),"*",""),"+",""),",",""),"-",""),".",""),"/",""),":",""),";",""),"&lt;",""),"=",""),"&gt;",""),"?",""),"@",""),"[",""),"\",""),"]",""),"^",""),"_",""),"`",""),"{",""),"|",""),"}",""),"~",""),CHAR(9),""),CHAR(10),""),CHAR(13),"")," ",""),"")</f>
        <v/>
      </c>
      <c r="BY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19,53))," ",""),"!",""),CHAR(34),""),"#",""),"$",""),"%",""),"&amp;",""),"'",""),"(",""),")",""),"*",""),"+",""),",",""),"-",""),".",""),"/",""),":",""),";",""),"&lt;",""),"=",""),"&gt;",""),"?",""),"@",""),"[",""),"\",""),"]",""),"^",""),"_",""),"`",""),"{",""),"|",""),"}",""),"~",""),CHAR(9),""),CHAR(10),""),CHAR(13),"")," ",""),"")</f>
        <v/>
      </c>
      <c r="BZ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19,54))," ",""),"!",""),CHAR(34),""),"#",""),"$",""),"%",""),"&amp;",""),"'",""),"(",""),")",""),"*",""),"+",""),",",""),"-",""),".",""),"/",""),":",""),";",""),"&lt;",""),"=",""),"&gt;",""),"?",""),"@",""),"[",""),"\",""),"]",""),"^",""),"_",""),"`",""),"{",""),"|",""),"}",""),"~",""),CHAR(9),""),CHAR(10),""),CHAR(13),"")," ",""),"")</f>
        <v/>
      </c>
      <c r="CA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19,55))," ",""),"!",""),CHAR(34),""),"#",""),"$",""),"%",""),"&amp;",""),"'",""),"(",""),")",""),"*",""),"+",""),",",""),"-",""),".",""),"/",""),":",""),";",""),"&lt;",""),"=",""),"&gt;",""),"?",""),"@",""),"[",""),"\",""),"]",""),"^",""),"_",""),"`",""),"{",""),"|",""),"}",""),"~",""),CHAR(9),""),CHAR(10),""),CHAR(13),"")," ",""),"")</f>
        <v/>
      </c>
      <c r="CB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19,56))," ",""),"!",""),CHAR(34),""),"#",""),"$",""),"%",""),"&amp;",""),"'",""),"(",""),")",""),"*",""),"+",""),",",""),"-",""),".",""),"/",""),":",""),";",""),"&lt;",""),"=",""),"&gt;",""),"?",""),"@",""),"[",""),"\",""),"]",""),"^",""),"_",""),"`",""),"{",""),"|",""),"}",""),"~",""),CHAR(9),""),CHAR(10),""),CHAR(13),"")," ",""),"")</f>
        <v/>
      </c>
      <c r="CC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19,57))," ",""),"!",""),CHAR(34),""),"#",""),"$",""),"%",""),"&amp;",""),"'",""),"(",""),")",""),"*",""),"+",""),",",""),"-",""),".",""),"/",""),":",""),";",""),"&lt;",""),"=",""),"&gt;",""),"?",""),"@",""),"[",""),"\",""),"]",""),"^",""),"_",""),"`",""),"{",""),"|",""),"}",""),"~",""),CHAR(9),""),CHAR(10),""),CHAR(13),"")," ",""),"")</f>
        <v/>
      </c>
      <c r="CD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19,58))," ",""),"!",""),CHAR(34),""),"#",""),"$",""),"%",""),"&amp;",""),"'",""),"(",""),")",""),"*",""),"+",""),",",""),"-",""),".",""),"/",""),":",""),";",""),"&lt;",""),"=",""),"&gt;",""),"?",""),"@",""),"[",""),"\",""),"]",""),"^",""),"_",""),"`",""),"{",""),"|",""),"}",""),"~",""),CHAR(9),""),CHAR(10),""),CHAR(13),"")," ",""),"")</f>
        <v/>
      </c>
      <c r="CE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19,59))," ",""),"!",""),CHAR(34),""),"#",""),"$",""),"%",""),"&amp;",""),"'",""),"(",""),")",""),"*",""),"+",""),",",""),"-",""),".",""),"/",""),":",""),";",""),"&lt;",""),"=",""),"&gt;",""),"?",""),"@",""),"[",""),"\",""),"]",""),"^",""),"_",""),"`",""),"{",""),"|",""),"}",""),"~",""),CHAR(9),""),CHAR(10),""),CHAR(13),"")," ",""),"")</f>
        <v/>
      </c>
      <c r="CF2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19,60))," ",""),"!",""),CHAR(34),""),"#",""),"$",""),"%",""),"&amp;",""),"'",""),"(",""),")",""),"*",""),"+",""),",",""),"-",""),".",""),"/",""),":",""),";",""),"&lt;",""),"=",""),"&gt;",""),"?",""),"@",""),"[",""),"\",""),"]",""),"^",""),"_",""),"`",""),"{",""),"|",""),"}",""),"~",""),CHAR(9),""),CHAR(10),""),CHAR(13),"")," ",""),"")</f>
        <v/>
      </c>
      <c r="CH23">
        <f>COUNTIF($Y68:$CF68,"&gt;0")</f>
        <v/>
      </c>
      <c r="CI23">
        <f>COUNTIF($Y68:$CF68,2)</f>
        <v/>
      </c>
      <c r="CJ23">
        <f>SUMPRODUCT((COUNTIF($Y113:$CF113,{1,2,3,4,5,6,7,8,9,10,11,12,13,14,15})&gt;0)*{2,4,8,16,32,64,128,256,512,1024,2048,4096,8192,16384,32768})</f>
        <v/>
      </c>
      <c r="CK23">
        <f>CF203</f>
        <v/>
      </c>
      <c r="CL23">
        <f>SUMPRODUCT(MOD(INT(((CJ23+CK23))/{2,4,8,16,32,64,128,256,512,1024,2048,4096,8192,16384,32768}),2))</f>
        <v/>
      </c>
      <c r="CM23">
        <f>IF(CH23&lt;2,-9999,CL23+2*MOD(INT(((CJ23+CK23))/2),2)+2*MOD(INT(((CJ23+CK23))/4),2)-CI23)</f>
        <v/>
      </c>
      <c r="DA23" t="n">
        <v>19</v>
      </c>
      <c r="DB23">
        <f>IF($B$37=0,"",IFERROR(TRIM(SUBSTITUTE(SUBSTITUTE(SUBSTITUTE(SUBSTITUTE(INDEX(PASTE_ALL,19,$B$37)," "," "),CHAR(9)," "),CHAR(10)," "),CHAR(13)," ")),""))</f>
        <v/>
      </c>
      <c r="DC23">
        <f>IF(AND(19&gt;HEADER_ROW,UPPER(DB23)="LEGEND"),1,0)</f>
        <v/>
      </c>
      <c r="DE23" t="n">
        <v>19</v>
      </c>
      <c r="DF23">
        <f>HEADER_ROW+$DE23</f>
        <v/>
      </c>
      <c r="DG23">
        <f>IF(AND($DF23&lt;=1000,$DF23&lt;$B$8),1,0)</f>
        <v/>
      </c>
      <c r="DH23">
        <f>IF($DG23=1,IFERROR(INDEX($DB$5:$DB$1004,$DF23),""),"")</f>
        <v/>
      </c>
      <c r="DI23">
        <f>IF(AND($DG23=1,$DH23&lt;&gt;""),IFERROR(SUBSTITUTE(SUBSTITUTE(TRIM(SUBSTITUTE(SUBSTITUTE(SUBSTITUTE(SUBSTITUTE(IFERROR(INDEX(PASTE_ALL,$DF23,1)&amp;"","")&amp;"␟"&amp;IFERROR(INDEX(PASTE_ALL,$DF23,2)&amp;"","")&amp;"␟"&amp;IFERROR(INDEX(PASTE_ALL,$DF23,3)&amp;"","")&amp;"␟"&amp;IFERROR(INDEX(PASTE_ALL,$DF23,4)&amp;"","")&amp;"␟"&amp;IFERROR(INDEX(PASTE_ALL,$DF23,5)&amp;"","")&amp;"␟"&amp;IFERROR(INDEX(PASTE_ALL,$DF23,6)&amp;"","")&amp;"␟"&amp;IFERROR(INDEX(PASTE_ALL,$DF23,7)&amp;"","")&amp;"␟"&amp;IFERROR(INDEX(PASTE_ALL,$DF23,8)&amp;"","")&amp;"␟"&amp;IFERROR(INDEX(PASTE_ALL,$DF23,9)&amp;"","")&amp;"␟"&amp;IFERROR(INDEX(PASTE_ALL,$DF23,10)&amp;"","")&amp;"␟"&amp;IFERROR(INDEX(PASTE_ALL,$DF23,11)&amp;"","")&amp;"␟"&amp;IFERROR(INDEX(PASTE_ALL,$DF23,12)&amp;"","")&amp;"␟"&amp;IFERROR(INDEX(PASTE_ALL,$DF23,13)&amp;"","")&amp;"␟"&amp;IFERROR(INDEX(PASTE_ALL,$DF23,14)&amp;"","")&amp;"␟"&amp;IFERROR(INDEX(PASTE_ALL,$DF23,15)&amp;"","")&amp;"␟"&amp;IFERROR(INDEX(PASTE_ALL,$DF23,16)&amp;"","")&amp;"␟"&amp;IFERROR(INDEX(PASTE_ALL,$DF23,17)&amp;"","")&amp;"␟"&amp;IFERROR(INDEX(PASTE_ALL,$DF23,18)&amp;"","")&amp;"␟"&amp;IFERROR(INDEX(PASTE_ALL,$DF23,19)&amp;"","")&amp;"␟"&amp;IFERROR(INDEX(PASTE_ALL,$DF23,20)&amp;"","")&amp;"␟"&amp;IFERROR(INDEX(PASTE_ALL,$DF23,21)&amp;"","")&amp;"␟"&amp;IFERROR(INDEX(PASTE_ALL,$DF23,22)&amp;"","")&amp;"␟"&amp;IFERROR(INDEX(PASTE_ALL,$DF23,23)&amp;"","")&amp;"␟"&amp;IFERROR(INDEX(PASTE_ALL,$DF23,24)&amp;"","")&amp;"␟"&amp;IFERROR(INDEX(PASTE_ALL,$DF23,25)&amp;"","")&amp;"␟"&amp;IFERROR(INDEX(PASTE_ALL,$DF23,26)&amp;"","")&amp;"␟"&amp;IFERROR(INDEX(PASTE_ALL,$DF23,27)&amp;"","")&amp;"␟"&amp;IFERROR(INDEX(PASTE_ALL,$DF23,28)&amp;"","")&amp;"␟"&amp;IFERROR(INDEX(PASTE_ALL,$DF23,29)&amp;"","")&amp;"␟"&amp;IFERROR(INDEX(PASTE_ALL,$DF23,30)&amp;"","")&amp;"␟"&amp;IFERROR(INDEX(PASTE_ALL,$DF23,31)&amp;"","")&amp;"␟"&amp;IFERROR(INDEX(PASTE_ALL,$DF23,32)&amp;"","")&amp;"␟"&amp;IFERROR(INDEX(PASTE_ALL,$DF23,33)&amp;"","")&amp;"␟"&amp;IFERROR(INDEX(PASTE_ALL,$DF23,34)&amp;"","")&amp;"␟"&amp;IFERROR(INDEX(PASTE_ALL,$DF23,35)&amp;"","")&amp;"␟"&amp;IFERROR(INDEX(PASTE_ALL,$DF23,36)&amp;"","")&amp;"␟"&amp;IFERROR(INDEX(PASTE_ALL,$DF23,37)&amp;"","")&amp;"␟"&amp;IFERROR(INDEX(PASTE_ALL,$DF23,38)&amp;"","")&amp;"␟"&amp;IFERROR(INDEX(PASTE_ALL,$DF23,39)&amp;"","")&amp;"␟"&amp;IFERROR(INDEX(PASTE_ALL,$DF23,40)&amp;"","")&amp;"␟"&amp;IFERROR(INDEX(PASTE_ALL,$DF23,41)&amp;"","")&amp;"␟"&amp;IFERROR(INDEX(PASTE_ALL,$DF23,42)&amp;"","")&amp;"␟"&amp;IFERROR(INDEX(PASTE_ALL,$DF23,43)&amp;"","")&amp;"␟"&amp;IFERROR(INDEX(PASTE_ALL,$DF23,44)&amp;"","")&amp;"␟"&amp;IFERROR(INDEX(PASTE_ALL,$DF23,45)&amp;"","")&amp;"␟"&amp;IFERROR(INDEX(PASTE_ALL,$DF23,46)&amp;"","")&amp;"␟"&amp;IFERROR(INDEX(PASTE_ALL,$DF23,47)&amp;"","")&amp;"␟"&amp;IFERROR(INDEX(PASTE_ALL,$DF23,48)&amp;"","")&amp;"␟"&amp;IFERROR(INDEX(PASTE_ALL,$DF23,49)&amp;"","")&amp;"␟"&amp;IFERROR(INDEX(PASTE_ALL,$DF23,50)&amp;"","")&amp;"␟"&amp;IFERROR(INDEX(PASTE_ALL,$DF23,51)&amp;"","")&amp;"␟"&amp;IFERROR(INDEX(PASTE_ALL,$DF23,52)&amp;"","")&amp;"␟"&amp;IFERROR(INDEX(PASTE_ALL,$DF23,53)&amp;"","")&amp;"␟"&amp;IFERROR(INDEX(PASTE_ALL,$DF23,54)&amp;"","")&amp;"␟"&amp;IFERROR(INDEX(PASTE_ALL,$DF23,55)&amp;"","")&amp;"␟"&amp;IFERROR(INDEX(PASTE_ALL,$DF23,56)&amp;"","")&amp;"␟"&amp;IFERROR(INDEX(PASTE_ALL,$DF23,57)&amp;"","")&amp;"␟"&amp;IFERROR(INDEX(PASTE_ALL,$DF23,58)&amp;"","")&amp;"␟"&amp;IFERROR(INDEX(PASTE_ALL,$DF23,59)&amp;"","")&amp;"␟"&amp;IFERROR(INDEX(PASTE_ALL,$DF23,60)&amp;"","")," "," "),CHAR(9)," "),CHAR(10)," "),CHAR(13)," "))," ␟","␟"),"␟ ","␟"),"#"&amp;$DE23),"")</f>
        <v/>
      </c>
      <c r="DJ23">
        <f>IF($DI23="",0,IF(SUMPRODUCT(--EXACT($DI$4:DI22,$DI23))&gt;0,1,0))</f>
        <v/>
      </c>
      <c r="DK23">
        <f>IF(AND($DI23&lt;&gt;"",$DJ23=0),1,0)</f>
        <v/>
      </c>
      <c r="DL23">
        <f>DL22+$DK23</f>
        <v/>
      </c>
      <c r="DM23">
        <f>IF(AND($DK23=1,$DL23&lt;=600),1,0)</f>
        <v/>
      </c>
      <c r="DN23">
        <f>IF($DM23=0,"",IF($L$6=0,"",IFERROR(IF(ISNUMBER(INDEX(PASTE_ALL,$DF23,$L$6)),INDEX(PASTE_ALL,$DF23,$L$6),TRIM(SUBSTITUTE(SUBSTITUTE(SUBSTITUTE(SUBSTITUTE(INDEX(PASTE_ALL,$DF23,$L$6)," "," "),CHAR(9)," "),CHAR(10)," "),CHAR(13)," "))),"")))</f>
        <v/>
      </c>
      <c r="DO23">
        <f>IF($DM23=0,"",IF($L$7=0,"",IFERROR(IF(ISNUMBER(INDEX(PASTE_ALL,$DF23,$L$7)),INDEX(PASTE_ALL,$DF23,$L$7),TRIM(SUBSTITUTE(SUBSTITUTE(SUBSTITUTE(SUBSTITUTE(INDEX(PASTE_ALL,$DF23,$L$7)," "," "),CHAR(9)," "),CHAR(10)," "),CHAR(13)," "))),"")))</f>
        <v/>
      </c>
      <c r="DP23">
        <f>IF($DM23=0,"",IF($L$8=0,"",IFERROR(IF(ISNUMBER(INDEX(PASTE_ALL,$DF23,$L$8)),INDEX(PASTE_ALL,$DF23,$L$8),TRIM(SUBSTITUTE(SUBSTITUTE(SUBSTITUTE(SUBSTITUTE(INDEX(PASTE_ALL,$DF23,$L$8)," "," "),CHAR(9)," "),CHAR(10)," "),CHAR(13)," "))),"")))</f>
        <v/>
      </c>
      <c r="DQ23">
        <f>IF($DM23=0,"",IF($L$9=0,"",IFERROR(IF(ISNUMBER(INDEX(PASTE_ALL,$DF23,$L$9)),INDEX(PASTE_ALL,$DF23,$L$9),TRIM(SUBSTITUTE(SUBSTITUTE(SUBSTITUTE(SUBSTITUTE(INDEX(PASTE_ALL,$DF23,$L$9)," "," "),CHAR(9)," "),CHAR(10)," "),CHAR(13)," "))),"")))</f>
        <v/>
      </c>
      <c r="DR23">
        <f>IF($DM23=0,"",IF($L$10=0,"",IFERROR(IF(ISNUMBER(INDEX(PASTE_ALL,$DF23,$L$10)),INDEX(PASTE_ALL,$DF23,$L$10),TRIM(SUBSTITUTE(SUBSTITUTE(SUBSTITUTE(SUBSTITUTE(INDEX(PASTE_ALL,$DF23,$L$10)," "," "),CHAR(9)," "),CHAR(10)," "),CHAR(13)," "))),"")))</f>
        <v/>
      </c>
      <c r="DS23">
        <f>IF($DM23=0,"",IF($L$11=0,"",IFERROR(IF(ISNUMBER(INDEX(PASTE_ALL,$DF23,$L$11)),INDEX(PASTE_ALL,$DF23,$L$11),TRIM(SUBSTITUTE(SUBSTITUTE(SUBSTITUTE(SUBSTITUTE(INDEX(PASTE_ALL,$DF23,$L$11)," "," "),CHAR(9)," "),CHAR(10)," "),CHAR(13)," "))),"")))</f>
        <v/>
      </c>
      <c r="DT23">
        <f>IF($DM23=0,"",IF($L$12=0,"",IFERROR(IF(ISNUMBER(INDEX(PASTE_ALL,$DF23,$L$12)),INDEX(PASTE_ALL,$DF23,$L$12),TRIM(SUBSTITUTE(SUBSTITUTE(SUBSTITUTE(SUBSTITUTE(INDEX(PASTE_ALL,$DF23,$L$12)," "," "),CHAR(9)," "),CHAR(10)," "),CHAR(13)," "))),"")))</f>
        <v/>
      </c>
      <c r="DU23">
        <f>IF($DM23=0,"",IF($L$13=0,"",IFERROR(IF(ISNUMBER(INDEX(PASTE_ALL,$DF23,$L$13)),INDEX(PASTE_ALL,$DF23,$L$13),TRIM(SUBSTITUTE(SUBSTITUTE(SUBSTITUTE(SUBSTITUTE(INDEX(PASTE_ALL,$DF23,$L$13)," "," "),CHAR(9)," "),CHAR(10)," "),CHAR(13)," "))),"")))</f>
        <v/>
      </c>
      <c r="DV23">
        <f>IF($DM23=0,"",IF($L$14=0,"",IFERROR(IF(ISNUMBER(INDEX(PASTE_ALL,$DF23,$L$14)),INDEX(PASTE_ALL,$DF23,$L$14),TRIM(SUBSTITUTE(SUBSTITUTE(SUBSTITUTE(SUBSTITUTE(INDEX(PASTE_ALL,$DF23,$L$14)," "," "),CHAR(9)," "),CHAR(10)," "),CHAR(13)," "))),"")))</f>
        <v/>
      </c>
      <c r="DW23">
        <f>IF($DM23=0,"",IF($L$15=0,"",IFERROR(IF(ISNUMBER(INDEX(PASTE_ALL,$DF23,$L$15)),INDEX(PASTE_ALL,$DF23,$L$15),IF(SUMPRODUCT(--ISNUMBER(FIND({"A","B","C","D","E","F","G","H","I","J","K","L","M","N","O","P","Q","R","S","T","U","V","W","X","Y","Z","0","1","2","3","4","5","6","7","8","9"},UPPER(TRIM(SUBSTITUTE(SUBSTITUTE(SUBSTITUTE(SUBSTITUTE(INDEX(PASTE_ALL,$DF23,$L$15)," "," "),CHAR(9)," "),CHAR(10)," "),CHAR(13)," "))))))&gt;0,TRIM(SUBSTITUTE(SUBSTITUTE(SUBSTITUTE(SUBSTITUTE(INDEX(PASTE_ALL,$DF23,$L$15)," "," "),CHAR(9)," "),CHAR(10)," "),CHAR(13)," ")),"")),"")))</f>
        <v/>
      </c>
      <c r="DX23">
        <f>IF($DM23=0,"",IF($L$16=0,"",IFERROR(IF(ISNUMBER(INDEX(PASTE_ALL,$DF23,$L$16)),INDEX(PASTE_ALL,$DF23,$L$16),SUBSTITUTE(SUBSTITUTE(TRIM(SUBSTITUTE(SUBSTITUTE(SUBSTITUTE(SUBSTITUTE(INDEX(PASTE_ALL,$DF23,$L$16)," "," "),CHAR(9)," "),CHAR(10)," "),CHAR(13)," ")),",",""),"%","")),"")))</f>
        <v/>
      </c>
      <c r="DY23">
        <f>IF($DM23=0,"",IFERROR(IF(ISNUMBER($DX23),$DX23,IF($DX23="","",IF(TRIM($DX23)="",0,IF(AND(AND(SUBSTITUTE(SUBSTITUTE(SUBSTITUTE(SUBSTITUTE(SUBSTITUTE(SUBSTITUTE(SUBSTITUTE(SUBSTITUTE(SUBSTITUTE(SUBSTITUTE(SUBSTITUTE(SUBSTITUTE(SUBSTITUTE(SUBSTITUTE(UPPER(TRIM($DX23)),"0",""),"1",""),"2",""),"3",""),"4",""),"5",""),"6",""),"7",""),"8",""),"9",""),".",""),"+",""),"-",""),"E","")="",LEN(SUBSTITUTE(SUBSTITUTE(MID(UPPER(TRIM($DX23)),1+OR(LEFT(UPPER(TRIM($DX23)),1)="+",LEFT(UPPER(TRIM($DX23)),1)="-"),999),"E+","E"),"E-","E"))=LEN(SUBSTITUTE(SUBSTITUTE(SUBSTITUTE(SUBSTITUTE(MID(UPPER(TRIM($DX23)),1+OR(LEFT(UPPER(TRIM($DX23)),1)="+",LEFT(UPPER(TRIM($DX23)),1)="-"),999),"E+","E"),"E-","E"),"+",""),"-","")),LEN(UPPER(TRIM($DX23)))-LEN(SUBSTITUTE(UPPER(TRIM($DX23)),"E",""))&lt;2,LEN(UPPER(TRIM($DX23)))-LEN(SUBSTITUTE(UPPER(TRIM($DX23)),".",""))&lt;2,IFERROR(FIND(".",UPPER(TRIM($DX23))),0)&lt;IFERROR(FIND("E",UPPER(TRIM($DX23))),999)),ISNUMBER(VALUE(TRIM($DX23)))),VALUE(TRIM($DX23)),"")))),""))</f>
        <v/>
      </c>
      <c r="DZ23">
        <f>IF($DM23=0,"",IF($L$17=0,"",IFERROR(IF(ISNUMBER(INDEX(PASTE_ALL,$DF23,$L$17)),INDEX(PASTE_ALL,$DF23,$L$17),SUBSTITUTE(SUBSTITUTE(TRIM(SUBSTITUTE(SUBSTITUTE(SUBSTITUTE(SUBSTITUTE(INDEX(PASTE_ALL,$DF23,$L$17)," "," "),CHAR(9)," "),CHAR(10)," "),CHAR(13)," ")),",",""),"%","")),"")))</f>
        <v/>
      </c>
      <c r="EA23">
        <f>IF($DM23=0,"",IFERROR(IF(ISNUMBER($DZ23),$DZ23,IF($DZ23="","",IF(TRIM($DZ23)="",0,IF(AND(AND(SUBSTITUTE(SUBSTITUTE(SUBSTITUTE(SUBSTITUTE(SUBSTITUTE(SUBSTITUTE(SUBSTITUTE(SUBSTITUTE(SUBSTITUTE(SUBSTITUTE(SUBSTITUTE(SUBSTITUTE(SUBSTITUTE(SUBSTITUTE(UPPER(TRIM($DZ23)),"0",""),"1",""),"2",""),"3",""),"4",""),"5",""),"6",""),"7",""),"8",""),"9",""),".",""),"+",""),"-",""),"E","")="",LEN(SUBSTITUTE(SUBSTITUTE(MID(UPPER(TRIM($DZ23)),1+OR(LEFT(UPPER(TRIM($DZ23)),1)="+",LEFT(UPPER(TRIM($DZ23)),1)="-"),999),"E+","E"),"E-","E"))=LEN(SUBSTITUTE(SUBSTITUTE(SUBSTITUTE(SUBSTITUTE(MID(UPPER(TRIM($DZ23)),1+OR(LEFT(UPPER(TRIM($DZ23)),1)="+",LEFT(UPPER(TRIM($DZ23)),1)="-"),999),"E+","E"),"E-","E"),"+",""),"-","")),LEN(UPPER(TRIM($DZ23)))-LEN(SUBSTITUTE(UPPER(TRIM($DZ23)),"E",""))&lt;2,LEN(UPPER(TRIM($DZ23)))-LEN(SUBSTITUTE(UPPER(TRIM($DZ23)),".",""))&lt;2,IFERROR(FIND(".",UPPER(TRIM($DZ23))),0)&lt;IFERROR(FIND("E",UPPER(TRIM($DZ23))),999)),ISNUMBER(VALUE(TRIM($DZ23)))),VALUE(TRIM($DZ23)),"")))),""))</f>
        <v/>
      </c>
      <c r="EB23">
        <f>IF($DM23=0,"",IF($L$18=0,"",IFERROR(IF(UPPER(TRIM(SUBSTITUTE(SUBSTITUTE(SUBSTITUTE(SUBSTITUTE(INDEX(PASTE_ALL,$DF23,$L$18)," "," "),CHAR(9)," "),CHAR(10)," "),CHAR(13)," ")))="READY","Ready",IF(UPPER(TRIM(SUBSTITUTE(SUBSTITUTE(SUBSTITUTE(SUBSTITUTE(INDEX(PASTE_ALL,$DF23,$L$18)," "," "),CHAR(9)," "),CHAR(10)," "),CHAR(13)," ")))="PM","PM",IF(OR(UPPER(TRIM(SUBSTITUTE(SUBSTITUTE(SUBSTITUTE(SUBSTITUTE(INDEX(PASTE_ALL,$DF23,$L$18)," "," "),CHAR(9)," "),CHAR(10)," "),CHAR(13)," ")))="OT",UPPER(TRIM(SUBSTITUTE(SUBSTITUTE(SUBSTITUTE(SUBSTITUTE(INDEX(PASTE_ALL,$DF23,$L$18)," "," "),CHAR(9)," "),CHAR(10)," "),CHAR(13)," ")))="OVERTIME",UPPER(TRIM(SUBSTITUTE(SUBSTITUTE(SUBSTITUTE(SUBSTITUTE(INDEX(PASTE_ALL,$DF23,$L$18)," "," "),CHAR(9)," "),CHAR(10)," "),CHAR(13)," ")))="TRIAL"),"OT",TRIM(SUBSTITUTE(SUBSTITUTE(SUBSTITUTE(SUBSTITUTE(INDEX(PASTE_ALL,$DF23,$L$18)," "," "),CHAR(9)," "),CHAR(10)," "),CHAR(13)," "))))),"")))</f>
        <v/>
      </c>
      <c r="EC23">
        <f>IF($DM23=0,"",IF($L$19=0,"",IFERROR(IF(ISNUMBER(INDEX(PASTE_ALL,$DF23,$L$19)),INDEX(PASTE_ALL,$DF23,$L$19),TRIM(SUBSTITUTE(SUBSTITUTE(SUBSTITUTE(SUBSTITUTE(INDEX(PASTE_ALL,$DF23,$L$19)," "," "),CHAR(9)," "),CHAR(10)," "),CHAR(13)," "))),"")))</f>
        <v/>
      </c>
      <c r="ED23">
        <f>IF($DM23=0,"",MATCH(1,INDEX(EXACT($DH$5:DH23,$DH23)*$DM$5:DM23,0),0))</f>
        <v/>
      </c>
      <c r="EE23">
        <f>IF($DM23=0,0,IF($ED23=$DE23,1,0))</f>
        <v/>
      </c>
      <c r="EF23">
        <f>EF22+$EE23</f>
        <v/>
      </c>
      <c r="EG23">
        <f>IF($DM23=0,"",INDEX($EF$5:$EF$1003,$ED23))</f>
        <v/>
      </c>
      <c r="EH23">
        <f>IF($DM23=0,"",IF($DO23&lt;&gt;"","",IFERROR(LOOKUP(2,1/(($EG$4:EG22=$EG23)*($DO$4:DO22&lt;&gt;"")),$DO$4:DO22),"")))</f>
        <v/>
      </c>
      <c r="EI23">
        <f>IF($DM23=0,"",IF($DO23&lt;&gt;"",$DO23,$EH23))</f>
        <v/>
      </c>
      <c r="EJ23">
        <f>IF($DM23=0,"",IF($EI23="",0,IF(OR(ISNUMBER($EI23),AND(AND(SUBSTITUTE(SUBSTITUTE(SUBSTITUTE(SUBSTITUTE(SUBSTITUTE(SUBSTITUTE(SUBSTITUTE(SUBSTITUTE(SUBSTITUTE(SUBSTITUTE(SUBSTITUTE(SUBSTITUTE(SUBSTITUTE(SUBSTITUTE(UPPER($EI23),"0",""),"1",""),"2",""),"3",""),"4",""),"5",""),"6",""),"7",""),"8",""),"9",""),".",""),"+",""),"-",""),"E","")="",LEN(SUBSTITUTE(SUBSTITUTE(MID(UPPER($EI23),1+OR(LEFT(UPPER($EI23),1)="+",LEFT(UPPER($EI23),1)="-"),999),"E+","E"),"E-","E"))=LEN(SUBSTITUTE(SUBSTITUTE(SUBSTITUTE(SUBSTITUTE(MID(UPPER($EI23),1+OR(LEFT(UPPER($EI23),1)="+",LEFT(UPPER($EI23),1)="-"),999),"E+","E"),"E-","E"),"+",""),"-","")),LEN(UPPER($EI23))-LEN(SUBSTITUTE(UPPER($EI23),"E",""))&lt;2,LEN(UPPER($EI23))-LEN(SUBSTITUTE(UPPER($EI23),".",""))&lt;2,IFERROR(FIND(".",UPPER($EI23)),0)&lt;IFERROR(FIND("E",UPPER($EI23)),999)),ISNUMBER(VALUE($EI23)))),1,2)))</f>
        <v/>
      </c>
      <c r="EK23">
        <f>IF($DM23=0,"",IF($EJ23=1,IF(ISNUMBER($EI23),$EI23,VALUE($EI23)),IF($EJ23=2,$DE23,0)))</f>
        <v/>
      </c>
      <c r="EL23">
        <f>IF($DM23=0,"",COUNTIF($EG$5:$EG$1003,"&lt;"&amp;$EG23)+SUMPRODUCT(($EG$5:$EG$1003=$EG23)*(($EJ$5:$EJ$1003&lt;$EJ23)+($EJ$5:$EJ$1003=$EJ23)*(($EK$5:$EK$1003&lt;$EK23)+($EK$5:$EK$1003=$EK23)*($DE$5:$DE$1003&lt;$DE23))))+1)</f>
        <v/>
      </c>
      <c r="EM23">
        <f>IF($DM23=0,"",$EL23+$EG23-1)</f>
        <v/>
      </c>
      <c r="EN23">
        <f>IF($DM23=0,0,IFERROR(MATCH(1,INDEX(--(TRIM(SUBSTITUTE(SUBSTITUTE(SUBSTITUTE(SUBSTITUTE(LINES_NAME&amp;""," "," "),CHAR(9)," "),CHAR(10)," "),CHAR(13)," "))=$DH23),0),0),0))</f>
        <v/>
      </c>
      <c r="EO23">
        <f>IF($EN23=0,0,IF(OR(UPPER(TRIM(INDEX(LINES_SCHEDULED,$EN23)&amp;""))="YES",UPPER(TRIM(INDEX(LINES_SCHEDULED,$EN23)&amp;""))="Y",UPPER(TRIM(INDEX(LINES_SCHEDULED,$EN23)&amp;""))="X"),1,0))</f>
        <v/>
      </c>
      <c r="EP23">
        <f>IF($DM23=0,"",IF(COUNTIFS($EG$5:$EG$1003,$EG23,$EB$5:$EB$1003,"Ready")&gt;0,"READY",IF(COUNTIFS($EG$5:$EG$1003,$EG23,$EB$5:$EB$1003,"PM")&gt;0,"PM",IF(COUNTIFS($EG$5:$EG$1003,$EG23,$EB$5:$EB$1003,"OT")&gt;0,"OT",""))))</f>
        <v/>
      </c>
      <c r="EQ23">
        <f>IF($EN23=0,"",UPPER(TRIM(INDEX(LINES_STATUS,$EN23)&amp;"")))</f>
        <v/>
      </c>
      <c r="ER23">
        <f>IF($DM23=0,"",IF(OR($EQ23="READY",$EQ23="PM",$EQ23="OT"),$EQ23,$EP23))</f>
        <v/>
      </c>
      <c r="ES23">
        <f>IF($DM23=0,"",IF(AND($DV23&lt;&gt;"",UPPER($DV23)&lt;&gt;"N"),"allergen",IF(ISNUMBER(SEARCH("oil",$DQ23)),"oil",IF(OR(EXACT($DS23,"A662"),EXACT($DS23,"A624")),"bulk",""))))</f>
        <v/>
      </c>
      <c r="ET23">
        <f>IF($DM23=0,"",IF(OR($EA23="",$EA23=0),"",$EA23/100))</f>
        <v/>
      </c>
      <c r="EU23">
        <f>IF(OR($ET23="",$DY23=""),"",INT($DY23*(1-$ET23)+0.5))</f>
        <v/>
      </c>
      <c r="EW23" t="n">
        <v>19</v>
      </c>
      <c r="EX23">
        <f>IFERROR(MATCH($EW23,$EM$5:$EM$1003,0),0)</f>
        <v/>
      </c>
      <c r="EY23">
        <f>IF($EW23&gt;$B$12,"",IF($EX23&gt;0,"row","spacer"))</f>
        <v/>
      </c>
      <c r="EZ23">
        <f>IF(AND($EY23="row",$EY22&lt;&gt;"row"),1,0)</f>
        <v/>
      </c>
      <c r="FA23">
        <f>IF(AND($EY23="row",$EY24&lt;&gt;"row"),1,0)</f>
        <v/>
      </c>
      <c r="FB23">
        <f>IF($EZ23=1,IFERROR(IF(ISNUMBER(INDEX(PASTE_ALL,INDEX($DF$5:$DF$1003,$EX23),$B$37)),INDEX(PASTE_ALL,INDEX($DF$5:$DF$1003,$EX23),$B$37),INDEX($DH$5:$DH$1003,$EX23)),INDEX($DH$5:$DH$1003,$EX23)),"")</f>
        <v/>
      </c>
      <c r="FC23">
        <f>IF($EY23="row",INDEX($ER$5:$ER$1003,$EX23),"")</f>
        <v/>
      </c>
      <c r="FD23">
        <f>IF($EY23="row",INDEX($DN$5:$DN$1003,$EX23),"")</f>
        <v/>
      </c>
      <c r="FE23">
        <f>IF($EY23="row",INDEX($DO$5:$DO$1003,$EX23),"")</f>
        <v/>
      </c>
      <c r="FF23">
        <f>IF($EY23="row",INDEX($DP$5:$DP$1003,$EX23),"")</f>
        <v/>
      </c>
      <c r="FG23">
        <f>IF($EY23="row",INDEX($DQ$5:$DQ$1003,$EX23),"")</f>
        <v/>
      </c>
      <c r="FH23">
        <f>IF($EY23="row",INDEX($DR$5:$DR$1003,$EX23),"")</f>
        <v/>
      </c>
      <c r="FI23">
        <f>IF($EY23="row",INDEX($DS$5:$DS$1003,$EX23),"")</f>
        <v/>
      </c>
      <c r="FJ23">
        <f>IF($EY23="row",INDEX($DT$5:$DT$1003,$EX23),"")</f>
        <v/>
      </c>
      <c r="FK23">
        <f>IF($EY23="row",INDEX($DU$5:$DU$1003,$EX23),"")</f>
        <v/>
      </c>
      <c r="FL23">
        <f>IF($EY23="row",INDEX($DV$5:$DV$1003,$EX23),"")</f>
        <v/>
      </c>
      <c r="FM23">
        <f>IF($EY23="row",INDEX($DW$5:$DW$1003,$EX23),"")</f>
        <v/>
      </c>
      <c r="FN23">
        <f>IF($EY23="row",INDEX($DY$5:$DY$1003,$EX23),"")</f>
        <v/>
      </c>
      <c r="FO23">
        <f>IF($EY23="row",INDEX($EA$5:$EA$1003,$EX23),"")</f>
        <v/>
      </c>
      <c r="FP23">
        <f>IF($EY23="row",INDEX($EC$5:$EC$1003,$EX23),"")</f>
        <v/>
      </c>
      <c r="FQ23">
        <f>IF($EY23="row",INDEX($ET$5:$ET$1003,$EX23),"")</f>
        <v/>
      </c>
      <c r="FR23">
        <f>IF($EY23="row",INDEX($EU$5:$EU$1003,$EX23),"")</f>
        <v/>
      </c>
      <c r="FS23">
        <f>IF(AND($EY23="row",$EY22="row"),IF(OR(INDEX($DT$5:$DT$1003,$EX22)="",INDEX($DT$5:$DT$1003,$EX23)=""),"",IF(NOT(EXACT(INDEX($DT$5:$DT$1003,$EX22),INDEX($DT$5:$DT$1003,$EX23))),"S4",IF(NOT(EXACT(INDEX($DS$5:$DS$1003,$EX22),INDEX($DS$5:$DS$1003,$EX23))),"S3",IF(NOT(EXACT(INDEX($DR$5:$DR$1003,$EX22),INDEX($DR$5:$DR$1003,$EX23))),"S1 Count Change","S1")))),"")</f>
        <v/>
      </c>
      <c r="FT23">
        <f>IF($EY23="row",INDEX($ES$5:$ES$1003,$EX23),"")</f>
        <v/>
      </c>
      <c r="FU23">
        <f>IF($EY23="row",INDEX($EO$5:$EO$1003,$EX23),0)</f>
        <v/>
      </c>
      <c r="FV23">
        <f>IF($FS23="S1 Count Change",1,0)</f>
        <v/>
      </c>
      <c r="FX23" t="n">
        <v>19</v>
      </c>
      <c r="FY23">
        <f>IFERROR(MATCH($FX23,$EF$5:$EF$1003,0),0)</f>
        <v/>
      </c>
      <c r="FZ23">
        <f>IF($FY23=0,"",INDEX($DH$5:$DH$1003,$FY23))</f>
        <v/>
      </c>
      <c r="GA23">
        <f>IF($FY23=0,"",COUNTIF($EG$5:$EG$1003,$FX23))</f>
        <v/>
      </c>
      <c r="GB23">
        <f>IF($FY23=0,"",INDEX($ER$5:$ER$1003,$FY23))</f>
        <v/>
      </c>
      <c r="GC23">
        <f>IF($FY23=0,"",IF(INDEX($EO$5:$EO$1003,$FY23)=1,"Yes",""))</f>
        <v/>
      </c>
      <c r="GD23">
        <f>IF($FY23=0,"",IF(INDEX($EN$5:$EN$1003,$FY23)&gt;0,"","NOT IN YOUR LIST - type it in column A to tick it"))</f>
        <v/>
      </c>
      <c r="GE23">
        <f>IF(AND($FY23&gt;0,$GD23&lt;&gt;""),1,0)</f>
        <v/>
      </c>
      <c r="GF23">
        <f>GF22+$GE23</f>
        <v/>
      </c>
      <c r="GG23">
        <f>IFERROR(INDEX($FZ$5:$FZ$104,MATCH($FX23,$GF$5:$GF$104,0)),"")</f>
        <v/>
      </c>
    </row>
    <row r="24">
      <c r="A24" t="inlineStr">
        <is>
          <t>Line column missing</t>
        </is>
      </c>
      <c r="B24">
        <f>IF($L$5=0,1,0)</f>
        <v/>
      </c>
      <c r="S24" t="n">
        <v>20</v>
      </c>
      <c r="T24" t="inlineStr">
        <is>
          <t>T</t>
        </is>
      </c>
      <c r="V24" t="inlineStr">
        <is>
          <t>SEQNO</t>
        </is>
      </c>
      <c r="W24" t="n">
        <v>3</v>
      </c>
      <c r="Y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 ",""),"!",""),CHAR(34),""),"#",""),"$",""),"%",""),"&amp;",""),"'",""),"(",""),")",""),"*",""),"+",""),",",""),"-",""),".",""),"/",""),":",""),";",""),"&lt;",""),"=",""),"&gt;",""),"?",""),"@",""),"[",""),"\",""),"]",""),"^",""),"_",""),"`",""),"{",""),"|",""),"}",""),"~",""),CHAR(9),""),CHAR(10),""),CHAR(13),"")," ",""),"")</f>
        <v/>
      </c>
      <c r="Z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 ",""),"!",""),CHAR(34),""),"#",""),"$",""),"%",""),"&amp;",""),"'",""),"(",""),")",""),"*",""),"+",""),",",""),"-",""),".",""),"/",""),":",""),";",""),"&lt;",""),"=",""),"&gt;",""),"?",""),"@",""),"[",""),"\",""),"]",""),"^",""),"_",""),"`",""),"{",""),"|",""),"}",""),"~",""),CHAR(9),""),CHAR(10),""),CHAR(13),"")," ",""),"")</f>
        <v/>
      </c>
      <c r="AA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 ",""),"!",""),CHAR(34),""),"#",""),"$",""),"%",""),"&amp;",""),"'",""),"(",""),")",""),"*",""),"+",""),",",""),"-",""),".",""),"/",""),":",""),";",""),"&lt;",""),"=",""),"&gt;",""),"?",""),"@",""),"[",""),"\",""),"]",""),"^",""),"_",""),"`",""),"{",""),"|",""),"}",""),"~",""),CHAR(9),""),CHAR(10),""),CHAR(13),"")," ",""),"")</f>
        <v/>
      </c>
      <c r="AB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 ",""),"!",""),CHAR(34),""),"#",""),"$",""),"%",""),"&amp;",""),"'",""),"(",""),")",""),"*",""),"+",""),",",""),"-",""),".",""),"/",""),":",""),";",""),"&lt;",""),"=",""),"&gt;",""),"?",""),"@",""),"[",""),"\",""),"]",""),"^",""),"_",""),"`",""),"{",""),"|",""),"}",""),"~",""),CHAR(9),""),CHAR(10),""),CHAR(13),"")," ",""),"")</f>
        <v/>
      </c>
      <c r="AC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 ",""),"!",""),CHAR(34),""),"#",""),"$",""),"%",""),"&amp;",""),"'",""),"(",""),")",""),"*",""),"+",""),",",""),"-",""),".",""),"/",""),":",""),";",""),"&lt;",""),"=",""),"&gt;",""),"?",""),"@",""),"[",""),"\",""),"]",""),"^",""),"_",""),"`",""),"{",""),"|",""),"}",""),"~",""),CHAR(9),""),CHAR(10),""),CHAR(13),"")," ",""),"")</f>
        <v/>
      </c>
      <c r="AD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20,6))," ",""),"!",""),CHAR(34),""),"#",""),"$",""),"%",""),"&amp;",""),"'",""),"(",""),")",""),"*",""),"+",""),",",""),"-",""),".",""),"/",""),":",""),";",""),"&lt;",""),"=",""),"&gt;",""),"?",""),"@",""),"[",""),"\",""),"]",""),"^",""),"_",""),"`",""),"{",""),"|",""),"}",""),"~",""),CHAR(9),""),CHAR(10),""),CHAR(13),"")," ",""),"")</f>
        <v/>
      </c>
      <c r="AE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20,7))," ",""),"!",""),CHAR(34),""),"#",""),"$",""),"%",""),"&amp;",""),"'",""),"(",""),")",""),"*",""),"+",""),",",""),"-",""),".",""),"/",""),":",""),";",""),"&lt;",""),"=",""),"&gt;",""),"?",""),"@",""),"[",""),"\",""),"]",""),"^",""),"_",""),"`",""),"{",""),"|",""),"}",""),"~",""),CHAR(9),""),CHAR(10),""),CHAR(13),"")," ",""),"")</f>
        <v/>
      </c>
      <c r="AF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20,8))," ",""),"!",""),CHAR(34),""),"#",""),"$",""),"%",""),"&amp;",""),"'",""),"(",""),")",""),"*",""),"+",""),",",""),"-",""),".",""),"/",""),":",""),";",""),"&lt;",""),"=",""),"&gt;",""),"?",""),"@",""),"[",""),"\",""),"]",""),"^",""),"_",""),"`",""),"{",""),"|",""),"}",""),"~",""),CHAR(9),""),CHAR(10),""),CHAR(13),"")," ",""),"")</f>
        <v/>
      </c>
      <c r="AG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20,9))," ",""),"!",""),CHAR(34),""),"#",""),"$",""),"%",""),"&amp;",""),"'",""),"(",""),")",""),"*",""),"+",""),",",""),"-",""),".",""),"/",""),":",""),";",""),"&lt;",""),"=",""),"&gt;",""),"?",""),"@",""),"[",""),"\",""),"]",""),"^",""),"_",""),"`",""),"{",""),"|",""),"}",""),"~",""),CHAR(9),""),CHAR(10),""),CHAR(13),"")," ",""),"")</f>
        <v/>
      </c>
      <c r="AH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20,10))," ",""),"!",""),CHAR(34),""),"#",""),"$",""),"%",""),"&amp;",""),"'",""),"(",""),")",""),"*",""),"+",""),",",""),"-",""),".",""),"/",""),":",""),";",""),"&lt;",""),"=",""),"&gt;",""),"?",""),"@",""),"[",""),"\",""),"]",""),"^",""),"_",""),"`",""),"{",""),"|",""),"}",""),"~",""),CHAR(9),""),CHAR(10),""),CHAR(13),"")," ",""),"")</f>
        <v/>
      </c>
      <c r="AI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20,11))," ",""),"!",""),CHAR(34),""),"#",""),"$",""),"%",""),"&amp;",""),"'",""),"(",""),")",""),"*",""),"+",""),",",""),"-",""),".",""),"/",""),":",""),";",""),"&lt;",""),"=",""),"&gt;",""),"?",""),"@",""),"[",""),"\",""),"]",""),"^",""),"_",""),"`",""),"{",""),"|",""),"}",""),"~",""),CHAR(9),""),CHAR(10),""),CHAR(13),"")," ",""),"")</f>
        <v/>
      </c>
      <c r="AJ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20,12))," ",""),"!",""),CHAR(34),""),"#",""),"$",""),"%",""),"&amp;",""),"'",""),"(",""),")",""),"*",""),"+",""),",",""),"-",""),".",""),"/",""),":",""),";",""),"&lt;",""),"=",""),"&gt;",""),"?",""),"@",""),"[",""),"\",""),"]",""),"^",""),"_",""),"`",""),"{",""),"|",""),"}",""),"~",""),CHAR(9),""),CHAR(10),""),CHAR(13),"")," ",""),"")</f>
        <v/>
      </c>
      <c r="AK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20,13))," ",""),"!",""),CHAR(34),""),"#",""),"$",""),"%",""),"&amp;",""),"'",""),"(",""),")",""),"*",""),"+",""),",",""),"-",""),".",""),"/",""),":",""),";",""),"&lt;",""),"=",""),"&gt;",""),"?",""),"@",""),"[",""),"\",""),"]",""),"^",""),"_",""),"`",""),"{",""),"|",""),"}",""),"~",""),CHAR(9),""),CHAR(10),""),CHAR(13),"")," ",""),"")</f>
        <v/>
      </c>
      <c r="AL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20,14))," ",""),"!",""),CHAR(34),""),"#",""),"$",""),"%",""),"&amp;",""),"'",""),"(",""),")",""),"*",""),"+",""),",",""),"-",""),".",""),"/",""),":",""),";",""),"&lt;",""),"=",""),"&gt;",""),"?",""),"@",""),"[",""),"\",""),"]",""),"^",""),"_",""),"`",""),"{",""),"|",""),"}",""),"~",""),CHAR(9),""),CHAR(10),""),CHAR(13),"")," ",""),"")</f>
        <v/>
      </c>
      <c r="AM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20,15))," ",""),"!",""),CHAR(34),""),"#",""),"$",""),"%",""),"&amp;",""),"'",""),"(",""),")",""),"*",""),"+",""),",",""),"-",""),".",""),"/",""),":",""),";",""),"&lt;",""),"=",""),"&gt;",""),"?",""),"@",""),"[",""),"\",""),"]",""),"^",""),"_",""),"`",""),"{",""),"|",""),"}",""),"~",""),CHAR(9),""),CHAR(10),""),CHAR(13),"")," ",""),"")</f>
        <v/>
      </c>
      <c r="AN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20,16))," ",""),"!",""),CHAR(34),""),"#",""),"$",""),"%",""),"&amp;",""),"'",""),"(",""),")",""),"*",""),"+",""),",",""),"-",""),".",""),"/",""),":",""),";",""),"&lt;",""),"=",""),"&gt;",""),"?",""),"@",""),"[",""),"\",""),"]",""),"^",""),"_",""),"`",""),"{",""),"|",""),"}",""),"~",""),CHAR(9),""),CHAR(10),""),CHAR(13),"")," ",""),"")</f>
        <v/>
      </c>
      <c r="AO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20,17))," ",""),"!",""),CHAR(34),""),"#",""),"$",""),"%",""),"&amp;",""),"'",""),"(",""),")",""),"*",""),"+",""),",",""),"-",""),".",""),"/",""),":",""),";",""),"&lt;",""),"=",""),"&gt;",""),"?",""),"@",""),"[",""),"\",""),"]",""),"^",""),"_",""),"`",""),"{",""),"|",""),"}",""),"~",""),CHAR(9),""),CHAR(10),""),CHAR(13),"")," ",""),"")</f>
        <v/>
      </c>
      <c r="AP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20,18))," ",""),"!",""),CHAR(34),""),"#",""),"$",""),"%",""),"&amp;",""),"'",""),"(",""),")",""),"*",""),"+",""),",",""),"-",""),".",""),"/",""),":",""),";",""),"&lt;",""),"=",""),"&gt;",""),"?",""),"@",""),"[",""),"\",""),"]",""),"^",""),"_",""),"`",""),"{",""),"|",""),"}",""),"~",""),CHAR(9),""),CHAR(10),""),CHAR(13),"")," ",""),"")</f>
        <v/>
      </c>
      <c r="AQ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20,19))," ",""),"!",""),CHAR(34),""),"#",""),"$",""),"%",""),"&amp;",""),"'",""),"(",""),")",""),"*",""),"+",""),",",""),"-",""),".",""),"/",""),":",""),";",""),"&lt;",""),"=",""),"&gt;",""),"?",""),"@",""),"[",""),"\",""),"]",""),"^",""),"_",""),"`",""),"{",""),"|",""),"}",""),"~",""),CHAR(9),""),CHAR(10),""),CHAR(13),"")," ",""),"")</f>
        <v/>
      </c>
      <c r="AR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20,20))," ",""),"!",""),CHAR(34),""),"#",""),"$",""),"%",""),"&amp;",""),"'",""),"(",""),")",""),"*",""),"+",""),",",""),"-",""),".",""),"/",""),":",""),";",""),"&lt;",""),"=",""),"&gt;",""),"?",""),"@",""),"[",""),"\",""),"]",""),"^",""),"_",""),"`",""),"{",""),"|",""),"}",""),"~",""),CHAR(9),""),CHAR(10),""),CHAR(13),"")," ",""),"")</f>
        <v/>
      </c>
      <c r="AS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20,21))," ",""),"!",""),CHAR(34),""),"#",""),"$",""),"%",""),"&amp;",""),"'",""),"(",""),")",""),"*",""),"+",""),",",""),"-",""),".",""),"/",""),":",""),";",""),"&lt;",""),"=",""),"&gt;",""),"?",""),"@",""),"[",""),"\",""),"]",""),"^",""),"_",""),"`",""),"{",""),"|",""),"}",""),"~",""),CHAR(9),""),CHAR(10),""),CHAR(13),"")," ",""),"")</f>
        <v/>
      </c>
      <c r="AT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20,22))," ",""),"!",""),CHAR(34),""),"#",""),"$",""),"%",""),"&amp;",""),"'",""),"(",""),")",""),"*",""),"+",""),",",""),"-",""),".",""),"/",""),":",""),";",""),"&lt;",""),"=",""),"&gt;",""),"?",""),"@",""),"[",""),"\",""),"]",""),"^",""),"_",""),"`",""),"{",""),"|",""),"}",""),"~",""),CHAR(9),""),CHAR(10),""),CHAR(13),"")," ",""),"")</f>
        <v/>
      </c>
      <c r="AU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20,23))," ",""),"!",""),CHAR(34),""),"#",""),"$",""),"%",""),"&amp;",""),"'",""),"(",""),")",""),"*",""),"+",""),",",""),"-",""),".",""),"/",""),":",""),";",""),"&lt;",""),"=",""),"&gt;",""),"?",""),"@",""),"[",""),"\",""),"]",""),"^",""),"_",""),"`",""),"{",""),"|",""),"}",""),"~",""),CHAR(9),""),CHAR(10),""),CHAR(13),"")," ",""),"")</f>
        <v/>
      </c>
      <c r="AV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20,24))," ",""),"!",""),CHAR(34),""),"#",""),"$",""),"%",""),"&amp;",""),"'",""),"(",""),")",""),"*",""),"+",""),",",""),"-",""),".",""),"/",""),":",""),";",""),"&lt;",""),"=",""),"&gt;",""),"?",""),"@",""),"[",""),"\",""),"]",""),"^",""),"_",""),"`",""),"{",""),"|",""),"}",""),"~",""),CHAR(9),""),CHAR(10),""),CHAR(13),"")," ",""),"")</f>
        <v/>
      </c>
      <c r="AW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20,25))," ",""),"!",""),CHAR(34),""),"#",""),"$",""),"%",""),"&amp;",""),"'",""),"(",""),")",""),"*",""),"+",""),",",""),"-",""),".",""),"/",""),":",""),";",""),"&lt;",""),"=",""),"&gt;",""),"?",""),"@",""),"[",""),"\",""),"]",""),"^",""),"_",""),"`",""),"{",""),"|",""),"}",""),"~",""),CHAR(9),""),CHAR(10),""),CHAR(13),"")," ",""),"")</f>
        <v/>
      </c>
      <c r="AX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20,26))," ",""),"!",""),CHAR(34),""),"#",""),"$",""),"%",""),"&amp;",""),"'",""),"(",""),")",""),"*",""),"+",""),",",""),"-",""),".",""),"/",""),":",""),";",""),"&lt;",""),"=",""),"&gt;",""),"?",""),"@",""),"[",""),"\",""),"]",""),"^",""),"_",""),"`",""),"{",""),"|",""),"}",""),"~",""),CHAR(9),""),CHAR(10),""),CHAR(13),"")," ",""),"")</f>
        <v/>
      </c>
      <c r="AY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20,27))," ",""),"!",""),CHAR(34),""),"#",""),"$",""),"%",""),"&amp;",""),"'",""),"(",""),")",""),"*",""),"+",""),",",""),"-",""),".",""),"/",""),":",""),";",""),"&lt;",""),"=",""),"&gt;",""),"?",""),"@",""),"[",""),"\",""),"]",""),"^",""),"_",""),"`",""),"{",""),"|",""),"}",""),"~",""),CHAR(9),""),CHAR(10),""),CHAR(13),"")," ",""),"")</f>
        <v/>
      </c>
      <c r="AZ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20,28))," ",""),"!",""),CHAR(34),""),"#",""),"$",""),"%",""),"&amp;",""),"'",""),"(",""),")",""),"*",""),"+",""),",",""),"-",""),".",""),"/",""),":",""),";",""),"&lt;",""),"=",""),"&gt;",""),"?",""),"@",""),"[",""),"\",""),"]",""),"^",""),"_",""),"`",""),"{",""),"|",""),"}",""),"~",""),CHAR(9),""),CHAR(10),""),CHAR(13),"")," ",""),"")</f>
        <v/>
      </c>
      <c r="BA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20,29))," ",""),"!",""),CHAR(34),""),"#",""),"$",""),"%",""),"&amp;",""),"'",""),"(",""),")",""),"*",""),"+",""),",",""),"-",""),".",""),"/",""),":",""),";",""),"&lt;",""),"=",""),"&gt;",""),"?",""),"@",""),"[",""),"\",""),"]",""),"^",""),"_",""),"`",""),"{",""),"|",""),"}",""),"~",""),CHAR(9),""),CHAR(10),""),CHAR(13),"")," ",""),"")</f>
        <v/>
      </c>
      <c r="BB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20,30))," ",""),"!",""),CHAR(34),""),"#",""),"$",""),"%",""),"&amp;",""),"'",""),"(",""),")",""),"*",""),"+",""),",",""),"-",""),".",""),"/",""),":",""),";",""),"&lt;",""),"=",""),"&gt;",""),"?",""),"@",""),"[",""),"\",""),"]",""),"^",""),"_",""),"`",""),"{",""),"|",""),"}",""),"~",""),CHAR(9),""),CHAR(10),""),CHAR(13),"")," ",""),"")</f>
        <v/>
      </c>
      <c r="BC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20,31))," ",""),"!",""),CHAR(34),""),"#",""),"$",""),"%",""),"&amp;",""),"'",""),"(",""),")",""),"*",""),"+",""),",",""),"-",""),".",""),"/",""),":",""),";",""),"&lt;",""),"=",""),"&gt;",""),"?",""),"@",""),"[",""),"\",""),"]",""),"^",""),"_",""),"`",""),"{",""),"|",""),"}",""),"~",""),CHAR(9),""),CHAR(10),""),CHAR(13),"")," ",""),"")</f>
        <v/>
      </c>
      <c r="BD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20,32))," ",""),"!",""),CHAR(34),""),"#",""),"$",""),"%",""),"&amp;",""),"'",""),"(",""),")",""),"*",""),"+",""),",",""),"-",""),".",""),"/",""),":",""),";",""),"&lt;",""),"=",""),"&gt;",""),"?",""),"@",""),"[",""),"\",""),"]",""),"^",""),"_",""),"`",""),"{",""),"|",""),"}",""),"~",""),CHAR(9),""),CHAR(10),""),CHAR(13),"")," ",""),"")</f>
        <v/>
      </c>
      <c r="BE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20,33))," ",""),"!",""),CHAR(34),""),"#",""),"$",""),"%",""),"&amp;",""),"'",""),"(",""),")",""),"*",""),"+",""),",",""),"-",""),".",""),"/",""),":",""),";",""),"&lt;",""),"=",""),"&gt;",""),"?",""),"@",""),"[",""),"\",""),"]",""),"^",""),"_",""),"`",""),"{",""),"|",""),"}",""),"~",""),CHAR(9),""),CHAR(10),""),CHAR(13),"")," ",""),"")</f>
        <v/>
      </c>
      <c r="BF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20,34))," ",""),"!",""),CHAR(34),""),"#",""),"$",""),"%",""),"&amp;",""),"'",""),"(",""),")",""),"*",""),"+",""),",",""),"-",""),".",""),"/",""),":",""),";",""),"&lt;",""),"=",""),"&gt;",""),"?",""),"@",""),"[",""),"\",""),"]",""),"^",""),"_",""),"`",""),"{",""),"|",""),"}",""),"~",""),CHAR(9),""),CHAR(10),""),CHAR(13),"")," ",""),"")</f>
        <v/>
      </c>
      <c r="BG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20,35))," ",""),"!",""),CHAR(34),""),"#",""),"$",""),"%",""),"&amp;",""),"'",""),"(",""),")",""),"*",""),"+",""),",",""),"-",""),".",""),"/",""),":",""),";",""),"&lt;",""),"=",""),"&gt;",""),"?",""),"@",""),"[",""),"\",""),"]",""),"^",""),"_",""),"`",""),"{",""),"|",""),"}",""),"~",""),CHAR(9),""),CHAR(10),""),CHAR(13),"")," ",""),"")</f>
        <v/>
      </c>
      <c r="BH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20,36))," ",""),"!",""),CHAR(34),""),"#",""),"$",""),"%",""),"&amp;",""),"'",""),"(",""),")",""),"*",""),"+",""),",",""),"-",""),".",""),"/",""),":",""),";",""),"&lt;",""),"=",""),"&gt;",""),"?",""),"@",""),"[",""),"\",""),"]",""),"^",""),"_",""),"`",""),"{",""),"|",""),"}",""),"~",""),CHAR(9),""),CHAR(10),""),CHAR(13),"")," ",""),"")</f>
        <v/>
      </c>
      <c r="BI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20,37))," ",""),"!",""),CHAR(34),""),"#",""),"$",""),"%",""),"&amp;",""),"'",""),"(",""),")",""),"*",""),"+",""),",",""),"-",""),".",""),"/",""),":",""),";",""),"&lt;",""),"=",""),"&gt;",""),"?",""),"@",""),"[",""),"\",""),"]",""),"^",""),"_",""),"`",""),"{",""),"|",""),"}",""),"~",""),CHAR(9),""),CHAR(10),""),CHAR(13),"")," ",""),"")</f>
        <v/>
      </c>
      <c r="BJ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20,38))," ",""),"!",""),CHAR(34),""),"#",""),"$",""),"%",""),"&amp;",""),"'",""),"(",""),")",""),"*",""),"+",""),",",""),"-",""),".",""),"/",""),":",""),";",""),"&lt;",""),"=",""),"&gt;",""),"?",""),"@",""),"[",""),"\",""),"]",""),"^",""),"_",""),"`",""),"{",""),"|",""),"}",""),"~",""),CHAR(9),""),CHAR(10),""),CHAR(13),"")," ",""),"")</f>
        <v/>
      </c>
      <c r="BK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20,39))," ",""),"!",""),CHAR(34),""),"#",""),"$",""),"%",""),"&amp;",""),"'",""),"(",""),")",""),"*",""),"+",""),",",""),"-",""),".",""),"/",""),":",""),";",""),"&lt;",""),"=",""),"&gt;",""),"?",""),"@",""),"[",""),"\",""),"]",""),"^",""),"_",""),"`",""),"{",""),"|",""),"}",""),"~",""),CHAR(9),""),CHAR(10),""),CHAR(13),"")," ",""),"")</f>
        <v/>
      </c>
      <c r="BL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20,40))," ",""),"!",""),CHAR(34),""),"#",""),"$",""),"%",""),"&amp;",""),"'",""),"(",""),")",""),"*",""),"+",""),",",""),"-",""),".",""),"/",""),":",""),";",""),"&lt;",""),"=",""),"&gt;",""),"?",""),"@",""),"[",""),"\",""),"]",""),"^",""),"_",""),"`",""),"{",""),"|",""),"}",""),"~",""),CHAR(9),""),CHAR(10),""),CHAR(13),"")," ",""),"")</f>
        <v/>
      </c>
      <c r="BM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20,41))," ",""),"!",""),CHAR(34),""),"#",""),"$",""),"%",""),"&amp;",""),"'",""),"(",""),")",""),"*",""),"+",""),",",""),"-",""),".",""),"/",""),":",""),";",""),"&lt;",""),"=",""),"&gt;",""),"?",""),"@",""),"[",""),"\",""),"]",""),"^",""),"_",""),"`",""),"{",""),"|",""),"}",""),"~",""),CHAR(9),""),CHAR(10),""),CHAR(13),"")," ",""),"")</f>
        <v/>
      </c>
      <c r="BN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20,42))," ",""),"!",""),CHAR(34),""),"#",""),"$",""),"%",""),"&amp;",""),"'",""),"(",""),")",""),"*",""),"+",""),",",""),"-",""),".",""),"/",""),":",""),";",""),"&lt;",""),"=",""),"&gt;",""),"?",""),"@",""),"[",""),"\",""),"]",""),"^",""),"_",""),"`",""),"{",""),"|",""),"}",""),"~",""),CHAR(9),""),CHAR(10),""),CHAR(13),"")," ",""),"")</f>
        <v/>
      </c>
      <c r="BO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20,43))," ",""),"!",""),CHAR(34),""),"#",""),"$",""),"%",""),"&amp;",""),"'",""),"(",""),")",""),"*",""),"+",""),",",""),"-",""),".",""),"/",""),":",""),";",""),"&lt;",""),"=",""),"&gt;",""),"?",""),"@",""),"[",""),"\",""),"]",""),"^",""),"_",""),"`",""),"{",""),"|",""),"}",""),"~",""),CHAR(9),""),CHAR(10),""),CHAR(13),"")," ",""),"")</f>
        <v/>
      </c>
      <c r="BP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20,44))," ",""),"!",""),CHAR(34),""),"#",""),"$",""),"%",""),"&amp;",""),"'",""),"(",""),")",""),"*",""),"+",""),",",""),"-",""),".",""),"/",""),":",""),";",""),"&lt;",""),"=",""),"&gt;",""),"?",""),"@",""),"[",""),"\",""),"]",""),"^",""),"_",""),"`",""),"{",""),"|",""),"}",""),"~",""),CHAR(9),""),CHAR(10),""),CHAR(13),"")," ",""),"")</f>
        <v/>
      </c>
      <c r="BQ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20,45))," ",""),"!",""),CHAR(34),""),"#",""),"$",""),"%",""),"&amp;",""),"'",""),"(",""),")",""),"*",""),"+",""),",",""),"-",""),".",""),"/",""),":",""),";",""),"&lt;",""),"=",""),"&gt;",""),"?",""),"@",""),"[",""),"\",""),"]",""),"^",""),"_",""),"`",""),"{",""),"|",""),"}",""),"~",""),CHAR(9),""),CHAR(10),""),CHAR(13),"")," ",""),"")</f>
        <v/>
      </c>
      <c r="BR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20,46))," ",""),"!",""),CHAR(34),""),"#",""),"$",""),"%",""),"&amp;",""),"'",""),"(",""),")",""),"*",""),"+",""),",",""),"-",""),".",""),"/",""),":",""),";",""),"&lt;",""),"=",""),"&gt;",""),"?",""),"@",""),"[",""),"\",""),"]",""),"^",""),"_",""),"`",""),"{",""),"|",""),"}",""),"~",""),CHAR(9),""),CHAR(10),""),CHAR(13),"")," ",""),"")</f>
        <v/>
      </c>
      <c r="BS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20,47))," ",""),"!",""),CHAR(34),""),"#",""),"$",""),"%",""),"&amp;",""),"'",""),"(",""),")",""),"*",""),"+",""),",",""),"-",""),".",""),"/",""),":",""),";",""),"&lt;",""),"=",""),"&gt;",""),"?",""),"@",""),"[",""),"\",""),"]",""),"^",""),"_",""),"`",""),"{",""),"|",""),"}",""),"~",""),CHAR(9),""),CHAR(10),""),CHAR(13),"")," ",""),"")</f>
        <v/>
      </c>
      <c r="BT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20,48))," ",""),"!",""),CHAR(34),""),"#",""),"$",""),"%",""),"&amp;",""),"'",""),"(",""),")",""),"*",""),"+",""),",",""),"-",""),".",""),"/",""),":",""),";",""),"&lt;",""),"=",""),"&gt;",""),"?",""),"@",""),"[",""),"\",""),"]",""),"^",""),"_",""),"`",""),"{",""),"|",""),"}",""),"~",""),CHAR(9),""),CHAR(10),""),CHAR(13),"")," ",""),"")</f>
        <v/>
      </c>
      <c r="BU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20,49))," ",""),"!",""),CHAR(34),""),"#",""),"$",""),"%",""),"&amp;",""),"'",""),"(",""),")",""),"*",""),"+",""),",",""),"-",""),".",""),"/",""),":",""),";",""),"&lt;",""),"=",""),"&gt;",""),"?",""),"@",""),"[",""),"\",""),"]",""),"^",""),"_",""),"`",""),"{",""),"|",""),"}",""),"~",""),CHAR(9),""),CHAR(10),""),CHAR(13),"")," ",""),"")</f>
        <v/>
      </c>
      <c r="BV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20,50))," ",""),"!",""),CHAR(34),""),"#",""),"$",""),"%",""),"&amp;",""),"'",""),"(",""),")",""),"*",""),"+",""),",",""),"-",""),".",""),"/",""),":",""),";",""),"&lt;",""),"=",""),"&gt;",""),"?",""),"@",""),"[",""),"\",""),"]",""),"^",""),"_",""),"`",""),"{",""),"|",""),"}",""),"~",""),CHAR(9),""),CHAR(10),""),CHAR(13),"")," ",""),"")</f>
        <v/>
      </c>
      <c r="BW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20,51))," ",""),"!",""),CHAR(34),""),"#",""),"$",""),"%",""),"&amp;",""),"'",""),"(",""),")",""),"*",""),"+",""),",",""),"-",""),".",""),"/",""),":",""),";",""),"&lt;",""),"=",""),"&gt;",""),"?",""),"@",""),"[",""),"\",""),"]",""),"^",""),"_",""),"`",""),"{",""),"|",""),"}",""),"~",""),CHAR(9),""),CHAR(10),""),CHAR(13),"")," ",""),"")</f>
        <v/>
      </c>
      <c r="BX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20,52))," ",""),"!",""),CHAR(34),""),"#",""),"$",""),"%",""),"&amp;",""),"'",""),"(",""),")",""),"*",""),"+",""),",",""),"-",""),".",""),"/",""),":",""),";",""),"&lt;",""),"=",""),"&gt;",""),"?",""),"@",""),"[",""),"\",""),"]",""),"^",""),"_",""),"`",""),"{",""),"|",""),"}",""),"~",""),CHAR(9),""),CHAR(10),""),CHAR(13),"")," ",""),"")</f>
        <v/>
      </c>
      <c r="BY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20,53))," ",""),"!",""),CHAR(34),""),"#",""),"$",""),"%",""),"&amp;",""),"'",""),"(",""),")",""),"*",""),"+",""),",",""),"-",""),".",""),"/",""),":",""),";",""),"&lt;",""),"=",""),"&gt;",""),"?",""),"@",""),"[",""),"\",""),"]",""),"^",""),"_",""),"`",""),"{",""),"|",""),"}",""),"~",""),CHAR(9),""),CHAR(10),""),CHAR(13),"")," ",""),"")</f>
        <v/>
      </c>
      <c r="BZ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20,54))," ",""),"!",""),CHAR(34),""),"#",""),"$",""),"%",""),"&amp;",""),"'",""),"(",""),")",""),"*",""),"+",""),",",""),"-",""),".",""),"/",""),":",""),";",""),"&lt;",""),"=",""),"&gt;",""),"?",""),"@",""),"[",""),"\",""),"]",""),"^",""),"_",""),"`",""),"{",""),"|",""),"}",""),"~",""),CHAR(9),""),CHAR(10),""),CHAR(13),"")," ",""),"")</f>
        <v/>
      </c>
      <c r="CA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20,55))," ",""),"!",""),CHAR(34),""),"#",""),"$",""),"%",""),"&amp;",""),"'",""),"(",""),")",""),"*",""),"+",""),",",""),"-",""),".",""),"/",""),":",""),";",""),"&lt;",""),"=",""),"&gt;",""),"?",""),"@",""),"[",""),"\",""),"]",""),"^",""),"_",""),"`",""),"{",""),"|",""),"}",""),"~",""),CHAR(9),""),CHAR(10),""),CHAR(13),"")," ",""),"")</f>
        <v/>
      </c>
      <c r="CB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20,56))," ",""),"!",""),CHAR(34),""),"#",""),"$",""),"%",""),"&amp;",""),"'",""),"(",""),")",""),"*",""),"+",""),",",""),"-",""),".",""),"/",""),":",""),";",""),"&lt;",""),"=",""),"&gt;",""),"?",""),"@",""),"[",""),"\",""),"]",""),"^",""),"_",""),"`",""),"{",""),"|",""),"}",""),"~",""),CHAR(9),""),CHAR(10),""),CHAR(13),"")," ",""),"")</f>
        <v/>
      </c>
      <c r="CC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20,57))," ",""),"!",""),CHAR(34),""),"#",""),"$",""),"%",""),"&amp;",""),"'",""),"(",""),")",""),"*",""),"+",""),",",""),"-",""),".",""),"/",""),":",""),";",""),"&lt;",""),"=",""),"&gt;",""),"?",""),"@",""),"[",""),"\",""),"]",""),"^",""),"_",""),"`",""),"{",""),"|",""),"}",""),"~",""),CHAR(9),""),CHAR(10),""),CHAR(13),"")," ",""),"")</f>
        <v/>
      </c>
      <c r="CD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20,58))," ",""),"!",""),CHAR(34),""),"#",""),"$",""),"%",""),"&amp;",""),"'",""),"(",""),")",""),"*",""),"+",""),",",""),"-",""),".",""),"/",""),":",""),";",""),"&lt;",""),"=",""),"&gt;",""),"?",""),"@",""),"[",""),"\",""),"]",""),"^",""),"_",""),"`",""),"{",""),"|",""),"}",""),"~",""),CHAR(9),""),CHAR(10),""),CHAR(13),"")," ",""),"")</f>
        <v/>
      </c>
      <c r="CE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20,59))," ",""),"!",""),CHAR(34),""),"#",""),"$",""),"%",""),"&amp;",""),"'",""),"(",""),")",""),"*",""),"+",""),",",""),"-",""),".",""),"/",""),":",""),";",""),"&lt;",""),"=",""),"&gt;",""),"?",""),"@",""),"[",""),"\",""),"]",""),"^",""),"_",""),"`",""),"{",""),"|",""),"}",""),"~",""),CHAR(9),""),CHAR(10),""),CHAR(13),"")," ",""),"")</f>
        <v/>
      </c>
      <c r="CF2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20,60))," ",""),"!",""),CHAR(34),""),"#",""),"$",""),"%",""),"&amp;",""),"'",""),"(",""),")",""),"*",""),"+",""),",",""),"-",""),".",""),"/",""),":",""),";",""),"&lt;",""),"=",""),"&gt;",""),"?",""),"@",""),"[",""),"\",""),"]",""),"^",""),"_",""),"`",""),"{",""),"|",""),"}",""),"~",""),CHAR(9),""),CHAR(10),""),CHAR(13),"")," ",""),"")</f>
        <v/>
      </c>
      <c r="CH24">
        <f>COUNTIF($Y69:$CF69,"&gt;0")</f>
        <v/>
      </c>
      <c r="CI24">
        <f>COUNTIF($Y69:$CF69,2)</f>
        <v/>
      </c>
      <c r="CJ24">
        <f>SUMPRODUCT((COUNTIF($Y114:$CF114,{1,2,3,4,5,6,7,8,9,10,11,12,13,14,15})&gt;0)*{2,4,8,16,32,64,128,256,512,1024,2048,4096,8192,16384,32768})</f>
        <v/>
      </c>
      <c r="CK24">
        <f>CF204</f>
        <v/>
      </c>
      <c r="CL24">
        <f>SUMPRODUCT(MOD(INT(((CJ24+CK24))/{2,4,8,16,32,64,128,256,512,1024,2048,4096,8192,16384,32768}),2))</f>
        <v/>
      </c>
      <c r="CM24">
        <f>IF(CH24&lt;2,-9999,CL24+2*MOD(INT(((CJ24+CK24))/2),2)+2*MOD(INT(((CJ24+CK24))/4),2)-CI24)</f>
        <v/>
      </c>
      <c r="DA24" t="n">
        <v>20</v>
      </c>
      <c r="DB24">
        <f>IF($B$37=0,"",IFERROR(TRIM(SUBSTITUTE(SUBSTITUTE(SUBSTITUTE(SUBSTITUTE(INDEX(PASTE_ALL,20,$B$37)," "," "),CHAR(9)," "),CHAR(10)," "),CHAR(13)," ")),""))</f>
        <v/>
      </c>
      <c r="DC24">
        <f>IF(AND(20&gt;HEADER_ROW,UPPER(DB24)="LEGEND"),1,0)</f>
        <v/>
      </c>
      <c r="DE24" t="n">
        <v>20</v>
      </c>
      <c r="DF24">
        <f>HEADER_ROW+$DE24</f>
        <v/>
      </c>
      <c r="DG24">
        <f>IF(AND($DF24&lt;=1000,$DF24&lt;$B$8),1,0)</f>
        <v/>
      </c>
      <c r="DH24">
        <f>IF($DG24=1,IFERROR(INDEX($DB$5:$DB$1004,$DF24),""),"")</f>
        <v/>
      </c>
      <c r="DI24">
        <f>IF(AND($DG24=1,$DH24&lt;&gt;""),IFERROR(SUBSTITUTE(SUBSTITUTE(TRIM(SUBSTITUTE(SUBSTITUTE(SUBSTITUTE(SUBSTITUTE(IFERROR(INDEX(PASTE_ALL,$DF24,1)&amp;"","")&amp;"␟"&amp;IFERROR(INDEX(PASTE_ALL,$DF24,2)&amp;"","")&amp;"␟"&amp;IFERROR(INDEX(PASTE_ALL,$DF24,3)&amp;"","")&amp;"␟"&amp;IFERROR(INDEX(PASTE_ALL,$DF24,4)&amp;"","")&amp;"␟"&amp;IFERROR(INDEX(PASTE_ALL,$DF24,5)&amp;"","")&amp;"␟"&amp;IFERROR(INDEX(PASTE_ALL,$DF24,6)&amp;"","")&amp;"␟"&amp;IFERROR(INDEX(PASTE_ALL,$DF24,7)&amp;"","")&amp;"␟"&amp;IFERROR(INDEX(PASTE_ALL,$DF24,8)&amp;"","")&amp;"␟"&amp;IFERROR(INDEX(PASTE_ALL,$DF24,9)&amp;"","")&amp;"␟"&amp;IFERROR(INDEX(PASTE_ALL,$DF24,10)&amp;"","")&amp;"␟"&amp;IFERROR(INDEX(PASTE_ALL,$DF24,11)&amp;"","")&amp;"␟"&amp;IFERROR(INDEX(PASTE_ALL,$DF24,12)&amp;"","")&amp;"␟"&amp;IFERROR(INDEX(PASTE_ALL,$DF24,13)&amp;"","")&amp;"␟"&amp;IFERROR(INDEX(PASTE_ALL,$DF24,14)&amp;"","")&amp;"␟"&amp;IFERROR(INDEX(PASTE_ALL,$DF24,15)&amp;"","")&amp;"␟"&amp;IFERROR(INDEX(PASTE_ALL,$DF24,16)&amp;"","")&amp;"␟"&amp;IFERROR(INDEX(PASTE_ALL,$DF24,17)&amp;"","")&amp;"␟"&amp;IFERROR(INDEX(PASTE_ALL,$DF24,18)&amp;"","")&amp;"␟"&amp;IFERROR(INDEX(PASTE_ALL,$DF24,19)&amp;"","")&amp;"␟"&amp;IFERROR(INDEX(PASTE_ALL,$DF24,20)&amp;"","")&amp;"␟"&amp;IFERROR(INDEX(PASTE_ALL,$DF24,21)&amp;"","")&amp;"␟"&amp;IFERROR(INDEX(PASTE_ALL,$DF24,22)&amp;"","")&amp;"␟"&amp;IFERROR(INDEX(PASTE_ALL,$DF24,23)&amp;"","")&amp;"␟"&amp;IFERROR(INDEX(PASTE_ALL,$DF24,24)&amp;"","")&amp;"␟"&amp;IFERROR(INDEX(PASTE_ALL,$DF24,25)&amp;"","")&amp;"␟"&amp;IFERROR(INDEX(PASTE_ALL,$DF24,26)&amp;"","")&amp;"␟"&amp;IFERROR(INDEX(PASTE_ALL,$DF24,27)&amp;"","")&amp;"␟"&amp;IFERROR(INDEX(PASTE_ALL,$DF24,28)&amp;"","")&amp;"␟"&amp;IFERROR(INDEX(PASTE_ALL,$DF24,29)&amp;"","")&amp;"␟"&amp;IFERROR(INDEX(PASTE_ALL,$DF24,30)&amp;"","")&amp;"␟"&amp;IFERROR(INDEX(PASTE_ALL,$DF24,31)&amp;"","")&amp;"␟"&amp;IFERROR(INDEX(PASTE_ALL,$DF24,32)&amp;"","")&amp;"␟"&amp;IFERROR(INDEX(PASTE_ALL,$DF24,33)&amp;"","")&amp;"␟"&amp;IFERROR(INDEX(PASTE_ALL,$DF24,34)&amp;"","")&amp;"␟"&amp;IFERROR(INDEX(PASTE_ALL,$DF24,35)&amp;"","")&amp;"␟"&amp;IFERROR(INDEX(PASTE_ALL,$DF24,36)&amp;"","")&amp;"␟"&amp;IFERROR(INDEX(PASTE_ALL,$DF24,37)&amp;"","")&amp;"␟"&amp;IFERROR(INDEX(PASTE_ALL,$DF24,38)&amp;"","")&amp;"␟"&amp;IFERROR(INDEX(PASTE_ALL,$DF24,39)&amp;"","")&amp;"␟"&amp;IFERROR(INDEX(PASTE_ALL,$DF24,40)&amp;"","")&amp;"␟"&amp;IFERROR(INDEX(PASTE_ALL,$DF24,41)&amp;"","")&amp;"␟"&amp;IFERROR(INDEX(PASTE_ALL,$DF24,42)&amp;"","")&amp;"␟"&amp;IFERROR(INDEX(PASTE_ALL,$DF24,43)&amp;"","")&amp;"␟"&amp;IFERROR(INDEX(PASTE_ALL,$DF24,44)&amp;"","")&amp;"␟"&amp;IFERROR(INDEX(PASTE_ALL,$DF24,45)&amp;"","")&amp;"␟"&amp;IFERROR(INDEX(PASTE_ALL,$DF24,46)&amp;"","")&amp;"␟"&amp;IFERROR(INDEX(PASTE_ALL,$DF24,47)&amp;"","")&amp;"␟"&amp;IFERROR(INDEX(PASTE_ALL,$DF24,48)&amp;"","")&amp;"␟"&amp;IFERROR(INDEX(PASTE_ALL,$DF24,49)&amp;"","")&amp;"␟"&amp;IFERROR(INDEX(PASTE_ALL,$DF24,50)&amp;"","")&amp;"␟"&amp;IFERROR(INDEX(PASTE_ALL,$DF24,51)&amp;"","")&amp;"␟"&amp;IFERROR(INDEX(PASTE_ALL,$DF24,52)&amp;"","")&amp;"␟"&amp;IFERROR(INDEX(PASTE_ALL,$DF24,53)&amp;"","")&amp;"␟"&amp;IFERROR(INDEX(PASTE_ALL,$DF24,54)&amp;"","")&amp;"␟"&amp;IFERROR(INDEX(PASTE_ALL,$DF24,55)&amp;"","")&amp;"␟"&amp;IFERROR(INDEX(PASTE_ALL,$DF24,56)&amp;"","")&amp;"␟"&amp;IFERROR(INDEX(PASTE_ALL,$DF24,57)&amp;"","")&amp;"␟"&amp;IFERROR(INDEX(PASTE_ALL,$DF24,58)&amp;"","")&amp;"␟"&amp;IFERROR(INDEX(PASTE_ALL,$DF24,59)&amp;"","")&amp;"␟"&amp;IFERROR(INDEX(PASTE_ALL,$DF24,60)&amp;"","")," "," "),CHAR(9)," "),CHAR(10)," "),CHAR(13)," "))," ␟","␟"),"␟ ","␟"),"#"&amp;$DE24),"")</f>
        <v/>
      </c>
      <c r="DJ24">
        <f>IF($DI24="",0,IF(SUMPRODUCT(--EXACT($DI$4:DI23,$DI24))&gt;0,1,0))</f>
        <v/>
      </c>
      <c r="DK24">
        <f>IF(AND($DI24&lt;&gt;"",$DJ24=0),1,0)</f>
        <v/>
      </c>
      <c r="DL24">
        <f>DL23+$DK24</f>
        <v/>
      </c>
      <c r="DM24">
        <f>IF(AND($DK24=1,$DL24&lt;=600),1,0)</f>
        <v/>
      </c>
      <c r="DN24">
        <f>IF($DM24=0,"",IF($L$6=0,"",IFERROR(IF(ISNUMBER(INDEX(PASTE_ALL,$DF24,$L$6)),INDEX(PASTE_ALL,$DF24,$L$6),TRIM(SUBSTITUTE(SUBSTITUTE(SUBSTITUTE(SUBSTITUTE(INDEX(PASTE_ALL,$DF24,$L$6)," "," "),CHAR(9)," "),CHAR(10)," "),CHAR(13)," "))),"")))</f>
        <v/>
      </c>
      <c r="DO24">
        <f>IF($DM24=0,"",IF($L$7=0,"",IFERROR(IF(ISNUMBER(INDEX(PASTE_ALL,$DF24,$L$7)),INDEX(PASTE_ALL,$DF24,$L$7),TRIM(SUBSTITUTE(SUBSTITUTE(SUBSTITUTE(SUBSTITUTE(INDEX(PASTE_ALL,$DF24,$L$7)," "," "),CHAR(9)," "),CHAR(10)," "),CHAR(13)," "))),"")))</f>
        <v/>
      </c>
      <c r="DP24">
        <f>IF($DM24=0,"",IF($L$8=0,"",IFERROR(IF(ISNUMBER(INDEX(PASTE_ALL,$DF24,$L$8)),INDEX(PASTE_ALL,$DF24,$L$8),TRIM(SUBSTITUTE(SUBSTITUTE(SUBSTITUTE(SUBSTITUTE(INDEX(PASTE_ALL,$DF24,$L$8)," "," "),CHAR(9)," "),CHAR(10)," "),CHAR(13)," "))),"")))</f>
        <v/>
      </c>
      <c r="DQ24">
        <f>IF($DM24=0,"",IF($L$9=0,"",IFERROR(IF(ISNUMBER(INDEX(PASTE_ALL,$DF24,$L$9)),INDEX(PASTE_ALL,$DF24,$L$9),TRIM(SUBSTITUTE(SUBSTITUTE(SUBSTITUTE(SUBSTITUTE(INDEX(PASTE_ALL,$DF24,$L$9)," "," "),CHAR(9)," "),CHAR(10)," "),CHAR(13)," "))),"")))</f>
        <v/>
      </c>
      <c r="DR24">
        <f>IF($DM24=0,"",IF($L$10=0,"",IFERROR(IF(ISNUMBER(INDEX(PASTE_ALL,$DF24,$L$10)),INDEX(PASTE_ALL,$DF24,$L$10),TRIM(SUBSTITUTE(SUBSTITUTE(SUBSTITUTE(SUBSTITUTE(INDEX(PASTE_ALL,$DF24,$L$10)," "," "),CHAR(9)," "),CHAR(10)," "),CHAR(13)," "))),"")))</f>
        <v/>
      </c>
      <c r="DS24">
        <f>IF($DM24=0,"",IF($L$11=0,"",IFERROR(IF(ISNUMBER(INDEX(PASTE_ALL,$DF24,$L$11)),INDEX(PASTE_ALL,$DF24,$L$11),TRIM(SUBSTITUTE(SUBSTITUTE(SUBSTITUTE(SUBSTITUTE(INDEX(PASTE_ALL,$DF24,$L$11)," "," "),CHAR(9)," "),CHAR(10)," "),CHAR(13)," "))),"")))</f>
        <v/>
      </c>
      <c r="DT24">
        <f>IF($DM24=0,"",IF($L$12=0,"",IFERROR(IF(ISNUMBER(INDEX(PASTE_ALL,$DF24,$L$12)),INDEX(PASTE_ALL,$DF24,$L$12),TRIM(SUBSTITUTE(SUBSTITUTE(SUBSTITUTE(SUBSTITUTE(INDEX(PASTE_ALL,$DF24,$L$12)," "," "),CHAR(9)," "),CHAR(10)," "),CHAR(13)," "))),"")))</f>
        <v/>
      </c>
      <c r="DU24">
        <f>IF($DM24=0,"",IF($L$13=0,"",IFERROR(IF(ISNUMBER(INDEX(PASTE_ALL,$DF24,$L$13)),INDEX(PASTE_ALL,$DF24,$L$13),TRIM(SUBSTITUTE(SUBSTITUTE(SUBSTITUTE(SUBSTITUTE(INDEX(PASTE_ALL,$DF24,$L$13)," "," "),CHAR(9)," "),CHAR(10)," "),CHAR(13)," "))),"")))</f>
        <v/>
      </c>
      <c r="DV24">
        <f>IF($DM24=0,"",IF($L$14=0,"",IFERROR(IF(ISNUMBER(INDEX(PASTE_ALL,$DF24,$L$14)),INDEX(PASTE_ALL,$DF24,$L$14),TRIM(SUBSTITUTE(SUBSTITUTE(SUBSTITUTE(SUBSTITUTE(INDEX(PASTE_ALL,$DF24,$L$14)," "," "),CHAR(9)," "),CHAR(10)," "),CHAR(13)," "))),"")))</f>
        <v/>
      </c>
      <c r="DW24">
        <f>IF($DM24=0,"",IF($L$15=0,"",IFERROR(IF(ISNUMBER(INDEX(PASTE_ALL,$DF24,$L$15)),INDEX(PASTE_ALL,$DF24,$L$15),IF(SUMPRODUCT(--ISNUMBER(FIND({"A","B","C","D","E","F","G","H","I","J","K","L","M","N","O","P","Q","R","S","T","U","V","W","X","Y","Z","0","1","2","3","4","5","6","7","8","9"},UPPER(TRIM(SUBSTITUTE(SUBSTITUTE(SUBSTITUTE(SUBSTITUTE(INDEX(PASTE_ALL,$DF24,$L$15)," "," "),CHAR(9)," "),CHAR(10)," "),CHAR(13)," "))))))&gt;0,TRIM(SUBSTITUTE(SUBSTITUTE(SUBSTITUTE(SUBSTITUTE(INDEX(PASTE_ALL,$DF24,$L$15)," "," "),CHAR(9)," "),CHAR(10)," "),CHAR(13)," ")),"")),"")))</f>
        <v/>
      </c>
      <c r="DX24">
        <f>IF($DM24=0,"",IF($L$16=0,"",IFERROR(IF(ISNUMBER(INDEX(PASTE_ALL,$DF24,$L$16)),INDEX(PASTE_ALL,$DF24,$L$16),SUBSTITUTE(SUBSTITUTE(TRIM(SUBSTITUTE(SUBSTITUTE(SUBSTITUTE(SUBSTITUTE(INDEX(PASTE_ALL,$DF24,$L$16)," "," "),CHAR(9)," "),CHAR(10)," "),CHAR(13)," ")),",",""),"%","")),"")))</f>
        <v/>
      </c>
      <c r="DY24">
        <f>IF($DM24=0,"",IFERROR(IF(ISNUMBER($DX24),$DX24,IF($DX24="","",IF(TRIM($DX24)="",0,IF(AND(AND(SUBSTITUTE(SUBSTITUTE(SUBSTITUTE(SUBSTITUTE(SUBSTITUTE(SUBSTITUTE(SUBSTITUTE(SUBSTITUTE(SUBSTITUTE(SUBSTITUTE(SUBSTITUTE(SUBSTITUTE(SUBSTITUTE(SUBSTITUTE(UPPER(TRIM($DX24)),"0",""),"1",""),"2",""),"3",""),"4",""),"5",""),"6",""),"7",""),"8",""),"9",""),".",""),"+",""),"-",""),"E","")="",LEN(SUBSTITUTE(SUBSTITUTE(MID(UPPER(TRIM($DX24)),1+OR(LEFT(UPPER(TRIM($DX24)),1)="+",LEFT(UPPER(TRIM($DX24)),1)="-"),999),"E+","E"),"E-","E"))=LEN(SUBSTITUTE(SUBSTITUTE(SUBSTITUTE(SUBSTITUTE(MID(UPPER(TRIM($DX24)),1+OR(LEFT(UPPER(TRIM($DX24)),1)="+",LEFT(UPPER(TRIM($DX24)),1)="-"),999),"E+","E"),"E-","E"),"+",""),"-","")),LEN(UPPER(TRIM($DX24)))-LEN(SUBSTITUTE(UPPER(TRIM($DX24)),"E",""))&lt;2,LEN(UPPER(TRIM($DX24)))-LEN(SUBSTITUTE(UPPER(TRIM($DX24)),".",""))&lt;2,IFERROR(FIND(".",UPPER(TRIM($DX24))),0)&lt;IFERROR(FIND("E",UPPER(TRIM($DX24))),999)),ISNUMBER(VALUE(TRIM($DX24)))),VALUE(TRIM($DX24)),"")))),""))</f>
        <v/>
      </c>
      <c r="DZ24">
        <f>IF($DM24=0,"",IF($L$17=0,"",IFERROR(IF(ISNUMBER(INDEX(PASTE_ALL,$DF24,$L$17)),INDEX(PASTE_ALL,$DF24,$L$17),SUBSTITUTE(SUBSTITUTE(TRIM(SUBSTITUTE(SUBSTITUTE(SUBSTITUTE(SUBSTITUTE(INDEX(PASTE_ALL,$DF24,$L$17)," "," "),CHAR(9)," "),CHAR(10)," "),CHAR(13)," ")),",",""),"%","")),"")))</f>
        <v/>
      </c>
      <c r="EA24">
        <f>IF($DM24=0,"",IFERROR(IF(ISNUMBER($DZ24),$DZ24,IF($DZ24="","",IF(TRIM($DZ24)="",0,IF(AND(AND(SUBSTITUTE(SUBSTITUTE(SUBSTITUTE(SUBSTITUTE(SUBSTITUTE(SUBSTITUTE(SUBSTITUTE(SUBSTITUTE(SUBSTITUTE(SUBSTITUTE(SUBSTITUTE(SUBSTITUTE(SUBSTITUTE(SUBSTITUTE(UPPER(TRIM($DZ24)),"0",""),"1",""),"2",""),"3",""),"4",""),"5",""),"6",""),"7",""),"8",""),"9",""),".",""),"+",""),"-",""),"E","")="",LEN(SUBSTITUTE(SUBSTITUTE(MID(UPPER(TRIM($DZ24)),1+OR(LEFT(UPPER(TRIM($DZ24)),1)="+",LEFT(UPPER(TRIM($DZ24)),1)="-"),999),"E+","E"),"E-","E"))=LEN(SUBSTITUTE(SUBSTITUTE(SUBSTITUTE(SUBSTITUTE(MID(UPPER(TRIM($DZ24)),1+OR(LEFT(UPPER(TRIM($DZ24)),1)="+",LEFT(UPPER(TRIM($DZ24)),1)="-"),999),"E+","E"),"E-","E"),"+",""),"-","")),LEN(UPPER(TRIM($DZ24)))-LEN(SUBSTITUTE(UPPER(TRIM($DZ24)),"E",""))&lt;2,LEN(UPPER(TRIM($DZ24)))-LEN(SUBSTITUTE(UPPER(TRIM($DZ24)),".",""))&lt;2,IFERROR(FIND(".",UPPER(TRIM($DZ24))),0)&lt;IFERROR(FIND("E",UPPER(TRIM($DZ24))),999)),ISNUMBER(VALUE(TRIM($DZ24)))),VALUE(TRIM($DZ24)),"")))),""))</f>
        <v/>
      </c>
      <c r="EB24">
        <f>IF($DM24=0,"",IF($L$18=0,"",IFERROR(IF(UPPER(TRIM(SUBSTITUTE(SUBSTITUTE(SUBSTITUTE(SUBSTITUTE(INDEX(PASTE_ALL,$DF24,$L$18)," "," "),CHAR(9)," "),CHAR(10)," "),CHAR(13)," ")))="READY","Ready",IF(UPPER(TRIM(SUBSTITUTE(SUBSTITUTE(SUBSTITUTE(SUBSTITUTE(INDEX(PASTE_ALL,$DF24,$L$18)," "," "),CHAR(9)," "),CHAR(10)," "),CHAR(13)," ")))="PM","PM",IF(OR(UPPER(TRIM(SUBSTITUTE(SUBSTITUTE(SUBSTITUTE(SUBSTITUTE(INDEX(PASTE_ALL,$DF24,$L$18)," "," "),CHAR(9)," "),CHAR(10)," "),CHAR(13)," ")))="OT",UPPER(TRIM(SUBSTITUTE(SUBSTITUTE(SUBSTITUTE(SUBSTITUTE(INDEX(PASTE_ALL,$DF24,$L$18)," "," "),CHAR(9)," "),CHAR(10)," "),CHAR(13)," ")))="OVERTIME",UPPER(TRIM(SUBSTITUTE(SUBSTITUTE(SUBSTITUTE(SUBSTITUTE(INDEX(PASTE_ALL,$DF24,$L$18)," "," "),CHAR(9)," "),CHAR(10)," "),CHAR(13)," ")))="TRIAL"),"OT",TRIM(SUBSTITUTE(SUBSTITUTE(SUBSTITUTE(SUBSTITUTE(INDEX(PASTE_ALL,$DF24,$L$18)," "," "),CHAR(9)," "),CHAR(10)," "),CHAR(13)," "))))),"")))</f>
        <v/>
      </c>
      <c r="EC24">
        <f>IF($DM24=0,"",IF($L$19=0,"",IFERROR(IF(ISNUMBER(INDEX(PASTE_ALL,$DF24,$L$19)),INDEX(PASTE_ALL,$DF24,$L$19),TRIM(SUBSTITUTE(SUBSTITUTE(SUBSTITUTE(SUBSTITUTE(INDEX(PASTE_ALL,$DF24,$L$19)," "," "),CHAR(9)," "),CHAR(10)," "),CHAR(13)," "))),"")))</f>
        <v/>
      </c>
      <c r="ED24">
        <f>IF($DM24=0,"",MATCH(1,INDEX(EXACT($DH$5:DH24,$DH24)*$DM$5:DM24,0),0))</f>
        <v/>
      </c>
      <c r="EE24">
        <f>IF($DM24=0,0,IF($ED24=$DE24,1,0))</f>
        <v/>
      </c>
      <c r="EF24">
        <f>EF23+$EE24</f>
        <v/>
      </c>
      <c r="EG24">
        <f>IF($DM24=0,"",INDEX($EF$5:$EF$1003,$ED24))</f>
        <v/>
      </c>
      <c r="EH24">
        <f>IF($DM24=0,"",IF($DO24&lt;&gt;"","",IFERROR(LOOKUP(2,1/(($EG$4:EG23=$EG24)*($DO$4:DO23&lt;&gt;"")),$DO$4:DO23),"")))</f>
        <v/>
      </c>
      <c r="EI24">
        <f>IF($DM24=0,"",IF($DO24&lt;&gt;"",$DO24,$EH24))</f>
        <v/>
      </c>
      <c r="EJ24">
        <f>IF($DM24=0,"",IF($EI24="",0,IF(OR(ISNUMBER($EI24),AND(AND(SUBSTITUTE(SUBSTITUTE(SUBSTITUTE(SUBSTITUTE(SUBSTITUTE(SUBSTITUTE(SUBSTITUTE(SUBSTITUTE(SUBSTITUTE(SUBSTITUTE(SUBSTITUTE(SUBSTITUTE(SUBSTITUTE(SUBSTITUTE(UPPER($EI24),"0",""),"1",""),"2",""),"3",""),"4",""),"5",""),"6",""),"7",""),"8",""),"9",""),".",""),"+",""),"-",""),"E","")="",LEN(SUBSTITUTE(SUBSTITUTE(MID(UPPER($EI24),1+OR(LEFT(UPPER($EI24),1)="+",LEFT(UPPER($EI24),1)="-"),999),"E+","E"),"E-","E"))=LEN(SUBSTITUTE(SUBSTITUTE(SUBSTITUTE(SUBSTITUTE(MID(UPPER($EI24),1+OR(LEFT(UPPER($EI24),1)="+",LEFT(UPPER($EI24),1)="-"),999),"E+","E"),"E-","E"),"+",""),"-","")),LEN(UPPER($EI24))-LEN(SUBSTITUTE(UPPER($EI24),"E",""))&lt;2,LEN(UPPER($EI24))-LEN(SUBSTITUTE(UPPER($EI24),".",""))&lt;2,IFERROR(FIND(".",UPPER($EI24)),0)&lt;IFERROR(FIND("E",UPPER($EI24)),999)),ISNUMBER(VALUE($EI24)))),1,2)))</f>
        <v/>
      </c>
      <c r="EK24">
        <f>IF($DM24=0,"",IF($EJ24=1,IF(ISNUMBER($EI24),$EI24,VALUE($EI24)),IF($EJ24=2,$DE24,0)))</f>
        <v/>
      </c>
      <c r="EL24">
        <f>IF($DM24=0,"",COUNTIF($EG$5:$EG$1003,"&lt;"&amp;$EG24)+SUMPRODUCT(($EG$5:$EG$1003=$EG24)*(($EJ$5:$EJ$1003&lt;$EJ24)+($EJ$5:$EJ$1003=$EJ24)*(($EK$5:$EK$1003&lt;$EK24)+($EK$5:$EK$1003=$EK24)*($DE$5:$DE$1003&lt;$DE24))))+1)</f>
        <v/>
      </c>
      <c r="EM24">
        <f>IF($DM24=0,"",$EL24+$EG24-1)</f>
        <v/>
      </c>
      <c r="EN24">
        <f>IF($DM24=0,0,IFERROR(MATCH(1,INDEX(--(TRIM(SUBSTITUTE(SUBSTITUTE(SUBSTITUTE(SUBSTITUTE(LINES_NAME&amp;""," "," "),CHAR(9)," "),CHAR(10)," "),CHAR(13)," "))=$DH24),0),0),0))</f>
        <v/>
      </c>
      <c r="EO24">
        <f>IF($EN24=0,0,IF(OR(UPPER(TRIM(INDEX(LINES_SCHEDULED,$EN24)&amp;""))="YES",UPPER(TRIM(INDEX(LINES_SCHEDULED,$EN24)&amp;""))="Y",UPPER(TRIM(INDEX(LINES_SCHEDULED,$EN24)&amp;""))="X"),1,0))</f>
        <v/>
      </c>
      <c r="EP24">
        <f>IF($DM24=0,"",IF(COUNTIFS($EG$5:$EG$1003,$EG24,$EB$5:$EB$1003,"Ready")&gt;0,"READY",IF(COUNTIFS($EG$5:$EG$1003,$EG24,$EB$5:$EB$1003,"PM")&gt;0,"PM",IF(COUNTIFS($EG$5:$EG$1003,$EG24,$EB$5:$EB$1003,"OT")&gt;0,"OT",""))))</f>
        <v/>
      </c>
      <c r="EQ24">
        <f>IF($EN24=0,"",UPPER(TRIM(INDEX(LINES_STATUS,$EN24)&amp;"")))</f>
        <v/>
      </c>
      <c r="ER24">
        <f>IF($DM24=0,"",IF(OR($EQ24="READY",$EQ24="PM",$EQ24="OT"),$EQ24,$EP24))</f>
        <v/>
      </c>
      <c r="ES24">
        <f>IF($DM24=0,"",IF(AND($DV24&lt;&gt;"",UPPER($DV24)&lt;&gt;"N"),"allergen",IF(ISNUMBER(SEARCH("oil",$DQ24)),"oil",IF(OR(EXACT($DS24,"A662"),EXACT($DS24,"A624")),"bulk",""))))</f>
        <v/>
      </c>
      <c r="ET24">
        <f>IF($DM24=0,"",IF(OR($EA24="",$EA24=0),"",$EA24/100))</f>
        <v/>
      </c>
      <c r="EU24">
        <f>IF(OR($ET24="",$DY24=""),"",INT($DY24*(1-$ET24)+0.5))</f>
        <v/>
      </c>
      <c r="EW24" t="n">
        <v>20</v>
      </c>
      <c r="EX24">
        <f>IFERROR(MATCH($EW24,$EM$5:$EM$1003,0),0)</f>
        <v/>
      </c>
      <c r="EY24">
        <f>IF($EW24&gt;$B$12,"",IF($EX24&gt;0,"row","spacer"))</f>
        <v/>
      </c>
      <c r="EZ24">
        <f>IF(AND($EY24="row",$EY23&lt;&gt;"row"),1,0)</f>
        <v/>
      </c>
      <c r="FA24">
        <f>IF(AND($EY24="row",$EY25&lt;&gt;"row"),1,0)</f>
        <v/>
      </c>
      <c r="FB24">
        <f>IF($EZ24=1,IFERROR(IF(ISNUMBER(INDEX(PASTE_ALL,INDEX($DF$5:$DF$1003,$EX24),$B$37)),INDEX(PASTE_ALL,INDEX($DF$5:$DF$1003,$EX24),$B$37),INDEX($DH$5:$DH$1003,$EX24)),INDEX($DH$5:$DH$1003,$EX24)),"")</f>
        <v/>
      </c>
      <c r="FC24">
        <f>IF($EY24="row",INDEX($ER$5:$ER$1003,$EX24),"")</f>
        <v/>
      </c>
      <c r="FD24">
        <f>IF($EY24="row",INDEX($DN$5:$DN$1003,$EX24),"")</f>
        <v/>
      </c>
      <c r="FE24">
        <f>IF($EY24="row",INDEX($DO$5:$DO$1003,$EX24),"")</f>
        <v/>
      </c>
      <c r="FF24">
        <f>IF($EY24="row",INDEX($DP$5:$DP$1003,$EX24),"")</f>
        <v/>
      </c>
      <c r="FG24">
        <f>IF($EY24="row",INDEX($DQ$5:$DQ$1003,$EX24),"")</f>
        <v/>
      </c>
      <c r="FH24">
        <f>IF($EY24="row",INDEX($DR$5:$DR$1003,$EX24),"")</f>
        <v/>
      </c>
      <c r="FI24">
        <f>IF($EY24="row",INDEX($DS$5:$DS$1003,$EX24),"")</f>
        <v/>
      </c>
      <c r="FJ24">
        <f>IF($EY24="row",INDEX($DT$5:$DT$1003,$EX24),"")</f>
        <v/>
      </c>
      <c r="FK24">
        <f>IF($EY24="row",INDEX($DU$5:$DU$1003,$EX24),"")</f>
        <v/>
      </c>
      <c r="FL24">
        <f>IF($EY24="row",INDEX($DV$5:$DV$1003,$EX24),"")</f>
        <v/>
      </c>
      <c r="FM24">
        <f>IF($EY24="row",INDEX($DW$5:$DW$1003,$EX24),"")</f>
        <v/>
      </c>
      <c r="FN24">
        <f>IF($EY24="row",INDEX($DY$5:$DY$1003,$EX24),"")</f>
        <v/>
      </c>
      <c r="FO24">
        <f>IF($EY24="row",INDEX($EA$5:$EA$1003,$EX24),"")</f>
        <v/>
      </c>
      <c r="FP24">
        <f>IF($EY24="row",INDEX($EC$5:$EC$1003,$EX24),"")</f>
        <v/>
      </c>
      <c r="FQ24">
        <f>IF($EY24="row",INDEX($ET$5:$ET$1003,$EX24),"")</f>
        <v/>
      </c>
      <c r="FR24">
        <f>IF($EY24="row",INDEX($EU$5:$EU$1003,$EX24),"")</f>
        <v/>
      </c>
      <c r="FS24">
        <f>IF(AND($EY24="row",$EY23="row"),IF(OR(INDEX($DT$5:$DT$1003,$EX23)="",INDEX($DT$5:$DT$1003,$EX24)=""),"",IF(NOT(EXACT(INDEX($DT$5:$DT$1003,$EX23),INDEX($DT$5:$DT$1003,$EX24))),"S4",IF(NOT(EXACT(INDEX($DS$5:$DS$1003,$EX23),INDEX($DS$5:$DS$1003,$EX24))),"S3",IF(NOT(EXACT(INDEX($DR$5:$DR$1003,$EX23),INDEX($DR$5:$DR$1003,$EX24))),"S1 Count Change","S1")))),"")</f>
        <v/>
      </c>
      <c r="FT24">
        <f>IF($EY24="row",INDEX($ES$5:$ES$1003,$EX24),"")</f>
        <v/>
      </c>
      <c r="FU24">
        <f>IF($EY24="row",INDEX($EO$5:$EO$1003,$EX24),0)</f>
        <v/>
      </c>
      <c r="FV24">
        <f>IF($FS24="S1 Count Change",1,0)</f>
        <v/>
      </c>
      <c r="FX24" t="n">
        <v>20</v>
      </c>
      <c r="FY24">
        <f>IFERROR(MATCH($FX24,$EF$5:$EF$1003,0),0)</f>
        <v/>
      </c>
      <c r="FZ24">
        <f>IF($FY24=0,"",INDEX($DH$5:$DH$1003,$FY24))</f>
        <v/>
      </c>
      <c r="GA24">
        <f>IF($FY24=0,"",COUNTIF($EG$5:$EG$1003,$FX24))</f>
        <v/>
      </c>
      <c r="GB24">
        <f>IF($FY24=0,"",INDEX($ER$5:$ER$1003,$FY24))</f>
        <v/>
      </c>
      <c r="GC24">
        <f>IF($FY24=0,"",IF(INDEX($EO$5:$EO$1003,$FY24)=1,"Yes",""))</f>
        <v/>
      </c>
      <c r="GD24">
        <f>IF($FY24=0,"",IF(INDEX($EN$5:$EN$1003,$FY24)&gt;0,"","NOT IN YOUR LIST - type it in column A to tick it"))</f>
        <v/>
      </c>
      <c r="GE24">
        <f>IF(AND($FY24&gt;0,$GD24&lt;&gt;""),1,0)</f>
        <v/>
      </c>
      <c r="GF24">
        <f>GF23+$GE24</f>
        <v/>
      </c>
      <c r="GG24">
        <f>IFERROR(INDEX($FZ$5:$FZ$104,MATCH($FX24,$GF$5:$GF$104,0)),"")</f>
        <v/>
      </c>
    </row>
    <row r="25">
      <c r="A25" t="inlineStr">
        <is>
          <t>WO # column missing</t>
        </is>
      </c>
      <c r="B25">
        <f>IF($L$6=0,1,0)</f>
        <v/>
      </c>
      <c r="S25" t="n">
        <v>21</v>
      </c>
      <c r="T25" t="inlineStr">
        <is>
          <t>U</t>
        </is>
      </c>
      <c r="V25" t="inlineStr">
        <is>
          <t>SEQNUMBER</t>
        </is>
      </c>
      <c r="W25" t="n">
        <v>3</v>
      </c>
      <c r="Y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 ",""),"!",""),CHAR(34),""),"#",""),"$",""),"%",""),"&amp;",""),"'",""),"(",""),")",""),"*",""),"+",""),",",""),"-",""),".",""),"/",""),":",""),";",""),"&lt;",""),"=",""),"&gt;",""),"?",""),"@",""),"[",""),"\",""),"]",""),"^",""),"_",""),"`",""),"{",""),"|",""),"}",""),"~",""),CHAR(9),""),CHAR(10),""),CHAR(13),"")," ",""),"")</f>
        <v/>
      </c>
      <c r="Z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 ",""),"!",""),CHAR(34),""),"#",""),"$",""),"%",""),"&amp;",""),"'",""),"(",""),")",""),"*",""),"+",""),",",""),"-",""),".",""),"/",""),":",""),";",""),"&lt;",""),"=",""),"&gt;",""),"?",""),"@",""),"[",""),"\",""),"]",""),"^",""),"_",""),"`",""),"{",""),"|",""),"}",""),"~",""),CHAR(9),""),CHAR(10),""),CHAR(13),"")," ",""),"")</f>
        <v/>
      </c>
      <c r="AA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 ",""),"!",""),CHAR(34),""),"#",""),"$",""),"%",""),"&amp;",""),"'",""),"(",""),")",""),"*",""),"+",""),",",""),"-",""),".",""),"/",""),":",""),";",""),"&lt;",""),"=",""),"&gt;",""),"?",""),"@",""),"[",""),"\",""),"]",""),"^",""),"_",""),"`",""),"{",""),"|",""),"}",""),"~",""),CHAR(9),""),CHAR(10),""),CHAR(13),"")," ",""),"")</f>
        <v/>
      </c>
      <c r="AB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 ",""),"!",""),CHAR(34),""),"#",""),"$",""),"%",""),"&amp;",""),"'",""),"(",""),")",""),"*",""),"+",""),",",""),"-",""),".",""),"/",""),":",""),";",""),"&lt;",""),"=",""),"&gt;",""),"?",""),"@",""),"[",""),"\",""),"]",""),"^",""),"_",""),"`",""),"{",""),"|",""),"}",""),"~",""),CHAR(9),""),CHAR(10),""),CHAR(13),"")," ",""),"")</f>
        <v/>
      </c>
      <c r="AC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 ",""),"!",""),CHAR(34),""),"#",""),"$",""),"%",""),"&amp;",""),"'",""),"(",""),")",""),"*",""),"+",""),",",""),"-",""),".",""),"/",""),":",""),";",""),"&lt;",""),"=",""),"&gt;",""),"?",""),"@",""),"[",""),"\",""),"]",""),"^",""),"_",""),"`",""),"{",""),"|",""),"}",""),"~",""),CHAR(9),""),CHAR(10),""),CHAR(13),"")," ",""),"")</f>
        <v/>
      </c>
      <c r="AD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21,6))," ",""),"!",""),CHAR(34),""),"#",""),"$",""),"%",""),"&amp;",""),"'",""),"(",""),")",""),"*",""),"+",""),",",""),"-",""),".",""),"/",""),":",""),";",""),"&lt;",""),"=",""),"&gt;",""),"?",""),"@",""),"[",""),"\",""),"]",""),"^",""),"_",""),"`",""),"{",""),"|",""),"}",""),"~",""),CHAR(9),""),CHAR(10),""),CHAR(13),"")," ",""),"")</f>
        <v/>
      </c>
      <c r="AE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21,7))," ",""),"!",""),CHAR(34),""),"#",""),"$",""),"%",""),"&amp;",""),"'",""),"(",""),")",""),"*",""),"+",""),",",""),"-",""),".",""),"/",""),":",""),";",""),"&lt;",""),"=",""),"&gt;",""),"?",""),"@",""),"[",""),"\",""),"]",""),"^",""),"_",""),"`",""),"{",""),"|",""),"}",""),"~",""),CHAR(9),""),CHAR(10),""),CHAR(13),"")," ",""),"")</f>
        <v/>
      </c>
      <c r="AF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21,8))," ",""),"!",""),CHAR(34),""),"#",""),"$",""),"%",""),"&amp;",""),"'",""),"(",""),")",""),"*",""),"+",""),",",""),"-",""),".",""),"/",""),":",""),";",""),"&lt;",""),"=",""),"&gt;",""),"?",""),"@",""),"[",""),"\",""),"]",""),"^",""),"_",""),"`",""),"{",""),"|",""),"}",""),"~",""),CHAR(9),""),CHAR(10),""),CHAR(13),"")," ",""),"")</f>
        <v/>
      </c>
      <c r="AG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21,9))," ",""),"!",""),CHAR(34),""),"#",""),"$",""),"%",""),"&amp;",""),"'",""),"(",""),")",""),"*",""),"+",""),",",""),"-",""),".",""),"/",""),":",""),";",""),"&lt;",""),"=",""),"&gt;",""),"?",""),"@",""),"[",""),"\",""),"]",""),"^",""),"_",""),"`",""),"{",""),"|",""),"}",""),"~",""),CHAR(9),""),CHAR(10),""),CHAR(13),"")," ",""),"")</f>
        <v/>
      </c>
      <c r="AH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21,10))," ",""),"!",""),CHAR(34),""),"#",""),"$",""),"%",""),"&amp;",""),"'",""),"(",""),")",""),"*",""),"+",""),",",""),"-",""),".",""),"/",""),":",""),";",""),"&lt;",""),"=",""),"&gt;",""),"?",""),"@",""),"[",""),"\",""),"]",""),"^",""),"_",""),"`",""),"{",""),"|",""),"}",""),"~",""),CHAR(9),""),CHAR(10),""),CHAR(13),"")," ",""),"")</f>
        <v/>
      </c>
      <c r="AI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21,11))," ",""),"!",""),CHAR(34),""),"#",""),"$",""),"%",""),"&amp;",""),"'",""),"(",""),")",""),"*",""),"+",""),",",""),"-",""),".",""),"/",""),":",""),";",""),"&lt;",""),"=",""),"&gt;",""),"?",""),"@",""),"[",""),"\",""),"]",""),"^",""),"_",""),"`",""),"{",""),"|",""),"}",""),"~",""),CHAR(9),""),CHAR(10),""),CHAR(13),"")," ",""),"")</f>
        <v/>
      </c>
      <c r="AJ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21,12))," ",""),"!",""),CHAR(34),""),"#",""),"$",""),"%",""),"&amp;",""),"'",""),"(",""),")",""),"*",""),"+",""),",",""),"-",""),".",""),"/",""),":",""),";",""),"&lt;",""),"=",""),"&gt;",""),"?",""),"@",""),"[",""),"\",""),"]",""),"^",""),"_",""),"`",""),"{",""),"|",""),"}",""),"~",""),CHAR(9),""),CHAR(10),""),CHAR(13),"")," ",""),"")</f>
        <v/>
      </c>
      <c r="AK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21,13))," ",""),"!",""),CHAR(34),""),"#",""),"$",""),"%",""),"&amp;",""),"'",""),"(",""),")",""),"*",""),"+",""),",",""),"-",""),".",""),"/",""),":",""),";",""),"&lt;",""),"=",""),"&gt;",""),"?",""),"@",""),"[",""),"\",""),"]",""),"^",""),"_",""),"`",""),"{",""),"|",""),"}",""),"~",""),CHAR(9),""),CHAR(10),""),CHAR(13),"")," ",""),"")</f>
        <v/>
      </c>
      <c r="AL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21,14))," ",""),"!",""),CHAR(34),""),"#",""),"$",""),"%",""),"&amp;",""),"'",""),"(",""),")",""),"*",""),"+",""),",",""),"-",""),".",""),"/",""),":",""),";",""),"&lt;",""),"=",""),"&gt;",""),"?",""),"@",""),"[",""),"\",""),"]",""),"^",""),"_",""),"`",""),"{",""),"|",""),"}",""),"~",""),CHAR(9),""),CHAR(10),""),CHAR(13),"")," ",""),"")</f>
        <v/>
      </c>
      <c r="AM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21,15))," ",""),"!",""),CHAR(34),""),"#",""),"$",""),"%",""),"&amp;",""),"'",""),"(",""),")",""),"*",""),"+",""),",",""),"-",""),".",""),"/",""),":",""),";",""),"&lt;",""),"=",""),"&gt;",""),"?",""),"@",""),"[",""),"\",""),"]",""),"^",""),"_",""),"`",""),"{",""),"|",""),"}",""),"~",""),CHAR(9),""),CHAR(10),""),CHAR(13),"")," ",""),"")</f>
        <v/>
      </c>
      <c r="AN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21,16))," ",""),"!",""),CHAR(34),""),"#",""),"$",""),"%",""),"&amp;",""),"'",""),"(",""),")",""),"*",""),"+",""),",",""),"-",""),".",""),"/",""),":",""),";",""),"&lt;",""),"=",""),"&gt;",""),"?",""),"@",""),"[",""),"\",""),"]",""),"^",""),"_",""),"`",""),"{",""),"|",""),"}",""),"~",""),CHAR(9),""),CHAR(10),""),CHAR(13),"")," ",""),"")</f>
        <v/>
      </c>
      <c r="AO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21,17))," ",""),"!",""),CHAR(34),""),"#",""),"$",""),"%",""),"&amp;",""),"'",""),"(",""),")",""),"*",""),"+",""),",",""),"-",""),".",""),"/",""),":",""),";",""),"&lt;",""),"=",""),"&gt;",""),"?",""),"@",""),"[",""),"\",""),"]",""),"^",""),"_",""),"`",""),"{",""),"|",""),"}",""),"~",""),CHAR(9),""),CHAR(10),""),CHAR(13),"")," ",""),"")</f>
        <v/>
      </c>
      <c r="AP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21,18))," ",""),"!",""),CHAR(34),""),"#",""),"$",""),"%",""),"&amp;",""),"'",""),"(",""),")",""),"*",""),"+",""),",",""),"-",""),".",""),"/",""),":",""),";",""),"&lt;",""),"=",""),"&gt;",""),"?",""),"@",""),"[",""),"\",""),"]",""),"^",""),"_",""),"`",""),"{",""),"|",""),"}",""),"~",""),CHAR(9),""),CHAR(10),""),CHAR(13),"")," ",""),"")</f>
        <v/>
      </c>
      <c r="AQ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21,19))," ",""),"!",""),CHAR(34),""),"#",""),"$",""),"%",""),"&amp;",""),"'",""),"(",""),")",""),"*",""),"+",""),",",""),"-",""),".",""),"/",""),":",""),";",""),"&lt;",""),"=",""),"&gt;",""),"?",""),"@",""),"[",""),"\",""),"]",""),"^",""),"_",""),"`",""),"{",""),"|",""),"}",""),"~",""),CHAR(9),""),CHAR(10),""),CHAR(13),"")," ",""),"")</f>
        <v/>
      </c>
      <c r="AR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21,20))," ",""),"!",""),CHAR(34),""),"#",""),"$",""),"%",""),"&amp;",""),"'",""),"(",""),")",""),"*",""),"+",""),",",""),"-",""),".",""),"/",""),":",""),";",""),"&lt;",""),"=",""),"&gt;",""),"?",""),"@",""),"[",""),"\",""),"]",""),"^",""),"_",""),"`",""),"{",""),"|",""),"}",""),"~",""),CHAR(9),""),CHAR(10),""),CHAR(13),"")," ",""),"")</f>
        <v/>
      </c>
      <c r="AS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21,21))," ",""),"!",""),CHAR(34),""),"#",""),"$",""),"%",""),"&amp;",""),"'",""),"(",""),")",""),"*",""),"+",""),",",""),"-",""),".",""),"/",""),":",""),";",""),"&lt;",""),"=",""),"&gt;",""),"?",""),"@",""),"[",""),"\",""),"]",""),"^",""),"_",""),"`",""),"{",""),"|",""),"}",""),"~",""),CHAR(9),""),CHAR(10),""),CHAR(13),"")," ",""),"")</f>
        <v/>
      </c>
      <c r="AT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21,22))," ",""),"!",""),CHAR(34),""),"#",""),"$",""),"%",""),"&amp;",""),"'",""),"(",""),")",""),"*",""),"+",""),",",""),"-",""),".",""),"/",""),":",""),";",""),"&lt;",""),"=",""),"&gt;",""),"?",""),"@",""),"[",""),"\",""),"]",""),"^",""),"_",""),"`",""),"{",""),"|",""),"}",""),"~",""),CHAR(9),""),CHAR(10),""),CHAR(13),"")," ",""),"")</f>
        <v/>
      </c>
      <c r="AU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21,23))," ",""),"!",""),CHAR(34),""),"#",""),"$",""),"%",""),"&amp;",""),"'",""),"(",""),")",""),"*",""),"+",""),",",""),"-",""),".",""),"/",""),":",""),";",""),"&lt;",""),"=",""),"&gt;",""),"?",""),"@",""),"[",""),"\",""),"]",""),"^",""),"_",""),"`",""),"{",""),"|",""),"}",""),"~",""),CHAR(9),""),CHAR(10),""),CHAR(13),"")," ",""),"")</f>
        <v/>
      </c>
      <c r="AV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21,24))," ",""),"!",""),CHAR(34),""),"#",""),"$",""),"%",""),"&amp;",""),"'",""),"(",""),")",""),"*",""),"+",""),",",""),"-",""),".",""),"/",""),":",""),";",""),"&lt;",""),"=",""),"&gt;",""),"?",""),"@",""),"[",""),"\",""),"]",""),"^",""),"_",""),"`",""),"{",""),"|",""),"}",""),"~",""),CHAR(9),""),CHAR(10),""),CHAR(13),"")," ",""),"")</f>
        <v/>
      </c>
      <c r="AW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21,25))," ",""),"!",""),CHAR(34),""),"#",""),"$",""),"%",""),"&amp;",""),"'",""),"(",""),")",""),"*",""),"+",""),",",""),"-",""),".",""),"/",""),":",""),";",""),"&lt;",""),"=",""),"&gt;",""),"?",""),"@",""),"[",""),"\",""),"]",""),"^",""),"_",""),"`",""),"{",""),"|",""),"}",""),"~",""),CHAR(9),""),CHAR(10),""),CHAR(13),"")," ",""),"")</f>
        <v/>
      </c>
      <c r="AX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21,26))," ",""),"!",""),CHAR(34),""),"#",""),"$",""),"%",""),"&amp;",""),"'",""),"(",""),")",""),"*",""),"+",""),",",""),"-",""),".",""),"/",""),":",""),";",""),"&lt;",""),"=",""),"&gt;",""),"?",""),"@",""),"[",""),"\",""),"]",""),"^",""),"_",""),"`",""),"{",""),"|",""),"}",""),"~",""),CHAR(9),""),CHAR(10),""),CHAR(13),"")," ",""),"")</f>
        <v/>
      </c>
      <c r="AY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21,27))," ",""),"!",""),CHAR(34),""),"#",""),"$",""),"%",""),"&amp;",""),"'",""),"(",""),")",""),"*",""),"+",""),",",""),"-",""),".",""),"/",""),":",""),";",""),"&lt;",""),"=",""),"&gt;",""),"?",""),"@",""),"[",""),"\",""),"]",""),"^",""),"_",""),"`",""),"{",""),"|",""),"}",""),"~",""),CHAR(9),""),CHAR(10),""),CHAR(13),"")," ",""),"")</f>
        <v/>
      </c>
      <c r="AZ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21,28))," ",""),"!",""),CHAR(34),""),"#",""),"$",""),"%",""),"&amp;",""),"'",""),"(",""),")",""),"*",""),"+",""),",",""),"-",""),".",""),"/",""),":",""),";",""),"&lt;",""),"=",""),"&gt;",""),"?",""),"@",""),"[",""),"\",""),"]",""),"^",""),"_",""),"`",""),"{",""),"|",""),"}",""),"~",""),CHAR(9),""),CHAR(10),""),CHAR(13),"")," ",""),"")</f>
        <v/>
      </c>
      <c r="BA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21,29))," ",""),"!",""),CHAR(34),""),"#",""),"$",""),"%",""),"&amp;",""),"'",""),"(",""),")",""),"*",""),"+",""),",",""),"-",""),".",""),"/",""),":",""),";",""),"&lt;",""),"=",""),"&gt;",""),"?",""),"@",""),"[",""),"\",""),"]",""),"^",""),"_",""),"`",""),"{",""),"|",""),"}",""),"~",""),CHAR(9),""),CHAR(10),""),CHAR(13),"")," ",""),"")</f>
        <v/>
      </c>
      <c r="BB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21,30))," ",""),"!",""),CHAR(34),""),"#",""),"$",""),"%",""),"&amp;",""),"'",""),"(",""),")",""),"*",""),"+",""),",",""),"-",""),".",""),"/",""),":",""),";",""),"&lt;",""),"=",""),"&gt;",""),"?",""),"@",""),"[",""),"\",""),"]",""),"^",""),"_",""),"`",""),"{",""),"|",""),"}",""),"~",""),CHAR(9),""),CHAR(10),""),CHAR(13),"")," ",""),"")</f>
        <v/>
      </c>
      <c r="BC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21,31))," ",""),"!",""),CHAR(34),""),"#",""),"$",""),"%",""),"&amp;",""),"'",""),"(",""),")",""),"*",""),"+",""),",",""),"-",""),".",""),"/",""),":",""),";",""),"&lt;",""),"=",""),"&gt;",""),"?",""),"@",""),"[",""),"\",""),"]",""),"^",""),"_",""),"`",""),"{",""),"|",""),"}",""),"~",""),CHAR(9),""),CHAR(10),""),CHAR(13),"")," ",""),"")</f>
        <v/>
      </c>
      <c r="BD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21,32))," ",""),"!",""),CHAR(34),""),"#",""),"$",""),"%",""),"&amp;",""),"'",""),"(",""),")",""),"*",""),"+",""),",",""),"-",""),".",""),"/",""),":",""),";",""),"&lt;",""),"=",""),"&gt;",""),"?",""),"@",""),"[",""),"\",""),"]",""),"^",""),"_",""),"`",""),"{",""),"|",""),"}",""),"~",""),CHAR(9),""),CHAR(10),""),CHAR(13),"")," ",""),"")</f>
        <v/>
      </c>
      <c r="BE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21,33))," ",""),"!",""),CHAR(34),""),"#",""),"$",""),"%",""),"&amp;",""),"'",""),"(",""),")",""),"*",""),"+",""),",",""),"-",""),".",""),"/",""),":",""),";",""),"&lt;",""),"=",""),"&gt;",""),"?",""),"@",""),"[",""),"\",""),"]",""),"^",""),"_",""),"`",""),"{",""),"|",""),"}",""),"~",""),CHAR(9),""),CHAR(10),""),CHAR(13),"")," ",""),"")</f>
        <v/>
      </c>
      <c r="BF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21,34))," ",""),"!",""),CHAR(34),""),"#",""),"$",""),"%",""),"&amp;",""),"'",""),"(",""),")",""),"*",""),"+",""),",",""),"-",""),".",""),"/",""),":",""),";",""),"&lt;",""),"=",""),"&gt;",""),"?",""),"@",""),"[",""),"\",""),"]",""),"^",""),"_",""),"`",""),"{",""),"|",""),"}",""),"~",""),CHAR(9),""),CHAR(10),""),CHAR(13),"")," ",""),"")</f>
        <v/>
      </c>
      <c r="BG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21,35))," ",""),"!",""),CHAR(34),""),"#",""),"$",""),"%",""),"&amp;",""),"'",""),"(",""),")",""),"*",""),"+",""),",",""),"-",""),".",""),"/",""),":",""),";",""),"&lt;",""),"=",""),"&gt;",""),"?",""),"@",""),"[",""),"\",""),"]",""),"^",""),"_",""),"`",""),"{",""),"|",""),"}",""),"~",""),CHAR(9),""),CHAR(10),""),CHAR(13),"")," ",""),"")</f>
        <v/>
      </c>
      <c r="BH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21,36))," ",""),"!",""),CHAR(34),""),"#",""),"$",""),"%",""),"&amp;",""),"'",""),"(",""),")",""),"*",""),"+",""),",",""),"-",""),".",""),"/",""),":",""),";",""),"&lt;",""),"=",""),"&gt;",""),"?",""),"@",""),"[",""),"\",""),"]",""),"^",""),"_",""),"`",""),"{",""),"|",""),"}",""),"~",""),CHAR(9),""),CHAR(10),""),CHAR(13),"")," ",""),"")</f>
        <v/>
      </c>
      <c r="BI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21,37))," ",""),"!",""),CHAR(34),""),"#",""),"$",""),"%",""),"&amp;",""),"'",""),"(",""),")",""),"*",""),"+",""),",",""),"-",""),".",""),"/",""),":",""),";",""),"&lt;",""),"=",""),"&gt;",""),"?",""),"@",""),"[",""),"\",""),"]",""),"^",""),"_",""),"`",""),"{",""),"|",""),"}",""),"~",""),CHAR(9),""),CHAR(10),""),CHAR(13),"")," ",""),"")</f>
        <v/>
      </c>
      <c r="BJ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21,38))," ",""),"!",""),CHAR(34),""),"#",""),"$",""),"%",""),"&amp;",""),"'",""),"(",""),")",""),"*",""),"+",""),",",""),"-",""),".",""),"/",""),":",""),";",""),"&lt;",""),"=",""),"&gt;",""),"?",""),"@",""),"[",""),"\",""),"]",""),"^",""),"_",""),"`",""),"{",""),"|",""),"}",""),"~",""),CHAR(9),""),CHAR(10),""),CHAR(13),"")," ",""),"")</f>
        <v/>
      </c>
      <c r="BK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21,39))," ",""),"!",""),CHAR(34),""),"#",""),"$",""),"%",""),"&amp;",""),"'",""),"(",""),")",""),"*",""),"+",""),",",""),"-",""),".",""),"/",""),":",""),";",""),"&lt;",""),"=",""),"&gt;",""),"?",""),"@",""),"[",""),"\",""),"]",""),"^",""),"_",""),"`",""),"{",""),"|",""),"}",""),"~",""),CHAR(9),""),CHAR(10),""),CHAR(13),"")," ",""),"")</f>
        <v/>
      </c>
      <c r="BL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21,40))," ",""),"!",""),CHAR(34),""),"#",""),"$",""),"%",""),"&amp;",""),"'",""),"(",""),")",""),"*",""),"+",""),",",""),"-",""),".",""),"/",""),":",""),";",""),"&lt;",""),"=",""),"&gt;",""),"?",""),"@",""),"[",""),"\",""),"]",""),"^",""),"_",""),"`",""),"{",""),"|",""),"}",""),"~",""),CHAR(9),""),CHAR(10),""),CHAR(13),"")," ",""),"")</f>
        <v/>
      </c>
      <c r="BM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21,41))," ",""),"!",""),CHAR(34),""),"#",""),"$",""),"%",""),"&amp;",""),"'",""),"(",""),")",""),"*",""),"+",""),",",""),"-",""),".",""),"/",""),":",""),";",""),"&lt;",""),"=",""),"&gt;",""),"?",""),"@",""),"[",""),"\",""),"]",""),"^",""),"_",""),"`",""),"{",""),"|",""),"}",""),"~",""),CHAR(9),""),CHAR(10),""),CHAR(13),"")," ",""),"")</f>
        <v/>
      </c>
      <c r="BN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21,42))," ",""),"!",""),CHAR(34),""),"#",""),"$",""),"%",""),"&amp;",""),"'",""),"(",""),")",""),"*",""),"+",""),",",""),"-",""),".",""),"/",""),":",""),";",""),"&lt;",""),"=",""),"&gt;",""),"?",""),"@",""),"[",""),"\",""),"]",""),"^",""),"_",""),"`",""),"{",""),"|",""),"}",""),"~",""),CHAR(9),""),CHAR(10),""),CHAR(13),"")," ",""),"")</f>
        <v/>
      </c>
      <c r="BO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21,43))," ",""),"!",""),CHAR(34),""),"#",""),"$",""),"%",""),"&amp;",""),"'",""),"(",""),")",""),"*",""),"+",""),",",""),"-",""),".",""),"/",""),":",""),";",""),"&lt;",""),"=",""),"&gt;",""),"?",""),"@",""),"[",""),"\",""),"]",""),"^",""),"_",""),"`",""),"{",""),"|",""),"}",""),"~",""),CHAR(9),""),CHAR(10),""),CHAR(13),"")," ",""),"")</f>
        <v/>
      </c>
      <c r="BP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21,44))," ",""),"!",""),CHAR(34),""),"#",""),"$",""),"%",""),"&amp;",""),"'",""),"(",""),")",""),"*",""),"+",""),",",""),"-",""),".",""),"/",""),":",""),";",""),"&lt;",""),"=",""),"&gt;",""),"?",""),"@",""),"[",""),"\",""),"]",""),"^",""),"_",""),"`",""),"{",""),"|",""),"}",""),"~",""),CHAR(9),""),CHAR(10),""),CHAR(13),"")," ",""),"")</f>
        <v/>
      </c>
      <c r="BQ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21,45))," ",""),"!",""),CHAR(34),""),"#",""),"$",""),"%",""),"&amp;",""),"'",""),"(",""),")",""),"*",""),"+",""),",",""),"-",""),".",""),"/",""),":",""),";",""),"&lt;",""),"=",""),"&gt;",""),"?",""),"@",""),"[",""),"\",""),"]",""),"^",""),"_",""),"`",""),"{",""),"|",""),"}",""),"~",""),CHAR(9),""),CHAR(10),""),CHAR(13),"")," ",""),"")</f>
        <v/>
      </c>
      <c r="BR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21,46))," ",""),"!",""),CHAR(34),""),"#",""),"$",""),"%",""),"&amp;",""),"'",""),"(",""),")",""),"*",""),"+",""),",",""),"-",""),".",""),"/",""),":",""),";",""),"&lt;",""),"=",""),"&gt;",""),"?",""),"@",""),"[",""),"\",""),"]",""),"^",""),"_",""),"`",""),"{",""),"|",""),"}",""),"~",""),CHAR(9),""),CHAR(10),""),CHAR(13),"")," ",""),"")</f>
        <v/>
      </c>
      <c r="BS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21,47))," ",""),"!",""),CHAR(34),""),"#",""),"$",""),"%",""),"&amp;",""),"'",""),"(",""),")",""),"*",""),"+",""),",",""),"-",""),".",""),"/",""),":",""),";",""),"&lt;",""),"=",""),"&gt;",""),"?",""),"@",""),"[",""),"\",""),"]",""),"^",""),"_",""),"`",""),"{",""),"|",""),"}",""),"~",""),CHAR(9),""),CHAR(10),""),CHAR(13),"")," ",""),"")</f>
        <v/>
      </c>
      <c r="BT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21,48))," ",""),"!",""),CHAR(34),""),"#",""),"$",""),"%",""),"&amp;",""),"'",""),"(",""),")",""),"*",""),"+",""),",",""),"-",""),".",""),"/",""),":",""),";",""),"&lt;",""),"=",""),"&gt;",""),"?",""),"@",""),"[",""),"\",""),"]",""),"^",""),"_",""),"`",""),"{",""),"|",""),"}",""),"~",""),CHAR(9),""),CHAR(10),""),CHAR(13),"")," ",""),"")</f>
        <v/>
      </c>
      <c r="BU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21,49))," ",""),"!",""),CHAR(34),""),"#",""),"$",""),"%",""),"&amp;",""),"'",""),"(",""),")",""),"*",""),"+",""),",",""),"-",""),".",""),"/",""),":",""),";",""),"&lt;",""),"=",""),"&gt;",""),"?",""),"@",""),"[",""),"\",""),"]",""),"^",""),"_",""),"`",""),"{",""),"|",""),"}",""),"~",""),CHAR(9),""),CHAR(10),""),CHAR(13),"")," ",""),"")</f>
        <v/>
      </c>
      <c r="BV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21,50))," ",""),"!",""),CHAR(34),""),"#",""),"$",""),"%",""),"&amp;",""),"'",""),"(",""),")",""),"*",""),"+",""),",",""),"-",""),".",""),"/",""),":",""),";",""),"&lt;",""),"=",""),"&gt;",""),"?",""),"@",""),"[",""),"\",""),"]",""),"^",""),"_",""),"`",""),"{",""),"|",""),"}",""),"~",""),CHAR(9),""),CHAR(10),""),CHAR(13),"")," ",""),"")</f>
        <v/>
      </c>
      <c r="BW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21,51))," ",""),"!",""),CHAR(34),""),"#",""),"$",""),"%",""),"&amp;",""),"'",""),"(",""),")",""),"*",""),"+",""),",",""),"-",""),".",""),"/",""),":",""),";",""),"&lt;",""),"=",""),"&gt;",""),"?",""),"@",""),"[",""),"\",""),"]",""),"^",""),"_",""),"`",""),"{",""),"|",""),"}",""),"~",""),CHAR(9),""),CHAR(10),""),CHAR(13),"")," ",""),"")</f>
        <v/>
      </c>
      <c r="BX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21,52))," ",""),"!",""),CHAR(34),""),"#",""),"$",""),"%",""),"&amp;",""),"'",""),"(",""),")",""),"*",""),"+",""),",",""),"-",""),".",""),"/",""),":",""),";",""),"&lt;",""),"=",""),"&gt;",""),"?",""),"@",""),"[",""),"\",""),"]",""),"^",""),"_",""),"`",""),"{",""),"|",""),"}",""),"~",""),CHAR(9),""),CHAR(10),""),CHAR(13),"")," ",""),"")</f>
        <v/>
      </c>
      <c r="BY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21,53))," ",""),"!",""),CHAR(34),""),"#",""),"$",""),"%",""),"&amp;",""),"'",""),"(",""),")",""),"*",""),"+",""),",",""),"-",""),".",""),"/",""),":",""),";",""),"&lt;",""),"=",""),"&gt;",""),"?",""),"@",""),"[",""),"\",""),"]",""),"^",""),"_",""),"`",""),"{",""),"|",""),"}",""),"~",""),CHAR(9),""),CHAR(10),""),CHAR(13),"")," ",""),"")</f>
        <v/>
      </c>
      <c r="BZ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21,54))," ",""),"!",""),CHAR(34),""),"#",""),"$",""),"%",""),"&amp;",""),"'",""),"(",""),")",""),"*",""),"+",""),",",""),"-",""),".",""),"/",""),":",""),";",""),"&lt;",""),"=",""),"&gt;",""),"?",""),"@",""),"[",""),"\",""),"]",""),"^",""),"_",""),"`",""),"{",""),"|",""),"}",""),"~",""),CHAR(9),""),CHAR(10),""),CHAR(13),"")," ",""),"")</f>
        <v/>
      </c>
      <c r="CA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21,55))," ",""),"!",""),CHAR(34),""),"#",""),"$",""),"%",""),"&amp;",""),"'",""),"(",""),")",""),"*",""),"+",""),",",""),"-",""),".",""),"/",""),":",""),";",""),"&lt;",""),"=",""),"&gt;",""),"?",""),"@",""),"[",""),"\",""),"]",""),"^",""),"_",""),"`",""),"{",""),"|",""),"}",""),"~",""),CHAR(9),""),CHAR(10),""),CHAR(13),"")," ",""),"")</f>
        <v/>
      </c>
      <c r="CB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21,56))," ",""),"!",""),CHAR(34),""),"#",""),"$",""),"%",""),"&amp;",""),"'",""),"(",""),")",""),"*",""),"+",""),",",""),"-",""),".",""),"/",""),":",""),";",""),"&lt;",""),"=",""),"&gt;",""),"?",""),"@",""),"[",""),"\",""),"]",""),"^",""),"_",""),"`",""),"{",""),"|",""),"}",""),"~",""),CHAR(9),""),CHAR(10),""),CHAR(13),"")," ",""),"")</f>
        <v/>
      </c>
      <c r="CC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21,57))," ",""),"!",""),CHAR(34),""),"#",""),"$",""),"%",""),"&amp;",""),"'",""),"(",""),")",""),"*",""),"+",""),",",""),"-",""),".",""),"/",""),":",""),";",""),"&lt;",""),"=",""),"&gt;",""),"?",""),"@",""),"[",""),"\",""),"]",""),"^",""),"_",""),"`",""),"{",""),"|",""),"}",""),"~",""),CHAR(9),""),CHAR(10),""),CHAR(13),"")," ",""),"")</f>
        <v/>
      </c>
      <c r="CD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21,58))," ",""),"!",""),CHAR(34),""),"#",""),"$",""),"%",""),"&amp;",""),"'",""),"(",""),")",""),"*",""),"+",""),",",""),"-",""),".",""),"/",""),":",""),";",""),"&lt;",""),"=",""),"&gt;",""),"?",""),"@",""),"[",""),"\",""),"]",""),"^",""),"_",""),"`",""),"{",""),"|",""),"}",""),"~",""),CHAR(9),""),CHAR(10),""),CHAR(13),"")," ",""),"")</f>
        <v/>
      </c>
      <c r="CE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21,59))," ",""),"!",""),CHAR(34),""),"#",""),"$",""),"%",""),"&amp;",""),"'",""),"(",""),")",""),"*",""),"+",""),",",""),"-",""),".",""),"/",""),":",""),";",""),"&lt;",""),"=",""),"&gt;",""),"?",""),"@",""),"[",""),"\",""),"]",""),"^",""),"_",""),"`",""),"{",""),"|",""),"}",""),"~",""),CHAR(9),""),CHAR(10),""),CHAR(13),"")," ",""),"")</f>
        <v/>
      </c>
      <c r="CF2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21,60))," ",""),"!",""),CHAR(34),""),"#",""),"$",""),"%",""),"&amp;",""),"'",""),"(",""),")",""),"*",""),"+",""),",",""),"-",""),".",""),"/",""),":",""),";",""),"&lt;",""),"=",""),"&gt;",""),"?",""),"@",""),"[",""),"\",""),"]",""),"^",""),"_",""),"`",""),"{",""),"|",""),"}",""),"~",""),CHAR(9),""),CHAR(10),""),CHAR(13),"")," ",""),"")</f>
        <v/>
      </c>
      <c r="CH25">
        <f>COUNTIF($Y70:$CF70,"&gt;0")</f>
        <v/>
      </c>
      <c r="CI25">
        <f>COUNTIF($Y70:$CF70,2)</f>
        <v/>
      </c>
      <c r="CJ25">
        <f>SUMPRODUCT((COUNTIF($Y115:$CF115,{1,2,3,4,5,6,7,8,9,10,11,12,13,14,15})&gt;0)*{2,4,8,16,32,64,128,256,512,1024,2048,4096,8192,16384,32768})</f>
        <v/>
      </c>
      <c r="CK25">
        <f>CF205</f>
        <v/>
      </c>
      <c r="CL25">
        <f>SUMPRODUCT(MOD(INT(((CJ25+CK25))/{2,4,8,16,32,64,128,256,512,1024,2048,4096,8192,16384,32768}),2))</f>
        <v/>
      </c>
      <c r="CM25">
        <f>IF(CH25&lt;2,-9999,CL25+2*MOD(INT(((CJ25+CK25))/2),2)+2*MOD(INT(((CJ25+CK25))/4),2)-CI25)</f>
        <v/>
      </c>
      <c r="DA25" t="n">
        <v>21</v>
      </c>
      <c r="DB25">
        <f>IF($B$37=0,"",IFERROR(TRIM(SUBSTITUTE(SUBSTITUTE(SUBSTITUTE(SUBSTITUTE(INDEX(PASTE_ALL,21,$B$37)," "," "),CHAR(9)," "),CHAR(10)," "),CHAR(13)," ")),""))</f>
        <v/>
      </c>
      <c r="DC25">
        <f>IF(AND(21&gt;HEADER_ROW,UPPER(DB25)="LEGEND"),1,0)</f>
        <v/>
      </c>
      <c r="DE25" t="n">
        <v>21</v>
      </c>
      <c r="DF25">
        <f>HEADER_ROW+$DE25</f>
        <v/>
      </c>
      <c r="DG25">
        <f>IF(AND($DF25&lt;=1000,$DF25&lt;$B$8),1,0)</f>
        <v/>
      </c>
      <c r="DH25">
        <f>IF($DG25=1,IFERROR(INDEX($DB$5:$DB$1004,$DF25),""),"")</f>
        <v/>
      </c>
      <c r="DI25">
        <f>IF(AND($DG25=1,$DH25&lt;&gt;""),IFERROR(SUBSTITUTE(SUBSTITUTE(TRIM(SUBSTITUTE(SUBSTITUTE(SUBSTITUTE(SUBSTITUTE(IFERROR(INDEX(PASTE_ALL,$DF25,1)&amp;"","")&amp;"␟"&amp;IFERROR(INDEX(PASTE_ALL,$DF25,2)&amp;"","")&amp;"␟"&amp;IFERROR(INDEX(PASTE_ALL,$DF25,3)&amp;"","")&amp;"␟"&amp;IFERROR(INDEX(PASTE_ALL,$DF25,4)&amp;"","")&amp;"␟"&amp;IFERROR(INDEX(PASTE_ALL,$DF25,5)&amp;"","")&amp;"␟"&amp;IFERROR(INDEX(PASTE_ALL,$DF25,6)&amp;"","")&amp;"␟"&amp;IFERROR(INDEX(PASTE_ALL,$DF25,7)&amp;"","")&amp;"␟"&amp;IFERROR(INDEX(PASTE_ALL,$DF25,8)&amp;"","")&amp;"␟"&amp;IFERROR(INDEX(PASTE_ALL,$DF25,9)&amp;"","")&amp;"␟"&amp;IFERROR(INDEX(PASTE_ALL,$DF25,10)&amp;"","")&amp;"␟"&amp;IFERROR(INDEX(PASTE_ALL,$DF25,11)&amp;"","")&amp;"␟"&amp;IFERROR(INDEX(PASTE_ALL,$DF25,12)&amp;"","")&amp;"␟"&amp;IFERROR(INDEX(PASTE_ALL,$DF25,13)&amp;"","")&amp;"␟"&amp;IFERROR(INDEX(PASTE_ALL,$DF25,14)&amp;"","")&amp;"␟"&amp;IFERROR(INDEX(PASTE_ALL,$DF25,15)&amp;"","")&amp;"␟"&amp;IFERROR(INDEX(PASTE_ALL,$DF25,16)&amp;"","")&amp;"␟"&amp;IFERROR(INDEX(PASTE_ALL,$DF25,17)&amp;"","")&amp;"␟"&amp;IFERROR(INDEX(PASTE_ALL,$DF25,18)&amp;"","")&amp;"␟"&amp;IFERROR(INDEX(PASTE_ALL,$DF25,19)&amp;"","")&amp;"␟"&amp;IFERROR(INDEX(PASTE_ALL,$DF25,20)&amp;"","")&amp;"␟"&amp;IFERROR(INDEX(PASTE_ALL,$DF25,21)&amp;"","")&amp;"␟"&amp;IFERROR(INDEX(PASTE_ALL,$DF25,22)&amp;"","")&amp;"␟"&amp;IFERROR(INDEX(PASTE_ALL,$DF25,23)&amp;"","")&amp;"␟"&amp;IFERROR(INDEX(PASTE_ALL,$DF25,24)&amp;"","")&amp;"␟"&amp;IFERROR(INDEX(PASTE_ALL,$DF25,25)&amp;"","")&amp;"␟"&amp;IFERROR(INDEX(PASTE_ALL,$DF25,26)&amp;"","")&amp;"␟"&amp;IFERROR(INDEX(PASTE_ALL,$DF25,27)&amp;"","")&amp;"␟"&amp;IFERROR(INDEX(PASTE_ALL,$DF25,28)&amp;"","")&amp;"␟"&amp;IFERROR(INDEX(PASTE_ALL,$DF25,29)&amp;"","")&amp;"␟"&amp;IFERROR(INDEX(PASTE_ALL,$DF25,30)&amp;"","")&amp;"␟"&amp;IFERROR(INDEX(PASTE_ALL,$DF25,31)&amp;"","")&amp;"␟"&amp;IFERROR(INDEX(PASTE_ALL,$DF25,32)&amp;"","")&amp;"␟"&amp;IFERROR(INDEX(PASTE_ALL,$DF25,33)&amp;"","")&amp;"␟"&amp;IFERROR(INDEX(PASTE_ALL,$DF25,34)&amp;"","")&amp;"␟"&amp;IFERROR(INDEX(PASTE_ALL,$DF25,35)&amp;"","")&amp;"␟"&amp;IFERROR(INDEX(PASTE_ALL,$DF25,36)&amp;"","")&amp;"␟"&amp;IFERROR(INDEX(PASTE_ALL,$DF25,37)&amp;"","")&amp;"␟"&amp;IFERROR(INDEX(PASTE_ALL,$DF25,38)&amp;"","")&amp;"␟"&amp;IFERROR(INDEX(PASTE_ALL,$DF25,39)&amp;"","")&amp;"␟"&amp;IFERROR(INDEX(PASTE_ALL,$DF25,40)&amp;"","")&amp;"␟"&amp;IFERROR(INDEX(PASTE_ALL,$DF25,41)&amp;"","")&amp;"␟"&amp;IFERROR(INDEX(PASTE_ALL,$DF25,42)&amp;"","")&amp;"␟"&amp;IFERROR(INDEX(PASTE_ALL,$DF25,43)&amp;"","")&amp;"␟"&amp;IFERROR(INDEX(PASTE_ALL,$DF25,44)&amp;"","")&amp;"␟"&amp;IFERROR(INDEX(PASTE_ALL,$DF25,45)&amp;"","")&amp;"␟"&amp;IFERROR(INDEX(PASTE_ALL,$DF25,46)&amp;"","")&amp;"␟"&amp;IFERROR(INDEX(PASTE_ALL,$DF25,47)&amp;"","")&amp;"␟"&amp;IFERROR(INDEX(PASTE_ALL,$DF25,48)&amp;"","")&amp;"␟"&amp;IFERROR(INDEX(PASTE_ALL,$DF25,49)&amp;"","")&amp;"␟"&amp;IFERROR(INDEX(PASTE_ALL,$DF25,50)&amp;"","")&amp;"␟"&amp;IFERROR(INDEX(PASTE_ALL,$DF25,51)&amp;"","")&amp;"␟"&amp;IFERROR(INDEX(PASTE_ALL,$DF25,52)&amp;"","")&amp;"␟"&amp;IFERROR(INDEX(PASTE_ALL,$DF25,53)&amp;"","")&amp;"␟"&amp;IFERROR(INDEX(PASTE_ALL,$DF25,54)&amp;"","")&amp;"␟"&amp;IFERROR(INDEX(PASTE_ALL,$DF25,55)&amp;"","")&amp;"␟"&amp;IFERROR(INDEX(PASTE_ALL,$DF25,56)&amp;"","")&amp;"␟"&amp;IFERROR(INDEX(PASTE_ALL,$DF25,57)&amp;"","")&amp;"␟"&amp;IFERROR(INDEX(PASTE_ALL,$DF25,58)&amp;"","")&amp;"␟"&amp;IFERROR(INDEX(PASTE_ALL,$DF25,59)&amp;"","")&amp;"␟"&amp;IFERROR(INDEX(PASTE_ALL,$DF25,60)&amp;"","")," "," "),CHAR(9)," "),CHAR(10)," "),CHAR(13)," "))," ␟","␟"),"␟ ","␟"),"#"&amp;$DE25),"")</f>
        <v/>
      </c>
      <c r="DJ25">
        <f>IF($DI25="",0,IF(SUMPRODUCT(--EXACT($DI$4:DI24,$DI25))&gt;0,1,0))</f>
        <v/>
      </c>
      <c r="DK25">
        <f>IF(AND($DI25&lt;&gt;"",$DJ25=0),1,0)</f>
        <v/>
      </c>
      <c r="DL25">
        <f>DL24+$DK25</f>
        <v/>
      </c>
      <c r="DM25">
        <f>IF(AND($DK25=1,$DL25&lt;=600),1,0)</f>
        <v/>
      </c>
      <c r="DN25">
        <f>IF($DM25=0,"",IF($L$6=0,"",IFERROR(IF(ISNUMBER(INDEX(PASTE_ALL,$DF25,$L$6)),INDEX(PASTE_ALL,$DF25,$L$6),TRIM(SUBSTITUTE(SUBSTITUTE(SUBSTITUTE(SUBSTITUTE(INDEX(PASTE_ALL,$DF25,$L$6)," "," "),CHAR(9)," "),CHAR(10)," "),CHAR(13)," "))),"")))</f>
        <v/>
      </c>
      <c r="DO25">
        <f>IF($DM25=0,"",IF($L$7=0,"",IFERROR(IF(ISNUMBER(INDEX(PASTE_ALL,$DF25,$L$7)),INDEX(PASTE_ALL,$DF25,$L$7),TRIM(SUBSTITUTE(SUBSTITUTE(SUBSTITUTE(SUBSTITUTE(INDEX(PASTE_ALL,$DF25,$L$7)," "," "),CHAR(9)," "),CHAR(10)," "),CHAR(13)," "))),"")))</f>
        <v/>
      </c>
      <c r="DP25">
        <f>IF($DM25=0,"",IF($L$8=0,"",IFERROR(IF(ISNUMBER(INDEX(PASTE_ALL,$DF25,$L$8)),INDEX(PASTE_ALL,$DF25,$L$8),TRIM(SUBSTITUTE(SUBSTITUTE(SUBSTITUTE(SUBSTITUTE(INDEX(PASTE_ALL,$DF25,$L$8)," "," "),CHAR(9)," "),CHAR(10)," "),CHAR(13)," "))),"")))</f>
        <v/>
      </c>
      <c r="DQ25">
        <f>IF($DM25=0,"",IF($L$9=0,"",IFERROR(IF(ISNUMBER(INDEX(PASTE_ALL,$DF25,$L$9)),INDEX(PASTE_ALL,$DF25,$L$9),TRIM(SUBSTITUTE(SUBSTITUTE(SUBSTITUTE(SUBSTITUTE(INDEX(PASTE_ALL,$DF25,$L$9)," "," "),CHAR(9)," "),CHAR(10)," "),CHAR(13)," "))),"")))</f>
        <v/>
      </c>
      <c r="DR25">
        <f>IF($DM25=0,"",IF($L$10=0,"",IFERROR(IF(ISNUMBER(INDEX(PASTE_ALL,$DF25,$L$10)),INDEX(PASTE_ALL,$DF25,$L$10),TRIM(SUBSTITUTE(SUBSTITUTE(SUBSTITUTE(SUBSTITUTE(INDEX(PASTE_ALL,$DF25,$L$10)," "," "),CHAR(9)," "),CHAR(10)," "),CHAR(13)," "))),"")))</f>
        <v/>
      </c>
      <c r="DS25">
        <f>IF($DM25=0,"",IF($L$11=0,"",IFERROR(IF(ISNUMBER(INDEX(PASTE_ALL,$DF25,$L$11)),INDEX(PASTE_ALL,$DF25,$L$11),TRIM(SUBSTITUTE(SUBSTITUTE(SUBSTITUTE(SUBSTITUTE(INDEX(PASTE_ALL,$DF25,$L$11)," "," "),CHAR(9)," "),CHAR(10)," "),CHAR(13)," "))),"")))</f>
        <v/>
      </c>
      <c r="DT25">
        <f>IF($DM25=0,"",IF($L$12=0,"",IFERROR(IF(ISNUMBER(INDEX(PASTE_ALL,$DF25,$L$12)),INDEX(PASTE_ALL,$DF25,$L$12),TRIM(SUBSTITUTE(SUBSTITUTE(SUBSTITUTE(SUBSTITUTE(INDEX(PASTE_ALL,$DF25,$L$12)," "," "),CHAR(9)," "),CHAR(10)," "),CHAR(13)," "))),"")))</f>
        <v/>
      </c>
      <c r="DU25">
        <f>IF($DM25=0,"",IF($L$13=0,"",IFERROR(IF(ISNUMBER(INDEX(PASTE_ALL,$DF25,$L$13)),INDEX(PASTE_ALL,$DF25,$L$13),TRIM(SUBSTITUTE(SUBSTITUTE(SUBSTITUTE(SUBSTITUTE(INDEX(PASTE_ALL,$DF25,$L$13)," "," "),CHAR(9)," "),CHAR(10)," "),CHAR(13)," "))),"")))</f>
        <v/>
      </c>
      <c r="DV25">
        <f>IF($DM25=0,"",IF($L$14=0,"",IFERROR(IF(ISNUMBER(INDEX(PASTE_ALL,$DF25,$L$14)),INDEX(PASTE_ALL,$DF25,$L$14),TRIM(SUBSTITUTE(SUBSTITUTE(SUBSTITUTE(SUBSTITUTE(INDEX(PASTE_ALL,$DF25,$L$14)," "," "),CHAR(9)," "),CHAR(10)," "),CHAR(13)," "))),"")))</f>
        <v/>
      </c>
      <c r="DW25">
        <f>IF($DM25=0,"",IF($L$15=0,"",IFERROR(IF(ISNUMBER(INDEX(PASTE_ALL,$DF25,$L$15)),INDEX(PASTE_ALL,$DF25,$L$15),IF(SUMPRODUCT(--ISNUMBER(FIND({"A","B","C","D","E","F","G","H","I","J","K","L","M","N","O","P","Q","R","S","T","U","V","W","X","Y","Z","0","1","2","3","4","5","6","7","8","9"},UPPER(TRIM(SUBSTITUTE(SUBSTITUTE(SUBSTITUTE(SUBSTITUTE(INDEX(PASTE_ALL,$DF25,$L$15)," "," "),CHAR(9)," "),CHAR(10)," "),CHAR(13)," "))))))&gt;0,TRIM(SUBSTITUTE(SUBSTITUTE(SUBSTITUTE(SUBSTITUTE(INDEX(PASTE_ALL,$DF25,$L$15)," "," "),CHAR(9)," "),CHAR(10)," "),CHAR(13)," ")),"")),"")))</f>
        <v/>
      </c>
      <c r="DX25">
        <f>IF($DM25=0,"",IF($L$16=0,"",IFERROR(IF(ISNUMBER(INDEX(PASTE_ALL,$DF25,$L$16)),INDEX(PASTE_ALL,$DF25,$L$16),SUBSTITUTE(SUBSTITUTE(TRIM(SUBSTITUTE(SUBSTITUTE(SUBSTITUTE(SUBSTITUTE(INDEX(PASTE_ALL,$DF25,$L$16)," "," "),CHAR(9)," "),CHAR(10)," "),CHAR(13)," ")),",",""),"%","")),"")))</f>
        <v/>
      </c>
      <c r="DY25">
        <f>IF($DM25=0,"",IFERROR(IF(ISNUMBER($DX25),$DX25,IF($DX25="","",IF(TRIM($DX25)="",0,IF(AND(AND(SUBSTITUTE(SUBSTITUTE(SUBSTITUTE(SUBSTITUTE(SUBSTITUTE(SUBSTITUTE(SUBSTITUTE(SUBSTITUTE(SUBSTITUTE(SUBSTITUTE(SUBSTITUTE(SUBSTITUTE(SUBSTITUTE(SUBSTITUTE(UPPER(TRIM($DX25)),"0",""),"1",""),"2",""),"3",""),"4",""),"5",""),"6",""),"7",""),"8",""),"9",""),".",""),"+",""),"-",""),"E","")="",LEN(SUBSTITUTE(SUBSTITUTE(MID(UPPER(TRIM($DX25)),1+OR(LEFT(UPPER(TRIM($DX25)),1)="+",LEFT(UPPER(TRIM($DX25)),1)="-"),999),"E+","E"),"E-","E"))=LEN(SUBSTITUTE(SUBSTITUTE(SUBSTITUTE(SUBSTITUTE(MID(UPPER(TRIM($DX25)),1+OR(LEFT(UPPER(TRIM($DX25)),1)="+",LEFT(UPPER(TRIM($DX25)),1)="-"),999),"E+","E"),"E-","E"),"+",""),"-","")),LEN(UPPER(TRIM($DX25)))-LEN(SUBSTITUTE(UPPER(TRIM($DX25)),"E",""))&lt;2,LEN(UPPER(TRIM($DX25)))-LEN(SUBSTITUTE(UPPER(TRIM($DX25)),".",""))&lt;2,IFERROR(FIND(".",UPPER(TRIM($DX25))),0)&lt;IFERROR(FIND("E",UPPER(TRIM($DX25))),999)),ISNUMBER(VALUE(TRIM($DX25)))),VALUE(TRIM($DX25)),"")))),""))</f>
        <v/>
      </c>
      <c r="DZ25">
        <f>IF($DM25=0,"",IF($L$17=0,"",IFERROR(IF(ISNUMBER(INDEX(PASTE_ALL,$DF25,$L$17)),INDEX(PASTE_ALL,$DF25,$L$17),SUBSTITUTE(SUBSTITUTE(TRIM(SUBSTITUTE(SUBSTITUTE(SUBSTITUTE(SUBSTITUTE(INDEX(PASTE_ALL,$DF25,$L$17)," "," "),CHAR(9)," "),CHAR(10)," "),CHAR(13)," ")),",",""),"%","")),"")))</f>
        <v/>
      </c>
      <c r="EA25">
        <f>IF($DM25=0,"",IFERROR(IF(ISNUMBER($DZ25),$DZ25,IF($DZ25="","",IF(TRIM($DZ25)="",0,IF(AND(AND(SUBSTITUTE(SUBSTITUTE(SUBSTITUTE(SUBSTITUTE(SUBSTITUTE(SUBSTITUTE(SUBSTITUTE(SUBSTITUTE(SUBSTITUTE(SUBSTITUTE(SUBSTITUTE(SUBSTITUTE(SUBSTITUTE(SUBSTITUTE(UPPER(TRIM($DZ25)),"0",""),"1",""),"2",""),"3",""),"4",""),"5",""),"6",""),"7",""),"8",""),"9",""),".",""),"+",""),"-",""),"E","")="",LEN(SUBSTITUTE(SUBSTITUTE(MID(UPPER(TRIM($DZ25)),1+OR(LEFT(UPPER(TRIM($DZ25)),1)="+",LEFT(UPPER(TRIM($DZ25)),1)="-"),999),"E+","E"),"E-","E"))=LEN(SUBSTITUTE(SUBSTITUTE(SUBSTITUTE(SUBSTITUTE(MID(UPPER(TRIM($DZ25)),1+OR(LEFT(UPPER(TRIM($DZ25)),1)="+",LEFT(UPPER(TRIM($DZ25)),1)="-"),999),"E+","E"),"E-","E"),"+",""),"-","")),LEN(UPPER(TRIM($DZ25)))-LEN(SUBSTITUTE(UPPER(TRIM($DZ25)),"E",""))&lt;2,LEN(UPPER(TRIM($DZ25)))-LEN(SUBSTITUTE(UPPER(TRIM($DZ25)),".",""))&lt;2,IFERROR(FIND(".",UPPER(TRIM($DZ25))),0)&lt;IFERROR(FIND("E",UPPER(TRIM($DZ25))),999)),ISNUMBER(VALUE(TRIM($DZ25)))),VALUE(TRIM($DZ25)),"")))),""))</f>
        <v/>
      </c>
      <c r="EB25">
        <f>IF($DM25=0,"",IF($L$18=0,"",IFERROR(IF(UPPER(TRIM(SUBSTITUTE(SUBSTITUTE(SUBSTITUTE(SUBSTITUTE(INDEX(PASTE_ALL,$DF25,$L$18)," "," "),CHAR(9)," "),CHAR(10)," "),CHAR(13)," ")))="READY","Ready",IF(UPPER(TRIM(SUBSTITUTE(SUBSTITUTE(SUBSTITUTE(SUBSTITUTE(INDEX(PASTE_ALL,$DF25,$L$18)," "," "),CHAR(9)," "),CHAR(10)," "),CHAR(13)," ")))="PM","PM",IF(OR(UPPER(TRIM(SUBSTITUTE(SUBSTITUTE(SUBSTITUTE(SUBSTITUTE(INDEX(PASTE_ALL,$DF25,$L$18)," "," "),CHAR(9)," "),CHAR(10)," "),CHAR(13)," ")))="OT",UPPER(TRIM(SUBSTITUTE(SUBSTITUTE(SUBSTITUTE(SUBSTITUTE(INDEX(PASTE_ALL,$DF25,$L$18)," "," "),CHAR(9)," "),CHAR(10)," "),CHAR(13)," ")))="OVERTIME",UPPER(TRIM(SUBSTITUTE(SUBSTITUTE(SUBSTITUTE(SUBSTITUTE(INDEX(PASTE_ALL,$DF25,$L$18)," "," "),CHAR(9)," "),CHAR(10)," "),CHAR(13)," ")))="TRIAL"),"OT",TRIM(SUBSTITUTE(SUBSTITUTE(SUBSTITUTE(SUBSTITUTE(INDEX(PASTE_ALL,$DF25,$L$18)," "," "),CHAR(9)," "),CHAR(10)," "),CHAR(13)," "))))),"")))</f>
        <v/>
      </c>
      <c r="EC25">
        <f>IF($DM25=0,"",IF($L$19=0,"",IFERROR(IF(ISNUMBER(INDEX(PASTE_ALL,$DF25,$L$19)),INDEX(PASTE_ALL,$DF25,$L$19),TRIM(SUBSTITUTE(SUBSTITUTE(SUBSTITUTE(SUBSTITUTE(INDEX(PASTE_ALL,$DF25,$L$19)," "," "),CHAR(9)," "),CHAR(10)," "),CHAR(13)," "))),"")))</f>
        <v/>
      </c>
      <c r="ED25">
        <f>IF($DM25=0,"",MATCH(1,INDEX(EXACT($DH$5:DH25,$DH25)*$DM$5:DM25,0),0))</f>
        <v/>
      </c>
      <c r="EE25">
        <f>IF($DM25=0,0,IF($ED25=$DE25,1,0))</f>
        <v/>
      </c>
      <c r="EF25">
        <f>EF24+$EE25</f>
        <v/>
      </c>
      <c r="EG25">
        <f>IF($DM25=0,"",INDEX($EF$5:$EF$1003,$ED25))</f>
        <v/>
      </c>
      <c r="EH25">
        <f>IF($DM25=0,"",IF($DO25&lt;&gt;"","",IFERROR(LOOKUP(2,1/(($EG$4:EG24=$EG25)*($DO$4:DO24&lt;&gt;"")),$DO$4:DO24),"")))</f>
        <v/>
      </c>
      <c r="EI25">
        <f>IF($DM25=0,"",IF($DO25&lt;&gt;"",$DO25,$EH25))</f>
        <v/>
      </c>
      <c r="EJ25">
        <f>IF($DM25=0,"",IF($EI25="",0,IF(OR(ISNUMBER($EI25),AND(AND(SUBSTITUTE(SUBSTITUTE(SUBSTITUTE(SUBSTITUTE(SUBSTITUTE(SUBSTITUTE(SUBSTITUTE(SUBSTITUTE(SUBSTITUTE(SUBSTITUTE(SUBSTITUTE(SUBSTITUTE(SUBSTITUTE(SUBSTITUTE(UPPER($EI25),"0",""),"1",""),"2",""),"3",""),"4",""),"5",""),"6",""),"7",""),"8",""),"9",""),".",""),"+",""),"-",""),"E","")="",LEN(SUBSTITUTE(SUBSTITUTE(MID(UPPER($EI25),1+OR(LEFT(UPPER($EI25),1)="+",LEFT(UPPER($EI25),1)="-"),999),"E+","E"),"E-","E"))=LEN(SUBSTITUTE(SUBSTITUTE(SUBSTITUTE(SUBSTITUTE(MID(UPPER($EI25),1+OR(LEFT(UPPER($EI25),1)="+",LEFT(UPPER($EI25),1)="-"),999),"E+","E"),"E-","E"),"+",""),"-","")),LEN(UPPER($EI25))-LEN(SUBSTITUTE(UPPER($EI25),"E",""))&lt;2,LEN(UPPER($EI25))-LEN(SUBSTITUTE(UPPER($EI25),".",""))&lt;2,IFERROR(FIND(".",UPPER($EI25)),0)&lt;IFERROR(FIND("E",UPPER($EI25)),999)),ISNUMBER(VALUE($EI25)))),1,2)))</f>
        <v/>
      </c>
      <c r="EK25">
        <f>IF($DM25=0,"",IF($EJ25=1,IF(ISNUMBER($EI25),$EI25,VALUE($EI25)),IF($EJ25=2,$DE25,0)))</f>
        <v/>
      </c>
      <c r="EL25">
        <f>IF($DM25=0,"",COUNTIF($EG$5:$EG$1003,"&lt;"&amp;$EG25)+SUMPRODUCT(($EG$5:$EG$1003=$EG25)*(($EJ$5:$EJ$1003&lt;$EJ25)+($EJ$5:$EJ$1003=$EJ25)*(($EK$5:$EK$1003&lt;$EK25)+($EK$5:$EK$1003=$EK25)*($DE$5:$DE$1003&lt;$DE25))))+1)</f>
        <v/>
      </c>
      <c r="EM25">
        <f>IF($DM25=0,"",$EL25+$EG25-1)</f>
        <v/>
      </c>
      <c r="EN25">
        <f>IF($DM25=0,0,IFERROR(MATCH(1,INDEX(--(TRIM(SUBSTITUTE(SUBSTITUTE(SUBSTITUTE(SUBSTITUTE(LINES_NAME&amp;""," "," "),CHAR(9)," "),CHAR(10)," "),CHAR(13)," "))=$DH25),0),0),0))</f>
        <v/>
      </c>
      <c r="EO25">
        <f>IF($EN25=0,0,IF(OR(UPPER(TRIM(INDEX(LINES_SCHEDULED,$EN25)&amp;""))="YES",UPPER(TRIM(INDEX(LINES_SCHEDULED,$EN25)&amp;""))="Y",UPPER(TRIM(INDEX(LINES_SCHEDULED,$EN25)&amp;""))="X"),1,0))</f>
        <v/>
      </c>
      <c r="EP25">
        <f>IF($DM25=0,"",IF(COUNTIFS($EG$5:$EG$1003,$EG25,$EB$5:$EB$1003,"Ready")&gt;0,"READY",IF(COUNTIFS($EG$5:$EG$1003,$EG25,$EB$5:$EB$1003,"PM")&gt;0,"PM",IF(COUNTIFS($EG$5:$EG$1003,$EG25,$EB$5:$EB$1003,"OT")&gt;0,"OT",""))))</f>
        <v/>
      </c>
      <c r="EQ25">
        <f>IF($EN25=0,"",UPPER(TRIM(INDEX(LINES_STATUS,$EN25)&amp;"")))</f>
        <v/>
      </c>
      <c r="ER25">
        <f>IF($DM25=0,"",IF(OR($EQ25="READY",$EQ25="PM",$EQ25="OT"),$EQ25,$EP25))</f>
        <v/>
      </c>
      <c r="ES25">
        <f>IF($DM25=0,"",IF(AND($DV25&lt;&gt;"",UPPER($DV25)&lt;&gt;"N"),"allergen",IF(ISNUMBER(SEARCH("oil",$DQ25)),"oil",IF(OR(EXACT($DS25,"A662"),EXACT($DS25,"A624")),"bulk",""))))</f>
        <v/>
      </c>
      <c r="ET25">
        <f>IF($DM25=0,"",IF(OR($EA25="",$EA25=0),"",$EA25/100))</f>
        <v/>
      </c>
      <c r="EU25">
        <f>IF(OR($ET25="",$DY25=""),"",INT($DY25*(1-$ET25)+0.5))</f>
        <v/>
      </c>
      <c r="EW25" t="n">
        <v>21</v>
      </c>
      <c r="EX25">
        <f>IFERROR(MATCH($EW25,$EM$5:$EM$1003,0),0)</f>
        <v/>
      </c>
      <c r="EY25">
        <f>IF($EW25&gt;$B$12,"",IF($EX25&gt;0,"row","spacer"))</f>
        <v/>
      </c>
      <c r="EZ25">
        <f>IF(AND($EY25="row",$EY24&lt;&gt;"row"),1,0)</f>
        <v/>
      </c>
      <c r="FA25">
        <f>IF(AND($EY25="row",$EY26&lt;&gt;"row"),1,0)</f>
        <v/>
      </c>
      <c r="FB25">
        <f>IF($EZ25=1,IFERROR(IF(ISNUMBER(INDEX(PASTE_ALL,INDEX($DF$5:$DF$1003,$EX25),$B$37)),INDEX(PASTE_ALL,INDEX($DF$5:$DF$1003,$EX25),$B$37),INDEX($DH$5:$DH$1003,$EX25)),INDEX($DH$5:$DH$1003,$EX25)),"")</f>
        <v/>
      </c>
      <c r="FC25">
        <f>IF($EY25="row",INDEX($ER$5:$ER$1003,$EX25),"")</f>
        <v/>
      </c>
      <c r="FD25">
        <f>IF($EY25="row",INDEX($DN$5:$DN$1003,$EX25),"")</f>
        <v/>
      </c>
      <c r="FE25">
        <f>IF($EY25="row",INDEX($DO$5:$DO$1003,$EX25),"")</f>
        <v/>
      </c>
      <c r="FF25">
        <f>IF($EY25="row",INDEX($DP$5:$DP$1003,$EX25),"")</f>
        <v/>
      </c>
      <c r="FG25">
        <f>IF($EY25="row",INDEX($DQ$5:$DQ$1003,$EX25),"")</f>
        <v/>
      </c>
      <c r="FH25">
        <f>IF($EY25="row",INDEX($DR$5:$DR$1003,$EX25),"")</f>
        <v/>
      </c>
      <c r="FI25">
        <f>IF($EY25="row",INDEX($DS$5:$DS$1003,$EX25),"")</f>
        <v/>
      </c>
      <c r="FJ25">
        <f>IF($EY25="row",INDEX($DT$5:$DT$1003,$EX25),"")</f>
        <v/>
      </c>
      <c r="FK25">
        <f>IF($EY25="row",INDEX($DU$5:$DU$1003,$EX25),"")</f>
        <v/>
      </c>
      <c r="FL25">
        <f>IF($EY25="row",INDEX($DV$5:$DV$1003,$EX25),"")</f>
        <v/>
      </c>
      <c r="FM25">
        <f>IF($EY25="row",INDEX($DW$5:$DW$1003,$EX25),"")</f>
        <v/>
      </c>
      <c r="FN25">
        <f>IF($EY25="row",INDEX($DY$5:$DY$1003,$EX25),"")</f>
        <v/>
      </c>
      <c r="FO25">
        <f>IF($EY25="row",INDEX($EA$5:$EA$1003,$EX25),"")</f>
        <v/>
      </c>
      <c r="FP25">
        <f>IF($EY25="row",INDEX($EC$5:$EC$1003,$EX25),"")</f>
        <v/>
      </c>
      <c r="FQ25">
        <f>IF($EY25="row",INDEX($ET$5:$ET$1003,$EX25),"")</f>
        <v/>
      </c>
      <c r="FR25">
        <f>IF($EY25="row",INDEX($EU$5:$EU$1003,$EX25),"")</f>
        <v/>
      </c>
      <c r="FS25">
        <f>IF(AND($EY25="row",$EY24="row"),IF(OR(INDEX($DT$5:$DT$1003,$EX24)="",INDEX($DT$5:$DT$1003,$EX25)=""),"",IF(NOT(EXACT(INDEX($DT$5:$DT$1003,$EX24),INDEX($DT$5:$DT$1003,$EX25))),"S4",IF(NOT(EXACT(INDEX($DS$5:$DS$1003,$EX24),INDEX($DS$5:$DS$1003,$EX25))),"S3",IF(NOT(EXACT(INDEX($DR$5:$DR$1003,$EX24),INDEX($DR$5:$DR$1003,$EX25))),"S1 Count Change","S1")))),"")</f>
        <v/>
      </c>
      <c r="FT25">
        <f>IF($EY25="row",INDEX($ES$5:$ES$1003,$EX25),"")</f>
        <v/>
      </c>
      <c r="FU25">
        <f>IF($EY25="row",INDEX($EO$5:$EO$1003,$EX25),0)</f>
        <v/>
      </c>
      <c r="FV25">
        <f>IF($FS25="S1 Count Change",1,0)</f>
        <v/>
      </c>
      <c r="FX25" t="n">
        <v>21</v>
      </c>
      <c r="FY25">
        <f>IFERROR(MATCH($FX25,$EF$5:$EF$1003,0),0)</f>
        <v/>
      </c>
      <c r="FZ25">
        <f>IF($FY25=0,"",INDEX($DH$5:$DH$1003,$FY25))</f>
        <v/>
      </c>
      <c r="GA25">
        <f>IF($FY25=0,"",COUNTIF($EG$5:$EG$1003,$FX25))</f>
        <v/>
      </c>
      <c r="GB25">
        <f>IF($FY25=0,"",INDEX($ER$5:$ER$1003,$FY25))</f>
        <v/>
      </c>
      <c r="GC25">
        <f>IF($FY25=0,"",IF(INDEX($EO$5:$EO$1003,$FY25)=1,"Yes",""))</f>
        <v/>
      </c>
      <c r="GD25">
        <f>IF($FY25=0,"",IF(INDEX($EN$5:$EN$1003,$FY25)&gt;0,"","NOT IN YOUR LIST - type it in column A to tick it"))</f>
        <v/>
      </c>
      <c r="GE25">
        <f>IF(AND($FY25&gt;0,$GD25&lt;&gt;""),1,0)</f>
        <v/>
      </c>
      <c r="GF25">
        <f>GF24+$GE25</f>
        <v/>
      </c>
      <c r="GG25">
        <f>IFERROR(INDEX($FZ$5:$FZ$104,MATCH($FX25,$GF$5:$GF$104,0)),"")</f>
        <v/>
      </c>
    </row>
    <row r="26">
      <c r="A26" t="inlineStr">
        <is>
          <t>1. Paste Schedule empty</t>
        </is>
      </c>
      <c r="B26">
        <f>IFERROR(IF(COUNTIF(INDEX(PASTE_ALL,1,1):INDEX(PASTE_ALL,1000,60),"&lt;&gt;")=0,1,0),0)</f>
        <v/>
      </c>
      <c r="S26" t="n">
        <v>22</v>
      </c>
      <c r="T26" t="inlineStr">
        <is>
          <t>V</t>
        </is>
      </c>
      <c r="V26" t="inlineStr">
        <is>
          <t>STEP</t>
        </is>
      </c>
      <c r="W26" t="n">
        <v>3</v>
      </c>
      <c r="Y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 ",""),"!",""),CHAR(34),""),"#",""),"$",""),"%",""),"&amp;",""),"'",""),"(",""),")",""),"*",""),"+",""),",",""),"-",""),".",""),"/",""),":",""),";",""),"&lt;",""),"=",""),"&gt;",""),"?",""),"@",""),"[",""),"\",""),"]",""),"^",""),"_",""),"`",""),"{",""),"|",""),"}",""),"~",""),CHAR(9),""),CHAR(10),""),CHAR(13),"")," ",""),"")</f>
        <v/>
      </c>
      <c r="Z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 ",""),"!",""),CHAR(34),""),"#",""),"$",""),"%",""),"&amp;",""),"'",""),"(",""),")",""),"*",""),"+",""),",",""),"-",""),".",""),"/",""),":",""),";",""),"&lt;",""),"=",""),"&gt;",""),"?",""),"@",""),"[",""),"\",""),"]",""),"^",""),"_",""),"`",""),"{",""),"|",""),"}",""),"~",""),CHAR(9),""),CHAR(10),""),CHAR(13),"")," ",""),"")</f>
        <v/>
      </c>
      <c r="AA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 ",""),"!",""),CHAR(34),""),"#",""),"$",""),"%",""),"&amp;",""),"'",""),"(",""),")",""),"*",""),"+",""),",",""),"-",""),".",""),"/",""),":",""),";",""),"&lt;",""),"=",""),"&gt;",""),"?",""),"@",""),"[",""),"\",""),"]",""),"^",""),"_",""),"`",""),"{",""),"|",""),"}",""),"~",""),CHAR(9),""),CHAR(10),""),CHAR(13),"")," ",""),"")</f>
        <v/>
      </c>
      <c r="AB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 ",""),"!",""),CHAR(34),""),"#",""),"$",""),"%",""),"&amp;",""),"'",""),"(",""),")",""),"*",""),"+",""),",",""),"-",""),".",""),"/",""),":",""),";",""),"&lt;",""),"=",""),"&gt;",""),"?",""),"@",""),"[",""),"\",""),"]",""),"^",""),"_",""),"`",""),"{",""),"|",""),"}",""),"~",""),CHAR(9),""),CHAR(10),""),CHAR(13),"")," ",""),"")</f>
        <v/>
      </c>
      <c r="AC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 ",""),"!",""),CHAR(34),""),"#",""),"$",""),"%",""),"&amp;",""),"'",""),"(",""),")",""),"*",""),"+",""),",",""),"-",""),".",""),"/",""),":",""),";",""),"&lt;",""),"=",""),"&gt;",""),"?",""),"@",""),"[",""),"\",""),"]",""),"^",""),"_",""),"`",""),"{",""),"|",""),"}",""),"~",""),CHAR(9),""),CHAR(10),""),CHAR(13),"")," ",""),"")</f>
        <v/>
      </c>
      <c r="AD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22,6))," ",""),"!",""),CHAR(34),""),"#",""),"$",""),"%",""),"&amp;",""),"'",""),"(",""),")",""),"*",""),"+",""),",",""),"-",""),".",""),"/",""),":",""),";",""),"&lt;",""),"=",""),"&gt;",""),"?",""),"@",""),"[",""),"\",""),"]",""),"^",""),"_",""),"`",""),"{",""),"|",""),"}",""),"~",""),CHAR(9),""),CHAR(10),""),CHAR(13),"")," ",""),"")</f>
        <v/>
      </c>
      <c r="AE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22,7))," ",""),"!",""),CHAR(34),""),"#",""),"$",""),"%",""),"&amp;",""),"'",""),"(",""),")",""),"*",""),"+",""),",",""),"-",""),".",""),"/",""),":",""),";",""),"&lt;",""),"=",""),"&gt;",""),"?",""),"@",""),"[",""),"\",""),"]",""),"^",""),"_",""),"`",""),"{",""),"|",""),"}",""),"~",""),CHAR(9),""),CHAR(10),""),CHAR(13),"")," ",""),"")</f>
        <v/>
      </c>
      <c r="AF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22,8))," ",""),"!",""),CHAR(34),""),"#",""),"$",""),"%",""),"&amp;",""),"'",""),"(",""),")",""),"*",""),"+",""),",",""),"-",""),".",""),"/",""),":",""),";",""),"&lt;",""),"=",""),"&gt;",""),"?",""),"@",""),"[",""),"\",""),"]",""),"^",""),"_",""),"`",""),"{",""),"|",""),"}",""),"~",""),CHAR(9),""),CHAR(10),""),CHAR(13),"")," ",""),"")</f>
        <v/>
      </c>
      <c r="AG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22,9))," ",""),"!",""),CHAR(34),""),"#",""),"$",""),"%",""),"&amp;",""),"'",""),"(",""),")",""),"*",""),"+",""),",",""),"-",""),".",""),"/",""),":",""),";",""),"&lt;",""),"=",""),"&gt;",""),"?",""),"@",""),"[",""),"\",""),"]",""),"^",""),"_",""),"`",""),"{",""),"|",""),"}",""),"~",""),CHAR(9),""),CHAR(10),""),CHAR(13),"")," ",""),"")</f>
        <v/>
      </c>
      <c r="AH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22,10))," ",""),"!",""),CHAR(34),""),"#",""),"$",""),"%",""),"&amp;",""),"'",""),"(",""),")",""),"*",""),"+",""),",",""),"-",""),".",""),"/",""),":",""),";",""),"&lt;",""),"=",""),"&gt;",""),"?",""),"@",""),"[",""),"\",""),"]",""),"^",""),"_",""),"`",""),"{",""),"|",""),"}",""),"~",""),CHAR(9),""),CHAR(10),""),CHAR(13),"")," ",""),"")</f>
        <v/>
      </c>
      <c r="AI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22,11))," ",""),"!",""),CHAR(34),""),"#",""),"$",""),"%",""),"&amp;",""),"'",""),"(",""),")",""),"*",""),"+",""),",",""),"-",""),".",""),"/",""),":",""),";",""),"&lt;",""),"=",""),"&gt;",""),"?",""),"@",""),"[",""),"\",""),"]",""),"^",""),"_",""),"`",""),"{",""),"|",""),"}",""),"~",""),CHAR(9),""),CHAR(10),""),CHAR(13),"")," ",""),"")</f>
        <v/>
      </c>
      <c r="AJ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22,12))," ",""),"!",""),CHAR(34),""),"#",""),"$",""),"%",""),"&amp;",""),"'",""),"(",""),")",""),"*",""),"+",""),",",""),"-",""),".",""),"/",""),":",""),";",""),"&lt;",""),"=",""),"&gt;",""),"?",""),"@",""),"[",""),"\",""),"]",""),"^",""),"_",""),"`",""),"{",""),"|",""),"}",""),"~",""),CHAR(9),""),CHAR(10),""),CHAR(13),"")," ",""),"")</f>
        <v/>
      </c>
      <c r="AK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22,13))," ",""),"!",""),CHAR(34),""),"#",""),"$",""),"%",""),"&amp;",""),"'",""),"(",""),")",""),"*",""),"+",""),",",""),"-",""),".",""),"/",""),":",""),";",""),"&lt;",""),"=",""),"&gt;",""),"?",""),"@",""),"[",""),"\",""),"]",""),"^",""),"_",""),"`",""),"{",""),"|",""),"}",""),"~",""),CHAR(9),""),CHAR(10),""),CHAR(13),"")," ",""),"")</f>
        <v/>
      </c>
      <c r="AL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22,14))," ",""),"!",""),CHAR(34),""),"#",""),"$",""),"%",""),"&amp;",""),"'",""),"(",""),")",""),"*",""),"+",""),",",""),"-",""),".",""),"/",""),":",""),";",""),"&lt;",""),"=",""),"&gt;",""),"?",""),"@",""),"[",""),"\",""),"]",""),"^",""),"_",""),"`",""),"{",""),"|",""),"}",""),"~",""),CHAR(9),""),CHAR(10),""),CHAR(13),"")," ",""),"")</f>
        <v/>
      </c>
      <c r="AM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22,15))," ",""),"!",""),CHAR(34),""),"#",""),"$",""),"%",""),"&amp;",""),"'",""),"(",""),")",""),"*",""),"+",""),",",""),"-",""),".",""),"/",""),":",""),";",""),"&lt;",""),"=",""),"&gt;",""),"?",""),"@",""),"[",""),"\",""),"]",""),"^",""),"_",""),"`",""),"{",""),"|",""),"}",""),"~",""),CHAR(9),""),CHAR(10),""),CHAR(13),"")," ",""),"")</f>
        <v/>
      </c>
      <c r="AN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22,16))," ",""),"!",""),CHAR(34),""),"#",""),"$",""),"%",""),"&amp;",""),"'",""),"(",""),")",""),"*",""),"+",""),",",""),"-",""),".",""),"/",""),":",""),";",""),"&lt;",""),"=",""),"&gt;",""),"?",""),"@",""),"[",""),"\",""),"]",""),"^",""),"_",""),"`",""),"{",""),"|",""),"}",""),"~",""),CHAR(9),""),CHAR(10),""),CHAR(13),"")," ",""),"")</f>
        <v/>
      </c>
      <c r="AO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22,17))," ",""),"!",""),CHAR(34),""),"#",""),"$",""),"%",""),"&amp;",""),"'",""),"(",""),")",""),"*",""),"+",""),",",""),"-",""),".",""),"/",""),":",""),";",""),"&lt;",""),"=",""),"&gt;",""),"?",""),"@",""),"[",""),"\",""),"]",""),"^",""),"_",""),"`",""),"{",""),"|",""),"}",""),"~",""),CHAR(9),""),CHAR(10),""),CHAR(13),"")," ",""),"")</f>
        <v/>
      </c>
      <c r="AP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22,18))," ",""),"!",""),CHAR(34),""),"#",""),"$",""),"%",""),"&amp;",""),"'",""),"(",""),")",""),"*",""),"+",""),",",""),"-",""),".",""),"/",""),":",""),";",""),"&lt;",""),"=",""),"&gt;",""),"?",""),"@",""),"[",""),"\",""),"]",""),"^",""),"_",""),"`",""),"{",""),"|",""),"}",""),"~",""),CHAR(9),""),CHAR(10),""),CHAR(13),"")," ",""),"")</f>
        <v/>
      </c>
      <c r="AQ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22,19))," ",""),"!",""),CHAR(34),""),"#",""),"$",""),"%",""),"&amp;",""),"'",""),"(",""),")",""),"*",""),"+",""),",",""),"-",""),".",""),"/",""),":",""),";",""),"&lt;",""),"=",""),"&gt;",""),"?",""),"@",""),"[",""),"\",""),"]",""),"^",""),"_",""),"`",""),"{",""),"|",""),"}",""),"~",""),CHAR(9),""),CHAR(10),""),CHAR(13),"")," ",""),"")</f>
        <v/>
      </c>
      <c r="AR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22,20))," ",""),"!",""),CHAR(34),""),"#",""),"$",""),"%",""),"&amp;",""),"'",""),"(",""),")",""),"*",""),"+",""),",",""),"-",""),".",""),"/",""),":",""),";",""),"&lt;",""),"=",""),"&gt;",""),"?",""),"@",""),"[",""),"\",""),"]",""),"^",""),"_",""),"`",""),"{",""),"|",""),"}",""),"~",""),CHAR(9),""),CHAR(10),""),CHAR(13),"")," ",""),"")</f>
        <v/>
      </c>
      <c r="AS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22,21))," ",""),"!",""),CHAR(34),""),"#",""),"$",""),"%",""),"&amp;",""),"'",""),"(",""),")",""),"*",""),"+",""),",",""),"-",""),".",""),"/",""),":",""),";",""),"&lt;",""),"=",""),"&gt;",""),"?",""),"@",""),"[",""),"\",""),"]",""),"^",""),"_",""),"`",""),"{",""),"|",""),"}",""),"~",""),CHAR(9),""),CHAR(10),""),CHAR(13),"")," ",""),"")</f>
        <v/>
      </c>
      <c r="AT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22,22))," ",""),"!",""),CHAR(34),""),"#",""),"$",""),"%",""),"&amp;",""),"'",""),"(",""),")",""),"*",""),"+",""),",",""),"-",""),".",""),"/",""),":",""),";",""),"&lt;",""),"=",""),"&gt;",""),"?",""),"@",""),"[",""),"\",""),"]",""),"^",""),"_",""),"`",""),"{",""),"|",""),"}",""),"~",""),CHAR(9),""),CHAR(10),""),CHAR(13),"")," ",""),"")</f>
        <v/>
      </c>
      <c r="AU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22,23))," ",""),"!",""),CHAR(34),""),"#",""),"$",""),"%",""),"&amp;",""),"'",""),"(",""),")",""),"*",""),"+",""),",",""),"-",""),".",""),"/",""),":",""),";",""),"&lt;",""),"=",""),"&gt;",""),"?",""),"@",""),"[",""),"\",""),"]",""),"^",""),"_",""),"`",""),"{",""),"|",""),"}",""),"~",""),CHAR(9),""),CHAR(10),""),CHAR(13),"")," ",""),"")</f>
        <v/>
      </c>
      <c r="AV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22,24))," ",""),"!",""),CHAR(34),""),"#",""),"$",""),"%",""),"&amp;",""),"'",""),"(",""),")",""),"*",""),"+",""),",",""),"-",""),".",""),"/",""),":",""),";",""),"&lt;",""),"=",""),"&gt;",""),"?",""),"@",""),"[",""),"\",""),"]",""),"^",""),"_",""),"`",""),"{",""),"|",""),"}",""),"~",""),CHAR(9),""),CHAR(10),""),CHAR(13),"")," ",""),"")</f>
        <v/>
      </c>
      <c r="AW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22,25))," ",""),"!",""),CHAR(34),""),"#",""),"$",""),"%",""),"&amp;",""),"'",""),"(",""),")",""),"*",""),"+",""),",",""),"-",""),".",""),"/",""),":",""),";",""),"&lt;",""),"=",""),"&gt;",""),"?",""),"@",""),"[",""),"\",""),"]",""),"^",""),"_",""),"`",""),"{",""),"|",""),"}",""),"~",""),CHAR(9),""),CHAR(10),""),CHAR(13),"")," ",""),"")</f>
        <v/>
      </c>
      <c r="AX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22,26))," ",""),"!",""),CHAR(34),""),"#",""),"$",""),"%",""),"&amp;",""),"'",""),"(",""),")",""),"*",""),"+",""),",",""),"-",""),".",""),"/",""),":",""),";",""),"&lt;",""),"=",""),"&gt;",""),"?",""),"@",""),"[",""),"\",""),"]",""),"^",""),"_",""),"`",""),"{",""),"|",""),"}",""),"~",""),CHAR(9),""),CHAR(10),""),CHAR(13),"")," ",""),"")</f>
        <v/>
      </c>
      <c r="AY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22,27))," ",""),"!",""),CHAR(34),""),"#",""),"$",""),"%",""),"&amp;",""),"'",""),"(",""),")",""),"*",""),"+",""),",",""),"-",""),".",""),"/",""),":",""),";",""),"&lt;",""),"=",""),"&gt;",""),"?",""),"@",""),"[",""),"\",""),"]",""),"^",""),"_",""),"`",""),"{",""),"|",""),"}",""),"~",""),CHAR(9),""),CHAR(10),""),CHAR(13),"")," ",""),"")</f>
        <v/>
      </c>
      <c r="AZ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22,28))," ",""),"!",""),CHAR(34),""),"#",""),"$",""),"%",""),"&amp;",""),"'",""),"(",""),")",""),"*",""),"+",""),",",""),"-",""),".",""),"/",""),":",""),";",""),"&lt;",""),"=",""),"&gt;",""),"?",""),"@",""),"[",""),"\",""),"]",""),"^",""),"_",""),"`",""),"{",""),"|",""),"}",""),"~",""),CHAR(9),""),CHAR(10),""),CHAR(13),"")," ",""),"")</f>
        <v/>
      </c>
      <c r="BA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22,29))," ",""),"!",""),CHAR(34),""),"#",""),"$",""),"%",""),"&amp;",""),"'",""),"(",""),")",""),"*",""),"+",""),",",""),"-",""),".",""),"/",""),":",""),";",""),"&lt;",""),"=",""),"&gt;",""),"?",""),"@",""),"[",""),"\",""),"]",""),"^",""),"_",""),"`",""),"{",""),"|",""),"}",""),"~",""),CHAR(9),""),CHAR(10),""),CHAR(13),"")," ",""),"")</f>
        <v/>
      </c>
      <c r="BB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22,30))," ",""),"!",""),CHAR(34),""),"#",""),"$",""),"%",""),"&amp;",""),"'",""),"(",""),")",""),"*",""),"+",""),",",""),"-",""),".",""),"/",""),":",""),";",""),"&lt;",""),"=",""),"&gt;",""),"?",""),"@",""),"[",""),"\",""),"]",""),"^",""),"_",""),"`",""),"{",""),"|",""),"}",""),"~",""),CHAR(9),""),CHAR(10),""),CHAR(13),"")," ",""),"")</f>
        <v/>
      </c>
      <c r="BC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22,31))," ",""),"!",""),CHAR(34),""),"#",""),"$",""),"%",""),"&amp;",""),"'",""),"(",""),")",""),"*",""),"+",""),",",""),"-",""),".",""),"/",""),":",""),";",""),"&lt;",""),"=",""),"&gt;",""),"?",""),"@",""),"[",""),"\",""),"]",""),"^",""),"_",""),"`",""),"{",""),"|",""),"}",""),"~",""),CHAR(9),""),CHAR(10),""),CHAR(13),"")," ",""),"")</f>
        <v/>
      </c>
      <c r="BD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22,32))," ",""),"!",""),CHAR(34),""),"#",""),"$",""),"%",""),"&amp;",""),"'",""),"(",""),")",""),"*",""),"+",""),",",""),"-",""),".",""),"/",""),":",""),";",""),"&lt;",""),"=",""),"&gt;",""),"?",""),"@",""),"[",""),"\",""),"]",""),"^",""),"_",""),"`",""),"{",""),"|",""),"}",""),"~",""),CHAR(9),""),CHAR(10),""),CHAR(13),"")," ",""),"")</f>
        <v/>
      </c>
      <c r="BE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22,33))," ",""),"!",""),CHAR(34),""),"#",""),"$",""),"%",""),"&amp;",""),"'",""),"(",""),")",""),"*",""),"+",""),",",""),"-",""),".",""),"/",""),":",""),";",""),"&lt;",""),"=",""),"&gt;",""),"?",""),"@",""),"[",""),"\",""),"]",""),"^",""),"_",""),"`",""),"{",""),"|",""),"}",""),"~",""),CHAR(9),""),CHAR(10),""),CHAR(13),"")," ",""),"")</f>
        <v/>
      </c>
      <c r="BF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22,34))," ",""),"!",""),CHAR(34),""),"#",""),"$",""),"%",""),"&amp;",""),"'",""),"(",""),")",""),"*",""),"+",""),",",""),"-",""),".",""),"/",""),":",""),";",""),"&lt;",""),"=",""),"&gt;",""),"?",""),"@",""),"[",""),"\",""),"]",""),"^",""),"_",""),"`",""),"{",""),"|",""),"}",""),"~",""),CHAR(9),""),CHAR(10),""),CHAR(13),"")," ",""),"")</f>
        <v/>
      </c>
      <c r="BG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22,35))," ",""),"!",""),CHAR(34),""),"#",""),"$",""),"%",""),"&amp;",""),"'",""),"(",""),")",""),"*",""),"+",""),",",""),"-",""),".",""),"/",""),":",""),";",""),"&lt;",""),"=",""),"&gt;",""),"?",""),"@",""),"[",""),"\",""),"]",""),"^",""),"_",""),"`",""),"{",""),"|",""),"}",""),"~",""),CHAR(9),""),CHAR(10),""),CHAR(13),"")," ",""),"")</f>
        <v/>
      </c>
      <c r="BH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22,36))," ",""),"!",""),CHAR(34),""),"#",""),"$",""),"%",""),"&amp;",""),"'",""),"(",""),")",""),"*",""),"+",""),",",""),"-",""),".",""),"/",""),":",""),";",""),"&lt;",""),"=",""),"&gt;",""),"?",""),"@",""),"[",""),"\",""),"]",""),"^",""),"_",""),"`",""),"{",""),"|",""),"}",""),"~",""),CHAR(9),""),CHAR(10),""),CHAR(13),"")," ",""),"")</f>
        <v/>
      </c>
      <c r="BI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22,37))," ",""),"!",""),CHAR(34),""),"#",""),"$",""),"%",""),"&amp;",""),"'",""),"(",""),")",""),"*",""),"+",""),",",""),"-",""),".",""),"/",""),":",""),";",""),"&lt;",""),"=",""),"&gt;",""),"?",""),"@",""),"[",""),"\",""),"]",""),"^",""),"_",""),"`",""),"{",""),"|",""),"}",""),"~",""),CHAR(9),""),CHAR(10),""),CHAR(13),"")," ",""),"")</f>
        <v/>
      </c>
      <c r="BJ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22,38))," ",""),"!",""),CHAR(34),""),"#",""),"$",""),"%",""),"&amp;",""),"'",""),"(",""),")",""),"*",""),"+",""),",",""),"-",""),".",""),"/",""),":",""),";",""),"&lt;",""),"=",""),"&gt;",""),"?",""),"@",""),"[",""),"\",""),"]",""),"^",""),"_",""),"`",""),"{",""),"|",""),"}",""),"~",""),CHAR(9),""),CHAR(10),""),CHAR(13),"")," ",""),"")</f>
        <v/>
      </c>
      <c r="BK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22,39))," ",""),"!",""),CHAR(34),""),"#",""),"$",""),"%",""),"&amp;",""),"'",""),"(",""),")",""),"*",""),"+",""),",",""),"-",""),".",""),"/",""),":",""),";",""),"&lt;",""),"=",""),"&gt;",""),"?",""),"@",""),"[",""),"\",""),"]",""),"^",""),"_",""),"`",""),"{",""),"|",""),"}",""),"~",""),CHAR(9),""),CHAR(10),""),CHAR(13),"")," ",""),"")</f>
        <v/>
      </c>
      <c r="BL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22,40))," ",""),"!",""),CHAR(34),""),"#",""),"$",""),"%",""),"&amp;",""),"'",""),"(",""),")",""),"*",""),"+",""),",",""),"-",""),".",""),"/",""),":",""),";",""),"&lt;",""),"=",""),"&gt;",""),"?",""),"@",""),"[",""),"\",""),"]",""),"^",""),"_",""),"`",""),"{",""),"|",""),"}",""),"~",""),CHAR(9),""),CHAR(10),""),CHAR(13),"")," ",""),"")</f>
        <v/>
      </c>
      <c r="BM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22,41))," ",""),"!",""),CHAR(34),""),"#",""),"$",""),"%",""),"&amp;",""),"'",""),"(",""),")",""),"*",""),"+",""),",",""),"-",""),".",""),"/",""),":",""),";",""),"&lt;",""),"=",""),"&gt;",""),"?",""),"@",""),"[",""),"\",""),"]",""),"^",""),"_",""),"`",""),"{",""),"|",""),"}",""),"~",""),CHAR(9),""),CHAR(10),""),CHAR(13),"")," ",""),"")</f>
        <v/>
      </c>
      <c r="BN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22,42))," ",""),"!",""),CHAR(34),""),"#",""),"$",""),"%",""),"&amp;",""),"'",""),"(",""),")",""),"*",""),"+",""),",",""),"-",""),".",""),"/",""),":",""),";",""),"&lt;",""),"=",""),"&gt;",""),"?",""),"@",""),"[",""),"\",""),"]",""),"^",""),"_",""),"`",""),"{",""),"|",""),"}",""),"~",""),CHAR(9),""),CHAR(10),""),CHAR(13),"")," ",""),"")</f>
        <v/>
      </c>
      <c r="BO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22,43))," ",""),"!",""),CHAR(34),""),"#",""),"$",""),"%",""),"&amp;",""),"'",""),"(",""),")",""),"*",""),"+",""),",",""),"-",""),".",""),"/",""),":",""),";",""),"&lt;",""),"=",""),"&gt;",""),"?",""),"@",""),"[",""),"\",""),"]",""),"^",""),"_",""),"`",""),"{",""),"|",""),"}",""),"~",""),CHAR(9),""),CHAR(10),""),CHAR(13),"")," ",""),"")</f>
        <v/>
      </c>
      <c r="BP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22,44))," ",""),"!",""),CHAR(34),""),"#",""),"$",""),"%",""),"&amp;",""),"'",""),"(",""),")",""),"*",""),"+",""),",",""),"-",""),".",""),"/",""),":",""),";",""),"&lt;",""),"=",""),"&gt;",""),"?",""),"@",""),"[",""),"\",""),"]",""),"^",""),"_",""),"`",""),"{",""),"|",""),"}",""),"~",""),CHAR(9),""),CHAR(10),""),CHAR(13),"")," ",""),"")</f>
        <v/>
      </c>
      <c r="BQ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22,45))," ",""),"!",""),CHAR(34),""),"#",""),"$",""),"%",""),"&amp;",""),"'",""),"(",""),")",""),"*",""),"+",""),",",""),"-",""),".",""),"/",""),":",""),";",""),"&lt;",""),"=",""),"&gt;",""),"?",""),"@",""),"[",""),"\",""),"]",""),"^",""),"_",""),"`",""),"{",""),"|",""),"}",""),"~",""),CHAR(9),""),CHAR(10),""),CHAR(13),"")," ",""),"")</f>
        <v/>
      </c>
      <c r="BR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22,46))," ",""),"!",""),CHAR(34),""),"#",""),"$",""),"%",""),"&amp;",""),"'",""),"(",""),")",""),"*",""),"+",""),",",""),"-",""),".",""),"/",""),":",""),";",""),"&lt;",""),"=",""),"&gt;",""),"?",""),"@",""),"[",""),"\",""),"]",""),"^",""),"_",""),"`",""),"{",""),"|",""),"}",""),"~",""),CHAR(9),""),CHAR(10),""),CHAR(13),"")," ",""),"")</f>
        <v/>
      </c>
      <c r="BS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22,47))," ",""),"!",""),CHAR(34),""),"#",""),"$",""),"%",""),"&amp;",""),"'",""),"(",""),")",""),"*",""),"+",""),",",""),"-",""),".",""),"/",""),":",""),";",""),"&lt;",""),"=",""),"&gt;",""),"?",""),"@",""),"[",""),"\",""),"]",""),"^",""),"_",""),"`",""),"{",""),"|",""),"}",""),"~",""),CHAR(9),""),CHAR(10),""),CHAR(13),"")," ",""),"")</f>
        <v/>
      </c>
      <c r="BT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22,48))," ",""),"!",""),CHAR(34),""),"#",""),"$",""),"%",""),"&amp;",""),"'",""),"(",""),")",""),"*",""),"+",""),",",""),"-",""),".",""),"/",""),":",""),";",""),"&lt;",""),"=",""),"&gt;",""),"?",""),"@",""),"[",""),"\",""),"]",""),"^",""),"_",""),"`",""),"{",""),"|",""),"}",""),"~",""),CHAR(9),""),CHAR(10),""),CHAR(13),"")," ",""),"")</f>
        <v/>
      </c>
      <c r="BU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22,49))," ",""),"!",""),CHAR(34),""),"#",""),"$",""),"%",""),"&amp;",""),"'",""),"(",""),")",""),"*",""),"+",""),",",""),"-",""),".",""),"/",""),":",""),";",""),"&lt;",""),"=",""),"&gt;",""),"?",""),"@",""),"[",""),"\",""),"]",""),"^",""),"_",""),"`",""),"{",""),"|",""),"}",""),"~",""),CHAR(9),""),CHAR(10),""),CHAR(13),"")," ",""),"")</f>
        <v/>
      </c>
      <c r="BV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22,50))," ",""),"!",""),CHAR(34),""),"#",""),"$",""),"%",""),"&amp;",""),"'",""),"(",""),")",""),"*",""),"+",""),",",""),"-",""),".",""),"/",""),":",""),";",""),"&lt;",""),"=",""),"&gt;",""),"?",""),"@",""),"[",""),"\",""),"]",""),"^",""),"_",""),"`",""),"{",""),"|",""),"}",""),"~",""),CHAR(9),""),CHAR(10),""),CHAR(13),"")," ",""),"")</f>
        <v/>
      </c>
      <c r="BW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22,51))," ",""),"!",""),CHAR(34),""),"#",""),"$",""),"%",""),"&amp;",""),"'",""),"(",""),")",""),"*",""),"+",""),",",""),"-",""),".",""),"/",""),":",""),";",""),"&lt;",""),"=",""),"&gt;",""),"?",""),"@",""),"[",""),"\",""),"]",""),"^",""),"_",""),"`",""),"{",""),"|",""),"}",""),"~",""),CHAR(9),""),CHAR(10),""),CHAR(13),"")," ",""),"")</f>
        <v/>
      </c>
      <c r="BX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22,52))," ",""),"!",""),CHAR(34),""),"#",""),"$",""),"%",""),"&amp;",""),"'",""),"(",""),")",""),"*",""),"+",""),",",""),"-",""),".",""),"/",""),":",""),";",""),"&lt;",""),"=",""),"&gt;",""),"?",""),"@",""),"[",""),"\",""),"]",""),"^",""),"_",""),"`",""),"{",""),"|",""),"}",""),"~",""),CHAR(9),""),CHAR(10),""),CHAR(13),"")," ",""),"")</f>
        <v/>
      </c>
      <c r="BY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22,53))," ",""),"!",""),CHAR(34),""),"#",""),"$",""),"%",""),"&amp;",""),"'",""),"(",""),")",""),"*",""),"+",""),",",""),"-",""),".",""),"/",""),":",""),";",""),"&lt;",""),"=",""),"&gt;",""),"?",""),"@",""),"[",""),"\",""),"]",""),"^",""),"_",""),"`",""),"{",""),"|",""),"}",""),"~",""),CHAR(9),""),CHAR(10),""),CHAR(13),"")," ",""),"")</f>
        <v/>
      </c>
      <c r="BZ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22,54))," ",""),"!",""),CHAR(34),""),"#",""),"$",""),"%",""),"&amp;",""),"'",""),"(",""),")",""),"*",""),"+",""),",",""),"-",""),".",""),"/",""),":",""),";",""),"&lt;",""),"=",""),"&gt;",""),"?",""),"@",""),"[",""),"\",""),"]",""),"^",""),"_",""),"`",""),"{",""),"|",""),"}",""),"~",""),CHAR(9),""),CHAR(10),""),CHAR(13),"")," ",""),"")</f>
        <v/>
      </c>
      <c r="CA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22,55))," ",""),"!",""),CHAR(34),""),"#",""),"$",""),"%",""),"&amp;",""),"'",""),"(",""),")",""),"*",""),"+",""),",",""),"-",""),".",""),"/",""),":",""),";",""),"&lt;",""),"=",""),"&gt;",""),"?",""),"@",""),"[",""),"\",""),"]",""),"^",""),"_",""),"`",""),"{",""),"|",""),"}",""),"~",""),CHAR(9),""),CHAR(10),""),CHAR(13),"")," ",""),"")</f>
        <v/>
      </c>
      <c r="CB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22,56))," ",""),"!",""),CHAR(34),""),"#",""),"$",""),"%",""),"&amp;",""),"'",""),"(",""),")",""),"*",""),"+",""),",",""),"-",""),".",""),"/",""),":",""),";",""),"&lt;",""),"=",""),"&gt;",""),"?",""),"@",""),"[",""),"\",""),"]",""),"^",""),"_",""),"`",""),"{",""),"|",""),"}",""),"~",""),CHAR(9),""),CHAR(10),""),CHAR(13),"")," ",""),"")</f>
        <v/>
      </c>
      <c r="CC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22,57))," ",""),"!",""),CHAR(34),""),"#",""),"$",""),"%",""),"&amp;",""),"'",""),"(",""),")",""),"*",""),"+",""),",",""),"-",""),".",""),"/",""),":",""),";",""),"&lt;",""),"=",""),"&gt;",""),"?",""),"@",""),"[",""),"\",""),"]",""),"^",""),"_",""),"`",""),"{",""),"|",""),"}",""),"~",""),CHAR(9),""),CHAR(10),""),CHAR(13),"")," ",""),"")</f>
        <v/>
      </c>
      <c r="CD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22,58))," ",""),"!",""),CHAR(34),""),"#",""),"$",""),"%",""),"&amp;",""),"'",""),"(",""),")",""),"*",""),"+",""),",",""),"-",""),".",""),"/",""),":",""),";",""),"&lt;",""),"=",""),"&gt;",""),"?",""),"@",""),"[",""),"\",""),"]",""),"^",""),"_",""),"`",""),"{",""),"|",""),"}",""),"~",""),CHAR(9),""),CHAR(10),""),CHAR(13),"")," ",""),"")</f>
        <v/>
      </c>
      <c r="CE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22,59))," ",""),"!",""),CHAR(34),""),"#",""),"$",""),"%",""),"&amp;",""),"'",""),"(",""),")",""),"*",""),"+",""),",",""),"-",""),".",""),"/",""),":",""),";",""),"&lt;",""),"=",""),"&gt;",""),"?",""),"@",""),"[",""),"\",""),"]",""),"^",""),"_",""),"`",""),"{",""),"|",""),"}",""),"~",""),CHAR(9),""),CHAR(10),""),CHAR(13),"")," ",""),"")</f>
        <v/>
      </c>
      <c r="CF2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22,60))," ",""),"!",""),CHAR(34),""),"#",""),"$",""),"%",""),"&amp;",""),"'",""),"(",""),")",""),"*",""),"+",""),",",""),"-",""),".",""),"/",""),":",""),";",""),"&lt;",""),"=",""),"&gt;",""),"?",""),"@",""),"[",""),"\",""),"]",""),"^",""),"_",""),"`",""),"{",""),"|",""),"}",""),"~",""),CHAR(9),""),CHAR(10),""),CHAR(13),"")," ",""),"")</f>
        <v/>
      </c>
      <c r="CH26">
        <f>COUNTIF($Y71:$CF71,"&gt;0")</f>
        <v/>
      </c>
      <c r="CI26">
        <f>COUNTIF($Y71:$CF71,2)</f>
        <v/>
      </c>
      <c r="CJ26">
        <f>SUMPRODUCT((COUNTIF($Y116:$CF116,{1,2,3,4,5,6,7,8,9,10,11,12,13,14,15})&gt;0)*{2,4,8,16,32,64,128,256,512,1024,2048,4096,8192,16384,32768})</f>
        <v/>
      </c>
      <c r="CK26">
        <f>CF206</f>
        <v/>
      </c>
      <c r="CL26">
        <f>SUMPRODUCT(MOD(INT(((CJ26+CK26))/{2,4,8,16,32,64,128,256,512,1024,2048,4096,8192,16384,32768}),2))</f>
        <v/>
      </c>
      <c r="CM26">
        <f>IF(CH26&lt;2,-9999,CL26+2*MOD(INT(((CJ26+CK26))/2),2)+2*MOD(INT(((CJ26+CK26))/4),2)-CI26)</f>
        <v/>
      </c>
      <c r="DA26" t="n">
        <v>22</v>
      </c>
      <c r="DB26">
        <f>IF($B$37=0,"",IFERROR(TRIM(SUBSTITUTE(SUBSTITUTE(SUBSTITUTE(SUBSTITUTE(INDEX(PASTE_ALL,22,$B$37)," "," "),CHAR(9)," "),CHAR(10)," "),CHAR(13)," ")),""))</f>
        <v/>
      </c>
      <c r="DC26">
        <f>IF(AND(22&gt;HEADER_ROW,UPPER(DB26)="LEGEND"),1,0)</f>
        <v/>
      </c>
      <c r="DE26" t="n">
        <v>22</v>
      </c>
      <c r="DF26">
        <f>HEADER_ROW+$DE26</f>
        <v/>
      </c>
      <c r="DG26">
        <f>IF(AND($DF26&lt;=1000,$DF26&lt;$B$8),1,0)</f>
        <v/>
      </c>
      <c r="DH26">
        <f>IF($DG26=1,IFERROR(INDEX($DB$5:$DB$1004,$DF26),""),"")</f>
        <v/>
      </c>
      <c r="DI26">
        <f>IF(AND($DG26=1,$DH26&lt;&gt;""),IFERROR(SUBSTITUTE(SUBSTITUTE(TRIM(SUBSTITUTE(SUBSTITUTE(SUBSTITUTE(SUBSTITUTE(IFERROR(INDEX(PASTE_ALL,$DF26,1)&amp;"","")&amp;"␟"&amp;IFERROR(INDEX(PASTE_ALL,$DF26,2)&amp;"","")&amp;"␟"&amp;IFERROR(INDEX(PASTE_ALL,$DF26,3)&amp;"","")&amp;"␟"&amp;IFERROR(INDEX(PASTE_ALL,$DF26,4)&amp;"","")&amp;"␟"&amp;IFERROR(INDEX(PASTE_ALL,$DF26,5)&amp;"","")&amp;"␟"&amp;IFERROR(INDEX(PASTE_ALL,$DF26,6)&amp;"","")&amp;"␟"&amp;IFERROR(INDEX(PASTE_ALL,$DF26,7)&amp;"","")&amp;"␟"&amp;IFERROR(INDEX(PASTE_ALL,$DF26,8)&amp;"","")&amp;"␟"&amp;IFERROR(INDEX(PASTE_ALL,$DF26,9)&amp;"","")&amp;"␟"&amp;IFERROR(INDEX(PASTE_ALL,$DF26,10)&amp;"","")&amp;"␟"&amp;IFERROR(INDEX(PASTE_ALL,$DF26,11)&amp;"","")&amp;"␟"&amp;IFERROR(INDEX(PASTE_ALL,$DF26,12)&amp;"","")&amp;"␟"&amp;IFERROR(INDEX(PASTE_ALL,$DF26,13)&amp;"","")&amp;"␟"&amp;IFERROR(INDEX(PASTE_ALL,$DF26,14)&amp;"","")&amp;"␟"&amp;IFERROR(INDEX(PASTE_ALL,$DF26,15)&amp;"","")&amp;"␟"&amp;IFERROR(INDEX(PASTE_ALL,$DF26,16)&amp;"","")&amp;"␟"&amp;IFERROR(INDEX(PASTE_ALL,$DF26,17)&amp;"","")&amp;"␟"&amp;IFERROR(INDEX(PASTE_ALL,$DF26,18)&amp;"","")&amp;"␟"&amp;IFERROR(INDEX(PASTE_ALL,$DF26,19)&amp;"","")&amp;"␟"&amp;IFERROR(INDEX(PASTE_ALL,$DF26,20)&amp;"","")&amp;"␟"&amp;IFERROR(INDEX(PASTE_ALL,$DF26,21)&amp;"","")&amp;"␟"&amp;IFERROR(INDEX(PASTE_ALL,$DF26,22)&amp;"","")&amp;"␟"&amp;IFERROR(INDEX(PASTE_ALL,$DF26,23)&amp;"","")&amp;"␟"&amp;IFERROR(INDEX(PASTE_ALL,$DF26,24)&amp;"","")&amp;"␟"&amp;IFERROR(INDEX(PASTE_ALL,$DF26,25)&amp;"","")&amp;"␟"&amp;IFERROR(INDEX(PASTE_ALL,$DF26,26)&amp;"","")&amp;"␟"&amp;IFERROR(INDEX(PASTE_ALL,$DF26,27)&amp;"","")&amp;"␟"&amp;IFERROR(INDEX(PASTE_ALL,$DF26,28)&amp;"","")&amp;"␟"&amp;IFERROR(INDEX(PASTE_ALL,$DF26,29)&amp;"","")&amp;"␟"&amp;IFERROR(INDEX(PASTE_ALL,$DF26,30)&amp;"","")&amp;"␟"&amp;IFERROR(INDEX(PASTE_ALL,$DF26,31)&amp;"","")&amp;"␟"&amp;IFERROR(INDEX(PASTE_ALL,$DF26,32)&amp;"","")&amp;"␟"&amp;IFERROR(INDEX(PASTE_ALL,$DF26,33)&amp;"","")&amp;"␟"&amp;IFERROR(INDEX(PASTE_ALL,$DF26,34)&amp;"","")&amp;"␟"&amp;IFERROR(INDEX(PASTE_ALL,$DF26,35)&amp;"","")&amp;"␟"&amp;IFERROR(INDEX(PASTE_ALL,$DF26,36)&amp;"","")&amp;"␟"&amp;IFERROR(INDEX(PASTE_ALL,$DF26,37)&amp;"","")&amp;"␟"&amp;IFERROR(INDEX(PASTE_ALL,$DF26,38)&amp;"","")&amp;"␟"&amp;IFERROR(INDEX(PASTE_ALL,$DF26,39)&amp;"","")&amp;"␟"&amp;IFERROR(INDEX(PASTE_ALL,$DF26,40)&amp;"","")&amp;"␟"&amp;IFERROR(INDEX(PASTE_ALL,$DF26,41)&amp;"","")&amp;"␟"&amp;IFERROR(INDEX(PASTE_ALL,$DF26,42)&amp;"","")&amp;"␟"&amp;IFERROR(INDEX(PASTE_ALL,$DF26,43)&amp;"","")&amp;"␟"&amp;IFERROR(INDEX(PASTE_ALL,$DF26,44)&amp;"","")&amp;"␟"&amp;IFERROR(INDEX(PASTE_ALL,$DF26,45)&amp;"","")&amp;"␟"&amp;IFERROR(INDEX(PASTE_ALL,$DF26,46)&amp;"","")&amp;"␟"&amp;IFERROR(INDEX(PASTE_ALL,$DF26,47)&amp;"","")&amp;"␟"&amp;IFERROR(INDEX(PASTE_ALL,$DF26,48)&amp;"","")&amp;"␟"&amp;IFERROR(INDEX(PASTE_ALL,$DF26,49)&amp;"","")&amp;"␟"&amp;IFERROR(INDEX(PASTE_ALL,$DF26,50)&amp;"","")&amp;"␟"&amp;IFERROR(INDEX(PASTE_ALL,$DF26,51)&amp;"","")&amp;"␟"&amp;IFERROR(INDEX(PASTE_ALL,$DF26,52)&amp;"","")&amp;"␟"&amp;IFERROR(INDEX(PASTE_ALL,$DF26,53)&amp;"","")&amp;"␟"&amp;IFERROR(INDEX(PASTE_ALL,$DF26,54)&amp;"","")&amp;"␟"&amp;IFERROR(INDEX(PASTE_ALL,$DF26,55)&amp;"","")&amp;"␟"&amp;IFERROR(INDEX(PASTE_ALL,$DF26,56)&amp;"","")&amp;"␟"&amp;IFERROR(INDEX(PASTE_ALL,$DF26,57)&amp;"","")&amp;"␟"&amp;IFERROR(INDEX(PASTE_ALL,$DF26,58)&amp;"","")&amp;"␟"&amp;IFERROR(INDEX(PASTE_ALL,$DF26,59)&amp;"","")&amp;"␟"&amp;IFERROR(INDEX(PASTE_ALL,$DF26,60)&amp;"","")," "," "),CHAR(9)," "),CHAR(10)," "),CHAR(13)," "))," ␟","␟"),"␟ ","␟"),"#"&amp;$DE26),"")</f>
        <v/>
      </c>
      <c r="DJ26">
        <f>IF($DI26="",0,IF(SUMPRODUCT(--EXACT($DI$4:DI25,$DI26))&gt;0,1,0))</f>
        <v/>
      </c>
      <c r="DK26">
        <f>IF(AND($DI26&lt;&gt;"",$DJ26=0),1,0)</f>
        <v/>
      </c>
      <c r="DL26">
        <f>DL25+$DK26</f>
        <v/>
      </c>
      <c r="DM26">
        <f>IF(AND($DK26=1,$DL26&lt;=600),1,0)</f>
        <v/>
      </c>
      <c r="DN26">
        <f>IF($DM26=0,"",IF($L$6=0,"",IFERROR(IF(ISNUMBER(INDEX(PASTE_ALL,$DF26,$L$6)),INDEX(PASTE_ALL,$DF26,$L$6),TRIM(SUBSTITUTE(SUBSTITUTE(SUBSTITUTE(SUBSTITUTE(INDEX(PASTE_ALL,$DF26,$L$6)," "," "),CHAR(9)," "),CHAR(10)," "),CHAR(13)," "))),"")))</f>
        <v/>
      </c>
      <c r="DO26">
        <f>IF($DM26=0,"",IF($L$7=0,"",IFERROR(IF(ISNUMBER(INDEX(PASTE_ALL,$DF26,$L$7)),INDEX(PASTE_ALL,$DF26,$L$7),TRIM(SUBSTITUTE(SUBSTITUTE(SUBSTITUTE(SUBSTITUTE(INDEX(PASTE_ALL,$DF26,$L$7)," "," "),CHAR(9)," "),CHAR(10)," "),CHAR(13)," "))),"")))</f>
        <v/>
      </c>
      <c r="DP26">
        <f>IF($DM26=0,"",IF($L$8=0,"",IFERROR(IF(ISNUMBER(INDEX(PASTE_ALL,$DF26,$L$8)),INDEX(PASTE_ALL,$DF26,$L$8),TRIM(SUBSTITUTE(SUBSTITUTE(SUBSTITUTE(SUBSTITUTE(INDEX(PASTE_ALL,$DF26,$L$8)," "," "),CHAR(9)," "),CHAR(10)," "),CHAR(13)," "))),"")))</f>
        <v/>
      </c>
      <c r="DQ26">
        <f>IF($DM26=0,"",IF($L$9=0,"",IFERROR(IF(ISNUMBER(INDEX(PASTE_ALL,$DF26,$L$9)),INDEX(PASTE_ALL,$DF26,$L$9),TRIM(SUBSTITUTE(SUBSTITUTE(SUBSTITUTE(SUBSTITUTE(INDEX(PASTE_ALL,$DF26,$L$9)," "," "),CHAR(9)," "),CHAR(10)," "),CHAR(13)," "))),"")))</f>
        <v/>
      </c>
      <c r="DR26">
        <f>IF($DM26=0,"",IF($L$10=0,"",IFERROR(IF(ISNUMBER(INDEX(PASTE_ALL,$DF26,$L$10)),INDEX(PASTE_ALL,$DF26,$L$10),TRIM(SUBSTITUTE(SUBSTITUTE(SUBSTITUTE(SUBSTITUTE(INDEX(PASTE_ALL,$DF26,$L$10)," "," "),CHAR(9)," "),CHAR(10)," "),CHAR(13)," "))),"")))</f>
        <v/>
      </c>
      <c r="DS26">
        <f>IF($DM26=0,"",IF($L$11=0,"",IFERROR(IF(ISNUMBER(INDEX(PASTE_ALL,$DF26,$L$11)),INDEX(PASTE_ALL,$DF26,$L$11),TRIM(SUBSTITUTE(SUBSTITUTE(SUBSTITUTE(SUBSTITUTE(INDEX(PASTE_ALL,$DF26,$L$11)," "," "),CHAR(9)," "),CHAR(10)," "),CHAR(13)," "))),"")))</f>
        <v/>
      </c>
      <c r="DT26">
        <f>IF($DM26=0,"",IF($L$12=0,"",IFERROR(IF(ISNUMBER(INDEX(PASTE_ALL,$DF26,$L$12)),INDEX(PASTE_ALL,$DF26,$L$12),TRIM(SUBSTITUTE(SUBSTITUTE(SUBSTITUTE(SUBSTITUTE(INDEX(PASTE_ALL,$DF26,$L$12)," "," "),CHAR(9)," "),CHAR(10)," "),CHAR(13)," "))),"")))</f>
        <v/>
      </c>
      <c r="DU26">
        <f>IF($DM26=0,"",IF($L$13=0,"",IFERROR(IF(ISNUMBER(INDEX(PASTE_ALL,$DF26,$L$13)),INDEX(PASTE_ALL,$DF26,$L$13),TRIM(SUBSTITUTE(SUBSTITUTE(SUBSTITUTE(SUBSTITUTE(INDEX(PASTE_ALL,$DF26,$L$13)," "," "),CHAR(9)," "),CHAR(10)," "),CHAR(13)," "))),"")))</f>
        <v/>
      </c>
      <c r="DV26">
        <f>IF($DM26=0,"",IF($L$14=0,"",IFERROR(IF(ISNUMBER(INDEX(PASTE_ALL,$DF26,$L$14)),INDEX(PASTE_ALL,$DF26,$L$14),TRIM(SUBSTITUTE(SUBSTITUTE(SUBSTITUTE(SUBSTITUTE(INDEX(PASTE_ALL,$DF26,$L$14)," "," "),CHAR(9)," "),CHAR(10)," "),CHAR(13)," "))),"")))</f>
        <v/>
      </c>
      <c r="DW26">
        <f>IF($DM26=0,"",IF($L$15=0,"",IFERROR(IF(ISNUMBER(INDEX(PASTE_ALL,$DF26,$L$15)),INDEX(PASTE_ALL,$DF26,$L$15),IF(SUMPRODUCT(--ISNUMBER(FIND({"A","B","C","D","E","F","G","H","I","J","K","L","M","N","O","P","Q","R","S","T","U","V","W","X","Y","Z","0","1","2","3","4","5","6","7","8","9"},UPPER(TRIM(SUBSTITUTE(SUBSTITUTE(SUBSTITUTE(SUBSTITUTE(INDEX(PASTE_ALL,$DF26,$L$15)," "," "),CHAR(9)," "),CHAR(10)," "),CHAR(13)," "))))))&gt;0,TRIM(SUBSTITUTE(SUBSTITUTE(SUBSTITUTE(SUBSTITUTE(INDEX(PASTE_ALL,$DF26,$L$15)," "," "),CHAR(9)," "),CHAR(10)," "),CHAR(13)," ")),"")),"")))</f>
        <v/>
      </c>
      <c r="DX26">
        <f>IF($DM26=0,"",IF($L$16=0,"",IFERROR(IF(ISNUMBER(INDEX(PASTE_ALL,$DF26,$L$16)),INDEX(PASTE_ALL,$DF26,$L$16),SUBSTITUTE(SUBSTITUTE(TRIM(SUBSTITUTE(SUBSTITUTE(SUBSTITUTE(SUBSTITUTE(INDEX(PASTE_ALL,$DF26,$L$16)," "," "),CHAR(9)," "),CHAR(10)," "),CHAR(13)," ")),",",""),"%","")),"")))</f>
        <v/>
      </c>
      <c r="DY26">
        <f>IF($DM26=0,"",IFERROR(IF(ISNUMBER($DX26),$DX26,IF($DX26="","",IF(TRIM($DX26)="",0,IF(AND(AND(SUBSTITUTE(SUBSTITUTE(SUBSTITUTE(SUBSTITUTE(SUBSTITUTE(SUBSTITUTE(SUBSTITUTE(SUBSTITUTE(SUBSTITUTE(SUBSTITUTE(SUBSTITUTE(SUBSTITUTE(SUBSTITUTE(SUBSTITUTE(UPPER(TRIM($DX26)),"0",""),"1",""),"2",""),"3",""),"4",""),"5",""),"6",""),"7",""),"8",""),"9",""),".",""),"+",""),"-",""),"E","")="",LEN(SUBSTITUTE(SUBSTITUTE(MID(UPPER(TRIM($DX26)),1+OR(LEFT(UPPER(TRIM($DX26)),1)="+",LEFT(UPPER(TRIM($DX26)),1)="-"),999),"E+","E"),"E-","E"))=LEN(SUBSTITUTE(SUBSTITUTE(SUBSTITUTE(SUBSTITUTE(MID(UPPER(TRIM($DX26)),1+OR(LEFT(UPPER(TRIM($DX26)),1)="+",LEFT(UPPER(TRIM($DX26)),1)="-"),999),"E+","E"),"E-","E"),"+",""),"-","")),LEN(UPPER(TRIM($DX26)))-LEN(SUBSTITUTE(UPPER(TRIM($DX26)),"E",""))&lt;2,LEN(UPPER(TRIM($DX26)))-LEN(SUBSTITUTE(UPPER(TRIM($DX26)),".",""))&lt;2,IFERROR(FIND(".",UPPER(TRIM($DX26))),0)&lt;IFERROR(FIND("E",UPPER(TRIM($DX26))),999)),ISNUMBER(VALUE(TRIM($DX26)))),VALUE(TRIM($DX26)),"")))),""))</f>
        <v/>
      </c>
      <c r="DZ26">
        <f>IF($DM26=0,"",IF($L$17=0,"",IFERROR(IF(ISNUMBER(INDEX(PASTE_ALL,$DF26,$L$17)),INDEX(PASTE_ALL,$DF26,$L$17),SUBSTITUTE(SUBSTITUTE(TRIM(SUBSTITUTE(SUBSTITUTE(SUBSTITUTE(SUBSTITUTE(INDEX(PASTE_ALL,$DF26,$L$17)," "," "),CHAR(9)," "),CHAR(10)," "),CHAR(13)," ")),",",""),"%","")),"")))</f>
        <v/>
      </c>
      <c r="EA26">
        <f>IF($DM26=0,"",IFERROR(IF(ISNUMBER($DZ26),$DZ26,IF($DZ26="","",IF(TRIM($DZ26)="",0,IF(AND(AND(SUBSTITUTE(SUBSTITUTE(SUBSTITUTE(SUBSTITUTE(SUBSTITUTE(SUBSTITUTE(SUBSTITUTE(SUBSTITUTE(SUBSTITUTE(SUBSTITUTE(SUBSTITUTE(SUBSTITUTE(SUBSTITUTE(SUBSTITUTE(UPPER(TRIM($DZ26)),"0",""),"1",""),"2",""),"3",""),"4",""),"5",""),"6",""),"7",""),"8",""),"9",""),".",""),"+",""),"-",""),"E","")="",LEN(SUBSTITUTE(SUBSTITUTE(MID(UPPER(TRIM($DZ26)),1+OR(LEFT(UPPER(TRIM($DZ26)),1)="+",LEFT(UPPER(TRIM($DZ26)),1)="-"),999),"E+","E"),"E-","E"))=LEN(SUBSTITUTE(SUBSTITUTE(SUBSTITUTE(SUBSTITUTE(MID(UPPER(TRIM($DZ26)),1+OR(LEFT(UPPER(TRIM($DZ26)),1)="+",LEFT(UPPER(TRIM($DZ26)),1)="-"),999),"E+","E"),"E-","E"),"+",""),"-","")),LEN(UPPER(TRIM($DZ26)))-LEN(SUBSTITUTE(UPPER(TRIM($DZ26)),"E",""))&lt;2,LEN(UPPER(TRIM($DZ26)))-LEN(SUBSTITUTE(UPPER(TRIM($DZ26)),".",""))&lt;2,IFERROR(FIND(".",UPPER(TRIM($DZ26))),0)&lt;IFERROR(FIND("E",UPPER(TRIM($DZ26))),999)),ISNUMBER(VALUE(TRIM($DZ26)))),VALUE(TRIM($DZ26)),"")))),""))</f>
        <v/>
      </c>
      <c r="EB26">
        <f>IF($DM26=0,"",IF($L$18=0,"",IFERROR(IF(UPPER(TRIM(SUBSTITUTE(SUBSTITUTE(SUBSTITUTE(SUBSTITUTE(INDEX(PASTE_ALL,$DF26,$L$18)," "," "),CHAR(9)," "),CHAR(10)," "),CHAR(13)," ")))="READY","Ready",IF(UPPER(TRIM(SUBSTITUTE(SUBSTITUTE(SUBSTITUTE(SUBSTITUTE(INDEX(PASTE_ALL,$DF26,$L$18)," "," "),CHAR(9)," "),CHAR(10)," "),CHAR(13)," ")))="PM","PM",IF(OR(UPPER(TRIM(SUBSTITUTE(SUBSTITUTE(SUBSTITUTE(SUBSTITUTE(INDEX(PASTE_ALL,$DF26,$L$18)," "," "),CHAR(9)," "),CHAR(10)," "),CHAR(13)," ")))="OT",UPPER(TRIM(SUBSTITUTE(SUBSTITUTE(SUBSTITUTE(SUBSTITUTE(INDEX(PASTE_ALL,$DF26,$L$18)," "," "),CHAR(9)," "),CHAR(10)," "),CHAR(13)," ")))="OVERTIME",UPPER(TRIM(SUBSTITUTE(SUBSTITUTE(SUBSTITUTE(SUBSTITUTE(INDEX(PASTE_ALL,$DF26,$L$18)," "," "),CHAR(9)," "),CHAR(10)," "),CHAR(13)," ")))="TRIAL"),"OT",TRIM(SUBSTITUTE(SUBSTITUTE(SUBSTITUTE(SUBSTITUTE(INDEX(PASTE_ALL,$DF26,$L$18)," "," "),CHAR(9)," "),CHAR(10)," "),CHAR(13)," "))))),"")))</f>
        <v/>
      </c>
      <c r="EC26">
        <f>IF($DM26=0,"",IF($L$19=0,"",IFERROR(IF(ISNUMBER(INDEX(PASTE_ALL,$DF26,$L$19)),INDEX(PASTE_ALL,$DF26,$L$19),TRIM(SUBSTITUTE(SUBSTITUTE(SUBSTITUTE(SUBSTITUTE(INDEX(PASTE_ALL,$DF26,$L$19)," "," "),CHAR(9)," "),CHAR(10)," "),CHAR(13)," "))),"")))</f>
        <v/>
      </c>
      <c r="ED26">
        <f>IF($DM26=0,"",MATCH(1,INDEX(EXACT($DH$5:DH26,$DH26)*$DM$5:DM26,0),0))</f>
        <v/>
      </c>
      <c r="EE26">
        <f>IF($DM26=0,0,IF($ED26=$DE26,1,0))</f>
        <v/>
      </c>
      <c r="EF26">
        <f>EF25+$EE26</f>
        <v/>
      </c>
      <c r="EG26">
        <f>IF($DM26=0,"",INDEX($EF$5:$EF$1003,$ED26))</f>
        <v/>
      </c>
      <c r="EH26">
        <f>IF($DM26=0,"",IF($DO26&lt;&gt;"","",IFERROR(LOOKUP(2,1/(($EG$4:EG25=$EG26)*($DO$4:DO25&lt;&gt;"")),$DO$4:DO25),"")))</f>
        <v/>
      </c>
      <c r="EI26">
        <f>IF($DM26=0,"",IF($DO26&lt;&gt;"",$DO26,$EH26))</f>
        <v/>
      </c>
      <c r="EJ26">
        <f>IF($DM26=0,"",IF($EI26="",0,IF(OR(ISNUMBER($EI26),AND(AND(SUBSTITUTE(SUBSTITUTE(SUBSTITUTE(SUBSTITUTE(SUBSTITUTE(SUBSTITUTE(SUBSTITUTE(SUBSTITUTE(SUBSTITUTE(SUBSTITUTE(SUBSTITUTE(SUBSTITUTE(SUBSTITUTE(SUBSTITUTE(UPPER($EI26),"0",""),"1",""),"2",""),"3",""),"4",""),"5",""),"6",""),"7",""),"8",""),"9",""),".",""),"+",""),"-",""),"E","")="",LEN(SUBSTITUTE(SUBSTITUTE(MID(UPPER($EI26),1+OR(LEFT(UPPER($EI26),1)="+",LEFT(UPPER($EI26),1)="-"),999),"E+","E"),"E-","E"))=LEN(SUBSTITUTE(SUBSTITUTE(SUBSTITUTE(SUBSTITUTE(MID(UPPER($EI26),1+OR(LEFT(UPPER($EI26),1)="+",LEFT(UPPER($EI26),1)="-"),999),"E+","E"),"E-","E"),"+",""),"-","")),LEN(UPPER($EI26))-LEN(SUBSTITUTE(UPPER($EI26),"E",""))&lt;2,LEN(UPPER($EI26))-LEN(SUBSTITUTE(UPPER($EI26),".",""))&lt;2,IFERROR(FIND(".",UPPER($EI26)),0)&lt;IFERROR(FIND("E",UPPER($EI26)),999)),ISNUMBER(VALUE($EI26)))),1,2)))</f>
        <v/>
      </c>
      <c r="EK26">
        <f>IF($DM26=0,"",IF($EJ26=1,IF(ISNUMBER($EI26),$EI26,VALUE($EI26)),IF($EJ26=2,$DE26,0)))</f>
        <v/>
      </c>
      <c r="EL26">
        <f>IF($DM26=0,"",COUNTIF($EG$5:$EG$1003,"&lt;"&amp;$EG26)+SUMPRODUCT(($EG$5:$EG$1003=$EG26)*(($EJ$5:$EJ$1003&lt;$EJ26)+($EJ$5:$EJ$1003=$EJ26)*(($EK$5:$EK$1003&lt;$EK26)+($EK$5:$EK$1003=$EK26)*($DE$5:$DE$1003&lt;$DE26))))+1)</f>
        <v/>
      </c>
      <c r="EM26">
        <f>IF($DM26=0,"",$EL26+$EG26-1)</f>
        <v/>
      </c>
      <c r="EN26">
        <f>IF($DM26=0,0,IFERROR(MATCH(1,INDEX(--(TRIM(SUBSTITUTE(SUBSTITUTE(SUBSTITUTE(SUBSTITUTE(LINES_NAME&amp;""," "," "),CHAR(9)," "),CHAR(10)," "),CHAR(13)," "))=$DH26),0),0),0))</f>
        <v/>
      </c>
      <c r="EO26">
        <f>IF($EN26=0,0,IF(OR(UPPER(TRIM(INDEX(LINES_SCHEDULED,$EN26)&amp;""))="YES",UPPER(TRIM(INDEX(LINES_SCHEDULED,$EN26)&amp;""))="Y",UPPER(TRIM(INDEX(LINES_SCHEDULED,$EN26)&amp;""))="X"),1,0))</f>
        <v/>
      </c>
      <c r="EP26">
        <f>IF($DM26=0,"",IF(COUNTIFS($EG$5:$EG$1003,$EG26,$EB$5:$EB$1003,"Ready")&gt;0,"READY",IF(COUNTIFS($EG$5:$EG$1003,$EG26,$EB$5:$EB$1003,"PM")&gt;0,"PM",IF(COUNTIFS($EG$5:$EG$1003,$EG26,$EB$5:$EB$1003,"OT")&gt;0,"OT",""))))</f>
        <v/>
      </c>
      <c r="EQ26">
        <f>IF($EN26=0,"",UPPER(TRIM(INDEX(LINES_STATUS,$EN26)&amp;"")))</f>
        <v/>
      </c>
      <c r="ER26">
        <f>IF($DM26=0,"",IF(OR($EQ26="READY",$EQ26="PM",$EQ26="OT"),$EQ26,$EP26))</f>
        <v/>
      </c>
      <c r="ES26">
        <f>IF($DM26=0,"",IF(AND($DV26&lt;&gt;"",UPPER($DV26)&lt;&gt;"N"),"allergen",IF(ISNUMBER(SEARCH("oil",$DQ26)),"oil",IF(OR(EXACT($DS26,"A662"),EXACT($DS26,"A624")),"bulk",""))))</f>
        <v/>
      </c>
      <c r="ET26">
        <f>IF($DM26=0,"",IF(OR($EA26="",$EA26=0),"",$EA26/100))</f>
        <v/>
      </c>
      <c r="EU26">
        <f>IF(OR($ET26="",$DY26=""),"",INT($DY26*(1-$ET26)+0.5))</f>
        <v/>
      </c>
      <c r="EW26" t="n">
        <v>22</v>
      </c>
      <c r="EX26">
        <f>IFERROR(MATCH($EW26,$EM$5:$EM$1003,0),0)</f>
        <v/>
      </c>
      <c r="EY26">
        <f>IF($EW26&gt;$B$12,"",IF($EX26&gt;0,"row","spacer"))</f>
        <v/>
      </c>
      <c r="EZ26">
        <f>IF(AND($EY26="row",$EY25&lt;&gt;"row"),1,0)</f>
        <v/>
      </c>
      <c r="FA26">
        <f>IF(AND($EY26="row",$EY27&lt;&gt;"row"),1,0)</f>
        <v/>
      </c>
      <c r="FB26">
        <f>IF($EZ26=1,IFERROR(IF(ISNUMBER(INDEX(PASTE_ALL,INDEX($DF$5:$DF$1003,$EX26),$B$37)),INDEX(PASTE_ALL,INDEX($DF$5:$DF$1003,$EX26),$B$37),INDEX($DH$5:$DH$1003,$EX26)),INDEX($DH$5:$DH$1003,$EX26)),"")</f>
        <v/>
      </c>
      <c r="FC26">
        <f>IF($EY26="row",INDEX($ER$5:$ER$1003,$EX26),"")</f>
        <v/>
      </c>
      <c r="FD26">
        <f>IF($EY26="row",INDEX($DN$5:$DN$1003,$EX26),"")</f>
        <v/>
      </c>
      <c r="FE26">
        <f>IF($EY26="row",INDEX($DO$5:$DO$1003,$EX26),"")</f>
        <v/>
      </c>
      <c r="FF26">
        <f>IF($EY26="row",INDEX($DP$5:$DP$1003,$EX26),"")</f>
        <v/>
      </c>
      <c r="FG26">
        <f>IF($EY26="row",INDEX($DQ$5:$DQ$1003,$EX26),"")</f>
        <v/>
      </c>
      <c r="FH26">
        <f>IF($EY26="row",INDEX($DR$5:$DR$1003,$EX26),"")</f>
        <v/>
      </c>
      <c r="FI26">
        <f>IF($EY26="row",INDEX($DS$5:$DS$1003,$EX26),"")</f>
        <v/>
      </c>
      <c r="FJ26">
        <f>IF($EY26="row",INDEX($DT$5:$DT$1003,$EX26),"")</f>
        <v/>
      </c>
      <c r="FK26">
        <f>IF($EY26="row",INDEX($DU$5:$DU$1003,$EX26),"")</f>
        <v/>
      </c>
      <c r="FL26">
        <f>IF($EY26="row",INDEX($DV$5:$DV$1003,$EX26),"")</f>
        <v/>
      </c>
      <c r="FM26">
        <f>IF($EY26="row",INDEX($DW$5:$DW$1003,$EX26),"")</f>
        <v/>
      </c>
      <c r="FN26">
        <f>IF($EY26="row",INDEX($DY$5:$DY$1003,$EX26),"")</f>
        <v/>
      </c>
      <c r="FO26">
        <f>IF($EY26="row",INDEX($EA$5:$EA$1003,$EX26),"")</f>
        <v/>
      </c>
      <c r="FP26">
        <f>IF($EY26="row",INDEX($EC$5:$EC$1003,$EX26),"")</f>
        <v/>
      </c>
      <c r="FQ26">
        <f>IF($EY26="row",INDEX($ET$5:$ET$1003,$EX26),"")</f>
        <v/>
      </c>
      <c r="FR26">
        <f>IF($EY26="row",INDEX($EU$5:$EU$1003,$EX26),"")</f>
        <v/>
      </c>
      <c r="FS26">
        <f>IF(AND($EY26="row",$EY25="row"),IF(OR(INDEX($DT$5:$DT$1003,$EX25)="",INDEX($DT$5:$DT$1003,$EX26)=""),"",IF(NOT(EXACT(INDEX($DT$5:$DT$1003,$EX25),INDEX($DT$5:$DT$1003,$EX26))),"S4",IF(NOT(EXACT(INDEX($DS$5:$DS$1003,$EX25),INDEX($DS$5:$DS$1003,$EX26))),"S3",IF(NOT(EXACT(INDEX($DR$5:$DR$1003,$EX25),INDEX($DR$5:$DR$1003,$EX26))),"S1 Count Change","S1")))),"")</f>
        <v/>
      </c>
      <c r="FT26">
        <f>IF($EY26="row",INDEX($ES$5:$ES$1003,$EX26),"")</f>
        <v/>
      </c>
      <c r="FU26">
        <f>IF($EY26="row",INDEX($EO$5:$EO$1003,$EX26),0)</f>
        <v/>
      </c>
      <c r="FV26">
        <f>IF($FS26="S1 Count Change",1,0)</f>
        <v/>
      </c>
      <c r="FX26" t="n">
        <v>22</v>
      </c>
      <c r="FY26">
        <f>IFERROR(MATCH($FX26,$EF$5:$EF$1003,0),0)</f>
        <v/>
      </c>
      <c r="FZ26">
        <f>IF($FY26=0,"",INDEX($DH$5:$DH$1003,$FY26))</f>
        <v/>
      </c>
      <c r="GA26">
        <f>IF($FY26=0,"",COUNTIF($EG$5:$EG$1003,$FX26))</f>
        <v/>
      </c>
      <c r="GB26">
        <f>IF($FY26=0,"",INDEX($ER$5:$ER$1003,$FY26))</f>
        <v/>
      </c>
      <c r="GC26">
        <f>IF($FY26=0,"",IF(INDEX($EO$5:$EO$1003,$FY26)=1,"Yes",""))</f>
        <v/>
      </c>
      <c r="GD26">
        <f>IF($FY26=0,"",IF(INDEX($EN$5:$EN$1003,$FY26)&gt;0,"","NOT IN YOUR LIST - type it in column A to tick it"))</f>
        <v/>
      </c>
      <c r="GE26">
        <f>IF(AND($FY26&gt;0,$GD26&lt;&gt;""),1,0)</f>
        <v/>
      </c>
      <c r="GF26">
        <f>GF25+$GE26</f>
        <v/>
      </c>
      <c r="GG26">
        <f>IFERROR(INDEX($FZ$5:$FZ$104,MATCH($FX26,$GF$5:$GF$104,0)),"")</f>
        <v/>
      </c>
    </row>
    <row r="27">
      <c r="A27" t="inlineStr">
        <is>
          <t>No header row found in rows 1-40</t>
        </is>
      </c>
      <c r="B27">
        <f>IF(AND($B$7=0,MAX($CM$5:$CM$44)&lt;=0),1,0)</f>
        <v/>
      </c>
      <c r="S27" t="n">
        <v>23</v>
      </c>
      <c r="T27" t="inlineStr">
        <is>
          <t>W</t>
        </is>
      </c>
      <c r="V27" t="inlineStr">
        <is>
          <t>OPSEQ</t>
        </is>
      </c>
      <c r="W27" t="n">
        <v>3</v>
      </c>
      <c r="Y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 ",""),"!",""),CHAR(34),""),"#",""),"$",""),"%",""),"&amp;",""),"'",""),"(",""),")",""),"*",""),"+",""),",",""),"-",""),".",""),"/",""),":",""),";",""),"&lt;",""),"=",""),"&gt;",""),"?",""),"@",""),"[",""),"\",""),"]",""),"^",""),"_",""),"`",""),"{",""),"|",""),"}",""),"~",""),CHAR(9),""),CHAR(10),""),CHAR(13),"")," ",""),"")</f>
        <v/>
      </c>
      <c r="Z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 ",""),"!",""),CHAR(34),""),"#",""),"$",""),"%",""),"&amp;",""),"'",""),"(",""),")",""),"*",""),"+",""),",",""),"-",""),".",""),"/",""),":",""),";",""),"&lt;",""),"=",""),"&gt;",""),"?",""),"@",""),"[",""),"\",""),"]",""),"^",""),"_",""),"`",""),"{",""),"|",""),"}",""),"~",""),CHAR(9),""),CHAR(10),""),CHAR(13),"")," ",""),"")</f>
        <v/>
      </c>
      <c r="AA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 ",""),"!",""),CHAR(34),""),"#",""),"$",""),"%",""),"&amp;",""),"'",""),"(",""),")",""),"*",""),"+",""),",",""),"-",""),".",""),"/",""),":",""),";",""),"&lt;",""),"=",""),"&gt;",""),"?",""),"@",""),"[",""),"\",""),"]",""),"^",""),"_",""),"`",""),"{",""),"|",""),"}",""),"~",""),CHAR(9),""),CHAR(10),""),CHAR(13),"")," ",""),"")</f>
        <v/>
      </c>
      <c r="AB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 ",""),"!",""),CHAR(34),""),"#",""),"$",""),"%",""),"&amp;",""),"'",""),"(",""),")",""),"*",""),"+",""),",",""),"-",""),".",""),"/",""),":",""),";",""),"&lt;",""),"=",""),"&gt;",""),"?",""),"@",""),"[",""),"\",""),"]",""),"^",""),"_",""),"`",""),"{",""),"|",""),"}",""),"~",""),CHAR(9),""),CHAR(10),""),CHAR(13),"")," ",""),"")</f>
        <v/>
      </c>
      <c r="AC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 ",""),"!",""),CHAR(34),""),"#",""),"$",""),"%",""),"&amp;",""),"'",""),"(",""),")",""),"*",""),"+",""),",",""),"-",""),".",""),"/",""),":",""),";",""),"&lt;",""),"=",""),"&gt;",""),"?",""),"@",""),"[",""),"\",""),"]",""),"^",""),"_",""),"`",""),"{",""),"|",""),"}",""),"~",""),CHAR(9),""),CHAR(10),""),CHAR(13),"")," ",""),"")</f>
        <v/>
      </c>
      <c r="AD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23,6))," ",""),"!",""),CHAR(34),""),"#",""),"$",""),"%",""),"&amp;",""),"'",""),"(",""),")",""),"*",""),"+",""),",",""),"-",""),".",""),"/",""),":",""),";",""),"&lt;",""),"=",""),"&gt;",""),"?",""),"@",""),"[",""),"\",""),"]",""),"^",""),"_",""),"`",""),"{",""),"|",""),"}",""),"~",""),CHAR(9),""),CHAR(10),""),CHAR(13),"")," ",""),"")</f>
        <v/>
      </c>
      <c r="AE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23,7))," ",""),"!",""),CHAR(34),""),"#",""),"$",""),"%",""),"&amp;",""),"'",""),"(",""),")",""),"*",""),"+",""),",",""),"-",""),".",""),"/",""),":",""),";",""),"&lt;",""),"=",""),"&gt;",""),"?",""),"@",""),"[",""),"\",""),"]",""),"^",""),"_",""),"`",""),"{",""),"|",""),"}",""),"~",""),CHAR(9),""),CHAR(10),""),CHAR(13),"")," ",""),"")</f>
        <v/>
      </c>
      <c r="AF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23,8))," ",""),"!",""),CHAR(34),""),"#",""),"$",""),"%",""),"&amp;",""),"'",""),"(",""),")",""),"*",""),"+",""),",",""),"-",""),".",""),"/",""),":",""),";",""),"&lt;",""),"=",""),"&gt;",""),"?",""),"@",""),"[",""),"\",""),"]",""),"^",""),"_",""),"`",""),"{",""),"|",""),"}",""),"~",""),CHAR(9),""),CHAR(10),""),CHAR(13),"")," ",""),"")</f>
        <v/>
      </c>
      <c r="AG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23,9))," ",""),"!",""),CHAR(34),""),"#",""),"$",""),"%",""),"&amp;",""),"'",""),"(",""),")",""),"*",""),"+",""),",",""),"-",""),".",""),"/",""),":",""),";",""),"&lt;",""),"=",""),"&gt;",""),"?",""),"@",""),"[",""),"\",""),"]",""),"^",""),"_",""),"`",""),"{",""),"|",""),"}",""),"~",""),CHAR(9),""),CHAR(10),""),CHAR(13),"")," ",""),"")</f>
        <v/>
      </c>
      <c r="AH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23,10))," ",""),"!",""),CHAR(34),""),"#",""),"$",""),"%",""),"&amp;",""),"'",""),"(",""),")",""),"*",""),"+",""),",",""),"-",""),".",""),"/",""),":",""),";",""),"&lt;",""),"=",""),"&gt;",""),"?",""),"@",""),"[",""),"\",""),"]",""),"^",""),"_",""),"`",""),"{",""),"|",""),"}",""),"~",""),CHAR(9),""),CHAR(10),""),CHAR(13),"")," ",""),"")</f>
        <v/>
      </c>
      <c r="AI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23,11))," ",""),"!",""),CHAR(34),""),"#",""),"$",""),"%",""),"&amp;",""),"'",""),"(",""),")",""),"*",""),"+",""),",",""),"-",""),".",""),"/",""),":",""),";",""),"&lt;",""),"=",""),"&gt;",""),"?",""),"@",""),"[",""),"\",""),"]",""),"^",""),"_",""),"`",""),"{",""),"|",""),"}",""),"~",""),CHAR(9),""),CHAR(10),""),CHAR(13),"")," ",""),"")</f>
        <v/>
      </c>
      <c r="AJ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23,12))," ",""),"!",""),CHAR(34),""),"#",""),"$",""),"%",""),"&amp;",""),"'",""),"(",""),")",""),"*",""),"+",""),",",""),"-",""),".",""),"/",""),":",""),";",""),"&lt;",""),"=",""),"&gt;",""),"?",""),"@",""),"[",""),"\",""),"]",""),"^",""),"_",""),"`",""),"{",""),"|",""),"}",""),"~",""),CHAR(9),""),CHAR(10),""),CHAR(13),"")," ",""),"")</f>
        <v/>
      </c>
      <c r="AK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23,13))," ",""),"!",""),CHAR(34),""),"#",""),"$",""),"%",""),"&amp;",""),"'",""),"(",""),")",""),"*",""),"+",""),",",""),"-",""),".",""),"/",""),":",""),";",""),"&lt;",""),"=",""),"&gt;",""),"?",""),"@",""),"[",""),"\",""),"]",""),"^",""),"_",""),"`",""),"{",""),"|",""),"}",""),"~",""),CHAR(9),""),CHAR(10),""),CHAR(13),"")," ",""),"")</f>
        <v/>
      </c>
      <c r="AL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23,14))," ",""),"!",""),CHAR(34),""),"#",""),"$",""),"%",""),"&amp;",""),"'",""),"(",""),")",""),"*",""),"+",""),",",""),"-",""),".",""),"/",""),":",""),";",""),"&lt;",""),"=",""),"&gt;",""),"?",""),"@",""),"[",""),"\",""),"]",""),"^",""),"_",""),"`",""),"{",""),"|",""),"}",""),"~",""),CHAR(9),""),CHAR(10),""),CHAR(13),"")," ",""),"")</f>
        <v/>
      </c>
      <c r="AM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23,15))," ",""),"!",""),CHAR(34),""),"#",""),"$",""),"%",""),"&amp;",""),"'",""),"(",""),")",""),"*",""),"+",""),",",""),"-",""),".",""),"/",""),":",""),";",""),"&lt;",""),"=",""),"&gt;",""),"?",""),"@",""),"[",""),"\",""),"]",""),"^",""),"_",""),"`",""),"{",""),"|",""),"}",""),"~",""),CHAR(9),""),CHAR(10),""),CHAR(13),"")," ",""),"")</f>
        <v/>
      </c>
      <c r="AN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23,16))," ",""),"!",""),CHAR(34),""),"#",""),"$",""),"%",""),"&amp;",""),"'",""),"(",""),")",""),"*",""),"+",""),",",""),"-",""),".",""),"/",""),":",""),";",""),"&lt;",""),"=",""),"&gt;",""),"?",""),"@",""),"[",""),"\",""),"]",""),"^",""),"_",""),"`",""),"{",""),"|",""),"}",""),"~",""),CHAR(9),""),CHAR(10),""),CHAR(13),"")," ",""),"")</f>
        <v/>
      </c>
      <c r="AO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23,17))," ",""),"!",""),CHAR(34),""),"#",""),"$",""),"%",""),"&amp;",""),"'",""),"(",""),")",""),"*",""),"+",""),",",""),"-",""),".",""),"/",""),":",""),";",""),"&lt;",""),"=",""),"&gt;",""),"?",""),"@",""),"[",""),"\",""),"]",""),"^",""),"_",""),"`",""),"{",""),"|",""),"}",""),"~",""),CHAR(9),""),CHAR(10),""),CHAR(13),"")," ",""),"")</f>
        <v/>
      </c>
      <c r="AP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23,18))," ",""),"!",""),CHAR(34),""),"#",""),"$",""),"%",""),"&amp;",""),"'",""),"(",""),")",""),"*",""),"+",""),",",""),"-",""),".",""),"/",""),":",""),";",""),"&lt;",""),"=",""),"&gt;",""),"?",""),"@",""),"[",""),"\",""),"]",""),"^",""),"_",""),"`",""),"{",""),"|",""),"}",""),"~",""),CHAR(9),""),CHAR(10),""),CHAR(13),"")," ",""),"")</f>
        <v/>
      </c>
      <c r="AQ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23,19))," ",""),"!",""),CHAR(34),""),"#",""),"$",""),"%",""),"&amp;",""),"'",""),"(",""),")",""),"*",""),"+",""),",",""),"-",""),".",""),"/",""),":",""),";",""),"&lt;",""),"=",""),"&gt;",""),"?",""),"@",""),"[",""),"\",""),"]",""),"^",""),"_",""),"`",""),"{",""),"|",""),"}",""),"~",""),CHAR(9),""),CHAR(10),""),CHAR(13),"")," ",""),"")</f>
        <v/>
      </c>
      <c r="AR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23,20))," ",""),"!",""),CHAR(34),""),"#",""),"$",""),"%",""),"&amp;",""),"'",""),"(",""),")",""),"*",""),"+",""),",",""),"-",""),".",""),"/",""),":",""),";",""),"&lt;",""),"=",""),"&gt;",""),"?",""),"@",""),"[",""),"\",""),"]",""),"^",""),"_",""),"`",""),"{",""),"|",""),"}",""),"~",""),CHAR(9),""),CHAR(10),""),CHAR(13),"")," ",""),"")</f>
        <v/>
      </c>
      <c r="AS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23,21))," ",""),"!",""),CHAR(34),""),"#",""),"$",""),"%",""),"&amp;",""),"'",""),"(",""),")",""),"*",""),"+",""),",",""),"-",""),".",""),"/",""),":",""),";",""),"&lt;",""),"=",""),"&gt;",""),"?",""),"@",""),"[",""),"\",""),"]",""),"^",""),"_",""),"`",""),"{",""),"|",""),"}",""),"~",""),CHAR(9),""),CHAR(10),""),CHAR(13),"")," ",""),"")</f>
        <v/>
      </c>
      <c r="AT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23,22))," ",""),"!",""),CHAR(34),""),"#",""),"$",""),"%",""),"&amp;",""),"'",""),"(",""),")",""),"*",""),"+",""),",",""),"-",""),".",""),"/",""),":",""),";",""),"&lt;",""),"=",""),"&gt;",""),"?",""),"@",""),"[",""),"\",""),"]",""),"^",""),"_",""),"`",""),"{",""),"|",""),"}",""),"~",""),CHAR(9),""),CHAR(10),""),CHAR(13),"")," ",""),"")</f>
        <v/>
      </c>
      <c r="AU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23,23))," ",""),"!",""),CHAR(34),""),"#",""),"$",""),"%",""),"&amp;",""),"'",""),"(",""),")",""),"*",""),"+",""),",",""),"-",""),".",""),"/",""),":",""),";",""),"&lt;",""),"=",""),"&gt;",""),"?",""),"@",""),"[",""),"\",""),"]",""),"^",""),"_",""),"`",""),"{",""),"|",""),"}",""),"~",""),CHAR(9),""),CHAR(10),""),CHAR(13),"")," ",""),"")</f>
        <v/>
      </c>
      <c r="AV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23,24))," ",""),"!",""),CHAR(34),""),"#",""),"$",""),"%",""),"&amp;",""),"'",""),"(",""),")",""),"*",""),"+",""),",",""),"-",""),".",""),"/",""),":",""),";",""),"&lt;",""),"=",""),"&gt;",""),"?",""),"@",""),"[",""),"\",""),"]",""),"^",""),"_",""),"`",""),"{",""),"|",""),"}",""),"~",""),CHAR(9),""),CHAR(10),""),CHAR(13),"")," ",""),"")</f>
        <v/>
      </c>
      <c r="AW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23,25))," ",""),"!",""),CHAR(34),""),"#",""),"$",""),"%",""),"&amp;",""),"'",""),"(",""),")",""),"*",""),"+",""),",",""),"-",""),".",""),"/",""),":",""),";",""),"&lt;",""),"=",""),"&gt;",""),"?",""),"@",""),"[",""),"\",""),"]",""),"^",""),"_",""),"`",""),"{",""),"|",""),"}",""),"~",""),CHAR(9),""),CHAR(10),""),CHAR(13),"")," ",""),"")</f>
        <v/>
      </c>
      <c r="AX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23,26))," ",""),"!",""),CHAR(34),""),"#",""),"$",""),"%",""),"&amp;",""),"'",""),"(",""),")",""),"*",""),"+",""),",",""),"-",""),".",""),"/",""),":",""),";",""),"&lt;",""),"=",""),"&gt;",""),"?",""),"@",""),"[",""),"\",""),"]",""),"^",""),"_",""),"`",""),"{",""),"|",""),"}",""),"~",""),CHAR(9),""),CHAR(10),""),CHAR(13),"")," ",""),"")</f>
        <v/>
      </c>
      <c r="AY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23,27))," ",""),"!",""),CHAR(34),""),"#",""),"$",""),"%",""),"&amp;",""),"'",""),"(",""),")",""),"*",""),"+",""),",",""),"-",""),".",""),"/",""),":",""),";",""),"&lt;",""),"=",""),"&gt;",""),"?",""),"@",""),"[",""),"\",""),"]",""),"^",""),"_",""),"`",""),"{",""),"|",""),"}",""),"~",""),CHAR(9),""),CHAR(10),""),CHAR(13),"")," ",""),"")</f>
        <v/>
      </c>
      <c r="AZ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23,28))," ",""),"!",""),CHAR(34),""),"#",""),"$",""),"%",""),"&amp;",""),"'",""),"(",""),")",""),"*",""),"+",""),",",""),"-",""),".",""),"/",""),":",""),";",""),"&lt;",""),"=",""),"&gt;",""),"?",""),"@",""),"[",""),"\",""),"]",""),"^",""),"_",""),"`",""),"{",""),"|",""),"}",""),"~",""),CHAR(9),""),CHAR(10),""),CHAR(13),"")," ",""),"")</f>
        <v/>
      </c>
      <c r="BA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23,29))," ",""),"!",""),CHAR(34),""),"#",""),"$",""),"%",""),"&amp;",""),"'",""),"(",""),")",""),"*",""),"+",""),",",""),"-",""),".",""),"/",""),":",""),";",""),"&lt;",""),"=",""),"&gt;",""),"?",""),"@",""),"[",""),"\",""),"]",""),"^",""),"_",""),"`",""),"{",""),"|",""),"}",""),"~",""),CHAR(9),""),CHAR(10),""),CHAR(13),"")," ",""),"")</f>
        <v/>
      </c>
      <c r="BB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23,30))," ",""),"!",""),CHAR(34),""),"#",""),"$",""),"%",""),"&amp;",""),"'",""),"(",""),")",""),"*",""),"+",""),",",""),"-",""),".",""),"/",""),":",""),";",""),"&lt;",""),"=",""),"&gt;",""),"?",""),"@",""),"[",""),"\",""),"]",""),"^",""),"_",""),"`",""),"{",""),"|",""),"}",""),"~",""),CHAR(9),""),CHAR(10),""),CHAR(13),"")," ",""),"")</f>
        <v/>
      </c>
      <c r="BC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23,31))," ",""),"!",""),CHAR(34),""),"#",""),"$",""),"%",""),"&amp;",""),"'",""),"(",""),")",""),"*",""),"+",""),",",""),"-",""),".",""),"/",""),":",""),";",""),"&lt;",""),"=",""),"&gt;",""),"?",""),"@",""),"[",""),"\",""),"]",""),"^",""),"_",""),"`",""),"{",""),"|",""),"}",""),"~",""),CHAR(9),""),CHAR(10),""),CHAR(13),"")," ",""),"")</f>
        <v/>
      </c>
      <c r="BD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23,32))," ",""),"!",""),CHAR(34),""),"#",""),"$",""),"%",""),"&amp;",""),"'",""),"(",""),")",""),"*",""),"+",""),",",""),"-",""),".",""),"/",""),":",""),";",""),"&lt;",""),"=",""),"&gt;",""),"?",""),"@",""),"[",""),"\",""),"]",""),"^",""),"_",""),"`",""),"{",""),"|",""),"}",""),"~",""),CHAR(9),""),CHAR(10),""),CHAR(13),"")," ",""),"")</f>
        <v/>
      </c>
      <c r="BE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23,33))," ",""),"!",""),CHAR(34),""),"#",""),"$",""),"%",""),"&amp;",""),"'",""),"(",""),")",""),"*",""),"+",""),",",""),"-",""),".",""),"/",""),":",""),";",""),"&lt;",""),"=",""),"&gt;",""),"?",""),"@",""),"[",""),"\",""),"]",""),"^",""),"_",""),"`",""),"{",""),"|",""),"}",""),"~",""),CHAR(9),""),CHAR(10),""),CHAR(13),"")," ",""),"")</f>
        <v/>
      </c>
      <c r="BF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23,34))," ",""),"!",""),CHAR(34),""),"#",""),"$",""),"%",""),"&amp;",""),"'",""),"(",""),")",""),"*",""),"+",""),",",""),"-",""),".",""),"/",""),":",""),";",""),"&lt;",""),"=",""),"&gt;",""),"?",""),"@",""),"[",""),"\",""),"]",""),"^",""),"_",""),"`",""),"{",""),"|",""),"}",""),"~",""),CHAR(9),""),CHAR(10),""),CHAR(13),"")," ",""),"")</f>
        <v/>
      </c>
      <c r="BG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23,35))," ",""),"!",""),CHAR(34),""),"#",""),"$",""),"%",""),"&amp;",""),"'",""),"(",""),")",""),"*",""),"+",""),",",""),"-",""),".",""),"/",""),":",""),";",""),"&lt;",""),"=",""),"&gt;",""),"?",""),"@",""),"[",""),"\",""),"]",""),"^",""),"_",""),"`",""),"{",""),"|",""),"}",""),"~",""),CHAR(9),""),CHAR(10),""),CHAR(13),"")," ",""),"")</f>
        <v/>
      </c>
      <c r="BH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23,36))," ",""),"!",""),CHAR(34),""),"#",""),"$",""),"%",""),"&amp;",""),"'",""),"(",""),")",""),"*",""),"+",""),",",""),"-",""),".",""),"/",""),":",""),";",""),"&lt;",""),"=",""),"&gt;",""),"?",""),"@",""),"[",""),"\",""),"]",""),"^",""),"_",""),"`",""),"{",""),"|",""),"}",""),"~",""),CHAR(9),""),CHAR(10),""),CHAR(13),"")," ",""),"")</f>
        <v/>
      </c>
      <c r="BI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23,37))," ",""),"!",""),CHAR(34),""),"#",""),"$",""),"%",""),"&amp;",""),"'",""),"(",""),")",""),"*",""),"+",""),",",""),"-",""),".",""),"/",""),":",""),";",""),"&lt;",""),"=",""),"&gt;",""),"?",""),"@",""),"[",""),"\",""),"]",""),"^",""),"_",""),"`",""),"{",""),"|",""),"}",""),"~",""),CHAR(9),""),CHAR(10),""),CHAR(13),"")," ",""),"")</f>
        <v/>
      </c>
      <c r="BJ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23,38))," ",""),"!",""),CHAR(34),""),"#",""),"$",""),"%",""),"&amp;",""),"'",""),"(",""),")",""),"*",""),"+",""),",",""),"-",""),".",""),"/",""),":",""),";",""),"&lt;",""),"=",""),"&gt;",""),"?",""),"@",""),"[",""),"\",""),"]",""),"^",""),"_",""),"`",""),"{",""),"|",""),"}",""),"~",""),CHAR(9),""),CHAR(10),""),CHAR(13),"")," ",""),"")</f>
        <v/>
      </c>
      <c r="BK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23,39))," ",""),"!",""),CHAR(34),""),"#",""),"$",""),"%",""),"&amp;",""),"'",""),"(",""),")",""),"*",""),"+",""),",",""),"-",""),".",""),"/",""),":",""),";",""),"&lt;",""),"=",""),"&gt;",""),"?",""),"@",""),"[",""),"\",""),"]",""),"^",""),"_",""),"`",""),"{",""),"|",""),"}",""),"~",""),CHAR(9),""),CHAR(10),""),CHAR(13),"")," ",""),"")</f>
        <v/>
      </c>
      <c r="BL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23,40))," ",""),"!",""),CHAR(34),""),"#",""),"$",""),"%",""),"&amp;",""),"'",""),"(",""),")",""),"*",""),"+",""),",",""),"-",""),".",""),"/",""),":",""),";",""),"&lt;",""),"=",""),"&gt;",""),"?",""),"@",""),"[",""),"\",""),"]",""),"^",""),"_",""),"`",""),"{",""),"|",""),"}",""),"~",""),CHAR(9),""),CHAR(10),""),CHAR(13),"")," ",""),"")</f>
        <v/>
      </c>
      <c r="BM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23,41))," ",""),"!",""),CHAR(34),""),"#",""),"$",""),"%",""),"&amp;",""),"'",""),"(",""),")",""),"*",""),"+",""),",",""),"-",""),".",""),"/",""),":",""),";",""),"&lt;",""),"=",""),"&gt;",""),"?",""),"@",""),"[",""),"\",""),"]",""),"^",""),"_",""),"`",""),"{",""),"|",""),"}",""),"~",""),CHAR(9),""),CHAR(10),""),CHAR(13),"")," ",""),"")</f>
        <v/>
      </c>
      <c r="BN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23,42))," ",""),"!",""),CHAR(34),""),"#",""),"$",""),"%",""),"&amp;",""),"'",""),"(",""),")",""),"*",""),"+",""),",",""),"-",""),".",""),"/",""),":",""),";",""),"&lt;",""),"=",""),"&gt;",""),"?",""),"@",""),"[",""),"\",""),"]",""),"^",""),"_",""),"`",""),"{",""),"|",""),"}",""),"~",""),CHAR(9),""),CHAR(10),""),CHAR(13),"")," ",""),"")</f>
        <v/>
      </c>
      <c r="BO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23,43))," ",""),"!",""),CHAR(34),""),"#",""),"$",""),"%",""),"&amp;",""),"'",""),"(",""),")",""),"*",""),"+",""),",",""),"-",""),".",""),"/",""),":",""),";",""),"&lt;",""),"=",""),"&gt;",""),"?",""),"@",""),"[",""),"\",""),"]",""),"^",""),"_",""),"`",""),"{",""),"|",""),"}",""),"~",""),CHAR(9),""),CHAR(10),""),CHAR(13),"")," ",""),"")</f>
        <v/>
      </c>
      <c r="BP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23,44))," ",""),"!",""),CHAR(34),""),"#",""),"$",""),"%",""),"&amp;",""),"'",""),"(",""),")",""),"*",""),"+",""),",",""),"-",""),".",""),"/",""),":",""),";",""),"&lt;",""),"=",""),"&gt;",""),"?",""),"@",""),"[",""),"\",""),"]",""),"^",""),"_",""),"`",""),"{",""),"|",""),"}",""),"~",""),CHAR(9),""),CHAR(10),""),CHAR(13),"")," ",""),"")</f>
        <v/>
      </c>
      <c r="BQ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23,45))," ",""),"!",""),CHAR(34),""),"#",""),"$",""),"%",""),"&amp;",""),"'",""),"(",""),")",""),"*",""),"+",""),",",""),"-",""),".",""),"/",""),":",""),";",""),"&lt;",""),"=",""),"&gt;",""),"?",""),"@",""),"[",""),"\",""),"]",""),"^",""),"_",""),"`",""),"{",""),"|",""),"}",""),"~",""),CHAR(9),""),CHAR(10),""),CHAR(13),"")," ",""),"")</f>
        <v/>
      </c>
      <c r="BR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23,46))," ",""),"!",""),CHAR(34),""),"#",""),"$",""),"%",""),"&amp;",""),"'",""),"(",""),")",""),"*",""),"+",""),",",""),"-",""),".",""),"/",""),":",""),";",""),"&lt;",""),"=",""),"&gt;",""),"?",""),"@",""),"[",""),"\",""),"]",""),"^",""),"_",""),"`",""),"{",""),"|",""),"}",""),"~",""),CHAR(9),""),CHAR(10),""),CHAR(13),"")," ",""),"")</f>
        <v/>
      </c>
      <c r="BS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23,47))," ",""),"!",""),CHAR(34),""),"#",""),"$",""),"%",""),"&amp;",""),"'",""),"(",""),")",""),"*",""),"+",""),",",""),"-",""),".",""),"/",""),":",""),";",""),"&lt;",""),"=",""),"&gt;",""),"?",""),"@",""),"[",""),"\",""),"]",""),"^",""),"_",""),"`",""),"{",""),"|",""),"}",""),"~",""),CHAR(9),""),CHAR(10),""),CHAR(13),"")," ",""),"")</f>
        <v/>
      </c>
      <c r="BT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23,48))," ",""),"!",""),CHAR(34),""),"#",""),"$",""),"%",""),"&amp;",""),"'",""),"(",""),")",""),"*",""),"+",""),",",""),"-",""),".",""),"/",""),":",""),";",""),"&lt;",""),"=",""),"&gt;",""),"?",""),"@",""),"[",""),"\",""),"]",""),"^",""),"_",""),"`",""),"{",""),"|",""),"}",""),"~",""),CHAR(9),""),CHAR(10),""),CHAR(13),"")," ",""),"")</f>
        <v/>
      </c>
      <c r="BU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23,49))," ",""),"!",""),CHAR(34),""),"#",""),"$",""),"%",""),"&amp;",""),"'",""),"(",""),")",""),"*",""),"+",""),",",""),"-",""),".",""),"/",""),":",""),";",""),"&lt;",""),"=",""),"&gt;",""),"?",""),"@",""),"[",""),"\",""),"]",""),"^",""),"_",""),"`",""),"{",""),"|",""),"}",""),"~",""),CHAR(9),""),CHAR(10),""),CHAR(13),"")," ",""),"")</f>
        <v/>
      </c>
      <c r="BV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23,50))," ",""),"!",""),CHAR(34),""),"#",""),"$",""),"%",""),"&amp;",""),"'",""),"(",""),")",""),"*",""),"+",""),",",""),"-",""),".",""),"/",""),":",""),";",""),"&lt;",""),"=",""),"&gt;",""),"?",""),"@",""),"[",""),"\",""),"]",""),"^",""),"_",""),"`",""),"{",""),"|",""),"}",""),"~",""),CHAR(9),""),CHAR(10),""),CHAR(13),"")," ",""),"")</f>
        <v/>
      </c>
      <c r="BW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23,51))," ",""),"!",""),CHAR(34),""),"#",""),"$",""),"%",""),"&amp;",""),"'",""),"(",""),")",""),"*",""),"+",""),",",""),"-",""),".",""),"/",""),":",""),";",""),"&lt;",""),"=",""),"&gt;",""),"?",""),"@",""),"[",""),"\",""),"]",""),"^",""),"_",""),"`",""),"{",""),"|",""),"}",""),"~",""),CHAR(9),""),CHAR(10),""),CHAR(13),"")," ",""),"")</f>
        <v/>
      </c>
      <c r="BX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23,52))," ",""),"!",""),CHAR(34),""),"#",""),"$",""),"%",""),"&amp;",""),"'",""),"(",""),")",""),"*",""),"+",""),",",""),"-",""),".",""),"/",""),":",""),";",""),"&lt;",""),"=",""),"&gt;",""),"?",""),"@",""),"[",""),"\",""),"]",""),"^",""),"_",""),"`",""),"{",""),"|",""),"}",""),"~",""),CHAR(9),""),CHAR(10),""),CHAR(13),"")," ",""),"")</f>
        <v/>
      </c>
      <c r="BY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23,53))," ",""),"!",""),CHAR(34),""),"#",""),"$",""),"%",""),"&amp;",""),"'",""),"(",""),")",""),"*",""),"+",""),",",""),"-",""),".",""),"/",""),":",""),";",""),"&lt;",""),"=",""),"&gt;",""),"?",""),"@",""),"[",""),"\",""),"]",""),"^",""),"_",""),"`",""),"{",""),"|",""),"}",""),"~",""),CHAR(9),""),CHAR(10),""),CHAR(13),"")," ",""),"")</f>
        <v/>
      </c>
      <c r="BZ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23,54))," ",""),"!",""),CHAR(34),""),"#",""),"$",""),"%",""),"&amp;",""),"'",""),"(",""),")",""),"*",""),"+",""),",",""),"-",""),".",""),"/",""),":",""),";",""),"&lt;",""),"=",""),"&gt;",""),"?",""),"@",""),"[",""),"\",""),"]",""),"^",""),"_",""),"`",""),"{",""),"|",""),"}",""),"~",""),CHAR(9),""),CHAR(10),""),CHAR(13),"")," ",""),"")</f>
        <v/>
      </c>
      <c r="CA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23,55))," ",""),"!",""),CHAR(34),""),"#",""),"$",""),"%",""),"&amp;",""),"'",""),"(",""),")",""),"*",""),"+",""),",",""),"-",""),".",""),"/",""),":",""),";",""),"&lt;",""),"=",""),"&gt;",""),"?",""),"@",""),"[",""),"\",""),"]",""),"^",""),"_",""),"`",""),"{",""),"|",""),"}",""),"~",""),CHAR(9),""),CHAR(10),""),CHAR(13),"")," ",""),"")</f>
        <v/>
      </c>
      <c r="CB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23,56))," ",""),"!",""),CHAR(34),""),"#",""),"$",""),"%",""),"&amp;",""),"'",""),"(",""),")",""),"*",""),"+",""),",",""),"-",""),".",""),"/",""),":",""),";",""),"&lt;",""),"=",""),"&gt;",""),"?",""),"@",""),"[",""),"\",""),"]",""),"^",""),"_",""),"`",""),"{",""),"|",""),"}",""),"~",""),CHAR(9),""),CHAR(10),""),CHAR(13),"")," ",""),"")</f>
        <v/>
      </c>
      <c r="CC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23,57))," ",""),"!",""),CHAR(34),""),"#",""),"$",""),"%",""),"&amp;",""),"'",""),"(",""),")",""),"*",""),"+",""),",",""),"-",""),".",""),"/",""),":",""),";",""),"&lt;",""),"=",""),"&gt;",""),"?",""),"@",""),"[",""),"\",""),"]",""),"^",""),"_",""),"`",""),"{",""),"|",""),"}",""),"~",""),CHAR(9),""),CHAR(10),""),CHAR(13),"")," ",""),"")</f>
        <v/>
      </c>
      <c r="CD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23,58))," ",""),"!",""),CHAR(34),""),"#",""),"$",""),"%",""),"&amp;",""),"'",""),"(",""),")",""),"*",""),"+",""),",",""),"-",""),".",""),"/",""),":",""),";",""),"&lt;",""),"=",""),"&gt;",""),"?",""),"@",""),"[",""),"\",""),"]",""),"^",""),"_",""),"`",""),"{",""),"|",""),"}",""),"~",""),CHAR(9),""),CHAR(10),""),CHAR(13),"")," ",""),"")</f>
        <v/>
      </c>
      <c r="CE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23,59))," ",""),"!",""),CHAR(34),""),"#",""),"$",""),"%",""),"&amp;",""),"'",""),"(",""),")",""),"*",""),"+",""),",",""),"-",""),".",""),"/",""),":",""),";",""),"&lt;",""),"=",""),"&gt;",""),"?",""),"@",""),"[",""),"\",""),"]",""),"^",""),"_",""),"`",""),"{",""),"|",""),"}",""),"~",""),CHAR(9),""),CHAR(10),""),CHAR(13),"")," ",""),"")</f>
        <v/>
      </c>
      <c r="CF2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23,60))," ",""),"!",""),CHAR(34),""),"#",""),"$",""),"%",""),"&amp;",""),"'",""),"(",""),")",""),"*",""),"+",""),",",""),"-",""),".",""),"/",""),":",""),";",""),"&lt;",""),"=",""),"&gt;",""),"?",""),"@",""),"[",""),"\",""),"]",""),"^",""),"_",""),"`",""),"{",""),"|",""),"}",""),"~",""),CHAR(9),""),CHAR(10),""),CHAR(13),"")," ",""),"")</f>
        <v/>
      </c>
      <c r="CH27">
        <f>COUNTIF($Y72:$CF72,"&gt;0")</f>
        <v/>
      </c>
      <c r="CI27">
        <f>COUNTIF($Y72:$CF72,2)</f>
        <v/>
      </c>
      <c r="CJ27">
        <f>SUMPRODUCT((COUNTIF($Y117:$CF117,{1,2,3,4,5,6,7,8,9,10,11,12,13,14,15})&gt;0)*{2,4,8,16,32,64,128,256,512,1024,2048,4096,8192,16384,32768})</f>
        <v/>
      </c>
      <c r="CK27">
        <f>CF207</f>
        <v/>
      </c>
      <c r="CL27">
        <f>SUMPRODUCT(MOD(INT(((CJ27+CK27))/{2,4,8,16,32,64,128,256,512,1024,2048,4096,8192,16384,32768}),2))</f>
        <v/>
      </c>
      <c r="CM27">
        <f>IF(CH27&lt;2,-9999,CL27+2*MOD(INT(((CJ27+CK27))/2),2)+2*MOD(INT(((CJ27+CK27))/4),2)-CI27)</f>
        <v/>
      </c>
      <c r="DA27" t="n">
        <v>23</v>
      </c>
      <c r="DB27">
        <f>IF($B$37=0,"",IFERROR(TRIM(SUBSTITUTE(SUBSTITUTE(SUBSTITUTE(SUBSTITUTE(INDEX(PASTE_ALL,23,$B$37)," "," "),CHAR(9)," "),CHAR(10)," "),CHAR(13)," ")),""))</f>
        <v/>
      </c>
      <c r="DC27">
        <f>IF(AND(23&gt;HEADER_ROW,UPPER(DB27)="LEGEND"),1,0)</f>
        <v/>
      </c>
      <c r="DE27" t="n">
        <v>23</v>
      </c>
      <c r="DF27">
        <f>HEADER_ROW+$DE27</f>
        <v/>
      </c>
      <c r="DG27">
        <f>IF(AND($DF27&lt;=1000,$DF27&lt;$B$8),1,0)</f>
        <v/>
      </c>
      <c r="DH27">
        <f>IF($DG27=1,IFERROR(INDEX($DB$5:$DB$1004,$DF27),""),"")</f>
        <v/>
      </c>
      <c r="DI27">
        <f>IF(AND($DG27=1,$DH27&lt;&gt;""),IFERROR(SUBSTITUTE(SUBSTITUTE(TRIM(SUBSTITUTE(SUBSTITUTE(SUBSTITUTE(SUBSTITUTE(IFERROR(INDEX(PASTE_ALL,$DF27,1)&amp;"","")&amp;"␟"&amp;IFERROR(INDEX(PASTE_ALL,$DF27,2)&amp;"","")&amp;"␟"&amp;IFERROR(INDEX(PASTE_ALL,$DF27,3)&amp;"","")&amp;"␟"&amp;IFERROR(INDEX(PASTE_ALL,$DF27,4)&amp;"","")&amp;"␟"&amp;IFERROR(INDEX(PASTE_ALL,$DF27,5)&amp;"","")&amp;"␟"&amp;IFERROR(INDEX(PASTE_ALL,$DF27,6)&amp;"","")&amp;"␟"&amp;IFERROR(INDEX(PASTE_ALL,$DF27,7)&amp;"","")&amp;"␟"&amp;IFERROR(INDEX(PASTE_ALL,$DF27,8)&amp;"","")&amp;"␟"&amp;IFERROR(INDEX(PASTE_ALL,$DF27,9)&amp;"","")&amp;"␟"&amp;IFERROR(INDEX(PASTE_ALL,$DF27,10)&amp;"","")&amp;"␟"&amp;IFERROR(INDEX(PASTE_ALL,$DF27,11)&amp;"","")&amp;"␟"&amp;IFERROR(INDEX(PASTE_ALL,$DF27,12)&amp;"","")&amp;"␟"&amp;IFERROR(INDEX(PASTE_ALL,$DF27,13)&amp;"","")&amp;"␟"&amp;IFERROR(INDEX(PASTE_ALL,$DF27,14)&amp;"","")&amp;"␟"&amp;IFERROR(INDEX(PASTE_ALL,$DF27,15)&amp;"","")&amp;"␟"&amp;IFERROR(INDEX(PASTE_ALL,$DF27,16)&amp;"","")&amp;"␟"&amp;IFERROR(INDEX(PASTE_ALL,$DF27,17)&amp;"","")&amp;"␟"&amp;IFERROR(INDEX(PASTE_ALL,$DF27,18)&amp;"","")&amp;"␟"&amp;IFERROR(INDEX(PASTE_ALL,$DF27,19)&amp;"","")&amp;"␟"&amp;IFERROR(INDEX(PASTE_ALL,$DF27,20)&amp;"","")&amp;"␟"&amp;IFERROR(INDEX(PASTE_ALL,$DF27,21)&amp;"","")&amp;"␟"&amp;IFERROR(INDEX(PASTE_ALL,$DF27,22)&amp;"","")&amp;"␟"&amp;IFERROR(INDEX(PASTE_ALL,$DF27,23)&amp;"","")&amp;"␟"&amp;IFERROR(INDEX(PASTE_ALL,$DF27,24)&amp;"","")&amp;"␟"&amp;IFERROR(INDEX(PASTE_ALL,$DF27,25)&amp;"","")&amp;"␟"&amp;IFERROR(INDEX(PASTE_ALL,$DF27,26)&amp;"","")&amp;"␟"&amp;IFERROR(INDEX(PASTE_ALL,$DF27,27)&amp;"","")&amp;"␟"&amp;IFERROR(INDEX(PASTE_ALL,$DF27,28)&amp;"","")&amp;"␟"&amp;IFERROR(INDEX(PASTE_ALL,$DF27,29)&amp;"","")&amp;"␟"&amp;IFERROR(INDEX(PASTE_ALL,$DF27,30)&amp;"","")&amp;"␟"&amp;IFERROR(INDEX(PASTE_ALL,$DF27,31)&amp;"","")&amp;"␟"&amp;IFERROR(INDEX(PASTE_ALL,$DF27,32)&amp;"","")&amp;"␟"&amp;IFERROR(INDEX(PASTE_ALL,$DF27,33)&amp;"","")&amp;"␟"&amp;IFERROR(INDEX(PASTE_ALL,$DF27,34)&amp;"","")&amp;"␟"&amp;IFERROR(INDEX(PASTE_ALL,$DF27,35)&amp;"","")&amp;"␟"&amp;IFERROR(INDEX(PASTE_ALL,$DF27,36)&amp;"","")&amp;"␟"&amp;IFERROR(INDEX(PASTE_ALL,$DF27,37)&amp;"","")&amp;"␟"&amp;IFERROR(INDEX(PASTE_ALL,$DF27,38)&amp;"","")&amp;"␟"&amp;IFERROR(INDEX(PASTE_ALL,$DF27,39)&amp;"","")&amp;"␟"&amp;IFERROR(INDEX(PASTE_ALL,$DF27,40)&amp;"","")&amp;"␟"&amp;IFERROR(INDEX(PASTE_ALL,$DF27,41)&amp;"","")&amp;"␟"&amp;IFERROR(INDEX(PASTE_ALL,$DF27,42)&amp;"","")&amp;"␟"&amp;IFERROR(INDEX(PASTE_ALL,$DF27,43)&amp;"","")&amp;"␟"&amp;IFERROR(INDEX(PASTE_ALL,$DF27,44)&amp;"","")&amp;"␟"&amp;IFERROR(INDEX(PASTE_ALL,$DF27,45)&amp;"","")&amp;"␟"&amp;IFERROR(INDEX(PASTE_ALL,$DF27,46)&amp;"","")&amp;"␟"&amp;IFERROR(INDEX(PASTE_ALL,$DF27,47)&amp;"","")&amp;"␟"&amp;IFERROR(INDEX(PASTE_ALL,$DF27,48)&amp;"","")&amp;"␟"&amp;IFERROR(INDEX(PASTE_ALL,$DF27,49)&amp;"","")&amp;"␟"&amp;IFERROR(INDEX(PASTE_ALL,$DF27,50)&amp;"","")&amp;"␟"&amp;IFERROR(INDEX(PASTE_ALL,$DF27,51)&amp;"","")&amp;"␟"&amp;IFERROR(INDEX(PASTE_ALL,$DF27,52)&amp;"","")&amp;"␟"&amp;IFERROR(INDEX(PASTE_ALL,$DF27,53)&amp;"","")&amp;"␟"&amp;IFERROR(INDEX(PASTE_ALL,$DF27,54)&amp;"","")&amp;"␟"&amp;IFERROR(INDEX(PASTE_ALL,$DF27,55)&amp;"","")&amp;"␟"&amp;IFERROR(INDEX(PASTE_ALL,$DF27,56)&amp;"","")&amp;"␟"&amp;IFERROR(INDEX(PASTE_ALL,$DF27,57)&amp;"","")&amp;"␟"&amp;IFERROR(INDEX(PASTE_ALL,$DF27,58)&amp;"","")&amp;"␟"&amp;IFERROR(INDEX(PASTE_ALL,$DF27,59)&amp;"","")&amp;"␟"&amp;IFERROR(INDEX(PASTE_ALL,$DF27,60)&amp;"","")," "," "),CHAR(9)," "),CHAR(10)," "),CHAR(13)," "))," ␟","␟"),"␟ ","␟"),"#"&amp;$DE27),"")</f>
        <v/>
      </c>
      <c r="DJ27">
        <f>IF($DI27="",0,IF(SUMPRODUCT(--EXACT($DI$4:DI26,$DI27))&gt;0,1,0))</f>
        <v/>
      </c>
      <c r="DK27">
        <f>IF(AND($DI27&lt;&gt;"",$DJ27=0),1,0)</f>
        <v/>
      </c>
      <c r="DL27">
        <f>DL26+$DK27</f>
        <v/>
      </c>
      <c r="DM27">
        <f>IF(AND($DK27=1,$DL27&lt;=600),1,0)</f>
        <v/>
      </c>
      <c r="DN27">
        <f>IF($DM27=0,"",IF($L$6=0,"",IFERROR(IF(ISNUMBER(INDEX(PASTE_ALL,$DF27,$L$6)),INDEX(PASTE_ALL,$DF27,$L$6),TRIM(SUBSTITUTE(SUBSTITUTE(SUBSTITUTE(SUBSTITUTE(INDEX(PASTE_ALL,$DF27,$L$6)," "," "),CHAR(9)," "),CHAR(10)," "),CHAR(13)," "))),"")))</f>
        <v/>
      </c>
      <c r="DO27">
        <f>IF($DM27=0,"",IF($L$7=0,"",IFERROR(IF(ISNUMBER(INDEX(PASTE_ALL,$DF27,$L$7)),INDEX(PASTE_ALL,$DF27,$L$7),TRIM(SUBSTITUTE(SUBSTITUTE(SUBSTITUTE(SUBSTITUTE(INDEX(PASTE_ALL,$DF27,$L$7)," "," "),CHAR(9)," "),CHAR(10)," "),CHAR(13)," "))),"")))</f>
        <v/>
      </c>
      <c r="DP27">
        <f>IF($DM27=0,"",IF($L$8=0,"",IFERROR(IF(ISNUMBER(INDEX(PASTE_ALL,$DF27,$L$8)),INDEX(PASTE_ALL,$DF27,$L$8),TRIM(SUBSTITUTE(SUBSTITUTE(SUBSTITUTE(SUBSTITUTE(INDEX(PASTE_ALL,$DF27,$L$8)," "," "),CHAR(9)," "),CHAR(10)," "),CHAR(13)," "))),"")))</f>
        <v/>
      </c>
      <c r="DQ27">
        <f>IF($DM27=0,"",IF($L$9=0,"",IFERROR(IF(ISNUMBER(INDEX(PASTE_ALL,$DF27,$L$9)),INDEX(PASTE_ALL,$DF27,$L$9),TRIM(SUBSTITUTE(SUBSTITUTE(SUBSTITUTE(SUBSTITUTE(INDEX(PASTE_ALL,$DF27,$L$9)," "," "),CHAR(9)," "),CHAR(10)," "),CHAR(13)," "))),"")))</f>
        <v/>
      </c>
      <c r="DR27">
        <f>IF($DM27=0,"",IF($L$10=0,"",IFERROR(IF(ISNUMBER(INDEX(PASTE_ALL,$DF27,$L$10)),INDEX(PASTE_ALL,$DF27,$L$10),TRIM(SUBSTITUTE(SUBSTITUTE(SUBSTITUTE(SUBSTITUTE(INDEX(PASTE_ALL,$DF27,$L$10)," "," "),CHAR(9)," "),CHAR(10)," "),CHAR(13)," "))),"")))</f>
        <v/>
      </c>
      <c r="DS27">
        <f>IF($DM27=0,"",IF($L$11=0,"",IFERROR(IF(ISNUMBER(INDEX(PASTE_ALL,$DF27,$L$11)),INDEX(PASTE_ALL,$DF27,$L$11),TRIM(SUBSTITUTE(SUBSTITUTE(SUBSTITUTE(SUBSTITUTE(INDEX(PASTE_ALL,$DF27,$L$11)," "," "),CHAR(9)," "),CHAR(10)," "),CHAR(13)," "))),"")))</f>
        <v/>
      </c>
      <c r="DT27">
        <f>IF($DM27=0,"",IF($L$12=0,"",IFERROR(IF(ISNUMBER(INDEX(PASTE_ALL,$DF27,$L$12)),INDEX(PASTE_ALL,$DF27,$L$12),TRIM(SUBSTITUTE(SUBSTITUTE(SUBSTITUTE(SUBSTITUTE(INDEX(PASTE_ALL,$DF27,$L$12)," "," "),CHAR(9)," "),CHAR(10)," "),CHAR(13)," "))),"")))</f>
        <v/>
      </c>
      <c r="DU27">
        <f>IF($DM27=0,"",IF($L$13=0,"",IFERROR(IF(ISNUMBER(INDEX(PASTE_ALL,$DF27,$L$13)),INDEX(PASTE_ALL,$DF27,$L$13),TRIM(SUBSTITUTE(SUBSTITUTE(SUBSTITUTE(SUBSTITUTE(INDEX(PASTE_ALL,$DF27,$L$13)," "," "),CHAR(9)," "),CHAR(10)," "),CHAR(13)," "))),"")))</f>
        <v/>
      </c>
      <c r="DV27">
        <f>IF($DM27=0,"",IF($L$14=0,"",IFERROR(IF(ISNUMBER(INDEX(PASTE_ALL,$DF27,$L$14)),INDEX(PASTE_ALL,$DF27,$L$14),TRIM(SUBSTITUTE(SUBSTITUTE(SUBSTITUTE(SUBSTITUTE(INDEX(PASTE_ALL,$DF27,$L$14)," "," "),CHAR(9)," "),CHAR(10)," "),CHAR(13)," "))),"")))</f>
        <v/>
      </c>
      <c r="DW27">
        <f>IF($DM27=0,"",IF($L$15=0,"",IFERROR(IF(ISNUMBER(INDEX(PASTE_ALL,$DF27,$L$15)),INDEX(PASTE_ALL,$DF27,$L$15),IF(SUMPRODUCT(--ISNUMBER(FIND({"A","B","C","D","E","F","G","H","I","J","K","L","M","N","O","P","Q","R","S","T","U","V","W","X","Y","Z","0","1","2","3","4","5","6","7","8","9"},UPPER(TRIM(SUBSTITUTE(SUBSTITUTE(SUBSTITUTE(SUBSTITUTE(INDEX(PASTE_ALL,$DF27,$L$15)," "," "),CHAR(9)," "),CHAR(10)," "),CHAR(13)," "))))))&gt;0,TRIM(SUBSTITUTE(SUBSTITUTE(SUBSTITUTE(SUBSTITUTE(INDEX(PASTE_ALL,$DF27,$L$15)," "," "),CHAR(9)," "),CHAR(10)," "),CHAR(13)," ")),"")),"")))</f>
        <v/>
      </c>
      <c r="DX27">
        <f>IF($DM27=0,"",IF($L$16=0,"",IFERROR(IF(ISNUMBER(INDEX(PASTE_ALL,$DF27,$L$16)),INDEX(PASTE_ALL,$DF27,$L$16),SUBSTITUTE(SUBSTITUTE(TRIM(SUBSTITUTE(SUBSTITUTE(SUBSTITUTE(SUBSTITUTE(INDEX(PASTE_ALL,$DF27,$L$16)," "," "),CHAR(9)," "),CHAR(10)," "),CHAR(13)," ")),",",""),"%","")),"")))</f>
        <v/>
      </c>
      <c r="DY27">
        <f>IF($DM27=0,"",IFERROR(IF(ISNUMBER($DX27),$DX27,IF($DX27="","",IF(TRIM($DX27)="",0,IF(AND(AND(SUBSTITUTE(SUBSTITUTE(SUBSTITUTE(SUBSTITUTE(SUBSTITUTE(SUBSTITUTE(SUBSTITUTE(SUBSTITUTE(SUBSTITUTE(SUBSTITUTE(SUBSTITUTE(SUBSTITUTE(SUBSTITUTE(SUBSTITUTE(UPPER(TRIM($DX27)),"0",""),"1",""),"2",""),"3",""),"4",""),"5",""),"6",""),"7",""),"8",""),"9",""),".",""),"+",""),"-",""),"E","")="",LEN(SUBSTITUTE(SUBSTITUTE(MID(UPPER(TRIM($DX27)),1+OR(LEFT(UPPER(TRIM($DX27)),1)="+",LEFT(UPPER(TRIM($DX27)),1)="-"),999),"E+","E"),"E-","E"))=LEN(SUBSTITUTE(SUBSTITUTE(SUBSTITUTE(SUBSTITUTE(MID(UPPER(TRIM($DX27)),1+OR(LEFT(UPPER(TRIM($DX27)),1)="+",LEFT(UPPER(TRIM($DX27)),1)="-"),999),"E+","E"),"E-","E"),"+",""),"-","")),LEN(UPPER(TRIM($DX27)))-LEN(SUBSTITUTE(UPPER(TRIM($DX27)),"E",""))&lt;2,LEN(UPPER(TRIM($DX27)))-LEN(SUBSTITUTE(UPPER(TRIM($DX27)),".",""))&lt;2,IFERROR(FIND(".",UPPER(TRIM($DX27))),0)&lt;IFERROR(FIND("E",UPPER(TRIM($DX27))),999)),ISNUMBER(VALUE(TRIM($DX27)))),VALUE(TRIM($DX27)),"")))),""))</f>
        <v/>
      </c>
      <c r="DZ27">
        <f>IF($DM27=0,"",IF($L$17=0,"",IFERROR(IF(ISNUMBER(INDEX(PASTE_ALL,$DF27,$L$17)),INDEX(PASTE_ALL,$DF27,$L$17),SUBSTITUTE(SUBSTITUTE(TRIM(SUBSTITUTE(SUBSTITUTE(SUBSTITUTE(SUBSTITUTE(INDEX(PASTE_ALL,$DF27,$L$17)," "," "),CHAR(9)," "),CHAR(10)," "),CHAR(13)," ")),",",""),"%","")),"")))</f>
        <v/>
      </c>
      <c r="EA27">
        <f>IF($DM27=0,"",IFERROR(IF(ISNUMBER($DZ27),$DZ27,IF($DZ27="","",IF(TRIM($DZ27)="",0,IF(AND(AND(SUBSTITUTE(SUBSTITUTE(SUBSTITUTE(SUBSTITUTE(SUBSTITUTE(SUBSTITUTE(SUBSTITUTE(SUBSTITUTE(SUBSTITUTE(SUBSTITUTE(SUBSTITUTE(SUBSTITUTE(SUBSTITUTE(SUBSTITUTE(UPPER(TRIM($DZ27)),"0",""),"1",""),"2",""),"3",""),"4",""),"5",""),"6",""),"7",""),"8",""),"9",""),".",""),"+",""),"-",""),"E","")="",LEN(SUBSTITUTE(SUBSTITUTE(MID(UPPER(TRIM($DZ27)),1+OR(LEFT(UPPER(TRIM($DZ27)),1)="+",LEFT(UPPER(TRIM($DZ27)),1)="-"),999),"E+","E"),"E-","E"))=LEN(SUBSTITUTE(SUBSTITUTE(SUBSTITUTE(SUBSTITUTE(MID(UPPER(TRIM($DZ27)),1+OR(LEFT(UPPER(TRIM($DZ27)),1)="+",LEFT(UPPER(TRIM($DZ27)),1)="-"),999),"E+","E"),"E-","E"),"+",""),"-","")),LEN(UPPER(TRIM($DZ27)))-LEN(SUBSTITUTE(UPPER(TRIM($DZ27)),"E",""))&lt;2,LEN(UPPER(TRIM($DZ27)))-LEN(SUBSTITUTE(UPPER(TRIM($DZ27)),".",""))&lt;2,IFERROR(FIND(".",UPPER(TRIM($DZ27))),0)&lt;IFERROR(FIND("E",UPPER(TRIM($DZ27))),999)),ISNUMBER(VALUE(TRIM($DZ27)))),VALUE(TRIM($DZ27)),"")))),""))</f>
        <v/>
      </c>
      <c r="EB27">
        <f>IF($DM27=0,"",IF($L$18=0,"",IFERROR(IF(UPPER(TRIM(SUBSTITUTE(SUBSTITUTE(SUBSTITUTE(SUBSTITUTE(INDEX(PASTE_ALL,$DF27,$L$18)," "," "),CHAR(9)," "),CHAR(10)," "),CHAR(13)," ")))="READY","Ready",IF(UPPER(TRIM(SUBSTITUTE(SUBSTITUTE(SUBSTITUTE(SUBSTITUTE(INDEX(PASTE_ALL,$DF27,$L$18)," "," "),CHAR(9)," "),CHAR(10)," "),CHAR(13)," ")))="PM","PM",IF(OR(UPPER(TRIM(SUBSTITUTE(SUBSTITUTE(SUBSTITUTE(SUBSTITUTE(INDEX(PASTE_ALL,$DF27,$L$18)," "," "),CHAR(9)," "),CHAR(10)," "),CHAR(13)," ")))="OT",UPPER(TRIM(SUBSTITUTE(SUBSTITUTE(SUBSTITUTE(SUBSTITUTE(INDEX(PASTE_ALL,$DF27,$L$18)," "," "),CHAR(9)," "),CHAR(10)," "),CHAR(13)," ")))="OVERTIME",UPPER(TRIM(SUBSTITUTE(SUBSTITUTE(SUBSTITUTE(SUBSTITUTE(INDEX(PASTE_ALL,$DF27,$L$18)," "," "),CHAR(9)," "),CHAR(10)," "),CHAR(13)," ")))="TRIAL"),"OT",TRIM(SUBSTITUTE(SUBSTITUTE(SUBSTITUTE(SUBSTITUTE(INDEX(PASTE_ALL,$DF27,$L$18)," "," "),CHAR(9)," "),CHAR(10)," "),CHAR(13)," "))))),"")))</f>
        <v/>
      </c>
      <c r="EC27">
        <f>IF($DM27=0,"",IF($L$19=0,"",IFERROR(IF(ISNUMBER(INDEX(PASTE_ALL,$DF27,$L$19)),INDEX(PASTE_ALL,$DF27,$L$19),TRIM(SUBSTITUTE(SUBSTITUTE(SUBSTITUTE(SUBSTITUTE(INDEX(PASTE_ALL,$DF27,$L$19)," "," "),CHAR(9)," "),CHAR(10)," "),CHAR(13)," "))),"")))</f>
        <v/>
      </c>
      <c r="ED27">
        <f>IF($DM27=0,"",MATCH(1,INDEX(EXACT($DH$5:DH27,$DH27)*$DM$5:DM27,0),0))</f>
        <v/>
      </c>
      <c r="EE27">
        <f>IF($DM27=0,0,IF($ED27=$DE27,1,0))</f>
        <v/>
      </c>
      <c r="EF27">
        <f>EF26+$EE27</f>
        <v/>
      </c>
      <c r="EG27">
        <f>IF($DM27=0,"",INDEX($EF$5:$EF$1003,$ED27))</f>
        <v/>
      </c>
      <c r="EH27">
        <f>IF($DM27=0,"",IF($DO27&lt;&gt;"","",IFERROR(LOOKUP(2,1/(($EG$4:EG26=$EG27)*($DO$4:DO26&lt;&gt;"")),$DO$4:DO26),"")))</f>
        <v/>
      </c>
      <c r="EI27">
        <f>IF($DM27=0,"",IF($DO27&lt;&gt;"",$DO27,$EH27))</f>
        <v/>
      </c>
      <c r="EJ27">
        <f>IF($DM27=0,"",IF($EI27="",0,IF(OR(ISNUMBER($EI27),AND(AND(SUBSTITUTE(SUBSTITUTE(SUBSTITUTE(SUBSTITUTE(SUBSTITUTE(SUBSTITUTE(SUBSTITUTE(SUBSTITUTE(SUBSTITUTE(SUBSTITUTE(SUBSTITUTE(SUBSTITUTE(SUBSTITUTE(SUBSTITUTE(UPPER($EI27),"0",""),"1",""),"2",""),"3",""),"4",""),"5",""),"6",""),"7",""),"8",""),"9",""),".",""),"+",""),"-",""),"E","")="",LEN(SUBSTITUTE(SUBSTITUTE(MID(UPPER($EI27),1+OR(LEFT(UPPER($EI27),1)="+",LEFT(UPPER($EI27),1)="-"),999),"E+","E"),"E-","E"))=LEN(SUBSTITUTE(SUBSTITUTE(SUBSTITUTE(SUBSTITUTE(MID(UPPER($EI27),1+OR(LEFT(UPPER($EI27),1)="+",LEFT(UPPER($EI27),1)="-"),999),"E+","E"),"E-","E"),"+",""),"-","")),LEN(UPPER($EI27))-LEN(SUBSTITUTE(UPPER($EI27),"E",""))&lt;2,LEN(UPPER($EI27))-LEN(SUBSTITUTE(UPPER($EI27),".",""))&lt;2,IFERROR(FIND(".",UPPER($EI27)),0)&lt;IFERROR(FIND("E",UPPER($EI27)),999)),ISNUMBER(VALUE($EI27)))),1,2)))</f>
        <v/>
      </c>
      <c r="EK27">
        <f>IF($DM27=0,"",IF($EJ27=1,IF(ISNUMBER($EI27),$EI27,VALUE($EI27)),IF($EJ27=2,$DE27,0)))</f>
        <v/>
      </c>
      <c r="EL27">
        <f>IF($DM27=0,"",COUNTIF($EG$5:$EG$1003,"&lt;"&amp;$EG27)+SUMPRODUCT(($EG$5:$EG$1003=$EG27)*(($EJ$5:$EJ$1003&lt;$EJ27)+($EJ$5:$EJ$1003=$EJ27)*(($EK$5:$EK$1003&lt;$EK27)+($EK$5:$EK$1003=$EK27)*($DE$5:$DE$1003&lt;$DE27))))+1)</f>
        <v/>
      </c>
      <c r="EM27">
        <f>IF($DM27=0,"",$EL27+$EG27-1)</f>
        <v/>
      </c>
      <c r="EN27">
        <f>IF($DM27=0,0,IFERROR(MATCH(1,INDEX(--(TRIM(SUBSTITUTE(SUBSTITUTE(SUBSTITUTE(SUBSTITUTE(LINES_NAME&amp;""," "," "),CHAR(9)," "),CHAR(10)," "),CHAR(13)," "))=$DH27),0),0),0))</f>
        <v/>
      </c>
      <c r="EO27">
        <f>IF($EN27=0,0,IF(OR(UPPER(TRIM(INDEX(LINES_SCHEDULED,$EN27)&amp;""))="YES",UPPER(TRIM(INDEX(LINES_SCHEDULED,$EN27)&amp;""))="Y",UPPER(TRIM(INDEX(LINES_SCHEDULED,$EN27)&amp;""))="X"),1,0))</f>
        <v/>
      </c>
      <c r="EP27">
        <f>IF($DM27=0,"",IF(COUNTIFS($EG$5:$EG$1003,$EG27,$EB$5:$EB$1003,"Ready")&gt;0,"READY",IF(COUNTIFS($EG$5:$EG$1003,$EG27,$EB$5:$EB$1003,"PM")&gt;0,"PM",IF(COUNTIFS($EG$5:$EG$1003,$EG27,$EB$5:$EB$1003,"OT")&gt;0,"OT",""))))</f>
        <v/>
      </c>
      <c r="EQ27">
        <f>IF($EN27=0,"",UPPER(TRIM(INDEX(LINES_STATUS,$EN27)&amp;"")))</f>
        <v/>
      </c>
      <c r="ER27">
        <f>IF($DM27=0,"",IF(OR($EQ27="READY",$EQ27="PM",$EQ27="OT"),$EQ27,$EP27))</f>
        <v/>
      </c>
      <c r="ES27">
        <f>IF($DM27=0,"",IF(AND($DV27&lt;&gt;"",UPPER($DV27)&lt;&gt;"N"),"allergen",IF(ISNUMBER(SEARCH("oil",$DQ27)),"oil",IF(OR(EXACT($DS27,"A662"),EXACT($DS27,"A624")),"bulk",""))))</f>
        <v/>
      </c>
      <c r="ET27">
        <f>IF($DM27=0,"",IF(OR($EA27="",$EA27=0),"",$EA27/100))</f>
        <v/>
      </c>
      <c r="EU27">
        <f>IF(OR($ET27="",$DY27=""),"",INT($DY27*(1-$ET27)+0.5))</f>
        <v/>
      </c>
      <c r="EW27" t="n">
        <v>23</v>
      </c>
      <c r="EX27">
        <f>IFERROR(MATCH($EW27,$EM$5:$EM$1003,0),0)</f>
        <v/>
      </c>
      <c r="EY27">
        <f>IF($EW27&gt;$B$12,"",IF($EX27&gt;0,"row","spacer"))</f>
        <v/>
      </c>
      <c r="EZ27">
        <f>IF(AND($EY27="row",$EY26&lt;&gt;"row"),1,0)</f>
        <v/>
      </c>
      <c r="FA27">
        <f>IF(AND($EY27="row",$EY28&lt;&gt;"row"),1,0)</f>
        <v/>
      </c>
      <c r="FB27">
        <f>IF($EZ27=1,IFERROR(IF(ISNUMBER(INDEX(PASTE_ALL,INDEX($DF$5:$DF$1003,$EX27),$B$37)),INDEX(PASTE_ALL,INDEX($DF$5:$DF$1003,$EX27),$B$37),INDEX($DH$5:$DH$1003,$EX27)),INDEX($DH$5:$DH$1003,$EX27)),"")</f>
        <v/>
      </c>
      <c r="FC27">
        <f>IF($EY27="row",INDEX($ER$5:$ER$1003,$EX27),"")</f>
        <v/>
      </c>
      <c r="FD27">
        <f>IF($EY27="row",INDEX($DN$5:$DN$1003,$EX27),"")</f>
        <v/>
      </c>
      <c r="FE27">
        <f>IF($EY27="row",INDEX($DO$5:$DO$1003,$EX27),"")</f>
        <v/>
      </c>
      <c r="FF27">
        <f>IF($EY27="row",INDEX($DP$5:$DP$1003,$EX27),"")</f>
        <v/>
      </c>
      <c r="FG27">
        <f>IF($EY27="row",INDEX($DQ$5:$DQ$1003,$EX27),"")</f>
        <v/>
      </c>
      <c r="FH27">
        <f>IF($EY27="row",INDEX($DR$5:$DR$1003,$EX27),"")</f>
        <v/>
      </c>
      <c r="FI27">
        <f>IF($EY27="row",INDEX($DS$5:$DS$1003,$EX27),"")</f>
        <v/>
      </c>
      <c r="FJ27">
        <f>IF($EY27="row",INDEX($DT$5:$DT$1003,$EX27),"")</f>
        <v/>
      </c>
      <c r="FK27">
        <f>IF($EY27="row",INDEX($DU$5:$DU$1003,$EX27),"")</f>
        <v/>
      </c>
      <c r="FL27">
        <f>IF($EY27="row",INDEX($DV$5:$DV$1003,$EX27),"")</f>
        <v/>
      </c>
      <c r="FM27">
        <f>IF($EY27="row",INDEX($DW$5:$DW$1003,$EX27),"")</f>
        <v/>
      </c>
      <c r="FN27">
        <f>IF($EY27="row",INDEX($DY$5:$DY$1003,$EX27),"")</f>
        <v/>
      </c>
      <c r="FO27">
        <f>IF($EY27="row",INDEX($EA$5:$EA$1003,$EX27),"")</f>
        <v/>
      </c>
      <c r="FP27">
        <f>IF($EY27="row",INDEX($EC$5:$EC$1003,$EX27),"")</f>
        <v/>
      </c>
      <c r="FQ27">
        <f>IF($EY27="row",INDEX($ET$5:$ET$1003,$EX27),"")</f>
        <v/>
      </c>
      <c r="FR27">
        <f>IF($EY27="row",INDEX($EU$5:$EU$1003,$EX27),"")</f>
        <v/>
      </c>
      <c r="FS27">
        <f>IF(AND($EY27="row",$EY26="row"),IF(OR(INDEX($DT$5:$DT$1003,$EX26)="",INDEX($DT$5:$DT$1003,$EX27)=""),"",IF(NOT(EXACT(INDEX($DT$5:$DT$1003,$EX26),INDEX($DT$5:$DT$1003,$EX27))),"S4",IF(NOT(EXACT(INDEX($DS$5:$DS$1003,$EX26),INDEX($DS$5:$DS$1003,$EX27))),"S3",IF(NOT(EXACT(INDEX($DR$5:$DR$1003,$EX26),INDEX($DR$5:$DR$1003,$EX27))),"S1 Count Change","S1")))),"")</f>
        <v/>
      </c>
      <c r="FT27">
        <f>IF($EY27="row",INDEX($ES$5:$ES$1003,$EX27),"")</f>
        <v/>
      </c>
      <c r="FU27">
        <f>IF($EY27="row",INDEX($EO$5:$EO$1003,$EX27),0)</f>
        <v/>
      </c>
      <c r="FV27">
        <f>IF($FS27="S1 Count Change",1,0)</f>
        <v/>
      </c>
      <c r="FX27" t="n">
        <v>23</v>
      </c>
      <c r="FY27">
        <f>IFERROR(MATCH($FX27,$EF$5:$EF$1003,0),0)</f>
        <v/>
      </c>
      <c r="FZ27">
        <f>IF($FY27=0,"",INDEX($DH$5:$DH$1003,$FY27))</f>
        <v/>
      </c>
      <c r="GA27">
        <f>IF($FY27=0,"",COUNTIF($EG$5:$EG$1003,$FX27))</f>
        <v/>
      </c>
      <c r="GB27">
        <f>IF($FY27=0,"",INDEX($ER$5:$ER$1003,$FY27))</f>
        <v/>
      </c>
      <c r="GC27">
        <f>IF($FY27=0,"",IF(INDEX($EO$5:$EO$1003,$FY27)=1,"Yes",""))</f>
        <v/>
      </c>
      <c r="GD27">
        <f>IF($FY27=0,"",IF(INDEX($EN$5:$EN$1003,$FY27)&gt;0,"","NOT IN YOUR LIST - type it in column A to tick it"))</f>
        <v/>
      </c>
      <c r="GE27">
        <f>IF(AND($FY27&gt;0,$GD27&lt;&gt;""),1,0)</f>
        <v/>
      </c>
      <c r="GF27">
        <f>GF26+$GE27</f>
        <v/>
      </c>
      <c r="GG27">
        <f>IFERROR(INDEX($FZ$5:$FZ$104,MATCH($FX27,$GF$5:$GF$104,0)),"")</f>
        <v/>
      </c>
    </row>
    <row r="28">
      <c r="A28" t="inlineStr">
        <is>
          <t>Kept rows repeating the Line title</t>
        </is>
      </c>
      <c r="B28">
        <f>IF(OR($B$37=0,$O$5=""),0,SUMPRODUCT((UPPER($DH$5:$DH$1003)=UPPER($O$5))*$DM$5:$DM$1003))</f>
        <v/>
      </c>
      <c r="S28" t="n">
        <v>24</v>
      </c>
      <c r="T28" t="inlineStr">
        <is>
          <t>X</t>
        </is>
      </c>
      <c r="V28" t="inlineStr">
        <is>
          <t>OPERATIONSEQ</t>
        </is>
      </c>
      <c r="W28" t="n">
        <v>3</v>
      </c>
      <c r="Y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 ",""),"!",""),CHAR(34),""),"#",""),"$",""),"%",""),"&amp;",""),"'",""),"(",""),")",""),"*",""),"+",""),",",""),"-",""),".",""),"/",""),":",""),";",""),"&lt;",""),"=",""),"&gt;",""),"?",""),"@",""),"[",""),"\",""),"]",""),"^",""),"_",""),"`",""),"{",""),"|",""),"}",""),"~",""),CHAR(9),""),CHAR(10),""),CHAR(13),"")," ",""),"")</f>
        <v/>
      </c>
      <c r="Z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 ",""),"!",""),CHAR(34),""),"#",""),"$",""),"%",""),"&amp;",""),"'",""),"(",""),")",""),"*",""),"+",""),",",""),"-",""),".",""),"/",""),":",""),";",""),"&lt;",""),"=",""),"&gt;",""),"?",""),"@",""),"[",""),"\",""),"]",""),"^",""),"_",""),"`",""),"{",""),"|",""),"}",""),"~",""),CHAR(9),""),CHAR(10),""),CHAR(13),"")," ",""),"")</f>
        <v/>
      </c>
      <c r="AA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 ",""),"!",""),CHAR(34),""),"#",""),"$",""),"%",""),"&amp;",""),"'",""),"(",""),")",""),"*",""),"+",""),",",""),"-",""),".",""),"/",""),":",""),";",""),"&lt;",""),"=",""),"&gt;",""),"?",""),"@",""),"[",""),"\",""),"]",""),"^",""),"_",""),"`",""),"{",""),"|",""),"}",""),"~",""),CHAR(9),""),CHAR(10),""),CHAR(13),"")," ",""),"")</f>
        <v/>
      </c>
      <c r="AB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 ",""),"!",""),CHAR(34),""),"#",""),"$",""),"%",""),"&amp;",""),"'",""),"(",""),")",""),"*",""),"+",""),",",""),"-",""),".",""),"/",""),":",""),";",""),"&lt;",""),"=",""),"&gt;",""),"?",""),"@",""),"[",""),"\",""),"]",""),"^",""),"_",""),"`",""),"{",""),"|",""),"}",""),"~",""),CHAR(9),""),CHAR(10),""),CHAR(13),"")," ",""),"")</f>
        <v/>
      </c>
      <c r="AC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 ",""),"!",""),CHAR(34),""),"#",""),"$",""),"%",""),"&amp;",""),"'",""),"(",""),")",""),"*",""),"+",""),",",""),"-",""),".",""),"/",""),":",""),";",""),"&lt;",""),"=",""),"&gt;",""),"?",""),"@",""),"[",""),"\",""),"]",""),"^",""),"_",""),"`",""),"{",""),"|",""),"}",""),"~",""),CHAR(9),""),CHAR(10),""),CHAR(13),"")," ",""),"")</f>
        <v/>
      </c>
      <c r="AD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24,6))," ",""),"!",""),CHAR(34),""),"#",""),"$",""),"%",""),"&amp;",""),"'",""),"(",""),")",""),"*",""),"+",""),",",""),"-",""),".",""),"/",""),":",""),";",""),"&lt;",""),"=",""),"&gt;",""),"?",""),"@",""),"[",""),"\",""),"]",""),"^",""),"_",""),"`",""),"{",""),"|",""),"}",""),"~",""),CHAR(9),""),CHAR(10),""),CHAR(13),"")," ",""),"")</f>
        <v/>
      </c>
      <c r="AE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24,7))," ",""),"!",""),CHAR(34),""),"#",""),"$",""),"%",""),"&amp;",""),"'",""),"(",""),")",""),"*",""),"+",""),",",""),"-",""),".",""),"/",""),":",""),";",""),"&lt;",""),"=",""),"&gt;",""),"?",""),"@",""),"[",""),"\",""),"]",""),"^",""),"_",""),"`",""),"{",""),"|",""),"}",""),"~",""),CHAR(9),""),CHAR(10),""),CHAR(13),"")," ",""),"")</f>
        <v/>
      </c>
      <c r="AF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24,8))," ",""),"!",""),CHAR(34),""),"#",""),"$",""),"%",""),"&amp;",""),"'",""),"(",""),")",""),"*",""),"+",""),",",""),"-",""),".",""),"/",""),":",""),";",""),"&lt;",""),"=",""),"&gt;",""),"?",""),"@",""),"[",""),"\",""),"]",""),"^",""),"_",""),"`",""),"{",""),"|",""),"}",""),"~",""),CHAR(9),""),CHAR(10),""),CHAR(13),"")," ",""),"")</f>
        <v/>
      </c>
      <c r="AG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24,9))," ",""),"!",""),CHAR(34),""),"#",""),"$",""),"%",""),"&amp;",""),"'",""),"(",""),")",""),"*",""),"+",""),",",""),"-",""),".",""),"/",""),":",""),";",""),"&lt;",""),"=",""),"&gt;",""),"?",""),"@",""),"[",""),"\",""),"]",""),"^",""),"_",""),"`",""),"{",""),"|",""),"}",""),"~",""),CHAR(9),""),CHAR(10),""),CHAR(13),"")," ",""),"")</f>
        <v/>
      </c>
      <c r="AH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24,10))," ",""),"!",""),CHAR(34),""),"#",""),"$",""),"%",""),"&amp;",""),"'",""),"(",""),")",""),"*",""),"+",""),",",""),"-",""),".",""),"/",""),":",""),";",""),"&lt;",""),"=",""),"&gt;",""),"?",""),"@",""),"[",""),"\",""),"]",""),"^",""),"_",""),"`",""),"{",""),"|",""),"}",""),"~",""),CHAR(9),""),CHAR(10),""),CHAR(13),"")," ",""),"")</f>
        <v/>
      </c>
      <c r="AI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24,11))," ",""),"!",""),CHAR(34),""),"#",""),"$",""),"%",""),"&amp;",""),"'",""),"(",""),")",""),"*",""),"+",""),",",""),"-",""),".",""),"/",""),":",""),";",""),"&lt;",""),"=",""),"&gt;",""),"?",""),"@",""),"[",""),"\",""),"]",""),"^",""),"_",""),"`",""),"{",""),"|",""),"}",""),"~",""),CHAR(9),""),CHAR(10),""),CHAR(13),"")," ",""),"")</f>
        <v/>
      </c>
      <c r="AJ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24,12))," ",""),"!",""),CHAR(34),""),"#",""),"$",""),"%",""),"&amp;",""),"'",""),"(",""),")",""),"*",""),"+",""),",",""),"-",""),".",""),"/",""),":",""),";",""),"&lt;",""),"=",""),"&gt;",""),"?",""),"@",""),"[",""),"\",""),"]",""),"^",""),"_",""),"`",""),"{",""),"|",""),"}",""),"~",""),CHAR(9),""),CHAR(10),""),CHAR(13),"")," ",""),"")</f>
        <v/>
      </c>
      <c r="AK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24,13))," ",""),"!",""),CHAR(34),""),"#",""),"$",""),"%",""),"&amp;",""),"'",""),"(",""),")",""),"*",""),"+",""),",",""),"-",""),".",""),"/",""),":",""),";",""),"&lt;",""),"=",""),"&gt;",""),"?",""),"@",""),"[",""),"\",""),"]",""),"^",""),"_",""),"`",""),"{",""),"|",""),"}",""),"~",""),CHAR(9),""),CHAR(10),""),CHAR(13),"")," ",""),"")</f>
        <v/>
      </c>
      <c r="AL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24,14))," ",""),"!",""),CHAR(34),""),"#",""),"$",""),"%",""),"&amp;",""),"'",""),"(",""),")",""),"*",""),"+",""),",",""),"-",""),".",""),"/",""),":",""),";",""),"&lt;",""),"=",""),"&gt;",""),"?",""),"@",""),"[",""),"\",""),"]",""),"^",""),"_",""),"`",""),"{",""),"|",""),"}",""),"~",""),CHAR(9),""),CHAR(10),""),CHAR(13),"")," ",""),"")</f>
        <v/>
      </c>
      <c r="AM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24,15))," ",""),"!",""),CHAR(34),""),"#",""),"$",""),"%",""),"&amp;",""),"'",""),"(",""),")",""),"*",""),"+",""),",",""),"-",""),".",""),"/",""),":",""),";",""),"&lt;",""),"=",""),"&gt;",""),"?",""),"@",""),"[",""),"\",""),"]",""),"^",""),"_",""),"`",""),"{",""),"|",""),"}",""),"~",""),CHAR(9),""),CHAR(10),""),CHAR(13),"")," ",""),"")</f>
        <v/>
      </c>
      <c r="AN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24,16))," ",""),"!",""),CHAR(34),""),"#",""),"$",""),"%",""),"&amp;",""),"'",""),"(",""),")",""),"*",""),"+",""),",",""),"-",""),".",""),"/",""),":",""),";",""),"&lt;",""),"=",""),"&gt;",""),"?",""),"@",""),"[",""),"\",""),"]",""),"^",""),"_",""),"`",""),"{",""),"|",""),"}",""),"~",""),CHAR(9),""),CHAR(10),""),CHAR(13),"")," ",""),"")</f>
        <v/>
      </c>
      <c r="AO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24,17))," ",""),"!",""),CHAR(34),""),"#",""),"$",""),"%",""),"&amp;",""),"'",""),"(",""),")",""),"*",""),"+",""),",",""),"-",""),".",""),"/",""),":",""),";",""),"&lt;",""),"=",""),"&gt;",""),"?",""),"@",""),"[",""),"\",""),"]",""),"^",""),"_",""),"`",""),"{",""),"|",""),"}",""),"~",""),CHAR(9),""),CHAR(10),""),CHAR(13),"")," ",""),"")</f>
        <v/>
      </c>
      <c r="AP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24,18))," ",""),"!",""),CHAR(34),""),"#",""),"$",""),"%",""),"&amp;",""),"'",""),"(",""),")",""),"*",""),"+",""),",",""),"-",""),".",""),"/",""),":",""),";",""),"&lt;",""),"=",""),"&gt;",""),"?",""),"@",""),"[",""),"\",""),"]",""),"^",""),"_",""),"`",""),"{",""),"|",""),"}",""),"~",""),CHAR(9),""),CHAR(10),""),CHAR(13),"")," ",""),"")</f>
        <v/>
      </c>
      <c r="AQ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24,19))," ",""),"!",""),CHAR(34),""),"#",""),"$",""),"%",""),"&amp;",""),"'",""),"(",""),")",""),"*",""),"+",""),",",""),"-",""),".",""),"/",""),":",""),";",""),"&lt;",""),"=",""),"&gt;",""),"?",""),"@",""),"[",""),"\",""),"]",""),"^",""),"_",""),"`",""),"{",""),"|",""),"}",""),"~",""),CHAR(9),""),CHAR(10),""),CHAR(13),"")," ",""),"")</f>
        <v/>
      </c>
      <c r="AR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24,20))," ",""),"!",""),CHAR(34),""),"#",""),"$",""),"%",""),"&amp;",""),"'",""),"(",""),")",""),"*",""),"+",""),",",""),"-",""),".",""),"/",""),":",""),";",""),"&lt;",""),"=",""),"&gt;",""),"?",""),"@",""),"[",""),"\",""),"]",""),"^",""),"_",""),"`",""),"{",""),"|",""),"}",""),"~",""),CHAR(9),""),CHAR(10),""),CHAR(13),"")," ",""),"")</f>
        <v/>
      </c>
      <c r="AS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24,21))," ",""),"!",""),CHAR(34),""),"#",""),"$",""),"%",""),"&amp;",""),"'",""),"(",""),")",""),"*",""),"+",""),",",""),"-",""),".",""),"/",""),":",""),";",""),"&lt;",""),"=",""),"&gt;",""),"?",""),"@",""),"[",""),"\",""),"]",""),"^",""),"_",""),"`",""),"{",""),"|",""),"}",""),"~",""),CHAR(9),""),CHAR(10),""),CHAR(13),"")," ",""),"")</f>
        <v/>
      </c>
      <c r="AT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24,22))," ",""),"!",""),CHAR(34),""),"#",""),"$",""),"%",""),"&amp;",""),"'",""),"(",""),")",""),"*",""),"+",""),",",""),"-",""),".",""),"/",""),":",""),";",""),"&lt;",""),"=",""),"&gt;",""),"?",""),"@",""),"[",""),"\",""),"]",""),"^",""),"_",""),"`",""),"{",""),"|",""),"}",""),"~",""),CHAR(9),""),CHAR(10),""),CHAR(13),"")," ",""),"")</f>
        <v/>
      </c>
      <c r="AU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24,23))," ",""),"!",""),CHAR(34),""),"#",""),"$",""),"%",""),"&amp;",""),"'",""),"(",""),")",""),"*",""),"+",""),",",""),"-",""),".",""),"/",""),":",""),";",""),"&lt;",""),"=",""),"&gt;",""),"?",""),"@",""),"[",""),"\",""),"]",""),"^",""),"_",""),"`",""),"{",""),"|",""),"}",""),"~",""),CHAR(9),""),CHAR(10),""),CHAR(13),"")," ",""),"")</f>
        <v/>
      </c>
      <c r="AV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24,24))," ",""),"!",""),CHAR(34),""),"#",""),"$",""),"%",""),"&amp;",""),"'",""),"(",""),")",""),"*",""),"+",""),",",""),"-",""),".",""),"/",""),":",""),";",""),"&lt;",""),"=",""),"&gt;",""),"?",""),"@",""),"[",""),"\",""),"]",""),"^",""),"_",""),"`",""),"{",""),"|",""),"}",""),"~",""),CHAR(9),""),CHAR(10),""),CHAR(13),"")," ",""),"")</f>
        <v/>
      </c>
      <c r="AW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24,25))," ",""),"!",""),CHAR(34),""),"#",""),"$",""),"%",""),"&amp;",""),"'",""),"(",""),")",""),"*",""),"+",""),",",""),"-",""),".",""),"/",""),":",""),";",""),"&lt;",""),"=",""),"&gt;",""),"?",""),"@",""),"[",""),"\",""),"]",""),"^",""),"_",""),"`",""),"{",""),"|",""),"}",""),"~",""),CHAR(9),""),CHAR(10),""),CHAR(13),"")," ",""),"")</f>
        <v/>
      </c>
      <c r="AX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24,26))," ",""),"!",""),CHAR(34),""),"#",""),"$",""),"%",""),"&amp;",""),"'",""),"(",""),")",""),"*",""),"+",""),",",""),"-",""),".",""),"/",""),":",""),";",""),"&lt;",""),"=",""),"&gt;",""),"?",""),"@",""),"[",""),"\",""),"]",""),"^",""),"_",""),"`",""),"{",""),"|",""),"}",""),"~",""),CHAR(9),""),CHAR(10),""),CHAR(13),"")," ",""),"")</f>
        <v/>
      </c>
      <c r="AY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24,27))," ",""),"!",""),CHAR(34),""),"#",""),"$",""),"%",""),"&amp;",""),"'",""),"(",""),")",""),"*",""),"+",""),",",""),"-",""),".",""),"/",""),":",""),";",""),"&lt;",""),"=",""),"&gt;",""),"?",""),"@",""),"[",""),"\",""),"]",""),"^",""),"_",""),"`",""),"{",""),"|",""),"}",""),"~",""),CHAR(9),""),CHAR(10),""),CHAR(13),"")," ",""),"")</f>
        <v/>
      </c>
      <c r="AZ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24,28))," ",""),"!",""),CHAR(34),""),"#",""),"$",""),"%",""),"&amp;",""),"'",""),"(",""),")",""),"*",""),"+",""),",",""),"-",""),".",""),"/",""),":",""),";",""),"&lt;",""),"=",""),"&gt;",""),"?",""),"@",""),"[",""),"\",""),"]",""),"^",""),"_",""),"`",""),"{",""),"|",""),"}",""),"~",""),CHAR(9),""),CHAR(10),""),CHAR(13),"")," ",""),"")</f>
        <v/>
      </c>
      <c r="BA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24,29))," ",""),"!",""),CHAR(34),""),"#",""),"$",""),"%",""),"&amp;",""),"'",""),"(",""),")",""),"*",""),"+",""),",",""),"-",""),".",""),"/",""),":",""),";",""),"&lt;",""),"=",""),"&gt;",""),"?",""),"@",""),"[",""),"\",""),"]",""),"^",""),"_",""),"`",""),"{",""),"|",""),"}",""),"~",""),CHAR(9),""),CHAR(10),""),CHAR(13),"")," ",""),"")</f>
        <v/>
      </c>
      <c r="BB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24,30))," ",""),"!",""),CHAR(34),""),"#",""),"$",""),"%",""),"&amp;",""),"'",""),"(",""),")",""),"*",""),"+",""),",",""),"-",""),".",""),"/",""),":",""),";",""),"&lt;",""),"=",""),"&gt;",""),"?",""),"@",""),"[",""),"\",""),"]",""),"^",""),"_",""),"`",""),"{",""),"|",""),"}",""),"~",""),CHAR(9),""),CHAR(10),""),CHAR(13),"")," ",""),"")</f>
        <v/>
      </c>
      <c r="BC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24,31))," ",""),"!",""),CHAR(34),""),"#",""),"$",""),"%",""),"&amp;",""),"'",""),"(",""),")",""),"*",""),"+",""),",",""),"-",""),".",""),"/",""),":",""),";",""),"&lt;",""),"=",""),"&gt;",""),"?",""),"@",""),"[",""),"\",""),"]",""),"^",""),"_",""),"`",""),"{",""),"|",""),"}",""),"~",""),CHAR(9),""),CHAR(10),""),CHAR(13),"")," ",""),"")</f>
        <v/>
      </c>
      <c r="BD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24,32))," ",""),"!",""),CHAR(34),""),"#",""),"$",""),"%",""),"&amp;",""),"'",""),"(",""),")",""),"*",""),"+",""),",",""),"-",""),".",""),"/",""),":",""),";",""),"&lt;",""),"=",""),"&gt;",""),"?",""),"@",""),"[",""),"\",""),"]",""),"^",""),"_",""),"`",""),"{",""),"|",""),"}",""),"~",""),CHAR(9),""),CHAR(10),""),CHAR(13),"")," ",""),"")</f>
        <v/>
      </c>
      <c r="BE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24,33))," ",""),"!",""),CHAR(34),""),"#",""),"$",""),"%",""),"&amp;",""),"'",""),"(",""),")",""),"*",""),"+",""),",",""),"-",""),".",""),"/",""),":",""),";",""),"&lt;",""),"=",""),"&gt;",""),"?",""),"@",""),"[",""),"\",""),"]",""),"^",""),"_",""),"`",""),"{",""),"|",""),"}",""),"~",""),CHAR(9),""),CHAR(10),""),CHAR(13),"")," ",""),"")</f>
        <v/>
      </c>
      <c r="BF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24,34))," ",""),"!",""),CHAR(34),""),"#",""),"$",""),"%",""),"&amp;",""),"'",""),"(",""),")",""),"*",""),"+",""),",",""),"-",""),".",""),"/",""),":",""),";",""),"&lt;",""),"=",""),"&gt;",""),"?",""),"@",""),"[",""),"\",""),"]",""),"^",""),"_",""),"`",""),"{",""),"|",""),"}",""),"~",""),CHAR(9),""),CHAR(10),""),CHAR(13),"")," ",""),"")</f>
        <v/>
      </c>
      <c r="BG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24,35))," ",""),"!",""),CHAR(34),""),"#",""),"$",""),"%",""),"&amp;",""),"'",""),"(",""),")",""),"*",""),"+",""),",",""),"-",""),".",""),"/",""),":",""),";",""),"&lt;",""),"=",""),"&gt;",""),"?",""),"@",""),"[",""),"\",""),"]",""),"^",""),"_",""),"`",""),"{",""),"|",""),"}",""),"~",""),CHAR(9),""),CHAR(10),""),CHAR(13),"")," ",""),"")</f>
        <v/>
      </c>
      <c r="BH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24,36))," ",""),"!",""),CHAR(34),""),"#",""),"$",""),"%",""),"&amp;",""),"'",""),"(",""),")",""),"*",""),"+",""),",",""),"-",""),".",""),"/",""),":",""),";",""),"&lt;",""),"=",""),"&gt;",""),"?",""),"@",""),"[",""),"\",""),"]",""),"^",""),"_",""),"`",""),"{",""),"|",""),"}",""),"~",""),CHAR(9),""),CHAR(10),""),CHAR(13),"")," ",""),"")</f>
        <v/>
      </c>
      <c r="BI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24,37))," ",""),"!",""),CHAR(34),""),"#",""),"$",""),"%",""),"&amp;",""),"'",""),"(",""),")",""),"*",""),"+",""),",",""),"-",""),".",""),"/",""),":",""),";",""),"&lt;",""),"=",""),"&gt;",""),"?",""),"@",""),"[",""),"\",""),"]",""),"^",""),"_",""),"`",""),"{",""),"|",""),"}",""),"~",""),CHAR(9),""),CHAR(10),""),CHAR(13),"")," ",""),"")</f>
        <v/>
      </c>
      <c r="BJ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24,38))," ",""),"!",""),CHAR(34),""),"#",""),"$",""),"%",""),"&amp;",""),"'",""),"(",""),")",""),"*",""),"+",""),",",""),"-",""),".",""),"/",""),":",""),";",""),"&lt;",""),"=",""),"&gt;",""),"?",""),"@",""),"[",""),"\",""),"]",""),"^",""),"_",""),"`",""),"{",""),"|",""),"}",""),"~",""),CHAR(9),""),CHAR(10),""),CHAR(13),"")," ",""),"")</f>
        <v/>
      </c>
      <c r="BK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24,39))," ",""),"!",""),CHAR(34),""),"#",""),"$",""),"%",""),"&amp;",""),"'",""),"(",""),")",""),"*",""),"+",""),",",""),"-",""),".",""),"/",""),":",""),";",""),"&lt;",""),"=",""),"&gt;",""),"?",""),"@",""),"[",""),"\",""),"]",""),"^",""),"_",""),"`",""),"{",""),"|",""),"}",""),"~",""),CHAR(9),""),CHAR(10),""),CHAR(13),"")," ",""),"")</f>
        <v/>
      </c>
      <c r="BL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24,40))," ",""),"!",""),CHAR(34),""),"#",""),"$",""),"%",""),"&amp;",""),"'",""),"(",""),")",""),"*",""),"+",""),",",""),"-",""),".",""),"/",""),":",""),";",""),"&lt;",""),"=",""),"&gt;",""),"?",""),"@",""),"[",""),"\",""),"]",""),"^",""),"_",""),"`",""),"{",""),"|",""),"}",""),"~",""),CHAR(9),""),CHAR(10),""),CHAR(13),"")," ",""),"")</f>
        <v/>
      </c>
      <c r="BM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24,41))," ",""),"!",""),CHAR(34),""),"#",""),"$",""),"%",""),"&amp;",""),"'",""),"(",""),")",""),"*",""),"+",""),",",""),"-",""),".",""),"/",""),":",""),";",""),"&lt;",""),"=",""),"&gt;",""),"?",""),"@",""),"[",""),"\",""),"]",""),"^",""),"_",""),"`",""),"{",""),"|",""),"}",""),"~",""),CHAR(9),""),CHAR(10),""),CHAR(13),"")," ",""),"")</f>
        <v/>
      </c>
      <c r="BN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24,42))," ",""),"!",""),CHAR(34),""),"#",""),"$",""),"%",""),"&amp;",""),"'",""),"(",""),")",""),"*",""),"+",""),",",""),"-",""),".",""),"/",""),":",""),";",""),"&lt;",""),"=",""),"&gt;",""),"?",""),"@",""),"[",""),"\",""),"]",""),"^",""),"_",""),"`",""),"{",""),"|",""),"}",""),"~",""),CHAR(9),""),CHAR(10),""),CHAR(13),"")," ",""),"")</f>
        <v/>
      </c>
      <c r="BO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24,43))," ",""),"!",""),CHAR(34),""),"#",""),"$",""),"%",""),"&amp;",""),"'",""),"(",""),")",""),"*",""),"+",""),",",""),"-",""),".",""),"/",""),":",""),";",""),"&lt;",""),"=",""),"&gt;",""),"?",""),"@",""),"[",""),"\",""),"]",""),"^",""),"_",""),"`",""),"{",""),"|",""),"}",""),"~",""),CHAR(9),""),CHAR(10),""),CHAR(13),"")," ",""),"")</f>
        <v/>
      </c>
      <c r="BP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24,44))," ",""),"!",""),CHAR(34),""),"#",""),"$",""),"%",""),"&amp;",""),"'",""),"(",""),")",""),"*",""),"+",""),",",""),"-",""),".",""),"/",""),":",""),";",""),"&lt;",""),"=",""),"&gt;",""),"?",""),"@",""),"[",""),"\",""),"]",""),"^",""),"_",""),"`",""),"{",""),"|",""),"}",""),"~",""),CHAR(9),""),CHAR(10),""),CHAR(13),"")," ",""),"")</f>
        <v/>
      </c>
      <c r="BQ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24,45))," ",""),"!",""),CHAR(34),""),"#",""),"$",""),"%",""),"&amp;",""),"'",""),"(",""),")",""),"*",""),"+",""),",",""),"-",""),".",""),"/",""),":",""),";",""),"&lt;",""),"=",""),"&gt;",""),"?",""),"@",""),"[",""),"\",""),"]",""),"^",""),"_",""),"`",""),"{",""),"|",""),"}",""),"~",""),CHAR(9),""),CHAR(10),""),CHAR(13),"")," ",""),"")</f>
        <v/>
      </c>
      <c r="BR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24,46))," ",""),"!",""),CHAR(34),""),"#",""),"$",""),"%",""),"&amp;",""),"'",""),"(",""),")",""),"*",""),"+",""),",",""),"-",""),".",""),"/",""),":",""),";",""),"&lt;",""),"=",""),"&gt;",""),"?",""),"@",""),"[",""),"\",""),"]",""),"^",""),"_",""),"`",""),"{",""),"|",""),"}",""),"~",""),CHAR(9),""),CHAR(10),""),CHAR(13),"")," ",""),"")</f>
        <v/>
      </c>
      <c r="BS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24,47))," ",""),"!",""),CHAR(34),""),"#",""),"$",""),"%",""),"&amp;",""),"'",""),"(",""),")",""),"*",""),"+",""),",",""),"-",""),".",""),"/",""),":",""),";",""),"&lt;",""),"=",""),"&gt;",""),"?",""),"@",""),"[",""),"\",""),"]",""),"^",""),"_",""),"`",""),"{",""),"|",""),"}",""),"~",""),CHAR(9),""),CHAR(10),""),CHAR(13),"")," ",""),"")</f>
        <v/>
      </c>
      <c r="BT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24,48))," ",""),"!",""),CHAR(34),""),"#",""),"$",""),"%",""),"&amp;",""),"'",""),"(",""),")",""),"*",""),"+",""),",",""),"-",""),".",""),"/",""),":",""),";",""),"&lt;",""),"=",""),"&gt;",""),"?",""),"@",""),"[",""),"\",""),"]",""),"^",""),"_",""),"`",""),"{",""),"|",""),"}",""),"~",""),CHAR(9),""),CHAR(10),""),CHAR(13),"")," ",""),"")</f>
        <v/>
      </c>
      <c r="BU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24,49))," ",""),"!",""),CHAR(34),""),"#",""),"$",""),"%",""),"&amp;",""),"'",""),"(",""),")",""),"*",""),"+",""),",",""),"-",""),".",""),"/",""),":",""),";",""),"&lt;",""),"=",""),"&gt;",""),"?",""),"@",""),"[",""),"\",""),"]",""),"^",""),"_",""),"`",""),"{",""),"|",""),"}",""),"~",""),CHAR(9),""),CHAR(10),""),CHAR(13),"")," ",""),"")</f>
        <v/>
      </c>
      <c r="BV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24,50))," ",""),"!",""),CHAR(34),""),"#",""),"$",""),"%",""),"&amp;",""),"'",""),"(",""),")",""),"*",""),"+",""),",",""),"-",""),".",""),"/",""),":",""),";",""),"&lt;",""),"=",""),"&gt;",""),"?",""),"@",""),"[",""),"\",""),"]",""),"^",""),"_",""),"`",""),"{",""),"|",""),"}",""),"~",""),CHAR(9),""),CHAR(10),""),CHAR(13),"")," ",""),"")</f>
        <v/>
      </c>
      <c r="BW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24,51))," ",""),"!",""),CHAR(34),""),"#",""),"$",""),"%",""),"&amp;",""),"'",""),"(",""),")",""),"*",""),"+",""),",",""),"-",""),".",""),"/",""),":",""),";",""),"&lt;",""),"=",""),"&gt;",""),"?",""),"@",""),"[",""),"\",""),"]",""),"^",""),"_",""),"`",""),"{",""),"|",""),"}",""),"~",""),CHAR(9),""),CHAR(10),""),CHAR(13),"")," ",""),"")</f>
        <v/>
      </c>
      <c r="BX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24,52))," ",""),"!",""),CHAR(34),""),"#",""),"$",""),"%",""),"&amp;",""),"'",""),"(",""),")",""),"*",""),"+",""),",",""),"-",""),".",""),"/",""),":",""),";",""),"&lt;",""),"=",""),"&gt;",""),"?",""),"@",""),"[",""),"\",""),"]",""),"^",""),"_",""),"`",""),"{",""),"|",""),"}",""),"~",""),CHAR(9),""),CHAR(10),""),CHAR(13),"")," ",""),"")</f>
        <v/>
      </c>
      <c r="BY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24,53))," ",""),"!",""),CHAR(34),""),"#",""),"$",""),"%",""),"&amp;",""),"'",""),"(",""),")",""),"*",""),"+",""),",",""),"-",""),".",""),"/",""),":",""),";",""),"&lt;",""),"=",""),"&gt;",""),"?",""),"@",""),"[",""),"\",""),"]",""),"^",""),"_",""),"`",""),"{",""),"|",""),"}",""),"~",""),CHAR(9),""),CHAR(10),""),CHAR(13),"")," ",""),"")</f>
        <v/>
      </c>
      <c r="BZ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24,54))," ",""),"!",""),CHAR(34),""),"#",""),"$",""),"%",""),"&amp;",""),"'",""),"(",""),")",""),"*",""),"+",""),",",""),"-",""),".",""),"/",""),":",""),";",""),"&lt;",""),"=",""),"&gt;",""),"?",""),"@",""),"[",""),"\",""),"]",""),"^",""),"_",""),"`",""),"{",""),"|",""),"}",""),"~",""),CHAR(9),""),CHAR(10),""),CHAR(13),"")," ",""),"")</f>
        <v/>
      </c>
      <c r="CA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24,55))," ",""),"!",""),CHAR(34),""),"#",""),"$",""),"%",""),"&amp;",""),"'",""),"(",""),")",""),"*",""),"+",""),",",""),"-",""),".",""),"/",""),":",""),";",""),"&lt;",""),"=",""),"&gt;",""),"?",""),"@",""),"[",""),"\",""),"]",""),"^",""),"_",""),"`",""),"{",""),"|",""),"}",""),"~",""),CHAR(9),""),CHAR(10),""),CHAR(13),"")," ",""),"")</f>
        <v/>
      </c>
      <c r="CB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24,56))," ",""),"!",""),CHAR(34),""),"#",""),"$",""),"%",""),"&amp;",""),"'",""),"(",""),")",""),"*",""),"+",""),",",""),"-",""),".",""),"/",""),":",""),";",""),"&lt;",""),"=",""),"&gt;",""),"?",""),"@",""),"[",""),"\",""),"]",""),"^",""),"_",""),"`",""),"{",""),"|",""),"}",""),"~",""),CHAR(9),""),CHAR(10),""),CHAR(13),"")," ",""),"")</f>
        <v/>
      </c>
      <c r="CC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24,57))," ",""),"!",""),CHAR(34),""),"#",""),"$",""),"%",""),"&amp;",""),"'",""),"(",""),")",""),"*",""),"+",""),",",""),"-",""),".",""),"/",""),":",""),";",""),"&lt;",""),"=",""),"&gt;",""),"?",""),"@",""),"[",""),"\",""),"]",""),"^",""),"_",""),"`",""),"{",""),"|",""),"}",""),"~",""),CHAR(9),""),CHAR(10),""),CHAR(13),"")," ",""),"")</f>
        <v/>
      </c>
      <c r="CD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24,58))," ",""),"!",""),CHAR(34),""),"#",""),"$",""),"%",""),"&amp;",""),"'",""),"(",""),")",""),"*",""),"+",""),",",""),"-",""),".",""),"/",""),":",""),";",""),"&lt;",""),"=",""),"&gt;",""),"?",""),"@",""),"[",""),"\",""),"]",""),"^",""),"_",""),"`",""),"{",""),"|",""),"}",""),"~",""),CHAR(9),""),CHAR(10),""),CHAR(13),"")," ",""),"")</f>
        <v/>
      </c>
      <c r="CE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24,59))," ",""),"!",""),CHAR(34),""),"#",""),"$",""),"%",""),"&amp;",""),"'",""),"(",""),")",""),"*",""),"+",""),",",""),"-",""),".",""),"/",""),":",""),";",""),"&lt;",""),"=",""),"&gt;",""),"?",""),"@",""),"[",""),"\",""),"]",""),"^",""),"_",""),"`",""),"{",""),"|",""),"}",""),"~",""),CHAR(9),""),CHAR(10),""),CHAR(13),"")," ",""),"")</f>
        <v/>
      </c>
      <c r="CF2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24,60))," ",""),"!",""),CHAR(34),""),"#",""),"$",""),"%",""),"&amp;",""),"'",""),"(",""),")",""),"*",""),"+",""),",",""),"-",""),".",""),"/",""),":",""),";",""),"&lt;",""),"=",""),"&gt;",""),"?",""),"@",""),"[",""),"\",""),"]",""),"^",""),"_",""),"`",""),"{",""),"|",""),"}",""),"~",""),CHAR(9),""),CHAR(10),""),CHAR(13),"")," ",""),"")</f>
        <v/>
      </c>
      <c r="CH28">
        <f>COUNTIF($Y73:$CF73,"&gt;0")</f>
        <v/>
      </c>
      <c r="CI28">
        <f>COUNTIF($Y73:$CF73,2)</f>
        <v/>
      </c>
      <c r="CJ28">
        <f>SUMPRODUCT((COUNTIF($Y118:$CF118,{1,2,3,4,5,6,7,8,9,10,11,12,13,14,15})&gt;0)*{2,4,8,16,32,64,128,256,512,1024,2048,4096,8192,16384,32768})</f>
        <v/>
      </c>
      <c r="CK28">
        <f>CF208</f>
        <v/>
      </c>
      <c r="CL28">
        <f>SUMPRODUCT(MOD(INT(((CJ28+CK28))/{2,4,8,16,32,64,128,256,512,1024,2048,4096,8192,16384,32768}),2))</f>
        <v/>
      </c>
      <c r="CM28">
        <f>IF(CH28&lt;2,-9999,CL28+2*MOD(INT(((CJ28+CK28))/2),2)+2*MOD(INT(((CJ28+CK28))/4),2)-CI28)</f>
        <v/>
      </c>
      <c r="DA28" t="n">
        <v>24</v>
      </c>
      <c r="DB28">
        <f>IF($B$37=0,"",IFERROR(TRIM(SUBSTITUTE(SUBSTITUTE(SUBSTITUTE(SUBSTITUTE(INDEX(PASTE_ALL,24,$B$37)," "," "),CHAR(9)," "),CHAR(10)," "),CHAR(13)," ")),""))</f>
        <v/>
      </c>
      <c r="DC28">
        <f>IF(AND(24&gt;HEADER_ROW,UPPER(DB28)="LEGEND"),1,0)</f>
        <v/>
      </c>
      <c r="DE28" t="n">
        <v>24</v>
      </c>
      <c r="DF28">
        <f>HEADER_ROW+$DE28</f>
        <v/>
      </c>
      <c r="DG28">
        <f>IF(AND($DF28&lt;=1000,$DF28&lt;$B$8),1,0)</f>
        <v/>
      </c>
      <c r="DH28">
        <f>IF($DG28=1,IFERROR(INDEX($DB$5:$DB$1004,$DF28),""),"")</f>
        <v/>
      </c>
      <c r="DI28">
        <f>IF(AND($DG28=1,$DH28&lt;&gt;""),IFERROR(SUBSTITUTE(SUBSTITUTE(TRIM(SUBSTITUTE(SUBSTITUTE(SUBSTITUTE(SUBSTITUTE(IFERROR(INDEX(PASTE_ALL,$DF28,1)&amp;"","")&amp;"␟"&amp;IFERROR(INDEX(PASTE_ALL,$DF28,2)&amp;"","")&amp;"␟"&amp;IFERROR(INDEX(PASTE_ALL,$DF28,3)&amp;"","")&amp;"␟"&amp;IFERROR(INDEX(PASTE_ALL,$DF28,4)&amp;"","")&amp;"␟"&amp;IFERROR(INDEX(PASTE_ALL,$DF28,5)&amp;"","")&amp;"␟"&amp;IFERROR(INDEX(PASTE_ALL,$DF28,6)&amp;"","")&amp;"␟"&amp;IFERROR(INDEX(PASTE_ALL,$DF28,7)&amp;"","")&amp;"␟"&amp;IFERROR(INDEX(PASTE_ALL,$DF28,8)&amp;"","")&amp;"␟"&amp;IFERROR(INDEX(PASTE_ALL,$DF28,9)&amp;"","")&amp;"␟"&amp;IFERROR(INDEX(PASTE_ALL,$DF28,10)&amp;"","")&amp;"␟"&amp;IFERROR(INDEX(PASTE_ALL,$DF28,11)&amp;"","")&amp;"␟"&amp;IFERROR(INDEX(PASTE_ALL,$DF28,12)&amp;"","")&amp;"␟"&amp;IFERROR(INDEX(PASTE_ALL,$DF28,13)&amp;"","")&amp;"␟"&amp;IFERROR(INDEX(PASTE_ALL,$DF28,14)&amp;"","")&amp;"␟"&amp;IFERROR(INDEX(PASTE_ALL,$DF28,15)&amp;"","")&amp;"␟"&amp;IFERROR(INDEX(PASTE_ALL,$DF28,16)&amp;"","")&amp;"␟"&amp;IFERROR(INDEX(PASTE_ALL,$DF28,17)&amp;"","")&amp;"␟"&amp;IFERROR(INDEX(PASTE_ALL,$DF28,18)&amp;"","")&amp;"␟"&amp;IFERROR(INDEX(PASTE_ALL,$DF28,19)&amp;"","")&amp;"␟"&amp;IFERROR(INDEX(PASTE_ALL,$DF28,20)&amp;"","")&amp;"␟"&amp;IFERROR(INDEX(PASTE_ALL,$DF28,21)&amp;"","")&amp;"␟"&amp;IFERROR(INDEX(PASTE_ALL,$DF28,22)&amp;"","")&amp;"␟"&amp;IFERROR(INDEX(PASTE_ALL,$DF28,23)&amp;"","")&amp;"␟"&amp;IFERROR(INDEX(PASTE_ALL,$DF28,24)&amp;"","")&amp;"␟"&amp;IFERROR(INDEX(PASTE_ALL,$DF28,25)&amp;"","")&amp;"␟"&amp;IFERROR(INDEX(PASTE_ALL,$DF28,26)&amp;"","")&amp;"␟"&amp;IFERROR(INDEX(PASTE_ALL,$DF28,27)&amp;"","")&amp;"␟"&amp;IFERROR(INDEX(PASTE_ALL,$DF28,28)&amp;"","")&amp;"␟"&amp;IFERROR(INDEX(PASTE_ALL,$DF28,29)&amp;"","")&amp;"␟"&amp;IFERROR(INDEX(PASTE_ALL,$DF28,30)&amp;"","")&amp;"␟"&amp;IFERROR(INDEX(PASTE_ALL,$DF28,31)&amp;"","")&amp;"␟"&amp;IFERROR(INDEX(PASTE_ALL,$DF28,32)&amp;"","")&amp;"␟"&amp;IFERROR(INDEX(PASTE_ALL,$DF28,33)&amp;"","")&amp;"␟"&amp;IFERROR(INDEX(PASTE_ALL,$DF28,34)&amp;"","")&amp;"␟"&amp;IFERROR(INDEX(PASTE_ALL,$DF28,35)&amp;"","")&amp;"␟"&amp;IFERROR(INDEX(PASTE_ALL,$DF28,36)&amp;"","")&amp;"␟"&amp;IFERROR(INDEX(PASTE_ALL,$DF28,37)&amp;"","")&amp;"␟"&amp;IFERROR(INDEX(PASTE_ALL,$DF28,38)&amp;"","")&amp;"␟"&amp;IFERROR(INDEX(PASTE_ALL,$DF28,39)&amp;"","")&amp;"␟"&amp;IFERROR(INDEX(PASTE_ALL,$DF28,40)&amp;"","")&amp;"␟"&amp;IFERROR(INDEX(PASTE_ALL,$DF28,41)&amp;"","")&amp;"␟"&amp;IFERROR(INDEX(PASTE_ALL,$DF28,42)&amp;"","")&amp;"␟"&amp;IFERROR(INDEX(PASTE_ALL,$DF28,43)&amp;"","")&amp;"␟"&amp;IFERROR(INDEX(PASTE_ALL,$DF28,44)&amp;"","")&amp;"␟"&amp;IFERROR(INDEX(PASTE_ALL,$DF28,45)&amp;"","")&amp;"␟"&amp;IFERROR(INDEX(PASTE_ALL,$DF28,46)&amp;"","")&amp;"␟"&amp;IFERROR(INDEX(PASTE_ALL,$DF28,47)&amp;"","")&amp;"␟"&amp;IFERROR(INDEX(PASTE_ALL,$DF28,48)&amp;"","")&amp;"␟"&amp;IFERROR(INDEX(PASTE_ALL,$DF28,49)&amp;"","")&amp;"␟"&amp;IFERROR(INDEX(PASTE_ALL,$DF28,50)&amp;"","")&amp;"␟"&amp;IFERROR(INDEX(PASTE_ALL,$DF28,51)&amp;"","")&amp;"␟"&amp;IFERROR(INDEX(PASTE_ALL,$DF28,52)&amp;"","")&amp;"␟"&amp;IFERROR(INDEX(PASTE_ALL,$DF28,53)&amp;"","")&amp;"␟"&amp;IFERROR(INDEX(PASTE_ALL,$DF28,54)&amp;"","")&amp;"␟"&amp;IFERROR(INDEX(PASTE_ALL,$DF28,55)&amp;"","")&amp;"␟"&amp;IFERROR(INDEX(PASTE_ALL,$DF28,56)&amp;"","")&amp;"␟"&amp;IFERROR(INDEX(PASTE_ALL,$DF28,57)&amp;"","")&amp;"␟"&amp;IFERROR(INDEX(PASTE_ALL,$DF28,58)&amp;"","")&amp;"␟"&amp;IFERROR(INDEX(PASTE_ALL,$DF28,59)&amp;"","")&amp;"␟"&amp;IFERROR(INDEX(PASTE_ALL,$DF28,60)&amp;"","")," "," "),CHAR(9)," "),CHAR(10)," "),CHAR(13)," "))," ␟","␟"),"␟ ","␟"),"#"&amp;$DE28),"")</f>
        <v/>
      </c>
      <c r="DJ28">
        <f>IF($DI28="",0,IF(SUMPRODUCT(--EXACT($DI$4:DI27,$DI28))&gt;0,1,0))</f>
        <v/>
      </c>
      <c r="DK28">
        <f>IF(AND($DI28&lt;&gt;"",$DJ28=0),1,0)</f>
        <v/>
      </c>
      <c r="DL28">
        <f>DL27+$DK28</f>
        <v/>
      </c>
      <c r="DM28">
        <f>IF(AND($DK28=1,$DL28&lt;=600),1,0)</f>
        <v/>
      </c>
      <c r="DN28">
        <f>IF($DM28=0,"",IF($L$6=0,"",IFERROR(IF(ISNUMBER(INDEX(PASTE_ALL,$DF28,$L$6)),INDEX(PASTE_ALL,$DF28,$L$6),TRIM(SUBSTITUTE(SUBSTITUTE(SUBSTITUTE(SUBSTITUTE(INDEX(PASTE_ALL,$DF28,$L$6)," "," "),CHAR(9)," "),CHAR(10)," "),CHAR(13)," "))),"")))</f>
        <v/>
      </c>
      <c r="DO28">
        <f>IF($DM28=0,"",IF($L$7=0,"",IFERROR(IF(ISNUMBER(INDEX(PASTE_ALL,$DF28,$L$7)),INDEX(PASTE_ALL,$DF28,$L$7),TRIM(SUBSTITUTE(SUBSTITUTE(SUBSTITUTE(SUBSTITUTE(INDEX(PASTE_ALL,$DF28,$L$7)," "," "),CHAR(9)," "),CHAR(10)," "),CHAR(13)," "))),"")))</f>
        <v/>
      </c>
      <c r="DP28">
        <f>IF($DM28=0,"",IF($L$8=0,"",IFERROR(IF(ISNUMBER(INDEX(PASTE_ALL,$DF28,$L$8)),INDEX(PASTE_ALL,$DF28,$L$8),TRIM(SUBSTITUTE(SUBSTITUTE(SUBSTITUTE(SUBSTITUTE(INDEX(PASTE_ALL,$DF28,$L$8)," "," "),CHAR(9)," "),CHAR(10)," "),CHAR(13)," "))),"")))</f>
        <v/>
      </c>
      <c r="DQ28">
        <f>IF($DM28=0,"",IF($L$9=0,"",IFERROR(IF(ISNUMBER(INDEX(PASTE_ALL,$DF28,$L$9)),INDEX(PASTE_ALL,$DF28,$L$9),TRIM(SUBSTITUTE(SUBSTITUTE(SUBSTITUTE(SUBSTITUTE(INDEX(PASTE_ALL,$DF28,$L$9)," "," "),CHAR(9)," "),CHAR(10)," "),CHAR(13)," "))),"")))</f>
        <v/>
      </c>
      <c r="DR28">
        <f>IF($DM28=0,"",IF($L$10=0,"",IFERROR(IF(ISNUMBER(INDEX(PASTE_ALL,$DF28,$L$10)),INDEX(PASTE_ALL,$DF28,$L$10),TRIM(SUBSTITUTE(SUBSTITUTE(SUBSTITUTE(SUBSTITUTE(INDEX(PASTE_ALL,$DF28,$L$10)," "," "),CHAR(9)," "),CHAR(10)," "),CHAR(13)," "))),"")))</f>
        <v/>
      </c>
      <c r="DS28">
        <f>IF($DM28=0,"",IF($L$11=0,"",IFERROR(IF(ISNUMBER(INDEX(PASTE_ALL,$DF28,$L$11)),INDEX(PASTE_ALL,$DF28,$L$11),TRIM(SUBSTITUTE(SUBSTITUTE(SUBSTITUTE(SUBSTITUTE(INDEX(PASTE_ALL,$DF28,$L$11)," "," "),CHAR(9)," "),CHAR(10)," "),CHAR(13)," "))),"")))</f>
        <v/>
      </c>
      <c r="DT28">
        <f>IF($DM28=0,"",IF($L$12=0,"",IFERROR(IF(ISNUMBER(INDEX(PASTE_ALL,$DF28,$L$12)),INDEX(PASTE_ALL,$DF28,$L$12),TRIM(SUBSTITUTE(SUBSTITUTE(SUBSTITUTE(SUBSTITUTE(INDEX(PASTE_ALL,$DF28,$L$12)," "," "),CHAR(9)," "),CHAR(10)," "),CHAR(13)," "))),"")))</f>
        <v/>
      </c>
      <c r="DU28">
        <f>IF($DM28=0,"",IF($L$13=0,"",IFERROR(IF(ISNUMBER(INDEX(PASTE_ALL,$DF28,$L$13)),INDEX(PASTE_ALL,$DF28,$L$13),TRIM(SUBSTITUTE(SUBSTITUTE(SUBSTITUTE(SUBSTITUTE(INDEX(PASTE_ALL,$DF28,$L$13)," "," "),CHAR(9)," "),CHAR(10)," "),CHAR(13)," "))),"")))</f>
        <v/>
      </c>
      <c r="DV28">
        <f>IF($DM28=0,"",IF($L$14=0,"",IFERROR(IF(ISNUMBER(INDEX(PASTE_ALL,$DF28,$L$14)),INDEX(PASTE_ALL,$DF28,$L$14),TRIM(SUBSTITUTE(SUBSTITUTE(SUBSTITUTE(SUBSTITUTE(INDEX(PASTE_ALL,$DF28,$L$14)," "," "),CHAR(9)," "),CHAR(10)," "),CHAR(13)," "))),"")))</f>
        <v/>
      </c>
      <c r="DW28">
        <f>IF($DM28=0,"",IF($L$15=0,"",IFERROR(IF(ISNUMBER(INDEX(PASTE_ALL,$DF28,$L$15)),INDEX(PASTE_ALL,$DF28,$L$15),IF(SUMPRODUCT(--ISNUMBER(FIND({"A","B","C","D","E","F","G","H","I","J","K","L","M","N","O","P","Q","R","S","T","U","V","W","X","Y","Z","0","1","2","3","4","5","6","7","8","9"},UPPER(TRIM(SUBSTITUTE(SUBSTITUTE(SUBSTITUTE(SUBSTITUTE(INDEX(PASTE_ALL,$DF28,$L$15)," "," "),CHAR(9)," "),CHAR(10)," "),CHAR(13)," "))))))&gt;0,TRIM(SUBSTITUTE(SUBSTITUTE(SUBSTITUTE(SUBSTITUTE(INDEX(PASTE_ALL,$DF28,$L$15)," "," "),CHAR(9)," "),CHAR(10)," "),CHAR(13)," ")),"")),"")))</f>
        <v/>
      </c>
      <c r="DX28">
        <f>IF($DM28=0,"",IF($L$16=0,"",IFERROR(IF(ISNUMBER(INDEX(PASTE_ALL,$DF28,$L$16)),INDEX(PASTE_ALL,$DF28,$L$16),SUBSTITUTE(SUBSTITUTE(TRIM(SUBSTITUTE(SUBSTITUTE(SUBSTITUTE(SUBSTITUTE(INDEX(PASTE_ALL,$DF28,$L$16)," "," "),CHAR(9)," "),CHAR(10)," "),CHAR(13)," ")),",",""),"%","")),"")))</f>
        <v/>
      </c>
      <c r="DY28">
        <f>IF($DM28=0,"",IFERROR(IF(ISNUMBER($DX28),$DX28,IF($DX28="","",IF(TRIM($DX28)="",0,IF(AND(AND(SUBSTITUTE(SUBSTITUTE(SUBSTITUTE(SUBSTITUTE(SUBSTITUTE(SUBSTITUTE(SUBSTITUTE(SUBSTITUTE(SUBSTITUTE(SUBSTITUTE(SUBSTITUTE(SUBSTITUTE(SUBSTITUTE(SUBSTITUTE(UPPER(TRIM($DX28)),"0",""),"1",""),"2",""),"3",""),"4",""),"5",""),"6",""),"7",""),"8",""),"9",""),".",""),"+",""),"-",""),"E","")="",LEN(SUBSTITUTE(SUBSTITUTE(MID(UPPER(TRIM($DX28)),1+OR(LEFT(UPPER(TRIM($DX28)),1)="+",LEFT(UPPER(TRIM($DX28)),1)="-"),999),"E+","E"),"E-","E"))=LEN(SUBSTITUTE(SUBSTITUTE(SUBSTITUTE(SUBSTITUTE(MID(UPPER(TRIM($DX28)),1+OR(LEFT(UPPER(TRIM($DX28)),1)="+",LEFT(UPPER(TRIM($DX28)),1)="-"),999),"E+","E"),"E-","E"),"+",""),"-","")),LEN(UPPER(TRIM($DX28)))-LEN(SUBSTITUTE(UPPER(TRIM($DX28)),"E",""))&lt;2,LEN(UPPER(TRIM($DX28)))-LEN(SUBSTITUTE(UPPER(TRIM($DX28)),".",""))&lt;2,IFERROR(FIND(".",UPPER(TRIM($DX28))),0)&lt;IFERROR(FIND("E",UPPER(TRIM($DX28))),999)),ISNUMBER(VALUE(TRIM($DX28)))),VALUE(TRIM($DX28)),"")))),""))</f>
        <v/>
      </c>
      <c r="DZ28">
        <f>IF($DM28=0,"",IF($L$17=0,"",IFERROR(IF(ISNUMBER(INDEX(PASTE_ALL,$DF28,$L$17)),INDEX(PASTE_ALL,$DF28,$L$17),SUBSTITUTE(SUBSTITUTE(TRIM(SUBSTITUTE(SUBSTITUTE(SUBSTITUTE(SUBSTITUTE(INDEX(PASTE_ALL,$DF28,$L$17)," "," "),CHAR(9)," "),CHAR(10)," "),CHAR(13)," ")),",",""),"%","")),"")))</f>
        <v/>
      </c>
      <c r="EA28">
        <f>IF($DM28=0,"",IFERROR(IF(ISNUMBER($DZ28),$DZ28,IF($DZ28="","",IF(TRIM($DZ28)="",0,IF(AND(AND(SUBSTITUTE(SUBSTITUTE(SUBSTITUTE(SUBSTITUTE(SUBSTITUTE(SUBSTITUTE(SUBSTITUTE(SUBSTITUTE(SUBSTITUTE(SUBSTITUTE(SUBSTITUTE(SUBSTITUTE(SUBSTITUTE(SUBSTITUTE(UPPER(TRIM($DZ28)),"0",""),"1",""),"2",""),"3",""),"4",""),"5",""),"6",""),"7",""),"8",""),"9",""),".",""),"+",""),"-",""),"E","")="",LEN(SUBSTITUTE(SUBSTITUTE(MID(UPPER(TRIM($DZ28)),1+OR(LEFT(UPPER(TRIM($DZ28)),1)="+",LEFT(UPPER(TRIM($DZ28)),1)="-"),999),"E+","E"),"E-","E"))=LEN(SUBSTITUTE(SUBSTITUTE(SUBSTITUTE(SUBSTITUTE(MID(UPPER(TRIM($DZ28)),1+OR(LEFT(UPPER(TRIM($DZ28)),1)="+",LEFT(UPPER(TRIM($DZ28)),1)="-"),999),"E+","E"),"E-","E"),"+",""),"-","")),LEN(UPPER(TRIM($DZ28)))-LEN(SUBSTITUTE(UPPER(TRIM($DZ28)),"E",""))&lt;2,LEN(UPPER(TRIM($DZ28)))-LEN(SUBSTITUTE(UPPER(TRIM($DZ28)),".",""))&lt;2,IFERROR(FIND(".",UPPER(TRIM($DZ28))),0)&lt;IFERROR(FIND("E",UPPER(TRIM($DZ28))),999)),ISNUMBER(VALUE(TRIM($DZ28)))),VALUE(TRIM($DZ28)),"")))),""))</f>
        <v/>
      </c>
      <c r="EB28">
        <f>IF($DM28=0,"",IF($L$18=0,"",IFERROR(IF(UPPER(TRIM(SUBSTITUTE(SUBSTITUTE(SUBSTITUTE(SUBSTITUTE(INDEX(PASTE_ALL,$DF28,$L$18)," "," "),CHAR(9)," "),CHAR(10)," "),CHAR(13)," ")))="READY","Ready",IF(UPPER(TRIM(SUBSTITUTE(SUBSTITUTE(SUBSTITUTE(SUBSTITUTE(INDEX(PASTE_ALL,$DF28,$L$18)," "," "),CHAR(9)," "),CHAR(10)," "),CHAR(13)," ")))="PM","PM",IF(OR(UPPER(TRIM(SUBSTITUTE(SUBSTITUTE(SUBSTITUTE(SUBSTITUTE(INDEX(PASTE_ALL,$DF28,$L$18)," "," "),CHAR(9)," "),CHAR(10)," "),CHAR(13)," ")))="OT",UPPER(TRIM(SUBSTITUTE(SUBSTITUTE(SUBSTITUTE(SUBSTITUTE(INDEX(PASTE_ALL,$DF28,$L$18)," "," "),CHAR(9)," "),CHAR(10)," "),CHAR(13)," ")))="OVERTIME",UPPER(TRIM(SUBSTITUTE(SUBSTITUTE(SUBSTITUTE(SUBSTITUTE(INDEX(PASTE_ALL,$DF28,$L$18)," "," "),CHAR(9)," "),CHAR(10)," "),CHAR(13)," ")))="TRIAL"),"OT",TRIM(SUBSTITUTE(SUBSTITUTE(SUBSTITUTE(SUBSTITUTE(INDEX(PASTE_ALL,$DF28,$L$18)," "," "),CHAR(9)," "),CHAR(10)," "),CHAR(13)," "))))),"")))</f>
        <v/>
      </c>
      <c r="EC28">
        <f>IF($DM28=0,"",IF($L$19=0,"",IFERROR(IF(ISNUMBER(INDEX(PASTE_ALL,$DF28,$L$19)),INDEX(PASTE_ALL,$DF28,$L$19),TRIM(SUBSTITUTE(SUBSTITUTE(SUBSTITUTE(SUBSTITUTE(INDEX(PASTE_ALL,$DF28,$L$19)," "," "),CHAR(9)," "),CHAR(10)," "),CHAR(13)," "))),"")))</f>
        <v/>
      </c>
      <c r="ED28">
        <f>IF($DM28=0,"",MATCH(1,INDEX(EXACT($DH$5:DH28,$DH28)*$DM$5:DM28,0),0))</f>
        <v/>
      </c>
      <c r="EE28">
        <f>IF($DM28=0,0,IF($ED28=$DE28,1,0))</f>
        <v/>
      </c>
      <c r="EF28">
        <f>EF27+$EE28</f>
        <v/>
      </c>
      <c r="EG28">
        <f>IF($DM28=0,"",INDEX($EF$5:$EF$1003,$ED28))</f>
        <v/>
      </c>
      <c r="EH28">
        <f>IF($DM28=0,"",IF($DO28&lt;&gt;"","",IFERROR(LOOKUP(2,1/(($EG$4:EG27=$EG28)*($DO$4:DO27&lt;&gt;"")),$DO$4:DO27),"")))</f>
        <v/>
      </c>
      <c r="EI28">
        <f>IF($DM28=0,"",IF($DO28&lt;&gt;"",$DO28,$EH28))</f>
        <v/>
      </c>
      <c r="EJ28">
        <f>IF($DM28=0,"",IF($EI28="",0,IF(OR(ISNUMBER($EI28),AND(AND(SUBSTITUTE(SUBSTITUTE(SUBSTITUTE(SUBSTITUTE(SUBSTITUTE(SUBSTITUTE(SUBSTITUTE(SUBSTITUTE(SUBSTITUTE(SUBSTITUTE(SUBSTITUTE(SUBSTITUTE(SUBSTITUTE(SUBSTITUTE(UPPER($EI28),"0",""),"1",""),"2",""),"3",""),"4",""),"5",""),"6",""),"7",""),"8",""),"9",""),".",""),"+",""),"-",""),"E","")="",LEN(SUBSTITUTE(SUBSTITUTE(MID(UPPER($EI28),1+OR(LEFT(UPPER($EI28),1)="+",LEFT(UPPER($EI28),1)="-"),999),"E+","E"),"E-","E"))=LEN(SUBSTITUTE(SUBSTITUTE(SUBSTITUTE(SUBSTITUTE(MID(UPPER($EI28),1+OR(LEFT(UPPER($EI28),1)="+",LEFT(UPPER($EI28),1)="-"),999),"E+","E"),"E-","E"),"+",""),"-","")),LEN(UPPER($EI28))-LEN(SUBSTITUTE(UPPER($EI28),"E",""))&lt;2,LEN(UPPER($EI28))-LEN(SUBSTITUTE(UPPER($EI28),".",""))&lt;2,IFERROR(FIND(".",UPPER($EI28)),0)&lt;IFERROR(FIND("E",UPPER($EI28)),999)),ISNUMBER(VALUE($EI28)))),1,2)))</f>
        <v/>
      </c>
      <c r="EK28">
        <f>IF($DM28=0,"",IF($EJ28=1,IF(ISNUMBER($EI28),$EI28,VALUE($EI28)),IF($EJ28=2,$DE28,0)))</f>
        <v/>
      </c>
      <c r="EL28">
        <f>IF($DM28=0,"",COUNTIF($EG$5:$EG$1003,"&lt;"&amp;$EG28)+SUMPRODUCT(($EG$5:$EG$1003=$EG28)*(($EJ$5:$EJ$1003&lt;$EJ28)+($EJ$5:$EJ$1003=$EJ28)*(($EK$5:$EK$1003&lt;$EK28)+($EK$5:$EK$1003=$EK28)*($DE$5:$DE$1003&lt;$DE28))))+1)</f>
        <v/>
      </c>
      <c r="EM28">
        <f>IF($DM28=0,"",$EL28+$EG28-1)</f>
        <v/>
      </c>
      <c r="EN28">
        <f>IF($DM28=0,0,IFERROR(MATCH(1,INDEX(--(TRIM(SUBSTITUTE(SUBSTITUTE(SUBSTITUTE(SUBSTITUTE(LINES_NAME&amp;""," "," "),CHAR(9)," "),CHAR(10)," "),CHAR(13)," "))=$DH28),0),0),0))</f>
        <v/>
      </c>
      <c r="EO28">
        <f>IF($EN28=0,0,IF(OR(UPPER(TRIM(INDEX(LINES_SCHEDULED,$EN28)&amp;""))="YES",UPPER(TRIM(INDEX(LINES_SCHEDULED,$EN28)&amp;""))="Y",UPPER(TRIM(INDEX(LINES_SCHEDULED,$EN28)&amp;""))="X"),1,0))</f>
        <v/>
      </c>
      <c r="EP28">
        <f>IF($DM28=0,"",IF(COUNTIFS($EG$5:$EG$1003,$EG28,$EB$5:$EB$1003,"Ready")&gt;0,"READY",IF(COUNTIFS($EG$5:$EG$1003,$EG28,$EB$5:$EB$1003,"PM")&gt;0,"PM",IF(COUNTIFS($EG$5:$EG$1003,$EG28,$EB$5:$EB$1003,"OT")&gt;0,"OT",""))))</f>
        <v/>
      </c>
      <c r="EQ28">
        <f>IF($EN28=0,"",UPPER(TRIM(INDEX(LINES_STATUS,$EN28)&amp;"")))</f>
        <v/>
      </c>
      <c r="ER28">
        <f>IF($DM28=0,"",IF(OR($EQ28="READY",$EQ28="PM",$EQ28="OT"),$EQ28,$EP28))</f>
        <v/>
      </c>
      <c r="ES28">
        <f>IF($DM28=0,"",IF(AND($DV28&lt;&gt;"",UPPER($DV28)&lt;&gt;"N"),"allergen",IF(ISNUMBER(SEARCH("oil",$DQ28)),"oil",IF(OR(EXACT($DS28,"A662"),EXACT($DS28,"A624")),"bulk",""))))</f>
        <v/>
      </c>
      <c r="ET28">
        <f>IF($DM28=0,"",IF(OR($EA28="",$EA28=0),"",$EA28/100))</f>
        <v/>
      </c>
      <c r="EU28">
        <f>IF(OR($ET28="",$DY28=""),"",INT($DY28*(1-$ET28)+0.5))</f>
        <v/>
      </c>
      <c r="EW28" t="n">
        <v>24</v>
      </c>
      <c r="EX28">
        <f>IFERROR(MATCH($EW28,$EM$5:$EM$1003,0),0)</f>
        <v/>
      </c>
      <c r="EY28">
        <f>IF($EW28&gt;$B$12,"",IF($EX28&gt;0,"row","spacer"))</f>
        <v/>
      </c>
      <c r="EZ28">
        <f>IF(AND($EY28="row",$EY27&lt;&gt;"row"),1,0)</f>
        <v/>
      </c>
      <c r="FA28">
        <f>IF(AND($EY28="row",$EY29&lt;&gt;"row"),1,0)</f>
        <v/>
      </c>
      <c r="FB28">
        <f>IF($EZ28=1,IFERROR(IF(ISNUMBER(INDEX(PASTE_ALL,INDEX($DF$5:$DF$1003,$EX28),$B$37)),INDEX(PASTE_ALL,INDEX($DF$5:$DF$1003,$EX28),$B$37),INDEX($DH$5:$DH$1003,$EX28)),INDEX($DH$5:$DH$1003,$EX28)),"")</f>
        <v/>
      </c>
      <c r="FC28">
        <f>IF($EY28="row",INDEX($ER$5:$ER$1003,$EX28),"")</f>
        <v/>
      </c>
      <c r="FD28">
        <f>IF($EY28="row",INDEX($DN$5:$DN$1003,$EX28),"")</f>
        <v/>
      </c>
      <c r="FE28">
        <f>IF($EY28="row",INDEX($DO$5:$DO$1003,$EX28),"")</f>
        <v/>
      </c>
      <c r="FF28">
        <f>IF($EY28="row",INDEX($DP$5:$DP$1003,$EX28),"")</f>
        <v/>
      </c>
      <c r="FG28">
        <f>IF($EY28="row",INDEX($DQ$5:$DQ$1003,$EX28),"")</f>
        <v/>
      </c>
      <c r="FH28">
        <f>IF($EY28="row",INDEX($DR$5:$DR$1003,$EX28),"")</f>
        <v/>
      </c>
      <c r="FI28">
        <f>IF($EY28="row",INDEX($DS$5:$DS$1003,$EX28),"")</f>
        <v/>
      </c>
      <c r="FJ28">
        <f>IF($EY28="row",INDEX($DT$5:$DT$1003,$EX28),"")</f>
        <v/>
      </c>
      <c r="FK28">
        <f>IF($EY28="row",INDEX($DU$5:$DU$1003,$EX28),"")</f>
        <v/>
      </c>
      <c r="FL28">
        <f>IF($EY28="row",INDEX($DV$5:$DV$1003,$EX28),"")</f>
        <v/>
      </c>
      <c r="FM28">
        <f>IF($EY28="row",INDEX($DW$5:$DW$1003,$EX28),"")</f>
        <v/>
      </c>
      <c r="FN28">
        <f>IF($EY28="row",INDEX($DY$5:$DY$1003,$EX28),"")</f>
        <v/>
      </c>
      <c r="FO28">
        <f>IF($EY28="row",INDEX($EA$5:$EA$1003,$EX28),"")</f>
        <v/>
      </c>
      <c r="FP28">
        <f>IF($EY28="row",INDEX($EC$5:$EC$1003,$EX28),"")</f>
        <v/>
      </c>
      <c r="FQ28">
        <f>IF($EY28="row",INDEX($ET$5:$ET$1003,$EX28),"")</f>
        <v/>
      </c>
      <c r="FR28">
        <f>IF($EY28="row",INDEX($EU$5:$EU$1003,$EX28),"")</f>
        <v/>
      </c>
      <c r="FS28">
        <f>IF(AND($EY28="row",$EY27="row"),IF(OR(INDEX($DT$5:$DT$1003,$EX27)="",INDEX($DT$5:$DT$1003,$EX28)=""),"",IF(NOT(EXACT(INDEX($DT$5:$DT$1003,$EX27),INDEX($DT$5:$DT$1003,$EX28))),"S4",IF(NOT(EXACT(INDEX($DS$5:$DS$1003,$EX27),INDEX($DS$5:$DS$1003,$EX28))),"S3",IF(NOT(EXACT(INDEX($DR$5:$DR$1003,$EX27),INDEX($DR$5:$DR$1003,$EX28))),"S1 Count Change","S1")))),"")</f>
        <v/>
      </c>
      <c r="FT28">
        <f>IF($EY28="row",INDEX($ES$5:$ES$1003,$EX28),"")</f>
        <v/>
      </c>
      <c r="FU28">
        <f>IF($EY28="row",INDEX($EO$5:$EO$1003,$EX28),0)</f>
        <v/>
      </c>
      <c r="FV28">
        <f>IF($FS28="S1 Count Change",1,0)</f>
        <v/>
      </c>
      <c r="FX28" t="n">
        <v>24</v>
      </c>
      <c r="FY28">
        <f>IFERROR(MATCH($FX28,$EF$5:$EF$1003,0),0)</f>
        <v/>
      </c>
      <c r="FZ28">
        <f>IF($FY28=0,"",INDEX($DH$5:$DH$1003,$FY28))</f>
        <v/>
      </c>
      <c r="GA28">
        <f>IF($FY28=0,"",COUNTIF($EG$5:$EG$1003,$FX28))</f>
        <v/>
      </c>
      <c r="GB28">
        <f>IF($FY28=0,"",INDEX($ER$5:$ER$1003,$FY28))</f>
        <v/>
      </c>
      <c r="GC28">
        <f>IF($FY28=0,"",IF(INDEX($EO$5:$EO$1003,$FY28)=1,"Yes",""))</f>
        <v/>
      </c>
      <c r="GD28">
        <f>IF($FY28=0,"",IF(INDEX($EN$5:$EN$1003,$FY28)&gt;0,"","NOT IN YOUR LIST - type it in column A to tick it"))</f>
        <v/>
      </c>
      <c r="GE28">
        <f>IF(AND($FY28&gt;0,$GD28&lt;&gt;""),1,0)</f>
        <v/>
      </c>
      <c r="GF28">
        <f>GF27+$GE28</f>
        <v/>
      </c>
      <c r="GG28">
        <f>IFERROR(INDEX($FZ$5:$FZ$104,MATCH($FX28,$GF$5:$GF$104,0)),"")</f>
        <v/>
      </c>
    </row>
    <row r="29">
      <c r="A29" t="inlineStr">
        <is>
          <t>Paste row of the first one</t>
        </is>
      </c>
      <c r="B29">
        <f>IF($B$28=0,0,INDEX($DF$5:$DF$1003,MATCH(1,INDEX((UPPER($DH$5:$DH$1003)=UPPER($O$5))*$DM$5:$DM$1003,0),0)))</f>
        <v/>
      </c>
      <c r="S29" t="n">
        <v>25</v>
      </c>
      <c r="T29" t="inlineStr">
        <is>
          <t>Y</t>
        </is>
      </c>
      <c r="V29" t="inlineStr">
        <is>
          <t>ITEM</t>
        </is>
      </c>
      <c r="W29" t="n">
        <v>4</v>
      </c>
      <c r="Y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 ",""),"!",""),CHAR(34),""),"#",""),"$",""),"%",""),"&amp;",""),"'",""),"(",""),")",""),"*",""),"+",""),",",""),"-",""),".",""),"/",""),":",""),";",""),"&lt;",""),"=",""),"&gt;",""),"?",""),"@",""),"[",""),"\",""),"]",""),"^",""),"_",""),"`",""),"{",""),"|",""),"}",""),"~",""),CHAR(9),""),CHAR(10),""),CHAR(13),"")," ",""),"")</f>
        <v/>
      </c>
      <c r="Z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 ",""),"!",""),CHAR(34),""),"#",""),"$",""),"%",""),"&amp;",""),"'",""),"(",""),")",""),"*",""),"+",""),",",""),"-",""),".",""),"/",""),":",""),";",""),"&lt;",""),"=",""),"&gt;",""),"?",""),"@",""),"[",""),"\",""),"]",""),"^",""),"_",""),"`",""),"{",""),"|",""),"}",""),"~",""),CHAR(9),""),CHAR(10),""),CHAR(13),"")," ",""),"")</f>
        <v/>
      </c>
      <c r="AA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 ",""),"!",""),CHAR(34),""),"#",""),"$",""),"%",""),"&amp;",""),"'",""),"(",""),")",""),"*",""),"+",""),",",""),"-",""),".",""),"/",""),":",""),";",""),"&lt;",""),"=",""),"&gt;",""),"?",""),"@",""),"[",""),"\",""),"]",""),"^",""),"_",""),"`",""),"{",""),"|",""),"}",""),"~",""),CHAR(9),""),CHAR(10),""),CHAR(13),"")," ",""),"")</f>
        <v/>
      </c>
      <c r="AB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 ",""),"!",""),CHAR(34),""),"#",""),"$",""),"%",""),"&amp;",""),"'",""),"(",""),")",""),"*",""),"+",""),",",""),"-",""),".",""),"/",""),":",""),";",""),"&lt;",""),"=",""),"&gt;",""),"?",""),"@",""),"[",""),"\",""),"]",""),"^",""),"_",""),"`",""),"{",""),"|",""),"}",""),"~",""),CHAR(9),""),CHAR(10),""),CHAR(13),"")," ",""),"")</f>
        <v/>
      </c>
      <c r="AC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 ",""),"!",""),CHAR(34),""),"#",""),"$",""),"%",""),"&amp;",""),"'",""),"(",""),")",""),"*",""),"+",""),",",""),"-",""),".",""),"/",""),":",""),";",""),"&lt;",""),"=",""),"&gt;",""),"?",""),"@",""),"[",""),"\",""),"]",""),"^",""),"_",""),"`",""),"{",""),"|",""),"}",""),"~",""),CHAR(9),""),CHAR(10),""),CHAR(13),"")," ",""),"")</f>
        <v/>
      </c>
      <c r="AD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25,6))," ",""),"!",""),CHAR(34),""),"#",""),"$",""),"%",""),"&amp;",""),"'",""),"(",""),")",""),"*",""),"+",""),",",""),"-",""),".",""),"/",""),":",""),";",""),"&lt;",""),"=",""),"&gt;",""),"?",""),"@",""),"[",""),"\",""),"]",""),"^",""),"_",""),"`",""),"{",""),"|",""),"}",""),"~",""),CHAR(9),""),CHAR(10),""),CHAR(13),"")," ",""),"")</f>
        <v/>
      </c>
      <c r="AE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25,7))," ",""),"!",""),CHAR(34),""),"#",""),"$",""),"%",""),"&amp;",""),"'",""),"(",""),")",""),"*",""),"+",""),",",""),"-",""),".",""),"/",""),":",""),";",""),"&lt;",""),"=",""),"&gt;",""),"?",""),"@",""),"[",""),"\",""),"]",""),"^",""),"_",""),"`",""),"{",""),"|",""),"}",""),"~",""),CHAR(9),""),CHAR(10),""),CHAR(13),"")," ",""),"")</f>
        <v/>
      </c>
      <c r="AF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25,8))," ",""),"!",""),CHAR(34),""),"#",""),"$",""),"%",""),"&amp;",""),"'",""),"(",""),")",""),"*",""),"+",""),",",""),"-",""),".",""),"/",""),":",""),";",""),"&lt;",""),"=",""),"&gt;",""),"?",""),"@",""),"[",""),"\",""),"]",""),"^",""),"_",""),"`",""),"{",""),"|",""),"}",""),"~",""),CHAR(9),""),CHAR(10),""),CHAR(13),"")," ",""),"")</f>
        <v/>
      </c>
      <c r="AG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25,9))," ",""),"!",""),CHAR(34),""),"#",""),"$",""),"%",""),"&amp;",""),"'",""),"(",""),")",""),"*",""),"+",""),",",""),"-",""),".",""),"/",""),":",""),";",""),"&lt;",""),"=",""),"&gt;",""),"?",""),"@",""),"[",""),"\",""),"]",""),"^",""),"_",""),"`",""),"{",""),"|",""),"}",""),"~",""),CHAR(9),""),CHAR(10),""),CHAR(13),"")," ",""),"")</f>
        <v/>
      </c>
      <c r="AH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25,10))," ",""),"!",""),CHAR(34),""),"#",""),"$",""),"%",""),"&amp;",""),"'",""),"(",""),")",""),"*",""),"+",""),",",""),"-",""),".",""),"/",""),":",""),";",""),"&lt;",""),"=",""),"&gt;",""),"?",""),"@",""),"[",""),"\",""),"]",""),"^",""),"_",""),"`",""),"{",""),"|",""),"}",""),"~",""),CHAR(9),""),CHAR(10),""),CHAR(13),"")," ",""),"")</f>
        <v/>
      </c>
      <c r="AI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25,11))," ",""),"!",""),CHAR(34),""),"#",""),"$",""),"%",""),"&amp;",""),"'",""),"(",""),")",""),"*",""),"+",""),",",""),"-",""),".",""),"/",""),":",""),";",""),"&lt;",""),"=",""),"&gt;",""),"?",""),"@",""),"[",""),"\",""),"]",""),"^",""),"_",""),"`",""),"{",""),"|",""),"}",""),"~",""),CHAR(9),""),CHAR(10),""),CHAR(13),"")," ",""),"")</f>
        <v/>
      </c>
      <c r="AJ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25,12))," ",""),"!",""),CHAR(34),""),"#",""),"$",""),"%",""),"&amp;",""),"'",""),"(",""),")",""),"*",""),"+",""),",",""),"-",""),".",""),"/",""),":",""),";",""),"&lt;",""),"=",""),"&gt;",""),"?",""),"@",""),"[",""),"\",""),"]",""),"^",""),"_",""),"`",""),"{",""),"|",""),"}",""),"~",""),CHAR(9),""),CHAR(10),""),CHAR(13),"")," ",""),"")</f>
        <v/>
      </c>
      <c r="AK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25,13))," ",""),"!",""),CHAR(34),""),"#",""),"$",""),"%",""),"&amp;",""),"'",""),"(",""),")",""),"*",""),"+",""),",",""),"-",""),".",""),"/",""),":",""),";",""),"&lt;",""),"=",""),"&gt;",""),"?",""),"@",""),"[",""),"\",""),"]",""),"^",""),"_",""),"`",""),"{",""),"|",""),"}",""),"~",""),CHAR(9),""),CHAR(10),""),CHAR(13),"")," ",""),"")</f>
        <v/>
      </c>
      <c r="AL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25,14))," ",""),"!",""),CHAR(34),""),"#",""),"$",""),"%",""),"&amp;",""),"'",""),"(",""),")",""),"*",""),"+",""),",",""),"-",""),".",""),"/",""),":",""),";",""),"&lt;",""),"=",""),"&gt;",""),"?",""),"@",""),"[",""),"\",""),"]",""),"^",""),"_",""),"`",""),"{",""),"|",""),"}",""),"~",""),CHAR(9),""),CHAR(10),""),CHAR(13),"")," ",""),"")</f>
        <v/>
      </c>
      <c r="AM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25,15))," ",""),"!",""),CHAR(34),""),"#",""),"$",""),"%",""),"&amp;",""),"'",""),"(",""),")",""),"*",""),"+",""),",",""),"-",""),".",""),"/",""),":",""),";",""),"&lt;",""),"=",""),"&gt;",""),"?",""),"@",""),"[",""),"\",""),"]",""),"^",""),"_",""),"`",""),"{",""),"|",""),"}",""),"~",""),CHAR(9),""),CHAR(10),""),CHAR(13),"")," ",""),"")</f>
        <v/>
      </c>
      <c r="AN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25,16))," ",""),"!",""),CHAR(34),""),"#",""),"$",""),"%",""),"&amp;",""),"'",""),"(",""),")",""),"*",""),"+",""),",",""),"-",""),".",""),"/",""),":",""),";",""),"&lt;",""),"=",""),"&gt;",""),"?",""),"@",""),"[",""),"\",""),"]",""),"^",""),"_",""),"`",""),"{",""),"|",""),"}",""),"~",""),CHAR(9),""),CHAR(10),""),CHAR(13),"")," ",""),"")</f>
        <v/>
      </c>
      <c r="AO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25,17))," ",""),"!",""),CHAR(34),""),"#",""),"$",""),"%",""),"&amp;",""),"'",""),"(",""),")",""),"*",""),"+",""),",",""),"-",""),".",""),"/",""),":",""),";",""),"&lt;",""),"=",""),"&gt;",""),"?",""),"@",""),"[",""),"\",""),"]",""),"^",""),"_",""),"`",""),"{",""),"|",""),"}",""),"~",""),CHAR(9),""),CHAR(10),""),CHAR(13),"")," ",""),"")</f>
        <v/>
      </c>
      <c r="AP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25,18))," ",""),"!",""),CHAR(34),""),"#",""),"$",""),"%",""),"&amp;",""),"'",""),"(",""),")",""),"*",""),"+",""),",",""),"-",""),".",""),"/",""),":",""),";",""),"&lt;",""),"=",""),"&gt;",""),"?",""),"@",""),"[",""),"\",""),"]",""),"^",""),"_",""),"`",""),"{",""),"|",""),"}",""),"~",""),CHAR(9),""),CHAR(10),""),CHAR(13),"")," ",""),"")</f>
        <v/>
      </c>
      <c r="AQ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25,19))," ",""),"!",""),CHAR(34),""),"#",""),"$",""),"%",""),"&amp;",""),"'",""),"(",""),")",""),"*",""),"+",""),",",""),"-",""),".",""),"/",""),":",""),";",""),"&lt;",""),"=",""),"&gt;",""),"?",""),"@",""),"[",""),"\",""),"]",""),"^",""),"_",""),"`",""),"{",""),"|",""),"}",""),"~",""),CHAR(9),""),CHAR(10),""),CHAR(13),"")," ",""),"")</f>
        <v/>
      </c>
      <c r="AR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25,20))," ",""),"!",""),CHAR(34),""),"#",""),"$",""),"%",""),"&amp;",""),"'",""),"(",""),")",""),"*",""),"+",""),",",""),"-",""),".",""),"/",""),":",""),";",""),"&lt;",""),"=",""),"&gt;",""),"?",""),"@",""),"[",""),"\",""),"]",""),"^",""),"_",""),"`",""),"{",""),"|",""),"}",""),"~",""),CHAR(9),""),CHAR(10),""),CHAR(13),"")," ",""),"")</f>
        <v/>
      </c>
      <c r="AS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25,21))," ",""),"!",""),CHAR(34),""),"#",""),"$",""),"%",""),"&amp;",""),"'",""),"(",""),")",""),"*",""),"+",""),",",""),"-",""),".",""),"/",""),":",""),";",""),"&lt;",""),"=",""),"&gt;",""),"?",""),"@",""),"[",""),"\",""),"]",""),"^",""),"_",""),"`",""),"{",""),"|",""),"}",""),"~",""),CHAR(9),""),CHAR(10),""),CHAR(13),"")," ",""),"")</f>
        <v/>
      </c>
      <c r="AT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25,22))," ",""),"!",""),CHAR(34),""),"#",""),"$",""),"%",""),"&amp;",""),"'",""),"(",""),")",""),"*",""),"+",""),",",""),"-",""),".",""),"/",""),":",""),";",""),"&lt;",""),"=",""),"&gt;",""),"?",""),"@",""),"[",""),"\",""),"]",""),"^",""),"_",""),"`",""),"{",""),"|",""),"}",""),"~",""),CHAR(9),""),CHAR(10),""),CHAR(13),"")," ",""),"")</f>
        <v/>
      </c>
      <c r="AU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25,23))," ",""),"!",""),CHAR(34),""),"#",""),"$",""),"%",""),"&amp;",""),"'",""),"(",""),")",""),"*",""),"+",""),",",""),"-",""),".",""),"/",""),":",""),";",""),"&lt;",""),"=",""),"&gt;",""),"?",""),"@",""),"[",""),"\",""),"]",""),"^",""),"_",""),"`",""),"{",""),"|",""),"}",""),"~",""),CHAR(9),""),CHAR(10),""),CHAR(13),"")," ",""),"")</f>
        <v/>
      </c>
      <c r="AV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25,24))," ",""),"!",""),CHAR(34),""),"#",""),"$",""),"%",""),"&amp;",""),"'",""),"(",""),")",""),"*",""),"+",""),",",""),"-",""),".",""),"/",""),":",""),";",""),"&lt;",""),"=",""),"&gt;",""),"?",""),"@",""),"[",""),"\",""),"]",""),"^",""),"_",""),"`",""),"{",""),"|",""),"}",""),"~",""),CHAR(9),""),CHAR(10),""),CHAR(13),"")," ",""),"")</f>
        <v/>
      </c>
      <c r="AW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25,25))," ",""),"!",""),CHAR(34),""),"#",""),"$",""),"%",""),"&amp;",""),"'",""),"(",""),")",""),"*",""),"+",""),",",""),"-",""),".",""),"/",""),":",""),";",""),"&lt;",""),"=",""),"&gt;",""),"?",""),"@",""),"[",""),"\",""),"]",""),"^",""),"_",""),"`",""),"{",""),"|",""),"}",""),"~",""),CHAR(9),""),CHAR(10),""),CHAR(13),"")," ",""),"")</f>
        <v/>
      </c>
      <c r="AX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25,26))," ",""),"!",""),CHAR(34),""),"#",""),"$",""),"%",""),"&amp;",""),"'",""),"(",""),")",""),"*",""),"+",""),",",""),"-",""),".",""),"/",""),":",""),";",""),"&lt;",""),"=",""),"&gt;",""),"?",""),"@",""),"[",""),"\",""),"]",""),"^",""),"_",""),"`",""),"{",""),"|",""),"}",""),"~",""),CHAR(9),""),CHAR(10),""),CHAR(13),"")," ",""),"")</f>
        <v/>
      </c>
      <c r="AY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25,27))," ",""),"!",""),CHAR(34),""),"#",""),"$",""),"%",""),"&amp;",""),"'",""),"(",""),")",""),"*",""),"+",""),",",""),"-",""),".",""),"/",""),":",""),";",""),"&lt;",""),"=",""),"&gt;",""),"?",""),"@",""),"[",""),"\",""),"]",""),"^",""),"_",""),"`",""),"{",""),"|",""),"}",""),"~",""),CHAR(9),""),CHAR(10),""),CHAR(13),"")," ",""),"")</f>
        <v/>
      </c>
      <c r="AZ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25,28))," ",""),"!",""),CHAR(34),""),"#",""),"$",""),"%",""),"&amp;",""),"'",""),"(",""),")",""),"*",""),"+",""),",",""),"-",""),".",""),"/",""),":",""),";",""),"&lt;",""),"=",""),"&gt;",""),"?",""),"@",""),"[",""),"\",""),"]",""),"^",""),"_",""),"`",""),"{",""),"|",""),"}",""),"~",""),CHAR(9),""),CHAR(10),""),CHAR(13),"")," ",""),"")</f>
        <v/>
      </c>
      <c r="BA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25,29))," ",""),"!",""),CHAR(34),""),"#",""),"$",""),"%",""),"&amp;",""),"'",""),"(",""),")",""),"*",""),"+",""),",",""),"-",""),".",""),"/",""),":",""),";",""),"&lt;",""),"=",""),"&gt;",""),"?",""),"@",""),"[",""),"\",""),"]",""),"^",""),"_",""),"`",""),"{",""),"|",""),"}",""),"~",""),CHAR(9),""),CHAR(10),""),CHAR(13),"")," ",""),"")</f>
        <v/>
      </c>
      <c r="BB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25,30))," ",""),"!",""),CHAR(34),""),"#",""),"$",""),"%",""),"&amp;",""),"'",""),"(",""),")",""),"*",""),"+",""),",",""),"-",""),".",""),"/",""),":",""),";",""),"&lt;",""),"=",""),"&gt;",""),"?",""),"@",""),"[",""),"\",""),"]",""),"^",""),"_",""),"`",""),"{",""),"|",""),"}",""),"~",""),CHAR(9),""),CHAR(10),""),CHAR(13),"")," ",""),"")</f>
        <v/>
      </c>
      <c r="BC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25,31))," ",""),"!",""),CHAR(34),""),"#",""),"$",""),"%",""),"&amp;",""),"'",""),"(",""),")",""),"*",""),"+",""),",",""),"-",""),".",""),"/",""),":",""),";",""),"&lt;",""),"=",""),"&gt;",""),"?",""),"@",""),"[",""),"\",""),"]",""),"^",""),"_",""),"`",""),"{",""),"|",""),"}",""),"~",""),CHAR(9),""),CHAR(10),""),CHAR(13),"")," ",""),"")</f>
        <v/>
      </c>
      <c r="BD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25,32))," ",""),"!",""),CHAR(34),""),"#",""),"$",""),"%",""),"&amp;",""),"'",""),"(",""),")",""),"*",""),"+",""),",",""),"-",""),".",""),"/",""),":",""),";",""),"&lt;",""),"=",""),"&gt;",""),"?",""),"@",""),"[",""),"\",""),"]",""),"^",""),"_",""),"`",""),"{",""),"|",""),"}",""),"~",""),CHAR(9),""),CHAR(10),""),CHAR(13),"")," ",""),"")</f>
        <v/>
      </c>
      <c r="BE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25,33))," ",""),"!",""),CHAR(34),""),"#",""),"$",""),"%",""),"&amp;",""),"'",""),"(",""),")",""),"*",""),"+",""),",",""),"-",""),".",""),"/",""),":",""),";",""),"&lt;",""),"=",""),"&gt;",""),"?",""),"@",""),"[",""),"\",""),"]",""),"^",""),"_",""),"`",""),"{",""),"|",""),"}",""),"~",""),CHAR(9),""),CHAR(10),""),CHAR(13),"")," ",""),"")</f>
        <v/>
      </c>
      <c r="BF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25,34))," ",""),"!",""),CHAR(34),""),"#",""),"$",""),"%",""),"&amp;",""),"'",""),"(",""),")",""),"*",""),"+",""),",",""),"-",""),".",""),"/",""),":",""),";",""),"&lt;",""),"=",""),"&gt;",""),"?",""),"@",""),"[",""),"\",""),"]",""),"^",""),"_",""),"`",""),"{",""),"|",""),"}",""),"~",""),CHAR(9),""),CHAR(10),""),CHAR(13),"")," ",""),"")</f>
        <v/>
      </c>
      <c r="BG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25,35))," ",""),"!",""),CHAR(34),""),"#",""),"$",""),"%",""),"&amp;",""),"'",""),"(",""),")",""),"*",""),"+",""),",",""),"-",""),".",""),"/",""),":",""),";",""),"&lt;",""),"=",""),"&gt;",""),"?",""),"@",""),"[",""),"\",""),"]",""),"^",""),"_",""),"`",""),"{",""),"|",""),"}",""),"~",""),CHAR(9),""),CHAR(10),""),CHAR(13),"")," ",""),"")</f>
        <v/>
      </c>
      <c r="BH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25,36))," ",""),"!",""),CHAR(34),""),"#",""),"$",""),"%",""),"&amp;",""),"'",""),"(",""),")",""),"*",""),"+",""),",",""),"-",""),".",""),"/",""),":",""),";",""),"&lt;",""),"=",""),"&gt;",""),"?",""),"@",""),"[",""),"\",""),"]",""),"^",""),"_",""),"`",""),"{",""),"|",""),"}",""),"~",""),CHAR(9),""),CHAR(10),""),CHAR(13),"")," ",""),"")</f>
        <v/>
      </c>
      <c r="BI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25,37))," ",""),"!",""),CHAR(34),""),"#",""),"$",""),"%",""),"&amp;",""),"'",""),"(",""),")",""),"*",""),"+",""),",",""),"-",""),".",""),"/",""),":",""),";",""),"&lt;",""),"=",""),"&gt;",""),"?",""),"@",""),"[",""),"\",""),"]",""),"^",""),"_",""),"`",""),"{",""),"|",""),"}",""),"~",""),CHAR(9),""),CHAR(10),""),CHAR(13),"")," ",""),"")</f>
        <v/>
      </c>
      <c r="BJ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25,38))," ",""),"!",""),CHAR(34),""),"#",""),"$",""),"%",""),"&amp;",""),"'",""),"(",""),")",""),"*",""),"+",""),",",""),"-",""),".",""),"/",""),":",""),";",""),"&lt;",""),"=",""),"&gt;",""),"?",""),"@",""),"[",""),"\",""),"]",""),"^",""),"_",""),"`",""),"{",""),"|",""),"}",""),"~",""),CHAR(9),""),CHAR(10),""),CHAR(13),"")," ",""),"")</f>
        <v/>
      </c>
      <c r="BK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25,39))," ",""),"!",""),CHAR(34),""),"#",""),"$",""),"%",""),"&amp;",""),"'",""),"(",""),")",""),"*",""),"+",""),",",""),"-",""),".",""),"/",""),":",""),";",""),"&lt;",""),"=",""),"&gt;",""),"?",""),"@",""),"[",""),"\",""),"]",""),"^",""),"_",""),"`",""),"{",""),"|",""),"}",""),"~",""),CHAR(9),""),CHAR(10),""),CHAR(13),"")," ",""),"")</f>
        <v/>
      </c>
      <c r="BL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25,40))," ",""),"!",""),CHAR(34),""),"#",""),"$",""),"%",""),"&amp;",""),"'",""),"(",""),")",""),"*",""),"+",""),",",""),"-",""),".",""),"/",""),":",""),";",""),"&lt;",""),"=",""),"&gt;",""),"?",""),"@",""),"[",""),"\",""),"]",""),"^",""),"_",""),"`",""),"{",""),"|",""),"}",""),"~",""),CHAR(9),""),CHAR(10),""),CHAR(13),"")," ",""),"")</f>
        <v/>
      </c>
      <c r="BM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25,41))," ",""),"!",""),CHAR(34),""),"#",""),"$",""),"%",""),"&amp;",""),"'",""),"(",""),")",""),"*",""),"+",""),",",""),"-",""),".",""),"/",""),":",""),";",""),"&lt;",""),"=",""),"&gt;",""),"?",""),"@",""),"[",""),"\",""),"]",""),"^",""),"_",""),"`",""),"{",""),"|",""),"}",""),"~",""),CHAR(9),""),CHAR(10),""),CHAR(13),"")," ",""),"")</f>
        <v/>
      </c>
      <c r="BN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25,42))," ",""),"!",""),CHAR(34),""),"#",""),"$",""),"%",""),"&amp;",""),"'",""),"(",""),")",""),"*",""),"+",""),",",""),"-",""),".",""),"/",""),":",""),";",""),"&lt;",""),"=",""),"&gt;",""),"?",""),"@",""),"[",""),"\",""),"]",""),"^",""),"_",""),"`",""),"{",""),"|",""),"}",""),"~",""),CHAR(9),""),CHAR(10),""),CHAR(13),"")," ",""),"")</f>
        <v/>
      </c>
      <c r="BO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25,43))," ",""),"!",""),CHAR(34),""),"#",""),"$",""),"%",""),"&amp;",""),"'",""),"(",""),")",""),"*",""),"+",""),",",""),"-",""),".",""),"/",""),":",""),";",""),"&lt;",""),"=",""),"&gt;",""),"?",""),"@",""),"[",""),"\",""),"]",""),"^",""),"_",""),"`",""),"{",""),"|",""),"}",""),"~",""),CHAR(9),""),CHAR(10),""),CHAR(13),"")," ",""),"")</f>
        <v/>
      </c>
      <c r="BP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25,44))," ",""),"!",""),CHAR(34),""),"#",""),"$",""),"%",""),"&amp;",""),"'",""),"(",""),")",""),"*",""),"+",""),",",""),"-",""),".",""),"/",""),":",""),";",""),"&lt;",""),"=",""),"&gt;",""),"?",""),"@",""),"[",""),"\",""),"]",""),"^",""),"_",""),"`",""),"{",""),"|",""),"}",""),"~",""),CHAR(9),""),CHAR(10),""),CHAR(13),"")," ",""),"")</f>
        <v/>
      </c>
      <c r="BQ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25,45))," ",""),"!",""),CHAR(34),""),"#",""),"$",""),"%",""),"&amp;",""),"'",""),"(",""),")",""),"*",""),"+",""),",",""),"-",""),".",""),"/",""),":",""),";",""),"&lt;",""),"=",""),"&gt;",""),"?",""),"@",""),"[",""),"\",""),"]",""),"^",""),"_",""),"`",""),"{",""),"|",""),"}",""),"~",""),CHAR(9),""),CHAR(10),""),CHAR(13),"")," ",""),"")</f>
        <v/>
      </c>
      <c r="BR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25,46))," ",""),"!",""),CHAR(34),""),"#",""),"$",""),"%",""),"&amp;",""),"'",""),"(",""),")",""),"*",""),"+",""),",",""),"-",""),".",""),"/",""),":",""),";",""),"&lt;",""),"=",""),"&gt;",""),"?",""),"@",""),"[",""),"\",""),"]",""),"^",""),"_",""),"`",""),"{",""),"|",""),"}",""),"~",""),CHAR(9),""),CHAR(10),""),CHAR(13),"")," ",""),"")</f>
        <v/>
      </c>
      <c r="BS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25,47))," ",""),"!",""),CHAR(34),""),"#",""),"$",""),"%",""),"&amp;",""),"'",""),"(",""),")",""),"*",""),"+",""),",",""),"-",""),".",""),"/",""),":",""),";",""),"&lt;",""),"=",""),"&gt;",""),"?",""),"@",""),"[",""),"\",""),"]",""),"^",""),"_",""),"`",""),"{",""),"|",""),"}",""),"~",""),CHAR(9),""),CHAR(10),""),CHAR(13),"")," ",""),"")</f>
        <v/>
      </c>
      <c r="BT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25,48))," ",""),"!",""),CHAR(34),""),"#",""),"$",""),"%",""),"&amp;",""),"'",""),"(",""),")",""),"*",""),"+",""),",",""),"-",""),".",""),"/",""),":",""),";",""),"&lt;",""),"=",""),"&gt;",""),"?",""),"@",""),"[",""),"\",""),"]",""),"^",""),"_",""),"`",""),"{",""),"|",""),"}",""),"~",""),CHAR(9),""),CHAR(10),""),CHAR(13),"")," ",""),"")</f>
        <v/>
      </c>
      <c r="BU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25,49))," ",""),"!",""),CHAR(34),""),"#",""),"$",""),"%",""),"&amp;",""),"'",""),"(",""),")",""),"*",""),"+",""),",",""),"-",""),".",""),"/",""),":",""),";",""),"&lt;",""),"=",""),"&gt;",""),"?",""),"@",""),"[",""),"\",""),"]",""),"^",""),"_",""),"`",""),"{",""),"|",""),"}",""),"~",""),CHAR(9),""),CHAR(10),""),CHAR(13),"")," ",""),"")</f>
        <v/>
      </c>
      <c r="BV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25,50))," ",""),"!",""),CHAR(34),""),"#",""),"$",""),"%",""),"&amp;",""),"'",""),"(",""),")",""),"*",""),"+",""),",",""),"-",""),".",""),"/",""),":",""),";",""),"&lt;",""),"=",""),"&gt;",""),"?",""),"@",""),"[",""),"\",""),"]",""),"^",""),"_",""),"`",""),"{",""),"|",""),"}",""),"~",""),CHAR(9),""),CHAR(10),""),CHAR(13),"")," ",""),"")</f>
        <v/>
      </c>
      <c r="BW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25,51))," ",""),"!",""),CHAR(34),""),"#",""),"$",""),"%",""),"&amp;",""),"'",""),"(",""),")",""),"*",""),"+",""),",",""),"-",""),".",""),"/",""),":",""),";",""),"&lt;",""),"=",""),"&gt;",""),"?",""),"@",""),"[",""),"\",""),"]",""),"^",""),"_",""),"`",""),"{",""),"|",""),"}",""),"~",""),CHAR(9),""),CHAR(10),""),CHAR(13),"")," ",""),"")</f>
        <v/>
      </c>
      <c r="BX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25,52))," ",""),"!",""),CHAR(34),""),"#",""),"$",""),"%",""),"&amp;",""),"'",""),"(",""),")",""),"*",""),"+",""),",",""),"-",""),".",""),"/",""),":",""),";",""),"&lt;",""),"=",""),"&gt;",""),"?",""),"@",""),"[",""),"\",""),"]",""),"^",""),"_",""),"`",""),"{",""),"|",""),"}",""),"~",""),CHAR(9),""),CHAR(10),""),CHAR(13),"")," ",""),"")</f>
        <v/>
      </c>
      <c r="BY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25,53))," ",""),"!",""),CHAR(34),""),"#",""),"$",""),"%",""),"&amp;",""),"'",""),"(",""),")",""),"*",""),"+",""),",",""),"-",""),".",""),"/",""),":",""),";",""),"&lt;",""),"=",""),"&gt;",""),"?",""),"@",""),"[",""),"\",""),"]",""),"^",""),"_",""),"`",""),"{",""),"|",""),"}",""),"~",""),CHAR(9),""),CHAR(10),""),CHAR(13),"")," ",""),"")</f>
        <v/>
      </c>
      <c r="BZ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25,54))," ",""),"!",""),CHAR(34),""),"#",""),"$",""),"%",""),"&amp;",""),"'",""),"(",""),")",""),"*",""),"+",""),",",""),"-",""),".",""),"/",""),":",""),";",""),"&lt;",""),"=",""),"&gt;",""),"?",""),"@",""),"[",""),"\",""),"]",""),"^",""),"_",""),"`",""),"{",""),"|",""),"}",""),"~",""),CHAR(9),""),CHAR(10),""),CHAR(13),"")," ",""),"")</f>
        <v/>
      </c>
      <c r="CA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25,55))," ",""),"!",""),CHAR(34),""),"#",""),"$",""),"%",""),"&amp;",""),"'",""),"(",""),")",""),"*",""),"+",""),",",""),"-",""),".",""),"/",""),":",""),";",""),"&lt;",""),"=",""),"&gt;",""),"?",""),"@",""),"[",""),"\",""),"]",""),"^",""),"_",""),"`",""),"{",""),"|",""),"}",""),"~",""),CHAR(9),""),CHAR(10),""),CHAR(13),"")," ",""),"")</f>
        <v/>
      </c>
      <c r="CB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25,56))," ",""),"!",""),CHAR(34),""),"#",""),"$",""),"%",""),"&amp;",""),"'",""),"(",""),")",""),"*",""),"+",""),",",""),"-",""),".",""),"/",""),":",""),";",""),"&lt;",""),"=",""),"&gt;",""),"?",""),"@",""),"[",""),"\",""),"]",""),"^",""),"_",""),"`",""),"{",""),"|",""),"}",""),"~",""),CHAR(9),""),CHAR(10),""),CHAR(13),"")," ",""),"")</f>
        <v/>
      </c>
      <c r="CC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25,57))," ",""),"!",""),CHAR(34),""),"#",""),"$",""),"%",""),"&amp;",""),"'",""),"(",""),")",""),"*",""),"+",""),",",""),"-",""),".",""),"/",""),":",""),";",""),"&lt;",""),"=",""),"&gt;",""),"?",""),"@",""),"[",""),"\",""),"]",""),"^",""),"_",""),"`",""),"{",""),"|",""),"}",""),"~",""),CHAR(9),""),CHAR(10),""),CHAR(13),"")," ",""),"")</f>
        <v/>
      </c>
      <c r="CD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25,58))," ",""),"!",""),CHAR(34),""),"#",""),"$",""),"%",""),"&amp;",""),"'",""),"(",""),")",""),"*",""),"+",""),",",""),"-",""),".",""),"/",""),":",""),";",""),"&lt;",""),"=",""),"&gt;",""),"?",""),"@",""),"[",""),"\",""),"]",""),"^",""),"_",""),"`",""),"{",""),"|",""),"}",""),"~",""),CHAR(9),""),CHAR(10),""),CHAR(13),"")," ",""),"")</f>
        <v/>
      </c>
      <c r="CE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25,59))," ",""),"!",""),CHAR(34),""),"#",""),"$",""),"%",""),"&amp;",""),"'",""),"(",""),")",""),"*",""),"+",""),",",""),"-",""),".",""),"/",""),":",""),";",""),"&lt;",""),"=",""),"&gt;",""),"?",""),"@",""),"[",""),"\",""),"]",""),"^",""),"_",""),"`",""),"{",""),"|",""),"}",""),"~",""),CHAR(9),""),CHAR(10),""),CHAR(13),"")," ",""),"")</f>
        <v/>
      </c>
      <c r="CF2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25,60))," ",""),"!",""),CHAR(34),""),"#",""),"$",""),"%",""),"&amp;",""),"'",""),"(",""),")",""),"*",""),"+",""),",",""),"-",""),".",""),"/",""),":",""),";",""),"&lt;",""),"=",""),"&gt;",""),"?",""),"@",""),"[",""),"\",""),"]",""),"^",""),"_",""),"`",""),"{",""),"|",""),"}",""),"~",""),CHAR(9),""),CHAR(10),""),CHAR(13),"")," ",""),"")</f>
        <v/>
      </c>
      <c r="CH29">
        <f>COUNTIF($Y74:$CF74,"&gt;0")</f>
        <v/>
      </c>
      <c r="CI29">
        <f>COUNTIF($Y74:$CF74,2)</f>
        <v/>
      </c>
      <c r="CJ29">
        <f>SUMPRODUCT((COUNTIF($Y119:$CF119,{1,2,3,4,5,6,7,8,9,10,11,12,13,14,15})&gt;0)*{2,4,8,16,32,64,128,256,512,1024,2048,4096,8192,16384,32768})</f>
        <v/>
      </c>
      <c r="CK29">
        <f>CF209</f>
        <v/>
      </c>
      <c r="CL29">
        <f>SUMPRODUCT(MOD(INT(((CJ29+CK29))/{2,4,8,16,32,64,128,256,512,1024,2048,4096,8192,16384,32768}),2))</f>
        <v/>
      </c>
      <c r="CM29">
        <f>IF(CH29&lt;2,-9999,CL29+2*MOD(INT(((CJ29+CK29))/2),2)+2*MOD(INT(((CJ29+CK29))/4),2)-CI29)</f>
        <v/>
      </c>
      <c r="DA29" t="n">
        <v>25</v>
      </c>
      <c r="DB29">
        <f>IF($B$37=0,"",IFERROR(TRIM(SUBSTITUTE(SUBSTITUTE(SUBSTITUTE(SUBSTITUTE(INDEX(PASTE_ALL,25,$B$37)," "," "),CHAR(9)," "),CHAR(10)," "),CHAR(13)," ")),""))</f>
        <v/>
      </c>
      <c r="DC29">
        <f>IF(AND(25&gt;HEADER_ROW,UPPER(DB29)="LEGEND"),1,0)</f>
        <v/>
      </c>
      <c r="DE29" t="n">
        <v>25</v>
      </c>
      <c r="DF29">
        <f>HEADER_ROW+$DE29</f>
        <v/>
      </c>
      <c r="DG29">
        <f>IF(AND($DF29&lt;=1000,$DF29&lt;$B$8),1,0)</f>
        <v/>
      </c>
      <c r="DH29">
        <f>IF($DG29=1,IFERROR(INDEX($DB$5:$DB$1004,$DF29),""),"")</f>
        <v/>
      </c>
      <c r="DI29">
        <f>IF(AND($DG29=1,$DH29&lt;&gt;""),IFERROR(SUBSTITUTE(SUBSTITUTE(TRIM(SUBSTITUTE(SUBSTITUTE(SUBSTITUTE(SUBSTITUTE(IFERROR(INDEX(PASTE_ALL,$DF29,1)&amp;"","")&amp;"␟"&amp;IFERROR(INDEX(PASTE_ALL,$DF29,2)&amp;"","")&amp;"␟"&amp;IFERROR(INDEX(PASTE_ALL,$DF29,3)&amp;"","")&amp;"␟"&amp;IFERROR(INDEX(PASTE_ALL,$DF29,4)&amp;"","")&amp;"␟"&amp;IFERROR(INDEX(PASTE_ALL,$DF29,5)&amp;"","")&amp;"␟"&amp;IFERROR(INDEX(PASTE_ALL,$DF29,6)&amp;"","")&amp;"␟"&amp;IFERROR(INDEX(PASTE_ALL,$DF29,7)&amp;"","")&amp;"␟"&amp;IFERROR(INDEX(PASTE_ALL,$DF29,8)&amp;"","")&amp;"␟"&amp;IFERROR(INDEX(PASTE_ALL,$DF29,9)&amp;"","")&amp;"␟"&amp;IFERROR(INDEX(PASTE_ALL,$DF29,10)&amp;"","")&amp;"␟"&amp;IFERROR(INDEX(PASTE_ALL,$DF29,11)&amp;"","")&amp;"␟"&amp;IFERROR(INDEX(PASTE_ALL,$DF29,12)&amp;"","")&amp;"␟"&amp;IFERROR(INDEX(PASTE_ALL,$DF29,13)&amp;"","")&amp;"␟"&amp;IFERROR(INDEX(PASTE_ALL,$DF29,14)&amp;"","")&amp;"␟"&amp;IFERROR(INDEX(PASTE_ALL,$DF29,15)&amp;"","")&amp;"␟"&amp;IFERROR(INDEX(PASTE_ALL,$DF29,16)&amp;"","")&amp;"␟"&amp;IFERROR(INDEX(PASTE_ALL,$DF29,17)&amp;"","")&amp;"␟"&amp;IFERROR(INDEX(PASTE_ALL,$DF29,18)&amp;"","")&amp;"␟"&amp;IFERROR(INDEX(PASTE_ALL,$DF29,19)&amp;"","")&amp;"␟"&amp;IFERROR(INDEX(PASTE_ALL,$DF29,20)&amp;"","")&amp;"␟"&amp;IFERROR(INDEX(PASTE_ALL,$DF29,21)&amp;"","")&amp;"␟"&amp;IFERROR(INDEX(PASTE_ALL,$DF29,22)&amp;"","")&amp;"␟"&amp;IFERROR(INDEX(PASTE_ALL,$DF29,23)&amp;"","")&amp;"␟"&amp;IFERROR(INDEX(PASTE_ALL,$DF29,24)&amp;"","")&amp;"␟"&amp;IFERROR(INDEX(PASTE_ALL,$DF29,25)&amp;"","")&amp;"␟"&amp;IFERROR(INDEX(PASTE_ALL,$DF29,26)&amp;"","")&amp;"␟"&amp;IFERROR(INDEX(PASTE_ALL,$DF29,27)&amp;"","")&amp;"␟"&amp;IFERROR(INDEX(PASTE_ALL,$DF29,28)&amp;"","")&amp;"␟"&amp;IFERROR(INDEX(PASTE_ALL,$DF29,29)&amp;"","")&amp;"␟"&amp;IFERROR(INDEX(PASTE_ALL,$DF29,30)&amp;"","")&amp;"␟"&amp;IFERROR(INDEX(PASTE_ALL,$DF29,31)&amp;"","")&amp;"␟"&amp;IFERROR(INDEX(PASTE_ALL,$DF29,32)&amp;"","")&amp;"␟"&amp;IFERROR(INDEX(PASTE_ALL,$DF29,33)&amp;"","")&amp;"␟"&amp;IFERROR(INDEX(PASTE_ALL,$DF29,34)&amp;"","")&amp;"␟"&amp;IFERROR(INDEX(PASTE_ALL,$DF29,35)&amp;"","")&amp;"␟"&amp;IFERROR(INDEX(PASTE_ALL,$DF29,36)&amp;"","")&amp;"␟"&amp;IFERROR(INDEX(PASTE_ALL,$DF29,37)&amp;"","")&amp;"␟"&amp;IFERROR(INDEX(PASTE_ALL,$DF29,38)&amp;"","")&amp;"␟"&amp;IFERROR(INDEX(PASTE_ALL,$DF29,39)&amp;"","")&amp;"␟"&amp;IFERROR(INDEX(PASTE_ALL,$DF29,40)&amp;"","")&amp;"␟"&amp;IFERROR(INDEX(PASTE_ALL,$DF29,41)&amp;"","")&amp;"␟"&amp;IFERROR(INDEX(PASTE_ALL,$DF29,42)&amp;"","")&amp;"␟"&amp;IFERROR(INDEX(PASTE_ALL,$DF29,43)&amp;"","")&amp;"␟"&amp;IFERROR(INDEX(PASTE_ALL,$DF29,44)&amp;"","")&amp;"␟"&amp;IFERROR(INDEX(PASTE_ALL,$DF29,45)&amp;"","")&amp;"␟"&amp;IFERROR(INDEX(PASTE_ALL,$DF29,46)&amp;"","")&amp;"␟"&amp;IFERROR(INDEX(PASTE_ALL,$DF29,47)&amp;"","")&amp;"␟"&amp;IFERROR(INDEX(PASTE_ALL,$DF29,48)&amp;"","")&amp;"␟"&amp;IFERROR(INDEX(PASTE_ALL,$DF29,49)&amp;"","")&amp;"␟"&amp;IFERROR(INDEX(PASTE_ALL,$DF29,50)&amp;"","")&amp;"␟"&amp;IFERROR(INDEX(PASTE_ALL,$DF29,51)&amp;"","")&amp;"␟"&amp;IFERROR(INDEX(PASTE_ALL,$DF29,52)&amp;"","")&amp;"␟"&amp;IFERROR(INDEX(PASTE_ALL,$DF29,53)&amp;"","")&amp;"␟"&amp;IFERROR(INDEX(PASTE_ALL,$DF29,54)&amp;"","")&amp;"␟"&amp;IFERROR(INDEX(PASTE_ALL,$DF29,55)&amp;"","")&amp;"␟"&amp;IFERROR(INDEX(PASTE_ALL,$DF29,56)&amp;"","")&amp;"␟"&amp;IFERROR(INDEX(PASTE_ALL,$DF29,57)&amp;"","")&amp;"␟"&amp;IFERROR(INDEX(PASTE_ALL,$DF29,58)&amp;"","")&amp;"␟"&amp;IFERROR(INDEX(PASTE_ALL,$DF29,59)&amp;"","")&amp;"␟"&amp;IFERROR(INDEX(PASTE_ALL,$DF29,60)&amp;"","")," "," "),CHAR(9)," "),CHAR(10)," "),CHAR(13)," "))," ␟","␟"),"␟ ","␟"),"#"&amp;$DE29),"")</f>
        <v/>
      </c>
      <c r="DJ29">
        <f>IF($DI29="",0,IF(SUMPRODUCT(--EXACT($DI$4:DI28,$DI29))&gt;0,1,0))</f>
        <v/>
      </c>
      <c r="DK29">
        <f>IF(AND($DI29&lt;&gt;"",$DJ29=0),1,0)</f>
        <v/>
      </c>
      <c r="DL29">
        <f>DL28+$DK29</f>
        <v/>
      </c>
      <c r="DM29">
        <f>IF(AND($DK29=1,$DL29&lt;=600),1,0)</f>
        <v/>
      </c>
      <c r="DN29">
        <f>IF($DM29=0,"",IF($L$6=0,"",IFERROR(IF(ISNUMBER(INDEX(PASTE_ALL,$DF29,$L$6)),INDEX(PASTE_ALL,$DF29,$L$6),TRIM(SUBSTITUTE(SUBSTITUTE(SUBSTITUTE(SUBSTITUTE(INDEX(PASTE_ALL,$DF29,$L$6)," "," "),CHAR(9)," "),CHAR(10)," "),CHAR(13)," "))),"")))</f>
        <v/>
      </c>
      <c r="DO29">
        <f>IF($DM29=0,"",IF($L$7=0,"",IFERROR(IF(ISNUMBER(INDEX(PASTE_ALL,$DF29,$L$7)),INDEX(PASTE_ALL,$DF29,$L$7),TRIM(SUBSTITUTE(SUBSTITUTE(SUBSTITUTE(SUBSTITUTE(INDEX(PASTE_ALL,$DF29,$L$7)," "," "),CHAR(9)," "),CHAR(10)," "),CHAR(13)," "))),"")))</f>
        <v/>
      </c>
      <c r="DP29">
        <f>IF($DM29=0,"",IF($L$8=0,"",IFERROR(IF(ISNUMBER(INDEX(PASTE_ALL,$DF29,$L$8)),INDEX(PASTE_ALL,$DF29,$L$8),TRIM(SUBSTITUTE(SUBSTITUTE(SUBSTITUTE(SUBSTITUTE(INDEX(PASTE_ALL,$DF29,$L$8)," "," "),CHAR(9)," "),CHAR(10)," "),CHAR(13)," "))),"")))</f>
        <v/>
      </c>
      <c r="DQ29">
        <f>IF($DM29=0,"",IF($L$9=0,"",IFERROR(IF(ISNUMBER(INDEX(PASTE_ALL,$DF29,$L$9)),INDEX(PASTE_ALL,$DF29,$L$9),TRIM(SUBSTITUTE(SUBSTITUTE(SUBSTITUTE(SUBSTITUTE(INDEX(PASTE_ALL,$DF29,$L$9)," "," "),CHAR(9)," "),CHAR(10)," "),CHAR(13)," "))),"")))</f>
        <v/>
      </c>
      <c r="DR29">
        <f>IF($DM29=0,"",IF($L$10=0,"",IFERROR(IF(ISNUMBER(INDEX(PASTE_ALL,$DF29,$L$10)),INDEX(PASTE_ALL,$DF29,$L$10),TRIM(SUBSTITUTE(SUBSTITUTE(SUBSTITUTE(SUBSTITUTE(INDEX(PASTE_ALL,$DF29,$L$10)," "," "),CHAR(9)," "),CHAR(10)," "),CHAR(13)," "))),"")))</f>
        <v/>
      </c>
      <c r="DS29">
        <f>IF($DM29=0,"",IF($L$11=0,"",IFERROR(IF(ISNUMBER(INDEX(PASTE_ALL,$DF29,$L$11)),INDEX(PASTE_ALL,$DF29,$L$11),TRIM(SUBSTITUTE(SUBSTITUTE(SUBSTITUTE(SUBSTITUTE(INDEX(PASTE_ALL,$DF29,$L$11)," "," "),CHAR(9)," "),CHAR(10)," "),CHAR(13)," "))),"")))</f>
        <v/>
      </c>
      <c r="DT29">
        <f>IF($DM29=0,"",IF($L$12=0,"",IFERROR(IF(ISNUMBER(INDEX(PASTE_ALL,$DF29,$L$12)),INDEX(PASTE_ALL,$DF29,$L$12),TRIM(SUBSTITUTE(SUBSTITUTE(SUBSTITUTE(SUBSTITUTE(INDEX(PASTE_ALL,$DF29,$L$12)," "," "),CHAR(9)," "),CHAR(10)," "),CHAR(13)," "))),"")))</f>
        <v/>
      </c>
      <c r="DU29">
        <f>IF($DM29=0,"",IF($L$13=0,"",IFERROR(IF(ISNUMBER(INDEX(PASTE_ALL,$DF29,$L$13)),INDEX(PASTE_ALL,$DF29,$L$13),TRIM(SUBSTITUTE(SUBSTITUTE(SUBSTITUTE(SUBSTITUTE(INDEX(PASTE_ALL,$DF29,$L$13)," "," "),CHAR(9)," "),CHAR(10)," "),CHAR(13)," "))),"")))</f>
        <v/>
      </c>
      <c r="DV29">
        <f>IF($DM29=0,"",IF($L$14=0,"",IFERROR(IF(ISNUMBER(INDEX(PASTE_ALL,$DF29,$L$14)),INDEX(PASTE_ALL,$DF29,$L$14),TRIM(SUBSTITUTE(SUBSTITUTE(SUBSTITUTE(SUBSTITUTE(INDEX(PASTE_ALL,$DF29,$L$14)," "," "),CHAR(9)," "),CHAR(10)," "),CHAR(13)," "))),"")))</f>
        <v/>
      </c>
      <c r="DW29">
        <f>IF($DM29=0,"",IF($L$15=0,"",IFERROR(IF(ISNUMBER(INDEX(PASTE_ALL,$DF29,$L$15)),INDEX(PASTE_ALL,$DF29,$L$15),IF(SUMPRODUCT(--ISNUMBER(FIND({"A","B","C","D","E","F","G","H","I","J","K","L","M","N","O","P","Q","R","S","T","U","V","W","X","Y","Z","0","1","2","3","4","5","6","7","8","9"},UPPER(TRIM(SUBSTITUTE(SUBSTITUTE(SUBSTITUTE(SUBSTITUTE(INDEX(PASTE_ALL,$DF29,$L$15)," "," "),CHAR(9)," "),CHAR(10)," "),CHAR(13)," "))))))&gt;0,TRIM(SUBSTITUTE(SUBSTITUTE(SUBSTITUTE(SUBSTITUTE(INDEX(PASTE_ALL,$DF29,$L$15)," "," "),CHAR(9)," "),CHAR(10)," "),CHAR(13)," ")),"")),"")))</f>
        <v/>
      </c>
      <c r="DX29">
        <f>IF($DM29=0,"",IF($L$16=0,"",IFERROR(IF(ISNUMBER(INDEX(PASTE_ALL,$DF29,$L$16)),INDEX(PASTE_ALL,$DF29,$L$16),SUBSTITUTE(SUBSTITUTE(TRIM(SUBSTITUTE(SUBSTITUTE(SUBSTITUTE(SUBSTITUTE(INDEX(PASTE_ALL,$DF29,$L$16)," "," "),CHAR(9)," "),CHAR(10)," "),CHAR(13)," ")),",",""),"%","")),"")))</f>
        <v/>
      </c>
      <c r="DY29">
        <f>IF($DM29=0,"",IFERROR(IF(ISNUMBER($DX29),$DX29,IF($DX29="","",IF(TRIM($DX29)="",0,IF(AND(AND(SUBSTITUTE(SUBSTITUTE(SUBSTITUTE(SUBSTITUTE(SUBSTITUTE(SUBSTITUTE(SUBSTITUTE(SUBSTITUTE(SUBSTITUTE(SUBSTITUTE(SUBSTITUTE(SUBSTITUTE(SUBSTITUTE(SUBSTITUTE(UPPER(TRIM($DX29)),"0",""),"1",""),"2",""),"3",""),"4",""),"5",""),"6",""),"7",""),"8",""),"9",""),".",""),"+",""),"-",""),"E","")="",LEN(SUBSTITUTE(SUBSTITUTE(MID(UPPER(TRIM($DX29)),1+OR(LEFT(UPPER(TRIM($DX29)),1)="+",LEFT(UPPER(TRIM($DX29)),1)="-"),999),"E+","E"),"E-","E"))=LEN(SUBSTITUTE(SUBSTITUTE(SUBSTITUTE(SUBSTITUTE(MID(UPPER(TRIM($DX29)),1+OR(LEFT(UPPER(TRIM($DX29)),1)="+",LEFT(UPPER(TRIM($DX29)),1)="-"),999),"E+","E"),"E-","E"),"+",""),"-","")),LEN(UPPER(TRIM($DX29)))-LEN(SUBSTITUTE(UPPER(TRIM($DX29)),"E",""))&lt;2,LEN(UPPER(TRIM($DX29)))-LEN(SUBSTITUTE(UPPER(TRIM($DX29)),".",""))&lt;2,IFERROR(FIND(".",UPPER(TRIM($DX29))),0)&lt;IFERROR(FIND("E",UPPER(TRIM($DX29))),999)),ISNUMBER(VALUE(TRIM($DX29)))),VALUE(TRIM($DX29)),"")))),""))</f>
        <v/>
      </c>
      <c r="DZ29">
        <f>IF($DM29=0,"",IF($L$17=0,"",IFERROR(IF(ISNUMBER(INDEX(PASTE_ALL,$DF29,$L$17)),INDEX(PASTE_ALL,$DF29,$L$17),SUBSTITUTE(SUBSTITUTE(TRIM(SUBSTITUTE(SUBSTITUTE(SUBSTITUTE(SUBSTITUTE(INDEX(PASTE_ALL,$DF29,$L$17)," "," "),CHAR(9)," "),CHAR(10)," "),CHAR(13)," ")),",",""),"%","")),"")))</f>
        <v/>
      </c>
      <c r="EA29">
        <f>IF($DM29=0,"",IFERROR(IF(ISNUMBER($DZ29),$DZ29,IF($DZ29="","",IF(TRIM($DZ29)="",0,IF(AND(AND(SUBSTITUTE(SUBSTITUTE(SUBSTITUTE(SUBSTITUTE(SUBSTITUTE(SUBSTITUTE(SUBSTITUTE(SUBSTITUTE(SUBSTITUTE(SUBSTITUTE(SUBSTITUTE(SUBSTITUTE(SUBSTITUTE(SUBSTITUTE(UPPER(TRIM($DZ29)),"0",""),"1",""),"2",""),"3",""),"4",""),"5",""),"6",""),"7",""),"8",""),"9",""),".",""),"+",""),"-",""),"E","")="",LEN(SUBSTITUTE(SUBSTITUTE(MID(UPPER(TRIM($DZ29)),1+OR(LEFT(UPPER(TRIM($DZ29)),1)="+",LEFT(UPPER(TRIM($DZ29)),1)="-"),999),"E+","E"),"E-","E"))=LEN(SUBSTITUTE(SUBSTITUTE(SUBSTITUTE(SUBSTITUTE(MID(UPPER(TRIM($DZ29)),1+OR(LEFT(UPPER(TRIM($DZ29)),1)="+",LEFT(UPPER(TRIM($DZ29)),1)="-"),999),"E+","E"),"E-","E"),"+",""),"-","")),LEN(UPPER(TRIM($DZ29)))-LEN(SUBSTITUTE(UPPER(TRIM($DZ29)),"E",""))&lt;2,LEN(UPPER(TRIM($DZ29)))-LEN(SUBSTITUTE(UPPER(TRIM($DZ29)),".",""))&lt;2,IFERROR(FIND(".",UPPER(TRIM($DZ29))),0)&lt;IFERROR(FIND("E",UPPER(TRIM($DZ29))),999)),ISNUMBER(VALUE(TRIM($DZ29)))),VALUE(TRIM($DZ29)),"")))),""))</f>
        <v/>
      </c>
      <c r="EB29">
        <f>IF($DM29=0,"",IF($L$18=0,"",IFERROR(IF(UPPER(TRIM(SUBSTITUTE(SUBSTITUTE(SUBSTITUTE(SUBSTITUTE(INDEX(PASTE_ALL,$DF29,$L$18)," "," "),CHAR(9)," "),CHAR(10)," "),CHAR(13)," ")))="READY","Ready",IF(UPPER(TRIM(SUBSTITUTE(SUBSTITUTE(SUBSTITUTE(SUBSTITUTE(INDEX(PASTE_ALL,$DF29,$L$18)," "," "),CHAR(9)," "),CHAR(10)," "),CHAR(13)," ")))="PM","PM",IF(OR(UPPER(TRIM(SUBSTITUTE(SUBSTITUTE(SUBSTITUTE(SUBSTITUTE(INDEX(PASTE_ALL,$DF29,$L$18)," "," "),CHAR(9)," "),CHAR(10)," "),CHAR(13)," ")))="OT",UPPER(TRIM(SUBSTITUTE(SUBSTITUTE(SUBSTITUTE(SUBSTITUTE(INDEX(PASTE_ALL,$DF29,$L$18)," "," "),CHAR(9)," "),CHAR(10)," "),CHAR(13)," ")))="OVERTIME",UPPER(TRIM(SUBSTITUTE(SUBSTITUTE(SUBSTITUTE(SUBSTITUTE(INDEX(PASTE_ALL,$DF29,$L$18)," "," "),CHAR(9)," "),CHAR(10)," "),CHAR(13)," ")))="TRIAL"),"OT",TRIM(SUBSTITUTE(SUBSTITUTE(SUBSTITUTE(SUBSTITUTE(INDEX(PASTE_ALL,$DF29,$L$18)," "," "),CHAR(9)," "),CHAR(10)," "),CHAR(13)," "))))),"")))</f>
        <v/>
      </c>
      <c r="EC29">
        <f>IF($DM29=0,"",IF($L$19=0,"",IFERROR(IF(ISNUMBER(INDEX(PASTE_ALL,$DF29,$L$19)),INDEX(PASTE_ALL,$DF29,$L$19),TRIM(SUBSTITUTE(SUBSTITUTE(SUBSTITUTE(SUBSTITUTE(INDEX(PASTE_ALL,$DF29,$L$19)," "," "),CHAR(9)," "),CHAR(10)," "),CHAR(13)," "))),"")))</f>
        <v/>
      </c>
      <c r="ED29">
        <f>IF($DM29=0,"",MATCH(1,INDEX(EXACT($DH$5:DH29,$DH29)*$DM$5:DM29,0),0))</f>
        <v/>
      </c>
      <c r="EE29">
        <f>IF($DM29=0,0,IF($ED29=$DE29,1,0))</f>
        <v/>
      </c>
      <c r="EF29">
        <f>EF28+$EE29</f>
        <v/>
      </c>
      <c r="EG29">
        <f>IF($DM29=0,"",INDEX($EF$5:$EF$1003,$ED29))</f>
        <v/>
      </c>
      <c r="EH29">
        <f>IF($DM29=0,"",IF($DO29&lt;&gt;"","",IFERROR(LOOKUP(2,1/(($EG$4:EG28=$EG29)*($DO$4:DO28&lt;&gt;"")),$DO$4:DO28),"")))</f>
        <v/>
      </c>
      <c r="EI29">
        <f>IF($DM29=0,"",IF($DO29&lt;&gt;"",$DO29,$EH29))</f>
        <v/>
      </c>
      <c r="EJ29">
        <f>IF($DM29=0,"",IF($EI29="",0,IF(OR(ISNUMBER($EI29),AND(AND(SUBSTITUTE(SUBSTITUTE(SUBSTITUTE(SUBSTITUTE(SUBSTITUTE(SUBSTITUTE(SUBSTITUTE(SUBSTITUTE(SUBSTITUTE(SUBSTITUTE(SUBSTITUTE(SUBSTITUTE(SUBSTITUTE(SUBSTITUTE(UPPER($EI29),"0",""),"1",""),"2",""),"3",""),"4",""),"5",""),"6",""),"7",""),"8",""),"9",""),".",""),"+",""),"-",""),"E","")="",LEN(SUBSTITUTE(SUBSTITUTE(MID(UPPER($EI29),1+OR(LEFT(UPPER($EI29),1)="+",LEFT(UPPER($EI29),1)="-"),999),"E+","E"),"E-","E"))=LEN(SUBSTITUTE(SUBSTITUTE(SUBSTITUTE(SUBSTITUTE(MID(UPPER($EI29),1+OR(LEFT(UPPER($EI29),1)="+",LEFT(UPPER($EI29),1)="-"),999),"E+","E"),"E-","E"),"+",""),"-","")),LEN(UPPER($EI29))-LEN(SUBSTITUTE(UPPER($EI29),"E",""))&lt;2,LEN(UPPER($EI29))-LEN(SUBSTITUTE(UPPER($EI29),".",""))&lt;2,IFERROR(FIND(".",UPPER($EI29)),0)&lt;IFERROR(FIND("E",UPPER($EI29)),999)),ISNUMBER(VALUE($EI29)))),1,2)))</f>
        <v/>
      </c>
      <c r="EK29">
        <f>IF($DM29=0,"",IF($EJ29=1,IF(ISNUMBER($EI29),$EI29,VALUE($EI29)),IF($EJ29=2,$DE29,0)))</f>
        <v/>
      </c>
      <c r="EL29">
        <f>IF($DM29=0,"",COUNTIF($EG$5:$EG$1003,"&lt;"&amp;$EG29)+SUMPRODUCT(($EG$5:$EG$1003=$EG29)*(($EJ$5:$EJ$1003&lt;$EJ29)+($EJ$5:$EJ$1003=$EJ29)*(($EK$5:$EK$1003&lt;$EK29)+($EK$5:$EK$1003=$EK29)*($DE$5:$DE$1003&lt;$DE29))))+1)</f>
        <v/>
      </c>
      <c r="EM29">
        <f>IF($DM29=0,"",$EL29+$EG29-1)</f>
        <v/>
      </c>
      <c r="EN29">
        <f>IF($DM29=0,0,IFERROR(MATCH(1,INDEX(--(TRIM(SUBSTITUTE(SUBSTITUTE(SUBSTITUTE(SUBSTITUTE(LINES_NAME&amp;""," "," "),CHAR(9)," "),CHAR(10)," "),CHAR(13)," "))=$DH29),0),0),0))</f>
        <v/>
      </c>
      <c r="EO29">
        <f>IF($EN29=0,0,IF(OR(UPPER(TRIM(INDEX(LINES_SCHEDULED,$EN29)&amp;""))="YES",UPPER(TRIM(INDEX(LINES_SCHEDULED,$EN29)&amp;""))="Y",UPPER(TRIM(INDEX(LINES_SCHEDULED,$EN29)&amp;""))="X"),1,0))</f>
        <v/>
      </c>
      <c r="EP29">
        <f>IF($DM29=0,"",IF(COUNTIFS($EG$5:$EG$1003,$EG29,$EB$5:$EB$1003,"Ready")&gt;0,"READY",IF(COUNTIFS($EG$5:$EG$1003,$EG29,$EB$5:$EB$1003,"PM")&gt;0,"PM",IF(COUNTIFS($EG$5:$EG$1003,$EG29,$EB$5:$EB$1003,"OT")&gt;0,"OT",""))))</f>
        <v/>
      </c>
      <c r="EQ29">
        <f>IF($EN29=0,"",UPPER(TRIM(INDEX(LINES_STATUS,$EN29)&amp;"")))</f>
        <v/>
      </c>
      <c r="ER29">
        <f>IF($DM29=0,"",IF(OR($EQ29="READY",$EQ29="PM",$EQ29="OT"),$EQ29,$EP29))</f>
        <v/>
      </c>
      <c r="ES29">
        <f>IF($DM29=0,"",IF(AND($DV29&lt;&gt;"",UPPER($DV29)&lt;&gt;"N"),"allergen",IF(ISNUMBER(SEARCH("oil",$DQ29)),"oil",IF(OR(EXACT($DS29,"A662"),EXACT($DS29,"A624")),"bulk",""))))</f>
        <v/>
      </c>
      <c r="ET29">
        <f>IF($DM29=0,"",IF(OR($EA29="",$EA29=0),"",$EA29/100))</f>
        <v/>
      </c>
      <c r="EU29">
        <f>IF(OR($ET29="",$DY29=""),"",INT($DY29*(1-$ET29)+0.5))</f>
        <v/>
      </c>
      <c r="EW29" t="n">
        <v>25</v>
      </c>
      <c r="EX29">
        <f>IFERROR(MATCH($EW29,$EM$5:$EM$1003,0),0)</f>
        <v/>
      </c>
      <c r="EY29">
        <f>IF($EW29&gt;$B$12,"",IF($EX29&gt;0,"row","spacer"))</f>
        <v/>
      </c>
      <c r="EZ29">
        <f>IF(AND($EY29="row",$EY28&lt;&gt;"row"),1,0)</f>
        <v/>
      </c>
      <c r="FA29">
        <f>IF(AND($EY29="row",$EY30&lt;&gt;"row"),1,0)</f>
        <v/>
      </c>
      <c r="FB29">
        <f>IF($EZ29=1,IFERROR(IF(ISNUMBER(INDEX(PASTE_ALL,INDEX($DF$5:$DF$1003,$EX29),$B$37)),INDEX(PASTE_ALL,INDEX($DF$5:$DF$1003,$EX29),$B$37),INDEX($DH$5:$DH$1003,$EX29)),INDEX($DH$5:$DH$1003,$EX29)),"")</f>
        <v/>
      </c>
      <c r="FC29">
        <f>IF($EY29="row",INDEX($ER$5:$ER$1003,$EX29),"")</f>
        <v/>
      </c>
      <c r="FD29">
        <f>IF($EY29="row",INDEX($DN$5:$DN$1003,$EX29),"")</f>
        <v/>
      </c>
      <c r="FE29">
        <f>IF($EY29="row",INDEX($DO$5:$DO$1003,$EX29),"")</f>
        <v/>
      </c>
      <c r="FF29">
        <f>IF($EY29="row",INDEX($DP$5:$DP$1003,$EX29),"")</f>
        <v/>
      </c>
      <c r="FG29">
        <f>IF($EY29="row",INDEX($DQ$5:$DQ$1003,$EX29),"")</f>
        <v/>
      </c>
      <c r="FH29">
        <f>IF($EY29="row",INDEX($DR$5:$DR$1003,$EX29),"")</f>
        <v/>
      </c>
      <c r="FI29">
        <f>IF($EY29="row",INDEX($DS$5:$DS$1003,$EX29),"")</f>
        <v/>
      </c>
      <c r="FJ29">
        <f>IF($EY29="row",INDEX($DT$5:$DT$1003,$EX29),"")</f>
        <v/>
      </c>
      <c r="FK29">
        <f>IF($EY29="row",INDEX($DU$5:$DU$1003,$EX29),"")</f>
        <v/>
      </c>
      <c r="FL29">
        <f>IF($EY29="row",INDEX($DV$5:$DV$1003,$EX29),"")</f>
        <v/>
      </c>
      <c r="FM29">
        <f>IF($EY29="row",INDEX($DW$5:$DW$1003,$EX29),"")</f>
        <v/>
      </c>
      <c r="FN29">
        <f>IF($EY29="row",INDEX($DY$5:$DY$1003,$EX29),"")</f>
        <v/>
      </c>
      <c r="FO29">
        <f>IF($EY29="row",INDEX($EA$5:$EA$1003,$EX29),"")</f>
        <v/>
      </c>
      <c r="FP29">
        <f>IF($EY29="row",INDEX($EC$5:$EC$1003,$EX29),"")</f>
        <v/>
      </c>
      <c r="FQ29">
        <f>IF($EY29="row",INDEX($ET$5:$ET$1003,$EX29),"")</f>
        <v/>
      </c>
      <c r="FR29">
        <f>IF($EY29="row",INDEX($EU$5:$EU$1003,$EX29),"")</f>
        <v/>
      </c>
      <c r="FS29">
        <f>IF(AND($EY29="row",$EY28="row"),IF(OR(INDEX($DT$5:$DT$1003,$EX28)="",INDEX($DT$5:$DT$1003,$EX29)=""),"",IF(NOT(EXACT(INDEX($DT$5:$DT$1003,$EX28),INDEX($DT$5:$DT$1003,$EX29))),"S4",IF(NOT(EXACT(INDEX($DS$5:$DS$1003,$EX28),INDEX($DS$5:$DS$1003,$EX29))),"S3",IF(NOT(EXACT(INDEX($DR$5:$DR$1003,$EX28),INDEX($DR$5:$DR$1003,$EX29))),"S1 Count Change","S1")))),"")</f>
        <v/>
      </c>
      <c r="FT29">
        <f>IF($EY29="row",INDEX($ES$5:$ES$1003,$EX29),"")</f>
        <v/>
      </c>
      <c r="FU29">
        <f>IF($EY29="row",INDEX($EO$5:$EO$1003,$EX29),0)</f>
        <v/>
      </c>
      <c r="FV29">
        <f>IF($FS29="S1 Count Change",1,0)</f>
        <v/>
      </c>
      <c r="FX29" t="n">
        <v>25</v>
      </c>
      <c r="FY29">
        <f>IFERROR(MATCH($FX29,$EF$5:$EF$1003,0),0)</f>
        <v/>
      </c>
      <c r="FZ29">
        <f>IF($FY29=0,"",INDEX($DH$5:$DH$1003,$FY29))</f>
        <v/>
      </c>
      <c r="GA29">
        <f>IF($FY29=0,"",COUNTIF($EG$5:$EG$1003,$FX29))</f>
        <v/>
      </c>
      <c r="GB29">
        <f>IF($FY29=0,"",INDEX($ER$5:$ER$1003,$FY29))</f>
        <v/>
      </c>
      <c r="GC29">
        <f>IF($FY29=0,"",IF(INDEX($EO$5:$EO$1003,$FY29)=1,"Yes",""))</f>
        <v/>
      </c>
      <c r="GD29">
        <f>IF($FY29=0,"",IF(INDEX($EN$5:$EN$1003,$FY29)&gt;0,"","NOT IN YOUR LIST - type it in column A to tick it"))</f>
        <v/>
      </c>
      <c r="GE29">
        <f>IF(AND($FY29&gt;0,$GD29&lt;&gt;""),1,0)</f>
        <v/>
      </c>
      <c r="GF29">
        <f>GF28+$GE29</f>
        <v/>
      </c>
      <c r="GG29">
        <f>IFERROR(INDEX($FZ$5:$FZ$104,MATCH($FX29,$GF$5:$GF$104,0)),"")</f>
        <v/>
      </c>
    </row>
    <row r="30">
      <c r="A30" t="inlineStr">
        <is>
          <t>Overrides that differ from automatic</t>
        </is>
      </c>
      <c r="B30">
        <f>SUMPRODUCT($R$5:$R$19)</f>
        <v/>
      </c>
      <c r="S30" t="n">
        <v>26</v>
      </c>
      <c r="T30" t="inlineStr">
        <is>
          <t>Z</t>
        </is>
      </c>
      <c r="V30" t="inlineStr">
        <is>
          <t>ITEMNUMBER</t>
        </is>
      </c>
      <c r="W30" t="n">
        <v>4</v>
      </c>
      <c r="Y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 ",""),"!",""),CHAR(34),""),"#",""),"$",""),"%",""),"&amp;",""),"'",""),"(",""),")",""),"*",""),"+",""),",",""),"-",""),".",""),"/",""),":",""),";",""),"&lt;",""),"=",""),"&gt;",""),"?",""),"@",""),"[",""),"\",""),"]",""),"^",""),"_",""),"`",""),"{",""),"|",""),"}",""),"~",""),CHAR(9),""),CHAR(10),""),CHAR(13),"")," ",""),"")</f>
        <v/>
      </c>
      <c r="Z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 ",""),"!",""),CHAR(34),""),"#",""),"$",""),"%",""),"&amp;",""),"'",""),"(",""),")",""),"*",""),"+",""),",",""),"-",""),".",""),"/",""),":",""),";",""),"&lt;",""),"=",""),"&gt;",""),"?",""),"@",""),"[",""),"\",""),"]",""),"^",""),"_",""),"`",""),"{",""),"|",""),"}",""),"~",""),CHAR(9),""),CHAR(10),""),CHAR(13),"")," ",""),"")</f>
        <v/>
      </c>
      <c r="AA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 ",""),"!",""),CHAR(34),""),"#",""),"$",""),"%",""),"&amp;",""),"'",""),"(",""),")",""),"*",""),"+",""),",",""),"-",""),".",""),"/",""),":",""),";",""),"&lt;",""),"=",""),"&gt;",""),"?",""),"@",""),"[",""),"\",""),"]",""),"^",""),"_",""),"`",""),"{",""),"|",""),"}",""),"~",""),CHAR(9),""),CHAR(10),""),CHAR(13),"")," ",""),"")</f>
        <v/>
      </c>
      <c r="AB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 ",""),"!",""),CHAR(34),""),"#",""),"$",""),"%",""),"&amp;",""),"'",""),"(",""),")",""),"*",""),"+",""),",",""),"-",""),".",""),"/",""),":",""),";",""),"&lt;",""),"=",""),"&gt;",""),"?",""),"@",""),"[",""),"\",""),"]",""),"^",""),"_",""),"`",""),"{",""),"|",""),"}",""),"~",""),CHAR(9),""),CHAR(10),""),CHAR(13),"")," ",""),"")</f>
        <v/>
      </c>
      <c r="AC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 ",""),"!",""),CHAR(34),""),"#",""),"$",""),"%",""),"&amp;",""),"'",""),"(",""),")",""),"*",""),"+",""),",",""),"-",""),".",""),"/",""),":",""),";",""),"&lt;",""),"=",""),"&gt;",""),"?",""),"@",""),"[",""),"\",""),"]",""),"^",""),"_",""),"`",""),"{",""),"|",""),"}",""),"~",""),CHAR(9),""),CHAR(10),""),CHAR(13),"")," ",""),"")</f>
        <v/>
      </c>
      <c r="AD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26,6))," ",""),"!",""),CHAR(34),""),"#",""),"$",""),"%",""),"&amp;",""),"'",""),"(",""),")",""),"*",""),"+",""),",",""),"-",""),".",""),"/",""),":",""),";",""),"&lt;",""),"=",""),"&gt;",""),"?",""),"@",""),"[",""),"\",""),"]",""),"^",""),"_",""),"`",""),"{",""),"|",""),"}",""),"~",""),CHAR(9),""),CHAR(10),""),CHAR(13),"")," ",""),"")</f>
        <v/>
      </c>
      <c r="AE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26,7))," ",""),"!",""),CHAR(34),""),"#",""),"$",""),"%",""),"&amp;",""),"'",""),"(",""),")",""),"*",""),"+",""),",",""),"-",""),".",""),"/",""),":",""),";",""),"&lt;",""),"=",""),"&gt;",""),"?",""),"@",""),"[",""),"\",""),"]",""),"^",""),"_",""),"`",""),"{",""),"|",""),"}",""),"~",""),CHAR(9),""),CHAR(10),""),CHAR(13),"")," ",""),"")</f>
        <v/>
      </c>
      <c r="AF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26,8))," ",""),"!",""),CHAR(34),""),"#",""),"$",""),"%",""),"&amp;",""),"'",""),"(",""),")",""),"*",""),"+",""),",",""),"-",""),".",""),"/",""),":",""),";",""),"&lt;",""),"=",""),"&gt;",""),"?",""),"@",""),"[",""),"\",""),"]",""),"^",""),"_",""),"`",""),"{",""),"|",""),"}",""),"~",""),CHAR(9),""),CHAR(10),""),CHAR(13),"")," ",""),"")</f>
        <v/>
      </c>
      <c r="AG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26,9))," ",""),"!",""),CHAR(34),""),"#",""),"$",""),"%",""),"&amp;",""),"'",""),"(",""),")",""),"*",""),"+",""),",",""),"-",""),".",""),"/",""),":",""),";",""),"&lt;",""),"=",""),"&gt;",""),"?",""),"@",""),"[",""),"\",""),"]",""),"^",""),"_",""),"`",""),"{",""),"|",""),"}",""),"~",""),CHAR(9),""),CHAR(10),""),CHAR(13),"")," ",""),"")</f>
        <v/>
      </c>
      <c r="AH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26,10))," ",""),"!",""),CHAR(34),""),"#",""),"$",""),"%",""),"&amp;",""),"'",""),"(",""),")",""),"*",""),"+",""),",",""),"-",""),".",""),"/",""),":",""),";",""),"&lt;",""),"=",""),"&gt;",""),"?",""),"@",""),"[",""),"\",""),"]",""),"^",""),"_",""),"`",""),"{",""),"|",""),"}",""),"~",""),CHAR(9),""),CHAR(10),""),CHAR(13),"")," ",""),"")</f>
        <v/>
      </c>
      <c r="AI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26,11))," ",""),"!",""),CHAR(34),""),"#",""),"$",""),"%",""),"&amp;",""),"'",""),"(",""),")",""),"*",""),"+",""),",",""),"-",""),".",""),"/",""),":",""),";",""),"&lt;",""),"=",""),"&gt;",""),"?",""),"@",""),"[",""),"\",""),"]",""),"^",""),"_",""),"`",""),"{",""),"|",""),"}",""),"~",""),CHAR(9),""),CHAR(10),""),CHAR(13),"")," ",""),"")</f>
        <v/>
      </c>
      <c r="AJ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26,12))," ",""),"!",""),CHAR(34),""),"#",""),"$",""),"%",""),"&amp;",""),"'",""),"(",""),")",""),"*",""),"+",""),",",""),"-",""),".",""),"/",""),":",""),";",""),"&lt;",""),"=",""),"&gt;",""),"?",""),"@",""),"[",""),"\",""),"]",""),"^",""),"_",""),"`",""),"{",""),"|",""),"}",""),"~",""),CHAR(9),""),CHAR(10),""),CHAR(13),"")," ",""),"")</f>
        <v/>
      </c>
      <c r="AK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26,13))," ",""),"!",""),CHAR(34),""),"#",""),"$",""),"%",""),"&amp;",""),"'",""),"(",""),")",""),"*",""),"+",""),",",""),"-",""),".",""),"/",""),":",""),";",""),"&lt;",""),"=",""),"&gt;",""),"?",""),"@",""),"[",""),"\",""),"]",""),"^",""),"_",""),"`",""),"{",""),"|",""),"}",""),"~",""),CHAR(9),""),CHAR(10),""),CHAR(13),"")," ",""),"")</f>
        <v/>
      </c>
      <c r="AL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26,14))," ",""),"!",""),CHAR(34),""),"#",""),"$",""),"%",""),"&amp;",""),"'",""),"(",""),")",""),"*",""),"+",""),",",""),"-",""),".",""),"/",""),":",""),";",""),"&lt;",""),"=",""),"&gt;",""),"?",""),"@",""),"[",""),"\",""),"]",""),"^",""),"_",""),"`",""),"{",""),"|",""),"}",""),"~",""),CHAR(9),""),CHAR(10),""),CHAR(13),"")," ",""),"")</f>
        <v/>
      </c>
      <c r="AM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26,15))," ",""),"!",""),CHAR(34),""),"#",""),"$",""),"%",""),"&amp;",""),"'",""),"(",""),")",""),"*",""),"+",""),",",""),"-",""),".",""),"/",""),":",""),";",""),"&lt;",""),"=",""),"&gt;",""),"?",""),"@",""),"[",""),"\",""),"]",""),"^",""),"_",""),"`",""),"{",""),"|",""),"}",""),"~",""),CHAR(9),""),CHAR(10),""),CHAR(13),"")," ",""),"")</f>
        <v/>
      </c>
      <c r="AN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26,16))," ",""),"!",""),CHAR(34),""),"#",""),"$",""),"%",""),"&amp;",""),"'",""),"(",""),")",""),"*",""),"+",""),",",""),"-",""),".",""),"/",""),":",""),";",""),"&lt;",""),"=",""),"&gt;",""),"?",""),"@",""),"[",""),"\",""),"]",""),"^",""),"_",""),"`",""),"{",""),"|",""),"}",""),"~",""),CHAR(9),""),CHAR(10),""),CHAR(13),"")," ",""),"")</f>
        <v/>
      </c>
      <c r="AO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26,17))," ",""),"!",""),CHAR(34),""),"#",""),"$",""),"%",""),"&amp;",""),"'",""),"(",""),")",""),"*",""),"+",""),",",""),"-",""),".",""),"/",""),":",""),";",""),"&lt;",""),"=",""),"&gt;",""),"?",""),"@",""),"[",""),"\",""),"]",""),"^",""),"_",""),"`",""),"{",""),"|",""),"}",""),"~",""),CHAR(9),""),CHAR(10),""),CHAR(13),"")," ",""),"")</f>
        <v/>
      </c>
      <c r="AP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26,18))," ",""),"!",""),CHAR(34),""),"#",""),"$",""),"%",""),"&amp;",""),"'",""),"(",""),")",""),"*",""),"+",""),",",""),"-",""),".",""),"/",""),":",""),";",""),"&lt;",""),"=",""),"&gt;",""),"?",""),"@",""),"[",""),"\",""),"]",""),"^",""),"_",""),"`",""),"{",""),"|",""),"}",""),"~",""),CHAR(9),""),CHAR(10),""),CHAR(13),"")," ",""),"")</f>
        <v/>
      </c>
      <c r="AQ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26,19))," ",""),"!",""),CHAR(34),""),"#",""),"$",""),"%",""),"&amp;",""),"'",""),"(",""),")",""),"*",""),"+",""),",",""),"-",""),".",""),"/",""),":",""),";",""),"&lt;",""),"=",""),"&gt;",""),"?",""),"@",""),"[",""),"\",""),"]",""),"^",""),"_",""),"`",""),"{",""),"|",""),"}",""),"~",""),CHAR(9),""),CHAR(10),""),CHAR(13),"")," ",""),"")</f>
        <v/>
      </c>
      <c r="AR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26,20))," ",""),"!",""),CHAR(34),""),"#",""),"$",""),"%",""),"&amp;",""),"'",""),"(",""),")",""),"*",""),"+",""),",",""),"-",""),".",""),"/",""),":",""),";",""),"&lt;",""),"=",""),"&gt;",""),"?",""),"@",""),"[",""),"\",""),"]",""),"^",""),"_",""),"`",""),"{",""),"|",""),"}",""),"~",""),CHAR(9),""),CHAR(10),""),CHAR(13),"")," ",""),"")</f>
        <v/>
      </c>
      <c r="AS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26,21))," ",""),"!",""),CHAR(34),""),"#",""),"$",""),"%",""),"&amp;",""),"'",""),"(",""),")",""),"*",""),"+",""),",",""),"-",""),".",""),"/",""),":",""),";",""),"&lt;",""),"=",""),"&gt;",""),"?",""),"@",""),"[",""),"\",""),"]",""),"^",""),"_",""),"`",""),"{",""),"|",""),"}",""),"~",""),CHAR(9),""),CHAR(10),""),CHAR(13),"")," ",""),"")</f>
        <v/>
      </c>
      <c r="AT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26,22))," ",""),"!",""),CHAR(34),""),"#",""),"$",""),"%",""),"&amp;",""),"'",""),"(",""),")",""),"*",""),"+",""),",",""),"-",""),".",""),"/",""),":",""),";",""),"&lt;",""),"=",""),"&gt;",""),"?",""),"@",""),"[",""),"\",""),"]",""),"^",""),"_",""),"`",""),"{",""),"|",""),"}",""),"~",""),CHAR(9),""),CHAR(10),""),CHAR(13),"")," ",""),"")</f>
        <v/>
      </c>
      <c r="AU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26,23))," ",""),"!",""),CHAR(34),""),"#",""),"$",""),"%",""),"&amp;",""),"'",""),"(",""),")",""),"*",""),"+",""),",",""),"-",""),".",""),"/",""),":",""),";",""),"&lt;",""),"=",""),"&gt;",""),"?",""),"@",""),"[",""),"\",""),"]",""),"^",""),"_",""),"`",""),"{",""),"|",""),"}",""),"~",""),CHAR(9),""),CHAR(10),""),CHAR(13),"")," ",""),"")</f>
        <v/>
      </c>
      <c r="AV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26,24))," ",""),"!",""),CHAR(34),""),"#",""),"$",""),"%",""),"&amp;",""),"'",""),"(",""),")",""),"*",""),"+",""),",",""),"-",""),".",""),"/",""),":",""),";",""),"&lt;",""),"=",""),"&gt;",""),"?",""),"@",""),"[",""),"\",""),"]",""),"^",""),"_",""),"`",""),"{",""),"|",""),"}",""),"~",""),CHAR(9),""),CHAR(10),""),CHAR(13),"")," ",""),"")</f>
        <v/>
      </c>
      <c r="AW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26,25))," ",""),"!",""),CHAR(34),""),"#",""),"$",""),"%",""),"&amp;",""),"'",""),"(",""),")",""),"*",""),"+",""),",",""),"-",""),".",""),"/",""),":",""),";",""),"&lt;",""),"=",""),"&gt;",""),"?",""),"@",""),"[",""),"\",""),"]",""),"^",""),"_",""),"`",""),"{",""),"|",""),"}",""),"~",""),CHAR(9),""),CHAR(10),""),CHAR(13),"")," ",""),"")</f>
        <v/>
      </c>
      <c r="AX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26,26))," ",""),"!",""),CHAR(34),""),"#",""),"$",""),"%",""),"&amp;",""),"'",""),"(",""),")",""),"*",""),"+",""),",",""),"-",""),".",""),"/",""),":",""),";",""),"&lt;",""),"=",""),"&gt;",""),"?",""),"@",""),"[",""),"\",""),"]",""),"^",""),"_",""),"`",""),"{",""),"|",""),"}",""),"~",""),CHAR(9),""),CHAR(10),""),CHAR(13),"")," ",""),"")</f>
        <v/>
      </c>
      <c r="AY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26,27))," ",""),"!",""),CHAR(34),""),"#",""),"$",""),"%",""),"&amp;",""),"'",""),"(",""),")",""),"*",""),"+",""),",",""),"-",""),".",""),"/",""),":",""),";",""),"&lt;",""),"=",""),"&gt;",""),"?",""),"@",""),"[",""),"\",""),"]",""),"^",""),"_",""),"`",""),"{",""),"|",""),"}",""),"~",""),CHAR(9),""),CHAR(10),""),CHAR(13),"")," ",""),"")</f>
        <v/>
      </c>
      <c r="AZ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26,28))," ",""),"!",""),CHAR(34),""),"#",""),"$",""),"%",""),"&amp;",""),"'",""),"(",""),")",""),"*",""),"+",""),",",""),"-",""),".",""),"/",""),":",""),";",""),"&lt;",""),"=",""),"&gt;",""),"?",""),"@",""),"[",""),"\",""),"]",""),"^",""),"_",""),"`",""),"{",""),"|",""),"}",""),"~",""),CHAR(9),""),CHAR(10),""),CHAR(13),"")," ",""),"")</f>
        <v/>
      </c>
      <c r="BA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26,29))," ",""),"!",""),CHAR(34),""),"#",""),"$",""),"%",""),"&amp;",""),"'",""),"(",""),")",""),"*",""),"+",""),",",""),"-",""),".",""),"/",""),":",""),";",""),"&lt;",""),"=",""),"&gt;",""),"?",""),"@",""),"[",""),"\",""),"]",""),"^",""),"_",""),"`",""),"{",""),"|",""),"}",""),"~",""),CHAR(9),""),CHAR(10),""),CHAR(13),"")," ",""),"")</f>
        <v/>
      </c>
      <c r="BB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26,30))," ",""),"!",""),CHAR(34),""),"#",""),"$",""),"%",""),"&amp;",""),"'",""),"(",""),")",""),"*",""),"+",""),",",""),"-",""),".",""),"/",""),":",""),";",""),"&lt;",""),"=",""),"&gt;",""),"?",""),"@",""),"[",""),"\",""),"]",""),"^",""),"_",""),"`",""),"{",""),"|",""),"}",""),"~",""),CHAR(9),""),CHAR(10),""),CHAR(13),"")," ",""),"")</f>
        <v/>
      </c>
      <c r="BC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26,31))," ",""),"!",""),CHAR(34),""),"#",""),"$",""),"%",""),"&amp;",""),"'",""),"(",""),")",""),"*",""),"+",""),",",""),"-",""),".",""),"/",""),":",""),";",""),"&lt;",""),"=",""),"&gt;",""),"?",""),"@",""),"[",""),"\",""),"]",""),"^",""),"_",""),"`",""),"{",""),"|",""),"}",""),"~",""),CHAR(9),""),CHAR(10),""),CHAR(13),"")," ",""),"")</f>
        <v/>
      </c>
      <c r="BD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26,32))," ",""),"!",""),CHAR(34),""),"#",""),"$",""),"%",""),"&amp;",""),"'",""),"(",""),")",""),"*",""),"+",""),",",""),"-",""),".",""),"/",""),":",""),";",""),"&lt;",""),"=",""),"&gt;",""),"?",""),"@",""),"[",""),"\",""),"]",""),"^",""),"_",""),"`",""),"{",""),"|",""),"}",""),"~",""),CHAR(9),""),CHAR(10),""),CHAR(13),"")," ",""),"")</f>
        <v/>
      </c>
      <c r="BE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26,33))," ",""),"!",""),CHAR(34),""),"#",""),"$",""),"%",""),"&amp;",""),"'",""),"(",""),")",""),"*",""),"+",""),",",""),"-",""),".",""),"/",""),":",""),";",""),"&lt;",""),"=",""),"&gt;",""),"?",""),"@",""),"[",""),"\",""),"]",""),"^",""),"_",""),"`",""),"{",""),"|",""),"}",""),"~",""),CHAR(9),""),CHAR(10),""),CHAR(13),"")," ",""),"")</f>
        <v/>
      </c>
      <c r="BF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26,34))," ",""),"!",""),CHAR(34),""),"#",""),"$",""),"%",""),"&amp;",""),"'",""),"(",""),")",""),"*",""),"+",""),",",""),"-",""),".",""),"/",""),":",""),";",""),"&lt;",""),"=",""),"&gt;",""),"?",""),"@",""),"[",""),"\",""),"]",""),"^",""),"_",""),"`",""),"{",""),"|",""),"}",""),"~",""),CHAR(9),""),CHAR(10),""),CHAR(13),"")," ",""),"")</f>
        <v/>
      </c>
      <c r="BG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26,35))," ",""),"!",""),CHAR(34),""),"#",""),"$",""),"%",""),"&amp;",""),"'",""),"(",""),")",""),"*",""),"+",""),",",""),"-",""),".",""),"/",""),":",""),";",""),"&lt;",""),"=",""),"&gt;",""),"?",""),"@",""),"[",""),"\",""),"]",""),"^",""),"_",""),"`",""),"{",""),"|",""),"}",""),"~",""),CHAR(9),""),CHAR(10),""),CHAR(13),"")," ",""),"")</f>
        <v/>
      </c>
      <c r="BH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26,36))," ",""),"!",""),CHAR(34),""),"#",""),"$",""),"%",""),"&amp;",""),"'",""),"(",""),")",""),"*",""),"+",""),",",""),"-",""),".",""),"/",""),":",""),";",""),"&lt;",""),"=",""),"&gt;",""),"?",""),"@",""),"[",""),"\",""),"]",""),"^",""),"_",""),"`",""),"{",""),"|",""),"}",""),"~",""),CHAR(9),""),CHAR(10),""),CHAR(13),"")," ",""),"")</f>
        <v/>
      </c>
      <c r="BI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26,37))," ",""),"!",""),CHAR(34),""),"#",""),"$",""),"%",""),"&amp;",""),"'",""),"(",""),")",""),"*",""),"+",""),",",""),"-",""),".",""),"/",""),":",""),";",""),"&lt;",""),"=",""),"&gt;",""),"?",""),"@",""),"[",""),"\",""),"]",""),"^",""),"_",""),"`",""),"{",""),"|",""),"}",""),"~",""),CHAR(9),""),CHAR(10),""),CHAR(13),"")," ",""),"")</f>
        <v/>
      </c>
      <c r="BJ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26,38))," ",""),"!",""),CHAR(34),""),"#",""),"$",""),"%",""),"&amp;",""),"'",""),"(",""),")",""),"*",""),"+",""),",",""),"-",""),".",""),"/",""),":",""),";",""),"&lt;",""),"=",""),"&gt;",""),"?",""),"@",""),"[",""),"\",""),"]",""),"^",""),"_",""),"`",""),"{",""),"|",""),"}",""),"~",""),CHAR(9),""),CHAR(10),""),CHAR(13),"")," ",""),"")</f>
        <v/>
      </c>
      <c r="BK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26,39))," ",""),"!",""),CHAR(34),""),"#",""),"$",""),"%",""),"&amp;",""),"'",""),"(",""),")",""),"*",""),"+",""),",",""),"-",""),".",""),"/",""),":",""),";",""),"&lt;",""),"=",""),"&gt;",""),"?",""),"@",""),"[",""),"\",""),"]",""),"^",""),"_",""),"`",""),"{",""),"|",""),"}",""),"~",""),CHAR(9),""),CHAR(10),""),CHAR(13),"")," ",""),"")</f>
        <v/>
      </c>
      <c r="BL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26,40))," ",""),"!",""),CHAR(34),""),"#",""),"$",""),"%",""),"&amp;",""),"'",""),"(",""),")",""),"*",""),"+",""),",",""),"-",""),".",""),"/",""),":",""),";",""),"&lt;",""),"=",""),"&gt;",""),"?",""),"@",""),"[",""),"\",""),"]",""),"^",""),"_",""),"`",""),"{",""),"|",""),"}",""),"~",""),CHAR(9),""),CHAR(10),""),CHAR(13),"")," ",""),"")</f>
        <v/>
      </c>
      <c r="BM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26,41))," ",""),"!",""),CHAR(34),""),"#",""),"$",""),"%",""),"&amp;",""),"'",""),"(",""),")",""),"*",""),"+",""),",",""),"-",""),".",""),"/",""),":",""),";",""),"&lt;",""),"=",""),"&gt;",""),"?",""),"@",""),"[",""),"\",""),"]",""),"^",""),"_",""),"`",""),"{",""),"|",""),"}",""),"~",""),CHAR(9),""),CHAR(10),""),CHAR(13),"")," ",""),"")</f>
        <v/>
      </c>
      <c r="BN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26,42))," ",""),"!",""),CHAR(34),""),"#",""),"$",""),"%",""),"&amp;",""),"'",""),"(",""),")",""),"*",""),"+",""),",",""),"-",""),".",""),"/",""),":",""),";",""),"&lt;",""),"=",""),"&gt;",""),"?",""),"@",""),"[",""),"\",""),"]",""),"^",""),"_",""),"`",""),"{",""),"|",""),"}",""),"~",""),CHAR(9),""),CHAR(10),""),CHAR(13),"")," ",""),"")</f>
        <v/>
      </c>
      <c r="BO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26,43))," ",""),"!",""),CHAR(34),""),"#",""),"$",""),"%",""),"&amp;",""),"'",""),"(",""),")",""),"*",""),"+",""),",",""),"-",""),".",""),"/",""),":",""),";",""),"&lt;",""),"=",""),"&gt;",""),"?",""),"@",""),"[",""),"\",""),"]",""),"^",""),"_",""),"`",""),"{",""),"|",""),"}",""),"~",""),CHAR(9),""),CHAR(10),""),CHAR(13),"")," ",""),"")</f>
        <v/>
      </c>
      <c r="BP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26,44))," ",""),"!",""),CHAR(34),""),"#",""),"$",""),"%",""),"&amp;",""),"'",""),"(",""),")",""),"*",""),"+",""),",",""),"-",""),".",""),"/",""),":",""),";",""),"&lt;",""),"=",""),"&gt;",""),"?",""),"@",""),"[",""),"\",""),"]",""),"^",""),"_",""),"`",""),"{",""),"|",""),"}",""),"~",""),CHAR(9),""),CHAR(10),""),CHAR(13),"")," ",""),"")</f>
        <v/>
      </c>
      <c r="BQ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26,45))," ",""),"!",""),CHAR(34),""),"#",""),"$",""),"%",""),"&amp;",""),"'",""),"(",""),")",""),"*",""),"+",""),",",""),"-",""),".",""),"/",""),":",""),";",""),"&lt;",""),"=",""),"&gt;",""),"?",""),"@",""),"[",""),"\",""),"]",""),"^",""),"_",""),"`",""),"{",""),"|",""),"}",""),"~",""),CHAR(9),""),CHAR(10),""),CHAR(13),"")," ",""),"")</f>
        <v/>
      </c>
      <c r="BR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26,46))," ",""),"!",""),CHAR(34),""),"#",""),"$",""),"%",""),"&amp;",""),"'",""),"(",""),")",""),"*",""),"+",""),",",""),"-",""),".",""),"/",""),":",""),";",""),"&lt;",""),"=",""),"&gt;",""),"?",""),"@",""),"[",""),"\",""),"]",""),"^",""),"_",""),"`",""),"{",""),"|",""),"}",""),"~",""),CHAR(9),""),CHAR(10),""),CHAR(13),"")," ",""),"")</f>
        <v/>
      </c>
      <c r="BS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26,47))," ",""),"!",""),CHAR(34),""),"#",""),"$",""),"%",""),"&amp;",""),"'",""),"(",""),")",""),"*",""),"+",""),",",""),"-",""),".",""),"/",""),":",""),";",""),"&lt;",""),"=",""),"&gt;",""),"?",""),"@",""),"[",""),"\",""),"]",""),"^",""),"_",""),"`",""),"{",""),"|",""),"}",""),"~",""),CHAR(9),""),CHAR(10),""),CHAR(13),"")," ",""),"")</f>
        <v/>
      </c>
      <c r="BT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26,48))," ",""),"!",""),CHAR(34),""),"#",""),"$",""),"%",""),"&amp;",""),"'",""),"(",""),")",""),"*",""),"+",""),",",""),"-",""),".",""),"/",""),":",""),";",""),"&lt;",""),"=",""),"&gt;",""),"?",""),"@",""),"[",""),"\",""),"]",""),"^",""),"_",""),"`",""),"{",""),"|",""),"}",""),"~",""),CHAR(9),""),CHAR(10),""),CHAR(13),"")," ",""),"")</f>
        <v/>
      </c>
      <c r="BU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26,49))," ",""),"!",""),CHAR(34),""),"#",""),"$",""),"%",""),"&amp;",""),"'",""),"(",""),")",""),"*",""),"+",""),",",""),"-",""),".",""),"/",""),":",""),";",""),"&lt;",""),"=",""),"&gt;",""),"?",""),"@",""),"[",""),"\",""),"]",""),"^",""),"_",""),"`",""),"{",""),"|",""),"}",""),"~",""),CHAR(9),""),CHAR(10),""),CHAR(13),"")," ",""),"")</f>
        <v/>
      </c>
      <c r="BV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26,50))," ",""),"!",""),CHAR(34),""),"#",""),"$",""),"%",""),"&amp;",""),"'",""),"(",""),")",""),"*",""),"+",""),",",""),"-",""),".",""),"/",""),":",""),";",""),"&lt;",""),"=",""),"&gt;",""),"?",""),"@",""),"[",""),"\",""),"]",""),"^",""),"_",""),"`",""),"{",""),"|",""),"}",""),"~",""),CHAR(9),""),CHAR(10),""),CHAR(13),"")," ",""),"")</f>
        <v/>
      </c>
      <c r="BW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26,51))," ",""),"!",""),CHAR(34),""),"#",""),"$",""),"%",""),"&amp;",""),"'",""),"(",""),")",""),"*",""),"+",""),",",""),"-",""),".",""),"/",""),":",""),";",""),"&lt;",""),"=",""),"&gt;",""),"?",""),"@",""),"[",""),"\",""),"]",""),"^",""),"_",""),"`",""),"{",""),"|",""),"}",""),"~",""),CHAR(9),""),CHAR(10),""),CHAR(13),"")," ",""),"")</f>
        <v/>
      </c>
      <c r="BX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26,52))," ",""),"!",""),CHAR(34),""),"#",""),"$",""),"%",""),"&amp;",""),"'",""),"(",""),")",""),"*",""),"+",""),",",""),"-",""),".",""),"/",""),":",""),";",""),"&lt;",""),"=",""),"&gt;",""),"?",""),"@",""),"[",""),"\",""),"]",""),"^",""),"_",""),"`",""),"{",""),"|",""),"}",""),"~",""),CHAR(9),""),CHAR(10),""),CHAR(13),"")," ",""),"")</f>
        <v/>
      </c>
      <c r="BY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26,53))," ",""),"!",""),CHAR(34),""),"#",""),"$",""),"%",""),"&amp;",""),"'",""),"(",""),")",""),"*",""),"+",""),",",""),"-",""),".",""),"/",""),":",""),";",""),"&lt;",""),"=",""),"&gt;",""),"?",""),"@",""),"[",""),"\",""),"]",""),"^",""),"_",""),"`",""),"{",""),"|",""),"}",""),"~",""),CHAR(9),""),CHAR(10),""),CHAR(13),"")," ",""),"")</f>
        <v/>
      </c>
      <c r="BZ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26,54))," ",""),"!",""),CHAR(34),""),"#",""),"$",""),"%",""),"&amp;",""),"'",""),"(",""),")",""),"*",""),"+",""),",",""),"-",""),".",""),"/",""),":",""),";",""),"&lt;",""),"=",""),"&gt;",""),"?",""),"@",""),"[",""),"\",""),"]",""),"^",""),"_",""),"`",""),"{",""),"|",""),"}",""),"~",""),CHAR(9),""),CHAR(10),""),CHAR(13),"")," ",""),"")</f>
        <v/>
      </c>
      <c r="CA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26,55))," ",""),"!",""),CHAR(34),""),"#",""),"$",""),"%",""),"&amp;",""),"'",""),"(",""),")",""),"*",""),"+",""),",",""),"-",""),".",""),"/",""),":",""),";",""),"&lt;",""),"=",""),"&gt;",""),"?",""),"@",""),"[",""),"\",""),"]",""),"^",""),"_",""),"`",""),"{",""),"|",""),"}",""),"~",""),CHAR(9),""),CHAR(10),""),CHAR(13),"")," ",""),"")</f>
        <v/>
      </c>
      <c r="CB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26,56))," ",""),"!",""),CHAR(34),""),"#",""),"$",""),"%",""),"&amp;",""),"'",""),"(",""),")",""),"*",""),"+",""),",",""),"-",""),".",""),"/",""),":",""),";",""),"&lt;",""),"=",""),"&gt;",""),"?",""),"@",""),"[",""),"\",""),"]",""),"^",""),"_",""),"`",""),"{",""),"|",""),"}",""),"~",""),CHAR(9),""),CHAR(10),""),CHAR(13),"")," ",""),"")</f>
        <v/>
      </c>
      <c r="CC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26,57))," ",""),"!",""),CHAR(34),""),"#",""),"$",""),"%",""),"&amp;",""),"'",""),"(",""),")",""),"*",""),"+",""),",",""),"-",""),".",""),"/",""),":",""),";",""),"&lt;",""),"=",""),"&gt;",""),"?",""),"@",""),"[",""),"\",""),"]",""),"^",""),"_",""),"`",""),"{",""),"|",""),"}",""),"~",""),CHAR(9),""),CHAR(10),""),CHAR(13),"")," ",""),"")</f>
        <v/>
      </c>
      <c r="CD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26,58))," ",""),"!",""),CHAR(34),""),"#",""),"$",""),"%",""),"&amp;",""),"'",""),"(",""),")",""),"*",""),"+",""),",",""),"-",""),".",""),"/",""),":",""),";",""),"&lt;",""),"=",""),"&gt;",""),"?",""),"@",""),"[",""),"\",""),"]",""),"^",""),"_",""),"`",""),"{",""),"|",""),"}",""),"~",""),CHAR(9),""),CHAR(10),""),CHAR(13),"")," ",""),"")</f>
        <v/>
      </c>
      <c r="CE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26,59))," ",""),"!",""),CHAR(34),""),"#",""),"$",""),"%",""),"&amp;",""),"'",""),"(",""),")",""),"*",""),"+",""),",",""),"-",""),".",""),"/",""),":",""),";",""),"&lt;",""),"=",""),"&gt;",""),"?",""),"@",""),"[",""),"\",""),"]",""),"^",""),"_",""),"`",""),"{",""),"|",""),"}",""),"~",""),CHAR(9),""),CHAR(10),""),CHAR(13),"")," ",""),"")</f>
        <v/>
      </c>
      <c r="CF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26,60))," ",""),"!",""),CHAR(34),""),"#",""),"$",""),"%",""),"&amp;",""),"'",""),"(",""),")",""),"*",""),"+",""),",",""),"-",""),".",""),"/",""),":",""),";",""),"&lt;",""),"=",""),"&gt;",""),"?",""),"@",""),"[",""),"\",""),"]",""),"^",""),"_",""),"`",""),"{",""),"|",""),"}",""),"~",""),CHAR(9),""),CHAR(10),""),CHAR(13),"")," ",""),"")</f>
        <v/>
      </c>
      <c r="CH30">
        <f>COUNTIF($Y75:$CF75,"&gt;0")</f>
        <v/>
      </c>
      <c r="CI30">
        <f>COUNTIF($Y75:$CF75,2)</f>
        <v/>
      </c>
      <c r="CJ30">
        <f>SUMPRODUCT((COUNTIF($Y120:$CF120,{1,2,3,4,5,6,7,8,9,10,11,12,13,14,15})&gt;0)*{2,4,8,16,32,64,128,256,512,1024,2048,4096,8192,16384,32768})</f>
        <v/>
      </c>
      <c r="CK30">
        <f>CF210</f>
        <v/>
      </c>
      <c r="CL30">
        <f>SUMPRODUCT(MOD(INT(((CJ30+CK30))/{2,4,8,16,32,64,128,256,512,1024,2048,4096,8192,16384,32768}),2))</f>
        <v/>
      </c>
      <c r="CM30">
        <f>IF(CH30&lt;2,-9999,CL30+2*MOD(INT(((CJ30+CK30))/2),2)+2*MOD(INT(((CJ30+CK30))/4),2)-CI30)</f>
        <v/>
      </c>
      <c r="DA30" t="n">
        <v>26</v>
      </c>
      <c r="DB30">
        <f>IF($B$37=0,"",IFERROR(TRIM(SUBSTITUTE(SUBSTITUTE(SUBSTITUTE(SUBSTITUTE(INDEX(PASTE_ALL,26,$B$37)," "," "),CHAR(9)," "),CHAR(10)," "),CHAR(13)," ")),""))</f>
        <v/>
      </c>
      <c r="DC30">
        <f>IF(AND(26&gt;HEADER_ROW,UPPER(DB30)="LEGEND"),1,0)</f>
        <v/>
      </c>
      <c r="DE30" t="n">
        <v>26</v>
      </c>
      <c r="DF30">
        <f>HEADER_ROW+$DE30</f>
        <v/>
      </c>
      <c r="DG30">
        <f>IF(AND($DF30&lt;=1000,$DF30&lt;$B$8),1,0)</f>
        <v/>
      </c>
      <c r="DH30">
        <f>IF($DG30=1,IFERROR(INDEX($DB$5:$DB$1004,$DF30),""),"")</f>
        <v/>
      </c>
      <c r="DI30">
        <f>IF(AND($DG30=1,$DH30&lt;&gt;""),IFERROR(SUBSTITUTE(SUBSTITUTE(TRIM(SUBSTITUTE(SUBSTITUTE(SUBSTITUTE(SUBSTITUTE(IFERROR(INDEX(PASTE_ALL,$DF30,1)&amp;"","")&amp;"␟"&amp;IFERROR(INDEX(PASTE_ALL,$DF30,2)&amp;"","")&amp;"␟"&amp;IFERROR(INDEX(PASTE_ALL,$DF30,3)&amp;"","")&amp;"␟"&amp;IFERROR(INDEX(PASTE_ALL,$DF30,4)&amp;"","")&amp;"␟"&amp;IFERROR(INDEX(PASTE_ALL,$DF30,5)&amp;"","")&amp;"␟"&amp;IFERROR(INDEX(PASTE_ALL,$DF30,6)&amp;"","")&amp;"␟"&amp;IFERROR(INDEX(PASTE_ALL,$DF30,7)&amp;"","")&amp;"␟"&amp;IFERROR(INDEX(PASTE_ALL,$DF30,8)&amp;"","")&amp;"␟"&amp;IFERROR(INDEX(PASTE_ALL,$DF30,9)&amp;"","")&amp;"␟"&amp;IFERROR(INDEX(PASTE_ALL,$DF30,10)&amp;"","")&amp;"␟"&amp;IFERROR(INDEX(PASTE_ALL,$DF30,11)&amp;"","")&amp;"␟"&amp;IFERROR(INDEX(PASTE_ALL,$DF30,12)&amp;"","")&amp;"␟"&amp;IFERROR(INDEX(PASTE_ALL,$DF30,13)&amp;"","")&amp;"␟"&amp;IFERROR(INDEX(PASTE_ALL,$DF30,14)&amp;"","")&amp;"␟"&amp;IFERROR(INDEX(PASTE_ALL,$DF30,15)&amp;"","")&amp;"␟"&amp;IFERROR(INDEX(PASTE_ALL,$DF30,16)&amp;"","")&amp;"␟"&amp;IFERROR(INDEX(PASTE_ALL,$DF30,17)&amp;"","")&amp;"␟"&amp;IFERROR(INDEX(PASTE_ALL,$DF30,18)&amp;"","")&amp;"␟"&amp;IFERROR(INDEX(PASTE_ALL,$DF30,19)&amp;"","")&amp;"␟"&amp;IFERROR(INDEX(PASTE_ALL,$DF30,20)&amp;"","")&amp;"␟"&amp;IFERROR(INDEX(PASTE_ALL,$DF30,21)&amp;"","")&amp;"␟"&amp;IFERROR(INDEX(PASTE_ALL,$DF30,22)&amp;"","")&amp;"␟"&amp;IFERROR(INDEX(PASTE_ALL,$DF30,23)&amp;"","")&amp;"␟"&amp;IFERROR(INDEX(PASTE_ALL,$DF30,24)&amp;"","")&amp;"␟"&amp;IFERROR(INDEX(PASTE_ALL,$DF30,25)&amp;"","")&amp;"␟"&amp;IFERROR(INDEX(PASTE_ALL,$DF30,26)&amp;"","")&amp;"␟"&amp;IFERROR(INDEX(PASTE_ALL,$DF30,27)&amp;"","")&amp;"␟"&amp;IFERROR(INDEX(PASTE_ALL,$DF30,28)&amp;"","")&amp;"␟"&amp;IFERROR(INDEX(PASTE_ALL,$DF30,29)&amp;"","")&amp;"␟"&amp;IFERROR(INDEX(PASTE_ALL,$DF30,30)&amp;"","")&amp;"␟"&amp;IFERROR(INDEX(PASTE_ALL,$DF30,31)&amp;"","")&amp;"␟"&amp;IFERROR(INDEX(PASTE_ALL,$DF30,32)&amp;"","")&amp;"␟"&amp;IFERROR(INDEX(PASTE_ALL,$DF30,33)&amp;"","")&amp;"␟"&amp;IFERROR(INDEX(PASTE_ALL,$DF30,34)&amp;"","")&amp;"␟"&amp;IFERROR(INDEX(PASTE_ALL,$DF30,35)&amp;"","")&amp;"␟"&amp;IFERROR(INDEX(PASTE_ALL,$DF30,36)&amp;"","")&amp;"␟"&amp;IFERROR(INDEX(PASTE_ALL,$DF30,37)&amp;"","")&amp;"␟"&amp;IFERROR(INDEX(PASTE_ALL,$DF30,38)&amp;"","")&amp;"␟"&amp;IFERROR(INDEX(PASTE_ALL,$DF30,39)&amp;"","")&amp;"␟"&amp;IFERROR(INDEX(PASTE_ALL,$DF30,40)&amp;"","")&amp;"␟"&amp;IFERROR(INDEX(PASTE_ALL,$DF30,41)&amp;"","")&amp;"␟"&amp;IFERROR(INDEX(PASTE_ALL,$DF30,42)&amp;"","")&amp;"␟"&amp;IFERROR(INDEX(PASTE_ALL,$DF30,43)&amp;"","")&amp;"␟"&amp;IFERROR(INDEX(PASTE_ALL,$DF30,44)&amp;"","")&amp;"␟"&amp;IFERROR(INDEX(PASTE_ALL,$DF30,45)&amp;"","")&amp;"␟"&amp;IFERROR(INDEX(PASTE_ALL,$DF30,46)&amp;"","")&amp;"␟"&amp;IFERROR(INDEX(PASTE_ALL,$DF30,47)&amp;"","")&amp;"␟"&amp;IFERROR(INDEX(PASTE_ALL,$DF30,48)&amp;"","")&amp;"␟"&amp;IFERROR(INDEX(PASTE_ALL,$DF30,49)&amp;"","")&amp;"␟"&amp;IFERROR(INDEX(PASTE_ALL,$DF30,50)&amp;"","")&amp;"␟"&amp;IFERROR(INDEX(PASTE_ALL,$DF30,51)&amp;"","")&amp;"␟"&amp;IFERROR(INDEX(PASTE_ALL,$DF30,52)&amp;"","")&amp;"␟"&amp;IFERROR(INDEX(PASTE_ALL,$DF30,53)&amp;"","")&amp;"␟"&amp;IFERROR(INDEX(PASTE_ALL,$DF30,54)&amp;"","")&amp;"␟"&amp;IFERROR(INDEX(PASTE_ALL,$DF30,55)&amp;"","")&amp;"␟"&amp;IFERROR(INDEX(PASTE_ALL,$DF30,56)&amp;"","")&amp;"␟"&amp;IFERROR(INDEX(PASTE_ALL,$DF30,57)&amp;"","")&amp;"␟"&amp;IFERROR(INDEX(PASTE_ALL,$DF30,58)&amp;"","")&amp;"␟"&amp;IFERROR(INDEX(PASTE_ALL,$DF30,59)&amp;"","")&amp;"␟"&amp;IFERROR(INDEX(PASTE_ALL,$DF30,60)&amp;"","")," "," "),CHAR(9)," "),CHAR(10)," "),CHAR(13)," "))," ␟","␟"),"␟ ","␟"),"#"&amp;$DE30),"")</f>
        <v/>
      </c>
      <c r="DJ30">
        <f>IF($DI30="",0,IF(SUMPRODUCT(--EXACT($DI$4:DI29,$DI30))&gt;0,1,0))</f>
        <v/>
      </c>
      <c r="DK30">
        <f>IF(AND($DI30&lt;&gt;"",$DJ30=0),1,0)</f>
        <v/>
      </c>
      <c r="DL30">
        <f>DL29+$DK30</f>
        <v/>
      </c>
      <c r="DM30">
        <f>IF(AND($DK30=1,$DL30&lt;=600),1,0)</f>
        <v/>
      </c>
      <c r="DN30">
        <f>IF($DM30=0,"",IF($L$6=0,"",IFERROR(IF(ISNUMBER(INDEX(PASTE_ALL,$DF30,$L$6)),INDEX(PASTE_ALL,$DF30,$L$6),TRIM(SUBSTITUTE(SUBSTITUTE(SUBSTITUTE(SUBSTITUTE(INDEX(PASTE_ALL,$DF30,$L$6)," "," "),CHAR(9)," "),CHAR(10)," "),CHAR(13)," "))),"")))</f>
        <v/>
      </c>
      <c r="DO30">
        <f>IF($DM30=0,"",IF($L$7=0,"",IFERROR(IF(ISNUMBER(INDEX(PASTE_ALL,$DF30,$L$7)),INDEX(PASTE_ALL,$DF30,$L$7),TRIM(SUBSTITUTE(SUBSTITUTE(SUBSTITUTE(SUBSTITUTE(INDEX(PASTE_ALL,$DF30,$L$7)," "," "),CHAR(9)," "),CHAR(10)," "),CHAR(13)," "))),"")))</f>
        <v/>
      </c>
      <c r="DP30">
        <f>IF($DM30=0,"",IF($L$8=0,"",IFERROR(IF(ISNUMBER(INDEX(PASTE_ALL,$DF30,$L$8)),INDEX(PASTE_ALL,$DF30,$L$8),TRIM(SUBSTITUTE(SUBSTITUTE(SUBSTITUTE(SUBSTITUTE(INDEX(PASTE_ALL,$DF30,$L$8)," "," "),CHAR(9)," "),CHAR(10)," "),CHAR(13)," "))),"")))</f>
        <v/>
      </c>
      <c r="DQ30">
        <f>IF($DM30=0,"",IF($L$9=0,"",IFERROR(IF(ISNUMBER(INDEX(PASTE_ALL,$DF30,$L$9)),INDEX(PASTE_ALL,$DF30,$L$9),TRIM(SUBSTITUTE(SUBSTITUTE(SUBSTITUTE(SUBSTITUTE(INDEX(PASTE_ALL,$DF30,$L$9)," "," "),CHAR(9)," "),CHAR(10)," "),CHAR(13)," "))),"")))</f>
        <v/>
      </c>
      <c r="DR30">
        <f>IF($DM30=0,"",IF($L$10=0,"",IFERROR(IF(ISNUMBER(INDEX(PASTE_ALL,$DF30,$L$10)),INDEX(PASTE_ALL,$DF30,$L$10),TRIM(SUBSTITUTE(SUBSTITUTE(SUBSTITUTE(SUBSTITUTE(INDEX(PASTE_ALL,$DF30,$L$10)," "," "),CHAR(9)," "),CHAR(10)," "),CHAR(13)," "))),"")))</f>
        <v/>
      </c>
      <c r="DS30">
        <f>IF($DM30=0,"",IF($L$11=0,"",IFERROR(IF(ISNUMBER(INDEX(PASTE_ALL,$DF30,$L$11)),INDEX(PASTE_ALL,$DF30,$L$11),TRIM(SUBSTITUTE(SUBSTITUTE(SUBSTITUTE(SUBSTITUTE(INDEX(PASTE_ALL,$DF30,$L$11)," "," "),CHAR(9)," "),CHAR(10)," "),CHAR(13)," "))),"")))</f>
        <v/>
      </c>
      <c r="DT30">
        <f>IF($DM30=0,"",IF($L$12=0,"",IFERROR(IF(ISNUMBER(INDEX(PASTE_ALL,$DF30,$L$12)),INDEX(PASTE_ALL,$DF30,$L$12),TRIM(SUBSTITUTE(SUBSTITUTE(SUBSTITUTE(SUBSTITUTE(INDEX(PASTE_ALL,$DF30,$L$12)," "," "),CHAR(9)," "),CHAR(10)," "),CHAR(13)," "))),"")))</f>
        <v/>
      </c>
      <c r="DU30">
        <f>IF($DM30=0,"",IF($L$13=0,"",IFERROR(IF(ISNUMBER(INDEX(PASTE_ALL,$DF30,$L$13)),INDEX(PASTE_ALL,$DF30,$L$13),TRIM(SUBSTITUTE(SUBSTITUTE(SUBSTITUTE(SUBSTITUTE(INDEX(PASTE_ALL,$DF30,$L$13)," "," "),CHAR(9)," "),CHAR(10)," "),CHAR(13)," "))),"")))</f>
        <v/>
      </c>
      <c r="DV30">
        <f>IF($DM30=0,"",IF($L$14=0,"",IFERROR(IF(ISNUMBER(INDEX(PASTE_ALL,$DF30,$L$14)),INDEX(PASTE_ALL,$DF30,$L$14),TRIM(SUBSTITUTE(SUBSTITUTE(SUBSTITUTE(SUBSTITUTE(INDEX(PASTE_ALL,$DF30,$L$14)," "," "),CHAR(9)," "),CHAR(10)," "),CHAR(13)," "))),"")))</f>
        <v/>
      </c>
      <c r="DW30">
        <f>IF($DM30=0,"",IF($L$15=0,"",IFERROR(IF(ISNUMBER(INDEX(PASTE_ALL,$DF30,$L$15)),INDEX(PASTE_ALL,$DF30,$L$15),IF(SUMPRODUCT(--ISNUMBER(FIND({"A","B","C","D","E","F","G","H","I","J","K","L","M","N","O","P","Q","R","S","T","U","V","W","X","Y","Z","0","1","2","3","4","5","6","7","8","9"},UPPER(TRIM(SUBSTITUTE(SUBSTITUTE(SUBSTITUTE(SUBSTITUTE(INDEX(PASTE_ALL,$DF30,$L$15)," "," "),CHAR(9)," "),CHAR(10)," "),CHAR(13)," "))))))&gt;0,TRIM(SUBSTITUTE(SUBSTITUTE(SUBSTITUTE(SUBSTITUTE(INDEX(PASTE_ALL,$DF30,$L$15)," "," "),CHAR(9)," "),CHAR(10)," "),CHAR(13)," ")),"")),"")))</f>
        <v/>
      </c>
      <c r="DX30">
        <f>IF($DM30=0,"",IF($L$16=0,"",IFERROR(IF(ISNUMBER(INDEX(PASTE_ALL,$DF30,$L$16)),INDEX(PASTE_ALL,$DF30,$L$16),SUBSTITUTE(SUBSTITUTE(TRIM(SUBSTITUTE(SUBSTITUTE(SUBSTITUTE(SUBSTITUTE(INDEX(PASTE_ALL,$DF30,$L$16)," "," "),CHAR(9)," "),CHAR(10)," "),CHAR(13)," ")),",",""),"%","")),"")))</f>
        <v/>
      </c>
      <c r="DY30">
        <f>IF($DM30=0,"",IFERROR(IF(ISNUMBER($DX30),$DX30,IF($DX30="","",IF(TRIM($DX30)="",0,IF(AND(AND(SUBSTITUTE(SUBSTITUTE(SUBSTITUTE(SUBSTITUTE(SUBSTITUTE(SUBSTITUTE(SUBSTITUTE(SUBSTITUTE(SUBSTITUTE(SUBSTITUTE(SUBSTITUTE(SUBSTITUTE(SUBSTITUTE(SUBSTITUTE(UPPER(TRIM($DX30)),"0",""),"1",""),"2",""),"3",""),"4",""),"5",""),"6",""),"7",""),"8",""),"9",""),".",""),"+",""),"-",""),"E","")="",LEN(SUBSTITUTE(SUBSTITUTE(MID(UPPER(TRIM($DX30)),1+OR(LEFT(UPPER(TRIM($DX30)),1)="+",LEFT(UPPER(TRIM($DX30)),1)="-"),999),"E+","E"),"E-","E"))=LEN(SUBSTITUTE(SUBSTITUTE(SUBSTITUTE(SUBSTITUTE(MID(UPPER(TRIM($DX30)),1+OR(LEFT(UPPER(TRIM($DX30)),1)="+",LEFT(UPPER(TRIM($DX30)),1)="-"),999),"E+","E"),"E-","E"),"+",""),"-","")),LEN(UPPER(TRIM($DX30)))-LEN(SUBSTITUTE(UPPER(TRIM($DX30)),"E",""))&lt;2,LEN(UPPER(TRIM($DX30)))-LEN(SUBSTITUTE(UPPER(TRIM($DX30)),".",""))&lt;2,IFERROR(FIND(".",UPPER(TRIM($DX30))),0)&lt;IFERROR(FIND("E",UPPER(TRIM($DX30))),999)),ISNUMBER(VALUE(TRIM($DX30)))),VALUE(TRIM($DX30)),"")))),""))</f>
        <v/>
      </c>
      <c r="DZ30">
        <f>IF($DM30=0,"",IF($L$17=0,"",IFERROR(IF(ISNUMBER(INDEX(PASTE_ALL,$DF30,$L$17)),INDEX(PASTE_ALL,$DF30,$L$17),SUBSTITUTE(SUBSTITUTE(TRIM(SUBSTITUTE(SUBSTITUTE(SUBSTITUTE(SUBSTITUTE(INDEX(PASTE_ALL,$DF30,$L$17)," "," "),CHAR(9)," "),CHAR(10)," "),CHAR(13)," ")),",",""),"%","")),"")))</f>
        <v/>
      </c>
      <c r="EA30">
        <f>IF($DM30=0,"",IFERROR(IF(ISNUMBER($DZ30),$DZ30,IF($DZ30="","",IF(TRIM($DZ30)="",0,IF(AND(AND(SUBSTITUTE(SUBSTITUTE(SUBSTITUTE(SUBSTITUTE(SUBSTITUTE(SUBSTITUTE(SUBSTITUTE(SUBSTITUTE(SUBSTITUTE(SUBSTITUTE(SUBSTITUTE(SUBSTITUTE(SUBSTITUTE(SUBSTITUTE(UPPER(TRIM($DZ30)),"0",""),"1",""),"2",""),"3",""),"4",""),"5",""),"6",""),"7",""),"8",""),"9",""),".",""),"+",""),"-",""),"E","")="",LEN(SUBSTITUTE(SUBSTITUTE(MID(UPPER(TRIM($DZ30)),1+OR(LEFT(UPPER(TRIM($DZ30)),1)="+",LEFT(UPPER(TRIM($DZ30)),1)="-"),999),"E+","E"),"E-","E"))=LEN(SUBSTITUTE(SUBSTITUTE(SUBSTITUTE(SUBSTITUTE(MID(UPPER(TRIM($DZ30)),1+OR(LEFT(UPPER(TRIM($DZ30)),1)="+",LEFT(UPPER(TRIM($DZ30)),1)="-"),999),"E+","E"),"E-","E"),"+",""),"-","")),LEN(UPPER(TRIM($DZ30)))-LEN(SUBSTITUTE(UPPER(TRIM($DZ30)),"E",""))&lt;2,LEN(UPPER(TRIM($DZ30)))-LEN(SUBSTITUTE(UPPER(TRIM($DZ30)),".",""))&lt;2,IFERROR(FIND(".",UPPER(TRIM($DZ30))),0)&lt;IFERROR(FIND("E",UPPER(TRIM($DZ30))),999)),ISNUMBER(VALUE(TRIM($DZ30)))),VALUE(TRIM($DZ30)),"")))),""))</f>
        <v/>
      </c>
      <c r="EB30">
        <f>IF($DM30=0,"",IF($L$18=0,"",IFERROR(IF(UPPER(TRIM(SUBSTITUTE(SUBSTITUTE(SUBSTITUTE(SUBSTITUTE(INDEX(PASTE_ALL,$DF30,$L$18)," "," "),CHAR(9)," "),CHAR(10)," "),CHAR(13)," ")))="READY","Ready",IF(UPPER(TRIM(SUBSTITUTE(SUBSTITUTE(SUBSTITUTE(SUBSTITUTE(INDEX(PASTE_ALL,$DF30,$L$18)," "," "),CHAR(9)," "),CHAR(10)," "),CHAR(13)," ")))="PM","PM",IF(OR(UPPER(TRIM(SUBSTITUTE(SUBSTITUTE(SUBSTITUTE(SUBSTITUTE(INDEX(PASTE_ALL,$DF30,$L$18)," "," "),CHAR(9)," "),CHAR(10)," "),CHAR(13)," ")))="OT",UPPER(TRIM(SUBSTITUTE(SUBSTITUTE(SUBSTITUTE(SUBSTITUTE(INDEX(PASTE_ALL,$DF30,$L$18)," "," "),CHAR(9)," "),CHAR(10)," "),CHAR(13)," ")))="OVERTIME",UPPER(TRIM(SUBSTITUTE(SUBSTITUTE(SUBSTITUTE(SUBSTITUTE(INDEX(PASTE_ALL,$DF30,$L$18)," "," "),CHAR(9)," "),CHAR(10)," "),CHAR(13)," ")))="TRIAL"),"OT",TRIM(SUBSTITUTE(SUBSTITUTE(SUBSTITUTE(SUBSTITUTE(INDEX(PASTE_ALL,$DF30,$L$18)," "," "),CHAR(9)," "),CHAR(10)," "),CHAR(13)," "))))),"")))</f>
        <v/>
      </c>
      <c r="EC30">
        <f>IF($DM30=0,"",IF($L$19=0,"",IFERROR(IF(ISNUMBER(INDEX(PASTE_ALL,$DF30,$L$19)),INDEX(PASTE_ALL,$DF30,$L$19),TRIM(SUBSTITUTE(SUBSTITUTE(SUBSTITUTE(SUBSTITUTE(INDEX(PASTE_ALL,$DF30,$L$19)," "," "),CHAR(9)," "),CHAR(10)," "),CHAR(13)," "))),"")))</f>
        <v/>
      </c>
      <c r="ED30">
        <f>IF($DM30=0,"",MATCH(1,INDEX(EXACT($DH$5:DH30,$DH30)*$DM$5:DM30,0),0))</f>
        <v/>
      </c>
      <c r="EE30">
        <f>IF($DM30=0,0,IF($ED30=$DE30,1,0))</f>
        <v/>
      </c>
      <c r="EF30">
        <f>EF29+$EE30</f>
        <v/>
      </c>
      <c r="EG30">
        <f>IF($DM30=0,"",INDEX($EF$5:$EF$1003,$ED30))</f>
        <v/>
      </c>
      <c r="EH30">
        <f>IF($DM30=0,"",IF($DO30&lt;&gt;"","",IFERROR(LOOKUP(2,1/(($EG$4:EG29=$EG30)*($DO$4:DO29&lt;&gt;"")),$DO$4:DO29),"")))</f>
        <v/>
      </c>
      <c r="EI30">
        <f>IF($DM30=0,"",IF($DO30&lt;&gt;"",$DO30,$EH30))</f>
        <v/>
      </c>
      <c r="EJ30">
        <f>IF($DM30=0,"",IF($EI30="",0,IF(OR(ISNUMBER($EI30),AND(AND(SUBSTITUTE(SUBSTITUTE(SUBSTITUTE(SUBSTITUTE(SUBSTITUTE(SUBSTITUTE(SUBSTITUTE(SUBSTITUTE(SUBSTITUTE(SUBSTITUTE(SUBSTITUTE(SUBSTITUTE(SUBSTITUTE(SUBSTITUTE(UPPER($EI30),"0",""),"1",""),"2",""),"3",""),"4",""),"5",""),"6",""),"7",""),"8",""),"9",""),".",""),"+",""),"-",""),"E","")="",LEN(SUBSTITUTE(SUBSTITUTE(MID(UPPER($EI30),1+OR(LEFT(UPPER($EI30),1)="+",LEFT(UPPER($EI30),1)="-"),999),"E+","E"),"E-","E"))=LEN(SUBSTITUTE(SUBSTITUTE(SUBSTITUTE(SUBSTITUTE(MID(UPPER($EI30),1+OR(LEFT(UPPER($EI30),1)="+",LEFT(UPPER($EI30),1)="-"),999),"E+","E"),"E-","E"),"+",""),"-","")),LEN(UPPER($EI30))-LEN(SUBSTITUTE(UPPER($EI30),"E",""))&lt;2,LEN(UPPER($EI30))-LEN(SUBSTITUTE(UPPER($EI30),".",""))&lt;2,IFERROR(FIND(".",UPPER($EI30)),0)&lt;IFERROR(FIND("E",UPPER($EI30)),999)),ISNUMBER(VALUE($EI30)))),1,2)))</f>
        <v/>
      </c>
      <c r="EK30">
        <f>IF($DM30=0,"",IF($EJ30=1,IF(ISNUMBER($EI30),$EI30,VALUE($EI30)),IF($EJ30=2,$DE30,0)))</f>
        <v/>
      </c>
      <c r="EL30">
        <f>IF($DM30=0,"",COUNTIF($EG$5:$EG$1003,"&lt;"&amp;$EG30)+SUMPRODUCT(($EG$5:$EG$1003=$EG30)*(($EJ$5:$EJ$1003&lt;$EJ30)+($EJ$5:$EJ$1003=$EJ30)*(($EK$5:$EK$1003&lt;$EK30)+($EK$5:$EK$1003=$EK30)*($DE$5:$DE$1003&lt;$DE30))))+1)</f>
        <v/>
      </c>
      <c r="EM30">
        <f>IF($DM30=0,"",$EL30+$EG30-1)</f>
        <v/>
      </c>
      <c r="EN30">
        <f>IF($DM30=0,0,IFERROR(MATCH(1,INDEX(--(TRIM(SUBSTITUTE(SUBSTITUTE(SUBSTITUTE(SUBSTITUTE(LINES_NAME&amp;""," "," "),CHAR(9)," "),CHAR(10)," "),CHAR(13)," "))=$DH30),0),0),0))</f>
        <v/>
      </c>
      <c r="EO30">
        <f>IF($EN30=0,0,IF(OR(UPPER(TRIM(INDEX(LINES_SCHEDULED,$EN30)&amp;""))="YES",UPPER(TRIM(INDEX(LINES_SCHEDULED,$EN30)&amp;""))="Y",UPPER(TRIM(INDEX(LINES_SCHEDULED,$EN30)&amp;""))="X"),1,0))</f>
        <v/>
      </c>
      <c r="EP30">
        <f>IF($DM30=0,"",IF(COUNTIFS($EG$5:$EG$1003,$EG30,$EB$5:$EB$1003,"Ready")&gt;0,"READY",IF(COUNTIFS($EG$5:$EG$1003,$EG30,$EB$5:$EB$1003,"PM")&gt;0,"PM",IF(COUNTIFS($EG$5:$EG$1003,$EG30,$EB$5:$EB$1003,"OT")&gt;0,"OT",""))))</f>
        <v/>
      </c>
      <c r="EQ30">
        <f>IF($EN30=0,"",UPPER(TRIM(INDEX(LINES_STATUS,$EN30)&amp;"")))</f>
        <v/>
      </c>
      <c r="ER30">
        <f>IF($DM30=0,"",IF(OR($EQ30="READY",$EQ30="PM",$EQ30="OT"),$EQ30,$EP30))</f>
        <v/>
      </c>
      <c r="ES30">
        <f>IF($DM30=0,"",IF(AND($DV30&lt;&gt;"",UPPER($DV30)&lt;&gt;"N"),"allergen",IF(ISNUMBER(SEARCH("oil",$DQ30)),"oil",IF(OR(EXACT($DS30,"A662"),EXACT($DS30,"A624")),"bulk",""))))</f>
        <v/>
      </c>
      <c r="ET30">
        <f>IF($DM30=0,"",IF(OR($EA30="",$EA30=0),"",$EA30/100))</f>
        <v/>
      </c>
      <c r="EU30">
        <f>IF(OR($ET30="",$DY30=""),"",INT($DY30*(1-$ET30)+0.5))</f>
        <v/>
      </c>
      <c r="EW30" t="n">
        <v>26</v>
      </c>
      <c r="EX30">
        <f>IFERROR(MATCH($EW30,$EM$5:$EM$1003,0),0)</f>
        <v/>
      </c>
      <c r="EY30">
        <f>IF($EW30&gt;$B$12,"",IF($EX30&gt;0,"row","spacer"))</f>
        <v/>
      </c>
      <c r="EZ30">
        <f>IF(AND($EY30="row",$EY29&lt;&gt;"row"),1,0)</f>
        <v/>
      </c>
      <c r="FA30">
        <f>IF(AND($EY30="row",$EY31&lt;&gt;"row"),1,0)</f>
        <v/>
      </c>
      <c r="FB30">
        <f>IF($EZ30=1,IFERROR(IF(ISNUMBER(INDEX(PASTE_ALL,INDEX($DF$5:$DF$1003,$EX30),$B$37)),INDEX(PASTE_ALL,INDEX($DF$5:$DF$1003,$EX30),$B$37),INDEX($DH$5:$DH$1003,$EX30)),INDEX($DH$5:$DH$1003,$EX30)),"")</f>
        <v/>
      </c>
      <c r="FC30">
        <f>IF($EY30="row",INDEX($ER$5:$ER$1003,$EX30),"")</f>
        <v/>
      </c>
      <c r="FD30">
        <f>IF($EY30="row",INDEX($DN$5:$DN$1003,$EX30),"")</f>
        <v/>
      </c>
      <c r="FE30">
        <f>IF($EY30="row",INDEX($DO$5:$DO$1003,$EX30),"")</f>
        <v/>
      </c>
      <c r="FF30">
        <f>IF($EY30="row",INDEX($DP$5:$DP$1003,$EX30),"")</f>
        <v/>
      </c>
      <c r="FG30">
        <f>IF($EY30="row",INDEX($DQ$5:$DQ$1003,$EX30),"")</f>
        <v/>
      </c>
      <c r="FH30">
        <f>IF($EY30="row",INDEX($DR$5:$DR$1003,$EX30),"")</f>
        <v/>
      </c>
      <c r="FI30">
        <f>IF($EY30="row",INDEX($DS$5:$DS$1003,$EX30),"")</f>
        <v/>
      </c>
      <c r="FJ30">
        <f>IF($EY30="row",INDEX($DT$5:$DT$1003,$EX30),"")</f>
        <v/>
      </c>
      <c r="FK30">
        <f>IF($EY30="row",INDEX($DU$5:$DU$1003,$EX30),"")</f>
        <v/>
      </c>
      <c r="FL30">
        <f>IF($EY30="row",INDEX($DV$5:$DV$1003,$EX30),"")</f>
        <v/>
      </c>
      <c r="FM30">
        <f>IF($EY30="row",INDEX($DW$5:$DW$1003,$EX30),"")</f>
        <v/>
      </c>
      <c r="FN30">
        <f>IF($EY30="row",INDEX($DY$5:$DY$1003,$EX30),"")</f>
        <v/>
      </c>
      <c r="FO30">
        <f>IF($EY30="row",INDEX($EA$5:$EA$1003,$EX30),"")</f>
        <v/>
      </c>
      <c r="FP30">
        <f>IF($EY30="row",INDEX($EC$5:$EC$1003,$EX30),"")</f>
        <v/>
      </c>
      <c r="FQ30">
        <f>IF($EY30="row",INDEX($ET$5:$ET$1003,$EX30),"")</f>
        <v/>
      </c>
      <c r="FR30">
        <f>IF($EY30="row",INDEX($EU$5:$EU$1003,$EX30),"")</f>
        <v/>
      </c>
      <c r="FS30">
        <f>IF(AND($EY30="row",$EY29="row"),IF(OR(INDEX($DT$5:$DT$1003,$EX29)="",INDEX($DT$5:$DT$1003,$EX30)=""),"",IF(NOT(EXACT(INDEX($DT$5:$DT$1003,$EX29),INDEX($DT$5:$DT$1003,$EX30))),"S4",IF(NOT(EXACT(INDEX($DS$5:$DS$1003,$EX29),INDEX($DS$5:$DS$1003,$EX30))),"S3",IF(NOT(EXACT(INDEX($DR$5:$DR$1003,$EX29),INDEX($DR$5:$DR$1003,$EX30))),"S1 Count Change","S1")))),"")</f>
        <v/>
      </c>
      <c r="FT30">
        <f>IF($EY30="row",INDEX($ES$5:$ES$1003,$EX30),"")</f>
        <v/>
      </c>
      <c r="FU30">
        <f>IF($EY30="row",INDEX($EO$5:$EO$1003,$EX30),0)</f>
        <v/>
      </c>
      <c r="FV30">
        <f>IF($FS30="S1 Count Change",1,0)</f>
        <v/>
      </c>
      <c r="FX30" t="n">
        <v>26</v>
      </c>
      <c r="FY30">
        <f>IFERROR(MATCH($FX30,$EF$5:$EF$1003,0),0)</f>
        <v/>
      </c>
      <c r="FZ30">
        <f>IF($FY30=0,"",INDEX($DH$5:$DH$1003,$FY30))</f>
        <v/>
      </c>
      <c r="GA30">
        <f>IF($FY30=0,"",COUNTIF($EG$5:$EG$1003,$FX30))</f>
        <v/>
      </c>
      <c r="GB30">
        <f>IF($FY30=0,"",INDEX($ER$5:$ER$1003,$FY30))</f>
        <v/>
      </c>
      <c r="GC30">
        <f>IF($FY30=0,"",IF(INDEX($EO$5:$EO$1003,$FY30)=1,"Yes",""))</f>
        <v/>
      </c>
      <c r="GD30">
        <f>IF($FY30=0,"",IF(INDEX($EN$5:$EN$1003,$FY30)&gt;0,"","NOT IN YOUR LIST - type it in column A to tick it"))</f>
        <v/>
      </c>
      <c r="GE30">
        <f>IF(AND($FY30&gt;0,$GD30&lt;&gt;""),1,0)</f>
        <v/>
      </c>
      <c r="GF30">
        <f>GF29+$GE30</f>
        <v/>
      </c>
      <c r="GG30">
        <f>IFERROR(INDEX($FZ$5:$FZ$104,MATCH($FX30,$GF$5:$GF$104,0)),"")</f>
        <v/>
      </c>
    </row>
    <row r="31">
      <c r="A31" t="inlineStr">
        <is>
          <t>Capacity warnings</t>
        </is>
      </c>
      <c r="B31">
        <f>IF($B$19&gt;0," WARNING: "&amp;$B$19&amp;" more work order(s) were left out - this file holds up to 600 work orders (the first 600, in paste order).","")&amp;IF($B$20&gt;0," WARNING: there is data below row 1000 of 1. Paste Schedule - only rows 1 to 1000 are read.","")&amp;IF($B$21&gt;0," WARNING: there is data to the right of column BH on 1. Paste Schedule - only columns A to BH are read.","")&amp;IF($B$22&gt;0," WARNING: 4. Schedule has room for 700 rows (work orders plus the blank rows between lines) - the last "&amp;$B$22&amp;" row(s) are not shown.","")&amp;IF($B$23&gt;0," WARNING: "&amp;$B$11&amp;" lines found - 3. Lines can only list 100 of them.","")</f>
        <v/>
      </c>
      <c r="S31" t="n">
        <v>27</v>
      </c>
      <c r="T31" t="inlineStr">
        <is>
          <t>AA</t>
        </is>
      </c>
      <c r="V31" t="inlineStr">
        <is>
          <t>ITEMNO</t>
        </is>
      </c>
      <c r="W31" t="n">
        <v>4</v>
      </c>
      <c r="Y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 ",""),"!",""),CHAR(34),""),"#",""),"$",""),"%",""),"&amp;",""),"'",""),"(",""),")",""),"*",""),"+",""),",",""),"-",""),".",""),"/",""),":",""),";",""),"&lt;",""),"=",""),"&gt;",""),"?",""),"@",""),"[",""),"\",""),"]",""),"^",""),"_",""),"`",""),"{",""),"|",""),"}",""),"~",""),CHAR(9),""),CHAR(10),""),CHAR(13),"")," ",""),"")</f>
        <v/>
      </c>
      <c r="Z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 ",""),"!",""),CHAR(34),""),"#",""),"$",""),"%",""),"&amp;",""),"'",""),"(",""),")",""),"*",""),"+",""),",",""),"-",""),".",""),"/",""),":",""),";",""),"&lt;",""),"=",""),"&gt;",""),"?",""),"@",""),"[",""),"\",""),"]",""),"^",""),"_",""),"`",""),"{",""),"|",""),"}",""),"~",""),CHAR(9),""),CHAR(10),""),CHAR(13),"")," ",""),"")</f>
        <v/>
      </c>
      <c r="AA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 ",""),"!",""),CHAR(34),""),"#",""),"$",""),"%",""),"&amp;",""),"'",""),"(",""),")",""),"*",""),"+",""),",",""),"-",""),".",""),"/",""),":",""),";",""),"&lt;",""),"=",""),"&gt;",""),"?",""),"@",""),"[",""),"\",""),"]",""),"^",""),"_",""),"`",""),"{",""),"|",""),"}",""),"~",""),CHAR(9),""),CHAR(10),""),CHAR(13),"")," ",""),"")</f>
        <v/>
      </c>
      <c r="AB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 ",""),"!",""),CHAR(34),""),"#",""),"$",""),"%",""),"&amp;",""),"'",""),"(",""),")",""),"*",""),"+",""),",",""),"-",""),".",""),"/",""),":",""),";",""),"&lt;",""),"=",""),"&gt;",""),"?",""),"@",""),"[",""),"\",""),"]",""),"^",""),"_",""),"`",""),"{",""),"|",""),"}",""),"~",""),CHAR(9),""),CHAR(10),""),CHAR(13),"")," ",""),"")</f>
        <v/>
      </c>
      <c r="AC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 ",""),"!",""),CHAR(34),""),"#",""),"$",""),"%",""),"&amp;",""),"'",""),"(",""),")",""),"*",""),"+",""),",",""),"-",""),".",""),"/",""),":",""),";",""),"&lt;",""),"=",""),"&gt;",""),"?",""),"@",""),"[",""),"\",""),"]",""),"^",""),"_",""),"`",""),"{",""),"|",""),"}",""),"~",""),CHAR(9),""),CHAR(10),""),CHAR(13),"")," ",""),"")</f>
        <v/>
      </c>
      <c r="AD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27,6))," ",""),"!",""),CHAR(34),""),"#",""),"$",""),"%",""),"&amp;",""),"'",""),"(",""),")",""),"*",""),"+",""),",",""),"-",""),".",""),"/",""),":",""),";",""),"&lt;",""),"=",""),"&gt;",""),"?",""),"@",""),"[",""),"\",""),"]",""),"^",""),"_",""),"`",""),"{",""),"|",""),"}",""),"~",""),CHAR(9),""),CHAR(10),""),CHAR(13),"")," ",""),"")</f>
        <v/>
      </c>
      <c r="AE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27,7))," ",""),"!",""),CHAR(34),""),"#",""),"$",""),"%",""),"&amp;",""),"'",""),"(",""),")",""),"*",""),"+",""),",",""),"-",""),".",""),"/",""),":",""),";",""),"&lt;",""),"=",""),"&gt;",""),"?",""),"@",""),"[",""),"\",""),"]",""),"^",""),"_",""),"`",""),"{",""),"|",""),"}",""),"~",""),CHAR(9),""),CHAR(10),""),CHAR(13),"")," ",""),"")</f>
        <v/>
      </c>
      <c r="AF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27,8))," ",""),"!",""),CHAR(34),""),"#",""),"$",""),"%",""),"&amp;",""),"'",""),"(",""),")",""),"*",""),"+",""),",",""),"-",""),".",""),"/",""),":",""),";",""),"&lt;",""),"=",""),"&gt;",""),"?",""),"@",""),"[",""),"\",""),"]",""),"^",""),"_",""),"`",""),"{",""),"|",""),"}",""),"~",""),CHAR(9),""),CHAR(10),""),CHAR(13),"")," ",""),"")</f>
        <v/>
      </c>
      <c r="AG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27,9))," ",""),"!",""),CHAR(34),""),"#",""),"$",""),"%",""),"&amp;",""),"'",""),"(",""),")",""),"*",""),"+",""),",",""),"-",""),".",""),"/",""),":",""),";",""),"&lt;",""),"=",""),"&gt;",""),"?",""),"@",""),"[",""),"\",""),"]",""),"^",""),"_",""),"`",""),"{",""),"|",""),"}",""),"~",""),CHAR(9),""),CHAR(10),""),CHAR(13),"")," ",""),"")</f>
        <v/>
      </c>
      <c r="AH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27,10))," ",""),"!",""),CHAR(34),""),"#",""),"$",""),"%",""),"&amp;",""),"'",""),"(",""),")",""),"*",""),"+",""),",",""),"-",""),".",""),"/",""),":",""),";",""),"&lt;",""),"=",""),"&gt;",""),"?",""),"@",""),"[",""),"\",""),"]",""),"^",""),"_",""),"`",""),"{",""),"|",""),"}",""),"~",""),CHAR(9),""),CHAR(10),""),CHAR(13),"")," ",""),"")</f>
        <v/>
      </c>
      <c r="AI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27,11))," ",""),"!",""),CHAR(34),""),"#",""),"$",""),"%",""),"&amp;",""),"'",""),"(",""),")",""),"*",""),"+",""),",",""),"-",""),".",""),"/",""),":",""),";",""),"&lt;",""),"=",""),"&gt;",""),"?",""),"@",""),"[",""),"\",""),"]",""),"^",""),"_",""),"`",""),"{",""),"|",""),"}",""),"~",""),CHAR(9),""),CHAR(10),""),CHAR(13),"")," ",""),"")</f>
        <v/>
      </c>
      <c r="AJ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27,12))," ",""),"!",""),CHAR(34),""),"#",""),"$",""),"%",""),"&amp;",""),"'",""),"(",""),")",""),"*",""),"+",""),",",""),"-",""),".",""),"/",""),":",""),";",""),"&lt;",""),"=",""),"&gt;",""),"?",""),"@",""),"[",""),"\",""),"]",""),"^",""),"_",""),"`",""),"{",""),"|",""),"}",""),"~",""),CHAR(9),""),CHAR(10),""),CHAR(13),"")," ",""),"")</f>
        <v/>
      </c>
      <c r="AK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27,13))," ",""),"!",""),CHAR(34),""),"#",""),"$",""),"%",""),"&amp;",""),"'",""),"(",""),")",""),"*",""),"+",""),",",""),"-",""),".",""),"/",""),":",""),";",""),"&lt;",""),"=",""),"&gt;",""),"?",""),"@",""),"[",""),"\",""),"]",""),"^",""),"_",""),"`",""),"{",""),"|",""),"}",""),"~",""),CHAR(9),""),CHAR(10),""),CHAR(13),"")," ",""),"")</f>
        <v/>
      </c>
      <c r="AL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27,14))," ",""),"!",""),CHAR(34),""),"#",""),"$",""),"%",""),"&amp;",""),"'",""),"(",""),")",""),"*",""),"+",""),",",""),"-",""),".",""),"/",""),":",""),";",""),"&lt;",""),"=",""),"&gt;",""),"?",""),"@",""),"[",""),"\",""),"]",""),"^",""),"_",""),"`",""),"{",""),"|",""),"}",""),"~",""),CHAR(9),""),CHAR(10),""),CHAR(13),"")," ",""),"")</f>
        <v/>
      </c>
      <c r="AM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27,15))," ",""),"!",""),CHAR(34),""),"#",""),"$",""),"%",""),"&amp;",""),"'",""),"(",""),")",""),"*",""),"+",""),",",""),"-",""),".",""),"/",""),":",""),";",""),"&lt;",""),"=",""),"&gt;",""),"?",""),"@",""),"[",""),"\",""),"]",""),"^",""),"_",""),"`",""),"{",""),"|",""),"}",""),"~",""),CHAR(9),""),CHAR(10),""),CHAR(13),"")," ",""),"")</f>
        <v/>
      </c>
      <c r="AN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27,16))," ",""),"!",""),CHAR(34),""),"#",""),"$",""),"%",""),"&amp;",""),"'",""),"(",""),")",""),"*",""),"+",""),",",""),"-",""),".",""),"/",""),":",""),";",""),"&lt;",""),"=",""),"&gt;",""),"?",""),"@",""),"[",""),"\",""),"]",""),"^",""),"_",""),"`",""),"{",""),"|",""),"}",""),"~",""),CHAR(9),""),CHAR(10),""),CHAR(13),"")," ",""),"")</f>
        <v/>
      </c>
      <c r="AO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27,17))," ",""),"!",""),CHAR(34),""),"#",""),"$",""),"%",""),"&amp;",""),"'",""),"(",""),")",""),"*",""),"+",""),",",""),"-",""),".",""),"/",""),":",""),";",""),"&lt;",""),"=",""),"&gt;",""),"?",""),"@",""),"[",""),"\",""),"]",""),"^",""),"_",""),"`",""),"{",""),"|",""),"}",""),"~",""),CHAR(9),""),CHAR(10),""),CHAR(13),"")," ",""),"")</f>
        <v/>
      </c>
      <c r="AP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27,18))," ",""),"!",""),CHAR(34),""),"#",""),"$",""),"%",""),"&amp;",""),"'",""),"(",""),")",""),"*",""),"+",""),",",""),"-",""),".",""),"/",""),":",""),";",""),"&lt;",""),"=",""),"&gt;",""),"?",""),"@",""),"[",""),"\",""),"]",""),"^",""),"_",""),"`",""),"{",""),"|",""),"}",""),"~",""),CHAR(9),""),CHAR(10),""),CHAR(13),"")," ",""),"")</f>
        <v/>
      </c>
      <c r="AQ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27,19))," ",""),"!",""),CHAR(34),""),"#",""),"$",""),"%",""),"&amp;",""),"'",""),"(",""),")",""),"*",""),"+",""),",",""),"-",""),".",""),"/",""),":",""),";",""),"&lt;",""),"=",""),"&gt;",""),"?",""),"@",""),"[",""),"\",""),"]",""),"^",""),"_",""),"`",""),"{",""),"|",""),"}",""),"~",""),CHAR(9),""),CHAR(10),""),CHAR(13),"")," ",""),"")</f>
        <v/>
      </c>
      <c r="AR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27,20))," ",""),"!",""),CHAR(34),""),"#",""),"$",""),"%",""),"&amp;",""),"'",""),"(",""),")",""),"*",""),"+",""),",",""),"-",""),".",""),"/",""),":",""),";",""),"&lt;",""),"=",""),"&gt;",""),"?",""),"@",""),"[",""),"\",""),"]",""),"^",""),"_",""),"`",""),"{",""),"|",""),"}",""),"~",""),CHAR(9),""),CHAR(10),""),CHAR(13),"")," ",""),"")</f>
        <v/>
      </c>
      <c r="AS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27,21))," ",""),"!",""),CHAR(34),""),"#",""),"$",""),"%",""),"&amp;",""),"'",""),"(",""),")",""),"*",""),"+",""),",",""),"-",""),".",""),"/",""),":",""),";",""),"&lt;",""),"=",""),"&gt;",""),"?",""),"@",""),"[",""),"\",""),"]",""),"^",""),"_",""),"`",""),"{",""),"|",""),"}",""),"~",""),CHAR(9),""),CHAR(10),""),CHAR(13),"")," ",""),"")</f>
        <v/>
      </c>
      <c r="AT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27,22))," ",""),"!",""),CHAR(34),""),"#",""),"$",""),"%",""),"&amp;",""),"'",""),"(",""),")",""),"*",""),"+",""),",",""),"-",""),".",""),"/",""),":",""),";",""),"&lt;",""),"=",""),"&gt;",""),"?",""),"@",""),"[",""),"\",""),"]",""),"^",""),"_",""),"`",""),"{",""),"|",""),"}",""),"~",""),CHAR(9),""),CHAR(10),""),CHAR(13),"")," ",""),"")</f>
        <v/>
      </c>
      <c r="AU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27,23))," ",""),"!",""),CHAR(34),""),"#",""),"$",""),"%",""),"&amp;",""),"'",""),"(",""),")",""),"*",""),"+",""),",",""),"-",""),".",""),"/",""),":",""),";",""),"&lt;",""),"=",""),"&gt;",""),"?",""),"@",""),"[",""),"\",""),"]",""),"^",""),"_",""),"`",""),"{",""),"|",""),"}",""),"~",""),CHAR(9),""),CHAR(10),""),CHAR(13),"")," ",""),"")</f>
        <v/>
      </c>
      <c r="AV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27,24))," ",""),"!",""),CHAR(34),""),"#",""),"$",""),"%",""),"&amp;",""),"'",""),"(",""),")",""),"*",""),"+",""),",",""),"-",""),".",""),"/",""),":",""),";",""),"&lt;",""),"=",""),"&gt;",""),"?",""),"@",""),"[",""),"\",""),"]",""),"^",""),"_",""),"`",""),"{",""),"|",""),"}",""),"~",""),CHAR(9),""),CHAR(10),""),CHAR(13),"")," ",""),"")</f>
        <v/>
      </c>
      <c r="AW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27,25))," ",""),"!",""),CHAR(34),""),"#",""),"$",""),"%",""),"&amp;",""),"'",""),"(",""),")",""),"*",""),"+",""),",",""),"-",""),".",""),"/",""),":",""),";",""),"&lt;",""),"=",""),"&gt;",""),"?",""),"@",""),"[",""),"\",""),"]",""),"^",""),"_",""),"`",""),"{",""),"|",""),"}",""),"~",""),CHAR(9),""),CHAR(10),""),CHAR(13),"")," ",""),"")</f>
        <v/>
      </c>
      <c r="AX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27,26))," ",""),"!",""),CHAR(34),""),"#",""),"$",""),"%",""),"&amp;",""),"'",""),"(",""),")",""),"*",""),"+",""),",",""),"-",""),".",""),"/",""),":",""),";",""),"&lt;",""),"=",""),"&gt;",""),"?",""),"@",""),"[",""),"\",""),"]",""),"^",""),"_",""),"`",""),"{",""),"|",""),"}",""),"~",""),CHAR(9),""),CHAR(10),""),CHAR(13),"")," ",""),"")</f>
        <v/>
      </c>
      <c r="AY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27,27))," ",""),"!",""),CHAR(34),""),"#",""),"$",""),"%",""),"&amp;",""),"'",""),"(",""),")",""),"*",""),"+",""),",",""),"-",""),".",""),"/",""),":",""),";",""),"&lt;",""),"=",""),"&gt;",""),"?",""),"@",""),"[",""),"\",""),"]",""),"^",""),"_",""),"`",""),"{",""),"|",""),"}",""),"~",""),CHAR(9),""),CHAR(10),""),CHAR(13),"")," ",""),"")</f>
        <v/>
      </c>
      <c r="AZ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27,28))," ",""),"!",""),CHAR(34),""),"#",""),"$",""),"%",""),"&amp;",""),"'",""),"(",""),")",""),"*",""),"+",""),",",""),"-",""),".",""),"/",""),":",""),";",""),"&lt;",""),"=",""),"&gt;",""),"?",""),"@",""),"[",""),"\",""),"]",""),"^",""),"_",""),"`",""),"{",""),"|",""),"}",""),"~",""),CHAR(9),""),CHAR(10),""),CHAR(13),"")," ",""),"")</f>
        <v/>
      </c>
      <c r="BA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27,29))," ",""),"!",""),CHAR(34),""),"#",""),"$",""),"%",""),"&amp;",""),"'",""),"(",""),")",""),"*",""),"+",""),",",""),"-",""),".",""),"/",""),":",""),";",""),"&lt;",""),"=",""),"&gt;",""),"?",""),"@",""),"[",""),"\",""),"]",""),"^",""),"_",""),"`",""),"{",""),"|",""),"}",""),"~",""),CHAR(9),""),CHAR(10),""),CHAR(13),"")," ",""),"")</f>
        <v/>
      </c>
      <c r="BB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27,30))," ",""),"!",""),CHAR(34),""),"#",""),"$",""),"%",""),"&amp;",""),"'",""),"(",""),")",""),"*",""),"+",""),",",""),"-",""),".",""),"/",""),":",""),";",""),"&lt;",""),"=",""),"&gt;",""),"?",""),"@",""),"[",""),"\",""),"]",""),"^",""),"_",""),"`",""),"{",""),"|",""),"}",""),"~",""),CHAR(9),""),CHAR(10),""),CHAR(13),"")," ",""),"")</f>
        <v/>
      </c>
      <c r="BC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27,31))," ",""),"!",""),CHAR(34),""),"#",""),"$",""),"%",""),"&amp;",""),"'",""),"(",""),")",""),"*",""),"+",""),",",""),"-",""),".",""),"/",""),":",""),";",""),"&lt;",""),"=",""),"&gt;",""),"?",""),"@",""),"[",""),"\",""),"]",""),"^",""),"_",""),"`",""),"{",""),"|",""),"}",""),"~",""),CHAR(9),""),CHAR(10),""),CHAR(13),"")," ",""),"")</f>
        <v/>
      </c>
      <c r="BD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27,32))," ",""),"!",""),CHAR(34),""),"#",""),"$",""),"%",""),"&amp;",""),"'",""),"(",""),")",""),"*",""),"+",""),",",""),"-",""),".",""),"/",""),":",""),";",""),"&lt;",""),"=",""),"&gt;",""),"?",""),"@",""),"[",""),"\",""),"]",""),"^",""),"_",""),"`",""),"{",""),"|",""),"}",""),"~",""),CHAR(9),""),CHAR(10),""),CHAR(13),"")," ",""),"")</f>
        <v/>
      </c>
      <c r="BE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27,33))," ",""),"!",""),CHAR(34),""),"#",""),"$",""),"%",""),"&amp;",""),"'",""),"(",""),")",""),"*",""),"+",""),",",""),"-",""),".",""),"/",""),":",""),";",""),"&lt;",""),"=",""),"&gt;",""),"?",""),"@",""),"[",""),"\",""),"]",""),"^",""),"_",""),"`",""),"{",""),"|",""),"}",""),"~",""),CHAR(9),""),CHAR(10),""),CHAR(13),"")," ",""),"")</f>
        <v/>
      </c>
      <c r="BF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27,34))," ",""),"!",""),CHAR(34),""),"#",""),"$",""),"%",""),"&amp;",""),"'",""),"(",""),")",""),"*",""),"+",""),",",""),"-",""),".",""),"/",""),":",""),";",""),"&lt;",""),"=",""),"&gt;",""),"?",""),"@",""),"[",""),"\",""),"]",""),"^",""),"_",""),"`",""),"{",""),"|",""),"}",""),"~",""),CHAR(9),""),CHAR(10),""),CHAR(13),"")," ",""),"")</f>
        <v/>
      </c>
      <c r="BG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27,35))," ",""),"!",""),CHAR(34),""),"#",""),"$",""),"%",""),"&amp;",""),"'",""),"(",""),")",""),"*",""),"+",""),",",""),"-",""),".",""),"/",""),":",""),";",""),"&lt;",""),"=",""),"&gt;",""),"?",""),"@",""),"[",""),"\",""),"]",""),"^",""),"_",""),"`",""),"{",""),"|",""),"}",""),"~",""),CHAR(9),""),CHAR(10),""),CHAR(13),"")," ",""),"")</f>
        <v/>
      </c>
      <c r="BH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27,36))," ",""),"!",""),CHAR(34),""),"#",""),"$",""),"%",""),"&amp;",""),"'",""),"(",""),")",""),"*",""),"+",""),",",""),"-",""),".",""),"/",""),":",""),";",""),"&lt;",""),"=",""),"&gt;",""),"?",""),"@",""),"[",""),"\",""),"]",""),"^",""),"_",""),"`",""),"{",""),"|",""),"}",""),"~",""),CHAR(9),""),CHAR(10),""),CHAR(13),"")," ",""),"")</f>
        <v/>
      </c>
      <c r="BI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27,37))," ",""),"!",""),CHAR(34),""),"#",""),"$",""),"%",""),"&amp;",""),"'",""),"(",""),")",""),"*",""),"+",""),",",""),"-",""),".",""),"/",""),":",""),";",""),"&lt;",""),"=",""),"&gt;",""),"?",""),"@",""),"[",""),"\",""),"]",""),"^",""),"_",""),"`",""),"{",""),"|",""),"}",""),"~",""),CHAR(9),""),CHAR(10),""),CHAR(13),"")," ",""),"")</f>
        <v/>
      </c>
      <c r="BJ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27,38))," ",""),"!",""),CHAR(34),""),"#",""),"$",""),"%",""),"&amp;",""),"'",""),"(",""),")",""),"*",""),"+",""),",",""),"-",""),".",""),"/",""),":",""),";",""),"&lt;",""),"=",""),"&gt;",""),"?",""),"@",""),"[",""),"\",""),"]",""),"^",""),"_",""),"`",""),"{",""),"|",""),"}",""),"~",""),CHAR(9),""),CHAR(10),""),CHAR(13),"")," ",""),"")</f>
        <v/>
      </c>
      <c r="BK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27,39))," ",""),"!",""),CHAR(34),""),"#",""),"$",""),"%",""),"&amp;",""),"'",""),"(",""),")",""),"*",""),"+",""),",",""),"-",""),".",""),"/",""),":",""),";",""),"&lt;",""),"=",""),"&gt;",""),"?",""),"@",""),"[",""),"\",""),"]",""),"^",""),"_",""),"`",""),"{",""),"|",""),"}",""),"~",""),CHAR(9),""),CHAR(10),""),CHAR(13),"")," ",""),"")</f>
        <v/>
      </c>
      <c r="BL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27,40))," ",""),"!",""),CHAR(34),""),"#",""),"$",""),"%",""),"&amp;",""),"'",""),"(",""),")",""),"*",""),"+",""),",",""),"-",""),".",""),"/",""),":",""),";",""),"&lt;",""),"=",""),"&gt;",""),"?",""),"@",""),"[",""),"\",""),"]",""),"^",""),"_",""),"`",""),"{",""),"|",""),"}",""),"~",""),CHAR(9),""),CHAR(10),""),CHAR(13),"")," ",""),"")</f>
        <v/>
      </c>
      <c r="BM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27,41))," ",""),"!",""),CHAR(34),""),"#",""),"$",""),"%",""),"&amp;",""),"'",""),"(",""),")",""),"*",""),"+",""),",",""),"-",""),".",""),"/",""),":",""),";",""),"&lt;",""),"=",""),"&gt;",""),"?",""),"@",""),"[",""),"\",""),"]",""),"^",""),"_",""),"`",""),"{",""),"|",""),"}",""),"~",""),CHAR(9),""),CHAR(10),""),CHAR(13),"")," ",""),"")</f>
        <v/>
      </c>
      <c r="BN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27,42))," ",""),"!",""),CHAR(34),""),"#",""),"$",""),"%",""),"&amp;",""),"'",""),"(",""),")",""),"*",""),"+",""),",",""),"-",""),".",""),"/",""),":",""),";",""),"&lt;",""),"=",""),"&gt;",""),"?",""),"@",""),"[",""),"\",""),"]",""),"^",""),"_",""),"`",""),"{",""),"|",""),"}",""),"~",""),CHAR(9),""),CHAR(10),""),CHAR(13),"")," ",""),"")</f>
        <v/>
      </c>
      <c r="BO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27,43))," ",""),"!",""),CHAR(34),""),"#",""),"$",""),"%",""),"&amp;",""),"'",""),"(",""),")",""),"*",""),"+",""),",",""),"-",""),".",""),"/",""),":",""),";",""),"&lt;",""),"=",""),"&gt;",""),"?",""),"@",""),"[",""),"\",""),"]",""),"^",""),"_",""),"`",""),"{",""),"|",""),"}",""),"~",""),CHAR(9),""),CHAR(10),""),CHAR(13),"")," ",""),"")</f>
        <v/>
      </c>
      <c r="BP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27,44))," ",""),"!",""),CHAR(34),""),"#",""),"$",""),"%",""),"&amp;",""),"'",""),"(",""),")",""),"*",""),"+",""),",",""),"-",""),".",""),"/",""),":",""),";",""),"&lt;",""),"=",""),"&gt;",""),"?",""),"@",""),"[",""),"\",""),"]",""),"^",""),"_",""),"`",""),"{",""),"|",""),"}",""),"~",""),CHAR(9),""),CHAR(10),""),CHAR(13),"")," ",""),"")</f>
        <v/>
      </c>
      <c r="BQ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27,45))," ",""),"!",""),CHAR(34),""),"#",""),"$",""),"%",""),"&amp;",""),"'",""),"(",""),")",""),"*",""),"+",""),",",""),"-",""),".",""),"/",""),":",""),";",""),"&lt;",""),"=",""),"&gt;",""),"?",""),"@",""),"[",""),"\",""),"]",""),"^",""),"_",""),"`",""),"{",""),"|",""),"}",""),"~",""),CHAR(9),""),CHAR(10),""),CHAR(13),"")," ",""),"")</f>
        <v/>
      </c>
      <c r="BR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27,46))," ",""),"!",""),CHAR(34),""),"#",""),"$",""),"%",""),"&amp;",""),"'",""),"(",""),")",""),"*",""),"+",""),",",""),"-",""),".",""),"/",""),":",""),";",""),"&lt;",""),"=",""),"&gt;",""),"?",""),"@",""),"[",""),"\",""),"]",""),"^",""),"_",""),"`",""),"{",""),"|",""),"}",""),"~",""),CHAR(9),""),CHAR(10),""),CHAR(13),"")," ",""),"")</f>
        <v/>
      </c>
      <c r="BS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27,47))," ",""),"!",""),CHAR(34),""),"#",""),"$",""),"%",""),"&amp;",""),"'",""),"(",""),")",""),"*",""),"+",""),",",""),"-",""),".",""),"/",""),":",""),";",""),"&lt;",""),"=",""),"&gt;",""),"?",""),"@",""),"[",""),"\",""),"]",""),"^",""),"_",""),"`",""),"{",""),"|",""),"}",""),"~",""),CHAR(9),""),CHAR(10),""),CHAR(13),"")," ",""),"")</f>
        <v/>
      </c>
      <c r="BT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27,48))," ",""),"!",""),CHAR(34),""),"#",""),"$",""),"%",""),"&amp;",""),"'",""),"(",""),")",""),"*",""),"+",""),",",""),"-",""),".",""),"/",""),":",""),";",""),"&lt;",""),"=",""),"&gt;",""),"?",""),"@",""),"[",""),"\",""),"]",""),"^",""),"_",""),"`",""),"{",""),"|",""),"}",""),"~",""),CHAR(9),""),CHAR(10),""),CHAR(13),"")," ",""),"")</f>
        <v/>
      </c>
      <c r="BU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27,49))," ",""),"!",""),CHAR(34),""),"#",""),"$",""),"%",""),"&amp;",""),"'",""),"(",""),")",""),"*",""),"+",""),",",""),"-",""),".",""),"/",""),":",""),";",""),"&lt;",""),"=",""),"&gt;",""),"?",""),"@",""),"[",""),"\",""),"]",""),"^",""),"_",""),"`",""),"{",""),"|",""),"}",""),"~",""),CHAR(9),""),CHAR(10),""),CHAR(13),"")," ",""),"")</f>
        <v/>
      </c>
      <c r="BV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27,50))," ",""),"!",""),CHAR(34),""),"#",""),"$",""),"%",""),"&amp;",""),"'",""),"(",""),")",""),"*",""),"+",""),",",""),"-",""),".",""),"/",""),":",""),";",""),"&lt;",""),"=",""),"&gt;",""),"?",""),"@",""),"[",""),"\",""),"]",""),"^",""),"_",""),"`",""),"{",""),"|",""),"}",""),"~",""),CHAR(9),""),CHAR(10),""),CHAR(13),"")," ",""),"")</f>
        <v/>
      </c>
      <c r="BW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27,51))," ",""),"!",""),CHAR(34),""),"#",""),"$",""),"%",""),"&amp;",""),"'",""),"(",""),")",""),"*",""),"+",""),",",""),"-",""),".",""),"/",""),":",""),";",""),"&lt;",""),"=",""),"&gt;",""),"?",""),"@",""),"[",""),"\",""),"]",""),"^",""),"_",""),"`",""),"{",""),"|",""),"}",""),"~",""),CHAR(9),""),CHAR(10),""),CHAR(13),"")," ",""),"")</f>
        <v/>
      </c>
      <c r="BX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27,52))," ",""),"!",""),CHAR(34),""),"#",""),"$",""),"%",""),"&amp;",""),"'",""),"(",""),")",""),"*",""),"+",""),",",""),"-",""),".",""),"/",""),":",""),";",""),"&lt;",""),"=",""),"&gt;",""),"?",""),"@",""),"[",""),"\",""),"]",""),"^",""),"_",""),"`",""),"{",""),"|",""),"}",""),"~",""),CHAR(9),""),CHAR(10),""),CHAR(13),"")," ",""),"")</f>
        <v/>
      </c>
      <c r="BY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27,53))," ",""),"!",""),CHAR(34),""),"#",""),"$",""),"%",""),"&amp;",""),"'",""),"(",""),")",""),"*",""),"+",""),",",""),"-",""),".",""),"/",""),":",""),";",""),"&lt;",""),"=",""),"&gt;",""),"?",""),"@",""),"[",""),"\",""),"]",""),"^",""),"_",""),"`",""),"{",""),"|",""),"}",""),"~",""),CHAR(9),""),CHAR(10),""),CHAR(13),"")," ",""),"")</f>
        <v/>
      </c>
      <c r="BZ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27,54))," ",""),"!",""),CHAR(34),""),"#",""),"$",""),"%",""),"&amp;",""),"'",""),"(",""),")",""),"*",""),"+",""),",",""),"-",""),".",""),"/",""),":",""),";",""),"&lt;",""),"=",""),"&gt;",""),"?",""),"@",""),"[",""),"\",""),"]",""),"^",""),"_",""),"`",""),"{",""),"|",""),"}",""),"~",""),CHAR(9),""),CHAR(10),""),CHAR(13),"")," ",""),"")</f>
        <v/>
      </c>
      <c r="CA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27,55))," ",""),"!",""),CHAR(34),""),"#",""),"$",""),"%",""),"&amp;",""),"'",""),"(",""),")",""),"*",""),"+",""),",",""),"-",""),".",""),"/",""),":",""),";",""),"&lt;",""),"=",""),"&gt;",""),"?",""),"@",""),"[",""),"\",""),"]",""),"^",""),"_",""),"`",""),"{",""),"|",""),"}",""),"~",""),CHAR(9),""),CHAR(10),""),CHAR(13),"")," ",""),"")</f>
        <v/>
      </c>
      <c r="CB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27,56))," ",""),"!",""),CHAR(34),""),"#",""),"$",""),"%",""),"&amp;",""),"'",""),"(",""),")",""),"*",""),"+",""),",",""),"-",""),".",""),"/",""),":",""),";",""),"&lt;",""),"=",""),"&gt;",""),"?",""),"@",""),"[",""),"\",""),"]",""),"^",""),"_",""),"`",""),"{",""),"|",""),"}",""),"~",""),CHAR(9),""),CHAR(10),""),CHAR(13),"")," ",""),"")</f>
        <v/>
      </c>
      <c r="CC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27,57))," ",""),"!",""),CHAR(34),""),"#",""),"$",""),"%",""),"&amp;",""),"'",""),"(",""),")",""),"*",""),"+",""),",",""),"-",""),".",""),"/",""),":",""),";",""),"&lt;",""),"=",""),"&gt;",""),"?",""),"@",""),"[",""),"\",""),"]",""),"^",""),"_",""),"`",""),"{",""),"|",""),"}",""),"~",""),CHAR(9),""),CHAR(10),""),CHAR(13),"")," ",""),"")</f>
        <v/>
      </c>
      <c r="CD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27,58))," ",""),"!",""),CHAR(34),""),"#",""),"$",""),"%",""),"&amp;",""),"'",""),"(",""),")",""),"*",""),"+",""),",",""),"-",""),".",""),"/",""),":",""),";",""),"&lt;",""),"=",""),"&gt;",""),"?",""),"@",""),"[",""),"\",""),"]",""),"^",""),"_",""),"`",""),"{",""),"|",""),"}",""),"~",""),CHAR(9),""),CHAR(10),""),CHAR(13),"")," ",""),"")</f>
        <v/>
      </c>
      <c r="CE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27,59))," ",""),"!",""),CHAR(34),""),"#",""),"$",""),"%",""),"&amp;",""),"'",""),"(",""),")",""),"*",""),"+",""),",",""),"-",""),".",""),"/",""),":",""),";",""),"&lt;",""),"=",""),"&gt;",""),"?",""),"@",""),"[",""),"\",""),"]",""),"^",""),"_",""),"`",""),"{",""),"|",""),"}",""),"~",""),CHAR(9),""),CHAR(10),""),CHAR(13),"")," ",""),"")</f>
        <v/>
      </c>
      <c r="CF3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27,60))," ",""),"!",""),CHAR(34),""),"#",""),"$",""),"%",""),"&amp;",""),"'",""),"(",""),")",""),"*",""),"+",""),",",""),"-",""),".",""),"/",""),":",""),";",""),"&lt;",""),"=",""),"&gt;",""),"?",""),"@",""),"[",""),"\",""),"]",""),"^",""),"_",""),"`",""),"{",""),"|",""),"}",""),"~",""),CHAR(9),""),CHAR(10),""),CHAR(13),"")," ",""),"")</f>
        <v/>
      </c>
      <c r="CH31">
        <f>COUNTIF($Y76:$CF76,"&gt;0")</f>
        <v/>
      </c>
      <c r="CI31">
        <f>COUNTIF($Y76:$CF76,2)</f>
        <v/>
      </c>
      <c r="CJ31">
        <f>SUMPRODUCT((COUNTIF($Y121:$CF121,{1,2,3,4,5,6,7,8,9,10,11,12,13,14,15})&gt;0)*{2,4,8,16,32,64,128,256,512,1024,2048,4096,8192,16384,32768})</f>
        <v/>
      </c>
      <c r="CK31">
        <f>CF211</f>
        <v/>
      </c>
      <c r="CL31">
        <f>SUMPRODUCT(MOD(INT(((CJ31+CK31))/{2,4,8,16,32,64,128,256,512,1024,2048,4096,8192,16384,32768}),2))</f>
        <v/>
      </c>
      <c r="CM31">
        <f>IF(CH31&lt;2,-9999,CL31+2*MOD(INT(((CJ31+CK31))/2),2)+2*MOD(INT(((CJ31+CK31))/4),2)-CI31)</f>
        <v/>
      </c>
      <c r="DA31" t="n">
        <v>27</v>
      </c>
      <c r="DB31">
        <f>IF($B$37=0,"",IFERROR(TRIM(SUBSTITUTE(SUBSTITUTE(SUBSTITUTE(SUBSTITUTE(INDEX(PASTE_ALL,27,$B$37)," "," "),CHAR(9)," "),CHAR(10)," "),CHAR(13)," ")),""))</f>
        <v/>
      </c>
      <c r="DC31">
        <f>IF(AND(27&gt;HEADER_ROW,UPPER(DB31)="LEGEND"),1,0)</f>
        <v/>
      </c>
      <c r="DE31" t="n">
        <v>27</v>
      </c>
      <c r="DF31">
        <f>HEADER_ROW+$DE31</f>
        <v/>
      </c>
      <c r="DG31">
        <f>IF(AND($DF31&lt;=1000,$DF31&lt;$B$8),1,0)</f>
        <v/>
      </c>
      <c r="DH31">
        <f>IF($DG31=1,IFERROR(INDEX($DB$5:$DB$1004,$DF31),""),"")</f>
        <v/>
      </c>
      <c r="DI31">
        <f>IF(AND($DG31=1,$DH31&lt;&gt;""),IFERROR(SUBSTITUTE(SUBSTITUTE(TRIM(SUBSTITUTE(SUBSTITUTE(SUBSTITUTE(SUBSTITUTE(IFERROR(INDEX(PASTE_ALL,$DF31,1)&amp;"","")&amp;"␟"&amp;IFERROR(INDEX(PASTE_ALL,$DF31,2)&amp;"","")&amp;"␟"&amp;IFERROR(INDEX(PASTE_ALL,$DF31,3)&amp;"","")&amp;"␟"&amp;IFERROR(INDEX(PASTE_ALL,$DF31,4)&amp;"","")&amp;"␟"&amp;IFERROR(INDEX(PASTE_ALL,$DF31,5)&amp;"","")&amp;"␟"&amp;IFERROR(INDEX(PASTE_ALL,$DF31,6)&amp;"","")&amp;"␟"&amp;IFERROR(INDEX(PASTE_ALL,$DF31,7)&amp;"","")&amp;"␟"&amp;IFERROR(INDEX(PASTE_ALL,$DF31,8)&amp;"","")&amp;"␟"&amp;IFERROR(INDEX(PASTE_ALL,$DF31,9)&amp;"","")&amp;"␟"&amp;IFERROR(INDEX(PASTE_ALL,$DF31,10)&amp;"","")&amp;"␟"&amp;IFERROR(INDEX(PASTE_ALL,$DF31,11)&amp;"","")&amp;"␟"&amp;IFERROR(INDEX(PASTE_ALL,$DF31,12)&amp;"","")&amp;"␟"&amp;IFERROR(INDEX(PASTE_ALL,$DF31,13)&amp;"","")&amp;"␟"&amp;IFERROR(INDEX(PASTE_ALL,$DF31,14)&amp;"","")&amp;"␟"&amp;IFERROR(INDEX(PASTE_ALL,$DF31,15)&amp;"","")&amp;"␟"&amp;IFERROR(INDEX(PASTE_ALL,$DF31,16)&amp;"","")&amp;"␟"&amp;IFERROR(INDEX(PASTE_ALL,$DF31,17)&amp;"","")&amp;"␟"&amp;IFERROR(INDEX(PASTE_ALL,$DF31,18)&amp;"","")&amp;"␟"&amp;IFERROR(INDEX(PASTE_ALL,$DF31,19)&amp;"","")&amp;"␟"&amp;IFERROR(INDEX(PASTE_ALL,$DF31,20)&amp;"","")&amp;"␟"&amp;IFERROR(INDEX(PASTE_ALL,$DF31,21)&amp;"","")&amp;"␟"&amp;IFERROR(INDEX(PASTE_ALL,$DF31,22)&amp;"","")&amp;"␟"&amp;IFERROR(INDEX(PASTE_ALL,$DF31,23)&amp;"","")&amp;"␟"&amp;IFERROR(INDEX(PASTE_ALL,$DF31,24)&amp;"","")&amp;"␟"&amp;IFERROR(INDEX(PASTE_ALL,$DF31,25)&amp;"","")&amp;"␟"&amp;IFERROR(INDEX(PASTE_ALL,$DF31,26)&amp;"","")&amp;"␟"&amp;IFERROR(INDEX(PASTE_ALL,$DF31,27)&amp;"","")&amp;"␟"&amp;IFERROR(INDEX(PASTE_ALL,$DF31,28)&amp;"","")&amp;"␟"&amp;IFERROR(INDEX(PASTE_ALL,$DF31,29)&amp;"","")&amp;"␟"&amp;IFERROR(INDEX(PASTE_ALL,$DF31,30)&amp;"","")&amp;"␟"&amp;IFERROR(INDEX(PASTE_ALL,$DF31,31)&amp;"","")&amp;"␟"&amp;IFERROR(INDEX(PASTE_ALL,$DF31,32)&amp;"","")&amp;"␟"&amp;IFERROR(INDEX(PASTE_ALL,$DF31,33)&amp;"","")&amp;"␟"&amp;IFERROR(INDEX(PASTE_ALL,$DF31,34)&amp;"","")&amp;"␟"&amp;IFERROR(INDEX(PASTE_ALL,$DF31,35)&amp;"","")&amp;"␟"&amp;IFERROR(INDEX(PASTE_ALL,$DF31,36)&amp;"","")&amp;"␟"&amp;IFERROR(INDEX(PASTE_ALL,$DF31,37)&amp;"","")&amp;"␟"&amp;IFERROR(INDEX(PASTE_ALL,$DF31,38)&amp;"","")&amp;"␟"&amp;IFERROR(INDEX(PASTE_ALL,$DF31,39)&amp;"","")&amp;"␟"&amp;IFERROR(INDEX(PASTE_ALL,$DF31,40)&amp;"","")&amp;"␟"&amp;IFERROR(INDEX(PASTE_ALL,$DF31,41)&amp;"","")&amp;"␟"&amp;IFERROR(INDEX(PASTE_ALL,$DF31,42)&amp;"","")&amp;"␟"&amp;IFERROR(INDEX(PASTE_ALL,$DF31,43)&amp;"","")&amp;"␟"&amp;IFERROR(INDEX(PASTE_ALL,$DF31,44)&amp;"","")&amp;"␟"&amp;IFERROR(INDEX(PASTE_ALL,$DF31,45)&amp;"","")&amp;"␟"&amp;IFERROR(INDEX(PASTE_ALL,$DF31,46)&amp;"","")&amp;"␟"&amp;IFERROR(INDEX(PASTE_ALL,$DF31,47)&amp;"","")&amp;"␟"&amp;IFERROR(INDEX(PASTE_ALL,$DF31,48)&amp;"","")&amp;"␟"&amp;IFERROR(INDEX(PASTE_ALL,$DF31,49)&amp;"","")&amp;"␟"&amp;IFERROR(INDEX(PASTE_ALL,$DF31,50)&amp;"","")&amp;"␟"&amp;IFERROR(INDEX(PASTE_ALL,$DF31,51)&amp;"","")&amp;"␟"&amp;IFERROR(INDEX(PASTE_ALL,$DF31,52)&amp;"","")&amp;"␟"&amp;IFERROR(INDEX(PASTE_ALL,$DF31,53)&amp;"","")&amp;"␟"&amp;IFERROR(INDEX(PASTE_ALL,$DF31,54)&amp;"","")&amp;"␟"&amp;IFERROR(INDEX(PASTE_ALL,$DF31,55)&amp;"","")&amp;"␟"&amp;IFERROR(INDEX(PASTE_ALL,$DF31,56)&amp;"","")&amp;"␟"&amp;IFERROR(INDEX(PASTE_ALL,$DF31,57)&amp;"","")&amp;"␟"&amp;IFERROR(INDEX(PASTE_ALL,$DF31,58)&amp;"","")&amp;"␟"&amp;IFERROR(INDEX(PASTE_ALL,$DF31,59)&amp;"","")&amp;"␟"&amp;IFERROR(INDEX(PASTE_ALL,$DF31,60)&amp;"","")," "," "),CHAR(9)," "),CHAR(10)," "),CHAR(13)," "))," ␟","␟"),"␟ ","␟"),"#"&amp;$DE31),"")</f>
        <v/>
      </c>
      <c r="DJ31">
        <f>IF($DI31="",0,IF(SUMPRODUCT(--EXACT($DI$4:DI30,$DI31))&gt;0,1,0))</f>
        <v/>
      </c>
      <c r="DK31">
        <f>IF(AND($DI31&lt;&gt;"",$DJ31=0),1,0)</f>
        <v/>
      </c>
      <c r="DL31">
        <f>DL30+$DK31</f>
        <v/>
      </c>
      <c r="DM31">
        <f>IF(AND($DK31=1,$DL31&lt;=600),1,0)</f>
        <v/>
      </c>
      <c r="DN31">
        <f>IF($DM31=0,"",IF($L$6=0,"",IFERROR(IF(ISNUMBER(INDEX(PASTE_ALL,$DF31,$L$6)),INDEX(PASTE_ALL,$DF31,$L$6),TRIM(SUBSTITUTE(SUBSTITUTE(SUBSTITUTE(SUBSTITUTE(INDEX(PASTE_ALL,$DF31,$L$6)," "," "),CHAR(9)," "),CHAR(10)," "),CHAR(13)," "))),"")))</f>
        <v/>
      </c>
      <c r="DO31">
        <f>IF($DM31=0,"",IF($L$7=0,"",IFERROR(IF(ISNUMBER(INDEX(PASTE_ALL,$DF31,$L$7)),INDEX(PASTE_ALL,$DF31,$L$7),TRIM(SUBSTITUTE(SUBSTITUTE(SUBSTITUTE(SUBSTITUTE(INDEX(PASTE_ALL,$DF31,$L$7)," "," "),CHAR(9)," "),CHAR(10)," "),CHAR(13)," "))),"")))</f>
        <v/>
      </c>
      <c r="DP31">
        <f>IF($DM31=0,"",IF($L$8=0,"",IFERROR(IF(ISNUMBER(INDEX(PASTE_ALL,$DF31,$L$8)),INDEX(PASTE_ALL,$DF31,$L$8),TRIM(SUBSTITUTE(SUBSTITUTE(SUBSTITUTE(SUBSTITUTE(INDEX(PASTE_ALL,$DF31,$L$8)," "," "),CHAR(9)," "),CHAR(10)," "),CHAR(13)," "))),"")))</f>
        <v/>
      </c>
      <c r="DQ31">
        <f>IF($DM31=0,"",IF($L$9=0,"",IFERROR(IF(ISNUMBER(INDEX(PASTE_ALL,$DF31,$L$9)),INDEX(PASTE_ALL,$DF31,$L$9),TRIM(SUBSTITUTE(SUBSTITUTE(SUBSTITUTE(SUBSTITUTE(INDEX(PASTE_ALL,$DF31,$L$9)," "," "),CHAR(9)," "),CHAR(10)," "),CHAR(13)," "))),"")))</f>
        <v/>
      </c>
      <c r="DR31">
        <f>IF($DM31=0,"",IF($L$10=0,"",IFERROR(IF(ISNUMBER(INDEX(PASTE_ALL,$DF31,$L$10)),INDEX(PASTE_ALL,$DF31,$L$10),TRIM(SUBSTITUTE(SUBSTITUTE(SUBSTITUTE(SUBSTITUTE(INDEX(PASTE_ALL,$DF31,$L$10)," "," "),CHAR(9)," "),CHAR(10)," "),CHAR(13)," "))),"")))</f>
        <v/>
      </c>
      <c r="DS31">
        <f>IF($DM31=0,"",IF($L$11=0,"",IFERROR(IF(ISNUMBER(INDEX(PASTE_ALL,$DF31,$L$11)),INDEX(PASTE_ALL,$DF31,$L$11),TRIM(SUBSTITUTE(SUBSTITUTE(SUBSTITUTE(SUBSTITUTE(INDEX(PASTE_ALL,$DF31,$L$11)," "," "),CHAR(9)," "),CHAR(10)," "),CHAR(13)," "))),"")))</f>
        <v/>
      </c>
      <c r="DT31">
        <f>IF($DM31=0,"",IF($L$12=0,"",IFERROR(IF(ISNUMBER(INDEX(PASTE_ALL,$DF31,$L$12)),INDEX(PASTE_ALL,$DF31,$L$12),TRIM(SUBSTITUTE(SUBSTITUTE(SUBSTITUTE(SUBSTITUTE(INDEX(PASTE_ALL,$DF31,$L$12)," "," "),CHAR(9)," "),CHAR(10)," "),CHAR(13)," "))),"")))</f>
        <v/>
      </c>
      <c r="DU31">
        <f>IF($DM31=0,"",IF($L$13=0,"",IFERROR(IF(ISNUMBER(INDEX(PASTE_ALL,$DF31,$L$13)),INDEX(PASTE_ALL,$DF31,$L$13),TRIM(SUBSTITUTE(SUBSTITUTE(SUBSTITUTE(SUBSTITUTE(INDEX(PASTE_ALL,$DF31,$L$13)," "," "),CHAR(9)," "),CHAR(10)," "),CHAR(13)," "))),"")))</f>
        <v/>
      </c>
      <c r="DV31">
        <f>IF($DM31=0,"",IF($L$14=0,"",IFERROR(IF(ISNUMBER(INDEX(PASTE_ALL,$DF31,$L$14)),INDEX(PASTE_ALL,$DF31,$L$14),TRIM(SUBSTITUTE(SUBSTITUTE(SUBSTITUTE(SUBSTITUTE(INDEX(PASTE_ALL,$DF31,$L$14)," "," "),CHAR(9)," "),CHAR(10)," "),CHAR(13)," "))),"")))</f>
        <v/>
      </c>
      <c r="DW31">
        <f>IF($DM31=0,"",IF($L$15=0,"",IFERROR(IF(ISNUMBER(INDEX(PASTE_ALL,$DF31,$L$15)),INDEX(PASTE_ALL,$DF31,$L$15),IF(SUMPRODUCT(--ISNUMBER(FIND({"A","B","C","D","E","F","G","H","I","J","K","L","M","N","O","P","Q","R","S","T","U","V","W","X","Y","Z","0","1","2","3","4","5","6","7","8","9"},UPPER(TRIM(SUBSTITUTE(SUBSTITUTE(SUBSTITUTE(SUBSTITUTE(INDEX(PASTE_ALL,$DF31,$L$15)," "," "),CHAR(9)," "),CHAR(10)," "),CHAR(13)," "))))))&gt;0,TRIM(SUBSTITUTE(SUBSTITUTE(SUBSTITUTE(SUBSTITUTE(INDEX(PASTE_ALL,$DF31,$L$15)," "," "),CHAR(9)," "),CHAR(10)," "),CHAR(13)," ")),"")),"")))</f>
        <v/>
      </c>
      <c r="DX31">
        <f>IF($DM31=0,"",IF($L$16=0,"",IFERROR(IF(ISNUMBER(INDEX(PASTE_ALL,$DF31,$L$16)),INDEX(PASTE_ALL,$DF31,$L$16),SUBSTITUTE(SUBSTITUTE(TRIM(SUBSTITUTE(SUBSTITUTE(SUBSTITUTE(SUBSTITUTE(INDEX(PASTE_ALL,$DF31,$L$16)," "," "),CHAR(9)," "),CHAR(10)," "),CHAR(13)," ")),",",""),"%","")),"")))</f>
        <v/>
      </c>
      <c r="DY31">
        <f>IF($DM31=0,"",IFERROR(IF(ISNUMBER($DX31),$DX31,IF($DX31="","",IF(TRIM($DX31)="",0,IF(AND(AND(SUBSTITUTE(SUBSTITUTE(SUBSTITUTE(SUBSTITUTE(SUBSTITUTE(SUBSTITUTE(SUBSTITUTE(SUBSTITUTE(SUBSTITUTE(SUBSTITUTE(SUBSTITUTE(SUBSTITUTE(SUBSTITUTE(SUBSTITUTE(UPPER(TRIM($DX31)),"0",""),"1",""),"2",""),"3",""),"4",""),"5",""),"6",""),"7",""),"8",""),"9",""),".",""),"+",""),"-",""),"E","")="",LEN(SUBSTITUTE(SUBSTITUTE(MID(UPPER(TRIM($DX31)),1+OR(LEFT(UPPER(TRIM($DX31)),1)="+",LEFT(UPPER(TRIM($DX31)),1)="-"),999),"E+","E"),"E-","E"))=LEN(SUBSTITUTE(SUBSTITUTE(SUBSTITUTE(SUBSTITUTE(MID(UPPER(TRIM($DX31)),1+OR(LEFT(UPPER(TRIM($DX31)),1)="+",LEFT(UPPER(TRIM($DX31)),1)="-"),999),"E+","E"),"E-","E"),"+",""),"-","")),LEN(UPPER(TRIM($DX31)))-LEN(SUBSTITUTE(UPPER(TRIM($DX31)),"E",""))&lt;2,LEN(UPPER(TRIM($DX31)))-LEN(SUBSTITUTE(UPPER(TRIM($DX31)),".",""))&lt;2,IFERROR(FIND(".",UPPER(TRIM($DX31))),0)&lt;IFERROR(FIND("E",UPPER(TRIM($DX31))),999)),ISNUMBER(VALUE(TRIM($DX31)))),VALUE(TRIM($DX31)),"")))),""))</f>
        <v/>
      </c>
      <c r="DZ31">
        <f>IF($DM31=0,"",IF($L$17=0,"",IFERROR(IF(ISNUMBER(INDEX(PASTE_ALL,$DF31,$L$17)),INDEX(PASTE_ALL,$DF31,$L$17),SUBSTITUTE(SUBSTITUTE(TRIM(SUBSTITUTE(SUBSTITUTE(SUBSTITUTE(SUBSTITUTE(INDEX(PASTE_ALL,$DF31,$L$17)," "," "),CHAR(9)," "),CHAR(10)," "),CHAR(13)," ")),",",""),"%","")),"")))</f>
        <v/>
      </c>
      <c r="EA31">
        <f>IF($DM31=0,"",IFERROR(IF(ISNUMBER($DZ31),$DZ31,IF($DZ31="","",IF(TRIM($DZ31)="",0,IF(AND(AND(SUBSTITUTE(SUBSTITUTE(SUBSTITUTE(SUBSTITUTE(SUBSTITUTE(SUBSTITUTE(SUBSTITUTE(SUBSTITUTE(SUBSTITUTE(SUBSTITUTE(SUBSTITUTE(SUBSTITUTE(SUBSTITUTE(SUBSTITUTE(UPPER(TRIM($DZ31)),"0",""),"1",""),"2",""),"3",""),"4",""),"5",""),"6",""),"7",""),"8",""),"9",""),".",""),"+",""),"-",""),"E","")="",LEN(SUBSTITUTE(SUBSTITUTE(MID(UPPER(TRIM($DZ31)),1+OR(LEFT(UPPER(TRIM($DZ31)),1)="+",LEFT(UPPER(TRIM($DZ31)),1)="-"),999),"E+","E"),"E-","E"))=LEN(SUBSTITUTE(SUBSTITUTE(SUBSTITUTE(SUBSTITUTE(MID(UPPER(TRIM($DZ31)),1+OR(LEFT(UPPER(TRIM($DZ31)),1)="+",LEFT(UPPER(TRIM($DZ31)),1)="-"),999),"E+","E"),"E-","E"),"+",""),"-","")),LEN(UPPER(TRIM($DZ31)))-LEN(SUBSTITUTE(UPPER(TRIM($DZ31)),"E",""))&lt;2,LEN(UPPER(TRIM($DZ31)))-LEN(SUBSTITUTE(UPPER(TRIM($DZ31)),".",""))&lt;2,IFERROR(FIND(".",UPPER(TRIM($DZ31))),0)&lt;IFERROR(FIND("E",UPPER(TRIM($DZ31))),999)),ISNUMBER(VALUE(TRIM($DZ31)))),VALUE(TRIM($DZ31)),"")))),""))</f>
        <v/>
      </c>
      <c r="EB31">
        <f>IF($DM31=0,"",IF($L$18=0,"",IFERROR(IF(UPPER(TRIM(SUBSTITUTE(SUBSTITUTE(SUBSTITUTE(SUBSTITUTE(INDEX(PASTE_ALL,$DF31,$L$18)," "," "),CHAR(9)," "),CHAR(10)," "),CHAR(13)," ")))="READY","Ready",IF(UPPER(TRIM(SUBSTITUTE(SUBSTITUTE(SUBSTITUTE(SUBSTITUTE(INDEX(PASTE_ALL,$DF31,$L$18)," "," "),CHAR(9)," "),CHAR(10)," "),CHAR(13)," ")))="PM","PM",IF(OR(UPPER(TRIM(SUBSTITUTE(SUBSTITUTE(SUBSTITUTE(SUBSTITUTE(INDEX(PASTE_ALL,$DF31,$L$18)," "," "),CHAR(9)," "),CHAR(10)," "),CHAR(13)," ")))="OT",UPPER(TRIM(SUBSTITUTE(SUBSTITUTE(SUBSTITUTE(SUBSTITUTE(INDEX(PASTE_ALL,$DF31,$L$18)," "," "),CHAR(9)," "),CHAR(10)," "),CHAR(13)," ")))="OVERTIME",UPPER(TRIM(SUBSTITUTE(SUBSTITUTE(SUBSTITUTE(SUBSTITUTE(INDEX(PASTE_ALL,$DF31,$L$18)," "," "),CHAR(9)," "),CHAR(10)," "),CHAR(13)," ")))="TRIAL"),"OT",TRIM(SUBSTITUTE(SUBSTITUTE(SUBSTITUTE(SUBSTITUTE(INDEX(PASTE_ALL,$DF31,$L$18)," "," "),CHAR(9)," "),CHAR(10)," "),CHAR(13)," "))))),"")))</f>
        <v/>
      </c>
      <c r="EC31">
        <f>IF($DM31=0,"",IF($L$19=0,"",IFERROR(IF(ISNUMBER(INDEX(PASTE_ALL,$DF31,$L$19)),INDEX(PASTE_ALL,$DF31,$L$19),TRIM(SUBSTITUTE(SUBSTITUTE(SUBSTITUTE(SUBSTITUTE(INDEX(PASTE_ALL,$DF31,$L$19)," "," "),CHAR(9)," "),CHAR(10)," "),CHAR(13)," "))),"")))</f>
        <v/>
      </c>
      <c r="ED31">
        <f>IF($DM31=0,"",MATCH(1,INDEX(EXACT($DH$5:DH31,$DH31)*$DM$5:DM31,0),0))</f>
        <v/>
      </c>
      <c r="EE31">
        <f>IF($DM31=0,0,IF($ED31=$DE31,1,0))</f>
        <v/>
      </c>
      <c r="EF31">
        <f>EF30+$EE31</f>
        <v/>
      </c>
      <c r="EG31">
        <f>IF($DM31=0,"",INDEX($EF$5:$EF$1003,$ED31))</f>
        <v/>
      </c>
      <c r="EH31">
        <f>IF($DM31=0,"",IF($DO31&lt;&gt;"","",IFERROR(LOOKUP(2,1/(($EG$4:EG30=$EG31)*($DO$4:DO30&lt;&gt;"")),$DO$4:DO30),"")))</f>
        <v/>
      </c>
      <c r="EI31">
        <f>IF($DM31=0,"",IF($DO31&lt;&gt;"",$DO31,$EH31))</f>
        <v/>
      </c>
      <c r="EJ31">
        <f>IF($DM31=0,"",IF($EI31="",0,IF(OR(ISNUMBER($EI31),AND(AND(SUBSTITUTE(SUBSTITUTE(SUBSTITUTE(SUBSTITUTE(SUBSTITUTE(SUBSTITUTE(SUBSTITUTE(SUBSTITUTE(SUBSTITUTE(SUBSTITUTE(SUBSTITUTE(SUBSTITUTE(SUBSTITUTE(SUBSTITUTE(UPPER($EI31),"0",""),"1",""),"2",""),"3",""),"4",""),"5",""),"6",""),"7",""),"8",""),"9",""),".",""),"+",""),"-",""),"E","")="",LEN(SUBSTITUTE(SUBSTITUTE(MID(UPPER($EI31),1+OR(LEFT(UPPER($EI31),1)="+",LEFT(UPPER($EI31),1)="-"),999),"E+","E"),"E-","E"))=LEN(SUBSTITUTE(SUBSTITUTE(SUBSTITUTE(SUBSTITUTE(MID(UPPER($EI31),1+OR(LEFT(UPPER($EI31),1)="+",LEFT(UPPER($EI31),1)="-"),999),"E+","E"),"E-","E"),"+",""),"-","")),LEN(UPPER($EI31))-LEN(SUBSTITUTE(UPPER($EI31),"E",""))&lt;2,LEN(UPPER($EI31))-LEN(SUBSTITUTE(UPPER($EI31),".",""))&lt;2,IFERROR(FIND(".",UPPER($EI31)),0)&lt;IFERROR(FIND("E",UPPER($EI31)),999)),ISNUMBER(VALUE($EI31)))),1,2)))</f>
        <v/>
      </c>
      <c r="EK31">
        <f>IF($DM31=0,"",IF($EJ31=1,IF(ISNUMBER($EI31),$EI31,VALUE($EI31)),IF($EJ31=2,$DE31,0)))</f>
        <v/>
      </c>
      <c r="EL31">
        <f>IF($DM31=0,"",COUNTIF($EG$5:$EG$1003,"&lt;"&amp;$EG31)+SUMPRODUCT(($EG$5:$EG$1003=$EG31)*(($EJ$5:$EJ$1003&lt;$EJ31)+($EJ$5:$EJ$1003=$EJ31)*(($EK$5:$EK$1003&lt;$EK31)+($EK$5:$EK$1003=$EK31)*($DE$5:$DE$1003&lt;$DE31))))+1)</f>
        <v/>
      </c>
      <c r="EM31">
        <f>IF($DM31=0,"",$EL31+$EG31-1)</f>
        <v/>
      </c>
      <c r="EN31">
        <f>IF($DM31=0,0,IFERROR(MATCH(1,INDEX(--(TRIM(SUBSTITUTE(SUBSTITUTE(SUBSTITUTE(SUBSTITUTE(LINES_NAME&amp;""," "," "),CHAR(9)," "),CHAR(10)," "),CHAR(13)," "))=$DH31),0),0),0))</f>
        <v/>
      </c>
      <c r="EO31">
        <f>IF($EN31=0,0,IF(OR(UPPER(TRIM(INDEX(LINES_SCHEDULED,$EN31)&amp;""))="YES",UPPER(TRIM(INDEX(LINES_SCHEDULED,$EN31)&amp;""))="Y",UPPER(TRIM(INDEX(LINES_SCHEDULED,$EN31)&amp;""))="X"),1,0))</f>
        <v/>
      </c>
      <c r="EP31">
        <f>IF($DM31=0,"",IF(COUNTIFS($EG$5:$EG$1003,$EG31,$EB$5:$EB$1003,"Ready")&gt;0,"READY",IF(COUNTIFS($EG$5:$EG$1003,$EG31,$EB$5:$EB$1003,"PM")&gt;0,"PM",IF(COUNTIFS($EG$5:$EG$1003,$EG31,$EB$5:$EB$1003,"OT")&gt;0,"OT",""))))</f>
        <v/>
      </c>
      <c r="EQ31">
        <f>IF($EN31=0,"",UPPER(TRIM(INDEX(LINES_STATUS,$EN31)&amp;"")))</f>
        <v/>
      </c>
      <c r="ER31">
        <f>IF($DM31=0,"",IF(OR($EQ31="READY",$EQ31="PM",$EQ31="OT"),$EQ31,$EP31))</f>
        <v/>
      </c>
      <c r="ES31">
        <f>IF($DM31=0,"",IF(AND($DV31&lt;&gt;"",UPPER($DV31)&lt;&gt;"N"),"allergen",IF(ISNUMBER(SEARCH("oil",$DQ31)),"oil",IF(OR(EXACT($DS31,"A662"),EXACT($DS31,"A624")),"bulk",""))))</f>
        <v/>
      </c>
      <c r="ET31">
        <f>IF($DM31=0,"",IF(OR($EA31="",$EA31=0),"",$EA31/100))</f>
        <v/>
      </c>
      <c r="EU31">
        <f>IF(OR($ET31="",$DY31=""),"",INT($DY31*(1-$ET31)+0.5))</f>
        <v/>
      </c>
      <c r="EW31" t="n">
        <v>27</v>
      </c>
      <c r="EX31">
        <f>IFERROR(MATCH($EW31,$EM$5:$EM$1003,0),0)</f>
        <v/>
      </c>
      <c r="EY31">
        <f>IF($EW31&gt;$B$12,"",IF($EX31&gt;0,"row","spacer"))</f>
        <v/>
      </c>
      <c r="EZ31">
        <f>IF(AND($EY31="row",$EY30&lt;&gt;"row"),1,0)</f>
        <v/>
      </c>
      <c r="FA31">
        <f>IF(AND($EY31="row",$EY32&lt;&gt;"row"),1,0)</f>
        <v/>
      </c>
      <c r="FB31">
        <f>IF($EZ31=1,IFERROR(IF(ISNUMBER(INDEX(PASTE_ALL,INDEX($DF$5:$DF$1003,$EX31),$B$37)),INDEX(PASTE_ALL,INDEX($DF$5:$DF$1003,$EX31),$B$37),INDEX($DH$5:$DH$1003,$EX31)),INDEX($DH$5:$DH$1003,$EX31)),"")</f>
        <v/>
      </c>
      <c r="FC31">
        <f>IF($EY31="row",INDEX($ER$5:$ER$1003,$EX31),"")</f>
        <v/>
      </c>
      <c r="FD31">
        <f>IF($EY31="row",INDEX($DN$5:$DN$1003,$EX31),"")</f>
        <v/>
      </c>
      <c r="FE31">
        <f>IF($EY31="row",INDEX($DO$5:$DO$1003,$EX31),"")</f>
        <v/>
      </c>
      <c r="FF31">
        <f>IF($EY31="row",INDEX($DP$5:$DP$1003,$EX31),"")</f>
        <v/>
      </c>
      <c r="FG31">
        <f>IF($EY31="row",INDEX($DQ$5:$DQ$1003,$EX31),"")</f>
        <v/>
      </c>
      <c r="FH31">
        <f>IF($EY31="row",INDEX($DR$5:$DR$1003,$EX31),"")</f>
        <v/>
      </c>
      <c r="FI31">
        <f>IF($EY31="row",INDEX($DS$5:$DS$1003,$EX31),"")</f>
        <v/>
      </c>
      <c r="FJ31">
        <f>IF($EY31="row",INDEX($DT$5:$DT$1003,$EX31),"")</f>
        <v/>
      </c>
      <c r="FK31">
        <f>IF($EY31="row",INDEX($DU$5:$DU$1003,$EX31),"")</f>
        <v/>
      </c>
      <c r="FL31">
        <f>IF($EY31="row",INDEX($DV$5:$DV$1003,$EX31),"")</f>
        <v/>
      </c>
      <c r="FM31">
        <f>IF($EY31="row",INDEX($DW$5:$DW$1003,$EX31),"")</f>
        <v/>
      </c>
      <c r="FN31">
        <f>IF($EY31="row",INDEX($DY$5:$DY$1003,$EX31),"")</f>
        <v/>
      </c>
      <c r="FO31">
        <f>IF($EY31="row",INDEX($EA$5:$EA$1003,$EX31),"")</f>
        <v/>
      </c>
      <c r="FP31">
        <f>IF($EY31="row",INDEX($EC$5:$EC$1003,$EX31),"")</f>
        <v/>
      </c>
      <c r="FQ31">
        <f>IF($EY31="row",INDEX($ET$5:$ET$1003,$EX31),"")</f>
        <v/>
      </c>
      <c r="FR31">
        <f>IF($EY31="row",INDEX($EU$5:$EU$1003,$EX31),"")</f>
        <v/>
      </c>
      <c r="FS31">
        <f>IF(AND($EY31="row",$EY30="row"),IF(OR(INDEX($DT$5:$DT$1003,$EX30)="",INDEX($DT$5:$DT$1003,$EX31)=""),"",IF(NOT(EXACT(INDEX($DT$5:$DT$1003,$EX30),INDEX($DT$5:$DT$1003,$EX31))),"S4",IF(NOT(EXACT(INDEX($DS$5:$DS$1003,$EX30),INDEX($DS$5:$DS$1003,$EX31))),"S3",IF(NOT(EXACT(INDEX($DR$5:$DR$1003,$EX30),INDEX($DR$5:$DR$1003,$EX31))),"S1 Count Change","S1")))),"")</f>
        <v/>
      </c>
      <c r="FT31">
        <f>IF($EY31="row",INDEX($ES$5:$ES$1003,$EX31),"")</f>
        <v/>
      </c>
      <c r="FU31">
        <f>IF($EY31="row",INDEX($EO$5:$EO$1003,$EX31),0)</f>
        <v/>
      </c>
      <c r="FV31">
        <f>IF($FS31="S1 Count Change",1,0)</f>
        <v/>
      </c>
      <c r="FX31" t="n">
        <v>27</v>
      </c>
      <c r="FY31">
        <f>IFERROR(MATCH($FX31,$EF$5:$EF$1003,0),0)</f>
        <v/>
      </c>
      <c r="FZ31">
        <f>IF($FY31=0,"",INDEX($DH$5:$DH$1003,$FY31))</f>
        <v/>
      </c>
      <c r="GA31">
        <f>IF($FY31=0,"",COUNTIF($EG$5:$EG$1003,$FX31))</f>
        <v/>
      </c>
      <c r="GB31">
        <f>IF($FY31=0,"",INDEX($ER$5:$ER$1003,$FY31))</f>
        <v/>
      </c>
      <c r="GC31">
        <f>IF($FY31=0,"",IF(INDEX($EO$5:$EO$1003,$FY31)=1,"Yes",""))</f>
        <v/>
      </c>
      <c r="GD31">
        <f>IF($FY31=0,"",IF(INDEX($EN$5:$EN$1003,$FY31)&gt;0,"","NOT IN YOUR LIST - type it in column A to tick it"))</f>
        <v/>
      </c>
      <c r="GE31">
        <f>IF(AND($FY31&gt;0,$GD31&lt;&gt;""),1,0)</f>
        <v/>
      </c>
      <c r="GF31">
        <f>GF30+$GE31</f>
        <v/>
      </c>
      <c r="GG31">
        <f>IFERROR(INDEX($FZ$5:$FZ$104,MATCH($FX31,$GF$5:$GF$104,0)),"")</f>
        <v/>
      </c>
    </row>
    <row r="32">
      <c r="A32" t="inlineStr">
        <is>
          <t>Status text</t>
        </is>
      </c>
      <c r="B32">
        <f>IF($B$26=1,"WARNING: 1. Paste Schedule is empty, so the Line and WO # columns can't be found. Paste today's file at cell A1 (How To Use, Part A).",IF(AND($B$27=1,$B$24=1),"WARNING: Can't find the row with the column titles in rows 1 to 40, so the Line column can't be found. Type the row number of the column titles in Header row override (E5) - or check that today's file was pasted at cell A1.",IF(OR($B$24=1,$B$25=1),"WARNING: "&amp;IF($B$7=1,"Header row override is set to "&amp;$B$6&amp;" (yellow box E5) - clear it if today's file is different. ","")&amp;"Can't tell which column is the "&amp;IF(AND($B$24=1,$B$25=1),"Line and the WO #",IF($B$24=1,"Line","WO #"))&amp;". In the list Your file's columns below, find that column and type its letter in the yellow Override box of "&amp;IF($B$24=1,"Line","WO #")&amp;".",IF($B$10=0,"WARNING: "&amp;IF($B$7=1,"Header row override is set to "&amp;$B$6&amp;" (yellow box E5) - clear it if today's file is different. ","")&amp;"No work orders found under the column titles. Check the Line column, or the header row.","Found "&amp;$B$10&amp;" work order"&amp;IF($B$10=1,"","s")&amp;" on "&amp;$B$11&amp;" line"&amp;IF($B$11=1,"","s")&amp;"."&amp;IF($B$28&gt;0," WARNING: row "&amp;$B$29&amp;" of 1. Paste Schedule repeats the column titles - yesterday's schedule may still be on that sheet. Clear the whole sheet and paste again (How To Use, Part A).","")&amp;$B$31&amp;IF($B$30&gt;0," (An Override is in use - see the Note column.)","")))))</f>
        <v/>
      </c>
      <c r="S32" t="n">
        <v>28</v>
      </c>
      <c r="T32" t="inlineStr">
        <is>
          <t>AB</t>
        </is>
      </c>
      <c r="V32" t="inlineStr">
        <is>
          <t>2NDITEMNUMBER</t>
        </is>
      </c>
      <c r="W32" t="n">
        <v>4</v>
      </c>
      <c r="Y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 ",""),"!",""),CHAR(34),""),"#",""),"$",""),"%",""),"&amp;",""),"'",""),"(",""),")",""),"*",""),"+",""),",",""),"-",""),".",""),"/",""),":",""),";",""),"&lt;",""),"=",""),"&gt;",""),"?",""),"@",""),"[",""),"\",""),"]",""),"^",""),"_",""),"`",""),"{",""),"|",""),"}",""),"~",""),CHAR(9),""),CHAR(10),""),CHAR(13),"")," ",""),"")</f>
        <v/>
      </c>
      <c r="Z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 ",""),"!",""),CHAR(34),""),"#",""),"$",""),"%",""),"&amp;",""),"'",""),"(",""),")",""),"*",""),"+",""),",",""),"-",""),".",""),"/",""),":",""),";",""),"&lt;",""),"=",""),"&gt;",""),"?",""),"@",""),"[",""),"\",""),"]",""),"^",""),"_",""),"`",""),"{",""),"|",""),"}",""),"~",""),CHAR(9),""),CHAR(10),""),CHAR(13),"")," ",""),"")</f>
        <v/>
      </c>
      <c r="AA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 ",""),"!",""),CHAR(34),""),"#",""),"$",""),"%",""),"&amp;",""),"'",""),"(",""),")",""),"*",""),"+",""),",",""),"-",""),".",""),"/",""),":",""),";",""),"&lt;",""),"=",""),"&gt;",""),"?",""),"@",""),"[",""),"\",""),"]",""),"^",""),"_",""),"`",""),"{",""),"|",""),"}",""),"~",""),CHAR(9),""),CHAR(10),""),CHAR(13),"")," ",""),"")</f>
        <v/>
      </c>
      <c r="AB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 ",""),"!",""),CHAR(34),""),"#",""),"$",""),"%",""),"&amp;",""),"'",""),"(",""),")",""),"*",""),"+",""),",",""),"-",""),".",""),"/",""),":",""),";",""),"&lt;",""),"=",""),"&gt;",""),"?",""),"@",""),"[",""),"\",""),"]",""),"^",""),"_",""),"`",""),"{",""),"|",""),"}",""),"~",""),CHAR(9),""),CHAR(10),""),CHAR(13),"")," ",""),"")</f>
        <v/>
      </c>
      <c r="AC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 ",""),"!",""),CHAR(34),""),"#",""),"$",""),"%",""),"&amp;",""),"'",""),"(",""),")",""),"*",""),"+",""),",",""),"-",""),".",""),"/",""),":",""),";",""),"&lt;",""),"=",""),"&gt;",""),"?",""),"@",""),"[",""),"\",""),"]",""),"^",""),"_",""),"`",""),"{",""),"|",""),"}",""),"~",""),CHAR(9),""),CHAR(10),""),CHAR(13),"")," ",""),"")</f>
        <v/>
      </c>
      <c r="AD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28,6))," ",""),"!",""),CHAR(34),""),"#",""),"$",""),"%",""),"&amp;",""),"'",""),"(",""),")",""),"*",""),"+",""),",",""),"-",""),".",""),"/",""),":",""),";",""),"&lt;",""),"=",""),"&gt;",""),"?",""),"@",""),"[",""),"\",""),"]",""),"^",""),"_",""),"`",""),"{",""),"|",""),"}",""),"~",""),CHAR(9),""),CHAR(10),""),CHAR(13),"")," ",""),"")</f>
        <v/>
      </c>
      <c r="AE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28,7))," ",""),"!",""),CHAR(34),""),"#",""),"$",""),"%",""),"&amp;",""),"'",""),"(",""),")",""),"*",""),"+",""),",",""),"-",""),".",""),"/",""),":",""),";",""),"&lt;",""),"=",""),"&gt;",""),"?",""),"@",""),"[",""),"\",""),"]",""),"^",""),"_",""),"`",""),"{",""),"|",""),"}",""),"~",""),CHAR(9),""),CHAR(10),""),CHAR(13),"")," ",""),"")</f>
        <v/>
      </c>
      <c r="AF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28,8))," ",""),"!",""),CHAR(34),""),"#",""),"$",""),"%",""),"&amp;",""),"'",""),"(",""),")",""),"*",""),"+",""),",",""),"-",""),".",""),"/",""),":",""),";",""),"&lt;",""),"=",""),"&gt;",""),"?",""),"@",""),"[",""),"\",""),"]",""),"^",""),"_",""),"`",""),"{",""),"|",""),"}",""),"~",""),CHAR(9),""),CHAR(10),""),CHAR(13),"")," ",""),"")</f>
        <v/>
      </c>
      <c r="AG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28,9))," ",""),"!",""),CHAR(34),""),"#",""),"$",""),"%",""),"&amp;",""),"'",""),"(",""),")",""),"*",""),"+",""),",",""),"-",""),".",""),"/",""),":",""),";",""),"&lt;",""),"=",""),"&gt;",""),"?",""),"@",""),"[",""),"\",""),"]",""),"^",""),"_",""),"`",""),"{",""),"|",""),"}",""),"~",""),CHAR(9),""),CHAR(10),""),CHAR(13),"")," ",""),"")</f>
        <v/>
      </c>
      <c r="AH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28,10))," ",""),"!",""),CHAR(34),""),"#",""),"$",""),"%",""),"&amp;",""),"'",""),"(",""),")",""),"*",""),"+",""),",",""),"-",""),".",""),"/",""),":",""),";",""),"&lt;",""),"=",""),"&gt;",""),"?",""),"@",""),"[",""),"\",""),"]",""),"^",""),"_",""),"`",""),"{",""),"|",""),"}",""),"~",""),CHAR(9),""),CHAR(10),""),CHAR(13),"")," ",""),"")</f>
        <v/>
      </c>
      <c r="AI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28,11))," ",""),"!",""),CHAR(34),""),"#",""),"$",""),"%",""),"&amp;",""),"'",""),"(",""),")",""),"*",""),"+",""),",",""),"-",""),".",""),"/",""),":",""),";",""),"&lt;",""),"=",""),"&gt;",""),"?",""),"@",""),"[",""),"\",""),"]",""),"^",""),"_",""),"`",""),"{",""),"|",""),"}",""),"~",""),CHAR(9),""),CHAR(10),""),CHAR(13),"")," ",""),"")</f>
        <v/>
      </c>
      <c r="AJ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28,12))," ",""),"!",""),CHAR(34),""),"#",""),"$",""),"%",""),"&amp;",""),"'",""),"(",""),")",""),"*",""),"+",""),",",""),"-",""),".",""),"/",""),":",""),";",""),"&lt;",""),"=",""),"&gt;",""),"?",""),"@",""),"[",""),"\",""),"]",""),"^",""),"_",""),"`",""),"{",""),"|",""),"}",""),"~",""),CHAR(9),""),CHAR(10),""),CHAR(13),"")," ",""),"")</f>
        <v/>
      </c>
      <c r="AK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28,13))," ",""),"!",""),CHAR(34),""),"#",""),"$",""),"%",""),"&amp;",""),"'",""),"(",""),")",""),"*",""),"+",""),",",""),"-",""),".",""),"/",""),":",""),";",""),"&lt;",""),"=",""),"&gt;",""),"?",""),"@",""),"[",""),"\",""),"]",""),"^",""),"_",""),"`",""),"{",""),"|",""),"}",""),"~",""),CHAR(9),""),CHAR(10),""),CHAR(13),"")," ",""),"")</f>
        <v/>
      </c>
      <c r="AL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28,14))," ",""),"!",""),CHAR(34),""),"#",""),"$",""),"%",""),"&amp;",""),"'",""),"(",""),")",""),"*",""),"+",""),",",""),"-",""),".",""),"/",""),":",""),";",""),"&lt;",""),"=",""),"&gt;",""),"?",""),"@",""),"[",""),"\",""),"]",""),"^",""),"_",""),"`",""),"{",""),"|",""),"}",""),"~",""),CHAR(9),""),CHAR(10),""),CHAR(13),"")," ",""),"")</f>
        <v/>
      </c>
      <c r="AM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28,15))," ",""),"!",""),CHAR(34),""),"#",""),"$",""),"%",""),"&amp;",""),"'",""),"(",""),")",""),"*",""),"+",""),",",""),"-",""),".",""),"/",""),":",""),";",""),"&lt;",""),"=",""),"&gt;",""),"?",""),"@",""),"[",""),"\",""),"]",""),"^",""),"_",""),"`",""),"{",""),"|",""),"}",""),"~",""),CHAR(9),""),CHAR(10),""),CHAR(13),"")," ",""),"")</f>
        <v/>
      </c>
      <c r="AN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28,16))," ",""),"!",""),CHAR(34),""),"#",""),"$",""),"%",""),"&amp;",""),"'",""),"(",""),")",""),"*",""),"+",""),",",""),"-",""),".",""),"/",""),":",""),";",""),"&lt;",""),"=",""),"&gt;",""),"?",""),"@",""),"[",""),"\",""),"]",""),"^",""),"_",""),"`",""),"{",""),"|",""),"}",""),"~",""),CHAR(9),""),CHAR(10),""),CHAR(13),"")," ",""),"")</f>
        <v/>
      </c>
      <c r="AO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28,17))," ",""),"!",""),CHAR(34),""),"#",""),"$",""),"%",""),"&amp;",""),"'",""),"(",""),")",""),"*",""),"+",""),",",""),"-",""),".",""),"/",""),":",""),";",""),"&lt;",""),"=",""),"&gt;",""),"?",""),"@",""),"[",""),"\",""),"]",""),"^",""),"_",""),"`",""),"{",""),"|",""),"}",""),"~",""),CHAR(9),""),CHAR(10),""),CHAR(13),"")," ",""),"")</f>
        <v/>
      </c>
      <c r="AP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28,18))," ",""),"!",""),CHAR(34),""),"#",""),"$",""),"%",""),"&amp;",""),"'",""),"(",""),")",""),"*",""),"+",""),",",""),"-",""),".",""),"/",""),":",""),";",""),"&lt;",""),"=",""),"&gt;",""),"?",""),"@",""),"[",""),"\",""),"]",""),"^",""),"_",""),"`",""),"{",""),"|",""),"}",""),"~",""),CHAR(9),""),CHAR(10),""),CHAR(13),"")," ",""),"")</f>
        <v/>
      </c>
      <c r="AQ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28,19))," ",""),"!",""),CHAR(34),""),"#",""),"$",""),"%",""),"&amp;",""),"'",""),"(",""),")",""),"*",""),"+",""),",",""),"-",""),".",""),"/",""),":",""),";",""),"&lt;",""),"=",""),"&gt;",""),"?",""),"@",""),"[",""),"\",""),"]",""),"^",""),"_",""),"`",""),"{",""),"|",""),"}",""),"~",""),CHAR(9),""),CHAR(10),""),CHAR(13),"")," ",""),"")</f>
        <v/>
      </c>
      <c r="AR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28,20))," ",""),"!",""),CHAR(34),""),"#",""),"$",""),"%",""),"&amp;",""),"'",""),"(",""),")",""),"*",""),"+",""),",",""),"-",""),".",""),"/",""),":",""),";",""),"&lt;",""),"=",""),"&gt;",""),"?",""),"@",""),"[",""),"\",""),"]",""),"^",""),"_",""),"`",""),"{",""),"|",""),"}",""),"~",""),CHAR(9),""),CHAR(10),""),CHAR(13),"")," ",""),"")</f>
        <v/>
      </c>
      <c r="AS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28,21))," ",""),"!",""),CHAR(34),""),"#",""),"$",""),"%",""),"&amp;",""),"'",""),"(",""),")",""),"*",""),"+",""),",",""),"-",""),".",""),"/",""),":",""),";",""),"&lt;",""),"=",""),"&gt;",""),"?",""),"@",""),"[",""),"\",""),"]",""),"^",""),"_",""),"`",""),"{",""),"|",""),"}",""),"~",""),CHAR(9),""),CHAR(10),""),CHAR(13),"")," ",""),"")</f>
        <v/>
      </c>
      <c r="AT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28,22))," ",""),"!",""),CHAR(34),""),"#",""),"$",""),"%",""),"&amp;",""),"'",""),"(",""),")",""),"*",""),"+",""),",",""),"-",""),".",""),"/",""),":",""),";",""),"&lt;",""),"=",""),"&gt;",""),"?",""),"@",""),"[",""),"\",""),"]",""),"^",""),"_",""),"`",""),"{",""),"|",""),"}",""),"~",""),CHAR(9),""),CHAR(10),""),CHAR(13),"")," ",""),"")</f>
        <v/>
      </c>
      <c r="AU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28,23))," ",""),"!",""),CHAR(34),""),"#",""),"$",""),"%",""),"&amp;",""),"'",""),"(",""),")",""),"*",""),"+",""),",",""),"-",""),".",""),"/",""),":",""),";",""),"&lt;",""),"=",""),"&gt;",""),"?",""),"@",""),"[",""),"\",""),"]",""),"^",""),"_",""),"`",""),"{",""),"|",""),"}",""),"~",""),CHAR(9),""),CHAR(10),""),CHAR(13),"")," ",""),"")</f>
        <v/>
      </c>
      <c r="AV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28,24))," ",""),"!",""),CHAR(34),""),"#",""),"$",""),"%",""),"&amp;",""),"'",""),"(",""),")",""),"*",""),"+",""),",",""),"-",""),".",""),"/",""),":",""),";",""),"&lt;",""),"=",""),"&gt;",""),"?",""),"@",""),"[",""),"\",""),"]",""),"^",""),"_",""),"`",""),"{",""),"|",""),"}",""),"~",""),CHAR(9),""),CHAR(10),""),CHAR(13),"")," ",""),"")</f>
        <v/>
      </c>
      <c r="AW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28,25))," ",""),"!",""),CHAR(34),""),"#",""),"$",""),"%",""),"&amp;",""),"'",""),"(",""),")",""),"*",""),"+",""),",",""),"-",""),".",""),"/",""),":",""),";",""),"&lt;",""),"=",""),"&gt;",""),"?",""),"@",""),"[",""),"\",""),"]",""),"^",""),"_",""),"`",""),"{",""),"|",""),"}",""),"~",""),CHAR(9),""),CHAR(10),""),CHAR(13),"")," ",""),"")</f>
        <v/>
      </c>
      <c r="AX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28,26))," ",""),"!",""),CHAR(34),""),"#",""),"$",""),"%",""),"&amp;",""),"'",""),"(",""),")",""),"*",""),"+",""),",",""),"-",""),".",""),"/",""),":",""),";",""),"&lt;",""),"=",""),"&gt;",""),"?",""),"@",""),"[",""),"\",""),"]",""),"^",""),"_",""),"`",""),"{",""),"|",""),"}",""),"~",""),CHAR(9),""),CHAR(10),""),CHAR(13),"")," ",""),"")</f>
        <v/>
      </c>
      <c r="AY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28,27))," ",""),"!",""),CHAR(34),""),"#",""),"$",""),"%",""),"&amp;",""),"'",""),"(",""),")",""),"*",""),"+",""),",",""),"-",""),".",""),"/",""),":",""),";",""),"&lt;",""),"=",""),"&gt;",""),"?",""),"@",""),"[",""),"\",""),"]",""),"^",""),"_",""),"`",""),"{",""),"|",""),"}",""),"~",""),CHAR(9),""),CHAR(10),""),CHAR(13),"")," ",""),"")</f>
        <v/>
      </c>
      <c r="AZ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28,28))," ",""),"!",""),CHAR(34),""),"#",""),"$",""),"%",""),"&amp;",""),"'",""),"(",""),")",""),"*",""),"+",""),",",""),"-",""),".",""),"/",""),":",""),";",""),"&lt;",""),"=",""),"&gt;",""),"?",""),"@",""),"[",""),"\",""),"]",""),"^",""),"_",""),"`",""),"{",""),"|",""),"}",""),"~",""),CHAR(9),""),CHAR(10),""),CHAR(13),"")," ",""),"")</f>
        <v/>
      </c>
      <c r="BA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28,29))," ",""),"!",""),CHAR(34),""),"#",""),"$",""),"%",""),"&amp;",""),"'",""),"(",""),")",""),"*",""),"+",""),",",""),"-",""),".",""),"/",""),":",""),";",""),"&lt;",""),"=",""),"&gt;",""),"?",""),"@",""),"[",""),"\",""),"]",""),"^",""),"_",""),"`",""),"{",""),"|",""),"}",""),"~",""),CHAR(9),""),CHAR(10),""),CHAR(13),"")," ",""),"")</f>
        <v/>
      </c>
      <c r="BB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28,30))," ",""),"!",""),CHAR(34),""),"#",""),"$",""),"%",""),"&amp;",""),"'",""),"(",""),")",""),"*",""),"+",""),",",""),"-",""),".",""),"/",""),":",""),";",""),"&lt;",""),"=",""),"&gt;",""),"?",""),"@",""),"[",""),"\",""),"]",""),"^",""),"_",""),"`",""),"{",""),"|",""),"}",""),"~",""),CHAR(9),""),CHAR(10),""),CHAR(13),"")," ",""),"")</f>
        <v/>
      </c>
      <c r="BC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28,31))," ",""),"!",""),CHAR(34),""),"#",""),"$",""),"%",""),"&amp;",""),"'",""),"(",""),")",""),"*",""),"+",""),",",""),"-",""),".",""),"/",""),":",""),";",""),"&lt;",""),"=",""),"&gt;",""),"?",""),"@",""),"[",""),"\",""),"]",""),"^",""),"_",""),"`",""),"{",""),"|",""),"}",""),"~",""),CHAR(9),""),CHAR(10),""),CHAR(13),"")," ",""),"")</f>
        <v/>
      </c>
      <c r="BD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28,32))," ",""),"!",""),CHAR(34),""),"#",""),"$",""),"%",""),"&amp;",""),"'",""),"(",""),")",""),"*",""),"+",""),",",""),"-",""),".",""),"/",""),":",""),";",""),"&lt;",""),"=",""),"&gt;",""),"?",""),"@",""),"[",""),"\",""),"]",""),"^",""),"_",""),"`",""),"{",""),"|",""),"}",""),"~",""),CHAR(9),""),CHAR(10),""),CHAR(13),"")," ",""),"")</f>
        <v/>
      </c>
      <c r="BE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28,33))," ",""),"!",""),CHAR(34),""),"#",""),"$",""),"%",""),"&amp;",""),"'",""),"(",""),")",""),"*",""),"+",""),",",""),"-",""),".",""),"/",""),":",""),";",""),"&lt;",""),"=",""),"&gt;",""),"?",""),"@",""),"[",""),"\",""),"]",""),"^",""),"_",""),"`",""),"{",""),"|",""),"}",""),"~",""),CHAR(9),""),CHAR(10),""),CHAR(13),"")," ",""),"")</f>
        <v/>
      </c>
      <c r="BF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28,34))," ",""),"!",""),CHAR(34),""),"#",""),"$",""),"%",""),"&amp;",""),"'",""),"(",""),")",""),"*",""),"+",""),",",""),"-",""),".",""),"/",""),":",""),";",""),"&lt;",""),"=",""),"&gt;",""),"?",""),"@",""),"[",""),"\",""),"]",""),"^",""),"_",""),"`",""),"{",""),"|",""),"}",""),"~",""),CHAR(9),""),CHAR(10),""),CHAR(13),"")," ",""),"")</f>
        <v/>
      </c>
      <c r="BG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28,35))," ",""),"!",""),CHAR(34),""),"#",""),"$",""),"%",""),"&amp;",""),"'",""),"(",""),")",""),"*",""),"+",""),",",""),"-",""),".",""),"/",""),":",""),";",""),"&lt;",""),"=",""),"&gt;",""),"?",""),"@",""),"[",""),"\",""),"]",""),"^",""),"_",""),"`",""),"{",""),"|",""),"}",""),"~",""),CHAR(9),""),CHAR(10),""),CHAR(13),"")," ",""),"")</f>
        <v/>
      </c>
      <c r="BH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28,36))," ",""),"!",""),CHAR(34),""),"#",""),"$",""),"%",""),"&amp;",""),"'",""),"(",""),")",""),"*",""),"+",""),",",""),"-",""),".",""),"/",""),":",""),";",""),"&lt;",""),"=",""),"&gt;",""),"?",""),"@",""),"[",""),"\",""),"]",""),"^",""),"_",""),"`",""),"{",""),"|",""),"}",""),"~",""),CHAR(9),""),CHAR(10),""),CHAR(13),"")," ",""),"")</f>
        <v/>
      </c>
      <c r="BI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28,37))," ",""),"!",""),CHAR(34),""),"#",""),"$",""),"%",""),"&amp;",""),"'",""),"(",""),")",""),"*",""),"+",""),",",""),"-",""),".",""),"/",""),":",""),";",""),"&lt;",""),"=",""),"&gt;",""),"?",""),"@",""),"[",""),"\",""),"]",""),"^",""),"_",""),"`",""),"{",""),"|",""),"}",""),"~",""),CHAR(9),""),CHAR(10),""),CHAR(13),"")," ",""),"")</f>
        <v/>
      </c>
      <c r="BJ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28,38))," ",""),"!",""),CHAR(34),""),"#",""),"$",""),"%",""),"&amp;",""),"'",""),"(",""),")",""),"*",""),"+",""),",",""),"-",""),".",""),"/",""),":",""),";",""),"&lt;",""),"=",""),"&gt;",""),"?",""),"@",""),"[",""),"\",""),"]",""),"^",""),"_",""),"`",""),"{",""),"|",""),"}",""),"~",""),CHAR(9),""),CHAR(10),""),CHAR(13),"")," ",""),"")</f>
        <v/>
      </c>
      <c r="BK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28,39))," ",""),"!",""),CHAR(34),""),"#",""),"$",""),"%",""),"&amp;",""),"'",""),"(",""),")",""),"*",""),"+",""),",",""),"-",""),".",""),"/",""),":",""),";",""),"&lt;",""),"=",""),"&gt;",""),"?",""),"@",""),"[",""),"\",""),"]",""),"^",""),"_",""),"`",""),"{",""),"|",""),"}",""),"~",""),CHAR(9),""),CHAR(10),""),CHAR(13),"")," ",""),"")</f>
        <v/>
      </c>
      <c r="BL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28,40))," ",""),"!",""),CHAR(34),""),"#",""),"$",""),"%",""),"&amp;",""),"'",""),"(",""),")",""),"*",""),"+",""),",",""),"-",""),".",""),"/",""),":",""),";",""),"&lt;",""),"=",""),"&gt;",""),"?",""),"@",""),"[",""),"\",""),"]",""),"^",""),"_",""),"`",""),"{",""),"|",""),"}",""),"~",""),CHAR(9),""),CHAR(10),""),CHAR(13),"")," ",""),"")</f>
        <v/>
      </c>
      <c r="BM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28,41))," ",""),"!",""),CHAR(34),""),"#",""),"$",""),"%",""),"&amp;",""),"'",""),"(",""),")",""),"*",""),"+",""),",",""),"-",""),".",""),"/",""),":",""),";",""),"&lt;",""),"=",""),"&gt;",""),"?",""),"@",""),"[",""),"\",""),"]",""),"^",""),"_",""),"`",""),"{",""),"|",""),"}",""),"~",""),CHAR(9),""),CHAR(10),""),CHAR(13),"")," ",""),"")</f>
        <v/>
      </c>
      <c r="BN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28,42))," ",""),"!",""),CHAR(34),""),"#",""),"$",""),"%",""),"&amp;",""),"'",""),"(",""),")",""),"*",""),"+",""),",",""),"-",""),".",""),"/",""),":",""),";",""),"&lt;",""),"=",""),"&gt;",""),"?",""),"@",""),"[",""),"\",""),"]",""),"^",""),"_",""),"`",""),"{",""),"|",""),"}",""),"~",""),CHAR(9),""),CHAR(10),""),CHAR(13),"")," ",""),"")</f>
        <v/>
      </c>
      <c r="BO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28,43))," ",""),"!",""),CHAR(34),""),"#",""),"$",""),"%",""),"&amp;",""),"'",""),"(",""),")",""),"*",""),"+",""),",",""),"-",""),".",""),"/",""),":",""),";",""),"&lt;",""),"=",""),"&gt;",""),"?",""),"@",""),"[",""),"\",""),"]",""),"^",""),"_",""),"`",""),"{",""),"|",""),"}",""),"~",""),CHAR(9),""),CHAR(10),""),CHAR(13),"")," ",""),"")</f>
        <v/>
      </c>
      <c r="BP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28,44))," ",""),"!",""),CHAR(34),""),"#",""),"$",""),"%",""),"&amp;",""),"'",""),"(",""),")",""),"*",""),"+",""),",",""),"-",""),".",""),"/",""),":",""),";",""),"&lt;",""),"=",""),"&gt;",""),"?",""),"@",""),"[",""),"\",""),"]",""),"^",""),"_",""),"`",""),"{",""),"|",""),"}",""),"~",""),CHAR(9),""),CHAR(10),""),CHAR(13),"")," ",""),"")</f>
        <v/>
      </c>
      <c r="BQ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28,45))," ",""),"!",""),CHAR(34),""),"#",""),"$",""),"%",""),"&amp;",""),"'",""),"(",""),")",""),"*",""),"+",""),",",""),"-",""),".",""),"/",""),":",""),";",""),"&lt;",""),"=",""),"&gt;",""),"?",""),"@",""),"[",""),"\",""),"]",""),"^",""),"_",""),"`",""),"{",""),"|",""),"}",""),"~",""),CHAR(9),""),CHAR(10),""),CHAR(13),"")," ",""),"")</f>
        <v/>
      </c>
      <c r="BR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28,46))," ",""),"!",""),CHAR(34),""),"#",""),"$",""),"%",""),"&amp;",""),"'",""),"(",""),")",""),"*",""),"+",""),",",""),"-",""),".",""),"/",""),":",""),";",""),"&lt;",""),"=",""),"&gt;",""),"?",""),"@",""),"[",""),"\",""),"]",""),"^",""),"_",""),"`",""),"{",""),"|",""),"}",""),"~",""),CHAR(9),""),CHAR(10),""),CHAR(13),"")," ",""),"")</f>
        <v/>
      </c>
      <c r="BS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28,47))," ",""),"!",""),CHAR(34),""),"#",""),"$",""),"%",""),"&amp;",""),"'",""),"(",""),")",""),"*",""),"+",""),",",""),"-",""),".",""),"/",""),":",""),";",""),"&lt;",""),"=",""),"&gt;",""),"?",""),"@",""),"[",""),"\",""),"]",""),"^",""),"_",""),"`",""),"{",""),"|",""),"}",""),"~",""),CHAR(9),""),CHAR(10),""),CHAR(13),"")," ",""),"")</f>
        <v/>
      </c>
      <c r="BT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28,48))," ",""),"!",""),CHAR(34),""),"#",""),"$",""),"%",""),"&amp;",""),"'",""),"(",""),")",""),"*",""),"+",""),",",""),"-",""),".",""),"/",""),":",""),";",""),"&lt;",""),"=",""),"&gt;",""),"?",""),"@",""),"[",""),"\",""),"]",""),"^",""),"_",""),"`",""),"{",""),"|",""),"}",""),"~",""),CHAR(9),""),CHAR(10),""),CHAR(13),"")," ",""),"")</f>
        <v/>
      </c>
      <c r="BU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28,49))," ",""),"!",""),CHAR(34),""),"#",""),"$",""),"%",""),"&amp;",""),"'",""),"(",""),")",""),"*",""),"+",""),",",""),"-",""),".",""),"/",""),":",""),";",""),"&lt;",""),"=",""),"&gt;",""),"?",""),"@",""),"[",""),"\",""),"]",""),"^",""),"_",""),"`",""),"{",""),"|",""),"}",""),"~",""),CHAR(9),""),CHAR(10),""),CHAR(13),"")," ",""),"")</f>
        <v/>
      </c>
      <c r="BV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28,50))," ",""),"!",""),CHAR(34),""),"#",""),"$",""),"%",""),"&amp;",""),"'",""),"(",""),")",""),"*",""),"+",""),",",""),"-",""),".",""),"/",""),":",""),";",""),"&lt;",""),"=",""),"&gt;",""),"?",""),"@",""),"[",""),"\",""),"]",""),"^",""),"_",""),"`",""),"{",""),"|",""),"}",""),"~",""),CHAR(9),""),CHAR(10),""),CHAR(13),"")," ",""),"")</f>
        <v/>
      </c>
      <c r="BW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28,51))," ",""),"!",""),CHAR(34),""),"#",""),"$",""),"%",""),"&amp;",""),"'",""),"(",""),")",""),"*",""),"+",""),",",""),"-",""),".",""),"/",""),":",""),";",""),"&lt;",""),"=",""),"&gt;",""),"?",""),"@",""),"[",""),"\",""),"]",""),"^",""),"_",""),"`",""),"{",""),"|",""),"}",""),"~",""),CHAR(9),""),CHAR(10),""),CHAR(13),"")," ",""),"")</f>
        <v/>
      </c>
      <c r="BX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28,52))," ",""),"!",""),CHAR(34),""),"#",""),"$",""),"%",""),"&amp;",""),"'",""),"(",""),")",""),"*",""),"+",""),",",""),"-",""),".",""),"/",""),":",""),";",""),"&lt;",""),"=",""),"&gt;",""),"?",""),"@",""),"[",""),"\",""),"]",""),"^",""),"_",""),"`",""),"{",""),"|",""),"}",""),"~",""),CHAR(9),""),CHAR(10),""),CHAR(13),"")," ",""),"")</f>
        <v/>
      </c>
      <c r="BY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28,53))," ",""),"!",""),CHAR(34),""),"#",""),"$",""),"%",""),"&amp;",""),"'",""),"(",""),")",""),"*",""),"+",""),",",""),"-",""),".",""),"/",""),":",""),";",""),"&lt;",""),"=",""),"&gt;",""),"?",""),"@",""),"[",""),"\",""),"]",""),"^",""),"_",""),"`",""),"{",""),"|",""),"}",""),"~",""),CHAR(9),""),CHAR(10),""),CHAR(13),"")," ",""),"")</f>
        <v/>
      </c>
      <c r="BZ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28,54))," ",""),"!",""),CHAR(34),""),"#",""),"$",""),"%",""),"&amp;",""),"'",""),"(",""),")",""),"*",""),"+",""),",",""),"-",""),".",""),"/",""),":",""),";",""),"&lt;",""),"=",""),"&gt;",""),"?",""),"@",""),"[",""),"\",""),"]",""),"^",""),"_",""),"`",""),"{",""),"|",""),"}",""),"~",""),CHAR(9),""),CHAR(10),""),CHAR(13),"")," ",""),"")</f>
        <v/>
      </c>
      <c r="CA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28,55))," ",""),"!",""),CHAR(34),""),"#",""),"$",""),"%",""),"&amp;",""),"'",""),"(",""),")",""),"*",""),"+",""),",",""),"-",""),".",""),"/",""),":",""),";",""),"&lt;",""),"=",""),"&gt;",""),"?",""),"@",""),"[",""),"\",""),"]",""),"^",""),"_",""),"`",""),"{",""),"|",""),"}",""),"~",""),CHAR(9),""),CHAR(10),""),CHAR(13),"")," ",""),"")</f>
        <v/>
      </c>
      <c r="CB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28,56))," ",""),"!",""),CHAR(34),""),"#",""),"$",""),"%",""),"&amp;",""),"'",""),"(",""),")",""),"*",""),"+",""),",",""),"-",""),".",""),"/",""),":",""),";",""),"&lt;",""),"=",""),"&gt;",""),"?",""),"@",""),"[",""),"\",""),"]",""),"^",""),"_",""),"`",""),"{",""),"|",""),"}",""),"~",""),CHAR(9),""),CHAR(10),""),CHAR(13),"")," ",""),"")</f>
        <v/>
      </c>
      <c r="CC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28,57))," ",""),"!",""),CHAR(34),""),"#",""),"$",""),"%",""),"&amp;",""),"'",""),"(",""),")",""),"*",""),"+",""),",",""),"-",""),".",""),"/",""),":",""),";",""),"&lt;",""),"=",""),"&gt;",""),"?",""),"@",""),"[",""),"\",""),"]",""),"^",""),"_",""),"`",""),"{",""),"|",""),"}",""),"~",""),CHAR(9),""),CHAR(10),""),CHAR(13),"")," ",""),"")</f>
        <v/>
      </c>
      <c r="CD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28,58))," ",""),"!",""),CHAR(34),""),"#",""),"$",""),"%",""),"&amp;",""),"'",""),"(",""),")",""),"*",""),"+",""),",",""),"-",""),".",""),"/",""),":",""),";",""),"&lt;",""),"=",""),"&gt;",""),"?",""),"@",""),"[",""),"\",""),"]",""),"^",""),"_",""),"`",""),"{",""),"|",""),"}",""),"~",""),CHAR(9),""),CHAR(10),""),CHAR(13),"")," ",""),"")</f>
        <v/>
      </c>
      <c r="CE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28,59))," ",""),"!",""),CHAR(34),""),"#",""),"$",""),"%",""),"&amp;",""),"'",""),"(",""),")",""),"*",""),"+",""),",",""),"-",""),".",""),"/",""),":",""),";",""),"&lt;",""),"=",""),"&gt;",""),"?",""),"@",""),"[",""),"\",""),"]",""),"^",""),"_",""),"`",""),"{",""),"|",""),"}",""),"~",""),CHAR(9),""),CHAR(10),""),CHAR(13),"")," ",""),"")</f>
        <v/>
      </c>
      <c r="CF3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28,60))," ",""),"!",""),CHAR(34),""),"#",""),"$",""),"%",""),"&amp;",""),"'",""),"(",""),")",""),"*",""),"+",""),",",""),"-",""),".",""),"/",""),":",""),";",""),"&lt;",""),"=",""),"&gt;",""),"?",""),"@",""),"[",""),"\",""),"]",""),"^",""),"_",""),"`",""),"{",""),"|",""),"}",""),"~",""),CHAR(9),""),CHAR(10),""),CHAR(13),"")," ",""),"")</f>
        <v/>
      </c>
      <c r="CH32">
        <f>COUNTIF($Y77:$CF77,"&gt;0")</f>
        <v/>
      </c>
      <c r="CI32">
        <f>COUNTIF($Y77:$CF77,2)</f>
        <v/>
      </c>
      <c r="CJ32">
        <f>SUMPRODUCT((COUNTIF($Y122:$CF122,{1,2,3,4,5,6,7,8,9,10,11,12,13,14,15})&gt;0)*{2,4,8,16,32,64,128,256,512,1024,2048,4096,8192,16384,32768})</f>
        <v/>
      </c>
      <c r="CK32">
        <f>CF212</f>
        <v/>
      </c>
      <c r="CL32">
        <f>SUMPRODUCT(MOD(INT(((CJ32+CK32))/{2,4,8,16,32,64,128,256,512,1024,2048,4096,8192,16384,32768}),2))</f>
        <v/>
      </c>
      <c r="CM32">
        <f>IF(CH32&lt;2,-9999,CL32+2*MOD(INT(((CJ32+CK32))/2),2)+2*MOD(INT(((CJ32+CK32))/4),2)-CI32)</f>
        <v/>
      </c>
      <c r="DA32" t="n">
        <v>28</v>
      </c>
      <c r="DB32">
        <f>IF($B$37=0,"",IFERROR(TRIM(SUBSTITUTE(SUBSTITUTE(SUBSTITUTE(SUBSTITUTE(INDEX(PASTE_ALL,28,$B$37)," "," "),CHAR(9)," "),CHAR(10)," "),CHAR(13)," ")),""))</f>
        <v/>
      </c>
      <c r="DC32">
        <f>IF(AND(28&gt;HEADER_ROW,UPPER(DB32)="LEGEND"),1,0)</f>
        <v/>
      </c>
      <c r="DE32" t="n">
        <v>28</v>
      </c>
      <c r="DF32">
        <f>HEADER_ROW+$DE32</f>
        <v/>
      </c>
      <c r="DG32">
        <f>IF(AND($DF32&lt;=1000,$DF32&lt;$B$8),1,0)</f>
        <v/>
      </c>
      <c r="DH32">
        <f>IF($DG32=1,IFERROR(INDEX($DB$5:$DB$1004,$DF32),""),"")</f>
        <v/>
      </c>
      <c r="DI32">
        <f>IF(AND($DG32=1,$DH32&lt;&gt;""),IFERROR(SUBSTITUTE(SUBSTITUTE(TRIM(SUBSTITUTE(SUBSTITUTE(SUBSTITUTE(SUBSTITUTE(IFERROR(INDEX(PASTE_ALL,$DF32,1)&amp;"","")&amp;"␟"&amp;IFERROR(INDEX(PASTE_ALL,$DF32,2)&amp;"","")&amp;"␟"&amp;IFERROR(INDEX(PASTE_ALL,$DF32,3)&amp;"","")&amp;"␟"&amp;IFERROR(INDEX(PASTE_ALL,$DF32,4)&amp;"","")&amp;"␟"&amp;IFERROR(INDEX(PASTE_ALL,$DF32,5)&amp;"","")&amp;"␟"&amp;IFERROR(INDEX(PASTE_ALL,$DF32,6)&amp;"","")&amp;"␟"&amp;IFERROR(INDEX(PASTE_ALL,$DF32,7)&amp;"","")&amp;"␟"&amp;IFERROR(INDEX(PASTE_ALL,$DF32,8)&amp;"","")&amp;"␟"&amp;IFERROR(INDEX(PASTE_ALL,$DF32,9)&amp;"","")&amp;"␟"&amp;IFERROR(INDEX(PASTE_ALL,$DF32,10)&amp;"","")&amp;"␟"&amp;IFERROR(INDEX(PASTE_ALL,$DF32,11)&amp;"","")&amp;"␟"&amp;IFERROR(INDEX(PASTE_ALL,$DF32,12)&amp;"","")&amp;"␟"&amp;IFERROR(INDEX(PASTE_ALL,$DF32,13)&amp;"","")&amp;"␟"&amp;IFERROR(INDEX(PASTE_ALL,$DF32,14)&amp;"","")&amp;"␟"&amp;IFERROR(INDEX(PASTE_ALL,$DF32,15)&amp;"","")&amp;"␟"&amp;IFERROR(INDEX(PASTE_ALL,$DF32,16)&amp;"","")&amp;"␟"&amp;IFERROR(INDEX(PASTE_ALL,$DF32,17)&amp;"","")&amp;"␟"&amp;IFERROR(INDEX(PASTE_ALL,$DF32,18)&amp;"","")&amp;"␟"&amp;IFERROR(INDEX(PASTE_ALL,$DF32,19)&amp;"","")&amp;"␟"&amp;IFERROR(INDEX(PASTE_ALL,$DF32,20)&amp;"","")&amp;"␟"&amp;IFERROR(INDEX(PASTE_ALL,$DF32,21)&amp;"","")&amp;"␟"&amp;IFERROR(INDEX(PASTE_ALL,$DF32,22)&amp;"","")&amp;"␟"&amp;IFERROR(INDEX(PASTE_ALL,$DF32,23)&amp;"","")&amp;"␟"&amp;IFERROR(INDEX(PASTE_ALL,$DF32,24)&amp;"","")&amp;"␟"&amp;IFERROR(INDEX(PASTE_ALL,$DF32,25)&amp;"","")&amp;"␟"&amp;IFERROR(INDEX(PASTE_ALL,$DF32,26)&amp;"","")&amp;"␟"&amp;IFERROR(INDEX(PASTE_ALL,$DF32,27)&amp;"","")&amp;"␟"&amp;IFERROR(INDEX(PASTE_ALL,$DF32,28)&amp;"","")&amp;"␟"&amp;IFERROR(INDEX(PASTE_ALL,$DF32,29)&amp;"","")&amp;"␟"&amp;IFERROR(INDEX(PASTE_ALL,$DF32,30)&amp;"","")&amp;"␟"&amp;IFERROR(INDEX(PASTE_ALL,$DF32,31)&amp;"","")&amp;"␟"&amp;IFERROR(INDEX(PASTE_ALL,$DF32,32)&amp;"","")&amp;"␟"&amp;IFERROR(INDEX(PASTE_ALL,$DF32,33)&amp;"","")&amp;"␟"&amp;IFERROR(INDEX(PASTE_ALL,$DF32,34)&amp;"","")&amp;"␟"&amp;IFERROR(INDEX(PASTE_ALL,$DF32,35)&amp;"","")&amp;"␟"&amp;IFERROR(INDEX(PASTE_ALL,$DF32,36)&amp;"","")&amp;"␟"&amp;IFERROR(INDEX(PASTE_ALL,$DF32,37)&amp;"","")&amp;"␟"&amp;IFERROR(INDEX(PASTE_ALL,$DF32,38)&amp;"","")&amp;"␟"&amp;IFERROR(INDEX(PASTE_ALL,$DF32,39)&amp;"","")&amp;"␟"&amp;IFERROR(INDEX(PASTE_ALL,$DF32,40)&amp;"","")&amp;"␟"&amp;IFERROR(INDEX(PASTE_ALL,$DF32,41)&amp;"","")&amp;"␟"&amp;IFERROR(INDEX(PASTE_ALL,$DF32,42)&amp;"","")&amp;"␟"&amp;IFERROR(INDEX(PASTE_ALL,$DF32,43)&amp;"","")&amp;"␟"&amp;IFERROR(INDEX(PASTE_ALL,$DF32,44)&amp;"","")&amp;"␟"&amp;IFERROR(INDEX(PASTE_ALL,$DF32,45)&amp;"","")&amp;"␟"&amp;IFERROR(INDEX(PASTE_ALL,$DF32,46)&amp;"","")&amp;"␟"&amp;IFERROR(INDEX(PASTE_ALL,$DF32,47)&amp;"","")&amp;"␟"&amp;IFERROR(INDEX(PASTE_ALL,$DF32,48)&amp;"","")&amp;"␟"&amp;IFERROR(INDEX(PASTE_ALL,$DF32,49)&amp;"","")&amp;"␟"&amp;IFERROR(INDEX(PASTE_ALL,$DF32,50)&amp;"","")&amp;"␟"&amp;IFERROR(INDEX(PASTE_ALL,$DF32,51)&amp;"","")&amp;"␟"&amp;IFERROR(INDEX(PASTE_ALL,$DF32,52)&amp;"","")&amp;"␟"&amp;IFERROR(INDEX(PASTE_ALL,$DF32,53)&amp;"","")&amp;"␟"&amp;IFERROR(INDEX(PASTE_ALL,$DF32,54)&amp;"","")&amp;"␟"&amp;IFERROR(INDEX(PASTE_ALL,$DF32,55)&amp;"","")&amp;"␟"&amp;IFERROR(INDEX(PASTE_ALL,$DF32,56)&amp;"","")&amp;"␟"&amp;IFERROR(INDEX(PASTE_ALL,$DF32,57)&amp;"","")&amp;"␟"&amp;IFERROR(INDEX(PASTE_ALL,$DF32,58)&amp;"","")&amp;"␟"&amp;IFERROR(INDEX(PASTE_ALL,$DF32,59)&amp;"","")&amp;"␟"&amp;IFERROR(INDEX(PASTE_ALL,$DF32,60)&amp;"","")," "," "),CHAR(9)," "),CHAR(10)," "),CHAR(13)," "))," ␟","␟"),"␟ ","␟"),"#"&amp;$DE32),"")</f>
        <v/>
      </c>
      <c r="DJ32">
        <f>IF($DI32="",0,IF(SUMPRODUCT(--EXACT($DI$4:DI31,$DI32))&gt;0,1,0))</f>
        <v/>
      </c>
      <c r="DK32">
        <f>IF(AND($DI32&lt;&gt;"",$DJ32=0),1,0)</f>
        <v/>
      </c>
      <c r="DL32">
        <f>DL31+$DK32</f>
        <v/>
      </c>
      <c r="DM32">
        <f>IF(AND($DK32=1,$DL32&lt;=600),1,0)</f>
        <v/>
      </c>
      <c r="DN32">
        <f>IF($DM32=0,"",IF($L$6=0,"",IFERROR(IF(ISNUMBER(INDEX(PASTE_ALL,$DF32,$L$6)),INDEX(PASTE_ALL,$DF32,$L$6),TRIM(SUBSTITUTE(SUBSTITUTE(SUBSTITUTE(SUBSTITUTE(INDEX(PASTE_ALL,$DF32,$L$6)," "," "),CHAR(9)," "),CHAR(10)," "),CHAR(13)," "))),"")))</f>
        <v/>
      </c>
      <c r="DO32">
        <f>IF($DM32=0,"",IF($L$7=0,"",IFERROR(IF(ISNUMBER(INDEX(PASTE_ALL,$DF32,$L$7)),INDEX(PASTE_ALL,$DF32,$L$7),TRIM(SUBSTITUTE(SUBSTITUTE(SUBSTITUTE(SUBSTITUTE(INDEX(PASTE_ALL,$DF32,$L$7)," "," "),CHAR(9)," "),CHAR(10)," "),CHAR(13)," "))),"")))</f>
        <v/>
      </c>
      <c r="DP32">
        <f>IF($DM32=0,"",IF($L$8=0,"",IFERROR(IF(ISNUMBER(INDEX(PASTE_ALL,$DF32,$L$8)),INDEX(PASTE_ALL,$DF32,$L$8),TRIM(SUBSTITUTE(SUBSTITUTE(SUBSTITUTE(SUBSTITUTE(INDEX(PASTE_ALL,$DF32,$L$8)," "," "),CHAR(9)," "),CHAR(10)," "),CHAR(13)," "))),"")))</f>
        <v/>
      </c>
      <c r="DQ32">
        <f>IF($DM32=0,"",IF($L$9=0,"",IFERROR(IF(ISNUMBER(INDEX(PASTE_ALL,$DF32,$L$9)),INDEX(PASTE_ALL,$DF32,$L$9),TRIM(SUBSTITUTE(SUBSTITUTE(SUBSTITUTE(SUBSTITUTE(INDEX(PASTE_ALL,$DF32,$L$9)," "," "),CHAR(9)," "),CHAR(10)," "),CHAR(13)," "))),"")))</f>
        <v/>
      </c>
      <c r="DR32">
        <f>IF($DM32=0,"",IF($L$10=0,"",IFERROR(IF(ISNUMBER(INDEX(PASTE_ALL,$DF32,$L$10)),INDEX(PASTE_ALL,$DF32,$L$10),TRIM(SUBSTITUTE(SUBSTITUTE(SUBSTITUTE(SUBSTITUTE(INDEX(PASTE_ALL,$DF32,$L$10)," "," "),CHAR(9)," "),CHAR(10)," "),CHAR(13)," "))),"")))</f>
        <v/>
      </c>
      <c r="DS32">
        <f>IF($DM32=0,"",IF($L$11=0,"",IFERROR(IF(ISNUMBER(INDEX(PASTE_ALL,$DF32,$L$11)),INDEX(PASTE_ALL,$DF32,$L$11),TRIM(SUBSTITUTE(SUBSTITUTE(SUBSTITUTE(SUBSTITUTE(INDEX(PASTE_ALL,$DF32,$L$11)," "," "),CHAR(9)," "),CHAR(10)," "),CHAR(13)," "))),"")))</f>
        <v/>
      </c>
      <c r="DT32">
        <f>IF($DM32=0,"",IF($L$12=0,"",IFERROR(IF(ISNUMBER(INDEX(PASTE_ALL,$DF32,$L$12)),INDEX(PASTE_ALL,$DF32,$L$12),TRIM(SUBSTITUTE(SUBSTITUTE(SUBSTITUTE(SUBSTITUTE(INDEX(PASTE_ALL,$DF32,$L$12)," "," "),CHAR(9)," "),CHAR(10)," "),CHAR(13)," "))),"")))</f>
        <v/>
      </c>
      <c r="DU32">
        <f>IF($DM32=0,"",IF($L$13=0,"",IFERROR(IF(ISNUMBER(INDEX(PASTE_ALL,$DF32,$L$13)),INDEX(PASTE_ALL,$DF32,$L$13),TRIM(SUBSTITUTE(SUBSTITUTE(SUBSTITUTE(SUBSTITUTE(INDEX(PASTE_ALL,$DF32,$L$13)," "," "),CHAR(9)," "),CHAR(10)," "),CHAR(13)," "))),"")))</f>
        <v/>
      </c>
      <c r="DV32">
        <f>IF($DM32=0,"",IF($L$14=0,"",IFERROR(IF(ISNUMBER(INDEX(PASTE_ALL,$DF32,$L$14)),INDEX(PASTE_ALL,$DF32,$L$14),TRIM(SUBSTITUTE(SUBSTITUTE(SUBSTITUTE(SUBSTITUTE(INDEX(PASTE_ALL,$DF32,$L$14)," "," "),CHAR(9)," "),CHAR(10)," "),CHAR(13)," "))),"")))</f>
        <v/>
      </c>
      <c r="DW32">
        <f>IF($DM32=0,"",IF($L$15=0,"",IFERROR(IF(ISNUMBER(INDEX(PASTE_ALL,$DF32,$L$15)),INDEX(PASTE_ALL,$DF32,$L$15),IF(SUMPRODUCT(--ISNUMBER(FIND({"A","B","C","D","E","F","G","H","I","J","K","L","M","N","O","P","Q","R","S","T","U","V","W","X","Y","Z","0","1","2","3","4","5","6","7","8","9"},UPPER(TRIM(SUBSTITUTE(SUBSTITUTE(SUBSTITUTE(SUBSTITUTE(INDEX(PASTE_ALL,$DF32,$L$15)," "," "),CHAR(9)," "),CHAR(10)," "),CHAR(13)," "))))))&gt;0,TRIM(SUBSTITUTE(SUBSTITUTE(SUBSTITUTE(SUBSTITUTE(INDEX(PASTE_ALL,$DF32,$L$15)," "," "),CHAR(9)," "),CHAR(10)," "),CHAR(13)," ")),"")),"")))</f>
        <v/>
      </c>
      <c r="DX32">
        <f>IF($DM32=0,"",IF($L$16=0,"",IFERROR(IF(ISNUMBER(INDEX(PASTE_ALL,$DF32,$L$16)),INDEX(PASTE_ALL,$DF32,$L$16),SUBSTITUTE(SUBSTITUTE(TRIM(SUBSTITUTE(SUBSTITUTE(SUBSTITUTE(SUBSTITUTE(INDEX(PASTE_ALL,$DF32,$L$16)," "," "),CHAR(9)," "),CHAR(10)," "),CHAR(13)," ")),",",""),"%","")),"")))</f>
        <v/>
      </c>
      <c r="DY32">
        <f>IF($DM32=0,"",IFERROR(IF(ISNUMBER($DX32),$DX32,IF($DX32="","",IF(TRIM($DX32)="",0,IF(AND(AND(SUBSTITUTE(SUBSTITUTE(SUBSTITUTE(SUBSTITUTE(SUBSTITUTE(SUBSTITUTE(SUBSTITUTE(SUBSTITUTE(SUBSTITUTE(SUBSTITUTE(SUBSTITUTE(SUBSTITUTE(SUBSTITUTE(SUBSTITUTE(UPPER(TRIM($DX32)),"0",""),"1",""),"2",""),"3",""),"4",""),"5",""),"6",""),"7",""),"8",""),"9",""),".",""),"+",""),"-",""),"E","")="",LEN(SUBSTITUTE(SUBSTITUTE(MID(UPPER(TRIM($DX32)),1+OR(LEFT(UPPER(TRIM($DX32)),1)="+",LEFT(UPPER(TRIM($DX32)),1)="-"),999),"E+","E"),"E-","E"))=LEN(SUBSTITUTE(SUBSTITUTE(SUBSTITUTE(SUBSTITUTE(MID(UPPER(TRIM($DX32)),1+OR(LEFT(UPPER(TRIM($DX32)),1)="+",LEFT(UPPER(TRIM($DX32)),1)="-"),999),"E+","E"),"E-","E"),"+",""),"-","")),LEN(UPPER(TRIM($DX32)))-LEN(SUBSTITUTE(UPPER(TRIM($DX32)),"E",""))&lt;2,LEN(UPPER(TRIM($DX32)))-LEN(SUBSTITUTE(UPPER(TRIM($DX32)),".",""))&lt;2,IFERROR(FIND(".",UPPER(TRIM($DX32))),0)&lt;IFERROR(FIND("E",UPPER(TRIM($DX32))),999)),ISNUMBER(VALUE(TRIM($DX32)))),VALUE(TRIM($DX32)),"")))),""))</f>
        <v/>
      </c>
      <c r="DZ32">
        <f>IF($DM32=0,"",IF($L$17=0,"",IFERROR(IF(ISNUMBER(INDEX(PASTE_ALL,$DF32,$L$17)),INDEX(PASTE_ALL,$DF32,$L$17),SUBSTITUTE(SUBSTITUTE(TRIM(SUBSTITUTE(SUBSTITUTE(SUBSTITUTE(SUBSTITUTE(INDEX(PASTE_ALL,$DF32,$L$17)," "," "),CHAR(9)," "),CHAR(10)," "),CHAR(13)," ")),",",""),"%","")),"")))</f>
        <v/>
      </c>
      <c r="EA32">
        <f>IF($DM32=0,"",IFERROR(IF(ISNUMBER($DZ32),$DZ32,IF($DZ32="","",IF(TRIM($DZ32)="",0,IF(AND(AND(SUBSTITUTE(SUBSTITUTE(SUBSTITUTE(SUBSTITUTE(SUBSTITUTE(SUBSTITUTE(SUBSTITUTE(SUBSTITUTE(SUBSTITUTE(SUBSTITUTE(SUBSTITUTE(SUBSTITUTE(SUBSTITUTE(SUBSTITUTE(UPPER(TRIM($DZ32)),"0",""),"1",""),"2",""),"3",""),"4",""),"5",""),"6",""),"7",""),"8",""),"9",""),".",""),"+",""),"-",""),"E","")="",LEN(SUBSTITUTE(SUBSTITUTE(MID(UPPER(TRIM($DZ32)),1+OR(LEFT(UPPER(TRIM($DZ32)),1)="+",LEFT(UPPER(TRIM($DZ32)),1)="-"),999),"E+","E"),"E-","E"))=LEN(SUBSTITUTE(SUBSTITUTE(SUBSTITUTE(SUBSTITUTE(MID(UPPER(TRIM($DZ32)),1+OR(LEFT(UPPER(TRIM($DZ32)),1)="+",LEFT(UPPER(TRIM($DZ32)),1)="-"),999),"E+","E"),"E-","E"),"+",""),"-","")),LEN(UPPER(TRIM($DZ32)))-LEN(SUBSTITUTE(UPPER(TRIM($DZ32)),"E",""))&lt;2,LEN(UPPER(TRIM($DZ32)))-LEN(SUBSTITUTE(UPPER(TRIM($DZ32)),".",""))&lt;2,IFERROR(FIND(".",UPPER(TRIM($DZ32))),0)&lt;IFERROR(FIND("E",UPPER(TRIM($DZ32))),999)),ISNUMBER(VALUE(TRIM($DZ32)))),VALUE(TRIM($DZ32)),"")))),""))</f>
        <v/>
      </c>
      <c r="EB32">
        <f>IF($DM32=0,"",IF($L$18=0,"",IFERROR(IF(UPPER(TRIM(SUBSTITUTE(SUBSTITUTE(SUBSTITUTE(SUBSTITUTE(INDEX(PASTE_ALL,$DF32,$L$18)," "," "),CHAR(9)," "),CHAR(10)," "),CHAR(13)," ")))="READY","Ready",IF(UPPER(TRIM(SUBSTITUTE(SUBSTITUTE(SUBSTITUTE(SUBSTITUTE(INDEX(PASTE_ALL,$DF32,$L$18)," "," "),CHAR(9)," "),CHAR(10)," "),CHAR(13)," ")))="PM","PM",IF(OR(UPPER(TRIM(SUBSTITUTE(SUBSTITUTE(SUBSTITUTE(SUBSTITUTE(INDEX(PASTE_ALL,$DF32,$L$18)," "," "),CHAR(9)," "),CHAR(10)," "),CHAR(13)," ")))="OT",UPPER(TRIM(SUBSTITUTE(SUBSTITUTE(SUBSTITUTE(SUBSTITUTE(INDEX(PASTE_ALL,$DF32,$L$18)," "," "),CHAR(9)," "),CHAR(10)," "),CHAR(13)," ")))="OVERTIME",UPPER(TRIM(SUBSTITUTE(SUBSTITUTE(SUBSTITUTE(SUBSTITUTE(INDEX(PASTE_ALL,$DF32,$L$18)," "," "),CHAR(9)," "),CHAR(10)," "),CHAR(13)," ")))="TRIAL"),"OT",TRIM(SUBSTITUTE(SUBSTITUTE(SUBSTITUTE(SUBSTITUTE(INDEX(PASTE_ALL,$DF32,$L$18)," "," "),CHAR(9)," "),CHAR(10)," "),CHAR(13)," "))))),"")))</f>
        <v/>
      </c>
      <c r="EC32">
        <f>IF($DM32=0,"",IF($L$19=0,"",IFERROR(IF(ISNUMBER(INDEX(PASTE_ALL,$DF32,$L$19)),INDEX(PASTE_ALL,$DF32,$L$19),TRIM(SUBSTITUTE(SUBSTITUTE(SUBSTITUTE(SUBSTITUTE(INDEX(PASTE_ALL,$DF32,$L$19)," "," "),CHAR(9)," "),CHAR(10)," "),CHAR(13)," "))),"")))</f>
        <v/>
      </c>
      <c r="ED32">
        <f>IF($DM32=0,"",MATCH(1,INDEX(EXACT($DH$5:DH32,$DH32)*$DM$5:DM32,0),0))</f>
        <v/>
      </c>
      <c r="EE32">
        <f>IF($DM32=0,0,IF($ED32=$DE32,1,0))</f>
        <v/>
      </c>
      <c r="EF32">
        <f>EF31+$EE32</f>
        <v/>
      </c>
      <c r="EG32">
        <f>IF($DM32=0,"",INDEX($EF$5:$EF$1003,$ED32))</f>
        <v/>
      </c>
      <c r="EH32">
        <f>IF($DM32=0,"",IF($DO32&lt;&gt;"","",IFERROR(LOOKUP(2,1/(($EG$4:EG31=$EG32)*($DO$4:DO31&lt;&gt;"")),$DO$4:DO31),"")))</f>
        <v/>
      </c>
      <c r="EI32">
        <f>IF($DM32=0,"",IF($DO32&lt;&gt;"",$DO32,$EH32))</f>
        <v/>
      </c>
      <c r="EJ32">
        <f>IF($DM32=0,"",IF($EI32="",0,IF(OR(ISNUMBER($EI32),AND(AND(SUBSTITUTE(SUBSTITUTE(SUBSTITUTE(SUBSTITUTE(SUBSTITUTE(SUBSTITUTE(SUBSTITUTE(SUBSTITUTE(SUBSTITUTE(SUBSTITUTE(SUBSTITUTE(SUBSTITUTE(SUBSTITUTE(SUBSTITUTE(UPPER($EI32),"0",""),"1",""),"2",""),"3",""),"4",""),"5",""),"6",""),"7",""),"8",""),"9",""),".",""),"+",""),"-",""),"E","")="",LEN(SUBSTITUTE(SUBSTITUTE(MID(UPPER($EI32),1+OR(LEFT(UPPER($EI32),1)="+",LEFT(UPPER($EI32),1)="-"),999),"E+","E"),"E-","E"))=LEN(SUBSTITUTE(SUBSTITUTE(SUBSTITUTE(SUBSTITUTE(MID(UPPER($EI32),1+OR(LEFT(UPPER($EI32),1)="+",LEFT(UPPER($EI32),1)="-"),999),"E+","E"),"E-","E"),"+",""),"-","")),LEN(UPPER($EI32))-LEN(SUBSTITUTE(UPPER($EI32),"E",""))&lt;2,LEN(UPPER($EI32))-LEN(SUBSTITUTE(UPPER($EI32),".",""))&lt;2,IFERROR(FIND(".",UPPER($EI32)),0)&lt;IFERROR(FIND("E",UPPER($EI32)),999)),ISNUMBER(VALUE($EI32)))),1,2)))</f>
        <v/>
      </c>
      <c r="EK32">
        <f>IF($DM32=0,"",IF($EJ32=1,IF(ISNUMBER($EI32),$EI32,VALUE($EI32)),IF($EJ32=2,$DE32,0)))</f>
        <v/>
      </c>
      <c r="EL32">
        <f>IF($DM32=0,"",COUNTIF($EG$5:$EG$1003,"&lt;"&amp;$EG32)+SUMPRODUCT(($EG$5:$EG$1003=$EG32)*(($EJ$5:$EJ$1003&lt;$EJ32)+($EJ$5:$EJ$1003=$EJ32)*(($EK$5:$EK$1003&lt;$EK32)+($EK$5:$EK$1003=$EK32)*($DE$5:$DE$1003&lt;$DE32))))+1)</f>
        <v/>
      </c>
      <c r="EM32">
        <f>IF($DM32=0,"",$EL32+$EG32-1)</f>
        <v/>
      </c>
      <c r="EN32">
        <f>IF($DM32=0,0,IFERROR(MATCH(1,INDEX(--(TRIM(SUBSTITUTE(SUBSTITUTE(SUBSTITUTE(SUBSTITUTE(LINES_NAME&amp;""," "," "),CHAR(9)," "),CHAR(10)," "),CHAR(13)," "))=$DH32),0),0),0))</f>
        <v/>
      </c>
      <c r="EO32">
        <f>IF($EN32=0,0,IF(OR(UPPER(TRIM(INDEX(LINES_SCHEDULED,$EN32)&amp;""))="YES",UPPER(TRIM(INDEX(LINES_SCHEDULED,$EN32)&amp;""))="Y",UPPER(TRIM(INDEX(LINES_SCHEDULED,$EN32)&amp;""))="X"),1,0))</f>
        <v/>
      </c>
      <c r="EP32">
        <f>IF($DM32=0,"",IF(COUNTIFS($EG$5:$EG$1003,$EG32,$EB$5:$EB$1003,"Ready")&gt;0,"READY",IF(COUNTIFS($EG$5:$EG$1003,$EG32,$EB$5:$EB$1003,"PM")&gt;0,"PM",IF(COUNTIFS($EG$5:$EG$1003,$EG32,$EB$5:$EB$1003,"OT")&gt;0,"OT",""))))</f>
        <v/>
      </c>
      <c r="EQ32">
        <f>IF($EN32=0,"",UPPER(TRIM(INDEX(LINES_STATUS,$EN32)&amp;"")))</f>
        <v/>
      </c>
      <c r="ER32">
        <f>IF($DM32=0,"",IF(OR($EQ32="READY",$EQ32="PM",$EQ32="OT"),$EQ32,$EP32))</f>
        <v/>
      </c>
      <c r="ES32">
        <f>IF($DM32=0,"",IF(AND($DV32&lt;&gt;"",UPPER($DV32)&lt;&gt;"N"),"allergen",IF(ISNUMBER(SEARCH("oil",$DQ32)),"oil",IF(OR(EXACT($DS32,"A662"),EXACT($DS32,"A624")),"bulk",""))))</f>
        <v/>
      </c>
      <c r="ET32">
        <f>IF($DM32=0,"",IF(OR($EA32="",$EA32=0),"",$EA32/100))</f>
        <v/>
      </c>
      <c r="EU32">
        <f>IF(OR($ET32="",$DY32=""),"",INT($DY32*(1-$ET32)+0.5))</f>
        <v/>
      </c>
      <c r="EW32" t="n">
        <v>28</v>
      </c>
      <c r="EX32">
        <f>IFERROR(MATCH($EW32,$EM$5:$EM$1003,0),0)</f>
        <v/>
      </c>
      <c r="EY32">
        <f>IF($EW32&gt;$B$12,"",IF($EX32&gt;0,"row","spacer"))</f>
        <v/>
      </c>
      <c r="EZ32">
        <f>IF(AND($EY32="row",$EY31&lt;&gt;"row"),1,0)</f>
        <v/>
      </c>
      <c r="FA32">
        <f>IF(AND($EY32="row",$EY33&lt;&gt;"row"),1,0)</f>
        <v/>
      </c>
      <c r="FB32">
        <f>IF($EZ32=1,IFERROR(IF(ISNUMBER(INDEX(PASTE_ALL,INDEX($DF$5:$DF$1003,$EX32),$B$37)),INDEX(PASTE_ALL,INDEX($DF$5:$DF$1003,$EX32),$B$37),INDEX($DH$5:$DH$1003,$EX32)),INDEX($DH$5:$DH$1003,$EX32)),"")</f>
        <v/>
      </c>
      <c r="FC32">
        <f>IF($EY32="row",INDEX($ER$5:$ER$1003,$EX32),"")</f>
        <v/>
      </c>
      <c r="FD32">
        <f>IF($EY32="row",INDEX($DN$5:$DN$1003,$EX32),"")</f>
        <v/>
      </c>
      <c r="FE32">
        <f>IF($EY32="row",INDEX($DO$5:$DO$1003,$EX32),"")</f>
        <v/>
      </c>
      <c r="FF32">
        <f>IF($EY32="row",INDEX($DP$5:$DP$1003,$EX32),"")</f>
        <v/>
      </c>
      <c r="FG32">
        <f>IF($EY32="row",INDEX($DQ$5:$DQ$1003,$EX32),"")</f>
        <v/>
      </c>
      <c r="FH32">
        <f>IF($EY32="row",INDEX($DR$5:$DR$1003,$EX32),"")</f>
        <v/>
      </c>
      <c r="FI32">
        <f>IF($EY32="row",INDEX($DS$5:$DS$1003,$EX32),"")</f>
        <v/>
      </c>
      <c r="FJ32">
        <f>IF($EY32="row",INDEX($DT$5:$DT$1003,$EX32),"")</f>
        <v/>
      </c>
      <c r="FK32">
        <f>IF($EY32="row",INDEX($DU$5:$DU$1003,$EX32),"")</f>
        <v/>
      </c>
      <c r="FL32">
        <f>IF($EY32="row",INDEX($DV$5:$DV$1003,$EX32),"")</f>
        <v/>
      </c>
      <c r="FM32">
        <f>IF($EY32="row",INDEX($DW$5:$DW$1003,$EX32),"")</f>
        <v/>
      </c>
      <c r="FN32">
        <f>IF($EY32="row",INDEX($DY$5:$DY$1003,$EX32),"")</f>
        <v/>
      </c>
      <c r="FO32">
        <f>IF($EY32="row",INDEX($EA$5:$EA$1003,$EX32),"")</f>
        <v/>
      </c>
      <c r="FP32">
        <f>IF($EY32="row",INDEX($EC$5:$EC$1003,$EX32),"")</f>
        <v/>
      </c>
      <c r="FQ32">
        <f>IF($EY32="row",INDEX($ET$5:$ET$1003,$EX32),"")</f>
        <v/>
      </c>
      <c r="FR32">
        <f>IF($EY32="row",INDEX($EU$5:$EU$1003,$EX32),"")</f>
        <v/>
      </c>
      <c r="FS32">
        <f>IF(AND($EY32="row",$EY31="row"),IF(OR(INDEX($DT$5:$DT$1003,$EX31)="",INDEX($DT$5:$DT$1003,$EX32)=""),"",IF(NOT(EXACT(INDEX($DT$5:$DT$1003,$EX31),INDEX($DT$5:$DT$1003,$EX32))),"S4",IF(NOT(EXACT(INDEX($DS$5:$DS$1003,$EX31),INDEX($DS$5:$DS$1003,$EX32))),"S3",IF(NOT(EXACT(INDEX($DR$5:$DR$1003,$EX31),INDEX($DR$5:$DR$1003,$EX32))),"S1 Count Change","S1")))),"")</f>
        <v/>
      </c>
      <c r="FT32">
        <f>IF($EY32="row",INDEX($ES$5:$ES$1003,$EX32),"")</f>
        <v/>
      </c>
      <c r="FU32">
        <f>IF($EY32="row",INDEX($EO$5:$EO$1003,$EX32),0)</f>
        <v/>
      </c>
      <c r="FV32">
        <f>IF($FS32="S1 Count Change",1,0)</f>
        <v/>
      </c>
      <c r="FX32" t="n">
        <v>28</v>
      </c>
      <c r="FY32">
        <f>IFERROR(MATCH($FX32,$EF$5:$EF$1003,0),0)</f>
        <v/>
      </c>
      <c r="FZ32">
        <f>IF($FY32=0,"",INDEX($DH$5:$DH$1003,$FY32))</f>
        <v/>
      </c>
      <c r="GA32">
        <f>IF($FY32=0,"",COUNTIF($EG$5:$EG$1003,$FX32))</f>
        <v/>
      </c>
      <c r="GB32">
        <f>IF($FY32=0,"",INDEX($ER$5:$ER$1003,$FY32))</f>
        <v/>
      </c>
      <c r="GC32">
        <f>IF($FY32=0,"",IF(INDEX($EO$5:$EO$1003,$FY32)=1,"Yes",""))</f>
        <v/>
      </c>
      <c r="GD32">
        <f>IF($FY32=0,"",IF(INDEX($EN$5:$EN$1003,$FY32)&gt;0,"","NOT IN YOUR LIST - type it in column A to tick it"))</f>
        <v/>
      </c>
      <c r="GE32">
        <f>IF(AND($FY32&gt;0,$GD32&lt;&gt;""),1,0)</f>
        <v/>
      </c>
      <c r="GF32">
        <f>GF31+$GE32</f>
        <v/>
      </c>
      <c r="GG32">
        <f>IFERROR(INDEX($FZ$5:$FZ$104,MATCH($FX32,$GF$5:$GF$104,0)),"")</f>
        <v/>
      </c>
    </row>
    <row r="33">
      <c r="A33" t="inlineStr">
        <is>
          <t>Status OK</t>
        </is>
      </c>
      <c r="B33">
        <f>IF(AND($B$26=0,$B$24=0,$B$25=0,$B$10&gt;0,$B$31="",$B$28=0),1,0)</f>
        <v/>
      </c>
      <c r="S33" t="n">
        <v>29</v>
      </c>
      <c r="T33" t="inlineStr">
        <is>
          <t>AC</t>
        </is>
      </c>
      <c r="V33" t="inlineStr">
        <is>
          <t>SKU</t>
        </is>
      </c>
      <c r="W33" t="n">
        <v>4</v>
      </c>
      <c r="Y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 ",""),"!",""),CHAR(34),""),"#",""),"$",""),"%",""),"&amp;",""),"'",""),"(",""),")",""),"*",""),"+",""),",",""),"-",""),".",""),"/",""),":",""),";",""),"&lt;",""),"=",""),"&gt;",""),"?",""),"@",""),"[",""),"\",""),"]",""),"^",""),"_",""),"`",""),"{",""),"|",""),"}",""),"~",""),CHAR(9),""),CHAR(10),""),CHAR(13),"")," ",""),"")</f>
        <v/>
      </c>
      <c r="Z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 ",""),"!",""),CHAR(34),""),"#",""),"$",""),"%",""),"&amp;",""),"'",""),"(",""),")",""),"*",""),"+",""),",",""),"-",""),".",""),"/",""),":",""),";",""),"&lt;",""),"=",""),"&gt;",""),"?",""),"@",""),"[",""),"\",""),"]",""),"^",""),"_",""),"`",""),"{",""),"|",""),"}",""),"~",""),CHAR(9),""),CHAR(10),""),CHAR(13),"")," ",""),"")</f>
        <v/>
      </c>
      <c r="AA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 ",""),"!",""),CHAR(34),""),"#",""),"$",""),"%",""),"&amp;",""),"'",""),"(",""),")",""),"*",""),"+",""),",",""),"-",""),".",""),"/",""),":",""),";",""),"&lt;",""),"=",""),"&gt;",""),"?",""),"@",""),"[",""),"\",""),"]",""),"^",""),"_",""),"`",""),"{",""),"|",""),"}",""),"~",""),CHAR(9),""),CHAR(10),""),CHAR(13),"")," ",""),"")</f>
        <v/>
      </c>
      <c r="AB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 ",""),"!",""),CHAR(34),""),"#",""),"$",""),"%",""),"&amp;",""),"'",""),"(",""),")",""),"*",""),"+",""),",",""),"-",""),".",""),"/",""),":",""),";",""),"&lt;",""),"=",""),"&gt;",""),"?",""),"@",""),"[",""),"\",""),"]",""),"^",""),"_",""),"`",""),"{",""),"|",""),"}",""),"~",""),CHAR(9),""),CHAR(10),""),CHAR(13),"")," ",""),"")</f>
        <v/>
      </c>
      <c r="AC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 ",""),"!",""),CHAR(34),""),"#",""),"$",""),"%",""),"&amp;",""),"'",""),"(",""),")",""),"*",""),"+",""),",",""),"-",""),".",""),"/",""),":",""),";",""),"&lt;",""),"=",""),"&gt;",""),"?",""),"@",""),"[",""),"\",""),"]",""),"^",""),"_",""),"`",""),"{",""),"|",""),"}",""),"~",""),CHAR(9),""),CHAR(10),""),CHAR(13),"")," ",""),"")</f>
        <v/>
      </c>
      <c r="AD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29,6))," ",""),"!",""),CHAR(34),""),"#",""),"$",""),"%",""),"&amp;",""),"'",""),"(",""),")",""),"*",""),"+",""),",",""),"-",""),".",""),"/",""),":",""),";",""),"&lt;",""),"=",""),"&gt;",""),"?",""),"@",""),"[",""),"\",""),"]",""),"^",""),"_",""),"`",""),"{",""),"|",""),"}",""),"~",""),CHAR(9),""),CHAR(10),""),CHAR(13),"")," ",""),"")</f>
        <v/>
      </c>
      <c r="AE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29,7))," ",""),"!",""),CHAR(34),""),"#",""),"$",""),"%",""),"&amp;",""),"'",""),"(",""),")",""),"*",""),"+",""),",",""),"-",""),".",""),"/",""),":",""),";",""),"&lt;",""),"=",""),"&gt;",""),"?",""),"@",""),"[",""),"\",""),"]",""),"^",""),"_",""),"`",""),"{",""),"|",""),"}",""),"~",""),CHAR(9),""),CHAR(10),""),CHAR(13),"")," ",""),"")</f>
        <v/>
      </c>
      <c r="AF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29,8))," ",""),"!",""),CHAR(34),""),"#",""),"$",""),"%",""),"&amp;",""),"'",""),"(",""),")",""),"*",""),"+",""),",",""),"-",""),".",""),"/",""),":",""),";",""),"&lt;",""),"=",""),"&gt;",""),"?",""),"@",""),"[",""),"\",""),"]",""),"^",""),"_",""),"`",""),"{",""),"|",""),"}",""),"~",""),CHAR(9),""),CHAR(10),""),CHAR(13),"")," ",""),"")</f>
        <v/>
      </c>
      <c r="AG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29,9))," ",""),"!",""),CHAR(34),""),"#",""),"$",""),"%",""),"&amp;",""),"'",""),"(",""),")",""),"*",""),"+",""),",",""),"-",""),".",""),"/",""),":",""),";",""),"&lt;",""),"=",""),"&gt;",""),"?",""),"@",""),"[",""),"\",""),"]",""),"^",""),"_",""),"`",""),"{",""),"|",""),"}",""),"~",""),CHAR(9),""),CHAR(10),""),CHAR(13),"")," ",""),"")</f>
        <v/>
      </c>
      <c r="AH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29,10))," ",""),"!",""),CHAR(34),""),"#",""),"$",""),"%",""),"&amp;",""),"'",""),"(",""),")",""),"*",""),"+",""),",",""),"-",""),".",""),"/",""),":",""),";",""),"&lt;",""),"=",""),"&gt;",""),"?",""),"@",""),"[",""),"\",""),"]",""),"^",""),"_",""),"`",""),"{",""),"|",""),"}",""),"~",""),CHAR(9),""),CHAR(10),""),CHAR(13),"")," ",""),"")</f>
        <v/>
      </c>
      <c r="AI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29,11))," ",""),"!",""),CHAR(34),""),"#",""),"$",""),"%",""),"&amp;",""),"'",""),"(",""),")",""),"*",""),"+",""),",",""),"-",""),".",""),"/",""),":",""),";",""),"&lt;",""),"=",""),"&gt;",""),"?",""),"@",""),"[",""),"\",""),"]",""),"^",""),"_",""),"`",""),"{",""),"|",""),"}",""),"~",""),CHAR(9),""),CHAR(10),""),CHAR(13),"")," ",""),"")</f>
        <v/>
      </c>
      <c r="AJ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29,12))," ",""),"!",""),CHAR(34),""),"#",""),"$",""),"%",""),"&amp;",""),"'",""),"(",""),")",""),"*",""),"+",""),",",""),"-",""),".",""),"/",""),":",""),";",""),"&lt;",""),"=",""),"&gt;",""),"?",""),"@",""),"[",""),"\",""),"]",""),"^",""),"_",""),"`",""),"{",""),"|",""),"}",""),"~",""),CHAR(9),""),CHAR(10),""),CHAR(13),"")," ",""),"")</f>
        <v/>
      </c>
      <c r="AK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29,13))," ",""),"!",""),CHAR(34),""),"#",""),"$",""),"%",""),"&amp;",""),"'",""),"(",""),")",""),"*",""),"+",""),",",""),"-",""),".",""),"/",""),":",""),";",""),"&lt;",""),"=",""),"&gt;",""),"?",""),"@",""),"[",""),"\",""),"]",""),"^",""),"_",""),"`",""),"{",""),"|",""),"}",""),"~",""),CHAR(9),""),CHAR(10),""),CHAR(13),"")," ",""),"")</f>
        <v/>
      </c>
      <c r="AL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29,14))," ",""),"!",""),CHAR(34),""),"#",""),"$",""),"%",""),"&amp;",""),"'",""),"(",""),")",""),"*",""),"+",""),",",""),"-",""),".",""),"/",""),":",""),";",""),"&lt;",""),"=",""),"&gt;",""),"?",""),"@",""),"[",""),"\",""),"]",""),"^",""),"_",""),"`",""),"{",""),"|",""),"}",""),"~",""),CHAR(9),""),CHAR(10),""),CHAR(13),"")," ",""),"")</f>
        <v/>
      </c>
      <c r="AM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29,15))," ",""),"!",""),CHAR(34),""),"#",""),"$",""),"%",""),"&amp;",""),"'",""),"(",""),")",""),"*",""),"+",""),",",""),"-",""),".",""),"/",""),":",""),";",""),"&lt;",""),"=",""),"&gt;",""),"?",""),"@",""),"[",""),"\",""),"]",""),"^",""),"_",""),"`",""),"{",""),"|",""),"}",""),"~",""),CHAR(9),""),CHAR(10),""),CHAR(13),"")," ",""),"")</f>
        <v/>
      </c>
      <c r="AN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29,16))," ",""),"!",""),CHAR(34),""),"#",""),"$",""),"%",""),"&amp;",""),"'",""),"(",""),")",""),"*",""),"+",""),",",""),"-",""),".",""),"/",""),":",""),";",""),"&lt;",""),"=",""),"&gt;",""),"?",""),"@",""),"[",""),"\",""),"]",""),"^",""),"_",""),"`",""),"{",""),"|",""),"}",""),"~",""),CHAR(9),""),CHAR(10),""),CHAR(13),"")," ",""),"")</f>
        <v/>
      </c>
      <c r="AO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29,17))," ",""),"!",""),CHAR(34),""),"#",""),"$",""),"%",""),"&amp;",""),"'",""),"(",""),")",""),"*",""),"+",""),",",""),"-",""),".",""),"/",""),":",""),";",""),"&lt;",""),"=",""),"&gt;",""),"?",""),"@",""),"[",""),"\",""),"]",""),"^",""),"_",""),"`",""),"{",""),"|",""),"}",""),"~",""),CHAR(9),""),CHAR(10),""),CHAR(13),"")," ",""),"")</f>
        <v/>
      </c>
      <c r="AP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29,18))," ",""),"!",""),CHAR(34),""),"#",""),"$",""),"%",""),"&amp;",""),"'",""),"(",""),")",""),"*",""),"+",""),",",""),"-",""),".",""),"/",""),":",""),";",""),"&lt;",""),"=",""),"&gt;",""),"?",""),"@",""),"[",""),"\",""),"]",""),"^",""),"_",""),"`",""),"{",""),"|",""),"}",""),"~",""),CHAR(9),""),CHAR(10),""),CHAR(13),"")," ",""),"")</f>
        <v/>
      </c>
      <c r="AQ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29,19))," ",""),"!",""),CHAR(34),""),"#",""),"$",""),"%",""),"&amp;",""),"'",""),"(",""),")",""),"*",""),"+",""),",",""),"-",""),".",""),"/",""),":",""),";",""),"&lt;",""),"=",""),"&gt;",""),"?",""),"@",""),"[",""),"\",""),"]",""),"^",""),"_",""),"`",""),"{",""),"|",""),"}",""),"~",""),CHAR(9),""),CHAR(10),""),CHAR(13),"")," ",""),"")</f>
        <v/>
      </c>
      <c r="AR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29,20))," ",""),"!",""),CHAR(34),""),"#",""),"$",""),"%",""),"&amp;",""),"'",""),"(",""),")",""),"*",""),"+",""),",",""),"-",""),".",""),"/",""),":",""),";",""),"&lt;",""),"=",""),"&gt;",""),"?",""),"@",""),"[",""),"\",""),"]",""),"^",""),"_",""),"`",""),"{",""),"|",""),"}",""),"~",""),CHAR(9),""),CHAR(10),""),CHAR(13),"")," ",""),"")</f>
        <v/>
      </c>
      <c r="AS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29,21))," ",""),"!",""),CHAR(34),""),"#",""),"$",""),"%",""),"&amp;",""),"'",""),"(",""),")",""),"*",""),"+",""),",",""),"-",""),".",""),"/",""),":",""),";",""),"&lt;",""),"=",""),"&gt;",""),"?",""),"@",""),"[",""),"\",""),"]",""),"^",""),"_",""),"`",""),"{",""),"|",""),"}",""),"~",""),CHAR(9),""),CHAR(10),""),CHAR(13),"")," ",""),"")</f>
        <v/>
      </c>
      <c r="AT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29,22))," ",""),"!",""),CHAR(34),""),"#",""),"$",""),"%",""),"&amp;",""),"'",""),"(",""),")",""),"*",""),"+",""),",",""),"-",""),".",""),"/",""),":",""),";",""),"&lt;",""),"=",""),"&gt;",""),"?",""),"@",""),"[",""),"\",""),"]",""),"^",""),"_",""),"`",""),"{",""),"|",""),"}",""),"~",""),CHAR(9),""),CHAR(10),""),CHAR(13),"")," ",""),"")</f>
        <v/>
      </c>
      <c r="AU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29,23))," ",""),"!",""),CHAR(34),""),"#",""),"$",""),"%",""),"&amp;",""),"'",""),"(",""),")",""),"*",""),"+",""),",",""),"-",""),".",""),"/",""),":",""),";",""),"&lt;",""),"=",""),"&gt;",""),"?",""),"@",""),"[",""),"\",""),"]",""),"^",""),"_",""),"`",""),"{",""),"|",""),"}",""),"~",""),CHAR(9),""),CHAR(10),""),CHAR(13),"")," ",""),"")</f>
        <v/>
      </c>
      <c r="AV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29,24))," ",""),"!",""),CHAR(34),""),"#",""),"$",""),"%",""),"&amp;",""),"'",""),"(",""),")",""),"*",""),"+",""),",",""),"-",""),".",""),"/",""),":",""),";",""),"&lt;",""),"=",""),"&gt;",""),"?",""),"@",""),"[",""),"\",""),"]",""),"^",""),"_",""),"`",""),"{",""),"|",""),"}",""),"~",""),CHAR(9),""),CHAR(10),""),CHAR(13),"")," ",""),"")</f>
        <v/>
      </c>
      <c r="AW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29,25))," ",""),"!",""),CHAR(34),""),"#",""),"$",""),"%",""),"&amp;",""),"'",""),"(",""),")",""),"*",""),"+",""),",",""),"-",""),".",""),"/",""),":",""),";",""),"&lt;",""),"=",""),"&gt;",""),"?",""),"@",""),"[",""),"\",""),"]",""),"^",""),"_",""),"`",""),"{",""),"|",""),"}",""),"~",""),CHAR(9),""),CHAR(10),""),CHAR(13),"")," ",""),"")</f>
        <v/>
      </c>
      <c r="AX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29,26))," ",""),"!",""),CHAR(34),""),"#",""),"$",""),"%",""),"&amp;",""),"'",""),"(",""),")",""),"*",""),"+",""),",",""),"-",""),".",""),"/",""),":",""),";",""),"&lt;",""),"=",""),"&gt;",""),"?",""),"@",""),"[",""),"\",""),"]",""),"^",""),"_",""),"`",""),"{",""),"|",""),"}",""),"~",""),CHAR(9),""),CHAR(10),""),CHAR(13),"")," ",""),"")</f>
        <v/>
      </c>
      <c r="AY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29,27))," ",""),"!",""),CHAR(34),""),"#",""),"$",""),"%",""),"&amp;",""),"'",""),"(",""),")",""),"*",""),"+",""),",",""),"-",""),".",""),"/",""),":",""),";",""),"&lt;",""),"=",""),"&gt;",""),"?",""),"@",""),"[",""),"\",""),"]",""),"^",""),"_",""),"`",""),"{",""),"|",""),"}",""),"~",""),CHAR(9),""),CHAR(10),""),CHAR(13),"")," ",""),"")</f>
        <v/>
      </c>
      <c r="AZ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29,28))," ",""),"!",""),CHAR(34),""),"#",""),"$",""),"%",""),"&amp;",""),"'",""),"(",""),")",""),"*",""),"+",""),",",""),"-",""),".",""),"/",""),":",""),";",""),"&lt;",""),"=",""),"&gt;",""),"?",""),"@",""),"[",""),"\",""),"]",""),"^",""),"_",""),"`",""),"{",""),"|",""),"}",""),"~",""),CHAR(9),""),CHAR(10),""),CHAR(13),"")," ",""),"")</f>
        <v/>
      </c>
      <c r="BA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29,29))," ",""),"!",""),CHAR(34),""),"#",""),"$",""),"%",""),"&amp;",""),"'",""),"(",""),")",""),"*",""),"+",""),",",""),"-",""),".",""),"/",""),":",""),";",""),"&lt;",""),"=",""),"&gt;",""),"?",""),"@",""),"[",""),"\",""),"]",""),"^",""),"_",""),"`",""),"{",""),"|",""),"}",""),"~",""),CHAR(9),""),CHAR(10),""),CHAR(13),"")," ",""),"")</f>
        <v/>
      </c>
      <c r="BB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29,30))," ",""),"!",""),CHAR(34),""),"#",""),"$",""),"%",""),"&amp;",""),"'",""),"(",""),")",""),"*",""),"+",""),",",""),"-",""),".",""),"/",""),":",""),";",""),"&lt;",""),"=",""),"&gt;",""),"?",""),"@",""),"[",""),"\",""),"]",""),"^",""),"_",""),"`",""),"{",""),"|",""),"}",""),"~",""),CHAR(9),""),CHAR(10),""),CHAR(13),"")," ",""),"")</f>
        <v/>
      </c>
      <c r="BC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29,31))," ",""),"!",""),CHAR(34),""),"#",""),"$",""),"%",""),"&amp;",""),"'",""),"(",""),")",""),"*",""),"+",""),",",""),"-",""),".",""),"/",""),":",""),";",""),"&lt;",""),"=",""),"&gt;",""),"?",""),"@",""),"[",""),"\",""),"]",""),"^",""),"_",""),"`",""),"{",""),"|",""),"}",""),"~",""),CHAR(9),""),CHAR(10),""),CHAR(13),"")," ",""),"")</f>
        <v/>
      </c>
      <c r="BD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29,32))," ",""),"!",""),CHAR(34),""),"#",""),"$",""),"%",""),"&amp;",""),"'",""),"(",""),")",""),"*",""),"+",""),",",""),"-",""),".",""),"/",""),":",""),";",""),"&lt;",""),"=",""),"&gt;",""),"?",""),"@",""),"[",""),"\",""),"]",""),"^",""),"_",""),"`",""),"{",""),"|",""),"}",""),"~",""),CHAR(9),""),CHAR(10),""),CHAR(13),"")," ",""),"")</f>
        <v/>
      </c>
      <c r="BE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29,33))," ",""),"!",""),CHAR(34),""),"#",""),"$",""),"%",""),"&amp;",""),"'",""),"(",""),")",""),"*",""),"+",""),",",""),"-",""),".",""),"/",""),":",""),";",""),"&lt;",""),"=",""),"&gt;",""),"?",""),"@",""),"[",""),"\",""),"]",""),"^",""),"_",""),"`",""),"{",""),"|",""),"}",""),"~",""),CHAR(9),""),CHAR(10),""),CHAR(13),"")," ",""),"")</f>
        <v/>
      </c>
      <c r="BF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29,34))," ",""),"!",""),CHAR(34),""),"#",""),"$",""),"%",""),"&amp;",""),"'",""),"(",""),")",""),"*",""),"+",""),",",""),"-",""),".",""),"/",""),":",""),";",""),"&lt;",""),"=",""),"&gt;",""),"?",""),"@",""),"[",""),"\",""),"]",""),"^",""),"_",""),"`",""),"{",""),"|",""),"}",""),"~",""),CHAR(9),""),CHAR(10),""),CHAR(13),"")," ",""),"")</f>
        <v/>
      </c>
      <c r="BG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29,35))," ",""),"!",""),CHAR(34),""),"#",""),"$",""),"%",""),"&amp;",""),"'",""),"(",""),")",""),"*",""),"+",""),",",""),"-",""),".",""),"/",""),":",""),";",""),"&lt;",""),"=",""),"&gt;",""),"?",""),"@",""),"[",""),"\",""),"]",""),"^",""),"_",""),"`",""),"{",""),"|",""),"}",""),"~",""),CHAR(9),""),CHAR(10),""),CHAR(13),"")," ",""),"")</f>
        <v/>
      </c>
      <c r="BH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29,36))," ",""),"!",""),CHAR(34),""),"#",""),"$",""),"%",""),"&amp;",""),"'",""),"(",""),")",""),"*",""),"+",""),",",""),"-",""),".",""),"/",""),":",""),";",""),"&lt;",""),"=",""),"&gt;",""),"?",""),"@",""),"[",""),"\",""),"]",""),"^",""),"_",""),"`",""),"{",""),"|",""),"}",""),"~",""),CHAR(9),""),CHAR(10),""),CHAR(13),"")," ",""),"")</f>
        <v/>
      </c>
      <c r="BI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29,37))," ",""),"!",""),CHAR(34),""),"#",""),"$",""),"%",""),"&amp;",""),"'",""),"(",""),")",""),"*",""),"+",""),",",""),"-",""),".",""),"/",""),":",""),";",""),"&lt;",""),"=",""),"&gt;",""),"?",""),"@",""),"[",""),"\",""),"]",""),"^",""),"_",""),"`",""),"{",""),"|",""),"}",""),"~",""),CHAR(9),""),CHAR(10),""),CHAR(13),"")," ",""),"")</f>
        <v/>
      </c>
      <c r="BJ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29,38))," ",""),"!",""),CHAR(34),""),"#",""),"$",""),"%",""),"&amp;",""),"'",""),"(",""),")",""),"*",""),"+",""),",",""),"-",""),".",""),"/",""),":",""),";",""),"&lt;",""),"=",""),"&gt;",""),"?",""),"@",""),"[",""),"\",""),"]",""),"^",""),"_",""),"`",""),"{",""),"|",""),"}",""),"~",""),CHAR(9),""),CHAR(10),""),CHAR(13),"")," ",""),"")</f>
        <v/>
      </c>
      <c r="BK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29,39))," ",""),"!",""),CHAR(34),""),"#",""),"$",""),"%",""),"&amp;",""),"'",""),"(",""),")",""),"*",""),"+",""),",",""),"-",""),".",""),"/",""),":",""),";",""),"&lt;",""),"=",""),"&gt;",""),"?",""),"@",""),"[",""),"\",""),"]",""),"^",""),"_",""),"`",""),"{",""),"|",""),"}",""),"~",""),CHAR(9),""),CHAR(10),""),CHAR(13),"")," ",""),"")</f>
        <v/>
      </c>
      <c r="BL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29,40))," ",""),"!",""),CHAR(34),""),"#",""),"$",""),"%",""),"&amp;",""),"'",""),"(",""),")",""),"*",""),"+",""),",",""),"-",""),".",""),"/",""),":",""),";",""),"&lt;",""),"=",""),"&gt;",""),"?",""),"@",""),"[",""),"\",""),"]",""),"^",""),"_",""),"`",""),"{",""),"|",""),"}",""),"~",""),CHAR(9),""),CHAR(10),""),CHAR(13),"")," ",""),"")</f>
        <v/>
      </c>
      <c r="BM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29,41))," ",""),"!",""),CHAR(34),""),"#",""),"$",""),"%",""),"&amp;",""),"'",""),"(",""),")",""),"*",""),"+",""),",",""),"-",""),".",""),"/",""),":",""),";",""),"&lt;",""),"=",""),"&gt;",""),"?",""),"@",""),"[",""),"\",""),"]",""),"^",""),"_",""),"`",""),"{",""),"|",""),"}",""),"~",""),CHAR(9),""),CHAR(10),""),CHAR(13),"")," ",""),"")</f>
        <v/>
      </c>
      <c r="BN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29,42))," ",""),"!",""),CHAR(34),""),"#",""),"$",""),"%",""),"&amp;",""),"'",""),"(",""),")",""),"*",""),"+",""),",",""),"-",""),".",""),"/",""),":",""),";",""),"&lt;",""),"=",""),"&gt;",""),"?",""),"@",""),"[",""),"\",""),"]",""),"^",""),"_",""),"`",""),"{",""),"|",""),"}",""),"~",""),CHAR(9),""),CHAR(10),""),CHAR(13),"")," ",""),"")</f>
        <v/>
      </c>
      <c r="BO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29,43))," ",""),"!",""),CHAR(34),""),"#",""),"$",""),"%",""),"&amp;",""),"'",""),"(",""),")",""),"*",""),"+",""),",",""),"-",""),".",""),"/",""),":",""),";",""),"&lt;",""),"=",""),"&gt;",""),"?",""),"@",""),"[",""),"\",""),"]",""),"^",""),"_",""),"`",""),"{",""),"|",""),"}",""),"~",""),CHAR(9),""),CHAR(10),""),CHAR(13),"")," ",""),"")</f>
        <v/>
      </c>
      <c r="BP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29,44))," ",""),"!",""),CHAR(34),""),"#",""),"$",""),"%",""),"&amp;",""),"'",""),"(",""),")",""),"*",""),"+",""),",",""),"-",""),".",""),"/",""),":",""),";",""),"&lt;",""),"=",""),"&gt;",""),"?",""),"@",""),"[",""),"\",""),"]",""),"^",""),"_",""),"`",""),"{",""),"|",""),"}",""),"~",""),CHAR(9),""),CHAR(10),""),CHAR(13),"")," ",""),"")</f>
        <v/>
      </c>
      <c r="BQ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29,45))," ",""),"!",""),CHAR(34),""),"#",""),"$",""),"%",""),"&amp;",""),"'",""),"(",""),")",""),"*",""),"+",""),",",""),"-",""),".",""),"/",""),":",""),";",""),"&lt;",""),"=",""),"&gt;",""),"?",""),"@",""),"[",""),"\",""),"]",""),"^",""),"_",""),"`",""),"{",""),"|",""),"}",""),"~",""),CHAR(9),""),CHAR(10),""),CHAR(13),"")," ",""),"")</f>
        <v/>
      </c>
      <c r="BR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29,46))," ",""),"!",""),CHAR(34),""),"#",""),"$",""),"%",""),"&amp;",""),"'",""),"(",""),")",""),"*",""),"+",""),",",""),"-",""),".",""),"/",""),":",""),";",""),"&lt;",""),"=",""),"&gt;",""),"?",""),"@",""),"[",""),"\",""),"]",""),"^",""),"_",""),"`",""),"{",""),"|",""),"}",""),"~",""),CHAR(9),""),CHAR(10),""),CHAR(13),"")," ",""),"")</f>
        <v/>
      </c>
      <c r="BS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29,47))," ",""),"!",""),CHAR(34),""),"#",""),"$",""),"%",""),"&amp;",""),"'",""),"(",""),")",""),"*",""),"+",""),",",""),"-",""),".",""),"/",""),":",""),";",""),"&lt;",""),"=",""),"&gt;",""),"?",""),"@",""),"[",""),"\",""),"]",""),"^",""),"_",""),"`",""),"{",""),"|",""),"}",""),"~",""),CHAR(9),""),CHAR(10),""),CHAR(13),"")," ",""),"")</f>
        <v/>
      </c>
      <c r="BT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29,48))," ",""),"!",""),CHAR(34),""),"#",""),"$",""),"%",""),"&amp;",""),"'",""),"(",""),")",""),"*",""),"+",""),",",""),"-",""),".",""),"/",""),":",""),";",""),"&lt;",""),"=",""),"&gt;",""),"?",""),"@",""),"[",""),"\",""),"]",""),"^",""),"_",""),"`",""),"{",""),"|",""),"}",""),"~",""),CHAR(9),""),CHAR(10),""),CHAR(13),"")," ",""),"")</f>
        <v/>
      </c>
      <c r="BU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29,49))," ",""),"!",""),CHAR(34),""),"#",""),"$",""),"%",""),"&amp;",""),"'",""),"(",""),")",""),"*",""),"+",""),",",""),"-",""),".",""),"/",""),":",""),";",""),"&lt;",""),"=",""),"&gt;",""),"?",""),"@",""),"[",""),"\",""),"]",""),"^",""),"_",""),"`",""),"{",""),"|",""),"}",""),"~",""),CHAR(9),""),CHAR(10),""),CHAR(13),"")," ",""),"")</f>
        <v/>
      </c>
      <c r="BV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29,50))," ",""),"!",""),CHAR(34),""),"#",""),"$",""),"%",""),"&amp;",""),"'",""),"(",""),")",""),"*",""),"+",""),",",""),"-",""),".",""),"/",""),":",""),";",""),"&lt;",""),"=",""),"&gt;",""),"?",""),"@",""),"[",""),"\",""),"]",""),"^",""),"_",""),"`",""),"{",""),"|",""),"}",""),"~",""),CHAR(9),""),CHAR(10),""),CHAR(13),"")," ",""),"")</f>
        <v/>
      </c>
      <c r="BW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29,51))," ",""),"!",""),CHAR(34),""),"#",""),"$",""),"%",""),"&amp;",""),"'",""),"(",""),")",""),"*",""),"+",""),",",""),"-",""),".",""),"/",""),":",""),";",""),"&lt;",""),"=",""),"&gt;",""),"?",""),"@",""),"[",""),"\",""),"]",""),"^",""),"_",""),"`",""),"{",""),"|",""),"}",""),"~",""),CHAR(9),""),CHAR(10),""),CHAR(13),"")," ",""),"")</f>
        <v/>
      </c>
      <c r="BX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29,52))," ",""),"!",""),CHAR(34),""),"#",""),"$",""),"%",""),"&amp;",""),"'",""),"(",""),")",""),"*",""),"+",""),",",""),"-",""),".",""),"/",""),":",""),";",""),"&lt;",""),"=",""),"&gt;",""),"?",""),"@",""),"[",""),"\",""),"]",""),"^",""),"_",""),"`",""),"{",""),"|",""),"}",""),"~",""),CHAR(9),""),CHAR(10),""),CHAR(13),"")," ",""),"")</f>
        <v/>
      </c>
      <c r="BY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29,53))," ",""),"!",""),CHAR(34),""),"#",""),"$",""),"%",""),"&amp;",""),"'",""),"(",""),")",""),"*",""),"+",""),",",""),"-",""),".",""),"/",""),":",""),";",""),"&lt;",""),"=",""),"&gt;",""),"?",""),"@",""),"[",""),"\",""),"]",""),"^",""),"_",""),"`",""),"{",""),"|",""),"}",""),"~",""),CHAR(9),""),CHAR(10),""),CHAR(13),"")," ",""),"")</f>
        <v/>
      </c>
      <c r="BZ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29,54))," ",""),"!",""),CHAR(34),""),"#",""),"$",""),"%",""),"&amp;",""),"'",""),"(",""),")",""),"*",""),"+",""),",",""),"-",""),".",""),"/",""),":",""),";",""),"&lt;",""),"=",""),"&gt;",""),"?",""),"@",""),"[",""),"\",""),"]",""),"^",""),"_",""),"`",""),"{",""),"|",""),"}",""),"~",""),CHAR(9),""),CHAR(10),""),CHAR(13),"")," ",""),"")</f>
        <v/>
      </c>
      <c r="CA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29,55))," ",""),"!",""),CHAR(34),""),"#",""),"$",""),"%",""),"&amp;",""),"'",""),"(",""),")",""),"*",""),"+",""),",",""),"-",""),".",""),"/",""),":",""),";",""),"&lt;",""),"=",""),"&gt;",""),"?",""),"@",""),"[",""),"\",""),"]",""),"^",""),"_",""),"`",""),"{",""),"|",""),"}",""),"~",""),CHAR(9),""),CHAR(10),""),CHAR(13),"")," ",""),"")</f>
        <v/>
      </c>
      <c r="CB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29,56))," ",""),"!",""),CHAR(34),""),"#",""),"$",""),"%",""),"&amp;",""),"'",""),"(",""),")",""),"*",""),"+",""),",",""),"-",""),".",""),"/",""),":",""),";",""),"&lt;",""),"=",""),"&gt;",""),"?",""),"@",""),"[",""),"\",""),"]",""),"^",""),"_",""),"`",""),"{",""),"|",""),"}",""),"~",""),CHAR(9),""),CHAR(10),""),CHAR(13),"")," ",""),"")</f>
        <v/>
      </c>
      <c r="CC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29,57))," ",""),"!",""),CHAR(34),""),"#",""),"$",""),"%",""),"&amp;",""),"'",""),"(",""),")",""),"*",""),"+",""),",",""),"-",""),".",""),"/",""),":",""),";",""),"&lt;",""),"=",""),"&gt;",""),"?",""),"@",""),"[",""),"\",""),"]",""),"^",""),"_",""),"`",""),"{",""),"|",""),"}",""),"~",""),CHAR(9),""),CHAR(10),""),CHAR(13),"")," ",""),"")</f>
        <v/>
      </c>
      <c r="CD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29,58))," ",""),"!",""),CHAR(34),""),"#",""),"$",""),"%",""),"&amp;",""),"'",""),"(",""),")",""),"*",""),"+",""),",",""),"-",""),".",""),"/",""),":",""),";",""),"&lt;",""),"=",""),"&gt;",""),"?",""),"@",""),"[",""),"\",""),"]",""),"^",""),"_",""),"`",""),"{",""),"|",""),"}",""),"~",""),CHAR(9),""),CHAR(10),""),CHAR(13),"")," ",""),"")</f>
        <v/>
      </c>
      <c r="CE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29,59))," ",""),"!",""),CHAR(34),""),"#",""),"$",""),"%",""),"&amp;",""),"'",""),"(",""),")",""),"*",""),"+",""),",",""),"-",""),".",""),"/",""),":",""),";",""),"&lt;",""),"=",""),"&gt;",""),"?",""),"@",""),"[",""),"\",""),"]",""),"^",""),"_",""),"`",""),"{",""),"|",""),"}",""),"~",""),CHAR(9),""),CHAR(10),""),CHAR(13),"")," ",""),"")</f>
        <v/>
      </c>
      <c r="CF3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29,60))," ",""),"!",""),CHAR(34),""),"#",""),"$",""),"%",""),"&amp;",""),"'",""),"(",""),")",""),"*",""),"+",""),",",""),"-",""),".",""),"/",""),":",""),";",""),"&lt;",""),"=",""),"&gt;",""),"?",""),"@",""),"[",""),"\",""),"]",""),"^",""),"_",""),"`",""),"{",""),"|",""),"}",""),"~",""),CHAR(9),""),CHAR(10),""),CHAR(13),"")," ",""),"")</f>
        <v/>
      </c>
      <c r="CH33">
        <f>COUNTIF($Y78:$CF78,"&gt;0")</f>
        <v/>
      </c>
      <c r="CI33">
        <f>COUNTIF($Y78:$CF78,2)</f>
        <v/>
      </c>
      <c r="CJ33">
        <f>SUMPRODUCT((COUNTIF($Y123:$CF123,{1,2,3,4,5,6,7,8,9,10,11,12,13,14,15})&gt;0)*{2,4,8,16,32,64,128,256,512,1024,2048,4096,8192,16384,32768})</f>
        <v/>
      </c>
      <c r="CK33">
        <f>CF213</f>
        <v/>
      </c>
      <c r="CL33">
        <f>SUMPRODUCT(MOD(INT(((CJ33+CK33))/{2,4,8,16,32,64,128,256,512,1024,2048,4096,8192,16384,32768}),2))</f>
        <v/>
      </c>
      <c r="CM33">
        <f>IF(CH33&lt;2,-9999,CL33+2*MOD(INT(((CJ33+CK33))/2),2)+2*MOD(INT(((CJ33+CK33))/4),2)-CI33)</f>
        <v/>
      </c>
      <c r="DA33" t="n">
        <v>29</v>
      </c>
      <c r="DB33">
        <f>IF($B$37=0,"",IFERROR(TRIM(SUBSTITUTE(SUBSTITUTE(SUBSTITUTE(SUBSTITUTE(INDEX(PASTE_ALL,29,$B$37)," "," "),CHAR(9)," "),CHAR(10)," "),CHAR(13)," ")),""))</f>
        <v/>
      </c>
      <c r="DC33">
        <f>IF(AND(29&gt;HEADER_ROW,UPPER(DB33)="LEGEND"),1,0)</f>
        <v/>
      </c>
      <c r="DE33" t="n">
        <v>29</v>
      </c>
      <c r="DF33">
        <f>HEADER_ROW+$DE33</f>
        <v/>
      </c>
      <c r="DG33">
        <f>IF(AND($DF33&lt;=1000,$DF33&lt;$B$8),1,0)</f>
        <v/>
      </c>
      <c r="DH33">
        <f>IF($DG33=1,IFERROR(INDEX($DB$5:$DB$1004,$DF33),""),"")</f>
        <v/>
      </c>
      <c r="DI33">
        <f>IF(AND($DG33=1,$DH33&lt;&gt;""),IFERROR(SUBSTITUTE(SUBSTITUTE(TRIM(SUBSTITUTE(SUBSTITUTE(SUBSTITUTE(SUBSTITUTE(IFERROR(INDEX(PASTE_ALL,$DF33,1)&amp;"","")&amp;"␟"&amp;IFERROR(INDEX(PASTE_ALL,$DF33,2)&amp;"","")&amp;"␟"&amp;IFERROR(INDEX(PASTE_ALL,$DF33,3)&amp;"","")&amp;"␟"&amp;IFERROR(INDEX(PASTE_ALL,$DF33,4)&amp;"","")&amp;"␟"&amp;IFERROR(INDEX(PASTE_ALL,$DF33,5)&amp;"","")&amp;"␟"&amp;IFERROR(INDEX(PASTE_ALL,$DF33,6)&amp;"","")&amp;"␟"&amp;IFERROR(INDEX(PASTE_ALL,$DF33,7)&amp;"","")&amp;"␟"&amp;IFERROR(INDEX(PASTE_ALL,$DF33,8)&amp;"","")&amp;"␟"&amp;IFERROR(INDEX(PASTE_ALL,$DF33,9)&amp;"","")&amp;"␟"&amp;IFERROR(INDEX(PASTE_ALL,$DF33,10)&amp;"","")&amp;"␟"&amp;IFERROR(INDEX(PASTE_ALL,$DF33,11)&amp;"","")&amp;"␟"&amp;IFERROR(INDEX(PASTE_ALL,$DF33,12)&amp;"","")&amp;"␟"&amp;IFERROR(INDEX(PASTE_ALL,$DF33,13)&amp;"","")&amp;"␟"&amp;IFERROR(INDEX(PASTE_ALL,$DF33,14)&amp;"","")&amp;"␟"&amp;IFERROR(INDEX(PASTE_ALL,$DF33,15)&amp;"","")&amp;"␟"&amp;IFERROR(INDEX(PASTE_ALL,$DF33,16)&amp;"","")&amp;"␟"&amp;IFERROR(INDEX(PASTE_ALL,$DF33,17)&amp;"","")&amp;"␟"&amp;IFERROR(INDEX(PASTE_ALL,$DF33,18)&amp;"","")&amp;"␟"&amp;IFERROR(INDEX(PASTE_ALL,$DF33,19)&amp;"","")&amp;"␟"&amp;IFERROR(INDEX(PASTE_ALL,$DF33,20)&amp;"","")&amp;"␟"&amp;IFERROR(INDEX(PASTE_ALL,$DF33,21)&amp;"","")&amp;"␟"&amp;IFERROR(INDEX(PASTE_ALL,$DF33,22)&amp;"","")&amp;"␟"&amp;IFERROR(INDEX(PASTE_ALL,$DF33,23)&amp;"","")&amp;"␟"&amp;IFERROR(INDEX(PASTE_ALL,$DF33,24)&amp;"","")&amp;"␟"&amp;IFERROR(INDEX(PASTE_ALL,$DF33,25)&amp;"","")&amp;"␟"&amp;IFERROR(INDEX(PASTE_ALL,$DF33,26)&amp;"","")&amp;"␟"&amp;IFERROR(INDEX(PASTE_ALL,$DF33,27)&amp;"","")&amp;"␟"&amp;IFERROR(INDEX(PASTE_ALL,$DF33,28)&amp;"","")&amp;"␟"&amp;IFERROR(INDEX(PASTE_ALL,$DF33,29)&amp;"","")&amp;"␟"&amp;IFERROR(INDEX(PASTE_ALL,$DF33,30)&amp;"","")&amp;"␟"&amp;IFERROR(INDEX(PASTE_ALL,$DF33,31)&amp;"","")&amp;"␟"&amp;IFERROR(INDEX(PASTE_ALL,$DF33,32)&amp;"","")&amp;"␟"&amp;IFERROR(INDEX(PASTE_ALL,$DF33,33)&amp;"","")&amp;"␟"&amp;IFERROR(INDEX(PASTE_ALL,$DF33,34)&amp;"","")&amp;"␟"&amp;IFERROR(INDEX(PASTE_ALL,$DF33,35)&amp;"","")&amp;"␟"&amp;IFERROR(INDEX(PASTE_ALL,$DF33,36)&amp;"","")&amp;"␟"&amp;IFERROR(INDEX(PASTE_ALL,$DF33,37)&amp;"","")&amp;"␟"&amp;IFERROR(INDEX(PASTE_ALL,$DF33,38)&amp;"","")&amp;"␟"&amp;IFERROR(INDEX(PASTE_ALL,$DF33,39)&amp;"","")&amp;"␟"&amp;IFERROR(INDEX(PASTE_ALL,$DF33,40)&amp;"","")&amp;"␟"&amp;IFERROR(INDEX(PASTE_ALL,$DF33,41)&amp;"","")&amp;"␟"&amp;IFERROR(INDEX(PASTE_ALL,$DF33,42)&amp;"","")&amp;"␟"&amp;IFERROR(INDEX(PASTE_ALL,$DF33,43)&amp;"","")&amp;"␟"&amp;IFERROR(INDEX(PASTE_ALL,$DF33,44)&amp;"","")&amp;"␟"&amp;IFERROR(INDEX(PASTE_ALL,$DF33,45)&amp;"","")&amp;"␟"&amp;IFERROR(INDEX(PASTE_ALL,$DF33,46)&amp;"","")&amp;"␟"&amp;IFERROR(INDEX(PASTE_ALL,$DF33,47)&amp;"","")&amp;"␟"&amp;IFERROR(INDEX(PASTE_ALL,$DF33,48)&amp;"","")&amp;"␟"&amp;IFERROR(INDEX(PASTE_ALL,$DF33,49)&amp;"","")&amp;"␟"&amp;IFERROR(INDEX(PASTE_ALL,$DF33,50)&amp;"","")&amp;"␟"&amp;IFERROR(INDEX(PASTE_ALL,$DF33,51)&amp;"","")&amp;"␟"&amp;IFERROR(INDEX(PASTE_ALL,$DF33,52)&amp;"","")&amp;"␟"&amp;IFERROR(INDEX(PASTE_ALL,$DF33,53)&amp;"","")&amp;"␟"&amp;IFERROR(INDEX(PASTE_ALL,$DF33,54)&amp;"","")&amp;"␟"&amp;IFERROR(INDEX(PASTE_ALL,$DF33,55)&amp;"","")&amp;"␟"&amp;IFERROR(INDEX(PASTE_ALL,$DF33,56)&amp;"","")&amp;"␟"&amp;IFERROR(INDEX(PASTE_ALL,$DF33,57)&amp;"","")&amp;"␟"&amp;IFERROR(INDEX(PASTE_ALL,$DF33,58)&amp;"","")&amp;"␟"&amp;IFERROR(INDEX(PASTE_ALL,$DF33,59)&amp;"","")&amp;"␟"&amp;IFERROR(INDEX(PASTE_ALL,$DF33,60)&amp;"","")," "," "),CHAR(9)," "),CHAR(10)," "),CHAR(13)," "))," ␟","␟"),"␟ ","␟"),"#"&amp;$DE33),"")</f>
        <v/>
      </c>
      <c r="DJ33">
        <f>IF($DI33="",0,IF(SUMPRODUCT(--EXACT($DI$4:DI32,$DI33))&gt;0,1,0))</f>
        <v/>
      </c>
      <c r="DK33">
        <f>IF(AND($DI33&lt;&gt;"",$DJ33=0),1,0)</f>
        <v/>
      </c>
      <c r="DL33">
        <f>DL32+$DK33</f>
        <v/>
      </c>
      <c r="DM33">
        <f>IF(AND($DK33=1,$DL33&lt;=600),1,0)</f>
        <v/>
      </c>
      <c r="DN33">
        <f>IF($DM33=0,"",IF($L$6=0,"",IFERROR(IF(ISNUMBER(INDEX(PASTE_ALL,$DF33,$L$6)),INDEX(PASTE_ALL,$DF33,$L$6),TRIM(SUBSTITUTE(SUBSTITUTE(SUBSTITUTE(SUBSTITUTE(INDEX(PASTE_ALL,$DF33,$L$6)," "," "),CHAR(9)," "),CHAR(10)," "),CHAR(13)," "))),"")))</f>
        <v/>
      </c>
      <c r="DO33">
        <f>IF($DM33=0,"",IF($L$7=0,"",IFERROR(IF(ISNUMBER(INDEX(PASTE_ALL,$DF33,$L$7)),INDEX(PASTE_ALL,$DF33,$L$7),TRIM(SUBSTITUTE(SUBSTITUTE(SUBSTITUTE(SUBSTITUTE(INDEX(PASTE_ALL,$DF33,$L$7)," "," "),CHAR(9)," "),CHAR(10)," "),CHAR(13)," "))),"")))</f>
        <v/>
      </c>
      <c r="DP33">
        <f>IF($DM33=0,"",IF($L$8=0,"",IFERROR(IF(ISNUMBER(INDEX(PASTE_ALL,$DF33,$L$8)),INDEX(PASTE_ALL,$DF33,$L$8),TRIM(SUBSTITUTE(SUBSTITUTE(SUBSTITUTE(SUBSTITUTE(INDEX(PASTE_ALL,$DF33,$L$8)," "," "),CHAR(9)," "),CHAR(10)," "),CHAR(13)," "))),"")))</f>
        <v/>
      </c>
      <c r="DQ33">
        <f>IF($DM33=0,"",IF($L$9=0,"",IFERROR(IF(ISNUMBER(INDEX(PASTE_ALL,$DF33,$L$9)),INDEX(PASTE_ALL,$DF33,$L$9),TRIM(SUBSTITUTE(SUBSTITUTE(SUBSTITUTE(SUBSTITUTE(INDEX(PASTE_ALL,$DF33,$L$9)," "," "),CHAR(9)," "),CHAR(10)," "),CHAR(13)," "))),"")))</f>
        <v/>
      </c>
      <c r="DR33">
        <f>IF($DM33=0,"",IF($L$10=0,"",IFERROR(IF(ISNUMBER(INDEX(PASTE_ALL,$DF33,$L$10)),INDEX(PASTE_ALL,$DF33,$L$10),TRIM(SUBSTITUTE(SUBSTITUTE(SUBSTITUTE(SUBSTITUTE(INDEX(PASTE_ALL,$DF33,$L$10)," "," "),CHAR(9)," "),CHAR(10)," "),CHAR(13)," "))),"")))</f>
        <v/>
      </c>
      <c r="DS33">
        <f>IF($DM33=0,"",IF($L$11=0,"",IFERROR(IF(ISNUMBER(INDEX(PASTE_ALL,$DF33,$L$11)),INDEX(PASTE_ALL,$DF33,$L$11),TRIM(SUBSTITUTE(SUBSTITUTE(SUBSTITUTE(SUBSTITUTE(INDEX(PASTE_ALL,$DF33,$L$11)," "," "),CHAR(9)," "),CHAR(10)," "),CHAR(13)," "))),"")))</f>
        <v/>
      </c>
      <c r="DT33">
        <f>IF($DM33=0,"",IF($L$12=0,"",IFERROR(IF(ISNUMBER(INDEX(PASTE_ALL,$DF33,$L$12)),INDEX(PASTE_ALL,$DF33,$L$12),TRIM(SUBSTITUTE(SUBSTITUTE(SUBSTITUTE(SUBSTITUTE(INDEX(PASTE_ALL,$DF33,$L$12)," "," "),CHAR(9)," "),CHAR(10)," "),CHAR(13)," "))),"")))</f>
        <v/>
      </c>
      <c r="DU33">
        <f>IF($DM33=0,"",IF($L$13=0,"",IFERROR(IF(ISNUMBER(INDEX(PASTE_ALL,$DF33,$L$13)),INDEX(PASTE_ALL,$DF33,$L$13),TRIM(SUBSTITUTE(SUBSTITUTE(SUBSTITUTE(SUBSTITUTE(INDEX(PASTE_ALL,$DF33,$L$13)," "," "),CHAR(9)," "),CHAR(10)," "),CHAR(13)," "))),"")))</f>
        <v/>
      </c>
      <c r="DV33">
        <f>IF($DM33=0,"",IF($L$14=0,"",IFERROR(IF(ISNUMBER(INDEX(PASTE_ALL,$DF33,$L$14)),INDEX(PASTE_ALL,$DF33,$L$14),TRIM(SUBSTITUTE(SUBSTITUTE(SUBSTITUTE(SUBSTITUTE(INDEX(PASTE_ALL,$DF33,$L$14)," "," "),CHAR(9)," "),CHAR(10)," "),CHAR(13)," "))),"")))</f>
        <v/>
      </c>
      <c r="DW33">
        <f>IF($DM33=0,"",IF($L$15=0,"",IFERROR(IF(ISNUMBER(INDEX(PASTE_ALL,$DF33,$L$15)),INDEX(PASTE_ALL,$DF33,$L$15),IF(SUMPRODUCT(--ISNUMBER(FIND({"A","B","C","D","E","F","G","H","I","J","K","L","M","N","O","P","Q","R","S","T","U","V","W","X","Y","Z","0","1","2","3","4","5","6","7","8","9"},UPPER(TRIM(SUBSTITUTE(SUBSTITUTE(SUBSTITUTE(SUBSTITUTE(INDEX(PASTE_ALL,$DF33,$L$15)," "," "),CHAR(9)," "),CHAR(10)," "),CHAR(13)," "))))))&gt;0,TRIM(SUBSTITUTE(SUBSTITUTE(SUBSTITUTE(SUBSTITUTE(INDEX(PASTE_ALL,$DF33,$L$15)," "," "),CHAR(9)," "),CHAR(10)," "),CHAR(13)," ")),"")),"")))</f>
        <v/>
      </c>
      <c r="DX33">
        <f>IF($DM33=0,"",IF($L$16=0,"",IFERROR(IF(ISNUMBER(INDEX(PASTE_ALL,$DF33,$L$16)),INDEX(PASTE_ALL,$DF33,$L$16),SUBSTITUTE(SUBSTITUTE(TRIM(SUBSTITUTE(SUBSTITUTE(SUBSTITUTE(SUBSTITUTE(INDEX(PASTE_ALL,$DF33,$L$16)," "," "),CHAR(9)," "),CHAR(10)," "),CHAR(13)," ")),",",""),"%","")),"")))</f>
        <v/>
      </c>
      <c r="DY33">
        <f>IF($DM33=0,"",IFERROR(IF(ISNUMBER($DX33),$DX33,IF($DX33="","",IF(TRIM($DX33)="",0,IF(AND(AND(SUBSTITUTE(SUBSTITUTE(SUBSTITUTE(SUBSTITUTE(SUBSTITUTE(SUBSTITUTE(SUBSTITUTE(SUBSTITUTE(SUBSTITUTE(SUBSTITUTE(SUBSTITUTE(SUBSTITUTE(SUBSTITUTE(SUBSTITUTE(UPPER(TRIM($DX33)),"0",""),"1",""),"2",""),"3",""),"4",""),"5",""),"6",""),"7",""),"8",""),"9",""),".",""),"+",""),"-",""),"E","")="",LEN(SUBSTITUTE(SUBSTITUTE(MID(UPPER(TRIM($DX33)),1+OR(LEFT(UPPER(TRIM($DX33)),1)="+",LEFT(UPPER(TRIM($DX33)),1)="-"),999),"E+","E"),"E-","E"))=LEN(SUBSTITUTE(SUBSTITUTE(SUBSTITUTE(SUBSTITUTE(MID(UPPER(TRIM($DX33)),1+OR(LEFT(UPPER(TRIM($DX33)),1)="+",LEFT(UPPER(TRIM($DX33)),1)="-"),999),"E+","E"),"E-","E"),"+",""),"-","")),LEN(UPPER(TRIM($DX33)))-LEN(SUBSTITUTE(UPPER(TRIM($DX33)),"E",""))&lt;2,LEN(UPPER(TRIM($DX33)))-LEN(SUBSTITUTE(UPPER(TRIM($DX33)),".",""))&lt;2,IFERROR(FIND(".",UPPER(TRIM($DX33))),0)&lt;IFERROR(FIND("E",UPPER(TRIM($DX33))),999)),ISNUMBER(VALUE(TRIM($DX33)))),VALUE(TRIM($DX33)),"")))),""))</f>
        <v/>
      </c>
      <c r="DZ33">
        <f>IF($DM33=0,"",IF($L$17=0,"",IFERROR(IF(ISNUMBER(INDEX(PASTE_ALL,$DF33,$L$17)),INDEX(PASTE_ALL,$DF33,$L$17),SUBSTITUTE(SUBSTITUTE(TRIM(SUBSTITUTE(SUBSTITUTE(SUBSTITUTE(SUBSTITUTE(INDEX(PASTE_ALL,$DF33,$L$17)," "," "),CHAR(9)," "),CHAR(10)," "),CHAR(13)," ")),",",""),"%","")),"")))</f>
        <v/>
      </c>
      <c r="EA33">
        <f>IF($DM33=0,"",IFERROR(IF(ISNUMBER($DZ33),$DZ33,IF($DZ33="","",IF(TRIM($DZ33)="",0,IF(AND(AND(SUBSTITUTE(SUBSTITUTE(SUBSTITUTE(SUBSTITUTE(SUBSTITUTE(SUBSTITUTE(SUBSTITUTE(SUBSTITUTE(SUBSTITUTE(SUBSTITUTE(SUBSTITUTE(SUBSTITUTE(SUBSTITUTE(SUBSTITUTE(UPPER(TRIM($DZ33)),"0",""),"1",""),"2",""),"3",""),"4",""),"5",""),"6",""),"7",""),"8",""),"9",""),".",""),"+",""),"-",""),"E","")="",LEN(SUBSTITUTE(SUBSTITUTE(MID(UPPER(TRIM($DZ33)),1+OR(LEFT(UPPER(TRIM($DZ33)),1)="+",LEFT(UPPER(TRIM($DZ33)),1)="-"),999),"E+","E"),"E-","E"))=LEN(SUBSTITUTE(SUBSTITUTE(SUBSTITUTE(SUBSTITUTE(MID(UPPER(TRIM($DZ33)),1+OR(LEFT(UPPER(TRIM($DZ33)),1)="+",LEFT(UPPER(TRIM($DZ33)),1)="-"),999),"E+","E"),"E-","E"),"+",""),"-","")),LEN(UPPER(TRIM($DZ33)))-LEN(SUBSTITUTE(UPPER(TRIM($DZ33)),"E",""))&lt;2,LEN(UPPER(TRIM($DZ33)))-LEN(SUBSTITUTE(UPPER(TRIM($DZ33)),".",""))&lt;2,IFERROR(FIND(".",UPPER(TRIM($DZ33))),0)&lt;IFERROR(FIND("E",UPPER(TRIM($DZ33))),999)),ISNUMBER(VALUE(TRIM($DZ33)))),VALUE(TRIM($DZ33)),"")))),""))</f>
        <v/>
      </c>
      <c r="EB33">
        <f>IF($DM33=0,"",IF($L$18=0,"",IFERROR(IF(UPPER(TRIM(SUBSTITUTE(SUBSTITUTE(SUBSTITUTE(SUBSTITUTE(INDEX(PASTE_ALL,$DF33,$L$18)," "," "),CHAR(9)," "),CHAR(10)," "),CHAR(13)," ")))="READY","Ready",IF(UPPER(TRIM(SUBSTITUTE(SUBSTITUTE(SUBSTITUTE(SUBSTITUTE(INDEX(PASTE_ALL,$DF33,$L$18)," "," "),CHAR(9)," "),CHAR(10)," "),CHAR(13)," ")))="PM","PM",IF(OR(UPPER(TRIM(SUBSTITUTE(SUBSTITUTE(SUBSTITUTE(SUBSTITUTE(INDEX(PASTE_ALL,$DF33,$L$18)," "," "),CHAR(9)," "),CHAR(10)," "),CHAR(13)," ")))="OT",UPPER(TRIM(SUBSTITUTE(SUBSTITUTE(SUBSTITUTE(SUBSTITUTE(INDEX(PASTE_ALL,$DF33,$L$18)," "," "),CHAR(9)," "),CHAR(10)," "),CHAR(13)," ")))="OVERTIME",UPPER(TRIM(SUBSTITUTE(SUBSTITUTE(SUBSTITUTE(SUBSTITUTE(INDEX(PASTE_ALL,$DF33,$L$18)," "," "),CHAR(9)," "),CHAR(10)," "),CHAR(13)," ")))="TRIAL"),"OT",TRIM(SUBSTITUTE(SUBSTITUTE(SUBSTITUTE(SUBSTITUTE(INDEX(PASTE_ALL,$DF33,$L$18)," "," "),CHAR(9)," "),CHAR(10)," "),CHAR(13)," "))))),"")))</f>
        <v/>
      </c>
      <c r="EC33">
        <f>IF($DM33=0,"",IF($L$19=0,"",IFERROR(IF(ISNUMBER(INDEX(PASTE_ALL,$DF33,$L$19)),INDEX(PASTE_ALL,$DF33,$L$19),TRIM(SUBSTITUTE(SUBSTITUTE(SUBSTITUTE(SUBSTITUTE(INDEX(PASTE_ALL,$DF33,$L$19)," "," "),CHAR(9)," "),CHAR(10)," "),CHAR(13)," "))),"")))</f>
        <v/>
      </c>
      <c r="ED33">
        <f>IF($DM33=0,"",MATCH(1,INDEX(EXACT($DH$5:DH33,$DH33)*$DM$5:DM33,0),0))</f>
        <v/>
      </c>
      <c r="EE33">
        <f>IF($DM33=0,0,IF($ED33=$DE33,1,0))</f>
        <v/>
      </c>
      <c r="EF33">
        <f>EF32+$EE33</f>
        <v/>
      </c>
      <c r="EG33">
        <f>IF($DM33=0,"",INDEX($EF$5:$EF$1003,$ED33))</f>
        <v/>
      </c>
      <c r="EH33">
        <f>IF($DM33=0,"",IF($DO33&lt;&gt;"","",IFERROR(LOOKUP(2,1/(($EG$4:EG32=$EG33)*($DO$4:DO32&lt;&gt;"")),$DO$4:DO32),"")))</f>
        <v/>
      </c>
      <c r="EI33">
        <f>IF($DM33=0,"",IF($DO33&lt;&gt;"",$DO33,$EH33))</f>
        <v/>
      </c>
      <c r="EJ33">
        <f>IF($DM33=0,"",IF($EI33="",0,IF(OR(ISNUMBER($EI33),AND(AND(SUBSTITUTE(SUBSTITUTE(SUBSTITUTE(SUBSTITUTE(SUBSTITUTE(SUBSTITUTE(SUBSTITUTE(SUBSTITUTE(SUBSTITUTE(SUBSTITUTE(SUBSTITUTE(SUBSTITUTE(SUBSTITUTE(SUBSTITUTE(UPPER($EI33),"0",""),"1",""),"2",""),"3",""),"4",""),"5",""),"6",""),"7",""),"8",""),"9",""),".",""),"+",""),"-",""),"E","")="",LEN(SUBSTITUTE(SUBSTITUTE(MID(UPPER($EI33),1+OR(LEFT(UPPER($EI33),1)="+",LEFT(UPPER($EI33),1)="-"),999),"E+","E"),"E-","E"))=LEN(SUBSTITUTE(SUBSTITUTE(SUBSTITUTE(SUBSTITUTE(MID(UPPER($EI33),1+OR(LEFT(UPPER($EI33),1)="+",LEFT(UPPER($EI33),1)="-"),999),"E+","E"),"E-","E"),"+",""),"-","")),LEN(UPPER($EI33))-LEN(SUBSTITUTE(UPPER($EI33),"E",""))&lt;2,LEN(UPPER($EI33))-LEN(SUBSTITUTE(UPPER($EI33),".",""))&lt;2,IFERROR(FIND(".",UPPER($EI33)),0)&lt;IFERROR(FIND("E",UPPER($EI33)),999)),ISNUMBER(VALUE($EI33)))),1,2)))</f>
        <v/>
      </c>
      <c r="EK33">
        <f>IF($DM33=0,"",IF($EJ33=1,IF(ISNUMBER($EI33),$EI33,VALUE($EI33)),IF($EJ33=2,$DE33,0)))</f>
        <v/>
      </c>
      <c r="EL33">
        <f>IF($DM33=0,"",COUNTIF($EG$5:$EG$1003,"&lt;"&amp;$EG33)+SUMPRODUCT(($EG$5:$EG$1003=$EG33)*(($EJ$5:$EJ$1003&lt;$EJ33)+($EJ$5:$EJ$1003=$EJ33)*(($EK$5:$EK$1003&lt;$EK33)+($EK$5:$EK$1003=$EK33)*($DE$5:$DE$1003&lt;$DE33))))+1)</f>
        <v/>
      </c>
      <c r="EM33">
        <f>IF($DM33=0,"",$EL33+$EG33-1)</f>
        <v/>
      </c>
      <c r="EN33">
        <f>IF($DM33=0,0,IFERROR(MATCH(1,INDEX(--(TRIM(SUBSTITUTE(SUBSTITUTE(SUBSTITUTE(SUBSTITUTE(LINES_NAME&amp;""," "," "),CHAR(9)," "),CHAR(10)," "),CHAR(13)," "))=$DH33),0),0),0))</f>
        <v/>
      </c>
      <c r="EO33">
        <f>IF($EN33=0,0,IF(OR(UPPER(TRIM(INDEX(LINES_SCHEDULED,$EN33)&amp;""))="YES",UPPER(TRIM(INDEX(LINES_SCHEDULED,$EN33)&amp;""))="Y",UPPER(TRIM(INDEX(LINES_SCHEDULED,$EN33)&amp;""))="X"),1,0))</f>
        <v/>
      </c>
      <c r="EP33">
        <f>IF($DM33=0,"",IF(COUNTIFS($EG$5:$EG$1003,$EG33,$EB$5:$EB$1003,"Ready")&gt;0,"READY",IF(COUNTIFS($EG$5:$EG$1003,$EG33,$EB$5:$EB$1003,"PM")&gt;0,"PM",IF(COUNTIFS($EG$5:$EG$1003,$EG33,$EB$5:$EB$1003,"OT")&gt;0,"OT",""))))</f>
        <v/>
      </c>
      <c r="EQ33">
        <f>IF($EN33=0,"",UPPER(TRIM(INDEX(LINES_STATUS,$EN33)&amp;"")))</f>
        <v/>
      </c>
      <c r="ER33">
        <f>IF($DM33=0,"",IF(OR($EQ33="READY",$EQ33="PM",$EQ33="OT"),$EQ33,$EP33))</f>
        <v/>
      </c>
      <c r="ES33">
        <f>IF($DM33=0,"",IF(AND($DV33&lt;&gt;"",UPPER($DV33)&lt;&gt;"N"),"allergen",IF(ISNUMBER(SEARCH("oil",$DQ33)),"oil",IF(OR(EXACT($DS33,"A662"),EXACT($DS33,"A624")),"bulk",""))))</f>
        <v/>
      </c>
      <c r="ET33">
        <f>IF($DM33=0,"",IF(OR($EA33="",$EA33=0),"",$EA33/100))</f>
        <v/>
      </c>
      <c r="EU33">
        <f>IF(OR($ET33="",$DY33=""),"",INT($DY33*(1-$ET33)+0.5))</f>
        <v/>
      </c>
      <c r="EW33" t="n">
        <v>29</v>
      </c>
      <c r="EX33">
        <f>IFERROR(MATCH($EW33,$EM$5:$EM$1003,0),0)</f>
        <v/>
      </c>
      <c r="EY33">
        <f>IF($EW33&gt;$B$12,"",IF($EX33&gt;0,"row","spacer"))</f>
        <v/>
      </c>
      <c r="EZ33">
        <f>IF(AND($EY33="row",$EY32&lt;&gt;"row"),1,0)</f>
        <v/>
      </c>
      <c r="FA33">
        <f>IF(AND($EY33="row",$EY34&lt;&gt;"row"),1,0)</f>
        <v/>
      </c>
      <c r="FB33">
        <f>IF($EZ33=1,IFERROR(IF(ISNUMBER(INDEX(PASTE_ALL,INDEX($DF$5:$DF$1003,$EX33),$B$37)),INDEX(PASTE_ALL,INDEX($DF$5:$DF$1003,$EX33),$B$37),INDEX($DH$5:$DH$1003,$EX33)),INDEX($DH$5:$DH$1003,$EX33)),"")</f>
        <v/>
      </c>
      <c r="FC33">
        <f>IF($EY33="row",INDEX($ER$5:$ER$1003,$EX33),"")</f>
        <v/>
      </c>
      <c r="FD33">
        <f>IF($EY33="row",INDEX($DN$5:$DN$1003,$EX33),"")</f>
        <v/>
      </c>
      <c r="FE33">
        <f>IF($EY33="row",INDEX($DO$5:$DO$1003,$EX33),"")</f>
        <v/>
      </c>
      <c r="FF33">
        <f>IF($EY33="row",INDEX($DP$5:$DP$1003,$EX33),"")</f>
        <v/>
      </c>
      <c r="FG33">
        <f>IF($EY33="row",INDEX($DQ$5:$DQ$1003,$EX33),"")</f>
        <v/>
      </c>
      <c r="FH33">
        <f>IF($EY33="row",INDEX($DR$5:$DR$1003,$EX33),"")</f>
        <v/>
      </c>
      <c r="FI33">
        <f>IF($EY33="row",INDEX($DS$5:$DS$1003,$EX33),"")</f>
        <v/>
      </c>
      <c r="FJ33">
        <f>IF($EY33="row",INDEX($DT$5:$DT$1003,$EX33),"")</f>
        <v/>
      </c>
      <c r="FK33">
        <f>IF($EY33="row",INDEX($DU$5:$DU$1003,$EX33),"")</f>
        <v/>
      </c>
      <c r="FL33">
        <f>IF($EY33="row",INDEX($DV$5:$DV$1003,$EX33),"")</f>
        <v/>
      </c>
      <c r="FM33">
        <f>IF($EY33="row",INDEX($DW$5:$DW$1003,$EX33),"")</f>
        <v/>
      </c>
      <c r="FN33">
        <f>IF($EY33="row",INDEX($DY$5:$DY$1003,$EX33),"")</f>
        <v/>
      </c>
      <c r="FO33">
        <f>IF($EY33="row",INDEX($EA$5:$EA$1003,$EX33),"")</f>
        <v/>
      </c>
      <c r="FP33">
        <f>IF($EY33="row",INDEX($EC$5:$EC$1003,$EX33),"")</f>
        <v/>
      </c>
      <c r="FQ33">
        <f>IF($EY33="row",INDEX($ET$5:$ET$1003,$EX33),"")</f>
        <v/>
      </c>
      <c r="FR33">
        <f>IF($EY33="row",INDEX($EU$5:$EU$1003,$EX33),"")</f>
        <v/>
      </c>
      <c r="FS33">
        <f>IF(AND($EY33="row",$EY32="row"),IF(OR(INDEX($DT$5:$DT$1003,$EX32)="",INDEX($DT$5:$DT$1003,$EX33)=""),"",IF(NOT(EXACT(INDEX($DT$5:$DT$1003,$EX32),INDEX($DT$5:$DT$1003,$EX33))),"S4",IF(NOT(EXACT(INDEX($DS$5:$DS$1003,$EX32),INDEX($DS$5:$DS$1003,$EX33))),"S3",IF(NOT(EXACT(INDEX($DR$5:$DR$1003,$EX32),INDEX($DR$5:$DR$1003,$EX33))),"S1 Count Change","S1")))),"")</f>
        <v/>
      </c>
      <c r="FT33">
        <f>IF($EY33="row",INDEX($ES$5:$ES$1003,$EX33),"")</f>
        <v/>
      </c>
      <c r="FU33">
        <f>IF($EY33="row",INDEX($EO$5:$EO$1003,$EX33),0)</f>
        <v/>
      </c>
      <c r="FV33">
        <f>IF($FS33="S1 Count Change",1,0)</f>
        <v/>
      </c>
      <c r="FX33" t="n">
        <v>29</v>
      </c>
      <c r="FY33">
        <f>IFERROR(MATCH($FX33,$EF$5:$EF$1003,0),0)</f>
        <v/>
      </c>
      <c r="FZ33">
        <f>IF($FY33=0,"",INDEX($DH$5:$DH$1003,$FY33))</f>
        <v/>
      </c>
      <c r="GA33">
        <f>IF($FY33=0,"",COUNTIF($EG$5:$EG$1003,$FX33))</f>
        <v/>
      </c>
      <c r="GB33">
        <f>IF($FY33=0,"",INDEX($ER$5:$ER$1003,$FY33))</f>
        <v/>
      </c>
      <c r="GC33">
        <f>IF($FY33=0,"",IF(INDEX($EO$5:$EO$1003,$FY33)=1,"Yes",""))</f>
        <v/>
      </c>
      <c r="GD33">
        <f>IF($FY33=0,"",IF(INDEX($EN$5:$EN$1003,$FY33)&gt;0,"","NOT IN YOUR LIST - type it in column A to tick it"))</f>
        <v/>
      </c>
      <c r="GE33">
        <f>IF(AND($FY33&gt;0,$GD33&lt;&gt;""),1,0)</f>
        <v/>
      </c>
      <c r="GF33">
        <f>GF32+$GE33</f>
        <v/>
      </c>
      <c r="GG33">
        <f>IFERROR(INDEX($FZ$5:$FZ$104,MATCH($FX33,$GF$5:$GF$104,0)),"")</f>
        <v/>
      </c>
    </row>
    <row r="34">
      <c r="A34" t="inlineStr">
        <is>
          <t>3. Lines ticks/statuses not dated today</t>
        </is>
      </c>
      <c r="B34">
        <f>IF(AND(SUMPRODUCT(--(TRIM(LINES_SCHEDULED&amp;"")&lt;&gt;""))+SUMPRODUCT(--(TRIM(LINES_STATUS&amp;"")&lt;&gt;""))&gt;0,NOT(AND(ISNUMBER(LINES_CHECKED_ON),INT(N(LINES_CHECKED_ON))=TODAY()))),1,0)</f>
        <v/>
      </c>
      <c r="S34" t="n">
        <v>30</v>
      </c>
      <c r="T34" t="inlineStr">
        <is>
          <t>AD</t>
        </is>
      </c>
      <c r="V34" t="inlineStr">
        <is>
          <t>PART</t>
        </is>
      </c>
      <c r="W34" t="n">
        <v>4</v>
      </c>
      <c r="Y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 ",""),"!",""),CHAR(34),""),"#",""),"$",""),"%",""),"&amp;",""),"'",""),"(",""),")",""),"*",""),"+",""),",",""),"-",""),".",""),"/",""),":",""),";",""),"&lt;",""),"=",""),"&gt;",""),"?",""),"@",""),"[",""),"\",""),"]",""),"^",""),"_",""),"`",""),"{",""),"|",""),"}",""),"~",""),CHAR(9),""),CHAR(10),""),CHAR(13),"")," ",""),"")</f>
        <v/>
      </c>
      <c r="Z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 ",""),"!",""),CHAR(34),""),"#",""),"$",""),"%",""),"&amp;",""),"'",""),"(",""),")",""),"*",""),"+",""),",",""),"-",""),".",""),"/",""),":",""),";",""),"&lt;",""),"=",""),"&gt;",""),"?",""),"@",""),"[",""),"\",""),"]",""),"^",""),"_",""),"`",""),"{",""),"|",""),"}",""),"~",""),CHAR(9),""),CHAR(10),""),CHAR(13),"")," ",""),"")</f>
        <v/>
      </c>
      <c r="AA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 ",""),"!",""),CHAR(34),""),"#",""),"$",""),"%",""),"&amp;",""),"'",""),"(",""),")",""),"*",""),"+",""),",",""),"-",""),".",""),"/",""),":",""),";",""),"&lt;",""),"=",""),"&gt;",""),"?",""),"@",""),"[",""),"\",""),"]",""),"^",""),"_",""),"`",""),"{",""),"|",""),"}",""),"~",""),CHAR(9),""),CHAR(10),""),CHAR(13),"")," ",""),"")</f>
        <v/>
      </c>
      <c r="AB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 ",""),"!",""),CHAR(34),""),"#",""),"$",""),"%",""),"&amp;",""),"'",""),"(",""),")",""),"*",""),"+",""),",",""),"-",""),".",""),"/",""),":",""),";",""),"&lt;",""),"=",""),"&gt;",""),"?",""),"@",""),"[",""),"\",""),"]",""),"^",""),"_",""),"`",""),"{",""),"|",""),"}",""),"~",""),CHAR(9),""),CHAR(10),""),CHAR(13),"")," ",""),"")</f>
        <v/>
      </c>
      <c r="AC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 ",""),"!",""),CHAR(34),""),"#",""),"$",""),"%",""),"&amp;",""),"'",""),"(",""),")",""),"*",""),"+",""),",",""),"-",""),".",""),"/",""),":",""),";",""),"&lt;",""),"=",""),"&gt;",""),"?",""),"@",""),"[",""),"\",""),"]",""),"^",""),"_",""),"`",""),"{",""),"|",""),"}",""),"~",""),CHAR(9),""),CHAR(10),""),CHAR(13),"")," ",""),"")</f>
        <v/>
      </c>
      <c r="AD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30,6))," ",""),"!",""),CHAR(34),""),"#",""),"$",""),"%",""),"&amp;",""),"'",""),"(",""),")",""),"*",""),"+",""),",",""),"-",""),".",""),"/",""),":",""),";",""),"&lt;",""),"=",""),"&gt;",""),"?",""),"@",""),"[",""),"\",""),"]",""),"^",""),"_",""),"`",""),"{",""),"|",""),"}",""),"~",""),CHAR(9),""),CHAR(10),""),CHAR(13),"")," ",""),"")</f>
        <v/>
      </c>
      <c r="AE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30,7))," ",""),"!",""),CHAR(34),""),"#",""),"$",""),"%",""),"&amp;",""),"'",""),"(",""),")",""),"*",""),"+",""),",",""),"-",""),".",""),"/",""),":",""),";",""),"&lt;",""),"=",""),"&gt;",""),"?",""),"@",""),"[",""),"\",""),"]",""),"^",""),"_",""),"`",""),"{",""),"|",""),"}",""),"~",""),CHAR(9),""),CHAR(10),""),CHAR(13),"")," ",""),"")</f>
        <v/>
      </c>
      <c r="AF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30,8))," ",""),"!",""),CHAR(34),""),"#",""),"$",""),"%",""),"&amp;",""),"'",""),"(",""),")",""),"*",""),"+",""),",",""),"-",""),".",""),"/",""),":",""),";",""),"&lt;",""),"=",""),"&gt;",""),"?",""),"@",""),"[",""),"\",""),"]",""),"^",""),"_",""),"`",""),"{",""),"|",""),"}",""),"~",""),CHAR(9),""),CHAR(10),""),CHAR(13),"")," ",""),"")</f>
        <v/>
      </c>
      <c r="AG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30,9))," ",""),"!",""),CHAR(34),""),"#",""),"$",""),"%",""),"&amp;",""),"'",""),"(",""),")",""),"*",""),"+",""),",",""),"-",""),".",""),"/",""),":",""),";",""),"&lt;",""),"=",""),"&gt;",""),"?",""),"@",""),"[",""),"\",""),"]",""),"^",""),"_",""),"`",""),"{",""),"|",""),"}",""),"~",""),CHAR(9),""),CHAR(10),""),CHAR(13),"")," ",""),"")</f>
        <v/>
      </c>
      <c r="AH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30,10))," ",""),"!",""),CHAR(34),""),"#",""),"$",""),"%",""),"&amp;",""),"'",""),"(",""),")",""),"*",""),"+",""),",",""),"-",""),".",""),"/",""),":",""),";",""),"&lt;",""),"=",""),"&gt;",""),"?",""),"@",""),"[",""),"\",""),"]",""),"^",""),"_",""),"`",""),"{",""),"|",""),"}",""),"~",""),CHAR(9),""),CHAR(10),""),CHAR(13),"")," ",""),"")</f>
        <v/>
      </c>
      <c r="AI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30,11))," ",""),"!",""),CHAR(34),""),"#",""),"$",""),"%",""),"&amp;",""),"'",""),"(",""),")",""),"*",""),"+",""),",",""),"-",""),".",""),"/",""),":",""),";",""),"&lt;",""),"=",""),"&gt;",""),"?",""),"@",""),"[",""),"\",""),"]",""),"^",""),"_",""),"`",""),"{",""),"|",""),"}",""),"~",""),CHAR(9),""),CHAR(10),""),CHAR(13),"")," ",""),"")</f>
        <v/>
      </c>
      <c r="AJ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30,12))," ",""),"!",""),CHAR(34),""),"#",""),"$",""),"%",""),"&amp;",""),"'",""),"(",""),")",""),"*",""),"+",""),",",""),"-",""),".",""),"/",""),":",""),";",""),"&lt;",""),"=",""),"&gt;",""),"?",""),"@",""),"[",""),"\",""),"]",""),"^",""),"_",""),"`",""),"{",""),"|",""),"}",""),"~",""),CHAR(9),""),CHAR(10),""),CHAR(13),"")," ",""),"")</f>
        <v/>
      </c>
      <c r="AK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30,13))," ",""),"!",""),CHAR(34),""),"#",""),"$",""),"%",""),"&amp;",""),"'",""),"(",""),")",""),"*",""),"+",""),",",""),"-",""),".",""),"/",""),":",""),";",""),"&lt;",""),"=",""),"&gt;",""),"?",""),"@",""),"[",""),"\",""),"]",""),"^",""),"_",""),"`",""),"{",""),"|",""),"}",""),"~",""),CHAR(9),""),CHAR(10),""),CHAR(13),"")," ",""),"")</f>
        <v/>
      </c>
      <c r="AL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30,14))," ",""),"!",""),CHAR(34),""),"#",""),"$",""),"%",""),"&amp;",""),"'",""),"(",""),")",""),"*",""),"+",""),",",""),"-",""),".",""),"/",""),":",""),";",""),"&lt;",""),"=",""),"&gt;",""),"?",""),"@",""),"[",""),"\",""),"]",""),"^",""),"_",""),"`",""),"{",""),"|",""),"}",""),"~",""),CHAR(9),""),CHAR(10),""),CHAR(13),"")," ",""),"")</f>
        <v/>
      </c>
      <c r="AM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30,15))," ",""),"!",""),CHAR(34),""),"#",""),"$",""),"%",""),"&amp;",""),"'",""),"(",""),")",""),"*",""),"+",""),",",""),"-",""),".",""),"/",""),":",""),";",""),"&lt;",""),"=",""),"&gt;",""),"?",""),"@",""),"[",""),"\",""),"]",""),"^",""),"_",""),"`",""),"{",""),"|",""),"}",""),"~",""),CHAR(9),""),CHAR(10),""),CHAR(13),"")," ",""),"")</f>
        <v/>
      </c>
      <c r="AN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30,16))," ",""),"!",""),CHAR(34),""),"#",""),"$",""),"%",""),"&amp;",""),"'",""),"(",""),")",""),"*",""),"+",""),",",""),"-",""),".",""),"/",""),":",""),";",""),"&lt;",""),"=",""),"&gt;",""),"?",""),"@",""),"[",""),"\",""),"]",""),"^",""),"_",""),"`",""),"{",""),"|",""),"}",""),"~",""),CHAR(9),""),CHAR(10),""),CHAR(13),"")," ",""),"")</f>
        <v/>
      </c>
      <c r="AO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30,17))," ",""),"!",""),CHAR(34),""),"#",""),"$",""),"%",""),"&amp;",""),"'",""),"(",""),")",""),"*",""),"+",""),",",""),"-",""),".",""),"/",""),":",""),";",""),"&lt;",""),"=",""),"&gt;",""),"?",""),"@",""),"[",""),"\",""),"]",""),"^",""),"_",""),"`",""),"{",""),"|",""),"}",""),"~",""),CHAR(9),""),CHAR(10),""),CHAR(13),"")," ",""),"")</f>
        <v/>
      </c>
      <c r="AP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30,18))," ",""),"!",""),CHAR(34),""),"#",""),"$",""),"%",""),"&amp;",""),"'",""),"(",""),")",""),"*",""),"+",""),",",""),"-",""),".",""),"/",""),":",""),";",""),"&lt;",""),"=",""),"&gt;",""),"?",""),"@",""),"[",""),"\",""),"]",""),"^",""),"_",""),"`",""),"{",""),"|",""),"}",""),"~",""),CHAR(9),""),CHAR(10),""),CHAR(13),"")," ",""),"")</f>
        <v/>
      </c>
      <c r="AQ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30,19))," ",""),"!",""),CHAR(34),""),"#",""),"$",""),"%",""),"&amp;",""),"'",""),"(",""),")",""),"*",""),"+",""),",",""),"-",""),".",""),"/",""),":",""),";",""),"&lt;",""),"=",""),"&gt;",""),"?",""),"@",""),"[",""),"\",""),"]",""),"^",""),"_",""),"`",""),"{",""),"|",""),"}",""),"~",""),CHAR(9),""),CHAR(10),""),CHAR(13),"")," ",""),"")</f>
        <v/>
      </c>
      <c r="AR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30,20))," ",""),"!",""),CHAR(34),""),"#",""),"$",""),"%",""),"&amp;",""),"'",""),"(",""),")",""),"*",""),"+",""),",",""),"-",""),".",""),"/",""),":",""),";",""),"&lt;",""),"=",""),"&gt;",""),"?",""),"@",""),"[",""),"\",""),"]",""),"^",""),"_",""),"`",""),"{",""),"|",""),"}",""),"~",""),CHAR(9),""),CHAR(10),""),CHAR(13),"")," ",""),"")</f>
        <v/>
      </c>
      <c r="AS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30,21))," ",""),"!",""),CHAR(34),""),"#",""),"$",""),"%",""),"&amp;",""),"'",""),"(",""),")",""),"*",""),"+",""),",",""),"-",""),".",""),"/",""),":",""),";",""),"&lt;",""),"=",""),"&gt;",""),"?",""),"@",""),"[",""),"\",""),"]",""),"^",""),"_",""),"`",""),"{",""),"|",""),"}",""),"~",""),CHAR(9),""),CHAR(10),""),CHAR(13),"")," ",""),"")</f>
        <v/>
      </c>
      <c r="AT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30,22))," ",""),"!",""),CHAR(34),""),"#",""),"$",""),"%",""),"&amp;",""),"'",""),"(",""),")",""),"*",""),"+",""),",",""),"-",""),".",""),"/",""),":",""),";",""),"&lt;",""),"=",""),"&gt;",""),"?",""),"@",""),"[",""),"\",""),"]",""),"^",""),"_",""),"`",""),"{",""),"|",""),"}",""),"~",""),CHAR(9),""),CHAR(10),""),CHAR(13),"")," ",""),"")</f>
        <v/>
      </c>
      <c r="AU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30,23))," ",""),"!",""),CHAR(34),""),"#",""),"$",""),"%",""),"&amp;",""),"'",""),"(",""),")",""),"*",""),"+",""),",",""),"-",""),".",""),"/",""),":",""),";",""),"&lt;",""),"=",""),"&gt;",""),"?",""),"@",""),"[",""),"\",""),"]",""),"^",""),"_",""),"`",""),"{",""),"|",""),"}",""),"~",""),CHAR(9),""),CHAR(10),""),CHAR(13),"")," ",""),"")</f>
        <v/>
      </c>
      <c r="AV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30,24))," ",""),"!",""),CHAR(34),""),"#",""),"$",""),"%",""),"&amp;",""),"'",""),"(",""),")",""),"*",""),"+",""),",",""),"-",""),".",""),"/",""),":",""),";",""),"&lt;",""),"=",""),"&gt;",""),"?",""),"@",""),"[",""),"\",""),"]",""),"^",""),"_",""),"`",""),"{",""),"|",""),"}",""),"~",""),CHAR(9),""),CHAR(10),""),CHAR(13),"")," ",""),"")</f>
        <v/>
      </c>
      <c r="AW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30,25))," ",""),"!",""),CHAR(34),""),"#",""),"$",""),"%",""),"&amp;",""),"'",""),"(",""),")",""),"*",""),"+",""),",",""),"-",""),".",""),"/",""),":",""),";",""),"&lt;",""),"=",""),"&gt;",""),"?",""),"@",""),"[",""),"\",""),"]",""),"^",""),"_",""),"`",""),"{",""),"|",""),"}",""),"~",""),CHAR(9),""),CHAR(10),""),CHAR(13),"")," ",""),"")</f>
        <v/>
      </c>
      <c r="AX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30,26))," ",""),"!",""),CHAR(34),""),"#",""),"$",""),"%",""),"&amp;",""),"'",""),"(",""),")",""),"*",""),"+",""),",",""),"-",""),".",""),"/",""),":",""),";",""),"&lt;",""),"=",""),"&gt;",""),"?",""),"@",""),"[",""),"\",""),"]",""),"^",""),"_",""),"`",""),"{",""),"|",""),"}",""),"~",""),CHAR(9),""),CHAR(10),""),CHAR(13),"")," ",""),"")</f>
        <v/>
      </c>
      <c r="AY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30,27))," ",""),"!",""),CHAR(34),""),"#",""),"$",""),"%",""),"&amp;",""),"'",""),"(",""),")",""),"*",""),"+",""),",",""),"-",""),".",""),"/",""),":",""),";",""),"&lt;",""),"=",""),"&gt;",""),"?",""),"@",""),"[",""),"\",""),"]",""),"^",""),"_",""),"`",""),"{",""),"|",""),"}",""),"~",""),CHAR(9),""),CHAR(10),""),CHAR(13),"")," ",""),"")</f>
        <v/>
      </c>
      <c r="AZ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30,28))," ",""),"!",""),CHAR(34),""),"#",""),"$",""),"%",""),"&amp;",""),"'",""),"(",""),")",""),"*",""),"+",""),",",""),"-",""),".",""),"/",""),":",""),";",""),"&lt;",""),"=",""),"&gt;",""),"?",""),"@",""),"[",""),"\",""),"]",""),"^",""),"_",""),"`",""),"{",""),"|",""),"}",""),"~",""),CHAR(9),""),CHAR(10),""),CHAR(13),"")," ",""),"")</f>
        <v/>
      </c>
      <c r="BA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30,29))," ",""),"!",""),CHAR(34),""),"#",""),"$",""),"%",""),"&amp;",""),"'",""),"(",""),")",""),"*",""),"+",""),",",""),"-",""),".",""),"/",""),":",""),";",""),"&lt;",""),"=",""),"&gt;",""),"?",""),"@",""),"[",""),"\",""),"]",""),"^",""),"_",""),"`",""),"{",""),"|",""),"}",""),"~",""),CHAR(9),""),CHAR(10),""),CHAR(13),"")," ",""),"")</f>
        <v/>
      </c>
      <c r="BB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30,30))," ",""),"!",""),CHAR(34),""),"#",""),"$",""),"%",""),"&amp;",""),"'",""),"(",""),")",""),"*",""),"+",""),",",""),"-",""),".",""),"/",""),":",""),";",""),"&lt;",""),"=",""),"&gt;",""),"?",""),"@",""),"[",""),"\",""),"]",""),"^",""),"_",""),"`",""),"{",""),"|",""),"}",""),"~",""),CHAR(9),""),CHAR(10),""),CHAR(13),"")," ",""),"")</f>
        <v/>
      </c>
      <c r="BC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30,31))," ",""),"!",""),CHAR(34),""),"#",""),"$",""),"%",""),"&amp;",""),"'",""),"(",""),")",""),"*",""),"+",""),",",""),"-",""),".",""),"/",""),":",""),";",""),"&lt;",""),"=",""),"&gt;",""),"?",""),"@",""),"[",""),"\",""),"]",""),"^",""),"_",""),"`",""),"{",""),"|",""),"}",""),"~",""),CHAR(9),""),CHAR(10),""),CHAR(13),"")," ",""),"")</f>
        <v/>
      </c>
      <c r="BD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30,32))," ",""),"!",""),CHAR(34),""),"#",""),"$",""),"%",""),"&amp;",""),"'",""),"(",""),")",""),"*",""),"+",""),",",""),"-",""),".",""),"/",""),":",""),";",""),"&lt;",""),"=",""),"&gt;",""),"?",""),"@",""),"[",""),"\",""),"]",""),"^",""),"_",""),"`",""),"{",""),"|",""),"}",""),"~",""),CHAR(9),""),CHAR(10),""),CHAR(13),"")," ",""),"")</f>
        <v/>
      </c>
      <c r="BE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30,33))," ",""),"!",""),CHAR(34),""),"#",""),"$",""),"%",""),"&amp;",""),"'",""),"(",""),")",""),"*",""),"+",""),",",""),"-",""),".",""),"/",""),":",""),";",""),"&lt;",""),"=",""),"&gt;",""),"?",""),"@",""),"[",""),"\",""),"]",""),"^",""),"_",""),"`",""),"{",""),"|",""),"}",""),"~",""),CHAR(9),""),CHAR(10),""),CHAR(13),"")," ",""),"")</f>
        <v/>
      </c>
      <c r="BF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30,34))," ",""),"!",""),CHAR(34),""),"#",""),"$",""),"%",""),"&amp;",""),"'",""),"(",""),")",""),"*",""),"+",""),",",""),"-",""),".",""),"/",""),":",""),";",""),"&lt;",""),"=",""),"&gt;",""),"?",""),"@",""),"[",""),"\",""),"]",""),"^",""),"_",""),"`",""),"{",""),"|",""),"}",""),"~",""),CHAR(9),""),CHAR(10),""),CHAR(13),"")," ",""),"")</f>
        <v/>
      </c>
      <c r="BG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30,35))," ",""),"!",""),CHAR(34),""),"#",""),"$",""),"%",""),"&amp;",""),"'",""),"(",""),")",""),"*",""),"+",""),",",""),"-",""),".",""),"/",""),":",""),";",""),"&lt;",""),"=",""),"&gt;",""),"?",""),"@",""),"[",""),"\",""),"]",""),"^",""),"_",""),"`",""),"{",""),"|",""),"}",""),"~",""),CHAR(9),""),CHAR(10),""),CHAR(13),"")," ",""),"")</f>
        <v/>
      </c>
      <c r="BH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30,36))," ",""),"!",""),CHAR(34),""),"#",""),"$",""),"%",""),"&amp;",""),"'",""),"(",""),")",""),"*",""),"+",""),",",""),"-",""),".",""),"/",""),":",""),";",""),"&lt;",""),"=",""),"&gt;",""),"?",""),"@",""),"[",""),"\",""),"]",""),"^",""),"_",""),"`",""),"{",""),"|",""),"}",""),"~",""),CHAR(9),""),CHAR(10),""),CHAR(13),"")," ",""),"")</f>
        <v/>
      </c>
      <c r="BI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30,37))," ",""),"!",""),CHAR(34),""),"#",""),"$",""),"%",""),"&amp;",""),"'",""),"(",""),")",""),"*",""),"+",""),",",""),"-",""),".",""),"/",""),":",""),";",""),"&lt;",""),"=",""),"&gt;",""),"?",""),"@",""),"[",""),"\",""),"]",""),"^",""),"_",""),"`",""),"{",""),"|",""),"}",""),"~",""),CHAR(9),""),CHAR(10),""),CHAR(13),"")," ",""),"")</f>
        <v/>
      </c>
      <c r="BJ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30,38))," ",""),"!",""),CHAR(34),""),"#",""),"$",""),"%",""),"&amp;",""),"'",""),"(",""),")",""),"*",""),"+",""),",",""),"-",""),".",""),"/",""),":",""),";",""),"&lt;",""),"=",""),"&gt;",""),"?",""),"@",""),"[",""),"\",""),"]",""),"^",""),"_",""),"`",""),"{",""),"|",""),"}",""),"~",""),CHAR(9),""),CHAR(10),""),CHAR(13),"")," ",""),"")</f>
        <v/>
      </c>
      <c r="BK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30,39))," ",""),"!",""),CHAR(34),""),"#",""),"$",""),"%",""),"&amp;",""),"'",""),"(",""),")",""),"*",""),"+",""),",",""),"-",""),".",""),"/",""),":",""),";",""),"&lt;",""),"=",""),"&gt;",""),"?",""),"@",""),"[",""),"\",""),"]",""),"^",""),"_",""),"`",""),"{",""),"|",""),"}",""),"~",""),CHAR(9),""),CHAR(10),""),CHAR(13),"")," ",""),"")</f>
        <v/>
      </c>
      <c r="BL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30,40))," ",""),"!",""),CHAR(34),""),"#",""),"$",""),"%",""),"&amp;",""),"'",""),"(",""),")",""),"*",""),"+",""),",",""),"-",""),".",""),"/",""),":",""),";",""),"&lt;",""),"=",""),"&gt;",""),"?",""),"@",""),"[",""),"\",""),"]",""),"^",""),"_",""),"`",""),"{",""),"|",""),"}",""),"~",""),CHAR(9),""),CHAR(10),""),CHAR(13),"")," ",""),"")</f>
        <v/>
      </c>
      <c r="BM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30,41))," ",""),"!",""),CHAR(34),""),"#",""),"$",""),"%",""),"&amp;",""),"'",""),"(",""),")",""),"*",""),"+",""),",",""),"-",""),".",""),"/",""),":",""),";",""),"&lt;",""),"=",""),"&gt;",""),"?",""),"@",""),"[",""),"\",""),"]",""),"^",""),"_",""),"`",""),"{",""),"|",""),"}",""),"~",""),CHAR(9),""),CHAR(10),""),CHAR(13),"")," ",""),"")</f>
        <v/>
      </c>
      <c r="BN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30,42))," ",""),"!",""),CHAR(34),""),"#",""),"$",""),"%",""),"&amp;",""),"'",""),"(",""),")",""),"*",""),"+",""),",",""),"-",""),".",""),"/",""),":",""),";",""),"&lt;",""),"=",""),"&gt;",""),"?",""),"@",""),"[",""),"\",""),"]",""),"^",""),"_",""),"`",""),"{",""),"|",""),"}",""),"~",""),CHAR(9),""),CHAR(10),""),CHAR(13),"")," ",""),"")</f>
        <v/>
      </c>
      <c r="BO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30,43))," ",""),"!",""),CHAR(34),""),"#",""),"$",""),"%",""),"&amp;",""),"'",""),"(",""),")",""),"*",""),"+",""),",",""),"-",""),".",""),"/",""),":",""),";",""),"&lt;",""),"=",""),"&gt;",""),"?",""),"@",""),"[",""),"\",""),"]",""),"^",""),"_",""),"`",""),"{",""),"|",""),"}",""),"~",""),CHAR(9),""),CHAR(10),""),CHAR(13),"")," ",""),"")</f>
        <v/>
      </c>
      <c r="BP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30,44))," ",""),"!",""),CHAR(34),""),"#",""),"$",""),"%",""),"&amp;",""),"'",""),"(",""),")",""),"*",""),"+",""),",",""),"-",""),".",""),"/",""),":",""),";",""),"&lt;",""),"=",""),"&gt;",""),"?",""),"@",""),"[",""),"\",""),"]",""),"^",""),"_",""),"`",""),"{",""),"|",""),"}",""),"~",""),CHAR(9),""),CHAR(10),""),CHAR(13),"")," ",""),"")</f>
        <v/>
      </c>
      <c r="BQ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30,45))," ",""),"!",""),CHAR(34),""),"#",""),"$",""),"%",""),"&amp;",""),"'",""),"(",""),")",""),"*",""),"+",""),",",""),"-",""),".",""),"/",""),":",""),";",""),"&lt;",""),"=",""),"&gt;",""),"?",""),"@",""),"[",""),"\",""),"]",""),"^",""),"_",""),"`",""),"{",""),"|",""),"}",""),"~",""),CHAR(9),""),CHAR(10),""),CHAR(13),"")," ",""),"")</f>
        <v/>
      </c>
      <c r="BR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30,46))," ",""),"!",""),CHAR(34),""),"#",""),"$",""),"%",""),"&amp;",""),"'",""),"(",""),")",""),"*",""),"+",""),",",""),"-",""),".",""),"/",""),":",""),";",""),"&lt;",""),"=",""),"&gt;",""),"?",""),"@",""),"[",""),"\",""),"]",""),"^",""),"_",""),"`",""),"{",""),"|",""),"}",""),"~",""),CHAR(9),""),CHAR(10),""),CHAR(13),"")," ",""),"")</f>
        <v/>
      </c>
      <c r="BS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30,47))," ",""),"!",""),CHAR(34),""),"#",""),"$",""),"%",""),"&amp;",""),"'",""),"(",""),")",""),"*",""),"+",""),",",""),"-",""),".",""),"/",""),":",""),";",""),"&lt;",""),"=",""),"&gt;",""),"?",""),"@",""),"[",""),"\",""),"]",""),"^",""),"_",""),"`",""),"{",""),"|",""),"}",""),"~",""),CHAR(9),""),CHAR(10),""),CHAR(13),"")," ",""),"")</f>
        <v/>
      </c>
      <c r="BT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30,48))," ",""),"!",""),CHAR(34),""),"#",""),"$",""),"%",""),"&amp;",""),"'",""),"(",""),")",""),"*",""),"+",""),",",""),"-",""),".",""),"/",""),":",""),";",""),"&lt;",""),"=",""),"&gt;",""),"?",""),"@",""),"[",""),"\",""),"]",""),"^",""),"_",""),"`",""),"{",""),"|",""),"}",""),"~",""),CHAR(9),""),CHAR(10),""),CHAR(13),"")," ",""),"")</f>
        <v/>
      </c>
      <c r="BU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30,49))," ",""),"!",""),CHAR(34),""),"#",""),"$",""),"%",""),"&amp;",""),"'",""),"(",""),")",""),"*",""),"+",""),",",""),"-",""),".",""),"/",""),":",""),";",""),"&lt;",""),"=",""),"&gt;",""),"?",""),"@",""),"[",""),"\",""),"]",""),"^",""),"_",""),"`",""),"{",""),"|",""),"}",""),"~",""),CHAR(9),""),CHAR(10),""),CHAR(13),"")," ",""),"")</f>
        <v/>
      </c>
      <c r="BV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30,50))," ",""),"!",""),CHAR(34),""),"#",""),"$",""),"%",""),"&amp;",""),"'",""),"(",""),")",""),"*",""),"+",""),",",""),"-",""),".",""),"/",""),":",""),";",""),"&lt;",""),"=",""),"&gt;",""),"?",""),"@",""),"[",""),"\",""),"]",""),"^",""),"_",""),"`",""),"{",""),"|",""),"}",""),"~",""),CHAR(9),""),CHAR(10),""),CHAR(13),"")," ",""),"")</f>
        <v/>
      </c>
      <c r="BW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30,51))," ",""),"!",""),CHAR(34),""),"#",""),"$",""),"%",""),"&amp;",""),"'",""),"(",""),")",""),"*",""),"+",""),",",""),"-",""),".",""),"/",""),":",""),";",""),"&lt;",""),"=",""),"&gt;",""),"?",""),"@",""),"[",""),"\",""),"]",""),"^",""),"_",""),"`",""),"{",""),"|",""),"}",""),"~",""),CHAR(9),""),CHAR(10),""),CHAR(13),"")," ",""),"")</f>
        <v/>
      </c>
      <c r="BX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30,52))," ",""),"!",""),CHAR(34),""),"#",""),"$",""),"%",""),"&amp;",""),"'",""),"(",""),")",""),"*",""),"+",""),",",""),"-",""),".",""),"/",""),":",""),";",""),"&lt;",""),"=",""),"&gt;",""),"?",""),"@",""),"[",""),"\",""),"]",""),"^",""),"_",""),"`",""),"{",""),"|",""),"}",""),"~",""),CHAR(9),""),CHAR(10),""),CHAR(13),"")," ",""),"")</f>
        <v/>
      </c>
      <c r="BY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30,53))," ",""),"!",""),CHAR(34),""),"#",""),"$",""),"%",""),"&amp;",""),"'",""),"(",""),")",""),"*",""),"+",""),",",""),"-",""),".",""),"/",""),":",""),";",""),"&lt;",""),"=",""),"&gt;",""),"?",""),"@",""),"[",""),"\",""),"]",""),"^",""),"_",""),"`",""),"{",""),"|",""),"}",""),"~",""),CHAR(9),""),CHAR(10),""),CHAR(13),"")," ",""),"")</f>
        <v/>
      </c>
      <c r="BZ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30,54))," ",""),"!",""),CHAR(34),""),"#",""),"$",""),"%",""),"&amp;",""),"'",""),"(",""),")",""),"*",""),"+",""),",",""),"-",""),".",""),"/",""),":",""),";",""),"&lt;",""),"=",""),"&gt;",""),"?",""),"@",""),"[",""),"\",""),"]",""),"^",""),"_",""),"`",""),"{",""),"|",""),"}",""),"~",""),CHAR(9),""),CHAR(10),""),CHAR(13),"")," ",""),"")</f>
        <v/>
      </c>
      <c r="CA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30,55))," ",""),"!",""),CHAR(34),""),"#",""),"$",""),"%",""),"&amp;",""),"'",""),"(",""),")",""),"*",""),"+",""),",",""),"-",""),".",""),"/",""),":",""),";",""),"&lt;",""),"=",""),"&gt;",""),"?",""),"@",""),"[",""),"\",""),"]",""),"^",""),"_",""),"`",""),"{",""),"|",""),"}",""),"~",""),CHAR(9),""),CHAR(10),""),CHAR(13),"")," ",""),"")</f>
        <v/>
      </c>
      <c r="CB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30,56))," ",""),"!",""),CHAR(34),""),"#",""),"$",""),"%",""),"&amp;",""),"'",""),"(",""),")",""),"*",""),"+",""),",",""),"-",""),".",""),"/",""),":",""),";",""),"&lt;",""),"=",""),"&gt;",""),"?",""),"@",""),"[",""),"\",""),"]",""),"^",""),"_",""),"`",""),"{",""),"|",""),"}",""),"~",""),CHAR(9),""),CHAR(10),""),CHAR(13),"")," ",""),"")</f>
        <v/>
      </c>
      <c r="CC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30,57))," ",""),"!",""),CHAR(34),""),"#",""),"$",""),"%",""),"&amp;",""),"'",""),"(",""),")",""),"*",""),"+",""),",",""),"-",""),".",""),"/",""),":",""),";",""),"&lt;",""),"=",""),"&gt;",""),"?",""),"@",""),"[",""),"\",""),"]",""),"^",""),"_",""),"`",""),"{",""),"|",""),"}",""),"~",""),CHAR(9),""),CHAR(10),""),CHAR(13),"")," ",""),"")</f>
        <v/>
      </c>
      <c r="CD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30,58))," ",""),"!",""),CHAR(34),""),"#",""),"$",""),"%",""),"&amp;",""),"'",""),"(",""),")",""),"*",""),"+",""),",",""),"-",""),".",""),"/",""),":",""),";",""),"&lt;",""),"=",""),"&gt;",""),"?",""),"@",""),"[",""),"\",""),"]",""),"^",""),"_",""),"`",""),"{",""),"|",""),"}",""),"~",""),CHAR(9),""),CHAR(10),""),CHAR(13),"")," ",""),"")</f>
        <v/>
      </c>
      <c r="CE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30,59))," ",""),"!",""),CHAR(34),""),"#",""),"$",""),"%",""),"&amp;",""),"'",""),"(",""),")",""),"*",""),"+",""),",",""),"-",""),".",""),"/",""),":",""),";",""),"&lt;",""),"=",""),"&gt;",""),"?",""),"@",""),"[",""),"\",""),"]",""),"^",""),"_",""),"`",""),"{",""),"|",""),"}",""),"~",""),CHAR(9),""),CHAR(10),""),CHAR(13),"")," ",""),"")</f>
        <v/>
      </c>
      <c r="CF3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30,60))," ",""),"!",""),CHAR(34),""),"#",""),"$",""),"%",""),"&amp;",""),"'",""),"(",""),")",""),"*",""),"+",""),",",""),"-",""),".",""),"/",""),":",""),";",""),"&lt;",""),"=",""),"&gt;",""),"?",""),"@",""),"[",""),"\",""),"]",""),"^",""),"_",""),"`",""),"{",""),"|",""),"}",""),"~",""),CHAR(9),""),CHAR(10),""),CHAR(13),"")," ",""),"")</f>
        <v/>
      </c>
      <c r="CH34">
        <f>COUNTIF($Y79:$CF79,"&gt;0")</f>
        <v/>
      </c>
      <c r="CI34">
        <f>COUNTIF($Y79:$CF79,2)</f>
        <v/>
      </c>
      <c r="CJ34">
        <f>SUMPRODUCT((COUNTIF($Y124:$CF124,{1,2,3,4,5,6,7,8,9,10,11,12,13,14,15})&gt;0)*{2,4,8,16,32,64,128,256,512,1024,2048,4096,8192,16384,32768})</f>
        <v/>
      </c>
      <c r="CK34">
        <f>CF214</f>
        <v/>
      </c>
      <c r="CL34">
        <f>SUMPRODUCT(MOD(INT(((CJ34+CK34))/{2,4,8,16,32,64,128,256,512,1024,2048,4096,8192,16384,32768}),2))</f>
        <v/>
      </c>
      <c r="CM34">
        <f>IF(CH34&lt;2,-9999,CL34+2*MOD(INT(((CJ34+CK34))/2),2)+2*MOD(INT(((CJ34+CK34))/4),2)-CI34)</f>
        <v/>
      </c>
      <c r="DA34" t="n">
        <v>30</v>
      </c>
      <c r="DB34">
        <f>IF($B$37=0,"",IFERROR(TRIM(SUBSTITUTE(SUBSTITUTE(SUBSTITUTE(SUBSTITUTE(INDEX(PASTE_ALL,30,$B$37)," "," "),CHAR(9)," "),CHAR(10)," "),CHAR(13)," ")),""))</f>
        <v/>
      </c>
      <c r="DC34">
        <f>IF(AND(30&gt;HEADER_ROW,UPPER(DB34)="LEGEND"),1,0)</f>
        <v/>
      </c>
      <c r="DE34" t="n">
        <v>30</v>
      </c>
      <c r="DF34">
        <f>HEADER_ROW+$DE34</f>
        <v/>
      </c>
      <c r="DG34">
        <f>IF(AND($DF34&lt;=1000,$DF34&lt;$B$8),1,0)</f>
        <v/>
      </c>
      <c r="DH34">
        <f>IF($DG34=1,IFERROR(INDEX($DB$5:$DB$1004,$DF34),""),"")</f>
        <v/>
      </c>
      <c r="DI34">
        <f>IF(AND($DG34=1,$DH34&lt;&gt;""),IFERROR(SUBSTITUTE(SUBSTITUTE(TRIM(SUBSTITUTE(SUBSTITUTE(SUBSTITUTE(SUBSTITUTE(IFERROR(INDEX(PASTE_ALL,$DF34,1)&amp;"","")&amp;"␟"&amp;IFERROR(INDEX(PASTE_ALL,$DF34,2)&amp;"","")&amp;"␟"&amp;IFERROR(INDEX(PASTE_ALL,$DF34,3)&amp;"","")&amp;"␟"&amp;IFERROR(INDEX(PASTE_ALL,$DF34,4)&amp;"","")&amp;"␟"&amp;IFERROR(INDEX(PASTE_ALL,$DF34,5)&amp;"","")&amp;"␟"&amp;IFERROR(INDEX(PASTE_ALL,$DF34,6)&amp;"","")&amp;"␟"&amp;IFERROR(INDEX(PASTE_ALL,$DF34,7)&amp;"","")&amp;"␟"&amp;IFERROR(INDEX(PASTE_ALL,$DF34,8)&amp;"","")&amp;"␟"&amp;IFERROR(INDEX(PASTE_ALL,$DF34,9)&amp;"","")&amp;"␟"&amp;IFERROR(INDEX(PASTE_ALL,$DF34,10)&amp;"","")&amp;"␟"&amp;IFERROR(INDEX(PASTE_ALL,$DF34,11)&amp;"","")&amp;"␟"&amp;IFERROR(INDEX(PASTE_ALL,$DF34,12)&amp;"","")&amp;"␟"&amp;IFERROR(INDEX(PASTE_ALL,$DF34,13)&amp;"","")&amp;"␟"&amp;IFERROR(INDEX(PASTE_ALL,$DF34,14)&amp;"","")&amp;"␟"&amp;IFERROR(INDEX(PASTE_ALL,$DF34,15)&amp;"","")&amp;"␟"&amp;IFERROR(INDEX(PASTE_ALL,$DF34,16)&amp;"","")&amp;"␟"&amp;IFERROR(INDEX(PASTE_ALL,$DF34,17)&amp;"","")&amp;"␟"&amp;IFERROR(INDEX(PASTE_ALL,$DF34,18)&amp;"","")&amp;"␟"&amp;IFERROR(INDEX(PASTE_ALL,$DF34,19)&amp;"","")&amp;"␟"&amp;IFERROR(INDEX(PASTE_ALL,$DF34,20)&amp;"","")&amp;"␟"&amp;IFERROR(INDEX(PASTE_ALL,$DF34,21)&amp;"","")&amp;"␟"&amp;IFERROR(INDEX(PASTE_ALL,$DF34,22)&amp;"","")&amp;"␟"&amp;IFERROR(INDEX(PASTE_ALL,$DF34,23)&amp;"","")&amp;"␟"&amp;IFERROR(INDEX(PASTE_ALL,$DF34,24)&amp;"","")&amp;"␟"&amp;IFERROR(INDEX(PASTE_ALL,$DF34,25)&amp;"","")&amp;"␟"&amp;IFERROR(INDEX(PASTE_ALL,$DF34,26)&amp;"","")&amp;"␟"&amp;IFERROR(INDEX(PASTE_ALL,$DF34,27)&amp;"","")&amp;"␟"&amp;IFERROR(INDEX(PASTE_ALL,$DF34,28)&amp;"","")&amp;"␟"&amp;IFERROR(INDEX(PASTE_ALL,$DF34,29)&amp;"","")&amp;"␟"&amp;IFERROR(INDEX(PASTE_ALL,$DF34,30)&amp;"","")&amp;"␟"&amp;IFERROR(INDEX(PASTE_ALL,$DF34,31)&amp;"","")&amp;"␟"&amp;IFERROR(INDEX(PASTE_ALL,$DF34,32)&amp;"","")&amp;"␟"&amp;IFERROR(INDEX(PASTE_ALL,$DF34,33)&amp;"","")&amp;"␟"&amp;IFERROR(INDEX(PASTE_ALL,$DF34,34)&amp;"","")&amp;"␟"&amp;IFERROR(INDEX(PASTE_ALL,$DF34,35)&amp;"","")&amp;"␟"&amp;IFERROR(INDEX(PASTE_ALL,$DF34,36)&amp;"","")&amp;"␟"&amp;IFERROR(INDEX(PASTE_ALL,$DF34,37)&amp;"","")&amp;"␟"&amp;IFERROR(INDEX(PASTE_ALL,$DF34,38)&amp;"","")&amp;"␟"&amp;IFERROR(INDEX(PASTE_ALL,$DF34,39)&amp;"","")&amp;"␟"&amp;IFERROR(INDEX(PASTE_ALL,$DF34,40)&amp;"","")&amp;"␟"&amp;IFERROR(INDEX(PASTE_ALL,$DF34,41)&amp;"","")&amp;"␟"&amp;IFERROR(INDEX(PASTE_ALL,$DF34,42)&amp;"","")&amp;"␟"&amp;IFERROR(INDEX(PASTE_ALL,$DF34,43)&amp;"","")&amp;"␟"&amp;IFERROR(INDEX(PASTE_ALL,$DF34,44)&amp;"","")&amp;"␟"&amp;IFERROR(INDEX(PASTE_ALL,$DF34,45)&amp;"","")&amp;"␟"&amp;IFERROR(INDEX(PASTE_ALL,$DF34,46)&amp;"","")&amp;"␟"&amp;IFERROR(INDEX(PASTE_ALL,$DF34,47)&amp;"","")&amp;"␟"&amp;IFERROR(INDEX(PASTE_ALL,$DF34,48)&amp;"","")&amp;"␟"&amp;IFERROR(INDEX(PASTE_ALL,$DF34,49)&amp;"","")&amp;"␟"&amp;IFERROR(INDEX(PASTE_ALL,$DF34,50)&amp;"","")&amp;"␟"&amp;IFERROR(INDEX(PASTE_ALL,$DF34,51)&amp;"","")&amp;"␟"&amp;IFERROR(INDEX(PASTE_ALL,$DF34,52)&amp;"","")&amp;"␟"&amp;IFERROR(INDEX(PASTE_ALL,$DF34,53)&amp;"","")&amp;"␟"&amp;IFERROR(INDEX(PASTE_ALL,$DF34,54)&amp;"","")&amp;"␟"&amp;IFERROR(INDEX(PASTE_ALL,$DF34,55)&amp;"","")&amp;"␟"&amp;IFERROR(INDEX(PASTE_ALL,$DF34,56)&amp;"","")&amp;"␟"&amp;IFERROR(INDEX(PASTE_ALL,$DF34,57)&amp;"","")&amp;"␟"&amp;IFERROR(INDEX(PASTE_ALL,$DF34,58)&amp;"","")&amp;"␟"&amp;IFERROR(INDEX(PASTE_ALL,$DF34,59)&amp;"","")&amp;"␟"&amp;IFERROR(INDEX(PASTE_ALL,$DF34,60)&amp;"","")," "," "),CHAR(9)," "),CHAR(10)," "),CHAR(13)," "))," ␟","␟"),"␟ ","␟"),"#"&amp;$DE34),"")</f>
        <v/>
      </c>
      <c r="DJ34">
        <f>IF($DI34="",0,IF(SUMPRODUCT(--EXACT($DI$4:DI33,$DI34))&gt;0,1,0))</f>
        <v/>
      </c>
      <c r="DK34">
        <f>IF(AND($DI34&lt;&gt;"",$DJ34=0),1,0)</f>
        <v/>
      </c>
      <c r="DL34">
        <f>DL33+$DK34</f>
        <v/>
      </c>
      <c r="DM34">
        <f>IF(AND($DK34=1,$DL34&lt;=600),1,0)</f>
        <v/>
      </c>
      <c r="DN34">
        <f>IF($DM34=0,"",IF($L$6=0,"",IFERROR(IF(ISNUMBER(INDEX(PASTE_ALL,$DF34,$L$6)),INDEX(PASTE_ALL,$DF34,$L$6),TRIM(SUBSTITUTE(SUBSTITUTE(SUBSTITUTE(SUBSTITUTE(INDEX(PASTE_ALL,$DF34,$L$6)," "," "),CHAR(9)," "),CHAR(10)," "),CHAR(13)," "))),"")))</f>
        <v/>
      </c>
      <c r="DO34">
        <f>IF($DM34=0,"",IF($L$7=0,"",IFERROR(IF(ISNUMBER(INDEX(PASTE_ALL,$DF34,$L$7)),INDEX(PASTE_ALL,$DF34,$L$7),TRIM(SUBSTITUTE(SUBSTITUTE(SUBSTITUTE(SUBSTITUTE(INDEX(PASTE_ALL,$DF34,$L$7)," "," "),CHAR(9)," "),CHAR(10)," "),CHAR(13)," "))),"")))</f>
        <v/>
      </c>
      <c r="DP34">
        <f>IF($DM34=0,"",IF($L$8=0,"",IFERROR(IF(ISNUMBER(INDEX(PASTE_ALL,$DF34,$L$8)),INDEX(PASTE_ALL,$DF34,$L$8),TRIM(SUBSTITUTE(SUBSTITUTE(SUBSTITUTE(SUBSTITUTE(INDEX(PASTE_ALL,$DF34,$L$8)," "," "),CHAR(9)," "),CHAR(10)," "),CHAR(13)," "))),"")))</f>
        <v/>
      </c>
      <c r="DQ34">
        <f>IF($DM34=0,"",IF($L$9=0,"",IFERROR(IF(ISNUMBER(INDEX(PASTE_ALL,$DF34,$L$9)),INDEX(PASTE_ALL,$DF34,$L$9),TRIM(SUBSTITUTE(SUBSTITUTE(SUBSTITUTE(SUBSTITUTE(INDEX(PASTE_ALL,$DF34,$L$9)," "," "),CHAR(9)," "),CHAR(10)," "),CHAR(13)," "))),"")))</f>
        <v/>
      </c>
      <c r="DR34">
        <f>IF($DM34=0,"",IF($L$10=0,"",IFERROR(IF(ISNUMBER(INDEX(PASTE_ALL,$DF34,$L$10)),INDEX(PASTE_ALL,$DF34,$L$10),TRIM(SUBSTITUTE(SUBSTITUTE(SUBSTITUTE(SUBSTITUTE(INDEX(PASTE_ALL,$DF34,$L$10)," "," "),CHAR(9)," "),CHAR(10)," "),CHAR(13)," "))),"")))</f>
        <v/>
      </c>
      <c r="DS34">
        <f>IF($DM34=0,"",IF($L$11=0,"",IFERROR(IF(ISNUMBER(INDEX(PASTE_ALL,$DF34,$L$11)),INDEX(PASTE_ALL,$DF34,$L$11),TRIM(SUBSTITUTE(SUBSTITUTE(SUBSTITUTE(SUBSTITUTE(INDEX(PASTE_ALL,$DF34,$L$11)," "," "),CHAR(9)," "),CHAR(10)," "),CHAR(13)," "))),"")))</f>
        <v/>
      </c>
      <c r="DT34">
        <f>IF($DM34=0,"",IF($L$12=0,"",IFERROR(IF(ISNUMBER(INDEX(PASTE_ALL,$DF34,$L$12)),INDEX(PASTE_ALL,$DF34,$L$12),TRIM(SUBSTITUTE(SUBSTITUTE(SUBSTITUTE(SUBSTITUTE(INDEX(PASTE_ALL,$DF34,$L$12)," "," "),CHAR(9)," "),CHAR(10)," "),CHAR(13)," "))),"")))</f>
        <v/>
      </c>
      <c r="DU34">
        <f>IF($DM34=0,"",IF($L$13=0,"",IFERROR(IF(ISNUMBER(INDEX(PASTE_ALL,$DF34,$L$13)),INDEX(PASTE_ALL,$DF34,$L$13),TRIM(SUBSTITUTE(SUBSTITUTE(SUBSTITUTE(SUBSTITUTE(INDEX(PASTE_ALL,$DF34,$L$13)," "," "),CHAR(9)," "),CHAR(10)," "),CHAR(13)," "))),"")))</f>
        <v/>
      </c>
      <c r="DV34">
        <f>IF($DM34=0,"",IF($L$14=0,"",IFERROR(IF(ISNUMBER(INDEX(PASTE_ALL,$DF34,$L$14)),INDEX(PASTE_ALL,$DF34,$L$14),TRIM(SUBSTITUTE(SUBSTITUTE(SUBSTITUTE(SUBSTITUTE(INDEX(PASTE_ALL,$DF34,$L$14)," "," "),CHAR(9)," "),CHAR(10)," "),CHAR(13)," "))),"")))</f>
        <v/>
      </c>
      <c r="DW34">
        <f>IF($DM34=0,"",IF($L$15=0,"",IFERROR(IF(ISNUMBER(INDEX(PASTE_ALL,$DF34,$L$15)),INDEX(PASTE_ALL,$DF34,$L$15),IF(SUMPRODUCT(--ISNUMBER(FIND({"A","B","C","D","E","F","G","H","I","J","K","L","M","N","O","P","Q","R","S","T","U","V","W","X","Y","Z","0","1","2","3","4","5","6","7","8","9"},UPPER(TRIM(SUBSTITUTE(SUBSTITUTE(SUBSTITUTE(SUBSTITUTE(INDEX(PASTE_ALL,$DF34,$L$15)," "," "),CHAR(9)," "),CHAR(10)," "),CHAR(13)," "))))))&gt;0,TRIM(SUBSTITUTE(SUBSTITUTE(SUBSTITUTE(SUBSTITUTE(INDEX(PASTE_ALL,$DF34,$L$15)," "," "),CHAR(9)," "),CHAR(10)," "),CHAR(13)," ")),"")),"")))</f>
        <v/>
      </c>
      <c r="DX34">
        <f>IF($DM34=0,"",IF($L$16=0,"",IFERROR(IF(ISNUMBER(INDEX(PASTE_ALL,$DF34,$L$16)),INDEX(PASTE_ALL,$DF34,$L$16),SUBSTITUTE(SUBSTITUTE(TRIM(SUBSTITUTE(SUBSTITUTE(SUBSTITUTE(SUBSTITUTE(INDEX(PASTE_ALL,$DF34,$L$16)," "," "),CHAR(9)," "),CHAR(10)," "),CHAR(13)," ")),",",""),"%","")),"")))</f>
        <v/>
      </c>
      <c r="DY34">
        <f>IF($DM34=0,"",IFERROR(IF(ISNUMBER($DX34),$DX34,IF($DX34="","",IF(TRIM($DX34)="",0,IF(AND(AND(SUBSTITUTE(SUBSTITUTE(SUBSTITUTE(SUBSTITUTE(SUBSTITUTE(SUBSTITUTE(SUBSTITUTE(SUBSTITUTE(SUBSTITUTE(SUBSTITUTE(SUBSTITUTE(SUBSTITUTE(SUBSTITUTE(SUBSTITUTE(UPPER(TRIM($DX34)),"0",""),"1",""),"2",""),"3",""),"4",""),"5",""),"6",""),"7",""),"8",""),"9",""),".",""),"+",""),"-",""),"E","")="",LEN(SUBSTITUTE(SUBSTITUTE(MID(UPPER(TRIM($DX34)),1+OR(LEFT(UPPER(TRIM($DX34)),1)="+",LEFT(UPPER(TRIM($DX34)),1)="-"),999),"E+","E"),"E-","E"))=LEN(SUBSTITUTE(SUBSTITUTE(SUBSTITUTE(SUBSTITUTE(MID(UPPER(TRIM($DX34)),1+OR(LEFT(UPPER(TRIM($DX34)),1)="+",LEFT(UPPER(TRIM($DX34)),1)="-"),999),"E+","E"),"E-","E"),"+",""),"-","")),LEN(UPPER(TRIM($DX34)))-LEN(SUBSTITUTE(UPPER(TRIM($DX34)),"E",""))&lt;2,LEN(UPPER(TRIM($DX34)))-LEN(SUBSTITUTE(UPPER(TRIM($DX34)),".",""))&lt;2,IFERROR(FIND(".",UPPER(TRIM($DX34))),0)&lt;IFERROR(FIND("E",UPPER(TRIM($DX34))),999)),ISNUMBER(VALUE(TRIM($DX34)))),VALUE(TRIM($DX34)),"")))),""))</f>
        <v/>
      </c>
      <c r="DZ34">
        <f>IF($DM34=0,"",IF($L$17=0,"",IFERROR(IF(ISNUMBER(INDEX(PASTE_ALL,$DF34,$L$17)),INDEX(PASTE_ALL,$DF34,$L$17),SUBSTITUTE(SUBSTITUTE(TRIM(SUBSTITUTE(SUBSTITUTE(SUBSTITUTE(SUBSTITUTE(INDEX(PASTE_ALL,$DF34,$L$17)," "," "),CHAR(9)," "),CHAR(10)," "),CHAR(13)," ")),",",""),"%","")),"")))</f>
        <v/>
      </c>
      <c r="EA34">
        <f>IF($DM34=0,"",IFERROR(IF(ISNUMBER($DZ34),$DZ34,IF($DZ34="","",IF(TRIM($DZ34)="",0,IF(AND(AND(SUBSTITUTE(SUBSTITUTE(SUBSTITUTE(SUBSTITUTE(SUBSTITUTE(SUBSTITUTE(SUBSTITUTE(SUBSTITUTE(SUBSTITUTE(SUBSTITUTE(SUBSTITUTE(SUBSTITUTE(SUBSTITUTE(SUBSTITUTE(UPPER(TRIM($DZ34)),"0",""),"1",""),"2",""),"3",""),"4",""),"5",""),"6",""),"7",""),"8",""),"9",""),".",""),"+",""),"-",""),"E","")="",LEN(SUBSTITUTE(SUBSTITUTE(MID(UPPER(TRIM($DZ34)),1+OR(LEFT(UPPER(TRIM($DZ34)),1)="+",LEFT(UPPER(TRIM($DZ34)),1)="-"),999),"E+","E"),"E-","E"))=LEN(SUBSTITUTE(SUBSTITUTE(SUBSTITUTE(SUBSTITUTE(MID(UPPER(TRIM($DZ34)),1+OR(LEFT(UPPER(TRIM($DZ34)),1)="+",LEFT(UPPER(TRIM($DZ34)),1)="-"),999),"E+","E"),"E-","E"),"+",""),"-","")),LEN(UPPER(TRIM($DZ34)))-LEN(SUBSTITUTE(UPPER(TRIM($DZ34)),"E",""))&lt;2,LEN(UPPER(TRIM($DZ34)))-LEN(SUBSTITUTE(UPPER(TRIM($DZ34)),".",""))&lt;2,IFERROR(FIND(".",UPPER(TRIM($DZ34))),0)&lt;IFERROR(FIND("E",UPPER(TRIM($DZ34))),999)),ISNUMBER(VALUE(TRIM($DZ34)))),VALUE(TRIM($DZ34)),"")))),""))</f>
        <v/>
      </c>
      <c r="EB34">
        <f>IF($DM34=0,"",IF($L$18=0,"",IFERROR(IF(UPPER(TRIM(SUBSTITUTE(SUBSTITUTE(SUBSTITUTE(SUBSTITUTE(INDEX(PASTE_ALL,$DF34,$L$18)," "," "),CHAR(9)," "),CHAR(10)," "),CHAR(13)," ")))="READY","Ready",IF(UPPER(TRIM(SUBSTITUTE(SUBSTITUTE(SUBSTITUTE(SUBSTITUTE(INDEX(PASTE_ALL,$DF34,$L$18)," "," "),CHAR(9)," "),CHAR(10)," "),CHAR(13)," ")))="PM","PM",IF(OR(UPPER(TRIM(SUBSTITUTE(SUBSTITUTE(SUBSTITUTE(SUBSTITUTE(INDEX(PASTE_ALL,$DF34,$L$18)," "," "),CHAR(9)," "),CHAR(10)," "),CHAR(13)," ")))="OT",UPPER(TRIM(SUBSTITUTE(SUBSTITUTE(SUBSTITUTE(SUBSTITUTE(INDEX(PASTE_ALL,$DF34,$L$18)," "," "),CHAR(9)," "),CHAR(10)," "),CHAR(13)," ")))="OVERTIME",UPPER(TRIM(SUBSTITUTE(SUBSTITUTE(SUBSTITUTE(SUBSTITUTE(INDEX(PASTE_ALL,$DF34,$L$18)," "," "),CHAR(9)," "),CHAR(10)," "),CHAR(13)," ")))="TRIAL"),"OT",TRIM(SUBSTITUTE(SUBSTITUTE(SUBSTITUTE(SUBSTITUTE(INDEX(PASTE_ALL,$DF34,$L$18)," "," "),CHAR(9)," "),CHAR(10)," "),CHAR(13)," "))))),"")))</f>
        <v/>
      </c>
      <c r="EC34">
        <f>IF($DM34=0,"",IF($L$19=0,"",IFERROR(IF(ISNUMBER(INDEX(PASTE_ALL,$DF34,$L$19)),INDEX(PASTE_ALL,$DF34,$L$19),TRIM(SUBSTITUTE(SUBSTITUTE(SUBSTITUTE(SUBSTITUTE(INDEX(PASTE_ALL,$DF34,$L$19)," "," "),CHAR(9)," "),CHAR(10)," "),CHAR(13)," "))),"")))</f>
        <v/>
      </c>
      <c r="ED34">
        <f>IF($DM34=0,"",MATCH(1,INDEX(EXACT($DH$5:DH34,$DH34)*$DM$5:DM34,0),0))</f>
        <v/>
      </c>
      <c r="EE34">
        <f>IF($DM34=0,0,IF($ED34=$DE34,1,0))</f>
        <v/>
      </c>
      <c r="EF34">
        <f>EF33+$EE34</f>
        <v/>
      </c>
      <c r="EG34">
        <f>IF($DM34=0,"",INDEX($EF$5:$EF$1003,$ED34))</f>
        <v/>
      </c>
      <c r="EH34">
        <f>IF($DM34=0,"",IF($DO34&lt;&gt;"","",IFERROR(LOOKUP(2,1/(($EG$4:EG33=$EG34)*($DO$4:DO33&lt;&gt;"")),$DO$4:DO33),"")))</f>
        <v/>
      </c>
      <c r="EI34">
        <f>IF($DM34=0,"",IF($DO34&lt;&gt;"",$DO34,$EH34))</f>
        <v/>
      </c>
      <c r="EJ34">
        <f>IF($DM34=0,"",IF($EI34="",0,IF(OR(ISNUMBER($EI34),AND(AND(SUBSTITUTE(SUBSTITUTE(SUBSTITUTE(SUBSTITUTE(SUBSTITUTE(SUBSTITUTE(SUBSTITUTE(SUBSTITUTE(SUBSTITUTE(SUBSTITUTE(SUBSTITUTE(SUBSTITUTE(SUBSTITUTE(SUBSTITUTE(UPPER($EI34),"0",""),"1",""),"2",""),"3",""),"4",""),"5",""),"6",""),"7",""),"8",""),"9",""),".",""),"+",""),"-",""),"E","")="",LEN(SUBSTITUTE(SUBSTITUTE(MID(UPPER($EI34),1+OR(LEFT(UPPER($EI34),1)="+",LEFT(UPPER($EI34),1)="-"),999),"E+","E"),"E-","E"))=LEN(SUBSTITUTE(SUBSTITUTE(SUBSTITUTE(SUBSTITUTE(MID(UPPER($EI34),1+OR(LEFT(UPPER($EI34),1)="+",LEFT(UPPER($EI34),1)="-"),999),"E+","E"),"E-","E"),"+",""),"-","")),LEN(UPPER($EI34))-LEN(SUBSTITUTE(UPPER($EI34),"E",""))&lt;2,LEN(UPPER($EI34))-LEN(SUBSTITUTE(UPPER($EI34),".",""))&lt;2,IFERROR(FIND(".",UPPER($EI34)),0)&lt;IFERROR(FIND("E",UPPER($EI34)),999)),ISNUMBER(VALUE($EI34)))),1,2)))</f>
        <v/>
      </c>
      <c r="EK34">
        <f>IF($DM34=0,"",IF($EJ34=1,IF(ISNUMBER($EI34),$EI34,VALUE($EI34)),IF($EJ34=2,$DE34,0)))</f>
        <v/>
      </c>
      <c r="EL34">
        <f>IF($DM34=0,"",COUNTIF($EG$5:$EG$1003,"&lt;"&amp;$EG34)+SUMPRODUCT(($EG$5:$EG$1003=$EG34)*(($EJ$5:$EJ$1003&lt;$EJ34)+($EJ$5:$EJ$1003=$EJ34)*(($EK$5:$EK$1003&lt;$EK34)+($EK$5:$EK$1003=$EK34)*($DE$5:$DE$1003&lt;$DE34))))+1)</f>
        <v/>
      </c>
      <c r="EM34">
        <f>IF($DM34=0,"",$EL34+$EG34-1)</f>
        <v/>
      </c>
      <c r="EN34">
        <f>IF($DM34=0,0,IFERROR(MATCH(1,INDEX(--(TRIM(SUBSTITUTE(SUBSTITUTE(SUBSTITUTE(SUBSTITUTE(LINES_NAME&amp;""," "," "),CHAR(9)," "),CHAR(10)," "),CHAR(13)," "))=$DH34),0),0),0))</f>
        <v/>
      </c>
      <c r="EO34">
        <f>IF($EN34=0,0,IF(OR(UPPER(TRIM(INDEX(LINES_SCHEDULED,$EN34)&amp;""))="YES",UPPER(TRIM(INDEX(LINES_SCHEDULED,$EN34)&amp;""))="Y",UPPER(TRIM(INDEX(LINES_SCHEDULED,$EN34)&amp;""))="X"),1,0))</f>
        <v/>
      </c>
      <c r="EP34">
        <f>IF($DM34=0,"",IF(COUNTIFS($EG$5:$EG$1003,$EG34,$EB$5:$EB$1003,"Ready")&gt;0,"READY",IF(COUNTIFS($EG$5:$EG$1003,$EG34,$EB$5:$EB$1003,"PM")&gt;0,"PM",IF(COUNTIFS($EG$5:$EG$1003,$EG34,$EB$5:$EB$1003,"OT")&gt;0,"OT",""))))</f>
        <v/>
      </c>
      <c r="EQ34">
        <f>IF($EN34=0,"",UPPER(TRIM(INDEX(LINES_STATUS,$EN34)&amp;"")))</f>
        <v/>
      </c>
      <c r="ER34">
        <f>IF($DM34=0,"",IF(OR($EQ34="READY",$EQ34="PM",$EQ34="OT"),$EQ34,$EP34))</f>
        <v/>
      </c>
      <c r="ES34">
        <f>IF($DM34=0,"",IF(AND($DV34&lt;&gt;"",UPPER($DV34)&lt;&gt;"N"),"allergen",IF(ISNUMBER(SEARCH("oil",$DQ34)),"oil",IF(OR(EXACT($DS34,"A662"),EXACT($DS34,"A624")),"bulk",""))))</f>
        <v/>
      </c>
      <c r="ET34">
        <f>IF($DM34=0,"",IF(OR($EA34="",$EA34=0),"",$EA34/100))</f>
        <v/>
      </c>
      <c r="EU34">
        <f>IF(OR($ET34="",$DY34=""),"",INT($DY34*(1-$ET34)+0.5))</f>
        <v/>
      </c>
      <c r="EW34" t="n">
        <v>30</v>
      </c>
      <c r="EX34">
        <f>IFERROR(MATCH($EW34,$EM$5:$EM$1003,0),0)</f>
        <v/>
      </c>
      <c r="EY34">
        <f>IF($EW34&gt;$B$12,"",IF($EX34&gt;0,"row","spacer"))</f>
        <v/>
      </c>
      <c r="EZ34">
        <f>IF(AND($EY34="row",$EY33&lt;&gt;"row"),1,0)</f>
        <v/>
      </c>
      <c r="FA34">
        <f>IF(AND($EY34="row",$EY35&lt;&gt;"row"),1,0)</f>
        <v/>
      </c>
      <c r="FB34">
        <f>IF($EZ34=1,IFERROR(IF(ISNUMBER(INDEX(PASTE_ALL,INDEX($DF$5:$DF$1003,$EX34),$B$37)),INDEX(PASTE_ALL,INDEX($DF$5:$DF$1003,$EX34),$B$37),INDEX($DH$5:$DH$1003,$EX34)),INDEX($DH$5:$DH$1003,$EX34)),"")</f>
        <v/>
      </c>
      <c r="FC34">
        <f>IF($EY34="row",INDEX($ER$5:$ER$1003,$EX34),"")</f>
        <v/>
      </c>
      <c r="FD34">
        <f>IF($EY34="row",INDEX($DN$5:$DN$1003,$EX34),"")</f>
        <v/>
      </c>
      <c r="FE34">
        <f>IF($EY34="row",INDEX($DO$5:$DO$1003,$EX34),"")</f>
        <v/>
      </c>
      <c r="FF34">
        <f>IF($EY34="row",INDEX($DP$5:$DP$1003,$EX34),"")</f>
        <v/>
      </c>
      <c r="FG34">
        <f>IF($EY34="row",INDEX($DQ$5:$DQ$1003,$EX34),"")</f>
        <v/>
      </c>
      <c r="FH34">
        <f>IF($EY34="row",INDEX($DR$5:$DR$1003,$EX34),"")</f>
        <v/>
      </c>
      <c r="FI34">
        <f>IF($EY34="row",INDEX($DS$5:$DS$1003,$EX34),"")</f>
        <v/>
      </c>
      <c r="FJ34">
        <f>IF($EY34="row",INDEX($DT$5:$DT$1003,$EX34),"")</f>
        <v/>
      </c>
      <c r="FK34">
        <f>IF($EY34="row",INDEX($DU$5:$DU$1003,$EX34),"")</f>
        <v/>
      </c>
      <c r="FL34">
        <f>IF($EY34="row",INDEX($DV$5:$DV$1003,$EX34),"")</f>
        <v/>
      </c>
      <c r="FM34">
        <f>IF($EY34="row",INDEX($DW$5:$DW$1003,$EX34),"")</f>
        <v/>
      </c>
      <c r="FN34">
        <f>IF($EY34="row",INDEX($DY$5:$DY$1003,$EX34),"")</f>
        <v/>
      </c>
      <c r="FO34">
        <f>IF($EY34="row",INDEX($EA$5:$EA$1003,$EX34),"")</f>
        <v/>
      </c>
      <c r="FP34">
        <f>IF($EY34="row",INDEX($EC$5:$EC$1003,$EX34),"")</f>
        <v/>
      </c>
      <c r="FQ34">
        <f>IF($EY34="row",INDEX($ET$5:$ET$1003,$EX34),"")</f>
        <v/>
      </c>
      <c r="FR34">
        <f>IF($EY34="row",INDEX($EU$5:$EU$1003,$EX34),"")</f>
        <v/>
      </c>
      <c r="FS34">
        <f>IF(AND($EY34="row",$EY33="row"),IF(OR(INDEX($DT$5:$DT$1003,$EX33)="",INDEX($DT$5:$DT$1003,$EX34)=""),"",IF(NOT(EXACT(INDEX($DT$5:$DT$1003,$EX33),INDEX($DT$5:$DT$1003,$EX34))),"S4",IF(NOT(EXACT(INDEX($DS$5:$DS$1003,$EX33),INDEX($DS$5:$DS$1003,$EX34))),"S3",IF(NOT(EXACT(INDEX($DR$5:$DR$1003,$EX33),INDEX($DR$5:$DR$1003,$EX34))),"S1 Count Change","S1")))),"")</f>
        <v/>
      </c>
      <c r="FT34">
        <f>IF($EY34="row",INDEX($ES$5:$ES$1003,$EX34),"")</f>
        <v/>
      </c>
      <c r="FU34">
        <f>IF($EY34="row",INDEX($EO$5:$EO$1003,$EX34),0)</f>
        <v/>
      </c>
      <c r="FV34">
        <f>IF($FS34="S1 Count Change",1,0)</f>
        <v/>
      </c>
      <c r="FX34" t="n">
        <v>30</v>
      </c>
      <c r="FY34">
        <f>IFERROR(MATCH($FX34,$EF$5:$EF$1003,0),0)</f>
        <v/>
      </c>
      <c r="FZ34">
        <f>IF($FY34=0,"",INDEX($DH$5:$DH$1003,$FY34))</f>
        <v/>
      </c>
      <c r="GA34">
        <f>IF($FY34=0,"",COUNTIF($EG$5:$EG$1003,$FX34))</f>
        <v/>
      </c>
      <c r="GB34">
        <f>IF($FY34=0,"",INDEX($ER$5:$ER$1003,$FY34))</f>
        <v/>
      </c>
      <c r="GC34">
        <f>IF($FY34=0,"",IF(INDEX($EO$5:$EO$1003,$FY34)=1,"Yes",""))</f>
        <v/>
      </c>
      <c r="GD34">
        <f>IF($FY34=0,"",IF(INDEX($EN$5:$EN$1003,$FY34)&gt;0,"","NOT IN YOUR LIST - type it in column A to tick it"))</f>
        <v/>
      </c>
      <c r="GE34">
        <f>IF(AND($FY34&gt;0,$GD34&lt;&gt;""),1,0)</f>
        <v/>
      </c>
      <c r="GF34">
        <f>GF33+$GE34</f>
        <v/>
      </c>
      <c r="GG34">
        <f>IFERROR(INDEX($FZ$5:$FZ$104,MATCH($FX34,$GF$5:$GF$104,0)),"")</f>
        <v/>
      </c>
    </row>
    <row r="35">
      <c r="A35" t="inlineStr">
        <is>
          <t>4. Schedule typed on</t>
        </is>
      </c>
      <c r="B35">
        <f>IFERROR(IF(SUMPRODUCT(--('4. Schedule'!$A$3:$R$702&amp;""&lt;&gt;$FB$5:$FS$704&amp;""))&gt;0,1,0),1)</f>
        <v/>
      </c>
      <c r="S35" t="n">
        <v>31</v>
      </c>
      <c r="T35" t="inlineStr">
        <is>
          <t>AE</t>
        </is>
      </c>
      <c r="V35" t="inlineStr">
        <is>
          <t>PARTNO</t>
        </is>
      </c>
      <c r="W35" t="n">
        <v>4</v>
      </c>
      <c r="Y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 ",""),"!",""),CHAR(34),""),"#",""),"$",""),"%",""),"&amp;",""),"'",""),"(",""),")",""),"*",""),"+",""),",",""),"-",""),".",""),"/",""),":",""),";",""),"&lt;",""),"=",""),"&gt;",""),"?",""),"@",""),"[",""),"\",""),"]",""),"^",""),"_",""),"`",""),"{",""),"|",""),"}",""),"~",""),CHAR(9),""),CHAR(10),""),CHAR(13),"")," ",""),"")</f>
        <v/>
      </c>
      <c r="Z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 ",""),"!",""),CHAR(34),""),"#",""),"$",""),"%",""),"&amp;",""),"'",""),"(",""),")",""),"*",""),"+",""),",",""),"-",""),".",""),"/",""),":",""),";",""),"&lt;",""),"=",""),"&gt;",""),"?",""),"@",""),"[",""),"\",""),"]",""),"^",""),"_",""),"`",""),"{",""),"|",""),"}",""),"~",""),CHAR(9),""),CHAR(10),""),CHAR(13),"")," ",""),"")</f>
        <v/>
      </c>
      <c r="AA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 ",""),"!",""),CHAR(34),""),"#",""),"$",""),"%",""),"&amp;",""),"'",""),"(",""),")",""),"*",""),"+",""),",",""),"-",""),".",""),"/",""),":",""),";",""),"&lt;",""),"=",""),"&gt;",""),"?",""),"@",""),"[",""),"\",""),"]",""),"^",""),"_",""),"`",""),"{",""),"|",""),"}",""),"~",""),CHAR(9),""),CHAR(10),""),CHAR(13),"")," ",""),"")</f>
        <v/>
      </c>
      <c r="AB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 ",""),"!",""),CHAR(34),""),"#",""),"$",""),"%",""),"&amp;",""),"'",""),"(",""),")",""),"*",""),"+",""),",",""),"-",""),".",""),"/",""),":",""),";",""),"&lt;",""),"=",""),"&gt;",""),"?",""),"@",""),"[",""),"\",""),"]",""),"^",""),"_",""),"`",""),"{",""),"|",""),"}",""),"~",""),CHAR(9),""),CHAR(10),""),CHAR(13),"")," ",""),"")</f>
        <v/>
      </c>
      <c r="AC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 ",""),"!",""),CHAR(34),""),"#",""),"$",""),"%",""),"&amp;",""),"'",""),"(",""),")",""),"*",""),"+",""),",",""),"-",""),".",""),"/",""),":",""),";",""),"&lt;",""),"=",""),"&gt;",""),"?",""),"@",""),"[",""),"\",""),"]",""),"^",""),"_",""),"`",""),"{",""),"|",""),"}",""),"~",""),CHAR(9),""),CHAR(10),""),CHAR(13),"")," ",""),"")</f>
        <v/>
      </c>
      <c r="AD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31,6))," ",""),"!",""),CHAR(34),""),"#",""),"$",""),"%",""),"&amp;",""),"'",""),"(",""),")",""),"*",""),"+",""),",",""),"-",""),".",""),"/",""),":",""),";",""),"&lt;",""),"=",""),"&gt;",""),"?",""),"@",""),"[",""),"\",""),"]",""),"^",""),"_",""),"`",""),"{",""),"|",""),"}",""),"~",""),CHAR(9),""),CHAR(10),""),CHAR(13),"")," ",""),"")</f>
        <v/>
      </c>
      <c r="AE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31,7))," ",""),"!",""),CHAR(34),""),"#",""),"$",""),"%",""),"&amp;",""),"'",""),"(",""),")",""),"*",""),"+",""),",",""),"-",""),".",""),"/",""),":",""),";",""),"&lt;",""),"=",""),"&gt;",""),"?",""),"@",""),"[",""),"\",""),"]",""),"^",""),"_",""),"`",""),"{",""),"|",""),"}",""),"~",""),CHAR(9),""),CHAR(10),""),CHAR(13),"")," ",""),"")</f>
        <v/>
      </c>
      <c r="AF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31,8))," ",""),"!",""),CHAR(34),""),"#",""),"$",""),"%",""),"&amp;",""),"'",""),"(",""),")",""),"*",""),"+",""),",",""),"-",""),".",""),"/",""),":",""),";",""),"&lt;",""),"=",""),"&gt;",""),"?",""),"@",""),"[",""),"\",""),"]",""),"^",""),"_",""),"`",""),"{",""),"|",""),"}",""),"~",""),CHAR(9),""),CHAR(10),""),CHAR(13),"")," ",""),"")</f>
        <v/>
      </c>
      <c r="AG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31,9))," ",""),"!",""),CHAR(34),""),"#",""),"$",""),"%",""),"&amp;",""),"'",""),"(",""),")",""),"*",""),"+",""),",",""),"-",""),".",""),"/",""),":",""),";",""),"&lt;",""),"=",""),"&gt;",""),"?",""),"@",""),"[",""),"\",""),"]",""),"^",""),"_",""),"`",""),"{",""),"|",""),"}",""),"~",""),CHAR(9),""),CHAR(10),""),CHAR(13),"")," ",""),"")</f>
        <v/>
      </c>
      <c r="AH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31,10))," ",""),"!",""),CHAR(34),""),"#",""),"$",""),"%",""),"&amp;",""),"'",""),"(",""),")",""),"*",""),"+",""),",",""),"-",""),".",""),"/",""),":",""),";",""),"&lt;",""),"=",""),"&gt;",""),"?",""),"@",""),"[",""),"\",""),"]",""),"^",""),"_",""),"`",""),"{",""),"|",""),"}",""),"~",""),CHAR(9),""),CHAR(10),""),CHAR(13),"")," ",""),"")</f>
        <v/>
      </c>
      <c r="AI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31,11))," ",""),"!",""),CHAR(34),""),"#",""),"$",""),"%",""),"&amp;",""),"'",""),"(",""),")",""),"*",""),"+",""),",",""),"-",""),".",""),"/",""),":",""),";",""),"&lt;",""),"=",""),"&gt;",""),"?",""),"@",""),"[",""),"\",""),"]",""),"^",""),"_",""),"`",""),"{",""),"|",""),"}",""),"~",""),CHAR(9),""),CHAR(10),""),CHAR(13),"")," ",""),"")</f>
        <v/>
      </c>
      <c r="AJ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31,12))," ",""),"!",""),CHAR(34),""),"#",""),"$",""),"%",""),"&amp;",""),"'",""),"(",""),")",""),"*",""),"+",""),",",""),"-",""),".",""),"/",""),":",""),";",""),"&lt;",""),"=",""),"&gt;",""),"?",""),"@",""),"[",""),"\",""),"]",""),"^",""),"_",""),"`",""),"{",""),"|",""),"}",""),"~",""),CHAR(9),""),CHAR(10),""),CHAR(13),"")," ",""),"")</f>
        <v/>
      </c>
      <c r="AK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31,13))," ",""),"!",""),CHAR(34),""),"#",""),"$",""),"%",""),"&amp;",""),"'",""),"(",""),")",""),"*",""),"+",""),",",""),"-",""),".",""),"/",""),":",""),";",""),"&lt;",""),"=",""),"&gt;",""),"?",""),"@",""),"[",""),"\",""),"]",""),"^",""),"_",""),"`",""),"{",""),"|",""),"}",""),"~",""),CHAR(9),""),CHAR(10),""),CHAR(13),"")," ",""),"")</f>
        <v/>
      </c>
      <c r="AL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31,14))," ",""),"!",""),CHAR(34),""),"#",""),"$",""),"%",""),"&amp;",""),"'",""),"(",""),")",""),"*",""),"+",""),",",""),"-",""),".",""),"/",""),":",""),";",""),"&lt;",""),"=",""),"&gt;",""),"?",""),"@",""),"[",""),"\",""),"]",""),"^",""),"_",""),"`",""),"{",""),"|",""),"}",""),"~",""),CHAR(9),""),CHAR(10),""),CHAR(13),"")," ",""),"")</f>
        <v/>
      </c>
      <c r="AM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31,15))," ",""),"!",""),CHAR(34),""),"#",""),"$",""),"%",""),"&amp;",""),"'",""),"(",""),")",""),"*",""),"+",""),",",""),"-",""),".",""),"/",""),":",""),";",""),"&lt;",""),"=",""),"&gt;",""),"?",""),"@",""),"[",""),"\",""),"]",""),"^",""),"_",""),"`",""),"{",""),"|",""),"}",""),"~",""),CHAR(9),""),CHAR(10),""),CHAR(13),"")," ",""),"")</f>
        <v/>
      </c>
      <c r="AN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31,16))," ",""),"!",""),CHAR(34),""),"#",""),"$",""),"%",""),"&amp;",""),"'",""),"(",""),")",""),"*",""),"+",""),",",""),"-",""),".",""),"/",""),":",""),";",""),"&lt;",""),"=",""),"&gt;",""),"?",""),"@",""),"[",""),"\",""),"]",""),"^",""),"_",""),"`",""),"{",""),"|",""),"}",""),"~",""),CHAR(9),""),CHAR(10),""),CHAR(13),"")," ",""),"")</f>
        <v/>
      </c>
      <c r="AO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31,17))," ",""),"!",""),CHAR(34),""),"#",""),"$",""),"%",""),"&amp;",""),"'",""),"(",""),")",""),"*",""),"+",""),",",""),"-",""),".",""),"/",""),":",""),";",""),"&lt;",""),"=",""),"&gt;",""),"?",""),"@",""),"[",""),"\",""),"]",""),"^",""),"_",""),"`",""),"{",""),"|",""),"}",""),"~",""),CHAR(9),""),CHAR(10),""),CHAR(13),"")," ",""),"")</f>
        <v/>
      </c>
      <c r="AP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31,18))," ",""),"!",""),CHAR(34),""),"#",""),"$",""),"%",""),"&amp;",""),"'",""),"(",""),")",""),"*",""),"+",""),",",""),"-",""),".",""),"/",""),":",""),";",""),"&lt;",""),"=",""),"&gt;",""),"?",""),"@",""),"[",""),"\",""),"]",""),"^",""),"_",""),"`",""),"{",""),"|",""),"}",""),"~",""),CHAR(9),""),CHAR(10),""),CHAR(13),"")," ",""),"")</f>
        <v/>
      </c>
      <c r="AQ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31,19))," ",""),"!",""),CHAR(34),""),"#",""),"$",""),"%",""),"&amp;",""),"'",""),"(",""),")",""),"*",""),"+",""),",",""),"-",""),".",""),"/",""),":",""),";",""),"&lt;",""),"=",""),"&gt;",""),"?",""),"@",""),"[",""),"\",""),"]",""),"^",""),"_",""),"`",""),"{",""),"|",""),"}",""),"~",""),CHAR(9),""),CHAR(10),""),CHAR(13),"")," ",""),"")</f>
        <v/>
      </c>
      <c r="AR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31,20))," ",""),"!",""),CHAR(34),""),"#",""),"$",""),"%",""),"&amp;",""),"'",""),"(",""),")",""),"*",""),"+",""),",",""),"-",""),".",""),"/",""),":",""),";",""),"&lt;",""),"=",""),"&gt;",""),"?",""),"@",""),"[",""),"\",""),"]",""),"^",""),"_",""),"`",""),"{",""),"|",""),"}",""),"~",""),CHAR(9),""),CHAR(10),""),CHAR(13),"")," ",""),"")</f>
        <v/>
      </c>
      <c r="AS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31,21))," ",""),"!",""),CHAR(34),""),"#",""),"$",""),"%",""),"&amp;",""),"'",""),"(",""),")",""),"*",""),"+",""),",",""),"-",""),".",""),"/",""),":",""),";",""),"&lt;",""),"=",""),"&gt;",""),"?",""),"@",""),"[",""),"\",""),"]",""),"^",""),"_",""),"`",""),"{",""),"|",""),"}",""),"~",""),CHAR(9),""),CHAR(10),""),CHAR(13),"")," ",""),"")</f>
        <v/>
      </c>
      <c r="AT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31,22))," ",""),"!",""),CHAR(34),""),"#",""),"$",""),"%",""),"&amp;",""),"'",""),"(",""),")",""),"*",""),"+",""),",",""),"-",""),".",""),"/",""),":",""),";",""),"&lt;",""),"=",""),"&gt;",""),"?",""),"@",""),"[",""),"\",""),"]",""),"^",""),"_",""),"`",""),"{",""),"|",""),"}",""),"~",""),CHAR(9),""),CHAR(10),""),CHAR(13),"")," ",""),"")</f>
        <v/>
      </c>
      <c r="AU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31,23))," ",""),"!",""),CHAR(34),""),"#",""),"$",""),"%",""),"&amp;",""),"'",""),"(",""),")",""),"*",""),"+",""),",",""),"-",""),".",""),"/",""),":",""),";",""),"&lt;",""),"=",""),"&gt;",""),"?",""),"@",""),"[",""),"\",""),"]",""),"^",""),"_",""),"`",""),"{",""),"|",""),"}",""),"~",""),CHAR(9),""),CHAR(10),""),CHAR(13),"")," ",""),"")</f>
        <v/>
      </c>
      <c r="AV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31,24))," ",""),"!",""),CHAR(34),""),"#",""),"$",""),"%",""),"&amp;",""),"'",""),"(",""),")",""),"*",""),"+",""),",",""),"-",""),".",""),"/",""),":",""),";",""),"&lt;",""),"=",""),"&gt;",""),"?",""),"@",""),"[",""),"\",""),"]",""),"^",""),"_",""),"`",""),"{",""),"|",""),"}",""),"~",""),CHAR(9),""),CHAR(10),""),CHAR(13),"")," ",""),"")</f>
        <v/>
      </c>
      <c r="AW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31,25))," ",""),"!",""),CHAR(34),""),"#",""),"$",""),"%",""),"&amp;",""),"'",""),"(",""),")",""),"*",""),"+",""),",",""),"-",""),".",""),"/",""),":",""),";",""),"&lt;",""),"=",""),"&gt;",""),"?",""),"@",""),"[",""),"\",""),"]",""),"^",""),"_",""),"`",""),"{",""),"|",""),"}",""),"~",""),CHAR(9),""),CHAR(10),""),CHAR(13),"")," ",""),"")</f>
        <v/>
      </c>
      <c r="AX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31,26))," ",""),"!",""),CHAR(34),""),"#",""),"$",""),"%",""),"&amp;",""),"'",""),"(",""),")",""),"*",""),"+",""),",",""),"-",""),".",""),"/",""),":",""),";",""),"&lt;",""),"=",""),"&gt;",""),"?",""),"@",""),"[",""),"\",""),"]",""),"^",""),"_",""),"`",""),"{",""),"|",""),"}",""),"~",""),CHAR(9),""),CHAR(10),""),CHAR(13),"")," ",""),"")</f>
        <v/>
      </c>
      <c r="AY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31,27))," ",""),"!",""),CHAR(34),""),"#",""),"$",""),"%",""),"&amp;",""),"'",""),"(",""),")",""),"*",""),"+",""),",",""),"-",""),".",""),"/",""),":",""),";",""),"&lt;",""),"=",""),"&gt;",""),"?",""),"@",""),"[",""),"\",""),"]",""),"^",""),"_",""),"`",""),"{",""),"|",""),"}",""),"~",""),CHAR(9),""),CHAR(10),""),CHAR(13),"")," ",""),"")</f>
        <v/>
      </c>
      <c r="AZ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31,28))," ",""),"!",""),CHAR(34),""),"#",""),"$",""),"%",""),"&amp;",""),"'",""),"(",""),")",""),"*",""),"+",""),",",""),"-",""),".",""),"/",""),":",""),";",""),"&lt;",""),"=",""),"&gt;",""),"?",""),"@",""),"[",""),"\",""),"]",""),"^",""),"_",""),"`",""),"{",""),"|",""),"}",""),"~",""),CHAR(9),""),CHAR(10),""),CHAR(13),"")," ",""),"")</f>
        <v/>
      </c>
      <c r="BA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31,29))," ",""),"!",""),CHAR(34),""),"#",""),"$",""),"%",""),"&amp;",""),"'",""),"(",""),")",""),"*",""),"+",""),",",""),"-",""),".",""),"/",""),":",""),";",""),"&lt;",""),"=",""),"&gt;",""),"?",""),"@",""),"[",""),"\",""),"]",""),"^",""),"_",""),"`",""),"{",""),"|",""),"}",""),"~",""),CHAR(9),""),CHAR(10),""),CHAR(13),"")," ",""),"")</f>
        <v/>
      </c>
      <c r="BB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31,30))," ",""),"!",""),CHAR(34),""),"#",""),"$",""),"%",""),"&amp;",""),"'",""),"(",""),")",""),"*",""),"+",""),",",""),"-",""),".",""),"/",""),":",""),";",""),"&lt;",""),"=",""),"&gt;",""),"?",""),"@",""),"[",""),"\",""),"]",""),"^",""),"_",""),"`",""),"{",""),"|",""),"}",""),"~",""),CHAR(9),""),CHAR(10),""),CHAR(13),"")," ",""),"")</f>
        <v/>
      </c>
      <c r="BC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31,31))," ",""),"!",""),CHAR(34),""),"#",""),"$",""),"%",""),"&amp;",""),"'",""),"(",""),")",""),"*",""),"+",""),",",""),"-",""),".",""),"/",""),":",""),";",""),"&lt;",""),"=",""),"&gt;",""),"?",""),"@",""),"[",""),"\",""),"]",""),"^",""),"_",""),"`",""),"{",""),"|",""),"}",""),"~",""),CHAR(9),""),CHAR(10),""),CHAR(13),"")," ",""),"")</f>
        <v/>
      </c>
      <c r="BD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31,32))," ",""),"!",""),CHAR(34),""),"#",""),"$",""),"%",""),"&amp;",""),"'",""),"(",""),")",""),"*",""),"+",""),",",""),"-",""),".",""),"/",""),":",""),";",""),"&lt;",""),"=",""),"&gt;",""),"?",""),"@",""),"[",""),"\",""),"]",""),"^",""),"_",""),"`",""),"{",""),"|",""),"}",""),"~",""),CHAR(9),""),CHAR(10),""),CHAR(13),"")," ",""),"")</f>
        <v/>
      </c>
      <c r="BE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31,33))," ",""),"!",""),CHAR(34),""),"#",""),"$",""),"%",""),"&amp;",""),"'",""),"(",""),")",""),"*",""),"+",""),",",""),"-",""),".",""),"/",""),":",""),";",""),"&lt;",""),"=",""),"&gt;",""),"?",""),"@",""),"[",""),"\",""),"]",""),"^",""),"_",""),"`",""),"{",""),"|",""),"}",""),"~",""),CHAR(9),""),CHAR(10),""),CHAR(13),"")," ",""),"")</f>
        <v/>
      </c>
      <c r="BF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31,34))," ",""),"!",""),CHAR(34),""),"#",""),"$",""),"%",""),"&amp;",""),"'",""),"(",""),")",""),"*",""),"+",""),",",""),"-",""),".",""),"/",""),":",""),";",""),"&lt;",""),"=",""),"&gt;",""),"?",""),"@",""),"[",""),"\",""),"]",""),"^",""),"_",""),"`",""),"{",""),"|",""),"}",""),"~",""),CHAR(9),""),CHAR(10),""),CHAR(13),"")," ",""),"")</f>
        <v/>
      </c>
      <c r="BG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31,35))," ",""),"!",""),CHAR(34),""),"#",""),"$",""),"%",""),"&amp;",""),"'",""),"(",""),")",""),"*",""),"+",""),",",""),"-",""),".",""),"/",""),":",""),";",""),"&lt;",""),"=",""),"&gt;",""),"?",""),"@",""),"[",""),"\",""),"]",""),"^",""),"_",""),"`",""),"{",""),"|",""),"}",""),"~",""),CHAR(9),""),CHAR(10),""),CHAR(13),"")," ",""),"")</f>
        <v/>
      </c>
      <c r="BH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31,36))," ",""),"!",""),CHAR(34),""),"#",""),"$",""),"%",""),"&amp;",""),"'",""),"(",""),")",""),"*",""),"+",""),",",""),"-",""),".",""),"/",""),":",""),";",""),"&lt;",""),"=",""),"&gt;",""),"?",""),"@",""),"[",""),"\",""),"]",""),"^",""),"_",""),"`",""),"{",""),"|",""),"}",""),"~",""),CHAR(9),""),CHAR(10),""),CHAR(13),"")," ",""),"")</f>
        <v/>
      </c>
      <c r="BI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31,37))," ",""),"!",""),CHAR(34),""),"#",""),"$",""),"%",""),"&amp;",""),"'",""),"(",""),")",""),"*",""),"+",""),",",""),"-",""),".",""),"/",""),":",""),";",""),"&lt;",""),"=",""),"&gt;",""),"?",""),"@",""),"[",""),"\",""),"]",""),"^",""),"_",""),"`",""),"{",""),"|",""),"}",""),"~",""),CHAR(9),""),CHAR(10),""),CHAR(13),"")," ",""),"")</f>
        <v/>
      </c>
      <c r="BJ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31,38))," ",""),"!",""),CHAR(34),""),"#",""),"$",""),"%",""),"&amp;",""),"'",""),"(",""),")",""),"*",""),"+",""),",",""),"-",""),".",""),"/",""),":",""),";",""),"&lt;",""),"=",""),"&gt;",""),"?",""),"@",""),"[",""),"\",""),"]",""),"^",""),"_",""),"`",""),"{",""),"|",""),"}",""),"~",""),CHAR(9),""),CHAR(10),""),CHAR(13),"")," ",""),"")</f>
        <v/>
      </c>
      <c r="BK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31,39))," ",""),"!",""),CHAR(34),""),"#",""),"$",""),"%",""),"&amp;",""),"'",""),"(",""),")",""),"*",""),"+",""),",",""),"-",""),".",""),"/",""),":",""),";",""),"&lt;",""),"=",""),"&gt;",""),"?",""),"@",""),"[",""),"\",""),"]",""),"^",""),"_",""),"`",""),"{",""),"|",""),"}",""),"~",""),CHAR(9),""),CHAR(10),""),CHAR(13),"")," ",""),"")</f>
        <v/>
      </c>
      <c r="BL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31,40))," ",""),"!",""),CHAR(34),""),"#",""),"$",""),"%",""),"&amp;",""),"'",""),"(",""),")",""),"*",""),"+",""),",",""),"-",""),".",""),"/",""),":",""),";",""),"&lt;",""),"=",""),"&gt;",""),"?",""),"@",""),"[",""),"\",""),"]",""),"^",""),"_",""),"`",""),"{",""),"|",""),"}",""),"~",""),CHAR(9),""),CHAR(10),""),CHAR(13),"")," ",""),"")</f>
        <v/>
      </c>
      <c r="BM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31,41))," ",""),"!",""),CHAR(34),""),"#",""),"$",""),"%",""),"&amp;",""),"'",""),"(",""),")",""),"*",""),"+",""),",",""),"-",""),".",""),"/",""),":",""),";",""),"&lt;",""),"=",""),"&gt;",""),"?",""),"@",""),"[",""),"\",""),"]",""),"^",""),"_",""),"`",""),"{",""),"|",""),"}",""),"~",""),CHAR(9),""),CHAR(10),""),CHAR(13),"")," ",""),"")</f>
        <v/>
      </c>
      <c r="BN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31,42))," ",""),"!",""),CHAR(34),""),"#",""),"$",""),"%",""),"&amp;",""),"'",""),"(",""),")",""),"*",""),"+",""),",",""),"-",""),".",""),"/",""),":",""),";",""),"&lt;",""),"=",""),"&gt;",""),"?",""),"@",""),"[",""),"\",""),"]",""),"^",""),"_",""),"`",""),"{",""),"|",""),"}",""),"~",""),CHAR(9),""),CHAR(10),""),CHAR(13),"")," ",""),"")</f>
        <v/>
      </c>
      <c r="BO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31,43))," ",""),"!",""),CHAR(34),""),"#",""),"$",""),"%",""),"&amp;",""),"'",""),"(",""),")",""),"*",""),"+",""),",",""),"-",""),".",""),"/",""),":",""),";",""),"&lt;",""),"=",""),"&gt;",""),"?",""),"@",""),"[",""),"\",""),"]",""),"^",""),"_",""),"`",""),"{",""),"|",""),"}",""),"~",""),CHAR(9),""),CHAR(10),""),CHAR(13),"")," ",""),"")</f>
        <v/>
      </c>
      <c r="BP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31,44))," ",""),"!",""),CHAR(34),""),"#",""),"$",""),"%",""),"&amp;",""),"'",""),"(",""),")",""),"*",""),"+",""),",",""),"-",""),".",""),"/",""),":",""),";",""),"&lt;",""),"=",""),"&gt;",""),"?",""),"@",""),"[",""),"\",""),"]",""),"^",""),"_",""),"`",""),"{",""),"|",""),"}",""),"~",""),CHAR(9),""),CHAR(10),""),CHAR(13),"")," ",""),"")</f>
        <v/>
      </c>
      <c r="BQ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31,45))," ",""),"!",""),CHAR(34),""),"#",""),"$",""),"%",""),"&amp;",""),"'",""),"(",""),")",""),"*",""),"+",""),",",""),"-",""),".",""),"/",""),":",""),";",""),"&lt;",""),"=",""),"&gt;",""),"?",""),"@",""),"[",""),"\",""),"]",""),"^",""),"_",""),"`",""),"{",""),"|",""),"}",""),"~",""),CHAR(9),""),CHAR(10),""),CHAR(13),"")," ",""),"")</f>
        <v/>
      </c>
      <c r="BR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31,46))," ",""),"!",""),CHAR(34),""),"#",""),"$",""),"%",""),"&amp;",""),"'",""),"(",""),")",""),"*",""),"+",""),",",""),"-",""),".",""),"/",""),":",""),";",""),"&lt;",""),"=",""),"&gt;",""),"?",""),"@",""),"[",""),"\",""),"]",""),"^",""),"_",""),"`",""),"{",""),"|",""),"}",""),"~",""),CHAR(9),""),CHAR(10),""),CHAR(13),"")," ",""),"")</f>
        <v/>
      </c>
      <c r="BS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31,47))," ",""),"!",""),CHAR(34),""),"#",""),"$",""),"%",""),"&amp;",""),"'",""),"(",""),")",""),"*",""),"+",""),",",""),"-",""),".",""),"/",""),":",""),";",""),"&lt;",""),"=",""),"&gt;",""),"?",""),"@",""),"[",""),"\",""),"]",""),"^",""),"_",""),"`",""),"{",""),"|",""),"}",""),"~",""),CHAR(9),""),CHAR(10),""),CHAR(13),"")," ",""),"")</f>
        <v/>
      </c>
      <c r="BT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31,48))," ",""),"!",""),CHAR(34),""),"#",""),"$",""),"%",""),"&amp;",""),"'",""),"(",""),")",""),"*",""),"+",""),",",""),"-",""),".",""),"/",""),":",""),";",""),"&lt;",""),"=",""),"&gt;",""),"?",""),"@",""),"[",""),"\",""),"]",""),"^",""),"_",""),"`",""),"{",""),"|",""),"}",""),"~",""),CHAR(9),""),CHAR(10),""),CHAR(13),"")," ",""),"")</f>
        <v/>
      </c>
      <c r="BU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31,49))," ",""),"!",""),CHAR(34),""),"#",""),"$",""),"%",""),"&amp;",""),"'",""),"(",""),")",""),"*",""),"+",""),",",""),"-",""),".",""),"/",""),":",""),";",""),"&lt;",""),"=",""),"&gt;",""),"?",""),"@",""),"[",""),"\",""),"]",""),"^",""),"_",""),"`",""),"{",""),"|",""),"}",""),"~",""),CHAR(9),""),CHAR(10),""),CHAR(13),"")," ",""),"")</f>
        <v/>
      </c>
      <c r="BV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31,50))," ",""),"!",""),CHAR(34),""),"#",""),"$",""),"%",""),"&amp;",""),"'",""),"(",""),")",""),"*",""),"+",""),",",""),"-",""),".",""),"/",""),":",""),";",""),"&lt;",""),"=",""),"&gt;",""),"?",""),"@",""),"[",""),"\",""),"]",""),"^",""),"_",""),"`",""),"{",""),"|",""),"}",""),"~",""),CHAR(9),""),CHAR(10),""),CHAR(13),"")," ",""),"")</f>
        <v/>
      </c>
      <c r="BW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31,51))," ",""),"!",""),CHAR(34),""),"#",""),"$",""),"%",""),"&amp;",""),"'",""),"(",""),")",""),"*",""),"+",""),",",""),"-",""),".",""),"/",""),":",""),";",""),"&lt;",""),"=",""),"&gt;",""),"?",""),"@",""),"[",""),"\",""),"]",""),"^",""),"_",""),"`",""),"{",""),"|",""),"}",""),"~",""),CHAR(9),""),CHAR(10),""),CHAR(13),"")," ",""),"")</f>
        <v/>
      </c>
      <c r="BX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31,52))," ",""),"!",""),CHAR(34),""),"#",""),"$",""),"%",""),"&amp;",""),"'",""),"(",""),")",""),"*",""),"+",""),",",""),"-",""),".",""),"/",""),":",""),";",""),"&lt;",""),"=",""),"&gt;",""),"?",""),"@",""),"[",""),"\",""),"]",""),"^",""),"_",""),"`",""),"{",""),"|",""),"}",""),"~",""),CHAR(9),""),CHAR(10),""),CHAR(13),"")," ",""),"")</f>
        <v/>
      </c>
      <c r="BY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31,53))," ",""),"!",""),CHAR(34),""),"#",""),"$",""),"%",""),"&amp;",""),"'",""),"(",""),")",""),"*",""),"+",""),",",""),"-",""),".",""),"/",""),":",""),";",""),"&lt;",""),"=",""),"&gt;",""),"?",""),"@",""),"[",""),"\",""),"]",""),"^",""),"_",""),"`",""),"{",""),"|",""),"}",""),"~",""),CHAR(9),""),CHAR(10),""),CHAR(13),"")," ",""),"")</f>
        <v/>
      </c>
      <c r="BZ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31,54))," ",""),"!",""),CHAR(34),""),"#",""),"$",""),"%",""),"&amp;",""),"'",""),"(",""),")",""),"*",""),"+",""),",",""),"-",""),".",""),"/",""),":",""),";",""),"&lt;",""),"=",""),"&gt;",""),"?",""),"@",""),"[",""),"\",""),"]",""),"^",""),"_",""),"`",""),"{",""),"|",""),"}",""),"~",""),CHAR(9),""),CHAR(10),""),CHAR(13),"")," ",""),"")</f>
        <v/>
      </c>
      <c r="CA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31,55))," ",""),"!",""),CHAR(34),""),"#",""),"$",""),"%",""),"&amp;",""),"'",""),"(",""),")",""),"*",""),"+",""),",",""),"-",""),".",""),"/",""),":",""),";",""),"&lt;",""),"=",""),"&gt;",""),"?",""),"@",""),"[",""),"\",""),"]",""),"^",""),"_",""),"`",""),"{",""),"|",""),"}",""),"~",""),CHAR(9),""),CHAR(10),""),CHAR(13),"")," ",""),"")</f>
        <v/>
      </c>
      <c r="CB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31,56))," ",""),"!",""),CHAR(34),""),"#",""),"$",""),"%",""),"&amp;",""),"'",""),"(",""),")",""),"*",""),"+",""),",",""),"-",""),".",""),"/",""),":",""),";",""),"&lt;",""),"=",""),"&gt;",""),"?",""),"@",""),"[",""),"\",""),"]",""),"^",""),"_",""),"`",""),"{",""),"|",""),"}",""),"~",""),CHAR(9),""),CHAR(10),""),CHAR(13),"")," ",""),"")</f>
        <v/>
      </c>
      <c r="CC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31,57))," ",""),"!",""),CHAR(34),""),"#",""),"$",""),"%",""),"&amp;",""),"'",""),"(",""),")",""),"*",""),"+",""),",",""),"-",""),".",""),"/",""),":",""),";",""),"&lt;",""),"=",""),"&gt;",""),"?",""),"@",""),"[",""),"\",""),"]",""),"^",""),"_",""),"`",""),"{",""),"|",""),"}",""),"~",""),CHAR(9),""),CHAR(10),""),CHAR(13),"")," ",""),"")</f>
        <v/>
      </c>
      <c r="CD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31,58))," ",""),"!",""),CHAR(34),""),"#",""),"$",""),"%",""),"&amp;",""),"'",""),"(",""),")",""),"*",""),"+",""),",",""),"-",""),".",""),"/",""),":",""),";",""),"&lt;",""),"=",""),"&gt;",""),"?",""),"@",""),"[",""),"\",""),"]",""),"^",""),"_",""),"`",""),"{",""),"|",""),"}",""),"~",""),CHAR(9),""),CHAR(10),""),CHAR(13),"")," ",""),"")</f>
        <v/>
      </c>
      <c r="CE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31,59))," ",""),"!",""),CHAR(34),""),"#",""),"$",""),"%",""),"&amp;",""),"'",""),"(",""),")",""),"*",""),"+",""),",",""),"-",""),".",""),"/",""),":",""),";",""),"&lt;",""),"=",""),"&gt;",""),"?",""),"@",""),"[",""),"\",""),"]",""),"^",""),"_",""),"`",""),"{",""),"|",""),"}",""),"~",""),CHAR(9),""),CHAR(10),""),CHAR(13),"")," ",""),"")</f>
        <v/>
      </c>
      <c r="CF35">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31,60))," ",""),"!",""),CHAR(34),""),"#",""),"$",""),"%",""),"&amp;",""),"'",""),"(",""),")",""),"*",""),"+",""),",",""),"-",""),".",""),"/",""),":",""),";",""),"&lt;",""),"=",""),"&gt;",""),"?",""),"@",""),"[",""),"\",""),"]",""),"^",""),"_",""),"`",""),"{",""),"|",""),"}",""),"~",""),CHAR(9),""),CHAR(10),""),CHAR(13),"")," ",""),"")</f>
        <v/>
      </c>
      <c r="CH35">
        <f>COUNTIF($Y80:$CF80,"&gt;0")</f>
        <v/>
      </c>
      <c r="CI35">
        <f>COUNTIF($Y80:$CF80,2)</f>
        <v/>
      </c>
      <c r="CJ35">
        <f>SUMPRODUCT((COUNTIF($Y125:$CF125,{1,2,3,4,5,6,7,8,9,10,11,12,13,14,15})&gt;0)*{2,4,8,16,32,64,128,256,512,1024,2048,4096,8192,16384,32768})</f>
        <v/>
      </c>
      <c r="CK35">
        <f>CF215</f>
        <v/>
      </c>
      <c r="CL35">
        <f>SUMPRODUCT(MOD(INT(((CJ35+CK35))/{2,4,8,16,32,64,128,256,512,1024,2048,4096,8192,16384,32768}),2))</f>
        <v/>
      </c>
      <c r="CM35">
        <f>IF(CH35&lt;2,-9999,CL35+2*MOD(INT(((CJ35+CK35))/2),2)+2*MOD(INT(((CJ35+CK35))/4),2)-CI35)</f>
        <v/>
      </c>
      <c r="DA35" t="n">
        <v>31</v>
      </c>
      <c r="DB35">
        <f>IF($B$37=0,"",IFERROR(TRIM(SUBSTITUTE(SUBSTITUTE(SUBSTITUTE(SUBSTITUTE(INDEX(PASTE_ALL,31,$B$37)," "," "),CHAR(9)," "),CHAR(10)," "),CHAR(13)," ")),""))</f>
        <v/>
      </c>
      <c r="DC35">
        <f>IF(AND(31&gt;HEADER_ROW,UPPER(DB35)="LEGEND"),1,0)</f>
        <v/>
      </c>
      <c r="DE35" t="n">
        <v>31</v>
      </c>
      <c r="DF35">
        <f>HEADER_ROW+$DE35</f>
        <v/>
      </c>
      <c r="DG35">
        <f>IF(AND($DF35&lt;=1000,$DF35&lt;$B$8),1,0)</f>
        <v/>
      </c>
      <c r="DH35">
        <f>IF($DG35=1,IFERROR(INDEX($DB$5:$DB$1004,$DF35),""),"")</f>
        <v/>
      </c>
      <c r="DI35">
        <f>IF(AND($DG35=1,$DH35&lt;&gt;""),IFERROR(SUBSTITUTE(SUBSTITUTE(TRIM(SUBSTITUTE(SUBSTITUTE(SUBSTITUTE(SUBSTITUTE(IFERROR(INDEX(PASTE_ALL,$DF35,1)&amp;"","")&amp;"␟"&amp;IFERROR(INDEX(PASTE_ALL,$DF35,2)&amp;"","")&amp;"␟"&amp;IFERROR(INDEX(PASTE_ALL,$DF35,3)&amp;"","")&amp;"␟"&amp;IFERROR(INDEX(PASTE_ALL,$DF35,4)&amp;"","")&amp;"␟"&amp;IFERROR(INDEX(PASTE_ALL,$DF35,5)&amp;"","")&amp;"␟"&amp;IFERROR(INDEX(PASTE_ALL,$DF35,6)&amp;"","")&amp;"␟"&amp;IFERROR(INDEX(PASTE_ALL,$DF35,7)&amp;"","")&amp;"␟"&amp;IFERROR(INDEX(PASTE_ALL,$DF35,8)&amp;"","")&amp;"␟"&amp;IFERROR(INDEX(PASTE_ALL,$DF35,9)&amp;"","")&amp;"␟"&amp;IFERROR(INDEX(PASTE_ALL,$DF35,10)&amp;"","")&amp;"␟"&amp;IFERROR(INDEX(PASTE_ALL,$DF35,11)&amp;"","")&amp;"␟"&amp;IFERROR(INDEX(PASTE_ALL,$DF35,12)&amp;"","")&amp;"␟"&amp;IFERROR(INDEX(PASTE_ALL,$DF35,13)&amp;"","")&amp;"␟"&amp;IFERROR(INDEX(PASTE_ALL,$DF35,14)&amp;"","")&amp;"␟"&amp;IFERROR(INDEX(PASTE_ALL,$DF35,15)&amp;"","")&amp;"␟"&amp;IFERROR(INDEX(PASTE_ALL,$DF35,16)&amp;"","")&amp;"␟"&amp;IFERROR(INDEX(PASTE_ALL,$DF35,17)&amp;"","")&amp;"␟"&amp;IFERROR(INDEX(PASTE_ALL,$DF35,18)&amp;"","")&amp;"␟"&amp;IFERROR(INDEX(PASTE_ALL,$DF35,19)&amp;"","")&amp;"␟"&amp;IFERROR(INDEX(PASTE_ALL,$DF35,20)&amp;"","")&amp;"␟"&amp;IFERROR(INDEX(PASTE_ALL,$DF35,21)&amp;"","")&amp;"␟"&amp;IFERROR(INDEX(PASTE_ALL,$DF35,22)&amp;"","")&amp;"␟"&amp;IFERROR(INDEX(PASTE_ALL,$DF35,23)&amp;"","")&amp;"␟"&amp;IFERROR(INDEX(PASTE_ALL,$DF35,24)&amp;"","")&amp;"␟"&amp;IFERROR(INDEX(PASTE_ALL,$DF35,25)&amp;"","")&amp;"␟"&amp;IFERROR(INDEX(PASTE_ALL,$DF35,26)&amp;"","")&amp;"␟"&amp;IFERROR(INDEX(PASTE_ALL,$DF35,27)&amp;"","")&amp;"␟"&amp;IFERROR(INDEX(PASTE_ALL,$DF35,28)&amp;"","")&amp;"␟"&amp;IFERROR(INDEX(PASTE_ALL,$DF35,29)&amp;"","")&amp;"␟"&amp;IFERROR(INDEX(PASTE_ALL,$DF35,30)&amp;"","")&amp;"␟"&amp;IFERROR(INDEX(PASTE_ALL,$DF35,31)&amp;"","")&amp;"␟"&amp;IFERROR(INDEX(PASTE_ALL,$DF35,32)&amp;"","")&amp;"␟"&amp;IFERROR(INDEX(PASTE_ALL,$DF35,33)&amp;"","")&amp;"␟"&amp;IFERROR(INDEX(PASTE_ALL,$DF35,34)&amp;"","")&amp;"␟"&amp;IFERROR(INDEX(PASTE_ALL,$DF35,35)&amp;"","")&amp;"␟"&amp;IFERROR(INDEX(PASTE_ALL,$DF35,36)&amp;"","")&amp;"␟"&amp;IFERROR(INDEX(PASTE_ALL,$DF35,37)&amp;"","")&amp;"␟"&amp;IFERROR(INDEX(PASTE_ALL,$DF35,38)&amp;"","")&amp;"␟"&amp;IFERROR(INDEX(PASTE_ALL,$DF35,39)&amp;"","")&amp;"␟"&amp;IFERROR(INDEX(PASTE_ALL,$DF35,40)&amp;"","")&amp;"␟"&amp;IFERROR(INDEX(PASTE_ALL,$DF35,41)&amp;"","")&amp;"␟"&amp;IFERROR(INDEX(PASTE_ALL,$DF35,42)&amp;"","")&amp;"␟"&amp;IFERROR(INDEX(PASTE_ALL,$DF35,43)&amp;"","")&amp;"␟"&amp;IFERROR(INDEX(PASTE_ALL,$DF35,44)&amp;"","")&amp;"␟"&amp;IFERROR(INDEX(PASTE_ALL,$DF35,45)&amp;"","")&amp;"␟"&amp;IFERROR(INDEX(PASTE_ALL,$DF35,46)&amp;"","")&amp;"␟"&amp;IFERROR(INDEX(PASTE_ALL,$DF35,47)&amp;"","")&amp;"␟"&amp;IFERROR(INDEX(PASTE_ALL,$DF35,48)&amp;"","")&amp;"␟"&amp;IFERROR(INDEX(PASTE_ALL,$DF35,49)&amp;"","")&amp;"␟"&amp;IFERROR(INDEX(PASTE_ALL,$DF35,50)&amp;"","")&amp;"␟"&amp;IFERROR(INDEX(PASTE_ALL,$DF35,51)&amp;"","")&amp;"␟"&amp;IFERROR(INDEX(PASTE_ALL,$DF35,52)&amp;"","")&amp;"␟"&amp;IFERROR(INDEX(PASTE_ALL,$DF35,53)&amp;"","")&amp;"␟"&amp;IFERROR(INDEX(PASTE_ALL,$DF35,54)&amp;"","")&amp;"␟"&amp;IFERROR(INDEX(PASTE_ALL,$DF35,55)&amp;"","")&amp;"␟"&amp;IFERROR(INDEX(PASTE_ALL,$DF35,56)&amp;"","")&amp;"␟"&amp;IFERROR(INDEX(PASTE_ALL,$DF35,57)&amp;"","")&amp;"␟"&amp;IFERROR(INDEX(PASTE_ALL,$DF35,58)&amp;"","")&amp;"␟"&amp;IFERROR(INDEX(PASTE_ALL,$DF35,59)&amp;"","")&amp;"␟"&amp;IFERROR(INDEX(PASTE_ALL,$DF35,60)&amp;"","")," "," "),CHAR(9)," "),CHAR(10)," "),CHAR(13)," "))," ␟","␟"),"␟ ","␟"),"#"&amp;$DE35),"")</f>
        <v/>
      </c>
      <c r="DJ35">
        <f>IF($DI35="",0,IF(SUMPRODUCT(--EXACT($DI$4:DI34,$DI35))&gt;0,1,0))</f>
        <v/>
      </c>
      <c r="DK35">
        <f>IF(AND($DI35&lt;&gt;"",$DJ35=0),1,0)</f>
        <v/>
      </c>
      <c r="DL35">
        <f>DL34+$DK35</f>
        <v/>
      </c>
      <c r="DM35">
        <f>IF(AND($DK35=1,$DL35&lt;=600),1,0)</f>
        <v/>
      </c>
      <c r="DN35">
        <f>IF($DM35=0,"",IF($L$6=0,"",IFERROR(IF(ISNUMBER(INDEX(PASTE_ALL,$DF35,$L$6)),INDEX(PASTE_ALL,$DF35,$L$6),TRIM(SUBSTITUTE(SUBSTITUTE(SUBSTITUTE(SUBSTITUTE(INDEX(PASTE_ALL,$DF35,$L$6)," "," "),CHAR(9)," "),CHAR(10)," "),CHAR(13)," "))),"")))</f>
        <v/>
      </c>
      <c r="DO35">
        <f>IF($DM35=0,"",IF($L$7=0,"",IFERROR(IF(ISNUMBER(INDEX(PASTE_ALL,$DF35,$L$7)),INDEX(PASTE_ALL,$DF35,$L$7),TRIM(SUBSTITUTE(SUBSTITUTE(SUBSTITUTE(SUBSTITUTE(INDEX(PASTE_ALL,$DF35,$L$7)," "," "),CHAR(9)," "),CHAR(10)," "),CHAR(13)," "))),"")))</f>
        <v/>
      </c>
      <c r="DP35">
        <f>IF($DM35=0,"",IF($L$8=0,"",IFERROR(IF(ISNUMBER(INDEX(PASTE_ALL,$DF35,$L$8)),INDEX(PASTE_ALL,$DF35,$L$8),TRIM(SUBSTITUTE(SUBSTITUTE(SUBSTITUTE(SUBSTITUTE(INDEX(PASTE_ALL,$DF35,$L$8)," "," "),CHAR(9)," "),CHAR(10)," "),CHAR(13)," "))),"")))</f>
        <v/>
      </c>
      <c r="DQ35">
        <f>IF($DM35=0,"",IF($L$9=0,"",IFERROR(IF(ISNUMBER(INDEX(PASTE_ALL,$DF35,$L$9)),INDEX(PASTE_ALL,$DF35,$L$9),TRIM(SUBSTITUTE(SUBSTITUTE(SUBSTITUTE(SUBSTITUTE(INDEX(PASTE_ALL,$DF35,$L$9)," "," "),CHAR(9)," "),CHAR(10)," "),CHAR(13)," "))),"")))</f>
        <v/>
      </c>
      <c r="DR35">
        <f>IF($DM35=0,"",IF($L$10=0,"",IFERROR(IF(ISNUMBER(INDEX(PASTE_ALL,$DF35,$L$10)),INDEX(PASTE_ALL,$DF35,$L$10),TRIM(SUBSTITUTE(SUBSTITUTE(SUBSTITUTE(SUBSTITUTE(INDEX(PASTE_ALL,$DF35,$L$10)," "," "),CHAR(9)," "),CHAR(10)," "),CHAR(13)," "))),"")))</f>
        <v/>
      </c>
      <c r="DS35">
        <f>IF($DM35=0,"",IF($L$11=0,"",IFERROR(IF(ISNUMBER(INDEX(PASTE_ALL,$DF35,$L$11)),INDEX(PASTE_ALL,$DF35,$L$11),TRIM(SUBSTITUTE(SUBSTITUTE(SUBSTITUTE(SUBSTITUTE(INDEX(PASTE_ALL,$DF35,$L$11)," "," "),CHAR(9)," "),CHAR(10)," "),CHAR(13)," "))),"")))</f>
        <v/>
      </c>
      <c r="DT35">
        <f>IF($DM35=0,"",IF($L$12=0,"",IFERROR(IF(ISNUMBER(INDEX(PASTE_ALL,$DF35,$L$12)),INDEX(PASTE_ALL,$DF35,$L$12),TRIM(SUBSTITUTE(SUBSTITUTE(SUBSTITUTE(SUBSTITUTE(INDEX(PASTE_ALL,$DF35,$L$12)," "," "),CHAR(9)," "),CHAR(10)," "),CHAR(13)," "))),"")))</f>
        <v/>
      </c>
      <c r="DU35">
        <f>IF($DM35=0,"",IF($L$13=0,"",IFERROR(IF(ISNUMBER(INDEX(PASTE_ALL,$DF35,$L$13)),INDEX(PASTE_ALL,$DF35,$L$13),TRIM(SUBSTITUTE(SUBSTITUTE(SUBSTITUTE(SUBSTITUTE(INDEX(PASTE_ALL,$DF35,$L$13)," "," "),CHAR(9)," "),CHAR(10)," "),CHAR(13)," "))),"")))</f>
        <v/>
      </c>
      <c r="DV35">
        <f>IF($DM35=0,"",IF($L$14=0,"",IFERROR(IF(ISNUMBER(INDEX(PASTE_ALL,$DF35,$L$14)),INDEX(PASTE_ALL,$DF35,$L$14),TRIM(SUBSTITUTE(SUBSTITUTE(SUBSTITUTE(SUBSTITUTE(INDEX(PASTE_ALL,$DF35,$L$14)," "," "),CHAR(9)," "),CHAR(10)," "),CHAR(13)," "))),"")))</f>
        <v/>
      </c>
      <c r="DW35">
        <f>IF($DM35=0,"",IF($L$15=0,"",IFERROR(IF(ISNUMBER(INDEX(PASTE_ALL,$DF35,$L$15)),INDEX(PASTE_ALL,$DF35,$L$15),IF(SUMPRODUCT(--ISNUMBER(FIND({"A","B","C","D","E","F","G","H","I","J","K","L","M","N","O","P","Q","R","S","T","U","V","W","X","Y","Z","0","1","2","3","4","5","6","7","8","9"},UPPER(TRIM(SUBSTITUTE(SUBSTITUTE(SUBSTITUTE(SUBSTITUTE(INDEX(PASTE_ALL,$DF35,$L$15)," "," "),CHAR(9)," "),CHAR(10)," "),CHAR(13)," "))))))&gt;0,TRIM(SUBSTITUTE(SUBSTITUTE(SUBSTITUTE(SUBSTITUTE(INDEX(PASTE_ALL,$DF35,$L$15)," "," "),CHAR(9)," "),CHAR(10)," "),CHAR(13)," ")),"")),"")))</f>
        <v/>
      </c>
      <c r="DX35">
        <f>IF($DM35=0,"",IF($L$16=0,"",IFERROR(IF(ISNUMBER(INDEX(PASTE_ALL,$DF35,$L$16)),INDEX(PASTE_ALL,$DF35,$L$16),SUBSTITUTE(SUBSTITUTE(TRIM(SUBSTITUTE(SUBSTITUTE(SUBSTITUTE(SUBSTITUTE(INDEX(PASTE_ALL,$DF35,$L$16)," "," "),CHAR(9)," "),CHAR(10)," "),CHAR(13)," ")),",",""),"%","")),"")))</f>
        <v/>
      </c>
      <c r="DY35">
        <f>IF($DM35=0,"",IFERROR(IF(ISNUMBER($DX35),$DX35,IF($DX35="","",IF(TRIM($DX35)="",0,IF(AND(AND(SUBSTITUTE(SUBSTITUTE(SUBSTITUTE(SUBSTITUTE(SUBSTITUTE(SUBSTITUTE(SUBSTITUTE(SUBSTITUTE(SUBSTITUTE(SUBSTITUTE(SUBSTITUTE(SUBSTITUTE(SUBSTITUTE(SUBSTITUTE(UPPER(TRIM($DX35)),"0",""),"1",""),"2",""),"3",""),"4",""),"5",""),"6",""),"7",""),"8",""),"9",""),".",""),"+",""),"-",""),"E","")="",LEN(SUBSTITUTE(SUBSTITUTE(MID(UPPER(TRIM($DX35)),1+OR(LEFT(UPPER(TRIM($DX35)),1)="+",LEFT(UPPER(TRIM($DX35)),1)="-"),999),"E+","E"),"E-","E"))=LEN(SUBSTITUTE(SUBSTITUTE(SUBSTITUTE(SUBSTITUTE(MID(UPPER(TRIM($DX35)),1+OR(LEFT(UPPER(TRIM($DX35)),1)="+",LEFT(UPPER(TRIM($DX35)),1)="-"),999),"E+","E"),"E-","E"),"+",""),"-","")),LEN(UPPER(TRIM($DX35)))-LEN(SUBSTITUTE(UPPER(TRIM($DX35)),"E",""))&lt;2,LEN(UPPER(TRIM($DX35)))-LEN(SUBSTITUTE(UPPER(TRIM($DX35)),".",""))&lt;2,IFERROR(FIND(".",UPPER(TRIM($DX35))),0)&lt;IFERROR(FIND("E",UPPER(TRIM($DX35))),999)),ISNUMBER(VALUE(TRIM($DX35)))),VALUE(TRIM($DX35)),"")))),""))</f>
        <v/>
      </c>
      <c r="DZ35">
        <f>IF($DM35=0,"",IF($L$17=0,"",IFERROR(IF(ISNUMBER(INDEX(PASTE_ALL,$DF35,$L$17)),INDEX(PASTE_ALL,$DF35,$L$17),SUBSTITUTE(SUBSTITUTE(TRIM(SUBSTITUTE(SUBSTITUTE(SUBSTITUTE(SUBSTITUTE(INDEX(PASTE_ALL,$DF35,$L$17)," "," "),CHAR(9)," "),CHAR(10)," "),CHAR(13)," ")),",",""),"%","")),"")))</f>
        <v/>
      </c>
      <c r="EA35">
        <f>IF($DM35=0,"",IFERROR(IF(ISNUMBER($DZ35),$DZ35,IF($DZ35="","",IF(TRIM($DZ35)="",0,IF(AND(AND(SUBSTITUTE(SUBSTITUTE(SUBSTITUTE(SUBSTITUTE(SUBSTITUTE(SUBSTITUTE(SUBSTITUTE(SUBSTITUTE(SUBSTITUTE(SUBSTITUTE(SUBSTITUTE(SUBSTITUTE(SUBSTITUTE(SUBSTITUTE(UPPER(TRIM($DZ35)),"0",""),"1",""),"2",""),"3",""),"4",""),"5",""),"6",""),"7",""),"8",""),"9",""),".",""),"+",""),"-",""),"E","")="",LEN(SUBSTITUTE(SUBSTITUTE(MID(UPPER(TRIM($DZ35)),1+OR(LEFT(UPPER(TRIM($DZ35)),1)="+",LEFT(UPPER(TRIM($DZ35)),1)="-"),999),"E+","E"),"E-","E"))=LEN(SUBSTITUTE(SUBSTITUTE(SUBSTITUTE(SUBSTITUTE(MID(UPPER(TRIM($DZ35)),1+OR(LEFT(UPPER(TRIM($DZ35)),1)="+",LEFT(UPPER(TRIM($DZ35)),1)="-"),999),"E+","E"),"E-","E"),"+",""),"-","")),LEN(UPPER(TRIM($DZ35)))-LEN(SUBSTITUTE(UPPER(TRIM($DZ35)),"E",""))&lt;2,LEN(UPPER(TRIM($DZ35)))-LEN(SUBSTITUTE(UPPER(TRIM($DZ35)),".",""))&lt;2,IFERROR(FIND(".",UPPER(TRIM($DZ35))),0)&lt;IFERROR(FIND("E",UPPER(TRIM($DZ35))),999)),ISNUMBER(VALUE(TRIM($DZ35)))),VALUE(TRIM($DZ35)),"")))),""))</f>
        <v/>
      </c>
      <c r="EB35">
        <f>IF($DM35=0,"",IF($L$18=0,"",IFERROR(IF(UPPER(TRIM(SUBSTITUTE(SUBSTITUTE(SUBSTITUTE(SUBSTITUTE(INDEX(PASTE_ALL,$DF35,$L$18)," "," "),CHAR(9)," "),CHAR(10)," "),CHAR(13)," ")))="READY","Ready",IF(UPPER(TRIM(SUBSTITUTE(SUBSTITUTE(SUBSTITUTE(SUBSTITUTE(INDEX(PASTE_ALL,$DF35,$L$18)," "," "),CHAR(9)," "),CHAR(10)," "),CHAR(13)," ")))="PM","PM",IF(OR(UPPER(TRIM(SUBSTITUTE(SUBSTITUTE(SUBSTITUTE(SUBSTITUTE(INDEX(PASTE_ALL,$DF35,$L$18)," "," "),CHAR(9)," "),CHAR(10)," "),CHAR(13)," ")))="OT",UPPER(TRIM(SUBSTITUTE(SUBSTITUTE(SUBSTITUTE(SUBSTITUTE(INDEX(PASTE_ALL,$DF35,$L$18)," "," "),CHAR(9)," "),CHAR(10)," "),CHAR(13)," ")))="OVERTIME",UPPER(TRIM(SUBSTITUTE(SUBSTITUTE(SUBSTITUTE(SUBSTITUTE(INDEX(PASTE_ALL,$DF35,$L$18)," "," "),CHAR(9)," "),CHAR(10)," "),CHAR(13)," ")))="TRIAL"),"OT",TRIM(SUBSTITUTE(SUBSTITUTE(SUBSTITUTE(SUBSTITUTE(INDEX(PASTE_ALL,$DF35,$L$18)," "," "),CHAR(9)," "),CHAR(10)," "),CHAR(13)," "))))),"")))</f>
        <v/>
      </c>
      <c r="EC35">
        <f>IF($DM35=0,"",IF($L$19=0,"",IFERROR(IF(ISNUMBER(INDEX(PASTE_ALL,$DF35,$L$19)),INDEX(PASTE_ALL,$DF35,$L$19),TRIM(SUBSTITUTE(SUBSTITUTE(SUBSTITUTE(SUBSTITUTE(INDEX(PASTE_ALL,$DF35,$L$19)," "," "),CHAR(9)," "),CHAR(10)," "),CHAR(13)," "))),"")))</f>
        <v/>
      </c>
      <c r="ED35">
        <f>IF($DM35=0,"",MATCH(1,INDEX(EXACT($DH$5:DH35,$DH35)*$DM$5:DM35,0),0))</f>
        <v/>
      </c>
      <c r="EE35">
        <f>IF($DM35=0,0,IF($ED35=$DE35,1,0))</f>
        <v/>
      </c>
      <c r="EF35">
        <f>EF34+$EE35</f>
        <v/>
      </c>
      <c r="EG35">
        <f>IF($DM35=0,"",INDEX($EF$5:$EF$1003,$ED35))</f>
        <v/>
      </c>
      <c r="EH35">
        <f>IF($DM35=0,"",IF($DO35&lt;&gt;"","",IFERROR(LOOKUP(2,1/(($EG$4:EG34=$EG35)*($DO$4:DO34&lt;&gt;"")),$DO$4:DO34),"")))</f>
        <v/>
      </c>
      <c r="EI35">
        <f>IF($DM35=0,"",IF($DO35&lt;&gt;"",$DO35,$EH35))</f>
        <v/>
      </c>
      <c r="EJ35">
        <f>IF($DM35=0,"",IF($EI35="",0,IF(OR(ISNUMBER($EI35),AND(AND(SUBSTITUTE(SUBSTITUTE(SUBSTITUTE(SUBSTITUTE(SUBSTITUTE(SUBSTITUTE(SUBSTITUTE(SUBSTITUTE(SUBSTITUTE(SUBSTITUTE(SUBSTITUTE(SUBSTITUTE(SUBSTITUTE(SUBSTITUTE(UPPER($EI35),"0",""),"1",""),"2",""),"3",""),"4",""),"5",""),"6",""),"7",""),"8",""),"9",""),".",""),"+",""),"-",""),"E","")="",LEN(SUBSTITUTE(SUBSTITUTE(MID(UPPER($EI35),1+OR(LEFT(UPPER($EI35),1)="+",LEFT(UPPER($EI35),1)="-"),999),"E+","E"),"E-","E"))=LEN(SUBSTITUTE(SUBSTITUTE(SUBSTITUTE(SUBSTITUTE(MID(UPPER($EI35),1+OR(LEFT(UPPER($EI35),1)="+",LEFT(UPPER($EI35),1)="-"),999),"E+","E"),"E-","E"),"+",""),"-","")),LEN(UPPER($EI35))-LEN(SUBSTITUTE(UPPER($EI35),"E",""))&lt;2,LEN(UPPER($EI35))-LEN(SUBSTITUTE(UPPER($EI35),".",""))&lt;2,IFERROR(FIND(".",UPPER($EI35)),0)&lt;IFERROR(FIND("E",UPPER($EI35)),999)),ISNUMBER(VALUE($EI35)))),1,2)))</f>
        <v/>
      </c>
      <c r="EK35">
        <f>IF($DM35=0,"",IF($EJ35=1,IF(ISNUMBER($EI35),$EI35,VALUE($EI35)),IF($EJ35=2,$DE35,0)))</f>
        <v/>
      </c>
      <c r="EL35">
        <f>IF($DM35=0,"",COUNTIF($EG$5:$EG$1003,"&lt;"&amp;$EG35)+SUMPRODUCT(($EG$5:$EG$1003=$EG35)*(($EJ$5:$EJ$1003&lt;$EJ35)+($EJ$5:$EJ$1003=$EJ35)*(($EK$5:$EK$1003&lt;$EK35)+($EK$5:$EK$1003=$EK35)*($DE$5:$DE$1003&lt;$DE35))))+1)</f>
        <v/>
      </c>
      <c r="EM35">
        <f>IF($DM35=0,"",$EL35+$EG35-1)</f>
        <v/>
      </c>
      <c r="EN35">
        <f>IF($DM35=0,0,IFERROR(MATCH(1,INDEX(--(TRIM(SUBSTITUTE(SUBSTITUTE(SUBSTITUTE(SUBSTITUTE(LINES_NAME&amp;""," "," "),CHAR(9)," "),CHAR(10)," "),CHAR(13)," "))=$DH35),0),0),0))</f>
        <v/>
      </c>
      <c r="EO35">
        <f>IF($EN35=0,0,IF(OR(UPPER(TRIM(INDEX(LINES_SCHEDULED,$EN35)&amp;""))="YES",UPPER(TRIM(INDEX(LINES_SCHEDULED,$EN35)&amp;""))="Y",UPPER(TRIM(INDEX(LINES_SCHEDULED,$EN35)&amp;""))="X"),1,0))</f>
        <v/>
      </c>
      <c r="EP35">
        <f>IF($DM35=0,"",IF(COUNTIFS($EG$5:$EG$1003,$EG35,$EB$5:$EB$1003,"Ready")&gt;0,"READY",IF(COUNTIFS($EG$5:$EG$1003,$EG35,$EB$5:$EB$1003,"PM")&gt;0,"PM",IF(COUNTIFS($EG$5:$EG$1003,$EG35,$EB$5:$EB$1003,"OT")&gt;0,"OT",""))))</f>
        <v/>
      </c>
      <c r="EQ35">
        <f>IF($EN35=0,"",UPPER(TRIM(INDEX(LINES_STATUS,$EN35)&amp;"")))</f>
        <v/>
      </c>
      <c r="ER35">
        <f>IF($DM35=0,"",IF(OR($EQ35="READY",$EQ35="PM",$EQ35="OT"),$EQ35,$EP35))</f>
        <v/>
      </c>
      <c r="ES35">
        <f>IF($DM35=0,"",IF(AND($DV35&lt;&gt;"",UPPER($DV35)&lt;&gt;"N"),"allergen",IF(ISNUMBER(SEARCH("oil",$DQ35)),"oil",IF(OR(EXACT($DS35,"A662"),EXACT($DS35,"A624")),"bulk",""))))</f>
        <v/>
      </c>
      <c r="ET35">
        <f>IF($DM35=0,"",IF(OR($EA35="",$EA35=0),"",$EA35/100))</f>
        <v/>
      </c>
      <c r="EU35">
        <f>IF(OR($ET35="",$DY35=""),"",INT($DY35*(1-$ET35)+0.5))</f>
        <v/>
      </c>
      <c r="EW35" t="n">
        <v>31</v>
      </c>
      <c r="EX35">
        <f>IFERROR(MATCH($EW35,$EM$5:$EM$1003,0),0)</f>
        <v/>
      </c>
      <c r="EY35">
        <f>IF($EW35&gt;$B$12,"",IF($EX35&gt;0,"row","spacer"))</f>
        <v/>
      </c>
      <c r="EZ35">
        <f>IF(AND($EY35="row",$EY34&lt;&gt;"row"),1,0)</f>
        <v/>
      </c>
      <c r="FA35">
        <f>IF(AND($EY35="row",$EY36&lt;&gt;"row"),1,0)</f>
        <v/>
      </c>
      <c r="FB35">
        <f>IF($EZ35=1,IFERROR(IF(ISNUMBER(INDEX(PASTE_ALL,INDEX($DF$5:$DF$1003,$EX35),$B$37)),INDEX(PASTE_ALL,INDEX($DF$5:$DF$1003,$EX35),$B$37),INDEX($DH$5:$DH$1003,$EX35)),INDEX($DH$5:$DH$1003,$EX35)),"")</f>
        <v/>
      </c>
      <c r="FC35">
        <f>IF($EY35="row",INDEX($ER$5:$ER$1003,$EX35),"")</f>
        <v/>
      </c>
      <c r="FD35">
        <f>IF($EY35="row",INDEX($DN$5:$DN$1003,$EX35),"")</f>
        <v/>
      </c>
      <c r="FE35">
        <f>IF($EY35="row",INDEX($DO$5:$DO$1003,$EX35),"")</f>
        <v/>
      </c>
      <c r="FF35">
        <f>IF($EY35="row",INDEX($DP$5:$DP$1003,$EX35),"")</f>
        <v/>
      </c>
      <c r="FG35">
        <f>IF($EY35="row",INDEX($DQ$5:$DQ$1003,$EX35),"")</f>
        <v/>
      </c>
      <c r="FH35">
        <f>IF($EY35="row",INDEX($DR$5:$DR$1003,$EX35),"")</f>
        <v/>
      </c>
      <c r="FI35">
        <f>IF($EY35="row",INDEX($DS$5:$DS$1003,$EX35),"")</f>
        <v/>
      </c>
      <c r="FJ35">
        <f>IF($EY35="row",INDEX($DT$5:$DT$1003,$EX35),"")</f>
        <v/>
      </c>
      <c r="FK35">
        <f>IF($EY35="row",INDEX($DU$5:$DU$1003,$EX35),"")</f>
        <v/>
      </c>
      <c r="FL35">
        <f>IF($EY35="row",INDEX($DV$5:$DV$1003,$EX35),"")</f>
        <v/>
      </c>
      <c r="FM35">
        <f>IF($EY35="row",INDEX($DW$5:$DW$1003,$EX35),"")</f>
        <v/>
      </c>
      <c r="FN35">
        <f>IF($EY35="row",INDEX($DY$5:$DY$1003,$EX35),"")</f>
        <v/>
      </c>
      <c r="FO35">
        <f>IF($EY35="row",INDEX($EA$5:$EA$1003,$EX35),"")</f>
        <v/>
      </c>
      <c r="FP35">
        <f>IF($EY35="row",INDEX($EC$5:$EC$1003,$EX35),"")</f>
        <v/>
      </c>
      <c r="FQ35">
        <f>IF($EY35="row",INDEX($ET$5:$ET$1003,$EX35),"")</f>
        <v/>
      </c>
      <c r="FR35">
        <f>IF($EY35="row",INDEX($EU$5:$EU$1003,$EX35),"")</f>
        <v/>
      </c>
      <c r="FS35">
        <f>IF(AND($EY35="row",$EY34="row"),IF(OR(INDEX($DT$5:$DT$1003,$EX34)="",INDEX($DT$5:$DT$1003,$EX35)=""),"",IF(NOT(EXACT(INDEX($DT$5:$DT$1003,$EX34),INDEX($DT$5:$DT$1003,$EX35))),"S4",IF(NOT(EXACT(INDEX($DS$5:$DS$1003,$EX34),INDEX($DS$5:$DS$1003,$EX35))),"S3",IF(NOT(EXACT(INDEX($DR$5:$DR$1003,$EX34),INDEX($DR$5:$DR$1003,$EX35))),"S1 Count Change","S1")))),"")</f>
        <v/>
      </c>
      <c r="FT35">
        <f>IF($EY35="row",INDEX($ES$5:$ES$1003,$EX35),"")</f>
        <v/>
      </c>
      <c r="FU35">
        <f>IF($EY35="row",INDEX($EO$5:$EO$1003,$EX35),0)</f>
        <v/>
      </c>
      <c r="FV35">
        <f>IF($FS35="S1 Count Change",1,0)</f>
        <v/>
      </c>
      <c r="FX35" t="n">
        <v>31</v>
      </c>
      <c r="FY35">
        <f>IFERROR(MATCH($FX35,$EF$5:$EF$1003,0),0)</f>
        <v/>
      </c>
      <c r="FZ35">
        <f>IF($FY35=0,"",INDEX($DH$5:$DH$1003,$FY35))</f>
        <v/>
      </c>
      <c r="GA35">
        <f>IF($FY35=0,"",COUNTIF($EG$5:$EG$1003,$FX35))</f>
        <v/>
      </c>
      <c r="GB35">
        <f>IF($FY35=0,"",INDEX($ER$5:$ER$1003,$FY35))</f>
        <v/>
      </c>
      <c r="GC35">
        <f>IF($FY35=0,"",IF(INDEX($EO$5:$EO$1003,$FY35)=1,"Yes",""))</f>
        <v/>
      </c>
      <c r="GD35">
        <f>IF($FY35=0,"",IF(INDEX($EN$5:$EN$1003,$FY35)&gt;0,"","NOT IN YOUR LIST - type it in column A to tick it"))</f>
        <v/>
      </c>
      <c r="GE35">
        <f>IF(AND($FY35&gt;0,$GD35&lt;&gt;""),1,0)</f>
        <v/>
      </c>
      <c r="GF35">
        <f>GF34+$GE35</f>
        <v/>
      </c>
      <c r="GG35">
        <f>IFERROR(INDEX($FZ$5:$FZ$104,MATCH($FX35,$GF$5:$GF$104,0)),"")</f>
        <v/>
      </c>
    </row>
    <row r="36">
      <c r="A36" t="inlineStr">
        <is>
          <t>4. Schedule warning</t>
        </is>
      </c>
      <c r="B36">
        <f>MID(IF($B$33=1,"",CHAR(10)&amp;"WARNING: see 2. Check Columns")&amp;IF($B$34=1,CHAR(10)&amp;"CHECK: 3. Lines not dated today","")&amp;IF($B$35=1,CHAR(10)&amp;"Report typed on - see How To Use",""),2,999)</f>
        <v/>
      </c>
      <c r="S36" t="n">
        <v>32</v>
      </c>
      <c r="T36" t="inlineStr">
        <is>
          <t>AF</t>
        </is>
      </c>
      <c r="V36" t="inlineStr">
        <is>
          <t>PARTNUMBER</t>
        </is>
      </c>
      <c r="W36" t="n">
        <v>4</v>
      </c>
      <c r="Y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 ",""),"!",""),CHAR(34),""),"#",""),"$",""),"%",""),"&amp;",""),"'",""),"(",""),")",""),"*",""),"+",""),",",""),"-",""),".",""),"/",""),":",""),";",""),"&lt;",""),"=",""),"&gt;",""),"?",""),"@",""),"[",""),"\",""),"]",""),"^",""),"_",""),"`",""),"{",""),"|",""),"}",""),"~",""),CHAR(9),""),CHAR(10),""),CHAR(13),"")," ",""),"")</f>
        <v/>
      </c>
      <c r="Z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 ",""),"!",""),CHAR(34),""),"#",""),"$",""),"%",""),"&amp;",""),"'",""),"(",""),")",""),"*",""),"+",""),",",""),"-",""),".",""),"/",""),":",""),";",""),"&lt;",""),"=",""),"&gt;",""),"?",""),"@",""),"[",""),"\",""),"]",""),"^",""),"_",""),"`",""),"{",""),"|",""),"}",""),"~",""),CHAR(9),""),CHAR(10),""),CHAR(13),"")," ",""),"")</f>
        <v/>
      </c>
      <c r="AA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 ",""),"!",""),CHAR(34),""),"#",""),"$",""),"%",""),"&amp;",""),"'",""),"(",""),")",""),"*",""),"+",""),",",""),"-",""),".",""),"/",""),":",""),";",""),"&lt;",""),"=",""),"&gt;",""),"?",""),"@",""),"[",""),"\",""),"]",""),"^",""),"_",""),"`",""),"{",""),"|",""),"}",""),"~",""),CHAR(9),""),CHAR(10),""),CHAR(13),"")," ",""),"")</f>
        <v/>
      </c>
      <c r="AB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 ",""),"!",""),CHAR(34),""),"#",""),"$",""),"%",""),"&amp;",""),"'",""),"(",""),")",""),"*",""),"+",""),",",""),"-",""),".",""),"/",""),":",""),";",""),"&lt;",""),"=",""),"&gt;",""),"?",""),"@",""),"[",""),"\",""),"]",""),"^",""),"_",""),"`",""),"{",""),"|",""),"}",""),"~",""),CHAR(9),""),CHAR(10),""),CHAR(13),"")," ",""),"")</f>
        <v/>
      </c>
      <c r="AC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 ",""),"!",""),CHAR(34),""),"#",""),"$",""),"%",""),"&amp;",""),"'",""),"(",""),")",""),"*",""),"+",""),",",""),"-",""),".",""),"/",""),":",""),";",""),"&lt;",""),"=",""),"&gt;",""),"?",""),"@",""),"[",""),"\",""),"]",""),"^",""),"_",""),"`",""),"{",""),"|",""),"}",""),"~",""),CHAR(9),""),CHAR(10),""),CHAR(13),"")," ",""),"")</f>
        <v/>
      </c>
      <c r="AD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32,6))," ",""),"!",""),CHAR(34),""),"#",""),"$",""),"%",""),"&amp;",""),"'",""),"(",""),")",""),"*",""),"+",""),",",""),"-",""),".",""),"/",""),":",""),";",""),"&lt;",""),"=",""),"&gt;",""),"?",""),"@",""),"[",""),"\",""),"]",""),"^",""),"_",""),"`",""),"{",""),"|",""),"}",""),"~",""),CHAR(9),""),CHAR(10),""),CHAR(13),"")," ",""),"")</f>
        <v/>
      </c>
      <c r="AE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32,7))," ",""),"!",""),CHAR(34),""),"#",""),"$",""),"%",""),"&amp;",""),"'",""),"(",""),")",""),"*",""),"+",""),",",""),"-",""),".",""),"/",""),":",""),";",""),"&lt;",""),"=",""),"&gt;",""),"?",""),"@",""),"[",""),"\",""),"]",""),"^",""),"_",""),"`",""),"{",""),"|",""),"}",""),"~",""),CHAR(9),""),CHAR(10),""),CHAR(13),"")," ",""),"")</f>
        <v/>
      </c>
      <c r="AF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32,8))," ",""),"!",""),CHAR(34),""),"#",""),"$",""),"%",""),"&amp;",""),"'",""),"(",""),")",""),"*",""),"+",""),",",""),"-",""),".",""),"/",""),":",""),";",""),"&lt;",""),"=",""),"&gt;",""),"?",""),"@",""),"[",""),"\",""),"]",""),"^",""),"_",""),"`",""),"{",""),"|",""),"}",""),"~",""),CHAR(9),""),CHAR(10),""),CHAR(13),"")," ",""),"")</f>
        <v/>
      </c>
      <c r="AG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32,9))," ",""),"!",""),CHAR(34),""),"#",""),"$",""),"%",""),"&amp;",""),"'",""),"(",""),")",""),"*",""),"+",""),",",""),"-",""),".",""),"/",""),":",""),";",""),"&lt;",""),"=",""),"&gt;",""),"?",""),"@",""),"[",""),"\",""),"]",""),"^",""),"_",""),"`",""),"{",""),"|",""),"}",""),"~",""),CHAR(9),""),CHAR(10),""),CHAR(13),"")," ",""),"")</f>
        <v/>
      </c>
      <c r="AH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32,10))," ",""),"!",""),CHAR(34),""),"#",""),"$",""),"%",""),"&amp;",""),"'",""),"(",""),")",""),"*",""),"+",""),",",""),"-",""),".",""),"/",""),":",""),";",""),"&lt;",""),"=",""),"&gt;",""),"?",""),"@",""),"[",""),"\",""),"]",""),"^",""),"_",""),"`",""),"{",""),"|",""),"}",""),"~",""),CHAR(9),""),CHAR(10),""),CHAR(13),"")," ",""),"")</f>
        <v/>
      </c>
      <c r="AI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32,11))," ",""),"!",""),CHAR(34),""),"#",""),"$",""),"%",""),"&amp;",""),"'",""),"(",""),")",""),"*",""),"+",""),",",""),"-",""),".",""),"/",""),":",""),";",""),"&lt;",""),"=",""),"&gt;",""),"?",""),"@",""),"[",""),"\",""),"]",""),"^",""),"_",""),"`",""),"{",""),"|",""),"}",""),"~",""),CHAR(9),""),CHAR(10),""),CHAR(13),"")," ",""),"")</f>
        <v/>
      </c>
      <c r="AJ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32,12))," ",""),"!",""),CHAR(34),""),"#",""),"$",""),"%",""),"&amp;",""),"'",""),"(",""),")",""),"*",""),"+",""),",",""),"-",""),".",""),"/",""),":",""),";",""),"&lt;",""),"=",""),"&gt;",""),"?",""),"@",""),"[",""),"\",""),"]",""),"^",""),"_",""),"`",""),"{",""),"|",""),"}",""),"~",""),CHAR(9),""),CHAR(10),""),CHAR(13),"")," ",""),"")</f>
        <v/>
      </c>
      <c r="AK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32,13))," ",""),"!",""),CHAR(34),""),"#",""),"$",""),"%",""),"&amp;",""),"'",""),"(",""),")",""),"*",""),"+",""),",",""),"-",""),".",""),"/",""),":",""),";",""),"&lt;",""),"=",""),"&gt;",""),"?",""),"@",""),"[",""),"\",""),"]",""),"^",""),"_",""),"`",""),"{",""),"|",""),"}",""),"~",""),CHAR(9),""),CHAR(10),""),CHAR(13),"")," ",""),"")</f>
        <v/>
      </c>
      <c r="AL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32,14))," ",""),"!",""),CHAR(34),""),"#",""),"$",""),"%",""),"&amp;",""),"'",""),"(",""),")",""),"*",""),"+",""),",",""),"-",""),".",""),"/",""),":",""),";",""),"&lt;",""),"=",""),"&gt;",""),"?",""),"@",""),"[",""),"\",""),"]",""),"^",""),"_",""),"`",""),"{",""),"|",""),"}",""),"~",""),CHAR(9),""),CHAR(10),""),CHAR(13),"")," ",""),"")</f>
        <v/>
      </c>
      <c r="AM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32,15))," ",""),"!",""),CHAR(34),""),"#",""),"$",""),"%",""),"&amp;",""),"'",""),"(",""),")",""),"*",""),"+",""),",",""),"-",""),".",""),"/",""),":",""),";",""),"&lt;",""),"=",""),"&gt;",""),"?",""),"@",""),"[",""),"\",""),"]",""),"^",""),"_",""),"`",""),"{",""),"|",""),"}",""),"~",""),CHAR(9),""),CHAR(10),""),CHAR(13),"")," ",""),"")</f>
        <v/>
      </c>
      <c r="AN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32,16))," ",""),"!",""),CHAR(34),""),"#",""),"$",""),"%",""),"&amp;",""),"'",""),"(",""),")",""),"*",""),"+",""),",",""),"-",""),".",""),"/",""),":",""),";",""),"&lt;",""),"=",""),"&gt;",""),"?",""),"@",""),"[",""),"\",""),"]",""),"^",""),"_",""),"`",""),"{",""),"|",""),"}",""),"~",""),CHAR(9),""),CHAR(10),""),CHAR(13),"")," ",""),"")</f>
        <v/>
      </c>
      <c r="AO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32,17))," ",""),"!",""),CHAR(34),""),"#",""),"$",""),"%",""),"&amp;",""),"'",""),"(",""),")",""),"*",""),"+",""),",",""),"-",""),".",""),"/",""),":",""),";",""),"&lt;",""),"=",""),"&gt;",""),"?",""),"@",""),"[",""),"\",""),"]",""),"^",""),"_",""),"`",""),"{",""),"|",""),"}",""),"~",""),CHAR(9),""),CHAR(10),""),CHAR(13),"")," ",""),"")</f>
        <v/>
      </c>
      <c r="AP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32,18))," ",""),"!",""),CHAR(34),""),"#",""),"$",""),"%",""),"&amp;",""),"'",""),"(",""),")",""),"*",""),"+",""),",",""),"-",""),".",""),"/",""),":",""),";",""),"&lt;",""),"=",""),"&gt;",""),"?",""),"@",""),"[",""),"\",""),"]",""),"^",""),"_",""),"`",""),"{",""),"|",""),"}",""),"~",""),CHAR(9),""),CHAR(10),""),CHAR(13),"")," ",""),"")</f>
        <v/>
      </c>
      <c r="AQ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32,19))," ",""),"!",""),CHAR(34),""),"#",""),"$",""),"%",""),"&amp;",""),"'",""),"(",""),")",""),"*",""),"+",""),",",""),"-",""),".",""),"/",""),":",""),";",""),"&lt;",""),"=",""),"&gt;",""),"?",""),"@",""),"[",""),"\",""),"]",""),"^",""),"_",""),"`",""),"{",""),"|",""),"}",""),"~",""),CHAR(9),""),CHAR(10),""),CHAR(13),"")," ",""),"")</f>
        <v/>
      </c>
      <c r="AR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32,20))," ",""),"!",""),CHAR(34),""),"#",""),"$",""),"%",""),"&amp;",""),"'",""),"(",""),")",""),"*",""),"+",""),",",""),"-",""),".",""),"/",""),":",""),";",""),"&lt;",""),"=",""),"&gt;",""),"?",""),"@",""),"[",""),"\",""),"]",""),"^",""),"_",""),"`",""),"{",""),"|",""),"}",""),"~",""),CHAR(9),""),CHAR(10),""),CHAR(13),"")," ",""),"")</f>
        <v/>
      </c>
      <c r="AS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32,21))," ",""),"!",""),CHAR(34),""),"#",""),"$",""),"%",""),"&amp;",""),"'",""),"(",""),")",""),"*",""),"+",""),",",""),"-",""),".",""),"/",""),":",""),";",""),"&lt;",""),"=",""),"&gt;",""),"?",""),"@",""),"[",""),"\",""),"]",""),"^",""),"_",""),"`",""),"{",""),"|",""),"}",""),"~",""),CHAR(9),""),CHAR(10),""),CHAR(13),"")," ",""),"")</f>
        <v/>
      </c>
      <c r="AT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32,22))," ",""),"!",""),CHAR(34),""),"#",""),"$",""),"%",""),"&amp;",""),"'",""),"(",""),")",""),"*",""),"+",""),",",""),"-",""),".",""),"/",""),":",""),";",""),"&lt;",""),"=",""),"&gt;",""),"?",""),"@",""),"[",""),"\",""),"]",""),"^",""),"_",""),"`",""),"{",""),"|",""),"}",""),"~",""),CHAR(9),""),CHAR(10),""),CHAR(13),"")," ",""),"")</f>
        <v/>
      </c>
      <c r="AU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32,23))," ",""),"!",""),CHAR(34),""),"#",""),"$",""),"%",""),"&amp;",""),"'",""),"(",""),")",""),"*",""),"+",""),",",""),"-",""),".",""),"/",""),":",""),";",""),"&lt;",""),"=",""),"&gt;",""),"?",""),"@",""),"[",""),"\",""),"]",""),"^",""),"_",""),"`",""),"{",""),"|",""),"}",""),"~",""),CHAR(9),""),CHAR(10),""),CHAR(13),"")," ",""),"")</f>
        <v/>
      </c>
      <c r="AV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32,24))," ",""),"!",""),CHAR(34),""),"#",""),"$",""),"%",""),"&amp;",""),"'",""),"(",""),")",""),"*",""),"+",""),",",""),"-",""),".",""),"/",""),":",""),";",""),"&lt;",""),"=",""),"&gt;",""),"?",""),"@",""),"[",""),"\",""),"]",""),"^",""),"_",""),"`",""),"{",""),"|",""),"}",""),"~",""),CHAR(9),""),CHAR(10),""),CHAR(13),"")," ",""),"")</f>
        <v/>
      </c>
      <c r="AW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32,25))," ",""),"!",""),CHAR(34),""),"#",""),"$",""),"%",""),"&amp;",""),"'",""),"(",""),")",""),"*",""),"+",""),",",""),"-",""),".",""),"/",""),":",""),";",""),"&lt;",""),"=",""),"&gt;",""),"?",""),"@",""),"[",""),"\",""),"]",""),"^",""),"_",""),"`",""),"{",""),"|",""),"}",""),"~",""),CHAR(9),""),CHAR(10),""),CHAR(13),"")," ",""),"")</f>
        <v/>
      </c>
      <c r="AX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32,26))," ",""),"!",""),CHAR(34),""),"#",""),"$",""),"%",""),"&amp;",""),"'",""),"(",""),")",""),"*",""),"+",""),",",""),"-",""),".",""),"/",""),":",""),";",""),"&lt;",""),"=",""),"&gt;",""),"?",""),"@",""),"[",""),"\",""),"]",""),"^",""),"_",""),"`",""),"{",""),"|",""),"}",""),"~",""),CHAR(9),""),CHAR(10),""),CHAR(13),"")," ",""),"")</f>
        <v/>
      </c>
      <c r="AY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32,27))," ",""),"!",""),CHAR(34),""),"#",""),"$",""),"%",""),"&amp;",""),"'",""),"(",""),")",""),"*",""),"+",""),",",""),"-",""),".",""),"/",""),":",""),";",""),"&lt;",""),"=",""),"&gt;",""),"?",""),"@",""),"[",""),"\",""),"]",""),"^",""),"_",""),"`",""),"{",""),"|",""),"}",""),"~",""),CHAR(9),""),CHAR(10),""),CHAR(13),"")," ",""),"")</f>
        <v/>
      </c>
      <c r="AZ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32,28))," ",""),"!",""),CHAR(34),""),"#",""),"$",""),"%",""),"&amp;",""),"'",""),"(",""),")",""),"*",""),"+",""),",",""),"-",""),".",""),"/",""),":",""),";",""),"&lt;",""),"=",""),"&gt;",""),"?",""),"@",""),"[",""),"\",""),"]",""),"^",""),"_",""),"`",""),"{",""),"|",""),"}",""),"~",""),CHAR(9),""),CHAR(10),""),CHAR(13),"")," ",""),"")</f>
        <v/>
      </c>
      <c r="BA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32,29))," ",""),"!",""),CHAR(34),""),"#",""),"$",""),"%",""),"&amp;",""),"'",""),"(",""),")",""),"*",""),"+",""),",",""),"-",""),".",""),"/",""),":",""),";",""),"&lt;",""),"=",""),"&gt;",""),"?",""),"@",""),"[",""),"\",""),"]",""),"^",""),"_",""),"`",""),"{",""),"|",""),"}",""),"~",""),CHAR(9),""),CHAR(10),""),CHAR(13),"")," ",""),"")</f>
        <v/>
      </c>
      <c r="BB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32,30))," ",""),"!",""),CHAR(34),""),"#",""),"$",""),"%",""),"&amp;",""),"'",""),"(",""),")",""),"*",""),"+",""),",",""),"-",""),".",""),"/",""),":",""),";",""),"&lt;",""),"=",""),"&gt;",""),"?",""),"@",""),"[",""),"\",""),"]",""),"^",""),"_",""),"`",""),"{",""),"|",""),"}",""),"~",""),CHAR(9),""),CHAR(10),""),CHAR(13),"")," ",""),"")</f>
        <v/>
      </c>
      <c r="BC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32,31))," ",""),"!",""),CHAR(34),""),"#",""),"$",""),"%",""),"&amp;",""),"'",""),"(",""),")",""),"*",""),"+",""),",",""),"-",""),".",""),"/",""),":",""),";",""),"&lt;",""),"=",""),"&gt;",""),"?",""),"@",""),"[",""),"\",""),"]",""),"^",""),"_",""),"`",""),"{",""),"|",""),"}",""),"~",""),CHAR(9),""),CHAR(10),""),CHAR(13),"")," ",""),"")</f>
        <v/>
      </c>
      <c r="BD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32,32))," ",""),"!",""),CHAR(34),""),"#",""),"$",""),"%",""),"&amp;",""),"'",""),"(",""),")",""),"*",""),"+",""),",",""),"-",""),".",""),"/",""),":",""),";",""),"&lt;",""),"=",""),"&gt;",""),"?",""),"@",""),"[",""),"\",""),"]",""),"^",""),"_",""),"`",""),"{",""),"|",""),"}",""),"~",""),CHAR(9),""),CHAR(10),""),CHAR(13),"")," ",""),"")</f>
        <v/>
      </c>
      <c r="BE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32,33))," ",""),"!",""),CHAR(34),""),"#",""),"$",""),"%",""),"&amp;",""),"'",""),"(",""),")",""),"*",""),"+",""),",",""),"-",""),".",""),"/",""),":",""),";",""),"&lt;",""),"=",""),"&gt;",""),"?",""),"@",""),"[",""),"\",""),"]",""),"^",""),"_",""),"`",""),"{",""),"|",""),"}",""),"~",""),CHAR(9),""),CHAR(10),""),CHAR(13),"")," ",""),"")</f>
        <v/>
      </c>
      <c r="BF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32,34))," ",""),"!",""),CHAR(34),""),"#",""),"$",""),"%",""),"&amp;",""),"'",""),"(",""),")",""),"*",""),"+",""),",",""),"-",""),".",""),"/",""),":",""),";",""),"&lt;",""),"=",""),"&gt;",""),"?",""),"@",""),"[",""),"\",""),"]",""),"^",""),"_",""),"`",""),"{",""),"|",""),"}",""),"~",""),CHAR(9),""),CHAR(10),""),CHAR(13),"")," ",""),"")</f>
        <v/>
      </c>
      <c r="BG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32,35))," ",""),"!",""),CHAR(34),""),"#",""),"$",""),"%",""),"&amp;",""),"'",""),"(",""),")",""),"*",""),"+",""),",",""),"-",""),".",""),"/",""),":",""),";",""),"&lt;",""),"=",""),"&gt;",""),"?",""),"@",""),"[",""),"\",""),"]",""),"^",""),"_",""),"`",""),"{",""),"|",""),"}",""),"~",""),CHAR(9),""),CHAR(10),""),CHAR(13),"")," ",""),"")</f>
        <v/>
      </c>
      <c r="BH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32,36))," ",""),"!",""),CHAR(34),""),"#",""),"$",""),"%",""),"&amp;",""),"'",""),"(",""),")",""),"*",""),"+",""),",",""),"-",""),".",""),"/",""),":",""),";",""),"&lt;",""),"=",""),"&gt;",""),"?",""),"@",""),"[",""),"\",""),"]",""),"^",""),"_",""),"`",""),"{",""),"|",""),"}",""),"~",""),CHAR(9),""),CHAR(10),""),CHAR(13),"")," ",""),"")</f>
        <v/>
      </c>
      <c r="BI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32,37))," ",""),"!",""),CHAR(34),""),"#",""),"$",""),"%",""),"&amp;",""),"'",""),"(",""),")",""),"*",""),"+",""),",",""),"-",""),".",""),"/",""),":",""),";",""),"&lt;",""),"=",""),"&gt;",""),"?",""),"@",""),"[",""),"\",""),"]",""),"^",""),"_",""),"`",""),"{",""),"|",""),"}",""),"~",""),CHAR(9),""),CHAR(10),""),CHAR(13),"")," ",""),"")</f>
        <v/>
      </c>
      <c r="BJ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32,38))," ",""),"!",""),CHAR(34),""),"#",""),"$",""),"%",""),"&amp;",""),"'",""),"(",""),")",""),"*",""),"+",""),",",""),"-",""),".",""),"/",""),":",""),";",""),"&lt;",""),"=",""),"&gt;",""),"?",""),"@",""),"[",""),"\",""),"]",""),"^",""),"_",""),"`",""),"{",""),"|",""),"}",""),"~",""),CHAR(9),""),CHAR(10),""),CHAR(13),"")," ",""),"")</f>
        <v/>
      </c>
      <c r="BK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32,39))," ",""),"!",""),CHAR(34),""),"#",""),"$",""),"%",""),"&amp;",""),"'",""),"(",""),")",""),"*",""),"+",""),",",""),"-",""),".",""),"/",""),":",""),";",""),"&lt;",""),"=",""),"&gt;",""),"?",""),"@",""),"[",""),"\",""),"]",""),"^",""),"_",""),"`",""),"{",""),"|",""),"}",""),"~",""),CHAR(9),""),CHAR(10),""),CHAR(13),"")," ",""),"")</f>
        <v/>
      </c>
      <c r="BL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32,40))," ",""),"!",""),CHAR(34),""),"#",""),"$",""),"%",""),"&amp;",""),"'",""),"(",""),")",""),"*",""),"+",""),",",""),"-",""),".",""),"/",""),":",""),";",""),"&lt;",""),"=",""),"&gt;",""),"?",""),"@",""),"[",""),"\",""),"]",""),"^",""),"_",""),"`",""),"{",""),"|",""),"}",""),"~",""),CHAR(9),""),CHAR(10),""),CHAR(13),"")," ",""),"")</f>
        <v/>
      </c>
      <c r="BM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32,41))," ",""),"!",""),CHAR(34),""),"#",""),"$",""),"%",""),"&amp;",""),"'",""),"(",""),")",""),"*",""),"+",""),",",""),"-",""),".",""),"/",""),":",""),";",""),"&lt;",""),"=",""),"&gt;",""),"?",""),"@",""),"[",""),"\",""),"]",""),"^",""),"_",""),"`",""),"{",""),"|",""),"}",""),"~",""),CHAR(9),""),CHAR(10),""),CHAR(13),"")," ",""),"")</f>
        <v/>
      </c>
      <c r="BN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32,42))," ",""),"!",""),CHAR(34),""),"#",""),"$",""),"%",""),"&amp;",""),"'",""),"(",""),")",""),"*",""),"+",""),",",""),"-",""),".",""),"/",""),":",""),";",""),"&lt;",""),"=",""),"&gt;",""),"?",""),"@",""),"[",""),"\",""),"]",""),"^",""),"_",""),"`",""),"{",""),"|",""),"}",""),"~",""),CHAR(9),""),CHAR(10),""),CHAR(13),"")," ",""),"")</f>
        <v/>
      </c>
      <c r="BO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32,43))," ",""),"!",""),CHAR(34),""),"#",""),"$",""),"%",""),"&amp;",""),"'",""),"(",""),")",""),"*",""),"+",""),",",""),"-",""),".",""),"/",""),":",""),";",""),"&lt;",""),"=",""),"&gt;",""),"?",""),"@",""),"[",""),"\",""),"]",""),"^",""),"_",""),"`",""),"{",""),"|",""),"}",""),"~",""),CHAR(9),""),CHAR(10),""),CHAR(13),"")," ",""),"")</f>
        <v/>
      </c>
      <c r="BP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32,44))," ",""),"!",""),CHAR(34),""),"#",""),"$",""),"%",""),"&amp;",""),"'",""),"(",""),")",""),"*",""),"+",""),",",""),"-",""),".",""),"/",""),":",""),";",""),"&lt;",""),"=",""),"&gt;",""),"?",""),"@",""),"[",""),"\",""),"]",""),"^",""),"_",""),"`",""),"{",""),"|",""),"}",""),"~",""),CHAR(9),""),CHAR(10),""),CHAR(13),"")," ",""),"")</f>
        <v/>
      </c>
      <c r="BQ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32,45))," ",""),"!",""),CHAR(34),""),"#",""),"$",""),"%",""),"&amp;",""),"'",""),"(",""),")",""),"*",""),"+",""),",",""),"-",""),".",""),"/",""),":",""),";",""),"&lt;",""),"=",""),"&gt;",""),"?",""),"@",""),"[",""),"\",""),"]",""),"^",""),"_",""),"`",""),"{",""),"|",""),"}",""),"~",""),CHAR(9),""),CHAR(10),""),CHAR(13),"")," ",""),"")</f>
        <v/>
      </c>
      <c r="BR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32,46))," ",""),"!",""),CHAR(34),""),"#",""),"$",""),"%",""),"&amp;",""),"'",""),"(",""),")",""),"*",""),"+",""),",",""),"-",""),".",""),"/",""),":",""),";",""),"&lt;",""),"=",""),"&gt;",""),"?",""),"@",""),"[",""),"\",""),"]",""),"^",""),"_",""),"`",""),"{",""),"|",""),"}",""),"~",""),CHAR(9),""),CHAR(10),""),CHAR(13),"")," ",""),"")</f>
        <v/>
      </c>
      <c r="BS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32,47))," ",""),"!",""),CHAR(34),""),"#",""),"$",""),"%",""),"&amp;",""),"'",""),"(",""),")",""),"*",""),"+",""),",",""),"-",""),".",""),"/",""),":",""),";",""),"&lt;",""),"=",""),"&gt;",""),"?",""),"@",""),"[",""),"\",""),"]",""),"^",""),"_",""),"`",""),"{",""),"|",""),"}",""),"~",""),CHAR(9),""),CHAR(10),""),CHAR(13),"")," ",""),"")</f>
        <v/>
      </c>
      <c r="BT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32,48))," ",""),"!",""),CHAR(34),""),"#",""),"$",""),"%",""),"&amp;",""),"'",""),"(",""),")",""),"*",""),"+",""),",",""),"-",""),".",""),"/",""),":",""),";",""),"&lt;",""),"=",""),"&gt;",""),"?",""),"@",""),"[",""),"\",""),"]",""),"^",""),"_",""),"`",""),"{",""),"|",""),"}",""),"~",""),CHAR(9),""),CHAR(10),""),CHAR(13),"")," ",""),"")</f>
        <v/>
      </c>
      <c r="BU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32,49))," ",""),"!",""),CHAR(34),""),"#",""),"$",""),"%",""),"&amp;",""),"'",""),"(",""),")",""),"*",""),"+",""),",",""),"-",""),".",""),"/",""),":",""),";",""),"&lt;",""),"=",""),"&gt;",""),"?",""),"@",""),"[",""),"\",""),"]",""),"^",""),"_",""),"`",""),"{",""),"|",""),"}",""),"~",""),CHAR(9),""),CHAR(10),""),CHAR(13),"")," ",""),"")</f>
        <v/>
      </c>
      <c r="BV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32,50))," ",""),"!",""),CHAR(34),""),"#",""),"$",""),"%",""),"&amp;",""),"'",""),"(",""),")",""),"*",""),"+",""),",",""),"-",""),".",""),"/",""),":",""),";",""),"&lt;",""),"=",""),"&gt;",""),"?",""),"@",""),"[",""),"\",""),"]",""),"^",""),"_",""),"`",""),"{",""),"|",""),"}",""),"~",""),CHAR(9),""),CHAR(10),""),CHAR(13),"")," ",""),"")</f>
        <v/>
      </c>
      <c r="BW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32,51))," ",""),"!",""),CHAR(34),""),"#",""),"$",""),"%",""),"&amp;",""),"'",""),"(",""),")",""),"*",""),"+",""),",",""),"-",""),".",""),"/",""),":",""),";",""),"&lt;",""),"=",""),"&gt;",""),"?",""),"@",""),"[",""),"\",""),"]",""),"^",""),"_",""),"`",""),"{",""),"|",""),"}",""),"~",""),CHAR(9),""),CHAR(10),""),CHAR(13),"")," ",""),"")</f>
        <v/>
      </c>
      <c r="BX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32,52))," ",""),"!",""),CHAR(34),""),"#",""),"$",""),"%",""),"&amp;",""),"'",""),"(",""),")",""),"*",""),"+",""),",",""),"-",""),".",""),"/",""),":",""),";",""),"&lt;",""),"=",""),"&gt;",""),"?",""),"@",""),"[",""),"\",""),"]",""),"^",""),"_",""),"`",""),"{",""),"|",""),"}",""),"~",""),CHAR(9),""),CHAR(10),""),CHAR(13),"")," ",""),"")</f>
        <v/>
      </c>
      <c r="BY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32,53))," ",""),"!",""),CHAR(34),""),"#",""),"$",""),"%",""),"&amp;",""),"'",""),"(",""),")",""),"*",""),"+",""),",",""),"-",""),".",""),"/",""),":",""),";",""),"&lt;",""),"=",""),"&gt;",""),"?",""),"@",""),"[",""),"\",""),"]",""),"^",""),"_",""),"`",""),"{",""),"|",""),"}",""),"~",""),CHAR(9),""),CHAR(10),""),CHAR(13),"")," ",""),"")</f>
        <v/>
      </c>
      <c r="BZ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32,54))," ",""),"!",""),CHAR(34),""),"#",""),"$",""),"%",""),"&amp;",""),"'",""),"(",""),")",""),"*",""),"+",""),",",""),"-",""),".",""),"/",""),":",""),";",""),"&lt;",""),"=",""),"&gt;",""),"?",""),"@",""),"[",""),"\",""),"]",""),"^",""),"_",""),"`",""),"{",""),"|",""),"}",""),"~",""),CHAR(9),""),CHAR(10),""),CHAR(13),"")," ",""),"")</f>
        <v/>
      </c>
      <c r="CA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32,55))," ",""),"!",""),CHAR(34),""),"#",""),"$",""),"%",""),"&amp;",""),"'",""),"(",""),")",""),"*",""),"+",""),",",""),"-",""),".",""),"/",""),":",""),";",""),"&lt;",""),"=",""),"&gt;",""),"?",""),"@",""),"[",""),"\",""),"]",""),"^",""),"_",""),"`",""),"{",""),"|",""),"}",""),"~",""),CHAR(9),""),CHAR(10),""),CHAR(13),"")," ",""),"")</f>
        <v/>
      </c>
      <c r="CB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32,56))," ",""),"!",""),CHAR(34),""),"#",""),"$",""),"%",""),"&amp;",""),"'",""),"(",""),")",""),"*",""),"+",""),",",""),"-",""),".",""),"/",""),":",""),";",""),"&lt;",""),"=",""),"&gt;",""),"?",""),"@",""),"[",""),"\",""),"]",""),"^",""),"_",""),"`",""),"{",""),"|",""),"}",""),"~",""),CHAR(9),""),CHAR(10),""),CHAR(13),"")," ",""),"")</f>
        <v/>
      </c>
      <c r="CC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32,57))," ",""),"!",""),CHAR(34),""),"#",""),"$",""),"%",""),"&amp;",""),"'",""),"(",""),")",""),"*",""),"+",""),",",""),"-",""),".",""),"/",""),":",""),";",""),"&lt;",""),"=",""),"&gt;",""),"?",""),"@",""),"[",""),"\",""),"]",""),"^",""),"_",""),"`",""),"{",""),"|",""),"}",""),"~",""),CHAR(9),""),CHAR(10),""),CHAR(13),"")," ",""),"")</f>
        <v/>
      </c>
      <c r="CD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32,58))," ",""),"!",""),CHAR(34),""),"#",""),"$",""),"%",""),"&amp;",""),"'",""),"(",""),")",""),"*",""),"+",""),",",""),"-",""),".",""),"/",""),":",""),";",""),"&lt;",""),"=",""),"&gt;",""),"?",""),"@",""),"[",""),"\",""),"]",""),"^",""),"_",""),"`",""),"{",""),"|",""),"}",""),"~",""),CHAR(9),""),CHAR(10),""),CHAR(13),"")," ",""),"")</f>
        <v/>
      </c>
      <c r="CE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32,59))," ",""),"!",""),CHAR(34),""),"#",""),"$",""),"%",""),"&amp;",""),"'",""),"(",""),")",""),"*",""),"+",""),",",""),"-",""),".",""),"/",""),":",""),";",""),"&lt;",""),"=",""),"&gt;",""),"?",""),"@",""),"[",""),"\",""),"]",""),"^",""),"_",""),"`",""),"{",""),"|",""),"}",""),"~",""),CHAR(9),""),CHAR(10),""),CHAR(13),"")," ",""),"")</f>
        <v/>
      </c>
      <c r="CF36">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32,60))," ",""),"!",""),CHAR(34),""),"#",""),"$",""),"%",""),"&amp;",""),"'",""),"(",""),")",""),"*",""),"+",""),",",""),"-",""),".",""),"/",""),":",""),";",""),"&lt;",""),"=",""),"&gt;",""),"?",""),"@",""),"[",""),"\",""),"]",""),"^",""),"_",""),"`",""),"{",""),"|",""),"}",""),"~",""),CHAR(9),""),CHAR(10),""),CHAR(13),"")," ",""),"")</f>
        <v/>
      </c>
      <c r="CH36">
        <f>COUNTIF($Y81:$CF81,"&gt;0")</f>
        <v/>
      </c>
      <c r="CI36">
        <f>COUNTIF($Y81:$CF81,2)</f>
        <v/>
      </c>
      <c r="CJ36">
        <f>SUMPRODUCT((COUNTIF($Y126:$CF126,{1,2,3,4,5,6,7,8,9,10,11,12,13,14,15})&gt;0)*{2,4,8,16,32,64,128,256,512,1024,2048,4096,8192,16384,32768})</f>
        <v/>
      </c>
      <c r="CK36">
        <f>CF216</f>
        <v/>
      </c>
      <c r="CL36">
        <f>SUMPRODUCT(MOD(INT(((CJ36+CK36))/{2,4,8,16,32,64,128,256,512,1024,2048,4096,8192,16384,32768}),2))</f>
        <v/>
      </c>
      <c r="CM36">
        <f>IF(CH36&lt;2,-9999,CL36+2*MOD(INT(((CJ36+CK36))/2),2)+2*MOD(INT(((CJ36+CK36))/4),2)-CI36)</f>
        <v/>
      </c>
      <c r="DA36" t="n">
        <v>32</v>
      </c>
      <c r="DB36">
        <f>IF($B$37=0,"",IFERROR(TRIM(SUBSTITUTE(SUBSTITUTE(SUBSTITUTE(SUBSTITUTE(INDEX(PASTE_ALL,32,$B$37)," "," "),CHAR(9)," "),CHAR(10)," "),CHAR(13)," ")),""))</f>
        <v/>
      </c>
      <c r="DC36">
        <f>IF(AND(32&gt;HEADER_ROW,UPPER(DB36)="LEGEND"),1,0)</f>
        <v/>
      </c>
      <c r="DE36" t="n">
        <v>32</v>
      </c>
      <c r="DF36">
        <f>HEADER_ROW+$DE36</f>
        <v/>
      </c>
      <c r="DG36">
        <f>IF(AND($DF36&lt;=1000,$DF36&lt;$B$8),1,0)</f>
        <v/>
      </c>
      <c r="DH36">
        <f>IF($DG36=1,IFERROR(INDEX($DB$5:$DB$1004,$DF36),""),"")</f>
        <v/>
      </c>
      <c r="DI36">
        <f>IF(AND($DG36=1,$DH36&lt;&gt;""),IFERROR(SUBSTITUTE(SUBSTITUTE(TRIM(SUBSTITUTE(SUBSTITUTE(SUBSTITUTE(SUBSTITUTE(IFERROR(INDEX(PASTE_ALL,$DF36,1)&amp;"","")&amp;"␟"&amp;IFERROR(INDEX(PASTE_ALL,$DF36,2)&amp;"","")&amp;"␟"&amp;IFERROR(INDEX(PASTE_ALL,$DF36,3)&amp;"","")&amp;"␟"&amp;IFERROR(INDEX(PASTE_ALL,$DF36,4)&amp;"","")&amp;"␟"&amp;IFERROR(INDEX(PASTE_ALL,$DF36,5)&amp;"","")&amp;"␟"&amp;IFERROR(INDEX(PASTE_ALL,$DF36,6)&amp;"","")&amp;"␟"&amp;IFERROR(INDEX(PASTE_ALL,$DF36,7)&amp;"","")&amp;"␟"&amp;IFERROR(INDEX(PASTE_ALL,$DF36,8)&amp;"","")&amp;"␟"&amp;IFERROR(INDEX(PASTE_ALL,$DF36,9)&amp;"","")&amp;"␟"&amp;IFERROR(INDEX(PASTE_ALL,$DF36,10)&amp;"","")&amp;"␟"&amp;IFERROR(INDEX(PASTE_ALL,$DF36,11)&amp;"","")&amp;"␟"&amp;IFERROR(INDEX(PASTE_ALL,$DF36,12)&amp;"","")&amp;"␟"&amp;IFERROR(INDEX(PASTE_ALL,$DF36,13)&amp;"","")&amp;"␟"&amp;IFERROR(INDEX(PASTE_ALL,$DF36,14)&amp;"","")&amp;"␟"&amp;IFERROR(INDEX(PASTE_ALL,$DF36,15)&amp;"","")&amp;"␟"&amp;IFERROR(INDEX(PASTE_ALL,$DF36,16)&amp;"","")&amp;"␟"&amp;IFERROR(INDEX(PASTE_ALL,$DF36,17)&amp;"","")&amp;"␟"&amp;IFERROR(INDEX(PASTE_ALL,$DF36,18)&amp;"","")&amp;"␟"&amp;IFERROR(INDEX(PASTE_ALL,$DF36,19)&amp;"","")&amp;"␟"&amp;IFERROR(INDEX(PASTE_ALL,$DF36,20)&amp;"","")&amp;"␟"&amp;IFERROR(INDEX(PASTE_ALL,$DF36,21)&amp;"","")&amp;"␟"&amp;IFERROR(INDEX(PASTE_ALL,$DF36,22)&amp;"","")&amp;"␟"&amp;IFERROR(INDEX(PASTE_ALL,$DF36,23)&amp;"","")&amp;"␟"&amp;IFERROR(INDEX(PASTE_ALL,$DF36,24)&amp;"","")&amp;"␟"&amp;IFERROR(INDEX(PASTE_ALL,$DF36,25)&amp;"","")&amp;"␟"&amp;IFERROR(INDEX(PASTE_ALL,$DF36,26)&amp;"","")&amp;"␟"&amp;IFERROR(INDEX(PASTE_ALL,$DF36,27)&amp;"","")&amp;"␟"&amp;IFERROR(INDEX(PASTE_ALL,$DF36,28)&amp;"","")&amp;"␟"&amp;IFERROR(INDEX(PASTE_ALL,$DF36,29)&amp;"","")&amp;"␟"&amp;IFERROR(INDEX(PASTE_ALL,$DF36,30)&amp;"","")&amp;"␟"&amp;IFERROR(INDEX(PASTE_ALL,$DF36,31)&amp;"","")&amp;"␟"&amp;IFERROR(INDEX(PASTE_ALL,$DF36,32)&amp;"","")&amp;"␟"&amp;IFERROR(INDEX(PASTE_ALL,$DF36,33)&amp;"","")&amp;"␟"&amp;IFERROR(INDEX(PASTE_ALL,$DF36,34)&amp;"","")&amp;"␟"&amp;IFERROR(INDEX(PASTE_ALL,$DF36,35)&amp;"","")&amp;"␟"&amp;IFERROR(INDEX(PASTE_ALL,$DF36,36)&amp;"","")&amp;"␟"&amp;IFERROR(INDEX(PASTE_ALL,$DF36,37)&amp;"","")&amp;"␟"&amp;IFERROR(INDEX(PASTE_ALL,$DF36,38)&amp;"","")&amp;"␟"&amp;IFERROR(INDEX(PASTE_ALL,$DF36,39)&amp;"","")&amp;"␟"&amp;IFERROR(INDEX(PASTE_ALL,$DF36,40)&amp;"","")&amp;"␟"&amp;IFERROR(INDEX(PASTE_ALL,$DF36,41)&amp;"","")&amp;"␟"&amp;IFERROR(INDEX(PASTE_ALL,$DF36,42)&amp;"","")&amp;"␟"&amp;IFERROR(INDEX(PASTE_ALL,$DF36,43)&amp;"","")&amp;"␟"&amp;IFERROR(INDEX(PASTE_ALL,$DF36,44)&amp;"","")&amp;"␟"&amp;IFERROR(INDEX(PASTE_ALL,$DF36,45)&amp;"","")&amp;"␟"&amp;IFERROR(INDEX(PASTE_ALL,$DF36,46)&amp;"","")&amp;"␟"&amp;IFERROR(INDEX(PASTE_ALL,$DF36,47)&amp;"","")&amp;"␟"&amp;IFERROR(INDEX(PASTE_ALL,$DF36,48)&amp;"","")&amp;"␟"&amp;IFERROR(INDEX(PASTE_ALL,$DF36,49)&amp;"","")&amp;"␟"&amp;IFERROR(INDEX(PASTE_ALL,$DF36,50)&amp;"","")&amp;"␟"&amp;IFERROR(INDEX(PASTE_ALL,$DF36,51)&amp;"","")&amp;"␟"&amp;IFERROR(INDEX(PASTE_ALL,$DF36,52)&amp;"","")&amp;"␟"&amp;IFERROR(INDEX(PASTE_ALL,$DF36,53)&amp;"","")&amp;"␟"&amp;IFERROR(INDEX(PASTE_ALL,$DF36,54)&amp;"","")&amp;"␟"&amp;IFERROR(INDEX(PASTE_ALL,$DF36,55)&amp;"","")&amp;"␟"&amp;IFERROR(INDEX(PASTE_ALL,$DF36,56)&amp;"","")&amp;"␟"&amp;IFERROR(INDEX(PASTE_ALL,$DF36,57)&amp;"","")&amp;"␟"&amp;IFERROR(INDEX(PASTE_ALL,$DF36,58)&amp;"","")&amp;"␟"&amp;IFERROR(INDEX(PASTE_ALL,$DF36,59)&amp;"","")&amp;"␟"&amp;IFERROR(INDEX(PASTE_ALL,$DF36,60)&amp;"","")," "," "),CHAR(9)," "),CHAR(10)," "),CHAR(13)," "))," ␟","␟"),"␟ ","␟"),"#"&amp;$DE36),"")</f>
        <v/>
      </c>
      <c r="DJ36">
        <f>IF($DI36="",0,IF(SUMPRODUCT(--EXACT($DI$4:DI35,$DI36))&gt;0,1,0))</f>
        <v/>
      </c>
      <c r="DK36">
        <f>IF(AND($DI36&lt;&gt;"",$DJ36=0),1,0)</f>
        <v/>
      </c>
      <c r="DL36">
        <f>DL35+$DK36</f>
        <v/>
      </c>
      <c r="DM36">
        <f>IF(AND($DK36=1,$DL36&lt;=600),1,0)</f>
        <v/>
      </c>
      <c r="DN36">
        <f>IF($DM36=0,"",IF($L$6=0,"",IFERROR(IF(ISNUMBER(INDEX(PASTE_ALL,$DF36,$L$6)),INDEX(PASTE_ALL,$DF36,$L$6),TRIM(SUBSTITUTE(SUBSTITUTE(SUBSTITUTE(SUBSTITUTE(INDEX(PASTE_ALL,$DF36,$L$6)," "," "),CHAR(9)," "),CHAR(10)," "),CHAR(13)," "))),"")))</f>
        <v/>
      </c>
      <c r="DO36">
        <f>IF($DM36=0,"",IF($L$7=0,"",IFERROR(IF(ISNUMBER(INDEX(PASTE_ALL,$DF36,$L$7)),INDEX(PASTE_ALL,$DF36,$L$7),TRIM(SUBSTITUTE(SUBSTITUTE(SUBSTITUTE(SUBSTITUTE(INDEX(PASTE_ALL,$DF36,$L$7)," "," "),CHAR(9)," "),CHAR(10)," "),CHAR(13)," "))),"")))</f>
        <v/>
      </c>
      <c r="DP36">
        <f>IF($DM36=0,"",IF($L$8=0,"",IFERROR(IF(ISNUMBER(INDEX(PASTE_ALL,$DF36,$L$8)),INDEX(PASTE_ALL,$DF36,$L$8),TRIM(SUBSTITUTE(SUBSTITUTE(SUBSTITUTE(SUBSTITUTE(INDEX(PASTE_ALL,$DF36,$L$8)," "," "),CHAR(9)," "),CHAR(10)," "),CHAR(13)," "))),"")))</f>
        <v/>
      </c>
      <c r="DQ36">
        <f>IF($DM36=0,"",IF($L$9=0,"",IFERROR(IF(ISNUMBER(INDEX(PASTE_ALL,$DF36,$L$9)),INDEX(PASTE_ALL,$DF36,$L$9),TRIM(SUBSTITUTE(SUBSTITUTE(SUBSTITUTE(SUBSTITUTE(INDEX(PASTE_ALL,$DF36,$L$9)," "," "),CHAR(9)," "),CHAR(10)," "),CHAR(13)," "))),"")))</f>
        <v/>
      </c>
      <c r="DR36">
        <f>IF($DM36=0,"",IF($L$10=0,"",IFERROR(IF(ISNUMBER(INDEX(PASTE_ALL,$DF36,$L$10)),INDEX(PASTE_ALL,$DF36,$L$10),TRIM(SUBSTITUTE(SUBSTITUTE(SUBSTITUTE(SUBSTITUTE(INDEX(PASTE_ALL,$DF36,$L$10)," "," "),CHAR(9)," "),CHAR(10)," "),CHAR(13)," "))),"")))</f>
        <v/>
      </c>
      <c r="DS36">
        <f>IF($DM36=0,"",IF($L$11=0,"",IFERROR(IF(ISNUMBER(INDEX(PASTE_ALL,$DF36,$L$11)),INDEX(PASTE_ALL,$DF36,$L$11),TRIM(SUBSTITUTE(SUBSTITUTE(SUBSTITUTE(SUBSTITUTE(INDEX(PASTE_ALL,$DF36,$L$11)," "," "),CHAR(9)," "),CHAR(10)," "),CHAR(13)," "))),"")))</f>
        <v/>
      </c>
      <c r="DT36">
        <f>IF($DM36=0,"",IF($L$12=0,"",IFERROR(IF(ISNUMBER(INDEX(PASTE_ALL,$DF36,$L$12)),INDEX(PASTE_ALL,$DF36,$L$12),TRIM(SUBSTITUTE(SUBSTITUTE(SUBSTITUTE(SUBSTITUTE(INDEX(PASTE_ALL,$DF36,$L$12)," "," "),CHAR(9)," "),CHAR(10)," "),CHAR(13)," "))),"")))</f>
        <v/>
      </c>
      <c r="DU36">
        <f>IF($DM36=0,"",IF($L$13=0,"",IFERROR(IF(ISNUMBER(INDEX(PASTE_ALL,$DF36,$L$13)),INDEX(PASTE_ALL,$DF36,$L$13),TRIM(SUBSTITUTE(SUBSTITUTE(SUBSTITUTE(SUBSTITUTE(INDEX(PASTE_ALL,$DF36,$L$13)," "," "),CHAR(9)," "),CHAR(10)," "),CHAR(13)," "))),"")))</f>
        <v/>
      </c>
      <c r="DV36">
        <f>IF($DM36=0,"",IF($L$14=0,"",IFERROR(IF(ISNUMBER(INDEX(PASTE_ALL,$DF36,$L$14)),INDEX(PASTE_ALL,$DF36,$L$14),TRIM(SUBSTITUTE(SUBSTITUTE(SUBSTITUTE(SUBSTITUTE(INDEX(PASTE_ALL,$DF36,$L$14)," "," "),CHAR(9)," "),CHAR(10)," "),CHAR(13)," "))),"")))</f>
        <v/>
      </c>
      <c r="DW36">
        <f>IF($DM36=0,"",IF($L$15=0,"",IFERROR(IF(ISNUMBER(INDEX(PASTE_ALL,$DF36,$L$15)),INDEX(PASTE_ALL,$DF36,$L$15),IF(SUMPRODUCT(--ISNUMBER(FIND({"A","B","C","D","E","F","G","H","I","J","K","L","M","N","O","P","Q","R","S","T","U","V","W","X","Y","Z","0","1","2","3","4","5","6","7","8","9"},UPPER(TRIM(SUBSTITUTE(SUBSTITUTE(SUBSTITUTE(SUBSTITUTE(INDEX(PASTE_ALL,$DF36,$L$15)," "," "),CHAR(9)," "),CHAR(10)," "),CHAR(13)," "))))))&gt;0,TRIM(SUBSTITUTE(SUBSTITUTE(SUBSTITUTE(SUBSTITUTE(INDEX(PASTE_ALL,$DF36,$L$15)," "," "),CHAR(9)," "),CHAR(10)," "),CHAR(13)," ")),"")),"")))</f>
        <v/>
      </c>
      <c r="DX36">
        <f>IF($DM36=0,"",IF($L$16=0,"",IFERROR(IF(ISNUMBER(INDEX(PASTE_ALL,$DF36,$L$16)),INDEX(PASTE_ALL,$DF36,$L$16),SUBSTITUTE(SUBSTITUTE(TRIM(SUBSTITUTE(SUBSTITUTE(SUBSTITUTE(SUBSTITUTE(INDEX(PASTE_ALL,$DF36,$L$16)," "," "),CHAR(9)," "),CHAR(10)," "),CHAR(13)," ")),",",""),"%","")),"")))</f>
        <v/>
      </c>
      <c r="DY36">
        <f>IF($DM36=0,"",IFERROR(IF(ISNUMBER($DX36),$DX36,IF($DX36="","",IF(TRIM($DX36)="",0,IF(AND(AND(SUBSTITUTE(SUBSTITUTE(SUBSTITUTE(SUBSTITUTE(SUBSTITUTE(SUBSTITUTE(SUBSTITUTE(SUBSTITUTE(SUBSTITUTE(SUBSTITUTE(SUBSTITUTE(SUBSTITUTE(SUBSTITUTE(SUBSTITUTE(UPPER(TRIM($DX36)),"0",""),"1",""),"2",""),"3",""),"4",""),"5",""),"6",""),"7",""),"8",""),"9",""),".",""),"+",""),"-",""),"E","")="",LEN(SUBSTITUTE(SUBSTITUTE(MID(UPPER(TRIM($DX36)),1+OR(LEFT(UPPER(TRIM($DX36)),1)="+",LEFT(UPPER(TRIM($DX36)),1)="-"),999),"E+","E"),"E-","E"))=LEN(SUBSTITUTE(SUBSTITUTE(SUBSTITUTE(SUBSTITUTE(MID(UPPER(TRIM($DX36)),1+OR(LEFT(UPPER(TRIM($DX36)),1)="+",LEFT(UPPER(TRIM($DX36)),1)="-"),999),"E+","E"),"E-","E"),"+",""),"-","")),LEN(UPPER(TRIM($DX36)))-LEN(SUBSTITUTE(UPPER(TRIM($DX36)),"E",""))&lt;2,LEN(UPPER(TRIM($DX36)))-LEN(SUBSTITUTE(UPPER(TRIM($DX36)),".",""))&lt;2,IFERROR(FIND(".",UPPER(TRIM($DX36))),0)&lt;IFERROR(FIND("E",UPPER(TRIM($DX36))),999)),ISNUMBER(VALUE(TRIM($DX36)))),VALUE(TRIM($DX36)),"")))),""))</f>
        <v/>
      </c>
      <c r="DZ36">
        <f>IF($DM36=0,"",IF($L$17=0,"",IFERROR(IF(ISNUMBER(INDEX(PASTE_ALL,$DF36,$L$17)),INDEX(PASTE_ALL,$DF36,$L$17),SUBSTITUTE(SUBSTITUTE(TRIM(SUBSTITUTE(SUBSTITUTE(SUBSTITUTE(SUBSTITUTE(INDEX(PASTE_ALL,$DF36,$L$17)," "," "),CHAR(9)," "),CHAR(10)," "),CHAR(13)," ")),",",""),"%","")),"")))</f>
        <v/>
      </c>
      <c r="EA36">
        <f>IF($DM36=0,"",IFERROR(IF(ISNUMBER($DZ36),$DZ36,IF($DZ36="","",IF(TRIM($DZ36)="",0,IF(AND(AND(SUBSTITUTE(SUBSTITUTE(SUBSTITUTE(SUBSTITUTE(SUBSTITUTE(SUBSTITUTE(SUBSTITUTE(SUBSTITUTE(SUBSTITUTE(SUBSTITUTE(SUBSTITUTE(SUBSTITUTE(SUBSTITUTE(SUBSTITUTE(UPPER(TRIM($DZ36)),"0",""),"1",""),"2",""),"3",""),"4",""),"5",""),"6",""),"7",""),"8",""),"9",""),".",""),"+",""),"-",""),"E","")="",LEN(SUBSTITUTE(SUBSTITUTE(MID(UPPER(TRIM($DZ36)),1+OR(LEFT(UPPER(TRIM($DZ36)),1)="+",LEFT(UPPER(TRIM($DZ36)),1)="-"),999),"E+","E"),"E-","E"))=LEN(SUBSTITUTE(SUBSTITUTE(SUBSTITUTE(SUBSTITUTE(MID(UPPER(TRIM($DZ36)),1+OR(LEFT(UPPER(TRIM($DZ36)),1)="+",LEFT(UPPER(TRIM($DZ36)),1)="-"),999),"E+","E"),"E-","E"),"+",""),"-","")),LEN(UPPER(TRIM($DZ36)))-LEN(SUBSTITUTE(UPPER(TRIM($DZ36)),"E",""))&lt;2,LEN(UPPER(TRIM($DZ36)))-LEN(SUBSTITUTE(UPPER(TRIM($DZ36)),".",""))&lt;2,IFERROR(FIND(".",UPPER(TRIM($DZ36))),0)&lt;IFERROR(FIND("E",UPPER(TRIM($DZ36))),999)),ISNUMBER(VALUE(TRIM($DZ36)))),VALUE(TRIM($DZ36)),"")))),""))</f>
        <v/>
      </c>
      <c r="EB36">
        <f>IF($DM36=0,"",IF($L$18=0,"",IFERROR(IF(UPPER(TRIM(SUBSTITUTE(SUBSTITUTE(SUBSTITUTE(SUBSTITUTE(INDEX(PASTE_ALL,$DF36,$L$18)," "," "),CHAR(9)," "),CHAR(10)," "),CHAR(13)," ")))="READY","Ready",IF(UPPER(TRIM(SUBSTITUTE(SUBSTITUTE(SUBSTITUTE(SUBSTITUTE(INDEX(PASTE_ALL,$DF36,$L$18)," "," "),CHAR(9)," "),CHAR(10)," "),CHAR(13)," ")))="PM","PM",IF(OR(UPPER(TRIM(SUBSTITUTE(SUBSTITUTE(SUBSTITUTE(SUBSTITUTE(INDEX(PASTE_ALL,$DF36,$L$18)," "," "),CHAR(9)," "),CHAR(10)," "),CHAR(13)," ")))="OT",UPPER(TRIM(SUBSTITUTE(SUBSTITUTE(SUBSTITUTE(SUBSTITUTE(INDEX(PASTE_ALL,$DF36,$L$18)," "," "),CHAR(9)," "),CHAR(10)," "),CHAR(13)," ")))="OVERTIME",UPPER(TRIM(SUBSTITUTE(SUBSTITUTE(SUBSTITUTE(SUBSTITUTE(INDEX(PASTE_ALL,$DF36,$L$18)," "," "),CHAR(9)," "),CHAR(10)," "),CHAR(13)," ")))="TRIAL"),"OT",TRIM(SUBSTITUTE(SUBSTITUTE(SUBSTITUTE(SUBSTITUTE(INDEX(PASTE_ALL,$DF36,$L$18)," "," "),CHAR(9)," "),CHAR(10)," "),CHAR(13)," "))))),"")))</f>
        <v/>
      </c>
      <c r="EC36">
        <f>IF($DM36=0,"",IF($L$19=0,"",IFERROR(IF(ISNUMBER(INDEX(PASTE_ALL,$DF36,$L$19)),INDEX(PASTE_ALL,$DF36,$L$19),TRIM(SUBSTITUTE(SUBSTITUTE(SUBSTITUTE(SUBSTITUTE(INDEX(PASTE_ALL,$DF36,$L$19)," "," "),CHAR(9)," "),CHAR(10)," "),CHAR(13)," "))),"")))</f>
        <v/>
      </c>
      <c r="ED36">
        <f>IF($DM36=0,"",MATCH(1,INDEX(EXACT($DH$5:DH36,$DH36)*$DM$5:DM36,0),0))</f>
        <v/>
      </c>
      <c r="EE36">
        <f>IF($DM36=0,0,IF($ED36=$DE36,1,0))</f>
        <v/>
      </c>
      <c r="EF36">
        <f>EF35+$EE36</f>
        <v/>
      </c>
      <c r="EG36">
        <f>IF($DM36=0,"",INDEX($EF$5:$EF$1003,$ED36))</f>
        <v/>
      </c>
      <c r="EH36">
        <f>IF($DM36=0,"",IF($DO36&lt;&gt;"","",IFERROR(LOOKUP(2,1/(($EG$4:EG35=$EG36)*($DO$4:DO35&lt;&gt;"")),$DO$4:DO35),"")))</f>
        <v/>
      </c>
      <c r="EI36">
        <f>IF($DM36=0,"",IF($DO36&lt;&gt;"",$DO36,$EH36))</f>
        <v/>
      </c>
      <c r="EJ36">
        <f>IF($DM36=0,"",IF($EI36="",0,IF(OR(ISNUMBER($EI36),AND(AND(SUBSTITUTE(SUBSTITUTE(SUBSTITUTE(SUBSTITUTE(SUBSTITUTE(SUBSTITUTE(SUBSTITUTE(SUBSTITUTE(SUBSTITUTE(SUBSTITUTE(SUBSTITUTE(SUBSTITUTE(SUBSTITUTE(SUBSTITUTE(UPPER($EI36),"0",""),"1",""),"2",""),"3",""),"4",""),"5",""),"6",""),"7",""),"8",""),"9",""),".",""),"+",""),"-",""),"E","")="",LEN(SUBSTITUTE(SUBSTITUTE(MID(UPPER($EI36),1+OR(LEFT(UPPER($EI36),1)="+",LEFT(UPPER($EI36),1)="-"),999),"E+","E"),"E-","E"))=LEN(SUBSTITUTE(SUBSTITUTE(SUBSTITUTE(SUBSTITUTE(MID(UPPER($EI36),1+OR(LEFT(UPPER($EI36),1)="+",LEFT(UPPER($EI36),1)="-"),999),"E+","E"),"E-","E"),"+",""),"-","")),LEN(UPPER($EI36))-LEN(SUBSTITUTE(UPPER($EI36),"E",""))&lt;2,LEN(UPPER($EI36))-LEN(SUBSTITUTE(UPPER($EI36),".",""))&lt;2,IFERROR(FIND(".",UPPER($EI36)),0)&lt;IFERROR(FIND("E",UPPER($EI36)),999)),ISNUMBER(VALUE($EI36)))),1,2)))</f>
        <v/>
      </c>
      <c r="EK36">
        <f>IF($DM36=0,"",IF($EJ36=1,IF(ISNUMBER($EI36),$EI36,VALUE($EI36)),IF($EJ36=2,$DE36,0)))</f>
        <v/>
      </c>
      <c r="EL36">
        <f>IF($DM36=0,"",COUNTIF($EG$5:$EG$1003,"&lt;"&amp;$EG36)+SUMPRODUCT(($EG$5:$EG$1003=$EG36)*(($EJ$5:$EJ$1003&lt;$EJ36)+($EJ$5:$EJ$1003=$EJ36)*(($EK$5:$EK$1003&lt;$EK36)+($EK$5:$EK$1003=$EK36)*($DE$5:$DE$1003&lt;$DE36))))+1)</f>
        <v/>
      </c>
      <c r="EM36">
        <f>IF($DM36=0,"",$EL36+$EG36-1)</f>
        <v/>
      </c>
      <c r="EN36">
        <f>IF($DM36=0,0,IFERROR(MATCH(1,INDEX(--(TRIM(SUBSTITUTE(SUBSTITUTE(SUBSTITUTE(SUBSTITUTE(LINES_NAME&amp;""," "," "),CHAR(9)," "),CHAR(10)," "),CHAR(13)," "))=$DH36),0),0),0))</f>
        <v/>
      </c>
      <c r="EO36">
        <f>IF($EN36=0,0,IF(OR(UPPER(TRIM(INDEX(LINES_SCHEDULED,$EN36)&amp;""))="YES",UPPER(TRIM(INDEX(LINES_SCHEDULED,$EN36)&amp;""))="Y",UPPER(TRIM(INDEX(LINES_SCHEDULED,$EN36)&amp;""))="X"),1,0))</f>
        <v/>
      </c>
      <c r="EP36">
        <f>IF($DM36=0,"",IF(COUNTIFS($EG$5:$EG$1003,$EG36,$EB$5:$EB$1003,"Ready")&gt;0,"READY",IF(COUNTIFS($EG$5:$EG$1003,$EG36,$EB$5:$EB$1003,"PM")&gt;0,"PM",IF(COUNTIFS($EG$5:$EG$1003,$EG36,$EB$5:$EB$1003,"OT")&gt;0,"OT",""))))</f>
        <v/>
      </c>
      <c r="EQ36">
        <f>IF($EN36=0,"",UPPER(TRIM(INDEX(LINES_STATUS,$EN36)&amp;"")))</f>
        <v/>
      </c>
      <c r="ER36">
        <f>IF($DM36=0,"",IF(OR($EQ36="READY",$EQ36="PM",$EQ36="OT"),$EQ36,$EP36))</f>
        <v/>
      </c>
      <c r="ES36">
        <f>IF($DM36=0,"",IF(AND($DV36&lt;&gt;"",UPPER($DV36)&lt;&gt;"N"),"allergen",IF(ISNUMBER(SEARCH("oil",$DQ36)),"oil",IF(OR(EXACT($DS36,"A662"),EXACT($DS36,"A624")),"bulk",""))))</f>
        <v/>
      </c>
      <c r="ET36">
        <f>IF($DM36=0,"",IF(OR($EA36="",$EA36=0),"",$EA36/100))</f>
        <v/>
      </c>
      <c r="EU36">
        <f>IF(OR($ET36="",$DY36=""),"",INT($DY36*(1-$ET36)+0.5))</f>
        <v/>
      </c>
      <c r="EW36" t="n">
        <v>32</v>
      </c>
      <c r="EX36">
        <f>IFERROR(MATCH($EW36,$EM$5:$EM$1003,0),0)</f>
        <v/>
      </c>
      <c r="EY36">
        <f>IF($EW36&gt;$B$12,"",IF($EX36&gt;0,"row","spacer"))</f>
        <v/>
      </c>
      <c r="EZ36">
        <f>IF(AND($EY36="row",$EY35&lt;&gt;"row"),1,0)</f>
        <v/>
      </c>
      <c r="FA36">
        <f>IF(AND($EY36="row",$EY37&lt;&gt;"row"),1,0)</f>
        <v/>
      </c>
      <c r="FB36">
        <f>IF($EZ36=1,IFERROR(IF(ISNUMBER(INDEX(PASTE_ALL,INDEX($DF$5:$DF$1003,$EX36),$B$37)),INDEX(PASTE_ALL,INDEX($DF$5:$DF$1003,$EX36),$B$37),INDEX($DH$5:$DH$1003,$EX36)),INDEX($DH$5:$DH$1003,$EX36)),"")</f>
        <v/>
      </c>
      <c r="FC36">
        <f>IF($EY36="row",INDEX($ER$5:$ER$1003,$EX36),"")</f>
        <v/>
      </c>
      <c r="FD36">
        <f>IF($EY36="row",INDEX($DN$5:$DN$1003,$EX36),"")</f>
        <v/>
      </c>
      <c r="FE36">
        <f>IF($EY36="row",INDEX($DO$5:$DO$1003,$EX36),"")</f>
        <v/>
      </c>
      <c r="FF36">
        <f>IF($EY36="row",INDEX($DP$5:$DP$1003,$EX36),"")</f>
        <v/>
      </c>
      <c r="FG36">
        <f>IF($EY36="row",INDEX($DQ$5:$DQ$1003,$EX36),"")</f>
        <v/>
      </c>
      <c r="FH36">
        <f>IF($EY36="row",INDEX($DR$5:$DR$1003,$EX36),"")</f>
        <v/>
      </c>
      <c r="FI36">
        <f>IF($EY36="row",INDEX($DS$5:$DS$1003,$EX36),"")</f>
        <v/>
      </c>
      <c r="FJ36">
        <f>IF($EY36="row",INDEX($DT$5:$DT$1003,$EX36),"")</f>
        <v/>
      </c>
      <c r="FK36">
        <f>IF($EY36="row",INDEX($DU$5:$DU$1003,$EX36),"")</f>
        <v/>
      </c>
      <c r="FL36">
        <f>IF($EY36="row",INDEX($DV$5:$DV$1003,$EX36),"")</f>
        <v/>
      </c>
      <c r="FM36">
        <f>IF($EY36="row",INDEX($DW$5:$DW$1003,$EX36),"")</f>
        <v/>
      </c>
      <c r="FN36">
        <f>IF($EY36="row",INDEX($DY$5:$DY$1003,$EX36),"")</f>
        <v/>
      </c>
      <c r="FO36">
        <f>IF($EY36="row",INDEX($EA$5:$EA$1003,$EX36),"")</f>
        <v/>
      </c>
      <c r="FP36">
        <f>IF($EY36="row",INDEX($EC$5:$EC$1003,$EX36),"")</f>
        <v/>
      </c>
      <c r="FQ36">
        <f>IF($EY36="row",INDEX($ET$5:$ET$1003,$EX36),"")</f>
        <v/>
      </c>
      <c r="FR36">
        <f>IF($EY36="row",INDEX($EU$5:$EU$1003,$EX36),"")</f>
        <v/>
      </c>
      <c r="FS36">
        <f>IF(AND($EY36="row",$EY35="row"),IF(OR(INDEX($DT$5:$DT$1003,$EX35)="",INDEX($DT$5:$DT$1003,$EX36)=""),"",IF(NOT(EXACT(INDEX($DT$5:$DT$1003,$EX35),INDEX($DT$5:$DT$1003,$EX36))),"S4",IF(NOT(EXACT(INDEX($DS$5:$DS$1003,$EX35),INDEX($DS$5:$DS$1003,$EX36))),"S3",IF(NOT(EXACT(INDEX($DR$5:$DR$1003,$EX35),INDEX($DR$5:$DR$1003,$EX36))),"S1 Count Change","S1")))),"")</f>
        <v/>
      </c>
      <c r="FT36">
        <f>IF($EY36="row",INDEX($ES$5:$ES$1003,$EX36),"")</f>
        <v/>
      </c>
      <c r="FU36">
        <f>IF($EY36="row",INDEX($EO$5:$EO$1003,$EX36),0)</f>
        <v/>
      </c>
      <c r="FV36">
        <f>IF($FS36="S1 Count Change",1,0)</f>
        <v/>
      </c>
      <c r="FX36" t="n">
        <v>32</v>
      </c>
      <c r="FY36">
        <f>IFERROR(MATCH($FX36,$EF$5:$EF$1003,0),0)</f>
        <v/>
      </c>
      <c r="FZ36">
        <f>IF($FY36=0,"",INDEX($DH$5:$DH$1003,$FY36))</f>
        <v/>
      </c>
      <c r="GA36">
        <f>IF($FY36=0,"",COUNTIF($EG$5:$EG$1003,$FX36))</f>
        <v/>
      </c>
      <c r="GB36">
        <f>IF($FY36=0,"",INDEX($ER$5:$ER$1003,$FY36))</f>
        <v/>
      </c>
      <c r="GC36">
        <f>IF($FY36=0,"",IF(INDEX($EO$5:$EO$1003,$FY36)=1,"Yes",""))</f>
        <v/>
      </c>
      <c r="GD36">
        <f>IF($FY36=0,"",IF(INDEX($EN$5:$EN$1003,$FY36)&gt;0,"","NOT IN YOUR LIST - type it in column A to tick it"))</f>
        <v/>
      </c>
      <c r="GE36">
        <f>IF(AND($FY36&gt;0,$GD36&lt;&gt;""),1,0)</f>
        <v/>
      </c>
      <c r="GF36">
        <f>GF35+$GE36</f>
        <v/>
      </c>
      <c r="GG36">
        <f>IFERROR(INDEX($FZ$5:$FZ$104,MATCH($FX36,$GF$5:$GF$104,0)),"")</f>
        <v/>
      </c>
    </row>
    <row r="37">
      <c r="A37" t="inlineStr">
        <is>
          <t>Line column used</t>
        </is>
      </c>
      <c r="B37">
        <f>$L$5</f>
        <v/>
      </c>
      <c r="S37" t="n">
        <v>33</v>
      </c>
      <c r="T37" t="inlineStr">
        <is>
          <t>AG</t>
        </is>
      </c>
      <c r="V37" t="inlineStr">
        <is>
          <t>PRODUCTDESCRIPTION</t>
        </is>
      </c>
      <c r="W37" t="n">
        <v>5</v>
      </c>
      <c r="Y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 ",""),"!",""),CHAR(34),""),"#",""),"$",""),"%",""),"&amp;",""),"'",""),"(",""),")",""),"*",""),"+",""),",",""),"-",""),".",""),"/",""),":",""),";",""),"&lt;",""),"=",""),"&gt;",""),"?",""),"@",""),"[",""),"\",""),"]",""),"^",""),"_",""),"`",""),"{",""),"|",""),"}",""),"~",""),CHAR(9),""),CHAR(10),""),CHAR(13),"")," ",""),"")</f>
        <v/>
      </c>
      <c r="Z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 ",""),"!",""),CHAR(34),""),"#",""),"$",""),"%",""),"&amp;",""),"'",""),"(",""),")",""),"*",""),"+",""),",",""),"-",""),".",""),"/",""),":",""),";",""),"&lt;",""),"=",""),"&gt;",""),"?",""),"@",""),"[",""),"\",""),"]",""),"^",""),"_",""),"`",""),"{",""),"|",""),"}",""),"~",""),CHAR(9),""),CHAR(10),""),CHAR(13),"")," ",""),"")</f>
        <v/>
      </c>
      <c r="AA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 ",""),"!",""),CHAR(34),""),"#",""),"$",""),"%",""),"&amp;",""),"'",""),"(",""),")",""),"*",""),"+",""),",",""),"-",""),".",""),"/",""),":",""),";",""),"&lt;",""),"=",""),"&gt;",""),"?",""),"@",""),"[",""),"\",""),"]",""),"^",""),"_",""),"`",""),"{",""),"|",""),"}",""),"~",""),CHAR(9),""),CHAR(10),""),CHAR(13),"")," ",""),"")</f>
        <v/>
      </c>
      <c r="AB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 ",""),"!",""),CHAR(34),""),"#",""),"$",""),"%",""),"&amp;",""),"'",""),"(",""),")",""),"*",""),"+",""),",",""),"-",""),".",""),"/",""),":",""),";",""),"&lt;",""),"=",""),"&gt;",""),"?",""),"@",""),"[",""),"\",""),"]",""),"^",""),"_",""),"`",""),"{",""),"|",""),"}",""),"~",""),CHAR(9),""),CHAR(10),""),CHAR(13),"")," ",""),"")</f>
        <v/>
      </c>
      <c r="AC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 ",""),"!",""),CHAR(34),""),"#",""),"$",""),"%",""),"&amp;",""),"'",""),"(",""),")",""),"*",""),"+",""),",",""),"-",""),".",""),"/",""),":",""),";",""),"&lt;",""),"=",""),"&gt;",""),"?",""),"@",""),"[",""),"\",""),"]",""),"^",""),"_",""),"`",""),"{",""),"|",""),"}",""),"~",""),CHAR(9),""),CHAR(10),""),CHAR(13),"")," ",""),"")</f>
        <v/>
      </c>
      <c r="AD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33,6))," ",""),"!",""),CHAR(34),""),"#",""),"$",""),"%",""),"&amp;",""),"'",""),"(",""),")",""),"*",""),"+",""),",",""),"-",""),".",""),"/",""),":",""),";",""),"&lt;",""),"=",""),"&gt;",""),"?",""),"@",""),"[",""),"\",""),"]",""),"^",""),"_",""),"`",""),"{",""),"|",""),"}",""),"~",""),CHAR(9),""),CHAR(10),""),CHAR(13),"")," ",""),"")</f>
        <v/>
      </c>
      <c r="AE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33,7))," ",""),"!",""),CHAR(34),""),"#",""),"$",""),"%",""),"&amp;",""),"'",""),"(",""),")",""),"*",""),"+",""),",",""),"-",""),".",""),"/",""),":",""),";",""),"&lt;",""),"=",""),"&gt;",""),"?",""),"@",""),"[",""),"\",""),"]",""),"^",""),"_",""),"`",""),"{",""),"|",""),"}",""),"~",""),CHAR(9),""),CHAR(10),""),CHAR(13),"")," ",""),"")</f>
        <v/>
      </c>
      <c r="AF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33,8))," ",""),"!",""),CHAR(34),""),"#",""),"$",""),"%",""),"&amp;",""),"'",""),"(",""),")",""),"*",""),"+",""),",",""),"-",""),".",""),"/",""),":",""),";",""),"&lt;",""),"=",""),"&gt;",""),"?",""),"@",""),"[",""),"\",""),"]",""),"^",""),"_",""),"`",""),"{",""),"|",""),"}",""),"~",""),CHAR(9),""),CHAR(10),""),CHAR(13),"")," ",""),"")</f>
        <v/>
      </c>
      <c r="AG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33,9))," ",""),"!",""),CHAR(34),""),"#",""),"$",""),"%",""),"&amp;",""),"'",""),"(",""),")",""),"*",""),"+",""),",",""),"-",""),".",""),"/",""),":",""),";",""),"&lt;",""),"=",""),"&gt;",""),"?",""),"@",""),"[",""),"\",""),"]",""),"^",""),"_",""),"`",""),"{",""),"|",""),"}",""),"~",""),CHAR(9),""),CHAR(10),""),CHAR(13),"")," ",""),"")</f>
        <v/>
      </c>
      <c r="AH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33,10))," ",""),"!",""),CHAR(34),""),"#",""),"$",""),"%",""),"&amp;",""),"'",""),"(",""),")",""),"*",""),"+",""),",",""),"-",""),".",""),"/",""),":",""),";",""),"&lt;",""),"=",""),"&gt;",""),"?",""),"@",""),"[",""),"\",""),"]",""),"^",""),"_",""),"`",""),"{",""),"|",""),"}",""),"~",""),CHAR(9),""),CHAR(10),""),CHAR(13),"")," ",""),"")</f>
        <v/>
      </c>
      <c r="AI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33,11))," ",""),"!",""),CHAR(34),""),"#",""),"$",""),"%",""),"&amp;",""),"'",""),"(",""),")",""),"*",""),"+",""),",",""),"-",""),".",""),"/",""),":",""),";",""),"&lt;",""),"=",""),"&gt;",""),"?",""),"@",""),"[",""),"\",""),"]",""),"^",""),"_",""),"`",""),"{",""),"|",""),"}",""),"~",""),CHAR(9),""),CHAR(10),""),CHAR(13),"")," ",""),"")</f>
        <v/>
      </c>
      <c r="AJ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33,12))," ",""),"!",""),CHAR(34),""),"#",""),"$",""),"%",""),"&amp;",""),"'",""),"(",""),")",""),"*",""),"+",""),",",""),"-",""),".",""),"/",""),":",""),";",""),"&lt;",""),"=",""),"&gt;",""),"?",""),"@",""),"[",""),"\",""),"]",""),"^",""),"_",""),"`",""),"{",""),"|",""),"}",""),"~",""),CHAR(9),""),CHAR(10),""),CHAR(13),"")," ",""),"")</f>
        <v/>
      </c>
      <c r="AK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33,13))," ",""),"!",""),CHAR(34),""),"#",""),"$",""),"%",""),"&amp;",""),"'",""),"(",""),")",""),"*",""),"+",""),",",""),"-",""),".",""),"/",""),":",""),";",""),"&lt;",""),"=",""),"&gt;",""),"?",""),"@",""),"[",""),"\",""),"]",""),"^",""),"_",""),"`",""),"{",""),"|",""),"}",""),"~",""),CHAR(9),""),CHAR(10),""),CHAR(13),"")," ",""),"")</f>
        <v/>
      </c>
      <c r="AL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33,14))," ",""),"!",""),CHAR(34),""),"#",""),"$",""),"%",""),"&amp;",""),"'",""),"(",""),")",""),"*",""),"+",""),",",""),"-",""),".",""),"/",""),":",""),";",""),"&lt;",""),"=",""),"&gt;",""),"?",""),"@",""),"[",""),"\",""),"]",""),"^",""),"_",""),"`",""),"{",""),"|",""),"}",""),"~",""),CHAR(9),""),CHAR(10),""),CHAR(13),"")," ",""),"")</f>
        <v/>
      </c>
      <c r="AM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33,15))," ",""),"!",""),CHAR(34),""),"#",""),"$",""),"%",""),"&amp;",""),"'",""),"(",""),")",""),"*",""),"+",""),",",""),"-",""),".",""),"/",""),":",""),";",""),"&lt;",""),"=",""),"&gt;",""),"?",""),"@",""),"[",""),"\",""),"]",""),"^",""),"_",""),"`",""),"{",""),"|",""),"}",""),"~",""),CHAR(9),""),CHAR(10),""),CHAR(13),"")," ",""),"")</f>
        <v/>
      </c>
      <c r="AN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33,16))," ",""),"!",""),CHAR(34),""),"#",""),"$",""),"%",""),"&amp;",""),"'",""),"(",""),")",""),"*",""),"+",""),",",""),"-",""),".",""),"/",""),":",""),";",""),"&lt;",""),"=",""),"&gt;",""),"?",""),"@",""),"[",""),"\",""),"]",""),"^",""),"_",""),"`",""),"{",""),"|",""),"}",""),"~",""),CHAR(9),""),CHAR(10),""),CHAR(13),"")," ",""),"")</f>
        <v/>
      </c>
      <c r="AO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33,17))," ",""),"!",""),CHAR(34),""),"#",""),"$",""),"%",""),"&amp;",""),"'",""),"(",""),")",""),"*",""),"+",""),",",""),"-",""),".",""),"/",""),":",""),";",""),"&lt;",""),"=",""),"&gt;",""),"?",""),"@",""),"[",""),"\",""),"]",""),"^",""),"_",""),"`",""),"{",""),"|",""),"}",""),"~",""),CHAR(9),""),CHAR(10),""),CHAR(13),"")," ",""),"")</f>
        <v/>
      </c>
      <c r="AP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33,18))," ",""),"!",""),CHAR(34),""),"#",""),"$",""),"%",""),"&amp;",""),"'",""),"(",""),")",""),"*",""),"+",""),",",""),"-",""),".",""),"/",""),":",""),";",""),"&lt;",""),"=",""),"&gt;",""),"?",""),"@",""),"[",""),"\",""),"]",""),"^",""),"_",""),"`",""),"{",""),"|",""),"}",""),"~",""),CHAR(9),""),CHAR(10),""),CHAR(13),"")," ",""),"")</f>
        <v/>
      </c>
      <c r="AQ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33,19))," ",""),"!",""),CHAR(34),""),"#",""),"$",""),"%",""),"&amp;",""),"'",""),"(",""),")",""),"*",""),"+",""),",",""),"-",""),".",""),"/",""),":",""),";",""),"&lt;",""),"=",""),"&gt;",""),"?",""),"@",""),"[",""),"\",""),"]",""),"^",""),"_",""),"`",""),"{",""),"|",""),"}",""),"~",""),CHAR(9),""),CHAR(10),""),CHAR(13),"")," ",""),"")</f>
        <v/>
      </c>
      <c r="AR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33,20))," ",""),"!",""),CHAR(34),""),"#",""),"$",""),"%",""),"&amp;",""),"'",""),"(",""),")",""),"*",""),"+",""),",",""),"-",""),".",""),"/",""),":",""),";",""),"&lt;",""),"=",""),"&gt;",""),"?",""),"@",""),"[",""),"\",""),"]",""),"^",""),"_",""),"`",""),"{",""),"|",""),"}",""),"~",""),CHAR(9),""),CHAR(10),""),CHAR(13),"")," ",""),"")</f>
        <v/>
      </c>
      <c r="AS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33,21))," ",""),"!",""),CHAR(34),""),"#",""),"$",""),"%",""),"&amp;",""),"'",""),"(",""),")",""),"*",""),"+",""),",",""),"-",""),".",""),"/",""),":",""),";",""),"&lt;",""),"=",""),"&gt;",""),"?",""),"@",""),"[",""),"\",""),"]",""),"^",""),"_",""),"`",""),"{",""),"|",""),"}",""),"~",""),CHAR(9),""),CHAR(10),""),CHAR(13),"")," ",""),"")</f>
        <v/>
      </c>
      <c r="AT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33,22))," ",""),"!",""),CHAR(34),""),"#",""),"$",""),"%",""),"&amp;",""),"'",""),"(",""),")",""),"*",""),"+",""),",",""),"-",""),".",""),"/",""),":",""),";",""),"&lt;",""),"=",""),"&gt;",""),"?",""),"@",""),"[",""),"\",""),"]",""),"^",""),"_",""),"`",""),"{",""),"|",""),"}",""),"~",""),CHAR(9),""),CHAR(10),""),CHAR(13),"")," ",""),"")</f>
        <v/>
      </c>
      <c r="AU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33,23))," ",""),"!",""),CHAR(34),""),"#",""),"$",""),"%",""),"&amp;",""),"'",""),"(",""),")",""),"*",""),"+",""),",",""),"-",""),".",""),"/",""),":",""),";",""),"&lt;",""),"=",""),"&gt;",""),"?",""),"@",""),"[",""),"\",""),"]",""),"^",""),"_",""),"`",""),"{",""),"|",""),"}",""),"~",""),CHAR(9),""),CHAR(10),""),CHAR(13),"")," ",""),"")</f>
        <v/>
      </c>
      <c r="AV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33,24))," ",""),"!",""),CHAR(34),""),"#",""),"$",""),"%",""),"&amp;",""),"'",""),"(",""),")",""),"*",""),"+",""),",",""),"-",""),".",""),"/",""),":",""),";",""),"&lt;",""),"=",""),"&gt;",""),"?",""),"@",""),"[",""),"\",""),"]",""),"^",""),"_",""),"`",""),"{",""),"|",""),"}",""),"~",""),CHAR(9),""),CHAR(10),""),CHAR(13),"")," ",""),"")</f>
        <v/>
      </c>
      <c r="AW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33,25))," ",""),"!",""),CHAR(34),""),"#",""),"$",""),"%",""),"&amp;",""),"'",""),"(",""),")",""),"*",""),"+",""),",",""),"-",""),".",""),"/",""),":",""),";",""),"&lt;",""),"=",""),"&gt;",""),"?",""),"@",""),"[",""),"\",""),"]",""),"^",""),"_",""),"`",""),"{",""),"|",""),"}",""),"~",""),CHAR(9),""),CHAR(10),""),CHAR(13),"")," ",""),"")</f>
        <v/>
      </c>
      <c r="AX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33,26))," ",""),"!",""),CHAR(34),""),"#",""),"$",""),"%",""),"&amp;",""),"'",""),"(",""),")",""),"*",""),"+",""),",",""),"-",""),".",""),"/",""),":",""),";",""),"&lt;",""),"=",""),"&gt;",""),"?",""),"@",""),"[",""),"\",""),"]",""),"^",""),"_",""),"`",""),"{",""),"|",""),"}",""),"~",""),CHAR(9),""),CHAR(10),""),CHAR(13),"")," ",""),"")</f>
        <v/>
      </c>
      <c r="AY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33,27))," ",""),"!",""),CHAR(34),""),"#",""),"$",""),"%",""),"&amp;",""),"'",""),"(",""),")",""),"*",""),"+",""),",",""),"-",""),".",""),"/",""),":",""),";",""),"&lt;",""),"=",""),"&gt;",""),"?",""),"@",""),"[",""),"\",""),"]",""),"^",""),"_",""),"`",""),"{",""),"|",""),"}",""),"~",""),CHAR(9),""),CHAR(10),""),CHAR(13),"")," ",""),"")</f>
        <v/>
      </c>
      <c r="AZ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33,28))," ",""),"!",""),CHAR(34),""),"#",""),"$",""),"%",""),"&amp;",""),"'",""),"(",""),")",""),"*",""),"+",""),",",""),"-",""),".",""),"/",""),":",""),";",""),"&lt;",""),"=",""),"&gt;",""),"?",""),"@",""),"[",""),"\",""),"]",""),"^",""),"_",""),"`",""),"{",""),"|",""),"}",""),"~",""),CHAR(9),""),CHAR(10),""),CHAR(13),"")," ",""),"")</f>
        <v/>
      </c>
      <c r="BA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33,29))," ",""),"!",""),CHAR(34),""),"#",""),"$",""),"%",""),"&amp;",""),"'",""),"(",""),")",""),"*",""),"+",""),",",""),"-",""),".",""),"/",""),":",""),";",""),"&lt;",""),"=",""),"&gt;",""),"?",""),"@",""),"[",""),"\",""),"]",""),"^",""),"_",""),"`",""),"{",""),"|",""),"}",""),"~",""),CHAR(9),""),CHAR(10),""),CHAR(13),"")," ",""),"")</f>
        <v/>
      </c>
      <c r="BB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33,30))," ",""),"!",""),CHAR(34),""),"#",""),"$",""),"%",""),"&amp;",""),"'",""),"(",""),")",""),"*",""),"+",""),",",""),"-",""),".",""),"/",""),":",""),";",""),"&lt;",""),"=",""),"&gt;",""),"?",""),"@",""),"[",""),"\",""),"]",""),"^",""),"_",""),"`",""),"{",""),"|",""),"}",""),"~",""),CHAR(9),""),CHAR(10),""),CHAR(13),"")," ",""),"")</f>
        <v/>
      </c>
      <c r="BC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33,31))," ",""),"!",""),CHAR(34),""),"#",""),"$",""),"%",""),"&amp;",""),"'",""),"(",""),")",""),"*",""),"+",""),",",""),"-",""),".",""),"/",""),":",""),";",""),"&lt;",""),"=",""),"&gt;",""),"?",""),"@",""),"[",""),"\",""),"]",""),"^",""),"_",""),"`",""),"{",""),"|",""),"}",""),"~",""),CHAR(9),""),CHAR(10),""),CHAR(13),"")," ",""),"")</f>
        <v/>
      </c>
      <c r="BD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33,32))," ",""),"!",""),CHAR(34),""),"#",""),"$",""),"%",""),"&amp;",""),"'",""),"(",""),")",""),"*",""),"+",""),",",""),"-",""),".",""),"/",""),":",""),";",""),"&lt;",""),"=",""),"&gt;",""),"?",""),"@",""),"[",""),"\",""),"]",""),"^",""),"_",""),"`",""),"{",""),"|",""),"}",""),"~",""),CHAR(9),""),CHAR(10),""),CHAR(13),"")," ",""),"")</f>
        <v/>
      </c>
      <c r="BE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33,33))," ",""),"!",""),CHAR(34),""),"#",""),"$",""),"%",""),"&amp;",""),"'",""),"(",""),")",""),"*",""),"+",""),",",""),"-",""),".",""),"/",""),":",""),";",""),"&lt;",""),"=",""),"&gt;",""),"?",""),"@",""),"[",""),"\",""),"]",""),"^",""),"_",""),"`",""),"{",""),"|",""),"}",""),"~",""),CHAR(9),""),CHAR(10),""),CHAR(13),"")," ",""),"")</f>
        <v/>
      </c>
      <c r="BF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33,34))," ",""),"!",""),CHAR(34),""),"#",""),"$",""),"%",""),"&amp;",""),"'",""),"(",""),")",""),"*",""),"+",""),",",""),"-",""),".",""),"/",""),":",""),";",""),"&lt;",""),"=",""),"&gt;",""),"?",""),"@",""),"[",""),"\",""),"]",""),"^",""),"_",""),"`",""),"{",""),"|",""),"}",""),"~",""),CHAR(9),""),CHAR(10),""),CHAR(13),"")," ",""),"")</f>
        <v/>
      </c>
      <c r="BG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33,35))," ",""),"!",""),CHAR(34),""),"#",""),"$",""),"%",""),"&amp;",""),"'",""),"(",""),")",""),"*",""),"+",""),",",""),"-",""),".",""),"/",""),":",""),";",""),"&lt;",""),"=",""),"&gt;",""),"?",""),"@",""),"[",""),"\",""),"]",""),"^",""),"_",""),"`",""),"{",""),"|",""),"}",""),"~",""),CHAR(9),""),CHAR(10),""),CHAR(13),"")," ",""),"")</f>
        <v/>
      </c>
      <c r="BH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33,36))," ",""),"!",""),CHAR(34),""),"#",""),"$",""),"%",""),"&amp;",""),"'",""),"(",""),")",""),"*",""),"+",""),",",""),"-",""),".",""),"/",""),":",""),";",""),"&lt;",""),"=",""),"&gt;",""),"?",""),"@",""),"[",""),"\",""),"]",""),"^",""),"_",""),"`",""),"{",""),"|",""),"}",""),"~",""),CHAR(9),""),CHAR(10),""),CHAR(13),"")," ",""),"")</f>
        <v/>
      </c>
      <c r="BI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33,37))," ",""),"!",""),CHAR(34),""),"#",""),"$",""),"%",""),"&amp;",""),"'",""),"(",""),")",""),"*",""),"+",""),",",""),"-",""),".",""),"/",""),":",""),";",""),"&lt;",""),"=",""),"&gt;",""),"?",""),"@",""),"[",""),"\",""),"]",""),"^",""),"_",""),"`",""),"{",""),"|",""),"}",""),"~",""),CHAR(9),""),CHAR(10),""),CHAR(13),"")," ",""),"")</f>
        <v/>
      </c>
      <c r="BJ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33,38))," ",""),"!",""),CHAR(34),""),"#",""),"$",""),"%",""),"&amp;",""),"'",""),"(",""),")",""),"*",""),"+",""),",",""),"-",""),".",""),"/",""),":",""),";",""),"&lt;",""),"=",""),"&gt;",""),"?",""),"@",""),"[",""),"\",""),"]",""),"^",""),"_",""),"`",""),"{",""),"|",""),"}",""),"~",""),CHAR(9),""),CHAR(10),""),CHAR(13),"")," ",""),"")</f>
        <v/>
      </c>
      <c r="BK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33,39))," ",""),"!",""),CHAR(34),""),"#",""),"$",""),"%",""),"&amp;",""),"'",""),"(",""),")",""),"*",""),"+",""),",",""),"-",""),".",""),"/",""),":",""),";",""),"&lt;",""),"=",""),"&gt;",""),"?",""),"@",""),"[",""),"\",""),"]",""),"^",""),"_",""),"`",""),"{",""),"|",""),"}",""),"~",""),CHAR(9),""),CHAR(10),""),CHAR(13),"")," ",""),"")</f>
        <v/>
      </c>
      <c r="BL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33,40))," ",""),"!",""),CHAR(34),""),"#",""),"$",""),"%",""),"&amp;",""),"'",""),"(",""),")",""),"*",""),"+",""),",",""),"-",""),".",""),"/",""),":",""),";",""),"&lt;",""),"=",""),"&gt;",""),"?",""),"@",""),"[",""),"\",""),"]",""),"^",""),"_",""),"`",""),"{",""),"|",""),"}",""),"~",""),CHAR(9),""),CHAR(10),""),CHAR(13),"")," ",""),"")</f>
        <v/>
      </c>
      <c r="BM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33,41))," ",""),"!",""),CHAR(34),""),"#",""),"$",""),"%",""),"&amp;",""),"'",""),"(",""),")",""),"*",""),"+",""),",",""),"-",""),".",""),"/",""),":",""),";",""),"&lt;",""),"=",""),"&gt;",""),"?",""),"@",""),"[",""),"\",""),"]",""),"^",""),"_",""),"`",""),"{",""),"|",""),"}",""),"~",""),CHAR(9),""),CHAR(10),""),CHAR(13),"")," ",""),"")</f>
        <v/>
      </c>
      <c r="BN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33,42))," ",""),"!",""),CHAR(34),""),"#",""),"$",""),"%",""),"&amp;",""),"'",""),"(",""),")",""),"*",""),"+",""),",",""),"-",""),".",""),"/",""),":",""),";",""),"&lt;",""),"=",""),"&gt;",""),"?",""),"@",""),"[",""),"\",""),"]",""),"^",""),"_",""),"`",""),"{",""),"|",""),"}",""),"~",""),CHAR(9),""),CHAR(10),""),CHAR(13),"")," ",""),"")</f>
        <v/>
      </c>
      <c r="BO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33,43))," ",""),"!",""),CHAR(34),""),"#",""),"$",""),"%",""),"&amp;",""),"'",""),"(",""),")",""),"*",""),"+",""),",",""),"-",""),".",""),"/",""),":",""),";",""),"&lt;",""),"=",""),"&gt;",""),"?",""),"@",""),"[",""),"\",""),"]",""),"^",""),"_",""),"`",""),"{",""),"|",""),"}",""),"~",""),CHAR(9),""),CHAR(10),""),CHAR(13),"")," ",""),"")</f>
        <v/>
      </c>
      <c r="BP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33,44))," ",""),"!",""),CHAR(34),""),"#",""),"$",""),"%",""),"&amp;",""),"'",""),"(",""),")",""),"*",""),"+",""),",",""),"-",""),".",""),"/",""),":",""),";",""),"&lt;",""),"=",""),"&gt;",""),"?",""),"@",""),"[",""),"\",""),"]",""),"^",""),"_",""),"`",""),"{",""),"|",""),"}",""),"~",""),CHAR(9),""),CHAR(10),""),CHAR(13),"")," ",""),"")</f>
        <v/>
      </c>
      <c r="BQ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33,45))," ",""),"!",""),CHAR(34),""),"#",""),"$",""),"%",""),"&amp;",""),"'",""),"(",""),")",""),"*",""),"+",""),",",""),"-",""),".",""),"/",""),":",""),";",""),"&lt;",""),"=",""),"&gt;",""),"?",""),"@",""),"[",""),"\",""),"]",""),"^",""),"_",""),"`",""),"{",""),"|",""),"}",""),"~",""),CHAR(9),""),CHAR(10),""),CHAR(13),"")," ",""),"")</f>
        <v/>
      </c>
      <c r="BR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33,46))," ",""),"!",""),CHAR(34),""),"#",""),"$",""),"%",""),"&amp;",""),"'",""),"(",""),")",""),"*",""),"+",""),",",""),"-",""),".",""),"/",""),":",""),";",""),"&lt;",""),"=",""),"&gt;",""),"?",""),"@",""),"[",""),"\",""),"]",""),"^",""),"_",""),"`",""),"{",""),"|",""),"}",""),"~",""),CHAR(9),""),CHAR(10),""),CHAR(13),"")," ",""),"")</f>
        <v/>
      </c>
      <c r="BS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33,47))," ",""),"!",""),CHAR(34),""),"#",""),"$",""),"%",""),"&amp;",""),"'",""),"(",""),")",""),"*",""),"+",""),",",""),"-",""),".",""),"/",""),":",""),";",""),"&lt;",""),"=",""),"&gt;",""),"?",""),"@",""),"[",""),"\",""),"]",""),"^",""),"_",""),"`",""),"{",""),"|",""),"}",""),"~",""),CHAR(9),""),CHAR(10),""),CHAR(13),"")," ",""),"")</f>
        <v/>
      </c>
      <c r="BT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33,48))," ",""),"!",""),CHAR(34),""),"#",""),"$",""),"%",""),"&amp;",""),"'",""),"(",""),")",""),"*",""),"+",""),",",""),"-",""),".",""),"/",""),":",""),";",""),"&lt;",""),"=",""),"&gt;",""),"?",""),"@",""),"[",""),"\",""),"]",""),"^",""),"_",""),"`",""),"{",""),"|",""),"}",""),"~",""),CHAR(9),""),CHAR(10),""),CHAR(13),"")," ",""),"")</f>
        <v/>
      </c>
      <c r="BU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33,49))," ",""),"!",""),CHAR(34),""),"#",""),"$",""),"%",""),"&amp;",""),"'",""),"(",""),")",""),"*",""),"+",""),",",""),"-",""),".",""),"/",""),":",""),";",""),"&lt;",""),"=",""),"&gt;",""),"?",""),"@",""),"[",""),"\",""),"]",""),"^",""),"_",""),"`",""),"{",""),"|",""),"}",""),"~",""),CHAR(9),""),CHAR(10),""),CHAR(13),"")," ",""),"")</f>
        <v/>
      </c>
      <c r="BV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33,50))," ",""),"!",""),CHAR(34),""),"#",""),"$",""),"%",""),"&amp;",""),"'",""),"(",""),")",""),"*",""),"+",""),",",""),"-",""),".",""),"/",""),":",""),";",""),"&lt;",""),"=",""),"&gt;",""),"?",""),"@",""),"[",""),"\",""),"]",""),"^",""),"_",""),"`",""),"{",""),"|",""),"}",""),"~",""),CHAR(9),""),CHAR(10),""),CHAR(13),"")," ",""),"")</f>
        <v/>
      </c>
      <c r="BW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33,51))," ",""),"!",""),CHAR(34),""),"#",""),"$",""),"%",""),"&amp;",""),"'",""),"(",""),")",""),"*",""),"+",""),",",""),"-",""),".",""),"/",""),":",""),";",""),"&lt;",""),"=",""),"&gt;",""),"?",""),"@",""),"[",""),"\",""),"]",""),"^",""),"_",""),"`",""),"{",""),"|",""),"}",""),"~",""),CHAR(9),""),CHAR(10),""),CHAR(13),"")," ",""),"")</f>
        <v/>
      </c>
      <c r="BX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33,52))," ",""),"!",""),CHAR(34),""),"#",""),"$",""),"%",""),"&amp;",""),"'",""),"(",""),")",""),"*",""),"+",""),",",""),"-",""),".",""),"/",""),":",""),";",""),"&lt;",""),"=",""),"&gt;",""),"?",""),"@",""),"[",""),"\",""),"]",""),"^",""),"_",""),"`",""),"{",""),"|",""),"}",""),"~",""),CHAR(9),""),CHAR(10),""),CHAR(13),"")," ",""),"")</f>
        <v/>
      </c>
      <c r="BY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33,53))," ",""),"!",""),CHAR(34),""),"#",""),"$",""),"%",""),"&amp;",""),"'",""),"(",""),")",""),"*",""),"+",""),",",""),"-",""),".",""),"/",""),":",""),";",""),"&lt;",""),"=",""),"&gt;",""),"?",""),"@",""),"[",""),"\",""),"]",""),"^",""),"_",""),"`",""),"{",""),"|",""),"}",""),"~",""),CHAR(9),""),CHAR(10),""),CHAR(13),"")," ",""),"")</f>
        <v/>
      </c>
      <c r="BZ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33,54))," ",""),"!",""),CHAR(34),""),"#",""),"$",""),"%",""),"&amp;",""),"'",""),"(",""),")",""),"*",""),"+",""),",",""),"-",""),".",""),"/",""),":",""),";",""),"&lt;",""),"=",""),"&gt;",""),"?",""),"@",""),"[",""),"\",""),"]",""),"^",""),"_",""),"`",""),"{",""),"|",""),"}",""),"~",""),CHAR(9),""),CHAR(10),""),CHAR(13),"")," ",""),"")</f>
        <v/>
      </c>
      <c r="CA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33,55))," ",""),"!",""),CHAR(34),""),"#",""),"$",""),"%",""),"&amp;",""),"'",""),"(",""),")",""),"*",""),"+",""),",",""),"-",""),".",""),"/",""),":",""),";",""),"&lt;",""),"=",""),"&gt;",""),"?",""),"@",""),"[",""),"\",""),"]",""),"^",""),"_",""),"`",""),"{",""),"|",""),"}",""),"~",""),CHAR(9),""),CHAR(10),""),CHAR(13),"")," ",""),"")</f>
        <v/>
      </c>
      <c r="CB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33,56))," ",""),"!",""),CHAR(34),""),"#",""),"$",""),"%",""),"&amp;",""),"'",""),"(",""),")",""),"*",""),"+",""),",",""),"-",""),".",""),"/",""),":",""),";",""),"&lt;",""),"=",""),"&gt;",""),"?",""),"@",""),"[",""),"\",""),"]",""),"^",""),"_",""),"`",""),"{",""),"|",""),"}",""),"~",""),CHAR(9),""),CHAR(10),""),CHAR(13),"")," ",""),"")</f>
        <v/>
      </c>
      <c r="CC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33,57))," ",""),"!",""),CHAR(34),""),"#",""),"$",""),"%",""),"&amp;",""),"'",""),"(",""),")",""),"*",""),"+",""),",",""),"-",""),".",""),"/",""),":",""),";",""),"&lt;",""),"=",""),"&gt;",""),"?",""),"@",""),"[",""),"\",""),"]",""),"^",""),"_",""),"`",""),"{",""),"|",""),"}",""),"~",""),CHAR(9),""),CHAR(10),""),CHAR(13),"")," ",""),"")</f>
        <v/>
      </c>
      <c r="CD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33,58))," ",""),"!",""),CHAR(34),""),"#",""),"$",""),"%",""),"&amp;",""),"'",""),"(",""),")",""),"*",""),"+",""),",",""),"-",""),".",""),"/",""),":",""),";",""),"&lt;",""),"=",""),"&gt;",""),"?",""),"@",""),"[",""),"\",""),"]",""),"^",""),"_",""),"`",""),"{",""),"|",""),"}",""),"~",""),CHAR(9),""),CHAR(10),""),CHAR(13),"")," ",""),"")</f>
        <v/>
      </c>
      <c r="CE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33,59))," ",""),"!",""),CHAR(34),""),"#",""),"$",""),"%",""),"&amp;",""),"'",""),"(",""),")",""),"*",""),"+",""),",",""),"-",""),".",""),"/",""),":",""),";",""),"&lt;",""),"=",""),"&gt;",""),"?",""),"@",""),"[",""),"\",""),"]",""),"^",""),"_",""),"`",""),"{",""),"|",""),"}",""),"~",""),CHAR(9),""),CHAR(10),""),CHAR(13),"")," ",""),"")</f>
        <v/>
      </c>
      <c r="CF37">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33,60))," ",""),"!",""),CHAR(34),""),"#",""),"$",""),"%",""),"&amp;",""),"'",""),"(",""),")",""),"*",""),"+",""),",",""),"-",""),".",""),"/",""),":",""),";",""),"&lt;",""),"=",""),"&gt;",""),"?",""),"@",""),"[",""),"\",""),"]",""),"^",""),"_",""),"`",""),"{",""),"|",""),"}",""),"~",""),CHAR(9),""),CHAR(10),""),CHAR(13),"")," ",""),"")</f>
        <v/>
      </c>
      <c r="CH37">
        <f>COUNTIF($Y82:$CF82,"&gt;0")</f>
        <v/>
      </c>
      <c r="CI37">
        <f>COUNTIF($Y82:$CF82,2)</f>
        <v/>
      </c>
      <c r="CJ37">
        <f>SUMPRODUCT((COUNTIF($Y127:$CF127,{1,2,3,4,5,6,7,8,9,10,11,12,13,14,15})&gt;0)*{2,4,8,16,32,64,128,256,512,1024,2048,4096,8192,16384,32768})</f>
        <v/>
      </c>
      <c r="CK37">
        <f>CF217</f>
        <v/>
      </c>
      <c r="CL37">
        <f>SUMPRODUCT(MOD(INT(((CJ37+CK37))/{2,4,8,16,32,64,128,256,512,1024,2048,4096,8192,16384,32768}),2))</f>
        <v/>
      </c>
      <c r="CM37">
        <f>IF(CH37&lt;2,-9999,CL37+2*MOD(INT(((CJ37+CK37))/2),2)+2*MOD(INT(((CJ37+CK37))/4),2)-CI37)</f>
        <v/>
      </c>
      <c r="DA37" t="n">
        <v>33</v>
      </c>
      <c r="DB37">
        <f>IF($B$37=0,"",IFERROR(TRIM(SUBSTITUTE(SUBSTITUTE(SUBSTITUTE(SUBSTITUTE(INDEX(PASTE_ALL,33,$B$37)," "," "),CHAR(9)," "),CHAR(10)," "),CHAR(13)," ")),""))</f>
        <v/>
      </c>
      <c r="DC37">
        <f>IF(AND(33&gt;HEADER_ROW,UPPER(DB37)="LEGEND"),1,0)</f>
        <v/>
      </c>
      <c r="DE37" t="n">
        <v>33</v>
      </c>
      <c r="DF37">
        <f>HEADER_ROW+$DE37</f>
        <v/>
      </c>
      <c r="DG37">
        <f>IF(AND($DF37&lt;=1000,$DF37&lt;$B$8),1,0)</f>
        <v/>
      </c>
      <c r="DH37">
        <f>IF($DG37=1,IFERROR(INDEX($DB$5:$DB$1004,$DF37),""),"")</f>
        <v/>
      </c>
      <c r="DI37">
        <f>IF(AND($DG37=1,$DH37&lt;&gt;""),IFERROR(SUBSTITUTE(SUBSTITUTE(TRIM(SUBSTITUTE(SUBSTITUTE(SUBSTITUTE(SUBSTITUTE(IFERROR(INDEX(PASTE_ALL,$DF37,1)&amp;"","")&amp;"␟"&amp;IFERROR(INDEX(PASTE_ALL,$DF37,2)&amp;"","")&amp;"␟"&amp;IFERROR(INDEX(PASTE_ALL,$DF37,3)&amp;"","")&amp;"␟"&amp;IFERROR(INDEX(PASTE_ALL,$DF37,4)&amp;"","")&amp;"␟"&amp;IFERROR(INDEX(PASTE_ALL,$DF37,5)&amp;"","")&amp;"␟"&amp;IFERROR(INDEX(PASTE_ALL,$DF37,6)&amp;"","")&amp;"␟"&amp;IFERROR(INDEX(PASTE_ALL,$DF37,7)&amp;"","")&amp;"␟"&amp;IFERROR(INDEX(PASTE_ALL,$DF37,8)&amp;"","")&amp;"␟"&amp;IFERROR(INDEX(PASTE_ALL,$DF37,9)&amp;"","")&amp;"␟"&amp;IFERROR(INDEX(PASTE_ALL,$DF37,10)&amp;"","")&amp;"␟"&amp;IFERROR(INDEX(PASTE_ALL,$DF37,11)&amp;"","")&amp;"␟"&amp;IFERROR(INDEX(PASTE_ALL,$DF37,12)&amp;"","")&amp;"␟"&amp;IFERROR(INDEX(PASTE_ALL,$DF37,13)&amp;"","")&amp;"␟"&amp;IFERROR(INDEX(PASTE_ALL,$DF37,14)&amp;"","")&amp;"␟"&amp;IFERROR(INDEX(PASTE_ALL,$DF37,15)&amp;"","")&amp;"␟"&amp;IFERROR(INDEX(PASTE_ALL,$DF37,16)&amp;"","")&amp;"␟"&amp;IFERROR(INDEX(PASTE_ALL,$DF37,17)&amp;"","")&amp;"␟"&amp;IFERROR(INDEX(PASTE_ALL,$DF37,18)&amp;"","")&amp;"␟"&amp;IFERROR(INDEX(PASTE_ALL,$DF37,19)&amp;"","")&amp;"␟"&amp;IFERROR(INDEX(PASTE_ALL,$DF37,20)&amp;"","")&amp;"␟"&amp;IFERROR(INDEX(PASTE_ALL,$DF37,21)&amp;"","")&amp;"␟"&amp;IFERROR(INDEX(PASTE_ALL,$DF37,22)&amp;"","")&amp;"␟"&amp;IFERROR(INDEX(PASTE_ALL,$DF37,23)&amp;"","")&amp;"␟"&amp;IFERROR(INDEX(PASTE_ALL,$DF37,24)&amp;"","")&amp;"␟"&amp;IFERROR(INDEX(PASTE_ALL,$DF37,25)&amp;"","")&amp;"␟"&amp;IFERROR(INDEX(PASTE_ALL,$DF37,26)&amp;"","")&amp;"␟"&amp;IFERROR(INDEX(PASTE_ALL,$DF37,27)&amp;"","")&amp;"␟"&amp;IFERROR(INDEX(PASTE_ALL,$DF37,28)&amp;"","")&amp;"␟"&amp;IFERROR(INDEX(PASTE_ALL,$DF37,29)&amp;"","")&amp;"␟"&amp;IFERROR(INDEX(PASTE_ALL,$DF37,30)&amp;"","")&amp;"␟"&amp;IFERROR(INDEX(PASTE_ALL,$DF37,31)&amp;"","")&amp;"␟"&amp;IFERROR(INDEX(PASTE_ALL,$DF37,32)&amp;"","")&amp;"␟"&amp;IFERROR(INDEX(PASTE_ALL,$DF37,33)&amp;"","")&amp;"␟"&amp;IFERROR(INDEX(PASTE_ALL,$DF37,34)&amp;"","")&amp;"␟"&amp;IFERROR(INDEX(PASTE_ALL,$DF37,35)&amp;"","")&amp;"␟"&amp;IFERROR(INDEX(PASTE_ALL,$DF37,36)&amp;"","")&amp;"␟"&amp;IFERROR(INDEX(PASTE_ALL,$DF37,37)&amp;"","")&amp;"␟"&amp;IFERROR(INDEX(PASTE_ALL,$DF37,38)&amp;"","")&amp;"␟"&amp;IFERROR(INDEX(PASTE_ALL,$DF37,39)&amp;"","")&amp;"␟"&amp;IFERROR(INDEX(PASTE_ALL,$DF37,40)&amp;"","")&amp;"␟"&amp;IFERROR(INDEX(PASTE_ALL,$DF37,41)&amp;"","")&amp;"␟"&amp;IFERROR(INDEX(PASTE_ALL,$DF37,42)&amp;"","")&amp;"␟"&amp;IFERROR(INDEX(PASTE_ALL,$DF37,43)&amp;"","")&amp;"␟"&amp;IFERROR(INDEX(PASTE_ALL,$DF37,44)&amp;"","")&amp;"␟"&amp;IFERROR(INDEX(PASTE_ALL,$DF37,45)&amp;"","")&amp;"␟"&amp;IFERROR(INDEX(PASTE_ALL,$DF37,46)&amp;"","")&amp;"␟"&amp;IFERROR(INDEX(PASTE_ALL,$DF37,47)&amp;"","")&amp;"␟"&amp;IFERROR(INDEX(PASTE_ALL,$DF37,48)&amp;"","")&amp;"␟"&amp;IFERROR(INDEX(PASTE_ALL,$DF37,49)&amp;"","")&amp;"␟"&amp;IFERROR(INDEX(PASTE_ALL,$DF37,50)&amp;"","")&amp;"␟"&amp;IFERROR(INDEX(PASTE_ALL,$DF37,51)&amp;"","")&amp;"␟"&amp;IFERROR(INDEX(PASTE_ALL,$DF37,52)&amp;"","")&amp;"␟"&amp;IFERROR(INDEX(PASTE_ALL,$DF37,53)&amp;"","")&amp;"␟"&amp;IFERROR(INDEX(PASTE_ALL,$DF37,54)&amp;"","")&amp;"␟"&amp;IFERROR(INDEX(PASTE_ALL,$DF37,55)&amp;"","")&amp;"␟"&amp;IFERROR(INDEX(PASTE_ALL,$DF37,56)&amp;"","")&amp;"␟"&amp;IFERROR(INDEX(PASTE_ALL,$DF37,57)&amp;"","")&amp;"␟"&amp;IFERROR(INDEX(PASTE_ALL,$DF37,58)&amp;"","")&amp;"␟"&amp;IFERROR(INDEX(PASTE_ALL,$DF37,59)&amp;"","")&amp;"␟"&amp;IFERROR(INDEX(PASTE_ALL,$DF37,60)&amp;"","")," "," "),CHAR(9)," "),CHAR(10)," "),CHAR(13)," "))," ␟","␟"),"␟ ","␟"),"#"&amp;$DE37),"")</f>
        <v/>
      </c>
      <c r="DJ37">
        <f>IF($DI37="",0,IF(SUMPRODUCT(--EXACT($DI$4:DI36,$DI37))&gt;0,1,0))</f>
        <v/>
      </c>
      <c r="DK37">
        <f>IF(AND($DI37&lt;&gt;"",$DJ37=0),1,0)</f>
        <v/>
      </c>
      <c r="DL37">
        <f>DL36+$DK37</f>
        <v/>
      </c>
      <c r="DM37">
        <f>IF(AND($DK37=1,$DL37&lt;=600),1,0)</f>
        <v/>
      </c>
      <c r="DN37">
        <f>IF($DM37=0,"",IF($L$6=0,"",IFERROR(IF(ISNUMBER(INDEX(PASTE_ALL,$DF37,$L$6)),INDEX(PASTE_ALL,$DF37,$L$6),TRIM(SUBSTITUTE(SUBSTITUTE(SUBSTITUTE(SUBSTITUTE(INDEX(PASTE_ALL,$DF37,$L$6)," "," "),CHAR(9)," "),CHAR(10)," "),CHAR(13)," "))),"")))</f>
        <v/>
      </c>
      <c r="DO37">
        <f>IF($DM37=0,"",IF($L$7=0,"",IFERROR(IF(ISNUMBER(INDEX(PASTE_ALL,$DF37,$L$7)),INDEX(PASTE_ALL,$DF37,$L$7),TRIM(SUBSTITUTE(SUBSTITUTE(SUBSTITUTE(SUBSTITUTE(INDEX(PASTE_ALL,$DF37,$L$7)," "," "),CHAR(9)," "),CHAR(10)," "),CHAR(13)," "))),"")))</f>
        <v/>
      </c>
      <c r="DP37">
        <f>IF($DM37=0,"",IF($L$8=0,"",IFERROR(IF(ISNUMBER(INDEX(PASTE_ALL,$DF37,$L$8)),INDEX(PASTE_ALL,$DF37,$L$8),TRIM(SUBSTITUTE(SUBSTITUTE(SUBSTITUTE(SUBSTITUTE(INDEX(PASTE_ALL,$DF37,$L$8)," "," "),CHAR(9)," "),CHAR(10)," "),CHAR(13)," "))),"")))</f>
        <v/>
      </c>
      <c r="DQ37">
        <f>IF($DM37=0,"",IF($L$9=0,"",IFERROR(IF(ISNUMBER(INDEX(PASTE_ALL,$DF37,$L$9)),INDEX(PASTE_ALL,$DF37,$L$9),TRIM(SUBSTITUTE(SUBSTITUTE(SUBSTITUTE(SUBSTITUTE(INDEX(PASTE_ALL,$DF37,$L$9)," "," "),CHAR(9)," "),CHAR(10)," "),CHAR(13)," "))),"")))</f>
        <v/>
      </c>
      <c r="DR37">
        <f>IF($DM37=0,"",IF($L$10=0,"",IFERROR(IF(ISNUMBER(INDEX(PASTE_ALL,$DF37,$L$10)),INDEX(PASTE_ALL,$DF37,$L$10),TRIM(SUBSTITUTE(SUBSTITUTE(SUBSTITUTE(SUBSTITUTE(INDEX(PASTE_ALL,$DF37,$L$10)," "," "),CHAR(9)," "),CHAR(10)," "),CHAR(13)," "))),"")))</f>
        <v/>
      </c>
      <c r="DS37">
        <f>IF($DM37=0,"",IF($L$11=0,"",IFERROR(IF(ISNUMBER(INDEX(PASTE_ALL,$DF37,$L$11)),INDEX(PASTE_ALL,$DF37,$L$11),TRIM(SUBSTITUTE(SUBSTITUTE(SUBSTITUTE(SUBSTITUTE(INDEX(PASTE_ALL,$DF37,$L$11)," "," "),CHAR(9)," "),CHAR(10)," "),CHAR(13)," "))),"")))</f>
        <v/>
      </c>
      <c r="DT37">
        <f>IF($DM37=0,"",IF($L$12=0,"",IFERROR(IF(ISNUMBER(INDEX(PASTE_ALL,$DF37,$L$12)),INDEX(PASTE_ALL,$DF37,$L$12),TRIM(SUBSTITUTE(SUBSTITUTE(SUBSTITUTE(SUBSTITUTE(INDEX(PASTE_ALL,$DF37,$L$12)," "," "),CHAR(9)," "),CHAR(10)," "),CHAR(13)," "))),"")))</f>
        <v/>
      </c>
      <c r="DU37">
        <f>IF($DM37=0,"",IF($L$13=0,"",IFERROR(IF(ISNUMBER(INDEX(PASTE_ALL,$DF37,$L$13)),INDEX(PASTE_ALL,$DF37,$L$13),TRIM(SUBSTITUTE(SUBSTITUTE(SUBSTITUTE(SUBSTITUTE(INDEX(PASTE_ALL,$DF37,$L$13)," "," "),CHAR(9)," "),CHAR(10)," "),CHAR(13)," "))),"")))</f>
        <v/>
      </c>
      <c r="DV37">
        <f>IF($DM37=0,"",IF($L$14=0,"",IFERROR(IF(ISNUMBER(INDEX(PASTE_ALL,$DF37,$L$14)),INDEX(PASTE_ALL,$DF37,$L$14),TRIM(SUBSTITUTE(SUBSTITUTE(SUBSTITUTE(SUBSTITUTE(INDEX(PASTE_ALL,$DF37,$L$14)," "," "),CHAR(9)," "),CHAR(10)," "),CHAR(13)," "))),"")))</f>
        <v/>
      </c>
      <c r="DW37">
        <f>IF($DM37=0,"",IF($L$15=0,"",IFERROR(IF(ISNUMBER(INDEX(PASTE_ALL,$DF37,$L$15)),INDEX(PASTE_ALL,$DF37,$L$15),IF(SUMPRODUCT(--ISNUMBER(FIND({"A","B","C","D","E","F","G","H","I","J","K","L","M","N","O","P","Q","R","S","T","U","V","W","X","Y","Z","0","1","2","3","4","5","6","7","8","9"},UPPER(TRIM(SUBSTITUTE(SUBSTITUTE(SUBSTITUTE(SUBSTITUTE(INDEX(PASTE_ALL,$DF37,$L$15)," "," "),CHAR(9)," "),CHAR(10)," "),CHAR(13)," "))))))&gt;0,TRIM(SUBSTITUTE(SUBSTITUTE(SUBSTITUTE(SUBSTITUTE(INDEX(PASTE_ALL,$DF37,$L$15)," "," "),CHAR(9)," "),CHAR(10)," "),CHAR(13)," ")),"")),"")))</f>
        <v/>
      </c>
      <c r="DX37">
        <f>IF($DM37=0,"",IF($L$16=0,"",IFERROR(IF(ISNUMBER(INDEX(PASTE_ALL,$DF37,$L$16)),INDEX(PASTE_ALL,$DF37,$L$16),SUBSTITUTE(SUBSTITUTE(TRIM(SUBSTITUTE(SUBSTITUTE(SUBSTITUTE(SUBSTITUTE(INDEX(PASTE_ALL,$DF37,$L$16)," "," "),CHAR(9)," "),CHAR(10)," "),CHAR(13)," ")),",",""),"%","")),"")))</f>
        <v/>
      </c>
      <c r="DY37">
        <f>IF($DM37=0,"",IFERROR(IF(ISNUMBER($DX37),$DX37,IF($DX37="","",IF(TRIM($DX37)="",0,IF(AND(AND(SUBSTITUTE(SUBSTITUTE(SUBSTITUTE(SUBSTITUTE(SUBSTITUTE(SUBSTITUTE(SUBSTITUTE(SUBSTITUTE(SUBSTITUTE(SUBSTITUTE(SUBSTITUTE(SUBSTITUTE(SUBSTITUTE(SUBSTITUTE(UPPER(TRIM($DX37)),"0",""),"1",""),"2",""),"3",""),"4",""),"5",""),"6",""),"7",""),"8",""),"9",""),".",""),"+",""),"-",""),"E","")="",LEN(SUBSTITUTE(SUBSTITUTE(MID(UPPER(TRIM($DX37)),1+OR(LEFT(UPPER(TRIM($DX37)),1)="+",LEFT(UPPER(TRIM($DX37)),1)="-"),999),"E+","E"),"E-","E"))=LEN(SUBSTITUTE(SUBSTITUTE(SUBSTITUTE(SUBSTITUTE(MID(UPPER(TRIM($DX37)),1+OR(LEFT(UPPER(TRIM($DX37)),1)="+",LEFT(UPPER(TRIM($DX37)),1)="-"),999),"E+","E"),"E-","E"),"+",""),"-","")),LEN(UPPER(TRIM($DX37)))-LEN(SUBSTITUTE(UPPER(TRIM($DX37)),"E",""))&lt;2,LEN(UPPER(TRIM($DX37)))-LEN(SUBSTITUTE(UPPER(TRIM($DX37)),".",""))&lt;2,IFERROR(FIND(".",UPPER(TRIM($DX37))),0)&lt;IFERROR(FIND("E",UPPER(TRIM($DX37))),999)),ISNUMBER(VALUE(TRIM($DX37)))),VALUE(TRIM($DX37)),"")))),""))</f>
        <v/>
      </c>
      <c r="DZ37">
        <f>IF($DM37=0,"",IF($L$17=0,"",IFERROR(IF(ISNUMBER(INDEX(PASTE_ALL,$DF37,$L$17)),INDEX(PASTE_ALL,$DF37,$L$17),SUBSTITUTE(SUBSTITUTE(TRIM(SUBSTITUTE(SUBSTITUTE(SUBSTITUTE(SUBSTITUTE(INDEX(PASTE_ALL,$DF37,$L$17)," "," "),CHAR(9)," "),CHAR(10)," "),CHAR(13)," ")),",",""),"%","")),"")))</f>
        <v/>
      </c>
      <c r="EA37">
        <f>IF($DM37=0,"",IFERROR(IF(ISNUMBER($DZ37),$DZ37,IF($DZ37="","",IF(TRIM($DZ37)="",0,IF(AND(AND(SUBSTITUTE(SUBSTITUTE(SUBSTITUTE(SUBSTITUTE(SUBSTITUTE(SUBSTITUTE(SUBSTITUTE(SUBSTITUTE(SUBSTITUTE(SUBSTITUTE(SUBSTITUTE(SUBSTITUTE(SUBSTITUTE(SUBSTITUTE(UPPER(TRIM($DZ37)),"0",""),"1",""),"2",""),"3",""),"4",""),"5",""),"6",""),"7",""),"8",""),"9",""),".",""),"+",""),"-",""),"E","")="",LEN(SUBSTITUTE(SUBSTITUTE(MID(UPPER(TRIM($DZ37)),1+OR(LEFT(UPPER(TRIM($DZ37)),1)="+",LEFT(UPPER(TRIM($DZ37)),1)="-"),999),"E+","E"),"E-","E"))=LEN(SUBSTITUTE(SUBSTITUTE(SUBSTITUTE(SUBSTITUTE(MID(UPPER(TRIM($DZ37)),1+OR(LEFT(UPPER(TRIM($DZ37)),1)="+",LEFT(UPPER(TRIM($DZ37)),1)="-"),999),"E+","E"),"E-","E"),"+",""),"-","")),LEN(UPPER(TRIM($DZ37)))-LEN(SUBSTITUTE(UPPER(TRIM($DZ37)),"E",""))&lt;2,LEN(UPPER(TRIM($DZ37)))-LEN(SUBSTITUTE(UPPER(TRIM($DZ37)),".",""))&lt;2,IFERROR(FIND(".",UPPER(TRIM($DZ37))),0)&lt;IFERROR(FIND("E",UPPER(TRIM($DZ37))),999)),ISNUMBER(VALUE(TRIM($DZ37)))),VALUE(TRIM($DZ37)),"")))),""))</f>
        <v/>
      </c>
      <c r="EB37">
        <f>IF($DM37=0,"",IF($L$18=0,"",IFERROR(IF(UPPER(TRIM(SUBSTITUTE(SUBSTITUTE(SUBSTITUTE(SUBSTITUTE(INDEX(PASTE_ALL,$DF37,$L$18)," "," "),CHAR(9)," "),CHAR(10)," "),CHAR(13)," ")))="READY","Ready",IF(UPPER(TRIM(SUBSTITUTE(SUBSTITUTE(SUBSTITUTE(SUBSTITUTE(INDEX(PASTE_ALL,$DF37,$L$18)," "," "),CHAR(9)," "),CHAR(10)," "),CHAR(13)," ")))="PM","PM",IF(OR(UPPER(TRIM(SUBSTITUTE(SUBSTITUTE(SUBSTITUTE(SUBSTITUTE(INDEX(PASTE_ALL,$DF37,$L$18)," "," "),CHAR(9)," "),CHAR(10)," "),CHAR(13)," ")))="OT",UPPER(TRIM(SUBSTITUTE(SUBSTITUTE(SUBSTITUTE(SUBSTITUTE(INDEX(PASTE_ALL,$DF37,$L$18)," "," "),CHAR(9)," "),CHAR(10)," "),CHAR(13)," ")))="OVERTIME",UPPER(TRIM(SUBSTITUTE(SUBSTITUTE(SUBSTITUTE(SUBSTITUTE(INDEX(PASTE_ALL,$DF37,$L$18)," "," "),CHAR(9)," "),CHAR(10)," "),CHAR(13)," ")))="TRIAL"),"OT",TRIM(SUBSTITUTE(SUBSTITUTE(SUBSTITUTE(SUBSTITUTE(INDEX(PASTE_ALL,$DF37,$L$18)," "," "),CHAR(9)," "),CHAR(10)," "),CHAR(13)," "))))),"")))</f>
        <v/>
      </c>
      <c r="EC37">
        <f>IF($DM37=0,"",IF($L$19=0,"",IFERROR(IF(ISNUMBER(INDEX(PASTE_ALL,$DF37,$L$19)),INDEX(PASTE_ALL,$DF37,$L$19),TRIM(SUBSTITUTE(SUBSTITUTE(SUBSTITUTE(SUBSTITUTE(INDEX(PASTE_ALL,$DF37,$L$19)," "," "),CHAR(9)," "),CHAR(10)," "),CHAR(13)," "))),"")))</f>
        <v/>
      </c>
      <c r="ED37">
        <f>IF($DM37=0,"",MATCH(1,INDEX(EXACT($DH$5:DH37,$DH37)*$DM$5:DM37,0),0))</f>
        <v/>
      </c>
      <c r="EE37">
        <f>IF($DM37=0,0,IF($ED37=$DE37,1,0))</f>
        <v/>
      </c>
      <c r="EF37">
        <f>EF36+$EE37</f>
        <v/>
      </c>
      <c r="EG37">
        <f>IF($DM37=0,"",INDEX($EF$5:$EF$1003,$ED37))</f>
        <v/>
      </c>
      <c r="EH37">
        <f>IF($DM37=0,"",IF($DO37&lt;&gt;"","",IFERROR(LOOKUP(2,1/(($EG$4:EG36=$EG37)*($DO$4:DO36&lt;&gt;"")),$DO$4:DO36),"")))</f>
        <v/>
      </c>
      <c r="EI37">
        <f>IF($DM37=0,"",IF($DO37&lt;&gt;"",$DO37,$EH37))</f>
        <v/>
      </c>
      <c r="EJ37">
        <f>IF($DM37=0,"",IF($EI37="",0,IF(OR(ISNUMBER($EI37),AND(AND(SUBSTITUTE(SUBSTITUTE(SUBSTITUTE(SUBSTITUTE(SUBSTITUTE(SUBSTITUTE(SUBSTITUTE(SUBSTITUTE(SUBSTITUTE(SUBSTITUTE(SUBSTITUTE(SUBSTITUTE(SUBSTITUTE(SUBSTITUTE(UPPER($EI37),"0",""),"1",""),"2",""),"3",""),"4",""),"5",""),"6",""),"7",""),"8",""),"9",""),".",""),"+",""),"-",""),"E","")="",LEN(SUBSTITUTE(SUBSTITUTE(MID(UPPER($EI37),1+OR(LEFT(UPPER($EI37),1)="+",LEFT(UPPER($EI37),1)="-"),999),"E+","E"),"E-","E"))=LEN(SUBSTITUTE(SUBSTITUTE(SUBSTITUTE(SUBSTITUTE(MID(UPPER($EI37),1+OR(LEFT(UPPER($EI37),1)="+",LEFT(UPPER($EI37),1)="-"),999),"E+","E"),"E-","E"),"+",""),"-","")),LEN(UPPER($EI37))-LEN(SUBSTITUTE(UPPER($EI37),"E",""))&lt;2,LEN(UPPER($EI37))-LEN(SUBSTITUTE(UPPER($EI37),".",""))&lt;2,IFERROR(FIND(".",UPPER($EI37)),0)&lt;IFERROR(FIND("E",UPPER($EI37)),999)),ISNUMBER(VALUE($EI37)))),1,2)))</f>
        <v/>
      </c>
      <c r="EK37">
        <f>IF($DM37=0,"",IF($EJ37=1,IF(ISNUMBER($EI37),$EI37,VALUE($EI37)),IF($EJ37=2,$DE37,0)))</f>
        <v/>
      </c>
      <c r="EL37">
        <f>IF($DM37=0,"",COUNTIF($EG$5:$EG$1003,"&lt;"&amp;$EG37)+SUMPRODUCT(($EG$5:$EG$1003=$EG37)*(($EJ$5:$EJ$1003&lt;$EJ37)+($EJ$5:$EJ$1003=$EJ37)*(($EK$5:$EK$1003&lt;$EK37)+($EK$5:$EK$1003=$EK37)*($DE$5:$DE$1003&lt;$DE37))))+1)</f>
        <v/>
      </c>
      <c r="EM37">
        <f>IF($DM37=0,"",$EL37+$EG37-1)</f>
        <v/>
      </c>
      <c r="EN37">
        <f>IF($DM37=0,0,IFERROR(MATCH(1,INDEX(--(TRIM(SUBSTITUTE(SUBSTITUTE(SUBSTITUTE(SUBSTITUTE(LINES_NAME&amp;""," "," "),CHAR(9)," "),CHAR(10)," "),CHAR(13)," "))=$DH37),0),0),0))</f>
        <v/>
      </c>
      <c r="EO37">
        <f>IF($EN37=0,0,IF(OR(UPPER(TRIM(INDEX(LINES_SCHEDULED,$EN37)&amp;""))="YES",UPPER(TRIM(INDEX(LINES_SCHEDULED,$EN37)&amp;""))="Y",UPPER(TRIM(INDEX(LINES_SCHEDULED,$EN37)&amp;""))="X"),1,0))</f>
        <v/>
      </c>
      <c r="EP37">
        <f>IF($DM37=0,"",IF(COUNTIFS($EG$5:$EG$1003,$EG37,$EB$5:$EB$1003,"Ready")&gt;0,"READY",IF(COUNTIFS($EG$5:$EG$1003,$EG37,$EB$5:$EB$1003,"PM")&gt;0,"PM",IF(COUNTIFS($EG$5:$EG$1003,$EG37,$EB$5:$EB$1003,"OT")&gt;0,"OT",""))))</f>
        <v/>
      </c>
      <c r="EQ37">
        <f>IF($EN37=0,"",UPPER(TRIM(INDEX(LINES_STATUS,$EN37)&amp;"")))</f>
        <v/>
      </c>
      <c r="ER37">
        <f>IF($DM37=0,"",IF(OR($EQ37="READY",$EQ37="PM",$EQ37="OT"),$EQ37,$EP37))</f>
        <v/>
      </c>
      <c r="ES37">
        <f>IF($DM37=0,"",IF(AND($DV37&lt;&gt;"",UPPER($DV37)&lt;&gt;"N"),"allergen",IF(ISNUMBER(SEARCH("oil",$DQ37)),"oil",IF(OR(EXACT($DS37,"A662"),EXACT($DS37,"A624")),"bulk",""))))</f>
        <v/>
      </c>
      <c r="ET37">
        <f>IF($DM37=0,"",IF(OR($EA37="",$EA37=0),"",$EA37/100))</f>
        <v/>
      </c>
      <c r="EU37">
        <f>IF(OR($ET37="",$DY37=""),"",INT($DY37*(1-$ET37)+0.5))</f>
        <v/>
      </c>
      <c r="EW37" t="n">
        <v>33</v>
      </c>
      <c r="EX37">
        <f>IFERROR(MATCH($EW37,$EM$5:$EM$1003,0),0)</f>
        <v/>
      </c>
      <c r="EY37">
        <f>IF($EW37&gt;$B$12,"",IF($EX37&gt;0,"row","spacer"))</f>
        <v/>
      </c>
      <c r="EZ37">
        <f>IF(AND($EY37="row",$EY36&lt;&gt;"row"),1,0)</f>
        <v/>
      </c>
      <c r="FA37">
        <f>IF(AND($EY37="row",$EY38&lt;&gt;"row"),1,0)</f>
        <v/>
      </c>
      <c r="FB37">
        <f>IF($EZ37=1,IFERROR(IF(ISNUMBER(INDEX(PASTE_ALL,INDEX($DF$5:$DF$1003,$EX37),$B$37)),INDEX(PASTE_ALL,INDEX($DF$5:$DF$1003,$EX37),$B$37),INDEX($DH$5:$DH$1003,$EX37)),INDEX($DH$5:$DH$1003,$EX37)),"")</f>
        <v/>
      </c>
      <c r="FC37">
        <f>IF($EY37="row",INDEX($ER$5:$ER$1003,$EX37),"")</f>
        <v/>
      </c>
      <c r="FD37">
        <f>IF($EY37="row",INDEX($DN$5:$DN$1003,$EX37),"")</f>
        <v/>
      </c>
      <c r="FE37">
        <f>IF($EY37="row",INDEX($DO$5:$DO$1003,$EX37),"")</f>
        <v/>
      </c>
      <c r="FF37">
        <f>IF($EY37="row",INDEX($DP$5:$DP$1003,$EX37),"")</f>
        <v/>
      </c>
      <c r="FG37">
        <f>IF($EY37="row",INDEX($DQ$5:$DQ$1003,$EX37),"")</f>
        <v/>
      </c>
      <c r="FH37">
        <f>IF($EY37="row",INDEX($DR$5:$DR$1003,$EX37),"")</f>
        <v/>
      </c>
      <c r="FI37">
        <f>IF($EY37="row",INDEX($DS$5:$DS$1003,$EX37),"")</f>
        <v/>
      </c>
      <c r="FJ37">
        <f>IF($EY37="row",INDEX($DT$5:$DT$1003,$EX37),"")</f>
        <v/>
      </c>
      <c r="FK37">
        <f>IF($EY37="row",INDEX($DU$5:$DU$1003,$EX37),"")</f>
        <v/>
      </c>
      <c r="FL37">
        <f>IF($EY37="row",INDEX($DV$5:$DV$1003,$EX37),"")</f>
        <v/>
      </c>
      <c r="FM37">
        <f>IF($EY37="row",INDEX($DW$5:$DW$1003,$EX37),"")</f>
        <v/>
      </c>
      <c r="FN37">
        <f>IF($EY37="row",INDEX($DY$5:$DY$1003,$EX37),"")</f>
        <v/>
      </c>
      <c r="FO37">
        <f>IF($EY37="row",INDEX($EA$5:$EA$1003,$EX37),"")</f>
        <v/>
      </c>
      <c r="FP37">
        <f>IF($EY37="row",INDEX($EC$5:$EC$1003,$EX37),"")</f>
        <v/>
      </c>
      <c r="FQ37">
        <f>IF($EY37="row",INDEX($ET$5:$ET$1003,$EX37),"")</f>
        <v/>
      </c>
      <c r="FR37">
        <f>IF($EY37="row",INDEX($EU$5:$EU$1003,$EX37),"")</f>
        <v/>
      </c>
      <c r="FS37">
        <f>IF(AND($EY37="row",$EY36="row"),IF(OR(INDEX($DT$5:$DT$1003,$EX36)="",INDEX($DT$5:$DT$1003,$EX37)=""),"",IF(NOT(EXACT(INDEX($DT$5:$DT$1003,$EX36),INDEX($DT$5:$DT$1003,$EX37))),"S4",IF(NOT(EXACT(INDEX($DS$5:$DS$1003,$EX36),INDEX($DS$5:$DS$1003,$EX37))),"S3",IF(NOT(EXACT(INDEX($DR$5:$DR$1003,$EX36),INDEX($DR$5:$DR$1003,$EX37))),"S1 Count Change","S1")))),"")</f>
        <v/>
      </c>
      <c r="FT37">
        <f>IF($EY37="row",INDEX($ES$5:$ES$1003,$EX37),"")</f>
        <v/>
      </c>
      <c r="FU37">
        <f>IF($EY37="row",INDEX($EO$5:$EO$1003,$EX37),0)</f>
        <v/>
      </c>
      <c r="FV37">
        <f>IF($FS37="S1 Count Change",1,0)</f>
        <v/>
      </c>
      <c r="FX37" t="n">
        <v>33</v>
      </c>
      <c r="FY37">
        <f>IFERROR(MATCH($FX37,$EF$5:$EF$1003,0),0)</f>
        <v/>
      </c>
      <c r="FZ37">
        <f>IF($FY37=0,"",INDEX($DH$5:$DH$1003,$FY37))</f>
        <v/>
      </c>
      <c r="GA37">
        <f>IF($FY37=0,"",COUNTIF($EG$5:$EG$1003,$FX37))</f>
        <v/>
      </c>
      <c r="GB37">
        <f>IF($FY37=0,"",INDEX($ER$5:$ER$1003,$FY37))</f>
        <v/>
      </c>
      <c r="GC37">
        <f>IF($FY37=0,"",IF(INDEX($EO$5:$EO$1003,$FY37)=1,"Yes",""))</f>
        <v/>
      </c>
      <c r="GD37">
        <f>IF($FY37=0,"",IF(INDEX($EN$5:$EN$1003,$FY37)&gt;0,"","NOT IN YOUR LIST - type it in column A to tick it"))</f>
        <v/>
      </c>
      <c r="GE37">
        <f>IF(AND($FY37&gt;0,$GD37&lt;&gt;""),1,0)</f>
        <v/>
      </c>
      <c r="GF37">
        <f>GF36+$GE37</f>
        <v/>
      </c>
      <c r="GG37">
        <f>IFERROR(INDEX($FZ$5:$FZ$104,MATCH($FX37,$GF$5:$GF$104,0)),"")</f>
        <v/>
      </c>
    </row>
    <row r="38">
      <c r="A38" t="inlineStr">
        <is>
          <t>First work order (text)</t>
        </is>
      </c>
      <c r="B38">
        <f>IF($B$15=0,"","Line "&amp;INDEX($DH$5:$DH$1003,$B$15)&amp;", WO "&amp;INDEX($DN$5:$DN$1003,$B$15)&amp;" - row "&amp;$B$16&amp;" of 1. Paste Schedule")</f>
        <v/>
      </c>
      <c r="S38" t="n">
        <v>34</v>
      </c>
      <c r="T38" t="inlineStr">
        <is>
          <t>AH</t>
        </is>
      </c>
      <c r="V38" t="inlineStr">
        <is>
          <t>DESCRIPTION</t>
        </is>
      </c>
      <c r="W38" t="n">
        <v>5</v>
      </c>
      <c r="Y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 ",""),"!",""),CHAR(34),""),"#",""),"$",""),"%",""),"&amp;",""),"'",""),"(",""),")",""),"*",""),"+",""),",",""),"-",""),".",""),"/",""),":",""),";",""),"&lt;",""),"=",""),"&gt;",""),"?",""),"@",""),"[",""),"\",""),"]",""),"^",""),"_",""),"`",""),"{",""),"|",""),"}",""),"~",""),CHAR(9),""),CHAR(10),""),CHAR(13),"")," ",""),"")</f>
        <v/>
      </c>
      <c r="Z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 ",""),"!",""),CHAR(34),""),"#",""),"$",""),"%",""),"&amp;",""),"'",""),"(",""),")",""),"*",""),"+",""),",",""),"-",""),".",""),"/",""),":",""),";",""),"&lt;",""),"=",""),"&gt;",""),"?",""),"@",""),"[",""),"\",""),"]",""),"^",""),"_",""),"`",""),"{",""),"|",""),"}",""),"~",""),CHAR(9),""),CHAR(10),""),CHAR(13),"")," ",""),"")</f>
        <v/>
      </c>
      <c r="AA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 ",""),"!",""),CHAR(34),""),"#",""),"$",""),"%",""),"&amp;",""),"'",""),"(",""),")",""),"*",""),"+",""),",",""),"-",""),".",""),"/",""),":",""),";",""),"&lt;",""),"=",""),"&gt;",""),"?",""),"@",""),"[",""),"\",""),"]",""),"^",""),"_",""),"`",""),"{",""),"|",""),"}",""),"~",""),CHAR(9),""),CHAR(10),""),CHAR(13),"")," ",""),"")</f>
        <v/>
      </c>
      <c r="AB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 ",""),"!",""),CHAR(34),""),"#",""),"$",""),"%",""),"&amp;",""),"'",""),"(",""),")",""),"*",""),"+",""),",",""),"-",""),".",""),"/",""),":",""),";",""),"&lt;",""),"=",""),"&gt;",""),"?",""),"@",""),"[",""),"\",""),"]",""),"^",""),"_",""),"`",""),"{",""),"|",""),"}",""),"~",""),CHAR(9),""),CHAR(10),""),CHAR(13),"")," ",""),"")</f>
        <v/>
      </c>
      <c r="AC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 ",""),"!",""),CHAR(34),""),"#",""),"$",""),"%",""),"&amp;",""),"'",""),"(",""),")",""),"*",""),"+",""),",",""),"-",""),".",""),"/",""),":",""),";",""),"&lt;",""),"=",""),"&gt;",""),"?",""),"@",""),"[",""),"\",""),"]",""),"^",""),"_",""),"`",""),"{",""),"|",""),"}",""),"~",""),CHAR(9),""),CHAR(10),""),CHAR(13),"")," ",""),"")</f>
        <v/>
      </c>
      <c r="AD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34,6))," ",""),"!",""),CHAR(34),""),"#",""),"$",""),"%",""),"&amp;",""),"'",""),"(",""),")",""),"*",""),"+",""),",",""),"-",""),".",""),"/",""),":",""),";",""),"&lt;",""),"=",""),"&gt;",""),"?",""),"@",""),"[",""),"\",""),"]",""),"^",""),"_",""),"`",""),"{",""),"|",""),"}",""),"~",""),CHAR(9),""),CHAR(10),""),CHAR(13),"")," ",""),"")</f>
        <v/>
      </c>
      <c r="AE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34,7))," ",""),"!",""),CHAR(34),""),"#",""),"$",""),"%",""),"&amp;",""),"'",""),"(",""),")",""),"*",""),"+",""),",",""),"-",""),".",""),"/",""),":",""),";",""),"&lt;",""),"=",""),"&gt;",""),"?",""),"@",""),"[",""),"\",""),"]",""),"^",""),"_",""),"`",""),"{",""),"|",""),"}",""),"~",""),CHAR(9),""),CHAR(10),""),CHAR(13),"")," ",""),"")</f>
        <v/>
      </c>
      <c r="AF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34,8))," ",""),"!",""),CHAR(34),""),"#",""),"$",""),"%",""),"&amp;",""),"'",""),"(",""),")",""),"*",""),"+",""),",",""),"-",""),".",""),"/",""),":",""),";",""),"&lt;",""),"=",""),"&gt;",""),"?",""),"@",""),"[",""),"\",""),"]",""),"^",""),"_",""),"`",""),"{",""),"|",""),"}",""),"~",""),CHAR(9),""),CHAR(10),""),CHAR(13),"")," ",""),"")</f>
        <v/>
      </c>
      <c r="AG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34,9))," ",""),"!",""),CHAR(34),""),"#",""),"$",""),"%",""),"&amp;",""),"'",""),"(",""),")",""),"*",""),"+",""),",",""),"-",""),".",""),"/",""),":",""),";",""),"&lt;",""),"=",""),"&gt;",""),"?",""),"@",""),"[",""),"\",""),"]",""),"^",""),"_",""),"`",""),"{",""),"|",""),"}",""),"~",""),CHAR(9),""),CHAR(10),""),CHAR(13),"")," ",""),"")</f>
        <v/>
      </c>
      <c r="AH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34,10))," ",""),"!",""),CHAR(34),""),"#",""),"$",""),"%",""),"&amp;",""),"'",""),"(",""),")",""),"*",""),"+",""),",",""),"-",""),".",""),"/",""),":",""),";",""),"&lt;",""),"=",""),"&gt;",""),"?",""),"@",""),"[",""),"\",""),"]",""),"^",""),"_",""),"`",""),"{",""),"|",""),"}",""),"~",""),CHAR(9),""),CHAR(10),""),CHAR(13),"")," ",""),"")</f>
        <v/>
      </c>
      <c r="AI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34,11))," ",""),"!",""),CHAR(34),""),"#",""),"$",""),"%",""),"&amp;",""),"'",""),"(",""),")",""),"*",""),"+",""),",",""),"-",""),".",""),"/",""),":",""),";",""),"&lt;",""),"=",""),"&gt;",""),"?",""),"@",""),"[",""),"\",""),"]",""),"^",""),"_",""),"`",""),"{",""),"|",""),"}",""),"~",""),CHAR(9),""),CHAR(10),""),CHAR(13),"")," ",""),"")</f>
        <v/>
      </c>
      <c r="AJ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34,12))," ",""),"!",""),CHAR(34),""),"#",""),"$",""),"%",""),"&amp;",""),"'",""),"(",""),")",""),"*",""),"+",""),",",""),"-",""),".",""),"/",""),":",""),";",""),"&lt;",""),"=",""),"&gt;",""),"?",""),"@",""),"[",""),"\",""),"]",""),"^",""),"_",""),"`",""),"{",""),"|",""),"}",""),"~",""),CHAR(9),""),CHAR(10),""),CHAR(13),"")," ",""),"")</f>
        <v/>
      </c>
      <c r="AK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34,13))," ",""),"!",""),CHAR(34),""),"#",""),"$",""),"%",""),"&amp;",""),"'",""),"(",""),")",""),"*",""),"+",""),",",""),"-",""),".",""),"/",""),":",""),";",""),"&lt;",""),"=",""),"&gt;",""),"?",""),"@",""),"[",""),"\",""),"]",""),"^",""),"_",""),"`",""),"{",""),"|",""),"}",""),"~",""),CHAR(9),""),CHAR(10),""),CHAR(13),"")," ",""),"")</f>
        <v/>
      </c>
      <c r="AL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34,14))," ",""),"!",""),CHAR(34),""),"#",""),"$",""),"%",""),"&amp;",""),"'",""),"(",""),")",""),"*",""),"+",""),",",""),"-",""),".",""),"/",""),":",""),";",""),"&lt;",""),"=",""),"&gt;",""),"?",""),"@",""),"[",""),"\",""),"]",""),"^",""),"_",""),"`",""),"{",""),"|",""),"}",""),"~",""),CHAR(9),""),CHAR(10),""),CHAR(13),"")," ",""),"")</f>
        <v/>
      </c>
      <c r="AM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34,15))," ",""),"!",""),CHAR(34),""),"#",""),"$",""),"%",""),"&amp;",""),"'",""),"(",""),")",""),"*",""),"+",""),",",""),"-",""),".",""),"/",""),":",""),";",""),"&lt;",""),"=",""),"&gt;",""),"?",""),"@",""),"[",""),"\",""),"]",""),"^",""),"_",""),"`",""),"{",""),"|",""),"}",""),"~",""),CHAR(9),""),CHAR(10),""),CHAR(13),"")," ",""),"")</f>
        <v/>
      </c>
      <c r="AN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34,16))," ",""),"!",""),CHAR(34),""),"#",""),"$",""),"%",""),"&amp;",""),"'",""),"(",""),")",""),"*",""),"+",""),",",""),"-",""),".",""),"/",""),":",""),";",""),"&lt;",""),"=",""),"&gt;",""),"?",""),"@",""),"[",""),"\",""),"]",""),"^",""),"_",""),"`",""),"{",""),"|",""),"}",""),"~",""),CHAR(9),""),CHAR(10),""),CHAR(13),"")," ",""),"")</f>
        <v/>
      </c>
      <c r="AO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34,17))," ",""),"!",""),CHAR(34),""),"#",""),"$",""),"%",""),"&amp;",""),"'",""),"(",""),")",""),"*",""),"+",""),",",""),"-",""),".",""),"/",""),":",""),";",""),"&lt;",""),"=",""),"&gt;",""),"?",""),"@",""),"[",""),"\",""),"]",""),"^",""),"_",""),"`",""),"{",""),"|",""),"}",""),"~",""),CHAR(9),""),CHAR(10),""),CHAR(13),"")," ",""),"")</f>
        <v/>
      </c>
      <c r="AP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34,18))," ",""),"!",""),CHAR(34),""),"#",""),"$",""),"%",""),"&amp;",""),"'",""),"(",""),")",""),"*",""),"+",""),",",""),"-",""),".",""),"/",""),":",""),";",""),"&lt;",""),"=",""),"&gt;",""),"?",""),"@",""),"[",""),"\",""),"]",""),"^",""),"_",""),"`",""),"{",""),"|",""),"}",""),"~",""),CHAR(9),""),CHAR(10),""),CHAR(13),"")," ",""),"")</f>
        <v/>
      </c>
      <c r="AQ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34,19))," ",""),"!",""),CHAR(34),""),"#",""),"$",""),"%",""),"&amp;",""),"'",""),"(",""),")",""),"*",""),"+",""),",",""),"-",""),".",""),"/",""),":",""),";",""),"&lt;",""),"=",""),"&gt;",""),"?",""),"@",""),"[",""),"\",""),"]",""),"^",""),"_",""),"`",""),"{",""),"|",""),"}",""),"~",""),CHAR(9),""),CHAR(10),""),CHAR(13),"")," ",""),"")</f>
        <v/>
      </c>
      <c r="AR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34,20))," ",""),"!",""),CHAR(34),""),"#",""),"$",""),"%",""),"&amp;",""),"'",""),"(",""),")",""),"*",""),"+",""),",",""),"-",""),".",""),"/",""),":",""),";",""),"&lt;",""),"=",""),"&gt;",""),"?",""),"@",""),"[",""),"\",""),"]",""),"^",""),"_",""),"`",""),"{",""),"|",""),"}",""),"~",""),CHAR(9),""),CHAR(10),""),CHAR(13),"")," ",""),"")</f>
        <v/>
      </c>
      <c r="AS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34,21))," ",""),"!",""),CHAR(34),""),"#",""),"$",""),"%",""),"&amp;",""),"'",""),"(",""),")",""),"*",""),"+",""),",",""),"-",""),".",""),"/",""),":",""),";",""),"&lt;",""),"=",""),"&gt;",""),"?",""),"@",""),"[",""),"\",""),"]",""),"^",""),"_",""),"`",""),"{",""),"|",""),"}",""),"~",""),CHAR(9),""),CHAR(10),""),CHAR(13),"")," ",""),"")</f>
        <v/>
      </c>
      <c r="AT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34,22))," ",""),"!",""),CHAR(34),""),"#",""),"$",""),"%",""),"&amp;",""),"'",""),"(",""),")",""),"*",""),"+",""),",",""),"-",""),".",""),"/",""),":",""),";",""),"&lt;",""),"=",""),"&gt;",""),"?",""),"@",""),"[",""),"\",""),"]",""),"^",""),"_",""),"`",""),"{",""),"|",""),"}",""),"~",""),CHAR(9),""),CHAR(10),""),CHAR(13),"")," ",""),"")</f>
        <v/>
      </c>
      <c r="AU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34,23))," ",""),"!",""),CHAR(34),""),"#",""),"$",""),"%",""),"&amp;",""),"'",""),"(",""),")",""),"*",""),"+",""),",",""),"-",""),".",""),"/",""),":",""),";",""),"&lt;",""),"=",""),"&gt;",""),"?",""),"@",""),"[",""),"\",""),"]",""),"^",""),"_",""),"`",""),"{",""),"|",""),"}",""),"~",""),CHAR(9),""),CHAR(10),""),CHAR(13),"")," ",""),"")</f>
        <v/>
      </c>
      <c r="AV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34,24))," ",""),"!",""),CHAR(34),""),"#",""),"$",""),"%",""),"&amp;",""),"'",""),"(",""),")",""),"*",""),"+",""),",",""),"-",""),".",""),"/",""),":",""),";",""),"&lt;",""),"=",""),"&gt;",""),"?",""),"@",""),"[",""),"\",""),"]",""),"^",""),"_",""),"`",""),"{",""),"|",""),"}",""),"~",""),CHAR(9),""),CHAR(10),""),CHAR(13),"")," ",""),"")</f>
        <v/>
      </c>
      <c r="AW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34,25))," ",""),"!",""),CHAR(34),""),"#",""),"$",""),"%",""),"&amp;",""),"'",""),"(",""),")",""),"*",""),"+",""),",",""),"-",""),".",""),"/",""),":",""),";",""),"&lt;",""),"=",""),"&gt;",""),"?",""),"@",""),"[",""),"\",""),"]",""),"^",""),"_",""),"`",""),"{",""),"|",""),"}",""),"~",""),CHAR(9),""),CHAR(10),""),CHAR(13),"")," ",""),"")</f>
        <v/>
      </c>
      <c r="AX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34,26))," ",""),"!",""),CHAR(34),""),"#",""),"$",""),"%",""),"&amp;",""),"'",""),"(",""),")",""),"*",""),"+",""),",",""),"-",""),".",""),"/",""),":",""),";",""),"&lt;",""),"=",""),"&gt;",""),"?",""),"@",""),"[",""),"\",""),"]",""),"^",""),"_",""),"`",""),"{",""),"|",""),"}",""),"~",""),CHAR(9),""),CHAR(10),""),CHAR(13),"")," ",""),"")</f>
        <v/>
      </c>
      <c r="AY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34,27))," ",""),"!",""),CHAR(34),""),"#",""),"$",""),"%",""),"&amp;",""),"'",""),"(",""),")",""),"*",""),"+",""),",",""),"-",""),".",""),"/",""),":",""),";",""),"&lt;",""),"=",""),"&gt;",""),"?",""),"@",""),"[",""),"\",""),"]",""),"^",""),"_",""),"`",""),"{",""),"|",""),"}",""),"~",""),CHAR(9),""),CHAR(10),""),CHAR(13),"")," ",""),"")</f>
        <v/>
      </c>
      <c r="AZ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34,28))," ",""),"!",""),CHAR(34),""),"#",""),"$",""),"%",""),"&amp;",""),"'",""),"(",""),")",""),"*",""),"+",""),",",""),"-",""),".",""),"/",""),":",""),";",""),"&lt;",""),"=",""),"&gt;",""),"?",""),"@",""),"[",""),"\",""),"]",""),"^",""),"_",""),"`",""),"{",""),"|",""),"}",""),"~",""),CHAR(9),""),CHAR(10),""),CHAR(13),"")," ",""),"")</f>
        <v/>
      </c>
      <c r="BA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34,29))," ",""),"!",""),CHAR(34),""),"#",""),"$",""),"%",""),"&amp;",""),"'",""),"(",""),")",""),"*",""),"+",""),",",""),"-",""),".",""),"/",""),":",""),";",""),"&lt;",""),"=",""),"&gt;",""),"?",""),"@",""),"[",""),"\",""),"]",""),"^",""),"_",""),"`",""),"{",""),"|",""),"}",""),"~",""),CHAR(9),""),CHAR(10),""),CHAR(13),"")," ",""),"")</f>
        <v/>
      </c>
      <c r="BB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34,30))," ",""),"!",""),CHAR(34),""),"#",""),"$",""),"%",""),"&amp;",""),"'",""),"(",""),")",""),"*",""),"+",""),",",""),"-",""),".",""),"/",""),":",""),";",""),"&lt;",""),"=",""),"&gt;",""),"?",""),"@",""),"[",""),"\",""),"]",""),"^",""),"_",""),"`",""),"{",""),"|",""),"}",""),"~",""),CHAR(9),""),CHAR(10),""),CHAR(13),"")," ",""),"")</f>
        <v/>
      </c>
      <c r="BC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34,31))," ",""),"!",""),CHAR(34),""),"#",""),"$",""),"%",""),"&amp;",""),"'",""),"(",""),")",""),"*",""),"+",""),",",""),"-",""),".",""),"/",""),":",""),";",""),"&lt;",""),"=",""),"&gt;",""),"?",""),"@",""),"[",""),"\",""),"]",""),"^",""),"_",""),"`",""),"{",""),"|",""),"}",""),"~",""),CHAR(9),""),CHAR(10),""),CHAR(13),"")," ",""),"")</f>
        <v/>
      </c>
      <c r="BD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34,32))," ",""),"!",""),CHAR(34),""),"#",""),"$",""),"%",""),"&amp;",""),"'",""),"(",""),")",""),"*",""),"+",""),",",""),"-",""),".",""),"/",""),":",""),";",""),"&lt;",""),"=",""),"&gt;",""),"?",""),"@",""),"[",""),"\",""),"]",""),"^",""),"_",""),"`",""),"{",""),"|",""),"}",""),"~",""),CHAR(9),""),CHAR(10),""),CHAR(13),"")," ",""),"")</f>
        <v/>
      </c>
      <c r="BE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34,33))," ",""),"!",""),CHAR(34),""),"#",""),"$",""),"%",""),"&amp;",""),"'",""),"(",""),")",""),"*",""),"+",""),",",""),"-",""),".",""),"/",""),":",""),";",""),"&lt;",""),"=",""),"&gt;",""),"?",""),"@",""),"[",""),"\",""),"]",""),"^",""),"_",""),"`",""),"{",""),"|",""),"}",""),"~",""),CHAR(9),""),CHAR(10),""),CHAR(13),"")," ",""),"")</f>
        <v/>
      </c>
      <c r="BF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34,34))," ",""),"!",""),CHAR(34),""),"#",""),"$",""),"%",""),"&amp;",""),"'",""),"(",""),")",""),"*",""),"+",""),",",""),"-",""),".",""),"/",""),":",""),";",""),"&lt;",""),"=",""),"&gt;",""),"?",""),"@",""),"[",""),"\",""),"]",""),"^",""),"_",""),"`",""),"{",""),"|",""),"}",""),"~",""),CHAR(9),""),CHAR(10),""),CHAR(13),"")," ",""),"")</f>
        <v/>
      </c>
      <c r="BG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34,35))," ",""),"!",""),CHAR(34),""),"#",""),"$",""),"%",""),"&amp;",""),"'",""),"(",""),")",""),"*",""),"+",""),",",""),"-",""),".",""),"/",""),":",""),";",""),"&lt;",""),"=",""),"&gt;",""),"?",""),"@",""),"[",""),"\",""),"]",""),"^",""),"_",""),"`",""),"{",""),"|",""),"}",""),"~",""),CHAR(9),""),CHAR(10),""),CHAR(13),"")," ",""),"")</f>
        <v/>
      </c>
      <c r="BH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34,36))," ",""),"!",""),CHAR(34),""),"#",""),"$",""),"%",""),"&amp;",""),"'",""),"(",""),")",""),"*",""),"+",""),",",""),"-",""),".",""),"/",""),":",""),";",""),"&lt;",""),"=",""),"&gt;",""),"?",""),"@",""),"[",""),"\",""),"]",""),"^",""),"_",""),"`",""),"{",""),"|",""),"}",""),"~",""),CHAR(9),""),CHAR(10),""),CHAR(13),"")," ",""),"")</f>
        <v/>
      </c>
      <c r="BI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34,37))," ",""),"!",""),CHAR(34),""),"#",""),"$",""),"%",""),"&amp;",""),"'",""),"(",""),")",""),"*",""),"+",""),",",""),"-",""),".",""),"/",""),":",""),";",""),"&lt;",""),"=",""),"&gt;",""),"?",""),"@",""),"[",""),"\",""),"]",""),"^",""),"_",""),"`",""),"{",""),"|",""),"}",""),"~",""),CHAR(9),""),CHAR(10),""),CHAR(13),"")," ",""),"")</f>
        <v/>
      </c>
      <c r="BJ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34,38))," ",""),"!",""),CHAR(34),""),"#",""),"$",""),"%",""),"&amp;",""),"'",""),"(",""),")",""),"*",""),"+",""),",",""),"-",""),".",""),"/",""),":",""),";",""),"&lt;",""),"=",""),"&gt;",""),"?",""),"@",""),"[",""),"\",""),"]",""),"^",""),"_",""),"`",""),"{",""),"|",""),"}",""),"~",""),CHAR(9),""),CHAR(10),""),CHAR(13),"")," ",""),"")</f>
        <v/>
      </c>
      <c r="BK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34,39))," ",""),"!",""),CHAR(34),""),"#",""),"$",""),"%",""),"&amp;",""),"'",""),"(",""),")",""),"*",""),"+",""),",",""),"-",""),".",""),"/",""),":",""),";",""),"&lt;",""),"=",""),"&gt;",""),"?",""),"@",""),"[",""),"\",""),"]",""),"^",""),"_",""),"`",""),"{",""),"|",""),"}",""),"~",""),CHAR(9),""),CHAR(10),""),CHAR(13),"")," ",""),"")</f>
        <v/>
      </c>
      <c r="BL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34,40))," ",""),"!",""),CHAR(34),""),"#",""),"$",""),"%",""),"&amp;",""),"'",""),"(",""),")",""),"*",""),"+",""),",",""),"-",""),".",""),"/",""),":",""),";",""),"&lt;",""),"=",""),"&gt;",""),"?",""),"@",""),"[",""),"\",""),"]",""),"^",""),"_",""),"`",""),"{",""),"|",""),"}",""),"~",""),CHAR(9),""),CHAR(10),""),CHAR(13),"")," ",""),"")</f>
        <v/>
      </c>
      <c r="BM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34,41))," ",""),"!",""),CHAR(34),""),"#",""),"$",""),"%",""),"&amp;",""),"'",""),"(",""),")",""),"*",""),"+",""),",",""),"-",""),".",""),"/",""),":",""),";",""),"&lt;",""),"=",""),"&gt;",""),"?",""),"@",""),"[",""),"\",""),"]",""),"^",""),"_",""),"`",""),"{",""),"|",""),"}",""),"~",""),CHAR(9),""),CHAR(10),""),CHAR(13),"")," ",""),"")</f>
        <v/>
      </c>
      <c r="BN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34,42))," ",""),"!",""),CHAR(34),""),"#",""),"$",""),"%",""),"&amp;",""),"'",""),"(",""),")",""),"*",""),"+",""),",",""),"-",""),".",""),"/",""),":",""),";",""),"&lt;",""),"=",""),"&gt;",""),"?",""),"@",""),"[",""),"\",""),"]",""),"^",""),"_",""),"`",""),"{",""),"|",""),"}",""),"~",""),CHAR(9),""),CHAR(10),""),CHAR(13),"")," ",""),"")</f>
        <v/>
      </c>
      <c r="BO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34,43))," ",""),"!",""),CHAR(34),""),"#",""),"$",""),"%",""),"&amp;",""),"'",""),"(",""),")",""),"*",""),"+",""),",",""),"-",""),".",""),"/",""),":",""),";",""),"&lt;",""),"=",""),"&gt;",""),"?",""),"@",""),"[",""),"\",""),"]",""),"^",""),"_",""),"`",""),"{",""),"|",""),"}",""),"~",""),CHAR(9),""),CHAR(10),""),CHAR(13),"")," ",""),"")</f>
        <v/>
      </c>
      <c r="BP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34,44))," ",""),"!",""),CHAR(34),""),"#",""),"$",""),"%",""),"&amp;",""),"'",""),"(",""),")",""),"*",""),"+",""),",",""),"-",""),".",""),"/",""),":",""),";",""),"&lt;",""),"=",""),"&gt;",""),"?",""),"@",""),"[",""),"\",""),"]",""),"^",""),"_",""),"`",""),"{",""),"|",""),"}",""),"~",""),CHAR(9),""),CHAR(10),""),CHAR(13),"")," ",""),"")</f>
        <v/>
      </c>
      <c r="BQ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34,45))," ",""),"!",""),CHAR(34),""),"#",""),"$",""),"%",""),"&amp;",""),"'",""),"(",""),")",""),"*",""),"+",""),",",""),"-",""),".",""),"/",""),":",""),";",""),"&lt;",""),"=",""),"&gt;",""),"?",""),"@",""),"[",""),"\",""),"]",""),"^",""),"_",""),"`",""),"{",""),"|",""),"}",""),"~",""),CHAR(9),""),CHAR(10),""),CHAR(13),"")," ",""),"")</f>
        <v/>
      </c>
      <c r="BR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34,46))," ",""),"!",""),CHAR(34),""),"#",""),"$",""),"%",""),"&amp;",""),"'",""),"(",""),")",""),"*",""),"+",""),",",""),"-",""),".",""),"/",""),":",""),";",""),"&lt;",""),"=",""),"&gt;",""),"?",""),"@",""),"[",""),"\",""),"]",""),"^",""),"_",""),"`",""),"{",""),"|",""),"}",""),"~",""),CHAR(9),""),CHAR(10),""),CHAR(13),"")," ",""),"")</f>
        <v/>
      </c>
      <c r="BS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34,47))," ",""),"!",""),CHAR(34),""),"#",""),"$",""),"%",""),"&amp;",""),"'",""),"(",""),")",""),"*",""),"+",""),",",""),"-",""),".",""),"/",""),":",""),";",""),"&lt;",""),"=",""),"&gt;",""),"?",""),"@",""),"[",""),"\",""),"]",""),"^",""),"_",""),"`",""),"{",""),"|",""),"}",""),"~",""),CHAR(9),""),CHAR(10),""),CHAR(13),"")," ",""),"")</f>
        <v/>
      </c>
      <c r="BT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34,48))," ",""),"!",""),CHAR(34),""),"#",""),"$",""),"%",""),"&amp;",""),"'",""),"(",""),")",""),"*",""),"+",""),",",""),"-",""),".",""),"/",""),":",""),";",""),"&lt;",""),"=",""),"&gt;",""),"?",""),"@",""),"[",""),"\",""),"]",""),"^",""),"_",""),"`",""),"{",""),"|",""),"}",""),"~",""),CHAR(9),""),CHAR(10),""),CHAR(13),"")," ",""),"")</f>
        <v/>
      </c>
      <c r="BU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34,49))," ",""),"!",""),CHAR(34),""),"#",""),"$",""),"%",""),"&amp;",""),"'",""),"(",""),")",""),"*",""),"+",""),",",""),"-",""),".",""),"/",""),":",""),";",""),"&lt;",""),"=",""),"&gt;",""),"?",""),"@",""),"[",""),"\",""),"]",""),"^",""),"_",""),"`",""),"{",""),"|",""),"}",""),"~",""),CHAR(9),""),CHAR(10),""),CHAR(13),"")," ",""),"")</f>
        <v/>
      </c>
      <c r="BV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34,50))," ",""),"!",""),CHAR(34),""),"#",""),"$",""),"%",""),"&amp;",""),"'",""),"(",""),")",""),"*",""),"+",""),",",""),"-",""),".",""),"/",""),":",""),";",""),"&lt;",""),"=",""),"&gt;",""),"?",""),"@",""),"[",""),"\",""),"]",""),"^",""),"_",""),"`",""),"{",""),"|",""),"}",""),"~",""),CHAR(9),""),CHAR(10),""),CHAR(13),"")," ",""),"")</f>
        <v/>
      </c>
      <c r="BW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34,51))," ",""),"!",""),CHAR(34),""),"#",""),"$",""),"%",""),"&amp;",""),"'",""),"(",""),")",""),"*",""),"+",""),",",""),"-",""),".",""),"/",""),":",""),";",""),"&lt;",""),"=",""),"&gt;",""),"?",""),"@",""),"[",""),"\",""),"]",""),"^",""),"_",""),"`",""),"{",""),"|",""),"}",""),"~",""),CHAR(9),""),CHAR(10),""),CHAR(13),"")," ",""),"")</f>
        <v/>
      </c>
      <c r="BX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34,52))," ",""),"!",""),CHAR(34),""),"#",""),"$",""),"%",""),"&amp;",""),"'",""),"(",""),")",""),"*",""),"+",""),",",""),"-",""),".",""),"/",""),":",""),";",""),"&lt;",""),"=",""),"&gt;",""),"?",""),"@",""),"[",""),"\",""),"]",""),"^",""),"_",""),"`",""),"{",""),"|",""),"}",""),"~",""),CHAR(9),""),CHAR(10),""),CHAR(13),"")," ",""),"")</f>
        <v/>
      </c>
      <c r="BY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34,53))," ",""),"!",""),CHAR(34),""),"#",""),"$",""),"%",""),"&amp;",""),"'",""),"(",""),")",""),"*",""),"+",""),",",""),"-",""),".",""),"/",""),":",""),";",""),"&lt;",""),"=",""),"&gt;",""),"?",""),"@",""),"[",""),"\",""),"]",""),"^",""),"_",""),"`",""),"{",""),"|",""),"}",""),"~",""),CHAR(9),""),CHAR(10),""),CHAR(13),"")," ",""),"")</f>
        <v/>
      </c>
      <c r="BZ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34,54))," ",""),"!",""),CHAR(34),""),"#",""),"$",""),"%",""),"&amp;",""),"'",""),"(",""),")",""),"*",""),"+",""),",",""),"-",""),".",""),"/",""),":",""),";",""),"&lt;",""),"=",""),"&gt;",""),"?",""),"@",""),"[",""),"\",""),"]",""),"^",""),"_",""),"`",""),"{",""),"|",""),"}",""),"~",""),CHAR(9),""),CHAR(10),""),CHAR(13),"")," ",""),"")</f>
        <v/>
      </c>
      <c r="CA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34,55))," ",""),"!",""),CHAR(34),""),"#",""),"$",""),"%",""),"&amp;",""),"'",""),"(",""),")",""),"*",""),"+",""),",",""),"-",""),".",""),"/",""),":",""),";",""),"&lt;",""),"=",""),"&gt;",""),"?",""),"@",""),"[",""),"\",""),"]",""),"^",""),"_",""),"`",""),"{",""),"|",""),"}",""),"~",""),CHAR(9),""),CHAR(10),""),CHAR(13),"")," ",""),"")</f>
        <v/>
      </c>
      <c r="CB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34,56))," ",""),"!",""),CHAR(34),""),"#",""),"$",""),"%",""),"&amp;",""),"'",""),"(",""),")",""),"*",""),"+",""),",",""),"-",""),".",""),"/",""),":",""),";",""),"&lt;",""),"=",""),"&gt;",""),"?",""),"@",""),"[",""),"\",""),"]",""),"^",""),"_",""),"`",""),"{",""),"|",""),"}",""),"~",""),CHAR(9),""),CHAR(10),""),CHAR(13),"")," ",""),"")</f>
        <v/>
      </c>
      <c r="CC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34,57))," ",""),"!",""),CHAR(34),""),"#",""),"$",""),"%",""),"&amp;",""),"'",""),"(",""),")",""),"*",""),"+",""),",",""),"-",""),".",""),"/",""),":",""),";",""),"&lt;",""),"=",""),"&gt;",""),"?",""),"@",""),"[",""),"\",""),"]",""),"^",""),"_",""),"`",""),"{",""),"|",""),"}",""),"~",""),CHAR(9),""),CHAR(10),""),CHAR(13),"")," ",""),"")</f>
        <v/>
      </c>
      <c r="CD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34,58))," ",""),"!",""),CHAR(34),""),"#",""),"$",""),"%",""),"&amp;",""),"'",""),"(",""),")",""),"*",""),"+",""),",",""),"-",""),".",""),"/",""),":",""),";",""),"&lt;",""),"=",""),"&gt;",""),"?",""),"@",""),"[",""),"\",""),"]",""),"^",""),"_",""),"`",""),"{",""),"|",""),"}",""),"~",""),CHAR(9),""),CHAR(10),""),CHAR(13),"")," ",""),"")</f>
        <v/>
      </c>
      <c r="CE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34,59))," ",""),"!",""),CHAR(34),""),"#",""),"$",""),"%",""),"&amp;",""),"'",""),"(",""),")",""),"*",""),"+",""),",",""),"-",""),".",""),"/",""),":",""),";",""),"&lt;",""),"=",""),"&gt;",""),"?",""),"@",""),"[",""),"\",""),"]",""),"^",""),"_",""),"`",""),"{",""),"|",""),"}",""),"~",""),CHAR(9),""),CHAR(10),""),CHAR(13),"")," ",""),"")</f>
        <v/>
      </c>
      <c r="CF38">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34,60))," ",""),"!",""),CHAR(34),""),"#",""),"$",""),"%",""),"&amp;",""),"'",""),"(",""),")",""),"*",""),"+",""),",",""),"-",""),".",""),"/",""),":",""),";",""),"&lt;",""),"=",""),"&gt;",""),"?",""),"@",""),"[",""),"\",""),"]",""),"^",""),"_",""),"`",""),"{",""),"|",""),"}",""),"~",""),CHAR(9),""),CHAR(10),""),CHAR(13),"")," ",""),"")</f>
        <v/>
      </c>
      <c r="CH38">
        <f>COUNTIF($Y83:$CF83,"&gt;0")</f>
        <v/>
      </c>
      <c r="CI38">
        <f>COUNTIF($Y83:$CF83,2)</f>
        <v/>
      </c>
      <c r="CJ38">
        <f>SUMPRODUCT((COUNTIF($Y128:$CF128,{1,2,3,4,5,6,7,8,9,10,11,12,13,14,15})&gt;0)*{2,4,8,16,32,64,128,256,512,1024,2048,4096,8192,16384,32768})</f>
        <v/>
      </c>
      <c r="CK38">
        <f>CF218</f>
        <v/>
      </c>
      <c r="CL38">
        <f>SUMPRODUCT(MOD(INT(((CJ38+CK38))/{2,4,8,16,32,64,128,256,512,1024,2048,4096,8192,16384,32768}),2))</f>
        <v/>
      </c>
      <c r="CM38">
        <f>IF(CH38&lt;2,-9999,CL38+2*MOD(INT(((CJ38+CK38))/2),2)+2*MOD(INT(((CJ38+CK38))/4),2)-CI38)</f>
        <v/>
      </c>
      <c r="DA38" t="n">
        <v>34</v>
      </c>
      <c r="DB38">
        <f>IF($B$37=0,"",IFERROR(TRIM(SUBSTITUTE(SUBSTITUTE(SUBSTITUTE(SUBSTITUTE(INDEX(PASTE_ALL,34,$B$37)," "," "),CHAR(9)," "),CHAR(10)," "),CHAR(13)," ")),""))</f>
        <v/>
      </c>
      <c r="DC38">
        <f>IF(AND(34&gt;HEADER_ROW,UPPER(DB38)="LEGEND"),1,0)</f>
        <v/>
      </c>
      <c r="DE38" t="n">
        <v>34</v>
      </c>
      <c r="DF38">
        <f>HEADER_ROW+$DE38</f>
        <v/>
      </c>
      <c r="DG38">
        <f>IF(AND($DF38&lt;=1000,$DF38&lt;$B$8),1,0)</f>
        <v/>
      </c>
      <c r="DH38">
        <f>IF($DG38=1,IFERROR(INDEX($DB$5:$DB$1004,$DF38),""),"")</f>
        <v/>
      </c>
      <c r="DI38">
        <f>IF(AND($DG38=1,$DH38&lt;&gt;""),IFERROR(SUBSTITUTE(SUBSTITUTE(TRIM(SUBSTITUTE(SUBSTITUTE(SUBSTITUTE(SUBSTITUTE(IFERROR(INDEX(PASTE_ALL,$DF38,1)&amp;"","")&amp;"␟"&amp;IFERROR(INDEX(PASTE_ALL,$DF38,2)&amp;"","")&amp;"␟"&amp;IFERROR(INDEX(PASTE_ALL,$DF38,3)&amp;"","")&amp;"␟"&amp;IFERROR(INDEX(PASTE_ALL,$DF38,4)&amp;"","")&amp;"␟"&amp;IFERROR(INDEX(PASTE_ALL,$DF38,5)&amp;"","")&amp;"␟"&amp;IFERROR(INDEX(PASTE_ALL,$DF38,6)&amp;"","")&amp;"␟"&amp;IFERROR(INDEX(PASTE_ALL,$DF38,7)&amp;"","")&amp;"␟"&amp;IFERROR(INDEX(PASTE_ALL,$DF38,8)&amp;"","")&amp;"␟"&amp;IFERROR(INDEX(PASTE_ALL,$DF38,9)&amp;"","")&amp;"␟"&amp;IFERROR(INDEX(PASTE_ALL,$DF38,10)&amp;"","")&amp;"␟"&amp;IFERROR(INDEX(PASTE_ALL,$DF38,11)&amp;"","")&amp;"␟"&amp;IFERROR(INDEX(PASTE_ALL,$DF38,12)&amp;"","")&amp;"␟"&amp;IFERROR(INDEX(PASTE_ALL,$DF38,13)&amp;"","")&amp;"␟"&amp;IFERROR(INDEX(PASTE_ALL,$DF38,14)&amp;"","")&amp;"␟"&amp;IFERROR(INDEX(PASTE_ALL,$DF38,15)&amp;"","")&amp;"␟"&amp;IFERROR(INDEX(PASTE_ALL,$DF38,16)&amp;"","")&amp;"␟"&amp;IFERROR(INDEX(PASTE_ALL,$DF38,17)&amp;"","")&amp;"␟"&amp;IFERROR(INDEX(PASTE_ALL,$DF38,18)&amp;"","")&amp;"␟"&amp;IFERROR(INDEX(PASTE_ALL,$DF38,19)&amp;"","")&amp;"␟"&amp;IFERROR(INDEX(PASTE_ALL,$DF38,20)&amp;"","")&amp;"␟"&amp;IFERROR(INDEX(PASTE_ALL,$DF38,21)&amp;"","")&amp;"␟"&amp;IFERROR(INDEX(PASTE_ALL,$DF38,22)&amp;"","")&amp;"␟"&amp;IFERROR(INDEX(PASTE_ALL,$DF38,23)&amp;"","")&amp;"␟"&amp;IFERROR(INDEX(PASTE_ALL,$DF38,24)&amp;"","")&amp;"␟"&amp;IFERROR(INDEX(PASTE_ALL,$DF38,25)&amp;"","")&amp;"␟"&amp;IFERROR(INDEX(PASTE_ALL,$DF38,26)&amp;"","")&amp;"␟"&amp;IFERROR(INDEX(PASTE_ALL,$DF38,27)&amp;"","")&amp;"␟"&amp;IFERROR(INDEX(PASTE_ALL,$DF38,28)&amp;"","")&amp;"␟"&amp;IFERROR(INDEX(PASTE_ALL,$DF38,29)&amp;"","")&amp;"␟"&amp;IFERROR(INDEX(PASTE_ALL,$DF38,30)&amp;"","")&amp;"␟"&amp;IFERROR(INDEX(PASTE_ALL,$DF38,31)&amp;"","")&amp;"␟"&amp;IFERROR(INDEX(PASTE_ALL,$DF38,32)&amp;"","")&amp;"␟"&amp;IFERROR(INDEX(PASTE_ALL,$DF38,33)&amp;"","")&amp;"␟"&amp;IFERROR(INDEX(PASTE_ALL,$DF38,34)&amp;"","")&amp;"␟"&amp;IFERROR(INDEX(PASTE_ALL,$DF38,35)&amp;"","")&amp;"␟"&amp;IFERROR(INDEX(PASTE_ALL,$DF38,36)&amp;"","")&amp;"␟"&amp;IFERROR(INDEX(PASTE_ALL,$DF38,37)&amp;"","")&amp;"␟"&amp;IFERROR(INDEX(PASTE_ALL,$DF38,38)&amp;"","")&amp;"␟"&amp;IFERROR(INDEX(PASTE_ALL,$DF38,39)&amp;"","")&amp;"␟"&amp;IFERROR(INDEX(PASTE_ALL,$DF38,40)&amp;"","")&amp;"␟"&amp;IFERROR(INDEX(PASTE_ALL,$DF38,41)&amp;"","")&amp;"␟"&amp;IFERROR(INDEX(PASTE_ALL,$DF38,42)&amp;"","")&amp;"␟"&amp;IFERROR(INDEX(PASTE_ALL,$DF38,43)&amp;"","")&amp;"␟"&amp;IFERROR(INDEX(PASTE_ALL,$DF38,44)&amp;"","")&amp;"␟"&amp;IFERROR(INDEX(PASTE_ALL,$DF38,45)&amp;"","")&amp;"␟"&amp;IFERROR(INDEX(PASTE_ALL,$DF38,46)&amp;"","")&amp;"␟"&amp;IFERROR(INDEX(PASTE_ALL,$DF38,47)&amp;"","")&amp;"␟"&amp;IFERROR(INDEX(PASTE_ALL,$DF38,48)&amp;"","")&amp;"␟"&amp;IFERROR(INDEX(PASTE_ALL,$DF38,49)&amp;"","")&amp;"␟"&amp;IFERROR(INDEX(PASTE_ALL,$DF38,50)&amp;"","")&amp;"␟"&amp;IFERROR(INDEX(PASTE_ALL,$DF38,51)&amp;"","")&amp;"␟"&amp;IFERROR(INDEX(PASTE_ALL,$DF38,52)&amp;"","")&amp;"␟"&amp;IFERROR(INDEX(PASTE_ALL,$DF38,53)&amp;"","")&amp;"␟"&amp;IFERROR(INDEX(PASTE_ALL,$DF38,54)&amp;"","")&amp;"␟"&amp;IFERROR(INDEX(PASTE_ALL,$DF38,55)&amp;"","")&amp;"␟"&amp;IFERROR(INDEX(PASTE_ALL,$DF38,56)&amp;"","")&amp;"␟"&amp;IFERROR(INDEX(PASTE_ALL,$DF38,57)&amp;"","")&amp;"␟"&amp;IFERROR(INDEX(PASTE_ALL,$DF38,58)&amp;"","")&amp;"␟"&amp;IFERROR(INDEX(PASTE_ALL,$DF38,59)&amp;"","")&amp;"␟"&amp;IFERROR(INDEX(PASTE_ALL,$DF38,60)&amp;"","")," "," "),CHAR(9)," "),CHAR(10)," "),CHAR(13)," "))," ␟","␟"),"␟ ","␟"),"#"&amp;$DE38),"")</f>
        <v/>
      </c>
      <c r="DJ38">
        <f>IF($DI38="",0,IF(SUMPRODUCT(--EXACT($DI$4:DI37,$DI38))&gt;0,1,0))</f>
        <v/>
      </c>
      <c r="DK38">
        <f>IF(AND($DI38&lt;&gt;"",$DJ38=0),1,0)</f>
        <v/>
      </c>
      <c r="DL38">
        <f>DL37+$DK38</f>
        <v/>
      </c>
      <c r="DM38">
        <f>IF(AND($DK38=1,$DL38&lt;=600),1,0)</f>
        <v/>
      </c>
      <c r="DN38">
        <f>IF($DM38=0,"",IF($L$6=0,"",IFERROR(IF(ISNUMBER(INDEX(PASTE_ALL,$DF38,$L$6)),INDEX(PASTE_ALL,$DF38,$L$6),TRIM(SUBSTITUTE(SUBSTITUTE(SUBSTITUTE(SUBSTITUTE(INDEX(PASTE_ALL,$DF38,$L$6)," "," "),CHAR(9)," "),CHAR(10)," "),CHAR(13)," "))),"")))</f>
        <v/>
      </c>
      <c r="DO38">
        <f>IF($DM38=0,"",IF($L$7=0,"",IFERROR(IF(ISNUMBER(INDEX(PASTE_ALL,$DF38,$L$7)),INDEX(PASTE_ALL,$DF38,$L$7),TRIM(SUBSTITUTE(SUBSTITUTE(SUBSTITUTE(SUBSTITUTE(INDEX(PASTE_ALL,$DF38,$L$7)," "," "),CHAR(9)," "),CHAR(10)," "),CHAR(13)," "))),"")))</f>
        <v/>
      </c>
      <c r="DP38">
        <f>IF($DM38=0,"",IF($L$8=0,"",IFERROR(IF(ISNUMBER(INDEX(PASTE_ALL,$DF38,$L$8)),INDEX(PASTE_ALL,$DF38,$L$8),TRIM(SUBSTITUTE(SUBSTITUTE(SUBSTITUTE(SUBSTITUTE(INDEX(PASTE_ALL,$DF38,$L$8)," "," "),CHAR(9)," "),CHAR(10)," "),CHAR(13)," "))),"")))</f>
        <v/>
      </c>
      <c r="DQ38">
        <f>IF($DM38=0,"",IF($L$9=0,"",IFERROR(IF(ISNUMBER(INDEX(PASTE_ALL,$DF38,$L$9)),INDEX(PASTE_ALL,$DF38,$L$9),TRIM(SUBSTITUTE(SUBSTITUTE(SUBSTITUTE(SUBSTITUTE(INDEX(PASTE_ALL,$DF38,$L$9)," "," "),CHAR(9)," "),CHAR(10)," "),CHAR(13)," "))),"")))</f>
        <v/>
      </c>
      <c r="DR38">
        <f>IF($DM38=0,"",IF($L$10=0,"",IFERROR(IF(ISNUMBER(INDEX(PASTE_ALL,$DF38,$L$10)),INDEX(PASTE_ALL,$DF38,$L$10),TRIM(SUBSTITUTE(SUBSTITUTE(SUBSTITUTE(SUBSTITUTE(INDEX(PASTE_ALL,$DF38,$L$10)," "," "),CHAR(9)," "),CHAR(10)," "),CHAR(13)," "))),"")))</f>
        <v/>
      </c>
      <c r="DS38">
        <f>IF($DM38=0,"",IF($L$11=0,"",IFERROR(IF(ISNUMBER(INDEX(PASTE_ALL,$DF38,$L$11)),INDEX(PASTE_ALL,$DF38,$L$11),TRIM(SUBSTITUTE(SUBSTITUTE(SUBSTITUTE(SUBSTITUTE(INDEX(PASTE_ALL,$DF38,$L$11)," "," "),CHAR(9)," "),CHAR(10)," "),CHAR(13)," "))),"")))</f>
        <v/>
      </c>
      <c r="DT38">
        <f>IF($DM38=0,"",IF($L$12=0,"",IFERROR(IF(ISNUMBER(INDEX(PASTE_ALL,$DF38,$L$12)),INDEX(PASTE_ALL,$DF38,$L$12),TRIM(SUBSTITUTE(SUBSTITUTE(SUBSTITUTE(SUBSTITUTE(INDEX(PASTE_ALL,$DF38,$L$12)," "," "),CHAR(9)," "),CHAR(10)," "),CHAR(13)," "))),"")))</f>
        <v/>
      </c>
      <c r="DU38">
        <f>IF($DM38=0,"",IF($L$13=0,"",IFERROR(IF(ISNUMBER(INDEX(PASTE_ALL,$DF38,$L$13)),INDEX(PASTE_ALL,$DF38,$L$13),TRIM(SUBSTITUTE(SUBSTITUTE(SUBSTITUTE(SUBSTITUTE(INDEX(PASTE_ALL,$DF38,$L$13)," "," "),CHAR(9)," "),CHAR(10)," "),CHAR(13)," "))),"")))</f>
        <v/>
      </c>
      <c r="DV38">
        <f>IF($DM38=0,"",IF($L$14=0,"",IFERROR(IF(ISNUMBER(INDEX(PASTE_ALL,$DF38,$L$14)),INDEX(PASTE_ALL,$DF38,$L$14),TRIM(SUBSTITUTE(SUBSTITUTE(SUBSTITUTE(SUBSTITUTE(INDEX(PASTE_ALL,$DF38,$L$14)," "," "),CHAR(9)," "),CHAR(10)," "),CHAR(13)," "))),"")))</f>
        <v/>
      </c>
      <c r="DW38">
        <f>IF($DM38=0,"",IF($L$15=0,"",IFERROR(IF(ISNUMBER(INDEX(PASTE_ALL,$DF38,$L$15)),INDEX(PASTE_ALL,$DF38,$L$15),IF(SUMPRODUCT(--ISNUMBER(FIND({"A","B","C","D","E","F","G","H","I","J","K","L","M","N","O","P","Q","R","S","T","U","V","W","X","Y","Z","0","1","2","3","4","5","6","7","8","9"},UPPER(TRIM(SUBSTITUTE(SUBSTITUTE(SUBSTITUTE(SUBSTITUTE(INDEX(PASTE_ALL,$DF38,$L$15)," "," "),CHAR(9)," "),CHAR(10)," "),CHAR(13)," "))))))&gt;0,TRIM(SUBSTITUTE(SUBSTITUTE(SUBSTITUTE(SUBSTITUTE(INDEX(PASTE_ALL,$DF38,$L$15)," "," "),CHAR(9)," "),CHAR(10)," "),CHAR(13)," ")),"")),"")))</f>
        <v/>
      </c>
      <c r="DX38">
        <f>IF($DM38=0,"",IF($L$16=0,"",IFERROR(IF(ISNUMBER(INDEX(PASTE_ALL,$DF38,$L$16)),INDEX(PASTE_ALL,$DF38,$L$16),SUBSTITUTE(SUBSTITUTE(TRIM(SUBSTITUTE(SUBSTITUTE(SUBSTITUTE(SUBSTITUTE(INDEX(PASTE_ALL,$DF38,$L$16)," "," "),CHAR(9)," "),CHAR(10)," "),CHAR(13)," ")),",",""),"%","")),"")))</f>
        <v/>
      </c>
      <c r="DY38">
        <f>IF($DM38=0,"",IFERROR(IF(ISNUMBER($DX38),$DX38,IF($DX38="","",IF(TRIM($DX38)="",0,IF(AND(AND(SUBSTITUTE(SUBSTITUTE(SUBSTITUTE(SUBSTITUTE(SUBSTITUTE(SUBSTITUTE(SUBSTITUTE(SUBSTITUTE(SUBSTITUTE(SUBSTITUTE(SUBSTITUTE(SUBSTITUTE(SUBSTITUTE(SUBSTITUTE(UPPER(TRIM($DX38)),"0",""),"1",""),"2",""),"3",""),"4",""),"5",""),"6",""),"7",""),"8",""),"9",""),".",""),"+",""),"-",""),"E","")="",LEN(SUBSTITUTE(SUBSTITUTE(MID(UPPER(TRIM($DX38)),1+OR(LEFT(UPPER(TRIM($DX38)),1)="+",LEFT(UPPER(TRIM($DX38)),1)="-"),999),"E+","E"),"E-","E"))=LEN(SUBSTITUTE(SUBSTITUTE(SUBSTITUTE(SUBSTITUTE(MID(UPPER(TRIM($DX38)),1+OR(LEFT(UPPER(TRIM($DX38)),1)="+",LEFT(UPPER(TRIM($DX38)),1)="-"),999),"E+","E"),"E-","E"),"+",""),"-","")),LEN(UPPER(TRIM($DX38)))-LEN(SUBSTITUTE(UPPER(TRIM($DX38)),"E",""))&lt;2,LEN(UPPER(TRIM($DX38)))-LEN(SUBSTITUTE(UPPER(TRIM($DX38)),".",""))&lt;2,IFERROR(FIND(".",UPPER(TRIM($DX38))),0)&lt;IFERROR(FIND("E",UPPER(TRIM($DX38))),999)),ISNUMBER(VALUE(TRIM($DX38)))),VALUE(TRIM($DX38)),"")))),""))</f>
        <v/>
      </c>
      <c r="DZ38">
        <f>IF($DM38=0,"",IF($L$17=0,"",IFERROR(IF(ISNUMBER(INDEX(PASTE_ALL,$DF38,$L$17)),INDEX(PASTE_ALL,$DF38,$L$17),SUBSTITUTE(SUBSTITUTE(TRIM(SUBSTITUTE(SUBSTITUTE(SUBSTITUTE(SUBSTITUTE(INDEX(PASTE_ALL,$DF38,$L$17)," "," "),CHAR(9)," "),CHAR(10)," "),CHAR(13)," ")),",",""),"%","")),"")))</f>
        <v/>
      </c>
      <c r="EA38">
        <f>IF($DM38=0,"",IFERROR(IF(ISNUMBER($DZ38),$DZ38,IF($DZ38="","",IF(TRIM($DZ38)="",0,IF(AND(AND(SUBSTITUTE(SUBSTITUTE(SUBSTITUTE(SUBSTITUTE(SUBSTITUTE(SUBSTITUTE(SUBSTITUTE(SUBSTITUTE(SUBSTITUTE(SUBSTITUTE(SUBSTITUTE(SUBSTITUTE(SUBSTITUTE(SUBSTITUTE(UPPER(TRIM($DZ38)),"0",""),"1",""),"2",""),"3",""),"4",""),"5",""),"6",""),"7",""),"8",""),"9",""),".",""),"+",""),"-",""),"E","")="",LEN(SUBSTITUTE(SUBSTITUTE(MID(UPPER(TRIM($DZ38)),1+OR(LEFT(UPPER(TRIM($DZ38)),1)="+",LEFT(UPPER(TRIM($DZ38)),1)="-"),999),"E+","E"),"E-","E"))=LEN(SUBSTITUTE(SUBSTITUTE(SUBSTITUTE(SUBSTITUTE(MID(UPPER(TRIM($DZ38)),1+OR(LEFT(UPPER(TRIM($DZ38)),1)="+",LEFT(UPPER(TRIM($DZ38)),1)="-"),999),"E+","E"),"E-","E"),"+",""),"-","")),LEN(UPPER(TRIM($DZ38)))-LEN(SUBSTITUTE(UPPER(TRIM($DZ38)),"E",""))&lt;2,LEN(UPPER(TRIM($DZ38)))-LEN(SUBSTITUTE(UPPER(TRIM($DZ38)),".",""))&lt;2,IFERROR(FIND(".",UPPER(TRIM($DZ38))),0)&lt;IFERROR(FIND("E",UPPER(TRIM($DZ38))),999)),ISNUMBER(VALUE(TRIM($DZ38)))),VALUE(TRIM($DZ38)),"")))),""))</f>
        <v/>
      </c>
      <c r="EB38">
        <f>IF($DM38=0,"",IF($L$18=0,"",IFERROR(IF(UPPER(TRIM(SUBSTITUTE(SUBSTITUTE(SUBSTITUTE(SUBSTITUTE(INDEX(PASTE_ALL,$DF38,$L$18)," "," "),CHAR(9)," "),CHAR(10)," "),CHAR(13)," ")))="READY","Ready",IF(UPPER(TRIM(SUBSTITUTE(SUBSTITUTE(SUBSTITUTE(SUBSTITUTE(INDEX(PASTE_ALL,$DF38,$L$18)," "," "),CHAR(9)," "),CHAR(10)," "),CHAR(13)," ")))="PM","PM",IF(OR(UPPER(TRIM(SUBSTITUTE(SUBSTITUTE(SUBSTITUTE(SUBSTITUTE(INDEX(PASTE_ALL,$DF38,$L$18)," "," "),CHAR(9)," "),CHAR(10)," "),CHAR(13)," ")))="OT",UPPER(TRIM(SUBSTITUTE(SUBSTITUTE(SUBSTITUTE(SUBSTITUTE(INDEX(PASTE_ALL,$DF38,$L$18)," "," "),CHAR(9)," "),CHAR(10)," "),CHAR(13)," ")))="OVERTIME",UPPER(TRIM(SUBSTITUTE(SUBSTITUTE(SUBSTITUTE(SUBSTITUTE(INDEX(PASTE_ALL,$DF38,$L$18)," "," "),CHAR(9)," "),CHAR(10)," "),CHAR(13)," ")))="TRIAL"),"OT",TRIM(SUBSTITUTE(SUBSTITUTE(SUBSTITUTE(SUBSTITUTE(INDEX(PASTE_ALL,$DF38,$L$18)," "," "),CHAR(9)," "),CHAR(10)," "),CHAR(13)," "))))),"")))</f>
        <v/>
      </c>
      <c r="EC38">
        <f>IF($DM38=0,"",IF($L$19=0,"",IFERROR(IF(ISNUMBER(INDEX(PASTE_ALL,$DF38,$L$19)),INDEX(PASTE_ALL,$DF38,$L$19),TRIM(SUBSTITUTE(SUBSTITUTE(SUBSTITUTE(SUBSTITUTE(INDEX(PASTE_ALL,$DF38,$L$19)," "," "),CHAR(9)," "),CHAR(10)," "),CHAR(13)," "))),"")))</f>
        <v/>
      </c>
      <c r="ED38">
        <f>IF($DM38=0,"",MATCH(1,INDEX(EXACT($DH$5:DH38,$DH38)*$DM$5:DM38,0),0))</f>
        <v/>
      </c>
      <c r="EE38">
        <f>IF($DM38=0,0,IF($ED38=$DE38,1,0))</f>
        <v/>
      </c>
      <c r="EF38">
        <f>EF37+$EE38</f>
        <v/>
      </c>
      <c r="EG38">
        <f>IF($DM38=0,"",INDEX($EF$5:$EF$1003,$ED38))</f>
        <v/>
      </c>
      <c r="EH38">
        <f>IF($DM38=0,"",IF($DO38&lt;&gt;"","",IFERROR(LOOKUP(2,1/(($EG$4:EG37=$EG38)*($DO$4:DO37&lt;&gt;"")),$DO$4:DO37),"")))</f>
        <v/>
      </c>
      <c r="EI38">
        <f>IF($DM38=0,"",IF($DO38&lt;&gt;"",$DO38,$EH38))</f>
        <v/>
      </c>
      <c r="EJ38">
        <f>IF($DM38=0,"",IF($EI38="",0,IF(OR(ISNUMBER($EI38),AND(AND(SUBSTITUTE(SUBSTITUTE(SUBSTITUTE(SUBSTITUTE(SUBSTITUTE(SUBSTITUTE(SUBSTITUTE(SUBSTITUTE(SUBSTITUTE(SUBSTITUTE(SUBSTITUTE(SUBSTITUTE(SUBSTITUTE(SUBSTITUTE(UPPER($EI38),"0",""),"1",""),"2",""),"3",""),"4",""),"5",""),"6",""),"7",""),"8",""),"9",""),".",""),"+",""),"-",""),"E","")="",LEN(SUBSTITUTE(SUBSTITUTE(MID(UPPER($EI38),1+OR(LEFT(UPPER($EI38),1)="+",LEFT(UPPER($EI38),1)="-"),999),"E+","E"),"E-","E"))=LEN(SUBSTITUTE(SUBSTITUTE(SUBSTITUTE(SUBSTITUTE(MID(UPPER($EI38),1+OR(LEFT(UPPER($EI38),1)="+",LEFT(UPPER($EI38),1)="-"),999),"E+","E"),"E-","E"),"+",""),"-","")),LEN(UPPER($EI38))-LEN(SUBSTITUTE(UPPER($EI38),"E",""))&lt;2,LEN(UPPER($EI38))-LEN(SUBSTITUTE(UPPER($EI38),".",""))&lt;2,IFERROR(FIND(".",UPPER($EI38)),0)&lt;IFERROR(FIND("E",UPPER($EI38)),999)),ISNUMBER(VALUE($EI38)))),1,2)))</f>
        <v/>
      </c>
      <c r="EK38">
        <f>IF($DM38=0,"",IF($EJ38=1,IF(ISNUMBER($EI38),$EI38,VALUE($EI38)),IF($EJ38=2,$DE38,0)))</f>
        <v/>
      </c>
      <c r="EL38">
        <f>IF($DM38=0,"",COUNTIF($EG$5:$EG$1003,"&lt;"&amp;$EG38)+SUMPRODUCT(($EG$5:$EG$1003=$EG38)*(($EJ$5:$EJ$1003&lt;$EJ38)+($EJ$5:$EJ$1003=$EJ38)*(($EK$5:$EK$1003&lt;$EK38)+($EK$5:$EK$1003=$EK38)*($DE$5:$DE$1003&lt;$DE38))))+1)</f>
        <v/>
      </c>
      <c r="EM38">
        <f>IF($DM38=0,"",$EL38+$EG38-1)</f>
        <v/>
      </c>
      <c r="EN38">
        <f>IF($DM38=0,0,IFERROR(MATCH(1,INDEX(--(TRIM(SUBSTITUTE(SUBSTITUTE(SUBSTITUTE(SUBSTITUTE(LINES_NAME&amp;""," "," "),CHAR(9)," "),CHAR(10)," "),CHAR(13)," "))=$DH38),0),0),0))</f>
        <v/>
      </c>
      <c r="EO38">
        <f>IF($EN38=0,0,IF(OR(UPPER(TRIM(INDEX(LINES_SCHEDULED,$EN38)&amp;""))="YES",UPPER(TRIM(INDEX(LINES_SCHEDULED,$EN38)&amp;""))="Y",UPPER(TRIM(INDEX(LINES_SCHEDULED,$EN38)&amp;""))="X"),1,0))</f>
        <v/>
      </c>
      <c r="EP38">
        <f>IF($DM38=0,"",IF(COUNTIFS($EG$5:$EG$1003,$EG38,$EB$5:$EB$1003,"Ready")&gt;0,"READY",IF(COUNTIFS($EG$5:$EG$1003,$EG38,$EB$5:$EB$1003,"PM")&gt;0,"PM",IF(COUNTIFS($EG$5:$EG$1003,$EG38,$EB$5:$EB$1003,"OT")&gt;0,"OT",""))))</f>
        <v/>
      </c>
      <c r="EQ38">
        <f>IF($EN38=0,"",UPPER(TRIM(INDEX(LINES_STATUS,$EN38)&amp;"")))</f>
        <v/>
      </c>
      <c r="ER38">
        <f>IF($DM38=0,"",IF(OR($EQ38="READY",$EQ38="PM",$EQ38="OT"),$EQ38,$EP38))</f>
        <v/>
      </c>
      <c r="ES38">
        <f>IF($DM38=0,"",IF(AND($DV38&lt;&gt;"",UPPER($DV38)&lt;&gt;"N"),"allergen",IF(ISNUMBER(SEARCH("oil",$DQ38)),"oil",IF(OR(EXACT($DS38,"A662"),EXACT($DS38,"A624")),"bulk",""))))</f>
        <v/>
      </c>
      <c r="ET38">
        <f>IF($DM38=0,"",IF(OR($EA38="",$EA38=0),"",$EA38/100))</f>
        <v/>
      </c>
      <c r="EU38">
        <f>IF(OR($ET38="",$DY38=""),"",INT($DY38*(1-$ET38)+0.5))</f>
        <v/>
      </c>
      <c r="EW38" t="n">
        <v>34</v>
      </c>
      <c r="EX38">
        <f>IFERROR(MATCH($EW38,$EM$5:$EM$1003,0),0)</f>
        <v/>
      </c>
      <c r="EY38">
        <f>IF($EW38&gt;$B$12,"",IF($EX38&gt;0,"row","spacer"))</f>
        <v/>
      </c>
      <c r="EZ38">
        <f>IF(AND($EY38="row",$EY37&lt;&gt;"row"),1,0)</f>
        <v/>
      </c>
      <c r="FA38">
        <f>IF(AND($EY38="row",$EY39&lt;&gt;"row"),1,0)</f>
        <v/>
      </c>
      <c r="FB38">
        <f>IF($EZ38=1,IFERROR(IF(ISNUMBER(INDEX(PASTE_ALL,INDEX($DF$5:$DF$1003,$EX38),$B$37)),INDEX(PASTE_ALL,INDEX($DF$5:$DF$1003,$EX38),$B$37),INDEX($DH$5:$DH$1003,$EX38)),INDEX($DH$5:$DH$1003,$EX38)),"")</f>
        <v/>
      </c>
      <c r="FC38">
        <f>IF($EY38="row",INDEX($ER$5:$ER$1003,$EX38),"")</f>
        <v/>
      </c>
      <c r="FD38">
        <f>IF($EY38="row",INDEX($DN$5:$DN$1003,$EX38),"")</f>
        <v/>
      </c>
      <c r="FE38">
        <f>IF($EY38="row",INDEX($DO$5:$DO$1003,$EX38),"")</f>
        <v/>
      </c>
      <c r="FF38">
        <f>IF($EY38="row",INDEX($DP$5:$DP$1003,$EX38),"")</f>
        <v/>
      </c>
      <c r="FG38">
        <f>IF($EY38="row",INDEX($DQ$5:$DQ$1003,$EX38),"")</f>
        <v/>
      </c>
      <c r="FH38">
        <f>IF($EY38="row",INDEX($DR$5:$DR$1003,$EX38),"")</f>
        <v/>
      </c>
      <c r="FI38">
        <f>IF($EY38="row",INDEX($DS$5:$DS$1003,$EX38),"")</f>
        <v/>
      </c>
      <c r="FJ38">
        <f>IF($EY38="row",INDEX($DT$5:$DT$1003,$EX38),"")</f>
        <v/>
      </c>
      <c r="FK38">
        <f>IF($EY38="row",INDEX($DU$5:$DU$1003,$EX38),"")</f>
        <v/>
      </c>
      <c r="FL38">
        <f>IF($EY38="row",INDEX($DV$5:$DV$1003,$EX38),"")</f>
        <v/>
      </c>
      <c r="FM38">
        <f>IF($EY38="row",INDEX($DW$5:$DW$1003,$EX38),"")</f>
        <v/>
      </c>
      <c r="FN38">
        <f>IF($EY38="row",INDEX($DY$5:$DY$1003,$EX38),"")</f>
        <v/>
      </c>
      <c r="FO38">
        <f>IF($EY38="row",INDEX($EA$5:$EA$1003,$EX38),"")</f>
        <v/>
      </c>
      <c r="FP38">
        <f>IF($EY38="row",INDEX($EC$5:$EC$1003,$EX38),"")</f>
        <v/>
      </c>
      <c r="FQ38">
        <f>IF($EY38="row",INDEX($ET$5:$ET$1003,$EX38),"")</f>
        <v/>
      </c>
      <c r="FR38">
        <f>IF($EY38="row",INDEX($EU$5:$EU$1003,$EX38),"")</f>
        <v/>
      </c>
      <c r="FS38">
        <f>IF(AND($EY38="row",$EY37="row"),IF(OR(INDEX($DT$5:$DT$1003,$EX37)="",INDEX($DT$5:$DT$1003,$EX38)=""),"",IF(NOT(EXACT(INDEX($DT$5:$DT$1003,$EX37),INDEX($DT$5:$DT$1003,$EX38))),"S4",IF(NOT(EXACT(INDEX($DS$5:$DS$1003,$EX37),INDEX($DS$5:$DS$1003,$EX38))),"S3",IF(NOT(EXACT(INDEX($DR$5:$DR$1003,$EX37),INDEX($DR$5:$DR$1003,$EX38))),"S1 Count Change","S1")))),"")</f>
        <v/>
      </c>
      <c r="FT38">
        <f>IF($EY38="row",INDEX($ES$5:$ES$1003,$EX38),"")</f>
        <v/>
      </c>
      <c r="FU38">
        <f>IF($EY38="row",INDEX($EO$5:$EO$1003,$EX38),0)</f>
        <v/>
      </c>
      <c r="FV38">
        <f>IF($FS38="S1 Count Change",1,0)</f>
        <v/>
      </c>
      <c r="FX38" t="n">
        <v>34</v>
      </c>
      <c r="FY38">
        <f>IFERROR(MATCH($FX38,$EF$5:$EF$1003,0),0)</f>
        <v/>
      </c>
      <c r="FZ38">
        <f>IF($FY38=0,"",INDEX($DH$5:$DH$1003,$FY38))</f>
        <v/>
      </c>
      <c r="GA38">
        <f>IF($FY38=0,"",COUNTIF($EG$5:$EG$1003,$FX38))</f>
        <v/>
      </c>
      <c r="GB38">
        <f>IF($FY38=0,"",INDEX($ER$5:$ER$1003,$FY38))</f>
        <v/>
      </c>
      <c r="GC38">
        <f>IF($FY38=0,"",IF(INDEX($EO$5:$EO$1003,$FY38)=1,"Yes",""))</f>
        <v/>
      </c>
      <c r="GD38">
        <f>IF($FY38=0,"",IF(INDEX($EN$5:$EN$1003,$FY38)&gt;0,"","NOT IN YOUR LIST - type it in column A to tick it"))</f>
        <v/>
      </c>
      <c r="GE38">
        <f>IF(AND($FY38&gt;0,$GD38&lt;&gt;""),1,0)</f>
        <v/>
      </c>
      <c r="GF38">
        <f>GF37+$GE38</f>
        <v/>
      </c>
      <c r="GG38">
        <f>IFERROR(INDEX($FZ$5:$FZ$104,MATCH($FX38,$GF$5:$GF$104,0)),"")</f>
        <v/>
      </c>
    </row>
    <row r="39">
      <c r="A39" t="inlineStr">
        <is>
          <t>Last work order (text)</t>
        </is>
      </c>
      <c r="B39">
        <f>IF($B$17=0,"","Line "&amp;INDEX($DH$5:$DH$1003,$B$17)&amp;", WO "&amp;INDEX($DN$5:$DN$1003,$B$17)&amp;" - row "&amp;$B$18&amp;" of 1. Paste Schedule")</f>
        <v/>
      </c>
      <c r="S39" t="n">
        <v>35</v>
      </c>
      <c r="T39" t="inlineStr">
        <is>
          <t>AI</t>
        </is>
      </c>
      <c r="V39" t="inlineStr">
        <is>
          <t>2NDITEMNUMBERDESCRIPTION</t>
        </is>
      </c>
      <c r="W39" t="n">
        <v>5</v>
      </c>
      <c r="Y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 ",""),"!",""),CHAR(34),""),"#",""),"$",""),"%",""),"&amp;",""),"'",""),"(",""),")",""),"*",""),"+",""),",",""),"-",""),".",""),"/",""),":",""),";",""),"&lt;",""),"=",""),"&gt;",""),"?",""),"@",""),"[",""),"\",""),"]",""),"^",""),"_",""),"`",""),"{",""),"|",""),"}",""),"~",""),CHAR(9),""),CHAR(10),""),CHAR(13),"")," ",""),"")</f>
        <v/>
      </c>
      <c r="Z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 ",""),"!",""),CHAR(34),""),"#",""),"$",""),"%",""),"&amp;",""),"'",""),"(",""),")",""),"*",""),"+",""),",",""),"-",""),".",""),"/",""),":",""),";",""),"&lt;",""),"=",""),"&gt;",""),"?",""),"@",""),"[",""),"\",""),"]",""),"^",""),"_",""),"`",""),"{",""),"|",""),"}",""),"~",""),CHAR(9),""),CHAR(10),""),CHAR(13),"")," ",""),"")</f>
        <v/>
      </c>
      <c r="AA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 ",""),"!",""),CHAR(34),""),"#",""),"$",""),"%",""),"&amp;",""),"'",""),"(",""),")",""),"*",""),"+",""),",",""),"-",""),".",""),"/",""),":",""),";",""),"&lt;",""),"=",""),"&gt;",""),"?",""),"@",""),"[",""),"\",""),"]",""),"^",""),"_",""),"`",""),"{",""),"|",""),"}",""),"~",""),CHAR(9),""),CHAR(10),""),CHAR(13),"")," ",""),"")</f>
        <v/>
      </c>
      <c r="AB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 ",""),"!",""),CHAR(34),""),"#",""),"$",""),"%",""),"&amp;",""),"'",""),"(",""),")",""),"*",""),"+",""),",",""),"-",""),".",""),"/",""),":",""),";",""),"&lt;",""),"=",""),"&gt;",""),"?",""),"@",""),"[",""),"\",""),"]",""),"^",""),"_",""),"`",""),"{",""),"|",""),"}",""),"~",""),CHAR(9),""),CHAR(10),""),CHAR(13),"")," ",""),"")</f>
        <v/>
      </c>
      <c r="AC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 ",""),"!",""),CHAR(34),""),"#",""),"$",""),"%",""),"&amp;",""),"'",""),"(",""),")",""),"*",""),"+",""),",",""),"-",""),".",""),"/",""),":",""),";",""),"&lt;",""),"=",""),"&gt;",""),"?",""),"@",""),"[",""),"\",""),"]",""),"^",""),"_",""),"`",""),"{",""),"|",""),"}",""),"~",""),CHAR(9),""),CHAR(10),""),CHAR(13),"")," ",""),"")</f>
        <v/>
      </c>
      <c r="AD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35,6))," ",""),"!",""),CHAR(34),""),"#",""),"$",""),"%",""),"&amp;",""),"'",""),"(",""),")",""),"*",""),"+",""),",",""),"-",""),".",""),"/",""),":",""),";",""),"&lt;",""),"=",""),"&gt;",""),"?",""),"@",""),"[",""),"\",""),"]",""),"^",""),"_",""),"`",""),"{",""),"|",""),"}",""),"~",""),CHAR(9),""),CHAR(10),""),CHAR(13),"")," ",""),"")</f>
        <v/>
      </c>
      <c r="AE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35,7))," ",""),"!",""),CHAR(34),""),"#",""),"$",""),"%",""),"&amp;",""),"'",""),"(",""),")",""),"*",""),"+",""),",",""),"-",""),".",""),"/",""),":",""),";",""),"&lt;",""),"=",""),"&gt;",""),"?",""),"@",""),"[",""),"\",""),"]",""),"^",""),"_",""),"`",""),"{",""),"|",""),"}",""),"~",""),CHAR(9),""),CHAR(10),""),CHAR(13),"")," ",""),"")</f>
        <v/>
      </c>
      <c r="AF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35,8))," ",""),"!",""),CHAR(34),""),"#",""),"$",""),"%",""),"&amp;",""),"'",""),"(",""),")",""),"*",""),"+",""),",",""),"-",""),".",""),"/",""),":",""),";",""),"&lt;",""),"=",""),"&gt;",""),"?",""),"@",""),"[",""),"\",""),"]",""),"^",""),"_",""),"`",""),"{",""),"|",""),"}",""),"~",""),CHAR(9),""),CHAR(10),""),CHAR(13),"")," ",""),"")</f>
        <v/>
      </c>
      <c r="AG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35,9))," ",""),"!",""),CHAR(34),""),"#",""),"$",""),"%",""),"&amp;",""),"'",""),"(",""),")",""),"*",""),"+",""),",",""),"-",""),".",""),"/",""),":",""),";",""),"&lt;",""),"=",""),"&gt;",""),"?",""),"@",""),"[",""),"\",""),"]",""),"^",""),"_",""),"`",""),"{",""),"|",""),"}",""),"~",""),CHAR(9),""),CHAR(10),""),CHAR(13),"")," ",""),"")</f>
        <v/>
      </c>
      <c r="AH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35,10))," ",""),"!",""),CHAR(34),""),"#",""),"$",""),"%",""),"&amp;",""),"'",""),"(",""),")",""),"*",""),"+",""),",",""),"-",""),".",""),"/",""),":",""),";",""),"&lt;",""),"=",""),"&gt;",""),"?",""),"@",""),"[",""),"\",""),"]",""),"^",""),"_",""),"`",""),"{",""),"|",""),"}",""),"~",""),CHAR(9),""),CHAR(10),""),CHAR(13),"")," ",""),"")</f>
        <v/>
      </c>
      <c r="AI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35,11))," ",""),"!",""),CHAR(34),""),"#",""),"$",""),"%",""),"&amp;",""),"'",""),"(",""),")",""),"*",""),"+",""),",",""),"-",""),".",""),"/",""),":",""),";",""),"&lt;",""),"=",""),"&gt;",""),"?",""),"@",""),"[",""),"\",""),"]",""),"^",""),"_",""),"`",""),"{",""),"|",""),"}",""),"~",""),CHAR(9),""),CHAR(10),""),CHAR(13),"")," ",""),"")</f>
        <v/>
      </c>
      <c r="AJ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35,12))," ",""),"!",""),CHAR(34),""),"#",""),"$",""),"%",""),"&amp;",""),"'",""),"(",""),")",""),"*",""),"+",""),",",""),"-",""),".",""),"/",""),":",""),";",""),"&lt;",""),"=",""),"&gt;",""),"?",""),"@",""),"[",""),"\",""),"]",""),"^",""),"_",""),"`",""),"{",""),"|",""),"}",""),"~",""),CHAR(9),""),CHAR(10),""),CHAR(13),"")," ",""),"")</f>
        <v/>
      </c>
      <c r="AK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35,13))," ",""),"!",""),CHAR(34),""),"#",""),"$",""),"%",""),"&amp;",""),"'",""),"(",""),")",""),"*",""),"+",""),",",""),"-",""),".",""),"/",""),":",""),";",""),"&lt;",""),"=",""),"&gt;",""),"?",""),"@",""),"[",""),"\",""),"]",""),"^",""),"_",""),"`",""),"{",""),"|",""),"}",""),"~",""),CHAR(9),""),CHAR(10),""),CHAR(13),"")," ",""),"")</f>
        <v/>
      </c>
      <c r="AL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35,14))," ",""),"!",""),CHAR(34),""),"#",""),"$",""),"%",""),"&amp;",""),"'",""),"(",""),")",""),"*",""),"+",""),",",""),"-",""),".",""),"/",""),":",""),";",""),"&lt;",""),"=",""),"&gt;",""),"?",""),"@",""),"[",""),"\",""),"]",""),"^",""),"_",""),"`",""),"{",""),"|",""),"}",""),"~",""),CHAR(9),""),CHAR(10),""),CHAR(13),"")," ",""),"")</f>
        <v/>
      </c>
      <c r="AM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35,15))," ",""),"!",""),CHAR(34),""),"#",""),"$",""),"%",""),"&amp;",""),"'",""),"(",""),")",""),"*",""),"+",""),",",""),"-",""),".",""),"/",""),":",""),";",""),"&lt;",""),"=",""),"&gt;",""),"?",""),"@",""),"[",""),"\",""),"]",""),"^",""),"_",""),"`",""),"{",""),"|",""),"}",""),"~",""),CHAR(9),""),CHAR(10),""),CHAR(13),"")," ",""),"")</f>
        <v/>
      </c>
      <c r="AN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35,16))," ",""),"!",""),CHAR(34),""),"#",""),"$",""),"%",""),"&amp;",""),"'",""),"(",""),")",""),"*",""),"+",""),",",""),"-",""),".",""),"/",""),":",""),";",""),"&lt;",""),"=",""),"&gt;",""),"?",""),"@",""),"[",""),"\",""),"]",""),"^",""),"_",""),"`",""),"{",""),"|",""),"}",""),"~",""),CHAR(9),""),CHAR(10),""),CHAR(13),"")," ",""),"")</f>
        <v/>
      </c>
      <c r="AO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35,17))," ",""),"!",""),CHAR(34),""),"#",""),"$",""),"%",""),"&amp;",""),"'",""),"(",""),")",""),"*",""),"+",""),",",""),"-",""),".",""),"/",""),":",""),";",""),"&lt;",""),"=",""),"&gt;",""),"?",""),"@",""),"[",""),"\",""),"]",""),"^",""),"_",""),"`",""),"{",""),"|",""),"}",""),"~",""),CHAR(9),""),CHAR(10),""),CHAR(13),"")," ",""),"")</f>
        <v/>
      </c>
      <c r="AP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35,18))," ",""),"!",""),CHAR(34),""),"#",""),"$",""),"%",""),"&amp;",""),"'",""),"(",""),")",""),"*",""),"+",""),",",""),"-",""),".",""),"/",""),":",""),";",""),"&lt;",""),"=",""),"&gt;",""),"?",""),"@",""),"[",""),"\",""),"]",""),"^",""),"_",""),"`",""),"{",""),"|",""),"}",""),"~",""),CHAR(9),""),CHAR(10),""),CHAR(13),"")," ",""),"")</f>
        <v/>
      </c>
      <c r="AQ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35,19))," ",""),"!",""),CHAR(34),""),"#",""),"$",""),"%",""),"&amp;",""),"'",""),"(",""),")",""),"*",""),"+",""),",",""),"-",""),".",""),"/",""),":",""),";",""),"&lt;",""),"=",""),"&gt;",""),"?",""),"@",""),"[",""),"\",""),"]",""),"^",""),"_",""),"`",""),"{",""),"|",""),"}",""),"~",""),CHAR(9),""),CHAR(10),""),CHAR(13),"")," ",""),"")</f>
        <v/>
      </c>
      <c r="AR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35,20))," ",""),"!",""),CHAR(34),""),"#",""),"$",""),"%",""),"&amp;",""),"'",""),"(",""),")",""),"*",""),"+",""),",",""),"-",""),".",""),"/",""),":",""),";",""),"&lt;",""),"=",""),"&gt;",""),"?",""),"@",""),"[",""),"\",""),"]",""),"^",""),"_",""),"`",""),"{",""),"|",""),"}",""),"~",""),CHAR(9),""),CHAR(10),""),CHAR(13),"")," ",""),"")</f>
        <v/>
      </c>
      <c r="AS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35,21))," ",""),"!",""),CHAR(34),""),"#",""),"$",""),"%",""),"&amp;",""),"'",""),"(",""),")",""),"*",""),"+",""),",",""),"-",""),".",""),"/",""),":",""),";",""),"&lt;",""),"=",""),"&gt;",""),"?",""),"@",""),"[",""),"\",""),"]",""),"^",""),"_",""),"`",""),"{",""),"|",""),"}",""),"~",""),CHAR(9),""),CHAR(10),""),CHAR(13),"")," ",""),"")</f>
        <v/>
      </c>
      <c r="AT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35,22))," ",""),"!",""),CHAR(34),""),"#",""),"$",""),"%",""),"&amp;",""),"'",""),"(",""),")",""),"*",""),"+",""),",",""),"-",""),".",""),"/",""),":",""),";",""),"&lt;",""),"=",""),"&gt;",""),"?",""),"@",""),"[",""),"\",""),"]",""),"^",""),"_",""),"`",""),"{",""),"|",""),"}",""),"~",""),CHAR(9),""),CHAR(10),""),CHAR(13),"")," ",""),"")</f>
        <v/>
      </c>
      <c r="AU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35,23))," ",""),"!",""),CHAR(34),""),"#",""),"$",""),"%",""),"&amp;",""),"'",""),"(",""),")",""),"*",""),"+",""),",",""),"-",""),".",""),"/",""),":",""),";",""),"&lt;",""),"=",""),"&gt;",""),"?",""),"@",""),"[",""),"\",""),"]",""),"^",""),"_",""),"`",""),"{",""),"|",""),"}",""),"~",""),CHAR(9),""),CHAR(10),""),CHAR(13),"")," ",""),"")</f>
        <v/>
      </c>
      <c r="AV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35,24))," ",""),"!",""),CHAR(34),""),"#",""),"$",""),"%",""),"&amp;",""),"'",""),"(",""),")",""),"*",""),"+",""),",",""),"-",""),".",""),"/",""),":",""),";",""),"&lt;",""),"=",""),"&gt;",""),"?",""),"@",""),"[",""),"\",""),"]",""),"^",""),"_",""),"`",""),"{",""),"|",""),"}",""),"~",""),CHAR(9),""),CHAR(10),""),CHAR(13),"")," ",""),"")</f>
        <v/>
      </c>
      <c r="AW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35,25))," ",""),"!",""),CHAR(34),""),"#",""),"$",""),"%",""),"&amp;",""),"'",""),"(",""),")",""),"*",""),"+",""),",",""),"-",""),".",""),"/",""),":",""),";",""),"&lt;",""),"=",""),"&gt;",""),"?",""),"@",""),"[",""),"\",""),"]",""),"^",""),"_",""),"`",""),"{",""),"|",""),"}",""),"~",""),CHAR(9),""),CHAR(10),""),CHAR(13),"")," ",""),"")</f>
        <v/>
      </c>
      <c r="AX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35,26))," ",""),"!",""),CHAR(34),""),"#",""),"$",""),"%",""),"&amp;",""),"'",""),"(",""),")",""),"*",""),"+",""),",",""),"-",""),".",""),"/",""),":",""),";",""),"&lt;",""),"=",""),"&gt;",""),"?",""),"@",""),"[",""),"\",""),"]",""),"^",""),"_",""),"`",""),"{",""),"|",""),"}",""),"~",""),CHAR(9),""),CHAR(10),""),CHAR(13),"")," ",""),"")</f>
        <v/>
      </c>
      <c r="AY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35,27))," ",""),"!",""),CHAR(34),""),"#",""),"$",""),"%",""),"&amp;",""),"'",""),"(",""),")",""),"*",""),"+",""),",",""),"-",""),".",""),"/",""),":",""),";",""),"&lt;",""),"=",""),"&gt;",""),"?",""),"@",""),"[",""),"\",""),"]",""),"^",""),"_",""),"`",""),"{",""),"|",""),"}",""),"~",""),CHAR(9),""),CHAR(10),""),CHAR(13),"")," ",""),"")</f>
        <v/>
      </c>
      <c r="AZ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35,28))," ",""),"!",""),CHAR(34),""),"#",""),"$",""),"%",""),"&amp;",""),"'",""),"(",""),")",""),"*",""),"+",""),",",""),"-",""),".",""),"/",""),":",""),";",""),"&lt;",""),"=",""),"&gt;",""),"?",""),"@",""),"[",""),"\",""),"]",""),"^",""),"_",""),"`",""),"{",""),"|",""),"}",""),"~",""),CHAR(9),""),CHAR(10),""),CHAR(13),"")," ",""),"")</f>
        <v/>
      </c>
      <c r="BA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35,29))," ",""),"!",""),CHAR(34),""),"#",""),"$",""),"%",""),"&amp;",""),"'",""),"(",""),")",""),"*",""),"+",""),",",""),"-",""),".",""),"/",""),":",""),";",""),"&lt;",""),"=",""),"&gt;",""),"?",""),"@",""),"[",""),"\",""),"]",""),"^",""),"_",""),"`",""),"{",""),"|",""),"}",""),"~",""),CHAR(9),""),CHAR(10),""),CHAR(13),"")," ",""),"")</f>
        <v/>
      </c>
      <c r="BB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35,30))," ",""),"!",""),CHAR(34),""),"#",""),"$",""),"%",""),"&amp;",""),"'",""),"(",""),")",""),"*",""),"+",""),",",""),"-",""),".",""),"/",""),":",""),";",""),"&lt;",""),"=",""),"&gt;",""),"?",""),"@",""),"[",""),"\",""),"]",""),"^",""),"_",""),"`",""),"{",""),"|",""),"}",""),"~",""),CHAR(9),""),CHAR(10),""),CHAR(13),"")," ",""),"")</f>
        <v/>
      </c>
      <c r="BC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35,31))," ",""),"!",""),CHAR(34),""),"#",""),"$",""),"%",""),"&amp;",""),"'",""),"(",""),")",""),"*",""),"+",""),",",""),"-",""),".",""),"/",""),":",""),";",""),"&lt;",""),"=",""),"&gt;",""),"?",""),"@",""),"[",""),"\",""),"]",""),"^",""),"_",""),"`",""),"{",""),"|",""),"}",""),"~",""),CHAR(9),""),CHAR(10),""),CHAR(13),"")," ",""),"")</f>
        <v/>
      </c>
      <c r="BD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35,32))," ",""),"!",""),CHAR(34),""),"#",""),"$",""),"%",""),"&amp;",""),"'",""),"(",""),")",""),"*",""),"+",""),",",""),"-",""),".",""),"/",""),":",""),";",""),"&lt;",""),"=",""),"&gt;",""),"?",""),"@",""),"[",""),"\",""),"]",""),"^",""),"_",""),"`",""),"{",""),"|",""),"}",""),"~",""),CHAR(9),""),CHAR(10),""),CHAR(13),"")," ",""),"")</f>
        <v/>
      </c>
      <c r="BE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35,33))," ",""),"!",""),CHAR(34),""),"#",""),"$",""),"%",""),"&amp;",""),"'",""),"(",""),")",""),"*",""),"+",""),",",""),"-",""),".",""),"/",""),":",""),";",""),"&lt;",""),"=",""),"&gt;",""),"?",""),"@",""),"[",""),"\",""),"]",""),"^",""),"_",""),"`",""),"{",""),"|",""),"}",""),"~",""),CHAR(9),""),CHAR(10),""),CHAR(13),"")," ",""),"")</f>
        <v/>
      </c>
      <c r="BF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35,34))," ",""),"!",""),CHAR(34),""),"#",""),"$",""),"%",""),"&amp;",""),"'",""),"(",""),")",""),"*",""),"+",""),",",""),"-",""),".",""),"/",""),":",""),";",""),"&lt;",""),"=",""),"&gt;",""),"?",""),"@",""),"[",""),"\",""),"]",""),"^",""),"_",""),"`",""),"{",""),"|",""),"}",""),"~",""),CHAR(9),""),CHAR(10),""),CHAR(13),"")," ",""),"")</f>
        <v/>
      </c>
      <c r="BG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35,35))," ",""),"!",""),CHAR(34),""),"#",""),"$",""),"%",""),"&amp;",""),"'",""),"(",""),")",""),"*",""),"+",""),",",""),"-",""),".",""),"/",""),":",""),";",""),"&lt;",""),"=",""),"&gt;",""),"?",""),"@",""),"[",""),"\",""),"]",""),"^",""),"_",""),"`",""),"{",""),"|",""),"}",""),"~",""),CHAR(9),""),CHAR(10),""),CHAR(13),"")," ",""),"")</f>
        <v/>
      </c>
      <c r="BH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35,36))," ",""),"!",""),CHAR(34),""),"#",""),"$",""),"%",""),"&amp;",""),"'",""),"(",""),")",""),"*",""),"+",""),",",""),"-",""),".",""),"/",""),":",""),";",""),"&lt;",""),"=",""),"&gt;",""),"?",""),"@",""),"[",""),"\",""),"]",""),"^",""),"_",""),"`",""),"{",""),"|",""),"}",""),"~",""),CHAR(9),""),CHAR(10),""),CHAR(13),"")," ",""),"")</f>
        <v/>
      </c>
      <c r="BI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35,37))," ",""),"!",""),CHAR(34),""),"#",""),"$",""),"%",""),"&amp;",""),"'",""),"(",""),")",""),"*",""),"+",""),",",""),"-",""),".",""),"/",""),":",""),";",""),"&lt;",""),"=",""),"&gt;",""),"?",""),"@",""),"[",""),"\",""),"]",""),"^",""),"_",""),"`",""),"{",""),"|",""),"}",""),"~",""),CHAR(9),""),CHAR(10),""),CHAR(13),"")," ",""),"")</f>
        <v/>
      </c>
      <c r="BJ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35,38))," ",""),"!",""),CHAR(34),""),"#",""),"$",""),"%",""),"&amp;",""),"'",""),"(",""),")",""),"*",""),"+",""),",",""),"-",""),".",""),"/",""),":",""),";",""),"&lt;",""),"=",""),"&gt;",""),"?",""),"@",""),"[",""),"\",""),"]",""),"^",""),"_",""),"`",""),"{",""),"|",""),"}",""),"~",""),CHAR(9),""),CHAR(10),""),CHAR(13),"")," ",""),"")</f>
        <v/>
      </c>
      <c r="BK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35,39))," ",""),"!",""),CHAR(34),""),"#",""),"$",""),"%",""),"&amp;",""),"'",""),"(",""),")",""),"*",""),"+",""),",",""),"-",""),".",""),"/",""),":",""),";",""),"&lt;",""),"=",""),"&gt;",""),"?",""),"@",""),"[",""),"\",""),"]",""),"^",""),"_",""),"`",""),"{",""),"|",""),"}",""),"~",""),CHAR(9),""),CHAR(10),""),CHAR(13),"")," ",""),"")</f>
        <v/>
      </c>
      <c r="BL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35,40))," ",""),"!",""),CHAR(34),""),"#",""),"$",""),"%",""),"&amp;",""),"'",""),"(",""),")",""),"*",""),"+",""),",",""),"-",""),".",""),"/",""),":",""),";",""),"&lt;",""),"=",""),"&gt;",""),"?",""),"@",""),"[",""),"\",""),"]",""),"^",""),"_",""),"`",""),"{",""),"|",""),"}",""),"~",""),CHAR(9),""),CHAR(10),""),CHAR(13),"")," ",""),"")</f>
        <v/>
      </c>
      <c r="BM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35,41))," ",""),"!",""),CHAR(34),""),"#",""),"$",""),"%",""),"&amp;",""),"'",""),"(",""),")",""),"*",""),"+",""),",",""),"-",""),".",""),"/",""),":",""),";",""),"&lt;",""),"=",""),"&gt;",""),"?",""),"@",""),"[",""),"\",""),"]",""),"^",""),"_",""),"`",""),"{",""),"|",""),"}",""),"~",""),CHAR(9),""),CHAR(10),""),CHAR(13),"")," ",""),"")</f>
        <v/>
      </c>
      <c r="BN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35,42))," ",""),"!",""),CHAR(34),""),"#",""),"$",""),"%",""),"&amp;",""),"'",""),"(",""),")",""),"*",""),"+",""),",",""),"-",""),".",""),"/",""),":",""),";",""),"&lt;",""),"=",""),"&gt;",""),"?",""),"@",""),"[",""),"\",""),"]",""),"^",""),"_",""),"`",""),"{",""),"|",""),"}",""),"~",""),CHAR(9),""),CHAR(10),""),CHAR(13),"")," ",""),"")</f>
        <v/>
      </c>
      <c r="BO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35,43))," ",""),"!",""),CHAR(34),""),"#",""),"$",""),"%",""),"&amp;",""),"'",""),"(",""),")",""),"*",""),"+",""),",",""),"-",""),".",""),"/",""),":",""),";",""),"&lt;",""),"=",""),"&gt;",""),"?",""),"@",""),"[",""),"\",""),"]",""),"^",""),"_",""),"`",""),"{",""),"|",""),"}",""),"~",""),CHAR(9),""),CHAR(10),""),CHAR(13),"")," ",""),"")</f>
        <v/>
      </c>
      <c r="BP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35,44))," ",""),"!",""),CHAR(34),""),"#",""),"$",""),"%",""),"&amp;",""),"'",""),"(",""),")",""),"*",""),"+",""),",",""),"-",""),".",""),"/",""),":",""),";",""),"&lt;",""),"=",""),"&gt;",""),"?",""),"@",""),"[",""),"\",""),"]",""),"^",""),"_",""),"`",""),"{",""),"|",""),"}",""),"~",""),CHAR(9),""),CHAR(10),""),CHAR(13),"")," ",""),"")</f>
        <v/>
      </c>
      <c r="BQ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35,45))," ",""),"!",""),CHAR(34),""),"#",""),"$",""),"%",""),"&amp;",""),"'",""),"(",""),")",""),"*",""),"+",""),",",""),"-",""),".",""),"/",""),":",""),";",""),"&lt;",""),"=",""),"&gt;",""),"?",""),"@",""),"[",""),"\",""),"]",""),"^",""),"_",""),"`",""),"{",""),"|",""),"}",""),"~",""),CHAR(9),""),CHAR(10),""),CHAR(13),"")," ",""),"")</f>
        <v/>
      </c>
      <c r="BR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35,46))," ",""),"!",""),CHAR(34),""),"#",""),"$",""),"%",""),"&amp;",""),"'",""),"(",""),")",""),"*",""),"+",""),",",""),"-",""),".",""),"/",""),":",""),";",""),"&lt;",""),"=",""),"&gt;",""),"?",""),"@",""),"[",""),"\",""),"]",""),"^",""),"_",""),"`",""),"{",""),"|",""),"}",""),"~",""),CHAR(9),""),CHAR(10),""),CHAR(13),"")," ",""),"")</f>
        <v/>
      </c>
      <c r="BS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35,47))," ",""),"!",""),CHAR(34),""),"#",""),"$",""),"%",""),"&amp;",""),"'",""),"(",""),")",""),"*",""),"+",""),",",""),"-",""),".",""),"/",""),":",""),";",""),"&lt;",""),"=",""),"&gt;",""),"?",""),"@",""),"[",""),"\",""),"]",""),"^",""),"_",""),"`",""),"{",""),"|",""),"}",""),"~",""),CHAR(9),""),CHAR(10),""),CHAR(13),"")," ",""),"")</f>
        <v/>
      </c>
      <c r="BT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35,48))," ",""),"!",""),CHAR(34),""),"#",""),"$",""),"%",""),"&amp;",""),"'",""),"(",""),")",""),"*",""),"+",""),",",""),"-",""),".",""),"/",""),":",""),";",""),"&lt;",""),"=",""),"&gt;",""),"?",""),"@",""),"[",""),"\",""),"]",""),"^",""),"_",""),"`",""),"{",""),"|",""),"}",""),"~",""),CHAR(9),""),CHAR(10),""),CHAR(13),"")," ",""),"")</f>
        <v/>
      </c>
      <c r="BU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35,49))," ",""),"!",""),CHAR(34),""),"#",""),"$",""),"%",""),"&amp;",""),"'",""),"(",""),")",""),"*",""),"+",""),",",""),"-",""),".",""),"/",""),":",""),";",""),"&lt;",""),"=",""),"&gt;",""),"?",""),"@",""),"[",""),"\",""),"]",""),"^",""),"_",""),"`",""),"{",""),"|",""),"}",""),"~",""),CHAR(9),""),CHAR(10),""),CHAR(13),"")," ",""),"")</f>
        <v/>
      </c>
      <c r="BV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35,50))," ",""),"!",""),CHAR(34),""),"#",""),"$",""),"%",""),"&amp;",""),"'",""),"(",""),")",""),"*",""),"+",""),",",""),"-",""),".",""),"/",""),":",""),";",""),"&lt;",""),"=",""),"&gt;",""),"?",""),"@",""),"[",""),"\",""),"]",""),"^",""),"_",""),"`",""),"{",""),"|",""),"}",""),"~",""),CHAR(9),""),CHAR(10),""),CHAR(13),"")," ",""),"")</f>
        <v/>
      </c>
      <c r="BW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35,51))," ",""),"!",""),CHAR(34),""),"#",""),"$",""),"%",""),"&amp;",""),"'",""),"(",""),")",""),"*",""),"+",""),",",""),"-",""),".",""),"/",""),":",""),";",""),"&lt;",""),"=",""),"&gt;",""),"?",""),"@",""),"[",""),"\",""),"]",""),"^",""),"_",""),"`",""),"{",""),"|",""),"}",""),"~",""),CHAR(9),""),CHAR(10),""),CHAR(13),"")," ",""),"")</f>
        <v/>
      </c>
      <c r="BX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35,52))," ",""),"!",""),CHAR(34),""),"#",""),"$",""),"%",""),"&amp;",""),"'",""),"(",""),")",""),"*",""),"+",""),",",""),"-",""),".",""),"/",""),":",""),";",""),"&lt;",""),"=",""),"&gt;",""),"?",""),"@",""),"[",""),"\",""),"]",""),"^",""),"_",""),"`",""),"{",""),"|",""),"}",""),"~",""),CHAR(9),""),CHAR(10),""),CHAR(13),"")," ",""),"")</f>
        <v/>
      </c>
      <c r="BY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35,53))," ",""),"!",""),CHAR(34),""),"#",""),"$",""),"%",""),"&amp;",""),"'",""),"(",""),")",""),"*",""),"+",""),",",""),"-",""),".",""),"/",""),":",""),";",""),"&lt;",""),"=",""),"&gt;",""),"?",""),"@",""),"[",""),"\",""),"]",""),"^",""),"_",""),"`",""),"{",""),"|",""),"}",""),"~",""),CHAR(9),""),CHAR(10),""),CHAR(13),"")," ",""),"")</f>
        <v/>
      </c>
      <c r="BZ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35,54))," ",""),"!",""),CHAR(34),""),"#",""),"$",""),"%",""),"&amp;",""),"'",""),"(",""),")",""),"*",""),"+",""),",",""),"-",""),".",""),"/",""),":",""),";",""),"&lt;",""),"=",""),"&gt;",""),"?",""),"@",""),"[",""),"\",""),"]",""),"^",""),"_",""),"`",""),"{",""),"|",""),"}",""),"~",""),CHAR(9),""),CHAR(10),""),CHAR(13),"")," ",""),"")</f>
        <v/>
      </c>
      <c r="CA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35,55))," ",""),"!",""),CHAR(34),""),"#",""),"$",""),"%",""),"&amp;",""),"'",""),"(",""),")",""),"*",""),"+",""),",",""),"-",""),".",""),"/",""),":",""),";",""),"&lt;",""),"=",""),"&gt;",""),"?",""),"@",""),"[",""),"\",""),"]",""),"^",""),"_",""),"`",""),"{",""),"|",""),"}",""),"~",""),CHAR(9),""),CHAR(10),""),CHAR(13),"")," ",""),"")</f>
        <v/>
      </c>
      <c r="CB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35,56))," ",""),"!",""),CHAR(34),""),"#",""),"$",""),"%",""),"&amp;",""),"'",""),"(",""),")",""),"*",""),"+",""),",",""),"-",""),".",""),"/",""),":",""),";",""),"&lt;",""),"=",""),"&gt;",""),"?",""),"@",""),"[",""),"\",""),"]",""),"^",""),"_",""),"`",""),"{",""),"|",""),"}",""),"~",""),CHAR(9),""),CHAR(10),""),CHAR(13),"")," ",""),"")</f>
        <v/>
      </c>
      <c r="CC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35,57))," ",""),"!",""),CHAR(34),""),"#",""),"$",""),"%",""),"&amp;",""),"'",""),"(",""),")",""),"*",""),"+",""),",",""),"-",""),".",""),"/",""),":",""),";",""),"&lt;",""),"=",""),"&gt;",""),"?",""),"@",""),"[",""),"\",""),"]",""),"^",""),"_",""),"`",""),"{",""),"|",""),"}",""),"~",""),CHAR(9),""),CHAR(10),""),CHAR(13),"")," ",""),"")</f>
        <v/>
      </c>
      <c r="CD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35,58))," ",""),"!",""),CHAR(34),""),"#",""),"$",""),"%",""),"&amp;",""),"'",""),"(",""),")",""),"*",""),"+",""),",",""),"-",""),".",""),"/",""),":",""),";",""),"&lt;",""),"=",""),"&gt;",""),"?",""),"@",""),"[",""),"\",""),"]",""),"^",""),"_",""),"`",""),"{",""),"|",""),"}",""),"~",""),CHAR(9),""),CHAR(10),""),CHAR(13),"")," ",""),"")</f>
        <v/>
      </c>
      <c r="CE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35,59))," ",""),"!",""),CHAR(34),""),"#",""),"$",""),"%",""),"&amp;",""),"'",""),"(",""),")",""),"*",""),"+",""),",",""),"-",""),".",""),"/",""),":",""),";",""),"&lt;",""),"=",""),"&gt;",""),"?",""),"@",""),"[",""),"\",""),"]",""),"^",""),"_",""),"`",""),"{",""),"|",""),"}",""),"~",""),CHAR(9),""),CHAR(10),""),CHAR(13),"")," ",""),"")</f>
        <v/>
      </c>
      <c r="CF39">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35,60))," ",""),"!",""),CHAR(34),""),"#",""),"$",""),"%",""),"&amp;",""),"'",""),"(",""),")",""),"*",""),"+",""),",",""),"-",""),".",""),"/",""),":",""),";",""),"&lt;",""),"=",""),"&gt;",""),"?",""),"@",""),"[",""),"\",""),"]",""),"^",""),"_",""),"`",""),"{",""),"|",""),"}",""),"~",""),CHAR(9),""),CHAR(10),""),CHAR(13),"")," ",""),"")</f>
        <v/>
      </c>
      <c r="CH39">
        <f>COUNTIF($Y84:$CF84,"&gt;0")</f>
        <v/>
      </c>
      <c r="CI39">
        <f>COUNTIF($Y84:$CF84,2)</f>
        <v/>
      </c>
      <c r="CJ39">
        <f>SUMPRODUCT((COUNTIF($Y129:$CF129,{1,2,3,4,5,6,7,8,9,10,11,12,13,14,15})&gt;0)*{2,4,8,16,32,64,128,256,512,1024,2048,4096,8192,16384,32768})</f>
        <v/>
      </c>
      <c r="CK39">
        <f>CF219</f>
        <v/>
      </c>
      <c r="CL39">
        <f>SUMPRODUCT(MOD(INT(((CJ39+CK39))/{2,4,8,16,32,64,128,256,512,1024,2048,4096,8192,16384,32768}),2))</f>
        <v/>
      </c>
      <c r="CM39">
        <f>IF(CH39&lt;2,-9999,CL39+2*MOD(INT(((CJ39+CK39))/2),2)+2*MOD(INT(((CJ39+CK39))/4),2)-CI39)</f>
        <v/>
      </c>
      <c r="DA39" t="n">
        <v>35</v>
      </c>
      <c r="DB39">
        <f>IF($B$37=0,"",IFERROR(TRIM(SUBSTITUTE(SUBSTITUTE(SUBSTITUTE(SUBSTITUTE(INDEX(PASTE_ALL,35,$B$37)," "," "),CHAR(9)," "),CHAR(10)," "),CHAR(13)," ")),""))</f>
        <v/>
      </c>
      <c r="DC39">
        <f>IF(AND(35&gt;HEADER_ROW,UPPER(DB39)="LEGEND"),1,0)</f>
        <v/>
      </c>
      <c r="DE39" t="n">
        <v>35</v>
      </c>
      <c r="DF39">
        <f>HEADER_ROW+$DE39</f>
        <v/>
      </c>
      <c r="DG39">
        <f>IF(AND($DF39&lt;=1000,$DF39&lt;$B$8),1,0)</f>
        <v/>
      </c>
      <c r="DH39">
        <f>IF($DG39=1,IFERROR(INDEX($DB$5:$DB$1004,$DF39),""),"")</f>
        <v/>
      </c>
      <c r="DI39">
        <f>IF(AND($DG39=1,$DH39&lt;&gt;""),IFERROR(SUBSTITUTE(SUBSTITUTE(TRIM(SUBSTITUTE(SUBSTITUTE(SUBSTITUTE(SUBSTITUTE(IFERROR(INDEX(PASTE_ALL,$DF39,1)&amp;"","")&amp;"␟"&amp;IFERROR(INDEX(PASTE_ALL,$DF39,2)&amp;"","")&amp;"␟"&amp;IFERROR(INDEX(PASTE_ALL,$DF39,3)&amp;"","")&amp;"␟"&amp;IFERROR(INDEX(PASTE_ALL,$DF39,4)&amp;"","")&amp;"␟"&amp;IFERROR(INDEX(PASTE_ALL,$DF39,5)&amp;"","")&amp;"␟"&amp;IFERROR(INDEX(PASTE_ALL,$DF39,6)&amp;"","")&amp;"␟"&amp;IFERROR(INDEX(PASTE_ALL,$DF39,7)&amp;"","")&amp;"␟"&amp;IFERROR(INDEX(PASTE_ALL,$DF39,8)&amp;"","")&amp;"␟"&amp;IFERROR(INDEX(PASTE_ALL,$DF39,9)&amp;"","")&amp;"␟"&amp;IFERROR(INDEX(PASTE_ALL,$DF39,10)&amp;"","")&amp;"␟"&amp;IFERROR(INDEX(PASTE_ALL,$DF39,11)&amp;"","")&amp;"␟"&amp;IFERROR(INDEX(PASTE_ALL,$DF39,12)&amp;"","")&amp;"␟"&amp;IFERROR(INDEX(PASTE_ALL,$DF39,13)&amp;"","")&amp;"␟"&amp;IFERROR(INDEX(PASTE_ALL,$DF39,14)&amp;"","")&amp;"␟"&amp;IFERROR(INDEX(PASTE_ALL,$DF39,15)&amp;"","")&amp;"␟"&amp;IFERROR(INDEX(PASTE_ALL,$DF39,16)&amp;"","")&amp;"␟"&amp;IFERROR(INDEX(PASTE_ALL,$DF39,17)&amp;"","")&amp;"␟"&amp;IFERROR(INDEX(PASTE_ALL,$DF39,18)&amp;"","")&amp;"␟"&amp;IFERROR(INDEX(PASTE_ALL,$DF39,19)&amp;"","")&amp;"␟"&amp;IFERROR(INDEX(PASTE_ALL,$DF39,20)&amp;"","")&amp;"␟"&amp;IFERROR(INDEX(PASTE_ALL,$DF39,21)&amp;"","")&amp;"␟"&amp;IFERROR(INDEX(PASTE_ALL,$DF39,22)&amp;"","")&amp;"␟"&amp;IFERROR(INDEX(PASTE_ALL,$DF39,23)&amp;"","")&amp;"␟"&amp;IFERROR(INDEX(PASTE_ALL,$DF39,24)&amp;"","")&amp;"␟"&amp;IFERROR(INDEX(PASTE_ALL,$DF39,25)&amp;"","")&amp;"␟"&amp;IFERROR(INDEX(PASTE_ALL,$DF39,26)&amp;"","")&amp;"␟"&amp;IFERROR(INDEX(PASTE_ALL,$DF39,27)&amp;"","")&amp;"␟"&amp;IFERROR(INDEX(PASTE_ALL,$DF39,28)&amp;"","")&amp;"␟"&amp;IFERROR(INDEX(PASTE_ALL,$DF39,29)&amp;"","")&amp;"␟"&amp;IFERROR(INDEX(PASTE_ALL,$DF39,30)&amp;"","")&amp;"␟"&amp;IFERROR(INDEX(PASTE_ALL,$DF39,31)&amp;"","")&amp;"␟"&amp;IFERROR(INDEX(PASTE_ALL,$DF39,32)&amp;"","")&amp;"␟"&amp;IFERROR(INDEX(PASTE_ALL,$DF39,33)&amp;"","")&amp;"␟"&amp;IFERROR(INDEX(PASTE_ALL,$DF39,34)&amp;"","")&amp;"␟"&amp;IFERROR(INDEX(PASTE_ALL,$DF39,35)&amp;"","")&amp;"␟"&amp;IFERROR(INDEX(PASTE_ALL,$DF39,36)&amp;"","")&amp;"␟"&amp;IFERROR(INDEX(PASTE_ALL,$DF39,37)&amp;"","")&amp;"␟"&amp;IFERROR(INDEX(PASTE_ALL,$DF39,38)&amp;"","")&amp;"␟"&amp;IFERROR(INDEX(PASTE_ALL,$DF39,39)&amp;"","")&amp;"␟"&amp;IFERROR(INDEX(PASTE_ALL,$DF39,40)&amp;"","")&amp;"␟"&amp;IFERROR(INDEX(PASTE_ALL,$DF39,41)&amp;"","")&amp;"␟"&amp;IFERROR(INDEX(PASTE_ALL,$DF39,42)&amp;"","")&amp;"␟"&amp;IFERROR(INDEX(PASTE_ALL,$DF39,43)&amp;"","")&amp;"␟"&amp;IFERROR(INDEX(PASTE_ALL,$DF39,44)&amp;"","")&amp;"␟"&amp;IFERROR(INDEX(PASTE_ALL,$DF39,45)&amp;"","")&amp;"␟"&amp;IFERROR(INDEX(PASTE_ALL,$DF39,46)&amp;"","")&amp;"␟"&amp;IFERROR(INDEX(PASTE_ALL,$DF39,47)&amp;"","")&amp;"␟"&amp;IFERROR(INDEX(PASTE_ALL,$DF39,48)&amp;"","")&amp;"␟"&amp;IFERROR(INDEX(PASTE_ALL,$DF39,49)&amp;"","")&amp;"␟"&amp;IFERROR(INDEX(PASTE_ALL,$DF39,50)&amp;"","")&amp;"␟"&amp;IFERROR(INDEX(PASTE_ALL,$DF39,51)&amp;"","")&amp;"␟"&amp;IFERROR(INDEX(PASTE_ALL,$DF39,52)&amp;"","")&amp;"␟"&amp;IFERROR(INDEX(PASTE_ALL,$DF39,53)&amp;"","")&amp;"␟"&amp;IFERROR(INDEX(PASTE_ALL,$DF39,54)&amp;"","")&amp;"␟"&amp;IFERROR(INDEX(PASTE_ALL,$DF39,55)&amp;"","")&amp;"␟"&amp;IFERROR(INDEX(PASTE_ALL,$DF39,56)&amp;"","")&amp;"␟"&amp;IFERROR(INDEX(PASTE_ALL,$DF39,57)&amp;"","")&amp;"␟"&amp;IFERROR(INDEX(PASTE_ALL,$DF39,58)&amp;"","")&amp;"␟"&amp;IFERROR(INDEX(PASTE_ALL,$DF39,59)&amp;"","")&amp;"␟"&amp;IFERROR(INDEX(PASTE_ALL,$DF39,60)&amp;"","")," "," "),CHAR(9)," "),CHAR(10)," "),CHAR(13)," "))," ␟","␟"),"␟ ","␟"),"#"&amp;$DE39),"")</f>
        <v/>
      </c>
      <c r="DJ39">
        <f>IF($DI39="",0,IF(SUMPRODUCT(--EXACT($DI$4:DI38,$DI39))&gt;0,1,0))</f>
        <v/>
      </c>
      <c r="DK39">
        <f>IF(AND($DI39&lt;&gt;"",$DJ39=0),1,0)</f>
        <v/>
      </c>
      <c r="DL39">
        <f>DL38+$DK39</f>
        <v/>
      </c>
      <c r="DM39">
        <f>IF(AND($DK39=1,$DL39&lt;=600),1,0)</f>
        <v/>
      </c>
      <c r="DN39">
        <f>IF($DM39=0,"",IF($L$6=0,"",IFERROR(IF(ISNUMBER(INDEX(PASTE_ALL,$DF39,$L$6)),INDEX(PASTE_ALL,$DF39,$L$6),TRIM(SUBSTITUTE(SUBSTITUTE(SUBSTITUTE(SUBSTITUTE(INDEX(PASTE_ALL,$DF39,$L$6)," "," "),CHAR(9)," "),CHAR(10)," "),CHAR(13)," "))),"")))</f>
        <v/>
      </c>
      <c r="DO39">
        <f>IF($DM39=0,"",IF($L$7=0,"",IFERROR(IF(ISNUMBER(INDEX(PASTE_ALL,$DF39,$L$7)),INDEX(PASTE_ALL,$DF39,$L$7),TRIM(SUBSTITUTE(SUBSTITUTE(SUBSTITUTE(SUBSTITUTE(INDEX(PASTE_ALL,$DF39,$L$7)," "," "),CHAR(9)," "),CHAR(10)," "),CHAR(13)," "))),"")))</f>
        <v/>
      </c>
      <c r="DP39">
        <f>IF($DM39=0,"",IF($L$8=0,"",IFERROR(IF(ISNUMBER(INDEX(PASTE_ALL,$DF39,$L$8)),INDEX(PASTE_ALL,$DF39,$L$8),TRIM(SUBSTITUTE(SUBSTITUTE(SUBSTITUTE(SUBSTITUTE(INDEX(PASTE_ALL,$DF39,$L$8)," "," "),CHAR(9)," "),CHAR(10)," "),CHAR(13)," "))),"")))</f>
        <v/>
      </c>
      <c r="DQ39">
        <f>IF($DM39=0,"",IF($L$9=0,"",IFERROR(IF(ISNUMBER(INDEX(PASTE_ALL,$DF39,$L$9)),INDEX(PASTE_ALL,$DF39,$L$9),TRIM(SUBSTITUTE(SUBSTITUTE(SUBSTITUTE(SUBSTITUTE(INDEX(PASTE_ALL,$DF39,$L$9)," "," "),CHAR(9)," "),CHAR(10)," "),CHAR(13)," "))),"")))</f>
        <v/>
      </c>
      <c r="DR39">
        <f>IF($DM39=0,"",IF($L$10=0,"",IFERROR(IF(ISNUMBER(INDEX(PASTE_ALL,$DF39,$L$10)),INDEX(PASTE_ALL,$DF39,$L$10),TRIM(SUBSTITUTE(SUBSTITUTE(SUBSTITUTE(SUBSTITUTE(INDEX(PASTE_ALL,$DF39,$L$10)," "," "),CHAR(9)," "),CHAR(10)," "),CHAR(13)," "))),"")))</f>
        <v/>
      </c>
      <c r="DS39">
        <f>IF($DM39=0,"",IF($L$11=0,"",IFERROR(IF(ISNUMBER(INDEX(PASTE_ALL,$DF39,$L$11)),INDEX(PASTE_ALL,$DF39,$L$11),TRIM(SUBSTITUTE(SUBSTITUTE(SUBSTITUTE(SUBSTITUTE(INDEX(PASTE_ALL,$DF39,$L$11)," "," "),CHAR(9)," "),CHAR(10)," "),CHAR(13)," "))),"")))</f>
        <v/>
      </c>
      <c r="DT39">
        <f>IF($DM39=0,"",IF($L$12=0,"",IFERROR(IF(ISNUMBER(INDEX(PASTE_ALL,$DF39,$L$12)),INDEX(PASTE_ALL,$DF39,$L$12),TRIM(SUBSTITUTE(SUBSTITUTE(SUBSTITUTE(SUBSTITUTE(INDEX(PASTE_ALL,$DF39,$L$12)," "," "),CHAR(9)," "),CHAR(10)," "),CHAR(13)," "))),"")))</f>
        <v/>
      </c>
      <c r="DU39">
        <f>IF($DM39=0,"",IF($L$13=0,"",IFERROR(IF(ISNUMBER(INDEX(PASTE_ALL,$DF39,$L$13)),INDEX(PASTE_ALL,$DF39,$L$13),TRIM(SUBSTITUTE(SUBSTITUTE(SUBSTITUTE(SUBSTITUTE(INDEX(PASTE_ALL,$DF39,$L$13)," "," "),CHAR(9)," "),CHAR(10)," "),CHAR(13)," "))),"")))</f>
        <v/>
      </c>
      <c r="DV39">
        <f>IF($DM39=0,"",IF($L$14=0,"",IFERROR(IF(ISNUMBER(INDEX(PASTE_ALL,$DF39,$L$14)),INDEX(PASTE_ALL,$DF39,$L$14),TRIM(SUBSTITUTE(SUBSTITUTE(SUBSTITUTE(SUBSTITUTE(INDEX(PASTE_ALL,$DF39,$L$14)," "," "),CHAR(9)," "),CHAR(10)," "),CHAR(13)," "))),"")))</f>
        <v/>
      </c>
      <c r="DW39">
        <f>IF($DM39=0,"",IF($L$15=0,"",IFERROR(IF(ISNUMBER(INDEX(PASTE_ALL,$DF39,$L$15)),INDEX(PASTE_ALL,$DF39,$L$15),IF(SUMPRODUCT(--ISNUMBER(FIND({"A","B","C","D","E","F","G","H","I","J","K","L","M","N","O","P","Q","R","S","T","U","V","W","X","Y","Z","0","1","2","3","4","5","6","7","8","9"},UPPER(TRIM(SUBSTITUTE(SUBSTITUTE(SUBSTITUTE(SUBSTITUTE(INDEX(PASTE_ALL,$DF39,$L$15)," "," "),CHAR(9)," "),CHAR(10)," "),CHAR(13)," "))))))&gt;0,TRIM(SUBSTITUTE(SUBSTITUTE(SUBSTITUTE(SUBSTITUTE(INDEX(PASTE_ALL,$DF39,$L$15)," "," "),CHAR(9)," "),CHAR(10)," "),CHAR(13)," ")),"")),"")))</f>
        <v/>
      </c>
      <c r="DX39">
        <f>IF($DM39=0,"",IF($L$16=0,"",IFERROR(IF(ISNUMBER(INDEX(PASTE_ALL,$DF39,$L$16)),INDEX(PASTE_ALL,$DF39,$L$16),SUBSTITUTE(SUBSTITUTE(TRIM(SUBSTITUTE(SUBSTITUTE(SUBSTITUTE(SUBSTITUTE(INDEX(PASTE_ALL,$DF39,$L$16)," "," "),CHAR(9)," "),CHAR(10)," "),CHAR(13)," ")),",",""),"%","")),"")))</f>
        <v/>
      </c>
      <c r="DY39">
        <f>IF($DM39=0,"",IFERROR(IF(ISNUMBER($DX39),$DX39,IF($DX39="","",IF(TRIM($DX39)="",0,IF(AND(AND(SUBSTITUTE(SUBSTITUTE(SUBSTITUTE(SUBSTITUTE(SUBSTITUTE(SUBSTITUTE(SUBSTITUTE(SUBSTITUTE(SUBSTITUTE(SUBSTITUTE(SUBSTITUTE(SUBSTITUTE(SUBSTITUTE(SUBSTITUTE(UPPER(TRIM($DX39)),"0",""),"1",""),"2",""),"3",""),"4",""),"5",""),"6",""),"7",""),"8",""),"9",""),".",""),"+",""),"-",""),"E","")="",LEN(SUBSTITUTE(SUBSTITUTE(MID(UPPER(TRIM($DX39)),1+OR(LEFT(UPPER(TRIM($DX39)),1)="+",LEFT(UPPER(TRIM($DX39)),1)="-"),999),"E+","E"),"E-","E"))=LEN(SUBSTITUTE(SUBSTITUTE(SUBSTITUTE(SUBSTITUTE(MID(UPPER(TRIM($DX39)),1+OR(LEFT(UPPER(TRIM($DX39)),1)="+",LEFT(UPPER(TRIM($DX39)),1)="-"),999),"E+","E"),"E-","E"),"+",""),"-","")),LEN(UPPER(TRIM($DX39)))-LEN(SUBSTITUTE(UPPER(TRIM($DX39)),"E",""))&lt;2,LEN(UPPER(TRIM($DX39)))-LEN(SUBSTITUTE(UPPER(TRIM($DX39)),".",""))&lt;2,IFERROR(FIND(".",UPPER(TRIM($DX39))),0)&lt;IFERROR(FIND("E",UPPER(TRIM($DX39))),999)),ISNUMBER(VALUE(TRIM($DX39)))),VALUE(TRIM($DX39)),"")))),""))</f>
        <v/>
      </c>
      <c r="DZ39">
        <f>IF($DM39=0,"",IF($L$17=0,"",IFERROR(IF(ISNUMBER(INDEX(PASTE_ALL,$DF39,$L$17)),INDEX(PASTE_ALL,$DF39,$L$17),SUBSTITUTE(SUBSTITUTE(TRIM(SUBSTITUTE(SUBSTITUTE(SUBSTITUTE(SUBSTITUTE(INDEX(PASTE_ALL,$DF39,$L$17)," "," "),CHAR(9)," "),CHAR(10)," "),CHAR(13)," ")),",",""),"%","")),"")))</f>
        <v/>
      </c>
      <c r="EA39">
        <f>IF($DM39=0,"",IFERROR(IF(ISNUMBER($DZ39),$DZ39,IF($DZ39="","",IF(TRIM($DZ39)="",0,IF(AND(AND(SUBSTITUTE(SUBSTITUTE(SUBSTITUTE(SUBSTITUTE(SUBSTITUTE(SUBSTITUTE(SUBSTITUTE(SUBSTITUTE(SUBSTITUTE(SUBSTITUTE(SUBSTITUTE(SUBSTITUTE(SUBSTITUTE(SUBSTITUTE(UPPER(TRIM($DZ39)),"0",""),"1",""),"2",""),"3",""),"4",""),"5",""),"6",""),"7",""),"8",""),"9",""),".",""),"+",""),"-",""),"E","")="",LEN(SUBSTITUTE(SUBSTITUTE(MID(UPPER(TRIM($DZ39)),1+OR(LEFT(UPPER(TRIM($DZ39)),1)="+",LEFT(UPPER(TRIM($DZ39)),1)="-"),999),"E+","E"),"E-","E"))=LEN(SUBSTITUTE(SUBSTITUTE(SUBSTITUTE(SUBSTITUTE(MID(UPPER(TRIM($DZ39)),1+OR(LEFT(UPPER(TRIM($DZ39)),1)="+",LEFT(UPPER(TRIM($DZ39)),1)="-"),999),"E+","E"),"E-","E"),"+",""),"-","")),LEN(UPPER(TRIM($DZ39)))-LEN(SUBSTITUTE(UPPER(TRIM($DZ39)),"E",""))&lt;2,LEN(UPPER(TRIM($DZ39)))-LEN(SUBSTITUTE(UPPER(TRIM($DZ39)),".",""))&lt;2,IFERROR(FIND(".",UPPER(TRIM($DZ39))),0)&lt;IFERROR(FIND("E",UPPER(TRIM($DZ39))),999)),ISNUMBER(VALUE(TRIM($DZ39)))),VALUE(TRIM($DZ39)),"")))),""))</f>
        <v/>
      </c>
      <c r="EB39">
        <f>IF($DM39=0,"",IF($L$18=0,"",IFERROR(IF(UPPER(TRIM(SUBSTITUTE(SUBSTITUTE(SUBSTITUTE(SUBSTITUTE(INDEX(PASTE_ALL,$DF39,$L$18)," "," "),CHAR(9)," "),CHAR(10)," "),CHAR(13)," ")))="READY","Ready",IF(UPPER(TRIM(SUBSTITUTE(SUBSTITUTE(SUBSTITUTE(SUBSTITUTE(INDEX(PASTE_ALL,$DF39,$L$18)," "," "),CHAR(9)," "),CHAR(10)," "),CHAR(13)," ")))="PM","PM",IF(OR(UPPER(TRIM(SUBSTITUTE(SUBSTITUTE(SUBSTITUTE(SUBSTITUTE(INDEX(PASTE_ALL,$DF39,$L$18)," "," "),CHAR(9)," "),CHAR(10)," "),CHAR(13)," ")))="OT",UPPER(TRIM(SUBSTITUTE(SUBSTITUTE(SUBSTITUTE(SUBSTITUTE(INDEX(PASTE_ALL,$DF39,$L$18)," "," "),CHAR(9)," "),CHAR(10)," "),CHAR(13)," ")))="OVERTIME",UPPER(TRIM(SUBSTITUTE(SUBSTITUTE(SUBSTITUTE(SUBSTITUTE(INDEX(PASTE_ALL,$DF39,$L$18)," "," "),CHAR(9)," "),CHAR(10)," "),CHAR(13)," ")))="TRIAL"),"OT",TRIM(SUBSTITUTE(SUBSTITUTE(SUBSTITUTE(SUBSTITUTE(INDEX(PASTE_ALL,$DF39,$L$18)," "," "),CHAR(9)," "),CHAR(10)," "),CHAR(13)," "))))),"")))</f>
        <v/>
      </c>
      <c r="EC39">
        <f>IF($DM39=0,"",IF($L$19=0,"",IFERROR(IF(ISNUMBER(INDEX(PASTE_ALL,$DF39,$L$19)),INDEX(PASTE_ALL,$DF39,$L$19),TRIM(SUBSTITUTE(SUBSTITUTE(SUBSTITUTE(SUBSTITUTE(INDEX(PASTE_ALL,$DF39,$L$19)," "," "),CHAR(9)," "),CHAR(10)," "),CHAR(13)," "))),"")))</f>
        <v/>
      </c>
      <c r="ED39">
        <f>IF($DM39=0,"",MATCH(1,INDEX(EXACT($DH$5:DH39,$DH39)*$DM$5:DM39,0),0))</f>
        <v/>
      </c>
      <c r="EE39">
        <f>IF($DM39=0,0,IF($ED39=$DE39,1,0))</f>
        <v/>
      </c>
      <c r="EF39">
        <f>EF38+$EE39</f>
        <v/>
      </c>
      <c r="EG39">
        <f>IF($DM39=0,"",INDEX($EF$5:$EF$1003,$ED39))</f>
        <v/>
      </c>
      <c r="EH39">
        <f>IF($DM39=0,"",IF($DO39&lt;&gt;"","",IFERROR(LOOKUP(2,1/(($EG$4:EG38=$EG39)*($DO$4:DO38&lt;&gt;"")),$DO$4:DO38),"")))</f>
        <v/>
      </c>
      <c r="EI39">
        <f>IF($DM39=0,"",IF($DO39&lt;&gt;"",$DO39,$EH39))</f>
        <v/>
      </c>
      <c r="EJ39">
        <f>IF($DM39=0,"",IF($EI39="",0,IF(OR(ISNUMBER($EI39),AND(AND(SUBSTITUTE(SUBSTITUTE(SUBSTITUTE(SUBSTITUTE(SUBSTITUTE(SUBSTITUTE(SUBSTITUTE(SUBSTITUTE(SUBSTITUTE(SUBSTITUTE(SUBSTITUTE(SUBSTITUTE(SUBSTITUTE(SUBSTITUTE(UPPER($EI39),"0",""),"1",""),"2",""),"3",""),"4",""),"5",""),"6",""),"7",""),"8",""),"9",""),".",""),"+",""),"-",""),"E","")="",LEN(SUBSTITUTE(SUBSTITUTE(MID(UPPER($EI39),1+OR(LEFT(UPPER($EI39),1)="+",LEFT(UPPER($EI39),1)="-"),999),"E+","E"),"E-","E"))=LEN(SUBSTITUTE(SUBSTITUTE(SUBSTITUTE(SUBSTITUTE(MID(UPPER($EI39),1+OR(LEFT(UPPER($EI39),1)="+",LEFT(UPPER($EI39),1)="-"),999),"E+","E"),"E-","E"),"+",""),"-","")),LEN(UPPER($EI39))-LEN(SUBSTITUTE(UPPER($EI39),"E",""))&lt;2,LEN(UPPER($EI39))-LEN(SUBSTITUTE(UPPER($EI39),".",""))&lt;2,IFERROR(FIND(".",UPPER($EI39)),0)&lt;IFERROR(FIND("E",UPPER($EI39)),999)),ISNUMBER(VALUE($EI39)))),1,2)))</f>
        <v/>
      </c>
      <c r="EK39">
        <f>IF($DM39=0,"",IF($EJ39=1,IF(ISNUMBER($EI39),$EI39,VALUE($EI39)),IF($EJ39=2,$DE39,0)))</f>
        <v/>
      </c>
      <c r="EL39">
        <f>IF($DM39=0,"",COUNTIF($EG$5:$EG$1003,"&lt;"&amp;$EG39)+SUMPRODUCT(($EG$5:$EG$1003=$EG39)*(($EJ$5:$EJ$1003&lt;$EJ39)+($EJ$5:$EJ$1003=$EJ39)*(($EK$5:$EK$1003&lt;$EK39)+($EK$5:$EK$1003=$EK39)*($DE$5:$DE$1003&lt;$DE39))))+1)</f>
        <v/>
      </c>
      <c r="EM39">
        <f>IF($DM39=0,"",$EL39+$EG39-1)</f>
        <v/>
      </c>
      <c r="EN39">
        <f>IF($DM39=0,0,IFERROR(MATCH(1,INDEX(--(TRIM(SUBSTITUTE(SUBSTITUTE(SUBSTITUTE(SUBSTITUTE(LINES_NAME&amp;""," "," "),CHAR(9)," "),CHAR(10)," "),CHAR(13)," "))=$DH39),0),0),0))</f>
        <v/>
      </c>
      <c r="EO39">
        <f>IF($EN39=0,0,IF(OR(UPPER(TRIM(INDEX(LINES_SCHEDULED,$EN39)&amp;""))="YES",UPPER(TRIM(INDEX(LINES_SCHEDULED,$EN39)&amp;""))="Y",UPPER(TRIM(INDEX(LINES_SCHEDULED,$EN39)&amp;""))="X"),1,0))</f>
        <v/>
      </c>
      <c r="EP39">
        <f>IF($DM39=0,"",IF(COUNTIFS($EG$5:$EG$1003,$EG39,$EB$5:$EB$1003,"Ready")&gt;0,"READY",IF(COUNTIFS($EG$5:$EG$1003,$EG39,$EB$5:$EB$1003,"PM")&gt;0,"PM",IF(COUNTIFS($EG$5:$EG$1003,$EG39,$EB$5:$EB$1003,"OT")&gt;0,"OT",""))))</f>
        <v/>
      </c>
      <c r="EQ39">
        <f>IF($EN39=0,"",UPPER(TRIM(INDEX(LINES_STATUS,$EN39)&amp;"")))</f>
        <v/>
      </c>
      <c r="ER39">
        <f>IF($DM39=0,"",IF(OR($EQ39="READY",$EQ39="PM",$EQ39="OT"),$EQ39,$EP39))</f>
        <v/>
      </c>
      <c r="ES39">
        <f>IF($DM39=0,"",IF(AND($DV39&lt;&gt;"",UPPER($DV39)&lt;&gt;"N"),"allergen",IF(ISNUMBER(SEARCH("oil",$DQ39)),"oil",IF(OR(EXACT($DS39,"A662"),EXACT($DS39,"A624")),"bulk",""))))</f>
        <v/>
      </c>
      <c r="ET39">
        <f>IF($DM39=0,"",IF(OR($EA39="",$EA39=0),"",$EA39/100))</f>
        <v/>
      </c>
      <c r="EU39">
        <f>IF(OR($ET39="",$DY39=""),"",INT($DY39*(1-$ET39)+0.5))</f>
        <v/>
      </c>
      <c r="EW39" t="n">
        <v>35</v>
      </c>
      <c r="EX39">
        <f>IFERROR(MATCH($EW39,$EM$5:$EM$1003,0),0)</f>
        <v/>
      </c>
      <c r="EY39">
        <f>IF($EW39&gt;$B$12,"",IF($EX39&gt;0,"row","spacer"))</f>
        <v/>
      </c>
      <c r="EZ39">
        <f>IF(AND($EY39="row",$EY38&lt;&gt;"row"),1,0)</f>
        <v/>
      </c>
      <c r="FA39">
        <f>IF(AND($EY39="row",$EY40&lt;&gt;"row"),1,0)</f>
        <v/>
      </c>
      <c r="FB39">
        <f>IF($EZ39=1,IFERROR(IF(ISNUMBER(INDEX(PASTE_ALL,INDEX($DF$5:$DF$1003,$EX39),$B$37)),INDEX(PASTE_ALL,INDEX($DF$5:$DF$1003,$EX39),$B$37),INDEX($DH$5:$DH$1003,$EX39)),INDEX($DH$5:$DH$1003,$EX39)),"")</f>
        <v/>
      </c>
      <c r="FC39">
        <f>IF($EY39="row",INDEX($ER$5:$ER$1003,$EX39),"")</f>
        <v/>
      </c>
      <c r="FD39">
        <f>IF($EY39="row",INDEX($DN$5:$DN$1003,$EX39),"")</f>
        <v/>
      </c>
      <c r="FE39">
        <f>IF($EY39="row",INDEX($DO$5:$DO$1003,$EX39),"")</f>
        <v/>
      </c>
      <c r="FF39">
        <f>IF($EY39="row",INDEX($DP$5:$DP$1003,$EX39),"")</f>
        <v/>
      </c>
      <c r="FG39">
        <f>IF($EY39="row",INDEX($DQ$5:$DQ$1003,$EX39),"")</f>
        <v/>
      </c>
      <c r="FH39">
        <f>IF($EY39="row",INDEX($DR$5:$DR$1003,$EX39),"")</f>
        <v/>
      </c>
      <c r="FI39">
        <f>IF($EY39="row",INDEX($DS$5:$DS$1003,$EX39),"")</f>
        <v/>
      </c>
      <c r="FJ39">
        <f>IF($EY39="row",INDEX($DT$5:$DT$1003,$EX39),"")</f>
        <v/>
      </c>
      <c r="FK39">
        <f>IF($EY39="row",INDEX($DU$5:$DU$1003,$EX39),"")</f>
        <v/>
      </c>
      <c r="FL39">
        <f>IF($EY39="row",INDEX($DV$5:$DV$1003,$EX39),"")</f>
        <v/>
      </c>
      <c r="FM39">
        <f>IF($EY39="row",INDEX($DW$5:$DW$1003,$EX39),"")</f>
        <v/>
      </c>
      <c r="FN39">
        <f>IF($EY39="row",INDEX($DY$5:$DY$1003,$EX39),"")</f>
        <v/>
      </c>
      <c r="FO39">
        <f>IF($EY39="row",INDEX($EA$5:$EA$1003,$EX39),"")</f>
        <v/>
      </c>
      <c r="FP39">
        <f>IF($EY39="row",INDEX($EC$5:$EC$1003,$EX39),"")</f>
        <v/>
      </c>
      <c r="FQ39">
        <f>IF($EY39="row",INDEX($ET$5:$ET$1003,$EX39),"")</f>
        <v/>
      </c>
      <c r="FR39">
        <f>IF($EY39="row",INDEX($EU$5:$EU$1003,$EX39),"")</f>
        <v/>
      </c>
      <c r="FS39">
        <f>IF(AND($EY39="row",$EY38="row"),IF(OR(INDEX($DT$5:$DT$1003,$EX38)="",INDEX($DT$5:$DT$1003,$EX39)=""),"",IF(NOT(EXACT(INDEX($DT$5:$DT$1003,$EX38),INDEX($DT$5:$DT$1003,$EX39))),"S4",IF(NOT(EXACT(INDEX($DS$5:$DS$1003,$EX38),INDEX($DS$5:$DS$1003,$EX39))),"S3",IF(NOT(EXACT(INDEX($DR$5:$DR$1003,$EX38),INDEX($DR$5:$DR$1003,$EX39))),"S1 Count Change","S1")))),"")</f>
        <v/>
      </c>
      <c r="FT39">
        <f>IF($EY39="row",INDEX($ES$5:$ES$1003,$EX39),"")</f>
        <v/>
      </c>
      <c r="FU39">
        <f>IF($EY39="row",INDEX($EO$5:$EO$1003,$EX39),0)</f>
        <v/>
      </c>
      <c r="FV39">
        <f>IF($FS39="S1 Count Change",1,0)</f>
        <v/>
      </c>
      <c r="FX39" t="n">
        <v>35</v>
      </c>
      <c r="FY39">
        <f>IFERROR(MATCH($FX39,$EF$5:$EF$1003,0),0)</f>
        <v/>
      </c>
      <c r="FZ39">
        <f>IF($FY39=0,"",INDEX($DH$5:$DH$1003,$FY39))</f>
        <v/>
      </c>
      <c r="GA39">
        <f>IF($FY39=0,"",COUNTIF($EG$5:$EG$1003,$FX39))</f>
        <v/>
      </c>
      <c r="GB39">
        <f>IF($FY39=0,"",INDEX($ER$5:$ER$1003,$FY39))</f>
        <v/>
      </c>
      <c r="GC39">
        <f>IF($FY39=0,"",IF(INDEX($EO$5:$EO$1003,$FY39)=1,"Yes",""))</f>
        <v/>
      </c>
      <c r="GD39">
        <f>IF($FY39=0,"",IF(INDEX($EN$5:$EN$1003,$FY39)&gt;0,"","NOT IN YOUR LIST - type it in column A to tick it"))</f>
        <v/>
      </c>
      <c r="GE39">
        <f>IF(AND($FY39&gt;0,$GD39&lt;&gt;""),1,0)</f>
        <v/>
      </c>
      <c r="GF39">
        <f>GF38+$GE39</f>
        <v/>
      </c>
      <c r="GG39">
        <f>IFERROR(INDEX($FZ$5:$FZ$104,MATCH($FX39,$GF$5:$GF$104,0)),"")</f>
        <v/>
      </c>
    </row>
    <row r="40">
      <c r="S40" t="n">
        <v>36</v>
      </c>
      <c r="T40" t="inlineStr">
        <is>
          <t>AJ</t>
        </is>
      </c>
      <c r="V40" t="inlineStr">
        <is>
          <t>ITEMDESCRIPTION</t>
        </is>
      </c>
      <c r="W40" t="n">
        <v>5</v>
      </c>
      <c r="Y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 ",""),"!",""),CHAR(34),""),"#",""),"$",""),"%",""),"&amp;",""),"'",""),"(",""),")",""),"*",""),"+",""),",",""),"-",""),".",""),"/",""),":",""),";",""),"&lt;",""),"=",""),"&gt;",""),"?",""),"@",""),"[",""),"\",""),"]",""),"^",""),"_",""),"`",""),"{",""),"|",""),"}",""),"~",""),CHAR(9),""),CHAR(10),""),CHAR(13),"")," ",""),"")</f>
        <v/>
      </c>
      <c r="Z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 ",""),"!",""),CHAR(34),""),"#",""),"$",""),"%",""),"&amp;",""),"'",""),"(",""),")",""),"*",""),"+",""),",",""),"-",""),".",""),"/",""),":",""),";",""),"&lt;",""),"=",""),"&gt;",""),"?",""),"@",""),"[",""),"\",""),"]",""),"^",""),"_",""),"`",""),"{",""),"|",""),"}",""),"~",""),CHAR(9),""),CHAR(10),""),CHAR(13),"")," ",""),"")</f>
        <v/>
      </c>
      <c r="AA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 ",""),"!",""),CHAR(34),""),"#",""),"$",""),"%",""),"&amp;",""),"'",""),"(",""),")",""),"*",""),"+",""),",",""),"-",""),".",""),"/",""),":",""),";",""),"&lt;",""),"=",""),"&gt;",""),"?",""),"@",""),"[",""),"\",""),"]",""),"^",""),"_",""),"`",""),"{",""),"|",""),"}",""),"~",""),CHAR(9),""),CHAR(10),""),CHAR(13),"")," ",""),"")</f>
        <v/>
      </c>
      <c r="AB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 ",""),"!",""),CHAR(34),""),"#",""),"$",""),"%",""),"&amp;",""),"'",""),"(",""),")",""),"*",""),"+",""),",",""),"-",""),".",""),"/",""),":",""),";",""),"&lt;",""),"=",""),"&gt;",""),"?",""),"@",""),"[",""),"\",""),"]",""),"^",""),"_",""),"`",""),"{",""),"|",""),"}",""),"~",""),CHAR(9),""),CHAR(10),""),CHAR(13),"")," ",""),"")</f>
        <v/>
      </c>
      <c r="AC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 ",""),"!",""),CHAR(34),""),"#",""),"$",""),"%",""),"&amp;",""),"'",""),"(",""),")",""),"*",""),"+",""),",",""),"-",""),".",""),"/",""),":",""),";",""),"&lt;",""),"=",""),"&gt;",""),"?",""),"@",""),"[",""),"\",""),"]",""),"^",""),"_",""),"`",""),"{",""),"|",""),"}",""),"~",""),CHAR(9),""),CHAR(10),""),CHAR(13),"")," ",""),"")</f>
        <v/>
      </c>
      <c r="AD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36,6))," ",""),"!",""),CHAR(34),""),"#",""),"$",""),"%",""),"&amp;",""),"'",""),"(",""),")",""),"*",""),"+",""),",",""),"-",""),".",""),"/",""),":",""),";",""),"&lt;",""),"=",""),"&gt;",""),"?",""),"@",""),"[",""),"\",""),"]",""),"^",""),"_",""),"`",""),"{",""),"|",""),"}",""),"~",""),CHAR(9),""),CHAR(10),""),CHAR(13),"")," ",""),"")</f>
        <v/>
      </c>
      <c r="AE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36,7))," ",""),"!",""),CHAR(34),""),"#",""),"$",""),"%",""),"&amp;",""),"'",""),"(",""),")",""),"*",""),"+",""),",",""),"-",""),".",""),"/",""),":",""),";",""),"&lt;",""),"=",""),"&gt;",""),"?",""),"@",""),"[",""),"\",""),"]",""),"^",""),"_",""),"`",""),"{",""),"|",""),"}",""),"~",""),CHAR(9),""),CHAR(10),""),CHAR(13),"")," ",""),"")</f>
        <v/>
      </c>
      <c r="AF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36,8))," ",""),"!",""),CHAR(34),""),"#",""),"$",""),"%",""),"&amp;",""),"'",""),"(",""),")",""),"*",""),"+",""),",",""),"-",""),".",""),"/",""),":",""),";",""),"&lt;",""),"=",""),"&gt;",""),"?",""),"@",""),"[",""),"\",""),"]",""),"^",""),"_",""),"`",""),"{",""),"|",""),"}",""),"~",""),CHAR(9),""),CHAR(10),""),CHAR(13),"")," ",""),"")</f>
        <v/>
      </c>
      <c r="AG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36,9))," ",""),"!",""),CHAR(34),""),"#",""),"$",""),"%",""),"&amp;",""),"'",""),"(",""),")",""),"*",""),"+",""),",",""),"-",""),".",""),"/",""),":",""),";",""),"&lt;",""),"=",""),"&gt;",""),"?",""),"@",""),"[",""),"\",""),"]",""),"^",""),"_",""),"`",""),"{",""),"|",""),"}",""),"~",""),CHAR(9),""),CHAR(10),""),CHAR(13),"")," ",""),"")</f>
        <v/>
      </c>
      <c r="AH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36,10))," ",""),"!",""),CHAR(34),""),"#",""),"$",""),"%",""),"&amp;",""),"'",""),"(",""),")",""),"*",""),"+",""),",",""),"-",""),".",""),"/",""),":",""),";",""),"&lt;",""),"=",""),"&gt;",""),"?",""),"@",""),"[",""),"\",""),"]",""),"^",""),"_",""),"`",""),"{",""),"|",""),"}",""),"~",""),CHAR(9),""),CHAR(10),""),CHAR(13),"")," ",""),"")</f>
        <v/>
      </c>
      <c r="AI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36,11))," ",""),"!",""),CHAR(34),""),"#",""),"$",""),"%",""),"&amp;",""),"'",""),"(",""),")",""),"*",""),"+",""),",",""),"-",""),".",""),"/",""),":",""),";",""),"&lt;",""),"=",""),"&gt;",""),"?",""),"@",""),"[",""),"\",""),"]",""),"^",""),"_",""),"`",""),"{",""),"|",""),"}",""),"~",""),CHAR(9),""),CHAR(10),""),CHAR(13),"")," ",""),"")</f>
        <v/>
      </c>
      <c r="AJ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36,12))," ",""),"!",""),CHAR(34),""),"#",""),"$",""),"%",""),"&amp;",""),"'",""),"(",""),")",""),"*",""),"+",""),",",""),"-",""),".",""),"/",""),":",""),";",""),"&lt;",""),"=",""),"&gt;",""),"?",""),"@",""),"[",""),"\",""),"]",""),"^",""),"_",""),"`",""),"{",""),"|",""),"}",""),"~",""),CHAR(9),""),CHAR(10),""),CHAR(13),"")," ",""),"")</f>
        <v/>
      </c>
      <c r="AK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36,13))," ",""),"!",""),CHAR(34),""),"#",""),"$",""),"%",""),"&amp;",""),"'",""),"(",""),")",""),"*",""),"+",""),",",""),"-",""),".",""),"/",""),":",""),";",""),"&lt;",""),"=",""),"&gt;",""),"?",""),"@",""),"[",""),"\",""),"]",""),"^",""),"_",""),"`",""),"{",""),"|",""),"}",""),"~",""),CHAR(9),""),CHAR(10),""),CHAR(13),"")," ",""),"")</f>
        <v/>
      </c>
      <c r="AL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36,14))," ",""),"!",""),CHAR(34),""),"#",""),"$",""),"%",""),"&amp;",""),"'",""),"(",""),")",""),"*",""),"+",""),",",""),"-",""),".",""),"/",""),":",""),";",""),"&lt;",""),"=",""),"&gt;",""),"?",""),"@",""),"[",""),"\",""),"]",""),"^",""),"_",""),"`",""),"{",""),"|",""),"}",""),"~",""),CHAR(9),""),CHAR(10),""),CHAR(13),"")," ",""),"")</f>
        <v/>
      </c>
      <c r="AM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36,15))," ",""),"!",""),CHAR(34),""),"#",""),"$",""),"%",""),"&amp;",""),"'",""),"(",""),")",""),"*",""),"+",""),",",""),"-",""),".",""),"/",""),":",""),";",""),"&lt;",""),"=",""),"&gt;",""),"?",""),"@",""),"[",""),"\",""),"]",""),"^",""),"_",""),"`",""),"{",""),"|",""),"}",""),"~",""),CHAR(9),""),CHAR(10),""),CHAR(13),"")," ",""),"")</f>
        <v/>
      </c>
      <c r="AN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36,16))," ",""),"!",""),CHAR(34),""),"#",""),"$",""),"%",""),"&amp;",""),"'",""),"(",""),")",""),"*",""),"+",""),",",""),"-",""),".",""),"/",""),":",""),";",""),"&lt;",""),"=",""),"&gt;",""),"?",""),"@",""),"[",""),"\",""),"]",""),"^",""),"_",""),"`",""),"{",""),"|",""),"}",""),"~",""),CHAR(9),""),CHAR(10),""),CHAR(13),"")," ",""),"")</f>
        <v/>
      </c>
      <c r="AO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36,17))," ",""),"!",""),CHAR(34),""),"#",""),"$",""),"%",""),"&amp;",""),"'",""),"(",""),")",""),"*",""),"+",""),",",""),"-",""),".",""),"/",""),":",""),";",""),"&lt;",""),"=",""),"&gt;",""),"?",""),"@",""),"[",""),"\",""),"]",""),"^",""),"_",""),"`",""),"{",""),"|",""),"}",""),"~",""),CHAR(9),""),CHAR(10),""),CHAR(13),"")," ",""),"")</f>
        <v/>
      </c>
      <c r="AP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36,18))," ",""),"!",""),CHAR(34),""),"#",""),"$",""),"%",""),"&amp;",""),"'",""),"(",""),")",""),"*",""),"+",""),",",""),"-",""),".",""),"/",""),":",""),";",""),"&lt;",""),"=",""),"&gt;",""),"?",""),"@",""),"[",""),"\",""),"]",""),"^",""),"_",""),"`",""),"{",""),"|",""),"}",""),"~",""),CHAR(9),""),CHAR(10),""),CHAR(13),"")," ",""),"")</f>
        <v/>
      </c>
      <c r="AQ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36,19))," ",""),"!",""),CHAR(34),""),"#",""),"$",""),"%",""),"&amp;",""),"'",""),"(",""),")",""),"*",""),"+",""),",",""),"-",""),".",""),"/",""),":",""),";",""),"&lt;",""),"=",""),"&gt;",""),"?",""),"@",""),"[",""),"\",""),"]",""),"^",""),"_",""),"`",""),"{",""),"|",""),"}",""),"~",""),CHAR(9),""),CHAR(10),""),CHAR(13),"")," ",""),"")</f>
        <v/>
      </c>
      <c r="AR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36,20))," ",""),"!",""),CHAR(34),""),"#",""),"$",""),"%",""),"&amp;",""),"'",""),"(",""),")",""),"*",""),"+",""),",",""),"-",""),".",""),"/",""),":",""),";",""),"&lt;",""),"=",""),"&gt;",""),"?",""),"@",""),"[",""),"\",""),"]",""),"^",""),"_",""),"`",""),"{",""),"|",""),"}",""),"~",""),CHAR(9),""),CHAR(10),""),CHAR(13),"")," ",""),"")</f>
        <v/>
      </c>
      <c r="AS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36,21))," ",""),"!",""),CHAR(34),""),"#",""),"$",""),"%",""),"&amp;",""),"'",""),"(",""),")",""),"*",""),"+",""),",",""),"-",""),".",""),"/",""),":",""),";",""),"&lt;",""),"=",""),"&gt;",""),"?",""),"@",""),"[",""),"\",""),"]",""),"^",""),"_",""),"`",""),"{",""),"|",""),"}",""),"~",""),CHAR(9),""),CHAR(10),""),CHAR(13),"")," ",""),"")</f>
        <v/>
      </c>
      <c r="AT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36,22))," ",""),"!",""),CHAR(34),""),"#",""),"$",""),"%",""),"&amp;",""),"'",""),"(",""),")",""),"*",""),"+",""),",",""),"-",""),".",""),"/",""),":",""),";",""),"&lt;",""),"=",""),"&gt;",""),"?",""),"@",""),"[",""),"\",""),"]",""),"^",""),"_",""),"`",""),"{",""),"|",""),"}",""),"~",""),CHAR(9),""),CHAR(10),""),CHAR(13),"")," ",""),"")</f>
        <v/>
      </c>
      <c r="AU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36,23))," ",""),"!",""),CHAR(34),""),"#",""),"$",""),"%",""),"&amp;",""),"'",""),"(",""),")",""),"*",""),"+",""),",",""),"-",""),".",""),"/",""),":",""),";",""),"&lt;",""),"=",""),"&gt;",""),"?",""),"@",""),"[",""),"\",""),"]",""),"^",""),"_",""),"`",""),"{",""),"|",""),"}",""),"~",""),CHAR(9),""),CHAR(10),""),CHAR(13),"")," ",""),"")</f>
        <v/>
      </c>
      <c r="AV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36,24))," ",""),"!",""),CHAR(34),""),"#",""),"$",""),"%",""),"&amp;",""),"'",""),"(",""),")",""),"*",""),"+",""),",",""),"-",""),".",""),"/",""),":",""),";",""),"&lt;",""),"=",""),"&gt;",""),"?",""),"@",""),"[",""),"\",""),"]",""),"^",""),"_",""),"`",""),"{",""),"|",""),"}",""),"~",""),CHAR(9),""),CHAR(10),""),CHAR(13),"")," ",""),"")</f>
        <v/>
      </c>
      <c r="AW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36,25))," ",""),"!",""),CHAR(34),""),"#",""),"$",""),"%",""),"&amp;",""),"'",""),"(",""),")",""),"*",""),"+",""),",",""),"-",""),".",""),"/",""),":",""),";",""),"&lt;",""),"=",""),"&gt;",""),"?",""),"@",""),"[",""),"\",""),"]",""),"^",""),"_",""),"`",""),"{",""),"|",""),"}",""),"~",""),CHAR(9),""),CHAR(10),""),CHAR(13),"")," ",""),"")</f>
        <v/>
      </c>
      <c r="AX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36,26))," ",""),"!",""),CHAR(34),""),"#",""),"$",""),"%",""),"&amp;",""),"'",""),"(",""),")",""),"*",""),"+",""),",",""),"-",""),".",""),"/",""),":",""),";",""),"&lt;",""),"=",""),"&gt;",""),"?",""),"@",""),"[",""),"\",""),"]",""),"^",""),"_",""),"`",""),"{",""),"|",""),"}",""),"~",""),CHAR(9),""),CHAR(10),""),CHAR(13),"")," ",""),"")</f>
        <v/>
      </c>
      <c r="AY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36,27))," ",""),"!",""),CHAR(34),""),"#",""),"$",""),"%",""),"&amp;",""),"'",""),"(",""),")",""),"*",""),"+",""),",",""),"-",""),".",""),"/",""),":",""),";",""),"&lt;",""),"=",""),"&gt;",""),"?",""),"@",""),"[",""),"\",""),"]",""),"^",""),"_",""),"`",""),"{",""),"|",""),"}",""),"~",""),CHAR(9),""),CHAR(10),""),CHAR(13),"")," ",""),"")</f>
        <v/>
      </c>
      <c r="AZ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36,28))," ",""),"!",""),CHAR(34),""),"#",""),"$",""),"%",""),"&amp;",""),"'",""),"(",""),")",""),"*",""),"+",""),",",""),"-",""),".",""),"/",""),":",""),";",""),"&lt;",""),"=",""),"&gt;",""),"?",""),"@",""),"[",""),"\",""),"]",""),"^",""),"_",""),"`",""),"{",""),"|",""),"}",""),"~",""),CHAR(9),""),CHAR(10),""),CHAR(13),"")," ",""),"")</f>
        <v/>
      </c>
      <c r="BA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36,29))," ",""),"!",""),CHAR(34),""),"#",""),"$",""),"%",""),"&amp;",""),"'",""),"(",""),")",""),"*",""),"+",""),",",""),"-",""),".",""),"/",""),":",""),";",""),"&lt;",""),"=",""),"&gt;",""),"?",""),"@",""),"[",""),"\",""),"]",""),"^",""),"_",""),"`",""),"{",""),"|",""),"}",""),"~",""),CHAR(9),""),CHAR(10),""),CHAR(13),"")," ",""),"")</f>
        <v/>
      </c>
      <c r="BB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36,30))," ",""),"!",""),CHAR(34),""),"#",""),"$",""),"%",""),"&amp;",""),"'",""),"(",""),")",""),"*",""),"+",""),",",""),"-",""),".",""),"/",""),":",""),";",""),"&lt;",""),"=",""),"&gt;",""),"?",""),"@",""),"[",""),"\",""),"]",""),"^",""),"_",""),"`",""),"{",""),"|",""),"}",""),"~",""),CHAR(9),""),CHAR(10),""),CHAR(13),"")," ",""),"")</f>
        <v/>
      </c>
      <c r="BC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36,31))," ",""),"!",""),CHAR(34),""),"#",""),"$",""),"%",""),"&amp;",""),"'",""),"(",""),")",""),"*",""),"+",""),",",""),"-",""),".",""),"/",""),":",""),";",""),"&lt;",""),"=",""),"&gt;",""),"?",""),"@",""),"[",""),"\",""),"]",""),"^",""),"_",""),"`",""),"{",""),"|",""),"}",""),"~",""),CHAR(9),""),CHAR(10),""),CHAR(13),"")," ",""),"")</f>
        <v/>
      </c>
      <c r="BD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36,32))," ",""),"!",""),CHAR(34),""),"#",""),"$",""),"%",""),"&amp;",""),"'",""),"(",""),")",""),"*",""),"+",""),",",""),"-",""),".",""),"/",""),":",""),";",""),"&lt;",""),"=",""),"&gt;",""),"?",""),"@",""),"[",""),"\",""),"]",""),"^",""),"_",""),"`",""),"{",""),"|",""),"}",""),"~",""),CHAR(9),""),CHAR(10),""),CHAR(13),"")," ",""),"")</f>
        <v/>
      </c>
      <c r="BE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36,33))," ",""),"!",""),CHAR(34),""),"#",""),"$",""),"%",""),"&amp;",""),"'",""),"(",""),")",""),"*",""),"+",""),",",""),"-",""),".",""),"/",""),":",""),";",""),"&lt;",""),"=",""),"&gt;",""),"?",""),"@",""),"[",""),"\",""),"]",""),"^",""),"_",""),"`",""),"{",""),"|",""),"}",""),"~",""),CHAR(9),""),CHAR(10),""),CHAR(13),"")," ",""),"")</f>
        <v/>
      </c>
      <c r="BF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36,34))," ",""),"!",""),CHAR(34),""),"#",""),"$",""),"%",""),"&amp;",""),"'",""),"(",""),")",""),"*",""),"+",""),",",""),"-",""),".",""),"/",""),":",""),";",""),"&lt;",""),"=",""),"&gt;",""),"?",""),"@",""),"[",""),"\",""),"]",""),"^",""),"_",""),"`",""),"{",""),"|",""),"}",""),"~",""),CHAR(9),""),CHAR(10),""),CHAR(13),"")," ",""),"")</f>
        <v/>
      </c>
      <c r="BG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36,35))," ",""),"!",""),CHAR(34),""),"#",""),"$",""),"%",""),"&amp;",""),"'",""),"(",""),")",""),"*",""),"+",""),",",""),"-",""),".",""),"/",""),":",""),";",""),"&lt;",""),"=",""),"&gt;",""),"?",""),"@",""),"[",""),"\",""),"]",""),"^",""),"_",""),"`",""),"{",""),"|",""),"}",""),"~",""),CHAR(9),""),CHAR(10),""),CHAR(13),"")," ",""),"")</f>
        <v/>
      </c>
      <c r="BH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36,36))," ",""),"!",""),CHAR(34),""),"#",""),"$",""),"%",""),"&amp;",""),"'",""),"(",""),")",""),"*",""),"+",""),",",""),"-",""),".",""),"/",""),":",""),";",""),"&lt;",""),"=",""),"&gt;",""),"?",""),"@",""),"[",""),"\",""),"]",""),"^",""),"_",""),"`",""),"{",""),"|",""),"}",""),"~",""),CHAR(9),""),CHAR(10),""),CHAR(13),"")," ",""),"")</f>
        <v/>
      </c>
      <c r="BI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36,37))," ",""),"!",""),CHAR(34),""),"#",""),"$",""),"%",""),"&amp;",""),"'",""),"(",""),")",""),"*",""),"+",""),",",""),"-",""),".",""),"/",""),":",""),";",""),"&lt;",""),"=",""),"&gt;",""),"?",""),"@",""),"[",""),"\",""),"]",""),"^",""),"_",""),"`",""),"{",""),"|",""),"}",""),"~",""),CHAR(9),""),CHAR(10),""),CHAR(13),"")," ",""),"")</f>
        <v/>
      </c>
      <c r="BJ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36,38))," ",""),"!",""),CHAR(34),""),"#",""),"$",""),"%",""),"&amp;",""),"'",""),"(",""),")",""),"*",""),"+",""),",",""),"-",""),".",""),"/",""),":",""),";",""),"&lt;",""),"=",""),"&gt;",""),"?",""),"@",""),"[",""),"\",""),"]",""),"^",""),"_",""),"`",""),"{",""),"|",""),"}",""),"~",""),CHAR(9),""),CHAR(10),""),CHAR(13),"")," ",""),"")</f>
        <v/>
      </c>
      <c r="BK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36,39))," ",""),"!",""),CHAR(34),""),"#",""),"$",""),"%",""),"&amp;",""),"'",""),"(",""),")",""),"*",""),"+",""),",",""),"-",""),".",""),"/",""),":",""),";",""),"&lt;",""),"=",""),"&gt;",""),"?",""),"@",""),"[",""),"\",""),"]",""),"^",""),"_",""),"`",""),"{",""),"|",""),"}",""),"~",""),CHAR(9),""),CHAR(10),""),CHAR(13),"")," ",""),"")</f>
        <v/>
      </c>
      <c r="BL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36,40))," ",""),"!",""),CHAR(34),""),"#",""),"$",""),"%",""),"&amp;",""),"'",""),"(",""),")",""),"*",""),"+",""),",",""),"-",""),".",""),"/",""),":",""),";",""),"&lt;",""),"=",""),"&gt;",""),"?",""),"@",""),"[",""),"\",""),"]",""),"^",""),"_",""),"`",""),"{",""),"|",""),"}",""),"~",""),CHAR(9),""),CHAR(10),""),CHAR(13),"")," ",""),"")</f>
        <v/>
      </c>
      <c r="BM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36,41))," ",""),"!",""),CHAR(34),""),"#",""),"$",""),"%",""),"&amp;",""),"'",""),"(",""),")",""),"*",""),"+",""),",",""),"-",""),".",""),"/",""),":",""),";",""),"&lt;",""),"=",""),"&gt;",""),"?",""),"@",""),"[",""),"\",""),"]",""),"^",""),"_",""),"`",""),"{",""),"|",""),"}",""),"~",""),CHAR(9),""),CHAR(10),""),CHAR(13),"")," ",""),"")</f>
        <v/>
      </c>
      <c r="BN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36,42))," ",""),"!",""),CHAR(34),""),"#",""),"$",""),"%",""),"&amp;",""),"'",""),"(",""),")",""),"*",""),"+",""),",",""),"-",""),".",""),"/",""),":",""),";",""),"&lt;",""),"=",""),"&gt;",""),"?",""),"@",""),"[",""),"\",""),"]",""),"^",""),"_",""),"`",""),"{",""),"|",""),"}",""),"~",""),CHAR(9),""),CHAR(10),""),CHAR(13),"")," ",""),"")</f>
        <v/>
      </c>
      <c r="BO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36,43))," ",""),"!",""),CHAR(34),""),"#",""),"$",""),"%",""),"&amp;",""),"'",""),"(",""),")",""),"*",""),"+",""),",",""),"-",""),".",""),"/",""),":",""),";",""),"&lt;",""),"=",""),"&gt;",""),"?",""),"@",""),"[",""),"\",""),"]",""),"^",""),"_",""),"`",""),"{",""),"|",""),"}",""),"~",""),CHAR(9),""),CHAR(10),""),CHAR(13),"")," ",""),"")</f>
        <v/>
      </c>
      <c r="BP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36,44))," ",""),"!",""),CHAR(34),""),"#",""),"$",""),"%",""),"&amp;",""),"'",""),"(",""),")",""),"*",""),"+",""),",",""),"-",""),".",""),"/",""),":",""),";",""),"&lt;",""),"=",""),"&gt;",""),"?",""),"@",""),"[",""),"\",""),"]",""),"^",""),"_",""),"`",""),"{",""),"|",""),"}",""),"~",""),CHAR(9),""),CHAR(10),""),CHAR(13),"")," ",""),"")</f>
        <v/>
      </c>
      <c r="BQ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36,45))," ",""),"!",""),CHAR(34),""),"#",""),"$",""),"%",""),"&amp;",""),"'",""),"(",""),")",""),"*",""),"+",""),",",""),"-",""),".",""),"/",""),":",""),";",""),"&lt;",""),"=",""),"&gt;",""),"?",""),"@",""),"[",""),"\",""),"]",""),"^",""),"_",""),"`",""),"{",""),"|",""),"}",""),"~",""),CHAR(9),""),CHAR(10),""),CHAR(13),"")," ",""),"")</f>
        <v/>
      </c>
      <c r="BR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36,46))," ",""),"!",""),CHAR(34),""),"#",""),"$",""),"%",""),"&amp;",""),"'",""),"(",""),")",""),"*",""),"+",""),",",""),"-",""),".",""),"/",""),":",""),";",""),"&lt;",""),"=",""),"&gt;",""),"?",""),"@",""),"[",""),"\",""),"]",""),"^",""),"_",""),"`",""),"{",""),"|",""),"}",""),"~",""),CHAR(9),""),CHAR(10),""),CHAR(13),"")," ",""),"")</f>
        <v/>
      </c>
      <c r="BS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36,47))," ",""),"!",""),CHAR(34),""),"#",""),"$",""),"%",""),"&amp;",""),"'",""),"(",""),")",""),"*",""),"+",""),",",""),"-",""),".",""),"/",""),":",""),";",""),"&lt;",""),"=",""),"&gt;",""),"?",""),"@",""),"[",""),"\",""),"]",""),"^",""),"_",""),"`",""),"{",""),"|",""),"}",""),"~",""),CHAR(9),""),CHAR(10),""),CHAR(13),"")," ",""),"")</f>
        <v/>
      </c>
      <c r="BT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36,48))," ",""),"!",""),CHAR(34),""),"#",""),"$",""),"%",""),"&amp;",""),"'",""),"(",""),")",""),"*",""),"+",""),",",""),"-",""),".",""),"/",""),":",""),";",""),"&lt;",""),"=",""),"&gt;",""),"?",""),"@",""),"[",""),"\",""),"]",""),"^",""),"_",""),"`",""),"{",""),"|",""),"}",""),"~",""),CHAR(9),""),CHAR(10),""),CHAR(13),"")," ",""),"")</f>
        <v/>
      </c>
      <c r="BU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36,49))," ",""),"!",""),CHAR(34),""),"#",""),"$",""),"%",""),"&amp;",""),"'",""),"(",""),")",""),"*",""),"+",""),",",""),"-",""),".",""),"/",""),":",""),";",""),"&lt;",""),"=",""),"&gt;",""),"?",""),"@",""),"[",""),"\",""),"]",""),"^",""),"_",""),"`",""),"{",""),"|",""),"}",""),"~",""),CHAR(9),""),CHAR(10),""),CHAR(13),"")," ",""),"")</f>
        <v/>
      </c>
      <c r="BV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36,50))," ",""),"!",""),CHAR(34),""),"#",""),"$",""),"%",""),"&amp;",""),"'",""),"(",""),")",""),"*",""),"+",""),",",""),"-",""),".",""),"/",""),":",""),";",""),"&lt;",""),"=",""),"&gt;",""),"?",""),"@",""),"[",""),"\",""),"]",""),"^",""),"_",""),"`",""),"{",""),"|",""),"}",""),"~",""),CHAR(9),""),CHAR(10),""),CHAR(13),"")," ",""),"")</f>
        <v/>
      </c>
      <c r="BW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36,51))," ",""),"!",""),CHAR(34),""),"#",""),"$",""),"%",""),"&amp;",""),"'",""),"(",""),")",""),"*",""),"+",""),",",""),"-",""),".",""),"/",""),":",""),";",""),"&lt;",""),"=",""),"&gt;",""),"?",""),"@",""),"[",""),"\",""),"]",""),"^",""),"_",""),"`",""),"{",""),"|",""),"}",""),"~",""),CHAR(9),""),CHAR(10),""),CHAR(13),"")," ",""),"")</f>
        <v/>
      </c>
      <c r="BX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36,52))," ",""),"!",""),CHAR(34),""),"#",""),"$",""),"%",""),"&amp;",""),"'",""),"(",""),")",""),"*",""),"+",""),",",""),"-",""),".",""),"/",""),":",""),";",""),"&lt;",""),"=",""),"&gt;",""),"?",""),"@",""),"[",""),"\",""),"]",""),"^",""),"_",""),"`",""),"{",""),"|",""),"}",""),"~",""),CHAR(9),""),CHAR(10),""),CHAR(13),"")," ",""),"")</f>
        <v/>
      </c>
      <c r="BY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36,53))," ",""),"!",""),CHAR(34),""),"#",""),"$",""),"%",""),"&amp;",""),"'",""),"(",""),")",""),"*",""),"+",""),",",""),"-",""),".",""),"/",""),":",""),";",""),"&lt;",""),"=",""),"&gt;",""),"?",""),"@",""),"[",""),"\",""),"]",""),"^",""),"_",""),"`",""),"{",""),"|",""),"}",""),"~",""),CHAR(9),""),CHAR(10),""),CHAR(13),"")," ",""),"")</f>
        <v/>
      </c>
      <c r="BZ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36,54))," ",""),"!",""),CHAR(34),""),"#",""),"$",""),"%",""),"&amp;",""),"'",""),"(",""),")",""),"*",""),"+",""),",",""),"-",""),".",""),"/",""),":",""),";",""),"&lt;",""),"=",""),"&gt;",""),"?",""),"@",""),"[",""),"\",""),"]",""),"^",""),"_",""),"`",""),"{",""),"|",""),"}",""),"~",""),CHAR(9),""),CHAR(10),""),CHAR(13),"")," ",""),"")</f>
        <v/>
      </c>
      <c r="CA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36,55))," ",""),"!",""),CHAR(34),""),"#",""),"$",""),"%",""),"&amp;",""),"'",""),"(",""),")",""),"*",""),"+",""),",",""),"-",""),".",""),"/",""),":",""),";",""),"&lt;",""),"=",""),"&gt;",""),"?",""),"@",""),"[",""),"\",""),"]",""),"^",""),"_",""),"`",""),"{",""),"|",""),"}",""),"~",""),CHAR(9),""),CHAR(10),""),CHAR(13),"")," ",""),"")</f>
        <v/>
      </c>
      <c r="CB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36,56))," ",""),"!",""),CHAR(34),""),"#",""),"$",""),"%",""),"&amp;",""),"'",""),"(",""),")",""),"*",""),"+",""),",",""),"-",""),".",""),"/",""),":",""),";",""),"&lt;",""),"=",""),"&gt;",""),"?",""),"@",""),"[",""),"\",""),"]",""),"^",""),"_",""),"`",""),"{",""),"|",""),"}",""),"~",""),CHAR(9),""),CHAR(10),""),CHAR(13),"")," ",""),"")</f>
        <v/>
      </c>
      <c r="CC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36,57))," ",""),"!",""),CHAR(34),""),"#",""),"$",""),"%",""),"&amp;",""),"'",""),"(",""),")",""),"*",""),"+",""),",",""),"-",""),".",""),"/",""),":",""),";",""),"&lt;",""),"=",""),"&gt;",""),"?",""),"@",""),"[",""),"\",""),"]",""),"^",""),"_",""),"`",""),"{",""),"|",""),"}",""),"~",""),CHAR(9),""),CHAR(10),""),CHAR(13),"")," ",""),"")</f>
        <v/>
      </c>
      <c r="CD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36,58))," ",""),"!",""),CHAR(34),""),"#",""),"$",""),"%",""),"&amp;",""),"'",""),"(",""),")",""),"*",""),"+",""),",",""),"-",""),".",""),"/",""),":",""),";",""),"&lt;",""),"=",""),"&gt;",""),"?",""),"@",""),"[",""),"\",""),"]",""),"^",""),"_",""),"`",""),"{",""),"|",""),"}",""),"~",""),CHAR(9),""),CHAR(10),""),CHAR(13),"")," ",""),"")</f>
        <v/>
      </c>
      <c r="CE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36,59))," ",""),"!",""),CHAR(34),""),"#",""),"$",""),"%",""),"&amp;",""),"'",""),"(",""),")",""),"*",""),"+",""),",",""),"-",""),".",""),"/",""),":",""),";",""),"&lt;",""),"=",""),"&gt;",""),"?",""),"@",""),"[",""),"\",""),"]",""),"^",""),"_",""),"`",""),"{",""),"|",""),"}",""),"~",""),CHAR(9),""),CHAR(10),""),CHAR(13),"")," ",""),"")</f>
        <v/>
      </c>
      <c r="CF4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36,60))," ",""),"!",""),CHAR(34),""),"#",""),"$",""),"%",""),"&amp;",""),"'",""),"(",""),")",""),"*",""),"+",""),",",""),"-",""),".",""),"/",""),":",""),";",""),"&lt;",""),"=",""),"&gt;",""),"?",""),"@",""),"[",""),"\",""),"]",""),"^",""),"_",""),"`",""),"{",""),"|",""),"}",""),"~",""),CHAR(9),""),CHAR(10),""),CHAR(13),"")," ",""),"")</f>
        <v/>
      </c>
      <c r="CH40">
        <f>COUNTIF($Y85:$CF85,"&gt;0")</f>
        <v/>
      </c>
      <c r="CI40">
        <f>COUNTIF($Y85:$CF85,2)</f>
        <v/>
      </c>
      <c r="CJ40">
        <f>SUMPRODUCT((COUNTIF($Y130:$CF130,{1,2,3,4,5,6,7,8,9,10,11,12,13,14,15})&gt;0)*{2,4,8,16,32,64,128,256,512,1024,2048,4096,8192,16384,32768})</f>
        <v/>
      </c>
      <c r="CK40">
        <f>CF220</f>
        <v/>
      </c>
      <c r="CL40">
        <f>SUMPRODUCT(MOD(INT(((CJ40+CK40))/{2,4,8,16,32,64,128,256,512,1024,2048,4096,8192,16384,32768}),2))</f>
        <v/>
      </c>
      <c r="CM40">
        <f>IF(CH40&lt;2,-9999,CL40+2*MOD(INT(((CJ40+CK40))/2),2)+2*MOD(INT(((CJ40+CK40))/4),2)-CI40)</f>
        <v/>
      </c>
      <c r="DA40" t="n">
        <v>36</v>
      </c>
      <c r="DB40">
        <f>IF($B$37=0,"",IFERROR(TRIM(SUBSTITUTE(SUBSTITUTE(SUBSTITUTE(SUBSTITUTE(INDEX(PASTE_ALL,36,$B$37)," "," "),CHAR(9)," "),CHAR(10)," "),CHAR(13)," ")),""))</f>
        <v/>
      </c>
      <c r="DC40">
        <f>IF(AND(36&gt;HEADER_ROW,UPPER(DB40)="LEGEND"),1,0)</f>
        <v/>
      </c>
      <c r="DE40" t="n">
        <v>36</v>
      </c>
      <c r="DF40">
        <f>HEADER_ROW+$DE40</f>
        <v/>
      </c>
      <c r="DG40">
        <f>IF(AND($DF40&lt;=1000,$DF40&lt;$B$8),1,0)</f>
        <v/>
      </c>
      <c r="DH40">
        <f>IF($DG40=1,IFERROR(INDEX($DB$5:$DB$1004,$DF40),""),"")</f>
        <v/>
      </c>
      <c r="DI40">
        <f>IF(AND($DG40=1,$DH40&lt;&gt;""),IFERROR(SUBSTITUTE(SUBSTITUTE(TRIM(SUBSTITUTE(SUBSTITUTE(SUBSTITUTE(SUBSTITUTE(IFERROR(INDEX(PASTE_ALL,$DF40,1)&amp;"","")&amp;"␟"&amp;IFERROR(INDEX(PASTE_ALL,$DF40,2)&amp;"","")&amp;"␟"&amp;IFERROR(INDEX(PASTE_ALL,$DF40,3)&amp;"","")&amp;"␟"&amp;IFERROR(INDEX(PASTE_ALL,$DF40,4)&amp;"","")&amp;"␟"&amp;IFERROR(INDEX(PASTE_ALL,$DF40,5)&amp;"","")&amp;"␟"&amp;IFERROR(INDEX(PASTE_ALL,$DF40,6)&amp;"","")&amp;"␟"&amp;IFERROR(INDEX(PASTE_ALL,$DF40,7)&amp;"","")&amp;"␟"&amp;IFERROR(INDEX(PASTE_ALL,$DF40,8)&amp;"","")&amp;"␟"&amp;IFERROR(INDEX(PASTE_ALL,$DF40,9)&amp;"","")&amp;"␟"&amp;IFERROR(INDEX(PASTE_ALL,$DF40,10)&amp;"","")&amp;"␟"&amp;IFERROR(INDEX(PASTE_ALL,$DF40,11)&amp;"","")&amp;"␟"&amp;IFERROR(INDEX(PASTE_ALL,$DF40,12)&amp;"","")&amp;"␟"&amp;IFERROR(INDEX(PASTE_ALL,$DF40,13)&amp;"","")&amp;"␟"&amp;IFERROR(INDEX(PASTE_ALL,$DF40,14)&amp;"","")&amp;"␟"&amp;IFERROR(INDEX(PASTE_ALL,$DF40,15)&amp;"","")&amp;"␟"&amp;IFERROR(INDEX(PASTE_ALL,$DF40,16)&amp;"","")&amp;"␟"&amp;IFERROR(INDEX(PASTE_ALL,$DF40,17)&amp;"","")&amp;"␟"&amp;IFERROR(INDEX(PASTE_ALL,$DF40,18)&amp;"","")&amp;"␟"&amp;IFERROR(INDEX(PASTE_ALL,$DF40,19)&amp;"","")&amp;"␟"&amp;IFERROR(INDEX(PASTE_ALL,$DF40,20)&amp;"","")&amp;"␟"&amp;IFERROR(INDEX(PASTE_ALL,$DF40,21)&amp;"","")&amp;"␟"&amp;IFERROR(INDEX(PASTE_ALL,$DF40,22)&amp;"","")&amp;"␟"&amp;IFERROR(INDEX(PASTE_ALL,$DF40,23)&amp;"","")&amp;"␟"&amp;IFERROR(INDEX(PASTE_ALL,$DF40,24)&amp;"","")&amp;"␟"&amp;IFERROR(INDEX(PASTE_ALL,$DF40,25)&amp;"","")&amp;"␟"&amp;IFERROR(INDEX(PASTE_ALL,$DF40,26)&amp;"","")&amp;"␟"&amp;IFERROR(INDEX(PASTE_ALL,$DF40,27)&amp;"","")&amp;"␟"&amp;IFERROR(INDEX(PASTE_ALL,$DF40,28)&amp;"","")&amp;"␟"&amp;IFERROR(INDEX(PASTE_ALL,$DF40,29)&amp;"","")&amp;"␟"&amp;IFERROR(INDEX(PASTE_ALL,$DF40,30)&amp;"","")&amp;"␟"&amp;IFERROR(INDEX(PASTE_ALL,$DF40,31)&amp;"","")&amp;"␟"&amp;IFERROR(INDEX(PASTE_ALL,$DF40,32)&amp;"","")&amp;"␟"&amp;IFERROR(INDEX(PASTE_ALL,$DF40,33)&amp;"","")&amp;"␟"&amp;IFERROR(INDEX(PASTE_ALL,$DF40,34)&amp;"","")&amp;"␟"&amp;IFERROR(INDEX(PASTE_ALL,$DF40,35)&amp;"","")&amp;"␟"&amp;IFERROR(INDEX(PASTE_ALL,$DF40,36)&amp;"","")&amp;"␟"&amp;IFERROR(INDEX(PASTE_ALL,$DF40,37)&amp;"","")&amp;"␟"&amp;IFERROR(INDEX(PASTE_ALL,$DF40,38)&amp;"","")&amp;"␟"&amp;IFERROR(INDEX(PASTE_ALL,$DF40,39)&amp;"","")&amp;"␟"&amp;IFERROR(INDEX(PASTE_ALL,$DF40,40)&amp;"","")&amp;"␟"&amp;IFERROR(INDEX(PASTE_ALL,$DF40,41)&amp;"","")&amp;"␟"&amp;IFERROR(INDEX(PASTE_ALL,$DF40,42)&amp;"","")&amp;"␟"&amp;IFERROR(INDEX(PASTE_ALL,$DF40,43)&amp;"","")&amp;"␟"&amp;IFERROR(INDEX(PASTE_ALL,$DF40,44)&amp;"","")&amp;"␟"&amp;IFERROR(INDEX(PASTE_ALL,$DF40,45)&amp;"","")&amp;"␟"&amp;IFERROR(INDEX(PASTE_ALL,$DF40,46)&amp;"","")&amp;"␟"&amp;IFERROR(INDEX(PASTE_ALL,$DF40,47)&amp;"","")&amp;"␟"&amp;IFERROR(INDEX(PASTE_ALL,$DF40,48)&amp;"","")&amp;"␟"&amp;IFERROR(INDEX(PASTE_ALL,$DF40,49)&amp;"","")&amp;"␟"&amp;IFERROR(INDEX(PASTE_ALL,$DF40,50)&amp;"","")&amp;"␟"&amp;IFERROR(INDEX(PASTE_ALL,$DF40,51)&amp;"","")&amp;"␟"&amp;IFERROR(INDEX(PASTE_ALL,$DF40,52)&amp;"","")&amp;"␟"&amp;IFERROR(INDEX(PASTE_ALL,$DF40,53)&amp;"","")&amp;"␟"&amp;IFERROR(INDEX(PASTE_ALL,$DF40,54)&amp;"","")&amp;"␟"&amp;IFERROR(INDEX(PASTE_ALL,$DF40,55)&amp;"","")&amp;"␟"&amp;IFERROR(INDEX(PASTE_ALL,$DF40,56)&amp;"","")&amp;"␟"&amp;IFERROR(INDEX(PASTE_ALL,$DF40,57)&amp;"","")&amp;"␟"&amp;IFERROR(INDEX(PASTE_ALL,$DF40,58)&amp;"","")&amp;"␟"&amp;IFERROR(INDEX(PASTE_ALL,$DF40,59)&amp;"","")&amp;"␟"&amp;IFERROR(INDEX(PASTE_ALL,$DF40,60)&amp;"","")," "," "),CHAR(9)," "),CHAR(10)," "),CHAR(13)," "))," ␟","␟"),"␟ ","␟"),"#"&amp;$DE40),"")</f>
        <v/>
      </c>
      <c r="DJ40">
        <f>IF($DI40="",0,IF(SUMPRODUCT(--EXACT($DI$4:DI39,$DI40))&gt;0,1,0))</f>
        <v/>
      </c>
      <c r="DK40">
        <f>IF(AND($DI40&lt;&gt;"",$DJ40=0),1,0)</f>
        <v/>
      </c>
      <c r="DL40">
        <f>DL39+$DK40</f>
        <v/>
      </c>
      <c r="DM40">
        <f>IF(AND($DK40=1,$DL40&lt;=600),1,0)</f>
        <v/>
      </c>
      <c r="DN40">
        <f>IF($DM40=0,"",IF($L$6=0,"",IFERROR(IF(ISNUMBER(INDEX(PASTE_ALL,$DF40,$L$6)),INDEX(PASTE_ALL,$DF40,$L$6),TRIM(SUBSTITUTE(SUBSTITUTE(SUBSTITUTE(SUBSTITUTE(INDEX(PASTE_ALL,$DF40,$L$6)," "," "),CHAR(9)," "),CHAR(10)," "),CHAR(13)," "))),"")))</f>
        <v/>
      </c>
      <c r="DO40">
        <f>IF($DM40=0,"",IF($L$7=0,"",IFERROR(IF(ISNUMBER(INDEX(PASTE_ALL,$DF40,$L$7)),INDEX(PASTE_ALL,$DF40,$L$7),TRIM(SUBSTITUTE(SUBSTITUTE(SUBSTITUTE(SUBSTITUTE(INDEX(PASTE_ALL,$DF40,$L$7)," "," "),CHAR(9)," "),CHAR(10)," "),CHAR(13)," "))),"")))</f>
        <v/>
      </c>
      <c r="DP40">
        <f>IF($DM40=0,"",IF($L$8=0,"",IFERROR(IF(ISNUMBER(INDEX(PASTE_ALL,$DF40,$L$8)),INDEX(PASTE_ALL,$DF40,$L$8),TRIM(SUBSTITUTE(SUBSTITUTE(SUBSTITUTE(SUBSTITUTE(INDEX(PASTE_ALL,$DF40,$L$8)," "," "),CHAR(9)," "),CHAR(10)," "),CHAR(13)," "))),"")))</f>
        <v/>
      </c>
      <c r="DQ40">
        <f>IF($DM40=0,"",IF($L$9=0,"",IFERROR(IF(ISNUMBER(INDEX(PASTE_ALL,$DF40,$L$9)),INDEX(PASTE_ALL,$DF40,$L$9),TRIM(SUBSTITUTE(SUBSTITUTE(SUBSTITUTE(SUBSTITUTE(INDEX(PASTE_ALL,$DF40,$L$9)," "," "),CHAR(9)," "),CHAR(10)," "),CHAR(13)," "))),"")))</f>
        <v/>
      </c>
      <c r="DR40">
        <f>IF($DM40=0,"",IF($L$10=0,"",IFERROR(IF(ISNUMBER(INDEX(PASTE_ALL,$DF40,$L$10)),INDEX(PASTE_ALL,$DF40,$L$10),TRIM(SUBSTITUTE(SUBSTITUTE(SUBSTITUTE(SUBSTITUTE(INDEX(PASTE_ALL,$DF40,$L$10)," "," "),CHAR(9)," "),CHAR(10)," "),CHAR(13)," "))),"")))</f>
        <v/>
      </c>
      <c r="DS40">
        <f>IF($DM40=0,"",IF($L$11=0,"",IFERROR(IF(ISNUMBER(INDEX(PASTE_ALL,$DF40,$L$11)),INDEX(PASTE_ALL,$DF40,$L$11),TRIM(SUBSTITUTE(SUBSTITUTE(SUBSTITUTE(SUBSTITUTE(INDEX(PASTE_ALL,$DF40,$L$11)," "," "),CHAR(9)," "),CHAR(10)," "),CHAR(13)," "))),"")))</f>
        <v/>
      </c>
      <c r="DT40">
        <f>IF($DM40=0,"",IF($L$12=0,"",IFERROR(IF(ISNUMBER(INDEX(PASTE_ALL,$DF40,$L$12)),INDEX(PASTE_ALL,$DF40,$L$12),TRIM(SUBSTITUTE(SUBSTITUTE(SUBSTITUTE(SUBSTITUTE(INDEX(PASTE_ALL,$DF40,$L$12)," "," "),CHAR(9)," "),CHAR(10)," "),CHAR(13)," "))),"")))</f>
        <v/>
      </c>
      <c r="DU40">
        <f>IF($DM40=0,"",IF($L$13=0,"",IFERROR(IF(ISNUMBER(INDEX(PASTE_ALL,$DF40,$L$13)),INDEX(PASTE_ALL,$DF40,$L$13),TRIM(SUBSTITUTE(SUBSTITUTE(SUBSTITUTE(SUBSTITUTE(INDEX(PASTE_ALL,$DF40,$L$13)," "," "),CHAR(9)," "),CHAR(10)," "),CHAR(13)," "))),"")))</f>
        <v/>
      </c>
      <c r="DV40">
        <f>IF($DM40=0,"",IF($L$14=0,"",IFERROR(IF(ISNUMBER(INDEX(PASTE_ALL,$DF40,$L$14)),INDEX(PASTE_ALL,$DF40,$L$14),TRIM(SUBSTITUTE(SUBSTITUTE(SUBSTITUTE(SUBSTITUTE(INDEX(PASTE_ALL,$DF40,$L$14)," "," "),CHAR(9)," "),CHAR(10)," "),CHAR(13)," "))),"")))</f>
        <v/>
      </c>
      <c r="DW40">
        <f>IF($DM40=0,"",IF($L$15=0,"",IFERROR(IF(ISNUMBER(INDEX(PASTE_ALL,$DF40,$L$15)),INDEX(PASTE_ALL,$DF40,$L$15),IF(SUMPRODUCT(--ISNUMBER(FIND({"A","B","C","D","E","F","G","H","I","J","K","L","M","N","O","P","Q","R","S","T","U","V","W","X","Y","Z","0","1","2","3","4","5","6","7","8","9"},UPPER(TRIM(SUBSTITUTE(SUBSTITUTE(SUBSTITUTE(SUBSTITUTE(INDEX(PASTE_ALL,$DF40,$L$15)," "," "),CHAR(9)," "),CHAR(10)," "),CHAR(13)," "))))))&gt;0,TRIM(SUBSTITUTE(SUBSTITUTE(SUBSTITUTE(SUBSTITUTE(INDEX(PASTE_ALL,$DF40,$L$15)," "," "),CHAR(9)," "),CHAR(10)," "),CHAR(13)," ")),"")),"")))</f>
        <v/>
      </c>
      <c r="DX40">
        <f>IF($DM40=0,"",IF($L$16=0,"",IFERROR(IF(ISNUMBER(INDEX(PASTE_ALL,$DF40,$L$16)),INDEX(PASTE_ALL,$DF40,$L$16),SUBSTITUTE(SUBSTITUTE(TRIM(SUBSTITUTE(SUBSTITUTE(SUBSTITUTE(SUBSTITUTE(INDEX(PASTE_ALL,$DF40,$L$16)," "," "),CHAR(9)," "),CHAR(10)," "),CHAR(13)," ")),",",""),"%","")),"")))</f>
        <v/>
      </c>
      <c r="DY40">
        <f>IF($DM40=0,"",IFERROR(IF(ISNUMBER($DX40),$DX40,IF($DX40="","",IF(TRIM($DX40)="",0,IF(AND(AND(SUBSTITUTE(SUBSTITUTE(SUBSTITUTE(SUBSTITUTE(SUBSTITUTE(SUBSTITUTE(SUBSTITUTE(SUBSTITUTE(SUBSTITUTE(SUBSTITUTE(SUBSTITUTE(SUBSTITUTE(SUBSTITUTE(SUBSTITUTE(UPPER(TRIM($DX40)),"0",""),"1",""),"2",""),"3",""),"4",""),"5",""),"6",""),"7",""),"8",""),"9",""),".",""),"+",""),"-",""),"E","")="",LEN(SUBSTITUTE(SUBSTITUTE(MID(UPPER(TRIM($DX40)),1+OR(LEFT(UPPER(TRIM($DX40)),1)="+",LEFT(UPPER(TRIM($DX40)),1)="-"),999),"E+","E"),"E-","E"))=LEN(SUBSTITUTE(SUBSTITUTE(SUBSTITUTE(SUBSTITUTE(MID(UPPER(TRIM($DX40)),1+OR(LEFT(UPPER(TRIM($DX40)),1)="+",LEFT(UPPER(TRIM($DX40)),1)="-"),999),"E+","E"),"E-","E"),"+",""),"-","")),LEN(UPPER(TRIM($DX40)))-LEN(SUBSTITUTE(UPPER(TRIM($DX40)),"E",""))&lt;2,LEN(UPPER(TRIM($DX40)))-LEN(SUBSTITUTE(UPPER(TRIM($DX40)),".",""))&lt;2,IFERROR(FIND(".",UPPER(TRIM($DX40))),0)&lt;IFERROR(FIND("E",UPPER(TRIM($DX40))),999)),ISNUMBER(VALUE(TRIM($DX40)))),VALUE(TRIM($DX40)),"")))),""))</f>
        <v/>
      </c>
      <c r="DZ40">
        <f>IF($DM40=0,"",IF($L$17=0,"",IFERROR(IF(ISNUMBER(INDEX(PASTE_ALL,$DF40,$L$17)),INDEX(PASTE_ALL,$DF40,$L$17),SUBSTITUTE(SUBSTITUTE(TRIM(SUBSTITUTE(SUBSTITUTE(SUBSTITUTE(SUBSTITUTE(INDEX(PASTE_ALL,$DF40,$L$17)," "," "),CHAR(9)," "),CHAR(10)," "),CHAR(13)," ")),",",""),"%","")),"")))</f>
        <v/>
      </c>
      <c r="EA40">
        <f>IF($DM40=0,"",IFERROR(IF(ISNUMBER($DZ40),$DZ40,IF($DZ40="","",IF(TRIM($DZ40)="",0,IF(AND(AND(SUBSTITUTE(SUBSTITUTE(SUBSTITUTE(SUBSTITUTE(SUBSTITUTE(SUBSTITUTE(SUBSTITUTE(SUBSTITUTE(SUBSTITUTE(SUBSTITUTE(SUBSTITUTE(SUBSTITUTE(SUBSTITUTE(SUBSTITUTE(UPPER(TRIM($DZ40)),"0",""),"1",""),"2",""),"3",""),"4",""),"5",""),"6",""),"7",""),"8",""),"9",""),".",""),"+",""),"-",""),"E","")="",LEN(SUBSTITUTE(SUBSTITUTE(MID(UPPER(TRIM($DZ40)),1+OR(LEFT(UPPER(TRIM($DZ40)),1)="+",LEFT(UPPER(TRIM($DZ40)),1)="-"),999),"E+","E"),"E-","E"))=LEN(SUBSTITUTE(SUBSTITUTE(SUBSTITUTE(SUBSTITUTE(MID(UPPER(TRIM($DZ40)),1+OR(LEFT(UPPER(TRIM($DZ40)),1)="+",LEFT(UPPER(TRIM($DZ40)),1)="-"),999),"E+","E"),"E-","E"),"+",""),"-","")),LEN(UPPER(TRIM($DZ40)))-LEN(SUBSTITUTE(UPPER(TRIM($DZ40)),"E",""))&lt;2,LEN(UPPER(TRIM($DZ40)))-LEN(SUBSTITUTE(UPPER(TRIM($DZ40)),".",""))&lt;2,IFERROR(FIND(".",UPPER(TRIM($DZ40))),0)&lt;IFERROR(FIND("E",UPPER(TRIM($DZ40))),999)),ISNUMBER(VALUE(TRIM($DZ40)))),VALUE(TRIM($DZ40)),"")))),""))</f>
        <v/>
      </c>
      <c r="EB40">
        <f>IF($DM40=0,"",IF($L$18=0,"",IFERROR(IF(UPPER(TRIM(SUBSTITUTE(SUBSTITUTE(SUBSTITUTE(SUBSTITUTE(INDEX(PASTE_ALL,$DF40,$L$18)," "," "),CHAR(9)," "),CHAR(10)," "),CHAR(13)," ")))="READY","Ready",IF(UPPER(TRIM(SUBSTITUTE(SUBSTITUTE(SUBSTITUTE(SUBSTITUTE(INDEX(PASTE_ALL,$DF40,$L$18)," "," "),CHAR(9)," "),CHAR(10)," "),CHAR(13)," ")))="PM","PM",IF(OR(UPPER(TRIM(SUBSTITUTE(SUBSTITUTE(SUBSTITUTE(SUBSTITUTE(INDEX(PASTE_ALL,$DF40,$L$18)," "," "),CHAR(9)," "),CHAR(10)," "),CHAR(13)," ")))="OT",UPPER(TRIM(SUBSTITUTE(SUBSTITUTE(SUBSTITUTE(SUBSTITUTE(INDEX(PASTE_ALL,$DF40,$L$18)," "," "),CHAR(9)," "),CHAR(10)," "),CHAR(13)," ")))="OVERTIME",UPPER(TRIM(SUBSTITUTE(SUBSTITUTE(SUBSTITUTE(SUBSTITUTE(INDEX(PASTE_ALL,$DF40,$L$18)," "," "),CHAR(9)," "),CHAR(10)," "),CHAR(13)," ")))="TRIAL"),"OT",TRIM(SUBSTITUTE(SUBSTITUTE(SUBSTITUTE(SUBSTITUTE(INDEX(PASTE_ALL,$DF40,$L$18)," "," "),CHAR(9)," "),CHAR(10)," "),CHAR(13)," "))))),"")))</f>
        <v/>
      </c>
      <c r="EC40">
        <f>IF($DM40=0,"",IF($L$19=0,"",IFERROR(IF(ISNUMBER(INDEX(PASTE_ALL,$DF40,$L$19)),INDEX(PASTE_ALL,$DF40,$L$19),TRIM(SUBSTITUTE(SUBSTITUTE(SUBSTITUTE(SUBSTITUTE(INDEX(PASTE_ALL,$DF40,$L$19)," "," "),CHAR(9)," "),CHAR(10)," "),CHAR(13)," "))),"")))</f>
        <v/>
      </c>
      <c r="ED40">
        <f>IF($DM40=0,"",MATCH(1,INDEX(EXACT($DH$5:DH40,$DH40)*$DM$5:DM40,0),0))</f>
        <v/>
      </c>
      <c r="EE40">
        <f>IF($DM40=0,0,IF($ED40=$DE40,1,0))</f>
        <v/>
      </c>
      <c r="EF40">
        <f>EF39+$EE40</f>
        <v/>
      </c>
      <c r="EG40">
        <f>IF($DM40=0,"",INDEX($EF$5:$EF$1003,$ED40))</f>
        <v/>
      </c>
      <c r="EH40">
        <f>IF($DM40=0,"",IF($DO40&lt;&gt;"","",IFERROR(LOOKUP(2,1/(($EG$4:EG39=$EG40)*($DO$4:DO39&lt;&gt;"")),$DO$4:DO39),"")))</f>
        <v/>
      </c>
      <c r="EI40">
        <f>IF($DM40=0,"",IF($DO40&lt;&gt;"",$DO40,$EH40))</f>
        <v/>
      </c>
      <c r="EJ40">
        <f>IF($DM40=0,"",IF($EI40="",0,IF(OR(ISNUMBER($EI40),AND(AND(SUBSTITUTE(SUBSTITUTE(SUBSTITUTE(SUBSTITUTE(SUBSTITUTE(SUBSTITUTE(SUBSTITUTE(SUBSTITUTE(SUBSTITUTE(SUBSTITUTE(SUBSTITUTE(SUBSTITUTE(SUBSTITUTE(SUBSTITUTE(UPPER($EI40),"0",""),"1",""),"2",""),"3",""),"4",""),"5",""),"6",""),"7",""),"8",""),"9",""),".",""),"+",""),"-",""),"E","")="",LEN(SUBSTITUTE(SUBSTITUTE(MID(UPPER($EI40),1+OR(LEFT(UPPER($EI40),1)="+",LEFT(UPPER($EI40),1)="-"),999),"E+","E"),"E-","E"))=LEN(SUBSTITUTE(SUBSTITUTE(SUBSTITUTE(SUBSTITUTE(MID(UPPER($EI40),1+OR(LEFT(UPPER($EI40),1)="+",LEFT(UPPER($EI40),1)="-"),999),"E+","E"),"E-","E"),"+",""),"-","")),LEN(UPPER($EI40))-LEN(SUBSTITUTE(UPPER($EI40),"E",""))&lt;2,LEN(UPPER($EI40))-LEN(SUBSTITUTE(UPPER($EI40),".",""))&lt;2,IFERROR(FIND(".",UPPER($EI40)),0)&lt;IFERROR(FIND("E",UPPER($EI40)),999)),ISNUMBER(VALUE($EI40)))),1,2)))</f>
        <v/>
      </c>
      <c r="EK40">
        <f>IF($DM40=0,"",IF($EJ40=1,IF(ISNUMBER($EI40),$EI40,VALUE($EI40)),IF($EJ40=2,$DE40,0)))</f>
        <v/>
      </c>
      <c r="EL40">
        <f>IF($DM40=0,"",COUNTIF($EG$5:$EG$1003,"&lt;"&amp;$EG40)+SUMPRODUCT(($EG$5:$EG$1003=$EG40)*(($EJ$5:$EJ$1003&lt;$EJ40)+($EJ$5:$EJ$1003=$EJ40)*(($EK$5:$EK$1003&lt;$EK40)+($EK$5:$EK$1003=$EK40)*($DE$5:$DE$1003&lt;$DE40))))+1)</f>
        <v/>
      </c>
      <c r="EM40">
        <f>IF($DM40=0,"",$EL40+$EG40-1)</f>
        <v/>
      </c>
      <c r="EN40">
        <f>IF($DM40=0,0,IFERROR(MATCH(1,INDEX(--(TRIM(SUBSTITUTE(SUBSTITUTE(SUBSTITUTE(SUBSTITUTE(LINES_NAME&amp;""," "," "),CHAR(9)," "),CHAR(10)," "),CHAR(13)," "))=$DH40),0),0),0))</f>
        <v/>
      </c>
      <c r="EO40">
        <f>IF($EN40=0,0,IF(OR(UPPER(TRIM(INDEX(LINES_SCHEDULED,$EN40)&amp;""))="YES",UPPER(TRIM(INDEX(LINES_SCHEDULED,$EN40)&amp;""))="Y",UPPER(TRIM(INDEX(LINES_SCHEDULED,$EN40)&amp;""))="X"),1,0))</f>
        <v/>
      </c>
      <c r="EP40">
        <f>IF($DM40=0,"",IF(COUNTIFS($EG$5:$EG$1003,$EG40,$EB$5:$EB$1003,"Ready")&gt;0,"READY",IF(COUNTIFS($EG$5:$EG$1003,$EG40,$EB$5:$EB$1003,"PM")&gt;0,"PM",IF(COUNTIFS($EG$5:$EG$1003,$EG40,$EB$5:$EB$1003,"OT")&gt;0,"OT",""))))</f>
        <v/>
      </c>
      <c r="EQ40">
        <f>IF($EN40=0,"",UPPER(TRIM(INDEX(LINES_STATUS,$EN40)&amp;"")))</f>
        <v/>
      </c>
      <c r="ER40">
        <f>IF($DM40=0,"",IF(OR($EQ40="READY",$EQ40="PM",$EQ40="OT"),$EQ40,$EP40))</f>
        <v/>
      </c>
      <c r="ES40">
        <f>IF($DM40=0,"",IF(AND($DV40&lt;&gt;"",UPPER($DV40)&lt;&gt;"N"),"allergen",IF(ISNUMBER(SEARCH("oil",$DQ40)),"oil",IF(OR(EXACT($DS40,"A662"),EXACT($DS40,"A624")),"bulk",""))))</f>
        <v/>
      </c>
      <c r="ET40">
        <f>IF($DM40=0,"",IF(OR($EA40="",$EA40=0),"",$EA40/100))</f>
        <v/>
      </c>
      <c r="EU40">
        <f>IF(OR($ET40="",$DY40=""),"",INT($DY40*(1-$ET40)+0.5))</f>
        <v/>
      </c>
      <c r="EW40" t="n">
        <v>36</v>
      </c>
      <c r="EX40">
        <f>IFERROR(MATCH($EW40,$EM$5:$EM$1003,0),0)</f>
        <v/>
      </c>
      <c r="EY40">
        <f>IF($EW40&gt;$B$12,"",IF($EX40&gt;0,"row","spacer"))</f>
        <v/>
      </c>
      <c r="EZ40">
        <f>IF(AND($EY40="row",$EY39&lt;&gt;"row"),1,0)</f>
        <v/>
      </c>
      <c r="FA40">
        <f>IF(AND($EY40="row",$EY41&lt;&gt;"row"),1,0)</f>
        <v/>
      </c>
      <c r="FB40">
        <f>IF($EZ40=1,IFERROR(IF(ISNUMBER(INDEX(PASTE_ALL,INDEX($DF$5:$DF$1003,$EX40),$B$37)),INDEX(PASTE_ALL,INDEX($DF$5:$DF$1003,$EX40),$B$37),INDEX($DH$5:$DH$1003,$EX40)),INDEX($DH$5:$DH$1003,$EX40)),"")</f>
        <v/>
      </c>
      <c r="FC40">
        <f>IF($EY40="row",INDEX($ER$5:$ER$1003,$EX40),"")</f>
        <v/>
      </c>
      <c r="FD40">
        <f>IF($EY40="row",INDEX($DN$5:$DN$1003,$EX40),"")</f>
        <v/>
      </c>
      <c r="FE40">
        <f>IF($EY40="row",INDEX($DO$5:$DO$1003,$EX40),"")</f>
        <v/>
      </c>
      <c r="FF40">
        <f>IF($EY40="row",INDEX($DP$5:$DP$1003,$EX40),"")</f>
        <v/>
      </c>
      <c r="FG40">
        <f>IF($EY40="row",INDEX($DQ$5:$DQ$1003,$EX40),"")</f>
        <v/>
      </c>
      <c r="FH40">
        <f>IF($EY40="row",INDEX($DR$5:$DR$1003,$EX40),"")</f>
        <v/>
      </c>
      <c r="FI40">
        <f>IF($EY40="row",INDEX($DS$5:$DS$1003,$EX40),"")</f>
        <v/>
      </c>
      <c r="FJ40">
        <f>IF($EY40="row",INDEX($DT$5:$DT$1003,$EX40),"")</f>
        <v/>
      </c>
      <c r="FK40">
        <f>IF($EY40="row",INDEX($DU$5:$DU$1003,$EX40),"")</f>
        <v/>
      </c>
      <c r="FL40">
        <f>IF($EY40="row",INDEX($DV$5:$DV$1003,$EX40),"")</f>
        <v/>
      </c>
      <c r="FM40">
        <f>IF($EY40="row",INDEX($DW$5:$DW$1003,$EX40),"")</f>
        <v/>
      </c>
      <c r="FN40">
        <f>IF($EY40="row",INDEX($DY$5:$DY$1003,$EX40),"")</f>
        <v/>
      </c>
      <c r="FO40">
        <f>IF($EY40="row",INDEX($EA$5:$EA$1003,$EX40),"")</f>
        <v/>
      </c>
      <c r="FP40">
        <f>IF($EY40="row",INDEX($EC$5:$EC$1003,$EX40),"")</f>
        <v/>
      </c>
      <c r="FQ40">
        <f>IF($EY40="row",INDEX($ET$5:$ET$1003,$EX40),"")</f>
        <v/>
      </c>
      <c r="FR40">
        <f>IF($EY40="row",INDEX($EU$5:$EU$1003,$EX40),"")</f>
        <v/>
      </c>
      <c r="FS40">
        <f>IF(AND($EY40="row",$EY39="row"),IF(OR(INDEX($DT$5:$DT$1003,$EX39)="",INDEX($DT$5:$DT$1003,$EX40)=""),"",IF(NOT(EXACT(INDEX($DT$5:$DT$1003,$EX39),INDEX($DT$5:$DT$1003,$EX40))),"S4",IF(NOT(EXACT(INDEX($DS$5:$DS$1003,$EX39),INDEX($DS$5:$DS$1003,$EX40))),"S3",IF(NOT(EXACT(INDEX($DR$5:$DR$1003,$EX39),INDEX($DR$5:$DR$1003,$EX40))),"S1 Count Change","S1")))),"")</f>
        <v/>
      </c>
      <c r="FT40">
        <f>IF($EY40="row",INDEX($ES$5:$ES$1003,$EX40),"")</f>
        <v/>
      </c>
      <c r="FU40">
        <f>IF($EY40="row",INDEX($EO$5:$EO$1003,$EX40),0)</f>
        <v/>
      </c>
      <c r="FV40">
        <f>IF($FS40="S1 Count Change",1,0)</f>
        <v/>
      </c>
      <c r="FX40" t="n">
        <v>36</v>
      </c>
      <c r="FY40">
        <f>IFERROR(MATCH($FX40,$EF$5:$EF$1003,0),0)</f>
        <v/>
      </c>
      <c r="FZ40">
        <f>IF($FY40=0,"",INDEX($DH$5:$DH$1003,$FY40))</f>
        <v/>
      </c>
      <c r="GA40">
        <f>IF($FY40=0,"",COUNTIF($EG$5:$EG$1003,$FX40))</f>
        <v/>
      </c>
      <c r="GB40">
        <f>IF($FY40=0,"",INDEX($ER$5:$ER$1003,$FY40))</f>
        <v/>
      </c>
      <c r="GC40">
        <f>IF($FY40=0,"",IF(INDEX($EO$5:$EO$1003,$FY40)=1,"Yes",""))</f>
        <v/>
      </c>
      <c r="GD40">
        <f>IF($FY40=0,"",IF(INDEX($EN$5:$EN$1003,$FY40)&gt;0,"","NOT IN YOUR LIST - type it in column A to tick it"))</f>
        <v/>
      </c>
      <c r="GE40">
        <f>IF(AND($FY40&gt;0,$GD40&lt;&gt;""),1,0)</f>
        <v/>
      </c>
      <c r="GF40">
        <f>GF39+$GE40</f>
        <v/>
      </c>
      <c r="GG40">
        <f>IFERROR(INDEX($FZ$5:$FZ$104,MATCH($FX40,$GF$5:$GF$104,0)),"")</f>
        <v/>
      </c>
    </row>
    <row r="41">
      <c r="S41" t="n">
        <v>37</v>
      </c>
      <c r="T41" t="inlineStr">
        <is>
          <t>AK</t>
        </is>
      </c>
      <c r="V41" t="inlineStr">
        <is>
          <t>PRODUCT</t>
        </is>
      </c>
      <c r="W41" t="n">
        <v>5</v>
      </c>
      <c r="Y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 ",""),"!",""),CHAR(34),""),"#",""),"$",""),"%",""),"&amp;",""),"'",""),"(",""),")",""),"*",""),"+",""),",",""),"-",""),".",""),"/",""),":",""),";",""),"&lt;",""),"=",""),"&gt;",""),"?",""),"@",""),"[",""),"\",""),"]",""),"^",""),"_",""),"`",""),"{",""),"|",""),"}",""),"~",""),CHAR(9),""),CHAR(10),""),CHAR(13),"")," ",""),"")</f>
        <v/>
      </c>
      <c r="Z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 ",""),"!",""),CHAR(34),""),"#",""),"$",""),"%",""),"&amp;",""),"'",""),"(",""),")",""),"*",""),"+",""),",",""),"-",""),".",""),"/",""),":",""),";",""),"&lt;",""),"=",""),"&gt;",""),"?",""),"@",""),"[",""),"\",""),"]",""),"^",""),"_",""),"`",""),"{",""),"|",""),"}",""),"~",""),CHAR(9),""),CHAR(10),""),CHAR(13),"")," ",""),"")</f>
        <v/>
      </c>
      <c r="AA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 ",""),"!",""),CHAR(34),""),"#",""),"$",""),"%",""),"&amp;",""),"'",""),"(",""),")",""),"*",""),"+",""),",",""),"-",""),".",""),"/",""),":",""),";",""),"&lt;",""),"=",""),"&gt;",""),"?",""),"@",""),"[",""),"\",""),"]",""),"^",""),"_",""),"`",""),"{",""),"|",""),"}",""),"~",""),CHAR(9),""),CHAR(10),""),CHAR(13),"")," ",""),"")</f>
        <v/>
      </c>
      <c r="AB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 ",""),"!",""),CHAR(34),""),"#",""),"$",""),"%",""),"&amp;",""),"'",""),"(",""),")",""),"*",""),"+",""),",",""),"-",""),".",""),"/",""),":",""),";",""),"&lt;",""),"=",""),"&gt;",""),"?",""),"@",""),"[",""),"\",""),"]",""),"^",""),"_",""),"`",""),"{",""),"|",""),"}",""),"~",""),CHAR(9),""),CHAR(10),""),CHAR(13),"")," ",""),"")</f>
        <v/>
      </c>
      <c r="AC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 ",""),"!",""),CHAR(34),""),"#",""),"$",""),"%",""),"&amp;",""),"'",""),"(",""),")",""),"*",""),"+",""),",",""),"-",""),".",""),"/",""),":",""),";",""),"&lt;",""),"=",""),"&gt;",""),"?",""),"@",""),"[",""),"\",""),"]",""),"^",""),"_",""),"`",""),"{",""),"|",""),"}",""),"~",""),CHAR(9),""),CHAR(10),""),CHAR(13),"")," ",""),"")</f>
        <v/>
      </c>
      <c r="AD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37,6))," ",""),"!",""),CHAR(34),""),"#",""),"$",""),"%",""),"&amp;",""),"'",""),"(",""),")",""),"*",""),"+",""),",",""),"-",""),".",""),"/",""),":",""),";",""),"&lt;",""),"=",""),"&gt;",""),"?",""),"@",""),"[",""),"\",""),"]",""),"^",""),"_",""),"`",""),"{",""),"|",""),"}",""),"~",""),CHAR(9),""),CHAR(10),""),CHAR(13),"")," ",""),"")</f>
        <v/>
      </c>
      <c r="AE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37,7))," ",""),"!",""),CHAR(34),""),"#",""),"$",""),"%",""),"&amp;",""),"'",""),"(",""),")",""),"*",""),"+",""),",",""),"-",""),".",""),"/",""),":",""),";",""),"&lt;",""),"=",""),"&gt;",""),"?",""),"@",""),"[",""),"\",""),"]",""),"^",""),"_",""),"`",""),"{",""),"|",""),"}",""),"~",""),CHAR(9),""),CHAR(10),""),CHAR(13),"")," ",""),"")</f>
        <v/>
      </c>
      <c r="AF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37,8))," ",""),"!",""),CHAR(34),""),"#",""),"$",""),"%",""),"&amp;",""),"'",""),"(",""),")",""),"*",""),"+",""),",",""),"-",""),".",""),"/",""),":",""),";",""),"&lt;",""),"=",""),"&gt;",""),"?",""),"@",""),"[",""),"\",""),"]",""),"^",""),"_",""),"`",""),"{",""),"|",""),"}",""),"~",""),CHAR(9),""),CHAR(10),""),CHAR(13),"")," ",""),"")</f>
        <v/>
      </c>
      <c r="AG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37,9))," ",""),"!",""),CHAR(34),""),"#",""),"$",""),"%",""),"&amp;",""),"'",""),"(",""),")",""),"*",""),"+",""),",",""),"-",""),".",""),"/",""),":",""),";",""),"&lt;",""),"=",""),"&gt;",""),"?",""),"@",""),"[",""),"\",""),"]",""),"^",""),"_",""),"`",""),"{",""),"|",""),"}",""),"~",""),CHAR(9),""),CHAR(10),""),CHAR(13),"")," ",""),"")</f>
        <v/>
      </c>
      <c r="AH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37,10))," ",""),"!",""),CHAR(34),""),"#",""),"$",""),"%",""),"&amp;",""),"'",""),"(",""),")",""),"*",""),"+",""),",",""),"-",""),".",""),"/",""),":",""),";",""),"&lt;",""),"=",""),"&gt;",""),"?",""),"@",""),"[",""),"\",""),"]",""),"^",""),"_",""),"`",""),"{",""),"|",""),"}",""),"~",""),CHAR(9),""),CHAR(10),""),CHAR(13),"")," ",""),"")</f>
        <v/>
      </c>
      <c r="AI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37,11))," ",""),"!",""),CHAR(34),""),"#",""),"$",""),"%",""),"&amp;",""),"'",""),"(",""),")",""),"*",""),"+",""),",",""),"-",""),".",""),"/",""),":",""),";",""),"&lt;",""),"=",""),"&gt;",""),"?",""),"@",""),"[",""),"\",""),"]",""),"^",""),"_",""),"`",""),"{",""),"|",""),"}",""),"~",""),CHAR(9),""),CHAR(10),""),CHAR(13),"")," ",""),"")</f>
        <v/>
      </c>
      <c r="AJ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37,12))," ",""),"!",""),CHAR(34),""),"#",""),"$",""),"%",""),"&amp;",""),"'",""),"(",""),")",""),"*",""),"+",""),",",""),"-",""),".",""),"/",""),":",""),";",""),"&lt;",""),"=",""),"&gt;",""),"?",""),"@",""),"[",""),"\",""),"]",""),"^",""),"_",""),"`",""),"{",""),"|",""),"}",""),"~",""),CHAR(9),""),CHAR(10),""),CHAR(13),"")," ",""),"")</f>
        <v/>
      </c>
      <c r="AK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37,13))," ",""),"!",""),CHAR(34),""),"#",""),"$",""),"%",""),"&amp;",""),"'",""),"(",""),")",""),"*",""),"+",""),",",""),"-",""),".",""),"/",""),":",""),";",""),"&lt;",""),"=",""),"&gt;",""),"?",""),"@",""),"[",""),"\",""),"]",""),"^",""),"_",""),"`",""),"{",""),"|",""),"}",""),"~",""),CHAR(9),""),CHAR(10),""),CHAR(13),"")," ",""),"")</f>
        <v/>
      </c>
      <c r="AL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37,14))," ",""),"!",""),CHAR(34),""),"#",""),"$",""),"%",""),"&amp;",""),"'",""),"(",""),")",""),"*",""),"+",""),",",""),"-",""),".",""),"/",""),":",""),";",""),"&lt;",""),"=",""),"&gt;",""),"?",""),"@",""),"[",""),"\",""),"]",""),"^",""),"_",""),"`",""),"{",""),"|",""),"}",""),"~",""),CHAR(9),""),CHAR(10),""),CHAR(13),"")," ",""),"")</f>
        <v/>
      </c>
      <c r="AM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37,15))," ",""),"!",""),CHAR(34),""),"#",""),"$",""),"%",""),"&amp;",""),"'",""),"(",""),")",""),"*",""),"+",""),",",""),"-",""),".",""),"/",""),":",""),";",""),"&lt;",""),"=",""),"&gt;",""),"?",""),"@",""),"[",""),"\",""),"]",""),"^",""),"_",""),"`",""),"{",""),"|",""),"}",""),"~",""),CHAR(9),""),CHAR(10),""),CHAR(13),"")," ",""),"")</f>
        <v/>
      </c>
      <c r="AN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37,16))," ",""),"!",""),CHAR(34),""),"#",""),"$",""),"%",""),"&amp;",""),"'",""),"(",""),")",""),"*",""),"+",""),",",""),"-",""),".",""),"/",""),":",""),";",""),"&lt;",""),"=",""),"&gt;",""),"?",""),"@",""),"[",""),"\",""),"]",""),"^",""),"_",""),"`",""),"{",""),"|",""),"}",""),"~",""),CHAR(9),""),CHAR(10),""),CHAR(13),"")," ",""),"")</f>
        <v/>
      </c>
      <c r="AO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37,17))," ",""),"!",""),CHAR(34),""),"#",""),"$",""),"%",""),"&amp;",""),"'",""),"(",""),")",""),"*",""),"+",""),",",""),"-",""),".",""),"/",""),":",""),";",""),"&lt;",""),"=",""),"&gt;",""),"?",""),"@",""),"[",""),"\",""),"]",""),"^",""),"_",""),"`",""),"{",""),"|",""),"}",""),"~",""),CHAR(9),""),CHAR(10),""),CHAR(13),"")," ",""),"")</f>
        <v/>
      </c>
      <c r="AP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37,18))," ",""),"!",""),CHAR(34),""),"#",""),"$",""),"%",""),"&amp;",""),"'",""),"(",""),")",""),"*",""),"+",""),",",""),"-",""),".",""),"/",""),":",""),";",""),"&lt;",""),"=",""),"&gt;",""),"?",""),"@",""),"[",""),"\",""),"]",""),"^",""),"_",""),"`",""),"{",""),"|",""),"}",""),"~",""),CHAR(9),""),CHAR(10),""),CHAR(13),"")," ",""),"")</f>
        <v/>
      </c>
      <c r="AQ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37,19))," ",""),"!",""),CHAR(34),""),"#",""),"$",""),"%",""),"&amp;",""),"'",""),"(",""),")",""),"*",""),"+",""),",",""),"-",""),".",""),"/",""),":",""),";",""),"&lt;",""),"=",""),"&gt;",""),"?",""),"@",""),"[",""),"\",""),"]",""),"^",""),"_",""),"`",""),"{",""),"|",""),"}",""),"~",""),CHAR(9),""),CHAR(10),""),CHAR(13),"")," ",""),"")</f>
        <v/>
      </c>
      <c r="AR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37,20))," ",""),"!",""),CHAR(34),""),"#",""),"$",""),"%",""),"&amp;",""),"'",""),"(",""),")",""),"*",""),"+",""),",",""),"-",""),".",""),"/",""),":",""),";",""),"&lt;",""),"=",""),"&gt;",""),"?",""),"@",""),"[",""),"\",""),"]",""),"^",""),"_",""),"`",""),"{",""),"|",""),"}",""),"~",""),CHAR(9),""),CHAR(10),""),CHAR(13),"")," ",""),"")</f>
        <v/>
      </c>
      <c r="AS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37,21))," ",""),"!",""),CHAR(34),""),"#",""),"$",""),"%",""),"&amp;",""),"'",""),"(",""),")",""),"*",""),"+",""),",",""),"-",""),".",""),"/",""),":",""),";",""),"&lt;",""),"=",""),"&gt;",""),"?",""),"@",""),"[",""),"\",""),"]",""),"^",""),"_",""),"`",""),"{",""),"|",""),"}",""),"~",""),CHAR(9),""),CHAR(10),""),CHAR(13),"")," ",""),"")</f>
        <v/>
      </c>
      <c r="AT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37,22))," ",""),"!",""),CHAR(34),""),"#",""),"$",""),"%",""),"&amp;",""),"'",""),"(",""),")",""),"*",""),"+",""),",",""),"-",""),".",""),"/",""),":",""),";",""),"&lt;",""),"=",""),"&gt;",""),"?",""),"@",""),"[",""),"\",""),"]",""),"^",""),"_",""),"`",""),"{",""),"|",""),"}",""),"~",""),CHAR(9),""),CHAR(10),""),CHAR(13),"")," ",""),"")</f>
        <v/>
      </c>
      <c r="AU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37,23))," ",""),"!",""),CHAR(34),""),"#",""),"$",""),"%",""),"&amp;",""),"'",""),"(",""),")",""),"*",""),"+",""),",",""),"-",""),".",""),"/",""),":",""),";",""),"&lt;",""),"=",""),"&gt;",""),"?",""),"@",""),"[",""),"\",""),"]",""),"^",""),"_",""),"`",""),"{",""),"|",""),"}",""),"~",""),CHAR(9),""),CHAR(10),""),CHAR(13),"")," ",""),"")</f>
        <v/>
      </c>
      <c r="AV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37,24))," ",""),"!",""),CHAR(34),""),"#",""),"$",""),"%",""),"&amp;",""),"'",""),"(",""),")",""),"*",""),"+",""),",",""),"-",""),".",""),"/",""),":",""),";",""),"&lt;",""),"=",""),"&gt;",""),"?",""),"@",""),"[",""),"\",""),"]",""),"^",""),"_",""),"`",""),"{",""),"|",""),"}",""),"~",""),CHAR(9),""),CHAR(10),""),CHAR(13),"")," ",""),"")</f>
        <v/>
      </c>
      <c r="AW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37,25))," ",""),"!",""),CHAR(34),""),"#",""),"$",""),"%",""),"&amp;",""),"'",""),"(",""),")",""),"*",""),"+",""),",",""),"-",""),".",""),"/",""),":",""),";",""),"&lt;",""),"=",""),"&gt;",""),"?",""),"@",""),"[",""),"\",""),"]",""),"^",""),"_",""),"`",""),"{",""),"|",""),"}",""),"~",""),CHAR(9),""),CHAR(10),""),CHAR(13),"")," ",""),"")</f>
        <v/>
      </c>
      <c r="AX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37,26))," ",""),"!",""),CHAR(34),""),"#",""),"$",""),"%",""),"&amp;",""),"'",""),"(",""),")",""),"*",""),"+",""),",",""),"-",""),".",""),"/",""),":",""),";",""),"&lt;",""),"=",""),"&gt;",""),"?",""),"@",""),"[",""),"\",""),"]",""),"^",""),"_",""),"`",""),"{",""),"|",""),"}",""),"~",""),CHAR(9),""),CHAR(10),""),CHAR(13),"")," ",""),"")</f>
        <v/>
      </c>
      <c r="AY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37,27))," ",""),"!",""),CHAR(34),""),"#",""),"$",""),"%",""),"&amp;",""),"'",""),"(",""),")",""),"*",""),"+",""),",",""),"-",""),".",""),"/",""),":",""),";",""),"&lt;",""),"=",""),"&gt;",""),"?",""),"@",""),"[",""),"\",""),"]",""),"^",""),"_",""),"`",""),"{",""),"|",""),"}",""),"~",""),CHAR(9),""),CHAR(10),""),CHAR(13),"")," ",""),"")</f>
        <v/>
      </c>
      <c r="AZ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37,28))," ",""),"!",""),CHAR(34),""),"#",""),"$",""),"%",""),"&amp;",""),"'",""),"(",""),")",""),"*",""),"+",""),",",""),"-",""),".",""),"/",""),":",""),";",""),"&lt;",""),"=",""),"&gt;",""),"?",""),"@",""),"[",""),"\",""),"]",""),"^",""),"_",""),"`",""),"{",""),"|",""),"}",""),"~",""),CHAR(9),""),CHAR(10),""),CHAR(13),"")," ",""),"")</f>
        <v/>
      </c>
      <c r="BA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37,29))," ",""),"!",""),CHAR(34),""),"#",""),"$",""),"%",""),"&amp;",""),"'",""),"(",""),")",""),"*",""),"+",""),",",""),"-",""),".",""),"/",""),":",""),";",""),"&lt;",""),"=",""),"&gt;",""),"?",""),"@",""),"[",""),"\",""),"]",""),"^",""),"_",""),"`",""),"{",""),"|",""),"}",""),"~",""),CHAR(9),""),CHAR(10),""),CHAR(13),"")," ",""),"")</f>
        <v/>
      </c>
      <c r="BB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37,30))," ",""),"!",""),CHAR(34),""),"#",""),"$",""),"%",""),"&amp;",""),"'",""),"(",""),")",""),"*",""),"+",""),",",""),"-",""),".",""),"/",""),":",""),";",""),"&lt;",""),"=",""),"&gt;",""),"?",""),"@",""),"[",""),"\",""),"]",""),"^",""),"_",""),"`",""),"{",""),"|",""),"}",""),"~",""),CHAR(9),""),CHAR(10),""),CHAR(13),"")," ",""),"")</f>
        <v/>
      </c>
      <c r="BC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37,31))," ",""),"!",""),CHAR(34),""),"#",""),"$",""),"%",""),"&amp;",""),"'",""),"(",""),")",""),"*",""),"+",""),",",""),"-",""),".",""),"/",""),":",""),";",""),"&lt;",""),"=",""),"&gt;",""),"?",""),"@",""),"[",""),"\",""),"]",""),"^",""),"_",""),"`",""),"{",""),"|",""),"}",""),"~",""),CHAR(9),""),CHAR(10),""),CHAR(13),"")," ",""),"")</f>
        <v/>
      </c>
      <c r="BD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37,32))," ",""),"!",""),CHAR(34),""),"#",""),"$",""),"%",""),"&amp;",""),"'",""),"(",""),")",""),"*",""),"+",""),",",""),"-",""),".",""),"/",""),":",""),";",""),"&lt;",""),"=",""),"&gt;",""),"?",""),"@",""),"[",""),"\",""),"]",""),"^",""),"_",""),"`",""),"{",""),"|",""),"}",""),"~",""),CHAR(9),""),CHAR(10),""),CHAR(13),"")," ",""),"")</f>
        <v/>
      </c>
      <c r="BE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37,33))," ",""),"!",""),CHAR(34),""),"#",""),"$",""),"%",""),"&amp;",""),"'",""),"(",""),")",""),"*",""),"+",""),",",""),"-",""),".",""),"/",""),":",""),";",""),"&lt;",""),"=",""),"&gt;",""),"?",""),"@",""),"[",""),"\",""),"]",""),"^",""),"_",""),"`",""),"{",""),"|",""),"}",""),"~",""),CHAR(9),""),CHAR(10),""),CHAR(13),"")," ",""),"")</f>
        <v/>
      </c>
      <c r="BF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37,34))," ",""),"!",""),CHAR(34),""),"#",""),"$",""),"%",""),"&amp;",""),"'",""),"(",""),")",""),"*",""),"+",""),",",""),"-",""),".",""),"/",""),":",""),";",""),"&lt;",""),"=",""),"&gt;",""),"?",""),"@",""),"[",""),"\",""),"]",""),"^",""),"_",""),"`",""),"{",""),"|",""),"}",""),"~",""),CHAR(9),""),CHAR(10),""),CHAR(13),"")," ",""),"")</f>
        <v/>
      </c>
      <c r="BG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37,35))," ",""),"!",""),CHAR(34),""),"#",""),"$",""),"%",""),"&amp;",""),"'",""),"(",""),")",""),"*",""),"+",""),",",""),"-",""),".",""),"/",""),":",""),";",""),"&lt;",""),"=",""),"&gt;",""),"?",""),"@",""),"[",""),"\",""),"]",""),"^",""),"_",""),"`",""),"{",""),"|",""),"}",""),"~",""),CHAR(9),""),CHAR(10),""),CHAR(13),"")," ",""),"")</f>
        <v/>
      </c>
      <c r="BH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37,36))," ",""),"!",""),CHAR(34),""),"#",""),"$",""),"%",""),"&amp;",""),"'",""),"(",""),")",""),"*",""),"+",""),",",""),"-",""),".",""),"/",""),":",""),";",""),"&lt;",""),"=",""),"&gt;",""),"?",""),"@",""),"[",""),"\",""),"]",""),"^",""),"_",""),"`",""),"{",""),"|",""),"}",""),"~",""),CHAR(9),""),CHAR(10),""),CHAR(13),"")," ",""),"")</f>
        <v/>
      </c>
      <c r="BI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37,37))," ",""),"!",""),CHAR(34),""),"#",""),"$",""),"%",""),"&amp;",""),"'",""),"(",""),")",""),"*",""),"+",""),",",""),"-",""),".",""),"/",""),":",""),";",""),"&lt;",""),"=",""),"&gt;",""),"?",""),"@",""),"[",""),"\",""),"]",""),"^",""),"_",""),"`",""),"{",""),"|",""),"}",""),"~",""),CHAR(9),""),CHAR(10),""),CHAR(13),"")," ",""),"")</f>
        <v/>
      </c>
      <c r="BJ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37,38))," ",""),"!",""),CHAR(34),""),"#",""),"$",""),"%",""),"&amp;",""),"'",""),"(",""),")",""),"*",""),"+",""),",",""),"-",""),".",""),"/",""),":",""),";",""),"&lt;",""),"=",""),"&gt;",""),"?",""),"@",""),"[",""),"\",""),"]",""),"^",""),"_",""),"`",""),"{",""),"|",""),"}",""),"~",""),CHAR(9),""),CHAR(10),""),CHAR(13),"")," ",""),"")</f>
        <v/>
      </c>
      <c r="BK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37,39))," ",""),"!",""),CHAR(34),""),"#",""),"$",""),"%",""),"&amp;",""),"'",""),"(",""),")",""),"*",""),"+",""),",",""),"-",""),".",""),"/",""),":",""),";",""),"&lt;",""),"=",""),"&gt;",""),"?",""),"@",""),"[",""),"\",""),"]",""),"^",""),"_",""),"`",""),"{",""),"|",""),"}",""),"~",""),CHAR(9),""),CHAR(10),""),CHAR(13),"")," ",""),"")</f>
        <v/>
      </c>
      <c r="BL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37,40))," ",""),"!",""),CHAR(34),""),"#",""),"$",""),"%",""),"&amp;",""),"'",""),"(",""),")",""),"*",""),"+",""),",",""),"-",""),".",""),"/",""),":",""),";",""),"&lt;",""),"=",""),"&gt;",""),"?",""),"@",""),"[",""),"\",""),"]",""),"^",""),"_",""),"`",""),"{",""),"|",""),"}",""),"~",""),CHAR(9),""),CHAR(10),""),CHAR(13),"")," ",""),"")</f>
        <v/>
      </c>
      <c r="BM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37,41))," ",""),"!",""),CHAR(34),""),"#",""),"$",""),"%",""),"&amp;",""),"'",""),"(",""),")",""),"*",""),"+",""),",",""),"-",""),".",""),"/",""),":",""),";",""),"&lt;",""),"=",""),"&gt;",""),"?",""),"@",""),"[",""),"\",""),"]",""),"^",""),"_",""),"`",""),"{",""),"|",""),"}",""),"~",""),CHAR(9),""),CHAR(10),""),CHAR(13),"")," ",""),"")</f>
        <v/>
      </c>
      <c r="BN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37,42))," ",""),"!",""),CHAR(34),""),"#",""),"$",""),"%",""),"&amp;",""),"'",""),"(",""),")",""),"*",""),"+",""),",",""),"-",""),".",""),"/",""),":",""),";",""),"&lt;",""),"=",""),"&gt;",""),"?",""),"@",""),"[",""),"\",""),"]",""),"^",""),"_",""),"`",""),"{",""),"|",""),"}",""),"~",""),CHAR(9),""),CHAR(10),""),CHAR(13),"")," ",""),"")</f>
        <v/>
      </c>
      <c r="BO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37,43))," ",""),"!",""),CHAR(34),""),"#",""),"$",""),"%",""),"&amp;",""),"'",""),"(",""),")",""),"*",""),"+",""),",",""),"-",""),".",""),"/",""),":",""),";",""),"&lt;",""),"=",""),"&gt;",""),"?",""),"@",""),"[",""),"\",""),"]",""),"^",""),"_",""),"`",""),"{",""),"|",""),"}",""),"~",""),CHAR(9),""),CHAR(10),""),CHAR(13),"")," ",""),"")</f>
        <v/>
      </c>
      <c r="BP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37,44))," ",""),"!",""),CHAR(34),""),"#",""),"$",""),"%",""),"&amp;",""),"'",""),"(",""),")",""),"*",""),"+",""),",",""),"-",""),".",""),"/",""),":",""),";",""),"&lt;",""),"=",""),"&gt;",""),"?",""),"@",""),"[",""),"\",""),"]",""),"^",""),"_",""),"`",""),"{",""),"|",""),"}",""),"~",""),CHAR(9),""),CHAR(10),""),CHAR(13),"")," ",""),"")</f>
        <v/>
      </c>
      <c r="BQ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37,45))," ",""),"!",""),CHAR(34),""),"#",""),"$",""),"%",""),"&amp;",""),"'",""),"(",""),")",""),"*",""),"+",""),",",""),"-",""),".",""),"/",""),":",""),";",""),"&lt;",""),"=",""),"&gt;",""),"?",""),"@",""),"[",""),"\",""),"]",""),"^",""),"_",""),"`",""),"{",""),"|",""),"}",""),"~",""),CHAR(9),""),CHAR(10),""),CHAR(13),"")," ",""),"")</f>
        <v/>
      </c>
      <c r="BR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37,46))," ",""),"!",""),CHAR(34),""),"#",""),"$",""),"%",""),"&amp;",""),"'",""),"(",""),")",""),"*",""),"+",""),",",""),"-",""),".",""),"/",""),":",""),";",""),"&lt;",""),"=",""),"&gt;",""),"?",""),"@",""),"[",""),"\",""),"]",""),"^",""),"_",""),"`",""),"{",""),"|",""),"}",""),"~",""),CHAR(9),""),CHAR(10),""),CHAR(13),"")," ",""),"")</f>
        <v/>
      </c>
      <c r="BS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37,47))," ",""),"!",""),CHAR(34),""),"#",""),"$",""),"%",""),"&amp;",""),"'",""),"(",""),")",""),"*",""),"+",""),",",""),"-",""),".",""),"/",""),":",""),";",""),"&lt;",""),"=",""),"&gt;",""),"?",""),"@",""),"[",""),"\",""),"]",""),"^",""),"_",""),"`",""),"{",""),"|",""),"}",""),"~",""),CHAR(9),""),CHAR(10),""),CHAR(13),"")," ",""),"")</f>
        <v/>
      </c>
      <c r="BT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37,48))," ",""),"!",""),CHAR(34),""),"#",""),"$",""),"%",""),"&amp;",""),"'",""),"(",""),")",""),"*",""),"+",""),",",""),"-",""),".",""),"/",""),":",""),";",""),"&lt;",""),"=",""),"&gt;",""),"?",""),"@",""),"[",""),"\",""),"]",""),"^",""),"_",""),"`",""),"{",""),"|",""),"}",""),"~",""),CHAR(9),""),CHAR(10),""),CHAR(13),"")," ",""),"")</f>
        <v/>
      </c>
      <c r="BU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37,49))," ",""),"!",""),CHAR(34),""),"#",""),"$",""),"%",""),"&amp;",""),"'",""),"(",""),")",""),"*",""),"+",""),",",""),"-",""),".",""),"/",""),":",""),";",""),"&lt;",""),"=",""),"&gt;",""),"?",""),"@",""),"[",""),"\",""),"]",""),"^",""),"_",""),"`",""),"{",""),"|",""),"}",""),"~",""),CHAR(9),""),CHAR(10),""),CHAR(13),"")," ",""),"")</f>
        <v/>
      </c>
      <c r="BV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37,50))," ",""),"!",""),CHAR(34),""),"#",""),"$",""),"%",""),"&amp;",""),"'",""),"(",""),")",""),"*",""),"+",""),",",""),"-",""),".",""),"/",""),":",""),";",""),"&lt;",""),"=",""),"&gt;",""),"?",""),"@",""),"[",""),"\",""),"]",""),"^",""),"_",""),"`",""),"{",""),"|",""),"}",""),"~",""),CHAR(9),""),CHAR(10),""),CHAR(13),"")," ",""),"")</f>
        <v/>
      </c>
      <c r="BW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37,51))," ",""),"!",""),CHAR(34),""),"#",""),"$",""),"%",""),"&amp;",""),"'",""),"(",""),")",""),"*",""),"+",""),",",""),"-",""),".",""),"/",""),":",""),";",""),"&lt;",""),"=",""),"&gt;",""),"?",""),"@",""),"[",""),"\",""),"]",""),"^",""),"_",""),"`",""),"{",""),"|",""),"}",""),"~",""),CHAR(9),""),CHAR(10),""),CHAR(13),"")," ",""),"")</f>
        <v/>
      </c>
      <c r="BX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37,52))," ",""),"!",""),CHAR(34),""),"#",""),"$",""),"%",""),"&amp;",""),"'",""),"(",""),")",""),"*",""),"+",""),",",""),"-",""),".",""),"/",""),":",""),";",""),"&lt;",""),"=",""),"&gt;",""),"?",""),"@",""),"[",""),"\",""),"]",""),"^",""),"_",""),"`",""),"{",""),"|",""),"}",""),"~",""),CHAR(9),""),CHAR(10),""),CHAR(13),"")," ",""),"")</f>
        <v/>
      </c>
      <c r="BY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37,53))," ",""),"!",""),CHAR(34),""),"#",""),"$",""),"%",""),"&amp;",""),"'",""),"(",""),")",""),"*",""),"+",""),",",""),"-",""),".",""),"/",""),":",""),";",""),"&lt;",""),"=",""),"&gt;",""),"?",""),"@",""),"[",""),"\",""),"]",""),"^",""),"_",""),"`",""),"{",""),"|",""),"}",""),"~",""),CHAR(9),""),CHAR(10),""),CHAR(13),"")," ",""),"")</f>
        <v/>
      </c>
      <c r="BZ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37,54))," ",""),"!",""),CHAR(34),""),"#",""),"$",""),"%",""),"&amp;",""),"'",""),"(",""),")",""),"*",""),"+",""),",",""),"-",""),".",""),"/",""),":",""),";",""),"&lt;",""),"=",""),"&gt;",""),"?",""),"@",""),"[",""),"\",""),"]",""),"^",""),"_",""),"`",""),"{",""),"|",""),"}",""),"~",""),CHAR(9),""),CHAR(10),""),CHAR(13),"")," ",""),"")</f>
        <v/>
      </c>
      <c r="CA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37,55))," ",""),"!",""),CHAR(34),""),"#",""),"$",""),"%",""),"&amp;",""),"'",""),"(",""),")",""),"*",""),"+",""),",",""),"-",""),".",""),"/",""),":",""),";",""),"&lt;",""),"=",""),"&gt;",""),"?",""),"@",""),"[",""),"\",""),"]",""),"^",""),"_",""),"`",""),"{",""),"|",""),"}",""),"~",""),CHAR(9),""),CHAR(10),""),CHAR(13),"")," ",""),"")</f>
        <v/>
      </c>
      <c r="CB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37,56))," ",""),"!",""),CHAR(34),""),"#",""),"$",""),"%",""),"&amp;",""),"'",""),"(",""),")",""),"*",""),"+",""),",",""),"-",""),".",""),"/",""),":",""),";",""),"&lt;",""),"=",""),"&gt;",""),"?",""),"@",""),"[",""),"\",""),"]",""),"^",""),"_",""),"`",""),"{",""),"|",""),"}",""),"~",""),CHAR(9),""),CHAR(10),""),CHAR(13),"")," ",""),"")</f>
        <v/>
      </c>
      <c r="CC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37,57))," ",""),"!",""),CHAR(34),""),"#",""),"$",""),"%",""),"&amp;",""),"'",""),"(",""),")",""),"*",""),"+",""),",",""),"-",""),".",""),"/",""),":",""),";",""),"&lt;",""),"=",""),"&gt;",""),"?",""),"@",""),"[",""),"\",""),"]",""),"^",""),"_",""),"`",""),"{",""),"|",""),"}",""),"~",""),CHAR(9),""),CHAR(10),""),CHAR(13),"")," ",""),"")</f>
        <v/>
      </c>
      <c r="CD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37,58))," ",""),"!",""),CHAR(34),""),"#",""),"$",""),"%",""),"&amp;",""),"'",""),"(",""),")",""),"*",""),"+",""),",",""),"-",""),".",""),"/",""),":",""),";",""),"&lt;",""),"=",""),"&gt;",""),"?",""),"@",""),"[",""),"\",""),"]",""),"^",""),"_",""),"`",""),"{",""),"|",""),"}",""),"~",""),CHAR(9),""),CHAR(10),""),CHAR(13),"")," ",""),"")</f>
        <v/>
      </c>
      <c r="CE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37,59))," ",""),"!",""),CHAR(34),""),"#",""),"$",""),"%",""),"&amp;",""),"'",""),"(",""),")",""),"*",""),"+",""),",",""),"-",""),".",""),"/",""),":",""),";",""),"&lt;",""),"=",""),"&gt;",""),"?",""),"@",""),"[",""),"\",""),"]",""),"^",""),"_",""),"`",""),"{",""),"|",""),"}",""),"~",""),CHAR(9),""),CHAR(10),""),CHAR(13),"")," ",""),"")</f>
        <v/>
      </c>
      <c r="CF41">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37,60))," ",""),"!",""),CHAR(34),""),"#",""),"$",""),"%",""),"&amp;",""),"'",""),"(",""),")",""),"*",""),"+",""),",",""),"-",""),".",""),"/",""),":",""),";",""),"&lt;",""),"=",""),"&gt;",""),"?",""),"@",""),"[",""),"\",""),"]",""),"^",""),"_",""),"`",""),"{",""),"|",""),"}",""),"~",""),CHAR(9),""),CHAR(10),""),CHAR(13),"")," ",""),"")</f>
        <v/>
      </c>
      <c r="CH41">
        <f>COUNTIF($Y86:$CF86,"&gt;0")</f>
        <v/>
      </c>
      <c r="CI41">
        <f>COUNTIF($Y86:$CF86,2)</f>
        <v/>
      </c>
      <c r="CJ41">
        <f>SUMPRODUCT((COUNTIF($Y131:$CF131,{1,2,3,4,5,6,7,8,9,10,11,12,13,14,15})&gt;0)*{2,4,8,16,32,64,128,256,512,1024,2048,4096,8192,16384,32768})</f>
        <v/>
      </c>
      <c r="CK41">
        <f>CF221</f>
        <v/>
      </c>
      <c r="CL41">
        <f>SUMPRODUCT(MOD(INT(((CJ41+CK41))/{2,4,8,16,32,64,128,256,512,1024,2048,4096,8192,16384,32768}),2))</f>
        <v/>
      </c>
      <c r="CM41">
        <f>IF(CH41&lt;2,-9999,CL41+2*MOD(INT(((CJ41+CK41))/2),2)+2*MOD(INT(((CJ41+CK41))/4),2)-CI41)</f>
        <v/>
      </c>
      <c r="DA41" t="n">
        <v>37</v>
      </c>
      <c r="DB41">
        <f>IF($B$37=0,"",IFERROR(TRIM(SUBSTITUTE(SUBSTITUTE(SUBSTITUTE(SUBSTITUTE(INDEX(PASTE_ALL,37,$B$37)," "," "),CHAR(9)," "),CHAR(10)," "),CHAR(13)," ")),""))</f>
        <v/>
      </c>
      <c r="DC41">
        <f>IF(AND(37&gt;HEADER_ROW,UPPER(DB41)="LEGEND"),1,0)</f>
        <v/>
      </c>
      <c r="DE41" t="n">
        <v>37</v>
      </c>
      <c r="DF41">
        <f>HEADER_ROW+$DE41</f>
        <v/>
      </c>
      <c r="DG41">
        <f>IF(AND($DF41&lt;=1000,$DF41&lt;$B$8),1,0)</f>
        <v/>
      </c>
      <c r="DH41">
        <f>IF($DG41=1,IFERROR(INDEX($DB$5:$DB$1004,$DF41),""),"")</f>
        <v/>
      </c>
      <c r="DI41">
        <f>IF(AND($DG41=1,$DH41&lt;&gt;""),IFERROR(SUBSTITUTE(SUBSTITUTE(TRIM(SUBSTITUTE(SUBSTITUTE(SUBSTITUTE(SUBSTITUTE(IFERROR(INDEX(PASTE_ALL,$DF41,1)&amp;"","")&amp;"␟"&amp;IFERROR(INDEX(PASTE_ALL,$DF41,2)&amp;"","")&amp;"␟"&amp;IFERROR(INDEX(PASTE_ALL,$DF41,3)&amp;"","")&amp;"␟"&amp;IFERROR(INDEX(PASTE_ALL,$DF41,4)&amp;"","")&amp;"␟"&amp;IFERROR(INDEX(PASTE_ALL,$DF41,5)&amp;"","")&amp;"␟"&amp;IFERROR(INDEX(PASTE_ALL,$DF41,6)&amp;"","")&amp;"␟"&amp;IFERROR(INDEX(PASTE_ALL,$DF41,7)&amp;"","")&amp;"␟"&amp;IFERROR(INDEX(PASTE_ALL,$DF41,8)&amp;"","")&amp;"␟"&amp;IFERROR(INDEX(PASTE_ALL,$DF41,9)&amp;"","")&amp;"␟"&amp;IFERROR(INDEX(PASTE_ALL,$DF41,10)&amp;"","")&amp;"␟"&amp;IFERROR(INDEX(PASTE_ALL,$DF41,11)&amp;"","")&amp;"␟"&amp;IFERROR(INDEX(PASTE_ALL,$DF41,12)&amp;"","")&amp;"␟"&amp;IFERROR(INDEX(PASTE_ALL,$DF41,13)&amp;"","")&amp;"␟"&amp;IFERROR(INDEX(PASTE_ALL,$DF41,14)&amp;"","")&amp;"␟"&amp;IFERROR(INDEX(PASTE_ALL,$DF41,15)&amp;"","")&amp;"␟"&amp;IFERROR(INDEX(PASTE_ALL,$DF41,16)&amp;"","")&amp;"␟"&amp;IFERROR(INDEX(PASTE_ALL,$DF41,17)&amp;"","")&amp;"␟"&amp;IFERROR(INDEX(PASTE_ALL,$DF41,18)&amp;"","")&amp;"␟"&amp;IFERROR(INDEX(PASTE_ALL,$DF41,19)&amp;"","")&amp;"␟"&amp;IFERROR(INDEX(PASTE_ALL,$DF41,20)&amp;"","")&amp;"␟"&amp;IFERROR(INDEX(PASTE_ALL,$DF41,21)&amp;"","")&amp;"␟"&amp;IFERROR(INDEX(PASTE_ALL,$DF41,22)&amp;"","")&amp;"␟"&amp;IFERROR(INDEX(PASTE_ALL,$DF41,23)&amp;"","")&amp;"␟"&amp;IFERROR(INDEX(PASTE_ALL,$DF41,24)&amp;"","")&amp;"␟"&amp;IFERROR(INDEX(PASTE_ALL,$DF41,25)&amp;"","")&amp;"␟"&amp;IFERROR(INDEX(PASTE_ALL,$DF41,26)&amp;"","")&amp;"␟"&amp;IFERROR(INDEX(PASTE_ALL,$DF41,27)&amp;"","")&amp;"␟"&amp;IFERROR(INDEX(PASTE_ALL,$DF41,28)&amp;"","")&amp;"␟"&amp;IFERROR(INDEX(PASTE_ALL,$DF41,29)&amp;"","")&amp;"␟"&amp;IFERROR(INDEX(PASTE_ALL,$DF41,30)&amp;"","")&amp;"␟"&amp;IFERROR(INDEX(PASTE_ALL,$DF41,31)&amp;"","")&amp;"␟"&amp;IFERROR(INDEX(PASTE_ALL,$DF41,32)&amp;"","")&amp;"␟"&amp;IFERROR(INDEX(PASTE_ALL,$DF41,33)&amp;"","")&amp;"␟"&amp;IFERROR(INDEX(PASTE_ALL,$DF41,34)&amp;"","")&amp;"␟"&amp;IFERROR(INDEX(PASTE_ALL,$DF41,35)&amp;"","")&amp;"␟"&amp;IFERROR(INDEX(PASTE_ALL,$DF41,36)&amp;"","")&amp;"␟"&amp;IFERROR(INDEX(PASTE_ALL,$DF41,37)&amp;"","")&amp;"␟"&amp;IFERROR(INDEX(PASTE_ALL,$DF41,38)&amp;"","")&amp;"␟"&amp;IFERROR(INDEX(PASTE_ALL,$DF41,39)&amp;"","")&amp;"␟"&amp;IFERROR(INDEX(PASTE_ALL,$DF41,40)&amp;"","")&amp;"␟"&amp;IFERROR(INDEX(PASTE_ALL,$DF41,41)&amp;"","")&amp;"␟"&amp;IFERROR(INDEX(PASTE_ALL,$DF41,42)&amp;"","")&amp;"␟"&amp;IFERROR(INDEX(PASTE_ALL,$DF41,43)&amp;"","")&amp;"␟"&amp;IFERROR(INDEX(PASTE_ALL,$DF41,44)&amp;"","")&amp;"␟"&amp;IFERROR(INDEX(PASTE_ALL,$DF41,45)&amp;"","")&amp;"␟"&amp;IFERROR(INDEX(PASTE_ALL,$DF41,46)&amp;"","")&amp;"␟"&amp;IFERROR(INDEX(PASTE_ALL,$DF41,47)&amp;"","")&amp;"␟"&amp;IFERROR(INDEX(PASTE_ALL,$DF41,48)&amp;"","")&amp;"␟"&amp;IFERROR(INDEX(PASTE_ALL,$DF41,49)&amp;"","")&amp;"␟"&amp;IFERROR(INDEX(PASTE_ALL,$DF41,50)&amp;"","")&amp;"␟"&amp;IFERROR(INDEX(PASTE_ALL,$DF41,51)&amp;"","")&amp;"␟"&amp;IFERROR(INDEX(PASTE_ALL,$DF41,52)&amp;"","")&amp;"␟"&amp;IFERROR(INDEX(PASTE_ALL,$DF41,53)&amp;"","")&amp;"␟"&amp;IFERROR(INDEX(PASTE_ALL,$DF41,54)&amp;"","")&amp;"␟"&amp;IFERROR(INDEX(PASTE_ALL,$DF41,55)&amp;"","")&amp;"␟"&amp;IFERROR(INDEX(PASTE_ALL,$DF41,56)&amp;"","")&amp;"␟"&amp;IFERROR(INDEX(PASTE_ALL,$DF41,57)&amp;"","")&amp;"␟"&amp;IFERROR(INDEX(PASTE_ALL,$DF41,58)&amp;"","")&amp;"␟"&amp;IFERROR(INDEX(PASTE_ALL,$DF41,59)&amp;"","")&amp;"␟"&amp;IFERROR(INDEX(PASTE_ALL,$DF41,60)&amp;"","")," "," "),CHAR(9)," "),CHAR(10)," "),CHAR(13)," "))," ␟","␟"),"␟ ","␟"),"#"&amp;$DE41),"")</f>
        <v/>
      </c>
      <c r="DJ41">
        <f>IF($DI41="",0,IF(SUMPRODUCT(--EXACT($DI$4:DI40,$DI41))&gt;0,1,0))</f>
        <v/>
      </c>
      <c r="DK41">
        <f>IF(AND($DI41&lt;&gt;"",$DJ41=0),1,0)</f>
        <v/>
      </c>
      <c r="DL41">
        <f>DL40+$DK41</f>
        <v/>
      </c>
      <c r="DM41">
        <f>IF(AND($DK41=1,$DL41&lt;=600),1,0)</f>
        <v/>
      </c>
      <c r="DN41">
        <f>IF($DM41=0,"",IF($L$6=0,"",IFERROR(IF(ISNUMBER(INDEX(PASTE_ALL,$DF41,$L$6)),INDEX(PASTE_ALL,$DF41,$L$6),TRIM(SUBSTITUTE(SUBSTITUTE(SUBSTITUTE(SUBSTITUTE(INDEX(PASTE_ALL,$DF41,$L$6)," "," "),CHAR(9)," "),CHAR(10)," "),CHAR(13)," "))),"")))</f>
        <v/>
      </c>
      <c r="DO41">
        <f>IF($DM41=0,"",IF($L$7=0,"",IFERROR(IF(ISNUMBER(INDEX(PASTE_ALL,$DF41,$L$7)),INDEX(PASTE_ALL,$DF41,$L$7),TRIM(SUBSTITUTE(SUBSTITUTE(SUBSTITUTE(SUBSTITUTE(INDEX(PASTE_ALL,$DF41,$L$7)," "," "),CHAR(9)," "),CHAR(10)," "),CHAR(13)," "))),"")))</f>
        <v/>
      </c>
      <c r="DP41">
        <f>IF($DM41=0,"",IF($L$8=0,"",IFERROR(IF(ISNUMBER(INDEX(PASTE_ALL,$DF41,$L$8)),INDEX(PASTE_ALL,$DF41,$L$8),TRIM(SUBSTITUTE(SUBSTITUTE(SUBSTITUTE(SUBSTITUTE(INDEX(PASTE_ALL,$DF41,$L$8)," "," "),CHAR(9)," "),CHAR(10)," "),CHAR(13)," "))),"")))</f>
        <v/>
      </c>
      <c r="DQ41">
        <f>IF($DM41=0,"",IF($L$9=0,"",IFERROR(IF(ISNUMBER(INDEX(PASTE_ALL,$DF41,$L$9)),INDEX(PASTE_ALL,$DF41,$L$9),TRIM(SUBSTITUTE(SUBSTITUTE(SUBSTITUTE(SUBSTITUTE(INDEX(PASTE_ALL,$DF41,$L$9)," "," "),CHAR(9)," "),CHAR(10)," "),CHAR(13)," "))),"")))</f>
        <v/>
      </c>
      <c r="DR41">
        <f>IF($DM41=0,"",IF($L$10=0,"",IFERROR(IF(ISNUMBER(INDEX(PASTE_ALL,$DF41,$L$10)),INDEX(PASTE_ALL,$DF41,$L$10),TRIM(SUBSTITUTE(SUBSTITUTE(SUBSTITUTE(SUBSTITUTE(INDEX(PASTE_ALL,$DF41,$L$10)," "," "),CHAR(9)," "),CHAR(10)," "),CHAR(13)," "))),"")))</f>
        <v/>
      </c>
      <c r="DS41">
        <f>IF($DM41=0,"",IF($L$11=0,"",IFERROR(IF(ISNUMBER(INDEX(PASTE_ALL,$DF41,$L$11)),INDEX(PASTE_ALL,$DF41,$L$11),TRIM(SUBSTITUTE(SUBSTITUTE(SUBSTITUTE(SUBSTITUTE(INDEX(PASTE_ALL,$DF41,$L$11)," "," "),CHAR(9)," "),CHAR(10)," "),CHAR(13)," "))),"")))</f>
        <v/>
      </c>
      <c r="DT41">
        <f>IF($DM41=0,"",IF($L$12=0,"",IFERROR(IF(ISNUMBER(INDEX(PASTE_ALL,$DF41,$L$12)),INDEX(PASTE_ALL,$DF41,$L$12),TRIM(SUBSTITUTE(SUBSTITUTE(SUBSTITUTE(SUBSTITUTE(INDEX(PASTE_ALL,$DF41,$L$12)," "," "),CHAR(9)," "),CHAR(10)," "),CHAR(13)," "))),"")))</f>
        <v/>
      </c>
      <c r="DU41">
        <f>IF($DM41=0,"",IF($L$13=0,"",IFERROR(IF(ISNUMBER(INDEX(PASTE_ALL,$DF41,$L$13)),INDEX(PASTE_ALL,$DF41,$L$13),TRIM(SUBSTITUTE(SUBSTITUTE(SUBSTITUTE(SUBSTITUTE(INDEX(PASTE_ALL,$DF41,$L$13)," "," "),CHAR(9)," "),CHAR(10)," "),CHAR(13)," "))),"")))</f>
        <v/>
      </c>
      <c r="DV41">
        <f>IF($DM41=0,"",IF($L$14=0,"",IFERROR(IF(ISNUMBER(INDEX(PASTE_ALL,$DF41,$L$14)),INDEX(PASTE_ALL,$DF41,$L$14),TRIM(SUBSTITUTE(SUBSTITUTE(SUBSTITUTE(SUBSTITUTE(INDEX(PASTE_ALL,$DF41,$L$14)," "," "),CHAR(9)," "),CHAR(10)," "),CHAR(13)," "))),"")))</f>
        <v/>
      </c>
      <c r="DW41">
        <f>IF($DM41=0,"",IF($L$15=0,"",IFERROR(IF(ISNUMBER(INDEX(PASTE_ALL,$DF41,$L$15)),INDEX(PASTE_ALL,$DF41,$L$15),IF(SUMPRODUCT(--ISNUMBER(FIND({"A","B","C","D","E","F","G","H","I","J","K","L","M","N","O","P","Q","R","S","T","U","V","W","X","Y","Z","0","1","2","3","4","5","6","7","8","9"},UPPER(TRIM(SUBSTITUTE(SUBSTITUTE(SUBSTITUTE(SUBSTITUTE(INDEX(PASTE_ALL,$DF41,$L$15)," "," "),CHAR(9)," "),CHAR(10)," "),CHAR(13)," "))))))&gt;0,TRIM(SUBSTITUTE(SUBSTITUTE(SUBSTITUTE(SUBSTITUTE(INDEX(PASTE_ALL,$DF41,$L$15)," "," "),CHAR(9)," "),CHAR(10)," "),CHAR(13)," ")),"")),"")))</f>
        <v/>
      </c>
      <c r="DX41">
        <f>IF($DM41=0,"",IF($L$16=0,"",IFERROR(IF(ISNUMBER(INDEX(PASTE_ALL,$DF41,$L$16)),INDEX(PASTE_ALL,$DF41,$L$16),SUBSTITUTE(SUBSTITUTE(TRIM(SUBSTITUTE(SUBSTITUTE(SUBSTITUTE(SUBSTITUTE(INDEX(PASTE_ALL,$DF41,$L$16)," "," "),CHAR(9)," "),CHAR(10)," "),CHAR(13)," ")),",",""),"%","")),"")))</f>
        <v/>
      </c>
      <c r="DY41">
        <f>IF($DM41=0,"",IFERROR(IF(ISNUMBER($DX41),$DX41,IF($DX41="","",IF(TRIM($DX41)="",0,IF(AND(AND(SUBSTITUTE(SUBSTITUTE(SUBSTITUTE(SUBSTITUTE(SUBSTITUTE(SUBSTITUTE(SUBSTITUTE(SUBSTITUTE(SUBSTITUTE(SUBSTITUTE(SUBSTITUTE(SUBSTITUTE(SUBSTITUTE(SUBSTITUTE(UPPER(TRIM($DX41)),"0",""),"1",""),"2",""),"3",""),"4",""),"5",""),"6",""),"7",""),"8",""),"9",""),".",""),"+",""),"-",""),"E","")="",LEN(SUBSTITUTE(SUBSTITUTE(MID(UPPER(TRIM($DX41)),1+OR(LEFT(UPPER(TRIM($DX41)),1)="+",LEFT(UPPER(TRIM($DX41)),1)="-"),999),"E+","E"),"E-","E"))=LEN(SUBSTITUTE(SUBSTITUTE(SUBSTITUTE(SUBSTITUTE(MID(UPPER(TRIM($DX41)),1+OR(LEFT(UPPER(TRIM($DX41)),1)="+",LEFT(UPPER(TRIM($DX41)),1)="-"),999),"E+","E"),"E-","E"),"+",""),"-","")),LEN(UPPER(TRIM($DX41)))-LEN(SUBSTITUTE(UPPER(TRIM($DX41)),"E",""))&lt;2,LEN(UPPER(TRIM($DX41)))-LEN(SUBSTITUTE(UPPER(TRIM($DX41)),".",""))&lt;2,IFERROR(FIND(".",UPPER(TRIM($DX41))),0)&lt;IFERROR(FIND("E",UPPER(TRIM($DX41))),999)),ISNUMBER(VALUE(TRIM($DX41)))),VALUE(TRIM($DX41)),"")))),""))</f>
        <v/>
      </c>
      <c r="DZ41">
        <f>IF($DM41=0,"",IF($L$17=0,"",IFERROR(IF(ISNUMBER(INDEX(PASTE_ALL,$DF41,$L$17)),INDEX(PASTE_ALL,$DF41,$L$17),SUBSTITUTE(SUBSTITUTE(TRIM(SUBSTITUTE(SUBSTITUTE(SUBSTITUTE(SUBSTITUTE(INDEX(PASTE_ALL,$DF41,$L$17)," "," "),CHAR(9)," "),CHAR(10)," "),CHAR(13)," ")),",",""),"%","")),"")))</f>
        <v/>
      </c>
      <c r="EA41">
        <f>IF($DM41=0,"",IFERROR(IF(ISNUMBER($DZ41),$DZ41,IF($DZ41="","",IF(TRIM($DZ41)="",0,IF(AND(AND(SUBSTITUTE(SUBSTITUTE(SUBSTITUTE(SUBSTITUTE(SUBSTITUTE(SUBSTITUTE(SUBSTITUTE(SUBSTITUTE(SUBSTITUTE(SUBSTITUTE(SUBSTITUTE(SUBSTITUTE(SUBSTITUTE(SUBSTITUTE(UPPER(TRIM($DZ41)),"0",""),"1",""),"2",""),"3",""),"4",""),"5",""),"6",""),"7",""),"8",""),"9",""),".",""),"+",""),"-",""),"E","")="",LEN(SUBSTITUTE(SUBSTITUTE(MID(UPPER(TRIM($DZ41)),1+OR(LEFT(UPPER(TRIM($DZ41)),1)="+",LEFT(UPPER(TRIM($DZ41)),1)="-"),999),"E+","E"),"E-","E"))=LEN(SUBSTITUTE(SUBSTITUTE(SUBSTITUTE(SUBSTITUTE(MID(UPPER(TRIM($DZ41)),1+OR(LEFT(UPPER(TRIM($DZ41)),1)="+",LEFT(UPPER(TRIM($DZ41)),1)="-"),999),"E+","E"),"E-","E"),"+",""),"-","")),LEN(UPPER(TRIM($DZ41)))-LEN(SUBSTITUTE(UPPER(TRIM($DZ41)),"E",""))&lt;2,LEN(UPPER(TRIM($DZ41)))-LEN(SUBSTITUTE(UPPER(TRIM($DZ41)),".",""))&lt;2,IFERROR(FIND(".",UPPER(TRIM($DZ41))),0)&lt;IFERROR(FIND("E",UPPER(TRIM($DZ41))),999)),ISNUMBER(VALUE(TRIM($DZ41)))),VALUE(TRIM($DZ41)),"")))),""))</f>
        <v/>
      </c>
      <c r="EB41">
        <f>IF($DM41=0,"",IF($L$18=0,"",IFERROR(IF(UPPER(TRIM(SUBSTITUTE(SUBSTITUTE(SUBSTITUTE(SUBSTITUTE(INDEX(PASTE_ALL,$DF41,$L$18)," "," "),CHAR(9)," "),CHAR(10)," "),CHAR(13)," ")))="READY","Ready",IF(UPPER(TRIM(SUBSTITUTE(SUBSTITUTE(SUBSTITUTE(SUBSTITUTE(INDEX(PASTE_ALL,$DF41,$L$18)," "," "),CHAR(9)," "),CHAR(10)," "),CHAR(13)," ")))="PM","PM",IF(OR(UPPER(TRIM(SUBSTITUTE(SUBSTITUTE(SUBSTITUTE(SUBSTITUTE(INDEX(PASTE_ALL,$DF41,$L$18)," "," "),CHAR(9)," "),CHAR(10)," "),CHAR(13)," ")))="OT",UPPER(TRIM(SUBSTITUTE(SUBSTITUTE(SUBSTITUTE(SUBSTITUTE(INDEX(PASTE_ALL,$DF41,$L$18)," "," "),CHAR(9)," "),CHAR(10)," "),CHAR(13)," ")))="OVERTIME",UPPER(TRIM(SUBSTITUTE(SUBSTITUTE(SUBSTITUTE(SUBSTITUTE(INDEX(PASTE_ALL,$DF41,$L$18)," "," "),CHAR(9)," "),CHAR(10)," "),CHAR(13)," ")))="TRIAL"),"OT",TRIM(SUBSTITUTE(SUBSTITUTE(SUBSTITUTE(SUBSTITUTE(INDEX(PASTE_ALL,$DF41,$L$18)," "," "),CHAR(9)," "),CHAR(10)," "),CHAR(13)," "))))),"")))</f>
        <v/>
      </c>
      <c r="EC41">
        <f>IF($DM41=0,"",IF($L$19=0,"",IFERROR(IF(ISNUMBER(INDEX(PASTE_ALL,$DF41,$L$19)),INDEX(PASTE_ALL,$DF41,$L$19),TRIM(SUBSTITUTE(SUBSTITUTE(SUBSTITUTE(SUBSTITUTE(INDEX(PASTE_ALL,$DF41,$L$19)," "," "),CHAR(9)," "),CHAR(10)," "),CHAR(13)," "))),"")))</f>
        <v/>
      </c>
      <c r="ED41">
        <f>IF($DM41=0,"",MATCH(1,INDEX(EXACT($DH$5:DH41,$DH41)*$DM$5:DM41,0),0))</f>
        <v/>
      </c>
      <c r="EE41">
        <f>IF($DM41=0,0,IF($ED41=$DE41,1,0))</f>
        <v/>
      </c>
      <c r="EF41">
        <f>EF40+$EE41</f>
        <v/>
      </c>
      <c r="EG41">
        <f>IF($DM41=0,"",INDEX($EF$5:$EF$1003,$ED41))</f>
        <v/>
      </c>
      <c r="EH41">
        <f>IF($DM41=0,"",IF($DO41&lt;&gt;"","",IFERROR(LOOKUP(2,1/(($EG$4:EG40=$EG41)*($DO$4:DO40&lt;&gt;"")),$DO$4:DO40),"")))</f>
        <v/>
      </c>
      <c r="EI41">
        <f>IF($DM41=0,"",IF($DO41&lt;&gt;"",$DO41,$EH41))</f>
        <v/>
      </c>
      <c r="EJ41">
        <f>IF($DM41=0,"",IF($EI41="",0,IF(OR(ISNUMBER($EI41),AND(AND(SUBSTITUTE(SUBSTITUTE(SUBSTITUTE(SUBSTITUTE(SUBSTITUTE(SUBSTITUTE(SUBSTITUTE(SUBSTITUTE(SUBSTITUTE(SUBSTITUTE(SUBSTITUTE(SUBSTITUTE(SUBSTITUTE(SUBSTITUTE(UPPER($EI41),"0",""),"1",""),"2",""),"3",""),"4",""),"5",""),"6",""),"7",""),"8",""),"9",""),".",""),"+",""),"-",""),"E","")="",LEN(SUBSTITUTE(SUBSTITUTE(MID(UPPER($EI41),1+OR(LEFT(UPPER($EI41),1)="+",LEFT(UPPER($EI41),1)="-"),999),"E+","E"),"E-","E"))=LEN(SUBSTITUTE(SUBSTITUTE(SUBSTITUTE(SUBSTITUTE(MID(UPPER($EI41),1+OR(LEFT(UPPER($EI41),1)="+",LEFT(UPPER($EI41),1)="-"),999),"E+","E"),"E-","E"),"+",""),"-","")),LEN(UPPER($EI41))-LEN(SUBSTITUTE(UPPER($EI41),"E",""))&lt;2,LEN(UPPER($EI41))-LEN(SUBSTITUTE(UPPER($EI41),".",""))&lt;2,IFERROR(FIND(".",UPPER($EI41)),0)&lt;IFERROR(FIND("E",UPPER($EI41)),999)),ISNUMBER(VALUE($EI41)))),1,2)))</f>
        <v/>
      </c>
      <c r="EK41">
        <f>IF($DM41=0,"",IF($EJ41=1,IF(ISNUMBER($EI41),$EI41,VALUE($EI41)),IF($EJ41=2,$DE41,0)))</f>
        <v/>
      </c>
      <c r="EL41">
        <f>IF($DM41=0,"",COUNTIF($EG$5:$EG$1003,"&lt;"&amp;$EG41)+SUMPRODUCT(($EG$5:$EG$1003=$EG41)*(($EJ$5:$EJ$1003&lt;$EJ41)+($EJ$5:$EJ$1003=$EJ41)*(($EK$5:$EK$1003&lt;$EK41)+($EK$5:$EK$1003=$EK41)*($DE$5:$DE$1003&lt;$DE41))))+1)</f>
        <v/>
      </c>
      <c r="EM41">
        <f>IF($DM41=0,"",$EL41+$EG41-1)</f>
        <v/>
      </c>
      <c r="EN41">
        <f>IF($DM41=0,0,IFERROR(MATCH(1,INDEX(--(TRIM(SUBSTITUTE(SUBSTITUTE(SUBSTITUTE(SUBSTITUTE(LINES_NAME&amp;""," "," "),CHAR(9)," "),CHAR(10)," "),CHAR(13)," "))=$DH41),0),0),0))</f>
        <v/>
      </c>
      <c r="EO41">
        <f>IF($EN41=0,0,IF(OR(UPPER(TRIM(INDEX(LINES_SCHEDULED,$EN41)&amp;""))="YES",UPPER(TRIM(INDEX(LINES_SCHEDULED,$EN41)&amp;""))="Y",UPPER(TRIM(INDEX(LINES_SCHEDULED,$EN41)&amp;""))="X"),1,0))</f>
        <v/>
      </c>
      <c r="EP41">
        <f>IF($DM41=0,"",IF(COUNTIFS($EG$5:$EG$1003,$EG41,$EB$5:$EB$1003,"Ready")&gt;0,"READY",IF(COUNTIFS($EG$5:$EG$1003,$EG41,$EB$5:$EB$1003,"PM")&gt;0,"PM",IF(COUNTIFS($EG$5:$EG$1003,$EG41,$EB$5:$EB$1003,"OT")&gt;0,"OT",""))))</f>
        <v/>
      </c>
      <c r="EQ41">
        <f>IF($EN41=0,"",UPPER(TRIM(INDEX(LINES_STATUS,$EN41)&amp;"")))</f>
        <v/>
      </c>
      <c r="ER41">
        <f>IF($DM41=0,"",IF(OR($EQ41="READY",$EQ41="PM",$EQ41="OT"),$EQ41,$EP41))</f>
        <v/>
      </c>
      <c r="ES41">
        <f>IF($DM41=0,"",IF(AND($DV41&lt;&gt;"",UPPER($DV41)&lt;&gt;"N"),"allergen",IF(ISNUMBER(SEARCH("oil",$DQ41)),"oil",IF(OR(EXACT($DS41,"A662"),EXACT($DS41,"A624")),"bulk",""))))</f>
        <v/>
      </c>
      <c r="ET41">
        <f>IF($DM41=0,"",IF(OR($EA41="",$EA41=0),"",$EA41/100))</f>
        <v/>
      </c>
      <c r="EU41">
        <f>IF(OR($ET41="",$DY41=""),"",INT($DY41*(1-$ET41)+0.5))</f>
        <v/>
      </c>
      <c r="EW41" t="n">
        <v>37</v>
      </c>
      <c r="EX41">
        <f>IFERROR(MATCH($EW41,$EM$5:$EM$1003,0),0)</f>
        <v/>
      </c>
      <c r="EY41">
        <f>IF($EW41&gt;$B$12,"",IF($EX41&gt;0,"row","spacer"))</f>
        <v/>
      </c>
      <c r="EZ41">
        <f>IF(AND($EY41="row",$EY40&lt;&gt;"row"),1,0)</f>
        <v/>
      </c>
      <c r="FA41">
        <f>IF(AND($EY41="row",$EY42&lt;&gt;"row"),1,0)</f>
        <v/>
      </c>
      <c r="FB41">
        <f>IF($EZ41=1,IFERROR(IF(ISNUMBER(INDEX(PASTE_ALL,INDEX($DF$5:$DF$1003,$EX41),$B$37)),INDEX(PASTE_ALL,INDEX($DF$5:$DF$1003,$EX41),$B$37),INDEX($DH$5:$DH$1003,$EX41)),INDEX($DH$5:$DH$1003,$EX41)),"")</f>
        <v/>
      </c>
      <c r="FC41">
        <f>IF($EY41="row",INDEX($ER$5:$ER$1003,$EX41),"")</f>
        <v/>
      </c>
      <c r="FD41">
        <f>IF($EY41="row",INDEX($DN$5:$DN$1003,$EX41),"")</f>
        <v/>
      </c>
      <c r="FE41">
        <f>IF($EY41="row",INDEX($DO$5:$DO$1003,$EX41),"")</f>
        <v/>
      </c>
      <c r="FF41">
        <f>IF($EY41="row",INDEX($DP$5:$DP$1003,$EX41),"")</f>
        <v/>
      </c>
      <c r="FG41">
        <f>IF($EY41="row",INDEX($DQ$5:$DQ$1003,$EX41),"")</f>
        <v/>
      </c>
      <c r="FH41">
        <f>IF($EY41="row",INDEX($DR$5:$DR$1003,$EX41),"")</f>
        <v/>
      </c>
      <c r="FI41">
        <f>IF($EY41="row",INDEX($DS$5:$DS$1003,$EX41),"")</f>
        <v/>
      </c>
      <c r="FJ41">
        <f>IF($EY41="row",INDEX($DT$5:$DT$1003,$EX41),"")</f>
        <v/>
      </c>
      <c r="FK41">
        <f>IF($EY41="row",INDEX($DU$5:$DU$1003,$EX41),"")</f>
        <v/>
      </c>
      <c r="FL41">
        <f>IF($EY41="row",INDEX($DV$5:$DV$1003,$EX41),"")</f>
        <v/>
      </c>
      <c r="FM41">
        <f>IF($EY41="row",INDEX($DW$5:$DW$1003,$EX41),"")</f>
        <v/>
      </c>
      <c r="FN41">
        <f>IF($EY41="row",INDEX($DY$5:$DY$1003,$EX41),"")</f>
        <v/>
      </c>
      <c r="FO41">
        <f>IF($EY41="row",INDEX($EA$5:$EA$1003,$EX41),"")</f>
        <v/>
      </c>
      <c r="FP41">
        <f>IF($EY41="row",INDEX($EC$5:$EC$1003,$EX41),"")</f>
        <v/>
      </c>
      <c r="FQ41">
        <f>IF($EY41="row",INDEX($ET$5:$ET$1003,$EX41),"")</f>
        <v/>
      </c>
      <c r="FR41">
        <f>IF($EY41="row",INDEX($EU$5:$EU$1003,$EX41),"")</f>
        <v/>
      </c>
      <c r="FS41">
        <f>IF(AND($EY41="row",$EY40="row"),IF(OR(INDEX($DT$5:$DT$1003,$EX40)="",INDEX($DT$5:$DT$1003,$EX41)=""),"",IF(NOT(EXACT(INDEX($DT$5:$DT$1003,$EX40),INDEX($DT$5:$DT$1003,$EX41))),"S4",IF(NOT(EXACT(INDEX($DS$5:$DS$1003,$EX40),INDEX($DS$5:$DS$1003,$EX41))),"S3",IF(NOT(EXACT(INDEX($DR$5:$DR$1003,$EX40),INDEX($DR$5:$DR$1003,$EX41))),"S1 Count Change","S1")))),"")</f>
        <v/>
      </c>
      <c r="FT41">
        <f>IF($EY41="row",INDEX($ES$5:$ES$1003,$EX41),"")</f>
        <v/>
      </c>
      <c r="FU41">
        <f>IF($EY41="row",INDEX($EO$5:$EO$1003,$EX41),0)</f>
        <v/>
      </c>
      <c r="FV41">
        <f>IF($FS41="S1 Count Change",1,0)</f>
        <v/>
      </c>
      <c r="FX41" t="n">
        <v>37</v>
      </c>
      <c r="FY41">
        <f>IFERROR(MATCH($FX41,$EF$5:$EF$1003,0),0)</f>
        <v/>
      </c>
      <c r="FZ41">
        <f>IF($FY41=0,"",INDEX($DH$5:$DH$1003,$FY41))</f>
        <v/>
      </c>
      <c r="GA41">
        <f>IF($FY41=0,"",COUNTIF($EG$5:$EG$1003,$FX41))</f>
        <v/>
      </c>
      <c r="GB41">
        <f>IF($FY41=0,"",INDEX($ER$5:$ER$1003,$FY41))</f>
        <v/>
      </c>
      <c r="GC41">
        <f>IF($FY41=0,"",IF(INDEX($EO$5:$EO$1003,$FY41)=1,"Yes",""))</f>
        <v/>
      </c>
      <c r="GD41">
        <f>IF($FY41=0,"",IF(INDEX($EN$5:$EN$1003,$FY41)&gt;0,"","NOT IN YOUR LIST - type it in column A to tick it"))</f>
        <v/>
      </c>
      <c r="GE41">
        <f>IF(AND($FY41&gt;0,$GD41&lt;&gt;""),1,0)</f>
        <v/>
      </c>
      <c r="GF41">
        <f>GF40+$GE41</f>
        <v/>
      </c>
      <c r="GG41">
        <f>IFERROR(INDEX($FZ$5:$FZ$104,MATCH($FX41,$GF$5:$GF$104,0)),"")</f>
        <v/>
      </c>
    </row>
    <row r="42">
      <c r="S42" t="n">
        <v>38</v>
      </c>
      <c r="T42" t="inlineStr">
        <is>
          <t>AL</t>
        </is>
      </c>
      <c r="V42" t="inlineStr">
        <is>
          <t>PRODUCTNAME</t>
        </is>
      </c>
      <c r="W42" t="n">
        <v>5</v>
      </c>
      <c r="Y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 ",""),"!",""),CHAR(34),""),"#",""),"$",""),"%",""),"&amp;",""),"'",""),"(",""),")",""),"*",""),"+",""),",",""),"-",""),".",""),"/",""),":",""),";",""),"&lt;",""),"=",""),"&gt;",""),"?",""),"@",""),"[",""),"\",""),"]",""),"^",""),"_",""),"`",""),"{",""),"|",""),"}",""),"~",""),CHAR(9),""),CHAR(10),""),CHAR(13),"")," ",""),"")</f>
        <v/>
      </c>
      <c r="Z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 ",""),"!",""),CHAR(34),""),"#",""),"$",""),"%",""),"&amp;",""),"'",""),"(",""),")",""),"*",""),"+",""),",",""),"-",""),".",""),"/",""),":",""),";",""),"&lt;",""),"=",""),"&gt;",""),"?",""),"@",""),"[",""),"\",""),"]",""),"^",""),"_",""),"`",""),"{",""),"|",""),"}",""),"~",""),CHAR(9),""),CHAR(10),""),CHAR(13),"")," ",""),"")</f>
        <v/>
      </c>
      <c r="AA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 ",""),"!",""),CHAR(34),""),"#",""),"$",""),"%",""),"&amp;",""),"'",""),"(",""),")",""),"*",""),"+",""),",",""),"-",""),".",""),"/",""),":",""),";",""),"&lt;",""),"=",""),"&gt;",""),"?",""),"@",""),"[",""),"\",""),"]",""),"^",""),"_",""),"`",""),"{",""),"|",""),"}",""),"~",""),CHAR(9),""),CHAR(10),""),CHAR(13),"")," ",""),"")</f>
        <v/>
      </c>
      <c r="AB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 ",""),"!",""),CHAR(34),""),"#",""),"$",""),"%",""),"&amp;",""),"'",""),"(",""),")",""),"*",""),"+",""),",",""),"-",""),".",""),"/",""),":",""),";",""),"&lt;",""),"=",""),"&gt;",""),"?",""),"@",""),"[",""),"\",""),"]",""),"^",""),"_",""),"`",""),"{",""),"|",""),"}",""),"~",""),CHAR(9),""),CHAR(10),""),CHAR(13),"")," ",""),"")</f>
        <v/>
      </c>
      <c r="AC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 ",""),"!",""),CHAR(34),""),"#",""),"$",""),"%",""),"&amp;",""),"'",""),"(",""),")",""),"*",""),"+",""),",",""),"-",""),".",""),"/",""),":",""),";",""),"&lt;",""),"=",""),"&gt;",""),"?",""),"@",""),"[",""),"\",""),"]",""),"^",""),"_",""),"`",""),"{",""),"|",""),"}",""),"~",""),CHAR(9),""),CHAR(10),""),CHAR(13),"")," ",""),"")</f>
        <v/>
      </c>
      <c r="AD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38,6))," ",""),"!",""),CHAR(34),""),"#",""),"$",""),"%",""),"&amp;",""),"'",""),"(",""),")",""),"*",""),"+",""),",",""),"-",""),".",""),"/",""),":",""),";",""),"&lt;",""),"=",""),"&gt;",""),"?",""),"@",""),"[",""),"\",""),"]",""),"^",""),"_",""),"`",""),"{",""),"|",""),"}",""),"~",""),CHAR(9),""),CHAR(10),""),CHAR(13),"")," ",""),"")</f>
        <v/>
      </c>
      <c r="AE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38,7))," ",""),"!",""),CHAR(34),""),"#",""),"$",""),"%",""),"&amp;",""),"'",""),"(",""),")",""),"*",""),"+",""),",",""),"-",""),".",""),"/",""),":",""),";",""),"&lt;",""),"=",""),"&gt;",""),"?",""),"@",""),"[",""),"\",""),"]",""),"^",""),"_",""),"`",""),"{",""),"|",""),"}",""),"~",""),CHAR(9),""),CHAR(10),""),CHAR(13),"")," ",""),"")</f>
        <v/>
      </c>
      <c r="AF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38,8))," ",""),"!",""),CHAR(34),""),"#",""),"$",""),"%",""),"&amp;",""),"'",""),"(",""),")",""),"*",""),"+",""),",",""),"-",""),".",""),"/",""),":",""),";",""),"&lt;",""),"=",""),"&gt;",""),"?",""),"@",""),"[",""),"\",""),"]",""),"^",""),"_",""),"`",""),"{",""),"|",""),"}",""),"~",""),CHAR(9),""),CHAR(10),""),CHAR(13),"")," ",""),"")</f>
        <v/>
      </c>
      <c r="AG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38,9))," ",""),"!",""),CHAR(34),""),"#",""),"$",""),"%",""),"&amp;",""),"'",""),"(",""),")",""),"*",""),"+",""),",",""),"-",""),".",""),"/",""),":",""),";",""),"&lt;",""),"=",""),"&gt;",""),"?",""),"@",""),"[",""),"\",""),"]",""),"^",""),"_",""),"`",""),"{",""),"|",""),"}",""),"~",""),CHAR(9),""),CHAR(10),""),CHAR(13),"")," ",""),"")</f>
        <v/>
      </c>
      <c r="AH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38,10))," ",""),"!",""),CHAR(34),""),"#",""),"$",""),"%",""),"&amp;",""),"'",""),"(",""),")",""),"*",""),"+",""),",",""),"-",""),".",""),"/",""),":",""),";",""),"&lt;",""),"=",""),"&gt;",""),"?",""),"@",""),"[",""),"\",""),"]",""),"^",""),"_",""),"`",""),"{",""),"|",""),"}",""),"~",""),CHAR(9),""),CHAR(10),""),CHAR(13),"")," ",""),"")</f>
        <v/>
      </c>
      <c r="AI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38,11))," ",""),"!",""),CHAR(34),""),"#",""),"$",""),"%",""),"&amp;",""),"'",""),"(",""),")",""),"*",""),"+",""),",",""),"-",""),".",""),"/",""),":",""),";",""),"&lt;",""),"=",""),"&gt;",""),"?",""),"@",""),"[",""),"\",""),"]",""),"^",""),"_",""),"`",""),"{",""),"|",""),"}",""),"~",""),CHAR(9),""),CHAR(10),""),CHAR(13),"")," ",""),"")</f>
        <v/>
      </c>
      <c r="AJ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38,12))," ",""),"!",""),CHAR(34),""),"#",""),"$",""),"%",""),"&amp;",""),"'",""),"(",""),")",""),"*",""),"+",""),",",""),"-",""),".",""),"/",""),":",""),";",""),"&lt;",""),"=",""),"&gt;",""),"?",""),"@",""),"[",""),"\",""),"]",""),"^",""),"_",""),"`",""),"{",""),"|",""),"}",""),"~",""),CHAR(9),""),CHAR(10),""),CHAR(13),"")," ",""),"")</f>
        <v/>
      </c>
      <c r="AK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38,13))," ",""),"!",""),CHAR(34),""),"#",""),"$",""),"%",""),"&amp;",""),"'",""),"(",""),")",""),"*",""),"+",""),",",""),"-",""),".",""),"/",""),":",""),";",""),"&lt;",""),"=",""),"&gt;",""),"?",""),"@",""),"[",""),"\",""),"]",""),"^",""),"_",""),"`",""),"{",""),"|",""),"}",""),"~",""),CHAR(9),""),CHAR(10),""),CHAR(13),"")," ",""),"")</f>
        <v/>
      </c>
      <c r="AL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38,14))," ",""),"!",""),CHAR(34),""),"#",""),"$",""),"%",""),"&amp;",""),"'",""),"(",""),")",""),"*",""),"+",""),",",""),"-",""),".",""),"/",""),":",""),";",""),"&lt;",""),"=",""),"&gt;",""),"?",""),"@",""),"[",""),"\",""),"]",""),"^",""),"_",""),"`",""),"{",""),"|",""),"}",""),"~",""),CHAR(9),""),CHAR(10),""),CHAR(13),"")," ",""),"")</f>
        <v/>
      </c>
      <c r="AM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38,15))," ",""),"!",""),CHAR(34),""),"#",""),"$",""),"%",""),"&amp;",""),"'",""),"(",""),")",""),"*",""),"+",""),",",""),"-",""),".",""),"/",""),":",""),";",""),"&lt;",""),"=",""),"&gt;",""),"?",""),"@",""),"[",""),"\",""),"]",""),"^",""),"_",""),"`",""),"{",""),"|",""),"}",""),"~",""),CHAR(9),""),CHAR(10),""),CHAR(13),"")," ",""),"")</f>
        <v/>
      </c>
      <c r="AN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38,16))," ",""),"!",""),CHAR(34),""),"#",""),"$",""),"%",""),"&amp;",""),"'",""),"(",""),")",""),"*",""),"+",""),",",""),"-",""),".",""),"/",""),":",""),";",""),"&lt;",""),"=",""),"&gt;",""),"?",""),"@",""),"[",""),"\",""),"]",""),"^",""),"_",""),"`",""),"{",""),"|",""),"}",""),"~",""),CHAR(9),""),CHAR(10),""),CHAR(13),"")," ",""),"")</f>
        <v/>
      </c>
      <c r="AO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38,17))," ",""),"!",""),CHAR(34),""),"#",""),"$",""),"%",""),"&amp;",""),"'",""),"(",""),")",""),"*",""),"+",""),",",""),"-",""),".",""),"/",""),":",""),";",""),"&lt;",""),"=",""),"&gt;",""),"?",""),"@",""),"[",""),"\",""),"]",""),"^",""),"_",""),"`",""),"{",""),"|",""),"}",""),"~",""),CHAR(9),""),CHAR(10),""),CHAR(13),"")," ",""),"")</f>
        <v/>
      </c>
      <c r="AP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38,18))," ",""),"!",""),CHAR(34),""),"#",""),"$",""),"%",""),"&amp;",""),"'",""),"(",""),")",""),"*",""),"+",""),",",""),"-",""),".",""),"/",""),":",""),";",""),"&lt;",""),"=",""),"&gt;",""),"?",""),"@",""),"[",""),"\",""),"]",""),"^",""),"_",""),"`",""),"{",""),"|",""),"}",""),"~",""),CHAR(9),""),CHAR(10),""),CHAR(13),"")," ",""),"")</f>
        <v/>
      </c>
      <c r="AQ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38,19))," ",""),"!",""),CHAR(34),""),"#",""),"$",""),"%",""),"&amp;",""),"'",""),"(",""),")",""),"*",""),"+",""),",",""),"-",""),".",""),"/",""),":",""),";",""),"&lt;",""),"=",""),"&gt;",""),"?",""),"@",""),"[",""),"\",""),"]",""),"^",""),"_",""),"`",""),"{",""),"|",""),"}",""),"~",""),CHAR(9),""),CHAR(10),""),CHAR(13),"")," ",""),"")</f>
        <v/>
      </c>
      <c r="AR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38,20))," ",""),"!",""),CHAR(34),""),"#",""),"$",""),"%",""),"&amp;",""),"'",""),"(",""),")",""),"*",""),"+",""),",",""),"-",""),".",""),"/",""),":",""),";",""),"&lt;",""),"=",""),"&gt;",""),"?",""),"@",""),"[",""),"\",""),"]",""),"^",""),"_",""),"`",""),"{",""),"|",""),"}",""),"~",""),CHAR(9),""),CHAR(10),""),CHAR(13),"")," ",""),"")</f>
        <v/>
      </c>
      <c r="AS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38,21))," ",""),"!",""),CHAR(34),""),"#",""),"$",""),"%",""),"&amp;",""),"'",""),"(",""),")",""),"*",""),"+",""),",",""),"-",""),".",""),"/",""),":",""),";",""),"&lt;",""),"=",""),"&gt;",""),"?",""),"@",""),"[",""),"\",""),"]",""),"^",""),"_",""),"`",""),"{",""),"|",""),"}",""),"~",""),CHAR(9),""),CHAR(10),""),CHAR(13),"")," ",""),"")</f>
        <v/>
      </c>
      <c r="AT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38,22))," ",""),"!",""),CHAR(34),""),"#",""),"$",""),"%",""),"&amp;",""),"'",""),"(",""),")",""),"*",""),"+",""),",",""),"-",""),".",""),"/",""),":",""),";",""),"&lt;",""),"=",""),"&gt;",""),"?",""),"@",""),"[",""),"\",""),"]",""),"^",""),"_",""),"`",""),"{",""),"|",""),"}",""),"~",""),CHAR(9),""),CHAR(10),""),CHAR(13),"")," ",""),"")</f>
        <v/>
      </c>
      <c r="AU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38,23))," ",""),"!",""),CHAR(34),""),"#",""),"$",""),"%",""),"&amp;",""),"'",""),"(",""),")",""),"*",""),"+",""),",",""),"-",""),".",""),"/",""),":",""),";",""),"&lt;",""),"=",""),"&gt;",""),"?",""),"@",""),"[",""),"\",""),"]",""),"^",""),"_",""),"`",""),"{",""),"|",""),"}",""),"~",""),CHAR(9),""),CHAR(10),""),CHAR(13),"")," ",""),"")</f>
        <v/>
      </c>
      <c r="AV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38,24))," ",""),"!",""),CHAR(34),""),"#",""),"$",""),"%",""),"&amp;",""),"'",""),"(",""),")",""),"*",""),"+",""),",",""),"-",""),".",""),"/",""),":",""),";",""),"&lt;",""),"=",""),"&gt;",""),"?",""),"@",""),"[",""),"\",""),"]",""),"^",""),"_",""),"`",""),"{",""),"|",""),"}",""),"~",""),CHAR(9),""),CHAR(10),""),CHAR(13),"")," ",""),"")</f>
        <v/>
      </c>
      <c r="AW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38,25))," ",""),"!",""),CHAR(34),""),"#",""),"$",""),"%",""),"&amp;",""),"'",""),"(",""),")",""),"*",""),"+",""),",",""),"-",""),".",""),"/",""),":",""),";",""),"&lt;",""),"=",""),"&gt;",""),"?",""),"@",""),"[",""),"\",""),"]",""),"^",""),"_",""),"`",""),"{",""),"|",""),"}",""),"~",""),CHAR(9),""),CHAR(10),""),CHAR(13),"")," ",""),"")</f>
        <v/>
      </c>
      <c r="AX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38,26))," ",""),"!",""),CHAR(34),""),"#",""),"$",""),"%",""),"&amp;",""),"'",""),"(",""),")",""),"*",""),"+",""),",",""),"-",""),".",""),"/",""),":",""),";",""),"&lt;",""),"=",""),"&gt;",""),"?",""),"@",""),"[",""),"\",""),"]",""),"^",""),"_",""),"`",""),"{",""),"|",""),"}",""),"~",""),CHAR(9),""),CHAR(10),""),CHAR(13),"")," ",""),"")</f>
        <v/>
      </c>
      <c r="AY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38,27))," ",""),"!",""),CHAR(34),""),"#",""),"$",""),"%",""),"&amp;",""),"'",""),"(",""),")",""),"*",""),"+",""),",",""),"-",""),".",""),"/",""),":",""),";",""),"&lt;",""),"=",""),"&gt;",""),"?",""),"@",""),"[",""),"\",""),"]",""),"^",""),"_",""),"`",""),"{",""),"|",""),"}",""),"~",""),CHAR(9),""),CHAR(10),""),CHAR(13),"")," ",""),"")</f>
        <v/>
      </c>
      <c r="AZ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38,28))," ",""),"!",""),CHAR(34),""),"#",""),"$",""),"%",""),"&amp;",""),"'",""),"(",""),")",""),"*",""),"+",""),",",""),"-",""),".",""),"/",""),":",""),";",""),"&lt;",""),"=",""),"&gt;",""),"?",""),"@",""),"[",""),"\",""),"]",""),"^",""),"_",""),"`",""),"{",""),"|",""),"}",""),"~",""),CHAR(9),""),CHAR(10),""),CHAR(13),"")," ",""),"")</f>
        <v/>
      </c>
      <c r="BA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38,29))," ",""),"!",""),CHAR(34),""),"#",""),"$",""),"%",""),"&amp;",""),"'",""),"(",""),")",""),"*",""),"+",""),",",""),"-",""),".",""),"/",""),":",""),";",""),"&lt;",""),"=",""),"&gt;",""),"?",""),"@",""),"[",""),"\",""),"]",""),"^",""),"_",""),"`",""),"{",""),"|",""),"}",""),"~",""),CHAR(9),""),CHAR(10),""),CHAR(13),"")," ",""),"")</f>
        <v/>
      </c>
      <c r="BB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38,30))," ",""),"!",""),CHAR(34),""),"#",""),"$",""),"%",""),"&amp;",""),"'",""),"(",""),")",""),"*",""),"+",""),",",""),"-",""),".",""),"/",""),":",""),";",""),"&lt;",""),"=",""),"&gt;",""),"?",""),"@",""),"[",""),"\",""),"]",""),"^",""),"_",""),"`",""),"{",""),"|",""),"}",""),"~",""),CHAR(9),""),CHAR(10),""),CHAR(13),"")," ",""),"")</f>
        <v/>
      </c>
      <c r="BC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38,31))," ",""),"!",""),CHAR(34),""),"#",""),"$",""),"%",""),"&amp;",""),"'",""),"(",""),")",""),"*",""),"+",""),",",""),"-",""),".",""),"/",""),":",""),";",""),"&lt;",""),"=",""),"&gt;",""),"?",""),"@",""),"[",""),"\",""),"]",""),"^",""),"_",""),"`",""),"{",""),"|",""),"}",""),"~",""),CHAR(9),""),CHAR(10),""),CHAR(13),"")," ",""),"")</f>
        <v/>
      </c>
      <c r="BD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38,32))," ",""),"!",""),CHAR(34),""),"#",""),"$",""),"%",""),"&amp;",""),"'",""),"(",""),")",""),"*",""),"+",""),",",""),"-",""),".",""),"/",""),":",""),";",""),"&lt;",""),"=",""),"&gt;",""),"?",""),"@",""),"[",""),"\",""),"]",""),"^",""),"_",""),"`",""),"{",""),"|",""),"}",""),"~",""),CHAR(9),""),CHAR(10),""),CHAR(13),"")," ",""),"")</f>
        <v/>
      </c>
      <c r="BE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38,33))," ",""),"!",""),CHAR(34),""),"#",""),"$",""),"%",""),"&amp;",""),"'",""),"(",""),")",""),"*",""),"+",""),",",""),"-",""),".",""),"/",""),":",""),";",""),"&lt;",""),"=",""),"&gt;",""),"?",""),"@",""),"[",""),"\",""),"]",""),"^",""),"_",""),"`",""),"{",""),"|",""),"}",""),"~",""),CHAR(9),""),CHAR(10),""),CHAR(13),"")," ",""),"")</f>
        <v/>
      </c>
      <c r="BF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38,34))," ",""),"!",""),CHAR(34),""),"#",""),"$",""),"%",""),"&amp;",""),"'",""),"(",""),")",""),"*",""),"+",""),",",""),"-",""),".",""),"/",""),":",""),";",""),"&lt;",""),"=",""),"&gt;",""),"?",""),"@",""),"[",""),"\",""),"]",""),"^",""),"_",""),"`",""),"{",""),"|",""),"}",""),"~",""),CHAR(9),""),CHAR(10),""),CHAR(13),"")," ",""),"")</f>
        <v/>
      </c>
      <c r="BG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38,35))," ",""),"!",""),CHAR(34),""),"#",""),"$",""),"%",""),"&amp;",""),"'",""),"(",""),")",""),"*",""),"+",""),",",""),"-",""),".",""),"/",""),":",""),";",""),"&lt;",""),"=",""),"&gt;",""),"?",""),"@",""),"[",""),"\",""),"]",""),"^",""),"_",""),"`",""),"{",""),"|",""),"}",""),"~",""),CHAR(9),""),CHAR(10),""),CHAR(13),"")," ",""),"")</f>
        <v/>
      </c>
      <c r="BH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38,36))," ",""),"!",""),CHAR(34),""),"#",""),"$",""),"%",""),"&amp;",""),"'",""),"(",""),")",""),"*",""),"+",""),",",""),"-",""),".",""),"/",""),":",""),";",""),"&lt;",""),"=",""),"&gt;",""),"?",""),"@",""),"[",""),"\",""),"]",""),"^",""),"_",""),"`",""),"{",""),"|",""),"}",""),"~",""),CHAR(9),""),CHAR(10),""),CHAR(13),"")," ",""),"")</f>
        <v/>
      </c>
      <c r="BI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38,37))," ",""),"!",""),CHAR(34),""),"#",""),"$",""),"%",""),"&amp;",""),"'",""),"(",""),")",""),"*",""),"+",""),",",""),"-",""),".",""),"/",""),":",""),";",""),"&lt;",""),"=",""),"&gt;",""),"?",""),"@",""),"[",""),"\",""),"]",""),"^",""),"_",""),"`",""),"{",""),"|",""),"}",""),"~",""),CHAR(9),""),CHAR(10),""),CHAR(13),"")," ",""),"")</f>
        <v/>
      </c>
      <c r="BJ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38,38))," ",""),"!",""),CHAR(34),""),"#",""),"$",""),"%",""),"&amp;",""),"'",""),"(",""),")",""),"*",""),"+",""),",",""),"-",""),".",""),"/",""),":",""),";",""),"&lt;",""),"=",""),"&gt;",""),"?",""),"@",""),"[",""),"\",""),"]",""),"^",""),"_",""),"`",""),"{",""),"|",""),"}",""),"~",""),CHAR(9),""),CHAR(10),""),CHAR(13),"")," ",""),"")</f>
        <v/>
      </c>
      <c r="BK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38,39))," ",""),"!",""),CHAR(34),""),"#",""),"$",""),"%",""),"&amp;",""),"'",""),"(",""),")",""),"*",""),"+",""),",",""),"-",""),".",""),"/",""),":",""),";",""),"&lt;",""),"=",""),"&gt;",""),"?",""),"@",""),"[",""),"\",""),"]",""),"^",""),"_",""),"`",""),"{",""),"|",""),"}",""),"~",""),CHAR(9),""),CHAR(10),""),CHAR(13),"")," ",""),"")</f>
        <v/>
      </c>
      <c r="BL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38,40))," ",""),"!",""),CHAR(34),""),"#",""),"$",""),"%",""),"&amp;",""),"'",""),"(",""),")",""),"*",""),"+",""),",",""),"-",""),".",""),"/",""),":",""),";",""),"&lt;",""),"=",""),"&gt;",""),"?",""),"@",""),"[",""),"\",""),"]",""),"^",""),"_",""),"`",""),"{",""),"|",""),"}",""),"~",""),CHAR(9),""),CHAR(10),""),CHAR(13),"")," ",""),"")</f>
        <v/>
      </c>
      <c r="BM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38,41))," ",""),"!",""),CHAR(34),""),"#",""),"$",""),"%",""),"&amp;",""),"'",""),"(",""),")",""),"*",""),"+",""),",",""),"-",""),".",""),"/",""),":",""),";",""),"&lt;",""),"=",""),"&gt;",""),"?",""),"@",""),"[",""),"\",""),"]",""),"^",""),"_",""),"`",""),"{",""),"|",""),"}",""),"~",""),CHAR(9),""),CHAR(10),""),CHAR(13),"")," ",""),"")</f>
        <v/>
      </c>
      <c r="BN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38,42))," ",""),"!",""),CHAR(34),""),"#",""),"$",""),"%",""),"&amp;",""),"'",""),"(",""),")",""),"*",""),"+",""),",",""),"-",""),".",""),"/",""),":",""),";",""),"&lt;",""),"=",""),"&gt;",""),"?",""),"@",""),"[",""),"\",""),"]",""),"^",""),"_",""),"`",""),"{",""),"|",""),"}",""),"~",""),CHAR(9),""),CHAR(10),""),CHAR(13),"")," ",""),"")</f>
        <v/>
      </c>
      <c r="BO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38,43))," ",""),"!",""),CHAR(34),""),"#",""),"$",""),"%",""),"&amp;",""),"'",""),"(",""),")",""),"*",""),"+",""),",",""),"-",""),".",""),"/",""),":",""),";",""),"&lt;",""),"=",""),"&gt;",""),"?",""),"@",""),"[",""),"\",""),"]",""),"^",""),"_",""),"`",""),"{",""),"|",""),"}",""),"~",""),CHAR(9),""),CHAR(10),""),CHAR(13),"")," ",""),"")</f>
        <v/>
      </c>
      <c r="BP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38,44))," ",""),"!",""),CHAR(34),""),"#",""),"$",""),"%",""),"&amp;",""),"'",""),"(",""),")",""),"*",""),"+",""),",",""),"-",""),".",""),"/",""),":",""),";",""),"&lt;",""),"=",""),"&gt;",""),"?",""),"@",""),"[",""),"\",""),"]",""),"^",""),"_",""),"`",""),"{",""),"|",""),"}",""),"~",""),CHAR(9),""),CHAR(10),""),CHAR(13),"")," ",""),"")</f>
        <v/>
      </c>
      <c r="BQ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38,45))," ",""),"!",""),CHAR(34),""),"#",""),"$",""),"%",""),"&amp;",""),"'",""),"(",""),")",""),"*",""),"+",""),",",""),"-",""),".",""),"/",""),":",""),";",""),"&lt;",""),"=",""),"&gt;",""),"?",""),"@",""),"[",""),"\",""),"]",""),"^",""),"_",""),"`",""),"{",""),"|",""),"}",""),"~",""),CHAR(9),""),CHAR(10),""),CHAR(13),"")," ",""),"")</f>
        <v/>
      </c>
      <c r="BR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38,46))," ",""),"!",""),CHAR(34),""),"#",""),"$",""),"%",""),"&amp;",""),"'",""),"(",""),")",""),"*",""),"+",""),",",""),"-",""),".",""),"/",""),":",""),";",""),"&lt;",""),"=",""),"&gt;",""),"?",""),"@",""),"[",""),"\",""),"]",""),"^",""),"_",""),"`",""),"{",""),"|",""),"}",""),"~",""),CHAR(9),""),CHAR(10),""),CHAR(13),"")," ",""),"")</f>
        <v/>
      </c>
      <c r="BS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38,47))," ",""),"!",""),CHAR(34),""),"#",""),"$",""),"%",""),"&amp;",""),"'",""),"(",""),")",""),"*",""),"+",""),",",""),"-",""),".",""),"/",""),":",""),";",""),"&lt;",""),"=",""),"&gt;",""),"?",""),"@",""),"[",""),"\",""),"]",""),"^",""),"_",""),"`",""),"{",""),"|",""),"}",""),"~",""),CHAR(9),""),CHAR(10),""),CHAR(13),"")," ",""),"")</f>
        <v/>
      </c>
      <c r="BT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38,48))," ",""),"!",""),CHAR(34),""),"#",""),"$",""),"%",""),"&amp;",""),"'",""),"(",""),")",""),"*",""),"+",""),",",""),"-",""),".",""),"/",""),":",""),";",""),"&lt;",""),"=",""),"&gt;",""),"?",""),"@",""),"[",""),"\",""),"]",""),"^",""),"_",""),"`",""),"{",""),"|",""),"}",""),"~",""),CHAR(9),""),CHAR(10),""),CHAR(13),"")," ",""),"")</f>
        <v/>
      </c>
      <c r="BU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38,49))," ",""),"!",""),CHAR(34),""),"#",""),"$",""),"%",""),"&amp;",""),"'",""),"(",""),")",""),"*",""),"+",""),",",""),"-",""),".",""),"/",""),":",""),";",""),"&lt;",""),"=",""),"&gt;",""),"?",""),"@",""),"[",""),"\",""),"]",""),"^",""),"_",""),"`",""),"{",""),"|",""),"}",""),"~",""),CHAR(9),""),CHAR(10),""),CHAR(13),"")," ",""),"")</f>
        <v/>
      </c>
      <c r="BV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38,50))," ",""),"!",""),CHAR(34),""),"#",""),"$",""),"%",""),"&amp;",""),"'",""),"(",""),")",""),"*",""),"+",""),",",""),"-",""),".",""),"/",""),":",""),";",""),"&lt;",""),"=",""),"&gt;",""),"?",""),"@",""),"[",""),"\",""),"]",""),"^",""),"_",""),"`",""),"{",""),"|",""),"}",""),"~",""),CHAR(9),""),CHAR(10),""),CHAR(13),"")," ",""),"")</f>
        <v/>
      </c>
      <c r="BW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38,51))," ",""),"!",""),CHAR(34),""),"#",""),"$",""),"%",""),"&amp;",""),"'",""),"(",""),")",""),"*",""),"+",""),",",""),"-",""),".",""),"/",""),":",""),";",""),"&lt;",""),"=",""),"&gt;",""),"?",""),"@",""),"[",""),"\",""),"]",""),"^",""),"_",""),"`",""),"{",""),"|",""),"}",""),"~",""),CHAR(9),""),CHAR(10),""),CHAR(13),"")," ",""),"")</f>
        <v/>
      </c>
      <c r="BX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38,52))," ",""),"!",""),CHAR(34),""),"#",""),"$",""),"%",""),"&amp;",""),"'",""),"(",""),")",""),"*",""),"+",""),",",""),"-",""),".",""),"/",""),":",""),";",""),"&lt;",""),"=",""),"&gt;",""),"?",""),"@",""),"[",""),"\",""),"]",""),"^",""),"_",""),"`",""),"{",""),"|",""),"}",""),"~",""),CHAR(9),""),CHAR(10),""),CHAR(13),"")," ",""),"")</f>
        <v/>
      </c>
      <c r="BY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38,53))," ",""),"!",""),CHAR(34),""),"#",""),"$",""),"%",""),"&amp;",""),"'",""),"(",""),")",""),"*",""),"+",""),",",""),"-",""),".",""),"/",""),":",""),";",""),"&lt;",""),"=",""),"&gt;",""),"?",""),"@",""),"[",""),"\",""),"]",""),"^",""),"_",""),"`",""),"{",""),"|",""),"}",""),"~",""),CHAR(9),""),CHAR(10),""),CHAR(13),"")," ",""),"")</f>
        <v/>
      </c>
      <c r="BZ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38,54))," ",""),"!",""),CHAR(34),""),"#",""),"$",""),"%",""),"&amp;",""),"'",""),"(",""),")",""),"*",""),"+",""),",",""),"-",""),".",""),"/",""),":",""),";",""),"&lt;",""),"=",""),"&gt;",""),"?",""),"@",""),"[",""),"\",""),"]",""),"^",""),"_",""),"`",""),"{",""),"|",""),"}",""),"~",""),CHAR(9),""),CHAR(10),""),CHAR(13),"")," ",""),"")</f>
        <v/>
      </c>
      <c r="CA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38,55))," ",""),"!",""),CHAR(34),""),"#",""),"$",""),"%",""),"&amp;",""),"'",""),"(",""),")",""),"*",""),"+",""),",",""),"-",""),".",""),"/",""),":",""),";",""),"&lt;",""),"=",""),"&gt;",""),"?",""),"@",""),"[",""),"\",""),"]",""),"^",""),"_",""),"`",""),"{",""),"|",""),"}",""),"~",""),CHAR(9),""),CHAR(10),""),CHAR(13),"")," ",""),"")</f>
        <v/>
      </c>
      <c r="CB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38,56))," ",""),"!",""),CHAR(34),""),"#",""),"$",""),"%",""),"&amp;",""),"'",""),"(",""),")",""),"*",""),"+",""),",",""),"-",""),".",""),"/",""),":",""),";",""),"&lt;",""),"=",""),"&gt;",""),"?",""),"@",""),"[",""),"\",""),"]",""),"^",""),"_",""),"`",""),"{",""),"|",""),"}",""),"~",""),CHAR(9),""),CHAR(10),""),CHAR(13),"")," ",""),"")</f>
        <v/>
      </c>
      <c r="CC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38,57))," ",""),"!",""),CHAR(34),""),"#",""),"$",""),"%",""),"&amp;",""),"'",""),"(",""),")",""),"*",""),"+",""),",",""),"-",""),".",""),"/",""),":",""),";",""),"&lt;",""),"=",""),"&gt;",""),"?",""),"@",""),"[",""),"\",""),"]",""),"^",""),"_",""),"`",""),"{",""),"|",""),"}",""),"~",""),CHAR(9),""),CHAR(10),""),CHAR(13),"")," ",""),"")</f>
        <v/>
      </c>
      <c r="CD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38,58))," ",""),"!",""),CHAR(34),""),"#",""),"$",""),"%",""),"&amp;",""),"'",""),"(",""),")",""),"*",""),"+",""),",",""),"-",""),".",""),"/",""),":",""),";",""),"&lt;",""),"=",""),"&gt;",""),"?",""),"@",""),"[",""),"\",""),"]",""),"^",""),"_",""),"`",""),"{",""),"|",""),"}",""),"~",""),CHAR(9),""),CHAR(10),""),CHAR(13),"")," ",""),"")</f>
        <v/>
      </c>
      <c r="CE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38,59))," ",""),"!",""),CHAR(34),""),"#",""),"$",""),"%",""),"&amp;",""),"'",""),"(",""),")",""),"*",""),"+",""),",",""),"-",""),".",""),"/",""),":",""),";",""),"&lt;",""),"=",""),"&gt;",""),"?",""),"@",""),"[",""),"\",""),"]",""),"^",""),"_",""),"`",""),"{",""),"|",""),"}",""),"~",""),CHAR(9),""),CHAR(10),""),CHAR(13),"")," ",""),"")</f>
        <v/>
      </c>
      <c r="CF42">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38,60))," ",""),"!",""),CHAR(34),""),"#",""),"$",""),"%",""),"&amp;",""),"'",""),"(",""),")",""),"*",""),"+",""),",",""),"-",""),".",""),"/",""),":",""),";",""),"&lt;",""),"=",""),"&gt;",""),"?",""),"@",""),"[",""),"\",""),"]",""),"^",""),"_",""),"`",""),"{",""),"|",""),"}",""),"~",""),CHAR(9),""),CHAR(10),""),CHAR(13),"")," ",""),"")</f>
        <v/>
      </c>
      <c r="CH42">
        <f>COUNTIF($Y87:$CF87,"&gt;0")</f>
        <v/>
      </c>
      <c r="CI42">
        <f>COUNTIF($Y87:$CF87,2)</f>
        <v/>
      </c>
      <c r="CJ42">
        <f>SUMPRODUCT((COUNTIF($Y132:$CF132,{1,2,3,4,5,6,7,8,9,10,11,12,13,14,15})&gt;0)*{2,4,8,16,32,64,128,256,512,1024,2048,4096,8192,16384,32768})</f>
        <v/>
      </c>
      <c r="CK42">
        <f>CF222</f>
        <v/>
      </c>
      <c r="CL42">
        <f>SUMPRODUCT(MOD(INT(((CJ42+CK42))/{2,4,8,16,32,64,128,256,512,1024,2048,4096,8192,16384,32768}),2))</f>
        <v/>
      </c>
      <c r="CM42">
        <f>IF(CH42&lt;2,-9999,CL42+2*MOD(INT(((CJ42+CK42))/2),2)+2*MOD(INT(((CJ42+CK42))/4),2)-CI42)</f>
        <v/>
      </c>
      <c r="DA42" t="n">
        <v>38</v>
      </c>
      <c r="DB42">
        <f>IF($B$37=0,"",IFERROR(TRIM(SUBSTITUTE(SUBSTITUTE(SUBSTITUTE(SUBSTITUTE(INDEX(PASTE_ALL,38,$B$37)," "," "),CHAR(9)," "),CHAR(10)," "),CHAR(13)," ")),""))</f>
        <v/>
      </c>
      <c r="DC42">
        <f>IF(AND(38&gt;HEADER_ROW,UPPER(DB42)="LEGEND"),1,0)</f>
        <v/>
      </c>
      <c r="DE42" t="n">
        <v>38</v>
      </c>
      <c r="DF42">
        <f>HEADER_ROW+$DE42</f>
        <v/>
      </c>
      <c r="DG42">
        <f>IF(AND($DF42&lt;=1000,$DF42&lt;$B$8),1,0)</f>
        <v/>
      </c>
      <c r="DH42">
        <f>IF($DG42=1,IFERROR(INDEX($DB$5:$DB$1004,$DF42),""),"")</f>
        <v/>
      </c>
      <c r="DI42">
        <f>IF(AND($DG42=1,$DH42&lt;&gt;""),IFERROR(SUBSTITUTE(SUBSTITUTE(TRIM(SUBSTITUTE(SUBSTITUTE(SUBSTITUTE(SUBSTITUTE(IFERROR(INDEX(PASTE_ALL,$DF42,1)&amp;"","")&amp;"␟"&amp;IFERROR(INDEX(PASTE_ALL,$DF42,2)&amp;"","")&amp;"␟"&amp;IFERROR(INDEX(PASTE_ALL,$DF42,3)&amp;"","")&amp;"␟"&amp;IFERROR(INDEX(PASTE_ALL,$DF42,4)&amp;"","")&amp;"␟"&amp;IFERROR(INDEX(PASTE_ALL,$DF42,5)&amp;"","")&amp;"␟"&amp;IFERROR(INDEX(PASTE_ALL,$DF42,6)&amp;"","")&amp;"␟"&amp;IFERROR(INDEX(PASTE_ALL,$DF42,7)&amp;"","")&amp;"␟"&amp;IFERROR(INDEX(PASTE_ALL,$DF42,8)&amp;"","")&amp;"␟"&amp;IFERROR(INDEX(PASTE_ALL,$DF42,9)&amp;"","")&amp;"␟"&amp;IFERROR(INDEX(PASTE_ALL,$DF42,10)&amp;"","")&amp;"␟"&amp;IFERROR(INDEX(PASTE_ALL,$DF42,11)&amp;"","")&amp;"␟"&amp;IFERROR(INDEX(PASTE_ALL,$DF42,12)&amp;"","")&amp;"␟"&amp;IFERROR(INDEX(PASTE_ALL,$DF42,13)&amp;"","")&amp;"␟"&amp;IFERROR(INDEX(PASTE_ALL,$DF42,14)&amp;"","")&amp;"␟"&amp;IFERROR(INDEX(PASTE_ALL,$DF42,15)&amp;"","")&amp;"␟"&amp;IFERROR(INDEX(PASTE_ALL,$DF42,16)&amp;"","")&amp;"␟"&amp;IFERROR(INDEX(PASTE_ALL,$DF42,17)&amp;"","")&amp;"␟"&amp;IFERROR(INDEX(PASTE_ALL,$DF42,18)&amp;"","")&amp;"␟"&amp;IFERROR(INDEX(PASTE_ALL,$DF42,19)&amp;"","")&amp;"␟"&amp;IFERROR(INDEX(PASTE_ALL,$DF42,20)&amp;"","")&amp;"␟"&amp;IFERROR(INDEX(PASTE_ALL,$DF42,21)&amp;"","")&amp;"␟"&amp;IFERROR(INDEX(PASTE_ALL,$DF42,22)&amp;"","")&amp;"␟"&amp;IFERROR(INDEX(PASTE_ALL,$DF42,23)&amp;"","")&amp;"␟"&amp;IFERROR(INDEX(PASTE_ALL,$DF42,24)&amp;"","")&amp;"␟"&amp;IFERROR(INDEX(PASTE_ALL,$DF42,25)&amp;"","")&amp;"␟"&amp;IFERROR(INDEX(PASTE_ALL,$DF42,26)&amp;"","")&amp;"␟"&amp;IFERROR(INDEX(PASTE_ALL,$DF42,27)&amp;"","")&amp;"␟"&amp;IFERROR(INDEX(PASTE_ALL,$DF42,28)&amp;"","")&amp;"␟"&amp;IFERROR(INDEX(PASTE_ALL,$DF42,29)&amp;"","")&amp;"␟"&amp;IFERROR(INDEX(PASTE_ALL,$DF42,30)&amp;"","")&amp;"␟"&amp;IFERROR(INDEX(PASTE_ALL,$DF42,31)&amp;"","")&amp;"␟"&amp;IFERROR(INDEX(PASTE_ALL,$DF42,32)&amp;"","")&amp;"␟"&amp;IFERROR(INDEX(PASTE_ALL,$DF42,33)&amp;"","")&amp;"␟"&amp;IFERROR(INDEX(PASTE_ALL,$DF42,34)&amp;"","")&amp;"␟"&amp;IFERROR(INDEX(PASTE_ALL,$DF42,35)&amp;"","")&amp;"␟"&amp;IFERROR(INDEX(PASTE_ALL,$DF42,36)&amp;"","")&amp;"␟"&amp;IFERROR(INDEX(PASTE_ALL,$DF42,37)&amp;"","")&amp;"␟"&amp;IFERROR(INDEX(PASTE_ALL,$DF42,38)&amp;"","")&amp;"␟"&amp;IFERROR(INDEX(PASTE_ALL,$DF42,39)&amp;"","")&amp;"␟"&amp;IFERROR(INDEX(PASTE_ALL,$DF42,40)&amp;"","")&amp;"␟"&amp;IFERROR(INDEX(PASTE_ALL,$DF42,41)&amp;"","")&amp;"␟"&amp;IFERROR(INDEX(PASTE_ALL,$DF42,42)&amp;"","")&amp;"␟"&amp;IFERROR(INDEX(PASTE_ALL,$DF42,43)&amp;"","")&amp;"␟"&amp;IFERROR(INDEX(PASTE_ALL,$DF42,44)&amp;"","")&amp;"␟"&amp;IFERROR(INDEX(PASTE_ALL,$DF42,45)&amp;"","")&amp;"␟"&amp;IFERROR(INDEX(PASTE_ALL,$DF42,46)&amp;"","")&amp;"␟"&amp;IFERROR(INDEX(PASTE_ALL,$DF42,47)&amp;"","")&amp;"␟"&amp;IFERROR(INDEX(PASTE_ALL,$DF42,48)&amp;"","")&amp;"␟"&amp;IFERROR(INDEX(PASTE_ALL,$DF42,49)&amp;"","")&amp;"␟"&amp;IFERROR(INDEX(PASTE_ALL,$DF42,50)&amp;"","")&amp;"␟"&amp;IFERROR(INDEX(PASTE_ALL,$DF42,51)&amp;"","")&amp;"␟"&amp;IFERROR(INDEX(PASTE_ALL,$DF42,52)&amp;"","")&amp;"␟"&amp;IFERROR(INDEX(PASTE_ALL,$DF42,53)&amp;"","")&amp;"␟"&amp;IFERROR(INDEX(PASTE_ALL,$DF42,54)&amp;"","")&amp;"␟"&amp;IFERROR(INDEX(PASTE_ALL,$DF42,55)&amp;"","")&amp;"␟"&amp;IFERROR(INDEX(PASTE_ALL,$DF42,56)&amp;"","")&amp;"␟"&amp;IFERROR(INDEX(PASTE_ALL,$DF42,57)&amp;"","")&amp;"␟"&amp;IFERROR(INDEX(PASTE_ALL,$DF42,58)&amp;"","")&amp;"␟"&amp;IFERROR(INDEX(PASTE_ALL,$DF42,59)&amp;"","")&amp;"␟"&amp;IFERROR(INDEX(PASTE_ALL,$DF42,60)&amp;"","")," "," "),CHAR(9)," "),CHAR(10)," "),CHAR(13)," "))," ␟","␟"),"␟ ","␟"),"#"&amp;$DE42),"")</f>
        <v/>
      </c>
      <c r="DJ42">
        <f>IF($DI42="",0,IF(SUMPRODUCT(--EXACT($DI$4:DI41,$DI42))&gt;0,1,0))</f>
        <v/>
      </c>
      <c r="DK42">
        <f>IF(AND($DI42&lt;&gt;"",$DJ42=0),1,0)</f>
        <v/>
      </c>
      <c r="DL42">
        <f>DL41+$DK42</f>
        <v/>
      </c>
      <c r="DM42">
        <f>IF(AND($DK42=1,$DL42&lt;=600),1,0)</f>
        <v/>
      </c>
      <c r="DN42">
        <f>IF($DM42=0,"",IF($L$6=0,"",IFERROR(IF(ISNUMBER(INDEX(PASTE_ALL,$DF42,$L$6)),INDEX(PASTE_ALL,$DF42,$L$6),TRIM(SUBSTITUTE(SUBSTITUTE(SUBSTITUTE(SUBSTITUTE(INDEX(PASTE_ALL,$DF42,$L$6)," "," "),CHAR(9)," "),CHAR(10)," "),CHAR(13)," "))),"")))</f>
        <v/>
      </c>
      <c r="DO42">
        <f>IF($DM42=0,"",IF($L$7=0,"",IFERROR(IF(ISNUMBER(INDEX(PASTE_ALL,$DF42,$L$7)),INDEX(PASTE_ALL,$DF42,$L$7),TRIM(SUBSTITUTE(SUBSTITUTE(SUBSTITUTE(SUBSTITUTE(INDEX(PASTE_ALL,$DF42,$L$7)," "," "),CHAR(9)," "),CHAR(10)," "),CHAR(13)," "))),"")))</f>
        <v/>
      </c>
      <c r="DP42">
        <f>IF($DM42=0,"",IF($L$8=0,"",IFERROR(IF(ISNUMBER(INDEX(PASTE_ALL,$DF42,$L$8)),INDEX(PASTE_ALL,$DF42,$L$8),TRIM(SUBSTITUTE(SUBSTITUTE(SUBSTITUTE(SUBSTITUTE(INDEX(PASTE_ALL,$DF42,$L$8)," "," "),CHAR(9)," "),CHAR(10)," "),CHAR(13)," "))),"")))</f>
        <v/>
      </c>
      <c r="DQ42">
        <f>IF($DM42=0,"",IF($L$9=0,"",IFERROR(IF(ISNUMBER(INDEX(PASTE_ALL,$DF42,$L$9)),INDEX(PASTE_ALL,$DF42,$L$9),TRIM(SUBSTITUTE(SUBSTITUTE(SUBSTITUTE(SUBSTITUTE(INDEX(PASTE_ALL,$DF42,$L$9)," "," "),CHAR(9)," "),CHAR(10)," "),CHAR(13)," "))),"")))</f>
        <v/>
      </c>
      <c r="DR42">
        <f>IF($DM42=0,"",IF($L$10=0,"",IFERROR(IF(ISNUMBER(INDEX(PASTE_ALL,$DF42,$L$10)),INDEX(PASTE_ALL,$DF42,$L$10),TRIM(SUBSTITUTE(SUBSTITUTE(SUBSTITUTE(SUBSTITUTE(INDEX(PASTE_ALL,$DF42,$L$10)," "," "),CHAR(9)," "),CHAR(10)," "),CHAR(13)," "))),"")))</f>
        <v/>
      </c>
      <c r="DS42">
        <f>IF($DM42=0,"",IF($L$11=0,"",IFERROR(IF(ISNUMBER(INDEX(PASTE_ALL,$DF42,$L$11)),INDEX(PASTE_ALL,$DF42,$L$11),TRIM(SUBSTITUTE(SUBSTITUTE(SUBSTITUTE(SUBSTITUTE(INDEX(PASTE_ALL,$DF42,$L$11)," "," "),CHAR(9)," "),CHAR(10)," "),CHAR(13)," "))),"")))</f>
        <v/>
      </c>
      <c r="DT42">
        <f>IF($DM42=0,"",IF($L$12=0,"",IFERROR(IF(ISNUMBER(INDEX(PASTE_ALL,$DF42,$L$12)),INDEX(PASTE_ALL,$DF42,$L$12),TRIM(SUBSTITUTE(SUBSTITUTE(SUBSTITUTE(SUBSTITUTE(INDEX(PASTE_ALL,$DF42,$L$12)," "," "),CHAR(9)," "),CHAR(10)," "),CHAR(13)," "))),"")))</f>
        <v/>
      </c>
      <c r="DU42">
        <f>IF($DM42=0,"",IF($L$13=0,"",IFERROR(IF(ISNUMBER(INDEX(PASTE_ALL,$DF42,$L$13)),INDEX(PASTE_ALL,$DF42,$L$13),TRIM(SUBSTITUTE(SUBSTITUTE(SUBSTITUTE(SUBSTITUTE(INDEX(PASTE_ALL,$DF42,$L$13)," "," "),CHAR(9)," "),CHAR(10)," "),CHAR(13)," "))),"")))</f>
        <v/>
      </c>
      <c r="DV42">
        <f>IF($DM42=0,"",IF($L$14=0,"",IFERROR(IF(ISNUMBER(INDEX(PASTE_ALL,$DF42,$L$14)),INDEX(PASTE_ALL,$DF42,$L$14),TRIM(SUBSTITUTE(SUBSTITUTE(SUBSTITUTE(SUBSTITUTE(INDEX(PASTE_ALL,$DF42,$L$14)," "," "),CHAR(9)," "),CHAR(10)," "),CHAR(13)," "))),"")))</f>
        <v/>
      </c>
      <c r="DW42">
        <f>IF($DM42=0,"",IF($L$15=0,"",IFERROR(IF(ISNUMBER(INDEX(PASTE_ALL,$DF42,$L$15)),INDEX(PASTE_ALL,$DF42,$L$15),IF(SUMPRODUCT(--ISNUMBER(FIND({"A","B","C","D","E","F","G","H","I","J","K","L","M","N","O","P","Q","R","S","T","U","V","W","X","Y","Z","0","1","2","3","4","5","6","7","8","9"},UPPER(TRIM(SUBSTITUTE(SUBSTITUTE(SUBSTITUTE(SUBSTITUTE(INDEX(PASTE_ALL,$DF42,$L$15)," "," "),CHAR(9)," "),CHAR(10)," "),CHAR(13)," "))))))&gt;0,TRIM(SUBSTITUTE(SUBSTITUTE(SUBSTITUTE(SUBSTITUTE(INDEX(PASTE_ALL,$DF42,$L$15)," "," "),CHAR(9)," "),CHAR(10)," "),CHAR(13)," ")),"")),"")))</f>
        <v/>
      </c>
      <c r="DX42">
        <f>IF($DM42=0,"",IF($L$16=0,"",IFERROR(IF(ISNUMBER(INDEX(PASTE_ALL,$DF42,$L$16)),INDEX(PASTE_ALL,$DF42,$L$16),SUBSTITUTE(SUBSTITUTE(TRIM(SUBSTITUTE(SUBSTITUTE(SUBSTITUTE(SUBSTITUTE(INDEX(PASTE_ALL,$DF42,$L$16)," "," "),CHAR(9)," "),CHAR(10)," "),CHAR(13)," ")),",",""),"%","")),"")))</f>
        <v/>
      </c>
      <c r="DY42">
        <f>IF($DM42=0,"",IFERROR(IF(ISNUMBER($DX42),$DX42,IF($DX42="","",IF(TRIM($DX42)="",0,IF(AND(AND(SUBSTITUTE(SUBSTITUTE(SUBSTITUTE(SUBSTITUTE(SUBSTITUTE(SUBSTITUTE(SUBSTITUTE(SUBSTITUTE(SUBSTITUTE(SUBSTITUTE(SUBSTITUTE(SUBSTITUTE(SUBSTITUTE(SUBSTITUTE(UPPER(TRIM($DX42)),"0",""),"1",""),"2",""),"3",""),"4",""),"5",""),"6",""),"7",""),"8",""),"9",""),".",""),"+",""),"-",""),"E","")="",LEN(SUBSTITUTE(SUBSTITUTE(MID(UPPER(TRIM($DX42)),1+OR(LEFT(UPPER(TRIM($DX42)),1)="+",LEFT(UPPER(TRIM($DX42)),1)="-"),999),"E+","E"),"E-","E"))=LEN(SUBSTITUTE(SUBSTITUTE(SUBSTITUTE(SUBSTITUTE(MID(UPPER(TRIM($DX42)),1+OR(LEFT(UPPER(TRIM($DX42)),1)="+",LEFT(UPPER(TRIM($DX42)),1)="-"),999),"E+","E"),"E-","E"),"+",""),"-","")),LEN(UPPER(TRIM($DX42)))-LEN(SUBSTITUTE(UPPER(TRIM($DX42)),"E",""))&lt;2,LEN(UPPER(TRIM($DX42)))-LEN(SUBSTITUTE(UPPER(TRIM($DX42)),".",""))&lt;2,IFERROR(FIND(".",UPPER(TRIM($DX42))),0)&lt;IFERROR(FIND("E",UPPER(TRIM($DX42))),999)),ISNUMBER(VALUE(TRIM($DX42)))),VALUE(TRIM($DX42)),"")))),""))</f>
        <v/>
      </c>
      <c r="DZ42">
        <f>IF($DM42=0,"",IF($L$17=0,"",IFERROR(IF(ISNUMBER(INDEX(PASTE_ALL,$DF42,$L$17)),INDEX(PASTE_ALL,$DF42,$L$17),SUBSTITUTE(SUBSTITUTE(TRIM(SUBSTITUTE(SUBSTITUTE(SUBSTITUTE(SUBSTITUTE(INDEX(PASTE_ALL,$DF42,$L$17)," "," "),CHAR(9)," "),CHAR(10)," "),CHAR(13)," ")),",",""),"%","")),"")))</f>
        <v/>
      </c>
      <c r="EA42">
        <f>IF($DM42=0,"",IFERROR(IF(ISNUMBER($DZ42),$DZ42,IF($DZ42="","",IF(TRIM($DZ42)="",0,IF(AND(AND(SUBSTITUTE(SUBSTITUTE(SUBSTITUTE(SUBSTITUTE(SUBSTITUTE(SUBSTITUTE(SUBSTITUTE(SUBSTITUTE(SUBSTITUTE(SUBSTITUTE(SUBSTITUTE(SUBSTITUTE(SUBSTITUTE(SUBSTITUTE(UPPER(TRIM($DZ42)),"0",""),"1",""),"2",""),"3",""),"4",""),"5",""),"6",""),"7",""),"8",""),"9",""),".",""),"+",""),"-",""),"E","")="",LEN(SUBSTITUTE(SUBSTITUTE(MID(UPPER(TRIM($DZ42)),1+OR(LEFT(UPPER(TRIM($DZ42)),1)="+",LEFT(UPPER(TRIM($DZ42)),1)="-"),999),"E+","E"),"E-","E"))=LEN(SUBSTITUTE(SUBSTITUTE(SUBSTITUTE(SUBSTITUTE(MID(UPPER(TRIM($DZ42)),1+OR(LEFT(UPPER(TRIM($DZ42)),1)="+",LEFT(UPPER(TRIM($DZ42)),1)="-"),999),"E+","E"),"E-","E"),"+",""),"-","")),LEN(UPPER(TRIM($DZ42)))-LEN(SUBSTITUTE(UPPER(TRIM($DZ42)),"E",""))&lt;2,LEN(UPPER(TRIM($DZ42)))-LEN(SUBSTITUTE(UPPER(TRIM($DZ42)),".",""))&lt;2,IFERROR(FIND(".",UPPER(TRIM($DZ42))),0)&lt;IFERROR(FIND("E",UPPER(TRIM($DZ42))),999)),ISNUMBER(VALUE(TRIM($DZ42)))),VALUE(TRIM($DZ42)),"")))),""))</f>
        <v/>
      </c>
      <c r="EB42">
        <f>IF($DM42=0,"",IF($L$18=0,"",IFERROR(IF(UPPER(TRIM(SUBSTITUTE(SUBSTITUTE(SUBSTITUTE(SUBSTITUTE(INDEX(PASTE_ALL,$DF42,$L$18)," "," "),CHAR(9)," "),CHAR(10)," "),CHAR(13)," ")))="READY","Ready",IF(UPPER(TRIM(SUBSTITUTE(SUBSTITUTE(SUBSTITUTE(SUBSTITUTE(INDEX(PASTE_ALL,$DF42,$L$18)," "," "),CHAR(9)," "),CHAR(10)," "),CHAR(13)," ")))="PM","PM",IF(OR(UPPER(TRIM(SUBSTITUTE(SUBSTITUTE(SUBSTITUTE(SUBSTITUTE(INDEX(PASTE_ALL,$DF42,$L$18)," "," "),CHAR(9)," "),CHAR(10)," "),CHAR(13)," ")))="OT",UPPER(TRIM(SUBSTITUTE(SUBSTITUTE(SUBSTITUTE(SUBSTITUTE(INDEX(PASTE_ALL,$DF42,$L$18)," "," "),CHAR(9)," "),CHAR(10)," "),CHAR(13)," ")))="OVERTIME",UPPER(TRIM(SUBSTITUTE(SUBSTITUTE(SUBSTITUTE(SUBSTITUTE(INDEX(PASTE_ALL,$DF42,$L$18)," "," "),CHAR(9)," "),CHAR(10)," "),CHAR(13)," ")))="TRIAL"),"OT",TRIM(SUBSTITUTE(SUBSTITUTE(SUBSTITUTE(SUBSTITUTE(INDEX(PASTE_ALL,$DF42,$L$18)," "," "),CHAR(9)," "),CHAR(10)," "),CHAR(13)," "))))),"")))</f>
        <v/>
      </c>
      <c r="EC42">
        <f>IF($DM42=0,"",IF($L$19=0,"",IFERROR(IF(ISNUMBER(INDEX(PASTE_ALL,$DF42,$L$19)),INDEX(PASTE_ALL,$DF42,$L$19),TRIM(SUBSTITUTE(SUBSTITUTE(SUBSTITUTE(SUBSTITUTE(INDEX(PASTE_ALL,$DF42,$L$19)," "," "),CHAR(9)," "),CHAR(10)," "),CHAR(13)," "))),"")))</f>
        <v/>
      </c>
      <c r="ED42">
        <f>IF($DM42=0,"",MATCH(1,INDEX(EXACT($DH$5:DH42,$DH42)*$DM$5:DM42,0),0))</f>
        <v/>
      </c>
      <c r="EE42">
        <f>IF($DM42=0,0,IF($ED42=$DE42,1,0))</f>
        <v/>
      </c>
      <c r="EF42">
        <f>EF41+$EE42</f>
        <v/>
      </c>
      <c r="EG42">
        <f>IF($DM42=0,"",INDEX($EF$5:$EF$1003,$ED42))</f>
        <v/>
      </c>
      <c r="EH42">
        <f>IF($DM42=0,"",IF($DO42&lt;&gt;"","",IFERROR(LOOKUP(2,1/(($EG$4:EG41=$EG42)*($DO$4:DO41&lt;&gt;"")),$DO$4:DO41),"")))</f>
        <v/>
      </c>
      <c r="EI42">
        <f>IF($DM42=0,"",IF($DO42&lt;&gt;"",$DO42,$EH42))</f>
        <v/>
      </c>
      <c r="EJ42">
        <f>IF($DM42=0,"",IF($EI42="",0,IF(OR(ISNUMBER($EI42),AND(AND(SUBSTITUTE(SUBSTITUTE(SUBSTITUTE(SUBSTITUTE(SUBSTITUTE(SUBSTITUTE(SUBSTITUTE(SUBSTITUTE(SUBSTITUTE(SUBSTITUTE(SUBSTITUTE(SUBSTITUTE(SUBSTITUTE(SUBSTITUTE(UPPER($EI42),"0",""),"1",""),"2",""),"3",""),"4",""),"5",""),"6",""),"7",""),"8",""),"9",""),".",""),"+",""),"-",""),"E","")="",LEN(SUBSTITUTE(SUBSTITUTE(MID(UPPER($EI42),1+OR(LEFT(UPPER($EI42),1)="+",LEFT(UPPER($EI42),1)="-"),999),"E+","E"),"E-","E"))=LEN(SUBSTITUTE(SUBSTITUTE(SUBSTITUTE(SUBSTITUTE(MID(UPPER($EI42),1+OR(LEFT(UPPER($EI42),1)="+",LEFT(UPPER($EI42),1)="-"),999),"E+","E"),"E-","E"),"+",""),"-","")),LEN(UPPER($EI42))-LEN(SUBSTITUTE(UPPER($EI42),"E",""))&lt;2,LEN(UPPER($EI42))-LEN(SUBSTITUTE(UPPER($EI42),".",""))&lt;2,IFERROR(FIND(".",UPPER($EI42)),0)&lt;IFERROR(FIND("E",UPPER($EI42)),999)),ISNUMBER(VALUE($EI42)))),1,2)))</f>
        <v/>
      </c>
      <c r="EK42">
        <f>IF($DM42=0,"",IF($EJ42=1,IF(ISNUMBER($EI42),$EI42,VALUE($EI42)),IF($EJ42=2,$DE42,0)))</f>
        <v/>
      </c>
      <c r="EL42">
        <f>IF($DM42=0,"",COUNTIF($EG$5:$EG$1003,"&lt;"&amp;$EG42)+SUMPRODUCT(($EG$5:$EG$1003=$EG42)*(($EJ$5:$EJ$1003&lt;$EJ42)+($EJ$5:$EJ$1003=$EJ42)*(($EK$5:$EK$1003&lt;$EK42)+($EK$5:$EK$1003=$EK42)*($DE$5:$DE$1003&lt;$DE42))))+1)</f>
        <v/>
      </c>
      <c r="EM42">
        <f>IF($DM42=0,"",$EL42+$EG42-1)</f>
        <v/>
      </c>
      <c r="EN42">
        <f>IF($DM42=0,0,IFERROR(MATCH(1,INDEX(--(TRIM(SUBSTITUTE(SUBSTITUTE(SUBSTITUTE(SUBSTITUTE(LINES_NAME&amp;""," "," "),CHAR(9)," "),CHAR(10)," "),CHAR(13)," "))=$DH42),0),0),0))</f>
        <v/>
      </c>
      <c r="EO42">
        <f>IF($EN42=0,0,IF(OR(UPPER(TRIM(INDEX(LINES_SCHEDULED,$EN42)&amp;""))="YES",UPPER(TRIM(INDEX(LINES_SCHEDULED,$EN42)&amp;""))="Y",UPPER(TRIM(INDEX(LINES_SCHEDULED,$EN42)&amp;""))="X"),1,0))</f>
        <v/>
      </c>
      <c r="EP42">
        <f>IF($DM42=0,"",IF(COUNTIFS($EG$5:$EG$1003,$EG42,$EB$5:$EB$1003,"Ready")&gt;0,"READY",IF(COUNTIFS($EG$5:$EG$1003,$EG42,$EB$5:$EB$1003,"PM")&gt;0,"PM",IF(COUNTIFS($EG$5:$EG$1003,$EG42,$EB$5:$EB$1003,"OT")&gt;0,"OT",""))))</f>
        <v/>
      </c>
      <c r="EQ42">
        <f>IF($EN42=0,"",UPPER(TRIM(INDEX(LINES_STATUS,$EN42)&amp;"")))</f>
        <v/>
      </c>
      <c r="ER42">
        <f>IF($DM42=0,"",IF(OR($EQ42="READY",$EQ42="PM",$EQ42="OT"),$EQ42,$EP42))</f>
        <v/>
      </c>
      <c r="ES42">
        <f>IF($DM42=0,"",IF(AND($DV42&lt;&gt;"",UPPER($DV42)&lt;&gt;"N"),"allergen",IF(ISNUMBER(SEARCH("oil",$DQ42)),"oil",IF(OR(EXACT($DS42,"A662"),EXACT($DS42,"A624")),"bulk",""))))</f>
        <v/>
      </c>
      <c r="ET42">
        <f>IF($DM42=0,"",IF(OR($EA42="",$EA42=0),"",$EA42/100))</f>
        <v/>
      </c>
      <c r="EU42">
        <f>IF(OR($ET42="",$DY42=""),"",INT($DY42*(1-$ET42)+0.5))</f>
        <v/>
      </c>
      <c r="EW42" t="n">
        <v>38</v>
      </c>
      <c r="EX42">
        <f>IFERROR(MATCH($EW42,$EM$5:$EM$1003,0),0)</f>
        <v/>
      </c>
      <c r="EY42">
        <f>IF($EW42&gt;$B$12,"",IF($EX42&gt;0,"row","spacer"))</f>
        <v/>
      </c>
      <c r="EZ42">
        <f>IF(AND($EY42="row",$EY41&lt;&gt;"row"),1,0)</f>
        <v/>
      </c>
      <c r="FA42">
        <f>IF(AND($EY42="row",$EY43&lt;&gt;"row"),1,0)</f>
        <v/>
      </c>
      <c r="FB42">
        <f>IF($EZ42=1,IFERROR(IF(ISNUMBER(INDEX(PASTE_ALL,INDEX($DF$5:$DF$1003,$EX42),$B$37)),INDEX(PASTE_ALL,INDEX($DF$5:$DF$1003,$EX42),$B$37),INDEX($DH$5:$DH$1003,$EX42)),INDEX($DH$5:$DH$1003,$EX42)),"")</f>
        <v/>
      </c>
      <c r="FC42">
        <f>IF($EY42="row",INDEX($ER$5:$ER$1003,$EX42),"")</f>
        <v/>
      </c>
      <c r="FD42">
        <f>IF($EY42="row",INDEX($DN$5:$DN$1003,$EX42),"")</f>
        <v/>
      </c>
      <c r="FE42">
        <f>IF($EY42="row",INDEX($DO$5:$DO$1003,$EX42),"")</f>
        <v/>
      </c>
      <c r="FF42">
        <f>IF($EY42="row",INDEX($DP$5:$DP$1003,$EX42),"")</f>
        <v/>
      </c>
      <c r="FG42">
        <f>IF($EY42="row",INDEX($DQ$5:$DQ$1003,$EX42),"")</f>
        <v/>
      </c>
      <c r="FH42">
        <f>IF($EY42="row",INDEX($DR$5:$DR$1003,$EX42),"")</f>
        <v/>
      </c>
      <c r="FI42">
        <f>IF($EY42="row",INDEX($DS$5:$DS$1003,$EX42),"")</f>
        <v/>
      </c>
      <c r="FJ42">
        <f>IF($EY42="row",INDEX($DT$5:$DT$1003,$EX42),"")</f>
        <v/>
      </c>
      <c r="FK42">
        <f>IF($EY42="row",INDEX($DU$5:$DU$1003,$EX42),"")</f>
        <v/>
      </c>
      <c r="FL42">
        <f>IF($EY42="row",INDEX($DV$5:$DV$1003,$EX42),"")</f>
        <v/>
      </c>
      <c r="FM42">
        <f>IF($EY42="row",INDEX($DW$5:$DW$1003,$EX42),"")</f>
        <v/>
      </c>
      <c r="FN42">
        <f>IF($EY42="row",INDEX($DY$5:$DY$1003,$EX42),"")</f>
        <v/>
      </c>
      <c r="FO42">
        <f>IF($EY42="row",INDEX($EA$5:$EA$1003,$EX42),"")</f>
        <v/>
      </c>
      <c r="FP42">
        <f>IF($EY42="row",INDEX($EC$5:$EC$1003,$EX42),"")</f>
        <v/>
      </c>
      <c r="FQ42">
        <f>IF($EY42="row",INDEX($ET$5:$ET$1003,$EX42),"")</f>
        <v/>
      </c>
      <c r="FR42">
        <f>IF($EY42="row",INDEX($EU$5:$EU$1003,$EX42),"")</f>
        <v/>
      </c>
      <c r="FS42">
        <f>IF(AND($EY42="row",$EY41="row"),IF(OR(INDEX($DT$5:$DT$1003,$EX41)="",INDEX($DT$5:$DT$1003,$EX42)=""),"",IF(NOT(EXACT(INDEX($DT$5:$DT$1003,$EX41),INDEX($DT$5:$DT$1003,$EX42))),"S4",IF(NOT(EXACT(INDEX($DS$5:$DS$1003,$EX41),INDEX($DS$5:$DS$1003,$EX42))),"S3",IF(NOT(EXACT(INDEX($DR$5:$DR$1003,$EX41),INDEX($DR$5:$DR$1003,$EX42))),"S1 Count Change","S1")))),"")</f>
        <v/>
      </c>
      <c r="FT42">
        <f>IF($EY42="row",INDEX($ES$5:$ES$1003,$EX42),"")</f>
        <v/>
      </c>
      <c r="FU42">
        <f>IF($EY42="row",INDEX($EO$5:$EO$1003,$EX42),0)</f>
        <v/>
      </c>
      <c r="FV42">
        <f>IF($FS42="S1 Count Change",1,0)</f>
        <v/>
      </c>
      <c r="FX42" t="n">
        <v>38</v>
      </c>
      <c r="FY42">
        <f>IFERROR(MATCH($FX42,$EF$5:$EF$1003,0),0)</f>
        <v/>
      </c>
      <c r="FZ42">
        <f>IF($FY42=0,"",INDEX($DH$5:$DH$1003,$FY42))</f>
        <v/>
      </c>
      <c r="GA42">
        <f>IF($FY42=0,"",COUNTIF($EG$5:$EG$1003,$FX42))</f>
        <v/>
      </c>
      <c r="GB42">
        <f>IF($FY42=0,"",INDEX($ER$5:$ER$1003,$FY42))</f>
        <v/>
      </c>
      <c r="GC42">
        <f>IF($FY42=0,"",IF(INDEX($EO$5:$EO$1003,$FY42)=1,"Yes",""))</f>
        <v/>
      </c>
      <c r="GD42">
        <f>IF($FY42=0,"",IF(INDEX($EN$5:$EN$1003,$FY42)&gt;0,"","NOT IN YOUR LIST - type it in column A to tick it"))</f>
        <v/>
      </c>
      <c r="GE42">
        <f>IF(AND($FY42&gt;0,$GD42&lt;&gt;""),1,0)</f>
        <v/>
      </c>
      <c r="GF42">
        <f>GF41+$GE42</f>
        <v/>
      </c>
      <c r="GG42">
        <f>IFERROR(INDEX($FZ$5:$FZ$104,MATCH($FX42,$GF$5:$GF$104,0)),"")</f>
        <v/>
      </c>
    </row>
    <row r="43">
      <c r="S43" t="n">
        <v>39</v>
      </c>
      <c r="T43" t="inlineStr">
        <is>
          <t>AM</t>
        </is>
      </c>
      <c r="V43" t="inlineStr">
        <is>
          <t>COUNT</t>
        </is>
      </c>
      <c r="W43" t="n">
        <v>6</v>
      </c>
      <c r="Y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 ",""),"!",""),CHAR(34),""),"#",""),"$",""),"%",""),"&amp;",""),"'",""),"(",""),")",""),"*",""),"+",""),",",""),"-",""),".",""),"/",""),":",""),";",""),"&lt;",""),"=",""),"&gt;",""),"?",""),"@",""),"[",""),"\",""),"]",""),"^",""),"_",""),"`",""),"{",""),"|",""),"}",""),"~",""),CHAR(9),""),CHAR(10),""),CHAR(13),"")," ",""),"")</f>
        <v/>
      </c>
      <c r="Z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 ",""),"!",""),CHAR(34),""),"#",""),"$",""),"%",""),"&amp;",""),"'",""),"(",""),")",""),"*",""),"+",""),",",""),"-",""),".",""),"/",""),":",""),";",""),"&lt;",""),"=",""),"&gt;",""),"?",""),"@",""),"[",""),"\",""),"]",""),"^",""),"_",""),"`",""),"{",""),"|",""),"}",""),"~",""),CHAR(9),""),CHAR(10),""),CHAR(13),"")," ",""),"")</f>
        <v/>
      </c>
      <c r="AA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 ",""),"!",""),CHAR(34),""),"#",""),"$",""),"%",""),"&amp;",""),"'",""),"(",""),")",""),"*",""),"+",""),",",""),"-",""),".",""),"/",""),":",""),";",""),"&lt;",""),"=",""),"&gt;",""),"?",""),"@",""),"[",""),"\",""),"]",""),"^",""),"_",""),"`",""),"{",""),"|",""),"}",""),"~",""),CHAR(9),""),CHAR(10),""),CHAR(13),"")," ",""),"")</f>
        <v/>
      </c>
      <c r="AB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 ",""),"!",""),CHAR(34),""),"#",""),"$",""),"%",""),"&amp;",""),"'",""),"(",""),")",""),"*",""),"+",""),",",""),"-",""),".",""),"/",""),":",""),";",""),"&lt;",""),"=",""),"&gt;",""),"?",""),"@",""),"[",""),"\",""),"]",""),"^",""),"_",""),"`",""),"{",""),"|",""),"}",""),"~",""),CHAR(9),""),CHAR(10),""),CHAR(13),"")," ",""),"")</f>
        <v/>
      </c>
      <c r="AC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 ",""),"!",""),CHAR(34),""),"#",""),"$",""),"%",""),"&amp;",""),"'",""),"(",""),")",""),"*",""),"+",""),",",""),"-",""),".",""),"/",""),":",""),";",""),"&lt;",""),"=",""),"&gt;",""),"?",""),"@",""),"[",""),"\",""),"]",""),"^",""),"_",""),"`",""),"{",""),"|",""),"}",""),"~",""),CHAR(9),""),CHAR(10),""),CHAR(13),"")," ",""),"")</f>
        <v/>
      </c>
      <c r="AD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39,6))," ",""),"!",""),CHAR(34),""),"#",""),"$",""),"%",""),"&amp;",""),"'",""),"(",""),")",""),"*",""),"+",""),",",""),"-",""),".",""),"/",""),":",""),";",""),"&lt;",""),"=",""),"&gt;",""),"?",""),"@",""),"[",""),"\",""),"]",""),"^",""),"_",""),"`",""),"{",""),"|",""),"}",""),"~",""),CHAR(9),""),CHAR(10),""),CHAR(13),"")," ",""),"")</f>
        <v/>
      </c>
      <c r="AE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39,7))," ",""),"!",""),CHAR(34),""),"#",""),"$",""),"%",""),"&amp;",""),"'",""),"(",""),")",""),"*",""),"+",""),",",""),"-",""),".",""),"/",""),":",""),";",""),"&lt;",""),"=",""),"&gt;",""),"?",""),"@",""),"[",""),"\",""),"]",""),"^",""),"_",""),"`",""),"{",""),"|",""),"}",""),"~",""),CHAR(9),""),CHAR(10),""),CHAR(13),"")," ",""),"")</f>
        <v/>
      </c>
      <c r="AF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39,8))," ",""),"!",""),CHAR(34),""),"#",""),"$",""),"%",""),"&amp;",""),"'",""),"(",""),")",""),"*",""),"+",""),",",""),"-",""),".",""),"/",""),":",""),";",""),"&lt;",""),"=",""),"&gt;",""),"?",""),"@",""),"[",""),"\",""),"]",""),"^",""),"_",""),"`",""),"{",""),"|",""),"}",""),"~",""),CHAR(9),""),CHAR(10),""),CHAR(13),"")," ",""),"")</f>
        <v/>
      </c>
      <c r="AG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39,9))," ",""),"!",""),CHAR(34),""),"#",""),"$",""),"%",""),"&amp;",""),"'",""),"(",""),")",""),"*",""),"+",""),",",""),"-",""),".",""),"/",""),":",""),";",""),"&lt;",""),"=",""),"&gt;",""),"?",""),"@",""),"[",""),"\",""),"]",""),"^",""),"_",""),"`",""),"{",""),"|",""),"}",""),"~",""),CHAR(9),""),CHAR(10),""),CHAR(13),"")," ",""),"")</f>
        <v/>
      </c>
      <c r="AH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39,10))," ",""),"!",""),CHAR(34),""),"#",""),"$",""),"%",""),"&amp;",""),"'",""),"(",""),")",""),"*",""),"+",""),",",""),"-",""),".",""),"/",""),":",""),";",""),"&lt;",""),"=",""),"&gt;",""),"?",""),"@",""),"[",""),"\",""),"]",""),"^",""),"_",""),"`",""),"{",""),"|",""),"}",""),"~",""),CHAR(9),""),CHAR(10),""),CHAR(13),"")," ",""),"")</f>
        <v/>
      </c>
      <c r="AI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39,11))," ",""),"!",""),CHAR(34),""),"#",""),"$",""),"%",""),"&amp;",""),"'",""),"(",""),")",""),"*",""),"+",""),",",""),"-",""),".",""),"/",""),":",""),";",""),"&lt;",""),"=",""),"&gt;",""),"?",""),"@",""),"[",""),"\",""),"]",""),"^",""),"_",""),"`",""),"{",""),"|",""),"}",""),"~",""),CHAR(9),""),CHAR(10),""),CHAR(13),"")," ",""),"")</f>
        <v/>
      </c>
      <c r="AJ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39,12))," ",""),"!",""),CHAR(34),""),"#",""),"$",""),"%",""),"&amp;",""),"'",""),"(",""),")",""),"*",""),"+",""),",",""),"-",""),".",""),"/",""),":",""),";",""),"&lt;",""),"=",""),"&gt;",""),"?",""),"@",""),"[",""),"\",""),"]",""),"^",""),"_",""),"`",""),"{",""),"|",""),"}",""),"~",""),CHAR(9),""),CHAR(10),""),CHAR(13),"")," ",""),"")</f>
        <v/>
      </c>
      <c r="AK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39,13))," ",""),"!",""),CHAR(34),""),"#",""),"$",""),"%",""),"&amp;",""),"'",""),"(",""),")",""),"*",""),"+",""),",",""),"-",""),".",""),"/",""),":",""),";",""),"&lt;",""),"=",""),"&gt;",""),"?",""),"@",""),"[",""),"\",""),"]",""),"^",""),"_",""),"`",""),"{",""),"|",""),"}",""),"~",""),CHAR(9),""),CHAR(10),""),CHAR(13),"")," ",""),"")</f>
        <v/>
      </c>
      <c r="AL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39,14))," ",""),"!",""),CHAR(34),""),"#",""),"$",""),"%",""),"&amp;",""),"'",""),"(",""),")",""),"*",""),"+",""),",",""),"-",""),".",""),"/",""),":",""),";",""),"&lt;",""),"=",""),"&gt;",""),"?",""),"@",""),"[",""),"\",""),"]",""),"^",""),"_",""),"`",""),"{",""),"|",""),"}",""),"~",""),CHAR(9),""),CHAR(10),""),CHAR(13),"")," ",""),"")</f>
        <v/>
      </c>
      <c r="AM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39,15))," ",""),"!",""),CHAR(34),""),"#",""),"$",""),"%",""),"&amp;",""),"'",""),"(",""),")",""),"*",""),"+",""),",",""),"-",""),".",""),"/",""),":",""),";",""),"&lt;",""),"=",""),"&gt;",""),"?",""),"@",""),"[",""),"\",""),"]",""),"^",""),"_",""),"`",""),"{",""),"|",""),"}",""),"~",""),CHAR(9),""),CHAR(10),""),CHAR(13),"")," ",""),"")</f>
        <v/>
      </c>
      <c r="AN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39,16))," ",""),"!",""),CHAR(34),""),"#",""),"$",""),"%",""),"&amp;",""),"'",""),"(",""),")",""),"*",""),"+",""),",",""),"-",""),".",""),"/",""),":",""),";",""),"&lt;",""),"=",""),"&gt;",""),"?",""),"@",""),"[",""),"\",""),"]",""),"^",""),"_",""),"`",""),"{",""),"|",""),"}",""),"~",""),CHAR(9),""),CHAR(10),""),CHAR(13),"")," ",""),"")</f>
        <v/>
      </c>
      <c r="AO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39,17))," ",""),"!",""),CHAR(34),""),"#",""),"$",""),"%",""),"&amp;",""),"'",""),"(",""),")",""),"*",""),"+",""),",",""),"-",""),".",""),"/",""),":",""),";",""),"&lt;",""),"=",""),"&gt;",""),"?",""),"@",""),"[",""),"\",""),"]",""),"^",""),"_",""),"`",""),"{",""),"|",""),"}",""),"~",""),CHAR(9),""),CHAR(10),""),CHAR(13),"")," ",""),"")</f>
        <v/>
      </c>
      <c r="AP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39,18))," ",""),"!",""),CHAR(34),""),"#",""),"$",""),"%",""),"&amp;",""),"'",""),"(",""),")",""),"*",""),"+",""),",",""),"-",""),".",""),"/",""),":",""),";",""),"&lt;",""),"=",""),"&gt;",""),"?",""),"@",""),"[",""),"\",""),"]",""),"^",""),"_",""),"`",""),"{",""),"|",""),"}",""),"~",""),CHAR(9),""),CHAR(10),""),CHAR(13),"")," ",""),"")</f>
        <v/>
      </c>
      <c r="AQ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39,19))," ",""),"!",""),CHAR(34),""),"#",""),"$",""),"%",""),"&amp;",""),"'",""),"(",""),")",""),"*",""),"+",""),",",""),"-",""),".",""),"/",""),":",""),";",""),"&lt;",""),"=",""),"&gt;",""),"?",""),"@",""),"[",""),"\",""),"]",""),"^",""),"_",""),"`",""),"{",""),"|",""),"}",""),"~",""),CHAR(9),""),CHAR(10),""),CHAR(13),"")," ",""),"")</f>
        <v/>
      </c>
      <c r="AR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39,20))," ",""),"!",""),CHAR(34),""),"#",""),"$",""),"%",""),"&amp;",""),"'",""),"(",""),")",""),"*",""),"+",""),",",""),"-",""),".",""),"/",""),":",""),";",""),"&lt;",""),"=",""),"&gt;",""),"?",""),"@",""),"[",""),"\",""),"]",""),"^",""),"_",""),"`",""),"{",""),"|",""),"}",""),"~",""),CHAR(9),""),CHAR(10),""),CHAR(13),"")," ",""),"")</f>
        <v/>
      </c>
      <c r="AS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39,21))," ",""),"!",""),CHAR(34),""),"#",""),"$",""),"%",""),"&amp;",""),"'",""),"(",""),")",""),"*",""),"+",""),",",""),"-",""),".",""),"/",""),":",""),";",""),"&lt;",""),"=",""),"&gt;",""),"?",""),"@",""),"[",""),"\",""),"]",""),"^",""),"_",""),"`",""),"{",""),"|",""),"}",""),"~",""),CHAR(9),""),CHAR(10),""),CHAR(13),"")," ",""),"")</f>
        <v/>
      </c>
      <c r="AT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39,22))," ",""),"!",""),CHAR(34),""),"#",""),"$",""),"%",""),"&amp;",""),"'",""),"(",""),")",""),"*",""),"+",""),",",""),"-",""),".",""),"/",""),":",""),";",""),"&lt;",""),"=",""),"&gt;",""),"?",""),"@",""),"[",""),"\",""),"]",""),"^",""),"_",""),"`",""),"{",""),"|",""),"}",""),"~",""),CHAR(9),""),CHAR(10),""),CHAR(13),"")," ",""),"")</f>
        <v/>
      </c>
      <c r="AU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39,23))," ",""),"!",""),CHAR(34),""),"#",""),"$",""),"%",""),"&amp;",""),"'",""),"(",""),")",""),"*",""),"+",""),",",""),"-",""),".",""),"/",""),":",""),";",""),"&lt;",""),"=",""),"&gt;",""),"?",""),"@",""),"[",""),"\",""),"]",""),"^",""),"_",""),"`",""),"{",""),"|",""),"}",""),"~",""),CHAR(9),""),CHAR(10),""),CHAR(13),"")," ",""),"")</f>
        <v/>
      </c>
      <c r="AV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39,24))," ",""),"!",""),CHAR(34),""),"#",""),"$",""),"%",""),"&amp;",""),"'",""),"(",""),")",""),"*",""),"+",""),",",""),"-",""),".",""),"/",""),":",""),";",""),"&lt;",""),"=",""),"&gt;",""),"?",""),"@",""),"[",""),"\",""),"]",""),"^",""),"_",""),"`",""),"{",""),"|",""),"}",""),"~",""),CHAR(9),""),CHAR(10),""),CHAR(13),"")," ",""),"")</f>
        <v/>
      </c>
      <c r="AW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39,25))," ",""),"!",""),CHAR(34),""),"#",""),"$",""),"%",""),"&amp;",""),"'",""),"(",""),")",""),"*",""),"+",""),",",""),"-",""),".",""),"/",""),":",""),";",""),"&lt;",""),"=",""),"&gt;",""),"?",""),"@",""),"[",""),"\",""),"]",""),"^",""),"_",""),"`",""),"{",""),"|",""),"}",""),"~",""),CHAR(9),""),CHAR(10),""),CHAR(13),"")," ",""),"")</f>
        <v/>
      </c>
      <c r="AX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39,26))," ",""),"!",""),CHAR(34),""),"#",""),"$",""),"%",""),"&amp;",""),"'",""),"(",""),")",""),"*",""),"+",""),",",""),"-",""),".",""),"/",""),":",""),";",""),"&lt;",""),"=",""),"&gt;",""),"?",""),"@",""),"[",""),"\",""),"]",""),"^",""),"_",""),"`",""),"{",""),"|",""),"}",""),"~",""),CHAR(9),""),CHAR(10),""),CHAR(13),"")," ",""),"")</f>
        <v/>
      </c>
      <c r="AY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39,27))," ",""),"!",""),CHAR(34),""),"#",""),"$",""),"%",""),"&amp;",""),"'",""),"(",""),")",""),"*",""),"+",""),",",""),"-",""),".",""),"/",""),":",""),";",""),"&lt;",""),"=",""),"&gt;",""),"?",""),"@",""),"[",""),"\",""),"]",""),"^",""),"_",""),"`",""),"{",""),"|",""),"}",""),"~",""),CHAR(9),""),CHAR(10),""),CHAR(13),"")," ",""),"")</f>
        <v/>
      </c>
      <c r="AZ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39,28))," ",""),"!",""),CHAR(34),""),"#",""),"$",""),"%",""),"&amp;",""),"'",""),"(",""),")",""),"*",""),"+",""),",",""),"-",""),".",""),"/",""),":",""),";",""),"&lt;",""),"=",""),"&gt;",""),"?",""),"@",""),"[",""),"\",""),"]",""),"^",""),"_",""),"`",""),"{",""),"|",""),"}",""),"~",""),CHAR(9),""),CHAR(10),""),CHAR(13),"")," ",""),"")</f>
        <v/>
      </c>
      <c r="BA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39,29))," ",""),"!",""),CHAR(34),""),"#",""),"$",""),"%",""),"&amp;",""),"'",""),"(",""),")",""),"*",""),"+",""),",",""),"-",""),".",""),"/",""),":",""),";",""),"&lt;",""),"=",""),"&gt;",""),"?",""),"@",""),"[",""),"\",""),"]",""),"^",""),"_",""),"`",""),"{",""),"|",""),"}",""),"~",""),CHAR(9),""),CHAR(10),""),CHAR(13),"")," ",""),"")</f>
        <v/>
      </c>
      <c r="BB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39,30))," ",""),"!",""),CHAR(34),""),"#",""),"$",""),"%",""),"&amp;",""),"'",""),"(",""),")",""),"*",""),"+",""),",",""),"-",""),".",""),"/",""),":",""),";",""),"&lt;",""),"=",""),"&gt;",""),"?",""),"@",""),"[",""),"\",""),"]",""),"^",""),"_",""),"`",""),"{",""),"|",""),"}",""),"~",""),CHAR(9),""),CHAR(10),""),CHAR(13),"")," ",""),"")</f>
        <v/>
      </c>
      <c r="BC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39,31))," ",""),"!",""),CHAR(34),""),"#",""),"$",""),"%",""),"&amp;",""),"'",""),"(",""),")",""),"*",""),"+",""),",",""),"-",""),".",""),"/",""),":",""),";",""),"&lt;",""),"=",""),"&gt;",""),"?",""),"@",""),"[",""),"\",""),"]",""),"^",""),"_",""),"`",""),"{",""),"|",""),"}",""),"~",""),CHAR(9),""),CHAR(10),""),CHAR(13),"")," ",""),"")</f>
        <v/>
      </c>
      <c r="BD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39,32))," ",""),"!",""),CHAR(34),""),"#",""),"$",""),"%",""),"&amp;",""),"'",""),"(",""),")",""),"*",""),"+",""),",",""),"-",""),".",""),"/",""),":",""),";",""),"&lt;",""),"=",""),"&gt;",""),"?",""),"@",""),"[",""),"\",""),"]",""),"^",""),"_",""),"`",""),"{",""),"|",""),"}",""),"~",""),CHAR(9),""),CHAR(10),""),CHAR(13),"")," ",""),"")</f>
        <v/>
      </c>
      <c r="BE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39,33))," ",""),"!",""),CHAR(34),""),"#",""),"$",""),"%",""),"&amp;",""),"'",""),"(",""),")",""),"*",""),"+",""),",",""),"-",""),".",""),"/",""),":",""),";",""),"&lt;",""),"=",""),"&gt;",""),"?",""),"@",""),"[",""),"\",""),"]",""),"^",""),"_",""),"`",""),"{",""),"|",""),"}",""),"~",""),CHAR(9),""),CHAR(10),""),CHAR(13),"")," ",""),"")</f>
        <v/>
      </c>
      <c r="BF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39,34))," ",""),"!",""),CHAR(34),""),"#",""),"$",""),"%",""),"&amp;",""),"'",""),"(",""),")",""),"*",""),"+",""),",",""),"-",""),".",""),"/",""),":",""),";",""),"&lt;",""),"=",""),"&gt;",""),"?",""),"@",""),"[",""),"\",""),"]",""),"^",""),"_",""),"`",""),"{",""),"|",""),"}",""),"~",""),CHAR(9),""),CHAR(10),""),CHAR(13),"")," ",""),"")</f>
        <v/>
      </c>
      <c r="BG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39,35))," ",""),"!",""),CHAR(34),""),"#",""),"$",""),"%",""),"&amp;",""),"'",""),"(",""),")",""),"*",""),"+",""),",",""),"-",""),".",""),"/",""),":",""),";",""),"&lt;",""),"=",""),"&gt;",""),"?",""),"@",""),"[",""),"\",""),"]",""),"^",""),"_",""),"`",""),"{",""),"|",""),"}",""),"~",""),CHAR(9),""),CHAR(10),""),CHAR(13),"")," ",""),"")</f>
        <v/>
      </c>
      <c r="BH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39,36))," ",""),"!",""),CHAR(34),""),"#",""),"$",""),"%",""),"&amp;",""),"'",""),"(",""),")",""),"*",""),"+",""),",",""),"-",""),".",""),"/",""),":",""),";",""),"&lt;",""),"=",""),"&gt;",""),"?",""),"@",""),"[",""),"\",""),"]",""),"^",""),"_",""),"`",""),"{",""),"|",""),"}",""),"~",""),CHAR(9),""),CHAR(10),""),CHAR(13),"")," ",""),"")</f>
        <v/>
      </c>
      <c r="BI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39,37))," ",""),"!",""),CHAR(34),""),"#",""),"$",""),"%",""),"&amp;",""),"'",""),"(",""),")",""),"*",""),"+",""),",",""),"-",""),".",""),"/",""),":",""),";",""),"&lt;",""),"=",""),"&gt;",""),"?",""),"@",""),"[",""),"\",""),"]",""),"^",""),"_",""),"`",""),"{",""),"|",""),"}",""),"~",""),CHAR(9),""),CHAR(10),""),CHAR(13),"")," ",""),"")</f>
        <v/>
      </c>
      <c r="BJ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39,38))," ",""),"!",""),CHAR(34),""),"#",""),"$",""),"%",""),"&amp;",""),"'",""),"(",""),")",""),"*",""),"+",""),",",""),"-",""),".",""),"/",""),":",""),";",""),"&lt;",""),"=",""),"&gt;",""),"?",""),"@",""),"[",""),"\",""),"]",""),"^",""),"_",""),"`",""),"{",""),"|",""),"}",""),"~",""),CHAR(9),""),CHAR(10),""),CHAR(13),"")," ",""),"")</f>
        <v/>
      </c>
      <c r="BK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39,39))," ",""),"!",""),CHAR(34),""),"#",""),"$",""),"%",""),"&amp;",""),"'",""),"(",""),")",""),"*",""),"+",""),",",""),"-",""),".",""),"/",""),":",""),";",""),"&lt;",""),"=",""),"&gt;",""),"?",""),"@",""),"[",""),"\",""),"]",""),"^",""),"_",""),"`",""),"{",""),"|",""),"}",""),"~",""),CHAR(9),""),CHAR(10),""),CHAR(13),"")," ",""),"")</f>
        <v/>
      </c>
      <c r="BL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39,40))," ",""),"!",""),CHAR(34),""),"#",""),"$",""),"%",""),"&amp;",""),"'",""),"(",""),")",""),"*",""),"+",""),",",""),"-",""),".",""),"/",""),":",""),";",""),"&lt;",""),"=",""),"&gt;",""),"?",""),"@",""),"[",""),"\",""),"]",""),"^",""),"_",""),"`",""),"{",""),"|",""),"}",""),"~",""),CHAR(9),""),CHAR(10),""),CHAR(13),"")," ",""),"")</f>
        <v/>
      </c>
      <c r="BM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39,41))," ",""),"!",""),CHAR(34),""),"#",""),"$",""),"%",""),"&amp;",""),"'",""),"(",""),")",""),"*",""),"+",""),",",""),"-",""),".",""),"/",""),":",""),";",""),"&lt;",""),"=",""),"&gt;",""),"?",""),"@",""),"[",""),"\",""),"]",""),"^",""),"_",""),"`",""),"{",""),"|",""),"}",""),"~",""),CHAR(9),""),CHAR(10),""),CHAR(13),"")," ",""),"")</f>
        <v/>
      </c>
      <c r="BN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39,42))," ",""),"!",""),CHAR(34),""),"#",""),"$",""),"%",""),"&amp;",""),"'",""),"(",""),")",""),"*",""),"+",""),",",""),"-",""),".",""),"/",""),":",""),";",""),"&lt;",""),"=",""),"&gt;",""),"?",""),"@",""),"[",""),"\",""),"]",""),"^",""),"_",""),"`",""),"{",""),"|",""),"}",""),"~",""),CHAR(9),""),CHAR(10),""),CHAR(13),"")," ",""),"")</f>
        <v/>
      </c>
      <c r="BO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39,43))," ",""),"!",""),CHAR(34),""),"#",""),"$",""),"%",""),"&amp;",""),"'",""),"(",""),")",""),"*",""),"+",""),",",""),"-",""),".",""),"/",""),":",""),";",""),"&lt;",""),"=",""),"&gt;",""),"?",""),"@",""),"[",""),"\",""),"]",""),"^",""),"_",""),"`",""),"{",""),"|",""),"}",""),"~",""),CHAR(9),""),CHAR(10),""),CHAR(13),"")," ",""),"")</f>
        <v/>
      </c>
      <c r="BP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39,44))," ",""),"!",""),CHAR(34),""),"#",""),"$",""),"%",""),"&amp;",""),"'",""),"(",""),")",""),"*",""),"+",""),",",""),"-",""),".",""),"/",""),":",""),";",""),"&lt;",""),"=",""),"&gt;",""),"?",""),"@",""),"[",""),"\",""),"]",""),"^",""),"_",""),"`",""),"{",""),"|",""),"}",""),"~",""),CHAR(9),""),CHAR(10),""),CHAR(13),"")," ",""),"")</f>
        <v/>
      </c>
      <c r="BQ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39,45))," ",""),"!",""),CHAR(34),""),"#",""),"$",""),"%",""),"&amp;",""),"'",""),"(",""),")",""),"*",""),"+",""),",",""),"-",""),".",""),"/",""),":",""),";",""),"&lt;",""),"=",""),"&gt;",""),"?",""),"@",""),"[",""),"\",""),"]",""),"^",""),"_",""),"`",""),"{",""),"|",""),"}",""),"~",""),CHAR(9),""),CHAR(10),""),CHAR(13),"")," ",""),"")</f>
        <v/>
      </c>
      <c r="BR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39,46))," ",""),"!",""),CHAR(34),""),"#",""),"$",""),"%",""),"&amp;",""),"'",""),"(",""),")",""),"*",""),"+",""),",",""),"-",""),".",""),"/",""),":",""),";",""),"&lt;",""),"=",""),"&gt;",""),"?",""),"@",""),"[",""),"\",""),"]",""),"^",""),"_",""),"`",""),"{",""),"|",""),"}",""),"~",""),CHAR(9),""),CHAR(10),""),CHAR(13),"")," ",""),"")</f>
        <v/>
      </c>
      <c r="BS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39,47))," ",""),"!",""),CHAR(34),""),"#",""),"$",""),"%",""),"&amp;",""),"'",""),"(",""),")",""),"*",""),"+",""),",",""),"-",""),".",""),"/",""),":",""),";",""),"&lt;",""),"=",""),"&gt;",""),"?",""),"@",""),"[",""),"\",""),"]",""),"^",""),"_",""),"`",""),"{",""),"|",""),"}",""),"~",""),CHAR(9),""),CHAR(10),""),CHAR(13),"")," ",""),"")</f>
        <v/>
      </c>
      <c r="BT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39,48))," ",""),"!",""),CHAR(34),""),"#",""),"$",""),"%",""),"&amp;",""),"'",""),"(",""),")",""),"*",""),"+",""),",",""),"-",""),".",""),"/",""),":",""),";",""),"&lt;",""),"=",""),"&gt;",""),"?",""),"@",""),"[",""),"\",""),"]",""),"^",""),"_",""),"`",""),"{",""),"|",""),"}",""),"~",""),CHAR(9),""),CHAR(10),""),CHAR(13),"")," ",""),"")</f>
        <v/>
      </c>
      <c r="BU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39,49))," ",""),"!",""),CHAR(34),""),"#",""),"$",""),"%",""),"&amp;",""),"'",""),"(",""),")",""),"*",""),"+",""),",",""),"-",""),".",""),"/",""),":",""),";",""),"&lt;",""),"=",""),"&gt;",""),"?",""),"@",""),"[",""),"\",""),"]",""),"^",""),"_",""),"`",""),"{",""),"|",""),"}",""),"~",""),CHAR(9),""),CHAR(10),""),CHAR(13),"")," ",""),"")</f>
        <v/>
      </c>
      <c r="BV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39,50))," ",""),"!",""),CHAR(34),""),"#",""),"$",""),"%",""),"&amp;",""),"'",""),"(",""),")",""),"*",""),"+",""),",",""),"-",""),".",""),"/",""),":",""),";",""),"&lt;",""),"=",""),"&gt;",""),"?",""),"@",""),"[",""),"\",""),"]",""),"^",""),"_",""),"`",""),"{",""),"|",""),"}",""),"~",""),CHAR(9),""),CHAR(10),""),CHAR(13),"")," ",""),"")</f>
        <v/>
      </c>
      <c r="BW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39,51))," ",""),"!",""),CHAR(34),""),"#",""),"$",""),"%",""),"&amp;",""),"'",""),"(",""),")",""),"*",""),"+",""),",",""),"-",""),".",""),"/",""),":",""),";",""),"&lt;",""),"=",""),"&gt;",""),"?",""),"@",""),"[",""),"\",""),"]",""),"^",""),"_",""),"`",""),"{",""),"|",""),"}",""),"~",""),CHAR(9),""),CHAR(10),""),CHAR(13),"")," ",""),"")</f>
        <v/>
      </c>
      <c r="BX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39,52))," ",""),"!",""),CHAR(34),""),"#",""),"$",""),"%",""),"&amp;",""),"'",""),"(",""),")",""),"*",""),"+",""),",",""),"-",""),".",""),"/",""),":",""),";",""),"&lt;",""),"=",""),"&gt;",""),"?",""),"@",""),"[",""),"\",""),"]",""),"^",""),"_",""),"`",""),"{",""),"|",""),"}",""),"~",""),CHAR(9),""),CHAR(10),""),CHAR(13),"")," ",""),"")</f>
        <v/>
      </c>
      <c r="BY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39,53))," ",""),"!",""),CHAR(34),""),"#",""),"$",""),"%",""),"&amp;",""),"'",""),"(",""),")",""),"*",""),"+",""),",",""),"-",""),".",""),"/",""),":",""),";",""),"&lt;",""),"=",""),"&gt;",""),"?",""),"@",""),"[",""),"\",""),"]",""),"^",""),"_",""),"`",""),"{",""),"|",""),"}",""),"~",""),CHAR(9),""),CHAR(10),""),CHAR(13),"")," ",""),"")</f>
        <v/>
      </c>
      <c r="BZ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39,54))," ",""),"!",""),CHAR(34),""),"#",""),"$",""),"%",""),"&amp;",""),"'",""),"(",""),")",""),"*",""),"+",""),",",""),"-",""),".",""),"/",""),":",""),";",""),"&lt;",""),"=",""),"&gt;",""),"?",""),"@",""),"[",""),"\",""),"]",""),"^",""),"_",""),"`",""),"{",""),"|",""),"}",""),"~",""),CHAR(9),""),CHAR(10),""),CHAR(13),"")," ",""),"")</f>
        <v/>
      </c>
      <c r="CA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39,55))," ",""),"!",""),CHAR(34),""),"#",""),"$",""),"%",""),"&amp;",""),"'",""),"(",""),")",""),"*",""),"+",""),",",""),"-",""),".",""),"/",""),":",""),";",""),"&lt;",""),"=",""),"&gt;",""),"?",""),"@",""),"[",""),"\",""),"]",""),"^",""),"_",""),"`",""),"{",""),"|",""),"}",""),"~",""),CHAR(9),""),CHAR(10),""),CHAR(13),"")," ",""),"")</f>
        <v/>
      </c>
      <c r="CB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39,56))," ",""),"!",""),CHAR(34),""),"#",""),"$",""),"%",""),"&amp;",""),"'",""),"(",""),")",""),"*",""),"+",""),",",""),"-",""),".",""),"/",""),":",""),";",""),"&lt;",""),"=",""),"&gt;",""),"?",""),"@",""),"[",""),"\",""),"]",""),"^",""),"_",""),"`",""),"{",""),"|",""),"}",""),"~",""),CHAR(9),""),CHAR(10),""),CHAR(13),"")," ",""),"")</f>
        <v/>
      </c>
      <c r="CC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39,57))," ",""),"!",""),CHAR(34),""),"#",""),"$",""),"%",""),"&amp;",""),"'",""),"(",""),")",""),"*",""),"+",""),",",""),"-",""),".",""),"/",""),":",""),";",""),"&lt;",""),"=",""),"&gt;",""),"?",""),"@",""),"[",""),"\",""),"]",""),"^",""),"_",""),"`",""),"{",""),"|",""),"}",""),"~",""),CHAR(9),""),CHAR(10),""),CHAR(13),"")," ",""),"")</f>
        <v/>
      </c>
      <c r="CD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39,58))," ",""),"!",""),CHAR(34),""),"#",""),"$",""),"%",""),"&amp;",""),"'",""),"(",""),")",""),"*",""),"+",""),",",""),"-",""),".",""),"/",""),":",""),";",""),"&lt;",""),"=",""),"&gt;",""),"?",""),"@",""),"[",""),"\",""),"]",""),"^",""),"_",""),"`",""),"{",""),"|",""),"}",""),"~",""),CHAR(9),""),CHAR(10),""),CHAR(13),"")," ",""),"")</f>
        <v/>
      </c>
      <c r="CE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39,59))," ",""),"!",""),CHAR(34),""),"#",""),"$",""),"%",""),"&amp;",""),"'",""),"(",""),")",""),"*",""),"+",""),",",""),"-",""),".",""),"/",""),":",""),";",""),"&lt;",""),"=",""),"&gt;",""),"?",""),"@",""),"[",""),"\",""),"]",""),"^",""),"_",""),"`",""),"{",""),"|",""),"}",""),"~",""),CHAR(9),""),CHAR(10),""),CHAR(13),"")," ",""),"")</f>
        <v/>
      </c>
      <c r="CF43">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39,60))," ",""),"!",""),CHAR(34),""),"#",""),"$",""),"%",""),"&amp;",""),"'",""),"(",""),")",""),"*",""),"+",""),",",""),"-",""),".",""),"/",""),":",""),";",""),"&lt;",""),"=",""),"&gt;",""),"?",""),"@",""),"[",""),"\",""),"]",""),"^",""),"_",""),"`",""),"{",""),"|",""),"}",""),"~",""),CHAR(9),""),CHAR(10),""),CHAR(13),"")," ",""),"")</f>
        <v/>
      </c>
      <c r="CH43">
        <f>COUNTIF($Y88:$CF88,"&gt;0")</f>
        <v/>
      </c>
      <c r="CI43">
        <f>COUNTIF($Y88:$CF88,2)</f>
        <v/>
      </c>
      <c r="CJ43">
        <f>SUMPRODUCT((COUNTIF($Y133:$CF133,{1,2,3,4,5,6,7,8,9,10,11,12,13,14,15})&gt;0)*{2,4,8,16,32,64,128,256,512,1024,2048,4096,8192,16384,32768})</f>
        <v/>
      </c>
      <c r="CK43">
        <f>CF223</f>
        <v/>
      </c>
      <c r="CL43">
        <f>SUMPRODUCT(MOD(INT(((CJ43+CK43))/{2,4,8,16,32,64,128,256,512,1024,2048,4096,8192,16384,32768}),2))</f>
        <v/>
      </c>
      <c r="CM43">
        <f>IF(CH43&lt;2,-9999,CL43+2*MOD(INT(((CJ43+CK43))/2),2)+2*MOD(INT(((CJ43+CK43))/4),2)-CI43)</f>
        <v/>
      </c>
      <c r="DA43" t="n">
        <v>39</v>
      </c>
      <c r="DB43">
        <f>IF($B$37=0,"",IFERROR(TRIM(SUBSTITUTE(SUBSTITUTE(SUBSTITUTE(SUBSTITUTE(INDEX(PASTE_ALL,39,$B$37)," "," "),CHAR(9)," "),CHAR(10)," "),CHAR(13)," ")),""))</f>
        <v/>
      </c>
      <c r="DC43">
        <f>IF(AND(39&gt;HEADER_ROW,UPPER(DB43)="LEGEND"),1,0)</f>
        <v/>
      </c>
      <c r="DE43" t="n">
        <v>39</v>
      </c>
      <c r="DF43">
        <f>HEADER_ROW+$DE43</f>
        <v/>
      </c>
      <c r="DG43">
        <f>IF(AND($DF43&lt;=1000,$DF43&lt;$B$8),1,0)</f>
        <v/>
      </c>
      <c r="DH43">
        <f>IF($DG43=1,IFERROR(INDEX($DB$5:$DB$1004,$DF43),""),"")</f>
        <v/>
      </c>
      <c r="DI43">
        <f>IF(AND($DG43=1,$DH43&lt;&gt;""),IFERROR(SUBSTITUTE(SUBSTITUTE(TRIM(SUBSTITUTE(SUBSTITUTE(SUBSTITUTE(SUBSTITUTE(IFERROR(INDEX(PASTE_ALL,$DF43,1)&amp;"","")&amp;"␟"&amp;IFERROR(INDEX(PASTE_ALL,$DF43,2)&amp;"","")&amp;"␟"&amp;IFERROR(INDEX(PASTE_ALL,$DF43,3)&amp;"","")&amp;"␟"&amp;IFERROR(INDEX(PASTE_ALL,$DF43,4)&amp;"","")&amp;"␟"&amp;IFERROR(INDEX(PASTE_ALL,$DF43,5)&amp;"","")&amp;"␟"&amp;IFERROR(INDEX(PASTE_ALL,$DF43,6)&amp;"","")&amp;"␟"&amp;IFERROR(INDEX(PASTE_ALL,$DF43,7)&amp;"","")&amp;"␟"&amp;IFERROR(INDEX(PASTE_ALL,$DF43,8)&amp;"","")&amp;"␟"&amp;IFERROR(INDEX(PASTE_ALL,$DF43,9)&amp;"","")&amp;"␟"&amp;IFERROR(INDEX(PASTE_ALL,$DF43,10)&amp;"","")&amp;"␟"&amp;IFERROR(INDEX(PASTE_ALL,$DF43,11)&amp;"","")&amp;"␟"&amp;IFERROR(INDEX(PASTE_ALL,$DF43,12)&amp;"","")&amp;"␟"&amp;IFERROR(INDEX(PASTE_ALL,$DF43,13)&amp;"","")&amp;"␟"&amp;IFERROR(INDEX(PASTE_ALL,$DF43,14)&amp;"","")&amp;"␟"&amp;IFERROR(INDEX(PASTE_ALL,$DF43,15)&amp;"","")&amp;"␟"&amp;IFERROR(INDEX(PASTE_ALL,$DF43,16)&amp;"","")&amp;"␟"&amp;IFERROR(INDEX(PASTE_ALL,$DF43,17)&amp;"","")&amp;"␟"&amp;IFERROR(INDEX(PASTE_ALL,$DF43,18)&amp;"","")&amp;"␟"&amp;IFERROR(INDEX(PASTE_ALL,$DF43,19)&amp;"","")&amp;"␟"&amp;IFERROR(INDEX(PASTE_ALL,$DF43,20)&amp;"","")&amp;"␟"&amp;IFERROR(INDEX(PASTE_ALL,$DF43,21)&amp;"","")&amp;"␟"&amp;IFERROR(INDEX(PASTE_ALL,$DF43,22)&amp;"","")&amp;"␟"&amp;IFERROR(INDEX(PASTE_ALL,$DF43,23)&amp;"","")&amp;"␟"&amp;IFERROR(INDEX(PASTE_ALL,$DF43,24)&amp;"","")&amp;"␟"&amp;IFERROR(INDEX(PASTE_ALL,$DF43,25)&amp;"","")&amp;"␟"&amp;IFERROR(INDEX(PASTE_ALL,$DF43,26)&amp;"","")&amp;"␟"&amp;IFERROR(INDEX(PASTE_ALL,$DF43,27)&amp;"","")&amp;"␟"&amp;IFERROR(INDEX(PASTE_ALL,$DF43,28)&amp;"","")&amp;"␟"&amp;IFERROR(INDEX(PASTE_ALL,$DF43,29)&amp;"","")&amp;"␟"&amp;IFERROR(INDEX(PASTE_ALL,$DF43,30)&amp;"","")&amp;"␟"&amp;IFERROR(INDEX(PASTE_ALL,$DF43,31)&amp;"","")&amp;"␟"&amp;IFERROR(INDEX(PASTE_ALL,$DF43,32)&amp;"","")&amp;"␟"&amp;IFERROR(INDEX(PASTE_ALL,$DF43,33)&amp;"","")&amp;"␟"&amp;IFERROR(INDEX(PASTE_ALL,$DF43,34)&amp;"","")&amp;"␟"&amp;IFERROR(INDEX(PASTE_ALL,$DF43,35)&amp;"","")&amp;"␟"&amp;IFERROR(INDEX(PASTE_ALL,$DF43,36)&amp;"","")&amp;"␟"&amp;IFERROR(INDEX(PASTE_ALL,$DF43,37)&amp;"","")&amp;"␟"&amp;IFERROR(INDEX(PASTE_ALL,$DF43,38)&amp;"","")&amp;"␟"&amp;IFERROR(INDEX(PASTE_ALL,$DF43,39)&amp;"","")&amp;"␟"&amp;IFERROR(INDEX(PASTE_ALL,$DF43,40)&amp;"","")&amp;"␟"&amp;IFERROR(INDEX(PASTE_ALL,$DF43,41)&amp;"","")&amp;"␟"&amp;IFERROR(INDEX(PASTE_ALL,$DF43,42)&amp;"","")&amp;"␟"&amp;IFERROR(INDEX(PASTE_ALL,$DF43,43)&amp;"","")&amp;"␟"&amp;IFERROR(INDEX(PASTE_ALL,$DF43,44)&amp;"","")&amp;"␟"&amp;IFERROR(INDEX(PASTE_ALL,$DF43,45)&amp;"","")&amp;"␟"&amp;IFERROR(INDEX(PASTE_ALL,$DF43,46)&amp;"","")&amp;"␟"&amp;IFERROR(INDEX(PASTE_ALL,$DF43,47)&amp;"","")&amp;"␟"&amp;IFERROR(INDEX(PASTE_ALL,$DF43,48)&amp;"","")&amp;"␟"&amp;IFERROR(INDEX(PASTE_ALL,$DF43,49)&amp;"","")&amp;"␟"&amp;IFERROR(INDEX(PASTE_ALL,$DF43,50)&amp;"","")&amp;"␟"&amp;IFERROR(INDEX(PASTE_ALL,$DF43,51)&amp;"","")&amp;"␟"&amp;IFERROR(INDEX(PASTE_ALL,$DF43,52)&amp;"","")&amp;"␟"&amp;IFERROR(INDEX(PASTE_ALL,$DF43,53)&amp;"","")&amp;"␟"&amp;IFERROR(INDEX(PASTE_ALL,$DF43,54)&amp;"","")&amp;"␟"&amp;IFERROR(INDEX(PASTE_ALL,$DF43,55)&amp;"","")&amp;"␟"&amp;IFERROR(INDEX(PASTE_ALL,$DF43,56)&amp;"","")&amp;"␟"&amp;IFERROR(INDEX(PASTE_ALL,$DF43,57)&amp;"","")&amp;"␟"&amp;IFERROR(INDEX(PASTE_ALL,$DF43,58)&amp;"","")&amp;"␟"&amp;IFERROR(INDEX(PASTE_ALL,$DF43,59)&amp;"","")&amp;"␟"&amp;IFERROR(INDEX(PASTE_ALL,$DF43,60)&amp;"","")," "," "),CHAR(9)," "),CHAR(10)," "),CHAR(13)," "))," ␟","␟"),"␟ ","␟"),"#"&amp;$DE43),"")</f>
        <v/>
      </c>
      <c r="DJ43">
        <f>IF($DI43="",0,IF(SUMPRODUCT(--EXACT($DI$4:DI42,$DI43))&gt;0,1,0))</f>
        <v/>
      </c>
      <c r="DK43">
        <f>IF(AND($DI43&lt;&gt;"",$DJ43=0),1,0)</f>
        <v/>
      </c>
      <c r="DL43">
        <f>DL42+$DK43</f>
        <v/>
      </c>
      <c r="DM43">
        <f>IF(AND($DK43=1,$DL43&lt;=600),1,0)</f>
        <v/>
      </c>
      <c r="DN43">
        <f>IF($DM43=0,"",IF($L$6=0,"",IFERROR(IF(ISNUMBER(INDEX(PASTE_ALL,$DF43,$L$6)),INDEX(PASTE_ALL,$DF43,$L$6),TRIM(SUBSTITUTE(SUBSTITUTE(SUBSTITUTE(SUBSTITUTE(INDEX(PASTE_ALL,$DF43,$L$6)," "," "),CHAR(9)," "),CHAR(10)," "),CHAR(13)," "))),"")))</f>
        <v/>
      </c>
      <c r="DO43">
        <f>IF($DM43=0,"",IF($L$7=0,"",IFERROR(IF(ISNUMBER(INDEX(PASTE_ALL,$DF43,$L$7)),INDEX(PASTE_ALL,$DF43,$L$7),TRIM(SUBSTITUTE(SUBSTITUTE(SUBSTITUTE(SUBSTITUTE(INDEX(PASTE_ALL,$DF43,$L$7)," "," "),CHAR(9)," "),CHAR(10)," "),CHAR(13)," "))),"")))</f>
        <v/>
      </c>
      <c r="DP43">
        <f>IF($DM43=0,"",IF($L$8=0,"",IFERROR(IF(ISNUMBER(INDEX(PASTE_ALL,$DF43,$L$8)),INDEX(PASTE_ALL,$DF43,$L$8),TRIM(SUBSTITUTE(SUBSTITUTE(SUBSTITUTE(SUBSTITUTE(INDEX(PASTE_ALL,$DF43,$L$8)," "," "),CHAR(9)," "),CHAR(10)," "),CHAR(13)," "))),"")))</f>
        <v/>
      </c>
      <c r="DQ43">
        <f>IF($DM43=0,"",IF($L$9=0,"",IFERROR(IF(ISNUMBER(INDEX(PASTE_ALL,$DF43,$L$9)),INDEX(PASTE_ALL,$DF43,$L$9),TRIM(SUBSTITUTE(SUBSTITUTE(SUBSTITUTE(SUBSTITUTE(INDEX(PASTE_ALL,$DF43,$L$9)," "," "),CHAR(9)," "),CHAR(10)," "),CHAR(13)," "))),"")))</f>
        <v/>
      </c>
      <c r="DR43">
        <f>IF($DM43=0,"",IF($L$10=0,"",IFERROR(IF(ISNUMBER(INDEX(PASTE_ALL,$DF43,$L$10)),INDEX(PASTE_ALL,$DF43,$L$10),TRIM(SUBSTITUTE(SUBSTITUTE(SUBSTITUTE(SUBSTITUTE(INDEX(PASTE_ALL,$DF43,$L$10)," "," "),CHAR(9)," "),CHAR(10)," "),CHAR(13)," "))),"")))</f>
        <v/>
      </c>
      <c r="DS43">
        <f>IF($DM43=0,"",IF($L$11=0,"",IFERROR(IF(ISNUMBER(INDEX(PASTE_ALL,$DF43,$L$11)),INDEX(PASTE_ALL,$DF43,$L$11),TRIM(SUBSTITUTE(SUBSTITUTE(SUBSTITUTE(SUBSTITUTE(INDEX(PASTE_ALL,$DF43,$L$11)," "," "),CHAR(9)," "),CHAR(10)," "),CHAR(13)," "))),"")))</f>
        <v/>
      </c>
      <c r="DT43">
        <f>IF($DM43=0,"",IF($L$12=0,"",IFERROR(IF(ISNUMBER(INDEX(PASTE_ALL,$DF43,$L$12)),INDEX(PASTE_ALL,$DF43,$L$12),TRIM(SUBSTITUTE(SUBSTITUTE(SUBSTITUTE(SUBSTITUTE(INDEX(PASTE_ALL,$DF43,$L$12)," "," "),CHAR(9)," "),CHAR(10)," "),CHAR(13)," "))),"")))</f>
        <v/>
      </c>
      <c r="DU43">
        <f>IF($DM43=0,"",IF($L$13=0,"",IFERROR(IF(ISNUMBER(INDEX(PASTE_ALL,$DF43,$L$13)),INDEX(PASTE_ALL,$DF43,$L$13),TRIM(SUBSTITUTE(SUBSTITUTE(SUBSTITUTE(SUBSTITUTE(INDEX(PASTE_ALL,$DF43,$L$13)," "," "),CHAR(9)," "),CHAR(10)," "),CHAR(13)," "))),"")))</f>
        <v/>
      </c>
      <c r="DV43">
        <f>IF($DM43=0,"",IF($L$14=0,"",IFERROR(IF(ISNUMBER(INDEX(PASTE_ALL,$DF43,$L$14)),INDEX(PASTE_ALL,$DF43,$L$14),TRIM(SUBSTITUTE(SUBSTITUTE(SUBSTITUTE(SUBSTITUTE(INDEX(PASTE_ALL,$DF43,$L$14)," "," "),CHAR(9)," "),CHAR(10)," "),CHAR(13)," "))),"")))</f>
        <v/>
      </c>
      <c r="DW43">
        <f>IF($DM43=0,"",IF($L$15=0,"",IFERROR(IF(ISNUMBER(INDEX(PASTE_ALL,$DF43,$L$15)),INDEX(PASTE_ALL,$DF43,$L$15),IF(SUMPRODUCT(--ISNUMBER(FIND({"A","B","C","D","E","F","G","H","I","J","K","L","M","N","O","P","Q","R","S","T","U","V","W","X","Y","Z","0","1","2","3","4","5","6","7","8","9"},UPPER(TRIM(SUBSTITUTE(SUBSTITUTE(SUBSTITUTE(SUBSTITUTE(INDEX(PASTE_ALL,$DF43,$L$15)," "," "),CHAR(9)," "),CHAR(10)," "),CHAR(13)," "))))))&gt;0,TRIM(SUBSTITUTE(SUBSTITUTE(SUBSTITUTE(SUBSTITUTE(INDEX(PASTE_ALL,$DF43,$L$15)," "," "),CHAR(9)," "),CHAR(10)," "),CHAR(13)," ")),"")),"")))</f>
        <v/>
      </c>
      <c r="DX43">
        <f>IF($DM43=0,"",IF($L$16=0,"",IFERROR(IF(ISNUMBER(INDEX(PASTE_ALL,$DF43,$L$16)),INDEX(PASTE_ALL,$DF43,$L$16),SUBSTITUTE(SUBSTITUTE(TRIM(SUBSTITUTE(SUBSTITUTE(SUBSTITUTE(SUBSTITUTE(INDEX(PASTE_ALL,$DF43,$L$16)," "," "),CHAR(9)," "),CHAR(10)," "),CHAR(13)," ")),",",""),"%","")),"")))</f>
        <v/>
      </c>
      <c r="DY43">
        <f>IF($DM43=0,"",IFERROR(IF(ISNUMBER($DX43),$DX43,IF($DX43="","",IF(TRIM($DX43)="",0,IF(AND(AND(SUBSTITUTE(SUBSTITUTE(SUBSTITUTE(SUBSTITUTE(SUBSTITUTE(SUBSTITUTE(SUBSTITUTE(SUBSTITUTE(SUBSTITUTE(SUBSTITUTE(SUBSTITUTE(SUBSTITUTE(SUBSTITUTE(SUBSTITUTE(UPPER(TRIM($DX43)),"0",""),"1",""),"2",""),"3",""),"4",""),"5",""),"6",""),"7",""),"8",""),"9",""),".",""),"+",""),"-",""),"E","")="",LEN(SUBSTITUTE(SUBSTITUTE(MID(UPPER(TRIM($DX43)),1+OR(LEFT(UPPER(TRIM($DX43)),1)="+",LEFT(UPPER(TRIM($DX43)),1)="-"),999),"E+","E"),"E-","E"))=LEN(SUBSTITUTE(SUBSTITUTE(SUBSTITUTE(SUBSTITUTE(MID(UPPER(TRIM($DX43)),1+OR(LEFT(UPPER(TRIM($DX43)),1)="+",LEFT(UPPER(TRIM($DX43)),1)="-"),999),"E+","E"),"E-","E"),"+",""),"-","")),LEN(UPPER(TRIM($DX43)))-LEN(SUBSTITUTE(UPPER(TRIM($DX43)),"E",""))&lt;2,LEN(UPPER(TRIM($DX43)))-LEN(SUBSTITUTE(UPPER(TRIM($DX43)),".",""))&lt;2,IFERROR(FIND(".",UPPER(TRIM($DX43))),0)&lt;IFERROR(FIND("E",UPPER(TRIM($DX43))),999)),ISNUMBER(VALUE(TRIM($DX43)))),VALUE(TRIM($DX43)),"")))),""))</f>
        <v/>
      </c>
      <c r="DZ43">
        <f>IF($DM43=0,"",IF($L$17=0,"",IFERROR(IF(ISNUMBER(INDEX(PASTE_ALL,$DF43,$L$17)),INDEX(PASTE_ALL,$DF43,$L$17),SUBSTITUTE(SUBSTITUTE(TRIM(SUBSTITUTE(SUBSTITUTE(SUBSTITUTE(SUBSTITUTE(INDEX(PASTE_ALL,$DF43,$L$17)," "," "),CHAR(9)," "),CHAR(10)," "),CHAR(13)," ")),",",""),"%","")),"")))</f>
        <v/>
      </c>
      <c r="EA43">
        <f>IF($DM43=0,"",IFERROR(IF(ISNUMBER($DZ43),$DZ43,IF($DZ43="","",IF(TRIM($DZ43)="",0,IF(AND(AND(SUBSTITUTE(SUBSTITUTE(SUBSTITUTE(SUBSTITUTE(SUBSTITUTE(SUBSTITUTE(SUBSTITUTE(SUBSTITUTE(SUBSTITUTE(SUBSTITUTE(SUBSTITUTE(SUBSTITUTE(SUBSTITUTE(SUBSTITUTE(UPPER(TRIM($DZ43)),"0",""),"1",""),"2",""),"3",""),"4",""),"5",""),"6",""),"7",""),"8",""),"9",""),".",""),"+",""),"-",""),"E","")="",LEN(SUBSTITUTE(SUBSTITUTE(MID(UPPER(TRIM($DZ43)),1+OR(LEFT(UPPER(TRIM($DZ43)),1)="+",LEFT(UPPER(TRIM($DZ43)),1)="-"),999),"E+","E"),"E-","E"))=LEN(SUBSTITUTE(SUBSTITUTE(SUBSTITUTE(SUBSTITUTE(MID(UPPER(TRIM($DZ43)),1+OR(LEFT(UPPER(TRIM($DZ43)),1)="+",LEFT(UPPER(TRIM($DZ43)),1)="-"),999),"E+","E"),"E-","E"),"+",""),"-","")),LEN(UPPER(TRIM($DZ43)))-LEN(SUBSTITUTE(UPPER(TRIM($DZ43)),"E",""))&lt;2,LEN(UPPER(TRIM($DZ43)))-LEN(SUBSTITUTE(UPPER(TRIM($DZ43)),".",""))&lt;2,IFERROR(FIND(".",UPPER(TRIM($DZ43))),0)&lt;IFERROR(FIND("E",UPPER(TRIM($DZ43))),999)),ISNUMBER(VALUE(TRIM($DZ43)))),VALUE(TRIM($DZ43)),"")))),""))</f>
        <v/>
      </c>
      <c r="EB43">
        <f>IF($DM43=0,"",IF($L$18=0,"",IFERROR(IF(UPPER(TRIM(SUBSTITUTE(SUBSTITUTE(SUBSTITUTE(SUBSTITUTE(INDEX(PASTE_ALL,$DF43,$L$18)," "," "),CHAR(9)," "),CHAR(10)," "),CHAR(13)," ")))="READY","Ready",IF(UPPER(TRIM(SUBSTITUTE(SUBSTITUTE(SUBSTITUTE(SUBSTITUTE(INDEX(PASTE_ALL,$DF43,$L$18)," "," "),CHAR(9)," "),CHAR(10)," "),CHAR(13)," ")))="PM","PM",IF(OR(UPPER(TRIM(SUBSTITUTE(SUBSTITUTE(SUBSTITUTE(SUBSTITUTE(INDEX(PASTE_ALL,$DF43,$L$18)," "," "),CHAR(9)," "),CHAR(10)," "),CHAR(13)," ")))="OT",UPPER(TRIM(SUBSTITUTE(SUBSTITUTE(SUBSTITUTE(SUBSTITUTE(INDEX(PASTE_ALL,$DF43,$L$18)," "," "),CHAR(9)," "),CHAR(10)," "),CHAR(13)," ")))="OVERTIME",UPPER(TRIM(SUBSTITUTE(SUBSTITUTE(SUBSTITUTE(SUBSTITUTE(INDEX(PASTE_ALL,$DF43,$L$18)," "," "),CHAR(9)," "),CHAR(10)," "),CHAR(13)," ")))="TRIAL"),"OT",TRIM(SUBSTITUTE(SUBSTITUTE(SUBSTITUTE(SUBSTITUTE(INDEX(PASTE_ALL,$DF43,$L$18)," "," "),CHAR(9)," "),CHAR(10)," "),CHAR(13)," "))))),"")))</f>
        <v/>
      </c>
      <c r="EC43">
        <f>IF($DM43=0,"",IF($L$19=0,"",IFERROR(IF(ISNUMBER(INDEX(PASTE_ALL,$DF43,$L$19)),INDEX(PASTE_ALL,$DF43,$L$19),TRIM(SUBSTITUTE(SUBSTITUTE(SUBSTITUTE(SUBSTITUTE(INDEX(PASTE_ALL,$DF43,$L$19)," "," "),CHAR(9)," "),CHAR(10)," "),CHAR(13)," "))),"")))</f>
        <v/>
      </c>
      <c r="ED43">
        <f>IF($DM43=0,"",MATCH(1,INDEX(EXACT($DH$5:DH43,$DH43)*$DM$5:DM43,0),0))</f>
        <v/>
      </c>
      <c r="EE43">
        <f>IF($DM43=0,0,IF($ED43=$DE43,1,0))</f>
        <v/>
      </c>
      <c r="EF43">
        <f>EF42+$EE43</f>
        <v/>
      </c>
      <c r="EG43">
        <f>IF($DM43=0,"",INDEX($EF$5:$EF$1003,$ED43))</f>
        <v/>
      </c>
      <c r="EH43">
        <f>IF($DM43=0,"",IF($DO43&lt;&gt;"","",IFERROR(LOOKUP(2,1/(($EG$4:EG42=$EG43)*($DO$4:DO42&lt;&gt;"")),$DO$4:DO42),"")))</f>
        <v/>
      </c>
      <c r="EI43">
        <f>IF($DM43=0,"",IF($DO43&lt;&gt;"",$DO43,$EH43))</f>
        <v/>
      </c>
      <c r="EJ43">
        <f>IF($DM43=0,"",IF($EI43="",0,IF(OR(ISNUMBER($EI43),AND(AND(SUBSTITUTE(SUBSTITUTE(SUBSTITUTE(SUBSTITUTE(SUBSTITUTE(SUBSTITUTE(SUBSTITUTE(SUBSTITUTE(SUBSTITUTE(SUBSTITUTE(SUBSTITUTE(SUBSTITUTE(SUBSTITUTE(SUBSTITUTE(UPPER($EI43),"0",""),"1",""),"2",""),"3",""),"4",""),"5",""),"6",""),"7",""),"8",""),"9",""),".",""),"+",""),"-",""),"E","")="",LEN(SUBSTITUTE(SUBSTITUTE(MID(UPPER($EI43),1+OR(LEFT(UPPER($EI43),1)="+",LEFT(UPPER($EI43),1)="-"),999),"E+","E"),"E-","E"))=LEN(SUBSTITUTE(SUBSTITUTE(SUBSTITUTE(SUBSTITUTE(MID(UPPER($EI43),1+OR(LEFT(UPPER($EI43),1)="+",LEFT(UPPER($EI43),1)="-"),999),"E+","E"),"E-","E"),"+",""),"-","")),LEN(UPPER($EI43))-LEN(SUBSTITUTE(UPPER($EI43),"E",""))&lt;2,LEN(UPPER($EI43))-LEN(SUBSTITUTE(UPPER($EI43),".",""))&lt;2,IFERROR(FIND(".",UPPER($EI43)),0)&lt;IFERROR(FIND("E",UPPER($EI43)),999)),ISNUMBER(VALUE($EI43)))),1,2)))</f>
        <v/>
      </c>
      <c r="EK43">
        <f>IF($DM43=0,"",IF($EJ43=1,IF(ISNUMBER($EI43),$EI43,VALUE($EI43)),IF($EJ43=2,$DE43,0)))</f>
        <v/>
      </c>
      <c r="EL43">
        <f>IF($DM43=0,"",COUNTIF($EG$5:$EG$1003,"&lt;"&amp;$EG43)+SUMPRODUCT(($EG$5:$EG$1003=$EG43)*(($EJ$5:$EJ$1003&lt;$EJ43)+($EJ$5:$EJ$1003=$EJ43)*(($EK$5:$EK$1003&lt;$EK43)+($EK$5:$EK$1003=$EK43)*($DE$5:$DE$1003&lt;$DE43))))+1)</f>
        <v/>
      </c>
      <c r="EM43">
        <f>IF($DM43=0,"",$EL43+$EG43-1)</f>
        <v/>
      </c>
      <c r="EN43">
        <f>IF($DM43=0,0,IFERROR(MATCH(1,INDEX(--(TRIM(SUBSTITUTE(SUBSTITUTE(SUBSTITUTE(SUBSTITUTE(LINES_NAME&amp;""," "," "),CHAR(9)," "),CHAR(10)," "),CHAR(13)," "))=$DH43),0),0),0))</f>
        <v/>
      </c>
      <c r="EO43">
        <f>IF($EN43=0,0,IF(OR(UPPER(TRIM(INDEX(LINES_SCHEDULED,$EN43)&amp;""))="YES",UPPER(TRIM(INDEX(LINES_SCHEDULED,$EN43)&amp;""))="Y",UPPER(TRIM(INDEX(LINES_SCHEDULED,$EN43)&amp;""))="X"),1,0))</f>
        <v/>
      </c>
      <c r="EP43">
        <f>IF($DM43=0,"",IF(COUNTIFS($EG$5:$EG$1003,$EG43,$EB$5:$EB$1003,"Ready")&gt;0,"READY",IF(COUNTIFS($EG$5:$EG$1003,$EG43,$EB$5:$EB$1003,"PM")&gt;0,"PM",IF(COUNTIFS($EG$5:$EG$1003,$EG43,$EB$5:$EB$1003,"OT")&gt;0,"OT",""))))</f>
        <v/>
      </c>
      <c r="EQ43">
        <f>IF($EN43=0,"",UPPER(TRIM(INDEX(LINES_STATUS,$EN43)&amp;"")))</f>
        <v/>
      </c>
      <c r="ER43">
        <f>IF($DM43=0,"",IF(OR($EQ43="READY",$EQ43="PM",$EQ43="OT"),$EQ43,$EP43))</f>
        <v/>
      </c>
      <c r="ES43">
        <f>IF($DM43=0,"",IF(AND($DV43&lt;&gt;"",UPPER($DV43)&lt;&gt;"N"),"allergen",IF(ISNUMBER(SEARCH("oil",$DQ43)),"oil",IF(OR(EXACT($DS43,"A662"),EXACT($DS43,"A624")),"bulk",""))))</f>
        <v/>
      </c>
      <c r="ET43">
        <f>IF($DM43=0,"",IF(OR($EA43="",$EA43=0),"",$EA43/100))</f>
        <v/>
      </c>
      <c r="EU43">
        <f>IF(OR($ET43="",$DY43=""),"",INT($DY43*(1-$ET43)+0.5))</f>
        <v/>
      </c>
      <c r="EW43" t="n">
        <v>39</v>
      </c>
      <c r="EX43">
        <f>IFERROR(MATCH($EW43,$EM$5:$EM$1003,0),0)</f>
        <v/>
      </c>
      <c r="EY43">
        <f>IF($EW43&gt;$B$12,"",IF($EX43&gt;0,"row","spacer"))</f>
        <v/>
      </c>
      <c r="EZ43">
        <f>IF(AND($EY43="row",$EY42&lt;&gt;"row"),1,0)</f>
        <v/>
      </c>
      <c r="FA43">
        <f>IF(AND($EY43="row",$EY44&lt;&gt;"row"),1,0)</f>
        <v/>
      </c>
      <c r="FB43">
        <f>IF($EZ43=1,IFERROR(IF(ISNUMBER(INDEX(PASTE_ALL,INDEX($DF$5:$DF$1003,$EX43),$B$37)),INDEX(PASTE_ALL,INDEX($DF$5:$DF$1003,$EX43),$B$37),INDEX($DH$5:$DH$1003,$EX43)),INDEX($DH$5:$DH$1003,$EX43)),"")</f>
        <v/>
      </c>
      <c r="FC43">
        <f>IF($EY43="row",INDEX($ER$5:$ER$1003,$EX43),"")</f>
        <v/>
      </c>
      <c r="FD43">
        <f>IF($EY43="row",INDEX($DN$5:$DN$1003,$EX43),"")</f>
        <v/>
      </c>
      <c r="FE43">
        <f>IF($EY43="row",INDEX($DO$5:$DO$1003,$EX43),"")</f>
        <v/>
      </c>
      <c r="FF43">
        <f>IF($EY43="row",INDEX($DP$5:$DP$1003,$EX43),"")</f>
        <v/>
      </c>
      <c r="FG43">
        <f>IF($EY43="row",INDEX($DQ$5:$DQ$1003,$EX43),"")</f>
        <v/>
      </c>
      <c r="FH43">
        <f>IF($EY43="row",INDEX($DR$5:$DR$1003,$EX43),"")</f>
        <v/>
      </c>
      <c r="FI43">
        <f>IF($EY43="row",INDEX($DS$5:$DS$1003,$EX43),"")</f>
        <v/>
      </c>
      <c r="FJ43">
        <f>IF($EY43="row",INDEX($DT$5:$DT$1003,$EX43),"")</f>
        <v/>
      </c>
      <c r="FK43">
        <f>IF($EY43="row",INDEX($DU$5:$DU$1003,$EX43),"")</f>
        <v/>
      </c>
      <c r="FL43">
        <f>IF($EY43="row",INDEX($DV$5:$DV$1003,$EX43),"")</f>
        <v/>
      </c>
      <c r="FM43">
        <f>IF($EY43="row",INDEX($DW$5:$DW$1003,$EX43),"")</f>
        <v/>
      </c>
      <c r="FN43">
        <f>IF($EY43="row",INDEX($DY$5:$DY$1003,$EX43),"")</f>
        <v/>
      </c>
      <c r="FO43">
        <f>IF($EY43="row",INDEX($EA$5:$EA$1003,$EX43),"")</f>
        <v/>
      </c>
      <c r="FP43">
        <f>IF($EY43="row",INDEX($EC$5:$EC$1003,$EX43),"")</f>
        <v/>
      </c>
      <c r="FQ43">
        <f>IF($EY43="row",INDEX($ET$5:$ET$1003,$EX43),"")</f>
        <v/>
      </c>
      <c r="FR43">
        <f>IF($EY43="row",INDEX($EU$5:$EU$1003,$EX43),"")</f>
        <v/>
      </c>
      <c r="FS43">
        <f>IF(AND($EY43="row",$EY42="row"),IF(OR(INDEX($DT$5:$DT$1003,$EX42)="",INDEX($DT$5:$DT$1003,$EX43)=""),"",IF(NOT(EXACT(INDEX($DT$5:$DT$1003,$EX42),INDEX($DT$5:$DT$1003,$EX43))),"S4",IF(NOT(EXACT(INDEX($DS$5:$DS$1003,$EX42),INDEX($DS$5:$DS$1003,$EX43))),"S3",IF(NOT(EXACT(INDEX($DR$5:$DR$1003,$EX42),INDEX($DR$5:$DR$1003,$EX43))),"S1 Count Change","S1")))),"")</f>
        <v/>
      </c>
      <c r="FT43">
        <f>IF($EY43="row",INDEX($ES$5:$ES$1003,$EX43),"")</f>
        <v/>
      </c>
      <c r="FU43">
        <f>IF($EY43="row",INDEX($EO$5:$EO$1003,$EX43),0)</f>
        <v/>
      </c>
      <c r="FV43">
        <f>IF($FS43="S1 Count Change",1,0)</f>
        <v/>
      </c>
      <c r="FX43" t="n">
        <v>39</v>
      </c>
      <c r="FY43">
        <f>IFERROR(MATCH($FX43,$EF$5:$EF$1003,0),0)</f>
        <v/>
      </c>
      <c r="FZ43">
        <f>IF($FY43=0,"",INDEX($DH$5:$DH$1003,$FY43))</f>
        <v/>
      </c>
      <c r="GA43">
        <f>IF($FY43=0,"",COUNTIF($EG$5:$EG$1003,$FX43))</f>
        <v/>
      </c>
      <c r="GB43">
        <f>IF($FY43=0,"",INDEX($ER$5:$ER$1003,$FY43))</f>
        <v/>
      </c>
      <c r="GC43">
        <f>IF($FY43=0,"",IF(INDEX($EO$5:$EO$1003,$FY43)=1,"Yes",""))</f>
        <v/>
      </c>
      <c r="GD43">
        <f>IF($FY43=0,"",IF(INDEX($EN$5:$EN$1003,$FY43)&gt;0,"","NOT IN YOUR LIST - type it in column A to tick it"))</f>
        <v/>
      </c>
      <c r="GE43">
        <f>IF(AND($FY43&gt;0,$GD43&lt;&gt;""),1,0)</f>
        <v/>
      </c>
      <c r="GF43">
        <f>GF42+$GE43</f>
        <v/>
      </c>
      <c r="GG43">
        <f>IFERROR(INDEX($FZ$5:$FZ$104,MATCH($FX43,$GF$5:$GF$104,0)),"")</f>
        <v/>
      </c>
    </row>
    <row r="44">
      <c r="S44" t="n">
        <v>40</v>
      </c>
      <c r="T44" t="inlineStr">
        <is>
          <t>AN</t>
        </is>
      </c>
      <c r="V44" t="inlineStr">
        <is>
          <t>BOTTLECOUNT</t>
        </is>
      </c>
      <c r="W44" t="n">
        <v>6</v>
      </c>
      <c r="Y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 ",""),"!",""),CHAR(34),""),"#",""),"$",""),"%",""),"&amp;",""),"'",""),"(",""),")",""),"*",""),"+",""),",",""),"-",""),".",""),"/",""),":",""),";",""),"&lt;",""),"=",""),"&gt;",""),"?",""),"@",""),"[",""),"\",""),"]",""),"^",""),"_",""),"`",""),"{",""),"|",""),"}",""),"~",""),CHAR(9),""),CHAR(10),""),CHAR(13),"")," ",""),"")</f>
        <v/>
      </c>
      <c r="Z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 ",""),"!",""),CHAR(34),""),"#",""),"$",""),"%",""),"&amp;",""),"'",""),"(",""),")",""),"*",""),"+",""),",",""),"-",""),".",""),"/",""),":",""),";",""),"&lt;",""),"=",""),"&gt;",""),"?",""),"@",""),"[",""),"\",""),"]",""),"^",""),"_",""),"`",""),"{",""),"|",""),"}",""),"~",""),CHAR(9),""),CHAR(10),""),CHAR(13),"")," ",""),"")</f>
        <v/>
      </c>
      <c r="AA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 ",""),"!",""),CHAR(34),""),"#",""),"$",""),"%",""),"&amp;",""),"'",""),"(",""),")",""),"*",""),"+",""),",",""),"-",""),".",""),"/",""),":",""),";",""),"&lt;",""),"=",""),"&gt;",""),"?",""),"@",""),"[",""),"\",""),"]",""),"^",""),"_",""),"`",""),"{",""),"|",""),"}",""),"~",""),CHAR(9),""),CHAR(10),""),CHAR(13),"")," ",""),"")</f>
        <v/>
      </c>
      <c r="AB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 ",""),"!",""),CHAR(34),""),"#",""),"$",""),"%",""),"&amp;",""),"'",""),"(",""),")",""),"*",""),"+",""),",",""),"-",""),".",""),"/",""),":",""),";",""),"&lt;",""),"=",""),"&gt;",""),"?",""),"@",""),"[",""),"\",""),"]",""),"^",""),"_",""),"`",""),"{",""),"|",""),"}",""),"~",""),CHAR(9),""),CHAR(10),""),CHAR(13),"")," ",""),"")</f>
        <v/>
      </c>
      <c r="AC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 ",""),"!",""),CHAR(34),""),"#",""),"$",""),"%",""),"&amp;",""),"'",""),"(",""),")",""),"*",""),"+",""),",",""),"-",""),".",""),"/",""),":",""),";",""),"&lt;",""),"=",""),"&gt;",""),"?",""),"@",""),"[",""),"\",""),"]",""),"^",""),"_",""),"`",""),"{",""),"|",""),"}",""),"~",""),CHAR(9),""),CHAR(10),""),CHAR(13),"")," ",""),"")</f>
        <v/>
      </c>
      <c r="AD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40,6))," ",""),"!",""),CHAR(34),""),"#",""),"$",""),"%",""),"&amp;",""),"'",""),"(",""),")",""),"*",""),"+",""),",",""),"-",""),".",""),"/",""),":",""),";",""),"&lt;",""),"=",""),"&gt;",""),"?",""),"@",""),"[",""),"\",""),"]",""),"^",""),"_",""),"`",""),"{",""),"|",""),"}",""),"~",""),CHAR(9),""),CHAR(10),""),CHAR(13),"")," ",""),"")</f>
        <v/>
      </c>
      <c r="AE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40,7))," ",""),"!",""),CHAR(34),""),"#",""),"$",""),"%",""),"&amp;",""),"'",""),"(",""),")",""),"*",""),"+",""),",",""),"-",""),".",""),"/",""),":",""),";",""),"&lt;",""),"=",""),"&gt;",""),"?",""),"@",""),"[",""),"\",""),"]",""),"^",""),"_",""),"`",""),"{",""),"|",""),"}",""),"~",""),CHAR(9),""),CHAR(10),""),CHAR(13),"")," ",""),"")</f>
        <v/>
      </c>
      <c r="AF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40,8))," ",""),"!",""),CHAR(34),""),"#",""),"$",""),"%",""),"&amp;",""),"'",""),"(",""),")",""),"*",""),"+",""),",",""),"-",""),".",""),"/",""),":",""),";",""),"&lt;",""),"=",""),"&gt;",""),"?",""),"@",""),"[",""),"\",""),"]",""),"^",""),"_",""),"`",""),"{",""),"|",""),"}",""),"~",""),CHAR(9),""),CHAR(10),""),CHAR(13),"")," ",""),"")</f>
        <v/>
      </c>
      <c r="AG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40,9))," ",""),"!",""),CHAR(34),""),"#",""),"$",""),"%",""),"&amp;",""),"'",""),"(",""),")",""),"*",""),"+",""),",",""),"-",""),".",""),"/",""),":",""),";",""),"&lt;",""),"=",""),"&gt;",""),"?",""),"@",""),"[",""),"\",""),"]",""),"^",""),"_",""),"`",""),"{",""),"|",""),"}",""),"~",""),CHAR(9),""),CHAR(10),""),CHAR(13),"")," ",""),"")</f>
        <v/>
      </c>
      <c r="AH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40,10))," ",""),"!",""),CHAR(34),""),"#",""),"$",""),"%",""),"&amp;",""),"'",""),"(",""),")",""),"*",""),"+",""),",",""),"-",""),".",""),"/",""),":",""),";",""),"&lt;",""),"=",""),"&gt;",""),"?",""),"@",""),"[",""),"\",""),"]",""),"^",""),"_",""),"`",""),"{",""),"|",""),"}",""),"~",""),CHAR(9),""),CHAR(10),""),CHAR(13),"")," ",""),"")</f>
        <v/>
      </c>
      <c r="AI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40,11))," ",""),"!",""),CHAR(34),""),"#",""),"$",""),"%",""),"&amp;",""),"'",""),"(",""),")",""),"*",""),"+",""),",",""),"-",""),".",""),"/",""),":",""),";",""),"&lt;",""),"=",""),"&gt;",""),"?",""),"@",""),"[",""),"\",""),"]",""),"^",""),"_",""),"`",""),"{",""),"|",""),"}",""),"~",""),CHAR(9),""),CHAR(10),""),CHAR(13),"")," ",""),"")</f>
        <v/>
      </c>
      <c r="AJ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40,12))," ",""),"!",""),CHAR(34),""),"#",""),"$",""),"%",""),"&amp;",""),"'",""),"(",""),")",""),"*",""),"+",""),",",""),"-",""),".",""),"/",""),":",""),";",""),"&lt;",""),"=",""),"&gt;",""),"?",""),"@",""),"[",""),"\",""),"]",""),"^",""),"_",""),"`",""),"{",""),"|",""),"}",""),"~",""),CHAR(9),""),CHAR(10),""),CHAR(13),"")," ",""),"")</f>
        <v/>
      </c>
      <c r="AK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40,13))," ",""),"!",""),CHAR(34),""),"#",""),"$",""),"%",""),"&amp;",""),"'",""),"(",""),")",""),"*",""),"+",""),",",""),"-",""),".",""),"/",""),":",""),";",""),"&lt;",""),"=",""),"&gt;",""),"?",""),"@",""),"[",""),"\",""),"]",""),"^",""),"_",""),"`",""),"{",""),"|",""),"}",""),"~",""),CHAR(9),""),CHAR(10),""),CHAR(13),"")," ",""),"")</f>
        <v/>
      </c>
      <c r="AL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40,14))," ",""),"!",""),CHAR(34),""),"#",""),"$",""),"%",""),"&amp;",""),"'",""),"(",""),")",""),"*",""),"+",""),",",""),"-",""),".",""),"/",""),":",""),";",""),"&lt;",""),"=",""),"&gt;",""),"?",""),"@",""),"[",""),"\",""),"]",""),"^",""),"_",""),"`",""),"{",""),"|",""),"}",""),"~",""),CHAR(9),""),CHAR(10),""),CHAR(13),"")," ",""),"")</f>
        <v/>
      </c>
      <c r="AM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40,15))," ",""),"!",""),CHAR(34),""),"#",""),"$",""),"%",""),"&amp;",""),"'",""),"(",""),")",""),"*",""),"+",""),",",""),"-",""),".",""),"/",""),":",""),";",""),"&lt;",""),"=",""),"&gt;",""),"?",""),"@",""),"[",""),"\",""),"]",""),"^",""),"_",""),"`",""),"{",""),"|",""),"}",""),"~",""),CHAR(9),""),CHAR(10),""),CHAR(13),"")," ",""),"")</f>
        <v/>
      </c>
      <c r="AN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40,16))," ",""),"!",""),CHAR(34),""),"#",""),"$",""),"%",""),"&amp;",""),"'",""),"(",""),")",""),"*",""),"+",""),",",""),"-",""),".",""),"/",""),":",""),";",""),"&lt;",""),"=",""),"&gt;",""),"?",""),"@",""),"[",""),"\",""),"]",""),"^",""),"_",""),"`",""),"{",""),"|",""),"}",""),"~",""),CHAR(9),""),CHAR(10),""),CHAR(13),"")," ",""),"")</f>
        <v/>
      </c>
      <c r="AO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40,17))," ",""),"!",""),CHAR(34),""),"#",""),"$",""),"%",""),"&amp;",""),"'",""),"(",""),")",""),"*",""),"+",""),",",""),"-",""),".",""),"/",""),":",""),";",""),"&lt;",""),"=",""),"&gt;",""),"?",""),"@",""),"[",""),"\",""),"]",""),"^",""),"_",""),"`",""),"{",""),"|",""),"}",""),"~",""),CHAR(9),""),CHAR(10),""),CHAR(13),"")," ",""),"")</f>
        <v/>
      </c>
      <c r="AP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40,18))," ",""),"!",""),CHAR(34),""),"#",""),"$",""),"%",""),"&amp;",""),"'",""),"(",""),")",""),"*",""),"+",""),",",""),"-",""),".",""),"/",""),":",""),";",""),"&lt;",""),"=",""),"&gt;",""),"?",""),"@",""),"[",""),"\",""),"]",""),"^",""),"_",""),"`",""),"{",""),"|",""),"}",""),"~",""),CHAR(9),""),CHAR(10),""),CHAR(13),"")," ",""),"")</f>
        <v/>
      </c>
      <c r="AQ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40,19))," ",""),"!",""),CHAR(34),""),"#",""),"$",""),"%",""),"&amp;",""),"'",""),"(",""),")",""),"*",""),"+",""),",",""),"-",""),".",""),"/",""),":",""),";",""),"&lt;",""),"=",""),"&gt;",""),"?",""),"@",""),"[",""),"\",""),"]",""),"^",""),"_",""),"`",""),"{",""),"|",""),"}",""),"~",""),CHAR(9),""),CHAR(10),""),CHAR(13),"")," ",""),"")</f>
        <v/>
      </c>
      <c r="AR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40,20))," ",""),"!",""),CHAR(34),""),"#",""),"$",""),"%",""),"&amp;",""),"'",""),"(",""),")",""),"*",""),"+",""),",",""),"-",""),".",""),"/",""),":",""),";",""),"&lt;",""),"=",""),"&gt;",""),"?",""),"@",""),"[",""),"\",""),"]",""),"^",""),"_",""),"`",""),"{",""),"|",""),"}",""),"~",""),CHAR(9),""),CHAR(10),""),CHAR(13),"")," ",""),"")</f>
        <v/>
      </c>
      <c r="AS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40,21))," ",""),"!",""),CHAR(34),""),"#",""),"$",""),"%",""),"&amp;",""),"'",""),"(",""),")",""),"*",""),"+",""),",",""),"-",""),".",""),"/",""),":",""),";",""),"&lt;",""),"=",""),"&gt;",""),"?",""),"@",""),"[",""),"\",""),"]",""),"^",""),"_",""),"`",""),"{",""),"|",""),"}",""),"~",""),CHAR(9),""),CHAR(10),""),CHAR(13),"")," ",""),"")</f>
        <v/>
      </c>
      <c r="AT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40,22))," ",""),"!",""),CHAR(34),""),"#",""),"$",""),"%",""),"&amp;",""),"'",""),"(",""),")",""),"*",""),"+",""),",",""),"-",""),".",""),"/",""),":",""),";",""),"&lt;",""),"=",""),"&gt;",""),"?",""),"@",""),"[",""),"\",""),"]",""),"^",""),"_",""),"`",""),"{",""),"|",""),"}",""),"~",""),CHAR(9),""),CHAR(10),""),CHAR(13),"")," ",""),"")</f>
        <v/>
      </c>
      <c r="AU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40,23))," ",""),"!",""),CHAR(34),""),"#",""),"$",""),"%",""),"&amp;",""),"'",""),"(",""),")",""),"*",""),"+",""),",",""),"-",""),".",""),"/",""),":",""),";",""),"&lt;",""),"=",""),"&gt;",""),"?",""),"@",""),"[",""),"\",""),"]",""),"^",""),"_",""),"`",""),"{",""),"|",""),"}",""),"~",""),CHAR(9),""),CHAR(10),""),CHAR(13),"")," ",""),"")</f>
        <v/>
      </c>
      <c r="AV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40,24))," ",""),"!",""),CHAR(34),""),"#",""),"$",""),"%",""),"&amp;",""),"'",""),"(",""),")",""),"*",""),"+",""),",",""),"-",""),".",""),"/",""),":",""),";",""),"&lt;",""),"=",""),"&gt;",""),"?",""),"@",""),"[",""),"\",""),"]",""),"^",""),"_",""),"`",""),"{",""),"|",""),"}",""),"~",""),CHAR(9),""),CHAR(10),""),CHAR(13),"")," ",""),"")</f>
        <v/>
      </c>
      <c r="AW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40,25))," ",""),"!",""),CHAR(34),""),"#",""),"$",""),"%",""),"&amp;",""),"'",""),"(",""),")",""),"*",""),"+",""),",",""),"-",""),".",""),"/",""),":",""),";",""),"&lt;",""),"=",""),"&gt;",""),"?",""),"@",""),"[",""),"\",""),"]",""),"^",""),"_",""),"`",""),"{",""),"|",""),"}",""),"~",""),CHAR(9),""),CHAR(10),""),CHAR(13),"")," ",""),"")</f>
        <v/>
      </c>
      <c r="AX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40,26))," ",""),"!",""),CHAR(34),""),"#",""),"$",""),"%",""),"&amp;",""),"'",""),"(",""),")",""),"*",""),"+",""),",",""),"-",""),".",""),"/",""),":",""),";",""),"&lt;",""),"=",""),"&gt;",""),"?",""),"@",""),"[",""),"\",""),"]",""),"^",""),"_",""),"`",""),"{",""),"|",""),"}",""),"~",""),CHAR(9),""),CHAR(10),""),CHAR(13),"")," ",""),"")</f>
        <v/>
      </c>
      <c r="AY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40,27))," ",""),"!",""),CHAR(34),""),"#",""),"$",""),"%",""),"&amp;",""),"'",""),"(",""),")",""),"*",""),"+",""),",",""),"-",""),".",""),"/",""),":",""),";",""),"&lt;",""),"=",""),"&gt;",""),"?",""),"@",""),"[",""),"\",""),"]",""),"^",""),"_",""),"`",""),"{",""),"|",""),"}",""),"~",""),CHAR(9),""),CHAR(10),""),CHAR(13),"")," ",""),"")</f>
        <v/>
      </c>
      <c r="AZ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40,28))," ",""),"!",""),CHAR(34),""),"#",""),"$",""),"%",""),"&amp;",""),"'",""),"(",""),")",""),"*",""),"+",""),",",""),"-",""),".",""),"/",""),":",""),";",""),"&lt;",""),"=",""),"&gt;",""),"?",""),"@",""),"[",""),"\",""),"]",""),"^",""),"_",""),"`",""),"{",""),"|",""),"}",""),"~",""),CHAR(9),""),CHAR(10),""),CHAR(13),"")," ",""),"")</f>
        <v/>
      </c>
      <c r="BA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40,29))," ",""),"!",""),CHAR(34),""),"#",""),"$",""),"%",""),"&amp;",""),"'",""),"(",""),")",""),"*",""),"+",""),",",""),"-",""),".",""),"/",""),":",""),";",""),"&lt;",""),"=",""),"&gt;",""),"?",""),"@",""),"[",""),"\",""),"]",""),"^",""),"_",""),"`",""),"{",""),"|",""),"}",""),"~",""),CHAR(9),""),CHAR(10),""),CHAR(13),"")," ",""),"")</f>
        <v/>
      </c>
      <c r="BB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40,30))," ",""),"!",""),CHAR(34),""),"#",""),"$",""),"%",""),"&amp;",""),"'",""),"(",""),")",""),"*",""),"+",""),",",""),"-",""),".",""),"/",""),":",""),";",""),"&lt;",""),"=",""),"&gt;",""),"?",""),"@",""),"[",""),"\",""),"]",""),"^",""),"_",""),"`",""),"{",""),"|",""),"}",""),"~",""),CHAR(9),""),CHAR(10),""),CHAR(13),"")," ",""),"")</f>
        <v/>
      </c>
      <c r="BC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40,31))," ",""),"!",""),CHAR(34),""),"#",""),"$",""),"%",""),"&amp;",""),"'",""),"(",""),")",""),"*",""),"+",""),",",""),"-",""),".",""),"/",""),":",""),";",""),"&lt;",""),"=",""),"&gt;",""),"?",""),"@",""),"[",""),"\",""),"]",""),"^",""),"_",""),"`",""),"{",""),"|",""),"}",""),"~",""),CHAR(9),""),CHAR(10),""),CHAR(13),"")," ",""),"")</f>
        <v/>
      </c>
      <c r="BD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40,32))," ",""),"!",""),CHAR(34),""),"#",""),"$",""),"%",""),"&amp;",""),"'",""),"(",""),")",""),"*",""),"+",""),",",""),"-",""),".",""),"/",""),":",""),";",""),"&lt;",""),"=",""),"&gt;",""),"?",""),"@",""),"[",""),"\",""),"]",""),"^",""),"_",""),"`",""),"{",""),"|",""),"}",""),"~",""),CHAR(9),""),CHAR(10),""),CHAR(13),"")," ",""),"")</f>
        <v/>
      </c>
      <c r="BE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40,33))," ",""),"!",""),CHAR(34),""),"#",""),"$",""),"%",""),"&amp;",""),"'",""),"(",""),")",""),"*",""),"+",""),",",""),"-",""),".",""),"/",""),":",""),";",""),"&lt;",""),"=",""),"&gt;",""),"?",""),"@",""),"[",""),"\",""),"]",""),"^",""),"_",""),"`",""),"{",""),"|",""),"}",""),"~",""),CHAR(9),""),CHAR(10),""),CHAR(13),"")," ",""),"")</f>
        <v/>
      </c>
      <c r="BF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40,34))," ",""),"!",""),CHAR(34),""),"#",""),"$",""),"%",""),"&amp;",""),"'",""),"(",""),")",""),"*",""),"+",""),",",""),"-",""),".",""),"/",""),":",""),";",""),"&lt;",""),"=",""),"&gt;",""),"?",""),"@",""),"[",""),"\",""),"]",""),"^",""),"_",""),"`",""),"{",""),"|",""),"}",""),"~",""),CHAR(9),""),CHAR(10),""),CHAR(13),"")," ",""),"")</f>
        <v/>
      </c>
      <c r="BG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40,35))," ",""),"!",""),CHAR(34),""),"#",""),"$",""),"%",""),"&amp;",""),"'",""),"(",""),")",""),"*",""),"+",""),",",""),"-",""),".",""),"/",""),":",""),";",""),"&lt;",""),"=",""),"&gt;",""),"?",""),"@",""),"[",""),"\",""),"]",""),"^",""),"_",""),"`",""),"{",""),"|",""),"}",""),"~",""),CHAR(9),""),CHAR(10),""),CHAR(13),"")," ",""),"")</f>
        <v/>
      </c>
      <c r="BH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40,36))," ",""),"!",""),CHAR(34),""),"#",""),"$",""),"%",""),"&amp;",""),"'",""),"(",""),")",""),"*",""),"+",""),",",""),"-",""),".",""),"/",""),":",""),";",""),"&lt;",""),"=",""),"&gt;",""),"?",""),"@",""),"[",""),"\",""),"]",""),"^",""),"_",""),"`",""),"{",""),"|",""),"}",""),"~",""),CHAR(9),""),CHAR(10),""),CHAR(13),"")," ",""),"")</f>
        <v/>
      </c>
      <c r="BI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40,37))," ",""),"!",""),CHAR(34),""),"#",""),"$",""),"%",""),"&amp;",""),"'",""),"(",""),")",""),"*",""),"+",""),",",""),"-",""),".",""),"/",""),":",""),";",""),"&lt;",""),"=",""),"&gt;",""),"?",""),"@",""),"[",""),"\",""),"]",""),"^",""),"_",""),"`",""),"{",""),"|",""),"}",""),"~",""),CHAR(9),""),CHAR(10),""),CHAR(13),"")," ",""),"")</f>
        <v/>
      </c>
      <c r="BJ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40,38))," ",""),"!",""),CHAR(34),""),"#",""),"$",""),"%",""),"&amp;",""),"'",""),"(",""),")",""),"*",""),"+",""),",",""),"-",""),".",""),"/",""),":",""),";",""),"&lt;",""),"=",""),"&gt;",""),"?",""),"@",""),"[",""),"\",""),"]",""),"^",""),"_",""),"`",""),"{",""),"|",""),"}",""),"~",""),CHAR(9),""),CHAR(10),""),CHAR(13),"")," ",""),"")</f>
        <v/>
      </c>
      <c r="BK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40,39))," ",""),"!",""),CHAR(34),""),"#",""),"$",""),"%",""),"&amp;",""),"'",""),"(",""),")",""),"*",""),"+",""),",",""),"-",""),".",""),"/",""),":",""),";",""),"&lt;",""),"=",""),"&gt;",""),"?",""),"@",""),"[",""),"\",""),"]",""),"^",""),"_",""),"`",""),"{",""),"|",""),"}",""),"~",""),CHAR(9),""),CHAR(10),""),CHAR(13),"")," ",""),"")</f>
        <v/>
      </c>
      <c r="BL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40,40))," ",""),"!",""),CHAR(34),""),"#",""),"$",""),"%",""),"&amp;",""),"'",""),"(",""),")",""),"*",""),"+",""),",",""),"-",""),".",""),"/",""),":",""),";",""),"&lt;",""),"=",""),"&gt;",""),"?",""),"@",""),"[",""),"\",""),"]",""),"^",""),"_",""),"`",""),"{",""),"|",""),"}",""),"~",""),CHAR(9),""),CHAR(10),""),CHAR(13),"")," ",""),"")</f>
        <v/>
      </c>
      <c r="BM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40,41))," ",""),"!",""),CHAR(34),""),"#",""),"$",""),"%",""),"&amp;",""),"'",""),"(",""),")",""),"*",""),"+",""),",",""),"-",""),".",""),"/",""),":",""),";",""),"&lt;",""),"=",""),"&gt;",""),"?",""),"@",""),"[",""),"\",""),"]",""),"^",""),"_",""),"`",""),"{",""),"|",""),"}",""),"~",""),CHAR(9),""),CHAR(10),""),CHAR(13),"")," ",""),"")</f>
        <v/>
      </c>
      <c r="BN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40,42))," ",""),"!",""),CHAR(34),""),"#",""),"$",""),"%",""),"&amp;",""),"'",""),"(",""),")",""),"*",""),"+",""),",",""),"-",""),".",""),"/",""),":",""),";",""),"&lt;",""),"=",""),"&gt;",""),"?",""),"@",""),"[",""),"\",""),"]",""),"^",""),"_",""),"`",""),"{",""),"|",""),"}",""),"~",""),CHAR(9),""),CHAR(10),""),CHAR(13),"")," ",""),"")</f>
        <v/>
      </c>
      <c r="BO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40,43))," ",""),"!",""),CHAR(34),""),"#",""),"$",""),"%",""),"&amp;",""),"'",""),"(",""),")",""),"*",""),"+",""),",",""),"-",""),".",""),"/",""),":",""),";",""),"&lt;",""),"=",""),"&gt;",""),"?",""),"@",""),"[",""),"\",""),"]",""),"^",""),"_",""),"`",""),"{",""),"|",""),"}",""),"~",""),CHAR(9),""),CHAR(10),""),CHAR(13),"")," ",""),"")</f>
        <v/>
      </c>
      <c r="BP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40,44))," ",""),"!",""),CHAR(34),""),"#",""),"$",""),"%",""),"&amp;",""),"'",""),"(",""),")",""),"*",""),"+",""),",",""),"-",""),".",""),"/",""),":",""),";",""),"&lt;",""),"=",""),"&gt;",""),"?",""),"@",""),"[",""),"\",""),"]",""),"^",""),"_",""),"`",""),"{",""),"|",""),"}",""),"~",""),CHAR(9),""),CHAR(10),""),CHAR(13),"")," ",""),"")</f>
        <v/>
      </c>
      <c r="BQ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40,45))," ",""),"!",""),CHAR(34),""),"#",""),"$",""),"%",""),"&amp;",""),"'",""),"(",""),")",""),"*",""),"+",""),",",""),"-",""),".",""),"/",""),":",""),";",""),"&lt;",""),"=",""),"&gt;",""),"?",""),"@",""),"[",""),"\",""),"]",""),"^",""),"_",""),"`",""),"{",""),"|",""),"}",""),"~",""),CHAR(9),""),CHAR(10),""),CHAR(13),"")," ",""),"")</f>
        <v/>
      </c>
      <c r="BR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40,46))," ",""),"!",""),CHAR(34),""),"#",""),"$",""),"%",""),"&amp;",""),"'",""),"(",""),")",""),"*",""),"+",""),",",""),"-",""),".",""),"/",""),":",""),";",""),"&lt;",""),"=",""),"&gt;",""),"?",""),"@",""),"[",""),"\",""),"]",""),"^",""),"_",""),"`",""),"{",""),"|",""),"}",""),"~",""),CHAR(9),""),CHAR(10),""),CHAR(13),"")," ",""),"")</f>
        <v/>
      </c>
      <c r="BS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40,47))," ",""),"!",""),CHAR(34),""),"#",""),"$",""),"%",""),"&amp;",""),"'",""),"(",""),")",""),"*",""),"+",""),",",""),"-",""),".",""),"/",""),":",""),";",""),"&lt;",""),"=",""),"&gt;",""),"?",""),"@",""),"[",""),"\",""),"]",""),"^",""),"_",""),"`",""),"{",""),"|",""),"}",""),"~",""),CHAR(9),""),CHAR(10),""),CHAR(13),"")," ",""),"")</f>
        <v/>
      </c>
      <c r="BT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40,48))," ",""),"!",""),CHAR(34),""),"#",""),"$",""),"%",""),"&amp;",""),"'",""),"(",""),")",""),"*",""),"+",""),",",""),"-",""),".",""),"/",""),":",""),";",""),"&lt;",""),"=",""),"&gt;",""),"?",""),"@",""),"[",""),"\",""),"]",""),"^",""),"_",""),"`",""),"{",""),"|",""),"}",""),"~",""),CHAR(9),""),CHAR(10),""),CHAR(13),"")," ",""),"")</f>
        <v/>
      </c>
      <c r="BU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40,49))," ",""),"!",""),CHAR(34),""),"#",""),"$",""),"%",""),"&amp;",""),"'",""),"(",""),")",""),"*",""),"+",""),",",""),"-",""),".",""),"/",""),":",""),";",""),"&lt;",""),"=",""),"&gt;",""),"?",""),"@",""),"[",""),"\",""),"]",""),"^",""),"_",""),"`",""),"{",""),"|",""),"}",""),"~",""),CHAR(9),""),CHAR(10),""),CHAR(13),"")," ",""),"")</f>
        <v/>
      </c>
      <c r="BV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40,50))," ",""),"!",""),CHAR(34),""),"#",""),"$",""),"%",""),"&amp;",""),"'",""),"(",""),")",""),"*",""),"+",""),",",""),"-",""),".",""),"/",""),":",""),";",""),"&lt;",""),"=",""),"&gt;",""),"?",""),"@",""),"[",""),"\",""),"]",""),"^",""),"_",""),"`",""),"{",""),"|",""),"}",""),"~",""),CHAR(9),""),CHAR(10),""),CHAR(13),"")," ",""),"")</f>
        <v/>
      </c>
      <c r="BW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40,51))," ",""),"!",""),CHAR(34),""),"#",""),"$",""),"%",""),"&amp;",""),"'",""),"(",""),")",""),"*",""),"+",""),",",""),"-",""),".",""),"/",""),":",""),";",""),"&lt;",""),"=",""),"&gt;",""),"?",""),"@",""),"[",""),"\",""),"]",""),"^",""),"_",""),"`",""),"{",""),"|",""),"}",""),"~",""),CHAR(9),""),CHAR(10),""),CHAR(13),"")," ",""),"")</f>
        <v/>
      </c>
      <c r="BX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40,52))," ",""),"!",""),CHAR(34),""),"#",""),"$",""),"%",""),"&amp;",""),"'",""),"(",""),")",""),"*",""),"+",""),",",""),"-",""),".",""),"/",""),":",""),";",""),"&lt;",""),"=",""),"&gt;",""),"?",""),"@",""),"[",""),"\",""),"]",""),"^",""),"_",""),"`",""),"{",""),"|",""),"}",""),"~",""),CHAR(9),""),CHAR(10),""),CHAR(13),"")," ",""),"")</f>
        <v/>
      </c>
      <c r="BY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40,53))," ",""),"!",""),CHAR(34),""),"#",""),"$",""),"%",""),"&amp;",""),"'",""),"(",""),")",""),"*",""),"+",""),",",""),"-",""),".",""),"/",""),":",""),";",""),"&lt;",""),"=",""),"&gt;",""),"?",""),"@",""),"[",""),"\",""),"]",""),"^",""),"_",""),"`",""),"{",""),"|",""),"}",""),"~",""),CHAR(9),""),CHAR(10),""),CHAR(13),"")," ",""),"")</f>
        <v/>
      </c>
      <c r="BZ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40,54))," ",""),"!",""),CHAR(34),""),"#",""),"$",""),"%",""),"&amp;",""),"'",""),"(",""),")",""),"*",""),"+",""),",",""),"-",""),".",""),"/",""),":",""),";",""),"&lt;",""),"=",""),"&gt;",""),"?",""),"@",""),"[",""),"\",""),"]",""),"^",""),"_",""),"`",""),"{",""),"|",""),"}",""),"~",""),CHAR(9),""),CHAR(10),""),CHAR(13),"")," ",""),"")</f>
        <v/>
      </c>
      <c r="CA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40,55))," ",""),"!",""),CHAR(34),""),"#",""),"$",""),"%",""),"&amp;",""),"'",""),"(",""),")",""),"*",""),"+",""),",",""),"-",""),".",""),"/",""),":",""),";",""),"&lt;",""),"=",""),"&gt;",""),"?",""),"@",""),"[",""),"\",""),"]",""),"^",""),"_",""),"`",""),"{",""),"|",""),"}",""),"~",""),CHAR(9),""),CHAR(10),""),CHAR(13),"")," ",""),"")</f>
        <v/>
      </c>
      <c r="CB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40,56))," ",""),"!",""),CHAR(34),""),"#",""),"$",""),"%",""),"&amp;",""),"'",""),"(",""),")",""),"*",""),"+",""),",",""),"-",""),".",""),"/",""),":",""),";",""),"&lt;",""),"=",""),"&gt;",""),"?",""),"@",""),"[",""),"\",""),"]",""),"^",""),"_",""),"`",""),"{",""),"|",""),"}",""),"~",""),CHAR(9),""),CHAR(10),""),CHAR(13),"")," ",""),"")</f>
        <v/>
      </c>
      <c r="CC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40,57))," ",""),"!",""),CHAR(34),""),"#",""),"$",""),"%",""),"&amp;",""),"'",""),"(",""),")",""),"*",""),"+",""),",",""),"-",""),".",""),"/",""),":",""),";",""),"&lt;",""),"=",""),"&gt;",""),"?",""),"@",""),"[",""),"\",""),"]",""),"^",""),"_",""),"`",""),"{",""),"|",""),"}",""),"~",""),CHAR(9),""),CHAR(10),""),CHAR(13),"")," ",""),"")</f>
        <v/>
      </c>
      <c r="CD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40,58))," ",""),"!",""),CHAR(34),""),"#",""),"$",""),"%",""),"&amp;",""),"'",""),"(",""),")",""),"*",""),"+",""),",",""),"-",""),".",""),"/",""),":",""),";",""),"&lt;",""),"=",""),"&gt;",""),"?",""),"@",""),"[",""),"\",""),"]",""),"^",""),"_",""),"`",""),"{",""),"|",""),"}",""),"~",""),CHAR(9),""),CHAR(10),""),CHAR(13),"")," ",""),"")</f>
        <v/>
      </c>
      <c r="CE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40,59))," ",""),"!",""),CHAR(34),""),"#",""),"$",""),"%",""),"&amp;",""),"'",""),"(",""),")",""),"*",""),"+",""),",",""),"-",""),".",""),"/",""),":",""),";",""),"&lt;",""),"=",""),"&gt;",""),"?",""),"@",""),"[",""),"\",""),"]",""),"^",""),"_",""),"`",""),"{",""),"|",""),"}",""),"~",""),CHAR(9),""),CHAR(10),""),CHAR(13),"")," ",""),"")</f>
        <v/>
      </c>
      <c r="CF44">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40,60))," ",""),"!",""),CHAR(34),""),"#",""),"$",""),"%",""),"&amp;",""),"'",""),"(",""),")",""),"*",""),"+",""),",",""),"-",""),".",""),"/",""),":",""),";",""),"&lt;",""),"=",""),"&gt;",""),"?",""),"@",""),"[",""),"\",""),"]",""),"^",""),"_",""),"`",""),"{",""),"|",""),"}",""),"~",""),CHAR(9),""),CHAR(10),""),CHAR(13),"")," ",""),"")</f>
        <v/>
      </c>
      <c r="CH44">
        <f>COUNTIF($Y89:$CF89,"&gt;0")</f>
        <v/>
      </c>
      <c r="CI44">
        <f>COUNTIF($Y89:$CF89,2)</f>
        <v/>
      </c>
      <c r="CJ44">
        <f>SUMPRODUCT((COUNTIF($Y134:$CF134,{1,2,3,4,5,6,7,8,9,10,11,12,13,14,15})&gt;0)*{2,4,8,16,32,64,128,256,512,1024,2048,4096,8192,16384,32768})</f>
        <v/>
      </c>
      <c r="CK44">
        <f>CF224</f>
        <v/>
      </c>
      <c r="CL44">
        <f>SUMPRODUCT(MOD(INT(((CJ44+CK44))/{2,4,8,16,32,64,128,256,512,1024,2048,4096,8192,16384,32768}),2))</f>
        <v/>
      </c>
      <c r="CM44">
        <f>IF(CH44&lt;2,-9999,CL44+2*MOD(INT(((CJ44+CK44))/2),2)+2*MOD(INT(((CJ44+CK44))/4),2)-CI44)</f>
        <v/>
      </c>
      <c r="DA44" t="n">
        <v>40</v>
      </c>
      <c r="DB44">
        <f>IF($B$37=0,"",IFERROR(TRIM(SUBSTITUTE(SUBSTITUTE(SUBSTITUTE(SUBSTITUTE(INDEX(PASTE_ALL,40,$B$37)," "," "),CHAR(9)," "),CHAR(10)," "),CHAR(13)," ")),""))</f>
        <v/>
      </c>
      <c r="DC44">
        <f>IF(AND(40&gt;HEADER_ROW,UPPER(DB44)="LEGEND"),1,0)</f>
        <v/>
      </c>
      <c r="DE44" t="n">
        <v>40</v>
      </c>
      <c r="DF44">
        <f>HEADER_ROW+$DE44</f>
        <v/>
      </c>
      <c r="DG44">
        <f>IF(AND($DF44&lt;=1000,$DF44&lt;$B$8),1,0)</f>
        <v/>
      </c>
      <c r="DH44">
        <f>IF($DG44=1,IFERROR(INDEX($DB$5:$DB$1004,$DF44),""),"")</f>
        <v/>
      </c>
      <c r="DI44">
        <f>IF(AND($DG44=1,$DH44&lt;&gt;""),IFERROR(SUBSTITUTE(SUBSTITUTE(TRIM(SUBSTITUTE(SUBSTITUTE(SUBSTITUTE(SUBSTITUTE(IFERROR(INDEX(PASTE_ALL,$DF44,1)&amp;"","")&amp;"␟"&amp;IFERROR(INDEX(PASTE_ALL,$DF44,2)&amp;"","")&amp;"␟"&amp;IFERROR(INDEX(PASTE_ALL,$DF44,3)&amp;"","")&amp;"␟"&amp;IFERROR(INDEX(PASTE_ALL,$DF44,4)&amp;"","")&amp;"␟"&amp;IFERROR(INDEX(PASTE_ALL,$DF44,5)&amp;"","")&amp;"␟"&amp;IFERROR(INDEX(PASTE_ALL,$DF44,6)&amp;"","")&amp;"␟"&amp;IFERROR(INDEX(PASTE_ALL,$DF44,7)&amp;"","")&amp;"␟"&amp;IFERROR(INDEX(PASTE_ALL,$DF44,8)&amp;"","")&amp;"␟"&amp;IFERROR(INDEX(PASTE_ALL,$DF44,9)&amp;"","")&amp;"␟"&amp;IFERROR(INDEX(PASTE_ALL,$DF44,10)&amp;"","")&amp;"␟"&amp;IFERROR(INDEX(PASTE_ALL,$DF44,11)&amp;"","")&amp;"␟"&amp;IFERROR(INDEX(PASTE_ALL,$DF44,12)&amp;"","")&amp;"␟"&amp;IFERROR(INDEX(PASTE_ALL,$DF44,13)&amp;"","")&amp;"␟"&amp;IFERROR(INDEX(PASTE_ALL,$DF44,14)&amp;"","")&amp;"␟"&amp;IFERROR(INDEX(PASTE_ALL,$DF44,15)&amp;"","")&amp;"␟"&amp;IFERROR(INDEX(PASTE_ALL,$DF44,16)&amp;"","")&amp;"␟"&amp;IFERROR(INDEX(PASTE_ALL,$DF44,17)&amp;"","")&amp;"␟"&amp;IFERROR(INDEX(PASTE_ALL,$DF44,18)&amp;"","")&amp;"␟"&amp;IFERROR(INDEX(PASTE_ALL,$DF44,19)&amp;"","")&amp;"␟"&amp;IFERROR(INDEX(PASTE_ALL,$DF44,20)&amp;"","")&amp;"␟"&amp;IFERROR(INDEX(PASTE_ALL,$DF44,21)&amp;"","")&amp;"␟"&amp;IFERROR(INDEX(PASTE_ALL,$DF44,22)&amp;"","")&amp;"␟"&amp;IFERROR(INDEX(PASTE_ALL,$DF44,23)&amp;"","")&amp;"␟"&amp;IFERROR(INDEX(PASTE_ALL,$DF44,24)&amp;"","")&amp;"␟"&amp;IFERROR(INDEX(PASTE_ALL,$DF44,25)&amp;"","")&amp;"␟"&amp;IFERROR(INDEX(PASTE_ALL,$DF44,26)&amp;"","")&amp;"␟"&amp;IFERROR(INDEX(PASTE_ALL,$DF44,27)&amp;"","")&amp;"␟"&amp;IFERROR(INDEX(PASTE_ALL,$DF44,28)&amp;"","")&amp;"␟"&amp;IFERROR(INDEX(PASTE_ALL,$DF44,29)&amp;"","")&amp;"␟"&amp;IFERROR(INDEX(PASTE_ALL,$DF44,30)&amp;"","")&amp;"␟"&amp;IFERROR(INDEX(PASTE_ALL,$DF44,31)&amp;"","")&amp;"␟"&amp;IFERROR(INDEX(PASTE_ALL,$DF44,32)&amp;"","")&amp;"␟"&amp;IFERROR(INDEX(PASTE_ALL,$DF44,33)&amp;"","")&amp;"␟"&amp;IFERROR(INDEX(PASTE_ALL,$DF44,34)&amp;"","")&amp;"␟"&amp;IFERROR(INDEX(PASTE_ALL,$DF44,35)&amp;"","")&amp;"␟"&amp;IFERROR(INDEX(PASTE_ALL,$DF44,36)&amp;"","")&amp;"␟"&amp;IFERROR(INDEX(PASTE_ALL,$DF44,37)&amp;"","")&amp;"␟"&amp;IFERROR(INDEX(PASTE_ALL,$DF44,38)&amp;"","")&amp;"␟"&amp;IFERROR(INDEX(PASTE_ALL,$DF44,39)&amp;"","")&amp;"␟"&amp;IFERROR(INDEX(PASTE_ALL,$DF44,40)&amp;"","")&amp;"␟"&amp;IFERROR(INDEX(PASTE_ALL,$DF44,41)&amp;"","")&amp;"␟"&amp;IFERROR(INDEX(PASTE_ALL,$DF44,42)&amp;"","")&amp;"␟"&amp;IFERROR(INDEX(PASTE_ALL,$DF44,43)&amp;"","")&amp;"␟"&amp;IFERROR(INDEX(PASTE_ALL,$DF44,44)&amp;"","")&amp;"␟"&amp;IFERROR(INDEX(PASTE_ALL,$DF44,45)&amp;"","")&amp;"␟"&amp;IFERROR(INDEX(PASTE_ALL,$DF44,46)&amp;"","")&amp;"␟"&amp;IFERROR(INDEX(PASTE_ALL,$DF44,47)&amp;"","")&amp;"␟"&amp;IFERROR(INDEX(PASTE_ALL,$DF44,48)&amp;"","")&amp;"␟"&amp;IFERROR(INDEX(PASTE_ALL,$DF44,49)&amp;"","")&amp;"␟"&amp;IFERROR(INDEX(PASTE_ALL,$DF44,50)&amp;"","")&amp;"␟"&amp;IFERROR(INDEX(PASTE_ALL,$DF44,51)&amp;"","")&amp;"␟"&amp;IFERROR(INDEX(PASTE_ALL,$DF44,52)&amp;"","")&amp;"␟"&amp;IFERROR(INDEX(PASTE_ALL,$DF44,53)&amp;"","")&amp;"␟"&amp;IFERROR(INDEX(PASTE_ALL,$DF44,54)&amp;"","")&amp;"␟"&amp;IFERROR(INDEX(PASTE_ALL,$DF44,55)&amp;"","")&amp;"␟"&amp;IFERROR(INDEX(PASTE_ALL,$DF44,56)&amp;"","")&amp;"␟"&amp;IFERROR(INDEX(PASTE_ALL,$DF44,57)&amp;"","")&amp;"␟"&amp;IFERROR(INDEX(PASTE_ALL,$DF44,58)&amp;"","")&amp;"␟"&amp;IFERROR(INDEX(PASTE_ALL,$DF44,59)&amp;"","")&amp;"␟"&amp;IFERROR(INDEX(PASTE_ALL,$DF44,60)&amp;"","")," "," "),CHAR(9)," "),CHAR(10)," "),CHAR(13)," "))," ␟","␟"),"␟ ","␟"),"#"&amp;$DE44),"")</f>
        <v/>
      </c>
      <c r="DJ44">
        <f>IF($DI44="",0,IF(SUMPRODUCT(--EXACT($DI$4:DI43,$DI44))&gt;0,1,0))</f>
        <v/>
      </c>
      <c r="DK44">
        <f>IF(AND($DI44&lt;&gt;"",$DJ44=0),1,0)</f>
        <v/>
      </c>
      <c r="DL44">
        <f>DL43+$DK44</f>
        <v/>
      </c>
      <c r="DM44">
        <f>IF(AND($DK44=1,$DL44&lt;=600),1,0)</f>
        <v/>
      </c>
      <c r="DN44">
        <f>IF($DM44=0,"",IF($L$6=0,"",IFERROR(IF(ISNUMBER(INDEX(PASTE_ALL,$DF44,$L$6)),INDEX(PASTE_ALL,$DF44,$L$6),TRIM(SUBSTITUTE(SUBSTITUTE(SUBSTITUTE(SUBSTITUTE(INDEX(PASTE_ALL,$DF44,$L$6)," "," "),CHAR(9)," "),CHAR(10)," "),CHAR(13)," "))),"")))</f>
        <v/>
      </c>
      <c r="DO44">
        <f>IF($DM44=0,"",IF($L$7=0,"",IFERROR(IF(ISNUMBER(INDEX(PASTE_ALL,$DF44,$L$7)),INDEX(PASTE_ALL,$DF44,$L$7),TRIM(SUBSTITUTE(SUBSTITUTE(SUBSTITUTE(SUBSTITUTE(INDEX(PASTE_ALL,$DF44,$L$7)," "," "),CHAR(9)," "),CHAR(10)," "),CHAR(13)," "))),"")))</f>
        <v/>
      </c>
      <c r="DP44">
        <f>IF($DM44=0,"",IF($L$8=0,"",IFERROR(IF(ISNUMBER(INDEX(PASTE_ALL,$DF44,$L$8)),INDEX(PASTE_ALL,$DF44,$L$8),TRIM(SUBSTITUTE(SUBSTITUTE(SUBSTITUTE(SUBSTITUTE(INDEX(PASTE_ALL,$DF44,$L$8)," "," "),CHAR(9)," "),CHAR(10)," "),CHAR(13)," "))),"")))</f>
        <v/>
      </c>
      <c r="DQ44">
        <f>IF($DM44=0,"",IF($L$9=0,"",IFERROR(IF(ISNUMBER(INDEX(PASTE_ALL,$DF44,$L$9)),INDEX(PASTE_ALL,$DF44,$L$9),TRIM(SUBSTITUTE(SUBSTITUTE(SUBSTITUTE(SUBSTITUTE(INDEX(PASTE_ALL,$DF44,$L$9)," "," "),CHAR(9)," "),CHAR(10)," "),CHAR(13)," "))),"")))</f>
        <v/>
      </c>
      <c r="DR44">
        <f>IF($DM44=0,"",IF($L$10=0,"",IFERROR(IF(ISNUMBER(INDEX(PASTE_ALL,$DF44,$L$10)),INDEX(PASTE_ALL,$DF44,$L$10),TRIM(SUBSTITUTE(SUBSTITUTE(SUBSTITUTE(SUBSTITUTE(INDEX(PASTE_ALL,$DF44,$L$10)," "," "),CHAR(9)," "),CHAR(10)," "),CHAR(13)," "))),"")))</f>
        <v/>
      </c>
      <c r="DS44">
        <f>IF($DM44=0,"",IF($L$11=0,"",IFERROR(IF(ISNUMBER(INDEX(PASTE_ALL,$DF44,$L$11)),INDEX(PASTE_ALL,$DF44,$L$11),TRIM(SUBSTITUTE(SUBSTITUTE(SUBSTITUTE(SUBSTITUTE(INDEX(PASTE_ALL,$DF44,$L$11)," "," "),CHAR(9)," "),CHAR(10)," "),CHAR(13)," "))),"")))</f>
        <v/>
      </c>
      <c r="DT44">
        <f>IF($DM44=0,"",IF($L$12=0,"",IFERROR(IF(ISNUMBER(INDEX(PASTE_ALL,$DF44,$L$12)),INDEX(PASTE_ALL,$DF44,$L$12),TRIM(SUBSTITUTE(SUBSTITUTE(SUBSTITUTE(SUBSTITUTE(INDEX(PASTE_ALL,$DF44,$L$12)," "," "),CHAR(9)," "),CHAR(10)," "),CHAR(13)," "))),"")))</f>
        <v/>
      </c>
      <c r="DU44">
        <f>IF($DM44=0,"",IF($L$13=0,"",IFERROR(IF(ISNUMBER(INDEX(PASTE_ALL,$DF44,$L$13)),INDEX(PASTE_ALL,$DF44,$L$13),TRIM(SUBSTITUTE(SUBSTITUTE(SUBSTITUTE(SUBSTITUTE(INDEX(PASTE_ALL,$DF44,$L$13)," "," "),CHAR(9)," "),CHAR(10)," "),CHAR(13)," "))),"")))</f>
        <v/>
      </c>
      <c r="DV44">
        <f>IF($DM44=0,"",IF($L$14=0,"",IFERROR(IF(ISNUMBER(INDEX(PASTE_ALL,$DF44,$L$14)),INDEX(PASTE_ALL,$DF44,$L$14),TRIM(SUBSTITUTE(SUBSTITUTE(SUBSTITUTE(SUBSTITUTE(INDEX(PASTE_ALL,$DF44,$L$14)," "," "),CHAR(9)," "),CHAR(10)," "),CHAR(13)," "))),"")))</f>
        <v/>
      </c>
      <c r="DW44">
        <f>IF($DM44=0,"",IF($L$15=0,"",IFERROR(IF(ISNUMBER(INDEX(PASTE_ALL,$DF44,$L$15)),INDEX(PASTE_ALL,$DF44,$L$15),IF(SUMPRODUCT(--ISNUMBER(FIND({"A","B","C","D","E","F","G","H","I","J","K","L","M","N","O","P","Q","R","S","T","U","V","W","X","Y","Z","0","1","2","3","4","5","6","7","8","9"},UPPER(TRIM(SUBSTITUTE(SUBSTITUTE(SUBSTITUTE(SUBSTITUTE(INDEX(PASTE_ALL,$DF44,$L$15)," "," "),CHAR(9)," "),CHAR(10)," "),CHAR(13)," "))))))&gt;0,TRIM(SUBSTITUTE(SUBSTITUTE(SUBSTITUTE(SUBSTITUTE(INDEX(PASTE_ALL,$DF44,$L$15)," "," "),CHAR(9)," "),CHAR(10)," "),CHAR(13)," ")),"")),"")))</f>
        <v/>
      </c>
      <c r="DX44">
        <f>IF($DM44=0,"",IF($L$16=0,"",IFERROR(IF(ISNUMBER(INDEX(PASTE_ALL,$DF44,$L$16)),INDEX(PASTE_ALL,$DF44,$L$16),SUBSTITUTE(SUBSTITUTE(TRIM(SUBSTITUTE(SUBSTITUTE(SUBSTITUTE(SUBSTITUTE(INDEX(PASTE_ALL,$DF44,$L$16)," "," "),CHAR(9)," "),CHAR(10)," "),CHAR(13)," ")),",",""),"%","")),"")))</f>
        <v/>
      </c>
      <c r="DY44">
        <f>IF($DM44=0,"",IFERROR(IF(ISNUMBER($DX44),$DX44,IF($DX44="","",IF(TRIM($DX44)="",0,IF(AND(AND(SUBSTITUTE(SUBSTITUTE(SUBSTITUTE(SUBSTITUTE(SUBSTITUTE(SUBSTITUTE(SUBSTITUTE(SUBSTITUTE(SUBSTITUTE(SUBSTITUTE(SUBSTITUTE(SUBSTITUTE(SUBSTITUTE(SUBSTITUTE(UPPER(TRIM($DX44)),"0",""),"1",""),"2",""),"3",""),"4",""),"5",""),"6",""),"7",""),"8",""),"9",""),".",""),"+",""),"-",""),"E","")="",LEN(SUBSTITUTE(SUBSTITUTE(MID(UPPER(TRIM($DX44)),1+OR(LEFT(UPPER(TRIM($DX44)),1)="+",LEFT(UPPER(TRIM($DX44)),1)="-"),999),"E+","E"),"E-","E"))=LEN(SUBSTITUTE(SUBSTITUTE(SUBSTITUTE(SUBSTITUTE(MID(UPPER(TRIM($DX44)),1+OR(LEFT(UPPER(TRIM($DX44)),1)="+",LEFT(UPPER(TRIM($DX44)),1)="-"),999),"E+","E"),"E-","E"),"+",""),"-","")),LEN(UPPER(TRIM($DX44)))-LEN(SUBSTITUTE(UPPER(TRIM($DX44)),"E",""))&lt;2,LEN(UPPER(TRIM($DX44)))-LEN(SUBSTITUTE(UPPER(TRIM($DX44)),".",""))&lt;2,IFERROR(FIND(".",UPPER(TRIM($DX44))),0)&lt;IFERROR(FIND("E",UPPER(TRIM($DX44))),999)),ISNUMBER(VALUE(TRIM($DX44)))),VALUE(TRIM($DX44)),"")))),""))</f>
        <v/>
      </c>
      <c r="DZ44">
        <f>IF($DM44=0,"",IF($L$17=0,"",IFERROR(IF(ISNUMBER(INDEX(PASTE_ALL,$DF44,$L$17)),INDEX(PASTE_ALL,$DF44,$L$17),SUBSTITUTE(SUBSTITUTE(TRIM(SUBSTITUTE(SUBSTITUTE(SUBSTITUTE(SUBSTITUTE(INDEX(PASTE_ALL,$DF44,$L$17)," "," "),CHAR(9)," "),CHAR(10)," "),CHAR(13)," ")),",",""),"%","")),"")))</f>
        <v/>
      </c>
      <c r="EA44">
        <f>IF($DM44=0,"",IFERROR(IF(ISNUMBER($DZ44),$DZ44,IF($DZ44="","",IF(TRIM($DZ44)="",0,IF(AND(AND(SUBSTITUTE(SUBSTITUTE(SUBSTITUTE(SUBSTITUTE(SUBSTITUTE(SUBSTITUTE(SUBSTITUTE(SUBSTITUTE(SUBSTITUTE(SUBSTITUTE(SUBSTITUTE(SUBSTITUTE(SUBSTITUTE(SUBSTITUTE(UPPER(TRIM($DZ44)),"0",""),"1",""),"2",""),"3",""),"4",""),"5",""),"6",""),"7",""),"8",""),"9",""),".",""),"+",""),"-",""),"E","")="",LEN(SUBSTITUTE(SUBSTITUTE(MID(UPPER(TRIM($DZ44)),1+OR(LEFT(UPPER(TRIM($DZ44)),1)="+",LEFT(UPPER(TRIM($DZ44)),1)="-"),999),"E+","E"),"E-","E"))=LEN(SUBSTITUTE(SUBSTITUTE(SUBSTITUTE(SUBSTITUTE(MID(UPPER(TRIM($DZ44)),1+OR(LEFT(UPPER(TRIM($DZ44)),1)="+",LEFT(UPPER(TRIM($DZ44)),1)="-"),999),"E+","E"),"E-","E"),"+",""),"-","")),LEN(UPPER(TRIM($DZ44)))-LEN(SUBSTITUTE(UPPER(TRIM($DZ44)),"E",""))&lt;2,LEN(UPPER(TRIM($DZ44)))-LEN(SUBSTITUTE(UPPER(TRIM($DZ44)),".",""))&lt;2,IFERROR(FIND(".",UPPER(TRIM($DZ44))),0)&lt;IFERROR(FIND("E",UPPER(TRIM($DZ44))),999)),ISNUMBER(VALUE(TRIM($DZ44)))),VALUE(TRIM($DZ44)),"")))),""))</f>
        <v/>
      </c>
      <c r="EB44">
        <f>IF($DM44=0,"",IF($L$18=0,"",IFERROR(IF(UPPER(TRIM(SUBSTITUTE(SUBSTITUTE(SUBSTITUTE(SUBSTITUTE(INDEX(PASTE_ALL,$DF44,$L$18)," "," "),CHAR(9)," "),CHAR(10)," "),CHAR(13)," ")))="READY","Ready",IF(UPPER(TRIM(SUBSTITUTE(SUBSTITUTE(SUBSTITUTE(SUBSTITUTE(INDEX(PASTE_ALL,$DF44,$L$18)," "," "),CHAR(9)," "),CHAR(10)," "),CHAR(13)," ")))="PM","PM",IF(OR(UPPER(TRIM(SUBSTITUTE(SUBSTITUTE(SUBSTITUTE(SUBSTITUTE(INDEX(PASTE_ALL,$DF44,$L$18)," "," "),CHAR(9)," "),CHAR(10)," "),CHAR(13)," ")))="OT",UPPER(TRIM(SUBSTITUTE(SUBSTITUTE(SUBSTITUTE(SUBSTITUTE(INDEX(PASTE_ALL,$DF44,$L$18)," "," "),CHAR(9)," "),CHAR(10)," "),CHAR(13)," ")))="OVERTIME",UPPER(TRIM(SUBSTITUTE(SUBSTITUTE(SUBSTITUTE(SUBSTITUTE(INDEX(PASTE_ALL,$DF44,$L$18)," "," "),CHAR(9)," "),CHAR(10)," "),CHAR(13)," ")))="TRIAL"),"OT",TRIM(SUBSTITUTE(SUBSTITUTE(SUBSTITUTE(SUBSTITUTE(INDEX(PASTE_ALL,$DF44,$L$18)," "," "),CHAR(9)," "),CHAR(10)," "),CHAR(13)," "))))),"")))</f>
        <v/>
      </c>
      <c r="EC44">
        <f>IF($DM44=0,"",IF($L$19=0,"",IFERROR(IF(ISNUMBER(INDEX(PASTE_ALL,$DF44,$L$19)),INDEX(PASTE_ALL,$DF44,$L$19),TRIM(SUBSTITUTE(SUBSTITUTE(SUBSTITUTE(SUBSTITUTE(INDEX(PASTE_ALL,$DF44,$L$19)," "," "),CHAR(9)," "),CHAR(10)," "),CHAR(13)," "))),"")))</f>
        <v/>
      </c>
      <c r="ED44">
        <f>IF($DM44=0,"",MATCH(1,INDEX(EXACT($DH$5:DH44,$DH44)*$DM$5:DM44,0),0))</f>
        <v/>
      </c>
      <c r="EE44">
        <f>IF($DM44=0,0,IF($ED44=$DE44,1,0))</f>
        <v/>
      </c>
      <c r="EF44">
        <f>EF43+$EE44</f>
        <v/>
      </c>
      <c r="EG44">
        <f>IF($DM44=0,"",INDEX($EF$5:$EF$1003,$ED44))</f>
        <v/>
      </c>
      <c r="EH44">
        <f>IF($DM44=0,"",IF($DO44&lt;&gt;"","",IFERROR(LOOKUP(2,1/(($EG$4:EG43=$EG44)*($DO$4:DO43&lt;&gt;"")),$DO$4:DO43),"")))</f>
        <v/>
      </c>
      <c r="EI44">
        <f>IF($DM44=0,"",IF($DO44&lt;&gt;"",$DO44,$EH44))</f>
        <v/>
      </c>
      <c r="EJ44">
        <f>IF($DM44=0,"",IF($EI44="",0,IF(OR(ISNUMBER($EI44),AND(AND(SUBSTITUTE(SUBSTITUTE(SUBSTITUTE(SUBSTITUTE(SUBSTITUTE(SUBSTITUTE(SUBSTITUTE(SUBSTITUTE(SUBSTITUTE(SUBSTITUTE(SUBSTITUTE(SUBSTITUTE(SUBSTITUTE(SUBSTITUTE(UPPER($EI44),"0",""),"1",""),"2",""),"3",""),"4",""),"5",""),"6",""),"7",""),"8",""),"9",""),".",""),"+",""),"-",""),"E","")="",LEN(SUBSTITUTE(SUBSTITUTE(MID(UPPER($EI44),1+OR(LEFT(UPPER($EI44),1)="+",LEFT(UPPER($EI44),1)="-"),999),"E+","E"),"E-","E"))=LEN(SUBSTITUTE(SUBSTITUTE(SUBSTITUTE(SUBSTITUTE(MID(UPPER($EI44),1+OR(LEFT(UPPER($EI44),1)="+",LEFT(UPPER($EI44),1)="-"),999),"E+","E"),"E-","E"),"+",""),"-","")),LEN(UPPER($EI44))-LEN(SUBSTITUTE(UPPER($EI44),"E",""))&lt;2,LEN(UPPER($EI44))-LEN(SUBSTITUTE(UPPER($EI44),".",""))&lt;2,IFERROR(FIND(".",UPPER($EI44)),0)&lt;IFERROR(FIND("E",UPPER($EI44)),999)),ISNUMBER(VALUE($EI44)))),1,2)))</f>
        <v/>
      </c>
      <c r="EK44">
        <f>IF($DM44=0,"",IF($EJ44=1,IF(ISNUMBER($EI44),$EI44,VALUE($EI44)),IF($EJ44=2,$DE44,0)))</f>
        <v/>
      </c>
      <c r="EL44">
        <f>IF($DM44=0,"",COUNTIF($EG$5:$EG$1003,"&lt;"&amp;$EG44)+SUMPRODUCT(($EG$5:$EG$1003=$EG44)*(($EJ$5:$EJ$1003&lt;$EJ44)+($EJ$5:$EJ$1003=$EJ44)*(($EK$5:$EK$1003&lt;$EK44)+($EK$5:$EK$1003=$EK44)*($DE$5:$DE$1003&lt;$DE44))))+1)</f>
        <v/>
      </c>
      <c r="EM44">
        <f>IF($DM44=0,"",$EL44+$EG44-1)</f>
        <v/>
      </c>
      <c r="EN44">
        <f>IF($DM44=0,0,IFERROR(MATCH(1,INDEX(--(TRIM(SUBSTITUTE(SUBSTITUTE(SUBSTITUTE(SUBSTITUTE(LINES_NAME&amp;""," "," "),CHAR(9)," "),CHAR(10)," "),CHAR(13)," "))=$DH44),0),0),0))</f>
        <v/>
      </c>
      <c r="EO44">
        <f>IF($EN44=0,0,IF(OR(UPPER(TRIM(INDEX(LINES_SCHEDULED,$EN44)&amp;""))="YES",UPPER(TRIM(INDEX(LINES_SCHEDULED,$EN44)&amp;""))="Y",UPPER(TRIM(INDEX(LINES_SCHEDULED,$EN44)&amp;""))="X"),1,0))</f>
        <v/>
      </c>
      <c r="EP44">
        <f>IF($DM44=0,"",IF(COUNTIFS($EG$5:$EG$1003,$EG44,$EB$5:$EB$1003,"Ready")&gt;0,"READY",IF(COUNTIFS($EG$5:$EG$1003,$EG44,$EB$5:$EB$1003,"PM")&gt;0,"PM",IF(COUNTIFS($EG$5:$EG$1003,$EG44,$EB$5:$EB$1003,"OT")&gt;0,"OT",""))))</f>
        <v/>
      </c>
      <c r="EQ44">
        <f>IF($EN44=0,"",UPPER(TRIM(INDEX(LINES_STATUS,$EN44)&amp;"")))</f>
        <v/>
      </c>
      <c r="ER44">
        <f>IF($DM44=0,"",IF(OR($EQ44="READY",$EQ44="PM",$EQ44="OT"),$EQ44,$EP44))</f>
        <v/>
      </c>
      <c r="ES44">
        <f>IF($DM44=0,"",IF(AND($DV44&lt;&gt;"",UPPER($DV44)&lt;&gt;"N"),"allergen",IF(ISNUMBER(SEARCH("oil",$DQ44)),"oil",IF(OR(EXACT($DS44,"A662"),EXACT($DS44,"A624")),"bulk",""))))</f>
        <v/>
      </c>
      <c r="ET44">
        <f>IF($DM44=0,"",IF(OR($EA44="",$EA44=0),"",$EA44/100))</f>
        <v/>
      </c>
      <c r="EU44">
        <f>IF(OR($ET44="",$DY44=""),"",INT($DY44*(1-$ET44)+0.5))</f>
        <v/>
      </c>
      <c r="EW44" t="n">
        <v>40</v>
      </c>
      <c r="EX44">
        <f>IFERROR(MATCH($EW44,$EM$5:$EM$1003,0),0)</f>
        <v/>
      </c>
      <c r="EY44">
        <f>IF($EW44&gt;$B$12,"",IF($EX44&gt;0,"row","spacer"))</f>
        <v/>
      </c>
      <c r="EZ44">
        <f>IF(AND($EY44="row",$EY43&lt;&gt;"row"),1,0)</f>
        <v/>
      </c>
      <c r="FA44">
        <f>IF(AND($EY44="row",$EY45&lt;&gt;"row"),1,0)</f>
        <v/>
      </c>
      <c r="FB44">
        <f>IF($EZ44=1,IFERROR(IF(ISNUMBER(INDEX(PASTE_ALL,INDEX($DF$5:$DF$1003,$EX44),$B$37)),INDEX(PASTE_ALL,INDEX($DF$5:$DF$1003,$EX44),$B$37),INDEX($DH$5:$DH$1003,$EX44)),INDEX($DH$5:$DH$1003,$EX44)),"")</f>
        <v/>
      </c>
      <c r="FC44">
        <f>IF($EY44="row",INDEX($ER$5:$ER$1003,$EX44),"")</f>
        <v/>
      </c>
      <c r="FD44">
        <f>IF($EY44="row",INDEX($DN$5:$DN$1003,$EX44),"")</f>
        <v/>
      </c>
      <c r="FE44">
        <f>IF($EY44="row",INDEX($DO$5:$DO$1003,$EX44),"")</f>
        <v/>
      </c>
      <c r="FF44">
        <f>IF($EY44="row",INDEX($DP$5:$DP$1003,$EX44),"")</f>
        <v/>
      </c>
      <c r="FG44">
        <f>IF($EY44="row",INDEX($DQ$5:$DQ$1003,$EX44),"")</f>
        <v/>
      </c>
      <c r="FH44">
        <f>IF($EY44="row",INDEX($DR$5:$DR$1003,$EX44),"")</f>
        <v/>
      </c>
      <c r="FI44">
        <f>IF($EY44="row",INDEX($DS$5:$DS$1003,$EX44),"")</f>
        <v/>
      </c>
      <c r="FJ44">
        <f>IF($EY44="row",INDEX($DT$5:$DT$1003,$EX44),"")</f>
        <v/>
      </c>
      <c r="FK44">
        <f>IF($EY44="row",INDEX($DU$5:$DU$1003,$EX44),"")</f>
        <v/>
      </c>
      <c r="FL44">
        <f>IF($EY44="row",INDEX($DV$5:$DV$1003,$EX44),"")</f>
        <v/>
      </c>
      <c r="FM44">
        <f>IF($EY44="row",INDEX($DW$5:$DW$1003,$EX44),"")</f>
        <v/>
      </c>
      <c r="FN44">
        <f>IF($EY44="row",INDEX($DY$5:$DY$1003,$EX44),"")</f>
        <v/>
      </c>
      <c r="FO44">
        <f>IF($EY44="row",INDEX($EA$5:$EA$1003,$EX44),"")</f>
        <v/>
      </c>
      <c r="FP44">
        <f>IF($EY44="row",INDEX($EC$5:$EC$1003,$EX44),"")</f>
        <v/>
      </c>
      <c r="FQ44">
        <f>IF($EY44="row",INDEX($ET$5:$ET$1003,$EX44),"")</f>
        <v/>
      </c>
      <c r="FR44">
        <f>IF($EY44="row",INDEX($EU$5:$EU$1003,$EX44),"")</f>
        <v/>
      </c>
      <c r="FS44">
        <f>IF(AND($EY44="row",$EY43="row"),IF(OR(INDEX($DT$5:$DT$1003,$EX43)="",INDEX($DT$5:$DT$1003,$EX44)=""),"",IF(NOT(EXACT(INDEX($DT$5:$DT$1003,$EX43),INDEX($DT$5:$DT$1003,$EX44))),"S4",IF(NOT(EXACT(INDEX($DS$5:$DS$1003,$EX43),INDEX($DS$5:$DS$1003,$EX44))),"S3",IF(NOT(EXACT(INDEX($DR$5:$DR$1003,$EX43),INDEX($DR$5:$DR$1003,$EX44))),"S1 Count Change","S1")))),"")</f>
        <v/>
      </c>
      <c r="FT44">
        <f>IF($EY44="row",INDEX($ES$5:$ES$1003,$EX44),"")</f>
        <v/>
      </c>
      <c r="FU44">
        <f>IF($EY44="row",INDEX($EO$5:$EO$1003,$EX44),0)</f>
        <v/>
      </c>
      <c r="FV44">
        <f>IF($FS44="S1 Count Change",1,0)</f>
        <v/>
      </c>
      <c r="FX44" t="n">
        <v>40</v>
      </c>
      <c r="FY44">
        <f>IFERROR(MATCH($FX44,$EF$5:$EF$1003,0),0)</f>
        <v/>
      </c>
      <c r="FZ44">
        <f>IF($FY44=0,"",INDEX($DH$5:$DH$1003,$FY44))</f>
        <v/>
      </c>
      <c r="GA44">
        <f>IF($FY44=0,"",COUNTIF($EG$5:$EG$1003,$FX44))</f>
        <v/>
      </c>
      <c r="GB44">
        <f>IF($FY44=0,"",INDEX($ER$5:$ER$1003,$FY44))</f>
        <v/>
      </c>
      <c r="GC44">
        <f>IF($FY44=0,"",IF(INDEX($EO$5:$EO$1003,$FY44)=1,"Yes",""))</f>
        <v/>
      </c>
      <c r="GD44">
        <f>IF($FY44=0,"",IF(INDEX($EN$5:$EN$1003,$FY44)&gt;0,"","NOT IN YOUR LIST - type it in column A to tick it"))</f>
        <v/>
      </c>
      <c r="GE44">
        <f>IF(AND($FY44&gt;0,$GD44&lt;&gt;""),1,0)</f>
        <v/>
      </c>
      <c r="GF44">
        <f>GF43+$GE44</f>
        <v/>
      </c>
      <c r="GG44">
        <f>IFERROR(INDEX($FZ$5:$FZ$104,MATCH($FX44,$GF$5:$GF$104,0)),"")</f>
        <v/>
      </c>
    </row>
    <row r="45">
      <c r="S45" t="n">
        <v>41</v>
      </c>
      <c r="T45" t="inlineStr">
        <is>
          <t>AO</t>
        </is>
      </c>
      <c r="V45" t="inlineStr">
        <is>
          <t>BOTTLECT</t>
        </is>
      </c>
      <c r="W45" t="n">
        <v>6</v>
      </c>
      <c r="DA45" t="n">
        <v>41</v>
      </c>
      <c r="DB45">
        <f>IF($B$37=0,"",IFERROR(TRIM(SUBSTITUTE(SUBSTITUTE(SUBSTITUTE(SUBSTITUTE(INDEX(PASTE_ALL,41,$B$37)," "," "),CHAR(9)," "),CHAR(10)," "),CHAR(13)," ")),""))</f>
        <v/>
      </c>
      <c r="DC45">
        <f>IF(AND(41&gt;HEADER_ROW,UPPER(DB45)="LEGEND"),1,0)</f>
        <v/>
      </c>
      <c r="DE45" t="n">
        <v>41</v>
      </c>
      <c r="DF45">
        <f>HEADER_ROW+$DE45</f>
        <v/>
      </c>
      <c r="DG45">
        <f>IF(AND($DF45&lt;=1000,$DF45&lt;$B$8),1,0)</f>
        <v/>
      </c>
      <c r="DH45">
        <f>IF($DG45=1,IFERROR(INDEX($DB$5:$DB$1004,$DF45),""),"")</f>
        <v/>
      </c>
      <c r="DI45">
        <f>IF(AND($DG45=1,$DH45&lt;&gt;""),IFERROR(SUBSTITUTE(SUBSTITUTE(TRIM(SUBSTITUTE(SUBSTITUTE(SUBSTITUTE(SUBSTITUTE(IFERROR(INDEX(PASTE_ALL,$DF45,1)&amp;"","")&amp;"␟"&amp;IFERROR(INDEX(PASTE_ALL,$DF45,2)&amp;"","")&amp;"␟"&amp;IFERROR(INDEX(PASTE_ALL,$DF45,3)&amp;"","")&amp;"␟"&amp;IFERROR(INDEX(PASTE_ALL,$DF45,4)&amp;"","")&amp;"␟"&amp;IFERROR(INDEX(PASTE_ALL,$DF45,5)&amp;"","")&amp;"␟"&amp;IFERROR(INDEX(PASTE_ALL,$DF45,6)&amp;"","")&amp;"␟"&amp;IFERROR(INDEX(PASTE_ALL,$DF45,7)&amp;"","")&amp;"␟"&amp;IFERROR(INDEX(PASTE_ALL,$DF45,8)&amp;"","")&amp;"␟"&amp;IFERROR(INDEX(PASTE_ALL,$DF45,9)&amp;"","")&amp;"␟"&amp;IFERROR(INDEX(PASTE_ALL,$DF45,10)&amp;"","")&amp;"␟"&amp;IFERROR(INDEX(PASTE_ALL,$DF45,11)&amp;"","")&amp;"␟"&amp;IFERROR(INDEX(PASTE_ALL,$DF45,12)&amp;"","")&amp;"␟"&amp;IFERROR(INDEX(PASTE_ALL,$DF45,13)&amp;"","")&amp;"␟"&amp;IFERROR(INDEX(PASTE_ALL,$DF45,14)&amp;"","")&amp;"␟"&amp;IFERROR(INDEX(PASTE_ALL,$DF45,15)&amp;"","")&amp;"␟"&amp;IFERROR(INDEX(PASTE_ALL,$DF45,16)&amp;"","")&amp;"␟"&amp;IFERROR(INDEX(PASTE_ALL,$DF45,17)&amp;"","")&amp;"␟"&amp;IFERROR(INDEX(PASTE_ALL,$DF45,18)&amp;"","")&amp;"␟"&amp;IFERROR(INDEX(PASTE_ALL,$DF45,19)&amp;"","")&amp;"␟"&amp;IFERROR(INDEX(PASTE_ALL,$DF45,20)&amp;"","")&amp;"␟"&amp;IFERROR(INDEX(PASTE_ALL,$DF45,21)&amp;"","")&amp;"␟"&amp;IFERROR(INDEX(PASTE_ALL,$DF45,22)&amp;"","")&amp;"␟"&amp;IFERROR(INDEX(PASTE_ALL,$DF45,23)&amp;"","")&amp;"␟"&amp;IFERROR(INDEX(PASTE_ALL,$DF45,24)&amp;"","")&amp;"␟"&amp;IFERROR(INDEX(PASTE_ALL,$DF45,25)&amp;"","")&amp;"␟"&amp;IFERROR(INDEX(PASTE_ALL,$DF45,26)&amp;"","")&amp;"␟"&amp;IFERROR(INDEX(PASTE_ALL,$DF45,27)&amp;"","")&amp;"␟"&amp;IFERROR(INDEX(PASTE_ALL,$DF45,28)&amp;"","")&amp;"␟"&amp;IFERROR(INDEX(PASTE_ALL,$DF45,29)&amp;"","")&amp;"␟"&amp;IFERROR(INDEX(PASTE_ALL,$DF45,30)&amp;"","")&amp;"␟"&amp;IFERROR(INDEX(PASTE_ALL,$DF45,31)&amp;"","")&amp;"␟"&amp;IFERROR(INDEX(PASTE_ALL,$DF45,32)&amp;"","")&amp;"␟"&amp;IFERROR(INDEX(PASTE_ALL,$DF45,33)&amp;"","")&amp;"␟"&amp;IFERROR(INDEX(PASTE_ALL,$DF45,34)&amp;"","")&amp;"␟"&amp;IFERROR(INDEX(PASTE_ALL,$DF45,35)&amp;"","")&amp;"␟"&amp;IFERROR(INDEX(PASTE_ALL,$DF45,36)&amp;"","")&amp;"␟"&amp;IFERROR(INDEX(PASTE_ALL,$DF45,37)&amp;"","")&amp;"␟"&amp;IFERROR(INDEX(PASTE_ALL,$DF45,38)&amp;"","")&amp;"␟"&amp;IFERROR(INDEX(PASTE_ALL,$DF45,39)&amp;"","")&amp;"␟"&amp;IFERROR(INDEX(PASTE_ALL,$DF45,40)&amp;"","")&amp;"␟"&amp;IFERROR(INDEX(PASTE_ALL,$DF45,41)&amp;"","")&amp;"␟"&amp;IFERROR(INDEX(PASTE_ALL,$DF45,42)&amp;"","")&amp;"␟"&amp;IFERROR(INDEX(PASTE_ALL,$DF45,43)&amp;"","")&amp;"␟"&amp;IFERROR(INDEX(PASTE_ALL,$DF45,44)&amp;"","")&amp;"␟"&amp;IFERROR(INDEX(PASTE_ALL,$DF45,45)&amp;"","")&amp;"␟"&amp;IFERROR(INDEX(PASTE_ALL,$DF45,46)&amp;"","")&amp;"␟"&amp;IFERROR(INDEX(PASTE_ALL,$DF45,47)&amp;"","")&amp;"␟"&amp;IFERROR(INDEX(PASTE_ALL,$DF45,48)&amp;"","")&amp;"␟"&amp;IFERROR(INDEX(PASTE_ALL,$DF45,49)&amp;"","")&amp;"␟"&amp;IFERROR(INDEX(PASTE_ALL,$DF45,50)&amp;"","")&amp;"␟"&amp;IFERROR(INDEX(PASTE_ALL,$DF45,51)&amp;"","")&amp;"␟"&amp;IFERROR(INDEX(PASTE_ALL,$DF45,52)&amp;"","")&amp;"␟"&amp;IFERROR(INDEX(PASTE_ALL,$DF45,53)&amp;"","")&amp;"␟"&amp;IFERROR(INDEX(PASTE_ALL,$DF45,54)&amp;"","")&amp;"␟"&amp;IFERROR(INDEX(PASTE_ALL,$DF45,55)&amp;"","")&amp;"␟"&amp;IFERROR(INDEX(PASTE_ALL,$DF45,56)&amp;"","")&amp;"␟"&amp;IFERROR(INDEX(PASTE_ALL,$DF45,57)&amp;"","")&amp;"␟"&amp;IFERROR(INDEX(PASTE_ALL,$DF45,58)&amp;"","")&amp;"␟"&amp;IFERROR(INDEX(PASTE_ALL,$DF45,59)&amp;"","")&amp;"␟"&amp;IFERROR(INDEX(PASTE_ALL,$DF45,60)&amp;"","")," "," "),CHAR(9)," "),CHAR(10)," "),CHAR(13)," "))," ␟","␟"),"␟ ","␟"),"#"&amp;$DE45),"")</f>
        <v/>
      </c>
      <c r="DJ45">
        <f>IF($DI45="",0,IF(SUMPRODUCT(--EXACT($DI$4:DI44,$DI45))&gt;0,1,0))</f>
        <v/>
      </c>
      <c r="DK45">
        <f>IF(AND($DI45&lt;&gt;"",$DJ45=0),1,0)</f>
        <v/>
      </c>
      <c r="DL45">
        <f>DL44+$DK45</f>
        <v/>
      </c>
      <c r="DM45">
        <f>IF(AND($DK45=1,$DL45&lt;=600),1,0)</f>
        <v/>
      </c>
      <c r="DN45">
        <f>IF($DM45=0,"",IF($L$6=0,"",IFERROR(IF(ISNUMBER(INDEX(PASTE_ALL,$DF45,$L$6)),INDEX(PASTE_ALL,$DF45,$L$6),TRIM(SUBSTITUTE(SUBSTITUTE(SUBSTITUTE(SUBSTITUTE(INDEX(PASTE_ALL,$DF45,$L$6)," "," "),CHAR(9)," "),CHAR(10)," "),CHAR(13)," "))),"")))</f>
        <v/>
      </c>
      <c r="DO45">
        <f>IF($DM45=0,"",IF($L$7=0,"",IFERROR(IF(ISNUMBER(INDEX(PASTE_ALL,$DF45,$L$7)),INDEX(PASTE_ALL,$DF45,$L$7),TRIM(SUBSTITUTE(SUBSTITUTE(SUBSTITUTE(SUBSTITUTE(INDEX(PASTE_ALL,$DF45,$L$7)," "," "),CHAR(9)," "),CHAR(10)," "),CHAR(13)," "))),"")))</f>
        <v/>
      </c>
      <c r="DP45">
        <f>IF($DM45=0,"",IF($L$8=0,"",IFERROR(IF(ISNUMBER(INDEX(PASTE_ALL,$DF45,$L$8)),INDEX(PASTE_ALL,$DF45,$L$8),TRIM(SUBSTITUTE(SUBSTITUTE(SUBSTITUTE(SUBSTITUTE(INDEX(PASTE_ALL,$DF45,$L$8)," "," "),CHAR(9)," "),CHAR(10)," "),CHAR(13)," "))),"")))</f>
        <v/>
      </c>
      <c r="DQ45">
        <f>IF($DM45=0,"",IF($L$9=0,"",IFERROR(IF(ISNUMBER(INDEX(PASTE_ALL,$DF45,$L$9)),INDEX(PASTE_ALL,$DF45,$L$9),TRIM(SUBSTITUTE(SUBSTITUTE(SUBSTITUTE(SUBSTITUTE(INDEX(PASTE_ALL,$DF45,$L$9)," "," "),CHAR(9)," "),CHAR(10)," "),CHAR(13)," "))),"")))</f>
        <v/>
      </c>
      <c r="DR45">
        <f>IF($DM45=0,"",IF($L$10=0,"",IFERROR(IF(ISNUMBER(INDEX(PASTE_ALL,$DF45,$L$10)),INDEX(PASTE_ALL,$DF45,$L$10),TRIM(SUBSTITUTE(SUBSTITUTE(SUBSTITUTE(SUBSTITUTE(INDEX(PASTE_ALL,$DF45,$L$10)," "," "),CHAR(9)," "),CHAR(10)," "),CHAR(13)," "))),"")))</f>
        <v/>
      </c>
      <c r="DS45">
        <f>IF($DM45=0,"",IF($L$11=0,"",IFERROR(IF(ISNUMBER(INDEX(PASTE_ALL,$DF45,$L$11)),INDEX(PASTE_ALL,$DF45,$L$11),TRIM(SUBSTITUTE(SUBSTITUTE(SUBSTITUTE(SUBSTITUTE(INDEX(PASTE_ALL,$DF45,$L$11)," "," "),CHAR(9)," "),CHAR(10)," "),CHAR(13)," "))),"")))</f>
        <v/>
      </c>
      <c r="DT45">
        <f>IF($DM45=0,"",IF($L$12=0,"",IFERROR(IF(ISNUMBER(INDEX(PASTE_ALL,$DF45,$L$12)),INDEX(PASTE_ALL,$DF45,$L$12),TRIM(SUBSTITUTE(SUBSTITUTE(SUBSTITUTE(SUBSTITUTE(INDEX(PASTE_ALL,$DF45,$L$12)," "," "),CHAR(9)," "),CHAR(10)," "),CHAR(13)," "))),"")))</f>
        <v/>
      </c>
      <c r="DU45">
        <f>IF($DM45=0,"",IF($L$13=0,"",IFERROR(IF(ISNUMBER(INDEX(PASTE_ALL,$DF45,$L$13)),INDEX(PASTE_ALL,$DF45,$L$13),TRIM(SUBSTITUTE(SUBSTITUTE(SUBSTITUTE(SUBSTITUTE(INDEX(PASTE_ALL,$DF45,$L$13)," "," "),CHAR(9)," "),CHAR(10)," "),CHAR(13)," "))),"")))</f>
        <v/>
      </c>
      <c r="DV45">
        <f>IF($DM45=0,"",IF($L$14=0,"",IFERROR(IF(ISNUMBER(INDEX(PASTE_ALL,$DF45,$L$14)),INDEX(PASTE_ALL,$DF45,$L$14),TRIM(SUBSTITUTE(SUBSTITUTE(SUBSTITUTE(SUBSTITUTE(INDEX(PASTE_ALL,$DF45,$L$14)," "," "),CHAR(9)," "),CHAR(10)," "),CHAR(13)," "))),"")))</f>
        <v/>
      </c>
      <c r="DW45">
        <f>IF($DM45=0,"",IF($L$15=0,"",IFERROR(IF(ISNUMBER(INDEX(PASTE_ALL,$DF45,$L$15)),INDEX(PASTE_ALL,$DF45,$L$15),IF(SUMPRODUCT(--ISNUMBER(FIND({"A","B","C","D","E","F","G","H","I","J","K","L","M","N","O","P","Q","R","S","T","U","V","W","X","Y","Z","0","1","2","3","4","5","6","7","8","9"},UPPER(TRIM(SUBSTITUTE(SUBSTITUTE(SUBSTITUTE(SUBSTITUTE(INDEX(PASTE_ALL,$DF45,$L$15)," "," "),CHAR(9)," "),CHAR(10)," "),CHAR(13)," "))))))&gt;0,TRIM(SUBSTITUTE(SUBSTITUTE(SUBSTITUTE(SUBSTITUTE(INDEX(PASTE_ALL,$DF45,$L$15)," "," "),CHAR(9)," "),CHAR(10)," "),CHAR(13)," ")),"")),"")))</f>
        <v/>
      </c>
      <c r="DX45">
        <f>IF($DM45=0,"",IF($L$16=0,"",IFERROR(IF(ISNUMBER(INDEX(PASTE_ALL,$DF45,$L$16)),INDEX(PASTE_ALL,$DF45,$L$16),SUBSTITUTE(SUBSTITUTE(TRIM(SUBSTITUTE(SUBSTITUTE(SUBSTITUTE(SUBSTITUTE(INDEX(PASTE_ALL,$DF45,$L$16)," "," "),CHAR(9)," "),CHAR(10)," "),CHAR(13)," ")),",",""),"%","")),"")))</f>
        <v/>
      </c>
      <c r="DY45">
        <f>IF($DM45=0,"",IFERROR(IF(ISNUMBER($DX45),$DX45,IF($DX45="","",IF(TRIM($DX45)="",0,IF(AND(AND(SUBSTITUTE(SUBSTITUTE(SUBSTITUTE(SUBSTITUTE(SUBSTITUTE(SUBSTITUTE(SUBSTITUTE(SUBSTITUTE(SUBSTITUTE(SUBSTITUTE(SUBSTITUTE(SUBSTITUTE(SUBSTITUTE(SUBSTITUTE(UPPER(TRIM($DX45)),"0",""),"1",""),"2",""),"3",""),"4",""),"5",""),"6",""),"7",""),"8",""),"9",""),".",""),"+",""),"-",""),"E","")="",LEN(SUBSTITUTE(SUBSTITUTE(MID(UPPER(TRIM($DX45)),1+OR(LEFT(UPPER(TRIM($DX45)),1)="+",LEFT(UPPER(TRIM($DX45)),1)="-"),999),"E+","E"),"E-","E"))=LEN(SUBSTITUTE(SUBSTITUTE(SUBSTITUTE(SUBSTITUTE(MID(UPPER(TRIM($DX45)),1+OR(LEFT(UPPER(TRIM($DX45)),1)="+",LEFT(UPPER(TRIM($DX45)),1)="-"),999),"E+","E"),"E-","E"),"+",""),"-","")),LEN(UPPER(TRIM($DX45)))-LEN(SUBSTITUTE(UPPER(TRIM($DX45)),"E",""))&lt;2,LEN(UPPER(TRIM($DX45)))-LEN(SUBSTITUTE(UPPER(TRIM($DX45)),".",""))&lt;2,IFERROR(FIND(".",UPPER(TRIM($DX45))),0)&lt;IFERROR(FIND("E",UPPER(TRIM($DX45))),999)),ISNUMBER(VALUE(TRIM($DX45)))),VALUE(TRIM($DX45)),"")))),""))</f>
        <v/>
      </c>
      <c r="DZ45">
        <f>IF($DM45=0,"",IF($L$17=0,"",IFERROR(IF(ISNUMBER(INDEX(PASTE_ALL,$DF45,$L$17)),INDEX(PASTE_ALL,$DF45,$L$17),SUBSTITUTE(SUBSTITUTE(TRIM(SUBSTITUTE(SUBSTITUTE(SUBSTITUTE(SUBSTITUTE(INDEX(PASTE_ALL,$DF45,$L$17)," "," "),CHAR(9)," "),CHAR(10)," "),CHAR(13)," ")),",",""),"%","")),"")))</f>
        <v/>
      </c>
      <c r="EA45">
        <f>IF($DM45=0,"",IFERROR(IF(ISNUMBER($DZ45),$DZ45,IF($DZ45="","",IF(TRIM($DZ45)="",0,IF(AND(AND(SUBSTITUTE(SUBSTITUTE(SUBSTITUTE(SUBSTITUTE(SUBSTITUTE(SUBSTITUTE(SUBSTITUTE(SUBSTITUTE(SUBSTITUTE(SUBSTITUTE(SUBSTITUTE(SUBSTITUTE(SUBSTITUTE(SUBSTITUTE(UPPER(TRIM($DZ45)),"0",""),"1",""),"2",""),"3",""),"4",""),"5",""),"6",""),"7",""),"8",""),"9",""),".",""),"+",""),"-",""),"E","")="",LEN(SUBSTITUTE(SUBSTITUTE(MID(UPPER(TRIM($DZ45)),1+OR(LEFT(UPPER(TRIM($DZ45)),1)="+",LEFT(UPPER(TRIM($DZ45)),1)="-"),999),"E+","E"),"E-","E"))=LEN(SUBSTITUTE(SUBSTITUTE(SUBSTITUTE(SUBSTITUTE(MID(UPPER(TRIM($DZ45)),1+OR(LEFT(UPPER(TRIM($DZ45)),1)="+",LEFT(UPPER(TRIM($DZ45)),1)="-"),999),"E+","E"),"E-","E"),"+",""),"-","")),LEN(UPPER(TRIM($DZ45)))-LEN(SUBSTITUTE(UPPER(TRIM($DZ45)),"E",""))&lt;2,LEN(UPPER(TRIM($DZ45)))-LEN(SUBSTITUTE(UPPER(TRIM($DZ45)),".",""))&lt;2,IFERROR(FIND(".",UPPER(TRIM($DZ45))),0)&lt;IFERROR(FIND("E",UPPER(TRIM($DZ45))),999)),ISNUMBER(VALUE(TRIM($DZ45)))),VALUE(TRIM($DZ45)),"")))),""))</f>
        <v/>
      </c>
      <c r="EB45">
        <f>IF($DM45=0,"",IF($L$18=0,"",IFERROR(IF(UPPER(TRIM(SUBSTITUTE(SUBSTITUTE(SUBSTITUTE(SUBSTITUTE(INDEX(PASTE_ALL,$DF45,$L$18)," "," "),CHAR(9)," "),CHAR(10)," "),CHAR(13)," ")))="READY","Ready",IF(UPPER(TRIM(SUBSTITUTE(SUBSTITUTE(SUBSTITUTE(SUBSTITUTE(INDEX(PASTE_ALL,$DF45,$L$18)," "," "),CHAR(9)," "),CHAR(10)," "),CHAR(13)," ")))="PM","PM",IF(OR(UPPER(TRIM(SUBSTITUTE(SUBSTITUTE(SUBSTITUTE(SUBSTITUTE(INDEX(PASTE_ALL,$DF45,$L$18)," "," "),CHAR(9)," "),CHAR(10)," "),CHAR(13)," ")))="OT",UPPER(TRIM(SUBSTITUTE(SUBSTITUTE(SUBSTITUTE(SUBSTITUTE(INDEX(PASTE_ALL,$DF45,$L$18)," "," "),CHAR(9)," "),CHAR(10)," "),CHAR(13)," ")))="OVERTIME",UPPER(TRIM(SUBSTITUTE(SUBSTITUTE(SUBSTITUTE(SUBSTITUTE(INDEX(PASTE_ALL,$DF45,$L$18)," "," "),CHAR(9)," "),CHAR(10)," "),CHAR(13)," ")))="TRIAL"),"OT",TRIM(SUBSTITUTE(SUBSTITUTE(SUBSTITUTE(SUBSTITUTE(INDEX(PASTE_ALL,$DF45,$L$18)," "," "),CHAR(9)," "),CHAR(10)," "),CHAR(13)," "))))),"")))</f>
        <v/>
      </c>
      <c r="EC45">
        <f>IF($DM45=0,"",IF($L$19=0,"",IFERROR(IF(ISNUMBER(INDEX(PASTE_ALL,$DF45,$L$19)),INDEX(PASTE_ALL,$DF45,$L$19),TRIM(SUBSTITUTE(SUBSTITUTE(SUBSTITUTE(SUBSTITUTE(INDEX(PASTE_ALL,$DF45,$L$19)," "," "),CHAR(9)," "),CHAR(10)," "),CHAR(13)," "))),"")))</f>
        <v/>
      </c>
      <c r="ED45">
        <f>IF($DM45=0,"",MATCH(1,INDEX(EXACT($DH$5:DH45,$DH45)*$DM$5:DM45,0),0))</f>
        <v/>
      </c>
      <c r="EE45">
        <f>IF($DM45=0,0,IF($ED45=$DE45,1,0))</f>
        <v/>
      </c>
      <c r="EF45">
        <f>EF44+$EE45</f>
        <v/>
      </c>
      <c r="EG45">
        <f>IF($DM45=0,"",INDEX($EF$5:$EF$1003,$ED45))</f>
        <v/>
      </c>
      <c r="EH45">
        <f>IF($DM45=0,"",IF($DO45&lt;&gt;"","",IFERROR(LOOKUP(2,1/(($EG$4:EG44=$EG45)*($DO$4:DO44&lt;&gt;"")),$DO$4:DO44),"")))</f>
        <v/>
      </c>
      <c r="EI45">
        <f>IF($DM45=0,"",IF($DO45&lt;&gt;"",$DO45,$EH45))</f>
        <v/>
      </c>
      <c r="EJ45">
        <f>IF($DM45=0,"",IF($EI45="",0,IF(OR(ISNUMBER($EI45),AND(AND(SUBSTITUTE(SUBSTITUTE(SUBSTITUTE(SUBSTITUTE(SUBSTITUTE(SUBSTITUTE(SUBSTITUTE(SUBSTITUTE(SUBSTITUTE(SUBSTITUTE(SUBSTITUTE(SUBSTITUTE(SUBSTITUTE(SUBSTITUTE(UPPER($EI45),"0",""),"1",""),"2",""),"3",""),"4",""),"5",""),"6",""),"7",""),"8",""),"9",""),".",""),"+",""),"-",""),"E","")="",LEN(SUBSTITUTE(SUBSTITUTE(MID(UPPER($EI45),1+OR(LEFT(UPPER($EI45),1)="+",LEFT(UPPER($EI45),1)="-"),999),"E+","E"),"E-","E"))=LEN(SUBSTITUTE(SUBSTITUTE(SUBSTITUTE(SUBSTITUTE(MID(UPPER($EI45),1+OR(LEFT(UPPER($EI45),1)="+",LEFT(UPPER($EI45),1)="-"),999),"E+","E"),"E-","E"),"+",""),"-","")),LEN(UPPER($EI45))-LEN(SUBSTITUTE(UPPER($EI45),"E",""))&lt;2,LEN(UPPER($EI45))-LEN(SUBSTITUTE(UPPER($EI45),".",""))&lt;2,IFERROR(FIND(".",UPPER($EI45)),0)&lt;IFERROR(FIND("E",UPPER($EI45)),999)),ISNUMBER(VALUE($EI45)))),1,2)))</f>
        <v/>
      </c>
      <c r="EK45">
        <f>IF($DM45=0,"",IF($EJ45=1,IF(ISNUMBER($EI45),$EI45,VALUE($EI45)),IF($EJ45=2,$DE45,0)))</f>
        <v/>
      </c>
      <c r="EL45">
        <f>IF($DM45=0,"",COUNTIF($EG$5:$EG$1003,"&lt;"&amp;$EG45)+SUMPRODUCT(($EG$5:$EG$1003=$EG45)*(($EJ$5:$EJ$1003&lt;$EJ45)+($EJ$5:$EJ$1003=$EJ45)*(($EK$5:$EK$1003&lt;$EK45)+($EK$5:$EK$1003=$EK45)*($DE$5:$DE$1003&lt;$DE45))))+1)</f>
        <v/>
      </c>
      <c r="EM45">
        <f>IF($DM45=0,"",$EL45+$EG45-1)</f>
        <v/>
      </c>
      <c r="EN45">
        <f>IF($DM45=0,0,IFERROR(MATCH(1,INDEX(--(TRIM(SUBSTITUTE(SUBSTITUTE(SUBSTITUTE(SUBSTITUTE(LINES_NAME&amp;""," "," "),CHAR(9)," "),CHAR(10)," "),CHAR(13)," "))=$DH45),0),0),0))</f>
        <v/>
      </c>
      <c r="EO45">
        <f>IF($EN45=0,0,IF(OR(UPPER(TRIM(INDEX(LINES_SCHEDULED,$EN45)&amp;""))="YES",UPPER(TRIM(INDEX(LINES_SCHEDULED,$EN45)&amp;""))="Y",UPPER(TRIM(INDEX(LINES_SCHEDULED,$EN45)&amp;""))="X"),1,0))</f>
        <v/>
      </c>
      <c r="EP45">
        <f>IF($DM45=0,"",IF(COUNTIFS($EG$5:$EG$1003,$EG45,$EB$5:$EB$1003,"Ready")&gt;0,"READY",IF(COUNTIFS($EG$5:$EG$1003,$EG45,$EB$5:$EB$1003,"PM")&gt;0,"PM",IF(COUNTIFS($EG$5:$EG$1003,$EG45,$EB$5:$EB$1003,"OT")&gt;0,"OT",""))))</f>
        <v/>
      </c>
      <c r="EQ45">
        <f>IF($EN45=0,"",UPPER(TRIM(INDEX(LINES_STATUS,$EN45)&amp;"")))</f>
        <v/>
      </c>
      <c r="ER45">
        <f>IF($DM45=0,"",IF(OR($EQ45="READY",$EQ45="PM",$EQ45="OT"),$EQ45,$EP45))</f>
        <v/>
      </c>
      <c r="ES45">
        <f>IF($DM45=0,"",IF(AND($DV45&lt;&gt;"",UPPER($DV45)&lt;&gt;"N"),"allergen",IF(ISNUMBER(SEARCH("oil",$DQ45)),"oil",IF(OR(EXACT($DS45,"A662"),EXACT($DS45,"A624")),"bulk",""))))</f>
        <v/>
      </c>
      <c r="ET45">
        <f>IF($DM45=0,"",IF(OR($EA45="",$EA45=0),"",$EA45/100))</f>
        <v/>
      </c>
      <c r="EU45">
        <f>IF(OR($ET45="",$DY45=""),"",INT($DY45*(1-$ET45)+0.5))</f>
        <v/>
      </c>
      <c r="EW45" t="n">
        <v>41</v>
      </c>
      <c r="EX45">
        <f>IFERROR(MATCH($EW45,$EM$5:$EM$1003,0),0)</f>
        <v/>
      </c>
      <c r="EY45">
        <f>IF($EW45&gt;$B$12,"",IF($EX45&gt;0,"row","spacer"))</f>
        <v/>
      </c>
      <c r="EZ45">
        <f>IF(AND($EY45="row",$EY44&lt;&gt;"row"),1,0)</f>
        <v/>
      </c>
      <c r="FA45">
        <f>IF(AND($EY45="row",$EY46&lt;&gt;"row"),1,0)</f>
        <v/>
      </c>
      <c r="FB45">
        <f>IF($EZ45=1,IFERROR(IF(ISNUMBER(INDEX(PASTE_ALL,INDEX($DF$5:$DF$1003,$EX45),$B$37)),INDEX(PASTE_ALL,INDEX($DF$5:$DF$1003,$EX45),$B$37),INDEX($DH$5:$DH$1003,$EX45)),INDEX($DH$5:$DH$1003,$EX45)),"")</f>
        <v/>
      </c>
      <c r="FC45">
        <f>IF($EY45="row",INDEX($ER$5:$ER$1003,$EX45),"")</f>
        <v/>
      </c>
      <c r="FD45">
        <f>IF($EY45="row",INDEX($DN$5:$DN$1003,$EX45),"")</f>
        <v/>
      </c>
      <c r="FE45">
        <f>IF($EY45="row",INDEX($DO$5:$DO$1003,$EX45),"")</f>
        <v/>
      </c>
      <c r="FF45">
        <f>IF($EY45="row",INDEX($DP$5:$DP$1003,$EX45),"")</f>
        <v/>
      </c>
      <c r="FG45">
        <f>IF($EY45="row",INDEX($DQ$5:$DQ$1003,$EX45),"")</f>
        <v/>
      </c>
      <c r="FH45">
        <f>IF($EY45="row",INDEX($DR$5:$DR$1003,$EX45),"")</f>
        <v/>
      </c>
      <c r="FI45">
        <f>IF($EY45="row",INDEX($DS$5:$DS$1003,$EX45),"")</f>
        <v/>
      </c>
      <c r="FJ45">
        <f>IF($EY45="row",INDEX($DT$5:$DT$1003,$EX45),"")</f>
        <v/>
      </c>
      <c r="FK45">
        <f>IF($EY45="row",INDEX($DU$5:$DU$1003,$EX45),"")</f>
        <v/>
      </c>
      <c r="FL45">
        <f>IF($EY45="row",INDEX($DV$5:$DV$1003,$EX45),"")</f>
        <v/>
      </c>
      <c r="FM45">
        <f>IF($EY45="row",INDEX($DW$5:$DW$1003,$EX45),"")</f>
        <v/>
      </c>
      <c r="FN45">
        <f>IF($EY45="row",INDEX($DY$5:$DY$1003,$EX45),"")</f>
        <v/>
      </c>
      <c r="FO45">
        <f>IF($EY45="row",INDEX($EA$5:$EA$1003,$EX45),"")</f>
        <v/>
      </c>
      <c r="FP45">
        <f>IF($EY45="row",INDEX($EC$5:$EC$1003,$EX45),"")</f>
        <v/>
      </c>
      <c r="FQ45">
        <f>IF($EY45="row",INDEX($ET$5:$ET$1003,$EX45),"")</f>
        <v/>
      </c>
      <c r="FR45">
        <f>IF($EY45="row",INDEX($EU$5:$EU$1003,$EX45),"")</f>
        <v/>
      </c>
      <c r="FS45">
        <f>IF(AND($EY45="row",$EY44="row"),IF(OR(INDEX($DT$5:$DT$1003,$EX44)="",INDEX($DT$5:$DT$1003,$EX45)=""),"",IF(NOT(EXACT(INDEX($DT$5:$DT$1003,$EX44),INDEX($DT$5:$DT$1003,$EX45))),"S4",IF(NOT(EXACT(INDEX($DS$5:$DS$1003,$EX44),INDEX($DS$5:$DS$1003,$EX45))),"S3",IF(NOT(EXACT(INDEX($DR$5:$DR$1003,$EX44),INDEX($DR$5:$DR$1003,$EX45))),"S1 Count Change","S1")))),"")</f>
        <v/>
      </c>
      <c r="FT45">
        <f>IF($EY45="row",INDEX($ES$5:$ES$1003,$EX45),"")</f>
        <v/>
      </c>
      <c r="FU45">
        <f>IF($EY45="row",INDEX($EO$5:$EO$1003,$EX45),0)</f>
        <v/>
      </c>
      <c r="FV45">
        <f>IF($FS45="S1 Count Change",1,0)</f>
        <v/>
      </c>
      <c r="FX45" t="n">
        <v>41</v>
      </c>
      <c r="FY45">
        <f>IFERROR(MATCH($FX45,$EF$5:$EF$1003,0),0)</f>
        <v/>
      </c>
      <c r="FZ45">
        <f>IF($FY45=0,"",INDEX($DH$5:$DH$1003,$FY45))</f>
        <v/>
      </c>
      <c r="GA45">
        <f>IF($FY45=0,"",COUNTIF($EG$5:$EG$1003,$FX45))</f>
        <v/>
      </c>
      <c r="GB45">
        <f>IF($FY45=0,"",INDEX($ER$5:$ER$1003,$FY45))</f>
        <v/>
      </c>
      <c r="GC45">
        <f>IF($FY45=0,"",IF(INDEX($EO$5:$EO$1003,$FY45)=1,"Yes",""))</f>
        <v/>
      </c>
      <c r="GD45">
        <f>IF($FY45=0,"",IF(INDEX($EN$5:$EN$1003,$FY45)&gt;0,"","NOT IN YOUR LIST - type it in column A to tick it"))</f>
        <v/>
      </c>
      <c r="GE45">
        <f>IF(AND($FY45&gt;0,$GD45&lt;&gt;""),1,0)</f>
        <v/>
      </c>
      <c r="GF45">
        <f>GF44+$GE45</f>
        <v/>
      </c>
      <c r="GG45">
        <f>IFERROR(INDEX($FZ$5:$FZ$104,MATCH($FX45,$GF$5:$GF$104,0)),"")</f>
        <v/>
      </c>
    </row>
    <row r="46">
      <c r="S46" t="n">
        <v>42</v>
      </c>
      <c r="T46" t="inlineStr">
        <is>
          <t>AP</t>
        </is>
      </c>
      <c r="V46" t="inlineStr">
        <is>
          <t>BTLCT</t>
        </is>
      </c>
      <c r="W46" t="n">
        <v>6</v>
      </c>
      <c r="DA46" t="n">
        <v>42</v>
      </c>
      <c r="DB46">
        <f>IF($B$37=0,"",IFERROR(TRIM(SUBSTITUTE(SUBSTITUTE(SUBSTITUTE(SUBSTITUTE(INDEX(PASTE_ALL,42,$B$37)," "," "),CHAR(9)," "),CHAR(10)," "),CHAR(13)," ")),""))</f>
        <v/>
      </c>
      <c r="DC46">
        <f>IF(AND(42&gt;HEADER_ROW,UPPER(DB46)="LEGEND"),1,0)</f>
        <v/>
      </c>
      <c r="DE46" t="n">
        <v>42</v>
      </c>
      <c r="DF46">
        <f>HEADER_ROW+$DE46</f>
        <v/>
      </c>
      <c r="DG46">
        <f>IF(AND($DF46&lt;=1000,$DF46&lt;$B$8),1,0)</f>
        <v/>
      </c>
      <c r="DH46">
        <f>IF($DG46=1,IFERROR(INDEX($DB$5:$DB$1004,$DF46),""),"")</f>
        <v/>
      </c>
      <c r="DI46">
        <f>IF(AND($DG46=1,$DH46&lt;&gt;""),IFERROR(SUBSTITUTE(SUBSTITUTE(TRIM(SUBSTITUTE(SUBSTITUTE(SUBSTITUTE(SUBSTITUTE(IFERROR(INDEX(PASTE_ALL,$DF46,1)&amp;"","")&amp;"␟"&amp;IFERROR(INDEX(PASTE_ALL,$DF46,2)&amp;"","")&amp;"␟"&amp;IFERROR(INDEX(PASTE_ALL,$DF46,3)&amp;"","")&amp;"␟"&amp;IFERROR(INDEX(PASTE_ALL,$DF46,4)&amp;"","")&amp;"␟"&amp;IFERROR(INDEX(PASTE_ALL,$DF46,5)&amp;"","")&amp;"␟"&amp;IFERROR(INDEX(PASTE_ALL,$DF46,6)&amp;"","")&amp;"␟"&amp;IFERROR(INDEX(PASTE_ALL,$DF46,7)&amp;"","")&amp;"␟"&amp;IFERROR(INDEX(PASTE_ALL,$DF46,8)&amp;"","")&amp;"␟"&amp;IFERROR(INDEX(PASTE_ALL,$DF46,9)&amp;"","")&amp;"␟"&amp;IFERROR(INDEX(PASTE_ALL,$DF46,10)&amp;"","")&amp;"␟"&amp;IFERROR(INDEX(PASTE_ALL,$DF46,11)&amp;"","")&amp;"␟"&amp;IFERROR(INDEX(PASTE_ALL,$DF46,12)&amp;"","")&amp;"␟"&amp;IFERROR(INDEX(PASTE_ALL,$DF46,13)&amp;"","")&amp;"␟"&amp;IFERROR(INDEX(PASTE_ALL,$DF46,14)&amp;"","")&amp;"␟"&amp;IFERROR(INDEX(PASTE_ALL,$DF46,15)&amp;"","")&amp;"␟"&amp;IFERROR(INDEX(PASTE_ALL,$DF46,16)&amp;"","")&amp;"␟"&amp;IFERROR(INDEX(PASTE_ALL,$DF46,17)&amp;"","")&amp;"␟"&amp;IFERROR(INDEX(PASTE_ALL,$DF46,18)&amp;"","")&amp;"␟"&amp;IFERROR(INDEX(PASTE_ALL,$DF46,19)&amp;"","")&amp;"␟"&amp;IFERROR(INDEX(PASTE_ALL,$DF46,20)&amp;"","")&amp;"␟"&amp;IFERROR(INDEX(PASTE_ALL,$DF46,21)&amp;"","")&amp;"␟"&amp;IFERROR(INDEX(PASTE_ALL,$DF46,22)&amp;"","")&amp;"␟"&amp;IFERROR(INDEX(PASTE_ALL,$DF46,23)&amp;"","")&amp;"␟"&amp;IFERROR(INDEX(PASTE_ALL,$DF46,24)&amp;"","")&amp;"␟"&amp;IFERROR(INDEX(PASTE_ALL,$DF46,25)&amp;"","")&amp;"␟"&amp;IFERROR(INDEX(PASTE_ALL,$DF46,26)&amp;"","")&amp;"␟"&amp;IFERROR(INDEX(PASTE_ALL,$DF46,27)&amp;"","")&amp;"␟"&amp;IFERROR(INDEX(PASTE_ALL,$DF46,28)&amp;"","")&amp;"␟"&amp;IFERROR(INDEX(PASTE_ALL,$DF46,29)&amp;"","")&amp;"␟"&amp;IFERROR(INDEX(PASTE_ALL,$DF46,30)&amp;"","")&amp;"␟"&amp;IFERROR(INDEX(PASTE_ALL,$DF46,31)&amp;"","")&amp;"␟"&amp;IFERROR(INDEX(PASTE_ALL,$DF46,32)&amp;"","")&amp;"␟"&amp;IFERROR(INDEX(PASTE_ALL,$DF46,33)&amp;"","")&amp;"␟"&amp;IFERROR(INDEX(PASTE_ALL,$DF46,34)&amp;"","")&amp;"␟"&amp;IFERROR(INDEX(PASTE_ALL,$DF46,35)&amp;"","")&amp;"␟"&amp;IFERROR(INDEX(PASTE_ALL,$DF46,36)&amp;"","")&amp;"␟"&amp;IFERROR(INDEX(PASTE_ALL,$DF46,37)&amp;"","")&amp;"␟"&amp;IFERROR(INDEX(PASTE_ALL,$DF46,38)&amp;"","")&amp;"␟"&amp;IFERROR(INDEX(PASTE_ALL,$DF46,39)&amp;"","")&amp;"␟"&amp;IFERROR(INDEX(PASTE_ALL,$DF46,40)&amp;"","")&amp;"␟"&amp;IFERROR(INDEX(PASTE_ALL,$DF46,41)&amp;"","")&amp;"␟"&amp;IFERROR(INDEX(PASTE_ALL,$DF46,42)&amp;"","")&amp;"␟"&amp;IFERROR(INDEX(PASTE_ALL,$DF46,43)&amp;"","")&amp;"␟"&amp;IFERROR(INDEX(PASTE_ALL,$DF46,44)&amp;"","")&amp;"␟"&amp;IFERROR(INDEX(PASTE_ALL,$DF46,45)&amp;"","")&amp;"␟"&amp;IFERROR(INDEX(PASTE_ALL,$DF46,46)&amp;"","")&amp;"␟"&amp;IFERROR(INDEX(PASTE_ALL,$DF46,47)&amp;"","")&amp;"␟"&amp;IFERROR(INDEX(PASTE_ALL,$DF46,48)&amp;"","")&amp;"␟"&amp;IFERROR(INDEX(PASTE_ALL,$DF46,49)&amp;"","")&amp;"␟"&amp;IFERROR(INDEX(PASTE_ALL,$DF46,50)&amp;"","")&amp;"␟"&amp;IFERROR(INDEX(PASTE_ALL,$DF46,51)&amp;"","")&amp;"␟"&amp;IFERROR(INDEX(PASTE_ALL,$DF46,52)&amp;"","")&amp;"␟"&amp;IFERROR(INDEX(PASTE_ALL,$DF46,53)&amp;"","")&amp;"␟"&amp;IFERROR(INDEX(PASTE_ALL,$DF46,54)&amp;"","")&amp;"␟"&amp;IFERROR(INDEX(PASTE_ALL,$DF46,55)&amp;"","")&amp;"␟"&amp;IFERROR(INDEX(PASTE_ALL,$DF46,56)&amp;"","")&amp;"␟"&amp;IFERROR(INDEX(PASTE_ALL,$DF46,57)&amp;"","")&amp;"␟"&amp;IFERROR(INDEX(PASTE_ALL,$DF46,58)&amp;"","")&amp;"␟"&amp;IFERROR(INDEX(PASTE_ALL,$DF46,59)&amp;"","")&amp;"␟"&amp;IFERROR(INDEX(PASTE_ALL,$DF46,60)&amp;"","")," "," "),CHAR(9)," "),CHAR(10)," "),CHAR(13)," "))," ␟","␟"),"␟ ","␟"),"#"&amp;$DE46),"")</f>
        <v/>
      </c>
      <c r="DJ46">
        <f>IF($DI46="",0,IF(SUMPRODUCT(--EXACT($DI$4:DI45,$DI46))&gt;0,1,0))</f>
        <v/>
      </c>
      <c r="DK46">
        <f>IF(AND($DI46&lt;&gt;"",$DJ46=0),1,0)</f>
        <v/>
      </c>
      <c r="DL46">
        <f>DL45+$DK46</f>
        <v/>
      </c>
      <c r="DM46">
        <f>IF(AND($DK46=1,$DL46&lt;=600),1,0)</f>
        <v/>
      </c>
      <c r="DN46">
        <f>IF($DM46=0,"",IF($L$6=0,"",IFERROR(IF(ISNUMBER(INDEX(PASTE_ALL,$DF46,$L$6)),INDEX(PASTE_ALL,$DF46,$L$6),TRIM(SUBSTITUTE(SUBSTITUTE(SUBSTITUTE(SUBSTITUTE(INDEX(PASTE_ALL,$DF46,$L$6)," "," "),CHAR(9)," "),CHAR(10)," "),CHAR(13)," "))),"")))</f>
        <v/>
      </c>
      <c r="DO46">
        <f>IF($DM46=0,"",IF($L$7=0,"",IFERROR(IF(ISNUMBER(INDEX(PASTE_ALL,$DF46,$L$7)),INDEX(PASTE_ALL,$DF46,$L$7),TRIM(SUBSTITUTE(SUBSTITUTE(SUBSTITUTE(SUBSTITUTE(INDEX(PASTE_ALL,$DF46,$L$7)," "," "),CHAR(9)," "),CHAR(10)," "),CHAR(13)," "))),"")))</f>
        <v/>
      </c>
      <c r="DP46">
        <f>IF($DM46=0,"",IF($L$8=0,"",IFERROR(IF(ISNUMBER(INDEX(PASTE_ALL,$DF46,$L$8)),INDEX(PASTE_ALL,$DF46,$L$8),TRIM(SUBSTITUTE(SUBSTITUTE(SUBSTITUTE(SUBSTITUTE(INDEX(PASTE_ALL,$DF46,$L$8)," "," "),CHAR(9)," "),CHAR(10)," "),CHAR(13)," "))),"")))</f>
        <v/>
      </c>
      <c r="DQ46">
        <f>IF($DM46=0,"",IF($L$9=0,"",IFERROR(IF(ISNUMBER(INDEX(PASTE_ALL,$DF46,$L$9)),INDEX(PASTE_ALL,$DF46,$L$9),TRIM(SUBSTITUTE(SUBSTITUTE(SUBSTITUTE(SUBSTITUTE(INDEX(PASTE_ALL,$DF46,$L$9)," "," "),CHAR(9)," "),CHAR(10)," "),CHAR(13)," "))),"")))</f>
        <v/>
      </c>
      <c r="DR46">
        <f>IF($DM46=0,"",IF($L$10=0,"",IFERROR(IF(ISNUMBER(INDEX(PASTE_ALL,$DF46,$L$10)),INDEX(PASTE_ALL,$DF46,$L$10),TRIM(SUBSTITUTE(SUBSTITUTE(SUBSTITUTE(SUBSTITUTE(INDEX(PASTE_ALL,$DF46,$L$10)," "," "),CHAR(9)," "),CHAR(10)," "),CHAR(13)," "))),"")))</f>
        <v/>
      </c>
      <c r="DS46">
        <f>IF($DM46=0,"",IF($L$11=0,"",IFERROR(IF(ISNUMBER(INDEX(PASTE_ALL,$DF46,$L$11)),INDEX(PASTE_ALL,$DF46,$L$11),TRIM(SUBSTITUTE(SUBSTITUTE(SUBSTITUTE(SUBSTITUTE(INDEX(PASTE_ALL,$DF46,$L$11)," "," "),CHAR(9)," "),CHAR(10)," "),CHAR(13)," "))),"")))</f>
        <v/>
      </c>
      <c r="DT46">
        <f>IF($DM46=0,"",IF($L$12=0,"",IFERROR(IF(ISNUMBER(INDEX(PASTE_ALL,$DF46,$L$12)),INDEX(PASTE_ALL,$DF46,$L$12),TRIM(SUBSTITUTE(SUBSTITUTE(SUBSTITUTE(SUBSTITUTE(INDEX(PASTE_ALL,$DF46,$L$12)," "," "),CHAR(9)," "),CHAR(10)," "),CHAR(13)," "))),"")))</f>
        <v/>
      </c>
      <c r="DU46">
        <f>IF($DM46=0,"",IF($L$13=0,"",IFERROR(IF(ISNUMBER(INDEX(PASTE_ALL,$DF46,$L$13)),INDEX(PASTE_ALL,$DF46,$L$13),TRIM(SUBSTITUTE(SUBSTITUTE(SUBSTITUTE(SUBSTITUTE(INDEX(PASTE_ALL,$DF46,$L$13)," "," "),CHAR(9)," "),CHAR(10)," "),CHAR(13)," "))),"")))</f>
        <v/>
      </c>
      <c r="DV46">
        <f>IF($DM46=0,"",IF($L$14=0,"",IFERROR(IF(ISNUMBER(INDEX(PASTE_ALL,$DF46,$L$14)),INDEX(PASTE_ALL,$DF46,$L$14),TRIM(SUBSTITUTE(SUBSTITUTE(SUBSTITUTE(SUBSTITUTE(INDEX(PASTE_ALL,$DF46,$L$14)," "," "),CHAR(9)," "),CHAR(10)," "),CHAR(13)," "))),"")))</f>
        <v/>
      </c>
      <c r="DW46">
        <f>IF($DM46=0,"",IF($L$15=0,"",IFERROR(IF(ISNUMBER(INDEX(PASTE_ALL,$DF46,$L$15)),INDEX(PASTE_ALL,$DF46,$L$15),IF(SUMPRODUCT(--ISNUMBER(FIND({"A","B","C","D","E","F","G","H","I","J","K","L","M","N","O","P","Q","R","S","T","U","V","W","X","Y","Z","0","1","2","3","4","5","6","7","8","9"},UPPER(TRIM(SUBSTITUTE(SUBSTITUTE(SUBSTITUTE(SUBSTITUTE(INDEX(PASTE_ALL,$DF46,$L$15)," "," "),CHAR(9)," "),CHAR(10)," "),CHAR(13)," "))))))&gt;0,TRIM(SUBSTITUTE(SUBSTITUTE(SUBSTITUTE(SUBSTITUTE(INDEX(PASTE_ALL,$DF46,$L$15)," "," "),CHAR(9)," "),CHAR(10)," "),CHAR(13)," ")),"")),"")))</f>
        <v/>
      </c>
      <c r="DX46">
        <f>IF($DM46=0,"",IF($L$16=0,"",IFERROR(IF(ISNUMBER(INDEX(PASTE_ALL,$DF46,$L$16)),INDEX(PASTE_ALL,$DF46,$L$16),SUBSTITUTE(SUBSTITUTE(TRIM(SUBSTITUTE(SUBSTITUTE(SUBSTITUTE(SUBSTITUTE(INDEX(PASTE_ALL,$DF46,$L$16)," "," "),CHAR(9)," "),CHAR(10)," "),CHAR(13)," ")),",",""),"%","")),"")))</f>
        <v/>
      </c>
      <c r="DY46">
        <f>IF($DM46=0,"",IFERROR(IF(ISNUMBER($DX46),$DX46,IF($DX46="","",IF(TRIM($DX46)="",0,IF(AND(AND(SUBSTITUTE(SUBSTITUTE(SUBSTITUTE(SUBSTITUTE(SUBSTITUTE(SUBSTITUTE(SUBSTITUTE(SUBSTITUTE(SUBSTITUTE(SUBSTITUTE(SUBSTITUTE(SUBSTITUTE(SUBSTITUTE(SUBSTITUTE(UPPER(TRIM($DX46)),"0",""),"1",""),"2",""),"3",""),"4",""),"5",""),"6",""),"7",""),"8",""),"9",""),".",""),"+",""),"-",""),"E","")="",LEN(SUBSTITUTE(SUBSTITUTE(MID(UPPER(TRIM($DX46)),1+OR(LEFT(UPPER(TRIM($DX46)),1)="+",LEFT(UPPER(TRIM($DX46)),1)="-"),999),"E+","E"),"E-","E"))=LEN(SUBSTITUTE(SUBSTITUTE(SUBSTITUTE(SUBSTITUTE(MID(UPPER(TRIM($DX46)),1+OR(LEFT(UPPER(TRIM($DX46)),1)="+",LEFT(UPPER(TRIM($DX46)),1)="-"),999),"E+","E"),"E-","E"),"+",""),"-","")),LEN(UPPER(TRIM($DX46)))-LEN(SUBSTITUTE(UPPER(TRIM($DX46)),"E",""))&lt;2,LEN(UPPER(TRIM($DX46)))-LEN(SUBSTITUTE(UPPER(TRIM($DX46)),".",""))&lt;2,IFERROR(FIND(".",UPPER(TRIM($DX46))),0)&lt;IFERROR(FIND("E",UPPER(TRIM($DX46))),999)),ISNUMBER(VALUE(TRIM($DX46)))),VALUE(TRIM($DX46)),"")))),""))</f>
        <v/>
      </c>
      <c r="DZ46">
        <f>IF($DM46=0,"",IF($L$17=0,"",IFERROR(IF(ISNUMBER(INDEX(PASTE_ALL,$DF46,$L$17)),INDEX(PASTE_ALL,$DF46,$L$17),SUBSTITUTE(SUBSTITUTE(TRIM(SUBSTITUTE(SUBSTITUTE(SUBSTITUTE(SUBSTITUTE(INDEX(PASTE_ALL,$DF46,$L$17)," "," "),CHAR(9)," "),CHAR(10)," "),CHAR(13)," ")),",",""),"%","")),"")))</f>
        <v/>
      </c>
      <c r="EA46">
        <f>IF($DM46=0,"",IFERROR(IF(ISNUMBER($DZ46),$DZ46,IF($DZ46="","",IF(TRIM($DZ46)="",0,IF(AND(AND(SUBSTITUTE(SUBSTITUTE(SUBSTITUTE(SUBSTITUTE(SUBSTITUTE(SUBSTITUTE(SUBSTITUTE(SUBSTITUTE(SUBSTITUTE(SUBSTITUTE(SUBSTITUTE(SUBSTITUTE(SUBSTITUTE(SUBSTITUTE(UPPER(TRIM($DZ46)),"0",""),"1",""),"2",""),"3",""),"4",""),"5",""),"6",""),"7",""),"8",""),"9",""),".",""),"+",""),"-",""),"E","")="",LEN(SUBSTITUTE(SUBSTITUTE(MID(UPPER(TRIM($DZ46)),1+OR(LEFT(UPPER(TRIM($DZ46)),1)="+",LEFT(UPPER(TRIM($DZ46)),1)="-"),999),"E+","E"),"E-","E"))=LEN(SUBSTITUTE(SUBSTITUTE(SUBSTITUTE(SUBSTITUTE(MID(UPPER(TRIM($DZ46)),1+OR(LEFT(UPPER(TRIM($DZ46)),1)="+",LEFT(UPPER(TRIM($DZ46)),1)="-"),999),"E+","E"),"E-","E"),"+",""),"-","")),LEN(UPPER(TRIM($DZ46)))-LEN(SUBSTITUTE(UPPER(TRIM($DZ46)),"E",""))&lt;2,LEN(UPPER(TRIM($DZ46)))-LEN(SUBSTITUTE(UPPER(TRIM($DZ46)),".",""))&lt;2,IFERROR(FIND(".",UPPER(TRIM($DZ46))),0)&lt;IFERROR(FIND("E",UPPER(TRIM($DZ46))),999)),ISNUMBER(VALUE(TRIM($DZ46)))),VALUE(TRIM($DZ46)),"")))),""))</f>
        <v/>
      </c>
      <c r="EB46">
        <f>IF($DM46=0,"",IF($L$18=0,"",IFERROR(IF(UPPER(TRIM(SUBSTITUTE(SUBSTITUTE(SUBSTITUTE(SUBSTITUTE(INDEX(PASTE_ALL,$DF46,$L$18)," "," "),CHAR(9)," "),CHAR(10)," "),CHAR(13)," ")))="READY","Ready",IF(UPPER(TRIM(SUBSTITUTE(SUBSTITUTE(SUBSTITUTE(SUBSTITUTE(INDEX(PASTE_ALL,$DF46,$L$18)," "," "),CHAR(9)," "),CHAR(10)," "),CHAR(13)," ")))="PM","PM",IF(OR(UPPER(TRIM(SUBSTITUTE(SUBSTITUTE(SUBSTITUTE(SUBSTITUTE(INDEX(PASTE_ALL,$DF46,$L$18)," "," "),CHAR(9)," "),CHAR(10)," "),CHAR(13)," ")))="OT",UPPER(TRIM(SUBSTITUTE(SUBSTITUTE(SUBSTITUTE(SUBSTITUTE(INDEX(PASTE_ALL,$DF46,$L$18)," "," "),CHAR(9)," "),CHAR(10)," "),CHAR(13)," ")))="OVERTIME",UPPER(TRIM(SUBSTITUTE(SUBSTITUTE(SUBSTITUTE(SUBSTITUTE(INDEX(PASTE_ALL,$DF46,$L$18)," "," "),CHAR(9)," "),CHAR(10)," "),CHAR(13)," ")))="TRIAL"),"OT",TRIM(SUBSTITUTE(SUBSTITUTE(SUBSTITUTE(SUBSTITUTE(INDEX(PASTE_ALL,$DF46,$L$18)," "," "),CHAR(9)," "),CHAR(10)," "),CHAR(13)," "))))),"")))</f>
        <v/>
      </c>
      <c r="EC46">
        <f>IF($DM46=0,"",IF($L$19=0,"",IFERROR(IF(ISNUMBER(INDEX(PASTE_ALL,$DF46,$L$19)),INDEX(PASTE_ALL,$DF46,$L$19),TRIM(SUBSTITUTE(SUBSTITUTE(SUBSTITUTE(SUBSTITUTE(INDEX(PASTE_ALL,$DF46,$L$19)," "," "),CHAR(9)," "),CHAR(10)," "),CHAR(13)," "))),"")))</f>
        <v/>
      </c>
      <c r="ED46">
        <f>IF($DM46=0,"",MATCH(1,INDEX(EXACT($DH$5:DH46,$DH46)*$DM$5:DM46,0),0))</f>
        <v/>
      </c>
      <c r="EE46">
        <f>IF($DM46=0,0,IF($ED46=$DE46,1,0))</f>
        <v/>
      </c>
      <c r="EF46">
        <f>EF45+$EE46</f>
        <v/>
      </c>
      <c r="EG46">
        <f>IF($DM46=0,"",INDEX($EF$5:$EF$1003,$ED46))</f>
        <v/>
      </c>
      <c r="EH46">
        <f>IF($DM46=0,"",IF($DO46&lt;&gt;"","",IFERROR(LOOKUP(2,1/(($EG$4:EG45=$EG46)*($DO$4:DO45&lt;&gt;"")),$DO$4:DO45),"")))</f>
        <v/>
      </c>
      <c r="EI46">
        <f>IF($DM46=0,"",IF($DO46&lt;&gt;"",$DO46,$EH46))</f>
        <v/>
      </c>
      <c r="EJ46">
        <f>IF($DM46=0,"",IF($EI46="",0,IF(OR(ISNUMBER($EI46),AND(AND(SUBSTITUTE(SUBSTITUTE(SUBSTITUTE(SUBSTITUTE(SUBSTITUTE(SUBSTITUTE(SUBSTITUTE(SUBSTITUTE(SUBSTITUTE(SUBSTITUTE(SUBSTITUTE(SUBSTITUTE(SUBSTITUTE(SUBSTITUTE(UPPER($EI46),"0",""),"1",""),"2",""),"3",""),"4",""),"5",""),"6",""),"7",""),"8",""),"9",""),".",""),"+",""),"-",""),"E","")="",LEN(SUBSTITUTE(SUBSTITUTE(MID(UPPER($EI46),1+OR(LEFT(UPPER($EI46),1)="+",LEFT(UPPER($EI46),1)="-"),999),"E+","E"),"E-","E"))=LEN(SUBSTITUTE(SUBSTITUTE(SUBSTITUTE(SUBSTITUTE(MID(UPPER($EI46),1+OR(LEFT(UPPER($EI46),1)="+",LEFT(UPPER($EI46),1)="-"),999),"E+","E"),"E-","E"),"+",""),"-","")),LEN(UPPER($EI46))-LEN(SUBSTITUTE(UPPER($EI46),"E",""))&lt;2,LEN(UPPER($EI46))-LEN(SUBSTITUTE(UPPER($EI46),".",""))&lt;2,IFERROR(FIND(".",UPPER($EI46)),0)&lt;IFERROR(FIND("E",UPPER($EI46)),999)),ISNUMBER(VALUE($EI46)))),1,2)))</f>
        <v/>
      </c>
      <c r="EK46">
        <f>IF($DM46=0,"",IF($EJ46=1,IF(ISNUMBER($EI46),$EI46,VALUE($EI46)),IF($EJ46=2,$DE46,0)))</f>
        <v/>
      </c>
      <c r="EL46">
        <f>IF($DM46=0,"",COUNTIF($EG$5:$EG$1003,"&lt;"&amp;$EG46)+SUMPRODUCT(($EG$5:$EG$1003=$EG46)*(($EJ$5:$EJ$1003&lt;$EJ46)+($EJ$5:$EJ$1003=$EJ46)*(($EK$5:$EK$1003&lt;$EK46)+($EK$5:$EK$1003=$EK46)*($DE$5:$DE$1003&lt;$DE46))))+1)</f>
        <v/>
      </c>
      <c r="EM46">
        <f>IF($DM46=0,"",$EL46+$EG46-1)</f>
        <v/>
      </c>
      <c r="EN46">
        <f>IF($DM46=0,0,IFERROR(MATCH(1,INDEX(--(TRIM(SUBSTITUTE(SUBSTITUTE(SUBSTITUTE(SUBSTITUTE(LINES_NAME&amp;""," "," "),CHAR(9)," "),CHAR(10)," "),CHAR(13)," "))=$DH46),0),0),0))</f>
        <v/>
      </c>
      <c r="EO46">
        <f>IF($EN46=0,0,IF(OR(UPPER(TRIM(INDEX(LINES_SCHEDULED,$EN46)&amp;""))="YES",UPPER(TRIM(INDEX(LINES_SCHEDULED,$EN46)&amp;""))="Y",UPPER(TRIM(INDEX(LINES_SCHEDULED,$EN46)&amp;""))="X"),1,0))</f>
        <v/>
      </c>
      <c r="EP46">
        <f>IF($DM46=0,"",IF(COUNTIFS($EG$5:$EG$1003,$EG46,$EB$5:$EB$1003,"Ready")&gt;0,"READY",IF(COUNTIFS($EG$5:$EG$1003,$EG46,$EB$5:$EB$1003,"PM")&gt;0,"PM",IF(COUNTIFS($EG$5:$EG$1003,$EG46,$EB$5:$EB$1003,"OT")&gt;0,"OT",""))))</f>
        <v/>
      </c>
      <c r="EQ46">
        <f>IF($EN46=0,"",UPPER(TRIM(INDEX(LINES_STATUS,$EN46)&amp;"")))</f>
        <v/>
      </c>
      <c r="ER46">
        <f>IF($DM46=0,"",IF(OR($EQ46="READY",$EQ46="PM",$EQ46="OT"),$EQ46,$EP46))</f>
        <v/>
      </c>
      <c r="ES46">
        <f>IF($DM46=0,"",IF(AND($DV46&lt;&gt;"",UPPER($DV46)&lt;&gt;"N"),"allergen",IF(ISNUMBER(SEARCH("oil",$DQ46)),"oil",IF(OR(EXACT($DS46,"A662"),EXACT($DS46,"A624")),"bulk",""))))</f>
        <v/>
      </c>
      <c r="ET46">
        <f>IF($DM46=0,"",IF(OR($EA46="",$EA46=0),"",$EA46/100))</f>
        <v/>
      </c>
      <c r="EU46">
        <f>IF(OR($ET46="",$DY46=""),"",INT($DY46*(1-$ET46)+0.5))</f>
        <v/>
      </c>
      <c r="EW46" t="n">
        <v>42</v>
      </c>
      <c r="EX46">
        <f>IFERROR(MATCH($EW46,$EM$5:$EM$1003,0),0)</f>
        <v/>
      </c>
      <c r="EY46">
        <f>IF($EW46&gt;$B$12,"",IF($EX46&gt;0,"row","spacer"))</f>
        <v/>
      </c>
      <c r="EZ46">
        <f>IF(AND($EY46="row",$EY45&lt;&gt;"row"),1,0)</f>
        <v/>
      </c>
      <c r="FA46">
        <f>IF(AND($EY46="row",$EY47&lt;&gt;"row"),1,0)</f>
        <v/>
      </c>
      <c r="FB46">
        <f>IF($EZ46=1,IFERROR(IF(ISNUMBER(INDEX(PASTE_ALL,INDEX($DF$5:$DF$1003,$EX46),$B$37)),INDEX(PASTE_ALL,INDEX($DF$5:$DF$1003,$EX46),$B$37),INDEX($DH$5:$DH$1003,$EX46)),INDEX($DH$5:$DH$1003,$EX46)),"")</f>
        <v/>
      </c>
      <c r="FC46">
        <f>IF($EY46="row",INDEX($ER$5:$ER$1003,$EX46),"")</f>
        <v/>
      </c>
      <c r="FD46">
        <f>IF($EY46="row",INDEX($DN$5:$DN$1003,$EX46),"")</f>
        <v/>
      </c>
      <c r="FE46">
        <f>IF($EY46="row",INDEX($DO$5:$DO$1003,$EX46),"")</f>
        <v/>
      </c>
      <c r="FF46">
        <f>IF($EY46="row",INDEX($DP$5:$DP$1003,$EX46),"")</f>
        <v/>
      </c>
      <c r="FG46">
        <f>IF($EY46="row",INDEX($DQ$5:$DQ$1003,$EX46),"")</f>
        <v/>
      </c>
      <c r="FH46">
        <f>IF($EY46="row",INDEX($DR$5:$DR$1003,$EX46),"")</f>
        <v/>
      </c>
      <c r="FI46">
        <f>IF($EY46="row",INDEX($DS$5:$DS$1003,$EX46),"")</f>
        <v/>
      </c>
      <c r="FJ46">
        <f>IF($EY46="row",INDEX($DT$5:$DT$1003,$EX46),"")</f>
        <v/>
      </c>
      <c r="FK46">
        <f>IF($EY46="row",INDEX($DU$5:$DU$1003,$EX46),"")</f>
        <v/>
      </c>
      <c r="FL46">
        <f>IF($EY46="row",INDEX($DV$5:$DV$1003,$EX46),"")</f>
        <v/>
      </c>
      <c r="FM46">
        <f>IF($EY46="row",INDEX($DW$5:$DW$1003,$EX46),"")</f>
        <v/>
      </c>
      <c r="FN46">
        <f>IF($EY46="row",INDEX($DY$5:$DY$1003,$EX46),"")</f>
        <v/>
      </c>
      <c r="FO46">
        <f>IF($EY46="row",INDEX($EA$5:$EA$1003,$EX46),"")</f>
        <v/>
      </c>
      <c r="FP46">
        <f>IF($EY46="row",INDEX($EC$5:$EC$1003,$EX46),"")</f>
        <v/>
      </c>
      <c r="FQ46">
        <f>IF($EY46="row",INDEX($ET$5:$ET$1003,$EX46),"")</f>
        <v/>
      </c>
      <c r="FR46">
        <f>IF($EY46="row",INDEX($EU$5:$EU$1003,$EX46),"")</f>
        <v/>
      </c>
      <c r="FS46">
        <f>IF(AND($EY46="row",$EY45="row"),IF(OR(INDEX($DT$5:$DT$1003,$EX45)="",INDEX($DT$5:$DT$1003,$EX46)=""),"",IF(NOT(EXACT(INDEX($DT$5:$DT$1003,$EX45),INDEX($DT$5:$DT$1003,$EX46))),"S4",IF(NOT(EXACT(INDEX($DS$5:$DS$1003,$EX45),INDEX($DS$5:$DS$1003,$EX46))),"S3",IF(NOT(EXACT(INDEX($DR$5:$DR$1003,$EX45),INDEX($DR$5:$DR$1003,$EX46))),"S1 Count Change","S1")))),"")</f>
        <v/>
      </c>
      <c r="FT46">
        <f>IF($EY46="row",INDEX($ES$5:$ES$1003,$EX46),"")</f>
        <v/>
      </c>
      <c r="FU46">
        <f>IF($EY46="row",INDEX($EO$5:$EO$1003,$EX46),0)</f>
        <v/>
      </c>
      <c r="FV46">
        <f>IF($FS46="S1 Count Change",1,0)</f>
        <v/>
      </c>
      <c r="FX46" t="n">
        <v>42</v>
      </c>
      <c r="FY46">
        <f>IFERROR(MATCH($FX46,$EF$5:$EF$1003,0),0)</f>
        <v/>
      </c>
      <c r="FZ46">
        <f>IF($FY46=0,"",INDEX($DH$5:$DH$1003,$FY46))</f>
        <v/>
      </c>
      <c r="GA46">
        <f>IF($FY46=0,"",COUNTIF($EG$5:$EG$1003,$FX46))</f>
        <v/>
      </c>
      <c r="GB46">
        <f>IF($FY46=0,"",INDEX($ER$5:$ER$1003,$FY46))</f>
        <v/>
      </c>
      <c r="GC46">
        <f>IF($FY46=0,"",IF(INDEX($EO$5:$EO$1003,$FY46)=1,"Yes",""))</f>
        <v/>
      </c>
      <c r="GD46">
        <f>IF($FY46=0,"",IF(INDEX($EN$5:$EN$1003,$FY46)&gt;0,"","NOT IN YOUR LIST - type it in column A to tick it"))</f>
        <v/>
      </c>
      <c r="GE46">
        <f>IF(AND($FY46&gt;0,$GD46&lt;&gt;""),1,0)</f>
        <v/>
      </c>
      <c r="GF46">
        <f>GF45+$GE46</f>
        <v/>
      </c>
      <c r="GG46">
        <f>IFERROR(INDEX($FZ$5:$FZ$104,MATCH($FX46,$GF$5:$GF$104,0)),"")</f>
        <v/>
      </c>
    </row>
    <row r="47">
      <c r="S47" t="n">
        <v>43</v>
      </c>
      <c r="T47" t="inlineStr">
        <is>
          <t>AQ</t>
        </is>
      </c>
      <c r="V47" t="inlineStr">
        <is>
          <t>BTLCOUNT</t>
        </is>
      </c>
      <c r="W47" t="n">
        <v>6</v>
      </c>
      <c r="DA47" t="n">
        <v>43</v>
      </c>
      <c r="DB47">
        <f>IF($B$37=0,"",IFERROR(TRIM(SUBSTITUTE(SUBSTITUTE(SUBSTITUTE(SUBSTITUTE(INDEX(PASTE_ALL,43,$B$37)," "," "),CHAR(9)," "),CHAR(10)," "),CHAR(13)," ")),""))</f>
        <v/>
      </c>
      <c r="DC47">
        <f>IF(AND(43&gt;HEADER_ROW,UPPER(DB47)="LEGEND"),1,0)</f>
        <v/>
      </c>
      <c r="DE47" t="n">
        <v>43</v>
      </c>
      <c r="DF47">
        <f>HEADER_ROW+$DE47</f>
        <v/>
      </c>
      <c r="DG47">
        <f>IF(AND($DF47&lt;=1000,$DF47&lt;$B$8),1,0)</f>
        <v/>
      </c>
      <c r="DH47">
        <f>IF($DG47=1,IFERROR(INDEX($DB$5:$DB$1004,$DF47),""),"")</f>
        <v/>
      </c>
      <c r="DI47">
        <f>IF(AND($DG47=1,$DH47&lt;&gt;""),IFERROR(SUBSTITUTE(SUBSTITUTE(TRIM(SUBSTITUTE(SUBSTITUTE(SUBSTITUTE(SUBSTITUTE(IFERROR(INDEX(PASTE_ALL,$DF47,1)&amp;"","")&amp;"␟"&amp;IFERROR(INDEX(PASTE_ALL,$DF47,2)&amp;"","")&amp;"␟"&amp;IFERROR(INDEX(PASTE_ALL,$DF47,3)&amp;"","")&amp;"␟"&amp;IFERROR(INDEX(PASTE_ALL,$DF47,4)&amp;"","")&amp;"␟"&amp;IFERROR(INDEX(PASTE_ALL,$DF47,5)&amp;"","")&amp;"␟"&amp;IFERROR(INDEX(PASTE_ALL,$DF47,6)&amp;"","")&amp;"␟"&amp;IFERROR(INDEX(PASTE_ALL,$DF47,7)&amp;"","")&amp;"␟"&amp;IFERROR(INDEX(PASTE_ALL,$DF47,8)&amp;"","")&amp;"␟"&amp;IFERROR(INDEX(PASTE_ALL,$DF47,9)&amp;"","")&amp;"␟"&amp;IFERROR(INDEX(PASTE_ALL,$DF47,10)&amp;"","")&amp;"␟"&amp;IFERROR(INDEX(PASTE_ALL,$DF47,11)&amp;"","")&amp;"␟"&amp;IFERROR(INDEX(PASTE_ALL,$DF47,12)&amp;"","")&amp;"␟"&amp;IFERROR(INDEX(PASTE_ALL,$DF47,13)&amp;"","")&amp;"␟"&amp;IFERROR(INDEX(PASTE_ALL,$DF47,14)&amp;"","")&amp;"␟"&amp;IFERROR(INDEX(PASTE_ALL,$DF47,15)&amp;"","")&amp;"␟"&amp;IFERROR(INDEX(PASTE_ALL,$DF47,16)&amp;"","")&amp;"␟"&amp;IFERROR(INDEX(PASTE_ALL,$DF47,17)&amp;"","")&amp;"␟"&amp;IFERROR(INDEX(PASTE_ALL,$DF47,18)&amp;"","")&amp;"␟"&amp;IFERROR(INDEX(PASTE_ALL,$DF47,19)&amp;"","")&amp;"␟"&amp;IFERROR(INDEX(PASTE_ALL,$DF47,20)&amp;"","")&amp;"␟"&amp;IFERROR(INDEX(PASTE_ALL,$DF47,21)&amp;"","")&amp;"␟"&amp;IFERROR(INDEX(PASTE_ALL,$DF47,22)&amp;"","")&amp;"␟"&amp;IFERROR(INDEX(PASTE_ALL,$DF47,23)&amp;"","")&amp;"␟"&amp;IFERROR(INDEX(PASTE_ALL,$DF47,24)&amp;"","")&amp;"␟"&amp;IFERROR(INDEX(PASTE_ALL,$DF47,25)&amp;"","")&amp;"␟"&amp;IFERROR(INDEX(PASTE_ALL,$DF47,26)&amp;"","")&amp;"␟"&amp;IFERROR(INDEX(PASTE_ALL,$DF47,27)&amp;"","")&amp;"␟"&amp;IFERROR(INDEX(PASTE_ALL,$DF47,28)&amp;"","")&amp;"␟"&amp;IFERROR(INDEX(PASTE_ALL,$DF47,29)&amp;"","")&amp;"␟"&amp;IFERROR(INDEX(PASTE_ALL,$DF47,30)&amp;"","")&amp;"␟"&amp;IFERROR(INDEX(PASTE_ALL,$DF47,31)&amp;"","")&amp;"␟"&amp;IFERROR(INDEX(PASTE_ALL,$DF47,32)&amp;"","")&amp;"␟"&amp;IFERROR(INDEX(PASTE_ALL,$DF47,33)&amp;"","")&amp;"␟"&amp;IFERROR(INDEX(PASTE_ALL,$DF47,34)&amp;"","")&amp;"␟"&amp;IFERROR(INDEX(PASTE_ALL,$DF47,35)&amp;"","")&amp;"␟"&amp;IFERROR(INDEX(PASTE_ALL,$DF47,36)&amp;"","")&amp;"␟"&amp;IFERROR(INDEX(PASTE_ALL,$DF47,37)&amp;"","")&amp;"␟"&amp;IFERROR(INDEX(PASTE_ALL,$DF47,38)&amp;"","")&amp;"␟"&amp;IFERROR(INDEX(PASTE_ALL,$DF47,39)&amp;"","")&amp;"␟"&amp;IFERROR(INDEX(PASTE_ALL,$DF47,40)&amp;"","")&amp;"␟"&amp;IFERROR(INDEX(PASTE_ALL,$DF47,41)&amp;"","")&amp;"␟"&amp;IFERROR(INDEX(PASTE_ALL,$DF47,42)&amp;"","")&amp;"␟"&amp;IFERROR(INDEX(PASTE_ALL,$DF47,43)&amp;"","")&amp;"␟"&amp;IFERROR(INDEX(PASTE_ALL,$DF47,44)&amp;"","")&amp;"␟"&amp;IFERROR(INDEX(PASTE_ALL,$DF47,45)&amp;"","")&amp;"␟"&amp;IFERROR(INDEX(PASTE_ALL,$DF47,46)&amp;"","")&amp;"␟"&amp;IFERROR(INDEX(PASTE_ALL,$DF47,47)&amp;"","")&amp;"␟"&amp;IFERROR(INDEX(PASTE_ALL,$DF47,48)&amp;"","")&amp;"␟"&amp;IFERROR(INDEX(PASTE_ALL,$DF47,49)&amp;"","")&amp;"␟"&amp;IFERROR(INDEX(PASTE_ALL,$DF47,50)&amp;"","")&amp;"␟"&amp;IFERROR(INDEX(PASTE_ALL,$DF47,51)&amp;"","")&amp;"␟"&amp;IFERROR(INDEX(PASTE_ALL,$DF47,52)&amp;"","")&amp;"␟"&amp;IFERROR(INDEX(PASTE_ALL,$DF47,53)&amp;"","")&amp;"␟"&amp;IFERROR(INDEX(PASTE_ALL,$DF47,54)&amp;"","")&amp;"␟"&amp;IFERROR(INDEX(PASTE_ALL,$DF47,55)&amp;"","")&amp;"␟"&amp;IFERROR(INDEX(PASTE_ALL,$DF47,56)&amp;"","")&amp;"␟"&amp;IFERROR(INDEX(PASTE_ALL,$DF47,57)&amp;"","")&amp;"␟"&amp;IFERROR(INDEX(PASTE_ALL,$DF47,58)&amp;"","")&amp;"␟"&amp;IFERROR(INDEX(PASTE_ALL,$DF47,59)&amp;"","")&amp;"␟"&amp;IFERROR(INDEX(PASTE_ALL,$DF47,60)&amp;"","")," "," "),CHAR(9)," "),CHAR(10)," "),CHAR(13)," "))," ␟","␟"),"␟ ","␟"),"#"&amp;$DE47),"")</f>
        <v/>
      </c>
      <c r="DJ47">
        <f>IF($DI47="",0,IF(SUMPRODUCT(--EXACT($DI$4:DI46,$DI47))&gt;0,1,0))</f>
        <v/>
      </c>
      <c r="DK47">
        <f>IF(AND($DI47&lt;&gt;"",$DJ47=0),1,0)</f>
        <v/>
      </c>
      <c r="DL47">
        <f>DL46+$DK47</f>
        <v/>
      </c>
      <c r="DM47">
        <f>IF(AND($DK47=1,$DL47&lt;=600),1,0)</f>
        <v/>
      </c>
      <c r="DN47">
        <f>IF($DM47=0,"",IF($L$6=0,"",IFERROR(IF(ISNUMBER(INDEX(PASTE_ALL,$DF47,$L$6)),INDEX(PASTE_ALL,$DF47,$L$6),TRIM(SUBSTITUTE(SUBSTITUTE(SUBSTITUTE(SUBSTITUTE(INDEX(PASTE_ALL,$DF47,$L$6)," "," "),CHAR(9)," "),CHAR(10)," "),CHAR(13)," "))),"")))</f>
        <v/>
      </c>
      <c r="DO47">
        <f>IF($DM47=0,"",IF($L$7=0,"",IFERROR(IF(ISNUMBER(INDEX(PASTE_ALL,$DF47,$L$7)),INDEX(PASTE_ALL,$DF47,$L$7),TRIM(SUBSTITUTE(SUBSTITUTE(SUBSTITUTE(SUBSTITUTE(INDEX(PASTE_ALL,$DF47,$L$7)," "," "),CHAR(9)," "),CHAR(10)," "),CHAR(13)," "))),"")))</f>
        <v/>
      </c>
      <c r="DP47">
        <f>IF($DM47=0,"",IF($L$8=0,"",IFERROR(IF(ISNUMBER(INDEX(PASTE_ALL,$DF47,$L$8)),INDEX(PASTE_ALL,$DF47,$L$8),TRIM(SUBSTITUTE(SUBSTITUTE(SUBSTITUTE(SUBSTITUTE(INDEX(PASTE_ALL,$DF47,$L$8)," "," "),CHAR(9)," "),CHAR(10)," "),CHAR(13)," "))),"")))</f>
        <v/>
      </c>
      <c r="DQ47">
        <f>IF($DM47=0,"",IF($L$9=0,"",IFERROR(IF(ISNUMBER(INDEX(PASTE_ALL,$DF47,$L$9)),INDEX(PASTE_ALL,$DF47,$L$9),TRIM(SUBSTITUTE(SUBSTITUTE(SUBSTITUTE(SUBSTITUTE(INDEX(PASTE_ALL,$DF47,$L$9)," "," "),CHAR(9)," "),CHAR(10)," "),CHAR(13)," "))),"")))</f>
        <v/>
      </c>
      <c r="DR47">
        <f>IF($DM47=0,"",IF($L$10=0,"",IFERROR(IF(ISNUMBER(INDEX(PASTE_ALL,$DF47,$L$10)),INDEX(PASTE_ALL,$DF47,$L$10),TRIM(SUBSTITUTE(SUBSTITUTE(SUBSTITUTE(SUBSTITUTE(INDEX(PASTE_ALL,$DF47,$L$10)," "," "),CHAR(9)," "),CHAR(10)," "),CHAR(13)," "))),"")))</f>
        <v/>
      </c>
      <c r="DS47">
        <f>IF($DM47=0,"",IF($L$11=0,"",IFERROR(IF(ISNUMBER(INDEX(PASTE_ALL,$DF47,$L$11)),INDEX(PASTE_ALL,$DF47,$L$11),TRIM(SUBSTITUTE(SUBSTITUTE(SUBSTITUTE(SUBSTITUTE(INDEX(PASTE_ALL,$DF47,$L$11)," "," "),CHAR(9)," "),CHAR(10)," "),CHAR(13)," "))),"")))</f>
        <v/>
      </c>
      <c r="DT47">
        <f>IF($DM47=0,"",IF($L$12=0,"",IFERROR(IF(ISNUMBER(INDEX(PASTE_ALL,$DF47,$L$12)),INDEX(PASTE_ALL,$DF47,$L$12),TRIM(SUBSTITUTE(SUBSTITUTE(SUBSTITUTE(SUBSTITUTE(INDEX(PASTE_ALL,$DF47,$L$12)," "," "),CHAR(9)," "),CHAR(10)," "),CHAR(13)," "))),"")))</f>
        <v/>
      </c>
      <c r="DU47">
        <f>IF($DM47=0,"",IF($L$13=0,"",IFERROR(IF(ISNUMBER(INDEX(PASTE_ALL,$DF47,$L$13)),INDEX(PASTE_ALL,$DF47,$L$13),TRIM(SUBSTITUTE(SUBSTITUTE(SUBSTITUTE(SUBSTITUTE(INDEX(PASTE_ALL,$DF47,$L$13)," "," "),CHAR(9)," "),CHAR(10)," "),CHAR(13)," "))),"")))</f>
        <v/>
      </c>
      <c r="DV47">
        <f>IF($DM47=0,"",IF($L$14=0,"",IFERROR(IF(ISNUMBER(INDEX(PASTE_ALL,$DF47,$L$14)),INDEX(PASTE_ALL,$DF47,$L$14),TRIM(SUBSTITUTE(SUBSTITUTE(SUBSTITUTE(SUBSTITUTE(INDEX(PASTE_ALL,$DF47,$L$14)," "," "),CHAR(9)," "),CHAR(10)," "),CHAR(13)," "))),"")))</f>
        <v/>
      </c>
      <c r="DW47">
        <f>IF($DM47=0,"",IF($L$15=0,"",IFERROR(IF(ISNUMBER(INDEX(PASTE_ALL,$DF47,$L$15)),INDEX(PASTE_ALL,$DF47,$L$15),IF(SUMPRODUCT(--ISNUMBER(FIND({"A","B","C","D","E","F","G","H","I","J","K","L","M","N","O","P","Q","R","S","T","U","V","W","X","Y","Z","0","1","2","3","4","5","6","7","8","9"},UPPER(TRIM(SUBSTITUTE(SUBSTITUTE(SUBSTITUTE(SUBSTITUTE(INDEX(PASTE_ALL,$DF47,$L$15)," "," "),CHAR(9)," "),CHAR(10)," "),CHAR(13)," "))))))&gt;0,TRIM(SUBSTITUTE(SUBSTITUTE(SUBSTITUTE(SUBSTITUTE(INDEX(PASTE_ALL,$DF47,$L$15)," "," "),CHAR(9)," "),CHAR(10)," "),CHAR(13)," ")),"")),"")))</f>
        <v/>
      </c>
      <c r="DX47">
        <f>IF($DM47=0,"",IF($L$16=0,"",IFERROR(IF(ISNUMBER(INDEX(PASTE_ALL,$DF47,$L$16)),INDEX(PASTE_ALL,$DF47,$L$16),SUBSTITUTE(SUBSTITUTE(TRIM(SUBSTITUTE(SUBSTITUTE(SUBSTITUTE(SUBSTITUTE(INDEX(PASTE_ALL,$DF47,$L$16)," "," "),CHAR(9)," "),CHAR(10)," "),CHAR(13)," ")),",",""),"%","")),"")))</f>
        <v/>
      </c>
      <c r="DY47">
        <f>IF($DM47=0,"",IFERROR(IF(ISNUMBER($DX47),$DX47,IF($DX47="","",IF(TRIM($DX47)="",0,IF(AND(AND(SUBSTITUTE(SUBSTITUTE(SUBSTITUTE(SUBSTITUTE(SUBSTITUTE(SUBSTITUTE(SUBSTITUTE(SUBSTITUTE(SUBSTITUTE(SUBSTITUTE(SUBSTITUTE(SUBSTITUTE(SUBSTITUTE(SUBSTITUTE(UPPER(TRIM($DX47)),"0",""),"1",""),"2",""),"3",""),"4",""),"5",""),"6",""),"7",""),"8",""),"9",""),".",""),"+",""),"-",""),"E","")="",LEN(SUBSTITUTE(SUBSTITUTE(MID(UPPER(TRIM($DX47)),1+OR(LEFT(UPPER(TRIM($DX47)),1)="+",LEFT(UPPER(TRIM($DX47)),1)="-"),999),"E+","E"),"E-","E"))=LEN(SUBSTITUTE(SUBSTITUTE(SUBSTITUTE(SUBSTITUTE(MID(UPPER(TRIM($DX47)),1+OR(LEFT(UPPER(TRIM($DX47)),1)="+",LEFT(UPPER(TRIM($DX47)),1)="-"),999),"E+","E"),"E-","E"),"+",""),"-","")),LEN(UPPER(TRIM($DX47)))-LEN(SUBSTITUTE(UPPER(TRIM($DX47)),"E",""))&lt;2,LEN(UPPER(TRIM($DX47)))-LEN(SUBSTITUTE(UPPER(TRIM($DX47)),".",""))&lt;2,IFERROR(FIND(".",UPPER(TRIM($DX47))),0)&lt;IFERROR(FIND("E",UPPER(TRIM($DX47))),999)),ISNUMBER(VALUE(TRIM($DX47)))),VALUE(TRIM($DX47)),"")))),""))</f>
        <v/>
      </c>
      <c r="DZ47">
        <f>IF($DM47=0,"",IF($L$17=0,"",IFERROR(IF(ISNUMBER(INDEX(PASTE_ALL,$DF47,$L$17)),INDEX(PASTE_ALL,$DF47,$L$17),SUBSTITUTE(SUBSTITUTE(TRIM(SUBSTITUTE(SUBSTITUTE(SUBSTITUTE(SUBSTITUTE(INDEX(PASTE_ALL,$DF47,$L$17)," "," "),CHAR(9)," "),CHAR(10)," "),CHAR(13)," ")),",",""),"%","")),"")))</f>
        <v/>
      </c>
      <c r="EA47">
        <f>IF($DM47=0,"",IFERROR(IF(ISNUMBER($DZ47),$DZ47,IF($DZ47="","",IF(TRIM($DZ47)="",0,IF(AND(AND(SUBSTITUTE(SUBSTITUTE(SUBSTITUTE(SUBSTITUTE(SUBSTITUTE(SUBSTITUTE(SUBSTITUTE(SUBSTITUTE(SUBSTITUTE(SUBSTITUTE(SUBSTITUTE(SUBSTITUTE(SUBSTITUTE(SUBSTITUTE(UPPER(TRIM($DZ47)),"0",""),"1",""),"2",""),"3",""),"4",""),"5",""),"6",""),"7",""),"8",""),"9",""),".",""),"+",""),"-",""),"E","")="",LEN(SUBSTITUTE(SUBSTITUTE(MID(UPPER(TRIM($DZ47)),1+OR(LEFT(UPPER(TRIM($DZ47)),1)="+",LEFT(UPPER(TRIM($DZ47)),1)="-"),999),"E+","E"),"E-","E"))=LEN(SUBSTITUTE(SUBSTITUTE(SUBSTITUTE(SUBSTITUTE(MID(UPPER(TRIM($DZ47)),1+OR(LEFT(UPPER(TRIM($DZ47)),1)="+",LEFT(UPPER(TRIM($DZ47)),1)="-"),999),"E+","E"),"E-","E"),"+",""),"-","")),LEN(UPPER(TRIM($DZ47)))-LEN(SUBSTITUTE(UPPER(TRIM($DZ47)),"E",""))&lt;2,LEN(UPPER(TRIM($DZ47)))-LEN(SUBSTITUTE(UPPER(TRIM($DZ47)),".",""))&lt;2,IFERROR(FIND(".",UPPER(TRIM($DZ47))),0)&lt;IFERROR(FIND("E",UPPER(TRIM($DZ47))),999)),ISNUMBER(VALUE(TRIM($DZ47)))),VALUE(TRIM($DZ47)),"")))),""))</f>
        <v/>
      </c>
      <c r="EB47">
        <f>IF($DM47=0,"",IF($L$18=0,"",IFERROR(IF(UPPER(TRIM(SUBSTITUTE(SUBSTITUTE(SUBSTITUTE(SUBSTITUTE(INDEX(PASTE_ALL,$DF47,$L$18)," "," "),CHAR(9)," "),CHAR(10)," "),CHAR(13)," ")))="READY","Ready",IF(UPPER(TRIM(SUBSTITUTE(SUBSTITUTE(SUBSTITUTE(SUBSTITUTE(INDEX(PASTE_ALL,$DF47,$L$18)," "," "),CHAR(9)," "),CHAR(10)," "),CHAR(13)," ")))="PM","PM",IF(OR(UPPER(TRIM(SUBSTITUTE(SUBSTITUTE(SUBSTITUTE(SUBSTITUTE(INDEX(PASTE_ALL,$DF47,$L$18)," "," "),CHAR(9)," "),CHAR(10)," "),CHAR(13)," ")))="OT",UPPER(TRIM(SUBSTITUTE(SUBSTITUTE(SUBSTITUTE(SUBSTITUTE(INDEX(PASTE_ALL,$DF47,$L$18)," "," "),CHAR(9)," "),CHAR(10)," "),CHAR(13)," ")))="OVERTIME",UPPER(TRIM(SUBSTITUTE(SUBSTITUTE(SUBSTITUTE(SUBSTITUTE(INDEX(PASTE_ALL,$DF47,$L$18)," "," "),CHAR(9)," "),CHAR(10)," "),CHAR(13)," ")))="TRIAL"),"OT",TRIM(SUBSTITUTE(SUBSTITUTE(SUBSTITUTE(SUBSTITUTE(INDEX(PASTE_ALL,$DF47,$L$18)," "," "),CHAR(9)," "),CHAR(10)," "),CHAR(13)," "))))),"")))</f>
        <v/>
      </c>
      <c r="EC47">
        <f>IF($DM47=0,"",IF($L$19=0,"",IFERROR(IF(ISNUMBER(INDEX(PASTE_ALL,$DF47,$L$19)),INDEX(PASTE_ALL,$DF47,$L$19),TRIM(SUBSTITUTE(SUBSTITUTE(SUBSTITUTE(SUBSTITUTE(INDEX(PASTE_ALL,$DF47,$L$19)," "," "),CHAR(9)," "),CHAR(10)," "),CHAR(13)," "))),"")))</f>
        <v/>
      </c>
      <c r="ED47">
        <f>IF($DM47=0,"",MATCH(1,INDEX(EXACT($DH$5:DH47,$DH47)*$DM$5:DM47,0),0))</f>
        <v/>
      </c>
      <c r="EE47">
        <f>IF($DM47=0,0,IF($ED47=$DE47,1,0))</f>
        <v/>
      </c>
      <c r="EF47">
        <f>EF46+$EE47</f>
        <v/>
      </c>
      <c r="EG47">
        <f>IF($DM47=0,"",INDEX($EF$5:$EF$1003,$ED47))</f>
        <v/>
      </c>
      <c r="EH47">
        <f>IF($DM47=0,"",IF($DO47&lt;&gt;"","",IFERROR(LOOKUP(2,1/(($EG$4:EG46=$EG47)*($DO$4:DO46&lt;&gt;"")),$DO$4:DO46),"")))</f>
        <v/>
      </c>
      <c r="EI47">
        <f>IF($DM47=0,"",IF($DO47&lt;&gt;"",$DO47,$EH47))</f>
        <v/>
      </c>
      <c r="EJ47">
        <f>IF($DM47=0,"",IF($EI47="",0,IF(OR(ISNUMBER($EI47),AND(AND(SUBSTITUTE(SUBSTITUTE(SUBSTITUTE(SUBSTITUTE(SUBSTITUTE(SUBSTITUTE(SUBSTITUTE(SUBSTITUTE(SUBSTITUTE(SUBSTITUTE(SUBSTITUTE(SUBSTITUTE(SUBSTITUTE(SUBSTITUTE(UPPER($EI47),"0",""),"1",""),"2",""),"3",""),"4",""),"5",""),"6",""),"7",""),"8",""),"9",""),".",""),"+",""),"-",""),"E","")="",LEN(SUBSTITUTE(SUBSTITUTE(MID(UPPER($EI47),1+OR(LEFT(UPPER($EI47),1)="+",LEFT(UPPER($EI47),1)="-"),999),"E+","E"),"E-","E"))=LEN(SUBSTITUTE(SUBSTITUTE(SUBSTITUTE(SUBSTITUTE(MID(UPPER($EI47),1+OR(LEFT(UPPER($EI47),1)="+",LEFT(UPPER($EI47),1)="-"),999),"E+","E"),"E-","E"),"+",""),"-","")),LEN(UPPER($EI47))-LEN(SUBSTITUTE(UPPER($EI47),"E",""))&lt;2,LEN(UPPER($EI47))-LEN(SUBSTITUTE(UPPER($EI47),".",""))&lt;2,IFERROR(FIND(".",UPPER($EI47)),0)&lt;IFERROR(FIND("E",UPPER($EI47)),999)),ISNUMBER(VALUE($EI47)))),1,2)))</f>
        <v/>
      </c>
      <c r="EK47">
        <f>IF($DM47=0,"",IF($EJ47=1,IF(ISNUMBER($EI47),$EI47,VALUE($EI47)),IF($EJ47=2,$DE47,0)))</f>
        <v/>
      </c>
      <c r="EL47">
        <f>IF($DM47=0,"",COUNTIF($EG$5:$EG$1003,"&lt;"&amp;$EG47)+SUMPRODUCT(($EG$5:$EG$1003=$EG47)*(($EJ$5:$EJ$1003&lt;$EJ47)+($EJ$5:$EJ$1003=$EJ47)*(($EK$5:$EK$1003&lt;$EK47)+($EK$5:$EK$1003=$EK47)*($DE$5:$DE$1003&lt;$DE47))))+1)</f>
        <v/>
      </c>
      <c r="EM47">
        <f>IF($DM47=0,"",$EL47+$EG47-1)</f>
        <v/>
      </c>
      <c r="EN47">
        <f>IF($DM47=0,0,IFERROR(MATCH(1,INDEX(--(TRIM(SUBSTITUTE(SUBSTITUTE(SUBSTITUTE(SUBSTITUTE(LINES_NAME&amp;""," "," "),CHAR(9)," "),CHAR(10)," "),CHAR(13)," "))=$DH47),0),0),0))</f>
        <v/>
      </c>
      <c r="EO47">
        <f>IF($EN47=0,0,IF(OR(UPPER(TRIM(INDEX(LINES_SCHEDULED,$EN47)&amp;""))="YES",UPPER(TRIM(INDEX(LINES_SCHEDULED,$EN47)&amp;""))="Y",UPPER(TRIM(INDEX(LINES_SCHEDULED,$EN47)&amp;""))="X"),1,0))</f>
        <v/>
      </c>
      <c r="EP47">
        <f>IF($DM47=0,"",IF(COUNTIFS($EG$5:$EG$1003,$EG47,$EB$5:$EB$1003,"Ready")&gt;0,"READY",IF(COUNTIFS($EG$5:$EG$1003,$EG47,$EB$5:$EB$1003,"PM")&gt;0,"PM",IF(COUNTIFS($EG$5:$EG$1003,$EG47,$EB$5:$EB$1003,"OT")&gt;0,"OT",""))))</f>
        <v/>
      </c>
      <c r="EQ47">
        <f>IF($EN47=0,"",UPPER(TRIM(INDEX(LINES_STATUS,$EN47)&amp;"")))</f>
        <v/>
      </c>
      <c r="ER47">
        <f>IF($DM47=0,"",IF(OR($EQ47="READY",$EQ47="PM",$EQ47="OT"),$EQ47,$EP47))</f>
        <v/>
      </c>
      <c r="ES47">
        <f>IF($DM47=0,"",IF(AND($DV47&lt;&gt;"",UPPER($DV47)&lt;&gt;"N"),"allergen",IF(ISNUMBER(SEARCH("oil",$DQ47)),"oil",IF(OR(EXACT($DS47,"A662"),EXACT($DS47,"A624")),"bulk",""))))</f>
        <v/>
      </c>
      <c r="ET47">
        <f>IF($DM47=0,"",IF(OR($EA47="",$EA47=0),"",$EA47/100))</f>
        <v/>
      </c>
      <c r="EU47">
        <f>IF(OR($ET47="",$DY47=""),"",INT($DY47*(1-$ET47)+0.5))</f>
        <v/>
      </c>
      <c r="EW47" t="n">
        <v>43</v>
      </c>
      <c r="EX47">
        <f>IFERROR(MATCH($EW47,$EM$5:$EM$1003,0),0)</f>
        <v/>
      </c>
      <c r="EY47">
        <f>IF($EW47&gt;$B$12,"",IF($EX47&gt;0,"row","spacer"))</f>
        <v/>
      </c>
      <c r="EZ47">
        <f>IF(AND($EY47="row",$EY46&lt;&gt;"row"),1,0)</f>
        <v/>
      </c>
      <c r="FA47">
        <f>IF(AND($EY47="row",$EY48&lt;&gt;"row"),1,0)</f>
        <v/>
      </c>
      <c r="FB47">
        <f>IF($EZ47=1,IFERROR(IF(ISNUMBER(INDEX(PASTE_ALL,INDEX($DF$5:$DF$1003,$EX47),$B$37)),INDEX(PASTE_ALL,INDEX($DF$5:$DF$1003,$EX47),$B$37),INDEX($DH$5:$DH$1003,$EX47)),INDEX($DH$5:$DH$1003,$EX47)),"")</f>
        <v/>
      </c>
      <c r="FC47">
        <f>IF($EY47="row",INDEX($ER$5:$ER$1003,$EX47),"")</f>
        <v/>
      </c>
      <c r="FD47">
        <f>IF($EY47="row",INDEX($DN$5:$DN$1003,$EX47),"")</f>
        <v/>
      </c>
      <c r="FE47">
        <f>IF($EY47="row",INDEX($DO$5:$DO$1003,$EX47),"")</f>
        <v/>
      </c>
      <c r="FF47">
        <f>IF($EY47="row",INDEX($DP$5:$DP$1003,$EX47),"")</f>
        <v/>
      </c>
      <c r="FG47">
        <f>IF($EY47="row",INDEX($DQ$5:$DQ$1003,$EX47),"")</f>
        <v/>
      </c>
      <c r="FH47">
        <f>IF($EY47="row",INDEX($DR$5:$DR$1003,$EX47),"")</f>
        <v/>
      </c>
      <c r="FI47">
        <f>IF($EY47="row",INDEX($DS$5:$DS$1003,$EX47),"")</f>
        <v/>
      </c>
      <c r="FJ47">
        <f>IF($EY47="row",INDEX($DT$5:$DT$1003,$EX47),"")</f>
        <v/>
      </c>
      <c r="FK47">
        <f>IF($EY47="row",INDEX($DU$5:$DU$1003,$EX47),"")</f>
        <v/>
      </c>
      <c r="FL47">
        <f>IF($EY47="row",INDEX($DV$5:$DV$1003,$EX47),"")</f>
        <v/>
      </c>
      <c r="FM47">
        <f>IF($EY47="row",INDEX($DW$5:$DW$1003,$EX47),"")</f>
        <v/>
      </c>
      <c r="FN47">
        <f>IF($EY47="row",INDEX($DY$5:$DY$1003,$EX47),"")</f>
        <v/>
      </c>
      <c r="FO47">
        <f>IF($EY47="row",INDEX($EA$5:$EA$1003,$EX47),"")</f>
        <v/>
      </c>
      <c r="FP47">
        <f>IF($EY47="row",INDEX($EC$5:$EC$1003,$EX47),"")</f>
        <v/>
      </c>
      <c r="FQ47">
        <f>IF($EY47="row",INDEX($ET$5:$ET$1003,$EX47),"")</f>
        <v/>
      </c>
      <c r="FR47">
        <f>IF($EY47="row",INDEX($EU$5:$EU$1003,$EX47),"")</f>
        <v/>
      </c>
      <c r="FS47">
        <f>IF(AND($EY47="row",$EY46="row"),IF(OR(INDEX($DT$5:$DT$1003,$EX46)="",INDEX($DT$5:$DT$1003,$EX47)=""),"",IF(NOT(EXACT(INDEX($DT$5:$DT$1003,$EX46),INDEX($DT$5:$DT$1003,$EX47))),"S4",IF(NOT(EXACT(INDEX($DS$5:$DS$1003,$EX46),INDEX($DS$5:$DS$1003,$EX47))),"S3",IF(NOT(EXACT(INDEX($DR$5:$DR$1003,$EX46),INDEX($DR$5:$DR$1003,$EX47))),"S1 Count Change","S1")))),"")</f>
        <v/>
      </c>
      <c r="FT47">
        <f>IF($EY47="row",INDEX($ES$5:$ES$1003,$EX47),"")</f>
        <v/>
      </c>
      <c r="FU47">
        <f>IF($EY47="row",INDEX($EO$5:$EO$1003,$EX47),0)</f>
        <v/>
      </c>
      <c r="FV47">
        <f>IF($FS47="S1 Count Change",1,0)</f>
        <v/>
      </c>
      <c r="FX47" t="n">
        <v>43</v>
      </c>
      <c r="FY47">
        <f>IFERROR(MATCH($FX47,$EF$5:$EF$1003,0),0)</f>
        <v/>
      </c>
      <c r="FZ47">
        <f>IF($FY47=0,"",INDEX($DH$5:$DH$1003,$FY47))</f>
        <v/>
      </c>
      <c r="GA47">
        <f>IF($FY47=0,"",COUNTIF($EG$5:$EG$1003,$FX47))</f>
        <v/>
      </c>
      <c r="GB47">
        <f>IF($FY47=0,"",INDEX($ER$5:$ER$1003,$FY47))</f>
        <v/>
      </c>
      <c r="GC47">
        <f>IF($FY47=0,"",IF(INDEX($EO$5:$EO$1003,$FY47)=1,"Yes",""))</f>
        <v/>
      </c>
      <c r="GD47">
        <f>IF($FY47=0,"",IF(INDEX($EN$5:$EN$1003,$FY47)&gt;0,"","NOT IN YOUR LIST - type it in column A to tick it"))</f>
        <v/>
      </c>
      <c r="GE47">
        <f>IF(AND($FY47&gt;0,$GD47&lt;&gt;""),1,0)</f>
        <v/>
      </c>
      <c r="GF47">
        <f>GF46+$GE47</f>
        <v/>
      </c>
      <c r="GG47">
        <f>IFERROR(INDEX($FZ$5:$FZ$104,MATCH($FX47,$GF$5:$GF$104,0)),"")</f>
        <v/>
      </c>
    </row>
    <row r="48">
      <c r="S48" t="n">
        <v>44</v>
      </c>
      <c r="T48" t="inlineStr">
        <is>
          <t>AR</t>
        </is>
      </c>
      <c r="V48" t="inlineStr">
        <is>
          <t>CT</t>
        </is>
      </c>
      <c r="W48" t="n">
        <v>6</v>
      </c>
      <c r="DA48" t="n">
        <v>44</v>
      </c>
      <c r="DB48">
        <f>IF($B$37=0,"",IFERROR(TRIM(SUBSTITUTE(SUBSTITUTE(SUBSTITUTE(SUBSTITUTE(INDEX(PASTE_ALL,44,$B$37)," "," "),CHAR(9)," "),CHAR(10)," "),CHAR(13)," ")),""))</f>
        <v/>
      </c>
      <c r="DC48">
        <f>IF(AND(44&gt;HEADER_ROW,UPPER(DB48)="LEGEND"),1,0)</f>
        <v/>
      </c>
      <c r="DE48" t="n">
        <v>44</v>
      </c>
      <c r="DF48">
        <f>HEADER_ROW+$DE48</f>
        <v/>
      </c>
      <c r="DG48">
        <f>IF(AND($DF48&lt;=1000,$DF48&lt;$B$8),1,0)</f>
        <v/>
      </c>
      <c r="DH48">
        <f>IF($DG48=1,IFERROR(INDEX($DB$5:$DB$1004,$DF48),""),"")</f>
        <v/>
      </c>
      <c r="DI48">
        <f>IF(AND($DG48=1,$DH48&lt;&gt;""),IFERROR(SUBSTITUTE(SUBSTITUTE(TRIM(SUBSTITUTE(SUBSTITUTE(SUBSTITUTE(SUBSTITUTE(IFERROR(INDEX(PASTE_ALL,$DF48,1)&amp;"","")&amp;"␟"&amp;IFERROR(INDEX(PASTE_ALL,$DF48,2)&amp;"","")&amp;"␟"&amp;IFERROR(INDEX(PASTE_ALL,$DF48,3)&amp;"","")&amp;"␟"&amp;IFERROR(INDEX(PASTE_ALL,$DF48,4)&amp;"","")&amp;"␟"&amp;IFERROR(INDEX(PASTE_ALL,$DF48,5)&amp;"","")&amp;"␟"&amp;IFERROR(INDEX(PASTE_ALL,$DF48,6)&amp;"","")&amp;"␟"&amp;IFERROR(INDEX(PASTE_ALL,$DF48,7)&amp;"","")&amp;"␟"&amp;IFERROR(INDEX(PASTE_ALL,$DF48,8)&amp;"","")&amp;"␟"&amp;IFERROR(INDEX(PASTE_ALL,$DF48,9)&amp;"","")&amp;"␟"&amp;IFERROR(INDEX(PASTE_ALL,$DF48,10)&amp;"","")&amp;"␟"&amp;IFERROR(INDEX(PASTE_ALL,$DF48,11)&amp;"","")&amp;"␟"&amp;IFERROR(INDEX(PASTE_ALL,$DF48,12)&amp;"","")&amp;"␟"&amp;IFERROR(INDEX(PASTE_ALL,$DF48,13)&amp;"","")&amp;"␟"&amp;IFERROR(INDEX(PASTE_ALL,$DF48,14)&amp;"","")&amp;"␟"&amp;IFERROR(INDEX(PASTE_ALL,$DF48,15)&amp;"","")&amp;"␟"&amp;IFERROR(INDEX(PASTE_ALL,$DF48,16)&amp;"","")&amp;"␟"&amp;IFERROR(INDEX(PASTE_ALL,$DF48,17)&amp;"","")&amp;"␟"&amp;IFERROR(INDEX(PASTE_ALL,$DF48,18)&amp;"","")&amp;"␟"&amp;IFERROR(INDEX(PASTE_ALL,$DF48,19)&amp;"","")&amp;"␟"&amp;IFERROR(INDEX(PASTE_ALL,$DF48,20)&amp;"","")&amp;"␟"&amp;IFERROR(INDEX(PASTE_ALL,$DF48,21)&amp;"","")&amp;"␟"&amp;IFERROR(INDEX(PASTE_ALL,$DF48,22)&amp;"","")&amp;"␟"&amp;IFERROR(INDEX(PASTE_ALL,$DF48,23)&amp;"","")&amp;"␟"&amp;IFERROR(INDEX(PASTE_ALL,$DF48,24)&amp;"","")&amp;"␟"&amp;IFERROR(INDEX(PASTE_ALL,$DF48,25)&amp;"","")&amp;"␟"&amp;IFERROR(INDEX(PASTE_ALL,$DF48,26)&amp;"","")&amp;"␟"&amp;IFERROR(INDEX(PASTE_ALL,$DF48,27)&amp;"","")&amp;"␟"&amp;IFERROR(INDEX(PASTE_ALL,$DF48,28)&amp;"","")&amp;"␟"&amp;IFERROR(INDEX(PASTE_ALL,$DF48,29)&amp;"","")&amp;"␟"&amp;IFERROR(INDEX(PASTE_ALL,$DF48,30)&amp;"","")&amp;"␟"&amp;IFERROR(INDEX(PASTE_ALL,$DF48,31)&amp;"","")&amp;"␟"&amp;IFERROR(INDEX(PASTE_ALL,$DF48,32)&amp;"","")&amp;"␟"&amp;IFERROR(INDEX(PASTE_ALL,$DF48,33)&amp;"","")&amp;"␟"&amp;IFERROR(INDEX(PASTE_ALL,$DF48,34)&amp;"","")&amp;"␟"&amp;IFERROR(INDEX(PASTE_ALL,$DF48,35)&amp;"","")&amp;"␟"&amp;IFERROR(INDEX(PASTE_ALL,$DF48,36)&amp;"","")&amp;"␟"&amp;IFERROR(INDEX(PASTE_ALL,$DF48,37)&amp;"","")&amp;"␟"&amp;IFERROR(INDEX(PASTE_ALL,$DF48,38)&amp;"","")&amp;"␟"&amp;IFERROR(INDEX(PASTE_ALL,$DF48,39)&amp;"","")&amp;"␟"&amp;IFERROR(INDEX(PASTE_ALL,$DF48,40)&amp;"","")&amp;"␟"&amp;IFERROR(INDEX(PASTE_ALL,$DF48,41)&amp;"","")&amp;"␟"&amp;IFERROR(INDEX(PASTE_ALL,$DF48,42)&amp;"","")&amp;"␟"&amp;IFERROR(INDEX(PASTE_ALL,$DF48,43)&amp;"","")&amp;"␟"&amp;IFERROR(INDEX(PASTE_ALL,$DF48,44)&amp;"","")&amp;"␟"&amp;IFERROR(INDEX(PASTE_ALL,$DF48,45)&amp;"","")&amp;"␟"&amp;IFERROR(INDEX(PASTE_ALL,$DF48,46)&amp;"","")&amp;"␟"&amp;IFERROR(INDEX(PASTE_ALL,$DF48,47)&amp;"","")&amp;"␟"&amp;IFERROR(INDEX(PASTE_ALL,$DF48,48)&amp;"","")&amp;"␟"&amp;IFERROR(INDEX(PASTE_ALL,$DF48,49)&amp;"","")&amp;"␟"&amp;IFERROR(INDEX(PASTE_ALL,$DF48,50)&amp;"","")&amp;"␟"&amp;IFERROR(INDEX(PASTE_ALL,$DF48,51)&amp;"","")&amp;"␟"&amp;IFERROR(INDEX(PASTE_ALL,$DF48,52)&amp;"","")&amp;"␟"&amp;IFERROR(INDEX(PASTE_ALL,$DF48,53)&amp;"","")&amp;"␟"&amp;IFERROR(INDEX(PASTE_ALL,$DF48,54)&amp;"","")&amp;"␟"&amp;IFERROR(INDEX(PASTE_ALL,$DF48,55)&amp;"","")&amp;"␟"&amp;IFERROR(INDEX(PASTE_ALL,$DF48,56)&amp;"","")&amp;"␟"&amp;IFERROR(INDEX(PASTE_ALL,$DF48,57)&amp;"","")&amp;"␟"&amp;IFERROR(INDEX(PASTE_ALL,$DF48,58)&amp;"","")&amp;"␟"&amp;IFERROR(INDEX(PASTE_ALL,$DF48,59)&amp;"","")&amp;"␟"&amp;IFERROR(INDEX(PASTE_ALL,$DF48,60)&amp;"","")," "," "),CHAR(9)," "),CHAR(10)," "),CHAR(13)," "))," ␟","␟"),"␟ ","␟"),"#"&amp;$DE48),"")</f>
        <v/>
      </c>
      <c r="DJ48">
        <f>IF($DI48="",0,IF(SUMPRODUCT(--EXACT($DI$4:DI47,$DI48))&gt;0,1,0))</f>
        <v/>
      </c>
      <c r="DK48">
        <f>IF(AND($DI48&lt;&gt;"",$DJ48=0),1,0)</f>
        <v/>
      </c>
      <c r="DL48">
        <f>DL47+$DK48</f>
        <v/>
      </c>
      <c r="DM48">
        <f>IF(AND($DK48=1,$DL48&lt;=600),1,0)</f>
        <v/>
      </c>
      <c r="DN48">
        <f>IF($DM48=0,"",IF($L$6=0,"",IFERROR(IF(ISNUMBER(INDEX(PASTE_ALL,$DF48,$L$6)),INDEX(PASTE_ALL,$DF48,$L$6),TRIM(SUBSTITUTE(SUBSTITUTE(SUBSTITUTE(SUBSTITUTE(INDEX(PASTE_ALL,$DF48,$L$6)," "," "),CHAR(9)," "),CHAR(10)," "),CHAR(13)," "))),"")))</f>
        <v/>
      </c>
      <c r="DO48">
        <f>IF($DM48=0,"",IF($L$7=0,"",IFERROR(IF(ISNUMBER(INDEX(PASTE_ALL,$DF48,$L$7)),INDEX(PASTE_ALL,$DF48,$L$7),TRIM(SUBSTITUTE(SUBSTITUTE(SUBSTITUTE(SUBSTITUTE(INDEX(PASTE_ALL,$DF48,$L$7)," "," "),CHAR(9)," "),CHAR(10)," "),CHAR(13)," "))),"")))</f>
        <v/>
      </c>
      <c r="DP48">
        <f>IF($DM48=0,"",IF($L$8=0,"",IFERROR(IF(ISNUMBER(INDEX(PASTE_ALL,$DF48,$L$8)),INDEX(PASTE_ALL,$DF48,$L$8),TRIM(SUBSTITUTE(SUBSTITUTE(SUBSTITUTE(SUBSTITUTE(INDEX(PASTE_ALL,$DF48,$L$8)," "," "),CHAR(9)," "),CHAR(10)," "),CHAR(13)," "))),"")))</f>
        <v/>
      </c>
      <c r="DQ48">
        <f>IF($DM48=0,"",IF($L$9=0,"",IFERROR(IF(ISNUMBER(INDEX(PASTE_ALL,$DF48,$L$9)),INDEX(PASTE_ALL,$DF48,$L$9),TRIM(SUBSTITUTE(SUBSTITUTE(SUBSTITUTE(SUBSTITUTE(INDEX(PASTE_ALL,$DF48,$L$9)," "," "),CHAR(9)," "),CHAR(10)," "),CHAR(13)," "))),"")))</f>
        <v/>
      </c>
      <c r="DR48">
        <f>IF($DM48=0,"",IF($L$10=0,"",IFERROR(IF(ISNUMBER(INDEX(PASTE_ALL,$DF48,$L$10)),INDEX(PASTE_ALL,$DF48,$L$10),TRIM(SUBSTITUTE(SUBSTITUTE(SUBSTITUTE(SUBSTITUTE(INDEX(PASTE_ALL,$DF48,$L$10)," "," "),CHAR(9)," "),CHAR(10)," "),CHAR(13)," "))),"")))</f>
        <v/>
      </c>
      <c r="DS48">
        <f>IF($DM48=0,"",IF($L$11=0,"",IFERROR(IF(ISNUMBER(INDEX(PASTE_ALL,$DF48,$L$11)),INDEX(PASTE_ALL,$DF48,$L$11),TRIM(SUBSTITUTE(SUBSTITUTE(SUBSTITUTE(SUBSTITUTE(INDEX(PASTE_ALL,$DF48,$L$11)," "," "),CHAR(9)," "),CHAR(10)," "),CHAR(13)," "))),"")))</f>
        <v/>
      </c>
      <c r="DT48">
        <f>IF($DM48=0,"",IF($L$12=0,"",IFERROR(IF(ISNUMBER(INDEX(PASTE_ALL,$DF48,$L$12)),INDEX(PASTE_ALL,$DF48,$L$12),TRIM(SUBSTITUTE(SUBSTITUTE(SUBSTITUTE(SUBSTITUTE(INDEX(PASTE_ALL,$DF48,$L$12)," "," "),CHAR(9)," "),CHAR(10)," "),CHAR(13)," "))),"")))</f>
        <v/>
      </c>
      <c r="DU48">
        <f>IF($DM48=0,"",IF($L$13=0,"",IFERROR(IF(ISNUMBER(INDEX(PASTE_ALL,$DF48,$L$13)),INDEX(PASTE_ALL,$DF48,$L$13),TRIM(SUBSTITUTE(SUBSTITUTE(SUBSTITUTE(SUBSTITUTE(INDEX(PASTE_ALL,$DF48,$L$13)," "," "),CHAR(9)," "),CHAR(10)," "),CHAR(13)," "))),"")))</f>
        <v/>
      </c>
      <c r="DV48">
        <f>IF($DM48=0,"",IF($L$14=0,"",IFERROR(IF(ISNUMBER(INDEX(PASTE_ALL,$DF48,$L$14)),INDEX(PASTE_ALL,$DF48,$L$14),TRIM(SUBSTITUTE(SUBSTITUTE(SUBSTITUTE(SUBSTITUTE(INDEX(PASTE_ALL,$DF48,$L$14)," "," "),CHAR(9)," "),CHAR(10)," "),CHAR(13)," "))),"")))</f>
        <v/>
      </c>
      <c r="DW48">
        <f>IF($DM48=0,"",IF($L$15=0,"",IFERROR(IF(ISNUMBER(INDEX(PASTE_ALL,$DF48,$L$15)),INDEX(PASTE_ALL,$DF48,$L$15),IF(SUMPRODUCT(--ISNUMBER(FIND({"A","B","C","D","E","F","G","H","I","J","K","L","M","N","O","P","Q","R","S","T","U","V","W","X","Y","Z","0","1","2","3","4","5","6","7","8","9"},UPPER(TRIM(SUBSTITUTE(SUBSTITUTE(SUBSTITUTE(SUBSTITUTE(INDEX(PASTE_ALL,$DF48,$L$15)," "," "),CHAR(9)," "),CHAR(10)," "),CHAR(13)," "))))))&gt;0,TRIM(SUBSTITUTE(SUBSTITUTE(SUBSTITUTE(SUBSTITUTE(INDEX(PASTE_ALL,$DF48,$L$15)," "," "),CHAR(9)," "),CHAR(10)," "),CHAR(13)," ")),"")),"")))</f>
        <v/>
      </c>
      <c r="DX48">
        <f>IF($DM48=0,"",IF($L$16=0,"",IFERROR(IF(ISNUMBER(INDEX(PASTE_ALL,$DF48,$L$16)),INDEX(PASTE_ALL,$DF48,$L$16),SUBSTITUTE(SUBSTITUTE(TRIM(SUBSTITUTE(SUBSTITUTE(SUBSTITUTE(SUBSTITUTE(INDEX(PASTE_ALL,$DF48,$L$16)," "," "),CHAR(9)," "),CHAR(10)," "),CHAR(13)," ")),",",""),"%","")),"")))</f>
        <v/>
      </c>
      <c r="DY48">
        <f>IF($DM48=0,"",IFERROR(IF(ISNUMBER($DX48),$DX48,IF($DX48="","",IF(TRIM($DX48)="",0,IF(AND(AND(SUBSTITUTE(SUBSTITUTE(SUBSTITUTE(SUBSTITUTE(SUBSTITUTE(SUBSTITUTE(SUBSTITUTE(SUBSTITUTE(SUBSTITUTE(SUBSTITUTE(SUBSTITUTE(SUBSTITUTE(SUBSTITUTE(SUBSTITUTE(UPPER(TRIM($DX48)),"0",""),"1",""),"2",""),"3",""),"4",""),"5",""),"6",""),"7",""),"8",""),"9",""),".",""),"+",""),"-",""),"E","")="",LEN(SUBSTITUTE(SUBSTITUTE(MID(UPPER(TRIM($DX48)),1+OR(LEFT(UPPER(TRIM($DX48)),1)="+",LEFT(UPPER(TRIM($DX48)),1)="-"),999),"E+","E"),"E-","E"))=LEN(SUBSTITUTE(SUBSTITUTE(SUBSTITUTE(SUBSTITUTE(MID(UPPER(TRIM($DX48)),1+OR(LEFT(UPPER(TRIM($DX48)),1)="+",LEFT(UPPER(TRIM($DX48)),1)="-"),999),"E+","E"),"E-","E"),"+",""),"-","")),LEN(UPPER(TRIM($DX48)))-LEN(SUBSTITUTE(UPPER(TRIM($DX48)),"E",""))&lt;2,LEN(UPPER(TRIM($DX48)))-LEN(SUBSTITUTE(UPPER(TRIM($DX48)),".",""))&lt;2,IFERROR(FIND(".",UPPER(TRIM($DX48))),0)&lt;IFERROR(FIND("E",UPPER(TRIM($DX48))),999)),ISNUMBER(VALUE(TRIM($DX48)))),VALUE(TRIM($DX48)),"")))),""))</f>
        <v/>
      </c>
      <c r="DZ48">
        <f>IF($DM48=0,"",IF($L$17=0,"",IFERROR(IF(ISNUMBER(INDEX(PASTE_ALL,$DF48,$L$17)),INDEX(PASTE_ALL,$DF48,$L$17),SUBSTITUTE(SUBSTITUTE(TRIM(SUBSTITUTE(SUBSTITUTE(SUBSTITUTE(SUBSTITUTE(INDEX(PASTE_ALL,$DF48,$L$17)," "," "),CHAR(9)," "),CHAR(10)," "),CHAR(13)," ")),",",""),"%","")),"")))</f>
        <v/>
      </c>
      <c r="EA48">
        <f>IF($DM48=0,"",IFERROR(IF(ISNUMBER($DZ48),$DZ48,IF($DZ48="","",IF(TRIM($DZ48)="",0,IF(AND(AND(SUBSTITUTE(SUBSTITUTE(SUBSTITUTE(SUBSTITUTE(SUBSTITUTE(SUBSTITUTE(SUBSTITUTE(SUBSTITUTE(SUBSTITUTE(SUBSTITUTE(SUBSTITUTE(SUBSTITUTE(SUBSTITUTE(SUBSTITUTE(UPPER(TRIM($DZ48)),"0",""),"1",""),"2",""),"3",""),"4",""),"5",""),"6",""),"7",""),"8",""),"9",""),".",""),"+",""),"-",""),"E","")="",LEN(SUBSTITUTE(SUBSTITUTE(MID(UPPER(TRIM($DZ48)),1+OR(LEFT(UPPER(TRIM($DZ48)),1)="+",LEFT(UPPER(TRIM($DZ48)),1)="-"),999),"E+","E"),"E-","E"))=LEN(SUBSTITUTE(SUBSTITUTE(SUBSTITUTE(SUBSTITUTE(MID(UPPER(TRIM($DZ48)),1+OR(LEFT(UPPER(TRIM($DZ48)),1)="+",LEFT(UPPER(TRIM($DZ48)),1)="-"),999),"E+","E"),"E-","E"),"+",""),"-","")),LEN(UPPER(TRIM($DZ48)))-LEN(SUBSTITUTE(UPPER(TRIM($DZ48)),"E",""))&lt;2,LEN(UPPER(TRIM($DZ48)))-LEN(SUBSTITUTE(UPPER(TRIM($DZ48)),".",""))&lt;2,IFERROR(FIND(".",UPPER(TRIM($DZ48))),0)&lt;IFERROR(FIND("E",UPPER(TRIM($DZ48))),999)),ISNUMBER(VALUE(TRIM($DZ48)))),VALUE(TRIM($DZ48)),"")))),""))</f>
        <v/>
      </c>
      <c r="EB48">
        <f>IF($DM48=0,"",IF($L$18=0,"",IFERROR(IF(UPPER(TRIM(SUBSTITUTE(SUBSTITUTE(SUBSTITUTE(SUBSTITUTE(INDEX(PASTE_ALL,$DF48,$L$18)," "," "),CHAR(9)," "),CHAR(10)," "),CHAR(13)," ")))="READY","Ready",IF(UPPER(TRIM(SUBSTITUTE(SUBSTITUTE(SUBSTITUTE(SUBSTITUTE(INDEX(PASTE_ALL,$DF48,$L$18)," "," "),CHAR(9)," "),CHAR(10)," "),CHAR(13)," ")))="PM","PM",IF(OR(UPPER(TRIM(SUBSTITUTE(SUBSTITUTE(SUBSTITUTE(SUBSTITUTE(INDEX(PASTE_ALL,$DF48,$L$18)," "," "),CHAR(9)," "),CHAR(10)," "),CHAR(13)," ")))="OT",UPPER(TRIM(SUBSTITUTE(SUBSTITUTE(SUBSTITUTE(SUBSTITUTE(INDEX(PASTE_ALL,$DF48,$L$18)," "," "),CHAR(9)," "),CHAR(10)," "),CHAR(13)," ")))="OVERTIME",UPPER(TRIM(SUBSTITUTE(SUBSTITUTE(SUBSTITUTE(SUBSTITUTE(INDEX(PASTE_ALL,$DF48,$L$18)," "," "),CHAR(9)," "),CHAR(10)," "),CHAR(13)," ")))="TRIAL"),"OT",TRIM(SUBSTITUTE(SUBSTITUTE(SUBSTITUTE(SUBSTITUTE(INDEX(PASTE_ALL,$DF48,$L$18)," "," "),CHAR(9)," "),CHAR(10)," "),CHAR(13)," "))))),"")))</f>
        <v/>
      </c>
      <c r="EC48">
        <f>IF($DM48=0,"",IF($L$19=0,"",IFERROR(IF(ISNUMBER(INDEX(PASTE_ALL,$DF48,$L$19)),INDEX(PASTE_ALL,$DF48,$L$19),TRIM(SUBSTITUTE(SUBSTITUTE(SUBSTITUTE(SUBSTITUTE(INDEX(PASTE_ALL,$DF48,$L$19)," "," "),CHAR(9)," "),CHAR(10)," "),CHAR(13)," "))),"")))</f>
        <v/>
      </c>
      <c r="ED48">
        <f>IF($DM48=0,"",MATCH(1,INDEX(EXACT($DH$5:DH48,$DH48)*$DM$5:DM48,0),0))</f>
        <v/>
      </c>
      <c r="EE48">
        <f>IF($DM48=0,0,IF($ED48=$DE48,1,0))</f>
        <v/>
      </c>
      <c r="EF48">
        <f>EF47+$EE48</f>
        <v/>
      </c>
      <c r="EG48">
        <f>IF($DM48=0,"",INDEX($EF$5:$EF$1003,$ED48))</f>
        <v/>
      </c>
      <c r="EH48">
        <f>IF($DM48=0,"",IF($DO48&lt;&gt;"","",IFERROR(LOOKUP(2,1/(($EG$4:EG47=$EG48)*($DO$4:DO47&lt;&gt;"")),$DO$4:DO47),"")))</f>
        <v/>
      </c>
      <c r="EI48">
        <f>IF($DM48=0,"",IF($DO48&lt;&gt;"",$DO48,$EH48))</f>
        <v/>
      </c>
      <c r="EJ48">
        <f>IF($DM48=0,"",IF($EI48="",0,IF(OR(ISNUMBER($EI48),AND(AND(SUBSTITUTE(SUBSTITUTE(SUBSTITUTE(SUBSTITUTE(SUBSTITUTE(SUBSTITUTE(SUBSTITUTE(SUBSTITUTE(SUBSTITUTE(SUBSTITUTE(SUBSTITUTE(SUBSTITUTE(SUBSTITUTE(SUBSTITUTE(UPPER($EI48),"0",""),"1",""),"2",""),"3",""),"4",""),"5",""),"6",""),"7",""),"8",""),"9",""),".",""),"+",""),"-",""),"E","")="",LEN(SUBSTITUTE(SUBSTITUTE(MID(UPPER($EI48),1+OR(LEFT(UPPER($EI48),1)="+",LEFT(UPPER($EI48),1)="-"),999),"E+","E"),"E-","E"))=LEN(SUBSTITUTE(SUBSTITUTE(SUBSTITUTE(SUBSTITUTE(MID(UPPER($EI48),1+OR(LEFT(UPPER($EI48),1)="+",LEFT(UPPER($EI48),1)="-"),999),"E+","E"),"E-","E"),"+",""),"-","")),LEN(UPPER($EI48))-LEN(SUBSTITUTE(UPPER($EI48),"E",""))&lt;2,LEN(UPPER($EI48))-LEN(SUBSTITUTE(UPPER($EI48),".",""))&lt;2,IFERROR(FIND(".",UPPER($EI48)),0)&lt;IFERROR(FIND("E",UPPER($EI48)),999)),ISNUMBER(VALUE($EI48)))),1,2)))</f>
        <v/>
      </c>
      <c r="EK48">
        <f>IF($DM48=0,"",IF($EJ48=1,IF(ISNUMBER($EI48),$EI48,VALUE($EI48)),IF($EJ48=2,$DE48,0)))</f>
        <v/>
      </c>
      <c r="EL48">
        <f>IF($DM48=0,"",COUNTIF($EG$5:$EG$1003,"&lt;"&amp;$EG48)+SUMPRODUCT(($EG$5:$EG$1003=$EG48)*(($EJ$5:$EJ$1003&lt;$EJ48)+($EJ$5:$EJ$1003=$EJ48)*(($EK$5:$EK$1003&lt;$EK48)+($EK$5:$EK$1003=$EK48)*($DE$5:$DE$1003&lt;$DE48))))+1)</f>
        <v/>
      </c>
      <c r="EM48">
        <f>IF($DM48=0,"",$EL48+$EG48-1)</f>
        <v/>
      </c>
      <c r="EN48">
        <f>IF($DM48=0,0,IFERROR(MATCH(1,INDEX(--(TRIM(SUBSTITUTE(SUBSTITUTE(SUBSTITUTE(SUBSTITUTE(LINES_NAME&amp;""," "," "),CHAR(9)," "),CHAR(10)," "),CHAR(13)," "))=$DH48),0),0),0))</f>
        <v/>
      </c>
      <c r="EO48">
        <f>IF($EN48=0,0,IF(OR(UPPER(TRIM(INDEX(LINES_SCHEDULED,$EN48)&amp;""))="YES",UPPER(TRIM(INDEX(LINES_SCHEDULED,$EN48)&amp;""))="Y",UPPER(TRIM(INDEX(LINES_SCHEDULED,$EN48)&amp;""))="X"),1,0))</f>
        <v/>
      </c>
      <c r="EP48">
        <f>IF($DM48=0,"",IF(COUNTIFS($EG$5:$EG$1003,$EG48,$EB$5:$EB$1003,"Ready")&gt;0,"READY",IF(COUNTIFS($EG$5:$EG$1003,$EG48,$EB$5:$EB$1003,"PM")&gt;0,"PM",IF(COUNTIFS($EG$5:$EG$1003,$EG48,$EB$5:$EB$1003,"OT")&gt;0,"OT",""))))</f>
        <v/>
      </c>
      <c r="EQ48">
        <f>IF($EN48=0,"",UPPER(TRIM(INDEX(LINES_STATUS,$EN48)&amp;"")))</f>
        <v/>
      </c>
      <c r="ER48">
        <f>IF($DM48=0,"",IF(OR($EQ48="READY",$EQ48="PM",$EQ48="OT"),$EQ48,$EP48))</f>
        <v/>
      </c>
      <c r="ES48">
        <f>IF($DM48=0,"",IF(AND($DV48&lt;&gt;"",UPPER($DV48)&lt;&gt;"N"),"allergen",IF(ISNUMBER(SEARCH("oil",$DQ48)),"oil",IF(OR(EXACT($DS48,"A662"),EXACT($DS48,"A624")),"bulk",""))))</f>
        <v/>
      </c>
      <c r="ET48">
        <f>IF($DM48=0,"",IF(OR($EA48="",$EA48=0),"",$EA48/100))</f>
        <v/>
      </c>
      <c r="EU48">
        <f>IF(OR($ET48="",$DY48=""),"",INT($DY48*(1-$ET48)+0.5))</f>
        <v/>
      </c>
      <c r="EW48" t="n">
        <v>44</v>
      </c>
      <c r="EX48">
        <f>IFERROR(MATCH($EW48,$EM$5:$EM$1003,0),0)</f>
        <v/>
      </c>
      <c r="EY48">
        <f>IF($EW48&gt;$B$12,"",IF($EX48&gt;0,"row","spacer"))</f>
        <v/>
      </c>
      <c r="EZ48">
        <f>IF(AND($EY48="row",$EY47&lt;&gt;"row"),1,0)</f>
        <v/>
      </c>
      <c r="FA48">
        <f>IF(AND($EY48="row",$EY49&lt;&gt;"row"),1,0)</f>
        <v/>
      </c>
      <c r="FB48">
        <f>IF($EZ48=1,IFERROR(IF(ISNUMBER(INDEX(PASTE_ALL,INDEX($DF$5:$DF$1003,$EX48),$B$37)),INDEX(PASTE_ALL,INDEX($DF$5:$DF$1003,$EX48),$B$37),INDEX($DH$5:$DH$1003,$EX48)),INDEX($DH$5:$DH$1003,$EX48)),"")</f>
        <v/>
      </c>
      <c r="FC48">
        <f>IF($EY48="row",INDEX($ER$5:$ER$1003,$EX48),"")</f>
        <v/>
      </c>
      <c r="FD48">
        <f>IF($EY48="row",INDEX($DN$5:$DN$1003,$EX48),"")</f>
        <v/>
      </c>
      <c r="FE48">
        <f>IF($EY48="row",INDEX($DO$5:$DO$1003,$EX48),"")</f>
        <v/>
      </c>
      <c r="FF48">
        <f>IF($EY48="row",INDEX($DP$5:$DP$1003,$EX48),"")</f>
        <v/>
      </c>
      <c r="FG48">
        <f>IF($EY48="row",INDEX($DQ$5:$DQ$1003,$EX48),"")</f>
        <v/>
      </c>
      <c r="FH48">
        <f>IF($EY48="row",INDEX($DR$5:$DR$1003,$EX48),"")</f>
        <v/>
      </c>
      <c r="FI48">
        <f>IF($EY48="row",INDEX($DS$5:$DS$1003,$EX48),"")</f>
        <v/>
      </c>
      <c r="FJ48">
        <f>IF($EY48="row",INDEX($DT$5:$DT$1003,$EX48),"")</f>
        <v/>
      </c>
      <c r="FK48">
        <f>IF($EY48="row",INDEX($DU$5:$DU$1003,$EX48),"")</f>
        <v/>
      </c>
      <c r="FL48">
        <f>IF($EY48="row",INDEX($DV$5:$DV$1003,$EX48),"")</f>
        <v/>
      </c>
      <c r="FM48">
        <f>IF($EY48="row",INDEX($DW$5:$DW$1003,$EX48),"")</f>
        <v/>
      </c>
      <c r="FN48">
        <f>IF($EY48="row",INDEX($DY$5:$DY$1003,$EX48),"")</f>
        <v/>
      </c>
      <c r="FO48">
        <f>IF($EY48="row",INDEX($EA$5:$EA$1003,$EX48),"")</f>
        <v/>
      </c>
      <c r="FP48">
        <f>IF($EY48="row",INDEX($EC$5:$EC$1003,$EX48),"")</f>
        <v/>
      </c>
      <c r="FQ48">
        <f>IF($EY48="row",INDEX($ET$5:$ET$1003,$EX48),"")</f>
        <v/>
      </c>
      <c r="FR48">
        <f>IF($EY48="row",INDEX($EU$5:$EU$1003,$EX48),"")</f>
        <v/>
      </c>
      <c r="FS48">
        <f>IF(AND($EY48="row",$EY47="row"),IF(OR(INDEX($DT$5:$DT$1003,$EX47)="",INDEX($DT$5:$DT$1003,$EX48)=""),"",IF(NOT(EXACT(INDEX($DT$5:$DT$1003,$EX47),INDEX($DT$5:$DT$1003,$EX48))),"S4",IF(NOT(EXACT(INDEX($DS$5:$DS$1003,$EX47),INDEX($DS$5:$DS$1003,$EX48))),"S3",IF(NOT(EXACT(INDEX($DR$5:$DR$1003,$EX47),INDEX($DR$5:$DR$1003,$EX48))),"S1 Count Change","S1")))),"")</f>
        <v/>
      </c>
      <c r="FT48">
        <f>IF($EY48="row",INDEX($ES$5:$ES$1003,$EX48),"")</f>
        <v/>
      </c>
      <c r="FU48">
        <f>IF($EY48="row",INDEX($EO$5:$EO$1003,$EX48),0)</f>
        <v/>
      </c>
      <c r="FV48">
        <f>IF($FS48="S1 Count Change",1,0)</f>
        <v/>
      </c>
      <c r="FX48" t="n">
        <v>44</v>
      </c>
      <c r="FY48">
        <f>IFERROR(MATCH($FX48,$EF$5:$EF$1003,0),0)</f>
        <v/>
      </c>
      <c r="FZ48">
        <f>IF($FY48=0,"",INDEX($DH$5:$DH$1003,$FY48))</f>
        <v/>
      </c>
      <c r="GA48">
        <f>IF($FY48=0,"",COUNTIF($EG$5:$EG$1003,$FX48))</f>
        <v/>
      </c>
      <c r="GB48">
        <f>IF($FY48=0,"",INDEX($ER$5:$ER$1003,$FY48))</f>
        <v/>
      </c>
      <c r="GC48">
        <f>IF($FY48=0,"",IF(INDEX($EO$5:$EO$1003,$FY48)=1,"Yes",""))</f>
        <v/>
      </c>
      <c r="GD48">
        <f>IF($FY48=0,"",IF(INDEX($EN$5:$EN$1003,$FY48)&gt;0,"","NOT IN YOUR LIST - type it in column A to tick it"))</f>
        <v/>
      </c>
      <c r="GE48">
        <f>IF(AND($FY48&gt;0,$GD48&lt;&gt;""),1,0)</f>
        <v/>
      </c>
      <c r="GF48">
        <f>GF47+$GE48</f>
        <v/>
      </c>
      <c r="GG48">
        <f>IFERROR(INDEX($FZ$5:$FZ$104,MATCH($FX48,$GF$5:$GF$104,0)),"")</f>
        <v/>
      </c>
    </row>
    <row r="49">
      <c r="S49" t="n">
        <v>45</v>
      </c>
      <c r="T49" t="inlineStr">
        <is>
          <t>AS</t>
        </is>
      </c>
      <c r="V49" t="inlineStr">
        <is>
          <t>CNT</t>
        </is>
      </c>
      <c r="W49" t="n">
        <v>6</v>
      </c>
      <c r="DA49" t="n">
        <v>45</v>
      </c>
      <c r="DB49">
        <f>IF($B$37=0,"",IFERROR(TRIM(SUBSTITUTE(SUBSTITUTE(SUBSTITUTE(SUBSTITUTE(INDEX(PASTE_ALL,45,$B$37)," "," "),CHAR(9)," "),CHAR(10)," "),CHAR(13)," ")),""))</f>
        <v/>
      </c>
      <c r="DC49">
        <f>IF(AND(45&gt;HEADER_ROW,UPPER(DB49)="LEGEND"),1,0)</f>
        <v/>
      </c>
      <c r="DE49" t="n">
        <v>45</v>
      </c>
      <c r="DF49">
        <f>HEADER_ROW+$DE49</f>
        <v/>
      </c>
      <c r="DG49">
        <f>IF(AND($DF49&lt;=1000,$DF49&lt;$B$8),1,0)</f>
        <v/>
      </c>
      <c r="DH49">
        <f>IF($DG49=1,IFERROR(INDEX($DB$5:$DB$1004,$DF49),""),"")</f>
        <v/>
      </c>
      <c r="DI49">
        <f>IF(AND($DG49=1,$DH49&lt;&gt;""),IFERROR(SUBSTITUTE(SUBSTITUTE(TRIM(SUBSTITUTE(SUBSTITUTE(SUBSTITUTE(SUBSTITUTE(IFERROR(INDEX(PASTE_ALL,$DF49,1)&amp;"","")&amp;"␟"&amp;IFERROR(INDEX(PASTE_ALL,$DF49,2)&amp;"","")&amp;"␟"&amp;IFERROR(INDEX(PASTE_ALL,$DF49,3)&amp;"","")&amp;"␟"&amp;IFERROR(INDEX(PASTE_ALL,$DF49,4)&amp;"","")&amp;"␟"&amp;IFERROR(INDEX(PASTE_ALL,$DF49,5)&amp;"","")&amp;"␟"&amp;IFERROR(INDEX(PASTE_ALL,$DF49,6)&amp;"","")&amp;"␟"&amp;IFERROR(INDEX(PASTE_ALL,$DF49,7)&amp;"","")&amp;"␟"&amp;IFERROR(INDEX(PASTE_ALL,$DF49,8)&amp;"","")&amp;"␟"&amp;IFERROR(INDEX(PASTE_ALL,$DF49,9)&amp;"","")&amp;"␟"&amp;IFERROR(INDEX(PASTE_ALL,$DF49,10)&amp;"","")&amp;"␟"&amp;IFERROR(INDEX(PASTE_ALL,$DF49,11)&amp;"","")&amp;"␟"&amp;IFERROR(INDEX(PASTE_ALL,$DF49,12)&amp;"","")&amp;"␟"&amp;IFERROR(INDEX(PASTE_ALL,$DF49,13)&amp;"","")&amp;"␟"&amp;IFERROR(INDEX(PASTE_ALL,$DF49,14)&amp;"","")&amp;"␟"&amp;IFERROR(INDEX(PASTE_ALL,$DF49,15)&amp;"","")&amp;"␟"&amp;IFERROR(INDEX(PASTE_ALL,$DF49,16)&amp;"","")&amp;"␟"&amp;IFERROR(INDEX(PASTE_ALL,$DF49,17)&amp;"","")&amp;"␟"&amp;IFERROR(INDEX(PASTE_ALL,$DF49,18)&amp;"","")&amp;"␟"&amp;IFERROR(INDEX(PASTE_ALL,$DF49,19)&amp;"","")&amp;"␟"&amp;IFERROR(INDEX(PASTE_ALL,$DF49,20)&amp;"","")&amp;"␟"&amp;IFERROR(INDEX(PASTE_ALL,$DF49,21)&amp;"","")&amp;"␟"&amp;IFERROR(INDEX(PASTE_ALL,$DF49,22)&amp;"","")&amp;"␟"&amp;IFERROR(INDEX(PASTE_ALL,$DF49,23)&amp;"","")&amp;"␟"&amp;IFERROR(INDEX(PASTE_ALL,$DF49,24)&amp;"","")&amp;"␟"&amp;IFERROR(INDEX(PASTE_ALL,$DF49,25)&amp;"","")&amp;"␟"&amp;IFERROR(INDEX(PASTE_ALL,$DF49,26)&amp;"","")&amp;"␟"&amp;IFERROR(INDEX(PASTE_ALL,$DF49,27)&amp;"","")&amp;"␟"&amp;IFERROR(INDEX(PASTE_ALL,$DF49,28)&amp;"","")&amp;"␟"&amp;IFERROR(INDEX(PASTE_ALL,$DF49,29)&amp;"","")&amp;"␟"&amp;IFERROR(INDEX(PASTE_ALL,$DF49,30)&amp;"","")&amp;"␟"&amp;IFERROR(INDEX(PASTE_ALL,$DF49,31)&amp;"","")&amp;"␟"&amp;IFERROR(INDEX(PASTE_ALL,$DF49,32)&amp;"","")&amp;"␟"&amp;IFERROR(INDEX(PASTE_ALL,$DF49,33)&amp;"","")&amp;"␟"&amp;IFERROR(INDEX(PASTE_ALL,$DF49,34)&amp;"","")&amp;"␟"&amp;IFERROR(INDEX(PASTE_ALL,$DF49,35)&amp;"","")&amp;"␟"&amp;IFERROR(INDEX(PASTE_ALL,$DF49,36)&amp;"","")&amp;"␟"&amp;IFERROR(INDEX(PASTE_ALL,$DF49,37)&amp;"","")&amp;"␟"&amp;IFERROR(INDEX(PASTE_ALL,$DF49,38)&amp;"","")&amp;"␟"&amp;IFERROR(INDEX(PASTE_ALL,$DF49,39)&amp;"","")&amp;"␟"&amp;IFERROR(INDEX(PASTE_ALL,$DF49,40)&amp;"","")&amp;"␟"&amp;IFERROR(INDEX(PASTE_ALL,$DF49,41)&amp;"","")&amp;"␟"&amp;IFERROR(INDEX(PASTE_ALL,$DF49,42)&amp;"","")&amp;"␟"&amp;IFERROR(INDEX(PASTE_ALL,$DF49,43)&amp;"","")&amp;"␟"&amp;IFERROR(INDEX(PASTE_ALL,$DF49,44)&amp;"","")&amp;"␟"&amp;IFERROR(INDEX(PASTE_ALL,$DF49,45)&amp;"","")&amp;"␟"&amp;IFERROR(INDEX(PASTE_ALL,$DF49,46)&amp;"","")&amp;"␟"&amp;IFERROR(INDEX(PASTE_ALL,$DF49,47)&amp;"","")&amp;"␟"&amp;IFERROR(INDEX(PASTE_ALL,$DF49,48)&amp;"","")&amp;"␟"&amp;IFERROR(INDEX(PASTE_ALL,$DF49,49)&amp;"","")&amp;"␟"&amp;IFERROR(INDEX(PASTE_ALL,$DF49,50)&amp;"","")&amp;"␟"&amp;IFERROR(INDEX(PASTE_ALL,$DF49,51)&amp;"","")&amp;"␟"&amp;IFERROR(INDEX(PASTE_ALL,$DF49,52)&amp;"","")&amp;"␟"&amp;IFERROR(INDEX(PASTE_ALL,$DF49,53)&amp;"","")&amp;"␟"&amp;IFERROR(INDEX(PASTE_ALL,$DF49,54)&amp;"","")&amp;"␟"&amp;IFERROR(INDEX(PASTE_ALL,$DF49,55)&amp;"","")&amp;"␟"&amp;IFERROR(INDEX(PASTE_ALL,$DF49,56)&amp;"","")&amp;"␟"&amp;IFERROR(INDEX(PASTE_ALL,$DF49,57)&amp;"","")&amp;"␟"&amp;IFERROR(INDEX(PASTE_ALL,$DF49,58)&amp;"","")&amp;"␟"&amp;IFERROR(INDEX(PASTE_ALL,$DF49,59)&amp;"","")&amp;"␟"&amp;IFERROR(INDEX(PASTE_ALL,$DF49,60)&amp;"","")," "," "),CHAR(9)," "),CHAR(10)," "),CHAR(13)," "))," ␟","␟"),"␟ ","␟"),"#"&amp;$DE49),"")</f>
        <v/>
      </c>
      <c r="DJ49">
        <f>IF($DI49="",0,IF(SUMPRODUCT(--EXACT($DI$4:DI48,$DI49))&gt;0,1,0))</f>
        <v/>
      </c>
      <c r="DK49">
        <f>IF(AND($DI49&lt;&gt;"",$DJ49=0),1,0)</f>
        <v/>
      </c>
      <c r="DL49">
        <f>DL48+$DK49</f>
        <v/>
      </c>
      <c r="DM49">
        <f>IF(AND($DK49=1,$DL49&lt;=600),1,0)</f>
        <v/>
      </c>
      <c r="DN49">
        <f>IF($DM49=0,"",IF($L$6=0,"",IFERROR(IF(ISNUMBER(INDEX(PASTE_ALL,$DF49,$L$6)),INDEX(PASTE_ALL,$DF49,$L$6),TRIM(SUBSTITUTE(SUBSTITUTE(SUBSTITUTE(SUBSTITUTE(INDEX(PASTE_ALL,$DF49,$L$6)," "," "),CHAR(9)," "),CHAR(10)," "),CHAR(13)," "))),"")))</f>
        <v/>
      </c>
      <c r="DO49">
        <f>IF($DM49=0,"",IF($L$7=0,"",IFERROR(IF(ISNUMBER(INDEX(PASTE_ALL,$DF49,$L$7)),INDEX(PASTE_ALL,$DF49,$L$7),TRIM(SUBSTITUTE(SUBSTITUTE(SUBSTITUTE(SUBSTITUTE(INDEX(PASTE_ALL,$DF49,$L$7)," "," "),CHAR(9)," "),CHAR(10)," "),CHAR(13)," "))),"")))</f>
        <v/>
      </c>
      <c r="DP49">
        <f>IF($DM49=0,"",IF($L$8=0,"",IFERROR(IF(ISNUMBER(INDEX(PASTE_ALL,$DF49,$L$8)),INDEX(PASTE_ALL,$DF49,$L$8),TRIM(SUBSTITUTE(SUBSTITUTE(SUBSTITUTE(SUBSTITUTE(INDEX(PASTE_ALL,$DF49,$L$8)," "," "),CHAR(9)," "),CHAR(10)," "),CHAR(13)," "))),"")))</f>
        <v/>
      </c>
      <c r="DQ49">
        <f>IF($DM49=0,"",IF($L$9=0,"",IFERROR(IF(ISNUMBER(INDEX(PASTE_ALL,$DF49,$L$9)),INDEX(PASTE_ALL,$DF49,$L$9),TRIM(SUBSTITUTE(SUBSTITUTE(SUBSTITUTE(SUBSTITUTE(INDEX(PASTE_ALL,$DF49,$L$9)," "," "),CHAR(9)," "),CHAR(10)," "),CHAR(13)," "))),"")))</f>
        <v/>
      </c>
      <c r="DR49">
        <f>IF($DM49=0,"",IF($L$10=0,"",IFERROR(IF(ISNUMBER(INDEX(PASTE_ALL,$DF49,$L$10)),INDEX(PASTE_ALL,$DF49,$L$10),TRIM(SUBSTITUTE(SUBSTITUTE(SUBSTITUTE(SUBSTITUTE(INDEX(PASTE_ALL,$DF49,$L$10)," "," "),CHAR(9)," "),CHAR(10)," "),CHAR(13)," "))),"")))</f>
        <v/>
      </c>
      <c r="DS49">
        <f>IF($DM49=0,"",IF($L$11=0,"",IFERROR(IF(ISNUMBER(INDEX(PASTE_ALL,$DF49,$L$11)),INDEX(PASTE_ALL,$DF49,$L$11),TRIM(SUBSTITUTE(SUBSTITUTE(SUBSTITUTE(SUBSTITUTE(INDEX(PASTE_ALL,$DF49,$L$11)," "," "),CHAR(9)," "),CHAR(10)," "),CHAR(13)," "))),"")))</f>
        <v/>
      </c>
      <c r="DT49">
        <f>IF($DM49=0,"",IF($L$12=0,"",IFERROR(IF(ISNUMBER(INDEX(PASTE_ALL,$DF49,$L$12)),INDEX(PASTE_ALL,$DF49,$L$12),TRIM(SUBSTITUTE(SUBSTITUTE(SUBSTITUTE(SUBSTITUTE(INDEX(PASTE_ALL,$DF49,$L$12)," "," "),CHAR(9)," "),CHAR(10)," "),CHAR(13)," "))),"")))</f>
        <v/>
      </c>
      <c r="DU49">
        <f>IF($DM49=0,"",IF($L$13=0,"",IFERROR(IF(ISNUMBER(INDEX(PASTE_ALL,$DF49,$L$13)),INDEX(PASTE_ALL,$DF49,$L$13),TRIM(SUBSTITUTE(SUBSTITUTE(SUBSTITUTE(SUBSTITUTE(INDEX(PASTE_ALL,$DF49,$L$13)," "," "),CHAR(9)," "),CHAR(10)," "),CHAR(13)," "))),"")))</f>
        <v/>
      </c>
      <c r="DV49">
        <f>IF($DM49=0,"",IF($L$14=0,"",IFERROR(IF(ISNUMBER(INDEX(PASTE_ALL,$DF49,$L$14)),INDEX(PASTE_ALL,$DF49,$L$14),TRIM(SUBSTITUTE(SUBSTITUTE(SUBSTITUTE(SUBSTITUTE(INDEX(PASTE_ALL,$DF49,$L$14)," "," "),CHAR(9)," "),CHAR(10)," "),CHAR(13)," "))),"")))</f>
        <v/>
      </c>
      <c r="DW49">
        <f>IF($DM49=0,"",IF($L$15=0,"",IFERROR(IF(ISNUMBER(INDEX(PASTE_ALL,$DF49,$L$15)),INDEX(PASTE_ALL,$DF49,$L$15),IF(SUMPRODUCT(--ISNUMBER(FIND({"A","B","C","D","E","F","G","H","I","J","K","L","M","N","O","P","Q","R","S","T","U","V","W","X","Y","Z","0","1","2","3","4","5","6","7","8","9"},UPPER(TRIM(SUBSTITUTE(SUBSTITUTE(SUBSTITUTE(SUBSTITUTE(INDEX(PASTE_ALL,$DF49,$L$15)," "," "),CHAR(9)," "),CHAR(10)," "),CHAR(13)," "))))))&gt;0,TRIM(SUBSTITUTE(SUBSTITUTE(SUBSTITUTE(SUBSTITUTE(INDEX(PASTE_ALL,$DF49,$L$15)," "," "),CHAR(9)," "),CHAR(10)," "),CHAR(13)," ")),"")),"")))</f>
        <v/>
      </c>
      <c r="DX49">
        <f>IF($DM49=0,"",IF($L$16=0,"",IFERROR(IF(ISNUMBER(INDEX(PASTE_ALL,$DF49,$L$16)),INDEX(PASTE_ALL,$DF49,$L$16),SUBSTITUTE(SUBSTITUTE(TRIM(SUBSTITUTE(SUBSTITUTE(SUBSTITUTE(SUBSTITUTE(INDEX(PASTE_ALL,$DF49,$L$16)," "," "),CHAR(9)," "),CHAR(10)," "),CHAR(13)," ")),",",""),"%","")),"")))</f>
        <v/>
      </c>
      <c r="DY49">
        <f>IF($DM49=0,"",IFERROR(IF(ISNUMBER($DX49),$DX49,IF($DX49="","",IF(TRIM($DX49)="",0,IF(AND(AND(SUBSTITUTE(SUBSTITUTE(SUBSTITUTE(SUBSTITUTE(SUBSTITUTE(SUBSTITUTE(SUBSTITUTE(SUBSTITUTE(SUBSTITUTE(SUBSTITUTE(SUBSTITUTE(SUBSTITUTE(SUBSTITUTE(SUBSTITUTE(UPPER(TRIM($DX49)),"0",""),"1",""),"2",""),"3",""),"4",""),"5",""),"6",""),"7",""),"8",""),"9",""),".",""),"+",""),"-",""),"E","")="",LEN(SUBSTITUTE(SUBSTITUTE(MID(UPPER(TRIM($DX49)),1+OR(LEFT(UPPER(TRIM($DX49)),1)="+",LEFT(UPPER(TRIM($DX49)),1)="-"),999),"E+","E"),"E-","E"))=LEN(SUBSTITUTE(SUBSTITUTE(SUBSTITUTE(SUBSTITUTE(MID(UPPER(TRIM($DX49)),1+OR(LEFT(UPPER(TRIM($DX49)),1)="+",LEFT(UPPER(TRIM($DX49)),1)="-"),999),"E+","E"),"E-","E"),"+",""),"-","")),LEN(UPPER(TRIM($DX49)))-LEN(SUBSTITUTE(UPPER(TRIM($DX49)),"E",""))&lt;2,LEN(UPPER(TRIM($DX49)))-LEN(SUBSTITUTE(UPPER(TRIM($DX49)),".",""))&lt;2,IFERROR(FIND(".",UPPER(TRIM($DX49))),0)&lt;IFERROR(FIND("E",UPPER(TRIM($DX49))),999)),ISNUMBER(VALUE(TRIM($DX49)))),VALUE(TRIM($DX49)),"")))),""))</f>
        <v/>
      </c>
      <c r="DZ49">
        <f>IF($DM49=0,"",IF($L$17=0,"",IFERROR(IF(ISNUMBER(INDEX(PASTE_ALL,$DF49,$L$17)),INDEX(PASTE_ALL,$DF49,$L$17),SUBSTITUTE(SUBSTITUTE(TRIM(SUBSTITUTE(SUBSTITUTE(SUBSTITUTE(SUBSTITUTE(INDEX(PASTE_ALL,$DF49,$L$17)," "," "),CHAR(9)," "),CHAR(10)," "),CHAR(13)," ")),",",""),"%","")),"")))</f>
        <v/>
      </c>
      <c r="EA49">
        <f>IF($DM49=0,"",IFERROR(IF(ISNUMBER($DZ49),$DZ49,IF($DZ49="","",IF(TRIM($DZ49)="",0,IF(AND(AND(SUBSTITUTE(SUBSTITUTE(SUBSTITUTE(SUBSTITUTE(SUBSTITUTE(SUBSTITUTE(SUBSTITUTE(SUBSTITUTE(SUBSTITUTE(SUBSTITUTE(SUBSTITUTE(SUBSTITUTE(SUBSTITUTE(SUBSTITUTE(UPPER(TRIM($DZ49)),"0",""),"1",""),"2",""),"3",""),"4",""),"5",""),"6",""),"7",""),"8",""),"9",""),".",""),"+",""),"-",""),"E","")="",LEN(SUBSTITUTE(SUBSTITUTE(MID(UPPER(TRIM($DZ49)),1+OR(LEFT(UPPER(TRIM($DZ49)),1)="+",LEFT(UPPER(TRIM($DZ49)),1)="-"),999),"E+","E"),"E-","E"))=LEN(SUBSTITUTE(SUBSTITUTE(SUBSTITUTE(SUBSTITUTE(MID(UPPER(TRIM($DZ49)),1+OR(LEFT(UPPER(TRIM($DZ49)),1)="+",LEFT(UPPER(TRIM($DZ49)),1)="-"),999),"E+","E"),"E-","E"),"+",""),"-","")),LEN(UPPER(TRIM($DZ49)))-LEN(SUBSTITUTE(UPPER(TRIM($DZ49)),"E",""))&lt;2,LEN(UPPER(TRIM($DZ49)))-LEN(SUBSTITUTE(UPPER(TRIM($DZ49)),".",""))&lt;2,IFERROR(FIND(".",UPPER(TRIM($DZ49))),0)&lt;IFERROR(FIND("E",UPPER(TRIM($DZ49))),999)),ISNUMBER(VALUE(TRIM($DZ49)))),VALUE(TRIM($DZ49)),"")))),""))</f>
        <v/>
      </c>
      <c r="EB49">
        <f>IF($DM49=0,"",IF($L$18=0,"",IFERROR(IF(UPPER(TRIM(SUBSTITUTE(SUBSTITUTE(SUBSTITUTE(SUBSTITUTE(INDEX(PASTE_ALL,$DF49,$L$18)," "," "),CHAR(9)," "),CHAR(10)," "),CHAR(13)," ")))="READY","Ready",IF(UPPER(TRIM(SUBSTITUTE(SUBSTITUTE(SUBSTITUTE(SUBSTITUTE(INDEX(PASTE_ALL,$DF49,$L$18)," "," "),CHAR(9)," "),CHAR(10)," "),CHAR(13)," ")))="PM","PM",IF(OR(UPPER(TRIM(SUBSTITUTE(SUBSTITUTE(SUBSTITUTE(SUBSTITUTE(INDEX(PASTE_ALL,$DF49,$L$18)," "," "),CHAR(9)," "),CHAR(10)," "),CHAR(13)," ")))="OT",UPPER(TRIM(SUBSTITUTE(SUBSTITUTE(SUBSTITUTE(SUBSTITUTE(INDEX(PASTE_ALL,$DF49,$L$18)," "," "),CHAR(9)," "),CHAR(10)," "),CHAR(13)," ")))="OVERTIME",UPPER(TRIM(SUBSTITUTE(SUBSTITUTE(SUBSTITUTE(SUBSTITUTE(INDEX(PASTE_ALL,$DF49,$L$18)," "," "),CHAR(9)," "),CHAR(10)," "),CHAR(13)," ")))="TRIAL"),"OT",TRIM(SUBSTITUTE(SUBSTITUTE(SUBSTITUTE(SUBSTITUTE(INDEX(PASTE_ALL,$DF49,$L$18)," "," "),CHAR(9)," "),CHAR(10)," "),CHAR(13)," "))))),"")))</f>
        <v/>
      </c>
      <c r="EC49">
        <f>IF($DM49=0,"",IF($L$19=0,"",IFERROR(IF(ISNUMBER(INDEX(PASTE_ALL,$DF49,$L$19)),INDEX(PASTE_ALL,$DF49,$L$19),TRIM(SUBSTITUTE(SUBSTITUTE(SUBSTITUTE(SUBSTITUTE(INDEX(PASTE_ALL,$DF49,$L$19)," "," "),CHAR(9)," "),CHAR(10)," "),CHAR(13)," "))),"")))</f>
        <v/>
      </c>
      <c r="ED49">
        <f>IF($DM49=0,"",MATCH(1,INDEX(EXACT($DH$5:DH49,$DH49)*$DM$5:DM49,0),0))</f>
        <v/>
      </c>
      <c r="EE49">
        <f>IF($DM49=0,0,IF($ED49=$DE49,1,0))</f>
        <v/>
      </c>
      <c r="EF49">
        <f>EF48+$EE49</f>
        <v/>
      </c>
      <c r="EG49">
        <f>IF($DM49=0,"",INDEX($EF$5:$EF$1003,$ED49))</f>
        <v/>
      </c>
      <c r="EH49">
        <f>IF($DM49=0,"",IF($DO49&lt;&gt;"","",IFERROR(LOOKUP(2,1/(($EG$4:EG48=$EG49)*($DO$4:DO48&lt;&gt;"")),$DO$4:DO48),"")))</f>
        <v/>
      </c>
      <c r="EI49">
        <f>IF($DM49=0,"",IF($DO49&lt;&gt;"",$DO49,$EH49))</f>
        <v/>
      </c>
      <c r="EJ49">
        <f>IF($DM49=0,"",IF($EI49="",0,IF(OR(ISNUMBER($EI49),AND(AND(SUBSTITUTE(SUBSTITUTE(SUBSTITUTE(SUBSTITUTE(SUBSTITUTE(SUBSTITUTE(SUBSTITUTE(SUBSTITUTE(SUBSTITUTE(SUBSTITUTE(SUBSTITUTE(SUBSTITUTE(SUBSTITUTE(SUBSTITUTE(UPPER($EI49),"0",""),"1",""),"2",""),"3",""),"4",""),"5",""),"6",""),"7",""),"8",""),"9",""),".",""),"+",""),"-",""),"E","")="",LEN(SUBSTITUTE(SUBSTITUTE(MID(UPPER($EI49),1+OR(LEFT(UPPER($EI49),1)="+",LEFT(UPPER($EI49),1)="-"),999),"E+","E"),"E-","E"))=LEN(SUBSTITUTE(SUBSTITUTE(SUBSTITUTE(SUBSTITUTE(MID(UPPER($EI49),1+OR(LEFT(UPPER($EI49),1)="+",LEFT(UPPER($EI49),1)="-"),999),"E+","E"),"E-","E"),"+",""),"-","")),LEN(UPPER($EI49))-LEN(SUBSTITUTE(UPPER($EI49),"E",""))&lt;2,LEN(UPPER($EI49))-LEN(SUBSTITUTE(UPPER($EI49),".",""))&lt;2,IFERROR(FIND(".",UPPER($EI49)),0)&lt;IFERROR(FIND("E",UPPER($EI49)),999)),ISNUMBER(VALUE($EI49)))),1,2)))</f>
        <v/>
      </c>
      <c r="EK49">
        <f>IF($DM49=0,"",IF($EJ49=1,IF(ISNUMBER($EI49),$EI49,VALUE($EI49)),IF($EJ49=2,$DE49,0)))</f>
        <v/>
      </c>
      <c r="EL49">
        <f>IF($DM49=0,"",COUNTIF($EG$5:$EG$1003,"&lt;"&amp;$EG49)+SUMPRODUCT(($EG$5:$EG$1003=$EG49)*(($EJ$5:$EJ$1003&lt;$EJ49)+($EJ$5:$EJ$1003=$EJ49)*(($EK$5:$EK$1003&lt;$EK49)+($EK$5:$EK$1003=$EK49)*($DE$5:$DE$1003&lt;$DE49))))+1)</f>
        <v/>
      </c>
      <c r="EM49">
        <f>IF($DM49=0,"",$EL49+$EG49-1)</f>
        <v/>
      </c>
      <c r="EN49">
        <f>IF($DM49=0,0,IFERROR(MATCH(1,INDEX(--(TRIM(SUBSTITUTE(SUBSTITUTE(SUBSTITUTE(SUBSTITUTE(LINES_NAME&amp;""," "," "),CHAR(9)," "),CHAR(10)," "),CHAR(13)," "))=$DH49),0),0),0))</f>
        <v/>
      </c>
      <c r="EO49">
        <f>IF($EN49=0,0,IF(OR(UPPER(TRIM(INDEX(LINES_SCHEDULED,$EN49)&amp;""))="YES",UPPER(TRIM(INDEX(LINES_SCHEDULED,$EN49)&amp;""))="Y",UPPER(TRIM(INDEX(LINES_SCHEDULED,$EN49)&amp;""))="X"),1,0))</f>
        <v/>
      </c>
      <c r="EP49">
        <f>IF($DM49=0,"",IF(COUNTIFS($EG$5:$EG$1003,$EG49,$EB$5:$EB$1003,"Ready")&gt;0,"READY",IF(COUNTIFS($EG$5:$EG$1003,$EG49,$EB$5:$EB$1003,"PM")&gt;0,"PM",IF(COUNTIFS($EG$5:$EG$1003,$EG49,$EB$5:$EB$1003,"OT")&gt;0,"OT",""))))</f>
        <v/>
      </c>
      <c r="EQ49">
        <f>IF($EN49=0,"",UPPER(TRIM(INDEX(LINES_STATUS,$EN49)&amp;"")))</f>
        <v/>
      </c>
      <c r="ER49">
        <f>IF($DM49=0,"",IF(OR($EQ49="READY",$EQ49="PM",$EQ49="OT"),$EQ49,$EP49))</f>
        <v/>
      </c>
      <c r="ES49">
        <f>IF($DM49=0,"",IF(AND($DV49&lt;&gt;"",UPPER($DV49)&lt;&gt;"N"),"allergen",IF(ISNUMBER(SEARCH("oil",$DQ49)),"oil",IF(OR(EXACT($DS49,"A662"),EXACT($DS49,"A624")),"bulk",""))))</f>
        <v/>
      </c>
      <c r="ET49">
        <f>IF($DM49=0,"",IF(OR($EA49="",$EA49=0),"",$EA49/100))</f>
        <v/>
      </c>
      <c r="EU49">
        <f>IF(OR($ET49="",$DY49=""),"",INT($DY49*(1-$ET49)+0.5))</f>
        <v/>
      </c>
      <c r="EW49" t="n">
        <v>45</v>
      </c>
      <c r="EX49">
        <f>IFERROR(MATCH($EW49,$EM$5:$EM$1003,0),0)</f>
        <v/>
      </c>
      <c r="EY49">
        <f>IF($EW49&gt;$B$12,"",IF($EX49&gt;0,"row","spacer"))</f>
        <v/>
      </c>
      <c r="EZ49">
        <f>IF(AND($EY49="row",$EY48&lt;&gt;"row"),1,0)</f>
        <v/>
      </c>
      <c r="FA49">
        <f>IF(AND($EY49="row",$EY50&lt;&gt;"row"),1,0)</f>
        <v/>
      </c>
      <c r="FB49">
        <f>IF($EZ49=1,IFERROR(IF(ISNUMBER(INDEX(PASTE_ALL,INDEX($DF$5:$DF$1003,$EX49),$B$37)),INDEX(PASTE_ALL,INDEX($DF$5:$DF$1003,$EX49),$B$37),INDEX($DH$5:$DH$1003,$EX49)),INDEX($DH$5:$DH$1003,$EX49)),"")</f>
        <v/>
      </c>
      <c r="FC49">
        <f>IF($EY49="row",INDEX($ER$5:$ER$1003,$EX49),"")</f>
        <v/>
      </c>
      <c r="FD49">
        <f>IF($EY49="row",INDEX($DN$5:$DN$1003,$EX49),"")</f>
        <v/>
      </c>
      <c r="FE49">
        <f>IF($EY49="row",INDEX($DO$5:$DO$1003,$EX49),"")</f>
        <v/>
      </c>
      <c r="FF49">
        <f>IF($EY49="row",INDEX($DP$5:$DP$1003,$EX49),"")</f>
        <v/>
      </c>
      <c r="FG49">
        <f>IF($EY49="row",INDEX($DQ$5:$DQ$1003,$EX49),"")</f>
        <v/>
      </c>
      <c r="FH49">
        <f>IF($EY49="row",INDEX($DR$5:$DR$1003,$EX49),"")</f>
        <v/>
      </c>
      <c r="FI49">
        <f>IF($EY49="row",INDEX($DS$5:$DS$1003,$EX49),"")</f>
        <v/>
      </c>
      <c r="FJ49">
        <f>IF($EY49="row",INDEX($DT$5:$DT$1003,$EX49),"")</f>
        <v/>
      </c>
      <c r="FK49">
        <f>IF($EY49="row",INDEX($DU$5:$DU$1003,$EX49),"")</f>
        <v/>
      </c>
      <c r="FL49">
        <f>IF($EY49="row",INDEX($DV$5:$DV$1003,$EX49),"")</f>
        <v/>
      </c>
      <c r="FM49">
        <f>IF($EY49="row",INDEX($DW$5:$DW$1003,$EX49),"")</f>
        <v/>
      </c>
      <c r="FN49">
        <f>IF($EY49="row",INDEX($DY$5:$DY$1003,$EX49),"")</f>
        <v/>
      </c>
      <c r="FO49">
        <f>IF($EY49="row",INDEX($EA$5:$EA$1003,$EX49),"")</f>
        <v/>
      </c>
      <c r="FP49">
        <f>IF($EY49="row",INDEX($EC$5:$EC$1003,$EX49),"")</f>
        <v/>
      </c>
      <c r="FQ49">
        <f>IF($EY49="row",INDEX($ET$5:$ET$1003,$EX49),"")</f>
        <v/>
      </c>
      <c r="FR49">
        <f>IF($EY49="row",INDEX($EU$5:$EU$1003,$EX49),"")</f>
        <v/>
      </c>
      <c r="FS49">
        <f>IF(AND($EY49="row",$EY48="row"),IF(OR(INDEX($DT$5:$DT$1003,$EX48)="",INDEX($DT$5:$DT$1003,$EX49)=""),"",IF(NOT(EXACT(INDEX($DT$5:$DT$1003,$EX48),INDEX($DT$5:$DT$1003,$EX49))),"S4",IF(NOT(EXACT(INDEX($DS$5:$DS$1003,$EX48),INDEX($DS$5:$DS$1003,$EX49))),"S3",IF(NOT(EXACT(INDEX($DR$5:$DR$1003,$EX48),INDEX($DR$5:$DR$1003,$EX49))),"S1 Count Change","S1")))),"")</f>
        <v/>
      </c>
      <c r="FT49">
        <f>IF($EY49="row",INDEX($ES$5:$ES$1003,$EX49),"")</f>
        <v/>
      </c>
      <c r="FU49">
        <f>IF($EY49="row",INDEX($EO$5:$EO$1003,$EX49),0)</f>
        <v/>
      </c>
      <c r="FV49">
        <f>IF($FS49="S1 Count Change",1,0)</f>
        <v/>
      </c>
      <c r="FX49" t="n">
        <v>45</v>
      </c>
      <c r="FY49">
        <f>IFERROR(MATCH($FX49,$EF$5:$EF$1003,0),0)</f>
        <v/>
      </c>
      <c r="FZ49">
        <f>IF($FY49=0,"",INDEX($DH$5:$DH$1003,$FY49))</f>
        <v/>
      </c>
      <c r="GA49">
        <f>IF($FY49=0,"",COUNTIF($EG$5:$EG$1003,$FX49))</f>
        <v/>
      </c>
      <c r="GB49">
        <f>IF($FY49=0,"",INDEX($ER$5:$ER$1003,$FY49))</f>
        <v/>
      </c>
      <c r="GC49">
        <f>IF($FY49=0,"",IF(INDEX($EO$5:$EO$1003,$FY49)=1,"Yes",""))</f>
        <v/>
      </c>
      <c r="GD49">
        <f>IF($FY49=0,"",IF(INDEX($EN$5:$EN$1003,$FY49)&gt;0,"","NOT IN YOUR LIST - type it in column A to tick it"))</f>
        <v/>
      </c>
      <c r="GE49">
        <f>IF(AND($FY49&gt;0,$GD49&lt;&gt;""),1,0)</f>
        <v/>
      </c>
      <c r="GF49">
        <f>GF48+$GE49</f>
        <v/>
      </c>
      <c r="GG49">
        <f>IFERROR(INDEX($FZ$5:$FZ$104,MATCH($FX49,$GF$5:$GF$104,0)),"")</f>
        <v/>
      </c>
    </row>
    <row r="50">
      <c r="S50" t="n">
        <v>46</v>
      </c>
      <c r="T50" t="inlineStr">
        <is>
          <t>AT</t>
        </is>
      </c>
      <c r="V50" t="inlineStr">
        <is>
          <t>BULKITEM</t>
        </is>
      </c>
      <c r="W50" t="n">
        <v>7</v>
      </c>
      <c r="X50" s="69" t="inlineStr">
        <is>
          <t>cell type</t>
        </is>
      </c>
      <c r="Y50">
        <f>IFERROR(IF(ISNUMBER(INDEX(PASTE_ALL,1,1)),2,IF(TRIM(INDEX(PASTE_ALL,1,1))="",0,IF(AND(LEFT(MID(TRIM(INDEX(PASTE_ALL,1,1)),1+(LEFT(TRIM(INDEX(PASTE_ALL,1,1)),1)="-"),999),LEN(MID(TRIM(INDEX(PASTE_ALL,1,1)),1+(LEFT(TRIM(INDEX(PASTE_ALL,1,1)),1)="-"),999))-(RIGHT(MID(TRIM(INDEX(PASTE_ALL,1,1)),1+(LEFT(TRIM(INDEX(PASTE_ALL,1,1)),1)="-"),999),1)="%"))&lt;&gt;"",SUBSTITUTE(SUBSTITUTE(SUBSTITUTE(SUBSTITUTE(SUBSTITUTE(SUBSTITUTE(SUBSTITUTE(SUBSTITUTE(SUBSTITUTE(SUBSTITUTE(SUBSTITUTE(SUBSTITUTE(LEFT(MID(TRIM(INDEX(PASTE_ALL,1,1)),1+(LEFT(TRIM(INDEX(PASTE_ALL,1,1)),1)="-"),999),LEN(MID(TRIM(INDEX(PASTE_ALL,1,1)),1+(LEFT(TRIM(INDEX(PASTE_ALL,1,1)),1)="-"),999))-(RIGHT(MID(TRIM(INDEX(PASTE_ALL,1,1)),1+(LEFT(TRIM(INDEX(PASTE_ALL,1,1)),1)="-"),999),1)="%")),"0",""),"1",""),"2",""),"3",""),"4",""),"5",""),"6",""),"7",""),"8",""),"9",""),".",""),",","")=""),2,1))),1)</f>
        <v/>
      </c>
      <c r="Z50">
        <f>IFERROR(IF(ISNUMBER(INDEX(PASTE_ALL,1,2)),2,IF(TRIM(INDEX(PASTE_ALL,1,2))="",0,IF(AND(LEFT(MID(TRIM(INDEX(PASTE_ALL,1,2)),1+(LEFT(TRIM(INDEX(PASTE_ALL,1,2)),1)="-"),999),LEN(MID(TRIM(INDEX(PASTE_ALL,1,2)),1+(LEFT(TRIM(INDEX(PASTE_ALL,1,2)),1)="-"),999))-(RIGHT(MID(TRIM(INDEX(PASTE_ALL,1,2)),1+(LEFT(TRIM(INDEX(PASTE_ALL,1,2)),1)="-"),999),1)="%"))&lt;&gt;"",SUBSTITUTE(SUBSTITUTE(SUBSTITUTE(SUBSTITUTE(SUBSTITUTE(SUBSTITUTE(SUBSTITUTE(SUBSTITUTE(SUBSTITUTE(SUBSTITUTE(SUBSTITUTE(SUBSTITUTE(LEFT(MID(TRIM(INDEX(PASTE_ALL,1,2)),1+(LEFT(TRIM(INDEX(PASTE_ALL,1,2)),1)="-"),999),LEN(MID(TRIM(INDEX(PASTE_ALL,1,2)),1+(LEFT(TRIM(INDEX(PASTE_ALL,1,2)),1)="-"),999))-(RIGHT(MID(TRIM(INDEX(PASTE_ALL,1,2)),1+(LEFT(TRIM(INDEX(PASTE_ALL,1,2)),1)="-"),999),1)="%")),"0",""),"1",""),"2",""),"3",""),"4",""),"5",""),"6",""),"7",""),"8",""),"9",""),".",""),",","")=""),2,1))),1)</f>
        <v/>
      </c>
      <c r="AA50">
        <f>IFERROR(IF(ISNUMBER(INDEX(PASTE_ALL,1,3)),2,IF(TRIM(INDEX(PASTE_ALL,1,3))="",0,IF(AND(LEFT(MID(TRIM(INDEX(PASTE_ALL,1,3)),1+(LEFT(TRIM(INDEX(PASTE_ALL,1,3)),1)="-"),999),LEN(MID(TRIM(INDEX(PASTE_ALL,1,3)),1+(LEFT(TRIM(INDEX(PASTE_ALL,1,3)),1)="-"),999))-(RIGHT(MID(TRIM(INDEX(PASTE_ALL,1,3)),1+(LEFT(TRIM(INDEX(PASTE_ALL,1,3)),1)="-"),999),1)="%"))&lt;&gt;"",SUBSTITUTE(SUBSTITUTE(SUBSTITUTE(SUBSTITUTE(SUBSTITUTE(SUBSTITUTE(SUBSTITUTE(SUBSTITUTE(SUBSTITUTE(SUBSTITUTE(SUBSTITUTE(SUBSTITUTE(LEFT(MID(TRIM(INDEX(PASTE_ALL,1,3)),1+(LEFT(TRIM(INDEX(PASTE_ALL,1,3)),1)="-"),999),LEN(MID(TRIM(INDEX(PASTE_ALL,1,3)),1+(LEFT(TRIM(INDEX(PASTE_ALL,1,3)),1)="-"),999))-(RIGHT(MID(TRIM(INDEX(PASTE_ALL,1,3)),1+(LEFT(TRIM(INDEX(PASTE_ALL,1,3)),1)="-"),999),1)="%")),"0",""),"1",""),"2",""),"3",""),"4",""),"5",""),"6",""),"7",""),"8",""),"9",""),".",""),",","")=""),2,1))),1)</f>
        <v/>
      </c>
      <c r="AB50">
        <f>IFERROR(IF(ISNUMBER(INDEX(PASTE_ALL,1,4)),2,IF(TRIM(INDEX(PASTE_ALL,1,4))="",0,IF(AND(LEFT(MID(TRIM(INDEX(PASTE_ALL,1,4)),1+(LEFT(TRIM(INDEX(PASTE_ALL,1,4)),1)="-"),999),LEN(MID(TRIM(INDEX(PASTE_ALL,1,4)),1+(LEFT(TRIM(INDEX(PASTE_ALL,1,4)),1)="-"),999))-(RIGHT(MID(TRIM(INDEX(PASTE_ALL,1,4)),1+(LEFT(TRIM(INDEX(PASTE_ALL,1,4)),1)="-"),999),1)="%"))&lt;&gt;"",SUBSTITUTE(SUBSTITUTE(SUBSTITUTE(SUBSTITUTE(SUBSTITUTE(SUBSTITUTE(SUBSTITUTE(SUBSTITUTE(SUBSTITUTE(SUBSTITUTE(SUBSTITUTE(SUBSTITUTE(LEFT(MID(TRIM(INDEX(PASTE_ALL,1,4)),1+(LEFT(TRIM(INDEX(PASTE_ALL,1,4)),1)="-"),999),LEN(MID(TRIM(INDEX(PASTE_ALL,1,4)),1+(LEFT(TRIM(INDEX(PASTE_ALL,1,4)),1)="-"),999))-(RIGHT(MID(TRIM(INDEX(PASTE_ALL,1,4)),1+(LEFT(TRIM(INDEX(PASTE_ALL,1,4)),1)="-"),999),1)="%")),"0",""),"1",""),"2",""),"3",""),"4",""),"5",""),"6",""),"7",""),"8",""),"9",""),".",""),",","")=""),2,1))),1)</f>
        <v/>
      </c>
      <c r="AC50">
        <f>IFERROR(IF(ISNUMBER(INDEX(PASTE_ALL,1,5)),2,IF(TRIM(INDEX(PASTE_ALL,1,5))="",0,IF(AND(LEFT(MID(TRIM(INDEX(PASTE_ALL,1,5)),1+(LEFT(TRIM(INDEX(PASTE_ALL,1,5)),1)="-"),999),LEN(MID(TRIM(INDEX(PASTE_ALL,1,5)),1+(LEFT(TRIM(INDEX(PASTE_ALL,1,5)),1)="-"),999))-(RIGHT(MID(TRIM(INDEX(PASTE_ALL,1,5)),1+(LEFT(TRIM(INDEX(PASTE_ALL,1,5)),1)="-"),999),1)="%"))&lt;&gt;"",SUBSTITUTE(SUBSTITUTE(SUBSTITUTE(SUBSTITUTE(SUBSTITUTE(SUBSTITUTE(SUBSTITUTE(SUBSTITUTE(SUBSTITUTE(SUBSTITUTE(SUBSTITUTE(SUBSTITUTE(LEFT(MID(TRIM(INDEX(PASTE_ALL,1,5)),1+(LEFT(TRIM(INDEX(PASTE_ALL,1,5)),1)="-"),999),LEN(MID(TRIM(INDEX(PASTE_ALL,1,5)),1+(LEFT(TRIM(INDEX(PASTE_ALL,1,5)),1)="-"),999))-(RIGHT(MID(TRIM(INDEX(PASTE_ALL,1,5)),1+(LEFT(TRIM(INDEX(PASTE_ALL,1,5)),1)="-"),999),1)="%")),"0",""),"1",""),"2",""),"3",""),"4",""),"5",""),"6",""),"7",""),"8",""),"9",""),".",""),",","")=""),2,1))),1)</f>
        <v/>
      </c>
      <c r="AD50">
        <f>IFERROR(IF(ISNUMBER(INDEX(PASTE_ALL,1,6)),2,IF(TRIM(INDEX(PASTE_ALL,1,6))="",0,IF(AND(LEFT(MID(TRIM(INDEX(PASTE_ALL,1,6)),1+(LEFT(TRIM(INDEX(PASTE_ALL,1,6)),1)="-"),999),LEN(MID(TRIM(INDEX(PASTE_ALL,1,6)),1+(LEFT(TRIM(INDEX(PASTE_ALL,1,6)),1)="-"),999))-(RIGHT(MID(TRIM(INDEX(PASTE_ALL,1,6)),1+(LEFT(TRIM(INDEX(PASTE_ALL,1,6)),1)="-"),999),1)="%"))&lt;&gt;"",SUBSTITUTE(SUBSTITUTE(SUBSTITUTE(SUBSTITUTE(SUBSTITUTE(SUBSTITUTE(SUBSTITUTE(SUBSTITUTE(SUBSTITUTE(SUBSTITUTE(SUBSTITUTE(SUBSTITUTE(LEFT(MID(TRIM(INDEX(PASTE_ALL,1,6)),1+(LEFT(TRIM(INDEX(PASTE_ALL,1,6)),1)="-"),999),LEN(MID(TRIM(INDEX(PASTE_ALL,1,6)),1+(LEFT(TRIM(INDEX(PASTE_ALL,1,6)),1)="-"),999))-(RIGHT(MID(TRIM(INDEX(PASTE_ALL,1,6)),1+(LEFT(TRIM(INDEX(PASTE_ALL,1,6)),1)="-"),999),1)="%")),"0",""),"1",""),"2",""),"3",""),"4",""),"5",""),"6",""),"7",""),"8",""),"9",""),".",""),",","")=""),2,1))),1)</f>
        <v/>
      </c>
      <c r="AE50">
        <f>IFERROR(IF(ISNUMBER(INDEX(PASTE_ALL,1,7)),2,IF(TRIM(INDEX(PASTE_ALL,1,7))="",0,IF(AND(LEFT(MID(TRIM(INDEX(PASTE_ALL,1,7)),1+(LEFT(TRIM(INDEX(PASTE_ALL,1,7)),1)="-"),999),LEN(MID(TRIM(INDEX(PASTE_ALL,1,7)),1+(LEFT(TRIM(INDEX(PASTE_ALL,1,7)),1)="-"),999))-(RIGHT(MID(TRIM(INDEX(PASTE_ALL,1,7)),1+(LEFT(TRIM(INDEX(PASTE_ALL,1,7)),1)="-"),999),1)="%"))&lt;&gt;"",SUBSTITUTE(SUBSTITUTE(SUBSTITUTE(SUBSTITUTE(SUBSTITUTE(SUBSTITUTE(SUBSTITUTE(SUBSTITUTE(SUBSTITUTE(SUBSTITUTE(SUBSTITUTE(SUBSTITUTE(LEFT(MID(TRIM(INDEX(PASTE_ALL,1,7)),1+(LEFT(TRIM(INDEX(PASTE_ALL,1,7)),1)="-"),999),LEN(MID(TRIM(INDEX(PASTE_ALL,1,7)),1+(LEFT(TRIM(INDEX(PASTE_ALL,1,7)),1)="-"),999))-(RIGHT(MID(TRIM(INDEX(PASTE_ALL,1,7)),1+(LEFT(TRIM(INDEX(PASTE_ALL,1,7)),1)="-"),999),1)="%")),"0",""),"1",""),"2",""),"3",""),"4",""),"5",""),"6",""),"7",""),"8",""),"9",""),".",""),",","")=""),2,1))),1)</f>
        <v/>
      </c>
      <c r="AF50">
        <f>IFERROR(IF(ISNUMBER(INDEX(PASTE_ALL,1,8)),2,IF(TRIM(INDEX(PASTE_ALL,1,8))="",0,IF(AND(LEFT(MID(TRIM(INDEX(PASTE_ALL,1,8)),1+(LEFT(TRIM(INDEX(PASTE_ALL,1,8)),1)="-"),999),LEN(MID(TRIM(INDEX(PASTE_ALL,1,8)),1+(LEFT(TRIM(INDEX(PASTE_ALL,1,8)),1)="-"),999))-(RIGHT(MID(TRIM(INDEX(PASTE_ALL,1,8)),1+(LEFT(TRIM(INDEX(PASTE_ALL,1,8)),1)="-"),999),1)="%"))&lt;&gt;"",SUBSTITUTE(SUBSTITUTE(SUBSTITUTE(SUBSTITUTE(SUBSTITUTE(SUBSTITUTE(SUBSTITUTE(SUBSTITUTE(SUBSTITUTE(SUBSTITUTE(SUBSTITUTE(SUBSTITUTE(LEFT(MID(TRIM(INDEX(PASTE_ALL,1,8)),1+(LEFT(TRIM(INDEX(PASTE_ALL,1,8)),1)="-"),999),LEN(MID(TRIM(INDEX(PASTE_ALL,1,8)),1+(LEFT(TRIM(INDEX(PASTE_ALL,1,8)),1)="-"),999))-(RIGHT(MID(TRIM(INDEX(PASTE_ALL,1,8)),1+(LEFT(TRIM(INDEX(PASTE_ALL,1,8)),1)="-"),999),1)="%")),"0",""),"1",""),"2",""),"3",""),"4",""),"5",""),"6",""),"7",""),"8",""),"9",""),".",""),",","")=""),2,1))),1)</f>
        <v/>
      </c>
      <c r="AG50">
        <f>IFERROR(IF(ISNUMBER(INDEX(PASTE_ALL,1,9)),2,IF(TRIM(INDEX(PASTE_ALL,1,9))="",0,IF(AND(LEFT(MID(TRIM(INDEX(PASTE_ALL,1,9)),1+(LEFT(TRIM(INDEX(PASTE_ALL,1,9)),1)="-"),999),LEN(MID(TRIM(INDEX(PASTE_ALL,1,9)),1+(LEFT(TRIM(INDEX(PASTE_ALL,1,9)),1)="-"),999))-(RIGHT(MID(TRIM(INDEX(PASTE_ALL,1,9)),1+(LEFT(TRIM(INDEX(PASTE_ALL,1,9)),1)="-"),999),1)="%"))&lt;&gt;"",SUBSTITUTE(SUBSTITUTE(SUBSTITUTE(SUBSTITUTE(SUBSTITUTE(SUBSTITUTE(SUBSTITUTE(SUBSTITUTE(SUBSTITUTE(SUBSTITUTE(SUBSTITUTE(SUBSTITUTE(LEFT(MID(TRIM(INDEX(PASTE_ALL,1,9)),1+(LEFT(TRIM(INDEX(PASTE_ALL,1,9)),1)="-"),999),LEN(MID(TRIM(INDEX(PASTE_ALL,1,9)),1+(LEFT(TRIM(INDEX(PASTE_ALL,1,9)),1)="-"),999))-(RIGHT(MID(TRIM(INDEX(PASTE_ALL,1,9)),1+(LEFT(TRIM(INDEX(PASTE_ALL,1,9)),1)="-"),999),1)="%")),"0",""),"1",""),"2",""),"3",""),"4",""),"5",""),"6",""),"7",""),"8",""),"9",""),".",""),",","")=""),2,1))),1)</f>
        <v/>
      </c>
      <c r="AH50">
        <f>IFERROR(IF(ISNUMBER(INDEX(PASTE_ALL,1,10)),2,IF(TRIM(INDEX(PASTE_ALL,1,10))="",0,IF(AND(LEFT(MID(TRIM(INDEX(PASTE_ALL,1,10)),1+(LEFT(TRIM(INDEX(PASTE_ALL,1,10)),1)="-"),999),LEN(MID(TRIM(INDEX(PASTE_ALL,1,10)),1+(LEFT(TRIM(INDEX(PASTE_ALL,1,10)),1)="-"),999))-(RIGHT(MID(TRIM(INDEX(PASTE_ALL,1,10)),1+(LEFT(TRIM(INDEX(PASTE_ALL,1,10)),1)="-"),999),1)="%"))&lt;&gt;"",SUBSTITUTE(SUBSTITUTE(SUBSTITUTE(SUBSTITUTE(SUBSTITUTE(SUBSTITUTE(SUBSTITUTE(SUBSTITUTE(SUBSTITUTE(SUBSTITUTE(SUBSTITUTE(SUBSTITUTE(LEFT(MID(TRIM(INDEX(PASTE_ALL,1,10)),1+(LEFT(TRIM(INDEX(PASTE_ALL,1,10)),1)="-"),999),LEN(MID(TRIM(INDEX(PASTE_ALL,1,10)),1+(LEFT(TRIM(INDEX(PASTE_ALL,1,10)),1)="-"),999))-(RIGHT(MID(TRIM(INDEX(PASTE_ALL,1,10)),1+(LEFT(TRIM(INDEX(PASTE_ALL,1,10)),1)="-"),999),1)="%")),"0",""),"1",""),"2",""),"3",""),"4",""),"5",""),"6",""),"7",""),"8",""),"9",""),".",""),",","")=""),2,1))),1)</f>
        <v/>
      </c>
      <c r="AI50">
        <f>IFERROR(IF(ISNUMBER(INDEX(PASTE_ALL,1,11)),2,IF(TRIM(INDEX(PASTE_ALL,1,11))="",0,IF(AND(LEFT(MID(TRIM(INDEX(PASTE_ALL,1,11)),1+(LEFT(TRIM(INDEX(PASTE_ALL,1,11)),1)="-"),999),LEN(MID(TRIM(INDEX(PASTE_ALL,1,11)),1+(LEFT(TRIM(INDEX(PASTE_ALL,1,11)),1)="-"),999))-(RIGHT(MID(TRIM(INDEX(PASTE_ALL,1,11)),1+(LEFT(TRIM(INDEX(PASTE_ALL,1,11)),1)="-"),999),1)="%"))&lt;&gt;"",SUBSTITUTE(SUBSTITUTE(SUBSTITUTE(SUBSTITUTE(SUBSTITUTE(SUBSTITUTE(SUBSTITUTE(SUBSTITUTE(SUBSTITUTE(SUBSTITUTE(SUBSTITUTE(SUBSTITUTE(LEFT(MID(TRIM(INDEX(PASTE_ALL,1,11)),1+(LEFT(TRIM(INDEX(PASTE_ALL,1,11)),1)="-"),999),LEN(MID(TRIM(INDEX(PASTE_ALL,1,11)),1+(LEFT(TRIM(INDEX(PASTE_ALL,1,11)),1)="-"),999))-(RIGHT(MID(TRIM(INDEX(PASTE_ALL,1,11)),1+(LEFT(TRIM(INDEX(PASTE_ALL,1,11)),1)="-"),999),1)="%")),"0",""),"1",""),"2",""),"3",""),"4",""),"5",""),"6",""),"7",""),"8",""),"9",""),".",""),",","")=""),2,1))),1)</f>
        <v/>
      </c>
      <c r="AJ50">
        <f>IFERROR(IF(ISNUMBER(INDEX(PASTE_ALL,1,12)),2,IF(TRIM(INDEX(PASTE_ALL,1,12))="",0,IF(AND(LEFT(MID(TRIM(INDEX(PASTE_ALL,1,12)),1+(LEFT(TRIM(INDEX(PASTE_ALL,1,12)),1)="-"),999),LEN(MID(TRIM(INDEX(PASTE_ALL,1,12)),1+(LEFT(TRIM(INDEX(PASTE_ALL,1,12)),1)="-"),999))-(RIGHT(MID(TRIM(INDEX(PASTE_ALL,1,12)),1+(LEFT(TRIM(INDEX(PASTE_ALL,1,12)),1)="-"),999),1)="%"))&lt;&gt;"",SUBSTITUTE(SUBSTITUTE(SUBSTITUTE(SUBSTITUTE(SUBSTITUTE(SUBSTITUTE(SUBSTITUTE(SUBSTITUTE(SUBSTITUTE(SUBSTITUTE(SUBSTITUTE(SUBSTITUTE(LEFT(MID(TRIM(INDEX(PASTE_ALL,1,12)),1+(LEFT(TRIM(INDEX(PASTE_ALL,1,12)),1)="-"),999),LEN(MID(TRIM(INDEX(PASTE_ALL,1,12)),1+(LEFT(TRIM(INDEX(PASTE_ALL,1,12)),1)="-"),999))-(RIGHT(MID(TRIM(INDEX(PASTE_ALL,1,12)),1+(LEFT(TRIM(INDEX(PASTE_ALL,1,12)),1)="-"),999),1)="%")),"0",""),"1",""),"2",""),"3",""),"4",""),"5",""),"6",""),"7",""),"8",""),"9",""),".",""),",","")=""),2,1))),1)</f>
        <v/>
      </c>
      <c r="AK50">
        <f>IFERROR(IF(ISNUMBER(INDEX(PASTE_ALL,1,13)),2,IF(TRIM(INDEX(PASTE_ALL,1,13))="",0,IF(AND(LEFT(MID(TRIM(INDEX(PASTE_ALL,1,13)),1+(LEFT(TRIM(INDEX(PASTE_ALL,1,13)),1)="-"),999),LEN(MID(TRIM(INDEX(PASTE_ALL,1,13)),1+(LEFT(TRIM(INDEX(PASTE_ALL,1,13)),1)="-"),999))-(RIGHT(MID(TRIM(INDEX(PASTE_ALL,1,13)),1+(LEFT(TRIM(INDEX(PASTE_ALL,1,13)),1)="-"),999),1)="%"))&lt;&gt;"",SUBSTITUTE(SUBSTITUTE(SUBSTITUTE(SUBSTITUTE(SUBSTITUTE(SUBSTITUTE(SUBSTITUTE(SUBSTITUTE(SUBSTITUTE(SUBSTITUTE(SUBSTITUTE(SUBSTITUTE(LEFT(MID(TRIM(INDEX(PASTE_ALL,1,13)),1+(LEFT(TRIM(INDEX(PASTE_ALL,1,13)),1)="-"),999),LEN(MID(TRIM(INDEX(PASTE_ALL,1,13)),1+(LEFT(TRIM(INDEX(PASTE_ALL,1,13)),1)="-"),999))-(RIGHT(MID(TRIM(INDEX(PASTE_ALL,1,13)),1+(LEFT(TRIM(INDEX(PASTE_ALL,1,13)),1)="-"),999),1)="%")),"0",""),"1",""),"2",""),"3",""),"4",""),"5",""),"6",""),"7",""),"8",""),"9",""),".",""),",","")=""),2,1))),1)</f>
        <v/>
      </c>
      <c r="AL50">
        <f>IFERROR(IF(ISNUMBER(INDEX(PASTE_ALL,1,14)),2,IF(TRIM(INDEX(PASTE_ALL,1,14))="",0,IF(AND(LEFT(MID(TRIM(INDEX(PASTE_ALL,1,14)),1+(LEFT(TRIM(INDEX(PASTE_ALL,1,14)),1)="-"),999),LEN(MID(TRIM(INDEX(PASTE_ALL,1,14)),1+(LEFT(TRIM(INDEX(PASTE_ALL,1,14)),1)="-"),999))-(RIGHT(MID(TRIM(INDEX(PASTE_ALL,1,14)),1+(LEFT(TRIM(INDEX(PASTE_ALL,1,14)),1)="-"),999),1)="%"))&lt;&gt;"",SUBSTITUTE(SUBSTITUTE(SUBSTITUTE(SUBSTITUTE(SUBSTITUTE(SUBSTITUTE(SUBSTITUTE(SUBSTITUTE(SUBSTITUTE(SUBSTITUTE(SUBSTITUTE(SUBSTITUTE(LEFT(MID(TRIM(INDEX(PASTE_ALL,1,14)),1+(LEFT(TRIM(INDEX(PASTE_ALL,1,14)),1)="-"),999),LEN(MID(TRIM(INDEX(PASTE_ALL,1,14)),1+(LEFT(TRIM(INDEX(PASTE_ALL,1,14)),1)="-"),999))-(RIGHT(MID(TRIM(INDEX(PASTE_ALL,1,14)),1+(LEFT(TRIM(INDEX(PASTE_ALL,1,14)),1)="-"),999),1)="%")),"0",""),"1",""),"2",""),"3",""),"4",""),"5",""),"6",""),"7",""),"8",""),"9",""),".",""),",","")=""),2,1))),1)</f>
        <v/>
      </c>
      <c r="AM50">
        <f>IFERROR(IF(ISNUMBER(INDEX(PASTE_ALL,1,15)),2,IF(TRIM(INDEX(PASTE_ALL,1,15))="",0,IF(AND(LEFT(MID(TRIM(INDEX(PASTE_ALL,1,15)),1+(LEFT(TRIM(INDEX(PASTE_ALL,1,15)),1)="-"),999),LEN(MID(TRIM(INDEX(PASTE_ALL,1,15)),1+(LEFT(TRIM(INDEX(PASTE_ALL,1,15)),1)="-"),999))-(RIGHT(MID(TRIM(INDEX(PASTE_ALL,1,15)),1+(LEFT(TRIM(INDEX(PASTE_ALL,1,15)),1)="-"),999),1)="%"))&lt;&gt;"",SUBSTITUTE(SUBSTITUTE(SUBSTITUTE(SUBSTITUTE(SUBSTITUTE(SUBSTITUTE(SUBSTITUTE(SUBSTITUTE(SUBSTITUTE(SUBSTITUTE(SUBSTITUTE(SUBSTITUTE(LEFT(MID(TRIM(INDEX(PASTE_ALL,1,15)),1+(LEFT(TRIM(INDEX(PASTE_ALL,1,15)),1)="-"),999),LEN(MID(TRIM(INDEX(PASTE_ALL,1,15)),1+(LEFT(TRIM(INDEX(PASTE_ALL,1,15)),1)="-"),999))-(RIGHT(MID(TRIM(INDEX(PASTE_ALL,1,15)),1+(LEFT(TRIM(INDEX(PASTE_ALL,1,15)),1)="-"),999),1)="%")),"0",""),"1",""),"2",""),"3",""),"4",""),"5",""),"6",""),"7",""),"8",""),"9",""),".",""),",","")=""),2,1))),1)</f>
        <v/>
      </c>
      <c r="AN50">
        <f>IFERROR(IF(ISNUMBER(INDEX(PASTE_ALL,1,16)),2,IF(TRIM(INDEX(PASTE_ALL,1,16))="",0,IF(AND(LEFT(MID(TRIM(INDEX(PASTE_ALL,1,16)),1+(LEFT(TRIM(INDEX(PASTE_ALL,1,16)),1)="-"),999),LEN(MID(TRIM(INDEX(PASTE_ALL,1,16)),1+(LEFT(TRIM(INDEX(PASTE_ALL,1,16)),1)="-"),999))-(RIGHT(MID(TRIM(INDEX(PASTE_ALL,1,16)),1+(LEFT(TRIM(INDEX(PASTE_ALL,1,16)),1)="-"),999),1)="%"))&lt;&gt;"",SUBSTITUTE(SUBSTITUTE(SUBSTITUTE(SUBSTITUTE(SUBSTITUTE(SUBSTITUTE(SUBSTITUTE(SUBSTITUTE(SUBSTITUTE(SUBSTITUTE(SUBSTITUTE(SUBSTITUTE(LEFT(MID(TRIM(INDEX(PASTE_ALL,1,16)),1+(LEFT(TRIM(INDEX(PASTE_ALL,1,16)),1)="-"),999),LEN(MID(TRIM(INDEX(PASTE_ALL,1,16)),1+(LEFT(TRIM(INDEX(PASTE_ALL,1,16)),1)="-"),999))-(RIGHT(MID(TRIM(INDEX(PASTE_ALL,1,16)),1+(LEFT(TRIM(INDEX(PASTE_ALL,1,16)),1)="-"),999),1)="%")),"0",""),"1",""),"2",""),"3",""),"4",""),"5",""),"6",""),"7",""),"8",""),"9",""),".",""),",","")=""),2,1))),1)</f>
        <v/>
      </c>
      <c r="AO50">
        <f>IFERROR(IF(ISNUMBER(INDEX(PASTE_ALL,1,17)),2,IF(TRIM(INDEX(PASTE_ALL,1,17))="",0,IF(AND(LEFT(MID(TRIM(INDEX(PASTE_ALL,1,17)),1+(LEFT(TRIM(INDEX(PASTE_ALL,1,17)),1)="-"),999),LEN(MID(TRIM(INDEX(PASTE_ALL,1,17)),1+(LEFT(TRIM(INDEX(PASTE_ALL,1,17)),1)="-"),999))-(RIGHT(MID(TRIM(INDEX(PASTE_ALL,1,17)),1+(LEFT(TRIM(INDEX(PASTE_ALL,1,17)),1)="-"),999),1)="%"))&lt;&gt;"",SUBSTITUTE(SUBSTITUTE(SUBSTITUTE(SUBSTITUTE(SUBSTITUTE(SUBSTITUTE(SUBSTITUTE(SUBSTITUTE(SUBSTITUTE(SUBSTITUTE(SUBSTITUTE(SUBSTITUTE(LEFT(MID(TRIM(INDEX(PASTE_ALL,1,17)),1+(LEFT(TRIM(INDEX(PASTE_ALL,1,17)),1)="-"),999),LEN(MID(TRIM(INDEX(PASTE_ALL,1,17)),1+(LEFT(TRIM(INDEX(PASTE_ALL,1,17)),1)="-"),999))-(RIGHT(MID(TRIM(INDEX(PASTE_ALL,1,17)),1+(LEFT(TRIM(INDEX(PASTE_ALL,1,17)),1)="-"),999),1)="%")),"0",""),"1",""),"2",""),"3",""),"4",""),"5",""),"6",""),"7",""),"8",""),"9",""),".",""),",","")=""),2,1))),1)</f>
        <v/>
      </c>
      <c r="AP50">
        <f>IFERROR(IF(ISNUMBER(INDEX(PASTE_ALL,1,18)),2,IF(TRIM(INDEX(PASTE_ALL,1,18))="",0,IF(AND(LEFT(MID(TRIM(INDEX(PASTE_ALL,1,18)),1+(LEFT(TRIM(INDEX(PASTE_ALL,1,18)),1)="-"),999),LEN(MID(TRIM(INDEX(PASTE_ALL,1,18)),1+(LEFT(TRIM(INDEX(PASTE_ALL,1,18)),1)="-"),999))-(RIGHT(MID(TRIM(INDEX(PASTE_ALL,1,18)),1+(LEFT(TRIM(INDEX(PASTE_ALL,1,18)),1)="-"),999),1)="%"))&lt;&gt;"",SUBSTITUTE(SUBSTITUTE(SUBSTITUTE(SUBSTITUTE(SUBSTITUTE(SUBSTITUTE(SUBSTITUTE(SUBSTITUTE(SUBSTITUTE(SUBSTITUTE(SUBSTITUTE(SUBSTITUTE(LEFT(MID(TRIM(INDEX(PASTE_ALL,1,18)),1+(LEFT(TRIM(INDEX(PASTE_ALL,1,18)),1)="-"),999),LEN(MID(TRIM(INDEX(PASTE_ALL,1,18)),1+(LEFT(TRIM(INDEX(PASTE_ALL,1,18)),1)="-"),999))-(RIGHT(MID(TRIM(INDEX(PASTE_ALL,1,18)),1+(LEFT(TRIM(INDEX(PASTE_ALL,1,18)),1)="-"),999),1)="%")),"0",""),"1",""),"2",""),"3",""),"4",""),"5",""),"6",""),"7",""),"8",""),"9",""),".",""),",","")=""),2,1))),1)</f>
        <v/>
      </c>
      <c r="AQ50">
        <f>IFERROR(IF(ISNUMBER(INDEX(PASTE_ALL,1,19)),2,IF(TRIM(INDEX(PASTE_ALL,1,19))="",0,IF(AND(LEFT(MID(TRIM(INDEX(PASTE_ALL,1,19)),1+(LEFT(TRIM(INDEX(PASTE_ALL,1,19)),1)="-"),999),LEN(MID(TRIM(INDEX(PASTE_ALL,1,19)),1+(LEFT(TRIM(INDEX(PASTE_ALL,1,19)),1)="-"),999))-(RIGHT(MID(TRIM(INDEX(PASTE_ALL,1,19)),1+(LEFT(TRIM(INDEX(PASTE_ALL,1,19)),1)="-"),999),1)="%"))&lt;&gt;"",SUBSTITUTE(SUBSTITUTE(SUBSTITUTE(SUBSTITUTE(SUBSTITUTE(SUBSTITUTE(SUBSTITUTE(SUBSTITUTE(SUBSTITUTE(SUBSTITUTE(SUBSTITUTE(SUBSTITUTE(LEFT(MID(TRIM(INDEX(PASTE_ALL,1,19)),1+(LEFT(TRIM(INDEX(PASTE_ALL,1,19)),1)="-"),999),LEN(MID(TRIM(INDEX(PASTE_ALL,1,19)),1+(LEFT(TRIM(INDEX(PASTE_ALL,1,19)),1)="-"),999))-(RIGHT(MID(TRIM(INDEX(PASTE_ALL,1,19)),1+(LEFT(TRIM(INDEX(PASTE_ALL,1,19)),1)="-"),999),1)="%")),"0",""),"1",""),"2",""),"3",""),"4",""),"5",""),"6",""),"7",""),"8",""),"9",""),".",""),",","")=""),2,1))),1)</f>
        <v/>
      </c>
      <c r="AR50">
        <f>IFERROR(IF(ISNUMBER(INDEX(PASTE_ALL,1,20)),2,IF(TRIM(INDEX(PASTE_ALL,1,20))="",0,IF(AND(LEFT(MID(TRIM(INDEX(PASTE_ALL,1,20)),1+(LEFT(TRIM(INDEX(PASTE_ALL,1,20)),1)="-"),999),LEN(MID(TRIM(INDEX(PASTE_ALL,1,20)),1+(LEFT(TRIM(INDEX(PASTE_ALL,1,20)),1)="-"),999))-(RIGHT(MID(TRIM(INDEX(PASTE_ALL,1,20)),1+(LEFT(TRIM(INDEX(PASTE_ALL,1,20)),1)="-"),999),1)="%"))&lt;&gt;"",SUBSTITUTE(SUBSTITUTE(SUBSTITUTE(SUBSTITUTE(SUBSTITUTE(SUBSTITUTE(SUBSTITUTE(SUBSTITUTE(SUBSTITUTE(SUBSTITUTE(SUBSTITUTE(SUBSTITUTE(LEFT(MID(TRIM(INDEX(PASTE_ALL,1,20)),1+(LEFT(TRIM(INDEX(PASTE_ALL,1,20)),1)="-"),999),LEN(MID(TRIM(INDEX(PASTE_ALL,1,20)),1+(LEFT(TRIM(INDEX(PASTE_ALL,1,20)),1)="-"),999))-(RIGHT(MID(TRIM(INDEX(PASTE_ALL,1,20)),1+(LEFT(TRIM(INDEX(PASTE_ALL,1,20)),1)="-"),999),1)="%")),"0",""),"1",""),"2",""),"3",""),"4",""),"5",""),"6",""),"7",""),"8",""),"9",""),".",""),",","")=""),2,1))),1)</f>
        <v/>
      </c>
      <c r="AS50">
        <f>IFERROR(IF(ISNUMBER(INDEX(PASTE_ALL,1,21)),2,IF(TRIM(INDEX(PASTE_ALL,1,21))="",0,IF(AND(LEFT(MID(TRIM(INDEX(PASTE_ALL,1,21)),1+(LEFT(TRIM(INDEX(PASTE_ALL,1,21)),1)="-"),999),LEN(MID(TRIM(INDEX(PASTE_ALL,1,21)),1+(LEFT(TRIM(INDEX(PASTE_ALL,1,21)),1)="-"),999))-(RIGHT(MID(TRIM(INDEX(PASTE_ALL,1,21)),1+(LEFT(TRIM(INDEX(PASTE_ALL,1,21)),1)="-"),999),1)="%"))&lt;&gt;"",SUBSTITUTE(SUBSTITUTE(SUBSTITUTE(SUBSTITUTE(SUBSTITUTE(SUBSTITUTE(SUBSTITUTE(SUBSTITUTE(SUBSTITUTE(SUBSTITUTE(SUBSTITUTE(SUBSTITUTE(LEFT(MID(TRIM(INDEX(PASTE_ALL,1,21)),1+(LEFT(TRIM(INDEX(PASTE_ALL,1,21)),1)="-"),999),LEN(MID(TRIM(INDEX(PASTE_ALL,1,21)),1+(LEFT(TRIM(INDEX(PASTE_ALL,1,21)),1)="-"),999))-(RIGHT(MID(TRIM(INDEX(PASTE_ALL,1,21)),1+(LEFT(TRIM(INDEX(PASTE_ALL,1,21)),1)="-"),999),1)="%")),"0",""),"1",""),"2",""),"3",""),"4",""),"5",""),"6",""),"7",""),"8",""),"9",""),".",""),",","")=""),2,1))),1)</f>
        <v/>
      </c>
      <c r="AT50">
        <f>IFERROR(IF(ISNUMBER(INDEX(PASTE_ALL,1,22)),2,IF(TRIM(INDEX(PASTE_ALL,1,22))="",0,IF(AND(LEFT(MID(TRIM(INDEX(PASTE_ALL,1,22)),1+(LEFT(TRIM(INDEX(PASTE_ALL,1,22)),1)="-"),999),LEN(MID(TRIM(INDEX(PASTE_ALL,1,22)),1+(LEFT(TRIM(INDEX(PASTE_ALL,1,22)),1)="-"),999))-(RIGHT(MID(TRIM(INDEX(PASTE_ALL,1,22)),1+(LEFT(TRIM(INDEX(PASTE_ALL,1,22)),1)="-"),999),1)="%"))&lt;&gt;"",SUBSTITUTE(SUBSTITUTE(SUBSTITUTE(SUBSTITUTE(SUBSTITUTE(SUBSTITUTE(SUBSTITUTE(SUBSTITUTE(SUBSTITUTE(SUBSTITUTE(SUBSTITUTE(SUBSTITUTE(LEFT(MID(TRIM(INDEX(PASTE_ALL,1,22)),1+(LEFT(TRIM(INDEX(PASTE_ALL,1,22)),1)="-"),999),LEN(MID(TRIM(INDEX(PASTE_ALL,1,22)),1+(LEFT(TRIM(INDEX(PASTE_ALL,1,22)),1)="-"),999))-(RIGHT(MID(TRIM(INDEX(PASTE_ALL,1,22)),1+(LEFT(TRIM(INDEX(PASTE_ALL,1,22)),1)="-"),999),1)="%")),"0",""),"1",""),"2",""),"3",""),"4",""),"5",""),"6",""),"7",""),"8",""),"9",""),".",""),",","")=""),2,1))),1)</f>
        <v/>
      </c>
      <c r="AU50">
        <f>IFERROR(IF(ISNUMBER(INDEX(PASTE_ALL,1,23)),2,IF(TRIM(INDEX(PASTE_ALL,1,23))="",0,IF(AND(LEFT(MID(TRIM(INDEX(PASTE_ALL,1,23)),1+(LEFT(TRIM(INDEX(PASTE_ALL,1,23)),1)="-"),999),LEN(MID(TRIM(INDEX(PASTE_ALL,1,23)),1+(LEFT(TRIM(INDEX(PASTE_ALL,1,23)),1)="-"),999))-(RIGHT(MID(TRIM(INDEX(PASTE_ALL,1,23)),1+(LEFT(TRIM(INDEX(PASTE_ALL,1,23)),1)="-"),999),1)="%"))&lt;&gt;"",SUBSTITUTE(SUBSTITUTE(SUBSTITUTE(SUBSTITUTE(SUBSTITUTE(SUBSTITUTE(SUBSTITUTE(SUBSTITUTE(SUBSTITUTE(SUBSTITUTE(SUBSTITUTE(SUBSTITUTE(LEFT(MID(TRIM(INDEX(PASTE_ALL,1,23)),1+(LEFT(TRIM(INDEX(PASTE_ALL,1,23)),1)="-"),999),LEN(MID(TRIM(INDEX(PASTE_ALL,1,23)),1+(LEFT(TRIM(INDEX(PASTE_ALL,1,23)),1)="-"),999))-(RIGHT(MID(TRIM(INDEX(PASTE_ALL,1,23)),1+(LEFT(TRIM(INDEX(PASTE_ALL,1,23)),1)="-"),999),1)="%")),"0",""),"1",""),"2",""),"3",""),"4",""),"5",""),"6",""),"7",""),"8",""),"9",""),".",""),",","")=""),2,1))),1)</f>
        <v/>
      </c>
      <c r="AV50">
        <f>IFERROR(IF(ISNUMBER(INDEX(PASTE_ALL,1,24)),2,IF(TRIM(INDEX(PASTE_ALL,1,24))="",0,IF(AND(LEFT(MID(TRIM(INDEX(PASTE_ALL,1,24)),1+(LEFT(TRIM(INDEX(PASTE_ALL,1,24)),1)="-"),999),LEN(MID(TRIM(INDEX(PASTE_ALL,1,24)),1+(LEFT(TRIM(INDEX(PASTE_ALL,1,24)),1)="-"),999))-(RIGHT(MID(TRIM(INDEX(PASTE_ALL,1,24)),1+(LEFT(TRIM(INDEX(PASTE_ALL,1,24)),1)="-"),999),1)="%"))&lt;&gt;"",SUBSTITUTE(SUBSTITUTE(SUBSTITUTE(SUBSTITUTE(SUBSTITUTE(SUBSTITUTE(SUBSTITUTE(SUBSTITUTE(SUBSTITUTE(SUBSTITUTE(SUBSTITUTE(SUBSTITUTE(LEFT(MID(TRIM(INDEX(PASTE_ALL,1,24)),1+(LEFT(TRIM(INDEX(PASTE_ALL,1,24)),1)="-"),999),LEN(MID(TRIM(INDEX(PASTE_ALL,1,24)),1+(LEFT(TRIM(INDEX(PASTE_ALL,1,24)),1)="-"),999))-(RIGHT(MID(TRIM(INDEX(PASTE_ALL,1,24)),1+(LEFT(TRIM(INDEX(PASTE_ALL,1,24)),1)="-"),999),1)="%")),"0",""),"1",""),"2",""),"3",""),"4",""),"5",""),"6",""),"7",""),"8",""),"9",""),".",""),",","")=""),2,1))),1)</f>
        <v/>
      </c>
      <c r="AW50">
        <f>IFERROR(IF(ISNUMBER(INDEX(PASTE_ALL,1,25)),2,IF(TRIM(INDEX(PASTE_ALL,1,25))="",0,IF(AND(LEFT(MID(TRIM(INDEX(PASTE_ALL,1,25)),1+(LEFT(TRIM(INDEX(PASTE_ALL,1,25)),1)="-"),999),LEN(MID(TRIM(INDEX(PASTE_ALL,1,25)),1+(LEFT(TRIM(INDEX(PASTE_ALL,1,25)),1)="-"),999))-(RIGHT(MID(TRIM(INDEX(PASTE_ALL,1,25)),1+(LEFT(TRIM(INDEX(PASTE_ALL,1,25)),1)="-"),999),1)="%"))&lt;&gt;"",SUBSTITUTE(SUBSTITUTE(SUBSTITUTE(SUBSTITUTE(SUBSTITUTE(SUBSTITUTE(SUBSTITUTE(SUBSTITUTE(SUBSTITUTE(SUBSTITUTE(SUBSTITUTE(SUBSTITUTE(LEFT(MID(TRIM(INDEX(PASTE_ALL,1,25)),1+(LEFT(TRIM(INDEX(PASTE_ALL,1,25)),1)="-"),999),LEN(MID(TRIM(INDEX(PASTE_ALL,1,25)),1+(LEFT(TRIM(INDEX(PASTE_ALL,1,25)),1)="-"),999))-(RIGHT(MID(TRIM(INDEX(PASTE_ALL,1,25)),1+(LEFT(TRIM(INDEX(PASTE_ALL,1,25)),1)="-"),999),1)="%")),"0",""),"1",""),"2",""),"3",""),"4",""),"5",""),"6",""),"7",""),"8",""),"9",""),".",""),",","")=""),2,1))),1)</f>
        <v/>
      </c>
      <c r="AX50">
        <f>IFERROR(IF(ISNUMBER(INDEX(PASTE_ALL,1,26)),2,IF(TRIM(INDEX(PASTE_ALL,1,26))="",0,IF(AND(LEFT(MID(TRIM(INDEX(PASTE_ALL,1,26)),1+(LEFT(TRIM(INDEX(PASTE_ALL,1,26)),1)="-"),999),LEN(MID(TRIM(INDEX(PASTE_ALL,1,26)),1+(LEFT(TRIM(INDEX(PASTE_ALL,1,26)),1)="-"),999))-(RIGHT(MID(TRIM(INDEX(PASTE_ALL,1,26)),1+(LEFT(TRIM(INDEX(PASTE_ALL,1,26)),1)="-"),999),1)="%"))&lt;&gt;"",SUBSTITUTE(SUBSTITUTE(SUBSTITUTE(SUBSTITUTE(SUBSTITUTE(SUBSTITUTE(SUBSTITUTE(SUBSTITUTE(SUBSTITUTE(SUBSTITUTE(SUBSTITUTE(SUBSTITUTE(LEFT(MID(TRIM(INDEX(PASTE_ALL,1,26)),1+(LEFT(TRIM(INDEX(PASTE_ALL,1,26)),1)="-"),999),LEN(MID(TRIM(INDEX(PASTE_ALL,1,26)),1+(LEFT(TRIM(INDEX(PASTE_ALL,1,26)),1)="-"),999))-(RIGHT(MID(TRIM(INDEX(PASTE_ALL,1,26)),1+(LEFT(TRIM(INDEX(PASTE_ALL,1,26)),1)="-"),999),1)="%")),"0",""),"1",""),"2",""),"3",""),"4",""),"5",""),"6",""),"7",""),"8",""),"9",""),".",""),",","")=""),2,1))),1)</f>
        <v/>
      </c>
      <c r="AY50">
        <f>IFERROR(IF(ISNUMBER(INDEX(PASTE_ALL,1,27)),2,IF(TRIM(INDEX(PASTE_ALL,1,27))="",0,IF(AND(LEFT(MID(TRIM(INDEX(PASTE_ALL,1,27)),1+(LEFT(TRIM(INDEX(PASTE_ALL,1,27)),1)="-"),999),LEN(MID(TRIM(INDEX(PASTE_ALL,1,27)),1+(LEFT(TRIM(INDEX(PASTE_ALL,1,27)),1)="-"),999))-(RIGHT(MID(TRIM(INDEX(PASTE_ALL,1,27)),1+(LEFT(TRIM(INDEX(PASTE_ALL,1,27)),1)="-"),999),1)="%"))&lt;&gt;"",SUBSTITUTE(SUBSTITUTE(SUBSTITUTE(SUBSTITUTE(SUBSTITUTE(SUBSTITUTE(SUBSTITUTE(SUBSTITUTE(SUBSTITUTE(SUBSTITUTE(SUBSTITUTE(SUBSTITUTE(LEFT(MID(TRIM(INDEX(PASTE_ALL,1,27)),1+(LEFT(TRIM(INDEX(PASTE_ALL,1,27)),1)="-"),999),LEN(MID(TRIM(INDEX(PASTE_ALL,1,27)),1+(LEFT(TRIM(INDEX(PASTE_ALL,1,27)),1)="-"),999))-(RIGHT(MID(TRIM(INDEX(PASTE_ALL,1,27)),1+(LEFT(TRIM(INDEX(PASTE_ALL,1,27)),1)="-"),999),1)="%")),"0",""),"1",""),"2",""),"3",""),"4",""),"5",""),"6",""),"7",""),"8",""),"9",""),".",""),",","")=""),2,1))),1)</f>
        <v/>
      </c>
      <c r="AZ50">
        <f>IFERROR(IF(ISNUMBER(INDEX(PASTE_ALL,1,28)),2,IF(TRIM(INDEX(PASTE_ALL,1,28))="",0,IF(AND(LEFT(MID(TRIM(INDEX(PASTE_ALL,1,28)),1+(LEFT(TRIM(INDEX(PASTE_ALL,1,28)),1)="-"),999),LEN(MID(TRIM(INDEX(PASTE_ALL,1,28)),1+(LEFT(TRIM(INDEX(PASTE_ALL,1,28)),1)="-"),999))-(RIGHT(MID(TRIM(INDEX(PASTE_ALL,1,28)),1+(LEFT(TRIM(INDEX(PASTE_ALL,1,28)),1)="-"),999),1)="%"))&lt;&gt;"",SUBSTITUTE(SUBSTITUTE(SUBSTITUTE(SUBSTITUTE(SUBSTITUTE(SUBSTITUTE(SUBSTITUTE(SUBSTITUTE(SUBSTITUTE(SUBSTITUTE(SUBSTITUTE(SUBSTITUTE(LEFT(MID(TRIM(INDEX(PASTE_ALL,1,28)),1+(LEFT(TRIM(INDEX(PASTE_ALL,1,28)),1)="-"),999),LEN(MID(TRIM(INDEX(PASTE_ALL,1,28)),1+(LEFT(TRIM(INDEX(PASTE_ALL,1,28)),1)="-"),999))-(RIGHT(MID(TRIM(INDEX(PASTE_ALL,1,28)),1+(LEFT(TRIM(INDEX(PASTE_ALL,1,28)),1)="-"),999),1)="%")),"0",""),"1",""),"2",""),"3",""),"4",""),"5",""),"6",""),"7",""),"8",""),"9",""),".",""),",","")=""),2,1))),1)</f>
        <v/>
      </c>
      <c r="BA50">
        <f>IFERROR(IF(ISNUMBER(INDEX(PASTE_ALL,1,29)),2,IF(TRIM(INDEX(PASTE_ALL,1,29))="",0,IF(AND(LEFT(MID(TRIM(INDEX(PASTE_ALL,1,29)),1+(LEFT(TRIM(INDEX(PASTE_ALL,1,29)),1)="-"),999),LEN(MID(TRIM(INDEX(PASTE_ALL,1,29)),1+(LEFT(TRIM(INDEX(PASTE_ALL,1,29)),1)="-"),999))-(RIGHT(MID(TRIM(INDEX(PASTE_ALL,1,29)),1+(LEFT(TRIM(INDEX(PASTE_ALL,1,29)),1)="-"),999),1)="%"))&lt;&gt;"",SUBSTITUTE(SUBSTITUTE(SUBSTITUTE(SUBSTITUTE(SUBSTITUTE(SUBSTITUTE(SUBSTITUTE(SUBSTITUTE(SUBSTITUTE(SUBSTITUTE(SUBSTITUTE(SUBSTITUTE(LEFT(MID(TRIM(INDEX(PASTE_ALL,1,29)),1+(LEFT(TRIM(INDEX(PASTE_ALL,1,29)),1)="-"),999),LEN(MID(TRIM(INDEX(PASTE_ALL,1,29)),1+(LEFT(TRIM(INDEX(PASTE_ALL,1,29)),1)="-"),999))-(RIGHT(MID(TRIM(INDEX(PASTE_ALL,1,29)),1+(LEFT(TRIM(INDEX(PASTE_ALL,1,29)),1)="-"),999),1)="%")),"0",""),"1",""),"2",""),"3",""),"4",""),"5",""),"6",""),"7",""),"8",""),"9",""),".",""),",","")=""),2,1))),1)</f>
        <v/>
      </c>
      <c r="BB50">
        <f>IFERROR(IF(ISNUMBER(INDEX(PASTE_ALL,1,30)),2,IF(TRIM(INDEX(PASTE_ALL,1,30))="",0,IF(AND(LEFT(MID(TRIM(INDEX(PASTE_ALL,1,30)),1+(LEFT(TRIM(INDEX(PASTE_ALL,1,30)),1)="-"),999),LEN(MID(TRIM(INDEX(PASTE_ALL,1,30)),1+(LEFT(TRIM(INDEX(PASTE_ALL,1,30)),1)="-"),999))-(RIGHT(MID(TRIM(INDEX(PASTE_ALL,1,30)),1+(LEFT(TRIM(INDEX(PASTE_ALL,1,30)),1)="-"),999),1)="%"))&lt;&gt;"",SUBSTITUTE(SUBSTITUTE(SUBSTITUTE(SUBSTITUTE(SUBSTITUTE(SUBSTITUTE(SUBSTITUTE(SUBSTITUTE(SUBSTITUTE(SUBSTITUTE(SUBSTITUTE(SUBSTITUTE(LEFT(MID(TRIM(INDEX(PASTE_ALL,1,30)),1+(LEFT(TRIM(INDEX(PASTE_ALL,1,30)),1)="-"),999),LEN(MID(TRIM(INDEX(PASTE_ALL,1,30)),1+(LEFT(TRIM(INDEX(PASTE_ALL,1,30)),1)="-"),999))-(RIGHT(MID(TRIM(INDEX(PASTE_ALL,1,30)),1+(LEFT(TRIM(INDEX(PASTE_ALL,1,30)),1)="-"),999),1)="%")),"0",""),"1",""),"2",""),"3",""),"4",""),"5",""),"6",""),"7",""),"8",""),"9",""),".",""),",","")=""),2,1))),1)</f>
        <v/>
      </c>
      <c r="BC50">
        <f>IFERROR(IF(ISNUMBER(INDEX(PASTE_ALL,1,31)),2,IF(TRIM(INDEX(PASTE_ALL,1,31))="",0,IF(AND(LEFT(MID(TRIM(INDEX(PASTE_ALL,1,31)),1+(LEFT(TRIM(INDEX(PASTE_ALL,1,31)),1)="-"),999),LEN(MID(TRIM(INDEX(PASTE_ALL,1,31)),1+(LEFT(TRIM(INDEX(PASTE_ALL,1,31)),1)="-"),999))-(RIGHT(MID(TRIM(INDEX(PASTE_ALL,1,31)),1+(LEFT(TRIM(INDEX(PASTE_ALL,1,31)),1)="-"),999),1)="%"))&lt;&gt;"",SUBSTITUTE(SUBSTITUTE(SUBSTITUTE(SUBSTITUTE(SUBSTITUTE(SUBSTITUTE(SUBSTITUTE(SUBSTITUTE(SUBSTITUTE(SUBSTITUTE(SUBSTITUTE(SUBSTITUTE(LEFT(MID(TRIM(INDEX(PASTE_ALL,1,31)),1+(LEFT(TRIM(INDEX(PASTE_ALL,1,31)),1)="-"),999),LEN(MID(TRIM(INDEX(PASTE_ALL,1,31)),1+(LEFT(TRIM(INDEX(PASTE_ALL,1,31)),1)="-"),999))-(RIGHT(MID(TRIM(INDEX(PASTE_ALL,1,31)),1+(LEFT(TRIM(INDEX(PASTE_ALL,1,31)),1)="-"),999),1)="%")),"0",""),"1",""),"2",""),"3",""),"4",""),"5",""),"6",""),"7",""),"8",""),"9",""),".",""),",","")=""),2,1))),1)</f>
        <v/>
      </c>
      <c r="BD50">
        <f>IFERROR(IF(ISNUMBER(INDEX(PASTE_ALL,1,32)),2,IF(TRIM(INDEX(PASTE_ALL,1,32))="",0,IF(AND(LEFT(MID(TRIM(INDEX(PASTE_ALL,1,32)),1+(LEFT(TRIM(INDEX(PASTE_ALL,1,32)),1)="-"),999),LEN(MID(TRIM(INDEX(PASTE_ALL,1,32)),1+(LEFT(TRIM(INDEX(PASTE_ALL,1,32)),1)="-"),999))-(RIGHT(MID(TRIM(INDEX(PASTE_ALL,1,32)),1+(LEFT(TRIM(INDEX(PASTE_ALL,1,32)),1)="-"),999),1)="%"))&lt;&gt;"",SUBSTITUTE(SUBSTITUTE(SUBSTITUTE(SUBSTITUTE(SUBSTITUTE(SUBSTITUTE(SUBSTITUTE(SUBSTITUTE(SUBSTITUTE(SUBSTITUTE(SUBSTITUTE(SUBSTITUTE(LEFT(MID(TRIM(INDEX(PASTE_ALL,1,32)),1+(LEFT(TRIM(INDEX(PASTE_ALL,1,32)),1)="-"),999),LEN(MID(TRIM(INDEX(PASTE_ALL,1,32)),1+(LEFT(TRIM(INDEX(PASTE_ALL,1,32)),1)="-"),999))-(RIGHT(MID(TRIM(INDEX(PASTE_ALL,1,32)),1+(LEFT(TRIM(INDEX(PASTE_ALL,1,32)),1)="-"),999),1)="%")),"0",""),"1",""),"2",""),"3",""),"4",""),"5",""),"6",""),"7",""),"8",""),"9",""),".",""),",","")=""),2,1))),1)</f>
        <v/>
      </c>
      <c r="BE50">
        <f>IFERROR(IF(ISNUMBER(INDEX(PASTE_ALL,1,33)),2,IF(TRIM(INDEX(PASTE_ALL,1,33))="",0,IF(AND(LEFT(MID(TRIM(INDEX(PASTE_ALL,1,33)),1+(LEFT(TRIM(INDEX(PASTE_ALL,1,33)),1)="-"),999),LEN(MID(TRIM(INDEX(PASTE_ALL,1,33)),1+(LEFT(TRIM(INDEX(PASTE_ALL,1,33)),1)="-"),999))-(RIGHT(MID(TRIM(INDEX(PASTE_ALL,1,33)),1+(LEFT(TRIM(INDEX(PASTE_ALL,1,33)),1)="-"),999),1)="%"))&lt;&gt;"",SUBSTITUTE(SUBSTITUTE(SUBSTITUTE(SUBSTITUTE(SUBSTITUTE(SUBSTITUTE(SUBSTITUTE(SUBSTITUTE(SUBSTITUTE(SUBSTITUTE(SUBSTITUTE(SUBSTITUTE(LEFT(MID(TRIM(INDEX(PASTE_ALL,1,33)),1+(LEFT(TRIM(INDEX(PASTE_ALL,1,33)),1)="-"),999),LEN(MID(TRIM(INDEX(PASTE_ALL,1,33)),1+(LEFT(TRIM(INDEX(PASTE_ALL,1,33)),1)="-"),999))-(RIGHT(MID(TRIM(INDEX(PASTE_ALL,1,33)),1+(LEFT(TRIM(INDEX(PASTE_ALL,1,33)),1)="-"),999),1)="%")),"0",""),"1",""),"2",""),"3",""),"4",""),"5",""),"6",""),"7",""),"8",""),"9",""),".",""),",","")=""),2,1))),1)</f>
        <v/>
      </c>
      <c r="BF50">
        <f>IFERROR(IF(ISNUMBER(INDEX(PASTE_ALL,1,34)),2,IF(TRIM(INDEX(PASTE_ALL,1,34))="",0,IF(AND(LEFT(MID(TRIM(INDEX(PASTE_ALL,1,34)),1+(LEFT(TRIM(INDEX(PASTE_ALL,1,34)),1)="-"),999),LEN(MID(TRIM(INDEX(PASTE_ALL,1,34)),1+(LEFT(TRIM(INDEX(PASTE_ALL,1,34)),1)="-"),999))-(RIGHT(MID(TRIM(INDEX(PASTE_ALL,1,34)),1+(LEFT(TRIM(INDEX(PASTE_ALL,1,34)),1)="-"),999),1)="%"))&lt;&gt;"",SUBSTITUTE(SUBSTITUTE(SUBSTITUTE(SUBSTITUTE(SUBSTITUTE(SUBSTITUTE(SUBSTITUTE(SUBSTITUTE(SUBSTITUTE(SUBSTITUTE(SUBSTITUTE(SUBSTITUTE(LEFT(MID(TRIM(INDEX(PASTE_ALL,1,34)),1+(LEFT(TRIM(INDEX(PASTE_ALL,1,34)),1)="-"),999),LEN(MID(TRIM(INDEX(PASTE_ALL,1,34)),1+(LEFT(TRIM(INDEX(PASTE_ALL,1,34)),1)="-"),999))-(RIGHT(MID(TRIM(INDEX(PASTE_ALL,1,34)),1+(LEFT(TRIM(INDEX(PASTE_ALL,1,34)),1)="-"),999),1)="%")),"0",""),"1",""),"2",""),"3",""),"4",""),"5",""),"6",""),"7",""),"8",""),"9",""),".",""),",","")=""),2,1))),1)</f>
        <v/>
      </c>
      <c r="BG50">
        <f>IFERROR(IF(ISNUMBER(INDEX(PASTE_ALL,1,35)),2,IF(TRIM(INDEX(PASTE_ALL,1,35))="",0,IF(AND(LEFT(MID(TRIM(INDEX(PASTE_ALL,1,35)),1+(LEFT(TRIM(INDEX(PASTE_ALL,1,35)),1)="-"),999),LEN(MID(TRIM(INDEX(PASTE_ALL,1,35)),1+(LEFT(TRIM(INDEX(PASTE_ALL,1,35)),1)="-"),999))-(RIGHT(MID(TRIM(INDEX(PASTE_ALL,1,35)),1+(LEFT(TRIM(INDEX(PASTE_ALL,1,35)),1)="-"),999),1)="%"))&lt;&gt;"",SUBSTITUTE(SUBSTITUTE(SUBSTITUTE(SUBSTITUTE(SUBSTITUTE(SUBSTITUTE(SUBSTITUTE(SUBSTITUTE(SUBSTITUTE(SUBSTITUTE(SUBSTITUTE(SUBSTITUTE(LEFT(MID(TRIM(INDEX(PASTE_ALL,1,35)),1+(LEFT(TRIM(INDEX(PASTE_ALL,1,35)),1)="-"),999),LEN(MID(TRIM(INDEX(PASTE_ALL,1,35)),1+(LEFT(TRIM(INDEX(PASTE_ALL,1,35)),1)="-"),999))-(RIGHT(MID(TRIM(INDEX(PASTE_ALL,1,35)),1+(LEFT(TRIM(INDEX(PASTE_ALL,1,35)),1)="-"),999),1)="%")),"0",""),"1",""),"2",""),"3",""),"4",""),"5",""),"6",""),"7",""),"8",""),"9",""),".",""),",","")=""),2,1))),1)</f>
        <v/>
      </c>
      <c r="BH50">
        <f>IFERROR(IF(ISNUMBER(INDEX(PASTE_ALL,1,36)),2,IF(TRIM(INDEX(PASTE_ALL,1,36))="",0,IF(AND(LEFT(MID(TRIM(INDEX(PASTE_ALL,1,36)),1+(LEFT(TRIM(INDEX(PASTE_ALL,1,36)),1)="-"),999),LEN(MID(TRIM(INDEX(PASTE_ALL,1,36)),1+(LEFT(TRIM(INDEX(PASTE_ALL,1,36)),1)="-"),999))-(RIGHT(MID(TRIM(INDEX(PASTE_ALL,1,36)),1+(LEFT(TRIM(INDEX(PASTE_ALL,1,36)),1)="-"),999),1)="%"))&lt;&gt;"",SUBSTITUTE(SUBSTITUTE(SUBSTITUTE(SUBSTITUTE(SUBSTITUTE(SUBSTITUTE(SUBSTITUTE(SUBSTITUTE(SUBSTITUTE(SUBSTITUTE(SUBSTITUTE(SUBSTITUTE(LEFT(MID(TRIM(INDEX(PASTE_ALL,1,36)),1+(LEFT(TRIM(INDEX(PASTE_ALL,1,36)),1)="-"),999),LEN(MID(TRIM(INDEX(PASTE_ALL,1,36)),1+(LEFT(TRIM(INDEX(PASTE_ALL,1,36)),1)="-"),999))-(RIGHT(MID(TRIM(INDEX(PASTE_ALL,1,36)),1+(LEFT(TRIM(INDEX(PASTE_ALL,1,36)),1)="-"),999),1)="%")),"0",""),"1",""),"2",""),"3",""),"4",""),"5",""),"6",""),"7",""),"8",""),"9",""),".",""),",","")=""),2,1))),1)</f>
        <v/>
      </c>
      <c r="BI50">
        <f>IFERROR(IF(ISNUMBER(INDEX(PASTE_ALL,1,37)),2,IF(TRIM(INDEX(PASTE_ALL,1,37))="",0,IF(AND(LEFT(MID(TRIM(INDEX(PASTE_ALL,1,37)),1+(LEFT(TRIM(INDEX(PASTE_ALL,1,37)),1)="-"),999),LEN(MID(TRIM(INDEX(PASTE_ALL,1,37)),1+(LEFT(TRIM(INDEX(PASTE_ALL,1,37)),1)="-"),999))-(RIGHT(MID(TRIM(INDEX(PASTE_ALL,1,37)),1+(LEFT(TRIM(INDEX(PASTE_ALL,1,37)),1)="-"),999),1)="%"))&lt;&gt;"",SUBSTITUTE(SUBSTITUTE(SUBSTITUTE(SUBSTITUTE(SUBSTITUTE(SUBSTITUTE(SUBSTITUTE(SUBSTITUTE(SUBSTITUTE(SUBSTITUTE(SUBSTITUTE(SUBSTITUTE(LEFT(MID(TRIM(INDEX(PASTE_ALL,1,37)),1+(LEFT(TRIM(INDEX(PASTE_ALL,1,37)),1)="-"),999),LEN(MID(TRIM(INDEX(PASTE_ALL,1,37)),1+(LEFT(TRIM(INDEX(PASTE_ALL,1,37)),1)="-"),999))-(RIGHT(MID(TRIM(INDEX(PASTE_ALL,1,37)),1+(LEFT(TRIM(INDEX(PASTE_ALL,1,37)),1)="-"),999),1)="%")),"0",""),"1",""),"2",""),"3",""),"4",""),"5",""),"6",""),"7",""),"8",""),"9",""),".",""),",","")=""),2,1))),1)</f>
        <v/>
      </c>
      <c r="BJ50">
        <f>IFERROR(IF(ISNUMBER(INDEX(PASTE_ALL,1,38)),2,IF(TRIM(INDEX(PASTE_ALL,1,38))="",0,IF(AND(LEFT(MID(TRIM(INDEX(PASTE_ALL,1,38)),1+(LEFT(TRIM(INDEX(PASTE_ALL,1,38)),1)="-"),999),LEN(MID(TRIM(INDEX(PASTE_ALL,1,38)),1+(LEFT(TRIM(INDEX(PASTE_ALL,1,38)),1)="-"),999))-(RIGHT(MID(TRIM(INDEX(PASTE_ALL,1,38)),1+(LEFT(TRIM(INDEX(PASTE_ALL,1,38)),1)="-"),999),1)="%"))&lt;&gt;"",SUBSTITUTE(SUBSTITUTE(SUBSTITUTE(SUBSTITUTE(SUBSTITUTE(SUBSTITUTE(SUBSTITUTE(SUBSTITUTE(SUBSTITUTE(SUBSTITUTE(SUBSTITUTE(SUBSTITUTE(LEFT(MID(TRIM(INDEX(PASTE_ALL,1,38)),1+(LEFT(TRIM(INDEX(PASTE_ALL,1,38)),1)="-"),999),LEN(MID(TRIM(INDEX(PASTE_ALL,1,38)),1+(LEFT(TRIM(INDEX(PASTE_ALL,1,38)),1)="-"),999))-(RIGHT(MID(TRIM(INDEX(PASTE_ALL,1,38)),1+(LEFT(TRIM(INDEX(PASTE_ALL,1,38)),1)="-"),999),1)="%")),"0",""),"1",""),"2",""),"3",""),"4",""),"5",""),"6",""),"7",""),"8",""),"9",""),".",""),",","")=""),2,1))),1)</f>
        <v/>
      </c>
      <c r="BK50">
        <f>IFERROR(IF(ISNUMBER(INDEX(PASTE_ALL,1,39)),2,IF(TRIM(INDEX(PASTE_ALL,1,39))="",0,IF(AND(LEFT(MID(TRIM(INDEX(PASTE_ALL,1,39)),1+(LEFT(TRIM(INDEX(PASTE_ALL,1,39)),1)="-"),999),LEN(MID(TRIM(INDEX(PASTE_ALL,1,39)),1+(LEFT(TRIM(INDEX(PASTE_ALL,1,39)),1)="-"),999))-(RIGHT(MID(TRIM(INDEX(PASTE_ALL,1,39)),1+(LEFT(TRIM(INDEX(PASTE_ALL,1,39)),1)="-"),999),1)="%"))&lt;&gt;"",SUBSTITUTE(SUBSTITUTE(SUBSTITUTE(SUBSTITUTE(SUBSTITUTE(SUBSTITUTE(SUBSTITUTE(SUBSTITUTE(SUBSTITUTE(SUBSTITUTE(SUBSTITUTE(SUBSTITUTE(LEFT(MID(TRIM(INDEX(PASTE_ALL,1,39)),1+(LEFT(TRIM(INDEX(PASTE_ALL,1,39)),1)="-"),999),LEN(MID(TRIM(INDEX(PASTE_ALL,1,39)),1+(LEFT(TRIM(INDEX(PASTE_ALL,1,39)),1)="-"),999))-(RIGHT(MID(TRIM(INDEX(PASTE_ALL,1,39)),1+(LEFT(TRIM(INDEX(PASTE_ALL,1,39)),1)="-"),999),1)="%")),"0",""),"1",""),"2",""),"3",""),"4",""),"5",""),"6",""),"7",""),"8",""),"9",""),".",""),",","")=""),2,1))),1)</f>
        <v/>
      </c>
      <c r="BL50">
        <f>IFERROR(IF(ISNUMBER(INDEX(PASTE_ALL,1,40)),2,IF(TRIM(INDEX(PASTE_ALL,1,40))="",0,IF(AND(LEFT(MID(TRIM(INDEX(PASTE_ALL,1,40)),1+(LEFT(TRIM(INDEX(PASTE_ALL,1,40)),1)="-"),999),LEN(MID(TRIM(INDEX(PASTE_ALL,1,40)),1+(LEFT(TRIM(INDEX(PASTE_ALL,1,40)),1)="-"),999))-(RIGHT(MID(TRIM(INDEX(PASTE_ALL,1,40)),1+(LEFT(TRIM(INDEX(PASTE_ALL,1,40)),1)="-"),999),1)="%"))&lt;&gt;"",SUBSTITUTE(SUBSTITUTE(SUBSTITUTE(SUBSTITUTE(SUBSTITUTE(SUBSTITUTE(SUBSTITUTE(SUBSTITUTE(SUBSTITUTE(SUBSTITUTE(SUBSTITUTE(SUBSTITUTE(LEFT(MID(TRIM(INDEX(PASTE_ALL,1,40)),1+(LEFT(TRIM(INDEX(PASTE_ALL,1,40)),1)="-"),999),LEN(MID(TRIM(INDEX(PASTE_ALL,1,40)),1+(LEFT(TRIM(INDEX(PASTE_ALL,1,40)),1)="-"),999))-(RIGHT(MID(TRIM(INDEX(PASTE_ALL,1,40)),1+(LEFT(TRIM(INDEX(PASTE_ALL,1,40)),1)="-"),999),1)="%")),"0",""),"1",""),"2",""),"3",""),"4",""),"5",""),"6",""),"7",""),"8",""),"9",""),".",""),",","")=""),2,1))),1)</f>
        <v/>
      </c>
      <c r="BM50">
        <f>IFERROR(IF(ISNUMBER(INDEX(PASTE_ALL,1,41)),2,IF(TRIM(INDEX(PASTE_ALL,1,41))="",0,IF(AND(LEFT(MID(TRIM(INDEX(PASTE_ALL,1,41)),1+(LEFT(TRIM(INDEX(PASTE_ALL,1,41)),1)="-"),999),LEN(MID(TRIM(INDEX(PASTE_ALL,1,41)),1+(LEFT(TRIM(INDEX(PASTE_ALL,1,41)),1)="-"),999))-(RIGHT(MID(TRIM(INDEX(PASTE_ALL,1,41)),1+(LEFT(TRIM(INDEX(PASTE_ALL,1,41)),1)="-"),999),1)="%"))&lt;&gt;"",SUBSTITUTE(SUBSTITUTE(SUBSTITUTE(SUBSTITUTE(SUBSTITUTE(SUBSTITUTE(SUBSTITUTE(SUBSTITUTE(SUBSTITUTE(SUBSTITUTE(SUBSTITUTE(SUBSTITUTE(LEFT(MID(TRIM(INDEX(PASTE_ALL,1,41)),1+(LEFT(TRIM(INDEX(PASTE_ALL,1,41)),1)="-"),999),LEN(MID(TRIM(INDEX(PASTE_ALL,1,41)),1+(LEFT(TRIM(INDEX(PASTE_ALL,1,41)),1)="-"),999))-(RIGHT(MID(TRIM(INDEX(PASTE_ALL,1,41)),1+(LEFT(TRIM(INDEX(PASTE_ALL,1,41)),1)="-"),999),1)="%")),"0",""),"1",""),"2",""),"3",""),"4",""),"5",""),"6",""),"7",""),"8",""),"9",""),".",""),",","")=""),2,1))),1)</f>
        <v/>
      </c>
      <c r="BN50">
        <f>IFERROR(IF(ISNUMBER(INDEX(PASTE_ALL,1,42)),2,IF(TRIM(INDEX(PASTE_ALL,1,42))="",0,IF(AND(LEFT(MID(TRIM(INDEX(PASTE_ALL,1,42)),1+(LEFT(TRIM(INDEX(PASTE_ALL,1,42)),1)="-"),999),LEN(MID(TRIM(INDEX(PASTE_ALL,1,42)),1+(LEFT(TRIM(INDEX(PASTE_ALL,1,42)),1)="-"),999))-(RIGHT(MID(TRIM(INDEX(PASTE_ALL,1,42)),1+(LEFT(TRIM(INDEX(PASTE_ALL,1,42)),1)="-"),999),1)="%"))&lt;&gt;"",SUBSTITUTE(SUBSTITUTE(SUBSTITUTE(SUBSTITUTE(SUBSTITUTE(SUBSTITUTE(SUBSTITUTE(SUBSTITUTE(SUBSTITUTE(SUBSTITUTE(SUBSTITUTE(SUBSTITUTE(LEFT(MID(TRIM(INDEX(PASTE_ALL,1,42)),1+(LEFT(TRIM(INDEX(PASTE_ALL,1,42)),1)="-"),999),LEN(MID(TRIM(INDEX(PASTE_ALL,1,42)),1+(LEFT(TRIM(INDEX(PASTE_ALL,1,42)),1)="-"),999))-(RIGHT(MID(TRIM(INDEX(PASTE_ALL,1,42)),1+(LEFT(TRIM(INDEX(PASTE_ALL,1,42)),1)="-"),999),1)="%")),"0",""),"1",""),"2",""),"3",""),"4",""),"5",""),"6",""),"7",""),"8",""),"9",""),".",""),",","")=""),2,1))),1)</f>
        <v/>
      </c>
      <c r="BO50">
        <f>IFERROR(IF(ISNUMBER(INDEX(PASTE_ALL,1,43)),2,IF(TRIM(INDEX(PASTE_ALL,1,43))="",0,IF(AND(LEFT(MID(TRIM(INDEX(PASTE_ALL,1,43)),1+(LEFT(TRIM(INDEX(PASTE_ALL,1,43)),1)="-"),999),LEN(MID(TRIM(INDEX(PASTE_ALL,1,43)),1+(LEFT(TRIM(INDEX(PASTE_ALL,1,43)),1)="-"),999))-(RIGHT(MID(TRIM(INDEX(PASTE_ALL,1,43)),1+(LEFT(TRIM(INDEX(PASTE_ALL,1,43)),1)="-"),999),1)="%"))&lt;&gt;"",SUBSTITUTE(SUBSTITUTE(SUBSTITUTE(SUBSTITUTE(SUBSTITUTE(SUBSTITUTE(SUBSTITUTE(SUBSTITUTE(SUBSTITUTE(SUBSTITUTE(SUBSTITUTE(SUBSTITUTE(LEFT(MID(TRIM(INDEX(PASTE_ALL,1,43)),1+(LEFT(TRIM(INDEX(PASTE_ALL,1,43)),1)="-"),999),LEN(MID(TRIM(INDEX(PASTE_ALL,1,43)),1+(LEFT(TRIM(INDEX(PASTE_ALL,1,43)),1)="-"),999))-(RIGHT(MID(TRIM(INDEX(PASTE_ALL,1,43)),1+(LEFT(TRIM(INDEX(PASTE_ALL,1,43)),1)="-"),999),1)="%")),"0",""),"1",""),"2",""),"3",""),"4",""),"5",""),"6",""),"7",""),"8",""),"9",""),".",""),",","")=""),2,1))),1)</f>
        <v/>
      </c>
      <c r="BP50">
        <f>IFERROR(IF(ISNUMBER(INDEX(PASTE_ALL,1,44)),2,IF(TRIM(INDEX(PASTE_ALL,1,44))="",0,IF(AND(LEFT(MID(TRIM(INDEX(PASTE_ALL,1,44)),1+(LEFT(TRIM(INDEX(PASTE_ALL,1,44)),1)="-"),999),LEN(MID(TRIM(INDEX(PASTE_ALL,1,44)),1+(LEFT(TRIM(INDEX(PASTE_ALL,1,44)),1)="-"),999))-(RIGHT(MID(TRIM(INDEX(PASTE_ALL,1,44)),1+(LEFT(TRIM(INDEX(PASTE_ALL,1,44)),1)="-"),999),1)="%"))&lt;&gt;"",SUBSTITUTE(SUBSTITUTE(SUBSTITUTE(SUBSTITUTE(SUBSTITUTE(SUBSTITUTE(SUBSTITUTE(SUBSTITUTE(SUBSTITUTE(SUBSTITUTE(SUBSTITUTE(SUBSTITUTE(LEFT(MID(TRIM(INDEX(PASTE_ALL,1,44)),1+(LEFT(TRIM(INDEX(PASTE_ALL,1,44)),1)="-"),999),LEN(MID(TRIM(INDEX(PASTE_ALL,1,44)),1+(LEFT(TRIM(INDEX(PASTE_ALL,1,44)),1)="-"),999))-(RIGHT(MID(TRIM(INDEX(PASTE_ALL,1,44)),1+(LEFT(TRIM(INDEX(PASTE_ALL,1,44)),1)="-"),999),1)="%")),"0",""),"1",""),"2",""),"3",""),"4",""),"5",""),"6",""),"7",""),"8",""),"9",""),".",""),",","")=""),2,1))),1)</f>
        <v/>
      </c>
      <c r="BQ50">
        <f>IFERROR(IF(ISNUMBER(INDEX(PASTE_ALL,1,45)),2,IF(TRIM(INDEX(PASTE_ALL,1,45))="",0,IF(AND(LEFT(MID(TRIM(INDEX(PASTE_ALL,1,45)),1+(LEFT(TRIM(INDEX(PASTE_ALL,1,45)),1)="-"),999),LEN(MID(TRIM(INDEX(PASTE_ALL,1,45)),1+(LEFT(TRIM(INDEX(PASTE_ALL,1,45)),1)="-"),999))-(RIGHT(MID(TRIM(INDEX(PASTE_ALL,1,45)),1+(LEFT(TRIM(INDEX(PASTE_ALL,1,45)),1)="-"),999),1)="%"))&lt;&gt;"",SUBSTITUTE(SUBSTITUTE(SUBSTITUTE(SUBSTITUTE(SUBSTITUTE(SUBSTITUTE(SUBSTITUTE(SUBSTITUTE(SUBSTITUTE(SUBSTITUTE(SUBSTITUTE(SUBSTITUTE(LEFT(MID(TRIM(INDEX(PASTE_ALL,1,45)),1+(LEFT(TRIM(INDEX(PASTE_ALL,1,45)),1)="-"),999),LEN(MID(TRIM(INDEX(PASTE_ALL,1,45)),1+(LEFT(TRIM(INDEX(PASTE_ALL,1,45)),1)="-"),999))-(RIGHT(MID(TRIM(INDEX(PASTE_ALL,1,45)),1+(LEFT(TRIM(INDEX(PASTE_ALL,1,45)),1)="-"),999),1)="%")),"0",""),"1",""),"2",""),"3",""),"4",""),"5",""),"6",""),"7",""),"8",""),"9",""),".",""),",","")=""),2,1))),1)</f>
        <v/>
      </c>
      <c r="BR50">
        <f>IFERROR(IF(ISNUMBER(INDEX(PASTE_ALL,1,46)),2,IF(TRIM(INDEX(PASTE_ALL,1,46))="",0,IF(AND(LEFT(MID(TRIM(INDEX(PASTE_ALL,1,46)),1+(LEFT(TRIM(INDEX(PASTE_ALL,1,46)),1)="-"),999),LEN(MID(TRIM(INDEX(PASTE_ALL,1,46)),1+(LEFT(TRIM(INDEX(PASTE_ALL,1,46)),1)="-"),999))-(RIGHT(MID(TRIM(INDEX(PASTE_ALL,1,46)),1+(LEFT(TRIM(INDEX(PASTE_ALL,1,46)),1)="-"),999),1)="%"))&lt;&gt;"",SUBSTITUTE(SUBSTITUTE(SUBSTITUTE(SUBSTITUTE(SUBSTITUTE(SUBSTITUTE(SUBSTITUTE(SUBSTITUTE(SUBSTITUTE(SUBSTITUTE(SUBSTITUTE(SUBSTITUTE(LEFT(MID(TRIM(INDEX(PASTE_ALL,1,46)),1+(LEFT(TRIM(INDEX(PASTE_ALL,1,46)),1)="-"),999),LEN(MID(TRIM(INDEX(PASTE_ALL,1,46)),1+(LEFT(TRIM(INDEX(PASTE_ALL,1,46)),1)="-"),999))-(RIGHT(MID(TRIM(INDEX(PASTE_ALL,1,46)),1+(LEFT(TRIM(INDEX(PASTE_ALL,1,46)),1)="-"),999),1)="%")),"0",""),"1",""),"2",""),"3",""),"4",""),"5",""),"6",""),"7",""),"8",""),"9",""),".",""),",","")=""),2,1))),1)</f>
        <v/>
      </c>
      <c r="BS50">
        <f>IFERROR(IF(ISNUMBER(INDEX(PASTE_ALL,1,47)),2,IF(TRIM(INDEX(PASTE_ALL,1,47))="",0,IF(AND(LEFT(MID(TRIM(INDEX(PASTE_ALL,1,47)),1+(LEFT(TRIM(INDEX(PASTE_ALL,1,47)),1)="-"),999),LEN(MID(TRIM(INDEX(PASTE_ALL,1,47)),1+(LEFT(TRIM(INDEX(PASTE_ALL,1,47)),1)="-"),999))-(RIGHT(MID(TRIM(INDEX(PASTE_ALL,1,47)),1+(LEFT(TRIM(INDEX(PASTE_ALL,1,47)),1)="-"),999),1)="%"))&lt;&gt;"",SUBSTITUTE(SUBSTITUTE(SUBSTITUTE(SUBSTITUTE(SUBSTITUTE(SUBSTITUTE(SUBSTITUTE(SUBSTITUTE(SUBSTITUTE(SUBSTITUTE(SUBSTITUTE(SUBSTITUTE(LEFT(MID(TRIM(INDEX(PASTE_ALL,1,47)),1+(LEFT(TRIM(INDEX(PASTE_ALL,1,47)),1)="-"),999),LEN(MID(TRIM(INDEX(PASTE_ALL,1,47)),1+(LEFT(TRIM(INDEX(PASTE_ALL,1,47)),1)="-"),999))-(RIGHT(MID(TRIM(INDEX(PASTE_ALL,1,47)),1+(LEFT(TRIM(INDEX(PASTE_ALL,1,47)),1)="-"),999),1)="%")),"0",""),"1",""),"2",""),"3",""),"4",""),"5",""),"6",""),"7",""),"8",""),"9",""),".",""),",","")=""),2,1))),1)</f>
        <v/>
      </c>
      <c r="BT50">
        <f>IFERROR(IF(ISNUMBER(INDEX(PASTE_ALL,1,48)),2,IF(TRIM(INDEX(PASTE_ALL,1,48))="",0,IF(AND(LEFT(MID(TRIM(INDEX(PASTE_ALL,1,48)),1+(LEFT(TRIM(INDEX(PASTE_ALL,1,48)),1)="-"),999),LEN(MID(TRIM(INDEX(PASTE_ALL,1,48)),1+(LEFT(TRIM(INDEX(PASTE_ALL,1,48)),1)="-"),999))-(RIGHT(MID(TRIM(INDEX(PASTE_ALL,1,48)),1+(LEFT(TRIM(INDEX(PASTE_ALL,1,48)),1)="-"),999),1)="%"))&lt;&gt;"",SUBSTITUTE(SUBSTITUTE(SUBSTITUTE(SUBSTITUTE(SUBSTITUTE(SUBSTITUTE(SUBSTITUTE(SUBSTITUTE(SUBSTITUTE(SUBSTITUTE(SUBSTITUTE(SUBSTITUTE(LEFT(MID(TRIM(INDEX(PASTE_ALL,1,48)),1+(LEFT(TRIM(INDEX(PASTE_ALL,1,48)),1)="-"),999),LEN(MID(TRIM(INDEX(PASTE_ALL,1,48)),1+(LEFT(TRIM(INDEX(PASTE_ALL,1,48)),1)="-"),999))-(RIGHT(MID(TRIM(INDEX(PASTE_ALL,1,48)),1+(LEFT(TRIM(INDEX(PASTE_ALL,1,48)),1)="-"),999),1)="%")),"0",""),"1",""),"2",""),"3",""),"4",""),"5",""),"6",""),"7",""),"8",""),"9",""),".",""),",","")=""),2,1))),1)</f>
        <v/>
      </c>
      <c r="BU50">
        <f>IFERROR(IF(ISNUMBER(INDEX(PASTE_ALL,1,49)),2,IF(TRIM(INDEX(PASTE_ALL,1,49))="",0,IF(AND(LEFT(MID(TRIM(INDEX(PASTE_ALL,1,49)),1+(LEFT(TRIM(INDEX(PASTE_ALL,1,49)),1)="-"),999),LEN(MID(TRIM(INDEX(PASTE_ALL,1,49)),1+(LEFT(TRIM(INDEX(PASTE_ALL,1,49)),1)="-"),999))-(RIGHT(MID(TRIM(INDEX(PASTE_ALL,1,49)),1+(LEFT(TRIM(INDEX(PASTE_ALL,1,49)),1)="-"),999),1)="%"))&lt;&gt;"",SUBSTITUTE(SUBSTITUTE(SUBSTITUTE(SUBSTITUTE(SUBSTITUTE(SUBSTITUTE(SUBSTITUTE(SUBSTITUTE(SUBSTITUTE(SUBSTITUTE(SUBSTITUTE(SUBSTITUTE(LEFT(MID(TRIM(INDEX(PASTE_ALL,1,49)),1+(LEFT(TRIM(INDEX(PASTE_ALL,1,49)),1)="-"),999),LEN(MID(TRIM(INDEX(PASTE_ALL,1,49)),1+(LEFT(TRIM(INDEX(PASTE_ALL,1,49)),1)="-"),999))-(RIGHT(MID(TRIM(INDEX(PASTE_ALL,1,49)),1+(LEFT(TRIM(INDEX(PASTE_ALL,1,49)),1)="-"),999),1)="%")),"0",""),"1",""),"2",""),"3",""),"4",""),"5",""),"6",""),"7",""),"8",""),"9",""),".",""),",","")=""),2,1))),1)</f>
        <v/>
      </c>
      <c r="BV50">
        <f>IFERROR(IF(ISNUMBER(INDEX(PASTE_ALL,1,50)),2,IF(TRIM(INDEX(PASTE_ALL,1,50))="",0,IF(AND(LEFT(MID(TRIM(INDEX(PASTE_ALL,1,50)),1+(LEFT(TRIM(INDEX(PASTE_ALL,1,50)),1)="-"),999),LEN(MID(TRIM(INDEX(PASTE_ALL,1,50)),1+(LEFT(TRIM(INDEX(PASTE_ALL,1,50)),1)="-"),999))-(RIGHT(MID(TRIM(INDEX(PASTE_ALL,1,50)),1+(LEFT(TRIM(INDEX(PASTE_ALL,1,50)),1)="-"),999),1)="%"))&lt;&gt;"",SUBSTITUTE(SUBSTITUTE(SUBSTITUTE(SUBSTITUTE(SUBSTITUTE(SUBSTITUTE(SUBSTITUTE(SUBSTITUTE(SUBSTITUTE(SUBSTITUTE(SUBSTITUTE(SUBSTITUTE(LEFT(MID(TRIM(INDEX(PASTE_ALL,1,50)),1+(LEFT(TRIM(INDEX(PASTE_ALL,1,50)),1)="-"),999),LEN(MID(TRIM(INDEX(PASTE_ALL,1,50)),1+(LEFT(TRIM(INDEX(PASTE_ALL,1,50)),1)="-"),999))-(RIGHT(MID(TRIM(INDEX(PASTE_ALL,1,50)),1+(LEFT(TRIM(INDEX(PASTE_ALL,1,50)),1)="-"),999),1)="%")),"0",""),"1",""),"2",""),"3",""),"4",""),"5",""),"6",""),"7",""),"8",""),"9",""),".",""),",","")=""),2,1))),1)</f>
        <v/>
      </c>
      <c r="BW50">
        <f>IFERROR(IF(ISNUMBER(INDEX(PASTE_ALL,1,51)),2,IF(TRIM(INDEX(PASTE_ALL,1,51))="",0,IF(AND(LEFT(MID(TRIM(INDEX(PASTE_ALL,1,51)),1+(LEFT(TRIM(INDEX(PASTE_ALL,1,51)),1)="-"),999),LEN(MID(TRIM(INDEX(PASTE_ALL,1,51)),1+(LEFT(TRIM(INDEX(PASTE_ALL,1,51)),1)="-"),999))-(RIGHT(MID(TRIM(INDEX(PASTE_ALL,1,51)),1+(LEFT(TRIM(INDEX(PASTE_ALL,1,51)),1)="-"),999),1)="%"))&lt;&gt;"",SUBSTITUTE(SUBSTITUTE(SUBSTITUTE(SUBSTITUTE(SUBSTITUTE(SUBSTITUTE(SUBSTITUTE(SUBSTITUTE(SUBSTITUTE(SUBSTITUTE(SUBSTITUTE(SUBSTITUTE(LEFT(MID(TRIM(INDEX(PASTE_ALL,1,51)),1+(LEFT(TRIM(INDEX(PASTE_ALL,1,51)),1)="-"),999),LEN(MID(TRIM(INDEX(PASTE_ALL,1,51)),1+(LEFT(TRIM(INDEX(PASTE_ALL,1,51)),1)="-"),999))-(RIGHT(MID(TRIM(INDEX(PASTE_ALL,1,51)),1+(LEFT(TRIM(INDEX(PASTE_ALL,1,51)),1)="-"),999),1)="%")),"0",""),"1",""),"2",""),"3",""),"4",""),"5",""),"6",""),"7",""),"8",""),"9",""),".",""),",","")=""),2,1))),1)</f>
        <v/>
      </c>
      <c r="BX50">
        <f>IFERROR(IF(ISNUMBER(INDEX(PASTE_ALL,1,52)),2,IF(TRIM(INDEX(PASTE_ALL,1,52))="",0,IF(AND(LEFT(MID(TRIM(INDEX(PASTE_ALL,1,52)),1+(LEFT(TRIM(INDEX(PASTE_ALL,1,52)),1)="-"),999),LEN(MID(TRIM(INDEX(PASTE_ALL,1,52)),1+(LEFT(TRIM(INDEX(PASTE_ALL,1,52)),1)="-"),999))-(RIGHT(MID(TRIM(INDEX(PASTE_ALL,1,52)),1+(LEFT(TRIM(INDEX(PASTE_ALL,1,52)),1)="-"),999),1)="%"))&lt;&gt;"",SUBSTITUTE(SUBSTITUTE(SUBSTITUTE(SUBSTITUTE(SUBSTITUTE(SUBSTITUTE(SUBSTITUTE(SUBSTITUTE(SUBSTITUTE(SUBSTITUTE(SUBSTITUTE(SUBSTITUTE(LEFT(MID(TRIM(INDEX(PASTE_ALL,1,52)),1+(LEFT(TRIM(INDEX(PASTE_ALL,1,52)),1)="-"),999),LEN(MID(TRIM(INDEX(PASTE_ALL,1,52)),1+(LEFT(TRIM(INDEX(PASTE_ALL,1,52)),1)="-"),999))-(RIGHT(MID(TRIM(INDEX(PASTE_ALL,1,52)),1+(LEFT(TRIM(INDEX(PASTE_ALL,1,52)),1)="-"),999),1)="%")),"0",""),"1",""),"2",""),"3",""),"4",""),"5",""),"6",""),"7",""),"8",""),"9",""),".",""),",","")=""),2,1))),1)</f>
        <v/>
      </c>
      <c r="BY50">
        <f>IFERROR(IF(ISNUMBER(INDEX(PASTE_ALL,1,53)),2,IF(TRIM(INDEX(PASTE_ALL,1,53))="",0,IF(AND(LEFT(MID(TRIM(INDEX(PASTE_ALL,1,53)),1+(LEFT(TRIM(INDEX(PASTE_ALL,1,53)),1)="-"),999),LEN(MID(TRIM(INDEX(PASTE_ALL,1,53)),1+(LEFT(TRIM(INDEX(PASTE_ALL,1,53)),1)="-"),999))-(RIGHT(MID(TRIM(INDEX(PASTE_ALL,1,53)),1+(LEFT(TRIM(INDEX(PASTE_ALL,1,53)),1)="-"),999),1)="%"))&lt;&gt;"",SUBSTITUTE(SUBSTITUTE(SUBSTITUTE(SUBSTITUTE(SUBSTITUTE(SUBSTITUTE(SUBSTITUTE(SUBSTITUTE(SUBSTITUTE(SUBSTITUTE(SUBSTITUTE(SUBSTITUTE(LEFT(MID(TRIM(INDEX(PASTE_ALL,1,53)),1+(LEFT(TRIM(INDEX(PASTE_ALL,1,53)),1)="-"),999),LEN(MID(TRIM(INDEX(PASTE_ALL,1,53)),1+(LEFT(TRIM(INDEX(PASTE_ALL,1,53)),1)="-"),999))-(RIGHT(MID(TRIM(INDEX(PASTE_ALL,1,53)),1+(LEFT(TRIM(INDEX(PASTE_ALL,1,53)),1)="-"),999),1)="%")),"0",""),"1",""),"2",""),"3",""),"4",""),"5",""),"6",""),"7",""),"8",""),"9",""),".",""),",","")=""),2,1))),1)</f>
        <v/>
      </c>
      <c r="BZ50">
        <f>IFERROR(IF(ISNUMBER(INDEX(PASTE_ALL,1,54)),2,IF(TRIM(INDEX(PASTE_ALL,1,54))="",0,IF(AND(LEFT(MID(TRIM(INDEX(PASTE_ALL,1,54)),1+(LEFT(TRIM(INDEX(PASTE_ALL,1,54)),1)="-"),999),LEN(MID(TRIM(INDEX(PASTE_ALL,1,54)),1+(LEFT(TRIM(INDEX(PASTE_ALL,1,54)),1)="-"),999))-(RIGHT(MID(TRIM(INDEX(PASTE_ALL,1,54)),1+(LEFT(TRIM(INDEX(PASTE_ALL,1,54)),1)="-"),999),1)="%"))&lt;&gt;"",SUBSTITUTE(SUBSTITUTE(SUBSTITUTE(SUBSTITUTE(SUBSTITUTE(SUBSTITUTE(SUBSTITUTE(SUBSTITUTE(SUBSTITUTE(SUBSTITUTE(SUBSTITUTE(SUBSTITUTE(LEFT(MID(TRIM(INDEX(PASTE_ALL,1,54)),1+(LEFT(TRIM(INDEX(PASTE_ALL,1,54)),1)="-"),999),LEN(MID(TRIM(INDEX(PASTE_ALL,1,54)),1+(LEFT(TRIM(INDEX(PASTE_ALL,1,54)),1)="-"),999))-(RIGHT(MID(TRIM(INDEX(PASTE_ALL,1,54)),1+(LEFT(TRIM(INDEX(PASTE_ALL,1,54)),1)="-"),999),1)="%")),"0",""),"1",""),"2",""),"3",""),"4",""),"5",""),"6",""),"7",""),"8",""),"9",""),".",""),",","")=""),2,1))),1)</f>
        <v/>
      </c>
      <c r="CA50">
        <f>IFERROR(IF(ISNUMBER(INDEX(PASTE_ALL,1,55)),2,IF(TRIM(INDEX(PASTE_ALL,1,55))="",0,IF(AND(LEFT(MID(TRIM(INDEX(PASTE_ALL,1,55)),1+(LEFT(TRIM(INDEX(PASTE_ALL,1,55)),1)="-"),999),LEN(MID(TRIM(INDEX(PASTE_ALL,1,55)),1+(LEFT(TRIM(INDEX(PASTE_ALL,1,55)),1)="-"),999))-(RIGHT(MID(TRIM(INDEX(PASTE_ALL,1,55)),1+(LEFT(TRIM(INDEX(PASTE_ALL,1,55)),1)="-"),999),1)="%"))&lt;&gt;"",SUBSTITUTE(SUBSTITUTE(SUBSTITUTE(SUBSTITUTE(SUBSTITUTE(SUBSTITUTE(SUBSTITUTE(SUBSTITUTE(SUBSTITUTE(SUBSTITUTE(SUBSTITUTE(SUBSTITUTE(LEFT(MID(TRIM(INDEX(PASTE_ALL,1,55)),1+(LEFT(TRIM(INDEX(PASTE_ALL,1,55)),1)="-"),999),LEN(MID(TRIM(INDEX(PASTE_ALL,1,55)),1+(LEFT(TRIM(INDEX(PASTE_ALL,1,55)),1)="-"),999))-(RIGHT(MID(TRIM(INDEX(PASTE_ALL,1,55)),1+(LEFT(TRIM(INDEX(PASTE_ALL,1,55)),1)="-"),999),1)="%")),"0",""),"1",""),"2",""),"3",""),"4",""),"5",""),"6",""),"7",""),"8",""),"9",""),".",""),",","")=""),2,1))),1)</f>
        <v/>
      </c>
      <c r="CB50">
        <f>IFERROR(IF(ISNUMBER(INDEX(PASTE_ALL,1,56)),2,IF(TRIM(INDEX(PASTE_ALL,1,56))="",0,IF(AND(LEFT(MID(TRIM(INDEX(PASTE_ALL,1,56)),1+(LEFT(TRIM(INDEX(PASTE_ALL,1,56)),1)="-"),999),LEN(MID(TRIM(INDEX(PASTE_ALL,1,56)),1+(LEFT(TRIM(INDEX(PASTE_ALL,1,56)),1)="-"),999))-(RIGHT(MID(TRIM(INDEX(PASTE_ALL,1,56)),1+(LEFT(TRIM(INDEX(PASTE_ALL,1,56)),1)="-"),999),1)="%"))&lt;&gt;"",SUBSTITUTE(SUBSTITUTE(SUBSTITUTE(SUBSTITUTE(SUBSTITUTE(SUBSTITUTE(SUBSTITUTE(SUBSTITUTE(SUBSTITUTE(SUBSTITUTE(SUBSTITUTE(SUBSTITUTE(LEFT(MID(TRIM(INDEX(PASTE_ALL,1,56)),1+(LEFT(TRIM(INDEX(PASTE_ALL,1,56)),1)="-"),999),LEN(MID(TRIM(INDEX(PASTE_ALL,1,56)),1+(LEFT(TRIM(INDEX(PASTE_ALL,1,56)),1)="-"),999))-(RIGHT(MID(TRIM(INDEX(PASTE_ALL,1,56)),1+(LEFT(TRIM(INDEX(PASTE_ALL,1,56)),1)="-"),999),1)="%")),"0",""),"1",""),"2",""),"3",""),"4",""),"5",""),"6",""),"7",""),"8",""),"9",""),".",""),",","")=""),2,1))),1)</f>
        <v/>
      </c>
      <c r="CC50">
        <f>IFERROR(IF(ISNUMBER(INDEX(PASTE_ALL,1,57)),2,IF(TRIM(INDEX(PASTE_ALL,1,57))="",0,IF(AND(LEFT(MID(TRIM(INDEX(PASTE_ALL,1,57)),1+(LEFT(TRIM(INDEX(PASTE_ALL,1,57)),1)="-"),999),LEN(MID(TRIM(INDEX(PASTE_ALL,1,57)),1+(LEFT(TRIM(INDEX(PASTE_ALL,1,57)),1)="-"),999))-(RIGHT(MID(TRIM(INDEX(PASTE_ALL,1,57)),1+(LEFT(TRIM(INDEX(PASTE_ALL,1,57)),1)="-"),999),1)="%"))&lt;&gt;"",SUBSTITUTE(SUBSTITUTE(SUBSTITUTE(SUBSTITUTE(SUBSTITUTE(SUBSTITUTE(SUBSTITUTE(SUBSTITUTE(SUBSTITUTE(SUBSTITUTE(SUBSTITUTE(SUBSTITUTE(LEFT(MID(TRIM(INDEX(PASTE_ALL,1,57)),1+(LEFT(TRIM(INDEX(PASTE_ALL,1,57)),1)="-"),999),LEN(MID(TRIM(INDEX(PASTE_ALL,1,57)),1+(LEFT(TRIM(INDEX(PASTE_ALL,1,57)),1)="-"),999))-(RIGHT(MID(TRIM(INDEX(PASTE_ALL,1,57)),1+(LEFT(TRIM(INDEX(PASTE_ALL,1,57)),1)="-"),999),1)="%")),"0",""),"1",""),"2",""),"3",""),"4",""),"5",""),"6",""),"7",""),"8",""),"9",""),".",""),",","")=""),2,1))),1)</f>
        <v/>
      </c>
      <c r="CD50">
        <f>IFERROR(IF(ISNUMBER(INDEX(PASTE_ALL,1,58)),2,IF(TRIM(INDEX(PASTE_ALL,1,58))="",0,IF(AND(LEFT(MID(TRIM(INDEX(PASTE_ALL,1,58)),1+(LEFT(TRIM(INDEX(PASTE_ALL,1,58)),1)="-"),999),LEN(MID(TRIM(INDEX(PASTE_ALL,1,58)),1+(LEFT(TRIM(INDEX(PASTE_ALL,1,58)),1)="-"),999))-(RIGHT(MID(TRIM(INDEX(PASTE_ALL,1,58)),1+(LEFT(TRIM(INDEX(PASTE_ALL,1,58)),1)="-"),999),1)="%"))&lt;&gt;"",SUBSTITUTE(SUBSTITUTE(SUBSTITUTE(SUBSTITUTE(SUBSTITUTE(SUBSTITUTE(SUBSTITUTE(SUBSTITUTE(SUBSTITUTE(SUBSTITUTE(SUBSTITUTE(SUBSTITUTE(LEFT(MID(TRIM(INDEX(PASTE_ALL,1,58)),1+(LEFT(TRIM(INDEX(PASTE_ALL,1,58)),1)="-"),999),LEN(MID(TRIM(INDEX(PASTE_ALL,1,58)),1+(LEFT(TRIM(INDEX(PASTE_ALL,1,58)),1)="-"),999))-(RIGHT(MID(TRIM(INDEX(PASTE_ALL,1,58)),1+(LEFT(TRIM(INDEX(PASTE_ALL,1,58)),1)="-"),999),1)="%")),"0",""),"1",""),"2",""),"3",""),"4",""),"5",""),"6",""),"7",""),"8",""),"9",""),".",""),",","")=""),2,1))),1)</f>
        <v/>
      </c>
      <c r="CE50">
        <f>IFERROR(IF(ISNUMBER(INDEX(PASTE_ALL,1,59)),2,IF(TRIM(INDEX(PASTE_ALL,1,59))="",0,IF(AND(LEFT(MID(TRIM(INDEX(PASTE_ALL,1,59)),1+(LEFT(TRIM(INDEX(PASTE_ALL,1,59)),1)="-"),999),LEN(MID(TRIM(INDEX(PASTE_ALL,1,59)),1+(LEFT(TRIM(INDEX(PASTE_ALL,1,59)),1)="-"),999))-(RIGHT(MID(TRIM(INDEX(PASTE_ALL,1,59)),1+(LEFT(TRIM(INDEX(PASTE_ALL,1,59)),1)="-"),999),1)="%"))&lt;&gt;"",SUBSTITUTE(SUBSTITUTE(SUBSTITUTE(SUBSTITUTE(SUBSTITUTE(SUBSTITUTE(SUBSTITUTE(SUBSTITUTE(SUBSTITUTE(SUBSTITUTE(SUBSTITUTE(SUBSTITUTE(LEFT(MID(TRIM(INDEX(PASTE_ALL,1,59)),1+(LEFT(TRIM(INDEX(PASTE_ALL,1,59)),1)="-"),999),LEN(MID(TRIM(INDEX(PASTE_ALL,1,59)),1+(LEFT(TRIM(INDEX(PASTE_ALL,1,59)),1)="-"),999))-(RIGHT(MID(TRIM(INDEX(PASTE_ALL,1,59)),1+(LEFT(TRIM(INDEX(PASTE_ALL,1,59)),1)="-"),999),1)="%")),"0",""),"1",""),"2",""),"3",""),"4",""),"5",""),"6",""),"7",""),"8",""),"9",""),".",""),",","")=""),2,1))),1)</f>
        <v/>
      </c>
      <c r="CF50">
        <f>IFERROR(IF(ISNUMBER(INDEX(PASTE_ALL,1,60)),2,IF(TRIM(INDEX(PASTE_ALL,1,60))="",0,IF(AND(LEFT(MID(TRIM(INDEX(PASTE_ALL,1,60)),1+(LEFT(TRIM(INDEX(PASTE_ALL,1,60)),1)="-"),999),LEN(MID(TRIM(INDEX(PASTE_ALL,1,60)),1+(LEFT(TRIM(INDEX(PASTE_ALL,1,60)),1)="-"),999))-(RIGHT(MID(TRIM(INDEX(PASTE_ALL,1,60)),1+(LEFT(TRIM(INDEX(PASTE_ALL,1,60)),1)="-"),999),1)="%"))&lt;&gt;"",SUBSTITUTE(SUBSTITUTE(SUBSTITUTE(SUBSTITUTE(SUBSTITUTE(SUBSTITUTE(SUBSTITUTE(SUBSTITUTE(SUBSTITUTE(SUBSTITUTE(SUBSTITUTE(SUBSTITUTE(LEFT(MID(TRIM(INDEX(PASTE_ALL,1,60)),1+(LEFT(TRIM(INDEX(PASTE_ALL,1,60)),1)="-"),999),LEN(MID(TRIM(INDEX(PASTE_ALL,1,60)),1+(LEFT(TRIM(INDEX(PASTE_ALL,1,60)),1)="-"),999))-(RIGHT(MID(TRIM(INDEX(PASTE_ALL,1,60)),1+(LEFT(TRIM(INDEX(PASTE_ALL,1,60)),1)="-"),999),1)="%")),"0",""),"1",""),"2",""),"3",""),"4",""),"5",""),"6",""),"7",""),"8",""),"9",""),".",""),",","")=""),2,1))),1)</f>
        <v/>
      </c>
      <c r="DA50" t="n">
        <v>46</v>
      </c>
      <c r="DB50">
        <f>IF($B$37=0,"",IFERROR(TRIM(SUBSTITUTE(SUBSTITUTE(SUBSTITUTE(SUBSTITUTE(INDEX(PASTE_ALL,46,$B$37)," "," "),CHAR(9)," "),CHAR(10)," "),CHAR(13)," ")),""))</f>
        <v/>
      </c>
      <c r="DC50">
        <f>IF(AND(46&gt;HEADER_ROW,UPPER(DB50)="LEGEND"),1,0)</f>
        <v/>
      </c>
      <c r="DE50" t="n">
        <v>46</v>
      </c>
      <c r="DF50">
        <f>HEADER_ROW+$DE50</f>
        <v/>
      </c>
      <c r="DG50">
        <f>IF(AND($DF50&lt;=1000,$DF50&lt;$B$8),1,0)</f>
        <v/>
      </c>
      <c r="DH50">
        <f>IF($DG50=1,IFERROR(INDEX($DB$5:$DB$1004,$DF50),""),"")</f>
        <v/>
      </c>
      <c r="DI50">
        <f>IF(AND($DG50=1,$DH50&lt;&gt;""),IFERROR(SUBSTITUTE(SUBSTITUTE(TRIM(SUBSTITUTE(SUBSTITUTE(SUBSTITUTE(SUBSTITUTE(IFERROR(INDEX(PASTE_ALL,$DF50,1)&amp;"","")&amp;"␟"&amp;IFERROR(INDEX(PASTE_ALL,$DF50,2)&amp;"","")&amp;"␟"&amp;IFERROR(INDEX(PASTE_ALL,$DF50,3)&amp;"","")&amp;"␟"&amp;IFERROR(INDEX(PASTE_ALL,$DF50,4)&amp;"","")&amp;"␟"&amp;IFERROR(INDEX(PASTE_ALL,$DF50,5)&amp;"","")&amp;"␟"&amp;IFERROR(INDEX(PASTE_ALL,$DF50,6)&amp;"","")&amp;"␟"&amp;IFERROR(INDEX(PASTE_ALL,$DF50,7)&amp;"","")&amp;"␟"&amp;IFERROR(INDEX(PASTE_ALL,$DF50,8)&amp;"","")&amp;"␟"&amp;IFERROR(INDEX(PASTE_ALL,$DF50,9)&amp;"","")&amp;"␟"&amp;IFERROR(INDEX(PASTE_ALL,$DF50,10)&amp;"","")&amp;"␟"&amp;IFERROR(INDEX(PASTE_ALL,$DF50,11)&amp;"","")&amp;"␟"&amp;IFERROR(INDEX(PASTE_ALL,$DF50,12)&amp;"","")&amp;"␟"&amp;IFERROR(INDEX(PASTE_ALL,$DF50,13)&amp;"","")&amp;"␟"&amp;IFERROR(INDEX(PASTE_ALL,$DF50,14)&amp;"","")&amp;"␟"&amp;IFERROR(INDEX(PASTE_ALL,$DF50,15)&amp;"","")&amp;"␟"&amp;IFERROR(INDEX(PASTE_ALL,$DF50,16)&amp;"","")&amp;"␟"&amp;IFERROR(INDEX(PASTE_ALL,$DF50,17)&amp;"","")&amp;"␟"&amp;IFERROR(INDEX(PASTE_ALL,$DF50,18)&amp;"","")&amp;"␟"&amp;IFERROR(INDEX(PASTE_ALL,$DF50,19)&amp;"","")&amp;"␟"&amp;IFERROR(INDEX(PASTE_ALL,$DF50,20)&amp;"","")&amp;"␟"&amp;IFERROR(INDEX(PASTE_ALL,$DF50,21)&amp;"","")&amp;"␟"&amp;IFERROR(INDEX(PASTE_ALL,$DF50,22)&amp;"","")&amp;"␟"&amp;IFERROR(INDEX(PASTE_ALL,$DF50,23)&amp;"","")&amp;"␟"&amp;IFERROR(INDEX(PASTE_ALL,$DF50,24)&amp;"","")&amp;"␟"&amp;IFERROR(INDEX(PASTE_ALL,$DF50,25)&amp;"","")&amp;"␟"&amp;IFERROR(INDEX(PASTE_ALL,$DF50,26)&amp;"","")&amp;"␟"&amp;IFERROR(INDEX(PASTE_ALL,$DF50,27)&amp;"","")&amp;"␟"&amp;IFERROR(INDEX(PASTE_ALL,$DF50,28)&amp;"","")&amp;"␟"&amp;IFERROR(INDEX(PASTE_ALL,$DF50,29)&amp;"","")&amp;"␟"&amp;IFERROR(INDEX(PASTE_ALL,$DF50,30)&amp;"","")&amp;"␟"&amp;IFERROR(INDEX(PASTE_ALL,$DF50,31)&amp;"","")&amp;"␟"&amp;IFERROR(INDEX(PASTE_ALL,$DF50,32)&amp;"","")&amp;"␟"&amp;IFERROR(INDEX(PASTE_ALL,$DF50,33)&amp;"","")&amp;"␟"&amp;IFERROR(INDEX(PASTE_ALL,$DF50,34)&amp;"","")&amp;"␟"&amp;IFERROR(INDEX(PASTE_ALL,$DF50,35)&amp;"","")&amp;"␟"&amp;IFERROR(INDEX(PASTE_ALL,$DF50,36)&amp;"","")&amp;"␟"&amp;IFERROR(INDEX(PASTE_ALL,$DF50,37)&amp;"","")&amp;"␟"&amp;IFERROR(INDEX(PASTE_ALL,$DF50,38)&amp;"","")&amp;"␟"&amp;IFERROR(INDEX(PASTE_ALL,$DF50,39)&amp;"","")&amp;"␟"&amp;IFERROR(INDEX(PASTE_ALL,$DF50,40)&amp;"","")&amp;"␟"&amp;IFERROR(INDEX(PASTE_ALL,$DF50,41)&amp;"","")&amp;"␟"&amp;IFERROR(INDEX(PASTE_ALL,$DF50,42)&amp;"","")&amp;"␟"&amp;IFERROR(INDEX(PASTE_ALL,$DF50,43)&amp;"","")&amp;"␟"&amp;IFERROR(INDEX(PASTE_ALL,$DF50,44)&amp;"","")&amp;"␟"&amp;IFERROR(INDEX(PASTE_ALL,$DF50,45)&amp;"","")&amp;"␟"&amp;IFERROR(INDEX(PASTE_ALL,$DF50,46)&amp;"","")&amp;"␟"&amp;IFERROR(INDEX(PASTE_ALL,$DF50,47)&amp;"","")&amp;"␟"&amp;IFERROR(INDEX(PASTE_ALL,$DF50,48)&amp;"","")&amp;"␟"&amp;IFERROR(INDEX(PASTE_ALL,$DF50,49)&amp;"","")&amp;"␟"&amp;IFERROR(INDEX(PASTE_ALL,$DF50,50)&amp;"","")&amp;"␟"&amp;IFERROR(INDEX(PASTE_ALL,$DF50,51)&amp;"","")&amp;"␟"&amp;IFERROR(INDEX(PASTE_ALL,$DF50,52)&amp;"","")&amp;"␟"&amp;IFERROR(INDEX(PASTE_ALL,$DF50,53)&amp;"","")&amp;"␟"&amp;IFERROR(INDEX(PASTE_ALL,$DF50,54)&amp;"","")&amp;"␟"&amp;IFERROR(INDEX(PASTE_ALL,$DF50,55)&amp;"","")&amp;"␟"&amp;IFERROR(INDEX(PASTE_ALL,$DF50,56)&amp;"","")&amp;"␟"&amp;IFERROR(INDEX(PASTE_ALL,$DF50,57)&amp;"","")&amp;"␟"&amp;IFERROR(INDEX(PASTE_ALL,$DF50,58)&amp;"","")&amp;"␟"&amp;IFERROR(INDEX(PASTE_ALL,$DF50,59)&amp;"","")&amp;"␟"&amp;IFERROR(INDEX(PASTE_ALL,$DF50,60)&amp;"","")," "," "),CHAR(9)," "),CHAR(10)," "),CHAR(13)," "))," ␟","␟"),"␟ ","␟"),"#"&amp;$DE50),"")</f>
        <v/>
      </c>
      <c r="DJ50">
        <f>IF($DI50="",0,IF(SUMPRODUCT(--EXACT($DI$4:DI49,$DI50))&gt;0,1,0))</f>
        <v/>
      </c>
      <c r="DK50">
        <f>IF(AND($DI50&lt;&gt;"",$DJ50=0),1,0)</f>
        <v/>
      </c>
      <c r="DL50">
        <f>DL49+$DK50</f>
        <v/>
      </c>
      <c r="DM50">
        <f>IF(AND($DK50=1,$DL50&lt;=600),1,0)</f>
        <v/>
      </c>
      <c r="DN50">
        <f>IF($DM50=0,"",IF($L$6=0,"",IFERROR(IF(ISNUMBER(INDEX(PASTE_ALL,$DF50,$L$6)),INDEX(PASTE_ALL,$DF50,$L$6),TRIM(SUBSTITUTE(SUBSTITUTE(SUBSTITUTE(SUBSTITUTE(INDEX(PASTE_ALL,$DF50,$L$6)," "," "),CHAR(9)," "),CHAR(10)," "),CHAR(13)," "))),"")))</f>
        <v/>
      </c>
      <c r="DO50">
        <f>IF($DM50=0,"",IF($L$7=0,"",IFERROR(IF(ISNUMBER(INDEX(PASTE_ALL,$DF50,$L$7)),INDEX(PASTE_ALL,$DF50,$L$7),TRIM(SUBSTITUTE(SUBSTITUTE(SUBSTITUTE(SUBSTITUTE(INDEX(PASTE_ALL,$DF50,$L$7)," "," "),CHAR(9)," "),CHAR(10)," "),CHAR(13)," "))),"")))</f>
        <v/>
      </c>
      <c r="DP50">
        <f>IF($DM50=0,"",IF($L$8=0,"",IFERROR(IF(ISNUMBER(INDEX(PASTE_ALL,$DF50,$L$8)),INDEX(PASTE_ALL,$DF50,$L$8),TRIM(SUBSTITUTE(SUBSTITUTE(SUBSTITUTE(SUBSTITUTE(INDEX(PASTE_ALL,$DF50,$L$8)," "," "),CHAR(9)," "),CHAR(10)," "),CHAR(13)," "))),"")))</f>
        <v/>
      </c>
      <c r="DQ50">
        <f>IF($DM50=0,"",IF($L$9=0,"",IFERROR(IF(ISNUMBER(INDEX(PASTE_ALL,$DF50,$L$9)),INDEX(PASTE_ALL,$DF50,$L$9),TRIM(SUBSTITUTE(SUBSTITUTE(SUBSTITUTE(SUBSTITUTE(INDEX(PASTE_ALL,$DF50,$L$9)," "," "),CHAR(9)," "),CHAR(10)," "),CHAR(13)," "))),"")))</f>
        <v/>
      </c>
      <c r="DR50">
        <f>IF($DM50=0,"",IF($L$10=0,"",IFERROR(IF(ISNUMBER(INDEX(PASTE_ALL,$DF50,$L$10)),INDEX(PASTE_ALL,$DF50,$L$10),TRIM(SUBSTITUTE(SUBSTITUTE(SUBSTITUTE(SUBSTITUTE(INDEX(PASTE_ALL,$DF50,$L$10)," "," "),CHAR(9)," "),CHAR(10)," "),CHAR(13)," "))),"")))</f>
        <v/>
      </c>
      <c r="DS50">
        <f>IF($DM50=0,"",IF($L$11=0,"",IFERROR(IF(ISNUMBER(INDEX(PASTE_ALL,$DF50,$L$11)),INDEX(PASTE_ALL,$DF50,$L$11),TRIM(SUBSTITUTE(SUBSTITUTE(SUBSTITUTE(SUBSTITUTE(INDEX(PASTE_ALL,$DF50,$L$11)," "," "),CHAR(9)," "),CHAR(10)," "),CHAR(13)," "))),"")))</f>
        <v/>
      </c>
      <c r="DT50">
        <f>IF($DM50=0,"",IF($L$12=0,"",IFERROR(IF(ISNUMBER(INDEX(PASTE_ALL,$DF50,$L$12)),INDEX(PASTE_ALL,$DF50,$L$12),TRIM(SUBSTITUTE(SUBSTITUTE(SUBSTITUTE(SUBSTITUTE(INDEX(PASTE_ALL,$DF50,$L$12)," "," "),CHAR(9)," "),CHAR(10)," "),CHAR(13)," "))),"")))</f>
        <v/>
      </c>
      <c r="DU50">
        <f>IF($DM50=0,"",IF($L$13=0,"",IFERROR(IF(ISNUMBER(INDEX(PASTE_ALL,$DF50,$L$13)),INDEX(PASTE_ALL,$DF50,$L$13),TRIM(SUBSTITUTE(SUBSTITUTE(SUBSTITUTE(SUBSTITUTE(INDEX(PASTE_ALL,$DF50,$L$13)," "," "),CHAR(9)," "),CHAR(10)," "),CHAR(13)," "))),"")))</f>
        <v/>
      </c>
      <c r="DV50">
        <f>IF($DM50=0,"",IF($L$14=0,"",IFERROR(IF(ISNUMBER(INDEX(PASTE_ALL,$DF50,$L$14)),INDEX(PASTE_ALL,$DF50,$L$14),TRIM(SUBSTITUTE(SUBSTITUTE(SUBSTITUTE(SUBSTITUTE(INDEX(PASTE_ALL,$DF50,$L$14)," "," "),CHAR(9)," "),CHAR(10)," "),CHAR(13)," "))),"")))</f>
        <v/>
      </c>
      <c r="DW50">
        <f>IF($DM50=0,"",IF($L$15=0,"",IFERROR(IF(ISNUMBER(INDEX(PASTE_ALL,$DF50,$L$15)),INDEX(PASTE_ALL,$DF50,$L$15),IF(SUMPRODUCT(--ISNUMBER(FIND({"A","B","C","D","E","F","G","H","I","J","K","L","M","N","O","P","Q","R","S","T","U","V","W","X","Y","Z","0","1","2","3","4","5","6","7","8","9"},UPPER(TRIM(SUBSTITUTE(SUBSTITUTE(SUBSTITUTE(SUBSTITUTE(INDEX(PASTE_ALL,$DF50,$L$15)," "," "),CHAR(9)," "),CHAR(10)," "),CHAR(13)," "))))))&gt;0,TRIM(SUBSTITUTE(SUBSTITUTE(SUBSTITUTE(SUBSTITUTE(INDEX(PASTE_ALL,$DF50,$L$15)," "," "),CHAR(9)," "),CHAR(10)," "),CHAR(13)," ")),"")),"")))</f>
        <v/>
      </c>
      <c r="DX50">
        <f>IF($DM50=0,"",IF($L$16=0,"",IFERROR(IF(ISNUMBER(INDEX(PASTE_ALL,$DF50,$L$16)),INDEX(PASTE_ALL,$DF50,$L$16),SUBSTITUTE(SUBSTITUTE(TRIM(SUBSTITUTE(SUBSTITUTE(SUBSTITUTE(SUBSTITUTE(INDEX(PASTE_ALL,$DF50,$L$16)," "," "),CHAR(9)," "),CHAR(10)," "),CHAR(13)," ")),",",""),"%","")),"")))</f>
        <v/>
      </c>
      <c r="DY50">
        <f>IF($DM50=0,"",IFERROR(IF(ISNUMBER($DX50),$DX50,IF($DX50="","",IF(TRIM($DX50)="",0,IF(AND(AND(SUBSTITUTE(SUBSTITUTE(SUBSTITUTE(SUBSTITUTE(SUBSTITUTE(SUBSTITUTE(SUBSTITUTE(SUBSTITUTE(SUBSTITUTE(SUBSTITUTE(SUBSTITUTE(SUBSTITUTE(SUBSTITUTE(SUBSTITUTE(UPPER(TRIM($DX50)),"0",""),"1",""),"2",""),"3",""),"4",""),"5",""),"6",""),"7",""),"8",""),"9",""),".",""),"+",""),"-",""),"E","")="",LEN(SUBSTITUTE(SUBSTITUTE(MID(UPPER(TRIM($DX50)),1+OR(LEFT(UPPER(TRIM($DX50)),1)="+",LEFT(UPPER(TRIM($DX50)),1)="-"),999),"E+","E"),"E-","E"))=LEN(SUBSTITUTE(SUBSTITUTE(SUBSTITUTE(SUBSTITUTE(MID(UPPER(TRIM($DX50)),1+OR(LEFT(UPPER(TRIM($DX50)),1)="+",LEFT(UPPER(TRIM($DX50)),1)="-"),999),"E+","E"),"E-","E"),"+",""),"-","")),LEN(UPPER(TRIM($DX50)))-LEN(SUBSTITUTE(UPPER(TRIM($DX50)),"E",""))&lt;2,LEN(UPPER(TRIM($DX50)))-LEN(SUBSTITUTE(UPPER(TRIM($DX50)),".",""))&lt;2,IFERROR(FIND(".",UPPER(TRIM($DX50))),0)&lt;IFERROR(FIND("E",UPPER(TRIM($DX50))),999)),ISNUMBER(VALUE(TRIM($DX50)))),VALUE(TRIM($DX50)),"")))),""))</f>
        <v/>
      </c>
      <c r="DZ50">
        <f>IF($DM50=0,"",IF($L$17=0,"",IFERROR(IF(ISNUMBER(INDEX(PASTE_ALL,$DF50,$L$17)),INDEX(PASTE_ALL,$DF50,$L$17),SUBSTITUTE(SUBSTITUTE(TRIM(SUBSTITUTE(SUBSTITUTE(SUBSTITUTE(SUBSTITUTE(INDEX(PASTE_ALL,$DF50,$L$17)," "," "),CHAR(9)," "),CHAR(10)," "),CHAR(13)," ")),",",""),"%","")),"")))</f>
        <v/>
      </c>
      <c r="EA50">
        <f>IF($DM50=0,"",IFERROR(IF(ISNUMBER($DZ50),$DZ50,IF($DZ50="","",IF(TRIM($DZ50)="",0,IF(AND(AND(SUBSTITUTE(SUBSTITUTE(SUBSTITUTE(SUBSTITUTE(SUBSTITUTE(SUBSTITUTE(SUBSTITUTE(SUBSTITUTE(SUBSTITUTE(SUBSTITUTE(SUBSTITUTE(SUBSTITUTE(SUBSTITUTE(SUBSTITUTE(UPPER(TRIM($DZ50)),"0",""),"1",""),"2",""),"3",""),"4",""),"5",""),"6",""),"7",""),"8",""),"9",""),".",""),"+",""),"-",""),"E","")="",LEN(SUBSTITUTE(SUBSTITUTE(MID(UPPER(TRIM($DZ50)),1+OR(LEFT(UPPER(TRIM($DZ50)),1)="+",LEFT(UPPER(TRIM($DZ50)),1)="-"),999),"E+","E"),"E-","E"))=LEN(SUBSTITUTE(SUBSTITUTE(SUBSTITUTE(SUBSTITUTE(MID(UPPER(TRIM($DZ50)),1+OR(LEFT(UPPER(TRIM($DZ50)),1)="+",LEFT(UPPER(TRIM($DZ50)),1)="-"),999),"E+","E"),"E-","E"),"+",""),"-","")),LEN(UPPER(TRIM($DZ50)))-LEN(SUBSTITUTE(UPPER(TRIM($DZ50)),"E",""))&lt;2,LEN(UPPER(TRIM($DZ50)))-LEN(SUBSTITUTE(UPPER(TRIM($DZ50)),".",""))&lt;2,IFERROR(FIND(".",UPPER(TRIM($DZ50))),0)&lt;IFERROR(FIND("E",UPPER(TRIM($DZ50))),999)),ISNUMBER(VALUE(TRIM($DZ50)))),VALUE(TRIM($DZ50)),"")))),""))</f>
        <v/>
      </c>
      <c r="EB50">
        <f>IF($DM50=0,"",IF($L$18=0,"",IFERROR(IF(UPPER(TRIM(SUBSTITUTE(SUBSTITUTE(SUBSTITUTE(SUBSTITUTE(INDEX(PASTE_ALL,$DF50,$L$18)," "," "),CHAR(9)," "),CHAR(10)," "),CHAR(13)," ")))="READY","Ready",IF(UPPER(TRIM(SUBSTITUTE(SUBSTITUTE(SUBSTITUTE(SUBSTITUTE(INDEX(PASTE_ALL,$DF50,$L$18)," "," "),CHAR(9)," "),CHAR(10)," "),CHAR(13)," ")))="PM","PM",IF(OR(UPPER(TRIM(SUBSTITUTE(SUBSTITUTE(SUBSTITUTE(SUBSTITUTE(INDEX(PASTE_ALL,$DF50,$L$18)," "," "),CHAR(9)," "),CHAR(10)," "),CHAR(13)," ")))="OT",UPPER(TRIM(SUBSTITUTE(SUBSTITUTE(SUBSTITUTE(SUBSTITUTE(INDEX(PASTE_ALL,$DF50,$L$18)," "," "),CHAR(9)," "),CHAR(10)," "),CHAR(13)," ")))="OVERTIME",UPPER(TRIM(SUBSTITUTE(SUBSTITUTE(SUBSTITUTE(SUBSTITUTE(INDEX(PASTE_ALL,$DF50,$L$18)," "," "),CHAR(9)," "),CHAR(10)," "),CHAR(13)," ")))="TRIAL"),"OT",TRIM(SUBSTITUTE(SUBSTITUTE(SUBSTITUTE(SUBSTITUTE(INDEX(PASTE_ALL,$DF50,$L$18)," "," "),CHAR(9)," "),CHAR(10)," "),CHAR(13)," "))))),"")))</f>
        <v/>
      </c>
      <c r="EC50">
        <f>IF($DM50=0,"",IF($L$19=0,"",IFERROR(IF(ISNUMBER(INDEX(PASTE_ALL,$DF50,$L$19)),INDEX(PASTE_ALL,$DF50,$L$19),TRIM(SUBSTITUTE(SUBSTITUTE(SUBSTITUTE(SUBSTITUTE(INDEX(PASTE_ALL,$DF50,$L$19)," "," "),CHAR(9)," "),CHAR(10)," "),CHAR(13)," "))),"")))</f>
        <v/>
      </c>
      <c r="ED50">
        <f>IF($DM50=0,"",MATCH(1,INDEX(EXACT($DH$5:DH50,$DH50)*$DM$5:DM50,0),0))</f>
        <v/>
      </c>
      <c r="EE50">
        <f>IF($DM50=0,0,IF($ED50=$DE50,1,0))</f>
        <v/>
      </c>
      <c r="EF50">
        <f>EF49+$EE50</f>
        <v/>
      </c>
      <c r="EG50">
        <f>IF($DM50=0,"",INDEX($EF$5:$EF$1003,$ED50))</f>
        <v/>
      </c>
      <c r="EH50">
        <f>IF($DM50=0,"",IF($DO50&lt;&gt;"","",IFERROR(LOOKUP(2,1/(($EG$4:EG49=$EG50)*($DO$4:DO49&lt;&gt;"")),$DO$4:DO49),"")))</f>
        <v/>
      </c>
      <c r="EI50">
        <f>IF($DM50=0,"",IF($DO50&lt;&gt;"",$DO50,$EH50))</f>
        <v/>
      </c>
      <c r="EJ50">
        <f>IF($DM50=0,"",IF($EI50="",0,IF(OR(ISNUMBER($EI50),AND(AND(SUBSTITUTE(SUBSTITUTE(SUBSTITUTE(SUBSTITUTE(SUBSTITUTE(SUBSTITUTE(SUBSTITUTE(SUBSTITUTE(SUBSTITUTE(SUBSTITUTE(SUBSTITUTE(SUBSTITUTE(SUBSTITUTE(SUBSTITUTE(UPPER($EI50),"0",""),"1",""),"2",""),"3",""),"4",""),"5",""),"6",""),"7",""),"8",""),"9",""),".",""),"+",""),"-",""),"E","")="",LEN(SUBSTITUTE(SUBSTITUTE(MID(UPPER($EI50),1+OR(LEFT(UPPER($EI50),1)="+",LEFT(UPPER($EI50),1)="-"),999),"E+","E"),"E-","E"))=LEN(SUBSTITUTE(SUBSTITUTE(SUBSTITUTE(SUBSTITUTE(MID(UPPER($EI50),1+OR(LEFT(UPPER($EI50),1)="+",LEFT(UPPER($EI50),1)="-"),999),"E+","E"),"E-","E"),"+",""),"-","")),LEN(UPPER($EI50))-LEN(SUBSTITUTE(UPPER($EI50),"E",""))&lt;2,LEN(UPPER($EI50))-LEN(SUBSTITUTE(UPPER($EI50),".",""))&lt;2,IFERROR(FIND(".",UPPER($EI50)),0)&lt;IFERROR(FIND("E",UPPER($EI50)),999)),ISNUMBER(VALUE($EI50)))),1,2)))</f>
        <v/>
      </c>
      <c r="EK50">
        <f>IF($DM50=0,"",IF($EJ50=1,IF(ISNUMBER($EI50),$EI50,VALUE($EI50)),IF($EJ50=2,$DE50,0)))</f>
        <v/>
      </c>
      <c r="EL50">
        <f>IF($DM50=0,"",COUNTIF($EG$5:$EG$1003,"&lt;"&amp;$EG50)+SUMPRODUCT(($EG$5:$EG$1003=$EG50)*(($EJ$5:$EJ$1003&lt;$EJ50)+($EJ$5:$EJ$1003=$EJ50)*(($EK$5:$EK$1003&lt;$EK50)+($EK$5:$EK$1003=$EK50)*($DE$5:$DE$1003&lt;$DE50))))+1)</f>
        <v/>
      </c>
      <c r="EM50">
        <f>IF($DM50=0,"",$EL50+$EG50-1)</f>
        <v/>
      </c>
      <c r="EN50">
        <f>IF($DM50=0,0,IFERROR(MATCH(1,INDEX(--(TRIM(SUBSTITUTE(SUBSTITUTE(SUBSTITUTE(SUBSTITUTE(LINES_NAME&amp;""," "," "),CHAR(9)," "),CHAR(10)," "),CHAR(13)," "))=$DH50),0),0),0))</f>
        <v/>
      </c>
      <c r="EO50">
        <f>IF($EN50=0,0,IF(OR(UPPER(TRIM(INDEX(LINES_SCHEDULED,$EN50)&amp;""))="YES",UPPER(TRIM(INDEX(LINES_SCHEDULED,$EN50)&amp;""))="Y",UPPER(TRIM(INDEX(LINES_SCHEDULED,$EN50)&amp;""))="X"),1,0))</f>
        <v/>
      </c>
      <c r="EP50">
        <f>IF($DM50=0,"",IF(COUNTIFS($EG$5:$EG$1003,$EG50,$EB$5:$EB$1003,"Ready")&gt;0,"READY",IF(COUNTIFS($EG$5:$EG$1003,$EG50,$EB$5:$EB$1003,"PM")&gt;0,"PM",IF(COUNTIFS($EG$5:$EG$1003,$EG50,$EB$5:$EB$1003,"OT")&gt;0,"OT",""))))</f>
        <v/>
      </c>
      <c r="EQ50">
        <f>IF($EN50=0,"",UPPER(TRIM(INDEX(LINES_STATUS,$EN50)&amp;"")))</f>
        <v/>
      </c>
      <c r="ER50">
        <f>IF($DM50=0,"",IF(OR($EQ50="READY",$EQ50="PM",$EQ50="OT"),$EQ50,$EP50))</f>
        <v/>
      </c>
      <c r="ES50">
        <f>IF($DM50=0,"",IF(AND($DV50&lt;&gt;"",UPPER($DV50)&lt;&gt;"N"),"allergen",IF(ISNUMBER(SEARCH("oil",$DQ50)),"oil",IF(OR(EXACT($DS50,"A662"),EXACT($DS50,"A624")),"bulk",""))))</f>
        <v/>
      </c>
      <c r="ET50">
        <f>IF($DM50=0,"",IF(OR($EA50="",$EA50=0),"",$EA50/100))</f>
        <v/>
      </c>
      <c r="EU50">
        <f>IF(OR($ET50="",$DY50=""),"",INT($DY50*(1-$ET50)+0.5))</f>
        <v/>
      </c>
      <c r="EW50" t="n">
        <v>46</v>
      </c>
      <c r="EX50">
        <f>IFERROR(MATCH($EW50,$EM$5:$EM$1003,0),0)</f>
        <v/>
      </c>
      <c r="EY50">
        <f>IF($EW50&gt;$B$12,"",IF($EX50&gt;0,"row","spacer"))</f>
        <v/>
      </c>
      <c r="EZ50">
        <f>IF(AND($EY50="row",$EY49&lt;&gt;"row"),1,0)</f>
        <v/>
      </c>
      <c r="FA50">
        <f>IF(AND($EY50="row",$EY51&lt;&gt;"row"),1,0)</f>
        <v/>
      </c>
      <c r="FB50">
        <f>IF($EZ50=1,IFERROR(IF(ISNUMBER(INDEX(PASTE_ALL,INDEX($DF$5:$DF$1003,$EX50),$B$37)),INDEX(PASTE_ALL,INDEX($DF$5:$DF$1003,$EX50),$B$37),INDEX($DH$5:$DH$1003,$EX50)),INDEX($DH$5:$DH$1003,$EX50)),"")</f>
        <v/>
      </c>
      <c r="FC50">
        <f>IF($EY50="row",INDEX($ER$5:$ER$1003,$EX50),"")</f>
        <v/>
      </c>
      <c r="FD50">
        <f>IF($EY50="row",INDEX($DN$5:$DN$1003,$EX50),"")</f>
        <v/>
      </c>
      <c r="FE50">
        <f>IF($EY50="row",INDEX($DO$5:$DO$1003,$EX50),"")</f>
        <v/>
      </c>
      <c r="FF50">
        <f>IF($EY50="row",INDEX($DP$5:$DP$1003,$EX50),"")</f>
        <v/>
      </c>
      <c r="FG50">
        <f>IF($EY50="row",INDEX($DQ$5:$DQ$1003,$EX50),"")</f>
        <v/>
      </c>
      <c r="FH50">
        <f>IF($EY50="row",INDEX($DR$5:$DR$1003,$EX50),"")</f>
        <v/>
      </c>
      <c r="FI50">
        <f>IF($EY50="row",INDEX($DS$5:$DS$1003,$EX50),"")</f>
        <v/>
      </c>
      <c r="FJ50">
        <f>IF($EY50="row",INDEX($DT$5:$DT$1003,$EX50),"")</f>
        <v/>
      </c>
      <c r="FK50">
        <f>IF($EY50="row",INDEX($DU$5:$DU$1003,$EX50),"")</f>
        <v/>
      </c>
      <c r="FL50">
        <f>IF($EY50="row",INDEX($DV$5:$DV$1003,$EX50),"")</f>
        <v/>
      </c>
      <c r="FM50">
        <f>IF($EY50="row",INDEX($DW$5:$DW$1003,$EX50),"")</f>
        <v/>
      </c>
      <c r="FN50">
        <f>IF($EY50="row",INDEX($DY$5:$DY$1003,$EX50),"")</f>
        <v/>
      </c>
      <c r="FO50">
        <f>IF($EY50="row",INDEX($EA$5:$EA$1003,$EX50),"")</f>
        <v/>
      </c>
      <c r="FP50">
        <f>IF($EY50="row",INDEX($EC$5:$EC$1003,$EX50),"")</f>
        <v/>
      </c>
      <c r="FQ50">
        <f>IF($EY50="row",INDEX($ET$5:$ET$1003,$EX50),"")</f>
        <v/>
      </c>
      <c r="FR50">
        <f>IF($EY50="row",INDEX($EU$5:$EU$1003,$EX50),"")</f>
        <v/>
      </c>
      <c r="FS50">
        <f>IF(AND($EY50="row",$EY49="row"),IF(OR(INDEX($DT$5:$DT$1003,$EX49)="",INDEX($DT$5:$DT$1003,$EX50)=""),"",IF(NOT(EXACT(INDEX($DT$5:$DT$1003,$EX49),INDEX($DT$5:$DT$1003,$EX50))),"S4",IF(NOT(EXACT(INDEX($DS$5:$DS$1003,$EX49),INDEX($DS$5:$DS$1003,$EX50))),"S3",IF(NOT(EXACT(INDEX($DR$5:$DR$1003,$EX49),INDEX($DR$5:$DR$1003,$EX50))),"S1 Count Change","S1")))),"")</f>
        <v/>
      </c>
      <c r="FT50">
        <f>IF($EY50="row",INDEX($ES$5:$ES$1003,$EX50),"")</f>
        <v/>
      </c>
      <c r="FU50">
        <f>IF($EY50="row",INDEX($EO$5:$EO$1003,$EX50),0)</f>
        <v/>
      </c>
      <c r="FV50">
        <f>IF($FS50="S1 Count Change",1,0)</f>
        <v/>
      </c>
      <c r="FX50" t="n">
        <v>46</v>
      </c>
      <c r="FY50">
        <f>IFERROR(MATCH($FX50,$EF$5:$EF$1003,0),0)</f>
        <v/>
      </c>
      <c r="FZ50">
        <f>IF($FY50=0,"",INDEX($DH$5:$DH$1003,$FY50))</f>
        <v/>
      </c>
      <c r="GA50">
        <f>IF($FY50=0,"",COUNTIF($EG$5:$EG$1003,$FX50))</f>
        <v/>
      </c>
      <c r="GB50">
        <f>IF($FY50=0,"",INDEX($ER$5:$ER$1003,$FY50))</f>
        <v/>
      </c>
      <c r="GC50">
        <f>IF($FY50=0,"",IF(INDEX($EO$5:$EO$1003,$FY50)=1,"Yes",""))</f>
        <v/>
      </c>
      <c r="GD50">
        <f>IF($FY50=0,"",IF(INDEX($EN$5:$EN$1003,$FY50)&gt;0,"","NOT IN YOUR LIST - type it in column A to tick it"))</f>
        <v/>
      </c>
      <c r="GE50">
        <f>IF(AND($FY50&gt;0,$GD50&lt;&gt;""),1,0)</f>
        <v/>
      </c>
      <c r="GF50">
        <f>GF49+$GE50</f>
        <v/>
      </c>
      <c r="GG50">
        <f>IFERROR(INDEX($FZ$5:$FZ$104,MATCH($FX50,$GF$5:$GF$104,0)),"")</f>
        <v/>
      </c>
    </row>
    <row r="51">
      <c r="S51" t="n">
        <v>47</v>
      </c>
      <c r="T51" t="inlineStr">
        <is>
          <t>AU</t>
        </is>
      </c>
      <c r="V51" t="inlineStr">
        <is>
          <t>BULK</t>
        </is>
      </c>
      <c r="W51" t="n">
        <v>7</v>
      </c>
      <c r="Y51">
        <f>IFERROR(IF(ISNUMBER(INDEX(PASTE_ALL,2,1)),2,IF(TRIM(INDEX(PASTE_ALL,2,1))="",0,IF(AND(LEFT(MID(TRIM(INDEX(PASTE_ALL,2,1)),1+(LEFT(TRIM(INDEX(PASTE_ALL,2,1)),1)="-"),999),LEN(MID(TRIM(INDEX(PASTE_ALL,2,1)),1+(LEFT(TRIM(INDEX(PASTE_ALL,2,1)),1)="-"),999))-(RIGHT(MID(TRIM(INDEX(PASTE_ALL,2,1)),1+(LEFT(TRIM(INDEX(PASTE_ALL,2,1)),1)="-"),999),1)="%"))&lt;&gt;"",SUBSTITUTE(SUBSTITUTE(SUBSTITUTE(SUBSTITUTE(SUBSTITUTE(SUBSTITUTE(SUBSTITUTE(SUBSTITUTE(SUBSTITUTE(SUBSTITUTE(SUBSTITUTE(SUBSTITUTE(LEFT(MID(TRIM(INDEX(PASTE_ALL,2,1)),1+(LEFT(TRIM(INDEX(PASTE_ALL,2,1)),1)="-"),999),LEN(MID(TRIM(INDEX(PASTE_ALL,2,1)),1+(LEFT(TRIM(INDEX(PASTE_ALL,2,1)),1)="-"),999))-(RIGHT(MID(TRIM(INDEX(PASTE_ALL,2,1)),1+(LEFT(TRIM(INDEX(PASTE_ALL,2,1)),1)="-"),999),1)="%")),"0",""),"1",""),"2",""),"3",""),"4",""),"5",""),"6",""),"7",""),"8",""),"9",""),".",""),",","")=""),2,1))),1)</f>
        <v/>
      </c>
      <c r="Z51">
        <f>IFERROR(IF(ISNUMBER(INDEX(PASTE_ALL,2,2)),2,IF(TRIM(INDEX(PASTE_ALL,2,2))="",0,IF(AND(LEFT(MID(TRIM(INDEX(PASTE_ALL,2,2)),1+(LEFT(TRIM(INDEX(PASTE_ALL,2,2)),1)="-"),999),LEN(MID(TRIM(INDEX(PASTE_ALL,2,2)),1+(LEFT(TRIM(INDEX(PASTE_ALL,2,2)),1)="-"),999))-(RIGHT(MID(TRIM(INDEX(PASTE_ALL,2,2)),1+(LEFT(TRIM(INDEX(PASTE_ALL,2,2)),1)="-"),999),1)="%"))&lt;&gt;"",SUBSTITUTE(SUBSTITUTE(SUBSTITUTE(SUBSTITUTE(SUBSTITUTE(SUBSTITUTE(SUBSTITUTE(SUBSTITUTE(SUBSTITUTE(SUBSTITUTE(SUBSTITUTE(SUBSTITUTE(LEFT(MID(TRIM(INDEX(PASTE_ALL,2,2)),1+(LEFT(TRIM(INDEX(PASTE_ALL,2,2)),1)="-"),999),LEN(MID(TRIM(INDEX(PASTE_ALL,2,2)),1+(LEFT(TRIM(INDEX(PASTE_ALL,2,2)),1)="-"),999))-(RIGHT(MID(TRIM(INDEX(PASTE_ALL,2,2)),1+(LEFT(TRIM(INDEX(PASTE_ALL,2,2)),1)="-"),999),1)="%")),"0",""),"1",""),"2",""),"3",""),"4",""),"5",""),"6",""),"7",""),"8",""),"9",""),".",""),",","")=""),2,1))),1)</f>
        <v/>
      </c>
      <c r="AA51">
        <f>IFERROR(IF(ISNUMBER(INDEX(PASTE_ALL,2,3)),2,IF(TRIM(INDEX(PASTE_ALL,2,3))="",0,IF(AND(LEFT(MID(TRIM(INDEX(PASTE_ALL,2,3)),1+(LEFT(TRIM(INDEX(PASTE_ALL,2,3)),1)="-"),999),LEN(MID(TRIM(INDEX(PASTE_ALL,2,3)),1+(LEFT(TRIM(INDEX(PASTE_ALL,2,3)),1)="-"),999))-(RIGHT(MID(TRIM(INDEX(PASTE_ALL,2,3)),1+(LEFT(TRIM(INDEX(PASTE_ALL,2,3)),1)="-"),999),1)="%"))&lt;&gt;"",SUBSTITUTE(SUBSTITUTE(SUBSTITUTE(SUBSTITUTE(SUBSTITUTE(SUBSTITUTE(SUBSTITUTE(SUBSTITUTE(SUBSTITUTE(SUBSTITUTE(SUBSTITUTE(SUBSTITUTE(LEFT(MID(TRIM(INDEX(PASTE_ALL,2,3)),1+(LEFT(TRIM(INDEX(PASTE_ALL,2,3)),1)="-"),999),LEN(MID(TRIM(INDEX(PASTE_ALL,2,3)),1+(LEFT(TRIM(INDEX(PASTE_ALL,2,3)),1)="-"),999))-(RIGHT(MID(TRIM(INDEX(PASTE_ALL,2,3)),1+(LEFT(TRIM(INDEX(PASTE_ALL,2,3)),1)="-"),999),1)="%")),"0",""),"1",""),"2",""),"3",""),"4",""),"5",""),"6",""),"7",""),"8",""),"9",""),".",""),",","")=""),2,1))),1)</f>
        <v/>
      </c>
      <c r="AB51">
        <f>IFERROR(IF(ISNUMBER(INDEX(PASTE_ALL,2,4)),2,IF(TRIM(INDEX(PASTE_ALL,2,4))="",0,IF(AND(LEFT(MID(TRIM(INDEX(PASTE_ALL,2,4)),1+(LEFT(TRIM(INDEX(PASTE_ALL,2,4)),1)="-"),999),LEN(MID(TRIM(INDEX(PASTE_ALL,2,4)),1+(LEFT(TRIM(INDEX(PASTE_ALL,2,4)),1)="-"),999))-(RIGHT(MID(TRIM(INDEX(PASTE_ALL,2,4)),1+(LEFT(TRIM(INDEX(PASTE_ALL,2,4)),1)="-"),999),1)="%"))&lt;&gt;"",SUBSTITUTE(SUBSTITUTE(SUBSTITUTE(SUBSTITUTE(SUBSTITUTE(SUBSTITUTE(SUBSTITUTE(SUBSTITUTE(SUBSTITUTE(SUBSTITUTE(SUBSTITUTE(SUBSTITUTE(LEFT(MID(TRIM(INDEX(PASTE_ALL,2,4)),1+(LEFT(TRIM(INDEX(PASTE_ALL,2,4)),1)="-"),999),LEN(MID(TRIM(INDEX(PASTE_ALL,2,4)),1+(LEFT(TRIM(INDEX(PASTE_ALL,2,4)),1)="-"),999))-(RIGHT(MID(TRIM(INDEX(PASTE_ALL,2,4)),1+(LEFT(TRIM(INDEX(PASTE_ALL,2,4)),1)="-"),999),1)="%")),"0",""),"1",""),"2",""),"3",""),"4",""),"5",""),"6",""),"7",""),"8",""),"9",""),".",""),",","")=""),2,1))),1)</f>
        <v/>
      </c>
      <c r="AC51">
        <f>IFERROR(IF(ISNUMBER(INDEX(PASTE_ALL,2,5)),2,IF(TRIM(INDEX(PASTE_ALL,2,5))="",0,IF(AND(LEFT(MID(TRIM(INDEX(PASTE_ALL,2,5)),1+(LEFT(TRIM(INDEX(PASTE_ALL,2,5)),1)="-"),999),LEN(MID(TRIM(INDEX(PASTE_ALL,2,5)),1+(LEFT(TRIM(INDEX(PASTE_ALL,2,5)),1)="-"),999))-(RIGHT(MID(TRIM(INDEX(PASTE_ALL,2,5)),1+(LEFT(TRIM(INDEX(PASTE_ALL,2,5)),1)="-"),999),1)="%"))&lt;&gt;"",SUBSTITUTE(SUBSTITUTE(SUBSTITUTE(SUBSTITUTE(SUBSTITUTE(SUBSTITUTE(SUBSTITUTE(SUBSTITUTE(SUBSTITUTE(SUBSTITUTE(SUBSTITUTE(SUBSTITUTE(LEFT(MID(TRIM(INDEX(PASTE_ALL,2,5)),1+(LEFT(TRIM(INDEX(PASTE_ALL,2,5)),1)="-"),999),LEN(MID(TRIM(INDEX(PASTE_ALL,2,5)),1+(LEFT(TRIM(INDEX(PASTE_ALL,2,5)),1)="-"),999))-(RIGHT(MID(TRIM(INDEX(PASTE_ALL,2,5)),1+(LEFT(TRIM(INDEX(PASTE_ALL,2,5)),1)="-"),999),1)="%")),"0",""),"1",""),"2",""),"3",""),"4",""),"5",""),"6",""),"7",""),"8",""),"9",""),".",""),",","")=""),2,1))),1)</f>
        <v/>
      </c>
      <c r="AD51">
        <f>IFERROR(IF(ISNUMBER(INDEX(PASTE_ALL,2,6)),2,IF(TRIM(INDEX(PASTE_ALL,2,6))="",0,IF(AND(LEFT(MID(TRIM(INDEX(PASTE_ALL,2,6)),1+(LEFT(TRIM(INDEX(PASTE_ALL,2,6)),1)="-"),999),LEN(MID(TRIM(INDEX(PASTE_ALL,2,6)),1+(LEFT(TRIM(INDEX(PASTE_ALL,2,6)),1)="-"),999))-(RIGHT(MID(TRIM(INDEX(PASTE_ALL,2,6)),1+(LEFT(TRIM(INDEX(PASTE_ALL,2,6)),1)="-"),999),1)="%"))&lt;&gt;"",SUBSTITUTE(SUBSTITUTE(SUBSTITUTE(SUBSTITUTE(SUBSTITUTE(SUBSTITUTE(SUBSTITUTE(SUBSTITUTE(SUBSTITUTE(SUBSTITUTE(SUBSTITUTE(SUBSTITUTE(LEFT(MID(TRIM(INDEX(PASTE_ALL,2,6)),1+(LEFT(TRIM(INDEX(PASTE_ALL,2,6)),1)="-"),999),LEN(MID(TRIM(INDEX(PASTE_ALL,2,6)),1+(LEFT(TRIM(INDEX(PASTE_ALL,2,6)),1)="-"),999))-(RIGHT(MID(TRIM(INDEX(PASTE_ALL,2,6)),1+(LEFT(TRIM(INDEX(PASTE_ALL,2,6)),1)="-"),999),1)="%")),"0",""),"1",""),"2",""),"3",""),"4",""),"5",""),"6",""),"7",""),"8",""),"9",""),".",""),",","")=""),2,1))),1)</f>
        <v/>
      </c>
      <c r="AE51">
        <f>IFERROR(IF(ISNUMBER(INDEX(PASTE_ALL,2,7)),2,IF(TRIM(INDEX(PASTE_ALL,2,7))="",0,IF(AND(LEFT(MID(TRIM(INDEX(PASTE_ALL,2,7)),1+(LEFT(TRIM(INDEX(PASTE_ALL,2,7)),1)="-"),999),LEN(MID(TRIM(INDEX(PASTE_ALL,2,7)),1+(LEFT(TRIM(INDEX(PASTE_ALL,2,7)),1)="-"),999))-(RIGHT(MID(TRIM(INDEX(PASTE_ALL,2,7)),1+(LEFT(TRIM(INDEX(PASTE_ALL,2,7)),1)="-"),999),1)="%"))&lt;&gt;"",SUBSTITUTE(SUBSTITUTE(SUBSTITUTE(SUBSTITUTE(SUBSTITUTE(SUBSTITUTE(SUBSTITUTE(SUBSTITUTE(SUBSTITUTE(SUBSTITUTE(SUBSTITUTE(SUBSTITUTE(LEFT(MID(TRIM(INDEX(PASTE_ALL,2,7)),1+(LEFT(TRIM(INDEX(PASTE_ALL,2,7)),1)="-"),999),LEN(MID(TRIM(INDEX(PASTE_ALL,2,7)),1+(LEFT(TRIM(INDEX(PASTE_ALL,2,7)),1)="-"),999))-(RIGHT(MID(TRIM(INDEX(PASTE_ALL,2,7)),1+(LEFT(TRIM(INDEX(PASTE_ALL,2,7)),1)="-"),999),1)="%")),"0",""),"1",""),"2",""),"3",""),"4",""),"5",""),"6",""),"7",""),"8",""),"9",""),".",""),",","")=""),2,1))),1)</f>
        <v/>
      </c>
      <c r="AF51">
        <f>IFERROR(IF(ISNUMBER(INDEX(PASTE_ALL,2,8)),2,IF(TRIM(INDEX(PASTE_ALL,2,8))="",0,IF(AND(LEFT(MID(TRIM(INDEX(PASTE_ALL,2,8)),1+(LEFT(TRIM(INDEX(PASTE_ALL,2,8)),1)="-"),999),LEN(MID(TRIM(INDEX(PASTE_ALL,2,8)),1+(LEFT(TRIM(INDEX(PASTE_ALL,2,8)),1)="-"),999))-(RIGHT(MID(TRIM(INDEX(PASTE_ALL,2,8)),1+(LEFT(TRIM(INDEX(PASTE_ALL,2,8)),1)="-"),999),1)="%"))&lt;&gt;"",SUBSTITUTE(SUBSTITUTE(SUBSTITUTE(SUBSTITUTE(SUBSTITUTE(SUBSTITUTE(SUBSTITUTE(SUBSTITUTE(SUBSTITUTE(SUBSTITUTE(SUBSTITUTE(SUBSTITUTE(LEFT(MID(TRIM(INDEX(PASTE_ALL,2,8)),1+(LEFT(TRIM(INDEX(PASTE_ALL,2,8)),1)="-"),999),LEN(MID(TRIM(INDEX(PASTE_ALL,2,8)),1+(LEFT(TRIM(INDEX(PASTE_ALL,2,8)),1)="-"),999))-(RIGHT(MID(TRIM(INDEX(PASTE_ALL,2,8)),1+(LEFT(TRIM(INDEX(PASTE_ALL,2,8)),1)="-"),999),1)="%")),"0",""),"1",""),"2",""),"3",""),"4",""),"5",""),"6",""),"7",""),"8",""),"9",""),".",""),",","")=""),2,1))),1)</f>
        <v/>
      </c>
      <c r="AG51">
        <f>IFERROR(IF(ISNUMBER(INDEX(PASTE_ALL,2,9)),2,IF(TRIM(INDEX(PASTE_ALL,2,9))="",0,IF(AND(LEFT(MID(TRIM(INDEX(PASTE_ALL,2,9)),1+(LEFT(TRIM(INDEX(PASTE_ALL,2,9)),1)="-"),999),LEN(MID(TRIM(INDEX(PASTE_ALL,2,9)),1+(LEFT(TRIM(INDEX(PASTE_ALL,2,9)),1)="-"),999))-(RIGHT(MID(TRIM(INDEX(PASTE_ALL,2,9)),1+(LEFT(TRIM(INDEX(PASTE_ALL,2,9)),1)="-"),999),1)="%"))&lt;&gt;"",SUBSTITUTE(SUBSTITUTE(SUBSTITUTE(SUBSTITUTE(SUBSTITUTE(SUBSTITUTE(SUBSTITUTE(SUBSTITUTE(SUBSTITUTE(SUBSTITUTE(SUBSTITUTE(SUBSTITUTE(LEFT(MID(TRIM(INDEX(PASTE_ALL,2,9)),1+(LEFT(TRIM(INDEX(PASTE_ALL,2,9)),1)="-"),999),LEN(MID(TRIM(INDEX(PASTE_ALL,2,9)),1+(LEFT(TRIM(INDEX(PASTE_ALL,2,9)),1)="-"),999))-(RIGHT(MID(TRIM(INDEX(PASTE_ALL,2,9)),1+(LEFT(TRIM(INDEX(PASTE_ALL,2,9)),1)="-"),999),1)="%")),"0",""),"1",""),"2",""),"3",""),"4",""),"5",""),"6",""),"7",""),"8",""),"9",""),".",""),",","")=""),2,1))),1)</f>
        <v/>
      </c>
      <c r="AH51">
        <f>IFERROR(IF(ISNUMBER(INDEX(PASTE_ALL,2,10)),2,IF(TRIM(INDEX(PASTE_ALL,2,10))="",0,IF(AND(LEFT(MID(TRIM(INDEX(PASTE_ALL,2,10)),1+(LEFT(TRIM(INDEX(PASTE_ALL,2,10)),1)="-"),999),LEN(MID(TRIM(INDEX(PASTE_ALL,2,10)),1+(LEFT(TRIM(INDEX(PASTE_ALL,2,10)),1)="-"),999))-(RIGHT(MID(TRIM(INDEX(PASTE_ALL,2,10)),1+(LEFT(TRIM(INDEX(PASTE_ALL,2,10)),1)="-"),999),1)="%"))&lt;&gt;"",SUBSTITUTE(SUBSTITUTE(SUBSTITUTE(SUBSTITUTE(SUBSTITUTE(SUBSTITUTE(SUBSTITUTE(SUBSTITUTE(SUBSTITUTE(SUBSTITUTE(SUBSTITUTE(SUBSTITUTE(LEFT(MID(TRIM(INDEX(PASTE_ALL,2,10)),1+(LEFT(TRIM(INDEX(PASTE_ALL,2,10)),1)="-"),999),LEN(MID(TRIM(INDEX(PASTE_ALL,2,10)),1+(LEFT(TRIM(INDEX(PASTE_ALL,2,10)),1)="-"),999))-(RIGHT(MID(TRIM(INDEX(PASTE_ALL,2,10)),1+(LEFT(TRIM(INDEX(PASTE_ALL,2,10)),1)="-"),999),1)="%")),"0",""),"1",""),"2",""),"3",""),"4",""),"5",""),"6",""),"7",""),"8",""),"9",""),".",""),",","")=""),2,1))),1)</f>
        <v/>
      </c>
      <c r="AI51">
        <f>IFERROR(IF(ISNUMBER(INDEX(PASTE_ALL,2,11)),2,IF(TRIM(INDEX(PASTE_ALL,2,11))="",0,IF(AND(LEFT(MID(TRIM(INDEX(PASTE_ALL,2,11)),1+(LEFT(TRIM(INDEX(PASTE_ALL,2,11)),1)="-"),999),LEN(MID(TRIM(INDEX(PASTE_ALL,2,11)),1+(LEFT(TRIM(INDEX(PASTE_ALL,2,11)),1)="-"),999))-(RIGHT(MID(TRIM(INDEX(PASTE_ALL,2,11)),1+(LEFT(TRIM(INDEX(PASTE_ALL,2,11)),1)="-"),999),1)="%"))&lt;&gt;"",SUBSTITUTE(SUBSTITUTE(SUBSTITUTE(SUBSTITUTE(SUBSTITUTE(SUBSTITUTE(SUBSTITUTE(SUBSTITUTE(SUBSTITUTE(SUBSTITUTE(SUBSTITUTE(SUBSTITUTE(LEFT(MID(TRIM(INDEX(PASTE_ALL,2,11)),1+(LEFT(TRIM(INDEX(PASTE_ALL,2,11)),1)="-"),999),LEN(MID(TRIM(INDEX(PASTE_ALL,2,11)),1+(LEFT(TRIM(INDEX(PASTE_ALL,2,11)),1)="-"),999))-(RIGHT(MID(TRIM(INDEX(PASTE_ALL,2,11)),1+(LEFT(TRIM(INDEX(PASTE_ALL,2,11)),1)="-"),999),1)="%")),"0",""),"1",""),"2",""),"3",""),"4",""),"5",""),"6",""),"7",""),"8",""),"9",""),".",""),",","")=""),2,1))),1)</f>
        <v/>
      </c>
      <c r="AJ51">
        <f>IFERROR(IF(ISNUMBER(INDEX(PASTE_ALL,2,12)),2,IF(TRIM(INDEX(PASTE_ALL,2,12))="",0,IF(AND(LEFT(MID(TRIM(INDEX(PASTE_ALL,2,12)),1+(LEFT(TRIM(INDEX(PASTE_ALL,2,12)),1)="-"),999),LEN(MID(TRIM(INDEX(PASTE_ALL,2,12)),1+(LEFT(TRIM(INDEX(PASTE_ALL,2,12)),1)="-"),999))-(RIGHT(MID(TRIM(INDEX(PASTE_ALL,2,12)),1+(LEFT(TRIM(INDEX(PASTE_ALL,2,12)),1)="-"),999),1)="%"))&lt;&gt;"",SUBSTITUTE(SUBSTITUTE(SUBSTITUTE(SUBSTITUTE(SUBSTITUTE(SUBSTITUTE(SUBSTITUTE(SUBSTITUTE(SUBSTITUTE(SUBSTITUTE(SUBSTITUTE(SUBSTITUTE(LEFT(MID(TRIM(INDEX(PASTE_ALL,2,12)),1+(LEFT(TRIM(INDEX(PASTE_ALL,2,12)),1)="-"),999),LEN(MID(TRIM(INDEX(PASTE_ALL,2,12)),1+(LEFT(TRIM(INDEX(PASTE_ALL,2,12)),1)="-"),999))-(RIGHT(MID(TRIM(INDEX(PASTE_ALL,2,12)),1+(LEFT(TRIM(INDEX(PASTE_ALL,2,12)),1)="-"),999),1)="%")),"0",""),"1",""),"2",""),"3",""),"4",""),"5",""),"6",""),"7",""),"8",""),"9",""),".",""),",","")=""),2,1))),1)</f>
        <v/>
      </c>
      <c r="AK51">
        <f>IFERROR(IF(ISNUMBER(INDEX(PASTE_ALL,2,13)),2,IF(TRIM(INDEX(PASTE_ALL,2,13))="",0,IF(AND(LEFT(MID(TRIM(INDEX(PASTE_ALL,2,13)),1+(LEFT(TRIM(INDEX(PASTE_ALL,2,13)),1)="-"),999),LEN(MID(TRIM(INDEX(PASTE_ALL,2,13)),1+(LEFT(TRIM(INDEX(PASTE_ALL,2,13)),1)="-"),999))-(RIGHT(MID(TRIM(INDEX(PASTE_ALL,2,13)),1+(LEFT(TRIM(INDEX(PASTE_ALL,2,13)),1)="-"),999),1)="%"))&lt;&gt;"",SUBSTITUTE(SUBSTITUTE(SUBSTITUTE(SUBSTITUTE(SUBSTITUTE(SUBSTITUTE(SUBSTITUTE(SUBSTITUTE(SUBSTITUTE(SUBSTITUTE(SUBSTITUTE(SUBSTITUTE(LEFT(MID(TRIM(INDEX(PASTE_ALL,2,13)),1+(LEFT(TRIM(INDEX(PASTE_ALL,2,13)),1)="-"),999),LEN(MID(TRIM(INDEX(PASTE_ALL,2,13)),1+(LEFT(TRIM(INDEX(PASTE_ALL,2,13)),1)="-"),999))-(RIGHT(MID(TRIM(INDEX(PASTE_ALL,2,13)),1+(LEFT(TRIM(INDEX(PASTE_ALL,2,13)),1)="-"),999),1)="%")),"0",""),"1",""),"2",""),"3",""),"4",""),"5",""),"6",""),"7",""),"8",""),"9",""),".",""),",","")=""),2,1))),1)</f>
        <v/>
      </c>
      <c r="AL51">
        <f>IFERROR(IF(ISNUMBER(INDEX(PASTE_ALL,2,14)),2,IF(TRIM(INDEX(PASTE_ALL,2,14))="",0,IF(AND(LEFT(MID(TRIM(INDEX(PASTE_ALL,2,14)),1+(LEFT(TRIM(INDEX(PASTE_ALL,2,14)),1)="-"),999),LEN(MID(TRIM(INDEX(PASTE_ALL,2,14)),1+(LEFT(TRIM(INDEX(PASTE_ALL,2,14)),1)="-"),999))-(RIGHT(MID(TRIM(INDEX(PASTE_ALL,2,14)),1+(LEFT(TRIM(INDEX(PASTE_ALL,2,14)),1)="-"),999),1)="%"))&lt;&gt;"",SUBSTITUTE(SUBSTITUTE(SUBSTITUTE(SUBSTITUTE(SUBSTITUTE(SUBSTITUTE(SUBSTITUTE(SUBSTITUTE(SUBSTITUTE(SUBSTITUTE(SUBSTITUTE(SUBSTITUTE(LEFT(MID(TRIM(INDEX(PASTE_ALL,2,14)),1+(LEFT(TRIM(INDEX(PASTE_ALL,2,14)),1)="-"),999),LEN(MID(TRIM(INDEX(PASTE_ALL,2,14)),1+(LEFT(TRIM(INDEX(PASTE_ALL,2,14)),1)="-"),999))-(RIGHT(MID(TRIM(INDEX(PASTE_ALL,2,14)),1+(LEFT(TRIM(INDEX(PASTE_ALL,2,14)),1)="-"),999),1)="%")),"0",""),"1",""),"2",""),"3",""),"4",""),"5",""),"6",""),"7",""),"8",""),"9",""),".",""),",","")=""),2,1))),1)</f>
        <v/>
      </c>
      <c r="AM51">
        <f>IFERROR(IF(ISNUMBER(INDEX(PASTE_ALL,2,15)),2,IF(TRIM(INDEX(PASTE_ALL,2,15))="",0,IF(AND(LEFT(MID(TRIM(INDEX(PASTE_ALL,2,15)),1+(LEFT(TRIM(INDEX(PASTE_ALL,2,15)),1)="-"),999),LEN(MID(TRIM(INDEX(PASTE_ALL,2,15)),1+(LEFT(TRIM(INDEX(PASTE_ALL,2,15)),1)="-"),999))-(RIGHT(MID(TRIM(INDEX(PASTE_ALL,2,15)),1+(LEFT(TRIM(INDEX(PASTE_ALL,2,15)),1)="-"),999),1)="%"))&lt;&gt;"",SUBSTITUTE(SUBSTITUTE(SUBSTITUTE(SUBSTITUTE(SUBSTITUTE(SUBSTITUTE(SUBSTITUTE(SUBSTITUTE(SUBSTITUTE(SUBSTITUTE(SUBSTITUTE(SUBSTITUTE(LEFT(MID(TRIM(INDEX(PASTE_ALL,2,15)),1+(LEFT(TRIM(INDEX(PASTE_ALL,2,15)),1)="-"),999),LEN(MID(TRIM(INDEX(PASTE_ALL,2,15)),1+(LEFT(TRIM(INDEX(PASTE_ALL,2,15)),1)="-"),999))-(RIGHT(MID(TRIM(INDEX(PASTE_ALL,2,15)),1+(LEFT(TRIM(INDEX(PASTE_ALL,2,15)),1)="-"),999),1)="%")),"0",""),"1",""),"2",""),"3",""),"4",""),"5",""),"6",""),"7",""),"8",""),"9",""),".",""),",","")=""),2,1))),1)</f>
        <v/>
      </c>
      <c r="AN51">
        <f>IFERROR(IF(ISNUMBER(INDEX(PASTE_ALL,2,16)),2,IF(TRIM(INDEX(PASTE_ALL,2,16))="",0,IF(AND(LEFT(MID(TRIM(INDEX(PASTE_ALL,2,16)),1+(LEFT(TRIM(INDEX(PASTE_ALL,2,16)),1)="-"),999),LEN(MID(TRIM(INDEX(PASTE_ALL,2,16)),1+(LEFT(TRIM(INDEX(PASTE_ALL,2,16)),1)="-"),999))-(RIGHT(MID(TRIM(INDEX(PASTE_ALL,2,16)),1+(LEFT(TRIM(INDEX(PASTE_ALL,2,16)),1)="-"),999),1)="%"))&lt;&gt;"",SUBSTITUTE(SUBSTITUTE(SUBSTITUTE(SUBSTITUTE(SUBSTITUTE(SUBSTITUTE(SUBSTITUTE(SUBSTITUTE(SUBSTITUTE(SUBSTITUTE(SUBSTITUTE(SUBSTITUTE(LEFT(MID(TRIM(INDEX(PASTE_ALL,2,16)),1+(LEFT(TRIM(INDEX(PASTE_ALL,2,16)),1)="-"),999),LEN(MID(TRIM(INDEX(PASTE_ALL,2,16)),1+(LEFT(TRIM(INDEX(PASTE_ALL,2,16)),1)="-"),999))-(RIGHT(MID(TRIM(INDEX(PASTE_ALL,2,16)),1+(LEFT(TRIM(INDEX(PASTE_ALL,2,16)),1)="-"),999),1)="%")),"0",""),"1",""),"2",""),"3",""),"4",""),"5",""),"6",""),"7",""),"8",""),"9",""),".",""),",","")=""),2,1))),1)</f>
        <v/>
      </c>
      <c r="AO51">
        <f>IFERROR(IF(ISNUMBER(INDEX(PASTE_ALL,2,17)),2,IF(TRIM(INDEX(PASTE_ALL,2,17))="",0,IF(AND(LEFT(MID(TRIM(INDEX(PASTE_ALL,2,17)),1+(LEFT(TRIM(INDEX(PASTE_ALL,2,17)),1)="-"),999),LEN(MID(TRIM(INDEX(PASTE_ALL,2,17)),1+(LEFT(TRIM(INDEX(PASTE_ALL,2,17)),1)="-"),999))-(RIGHT(MID(TRIM(INDEX(PASTE_ALL,2,17)),1+(LEFT(TRIM(INDEX(PASTE_ALL,2,17)),1)="-"),999),1)="%"))&lt;&gt;"",SUBSTITUTE(SUBSTITUTE(SUBSTITUTE(SUBSTITUTE(SUBSTITUTE(SUBSTITUTE(SUBSTITUTE(SUBSTITUTE(SUBSTITUTE(SUBSTITUTE(SUBSTITUTE(SUBSTITUTE(LEFT(MID(TRIM(INDEX(PASTE_ALL,2,17)),1+(LEFT(TRIM(INDEX(PASTE_ALL,2,17)),1)="-"),999),LEN(MID(TRIM(INDEX(PASTE_ALL,2,17)),1+(LEFT(TRIM(INDEX(PASTE_ALL,2,17)),1)="-"),999))-(RIGHT(MID(TRIM(INDEX(PASTE_ALL,2,17)),1+(LEFT(TRIM(INDEX(PASTE_ALL,2,17)),1)="-"),999),1)="%")),"0",""),"1",""),"2",""),"3",""),"4",""),"5",""),"6",""),"7",""),"8",""),"9",""),".",""),",","")=""),2,1))),1)</f>
        <v/>
      </c>
      <c r="AP51">
        <f>IFERROR(IF(ISNUMBER(INDEX(PASTE_ALL,2,18)),2,IF(TRIM(INDEX(PASTE_ALL,2,18))="",0,IF(AND(LEFT(MID(TRIM(INDEX(PASTE_ALL,2,18)),1+(LEFT(TRIM(INDEX(PASTE_ALL,2,18)),1)="-"),999),LEN(MID(TRIM(INDEX(PASTE_ALL,2,18)),1+(LEFT(TRIM(INDEX(PASTE_ALL,2,18)),1)="-"),999))-(RIGHT(MID(TRIM(INDEX(PASTE_ALL,2,18)),1+(LEFT(TRIM(INDEX(PASTE_ALL,2,18)),1)="-"),999),1)="%"))&lt;&gt;"",SUBSTITUTE(SUBSTITUTE(SUBSTITUTE(SUBSTITUTE(SUBSTITUTE(SUBSTITUTE(SUBSTITUTE(SUBSTITUTE(SUBSTITUTE(SUBSTITUTE(SUBSTITUTE(SUBSTITUTE(LEFT(MID(TRIM(INDEX(PASTE_ALL,2,18)),1+(LEFT(TRIM(INDEX(PASTE_ALL,2,18)),1)="-"),999),LEN(MID(TRIM(INDEX(PASTE_ALL,2,18)),1+(LEFT(TRIM(INDEX(PASTE_ALL,2,18)),1)="-"),999))-(RIGHT(MID(TRIM(INDEX(PASTE_ALL,2,18)),1+(LEFT(TRIM(INDEX(PASTE_ALL,2,18)),1)="-"),999),1)="%")),"0",""),"1",""),"2",""),"3",""),"4",""),"5",""),"6",""),"7",""),"8",""),"9",""),".",""),",","")=""),2,1))),1)</f>
        <v/>
      </c>
      <c r="AQ51">
        <f>IFERROR(IF(ISNUMBER(INDEX(PASTE_ALL,2,19)),2,IF(TRIM(INDEX(PASTE_ALL,2,19))="",0,IF(AND(LEFT(MID(TRIM(INDEX(PASTE_ALL,2,19)),1+(LEFT(TRIM(INDEX(PASTE_ALL,2,19)),1)="-"),999),LEN(MID(TRIM(INDEX(PASTE_ALL,2,19)),1+(LEFT(TRIM(INDEX(PASTE_ALL,2,19)),1)="-"),999))-(RIGHT(MID(TRIM(INDEX(PASTE_ALL,2,19)),1+(LEFT(TRIM(INDEX(PASTE_ALL,2,19)),1)="-"),999),1)="%"))&lt;&gt;"",SUBSTITUTE(SUBSTITUTE(SUBSTITUTE(SUBSTITUTE(SUBSTITUTE(SUBSTITUTE(SUBSTITUTE(SUBSTITUTE(SUBSTITUTE(SUBSTITUTE(SUBSTITUTE(SUBSTITUTE(LEFT(MID(TRIM(INDEX(PASTE_ALL,2,19)),1+(LEFT(TRIM(INDEX(PASTE_ALL,2,19)),1)="-"),999),LEN(MID(TRIM(INDEX(PASTE_ALL,2,19)),1+(LEFT(TRIM(INDEX(PASTE_ALL,2,19)),1)="-"),999))-(RIGHT(MID(TRIM(INDEX(PASTE_ALL,2,19)),1+(LEFT(TRIM(INDEX(PASTE_ALL,2,19)),1)="-"),999),1)="%")),"0",""),"1",""),"2",""),"3",""),"4",""),"5",""),"6",""),"7",""),"8",""),"9",""),".",""),",","")=""),2,1))),1)</f>
        <v/>
      </c>
      <c r="AR51">
        <f>IFERROR(IF(ISNUMBER(INDEX(PASTE_ALL,2,20)),2,IF(TRIM(INDEX(PASTE_ALL,2,20))="",0,IF(AND(LEFT(MID(TRIM(INDEX(PASTE_ALL,2,20)),1+(LEFT(TRIM(INDEX(PASTE_ALL,2,20)),1)="-"),999),LEN(MID(TRIM(INDEX(PASTE_ALL,2,20)),1+(LEFT(TRIM(INDEX(PASTE_ALL,2,20)),1)="-"),999))-(RIGHT(MID(TRIM(INDEX(PASTE_ALL,2,20)),1+(LEFT(TRIM(INDEX(PASTE_ALL,2,20)),1)="-"),999),1)="%"))&lt;&gt;"",SUBSTITUTE(SUBSTITUTE(SUBSTITUTE(SUBSTITUTE(SUBSTITUTE(SUBSTITUTE(SUBSTITUTE(SUBSTITUTE(SUBSTITUTE(SUBSTITUTE(SUBSTITUTE(SUBSTITUTE(LEFT(MID(TRIM(INDEX(PASTE_ALL,2,20)),1+(LEFT(TRIM(INDEX(PASTE_ALL,2,20)),1)="-"),999),LEN(MID(TRIM(INDEX(PASTE_ALL,2,20)),1+(LEFT(TRIM(INDEX(PASTE_ALL,2,20)),1)="-"),999))-(RIGHT(MID(TRIM(INDEX(PASTE_ALL,2,20)),1+(LEFT(TRIM(INDEX(PASTE_ALL,2,20)),1)="-"),999),1)="%")),"0",""),"1",""),"2",""),"3",""),"4",""),"5",""),"6",""),"7",""),"8",""),"9",""),".",""),",","")=""),2,1))),1)</f>
        <v/>
      </c>
      <c r="AS51">
        <f>IFERROR(IF(ISNUMBER(INDEX(PASTE_ALL,2,21)),2,IF(TRIM(INDEX(PASTE_ALL,2,21))="",0,IF(AND(LEFT(MID(TRIM(INDEX(PASTE_ALL,2,21)),1+(LEFT(TRIM(INDEX(PASTE_ALL,2,21)),1)="-"),999),LEN(MID(TRIM(INDEX(PASTE_ALL,2,21)),1+(LEFT(TRIM(INDEX(PASTE_ALL,2,21)),1)="-"),999))-(RIGHT(MID(TRIM(INDEX(PASTE_ALL,2,21)),1+(LEFT(TRIM(INDEX(PASTE_ALL,2,21)),1)="-"),999),1)="%"))&lt;&gt;"",SUBSTITUTE(SUBSTITUTE(SUBSTITUTE(SUBSTITUTE(SUBSTITUTE(SUBSTITUTE(SUBSTITUTE(SUBSTITUTE(SUBSTITUTE(SUBSTITUTE(SUBSTITUTE(SUBSTITUTE(LEFT(MID(TRIM(INDEX(PASTE_ALL,2,21)),1+(LEFT(TRIM(INDEX(PASTE_ALL,2,21)),1)="-"),999),LEN(MID(TRIM(INDEX(PASTE_ALL,2,21)),1+(LEFT(TRIM(INDEX(PASTE_ALL,2,21)),1)="-"),999))-(RIGHT(MID(TRIM(INDEX(PASTE_ALL,2,21)),1+(LEFT(TRIM(INDEX(PASTE_ALL,2,21)),1)="-"),999),1)="%")),"0",""),"1",""),"2",""),"3",""),"4",""),"5",""),"6",""),"7",""),"8",""),"9",""),".",""),",","")=""),2,1))),1)</f>
        <v/>
      </c>
      <c r="AT51">
        <f>IFERROR(IF(ISNUMBER(INDEX(PASTE_ALL,2,22)),2,IF(TRIM(INDEX(PASTE_ALL,2,22))="",0,IF(AND(LEFT(MID(TRIM(INDEX(PASTE_ALL,2,22)),1+(LEFT(TRIM(INDEX(PASTE_ALL,2,22)),1)="-"),999),LEN(MID(TRIM(INDEX(PASTE_ALL,2,22)),1+(LEFT(TRIM(INDEX(PASTE_ALL,2,22)),1)="-"),999))-(RIGHT(MID(TRIM(INDEX(PASTE_ALL,2,22)),1+(LEFT(TRIM(INDEX(PASTE_ALL,2,22)),1)="-"),999),1)="%"))&lt;&gt;"",SUBSTITUTE(SUBSTITUTE(SUBSTITUTE(SUBSTITUTE(SUBSTITUTE(SUBSTITUTE(SUBSTITUTE(SUBSTITUTE(SUBSTITUTE(SUBSTITUTE(SUBSTITUTE(SUBSTITUTE(LEFT(MID(TRIM(INDEX(PASTE_ALL,2,22)),1+(LEFT(TRIM(INDEX(PASTE_ALL,2,22)),1)="-"),999),LEN(MID(TRIM(INDEX(PASTE_ALL,2,22)),1+(LEFT(TRIM(INDEX(PASTE_ALL,2,22)),1)="-"),999))-(RIGHT(MID(TRIM(INDEX(PASTE_ALL,2,22)),1+(LEFT(TRIM(INDEX(PASTE_ALL,2,22)),1)="-"),999),1)="%")),"0",""),"1",""),"2",""),"3",""),"4",""),"5",""),"6",""),"7",""),"8",""),"9",""),".",""),",","")=""),2,1))),1)</f>
        <v/>
      </c>
      <c r="AU51">
        <f>IFERROR(IF(ISNUMBER(INDEX(PASTE_ALL,2,23)),2,IF(TRIM(INDEX(PASTE_ALL,2,23))="",0,IF(AND(LEFT(MID(TRIM(INDEX(PASTE_ALL,2,23)),1+(LEFT(TRIM(INDEX(PASTE_ALL,2,23)),1)="-"),999),LEN(MID(TRIM(INDEX(PASTE_ALL,2,23)),1+(LEFT(TRIM(INDEX(PASTE_ALL,2,23)),1)="-"),999))-(RIGHT(MID(TRIM(INDEX(PASTE_ALL,2,23)),1+(LEFT(TRIM(INDEX(PASTE_ALL,2,23)),1)="-"),999),1)="%"))&lt;&gt;"",SUBSTITUTE(SUBSTITUTE(SUBSTITUTE(SUBSTITUTE(SUBSTITUTE(SUBSTITUTE(SUBSTITUTE(SUBSTITUTE(SUBSTITUTE(SUBSTITUTE(SUBSTITUTE(SUBSTITUTE(LEFT(MID(TRIM(INDEX(PASTE_ALL,2,23)),1+(LEFT(TRIM(INDEX(PASTE_ALL,2,23)),1)="-"),999),LEN(MID(TRIM(INDEX(PASTE_ALL,2,23)),1+(LEFT(TRIM(INDEX(PASTE_ALL,2,23)),1)="-"),999))-(RIGHT(MID(TRIM(INDEX(PASTE_ALL,2,23)),1+(LEFT(TRIM(INDEX(PASTE_ALL,2,23)),1)="-"),999),1)="%")),"0",""),"1",""),"2",""),"3",""),"4",""),"5",""),"6",""),"7",""),"8",""),"9",""),".",""),",","")=""),2,1))),1)</f>
        <v/>
      </c>
      <c r="AV51">
        <f>IFERROR(IF(ISNUMBER(INDEX(PASTE_ALL,2,24)),2,IF(TRIM(INDEX(PASTE_ALL,2,24))="",0,IF(AND(LEFT(MID(TRIM(INDEX(PASTE_ALL,2,24)),1+(LEFT(TRIM(INDEX(PASTE_ALL,2,24)),1)="-"),999),LEN(MID(TRIM(INDEX(PASTE_ALL,2,24)),1+(LEFT(TRIM(INDEX(PASTE_ALL,2,24)),1)="-"),999))-(RIGHT(MID(TRIM(INDEX(PASTE_ALL,2,24)),1+(LEFT(TRIM(INDEX(PASTE_ALL,2,24)),1)="-"),999),1)="%"))&lt;&gt;"",SUBSTITUTE(SUBSTITUTE(SUBSTITUTE(SUBSTITUTE(SUBSTITUTE(SUBSTITUTE(SUBSTITUTE(SUBSTITUTE(SUBSTITUTE(SUBSTITUTE(SUBSTITUTE(SUBSTITUTE(LEFT(MID(TRIM(INDEX(PASTE_ALL,2,24)),1+(LEFT(TRIM(INDEX(PASTE_ALL,2,24)),1)="-"),999),LEN(MID(TRIM(INDEX(PASTE_ALL,2,24)),1+(LEFT(TRIM(INDEX(PASTE_ALL,2,24)),1)="-"),999))-(RIGHT(MID(TRIM(INDEX(PASTE_ALL,2,24)),1+(LEFT(TRIM(INDEX(PASTE_ALL,2,24)),1)="-"),999),1)="%")),"0",""),"1",""),"2",""),"3",""),"4",""),"5",""),"6",""),"7",""),"8",""),"9",""),".",""),",","")=""),2,1))),1)</f>
        <v/>
      </c>
      <c r="AW51">
        <f>IFERROR(IF(ISNUMBER(INDEX(PASTE_ALL,2,25)),2,IF(TRIM(INDEX(PASTE_ALL,2,25))="",0,IF(AND(LEFT(MID(TRIM(INDEX(PASTE_ALL,2,25)),1+(LEFT(TRIM(INDEX(PASTE_ALL,2,25)),1)="-"),999),LEN(MID(TRIM(INDEX(PASTE_ALL,2,25)),1+(LEFT(TRIM(INDEX(PASTE_ALL,2,25)),1)="-"),999))-(RIGHT(MID(TRIM(INDEX(PASTE_ALL,2,25)),1+(LEFT(TRIM(INDEX(PASTE_ALL,2,25)),1)="-"),999),1)="%"))&lt;&gt;"",SUBSTITUTE(SUBSTITUTE(SUBSTITUTE(SUBSTITUTE(SUBSTITUTE(SUBSTITUTE(SUBSTITUTE(SUBSTITUTE(SUBSTITUTE(SUBSTITUTE(SUBSTITUTE(SUBSTITUTE(LEFT(MID(TRIM(INDEX(PASTE_ALL,2,25)),1+(LEFT(TRIM(INDEX(PASTE_ALL,2,25)),1)="-"),999),LEN(MID(TRIM(INDEX(PASTE_ALL,2,25)),1+(LEFT(TRIM(INDEX(PASTE_ALL,2,25)),1)="-"),999))-(RIGHT(MID(TRIM(INDEX(PASTE_ALL,2,25)),1+(LEFT(TRIM(INDEX(PASTE_ALL,2,25)),1)="-"),999),1)="%")),"0",""),"1",""),"2",""),"3",""),"4",""),"5",""),"6",""),"7",""),"8",""),"9",""),".",""),",","")=""),2,1))),1)</f>
        <v/>
      </c>
      <c r="AX51">
        <f>IFERROR(IF(ISNUMBER(INDEX(PASTE_ALL,2,26)),2,IF(TRIM(INDEX(PASTE_ALL,2,26))="",0,IF(AND(LEFT(MID(TRIM(INDEX(PASTE_ALL,2,26)),1+(LEFT(TRIM(INDEX(PASTE_ALL,2,26)),1)="-"),999),LEN(MID(TRIM(INDEX(PASTE_ALL,2,26)),1+(LEFT(TRIM(INDEX(PASTE_ALL,2,26)),1)="-"),999))-(RIGHT(MID(TRIM(INDEX(PASTE_ALL,2,26)),1+(LEFT(TRIM(INDEX(PASTE_ALL,2,26)),1)="-"),999),1)="%"))&lt;&gt;"",SUBSTITUTE(SUBSTITUTE(SUBSTITUTE(SUBSTITUTE(SUBSTITUTE(SUBSTITUTE(SUBSTITUTE(SUBSTITUTE(SUBSTITUTE(SUBSTITUTE(SUBSTITUTE(SUBSTITUTE(LEFT(MID(TRIM(INDEX(PASTE_ALL,2,26)),1+(LEFT(TRIM(INDEX(PASTE_ALL,2,26)),1)="-"),999),LEN(MID(TRIM(INDEX(PASTE_ALL,2,26)),1+(LEFT(TRIM(INDEX(PASTE_ALL,2,26)),1)="-"),999))-(RIGHT(MID(TRIM(INDEX(PASTE_ALL,2,26)),1+(LEFT(TRIM(INDEX(PASTE_ALL,2,26)),1)="-"),999),1)="%")),"0",""),"1",""),"2",""),"3",""),"4",""),"5",""),"6",""),"7",""),"8",""),"9",""),".",""),",","")=""),2,1))),1)</f>
        <v/>
      </c>
      <c r="AY51">
        <f>IFERROR(IF(ISNUMBER(INDEX(PASTE_ALL,2,27)),2,IF(TRIM(INDEX(PASTE_ALL,2,27))="",0,IF(AND(LEFT(MID(TRIM(INDEX(PASTE_ALL,2,27)),1+(LEFT(TRIM(INDEX(PASTE_ALL,2,27)),1)="-"),999),LEN(MID(TRIM(INDEX(PASTE_ALL,2,27)),1+(LEFT(TRIM(INDEX(PASTE_ALL,2,27)),1)="-"),999))-(RIGHT(MID(TRIM(INDEX(PASTE_ALL,2,27)),1+(LEFT(TRIM(INDEX(PASTE_ALL,2,27)),1)="-"),999),1)="%"))&lt;&gt;"",SUBSTITUTE(SUBSTITUTE(SUBSTITUTE(SUBSTITUTE(SUBSTITUTE(SUBSTITUTE(SUBSTITUTE(SUBSTITUTE(SUBSTITUTE(SUBSTITUTE(SUBSTITUTE(SUBSTITUTE(LEFT(MID(TRIM(INDEX(PASTE_ALL,2,27)),1+(LEFT(TRIM(INDEX(PASTE_ALL,2,27)),1)="-"),999),LEN(MID(TRIM(INDEX(PASTE_ALL,2,27)),1+(LEFT(TRIM(INDEX(PASTE_ALL,2,27)),1)="-"),999))-(RIGHT(MID(TRIM(INDEX(PASTE_ALL,2,27)),1+(LEFT(TRIM(INDEX(PASTE_ALL,2,27)),1)="-"),999),1)="%")),"0",""),"1",""),"2",""),"3",""),"4",""),"5",""),"6",""),"7",""),"8",""),"9",""),".",""),",","")=""),2,1))),1)</f>
        <v/>
      </c>
      <c r="AZ51">
        <f>IFERROR(IF(ISNUMBER(INDEX(PASTE_ALL,2,28)),2,IF(TRIM(INDEX(PASTE_ALL,2,28))="",0,IF(AND(LEFT(MID(TRIM(INDEX(PASTE_ALL,2,28)),1+(LEFT(TRIM(INDEX(PASTE_ALL,2,28)),1)="-"),999),LEN(MID(TRIM(INDEX(PASTE_ALL,2,28)),1+(LEFT(TRIM(INDEX(PASTE_ALL,2,28)),1)="-"),999))-(RIGHT(MID(TRIM(INDEX(PASTE_ALL,2,28)),1+(LEFT(TRIM(INDEX(PASTE_ALL,2,28)),1)="-"),999),1)="%"))&lt;&gt;"",SUBSTITUTE(SUBSTITUTE(SUBSTITUTE(SUBSTITUTE(SUBSTITUTE(SUBSTITUTE(SUBSTITUTE(SUBSTITUTE(SUBSTITUTE(SUBSTITUTE(SUBSTITUTE(SUBSTITUTE(LEFT(MID(TRIM(INDEX(PASTE_ALL,2,28)),1+(LEFT(TRIM(INDEX(PASTE_ALL,2,28)),1)="-"),999),LEN(MID(TRIM(INDEX(PASTE_ALL,2,28)),1+(LEFT(TRIM(INDEX(PASTE_ALL,2,28)),1)="-"),999))-(RIGHT(MID(TRIM(INDEX(PASTE_ALL,2,28)),1+(LEFT(TRIM(INDEX(PASTE_ALL,2,28)),1)="-"),999),1)="%")),"0",""),"1",""),"2",""),"3",""),"4",""),"5",""),"6",""),"7",""),"8",""),"9",""),".",""),",","")=""),2,1))),1)</f>
        <v/>
      </c>
      <c r="BA51">
        <f>IFERROR(IF(ISNUMBER(INDEX(PASTE_ALL,2,29)),2,IF(TRIM(INDEX(PASTE_ALL,2,29))="",0,IF(AND(LEFT(MID(TRIM(INDEX(PASTE_ALL,2,29)),1+(LEFT(TRIM(INDEX(PASTE_ALL,2,29)),1)="-"),999),LEN(MID(TRIM(INDEX(PASTE_ALL,2,29)),1+(LEFT(TRIM(INDEX(PASTE_ALL,2,29)),1)="-"),999))-(RIGHT(MID(TRIM(INDEX(PASTE_ALL,2,29)),1+(LEFT(TRIM(INDEX(PASTE_ALL,2,29)),1)="-"),999),1)="%"))&lt;&gt;"",SUBSTITUTE(SUBSTITUTE(SUBSTITUTE(SUBSTITUTE(SUBSTITUTE(SUBSTITUTE(SUBSTITUTE(SUBSTITUTE(SUBSTITUTE(SUBSTITUTE(SUBSTITUTE(SUBSTITUTE(LEFT(MID(TRIM(INDEX(PASTE_ALL,2,29)),1+(LEFT(TRIM(INDEX(PASTE_ALL,2,29)),1)="-"),999),LEN(MID(TRIM(INDEX(PASTE_ALL,2,29)),1+(LEFT(TRIM(INDEX(PASTE_ALL,2,29)),1)="-"),999))-(RIGHT(MID(TRIM(INDEX(PASTE_ALL,2,29)),1+(LEFT(TRIM(INDEX(PASTE_ALL,2,29)),1)="-"),999),1)="%")),"0",""),"1",""),"2",""),"3",""),"4",""),"5",""),"6",""),"7",""),"8",""),"9",""),".",""),",","")=""),2,1))),1)</f>
        <v/>
      </c>
      <c r="BB51">
        <f>IFERROR(IF(ISNUMBER(INDEX(PASTE_ALL,2,30)),2,IF(TRIM(INDEX(PASTE_ALL,2,30))="",0,IF(AND(LEFT(MID(TRIM(INDEX(PASTE_ALL,2,30)),1+(LEFT(TRIM(INDEX(PASTE_ALL,2,30)),1)="-"),999),LEN(MID(TRIM(INDEX(PASTE_ALL,2,30)),1+(LEFT(TRIM(INDEX(PASTE_ALL,2,30)),1)="-"),999))-(RIGHT(MID(TRIM(INDEX(PASTE_ALL,2,30)),1+(LEFT(TRIM(INDEX(PASTE_ALL,2,30)),1)="-"),999),1)="%"))&lt;&gt;"",SUBSTITUTE(SUBSTITUTE(SUBSTITUTE(SUBSTITUTE(SUBSTITUTE(SUBSTITUTE(SUBSTITUTE(SUBSTITUTE(SUBSTITUTE(SUBSTITUTE(SUBSTITUTE(SUBSTITUTE(LEFT(MID(TRIM(INDEX(PASTE_ALL,2,30)),1+(LEFT(TRIM(INDEX(PASTE_ALL,2,30)),1)="-"),999),LEN(MID(TRIM(INDEX(PASTE_ALL,2,30)),1+(LEFT(TRIM(INDEX(PASTE_ALL,2,30)),1)="-"),999))-(RIGHT(MID(TRIM(INDEX(PASTE_ALL,2,30)),1+(LEFT(TRIM(INDEX(PASTE_ALL,2,30)),1)="-"),999),1)="%")),"0",""),"1",""),"2",""),"3",""),"4",""),"5",""),"6",""),"7",""),"8",""),"9",""),".",""),",","")=""),2,1))),1)</f>
        <v/>
      </c>
      <c r="BC51">
        <f>IFERROR(IF(ISNUMBER(INDEX(PASTE_ALL,2,31)),2,IF(TRIM(INDEX(PASTE_ALL,2,31))="",0,IF(AND(LEFT(MID(TRIM(INDEX(PASTE_ALL,2,31)),1+(LEFT(TRIM(INDEX(PASTE_ALL,2,31)),1)="-"),999),LEN(MID(TRIM(INDEX(PASTE_ALL,2,31)),1+(LEFT(TRIM(INDEX(PASTE_ALL,2,31)),1)="-"),999))-(RIGHT(MID(TRIM(INDEX(PASTE_ALL,2,31)),1+(LEFT(TRIM(INDEX(PASTE_ALL,2,31)),1)="-"),999),1)="%"))&lt;&gt;"",SUBSTITUTE(SUBSTITUTE(SUBSTITUTE(SUBSTITUTE(SUBSTITUTE(SUBSTITUTE(SUBSTITUTE(SUBSTITUTE(SUBSTITUTE(SUBSTITUTE(SUBSTITUTE(SUBSTITUTE(LEFT(MID(TRIM(INDEX(PASTE_ALL,2,31)),1+(LEFT(TRIM(INDEX(PASTE_ALL,2,31)),1)="-"),999),LEN(MID(TRIM(INDEX(PASTE_ALL,2,31)),1+(LEFT(TRIM(INDEX(PASTE_ALL,2,31)),1)="-"),999))-(RIGHT(MID(TRIM(INDEX(PASTE_ALL,2,31)),1+(LEFT(TRIM(INDEX(PASTE_ALL,2,31)),1)="-"),999),1)="%")),"0",""),"1",""),"2",""),"3",""),"4",""),"5",""),"6",""),"7",""),"8",""),"9",""),".",""),",","")=""),2,1))),1)</f>
        <v/>
      </c>
      <c r="BD51">
        <f>IFERROR(IF(ISNUMBER(INDEX(PASTE_ALL,2,32)),2,IF(TRIM(INDEX(PASTE_ALL,2,32))="",0,IF(AND(LEFT(MID(TRIM(INDEX(PASTE_ALL,2,32)),1+(LEFT(TRIM(INDEX(PASTE_ALL,2,32)),1)="-"),999),LEN(MID(TRIM(INDEX(PASTE_ALL,2,32)),1+(LEFT(TRIM(INDEX(PASTE_ALL,2,32)),1)="-"),999))-(RIGHT(MID(TRIM(INDEX(PASTE_ALL,2,32)),1+(LEFT(TRIM(INDEX(PASTE_ALL,2,32)),1)="-"),999),1)="%"))&lt;&gt;"",SUBSTITUTE(SUBSTITUTE(SUBSTITUTE(SUBSTITUTE(SUBSTITUTE(SUBSTITUTE(SUBSTITUTE(SUBSTITUTE(SUBSTITUTE(SUBSTITUTE(SUBSTITUTE(SUBSTITUTE(LEFT(MID(TRIM(INDEX(PASTE_ALL,2,32)),1+(LEFT(TRIM(INDEX(PASTE_ALL,2,32)),1)="-"),999),LEN(MID(TRIM(INDEX(PASTE_ALL,2,32)),1+(LEFT(TRIM(INDEX(PASTE_ALL,2,32)),1)="-"),999))-(RIGHT(MID(TRIM(INDEX(PASTE_ALL,2,32)),1+(LEFT(TRIM(INDEX(PASTE_ALL,2,32)),1)="-"),999),1)="%")),"0",""),"1",""),"2",""),"3",""),"4",""),"5",""),"6",""),"7",""),"8",""),"9",""),".",""),",","")=""),2,1))),1)</f>
        <v/>
      </c>
      <c r="BE51">
        <f>IFERROR(IF(ISNUMBER(INDEX(PASTE_ALL,2,33)),2,IF(TRIM(INDEX(PASTE_ALL,2,33))="",0,IF(AND(LEFT(MID(TRIM(INDEX(PASTE_ALL,2,33)),1+(LEFT(TRIM(INDEX(PASTE_ALL,2,33)),1)="-"),999),LEN(MID(TRIM(INDEX(PASTE_ALL,2,33)),1+(LEFT(TRIM(INDEX(PASTE_ALL,2,33)),1)="-"),999))-(RIGHT(MID(TRIM(INDEX(PASTE_ALL,2,33)),1+(LEFT(TRIM(INDEX(PASTE_ALL,2,33)),1)="-"),999),1)="%"))&lt;&gt;"",SUBSTITUTE(SUBSTITUTE(SUBSTITUTE(SUBSTITUTE(SUBSTITUTE(SUBSTITUTE(SUBSTITUTE(SUBSTITUTE(SUBSTITUTE(SUBSTITUTE(SUBSTITUTE(SUBSTITUTE(LEFT(MID(TRIM(INDEX(PASTE_ALL,2,33)),1+(LEFT(TRIM(INDEX(PASTE_ALL,2,33)),1)="-"),999),LEN(MID(TRIM(INDEX(PASTE_ALL,2,33)),1+(LEFT(TRIM(INDEX(PASTE_ALL,2,33)),1)="-"),999))-(RIGHT(MID(TRIM(INDEX(PASTE_ALL,2,33)),1+(LEFT(TRIM(INDEX(PASTE_ALL,2,33)),1)="-"),999),1)="%")),"0",""),"1",""),"2",""),"3",""),"4",""),"5",""),"6",""),"7",""),"8",""),"9",""),".",""),",","")=""),2,1))),1)</f>
        <v/>
      </c>
      <c r="BF51">
        <f>IFERROR(IF(ISNUMBER(INDEX(PASTE_ALL,2,34)),2,IF(TRIM(INDEX(PASTE_ALL,2,34))="",0,IF(AND(LEFT(MID(TRIM(INDEX(PASTE_ALL,2,34)),1+(LEFT(TRIM(INDEX(PASTE_ALL,2,34)),1)="-"),999),LEN(MID(TRIM(INDEX(PASTE_ALL,2,34)),1+(LEFT(TRIM(INDEX(PASTE_ALL,2,34)),1)="-"),999))-(RIGHT(MID(TRIM(INDEX(PASTE_ALL,2,34)),1+(LEFT(TRIM(INDEX(PASTE_ALL,2,34)),1)="-"),999),1)="%"))&lt;&gt;"",SUBSTITUTE(SUBSTITUTE(SUBSTITUTE(SUBSTITUTE(SUBSTITUTE(SUBSTITUTE(SUBSTITUTE(SUBSTITUTE(SUBSTITUTE(SUBSTITUTE(SUBSTITUTE(SUBSTITUTE(LEFT(MID(TRIM(INDEX(PASTE_ALL,2,34)),1+(LEFT(TRIM(INDEX(PASTE_ALL,2,34)),1)="-"),999),LEN(MID(TRIM(INDEX(PASTE_ALL,2,34)),1+(LEFT(TRIM(INDEX(PASTE_ALL,2,34)),1)="-"),999))-(RIGHT(MID(TRIM(INDEX(PASTE_ALL,2,34)),1+(LEFT(TRIM(INDEX(PASTE_ALL,2,34)),1)="-"),999),1)="%")),"0",""),"1",""),"2",""),"3",""),"4",""),"5",""),"6",""),"7",""),"8",""),"9",""),".",""),",","")=""),2,1))),1)</f>
        <v/>
      </c>
      <c r="BG51">
        <f>IFERROR(IF(ISNUMBER(INDEX(PASTE_ALL,2,35)),2,IF(TRIM(INDEX(PASTE_ALL,2,35))="",0,IF(AND(LEFT(MID(TRIM(INDEX(PASTE_ALL,2,35)),1+(LEFT(TRIM(INDEX(PASTE_ALL,2,35)),1)="-"),999),LEN(MID(TRIM(INDEX(PASTE_ALL,2,35)),1+(LEFT(TRIM(INDEX(PASTE_ALL,2,35)),1)="-"),999))-(RIGHT(MID(TRIM(INDEX(PASTE_ALL,2,35)),1+(LEFT(TRIM(INDEX(PASTE_ALL,2,35)),1)="-"),999),1)="%"))&lt;&gt;"",SUBSTITUTE(SUBSTITUTE(SUBSTITUTE(SUBSTITUTE(SUBSTITUTE(SUBSTITUTE(SUBSTITUTE(SUBSTITUTE(SUBSTITUTE(SUBSTITUTE(SUBSTITUTE(SUBSTITUTE(LEFT(MID(TRIM(INDEX(PASTE_ALL,2,35)),1+(LEFT(TRIM(INDEX(PASTE_ALL,2,35)),1)="-"),999),LEN(MID(TRIM(INDEX(PASTE_ALL,2,35)),1+(LEFT(TRIM(INDEX(PASTE_ALL,2,35)),1)="-"),999))-(RIGHT(MID(TRIM(INDEX(PASTE_ALL,2,35)),1+(LEFT(TRIM(INDEX(PASTE_ALL,2,35)),1)="-"),999),1)="%")),"0",""),"1",""),"2",""),"3",""),"4",""),"5",""),"6",""),"7",""),"8",""),"9",""),".",""),",","")=""),2,1))),1)</f>
        <v/>
      </c>
      <c r="BH51">
        <f>IFERROR(IF(ISNUMBER(INDEX(PASTE_ALL,2,36)),2,IF(TRIM(INDEX(PASTE_ALL,2,36))="",0,IF(AND(LEFT(MID(TRIM(INDEX(PASTE_ALL,2,36)),1+(LEFT(TRIM(INDEX(PASTE_ALL,2,36)),1)="-"),999),LEN(MID(TRIM(INDEX(PASTE_ALL,2,36)),1+(LEFT(TRIM(INDEX(PASTE_ALL,2,36)),1)="-"),999))-(RIGHT(MID(TRIM(INDEX(PASTE_ALL,2,36)),1+(LEFT(TRIM(INDEX(PASTE_ALL,2,36)),1)="-"),999),1)="%"))&lt;&gt;"",SUBSTITUTE(SUBSTITUTE(SUBSTITUTE(SUBSTITUTE(SUBSTITUTE(SUBSTITUTE(SUBSTITUTE(SUBSTITUTE(SUBSTITUTE(SUBSTITUTE(SUBSTITUTE(SUBSTITUTE(LEFT(MID(TRIM(INDEX(PASTE_ALL,2,36)),1+(LEFT(TRIM(INDEX(PASTE_ALL,2,36)),1)="-"),999),LEN(MID(TRIM(INDEX(PASTE_ALL,2,36)),1+(LEFT(TRIM(INDEX(PASTE_ALL,2,36)),1)="-"),999))-(RIGHT(MID(TRIM(INDEX(PASTE_ALL,2,36)),1+(LEFT(TRIM(INDEX(PASTE_ALL,2,36)),1)="-"),999),1)="%")),"0",""),"1",""),"2",""),"3",""),"4",""),"5",""),"6",""),"7",""),"8",""),"9",""),".",""),",","")=""),2,1))),1)</f>
        <v/>
      </c>
      <c r="BI51">
        <f>IFERROR(IF(ISNUMBER(INDEX(PASTE_ALL,2,37)),2,IF(TRIM(INDEX(PASTE_ALL,2,37))="",0,IF(AND(LEFT(MID(TRIM(INDEX(PASTE_ALL,2,37)),1+(LEFT(TRIM(INDEX(PASTE_ALL,2,37)),1)="-"),999),LEN(MID(TRIM(INDEX(PASTE_ALL,2,37)),1+(LEFT(TRIM(INDEX(PASTE_ALL,2,37)),1)="-"),999))-(RIGHT(MID(TRIM(INDEX(PASTE_ALL,2,37)),1+(LEFT(TRIM(INDEX(PASTE_ALL,2,37)),1)="-"),999),1)="%"))&lt;&gt;"",SUBSTITUTE(SUBSTITUTE(SUBSTITUTE(SUBSTITUTE(SUBSTITUTE(SUBSTITUTE(SUBSTITUTE(SUBSTITUTE(SUBSTITUTE(SUBSTITUTE(SUBSTITUTE(SUBSTITUTE(LEFT(MID(TRIM(INDEX(PASTE_ALL,2,37)),1+(LEFT(TRIM(INDEX(PASTE_ALL,2,37)),1)="-"),999),LEN(MID(TRIM(INDEX(PASTE_ALL,2,37)),1+(LEFT(TRIM(INDEX(PASTE_ALL,2,37)),1)="-"),999))-(RIGHT(MID(TRIM(INDEX(PASTE_ALL,2,37)),1+(LEFT(TRIM(INDEX(PASTE_ALL,2,37)),1)="-"),999),1)="%")),"0",""),"1",""),"2",""),"3",""),"4",""),"5",""),"6",""),"7",""),"8",""),"9",""),".",""),",","")=""),2,1))),1)</f>
        <v/>
      </c>
      <c r="BJ51">
        <f>IFERROR(IF(ISNUMBER(INDEX(PASTE_ALL,2,38)),2,IF(TRIM(INDEX(PASTE_ALL,2,38))="",0,IF(AND(LEFT(MID(TRIM(INDEX(PASTE_ALL,2,38)),1+(LEFT(TRIM(INDEX(PASTE_ALL,2,38)),1)="-"),999),LEN(MID(TRIM(INDEX(PASTE_ALL,2,38)),1+(LEFT(TRIM(INDEX(PASTE_ALL,2,38)),1)="-"),999))-(RIGHT(MID(TRIM(INDEX(PASTE_ALL,2,38)),1+(LEFT(TRIM(INDEX(PASTE_ALL,2,38)),1)="-"),999),1)="%"))&lt;&gt;"",SUBSTITUTE(SUBSTITUTE(SUBSTITUTE(SUBSTITUTE(SUBSTITUTE(SUBSTITUTE(SUBSTITUTE(SUBSTITUTE(SUBSTITUTE(SUBSTITUTE(SUBSTITUTE(SUBSTITUTE(LEFT(MID(TRIM(INDEX(PASTE_ALL,2,38)),1+(LEFT(TRIM(INDEX(PASTE_ALL,2,38)),1)="-"),999),LEN(MID(TRIM(INDEX(PASTE_ALL,2,38)),1+(LEFT(TRIM(INDEX(PASTE_ALL,2,38)),1)="-"),999))-(RIGHT(MID(TRIM(INDEX(PASTE_ALL,2,38)),1+(LEFT(TRIM(INDEX(PASTE_ALL,2,38)),1)="-"),999),1)="%")),"0",""),"1",""),"2",""),"3",""),"4",""),"5",""),"6",""),"7",""),"8",""),"9",""),".",""),",","")=""),2,1))),1)</f>
        <v/>
      </c>
      <c r="BK51">
        <f>IFERROR(IF(ISNUMBER(INDEX(PASTE_ALL,2,39)),2,IF(TRIM(INDEX(PASTE_ALL,2,39))="",0,IF(AND(LEFT(MID(TRIM(INDEX(PASTE_ALL,2,39)),1+(LEFT(TRIM(INDEX(PASTE_ALL,2,39)),1)="-"),999),LEN(MID(TRIM(INDEX(PASTE_ALL,2,39)),1+(LEFT(TRIM(INDEX(PASTE_ALL,2,39)),1)="-"),999))-(RIGHT(MID(TRIM(INDEX(PASTE_ALL,2,39)),1+(LEFT(TRIM(INDEX(PASTE_ALL,2,39)),1)="-"),999),1)="%"))&lt;&gt;"",SUBSTITUTE(SUBSTITUTE(SUBSTITUTE(SUBSTITUTE(SUBSTITUTE(SUBSTITUTE(SUBSTITUTE(SUBSTITUTE(SUBSTITUTE(SUBSTITUTE(SUBSTITUTE(SUBSTITUTE(LEFT(MID(TRIM(INDEX(PASTE_ALL,2,39)),1+(LEFT(TRIM(INDEX(PASTE_ALL,2,39)),1)="-"),999),LEN(MID(TRIM(INDEX(PASTE_ALL,2,39)),1+(LEFT(TRIM(INDEX(PASTE_ALL,2,39)),1)="-"),999))-(RIGHT(MID(TRIM(INDEX(PASTE_ALL,2,39)),1+(LEFT(TRIM(INDEX(PASTE_ALL,2,39)),1)="-"),999),1)="%")),"0",""),"1",""),"2",""),"3",""),"4",""),"5",""),"6",""),"7",""),"8",""),"9",""),".",""),",","")=""),2,1))),1)</f>
        <v/>
      </c>
      <c r="BL51">
        <f>IFERROR(IF(ISNUMBER(INDEX(PASTE_ALL,2,40)),2,IF(TRIM(INDEX(PASTE_ALL,2,40))="",0,IF(AND(LEFT(MID(TRIM(INDEX(PASTE_ALL,2,40)),1+(LEFT(TRIM(INDEX(PASTE_ALL,2,40)),1)="-"),999),LEN(MID(TRIM(INDEX(PASTE_ALL,2,40)),1+(LEFT(TRIM(INDEX(PASTE_ALL,2,40)),1)="-"),999))-(RIGHT(MID(TRIM(INDEX(PASTE_ALL,2,40)),1+(LEFT(TRIM(INDEX(PASTE_ALL,2,40)),1)="-"),999),1)="%"))&lt;&gt;"",SUBSTITUTE(SUBSTITUTE(SUBSTITUTE(SUBSTITUTE(SUBSTITUTE(SUBSTITUTE(SUBSTITUTE(SUBSTITUTE(SUBSTITUTE(SUBSTITUTE(SUBSTITUTE(SUBSTITUTE(LEFT(MID(TRIM(INDEX(PASTE_ALL,2,40)),1+(LEFT(TRIM(INDEX(PASTE_ALL,2,40)),1)="-"),999),LEN(MID(TRIM(INDEX(PASTE_ALL,2,40)),1+(LEFT(TRIM(INDEX(PASTE_ALL,2,40)),1)="-"),999))-(RIGHT(MID(TRIM(INDEX(PASTE_ALL,2,40)),1+(LEFT(TRIM(INDEX(PASTE_ALL,2,40)),1)="-"),999),1)="%")),"0",""),"1",""),"2",""),"3",""),"4",""),"5",""),"6",""),"7",""),"8",""),"9",""),".",""),",","")=""),2,1))),1)</f>
        <v/>
      </c>
      <c r="BM51">
        <f>IFERROR(IF(ISNUMBER(INDEX(PASTE_ALL,2,41)),2,IF(TRIM(INDEX(PASTE_ALL,2,41))="",0,IF(AND(LEFT(MID(TRIM(INDEX(PASTE_ALL,2,41)),1+(LEFT(TRIM(INDEX(PASTE_ALL,2,41)),1)="-"),999),LEN(MID(TRIM(INDEX(PASTE_ALL,2,41)),1+(LEFT(TRIM(INDEX(PASTE_ALL,2,41)),1)="-"),999))-(RIGHT(MID(TRIM(INDEX(PASTE_ALL,2,41)),1+(LEFT(TRIM(INDEX(PASTE_ALL,2,41)),1)="-"),999),1)="%"))&lt;&gt;"",SUBSTITUTE(SUBSTITUTE(SUBSTITUTE(SUBSTITUTE(SUBSTITUTE(SUBSTITUTE(SUBSTITUTE(SUBSTITUTE(SUBSTITUTE(SUBSTITUTE(SUBSTITUTE(SUBSTITUTE(LEFT(MID(TRIM(INDEX(PASTE_ALL,2,41)),1+(LEFT(TRIM(INDEX(PASTE_ALL,2,41)),1)="-"),999),LEN(MID(TRIM(INDEX(PASTE_ALL,2,41)),1+(LEFT(TRIM(INDEX(PASTE_ALL,2,41)),1)="-"),999))-(RIGHT(MID(TRIM(INDEX(PASTE_ALL,2,41)),1+(LEFT(TRIM(INDEX(PASTE_ALL,2,41)),1)="-"),999),1)="%")),"0",""),"1",""),"2",""),"3",""),"4",""),"5",""),"6",""),"7",""),"8",""),"9",""),".",""),",","")=""),2,1))),1)</f>
        <v/>
      </c>
      <c r="BN51">
        <f>IFERROR(IF(ISNUMBER(INDEX(PASTE_ALL,2,42)),2,IF(TRIM(INDEX(PASTE_ALL,2,42))="",0,IF(AND(LEFT(MID(TRIM(INDEX(PASTE_ALL,2,42)),1+(LEFT(TRIM(INDEX(PASTE_ALL,2,42)),1)="-"),999),LEN(MID(TRIM(INDEX(PASTE_ALL,2,42)),1+(LEFT(TRIM(INDEX(PASTE_ALL,2,42)),1)="-"),999))-(RIGHT(MID(TRIM(INDEX(PASTE_ALL,2,42)),1+(LEFT(TRIM(INDEX(PASTE_ALL,2,42)),1)="-"),999),1)="%"))&lt;&gt;"",SUBSTITUTE(SUBSTITUTE(SUBSTITUTE(SUBSTITUTE(SUBSTITUTE(SUBSTITUTE(SUBSTITUTE(SUBSTITUTE(SUBSTITUTE(SUBSTITUTE(SUBSTITUTE(SUBSTITUTE(LEFT(MID(TRIM(INDEX(PASTE_ALL,2,42)),1+(LEFT(TRIM(INDEX(PASTE_ALL,2,42)),1)="-"),999),LEN(MID(TRIM(INDEX(PASTE_ALL,2,42)),1+(LEFT(TRIM(INDEX(PASTE_ALL,2,42)),1)="-"),999))-(RIGHT(MID(TRIM(INDEX(PASTE_ALL,2,42)),1+(LEFT(TRIM(INDEX(PASTE_ALL,2,42)),1)="-"),999),1)="%")),"0",""),"1",""),"2",""),"3",""),"4",""),"5",""),"6",""),"7",""),"8",""),"9",""),".",""),",","")=""),2,1))),1)</f>
        <v/>
      </c>
      <c r="BO51">
        <f>IFERROR(IF(ISNUMBER(INDEX(PASTE_ALL,2,43)),2,IF(TRIM(INDEX(PASTE_ALL,2,43))="",0,IF(AND(LEFT(MID(TRIM(INDEX(PASTE_ALL,2,43)),1+(LEFT(TRIM(INDEX(PASTE_ALL,2,43)),1)="-"),999),LEN(MID(TRIM(INDEX(PASTE_ALL,2,43)),1+(LEFT(TRIM(INDEX(PASTE_ALL,2,43)),1)="-"),999))-(RIGHT(MID(TRIM(INDEX(PASTE_ALL,2,43)),1+(LEFT(TRIM(INDEX(PASTE_ALL,2,43)),1)="-"),999),1)="%"))&lt;&gt;"",SUBSTITUTE(SUBSTITUTE(SUBSTITUTE(SUBSTITUTE(SUBSTITUTE(SUBSTITUTE(SUBSTITUTE(SUBSTITUTE(SUBSTITUTE(SUBSTITUTE(SUBSTITUTE(SUBSTITUTE(LEFT(MID(TRIM(INDEX(PASTE_ALL,2,43)),1+(LEFT(TRIM(INDEX(PASTE_ALL,2,43)),1)="-"),999),LEN(MID(TRIM(INDEX(PASTE_ALL,2,43)),1+(LEFT(TRIM(INDEX(PASTE_ALL,2,43)),1)="-"),999))-(RIGHT(MID(TRIM(INDEX(PASTE_ALL,2,43)),1+(LEFT(TRIM(INDEX(PASTE_ALL,2,43)),1)="-"),999),1)="%")),"0",""),"1",""),"2",""),"3",""),"4",""),"5",""),"6",""),"7",""),"8",""),"9",""),".",""),",","")=""),2,1))),1)</f>
        <v/>
      </c>
      <c r="BP51">
        <f>IFERROR(IF(ISNUMBER(INDEX(PASTE_ALL,2,44)),2,IF(TRIM(INDEX(PASTE_ALL,2,44))="",0,IF(AND(LEFT(MID(TRIM(INDEX(PASTE_ALL,2,44)),1+(LEFT(TRIM(INDEX(PASTE_ALL,2,44)),1)="-"),999),LEN(MID(TRIM(INDEX(PASTE_ALL,2,44)),1+(LEFT(TRIM(INDEX(PASTE_ALL,2,44)),1)="-"),999))-(RIGHT(MID(TRIM(INDEX(PASTE_ALL,2,44)),1+(LEFT(TRIM(INDEX(PASTE_ALL,2,44)),1)="-"),999),1)="%"))&lt;&gt;"",SUBSTITUTE(SUBSTITUTE(SUBSTITUTE(SUBSTITUTE(SUBSTITUTE(SUBSTITUTE(SUBSTITUTE(SUBSTITUTE(SUBSTITUTE(SUBSTITUTE(SUBSTITUTE(SUBSTITUTE(LEFT(MID(TRIM(INDEX(PASTE_ALL,2,44)),1+(LEFT(TRIM(INDEX(PASTE_ALL,2,44)),1)="-"),999),LEN(MID(TRIM(INDEX(PASTE_ALL,2,44)),1+(LEFT(TRIM(INDEX(PASTE_ALL,2,44)),1)="-"),999))-(RIGHT(MID(TRIM(INDEX(PASTE_ALL,2,44)),1+(LEFT(TRIM(INDEX(PASTE_ALL,2,44)),1)="-"),999),1)="%")),"0",""),"1",""),"2",""),"3",""),"4",""),"5",""),"6",""),"7",""),"8",""),"9",""),".",""),",","")=""),2,1))),1)</f>
        <v/>
      </c>
      <c r="BQ51">
        <f>IFERROR(IF(ISNUMBER(INDEX(PASTE_ALL,2,45)),2,IF(TRIM(INDEX(PASTE_ALL,2,45))="",0,IF(AND(LEFT(MID(TRIM(INDEX(PASTE_ALL,2,45)),1+(LEFT(TRIM(INDEX(PASTE_ALL,2,45)),1)="-"),999),LEN(MID(TRIM(INDEX(PASTE_ALL,2,45)),1+(LEFT(TRIM(INDEX(PASTE_ALL,2,45)),1)="-"),999))-(RIGHT(MID(TRIM(INDEX(PASTE_ALL,2,45)),1+(LEFT(TRIM(INDEX(PASTE_ALL,2,45)),1)="-"),999),1)="%"))&lt;&gt;"",SUBSTITUTE(SUBSTITUTE(SUBSTITUTE(SUBSTITUTE(SUBSTITUTE(SUBSTITUTE(SUBSTITUTE(SUBSTITUTE(SUBSTITUTE(SUBSTITUTE(SUBSTITUTE(SUBSTITUTE(LEFT(MID(TRIM(INDEX(PASTE_ALL,2,45)),1+(LEFT(TRIM(INDEX(PASTE_ALL,2,45)),1)="-"),999),LEN(MID(TRIM(INDEX(PASTE_ALL,2,45)),1+(LEFT(TRIM(INDEX(PASTE_ALL,2,45)),1)="-"),999))-(RIGHT(MID(TRIM(INDEX(PASTE_ALL,2,45)),1+(LEFT(TRIM(INDEX(PASTE_ALL,2,45)),1)="-"),999),1)="%")),"0",""),"1",""),"2",""),"3",""),"4",""),"5",""),"6",""),"7",""),"8",""),"9",""),".",""),",","")=""),2,1))),1)</f>
        <v/>
      </c>
      <c r="BR51">
        <f>IFERROR(IF(ISNUMBER(INDEX(PASTE_ALL,2,46)),2,IF(TRIM(INDEX(PASTE_ALL,2,46))="",0,IF(AND(LEFT(MID(TRIM(INDEX(PASTE_ALL,2,46)),1+(LEFT(TRIM(INDEX(PASTE_ALL,2,46)),1)="-"),999),LEN(MID(TRIM(INDEX(PASTE_ALL,2,46)),1+(LEFT(TRIM(INDEX(PASTE_ALL,2,46)),1)="-"),999))-(RIGHT(MID(TRIM(INDEX(PASTE_ALL,2,46)),1+(LEFT(TRIM(INDEX(PASTE_ALL,2,46)),1)="-"),999),1)="%"))&lt;&gt;"",SUBSTITUTE(SUBSTITUTE(SUBSTITUTE(SUBSTITUTE(SUBSTITUTE(SUBSTITUTE(SUBSTITUTE(SUBSTITUTE(SUBSTITUTE(SUBSTITUTE(SUBSTITUTE(SUBSTITUTE(LEFT(MID(TRIM(INDEX(PASTE_ALL,2,46)),1+(LEFT(TRIM(INDEX(PASTE_ALL,2,46)),1)="-"),999),LEN(MID(TRIM(INDEX(PASTE_ALL,2,46)),1+(LEFT(TRIM(INDEX(PASTE_ALL,2,46)),1)="-"),999))-(RIGHT(MID(TRIM(INDEX(PASTE_ALL,2,46)),1+(LEFT(TRIM(INDEX(PASTE_ALL,2,46)),1)="-"),999),1)="%")),"0",""),"1",""),"2",""),"3",""),"4",""),"5",""),"6",""),"7",""),"8",""),"9",""),".",""),",","")=""),2,1))),1)</f>
        <v/>
      </c>
      <c r="BS51">
        <f>IFERROR(IF(ISNUMBER(INDEX(PASTE_ALL,2,47)),2,IF(TRIM(INDEX(PASTE_ALL,2,47))="",0,IF(AND(LEFT(MID(TRIM(INDEX(PASTE_ALL,2,47)),1+(LEFT(TRIM(INDEX(PASTE_ALL,2,47)),1)="-"),999),LEN(MID(TRIM(INDEX(PASTE_ALL,2,47)),1+(LEFT(TRIM(INDEX(PASTE_ALL,2,47)),1)="-"),999))-(RIGHT(MID(TRIM(INDEX(PASTE_ALL,2,47)),1+(LEFT(TRIM(INDEX(PASTE_ALL,2,47)),1)="-"),999),1)="%"))&lt;&gt;"",SUBSTITUTE(SUBSTITUTE(SUBSTITUTE(SUBSTITUTE(SUBSTITUTE(SUBSTITUTE(SUBSTITUTE(SUBSTITUTE(SUBSTITUTE(SUBSTITUTE(SUBSTITUTE(SUBSTITUTE(LEFT(MID(TRIM(INDEX(PASTE_ALL,2,47)),1+(LEFT(TRIM(INDEX(PASTE_ALL,2,47)),1)="-"),999),LEN(MID(TRIM(INDEX(PASTE_ALL,2,47)),1+(LEFT(TRIM(INDEX(PASTE_ALL,2,47)),1)="-"),999))-(RIGHT(MID(TRIM(INDEX(PASTE_ALL,2,47)),1+(LEFT(TRIM(INDEX(PASTE_ALL,2,47)),1)="-"),999),1)="%")),"0",""),"1",""),"2",""),"3",""),"4",""),"5",""),"6",""),"7",""),"8",""),"9",""),".",""),",","")=""),2,1))),1)</f>
        <v/>
      </c>
      <c r="BT51">
        <f>IFERROR(IF(ISNUMBER(INDEX(PASTE_ALL,2,48)),2,IF(TRIM(INDEX(PASTE_ALL,2,48))="",0,IF(AND(LEFT(MID(TRIM(INDEX(PASTE_ALL,2,48)),1+(LEFT(TRIM(INDEX(PASTE_ALL,2,48)),1)="-"),999),LEN(MID(TRIM(INDEX(PASTE_ALL,2,48)),1+(LEFT(TRIM(INDEX(PASTE_ALL,2,48)),1)="-"),999))-(RIGHT(MID(TRIM(INDEX(PASTE_ALL,2,48)),1+(LEFT(TRIM(INDEX(PASTE_ALL,2,48)),1)="-"),999),1)="%"))&lt;&gt;"",SUBSTITUTE(SUBSTITUTE(SUBSTITUTE(SUBSTITUTE(SUBSTITUTE(SUBSTITUTE(SUBSTITUTE(SUBSTITUTE(SUBSTITUTE(SUBSTITUTE(SUBSTITUTE(SUBSTITUTE(LEFT(MID(TRIM(INDEX(PASTE_ALL,2,48)),1+(LEFT(TRIM(INDEX(PASTE_ALL,2,48)),1)="-"),999),LEN(MID(TRIM(INDEX(PASTE_ALL,2,48)),1+(LEFT(TRIM(INDEX(PASTE_ALL,2,48)),1)="-"),999))-(RIGHT(MID(TRIM(INDEX(PASTE_ALL,2,48)),1+(LEFT(TRIM(INDEX(PASTE_ALL,2,48)),1)="-"),999),1)="%")),"0",""),"1",""),"2",""),"3",""),"4",""),"5",""),"6",""),"7",""),"8",""),"9",""),".",""),",","")=""),2,1))),1)</f>
        <v/>
      </c>
      <c r="BU51">
        <f>IFERROR(IF(ISNUMBER(INDEX(PASTE_ALL,2,49)),2,IF(TRIM(INDEX(PASTE_ALL,2,49))="",0,IF(AND(LEFT(MID(TRIM(INDEX(PASTE_ALL,2,49)),1+(LEFT(TRIM(INDEX(PASTE_ALL,2,49)),1)="-"),999),LEN(MID(TRIM(INDEX(PASTE_ALL,2,49)),1+(LEFT(TRIM(INDEX(PASTE_ALL,2,49)),1)="-"),999))-(RIGHT(MID(TRIM(INDEX(PASTE_ALL,2,49)),1+(LEFT(TRIM(INDEX(PASTE_ALL,2,49)),1)="-"),999),1)="%"))&lt;&gt;"",SUBSTITUTE(SUBSTITUTE(SUBSTITUTE(SUBSTITUTE(SUBSTITUTE(SUBSTITUTE(SUBSTITUTE(SUBSTITUTE(SUBSTITUTE(SUBSTITUTE(SUBSTITUTE(SUBSTITUTE(LEFT(MID(TRIM(INDEX(PASTE_ALL,2,49)),1+(LEFT(TRIM(INDEX(PASTE_ALL,2,49)),1)="-"),999),LEN(MID(TRIM(INDEX(PASTE_ALL,2,49)),1+(LEFT(TRIM(INDEX(PASTE_ALL,2,49)),1)="-"),999))-(RIGHT(MID(TRIM(INDEX(PASTE_ALL,2,49)),1+(LEFT(TRIM(INDEX(PASTE_ALL,2,49)),1)="-"),999),1)="%")),"0",""),"1",""),"2",""),"3",""),"4",""),"5",""),"6",""),"7",""),"8",""),"9",""),".",""),",","")=""),2,1))),1)</f>
        <v/>
      </c>
      <c r="BV51">
        <f>IFERROR(IF(ISNUMBER(INDEX(PASTE_ALL,2,50)),2,IF(TRIM(INDEX(PASTE_ALL,2,50))="",0,IF(AND(LEFT(MID(TRIM(INDEX(PASTE_ALL,2,50)),1+(LEFT(TRIM(INDEX(PASTE_ALL,2,50)),1)="-"),999),LEN(MID(TRIM(INDEX(PASTE_ALL,2,50)),1+(LEFT(TRIM(INDEX(PASTE_ALL,2,50)),1)="-"),999))-(RIGHT(MID(TRIM(INDEX(PASTE_ALL,2,50)),1+(LEFT(TRIM(INDEX(PASTE_ALL,2,50)),1)="-"),999),1)="%"))&lt;&gt;"",SUBSTITUTE(SUBSTITUTE(SUBSTITUTE(SUBSTITUTE(SUBSTITUTE(SUBSTITUTE(SUBSTITUTE(SUBSTITUTE(SUBSTITUTE(SUBSTITUTE(SUBSTITUTE(SUBSTITUTE(LEFT(MID(TRIM(INDEX(PASTE_ALL,2,50)),1+(LEFT(TRIM(INDEX(PASTE_ALL,2,50)),1)="-"),999),LEN(MID(TRIM(INDEX(PASTE_ALL,2,50)),1+(LEFT(TRIM(INDEX(PASTE_ALL,2,50)),1)="-"),999))-(RIGHT(MID(TRIM(INDEX(PASTE_ALL,2,50)),1+(LEFT(TRIM(INDEX(PASTE_ALL,2,50)),1)="-"),999),1)="%")),"0",""),"1",""),"2",""),"3",""),"4",""),"5",""),"6",""),"7",""),"8",""),"9",""),".",""),",","")=""),2,1))),1)</f>
        <v/>
      </c>
      <c r="BW51">
        <f>IFERROR(IF(ISNUMBER(INDEX(PASTE_ALL,2,51)),2,IF(TRIM(INDEX(PASTE_ALL,2,51))="",0,IF(AND(LEFT(MID(TRIM(INDEX(PASTE_ALL,2,51)),1+(LEFT(TRIM(INDEX(PASTE_ALL,2,51)),1)="-"),999),LEN(MID(TRIM(INDEX(PASTE_ALL,2,51)),1+(LEFT(TRIM(INDEX(PASTE_ALL,2,51)),1)="-"),999))-(RIGHT(MID(TRIM(INDEX(PASTE_ALL,2,51)),1+(LEFT(TRIM(INDEX(PASTE_ALL,2,51)),1)="-"),999),1)="%"))&lt;&gt;"",SUBSTITUTE(SUBSTITUTE(SUBSTITUTE(SUBSTITUTE(SUBSTITUTE(SUBSTITUTE(SUBSTITUTE(SUBSTITUTE(SUBSTITUTE(SUBSTITUTE(SUBSTITUTE(SUBSTITUTE(LEFT(MID(TRIM(INDEX(PASTE_ALL,2,51)),1+(LEFT(TRIM(INDEX(PASTE_ALL,2,51)),1)="-"),999),LEN(MID(TRIM(INDEX(PASTE_ALL,2,51)),1+(LEFT(TRIM(INDEX(PASTE_ALL,2,51)),1)="-"),999))-(RIGHT(MID(TRIM(INDEX(PASTE_ALL,2,51)),1+(LEFT(TRIM(INDEX(PASTE_ALL,2,51)),1)="-"),999),1)="%")),"0",""),"1",""),"2",""),"3",""),"4",""),"5",""),"6",""),"7",""),"8",""),"9",""),".",""),",","")=""),2,1))),1)</f>
        <v/>
      </c>
      <c r="BX51">
        <f>IFERROR(IF(ISNUMBER(INDEX(PASTE_ALL,2,52)),2,IF(TRIM(INDEX(PASTE_ALL,2,52))="",0,IF(AND(LEFT(MID(TRIM(INDEX(PASTE_ALL,2,52)),1+(LEFT(TRIM(INDEX(PASTE_ALL,2,52)),1)="-"),999),LEN(MID(TRIM(INDEX(PASTE_ALL,2,52)),1+(LEFT(TRIM(INDEX(PASTE_ALL,2,52)),1)="-"),999))-(RIGHT(MID(TRIM(INDEX(PASTE_ALL,2,52)),1+(LEFT(TRIM(INDEX(PASTE_ALL,2,52)),1)="-"),999),1)="%"))&lt;&gt;"",SUBSTITUTE(SUBSTITUTE(SUBSTITUTE(SUBSTITUTE(SUBSTITUTE(SUBSTITUTE(SUBSTITUTE(SUBSTITUTE(SUBSTITUTE(SUBSTITUTE(SUBSTITUTE(SUBSTITUTE(LEFT(MID(TRIM(INDEX(PASTE_ALL,2,52)),1+(LEFT(TRIM(INDEX(PASTE_ALL,2,52)),1)="-"),999),LEN(MID(TRIM(INDEX(PASTE_ALL,2,52)),1+(LEFT(TRIM(INDEX(PASTE_ALL,2,52)),1)="-"),999))-(RIGHT(MID(TRIM(INDEX(PASTE_ALL,2,52)),1+(LEFT(TRIM(INDEX(PASTE_ALL,2,52)),1)="-"),999),1)="%")),"0",""),"1",""),"2",""),"3",""),"4",""),"5",""),"6",""),"7",""),"8",""),"9",""),".",""),",","")=""),2,1))),1)</f>
        <v/>
      </c>
      <c r="BY51">
        <f>IFERROR(IF(ISNUMBER(INDEX(PASTE_ALL,2,53)),2,IF(TRIM(INDEX(PASTE_ALL,2,53))="",0,IF(AND(LEFT(MID(TRIM(INDEX(PASTE_ALL,2,53)),1+(LEFT(TRIM(INDEX(PASTE_ALL,2,53)),1)="-"),999),LEN(MID(TRIM(INDEX(PASTE_ALL,2,53)),1+(LEFT(TRIM(INDEX(PASTE_ALL,2,53)),1)="-"),999))-(RIGHT(MID(TRIM(INDEX(PASTE_ALL,2,53)),1+(LEFT(TRIM(INDEX(PASTE_ALL,2,53)),1)="-"),999),1)="%"))&lt;&gt;"",SUBSTITUTE(SUBSTITUTE(SUBSTITUTE(SUBSTITUTE(SUBSTITUTE(SUBSTITUTE(SUBSTITUTE(SUBSTITUTE(SUBSTITUTE(SUBSTITUTE(SUBSTITUTE(SUBSTITUTE(LEFT(MID(TRIM(INDEX(PASTE_ALL,2,53)),1+(LEFT(TRIM(INDEX(PASTE_ALL,2,53)),1)="-"),999),LEN(MID(TRIM(INDEX(PASTE_ALL,2,53)),1+(LEFT(TRIM(INDEX(PASTE_ALL,2,53)),1)="-"),999))-(RIGHT(MID(TRIM(INDEX(PASTE_ALL,2,53)),1+(LEFT(TRIM(INDEX(PASTE_ALL,2,53)),1)="-"),999),1)="%")),"0",""),"1",""),"2",""),"3",""),"4",""),"5",""),"6",""),"7",""),"8",""),"9",""),".",""),",","")=""),2,1))),1)</f>
        <v/>
      </c>
      <c r="BZ51">
        <f>IFERROR(IF(ISNUMBER(INDEX(PASTE_ALL,2,54)),2,IF(TRIM(INDEX(PASTE_ALL,2,54))="",0,IF(AND(LEFT(MID(TRIM(INDEX(PASTE_ALL,2,54)),1+(LEFT(TRIM(INDEX(PASTE_ALL,2,54)),1)="-"),999),LEN(MID(TRIM(INDEX(PASTE_ALL,2,54)),1+(LEFT(TRIM(INDEX(PASTE_ALL,2,54)),1)="-"),999))-(RIGHT(MID(TRIM(INDEX(PASTE_ALL,2,54)),1+(LEFT(TRIM(INDEX(PASTE_ALL,2,54)),1)="-"),999),1)="%"))&lt;&gt;"",SUBSTITUTE(SUBSTITUTE(SUBSTITUTE(SUBSTITUTE(SUBSTITUTE(SUBSTITUTE(SUBSTITUTE(SUBSTITUTE(SUBSTITUTE(SUBSTITUTE(SUBSTITUTE(SUBSTITUTE(LEFT(MID(TRIM(INDEX(PASTE_ALL,2,54)),1+(LEFT(TRIM(INDEX(PASTE_ALL,2,54)),1)="-"),999),LEN(MID(TRIM(INDEX(PASTE_ALL,2,54)),1+(LEFT(TRIM(INDEX(PASTE_ALL,2,54)),1)="-"),999))-(RIGHT(MID(TRIM(INDEX(PASTE_ALL,2,54)),1+(LEFT(TRIM(INDEX(PASTE_ALL,2,54)),1)="-"),999),1)="%")),"0",""),"1",""),"2",""),"3",""),"4",""),"5",""),"6",""),"7",""),"8",""),"9",""),".",""),",","")=""),2,1))),1)</f>
        <v/>
      </c>
      <c r="CA51">
        <f>IFERROR(IF(ISNUMBER(INDEX(PASTE_ALL,2,55)),2,IF(TRIM(INDEX(PASTE_ALL,2,55))="",0,IF(AND(LEFT(MID(TRIM(INDEX(PASTE_ALL,2,55)),1+(LEFT(TRIM(INDEX(PASTE_ALL,2,55)),1)="-"),999),LEN(MID(TRIM(INDEX(PASTE_ALL,2,55)),1+(LEFT(TRIM(INDEX(PASTE_ALL,2,55)),1)="-"),999))-(RIGHT(MID(TRIM(INDEX(PASTE_ALL,2,55)),1+(LEFT(TRIM(INDEX(PASTE_ALL,2,55)),1)="-"),999),1)="%"))&lt;&gt;"",SUBSTITUTE(SUBSTITUTE(SUBSTITUTE(SUBSTITUTE(SUBSTITUTE(SUBSTITUTE(SUBSTITUTE(SUBSTITUTE(SUBSTITUTE(SUBSTITUTE(SUBSTITUTE(SUBSTITUTE(LEFT(MID(TRIM(INDEX(PASTE_ALL,2,55)),1+(LEFT(TRIM(INDEX(PASTE_ALL,2,55)),1)="-"),999),LEN(MID(TRIM(INDEX(PASTE_ALL,2,55)),1+(LEFT(TRIM(INDEX(PASTE_ALL,2,55)),1)="-"),999))-(RIGHT(MID(TRIM(INDEX(PASTE_ALL,2,55)),1+(LEFT(TRIM(INDEX(PASTE_ALL,2,55)),1)="-"),999),1)="%")),"0",""),"1",""),"2",""),"3",""),"4",""),"5",""),"6",""),"7",""),"8",""),"9",""),".",""),",","")=""),2,1))),1)</f>
        <v/>
      </c>
      <c r="CB51">
        <f>IFERROR(IF(ISNUMBER(INDEX(PASTE_ALL,2,56)),2,IF(TRIM(INDEX(PASTE_ALL,2,56))="",0,IF(AND(LEFT(MID(TRIM(INDEX(PASTE_ALL,2,56)),1+(LEFT(TRIM(INDEX(PASTE_ALL,2,56)),1)="-"),999),LEN(MID(TRIM(INDEX(PASTE_ALL,2,56)),1+(LEFT(TRIM(INDEX(PASTE_ALL,2,56)),1)="-"),999))-(RIGHT(MID(TRIM(INDEX(PASTE_ALL,2,56)),1+(LEFT(TRIM(INDEX(PASTE_ALL,2,56)),1)="-"),999),1)="%"))&lt;&gt;"",SUBSTITUTE(SUBSTITUTE(SUBSTITUTE(SUBSTITUTE(SUBSTITUTE(SUBSTITUTE(SUBSTITUTE(SUBSTITUTE(SUBSTITUTE(SUBSTITUTE(SUBSTITUTE(SUBSTITUTE(LEFT(MID(TRIM(INDEX(PASTE_ALL,2,56)),1+(LEFT(TRIM(INDEX(PASTE_ALL,2,56)),1)="-"),999),LEN(MID(TRIM(INDEX(PASTE_ALL,2,56)),1+(LEFT(TRIM(INDEX(PASTE_ALL,2,56)),1)="-"),999))-(RIGHT(MID(TRIM(INDEX(PASTE_ALL,2,56)),1+(LEFT(TRIM(INDEX(PASTE_ALL,2,56)),1)="-"),999),1)="%")),"0",""),"1",""),"2",""),"3",""),"4",""),"5",""),"6",""),"7",""),"8",""),"9",""),".",""),",","")=""),2,1))),1)</f>
        <v/>
      </c>
      <c r="CC51">
        <f>IFERROR(IF(ISNUMBER(INDEX(PASTE_ALL,2,57)),2,IF(TRIM(INDEX(PASTE_ALL,2,57))="",0,IF(AND(LEFT(MID(TRIM(INDEX(PASTE_ALL,2,57)),1+(LEFT(TRIM(INDEX(PASTE_ALL,2,57)),1)="-"),999),LEN(MID(TRIM(INDEX(PASTE_ALL,2,57)),1+(LEFT(TRIM(INDEX(PASTE_ALL,2,57)),1)="-"),999))-(RIGHT(MID(TRIM(INDEX(PASTE_ALL,2,57)),1+(LEFT(TRIM(INDEX(PASTE_ALL,2,57)),1)="-"),999),1)="%"))&lt;&gt;"",SUBSTITUTE(SUBSTITUTE(SUBSTITUTE(SUBSTITUTE(SUBSTITUTE(SUBSTITUTE(SUBSTITUTE(SUBSTITUTE(SUBSTITUTE(SUBSTITUTE(SUBSTITUTE(SUBSTITUTE(LEFT(MID(TRIM(INDEX(PASTE_ALL,2,57)),1+(LEFT(TRIM(INDEX(PASTE_ALL,2,57)),1)="-"),999),LEN(MID(TRIM(INDEX(PASTE_ALL,2,57)),1+(LEFT(TRIM(INDEX(PASTE_ALL,2,57)),1)="-"),999))-(RIGHT(MID(TRIM(INDEX(PASTE_ALL,2,57)),1+(LEFT(TRIM(INDEX(PASTE_ALL,2,57)),1)="-"),999),1)="%")),"0",""),"1",""),"2",""),"3",""),"4",""),"5",""),"6",""),"7",""),"8",""),"9",""),".",""),",","")=""),2,1))),1)</f>
        <v/>
      </c>
      <c r="CD51">
        <f>IFERROR(IF(ISNUMBER(INDEX(PASTE_ALL,2,58)),2,IF(TRIM(INDEX(PASTE_ALL,2,58))="",0,IF(AND(LEFT(MID(TRIM(INDEX(PASTE_ALL,2,58)),1+(LEFT(TRIM(INDEX(PASTE_ALL,2,58)),1)="-"),999),LEN(MID(TRIM(INDEX(PASTE_ALL,2,58)),1+(LEFT(TRIM(INDEX(PASTE_ALL,2,58)),1)="-"),999))-(RIGHT(MID(TRIM(INDEX(PASTE_ALL,2,58)),1+(LEFT(TRIM(INDEX(PASTE_ALL,2,58)),1)="-"),999),1)="%"))&lt;&gt;"",SUBSTITUTE(SUBSTITUTE(SUBSTITUTE(SUBSTITUTE(SUBSTITUTE(SUBSTITUTE(SUBSTITUTE(SUBSTITUTE(SUBSTITUTE(SUBSTITUTE(SUBSTITUTE(SUBSTITUTE(LEFT(MID(TRIM(INDEX(PASTE_ALL,2,58)),1+(LEFT(TRIM(INDEX(PASTE_ALL,2,58)),1)="-"),999),LEN(MID(TRIM(INDEX(PASTE_ALL,2,58)),1+(LEFT(TRIM(INDEX(PASTE_ALL,2,58)),1)="-"),999))-(RIGHT(MID(TRIM(INDEX(PASTE_ALL,2,58)),1+(LEFT(TRIM(INDEX(PASTE_ALL,2,58)),1)="-"),999),1)="%")),"0",""),"1",""),"2",""),"3",""),"4",""),"5",""),"6",""),"7",""),"8",""),"9",""),".",""),",","")=""),2,1))),1)</f>
        <v/>
      </c>
      <c r="CE51">
        <f>IFERROR(IF(ISNUMBER(INDEX(PASTE_ALL,2,59)),2,IF(TRIM(INDEX(PASTE_ALL,2,59))="",0,IF(AND(LEFT(MID(TRIM(INDEX(PASTE_ALL,2,59)),1+(LEFT(TRIM(INDEX(PASTE_ALL,2,59)),1)="-"),999),LEN(MID(TRIM(INDEX(PASTE_ALL,2,59)),1+(LEFT(TRIM(INDEX(PASTE_ALL,2,59)),1)="-"),999))-(RIGHT(MID(TRIM(INDEX(PASTE_ALL,2,59)),1+(LEFT(TRIM(INDEX(PASTE_ALL,2,59)),1)="-"),999),1)="%"))&lt;&gt;"",SUBSTITUTE(SUBSTITUTE(SUBSTITUTE(SUBSTITUTE(SUBSTITUTE(SUBSTITUTE(SUBSTITUTE(SUBSTITUTE(SUBSTITUTE(SUBSTITUTE(SUBSTITUTE(SUBSTITUTE(LEFT(MID(TRIM(INDEX(PASTE_ALL,2,59)),1+(LEFT(TRIM(INDEX(PASTE_ALL,2,59)),1)="-"),999),LEN(MID(TRIM(INDEX(PASTE_ALL,2,59)),1+(LEFT(TRIM(INDEX(PASTE_ALL,2,59)),1)="-"),999))-(RIGHT(MID(TRIM(INDEX(PASTE_ALL,2,59)),1+(LEFT(TRIM(INDEX(PASTE_ALL,2,59)),1)="-"),999),1)="%")),"0",""),"1",""),"2",""),"3",""),"4",""),"5",""),"6",""),"7",""),"8",""),"9",""),".",""),",","")=""),2,1))),1)</f>
        <v/>
      </c>
      <c r="CF51">
        <f>IFERROR(IF(ISNUMBER(INDEX(PASTE_ALL,2,60)),2,IF(TRIM(INDEX(PASTE_ALL,2,60))="",0,IF(AND(LEFT(MID(TRIM(INDEX(PASTE_ALL,2,60)),1+(LEFT(TRIM(INDEX(PASTE_ALL,2,60)),1)="-"),999),LEN(MID(TRIM(INDEX(PASTE_ALL,2,60)),1+(LEFT(TRIM(INDEX(PASTE_ALL,2,60)),1)="-"),999))-(RIGHT(MID(TRIM(INDEX(PASTE_ALL,2,60)),1+(LEFT(TRIM(INDEX(PASTE_ALL,2,60)),1)="-"),999),1)="%"))&lt;&gt;"",SUBSTITUTE(SUBSTITUTE(SUBSTITUTE(SUBSTITUTE(SUBSTITUTE(SUBSTITUTE(SUBSTITUTE(SUBSTITUTE(SUBSTITUTE(SUBSTITUTE(SUBSTITUTE(SUBSTITUTE(LEFT(MID(TRIM(INDEX(PASTE_ALL,2,60)),1+(LEFT(TRIM(INDEX(PASTE_ALL,2,60)),1)="-"),999),LEN(MID(TRIM(INDEX(PASTE_ALL,2,60)),1+(LEFT(TRIM(INDEX(PASTE_ALL,2,60)),1)="-"),999))-(RIGHT(MID(TRIM(INDEX(PASTE_ALL,2,60)),1+(LEFT(TRIM(INDEX(PASTE_ALL,2,60)),1)="-"),999),1)="%")),"0",""),"1",""),"2",""),"3",""),"4",""),"5",""),"6",""),"7",""),"8",""),"9",""),".",""),",","")=""),2,1))),1)</f>
        <v/>
      </c>
      <c r="DA51" t="n">
        <v>47</v>
      </c>
      <c r="DB51">
        <f>IF($B$37=0,"",IFERROR(TRIM(SUBSTITUTE(SUBSTITUTE(SUBSTITUTE(SUBSTITUTE(INDEX(PASTE_ALL,47,$B$37)," "," "),CHAR(9)," "),CHAR(10)," "),CHAR(13)," ")),""))</f>
        <v/>
      </c>
      <c r="DC51">
        <f>IF(AND(47&gt;HEADER_ROW,UPPER(DB51)="LEGEND"),1,0)</f>
        <v/>
      </c>
      <c r="DE51" t="n">
        <v>47</v>
      </c>
      <c r="DF51">
        <f>HEADER_ROW+$DE51</f>
        <v/>
      </c>
      <c r="DG51">
        <f>IF(AND($DF51&lt;=1000,$DF51&lt;$B$8),1,0)</f>
        <v/>
      </c>
      <c r="DH51">
        <f>IF($DG51=1,IFERROR(INDEX($DB$5:$DB$1004,$DF51),""),"")</f>
        <v/>
      </c>
      <c r="DI51">
        <f>IF(AND($DG51=1,$DH51&lt;&gt;""),IFERROR(SUBSTITUTE(SUBSTITUTE(TRIM(SUBSTITUTE(SUBSTITUTE(SUBSTITUTE(SUBSTITUTE(IFERROR(INDEX(PASTE_ALL,$DF51,1)&amp;"","")&amp;"␟"&amp;IFERROR(INDEX(PASTE_ALL,$DF51,2)&amp;"","")&amp;"␟"&amp;IFERROR(INDEX(PASTE_ALL,$DF51,3)&amp;"","")&amp;"␟"&amp;IFERROR(INDEX(PASTE_ALL,$DF51,4)&amp;"","")&amp;"␟"&amp;IFERROR(INDEX(PASTE_ALL,$DF51,5)&amp;"","")&amp;"␟"&amp;IFERROR(INDEX(PASTE_ALL,$DF51,6)&amp;"","")&amp;"␟"&amp;IFERROR(INDEX(PASTE_ALL,$DF51,7)&amp;"","")&amp;"␟"&amp;IFERROR(INDEX(PASTE_ALL,$DF51,8)&amp;"","")&amp;"␟"&amp;IFERROR(INDEX(PASTE_ALL,$DF51,9)&amp;"","")&amp;"␟"&amp;IFERROR(INDEX(PASTE_ALL,$DF51,10)&amp;"","")&amp;"␟"&amp;IFERROR(INDEX(PASTE_ALL,$DF51,11)&amp;"","")&amp;"␟"&amp;IFERROR(INDEX(PASTE_ALL,$DF51,12)&amp;"","")&amp;"␟"&amp;IFERROR(INDEX(PASTE_ALL,$DF51,13)&amp;"","")&amp;"␟"&amp;IFERROR(INDEX(PASTE_ALL,$DF51,14)&amp;"","")&amp;"␟"&amp;IFERROR(INDEX(PASTE_ALL,$DF51,15)&amp;"","")&amp;"␟"&amp;IFERROR(INDEX(PASTE_ALL,$DF51,16)&amp;"","")&amp;"␟"&amp;IFERROR(INDEX(PASTE_ALL,$DF51,17)&amp;"","")&amp;"␟"&amp;IFERROR(INDEX(PASTE_ALL,$DF51,18)&amp;"","")&amp;"␟"&amp;IFERROR(INDEX(PASTE_ALL,$DF51,19)&amp;"","")&amp;"␟"&amp;IFERROR(INDEX(PASTE_ALL,$DF51,20)&amp;"","")&amp;"␟"&amp;IFERROR(INDEX(PASTE_ALL,$DF51,21)&amp;"","")&amp;"␟"&amp;IFERROR(INDEX(PASTE_ALL,$DF51,22)&amp;"","")&amp;"␟"&amp;IFERROR(INDEX(PASTE_ALL,$DF51,23)&amp;"","")&amp;"␟"&amp;IFERROR(INDEX(PASTE_ALL,$DF51,24)&amp;"","")&amp;"␟"&amp;IFERROR(INDEX(PASTE_ALL,$DF51,25)&amp;"","")&amp;"␟"&amp;IFERROR(INDEX(PASTE_ALL,$DF51,26)&amp;"","")&amp;"␟"&amp;IFERROR(INDEX(PASTE_ALL,$DF51,27)&amp;"","")&amp;"␟"&amp;IFERROR(INDEX(PASTE_ALL,$DF51,28)&amp;"","")&amp;"␟"&amp;IFERROR(INDEX(PASTE_ALL,$DF51,29)&amp;"","")&amp;"␟"&amp;IFERROR(INDEX(PASTE_ALL,$DF51,30)&amp;"","")&amp;"␟"&amp;IFERROR(INDEX(PASTE_ALL,$DF51,31)&amp;"","")&amp;"␟"&amp;IFERROR(INDEX(PASTE_ALL,$DF51,32)&amp;"","")&amp;"␟"&amp;IFERROR(INDEX(PASTE_ALL,$DF51,33)&amp;"","")&amp;"␟"&amp;IFERROR(INDEX(PASTE_ALL,$DF51,34)&amp;"","")&amp;"␟"&amp;IFERROR(INDEX(PASTE_ALL,$DF51,35)&amp;"","")&amp;"␟"&amp;IFERROR(INDEX(PASTE_ALL,$DF51,36)&amp;"","")&amp;"␟"&amp;IFERROR(INDEX(PASTE_ALL,$DF51,37)&amp;"","")&amp;"␟"&amp;IFERROR(INDEX(PASTE_ALL,$DF51,38)&amp;"","")&amp;"␟"&amp;IFERROR(INDEX(PASTE_ALL,$DF51,39)&amp;"","")&amp;"␟"&amp;IFERROR(INDEX(PASTE_ALL,$DF51,40)&amp;"","")&amp;"␟"&amp;IFERROR(INDEX(PASTE_ALL,$DF51,41)&amp;"","")&amp;"␟"&amp;IFERROR(INDEX(PASTE_ALL,$DF51,42)&amp;"","")&amp;"␟"&amp;IFERROR(INDEX(PASTE_ALL,$DF51,43)&amp;"","")&amp;"␟"&amp;IFERROR(INDEX(PASTE_ALL,$DF51,44)&amp;"","")&amp;"␟"&amp;IFERROR(INDEX(PASTE_ALL,$DF51,45)&amp;"","")&amp;"␟"&amp;IFERROR(INDEX(PASTE_ALL,$DF51,46)&amp;"","")&amp;"␟"&amp;IFERROR(INDEX(PASTE_ALL,$DF51,47)&amp;"","")&amp;"␟"&amp;IFERROR(INDEX(PASTE_ALL,$DF51,48)&amp;"","")&amp;"␟"&amp;IFERROR(INDEX(PASTE_ALL,$DF51,49)&amp;"","")&amp;"␟"&amp;IFERROR(INDEX(PASTE_ALL,$DF51,50)&amp;"","")&amp;"␟"&amp;IFERROR(INDEX(PASTE_ALL,$DF51,51)&amp;"","")&amp;"␟"&amp;IFERROR(INDEX(PASTE_ALL,$DF51,52)&amp;"","")&amp;"␟"&amp;IFERROR(INDEX(PASTE_ALL,$DF51,53)&amp;"","")&amp;"␟"&amp;IFERROR(INDEX(PASTE_ALL,$DF51,54)&amp;"","")&amp;"␟"&amp;IFERROR(INDEX(PASTE_ALL,$DF51,55)&amp;"","")&amp;"␟"&amp;IFERROR(INDEX(PASTE_ALL,$DF51,56)&amp;"","")&amp;"␟"&amp;IFERROR(INDEX(PASTE_ALL,$DF51,57)&amp;"","")&amp;"␟"&amp;IFERROR(INDEX(PASTE_ALL,$DF51,58)&amp;"","")&amp;"␟"&amp;IFERROR(INDEX(PASTE_ALL,$DF51,59)&amp;"","")&amp;"␟"&amp;IFERROR(INDEX(PASTE_ALL,$DF51,60)&amp;"","")," "," "),CHAR(9)," "),CHAR(10)," "),CHAR(13)," "))," ␟","␟"),"␟ ","␟"),"#"&amp;$DE51),"")</f>
        <v/>
      </c>
      <c r="DJ51">
        <f>IF($DI51="",0,IF(SUMPRODUCT(--EXACT($DI$4:DI50,$DI51))&gt;0,1,0))</f>
        <v/>
      </c>
      <c r="DK51">
        <f>IF(AND($DI51&lt;&gt;"",$DJ51=0),1,0)</f>
        <v/>
      </c>
      <c r="DL51">
        <f>DL50+$DK51</f>
        <v/>
      </c>
      <c r="DM51">
        <f>IF(AND($DK51=1,$DL51&lt;=600),1,0)</f>
        <v/>
      </c>
      <c r="DN51">
        <f>IF($DM51=0,"",IF($L$6=0,"",IFERROR(IF(ISNUMBER(INDEX(PASTE_ALL,$DF51,$L$6)),INDEX(PASTE_ALL,$DF51,$L$6),TRIM(SUBSTITUTE(SUBSTITUTE(SUBSTITUTE(SUBSTITUTE(INDEX(PASTE_ALL,$DF51,$L$6)," "," "),CHAR(9)," "),CHAR(10)," "),CHAR(13)," "))),"")))</f>
        <v/>
      </c>
      <c r="DO51">
        <f>IF($DM51=0,"",IF($L$7=0,"",IFERROR(IF(ISNUMBER(INDEX(PASTE_ALL,$DF51,$L$7)),INDEX(PASTE_ALL,$DF51,$L$7),TRIM(SUBSTITUTE(SUBSTITUTE(SUBSTITUTE(SUBSTITUTE(INDEX(PASTE_ALL,$DF51,$L$7)," "," "),CHAR(9)," "),CHAR(10)," "),CHAR(13)," "))),"")))</f>
        <v/>
      </c>
      <c r="DP51">
        <f>IF($DM51=0,"",IF($L$8=0,"",IFERROR(IF(ISNUMBER(INDEX(PASTE_ALL,$DF51,$L$8)),INDEX(PASTE_ALL,$DF51,$L$8),TRIM(SUBSTITUTE(SUBSTITUTE(SUBSTITUTE(SUBSTITUTE(INDEX(PASTE_ALL,$DF51,$L$8)," "," "),CHAR(9)," "),CHAR(10)," "),CHAR(13)," "))),"")))</f>
        <v/>
      </c>
      <c r="DQ51">
        <f>IF($DM51=0,"",IF($L$9=0,"",IFERROR(IF(ISNUMBER(INDEX(PASTE_ALL,$DF51,$L$9)),INDEX(PASTE_ALL,$DF51,$L$9),TRIM(SUBSTITUTE(SUBSTITUTE(SUBSTITUTE(SUBSTITUTE(INDEX(PASTE_ALL,$DF51,$L$9)," "," "),CHAR(9)," "),CHAR(10)," "),CHAR(13)," "))),"")))</f>
        <v/>
      </c>
      <c r="DR51">
        <f>IF($DM51=0,"",IF($L$10=0,"",IFERROR(IF(ISNUMBER(INDEX(PASTE_ALL,$DF51,$L$10)),INDEX(PASTE_ALL,$DF51,$L$10),TRIM(SUBSTITUTE(SUBSTITUTE(SUBSTITUTE(SUBSTITUTE(INDEX(PASTE_ALL,$DF51,$L$10)," "," "),CHAR(9)," "),CHAR(10)," "),CHAR(13)," "))),"")))</f>
        <v/>
      </c>
      <c r="DS51">
        <f>IF($DM51=0,"",IF($L$11=0,"",IFERROR(IF(ISNUMBER(INDEX(PASTE_ALL,$DF51,$L$11)),INDEX(PASTE_ALL,$DF51,$L$11),TRIM(SUBSTITUTE(SUBSTITUTE(SUBSTITUTE(SUBSTITUTE(INDEX(PASTE_ALL,$DF51,$L$11)," "," "),CHAR(9)," "),CHAR(10)," "),CHAR(13)," "))),"")))</f>
        <v/>
      </c>
      <c r="DT51">
        <f>IF($DM51=0,"",IF($L$12=0,"",IFERROR(IF(ISNUMBER(INDEX(PASTE_ALL,$DF51,$L$12)),INDEX(PASTE_ALL,$DF51,$L$12),TRIM(SUBSTITUTE(SUBSTITUTE(SUBSTITUTE(SUBSTITUTE(INDEX(PASTE_ALL,$DF51,$L$12)," "," "),CHAR(9)," "),CHAR(10)," "),CHAR(13)," "))),"")))</f>
        <v/>
      </c>
      <c r="DU51">
        <f>IF($DM51=0,"",IF($L$13=0,"",IFERROR(IF(ISNUMBER(INDEX(PASTE_ALL,$DF51,$L$13)),INDEX(PASTE_ALL,$DF51,$L$13),TRIM(SUBSTITUTE(SUBSTITUTE(SUBSTITUTE(SUBSTITUTE(INDEX(PASTE_ALL,$DF51,$L$13)," "," "),CHAR(9)," "),CHAR(10)," "),CHAR(13)," "))),"")))</f>
        <v/>
      </c>
      <c r="DV51">
        <f>IF($DM51=0,"",IF($L$14=0,"",IFERROR(IF(ISNUMBER(INDEX(PASTE_ALL,$DF51,$L$14)),INDEX(PASTE_ALL,$DF51,$L$14),TRIM(SUBSTITUTE(SUBSTITUTE(SUBSTITUTE(SUBSTITUTE(INDEX(PASTE_ALL,$DF51,$L$14)," "," "),CHAR(9)," "),CHAR(10)," "),CHAR(13)," "))),"")))</f>
        <v/>
      </c>
      <c r="DW51">
        <f>IF($DM51=0,"",IF($L$15=0,"",IFERROR(IF(ISNUMBER(INDEX(PASTE_ALL,$DF51,$L$15)),INDEX(PASTE_ALL,$DF51,$L$15),IF(SUMPRODUCT(--ISNUMBER(FIND({"A","B","C","D","E","F","G","H","I","J","K","L","M","N","O","P","Q","R","S","T","U","V","W","X","Y","Z","0","1","2","3","4","5","6","7","8","9"},UPPER(TRIM(SUBSTITUTE(SUBSTITUTE(SUBSTITUTE(SUBSTITUTE(INDEX(PASTE_ALL,$DF51,$L$15)," "," "),CHAR(9)," "),CHAR(10)," "),CHAR(13)," "))))))&gt;0,TRIM(SUBSTITUTE(SUBSTITUTE(SUBSTITUTE(SUBSTITUTE(INDEX(PASTE_ALL,$DF51,$L$15)," "," "),CHAR(9)," "),CHAR(10)," "),CHAR(13)," ")),"")),"")))</f>
        <v/>
      </c>
      <c r="DX51">
        <f>IF($DM51=0,"",IF($L$16=0,"",IFERROR(IF(ISNUMBER(INDEX(PASTE_ALL,$DF51,$L$16)),INDEX(PASTE_ALL,$DF51,$L$16),SUBSTITUTE(SUBSTITUTE(TRIM(SUBSTITUTE(SUBSTITUTE(SUBSTITUTE(SUBSTITUTE(INDEX(PASTE_ALL,$DF51,$L$16)," "," "),CHAR(9)," "),CHAR(10)," "),CHAR(13)," ")),",",""),"%","")),"")))</f>
        <v/>
      </c>
      <c r="DY51">
        <f>IF($DM51=0,"",IFERROR(IF(ISNUMBER($DX51),$DX51,IF($DX51="","",IF(TRIM($DX51)="",0,IF(AND(AND(SUBSTITUTE(SUBSTITUTE(SUBSTITUTE(SUBSTITUTE(SUBSTITUTE(SUBSTITUTE(SUBSTITUTE(SUBSTITUTE(SUBSTITUTE(SUBSTITUTE(SUBSTITUTE(SUBSTITUTE(SUBSTITUTE(SUBSTITUTE(UPPER(TRIM($DX51)),"0",""),"1",""),"2",""),"3",""),"4",""),"5",""),"6",""),"7",""),"8",""),"9",""),".",""),"+",""),"-",""),"E","")="",LEN(SUBSTITUTE(SUBSTITUTE(MID(UPPER(TRIM($DX51)),1+OR(LEFT(UPPER(TRIM($DX51)),1)="+",LEFT(UPPER(TRIM($DX51)),1)="-"),999),"E+","E"),"E-","E"))=LEN(SUBSTITUTE(SUBSTITUTE(SUBSTITUTE(SUBSTITUTE(MID(UPPER(TRIM($DX51)),1+OR(LEFT(UPPER(TRIM($DX51)),1)="+",LEFT(UPPER(TRIM($DX51)),1)="-"),999),"E+","E"),"E-","E"),"+",""),"-","")),LEN(UPPER(TRIM($DX51)))-LEN(SUBSTITUTE(UPPER(TRIM($DX51)),"E",""))&lt;2,LEN(UPPER(TRIM($DX51)))-LEN(SUBSTITUTE(UPPER(TRIM($DX51)),".",""))&lt;2,IFERROR(FIND(".",UPPER(TRIM($DX51))),0)&lt;IFERROR(FIND("E",UPPER(TRIM($DX51))),999)),ISNUMBER(VALUE(TRIM($DX51)))),VALUE(TRIM($DX51)),"")))),""))</f>
        <v/>
      </c>
      <c r="DZ51">
        <f>IF($DM51=0,"",IF($L$17=0,"",IFERROR(IF(ISNUMBER(INDEX(PASTE_ALL,$DF51,$L$17)),INDEX(PASTE_ALL,$DF51,$L$17),SUBSTITUTE(SUBSTITUTE(TRIM(SUBSTITUTE(SUBSTITUTE(SUBSTITUTE(SUBSTITUTE(INDEX(PASTE_ALL,$DF51,$L$17)," "," "),CHAR(9)," "),CHAR(10)," "),CHAR(13)," ")),",",""),"%","")),"")))</f>
        <v/>
      </c>
      <c r="EA51">
        <f>IF($DM51=0,"",IFERROR(IF(ISNUMBER($DZ51),$DZ51,IF($DZ51="","",IF(TRIM($DZ51)="",0,IF(AND(AND(SUBSTITUTE(SUBSTITUTE(SUBSTITUTE(SUBSTITUTE(SUBSTITUTE(SUBSTITUTE(SUBSTITUTE(SUBSTITUTE(SUBSTITUTE(SUBSTITUTE(SUBSTITUTE(SUBSTITUTE(SUBSTITUTE(SUBSTITUTE(UPPER(TRIM($DZ51)),"0",""),"1",""),"2",""),"3",""),"4",""),"5",""),"6",""),"7",""),"8",""),"9",""),".",""),"+",""),"-",""),"E","")="",LEN(SUBSTITUTE(SUBSTITUTE(MID(UPPER(TRIM($DZ51)),1+OR(LEFT(UPPER(TRIM($DZ51)),1)="+",LEFT(UPPER(TRIM($DZ51)),1)="-"),999),"E+","E"),"E-","E"))=LEN(SUBSTITUTE(SUBSTITUTE(SUBSTITUTE(SUBSTITUTE(MID(UPPER(TRIM($DZ51)),1+OR(LEFT(UPPER(TRIM($DZ51)),1)="+",LEFT(UPPER(TRIM($DZ51)),1)="-"),999),"E+","E"),"E-","E"),"+",""),"-","")),LEN(UPPER(TRIM($DZ51)))-LEN(SUBSTITUTE(UPPER(TRIM($DZ51)),"E",""))&lt;2,LEN(UPPER(TRIM($DZ51)))-LEN(SUBSTITUTE(UPPER(TRIM($DZ51)),".",""))&lt;2,IFERROR(FIND(".",UPPER(TRIM($DZ51))),0)&lt;IFERROR(FIND("E",UPPER(TRIM($DZ51))),999)),ISNUMBER(VALUE(TRIM($DZ51)))),VALUE(TRIM($DZ51)),"")))),""))</f>
        <v/>
      </c>
      <c r="EB51">
        <f>IF($DM51=0,"",IF($L$18=0,"",IFERROR(IF(UPPER(TRIM(SUBSTITUTE(SUBSTITUTE(SUBSTITUTE(SUBSTITUTE(INDEX(PASTE_ALL,$DF51,$L$18)," "," "),CHAR(9)," "),CHAR(10)," "),CHAR(13)," ")))="READY","Ready",IF(UPPER(TRIM(SUBSTITUTE(SUBSTITUTE(SUBSTITUTE(SUBSTITUTE(INDEX(PASTE_ALL,$DF51,$L$18)," "," "),CHAR(9)," "),CHAR(10)," "),CHAR(13)," ")))="PM","PM",IF(OR(UPPER(TRIM(SUBSTITUTE(SUBSTITUTE(SUBSTITUTE(SUBSTITUTE(INDEX(PASTE_ALL,$DF51,$L$18)," "," "),CHAR(9)," "),CHAR(10)," "),CHAR(13)," ")))="OT",UPPER(TRIM(SUBSTITUTE(SUBSTITUTE(SUBSTITUTE(SUBSTITUTE(INDEX(PASTE_ALL,$DF51,$L$18)," "," "),CHAR(9)," "),CHAR(10)," "),CHAR(13)," ")))="OVERTIME",UPPER(TRIM(SUBSTITUTE(SUBSTITUTE(SUBSTITUTE(SUBSTITUTE(INDEX(PASTE_ALL,$DF51,$L$18)," "," "),CHAR(9)," "),CHAR(10)," "),CHAR(13)," ")))="TRIAL"),"OT",TRIM(SUBSTITUTE(SUBSTITUTE(SUBSTITUTE(SUBSTITUTE(INDEX(PASTE_ALL,$DF51,$L$18)," "," "),CHAR(9)," "),CHAR(10)," "),CHAR(13)," "))))),"")))</f>
        <v/>
      </c>
      <c r="EC51">
        <f>IF($DM51=0,"",IF($L$19=0,"",IFERROR(IF(ISNUMBER(INDEX(PASTE_ALL,$DF51,$L$19)),INDEX(PASTE_ALL,$DF51,$L$19),TRIM(SUBSTITUTE(SUBSTITUTE(SUBSTITUTE(SUBSTITUTE(INDEX(PASTE_ALL,$DF51,$L$19)," "," "),CHAR(9)," "),CHAR(10)," "),CHAR(13)," "))),"")))</f>
        <v/>
      </c>
      <c r="ED51">
        <f>IF($DM51=0,"",MATCH(1,INDEX(EXACT($DH$5:DH51,$DH51)*$DM$5:DM51,0),0))</f>
        <v/>
      </c>
      <c r="EE51">
        <f>IF($DM51=0,0,IF($ED51=$DE51,1,0))</f>
        <v/>
      </c>
      <c r="EF51">
        <f>EF50+$EE51</f>
        <v/>
      </c>
      <c r="EG51">
        <f>IF($DM51=0,"",INDEX($EF$5:$EF$1003,$ED51))</f>
        <v/>
      </c>
      <c r="EH51">
        <f>IF($DM51=0,"",IF($DO51&lt;&gt;"","",IFERROR(LOOKUP(2,1/(($EG$4:EG50=$EG51)*($DO$4:DO50&lt;&gt;"")),$DO$4:DO50),"")))</f>
        <v/>
      </c>
      <c r="EI51">
        <f>IF($DM51=0,"",IF($DO51&lt;&gt;"",$DO51,$EH51))</f>
        <v/>
      </c>
      <c r="EJ51">
        <f>IF($DM51=0,"",IF($EI51="",0,IF(OR(ISNUMBER($EI51),AND(AND(SUBSTITUTE(SUBSTITUTE(SUBSTITUTE(SUBSTITUTE(SUBSTITUTE(SUBSTITUTE(SUBSTITUTE(SUBSTITUTE(SUBSTITUTE(SUBSTITUTE(SUBSTITUTE(SUBSTITUTE(SUBSTITUTE(SUBSTITUTE(UPPER($EI51),"0",""),"1",""),"2",""),"3",""),"4",""),"5",""),"6",""),"7",""),"8",""),"9",""),".",""),"+",""),"-",""),"E","")="",LEN(SUBSTITUTE(SUBSTITUTE(MID(UPPER($EI51),1+OR(LEFT(UPPER($EI51),1)="+",LEFT(UPPER($EI51),1)="-"),999),"E+","E"),"E-","E"))=LEN(SUBSTITUTE(SUBSTITUTE(SUBSTITUTE(SUBSTITUTE(MID(UPPER($EI51),1+OR(LEFT(UPPER($EI51),1)="+",LEFT(UPPER($EI51),1)="-"),999),"E+","E"),"E-","E"),"+",""),"-","")),LEN(UPPER($EI51))-LEN(SUBSTITUTE(UPPER($EI51),"E",""))&lt;2,LEN(UPPER($EI51))-LEN(SUBSTITUTE(UPPER($EI51),".",""))&lt;2,IFERROR(FIND(".",UPPER($EI51)),0)&lt;IFERROR(FIND("E",UPPER($EI51)),999)),ISNUMBER(VALUE($EI51)))),1,2)))</f>
        <v/>
      </c>
      <c r="EK51">
        <f>IF($DM51=0,"",IF($EJ51=1,IF(ISNUMBER($EI51),$EI51,VALUE($EI51)),IF($EJ51=2,$DE51,0)))</f>
        <v/>
      </c>
      <c r="EL51">
        <f>IF($DM51=0,"",COUNTIF($EG$5:$EG$1003,"&lt;"&amp;$EG51)+SUMPRODUCT(($EG$5:$EG$1003=$EG51)*(($EJ$5:$EJ$1003&lt;$EJ51)+($EJ$5:$EJ$1003=$EJ51)*(($EK$5:$EK$1003&lt;$EK51)+($EK$5:$EK$1003=$EK51)*($DE$5:$DE$1003&lt;$DE51))))+1)</f>
        <v/>
      </c>
      <c r="EM51">
        <f>IF($DM51=0,"",$EL51+$EG51-1)</f>
        <v/>
      </c>
      <c r="EN51">
        <f>IF($DM51=0,0,IFERROR(MATCH(1,INDEX(--(TRIM(SUBSTITUTE(SUBSTITUTE(SUBSTITUTE(SUBSTITUTE(LINES_NAME&amp;""," "," "),CHAR(9)," "),CHAR(10)," "),CHAR(13)," "))=$DH51),0),0),0))</f>
        <v/>
      </c>
      <c r="EO51">
        <f>IF($EN51=0,0,IF(OR(UPPER(TRIM(INDEX(LINES_SCHEDULED,$EN51)&amp;""))="YES",UPPER(TRIM(INDEX(LINES_SCHEDULED,$EN51)&amp;""))="Y",UPPER(TRIM(INDEX(LINES_SCHEDULED,$EN51)&amp;""))="X"),1,0))</f>
        <v/>
      </c>
      <c r="EP51">
        <f>IF($DM51=0,"",IF(COUNTIFS($EG$5:$EG$1003,$EG51,$EB$5:$EB$1003,"Ready")&gt;0,"READY",IF(COUNTIFS($EG$5:$EG$1003,$EG51,$EB$5:$EB$1003,"PM")&gt;0,"PM",IF(COUNTIFS($EG$5:$EG$1003,$EG51,$EB$5:$EB$1003,"OT")&gt;0,"OT",""))))</f>
        <v/>
      </c>
      <c r="EQ51">
        <f>IF($EN51=0,"",UPPER(TRIM(INDEX(LINES_STATUS,$EN51)&amp;"")))</f>
        <v/>
      </c>
      <c r="ER51">
        <f>IF($DM51=0,"",IF(OR($EQ51="READY",$EQ51="PM",$EQ51="OT"),$EQ51,$EP51))</f>
        <v/>
      </c>
      <c r="ES51">
        <f>IF($DM51=0,"",IF(AND($DV51&lt;&gt;"",UPPER($DV51)&lt;&gt;"N"),"allergen",IF(ISNUMBER(SEARCH("oil",$DQ51)),"oil",IF(OR(EXACT($DS51,"A662"),EXACT($DS51,"A624")),"bulk",""))))</f>
        <v/>
      </c>
      <c r="ET51">
        <f>IF($DM51=0,"",IF(OR($EA51="",$EA51=0),"",$EA51/100))</f>
        <v/>
      </c>
      <c r="EU51">
        <f>IF(OR($ET51="",$DY51=""),"",INT($DY51*(1-$ET51)+0.5))</f>
        <v/>
      </c>
      <c r="EW51" t="n">
        <v>47</v>
      </c>
      <c r="EX51">
        <f>IFERROR(MATCH($EW51,$EM$5:$EM$1003,0),0)</f>
        <v/>
      </c>
      <c r="EY51">
        <f>IF($EW51&gt;$B$12,"",IF($EX51&gt;0,"row","spacer"))</f>
        <v/>
      </c>
      <c r="EZ51">
        <f>IF(AND($EY51="row",$EY50&lt;&gt;"row"),1,0)</f>
        <v/>
      </c>
      <c r="FA51">
        <f>IF(AND($EY51="row",$EY52&lt;&gt;"row"),1,0)</f>
        <v/>
      </c>
      <c r="FB51">
        <f>IF($EZ51=1,IFERROR(IF(ISNUMBER(INDEX(PASTE_ALL,INDEX($DF$5:$DF$1003,$EX51),$B$37)),INDEX(PASTE_ALL,INDEX($DF$5:$DF$1003,$EX51),$B$37),INDEX($DH$5:$DH$1003,$EX51)),INDEX($DH$5:$DH$1003,$EX51)),"")</f>
        <v/>
      </c>
      <c r="FC51">
        <f>IF($EY51="row",INDEX($ER$5:$ER$1003,$EX51),"")</f>
        <v/>
      </c>
      <c r="FD51">
        <f>IF($EY51="row",INDEX($DN$5:$DN$1003,$EX51),"")</f>
        <v/>
      </c>
      <c r="FE51">
        <f>IF($EY51="row",INDEX($DO$5:$DO$1003,$EX51),"")</f>
        <v/>
      </c>
      <c r="FF51">
        <f>IF($EY51="row",INDEX($DP$5:$DP$1003,$EX51),"")</f>
        <v/>
      </c>
      <c r="FG51">
        <f>IF($EY51="row",INDEX($DQ$5:$DQ$1003,$EX51),"")</f>
        <v/>
      </c>
      <c r="FH51">
        <f>IF($EY51="row",INDEX($DR$5:$DR$1003,$EX51),"")</f>
        <v/>
      </c>
      <c r="FI51">
        <f>IF($EY51="row",INDEX($DS$5:$DS$1003,$EX51),"")</f>
        <v/>
      </c>
      <c r="FJ51">
        <f>IF($EY51="row",INDEX($DT$5:$DT$1003,$EX51),"")</f>
        <v/>
      </c>
      <c r="FK51">
        <f>IF($EY51="row",INDEX($DU$5:$DU$1003,$EX51),"")</f>
        <v/>
      </c>
      <c r="FL51">
        <f>IF($EY51="row",INDEX($DV$5:$DV$1003,$EX51),"")</f>
        <v/>
      </c>
      <c r="FM51">
        <f>IF($EY51="row",INDEX($DW$5:$DW$1003,$EX51),"")</f>
        <v/>
      </c>
      <c r="FN51">
        <f>IF($EY51="row",INDEX($DY$5:$DY$1003,$EX51),"")</f>
        <v/>
      </c>
      <c r="FO51">
        <f>IF($EY51="row",INDEX($EA$5:$EA$1003,$EX51),"")</f>
        <v/>
      </c>
      <c r="FP51">
        <f>IF($EY51="row",INDEX($EC$5:$EC$1003,$EX51),"")</f>
        <v/>
      </c>
      <c r="FQ51">
        <f>IF($EY51="row",INDEX($ET$5:$ET$1003,$EX51),"")</f>
        <v/>
      </c>
      <c r="FR51">
        <f>IF($EY51="row",INDEX($EU$5:$EU$1003,$EX51),"")</f>
        <v/>
      </c>
      <c r="FS51">
        <f>IF(AND($EY51="row",$EY50="row"),IF(OR(INDEX($DT$5:$DT$1003,$EX50)="",INDEX($DT$5:$DT$1003,$EX51)=""),"",IF(NOT(EXACT(INDEX($DT$5:$DT$1003,$EX50),INDEX($DT$5:$DT$1003,$EX51))),"S4",IF(NOT(EXACT(INDEX($DS$5:$DS$1003,$EX50),INDEX($DS$5:$DS$1003,$EX51))),"S3",IF(NOT(EXACT(INDEX($DR$5:$DR$1003,$EX50),INDEX($DR$5:$DR$1003,$EX51))),"S1 Count Change","S1")))),"")</f>
        <v/>
      </c>
      <c r="FT51">
        <f>IF($EY51="row",INDEX($ES$5:$ES$1003,$EX51),"")</f>
        <v/>
      </c>
      <c r="FU51">
        <f>IF($EY51="row",INDEX($EO$5:$EO$1003,$EX51),0)</f>
        <v/>
      </c>
      <c r="FV51">
        <f>IF($FS51="S1 Count Change",1,0)</f>
        <v/>
      </c>
      <c r="FX51" t="n">
        <v>47</v>
      </c>
      <c r="FY51">
        <f>IFERROR(MATCH($FX51,$EF$5:$EF$1003,0),0)</f>
        <v/>
      </c>
      <c r="FZ51">
        <f>IF($FY51=0,"",INDEX($DH$5:$DH$1003,$FY51))</f>
        <v/>
      </c>
      <c r="GA51">
        <f>IF($FY51=0,"",COUNTIF($EG$5:$EG$1003,$FX51))</f>
        <v/>
      </c>
      <c r="GB51">
        <f>IF($FY51=0,"",INDEX($ER$5:$ER$1003,$FY51))</f>
        <v/>
      </c>
      <c r="GC51">
        <f>IF($FY51=0,"",IF(INDEX($EO$5:$EO$1003,$FY51)=1,"Yes",""))</f>
        <v/>
      </c>
      <c r="GD51">
        <f>IF($FY51=0,"",IF(INDEX($EN$5:$EN$1003,$FY51)&gt;0,"","NOT IN YOUR LIST - type it in column A to tick it"))</f>
        <v/>
      </c>
      <c r="GE51">
        <f>IF(AND($FY51&gt;0,$GD51&lt;&gt;""),1,0)</f>
        <v/>
      </c>
      <c r="GF51">
        <f>GF50+$GE51</f>
        <v/>
      </c>
      <c r="GG51">
        <f>IFERROR(INDEX($FZ$5:$FZ$104,MATCH($FX51,$GF$5:$GF$104,0)),"")</f>
        <v/>
      </c>
    </row>
    <row r="52">
      <c r="S52" t="n">
        <v>48</v>
      </c>
      <c r="T52" t="inlineStr">
        <is>
          <t>AV</t>
        </is>
      </c>
      <c r="V52" t="inlineStr">
        <is>
          <t>BULKITEMNUMBER</t>
        </is>
      </c>
      <c r="W52" t="n">
        <v>7</v>
      </c>
      <c r="Y52">
        <f>IFERROR(IF(ISNUMBER(INDEX(PASTE_ALL,3,1)),2,IF(TRIM(INDEX(PASTE_ALL,3,1))="",0,IF(AND(LEFT(MID(TRIM(INDEX(PASTE_ALL,3,1)),1+(LEFT(TRIM(INDEX(PASTE_ALL,3,1)),1)="-"),999),LEN(MID(TRIM(INDEX(PASTE_ALL,3,1)),1+(LEFT(TRIM(INDEX(PASTE_ALL,3,1)),1)="-"),999))-(RIGHT(MID(TRIM(INDEX(PASTE_ALL,3,1)),1+(LEFT(TRIM(INDEX(PASTE_ALL,3,1)),1)="-"),999),1)="%"))&lt;&gt;"",SUBSTITUTE(SUBSTITUTE(SUBSTITUTE(SUBSTITUTE(SUBSTITUTE(SUBSTITUTE(SUBSTITUTE(SUBSTITUTE(SUBSTITUTE(SUBSTITUTE(SUBSTITUTE(SUBSTITUTE(LEFT(MID(TRIM(INDEX(PASTE_ALL,3,1)),1+(LEFT(TRIM(INDEX(PASTE_ALL,3,1)),1)="-"),999),LEN(MID(TRIM(INDEX(PASTE_ALL,3,1)),1+(LEFT(TRIM(INDEX(PASTE_ALL,3,1)),1)="-"),999))-(RIGHT(MID(TRIM(INDEX(PASTE_ALL,3,1)),1+(LEFT(TRIM(INDEX(PASTE_ALL,3,1)),1)="-"),999),1)="%")),"0",""),"1",""),"2",""),"3",""),"4",""),"5",""),"6",""),"7",""),"8",""),"9",""),".",""),",","")=""),2,1))),1)</f>
        <v/>
      </c>
      <c r="Z52">
        <f>IFERROR(IF(ISNUMBER(INDEX(PASTE_ALL,3,2)),2,IF(TRIM(INDEX(PASTE_ALL,3,2))="",0,IF(AND(LEFT(MID(TRIM(INDEX(PASTE_ALL,3,2)),1+(LEFT(TRIM(INDEX(PASTE_ALL,3,2)),1)="-"),999),LEN(MID(TRIM(INDEX(PASTE_ALL,3,2)),1+(LEFT(TRIM(INDEX(PASTE_ALL,3,2)),1)="-"),999))-(RIGHT(MID(TRIM(INDEX(PASTE_ALL,3,2)),1+(LEFT(TRIM(INDEX(PASTE_ALL,3,2)),1)="-"),999),1)="%"))&lt;&gt;"",SUBSTITUTE(SUBSTITUTE(SUBSTITUTE(SUBSTITUTE(SUBSTITUTE(SUBSTITUTE(SUBSTITUTE(SUBSTITUTE(SUBSTITUTE(SUBSTITUTE(SUBSTITUTE(SUBSTITUTE(LEFT(MID(TRIM(INDEX(PASTE_ALL,3,2)),1+(LEFT(TRIM(INDEX(PASTE_ALL,3,2)),1)="-"),999),LEN(MID(TRIM(INDEX(PASTE_ALL,3,2)),1+(LEFT(TRIM(INDEX(PASTE_ALL,3,2)),1)="-"),999))-(RIGHT(MID(TRIM(INDEX(PASTE_ALL,3,2)),1+(LEFT(TRIM(INDEX(PASTE_ALL,3,2)),1)="-"),999),1)="%")),"0",""),"1",""),"2",""),"3",""),"4",""),"5",""),"6",""),"7",""),"8",""),"9",""),".",""),",","")=""),2,1))),1)</f>
        <v/>
      </c>
      <c r="AA52">
        <f>IFERROR(IF(ISNUMBER(INDEX(PASTE_ALL,3,3)),2,IF(TRIM(INDEX(PASTE_ALL,3,3))="",0,IF(AND(LEFT(MID(TRIM(INDEX(PASTE_ALL,3,3)),1+(LEFT(TRIM(INDEX(PASTE_ALL,3,3)),1)="-"),999),LEN(MID(TRIM(INDEX(PASTE_ALL,3,3)),1+(LEFT(TRIM(INDEX(PASTE_ALL,3,3)),1)="-"),999))-(RIGHT(MID(TRIM(INDEX(PASTE_ALL,3,3)),1+(LEFT(TRIM(INDEX(PASTE_ALL,3,3)),1)="-"),999),1)="%"))&lt;&gt;"",SUBSTITUTE(SUBSTITUTE(SUBSTITUTE(SUBSTITUTE(SUBSTITUTE(SUBSTITUTE(SUBSTITUTE(SUBSTITUTE(SUBSTITUTE(SUBSTITUTE(SUBSTITUTE(SUBSTITUTE(LEFT(MID(TRIM(INDEX(PASTE_ALL,3,3)),1+(LEFT(TRIM(INDEX(PASTE_ALL,3,3)),1)="-"),999),LEN(MID(TRIM(INDEX(PASTE_ALL,3,3)),1+(LEFT(TRIM(INDEX(PASTE_ALL,3,3)),1)="-"),999))-(RIGHT(MID(TRIM(INDEX(PASTE_ALL,3,3)),1+(LEFT(TRIM(INDEX(PASTE_ALL,3,3)),1)="-"),999),1)="%")),"0",""),"1",""),"2",""),"3",""),"4",""),"5",""),"6",""),"7",""),"8",""),"9",""),".",""),",","")=""),2,1))),1)</f>
        <v/>
      </c>
      <c r="AB52">
        <f>IFERROR(IF(ISNUMBER(INDEX(PASTE_ALL,3,4)),2,IF(TRIM(INDEX(PASTE_ALL,3,4))="",0,IF(AND(LEFT(MID(TRIM(INDEX(PASTE_ALL,3,4)),1+(LEFT(TRIM(INDEX(PASTE_ALL,3,4)),1)="-"),999),LEN(MID(TRIM(INDEX(PASTE_ALL,3,4)),1+(LEFT(TRIM(INDEX(PASTE_ALL,3,4)),1)="-"),999))-(RIGHT(MID(TRIM(INDEX(PASTE_ALL,3,4)),1+(LEFT(TRIM(INDEX(PASTE_ALL,3,4)),1)="-"),999),1)="%"))&lt;&gt;"",SUBSTITUTE(SUBSTITUTE(SUBSTITUTE(SUBSTITUTE(SUBSTITUTE(SUBSTITUTE(SUBSTITUTE(SUBSTITUTE(SUBSTITUTE(SUBSTITUTE(SUBSTITUTE(SUBSTITUTE(LEFT(MID(TRIM(INDEX(PASTE_ALL,3,4)),1+(LEFT(TRIM(INDEX(PASTE_ALL,3,4)),1)="-"),999),LEN(MID(TRIM(INDEX(PASTE_ALL,3,4)),1+(LEFT(TRIM(INDEX(PASTE_ALL,3,4)),1)="-"),999))-(RIGHT(MID(TRIM(INDEX(PASTE_ALL,3,4)),1+(LEFT(TRIM(INDEX(PASTE_ALL,3,4)),1)="-"),999),1)="%")),"0",""),"1",""),"2",""),"3",""),"4",""),"5",""),"6",""),"7",""),"8",""),"9",""),".",""),",","")=""),2,1))),1)</f>
        <v/>
      </c>
      <c r="AC52">
        <f>IFERROR(IF(ISNUMBER(INDEX(PASTE_ALL,3,5)),2,IF(TRIM(INDEX(PASTE_ALL,3,5))="",0,IF(AND(LEFT(MID(TRIM(INDEX(PASTE_ALL,3,5)),1+(LEFT(TRIM(INDEX(PASTE_ALL,3,5)),1)="-"),999),LEN(MID(TRIM(INDEX(PASTE_ALL,3,5)),1+(LEFT(TRIM(INDEX(PASTE_ALL,3,5)),1)="-"),999))-(RIGHT(MID(TRIM(INDEX(PASTE_ALL,3,5)),1+(LEFT(TRIM(INDEX(PASTE_ALL,3,5)),1)="-"),999),1)="%"))&lt;&gt;"",SUBSTITUTE(SUBSTITUTE(SUBSTITUTE(SUBSTITUTE(SUBSTITUTE(SUBSTITUTE(SUBSTITUTE(SUBSTITUTE(SUBSTITUTE(SUBSTITUTE(SUBSTITUTE(SUBSTITUTE(LEFT(MID(TRIM(INDEX(PASTE_ALL,3,5)),1+(LEFT(TRIM(INDEX(PASTE_ALL,3,5)),1)="-"),999),LEN(MID(TRIM(INDEX(PASTE_ALL,3,5)),1+(LEFT(TRIM(INDEX(PASTE_ALL,3,5)),1)="-"),999))-(RIGHT(MID(TRIM(INDEX(PASTE_ALL,3,5)),1+(LEFT(TRIM(INDEX(PASTE_ALL,3,5)),1)="-"),999),1)="%")),"0",""),"1",""),"2",""),"3",""),"4",""),"5",""),"6",""),"7",""),"8",""),"9",""),".",""),",","")=""),2,1))),1)</f>
        <v/>
      </c>
      <c r="AD52">
        <f>IFERROR(IF(ISNUMBER(INDEX(PASTE_ALL,3,6)),2,IF(TRIM(INDEX(PASTE_ALL,3,6))="",0,IF(AND(LEFT(MID(TRIM(INDEX(PASTE_ALL,3,6)),1+(LEFT(TRIM(INDEX(PASTE_ALL,3,6)),1)="-"),999),LEN(MID(TRIM(INDEX(PASTE_ALL,3,6)),1+(LEFT(TRIM(INDEX(PASTE_ALL,3,6)),1)="-"),999))-(RIGHT(MID(TRIM(INDEX(PASTE_ALL,3,6)),1+(LEFT(TRIM(INDEX(PASTE_ALL,3,6)),1)="-"),999),1)="%"))&lt;&gt;"",SUBSTITUTE(SUBSTITUTE(SUBSTITUTE(SUBSTITUTE(SUBSTITUTE(SUBSTITUTE(SUBSTITUTE(SUBSTITUTE(SUBSTITUTE(SUBSTITUTE(SUBSTITUTE(SUBSTITUTE(LEFT(MID(TRIM(INDEX(PASTE_ALL,3,6)),1+(LEFT(TRIM(INDEX(PASTE_ALL,3,6)),1)="-"),999),LEN(MID(TRIM(INDEX(PASTE_ALL,3,6)),1+(LEFT(TRIM(INDEX(PASTE_ALL,3,6)),1)="-"),999))-(RIGHT(MID(TRIM(INDEX(PASTE_ALL,3,6)),1+(LEFT(TRIM(INDEX(PASTE_ALL,3,6)),1)="-"),999),1)="%")),"0",""),"1",""),"2",""),"3",""),"4",""),"5",""),"6",""),"7",""),"8",""),"9",""),".",""),",","")=""),2,1))),1)</f>
        <v/>
      </c>
      <c r="AE52">
        <f>IFERROR(IF(ISNUMBER(INDEX(PASTE_ALL,3,7)),2,IF(TRIM(INDEX(PASTE_ALL,3,7))="",0,IF(AND(LEFT(MID(TRIM(INDEX(PASTE_ALL,3,7)),1+(LEFT(TRIM(INDEX(PASTE_ALL,3,7)),1)="-"),999),LEN(MID(TRIM(INDEX(PASTE_ALL,3,7)),1+(LEFT(TRIM(INDEX(PASTE_ALL,3,7)),1)="-"),999))-(RIGHT(MID(TRIM(INDEX(PASTE_ALL,3,7)),1+(LEFT(TRIM(INDEX(PASTE_ALL,3,7)),1)="-"),999),1)="%"))&lt;&gt;"",SUBSTITUTE(SUBSTITUTE(SUBSTITUTE(SUBSTITUTE(SUBSTITUTE(SUBSTITUTE(SUBSTITUTE(SUBSTITUTE(SUBSTITUTE(SUBSTITUTE(SUBSTITUTE(SUBSTITUTE(LEFT(MID(TRIM(INDEX(PASTE_ALL,3,7)),1+(LEFT(TRIM(INDEX(PASTE_ALL,3,7)),1)="-"),999),LEN(MID(TRIM(INDEX(PASTE_ALL,3,7)),1+(LEFT(TRIM(INDEX(PASTE_ALL,3,7)),1)="-"),999))-(RIGHT(MID(TRIM(INDEX(PASTE_ALL,3,7)),1+(LEFT(TRIM(INDEX(PASTE_ALL,3,7)),1)="-"),999),1)="%")),"0",""),"1",""),"2",""),"3",""),"4",""),"5",""),"6",""),"7",""),"8",""),"9",""),".",""),",","")=""),2,1))),1)</f>
        <v/>
      </c>
      <c r="AF52">
        <f>IFERROR(IF(ISNUMBER(INDEX(PASTE_ALL,3,8)),2,IF(TRIM(INDEX(PASTE_ALL,3,8))="",0,IF(AND(LEFT(MID(TRIM(INDEX(PASTE_ALL,3,8)),1+(LEFT(TRIM(INDEX(PASTE_ALL,3,8)),1)="-"),999),LEN(MID(TRIM(INDEX(PASTE_ALL,3,8)),1+(LEFT(TRIM(INDEX(PASTE_ALL,3,8)),1)="-"),999))-(RIGHT(MID(TRIM(INDEX(PASTE_ALL,3,8)),1+(LEFT(TRIM(INDEX(PASTE_ALL,3,8)),1)="-"),999),1)="%"))&lt;&gt;"",SUBSTITUTE(SUBSTITUTE(SUBSTITUTE(SUBSTITUTE(SUBSTITUTE(SUBSTITUTE(SUBSTITUTE(SUBSTITUTE(SUBSTITUTE(SUBSTITUTE(SUBSTITUTE(SUBSTITUTE(LEFT(MID(TRIM(INDEX(PASTE_ALL,3,8)),1+(LEFT(TRIM(INDEX(PASTE_ALL,3,8)),1)="-"),999),LEN(MID(TRIM(INDEX(PASTE_ALL,3,8)),1+(LEFT(TRIM(INDEX(PASTE_ALL,3,8)),1)="-"),999))-(RIGHT(MID(TRIM(INDEX(PASTE_ALL,3,8)),1+(LEFT(TRIM(INDEX(PASTE_ALL,3,8)),1)="-"),999),1)="%")),"0",""),"1",""),"2",""),"3",""),"4",""),"5",""),"6",""),"7",""),"8",""),"9",""),".",""),",","")=""),2,1))),1)</f>
        <v/>
      </c>
      <c r="AG52">
        <f>IFERROR(IF(ISNUMBER(INDEX(PASTE_ALL,3,9)),2,IF(TRIM(INDEX(PASTE_ALL,3,9))="",0,IF(AND(LEFT(MID(TRIM(INDEX(PASTE_ALL,3,9)),1+(LEFT(TRIM(INDEX(PASTE_ALL,3,9)),1)="-"),999),LEN(MID(TRIM(INDEX(PASTE_ALL,3,9)),1+(LEFT(TRIM(INDEX(PASTE_ALL,3,9)),1)="-"),999))-(RIGHT(MID(TRIM(INDEX(PASTE_ALL,3,9)),1+(LEFT(TRIM(INDEX(PASTE_ALL,3,9)),1)="-"),999),1)="%"))&lt;&gt;"",SUBSTITUTE(SUBSTITUTE(SUBSTITUTE(SUBSTITUTE(SUBSTITUTE(SUBSTITUTE(SUBSTITUTE(SUBSTITUTE(SUBSTITUTE(SUBSTITUTE(SUBSTITUTE(SUBSTITUTE(LEFT(MID(TRIM(INDEX(PASTE_ALL,3,9)),1+(LEFT(TRIM(INDEX(PASTE_ALL,3,9)),1)="-"),999),LEN(MID(TRIM(INDEX(PASTE_ALL,3,9)),1+(LEFT(TRIM(INDEX(PASTE_ALL,3,9)),1)="-"),999))-(RIGHT(MID(TRIM(INDEX(PASTE_ALL,3,9)),1+(LEFT(TRIM(INDEX(PASTE_ALL,3,9)),1)="-"),999),1)="%")),"0",""),"1",""),"2",""),"3",""),"4",""),"5",""),"6",""),"7",""),"8",""),"9",""),".",""),",","")=""),2,1))),1)</f>
        <v/>
      </c>
      <c r="AH52">
        <f>IFERROR(IF(ISNUMBER(INDEX(PASTE_ALL,3,10)),2,IF(TRIM(INDEX(PASTE_ALL,3,10))="",0,IF(AND(LEFT(MID(TRIM(INDEX(PASTE_ALL,3,10)),1+(LEFT(TRIM(INDEX(PASTE_ALL,3,10)),1)="-"),999),LEN(MID(TRIM(INDEX(PASTE_ALL,3,10)),1+(LEFT(TRIM(INDEX(PASTE_ALL,3,10)),1)="-"),999))-(RIGHT(MID(TRIM(INDEX(PASTE_ALL,3,10)),1+(LEFT(TRIM(INDEX(PASTE_ALL,3,10)),1)="-"),999),1)="%"))&lt;&gt;"",SUBSTITUTE(SUBSTITUTE(SUBSTITUTE(SUBSTITUTE(SUBSTITUTE(SUBSTITUTE(SUBSTITUTE(SUBSTITUTE(SUBSTITUTE(SUBSTITUTE(SUBSTITUTE(SUBSTITUTE(LEFT(MID(TRIM(INDEX(PASTE_ALL,3,10)),1+(LEFT(TRIM(INDEX(PASTE_ALL,3,10)),1)="-"),999),LEN(MID(TRIM(INDEX(PASTE_ALL,3,10)),1+(LEFT(TRIM(INDEX(PASTE_ALL,3,10)),1)="-"),999))-(RIGHT(MID(TRIM(INDEX(PASTE_ALL,3,10)),1+(LEFT(TRIM(INDEX(PASTE_ALL,3,10)),1)="-"),999),1)="%")),"0",""),"1",""),"2",""),"3",""),"4",""),"5",""),"6",""),"7",""),"8",""),"9",""),".",""),",","")=""),2,1))),1)</f>
        <v/>
      </c>
      <c r="AI52">
        <f>IFERROR(IF(ISNUMBER(INDEX(PASTE_ALL,3,11)),2,IF(TRIM(INDEX(PASTE_ALL,3,11))="",0,IF(AND(LEFT(MID(TRIM(INDEX(PASTE_ALL,3,11)),1+(LEFT(TRIM(INDEX(PASTE_ALL,3,11)),1)="-"),999),LEN(MID(TRIM(INDEX(PASTE_ALL,3,11)),1+(LEFT(TRIM(INDEX(PASTE_ALL,3,11)),1)="-"),999))-(RIGHT(MID(TRIM(INDEX(PASTE_ALL,3,11)),1+(LEFT(TRIM(INDEX(PASTE_ALL,3,11)),1)="-"),999),1)="%"))&lt;&gt;"",SUBSTITUTE(SUBSTITUTE(SUBSTITUTE(SUBSTITUTE(SUBSTITUTE(SUBSTITUTE(SUBSTITUTE(SUBSTITUTE(SUBSTITUTE(SUBSTITUTE(SUBSTITUTE(SUBSTITUTE(LEFT(MID(TRIM(INDEX(PASTE_ALL,3,11)),1+(LEFT(TRIM(INDEX(PASTE_ALL,3,11)),1)="-"),999),LEN(MID(TRIM(INDEX(PASTE_ALL,3,11)),1+(LEFT(TRIM(INDEX(PASTE_ALL,3,11)),1)="-"),999))-(RIGHT(MID(TRIM(INDEX(PASTE_ALL,3,11)),1+(LEFT(TRIM(INDEX(PASTE_ALL,3,11)),1)="-"),999),1)="%")),"0",""),"1",""),"2",""),"3",""),"4",""),"5",""),"6",""),"7",""),"8",""),"9",""),".",""),",","")=""),2,1))),1)</f>
        <v/>
      </c>
      <c r="AJ52">
        <f>IFERROR(IF(ISNUMBER(INDEX(PASTE_ALL,3,12)),2,IF(TRIM(INDEX(PASTE_ALL,3,12))="",0,IF(AND(LEFT(MID(TRIM(INDEX(PASTE_ALL,3,12)),1+(LEFT(TRIM(INDEX(PASTE_ALL,3,12)),1)="-"),999),LEN(MID(TRIM(INDEX(PASTE_ALL,3,12)),1+(LEFT(TRIM(INDEX(PASTE_ALL,3,12)),1)="-"),999))-(RIGHT(MID(TRIM(INDEX(PASTE_ALL,3,12)),1+(LEFT(TRIM(INDEX(PASTE_ALL,3,12)),1)="-"),999),1)="%"))&lt;&gt;"",SUBSTITUTE(SUBSTITUTE(SUBSTITUTE(SUBSTITUTE(SUBSTITUTE(SUBSTITUTE(SUBSTITUTE(SUBSTITUTE(SUBSTITUTE(SUBSTITUTE(SUBSTITUTE(SUBSTITUTE(LEFT(MID(TRIM(INDEX(PASTE_ALL,3,12)),1+(LEFT(TRIM(INDEX(PASTE_ALL,3,12)),1)="-"),999),LEN(MID(TRIM(INDEX(PASTE_ALL,3,12)),1+(LEFT(TRIM(INDEX(PASTE_ALL,3,12)),1)="-"),999))-(RIGHT(MID(TRIM(INDEX(PASTE_ALL,3,12)),1+(LEFT(TRIM(INDEX(PASTE_ALL,3,12)),1)="-"),999),1)="%")),"0",""),"1",""),"2",""),"3",""),"4",""),"5",""),"6",""),"7",""),"8",""),"9",""),".",""),",","")=""),2,1))),1)</f>
        <v/>
      </c>
      <c r="AK52">
        <f>IFERROR(IF(ISNUMBER(INDEX(PASTE_ALL,3,13)),2,IF(TRIM(INDEX(PASTE_ALL,3,13))="",0,IF(AND(LEFT(MID(TRIM(INDEX(PASTE_ALL,3,13)),1+(LEFT(TRIM(INDEX(PASTE_ALL,3,13)),1)="-"),999),LEN(MID(TRIM(INDEX(PASTE_ALL,3,13)),1+(LEFT(TRIM(INDEX(PASTE_ALL,3,13)),1)="-"),999))-(RIGHT(MID(TRIM(INDEX(PASTE_ALL,3,13)),1+(LEFT(TRIM(INDEX(PASTE_ALL,3,13)),1)="-"),999),1)="%"))&lt;&gt;"",SUBSTITUTE(SUBSTITUTE(SUBSTITUTE(SUBSTITUTE(SUBSTITUTE(SUBSTITUTE(SUBSTITUTE(SUBSTITUTE(SUBSTITUTE(SUBSTITUTE(SUBSTITUTE(SUBSTITUTE(LEFT(MID(TRIM(INDEX(PASTE_ALL,3,13)),1+(LEFT(TRIM(INDEX(PASTE_ALL,3,13)),1)="-"),999),LEN(MID(TRIM(INDEX(PASTE_ALL,3,13)),1+(LEFT(TRIM(INDEX(PASTE_ALL,3,13)),1)="-"),999))-(RIGHT(MID(TRIM(INDEX(PASTE_ALL,3,13)),1+(LEFT(TRIM(INDEX(PASTE_ALL,3,13)),1)="-"),999),1)="%")),"0",""),"1",""),"2",""),"3",""),"4",""),"5",""),"6",""),"7",""),"8",""),"9",""),".",""),",","")=""),2,1))),1)</f>
        <v/>
      </c>
      <c r="AL52">
        <f>IFERROR(IF(ISNUMBER(INDEX(PASTE_ALL,3,14)),2,IF(TRIM(INDEX(PASTE_ALL,3,14))="",0,IF(AND(LEFT(MID(TRIM(INDEX(PASTE_ALL,3,14)),1+(LEFT(TRIM(INDEX(PASTE_ALL,3,14)),1)="-"),999),LEN(MID(TRIM(INDEX(PASTE_ALL,3,14)),1+(LEFT(TRIM(INDEX(PASTE_ALL,3,14)),1)="-"),999))-(RIGHT(MID(TRIM(INDEX(PASTE_ALL,3,14)),1+(LEFT(TRIM(INDEX(PASTE_ALL,3,14)),1)="-"),999),1)="%"))&lt;&gt;"",SUBSTITUTE(SUBSTITUTE(SUBSTITUTE(SUBSTITUTE(SUBSTITUTE(SUBSTITUTE(SUBSTITUTE(SUBSTITUTE(SUBSTITUTE(SUBSTITUTE(SUBSTITUTE(SUBSTITUTE(LEFT(MID(TRIM(INDEX(PASTE_ALL,3,14)),1+(LEFT(TRIM(INDEX(PASTE_ALL,3,14)),1)="-"),999),LEN(MID(TRIM(INDEX(PASTE_ALL,3,14)),1+(LEFT(TRIM(INDEX(PASTE_ALL,3,14)),1)="-"),999))-(RIGHT(MID(TRIM(INDEX(PASTE_ALL,3,14)),1+(LEFT(TRIM(INDEX(PASTE_ALL,3,14)),1)="-"),999),1)="%")),"0",""),"1",""),"2",""),"3",""),"4",""),"5",""),"6",""),"7",""),"8",""),"9",""),".",""),",","")=""),2,1))),1)</f>
        <v/>
      </c>
      <c r="AM52">
        <f>IFERROR(IF(ISNUMBER(INDEX(PASTE_ALL,3,15)),2,IF(TRIM(INDEX(PASTE_ALL,3,15))="",0,IF(AND(LEFT(MID(TRIM(INDEX(PASTE_ALL,3,15)),1+(LEFT(TRIM(INDEX(PASTE_ALL,3,15)),1)="-"),999),LEN(MID(TRIM(INDEX(PASTE_ALL,3,15)),1+(LEFT(TRIM(INDEX(PASTE_ALL,3,15)),1)="-"),999))-(RIGHT(MID(TRIM(INDEX(PASTE_ALL,3,15)),1+(LEFT(TRIM(INDEX(PASTE_ALL,3,15)),1)="-"),999),1)="%"))&lt;&gt;"",SUBSTITUTE(SUBSTITUTE(SUBSTITUTE(SUBSTITUTE(SUBSTITUTE(SUBSTITUTE(SUBSTITUTE(SUBSTITUTE(SUBSTITUTE(SUBSTITUTE(SUBSTITUTE(SUBSTITUTE(LEFT(MID(TRIM(INDEX(PASTE_ALL,3,15)),1+(LEFT(TRIM(INDEX(PASTE_ALL,3,15)),1)="-"),999),LEN(MID(TRIM(INDEX(PASTE_ALL,3,15)),1+(LEFT(TRIM(INDEX(PASTE_ALL,3,15)),1)="-"),999))-(RIGHT(MID(TRIM(INDEX(PASTE_ALL,3,15)),1+(LEFT(TRIM(INDEX(PASTE_ALL,3,15)),1)="-"),999),1)="%")),"0",""),"1",""),"2",""),"3",""),"4",""),"5",""),"6",""),"7",""),"8",""),"9",""),".",""),",","")=""),2,1))),1)</f>
        <v/>
      </c>
      <c r="AN52">
        <f>IFERROR(IF(ISNUMBER(INDEX(PASTE_ALL,3,16)),2,IF(TRIM(INDEX(PASTE_ALL,3,16))="",0,IF(AND(LEFT(MID(TRIM(INDEX(PASTE_ALL,3,16)),1+(LEFT(TRIM(INDEX(PASTE_ALL,3,16)),1)="-"),999),LEN(MID(TRIM(INDEX(PASTE_ALL,3,16)),1+(LEFT(TRIM(INDEX(PASTE_ALL,3,16)),1)="-"),999))-(RIGHT(MID(TRIM(INDEX(PASTE_ALL,3,16)),1+(LEFT(TRIM(INDEX(PASTE_ALL,3,16)),1)="-"),999),1)="%"))&lt;&gt;"",SUBSTITUTE(SUBSTITUTE(SUBSTITUTE(SUBSTITUTE(SUBSTITUTE(SUBSTITUTE(SUBSTITUTE(SUBSTITUTE(SUBSTITUTE(SUBSTITUTE(SUBSTITUTE(SUBSTITUTE(LEFT(MID(TRIM(INDEX(PASTE_ALL,3,16)),1+(LEFT(TRIM(INDEX(PASTE_ALL,3,16)),1)="-"),999),LEN(MID(TRIM(INDEX(PASTE_ALL,3,16)),1+(LEFT(TRIM(INDEX(PASTE_ALL,3,16)),1)="-"),999))-(RIGHT(MID(TRIM(INDEX(PASTE_ALL,3,16)),1+(LEFT(TRIM(INDEX(PASTE_ALL,3,16)),1)="-"),999),1)="%")),"0",""),"1",""),"2",""),"3",""),"4",""),"5",""),"6",""),"7",""),"8",""),"9",""),".",""),",","")=""),2,1))),1)</f>
        <v/>
      </c>
      <c r="AO52">
        <f>IFERROR(IF(ISNUMBER(INDEX(PASTE_ALL,3,17)),2,IF(TRIM(INDEX(PASTE_ALL,3,17))="",0,IF(AND(LEFT(MID(TRIM(INDEX(PASTE_ALL,3,17)),1+(LEFT(TRIM(INDEX(PASTE_ALL,3,17)),1)="-"),999),LEN(MID(TRIM(INDEX(PASTE_ALL,3,17)),1+(LEFT(TRIM(INDEX(PASTE_ALL,3,17)),1)="-"),999))-(RIGHT(MID(TRIM(INDEX(PASTE_ALL,3,17)),1+(LEFT(TRIM(INDEX(PASTE_ALL,3,17)),1)="-"),999),1)="%"))&lt;&gt;"",SUBSTITUTE(SUBSTITUTE(SUBSTITUTE(SUBSTITUTE(SUBSTITUTE(SUBSTITUTE(SUBSTITUTE(SUBSTITUTE(SUBSTITUTE(SUBSTITUTE(SUBSTITUTE(SUBSTITUTE(LEFT(MID(TRIM(INDEX(PASTE_ALL,3,17)),1+(LEFT(TRIM(INDEX(PASTE_ALL,3,17)),1)="-"),999),LEN(MID(TRIM(INDEX(PASTE_ALL,3,17)),1+(LEFT(TRIM(INDEX(PASTE_ALL,3,17)),1)="-"),999))-(RIGHT(MID(TRIM(INDEX(PASTE_ALL,3,17)),1+(LEFT(TRIM(INDEX(PASTE_ALL,3,17)),1)="-"),999),1)="%")),"0",""),"1",""),"2",""),"3",""),"4",""),"5",""),"6",""),"7",""),"8",""),"9",""),".",""),",","")=""),2,1))),1)</f>
        <v/>
      </c>
      <c r="AP52">
        <f>IFERROR(IF(ISNUMBER(INDEX(PASTE_ALL,3,18)),2,IF(TRIM(INDEX(PASTE_ALL,3,18))="",0,IF(AND(LEFT(MID(TRIM(INDEX(PASTE_ALL,3,18)),1+(LEFT(TRIM(INDEX(PASTE_ALL,3,18)),1)="-"),999),LEN(MID(TRIM(INDEX(PASTE_ALL,3,18)),1+(LEFT(TRIM(INDEX(PASTE_ALL,3,18)),1)="-"),999))-(RIGHT(MID(TRIM(INDEX(PASTE_ALL,3,18)),1+(LEFT(TRIM(INDEX(PASTE_ALL,3,18)),1)="-"),999),1)="%"))&lt;&gt;"",SUBSTITUTE(SUBSTITUTE(SUBSTITUTE(SUBSTITUTE(SUBSTITUTE(SUBSTITUTE(SUBSTITUTE(SUBSTITUTE(SUBSTITUTE(SUBSTITUTE(SUBSTITUTE(SUBSTITUTE(LEFT(MID(TRIM(INDEX(PASTE_ALL,3,18)),1+(LEFT(TRIM(INDEX(PASTE_ALL,3,18)),1)="-"),999),LEN(MID(TRIM(INDEX(PASTE_ALL,3,18)),1+(LEFT(TRIM(INDEX(PASTE_ALL,3,18)),1)="-"),999))-(RIGHT(MID(TRIM(INDEX(PASTE_ALL,3,18)),1+(LEFT(TRIM(INDEX(PASTE_ALL,3,18)),1)="-"),999),1)="%")),"0",""),"1",""),"2",""),"3",""),"4",""),"5",""),"6",""),"7",""),"8",""),"9",""),".",""),",","")=""),2,1))),1)</f>
        <v/>
      </c>
      <c r="AQ52">
        <f>IFERROR(IF(ISNUMBER(INDEX(PASTE_ALL,3,19)),2,IF(TRIM(INDEX(PASTE_ALL,3,19))="",0,IF(AND(LEFT(MID(TRIM(INDEX(PASTE_ALL,3,19)),1+(LEFT(TRIM(INDEX(PASTE_ALL,3,19)),1)="-"),999),LEN(MID(TRIM(INDEX(PASTE_ALL,3,19)),1+(LEFT(TRIM(INDEX(PASTE_ALL,3,19)),1)="-"),999))-(RIGHT(MID(TRIM(INDEX(PASTE_ALL,3,19)),1+(LEFT(TRIM(INDEX(PASTE_ALL,3,19)),1)="-"),999),1)="%"))&lt;&gt;"",SUBSTITUTE(SUBSTITUTE(SUBSTITUTE(SUBSTITUTE(SUBSTITUTE(SUBSTITUTE(SUBSTITUTE(SUBSTITUTE(SUBSTITUTE(SUBSTITUTE(SUBSTITUTE(SUBSTITUTE(LEFT(MID(TRIM(INDEX(PASTE_ALL,3,19)),1+(LEFT(TRIM(INDEX(PASTE_ALL,3,19)),1)="-"),999),LEN(MID(TRIM(INDEX(PASTE_ALL,3,19)),1+(LEFT(TRIM(INDEX(PASTE_ALL,3,19)),1)="-"),999))-(RIGHT(MID(TRIM(INDEX(PASTE_ALL,3,19)),1+(LEFT(TRIM(INDEX(PASTE_ALL,3,19)),1)="-"),999),1)="%")),"0",""),"1",""),"2",""),"3",""),"4",""),"5",""),"6",""),"7",""),"8",""),"9",""),".",""),",","")=""),2,1))),1)</f>
        <v/>
      </c>
      <c r="AR52">
        <f>IFERROR(IF(ISNUMBER(INDEX(PASTE_ALL,3,20)),2,IF(TRIM(INDEX(PASTE_ALL,3,20))="",0,IF(AND(LEFT(MID(TRIM(INDEX(PASTE_ALL,3,20)),1+(LEFT(TRIM(INDEX(PASTE_ALL,3,20)),1)="-"),999),LEN(MID(TRIM(INDEX(PASTE_ALL,3,20)),1+(LEFT(TRIM(INDEX(PASTE_ALL,3,20)),1)="-"),999))-(RIGHT(MID(TRIM(INDEX(PASTE_ALL,3,20)),1+(LEFT(TRIM(INDEX(PASTE_ALL,3,20)),1)="-"),999),1)="%"))&lt;&gt;"",SUBSTITUTE(SUBSTITUTE(SUBSTITUTE(SUBSTITUTE(SUBSTITUTE(SUBSTITUTE(SUBSTITUTE(SUBSTITUTE(SUBSTITUTE(SUBSTITUTE(SUBSTITUTE(SUBSTITUTE(LEFT(MID(TRIM(INDEX(PASTE_ALL,3,20)),1+(LEFT(TRIM(INDEX(PASTE_ALL,3,20)),1)="-"),999),LEN(MID(TRIM(INDEX(PASTE_ALL,3,20)),1+(LEFT(TRIM(INDEX(PASTE_ALL,3,20)),1)="-"),999))-(RIGHT(MID(TRIM(INDEX(PASTE_ALL,3,20)),1+(LEFT(TRIM(INDEX(PASTE_ALL,3,20)),1)="-"),999),1)="%")),"0",""),"1",""),"2",""),"3",""),"4",""),"5",""),"6",""),"7",""),"8",""),"9",""),".",""),",","")=""),2,1))),1)</f>
        <v/>
      </c>
      <c r="AS52">
        <f>IFERROR(IF(ISNUMBER(INDEX(PASTE_ALL,3,21)),2,IF(TRIM(INDEX(PASTE_ALL,3,21))="",0,IF(AND(LEFT(MID(TRIM(INDEX(PASTE_ALL,3,21)),1+(LEFT(TRIM(INDEX(PASTE_ALL,3,21)),1)="-"),999),LEN(MID(TRIM(INDEX(PASTE_ALL,3,21)),1+(LEFT(TRIM(INDEX(PASTE_ALL,3,21)),1)="-"),999))-(RIGHT(MID(TRIM(INDEX(PASTE_ALL,3,21)),1+(LEFT(TRIM(INDEX(PASTE_ALL,3,21)),1)="-"),999),1)="%"))&lt;&gt;"",SUBSTITUTE(SUBSTITUTE(SUBSTITUTE(SUBSTITUTE(SUBSTITUTE(SUBSTITUTE(SUBSTITUTE(SUBSTITUTE(SUBSTITUTE(SUBSTITUTE(SUBSTITUTE(SUBSTITUTE(LEFT(MID(TRIM(INDEX(PASTE_ALL,3,21)),1+(LEFT(TRIM(INDEX(PASTE_ALL,3,21)),1)="-"),999),LEN(MID(TRIM(INDEX(PASTE_ALL,3,21)),1+(LEFT(TRIM(INDEX(PASTE_ALL,3,21)),1)="-"),999))-(RIGHT(MID(TRIM(INDEX(PASTE_ALL,3,21)),1+(LEFT(TRIM(INDEX(PASTE_ALL,3,21)),1)="-"),999),1)="%")),"0",""),"1",""),"2",""),"3",""),"4",""),"5",""),"6",""),"7",""),"8",""),"9",""),".",""),",","")=""),2,1))),1)</f>
        <v/>
      </c>
      <c r="AT52">
        <f>IFERROR(IF(ISNUMBER(INDEX(PASTE_ALL,3,22)),2,IF(TRIM(INDEX(PASTE_ALL,3,22))="",0,IF(AND(LEFT(MID(TRIM(INDEX(PASTE_ALL,3,22)),1+(LEFT(TRIM(INDEX(PASTE_ALL,3,22)),1)="-"),999),LEN(MID(TRIM(INDEX(PASTE_ALL,3,22)),1+(LEFT(TRIM(INDEX(PASTE_ALL,3,22)),1)="-"),999))-(RIGHT(MID(TRIM(INDEX(PASTE_ALL,3,22)),1+(LEFT(TRIM(INDEX(PASTE_ALL,3,22)),1)="-"),999),1)="%"))&lt;&gt;"",SUBSTITUTE(SUBSTITUTE(SUBSTITUTE(SUBSTITUTE(SUBSTITUTE(SUBSTITUTE(SUBSTITUTE(SUBSTITUTE(SUBSTITUTE(SUBSTITUTE(SUBSTITUTE(SUBSTITUTE(LEFT(MID(TRIM(INDEX(PASTE_ALL,3,22)),1+(LEFT(TRIM(INDEX(PASTE_ALL,3,22)),1)="-"),999),LEN(MID(TRIM(INDEX(PASTE_ALL,3,22)),1+(LEFT(TRIM(INDEX(PASTE_ALL,3,22)),1)="-"),999))-(RIGHT(MID(TRIM(INDEX(PASTE_ALL,3,22)),1+(LEFT(TRIM(INDEX(PASTE_ALL,3,22)),1)="-"),999),1)="%")),"0",""),"1",""),"2",""),"3",""),"4",""),"5",""),"6",""),"7",""),"8",""),"9",""),".",""),",","")=""),2,1))),1)</f>
        <v/>
      </c>
      <c r="AU52">
        <f>IFERROR(IF(ISNUMBER(INDEX(PASTE_ALL,3,23)),2,IF(TRIM(INDEX(PASTE_ALL,3,23))="",0,IF(AND(LEFT(MID(TRIM(INDEX(PASTE_ALL,3,23)),1+(LEFT(TRIM(INDEX(PASTE_ALL,3,23)),1)="-"),999),LEN(MID(TRIM(INDEX(PASTE_ALL,3,23)),1+(LEFT(TRIM(INDEX(PASTE_ALL,3,23)),1)="-"),999))-(RIGHT(MID(TRIM(INDEX(PASTE_ALL,3,23)),1+(LEFT(TRIM(INDEX(PASTE_ALL,3,23)),1)="-"),999),1)="%"))&lt;&gt;"",SUBSTITUTE(SUBSTITUTE(SUBSTITUTE(SUBSTITUTE(SUBSTITUTE(SUBSTITUTE(SUBSTITUTE(SUBSTITUTE(SUBSTITUTE(SUBSTITUTE(SUBSTITUTE(SUBSTITUTE(LEFT(MID(TRIM(INDEX(PASTE_ALL,3,23)),1+(LEFT(TRIM(INDEX(PASTE_ALL,3,23)),1)="-"),999),LEN(MID(TRIM(INDEX(PASTE_ALL,3,23)),1+(LEFT(TRIM(INDEX(PASTE_ALL,3,23)),1)="-"),999))-(RIGHT(MID(TRIM(INDEX(PASTE_ALL,3,23)),1+(LEFT(TRIM(INDEX(PASTE_ALL,3,23)),1)="-"),999),1)="%")),"0",""),"1",""),"2",""),"3",""),"4",""),"5",""),"6",""),"7",""),"8",""),"9",""),".",""),",","")=""),2,1))),1)</f>
        <v/>
      </c>
      <c r="AV52">
        <f>IFERROR(IF(ISNUMBER(INDEX(PASTE_ALL,3,24)),2,IF(TRIM(INDEX(PASTE_ALL,3,24))="",0,IF(AND(LEFT(MID(TRIM(INDEX(PASTE_ALL,3,24)),1+(LEFT(TRIM(INDEX(PASTE_ALL,3,24)),1)="-"),999),LEN(MID(TRIM(INDEX(PASTE_ALL,3,24)),1+(LEFT(TRIM(INDEX(PASTE_ALL,3,24)),1)="-"),999))-(RIGHT(MID(TRIM(INDEX(PASTE_ALL,3,24)),1+(LEFT(TRIM(INDEX(PASTE_ALL,3,24)),1)="-"),999),1)="%"))&lt;&gt;"",SUBSTITUTE(SUBSTITUTE(SUBSTITUTE(SUBSTITUTE(SUBSTITUTE(SUBSTITUTE(SUBSTITUTE(SUBSTITUTE(SUBSTITUTE(SUBSTITUTE(SUBSTITUTE(SUBSTITUTE(LEFT(MID(TRIM(INDEX(PASTE_ALL,3,24)),1+(LEFT(TRIM(INDEX(PASTE_ALL,3,24)),1)="-"),999),LEN(MID(TRIM(INDEX(PASTE_ALL,3,24)),1+(LEFT(TRIM(INDEX(PASTE_ALL,3,24)),1)="-"),999))-(RIGHT(MID(TRIM(INDEX(PASTE_ALL,3,24)),1+(LEFT(TRIM(INDEX(PASTE_ALL,3,24)),1)="-"),999),1)="%")),"0",""),"1",""),"2",""),"3",""),"4",""),"5",""),"6",""),"7",""),"8",""),"9",""),".",""),",","")=""),2,1))),1)</f>
        <v/>
      </c>
      <c r="AW52">
        <f>IFERROR(IF(ISNUMBER(INDEX(PASTE_ALL,3,25)),2,IF(TRIM(INDEX(PASTE_ALL,3,25))="",0,IF(AND(LEFT(MID(TRIM(INDEX(PASTE_ALL,3,25)),1+(LEFT(TRIM(INDEX(PASTE_ALL,3,25)),1)="-"),999),LEN(MID(TRIM(INDEX(PASTE_ALL,3,25)),1+(LEFT(TRIM(INDEX(PASTE_ALL,3,25)),1)="-"),999))-(RIGHT(MID(TRIM(INDEX(PASTE_ALL,3,25)),1+(LEFT(TRIM(INDEX(PASTE_ALL,3,25)),1)="-"),999),1)="%"))&lt;&gt;"",SUBSTITUTE(SUBSTITUTE(SUBSTITUTE(SUBSTITUTE(SUBSTITUTE(SUBSTITUTE(SUBSTITUTE(SUBSTITUTE(SUBSTITUTE(SUBSTITUTE(SUBSTITUTE(SUBSTITUTE(LEFT(MID(TRIM(INDEX(PASTE_ALL,3,25)),1+(LEFT(TRIM(INDEX(PASTE_ALL,3,25)),1)="-"),999),LEN(MID(TRIM(INDEX(PASTE_ALL,3,25)),1+(LEFT(TRIM(INDEX(PASTE_ALL,3,25)),1)="-"),999))-(RIGHT(MID(TRIM(INDEX(PASTE_ALL,3,25)),1+(LEFT(TRIM(INDEX(PASTE_ALL,3,25)),1)="-"),999),1)="%")),"0",""),"1",""),"2",""),"3",""),"4",""),"5",""),"6",""),"7",""),"8",""),"9",""),".",""),",","")=""),2,1))),1)</f>
        <v/>
      </c>
      <c r="AX52">
        <f>IFERROR(IF(ISNUMBER(INDEX(PASTE_ALL,3,26)),2,IF(TRIM(INDEX(PASTE_ALL,3,26))="",0,IF(AND(LEFT(MID(TRIM(INDEX(PASTE_ALL,3,26)),1+(LEFT(TRIM(INDEX(PASTE_ALL,3,26)),1)="-"),999),LEN(MID(TRIM(INDEX(PASTE_ALL,3,26)),1+(LEFT(TRIM(INDEX(PASTE_ALL,3,26)),1)="-"),999))-(RIGHT(MID(TRIM(INDEX(PASTE_ALL,3,26)),1+(LEFT(TRIM(INDEX(PASTE_ALL,3,26)),1)="-"),999),1)="%"))&lt;&gt;"",SUBSTITUTE(SUBSTITUTE(SUBSTITUTE(SUBSTITUTE(SUBSTITUTE(SUBSTITUTE(SUBSTITUTE(SUBSTITUTE(SUBSTITUTE(SUBSTITUTE(SUBSTITUTE(SUBSTITUTE(LEFT(MID(TRIM(INDEX(PASTE_ALL,3,26)),1+(LEFT(TRIM(INDEX(PASTE_ALL,3,26)),1)="-"),999),LEN(MID(TRIM(INDEX(PASTE_ALL,3,26)),1+(LEFT(TRIM(INDEX(PASTE_ALL,3,26)),1)="-"),999))-(RIGHT(MID(TRIM(INDEX(PASTE_ALL,3,26)),1+(LEFT(TRIM(INDEX(PASTE_ALL,3,26)),1)="-"),999),1)="%")),"0",""),"1",""),"2",""),"3",""),"4",""),"5",""),"6",""),"7",""),"8",""),"9",""),".",""),",","")=""),2,1))),1)</f>
        <v/>
      </c>
      <c r="AY52">
        <f>IFERROR(IF(ISNUMBER(INDEX(PASTE_ALL,3,27)),2,IF(TRIM(INDEX(PASTE_ALL,3,27))="",0,IF(AND(LEFT(MID(TRIM(INDEX(PASTE_ALL,3,27)),1+(LEFT(TRIM(INDEX(PASTE_ALL,3,27)),1)="-"),999),LEN(MID(TRIM(INDEX(PASTE_ALL,3,27)),1+(LEFT(TRIM(INDEX(PASTE_ALL,3,27)),1)="-"),999))-(RIGHT(MID(TRIM(INDEX(PASTE_ALL,3,27)),1+(LEFT(TRIM(INDEX(PASTE_ALL,3,27)),1)="-"),999),1)="%"))&lt;&gt;"",SUBSTITUTE(SUBSTITUTE(SUBSTITUTE(SUBSTITUTE(SUBSTITUTE(SUBSTITUTE(SUBSTITUTE(SUBSTITUTE(SUBSTITUTE(SUBSTITUTE(SUBSTITUTE(SUBSTITUTE(LEFT(MID(TRIM(INDEX(PASTE_ALL,3,27)),1+(LEFT(TRIM(INDEX(PASTE_ALL,3,27)),1)="-"),999),LEN(MID(TRIM(INDEX(PASTE_ALL,3,27)),1+(LEFT(TRIM(INDEX(PASTE_ALL,3,27)),1)="-"),999))-(RIGHT(MID(TRIM(INDEX(PASTE_ALL,3,27)),1+(LEFT(TRIM(INDEX(PASTE_ALL,3,27)),1)="-"),999),1)="%")),"0",""),"1",""),"2",""),"3",""),"4",""),"5",""),"6",""),"7",""),"8",""),"9",""),".",""),",","")=""),2,1))),1)</f>
        <v/>
      </c>
      <c r="AZ52">
        <f>IFERROR(IF(ISNUMBER(INDEX(PASTE_ALL,3,28)),2,IF(TRIM(INDEX(PASTE_ALL,3,28))="",0,IF(AND(LEFT(MID(TRIM(INDEX(PASTE_ALL,3,28)),1+(LEFT(TRIM(INDEX(PASTE_ALL,3,28)),1)="-"),999),LEN(MID(TRIM(INDEX(PASTE_ALL,3,28)),1+(LEFT(TRIM(INDEX(PASTE_ALL,3,28)),1)="-"),999))-(RIGHT(MID(TRIM(INDEX(PASTE_ALL,3,28)),1+(LEFT(TRIM(INDEX(PASTE_ALL,3,28)),1)="-"),999),1)="%"))&lt;&gt;"",SUBSTITUTE(SUBSTITUTE(SUBSTITUTE(SUBSTITUTE(SUBSTITUTE(SUBSTITUTE(SUBSTITUTE(SUBSTITUTE(SUBSTITUTE(SUBSTITUTE(SUBSTITUTE(SUBSTITUTE(LEFT(MID(TRIM(INDEX(PASTE_ALL,3,28)),1+(LEFT(TRIM(INDEX(PASTE_ALL,3,28)),1)="-"),999),LEN(MID(TRIM(INDEX(PASTE_ALL,3,28)),1+(LEFT(TRIM(INDEX(PASTE_ALL,3,28)),1)="-"),999))-(RIGHT(MID(TRIM(INDEX(PASTE_ALL,3,28)),1+(LEFT(TRIM(INDEX(PASTE_ALL,3,28)),1)="-"),999),1)="%")),"0",""),"1",""),"2",""),"3",""),"4",""),"5",""),"6",""),"7",""),"8",""),"9",""),".",""),",","")=""),2,1))),1)</f>
        <v/>
      </c>
      <c r="BA52">
        <f>IFERROR(IF(ISNUMBER(INDEX(PASTE_ALL,3,29)),2,IF(TRIM(INDEX(PASTE_ALL,3,29))="",0,IF(AND(LEFT(MID(TRIM(INDEX(PASTE_ALL,3,29)),1+(LEFT(TRIM(INDEX(PASTE_ALL,3,29)),1)="-"),999),LEN(MID(TRIM(INDEX(PASTE_ALL,3,29)),1+(LEFT(TRIM(INDEX(PASTE_ALL,3,29)),1)="-"),999))-(RIGHT(MID(TRIM(INDEX(PASTE_ALL,3,29)),1+(LEFT(TRIM(INDEX(PASTE_ALL,3,29)),1)="-"),999),1)="%"))&lt;&gt;"",SUBSTITUTE(SUBSTITUTE(SUBSTITUTE(SUBSTITUTE(SUBSTITUTE(SUBSTITUTE(SUBSTITUTE(SUBSTITUTE(SUBSTITUTE(SUBSTITUTE(SUBSTITUTE(SUBSTITUTE(LEFT(MID(TRIM(INDEX(PASTE_ALL,3,29)),1+(LEFT(TRIM(INDEX(PASTE_ALL,3,29)),1)="-"),999),LEN(MID(TRIM(INDEX(PASTE_ALL,3,29)),1+(LEFT(TRIM(INDEX(PASTE_ALL,3,29)),1)="-"),999))-(RIGHT(MID(TRIM(INDEX(PASTE_ALL,3,29)),1+(LEFT(TRIM(INDEX(PASTE_ALL,3,29)),1)="-"),999),1)="%")),"0",""),"1",""),"2",""),"3",""),"4",""),"5",""),"6",""),"7",""),"8",""),"9",""),".",""),",","")=""),2,1))),1)</f>
        <v/>
      </c>
      <c r="BB52">
        <f>IFERROR(IF(ISNUMBER(INDEX(PASTE_ALL,3,30)),2,IF(TRIM(INDEX(PASTE_ALL,3,30))="",0,IF(AND(LEFT(MID(TRIM(INDEX(PASTE_ALL,3,30)),1+(LEFT(TRIM(INDEX(PASTE_ALL,3,30)),1)="-"),999),LEN(MID(TRIM(INDEX(PASTE_ALL,3,30)),1+(LEFT(TRIM(INDEX(PASTE_ALL,3,30)),1)="-"),999))-(RIGHT(MID(TRIM(INDEX(PASTE_ALL,3,30)),1+(LEFT(TRIM(INDEX(PASTE_ALL,3,30)),1)="-"),999),1)="%"))&lt;&gt;"",SUBSTITUTE(SUBSTITUTE(SUBSTITUTE(SUBSTITUTE(SUBSTITUTE(SUBSTITUTE(SUBSTITUTE(SUBSTITUTE(SUBSTITUTE(SUBSTITUTE(SUBSTITUTE(SUBSTITUTE(LEFT(MID(TRIM(INDEX(PASTE_ALL,3,30)),1+(LEFT(TRIM(INDEX(PASTE_ALL,3,30)),1)="-"),999),LEN(MID(TRIM(INDEX(PASTE_ALL,3,30)),1+(LEFT(TRIM(INDEX(PASTE_ALL,3,30)),1)="-"),999))-(RIGHT(MID(TRIM(INDEX(PASTE_ALL,3,30)),1+(LEFT(TRIM(INDEX(PASTE_ALL,3,30)),1)="-"),999),1)="%")),"0",""),"1",""),"2",""),"3",""),"4",""),"5",""),"6",""),"7",""),"8",""),"9",""),".",""),",","")=""),2,1))),1)</f>
        <v/>
      </c>
      <c r="BC52">
        <f>IFERROR(IF(ISNUMBER(INDEX(PASTE_ALL,3,31)),2,IF(TRIM(INDEX(PASTE_ALL,3,31))="",0,IF(AND(LEFT(MID(TRIM(INDEX(PASTE_ALL,3,31)),1+(LEFT(TRIM(INDEX(PASTE_ALL,3,31)),1)="-"),999),LEN(MID(TRIM(INDEX(PASTE_ALL,3,31)),1+(LEFT(TRIM(INDEX(PASTE_ALL,3,31)),1)="-"),999))-(RIGHT(MID(TRIM(INDEX(PASTE_ALL,3,31)),1+(LEFT(TRIM(INDEX(PASTE_ALL,3,31)),1)="-"),999),1)="%"))&lt;&gt;"",SUBSTITUTE(SUBSTITUTE(SUBSTITUTE(SUBSTITUTE(SUBSTITUTE(SUBSTITUTE(SUBSTITUTE(SUBSTITUTE(SUBSTITUTE(SUBSTITUTE(SUBSTITUTE(SUBSTITUTE(LEFT(MID(TRIM(INDEX(PASTE_ALL,3,31)),1+(LEFT(TRIM(INDEX(PASTE_ALL,3,31)),1)="-"),999),LEN(MID(TRIM(INDEX(PASTE_ALL,3,31)),1+(LEFT(TRIM(INDEX(PASTE_ALL,3,31)),1)="-"),999))-(RIGHT(MID(TRIM(INDEX(PASTE_ALL,3,31)),1+(LEFT(TRIM(INDEX(PASTE_ALL,3,31)),1)="-"),999),1)="%")),"0",""),"1",""),"2",""),"3",""),"4",""),"5",""),"6",""),"7",""),"8",""),"9",""),".",""),",","")=""),2,1))),1)</f>
        <v/>
      </c>
      <c r="BD52">
        <f>IFERROR(IF(ISNUMBER(INDEX(PASTE_ALL,3,32)),2,IF(TRIM(INDEX(PASTE_ALL,3,32))="",0,IF(AND(LEFT(MID(TRIM(INDEX(PASTE_ALL,3,32)),1+(LEFT(TRIM(INDEX(PASTE_ALL,3,32)),1)="-"),999),LEN(MID(TRIM(INDEX(PASTE_ALL,3,32)),1+(LEFT(TRIM(INDEX(PASTE_ALL,3,32)),1)="-"),999))-(RIGHT(MID(TRIM(INDEX(PASTE_ALL,3,32)),1+(LEFT(TRIM(INDEX(PASTE_ALL,3,32)),1)="-"),999),1)="%"))&lt;&gt;"",SUBSTITUTE(SUBSTITUTE(SUBSTITUTE(SUBSTITUTE(SUBSTITUTE(SUBSTITUTE(SUBSTITUTE(SUBSTITUTE(SUBSTITUTE(SUBSTITUTE(SUBSTITUTE(SUBSTITUTE(LEFT(MID(TRIM(INDEX(PASTE_ALL,3,32)),1+(LEFT(TRIM(INDEX(PASTE_ALL,3,32)),1)="-"),999),LEN(MID(TRIM(INDEX(PASTE_ALL,3,32)),1+(LEFT(TRIM(INDEX(PASTE_ALL,3,32)),1)="-"),999))-(RIGHT(MID(TRIM(INDEX(PASTE_ALL,3,32)),1+(LEFT(TRIM(INDEX(PASTE_ALL,3,32)),1)="-"),999),1)="%")),"0",""),"1",""),"2",""),"3",""),"4",""),"5",""),"6",""),"7",""),"8",""),"9",""),".",""),",","")=""),2,1))),1)</f>
        <v/>
      </c>
      <c r="BE52">
        <f>IFERROR(IF(ISNUMBER(INDEX(PASTE_ALL,3,33)),2,IF(TRIM(INDEX(PASTE_ALL,3,33))="",0,IF(AND(LEFT(MID(TRIM(INDEX(PASTE_ALL,3,33)),1+(LEFT(TRIM(INDEX(PASTE_ALL,3,33)),1)="-"),999),LEN(MID(TRIM(INDEX(PASTE_ALL,3,33)),1+(LEFT(TRIM(INDEX(PASTE_ALL,3,33)),1)="-"),999))-(RIGHT(MID(TRIM(INDEX(PASTE_ALL,3,33)),1+(LEFT(TRIM(INDEX(PASTE_ALL,3,33)),1)="-"),999),1)="%"))&lt;&gt;"",SUBSTITUTE(SUBSTITUTE(SUBSTITUTE(SUBSTITUTE(SUBSTITUTE(SUBSTITUTE(SUBSTITUTE(SUBSTITUTE(SUBSTITUTE(SUBSTITUTE(SUBSTITUTE(SUBSTITUTE(LEFT(MID(TRIM(INDEX(PASTE_ALL,3,33)),1+(LEFT(TRIM(INDEX(PASTE_ALL,3,33)),1)="-"),999),LEN(MID(TRIM(INDEX(PASTE_ALL,3,33)),1+(LEFT(TRIM(INDEX(PASTE_ALL,3,33)),1)="-"),999))-(RIGHT(MID(TRIM(INDEX(PASTE_ALL,3,33)),1+(LEFT(TRIM(INDEX(PASTE_ALL,3,33)),1)="-"),999),1)="%")),"0",""),"1",""),"2",""),"3",""),"4",""),"5",""),"6",""),"7",""),"8",""),"9",""),".",""),",","")=""),2,1))),1)</f>
        <v/>
      </c>
      <c r="BF52">
        <f>IFERROR(IF(ISNUMBER(INDEX(PASTE_ALL,3,34)),2,IF(TRIM(INDEX(PASTE_ALL,3,34))="",0,IF(AND(LEFT(MID(TRIM(INDEX(PASTE_ALL,3,34)),1+(LEFT(TRIM(INDEX(PASTE_ALL,3,34)),1)="-"),999),LEN(MID(TRIM(INDEX(PASTE_ALL,3,34)),1+(LEFT(TRIM(INDEX(PASTE_ALL,3,34)),1)="-"),999))-(RIGHT(MID(TRIM(INDEX(PASTE_ALL,3,34)),1+(LEFT(TRIM(INDEX(PASTE_ALL,3,34)),1)="-"),999),1)="%"))&lt;&gt;"",SUBSTITUTE(SUBSTITUTE(SUBSTITUTE(SUBSTITUTE(SUBSTITUTE(SUBSTITUTE(SUBSTITUTE(SUBSTITUTE(SUBSTITUTE(SUBSTITUTE(SUBSTITUTE(SUBSTITUTE(LEFT(MID(TRIM(INDEX(PASTE_ALL,3,34)),1+(LEFT(TRIM(INDEX(PASTE_ALL,3,34)),1)="-"),999),LEN(MID(TRIM(INDEX(PASTE_ALL,3,34)),1+(LEFT(TRIM(INDEX(PASTE_ALL,3,34)),1)="-"),999))-(RIGHT(MID(TRIM(INDEX(PASTE_ALL,3,34)),1+(LEFT(TRIM(INDEX(PASTE_ALL,3,34)),1)="-"),999),1)="%")),"0",""),"1",""),"2",""),"3",""),"4",""),"5",""),"6",""),"7",""),"8",""),"9",""),".",""),",","")=""),2,1))),1)</f>
        <v/>
      </c>
      <c r="BG52">
        <f>IFERROR(IF(ISNUMBER(INDEX(PASTE_ALL,3,35)),2,IF(TRIM(INDEX(PASTE_ALL,3,35))="",0,IF(AND(LEFT(MID(TRIM(INDEX(PASTE_ALL,3,35)),1+(LEFT(TRIM(INDEX(PASTE_ALL,3,35)),1)="-"),999),LEN(MID(TRIM(INDEX(PASTE_ALL,3,35)),1+(LEFT(TRIM(INDEX(PASTE_ALL,3,35)),1)="-"),999))-(RIGHT(MID(TRIM(INDEX(PASTE_ALL,3,35)),1+(LEFT(TRIM(INDEX(PASTE_ALL,3,35)),1)="-"),999),1)="%"))&lt;&gt;"",SUBSTITUTE(SUBSTITUTE(SUBSTITUTE(SUBSTITUTE(SUBSTITUTE(SUBSTITUTE(SUBSTITUTE(SUBSTITUTE(SUBSTITUTE(SUBSTITUTE(SUBSTITUTE(SUBSTITUTE(LEFT(MID(TRIM(INDEX(PASTE_ALL,3,35)),1+(LEFT(TRIM(INDEX(PASTE_ALL,3,35)),1)="-"),999),LEN(MID(TRIM(INDEX(PASTE_ALL,3,35)),1+(LEFT(TRIM(INDEX(PASTE_ALL,3,35)),1)="-"),999))-(RIGHT(MID(TRIM(INDEX(PASTE_ALL,3,35)),1+(LEFT(TRIM(INDEX(PASTE_ALL,3,35)),1)="-"),999),1)="%")),"0",""),"1",""),"2",""),"3",""),"4",""),"5",""),"6",""),"7",""),"8",""),"9",""),".",""),",","")=""),2,1))),1)</f>
        <v/>
      </c>
      <c r="BH52">
        <f>IFERROR(IF(ISNUMBER(INDEX(PASTE_ALL,3,36)),2,IF(TRIM(INDEX(PASTE_ALL,3,36))="",0,IF(AND(LEFT(MID(TRIM(INDEX(PASTE_ALL,3,36)),1+(LEFT(TRIM(INDEX(PASTE_ALL,3,36)),1)="-"),999),LEN(MID(TRIM(INDEX(PASTE_ALL,3,36)),1+(LEFT(TRIM(INDEX(PASTE_ALL,3,36)),1)="-"),999))-(RIGHT(MID(TRIM(INDEX(PASTE_ALL,3,36)),1+(LEFT(TRIM(INDEX(PASTE_ALL,3,36)),1)="-"),999),1)="%"))&lt;&gt;"",SUBSTITUTE(SUBSTITUTE(SUBSTITUTE(SUBSTITUTE(SUBSTITUTE(SUBSTITUTE(SUBSTITUTE(SUBSTITUTE(SUBSTITUTE(SUBSTITUTE(SUBSTITUTE(SUBSTITUTE(LEFT(MID(TRIM(INDEX(PASTE_ALL,3,36)),1+(LEFT(TRIM(INDEX(PASTE_ALL,3,36)),1)="-"),999),LEN(MID(TRIM(INDEX(PASTE_ALL,3,36)),1+(LEFT(TRIM(INDEX(PASTE_ALL,3,36)),1)="-"),999))-(RIGHT(MID(TRIM(INDEX(PASTE_ALL,3,36)),1+(LEFT(TRIM(INDEX(PASTE_ALL,3,36)),1)="-"),999),1)="%")),"0",""),"1",""),"2",""),"3",""),"4",""),"5",""),"6",""),"7",""),"8",""),"9",""),".",""),",","")=""),2,1))),1)</f>
        <v/>
      </c>
      <c r="BI52">
        <f>IFERROR(IF(ISNUMBER(INDEX(PASTE_ALL,3,37)),2,IF(TRIM(INDEX(PASTE_ALL,3,37))="",0,IF(AND(LEFT(MID(TRIM(INDEX(PASTE_ALL,3,37)),1+(LEFT(TRIM(INDEX(PASTE_ALL,3,37)),1)="-"),999),LEN(MID(TRIM(INDEX(PASTE_ALL,3,37)),1+(LEFT(TRIM(INDEX(PASTE_ALL,3,37)),1)="-"),999))-(RIGHT(MID(TRIM(INDEX(PASTE_ALL,3,37)),1+(LEFT(TRIM(INDEX(PASTE_ALL,3,37)),1)="-"),999),1)="%"))&lt;&gt;"",SUBSTITUTE(SUBSTITUTE(SUBSTITUTE(SUBSTITUTE(SUBSTITUTE(SUBSTITUTE(SUBSTITUTE(SUBSTITUTE(SUBSTITUTE(SUBSTITUTE(SUBSTITUTE(SUBSTITUTE(LEFT(MID(TRIM(INDEX(PASTE_ALL,3,37)),1+(LEFT(TRIM(INDEX(PASTE_ALL,3,37)),1)="-"),999),LEN(MID(TRIM(INDEX(PASTE_ALL,3,37)),1+(LEFT(TRIM(INDEX(PASTE_ALL,3,37)),1)="-"),999))-(RIGHT(MID(TRIM(INDEX(PASTE_ALL,3,37)),1+(LEFT(TRIM(INDEX(PASTE_ALL,3,37)),1)="-"),999),1)="%")),"0",""),"1",""),"2",""),"3",""),"4",""),"5",""),"6",""),"7",""),"8",""),"9",""),".",""),",","")=""),2,1))),1)</f>
        <v/>
      </c>
      <c r="BJ52">
        <f>IFERROR(IF(ISNUMBER(INDEX(PASTE_ALL,3,38)),2,IF(TRIM(INDEX(PASTE_ALL,3,38))="",0,IF(AND(LEFT(MID(TRIM(INDEX(PASTE_ALL,3,38)),1+(LEFT(TRIM(INDEX(PASTE_ALL,3,38)),1)="-"),999),LEN(MID(TRIM(INDEX(PASTE_ALL,3,38)),1+(LEFT(TRIM(INDEX(PASTE_ALL,3,38)),1)="-"),999))-(RIGHT(MID(TRIM(INDEX(PASTE_ALL,3,38)),1+(LEFT(TRIM(INDEX(PASTE_ALL,3,38)),1)="-"),999),1)="%"))&lt;&gt;"",SUBSTITUTE(SUBSTITUTE(SUBSTITUTE(SUBSTITUTE(SUBSTITUTE(SUBSTITUTE(SUBSTITUTE(SUBSTITUTE(SUBSTITUTE(SUBSTITUTE(SUBSTITUTE(SUBSTITUTE(LEFT(MID(TRIM(INDEX(PASTE_ALL,3,38)),1+(LEFT(TRIM(INDEX(PASTE_ALL,3,38)),1)="-"),999),LEN(MID(TRIM(INDEX(PASTE_ALL,3,38)),1+(LEFT(TRIM(INDEX(PASTE_ALL,3,38)),1)="-"),999))-(RIGHT(MID(TRIM(INDEX(PASTE_ALL,3,38)),1+(LEFT(TRIM(INDEX(PASTE_ALL,3,38)),1)="-"),999),1)="%")),"0",""),"1",""),"2",""),"3",""),"4",""),"5",""),"6",""),"7",""),"8",""),"9",""),".",""),",","")=""),2,1))),1)</f>
        <v/>
      </c>
      <c r="BK52">
        <f>IFERROR(IF(ISNUMBER(INDEX(PASTE_ALL,3,39)),2,IF(TRIM(INDEX(PASTE_ALL,3,39))="",0,IF(AND(LEFT(MID(TRIM(INDEX(PASTE_ALL,3,39)),1+(LEFT(TRIM(INDEX(PASTE_ALL,3,39)),1)="-"),999),LEN(MID(TRIM(INDEX(PASTE_ALL,3,39)),1+(LEFT(TRIM(INDEX(PASTE_ALL,3,39)),1)="-"),999))-(RIGHT(MID(TRIM(INDEX(PASTE_ALL,3,39)),1+(LEFT(TRIM(INDEX(PASTE_ALL,3,39)),1)="-"),999),1)="%"))&lt;&gt;"",SUBSTITUTE(SUBSTITUTE(SUBSTITUTE(SUBSTITUTE(SUBSTITUTE(SUBSTITUTE(SUBSTITUTE(SUBSTITUTE(SUBSTITUTE(SUBSTITUTE(SUBSTITUTE(SUBSTITUTE(LEFT(MID(TRIM(INDEX(PASTE_ALL,3,39)),1+(LEFT(TRIM(INDEX(PASTE_ALL,3,39)),1)="-"),999),LEN(MID(TRIM(INDEX(PASTE_ALL,3,39)),1+(LEFT(TRIM(INDEX(PASTE_ALL,3,39)),1)="-"),999))-(RIGHT(MID(TRIM(INDEX(PASTE_ALL,3,39)),1+(LEFT(TRIM(INDEX(PASTE_ALL,3,39)),1)="-"),999),1)="%")),"0",""),"1",""),"2",""),"3",""),"4",""),"5",""),"6",""),"7",""),"8",""),"9",""),".",""),",","")=""),2,1))),1)</f>
        <v/>
      </c>
      <c r="BL52">
        <f>IFERROR(IF(ISNUMBER(INDEX(PASTE_ALL,3,40)),2,IF(TRIM(INDEX(PASTE_ALL,3,40))="",0,IF(AND(LEFT(MID(TRIM(INDEX(PASTE_ALL,3,40)),1+(LEFT(TRIM(INDEX(PASTE_ALL,3,40)),1)="-"),999),LEN(MID(TRIM(INDEX(PASTE_ALL,3,40)),1+(LEFT(TRIM(INDEX(PASTE_ALL,3,40)),1)="-"),999))-(RIGHT(MID(TRIM(INDEX(PASTE_ALL,3,40)),1+(LEFT(TRIM(INDEX(PASTE_ALL,3,40)),1)="-"),999),1)="%"))&lt;&gt;"",SUBSTITUTE(SUBSTITUTE(SUBSTITUTE(SUBSTITUTE(SUBSTITUTE(SUBSTITUTE(SUBSTITUTE(SUBSTITUTE(SUBSTITUTE(SUBSTITUTE(SUBSTITUTE(SUBSTITUTE(LEFT(MID(TRIM(INDEX(PASTE_ALL,3,40)),1+(LEFT(TRIM(INDEX(PASTE_ALL,3,40)),1)="-"),999),LEN(MID(TRIM(INDEX(PASTE_ALL,3,40)),1+(LEFT(TRIM(INDEX(PASTE_ALL,3,40)),1)="-"),999))-(RIGHT(MID(TRIM(INDEX(PASTE_ALL,3,40)),1+(LEFT(TRIM(INDEX(PASTE_ALL,3,40)),1)="-"),999),1)="%")),"0",""),"1",""),"2",""),"3",""),"4",""),"5",""),"6",""),"7",""),"8",""),"9",""),".",""),",","")=""),2,1))),1)</f>
        <v/>
      </c>
      <c r="BM52">
        <f>IFERROR(IF(ISNUMBER(INDEX(PASTE_ALL,3,41)),2,IF(TRIM(INDEX(PASTE_ALL,3,41))="",0,IF(AND(LEFT(MID(TRIM(INDEX(PASTE_ALL,3,41)),1+(LEFT(TRIM(INDEX(PASTE_ALL,3,41)),1)="-"),999),LEN(MID(TRIM(INDEX(PASTE_ALL,3,41)),1+(LEFT(TRIM(INDEX(PASTE_ALL,3,41)),1)="-"),999))-(RIGHT(MID(TRIM(INDEX(PASTE_ALL,3,41)),1+(LEFT(TRIM(INDEX(PASTE_ALL,3,41)),1)="-"),999),1)="%"))&lt;&gt;"",SUBSTITUTE(SUBSTITUTE(SUBSTITUTE(SUBSTITUTE(SUBSTITUTE(SUBSTITUTE(SUBSTITUTE(SUBSTITUTE(SUBSTITUTE(SUBSTITUTE(SUBSTITUTE(SUBSTITUTE(LEFT(MID(TRIM(INDEX(PASTE_ALL,3,41)),1+(LEFT(TRIM(INDEX(PASTE_ALL,3,41)),1)="-"),999),LEN(MID(TRIM(INDEX(PASTE_ALL,3,41)),1+(LEFT(TRIM(INDEX(PASTE_ALL,3,41)),1)="-"),999))-(RIGHT(MID(TRIM(INDEX(PASTE_ALL,3,41)),1+(LEFT(TRIM(INDEX(PASTE_ALL,3,41)),1)="-"),999),1)="%")),"0",""),"1",""),"2",""),"3",""),"4",""),"5",""),"6",""),"7",""),"8",""),"9",""),".",""),",","")=""),2,1))),1)</f>
        <v/>
      </c>
      <c r="BN52">
        <f>IFERROR(IF(ISNUMBER(INDEX(PASTE_ALL,3,42)),2,IF(TRIM(INDEX(PASTE_ALL,3,42))="",0,IF(AND(LEFT(MID(TRIM(INDEX(PASTE_ALL,3,42)),1+(LEFT(TRIM(INDEX(PASTE_ALL,3,42)),1)="-"),999),LEN(MID(TRIM(INDEX(PASTE_ALL,3,42)),1+(LEFT(TRIM(INDEX(PASTE_ALL,3,42)),1)="-"),999))-(RIGHT(MID(TRIM(INDEX(PASTE_ALL,3,42)),1+(LEFT(TRIM(INDEX(PASTE_ALL,3,42)),1)="-"),999),1)="%"))&lt;&gt;"",SUBSTITUTE(SUBSTITUTE(SUBSTITUTE(SUBSTITUTE(SUBSTITUTE(SUBSTITUTE(SUBSTITUTE(SUBSTITUTE(SUBSTITUTE(SUBSTITUTE(SUBSTITUTE(SUBSTITUTE(LEFT(MID(TRIM(INDEX(PASTE_ALL,3,42)),1+(LEFT(TRIM(INDEX(PASTE_ALL,3,42)),1)="-"),999),LEN(MID(TRIM(INDEX(PASTE_ALL,3,42)),1+(LEFT(TRIM(INDEX(PASTE_ALL,3,42)),1)="-"),999))-(RIGHT(MID(TRIM(INDEX(PASTE_ALL,3,42)),1+(LEFT(TRIM(INDEX(PASTE_ALL,3,42)),1)="-"),999),1)="%")),"0",""),"1",""),"2",""),"3",""),"4",""),"5",""),"6",""),"7",""),"8",""),"9",""),".",""),",","")=""),2,1))),1)</f>
        <v/>
      </c>
      <c r="BO52">
        <f>IFERROR(IF(ISNUMBER(INDEX(PASTE_ALL,3,43)),2,IF(TRIM(INDEX(PASTE_ALL,3,43))="",0,IF(AND(LEFT(MID(TRIM(INDEX(PASTE_ALL,3,43)),1+(LEFT(TRIM(INDEX(PASTE_ALL,3,43)),1)="-"),999),LEN(MID(TRIM(INDEX(PASTE_ALL,3,43)),1+(LEFT(TRIM(INDEX(PASTE_ALL,3,43)),1)="-"),999))-(RIGHT(MID(TRIM(INDEX(PASTE_ALL,3,43)),1+(LEFT(TRIM(INDEX(PASTE_ALL,3,43)),1)="-"),999),1)="%"))&lt;&gt;"",SUBSTITUTE(SUBSTITUTE(SUBSTITUTE(SUBSTITUTE(SUBSTITUTE(SUBSTITUTE(SUBSTITUTE(SUBSTITUTE(SUBSTITUTE(SUBSTITUTE(SUBSTITUTE(SUBSTITUTE(LEFT(MID(TRIM(INDEX(PASTE_ALL,3,43)),1+(LEFT(TRIM(INDEX(PASTE_ALL,3,43)),1)="-"),999),LEN(MID(TRIM(INDEX(PASTE_ALL,3,43)),1+(LEFT(TRIM(INDEX(PASTE_ALL,3,43)),1)="-"),999))-(RIGHT(MID(TRIM(INDEX(PASTE_ALL,3,43)),1+(LEFT(TRIM(INDEX(PASTE_ALL,3,43)),1)="-"),999),1)="%")),"0",""),"1",""),"2",""),"3",""),"4",""),"5",""),"6",""),"7",""),"8",""),"9",""),".",""),",","")=""),2,1))),1)</f>
        <v/>
      </c>
      <c r="BP52">
        <f>IFERROR(IF(ISNUMBER(INDEX(PASTE_ALL,3,44)),2,IF(TRIM(INDEX(PASTE_ALL,3,44))="",0,IF(AND(LEFT(MID(TRIM(INDEX(PASTE_ALL,3,44)),1+(LEFT(TRIM(INDEX(PASTE_ALL,3,44)),1)="-"),999),LEN(MID(TRIM(INDEX(PASTE_ALL,3,44)),1+(LEFT(TRIM(INDEX(PASTE_ALL,3,44)),1)="-"),999))-(RIGHT(MID(TRIM(INDEX(PASTE_ALL,3,44)),1+(LEFT(TRIM(INDEX(PASTE_ALL,3,44)),1)="-"),999),1)="%"))&lt;&gt;"",SUBSTITUTE(SUBSTITUTE(SUBSTITUTE(SUBSTITUTE(SUBSTITUTE(SUBSTITUTE(SUBSTITUTE(SUBSTITUTE(SUBSTITUTE(SUBSTITUTE(SUBSTITUTE(SUBSTITUTE(LEFT(MID(TRIM(INDEX(PASTE_ALL,3,44)),1+(LEFT(TRIM(INDEX(PASTE_ALL,3,44)),1)="-"),999),LEN(MID(TRIM(INDEX(PASTE_ALL,3,44)),1+(LEFT(TRIM(INDEX(PASTE_ALL,3,44)),1)="-"),999))-(RIGHT(MID(TRIM(INDEX(PASTE_ALL,3,44)),1+(LEFT(TRIM(INDEX(PASTE_ALL,3,44)),1)="-"),999),1)="%")),"0",""),"1",""),"2",""),"3",""),"4",""),"5",""),"6",""),"7",""),"8",""),"9",""),".",""),",","")=""),2,1))),1)</f>
        <v/>
      </c>
      <c r="BQ52">
        <f>IFERROR(IF(ISNUMBER(INDEX(PASTE_ALL,3,45)),2,IF(TRIM(INDEX(PASTE_ALL,3,45))="",0,IF(AND(LEFT(MID(TRIM(INDEX(PASTE_ALL,3,45)),1+(LEFT(TRIM(INDEX(PASTE_ALL,3,45)),1)="-"),999),LEN(MID(TRIM(INDEX(PASTE_ALL,3,45)),1+(LEFT(TRIM(INDEX(PASTE_ALL,3,45)),1)="-"),999))-(RIGHT(MID(TRIM(INDEX(PASTE_ALL,3,45)),1+(LEFT(TRIM(INDEX(PASTE_ALL,3,45)),1)="-"),999),1)="%"))&lt;&gt;"",SUBSTITUTE(SUBSTITUTE(SUBSTITUTE(SUBSTITUTE(SUBSTITUTE(SUBSTITUTE(SUBSTITUTE(SUBSTITUTE(SUBSTITUTE(SUBSTITUTE(SUBSTITUTE(SUBSTITUTE(LEFT(MID(TRIM(INDEX(PASTE_ALL,3,45)),1+(LEFT(TRIM(INDEX(PASTE_ALL,3,45)),1)="-"),999),LEN(MID(TRIM(INDEX(PASTE_ALL,3,45)),1+(LEFT(TRIM(INDEX(PASTE_ALL,3,45)),1)="-"),999))-(RIGHT(MID(TRIM(INDEX(PASTE_ALL,3,45)),1+(LEFT(TRIM(INDEX(PASTE_ALL,3,45)),1)="-"),999),1)="%")),"0",""),"1",""),"2",""),"3",""),"4",""),"5",""),"6",""),"7",""),"8",""),"9",""),".",""),",","")=""),2,1))),1)</f>
        <v/>
      </c>
      <c r="BR52">
        <f>IFERROR(IF(ISNUMBER(INDEX(PASTE_ALL,3,46)),2,IF(TRIM(INDEX(PASTE_ALL,3,46))="",0,IF(AND(LEFT(MID(TRIM(INDEX(PASTE_ALL,3,46)),1+(LEFT(TRIM(INDEX(PASTE_ALL,3,46)),1)="-"),999),LEN(MID(TRIM(INDEX(PASTE_ALL,3,46)),1+(LEFT(TRIM(INDEX(PASTE_ALL,3,46)),1)="-"),999))-(RIGHT(MID(TRIM(INDEX(PASTE_ALL,3,46)),1+(LEFT(TRIM(INDEX(PASTE_ALL,3,46)),1)="-"),999),1)="%"))&lt;&gt;"",SUBSTITUTE(SUBSTITUTE(SUBSTITUTE(SUBSTITUTE(SUBSTITUTE(SUBSTITUTE(SUBSTITUTE(SUBSTITUTE(SUBSTITUTE(SUBSTITUTE(SUBSTITUTE(SUBSTITUTE(LEFT(MID(TRIM(INDEX(PASTE_ALL,3,46)),1+(LEFT(TRIM(INDEX(PASTE_ALL,3,46)),1)="-"),999),LEN(MID(TRIM(INDEX(PASTE_ALL,3,46)),1+(LEFT(TRIM(INDEX(PASTE_ALL,3,46)),1)="-"),999))-(RIGHT(MID(TRIM(INDEX(PASTE_ALL,3,46)),1+(LEFT(TRIM(INDEX(PASTE_ALL,3,46)),1)="-"),999),1)="%")),"0",""),"1",""),"2",""),"3",""),"4",""),"5",""),"6",""),"7",""),"8",""),"9",""),".",""),",","")=""),2,1))),1)</f>
        <v/>
      </c>
      <c r="BS52">
        <f>IFERROR(IF(ISNUMBER(INDEX(PASTE_ALL,3,47)),2,IF(TRIM(INDEX(PASTE_ALL,3,47))="",0,IF(AND(LEFT(MID(TRIM(INDEX(PASTE_ALL,3,47)),1+(LEFT(TRIM(INDEX(PASTE_ALL,3,47)),1)="-"),999),LEN(MID(TRIM(INDEX(PASTE_ALL,3,47)),1+(LEFT(TRIM(INDEX(PASTE_ALL,3,47)),1)="-"),999))-(RIGHT(MID(TRIM(INDEX(PASTE_ALL,3,47)),1+(LEFT(TRIM(INDEX(PASTE_ALL,3,47)),1)="-"),999),1)="%"))&lt;&gt;"",SUBSTITUTE(SUBSTITUTE(SUBSTITUTE(SUBSTITUTE(SUBSTITUTE(SUBSTITUTE(SUBSTITUTE(SUBSTITUTE(SUBSTITUTE(SUBSTITUTE(SUBSTITUTE(SUBSTITUTE(LEFT(MID(TRIM(INDEX(PASTE_ALL,3,47)),1+(LEFT(TRIM(INDEX(PASTE_ALL,3,47)),1)="-"),999),LEN(MID(TRIM(INDEX(PASTE_ALL,3,47)),1+(LEFT(TRIM(INDEX(PASTE_ALL,3,47)),1)="-"),999))-(RIGHT(MID(TRIM(INDEX(PASTE_ALL,3,47)),1+(LEFT(TRIM(INDEX(PASTE_ALL,3,47)),1)="-"),999),1)="%")),"0",""),"1",""),"2",""),"3",""),"4",""),"5",""),"6",""),"7",""),"8",""),"9",""),".",""),",","")=""),2,1))),1)</f>
        <v/>
      </c>
      <c r="BT52">
        <f>IFERROR(IF(ISNUMBER(INDEX(PASTE_ALL,3,48)),2,IF(TRIM(INDEX(PASTE_ALL,3,48))="",0,IF(AND(LEFT(MID(TRIM(INDEX(PASTE_ALL,3,48)),1+(LEFT(TRIM(INDEX(PASTE_ALL,3,48)),1)="-"),999),LEN(MID(TRIM(INDEX(PASTE_ALL,3,48)),1+(LEFT(TRIM(INDEX(PASTE_ALL,3,48)),1)="-"),999))-(RIGHT(MID(TRIM(INDEX(PASTE_ALL,3,48)),1+(LEFT(TRIM(INDEX(PASTE_ALL,3,48)),1)="-"),999),1)="%"))&lt;&gt;"",SUBSTITUTE(SUBSTITUTE(SUBSTITUTE(SUBSTITUTE(SUBSTITUTE(SUBSTITUTE(SUBSTITUTE(SUBSTITUTE(SUBSTITUTE(SUBSTITUTE(SUBSTITUTE(SUBSTITUTE(LEFT(MID(TRIM(INDEX(PASTE_ALL,3,48)),1+(LEFT(TRIM(INDEX(PASTE_ALL,3,48)),1)="-"),999),LEN(MID(TRIM(INDEX(PASTE_ALL,3,48)),1+(LEFT(TRIM(INDEX(PASTE_ALL,3,48)),1)="-"),999))-(RIGHT(MID(TRIM(INDEX(PASTE_ALL,3,48)),1+(LEFT(TRIM(INDEX(PASTE_ALL,3,48)),1)="-"),999),1)="%")),"0",""),"1",""),"2",""),"3",""),"4",""),"5",""),"6",""),"7",""),"8",""),"9",""),".",""),",","")=""),2,1))),1)</f>
        <v/>
      </c>
      <c r="BU52">
        <f>IFERROR(IF(ISNUMBER(INDEX(PASTE_ALL,3,49)),2,IF(TRIM(INDEX(PASTE_ALL,3,49))="",0,IF(AND(LEFT(MID(TRIM(INDEX(PASTE_ALL,3,49)),1+(LEFT(TRIM(INDEX(PASTE_ALL,3,49)),1)="-"),999),LEN(MID(TRIM(INDEX(PASTE_ALL,3,49)),1+(LEFT(TRIM(INDEX(PASTE_ALL,3,49)),1)="-"),999))-(RIGHT(MID(TRIM(INDEX(PASTE_ALL,3,49)),1+(LEFT(TRIM(INDEX(PASTE_ALL,3,49)),1)="-"),999),1)="%"))&lt;&gt;"",SUBSTITUTE(SUBSTITUTE(SUBSTITUTE(SUBSTITUTE(SUBSTITUTE(SUBSTITUTE(SUBSTITUTE(SUBSTITUTE(SUBSTITUTE(SUBSTITUTE(SUBSTITUTE(SUBSTITUTE(LEFT(MID(TRIM(INDEX(PASTE_ALL,3,49)),1+(LEFT(TRIM(INDEX(PASTE_ALL,3,49)),1)="-"),999),LEN(MID(TRIM(INDEX(PASTE_ALL,3,49)),1+(LEFT(TRIM(INDEX(PASTE_ALL,3,49)),1)="-"),999))-(RIGHT(MID(TRIM(INDEX(PASTE_ALL,3,49)),1+(LEFT(TRIM(INDEX(PASTE_ALL,3,49)),1)="-"),999),1)="%")),"0",""),"1",""),"2",""),"3",""),"4",""),"5",""),"6",""),"7",""),"8",""),"9",""),".",""),",","")=""),2,1))),1)</f>
        <v/>
      </c>
      <c r="BV52">
        <f>IFERROR(IF(ISNUMBER(INDEX(PASTE_ALL,3,50)),2,IF(TRIM(INDEX(PASTE_ALL,3,50))="",0,IF(AND(LEFT(MID(TRIM(INDEX(PASTE_ALL,3,50)),1+(LEFT(TRIM(INDEX(PASTE_ALL,3,50)),1)="-"),999),LEN(MID(TRIM(INDEX(PASTE_ALL,3,50)),1+(LEFT(TRIM(INDEX(PASTE_ALL,3,50)),1)="-"),999))-(RIGHT(MID(TRIM(INDEX(PASTE_ALL,3,50)),1+(LEFT(TRIM(INDEX(PASTE_ALL,3,50)),1)="-"),999),1)="%"))&lt;&gt;"",SUBSTITUTE(SUBSTITUTE(SUBSTITUTE(SUBSTITUTE(SUBSTITUTE(SUBSTITUTE(SUBSTITUTE(SUBSTITUTE(SUBSTITUTE(SUBSTITUTE(SUBSTITUTE(SUBSTITUTE(LEFT(MID(TRIM(INDEX(PASTE_ALL,3,50)),1+(LEFT(TRIM(INDEX(PASTE_ALL,3,50)),1)="-"),999),LEN(MID(TRIM(INDEX(PASTE_ALL,3,50)),1+(LEFT(TRIM(INDEX(PASTE_ALL,3,50)),1)="-"),999))-(RIGHT(MID(TRIM(INDEX(PASTE_ALL,3,50)),1+(LEFT(TRIM(INDEX(PASTE_ALL,3,50)),1)="-"),999),1)="%")),"0",""),"1",""),"2",""),"3",""),"4",""),"5",""),"6",""),"7",""),"8",""),"9",""),".",""),",","")=""),2,1))),1)</f>
        <v/>
      </c>
      <c r="BW52">
        <f>IFERROR(IF(ISNUMBER(INDEX(PASTE_ALL,3,51)),2,IF(TRIM(INDEX(PASTE_ALL,3,51))="",0,IF(AND(LEFT(MID(TRIM(INDEX(PASTE_ALL,3,51)),1+(LEFT(TRIM(INDEX(PASTE_ALL,3,51)),1)="-"),999),LEN(MID(TRIM(INDEX(PASTE_ALL,3,51)),1+(LEFT(TRIM(INDEX(PASTE_ALL,3,51)),1)="-"),999))-(RIGHT(MID(TRIM(INDEX(PASTE_ALL,3,51)),1+(LEFT(TRIM(INDEX(PASTE_ALL,3,51)),1)="-"),999),1)="%"))&lt;&gt;"",SUBSTITUTE(SUBSTITUTE(SUBSTITUTE(SUBSTITUTE(SUBSTITUTE(SUBSTITUTE(SUBSTITUTE(SUBSTITUTE(SUBSTITUTE(SUBSTITUTE(SUBSTITUTE(SUBSTITUTE(LEFT(MID(TRIM(INDEX(PASTE_ALL,3,51)),1+(LEFT(TRIM(INDEX(PASTE_ALL,3,51)),1)="-"),999),LEN(MID(TRIM(INDEX(PASTE_ALL,3,51)),1+(LEFT(TRIM(INDEX(PASTE_ALL,3,51)),1)="-"),999))-(RIGHT(MID(TRIM(INDEX(PASTE_ALL,3,51)),1+(LEFT(TRIM(INDEX(PASTE_ALL,3,51)),1)="-"),999),1)="%")),"0",""),"1",""),"2",""),"3",""),"4",""),"5",""),"6",""),"7",""),"8",""),"9",""),".",""),",","")=""),2,1))),1)</f>
        <v/>
      </c>
      <c r="BX52">
        <f>IFERROR(IF(ISNUMBER(INDEX(PASTE_ALL,3,52)),2,IF(TRIM(INDEX(PASTE_ALL,3,52))="",0,IF(AND(LEFT(MID(TRIM(INDEX(PASTE_ALL,3,52)),1+(LEFT(TRIM(INDEX(PASTE_ALL,3,52)),1)="-"),999),LEN(MID(TRIM(INDEX(PASTE_ALL,3,52)),1+(LEFT(TRIM(INDEX(PASTE_ALL,3,52)),1)="-"),999))-(RIGHT(MID(TRIM(INDEX(PASTE_ALL,3,52)),1+(LEFT(TRIM(INDEX(PASTE_ALL,3,52)),1)="-"),999),1)="%"))&lt;&gt;"",SUBSTITUTE(SUBSTITUTE(SUBSTITUTE(SUBSTITUTE(SUBSTITUTE(SUBSTITUTE(SUBSTITUTE(SUBSTITUTE(SUBSTITUTE(SUBSTITUTE(SUBSTITUTE(SUBSTITUTE(LEFT(MID(TRIM(INDEX(PASTE_ALL,3,52)),1+(LEFT(TRIM(INDEX(PASTE_ALL,3,52)),1)="-"),999),LEN(MID(TRIM(INDEX(PASTE_ALL,3,52)),1+(LEFT(TRIM(INDEX(PASTE_ALL,3,52)),1)="-"),999))-(RIGHT(MID(TRIM(INDEX(PASTE_ALL,3,52)),1+(LEFT(TRIM(INDEX(PASTE_ALL,3,52)),1)="-"),999),1)="%")),"0",""),"1",""),"2",""),"3",""),"4",""),"5",""),"6",""),"7",""),"8",""),"9",""),".",""),",","")=""),2,1))),1)</f>
        <v/>
      </c>
      <c r="BY52">
        <f>IFERROR(IF(ISNUMBER(INDEX(PASTE_ALL,3,53)),2,IF(TRIM(INDEX(PASTE_ALL,3,53))="",0,IF(AND(LEFT(MID(TRIM(INDEX(PASTE_ALL,3,53)),1+(LEFT(TRIM(INDEX(PASTE_ALL,3,53)),1)="-"),999),LEN(MID(TRIM(INDEX(PASTE_ALL,3,53)),1+(LEFT(TRIM(INDEX(PASTE_ALL,3,53)),1)="-"),999))-(RIGHT(MID(TRIM(INDEX(PASTE_ALL,3,53)),1+(LEFT(TRIM(INDEX(PASTE_ALL,3,53)),1)="-"),999),1)="%"))&lt;&gt;"",SUBSTITUTE(SUBSTITUTE(SUBSTITUTE(SUBSTITUTE(SUBSTITUTE(SUBSTITUTE(SUBSTITUTE(SUBSTITUTE(SUBSTITUTE(SUBSTITUTE(SUBSTITUTE(SUBSTITUTE(LEFT(MID(TRIM(INDEX(PASTE_ALL,3,53)),1+(LEFT(TRIM(INDEX(PASTE_ALL,3,53)),1)="-"),999),LEN(MID(TRIM(INDEX(PASTE_ALL,3,53)),1+(LEFT(TRIM(INDEX(PASTE_ALL,3,53)),1)="-"),999))-(RIGHT(MID(TRIM(INDEX(PASTE_ALL,3,53)),1+(LEFT(TRIM(INDEX(PASTE_ALL,3,53)),1)="-"),999),1)="%")),"0",""),"1",""),"2",""),"3",""),"4",""),"5",""),"6",""),"7",""),"8",""),"9",""),".",""),",","")=""),2,1))),1)</f>
        <v/>
      </c>
      <c r="BZ52">
        <f>IFERROR(IF(ISNUMBER(INDEX(PASTE_ALL,3,54)),2,IF(TRIM(INDEX(PASTE_ALL,3,54))="",0,IF(AND(LEFT(MID(TRIM(INDEX(PASTE_ALL,3,54)),1+(LEFT(TRIM(INDEX(PASTE_ALL,3,54)),1)="-"),999),LEN(MID(TRIM(INDEX(PASTE_ALL,3,54)),1+(LEFT(TRIM(INDEX(PASTE_ALL,3,54)),1)="-"),999))-(RIGHT(MID(TRIM(INDEX(PASTE_ALL,3,54)),1+(LEFT(TRIM(INDEX(PASTE_ALL,3,54)),1)="-"),999),1)="%"))&lt;&gt;"",SUBSTITUTE(SUBSTITUTE(SUBSTITUTE(SUBSTITUTE(SUBSTITUTE(SUBSTITUTE(SUBSTITUTE(SUBSTITUTE(SUBSTITUTE(SUBSTITUTE(SUBSTITUTE(SUBSTITUTE(LEFT(MID(TRIM(INDEX(PASTE_ALL,3,54)),1+(LEFT(TRIM(INDEX(PASTE_ALL,3,54)),1)="-"),999),LEN(MID(TRIM(INDEX(PASTE_ALL,3,54)),1+(LEFT(TRIM(INDEX(PASTE_ALL,3,54)),1)="-"),999))-(RIGHT(MID(TRIM(INDEX(PASTE_ALL,3,54)),1+(LEFT(TRIM(INDEX(PASTE_ALL,3,54)),1)="-"),999),1)="%")),"0",""),"1",""),"2",""),"3",""),"4",""),"5",""),"6",""),"7",""),"8",""),"9",""),".",""),",","")=""),2,1))),1)</f>
        <v/>
      </c>
      <c r="CA52">
        <f>IFERROR(IF(ISNUMBER(INDEX(PASTE_ALL,3,55)),2,IF(TRIM(INDEX(PASTE_ALL,3,55))="",0,IF(AND(LEFT(MID(TRIM(INDEX(PASTE_ALL,3,55)),1+(LEFT(TRIM(INDEX(PASTE_ALL,3,55)),1)="-"),999),LEN(MID(TRIM(INDEX(PASTE_ALL,3,55)),1+(LEFT(TRIM(INDEX(PASTE_ALL,3,55)),1)="-"),999))-(RIGHT(MID(TRIM(INDEX(PASTE_ALL,3,55)),1+(LEFT(TRIM(INDEX(PASTE_ALL,3,55)),1)="-"),999),1)="%"))&lt;&gt;"",SUBSTITUTE(SUBSTITUTE(SUBSTITUTE(SUBSTITUTE(SUBSTITUTE(SUBSTITUTE(SUBSTITUTE(SUBSTITUTE(SUBSTITUTE(SUBSTITUTE(SUBSTITUTE(SUBSTITUTE(LEFT(MID(TRIM(INDEX(PASTE_ALL,3,55)),1+(LEFT(TRIM(INDEX(PASTE_ALL,3,55)),1)="-"),999),LEN(MID(TRIM(INDEX(PASTE_ALL,3,55)),1+(LEFT(TRIM(INDEX(PASTE_ALL,3,55)),1)="-"),999))-(RIGHT(MID(TRIM(INDEX(PASTE_ALL,3,55)),1+(LEFT(TRIM(INDEX(PASTE_ALL,3,55)),1)="-"),999),1)="%")),"0",""),"1",""),"2",""),"3",""),"4",""),"5",""),"6",""),"7",""),"8",""),"9",""),".",""),",","")=""),2,1))),1)</f>
        <v/>
      </c>
      <c r="CB52">
        <f>IFERROR(IF(ISNUMBER(INDEX(PASTE_ALL,3,56)),2,IF(TRIM(INDEX(PASTE_ALL,3,56))="",0,IF(AND(LEFT(MID(TRIM(INDEX(PASTE_ALL,3,56)),1+(LEFT(TRIM(INDEX(PASTE_ALL,3,56)),1)="-"),999),LEN(MID(TRIM(INDEX(PASTE_ALL,3,56)),1+(LEFT(TRIM(INDEX(PASTE_ALL,3,56)),1)="-"),999))-(RIGHT(MID(TRIM(INDEX(PASTE_ALL,3,56)),1+(LEFT(TRIM(INDEX(PASTE_ALL,3,56)),1)="-"),999),1)="%"))&lt;&gt;"",SUBSTITUTE(SUBSTITUTE(SUBSTITUTE(SUBSTITUTE(SUBSTITUTE(SUBSTITUTE(SUBSTITUTE(SUBSTITUTE(SUBSTITUTE(SUBSTITUTE(SUBSTITUTE(SUBSTITUTE(LEFT(MID(TRIM(INDEX(PASTE_ALL,3,56)),1+(LEFT(TRIM(INDEX(PASTE_ALL,3,56)),1)="-"),999),LEN(MID(TRIM(INDEX(PASTE_ALL,3,56)),1+(LEFT(TRIM(INDEX(PASTE_ALL,3,56)),1)="-"),999))-(RIGHT(MID(TRIM(INDEX(PASTE_ALL,3,56)),1+(LEFT(TRIM(INDEX(PASTE_ALL,3,56)),1)="-"),999),1)="%")),"0",""),"1",""),"2",""),"3",""),"4",""),"5",""),"6",""),"7",""),"8",""),"9",""),".",""),",","")=""),2,1))),1)</f>
        <v/>
      </c>
      <c r="CC52">
        <f>IFERROR(IF(ISNUMBER(INDEX(PASTE_ALL,3,57)),2,IF(TRIM(INDEX(PASTE_ALL,3,57))="",0,IF(AND(LEFT(MID(TRIM(INDEX(PASTE_ALL,3,57)),1+(LEFT(TRIM(INDEX(PASTE_ALL,3,57)),1)="-"),999),LEN(MID(TRIM(INDEX(PASTE_ALL,3,57)),1+(LEFT(TRIM(INDEX(PASTE_ALL,3,57)),1)="-"),999))-(RIGHT(MID(TRIM(INDEX(PASTE_ALL,3,57)),1+(LEFT(TRIM(INDEX(PASTE_ALL,3,57)),1)="-"),999),1)="%"))&lt;&gt;"",SUBSTITUTE(SUBSTITUTE(SUBSTITUTE(SUBSTITUTE(SUBSTITUTE(SUBSTITUTE(SUBSTITUTE(SUBSTITUTE(SUBSTITUTE(SUBSTITUTE(SUBSTITUTE(SUBSTITUTE(LEFT(MID(TRIM(INDEX(PASTE_ALL,3,57)),1+(LEFT(TRIM(INDEX(PASTE_ALL,3,57)),1)="-"),999),LEN(MID(TRIM(INDEX(PASTE_ALL,3,57)),1+(LEFT(TRIM(INDEX(PASTE_ALL,3,57)),1)="-"),999))-(RIGHT(MID(TRIM(INDEX(PASTE_ALL,3,57)),1+(LEFT(TRIM(INDEX(PASTE_ALL,3,57)),1)="-"),999),1)="%")),"0",""),"1",""),"2",""),"3",""),"4",""),"5",""),"6",""),"7",""),"8",""),"9",""),".",""),",","")=""),2,1))),1)</f>
        <v/>
      </c>
      <c r="CD52">
        <f>IFERROR(IF(ISNUMBER(INDEX(PASTE_ALL,3,58)),2,IF(TRIM(INDEX(PASTE_ALL,3,58))="",0,IF(AND(LEFT(MID(TRIM(INDEX(PASTE_ALL,3,58)),1+(LEFT(TRIM(INDEX(PASTE_ALL,3,58)),1)="-"),999),LEN(MID(TRIM(INDEX(PASTE_ALL,3,58)),1+(LEFT(TRIM(INDEX(PASTE_ALL,3,58)),1)="-"),999))-(RIGHT(MID(TRIM(INDEX(PASTE_ALL,3,58)),1+(LEFT(TRIM(INDEX(PASTE_ALL,3,58)),1)="-"),999),1)="%"))&lt;&gt;"",SUBSTITUTE(SUBSTITUTE(SUBSTITUTE(SUBSTITUTE(SUBSTITUTE(SUBSTITUTE(SUBSTITUTE(SUBSTITUTE(SUBSTITUTE(SUBSTITUTE(SUBSTITUTE(SUBSTITUTE(LEFT(MID(TRIM(INDEX(PASTE_ALL,3,58)),1+(LEFT(TRIM(INDEX(PASTE_ALL,3,58)),1)="-"),999),LEN(MID(TRIM(INDEX(PASTE_ALL,3,58)),1+(LEFT(TRIM(INDEX(PASTE_ALL,3,58)),1)="-"),999))-(RIGHT(MID(TRIM(INDEX(PASTE_ALL,3,58)),1+(LEFT(TRIM(INDEX(PASTE_ALL,3,58)),1)="-"),999),1)="%")),"0",""),"1",""),"2",""),"3",""),"4",""),"5",""),"6",""),"7",""),"8",""),"9",""),".",""),",","")=""),2,1))),1)</f>
        <v/>
      </c>
      <c r="CE52">
        <f>IFERROR(IF(ISNUMBER(INDEX(PASTE_ALL,3,59)),2,IF(TRIM(INDEX(PASTE_ALL,3,59))="",0,IF(AND(LEFT(MID(TRIM(INDEX(PASTE_ALL,3,59)),1+(LEFT(TRIM(INDEX(PASTE_ALL,3,59)),1)="-"),999),LEN(MID(TRIM(INDEX(PASTE_ALL,3,59)),1+(LEFT(TRIM(INDEX(PASTE_ALL,3,59)),1)="-"),999))-(RIGHT(MID(TRIM(INDEX(PASTE_ALL,3,59)),1+(LEFT(TRIM(INDEX(PASTE_ALL,3,59)),1)="-"),999),1)="%"))&lt;&gt;"",SUBSTITUTE(SUBSTITUTE(SUBSTITUTE(SUBSTITUTE(SUBSTITUTE(SUBSTITUTE(SUBSTITUTE(SUBSTITUTE(SUBSTITUTE(SUBSTITUTE(SUBSTITUTE(SUBSTITUTE(LEFT(MID(TRIM(INDEX(PASTE_ALL,3,59)),1+(LEFT(TRIM(INDEX(PASTE_ALL,3,59)),1)="-"),999),LEN(MID(TRIM(INDEX(PASTE_ALL,3,59)),1+(LEFT(TRIM(INDEX(PASTE_ALL,3,59)),1)="-"),999))-(RIGHT(MID(TRIM(INDEX(PASTE_ALL,3,59)),1+(LEFT(TRIM(INDEX(PASTE_ALL,3,59)),1)="-"),999),1)="%")),"0",""),"1",""),"2",""),"3",""),"4",""),"5",""),"6",""),"7",""),"8",""),"9",""),".",""),",","")=""),2,1))),1)</f>
        <v/>
      </c>
      <c r="CF52">
        <f>IFERROR(IF(ISNUMBER(INDEX(PASTE_ALL,3,60)),2,IF(TRIM(INDEX(PASTE_ALL,3,60))="",0,IF(AND(LEFT(MID(TRIM(INDEX(PASTE_ALL,3,60)),1+(LEFT(TRIM(INDEX(PASTE_ALL,3,60)),1)="-"),999),LEN(MID(TRIM(INDEX(PASTE_ALL,3,60)),1+(LEFT(TRIM(INDEX(PASTE_ALL,3,60)),1)="-"),999))-(RIGHT(MID(TRIM(INDEX(PASTE_ALL,3,60)),1+(LEFT(TRIM(INDEX(PASTE_ALL,3,60)),1)="-"),999),1)="%"))&lt;&gt;"",SUBSTITUTE(SUBSTITUTE(SUBSTITUTE(SUBSTITUTE(SUBSTITUTE(SUBSTITUTE(SUBSTITUTE(SUBSTITUTE(SUBSTITUTE(SUBSTITUTE(SUBSTITUTE(SUBSTITUTE(LEFT(MID(TRIM(INDEX(PASTE_ALL,3,60)),1+(LEFT(TRIM(INDEX(PASTE_ALL,3,60)),1)="-"),999),LEN(MID(TRIM(INDEX(PASTE_ALL,3,60)),1+(LEFT(TRIM(INDEX(PASTE_ALL,3,60)),1)="-"),999))-(RIGHT(MID(TRIM(INDEX(PASTE_ALL,3,60)),1+(LEFT(TRIM(INDEX(PASTE_ALL,3,60)),1)="-"),999),1)="%")),"0",""),"1",""),"2",""),"3",""),"4",""),"5",""),"6",""),"7",""),"8",""),"9",""),".",""),",","")=""),2,1))),1)</f>
        <v/>
      </c>
      <c r="DA52" t="n">
        <v>48</v>
      </c>
      <c r="DB52">
        <f>IF($B$37=0,"",IFERROR(TRIM(SUBSTITUTE(SUBSTITUTE(SUBSTITUTE(SUBSTITUTE(INDEX(PASTE_ALL,48,$B$37)," "," "),CHAR(9)," "),CHAR(10)," "),CHAR(13)," ")),""))</f>
        <v/>
      </c>
      <c r="DC52">
        <f>IF(AND(48&gt;HEADER_ROW,UPPER(DB52)="LEGEND"),1,0)</f>
        <v/>
      </c>
      <c r="DE52" t="n">
        <v>48</v>
      </c>
      <c r="DF52">
        <f>HEADER_ROW+$DE52</f>
        <v/>
      </c>
      <c r="DG52">
        <f>IF(AND($DF52&lt;=1000,$DF52&lt;$B$8),1,0)</f>
        <v/>
      </c>
      <c r="DH52">
        <f>IF($DG52=1,IFERROR(INDEX($DB$5:$DB$1004,$DF52),""),"")</f>
        <v/>
      </c>
      <c r="DI52">
        <f>IF(AND($DG52=1,$DH52&lt;&gt;""),IFERROR(SUBSTITUTE(SUBSTITUTE(TRIM(SUBSTITUTE(SUBSTITUTE(SUBSTITUTE(SUBSTITUTE(IFERROR(INDEX(PASTE_ALL,$DF52,1)&amp;"","")&amp;"␟"&amp;IFERROR(INDEX(PASTE_ALL,$DF52,2)&amp;"","")&amp;"␟"&amp;IFERROR(INDEX(PASTE_ALL,$DF52,3)&amp;"","")&amp;"␟"&amp;IFERROR(INDEX(PASTE_ALL,$DF52,4)&amp;"","")&amp;"␟"&amp;IFERROR(INDEX(PASTE_ALL,$DF52,5)&amp;"","")&amp;"␟"&amp;IFERROR(INDEX(PASTE_ALL,$DF52,6)&amp;"","")&amp;"␟"&amp;IFERROR(INDEX(PASTE_ALL,$DF52,7)&amp;"","")&amp;"␟"&amp;IFERROR(INDEX(PASTE_ALL,$DF52,8)&amp;"","")&amp;"␟"&amp;IFERROR(INDEX(PASTE_ALL,$DF52,9)&amp;"","")&amp;"␟"&amp;IFERROR(INDEX(PASTE_ALL,$DF52,10)&amp;"","")&amp;"␟"&amp;IFERROR(INDEX(PASTE_ALL,$DF52,11)&amp;"","")&amp;"␟"&amp;IFERROR(INDEX(PASTE_ALL,$DF52,12)&amp;"","")&amp;"␟"&amp;IFERROR(INDEX(PASTE_ALL,$DF52,13)&amp;"","")&amp;"␟"&amp;IFERROR(INDEX(PASTE_ALL,$DF52,14)&amp;"","")&amp;"␟"&amp;IFERROR(INDEX(PASTE_ALL,$DF52,15)&amp;"","")&amp;"␟"&amp;IFERROR(INDEX(PASTE_ALL,$DF52,16)&amp;"","")&amp;"␟"&amp;IFERROR(INDEX(PASTE_ALL,$DF52,17)&amp;"","")&amp;"␟"&amp;IFERROR(INDEX(PASTE_ALL,$DF52,18)&amp;"","")&amp;"␟"&amp;IFERROR(INDEX(PASTE_ALL,$DF52,19)&amp;"","")&amp;"␟"&amp;IFERROR(INDEX(PASTE_ALL,$DF52,20)&amp;"","")&amp;"␟"&amp;IFERROR(INDEX(PASTE_ALL,$DF52,21)&amp;"","")&amp;"␟"&amp;IFERROR(INDEX(PASTE_ALL,$DF52,22)&amp;"","")&amp;"␟"&amp;IFERROR(INDEX(PASTE_ALL,$DF52,23)&amp;"","")&amp;"␟"&amp;IFERROR(INDEX(PASTE_ALL,$DF52,24)&amp;"","")&amp;"␟"&amp;IFERROR(INDEX(PASTE_ALL,$DF52,25)&amp;"","")&amp;"␟"&amp;IFERROR(INDEX(PASTE_ALL,$DF52,26)&amp;"","")&amp;"␟"&amp;IFERROR(INDEX(PASTE_ALL,$DF52,27)&amp;"","")&amp;"␟"&amp;IFERROR(INDEX(PASTE_ALL,$DF52,28)&amp;"","")&amp;"␟"&amp;IFERROR(INDEX(PASTE_ALL,$DF52,29)&amp;"","")&amp;"␟"&amp;IFERROR(INDEX(PASTE_ALL,$DF52,30)&amp;"","")&amp;"␟"&amp;IFERROR(INDEX(PASTE_ALL,$DF52,31)&amp;"","")&amp;"␟"&amp;IFERROR(INDEX(PASTE_ALL,$DF52,32)&amp;"","")&amp;"␟"&amp;IFERROR(INDEX(PASTE_ALL,$DF52,33)&amp;"","")&amp;"␟"&amp;IFERROR(INDEX(PASTE_ALL,$DF52,34)&amp;"","")&amp;"␟"&amp;IFERROR(INDEX(PASTE_ALL,$DF52,35)&amp;"","")&amp;"␟"&amp;IFERROR(INDEX(PASTE_ALL,$DF52,36)&amp;"","")&amp;"␟"&amp;IFERROR(INDEX(PASTE_ALL,$DF52,37)&amp;"","")&amp;"␟"&amp;IFERROR(INDEX(PASTE_ALL,$DF52,38)&amp;"","")&amp;"␟"&amp;IFERROR(INDEX(PASTE_ALL,$DF52,39)&amp;"","")&amp;"␟"&amp;IFERROR(INDEX(PASTE_ALL,$DF52,40)&amp;"","")&amp;"␟"&amp;IFERROR(INDEX(PASTE_ALL,$DF52,41)&amp;"","")&amp;"␟"&amp;IFERROR(INDEX(PASTE_ALL,$DF52,42)&amp;"","")&amp;"␟"&amp;IFERROR(INDEX(PASTE_ALL,$DF52,43)&amp;"","")&amp;"␟"&amp;IFERROR(INDEX(PASTE_ALL,$DF52,44)&amp;"","")&amp;"␟"&amp;IFERROR(INDEX(PASTE_ALL,$DF52,45)&amp;"","")&amp;"␟"&amp;IFERROR(INDEX(PASTE_ALL,$DF52,46)&amp;"","")&amp;"␟"&amp;IFERROR(INDEX(PASTE_ALL,$DF52,47)&amp;"","")&amp;"␟"&amp;IFERROR(INDEX(PASTE_ALL,$DF52,48)&amp;"","")&amp;"␟"&amp;IFERROR(INDEX(PASTE_ALL,$DF52,49)&amp;"","")&amp;"␟"&amp;IFERROR(INDEX(PASTE_ALL,$DF52,50)&amp;"","")&amp;"␟"&amp;IFERROR(INDEX(PASTE_ALL,$DF52,51)&amp;"","")&amp;"␟"&amp;IFERROR(INDEX(PASTE_ALL,$DF52,52)&amp;"","")&amp;"␟"&amp;IFERROR(INDEX(PASTE_ALL,$DF52,53)&amp;"","")&amp;"␟"&amp;IFERROR(INDEX(PASTE_ALL,$DF52,54)&amp;"","")&amp;"␟"&amp;IFERROR(INDEX(PASTE_ALL,$DF52,55)&amp;"","")&amp;"␟"&amp;IFERROR(INDEX(PASTE_ALL,$DF52,56)&amp;"","")&amp;"␟"&amp;IFERROR(INDEX(PASTE_ALL,$DF52,57)&amp;"","")&amp;"␟"&amp;IFERROR(INDEX(PASTE_ALL,$DF52,58)&amp;"","")&amp;"␟"&amp;IFERROR(INDEX(PASTE_ALL,$DF52,59)&amp;"","")&amp;"␟"&amp;IFERROR(INDEX(PASTE_ALL,$DF52,60)&amp;"","")," "," "),CHAR(9)," "),CHAR(10)," "),CHAR(13)," "))," ␟","␟"),"␟ ","␟"),"#"&amp;$DE52),"")</f>
        <v/>
      </c>
      <c r="DJ52">
        <f>IF($DI52="",0,IF(SUMPRODUCT(--EXACT($DI$4:DI51,$DI52))&gt;0,1,0))</f>
        <v/>
      </c>
      <c r="DK52">
        <f>IF(AND($DI52&lt;&gt;"",$DJ52=0),1,0)</f>
        <v/>
      </c>
      <c r="DL52">
        <f>DL51+$DK52</f>
        <v/>
      </c>
      <c r="DM52">
        <f>IF(AND($DK52=1,$DL52&lt;=600),1,0)</f>
        <v/>
      </c>
      <c r="DN52">
        <f>IF($DM52=0,"",IF($L$6=0,"",IFERROR(IF(ISNUMBER(INDEX(PASTE_ALL,$DF52,$L$6)),INDEX(PASTE_ALL,$DF52,$L$6),TRIM(SUBSTITUTE(SUBSTITUTE(SUBSTITUTE(SUBSTITUTE(INDEX(PASTE_ALL,$DF52,$L$6)," "," "),CHAR(9)," "),CHAR(10)," "),CHAR(13)," "))),"")))</f>
        <v/>
      </c>
      <c r="DO52">
        <f>IF($DM52=0,"",IF($L$7=0,"",IFERROR(IF(ISNUMBER(INDEX(PASTE_ALL,$DF52,$L$7)),INDEX(PASTE_ALL,$DF52,$L$7),TRIM(SUBSTITUTE(SUBSTITUTE(SUBSTITUTE(SUBSTITUTE(INDEX(PASTE_ALL,$DF52,$L$7)," "," "),CHAR(9)," "),CHAR(10)," "),CHAR(13)," "))),"")))</f>
        <v/>
      </c>
      <c r="DP52">
        <f>IF($DM52=0,"",IF($L$8=0,"",IFERROR(IF(ISNUMBER(INDEX(PASTE_ALL,$DF52,$L$8)),INDEX(PASTE_ALL,$DF52,$L$8),TRIM(SUBSTITUTE(SUBSTITUTE(SUBSTITUTE(SUBSTITUTE(INDEX(PASTE_ALL,$DF52,$L$8)," "," "),CHAR(9)," "),CHAR(10)," "),CHAR(13)," "))),"")))</f>
        <v/>
      </c>
      <c r="DQ52">
        <f>IF($DM52=0,"",IF($L$9=0,"",IFERROR(IF(ISNUMBER(INDEX(PASTE_ALL,$DF52,$L$9)),INDEX(PASTE_ALL,$DF52,$L$9),TRIM(SUBSTITUTE(SUBSTITUTE(SUBSTITUTE(SUBSTITUTE(INDEX(PASTE_ALL,$DF52,$L$9)," "," "),CHAR(9)," "),CHAR(10)," "),CHAR(13)," "))),"")))</f>
        <v/>
      </c>
      <c r="DR52">
        <f>IF($DM52=0,"",IF($L$10=0,"",IFERROR(IF(ISNUMBER(INDEX(PASTE_ALL,$DF52,$L$10)),INDEX(PASTE_ALL,$DF52,$L$10),TRIM(SUBSTITUTE(SUBSTITUTE(SUBSTITUTE(SUBSTITUTE(INDEX(PASTE_ALL,$DF52,$L$10)," "," "),CHAR(9)," "),CHAR(10)," "),CHAR(13)," "))),"")))</f>
        <v/>
      </c>
      <c r="DS52">
        <f>IF($DM52=0,"",IF($L$11=0,"",IFERROR(IF(ISNUMBER(INDEX(PASTE_ALL,$DF52,$L$11)),INDEX(PASTE_ALL,$DF52,$L$11),TRIM(SUBSTITUTE(SUBSTITUTE(SUBSTITUTE(SUBSTITUTE(INDEX(PASTE_ALL,$DF52,$L$11)," "," "),CHAR(9)," "),CHAR(10)," "),CHAR(13)," "))),"")))</f>
        <v/>
      </c>
      <c r="DT52">
        <f>IF($DM52=0,"",IF($L$12=0,"",IFERROR(IF(ISNUMBER(INDEX(PASTE_ALL,$DF52,$L$12)),INDEX(PASTE_ALL,$DF52,$L$12),TRIM(SUBSTITUTE(SUBSTITUTE(SUBSTITUTE(SUBSTITUTE(INDEX(PASTE_ALL,$DF52,$L$12)," "," "),CHAR(9)," "),CHAR(10)," "),CHAR(13)," "))),"")))</f>
        <v/>
      </c>
      <c r="DU52">
        <f>IF($DM52=0,"",IF($L$13=0,"",IFERROR(IF(ISNUMBER(INDEX(PASTE_ALL,$DF52,$L$13)),INDEX(PASTE_ALL,$DF52,$L$13),TRIM(SUBSTITUTE(SUBSTITUTE(SUBSTITUTE(SUBSTITUTE(INDEX(PASTE_ALL,$DF52,$L$13)," "," "),CHAR(9)," "),CHAR(10)," "),CHAR(13)," "))),"")))</f>
        <v/>
      </c>
      <c r="DV52">
        <f>IF($DM52=0,"",IF($L$14=0,"",IFERROR(IF(ISNUMBER(INDEX(PASTE_ALL,$DF52,$L$14)),INDEX(PASTE_ALL,$DF52,$L$14),TRIM(SUBSTITUTE(SUBSTITUTE(SUBSTITUTE(SUBSTITUTE(INDEX(PASTE_ALL,$DF52,$L$14)," "," "),CHAR(9)," "),CHAR(10)," "),CHAR(13)," "))),"")))</f>
        <v/>
      </c>
      <c r="DW52">
        <f>IF($DM52=0,"",IF($L$15=0,"",IFERROR(IF(ISNUMBER(INDEX(PASTE_ALL,$DF52,$L$15)),INDEX(PASTE_ALL,$DF52,$L$15),IF(SUMPRODUCT(--ISNUMBER(FIND({"A","B","C","D","E","F","G","H","I","J","K","L","M","N","O","P","Q","R","S","T","U","V","W","X","Y","Z","0","1","2","3","4","5","6","7","8","9"},UPPER(TRIM(SUBSTITUTE(SUBSTITUTE(SUBSTITUTE(SUBSTITUTE(INDEX(PASTE_ALL,$DF52,$L$15)," "," "),CHAR(9)," "),CHAR(10)," "),CHAR(13)," "))))))&gt;0,TRIM(SUBSTITUTE(SUBSTITUTE(SUBSTITUTE(SUBSTITUTE(INDEX(PASTE_ALL,$DF52,$L$15)," "," "),CHAR(9)," "),CHAR(10)," "),CHAR(13)," ")),"")),"")))</f>
        <v/>
      </c>
      <c r="DX52">
        <f>IF($DM52=0,"",IF($L$16=0,"",IFERROR(IF(ISNUMBER(INDEX(PASTE_ALL,$DF52,$L$16)),INDEX(PASTE_ALL,$DF52,$L$16),SUBSTITUTE(SUBSTITUTE(TRIM(SUBSTITUTE(SUBSTITUTE(SUBSTITUTE(SUBSTITUTE(INDEX(PASTE_ALL,$DF52,$L$16)," "," "),CHAR(9)," "),CHAR(10)," "),CHAR(13)," ")),",",""),"%","")),"")))</f>
        <v/>
      </c>
      <c r="DY52">
        <f>IF($DM52=0,"",IFERROR(IF(ISNUMBER($DX52),$DX52,IF($DX52="","",IF(TRIM($DX52)="",0,IF(AND(AND(SUBSTITUTE(SUBSTITUTE(SUBSTITUTE(SUBSTITUTE(SUBSTITUTE(SUBSTITUTE(SUBSTITUTE(SUBSTITUTE(SUBSTITUTE(SUBSTITUTE(SUBSTITUTE(SUBSTITUTE(SUBSTITUTE(SUBSTITUTE(UPPER(TRIM($DX52)),"0",""),"1",""),"2",""),"3",""),"4",""),"5",""),"6",""),"7",""),"8",""),"9",""),".",""),"+",""),"-",""),"E","")="",LEN(SUBSTITUTE(SUBSTITUTE(MID(UPPER(TRIM($DX52)),1+OR(LEFT(UPPER(TRIM($DX52)),1)="+",LEFT(UPPER(TRIM($DX52)),1)="-"),999),"E+","E"),"E-","E"))=LEN(SUBSTITUTE(SUBSTITUTE(SUBSTITUTE(SUBSTITUTE(MID(UPPER(TRIM($DX52)),1+OR(LEFT(UPPER(TRIM($DX52)),1)="+",LEFT(UPPER(TRIM($DX52)),1)="-"),999),"E+","E"),"E-","E"),"+",""),"-","")),LEN(UPPER(TRIM($DX52)))-LEN(SUBSTITUTE(UPPER(TRIM($DX52)),"E",""))&lt;2,LEN(UPPER(TRIM($DX52)))-LEN(SUBSTITUTE(UPPER(TRIM($DX52)),".",""))&lt;2,IFERROR(FIND(".",UPPER(TRIM($DX52))),0)&lt;IFERROR(FIND("E",UPPER(TRIM($DX52))),999)),ISNUMBER(VALUE(TRIM($DX52)))),VALUE(TRIM($DX52)),"")))),""))</f>
        <v/>
      </c>
      <c r="DZ52">
        <f>IF($DM52=0,"",IF($L$17=0,"",IFERROR(IF(ISNUMBER(INDEX(PASTE_ALL,$DF52,$L$17)),INDEX(PASTE_ALL,$DF52,$L$17),SUBSTITUTE(SUBSTITUTE(TRIM(SUBSTITUTE(SUBSTITUTE(SUBSTITUTE(SUBSTITUTE(INDEX(PASTE_ALL,$DF52,$L$17)," "," "),CHAR(9)," "),CHAR(10)," "),CHAR(13)," ")),",",""),"%","")),"")))</f>
        <v/>
      </c>
      <c r="EA52">
        <f>IF($DM52=0,"",IFERROR(IF(ISNUMBER($DZ52),$DZ52,IF($DZ52="","",IF(TRIM($DZ52)="",0,IF(AND(AND(SUBSTITUTE(SUBSTITUTE(SUBSTITUTE(SUBSTITUTE(SUBSTITUTE(SUBSTITUTE(SUBSTITUTE(SUBSTITUTE(SUBSTITUTE(SUBSTITUTE(SUBSTITUTE(SUBSTITUTE(SUBSTITUTE(SUBSTITUTE(UPPER(TRIM($DZ52)),"0",""),"1",""),"2",""),"3",""),"4",""),"5",""),"6",""),"7",""),"8",""),"9",""),".",""),"+",""),"-",""),"E","")="",LEN(SUBSTITUTE(SUBSTITUTE(MID(UPPER(TRIM($DZ52)),1+OR(LEFT(UPPER(TRIM($DZ52)),1)="+",LEFT(UPPER(TRIM($DZ52)),1)="-"),999),"E+","E"),"E-","E"))=LEN(SUBSTITUTE(SUBSTITUTE(SUBSTITUTE(SUBSTITUTE(MID(UPPER(TRIM($DZ52)),1+OR(LEFT(UPPER(TRIM($DZ52)),1)="+",LEFT(UPPER(TRIM($DZ52)),1)="-"),999),"E+","E"),"E-","E"),"+",""),"-","")),LEN(UPPER(TRIM($DZ52)))-LEN(SUBSTITUTE(UPPER(TRIM($DZ52)),"E",""))&lt;2,LEN(UPPER(TRIM($DZ52)))-LEN(SUBSTITUTE(UPPER(TRIM($DZ52)),".",""))&lt;2,IFERROR(FIND(".",UPPER(TRIM($DZ52))),0)&lt;IFERROR(FIND("E",UPPER(TRIM($DZ52))),999)),ISNUMBER(VALUE(TRIM($DZ52)))),VALUE(TRIM($DZ52)),"")))),""))</f>
        <v/>
      </c>
      <c r="EB52">
        <f>IF($DM52=0,"",IF($L$18=0,"",IFERROR(IF(UPPER(TRIM(SUBSTITUTE(SUBSTITUTE(SUBSTITUTE(SUBSTITUTE(INDEX(PASTE_ALL,$DF52,$L$18)," "," "),CHAR(9)," "),CHAR(10)," "),CHAR(13)," ")))="READY","Ready",IF(UPPER(TRIM(SUBSTITUTE(SUBSTITUTE(SUBSTITUTE(SUBSTITUTE(INDEX(PASTE_ALL,$DF52,$L$18)," "," "),CHAR(9)," "),CHAR(10)," "),CHAR(13)," ")))="PM","PM",IF(OR(UPPER(TRIM(SUBSTITUTE(SUBSTITUTE(SUBSTITUTE(SUBSTITUTE(INDEX(PASTE_ALL,$DF52,$L$18)," "," "),CHAR(9)," "),CHAR(10)," "),CHAR(13)," ")))="OT",UPPER(TRIM(SUBSTITUTE(SUBSTITUTE(SUBSTITUTE(SUBSTITUTE(INDEX(PASTE_ALL,$DF52,$L$18)," "," "),CHAR(9)," "),CHAR(10)," "),CHAR(13)," ")))="OVERTIME",UPPER(TRIM(SUBSTITUTE(SUBSTITUTE(SUBSTITUTE(SUBSTITUTE(INDEX(PASTE_ALL,$DF52,$L$18)," "," "),CHAR(9)," "),CHAR(10)," "),CHAR(13)," ")))="TRIAL"),"OT",TRIM(SUBSTITUTE(SUBSTITUTE(SUBSTITUTE(SUBSTITUTE(INDEX(PASTE_ALL,$DF52,$L$18)," "," "),CHAR(9)," "),CHAR(10)," "),CHAR(13)," "))))),"")))</f>
        <v/>
      </c>
      <c r="EC52">
        <f>IF($DM52=0,"",IF($L$19=0,"",IFERROR(IF(ISNUMBER(INDEX(PASTE_ALL,$DF52,$L$19)),INDEX(PASTE_ALL,$DF52,$L$19),TRIM(SUBSTITUTE(SUBSTITUTE(SUBSTITUTE(SUBSTITUTE(INDEX(PASTE_ALL,$DF52,$L$19)," "," "),CHAR(9)," "),CHAR(10)," "),CHAR(13)," "))),"")))</f>
        <v/>
      </c>
      <c r="ED52">
        <f>IF($DM52=0,"",MATCH(1,INDEX(EXACT($DH$5:DH52,$DH52)*$DM$5:DM52,0),0))</f>
        <v/>
      </c>
      <c r="EE52">
        <f>IF($DM52=0,0,IF($ED52=$DE52,1,0))</f>
        <v/>
      </c>
      <c r="EF52">
        <f>EF51+$EE52</f>
        <v/>
      </c>
      <c r="EG52">
        <f>IF($DM52=0,"",INDEX($EF$5:$EF$1003,$ED52))</f>
        <v/>
      </c>
      <c r="EH52">
        <f>IF($DM52=0,"",IF($DO52&lt;&gt;"","",IFERROR(LOOKUP(2,1/(($EG$4:EG51=$EG52)*($DO$4:DO51&lt;&gt;"")),$DO$4:DO51),"")))</f>
        <v/>
      </c>
      <c r="EI52">
        <f>IF($DM52=0,"",IF($DO52&lt;&gt;"",$DO52,$EH52))</f>
        <v/>
      </c>
      <c r="EJ52">
        <f>IF($DM52=0,"",IF($EI52="",0,IF(OR(ISNUMBER($EI52),AND(AND(SUBSTITUTE(SUBSTITUTE(SUBSTITUTE(SUBSTITUTE(SUBSTITUTE(SUBSTITUTE(SUBSTITUTE(SUBSTITUTE(SUBSTITUTE(SUBSTITUTE(SUBSTITUTE(SUBSTITUTE(SUBSTITUTE(SUBSTITUTE(UPPER($EI52),"0",""),"1",""),"2",""),"3",""),"4",""),"5",""),"6",""),"7",""),"8",""),"9",""),".",""),"+",""),"-",""),"E","")="",LEN(SUBSTITUTE(SUBSTITUTE(MID(UPPER($EI52),1+OR(LEFT(UPPER($EI52),1)="+",LEFT(UPPER($EI52),1)="-"),999),"E+","E"),"E-","E"))=LEN(SUBSTITUTE(SUBSTITUTE(SUBSTITUTE(SUBSTITUTE(MID(UPPER($EI52),1+OR(LEFT(UPPER($EI52),1)="+",LEFT(UPPER($EI52),1)="-"),999),"E+","E"),"E-","E"),"+",""),"-","")),LEN(UPPER($EI52))-LEN(SUBSTITUTE(UPPER($EI52),"E",""))&lt;2,LEN(UPPER($EI52))-LEN(SUBSTITUTE(UPPER($EI52),".",""))&lt;2,IFERROR(FIND(".",UPPER($EI52)),0)&lt;IFERROR(FIND("E",UPPER($EI52)),999)),ISNUMBER(VALUE($EI52)))),1,2)))</f>
        <v/>
      </c>
      <c r="EK52">
        <f>IF($DM52=0,"",IF($EJ52=1,IF(ISNUMBER($EI52),$EI52,VALUE($EI52)),IF($EJ52=2,$DE52,0)))</f>
        <v/>
      </c>
      <c r="EL52">
        <f>IF($DM52=0,"",COUNTIF($EG$5:$EG$1003,"&lt;"&amp;$EG52)+SUMPRODUCT(($EG$5:$EG$1003=$EG52)*(($EJ$5:$EJ$1003&lt;$EJ52)+($EJ$5:$EJ$1003=$EJ52)*(($EK$5:$EK$1003&lt;$EK52)+($EK$5:$EK$1003=$EK52)*($DE$5:$DE$1003&lt;$DE52))))+1)</f>
        <v/>
      </c>
      <c r="EM52">
        <f>IF($DM52=0,"",$EL52+$EG52-1)</f>
        <v/>
      </c>
      <c r="EN52">
        <f>IF($DM52=0,0,IFERROR(MATCH(1,INDEX(--(TRIM(SUBSTITUTE(SUBSTITUTE(SUBSTITUTE(SUBSTITUTE(LINES_NAME&amp;""," "," "),CHAR(9)," "),CHAR(10)," "),CHAR(13)," "))=$DH52),0),0),0))</f>
        <v/>
      </c>
      <c r="EO52">
        <f>IF($EN52=0,0,IF(OR(UPPER(TRIM(INDEX(LINES_SCHEDULED,$EN52)&amp;""))="YES",UPPER(TRIM(INDEX(LINES_SCHEDULED,$EN52)&amp;""))="Y",UPPER(TRIM(INDEX(LINES_SCHEDULED,$EN52)&amp;""))="X"),1,0))</f>
        <v/>
      </c>
      <c r="EP52">
        <f>IF($DM52=0,"",IF(COUNTIFS($EG$5:$EG$1003,$EG52,$EB$5:$EB$1003,"Ready")&gt;0,"READY",IF(COUNTIFS($EG$5:$EG$1003,$EG52,$EB$5:$EB$1003,"PM")&gt;0,"PM",IF(COUNTIFS($EG$5:$EG$1003,$EG52,$EB$5:$EB$1003,"OT")&gt;0,"OT",""))))</f>
        <v/>
      </c>
      <c r="EQ52">
        <f>IF($EN52=0,"",UPPER(TRIM(INDEX(LINES_STATUS,$EN52)&amp;"")))</f>
        <v/>
      </c>
      <c r="ER52">
        <f>IF($DM52=0,"",IF(OR($EQ52="READY",$EQ52="PM",$EQ52="OT"),$EQ52,$EP52))</f>
        <v/>
      </c>
      <c r="ES52">
        <f>IF($DM52=0,"",IF(AND($DV52&lt;&gt;"",UPPER($DV52)&lt;&gt;"N"),"allergen",IF(ISNUMBER(SEARCH("oil",$DQ52)),"oil",IF(OR(EXACT($DS52,"A662"),EXACT($DS52,"A624")),"bulk",""))))</f>
        <v/>
      </c>
      <c r="ET52">
        <f>IF($DM52=0,"",IF(OR($EA52="",$EA52=0),"",$EA52/100))</f>
        <v/>
      </c>
      <c r="EU52">
        <f>IF(OR($ET52="",$DY52=""),"",INT($DY52*(1-$ET52)+0.5))</f>
        <v/>
      </c>
      <c r="EW52" t="n">
        <v>48</v>
      </c>
      <c r="EX52">
        <f>IFERROR(MATCH($EW52,$EM$5:$EM$1003,0),0)</f>
        <v/>
      </c>
      <c r="EY52">
        <f>IF($EW52&gt;$B$12,"",IF($EX52&gt;0,"row","spacer"))</f>
        <v/>
      </c>
      <c r="EZ52">
        <f>IF(AND($EY52="row",$EY51&lt;&gt;"row"),1,0)</f>
        <v/>
      </c>
      <c r="FA52">
        <f>IF(AND($EY52="row",$EY53&lt;&gt;"row"),1,0)</f>
        <v/>
      </c>
      <c r="FB52">
        <f>IF($EZ52=1,IFERROR(IF(ISNUMBER(INDEX(PASTE_ALL,INDEX($DF$5:$DF$1003,$EX52),$B$37)),INDEX(PASTE_ALL,INDEX($DF$5:$DF$1003,$EX52),$B$37),INDEX($DH$5:$DH$1003,$EX52)),INDEX($DH$5:$DH$1003,$EX52)),"")</f>
        <v/>
      </c>
      <c r="FC52">
        <f>IF($EY52="row",INDEX($ER$5:$ER$1003,$EX52),"")</f>
        <v/>
      </c>
      <c r="FD52">
        <f>IF($EY52="row",INDEX($DN$5:$DN$1003,$EX52),"")</f>
        <v/>
      </c>
      <c r="FE52">
        <f>IF($EY52="row",INDEX($DO$5:$DO$1003,$EX52),"")</f>
        <v/>
      </c>
      <c r="FF52">
        <f>IF($EY52="row",INDEX($DP$5:$DP$1003,$EX52),"")</f>
        <v/>
      </c>
      <c r="FG52">
        <f>IF($EY52="row",INDEX($DQ$5:$DQ$1003,$EX52),"")</f>
        <v/>
      </c>
      <c r="FH52">
        <f>IF($EY52="row",INDEX($DR$5:$DR$1003,$EX52),"")</f>
        <v/>
      </c>
      <c r="FI52">
        <f>IF($EY52="row",INDEX($DS$5:$DS$1003,$EX52),"")</f>
        <v/>
      </c>
      <c r="FJ52">
        <f>IF($EY52="row",INDEX($DT$5:$DT$1003,$EX52),"")</f>
        <v/>
      </c>
      <c r="FK52">
        <f>IF($EY52="row",INDEX($DU$5:$DU$1003,$EX52),"")</f>
        <v/>
      </c>
      <c r="FL52">
        <f>IF($EY52="row",INDEX($DV$5:$DV$1003,$EX52),"")</f>
        <v/>
      </c>
      <c r="FM52">
        <f>IF($EY52="row",INDEX($DW$5:$DW$1003,$EX52),"")</f>
        <v/>
      </c>
      <c r="FN52">
        <f>IF($EY52="row",INDEX($DY$5:$DY$1003,$EX52),"")</f>
        <v/>
      </c>
      <c r="FO52">
        <f>IF($EY52="row",INDEX($EA$5:$EA$1003,$EX52),"")</f>
        <v/>
      </c>
      <c r="FP52">
        <f>IF($EY52="row",INDEX($EC$5:$EC$1003,$EX52),"")</f>
        <v/>
      </c>
      <c r="FQ52">
        <f>IF($EY52="row",INDEX($ET$5:$ET$1003,$EX52),"")</f>
        <v/>
      </c>
      <c r="FR52">
        <f>IF($EY52="row",INDEX($EU$5:$EU$1003,$EX52),"")</f>
        <v/>
      </c>
      <c r="FS52">
        <f>IF(AND($EY52="row",$EY51="row"),IF(OR(INDEX($DT$5:$DT$1003,$EX51)="",INDEX($DT$5:$DT$1003,$EX52)=""),"",IF(NOT(EXACT(INDEX($DT$5:$DT$1003,$EX51),INDEX($DT$5:$DT$1003,$EX52))),"S4",IF(NOT(EXACT(INDEX($DS$5:$DS$1003,$EX51),INDEX($DS$5:$DS$1003,$EX52))),"S3",IF(NOT(EXACT(INDEX($DR$5:$DR$1003,$EX51),INDEX($DR$5:$DR$1003,$EX52))),"S1 Count Change","S1")))),"")</f>
        <v/>
      </c>
      <c r="FT52">
        <f>IF($EY52="row",INDEX($ES$5:$ES$1003,$EX52),"")</f>
        <v/>
      </c>
      <c r="FU52">
        <f>IF($EY52="row",INDEX($EO$5:$EO$1003,$EX52),0)</f>
        <v/>
      </c>
      <c r="FV52">
        <f>IF($FS52="S1 Count Change",1,0)</f>
        <v/>
      </c>
      <c r="FX52" t="n">
        <v>48</v>
      </c>
      <c r="FY52">
        <f>IFERROR(MATCH($FX52,$EF$5:$EF$1003,0),0)</f>
        <v/>
      </c>
      <c r="FZ52">
        <f>IF($FY52=0,"",INDEX($DH$5:$DH$1003,$FY52))</f>
        <v/>
      </c>
      <c r="GA52">
        <f>IF($FY52=0,"",COUNTIF($EG$5:$EG$1003,$FX52))</f>
        <v/>
      </c>
      <c r="GB52">
        <f>IF($FY52=0,"",INDEX($ER$5:$ER$1003,$FY52))</f>
        <v/>
      </c>
      <c r="GC52">
        <f>IF($FY52=0,"",IF(INDEX($EO$5:$EO$1003,$FY52)=1,"Yes",""))</f>
        <v/>
      </c>
      <c r="GD52">
        <f>IF($FY52=0,"",IF(INDEX($EN$5:$EN$1003,$FY52)&gt;0,"","NOT IN YOUR LIST - type it in column A to tick it"))</f>
        <v/>
      </c>
      <c r="GE52">
        <f>IF(AND($FY52&gt;0,$GD52&lt;&gt;""),1,0)</f>
        <v/>
      </c>
      <c r="GF52">
        <f>GF51+$GE52</f>
        <v/>
      </c>
      <c r="GG52">
        <f>IFERROR(INDEX($FZ$5:$FZ$104,MATCH($FX52,$GF$5:$GF$104,0)),"")</f>
        <v/>
      </c>
    </row>
    <row r="53">
      <c r="S53" t="n">
        <v>49</v>
      </c>
      <c r="T53" t="inlineStr">
        <is>
          <t>AW</t>
        </is>
      </c>
      <c r="V53" t="inlineStr">
        <is>
          <t>BOTTLESIZE</t>
        </is>
      </c>
      <c r="W53" t="n">
        <v>8</v>
      </c>
      <c r="Y53">
        <f>IFERROR(IF(ISNUMBER(INDEX(PASTE_ALL,4,1)),2,IF(TRIM(INDEX(PASTE_ALL,4,1))="",0,IF(AND(LEFT(MID(TRIM(INDEX(PASTE_ALL,4,1)),1+(LEFT(TRIM(INDEX(PASTE_ALL,4,1)),1)="-"),999),LEN(MID(TRIM(INDEX(PASTE_ALL,4,1)),1+(LEFT(TRIM(INDEX(PASTE_ALL,4,1)),1)="-"),999))-(RIGHT(MID(TRIM(INDEX(PASTE_ALL,4,1)),1+(LEFT(TRIM(INDEX(PASTE_ALL,4,1)),1)="-"),999),1)="%"))&lt;&gt;"",SUBSTITUTE(SUBSTITUTE(SUBSTITUTE(SUBSTITUTE(SUBSTITUTE(SUBSTITUTE(SUBSTITUTE(SUBSTITUTE(SUBSTITUTE(SUBSTITUTE(SUBSTITUTE(SUBSTITUTE(LEFT(MID(TRIM(INDEX(PASTE_ALL,4,1)),1+(LEFT(TRIM(INDEX(PASTE_ALL,4,1)),1)="-"),999),LEN(MID(TRIM(INDEX(PASTE_ALL,4,1)),1+(LEFT(TRIM(INDEX(PASTE_ALL,4,1)),1)="-"),999))-(RIGHT(MID(TRIM(INDEX(PASTE_ALL,4,1)),1+(LEFT(TRIM(INDEX(PASTE_ALL,4,1)),1)="-"),999),1)="%")),"0",""),"1",""),"2",""),"3",""),"4",""),"5",""),"6",""),"7",""),"8",""),"9",""),".",""),",","")=""),2,1))),1)</f>
        <v/>
      </c>
      <c r="Z53">
        <f>IFERROR(IF(ISNUMBER(INDEX(PASTE_ALL,4,2)),2,IF(TRIM(INDEX(PASTE_ALL,4,2))="",0,IF(AND(LEFT(MID(TRIM(INDEX(PASTE_ALL,4,2)),1+(LEFT(TRIM(INDEX(PASTE_ALL,4,2)),1)="-"),999),LEN(MID(TRIM(INDEX(PASTE_ALL,4,2)),1+(LEFT(TRIM(INDEX(PASTE_ALL,4,2)),1)="-"),999))-(RIGHT(MID(TRIM(INDEX(PASTE_ALL,4,2)),1+(LEFT(TRIM(INDEX(PASTE_ALL,4,2)),1)="-"),999),1)="%"))&lt;&gt;"",SUBSTITUTE(SUBSTITUTE(SUBSTITUTE(SUBSTITUTE(SUBSTITUTE(SUBSTITUTE(SUBSTITUTE(SUBSTITUTE(SUBSTITUTE(SUBSTITUTE(SUBSTITUTE(SUBSTITUTE(LEFT(MID(TRIM(INDEX(PASTE_ALL,4,2)),1+(LEFT(TRIM(INDEX(PASTE_ALL,4,2)),1)="-"),999),LEN(MID(TRIM(INDEX(PASTE_ALL,4,2)),1+(LEFT(TRIM(INDEX(PASTE_ALL,4,2)),1)="-"),999))-(RIGHT(MID(TRIM(INDEX(PASTE_ALL,4,2)),1+(LEFT(TRIM(INDEX(PASTE_ALL,4,2)),1)="-"),999),1)="%")),"0",""),"1",""),"2",""),"3",""),"4",""),"5",""),"6",""),"7",""),"8",""),"9",""),".",""),",","")=""),2,1))),1)</f>
        <v/>
      </c>
      <c r="AA53">
        <f>IFERROR(IF(ISNUMBER(INDEX(PASTE_ALL,4,3)),2,IF(TRIM(INDEX(PASTE_ALL,4,3))="",0,IF(AND(LEFT(MID(TRIM(INDEX(PASTE_ALL,4,3)),1+(LEFT(TRIM(INDEX(PASTE_ALL,4,3)),1)="-"),999),LEN(MID(TRIM(INDEX(PASTE_ALL,4,3)),1+(LEFT(TRIM(INDEX(PASTE_ALL,4,3)),1)="-"),999))-(RIGHT(MID(TRIM(INDEX(PASTE_ALL,4,3)),1+(LEFT(TRIM(INDEX(PASTE_ALL,4,3)),1)="-"),999),1)="%"))&lt;&gt;"",SUBSTITUTE(SUBSTITUTE(SUBSTITUTE(SUBSTITUTE(SUBSTITUTE(SUBSTITUTE(SUBSTITUTE(SUBSTITUTE(SUBSTITUTE(SUBSTITUTE(SUBSTITUTE(SUBSTITUTE(LEFT(MID(TRIM(INDEX(PASTE_ALL,4,3)),1+(LEFT(TRIM(INDEX(PASTE_ALL,4,3)),1)="-"),999),LEN(MID(TRIM(INDEX(PASTE_ALL,4,3)),1+(LEFT(TRIM(INDEX(PASTE_ALL,4,3)),1)="-"),999))-(RIGHT(MID(TRIM(INDEX(PASTE_ALL,4,3)),1+(LEFT(TRIM(INDEX(PASTE_ALL,4,3)),1)="-"),999),1)="%")),"0",""),"1",""),"2",""),"3",""),"4",""),"5",""),"6",""),"7",""),"8",""),"9",""),".",""),",","")=""),2,1))),1)</f>
        <v/>
      </c>
      <c r="AB53">
        <f>IFERROR(IF(ISNUMBER(INDEX(PASTE_ALL,4,4)),2,IF(TRIM(INDEX(PASTE_ALL,4,4))="",0,IF(AND(LEFT(MID(TRIM(INDEX(PASTE_ALL,4,4)),1+(LEFT(TRIM(INDEX(PASTE_ALL,4,4)),1)="-"),999),LEN(MID(TRIM(INDEX(PASTE_ALL,4,4)),1+(LEFT(TRIM(INDEX(PASTE_ALL,4,4)),1)="-"),999))-(RIGHT(MID(TRIM(INDEX(PASTE_ALL,4,4)),1+(LEFT(TRIM(INDEX(PASTE_ALL,4,4)),1)="-"),999),1)="%"))&lt;&gt;"",SUBSTITUTE(SUBSTITUTE(SUBSTITUTE(SUBSTITUTE(SUBSTITUTE(SUBSTITUTE(SUBSTITUTE(SUBSTITUTE(SUBSTITUTE(SUBSTITUTE(SUBSTITUTE(SUBSTITUTE(LEFT(MID(TRIM(INDEX(PASTE_ALL,4,4)),1+(LEFT(TRIM(INDEX(PASTE_ALL,4,4)),1)="-"),999),LEN(MID(TRIM(INDEX(PASTE_ALL,4,4)),1+(LEFT(TRIM(INDEX(PASTE_ALL,4,4)),1)="-"),999))-(RIGHT(MID(TRIM(INDEX(PASTE_ALL,4,4)),1+(LEFT(TRIM(INDEX(PASTE_ALL,4,4)),1)="-"),999),1)="%")),"0",""),"1",""),"2",""),"3",""),"4",""),"5",""),"6",""),"7",""),"8",""),"9",""),".",""),",","")=""),2,1))),1)</f>
        <v/>
      </c>
      <c r="AC53">
        <f>IFERROR(IF(ISNUMBER(INDEX(PASTE_ALL,4,5)),2,IF(TRIM(INDEX(PASTE_ALL,4,5))="",0,IF(AND(LEFT(MID(TRIM(INDEX(PASTE_ALL,4,5)),1+(LEFT(TRIM(INDEX(PASTE_ALL,4,5)),1)="-"),999),LEN(MID(TRIM(INDEX(PASTE_ALL,4,5)),1+(LEFT(TRIM(INDEX(PASTE_ALL,4,5)),1)="-"),999))-(RIGHT(MID(TRIM(INDEX(PASTE_ALL,4,5)),1+(LEFT(TRIM(INDEX(PASTE_ALL,4,5)),1)="-"),999),1)="%"))&lt;&gt;"",SUBSTITUTE(SUBSTITUTE(SUBSTITUTE(SUBSTITUTE(SUBSTITUTE(SUBSTITUTE(SUBSTITUTE(SUBSTITUTE(SUBSTITUTE(SUBSTITUTE(SUBSTITUTE(SUBSTITUTE(LEFT(MID(TRIM(INDEX(PASTE_ALL,4,5)),1+(LEFT(TRIM(INDEX(PASTE_ALL,4,5)),1)="-"),999),LEN(MID(TRIM(INDEX(PASTE_ALL,4,5)),1+(LEFT(TRIM(INDEX(PASTE_ALL,4,5)),1)="-"),999))-(RIGHT(MID(TRIM(INDEX(PASTE_ALL,4,5)),1+(LEFT(TRIM(INDEX(PASTE_ALL,4,5)),1)="-"),999),1)="%")),"0",""),"1",""),"2",""),"3",""),"4",""),"5",""),"6",""),"7",""),"8",""),"9",""),".",""),",","")=""),2,1))),1)</f>
        <v/>
      </c>
      <c r="AD53">
        <f>IFERROR(IF(ISNUMBER(INDEX(PASTE_ALL,4,6)),2,IF(TRIM(INDEX(PASTE_ALL,4,6))="",0,IF(AND(LEFT(MID(TRIM(INDEX(PASTE_ALL,4,6)),1+(LEFT(TRIM(INDEX(PASTE_ALL,4,6)),1)="-"),999),LEN(MID(TRIM(INDEX(PASTE_ALL,4,6)),1+(LEFT(TRIM(INDEX(PASTE_ALL,4,6)),1)="-"),999))-(RIGHT(MID(TRIM(INDEX(PASTE_ALL,4,6)),1+(LEFT(TRIM(INDEX(PASTE_ALL,4,6)),1)="-"),999),1)="%"))&lt;&gt;"",SUBSTITUTE(SUBSTITUTE(SUBSTITUTE(SUBSTITUTE(SUBSTITUTE(SUBSTITUTE(SUBSTITUTE(SUBSTITUTE(SUBSTITUTE(SUBSTITUTE(SUBSTITUTE(SUBSTITUTE(LEFT(MID(TRIM(INDEX(PASTE_ALL,4,6)),1+(LEFT(TRIM(INDEX(PASTE_ALL,4,6)),1)="-"),999),LEN(MID(TRIM(INDEX(PASTE_ALL,4,6)),1+(LEFT(TRIM(INDEX(PASTE_ALL,4,6)),1)="-"),999))-(RIGHT(MID(TRIM(INDEX(PASTE_ALL,4,6)),1+(LEFT(TRIM(INDEX(PASTE_ALL,4,6)),1)="-"),999),1)="%")),"0",""),"1",""),"2",""),"3",""),"4",""),"5",""),"6",""),"7",""),"8",""),"9",""),".",""),",","")=""),2,1))),1)</f>
        <v/>
      </c>
      <c r="AE53">
        <f>IFERROR(IF(ISNUMBER(INDEX(PASTE_ALL,4,7)),2,IF(TRIM(INDEX(PASTE_ALL,4,7))="",0,IF(AND(LEFT(MID(TRIM(INDEX(PASTE_ALL,4,7)),1+(LEFT(TRIM(INDEX(PASTE_ALL,4,7)),1)="-"),999),LEN(MID(TRIM(INDEX(PASTE_ALL,4,7)),1+(LEFT(TRIM(INDEX(PASTE_ALL,4,7)),1)="-"),999))-(RIGHT(MID(TRIM(INDEX(PASTE_ALL,4,7)),1+(LEFT(TRIM(INDEX(PASTE_ALL,4,7)),1)="-"),999),1)="%"))&lt;&gt;"",SUBSTITUTE(SUBSTITUTE(SUBSTITUTE(SUBSTITUTE(SUBSTITUTE(SUBSTITUTE(SUBSTITUTE(SUBSTITUTE(SUBSTITUTE(SUBSTITUTE(SUBSTITUTE(SUBSTITUTE(LEFT(MID(TRIM(INDEX(PASTE_ALL,4,7)),1+(LEFT(TRIM(INDEX(PASTE_ALL,4,7)),1)="-"),999),LEN(MID(TRIM(INDEX(PASTE_ALL,4,7)),1+(LEFT(TRIM(INDEX(PASTE_ALL,4,7)),1)="-"),999))-(RIGHT(MID(TRIM(INDEX(PASTE_ALL,4,7)),1+(LEFT(TRIM(INDEX(PASTE_ALL,4,7)),1)="-"),999),1)="%")),"0",""),"1",""),"2",""),"3",""),"4",""),"5",""),"6",""),"7",""),"8",""),"9",""),".",""),",","")=""),2,1))),1)</f>
        <v/>
      </c>
      <c r="AF53">
        <f>IFERROR(IF(ISNUMBER(INDEX(PASTE_ALL,4,8)),2,IF(TRIM(INDEX(PASTE_ALL,4,8))="",0,IF(AND(LEFT(MID(TRIM(INDEX(PASTE_ALL,4,8)),1+(LEFT(TRIM(INDEX(PASTE_ALL,4,8)),1)="-"),999),LEN(MID(TRIM(INDEX(PASTE_ALL,4,8)),1+(LEFT(TRIM(INDEX(PASTE_ALL,4,8)),1)="-"),999))-(RIGHT(MID(TRIM(INDEX(PASTE_ALL,4,8)),1+(LEFT(TRIM(INDEX(PASTE_ALL,4,8)),1)="-"),999),1)="%"))&lt;&gt;"",SUBSTITUTE(SUBSTITUTE(SUBSTITUTE(SUBSTITUTE(SUBSTITUTE(SUBSTITUTE(SUBSTITUTE(SUBSTITUTE(SUBSTITUTE(SUBSTITUTE(SUBSTITUTE(SUBSTITUTE(LEFT(MID(TRIM(INDEX(PASTE_ALL,4,8)),1+(LEFT(TRIM(INDEX(PASTE_ALL,4,8)),1)="-"),999),LEN(MID(TRIM(INDEX(PASTE_ALL,4,8)),1+(LEFT(TRIM(INDEX(PASTE_ALL,4,8)),1)="-"),999))-(RIGHT(MID(TRIM(INDEX(PASTE_ALL,4,8)),1+(LEFT(TRIM(INDEX(PASTE_ALL,4,8)),1)="-"),999),1)="%")),"0",""),"1",""),"2",""),"3",""),"4",""),"5",""),"6",""),"7",""),"8",""),"9",""),".",""),",","")=""),2,1))),1)</f>
        <v/>
      </c>
      <c r="AG53">
        <f>IFERROR(IF(ISNUMBER(INDEX(PASTE_ALL,4,9)),2,IF(TRIM(INDEX(PASTE_ALL,4,9))="",0,IF(AND(LEFT(MID(TRIM(INDEX(PASTE_ALL,4,9)),1+(LEFT(TRIM(INDEX(PASTE_ALL,4,9)),1)="-"),999),LEN(MID(TRIM(INDEX(PASTE_ALL,4,9)),1+(LEFT(TRIM(INDEX(PASTE_ALL,4,9)),1)="-"),999))-(RIGHT(MID(TRIM(INDEX(PASTE_ALL,4,9)),1+(LEFT(TRIM(INDEX(PASTE_ALL,4,9)),1)="-"),999),1)="%"))&lt;&gt;"",SUBSTITUTE(SUBSTITUTE(SUBSTITUTE(SUBSTITUTE(SUBSTITUTE(SUBSTITUTE(SUBSTITUTE(SUBSTITUTE(SUBSTITUTE(SUBSTITUTE(SUBSTITUTE(SUBSTITUTE(LEFT(MID(TRIM(INDEX(PASTE_ALL,4,9)),1+(LEFT(TRIM(INDEX(PASTE_ALL,4,9)),1)="-"),999),LEN(MID(TRIM(INDEX(PASTE_ALL,4,9)),1+(LEFT(TRIM(INDEX(PASTE_ALL,4,9)),1)="-"),999))-(RIGHT(MID(TRIM(INDEX(PASTE_ALL,4,9)),1+(LEFT(TRIM(INDEX(PASTE_ALL,4,9)),1)="-"),999),1)="%")),"0",""),"1",""),"2",""),"3",""),"4",""),"5",""),"6",""),"7",""),"8",""),"9",""),".",""),",","")=""),2,1))),1)</f>
        <v/>
      </c>
      <c r="AH53">
        <f>IFERROR(IF(ISNUMBER(INDEX(PASTE_ALL,4,10)),2,IF(TRIM(INDEX(PASTE_ALL,4,10))="",0,IF(AND(LEFT(MID(TRIM(INDEX(PASTE_ALL,4,10)),1+(LEFT(TRIM(INDEX(PASTE_ALL,4,10)),1)="-"),999),LEN(MID(TRIM(INDEX(PASTE_ALL,4,10)),1+(LEFT(TRIM(INDEX(PASTE_ALL,4,10)),1)="-"),999))-(RIGHT(MID(TRIM(INDEX(PASTE_ALL,4,10)),1+(LEFT(TRIM(INDEX(PASTE_ALL,4,10)),1)="-"),999),1)="%"))&lt;&gt;"",SUBSTITUTE(SUBSTITUTE(SUBSTITUTE(SUBSTITUTE(SUBSTITUTE(SUBSTITUTE(SUBSTITUTE(SUBSTITUTE(SUBSTITUTE(SUBSTITUTE(SUBSTITUTE(SUBSTITUTE(LEFT(MID(TRIM(INDEX(PASTE_ALL,4,10)),1+(LEFT(TRIM(INDEX(PASTE_ALL,4,10)),1)="-"),999),LEN(MID(TRIM(INDEX(PASTE_ALL,4,10)),1+(LEFT(TRIM(INDEX(PASTE_ALL,4,10)),1)="-"),999))-(RIGHT(MID(TRIM(INDEX(PASTE_ALL,4,10)),1+(LEFT(TRIM(INDEX(PASTE_ALL,4,10)),1)="-"),999),1)="%")),"0",""),"1",""),"2",""),"3",""),"4",""),"5",""),"6",""),"7",""),"8",""),"9",""),".",""),",","")=""),2,1))),1)</f>
        <v/>
      </c>
      <c r="AI53">
        <f>IFERROR(IF(ISNUMBER(INDEX(PASTE_ALL,4,11)),2,IF(TRIM(INDEX(PASTE_ALL,4,11))="",0,IF(AND(LEFT(MID(TRIM(INDEX(PASTE_ALL,4,11)),1+(LEFT(TRIM(INDEX(PASTE_ALL,4,11)),1)="-"),999),LEN(MID(TRIM(INDEX(PASTE_ALL,4,11)),1+(LEFT(TRIM(INDEX(PASTE_ALL,4,11)),1)="-"),999))-(RIGHT(MID(TRIM(INDEX(PASTE_ALL,4,11)),1+(LEFT(TRIM(INDEX(PASTE_ALL,4,11)),1)="-"),999),1)="%"))&lt;&gt;"",SUBSTITUTE(SUBSTITUTE(SUBSTITUTE(SUBSTITUTE(SUBSTITUTE(SUBSTITUTE(SUBSTITUTE(SUBSTITUTE(SUBSTITUTE(SUBSTITUTE(SUBSTITUTE(SUBSTITUTE(LEFT(MID(TRIM(INDEX(PASTE_ALL,4,11)),1+(LEFT(TRIM(INDEX(PASTE_ALL,4,11)),1)="-"),999),LEN(MID(TRIM(INDEX(PASTE_ALL,4,11)),1+(LEFT(TRIM(INDEX(PASTE_ALL,4,11)),1)="-"),999))-(RIGHT(MID(TRIM(INDEX(PASTE_ALL,4,11)),1+(LEFT(TRIM(INDEX(PASTE_ALL,4,11)),1)="-"),999),1)="%")),"0",""),"1",""),"2",""),"3",""),"4",""),"5",""),"6",""),"7",""),"8",""),"9",""),".",""),",","")=""),2,1))),1)</f>
        <v/>
      </c>
      <c r="AJ53">
        <f>IFERROR(IF(ISNUMBER(INDEX(PASTE_ALL,4,12)),2,IF(TRIM(INDEX(PASTE_ALL,4,12))="",0,IF(AND(LEFT(MID(TRIM(INDEX(PASTE_ALL,4,12)),1+(LEFT(TRIM(INDEX(PASTE_ALL,4,12)),1)="-"),999),LEN(MID(TRIM(INDEX(PASTE_ALL,4,12)),1+(LEFT(TRIM(INDEX(PASTE_ALL,4,12)),1)="-"),999))-(RIGHT(MID(TRIM(INDEX(PASTE_ALL,4,12)),1+(LEFT(TRIM(INDEX(PASTE_ALL,4,12)),1)="-"),999),1)="%"))&lt;&gt;"",SUBSTITUTE(SUBSTITUTE(SUBSTITUTE(SUBSTITUTE(SUBSTITUTE(SUBSTITUTE(SUBSTITUTE(SUBSTITUTE(SUBSTITUTE(SUBSTITUTE(SUBSTITUTE(SUBSTITUTE(LEFT(MID(TRIM(INDEX(PASTE_ALL,4,12)),1+(LEFT(TRIM(INDEX(PASTE_ALL,4,12)),1)="-"),999),LEN(MID(TRIM(INDEX(PASTE_ALL,4,12)),1+(LEFT(TRIM(INDEX(PASTE_ALL,4,12)),1)="-"),999))-(RIGHT(MID(TRIM(INDEX(PASTE_ALL,4,12)),1+(LEFT(TRIM(INDEX(PASTE_ALL,4,12)),1)="-"),999),1)="%")),"0",""),"1",""),"2",""),"3",""),"4",""),"5",""),"6",""),"7",""),"8",""),"9",""),".",""),",","")=""),2,1))),1)</f>
        <v/>
      </c>
      <c r="AK53">
        <f>IFERROR(IF(ISNUMBER(INDEX(PASTE_ALL,4,13)),2,IF(TRIM(INDEX(PASTE_ALL,4,13))="",0,IF(AND(LEFT(MID(TRIM(INDEX(PASTE_ALL,4,13)),1+(LEFT(TRIM(INDEX(PASTE_ALL,4,13)),1)="-"),999),LEN(MID(TRIM(INDEX(PASTE_ALL,4,13)),1+(LEFT(TRIM(INDEX(PASTE_ALL,4,13)),1)="-"),999))-(RIGHT(MID(TRIM(INDEX(PASTE_ALL,4,13)),1+(LEFT(TRIM(INDEX(PASTE_ALL,4,13)),1)="-"),999),1)="%"))&lt;&gt;"",SUBSTITUTE(SUBSTITUTE(SUBSTITUTE(SUBSTITUTE(SUBSTITUTE(SUBSTITUTE(SUBSTITUTE(SUBSTITUTE(SUBSTITUTE(SUBSTITUTE(SUBSTITUTE(SUBSTITUTE(LEFT(MID(TRIM(INDEX(PASTE_ALL,4,13)),1+(LEFT(TRIM(INDEX(PASTE_ALL,4,13)),1)="-"),999),LEN(MID(TRIM(INDEX(PASTE_ALL,4,13)),1+(LEFT(TRIM(INDEX(PASTE_ALL,4,13)),1)="-"),999))-(RIGHT(MID(TRIM(INDEX(PASTE_ALL,4,13)),1+(LEFT(TRIM(INDEX(PASTE_ALL,4,13)),1)="-"),999),1)="%")),"0",""),"1",""),"2",""),"3",""),"4",""),"5",""),"6",""),"7",""),"8",""),"9",""),".",""),",","")=""),2,1))),1)</f>
        <v/>
      </c>
      <c r="AL53">
        <f>IFERROR(IF(ISNUMBER(INDEX(PASTE_ALL,4,14)),2,IF(TRIM(INDEX(PASTE_ALL,4,14))="",0,IF(AND(LEFT(MID(TRIM(INDEX(PASTE_ALL,4,14)),1+(LEFT(TRIM(INDEX(PASTE_ALL,4,14)),1)="-"),999),LEN(MID(TRIM(INDEX(PASTE_ALL,4,14)),1+(LEFT(TRIM(INDEX(PASTE_ALL,4,14)),1)="-"),999))-(RIGHT(MID(TRIM(INDEX(PASTE_ALL,4,14)),1+(LEFT(TRIM(INDEX(PASTE_ALL,4,14)),1)="-"),999),1)="%"))&lt;&gt;"",SUBSTITUTE(SUBSTITUTE(SUBSTITUTE(SUBSTITUTE(SUBSTITUTE(SUBSTITUTE(SUBSTITUTE(SUBSTITUTE(SUBSTITUTE(SUBSTITUTE(SUBSTITUTE(SUBSTITUTE(LEFT(MID(TRIM(INDEX(PASTE_ALL,4,14)),1+(LEFT(TRIM(INDEX(PASTE_ALL,4,14)),1)="-"),999),LEN(MID(TRIM(INDEX(PASTE_ALL,4,14)),1+(LEFT(TRIM(INDEX(PASTE_ALL,4,14)),1)="-"),999))-(RIGHT(MID(TRIM(INDEX(PASTE_ALL,4,14)),1+(LEFT(TRIM(INDEX(PASTE_ALL,4,14)),1)="-"),999),1)="%")),"0",""),"1",""),"2",""),"3",""),"4",""),"5",""),"6",""),"7",""),"8",""),"9",""),".",""),",","")=""),2,1))),1)</f>
        <v/>
      </c>
      <c r="AM53">
        <f>IFERROR(IF(ISNUMBER(INDEX(PASTE_ALL,4,15)),2,IF(TRIM(INDEX(PASTE_ALL,4,15))="",0,IF(AND(LEFT(MID(TRIM(INDEX(PASTE_ALL,4,15)),1+(LEFT(TRIM(INDEX(PASTE_ALL,4,15)),1)="-"),999),LEN(MID(TRIM(INDEX(PASTE_ALL,4,15)),1+(LEFT(TRIM(INDEX(PASTE_ALL,4,15)),1)="-"),999))-(RIGHT(MID(TRIM(INDEX(PASTE_ALL,4,15)),1+(LEFT(TRIM(INDEX(PASTE_ALL,4,15)),1)="-"),999),1)="%"))&lt;&gt;"",SUBSTITUTE(SUBSTITUTE(SUBSTITUTE(SUBSTITUTE(SUBSTITUTE(SUBSTITUTE(SUBSTITUTE(SUBSTITUTE(SUBSTITUTE(SUBSTITUTE(SUBSTITUTE(SUBSTITUTE(LEFT(MID(TRIM(INDEX(PASTE_ALL,4,15)),1+(LEFT(TRIM(INDEX(PASTE_ALL,4,15)),1)="-"),999),LEN(MID(TRIM(INDEX(PASTE_ALL,4,15)),1+(LEFT(TRIM(INDEX(PASTE_ALL,4,15)),1)="-"),999))-(RIGHT(MID(TRIM(INDEX(PASTE_ALL,4,15)),1+(LEFT(TRIM(INDEX(PASTE_ALL,4,15)),1)="-"),999),1)="%")),"0",""),"1",""),"2",""),"3",""),"4",""),"5",""),"6",""),"7",""),"8",""),"9",""),".",""),",","")=""),2,1))),1)</f>
        <v/>
      </c>
      <c r="AN53">
        <f>IFERROR(IF(ISNUMBER(INDEX(PASTE_ALL,4,16)),2,IF(TRIM(INDEX(PASTE_ALL,4,16))="",0,IF(AND(LEFT(MID(TRIM(INDEX(PASTE_ALL,4,16)),1+(LEFT(TRIM(INDEX(PASTE_ALL,4,16)),1)="-"),999),LEN(MID(TRIM(INDEX(PASTE_ALL,4,16)),1+(LEFT(TRIM(INDEX(PASTE_ALL,4,16)),1)="-"),999))-(RIGHT(MID(TRIM(INDEX(PASTE_ALL,4,16)),1+(LEFT(TRIM(INDEX(PASTE_ALL,4,16)),1)="-"),999),1)="%"))&lt;&gt;"",SUBSTITUTE(SUBSTITUTE(SUBSTITUTE(SUBSTITUTE(SUBSTITUTE(SUBSTITUTE(SUBSTITUTE(SUBSTITUTE(SUBSTITUTE(SUBSTITUTE(SUBSTITUTE(SUBSTITUTE(LEFT(MID(TRIM(INDEX(PASTE_ALL,4,16)),1+(LEFT(TRIM(INDEX(PASTE_ALL,4,16)),1)="-"),999),LEN(MID(TRIM(INDEX(PASTE_ALL,4,16)),1+(LEFT(TRIM(INDEX(PASTE_ALL,4,16)),1)="-"),999))-(RIGHT(MID(TRIM(INDEX(PASTE_ALL,4,16)),1+(LEFT(TRIM(INDEX(PASTE_ALL,4,16)),1)="-"),999),1)="%")),"0",""),"1",""),"2",""),"3",""),"4",""),"5",""),"6",""),"7",""),"8",""),"9",""),".",""),",","")=""),2,1))),1)</f>
        <v/>
      </c>
      <c r="AO53">
        <f>IFERROR(IF(ISNUMBER(INDEX(PASTE_ALL,4,17)),2,IF(TRIM(INDEX(PASTE_ALL,4,17))="",0,IF(AND(LEFT(MID(TRIM(INDEX(PASTE_ALL,4,17)),1+(LEFT(TRIM(INDEX(PASTE_ALL,4,17)),1)="-"),999),LEN(MID(TRIM(INDEX(PASTE_ALL,4,17)),1+(LEFT(TRIM(INDEX(PASTE_ALL,4,17)),1)="-"),999))-(RIGHT(MID(TRIM(INDEX(PASTE_ALL,4,17)),1+(LEFT(TRIM(INDEX(PASTE_ALL,4,17)),1)="-"),999),1)="%"))&lt;&gt;"",SUBSTITUTE(SUBSTITUTE(SUBSTITUTE(SUBSTITUTE(SUBSTITUTE(SUBSTITUTE(SUBSTITUTE(SUBSTITUTE(SUBSTITUTE(SUBSTITUTE(SUBSTITUTE(SUBSTITUTE(LEFT(MID(TRIM(INDEX(PASTE_ALL,4,17)),1+(LEFT(TRIM(INDEX(PASTE_ALL,4,17)),1)="-"),999),LEN(MID(TRIM(INDEX(PASTE_ALL,4,17)),1+(LEFT(TRIM(INDEX(PASTE_ALL,4,17)),1)="-"),999))-(RIGHT(MID(TRIM(INDEX(PASTE_ALL,4,17)),1+(LEFT(TRIM(INDEX(PASTE_ALL,4,17)),1)="-"),999),1)="%")),"0",""),"1",""),"2",""),"3",""),"4",""),"5",""),"6",""),"7",""),"8",""),"9",""),".",""),",","")=""),2,1))),1)</f>
        <v/>
      </c>
      <c r="AP53">
        <f>IFERROR(IF(ISNUMBER(INDEX(PASTE_ALL,4,18)),2,IF(TRIM(INDEX(PASTE_ALL,4,18))="",0,IF(AND(LEFT(MID(TRIM(INDEX(PASTE_ALL,4,18)),1+(LEFT(TRIM(INDEX(PASTE_ALL,4,18)),1)="-"),999),LEN(MID(TRIM(INDEX(PASTE_ALL,4,18)),1+(LEFT(TRIM(INDEX(PASTE_ALL,4,18)),1)="-"),999))-(RIGHT(MID(TRIM(INDEX(PASTE_ALL,4,18)),1+(LEFT(TRIM(INDEX(PASTE_ALL,4,18)),1)="-"),999),1)="%"))&lt;&gt;"",SUBSTITUTE(SUBSTITUTE(SUBSTITUTE(SUBSTITUTE(SUBSTITUTE(SUBSTITUTE(SUBSTITUTE(SUBSTITUTE(SUBSTITUTE(SUBSTITUTE(SUBSTITUTE(SUBSTITUTE(LEFT(MID(TRIM(INDEX(PASTE_ALL,4,18)),1+(LEFT(TRIM(INDEX(PASTE_ALL,4,18)),1)="-"),999),LEN(MID(TRIM(INDEX(PASTE_ALL,4,18)),1+(LEFT(TRIM(INDEX(PASTE_ALL,4,18)),1)="-"),999))-(RIGHT(MID(TRIM(INDEX(PASTE_ALL,4,18)),1+(LEFT(TRIM(INDEX(PASTE_ALL,4,18)),1)="-"),999),1)="%")),"0",""),"1",""),"2",""),"3",""),"4",""),"5",""),"6",""),"7",""),"8",""),"9",""),".",""),",","")=""),2,1))),1)</f>
        <v/>
      </c>
      <c r="AQ53">
        <f>IFERROR(IF(ISNUMBER(INDEX(PASTE_ALL,4,19)),2,IF(TRIM(INDEX(PASTE_ALL,4,19))="",0,IF(AND(LEFT(MID(TRIM(INDEX(PASTE_ALL,4,19)),1+(LEFT(TRIM(INDEX(PASTE_ALL,4,19)),1)="-"),999),LEN(MID(TRIM(INDEX(PASTE_ALL,4,19)),1+(LEFT(TRIM(INDEX(PASTE_ALL,4,19)),1)="-"),999))-(RIGHT(MID(TRIM(INDEX(PASTE_ALL,4,19)),1+(LEFT(TRIM(INDEX(PASTE_ALL,4,19)),1)="-"),999),1)="%"))&lt;&gt;"",SUBSTITUTE(SUBSTITUTE(SUBSTITUTE(SUBSTITUTE(SUBSTITUTE(SUBSTITUTE(SUBSTITUTE(SUBSTITUTE(SUBSTITUTE(SUBSTITUTE(SUBSTITUTE(SUBSTITUTE(LEFT(MID(TRIM(INDEX(PASTE_ALL,4,19)),1+(LEFT(TRIM(INDEX(PASTE_ALL,4,19)),1)="-"),999),LEN(MID(TRIM(INDEX(PASTE_ALL,4,19)),1+(LEFT(TRIM(INDEX(PASTE_ALL,4,19)),1)="-"),999))-(RIGHT(MID(TRIM(INDEX(PASTE_ALL,4,19)),1+(LEFT(TRIM(INDEX(PASTE_ALL,4,19)),1)="-"),999),1)="%")),"0",""),"1",""),"2",""),"3",""),"4",""),"5",""),"6",""),"7",""),"8",""),"9",""),".",""),",","")=""),2,1))),1)</f>
        <v/>
      </c>
      <c r="AR53">
        <f>IFERROR(IF(ISNUMBER(INDEX(PASTE_ALL,4,20)),2,IF(TRIM(INDEX(PASTE_ALL,4,20))="",0,IF(AND(LEFT(MID(TRIM(INDEX(PASTE_ALL,4,20)),1+(LEFT(TRIM(INDEX(PASTE_ALL,4,20)),1)="-"),999),LEN(MID(TRIM(INDEX(PASTE_ALL,4,20)),1+(LEFT(TRIM(INDEX(PASTE_ALL,4,20)),1)="-"),999))-(RIGHT(MID(TRIM(INDEX(PASTE_ALL,4,20)),1+(LEFT(TRIM(INDEX(PASTE_ALL,4,20)),1)="-"),999),1)="%"))&lt;&gt;"",SUBSTITUTE(SUBSTITUTE(SUBSTITUTE(SUBSTITUTE(SUBSTITUTE(SUBSTITUTE(SUBSTITUTE(SUBSTITUTE(SUBSTITUTE(SUBSTITUTE(SUBSTITUTE(SUBSTITUTE(LEFT(MID(TRIM(INDEX(PASTE_ALL,4,20)),1+(LEFT(TRIM(INDEX(PASTE_ALL,4,20)),1)="-"),999),LEN(MID(TRIM(INDEX(PASTE_ALL,4,20)),1+(LEFT(TRIM(INDEX(PASTE_ALL,4,20)),1)="-"),999))-(RIGHT(MID(TRIM(INDEX(PASTE_ALL,4,20)),1+(LEFT(TRIM(INDEX(PASTE_ALL,4,20)),1)="-"),999),1)="%")),"0",""),"1",""),"2",""),"3",""),"4",""),"5",""),"6",""),"7",""),"8",""),"9",""),".",""),",","")=""),2,1))),1)</f>
        <v/>
      </c>
      <c r="AS53">
        <f>IFERROR(IF(ISNUMBER(INDEX(PASTE_ALL,4,21)),2,IF(TRIM(INDEX(PASTE_ALL,4,21))="",0,IF(AND(LEFT(MID(TRIM(INDEX(PASTE_ALL,4,21)),1+(LEFT(TRIM(INDEX(PASTE_ALL,4,21)),1)="-"),999),LEN(MID(TRIM(INDEX(PASTE_ALL,4,21)),1+(LEFT(TRIM(INDEX(PASTE_ALL,4,21)),1)="-"),999))-(RIGHT(MID(TRIM(INDEX(PASTE_ALL,4,21)),1+(LEFT(TRIM(INDEX(PASTE_ALL,4,21)),1)="-"),999),1)="%"))&lt;&gt;"",SUBSTITUTE(SUBSTITUTE(SUBSTITUTE(SUBSTITUTE(SUBSTITUTE(SUBSTITUTE(SUBSTITUTE(SUBSTITUTE(SUBSTITUTE(SUBSTITUTE(SUBSTITUTE(SUBSTITUTE(LEFT(MID(TRIM(INDEX(PASTE_ALL,4,21)),1+(LEFT(TRIM(INDEX(PASTE_ALL,4,21)),1)="-"),999),LEN(MID(TRIM(INDEX(PASTE_ALL,4,21)),1+(LEFT(TRIM(INDEX(PASTE_ALL,4,21)),1)="-"),999))-(RIGHT(MID(TRIM(INDEX(PASTE_ALL,4,21)),1+(LEFT(TRIM(INDEX(PASTE_ALL,4,21)),1)="-"),999),1)="%")),"0",""),"1",""),"2",""),"3",""),"4",""),"5",""),"6",""),"7",""),"8",""),"9",""),".",""),",","")=""),2,1))),1)</f>
        <v/>
      </c>
      <c r="AT53">
        <f>IFERROR(IF(ISNUMBER(INDEX(PASTE_ALL,4,22)),2,IF(TRIM(INDEX(PASTE_ALL,4,22))="",0,IF(AND(LEFT(MID(TRIM(INDEX(PASTE_ALL,4,22)),1+(LEFT(TRIM(INDEX(PASTE_ALL,4,22)),1)="-"),999),LEN(MID(TRIM(INDEX(PASTE_ALL,4,22)),1+(LEFT(TRIM(INDEX(PASTE_ALL,4,22)),1)="-"),999))-(RIGHT(MID(TRIM(INDEX(PASTE_ALL,4,22)),1+(LEFT(TRIM(INDEX(PASTE_ALL,4,22)),1)="-"),999),1)="%"))&lt;&gt;"",SUBSTITUTE(SUBSTITUTE(SUBSTITUTE(SUBSTITUTE(SUBSTITUTE(SUBSTITUTE(SUBSTITUTE(SUBSTITUTE(SUBSTITUTE(SUBSTITUTE(SUBSTITUTE(SUBSTITUTE(LEFT(MID(TRIM(INDEX(PASTE_ALL,4,22)),1+(LEFT(TRIM(INDEX(PASTE_ALL,4,22)),1)="-"),999),LEN(MID(TRIM(INDEX(PASTE_ALL,4,22)),1+(LEFT(TRIM(INDEX(PASTE_ALL,4,22)),1)="-"),999))-(RIGHT(MID(TRIM(INDEX(PASTE_ALL,4,22)),1+(LEFT(TRIM(INDEX(PASTE_ALL,4,22)),1)="-"),999),1)="%")),"0",""),"1",""),"2",""),"3",""),"4",""),"5",""),"6",""),"7",""),"8",""),"9",""),".",""),",","")=""),2,1))),1)</f>
        <v/>
      </c>
      <c r="AU53">
        <f>IFERROR(IF(ISNUMBER(INDEX(PASTE_ALL,4,23)),2,IF(TRIM(INDEX(PASTE_ALL,4,23))="",0,IF(AND(LEFT(MID(TRIM(INDEX(PASTE_ALL,4,23)),1+(LEFT(TRIM(INDEX(PASTE_ALL,4,23)),1)="-"),999),LEN(MID(TRIM(INDEX(PASTE_ALL,4,23)),1+(LEFT(TRIM(INDEX(PASTE_ALL,4,23)),1)="-"),999))-(RIGHT(MID(TRIM(INDEX(PASTE_ALL,4,23)),1+(LEFT(TRIM(INDEX(PASTE_ALL,4,23)),1)="-"),999),1)="%"))&lt;&gt;"",SUBSTITUTE(SUBSTITUTE(SUBSTITUTE(SUBSTITUTE(SUBSTITUTE(SUBSTITUTE(SUBSTITUTE(SUBSTITUTE(SUBSTITUTE(SUBSTITUTE(SUBSTITUTE(SUBSTITUTE(LEFT(MID(TRIM(INDEX(PASTE_ALL,4,23)),1+(LEFT(TRIM(INDEX(PASTE_ALL,4,23)),1)="-"),999),LEN(MID(TRIM(INDEX(PASTE_ALL,4,23)),1+(LEFT(TRIM(INDEX(PASTE_ALL,4,23)),1)="-"),999))-(RIGHT(MID(TRIM(INDEX(PASTE_ALL,4,23)),1+(LEFT(TRIM(INDEX(PASTE_ALL,4,23)),1)="-"),999),1)="%")),"0",""),"1",""),"2",""),"3",""),"4",""),"5",""),"6",""),"7",""),"8",""),"9",""),".",""),",","")=""),2,1))),1)</f>
        <v/>
      </c>
      <c r="AV53">
        <f>IFERROR(IF(ISNUMBER(INDEX(PASTE_ALL,4,24)),2,IF(TRIM(INDEX(PASTE_ALL,4,24))="",0,IF(AND(LEFT(MID(TRIM(INDEX(PASTE_ALL,4,24)),1+(LEFT(TRIM(INDEX(PASTE_ALL,4,24)),1)="-"),999),LEN(MID(TRIM(INDEX(PASTE_ALL,4,24)),1+(LEFT(TRIM(INDEX(PASTE_ALL,4,24)),1)="-"),999))-(RIGHT(MID(TRIM(INDEX(PASTE_ALL,4,24)),1+(LEFT(TRIM(INDEX(PASTE_ALL,4,24)),1)="-"),999),1)="%"))&lt;&gt;"",SUBSTITUTE(SUBSTITUTE(SUBSTITUTE(SUBSTITUTE(SUBSTITUTE(SUBSTITUTE(SUBSTITUTE(SUBSTITUTE(SUBSTITUTE(SUBSTITUTE(SUBSTITUTE(SUBSTITUTE(LEFT(MID(TRIM(INDEX(PASTE_ALL,4,24)),1+(LEFT(TRIM(INDEX(PASTE_ALL,4,24)),1)="-"),999),LEN(MID(TRIM(INDEX(PASTE_ALL,4,24)),1+(LEFT(TRIM(INDEX(PASTE_ALL,4,24)),1)="-"),999))-(RIGHT(MID(TRIM(INDEX(PASTE_ALL,4,24)),1+(LEFT(TRIM(INDEX(PASTE_ALL,4,24)),1)="-"),999),1)="%")),"0",""),"1",""),"2",""),"3",""),"4",""),"5",""),"6",""),"7",""),"8",""),"9",""),".",""),",","")=""),2,1))),1)</f>
        <v/>
      </c>
      <c r="AW53">
        <f>IFERROR(IF(ISNUMBER(INDEX(PASTE_ALL,4,25)),2,IF(TRIM(INDEX(PASTE_ALL,4,25))="",0,IF(AND(LEFT(MID(TRIM(INDEX(PASTE_ALL,4,25)),1+(LEFT(TRIM(INDEX(PASTE_ALL,4,25)),1)="-"),999),LEN(MID(TRIM(INDEX(PASTE_ALL,4,25)),1+(LEFT(TRIM(INDEX(PASTE_ALL,4,25)),1)="-"),999))-(RIGHT(MID(TRIM(INDEX(PASTE_ALL,4,25)),1+(LEFT(TRIM(INDEX(PASTE_ALL,4,25)),1)="-"),999),1)="%"))&lt;&gt;"",SUBSTITUTE(SUBSTITUTE(SUBSTITUTE(SUBSTITUTE(SUBSTITUTE(SUBSTITUTE(SUBSTITUTE(SUBSTITUTE(SUBSTITUTE(SUBSTITUTE(SUBSTITUTE(SUBSTITUTE(LEFT(MID(TRIM(INDEX(PASTE_ALL,4,25)),1+(LEFT(TRIM(INDEX(PASTE_ALL,4,25)),1)="-"),999),LEN(MID(TRIM(INDEX(PASTE_ALL,4,25)),1+(LEFT(TRIM(INDEX(PASTE_ALL,4,25)),1)="-"),999))-(RIGHT(MID(TRIM(INDEX(PASTE_ALL,4,25)),1+(LEFT(TRIM(INDEX(PASTE_ALL,4,25)),1)="-"),999),1)="%")),"0",""),"1",""),"2",""),"3",""),"4",""),"5",""),"6",""),"7",""),"8",""),"9",""),".",""),",","")=""),2,1))),1)</f>
        <v/>
      </c>
      <c r="AX53">
        <f>IFERROR(IF(ISNUMBER(INDEX(PASTE_ALL,4,26)),2,IF(TRIM(INDEX(PASTE_ALL,4,26))="",0,IF(AND(LEFT(MID(TRIM(INDEX(PASTE_ALL,4,26)),1+(LEFT(TRIM(INDEX(PASTE_ALL,4,26)),1)="-"),999),LEN(MID(TRIM(INDEX(PASTE_ALL,4,26)),1+(LEFT(TRIM(INDEX(PASTE_ALL,4,26)),1)="-"),999))-(RIGHT(MID(TRIM(INDEX(PASTE_ALL,4,26)),1+(LEFT(TRIM(INDEX(PASTE_ALL,4,26)),1)="-"),999),1)="%"))&lt;&gt;"",SUBSTITUTE(SUBSTITUTE(SUBSTITUTE(SUBSTITUTE(SUBSTITUTE(SUBSTITUTE(SUBSTITUTE(SUBSTITUTE(SUBSTITUTE(SUBSTITUTE(SUBSTITUTE(SUBSTITUTE(LEFT(MID(TRIM(INDEX(PASTE_ALL,4,26)),1+(LEFT(TRIM(INDEX(PASTE_ALL,4,26)),1)="-"),999),LEN(MID(TRIM(INDEX(PASTE_ALL,4,26)),1+(LEFT(TRIM(INDEX(PASTE_ALL,4,26)),1)="-"),999))-(RIGHT(MID(TRIM(INDEX(PASTE_ALL,4,26)),1+(LEFT(TRIM(INDEX(PASTE_ALL,4,26)),1)="-"),999),1)="%")),"0",""),"1",""),"2",""),"3",""),"4",""),"5",""),"6",""),"7",""),"8",""),"9",""),".",""),",","")=""),2,1))),1)</f>
        <v/>
      </c>
      <c r="AY53">
        <f>IFERROR(IF(ISNUMBER(INDEX(PASTE_ALL,4,27)),2,IF(TRIM(INDEX(PASTE_ALL,4,27))="",0,IF(AND(LEFT(MID(TRIM(INDEX(PASTE_ALL,4,27)),1+(LEFT(TRIM(INDEX(PASTE_ALL,4,27)),1)="-"),999),LEN(MID(TRIM(INDEX(PASTE_ALL,4,27)),1+(LEFT(TRIM(INDEX(PASTE_ALL,4,27)),1)="-"),999))-(RIGHT(MID(TRIM(INDEX(PASTE_ALL,4,27)),1+(LEFT(TRIM(INDEX(PASTE_ALL,4,27)),1)="-"),999),1)="%"))&lt;&gt;"",SUBSTITUTE(SUBSTITUTE(SUBSTITUTE(SUBSTITUTE(SUBSTITUTE(SUBSTITUTE(SUBSTITUTE(SUBSTITUTE(SUBSTITUTE(SUBSTITUTE(SUBSTITUTE(SUBSTITUTE(LEFT(MID(TRIM(INDEX(PASTE_ALL,4,27)),1+(LEFT(TRIM(INDEX(PASTE_ALL,4,27)),1)="-"),999),LEN(MID(TRIM(INDEX(PASTE_ALL,4,27)),1+(LEFT(TRIM(INDEX(PASTE_ALL,4,27)),1)="-"),999))-(RIGHT(MID(TRIM(INDEX(PASTE_ALL,4,27)),1+(LEFT(TRIM(INDEX(PASTE_ALL,4,27)),1)="-"),999),1)="%")),"0",""),"1",""),"2",""),"3",""),"4",""),"5",""),"6",""),"7",""),"8",""),"9",""),".",""),",","")=""),2,1))),1)</f>
        <v/>
      </c>
      <c r="AZ53">
        <f>IFERROR(IF(ISNUMBER(INDEX(PASTE_ALL,4,28)),2,IF(TRIM(INDEX(PASTE_ALL,4,28))="",0,IF(AND(LEFT(MID(TRIM(INDEX(PASTE_ALL,4,28)),1+(LEFT(TRIM(INDEX(PASTE_ALL,4,28)),1)="-"),999),LEN(MID(TRIM(INDEX(PASTE_ALL,4,28)),1+(LEFT(TRIM(INDEX(PASTE_ALL,4,28)),1)="-"),999))-(RIGHT(MID(TRIM(INDEX(PASTE_ALL,4,28)),1+(LEFT(TRIM(INDEX(PASTE_ALL,4,28)),1)="-"),999),1)="%"))&lt;&gt;"",SUBSTITUTE(SUBSTITUTE(SUBSTITUTE(SUBSTITUTE(SUBSTITUTE(SUBSTITUTE(SUBSTITUTE(SUBSTITUTE(SUBSTITUTE(SUBSTITUTE(SUBSTITUTE(SUBSTITUTE(LEFT(MID(TRIM(INDEX(PASTE_ALL,4,28)),1+(LEFT(TRIM(INDEX(PASTE_ALL,4,28)),1)="-"),999),LEN(MID(TRIM(INDEX(PASTE_ALL,4,28)),1+(LEFT(TRIM(INDEX(PASTE_ALL,4,28)),1)="-"),999))-(RIGHT(MID(TRIM(INDEX(PASTE_ALL,4,28)),1+(LEFT(TRIM(INDEX(PASTE_ALL,4,28)),1)="-"),999),1)="%")),"0",""),"1",""),"2",""),"3",""),"4",""),"5",""),"6",""),"7",""),"8",""),"9",""),".",""),",","")=""),2,1))),1)</f>
        <v/>
      </c>
      <c r="BA53">
        <f>IFERROR(IF(ISNUMBER(INDEX(PASTE_ALL,4,29)),2,IF(TRIM(INDEX(PASTE_ALL,4,29))="",0,IF(AND(LEFT(MID(TRIM(INDEX(PASTE_ALL,4,29)),1+(LEFT(TRIM(INDEX(PASTE_ALL,4,29)),1)="-"),999),LEN(MID(TRIM(INDEX(PASTE_ALL,4,29)),1+(LEFT(TRIM(INDEX(PASTE_ALL,4,29)),1)="-"),999))-(RIGHT(MID(TRIM(INDEX(PASTE_ALL,4,29)),1+(LEFT(TRIM(INDEX(PASTE_ALL,4,29)),1)="-"),999),1)="%"))&lt;&gt;"",SUBSTITUTE(SUBSTITUTE(SUBSTITUTE(SUBSTITUTE(SUBSTITUTE(SUBSTITUTE(SUBSTITUTE(SUBSTITUTE(SUBSTITUTE(SUBSTITUTE(SUBSTITUTE(SUBSTITUTE(LEFT(MID(TRIM(INDEX(PASTE_ALL,4,29)),1+(LEFT(TRIM(INDEX(PASTE_ALL,4,29)),1)="-"),999),LEN(MID(TRIM(INDEX(PASTE_ALL,4,29)),1+(LEFT(TRIM(INDEX(PASTE_ALL,4,29)),1)="-"),999))-(RIGHT(MID(TRIM(INDEX(PASTE_ALL,4,29)),1+(LEFT(TRIM(INDEX(PASTE_ALL,4,29)),1)="-"),999),1)="%")),"0",""),"1",""),"2",""),"3",""),"4",""),"5",""),"6",""),"7",""),"8",""),"9",""),".",""),",","")=""),2,1))),1)</f>
        <v/>
      </c>
      <c r="BB53">
        <f>IFERROR(IF(ISNUMBER(INDEX(PASTE_ALL,4,30)),2,IF(TRIM(INDEX(PASTE_ALL,4,30))="",0,IF(AND(LEFT(MID(TRIM(INDEX(PASTE_ALL,4,30)),1+(LEFT(TRIM(INDEX(PASTE_ALL,4,30)),1)="-"),999),LEN(MID(TRIM(INDEX(PASTE_ALL,4,30)),1+(LEFT(TRIM(INDEX(PASTE_ALL,4,30)),1)="-"),999))-(RIGHT(MID(TRIM(INDEX(PASTE_ALL,4,30)),1+(LEFT(TRIM(INDEX(PASTE_ALL,4,30)),1)="-"),999),1)="%"))&lt;&gt;"",SUBSTITUTE(SUBSTITUTE(SUBSTITUTE(SUBSTITUTE(SUBSTITUTE(SUBSTITUTE(SUBSTITUTE(SUBSTITUTE(SUBSTITUTE(SUBSTITUTE(SUBSTITUTE(SUBSTITUTE(LEFT(MID(TRIM(INDEX(PASTE_ALL,4,30)),1+(LEFT(TRIM(INDEX(PASTE_ALL,4,30)),1)="-"),999),LEN(MID(TRIM(INDEX(PASTE_ALL,4,30)),1+(LEFT(TRIM(INDEX(PASTE_ALL,4,30)),1)="-"),999))-(RIGHT(MID(TRIM(INDEX(PASTE_ALL,4,30)),1+(LEFT(TRIM(INDEX(PASTE_ALL,4,30)),1)="-"),999),1)="%")),"0",""),"1",""),"2",""),"3",""),"4",""),"5",""),"6",""),"7",""),"8",""),"9",""),".",""),",","")=""),2,1))),1)</f>
        <v/>
      </c>
      <c r="BC53">
        <f>IFERROR(IF(ISNUMBER(INDEX(PASTE_ALL,4,31)),2,IF(TRIM(INDEX(PASTE_ALL,4,31))="",0,IF(AND(LEFT(MID(TRIM(INDEX(PASTE_ALL,4,31)),1+(LEFT(TRIM(INDEX(PASTE_ALL,4,31)),1)="-"),999),LEN(MID(TRIM(INDEX(PASTE_ALL,4,31)),1+(LEFT(TRIM(INDEX(PASTE_ALL,4,31)),1)="-"),999))-(RIGHT(MID(TRIM(INDEX(PASTE_ALL,4,31)),1+(LEFT(TRIM(INDEX(PASTE_ALL,4,31)),1)="-"),999),1)="%"))&lt;&gt;"",SUBSTITUTE(SUBSTITUTE(SUBSTITUTE(SUBSTITUTE(SUBSTITUTE(SUBSTITUTE(SUBSTITUTE(SUBSTITUTE(SUBSTITUTE(SUBSTITUTE(SUBSTITUTE(SUBSTITUTE(LEFT(MID(TRIM(INDEX(PASTE_ALL,4,31)),1+(LEFT(TRIM(INDEX(PASTE_ALL,4,31)),1)="-"),999),LEN(MID(TRIM(INDEX(PASTE_ALL,4,31)),1+(LEFT(TRIM(INDEX(PASTE_ALL,4,31)),1)="-"),999))-(RIGHT(MID(TRIM(INDEX(PASTE_ALL,4,31)),1+(LEFT(TRIM(INDEX(PASTE_ALL,4,31)),1)="-"),999),1)="%")),"0",""),"1",""),"2",""),"3",""),"4",""),"5",""),"6",""),"7",""),"8",""),"9",""),".",""),",","")=""),2,1))),1)</f>
        <v/>
      </c>
      <c r="BD53">
        <f>IFERROR(IF(ISNUMBER(INDEX(PASTE_ALL,4,32)),2,IF(TRIM(INDEX(PASTE_ALL,4,32))="",0,IF(AND(LEFT(MID(TRIM(INDEX(PASTE_ALL,4,32)),1+(LEFT(TRIM(INDEX(PASTE_ALL,4,32)),1)="-"),999),LEN(MID(TRIM(INDEX(PASTE_ALL,4,32)),1+(LEFT(TRIM(INDEX(PASTE_ALL,4,32)),1)="-"),999))-(RIGHT(MID(TRIM(INDEX(PASTE_ALL,4,32)),1+(LEFT(TRIM(INDEX(PASTE_ALL,4,32)),1)="-"),999),1)="%"))&lt;&gt;"",SUBSTITUTE(SUBSTITUTE(SUBSTITUTE(SUBSTITUTE(SUBSTITUTE(SUBSTITUTE(SUBSTITUTE(SUBSTITUTE(SUBSTITUTE(SUBSTITUTE(SUBSTITUTE(SUBSTITUTE(LEFT(MID(TRIM(INDEX(PASTE_ALL,4,32)),1+(LEFT(TRIM(INDEX(PASTE_ALL,4,32)),1)="-"),999),LEN(MID(TRIM(INDEX(PASTE_ALL,4,32)),1+(LEFT(TRIM(INDEX(PASTE_ALL,4,32)),1)="-"),999))-(RIGHT(MID(TRIM(INDEX(PASTE_ALL,4,32)),1+(LEFT(TRIM(INDEX(PASTE_ALL,4,32)),1)="-"),999),1)="%")),"0",""),"1",""),"2",""),"3",""),"4",""),"5",""),"6",""),"7",""),"8",""),"9",""),".",""),",","")=""),2,1))),1)</f>
        <v/>
      </c>
      <c r="BE53">
        <f>IFERROR(IF(ISNUMBER(INDEX(PASTE_ALL,4,33)),2,IF(TRIM(INDEX(PASTE_ALL,4,33))="",0,IF(AND(LEFT(MID(TRIM(INDEX(PASTE_ALL,4,33)),1+(LEFT(TRIM(INDEX(PASTE_ALL,4,33)),1)="-"),999),LEN(MID(TRIM(INDEX(PASTE_ALL,4,33)),1+(LEFT(TRIM(INDEX(PASTE_ALL,4,33)),1)="-"),999))-(RIGHT(MID(TRIM(INDEX(PASTE_ALL,4,33)),1+(LEFT(TRIM(INDEX(PASTE_ALL,4,33)),1)="-"),999),1)="%"))&lt;&gt;"",SUBSTITUTE(SUBSTITUTE(SUBSTITUTE(SUBSTITUTE(SUBSTITUTE(SUBSTITUTE(SUBSTITUTE(SUBSTITUTE(SUBSTITUTE(SUBSTITUTE(SUBSTITUTE(SUBSTITUTE(LEFT(MID(TRIM(INDEX(PASTE_ALL,4,33)),1+(LEFT(TRIM(INDEX(PASTE_ALL,4,33)),1)="-"),999),LEN(MID(TRIM(INDEX(PASTE_ALL,4,33)),1+(LEFT(TRIM(INDEX(PASTE_ALL,4,33)),1)="-"),999))-(RIGHT(MID(TRIM(INDEX(PASTE_ALL,4,33)),1+(LEFT(TRIM(INDEX(PASTE_ALL,4,33)),1)="-"),999),1)="%")),"0",""),"1",""),"2",""),"3",""),"4",""),"5",""),"6",""),"7",""),"8",""),"9",""),".",""),",","")=""),2,1))),1)</f>
        <v/>
      </c>
      <c r="BF53">
        <f>IFERROR(IF(ISNUMBER(INDEX(PASTE_ALL,4,34)),2,IF(TRIM(INDEX(PASTE_ALL,4,34))="",0,IF(AND(LEFT(MID(TRIM(INDEX(PASTE_ALL,4,34)),1+(LEFT(TRIM(INDEX(PASTE_ALL,4,34)),1)="-"),999),LEN(MID(TRIM(INDEX(PASTE_ALL,4,34)),1+(LEFT(TRIM(INDEX(PASTE_ALL,4,34)),1)="-"),999))-(RIGHT(MID(TRIM(INDEX(PASTE_ALL,4,34)),1+(LEFT(TRIM(INDEX(PASTE_ALL,4,34)),1)="-"),999),1)="%"))&lt;&gt;"",SUBSTITUTE(SUBSTITUTE(SUBSTITUTE(SUBSTITUTE(SUBSTITUTE(SUBSTITUTE(SUBSTITUTE(SUBSTITUTE(SUBSTITUTE(SUBSTITUTE(SUBSTITUTE(SUBSTITUTE(LEFT(MID(TRIM(INDEX(PASTE_ALL,4,34)),1+(LEFT(TRIM(INDEX(PASTE_ALL,4,34)),1)="-"),999),LEN(MID(TRIM(INDEX(PASTE_ALL,4,34)),1+(LEFT(TRIM(INDEX(PASTE_ALL,4,34)),1)="-"),999))-(RIGHT(MID(TRIM(INDEX(PASTE_ALL,4,34)),1+(LEFT(TRIM(INDEX(PASTE_ALL,4,34)),1)="-"),999),1)="%")),"0",""),"1",""),"2",""),"3",""),"4",""),"5",""),"6",""),"7",""),"8",""),"9",""),".",""),",","")=""),2,1))),1)</f>
        <v/>
      </c>
      <c r="BG53">
        <f>IFERROR(IF(ISNUMBER(INDEX(PASTE_ALL,4,35)),2,IF(TRIM(INDEX(PASTE_ALL,4,35))="",0,IF(AND(LEFT(MID(TRIM(INDEX(PASTE_ALL,4,35)),1+(LEFT(TRIM(INDEX(PASTE_ALL,4,35)),1)="-"),999),LEN(MID(TRIM(INDEX(PASTE_ALL,4,35)),1+(LEFT(TRIM(INDEX(PASTE_ALL,4,35)),1)="-"),999))-(RIGHT(MID(TRIM(INDEX(PASTE_ALL,4,35)),1+(LEFT(TRIM(INDEX(PASTE_ALL,4,35)),1)="-"),999),1)="%"))&lt;&gt;"",SUBSTITUTE(SUBSTITUTE(SUBSTITUTE(SUBSTITUTE(SUBSTITUTE(SUBSTITUTE(SUBSTITUTE(SUBSTITUTE(SUBSTITUTE(SUBSTITUTE(SUBSTITUTE(SUBSTITUTE(LEFT(MID(TRIM(INDEX(PASTE_ALL,4,35)),1+(LEFT(TRIM(INDEX(PASTE_ALL,4,35)),1)="-"),999),LEN(MID(TRIM(INDEX(PASTE_ALL,4,35)),1+(LEFT(TRIM(INDEX(PASTE_ALL,4,35)),1)="-"),999))-(RIGHT(MID(TRIM(INDEX(PASTE_ALL,4,35)),1+(LEFT(TRIM(INDEX(PASTE_ALL,4,35)),1)="-"),999),1)="%")),"0",""),"1",""),"2",""),"3",""),"4",""),"5",""),"6",""),"7",""),"8",""),"9",""),".",""),",","")=""),2,1))),1)</f>
        <v/>
      </c>
      <c r="BH53">
        <f>IFERROR(IF(ISNUMBER(INDEX(PASTE_ALL,4,36)),2,IF(TRIM(INDEX(PASTE_ALL,4,36))="",0,IF(AND(LEFT(MID(TRIM(INDEX(PASTE_ALL,4,36)),1+(LEFT(TRIM(INDEX(PASTE_ALL,4,36)),1)="-"),999),LEN(MID(TRIM(INDEX(PASTE_ALL,4,36)),1+(LEFT(TRIM(INDEX(PASTE_ALL,4,36)),1)="-"),999))-(RIGHT(MID(TRIM(INDEX(PASTE_ALL,4,36)),1+(LEFT(TRIM(INDEX(PASTE_ALL,4,36)),1)="-"),999),1)="%"))&lt;&gt;"",SUBSTITUTE(SUBSTITUTE(SUBSTITUTE(SUBSTITUTE(SUBSTITUTE(SUBSTITUTE(SUBSTITUTE(SUBSTITUTE(SUBSTITUTE(SUBSTITUTE(SUBSTITUTE(SUBSTITUTE(LEFT(MID(TRIM(INDEX(PASTE_ALL,4,36)),1+(LEFT(TRIM(INDEX(PASTE_ALL,4,36)),1)="-"),999),LEN(MID(TRIM(INDEX(PASTE_ALL,4,36)),1+(LEFT(TRIM(INDEX(PASTE_ALL,4,36)),1)="-"),999))-(RIGHT(MID(TRIM(INDEX(PASTE_ALL,4,36)),1+(LEFT(TRIM(INDEX(PASTE_ALL,4,36)),1)="-"),999),1)="%")),"0",""),"1",""),"2",""),"3",""),"4",""),"5",""),"6",""),"7",""),"8",""),"9",""),".",""),",","")=""),2,1))),1)</f>
        <v/>
      </c>
      <c r="BI53">
        <f>IFERROR(IF(ISNUMBER(INDEX(PASTE_ALL,4,37)),2,IF(TRIM(INDEX(PASTE_ALL,4,37))="",0,IF(AND(LEFT(MID(TRIM(INDEX(PASTE_ALL,4,37)),1+(LEFT(TRIM(INDEX(PASTE_ALL,4,37)),1)="-"),999),LEN(MID(TRIM(INDEX(PASTE_ALL,4,37)),1+(LEFT(TRIM(INDEX(PASTE_ALL,4,37)),1)="-"),999))-(RIGHT(MID(TRIM(INDEX(PASTE_ALL,4,37)),1+(LEFT(TRIM(INDEX(PASTE_ALL,4,37)),1)="-"),999),1)="%"))&lt;&gt;"",SUBSTITUTE(SUBSTITUTE(SUBSTITUTE(SUBSTITUTE(SUBSTITUTE(SUBSTITUTE(SUBSTITUTE(SUBSTITUTE(SUBSTITUTE(SUBSTITUTE(SUBSTITUTE(SUBSTITUTE(LEFT(MID(TRIM(INDEX(PASTE_ALL,4,37)),1+(LEFT(TRIM(INDEX(PASTE_ALL,4,37)),1)="-"),999),LEN(MID(TRIM(INDEX(PASTE_ALL,4,37)),1+(LEFT(TRIM(INDEX(PASTE_ALL,4,37)),1)="-"),999))-(RIGHT(MID(TRIM(INDEX(PASTE_ALL,4,37)),1+(LEFT(TRIM(INDEX(PASTE_ALL,4,37)),1)="-"),999),1)="%")),"0",""),"1",""),"2",""),"3",""),"4",""),"5",""),"6",""),"7",""),"8",""),"9",""),".",""),",","")=""),2,1))),1)</f>
        <v/>
      </c>
      <c r="BJ53">
        <f>IFERROR(IF(ISNUMBER(INDEX(PASTE_ALL,4,38)),2,IF(TRIM(INDEX(PASTE_ALL,4,38))="",0,IF(AND(LEFT(MID(TRIM(INDEX(PASTE_ALL,4,38)),1+(LEFT(TRIM(INDEX(PASTE_ALL,4,38)),1)="-"),999),LEN(MID(TRIM(INDEX(PASTE_ALL,4,38)),1+(LEFT(TRIM(INDEX(PASTE_ALL,4,38)),1)="-"),999))-(RIGHT(MID(TRIM(INDEX(PASTE_ALL,4,38)),1+(LEFT(TRIM(INDEX(PASTE_ALL,4,38)),1)="-"),999),1)="%"))&lt;&gt;"",SUBSTITUTE(SUBSTITUTE(SUBSTITUTE(SUBSTITUTE(SUBSTITUTE(SUBSTITUTE(SUBSTITUTE(SUBSTITUTE(SUBSTITUTE(SUBSTITUTE(SUBSTITUTE(SUBSTITUTE(LEFT(MID(TRIM(INDEX(PASTE_ALL,4,38)),1+(LEFT(TRIM(INDEX(PASTE_ALL,4,38)),1)="-"),999),LEN(MID(TRIM(INDEX(PASTE_ALL,4,38)),1+(LEFT(TRIM(INDEX(PASTE_ALL,4,38)),1)="-"),999))-(RIGHT(MID(TRIM(INDEX(PASTE_ALL,4,38)),1+(LEFT(TRIM(INDEX(PASTE_ALL,4,38)),1)="-"),999),1)="%")),"0",""),"1",""),"2",""),"3",""),"4",""),"5",""),"6",""),"7",""),"8",""),"9",""),".",""),",","")=""),2,1))),1)</f>
        <v/>
      </c>
      <c r="BK53">
        <f>IFERROR(IF(ISNUMBER(INDEX(PASTE_ALL,4,39)),2,IF(TRIM(INDEX(PASTE_ALL,4,39))="",0,IF(AND(LEFT(MID(TRIM(INDEX(PASTE_ALL,4,39)),1+(LEFT(TRIM(INDEX(PASTE_ALL,4,39)),1)="-"),999),LEN(MID(TRIM(INDEX(PASTE_ALL,4,39)),1+(LEFT(TRIM(INDEX(PASTE_ALL,4,39)),1)="-"),999))-(RIGHT(MID(TRIM(INDEX(PASTE_ALL,4,39)),1+(LEFT(TRIM(INDEX(PASTE_ALL,4,39)),1)="-"),999),1)="%"))&lt;&gt;"",SUBSTITUTE(SUBSTITUTE(SUBSTITUTE(SUBSTITUTE(SUBSTITUTE(SUBSTITUTE(SUBSTITUTE(SUBSTITUTE(SUBSTITUTE(SUBSTITUTE(SUBSTITUTE(SUBSTITUTE(LEFT(MID(TRIM(INDEX(PASTE_ALL,4,39)),1+(LEFT(TRIM(INDEX(PASTE_ALL,4,39)),1)="-"),999),LEN(MID(TRIM(INDEX(PASTE_ALL,4,39)),1+(LEFT(TRIM(INDEX(PASTE_ALL,4,39)),1)="-"),999))-(RIGHT(MID(TRIM(INDEX(PASTE_ALL,4,39)),1+(LEFT(TRIM(INDEX(PASTE_ALL,4,39)),1)="-"),999),1)="%")),"0",""),"1",""),"2",""),"3",""),"4",""),"5",""),"6",""),"7",""),"8",""),"9",""),".",""),",","")=""),2,1))),1)</f>
        <v/>
      </c>
      <c r="BL53">
        <f>IFERROR(IF(ISNUMBER(INDEX(PASTE_ALL,4,40)),2,IF(TRIM(INDEX(PASTE_ALL,4,40))="",0,IF(AND(LEFT(MID(TRIM(INDEX(PASTE_ALL,4,40)),1+(LEFT(TRIM(INDEX(PASTE_ALL,4,40)),1)="-"),999),LEN(MID(TRIM(INDEX(PASTE_ALL,4,40)),1+(LEFT(TRIM(INDEX(PASTE_ALL,4,40)),1)="-"),999))-(RIGHT(MID(TRIM(INDEX(PASTE_ALL,4,40)),1+(LEFT(TRIM(INDEX(PASTE_ALL,4,40)),1)="-"),999),1)="%"))&lt;&gt;"",SUBSTITUTE(SUBSTITUTE(SUBSTITUTE(SUBSTITUTE(SUBSTITUTE(SUBSTITUTE(SUBSTITUTE(SUBSTITUTE(SUBSTITUTE(SUBSTITUTE(SUBSTITUTE(SUBSTITUTE(LEFT(MID(TRIM(INDEX(PASTE_ALL,4,40)),1+(LEFT(TRIM(INDEX(PASTE_ALL,4,40)),1)="-"),999),LEN(MID(TRIM(INDEX(PASTE_ALL,4,40)),1+(LEFT(TRIM(INDEX(PASTE_ALL,4,40)),1)="-"),999))-(RIGHT(MID(TRIM(INDEX(PASTE_ALL,4,40)),1+(LEFT(TRIM(INDEX(PASTE_ALL,4,40)),1)="-"),999),1)="%")),"0",""),"1",""),"2",""),"3",""),"4",""),"5",""),"6",""),"7",""),"8",""),"9",""),".",""),",","")=""),2,1))),1)</f>
        <v/>
      </c>
      <c r="BM53">
        <f>IFERROR(IF(ISNUMBER(INDEX(PASTE_ALL,4,41)),2,IF(TRIM(INDEX(PASTE_ALL,4,41))="",0,IF(AND(LEFT(MID(TRIM(INDEX(PASTE_ALL,4,41)),1+(LEFT(TRIM(INDEX(PASTE_ALL,4,41)),1)="-"),999),LEN(MID(TRIM(INDEX(PASTE_ALL,4,41)),1+(LEFT(TRIM(INDEX(PASTE_ALL,4,41)),1)="-"),999))-(RIGHT(MID(TRIM(INDEX(PASTE_ALL,4,41)),1+(LEFT(TRIM(INDEX(PASTE_ALL,4,41)),1)="-"),999),1)="%"))&lt;&gt;"",SUBSTITUTE(SUBSTITUTE(SUBSTITUTE(SUBSTITUTE(SUBSTITUTE(SUBSTITUTE(SUBSTITUTE(SUBSTITUTE(SUBSTITUTE(SUBSTITUTE(SUBSTITUTE(SUBSTITUTE(LEFT(MID(TRIM(INDEX(PASTE_ALL,4,41)),1+(LEFT(TRIM(INDEX(PASTE_ALL,4,41)),1)="-"),999),LEN(MID(TRIM(INDEX(PASTE_ALL,4,41)),1+(LEFT(TRIM(INDEX(PASTE_ALL,4,41)),1)="-"),999))-(RIGHT(MID(TRIM(INDEX(PASTE_ALL,4,41)),1+(LEFT(TRIM(INDEX(PASTE_ALL,4,41)),1)="-"),999),1)="%")),"0",""),"1",""),"2",""),"3",""),"4",""),"5",""),"6",""),"7",""),"8",""),"9",""),".",""),",","")=""),2,1))),1)</f>
        <v/>
      </c>
      <c r="BN53">
        <f>IFERROR(IF(ISNUMBER(INDEX(PASTE_ALL,4,42)),2,IF(TRIM(INDEX(PASTE_ALL,4,42))="",0,IF(AND(LEFT(MID(TRIM(INDEX(PASTE_ALL,4,42)),1+(LEFT(TRIM(INDEX(PASTE_ALL,4,42)),1)="-"),999),LEN(MID(TRIM(INDEX(PASTE_ALL,4,42)),1+(LEFT(TRIM(INDEX(PASTE_ALL,4,42)),1)="-"),999))-(RIGHT(MID(TRIM(INDEX(PASTE_ALL,4,42)),1+(LEFT(TRIM(INDEX(PASTE_ALL,4,42)),1)="-"),999),1)="%"))&lt;&gt;"",SUBSTITUTE(SUBSTITUTE(SUBSTITUTE(SUBSTITUTE(SUBSTITUTE(SUBSTITUTE(SUBSTITUTE(SUBSTITUTE(SUBSTITUTE(SUBSTITUTE(SUBSTITUTE(SUBSTITUTE(LEFT(MID(TRIM(INDEX(PASTE_ALL,4,42)),1+(LEFT(TRIM(INDEX(PASTE_ALL,4,42)),1)="-"),999),LEN(MID(TRIM(INDEX(PASTE_ALL,4,42)),1+(LEFT(TRIM(INDEX(PASTE_ALL,4,42)),1)="-"),999))-(RIGHT(MID(TRIM(INDEX(PASTE_ALL,4,42)),1+(LEFT(TRIM(INDEX(PASTE_ALL,4,42)),1)="-"),999),1)="%")),"0",""),"1",""),"2",""),"3",""),"4",""),"5",""),"6",""),"7",""),"8",""),"9",""),".",""),",","")=""),2,1))),1)</f>
        <v/>
      </c>
      <c r="BO53">
        <f>IFERROR(IF(ISNUMBER(INDEX(PASTE_ALL,4,43)),2,IF(TRIM(INDEX(PASTE_ALL,4,43))="",0,IF(AND(LEFT(MID(TRIM(INDEX(PASTE_ALL,4,43)),1+(LEFT(TRIM(INDEX(PASTE_ALL,4,43)),1)="-"),999),LEN(MID(TRIM(INDEX(PASTE_ALL,4,43)),1+(LEFT(TRIM(INDEX(PASTE_ALL,4,43)),1)="-"),999))-(RIGHT(MID(TRIM(INDEX(PASTE_ALL,4,43)),1+(LEFT(TRIM(INDEX(PASTE_ALL,4,43)),1)="-"),999),1)="%"))&lt;&gt;"",SUBSTITUTE(SUBSTITUTE(SUBSTITUTE(SUBSTITUTE(SUBSTITUTE(SUBSTITUTE(SUBSTITUTE(SUBSTITUTE(SUBSTITUTE(SUBSTITUTE(SUBSTITUTE(SUBSTITUTE(LEFT(MID(TRIM(INDEX(PASTE_ALL,4,43)),1+(LEFT(TRIM(INDEX(PASTE_ALL,4,43)),1)="-"),999),LEN(MID(TRIM(INDEX(PASTE_ALL,4,43)),1+(LEFT(TRIM(INDEX(PASTE_ALL,4,43)),1)="-"),999))-(RIGHT(MID(TRIM(INDEX(PASTE_ALL,4,43)),1+(LEFT(TRIM(INDEX(PASTE_ALL,4,43)),1)="-"),999),1)="%")),"0",""),"1",""),"2",""),"3",""),"4",""),"5",""),"6",""),"7",""),"8",""),"9",""),".",""),",","")=""),2,1))),1)</f>
        <v/>
      </c>
      <c r="BP53">
        <f>IFERROR(IF(ISNUMBER(INDEX(PASTE_ALL,4,44)),2,IF(TRIM(INDEX(PASTE_ALL,4,44))="",0,IF(AND(LEFT(MID(TRIM(INDEX(PASTE_ALL,4,44)),1+(LEFT(TRIM(INDEX(PASTE_ALL,4,44)),1)="-"),999),LEN(MID(TRIM(INDEX(PASTE_ALL,4,44)),1+(LEFT(TRIM(INDEX(PASTE_ALL,4,44)),1)="-"),999))-(RIGHT(MID(TRIM(INDEX(PASTE_ALL,4,44)),1+(LEFT(TRIM(INDEX(PASTE_ALL,4,44)),1)="-"),999),1)="%"))&lt;&gt;"",SUBSTITUTE(SUBSTITUTE(SUBSTITUTE(SUBSTITUTE(SUBSTITUTE(SUBSTITUTE(SUBSTITUTE(SUBSTITUTE(SUBSTITUTE(SUBSTITUTE(SUBSTITUTE(SUBSTITUTE(LEFT(MID(TRIM(INDEX(PASTE_ALL,4,44)),1+(LEFT(TRIM(INDEX(PASTE_ALL,4,44)),1)="-"),999),LEN(MID(TRIM(INDEX(PASTE_ALL,4,44)),1+(LEFT(TRIM(INDEX(PASTE_ALL,4,44)),1)="-"),999))-(RIGHT(MID(TRIM(INDEX(PASTE_ALL,4,44)),1+(LEFT(TRIM(INDEX(PASTE_ALL,4,44)),1)="-"),999),1)="%")),"0",""),"1",""),"2",""),"3",""),"4",""),"5",""),"6",""),"7",""),"8",""),"9",""),".",""),",","")=""),2,1))),1)</f>
        <v/>
      </c>
      <c r="BQ53">
        <f>IFERROR(IF(ISNUMBER(INDEX(PASTE_ALL,4,45)),2,IF(TRIM(INDEX(PASTE_ALL,4,45))="",0,IF(AND(LEFT(MID(TRIM(INDEX(PASTE_ALL,4,45)),1+(LEFT(TRIM(INDEX(PASTE_ALL,4,45)),1)="-"),999),LEN(MID(TRIM(INDEX(PASTE_ALL,4,45)),1+(LEFT(TRIM(INDEX(PASTE_ALL,4,45)),1)="-"),999))-(RIGHT(MID(TRIM(INDEX(PASTE_ALL,4,45)),1+(LEFT(TRIM(INDEX(PASTE_ALL,4,45)),1)="-"),999),1)="%"))&lt;&gt;"",SUBSTITUTE(SUBSTITUTE(SUBSTITUTE(SUBSTITUTE(SUBSTITUTE(SUBSTITUTE(SUBSTITUTE(SUBSTITUTE(SUBSTITUTE(SUBSTITUTE(SUBSTITUTE(SUBSTITUTE(LEFT(MID(TRIM(INDEX(PASTE_ALL,4,45)),1+(LEFT(TRIM(INDEX(PASTE_ALL,4,45)),1)="-"),999),LEN(MID(TRIM(INDEX(PASTE_ALL,4,45)),1+(LEFT(TRIM(INDEX(PASTE_ALL,4,45)),1)="-"),999))-(RIGHT(MID(TRIM(INDEX(PASTE_ALL,4,45)),1+(LEFT(TRIM(INDEX(PASTE_ALL,4,45)),1)="-"),999),1)="%")),"0",""),"1",""),"2",""),"3",""),"4",""),"5",""),"6",""),"7",""),"8",""),"9",""),".",""),",","")=""),2,1))),1)</f>
        <v/>
      </c>
      <c r="BR53">
        <f>IFERROR(IF(ISNUMBER(INDEX(PASTE_ALL,4,46)),2,IF(TRIM(INDEX(PASTE_ALL,4,46))="",0,IF(AND(LEFT(MID(TRIM(INDEX(PASTE_ALL,4,46)),1+(LEFT(TRIM(INDEX(PASTE_ALL,4,46)),1)="-"),999),LEN(MID(TRIM(INDEX(PASTE_ALL,4,46)),1+(LEFT(TRIM(INDEX(PASTE_ALL,4,46)),1)="-"),999))-(RIGHT(MID(TRIM(INDEX(PASTE_ALL,4,46)),1+(LEFT(TRIM(INDEX(PASTE_ALL,4,46)),1)="-"),999),1)="%"))&lt;&gt;"",SUBSTITUTE(SUBSTITUTE(SUBSTITUTE(SUBSTITUTE(SUBSTITUTE(SUBSTITUTE(SUBSTITUTE(SUBSTITUTE(SUBSTITUTE(SUBSTITUTE(SUBSTITUTE(SUBSTITUTE(LEFT(MID(TRIM(INDEX(PASTE_ALL,4,46)),1+(LEFT(TRIM(INDEX(PASTE_ALL,4,46)),1)="-"),999),LEN(MID(TRIM(INDEX(PASTE_ALL,4,46)),1+(LEFT(TRIM(INDEX(PASTE_ALL,4,46)),1)="-"),999))-(RIGHT(MID(TRIM(INDEX(PASTE_ALL,4,46)),1+(LEFT(TRIM(INDEX(PASTE_ALL,4,46)),1)="-"),999),1)="%")),"0",""),"1",""),"2",""),"3",""),"4",""),"5",""),"6",""),"7",""),"8",""),"9",""),".",""),",","")=""),2,1))),1)</f>
        <v/>
      </c>
      <c r="BS53">
        <f>IFERROR(IF(ISNUMBER(INDEX(PASTE_ALL,4,47)),2,IF(TRIM(INDEX(PASTE_ALL,4,47))="",0,IF(AND(LEFT(MID(TRIM(INDEX(PASTE_ALL,4,47)),1+(LEFT(TRIM(INDEX(PASTE_ALL,4,47)),1)="-"),999),LEN(MID(TRIM(INDEX(PASTE_ALL,4,47)),1+(LEFT(TRIM(INDEX(PASTE_ALL,4,47)),1)="-"),999))-(RIGHT(MID(TRIM(INDEX(PASTE_ALL,4,47)),1+(LEFT(TRIM(INDEX(PASTE_ALL,4,47)),1)="-"),999),1)="%"))&lt;&gt;"",SUBSTITUTE(SUBSTITUTE(SUBSTITUTE(SUBSTITUTE(SUBSTITUTE(SUBSTITUTE(SUBSTITUTE(SUBSTITUTE(SUBSTITUTE(SUBSTITUTE(SUBSTITUTE(SUBSTITUTE(LEFT(MID(TRIM(INDEX(PASTE_ALL,4,47)),1+(LEFT(TRIM(INDEX(PASTE_ALL,4,47)),1)="-"),999),LEN(MID(TRIM(INDEX(PASTE_ALL,4,47)),1+(LEFT(TRIM(INDEX(PASTE_ALL,4,47)),1)="-"),999))-(RIGHT(MID(TRIM(INDEX(PASTE_ALL,4,47)),1+(LEFT(TRIM(INDEX(PASTE_ALL,4,47)),1)="-"),999),1)="%")),"0",""),"1",""),"2",""),"3",""),"4",""),"5",""),"6",""),"7",""),"8",""),"9",""),".",""),",","")=""),2,1))),1)</f>
        <v/>
      </c>
      <c r="BT53">
        <f>IFERROR(IF(ISNUMBER(INDEX(PASTE_ALL,4,48)),2,IF(TRIM(INDEX(PASTE_ALL,4,48))="",0,IF(AND(LEFT(MID(TRIM(INDEX(PASTE_ALL,4,48)),1+(LEFT(TRIM(INDEX(PASTE_ALL,4,48)),1)="-"),999),LEN(MID(TRIM(INDEX(PASTE_ALL,4,48)),1+(LEFT(TRIM(INDEX(PASTE_ALL,4,48)),1)="-"),999))-(RIGHT(MID(TRIM(INDEX(PASTE_ALL,4,48)),1+(LEFT(TRIM(INDEX(PASTE_ALL,4,48)),1)="-"),999),1)="%"))&lt;&gt;"",SUBSTITUTE(SUBSTITUTE(SUBSTITUTE(SUBSTITUTE(SUBSTITUTE(SUBSTITUTE(SUBSTITUTE(SUBSTITUTE(SUBSTITUTE(SUBSTITUTE(SUBSTITUTE(SUBSTITUTE(LEFT(MID(TRIM(INDEX(PASTE_ALL,4,48)),1+(LEFT(TRIM(INDEX(PASTE_ALL,4,48)),1)="-"),999),LEN(MID(TRIM(INDEX(PASTE_ALL,4,48)),1+(LEFT(TRIM(INDEX(PASTE_ALL,4,48)),1)="-"),999))-(RIGHT(MID(TRIM(INDEX(PASTE_ALL,4,48)),1+(LEFT(TRIM(INDEX(PASTE_ALL,4,48)),1)="-"),999),1)="%")),"0",""),"1",""),"2",""),"3",""),"4",""),"5",""),"6",""),"7",""),"8",""),"9",""),".",""),",","")=""),2,1))),1)</f>
        <v/>
      </c>
      <c r="BU53">
        <f>IFERROR(IF(ISNUMBER(INDEX(PASTE_ALL,4,49)),2,IF(TRIM(INDEX(PASTE_ALL,4,49))="",0,IF(AND(LEFT(MID(TRIM(INDEX(PASTE_ALL,4,49)),1+(LEFT(TRIM(INDEX(PASTE_ALL,4,49)),1)="-"),999),LEN(MID(TRIM(INDEX(PASTE_ALL,4,49)),1+(LEFT(TRIM(INDEX(PASTE_ALL,4,49)),1)="-"),999))-(RIGHT(MID(TRIM(INDEX(PASTE_ALL,4,49)),1+(LEFT(TRIM(INDEX(PASTE_ALL,4,49)),1)="-"),999),1)="%"))&lt;&gt;"",SUBSTITUTE(SUBSTITUTE(SUBSTITUTE(SUBSTITUTE(SUBSTITUTE(SUBSTITUTE(SUBSTITUTE(SUBSTITUTE(SUBSTITUTE(SUBSTITUTE(SUBSTITUTE(SUBSTITUTE(LEFT(MID(TRIM(INDEX(PASTE_ALL,4,49)),1+(LEFT(TRIM(INDEX(PASTE_ALL,4,49)),1)="-"),999),LEN(MID(TRIM(INDEX(PASTE_ALL,4,49)),1+(LEFT(TRIM(INDEX(PASTE_ALL,4,49)),1)="-"),999))-(RIGHT(MID(TRIM(INDEX(PASTE_ALL,4,49)),1+(LEFT(TRIM(INDEX(PASTE_ALL,4,49)),1)="-"),999),1)="%")),"0",""),"1",""),"2",""),"3",""),"4",""),"5",""),"6",""),"7",""),"8",""),"9",""),".",""),",","")=""),2,1))),1)</f>
        <v/>
      </c>
      <c r="BV53">
        <f>IFERROR(IF(ISNUMBER(INDEX(PASTE_ALL,4,50)),2,IF(TRIM(INDEX(PASTE_ALL,4,50))="",0,IF(AND(LEFT(MID(TRIM(INDEX(PASTE_ALL,4,50)),1+(LEFT(TRIM(INDEX(PASTE_ALL,4,50)),1)="-"),999),LEN(MID(TRIM(INDEX(PASTE_ALL,4,50)),1+(LEFT(TRIM(INDEX(PASTE_ALL,4,50)),1)="-"),999))-(RIGHT(MID(TRIM(INDEX(PASTE_ALL,4,50)),1+(LEFT(TRIM(INDEX(PASTE_ALL,4,50)),1)="-"),999),1)="%"))&lt;&gt;"",SUBSTITUTE(SUBSTITUTE(SUBSTITUTE(SUBSTITUTE(SUBSTITUTE(SUBSTITUTE(SUBSTITUTE(SUBSTITUTE(SUBSTITUTE(SUBSTITUTE(SUBSTITUTE(SUBSTITUTE(LEFT(MID(TRIM(INDEX(PASTE_ALL,4,50)),1+(LEFT(TRIM(INDEX(PASTE_ALL,4,50)),1)="-"),999),LEN(MID(TRIM(INDEX(PASTE_ALL,4,50)),1+(LEFT(TRIM(INDEX(PASTE_ALL,4,50)),1)="-"),999))-(RIGHT(MID(TRIM(INDEX(PASTE_ALL,4,50)),1+(LEFT(TRIM(INDEX(PASTE_ALL,4,50)),1)="-"),999),1)="%")),"0",""),"1",""),"2",""),"3",""),"4",""),"5",""),"6",""),"7",""),"8",""),"9",""),".",""),",","")=""),2,1))),1)</f>
        <v/>
      </c>
      <c r="BW53">
        <f>IFERROR(IF(ISNUMBER(INDEX(PASTE_ALL,4,51)),2,IF(TRIM(INDEX(PASTE_ALL,4,51))="",0,IF(AND(LEFT(MID(TRIM(INDEX(PASTE_ALL,4,51)),1+(LEFT(TRIM(INDEX(PASTE_ALL,4,51)),1)="-"),999),LEN(MID(TRIM(INDEX(PASTE_ALL,4,51)),1+(LEFT(TRIM(INDEX(PASTE_ALL,4,51)),1)="-"),999))-(RIGHT(MID(TRIM(INDEX(PASTE_ALL,4,51)),1+(LEFT(TRIM(INDEX(PASTE_ALL,4,51)),1)="-"),999),1)="%"))&lt;&gt;"",SUBSTITUTE(SUBSTITUTE(SUBSTITUTE(SUBSTITUTE(SUBSTITUTE(SUBSTITUTE(SUBSTITUTE(SUBSTITUTE(SUBSTITUTE(SUBSTITUTE(SUBSTITUTE(SUBSTITUTE(LEFT(MID(TRIM(INDEX(PASTE_ALL,4,51)),1+(LEFT(TRIM(INDEX(PASTE_ALL,4,51)),1)="-"),999),LEN(MID(TRIM(INDEX(PASTE_ALL,4,51)),1+(LEFT(TRIM(INDEX(PASTE_ALL,4,51)),1)="-"),999))-(RIGHT(MID(TRIM(INDEX(PASTE_ALL,4,51)),1+(LEFT(TRIM(INDEX(PASTE_ALL,4,51)),1)="-"),999),1)="%")),"0",""),"1",""),"2",""),"3",""),"4",""),"5",""),"6",""),"7",""),"8",""),"9",""),".",""),",","")=""),2,1))),1)</f>
        <v/>
      </c>
      <c r="BX53">
        <f>IFERROR(IF(ISNUMBER(INDEX(PASTE_ALL,4,52)),2,IF(TRIM(INDEX(PASTE_ALL,4,52))="",0,IF(AND(LEFT(MID(TRIM(INDEX(PASTE_ALL,4,52)),1+(LEFT(TRIM(INDEX(PASTE_ALL,4,52)),1)="-"),999),LEN(MID(TRIM(INDEX(PASTE_ALL,4,52)),1+(LEFT(TRIM(INDEX(PASTE_ALL,4,52)),1)="-"),999))-(RIGHT(MID(TRIM(INDEX(PASTE_ALL,4,52)),1+(LEFT(TRIM(INDEX(PASTE_ALL,4,52)),1)="-"),999),1)="%"))&lt;&gt;"",SUBSTITUTE(SUBSTITUTE(SUBSTITUTE(SUBSTITUTE(SUBSTITUTE(SUBSTITUTE(SUBSTITUTE(SUBSTITUTE(SUBSTITUTE(SUBSTITUTE(SUBSTITUTE(SUBSTITUTE(LEFT(MID(TRIM(INDEX(PASTE_ALL,4,52)),1+(LEFT(TRIM(INDEX(PASTE_ALL,4,52)),1)="-"),999),LEN(MID(TRIM(INDEX(PASTE_ALL,4,52)),1+(LEFT(TRIM(INDEX(PASTE_ALL,4,52)),1)="-"),999))-(RIGHT(MID(TRIM(INDEX(PASTE_ALL,4,52)),1+(LEFT(TRIM(INDEX(PASTE_ALL,4,52)),1)="-"),999),1)="%")),"0",""),"1",""),"2",""),"3",""),"4",""),"5",""),"6",""),"7",""),"8",""),"9",""),".",""),",","")=""),2,1))),1)</f>
        <v/>
      </c>
      <c r="BY53">
        <f>IFERROR(IF(ISNUMBER(INDEX(PASTE_ALL,4,53)),2,IF(TRIM(INDEX(PASTE_ALL,4,53))="",0,IF(AND(LEFT(MID(TRIM(INDEX(PASTE_ALL,4,53)),1+(LEFT(TRIM(INDEX(PASTE_ALL,4,53)),1)="-"),999),LEN(MID(TRIM(INDEX(PASTE_ALL,4,53)),1+(LEFT(TRIM(INDEX(PASTE_ALL,4,53)),1)="-"),999))-(RIGHT(MID(TRIM(INDEX(PASTE_ALL,4,53)),1+(LEFT(TRIM(INDEX(PASTE_ALL,4,53)),1)="-"),999),1)="%"))&lt;&gt;"",SUBSTITUTE(SUBSTITUTE(SUBSTITUTE(SUBSTITUTE(SUBSTITUTE(SUBSTITUTE(SUBSTITUTE(SUBSTITUTE(SUBSTITUTE(SUBSTITUTE(SUBSTITUTE(SUBSTITUTE(LEFT(MID(TRIM(INDEX(PASTE_ALL,4,53)),1+(LEFT(TRIM(INDEX(PASTE_ALL,4,53)),1)="-"),999),LEN(MID(TRIM(INDEX(PASTE_ALL,4,53)),1+(LEFT(TRIM(INDEX(PASTE_ALL,4,53)),1)="-"),999))-(RIGHT(MID(TRIM(INDEX(PASTE_ALL,4,53)),1+(LEFT(TRIM(INDEX(PASTE_ALL,4,53)),1)="-"),999),1)="%")),"0",""),"1",""),"2",""),"3",""),"4",""),"5",""),"6",""),"7",""),"8",""),"9",""),".",""),",","")=""),2,1))),1)</f>
        <v/>
      </c>
      <c r="BZ53">
        <f>IFERROR(IF(ISNUMBER(INDEX(PASTE_ALL,4,54)),2,IF(TRIM(INDEX(PASTE_ALL,4,54))="",0,IF(AND(LEFT(MID(TRIM(INDEX(PASTE_ALL,4,54)),1+(LEFT(TRIM(INDEX(PASTE_ALL,4,54)),1)="-"),999),LEN(MID(TRIM(INDEX(PASTE_ALL,4,54)),1+(LEFT(TRIM(INDEX(PASTE_ALL,4,54)),1)="-"),999))-(RIGHT(MID(TRIM(INDEX(PASTE_ALL,4,54)),1+(LEFT(TRIM(INDEX(PASTE_ALL,4,54)),1)="-"),999),1)="%"))&lt;&gt;"",SUBSTITUTE(SUBSTITUTE(SUBSTITUTE(SUBSTITUTE(SUBSTITUTE(SUBSTITUTE(SUBSTITUTE(SUBSTITUTE(SUBSTITUTE(SUBSTITUTE(SUBSTITUTE(SUBSTITUTE(LEFT(MID(TRIM(INDEX(PASTE_ALL,4,54)),1+(LEFT(TRIM(INDEX(PASTE_ALL,4,54)),1)="-"),999),LEN(MID(TRIM(INDEX(PASTE_ALL,4,54)),1+(LEFT(TRIM(INDEX(PASTE_ALL,4,54)),1)="-"),999))-(RIGHT(MID(TRIM(INDEX(PASTE_ALL,4,54)),1+(LEFT(TRIM(INDEX(PASTE_ALL,4,54)),1)="-"),999),1)="%")),"0",""),"1",""),"2",""),"3",""),"4",""),"5",""),"6",""),"7",""),"8",""),"9",""),".",""),",","")=""),2,1))),1)</f>
        <v/>
      </c>
      <c r="CA53">
        <f>IFERROR(IF(ISNUMBER(INDEX(PASTE_ALL,4,55)),2,IF(TRIM(INDEX(PASTE_ALL,4,55))="",0,IF(AND(LEFT(MID(TRIM(INDEX(PASTE_ALL,4,55)),1+(LEFT(TRIM(INDEX(PASTE_ALL,4,55)),1)="-"),999),LEN(MID(TRIM(INDEX(PASTE_ALL,4,55)),1+(LEFT(TRIM(INDEX(PASTE_ALL,4,55)),1)="-"),999))-(RIGHT(MID(TRIM(INDEX(PASTE_ALL,4,55)),1+(LEFT(TRIM(INDEX(PASTE_ALL,4,55)),1)="-"),999),1)="%"))&lt;&gt;"",SUBSTITUTE(SUBSTITUTE(SUBSTITUTE(SUBSTITUTE(SUBSTITUTE(SUBSTITUTE(SUBSTITUTE(SUBSTITUTE(SUBSTITUTE(SUBSTITUTE(SUBSTITUTE(SUBSTITUTE(LEFT(MID(TRIM(INDEX(PASTE_ALL,4,55)),1+(LEFT(TRIM(INDEX(PASTE_ALL,4,55)),1)="-"),999),LEN(MID(TRIM(INDEX(PASTE_ALL,4,55)),1+(LEFT(TRIM(INDEX(PASTE_ALL,4,55)),1)="-"),999))-(RIGHT(MID(TRIM(INDEX(PASTE_ALL,4,55)),1+(LEFT(TRIM(INDEX(PASTE_ALL,4,55)),1)="-"),999),1)="%")),"0",""),"1",""),"2",""),"3",""),"4",""),"5",""),"6",""),"7",""),"8",""),"9",""),".",""),",","")=""),2,1))),1)</f>
        <v/>
      </c>
      <c r="CB53">
        <f>IFERROR(IF(ISNUMBER(INDEX(PASTE_ALL,4,56)),2,IF(TRIM(INDEX(PASTE_ALL,4,56))="",0,IF(AND(LEFT(MID(TRIM(INDEX(PASTE_ALL,4,56)),1+(LEFT(TRIM(INDEX(PASTE_ALL,4,56)),1)="-"),999),LEN(MID(TRIM(INDEX(PASTE_ALL,4,56)),1+(LEFT(TRIM(INDEX(PASTE_ALL,4,56)),1)="-"),999))-(RIGHT(MID(TRIM(INDEX(PASTE_ALL,4,56)),1+(LEFT(TRIM(INDEX(PASTE_ALL,4,56)),1)="-"),999),1)="%"))&lt;&gt;"",SUBSTITUTE(SUBSTITUTE(SUBSTITUTE(SUBSTITUTE(SUBSTITUTE(SUBSTITUTE(SUBSTITUTE(SUBSTITUTE(SUBSTITUTE(SUBSTITUTE(SUBSTITUTE(SUBSTITUTE(LEFT(MID(TRIM(INDEX(PASTE_ALL,4,56)),1+(LEFT(TRIM(INDEX(PASTE_ALL,4,56)),1)="-"),999),LEN(MID(TRIM(INDEX(PASTE_ALL,4,56)),1+(LEFT(TRIM(INDEX(PASTE_ALL,4,56)),1)="-"),999))-(RIGHT(MID(TRIM(INDEX(PASTE_ALL,4,56)),1+(LEFT(TRIM(INDEX(PASTE_ALL,4,56)),1)="-"),999),1)="%")),"0",""),"1",""),"2",""),"3",""),"4",""),"5",""),"6",""),"7",""),"8",""),"9",""),".",""),",","")=""),2,1))),1)</f>
        <v/>
      </c>
      <c r="CC53">
        <f>IFERROR(IF(ISNUMBER(INDEX(PASTE_ALL,4,57)),2,IF(TRIM(INDEX(PASTE_ALL,4,57))="",0,IF(AND(LEFT(MID(TRIM(INDEX(PASTE_ALL,4,57)),1+(LEFT(TRIM(INDEX(PASTE_ALL,4,57)),1)="-"),999),LEN(MID(TRIM(INDEX(PASTE_ALL,4,57)),1+(LEFT(TRIM(INDEX(PASTE_ALL,4,57)),1)="-"),999))-(RIGHT(MID(TRIM(INDEX(PASTE_ALL,4,57)),1+(LEFT(TRIM(INDEX(PASTE_ALL,4,57)),1)="-"),999),1)="%"))&lt;&gt;"",SUBSTITUTE(SUBSTITUTE(SUBSTITUTE(SUBSTITUTE(SUBSTITUTE(SUBSTITUTE(SUBSTITUTE(SUBSTITUTE(SUBSTITUTE(SUBSTITUTE(SUBSTITUTE(SUBSTITUTE(LEFT(MID(TRIM(INDEX(PASTE_ALL,4,57)),1+(LEFT(TRIM(INDEX(PASTE_ALL,4,57)),1)="-"),999),LEN(MID(TRIM(INDEX(PASTE_ALL,4,57)),1+(LEFT(TRIM(INDEX(PASTE_ALL,4,57)),1)="-"),999))-(RIGHT(MID(TRIM(INDEX(PASTE_ALL,4,57)),1+(LEFT(TRIM(INDEX(PASTE_ALL,4,57)),1)="-"),999),1)="%")),"0",""),"1",""),"2",""),"3",""),"4",""),"5",""),"6",""),"7",""),"8",""),"9",""),".",""),",","")=""),2,1))),1)</f>
        <v/>
      </c>
      <c r="CD53">
        <f>IFERROR(IF(ISNUMBER(INDEX(PASTE_ALL,4,58)),2,IF(TRIM(INDEX(PASTE_ALL,4,58))="",0,IF(AND(LEFT(MID(TRIM(INDEX(PASTE_ALL,4,58)),1+(LEFT(TRIM(INDEX(PASTE_ALL,4,58)),1)="-"),999),LEN(MID(TRIM(INDEX(PASTE_ALL,4,58)),1+(LEFT(TRIM(INDEX(PASTE_ALL,4,58)),1)="-"),999))-(RIGHT(MID(TRIM(INDEX(PASTE_ALL,4,58)),1+(LEFT(TRIM(INDEX(PASTE_ALL,4,58)),1)="-"),999),1)="%"))&lt;&gt;"",SUBSTITUTE(SUBSTITUTE(SUBSTITUTE(SUBSTITUTE(SUBSTITUTE(SUBSTITUTE(SUBSTITUTE(SUBSTITUTE(SUBSTITUTE(SUBSTITUTE(SUBSTITUTE(SUBSTITUTE(LEFT(MID(TRIM(INDEX(PASTE_ALL,4,58)),1+(LEFT(TRIM(INDEX(PASTE_ALL,4,58)),1)="-"),999),LEN(MID(TRIM(INDEX(PASTE_ALL,4,58)),1+(LEFT(TRIM(INDEX(PASTE_ALL,4,58)),1)="-"),999))-(RIGHT(MID(TRIM(INDEX(PASTE_ALL,4,58)),1+(LEFT(TRIM(INDEX(PASTE_ALL,4,58)),1)="-"),999),1)="%")),"0",""),"1",""),"2",""),"3",""),"4",""),"5",""),"6",""),"7",""),"8",""),"9",""),".",""),",","")=""),2,1))),1)</f>
        <v/>
      </c>
      <c r="CE53">
        <f>IFERROR(IF(ISNUMBER(INDEX(PASTE_ALL,4,59)),2,IF(TRIM(INDEX(PASTE_ALL,4,59))="",0,IF(AND(LEFT(MID(TRIM(INDEX(PASTE_ALL,4,59)),1+(LEFT(TRIM(INDEX(PASTE_ALL,4,59)),1)="-"),999),LEN(MID(TRIM(INDEX(PASTE_ALL,4,59)),1+(LEFT(TRIM(INDEX(PASTE_ALL,4,59)),1)="-"),999))-(RIGHT(MID(TRIM(INDEX(PASTE_ALL,4,59)),1+(LEFT(TRIM(INDEX(PASTE_ALL,4,59)),1)="-"),999),1)="%"))&lt;&gt;"",SUBSTITUTE(SUBSTITUTE(SUBSTITUTE(SUBSTITUTE(SUBSTITUTE(SUBSTITUTE(SUBSTITUTE(SUBSTITUTE(SUBSTITUTE(SUBSTITUTE(SUBSTITUTE(SUBSTITUTE(LEFT(MID(TRIM(INDEX(PASTE_ALL,4,59)),1+(LEFT(TRIM(INDEX(PASTE_ALL,4,59)),1)="-"),999),LEN(MID(TRIM(INDEX(PASTE_ALL,4,59)),1+(LEFT(TRIM(INDEX(PASTE_ALL,4,59)),1)="-"),999))-(RIGHT(MID(TRIM(INDEX(PASTE_ALL,4,59)),1+(LEFT(TRIM(INDEX(PASTE_ALL,4,59)),1)="-"),999),1)="%")),"0",""),"1",""),"2",""),"3",""),"4",""),"5",""),"6",""),"7",""),"8",""),"9",""),".",""),",","")=""),2,1))),1)</f>
        <v/>
      </c>
      <c r="CF53">
        <f>IFERROR(IF(ISNUMBER(INDEX(PASTE_ALL,4,60)),2,IF(TRIM(INDEX(PASTE_ALL,4,60))="",0,IF(AND(LEFT(MID(TRIM(INDEX(PASTE_ALL,4,60)),1+(LEFT(TRIM(INDEX(PASTE_ALL,4,60)),1)="-"),999),LEN(MID(TRIM(INDEX(PASTE_ALL,4,60)),1+(LEFT(TRIM(INDEX(PASTE_ALL,4,60)),1)="-"),999))-(RIGHT(MID(TRIM(INDEX(PASTE_ALL,4,60)),1+(LEFT(TRIM(INDEX(PASTE_ALL,4,60)),1)="-"),999),1)="%"))&lt;&gt;"",SUBSTITUTE(SUBSTITUTE(SUBSTITUTE(SUBSTITUTE(SUBSTITUTE(SUBSTITUTE(SUBSTITUTE(SUBSTITUTE(SUBSTITUTE(SUBSTITUTE(SUBSTITUTE(SUBSTITUTE(LEFT(MID(TRIM(INDEX(PASTE_ALL,4,60)),1+(LEFT(TRIM(INDEX(PASTE_ALL,4,60)),1)="-"),999),LEN(MID(TRIM(INDEX(PASTE_ALL,4,60)),1+(LEFT(TRIM(INDEX(PASTE_ALL,4,60)),1)="-"),999))-(RIGHT(MID(TRIM(INDEX(PASTE_ALL,4,60)),1+(LEFT(TRIM(INDEX(PASTE_ALL,4,60)),1)="-"),999),1)="%")),"0",""),"1",""),"2",""),"3",""),"4",""),"5",""),"6",""),"7",""),"8",""),"9",""),".",""),",","")=""),2,1))),1)</f>
        <v/>
      </c>
      <c r="DA53" t="n">
        <v>49</v>
      </c>
      <c r="DB53">
        <f>IF($B$37=0,"",IFERROR(TRIM(SUBSTITUTE(SUBSTITUTE(SUBSTITUTE(SUBSTITUTE(INDEX(PASTE_ALL,49,$B$37)," "," "),CHAR(9)," "),CHAR(10)," "),CHAR(13)," ")),""))</f>
        <v/>
      </c>
      <c r="DC53">
        <f>IF(AND(49&gt;HEADER_ROW,UPPER(DB53)="LEGEND"),1,0)</f>
        <v/>
      </c>
      <c r="DE53" t="n">
        <v>49</v>
      </c>
      <c r="DF53">
        <f>HEADER_ROW+$DE53</f>
        <v/>
      </c>
      <c r="DG53">
        <f>IF(AND($DF53&lt;=1000,$DF53&lt;$B$8),1,0)</f>
        <v/>
      </c>
      <c r="DH53">
        <f>IF($DG53=1,IFERROR(INDEX($DB$5:$DB$1004,$DF53),""),"")</f>
        <v/>
      </c>
      <c r="DI53">
        <f>IF(AND($DG53=1,$DH53&lt;&gt;""),IFERROR(SUBSTITUTE(SUBSTITUTE(TRIM(SUBSTITUTE(SUBSTITUTE(SUBSTITUTE(SUBSTITUTE(IFERROR(INDEX(PASTE_ALL,$DF53,1)&amp;"","")&amp;"␟"&amp;IFERROR(INDEX(PASTE_ALL,$DF53,2)&amp;"","")&amp;"␟"&amp;IFERROR(INDEX(PASTE_ALL,$DF53,3)&amp;"","")&amp;"␟"&amp;IFERROR(INDEX(PASTE_ALL,$DF53,4)&amp;"","")&amp;"␟"&amp;IFERROR(INDEX(PASTE_ALL,$DF53,5)&amp;"","")&amp;"␟"&amp;IFERROR(INDEX(PASTE_ALL,$DF53,6)&amp;"","")&amp;"␟"&amp;IFERROR(INDEX(PASTE_ALL,$DF53,7)&amp;"","")&amp;"␟"&amp;IFERROR(INDEX(PASTE_ALL,$DF53,8)&amp;"","")&amp;"␟"&amp;IFERROR(INDEX(PASTE_ALL,$DF53,9)&amp;"","")&amp;"␟"&amp;IFERROR(INDEX(PASTE_ALL,$DF53,10)&amp;"","")&amp;"␟"&amp;IFERROR(INDEX(PASTE_ALL,$DF53,11)&amp;"","")&amp;"␟"&amp;IFERROR(INDEX(PASTE_ALL,$DF53,12)&amp;"","")&amp;"␟"&amp;IFERROR(INDEX(PASTE_ALL,$DF53,13)&amp;"","")&amp;"␟"&amp;IFERROR(INDEX(PASTE_ALL,$DF53,14)&amp;"","")&amp;"␟"&amp;IFERROR(INDEX(PASTE_ALL,$DF53,15)&amp;"","")&amp;"␟"&amp;IFERROR(INDEX(PASTE_ALL,$DF53,16)&amp;"","")&amp;"␟"&amp;IFERROR(INDEX(PASTE_ALL,$DF53,17)&amp;"","")&amp;"␟"&amp;IFERROR(INDEX(PASTE_ALL,$DF53,18)&amp;"","")&amp;"␟"&amp;IFERROR(INDEX(PASTE_ALL,$DF53,19)&amp;"","")&amp;"␟"&amp;IFERROR(INDEX(PASTE_ALL,$DF53,20)&amp;"","")&amp;"␟"&amp;IFERROR(INDEX(PASTE_ALL,$DF53,21)&amp;"","")&amp;"␟"&amp;IFERROR(INDEX(PASTE_ALL,$DF53,22)&amp;"","")&amp;"␟"&amp;IFERROR(INDEX(PASTE_ALL,$DF53,23)&amp;"","")&amp;"␟"&amp;IFERROR(INDEX(PASTE_ALL,$DF53,24)&amp;"","")&amp;"␟"&amp;IFERROR(INDEX(PASTE_ALL,$DF53,25)&amp;"","")&amp;"␟"&amp;IFERROR(INDEX(PASTE_ALL,$DF53,26)&amp;"","")&amp;"␟"&amp;IFERROR(INDEX(PASTE_ALL,$DF53,27)&amp;"","")&amp;"␟"&amp;IFERROR(INDEX(PASTE_ALL,$DF53,28)&amp;"","")&amp;"␟"&amp;IFERROR(INDEX(PASTE_ALL,$DF53,29)&amp;"","")&amp;"␟"&amp;IFERROR(INDEX(PASTE_ALL,$DF53,30)&amp;"","")&amp;"␟"&amp;IFERROR(INDEX(PASTE_ALL,$DF53,31)&amp;"","")&amp;"␟"&amp;IFERROR(INDEX(PASTE_ALL,$DF53,32)&amp;"","")&amp;"␟"&amp;IFERROR(INDEX(PASTE_ALL,$DF53,33)&amp;"","")&amp;"␟"&amp;IFERROR(INDEX(PASTE_ALL,$DF53,34)&amp;"","")&amp;"␟"&amp;IFERROR(INDEX(PASTE_ALL,$DF53,35)&amp;"","")&amp;"␟"&amp;IFERROR(INDEX(PASTE_ALL,$DF53,36)&amp;"","")&amp;"␟"&amp;IFERROR(INDEX(PASTE_ALL,$DF53,37)&amp;"","")&amp;"␟"&amp;IFERROR(INDEX(PASTE_ALL,$DF53,38)&amp;"","")&amp;"␟"&amp;IFERROR(INDEX(PASTE_ALL,$DF53,39)&amp;"","")&amp;"␟"&amp;IFERROR(INDEX(PASTE_ALL,$DF53,40)&amp;"","")&amp;"␟"&amp;IFERROR(INDEX(PASTE_ALL,$DF53,41)&amp;"","")&amp;"␟"&amp;IFERROR(INDEX(PASTE_ALL,$DF53,42)&amp;"","")&amp;"␟"&amp;IFERROR(INDEX(PASTE_ALL,$DF53,43)&amp;"","")&amp;"␟"&amp;IFERROR(INDEX(PASTE_ALL,$DF53,44)&amp;"","")&amp;"␟"&amp;IFERROR(INDEX(PASTE_ALL,$DF53,45)&amp;"","")&amp;"␟"&amp;IFERROR(INDEX(PASTE_ALL,$DF53,46)&amp;"","")&amp;"␟"&amp;IFERROR(INDEX(PASTE_ALL,$DF53,47)&amp;"","")&amp;"␟"&amp;IFERROR(INDEX(PASTE_ALL,$DF53,48)&amp;"","")&amp;"␟"&amp;IFERROR(INDEX(PASTE_ALL,$DF53,49)&amp;"","")&amp;"␟"&amp;IFERROR(INDEX(PASTE_ALL,$DF53,50)&amp;"","")&amp;"␟"&amp;IFERROR(INDEX(PASTE_ALL,$DF53,51)&amp;"","")&amp;"␟"&amp;IFERROR(INDEX(PASTE_ALL,$DF53,52)&amp;"","")&amp;"␟"&amp;IFERROR(INDEX(PASTE_ALL,$DF53,53)&amp;"","")&amp;"␟"&amp;IFERROR(INDEX(PASTE_ALL,$DF53,54)&amp;"","")&amp;"␟"&amp;IFERROR(INDEX(PASTE_ALL,$DF53,55)&amp;"","")&amp;"␟"&amp;IFERROR(INDEX(PASTE_ALL,$DF53,56)&amp;"","")&amp;"␟"&amp;IFERROR(INDEX(PASTE_ALL,$DF53,57)&amp;"","")&amp;"␟"&amp;IFERROR(INDEX(PASTE_ALL,$DF53,58)&amp;"","")&amp;"␟"&amp;IFERROR(INDEX(PASTE_ALL,$DF53,59)&amp;"","")&amp;"␟"&amp;IFERROR(INDEX(PASTE_ALL,$DF53,60)&amp;"","")," "," "),CHAR(9)," "),CHAR(10)," "),CHAR(13)," "))," ␟","␟"),"␟ ","␟"),"#"&amp;$DE53),"")</f>
        <v/>
      </c>
      <c r="DJ53">
        <f>IF($DI53="",0,IF(SUMPRODUCT(--EXACT($DI$4:DI52,$DI53))&gt;0,1,0))</f>
        <v/>
      </c>
      <c r="DK53">
        <f>IF(AND($DI53&lt;&gt;"",$DJ53=0),1,0)</f>
        <v/>
      </c>
      <c r="DL53">
        <f>DL52+$DK53</f>
        <v/>
      </c>
      <c r="DM53">
        <f>IF(AND($DK53=1,$DL53&lt;=600),1,0)</f>
        <v/>
      </c>
      <c r="DN53">
        <f>IF($DM53=0,"",IF($L$6=0,"",IFERROR(IF(ISNUMBER(INDEX(PASTE_ALL,$DF53,$L$6)),INDEX(PASTE_ALL,$DF53,$L$6),TRIM(SUBSTITUTE(SUBSTITUTE(SUBSTITUTE(SUBSTITUTE(INDEX(PASTE_ALL,$DF53,$L$6)," "," "),CHAR(9)," "),CHAR(10)," "),CHAR(13)," "))),"")))</f>
        <v/>
      </c>
      <c r="DO53">
        <f>IF($DM53=0,"",IF($L$7=0,"",IFERROR(IF(ISNUMBER(INDEX(PASTE_ALL,$DF53,$L$7)),INDEX(PASTE_ALL,$DF53,$L$7),TRIM(SUBSTITUTE(SUBSTITUTE(SUBSTITUTE(SUBSTITUTE(INDEX(PASTE_ALL,$DF53,$L$7)," "," "),CHAR(9)," "),CHAR(10)," "),CHAR(13)," "))),"")))</f>
        <v/>
      </c>
      <c r="DP53">
        <f>IF($DM53=0,"",IF($L$8=0,"",IFERROR(IF(ISNUMBER(INDEX(PASTE_ALL,$DF53,$L$8)),INDEX(PASTE_ALL,$DF53,$L$8),TRIM(SUBSTITUTE(SUBSTITUTE(SUBSTITUTE(SUBSTITUTE(INDEX(PASTE_ALL,$DF53,$L$8)," "," "),CHAR(9)," "),CHAR(10)," "),CHAR(13)," "))),"")))</f>
        <v/>
      </c>
      <c r="DQ53">
        <f>IF($DM53=0,"",IF($L$9=0,"",IFERROR(IF(ISNUMBER(INDEX(PASTE_ALL,$DF53,$L$9)),INDEX(PASTE_ALL,$DF53,$L$9),TRIM(SUBSTITUTE(SUBSTITUTE(SUBSTITUTE(SUBSTITUTE(INDEX(PASTE_ALL,$DF53,$L$9)," "," "),CHAR(9)," "),CHAR(10)," "),CHAR(13)," "))),"")))</f>
        <v/>
      </c>
      <c r="DR53">
        <f>IF($DM53=0,"",IF($L$10=0,"",IFERROR(IF(ISNUMBER(INDEX(PASTE_ALL,$DF53,$L$10)),INDEX(PASTE_ALL,$DF53,$L$10),TRIM(SUBSTITUTE(SUBSTITUTE(SUBSTITUTE(SUBSTITUTE(INDEX(PASTE_ALL,$DF53,$L$10)," "," "),CHAR(9)," "),CHAR(10)," "),CHAR(13)," "))),"")))</f>
        <v/>
      </c>
      <c r="DS53">
        <f>IF($DM53=0,"",IF($L$11=0,"",IFERROR(IF(ISNUMBER(INDEX(PASTE_ALL,$DF53,$L$11)),INDEX(PASTE_ALL,$DF53,$L$11),TRIM(SUBSTITUTE(SUBSTITUTE(SUBSTITUTE(SUBSTITUTE(INDEX(PASTE_ALL,$DF53,$L$11)," "," "),CHAR(9)," "),CHAR(10)," "),CHAR(13)," "))),"")))</f>
        <v/>
      </c>
      <c r="DT53">
        <f>IF($DM53=0,"",IF($L$12=0,"",IFERROR(IF(ISNUMBER(INDEX(PASTE_ALL,$DF53,$L$12)),INDEX(PASTE_ALL,$DF53,$L$12),TRIM(SUBSTITUTE(SUBSTITUTE(SUBSTITUTE(SUBSTITUTE(INDEX(PASTE_ALL,$DF53,$L$12)," "," "),CHAR(9)," "),CHAR(10)," "),CHAR(13)," "))),"")))</f>
        <v/>
      </c>
      <c r="DU53">
        <f>IF($DM53=0,"",IF($L$13=0,"",IFERROR(IF(ISNUMBER(INDEX(PASTE_ALL,$DF53,$L$13)),INDEX(PASTE_ALL,$DF53,$L$13),TRIM(SUBSTITUTE(SUBSTITUTE(SUBSTITUTE(SUBSTITUTE(INDEX(PASTE_ALL,$DF53,$L$13)," "," "),CHAR(9)," "),CHAR(10)," "),CHAR(13)," "))),"")))</f>
        <v/>
      </c>
      <c r="DV53">
        <f>IF($DM53=0,"",IF($L$14=0,"",IFERROR(IF(ISNUMBER(INDEX(PASTE_ALL,$DF53,$L$14)),INDEX(PASTE_ALL,$DF53,$L$14),TRIM(SUBSTITUTE(SUBSTITUTE(SUBSTITUTE(SUBSTITUTE(INDEX(PASTE_ALL,$DF53,$L$14)," "," "),CHAR(9)," "),CHAR(10)," "),CHAR(13)," "))),"")))</f>
        <v/>
      </c>
      <c r="DW53">
        <f>IF($DM53=0,"",IF($L$15=0,"",IFERROR(IF(ISNUMBER(INDEX(PASTE_ALL,$DF53,$L$15)),INDEX(PASTE_ALL,$DF53,$L$15),IF(SUMPRODUCT(--ISNUMBER(FIND({"A","B","C","D","E","F","G","H","I","J","K","L","M","N","O","P","Q","R","S","T","U","V","W","X","Y","Z","0","1","2","3","4","5","6","7","8","9"},UPPER(TRIM(SUBSTITUTE(SUBSTITUTE(SUBSTITUTE(SUBSTITUTE(INDEX(PASTE_ALL,$DF53,$L$15)," "," "),CHAR(9)," "),CHAR(10)," "),CHAR(13)," "))))))&gt;0,TRIM(SUBSTITUTE(SUBSTITUTE(SUBSTITUTE(SUBSTITUTE(INDEX(PASTE_ALL,$DF53,$L$15)," "," "),CHAR(9)," "),CHAR(10)," "),CHAR(13)," ")),"")),"")))</f>
        <v/>
      </c>
      <c r="DX53">
        <f>IF($DM53=0,"",IF($L$16=0,"",IFERROR(IF(ISNUMBER(INDEX(PASTE_ALL,$DF53,$L$16)),INDEX(PASTE_ALL,$DF53,$L$16),SUBSTITUTE(SUBSTITUTE(TRIM(SUBSTITUTE(SUBSTITUTE(SUBSTITUTE(SUBSTITUTE(INDEX(PASTE_ALL,$DF53,$L$16)," "," "),CHAR(9)," "),CHAR(10)," "),CHAR(13)," ")),",",""),"%","")),"")))</f>
        <v/>
      </c>
      <c r="DY53">
        <f>IF($DM53=0,"",IFERROR(IF(ISNUMBER($DX53),$DX53,IF($DX53="","",IF(TRIM($DX53)="",0,IF(AND(AND(SUBSTITUTE(SUBSTITUTE(SUBSTITUTE(SUBSTITUTE(SUBSTITUTE(SUBSTITUTE(SUBSTITUTE(SUBSTITUTE(SUBSTITUTE(SUBSTITUTE(SUBSTITUTE(SUBSTITUTE(SUBSTITUTE(SUBSTITUTE(UPPER(TRIM($DX53)),"0",""),"1",""),"2",""),"3",""),"4",""),"5",""),"6",""),"7",""),"8",""),"9",""),".",""),"+",""),"-",""),"E","")="",LEN(SUBSTITUTE(SUBSTITUTE(MID(UPPER(TRIM($DX53)),1+OR(LEFT(UPPER(TRIM($DX53)),1)="+",LEFT(UPPER(TRIM($DX53)),1)="-"),999),"E+","E"),"E-","E"))=LEN(SUBSTITUTE(SUBSTITUTE(SUBSTITUTE(SUBSTITUTE(MID(UPPER(TRIM($DX53)),1+OR(LEFT(UPPER(TRIM($DX53)),1)="+",LEFT(UPPER(TRIM($DX53)),1)="-"),999),"E+","E"),"E-","E"),"+",""),"-","")),LEN(UPPER(TRIM($DX53)))-LEN(SUBSTITUTE(UPPER(TRIM($DX53)),"E",""))&lt;2,LEN(UPPER(TRIM($DX53)))-LEN(SUBSTITUTE(UPPER(TRIM($DX53)),".",""))&lt;2,IFERROR(FIND(".",UPPER(TRIM($DX53))),0)&lt;IFERROR(FIND("E",UPPER(TRIM($DX53))),999)),ISNUMBER(VALUE(TRIM($DX53)))),VALUE(TRIM($DX53)),"")))),""))</f>
        <v/>
      </c>
      <c r="DZ53">
        <f>IF($DM53=0,"",IF($L$17=0,"",IFERROR(IF(ISNUMBER(INDEX(PASTE_ALL,$DF53,$L$17)),INDEX(PASTE_ALL,$DF53,$L$17),SUBSTITUTE(SUBSTITUTE(TRIM(SUBSTITUTE(SUBSTITUTE(SUBSTITUTE(SUBSTITUTE(INDEX(PASTE_ALL,$DF53,$L$17)," "," "),CHAR(9)," "),CHAR(10)," "),CHAR(13)," ")),",",""),"%","")),"")))</f>
        <v/>
      </c>
      <c r="EA53">
        <f>IF($DM53=0,"",IFERROR(IF(ISNUMBER($DZ53),$DZ53,IF($DZ53="","",IF(TRIM($DZ53)="",0,IF(AND(AND(SUBSTITUTE(SUBSTITUTE(SUBSTITUTE(SUBSTITUTE(SUBSTITUTE(SUBSTITUTE(SUBSTITUTE(SUBSTITUTE(SUBSTITUTE(SUBSTITUTE(SUBSTITUTE(SUBSTITUTE(SUBSTITUTE(SUBSTITUTE(UPPER(TRIM($DZ53)),"0",""),"1",""),"2",""),"3",""),"4",""),"5",""),"6",""),"7",""),"8",""),"9",""),".",""),"+",""),"-",""),"E","")="",LEN(SUBSTITUTE(SUBSTITUTE(MID(UPPER(TRIM($DZ53)),1+OR(LEFT(UPPER(TRIM($DZ53)),1)="+",LEFT(UPPER(TRIM($DZ53)),1)="-"),999),"E+","E"),"E-","E"))=LEN(SUBSTITUTE(SUBSTITUTE(SUBSTITUTE(SUBSTITUTE(MID(UPPER(TRIM($DZ53)),1+OR(LEFT(UPPER(TRIM($DZ53)),1)="+",LEFT(UPPER(TRIM($DZ53)),1)="-"),999),"E+","E"),"E-","E"),"+",""),"-","")),LEN(UPPER(TRIM($DZ53)))-LEN(SUBSTITUTE(UPPER(TRIM($DZ53)),"E",""))&lt;2,LEN(UPPER(TRIM($DZ53)))-LEN(SUBSTITUTE(UPPER(TRIM($DZ53)),".",""))&lt;2,IFERROR(FIND(".",UPPER(TRIM($DZ53))),0)&lt;IFERROR(FIND("E",UPPER(TRIM($DZ53))),999)),ISNUMBER(VALUE(TRIM($DZ53)))),VALUE(TRIM($DZ53)),"")))),""))</f>
        <v/>
      </c>
      <c r="EB53">
        <f>IF($DM53=0,"",IF($L$18=0,"",IFERROR(IF(UPPER(TRIM(SUBSTITUTE(SUBSTITUTE(SUBSTITUTE(SUBSTITUTE(INDEX(PASTE_ALL,$DF53,$L$18)," "," "),CHAR(9)," "),CHAR(10)," "),CHAR(13)," ")))="READY","Ready",IF(UPPER(TRIM(SUBSTITUTE(SUBSTITUTE(SUBSTITUTE(SUBSTITUTE(INDEX(PASTE_ALL,$DF53,$L$18)," "," "),CHAR(9)," "),CHAR(10)," "),CHAR(13)," ")))="PM","PM",IF(OR(UPPER(TRIM(SUBSTITUTE(SUBSTITUTE(SUBSTITUTE(SUBSTITUTE(INDEX(PASTE_ALL,$DF53,$L$18)," "," "),CHAR(9)," "),CHAR(10)," "),CHAR(13)," ")))="OT",UPPER(TRIM(SUBSTITUTE(SUBSTITUTE(SUBSTITUTE(SUBSTITUTE(INDEX(PASTE_ALL,$DF53,$L$18)," "," "),CHAR(9)," "),CHAR(10)," "),CHAR(13)," ")))="OVERTIME",UPPER(TRIM(SUBSTITUTE(SUBSTITUTE(SUBSTITUTE(SUBSTITUTE(INDEX(PASTE_ALL,$DF53,$L$18)," "," "),CHAR(9)," "),CHAR(10)," "),CHAR(13)," ")))="TRIAL"),"OT",TRIM(SUBSTITUTE(SUBSTITUTE(SUBSTITUTE(SUBSTITUTE(INDEX(PASTE_ALL,$DF53,$L$18)," "," "),CHAR(9)," "),CHAR(10)," "),CHAR(13)," "))))),"")))</f>
        <v/>
      </c>
      <c r="EC53">
        <f>IF($DM53=0,"",IF($L$19=0,"",IFERROR(IF(ISNUMBER(INDEX(PASTE_ALL,$DF53,$L$19)),INDEX(PASTE_ALL,$DF53,$L$19),TRIM(SUBSTITUTE(SUBSTITUTE(SUBSTITUTE(SUBSTITUTE(INDEX(PASTE_ALL,$DF53,$L$19)," "," "),CHAR(9)," "),CHAR(10)," "),CHAR(13)," "))),"")))</f>
        <v/>
      </c>
      <c r="ED53">
        <f>IF($DM53=0,"",MATCH(1,INDEX(EXACT($DH$5:DH53,$DH53)*$DM$5:DM53,0),0))</f>
        <v/>
      </c>
      <c r="EE53">
        <f>IF($DM53=0,0,IF($ED53=$DE53,1,0))</f>
        <v/>
      </c>
      <c r="EF53">
        <f>EF52+$EE53</f>
        <v/>
      </c>
      <c r="EG53">
        <f>IF($DM53=0,"",INDEX($EF$5:$EF$1003,$ED53))</f>
        <v/>
      </c>
      <c r="EH53">
        <f>IF($DM53=0,"",IF($DO53&lt;&gt;"","",IFERROR(LOOKUP(2,1/(($EG$4:EG52=$EG53)*($DO$4:DO52&lt;&gt;"")),$DO$4:DO52),"")))</f>
        <v/>
      </c>
      <c r="EI53">
        <f>IF($DM53=0,"",IF($DO53&lt;&gt;"",$DO53,$EH53))</f>
        <v/>
      </c>
      <c r="EJ53">
        <f>IF($DM53=0,"",IF($EI53="",0,IF(OR(ISNUMBER($EI53),AND(AND(SUBSTITUTE(SUBSTITUTE(SUBSTITUTE(SUBSTITUTE(SUBSTITUTE(SUBSTITUTE(SUBSTITUTE(SUBSTITUTE(SUBSTITUTE(SUBSTITUTE(SUBSTITUTE(SUBSTITUTE(SUBSTITUTE(SUBSTITUTE(UPPER($EI53),"0",""),"1",""),"2",""),"3",""),"4",""),"5",""),"6",""),"7",""),"8",""),"9",""),".",""),"+",""),"-",""),"E","")="",LEN(SUBSTITUTE(SUBSTITUTE(MID(UPPER($EI53),1+OR(LEFT(UPPER($EI53),1)="+",LEFT(UPPER($EI53),1)="-"),999),"E+","E"),"E-","E"))=LEN(SUBSTITUTE(SUBSTITUTE(SUBSTITUTE(SUBSTITUTE(MID(UPPER($EI53),1+OR(LEFT(UPPER($EI53),1)="+",LEFT(UPPER($EI53),1)="-"),999),"E+","E"),"E-","E"),"+",""),"-","")),LEN(UPPER($EI53))-LEN(SUBSTITUTE(UPPER($EI53),"E",""))&lt;2,LEN(UPPER($EI53))-LEN(SUBSTITUTE(UPPER($EI53),".",""))&lt;2,IFERROR(FIND(".",UPPER($EI53)),0)&lt;IFERROR(FIND("E",UPPER($EI53)),999)),ISNUMBER(VALUE($EI53)))),1,2)))</f>
        <v/>
      </c>
      <c r="EK53">
        <f>IF($DM53=0,"",IF($EJ53=1,IF(ISNUMBER($EI53),$EI53,VALUE($EI53)),IF($EJ53=2,$DE53,0)))</f>
        <v/>
      </c>
      <c r="EL53">
        <f>IF($DM53=0,"",COUNTIF($EG$5:$EG$1003,"&lt;"&amp;$EG53)+SUMPRODUCT(($EG$5:$EG$1003=$EG53)*(($EJ$5:$EJ$1003&lt;$EJ53)+($EJ$5:$EJ$1003=$EJ53)*(($EK$5:$EK$1003&lt;$EK53)+($EK$5:$EK$1003=$EK53)*($DE$5:$DE$1003&lt;$DE53))))+1)</f>
        <v/>
      </c>
      <c r="EM53">
        <f>IF($DM53=0,"",$EL53+$EG53-1)</f>
        <v/>
      </c>
      <c r="EN53">
        <f>IF($DM53=0,0,IFERROR(MATCH(1,INDEX(--(TRIM(SUBSTITUTE(SUBSTITUTE(SUBSTITUTE(SUBSTITUTE(LINES_NAME&amp;""," "," "),CHAR(9)," "),CHAR(10)," "),CHAR(13)," "))=$DH53),0),0),0))</f>
        <v/>
      </c>
      <c r="EO53">
        <f>IF($EN53=0,0,IF(OR(UPPER(TRIM(INDEX(LINES_SCHEDULED,$EN53)&amp;""))="YES",UPPER(TRIM(INDEX(LINES_SCHEDULED,$EN53)&amp;""))="Y",UPPER(TRIM(INDEX(LINES_SCHEDULED,$EN53)&amp;""))="X"),1,0))</f>
        <v/>
      </c>
      <c r="EP53">
        <f>IF($DM53=0,"",IF(COUNTIFS($EG$5:$EG$1003,$EG53,$EB$5:$EB$1003,"Ready")&gt;0,"READY",IF(COUNTIFS($EG$5:$EG$1003,$EG53,$EB$5:$EB$1003,"PM")&gt;0,"PM",IF(COUNTIFS($EG$5:$EG$1003,$EG53,$EB$5:$EB$1003,"OT")&gt;0,"OT",""))))</f>
        <v/>
      </c>
      <c r="EQ53">
        <f>IF($EN53=0,"",UPPER(TRIM(INDEX(LINES_STATUS,$EN53)&amp;"")))</f>
        <v/>
      </c>
      <c r="ER53">
        <f>IF($DM53=0,"",IF(OR($EQ53="READY",$EQ53="PM",$EQ53="OT"),$EQ53,$EP53))</f>
        <v/>
      </c>
      <c r="ES53">
        <f>IF($DM53=0,"",IF(AND($DV53&lt;&gt;"",UPPER($DV53)&lt;&gt;"N"),"allergen",IF(ISNUMBER(SEARCH("oil",$DQ53)),"oil",IF(OR(EXACT($DS53,"A662"),EXACT($DS53,"A624")),"bulk",""))))</f>
        <v/>
      </c>
      <c r="ET53">
        <f>IF($DM53=0,"",IF(OR($EA53="",$EA53=0),"",$EA53/100))</f>
        <v/>
      </c>
      <c r="EU53">
        <f>IF(OR($ET53="",$DY53=""),"",INT($DY53*(1-$ET53)+0.5))</f>
        <v/>
      </c>
      <c r="EW53" t="n">
        <v>49</v>
      </c>
      <c r="EX53">
        <f>IFERROR(MATCH($EW53,$EM$5:$EM$1003,0),0)</f>
        <v/>
      </c>
      <c r="EY53">
        <f>IF($EW53&gt;$B$12,"",IF($EX53&gt;0,"row","spacer"))</f>
        <v/>
      </c>
      <c r="EZ53">
        <f>IF(AND($EY53="row",$EY52&lt;&gt;"row"),1,0)</f>
        <v/>
      </c>
      <c r="FA53">
        <f>IF(AND($EY53="row",$EY54&lt;&gt;"row"),1,0)</f>
        <v/>
      </c>
      <c r="FB53">
        <f>IF($EZ53=1,IFERROR(IF(ISNUMBER(INDEX(PASTE_ALL,INDEX($DF$5:$DF$1003,$EX53),$B$37)),INDEX(PASTE_ALL,INDEX($DF$5:$DF$1003,$EX53),$B$37),INDEX($DH$5:$DH$1003,$EX53)),INDEX($DH$5:$DH$1003,$EX53)),"")</f>
        <v/>
      </c>
      <c r="FC53">
        <f>IF($EY53="row",INDEX($ER$5:$ER$1003,$EX53),"")</f>
        <v/>
      </c>
      <c r="FD53">
        <f>IF($EY53="row",INDEX($DN$5:$DN$1003,$EX53),"")</f>
        <v/>
      </c>
      <c r="FE53">
        <f>IF($EY53="row",INDEX($DO$5:$DO$1003,$EX53),"")</f>
        <v/>
      </c>
      <c r="FF53">
        <f>IF($EY53="row",INDEX($DP$5:$DP$1003,$EX53),"")</f>
        <v/>
      </c>
      <c r="FG53">
        <f>IF($EY53="row",INDEX($DQ$5:$DQ$1003,$EX53),"")</f>
        <v/>
      </c>
      <c r="FH53">
        <f>IF($EY53="row",INDEX($DR$5:$DR$1003,$EX53),"")</f>
        <v/>
      </c>
      <c r="FI53">
        <f>IF($EY53="row",INDEX($DS$5:$DS$1003,$EX53),"")</f>
        <v/>
      </c>
      <c r="FJ53">
        <f>IF($EY53="row",INDEX($DT$5:$DT$1003,$EX53),"")</f>
        <v/>
      </c>
      <c r="FK53">
        <f>IF($EY53="row",INDEX($DU$5:$DU$1003,$EX53),"")</f>
        <v/>
      </c>
      <c r="FL53">
        <f>IF($EY53="row",INDEX($DV$5:$DV$1003,$EX53),"")</f>
        <v/>
      </c>
      <c r="FM53">
        <f>IF($EY53="row",INDEX($DW$5:$DW$1003,$EX53),"")</f>
        <v/>
      </c>
      <c r="FN53">
        <f>IF($EY53="row",INDEX($DY$5:$DY$1003,$EX53),"")</f>
        <v/>
      </c>
      <c r="FO53">
        <f>IF($EY53="row",INDEX($EA$5:$EA$1003,$EX53),"")</f>
        <v/>
      </c>
      <c r="FP53">
        <f>IF($EY53="row",INDEX($EC$5:$EC$1003,$EX53),"")</f>
        <v/>
      </c>
      <c r="FQ53">
        <f>IF($EY53="row",INDEX($ET$5:$ET$1003,$EX53),"")</f>
        <v/>
      </c>
      <c r="FR53">
        <f>IF($EY53="row",INDEX($EU$5:$EU$1003,$EX53),"")</f>
        <v/>
      </c>
      <c r="FS53">
        <f>IF(AND($EY53="row",$EY52="row"),IF(OR(INDEX($DT$5:$DT$1003,$EX52)="",INDEX($DT$5:$DT$1003,$EX53)=""),"",IF(NOT(EXACT(INDEX($DT$5:$DT$1003,$EX52),INDEX($DT$5:$DT$1003,$EX53))),"S4",IF(NOT(EXACT(INDEX($DS$5:$DS$1003,$EX52),INDEX($DS$5:$DS$1003,$EX53))),"S3",IF(NOT(EXACT(INDEX($DR$5:$DR$1003,$EX52),INDEX($DR$5:$DR$1003,$EX53))),"S1 Count Change","S1")))),"")</f>
        <v/>
      </c>
      <c r="FT53">
        <f>IF($EY53="row",INDEX($ES$5:$ES$1003,$EX53),"")</f>
        <v/>
      </c>
      <c r="FU53">
        <f>IF($EY53="row",INDEX($EO$5:$EO$1003,$EX53),0)</f>
        <v/>
      </c>
      <c r="FV53">
        <f>IF($FS53="S1 Count Change",1,0)</f>
        <v/>
      </c>
      <c r="FX53" t="n">
        <v>49</v>
      </c>
      <c r="FY53">
        <f>IFERROR(MATCH($FX53,$EF$5:$EF$1003,0),0)</f>
        <v/>
      </c>
      <c r="FZ53">
        <f>IF($FY53=0,"",INDEX($DH$5:$DH$1003,$FY53))</f>
        <v/>
      </c>
      <c r="GA53">
        <f>IF($FY53=0,"",COUNTIF($EG$5:$EG$1003,$FX53))</f>
        <v/>
      </c>
      <c r="GB53">
        <f>IF($FY53=0,"",INDEX($ER$5:$ER$1003,$FY53))</f>
        <v/>
      </c>
      <c r="GC53">
        <f>IF($FY53=0,"",IF(INDEX($EO$5:$EO$1003,$FY53)=1,"Yes",""))</f>
        <v/>
      </c>
      <c r="GD53">
        <f>IF($FY53=0,"",IF(INDEX($EN$5:$EN$1003,$FY53)&gt;0,"","NOT IN YOUR LIST - type it in column A to tick it"))</f>
        <v/>
      </c>
      <c r="GE53">
        <f>IF(AND($FY53&gt;0,$GD53&lt;&gt;""),1,0)</f>
        <v/>
      </c>
      <c r="GF53">
        <f>GF52+$GE53</f>
        <v/>
      </c>
      <c r="GG53">
        <f>IFERROR(INDEX($FZ$5:$FZ$104,MATCH($FX53,$GF$5:$GF$104,0)),"")</f>
        <v/>
      </c>
    </row>
    <row r="54">
      <c r="S54" t="n">
        <v>50</v>
      </c>
      <c r="T54" t="inlineStr">
        <is>
          <t>AX</t>
        </is>
      </c>
      <c r="V54" t="inlineStr">
        <is>
          <t>BTLSIZE</t>
        </is>
      </c>
      <c r="W54" t="n">
        <v>8</v>
      </c>
      <c r="Y54">
        <f>IFERROR(IF(ISNUMBER(INDEX(PASTE_ALL,5,1)),2,IF(TRIM(INDEX(PASTE_ALL,5,1))="",0,IF(AND(LEFT(MID(TRIM(INDEX(PASTE_ALL,5,1)),1+(LEFT(TRIM(INDEX(PASTE_ALL,5,1)),1)="-"),999),LEN(MID(TRIM(INDEX(PASTE_ALL,5,1)),1+(LEFT(TRIM(INDEX(PASTE_ALL,5,1)),1)="-"),999))-(RIGHT(MID(TRIM(INDEX(PASTE_ALL,5,1)),1+(LEFT(TRIM(INDEX(PASTE_ALL,5,1)),1)="-"),999),1)="%"))&lt;&gt;"",SUBSTITUTE(SUBSTITUTE(SUBSTITUTE(SUBSTITUTE(SUBSTITUTE(SUBSTITUTE(SUBSTITUTE(SUBSTITUTE(SUBSTITUTE(SUBSTITUTE(SUBSTITUTE(SUBSTITUTE(LEFT(MID(TRIM(INDEX(PASTE_ALL,5,1)),1+(LEFT(TRIM(INDEX(PASTE_ALL,5,1)),1)="-"),999),LEN(MID(TRIM(INDEX(PASTE_ALL,5,1)),1+(LEFT(TRIM(INDEX(PASTE_ALL,5,1)),1)="-"),999))-(RIGHT(MID(TRIM(INDEX(PASTE_ALL,5,1)),1+(LEFT(TRIM(INDEX(PASTE_ALL,5,1)),1)="-"),999),1)="%")),"0",""),"1",""),"2",""),"3",""),"4",""),"5",""),"6",""),"7",""),"8",""),"9",""),".",""),",","")=""),2,1))),1)</f>
        <v/>
      </c>
      <c r="Z54">
        <f>IFERROR(IF(ISNUMBER(INDEX(PASTE_ALL,5,2)),2,IF(TRIM(INDEX(PASTE_ALL,5,2))="",0,IF(AND(LEFT(MID(TRIM(INDEX(PASTE_ALL,5,2)),1+(LEFT(TRIM(INDEX(PASTE_ALL,5,2)),1)="-"),999),LEN(MID(TRIM(INDEX(PASTE_ALL,5,2)),1+(LEFT(TRIM(INDEX(PASTE_ALL,5,2)),1)="-"),999))-(RIGHT(MID(TRIM(INDEX(PASTE_ALL,5,2)),1+(LEFT(TRIM(INDEX(PASTE_ALL,5,2)),1)="-"),999),1)="%"))&lt;&gt;"",SUBSTITUTE(SUBSTITUTE(SUBSTITUTE(SUBSTITUTE(SUBSTITUTE(SUBSTITUTE(SUBSTITUTE(SUBSTITUTE(SUBSTITUTE(SUBSTITUTE(SUBSTITUTE(SUBSTITUTE(LEFT(MID(TRIM(INDEX(PASTE_ALL,5,2)),1+(LEFT(TRIM(INDEX(PASTE_ALL,5,2)),1)="-"),999),LEN(MID(TRIM(INDEX(PASTE_ALL,5,2)),1+(LEFT(TRIM(INDEX(PASTE_ALL,5,2)),1)="-"),999))-(RIGHT(MID(TRIM(INDEX(PASTE_ALL,5,2)),1+(LEFT(TRIM(INDEX(PASTE_ALL,5,2)),1)="-"),999),1)="%")),"0",""),"1",""),"2",""),"3",""),"4",""),"5",""),"6",""),"7",""),"8",""),"9",""),".",""),",","")=""),2,1))),1)</f>
        <v/>
      </c>
      <c r="AA54">
        <f>IFERROR(IF(ISNUMBER(INDEX(PASTE_ALL,5,3)),2,IF(TRIM(INDEX(PASTE_ALL,5,3))="",0,IF(AND(LEFT(MID(TRIM(INDEX(PASTE_ALL,5,3)),1+(LEFT(TRIM(INDEX(PASTE_ALL,5,3)),1)="-"),999),LEN(MID(TRIM(INDEX(PASTE_ALL,5,3)),1+(LEFT(TRIM(INDEX(PASTE_ALL,5,3)),1)="-"),999))-(RIGHT(MID(TRIM(INDEX(PASTE_ALL,5,3)),1+(LEFT(TRIM(INDEX(PASTE_ALL,5,3)),1)="-"),999),1)="%"))&lt;&gt;"",SUBSTITUTE(SUBSTITUTE(SUBSTITUTE(SUBSTITUTE(SUBSTITUTE(SUBSTITUTE(SUBSTITUTE(SUBSTITUTE(SUBSTITUTE(SUBSTITUTE(SUBSTITUTE(SUBSTITUTE(LEFT(MID(TRIM(INDEX(PASTE_ALL,5,3)),1+(LEFT(TRIM(INDEX(PASTE_ALL,5,3)),1)="-"),999),LEN(MID(TRIM(INDEX(PASTE_ALL,5,3)),1+(LEFT(TRIM(INDEX(PASTE_ALL,5,3)),1)="-"),999))-(RIGHT(MID(TRIM(INDEX(PASTE_ALL,5,3)),1+(LEFT(TRIM(INDEX(PASTE_ALL,5,3)),1)="-"),999),1)="%")),"0",""),"1",""),"2",""),"3",""),"4",""),"5",""),"6",""),"7",""),"8",""),"9",""),".",""),",","")=""),2,1))),1)</f>
        <v/>
      </c>
      <c r="AB54">
        <f>IFERROR(IF(ISNUMBER(INDEX(PASTE_ALL,5,4)),2,IF(TRIM(INDEX(PASTE_ALL,5,4))="",0,IF(AND(LEFT(MID(TRIM(INDEX(PASTE_ALL,5,4)),1+(LEFT(TRIM(INDEX(PASTE_ALL,5,4)),1)="-"),999),LEN(MID(TRIM(INDEX(PASTE_ALL,5,4)),1+(LEFT(TRIM(INDEX(PASTE_ALL,5,4)),1)="-"),999))-(RIGHT(MID(TRIM(INDEX(PASTE_ALL,5,4)),1+(LEFT(TRIM(INDEX(PASTE_ALL,5,4)),1)="-"),999),1)="%"))&lt;&gt;"",SUBSTITUTE(SUBSTITUTE(SUBSTITUTE(SUBSTITUTE(SUBSTITUTE(SUBSTITUTE(SUBSTITUTE(SUBSTITUTE(SUBSTITUTE(SUBSTITUTE(SUBSTITUTE(SUBSTITUTE(LEFT(MID(TRIM(INDEX(PASTE_ALL,5,4)),1+(LEFT(TRIM(INDEX(PASTE_ALL,5,4)),1)="-"),999),LEN(MID(TRIM(INDEX(PASTE_ALL,5,4)),1+(LEFT(TRIM(INDEX(PASTE_ALL,5,4)),1)="-"),999))-(RIGHT(MID(TRIM(INDEX(PASTE_ALL,5,4)),1+(LEFT(TRIM(INDEX(PASTE_ALL,5,4)),1)="-"),999),1)="%")),"0",""),"1",""),"2",""),"3",""),"4",""),"5",""),"6",""),"7",""),"8",""),"9",""),".",""),",","")=""),2,1))),1)</f>
        <v/>
      </c>
      <c r="AC54">
        <f>IFERROR(IF(ISNUMBER(INDEX(PASTE_ALL,5,5)),2,IF(TRIM(INDEX(PASTE_ALL,5,5))="",0,IF(AND(LEFT(MID(TRIM(INDEX(PASTE_ALL,5,5)),1+(LEFT(TRIM(INDEX(PASTE_ALL,5,5)),1)="-"),999),LEN(MID(TRIM(INDEX(PASTE_ALL,5,5)),1+(LEFT(TRIM(INDEX(PASTE_ALL,5,5)),1)="-"),999))-(RIGHT(MID(TRIM(INDEX(PASTE_ALL,5,5)),1+(LEFT(TRIM(INDEX(PASTE_ALL,5,5)),1)="-"),999),1)="%"))&lt;&gt;"",SUBSTITUTE(SUBSTITUTE(SUBSTITUTE(SUBSTITUTE(SUBSTITUTE(SUBSTITUTE(SUBSTITUTE(SUBSTITUTE(SUBSTITUTE(SUBSTITUTE(SUBSTITUTE(SUBSTITUTE(LEFT(MID(TRIM(INDEX(PASTE_ALL,5,5)),1+(LEFT(TRIM(INDEX(PASTE_ALL,5,5)),1)="-"),999),LEN(MID(TRIM(INDEX(PASTE_ALL,5,5)),1+(LEFT(TRIM(INDEX(PASTE_ALL,5,5)),1)="-"),999))-(RIGHT(MID(TRIM(INDEX(PASTE_ALL,5,5)),1+(LEFT(TRIM(INDEX(PASTE_ALL,5,5)),1)="-"),999),1)="%")),"0",""),"1",""),"2",""),"3",""),"4",""),"5",""),"6",""),"7",""),"8",""),"9",""),".",""),",","")=""),2,1))),1)</f>
        <v/>
      </c>
      <c r="AD54">
        <f>IFERROR(IF(ISNUMBER(INDEX(PASTE_ALL,5,6)),2,IF(TRIM(INDEX(PASTE_ALL,5,6))="",0,IF(AND(LEFT(MID(TRIM(INDEX(PASTE_ALL,5,6)),1+(LEFT(TRIM(INDEX(PASTE_ALL,5,6)),1)="-"),999),LEN(MID(TRIM(INDEX(PASTE_ALL,5,6)),1+(LEFT(TRIM(INDEX(PASTE_ALL,5,6)),1)="-"),999))-(RIGHT(MID(TRIM(INDEX(PASTE_ALL,5,6)),1+(LEFT(TRIM(INDEX(PASTE_ALL,5,6)),1)="-"),999),1)="%"))&lt;&gt;"",SUBSTITUTE(SUBSTITUTE(SUBSTITUTE(SUBSTITUTE(SUBSTITUTE(SUBSTITUTE(SUBSTITUTE(SUBSTITUTE(SUBSTITUTE(SUBSTITUTE(SUBSTITUTE(SUBSTITUTE(LEFT(MID(TRIM(INDEX(PASTE_ALL,5,6)),1+(LEFT(TRIM(INDEX(PASTE_ALL,5,6)),1)="-"),999),LEN(MID(TRIM(INDEX(PASTE_ALL,5,6)),1+(LEFT(TRIM(INDEX(PASTE_ALL,5,6)),1)="-"),999))-(RIGHT(MID(TRIM(INDEX(PASTE_ALL,5,6)),1+(LEFT(TRIM(INDEX(PASTE_ALL,5,6)),1)="-"),999),1)="%")),"0",""),"1",""),"2",""),"3",""),"4",""),"5",""),"6",""),"7",""),"8",""),"9",""),".",""),",","")=""),2,1))),1)</f>
        <v/>
      </c>
      <c r="AE54">
        <f>IFERROR(IF(ISNUMBER(INDEX(PASTE_ALL,5,7)),2,IF(TRIM(INDEX(PASTE_ALL,5,7))="",0,IF(AND(LEFT(MID(TRIM(INDEX(PASTE_ALL,5,7)),1+(LEFT(TRIM(INDEX(PASTE_ALL,5,7)),1)="-"),999),LEN(MID(TRIM(INDEX(PASTE_ALL,5,7)),1+(LEFT(TRIM(INDEX(PASTE_ALL,5,7)),1)="-"),999))-(RIGHT(MID(TRIM(INDEX(PASTE_ALL,5,7)),1+(LEFT(TRIM(INDEX(PASTE_ALL,5,7)),1)="-"),999),1)="%"))&lt;&gt;"",SUBSTITUTE(SUBSTITUTE(SUBSTITUTE(SUBSTITUTE(SUBSTITUTE(SUBSTITUTE(SUBSTITUTE(SUBSTITUTE(SUBSTITUTE(SUBSTITUTE(SUBSTITUTE(SUBSTITUTE(LEFT(MID(TRIM(INDEX(PASTE_ALL,5,7)),1+(LEFT(TRIM(INDEX(PASTE_ALL,5,7)),1)="-"),999),LEN(MID(TRIM(INDEX(PASTE_ALL,5,7)),1+(LEFT(TRIM(INDEX(PASTE_ALL,5,7)),1)="-"),999))-(RIGHT(MID(TRIM(INDEX(PASTE_ALL,5,7)),1+(LEFT(TRIM(INDEX(PASTE_ALL,5,7)),1)="-"),999),1)="%")),"0",""),"1",""),"2",""),"3",""),"4",""),"5",""),"6",""),"7",""),"8",""),"9",""),".",""),",","")=""),2,1))),1)</f>
        <v/>
      </c>
      <c r="AF54">
        <f>IFERROR(IF(ISNUMBER(INDEX(PASTE_ALL,5,8)),2,IF(TRIM(INDEX(PASTE_ALL,5,8))="",0,IF(AND(LEFT(MID(TRIM(INDEX(PASTE_ALL,5,8)),1+(LEFT(TRIM(INDEX(PASTE_ALL,5,8)),1)="-"),999),LEN(MID(TRIM(INDEX(PASTE_ALL,5,8)),1+(LEFT(TRIM(INDEX(PASTE_ALL,5,8)),1)="-"),999))-(RIGHT(MID(TRIM(INDEX(PASTE_ALL,5,8)),1+(LEFT(TRIM(INDEX(PASTE_ALL,5,8)),1)="-"),999),1)="%"))&lt;&gt;"",SUBSTITUTE(SUBSTITUTE(SUBSTITUTE(SUBSTITUTE(SUBSTITUTE(SUBSTITUTE(SUBSTITUTE(SUBSTITUTE(SUBSTITUTE(SUBSTITUTE(SUBSTITUTE(SUBSTITUTE(LEFT(MID(TRIM(INDEX(PASTE_ALL,5,8)),1+(LEFT(TRIM(INDEX(PASTE_ALL,5,8)),1)="-"),999),LEN(MID(TRIM(INDEX(PASTE_ALL,5,8)),1+(LEFT(TRIM(INDEX(PASTE_ALL,5,8)),1)="-"),999))-(RIGHT(MID(TRIM(INDEX(PASTE_ALL,5,8)),1+(LEFT(TRIM(INDEX(PASTE_ALL,5,8)),1)="-"),999),1)="%")),"0",""),"1",""),"2",""),"3",""),"4",""),"5",""),"6",""),"7",""),"8",""),"9",""),".",""),",","")=""),2,1))),1)</f>
        <v/>
      </c>
      <c r="AG54">
        <f>IFERROR(IF(ISNUMBER(INDEX(PASTE_ALL,5,9)),2,IF(TRIM(INDEX(PASTE_ALL,5,9))="",0,IF(AND(LEFT(MID(TRIM(INDEX(PASTE_ALL,5,9)),1+(LEFT(TRIM(INDEX(PASTE_ALL,5,9)),1)="-"),999),LEN(MID(TRIM(INDEX(PASTE_ALL,5,9)),1+(LEFT(TRIM(INDEX(PASTE_ALL,5,9)),1)="-"),999))-(RIGHT(MID(TRIM(INDEX(PASTE_ALL,5,9)),1+(LEFT(TRIM(INDEX(PASTE_ALL,5,9)),1)="-"),999),1)="%"))&lt;&gt;"",SUBSTITUTE(SUBSTITUTE(SUBSTITUTE(SUBSTITUTE(SUBSTITUTE(SUBSTITUTE(SUBSTITUTE(SUBSTITUTE(SUBSTITUTE(SUBSTITUTE(SUBSTITUTE(SUBSTITUTE(LEFT(MID(TRIM(INDEX(PASTE_ALL,5,9)),1+(LEFT(TRIM(INDEX(PASTE_ALL,5,9)),1)="-"),999),LEN(MID(TRIM(INDEX(PASTE_ALL,5,9)),1+(LEFT(TRIM(INDEX(PASTE_ALL,5,9)),1)="-"),999))-(RIGHT(MID(TRIM(INDEX(PASTE_ALL,5,9)),1+(LEFT(TRIM(INDEX(PASTE_ALL,5,9)),1)="-"),999),1)="%")),"0",""),"1",""),"2",""),"3",""),"4",""),"5",""),"6",""),"7",""),"8",""),"9",""),".",""),",","")=""),2,1))),1)</f>
        <v/>
      </c>
      <c r="AH54">
        <f>IFERROR(IF(ISNUMBER(INDEX(PASTE_ALL,5,10)),2,IF(TRIM(INDEX(PASTE_ALL,5,10))="",0,IF(AND(LEFT(MID(TRIM(INDEX(PASTE_ALL,5,10)),1+(LEFT(TRIM(INDEX(PASTE_ALL,5,10)),1)="-"),999),LEN(MID(TRIM(INDEX(PASTE_ALL,5,10)),1+(LEFT(TRIM(INDEX(PASTE_ALL,5,10)),1)="-"),999))-(RIGHT(MID(TRIM(INDEX(PASTE_ALL,5,10)),1+(LEFT(TRIM(INDEX(PASTE_ALL,5,10)),1)="-"),999),1)="%"))&lt;&gt;"",SUBSTITUTE(SUBSTITUTE(SUBSTITUTE(SUBSTITUTE(SUBSTITUTE(SUBSTITUTE(SUBSTITUTE(SUBSTITUTE(SUBSTITUTE(SUBSTITUTE(SUBSTITUTE(SUBSTITUTE(LEFT(MID(TRIM(INDEX(PASTE_ALL,5,10)),1+(LEFT(TRIM(INDEX(PASTE_ALL,5,10)),1)="-"),999),LEN(MID(TRIM(INDEX(PASTE_ALL,5,10)),1+(LEFT(TRIM(INDEX(PASTE_ALL,5,10)),1)="-"),999))-(RIGHT(MID(TRIM(INDEX(PASTE_ALL,5,10)),1+(LEFT(TRIM(INDEX(PASTE_ALL,5,10)),1)="-"),999),1)="%")),"0",""),"1",""),"2",""),"3",""),"4",""),"5",""),"6",""),"7",""),"8",""),"9",""),".",""),",","")=""),2,1))),1)</f>
        <v/>
      </c>
      <c r="AI54">
        <f>IFERROR(IF(ISNUMBER(INDEX(PASTE_ALL,5,11)),2,IF(TRIM(INDEX(PASTE_ALL,5,11))="",0,IF(AND(LEFT(MID(TRIM(INDEX(PASTE_ALL,5,11)),1+(LEFT(TRIM(INDEX(PASTE_ALL,5,11)),1)="-"),999),LEN(MID(TRIM(INDEX(PASTE_ALL,5,11)),1+(LEFT(TRIM(INDEX(PASTE_ALL,5,11)),1)="-"),999))-(RIGHT(MID(TRIM(INDEX(PASTE_ALL,5,11)),1+(LEFT(TRIM(INDEX(PASTE_ALL,5,11)),1)="-"),999),1)="%"))&lt;&gt;"",SUBSTITUTE(SUBSTITUTE(SUBSTITUTE(SUBSTITUTE(SUBSTITUTE(SUBSTITUTE(SUBSTITUTE(SUBSTITUTE(SUBSTITUTE(SUBSTITUTE(SUBSTITUTE(SUBSTITUTE(LEFT(MID(TRIM(INDEX(PASTE_ALL,5,11)),1+(LEFT(TRIM(INDEX(PASTE_ALL,5,11)),1)="-"),999),LEN(MID(TRIM(INDEX(PASTE_ALL,5,11)),1+(LEFT(TRIM(INDEX(PASTE_ALL,5,11)),1)="-"),999))-(RIGHT(MID(TRIM(INDEX(PASTE_ALL,5,11)),1+(LEFT(TRIM(INDEX(PASTE_ALL,5,11)),1)="-"),999),1)="%")),"0",""),"1",""),"2",""),"3",""),"4",""),"5",""),"6",""),"7",""),"8",""),"9",""),".",""),",","")=""),2,1))),1)</f>
        <v/>
      </c>
      <c r="AJ54">
        <f>IFERROR(IF(ISNUMBER(INDEX(PASTE_ALL,5,12)),2,IF(TRIM(INDEX(PASTE_ALL,5,12))="",0,IF(AND(LEFT(MID(TRIM(INDEX(PASTE_ALL,5,12)),1+(LEFT(TRIM(INDEX(PASTE_ALL,5,12)),1)="-"),999),LEN(MID(TRIM(INDEX(PASTE_ALL,5,12)),1+(LEFT(TRIM(INDEX(PASTE_ALL,5,12)),1)="-"),999))-(RIGHT(MID(TRIM(INDEX(PASTE_ALL,5,12)),1+(LEFT(TRIM(INDEX(PASTE_ALL,5,12)),1)="-"),999),1)="%"))&lt;&gt;"",SUBSTITUTE(SUBSTITUTE(SUBSTITUTE(SUBSTITUTE(SUBSTITUTE(SUBSTITUTE(SUBSTITUTE(SUBSTITUTE(SUBSTITUTE(SUBSTITUTE(SUBSTITUTE(SUBSTITUTE(LEFT(MID(TRIM(INDEX(PASTE_ALL,5,12)),1+(LEFT(TRIM(INDEX(PASTE_ALL,5,12)),1)="-"),999),LEN(MID(TRIM(INDEX(PASTE_ALL,5,12)),1+(LEFT(TRIM(INDEX(PASTE_ALL,5,12)),1)="-"),999))-(RIGHT(MID(TRIM(INDEX(PASTE_ALL,5,12)),1+(LEFT(TRIM(INDEX(PASTE_ALL,5,12)),1)="-"),999),1)="%")),"0",""),"1",""),"2",""),"3",""),"4",""),"5",""),"6",""),"7",""),"8",""),"9",""),".",""),",","")=""),2,1))),1)</f>
        <v/>
      </c>
      <c r="AK54">
        <f>IFERROR(IF(ISNUMBER(INDEX(PASTE_ALL,5,13)),2,IF(TRIM(INDEX(PASTE_ALL,5,13))="",0,IF(AND(LEFT(MID(TRIM(INDEX(PASTE_ALL,5,13)),1+(LEFT(TRIM(INDEX(PASTE_ALL,5,13)),1)="-"),999),LEN(MID(TRIM(INDEX(PASTE_ALL,5,13)),1+(LEFT(TRIM(INDEX(PASTE_ALL,5,13)),1)="-"),999))-(RIGHT(MID(TRIM(INDEX(PASTE_ALL,5,13)),1+(LEFT(TRIM(INDEX(PASTE_ALL,5,13)),1)="-"),999),1)="%"))&lt;&gt;"",SUBSTITUTE(SUBSTITUTE(SUBSTITUTE(SUBSTITUTE(SUBSTITUTE(SUBSTITUTE(SUBSTITUTE(SUBSTITUTE(SUBSTITUTE(SUBSTITUTE(SUBSTITUTE(SUBSTITUTE(LEFT(MID(TRIM(INDEX(PASTE_ALL,5,13)),1+(LEFT(TRIM(INDEX(PASTE_ALL,5,13)),1)="-"),999),LEN(MID(TRIM(INDEX(PASTE_ALL,5,13)),1+(LEFT(TRIM(INDEX(PASTE_ALL,5,13)),1)="-"),999))-(RIGHT(MID(TRIM(INDEX(PASTE_ALL,5,13)),1+(LEFT(TRIM(INDEX(PASTE_ALL,5,13)),1)="-"),999),1)="%")),"0",""),"1",""),"2",""),"3",""),"4",""),"5",""),"6",""),"7",""),"8",""),"9",""),".",""),",","")=""),2,1))),1)</f>
        <v/>
      </c>
      <c r="AL54">
        <f>IFERROR(IF(ISNUMBER(INDEX(PASTE_ALL,5,14)),2,IF(TRIM(INDEX(PASTE_ALL,5,14))="",0,IF(AND(LEFT(MID(TRIM(INDEX(PASTE_ALL,5,14)),1+(LEFT(TRIM(INDEX(PASTE_ALL,5,14)),1)="-"),999),LEN(MID(TRIM(INDEX(PASTE_ALL,5,14)),1+(LEFT(TRIM(INDEX(PASTE_ALL,5,14)),1)="-"),999))-(RIGHT(MID(TRIM(INDEX(PASTE_ALL,5,14)),1+(LEFT(TRIM(INDEX(PASTE_ALL,5,14)),1)="-"),999),1)="%"))&lt;&gt;"",SUBSTITUTE(SUBSTITUTE(SUBSTITUTE(SUBSTITUTE(SUBSTITUTE(SUBSTITUTE(SUBSTITUTE(SUBSTITUTE(SUBSTITUTE(SUBSTITUTE(SUBSTITUTE(SUBSTITUTE(LEFT(MID(TRIM(INDEX(PASTE_ALL,5,14)),1+(LEFT(TRIM(INDEX(PASTE_ALL,5,14)),1)="-"),999),LEN(MID(TRIM(INDEX(PASTE_ALL,5,14)),1+(LEFT(TRIM(INDEX(PASTE_ALL,5,14)),1)="-"),999))-(RIGHT(MID(TRIM(INDEX(PASTE_ALL,5,14)),1+(LEFT(TRIM(INDEX(PASTE_ALL,5,14)),1)="-"),999),1)="%")),"0",""),"1",""),"2",""),"3",""),"4",""),"5",""),"6",""),"7",""),"8",""),"9",""),".",""),",","")=""),2,1))),1)</f>
        <v/>
      </c>
      <c r="AM54">
        <f>IFERROR(IF(ISNUMBER(INDEX(PASTE_ALL,5,15)),2,IF(TRIM(INDEX(PASTE_ALL,5,15))="",0,IF(AND(LEFT(MID(TRIM(INDEX(PASTE_ALL,5,15)),1+(LEFT(TRIM(INDEX(PASTE_ALL,5,15)),1)="-"),999),LEN(MID(TRIM(INDEX(PASTE_ALL,5,15)),1+(LEFT(TRIM(INDEX(PASTE_ALL,5,15)),1)="-"),999))-(RIGHT(MID(TRIM(INDEX(PASTE_ALL,5,15)),1+(LEFT(TRIM(INDEX(PASTE_ALL,5,15)),1)="-"),999),1)="%"))&lt;&gt;"",SUBSTITUTE(SUBSTITUTE(SUBSTITUTE(SUBSTITUTE(SUBSTITUTE(SUBSTITUTE(SUBSTITUTE(SUBSTITUTE(SUBSTITUTE(SUBSTITUTE(SUBSTITUTE(SUBSTITUTE(LEFT(MID(TRIM(INDEX(PASTE_ALL,5,15)),1+(LEFT(TRIM(INDEX(PASTE_ALL,5,15)),1)="-"),999),LEN(MID(TRIM(INDEX(PASTE_ALL,5,15)),1+(LEFT(TRIM(INDEX(PASTE_ALL,5,15)),1)="-"),999))-(RIGHT(MID(TRIM(INDEX(PASTE_ALL,5,15)),1+(LEFT(TRIM(INDEX(PASTE_ALL,5,15)),1)="-"),999),1)="%")),"0",""),"1",""),"2",""),"3",""),"4",""),"5",""),"6",""),"7",""),"8",""),"9",""),".",""),",","")=""),2,1))),1)</f>
        <v/>
      </c>
      <c r="AN54">
        <f>IFERROR(IF(ISNUMBER(INDEX(PASTE_ALL,5,16)),2,IF(TRIM(INDEX(PASTE_ALL,5,16))="",0,IF(AND(LEFT(MID(TRIM(INDEX(PASTE_ALL,5,16)),1+(LEFT(TRIM(INDEX(PASTE_ALL,5,16)),1)="-"),999),LEN(MID(TRIM(INDEX(PASTE_ALL,5,16)),1+(LEFT(TRIM(INDEX(PASTE_ALL,5,16)),1)="-"),999))-(RIGHT(MID(TRIM(INDEX(PASTE_ALL,5,16)),1+(LEFT(TRIM(INDEX(PASTE_ALL,5,16)),1)="-"),999),1)="%"))&lt;&gt;"",SUBSTITUTE(SUBSTITUTE(SUBSTITUTE(SUBSTITUTE(SUBSTITUTE(SUBSTITUTE(SUBSTITUTE(SUBSTITUTE(SUBSTITUTE(SUBSTITUTE(SUBSTITUTE(SUBSTITUTE(LEFT(MID(TRIM(INDEX(PASTE_ALL,5,16)),1+(LEFT(TRIM(INDEX(PASTE_ALL,5,16)),1)="-"),999),LEN(MID(TRIM(INDEX(PASTE_ALL,5,16)),1+(LEFT(TRIM(INDEX(PASTE_ALL,5,16)),1)="-"),999))-(RIGHT(MID(TRIM(INDEX(PASTE_ALL,5,16)),1+(LEFT(TRIM(INDEX(PASTE_ALL,5,16)),1)="-"),999),1)="%")),"0",""),"1",""),"2",""),"3",""),"4",""),"5",""),"6",""),"7",""),"8",""),"9",""),".",""),",","")=""),2,1))),1)</f>
        <v/>
      </c>
      <c r="AO54">
        <f>IFERROR(IF(ISNUMBER(INDEX(PASTE_ALL,5,17)),2,IF(TRIM(INDEX(PASTE_ALL,5,17))="",0,IF(AND(LEFT(MID(TRIM(INDEX(PASTE_ALL,5,17)),1+(LEFT(TRIM(INDEX(PASTE_ALL,5,17)),1)="-"),999),LEN(MID(TRIM(INDEX(PASTE_ALL,5,17)),1+(LEFT(TRIM(INDEX(PASTE_ALL,5,17)),1)="-"),999))-(RIGHT(MID(TRIM(INDEX(PASTE_ALL,5,17)),1+(LEFT(TRIM(INDEX(PASTE_ALL,5,17)),1)="-"),999),1)="%"))&lt;&gt;"",SUBSTITUTE(SUBSTITUTE(SUBSTITUTE(SUBSTITUTE(SUBSTITUTE(SUBSTITUTE(SUBSTITUTE(SUBSTITUTE(SUBSTITUTE(SUBSTITUTE(SUBSTITUTE(SUBSTITUTE(LEFT(MID(TRIM(INDEX(PASTE_ALL,5,17)),1+(LEFT(TRIM(INDEX(PASTE_ALL,5,17)),1)="-"),999),LEN(MID(TRIM(INDEX(PASTE_ALL,5,17)),1+(LEFT(TRIM(INDEX(PASTE_ALL,5,17)),1)="-"),999))-(RIGHT(MID(TRIM(INDEX(PASTE_ALL,5,17)),1+(LEFT(TRIM(INDEX(PASTE_ALL,5,17)),1)="-"),999),1)="%")),"0",""),"1",""),"2",""),"3",""),"4",""),"5",""),"6",""),"7",""),"8",""),"9",""),".",""),",","")=""),2,1))),1)</f>
        <v/>
      </c>
      <c r="AP54">
        <f>IFERROR(IF(ISNUMBER(INDEX(PASTE_ALL,5,18)),2,IF(TRIM(INDEX(PASTE_ALL,5,18))="",0,IF(AND(LEFT(MID(TRIM(INDEX(PASTE_ALL,5,18)),1+(LEFT(TRIM(INDEX(PASTE_ALL,5,18)),1)="-"),999),LEN(MID(TRIM(INDEX(PASTE_ALL,5,18)),1+(LEFT(TRIM(INDEX(PASTE_ALL,5,18)),1)="-"),999))-(RIGHT(MID(TRIM(INDEX(PASTE_ALL,5,18)),1+(LEFT(TRIM(INDEX(PASTE_ALL,5,18)),1)="-"),999),1)="%"))&lt;&gt;"",SUBSTITUTE(SUBSTITUTE(SUBSTITUTE(SUBSTITUTE(SUBSTITUTE(SUBSTITUTE(SUBSTITUTE(SUBSTITUTE(SUBSTITUTE(SUBSTITUTE(SUBSTITUTE(SUBSTITUTE(LEFT(MID(TRIM(INDEX(PASTE_ALL,5,18)),1+(LEFT(TRIM(INDEX(PASTE_ALL,5,18)),1)="-"),999),LEN(MID(TRIM(INDEX(PASTE_ALL,5,18)),1+(LEFT(TRIM(INDEX(PASTE_ALL,5,18)),1)="-"),999))-(RIGHT(MID(TRIM(INDEX(PASTE_ALL,5,18)),1+(LEFT(TRIM(INDEX(PASTE_ALL,5,18)),1)="-"),999),1)="%")),"0",""),"1",""),"2",""),"3",""),"4",""),"5",""),"6",""),"7",""),"8",""),"9",""),".",""),",","")=""),2,1))),1)</f>
        <v/>
      </c>
      <c r="AQ54">
        <f>IFERROR(IF(ISNUMBER(INDEX(PASTE_ALL,5,19)),2,IF(TRIM(INDEX(PASTE_ALL,5,19))="",0,IF(AND(LEFT(MID(TRIM(INDEX(PASTE_ALL,5,19)),1+(LEFT(TRIM(INDEX(PASTE_ALL,5,19)),1)="-"),999),LEN(MID(TRIM(INDEX(PASTE_ALL,5,19)),1+(LEFT(TRIM(INDEX(PASTE_ALL,5,19)),1)="-"),999))-(RIGHT(MID(TRIM(INDEX(PASTE_ALL,5,19)),1+(LEFT(TRIM(INDEX(PASTE_ALL,5,19)),1)="-"),999),1)="%"))&lt;&gt;"",SUBSTITUTE(SUBSTITUTE(SUBSTITUTE(SUBSTITUTE(SUBSTITUTE(SUBSTITUTE(SUBSTITUTE(SUBSTITUTE(SUBSTITUTE(SUBSTITUTE(SUBSTITUTE(SUBSTITUTE(LEFT(MID(TRIM(INDEX(PASTE_ALL,5,19)),1+(LEFT(TRIM(INDEX(PASTE_ALL,5,19)),1)="-"),999),LEN(MID(TRIM(INDEX(PASTE_ALL,5,19)),1+(LEFT(TRIM(INDEX(PASTE_ALL,5,19)),1)="-"),999))-(RIGHT(MID(TRIM(INDEX(PASTE_ALL,5,19)),1+(LEFT(TRIM(INDEX(PASTE_ALL,5,19)),1)="-"),999),1)="%")),"0",""),"1",""),"2",""),"3",""),"4",""),"5",""),"6",""),"7",""),"8",""),"9",""),".",""),",","")=""),2,1))),1)</f>
        <v/>
      </c>
      <c r="AR54">
        <f>IFERROR(IF(ISNUMBER(INDEX(PASTE_ALL,5,20)),2,IF(TRIM(INDEX(PASTE_ALL,5,20))="",0,IF(AND(LEFT(MID(TRIM(INDEX(PASTE_ALL,5,20)),1+(LEFT(TRIM(INDEX(PASTE_ALL,5,20)),1)="-"),999),LEN(MID(TRIM(INDEX(PASTE_ALL,5,20)),1+(LEFT(TRIM(INDEX(PASTE_ALL,5,20)),1)="-"),999))-(RIGHT(MID(TRIM(INDEX(PASTE_ALL,5,20)),1+(LEFT(TRIM(INDEX(PASTE_ALL,5,20)),1)="-"),999),1)="%"))&lt;&gt;"",SUBSTITUTE(SUBSTITUTE(SUBSTITUTE(SUBSTITUTE(SUBSTITUTE(SUBSTITUTE(SUBSTITUTE(SUBSTITUTE(SUBSTITUTE(SUBSTITUTE(SUBSTITUTE(SUBSTITUTE(LEFT(MID(TRIM(INDEX(PASTE_ALL,5,20)),1+(LEFT(TRIM(INDEX(PASTE_ALL,5,20)),1)="-"),999),LEN(MID(TRIM(INDEX(PASTE_ALL,5,20)),1+(LEFT(TRIM(INDEX(PASTE_ALL,5,20)),1)="-"),999))-(RIGHT(MID(TRIM(INDEX(PASTE_ALL,5,20)),1+(LEFT(TRIM(INDEX(PASTE_ALL,5,20)),1)="-"),999),1)="%")),"0",""),"1",""),"2",""),"3",""),"4",""),"5",""),"6",""),"7",""),"8",""),"9",""),".",""),",","")=""),2,1))),1)</f>
        <v/>
      </c>
      <c r="AS54">
        <f>IFERROR(IF(ISNUMBER(INDEX(PASTE_ALL,5,21)),2,IF(TRIM(INDEX(PASTE_ALL,5,21))="",0,IF(AND(LEFT(MID(TRIM(INDEX(PASTE_ALL,5,21)),1+(LEFT(TRIM(INDEX(PASTE_ALL,5,21)),1)="-"),999),LEN(MID(TRIM(INDEX(PASTE_ALL,5,21)),1+(LEFT(TRIM(INDEX(PASTE_ALL,5,21)),1)="-"),999))-(RIGHT(MID(TRIM(INDEX(PASTE_ALL,5,21)),1+(LEFT(TRIM(INDEX(PASTE_ALL,5,21)),1)="-"),999),1)="%"))&lt;&gt;"",SUBSTITUTE(SUBSTITUTE(SUBSTITUTE(SUBSTITUTE(SUBSTITUTE(SUBSTITUTE(SUBSTITUTE(SUBSTITUTE(SUBSTITUTE(SUBSTITUTE(SUBSTITUTE(SUBSTITUTE(LEFT(MID(TRIM(INDEX(PASTE_ALL,5,21)),1+(LEFT(TRIM(INDEX(PASTE_ALL,5,21)),1)="-"),999),LEN(MID(TRIM(INDEX(PASTE_ALL,5,21)),1+(LEFT(TRIM(INDEX(PASTE_ALL,5,21)),1)="-"),999))-(RIGHT(MID(TRIM(INDEX(PASTE_ALL,5,21)),1+(LEFT(TRIM(INDEX(PASTE_ALL,5,21)),1)="-"),999),1)="%")),"0",""),"1",""),"2",""),"3",""),"4",""),"5",""),"6",""),"7",""),"8",""),"9",""),".",""),",","")=""),2,1))),1)</f>
        <v/>
      </c>
      <c r="AT54">
        <f>IFERROR(IF(ISNUMBER(INDEX(PASTE_ALL,5,22)),2,IF(TRIM(INDEX(PASTE_ALL,5,22))="",0,IF(AND(LEFT(MID(TRIM(INDEX(PASTE_ALL,5,22)),1+(LEFT(TRIM(INDEX(PASTE_ALL,5,22)),1)="-"),999),LEN(MID(TRIM(INDEX(PASTE_ALL,5,22)),1+(LEFT(TRIM(INDEX(PASTE_ALL,5,22)),1)="-"),999))-(RIGHT(MID(TRIM(INDEX(PASTE_ALL,5,22)),1+(LEFT(TRIM(INDEX(PASTE_ALL,5,22)),1)="-"),999),1)="%"))&lt;&gt;"",SUBSTITUTE(SUBSTITUTE(SUBSTITUTE(SUBSTITUTE(SUBSTITUTE(SUBSTITUTE(SUBSTITUTE(SUBSTITUTE(SUBSTITUTE(SUBSTITUTE(SUBSTITUTE(SUBSTITUTE(LEFT(MID(TRIM(INDEX(PASTE_ALL,5,22)),1+(LEFT(TRIM(INDEX(PASTE_ALL,5,22)),1)="-"),999),LEN(MID(TRIM(INDEX(PASTE_ALL,5,22)),1+(LEFT(TRIM(INDEX(PASTE_ALL,5,22)),1)="-"),999))-(RIGHT(MID(TRIM(INDEX(PASTE_ALL,5,22)),1+(LEFT(TRIM(INDEX(PASTE_ALL,5,22)),1)="-"),999),1)="%")),"0",""),"1",""),"2",""),"3",""),"4",""),"5",""),"6",""),"7",""),"8",""),"9",""),".",""),",","")=""),2,1))),1)</f>
        <v/>
      </c>
      <c r="AU54">
        <f>IFERROR(IF(ISNUMBER(INDEX(PASTE_ALL,5,23)),2,IF(TRIM(INDEX(PASTE_ALL,5,23))="",0,IF(AND(LEFT(MID(TRIM(INDEX(PASTE_ALL,5,23)),1+(LEFT(TRIM(INDEX(PASTE_ALL,5,23)),1)="-"),999),LEN(MID(TRIM(INDEX(PASTE_ALL,5,23)),1+(LEFT(TRIM(INDEX(PASTE_ALL,5,23)),1)="-"),999))-(RIGHT(MID(TRIM(INDEX(PASTE_ALL,5,23)),1+(LEFT(TRIM(INDEX(PASTE_ALL,5,23)),1)="-"),999),1)="%"))&lt;&gt;"",SUBSTITUTE(SUBSTITUTE(SUBSTITUTE(SUBSTITUTE(SUBSTITUTE(SUBSTITUTE(SUBSTITUTE(SUBSTITUTE(SUBSTITUTE(SUBSTITUTE(SUBSTITUTE(SUBSTITUTE(LEFT(MID(TRIM(INDEX(PASTE_ALL,5,23)),1+(LEFT(TRIM(INDEX(PASTE_ALL,5,23)),1)="-"),999),LEN(MID(TRIM(INDEX(PASTE_ALL,5,23)),1+(LEFT(TRIM(INDEX(PASTE_ALL,5,23)),1)="-"),999))-(RIGHT(MID(TRIM(INDEX(PASTE_ALL,5,23)),1+(LEFT(TRIM(INDEX(PASTE_ALL,5,23)),1)="-"),999),1)="%")),"0",""),"1",""),"2",""),"3",""),"4",""),"5",""),"6",""),"7",""),"8",""),"9",""),".",""),",","")=""),2,1))),1)</f>
        <v/>
      </c>
      <c r="AV54">
        <f>IFERROR(IF(ISNUMBER(INDEX(PASTE_ALL,5,24)),2,IF(TRIM(INDEX(PASTE_ALL,5,24))="",0,IF(AND(LEFT(MID(TRIM(INDEX(PASTE_ALL,5,24)),1+(LEFT(TRIM(INDEX(PASTE_ALL,5,24)),1)="-"),999),LEN(MID(TRIM(INDEX(PASTE_ALL,5,24)),1+(LEFT(TRIM(INDEX(PASTE_ALL,5,24)),1)="-"),999))-(RIGHT(MID(TRIM(INDEX(PASTE_ALL,5,24)),1+(LEFT(TRIM(INDEX(PASTE_ALL,5,24)),1)="-"),999),1)="%"))&lt;&gt;"",SUBSTITUTE(SUBSTITUTE(SUBSTITUTE(SUBSTITUTE(SUBSTITUTE(SUBSTITUTE(SUBSTITUTE(SUBSTITUTE(SUBSTITUTE(SUBSTITUTE(SUBSTITUTE(SUBSTITUTE(LEFT(MID(TRIM(INDEX(PASTE_ALL,5,24)),1+(LEFT(TRIM(INDEX(PASTE_ALL,5,24)),1)="-"),999),LEN(MID(TRIM(INDEX(PASTE_ALL,5,24)),1+(LEFT(TRIM(INDEX(PASTE_ALL,5,24)),1)="-"),999))-(RIGHT(MID(TRIM(INDEX(PASTE_ALL,5,24)),1+(LEFT(TRIM(INDEX(PASTE_ALL,5,24)),1)="-"),999),1)="%")),"0",""),"1",""),"2",""),"3",""),"4",""),"5",""),"6",""),"7",""),"8",""),"9",""),".",""),",","")=""),2,1))),1)</f>
        <v/>
      </c>
      <c r="AW54">
        <f>IFERROR(IF(ISNUMBER(INDEX(PASTE_ALL,5,25)),2,IF(TRIM(INDEX(PASTE_ALL,5,25))="",0,IF(AND(LEFT(MID(TRIM(INDEX(PASTE_ALL,5,25)),1+(LEFT(TRIM(INDEX(PASTE_ALL,5,25)),1)="-"),999),LEN(MID(TRIM(INDEX(PASTE_ALL,5,25)),1+(LEFT(TRIM(INDEX(PASTE_ALL,5,25)),1)="-"),999))-(RIGHT(MID(TRIM(INDEX(PASTE_ALL,5,25)),1+(LEFT(TRIM(INDEX(PASTE_ALL,5,25)),1)="-"),999),1)="%"))&lt;&gt;"",SUBSTITUTE(SUBSTITUTE(SUBSTITUTE(SUBSTITUTE(SUBSTITUTE(SUBSTITUTE(SUBSTITUTE(SUBSTITUTE(SUBSTITUTE(SUBSTITUTE(SUBSTITUTE(SUBSTITUTE(LEFT(MID(TRIM(INDEX(PASTE_ALL,5,25)),1+(LEFT(TRIM(INDEX(PASTE_ALL,5,25)),1)="-"),999),LEN(MID(TRIM(INDEX(PASTE_ALL,5,25)),1+(LEFT(TRIM(INDEX(PASTE_ALL,5,25)),1)="-"),999))-(RIGHT(MID(TRIM(INDEX(PASTE_ALL,5,25)),1+(LEFT(TRIM(INDEX(PASTE_ALL,5,25)),1)="-"),999),1)="%")),"0",""),"1",""),"2",""),"3",""),"4",""),"5",""),"6",""),"7",""),"8",""),"9",""),".",""),",","")=""),2,1))),1)</f>
        <v/>
      </c>
      <c r="AX54">
        <f>IFERROR(IF(ISNUMBER(INDEX(PASTE_ALL,5,26)),2,IF(TRIM(INDEX(PASTE_ALL,5,26))="",0,IF(AND(LEFT(MID(TRIM(INDEX(PASTE_ALL,5,26)),1+(LEFT(TRIM(INDEX(PASTE_ALL,5,26)),1)="-"),999),LEN(MID(TRIM(INDEX(PASTE_ALL,5,26)),1+(LEFT(TRIM(INDEX(PASTE_ALL,5,26)),1)="-"),999))-(RIGHT(MID(TRIM(INDEX(PASTE_ALL,5,26)),1+(LEFT(TRIM(INDEX(PASTE_ALL,5,26)),1)="-"),999),1)="%"))&lt;&gt;"",SUBSTITUTE(SUBSTITUTE(SUBSTITUTE(SUBSTITUTE(SUBSTITUTE(SUBSTITUTE(SUBSTITUTE(SUBSTITUTE(SUBSTITUTE(SUBSTITUTE(SUBSTITUTE(SUBSTITUTE(LEFT(MID(TRIM(INDEX(PASTE_ALL,5,26)),1+(LEFT(TRIM(INDEX(PASTE_ALL,5,26)),1)="-"),999),LEN(MID(TRIM(INDEX(PASTE_ALL,5,26)),1+(LEFT(TRIM(INDEX(PASTE_ALL,5,26)),1)="-"),999))-(RIGHT(MID(TRIM(INDEX(PASTE_ALL,5,26)),1+(LEFT(TRIM(INDEX(PASTE_ALL,5,26)),1)="-"),999),1)="%")),"0",""),"1",""),"2",""),"3",""),"4",""),"5",""),"6",""),"7",""),"8",""),"9",""),".",""),",","")=""),2,1))),1)</f>
        <v/>
      </c>
      <c r="AY54">
        <f>IFERROR(IF(ISNUMBER(INDEX(PASTE_ALL,5,27)),2,IF(TRIM(INDEX(PASTE_ALL,5,27))="",0,IF(AND(LEFT(MID(TRIM(INDEX(PASTE_ALL,5,27)),1+(LEFT(TRIM(INDEX(PASTE_ALL,5,27)),1)="-"),999),LEN(MID(TRIM(INDEX(PASTE_ALL,5,27)),1+(LEFT(TRIM(INDEX(PASTE_ALL,5,27)),1)="-"),999))-(RIGHT(MID(TRIM(INDEX(PASTE_ALL,5,27)),1+(LEFT(TRIM(INDEX(PASTE_ALL,5,27)),1)="-"),999),1)="%"))&lt;&gt;"",SUBSTITUTE(SUBSTITUTE(SUBSTITUTE(SUBSTITUTE(SUBSTITUTE(SUBSTITUTE(SUBSTITUTE(SUBSTITUTE(SUBSTITUTE(SUBSTITUTE(SUBSTITUTE(SUBSTITUTE(LEFT(MID(TRIM(INDEX(PASTE_ALL,5,27)),1+(LEFT(TRIM(INDEX(PASTE_ALL,5,27)),1)="-"),999),LEN(MID(TRIM(INDEX(PASTE_ALL,5,27)),1+(LEFT(TRIM(INDEX(PASTE_ALL,5,27)),1)="-"),999))-(RIGHT(MID(TRIM(INDEX(PASTE_ALL,5,27)),1+(LEFT(TRIM(INDEX(PASTE_ALL,5,27)),1)="-"),999),1)="%")),"0",""),"1",""),"2",""),"3",""),"4",""),"5",""),"6",""),"7",""),"8",""),"9",""),".",""),",","")=""),2,1))),1)</f>
        <v/>
      </c>
      <c r="AZ54">
        <f>IFERROR(IF(ISNUMBER(INDEX(PASTE_ALL,5,28)),2,IF(TRIM(INDEX(PASTE_ALL,5,28))="",0,IF(AND(LEFT(MID(TRIM(INDEX(PASTE_ALL,5,28)),1+(LEFT(TRIM(INDEX(PASTE_ALL,5,28)),1)="-"),999),LEN(MID(TRIM(INDEX(PASTE_ALL,5,28)),1+(LEFT(TRIM(INDEX(PASTE_ALL,5,28)),1)="-"),999))-(RIGHT(MID(TRIM(INDEX(PASTE_ALL,5,28)),1+(LEFT(TRIM(INDEX(PASTE_ALL,5,28)),1)="-"),999),1)="%"))&lt;&gt;"",SUBSTITUTE(SUBSTITUTE(SUBSTITUTE(SUBSTITUTE(SUBSTITUTE(SUBSTITUTE(SUBSTITUTE(SUBSTITUTE(SUBSTITUTE(SUBSTITUTE(SUBSTITUTE(SUBSTITUTE(LEFT(MID(TRIM(INDEX(PASTE_ALL,5,28)),1+(LEFT(TRIM(INDEX(PASTE_ALL,5,28)),1)="-"),999),LEN(MID(TRIM(INDEX(PASTE_ALL,5,28)),1+(LEFT(TRIM(INDEX(PASTE_ALL,5,28)),1)="-"),999))-(RIGHT(MID(TRIM(INDEX(PASTE_ALL,5,28)),1+(LEFT(TRIM(INDEX(PASTE_ALL,5,28)),1)="-"),999),1)="%")),"0",""),"1",""),"2",""),"3",""),"4",""),"5",""),"6",""),"7",""),"8",""),"9",""),".",""),",","")=""),2,1))),1)</f>
        <v/>
      </c>
      <c r="BA54">
        <f>IFERROR(IF(ISNUMBER(INDEX(PASTE_ALL,5,29)),2,IF(TRIM(INDEX(PASTE_ALL,5,29))="",0,IF(AND(LEFT(MID(TRIM(INDEX(PASTE_ALL,5,29)),1+(LEFT(TRIM(INDEX(PASTE_ALL,5,29)),1)="-"),999),LEN(MID(TRIM(INDEX(PASTE_ALL,5,29)),1+(LEFT(TRIM(INDEX(PASTE_ALL,5,29)),1)="-"),999))-(RIGHT(MID(TRIM(INDEX(PASTE_ALL,5,29)),1+(LEFT(TRIM(INDEX(PASTE_ALL,5,29)),1)="-"),999),1)="%"))&lt;&gt;"",SUBSTITUTE(SUBSTITUTE(SUBSTITUTE(SUBSTITUTE(SUBSTITUTE(SUBSTITUTE(SUBSTITUTE(SUBSTITUTE(SUBSTITUTE(SUBSTITUTE(SUBSTITUTE(SUBSTITUTE(LEFT(MID(TRIM(INDEX(PASTE_ALL,5,29)),1+(LEFT(TRIM(INDEX(PASTE_ALL,5,29)),1)="-"),999),LEN(MID(TRIM(INDEX(PASTE_ALL,5,29)),1+(LEFT(TRIM(INDEX(PASTE_ALL,5,29)),1)="-"),999))-(RIGHT(MID(TRIM(INDEX(PASTE_ALL,5,29)),1+(LEFT(TRIM(INDEX(PASTE_ALL,5,29)),1)="-"),999),1)="%")),"0",""),"1",""),"2",""),"3",""),"4",""),"5",""),"6",""),"7",""),"8",""),"9",""),".",""),",","")=""),2,1))),1)</f>
        <v/>
      </c>
      <c r="BB54">
        <f>IFERROR(IF(ISNUMBER(INDEX(PASTE_ALL,5,30)),2,IF(TRIM(INDEX(PASTE_ALL,5,30))="",0,IF(AND(LEFT(MID(TRIM(INDEX(PASTE_ALL,5,30)),1+(LEFT(TRIM(INDEX(PASTE_ALL,5,30)),1)="-"),999),LEN(MID(TRIM(INDEX(PASTE_ALL,5,30)),1+(LEFT(TRIM(INDEX(PASTE_ALL,5,30)),1)="-"),999))-(RIGHT(MID(TRIM(INDEX(PASTE_ALL,5,30)),1+(LEFT(TRIM(INDEX(PASTE_ALL,5,30)),1)="-"),999),1)="%"))&lt;&gt;"",SUBSTITUTE(SUBSTITUTE(SUBSTITUTE(SUBSTITUTE(SUBSTITUTE(SUBSTITUTE(SUBSTITUTE(SUBSTITUTE(SUBSTITUTE(SUBSTITUTE(SUBSTITUTE(SUBSTITUTE(LEFT(MID(TRIM(INDEX(PASTE_ALL,5,30)),1+(LEFT(TRIM(INDEX(PASTE_ALL,5,30)),1)="-"),999),LEN(MID(TRIM(INDEX(PASTE_ALL,5,30)),1+(LEFT(TRIM(INDEX(PASTE_ALL,5,30)),1)="-"),999))-(RIGHT(MID(TRIM(INDEX(PASTE_ALL,5,30)),1+(LEFT(TRIM(INDEX(PASTE_ALL,5,30)),1)="-"),999),1)="%")),"0",""),"1",""),"2",""),"3",""),"4",""),"5",""),"6",""),"7",""),"8",""),"9",""),".",""),",","")=""),2,1))),1)</f>
        <v/>
      </c>
      <c r="BC54">
        <f>IFERROR(IF(ISNUMBER(INDEX(PASTE_ALL,5,31)),2,IF(TRIM(INDEX(PASTE_ALL,5,31))="",0,IF(AND(LEFT(MID(TRIM(INDEX(PASTE_ALL,5,31)),1+(LEFT(TRIM(INDEX(PASTE_ALL,5,31)),1)="-"),999),LEN(MID(TRIM(INDEX(PASTE_ALL,5,31)),1+(LEFT(TRIM(INDEX(PASTE_ALL,5,31)),1)="-"),999))-(RIGHT(MID(TRIM(INDEX(PASTE_ALL,5,31)),1+(LEFT(TRIM(INDEX(PASTE_ALL,5,31)),1)="-"),999),1)="%"))&lt;&gt;"",SUBSTITUTE(SUBSTITUTE(SUBSTITUTE(SUBSTITUTE(SUBSTITUTE(SUBSTITUTE(SUBSTITUTE(SUBSTITUTE(SUBSTITUTE(SUBSTITUTE(SUBSTITUTE(SUBSTITUTE(LEFT(MID(TRIM(INDEX(PASTE_ALL,5,31)),1+(LEFT(TRIM(INDEX(PASTE_ALL,5,31)),1)="-"),999),LEN(MID(TRIM(INDEX(PASTE_ALL,5,31)),1+(LEFT(TRIM(INDEX(PASTE_ALL,5,31)),1)="-"),999))-(RIGHT(MID(TRIM(INDEX(PASTE_ALL,5,31)),1+(LEFT(TRIM(INDEX(PASTE_ALL,5,31)),1)="-"),999),1)="%")),"0",""),"1",""),"2",""),"3",""),"4",""),"5",""),"6",""),"7",""),"8",""),"9",""),".",""),",","")=""),2,1))),1)</f>
        <v/>
      </c>
      <c r="BD54">
        <f>IFERROR(IF(ISNUMBER(INDEX(PASTE_ALL,5,32)),2,IF(TRIM(INDEX(PASTE_ALL,5,32))="",0,IF(AND(LEFT(MID(TRIM(INDEX(PASTE_ALL,5,32)),1+(LEFT(TRIM(INDEX(PASTE_ALL,5,32)),1)="-"),999),LEN(MID(TRIM(INDEX(PASTE_ALL,5,32)),1+(LEFT(TRIM(INDEX(PASTE_ALL,5,32)),1)="-"),999))-(RIGHT(MID(TRIM(INDEX(PASTE_ALL,5,32)),1+(LEFT(TRIM(INDEX(PASTE_ALL,5,32)),1)="-"),999),1)="%"))&lt;&gt;"",SUBSTITUTE(SUBSTITUTE(SUBSTITUTE(SUBSTITUTE(SUBSTITUTE(SUBSTITUTE(SUBSTITUTE(SUBSTITUTE(SUBSTITUTE(SUBSTITUTE(SUBSTITUTE(SUBSTITUTE(LEFT(MID(TRIM(INDEX(PASTE_ALL,5,32)),1+(LEFT(TRIM(INDEX(PASTE_ALL,5,32)),1)="-"),999),LEN(MID(TRIM(INDEX(PASTE_ALL,5,32)),1+(LEFT(TRIM(INDEX(PASTE_ALL,5,32)),1)="-"),999))-(RIGHT(MID(TRIM(INDEX(PASTE_ALL,5,32)),1+(LEFT(TRIM(INDEX(PASTE_ALL,5,32)),1)="-"),999),1)="%")),"0",""),"1",""),"2",""),"3",""),"4",""),"5",""),"6",""),"7",""),"8",""),"9",""),".",""),",","")=""),2,1))),1)</f>
        <v/>
      </c>
      <c r="BE54">
        <f>IFERROR(IF(ISNUMBER(INDEX(PASTE_ALL,5,33)),2,IF(TRIM(INDEX(PASTE_ALL,5,33))="",0,IF(AND(LEFT(MID(TRIM(INDEX(PASTE_ALL,5,33)),1+(LEFT(TRIM(INDEX(PASTE_ALL,5,33)),1)="-"),999),LEN(MID(TRIM(INDEX(PASTE_ALL,5,33)),1+(LEFT(TRIM(INDEX(PASTE_ALL,5,33)),1)="-"),999))-(RIGHT(MID(TRIM(INDEX(PASTE_ALL,5,33)),1+(LEFT(TRIM(INDEX(PASTE_ALL,5,33)),1)="-"),999),1)="%"))&lt;&gt;"",SUBSTITUTE(SUBSTITUTE(SUBSTITUTE(SUBSTITUTE(SUBSTITUTE(SUBSTITUTE(SUBSTITUTE(SUBSTITUTE(SUBSTITUTE(SUBSTITUTE(SUBSTITUTE(SUBSTITUTE(LEFT(MID(TRIM(INDEX(PASTE_ALL,5,33)),1+(LEFT(TRIM(INDEX(PASTE_ALL,5,33)),1)="-"),999),LEN(MID(TRIM(INDEX(PASTE_ALL,5,33)),1+(LEFT(TRIM(INDEX(PASTE_ALL,5,33)),1)="-"),999))-(RIGHT(MID(TRIM(INDEX(PASTE_ALL,5,33)),1+(LEFT(TRIM(INDEX(PASTE_ALL,5,33)),1)="-"),999),1)="%")),"0",""),"1",""),"2",""),"3",""),"4",""),"5",""),"6",""),"7",""),"8",""),"9",""),".",""),",","")=""),2,1))),1)</f>
        <v/>
      </c>
      <c r="BF54">
        <f>IFERROR(IF(ISNUMBER(INDEX(PASTE_ALL,5,34)),2,IF(TRIM(INDEX(PASTE_ALL,5,34))="",0,IF(AND(LEFT(MID(TRIM(INDEX(PASTE_ALL,5,34)),1+(LEFT(TRIM(INDEX(PASTE_ALL,5,34)),1)="-"),999),LEN(MID(TRIM(INDEX(PASTE_ALL,5,34)),1+(LEFT(TRIM(INDEX(PASTE_ALL,5,34)),1)="-"),999))-(RIGHT(MID(TRIM(INDEX(PASTE_ALL,5,34)),1+(LEFT(TRIM(INDEX(PASTE_ALL,5,34)),1)="-"),999),1)="%"))&lt;&gt;"",SUBSTITUTE(SUBSTITUTE(SUBSTITUTE(SUBSTITUTE(SUBSTITUTE(SUBSTITUTE(SUBSTITUTE(SUBSTITUTE(SUBSTITUTE(SUBSTITUTE(SUBSTITUTE(SUBSTITUTE(LEFT(MID(TRIM(INDEX(PASTE_ALL,5,34)),1+(LEFT(TRIM(INDEX(PASTE_ALL,5,34)),1)="-"),999),LEN(MID(TRIM(INDEX(PASTE_ALL,5,34)),1+(LEFT(TRIM(INDEX(PASTE_ALL,5,34)),1)="-"),999))-(RIGHT(MID(TRIM(INDEX(PASTE_ALL,5,34)),1+(LEFT(TRIM(INDEX(PASTE_ALL,5,34)),1)="-"),999),1)="%")),"0",""),"1",""),"2",""),"3",""),"4",""),"5",""),"6",""),"7",""),"8",""),"9",""),".",""),",","")=""),2,1))),1)</f>
        <v/>
      </c>
      <c r="BG54">
        <f>IFERROR(IF(ISNUMBER(INDEX(PASTE_ALL,5,35)),2,IF(TRIM(INDEX(PASTE_ALL,5,35))="",0,IF(AND(LEFT(MID(TRIM(INDEX(PASTE_ALL,5,35)),1+(LEFT(TRIM(INDEX(PASTE_ALL,5,35)),1)="-"),999),LEN(MID(TRIM(INDEX(PASTE_ALL,5,35)),1+(LEFT(TRIM(INDEX(PASTE_ALL,5,35)),1)="-"),999))-(RIGHT(MID(TRIM(INDEX(PASTE_ALL,5,35)),1+(LEFT(TRIM(INDEX(PASTE_ALL,5,35)),1)="-"),999),1)="%"))&lt;&gt;"",SUBSTITUTE(SUBSTITUTE(SUBSTITUTE(SUBSTITUTE(SUBSTITUTE(SUBSTITUTE(SUBSTITUTE(SUBSTITUTE(SUBSTITUTE(SUBSTITUTE(SUBSTITUTE(SUBSTITUTE(LEFT(MID(TRIM(INDEX(PASTE_ALL,5,35)),1+(LEFT(TRIM(INDEX(PASTE_ALL,5,35)),1)="-"),999),LEN(MID(TRIM(INDEX(PASTE_ALL,5,35)),1+(LEFT(TRIM(INDEX(PASTE_ALL,5,35)),1)="-"),999))-(RIGHT(MID(TRIM(INDEX(PASTE_ALL,5,35)),1+(LEFT(TRIM(INDEX(PASTE_ALL,5,35)),1)="-"),999),1)="%")),"0",""),"1",""),"2",""),"3",""),"4",""),"5",""),"6",""),"7",""),"8",""),"9",""),".",""),",","")=""),2,1))),1)</f>
        <v/>
      </c>
      <c r="BH54">
        <f>IFERROR(IF(ISNUMBER(INDEX(PASTE_ALL,5,36)),2,IF(TRIM(INDEX(PASTE_ALL,5,36))="",0,IF(AND(LEFT(MID(TRIM(INDEX(PASTE_ALL,5,36)),1+(LEFT(TRIM(INDEX(PASTE_ALL,5,36)),1)="-"),999),LEN(MID(TRIM(INDEX(PASTE_ALL,5,36)),1+(LEFT(TRIM(INDEX(PASTE_ALL,5,36)),1)="-"),999))-(RIGHT(MID(TRIM(INDEX(PASTE_ALL,5,36)),1+(LEFT(TRIM(INDEX(PASTE_ALL,5,36)),1)="-"),999),1)="%"))&lt;&gt;"",SUBSTITUTE(SUBSTITUTE(SUBSTITUTE(SUBSTITUTE(SUBSTITUTE(SUBSTITUTE(SUBSTITUTE(SUBSTITUTE(SUBSTITUTE(SUBSTITUTE(SUBSTITUTE(SUBSTITUTE(LEFT(MID(TRIM(INDEX(PASTE_ALL,5,36)),1+(LEFT(TRIM(INDEX(PASTE_ALL,5,36)),1)="-"),999),LEN(MID(TRIM(INDEX(PASTE_ALL,5,36)),1+(LEFT(TRIM(INDEX(PASTE_ALL,5,36)),1)="-"),999))-(RIGHT(MID(TRIM(INDEX(PASTE_ALL,5,36)),1+(LEFT(TRIM(INDEX(PASTE_ALL,5,36)),1)="-"),999),1)="%")),"0",""),"1",""),"2",""),"3",""),"4",""),"5",""),"6",""),"7",""),"8",""),"9",""),".",""),",","")=""),2,1))),1)</f>
        <v/>
      </c>
      <c r="BI54">
        <f>IFERROR(IF(ISNUMBER(INDEX(PASTE_ALL,5,37)),2,IF(TRIM(INDEX(PASTE_ALL,5,37))="",0,IF(AND(LEFT(MID(TRIM(INDEX(PASTE_ALL,5,37)),1+(LEFT(TRIM(INDEX(PASTE_ALL,5,37)),1)="-"),999),LEN(MID(TRIM(INDEX(PASTE_ALL,5,37)),1+(LEFT(TRIM(INDEX(PASTE_ALL,5,37)),1)="-"),999))-(RIGHT(MID(TRIM(INDEX(PASTE_ALL,5,37)),1+(LEFT(TRIM(INDEX(PASTE_ALL,5,37)),1)="-"),999),1)="%"))&lt;&gt;"",SUBSTITUTE(SUBSTITUTE(SUBSTITUTE(SUBSTITUTE(SUBSTITUTE(SUBSTITUTE(SUBSTITUTE(SUBSTITUTE(SUBSTITUTE(SUBSTITUTE(SUBSTITUTE(SUBSTITUTE(LEFT(MID(TRIM(INDEX(PASTE_ALL,5,37)),1+(LEFT(TRIM(INDEX(PASTE_ALL,5,37)),1)="-"),999),LEN(MID(TRIM(INDEX(PASTE_ALL,5,37)),1+(LEFT(TRIM(INDEX(PASTE_ALL,5,37)),1)="-"),999))-(RIGHT(MID(TRIM(INDEX(PASTE_ALL,5,37)),1+(LEFT(TRIM(INDEX(PASTE_ALL,5,37)),1)="-"),999),1)="%")),"0",""),"1",""),"2",""),"3",""),"4",""),"5",""),"6",""),"7",""),"8",""),"9",""),".",""),",","")=""),2,1))),1)</f>
        <v/>
      </c>
      <c r="BJ54">
        <f>IFERROR(IF(ISNUMBER(INDEX(PASTE_ALL,5,38)),2,IF(TRIM(INDEX(PASTE_ALL,5,38))="",0,IF(AND(LEFT(MID(TRIM(INDEX(PASTE_ALL,5,38)),1+(LEFT(TRIM(INDEX(PASTE_ALL,5,38)),1)="-"),999),LEN(MID(TRIM(INDEX(PASTE_ALL,5,38)),1+(LEFT(TRIM(INDEX(PASTE_ALL,5,38)),1)="-"),999))-(RIGHT(MID(TRIM(INDEX(PASTE_ALL,5,38)),1+(LEFT(TRIM(INDEX(PASTE_ALL,5,38)),1)="-"),999),1)="%"))&lt;&gt;"",SUBSTITUTE(SUBSTITUTE(SUBSTITUTE(SUBSTITUTE(SUBSTITUTE(SUBSTITUTE(SUBSTITUTE(SUBSTITUTE(SUBSTITUTE(SUBSTITUTE(SUBSTITUTE(SUBSTITUTE(LEFT(MID(TRIM(INDEX(PASTE_ALL,5,38)),1+(LEFT(TRIM(INDEX(PASTE_ALL,5,38)),1)="-"),999),LEN(MID(TRIM(INDEX(PASTE_ALL,5,38)),1+(LEFT(TRIM(INDEX(PASTE_ALL,5,38)),1)="-"),999))-(RIGHT(MID(TRIM(INDEX(PASTE_ALL,5,38)),1+(LEFT(TRIM(INDEX(PASTE_ALL,5,38)),1)="-"),999),1)="%")),"0",""),"1",""),"2",""),"3",""),"4",""),"5",""),"6",""),"7",""),"8",""),"9",""),".",""),",","")=""),2,1))),1)</f>
        <v/>
      </c>
      <c r="BK54">
        <f>IFERROR(IF(ISNUMBER(INDEX(PASTE_ALL,5,39)),2,IF(TRIM(INDEX(PASTE_ALL,5,39))="",0,IF(AND(LEFT(MID(TRIM(INDEX(PASTE_ALL,5,39)),1+(LEFT(TRIM(INDEX(PASTE_ALL,5,39)),1)="-"),999),LEN(MID(TRIM(INDEX(PASTE_ALL,5,39)),1+(LEFT(TRIM(INDEX(PASTE_ALL,5,39)),1)="-"),999))-(RIGHT(MID(TRIM(INDEX(PASTE_ALL,5,39)),1+(LEFT(TRIM(INDEX(PASTE_ALL,5,39)),1)="-"),999),1)="%"))&lt;&gt;"",SUBSTITUTE(SUBSTITUTE(SUBSTITUTE(SUBSTITUTE(SUBSTITUTE(SUBSTITUTE(SUBSTITUTE(SUBSTITUTE(SUBSTITUTE(SUBSTITUTE(SUBSTITUTE(SUBSTITUTE(LEFT(MID(TRIM(INDEX(PASTE_ALL,5,39)),1+(LEFT(TRIM(INDEX(PASTE_ALL,5,39)),1)="-"),999),LEN(MID(TRIM(INDEX(PASTE_ALL,5,39)),1+(LEFT(TRIM(INDEX(PASTE_ALL,5,39)),1)="-"),999))-(RIGHT(MID(TRIM(INDEX(PASTE_ALL,5,39)),1+(LEFT(TRIM(INDEX(PASTE_ALL,5,39)),1)="-"),999),1)="%")),"0",""),"1",""),"2",""),"3",""),"4",""),"5",""),"6",""),"7",""),"8",""),"9",""),".",""),",","")=""),2,1))),1)</f>
        <v/>
      </c>
      <c r="BL54">
        <f>IFERROR(IF(ISNUMBER(INDEX(PASTE_ALL,5,40)),2,IF(TRIM(INDEX(PASTE_ALL,5,40))="",0,IF(AND(LEFT(MID(TRIM(INDEX(PASTE_ALL,5,40)),1+(LEFT(TRIM(INDEX(PASTE_ALL,5,40)),1)="-"),999),LEN(MID(TRIM(INDEX(PASTE_ALL,5,40)),1+(LEFT(TRIM(INDEX(PASTE_ALL,5,40)),1)="-"),999))-(RIGHT(MID(TRIM(INDEX(PASTE_ALL,5,40)),1+(LEFT(TRIM(INDEX(PASTE_ALL,5,40)),1)="-"),999),1)="%"))&lt;&gt;"",SUBSTITUTE(SUBSTITUTE(SUBSTITUTE(SUBSTITUTE(SUBSTITUTE(SUBSTITUTE(SUBSTITUTE(SUBSTITUTE(SUBSTITUTE(SUBSTITUTE(SUBSTITUTE(SUBSTITUTE(LEFT(MID(TRIM(INDEX(PASTE_ALL,5,40)),1+(LEFT(TRIM(INDEX(PASTE_ALL,5,40)),1)="-"),999),LEN(MID(TRIM(INDEX(PASTE_ALL,5,40)),1+(LEFT(TRIM(INDEX(PASTE_ALL,5,40)),1)="-"),999))-(RIGHT(MID(TRIM(INDEX(PASTE_ALL,5,40)),1+(LEFT(TRIM(INDEX(PASTE_ALL,5,40)),1)="-"),999),1)="%")),"0",""),"1",""),"2",""),"3",""),"4",""),"5",""),"6",""),"7",""),"8",""),"9",""),".",""),",","")=""),2,1))),1)</f>
        <v/>
      </c>
      <c r="BM54">
        <f>IFERROR(IF(ISNUMBER(INDEX(PASTE_ALL,5,41)),2,IF(TRIM(INDEX(PASTE_ALL,5,41))="",0,IF(AND(LEFT(MID(TRIM(INDEX(PASTE_ALL,5,41)),1+(LEFT(TRIM(INDEX(PASTE_ALL,5,41)),1)="-"),999),LEN(MID(TRIM(INDEX(PASTE_ALL,5,41)),1+(LEFT(TRIM(INDEX(PASTE_ALL,5,41)),1)="-"),999))-(RIGHT(MID(TRIM(INDEX(PASTE_ALL,5,41)),1+(LEFT(TRIM(INDEX(PASTE_ALL,5,41)),1)="-"),999),1)="%"))&lt;&gt;"",SUBSTITUTE(SUBSTITUTE(SUBSTITUTE(SUBSTITUTE(SUBSTITUTE(SUBSTITUTE(SUBSTITUTE(SUBSTITUTE(SUBSTITUTE(SUBSTITUTE(SUBSTITUTE(SUBSTITUTE(LEFT(MID(TRIM(INDEX(PASTE_ALL,5,41)),1+(LEFT(TRIM(INDEX(PASTE_ALL,5,41)),1)="-"),999),LEN(MID(TRIM(INDEX(PASTE_ALL,5,41)),1+(LEFT(TRIM(INDEX(PASTE_ALL,5,41)),1)="-"),999))-(RIGHT(MID(TRIM(INDEX(PASTE_ALL,5,41)),1+(LEFT(TRIM(INDEX(PASTE_ALL,5,41)),1)="-"),999),1)="%")),"0",""),"1",""),"2",""),"3",""),"4",""),"5",""),"6",""),"7",""),"8",""),"9",""),".",""),",","")=""),2,1))),1)</f>
        <v/>
      </c>
      <c r="BN54">
        <f>IFERROR(IF(ISNUMBER(INDEX(PASTE_ALL,5,42)),2,IF(TRIM(INDEX(PASTE_ALL,5,42))="",0,IF(AND(LEFT(MID(TRIM(INDEX(PASTE_ALL,5,42)),1+(LEFT(TRIM(INDEX(PASTE_ALL,5,42)),1)="-"),999),LEN(MID(TRIM(INDEX(PASTE_ALL,5,42)),1+(LEFT(TRIM(INDEX(PASTE_ALL,5,42)),1)="-"),999))-(RIGHT(MID(TRIM(INDEX(PASTE_ALL,5,42)),1+(LEFT(TRIM(INDEX(PASTE_ALL,5,42)),1)="-"),999),1)="%"))&lt;&gt;"",SUBSTITUTE(SUBSTITUTE(SUBSTITUTE(SUBSTITUTE(SUBSTITUTE(SUBSTITUTE(SUBSTITUTE(SUBSTITUTE(SUBSTITUTE(SUBSTITUTE(SUBSTITUTE(SUBSTITUTE(LEFT(MID(TRIM(INDEX(PASTE_ALL,5,42)),1+(LEFT(TRIM(INDEX(PASTE_ALL,5,42)),1)="-"),999),LEN(MID(TRIM(INDEX(PASTE_ALL,5,42)),1+(LEFT(TRIM(INDEX(PASTE_ALL,5,42)),1)="-"),999))-(RIGHT(MID(TRIM(INDEX(PASTE_ALL,5,42)),1+(LEFT(TRIM(INDEX(PASTE_ALL,5,42)),1)="-"),999),1)="%")),"0",""),"1",""),"2",""),"3",""),"4",""),"5",""),"6",""),"7",""),"8",""),"9",""),".",""),",","")=""),2,1))),1)</f>
        <v/>
      </c>
      <c r="BO54">
        <f>IFERROR(IF(ISNUMBER(INDEX(PASTE_ALL,5,43)),2,IF(TRIM(INDEX(PASTE_ALL,5,43))="",0,IF(AND(LEFT(MID(TRIM(INDEX(PASTE_ALL,5,43)),1+(LEFT(TRIM(INDEX(PASTE_ALL,5,43)),1)="-"),999),LEN(MID(TRIM(INDEX(PASTE_ALL,5,43)),1+(LEFT(TRIM(INDEX(PASTE_ALL,5,43)),1)="-"),999))-(RIGHT(MID(TRIM(INDEX(PASTE_ALL,5,43)),1+(LEFT(TRIM(INDEX(PASTE_ALL,5,43)),1)="-"),999),1)="%"))&lt;&gt;"",SUBSTITUTE(SUBSTITUTE(SUBSTITUTE(SUBSTITUTE(SUBSTITUTE(SUBSTITUTE(SUBSTITUTE(SUBSTITUTE(SUBSTITUTE(SUBSTITUTE(SUBSTITUTE(SUBSTITUTE(LEFT(MID(TRIM(INDEX(PASTE_ALL,5,43)),1+(LEFT(TRIM(INDEX(PASTE_ALL,5,43)),1)="-"),999),LEN(MID(TRIM(INDEX(PASTE_ALL,5,43)),1+(LEFT(TRIM(INDEX(PASTE_ALL,5,43)),1)="-"),999))-(RIGHT(MID(TRIM(INDEX(PASTE_ALL,5,43)),1+(LEFT(TRIM(INDEX(PASTE_ALL,5,43)),1)="-"),999),1)="%")),"0",""),"1",""),"2",""),"3",""),"4",""),"5",""),"6",""),"7",""),"8",""),"9",""),".",""),",","")=""),2,1))),1)</f>
        <v/>
      </c>
      <c r="BP54">
        <f>IFERROR(IF(ISNUMBER(INDEX(PASTE_ALL,5,44)),2,IF(TRIM(INDEX(PASTE_ALL,5,44))="",0,IF(AND(LEFT(MID(TRIM(INDEX(PASTE_ALL,5,44)),1+(LEFT(TRIM(INDEX(PASTE_ALL,5,44)),1)="-"),999),LEN(MID(TRIM(INDEX(PASTE_ALL,5,44)),1+(LEFT(TRIM(INDEX(PASTE_ALL,5,44)),1)="-"),999))-(RIGHT(MID(TRIM(INDEX(PASTE_ALL,5,44)),1+(LEFT(TRIM(INDEX(PASTE_ALL,5,44)),1)="-"),999),1)="%"))&lt;&gt;"",SUBSTITUTE(SUBSTITUTE(SUBSTITUTE(SUBSTITUTE(SUBSTITUTE(SUBSTITUTE(SUBSTITUTE(SUBSTITUTE(SUBSTITUTE(SUBSTITUTE(SUBSTITUTE(SUBSTITUTE(LEFT(MID(TRIM(INDEX(PASTE_ALL,5,44)),1+(LEFT(TRIM(INDEX(PASTE_ALL,5,44)),1)="-"),999),LEN(MID(TRIM(INDEX(PASTE_ALL,5,44)),1+(LEFT(TRIM(INDEX(PASTE_ALL,5,44)),1)="-"),999))-(RIGHT(MID(TRIM(INDEX(PASTE_ALL,5,44)),1+(LEFT(TRIM(INDEX(PASTE_ALL,5,44)),1)="-"),999),1)="%")),"0",""),"1",""),"2",""),"3",""),"4",""),"5",""),"6",""),"7",""),"8",""),"9",""),".",""),",","")=""),2,1))),1)</f>
        <v/>
      </c>
      <c r="BQ54">
        <f>IFERROR(IF(ISNUMBER(INDEX(PASTE_ALL,5,45)),2,IF(TRIM(INDEX(PASTE_ALL,5,45))="",0,IF(AND(LEFT(MID(TRIM(INDEX(PASTE_ALL,5,45)),1+(LEFT(TRIM(INDEX(PASTE_ALL,5,45)),1)="-"),999),LEN(MID(TRIM(INDEX(PASTE_ALL,5,45)),1+(LEFT(TRIM(INDEX(PASTE_ALL,5,45)),1)="-"),999))-(RIGHT(MID(TRIM(INDEX(PASTE_ALL,5,45)),1+(LEFT(TRIM(INDEX(PASTE_ALL,5,45)),1)="-"),999),1)="%"))&lt;&gt;"",SUBSTITUTE(SUBSTITUTE(SUBSTITUTE(SUBSTITUTE(SUBSTITUTE(SUBSTITUTE(SUBSTITUTE(SUBSTITUTE(SUBSTITUTE(SUBSTITUTE(SUBSTITUTE(SUBSTITUTE(LEFT(MID(TRIM(INDEX(PASTE_ALL,5,45)),1+(LEFT(TRIM(INDEX(PASTE_ALL,5,45)),1)="-"),999),LEN(MID(TRIM(INDEX(PASTE_ALL,5,45)),1+(LEFT(TRIM(INDEX(PASTE_ALL,5,45)),1)="-"),999))-(RIGHT(MID(TRIM(INDEX(PASTE_ALL,5,45)),1+(LEFT(TRIM(INDEX(PASTE_ALL,5,45)),1)="-"),999),1)="%")),"0",""),"1",""),"2",""),"3",""),"4",""),"5",""),"6",""),"7",""),"8",""),"9",""),".",""),",","")=""),2,1))),1)</f>
        <v/>
      </c>
      <c r="BR54">
        <f>IFERROR(IF(ISNUMBER(INDEX(PASTE_ALL,5,46)),2,IF(TRIM(INDEX(PASTE_ALL,5,46))="",0,IF(AND(LEFT(MID(TRIM(INDEX(PASTE_ALL,5,46)),1+(LEFT(TRIM(INDEX(PASTE_ALL,5,46)),1)="-"),999),LEN(MID(TRIM(INDEX(PASTE_ALL,5,46)),1+(LEFT(TRIM(INDEX(PASTE_ALL,5,46)),1)="-"),999))-(RIGHT(MID(TRIM(INDEX(PASTE_ALL,5,46)),1+(LEFT(TRIM(INDEX(PASTE_ALL,5,46)),1)="-"),999),1)="%"))&lt;&gt;"",SUBSTITUTE(SUBSTITUTE(SUBSTITUTE(SUBSTITUTE(SUBSTITUTE(SUBSTITUTE(SUBSTITUTE(SUBSTITUTE(SUBSTITUTE(SUBSTITUTE(SUBSTITUTE(SUBSTITUTE(LEFT(MID(TRIM(INDEX(PASTE_ALL,5,46)),1+(LEFT(TRIM(INDEX(PASTE_ALL,5,46)),1)="-"),999),LEN(MID(TRIM(INDEX(PASTE_ALL,5,46)),1+(LEFT(TRIM(INDEX(PASTE_ALL,5,46)),1)="-"),999))-(RIGHT(MID(TRIM(INDEX(PASTE_ALL,5,46)),1+(LEFT(TRIM(INDEX(PASTE_ALL,5,46)),1)="-"),999),1)="%")),"0",""),"1",""),"2",""),"3",""),"4",""),"5",""),"6",""),"7",""),"8",""),"9",""),".",""),",","")=""),2,1))),1)</f>
        <v/>
      </c>
      <c r="BS54">
        <f>IFERROR(IF(ISNUMBER(INDEX(PASTE_ALL,5,47)),2,IF(TRIM(INDEX(PASTE_ALL,5,47))="",0,IF(AND(LEFT(MID(TRIM(INDEX(PASTE_ALL,5,47)),1+(LEFT(TRIM(INDEX(PASTE_ALL,5,47)),1)="-"),999),LEN(MID(TRIM(INDEX(PASTE_ALL,5,47)),1+(LEFT(TRIM(INDEX(PASTE_ALL,5,47)),1)="-"),999))-(RIGHT(MID(TRIM(INDEX(PASTE_ALL,5,47)),1+(LEFT(TRIM(INDEX(PASTE_ALL,5,47)),1)="-"),999),1)="%"))&lt;&gt;"",SUBSTITUTE(SUBSTITUTE(SUBSTITUTE(SUBSTITUTE(SUBSTITUTE(SUBSTITUTE(SUBSTITUTE(SUBSTITUTE(SUBSTITUTE(SUBSTITUTE(SUBSTITUTE(SUBSTITUTE(LEFT(MID(TRIM(INDEX(PASTE_ALL,5,47)),1+(LEFT(TRIM(INDEX(PASTE_ALL,5,47)),1)="-"),999),LEN(MID(TRIM(INDEX(PASTE_ALL,5,47)),1+(LEFT(TRIM(INDEX(PASTE_ALL,5,47)),1)="-"),999))-(RIGHT(MID(TRIM(INDEX(PASTE_ALL,5,47)),1+(LEFT(TRIM(INDEX(PASTE_ALL,5,47)),1)="-"),999),1)="%")),"0",""),"1",""),"2",""),"3",""),"4",""),"5",""),"6",""),"7",""),"8",""),"9",""),".",""),",","")=""),2,1))),1)</f>
        <v/>
      </c>
      <c r="BT54">
        <f>IFERROR(IF(ISNUMBER(INDEX(PASTE_ALL,5,48)),2,IF(TRIM(INDEX(PASTE_ALL,5,48))="",0,IF(AND(LEFT(MID(TRIM(INDEX(PASTE_ALL,5,48)),1+(LEFT(TRIM(INDEX(PASTE_ALL,5,48)),1)="-"),999),LEN(MID(TRIM(INDEX(PASTE_ALL,5,48)),1+(LEFT(TRIM(INDEX(PASTE_ALL,5,48)),1)="-"),999))-(RIGHT(MID(TRIM(INDEX(PASTE_ALL,5,48)),1+(LEFT(TRIM(INDEX(PASTE_ALL,5,48)),1)="-"),999),1)="%"))&lt;&gt;"",SUBSTITUTE(SUBSTITUTE(SUBSTITUTE(SUBSTITUTE(SUBSTITUTE(SUBSTITUTE(SUBSTITUTE(SUBSTITUTE(SUBSTITUTE(SUBSTITUTE(SUBSTITUTE(SUBSTITUTE(LEFT(MID(TRIM(INDEX(PASTE_ALL,5,48)),1+(LEFT(TRIM(INDEX(PASTE_ALL,5,48)),1)="-"),999),LEN(MID(TRIM(INDEX(PASTE_ALL,5,48)),1+(LEFT(TRIM(INDEX(PASTE_ALL,5,48)),1)="-"),999))-(RIGHT(MID(TRIM(INDEX(PASTE_ALL,5,48)),1+(LEFT(TRIM(INDEX(PASTE_ALL,5,48)),1)="-"),999),1)="%")),"0",""),"1",""),"2",""),"3",""),"4",""),"5",""),"6",""),"7",""),"8",""),"9",""),".",""),",","")=""),2,1))),1)</f>
        <v/>
      </c>
      <c r="BU54">
        <f>IFERROR(IF(ISNUMBER(INDEX(PASTE_ALL,5,49)),2,IF(TRIM(INDEX(PASTE_ALL,5,49))="",0,IF(AND(LEFT(MID(TRIM(INDEX(PASTE_ALL,5,49)),1+(LEFT(TRIM(INDEX(PASTE_ALL,5,49)),1)="-"),999),LEN(MID(TRIM(INDEX(PASTE_ALL,5,49)),1+(LEFT(TRIM(INDEX(PASTE_ALL,5,49)),1)="-"),999))-(RIGHT(MID(TRIM(INDEX(PASTE_ALL,5,49)),1+(LEFT(TRIM(INDEX(PASTE_ALL,5,49)),1)="-"),999),1)="%"))&lt;&gt;"",SUBSTITUTE(SUBSTITUTE(SUBSTITUTE(SUBSTITUTE(SUBSTITUTE(SUBSTITUTE(SUBSTITUTE(SUBSTITUTE(SUBSTITUTE(SUBSTITUTE(SUBSTITUTE(SUBSTITUTE(LEFT(MID(TRIM(INDEX(PASTE_ALL,5,49)),1+(LEFT(TRIM(INDEX(PASTE_ALL,5,49)),1)="-"),999),LEN(MID(TRIM(INDEX(PASTE_ALL,5,49)),1+(LEFT(TRIM(INDEX(PASTE_ALL,5,49)),1)="-"),999))-(RIGHT(MID(TRIM(INDEX(PASTE_ALL,5,49)),1+(LEFT(TRIM(INDEX(PASTE_ALL,5,49)),1)="-"),999),1)="%")),"0",""),"1",""),"2",""),"3",""),"4",""),"5",""),"6",""),"7",""),"8",""),"9",""),".",""),",","")=""),2,1))),1)</f>
        <v/>
      </c>
      <c r="BV54">
        <f>IFERROR(IF(ISNUMBER(INDEX(PASTE_ALL,5,50)),2,IF(TRIM(INDEX(PASTE_ALL,5,50))="",0,IF(AND(LEFT(MID(TRIM(INDEX(PASTE_ALL,5,50)),1+(LEFT(TRIM(INDEX(PASTE_ALL,5,50)),1)="-"),999),LEN(MID(TRIM(INDEX(PASTE_ALL,5,50)),1+(LEFT(TRIM(INDEX(PASTE_ALL,5,50)),1)="-"),999))-(RIGHT(MID(TRIM(INDEX(PASTE_ALL,5,50)),1+(LEFT(TRIM(INDEX(PASTE_ALL,5,50)),1)="-"),999),1)="%"))&lt;&gt;"",SUBSTITUTE(SUBSTITUTE(SUBSTITUTE(SUBSTITUTE(SUBSTITUTE(SUBSTITUTE(SUBSTITUTE(SUBSTITUTE(SUBSTITUTE(SUBSTITUTE(SUBSTITUTE(SUBSTITUTE(LEFT(MID(TRIM(INDEX(PASTE_ALL,5,50)),1+(LEFT(TRIM(INDEX(PASTE_ALL,5,50)),1)="-"),999),LEN(MID(TRIM(INDEX(PASTE_ALL,5,50)),1+(LEFT(TRIM(INDEX(PASTE_ALL,5,50)),1)="-"),999))-(RIGHT(MID(TRIM(INDEX(PASTE_ALL,5,50)),1+(LEFT(TRIM(INDEX(PASTE_ALL,5,50)),1)="-"),999),1)="%")),"0",""),"1",""),"2",""),"3",""),"4",""),"5",""),"6",""),"7",""),"8",""),"9",""),".",""),",","")=""),2,1))),1)</f>
        <v/>
      </c>
      <c r="BW54">
        <f>IFERROR(IF(ISNUMBER(INDEX(PASTE_ALL,5,51)),2,IF(TRIM(INDEX(PASTE_ALL,5,51))="",0,IF(AND(LEFT(MID(TRIM(INDEX(PASTE_ALL,5,51)),1+(LEFT(TRIM(INDEX(PASTE_ALL,5,51)),1)="-"),999),LEN(MID(TRIM(INDEX(PASTE_ALL,5,51)),1+(LEFT(TRIM(INDEX(PASTE_ALL,5,51)),1)="-"),999))-(RIGHT(MID(TRIM(INDEX(PASTE_ALL,5,51)),1+(LEFT(TRIM(INDEX(PASTE_ALL,5,51)),1)="-"),999),1)="%"))&lt;&gt;"",SUBSTITUTE(SUBSTITUTE(SUBSTITUTE(SUBSTITUTE(SUBSTITUTE(SUBSTITUTE(SUBSTITUTE(SUBSTITUTE(SUBSTITUTE(SUBSTITUTE(SUBSTITUTE(SUBSTITUTE(LEFT(MID(TRIM(INDEX(PASTE_ALL,5,51)),1+(LEFT(TRIM(INDEX(PASTE_ALL,5,51)),1)="-"),999),LEN(MID(TRIM(INDEX(PASTE_ALL,5,51)),1+(LEFT(TRIM(INDEX(PASTE_ALL,5,51)),1)="-"),999))-(RIGHT(MID(TRIM(INDEX(PASTE_ALL,5,51)),1+(LEFT(TRIM(INDEX(PASTE_ALL,5,51)),1)="-"),999),1)="%")),"0",""),"1",""),"2",""),"3",""),"4",""),"5",""),"6",""),"7",""),"8",""),"9",""),".",""),",","")=""),2,1))),1)</f>
        <v/>
      </c>
      <c r="BX54">
        <f>IFERROR(IF(ISNUMBER(INDEX(PASTE_ALL,5,52)),2,IF(TRIM(INDEX(PASTE_ALL,5,52))="",0,IF(AND(LEFT(MID(TRIM(INDEX(PASTE_ALL,5,52)),1+(LEFT(TRIM(INDEX(PASTE_ALL,5,52)),1)="-"),999),LEN(MID(TRIM(INDEX(PASTE_ALL,5,52)),1+(LEFT(TRIM(INDEX(PASTE_ALL,5,52)),1)="-"),999))-(RIGHT(MID(TRIM(INDEX(PASTE_ALL,5,52)),1+(LEFT(TRIM(INDEX(PASTE_ALL,5,52)),1)="-"),999),1)="%"))&lt;&gt;"",SUBSTITUTE(SUBSTITUTE(SUBSTITUTE(SUBSTITUTE(SUBSTITUTE(SUBSTITUTE(SUBSTITUTE(SUBSTITUTE(SUBSTITUTE(SUBSTITUTE(SUBSTITUTE(SUBSTITUTE(LEFT(MID(TRIM(INDEX(PASTE_ALL,5,52)),1+(LEFT(TRIM(INDEX(PASTE_ALL,5,52)),1)="-"),999),LEN(MID(TRIM(INDEX(PASTE_ALL,5,52)),1+(LEFT(TRIM(INDEX(PASTE_ALL,5,52)),1)="-"),999))-(RIGHT(MID(TRIM(INDEX(PASTE_ALL,5,52)),1+(LEFT(TRIM(INDEX(PASTE_ALL,5,52)),1)="-"),999),1)="%")),"0",""),"1",""),"2",""),"3",""),"4",""),"5",""),"6",""),"7",""),"8",""),"9",""),".",""),",","")=""),2,1))),1)</f>
        <v/>
      </c>
      <c r="BY54">
        <f>IFERROR(IF(ISNUMBER(INDEX(PASTE_ALL,5,53)),2,IF(TRIM(INDEX(PASTE_ALL,5,53))="",0,IF(AND(LEFT(MID(TRIM(INDEX(PASTE_ALL,5,53)),1+(LEFT(TRIM(INDEX(PASTE_ALL,5,53)),1)="-"),999),LEN(MID(TRIM(INDEX(PASTE_ALL,5,53)),1+(LEFT(TRIM(INDEX(PASTE_ALL,5,53)),1)="-"),999))-(RIGHT(MID(TRIM(INDEX(PASTE_ALL,5,53)),1+(LEFT(TRIM(INDEX(PASTE_ALL,5,53)),1)="-"),999),1)="%"))&lt;&gt;"",SUBSTITUTE(SUBSTITUTE(SUBSTITUTE(SUBSTITUTE(SUBSTITUTE(SUBSTITUTE(SUBSTITUTE(SUBSTITUTE(SUBSTITUTE(SUBSTITUTE(SUBSTITUTE(SUBSTITUTE(LEFT(MID(TRIM(INDEX(PASTE_ALL,5,53)),1+(LEFT(TRIM(INDEX(PASTE_ALL,5,53)),1)="-"),999),LEN(MID(TRIM(INDEX(PASTE_ALL,5,53)),1+(LEFT(TRIM(INDEX(PASTE_ALL,5,53)),1)="-"),999))-(RIGHT(MID(TRIM(INDEX(PASTE_ALL,5,53)),1+(LEFT(TRIM(INDEX(PASTE_ALL,5,53)),1)="-"),999),1)="%")),"0",""),"1",""),"2",""),"3",""),"4",""),"5",""),"6",""),"7",""),"8",""),"9",""),".",""),",","")=""),2,1))),1)</f>
        <v/>
      </c>
      <c r="BZ54">
        <f>IFERROR(IF(ISNUMBER(INDEX(PASTE_ALL,5,54)),2,IF(TRIM(INDEX(PASTE_ALL,5,54))="",0,IF(AND(LEFT(MID(TRIM(INDEX(PASTE_ALL,5,54)),1+(LEFT(TRIM(INDEX(PASTE_ALL,5,54)),1)="-"),999),LEN(MID(TRIM(INDEX(PASTE_ALL,5,54)),1+(LEFT(TRIM(INDEX(PASTE_ALL,5,54)),1)="-"),999))-(RIGHT(MID(TRIM(INDEX(PASTE_ALL,5,54)),1+(LEFT(TRIM(INDEX(PASTE_ALL,5,54)),1)="-"),999),1)="%"))&lt;&gt;"",SUBSTITUTE(SUBSTITUTE(SUBSTITUTE(SUBSTITUTE(SUBSTITUTE(SUBSTITUTE(SUBSTITUTE(SUBSTITUTE(SUBSTITUTE(SUBSTITUTE(SUBSTITUTE(SUBSTITUTE(LEFT(MID(TRIM(INDEX(PASTE_ALL,5,54)),1+(LEFT(TRIM(INDEX(PASTE_ALL,5,54)),1)="-"),999),LEN(MID(TRIM(INDEX(PASTE_ALL,5,54)),1+(LEFT(TRIM(INDEX(PASTE_ALL,5,54)),1)="-"),999))-(RIGHT(MID(TRIM(INDEX(PASTE_ALL,5,54)),1+(LEFT(TRIM(INDEX(PASTE_ALL,5,54)),1)="-"),999),1)="%")),"0",""),"1",""),"2",""),"3",""),"4",""),"5",""),"6",""),"7",""),"8",""),"9",""),".",""),",","")=""),2,1))),1)</f>
        <v/>
      </c>
      <c r="CA54">
        <f>IFERROR(IF(ISNUMBER(INDEX(PASTE_ALL,5,55)),2,IF(TRIM(INDEX(PASTE_ALL,5,55))="",0,IF(AND(LEFT(MID(TRIM(INDEX(PASTE_ALL,5,55)),1+(LEFT(TRIM(INDEX(PASTE_ALL,5,55)),1)="-"),999),LEN(MID(TRIM(INDEX(PASTE_ALL,5,55)),1+(LEFT(TRIM(INDEX(PASTE_ALL,5,55)),1)="-"),999))-(RIGHT(MID(TRIM(INDEX(PASTE_ALL,5,55)),1+(LEFT(TRIM(INDEX(PASTE_ALL,5,55)),1)="-"),999),1)="%"))&lt;&gt;"",SUBSTITUTE(SUBSTITUTE(SUBSTITUTE(SUBSTITUTE(SUBSTITUTE(SUBSTITUTE(SUBSTITUTE(SUBSTITUTE(SUBSTITUTE(SUBSTITUTE(SUBSTITUTE(SUBSTITUTE(LEFT(MID(TRIM(INDEX(PASTE_ALL,5,55)),1+(LEFT(TRIM(INDEX(PASTE_ALL,5,55)),1)="-"),999),LEN(MID(TRIM(INDEX(PASTE_ALL,5,55)),1+(LEFT(TRIM(INDEX(PASTE_ALL,5,55)),1)="-"),999))-(RIGHT(MID(TRIM(INDEX(PASTE_ALL,5,55)),1+(LEFT(TRIM(INDEX(PASTE_ALL,5,55)),1)="-"),999),1)="%")),"0",""),"1",""),"2",""),"3",""),"4",""),"5",""),"6",""),"7",""),"8",""),"9",""),".",""),",","")=""),2,1))),1)</f>
        <v/>
      </c>
      <c r="CB54">
        <f>IFERROR(IF(ISNUMBER(INDEX(PASTE_ALL,5,56)),2,IF(TRIM(INDEX(PASTE_ALL,5,56))="",0,IF(AND(LEFT(MID(TRIM(INDEX(PASTE_ALL,5,56)),1+(LEFT(TRIM(INDEX(PASTE_ALL,5,56)),1)="-"),999),LEN(MID(TRIM(INDEX(PASTE_ALL,5,56)),1+(LEFT(TRIM(INDEX(PASTE_ALL,5,56)),1)="-"),999))-(RIGHT(MID(TRIM(INDEX(PASTE_ALL,5,56)),1+(LEFT(TRIM(INDEX(PASTE_ALL,5,56)),1)="-"),999),1)="%"))&lt;&gt;"",SUBSTITUTE(SUBSTITUTE(SUBSTITUTE(SUBSTITUTE(SUBSTITUTE(SUBSTITUTE(SUBSTITUTE(SUBSTITUTE(SUBSTITUTE(SUBSTITUTE(SUBSTITUTE(SUBSTITUTE(LEFT(MID(TRIM(INDEX(PASTE_ALL,5,56)),1+(LEFT(TRIM(INDEX(PASTE_ALL,5,56)),1)="-"),999),LEN(MID(TRIM(INDEX(PASTE_ALL,5,56)),1+(LEFT(TRIM(INDEX(PASTE_ALL,5,56)),1)="-"),999))-(RIGHT(MID(TRIM(INDEX(PASTE_ALL,5,56)),1+(LEFT(TRIM(INDEX(PASTE_ALL,5,56)),1)="-"),999),1)="%")),"0",""),"1",""),"2",""),"3",""),"4",""),"5",""),"6",""),"7",""),"8",""),"9",""),".",""),",","")=""),2,1))),1)</f>
        <v/>
      </c>
      <c r="CC54">
        <f>IFERROR(IF(ISNUMBER(INDEX(PASTE_ALL,5,57)),2,IF(TRIM(INDEX(PASTE_ALL,5,57))="",0,IF(AND(LEFT(MID(TRIM(INDEX(PASTE_ALL,5,57)),1+(LEFT(TRIM(INDEX(PASTE_ALL,5,57)),1)="-"),999),LEN(MID(TRIM(INDEX(PASTE_ALL,5,57)),1+(LEFT(TRIM(INDEX(PASTE_ALL,5,57)),1)="-"),999))-(RIGHT(MID(TRIM(INDEX(PASTE_ALL,5,57)),1+(LEFT(TRIM(INDEX(PASTE_ALL,5,57)),1)="-"),999),1)="%"))&lt;&gt;"",SUBSTITUTE(SUBSTITUTE(SUBSTITUTE(SUBSTITUTE(SUBSTITUTE(SUBSTITUTE(SUBSTITUTE(SUBSTITUTE(SUBSTITUTE(SUBSTITUTE(SUBSTITUTE(SUBSTITUTE(LEFT(MID(TRIM(INDEX(PASTE_ALL,5,57)),1+(LEFT(TRIM(INDEX(PASTE_ALL,5,57)),1)="-"),999),LEN(MID(TRIM(INDEX(PASTE_ALL,5,57)),1+(LEFT(TRIM(INDEX(PASTE_ALL,5,57)),1)="-"),999))-(RIGHT(MID(TRIM(INDEX(PASTE_ALL,5,57)),1+(LEFT(TRIM(INDEX(PASTE_ALL,5,57)),1)="-"),999),1)="%")),"0",""),"1",""),"2",""),"3",""),"4",""),"5",""),"6",""),"7",""),"8",""),"9",""),".",""),",","")=""),2,1))),1)</f>
        <v/>
      </c>
      <c r="CD54">
        <f>IFERROR(IF(ISNUMBER(INDEX(PASTE_ALL,5,58)),2,IF(TRIM(INDEX(PASTE_ALL,5,58))="",0,IF(AND(LEFT(MID(TRIM(INDEX(PASTE_ALL,5,58)),1+(LEFT(TRIM(INDEX(PASTE_ALL,5,58)),1)="-"),999),LEN(MID(TRIM(INDEX(PASTE_ALL,5,58)),1+(LEFT(TRIM(INDEX(PASTE_ALL,5,58)),1)="-"),999))-(RIGHT(MID(TRIM(INDEX(PASTE_ALL,5,58)),1+(LEFT(TRIM(INDEX(PASTE_ALL,5,58)),1)="-"),999),1)="%"))&lt;&gt;"",SUBSTITUTE(SUBSTITUTE(SUBSTITUTE(SUBSTITUTE(SUBSTITUTE(SUBSTITUTE(SUBSTITUTE(SUBSTITUTE(SUBSTITUTE(SUBSTITUTE(SUBSTITUTE(SUBSTITUTE(LEFT(MID(TRIM(INDEX(PASTE_ALL,5,58)),1+(LEFT(TRIM(INDEX(PASTE_ALL,5,58)),1)="-"),999),LEN(MID(TRIM(INDEX(PASTE_ALL,5,58)),1+(LEFT(TRIM(INDEX(PASTE_ALL,5,58)),1)="-"),999))-(RIGHT(MID(TRIM(INDEX(PASTE_ALL,5,58)),1+(LEFT(TRIM(INDEX(PASTE_ALL,5,58)),1)="-"),999),1)="%")),"0",""),"1",""),"2",""),"3",""),"4",""),"5",""),"6",""),"7",""),"8",""),"9",""),".",""),",","")=""),2,1))),1)</f>
        <v/>
      </c>
      <c r="CE54">
        <f>IFERROR(IF(ISNUMBER(INDEX(PASTE_ALL,5,59)),2,IF(TRIM(INDEX(PASTE_ALL,5,59))="",0,IF(AND(LEFT(MID(TRIM(INDEX(PASTE_ALL,5,59)),1+(LEFT(TRIM(INDEX(PASTE_ALL,5,59)),1)="-"),999),LEN(MID(TRIM(INDEX(PASTE_ALL,5,59)),1+(LEFT(TRIM(INDEX(PASTE_ALL,5,59)),1)="-"),999))-(RIGHT(MID(TRIM(INDEX(PASTE_ALL,5,59)),1+(LEFT(TRIM(INDEX(PASTE_ALL,5,59)),1)="-"),999),1)="%"))&lt;&gt;"",SUBSTITUTE(SUBSTITUTE(SUBSTITUTE(SUBSTITUTE(SUBSTITUTE(SUBSTITUTE(SUBSTITUTE(SUBSTITUTE(SUBSTITUTE(SUBSTITUTE(SUBSTITUTE(SUBSTITUTE(LEFT(MID(TRIM(INDEX(PASTE_ALL,5,59)),1+(LEFT(TRIM(INDEX(PASTE_ALL,5,59)),1)="-"),999),LEN(MID(TRIM(INDEX(PASTE_ALL,5,59)),1+(LEFT(TRIM(INDEX(PASTE_ALL,5,59)),1)="-"),999))-(RIGHT(MID(TRIM(INDEX(PASTE_ALL,5,59)),1+(LEFT(TRIM(INDEX(PASTE_ALL,5,59)),1)="-"),999),1)="%")),"0",""),"1",""),"2",""),"3",""),"4",""),"5",""),"6",""),"7",""),"8",""),"9",""),".",""),",","")=""),2,1))),1)</f>
        <v/>
      </c>
      <c r="CF54">
        <f>IFERROR(IF(ISNUMBER(INDEX(PASTE_ALL,5,60)),2,IF(TRIM(INDEX(PASTE_ALL,5,60))="",0,IF(AND(LEFT(MID(TRIM(INDEX(PASTE_ALL,5,60)),1+(LEFT(TRIM(INDEX(PASTE_ALL,5,60)),1)="-"),999),LEN(MID(TRIM(INDEX(PASTE_ALL,5,60)),1+(LEFT(TRIM(INDEX(PASTE_ALL,5,60)),1)="-"),999))-(RIGHT(MID(TRIM(INDEX(PASTE_ALL,5,60)),1+(LEFT(TRIM(INDEX(PASTE_ALL,5,60)),1)="-"),999),1)="%"))&lt;&gt;"",SUBSTITUTE(SUBSTITUTE(SUBSTITUTE(SUBSTITUTE(SUBSTITUTE(SUBSTITUTE(SUBSTITUTE(SUBSTITUTE(SUBSTITUTE(SUBSTITUTE(SUBSTITUTE(SUBSTITUTE(LEFT(MID(TRIM(INDEX(PASTE_ALL,5,60)),1+(LEFT(TRIM(INDEX(PASTE_ALL,5,60)),1)="-"),999),LEN(MID(TRIM(INDEX(PASTE_ALL,5,60)),1+(LEFT(TRIM(INDEX(PASTE_ALL,5,60)),1)="-"),999))-(RIGHT(MID(TRIM(INDEX(PASTE_ALL,5,60)),1+(LEFT(TRIM(INDEX(PASTE_ALL,5,60)),1)="-"),999),1)="%")),"0",""),"1",""),"2",""),"3",""),"4",""),"5",""),"6",""),"7",""),"8",""),"9",""),".",""),",","")=""),2,1))),1)</f>
        <v/>
      </c>
      <c r="DA54" t="n">
        <v>50</v>
      </c>
      <c r="DB54">
        <f>IF($B$37=0,"",IFERROR(TRIM(SUBSTITUTE(SUBSTITUTE(SUBSTITUTE(SUBSTITUTE(INDEX(PASTE_ALL,50,$B$37)," "," "),CHAR(9)," "),CHAR(10)," "),CHAR(13)," ")),""))</f>
        <v/>
      </c>
      <c r="DC54">
        <f>IF(AND(50&gt;HEADER_ROW,UPPER(DB54)="LEGEND"),1,0)</f>
        <v/>
      </c>
      <c r="DE54" t="n">
        <v>50</v>
      </c>
      <c r="DF54">
        <f>HEADER_ROW+$DE54</f>
        <v/>
      </c>
      <c r="DG54">
        <f>IF(AND($DF54&lt;=1000,$DF54&lt;$B$8),1,0)</f>
        <v/>
      </c>
      <c r="DH54">
        <f>IF($DG54=1,IFERROR(INDEX($DB$5:$DB$1004,$DF54),""),"")</f>
        <v/>
      </c>
      <c r="DI54">
        <f>IF(AND($DG54=1,$DH54&lt;&gt;""),IFERROR(SUBSTITUTE(SUBSTITUTE(TRIM(SUBSTITUTE(SUBSTITUTE(SUBSTITUTE(SUBSTITUTE(IFERROR(INDEX(PASTE_ALL,$DF54,1)&amp;"","")&amp;"␟"&amp;IFERROR(INDEX(PASTE_ALL,$DF54,2)&amp;"","")&amp;"␟"&amp;IFERROR(INDEX(PASTE_ALL,$DF54,3)&amp;"","")&amp;"␟"&amp;IFERROR(INDEX(PASTE_ALL,$DF54,4)&amp;"","")&amp;"␟"&amp;IFERROR(INDEX(PASTE_ALL,$DF54,5)&amp;"","")&amp;"␟"&amp;IFERROR(INDEX(PASTE_ALL,$DF54,6)&amp;"","")&amp;"␟"&amp;IFERROR(INDEX(PASTE_ALL,$DF54,7)&amp;"","")&amp;"␟"&amp;IFERROR(INDEX(PASTE_ALL,$DF54,8)&amp;"","")&amp;"␟"&amp;IFERROR(INDEX(PASTE_ALL,$DF54,9)&amp;"","")&amp;"␟"&amp;IFERROR(INDEX(PASTE_ALL,$DF54,10)&amp;"","")&amp;"␟"&amp;IFERROR(INDEX(PASTE_ALL,$DF54,11)&amp;"","")&amp;"␟"&amp;IFERROR(INDEX(PASTE_ALL,$DF54,12)&amp;"","")&amp;"␟"&amp;IFERROR(INDEX(PASTE_ALL,$DF54,13)&amp;"","")&amp;"␟"&amp;IFERROR(INDEX(PASTE_ALL,$DF54,14)&amp;"","")&amp;"␟"&amp;IFERROR(INDEX(PASTE_ALL,$DF54,15)&amp;"","")&amp;"␟"&amp;IFERROR(INDEX(PASTE_ALL,$DF54,16)&amp;"","")&amp;"␟"&amp;IFERROR(INDEX(PASTE_ALL,$DF54,17)&amp;"","")&amp;"␟"&amp;IFERROR(INDEX(PASTE_ALL,$DF54,18)&amp;"","")&amp;"␟"&amp;IFERROR(INDEX(PASTE_ALL,$DF54,19)&amp;"","")&amp;"␟"&amp;IFERROR(INDEX(PASTE_ALL,$DF54,20)&amp;"","")&amp;"␟"&amp;IFERROR(INDEX(PASTE_ALL,$DF54,21)&amp;"","")&amp;"␟"&amp;IFERROR(INDEX(PASTE_ALL,$DF54,22)&amp;"","")&amp;"␟"&amp;IFERROR(INDEX(PASTE_ALL,$DF54,23)&amp;"","")&amp;"␟"&amp;IFERROR(INDEX(PASTE_ALL,$DF54,24)&amp;"","")&amp;"␟"&amp;IFERROR(INDEX(PASTE_ALL,$DF54,25)&amp;"","")&amp;"␟"&amp;IFERROR(INDEX(PASTE_ALL,$DF54,26)&amp;"","")&amp;"␟"&amp;IFERROR(INDEX(PASTE_ALL,$DF54,27)&amp;"","")&amp;"␟"&amp;IFERROR(INDEX(PASTE_ALL,$DF54,28)&amp;"","")&amp;"␟"&amp;IFERROR(INDEX(PASTE_ALL,$DF54,29)&amp;"","")&amp;"␟"&amp;IFERROR(INDEX(PASTE_ALL,$DF54,30)&amp;"","")&amp;"␟"&amp;IFERROR(INDEX(PASTE_ALL,$DF54,31)&amp;"","")&amp;"␟"&amp;IFERROR(INDEX(PASTE_ALL,$DF54,32)&amp;"","")&amp;"␟"&amp;IFERROR(INDEX(PASTE_ALL,$DF54,33)&amp;"","")&amp;"␟"&amp;IFERROR(INDEX(PASTE_ALL,$DF54,34)&amp;"","")&amp;"␟"&amp;IFERROR(INDEX(PASTE_ALL,$DF54,35)&amp;"","")&amp;"␟"&amp;IFERROR(INDEX(PASTE_ALL,$DF54,36)&amp;"","")&amp;"␟"&amp;IFERROR(INDEX(PASTE_ALL,$DF54,37)&amp;"","")&amp;"␟"&amp;IFERROR(INDEX(PASTE_ALL,$DF54,38)&amp;"","")&amp;"␟"&amp;IFERROR(INDEX(PASTE_ALL,$DF54,39)&amp;"","")&amp;"␟"&amp;IFERROR(INDEX(PASTE_ALL,$DF54,40)&amp;"","")&amp;"␟"&amp;IFERROR(INDEX(PASTE_ALL,$DF54,41)&amp;"","")&amp;"␟"&amp;IFERROR(INDEX(PASTE_ALL,$DF54,42)&amp;"","")&amp;"␟"&amp;IFERROR(INDEX(PASTE_ALL,$DF54,43)&amp;"","")&amp;"␟"&amp;IFERROR(INDEX(PASTE_ALL,$DF54,44)&amp;"","")&amp;"␟"&amp;IFERROR(INDEX(PASTE_ALL,$DF54,45)&amp;"","")&amp;"␟"&amp;IFERROR(INDEX(PASTE_ALL,$DF54,46)&amp;"","")&amp;"␟"&amp;IFERROR(INDEX(PASTE_ALL,$DF54,47)&amp;"","")&amp;"␟"&amp;IFERROR(INDEX(PASTE_ALL,$DF54,48)&amp;"","")&amp;"␟"&amp;IFERROR(INDEX(PASTE_ALL,$DF54,49)&amp;"","")&amp;"␟"&amp;IFERROR(INDEX(PASTE_ALL,$DF54,50)&amp;"","")&amp;"␟"&amp;IFERROR(INDEX(PASTE_ALL,$DF54,51)&amp;"","")&amp;"␟"&amp;IFERROR(INDEX(PASTE_ALL,$DF54,52)&amp;"","")&amp;"␟"&amp;IFERROR(INDEX(PASTE_ALL,$DF54,53)&amp;"","")&amp;"␟"&amp;IFERROR(INDEX(PASTE_ALL,$DF54,54)&amp;"","")&amp;"␟"&amp;IFERROR(INDEX(PASTE_ALL,$DF54,55)&amp;"","")&amp;"␟"&amp;IFERROR(INDEX(PASTE_ALL,$DF54,56)&amp;"","")&amp;"␟"&amp;IFERROR(INDEX(PASTE_ALL,$DF54,57)&amp;"","")&amp;"␟"&amp;IFERROR(INDEX(PASTE_ALL,$DF54,58)&amp;"","")&amp;"␟"&amp;IFERROR(INDEX(PASTE_ALL,$DF54,59)&amp;"","")&amp;"␟"&amp;IFERROR(INDEX(PASTE_ALL,$DF54,60)&amp;"","")," "," "),CHAR(9)," "),CHAR(10)," "),CHAR(13)," "))," ␟","␟"),"␟ ","␟"),"#"&amp;$DE54),"")</f>
        <v/>
      </c>
      <c r="DJ54">
        <f>IF($DI54="",0,IF(SUMPRODUCT(--EXACT($DI$4:DI53,$DI54))&gt;0,1,0))</f>
        <v/>
      </c>
      <c r="DK54">
        <f>IF(AND($DI54&lt;&gt;"",$DJ54=0),1,0)</f>
        <v/>
      </c>
      <c r="DL54">
        <f>DL53+$DK54</f>
        <v/>
      </c>
      <c r="DM54">
        <f>IF(AND($DK54=1,$DL54&lt;=600),1,0)</f>
        <v/>
      </c>
      <c r="DN54">
        <f>IF($DM54=0,"",IF($L$6=0,"",IFERROR(IF(ISNUMBER(INDEX(PASTE_ALL,$DF54,$L$6)),INDEX(PASTE_ALL,$DF54,$L$6),TRIM(SUBSTITUTE(SUBSTITUTE(SUBSTITUTE(SUBSTITUTE(INDEX(PASTE_ALL,$DF54,$L$6)," "," "),CHAR(9)," "),CHAR(10)," "),CHAR(13)," "))),"")))</f>
        <v/>
      </c>
      <c r="DO54">
        <f>IF($DM54=0,"",IF($L$7=0,"",IFERROR(IF(ISNUMBER(INDEX(PASTE_ALL,$DF54,$L$7)),INDEX(PASTE_ALL,$DF54,$L$7),TRIM(SUBSTITUTE(SUBSTITUTE(SUBSTITUTE(SUBSTITUTE(INDEX(PASTE_ALL,$DF54,$L$7)," "," "),CHAR(9)," "),CHAR(10)," "),CHAR(13)," "))),"")))</f>
        <v/>
      </c>
      <c r="DP54">
        <f>IF($DM54=0,"",IF($L$8=0,"",IFERROR(IF(ISNUMBER(INDEX(PASTE_ALL,$DF54,$L$8)),INDEX(PASTE_ALL,$DF54,$L$8),TRIM(SUBSTITUTE(SUBSTITUTE(SUBSTITUTE(SUBSTITUTE(INDEX(PASTE_ALL,$DF54,$L$8)," "," "),CHAR(9)," "),CHAR(10)," "),CHAR(13)," "))),"")))</f>
        <v/>
      </c>
      <c r="DQ54">
        <f>IF($DM54=0,"",IF($L$9=0,"",IFERROR(IF(ISNUMBER(INDEX(PASTE_ALL,$DF54,$L$9)),INDEX(PASTE_ALL,$DF54,$L$9),TRIM(SUBSTITUTE(SUBSTITUTE(SUBSTITUTE(SUBSTITUTE(INDEX(PASTE_ALL,$DF54,$L$9)," "," "),CHAR(9)," "),CHAR(10)," "),CHAR(13)," "))),"")))</f>
        <v/>
      </c>
      <c r="DR54">
        <f>IF($DM54=0,"",IF($L$10=0,"",IFERROR(IF(ISNUMBER(INDEX(PASTE_ALL,$DF54,$L$10)),INDEX(PASTE_ALL,$DF54,$L$10),TRIM(SUBSTITUTE(SUBSTITUTE(SUBSTITUTE(SUBSTITUTE(INDEX(PASTE_ALL,$DF54,$L$10)," "," "),CHAR(9)," "),CHAR(10)," "),CHAR(13)," "))),"")))</f>
        <v/>
      </c>
      <c r="DS54">
        <f>IF($DM54=0,"",IF($L$11=0,"",IFERROR(IF(ISNUMBER(INDEX(PASTE_ALL,$DF54,$L$11)),INDEX(PASTE_ALL,$DF54,$L$11),TRIM(SUBSTITUTE(SUBSTITUTE(SUBSTITUTE(SUBSTITUTE(INDEX(PASTE_ALL,$DF54,$L$11)," "," "),CHAR(9)," "),CHAR(10)," "),CHAR(13)," "))),"")))</f>
        <v/>
      </c>
      <c r="DT54">
        <f>IF($DM54=0,"",IF($L$12=0,"",IFERROR(IF(ISNUMBER(INDEX(PASTE_ALL,$DF54,$L$12)),INDEX(PASTE_ALL,$DF54,$L$12),TRIM(SUBSTITUTE(SUBSTITUTE(SUBSTITUTE(SUBSTITUTE(INDEX(PASTE_ALL,$DF54,$L$12)," "," "),CHAR(9)," "),CHAR(10)," "),CHAR(13)," "))),"")))</f>
        <v/>
      </c>
      <c r="DU54">
        <f>IF($DM54=0,"",IF($L$13=0,"",IFERROR(IF(ISNUMBER(INDEX(PASTE_ALL,$DF54,$L$13)),INDEX(PASTE_ALL,$DF54,$L$13),TRIM(SUBSTITUTE(SUBSTITUTE(SUBSTITUTE(SUBSTITUTE(INDEX(PASTE_ALL,$DF54,$L$13)," "," "),CHAR(9)," "),CHAR(10)," "),CHAR(13)," "))),"")))</f>
        <v/>
      </c>
      <c r="DV54">
        <f>IF($DM54=0,"",IF($L$14=0,"",IFERROR(IF(ISNUMBER(INDEX(PASTE_ALL,$DF54,$L$14)),INDEX(PASTE_ALL,$DF54,$L$14),TRIM(SUBSTITUTE(SUBSTITUTE(SUBSTITUTE(SUBSTITUTE(INDEX(PASTE_ALL,$DF54,$L$14)," "," "),CHAR(9)," "),CHAR(10)," "),CHAR(13)," "))),"")))</f>
        <v/>
      </c>
      <c r="DW54">
        <f>IF($DM54=0,"",IF($L$15=0,"",IFERROR(IF(ISNUMBER(INDEX(PASTE_ALL,$DF54,$L$15)),INDEX(PASTE_ALL,$DF54,$L$15),IF(SUMPRODUCT(--ISNUMBER(FIND({"A","B","C","D","E","F","G","H","I","J","K","L","M","N","O","P","Q","R","S","T","U","V","W","X","Y","Z","0","1","2","3","4","5","6","7","8","9"},UPPER(TRIM(SUBSTITUTE(SUBSTITUTE(SUBSTITUTE(SUBSTITUTE(INDEX(PASTE_ALL,$DF54,$L$15)," "," "),CHAR(9)," "),CHAR(10)," "),CHAR(13)," "))))))&gt;0,TRIM(SUBSTITUTE(SUBSTITUTE(SUBSTITUTE(SUBSTITUTE(INDEX(PASTE_ALL,$DF54,$L$15)," "," "),CHAR(9)," "),CHAR(10)," "),CHAR(13)," ")),"")),"")))</f>
        <v/>
      </c>
      <c r="DX54">
        <f>IF($DM54=0,"",IF($L$16=0,"",IFERROR(IF(ISNUMBER(INDEX(PASTE_ALL,$DF54,$L$16)),INDEX(PASTE_ALL,$DF54,$L$16),SUBSTITUTE(SUBSTITUTE(TRIM(SUBSTITUTE(SUBSTITUTE(SUBSTITUTE(SUBSTITUTE(INDEX(PASTE_ALL,$DF54,$L$16)," "," "),CHAR(9)," "),CHAR(10)," "),CHAR(13)," ")),",",""),"%","")),"")))</f>
        <v/>
      </c>
      <c r="DY54">
        <f>IF($DM54=0,"",IFERROR(IF(ISNUMBER($DX54),$DX54,IF($DX54="","",IF(TRIM($DX54)="",0,IF(AND(AND(SUBSTITUTE(SUBSTITUTE(SUBSTITUTE(SUBSTITUTE(SUBSTITUTE(SUBSTITUTE(SUBSTITUTE(SUBSTITUTE(SUBSTITUTE(SUBSTITUTE(SUBSTITUTE(SUBSTITUTE(SUBSTITUTE(SUBSTITUTE(UPPER(TRIM($DX54)),"0",""),"1",""),"2",""),"3",""),"4",""),"5",""),"6",""),"7",""),"8",""),"9",""),".",""),"+",""),"-",""),"E","")="",LEN(SUBSTITUTE(SUBSTITUTE(MID(UPPER(TRIM($DX54)),1+OR(LEFT(UPPER(TRIM($DX54)),1)="+",LEFT(UPPER(TRIM($DX54)),1)="-"),999),"E+","E"),"E-","E"))=LEN(SUBSTITUTE(SUBSTITUTE(SUBSTITUTE(SUBSTITUTE(MID(UPPER(TRIM($DX54)),1+OR(LEFT(UPPER(TRIM($DX54)),1)="+",LEFT(UPPER(TRIM($DX54)),1)="-"),999),"E+","E"),"E-","E"),"+",""),"-","")),LEN(UPPER(TRIM($DX54)))-LEN(SUBSTITUTE(UPPER(TRIM($DX54)),"E",""))&lt;2,LEN(UPPER(TRIM($DX54)))-LEN(SUBSTITUTE(UPPER(TRIM($DX54)),".",""))&lt;2,IFERROR(FIND(".",UPPER(TRIM($DX54))),0)&lt;IFERROR(FIND("E",UPPER(TRIM($DX54))),999)),ISNUMBER(VALUE(TRIM($DX54)))),VALUE(TRIM($DX54)),"")))),""))</f>
        <v/>
      </c>
      <c r="DZ54">
        <f>IF($DM54=0,"",IF($L$17=0,"",IFERROR(IF(ISNUMBER(INDEX(PASTE_ALL,$DF54,$L$17)),INDEX(PASTE_ALL,$DF54,$L$17),SUBSTITUTE(SUBSTITUTE(TRIM(SUBSTITUTE(SUBSTITUTE(SUBSTITUTE(SUBSTITUTE(INDEX(PASTE_ALL,$DF54,$L$17)," "," "),CHAR(9)," "),CHAR(10)," "),CHAR(13)," ")),",",""),"%","")),"")))</f>
        <v/>
      </c>
      <c r="EA54">
        <f>IF($DM54=0,"",IFERROR(IF(ISNUMBER($DZ54),$DZ54,IF($DZ54="","",IF(TRIM($DZ54)="",0,IF(AND(AND(SUBSTITUTE(SUBSTITUTE(SUBSTITUTE(SUBSTITUTE(SUBSTITUTE(SUBSTITUTE(SUBSTITUTE(SUBSTITUTE(SUBSTITUTE(SUBSTITUTE(SUBSTITUTE(SUBSTITUTE(SUBSTITUTE(SUBSTITUTE(UPPER(TRIM($DZ54)),"0",""),"1",""),"2",""),"3",""),"4",""),"5",""),"6",""),"7",""),"8",""),"9",""),".",""),"+",""),"-",""),"E","")="",LEN(SUBSTITUTE(SUBSTITUTE(MID(UPPER(TRIM($DZ54)),1+OR(LEFT(UPPER(TRIM($DZ54)),1)="+",LEFT(UPPER(TRIM($DZ54)),1)="-"),999),"E+","E"),"E-","E"))=LEN(SUBSTITUTE(SUBSTITUTE(SUBSTITUTE(SUBSTITUTE(MID(UPPER(TRIM($DZ54)),1+OR(LEFT(UPPER(TRIM($DZ54)),1)="+",LEFT(UPPER(TRIM($DZ54)),1)="-"),999),"E+","E"),"E-","E"),"+",""),"-","")),LEN(UPPER(TRIM($DZ54)))-LEN(SUBSTITUTE(UPPER(TRIM($DZ54)),"E",""))&lt;2,LEN(UPPER(TRIM($DZ54)))-LEN(SUBSTITUTE(UPPER(TRIM($DZ54)),".",""))&lt;2,IFERROR(FIND(".",UPPER(TRIM($DZ54))),0)&lt;IFERROR(FIND("E",UPPER(TRIM($DZ54))),999)),ISNUMBER(VALUE(TRIM($DZ54)))),VALUE(TRIM($DZ54)),"")))),""))</f>
        <v/>
      </c>
      <c r="EB54">
        <f>IF($DM54=0,"",IF($L$18=0,"",IFERROR(IF(UPPER(TRIM(SUBSTITUTE(SUBSTITUTE(SUBSTITUTE(SUBSTITUTE(INDEX(PASTE_ALL,$DF54,$L$18)," "," "),CHAR(9)," "),CHAR(10)," "),CHAR(13)," ")))="READY","Ready",IF(UPPER(TRIM(SUBSTITUTE(SUBSTITUTE(SUBSTITUTE(SUBSTITUTE(INDEX(PASTE_ALL,$DF54,$L$18)," "," "),CHAR(9)," "),CHAR(10)," "),CHAR(13)," ")))="PM","PM",IF(OR(UPPER(TRIM(SUBSTITUTE(SUBSTITUTE(SUBSTITUTE(SUBSTITUTE(INDEX(PASTE_ALL,$DF54,$L$18)," "," "),CHAR(9)," "),CHAR(10)," "),CHAR(13)," ")))="OT",UPPER(TRIM(SUBSTITUTE(SUBSTITUTE(SUBSTITUTE(SUBSTITUTE(INDEX(PASTE_ALL,$DF54,$L$18)," "," "),CHAR(9)," "),CHAR(10)," "),CHAR(13)," ")))="OVERTIME",UPPER(TRIM(SUBSTITUTE(SUBSTITUTE(SUBSTITUTE(SUBSTITUTE(INDEX(PASTE_ALL,$DF54,$L$18)," "," "),CHAR(9)," "),CHAR(10)," "),CHAR(13)," ")))="TRIAL"),"OT",TRIM(SUBSTITUTE(SUBSTITUTE(SUBSTITUTE(SUBSTITUTE(INDEX(PASTE_ALL,$DF54,$L$18)," "," "),CHAR(9)," "),CHAR(10)," "),CHAR(13)," "))))),"")))</f>
        <v/>
      </c>
      <c r="EC54">
        <f>IF($DM54=0,"",IF($L$19=0,"",IFERROR(IF(ISNUMBER(INDEX(PASTE_ALL,$DF54,$L$19)),INDEX(PASTE_ALL,$DF54,$L$19),TRIM(SUBSTITUTE(SUBSTITUTE(SUBSTITUTE(SUBSTITUTE(INDEX(PASTE_ALL,$DF54,$L$19)," "," "),CHAR(9)," "),CHAR(10)," "),CHAR(13)," "))),"")))</f>
        <v/>
      </c>
      <c r="ED54">
        <f>IF($DM54=0,"",MATCH(1,INDEX(EXACT($DH$5:DH54,$DH54)*$DM$5:DM54,0),0))</f>
        <v/>
      </c>
      <c r="EE54">
        <f>IF($DM54=0,0,IF($ED54=$DE54,1,0))</f>
        <v/>
      </c>
      <c r="EF54">
        <f>EF53+$EE54</f>
        <v/>
      </c>
      <c r="EG54">
        <f>IF($DM54=0,"",INDEX($EF$5:$EF$1003,$ED54))</f>
        <v/>
      </c>
      <c r="EH54">
        <f>IF($DM54=0,"",IF($DO54&lt;&gt;"","",IFERROR(LOOKUP(2,1/(($EG$4:EG53=$EG54)*($DO$4:DO53&lt;&gt;"")),$DO$4:DO53),"")))</f>
        <v/>
      </c>
      <c r="EI54">
        <f>IF($DM54=0,"",IF($DO54&lt;&gt;"",$DO54,$EH54))</f>
        <v/>
      </c>
      <c r="EJ54">
        <f>IF($DM54=0,"",IF($EI54="",0,IF(OR(ISNUMBER($EI54),AND(AND(SUBSTITUTE(SUBSTITUTE(SUBSTITUTE(SUBSTITUTE(SUBSTITUTE(SUBSTITUTE(SUBSTITUTE(SUBSTITUTE(SUBSTITUTE(SUBSTITUTE(SUBSTITUTE(SUBSTITUTE(SUBSTITUTE(SUBSTITUTE(UPPER($EI54),"0",""),"1",""),"2",""),"3",""),"4",""),"5",""),"6",""),"7",""),"8",""),"9",""),".",""),"+",""),"-",""),"E","")="",LEN(SUBSTITUTE(SUBSTITUTE(MID(UPPER($EI54),1+OR(LEFT(UPPER($EI54),1)="+",LEFT(UPPER($EI54),1)="-"),999),"E+","E"),"E-","E"))=LEN(SUBSTITUTE(SUBSTITUTE(SUBSTITUTE(SUBSTITUTE(MID(UPPER($EI54),1+OR(LEFT(UPPER($EI54),1)="+",LEFT(UPPER($EI54),1)="-"),999),"E+","E"),"E-","E"),"+",""),"-","")),LEN(UPPER($EI54))-LEN(SUBSTITUTE(UPPER($EI54),"E",""))&lt;2,LEN(UPPER($EI54))-LEN(SUBSTITUTE(UPPER($EI54),".",""))&lt;2,IFERROR(FIND(".",UPPER($EI54)),0)&lt;IFERROR(FIND("E",UPPER($EI54)),999)),ISNUMBER(VALUE($EI54)))),1,2)))</f>
        <v/>
      </c>
      <c r="EK54">
        <f>IF($DM54=0,"",IF($EJ54=1,IF(ISNUMBER($EI54),$EI54,VALUE($EI54)),IF($EJ54=2,$DE54,0)))</f>
        <v/>
      </c>
      <c r="EL54">
        <f>IF($DM54=0,"",COUNTIF($EG$5:$EG$1003,"&lt;"&amp;$EG54)+SUMPRODUCT(($EG$5:$EG$1003=$EG54)*(($EJ$5:$EJ$1003&lt;$EJ54)+($EJ$5:$EJ$1003=$EJ54)*(($EK$5:$EK$1003&lt;$EK54)+($EK$5:$EK$1003=$EK54)*($DE$5:$DE$1003&lt;$DE54))))+1)</f>
        <v/>
      </c>
      <c r="EM54">
        <f>IF($DM54=0,"",$EL54+$EG54-1)</f>
        <v/>
      </c>
      <c r="EN54">
        <f>IF($DM54=0,0,IFERROR(MATCH(1,INDEX(--(TRIM(SUBSTITUTE(SUBSTITUTE(SUBSTITUTE(SUBSTITUTE(LINES_NAME&amp;""," "," "),CHAR(9)," "),CHAR(10)," "),CHAR(13)," "))=$DH54),0),0),0))</f>
        <v/>
      </c>
      <c r="EO54">
        <f>IF($EN54=0,0,IF(OR(UPPER(TRIM(INDEX(LINES_SCHEDULED,$EN54)&amp;""))="YES",UPPER(TRIM(INDEX(LINES_SCHEDULED,$EN54)&amp;""))="Y",UPPER(TRIM(INDEX(LINES_SCHEDULED,$EN54)&amp;""))="X"),1,0))</f>
        <v/>
      </c>
      <c r="EP54">
        <f>IF($DM54=0,"",IF(COUNTIFS($EG$5:$EG$1003,$EG54,$EB$5:$EB$1003,"Ready")&gt;0,"READY",IF(COUNTIFS($EG$5:$EG$1003,$EG54,$EB$5:$EB$1003,"PM")&gt;0,"PM",IF(COUNTIFS($EG$5:$EG$1003,$EG54,$EB$5:$EB$1003,"OT")&gt;0,"OT",""))))</f>
        <v/>
      </c>
      <c r="EQ54">
        <f>IF($EN54=0,"",UPPER(TRIM(INDEX(LINES_STATUS,$EN54)&amp;"")))</f>
        <v/>
      </c>
      <c r="ER54">
        <f>IF($DM54=0,"",IF(OR($EQ54="READY",$EQ54="PM",$EQ54="OT"),$EQ54,$EP54))</f>
        <v/>
      </c>
      <c r="ES54">
        <f>IF($DM54=0,"",IF(AND($DV54&lt;&gt;"",UPPER($DV54)&lt;&gt;"N"),"allergen",IF(ISNUMBER(SEARCH("oil",$DQ54)),"oil",IF(OR(EXACT($DS54,"A662"),EXACT($DS54,"A624")),"bulk",""))))</f>
        <v/>
      </c>
      <c r="ET54">
        <f>IF($DM54=0,"",IF(OR($EA54="",$EA54=0),"",$EA54/100))</f>
        <v/>
      </c>
      <c r="EU54">
        <f>IF(OR($ET54="",$DY54=""),"",INT($DY54*(1-$ET54)+0.5))</f>
        <v/>
      </c>
      <c r="EW54" t="n">
        <v>50</v>
      </c>
      <c r="EX54">
        <f>IFERROR(MATCH($EW54,$EM$5:$EM$1003,0),0)</f>
        <v/>
      </c>
      <c r="EY54">
        <f>IF($EW54&gt;$B$12,"",IF($EX54&gt;0,"row","spacer"))</f>
        <v/>
      </c>
      <c r="EZ54">
        <f>IF(AND($EY54="row",$EY53&lt;&gt;"row"),1,0)</f>
        <v/>
      </c>
      <c r="FA54">
        <f>IF(AND($EY54="row",$EY55&lt;&gt;"row"),1,0)</f>
        <v/>
      </c>
      <c r="FB54">
        <f>IF($EZ54=1,IFERROR(IF(ISNUMBER(INDEX(PASTE_ALL,INDEX($DF$5:$DF$1003,$EX54),$B$37)),INDEX(PASTE_ALL,INDEX($DF$5:$DF$1003,$EX54),$B$37),INDEX($DH$5:$DH$1003,$EX54)),INDEX($DH$5:$DH$1003,$EX54)),"")</f>
        <v/>
      </c>
      <c r="FC54">
        <f>IF($EY54="row",INDEX($ER$5:$ER$1003,$EX54),"")</f>
        <v/>
      </c>
      <c r="FD54">
        <f>IF($EY54="row",INDEX($DN$5:$DN$1003,$EX54),"")</f>
        <v/>
      </c>
      <c r="FE54">
        <f>IF($EY54="row",INDEX($DO$5:$DO$1003,$EX54),"")</f>
        <v/>
      </c>
      <c r="FF54">
        <f>IF($EY54="row",INDEX($DP$5:$DP$1003,$EX54),"")</f>
        <v/>
      </c>
      <c r="FG54">
        <f>IF($EY54="row",INDEX($DQ$5:$DQ$1003,$EX54),"")</f>
        <v/>
      </c>
      <c r="FH54">
        <f>IF($EY54="row",INDEX($DR$5:$DR$1003,$EX54),"")</f>
        <v/>
      </c>
      <c r="FI54">
        <f>IF($EY54="row",INDEX($DS$5:$DS$1003,$EX54),"")</f>
        <v/>
      </c>
      <c r="FJ54">
        <f>IF($EY54="row",INDEX($DT$5:$DT$1003,$EX54),"")</f>
        <v/>
      </c>
      <c r="FK54">
        <f>IF($EY54="row",INDEX($DU$5:$DU$1003,$EX54),"")</f>
        <v/>
      </c>
      <c r="FL54">
        <f>IF($EY54="row",INDEX($DV$5:$DV$1003,$EX54),"")</f>
        <v/>
      </c>
      <c r="FM54">
        <f>IF($EY54="row",INDEX($DW$5:$DW$1003,$EX54),"")</f>
        <v/>
      </c>
      <c r="FN54">
        <f>IF($EY54="row",INDEX($DY$5:$DY$1003,$EX54),"")</f>
        <v/>
      </c>
      <c r="FO54">
        <f>IF($EY54="row",INDEX($EA$5:$EA$1003,$EX54),"")</f>
        <v/>
      </c>
      <c r="FP54">
        <f>IF($EY54="row",INDEX($EC$5:$EC$1003,$EX54),"")</f>
        <v/>
      </c>
      <c r="FQ54">
        <f>IF($EY54="row",INDEX($ET$5:$ET$1003,$EX54),"")</f>
        <v/>
      </c>
      <c r="FR54">
        <f>IF($EY54="row",INDEX($EU$5:$EU$1003,$EX54),"")</f>
        <v/>
      </c>
      <c r="FS54">
        <f>IF(AND($EY54="row",$EY53="row"),IF(OR(INDEX($DT$5:$DT$1003,$EX53)="",INDEX($DT$5:$DT$1003,$EX54)=""),"",IF(NOT(EXACT(INDEX($DT$5:$DT$1003,$EX53),INDEX($DT$5:$DT$1003,$EX54))),"S4",IF(NOT(EXACT(INDEX($DS$5:$DS$1003,$EX53),INDEX($DS$5:$DS$1003,$EX54))),"S3",IF(NOT(EXACT(INDEX($DR$5:$DR$1003,$EX53),INDEX($DR$5:$DR$1003,$EX54))),"S1 Count Change","S1")))),"")</f>
        <v/>
      </c>
      <c r="FT54">
        <f>IF($EY54="row",INDEX($ES$5:$ES$1003,$EX54),"")</f>
        <v/>
      </c>
      <c r="FU54">
        <f>IF($EY54="row",INDEX($EO$5:$EO$1003,$EX54),0)</f>
        <v/>
      </c>
      <c r="FV54">
        <f>IF($FS54="S1 Count Change",1,0)</f>
        <v/>
      </c>
      <c r="FX54" t="n">
        <v>50</v>
      </c>
      <c r="FY54">
        <f>IFERROR(MATCH($FX54,$EF$5:$EF$1003,0),0)</f>
        <v/>
      </c>
      <c r="FZ54">
        <f>IF($FY54=0,"",INDEX($DH$5:$DH$1003,$FY54))</f>
        <v/>
      </c>
      <c r="GA54">
        <f>IF($FY54=0,"",COUNTIF($EG$5:$EG$1003,$FX54))</f>
        <v/>
      </c>
      <c r="GB54">
        <f>IF($FY54=0,"",INDEX($ER$5:$ER$1003,$FY54))</f>
        <v/>
      </c>
      <c r="GC54">
        <f>IF($FY54=0,"",IF(INDEX($EO$5:$EO$1003,$FY54)=1,"Yes",""))</f>
        <v/>
      </c>
      <c r="GD54">
        <f>IF($FY54=0,"",IF(INDEX($EN$5:$EN$1003,$FY54)&gt;0,"","NOT IN YOUR LIST - type it in column A to tick it"))</f>
        <v/>
      </c>
      <c r="GE54">
        <f>IF(AND($FY54&gt;0,$GD54&lt;&gt;""),1,0)</f>
        <v/>
      </c>
      <c r="GF54">
        <f>GF53+$GE54</f>
        <v/>
      </c>
      <c r="GG54">
        <f>IFERROR(INDEX($FZ$5:$FZ$104,MATCH($FX54,$GF$5:$GF$104,0)),"")</f>
        <v/>
      </c>
    </row>
    <row r="55">
      <c r="S55" t="n">
        <v>51</v>
      </c>
      <c r="T55" t="inlineStr">
        <is>
          <t>AY</t>
        </is>
      </c>
      <c r="V55" t="inlineStr">
        <is>
          <t>BOTTLE</t>
        </is>
      </c>
      <c r="W55" t="n">
        <v>8</v>
      </c>
      <c r="Y55">
        <f>IFERROR(IF(ISNUMBER(INDEX(PASTE_ALL,6,1)),2,IF(TRIM(INDEX(PASTE_ALL,6,1))="",0,IF(AND(LEFT(MID(TRIM(INDEX(PASTE_ALL,6,1)),1+(LEFT(TRIM(INDEX(PASTE_ALL,6,1)),1)="-"),999),LEN(MID(TRIM(INDEX(PASTE_ALL,6,1)),1+(LEFT(TRIM(INDEX(PASTE_ALL,6,1)),1)="-"),999))-(RIGHT(MID(TRIM(INDEX(PASTE_ALL,6,1)),1+(LEFT(TRIM(INDEX(PASTE_ALL,6,1)),1)="-"),999),1)="%"))&lt;&gt;"",SUBSTITUTE(SUBSTITUTE(SUBSTITUTE(SUBSTITUTE(SUBSTITUTE(SUBSTITUTE(SUBSTITUTE(SUBSTITUTE(SUBSTITUTE(SUBSTITUTE(SUBSTITUTE(SUBSTITUTE(LEFT(MID(TRIM(INDEX(PASTE_ALL,6,1)),1+(LEFT(TRIM(INDEX(PASTE_ALL,6,1)),1)="-"),999),LEN(MID(TRIM(INDEX(PASTE_ALL,6,1)),1+(LEFT(TRIM(INDEX(PASTE_ALL,6,1)),1)="-"),999))-(RIGHT(MID(TRIM(INDEX(PASTE_ALL,6,1)),1+(LEFT(TRIM(INDEX(PASTE_ALL,6,1)),1)="-"),999),1)="%")),"0",""),"1",""),"2",""),"3",""),"4",""),"5",""),"6",""),"7",""),"8",""),"9",""),".",""),",","")=""),2,1))),1)</f>
        <v/>
      </c>
      <c r="Z55">
        <f>IFERROR(IF(ISNUMBER(INDEX(PASTE_ALL,6,2)),2,IF(TRIM(INDEX(PASTE_ALL,6,2))="",0,IF(AND(LEFT(MID(TRIM(INDEX(PASTE_ALL,6,2)),1+(LEFT(TRIM(INDEX(PASTE_ALL,6,2)),1)="-"),999),LEN(MID(TRIM(INDEX(PASTE_ALL,6,2)),1+(LEFT(TRIM(INDEX(PASTE_ALL,6,2)),1)="-"),999))-(RIGHT(MID(TRIM(INDEX(PASTE_ALL,6,2)),1+(LEFT(TRIM(INDEX(PASTE_ALL,6,2)),1)="-"),999),1)="%"))&lt;&gt;"",SUBSTITUTE(SUBSTITUTE(SUBSTITUTE(SUBSTITUTE(SUBSTITUTE(SUBSTITUTE(SUBSTITUTE(SUBSTITUTE(SUBSTITUTE(SUBSTITUTE(SUBSTITUTE(SUBSTITUTE(LEFT(MID(TRIM(INDEX(PASTE_ALL,6,2)),1+(LEFT(TRIM(INDEX(PASTE_ALL,6,2)),1)="-"),999),LEN(MID(TRIM(INDEX(PASTE_ALL,6,2)),1+(LEFT(TRIM(INDEX(PASTE_ALL,6,2)),1)="-"),999))-(RIGHT(MID(TRIM(INDEX(PASTE_ALL,6,2)),1+(LEFT(TRIM(INDEX(PASTE_ALL,6,2)),1)="-"),999),1)="%")),"0",""),"1",""),"2",""),"3",""),"4",""),"5",""),"6",""),"7",""),"8",""),"9",""),".",""),",","")=""),2,1))),1)</f>
        <v/>
      </c>
      <c r="AA55">
        <f>IFERROR(IF(ISNUMBER(INDEX(PASTE_ALL,6,3)),2,IF(TRIM(INDEX(PASTE_ALL,6,3))="",0,IF(AND(LEFT(MID(TRIM(INDEX(PASTE_ALL,6,3)),1+(LEFT(TRIM(INDEX(PASTE_ALL,6,3)),1)="-"),999),LEN(MID(TRIM(INDEX(PASTE_ALL,6,3)),1+(LEFT(TRIM(INDEX(PASTE_ALL,6,3)),1)="-"),999))-(RIGHT(MID(TRIM(INDEX(PASTE_ALL,6,3)),1+(LEFT(TRIM(INDEX(PASTE_ALL,6,3)),1)="-"),999),1)="%"))&lt;&gt;"",SUBSTITUTE(SUBSTITUTE(SUBSTITUTE(SUBSTITUTE(SUBSTITUTE(SUBSTITUTE(SUBSTITUTE(SUBSTITUTE(SUBSTITUTE(SUBSTITUTE(SUBSTITUTE(SUBSTITUTE(LEFT(MID(TRIM(INDEX(PASTE_ALL,6,3)),1+(LEFT(TRIM(INDEX(PASTE_ALL,6,3)),1)="-"),999),LEN(MID(TRIM(INDEX(PASTE_ALL,6,3)),1+(LEFT(TRIM(INDEX(PASTE_ALL,6,3)),1)="-"),999))-(RIGHT(MID(TRIM(INDEX(PASTE_ALL,6,3)),1+(LEFT(TRIM(INDEX(PASTE_ALL,6,3)),1)="-"),999),1)="%")),"0",""),"1",""),"2",""),"3",""),"4",""),"5",""),"6",""),"7",""),"8",""),"9",""),".",""),",","")=""),2,1))),1)</f>
        <v/>
      </c>
      <c r="AB55">
        <f>IFERROR(IF(ISNUMBER(INDEX(PASTE_ALL,6,4)),2,IF(TRIM(INDEX(PASTE_ALL,6,4))="",0,IF(AND(LEFT(MID(TRIM(INDEX(PASTE_ALL,6,4)),1+(LEFT(TRIM(INDEX(PASTE_ALL,6,4)),1)="-"),999),LEN(MID(TRIM(INDEX(PASTE_ALL,6,4)),1+(LEFT(TRIM(INDEX(PASTE_ALL,6,4)),1)="-"),999))-(RIGHT(MID(TRIM(INDEX(PASTE_ALL,6,4)),1+(LEFT(TRIM(INDEX(PASTE_ALL,6,4)),1)="-"),999),1)="%"))&lt;&gt;"",SUBSTITUTE(SUBSTITUTE(SUBSTITUTE(SUBSTITUTE(SUBSTITUTE(SUBSTITUTE(SUBSTITUTE(SUBSTITUTE(SUBSTITUTE(SUBSTITUTE(SUBSTITUTE(SUBSTITUTE(LEFT(MID(TRIM(INDEX(PASTE_ALL,6,4)),1+(LEFT(TRIM(INDEX(PASTE_ALL,6,4)),1)="-"),999),LEN(MID(TRIM(INDEX(PASTE_ALL,6,4)),1+(LEFT(TRIM(INDEX(PASTE_ALL,6,4)),1)="-"),999))-(RIGHT(MID(TRIM(INDEX(PASTE_ALL,6,4)),1+(LEFT(TRIM(INDEX(PASTE_ALL,6,4)),1)="-"),999),1)="%")),"0",""),"1",""),"2",""),"3",""),"4",""),"5",""),"6",""),"7",""),"8",""),"9",""),".",""),",","")=""),2,1))),1)</f>
        <v/>
      </c>
      <c r="AC55">
        <f>IFERROR(IF(ISNUMBER(INDEX(PASTE_ALL,6,5)),2,IF(TRIM(INDEX(PASTE_ALL,6,5))="",0,IF(AND(LEFT(MID(TRIM(INDEX(PASTE_ALL,6,5)),1+(LEFT(TRIM(INDEX(PASTE_ALL,6,5)),1)="-"),999),LEN(MID(TRIM(INDEX(PASTE_ALL,6,5)),1+(LEFT(TRIM(INDEX(PASTE_ALL,6,5)),1)="-"),999))-(RIGHT(MID(TRIM(INDEX(PASTE_ALL,6,5)),1+(LEFT(TRIM(INDEX(PASTE_ALL,6,5)),1)="-"),999),1)="%"))&lt;&gt;"",SUBSTITUTE(SUBSTITUTE(SUBSTITUTE(SUBSTITUTE(SUBSTITUTE(SUBSTITUTE(SUBSTITUTE(SUBSTITUTE(SUBSTITUTE(SUBSTITUTE(SUBSTITUTE(SUBSTITUTE(LEFT(MID(TRIM(INDEX(PASTE_ALL,6,5)),1+(LEFT(TRIM(INDEX(PASTE_ALL,6,5)),1)="-"),999),LEN(MID(TRIM(INDEX(PASTE_ALL,6,5)),1+(LEFT(TRIM(INDEX(PASTE_ALL,6,5)),1)="-"),999))-(RIGHT(MID(TRIM(INDEX(PASTE_ALL,6,5)),1+(LEFT(TRIM(INDEX(PASTE_ALL,6,5)),1)="-"),999),1)="%")),"0",""),"1",""),"2",""),"3",""),"4",""),"5",""),"6",""),"7",""),"8",""),"9",""),".",""),",","")=""),2,1))),1)</f>
        <v/>
      </c>
      <c r="AD55">
        <f>IFERROR(IF(ISNUMBER(INDEX(PASTE_ALL,6,6)),2,IF(TRIM(INDEX(PASTE_ALL,6,6))="",0,IF(AND(LEFT(MID(TRIM(INDEX(PASTE_ALL,6,6)),1+(LEFT(TRIM(INDEX(PASTE_ALL,6,6)),1)="-"),999),LEN(MID(TRIM(INDEX(PASTE_ALL,6,6)),1+(LEFT(TRIM(INDEX(PASTE_ALL,6,6)),1)="-"),999))-(RIGHT(MID(TRIM(INDEX(PASTE_ALL,6,6)),1+(LEFT(TRIM(INDEX(PASTE_ALL,6,6)),1)="-"),999),1)="%"))&lt;&gt;"",SUBSTITUTE(SUBSTITUTE(SUBSTITUTE(SUBSTITUTE(SUBSTITUTE(SUBSTITUTE(SUBSTITUTE(SUBSTITUTE(SUBSTITUTE(SUBSTITUTE(SUBSTITUTE(SUBSTITUTE(LEFT(MID(TRIM(INDEX(PASTE_ALL,6,6)),1+(LEFT(TRIM(INDEX(PASTE_ALL,6,6)),1)="-"),999),LEN(MID(TRIM(INDEX(PASTE_ALL,6,6)),1+(LEFT(TRIM(INDEX(PASTE_ALL,6,6)),1)="-"),999))-(RIGHT(MID(TRIM(INDEX(PASTE_ALL,6,6)),1+(LEFT(TRIM(INDEX(PASTE_ALL,6,6)),1)="-"),999),1)="%")),"0",""),"1",""),"2",""),"3",""),"4",""),"5",""),"6",""),"7",""),"8",""),"9",""),".",""),",","")=""),2,1))),1)</f>
        <v/>
      </c>
      <c r="AE55">
        <f>IFERROR(IF(ISNUMBER(INDEX(PASTE_ALL,6,7)),2,IF(TRIM(INDEX(PASTE_ALL,6,7))="",0,IF(AND(LEFT(MID(TRIM(INDEX(PASTE_ALL,6,7)),1+(LEFT(TRIM(INDEX(PASTE_ALL,6,7)),1)="-"),999),LEN(MID(TRIM(INDEX(PASTE_ALL,6,7)),1+(LEFT(TRIM(INDEX(PASTE_ALL,6,7)),1)="-"),999))-(RIGHT(MID(TRIM(INDEX(PASTE_ALL,6,7)),1+(LEFT(TRIM(INDEX(PASTE_ALL,6,7)),1)="-"),999),1)="%"))&lt;&gt;"",SUBSTITUTE(SUBSTITUTE(SUBSTITUTE(SUBSTITUTE(SUBSTITUTE(SUBSTITUTE(SUBSTITUTE(SUBSTITUTE(SUBSTITUTE(SUBSTITUTE(SUBSTITUTE(SUBSTITUTE(LEFT(MID(TRIM(INDEX(PASTE_ALL,6,7)),1+(LEFT(TRIM(INDEX(PASTE_ALL,6,7)),1)="-"),999),LEN(MID(TRIM(INDEX(PASTE_ALL,6,7)),1+(LEFT(TRIM(INDEX(PASTE_ALL,6,7)),1)="-"),999))-(RIGHT(MID(TRIM(INDEX(PASTE_ALL,6,7)),1+(LEFT(TRIM(INDEX(PASTE_ALL,6,7)),1)="-"),999),1)="%")),"0",""),"1",""),"2",""),"3",""),"4",""),"5",""),"6",""),"7",""),"8",""),"9",""),".",""),",","")=""),2,1))),1)</f>
        <v/>
      </c>
      <c r="AF55">
        <f>IFERROR(IF(ISNUMBER(INDEX(PASTE_ALL,6,8)),2,IF(TRIM(INDEX(PASTE_ALL,6,8))="",0,IF(AND(LEFT(MID(TRIM(INDEX(PASTE_ALL,6,8)),1+(LEFT(TRIM(INDEX(PASTE_ALL,6,8)),1)="-"),999),LEN(MID(TRIM(INDEX(PASTE_ALL,6,8)),1+(LEFT(TRIM(INDEX(PASTE_ALL,6,8)),1)="-"),999))-(RIGHT(MID(TRIM(INDEX(PASTE_ALL,6,8)),1+(LEFT(TRIM(INDEX(PASTE_ALL,6,8)),1)="-"),999),1)="%"))&lt;&gt;"",SUBSTITUTE(SUBSTITUTE(SUBSTITUTE(SUBSTITUTE(SUBSTITUTE(SUBSTITUTE(SUBSTITUTE(SUBSTITUTE(SUBSTITUTE(SUBSTITUTE(SUBSTITUTE(SUBSTITUTE(LEFT(MID(TRIM(INDEX(PASTE_ALL,6,8)),1+(LEFT(TRIM(INDEX(PASTE_ALL,6,8)),1)="-"),999),LEN(MID(TRIM(INDEX(PASTE_ALL,6,8)),1+(LEFT(TRIM(INDEX(PASTE_ALL,6,8)),1)="-"),999))-(RIGHT(MID(TRIM(INDEX(PASTE_ALL,6,8)),1+(LEFT(TRIM(INDEX(PASTE_ALL,6,8)),1)="-"),999),1)="%")),"0",""),"1",""),"2",""),"3",""),"4",""),"5",""),"6",""),"7",""),"8",""),"9",""),".",""),",","")=""),2,1))),1)</f>
        <v/>
      </c>
      <c r="AG55">
        <f>IFERROR(IF(ISNUMBER(INDEX(PASTE_ALL,6,9)),2,IF(TRIM(INDEX(PASTE_ALL,6,9))="",0,IF(AND(LEFT(MID(TRIM(INDEX(PASTE_ALL,6,9)),1+(LEFT(TRIM(INDEX(PASTE_ALL,6,9)),1)="-"),999),LEN(MID(TRIM(INDEX(PASTE_ALL,6,9)),1+(LEFT(TRIM(INDEX(PASTE_ALL,6,9)),1)="-"),999))-(RIGHT(MID(TRIM(INDEX(PASTE_ALL,6,9)),1+(LEFT(TRIM(INDEX(PASTE_ALL,6,9)),1)="-"),999),1)="%"))&lt;&gt;"",SUBSTITUTE(SUBSTITUTE(SUBSTITUTE(SUBSTITUTE(SUBSTITUTE(SUBSTITUTE(SUBSTITUTE(SUBSTITUTE(SUBSTITUTE(SUBSTITUTE(SUBSTITUTE(SUBSTITUTE(LEFT(MID(TRIM(INDEX(PASTE_ALL,6,9)),1+(LEFT(TRIM(INDEX(PASTE_ALL,6,9)),1)="-"),999),LEN(MID(TRIM(INDEX(PASTE_ALL,6,9)),1+(LEFT(TRIM(INDEX(PASTE_ALL,6,9)),1)="-"),999))-(RIGHT(MID(TRIM(INDEX(PASTE_ALL,6,9)),1+(LEFT(TRIM(INDEX(PASTE_ALL,6,9)),1)="-"),999),1)="%")),"0",""),"1",""),"2",""),"3",""),"4",""),"5",""),"6",""),"7",""),"8",""),"9",""),".",""),",","")=""),2,1))),1)</f>
        <v/>
      </c>
      <c r="AH55">
        <f>IFERROR(IF(ISNUMBER(INDEX(PASTE_ALL,6,10)),2,IF(TRIM(INDEX(PASTE_ALL,6,10))="",0,IF(AND(LEFT(MID(TRIM(INDEX(PASTE_ALL,6,10)),1+(LEFT(TRIM(INDEX(PASTE_ALL,6,10)),1)="-"),999),LEN(MID(TRIM(INDEX(PASTE_ALL,6,10)),1+(LEFT(TRIM(INDEX(PASTE_ALL,6,10)),1)="-"),999))-(RIGHT(MID(TRIM(INDEX(PASTE_ALL,6,10)),1+(LEFT(TRIM(INDEX(PASTE_ALL,6,10)),1)="-"),999),1)="%"))&lt;&gt;"",SUBSTITUTE(SUBSTITUTE(SUBSTITUTE(SUBSTITUTE(SUBSTITUTE(SUBSTITUTE(SUBSTITUTE(SUBSTITUTE(SUBSTITUTE(SUBSTITUTE(SUBSTITUTE(SUBSTITUTE(LEFT(MID(TRIM(INDEX(PASTE_ALL,6,10)),1+(LEFT(TRIM(INDEX(PASTE_ALL,6,10)),1)="-"),999),LEN(MID(TRIM(INDEX(PASTE_ALL,6,10)),1+(LEFT(TRIM(INDEX(PASTE_ALL,6,10)),1)="-"),999))-(RIGHT(MID(TRIM(INDEX(PASTE_ALL,6,10)),1+(LEFT(TRIM(INDEX(PASTE_ALL,6,10)),1)="-"),999),1)="%")),"0",""),"1",""),"2",""),"3",""),"4",""),"5",""),"6",""),"7",""),"8",""),"9",""),".",""),",","")=""),2,1))),1)</f>
        <v/>
      </c>
      <c r="AI55">
        <f>IFERROR(IF(ISNUMBER(INDEX(PASTE_ALL,6,11)),2,IF(TRIM(INDEX(PASTE_ALL,6,11))="",0,IF(AND(LEFT(MID(TRIM(INDEX(PASTE_ALL,6,11)),1+(LEFT(TRIM(INDEX(PASTE_ALL,6,11)),1)="-"),999),LEN(MID(TRIM(INDEX(PASTE_ALL,6,11)),1+(LEFT(TRIM(INDEX(PASTE_ALL,6,11)),1)="-"),999))-(RIGHT(MID(TRIM(INDEX(PASTE_ALL,6,11)),1+(LEFT(TRIM(INDEX(PASTE_ALL,6,11)),1)="-"),999),1)="%"))&lt;&gt;"",SUBSTITUTE(SUBSTITUTE(SUBSTITUTE(SUBSTITUTE(SUBSTITUTE(SUBSTITUTE(SUBSTITUTE(SUBSTITUTE(SUBSTITUTE(SUBSTITUTE(SUBSTITUTE(SUBSTITUTE(LEFT(MID(TRIM(INDEX(PASTE_ALL,6,11)),1+(LEFT(TRIM(INDEX(PASTE_ALL,6,11)),1)="-"),999),LEN(MID(TRIM(INDEX(PASTE_ALL,6,11)),1+(LEFT(TRIM(INDEX(PASTE_ALL,6,11)),1)="-"),999))-(RIGHT(MID(TRIM(INDEX(PASTE_ALL,6,11)),1+(LEFT(TRIM(INDEX(PASTE_ALL,6,11)),1)="-"),999),1)="%")),"0",""),"1",""),"2",""),"3",""),"4",""),"5",""),"6",""),"7",""),"8",""),"9",""),".",""),",","")=""),2,1))),1)</f>
        <v/>
      </c>
      <c r="AJ55">
        <f>IFERROR(IF(ISNUMBER(INDEX(PASTE_ALL,6,12)),2,IF(TRIM(INDEX(PASTE_ALL,6,12))="",0,IF(AND(LEFT(MID(TRIM(INDEX(PASTE_ALL,6,12)),1+(LEFT(TRIM(INDEX(PASTE_ALL,6,12)),1)="-"),999),LEN(MID(TRIM(INDEX(PASTE_ALL,6,12)),1+(LEFT(TRIM(INDEX(PASTE_ALL,6,12)),1)="-"),999))-(RIGHT(MID(TRIM(INDEX(PASTE_ALL,6,12)),1+(LEFT(TRIM(INDEX(PASTE_ALL,6,12)),1)="-"),999),1)="%"))&lt;&gt;"",SUBSTITUTE(SUBSTITUTE(SUBSTITUTE(SUBSTITUTE(SUBSTITUTE(SUBSTITUTE(SUBSTITUTE(SUBSTITUTE(SUBSTITUTE(SUBSTITUTE(SUBSTITUTE(SUBSTITUTE(LEFT(MID(TRIM(INDEX(PASTE_ALL,6,12)),1+(LEFT(TRIM(INDEX(PASTE_ALL,6,12)),1)="-"),999),LEN(MID(TRIM(INDEX(PASTE_ALL,6,12)),1+(LEFT(TRIM(INDEX(PASTE_ALL,6,12)),1)="-"),999))-(RIGHT(MID(TRIM(INDEX(PASTE_ALL,6,12)),1+(LEFT(TRIM(INDEX(PASTE_ALL,6,12)),1)="-"),999),1)="%")),"0",""),"1",""),"2",""),"3",""),"4",""),"5",""),"6",""),"7",""),"8",""),"9",""),".",""),",","")=""),2,1))),1)</f>
        <v/>
      </c>
      <c r="AK55">
        <f>IFERROR(IF(ISNUMBER(INDEX(PASTE_ALL,6,13)),2,IF(TRIM(INDEX(PASTE_ALL,6,13))="",0,IF(AND(LEFT(MID(TRIM(INDEX(PASTE_ALL,6,13)),1+(LEFT(TRIM(INDEX(PASTE_ALL,6,13)),1)="-"),999),LEN(MID(TRIM(INDEX(PASTE_ALL,6,13)),1+(LEFT(TRIM(INDEX(PASTE_ALL,6,13)),1)="-"),999))-(RIGHT(MID(TRIM(INDEX(PASTE_ALL,6,13)),1+(LEFT(TRIM(INDEX(PASTE_ALL,6,13)),1)="-"),999),1)="%"))&lt;&gt;"",SUBSTITUTE(SUBSTITUTE(SUBSTITUTE(SUBSTITUTE(SUBSTITUTE(SUBSTITUTE(SUBSTITUTE(SUBSTITUTE(SUBSTITUTE(SUBSTITUTE(SUBSTITUTE(SUBSTITUTE(LEFT(MID(TRIM(INDEX(PASTE_ALL,6,13)),1+(LEFT(TRIM(INDEX(PASTE_ALL,6,13)),1)="-"),999),LEN(MID(TRIM(INDEX(PASTE_ALL,6,13)),1+(LEFT(TRIM(INDEX(PASTE_ALL,6,13)),1)="-"),999))-(RIGHT(MID(TRIM(INDEX(PASTE_ALL,6,13)),1+(LEFT(TRIM(INDEX(PASTE_ALL,6,13)),1)="-"),999),1)="%")),"0",""),"1",""),"2",""),"3",""),"4",""),"5",""),"6",""),"7",""),"8",""),"9",""),".",""),",","")=""),2,1))),1)</f>
        <v/>
      </c>
      <c r="AL55">
        <f>IFERROR(IF(ISNUMBER(INDEX(PASTE_ALL,6,14)),2,IF(TRIM(INDEX(PASTE_ALL,6,14))="",0,IF(AND(LEFT(MID(TRIM(INDEX(PASTE_ALL,6,14)),1+(LEFT(TRIM(INDEX(PASTE_ALL,6,14)),1)="-"),999),LEN(MID(TRIM(INDEX(PASTE_ALL,6,14)),1+(LEFT(TRIM(INDEX(PASTE_ALL,6,14)),1)="-"),999))-(RIGHT(MID(TRIM(INDEX(PASTE_ALL,6,14)),1+(LEFT(TRIM(INDEX(PASTE_ALL,6,14)),1)="-"),999),1)="%"))&lt;&gt;"",SUBSTITUTE(SUBSTITUTE(SUBSTITUTE(SUBSTITUTE(SUBSTITUTE(SUBSTITUTE(SUBSTITUTE(SUBSTITUTE(SUBSTITUTE(SUBSTITUTE(SUBSTITUTE(SUBSTITUTE(LEFT(MID(TRIM(INDEX(PASTE_ALL,6,14)),1+(LEFT(TRIM(INDEX(PASTE_ALL,6,14)),1)="-"),999),LEN(MID(TRIM(INDEX(PASTE_ALL,6,14)),1+(LEFT(TRIM(INDEX(PASTE_ALL,6,14)),1)="-"),999))-(RIGHT(MID(TRIM(INDEX(PASTE_ALL,6,14)),1+(LEFT(TRIM(INDEX(PASTE_ALL,6,14)),1)="-"),999),1)="%")),"0",""),"1",""),"2",""),"3",""),"4",""),"5",""),"6",""),"7",""),"8",""),"9",""),".",""),",","")=""),2,1))),1)</f>
        <v/>
      </c>
      <c r="AM55">
        <f>IFERROR(IF(ISNUMBER(INDEX(PASTE_ALL,6,15)),2,IF(TRIM(INDEX(PASTE_ALL,6,15))="",0,IF(AND(LEFT(MID(TRIM(INDEX(PASTE_ALL,6,15)),1+(LEFT(TRIM(INDEX(PASTE_ALL,6,15)),1)="-"),999),LEN(MID(TRIM(INDEX(PASTE_ALL,6,15)),1+(LEFT(TRIM(INDEX(PASTE_ALL,6,15)),1)="-"),999))-(RIGHT(MID(TRIM(INDEX(PASTE_ALL,6,15)),1+(LEFT(TRIM(INDEX(PASTE_ALL,6,15)),1)="-"),999),1)="%"))&lt;&gt;"",SUBSTITUTE(SUBSTITUTE(SUBSTITUTE(SUBSTITUTE(SUBSTITUTE(SUBSTITUTE(SUBSTITUTE(SUBSTITUTE(SUBSTITUTE(SUBSTITUTE(SUBSTITUTE(SUBSTITUTE(LEFT(MID(TRIM(INDEX(PASTE_ALL,6,15)),1+(LEFT(TRIM(INDEX(PASTE_ALL,6,15)),1)="-"),999),LEN(MID(TRIM(INDEX(PASTE_ALL,6,15)),1+(LEFT(TRIM(INDEX(PASTE_ALL,6,15)),1)="-"),999))-(RIGHT(MID(TRIM(INDEX(PASTE_ALL,6,15)),1+(LEFT(TRIM(INDEX(PASTE_ALL,6,15)),1)="-"),999),1)="%")),"0",""),"1",""),"2",""),"3",""),"4",""),"5",""),"6",""),"7",""),"8",""),"9",""),".",""),",","")=""),2,1))),1)</f>
        <v/>
      </c>
      <c r="AN55">
        <f>IFERROR(IF(ISNUMBER(INDEX(PASTE_ALL,6,16)),2,IF(TRIM(INDEX(PASTE_ALL,6,16))="",0,IF(AND(LEFT(MID(TRIM(INDEX(PASTE_ALL,6,16)),1+(LEFT(TRIM(INDEX(PASTE_ALL,6,16)),1)="-"),999),LEN(MID(TRIM(INDEX(PASTE_ALL,6,16)),1+(LEFT(TRIM(INDEX(PASTE_ALL,6,16)),1)="-"),999))-(RIGHT(MID(TRIM(INDEX(PASTE_ALL,6,16)),1+(LEFT(TRIM(INDEX(PASTE_ALL,6,16)),1)="-"),999),1)="%"))&lt;&gt;"",SUBSTITUTE(SUBSTITUTE(SUBSTITUTE(SUBSTITUTE(SUBSTITUTE(SUBSTITUTE(SUBSTITUTE(SUBSTITUTE(SUBSTITUTE(SUBSTITUTE(SUBSTITUTE(SUBSTITUTE(LEFT(MID(TRIM(INDEX(PASTE_ALL,6,16)),1+(LEFT(TRIM(INDEX(PASTE_ALL,6,16)),1)="-"),999),LEN(MID(TRIM(INDEX(PASTE_ALL,6,16)),1+(LEFT(TRIM(INDEX(PASTE_ALL,6,16)),1)="-"),999))-(RIGHT(MID(TRIM(INDEX(PASTE_ALL,6,16)),1+(LEFT(TRIM(INDEX(PASTE_ALL,6,16)),1)="-"),999),1)="%")),"0",""),"1",""),"2",""),"3",""),"4",""),"5",""),"6",""),"7",""),"8",""),"9",""),".",""),",","")=""),2,1))),1)</f>
        <v/>
      </c>
      <c r="AO55">
        <f>IFERROR(IF(ISNUMBER(INDEX(PASTE_ALL,6,17)),2,IF(TRIM(INDEX(PASTE_ALL,6,17))="",0,IF(AND(LEFT(MID(TRIM(INDEX(PASTE_ALL,6,17)),1+(LEFT(TRIM(INDEX(PASTE_ALL,6,17)),1)="-"),999),LEN(MID(TRIM(INDEX(PASTE_ALL,6,17)),1+(LEFT(TRIM(INDEX(PASTE_ALL,6,17)),1)="-"),999))-(RIGHT(MID(TRIM(INDEX(PASTE_ALL,6,17)),1+(LEFT(TRIM(INDEX(PASTE_ALL,6,17)),1)="-"),999),1)="%"))&lt;&gt;"",SUBSTITUTE(SUBSTITUTE(SUBSTITUTE(SUBSTITUTE(SUBSTITUTE(SUBSTITUTE(SUBSTITUTE(SUBSTITUTE(SUBSTITUTE(SUBSTITUTE(SUBSTITUTE(SUBSTITUTE(LEFT(MID(TRIM(INDEX(PASTE_ALL,6,17)),1+(LEFT(TRIM(INDEX(PASTE_ALL,6,17)),1)="-"),999),LEN(MID(TRIM(INDEX(PASTE_ALL,6,17)),1+(LEFT(TRIM(INDEX(PASTE_ALL,6,17)),1)="-"),999))-(RIGHT(MID(TRIM(INDEX(PASTE_ALL,6,17)),1+(LEFT(TRIM(INDEX(PASTE_ALL,6,17)),1)="-"),999),1)="%")),"0",""),"1",""),"2",""),"3",""),"4",""),"5",""),"6",""),"7",""),"8",""),"9",""),".",""),",","")=""),2,1))),1)</f>
        <v/>
      </c>
      <c r="AP55">
        <f>IFERROR(IF(ISNUMBER(INDEX(PASTE_ALL,6,18)),2,IF(TRIM(INDEX(PASTE_ALL,6,18))="",0,IF(AND(LEFT(MID(TRIM(INDEX(PASTE_ALL,6,18)),1+(LEFT(TRIM(INDEX(PASTE_ALL,6,18)),1)="-"),999),LEN(MID(TRIM(INDEX(PASTE_ALL,6,18)),1+(LEFT(TRIM(INDEX(PASTE_ALL,6,18)),1)="-"),999))-(RIGHT(MID(TRIM(INDEX(PASTE_ALL,6,18)),1+(LEFT(TRIM(INDEX(PASTE_ALL,6,18)),1)="-"),999),1)="%"))&lt;&gt;"",SUBSTITUTE(SUBSTITUTE(SUBSTITUTE(SUBSTITUTE(SUBSTITUTE(SUBSTITUTE(SUBSTITUTE(SUBSTITUTE(SUBSTITUTE(SUBSTITUTE(SUBSTITUTE(SUBSTITUTE(LEFT(MID(TRIM(INDEX(PASTE_ALL,6,18)),1+(LEFT(TRIM(INDEX(PASTE_ALL,6,18)),1)="-"),999),LEN(MID(TRIM(INDEX(PASTE_ALL,6,18)),1+(LEFT(TRIM(INDEX(PASTE_ALL,6,18)),1)="-"),999))-(RIGHT(MID(TRIM(INDEX(PASTE_ALL,6,18)),1+(LEFT(TRIM(INDEX(PASTE_ALL,6,18)),1)="-"),999),1)="%")),"0",""),"1",""),"2",""),"3",""),"4",""),"5",""),"6",""),"7",""),"8",""),"9",""),".",""),",","")=""),2,1))),1)</f>
        <v/>
      </c>
      <c r="AQ55">
        <f>IFERROR(IF(ISNUMBER(INDEX(PASTE_ALL,6,19)),2,IF(TRIM(INDEX(PASTE_ALL,6,19))="",0,IF(AND(LEFT(MID(TRIM(INDEX(PASTE_ALL,6,19)),1+(LEFT(TRIM(INDEX(PASTE_ALL,6,19)),1)="-"),999),LEN(MID(TRIM(INDEX(PASTE_ALL,6,19)),1+(LEFT(TRIM(INDEX(PASTE_ALL,6,19)),1)="-"),999))-(RIGHT(MID(TRIM(INDEX(PASTE_ALL,6,19)),1+(LEFT(TRIM(INDEX(PASTE_ALL,6,19)),1)="-"),999),1)="%"))&lt;&gt;"",SUBSTITUTE(SUBSTITUTE(SUBSTITUTE(SUBSTITUTE(SUBSTITUTE(SUBSTITUTE(SUBSTITUTE(SUBSTITUTE(SUBSTITUTE(SUBSTITUTE(SUBSTITUTE(SUBSTITUTE(LEFT(MID(TRIM(INDEX(PASTE_ALL,6,19)),1+(LEFT(TRIM(INDEX(PASTE_ALL,6,19)),1)="-"),999),LEN(MID(TRIM(INDEX(PASTE_ALL,6,19)),1+(LEFT(TRIM(INDEX(PASTE_ALL,6,19)),1)="-"),999))-(RIGHT(MID(TRIM(INDEX(PASTE_ALL,6,19)),1+(LEFT(TRIM(INDEX(PASTE_ALL,6,19)),1)="-"),999),1)="%")),"0",""),"1",""),"2",""),"3",""),"4",""),"5",""),"6",""),"7",""),"8",""),"9",""),".",""),",","")=""),2,1))),1)</f>
        <v/>
      </c>
      <c r="AR55">
        <f>IFERROR(IF(ISNUMBER(INDEX(PASTE_ALL,6,20)),2,IF(TRIM(INDEX(PASTE_ALL,6,20))="",0,IF(AND(LEFT(MID(TRIM(INDEX(PASTE_ALL,6,20)),1+(LEFT(TRIM(INDEX(PASTE_ALL,6,20)),1)="-"),999),LEN(MID(TRIM(INDEX(PASTE_ALL,6,20)),1+(LEFT(TRIM(INDEX(PASTE_ALL,6,20)),1)="-"),999))-(RIGHT(MID(TRIM(INDEX(PASTE_ALL,6,20)),1+(LEFT(TRIM(INDEX(PASTE_ALL,6,20)),1)="-"),999),1)="%"))&lt;&gt;"",SUBSTITUTE(SUBSTITUTE(SUBSTITUTE(SUBSTITUTE(SUBSTITUTE(SUBSTITUTE(SUBSTITUTE(SUBSTITUTE(SUBSTITUTE(SUBSTITUTE(SUBSTITUTE(SUBSTITUTE(LEFT(MID(TRIM(INDEX(PASTE_ALL,6,20)),1+(LEFT(TRIM(INDEX(PASTE_ALL,6,20)),1)="-"),999),LEN(MID(TRIM(INDEX(PASTE_ALL,6,20)),1+(LEFT(TRIM(INDEX(PASTE_ALL,6,20)),1)="-"),999))-(RIGHT(MID(TRIM(INDEX(PASTE_ALL,6,20)),1+(LEFT(TRIM(INDEX(PASTE_ALL,6,20)),1)="-"),999),1)="%")),"0",""),"1",""),"2",""),"3",""),"4",""),"5",""),"6",""),"7",""),"8",""),"9",""),".",""),",","")=""),2,1))),1)</f>
        <v/>
      </c>
      <c r="AS55">
        <f>IFERROR(IF(ISNUMBER(INDEX(PASTE_ALL,6,21)),2,IF(TRIM(INDEX(PASTE_ALL,6,21))="",0,IF(AND(LEFT(MID(TRIM(INDEX(PASTE_ALL,6,21)),1+(LEFT(TRIM(INDEX(PASTE_ALL,6,21)),1)="-"),999),LEN(MID(TRIM(INDEX(PASTE_ALL,6,21)),1+(LEFT(TRIM(INDEX(PASTE_ALL,6,21)),1)="-"),999))-(RIGHT(MID(TRIM(INDEX(PASTE_ALL,6,21)),1+(LEFT(TRIM(INDEX(PASTE_ALL,6,21)),1)="-"),999),1)="%"))&lt;&gt;"",SUBSTITUTE(SUBSTITUTE(SUBSTITUTE(SUBSTITUTE(SUBSTITUTE(SUBSTITUTE(SUBSTITUTE(SUBSTITUTE(SUBSTITUTE(SUBSTITUTE(SUBSTITUTE(SUBSTITUTE(LEFT(MID(TRIM(INDEX(PASTE_ALL,6,21)),1+(LEFT(TRIM(INDEX(PASTE_ALL,6,21)),1)="-"),999),LEN(MID(TRIM(INDEX(PASTE_ALL,6,21)),1+(LEFT(TRIM(INDEX(PASTE_ALL,6,21)),1)="-"),999))-(RIGHT(MID(TRIM(INDEX(PASTE_ALL,6,21)),1+(LEFT(TRIM(INDEX(PASTE_ALL,6,21)),1)="-"),999),1)="%")),"0",""),"1",""),"2",""),"3",""),"4",""),"5",""),"6",""),"7",""),"8",""),"9",""),".",""),",","")=""),2,1))),1)</f>
        <v/>
      </c>
      <c r="AT55">
        <f>IFERROR(IF(ISNUMBER(INDEX(PASTE_ALL,6,22)),2,IF(TRIM(INDEX(PASTE_ALL,6,22))="",0,IF(AND(LEFT(MID(TRIM(INDEX(PASTE_ALL,6,22)),1+(LEFT(TRIM(INDEX(PASTE_ALL,6,22)),1)="-"),999),LEN(MID(TRIM(INDEX(PASTE_ALL,6,22)),1+(LEFT(TRIM(INDEX(PASTE_ALL,6,22)),1)="-"),999))-(RIGHT(MID(TRIM(INDEX(PASTE_ALL,6,22)),1+(LEFT(TRIM(INDEX(PASTE_ALL,6,22)),1)="-"),999),1)="%"))&lt;&gt;"",SUBSTITUTE(SUBSTITUTE(SUBSTITUTE(SUBSTITUTE(SUBSTITUTE(SUBSTITUTE(SUBSTITUTE(SUBSTITUTE(SUBSTITUTE(SUBSTITUTE(SUBSTITUTE(SUBSTITUTE(LEFT(MID(TRIM(INDEX(PASTE_ALL,6,22)),1+(LEFT(TRIM(INDEX(PASTE_ALL,6,22)),1)="-"),999),LEN(MID(TRIM(INDEX(PASTE_ALL,6,22)),1+(LEFT(TRIM(INDEX(PASTE_ALL,6,22)),1)="-"),999))-(RIGHT(MID(TRIM(INDEX(PASTE_ALL,6,22)),1+(LEFT(TRIM(INDEX(PASTE_ALL,6,22)),1)="-"),999),1)="%")),"0",""),"1",""),"2",""),"3",""),"4",""),"5",""),"6",""),"7",""),"8",""),"9",""),".",""),",","")=""),2,1))),1)</f>
        <v/>
      </c>
      <c r="AU55">
        <f>IFERROR(IF(ISNUMBER(INDEX(PASTE_ALL,6,23)),2,IF(TRIM(INDEX(PASTE_ALL,6,23))="",0,IF(AND(LEFT(MID(TRIM(INDEX(PASTE_ALL,6,23)),1+(LEFT(TRIM(INDEX(PASTE_ALL,6,23)),1)="-"),999),LEN(MID(TRIM(INDEX(PASTE_ALL,6,23)),1+(LEFT(TRIM(INDEX(PASTE_ALL,6,23)),1)="-"),999))-(RIGHT(MID(TRIM(INDEX(PASTE_ALL,6,23)),1+(LEFT(TRIM(INDEX(PASTE_ALL,6,23)),1)="-"),999),1)="%"))&lt;&gt;"",SUBSTITUTE(SUBSTITUTE(SUBSTITUTE(SUBSTITUTE(SUBSTITUTE(SUBSTITUTE(SUBSTITUTE(SUBSTITUTE(SUBSTITUTE(SUBSTITUTE(SUBSTITUTE(SUBSTITUTE(LEFT(MID(TRIM(INDEX(PASTE_ALL,6,23)),1+(LEFT(TRIM(INDEX(PASTE_ALL,6,23)),1)="-"),999),LEN(MID(TRIM(INDEX(PASTE_ALL,6,23)),1+(LEFT(TRIM(INDEX(PASTE_ALL,6,23)),1)="-"),999))-(RIGHT(MID(TRIM(INDEX(PASTE_ALL,6,23)),1+(LEFT(TRIM(INDEX(PASTE_ALL,6,23)),1)="-"),999),1)="%")),"0",""),"1",""),"2",""),"3",""),"4",""),"5",""),"6",""),"7",""),"8",""),"9",""),".",""),",","")=""),2,1))),1)</f>
        <v/>
      </c>
      <c r="AV55">
        <f>IFERROR(IF(ISNUMBER(INDEX(PASTE_ALL,6,24)),2,IF(TRIM(INDEX(PASTE_ALL,6,24))="",0,IF(AND(LEFT(MID(TRIM(INDEX(PASTE_ALL,6,24)),1+(LEFT(TRIM(INDEX(PASTE_ALL,6,24)),1)="-"),999),LEN(MID(TRIM(INDEX(PASTE_ALL,6,24)),1+(LEFT(TRIM(INDEX(PASTE_ALL,6,24)),1)="-"),999))-(RIGHT(MID(TRIM(INDEX(PASTE_ALL,6,24)),1+(LEFT(TRIM(INDEX(PASTE_ALL,6,24)),1)="-"),999),1)="%"))&lt;&gt;"",SUBSTITUTE(SUBSTITUTE(SUBSTITUTE(SUBSTITUTE(SUBSTITUTE(SUBSTITUTE(SUBSTITUTE(SUBSTITUTE(SUBSTITUTE(SUBSTITUTE(SUBSTITUTE(SUBSTITUTE(LEFT(MID(TRIM(INDEX(PASTE_ALL,6,24)),1+(LEFT(TRIM(INDEX(PASTE_ALL,6,24)),1)="-"),999),LEN(MID(TRIM(INDEX(PASTE_ALL,6,24)),1+(LEFT(TRIM(INDEX(PASTE_ALL,6,24)),1)="-"),999))-(RIGHT(MID(TRIM(INDEX(PASTE_ALL,6,24)),1+(LEFT(TRIM(INDEX(PASTE_ALL,6,24)),1)="-"),999),1)="%")),"0",""),"1",""),"2",""),"3",""),"4",""),"5",""),"6",""),"7",""),"8",""),"9",""),".",""),",","")=""),2,1))),1)</f>
        <v/>
      </c>
      <c r="AW55">
        <f>IFERROR(IF(ISNUMBER(INDEX(PASTE_ALL,6,25)),2,IF(TRIM(INDEX(PASTE_ALL,6,25))="",0,IF(AND(LEFT(MID(TRIM(INDEX(PASTE_ALL,6,25)),1+(LEFT(TRIM(INDEX(PASTE_ALL,6,25)),1)="-"),999),LEN(MID(TRIM(INDEX(PASTE_ALL,6,25)),1+(LEFT(TRIM(INDEX(PASTE_ALL,6,25)),1)="-"),999))-(RIGHT(MID(TRIM(INDEX(PASTE_ALL,6,25)),1+(LEFT(TRIM(INDEX(PASTE_ALL,6,25)),1)="-"),999),1)="%"))&lt;&gt;"",SUBSTITUTE(SUBSTITUTE(SUBSTITUTE(SUBSTITUTE(SUBSTITUTE(SUBSTITUTE(SUBSTITUTE(SUBSTITUTE(SUBSTITUTE(SUBSTITUTE(SUBSTITUTE(SUBSTITUTE(LEFT(MID(TRIM(INDEX(PASTE_ALL,6,25)),1+(LEFT(TRIM(INDEX(PASTE_ALL,6,25)),1)="-"),999),LEN(MID(TRIM(INDEX(PASTE_ALL,6,25)),1+(LEFT(TRIM(INDEX(PASTE_ALL,6,25)),1)="-"),999))-(RIGHT(MID(TRIM(INDEX(PASTE_ALL,6,25)),1+(LEFT(TRIM(INDEX(PASTE_ALL,6,25)),1)="-"),999),1)="%")),"0",""),"1",""),"2",""),"3",""),"4",""),"5",""),"6",""),"7",""),"8",""),"9",""),".",""),",","")=""),2,1))),1)</f>
        <v/>
      </c>
      <c r="AX55">
        <f>IFERROR(IF(ISNUMBER(INDEX(PASTE_ALL,6,26)),2,IF(TRIM(INDEX(PASTE_ALL,6,26))="",0,IF(AND(LEFT(MID(TRIM(INDEX(PASTE_ALL,6,26)),1+(LEFT(TRIM(INDEX(PASTE_ALL,6,26)),1)="-"),999),LEN(MID(TRIM(INDEX(PASTE_ALL,6,26)),1+(LEFT(TRIM(INDEX(PASTE_ALL,6,26)),1)="-"),999))-(RIGHT(MID(TRIM(INDEX(PASTE_ALL,6,26)),1+(LEFT(TRIM(INDEX(PASTE_ALL,6,26)),1)="-"),999),1)="%"))&lt;&gt;"",SUBSTITUTE(SUBSTITUTE(SUBSTITUTE(SUBSTITUTE(SUBSTITUTE(SUBSTITUTE(SUBSTITUTE(SUBSTITUTE(SUBSTITUTE(SUBSTITUTE(SUBSTITUTE(SUBSTITUTE(LEFT(MID(TRIM(INDEX(PASTE_ALL,6,26)),1+(LEFT(TRIM(INDEX(PASTE_ALL,6,26)),1)="-"),999),LEN(MID(TRIM(INDEX(PASTE_ALL,6,26)),1+(LEFT(TRIM(INDEX(PASTE_ALL,6,26)),1)="-"),999))-(RIGHT(MID(TRIM(INDEX(PASTE_ALL,6,26)),1+(LEFT(TRIM(INDEX(PASTE_ALL,6,26)),1)="-"),999),1)="%")),"0",""),"1",""),"2",""),"3",""),"4",""),"5",""),"6",""),"7",""),"8",""),"9",""),".",""),",","")=""),2,1))),1)</f>
        <v/>
      </c>
      <c r="AY55">
        <f>IFERROR(IF(ISNUMBER(INDEX(PASTE_ALL,6,27)),2,IF(TRIM(INDEX(PASTE_ALL,6,27))="",0,IF(AND(LEFT(MID(TRIM(INDEX(PASTE_ALL,6,27)),1+(LEFT(TRIM(INDEX(PASTE_ALL,6,27)),1)="-"),999),LEN(MID(TRIM(INDEX(PASTE_ALL,6,27)),1+(LEFT(TRIM(INDEX(PASTE_ALL,6,27)),1)="-"),999))-(RIGHT(MID(TRIM(INDEX(PASTE_ALL,6,27)),1+(LEFT(TRIM(INDEX(PASTE_ALL,6,27)),1)="-"),999),1)="%"))&lt;&gt;"",SUBSTITUTE(SUBSTITUTE(SUBSTITUTE(SUBSTITUTE(SUBSTITUTE(SUBSTITUTE(SUBSTITUTE(SUBSTITUTE(SUBSTITUTE(SUBSTITUTE(SUBSTITUTE(SUBSTITUTE(LEFT(MID(TRIM(INDEX(PASTE_ALL,6,27)),1+(LEFT(TRIM(INDEX(PASTE_ALL,6,27)),1)="-"),999),LEN(MID(TRIM(INDEX(PASTE_ALL,6,27)),1+(LEFT(TRIM(INDEX(PASTE_ALL,6,27)),1)="-"),999))-(RIGHT(MID(TRIM(INDEX(PASTE_ALL,6,27)),1+(LEFT(TRIM(INDEX(PASTE_ALL,6,27)),1)="-"),999),1)="%")),"0",""),"1",""),"2",""),"3",""),"4",""),"5",""),"6",""),"7",""),"8",""),"9",""),".",""),",","")=""),2,1))),1)</f>
        <v/>
      </c>
      <c r="AZ55">
        <f>IFERROR(IF(ISNUMBER(INDEX(PASTE_ALL,6,28)),2,IF(TRIM(INDEX(PASTE_ALL,6,28))="",0,IF(AND(LEFT(MID(TRIM(INDEX(PASTE_ALL,6,28)),1+(LEFT(TRIM(INDEX(PASTE_ALL,6,28)),1)="-"),999),LEN(MID(TRIM(INDEX(PASTE_ALL,6,28)),1+(LEFT(TRIM(INDEX(PASTE_ALL,6,28)),1)="-"),999))-(RIGHT(MID(TRIM(INDEX(PASTE_ALL,6,28)),1+(LEFT(TRIM(INDEX(PASTE_ALL,6,28)),1)="-"),999),1)="%"))&lt;&gt;"",SUBSTITUTE(SUBSTITUTE(SUBSTITUTE(SUBSTITUTE(SUBSTITUTE(SUBSTITUTE(SUBSTITUTE(SUBSTITUTE(SUBSTITUTE(SUBSTITUTE(SUBSTITUTE(SUBSTITUTE(LEFT(MID(TRIM(INDEX(PASTE_ALL,6,28)),1+(LEFT(TRIM(INDEX(PASTE_ALL,6,28)),1)="-"),999),LEN(MID(TRIM(INDEX(PASTE_ALL,6,28)),1+(LEFT(TRIM(INDEX(PASTE_ALL,6,28)),1)="-"),999))-(RIGHT(MID(TRIM(INDEX(PASTE_ALL,6,28)),1+(LEFT(TRIM(INDEX(PASTE_ALL,6,28)),1)="-"),999),1)="%")),"0",""),"1",""),"2",""),"3",""),"4",""),"5",""),"6",""),"7",""),"8",""),"9",""),".",""),",","")=""),2,1))),1)</f>
        <v/>
      </c>
      <c r="BA55">
        <f>IFERROR(IF(ISNUMBER(INDEX(PASTE_ALL,6,29)),2,IF(TRIM(INDEX(PASTE_ALL,6,29))="",0,IF(AND(LEFT(MID(TRIM(INDEX(PASTE_ALL,6,29)),1+(LEFT(TRIM(INDEX(PASTE_ALL,6,29)),1)="-"),999),LEN(MID(TRIM(INDEX(PASTE_ALL,6,29)),1+(LEFT(TRIM(INDEX(PASTE_ALL,6,29)),1)="-"),999))-(RIGHT(MID(TRIM(INDEX(PASTE_ALL,6,29)),1+(LEFT(TRIM(INDEX(PASTE_ALL,6,29)),1)="-"),999),1)="%"))&lt;&gt;"",SUBSTITUTE(SUBSTITUTE(SUBSTITUTE(SUBSTITUTE(SUBSTITUTE(SUBSTITUTE(SUBSTITUTE(SUBSTITUTE(SUBSTITUTE(SUBSTITUTE(SUBSTITUTE(SUBSTITUTE(LEFT(MID(TRIM(INDEX(PASTE_ALL,6,29)),1+(LEFT(TRIM(INDEX(PASTE_ALL,6,29)),1)="-"),999),LEN(MID(TRIM(INDEX(PASTE_ALL,6,29)),1+(LEFT(TRIM(INDEX(PASTE_ALL,6,29)),1)="-"),999))-(RIGHT(MID(TRIM(INDEX(PASTE_ALL,6,29)),1+(LEFT(TRIM(INDEX(PASTE_ALL,6,29)),1)="-"),999),1)="%")),"0",""),"1",""),"2",""),"3",""),"4",""),"5",""),"6",""),"7",""),"8",""),"9",""),".",""),",","")=""),2,1))),1)</f>
        <v/>
      </c>
      <c r="BB55">
        <f>IFERROR(IF(ISNUMBER(INDEX(PASTE_ALL,6,30)),2,IF(TRIM(INDEX(PASTE_ALL,6,30))="",0,IF(AND(LEFT(MID(TRIM(INDEX(PASTE_ALL,6,30)),1+(LEFT(TRIM(INDEX(PASTE_ALL,6,30)),1)="-"),999),LEN(MID(TRIM(INDEX(PASTE_ALL,6,30)),1+(LEFT(TRIM(INDEX(PASTE_ALL,6,30)),1)="-"),999))-(RIGHT(MID(TRIM(INDEX(PASTE_ALL,6,30)),1+(LEFT(TRIM(INDEX(PASTE_ALL,6,30)),1)="-"),999),1)="%"))&lt;&gt;"",SUBSTITUTE(SUBSTITUTE(SUBSTITUTE(SUBSTITUTE(SUBSTITUTE(SUBSTITUTE(SUBSTITUTE(SUBSTITUTE(SUBSTITUTE(SUBSTITUTE(SUBSTITUTE(SUBSTITUTE(LEFT(MID(TRIM(INDEX(PASTE_ALL,6,30)),1+(LEFT(TRIM(INDEX(PASTE_ALL,6,30)),1)="-"),999),LEN(MID(TRIM(INDEX(PASTE_ALL,6,30)),1+(LEFT(TRIM(INDEX(PASTE_ALL,6,30)),1)="-"),999))-(RIGHT(MID(TRIM(INDEX(PASTE_ALL,6,30)),1+(LEFT(TRIM(INDEX(PASTE_ALL,6,30)),1)="-"),999),1)="%")),"0",""),"1",""),"2",""),"3",""),"4",""),"5",""),"6",""),"7",""),"8",""),"9",""),".",""),",","")=""),2,1))),1)</f>
        <v/>
      </c>
      <c r="BC55">
        <f>IFERROR(IF(ISNUMBER(INDEX(PASTE_ALL,6,31)),2,IF(TRIM(INDEX(PASTE_ALL,6,31))="",0,IF(AND(LEFT(MID(TRIM(INDEX(PASTE_ALL,6,31)),1+(LEFT(TRIM(INDEX(PASTE_ALL,6,31)),1)="-"),999),LEN(MID(TRIM(INDEX(PASTE_ALL,6,31)),1+(LEFT(TRIM(INDEX(PASTE_ALL,6,31)),1)="-"),999))-(RIGHT(MID(TRIM(INDEX(PASTE_ALL,6,31)),1+(LEFT(TRIM(INDEX(PASTE_ALL,6,31)),1)="-"),999),1)="%"))&lt;&gt;"",SUBSTITUTE(SUBSTITUTE(SUBSTITUTE(SUBSTITUTE(SUBSTITUTE(SUBSTITUTE(SUBSTITUTE(SUBSTITUTE(SUBSTITUTE(SUBSTITUTE(SUBSTITUTE(SUBSTITUTE(LEFT(MID(TRIM(INDEX(PASTE_ALL,6,31)),1+(LEFT(TRIM(INDEX(PASTE_ALL,6,31)),1)="-"),999),LEN(MID(TRIM(INDEX(PASTE_ALL,6,31)),1+(LEFT(TRIM(INDEX(PASTE_ALL,6,31)),1)="-"),999))-(RIGHT(MID(TRIM(INDEX(PASTE_ALL,6,31)),1+(LEFT(TRIM(INDEX(PASTE_ALL,6,31)),1)="-"),999),1)="%")),"0",""),"1",""),"2",""),"3",""),"4",""),"5",""),"6",""),"7",""),"8",""),"9",""),".",""),",","")=""),2,1))),1)</f>
        <v/>
      </c>
      <c r="BD55">
        <f>IFERROR(IF(ISNUMBER(INDEX(PASTE_ALL,6,32)),2,IF(TRIM(INDEX(PASTE_ALL,6,32))="",0,IF(AND(LEFT(MID(TRIM(INDEX(PASTE_ALL,6,32)),1+(LEFT(TRIM(INDEX(PASTE_ALL,6,32)),1)="-"),999),LEN(MID(TRIM(INDEX(PASTE_ALL,6,32)),1+(LEFT(TRIM(INDEX(PASTE_ALL,6,32)),1)="-"),999))-(RIGHT(MID(TRIM(INDEX(PASTE_ALL,6,32)),1+(LEFT(TRIM(INDEX(PASTE_ALL,6,32)),1)="-"),999),1)="%"))&lt;&gt;"",SUBSTITUTE(SUBSTITUTE(SUBSTITUTE(SUBSTITUTE(SUBSTITUTE(SUBSTITUTE(SUBSTITUTE(SUBSTITUTE(SUBSTITUTE(SUBSTITUTE(SUBSTITUTE(SUBSTITUTE(LEFT(MID(TRIM(INDEX(PASTE_ALL,6,32)),1+(LEFT(TRIM(INDEX(PASTE_ALL,6,32)),1)="-"),999),LEN(MID(TRIM(INDEX(PASTE_ALL,6,32)),1+(LEFT(TRIM(INDEX(PASTE_ALL,6,32)),1)="-"),999))-(RIGHT(MID(TRIM(INDEX(PASTE_ALL,6,32)),1+(LEFT(TRIM(INDEX(PASTE_ALL,6,32)),1)="-"),999),1)="%")),"0",""),"1",""),"2",""),"3",""),"4",""),"5",""),"6",""),"7",""),"8",""),"9",""),".",""),",","")=""),2,1))),1)</f>
        <v/>
      </c>
      <c r="BE55">
        <f>IFERROR(IF(ISNUMBER(INDEX(PASTE_ALL,6,33)),2,IF(TRIM(INDEX(PASTE_ALL,6,33))="",0,IF(AND(LEFT(MID(TRIM(INDEX(PASTE_ALL,6,33)),1+(LEFT(TRIM(INDEX(PASTE_ALL,6,33)),1)="-"),999),LEN(MID(TRIM(INDEX(PASTE_ALL,6,33)),1+(LEFT(TRIM(INDEX(PASTE_ALL,6,33)),1)="-"),999))-(RIGHT(MID(TRIM(INDEX(PASTE_ALL,6,33)),1+(LEFT(TRIM(INDEX(PASTE_ALL,6,33)),1)="-"),999),1)="%"))&lt;&gt;"",SUBSTITUTE(SUBSTITUTE(SUBSTITUTE(SUBSTITUTE(SUBSTITUTE(SUBSTITUTE(SUBSTITUTE(SUBSTITUTE(SUBSTITUTE(SUBSTITUTE(SUBSTITUTE(SUBSTITUTE(LEFT(MID(TRIM(INDEX(PASTE_ALL,6,33)),1+(LEFT(TRIM(INDEX(PASTE_ALL,6,33)),1)="-"),999),LEN(MID(TRIM(INDEX(PASTE_ALL,6,33)),1+(LEFT(TRIM(INDEX(PASTE_ALL,6,33)),1)="-"),999))-(RIGHT(MID(TRIM(INDEX(PASTE_ALL,6,33)),1+(LEFT(TRIM(INDEX(PASTE_ALL,6,33)),1)="-"),999),1)="%")),"0",""),"1",""),"2",""),"3",""),"4",""),"5",""),"6",""),"7",""),"8",""),"9",""),".",""),",","")=""),2,1))),1)</f>
        <v/>
      </c>
      <c r="BF55">
        <f>IFERROR(IF(ISNUMBER(INDEX(PASTE_ALL,6,34)),2,IF(TRIM(INDEX(PASTE_ALL,6,34))="",0,IF(AND(LEFT(MID(TRIM(INDEX(PASTE_ALL,6,34)),1+(LEFT(TRIM(INDEX(PASTE_ALL,6,34)),1)="-"),999),LEN(MID(TRIM(INDEX(PASTE_ALL,6,34)),1+(LEFT(TRIM(INDEX(PASTE_ALL,6,34)),1)="-"),999))-(RIGHT(MID(TRIM(INDEX(PASTE_ALL,6,34)),1+(LEFT(TRIM(INDEX(PASTE_ALL,6,34)),1)="-"),999),1)="%"))&lt;&gt;"",SUBSTITUTE(SUBSTITUTE(SUBSTITUTE(SUBSTITUTE(SUBSTITUTE(SUBSTITUTE(SUBSTITUTE(SUBSTITUTE(SUBSTITUTE(SUBSTITUTE(SUBSTITUTE(SUBSTITUTE(LEFT(MID(TRIM(INDEX(PASTE_ALL,6,34)),1+(LEFT(TRIM(INDEX(PASTE_ALL,6,34)),1)="-"),999),LEN(MID(TRIM(INDEX(PASTE_ALL,6,34)),1+(LEFT(TRIM(INDEX(PASTE_ALL,6,34)),1)="-"),999))-(RIGHT(MID(TRIM(INDEX(PASTE_ALL,6,34)),1+(LEFT(TRIM(INDEX(PASTE_ALL,6,34)),1)="-"),999),1)="%")),"0",""),"1",""),"2",""),"3",""),"4",""),"5",""),"6",""),"7",""),"8",""),"9",""),".",""),",","")=""),2,1))),1)</f>
        <v/>
      </c>
      <c r="BG55">
        <f>IFERROR(IF(ISNUMBER(INDEX(PASTE_ALL,6,35)),2,IF(TRIM(INDEX(PASTE_ALL,6,35))="",0,IF(AND(LEFT(MID(TRIM(INDEX(PASTE_ALL,6,35)),1+(LEFT(TRIM(INDEX(PASTE_ALL,6,35)),1)="-"),999),LEN(MID(TRIM(INDEX(PASTE_ALL,6,35)),1+(LEFT(TRIM(INDEX(PASTE_ALL,6,35)),1)="-"),999))-(RIGHT(MID(TRIM(INDEX(PASTE_ALL,6,35)),1+(LEFT(TRIM(INDEX(PASTE_ALL,6,35)),1)="-"),999),1)="%"))&lt;&gt;"",SUBSTITUTE(SUBSTITUTE(SUBSTITUTE(SUBSTITUTE(SUBSTITUTE(SUBSTITUTE(SUBSTITUTE(SUBSTITUTE(SUBSTITUTE(SUBSTITUTE(SUBSTITUTE(SUBSTITUTE(LEFT(MID(TRIM(INDEX(PASTE_ALL,6,35)),1+(LEFT(TRIM(INDEX(PASTE_ALL,6,35)),1)="-"),999),LEN(MID(TRIM(INDEX(PASTE_ALL,6,35)),1+(LEFT(TRIM(INDEX(PASTE_ALL,6,35)),1)="-"),999))-(RIGHT(MID(TRIM(INDEX(PASTE_ALL,6,35)),1+(LEFT(TRIM(INDEX(PASTE_ALL,6,35)),1)="-"),999),1)="%")),"0",""),"1",""),"2",""),"3",""),"4",""),"5",""),"6",""),"7",""),"8",""),"9",""),".",""),",","")=""),2,1))),1)</f>
        <v/>
      </c>
      <c r="BH55">
        <f>IFERROR(IF(ISNUMBER(INDEX(PASTE_ALL,6,36)),2,IF(TRIM(INDEX(PASTE_ALL,6,36))="",0,IF(AND(LEFT(MID(TRIM(INDEX(PASTE_ALL,6,36)),1+(LEFT(TRIM(INDEX(PASTE_ALL,6,36)),1)="-"),999),LEN(MID(TRIM(INDEX(PASTE_ALL,6,36)),1+(LEFT(TRIM(INDEX(PASTE_ALL,6,36)),1)="-"),999))-(RIGHT(MID(TRIM(INDEX(PASTE_ALL,6,36)),1+(LEFT(TRIM(INDEX(PASTE_ALL,6,36)),1)="-"),999),1)="%"))&lt;&gt;"",SUBSTITUTE(SUBSTITUTE(SUBSTITUTE(SUBSTITUTE(SUBSTITUTE(SUBSTITUTE(SUBSTITUTE(SUBSTITUTE(SUBSTITUTE(SUBSTITUTE(SUBSTITUTE(SUBSTITUTE(LEFT(MID(TRIM(INDEX(PASTE_ALL,6,36)),1+(LEFT(TRIM(INDEX(PASTE_ALL,6,36)),1)="-"),999),LEN(MID(TRIM(INDEX(PASTE_ALL,6,36)),1+(LEFT(TRIM(INDEX(PASTE_ALL,6,36)),1)="-"),999))-(RIGHT(MID(TRIM(INDEX(PASTE_ALL,6,36)),1+(LEFT(TRIM(INDEX(PASTE_ALL,6,36)),1)="-"),999),1)="%")),"0",""),"1",""),"2",""),"3",""),"4",""),"5",""),"6",""),"7",""),"8",""),"9",""),".",""),",","")=""),2,1))),1)</f>
        <v/>
      </c>
      <c r="BI55">
        <f>IFERROR(IF(ISNUMBER(INDEX(PASTE_ALL,6,37)),2,IF(TRIM(INDEX(PASTE_ALL,6,37))="",0,IF(AND(LEFT(MID(TRIM(INDEX(PASTE_ALL,6,37)),1+(LEFT(TRIM(INDEX(PASTE_ALL,6,37)),1)="-"),999),LEN(MID(TRIM(INDEX(PASTE_ALL,6,37)),1+(LEFT(TRIM(INDEX(PASTE_ALL,6,37)),1)="-"),999))-(RIGHT(MID(TRIM(INDEX(PASTE_ALL,6,37)),1+(LEFT(TRIM(INDEX(PASTE_ALL,6,37)),1)="-"),999),1)="%"))&lt;&gt;"",SUBSTITUTE(SUBSTITUTE(SUBSTITUTE(SUBSTITUTE(SUBSTITUTE(SUBSTITUTE(SUBSTITUTE(SUBSTITUTE(SUBSTITUTE(SUBSTITUTE(SUBSTITUTE(SUBSTITUTE(LEFT(MID(TRIM(INDEX(PASTE_ALL,6,37)),1+(LEFT(TRIM(INDEX(PASTE_ALL,6,37)),1)="-"),999),LEN(MID(TRIM(INDEX(PASTE_ALL,6,37)),1+(LEFT(TRIM(INDEX(PASTE_ALL,6,37)),1)="-"),999))-(RIGHT(MID(TRIM(INDEX(PASTE_ALL,6,37)),1+(LEFT(TRIM(INDEX(PASTE_ALL,6,37)),1)="-"),999),1)="%")),"0",""),"1",""),"2",""),"3",""),"4",""),"5",""),"6",""),"7",""),"8",""),"9",""),".",""),",","")=""),2,1))),1)</f>
        <v/>
      </c>
      <c r="BJ55">
        <f>IFERROR(IF(ISNUMBER(INDEX(PASTE_ALL,6,38)),2,IF(TRIM(INDEX(PASTE_ALL,6,38))="",0,IF(AND(LEFT(MID(TRIM(INDEX(PASTE_ALL,6,38)),1+(LEFT(TRIM(INDEX(PASTE_ALL,6,38)),1)="-"),999),LEN(MID(TRIM(INDEX(PASTE_ALL,6,38)),1+(LEFT(TRIM(INDEX(PASTE_ALL,6,38)),1)="-"),999))-(RIGHT(MID(TRIM(INDEX(PASTE_ALL,6,38)),1+(LEFT(TRIM(INDEX(PASTE_ALL,6,38)),1)="-"),999),1)="%"))&lt;&gt;"",SUBSTITUTE(SUBSTITUTE(SUBSTITUTE(SUBSTITUTE(SUBSTITUTE(SUBSTITUTE(SUBSTITUTE(SUBSTITUTE(SUBSTITUTE(SUBSTITUTE(SUBSTITUTE(SUBSTITUTE(LEFT(MID(TRIM(INDEX(PASTE_ALL,6,38)),1+(LEFT(TRIM(INDEX(PASTE_ALL,6,38)),1)="-"),999),LEN(MID(TRIM(INDEX(PASTE_ALL,6,38)),1+(LEFT(TRIM(INDEX(PASTE_ALL,6,38)),1)="-"),999))-(RIGHT(MID(TRIM(INDEX(PASTE_ALL,6,38)),1+(LEFT(TRIM(INDEX(PASTE_ALL,6,38)),1)="-"),999),1)="%")),"0",""),"1",""),"2",""),"3",""),"4",""),"5",""),"6",""),"7",""),"8",""),"9",""),".",""),",","")=""),2,1))),1)</f>
        <v/>
      </c>
      <c r="BK55">
        <f>IFERROR(IF(ISNUMBER(INDEX(PASTE_ALL,6,39)),2,IF(TRIM(INDEX(PASTE_ALL,6,39))="",0,IF(AND(LEFT(MID(TRIM(INDEX(PASTE_ALL,6,39)),1+(LEFT(TRIM(INDEX(PASTE_ALL,6,39)),1)="-"),999),LEN(MID(TRIM(INDEX(PASTE_ALL,6,39)),1+(LEFT(TRIM(INDEX(PASTE_ALL,6,39)),1)="-"),999))-(RIGHT(MID(TRIM(INDEX(PASTE_ALL,6,39)),1+(LEFT(TRIM(INDEX(PASTE_ALL,6,39)),1)="-"),999),1)="%"))&lt;&gt;"",SUBSTITUTE(SUBSTITUTE(SUBSTITUTE(SUBSTITUTE(SUBSTITUTE(SUBSTITUTE(SUBSTITUTE(SUBSTITUTE(SUBSTITUTE(SUBSTITUTE(SUBSTITUTE(SUBSTITUTE(LEFT(MID(TRIM(INDEX(PASTE_ALL,6,39)),1+(LEFT(TRIM(INDEX(PASTE_ALL,6,39)),1)="-"),999),LEN(MID(TRIM(INDEX(PASTE_ALL,6,39)),1+(LEFT(TRIM(INDEX(PASTE_ALL,6,39)),1)="-"),999))-(RIGHT(MID(TRIM(INDEX(PASTE_ALL,6,39)),1+(LEFT(TRIM(INDEX(PASTE_ALL,6,39)),1)="-"),999),1)="%")),"0",""),"1",""),"2",""),"3",""),"4",""),"5",""),"6",""),"7",""),"8",""),"9",""),".",""),",","")=""),2,1))),1)</f>
        <v/>
      </c>
      <c r="BL55">
        <f>IFERROR(IF(ISNUMBER(INDEX(PASTE_ALL,6,40)),2,IF(TRIM(INDEX(PASTE_ALL,6,40))="",0,IF(AND(LEFT(MID(TRIM(INDEX(PASTE_ALL,6,40)),1+(LEFT(TRIM(INDEX(PASTE_ALL,6,40)),1)="-"),999),LEN(MID(TRIM(INDEX(PASTE_ALL,6,40)),1+(LEFT(TRIM(INDEX(PASTE_ALL,6,40)),1)="-"),999))-(RIGHT(MID(TRIM(INDEX(PASTE_ALL,6,40)),1+(LEFT(TRIM(INDEX(PASTE_ALL,6,40)),1)="-"),999),1)="%"))&lt;&gt;"",SUBSTITUTE(SUBSTITUTE(SUBSTITUTE(SUBSTITUTE(SUBSTITUTE(SUBSTITUTE(SUBSTITUTE(SUBSTITUTE(SUBSTITUTE(SUBSTITUTE(SUBSTITUTE(SUBSTITUTE(LEFT(MID(TRIM(INDEX(PASTE_ALL,6,40)),1+(LEFT(TRIM(INDEX(PASTE_ALL,6,40)),1)="-"),999),LEN(MID(TRIM(INDEX(PASTE_ALL,6,40)),1+(LEFT(TRIM(INDEX(PASTE_ALL,6,40)),1)="-"),999))-(RIGHT(MID(TRIM(INDEX(PASTE_ALL,6,40)),1+(LEFT(TRIM(INDEX(PASTE_ALL,6,40)),1)="-"),999),1)="%")),"0",""),"1",""),"2",""),"3",""),"4",""),"5",""),"6",""),"7",""),"8",""),"9",""),".",""),",","")=""),2,1))),1)</f>
        <v/>
      </c>
      <c r="BM55">
        <f>IFERROR(IF(ISNUMBER(INDEX(PASTE_ALL,6,41)),2,IF(TRIM(INDEX(PASTE_ALL,6,41))="",0,IF(AND(LEFT(MID(TRIM(INDEX(PASTE_ALL,6,41)),1+(LEFT(TRIM(INDEX(PASTE_ALL,6,41)),1)="-"),999),LEN(MID(TRIM(INDEX(PASTE_ALL,6,41)),1+(LEFT(TRIM(INDEX(PASTE_ALL,6,41)),1)="-"),999))-(RIGHT(MID(TRIM(INDEX(PASTE_ALL,6,41)),1+(LEFT(TRIM(INDEX(PASTE_ALL,6,41)),1)="-"),999),1)="%"))&lt;&gt;"",SUBSTITUTE(SUBSTITUTE(SUBSTITUTE(SUBSTITUTE(SUBSTITUTE(SUBSTITUTE(SUBSTITUTE(SUBSTITUTE(SUBSTITUTE(SUBSTITUTE(SUBSTITUTE(SUBSTITUTE(LEFT(MID(TRIM(INDEX(PASTE_ALL,6,41)),1+(LEFT(TRIM(INDEX(PASTE_ALL,6,41)),1)="-"),999),LEN(MID(TRIM(INDEX(PASTE_ALL,6,41)),1+(LEFT(TRIM(INDEX(PASTE_ALL,6,41)),1)="-"),999))-(RIGHT(MID(TRIM(INDEX(PASTE_ALL,6,41)),1+(LEFT(TRIM(INDEX(PASTE_ALL,6,41)),1)="-"),999),1)="%")),"0",""),"1",""),"2",""),"3",""),"4",""),"5",""),"6",""),"7",""),"8",""),"9",""),".",""),",","")=""),2,1))),1)</f>
        <v/>
      </c>
      <c r="BN55">
        <f>IFERROR(IF(ISNUMBER(INDEX(PASTE_ALL,6,42)),2,IF(TRIM(INDEX(PASTE_ALL,6,42))="",0,IF(AND(LEFT(MID(TRIM(INDEX(PASTE_ALL,6,42)),1+(LEFT(TRIM(INDEX(PASTE_ALL,6,42)),1)="-"),999),LEN(MID(TRIM(INDEX(PASTE_ALL,6,42)),1+(LEFT(TRIM(INDEX(PASTE_ALL,6,42)),1)="-"),999))-(RIGHT(MID(TRIM(INDEX(PASTE_ALL,6,42)),1+(LEFT(TRIM(INDEX(PASTE_ALL,6,42)),1)="-"),999),1)="%"))&lt;&gt;"",SUBSTITUTE(SUBSTITUTE(SUBSTITUTE(SUBSTITUTE(SUBSTITUTE(SUBSTITUTE(SUBSTITUTE(SUBSTITUTE(SUBSTITUTE(SUBSTITUTE(SUBSTITUTE(SUBSTITUTE(LEFT(MID(TRIM(INDEX(PASTE_ALL,6,42)),1+(LEFT(TRIM(INDEX(PASTE_ALL,6,42)),1)="-"),999),LEN(MID(TRIM(INDEX(PASTE_ALL,6,42)),1+(LEFT(TRIM(INDEX(PASTE_ALL,6,42)),1)="-"),999))-(RIGHT(MID(TRIM(INDEX(PASTE_ALL,6,42)),1+(LEFT(TRIM(INDEX(PASTE_ALL,6,42)),1)="-"),999),1)="%")),"0",""),"1",""),"2",""),"3",""),"4",""),"5",""),"6",""),"7",""),"8",""),"9",""),".",""),",","")=""),2,1))),1)</f>
        <v/>
      </c>
      <c r="BO55">
        <f>IFERROR(IF(ISNUMBER(INDEX(PASTE_ALL,6,43)),2,IF(TRIM(INDEX(PASTE_ALL,6,43))="",0,IF(AND(LEFT(MID(TRIM(INDEX(PASTE_ALL,6,43)),1+(LEFT(TRIM(INDEX(PASTE_ALL,6,43)),1)="-"),999),LEN(MID(TRIM(INDEX(PASTE_ALL,6,43)),1+(LEFT(TRIM(INDEX(PASTE_ALL,6,43)),1)="-"),999))-(RIGHT(MID(TRIM(INDEX(PASTE_ALL,6,43)),1+(LEFT(TRIM(INDEX(PASTE_ALL,6,43)),1)="-"),999),1)="%"))&lt;&gt;"",SUBSTITUTE(SUBSTITUTE(SUBSTITUTE(SUBSTITUTE(SUBSTITUTE(SUBSTITUTE(SUBSTITUTE(SUBSTITUTE(SUBSTITUTE(SUBSTITUTE(SUBSTITUTE(SUBSTITUTE(LEFT(MID(TRIM(INDEX(PASTE_ALL,6,43)),1+(LEFT(TRIM(INDEX(PASTE_ALL,6,43)),1)="-"),999),LEN(MID(TRIM(INDEX(PASTE_ALL,6,43)),1+(LEFT(TRIM(INDEX(PASTE_ALL,6,43)),1)="-"),999))-(RIGHT(MID(TRIM(INDEX(PASTE_ALL,6,43)),1+(LEFT(TRIM(INDEX(PASTE_ALL,6,43)),1)="-"),999),1)="%")),"0",""),"1",""),"2",""),"3",""),"4",""),"5",""),"6",""),"7",""),"8",""),"9",""),".",""),",","")=""),2,1))),1)</f>
        <v/>
      </c>
      <c r="BP55">
        <f>IFERROR(IF(ISNUMBER(INDEX(PASTE_ALL,6,44)),2,IF(TRIM(INDEX(PASTE_ALL,6,44))="",0,IF(AND(LEFT(MID(TRIM(INDEX(PASTE_ALL,6,44)),1+(LEFT(TRIM(INDEX(PASTE_ALL,6,44)),1)="-"),999),LEN(MID(TRIM(INDEX(PASTE_ALL,6,44)),1+(LEFT(TRIM(INDEX(PASTE_ALL,6,44)),1)="-"),999))-(RIGHT(MID(TRIM(INDEX(PASTE_ALL,6,44)),1+(LEFT(TRIM(INDEX(PASTE_ALL,6,44)),1)="-"),999),1)="%"))&lt;&gt;"",SUBSTITUTE(SUBSTITUTE(SUBSTITUTE(SUBSTITUTE(SUBSTITUTE(SUBSTITUTE(SUBSTITUTE(SUBSTITUTE(SUBSTITUTE(SUBSTITUTE(SUBSTITUTE(SUBSTITUTE(LEFT(MID(TRIM(INDEX(PASTE_ALL,6,44)),1+(LEFT(TRIM(INDEX(PASTE_ALL,6,44)),1)="-"),999),LEN(MID(TRIM(INDEX(PASTE_ALL,6,44)),1+(LEFT(TRIM(INDEX(PASTE_ALL,6,44)),1)="-"),999))-(RIGHT(MID(TRIM(INDEX(PASTE_ALL,6,44)),1+(LEFT(TRIM(INDEX(PASTE_ALL,6,44)),1)="-"),999),1)="%")),"0",""),"1",""),"2",""),"3",""),"4",""),"5",""),"6",""),"7",""),"8",""),"9",""),".",""),",","")=""),2,1))),1)</f>
        <v/>
      </c>
      <c r="BQ55">
        <f>IFERROR(IF(ISNUMBER(INDEX(PASTE_ALL,6,45)),2,IF(TRIM(INDEX(PASTE_ALL,6,45))="",0,IF(AND(LEFT(MID(TRIM(INDEX(PASTE_ALL,6,45)),1+(LEFT(TRIM(INDEX(PASTE_ALL,6,45)),1)="-"),999),LEN(MID(TRIM(INDEX(PASTE_ALL,6,45)),1+(LEFT(TRIM(INDEX(PASTE_ALL,6,45)),1)="-"),999))-(RIGHT(MID(TRIM(INDEX(PASTE_ALL,6,45)),1+(LEFT(TRIM(INDEX(PASTE_ALL,6,45)),1)="-"),999),1)="%"))&lt;&gt;"",SUBSTITUTE(SUBSTITUTE(SUBSTITUTE(SUBSTITUTE(SUBSTITUTE(SUBSTITUTE(SUBSTITUTE(SUBSTITUTE(SUBSTITUTE(SUBSTITUTE(SUBSTITUTE(SUBSTITUTE(LEFT(MID(TRIM(INDEX(PASTE_ALL,6,45)),1+(LEFT(TRIM(INDEX(PASTE_ALL,6,45)),1)="-"),999),LEN(MID(TRIM(INDEX(PASTE_ALL,6,45)),1+(LEFT(TRIM(INDEX(PASTE_ALL,6,45)),1)="-"),999))-(RIGHT(MID(TRIM(INDEX(PASTE_ALL,6,45)),1+(LEFT(TRIM(INDEX(PASTE_ALL,6,45)),1)="-"),999),1)="%")),"0",""),"1",""),"2",""),"3",""),"4",""),"5",""),"6",""),"7",""),"8",""),"9",""),".",""),",","")=""),2,1))),1)</f>
        <v/>
      </c>
      <c r="BR55">
        <f>IFERROR(IF(ISNUMBER(INDEX(PASTE_ALL,6,46)),2,IF(TRIM(INDEX(PASTE_ALL,6,46))="",0,IF(AND(LEFT(MID(TRIM(INDEX(PASTE_ALL,6,46)),1+(LEFT(TRIM(INDEX(PASTE_ALL,6,46)),1)="-"),999),LEN(MID(TRIM(INDEX(PASTE_ALL,6,46)),1+(LEFT(TRIM(INDEX(PASTE_ALL,6,46)),1)="-"),999))-(RIGHT(MID(TRIM(INDEX(PASTE_ALL,6,46)),1+(LEFT(TRIM(INDEX(PASTE_ALL,6,46)),1)="-"),999),1)="%"))&lt;&gt;"",SUBSTITUTE(SUBSTITUTE(SUBSTITUTE(SUBSTITUTE(SUBSTITUTE(SUBSTITUTE(SUBSTITUTE(SUBSTITUTE(SUBSTITUTE(SUBSTITUTE(SUBSTITUTE(SUBSTITUTE(LEFT(MID(TRIM(INDEX(PASTE_ALL,6,46)),1+(LEFT(TRIM(INDEX(PASTE_ALL,6,46)),1)="-"),999),LEN(MID(TRIM(INDEX(PASTE_ALL,6,46)),1+(LEFT(TRIM(INDEX(PASTE_ALL,6,46)),1)="-"),999))-(RIGHT(MID(TRIM(INDEX(PASTE_ALL,6,46)),1+(LEFT(TRIM(INDEX(PASTE_ALL,6,46)),1)="-"),999),1)="%")),"0",""),"1",""),"2",""),"3",""),"4",""),"5",""),"6",""),"7",""),"8",""),"9",""),".",""),",","")=""),2,1))),1)</f>
        <v/>
      </c>
      <c r="BS55">
        <f>IFERROR(IF(ISNUMBER(INDEX(PASTE_ALL,6,47)),2,IF(TRIM(INDEX(PASTE_ALL,6,47))="",0,IF(AND(LEFT(MID(TRIM(INDEX(PASTE_ALL,6,47)),1+(LEFT(TRIM(INDEX(PASTE_ALL,6,47)),1)="-"),999),LEN(MID(TRIM(INDEX(PASTE_ALL,6,47)),1+(LEFT(TRIM(INDEX(PASTE_ALL,6,47)),1)="-"),999))-(RIGHT(MID(TRIM(INDEX(PASTE_ALL,6,47)),1+(LEFT(TRIM(INDEX(PASTE_ALL,6,47)),1)="-"),999),1)="%"))&lt;&gt;"",SUBSTITUTE(SUBSTITUTE(SUBSTITUTE(SUBSTITUTE(SUBSTITUTE(SUBSTITUTE(SUBSTITUTE(SUBSTITUTE(SUBSTITUTE(SUBSTITUTE(SUBSTITUTE(SUBSTITUTE(LEFT(MID(TRIM(INDEX(PASTE_ALL,6,47)),1+(LEFT(TRIM(INDEX(PASTE_ALL,6,47)),1)="-"),999),LEN(MID(TRIM(INDEX(PASTE_ALL,6,47)),1+(LEFT(TRIM(INDEX(PASTE_ALL,6,47)),1)="-"),999))-(RIGHT(MID(TRIM(INDEX(PASTE_ALL,6,47)),1+(LEFT(TRIM(INDEX(PASTE_ALL,6,47)),1)="-"),999),1)="%")),"0",""),"1",""),"2",""),"3",""),"4",""),"5",""),"6",""),"7",""),"8",""),"9",""),".",""),",","")=""),2,1))),1)</f>
        <v/>
      </c>
      <c r="BT55">
        <f>IFERROR(IF(ISNUMBER(INDEX(PASTE_ALL,6,48)),2,IF(TRIM(INDEX(PASTE_ALL,6,48))="",0,IF(AND(LEFT(MID(TRIM(INDEX(PASTE_ALL,6,48)),1+(LEFT(TRIM(INDEX(PASTE_ALL,6,48)),1)="-"),999),LEN(MID(TRIM(INDEX(PASTE_ALL,6,48)),1+(LEFT(TRIM(INDEX(PASTE_ALL,6,48)),1)="-"),999))-(RIGHT(MID(TRIM(INDEX(PASTE_ALL,6,48)),1+(LEFT(TRIM(INDEX(PASTE_ALL,6,48)),1)="-"),999),1)="%"))&lt;&gt;"",SUBSTITUTE(SUBSTITUTE(SUBSTITUTE(SUBSTITUTE(SUBSTITUTE(SUBSTITUTE(SUBSTITUTE(SUBSTITUTE(SUBSTITUTE(SUBSTITUTE(SUBSTITUTE(SUBSTITUTE(LEFT(MID(TRIM(INDEX(PASTE_ALL,6,48)),1+(LEFT(TRIM(INDEX(PASTE_ALL,6,48)),1)="-"),999),LEN(MID(TRIM(INDEX(PASTE_ALL,6,48)),1+(LEFT(TRIM(INDEX(PASTE_ALL,6,48)),1)="-"),999))-(RIGHT(MID(TRIM(INDEX(PASTE_ALL,6,48)),1+(LEFT(TRIM(INDEX(PASTE_ALL,6,48)),1)="-"),999),1)="%")),"0",""),"1",""),"2",""),"3",""),"4",""),"5",""),"6",""),"7",""),"8",""),"9",""),".",""),",","")=""),2,1))),1)</f>
        <v/>
      </c>
      <c r="BU55">
        <f>IFERROR(IF(ISNUMBER(INDEX(PASTE_ALL,6,49)),2,IF(TRIM(INDEX(PASTE_ALL,6,49))="",0,IF(AND(LEFT(MID(TRIM(INDEX(PASTE_ALL,6,49)),1+(LEFT(TRIM(INDEX(PASTE_ALL,6,49)),1)="-"),999),LEN(MID(TRIM(INDEX(PASTE_ALL,6,49)),1+(LEFT(TRIM(INDEX(PASTE_ALL,6,49)),1)="-"),999))-(RIGHT(MID(TRIM(INDEX(PASTE_ALL,6,49)),1+(LEFT(TRIM(INDEX(PASTE_ALL,6,49)),1)="-"),999),1)="%"))&lt;&gt;"",SUBSTITUTE(SUBSTITUTE(SUBSTITUTE(SUBSTITUTE(SUBSTITUTE(SUBSTITUTE(SUBSTITUTE(SUBSTITUTE(SUBSTITUTE(SUBSTITUTE(SUBSTITUTE(SUBSTITUTE(LEFT(MID(TRIM(INDEX(PASTE_ALL,6,49)),1+(LEFT(TRIM(INDEX(PASTE_ALL,6,49)),1)="-"),999),LEN(MID(TRIM(INDEX(PASTE_ALL,6,49)),1+(LEFT(TRIM(INDEX(PASTE_ALL,6,49)),1)="-"),999))-(RIGHT(MID(TRIM(INDEX(PASTE_ALL,6,49)),1+(LEFT(TRIM(INDEX(PASTE_ALL,6,49)),1)="-"),999),1)="%")),"0",""),"1",""),"2",""),"3",""),"4",""),"5",""),"6",""),"7",""),"8",""),"9",""),".",""),",","")=""),2,1))),1)</f>
        <v/>
      </c>
      <c r="BV55">
        <f>IFERROR(IF(ISNUMBER(INDEX(PASTE_ALL,6,50)),2,IF(TRIM(INDEX(PASTE_ALL,6,50))="",0,IF(AND(LEFT(MID(TRIM(INDEX(PASTE_ALL,6,50)),1+(LEFT(TRIM(INDEX(PASTE_ALL,6,50)),1)="-"),999),LEN(MID(TRIM(INDEX(PASTE_ALL,6,50)),1+(LEFT(TRIM(INDEX(PASTE_ALL,6,50)),1)="-"),999))-(RIGHT(MID(TRIM(INDEX(PASTE_ALL,6,50)),1+(LEFT(TRIM(INDEX(PASTE_ALL,6,50)),1)="-"),999),1)="%"))&lt;&gt;"",SUBSTITUTE(SUBSTITUTE(SUBSTITUTE(SUBSTITUTE(SUBSTITUTE(SUBSTITUTE(SUBSTITUTE(SUBSTITUTE(SUBSTITUTE(SUBSTITUTE(SUBSTITUTE(SUBSTITUTE(LEFT(MID(TRIM(INDEX(PASTE_ALL,6,50)),1+(LEFT(TRIM(INDEX(PASTE_ALL,6,50)),1)="-"),999),LEN(MID(TRIM(INDEX(PASTE_ALL,6,50)),1+(LEFT(TRIM(INDEX(PASTE_ALL,6,50)),1)="-"),999))-(RIGHT(MID(TRIM(INDEX(PASTE_ALL,6,50)),1+(LEFT(TRIM(INDEX(PASTE_ALL,6,50)),1)="-"),999),1)="%")),"0",""),"1",""),"2",""),"3",""),"4",""),"5",""),"6",""),"7",""),"8",""),"9",""),".",""),",","")=""),2,1))),1)</f>
        <v/>
      </c>
      <c r="BW55">
        <f>IFERROR(IF(ISNUMBER(INDEX(PASTE_ALL,6,51)),2,IF(TRIM(INDEX(PASTE_ALL,6,51))="",0,IF(AND(LEFT(MID(TRIM(INDEX(PASTE_ALL,6,51)),1+(LEFT(TRIM(INDEX(PASTE_ALL,6,51)),1)="-"),999),LEN(MID(TRIM(INDEX(PASTE_ALL,6,51)),1+(LEFT(TRIM(INDEX(PASTE_ALL,6,51)),1)="-"),999))-(RIGHT(MID(TRIM(INDEX(PASTE_ALL,6,51)),1+(LEFT(TRIM(INDEX(PASTE_ALL,6,51)),1)="-"),999),1)="%"))&lt;&gt;"",SUBSTITUTE(SUBSTITUTE(SUBSTITUTE(SUBSTITUTE(SUBSTITUTE(SUBSTITUTE(SUBSTITUTE(SUBSTITUTE(SUBSTITUTE(SUBSTITUTE(SUBSTITUTE(SUBSTITUTE(LEFT(MID(TRIM(INDEX(PASTE_ALL,6,51)),1+(LEFT(TRIM(INDEX(PASTE_ALL,6,51)),1)="-"),999),LEN(MID(TRIM(INDEX(PASTE_ALL,6,51)),1+(LEFT(TRIM(INDEX(PASTE_ALL,6,51)),1)="-"),999))-(RIGHT(MID(TRIM(INDEX(PASTE_ALL,6,51)),1+(LEFT(TRIM(INDEX(PASTE_ALL,6,51)),1)="-"),999),1)="%")),"0",""),"1",""),"2",""),"3",""),"4",""),"5",""),"6",""),"7",""),"8",""),"9",""),".",""),",","")=""),2,1))),1)</f>
        <v/>
      </c>
      <c r="BX55">
        <f>IFERROR(IF(ISNUMBER(INDEX(PASTE_ALL,6,52)),2,IF(TRIM(INDEX(PASTE_ALL,6,52))="",0,IF(AND(LEFT(MID(TRIM(INDEX(PASTE_ALL,6,52)),1+(LEFT(TRIM(INDEX(PASTE_ALL,6,52)),1)="-"),999),LEN(MID(TRIM(INDEX(PASTE_ALL,6,52)),1+(LEFT(TRIM(INDEX(PASTE_ALL,6,52)),1)="-"),999))-(RIGHT(MID(TRIM(INDEX(PASTE_ALL,6,52)),1+(LEFT(TRIM(INDEX(PASTE_ALL,6,52)),1)="-"),999),1)="%"))&lt;&gt;"",SUBSTITUTE(SUBSTITUTE(SUBSTITUTE(SUBSTITUTE(SUBSTITUTE(SUBSTITUTE(SUBSTITUTE(SUBSTITUTE(SUBSTITUTE(SUBSTITUTE(SUBSTITUTE(SUBSTITUTE(LEFT(MID(TRIM(INDEX(PASTE_ALL,6,52)),1+(LEFT(TRIM(INDEX(PASTE_ALL,6,52)),1)="-"),999),LEN(MID(TRIM(INDEX(PASTE_ALL,6,52)),1+(LEFT(TRIM(INDEX(PASTE_ALL,6,52)),1)="-"),999))-(RIGHT(MID(TRIM(INDEX(PASTE_ALL,6,52)),1+(LEFT(TRIM(INDEX(PASTE_ALL,6,52)),1)="-"),999),1)="%")),"0",""),"1",""),"2",""),"3",""),"4",""),"5",""),"6",""),"7",""),"8",""),"9",""),".",""),",","")=""),2,1))),1)</f>
        <v/>
      </c>
      <c r="BY55">
        <f>IFERROR(IF(ISNUMBER(INDEX(PASTE_ALL,6,53)),2,IF(TRIM(INDEX(PASTE_ALL,6,53))="",0,IF(AND(LEFT(MID(TRIM(INDEX(PASTE_ALL,6,53)),1+(LEFT(TRIM(INDEX(PASTE_ALL,6,53)),1)="-"),999),LEN(MID(TRIM(INDEX(PASTE_ALL,6,53)),1+(LEFT(TRIM(INDEX(PASTE_ALL,6,53)),1)="-"),999))-(RIGHT(MID(TRIM(INDEX(PASTE_ALL,6,53)),1+(LEFT(TRIM(INDEX(PASTE_ALL,6,53)),1)="-"),999),1)="%"))&lt;&gt;"",SUBSTITUTE(SUBSTITUTE(SUBSTITUTE(SUBSTITUTE(SUBSTITUTE(SUBSTITUTE(SUBSTITUTE(SUBSTITUTE(SUBSTITUTE(SUBSTITUTE(SUBSTITUTE(SUBSTITUTE(LEFT(MID(TRIM(INDEX(PASTE_ALL,6,53)),1+(LEFT(TRIM(INDEX(PASTE_ALL,6,53)),1)="-"),999),LEN(MID(TRIM(INDEX(PASTE_ALL,6,53)),1+(LEFT(TRIM(INDEX(PASTE_ALL,6,53)),1)="-"),999))-(RIGHT(MID(TRIM(INDEX(PASTE_ALL,6,53)),1+(LEFT(TRIM(INDEX(PASTE_ALL,6,53)),1)="-"),999),1)="%")),"0",""),"1",""),"2",""),"3",""),"4",""),"5",""),"6",""),"7",""),"8",""),"9",""),".",""),",","")=""),2,1))),1)</f>
        <v/>
      </c>
      <c r="BZ55">
        <f>IFERROR(IF(ISNUMBER(INDEX(PASTE_ALL,6,54)),2,IF(TRIM(INDEX(PASTE_ALL,6,54))="",0,IF(AND(LEFT(MID(TRIM(INDEX(PASTE_ALL,6,54)),1+(LEFT(TRIM(INDEX(PASTE_ALL,6,54)),1)="-"),999),LEN(MID(TRIM(INDEX(PASTE_ALL,6,54)),1+(LEFT(TRIM(INDEX(PASTE_ALL,6,54)),1)="-"),999))-(RIGHT(MID(TRIM(INDEX(PASTE_ALL,6,54)),1+(LEFT(TRIM(INDEX(PASTE_ALL,6,54)),1)="-"),999),1)="%"))&lt;&gt;"",SUBSTITUTE(SUBSTITUTE(SUBSTITUTE(SUBSTITUTE(SUBSTITUTE(SUBSTITUTE(SUBSTITUTE(SUBSTITUTE(SUBSTITUTE(SUBSTITUTE(SUBSTITUTE(SUBSTITUTE(LEFT(MID(TRIM(INDEX(PASTE_ALL,6,54)),1+(LEFT(TRIM(INDEX(PASTE_ALL,6,54)),1)="-"),999),LEN(MID(TRIM(INDEX(PASTE_ALL,6,54)),1+(LEFT(TRIM(INDEX(PASTE_ALL,6,54)),1)="-"),999))-(RIGHT(MID(TRIM(INDEX(PASTE_ALL,6,54)),1+(LEFT(TRIM(INDEX(PASTE_ALL,6,54)),1)="-"),999),1)="%")),"0",""),"1",""),"2",""),"3",""),"4",""),"5",""),"6",""),"7",""),"8",""),"9",""),".",""),",","")=""),2,1))),1)</f>
        <v/>
      </c>
      <c r="CA55">
        <f>IFERROR(IF(ISNUMBER(INDEX(PASTE_ALL,6,55)),2,IF(TRIM(INDEX(PASTE_ALL,6,55))="",0,IF(AND(LEFT(MID(TRIM(INDEX(PASTE_ALL,6,55)),1+(LEFT(TRIM(INDEX(PASTE_ALL,6,55)),1)="-"),999),LEN(MID(TRIM(INDEX(PASTE_ALL,6,55)),1+(LEFT(TRIM(INDEX(PASTE_ALL,6,55)),1)="-"),999))-(RIGHT(MID(TRIM(INDEX(PASTE_ALL,6,55)),1+(LEFT(TRIM(INDEX(PASTE_ALL,6,55)),1)="-"),999),1)="%"))&lt;&gt;"",SUBSTITUTE(SUBSTITUTE(SUBSTITUTE(SUBSTITUTE(SUBSTITUTE(SUBSTITUTE(SUBSTITUTE(SUBSTITUTE(SUBSTITUTE(SUBSTITUTE(SUBSTITUTE(SUBSTITUTE(LEFT(MID(TRIM(INDEX(PASTE_ALL,6,55)),1+(LEFT(TRIM(INDEX(PASTE_ALL,6,55)),1)="-"),999),LEN(MID(TRIM(INDEX(PASTE_ALL,6,55)),1+(LEFT(TRIM(INDEX(PASTE_ALL,6,55)),1)="-"),999))-(RIGHT(MID(TRIM(INDEX(PASTE_ALL,6,55)),1+(LEFT(TRIM(INDEX(PASTE_ALL,6,55)),1)="-"),999),1)="%")),"0",""),"1",""),"2",""),"3",""),"4",""),"5",""),"6",""),"7",""),"8",""),"9",""),".",""),",","")=""),2,1))),1)</f>
        <v/>
      </c>
      <c r="CB55">
        <f>IFERROR(IF(ISNUMBER(INDEX(PASTE_ALL,6,56)),2,IF(TRIM(INDEX(PASTE_ALL,6,56))="",0,IF(AND(LEFT(MID(TRIM(INDEX(PASTE_ALL,6,56)),1+(LEFT(TRIM(INDEX(PASTE_ALL,6,56)),1)="-"),999),LEN(MID(TRIM(INDEX(PASTE_ALL,6,56)),1+(LEFT(TRIM(INDEX(PASTE_ALL,6,56)),1)="-"),999))-(RIGHT(MID(TRIM(INDEX(PASTE_ALL,6,56)),1+(LEFT(TRIM(INDEX(PASTE_ALL,6,56)),1)="-"),999),1)="%"))&lt;&gt;"",SUBSTITUTE(SUBSTITUTE(SUBSTITUTE(SUBSTITUTE(SUBSTITUTE(SUBSTITUTE(SUBSTITUTE(SUBSTITUTE(SUBSTITUTE(SUBSTITUTE(SUBSTITUTE(SUBSTITUTE(LEFT(MID(TRIM(INDEX(PASTE_ALL,6,56)),1+(LEFT(TRIM(INDEX(PASTE_ALL,6,56)),1)="-"),999),LEN(MID(TRIM(INDEX(PASTE_ALL,6,56)),1+(LEFT(TRIM(INDEX(PASTE_ALL,6,56)),1)="-"),999))-(RIGHT(MID(TRIM(INDEX(PASTE_ALL,6,56)),1+(LEFT(TRIM(INDEX(PASTE_ALL,6,56)),1)="-"),999),1)="%")),"0",""),"1",""),"2",""),"3",""),"4",""),"5",""),"6",""),"7",""),"8",""),"9",""),".",""),",","")=""),2,1))),1)</f>
        <v/>
      </c>
      <c r="CC55">
        <f>IFERROR(IF(ISNUMBER(INDEX(PASTE_ALL,6,57)),2,IF(TRIM(INDEX(PASTE_ALL,6,57))="",0,IF(AND(LEFT(MID(TRIM(INDEX(PASTE_ALL,6,57)),1+(LEFT(TRIM(INDEX(PASTE_ALL,6,57)),1)="-"),999),LEN(MID(TRIM(INDEX(PASTE_ALL,6,57)),1+(LEFT(TRIM(INDEX(PASTE_ALL,6,57)),1)="-"),999))-(RIGHT(MID(TRIM(INDEX(PASTE_ALL,6,57)),1+(LEFT(TRIM(INDEX(PASTE_ALL,6,57)),1)="-"),999),1)="%"))&lt;&gt;"",SUBSTITUTE(SUBSTITUTE(SUBSTITUTE(SUBSTITUTE(SUBSTITUTE(SUBSTITUTE(SUBSTITUTE(SUBSTITUTE(SUBSTITUTE(SUBSTITUTE(SUBSTITUTE(SUBSTITUTE(LEFT(MID(TRIM(INDEX(PASTE_ALL,6,57)),1+(LEFT(TRIM(INDEX(PASTE_ALL,6,57)),1)="-"),999),LEN(MID(TRIM(INDEX(PASTE_ALL,6,57)),1+(LEFT(TRIM(INDEX(PASTE_ALL,6,57)),1)="-"),999))-(RIGHT(MID(TRIM(INDEX(PASTE_ALL,6,57)),1+(LEFT(TRIM(INDEX(PASTE_ALL,6,57)),1)="-"),999),1)="%")),"0",""),"1",""),"2",""),"3",""),"4",""),"5",""),"6",""),"7",""),"8",""),"9",""),".",""),",","")=""),2,1))),1)</f>
        <v/>
      </c>
      <c r="CD55">
        <f>IFERROR(IF(ISNUMBER(INDEX(PASTE_ALL,6,58)),2,IF(TRIM(INDEX(PASTE_ALL,6,58))="",0,IF(AND(LEFT(MID(TRIM(INDEX(PASTE_ALL,6,58)),1+(LEFT(TRIM(INDEX(PASTE_ALL,6,58)),1)="-"),999),LEN(MID(TRIM(INDEX(PASTE_ALL,6,58)),1+(LEFT(TRIM(INDEX(PASTE_ALL,6,58)),1)="-"),999))-(RIGHT(MID(TRIM(INDEX(PASTE_ALL,6,58)),1+(LEFT(TRIM(INDEX(PASTE_ALL,6,58)),1)="-"),999),1)="%"))&lt;&gt;"",SUBSTITUTE(SUBSTITUTE(SUBSTITUTE(SUBSTITUTE(SUBSTITUTE(SUBSTITUTE(SUBSTITUTE(SUBSTITUTE(SUBSTITUTE(SUBSTITUTE(SUBSTITUTE(SUBSTITUTE(LEFT(MID(TRIM(INDEX(PASTE_ALL,6,58)),1+(LEFT(TRIM(INDEX(PASTE_ALL,6,58)),1)="-"),999),LEN(MID(TRIM(INDEX(PASTE_ALL,6,58)),1+(LEFT(TRIM(INDEX(PASTE_ALL,6,58)),1)="-"),999))-(RIGHT(MID(TRIM(INDEX(PASTE_ALL,6,58)),1+(LEFT(TRIM(INDEX(PASTE_ALL,6,58)),1)="-"),999),1)="%")),"0",""),"1",""),"2",""),"3",""),"4",""),"5",""),"6",""),"7",""),"8",""),"9",""),".",""),",","")=""),2,1))),1)</f>
        <v/>
      </c>
      <c r="CE55">
        <f>IFERROR(IF(ISNUMBER(INDEX(PASTE_ALL,6,59)),2,IF(TRIM(INDEX(PASTE_ALL,6,59))="",0,IF(AND(LEFT(MID(TRIM(INDEX(PASTE_ALL,6,59)),1+(LEFT(TRIM(INDEX(PASTE_ALL,6,59)),1)="-"),999),LEN(MID(TRIM(INDEX(PASTE_ALL,6,59)),1+(LEFT(TRIM(INDEX(PASTE_ALL,6,59)),1)="-"),999))-(RIGHT(MID(TRIM(INDEX(PASTE_ALL,6,59)),1+(LEFT(TRIM(INDEX(PASTE_ALL,6,59)),1)="-"),999),1)="%"))&lt;&gt;"",SUBSTITUTE(SUBSTITUTE(SUBSTITUTE(SUBSTITUTE(SUBSTITUTE(SUBSTITUTE(SUBSTITUTE(SUBSTITUTE(SUBSTITUTE(SUBSTITUTE(SUBSTITUTE(SUBSTITUTE(LEFT(MID(TRIM(INDEX(PASTE_ALL,6,59)),1+(LEFT(TRIM(INDEX(PASTE_ALL,6,59)),1)="-"),999),LEN(MID(TRIM(INDEX(PASTE_ALL,6,59)),1+(LEFT(TRIM(INDEX(PASTE_ALL,6,59)),1)="-"),999))-(RIGHT(MID(TRIM(INDEX(PASTE_ALL,6,59)),1+(LEFT(TRIM(INDEX(PASTE_ALL,6,59)),1)="-"),999),1)="%")),"0",""),"1",""),"2",""),"3",""),"4",""),"5",""),"6",""),"7",""),"8",""),"9",""),".",""),",","")=""),2,1))),1)</f>
        <v/>
      </c>
      <c r="CF55">
        <f>IFERROR(IF(ISNUMBER(INDEX(PASTE_ALL,6,60)),2,IF(TRIM(INDEX(PASTE_ALL,6,60))="",0,IF(AND(LEFT(MID(TRIM(INDEX(PASTE_ALL,6,60)),1+(LEFT(TRIM(INDEX(PASTE_ALL,6,60)),1)="-"),999),LEN(MID(TRIM(INDEX(PASTE_ALL,6,60)),1+(LEFT(TRIM(INDEX(PASTE_ALL,6,60)),1)="-"),999))-(RIGHT(MID(TRIM(INDEX(PASTE_ALL,6,60)),1+(LEFT(TRIM(INDEX(PASTE_ALL,6,60)),1)="-"),999),1)="%"))&lt;&gt;"",SUBSTITUTE(SUBSTITUTE(SUBSTITUTE(SUBSTITUTE(SUBSTITUTE(SUBSTITUTE(SUBSTITUTE(SUBSTITUTE(SUBSTITUTE(SUBSTITUTE(SUBSTITUTE(SUBSTITUTE(LEFT(MID(TRIM(INDEX(PASTE_ALL,6,60)),1+(LEFT(TRIM(INDEX(PASTE_ALL,6,60)),1)="-"),999),LEN(MID(TRIM(INDEX(PASTE_ALL,6,60)),1+(LEFT(TRIM(INDEX(PASTE_ALL,6,60)),1)="-"),999))-(RIGHT(MID(TRIM(INDEX(PASTE_ALL,6,60)),1+(LEFT(TRIM(INDEX(PASTE_ALL,6,60)),1)="-"),999),1)="%")),"0",""),"1",""),"2",""),"3",""),"4",""),"5",""),"6",""),"7",""),"8",""),"9",""),".",""),",","")=""),2,1))),1)</f>
        <v/>
      </c>
      <c r="DA55" t="n">
        <v>51</v>
      </c>
      <c r="DB55">
        <f>IF($B$37=0,"",IFERROR(TRIM(SUBSTITUTE(SUBSTITUTE(SUBSTITUTE(SUBSTITUTE(INDEX(PASTE_ALL,51,$B$37)," "," "),CHAR(9)," "),CHAR(10)," "),CHAR(13)," ")),""))</f>
        <v/>
      </c>
      <c r="DC55">
        <f>IF(AND(51&gt;HEADER_ROW,UPPER(DB55)="LEGEND"),1,0)</f>
        <v/>
      </c>
      <c r="DE55" t="n">
        <v>51</v>
      </c>
      <c r="DF55">
        <f>HEADER_ROW+$DE55</f>
        <v/>
      </c>
      <c r="DG55">
        <f>IF(AND($DF55&lt;=1000,$DF55&lt;$B$8),1,0)</f>
        <v/>
      </c>
      <c r="DH55">
        <f>IF($DG55=1,IFERROR(INDEX($DB$5:$DB$1004,$DF55),""),"")</f>
        <v/>
      </c>
      <c r="DI55">
        <f>IF(AND($DG55=1,$DH55&lt;&gt;""),IFERROR(SUBSTITUTE(SUBSTITUTE(TRIM(SUBSTITUTE(SUBSTITUTE(SUBSTITUTE(SUBSTITUTE(IFERROR(INDEX(PASTE_ALL,$DF55,1)&amp;"","")&amp;"␟"&amp;IFERROR(INDEX(PASTE_ALL,$DF55,2)&amp;"","")&amp;"␟"&amp;IFERROR(INDEX(PASTE_ALL,$DF55,3)&amp;"","")&amp;"␟"&amp;IFERROR(INDEX(PASTE_ALL,$DF55,4)&amp;"","")&amp;"␟"&amp;IFERROR(INDEX(PASTE_ALL,$DF55,5)&amp;"","")&amp;"␟"&amp;IFERROR(INDEX(PASTE_ALL,$DF55,6)&amp;"","")&amp;"␟"&amp;IFERROR(INDEX(PASTE_ALL,$DF55,7)&amp;"","")&amp;"␟"&amp;IFERROR(INDEX(PASTE_ALL,$DF55,8)&amp;"","")&amp;"␟"&amp;IFERROR(INDEX(PASTE_ALL,$DF55,9)&amp;"","")&amp;"␟"&amp;IFERROR(INDEX(PASTE_ALL,$DF55,10)&amp;"","")&amp;"␟"&amp;IFERROR(INDEX(PASTE_ALL,$DF55,11)&amp;"","")&amp;"␟"&amp;IFERROR(INDEX(PASTE_ALL,$DF55,12)&amp;"","")&amp;"␟"&amp;IFERROR(INDEX(PASTE_ALL,$DF55,13)&amp;"","")&amp;"␟"&amp;IFERROR(INDEX(PASTE_ALL,$DF55,14)&amp;"","")&amp;"␟"&amp;IFERROR(INDEX(PASTE_ALL,$DF55,15)&amp;"","")&amp;"␟"&amp;IFERROR(INDEX(PASTE_ALL,$DF55,16)&amp;"","")&amp;"␟"&amp;IFERROR(INDEX(PASTE_ALL,$DF55,17)&amp;"","")&amp;"␟"&amp;IFERROR(INDEX(PASTE_ALL,$DF55,18)&amp;"","")&amp;"␟"&amp;IFERROR(INDEX(PASTE_ALL,$DF55,19)&amp;"","")&amp;"␟"&amp;IFERROR(INDEX(PASTE_ALL,$DF55,20)&amp;"","")&amp;"␟"&amp;IFERROR(INDEX(PASTE_ALL,$DF55,21)&amp;"","")&amp;"␟"&amp;IFERROR(INDEX(PASTE_ALL,$DF55,22)&amp;"","")&amp;"␟"&amp;IFERROR(INDEX(PASTE_ALL,$DF55,23)&amp;"","")&amp;"␟"&amp;IFERROR(INDEX(PASTE_ALL,$DF55,24)&amp;"","")&amp;"␟"&amp;IFERROR(INDEX(PASTE_ALL,$DF55,25)&amp;"","")&amp;"␟"&amp;IFERROR(INDEX(PASTE_ALL,$DF55,26)&amp;"","")&amp;"␟"&amp;IFERROR(INDEX(PASTE_ALL,$DF55,27)&amp;"","")&amp;"␟"&amp;IFERROR(INDEX(PASTE_ALL,$DF55,28)&amp;"","")&amp;"␟"&amp;IFERROR(INDEX(PASTE_ALL,$DF55,29)&amp;"","")&amp;"␟"&amp;IFERROR(INDEX(PASTE_ALL,$DF55,30)&amp;"","")&amp;"␟"&amp;IFERROR(INDEX(PASTE_ALL,$DF55,31)&amp;"","")&amp;"␟"&amp;IFERROR(INDEX(PASTE_ALL,$DF55,32)&amp;"","")&amp;"␟"&amp;IFERROR(INDEX(PASTE_ALL,$DF55,33)&amp;"","")&amp;"␟"&amp;IFERROR(INDEX(PASTE_ALL,$DF55,34)&amp;"","")&amp;"␟"&amp;IFERROR(INDEX(PASTE_ALL,$DF55,35)&amp;"","")&amp;"␟"&amp;IFERROR(INDEX(PASTE_ALL,$DF55,36)&amp;"","")&amp;"␟"&amp;IFERROR(INDEX(PASTE_ALL,$DF55,37)&amp;"","")&amp;"␟"&amp;IFERROR(INDEX(PASTE_ALL,$DF55,38)&amp;"","")&amp;"␟"&amp;IFERROR(INDEX(PASTE_ALL,$DF55,39)&amp;"","")&amp;"␟"&amp;IFERROR(INDEX(PASTE_ALL,$DF55,40)&amp;"","")&amp;"␟"&amp;IFERROR(INDEX(PASTE_ALL,$DF55,41)&amp;"","")&amp;"␟"&amp;IFERROR(INDEX(PASTE_ALL,$DF55,42)&amp;"","")&amp;"␟"&amp;IFERROR(INDEX(PASTE_ALL,$DF55,43)&amp;"","")&amp;"␟"&amp;IFERROR(INDEX(PASTE_ALL,$DF55,44)&amp;"","")&amp;"␟"&amp;IFERROR(INDEX(PASTE_ALL,$DF55,45)&amp;"","")&amp;"␟"&amp;IFERROR(INDEX(PASTE_ALL,$DF55,46)&amp;"","")&amp;"␟"&amp;IFERROR(INDEX(PASTE_ALL,$DF55,47)&amp;"","")&amp;"␟"&amp;IFERROR(INDEX(PASTE_ALL,$DF55,48)&amp;"","")&amp;"␟"&amp;IFERROR(INDEX(PASTE_ALL,$DF55,49)&amp;"","")&amp;"␟"&amp;IFERROR(INDEX(PASTE_ALL,$DF55,50)&amp;"","")&amp;"␟"&amp;IFERROR(INDEX(PASTE_ALL,$DF55,51)&amp;"","")&amp;"␟"&amp;IFERROR(INDEX(PASTE_ALL,$DF55,52)&amp;"","")&amp;"␟"&amp;IFERROR(INDEX(PASTE_ALL,$DF55,53)&amp;"","")&amp;"␟"&amp;IFERROR(INDEX(PASTE_ALL,$DF55,54)&amp;"","")&amp;"␟"&amp;IFERROR(INDEX(PASTE_ALL,$DF55,55)&amp;"","")&amp;"␟"&amp;IFERROR(INDEX(PASTE_ALL,$DF55,56)&amp;"","")&amp;"␟"&amp;IFERROR(INDEX(PASTE_ALL,$DF55,57)&amp;"","")&amp;"␟"&amp;IFERROR(INDEX(PASTE_ALL,$DF55,58)&amp;"","")&amp;"␟"&amp;IFERROR(INDEX(PASTE_ALL,$DF55,59)&amp;"","")&amp;"␟"&amp;IFERROR(INDEX(PASTE_ALL,$DF55,60)&amp;"","")," "," "),CHAR(9)," "),CHAR(10)," "),CHAR(13)," "))," ␟","␟"),"␟ ","␟"),"#"&amp;$DE55),"")</f>
        <v/>
      </c>
      <c r="DJ55">
        <f>IF($DI55="",0,IF(SUMPRODUCT(--EXACT($DI$4:DI54,$DI55))&gt;0,1,0))</f>
        <v/>
      </c>
      <c r="DK55">
        <f>IF(AND($DI55&lt;&gt;"",$DJ55=0),1,0)</f>
        <v/>
      </c>
      <c r="DL55">
        <f>DL54+$DK55</f>
        <v/>
      </c>
      <c r="DM55">
        <f>IF(AND($DK55=1,$DL55&lt;=600),1,0)</f>
        <v/>
      </c>
      <c r="DN55">
        <f>IF($DM55=0,"",IF($L$6=0,"",IFERROR(IF(ISNUMBER(INDEX(PASTE_ALL,$DF55,$L$6)),INDEX(PASTE_ALL,$DF55,$L$6),TRIM(SUBSTITUTE(SUBSTITUTE(SUBSTITUTE(SUBSTITUTE(INDEX(PASTE_ALL,$DF55,$L$6)," "," "),CHAR(9)," "),CHAR(10)," "),CHAR(13)," "))),"")))</f>
        <v/>
      </c>
      <c r="DO55">
        <f>IF($DM55=0,"",IF($L$7=0,"",IFERROR(IF(ISNUMBER(INDEX(PASTE_ALL,$DF55,$L$7)),INDEX(PASTE_ALL,$DF55,$L$7),TRIM(SUBSTITUTE(SUBSTITUTE(SUBSTITUTE(SUBSTITUTE(INDEX(PASTE_ALL,$DF55,$L$7)," "," "),CHAR(9)," "),CHAR(10)," "),CHAR(13)," "))),"")))</f>
        <v/>
      </c>
      <c r="DP55">
        <f>IF($DM55=0,"",IF($L$8=0,"",IFERROR(IF(ISNUMBER(INDEX(PASTE_ALL,$DF55,$L$8)),INDEX(PASTE_ALL,$DF55,$L$8),TRIM(SUBSTITUTE(SUBSTITUTE(SUBSTITUTE(SUBSTITUTE(INDEX(PASTE_ALL,$DF55,$L$8)," "," "),CHAR(9)," "),CHAR(10)," "),CHAR(13)," "))),"")))</f>
        <v/>
      </c>
      <c r="DQ55">
        <f>IF($DM55=0,"",IF($L$9=0,"",IFERROR(IF(ISNUMBER(INDEX(PASTE_ALL,$DF55,$L$9)),INDEX(PASTE_ALL,$DF55,$L$9),TRIM(SUBSTITUTE(SUBSTITUTE(SUBSTITUTE(SUBSTITUTE(INDEX(PASTE_ALL,$DF55,$L$9)," "," "),CHAR(9)," "),CHAR(10)," "),CHAR(13)," "))),"")))</f>
        <v/>
      </c>
      <c r="DR55">
        <f>IF($DM55=0,"",IF($L$10=0,"",IFERROR(IF(ISNUMBER(INDEX(PASTE_ALL,$DF55,$L$10)),INDEX(PASTE_ALL,$DF55,$L$10),TRIM(SUBSTITUTE(SUBSTITUTE(SUBSTITUTE(SUBSTITUTE(INDEX(PASTE_ALL,$DF55,$L$10)," "," "),CHAR(9)," "),CHAR(10)," "),CHAR(13)," "))),"")))</f>
        <v/>
      </c>
      <c r="DS55">
        <f>IF($DM55=0,"",IF($L$11=0,"",IFERROR(IF(ISNUMBER(INDEX(PASTE_ALL,$DF55,$L$11)),INDEX(PASTE_ALL,$DF55,$L$11),TRIM(SUBSTITUTE(SUBSTITUTE(SUBSTITUTE(SUBSTITUTE(INDEX(PASTE_ALL,$DF55,$L$11)," "," "),CHAR(9)," "),CHAR(10)," "),CHAR(13)," "))),"")))</f>
        <v/>
      </c>
      <c r="DT55">
        <f>IF($DM55=0,"",IF($L$12=0,"",IFERROR(IF(ISNUMBER(INDEX(PASTE_ALL,$DF55,$L$12)),INDEX(PASTE_ALL,$DF55,$L$12),TRIM(SUBSTITUTE(SUBSTITUTE(SUBSTITUTE(SUBSTITUTE(INDEX(PASTE_ALL,$DF55,$L$12)," "," "),CHAR(9)," "),CHAR(10)," "),CHAR(13)," "))),"")))</f>
        <v/>
      </c>
      <c r="DU55">
        <f>IF($DM55=0,"",IF($L$13=0,"",IFERROR(IF(ISNUMBER(INDEX(PASTE_ALL,$DF55,$L$13)),INDEX(PASTE_ALL,$DF55,$L$13),TRIM(SUBSTITUTE(SUBSTITUTE(SUBSTITUTE(SUBSTITUTE(INDEX(PASTE_ALL,$DF55,$L$13)," "," "),CHAR(9)," "),CHAR(10)," "),CHAR(13)," "))),"")))</f>
        <v/>
      </c>
      <c r="DV55">
        <f>IF($DM55=0,"",IF($L$14=0,"",IFERROR(IF(ISNUMBER(INDEX(PASTE_ALL,$DF55,$L$14)),INDEX(PASTE_ALL,$DF55,$L$14),TRIM(SUBSTITUTE(SUBSTITUTE(SUBSTITUTE(SUBSTITUTE(INDEX(PASTE_ALL,$DF55,$L$14)," "," "),CHAR(9)," "),CHAR(10)," "),CHAR(13)," "))),"")))</f>
        <v/>
      </c>
      <c r="DW55">
        <f>IF($DM55=0,"",IF($L$15=0,"",IFERROR(IF(ISNUMBER(INDEX(PASTE_ALL,$DF55,$L$15)),INDEX(PASTE_ALL,$DF55,$L$15),IF(SUMPRODUCT(--ISNUMBER(FIND({"A","B","C","D","E","F","G","H","I","J","K","L","M","N","O","P","Q","R","S","T","U","V","W","X","Y","Z","0","1","2","3","4","5","6","7","8","9"},UPPER(TRIM(SUBSTITUTE(SUBSTITUTE(SUBSTITUTE(SUBSTITUTE(INDEX(PASTE_ALL,$DF55,$L$15)," "," "),CHAR(9)," "),CHAR(10)," "),CHAR(13)," "))))))&gt;0,TRIM(SUBSTITUTE(SUBSTITUTE(SUBSTITUTE(SUBSTITUTE(INDEX(PASTE_ALL,$DF55,$L$15)," "," "),CHAR(9)," "),CHAR(10)," "),CHAR(13)," ")),"")),"")))</f>
        <v/>
      </c>
      <c r="DX55">
        <f>IF($DM55=0,"",IF($L$16=0,"",IFERROR(IF(ISNUMBER(INDEX(PASTE_ALL,$DF55,$L$16)),INDEX(PASTE_ALL,$DF55,$L$16),SUBSTITUTE(SUBSTITUTE(TRIM(SUBSTITUTE(SUBSTITUTE(SUBSTITUTE(SUBSTITUTE(INDEX(PASTE_ALL,$DF55,$L$16)," "," "),CHAR(9)," "),CHAR(10)," "),CHAR(13)," ")),",",""),"%","")),"")))</f>
        <v/>
      </c>
      <c r="DY55">
        <f>IF($DM55=0,"",IFERROR(IF(ISNUMBER($DX55),$DX55,IF($DX55="","",IF(TRIM($DX55)="",0,IF(AND(AND(SUBSTITUTE(SUBSTITUTE(SUBSTITUTE(SUBSTITUTE(SUBSTITUTE(SUBSTITUTE(SUBSTITUTE(SUBSTITUTE(SUBSTITUTE(SUBSTITUTE(SUBSTITUTE(SUBSTITUTE(SUBSTITUTE(SUBSTITUTE(UPPER(TRIM($DX55)),"0",""),"1",""),"2",""),"3",""),"4",""),"5",""),"6",""),"7",""),"8",""),"9",""),".",""),"+",""),"-",""),"E","")="",LEN(SUBSTITUTE(SUBSTITUTE(MID(UPPER(TRIM($DX55)),1+OR(LEFT(UPPER(TRIM($DX55)),1)="+",LEFT(UPPER(TRIM($DX55)),1)="-"),999),"E+","E"),"E-","E"))=LEN(SUBSTITUTE(SUBSTITUTE(SUBSTITUTE(SUBSTITUTE(MID(UPPER(TRIM($DX55)),1+OR(LEFT(UPPER(TRIM($DX55)),1)="+",LEFT(UPPER(TRIM($DX55)),1)="-"),999),"E+","E"),"E-","E"),"+",""),"-","")),LEN(UPPER(TRIM($DX55)))-LEN(SUBSTITUTE(UPPER(TRIM($DX55)),"E",""))&lt;2,LEN(UPPER(TRIM($DX55)))-LEN(SUBSTITUTE(UPPER(TRIM($DX55)),".",""))&lt;2,IFERROR(FIND(".",UPPER(TRIM($DX55))),0)&lt;IFERROR(FIND("E",UPPER(TRIM($DX55))),999)),ISNUMBER(VALUE(TRIM($DX55)))),VALUE(TRIM($DX55)),"")))),""))</f>
        <v/>
      </c>
      <c r="DZ55">
        <f>IF($DM55=0,"",IF($L$17=0,"",IFERROR(IF(ISNUMBER(INDEX(PASTE_ALL,$DF55,$L$17)),INDEX(PASTE_ALL,$DF55,$L$17),SUBSTITUTE(SUBSTITUTE(TRIM(SUBSTITUTE(SUBSTITUTE(SUBSTITUTE(SUBSTITUTE(INDEX(PASTE_ALL,$DF55,$L$17)," "," "),CHAR(9)," "),CHAR(10)," "),CHAR(13)," ")),",",""),"%","")),"")))</f>
        <v/>
      </c>
      <c r="EA55">
        <f>IF($DM55=0,"",IFERROR(IF(ISNUMBER($DZ55),$DZ55,IF($DZ55="","",IF(TRIM($DZ55)="",0,IF(AND(AND(SUBSTITUTE(SUBSTITUTE(SUBSTITUTE(SUBSTITUTE(SUBSTITUTE(SUBSTITUTE(SUBSTITUTE(SUBSTITUTE(SUBSTITUTE(SUBSTITUTE(SUBSTITUTE(SUBSTITUTE(SUBSTITUTE(SUBSTITUTE(UPPER(TRIM($DZ55)),"0",""),"1",""),"2",""),"3",""),"4",""),"5",""),"6",""),"7",""),"8",""),"9",""),".",""),"+",""),"-",""),"E","")="",LEN(SUBSTITUTE(SUBSTITUTE(MID(UPPER(TRIM($DZ55)),1+OR(LEFT(UPPER(TRIM($DZ55)),1)="+",LEFT(UPPER(TRIM($DZ55)),1)="-"),999),"E+","E"),"E-","E"))=LEN(SUBSTITUTE(SUBSTITUTE(SUBSTITUTE(SUBSTITUTE(MID(UPPER(TRIM($DZ55)),1+OR(LEFT(UPPER(TRIM($DZ55)),1)="+",LEFT(UPPER(TRIM($DZ55)),1)="-"),999),"E+","E"),"E-","E"),"+",""),"-","")),LEN(UPPER(TRIM($DZ55)))-LEN(SUBSTITUTE(UPPER(TRIM($DZ55)),"E",""))&lt;2,LEN(UPPER(TRIM($DZ55)))-LEN(SUBSTITUTE(UPPER(TRIM($DZ55)),".",""))&lt;2,IFERROR(FIND(".",UPPER(TRIM($DZ55))),0)&lt;IFERROR(FIND("E",UPPER(TRIM($DZ55))),999)),ISNUMBER(VALUE(TRIM($DZ55)))),VALUE(TRIM($DZ55)),"")))),""))</f>
        <v/>
      </c>
      <c r="EB55">
        <f>IF($DM55=0,"",IF($L$18=0,"",IFERROR(IF(UPPER(TRIM(SUBSTITUTE(SUBSTITUTE(SUBSTITUTE(SUBSTITUTE(INDEX(PASTE_ALL,$DF55,$L$18)," "," "),CHAR(9)," "),CHAR(10)," "),CHAR(13)," ")))="READY","Ready",IF(UPPER(TRIM(SUBSTITUTE(SUBSTITUTE(SUBSTITUTE(SUBSTITUTE(INDEX(PASTE_ALL,$DF55,$L$18)," "," "),CHAR(9)," "),CHAR(10)," "),CHAR(13)," ")))="PM","PM",IF(OR(UPPER(TRIM(SUBSTITUTE(SUBSTITUTE(SUBSTITUTE(SUBSTITUTE(INDEX(PASTE_ALL,$DF55,$L$18)," "," "),CHAR(9)," "),CHAR(10)," "),CHAR(13)," ")))="OT",UPPER(TRIM(SUBSTITUTE(SUBSTITUTE(SUBSTITUTE(SUBSTITUTE(INDEX(PASTE_ALL,$DF55,$L$18)," "," "),CHAR(9)," "),CHAR(10)," "),CHAR(13)," ")))="OVERTIME",UPPER(TRIM(SUBSTITUTE(SUBSTITUTE(SUBSTITUTE(SUBSTITUTE(INDEX(PASTE_ALL,$DF55,$L$18)," "," "),CHAR(9)," "),CHAR(10)," "),CHAR(13)," ")))="TRIAL"),"OT",TRIM(SUBSTITUTE(SUBSTITUTE(SUBSTITUTE(SUBSTITUTE(INDEX(PASTE_ALL,$DF55,$L$18)," "," "),CHAR(9)," "),CHAR(10)," "),CHAR(13)," "))))),"")))</f>
        <v/>
      </c>
      <c r="EC55">
        <f>IF($DM55=0,"",IF($L$19=0,"",IFERROR(IF(ISNUMBER(INDEX(PASTE_ALL,$DF55,$L$19)),INDEX(PASTE_ALL,$DF55,$L$19),TRIM(SUBSTITUTE(SUBSTITUTE(SUBSTITUTE(SUBSTITUTE(INDEX(PASTE_ALL,$DF55,$L$19)," "," "),CHAR(9)," "),CHAR(10)," "),CHAR(13)," "))),"")))</f>
        <v/>
      </c>
      <c r="ED55">
        <f>IF($DM55=0,"",MATCH(1,INDEX(EXACT($DH$5:DH55,$DH55)*$DM$5:DM55,0),0))</f>
        <v/>
      </c>
      <c r="EE55">
        <f>IF($DM55=0,0,IF($ED55=$DE55,1,0))</f>
        <v/>
      </c>
      <c r="EF55">
        <f>EF54+$EE55</f>
        <v/>
      </c>
      <c r="EG55">
        <f>IF($DM55=0,"",INDEX($EF$5:$EF$1003,$ED55))</f>
        <v/>
      </c>
      <c r="EH55">
        <f>IF($DM55=0,"",IF($DO55&lt;&gt;"","",IFERROR(LOOKUP(2,1/(($EG$4:EG54=$EG55)*($DO$4:DO54&lt;&gt;"")),$DO$4:DO54),"")))</f>
        <v/>
      </c>
      <c r="EI55">
        <f>IF($DM55=0,"",IF($DO55&lt;&gt;"",$DO55,$EH55))</f>
        <v/>
      </c>
      <c r="EJ55">
        <f>IF($DM55=0,"",IF($EI55="",0,IF(OR(ISNUMBER($EI55),AND(AND(SUBSTITUTE(SUBSTITUTE(SUBSTITUTE(SUBSTITUTE(SUBSTITUTE(SUBSTITUTE(SUBSTITUTE(SUBSTITUTE(SUBSTITUTE(SUBSTITUTE(SUBSTITUTE(SUBSTITUTE(SUBSTITUTE(SUBSTITUTE(UPPER($EI55),"0",""),"1",""),"2",""),"3",""),"4",""),"5",""),"6",""),"7",""),"8",""),"9",""),".",""),"+",""),"-",""),"E","")="",LEN(SUBSTITUTE(SUBSTITUTE(MID(UPPER($EI55),1+OR(LEFT(UPPER($EI55),1)="+",LEFT(UPPER($EI55),1)="-"),999),"E+","E"),"E-","E"))=LEN(SUBSTITUTE(SUBSTITUTE(SUBSTITUTE(SUBSTITUTE(MID(UPPER($EI55),1+OR(LEFT(UPPER($EI55),1)="+",LEFT(UPPER($EI55),1)="-"),999),"E+","E"),"E-","E"),"+",""),"-","")),LEN(UPPER($EI55))-LEN(SUBSTITUTE(UPPER($EI55),"E",""))&lt;2,LEN(UPPER($EI55))-LEN(SUBSTITUTE(UPPER($EI55),".",""))&lt;2,IFERROR(FIND(".",UPPER($EI55)),0)&lt;IFERROR(FIND("E",UPPER($EI55)),999)),ISNUMBER(VALUE($EI55)))),1,2)))</f>
        <v/>
      </c>
      <c r="EK55">
        <f>IF($DM55=0,"",IF($EJ55=1,IF(ISNUMBER($EI55),$EI55,VALUE($EI55)),IF($EJ55=2,$DE55,0)))</f>
        <v/>
      </c>
      <c r="EL55">
        <f>IF($DM55=0,"",COUNTIF($EG$5:$EG$1003,"&lt;"&amp;$EG55)+SUMPRODUCT(($EG$5:$EG$1003=$EG55)*(($EJ$5:$EJ$1003&lt;$EJ55)+($EJ$5:$EJ$1003=$EJ55)*(($EK$5:$EK$1003&lt;$EK55)+($EK$5:$EK$1003=$EK55)*($DE$5:$DE$1003&lt;$DE55))))+1)</f>
        <v/>
      </c>
      <c r="EM55">
        <f>IF($DM55=0,"",$EL55+$EG55-1)</f>
        <v/>
      </c>
      <c r="EN55">
        <f>IF($DM55=0,0,IFERROR(MATCH(1,INDEX(--(TRIM(SUBSTITUTE(SUBSTITUTE(SUBSTITUTE(SUBSTITUTE(LINES_NAME&amp;""," "," "),CHAR(9)," "),CHAR(10)," "),CHAR(13)," "))=$DH55),0),0),0))</f>
        <v/>
      </c>
      <c r="EO55">
        <f>IF($EN55=0,0,IF(OR(UPPER(TRIM(INDEX(LINES_SCHEDULED,$EN55)&amp;""))="YES",UPPER(TRIM(INDEX(LINES_SCHEDULED,$EN55)&amp;""))="Y",UPPER(TRIM(INDEX(LINES_SCHEDULED,$EN55)&amp;""))="X"),1,0))</f>
        <v/>
      </c>
      <c r="EP55">
        <f>IF($DM55=0,"",IF(COUNTIFS($EG$5:$EG$1003,$EG55,$EB$5:$EB$1003,"Ready")&gt;0,"READY",IF(COUNTIFS($EG$5:$EG$1003,$EG55,$EB$5:$EB$1003,"PM")&gt;0,"PM",IF(COUNTIFS($EG$5:$EG$1003,$EG55,$EB$5:$EB$1003,"OT")&gt;0,"OT",""))))</f>
        <v/>
      </c>
      <c r="EQ55">
        <f>IF($EN55=0,"",UPPER(TRIM(INDEX(LINES_STATUS,$EN55)&amp;"")))</f>
        <v/>
      </c>
      <c r="ER55">
        <f>IF($DM55=0,"",IF(OR($EQ55="READY",$EQ55="PM",$EQ55="OT"),$EQ55,$EP55))</f>
        <v/>
      </c>
      <c r="ES55">
        <f>IF($DM55=0,"",IF(AND($DV55&lt;&gt;"",UPPER($DV55)&lt;&gt;"N"),"allergen",IF(ISNUMBER(SEARCH("oil",$DQ55)),"oil",IF(OR(EXACT($DS55,"A662"),EXACT($DS55,"A624")),"bulk",""))))</f>
        <v/>
      </c>
      <c r="ET55">
        <f>IF($DM55=0,"",IF(OR($EA55="",$EA55=0),"",$EA55/100))</f>
        <v/>
      </c>
      <c r="EU55">
        <f>IF(OR($ET55="",$DY55=""),"",INT($DY55*(1-$ET55)+0.5))</f>
        <v/>
      </c>
      <c r="EW55" t="n">
        <v>51</v>
      </c>
      <c r="EX55">
        <f>IFERROR(MATCH($EW55,$EM$5:$EM$1003,0),0)</f>
        <v/>
      </c>
      <c r="EY55">
        <f>IF($EW55&gt;$B$12,"",IF($EX55&gt;0,"row","spacer"))</f>
        <v/>
      </c>
      <c r="EZ55">
        <f>IF(AND($EY55="row",$EY54&lt;&gt;"row"),1,0)</f>
        <v/>
      </c>
      <c r="FA55">
        <f>IF(AND($EY55="row",$EY56&lt;&gt;"row"),1,0)</f>
        <v/>
      </c>
      <c r="FB55">
        <f>IF($EZ55=1,IFERROR(IF(ISNUMBER(INDEX(PASTE_ALL,INDEX($DF$5:$DF$1003,$EX55),$B$37)),INDEX(PASTE_ALL,INDEX($DF$5:$DF$1003,$EX55),$B$37),INDEX($DH$5:$DH$1003,$EX55)),INDEX($DH$5:$DH$1003,$EX55)),"")</f>
        <v/>
      </c>
      <c r="FC55">
        <f>IF($EY55="row",INDEX($ER$5:$ER$1003,$EX55),"")</f>
        <v/>
      </c>
      <c r="FD55">
        <f>IF($EY55="row",INDEX($DN$5:$DN$1003,$EX55),"")</f>
        <v/>
      </c>
      <c r="FE55">
        <f>IF($EY55="row",INDEX($DO$5:$DO$1003,$EX55),"")</f>
        <v/>
      </c>
      <c r="FF55">
        <f>IF($EY55="row",INDEX($DP$5:$DP$1003,$EX55),"")</f>
        <v/>
      </c>
      <c r="FG55">
        <f>IF($EY55="row",INDEX($DQ$5:$DQ$1003,$EX55),"")</f>
        <v/>
      </c>
      <c r="FH55">
        <f>IF($EY55="row",INDEX($DR$5:$DR$1003,$EX55),"")</f>
        <v/>
      </c>
      <c r="FI55">
        <f>IF($EY55="row",INDEX($DS$5:$DS$1003,$EX55),"")</f>
        <v/>
      </c>
      <c r="FJ55">
        <f>IF($EY55="row",INDEX($DT$5:$DT$1003,$EX55),"")</f>
        <v/>
      </c>
      <c r="FK55">
        <f>IF($EY55="row",INDEX($DU$5:$DU$1003,$EX55),"")</f>
        <v/>
      </c>
      <c r="FL55">
        <f>IF($EY55="row",INDEX($DV$5:$DV$1003,$EX55),"")</f>
        <v/>
      </c>
      <c r="FM55">
        <f>IF($EY55="row",INDEX($DW$5:$DW$1003,$EX55),"")</f>
        <v/>
      </c>
      <c r="FN55">
        <f>IF($EY55="row",INDEX($DY$5:$DY$1003,$EX55),"")</f>
        <v/>
      </c>
      <c r="FO55">
        <f>IF($EY55="row",INDEX($EA$5:$EA$1003,$EX55),"")</f>
        <v/>
      </c>
      <c r="FP55">
        <f>IF($EY55="row",INDEX($EC$5:$EC$1003,$EX55),"")</f>
        <v/>
      </c>
      <c r="FQ55">
        <f>IF($EY55="row",INDEX($ET$5:$ET$1003,$EX55),"")</f>
        <v/>
      </c>
      <c r="FR55">
        <f>IF($EY55="row",INDEX($EU$5:$EU$1003,$EX55),"")</f>
        <v/>
      </c>
      <c r="FS55">
        <f>IF(AND($EY55="row",$EY54="row"),IF(OR(INDEX($DT$5:$DT$1003,$EX54)="",INDEX($DT$5:$DT$1003,$EX55)=""),"",IF(NOT(EXACT(INDEX($DT$5:$DT$1003,$EX54),INDEX($DT$5:$DT$1003,$EX55))),"S4",IF(NOT(EXACT(INDEX($DS$5:$DS$1003,$EX54),INDEX($DS$5:$DS$1003,$EX55))),"S3",IF(NOT(EXACT(INDEX($DR$5:$DR$1003,$EX54),INDEX($DR$5:$DR$1003,$EX55))),"S1 Count Change","S1")))),"")</f>
        <v/>
      </c>
      <c r="FT55">
        <f>IF($EY55="row",INDEX($ES$5:$ES$1003,$EX55),"")</f>
        <v/>
      </c>
      <c r="FU55">
        <f>IF($EY55="row",INDEX($EO$5:$EO$1003,$EX55),0)</f>
        <v/>
      </c>
      <c r="FV55">
        <f>IF($FS55="S1 Count Change",1,0)</f>
        <v/>
      </c>
      <c r="FX55" t="n">
        <v>51</v>
      </c>
      <c r="FY55">
        <f>IFERROR(MATCH($FX55,$EF$5:$EF$1003,0),0)</f>
        <v/>
      </c>
      <c r="FZ55">
        <f>IF($FY55=0,"",INDEX($DH$5:$DH$1003,$FY55))</f>
        <v/>
      </c>
      <c r="GA55">
        <f>IF($FY55=0,"",COUNTIF($EG$5:$EG$1003,$FX55))</f>
        <v/>
      </c>
      <c r="GB55">
        <f>IF($FY55=0,"",INDEX($ER$5:$ER$1003,$FY55))</f>
        <v/>
      </c>
      <c r="GC55">
        <f>IF($FY55=0,"",IF(INDEX($EO$5:$EO$1003,$FY55)=1,"Yes",""))</f>
        <v/>
      </c>
      <c r="GD55">
        <f>IF($FY55=0,"",IF(INDEX($EN$5:$EN$1003,$FY55)&gt;0,"","NOT IN YOUR LIST - type it in column A to tick it"))</f>
        <v/>
      </c>
      <c r="GE55">
        <f>IF(AND($FY55&gt;0,$GD55&lt;&gt;""),1,0)</f>
        <v/>
      </c>
      <c r="GF55">
        <f>GF54+$GE55</f>
        <v/>
      </c>
      <c r="GG55">
        <f>IFERROR(INDEX($FZ$5:$FZ$104,MATCH($FX55,$GF$5:$GF$104,0)),"")</f>
        <v/>
      </c>
    </row>
    <row r="56">
      <c r="S56" t="n">
        <v>52</v>
      </c>
      <c r="T56" t="inlineStr">
        <is>
          <t>AZ</t>
        </is>
      </c>
      <c r="V56" t="inlineStr">
        <is>
          <t>SIZE</t>
        </is>
      </c>
      <c r="W56" t="n">
        <v>8</v>
      </c>
      <c r="Y56">
        <f>IFERROR(IF(ISNUMBER(INDEX(PASTE_ALL,7,1)),2,IF(TRIM(INDEX(PASTE_ALL,7,1))="",0,IF(AND(LEFT(MID(TRIM(INDEX(PASTE_ALL,7,1)),1+(LEFT(TRIM(INDEX(PASTE_ALL,7,1)),1)="-"),999),LEN(MID(TRIM(INDEX(PASTE_ALL,7,1)),1+(LEFT(TRIM(INDEX(PASTE_ALL,7,1)),1)="-"),999))-(RIGHT(MID(TRIM(INDEX(PASTE_ALL,7,1)),1+(LEFT(TRIM(INDEX(PASTE_ALL,7,1)),1)="-"),999),1)="%"))&lt;&gt;"",SUBSTITUTE(SUBSTITUTE(SUBSTITUTE(SUBSTITUTE(SUBSTITUTE(SUBSTITUTE(SUBSTITUTE(SUBSTITUTE(SUBSTITUTE(SUBSTITUTE(SUBSTITUTE(SUBSTITUTE(LEFT(MID(TRIM(INDEX(PASTE_ALL,7,1)),1+(LEFT(TRIM(INDEX(PASTE_ALL,7,1)),1)="-"),999),LEN(MID(TRIM(INDEX(PASTE_ALL,7,1)),1+(LEFT(TRIM(INDEX(PASTE_ALL,7,1)),1)="-"),999))-(RIGHT(MID(TRIM(INDEX(PASTE_ALL,7,1)),1+(LEFT(TRIM(INDEX(PASTE_ALL,7,1)),1)="-"),999),1)="%")),"0",""),"1",""),"2",""),"3",""),"4",""),"5",""),"6",""),"7",""),"8",""),"9",""),".",""),",","")=""),2,1))),1)</f>
        <v/>
      </c>
      <c r="Z56">
        <f>IFERROR(IF(ISNUMBER(INDEX(PASTE_ALL,7,2)),2,IF(TRIM(INDEX(PASTE_ALL,7,2))="",0,IF(AND(LEFT(MID(TRIM(INDEX(PASTE_ALL,7,2)),1+(LEFT(TRIM(INDEX(PASTE_ALL,7,2)),1)="-"),999),LEN(MID(TRIM(INDEX(PASTE_ALL,7,2)),1+(LEFT(TRIM(INDEX(PASTE_ALL,7,2)),1)="-"),999))-(RIGHT(MID(TRIM(INDEX(PASTE_ALL,7,2)),1+(LEFT(TRIM(INDEX(PASTE_ALL,7,2)),1)="-"),999),1)="%"))&lt;&gt;"",SUBSTITUTE(SUBSTITUTE(SUBSTITUTE(SUBSTITUTE(SUBSTITUTE(SUBSTITUTE(SUBSTITUTE(SUBSTITUTE(SUBSTITUTE(SUBSTITUTE(SUBSTITUTE(SUBSTITUTE(LEFT(MID(TRIM(INDEX(PASTE_ALL,7,2)),1+(LEFT(TRIM(INDEX(PASTE_ALL,7,2)),1)="-"),999),LEN(MID(TRIM(INDEX(PASTE_ALL,7,2)),1+(LEFT(TRIM(INDEX(PASTE_ALL,7,2)),1)="-"),999))-(RIGHT(MID(TRIM(INDEX(PASTE_ALL,7,2)),1+(LEFT(TRIM(INDEX(PASTE_ALL,7,2)),1)="-"),999),1)="%")),"0",""),"1",""),"2",""),"3",""),"4",""),"5",""),"6",""),"7",""),"8",""),"9",""),".",""),",","")=""),2,1))),1)</f>
        <v/>
      </c>
      <c r="AA56">
        <f>IFERROR(IF(ISNUMBER(INDEX(PASTE_ALL,7,3)),2,IF(TRIM(INDEX(PASTE_ALL,7,3))="",0,IF(AND(LEFT(MID(TRIM(INDEX(PASTE_ALL,7,3)),1+(LEFT(TRIM(INDEX(PASTE_ALL,7,3)),1)="-"),999),LEN(MID(TRIM(INDEX(PASTE_ALL,7,3)),1+(LEFT(TRIM(INDEX(PASTE_ALL,7,3)),1)="-"),999))-(RIGHT(MID(TRIM(INDEX(PASTE_ALL,7,3)),1+(LEFT(TRIM(INDEX(PASTE_ALL,7,3)),1)="-"),999),1)="%"))&lt;&gt;"",SUBSTITUTE(SUBSTITUTE(SUBSTITUTE(SUBSTITUTE(SUBSTITUTE(SUBSTITUTE(SUBSTITUTE(SUBSTITUTE(SUBSTITUTE(SUBSTITUTE(SUBSTITUTE(SUBSTITUTE(LEFT(MID(TRIM(INDEX(PASTE_ALL,7,3)),1+(LEFT(TRIM(INDEX(PASTE_ALL,7,3)),1)="-"),999),LEN(MID(TRIM(INDEX(PASTE_ALL,7,3)),1+(LEFT(TRIM(INDEX(PASTE_ALL,7,3)),1)="-"),999))-(RIGHT(MID(TRIM(INDEX(PASTE_ALL,7,3)),1+(LEFT(TRIM(INDEX(PASTE_ALL,7,3)),1)="-"),999),1)="%")),"0",""),"1",""),"2",""),"3",""),"4",""),"5",""),"6",""),"7",""),"8",""),"9",""),".",""),",","")=""),2,1))),1)</f>
        <v/>
      </c>
      <c r="AB56">
        <f>IFERROR(IF(ISNUMBER(INDEX(PASTE_ALL,7,4)),2,IF(TRIM(INDEX(PASTE_ALL,7,4))="",0,IF(AND(LEFT(MID(TRIM(INDEX(PASTE_ALL,7,4)),1+(LEFT(TRIM(INDEX(PASTE_ALL,7,4)),1)="-"),999),LEN(MID(TRIM(INDEX(PASTE_ALL,7,4)),1+(LEFT(TRIM(INDEX(PASTE_ALL,7,4)),1)="-"),999))-(RIGHT(MID(TRIM(INDEX(PASTE_ALL,7,4)),1+(LEFT(TRIM(INDEX(PASTE_ALL,7,4)),1)="-"),999),1)="%"))&lt;&gt;"",SUBSTITUTE(SUBSTITUTE(SUBSTITUTE(SUBSTITUTE(SUBSTITUTE(SUBSTITUTE(SUBSTITUTE(SUBSTITUTE(SUBSTITUTE(SUBSTITUTE(SUBSTITUTE(SUBSTITUTE(LEFT(MID(TRIM(INDEX(PASTE_ALL,7,4)),1+(LEFT(TRIM(INDEX(PASTE_ALL,7,4)),1)="-"),999),LEN(MID(TRIM(INDEX(PASTE_ALL,7,4)),1+(LEFT(TRIM(INDEX(PASTE_ALL,7,4)),1)="-"),999))-(RIGHT(MID(TRIM(INDEX(PASTE_ALL,7,4)),1+(LEFT(TRIM(INDEX(PASTE_ALL,7,4)),1)="-"),999),1)="%")),"0",""),"1",""),"2",""),"3",""),"4",""),"5",""),"6",""),"7",""),"8",""),"9",""),".",""),",","")=""),2,1))),1)</f>
        <v/>
      </c>
      <c r="AC56">
        <f>IFERROR(IF(ISNUMBER(INDEX(PASTE_ALL,7,5)),2,IF(TRIM(INDEX(PASTE_ALL,7,5))="",0,IF(AND(LEFT(MID(TRIM(INDEX(PASTE_ALL,7,5)),1+(LEFT(TRIM(INDEX(PASTE_ALL,7,5)),1)="-"),999),LEN(MID(TRIM(INDEX(PASTE_ALL,7,5)),1+(LEFT(TRIM(INDEX(PASTE_ALL,7,5)),1)="-"),999))-(RIGHT(MID(TRIM(INDEX(PASTE_ALL,7,5)),1+(LEFT(TRIM(INDEX(PASTE_ALL,7,5)),1)="-"),999),1)="%"))&lt;&gt;"",SUBSTITUTE(SUBSTITUTE(SUBSTITUTE(SUBSTITUTE(SUBSTITUTE(SUBSTITUTE(SUBSTITUTE(SUBSTITUTE(SUBSTITUTE(SUBSTITUTE(SUBSTITUTE(SUBSTITUTE(LEFT(MID(TRIM(INDEX(PASTE_ALL,7,5)),1+(LEFT(TRIM(INDEX(PASTE_ALL,7,5)),1)="-"),999),LEN(MID(TRIM(INDEX(PASTE_ALL,7,5)),1+(LEFT(TRIM(INDEX(PASTE_ALL,7,5)),1)="-"),999))-(RIGHT(MID(TRIM(INDEX(PASTE_ALL,7,5)),1+(LEFT(TRIM(INDEX(PASTE_ALL,7,5)),1)="-"),999),1)="%")),"0",""),"1",""),"2",""),"3",""),"4",""),"5",""),"6",""),"7",""),"8",""),"9",""),".",""),",","")=""),2,1))),1)</f>
        <v/>
      </c>
      <c r="AD56">
        <f>IFERROR(IF(ISNUMBER(INDEX(PASTE_ALL,7,6)),2,IF(TRIM(INDEX(PASTE_ALL,7,6))="",0,IF(AND(LEFT(MID(TRIM(INDEX(PASTE_ALL,7,6)),1+(LEFT(TRIM(INDEX(PASTE_ALL,7,6)),1)="-"),999),LEN(MID(TRIM(INDEX(PASTE_ALL,7,6)),1+(LEFT(TRIM(INDEX(PASTE_ALL,7,6)),1)="-"),999))-(RIGHT(MID(TRIM(INDEX(PASTE_ALL,7,6)),1+(LEFT(TRIM(INDEX(PASTE_ALL,7,6)),1)="-"),999),1)="%"))&lt;&gt;"",SUBSTITUTE(SUBSTITUTE(SUBSTITUTE(SUBSTITUTE(SUBSTITUTE(SUBSTITUTE(SUBSTITUTE(SUBSTITUTE(SUBSTITUTE(SUBSTITUTE(SUBSTITUTE(SUBSTITUTE(LEFT(MID(TRIM(INDEX(PASTE_ALL,7,6)),1+(LEFT(TRIM(INDEX(PASTE_ALL,7,6)),1)="-"),999),LEN(MID(TRIM(INDEX(PASTE_ALL,7,6)),1+(LEFT(TRIM(INDEX(PASTE_ALL,7,6)),1)="-"),999))-(RIGHT(MID(TRIM(INDEX(PASTE_ALL,7,6)),1+(LEFT(TRIM(INDEX(PASTE_ALL,7,6)),1)="-"),999),1)="%")),"0",""),"1",""),"2",""),"3",""),"4",""),"5",""),"6",""),"7",""),"8",""),"9",""),".",""),",","")=""),2,1))),1)</f>
        <v/>
      </c>
      <c r="AE56">
        <f>IFERROR(IF(ISNUMBER(INDEX(PASTE_ALL,7,7)),2,IF(TRIM(INDEX(PASTE_ALL,7,7))="",0,IF(AND(LEFT(MID(TRIM(INDEX(PASTE_ALL,7,7)),1+(LEFT(TRIM(INDEX(PASTE_ALL,7,7)),1)="-"),999),LEN(MID(TRIM(INDEX(PASTE_ALL,7,7)),1+(LEFT(TRIM(INDEX(PASTE_ALL,7,7)),1)="-"),999))-(RIGHT(MID(TRIM(INDEX(PASTE_ALL,7,7)),1+(LEFT(TRIM(INDEX(PASTE_ALL,7,7)),1)="-"),999),1)="%"))&lt;&gt;"",SUBSTITUTE(SUBSTITUTE(SUBSTITUTE(SUBSTITUTE(SUBSTITUTE(SUBSTITUTE(SUBSTITUTE(SUBSTITUTE(SUBSTITUTE(SUBSTITUTE(SUBSTITUTE(SUBSTITUTE(LEFT(MID(TRIM(INDEX(PASTE_ALL,7,7)),1+(LEFT(TRIM(INDEX(PASTE_ALL,7,7)),1)="-"),999),LEN(MID(TRIM(INDEX(PASTE_ALL,7,7)),1+(LEFT(TRIM(INDEX(PASTE_ALL,7,7)),1)="-"),999))-(RIGHT(MID(TRIM(INDEX(PASTE_ALL,7,7)),1+(LEFT(TRIM(INDEX(PASTE_ALL,7,7)),1)="-"),999),1)="%")),"0",""),"1",""),"2",""),"3",""),"4",""),"5",""),"6",""),"7",""),"8",""),"9",""),".",""),",","")=""),2,1))),1)</f>
        <v/>
      </c>
      <c r="AF56">
        <f>IFERROR(IF(ISNUMBER(INDEX(PASTE_ALL,7,8)),2,IF(TRIM(INDEX(PASTE_ALL,7,8))="",0,IF(AND(LEFT(MID(TRIM(INDEX(PASTE_ALL,7,8)),1+(LEFT(TRIM(INDEX(PASTE_ALL,7,8)),1)="-"),999),LEN(MID(TRIM(INDEX(PASTE_ALL,7,8)),1+(LEFT(TRIM(INDEX(PASTE_ALL,7,8)),1)="-"),999))-(RIGHT(MID(TRIM(INDEX(PASTE_ALL,7,8)),1+(LEFT(TRIM(INDEX(PASTE_ALL,7,8)),1)="-"),999),1)="%"))&lt;&gt;"",SUBSTITUTE(SUBSTITUTE(SUBSTITUTE(SUBSTITUTE(SUBSTITUTE(SUBSTITUTE(SUBSTITUTE(SUBSTITUTE(SUBSTITUTE(SUBSTITUTE(SUBSTITUTE(SUBSTITUTE(LEFT(MID(TRIM(INDEX(PASTE_ALL,7,8)),1+(LEFT(TRIM(INDEX(PASTE_ALL,7,8)),1)="-"),999),LEN(MID(TRIM(INDEX(PASTE_ALL,7,8)),1+(LEFT(TRIM(INDEX(PASTE_ALL,7,8)),1)="-"),999))-(RIGHT(MID(TRIM(INDEX(PASTE_ALL,7,8)),1+(LEFT(TRIM(INDEX(PASTE_ALL,7,8)),1)="-"),999),1)="%")),"0",""),"1",""),"2",""),"3",""),"4",""),"5",""),"6",""),"7",""),"8",""),"9",""),".",""),",","")=""),2,1))),1)</f>
        <v/>
      </c>
      <c r="AG56">
        <f>IFERROR(IF(ISNUMBER(INDEX(PASTE_ALL,7,9)),2,IF(TRIM(INDEX(PASTE_ALL,7,9))="",0,IF(AND(LEFT(MID(TRIM(INDEX(PASTE_ALL,7,9)),1+(LEFT(TRIM(INDEX(PASTE_ALL,7,9)),1)="-"),999),LEN(MID(TRIM(INDEX(PASTE_ALL,7,9)),1+(LEFT(TRIM(INDEX(PASTE_ALL,7,9)),1)="-"),999))-(RIGHT(MID(TRIM(INDEX(PASTE_ALL,7,9)),1+(LEFT(TRIM(INDEX(PASTE_ALL,7,9)),1)="-"),999),1)="%"))&lt;&gt;"",SUBSTITUTE(SUBSTITUTE(SUBSTITUTE(SUBSTITUTE(SUBSTITUTE(SUBSTITUTE(SUBSTITUTE(SUBSTITUTE(SUBSTITUTE(SUBSTITUTE(SUBSTITUTE(SUBSTITUTE(LEFT(MID(TRIM(INDEX(PASTE_ALL,7,9)),1+(LEFT(TRIM(INDEX(PASTE_ALL,7,9)),1)="-"),999),LEN(MID(TRIM(INDEX(PASTE_ALL,7,9)),1+(LEFT(TRIM(INDEX(PASTE_ALL,7,9)),1)="-"),999))-(RIGHT(MID(TRIM(INDEX(PASTE_ALL,7,9)),1+(LEFT(TRIM(INDEX(PASTE_ALL,7,9)),1)="-"),999),1)="%")),"0",""),"1",""),"2",""),"3",""),"4",""),"5",""),"6",""),"7",""),"8",""),"9",""),".",""),",","")=""),2,1))),1)</f>
        <v/>
      </c>
      <c r="AH56">
        <f>IFERROR(IF(ISNUMBER(INDEX(PASTE_ALL,7,10)),2,IF(TRIM(INDEX(PASTE_ALL,7,10))="",0,IF(AND(LEFT(MID(TRIM(INDEX(PASTE_ALL,7,10)),1+(LEFT(TRIM(INDEX(PASTE_ALL,7,10)),1)="-"),999),LEN(MID(TRIM(INDEX(PASTE_ALL,7,10)),1+(LEFT(TRIM(INDEX(PASTE_ALL,7,10)),1)="-"),999))-(RIGHT(MID(TRIM(INDEX(PASTE_ALL,7,10)),1+(LEFT(TRIM(INDEX(PASTE_ALL,7,10)),1)="-"),999),1)="%"))&lt;&gt;"",SUBSTITUTE(SUBSTITUTE(SUBSTITUTE(SUBSTITUTE(SUBSTITUTE(SUBSTITUTE(SUBSTITUTE(SUBSTITUTE(SUBSTITUTE(SUBSTITUTE(SUBSTITUTE(SUBSTITUTE(LEFT(MID(TRIM(INDEX(PASTE_ALL,7,10)),1+(LEFT(TRIM(INDEX(PASTE_ALL,7,10)),1)="-"),999),LEN(MID(TRIM(INDEX(PASTE_ALL,7,10)),1+(LEFT(TRIM(INDEX(PASTE_ALL,7,10)),1)="-"),999))-(RIGHT(MID(TRIM(INDEX(PASTE_ALL,7,10)),1+(LEFT(TRIM(INDEX(PASTE_ALL,7,10)),1)="-"),999),1)="%")),"0",""),"1",""),"2",""),"3",""),"4",""),"5",""),"6",""),"7",""),"8",""),"9",""),".",""),",","")=""),2,1))),1)</f>
        <v/>
      </c>
      <c r="AI56">
        <f>IFERROR(IF(ISNUMBER(INDEX(PASTE_ALL,7,11)),2,IF(TRIM(INDEX(PASTE_ALL,7,11))="",0,IF(AND(LEFT(MID(TRIM(INDEX(PASTE_ALL,7,11)),1+(LEFT(TRIM(INDEX(PASTE_ALL,7,11)),1)="-"),999),LEN(MID(TRIM(INDEX(PASTE_ALL,7,11)),1+(LEFT(TRIM(INDEX(PASTE_ALL,7,11)),1)="-"),999))-(RIGHT(MID(TRIM(INDEX(PASTE_ALL,7,11)),1+(LEFT(TRIM(INDEX(PASTE_ALL,7,11)),1)="-"),999),1)="%"))&lt;&gt;"",SUBSTITUTE(SUBSTITUTE(SUBSTITUTE(SUBSTITUTE(SUBSTITUTE(SUBSTITUTE(SUBSTITUTE(SUBSTITUTE(SUBSTITUTE(SUBSTITUTE(SUBSTITUTE(SUBSTITUTE(LEFT(MID(TRIM(INDEX(PASTE_ALL,7,11)),1+(LEFT(TRIM(INDEX(PASTE_ALL,7,11)),1)="-"),999),LEN(MID(TRIM(INDEX(PASTE_ALL,7,11)),1+(LEFT(TRIM(INDEX(PASTE_ALL,7,11)),1)="-"),999))-(RIGHT(MID(TRIM(INDEX(PASTE_ALL,7,11)),1+(LEFT(TRIM(INDEX(PASTE_ALL,7,11)),1)="-"),999),1)="%")),"0",""),"1",""),"2",""),"3",""),"4",""),"5",""),"6",""),"7",""),"8",""),"9",""),".",""),",","")=""),2,1))),1)</f>
        <v/>
      </c>
      <c r="AJ56">
        <f>IFERROR(IF(ISNUMBER(INDEX(PASTE_ALL,7,12)),2,IF(TRIM(INDEX(PASTE_ALL,7,12))="",0,IF(AND(LEFT(MID(TRIM(INDEX(PASTE_ALL,7,12)),1+(LEFT(TRIM(INDEX(PASTE_ALL,7,12)),1)="-"),999),LEN(MID(TRIM(INDEX(PASTE_ALL,7,12)),1+(LEFT(TRIM(INDEX(PASTE_ALL,7,12)),1)="-"),999))-(RIGHT(MID(TRIM(INDEX(PASTE_ALL,7,12)),1+(LEFT(TRIM(INDEX(PASTE_ALL,7,12)),1)="-"),999),1)="%"))&lt;&gt;"",SUBSTITUTE(SUBSTITUTE(SUBSTITUTE(SUBSTITUTE(SUBSTITUTE(SUBSTITUTE(SUBSTITUTE(SUBSTITUTE(SUBSTITUTE(SUBSTITUTE(SUBSTITUTE(SUBSTITUTE(LEFT(MID(TRIM(INDEX(PASTE_ALL,7,12)),1+(LEFT(TRIM(INDEX(PASTE_ALL,7,12)),1)="-"),999),LEN(MID(TRIM(INDEX(PASTE_ALL,7,12)),1+(LEFT(TRIM(INDEX(PASTE_ALL,7,12)),1)="-"),999))-(RIGHT(MID(TRIM(INDEX(PASTE_ALL,7,12)),1+(LEFT(TRIM(INDEX(PASTE_ALL,7,12)),1)="-"),999),1)="%")),"0",""),"1",""),"2",""),"3",""),"4",""),"5",""),"6",""),"7",""),"8",""),"9",""),".",""),",","")=""),2,1))),1)</f>
        <v/>
      </c>
      <c r="AK56">
        <f>IFERROR(IF(ISNUMBER(INDEX(PASTE_ALL,7,13)),2,IF(TRIM(INDEX(PASTE_ALL,7,13))="",0,IF(AND(LEFT(MID(TRIM(INDEX(PASTE_ALL,7,13)),1+(LEFT(TRIM(INDEX(PASTE_ALL,7,13)),1)="-"),999),LEN(MID(TRIM(INDEX(PASTE_ALL,7,13)),1+(LEFT(TRIM(INDEX(PASTE_ALL,7,13)),1)="-"),999))-(RIGHT(MID(TRIM(INDEX(PASTE_ALL,7,13)),1+(LEFT(TRIM(INDEX(PASTE_ALL,7,13)),1)="-"),999),1)="%"))&lt;&gt;"",SUBSTITUTE(SUBSTITUTE(SUBSTITUTE(SUBSTITUTE(SUBSTITUTE(SUBSTITUTE(SUBSTITUTE(SUBSTITUTE(SUBSTITUTE(SUBSTITUTE(SUBSTITUTE(SUBSTITUTE(LEFT(MID(TRIM(INDEX(PASTE_ALL,7,13)),1+(LEFT(TRIM(INDEX(PASTE_ALL,7,13)),1)="-"),999),LEN(MID(TRIM(INDEX(PASTE_ALL,7,13)),1+(LEFT(TRIM(INDEX(PASTE_ALL,7,13)),1)="-"),999))-(RIGHT(MID(TRIM(INDEX(PASTE_ALL,7,13)),1+(LEFT(TRIM(INDEX(PASTE_ALL,7,13)),1)="-"),999),1)="%")),"0",""),"1",""),"2",""),"3",""),"4",""),"5",""),"6",""),"7",""),"8",""),"9",""),".",""),",","")=""),2,1))),1)</f>
        <v/>
      </c>
      <c r="AL56">
        <f>IFERROR(IF(ISNUMBER(INDEX(PASTE_ALL,7,14)),2,IF(TRIM(INDEX(PASTE_ALL,7,14))="",0,IF(AND(LEFT(MID(TRIM(INDEX(PASTE_ALL,7,14)),1+(LEFT(TRIM(INDEX(PASTE_ALL,7,14)),1)="-"),999),LEN(MID(TRIM(INDEX(PASTE_ALL,7,14)),1+(LEFT(TRIM(INDEX(PASTE_ALL,7,14)),1)="-"),999))-(RIGHT(MID(TRIM(INDEX(PASTE_ALL,7,14)),1+(LEFT(TRIM(INDEX(PASTE_ALL,7,14)),1)="-"),999),1)="%"))&lt;&gt;"",SUBSTITUTE(SUBSTITUTE(SUBSTITUTE(SUBSTITUTE(SUBSTITUTE(SUBSTITUTE(SUBSTITUTE(SUBSTITUTE(SUBSTITUTE(SUBSTITUTE(SUBSTITUTE(SUBSTITUTE(LEFT(MID(TRIM(INDEX(PASTE_ALL,7,14)),1+(LEFT(TRIM(INDEX(PASTE_ALL,7,14)),1)="-"),999),LEN(MID(TRIM(INDEX(PASTE_ALL,7,14)),1+(LEFT(TRIM(INDEX(PASTE_ALL,7,14)),1)="-"),999))-(RIGHT(MID(TRIM(INDEX(PASTE_ALL,7,14)),1+(LEFT(TRIM(INDEX(PASTE_ALL,7,14)),1)="-"),999),1)="%")),"0",""),"1",""),"2",""),"3",""),"4",""),"5",""),"6",""),"7",""),"8",""),"9",""),".",""),",","")=""),2,1))),1)</f>
        <v/>
      </c>
      <c r="AM56">
        <f>IFERROR(IF(ISNUMBER(INDEX(PASTE_ALL,7,15)),2,IF(TRIM(INDEX(PASTE_ALL,7,15))="",0,IF(AND(LEFT(MID(TRIM(INDEX(PASTE_ALL,7,15)),1+(LEFT(TRIM(INDEX(PASTE_ALL,7,15)),1)="-"),999),LEN(MID(TRIM(INDEX(PASTE_ALL,7,15)),1+(LEFT(TRIM(INDEX(PASTE_ALL,7,15)),1)="-"),999))-(RIGHT(MID(TRIM(INDEX(PASTE_ALL,7,15)),1+(LEFT(TRIM(INDEX(PASTE_ALL,7,15)),1)="-"),999),1)="%"))&lt;&gt;"",SUBSTITUTE(SUBSTITUTE(SUBSTITUTE(SUBSTITUTE(SUBSTITUTE(SUBSTITUTE(SUBSTITUTE(SUBSTITUTE(SUBSTITUTE(SUBSTITUTE(SUBSTITUTE(SUBSTITUTE(LEFT(MID(TRIM(INDEX(PASTE_ALL,7,15)),1+(LEFT(TRIM(INDEX(PASTE_ALL,7,15)),1)="-"),999),LEN(MID(TRIM(INDEX(PASTE_ALL,7,15)),1+(LEFT(TRIM(INDEX(PASTE_ALL,7,15)),1)="-"),999))-(RIGHT(MID(TRIM(INDEX(PASTE_ALL,7,15)),1+(LEFT(TRIM(INDEX(PASTE_ALL,7,15)),1)="-"),999),1)="%")),"0",""),"1",""),"2",""),"3",""),"4",""),"5",""),"6",""),"7",""),"8",""),"9",""),".",""),",","")=""),2,1))),1)</f>
        <v/>
      </c>
      <c r="AN56">
        <f>IFERROR(IF(ISNUMBER(INDEX(PASTE_ALL,7,16)),2,IF(TRIM(INDEX(PASTE_ALL,7,16))="",0,IF(AND(LEFT(MID(TRIM(INDEX(PASTE_ALL,7,16)),1+(LEFT(TRIM(INDEX(PASTE_ALL,7,16)),1)="-"),999),LEN(MID(TRIM(INDEX(PASTE_ALL,7,16)),1+(LEFT(TRIM(INDEX(PASTE_ALL,7,16)),1)="-"),999))-(RIGHT(MID(TRIM(INDEX(PASTE_ALL,7,16)),1+(LEFT(TRIM(INDEX(PASTE_ALL,7,16)),1)="-"),999),1)="%"))&lt;&gt;"",SUBSTITUTE(SUBSTITUTE(SUBSTITUTE(SUBSTITUTE(SUBSTITUTE(SUBSTITUTE(SUBSTITUTE(SUBSTITUTE(SUBSTITUTE(SUBSTITUTE(SUBSTITUTE(SUBSTITUTE(LEFT(MID(TRIM(INDEX(PASTE_ALL,7,16)),1+(LEFT(TRIM(INDEX(PASTE_ALL,7,16)),1)="-"),999),LEN(MID(TRIM(INDEX(PASTE_ALL,7,16)),1+(LEFT(TRIM(INDEX(PASTE_ALL,7,16)),1)="-"),999))-(RIGHT(MID(TRIM(INDEX(PASTE_ALL,7,16)),1+(LEFT(TRIM(INDEX(PASTE_ALL,7,16)),1)="-"),999),1)="%")),"0",""),"1",""),"2",""),"3",""),"4",""),"5",""),"6",""),"7",""),"8",""),"9",""),".",""),",","")=""),2,1))),1)</f>
        <v/>
      </c>
      <c r="AO56">
        <f>IFERROR(IF(ISNUMBER(INDEX(PASTE_ALL,7,17)),2,IF(TRIM(INDEX(PASTE_ALL,7,17))="",0,IF(AND(LEFT(MID(TRIM(INDEX(PASTE_ALL,7,17)),1+(LEFT(TRIM(INDEX(PASTE_ALL,7,17)),1)="-"),999),LEN(MID(TRIM(INDEX(PASTE_ALL,7,17)),1+(LEFT(TRIM(INDEX(PASTE_ALL,7,17)),1)="-"),999))-(RIGHT(MID(TRIM(INDEX(PASTE_ALL,7,17)),1+(LEFT(TRIM(INDEX(PASTE_ALL,7,17)),1)="-"),999),1)="%"))&lt;&gt;"",SUBSTITUTE(SUBSTITUTE(SUBSTITUTE(SUBSTITUTE(SUBSTITUTE(SUBSTITUTE(SUBSTITUTE(SUBSTITUTE(SUBSTITUTE(SUBSTITUTE(SUBSTITUTE(SUBSTITUTE(LEFT(MID(TRIM(INDEX(PASTE_ALL,7,17)),1+(LEFT(TRIM(INDEX(PASTE_ALL,7,17)),1)="-"),999),LEN(MID(TRIM(INDEX(PASTE_ALL,7,17)),1+(LEFT(TRIM(INDEX(PASTE_ALL,7,17)),1)="-"),999))-(RIGHT(MID(TRIM(INDEX(PASTE_ALL,7,17)),1+(LEFT(TRIM(INDEX(PASTE_ALL,7,17)),1)="-"),999),1)="%")),"0",""),"1",""),"2",""),"3",""),"4",""),"5",""),"6",""),"7",""),"8",""),"9",""),".",""),",","")=""),2,1))),1)</f>
        <v/>
      </c>
      <c r="AP56">
        <f>IFERROR(IF(ISNUMBER(INDEX(PASTE_ALL,7,18)),2,IF(TRIM(INDEX(PASTE_ALL,7,18))="",0,IF(AND(LEFT(MID(TRIM(INDEX(PASTE_ALL,7,18)),1+(LEFT(TRIM(INDEX(PASTE_ALL,7,18)),1)="-"),999),LEN(MID(TRIM(INDEX(PASTE_ALL,7,18)),1+(LEFT(TRIM(INDEX(PASTE_ALL,7,18)),1)="-"),999))-(RIGHT(MID(TRIM(INDEX(PASTE_ALL,7,18)),1+(LEFT(TRIM(INDEX(PASTE_ALL,7,18)),1)="-"),999),1)="%"))&lt;&gt;"",SUBSTITUTE(SUBSTITUTE(SUBSTITUTE(SUBSTITUTE(SUBSTITUTE(SUBSTITUTE(SUBSTITUTE(SUBSTITUTE(SUBSTITUTE(SUBSTITUTE(SUBSTITUTE(SUBSTITUTE(LEFT(MID(TRIM(INDEX(PASTE_ALL,7,18)),1+(LEFT(TRIM(INDEX(PASTE_ALL,7,18)),1)="-"),999),LEN(MID(TRIM(INDEX(PASTE_ALL,7,18)),1+(LEFT(TRIM(INDEX(PASTE_ALL,7,18)),1)="-"),999))-(RIGHT(MID(TRIM(INDEX(PASTE_ALL,7,18)),1+(LEFT(TRIM(INDEX(PASTE_ALL,7,18)),1)="-"),999),1)="%")),"0",""),"1",""),"2",""),"3",""),"4",""),"5",""),"6",""),"7",""),"8",""),"9",""),".",""),",","")=""),2,1))),1)</f>
        <v/>
      </c>
      <c r="AQ56">
        <f>IFERROR(IF(ISNUMBER(INDEX(PASTE_ALL,7,19)),2,IF(TRIM(INDEX(PASTE_ALL,7,19))="",0,IF(AND(LEFT(MID(TRIM(INDEX(PASTE_ALL,7,19)),1+(LEFT(TRIM(INDEX(PASTE_ALL,7,19)),1)="-"),999),LEN(MID(TRIM(INDEX(PASTE_ALL,7,19)),1+(LEFT(TRIM(INDEX(PASTE_ALL,7,19)),1)="-"),999))-(RIGHT(MID(TRIM(INDEX(PASTE_ALL,7,19)),1+(LEFT(TRIM(INDEX(PASTE_ALL,7,19)),1)="-"),999),1)="%"))&lt;&gt;"",SUBSTITUTE(SUBSTITUTE(SUBSTITUTE(SUBSTITUTE(SUBSTITUTE(SUBSTITUTE(SUBSTITUTE(SUBSTITUTE(SUBSTITUTE(SUBSTITUTE(SUBSTITUTE(SUBSTITUTE(LEFT(MID(TRIM(INDEX(PASTE_ALL,7,19)),1+(LEFT(TRIM(INDEX(PASTE_ALL,7,19)),1)="-"),999),LEN(MID(TRIM(INDEX(PASTE_ALL,7,19)),1+(LEFT(TRIM(INDEX(PASTE_ALL,7,19)),1)="-"),999))-(RIGHT(MID(TRIM(INDEX(PASTE_ALL,7,19)),1+(LEFT(TRIM(INDEX(PASTE_ALL,7,19)),1)="-"),999),1)="%")),"0",""),"1",""),"2",""),"3",""),"4",""),"5",""),"6",""),"7",""),"8",""),"9",""),".",""),",","")=""),2,1))),1)</f>
        <v/>
      </c>
      <c r="AR56">
        <f>IFERROR(IF(ISNUMBER(INDEX(PASTE_ALL,7,20)),2,IF(TRIM(INDEX(PASTE_ALL,7,20))="",0,IF(AND(LEFT(MID(TRIM(INDEX(PASTE_ALL,7,20)),1+(LEFT(TRIM(INDEX(PASTE_ALL,7,20)),1)="-"),999),LEN(MID(TRIM(INDEX(PASTE_ALL,7,20)),1+(LEFT(TRIM(INDEX(PASTE_ALL,7,20)),1)="-"),999))-(RIGHT(MID(TRIM(INDEX(PASTE_ALL,7,20)),1+(LEFT(TRIM(INDEX(PASTE_ALL,7,20)),1)="-"),999),1)="%"))&lt;&gt;"",SUBSTITUTE(SUBSTITUTE(SUBSTITUTE(SUBSTITUTE(SUBSTITUTE(SUBSTITUTE(SUBSTITUTE(SUBSTITUTE(SUBSTITUTE(SUBSTITUTE(SUBSTITUTE(SUBSTITUTE(LEFT(MID(TRIM(INDEX(PASTE_ALL,7,20)),1+(LEFT(TRIM(INDEX(PASTE_ALL,7,20)),1)="-"),999),LEN(MID(TRIM(INDEX(PASTE_ALL,7,20)),1+(LEFT(TRIM(INDEX(PASTE_ALL,7,20)),1)="-"),999))-(RIGHT(MID(TRIM(INDEX(PASTE_ALL,7,20)),1+(LEFT(TRIM(INDEX(PASTE_ALL,7,20)),1)="-"),999),1)="%")),"0",""),"1",""),"2",""),"3",""),"4",""),"5",""),"6",""),"7",""),"8",""),"9",""),".",""),",","")=""),2,1))),1)</f>
        <v/>
      </c>
      <c r="AS56">
        <f>IFERROR(IF(ISNUMBER(INDEX(PASTE_ALL,7,21)),2,IF(TRIM(INDEX(PASTE_ALL,7,21))="",0,IF(AND(LEFT(MID(TRIM(INDEX(PASTE_ALL,7,21)),1+(LEFT(TRIM(INDEX(PASTE_ALL,7,21)),1)="-"),999),LEN(MID(TRIM(INDEX(PASTE_ALL,7,21)),1+(LEFT(TRIM(INDEX(PASTE_ALL,7,21)),1)="-"),999))-(RIGHT(MID(TRIM(INDEX(PASTE_ALL,7,21)),1+(LEFT(TRIM(INDEX(PASTE_ALL,7,21)),1)="-"),999),1)="%"))&lt;&gt;"",SUBSTITUTE(SUBSTITUTE(SUBSTITUTE(SUBSTITUTE(SUBSTITUTE(SUBSTITUTE(SUBSTITUTE(SUBSTITUTE(SUBSTITUTE(SUBSTITUTE(SUBSTITUTE(SUBSTITUTE(LEFT(MID(TRIM(INDEX(PASTE_ALL,7,21)),1+(LEFT(TRIM(INDEX(PASTE_ALL,7,21)),1)="-"),999),LEN(MID(TRIM(INDEX(PASTE_ALL,7,21)),1+(LEFT(TRIM(INDEX(PASTE_ALL,7,21)),1)="-"),999))-(RIGHT(MID(TRIM(INDEX(PASTE_ALL,7,21)),1+(LEFT(TRIM(INDEX(PASTE_ALL,7,21)),1)="-"),999),1)="%")),"0",""),"1",""),"2",""),"3",""),"4",""),"5",""),"6",""),"7",""),"8",""),"9",""),".",""),",","")=""),2,1))),1)</f>
        <v/>
      </c>
      <c r="AT56">
        <f>IFERROR(IF(ISNUMBER(INDEX(PASTE_ALL,7,22)),2,IF(TRIM(INDEX(PASTE_ALL,7,22))="",0,IF(AND(LEFT(MID(TRIM(INDEX(PASTE_ALL,7,22)),1+(LEFT(TRIM(INDEX(PASTE_ALL,7,22)),1)="-"),999),LEN(MID(TRIM(INDEX(PASTE_ALL,7,22)),1+(LEFT(TRIM(INDEX(PASTE_ALL,7,22)),1)="-"),999))-(RIGHT(MID(TRIM(INDEX(PASTE_ALL,7,22)),1+(LEFT(TRIM(INDEX(PASTE_ALL,7,22)),1)="-"),999),1)="%"))&lt;&gt;"",SUBSTITUTE(SUBSTITUTE(SUBSTITUTE(SUBSTITUTE(SUBSTITUTE(SUBSTITUTE(SUBSTITUTE(SUBSTITUTE(SUBSTITUTE(SUBSTITUTE(SUBSTITUTE(SUBSTITUTE(LEFT(MID(TRIM(INDEX(PASTE_ALL,7,22)),1+(LEFT(TRIM(INDEX(PASTE_ALL,7,22)),1)="-"),999),LEN(MID(TRIM(INDEX(PASTE_ALL,7,22)),1+(LEFT(TRIM(INDEX(PASTE_ALL,7,22)),1)="-"),999))-(RIGHT(MID(TRIM(INDEX(PASTE_ALL,7,22)),1+(LEFT(TRIM(INDEX(PASTE_ALL,7,22)),1)="-"),999),1)="%")),"0",""),"1",""),"2",""),"3",""),"4",""),"5",""),"6",""),"7",""),"8",""),"9",""),".",""),",","")=""),2,1))),1)</f>
        <v/>
      </c>
      <c r="AU56">
        <f>IFERROR(IF(ISNUMBER(INDEX(PASTE_ALL,7,23)),2,IF(TRIM(INDEX(PASTE_ALL,7,23))="",0,IF(AND(LEFT(MID(TRIM(INDEX(PASTE_ALL,7,23)),1+(LEFT(TRIM(INDEX(PASTE_ALL,7,23)),1)="-"),999),LEN(MID(TRIM(INDEX(PASTE_ALL,7,23)),1+(LEFT(TRIM(INDEX(PASTE_ALL,7,23)),1)="-"),999))-(RIGHT(MID(TRIM(INDEX(PASTE_ALL,7,23)),1+(LEFT(TRIM(INDEX(PASTE_ALL,7,23)),1)="-"),999),1)="%"))&lt;&gt;"",SUBSTITUTE(SUBSTITUTE(SUBSTITUTE(SUBSTITUTE(SUBSTITUTE(SUBSTITUTE(SUBSTITUTE(SUBSTITUTE(SUBSTITUTE(SUBSTITUTE(SUBSTITUTE(SUBSTITUTE(LEFT(MID(TRIM(INDEX(PASTE_ALL,7,23)),1+(LEFT(TRIM(INDEX(PASTE_ALL,7,23)),1)="-"),999),LEN(MID(TRIM(INDEX(PASTE_ALL,7,23)),1+(LEFT(TRIM(INDEX(PASTE_ALL,7,23)),1)="-"),999))-(RIGHT(MID(TRIM(INDEX(PASTE_ALL,7,23)),1+(LEFT(TRIM(INDEX(PASTE_ALL,7,23)),1)="-"),999),1)="%")),"0",""),"1",""),"2",""),"3",""),"4",""),"5",""),"6",""),"7",""),"8",""),"9",""),".",""),",","")=""),2,1))),1)</f>
        <v/>
      </c>
      <c r="AV56">
        <f>IFERROR(IF(ISNUMBER(INDEX(PASTE_ALL,7,24)),2,IF(TRIM(INDEX(PASTE_ALL,7,24))="",0,IF(AND(LEFT(MID(TRIM(INDEX(PASTE_ALL,7,24)),1+(LEFT(TRIM(INDEX(PASTE_ALL,7,24)),1)="-"),999),LEN(MID(TRIM(INDEX(PASTE_ALL,7,24)),1+(LEFT(TRIM(INDEX(PASTE_ALL,7,24)),1)="-"),999))-(RIGHT(MID(TRIM(INDEX(PASTE_ALL,7,24)),1+(LEFT(TRIM(INDEX(PASTE_ALL,7,24)),1)="-"),999),1)="%"))&lt;&gt;"",SUBSTITUTE(SUBSTITUTE(SUBSTITUTE(SUBSTITUTE(SUBSTITUTE(SUBSTITUTE(SUBSTITUTE(SUBSTITUTE(SUBSTITUTE(SUBSTITUTE(SUBSTITUTE(SUBSTITUTE(LEFT(MID(TRIM(INDEX(PASTE_ALL,7,24)),1+(LEFT(TRIM(INDEX(PASTE_ALL,7,24)),1)="-"),999),LEN(MID(TRIM(INDEX(PASTE_ALL,7,24)),1+(LEFT(TRIM(INDEX(PASTE_ALL,7,24)),1)="-"),999))-(RIGHT(MID(TRIM(INDEX(PASTE_ALL,7,24)),1+(LEFT(TRIM(INDEX(PASTE_ALL,7,24)),1)="-"),999),1)="%")),"0",""),"1",""),"2",""),"3",""),"4",""),"5",""),"6",""),"7",""),"8",""),"9",""),".",""),",","")=""),2,1))),1)</f>
        <v/>
      </c>
      <c r="AW56">
        <f>IFERROR(IF(ISNUMBER(INDEX(PASTE_ALL,7,25)),2,IF(TRIM(INDEX(PASTE_ALL,7,25))="",0,IF(AND(LEFT(MID(TRIM(INDEX(PASTE_ALL,7,25)),1+(LEFT(TRIM(INDEX(PASTE_ALL,7,25)),1)="-"),999),LEN(MID(TRIM(INDEX(PASTE_ALL,7,25)),1+(LEFT(TRIM(INDEX(PASTE_ALL,7,25)),1)="-"),999))-(RIGHT(MID(TRIM(INDEX(PASTE_ALL,7,25)),1+(LEFT(TRIM(INDEX(PASTE_ALL,7,25)),1)="-"),999),1)="%"))&lt;&gt;"",SUBSTITUTE(SUBSTITUTE(SUBSTITUTE(SUBSTITUTE(SUBSTITUTE(SUBSTITUTE(SUBSTITUTE(SUBSTITUTE(SUBSTITUTE(SUBSTITUTE(SUBSTITUTE(SUBSTITUTE(LEFT(MID(TRIM(INDEX(PASTE_ALL,7,25)),1+(LEFT(TRIM(INDEX(PASTE_ALL,7,25)),1)="-"),999),LEN(MID(TRIM(INDEX(PASTE_ALL,7,25)),1+(LEFT(TRIM(INDEX(PASTE_ALL,7,25)),1)="-"),999))-(RIGHT(MID(TRIM(INDEX(PASTE_ALL,7,25)),1+(LEFT(TRIM(INDEX(PASTE_ALL,7,25)),1)="-"),999),1)="%")),"0",""),"1",""),"2",""),"3",""),"4",""),"5",""),"6",""),"7",""),"8",""),"9",""),".",""),",","")=""),2,1))),1)</f>
        <v/>
      </c>
      <c r="AX56">
        <f>IFERROR(IF(ISNUMBER(INDEX(PASTE_ALL,7,26)),2,IF(TRIM(INDEX(PASTE_ALL,7,26))="",0,IF(AND(LEFT(MID(TRIM(INDEX(PASTE_ALL,7,26)),1+(LEFT(TRIM(INDEX(PASTE_ALL,7,26)),1)="-"),999),LEN(MID(TRIM(INDEX(PASTE_ALL,7,26)),1+(LEFT(TRIM(INDEX(PASTE_ALL,7,26)),1)="-"),999))-(RIGHT(MID(TRIM(INDEX(PASTE_ALL,7,26)),1+(LEFT(TRIM(INDEX(PASTE_ALL,7,26)),1)="-"),999),1)="%"))&lt;&gt;"",SUBSTITUTE(SUBSTITUTE(SUBSTITUTE(SUBSTITUTE(SUBSTITUTE(SUBSTITUTE(SUBSTITUTE(SUBSTITUTE(SUBSTITUTE(SUBSTITUTE(SUBSTITUTE(SUBSTITUTE(LEFT(MID(TRIM(INDEX(PASTE_ALL,7,26)),1+(LEFT(TRIM(INDEX(PASTE_ALL,7,26)),1)="-"),999),LEN(MID(TRIM(INDEX(PASTE_ALL,7,26)),1+(LEFT(TRIM(INDEX(PASTE_ALL,7,26)),1)="-"),999))-(RIGHT(MID(TRIM(INDEX(PASTE_ALL,7,26)),1+(LEFT(TRIM(INDEX(PASTE_ALL,7,26)),1)="-"),999),1)="%")),"0",""),"1",""),"2",""),"3",""),"4",""),"5",""),"6",""),"7",""),"8",""),"9",""),".",""),",","")=""),2,1))),1)</f>
        <v/>
      </c>
      <c r="AY56">
        <f>IFERROR(IF(ISNUMBER(INDEX(PASTE_ALL,7,27)),2,IF(TRIM(INDEX(PASTE_ALL,7,27))="",0,IF(AND(LEFT(MID(TRIM(INDEX(PASTE_ALL,7,27)),1+(LEFT(TRIM(INDEX(PASTE_ALL,7,27)),1)="-"),999),LEN(MID(TRIM(INDEX(PASTE_ALL,7,27)),1+(LEFT(TRIM(INDEX(PASTE_ALL,7,27)),1)="-"),999))-(RIGHT(MID(TRIM(INDEX(PASTE_ALL,7,27)),1+(LEFT(TRIM(INDEX(PASTE_ALL,7,27)),1)="-"),999),1)="%"))&lt;&gt;"",SUBSTITUTE(SUBSTITUTE(SUBSTITUTE(SUBSTITUTE(SUBSTITUTE(SUBSTITUTE(SUBSTITUTE(SUBSTITUTE(SUBSTITUTE(SUBSTITUTE(SUBSTITUTE(SUBSTITUTE(LEFT(MID(TRIM(INDEX(PASTE_ALL,7,27)),1+(LEFT(TRIM(INDEX(PASTE_ALL,7,27)),1)="-"),999),LEN(MID(TRIM(INDEX(PASTE_ALL,7,27)),1+(LEFT(TRIM(INDEX(PASTE_ALL,7,27)),1)="-"),999))-(RIGHT(MID(TRIM(INDEX(PASTE_ALL,7,27)),1+(LEFT(TRIM(INDEX(PASTE_ALL,7,27)),1)="-"),999),1)="%")),"0",""),"1",""),"2",""),"3",""),"4",""),"5",""),"6",""),"7",""),"8",""),"9",""),".",""),",","")=""),2,1))),1)</f>
        <v/>
      </c>
      <c r="AZ56">
        <f>IFERROR(IF(ISNUMBER(INDEX(PASTE_ALL,7,28)),2,IF(TRIM(INDEX(PASTE_ALL,7,28))="",0,IF(AND(LEFT(MID(TRIM(INDEX(PASTE_ALL,7,28)),1+(LEFT(TRIM(INDEX(PASTE_ALL,7,28)),1)="-"),999),LEN(MID(TRIM(INDEX(PASTE_ALL,7,28)),1+(LEFT(TRIM(INDEX(PASTE_ALL,7,28)),1)="-"),999))-(RIGHT(MID(TRIM(INDEX(PASTE_ALL,7,28)),1+(LEFT(TRIM(INDEX(PASTE_ALL,7,28)),1)="-"),999),1)="%"))&lt;&gt;"",SUBSTITUTE(SUBSTITUTE(SUBSTITUTE(SUBSTITUTE(SUBSTITUTE(SUBSTITUTE(SUBSTITUTE(SUBSTITUTE(SUBSTITUTE(SUBSTITUTE(SUBSTITUTE(SUBSTITUTE(LEFT(MID(TRIM(INDEX(PASTE_ALL,7,28)),1+(LEFT(TRIM(INDEX(PASTE_ALL,7,28)),1)="-"),999),LEN(MID(TRIM(INDEX(PASTE_ALL,7,28)),1+(LEFT(TRIM(INDEX(PASTE_ALL,7,28)),1)="-"),999))-(RIGHT(MID(TRIM(INDEX(PASTE_ALL,7,28)),1+(LEFT(TRIM(INDEX(PASTE_ALL,7,28)),1)="-"),999),1)="%")),"0",""),"1",""),"2",""),"3",""),"4",""),"5",""),"6",""),"7",""),"8",""),"9",""),".",""),",","")=""),2,1))),1)</f>
        <v/>
      </c>
      <c r="BA56">
        <f>IFERROR(IF(ISNUMBER(INDEX(PASTE_ALL,7,29)),2,IF(TRIM(INDEX(PASTE_ALL,7,29))="",0,IF(AND(LEFT(MID(TRIM(INDEX(PASTE_ALL,7,29)),1+(LEFT(TRIM(INDEX(PASTE_ALL,7,29)),1)="-"),999),LEN(MID(TRIM(INDEX(PASTE_ALL,7,29)),1+(LEFT(TRIM(INDEX(PASTE_ALL,7,29)),1)="-"),999))-(RIGHT(MID(TRIM(INDEX(PASTE_ALL,7,29)),1+(LEFT(TRIM(INDEX(PASTE_ALL,7,29)),1)="-"),999),1)="%"))&lt;&gt;"",SUBSTITUTE(SUBSTITUTE(SUBSTITUTE(SUBSTITUTE(SUBSTITUTE(SUBSTITUTE(SUBSTITUTE(SUBSTITUTE(SUBSTITUTE(SUBSTITUTE(SUBSTITUTE(SUBSTITUTE(LEFT(MID(TRIM(INDEX(PASTE_ALL,7,29)),1+(LEFT(TRIM(INDEX(PASTE_ALL,7,29)),1)="-"),999),LEN(MID(TRIM(INDEX(PASTE_ALL,7,29)),1+(LEFT(TRIM(INDEX(PASTE_ALL,7,29)),1)="-"),999))-(RIGHT(MID(TRIM(INDEX(PASTE_ALL,7,29)),1+(LEFT(TRIM(INDEX(PASTE_ALL,7,29)),1)="-"),999),1)="%")),"0",""),"1",""),"2",""),"3",""),"4",""),"5",""),"6",""),"7",""),"8",""),"9",""),".",""),",","")=""),2,1))),1)</f>
        <v/>
      </c>
      <c r="BB56">
        <f>IFERROR(IF(ISNUMBER(INDEX(PASTE_ALL,7,30)),2,IF(TRIM(INDEX(PASTE_ALL,7,30))="",0,IF(AND(LEFT(MID(TRIM(INDEX(PASTE_ALL,7,30)),1+(LEFT(TRIM(INDEX(PASTE_ALL,7,30)),1)="-"),999),LEN(MID(TRIM(INDEX(PASTE_ALL,7,30)),1+(LEFT(TRIM(INDEX(PASTE_ALL,7,30)),1)="-"),999))-(RIGHT(MID(TRIM(INDEX(PASTE_ALL,7,30)),1+(LEFT(TRIM(INDEX(PASTE_ALL,7,30)),1)="-"),999),1)="%"))&lt;&gt;"",SUBSTITUTE(SUBSTITUTE(SUBSTITUTE(SUBSTITUTE(SUBSTITUTE(SUBSTITUTE(SUBSTITUTE(SUBSTITUTE(SUBSTITUTE(SUBSTITUTE(SUBSTITUTE(SUBSTITUTE(LEFT(MID(TRIM(INDEX(PASTE_ALL,7,30)),1+(LEFT(TRIM(INDEX(PASTE_ALL,7,30)),1)="-"),999),LEN(MID(TRIM(INDEX(PASTE_ALL,7,30)),1+(LEFT(TRIM(INDEX(PASTE_ALL,7,30)),1)="-"),999))-(RIGHT(MID(TRIM(INDEX(PASTE_ALL,7,30)),1+(LEFT(TRIM(INDEX(PASTE_ALL,7,30)),1)="-"),999),1)="%")),"0",""),"1",""),"2",""),"3",""),"4",""),"5",""),"6",""),"7",""),"8",""),"9",""),".",""),",","")=""),2,1))),1)</f>
        <v/>
      </c>
      <c r="BC56">
        <f>IFERROR(IF(ISNUMBER(INDEX(PASTE_ALL,7,31)),2,IF(TRIM(INDEX(PASTE_ALL,7,31))="",0,IF(AND(LEFT(MID(TRIM(INDEX(PASTE_ALL,7,31)),1+(LEFT(TRIM(INDEX(PASTE_ALL,7,31)),1)="-"),999),LEN(MID(TRIM(INDEX(PASTE_ALL,7,31)),1+(LEFT(TRIM(INDEX(PASTE_ALL,7,31)),1)="-"),999))-(RIGHT(MID(TRIM(INDEX(PASTE_ALL,7,31)),1+(LEFT(TRIM(INDEX(PASTE_ALL,7,31)),1)="-"),999),1)="%"))&lt;&gt;"",SUBSTITUTE(SUBSTITUTE(SUBSTITUTE(SUBSTITUTE(SUBSTITUTE(SUBSTITUTE(SUBSTITUTE(SUBSTITUTE(SUBSTITUTE(SUBSTITUTE(SUBSTITUTE(SUBSTITUTE(LEFT(MID(TRIM(INDEX(PASTE_ALL,7,31)),1+(LEFT(TRIM(INDEX(PASTE_ALL,7,31)),1)="-"),999),LEN(MID(TRIM(INDEX(PASTE_ALL,7,31)),1+(LEFT(TRIM(INDEX(PASTE_ALL,7,31)),1)="-"),999))-(RIGHT(MID(TRIM(INDEX(PASTE_ALL,7,31)),1+(LEFT(TRIM(INDEX(PASTE_ALL,7,31)),1)="-"),999),1)="%")),"0",""),"1",""),"2",""),"3",""),"4",""),"5",""),"6",""),"7",""),"8",""),"9",""),".",""),",","")=""),2,1))),1)</f>
        <v/>
      </c>
      <c r="BD56">
        <f>IFERROR(IF(ISNUMBER(INDEX(PASTE_ALL,7,32)),2,IF(TRIM(INDEX(PASTE_ALL,7,32))="",0,IF(AND(LEFT(MID(TRIM(INDEX(PASTE_ALL,7,32)),1+(LEFT(TRIM(INDEX(PASTE_ALL,7,32)),1)="-"),999),LEN(MID(TRIM(INDEX(PASTE_ALL,7,32)),1+(LEFT(TRIM(INDEX(PASTE_ALL,7,32)),1)="-"),999))-(RIGHT(MID(TRIM(INDEX(PASTE_ALL,7,32)),1+(LEFT(TRIM(INDEX(PASTE_ALL,7,32)),1)="-"),999),1)="%"))&lt;&gt;"",SUBSTITUTE(SUBSTITUTE(SUBSTITUTE(SUBSTITUTE(SUBSTITUTE(SUBSTITUTE(SUBSTITUTE(SUBSTITUTE(SUBSTITUTE(SUBSTITUTE(SUBSTITUTE(SUBSTITUTE(LEFT(MID(TRIM(INDEX(PASTE_ALL,7,32)),1+(LEFT(TRIM(INDEX(PASTE_ALL,7,32)),1)="-"),999),LEN(MID(TRIM(INDEX(PASTE_ALL,7,32)),1+(LEFT(TRIM(INDEX(PASTE_ALL,7,32)),1)="-"),999))-(RIGHT(MID(TRIM(INDEX(PASTE_ALL,7,32)),1+(LEFT(TRIM(INDEX(PASTE_ALL,7,32)),1)="-"),999),1)="%")),"0",""),"1",""),"2",""),"3",""),"4",""),"5",""),"6",""),"7",""),"8",""),"9",""),".",""),",","")=""),2,1))),1)</f>
        <v/>
      </c>
      <c r="BE56">
        <f>IFERROR(IF(ISNUMBER(INDEX(PASTE_ALL,7,33)),2,IF(TRIM(INDEX(PASTE_ALL,7,33))="",0,IF(AND(LEFT(MID(TRIM(INDEX(PASTE_ALL,7,33)),1+(LEFT(TRIM(INDEX(PASTE_ALL,7,33)),1)="-"),999),LEN(MID(TRIM(INDEX(PASTE_ALL,7,33)),1+(LEFT(TRIM(INDEX(PASTE_ALL,7,33)),1)="-"),999))-(RIGHT(MID(TRIM(INDEX(PASTE_ALL,7,33)),1+(LEFT(TRIM(INDEX(PASTE_ALL,7,33)),1)="-"),999),1)="%"))&lt;&gt;"",SUBSTITUTE(SUBSTITUTE(SUBSTITUTE(SUBSTITUTE(SUBSTITUTE(SUBSTITUTE(SUBSTITUTE(SUBSTITUTE(SUBSTITUTE(SUBSTITUTE(SUBSTITUTE(SUBSTITUTE(LEFT(MID(TRIM(INDEX(PASTE_ALL,7,33)),1+(LEFT(TRIM(INDEX(PASTE_ALL,7,33)),1)="-"),999),LEN(MID(TRIM(INDEX(PASTE_ALL,7,33)),1+(LEFT(TRIM(INDEX(PASTE_ALL,7,33)),1)="-"),999))-(RIGHT(MID(TRIM(INDEX(PASTE_ALL,7,33)),1+(LEFT(TRIM(INDEX(PASTE_ALL,7,33)),1)="-"),999),1)="%")),"0",""),"1",""),"2",""),"3",""),"4",""),"5",""),"6",""),"7",""),"8",""),"9",""),".",""),",","")=""),2,1))),1)</f>
        <v/>
      </c>
      <c r="BF56">
        <f>IFERROR(IF(ISNUMBER(INDEX(PASTE_ALL,7,34)),2,IF(TRIM(INDEX(PASTE_ALL,7,34))="",0,IF(AND(LEFT(MID(TRIM(INDEX(PASTE_ALL,7,34)),1+(LEFT(TRIM(INDEX(PASTE_ALL,7,34)),1)="-"),999),LEN(MID(TRIM(INDEX(PASTE_ALL,7,34)),1+(LEFT(TRIM(INDEX(PASTE_ALL,7,34)),1)="-"),999))-(RIGHT(MID(TRIM(INDEX(PASTE_ALL,7,34)),1+(LEFT(TRIM(INDEX(PASTE_ALL,7,34)),1)="-"),999),1)="%"))&lt;&gt;"",SUBSTITUTE(SUBSTITUTE(SUBSTITUTE(SUBSTITUTE(SUBSTITUTE(SUBSTITUTE(SUBSTITUTE(SUBSTITUTE(SUBSTITUTE(SUBSTITUTE(SUBSTITUTE(SUBSTITUTE(LEFT(MID(TRIM(INDEX(PASTE_ALL,7,34)),1+(LEFT(TRIM(INDEX(PASTE_ALL,7,34)),1)="-"),999),LEN(MID(TRIM(INDEX(PASTE_ALL,7,34)),1+(LEFT(TRIM(INDEX(PASTE_ALL,7,34)),1)="-"),999))-(RIGHT(MID(TRIM(INDEX(PASTE_ALL,7,34)),1+(LEFT(TRIM(INDEX(PASTE_ALL,7,34)),1)="-"),999),1)="%")),"0",""),"1",""),"2",""),"3",""),"4",""),"5",""),"6",""),"7",""),"8",""),"9",""),".",""),",","")=""),2,1))),1)</f>
        <v/>
      </c>
      <c r="BG56">
        <f>IFERROR(IF(ISNUMBER(INDEX(PASTE_ALL,7,35)),2,IF(TRIM(INDEX(PASTE_ALL,7,35))="",0,IF(AND(LEFT(MID(TRIM(INDEX(PASTE_ALL,7,35)),1+(LEFT(TRIM(INDEX(PASTE_ALL,7,35)),1)="-"),999),LEN(MID(TRIM(INDEX(PASTE_ALL,7,35)),1+(LEFT(TRIM(INDEX(PASTE_ALL,7,35)),1)="-"),999))-(RIGHT(MID(TRIM(INDEX(PASTE_ALL,7,35)),1+(LEFT(TRIM(INDEX(PASTE_ALL,7,35)),1)="-"),999),1)="%"))&lt;&gt;"",SUBSTITUTE(SUBSTITUTE(SUBSTITUTE(SUBSTITUTE(SUBSTITUTE(SUBSTITUTE(SUBSTITUTE(SUBSTITUTE(SUBSTITUTE(SUBSTITUTE(SUBSTITUTE(SUBSTITUTE(LEFT(MID(TRIM(INDEX(PASTE_ALL,7,35)),1+(LEFT(TRIM(INDEX(PASTE_ALL,7,35)),1)="-"),999),LEN(MID(TRIM(INDEX(PASTE_ALL,7,35)),1+(LEFT(TRIM(INDEX(PASTE_ALL,7,35)),1)="-"),999))-(RIGHT(MID(TRIM(INDEX(PASTE_ALL,7,35)),1+(LEFT(TRIM(INDEX(PASTE_ALL,7,35)),1)="-"),999),1)="%")),"0",""),"1",""),"2",""),"3",""),"4",""),"5",""),"6",""),"7",""),"8",""),"9",""),".",""),",","")=""),2,1))),1)</f>
        <v/>
      </c>
      <c r="BH56">
        <f>IFERROR(IF(ISNUMBER(INDEX(PASTE_ALL,7,36)),2,IF(TRIM(INDEX(PASTE_ALL,7,36))="",0,IF(AND(LEFT(MID(TRIM(INDEX(PASTE_ALL,7,36)),1+(LEFT(TRIM(INDEX(PASTE_ALL,7,36)),1)="-"),999),LEN(MID(TRIM(INDEX(PASTE_ALL,7,36)),1+(LEFT(TRIM(INDEX(PASTE_ALL,7,36)),1)="-"),999))-(RIGHT(MID(TRIM(INDEX(PASTE_ALL,7,36)),1+(LEFT(TRIM(INDEX(PASTE_ALL,7,36)),1)="-"),999),1)="%"))&lt;&gt;"",SUBSTITUTE(SUBSTITUTE(SUBSTITUTE(SUBSTITUTE(SUBSTITUTE(SUBSTITUTE(SUBSTITUTE(SUBSTITUTE(SUBSTITUTE(SUBSTITUTE(SUBSTITUTE(SUBSTITUTE(LEFT(MID(TRIM(INDEX(PASTE_ALL,7,36)),1+(LEFT(TRIM(INDEX(PASTE_ALL,7,36)),1)="-"),999),LEN(MID(TRIM(INDEX(PASTE_ALL,7,36)),1+(LEFT(TRIM(INDEX(PASTE_ALL,7,36)),1)="-"),999))-(RIGHT(MID(TRIM(INDEX(PASTE_ALL,7,36)),1+(LEFT(TRIM(INDEX(PASTE_ALL,7,36)),1)="-"),999),1)="%")),"0",""),"1",""),"2",""),"3",""),"4",""),"5",""),"6",""),"7",""),"8",""),"9",""),".",""),",","")=""),2,1))),1)</f>
        <v/>
      </c>
      <c r="BI56">
        <f>IFERROR(IF(ISNUMBER(INDEX(PASTE_ALL,7,37)),2,IF(TRIM(INDEX(PASTE_ALL,7,37))="",0,IF(AND(LEFT(MID(TRIM(INDEX(PASTE_ALL,7,37)),1+(LEFT(TRIM(INDEX(PASTE_ALL,7,37)),1)="-"),999),LEN(MID(TRIM(INDEX(PASTE_ALL,7,37)),1+(LEFT(TRIM(INDEX(PASTE_ALL,7,37)),1)="-"),999))-(RIGHT(MID(TRIM(INDEX(PASTE_ALL,7,37)),1+(LEFT(TRIM(INDEX(PASTE_ALL,7,37)),1)="-"),999),1)="%"))&lt;&gt;"",SUBSTITUTE(SUBSTITUTE(SUBSTITUTE(SUBSTITUTE(SUBSTITUTE(SUBSTITUTE(SUBSTITUTE(SUBSTITUTE(SUBSTITUTE(SUBSTITUTE(SUBSTITUTE(SUBSTITUTE(LEFT(MID(TRIM(INDEX(PASTE_ALL,7,37)),1+(LEFT(TRIM(INDEX(PASTE_ALL,7,37)),1)="-"),999),LEN(MID(TRIM(INDEX(PASTE_ALL,7,37)),1+(LEFT(TRIM(INDEX(PASTE_ALL,7,37)),1)="-"),999))-(RIGHT(MID(TRIM(INDEX(PASTE_ALL,7,37)),1+(LEFT(TRIM(INDEX(PASTE_ALL,7,37)),1)="-"),999),1)="%")),"0",""),"1",""),"2",""),"3",""),"4",""),"5",""),"6",""),"7",""),"8",""),"9",""),".",""),",","")=""),2,1))),1)</f>
        <v/>
      </c>
      <c r="BJ56">
        <f>IFERROR(IF(ISNUMBER(INDEX(PASTE_ALL,7,38)),2,IF(TRIM(INDEX(PASTE_ALL,7,38))="",0,IF(AND(LEFT(MID(TRIM(INDEX(PASTE_ALL,7,38)),1+(LEFT(TRIM(INDEX(PASTE_ALL,7,38)),1)="-"),999),LEN(MID(TRIM(INDEX(PASTE_ALL,7,38)),1+(LEFT(TRIM(INDEX(PASTE_ALL,7,38)),1)="-"),999))-(RIGHT(MID(TRIM(INDEX(PASTE_ALL,7,38)),1+(LEFT(TRIM(INDEX(PASTE_ALL,7,38)),1)="-"),999),1)="%"))&lt;&gt;"",SUBSTITUTE(SUBSTITUTE(SUBSTITUTE(SUBSTITUTE(SUBSTITUTE(SUBSTITUTE(SUBSTITUTE(SUBSTITUTE(SUBSTITUTE(SUBSTITUTE(SUBSTITUTE(SUBSTITUTE(LEFT(MID(TRIM(INDEX(PASTE_ALL,7,38)),1+(LEFT(TRIM(INDEX(PASTE_ALL,7,38)),1)="-"),999),LEN(MID(TRIM(INDEX(PASTE_ALL,7,38)),1+(LEFT(TRIM(INDEX(PASTE_ALL,7,38)),1)="-"),999))-(RIGHT(MID(TRIM(INDEX(PASTE_ALL,7,38)),1+(LEFT(TRIM(INDEX(PASTE_ALL,7,38)),1)="-"),999),1)="%")),"0",""),"1",""),"2",""),"3",""),"4",""),"5",""),"6",""),"7",""),"8",""),"9",""),".",""),",","")=""),2,1))),1)</f>
        <v/>
      </c>
      <c r="BK56">
        <f>IFERROR(IF(ISNUMBER(INDEX(PASTE_ALL,7,39)),2,IF(TRIM(INDEX(PASTE_ALL,7,39))="",0,IF(AND(LEFT(MID(TRIM(INDEX(PASTE_ALL,7,39)),1+(LEFT(TRIM(INDEX(PASTE_ALL,7,39)),1)="-"),999),LEN(MID(TRIM(INDEX(PASTE_ALL,7,39)),1+(LEFT(TRIM(INDEX(PASTE_ALL,7,39)),1)="-"),999))-(RIGHT(MID(TRIM(INDEX(PASTE_ALL,7,39)),1+(LEFT(TRIM(INDEX(PASTE_ALL,7,39)),1)="-"),999),1)="%"))&lt;&gt;"",SUBSTITUTE(SUBSTITUTE(SUBSTITUTE(SUBSTITUTE(SUBSTITUTE(SUBSTITUTE(SUBSTITUTE(SUBSTITUTE(SUBSTITUTE(SUBSTITUTE(SUBSTITUTE(SUBSTITUTE(LEFT(MID(TRIM(INDEX(PASTE_ALL,7,39)),1+(LEFT(TRIM(INDEX(PASTE_ALL,7,39)),1)="-"),999),LEN(MID(TRIM(INDEX(PASTE_ALL,7,39)),1+(LEFT(TRIM(INDEX(PASTE_ALL,7,39)),1)="-"),999))-(RIGHT(MID(TRIM(INDEX(PASTE_ALL,7,39)),1+(LEFT(TRIM(INDEX(PASTE_ALL,7,39)),1)="-"),999),1)="%")),"0",""),"1",""),"2",""),"3",""),"4",""),"5",""),"6",""),"7",""),"8",""),"9",""),".",""),",","")=""),2,1))),1)</f>
        <v/>
      </c>
      <c r="BL56">
        <f>IFERROR(IF(ISNUMBER(INDEX(PASTE_ALL,7,40)),2,IF(TRIM(INDEX(PASTE_ALL,7,40))="",0,IF(AND(LEFT(MID(TRIM(INDEX(PASTE_ALL,7,40)),1+(LEFT(TRIM(INDEX(PASTE_ALL,7,40)),1)="-"),999),LEN(MID(TRIM(INDEX(PASTE_ALL,7,40)),1+(LEFT(TRIM(INDEX(PASTE_ALL,7,40)),1)="-"),999))-(RIGHT(MID(TRIM(INDEX(PASTE_ALL,7,40)),1+(LEFT(TRIM(INDEX(PASTE_ALL,7,40)),1)="-"),999),1)="%"))&lt;&gt;"",SUBSTITUTE(SUBSTITUTE(SUBSTITUTE(SUBSTITUTE(SUBSTITUTE(SUBSTITUTE(SUBSTITUTE(SUBSTITUTE(SUBSTITUTE(SUBSTITUTE(SUBSTITUTE(SUBSTITUTE(LEFT(MID(TRIM(INDEX(PASTE_ALL,7,40)),1+(LEFT(TRIM(INDEX(PASTE_ALL,7,40)),1)="-"),999),LEN(MID(TRIM(INDEX(PASTE_ALL,7,40)),1+(LEFT(TRIM(INDEX(PASTE_ALL,7,40)),1)="-"),999))-(RIGHT(MID(TRIM(INDEX(PASTE_ALL,7,40)),1+(LEFT(TRIM(INDEX(PASTE_ALL,7,40)),1)="-"),999),1)="%")),"0",""),"1",""),"2",""),"3",""),"4",""),"5",""),"6",""),"7",""),"8",""),"9",""),".",""),",","")=""),2,1))),1)</f>
        <v/>
      </c>
      <c r="BM56">
        <f>IFERROR(IF(ISNUMBER(INDEX(PASTE_ALL,7,41)),2,IF(TRIM(INDEX(PASTE_ALL,7,41))="",0,IF(AND(LEFT(MID(TRIM(INDEX(PASTE_ALL,7,41)),1+(LEFT(TRIM(INDEX(PASTE_ALL,7,41)),1)="-"),999),LEN(MID(TRIM(INDEX(PASTE_ALL,7,41)),1+(LEFT(TRIM(INDEX(PASTE_ALL,7,41)),1)="-"),999))-(RIGHT(MID(TRIM(INDEX(PASTE_ALL,7,41)),1+(LEFT(TRIM(INDEX(PASTE_ALL,7,41)),1)="-"),999),1)="%"))&lt;&gt;"",SUBSTITUTE(SUBSTITUTE(SUBSTITUTE(SUBSTITUTE(SUBSTITUTE(SUBSTITUTE(SUBSTITUTE(SUBSTITUTE(SUBSTITUTE(SUBSTITUTE(SUBSTITUTE(SUBSTITUTE(LEFT(MID(TRIM(INDEX(PASTE_ALL,7,41)),1+(LEFT(TRIM(INDEX(PASTE_ALL,7,41)),1)="-"),999),LEN(MID(TRIM(INDEX(PASTE_ALL,7,41)),1+(LEFT(TRIM(INDEX(PASTE_ALL,7,41)),1)="-"),999))-(RIGHT(MID(TRIM(INDEX(PASTE_ALL,7,41)),1+(LEFT(TRIM(INDEX(PASTE_ALL,7,41)),1)="-"),999),1)="%")),"0",""),"1",""),"2",""),"3",""),"4",""),"5",""),"6",""),"7",""),"8",""),"9",""),".",""),",","")=""),2,1))),1)</f>
        <v/>
      </c>
      <c r="BN56">
        <f>IFERROR(IF(ISNUMBER(INDEX(PASTE_ALL,7,42)),2,IF(TRIM(INDEX(PASTE_ALL,7,42))="",0,IF(AND(LEFT(MID(TRIM(INDEX(PASTE_ALL,7,42)),1+(LEFT(TRIM(INDEX(PASTE_ALL,7,42)),1)="-"),999),LEN(MID(TRIM(INDEX(PASTE_ALL,7,42)),1+(LEFT(TRIM(INDEX(PASTE_ALL,7,42)),1)="-"),999))-(RIGHT(MID(TRIM(INDEX(PASTE_ALL,7,42)),1+(LEFT(TRIM(INDEX(PASTE_ALL,7,42)),1)="-"),999),1)="%"))&lt;&gt;"",SUBSTITUTE(SUBSTITUTE(SUBSTITUTE(SUBSTITUTE(SUBSTITUTE(SUBSTITUTE(SUBSTITUTE(SUBSTITUTE(SUBSTITUTE(SUBSTITUTE(SUBSTITUTE(SUBSTITUTE(LEFT(MID(TRIM(INDEX(PASTE_ALL,7,42)),1+(LEFT(TRIM(INDEX(PASTE_ALL,7,42)),1)="-"),999),LEN(MID(TRIM(INDEX(PASTE_ALL,7,42)),1+(LEFT(TRIM(INDEX(PASTE_ALL,7,42)),1)="-"),999))-(RIGHT(MID(TRIM(INDEX(PASTE_ALL,7,42)),1+(LEFT(TRIM(INDEX(PASTE_ALL,7,42)),1)="-"),999),1)="%")),"0",""),"1",""),"2",""),"3",""),"4",""),"5",""),"6",""),"7",""),"8",""),"9",""),".",""),",","")=""),2,1))),1)</f>
        <v/>
      </c>
      <c r="BO56">
        <f>IFERROR(IF(ISNUMBER(INDEX(PASTE_ALL,7,43)),2,IF(TRIM(INDEX(PASTE_ALL,7,43))="",0,IF(AND(LEFT(MID(TRIM(INDEX(PASTE_ALL,7,43)),1+(LEFT(TRIM(INDEX(PASTE_ALL,7,43)),1)="-"),999),LEN(MID(TRIM(INDEX(PASTE_ALL,7,43)),1+(LEFT(TRIM(INDEX(PASTE_ALL,7,43)),1)="-"),999))-(RIGHT(MID(TRIM(INDEX(PASTE_ALL,7,43)),1+(LEFT(TRIM(INDEX(PASTE_ALL,7,43)),1)="-"),999),1)="%"))&lt;&gt;"",SUBSTITUTE(SUBSTITUTE(SUBSTITUTE(SUBSTITUTE(SUBSTITUTE(SUBSTITUTE(SUBSTITUTE(SUBSTITUTE(SUBSTITUTE(SUBSTITUTE(SUBSTITUTE(SUBSTITUTE(LEFT(MID(TRIM(INDEX(PASTE_ALL,7,43)),1+(LEFT(TRIM(INDEX(PASTE_ALL,7,43)),1)="-"),999),LEN(MID(TRIM(INDEX(PASTE_ALL,7,43)),1+(LEFT(TRIM(INDEX(PASTE_ALL,7,43)),1)="-"),999))-(RIGHT(MID(TRIM(INDEX(PASTE_ALL,7,43)),1+(LEFT(TRIM(INDEX(PASTE_ALL,7,43)),1)="-"),999),1)="%")),"0",""),"1",""),"2",""),"3",""),"4",""),"5",""),"6",""),"7",""),"8",""),"9",""),".",""),",","")=""),2,1))),1)</f>
        <v/>
      </c>
      <c r="BP56">
        <f>IFERROR(IF(ISNUMBER(INDEX(PASTE_ALL,7,44)),2,IF(TRIM(INDEX(PASTE_ALL,7,44))="",0,IF(AND(LEFT(MID(TRIM(INDEX(PASTE_ALL,7,44)),1+(LEFT(TRIM(INDEX(PASTE_ALL,7,44)),1)="-"),999),LEN(MID(TRIM(INDEX(PASTE_ALL,7,44)),1+(LEFT(TRIM(INDEX(PASTE_ALL,7,44)),1)="-"),999))-(RIGHT(MID(TRIM(INDEX(PASTE_ALL,7,44)),1+(LEFT(TRIM(INDEX(PASTE_ALL,7,44)),1)="-"),999),1)="%"))&lt;&gt;"",SUBSTITUTE(SUBSTITUTE(SUBSTITUTE(SUBSTITUTE(SUBSTITUTE(SUBSTITUTE(SUBSTITUTE(SUBSTITUTE(SUBSTITUTE(SUBSTITUTE(SUBSTITUTE(SUBSTITUTE(LEFT(MID(TRIM(INDEX(PASTE_ALL,7,44)),1+(LEFT(TRIM(INDEX(PASTE_ALL,7,44)),1)="-"),999),LEN(MID(TRIM(INDEX(PASTE_ALL,7,44)),1+(LEFT(TRIM(INDEX(PASTE_ALL,7,44)),1)="-"),999))-(RIGHT(MID(TRIM(INDEX(PASTE_ALL,7,44)),1+(LEFT(TRIM(INDEX(PASTE_ALL,7,44)),1)="-"),999),1)="%")),"0",""),"1",""),"2",""),"3",""),"4",""),"5",""),"6",""),"7",""),"8",""),"9",""),".",""),",","")=""),2,1))),1)</f>
        <v/>
      </c>
      <c r="BQ56">
        <f>IFERROR(IF(ISNUMBER(INDEX(PASTE_ALL,7,45)),2,IF(TRIM(INDEX(PASTE_ALL,7,45))="",0,IF(AND(LEFT(MID(TRIM(INDEX(PASTE_ALL,7,45)),1+(LEFT(TRIM(INDEX(PASTE_ALL,7,45)),1)="-"),999),LEN(MID(TRIM(INDEX(PASTE_ALL,7,45)),1+(LEFT(TRIM(INDEX(PASTE_ALL,7,45)),1)="-"),999))-(RIGHT(MID(TRIM(INDEX(PASTE_ALL,7,45)),1+(LEFT(TRIM(INDEX(PASTE_ALL,7,45)),1)="-"),999),1)="%"))&lt;&gt;"",SUBSTITUTE(SUBSTITUTE(SUBSTITUTE(SUBSTITUTE(SUBSTITUTE(SUBSTITUTE(SUBSTITUTE(SUBSTITUTE(SUBSTITUTE(SUBSTITUTE(SUBSTITUTE(SUBSTITUTE(LEFT(MID(TRIM(INDEX(PASTE_ALL,7,45)),1+(LEFT(TRIM(INDEX(PASTE_ALL,7,45)),1)="-"),999),LEN(MID(TRIM(INDEX(PASTE_ALL,7,45)),1+(LEFT(TRIM(INDEX(PASTE_ALL,7,45)),1)="-"),999))-(RIGHT(MID(TRIM(INDEX(PASTE_ALL,7,45)),1+(LEFT(TRIM(INDEX(PASTE_ALL,7,45)),1)="-"),999),1)="%")),"0",""),"1",""),"2",""),"3",""),"4",""),"5",""),"6",""),"7",""),"8",""),"9",""),".",""),",","")=""),2,1))),1)</f>
        <v/>
      </c>
      <c r="BR56">
        <f>IFERROR(IF(ISNUMBER(INDEX(PASTE_ALL,7,46)),2,IF(TRIM(INDEX(PASTE_ALL,7,46))="",0,IF(AND(LEFT(MID(TRIM(INDEX(PASTE_ALL,7,46)),1+(LEFT(TRIM(INDEX(PASTE_ALL,7,46)),1)="-"),999),LEN(MID(TRIM(INDEX(PASTE_ALL,7,46)),1+(LEFT(TRIM(INDEX(PASTE_ALL,7,46)),1)="-"),999))-(RIGHT(MID(TRIM(INDEX(PASTE_ALL,7,46)),1+(LEFT(TRIM(INDEX(PASTE_ALL,7,46)),1)="-"),999),1)="%"))&lt;&gt;"",SUBSTITUTE(SUBSTITUTE(SUBSTITUTE(SUBSTITUTE(SUBSTITUTE(SUBSTITUTE(SUBSTITUTE(SUBSTITUTE(SUBSTITUTE(SUBSTITUTE(SUBSTITUTE(SUBSTITUTE(LEFT(MID(TRIM(INDEX(PASTE_ALL,7,46)),1+(LEFT(TRIM(INDEX(PASTE_ALL,7,46)),1)="-"),999),LEN(MID(TRIM(INDEX(PASTE_ALL,7,46)),1+(LEFT(TRIM(INDEX(PASTE_ALL,7,46)),1)="-"),999))-(RIGHT(MID(TRIM(INDEX(PASTE_ALL,7,46)),1+(LEFT(TRIM(INDEX(PASTE_ALL,7,46)),1)="-"),999),1)="%")),"0",""),"1",""),"2",""),"3",""),"4",""),"5",""),"6",""),"7",""),"8",""),"9",""),".",""),",","")=""),2,1))),1)</f>
        <v/>
      </c>
      <c r="BS56">
        <f>IFERROR(IF(ISNUMBER(INDEX(PASTE_ALL,7,47)),2,IF(TRIM(INDEX(PASTE_ALL,7,47))="",0,IF(AND(LEFT(MID(TRIM(INDEX(PASTE_ALL,7,47)),1+(LEFT(TRIM(INDEX(PASTE_ALL,7,47)),1)="-"),999),LEN(MID(TRIM(INDEX(PASTE_ALL,7,47)),1+(LEFT(TRIM(INDEX(PASTE_ALL,7,47)),1)="-"),999))-(RIGHT(MID(TRIM(INDEX(PASTE_ALL,7,47)),1+(LEFT(TRIM(INDEX(PASTE_ALL,7,47)),1)="-"),999),1)="%"))&lt;&gt;"",SUBSTITUTE(SUBSTITUTE(SUBSTITUTE(SUBSTITUTE(SUBSTITUTE(SUBSTITUTE(SUBSTITUTE(SUBSTITUTE(SUBSTITUTE(SUBSTITUTE(SUBSTITUTE(SUBSTITUTE(LEFT(MID(TRIM(INDEX(PASTE_ALL,7,47)),1+(LEFT(TRIM(INDEX(PASTE_ALL,7,47)),1)="-"),999),LEN(MID(TRIM(INDEX(PASTE_ALL,7,47)),1+(LEFT(TRIM(INDEX(PASTE_ALL,7,47)),1)="-"),999))-(RIGHT(MID(TRIM(INDEX(PASTE_ALL,7,47)),1+(LEFT(TRIM(INDEX(PASTE_ALL,7,47)),1)="-"),999),1)="%")),"0",""),"1",""),"2",""),"3",""),"4",""),"5",""),"6",""),"7",""),"8",""),"9",""),".",""),",","")=""),2,1))),1)</f>
        <v/>
      </c>
      <c r="BT56">
        <f>IFERROR(IF(ISNUMBER(INDEX(PASTE_ALL,7,48)),2,IF(TRIM(INDEX(PASTE_ALL,7,48))="",0,IF(AND(LEFT(MID(TRIM(INDEX(PASTE_ALL,7,48)),1+(LEFT(TRIM(INDEX(PASTE_ALL,7,48)),1)="-"),999),LEN(MID(TRIM(INDEX(PASTE_ALL,7,48)),1+(LEFT(TRIM(INDEX(PASTE_ALL,7,48)),1)="-"),999))-(RIGHT(MID(TRIM(INDEX(PASTE_ALL,7,48)),1+(LEFT(TRIM(INDEX(PASTE_ALL,7,48)),1)="-"),999),1)="%"))&lt;&gt;"",SUBSTITUTE(SUBSTITUTE(SUBSTITUTE(SUBSTITUTE(SUBSTITUTE(SUBSTITUTE(SUBSTITUTE(SUBSTITUTE(SUBSTITUTE(SUBSTITUTE(SUBSTITUTE(SUBSTITUTE(LEFT(MID(TRIM(INDEX(PASTE_ALL,7,48)),1+(LEFT(TRIM(INDEX(PASTE_ALL,7,48)),1)="-"),999),LEN(MID(TRIM(INDEX(PASTE_ALL,7,48)),1+(LEFT(TRIM(INDEX(PASTE_ALL,7,48)),1)="-"),999))-(RIGHT(MID(TRIM(INDEX(PASTE_ALL,7,48)),1+(LEFT(TRIM(INDEX(PASTE_ALL,7,48)),1)="-"),999),1)="%")),"0",""),"1",""),"2",""),"3",""),"4",""),"5",""),"6",""),"7",""),"8",""),"9",""),".",""),",","")=""),2,1))),1)</f>
        <v/>
      </c>
      <c r="BU56">
        <f>IFERROR(IF(ISNUMBER(INDEX(PASTE_ALL,7,49)),2,IF(TRIM(INDEX(PASTE_ALL,7,49))="",0,IF(AND(LEFT(MID(TRIM(INDEX(PASTE_ALL,7,49)),1+(LEFT(TRIM(INDEX(PASTE_ALL,7,49)),1)="-"),999),LEN(MID(TRIM(INDEX(PASTE_ALL,7,49)),1+(LEFT(TRIM(INDEX(PASTE_ALL,7,49)),1)="-"),999))-(RIGHT(MID(TRIM(INDEX(PASTE_ALL,7,49)),1+(LEFT(TRIM(INDEX(PASTE_ALL,7,49)),1)="-"),999),1)="%"))&lt;&gt;"",SUBSTITUTE(SUBSTITUTE(SUBSTITUTE(SUBSTITUTE(SUBSTITUTE(SUBSTITUTE(SUBSTITUTE(SUBSTITUTE(SUBSTITUTE(SUBSTITUTE(SUBSTITUTE(SUBSTITUTE(LEFT(MID(TRIM(INDEX(PASTE_ALL,7,49)),1+(LEFT(TRIM(INDEX(PASTE_ALL,7,49)),1)="-"),999),LEN(MID(TRIM(INDEX(PASTE_ALL,7,49)),1+(LEFT(TRIM(INDEX(PASTE_ALL,7,49)),1)="-"),999))-(RIGHT(MID(TRIM(INDEX(PASTE_ALL,7,49)),1+(LEFT(TRIM(INDEX(PASTE_ALL,7,49)),1)="-"),999),1)="%")),"0",""),"1",""),"2",""),"3",""),"4",""),"5",""),"6",""),"7",""),"8",""),"9",""),".",""),",","")=""),2,1))),1)</f>
        <v/>
      </c>
      <c r="BV56">
        <f>IFERROR(IF(ISNUMBER(INDEX(PASTE_ALL,7,50)),2,IF(TRIM(INDEX(PASTE_ALL,7,50))="",0,IF(AND(LEFT(MID(TRIM(INDEX(PASTE_ALL,7,50)),1+(LEFT(TRIM(INDEX(PASTE_ALL,7,50)),1)="-"),999),LEN(MID(TRIM(INDEX(PASTE_ALL,7,50)),1+(LEFT(TRIM(INDEX(PASTE_ALL,7,50)),1)="-"),999))-(RIGHT(MID(TRIM(INDEX(PASTE_ALL,7,50)),1+(LEFT(TRIM(INDEX(PASTE_ALL,7,50)),1)="-"),999),1)="%"))&lt;&gt;"",SUBSTITUTE(SUBSTITUTE(SUBSTITUTE(SUBSTITUTE(SUBSTITUTE(SUBSTITUTE(SUBSTITUTE(SUBSTITUTE(SUBSTITUTE(SUBSTITUTE(SUBSTITUTE(SUBSTITUTE(LEFT(MID(TRIM(INDEX(PASTE_ALL,7,50)),1+(LEFT(TRIM(INDEX(PASTE_ALL,7,50)),1)="-"),999),LEN(MID(TRIM(INDEX(PASTE_ALL,7,50)),1+(LEFT(TRIM(INDEX(PASTE_ALL,7,50)),1)="-"),999))-(RIGHT(MID(TRIM(INDEX(PASTE_ALL,7,50)),1+(LEFT(TRIM(INDEX(PASTE_ALL,7,50)),1)="-"),999),1)="%")),"0",""),"1",""),"2",""),"3",""),"4",""),"5",""),"6",""),"7",""),"8",""),"9",""),".",""),",","")=""),2,1))),1)</f>
        <v/>
      </c>
      <c r="BW56">
        <f>IFERROR(IF(ISNUMBER(INDEX(PASTE_ALL,7,51)),2,IF(TRIM(INDEX(PASTE_ALL,7,51))="",0,IF(AND(LEFT(MID(TRIM(INDEX(PASTE_ALL,7,51)),1+(LEFT(TRIM(INDEX(PASTE_ALL,7,51)),1)="-"),999),LEN(MID(TRIM(INDEX(PASTE_ALL,7,51)),1+(LEFT(TRIM(INDEX(PASTE_ALL,7,51)),1)="-"),999))-(RIGHT(MID(TRIM(INDEX(PASTE_ALL,7,51)),1+(LEFT(TRIM(INDEX(PASTE_ALL,7,51)),1)="-"),999),1)="%"))&lt;&gt;"",SUBSTITUTE(SUBSTITUTE(SUBSTITUTE(SUBSTITUTE(SUBSTITUTE(SUBSTITUTE(SUBSTITUTE(SUBSTITUTE(SUBSTITUTE(SUBSTITUTE(SUBSTITUTE(SUBSTITUTE(LEFT(MID(TRIM(INDEX(PASTE_ALL,7,51)),1+(LEFT(TRIM(INDEX(PASTE_ALL,7,51)),1)="-"),999),LEN(MID(TRIM(INDEX(PASTE_ALL,7,51)),1+(LEFT(TRIM(INDEX(PASTE_ALL,7,51)),1)="-"),999))-(RIGHT(MID(TRIM(INDEX(PASTE_ALL,7,51)),1+(LEFT(TRIM(INDEX(PASTE_ALL,7,51)),1)="-"),999),1)="%")),"0",""),"1",""),"2",""),"3",""),"4",""),"5",""),"6",""),"7",""),"8",""),"9",""),".",""),",","")=""),2,1))),1)</f>
        <v/>
      </c>
      <c r="BX56">
        <f>IFERROR(IF(ISNUMBER(INDEX(PASTE_ALL,7,52)),2,IF(TRIM(INDEX(PASTE_ALL,7,52))="",0,IF(AND(LEFT(MID(TRIM(INDEX(PASTE_ALL,7,52)),1+(LEFT(TRIM(INDEX(PASTE_ALL,7,52)),1)="-"),999),LEN(MID(TRIM(INDEX(PASTE_ALL,7,52)),1+(LEFT(TRIM(INDEX(PASTE_ALL,7,52)),1)="-"),999))-(RIGHT(MID(TRIM(INDEX(PASTE_ALL,7,52)),1+(LEFT(TRIM(INDEX(PASTE_ALL,7,52)),1)="-"),999),1)="%"))&lt;&gt;"",SUBSTITUTE(SUBSTITUTE(SUBSTITUTE(SUBSTITUTE(SUBSTITUTE(SUBSTITUTE(SUBSTITUTE(SUBSTITUTE(SUBSTITUTE(SUBSTITUTE(SUBSTITUTE(SUBSTITUTE(LEFT(MID(TRIM(INDEX(PASTE_ALL,7,52)),1+(LEFT(TRIM(INDEX(PASTE_ALL,7,52)),1)="-"),999),LEN(MID(TRIM(INDEX(PASTE_ALL,7,52)),1+(LEFT(TRIM(INDEX(PASTE_ALL,7,52)),1)="-"),999))-(RIGHT(MID(TRIM(INDEX(PASTE_ALL,7,52)),1+(LEFT(TRIM(INDEX(PASTE_ALL,7,52)),1)="-"),999),1)="%")),"0",""),"1",""),"2",""),"3",""),"4",""),"5",""),"6",""),"7",""),"8",""),"9",""),".",""),",","")=""),2,1))),1)</f>
        <v/>
      </c>
      <c r="BY56">
        <f>IFERROR(IF(ISNUMBER(INDEX(PASTE_ALL,7,53)),2,IF(TRIM(INDEX(PASTE_ALL,7,53))="",0,IF(AND(LEFT(MID(TRIM(INDEX(PASTE_ALL,7,53)),1+(LEFT(TRIM(INDEX(PASTE_ALL,7,53)),1)="-"),999),LEN(MID(TRIM(INDEX(PASTE_ALL,7,53)),1+(LEFT(TRIM(INDEX(PASTE_ALL,7,53)),1)="-"),999))-(RIGHT(MID(TRIM(INDEX(PASTE_ALL,7,53)),1+(LEFT(TRIM(INDEX(PASTE_ALL,7,53)),1)="-"),999),1)="%"))&lt;&gt;"",SUBSTITUTE(SUBSTITUTE(SUBSTITUTE(SUBSTITUTE(SUBSTITUTE(SUBSTITUTE(SUBSTITUTE(SUBSTITUTE(SUBSTITUTE(SUBSTITUTE(SUBSTITUTE(SUBSTITUTE(LEFT(MID(TRIM(INDEX(PASTE_ALL,7,53)),1+(LEFT(TRIM(INDEX(PASTE_ALL,7,53)),1)="-"),999),LEN(MID(TRIM(INDEX(PASTE_ALL,7,53)),1+(LEFT(TRIM(INDEX(PASTE_ALL,7,53)),1)="-"),999))-(RIGHT(MID(TRIM(INDEX(PASTE_ALL,7,53)),1+(LEFT(TRIM(INDEX(PASTE_ALL,7,53)),1)="-"),999),1)="%")),"0",""),"1",""),"2",""),"3",""),"4",""),"5",""),"6",""),"7",""),"8",""),"9",""),".",""),",","")=""),2,1))),1)</f>
        <v/>
      </c>
      <c r="BZ56">
        <f>IFERROR(IF(ISNUMBER(INDEX(PASTE_ALL,7,54)),2,IF(TRIM(INDEX(PASTE_ALL,7,54))="",0,IF(AND(LEFT(MID(TRIM(INDEX(PASTE_ALL,7,54)),1+(LEFT(TRIM(INDEX(PASTE_ALL,7,54)),1)="-"),999),LEN(MID(TRIM(INDEX(PASTE_ALL,7,54)),1+(LEFT(TRIM(INDEX(PASTE_ALL,7,54)),1)="-"),999))-(RIGHT(MID(TRIM(INDEX(PASTE_ALL,7,54)),1+(LEFT(TRIM(INDEX(PASTE_ALL,7,54)),1)="-"),999),1)="%"))&lt;&gt;"",SUBSTITUTE(SUBSTITUTE(SUBSTITUTE(SUBSTITUTE(SUBSTITUTE(SUBSTITUTE(SUBSTITUTE(SUBSTITUTE(SUBSTITUTE(SUBSTITUTE(SUBSTITUTE(SUBSTITUTE(LEFT(MID(TRIM(INDEX(PASTE_ALL,7,54)),1+(LEFT(TRIM(INDEX(PASTE_ALL,7,54)),1)="-"),999),LEN(MID(TRIM(INDEX(PASTE_ALL,7,54)),1+(LEFT(TRIM(INDEX(PASTE_ALL,7,54)),1)="-"),999))-(RIGHT(MID(TRIM(INDEX(PASTE_ALL,7,54)),1+(LEFT(TRIM(INDEX(PASTE_ALL,7,54)),1)="-"),999),1)="%")),"0",""),"1",""),"2",""),"3",""),"4",""),"5",""),"6",""),"7",""),"8",""),"9",""),".",""),",","")=""),2,1))),1)</f>
        <v/>
      </c>
      <c r="CA56">
        <f>IFERROR(IF(ISNUMBER(INDEX(PASTE_ALL,7,55)),2,IF(TRIM(INDEX(PASTE_ALL,7,55))="",0,IF(AND(LEFT(MID(TRIM(INDEX(PASTE_ALL,7,55)),1+(LEFT(TRIM(INDEX(PASTE_ALL,7,55)),1)="-"),999),LEN(MID(TRIM(INDEX(PASTE_ALL,7,55)),1+(LEFT(TRIM(INDEX(PASTE_ALL,7,55)),1)="-"),999))-(RIGHT(MID(TRIM(INDEX(PASTE_ALL,7,55)),1+(LEFT(TRIM(INDEX(PASTE_ALL,7,55)),1)="-"),999),1)="%"))&lt;&gt;"",SUBSTITUTE(SUBSTITUTE(SUBSTITUTE(SUBSTITUTE(SUBSTITUTE(SUBSTITUTE(SUBSTITUTE(SUBSTITUTE(SUBSTITUTE(SUBSTITUTE(SUBSTITUTE(SUBSTITUTE(LEFT(MID(TRIM(INDEX(PASTE_ALL,7,55)),1+(LEFT(TRIM(INDEX(PASTE_ALL,7,55)),1)="-"),999),LEN(MID(TRIM(INDEX(PASTE_ALL,7,55)),1+(LEFT(TRIM(INDEX(PASTE_ALL,7,55)),1)="-"),999))-(RIGHT(MID(TRIM(INDEX(PASTE_ALL,7,55)),1+(LEFT(TRIM(INDEX(PASTE_ALL,7,55)),1)="-"),999),1)="%")),"0",""),"1",""),"2",""),"3",""),"4",""),"5",""),"6",""),"7",""),"8",""),"9",""),".",""),",","")=""),2,1))),1)</f>
        <v/>
      </c>
      <c r="CB56">
        <f>IFERROR(IF(ISNUMBER(INDEX(PASTE_ALL,7,56)),2,IF(TRIM(INDEX(PASTE_ALL,7,56))="",0,IF(AND(LEFT(MID(TRIM(INDEX(PASTE_ALL,7,56)),1+(LEFT(TRIM(INDEX(PASTE_ALL,7,56)),1)="-"),999),LEN(MID(TRIM(INDEX(PASTE_ALL,7,56)),1+(LEFT(TRIM(INDEX(PASTE_ALL,7,56)),1)="-"),999))-(RIGHT(MID(TRIM(INDEX(PASTE_ALL,7,56)),1+(LEFT(TRIM(INDEX(PASTE_ALL,7,56)),1)="-"),999),1)="%"))&lt;&gt;"",SUBSTITUTE(SUBSTITUTE(SUBSTITUTE(SUBSTITUTE(SUBSTITUTE(SUBSTITUTE(SUBSTITUTE(SUBSTITUTE(SUBSTITUTE(SUBSTITUTE(SUBSTITUTE(SUBSTITUTE(LEFT(MID(TRIM(INDEX(PASTE_ALL,7,56)),1+(LEFT(TRIM(INDEX(PASTE_ALL,7,56)),1)="-"),999),LEN(MID(TRIM(INDEX(PASTE_ALL,7,56)),1+(LEFT(TRIM(INDEX(PASTE_ALL,7,56)),1)="-"),999))-(RIGHT(MID(TRIM(INDEX(PASTE_ALL,7,56)),1+(LEFT(TRIM(INDEX(PASTE_ALL,7,56)),1)="-"),999),1)="%")),"0",""),"1",""),"2",""),"3",""),"4",""),"5",""),"6",""),"7",""),"8",""),"9",""),".",""),",","")=""),2,1))),1)</f>
        <v/>
      </c>
      <c r="CC56">
        <f>IFERROR(IF(ISNUMBER(INDEX(PASTE_ALL,7,57)),2,IF(TRIM(INDEX(PASTE_ALL,7,57))="",0,IF(AND(LEFT(MID(TRIM(INDEX(PASTE_ALL,7,57)),1+(LEFT(TRIM(INDEX(PASTE_ALL,7,57)),1)="-"),999),LEN(MID(TRIM(INDEX(PASTE_ALL,7,57)),1+(LEFT(TRIM(INDEX(PASTE_ALL,7,57)),1)="-"),999))-(RIGHT(MID(TRIM(INDEX(PASTE_ALL,7,57)),1+(LEFT(TRIM(INDEX(PASTE_ALL,7,57)),1)="-"),999),1)="%"))&lt;&gt;"",SUBSTITUTE(SUBSTITUTE(SUBSTITUTE(SUBSTITUTE(SUBSTITUTE(SUBSTITUTE(SUBSTITUTE(SUBSTITUTE(SUBSTITUTE(SUBSTITUTE(SUBSTITUTE(SUBSTITUTE(LEFT(MID(TRIM(INDEX(PASTE_ALL,7,57)),1+(LEFT(TRIM(INDEX(PASTE_ALL,7,57)),1)="-"),999),LEN(MID(TRIM(INDEX(PASTE_ALL,7,57)),1+(LEFT(TRIM(INDEX(PASTE_ALL,7,57)),1)="-"),999))-(RIGHT(MID(TRIM(INDEX(PASTE_ALL,7,57)),1+(LEFT(TRIM(INDEX(PASTE_ALL,7,57)),1)="-"),999),1)="%")),"0",""),"1",""),"2",""),"3",""),"4",""),"5",""),"6",""),"7",""),"8",""),"9",""),".",""),",","")=""),2,1))),1)</f>
        <v/>
      </c>
      <c r="CD56">
        <f>IFERROR(IF(ISNUMBER(INDEX(PASTE_ALL,7,58)),2,IF(TRIM(INDEX(PASTE_ALL,7,58))="",0,IF(AND(LEFT(MID(TRIM(INDEX(PASTE_ALL,7,58)),1+(LEFT(TRIM(INDEX(PASTE_ALL,7,58)),1)="-"),999),LEN(MID(TRIM(INDEX(PASTE_ALL,7,58)),1+(LEFT(TRIM(INDEX(PASTE_ALL,7,58)),1)="-"),999))-(RIGHT(MID(TRIM(INDEX(PASTE_ALL,7,58)),1+(LEFT(TRIM(INDEX(PASTE_ALL,7,58)),1)="-"),999),1)="%"))&lt;&gt;"",SUBSTITUTE(SUBSTITUTE(SUBSTITUTE(SUBSTITUTE(SUBSTITUTE(SUBSTITUTE(SUBSTITUTE(SUBSTITUTE(SUBSTITUTE(SUBSTITUTE(SUBSTITUTE(SUBSTITUTE(LEFT(MID(TRIM(INDEX(PASTE_ALL,7,58)),1+(LEFT(TRIM(INDEX(PASTE_ALL,7,58)),1)="-"),999),LEN(MID(TRIM(INDEX(PASTE_ALL,7,58)),1+(LEFT(TRIM(INDEX(PASTE_ALL,7,58)),1)="-"),999))-(RIGHT(MID(TRIM(INDEX(PASTE_ALL,7,58)),1+(LEFT(TRIM(INDEX(PASTE_ALL,7,58)),1)="-"),999),1)="%")),"0",""),"1",""),"2",""),"3",""),"4",""),"5",""),"6",""),"7",""),"8",""),"9",""),".",""),",","")=""),2,1))),1)</f>
        <v/>
      </c>
      <c r="CE56">
        <f>IFERROR(IF(ISNUMBER(INDEX(PASTE_ALL,7,59)),2,IF(TRIM(INDEX(PASTE_ALL,7,59))="",0,IF(AND(LEFT(MID(TRIM(INDEX(PASTE_ALL,7,59)),1+(LEFT(TRIM(INDEX(PASTE_ALL,7,59)),1)="-"),999),LEN(MID(TRIM(INDEX(PASTE_ALL,7,59)),1+(LEFT(TRIM(INDEX(PASTE_ALL,7,59)),1)="-"),999))-(RIGHT(MID(TRIM(INDEX(PASTE_ALL,7,59)),1+(LEFT(TRIM(INDEX(PASTE_ALL,7,59)),1)="-"),999),1)="%"))&lt;&gt;"",SUBSTITUTE(SUBSTITUTE(SUBSTITUTE(SUBSTITUTE(SUBSTITUTE(SUBSTITUTE(SUBSTITUTE(SUBSTITUTE(SUBSTITUTE(SUBSTITUTE(SUBSTITUTE(SUBSTITUTE(LEFT(MID(TRIM(INDEX(PASTE_ALL,7,59)),1+(LEFT(TRIM(INDEX(PASTE_ALL,7,59)),1)="-"),999),LEN(MID(TRIM(INDEX(PASTE_ALL,7,59)),1+(LEFT(TRIM(INDEX(PASTE_ALL,7,59)),1)="-"),999))-(RIGHT(MID(TRIM(INDEX(PASTE_ALL,7,59)),1+(LEFT(TRIM(INDEX(PASTE_ALL,7,59)),1)="-"),999),1)="%")),"0",""),"1",""),"2",""),"3",""),"4",""),"5",""),"6",""),"7",""),"8",""),"9",""),".",""),",","")=""),2,1))),1)</f>
        <v/>
      </c>
      <c r="CF56">
        <f>IFERROR(IF(ISNUMBER(INDEX(PASTE_ALL,7,60)),2,IF(TRIM(INDEX(PASTE_ALL,7,60))="",0,IF(AND(LEFT(MID(TRIM(INDEX(PASTE_ALL,7,60)),1+(LEFT(TRIM(INDEX(PASTE_ALL,7,60)),1)="-"),999),LEN(MID(TRIM(INDEX(PASTE_ALL,7,60)),1+(LEFT(TRIM(INDEX(PASTE_ALL,7,60)),1)="-"),999))-(RIGHT(MID(TRIM(INDEX(PASTE_ALL,7,60)),1+(LEFT(TRIM(INDEX(PASTE_ALL,7,60)),1)="-"),999),1)="%"))&lt;&gt;"",SUBSTITUTE(SUBSTITUTE(SUBSTITUTE(SUBSTITUTE(SUBSTITUTE(SUBSTITUTE(SUBSTITUTE(SUBSTITUTE(SUBSTITUTE(SUBSTITUTE(SUBSTITUTE(SUBSTITUTE(LEFT(MID(TRIM(INDEX(PASTE_ALL,7,60)),1+(LEFT(TRIM(INDEX(PASTE_ALL,7,60)),1)="-"),999),LEN(MID(TRIM(INDEX(PASTE_ALL,7,60)),1+(LEFT(TRIM(INDEX(PASTE_ALL,7,60)),1)="-"),999))-(RIGHT(MID(TRIM(INDEX(PASTE_ALL,7,60)),1+(LEFT(TRIM(INDEX(PASTE_ALL,7,60)),1)="-"),999),1)="%")),"0",""),"1",""),"2",""),"3",""),"4",""),"5",""),"6",""),"7",""),"8",""),"9",""),".",""),",","")=""),2,1))),1)</f>
        <v/>
      </c>
      <c r="DA56" t="n">
        <v>52</v>
      </c>
      <c r="DB56">
        <f>IF($B$37=0,"",IFERROR(TRIM(SUBSTITUTE(SUBSTITUTE(SUBSTITUTE(SUBSTITUTE(INDEX(PASTE_ALL,52,$B$37)," "," "),CHAR(9)," "),CHAR(10)," "),CHAR(13)," ")),""))</f>
        <v/>
      </c>
      <c r="DC56">
        <f>IF(AND(52&gt;HEADER_ROW,UPPER(DB56)="LEGEND"),1,0)</f>
        <v/>
      </c>
      <c r="DE56" t="n">
        <v>52</v>
      </c>
      <c r="DF56">
        <f>HEADER_ROW+$DE56</f>
        <v/>
      </c>
      <c r="DG56">
        <f>IF(AND($DF56&lt;=1000,$DF56&lt;$B$8),1,0)</f>
        <v/>
      </c>
      <c r="DH56">
        <f>IF($DG56=1,IFERROR(INDEX($DB$5:$DB$1004,$DF56),""),"")</f>
        <v/>
      </c>
      <c r="DI56">
        <f>IF(AND($DG56=1,$DH56&lt;&gt;""),IFERROR(SUBSTITUTE(SUBSTITUTE(TRIM(SUBSTITUTE(SUBSTITUTE(SUBSTITUTE(SUBSTITUTE(IFERROR(INDEX(PASTE_ALL,$DF56,1)&amp;"","")&amp;"␟"&amp;IFERROR(INDEX(PASTE_ALL,$DF56,2)&amp;"","")&amp;"␟"&amp;IFERROR(INDEX(PASTE_ALL,$DF56,3)&amp;"","")&amp;"␟"&amp;IFERROR(INDEX(PASTE_ALL,$DF56,4)&amp;"","")&amp;"␟"&amp;IFERROR(INDEX(PASTE_ALL,$DF56,5)&amp;"","")&amp;"␟"&amp;IFERROR(INDEX(PASTE_ALL,$DF56,6)&amp;"","")&amp;"␟"&amp;IFERROR(INDEX(PASTE_ALL,$DF56,7)&amp;"","")&amp;"␟"&amp;IFERROR(INDEX(PASTE_ALL,$DF56,8)&amp;"","")&amp;"␟"&amp;IFERROR(INDEX(PASTE_ALL,$DF56,9)&amp;"","")&amp;"␟"&amp;IFERROR(INDEX(PASTE_ALL,$DF56,10)&amp;"","")&amp;"␟"&amp;IFERROR(INDEX(PASTE_ALL,$DF56,11)&amp;"","")&amp;"␟"&amp;IFERROR(INDEX(PASTE_ALL,$DF56,12)&amp;"","")&amp;"␟"&amp;IFERROR(INDEX(PASTE_ALL,$DF56,13)&amp;"","")&amp;"␟"&amp;IFERROR(INDEX(PASTE_ALL,$DF56,14)&amp;"","")&amp;"␟"&amp;IFERROR(INDEX(PASTE_ALL,$DF56,15)&amp;"","")&amp;"␟"&amp;IFERROR(INDEX(PASTE_ALL,$DF56,16)&amp;"","")&amp;"␟"&amp;IFERROR(INDEX(PASTE_ALL,$DF56,17)&amp;"","")&amp;"␟"&amp;IFERROR(INDEX(PASTE_ALL,$DF56,18)&amp;"","")&amp;"␟"&amp;IFERROR(INDEX(PASTE_ALL,$DF56,19)&amp;"","")&amp;"␟"&amp;IFERROR(INDEX(PASTE_ALL,$DF56,20)&amp;"","")&amp;"␟"&amp;IFERROR(INDEX(PASTE_ALL,$DF56,21)&amp;"","")&amp;"␟"&amp;IFERROR(INDEX(PASTE_ALL,$DF56,22)&amp;"","")&amp;"␟"&amp;IFERROR(INDEX(PASTE_ALL,$DF56,23)&amp;"","")&amp;"␟"&amp;IFERROR(INDEX(PASTE_ALL,$DF56,24)&amp;"","")&amp;"␟"&amp;IFERROR(INDEX(PASTE_ALL,$DF56,25)&amp;"","")&amp;"␟"&amp;IFERROR(INDEX(PASTE_ALL,$DF56,26)&amp;"","")&amp;"␟"&amp;IFERROR(INDEX(PASTE_ALL,$DF56,27)&amp;"","")&amp;"␟"&amp;IFERROR(INDEX(PASTE_ALL,$DF56,28)&amp;"","")&amp;"␟"&amp;IFERROR(INDEX(PASTE_ALL,$DF56,29)&amp;"","")&amp;"␟"&amp;IFERROR(INDEX(PASTE_ALL,$DF56,30)&amp;"","")&amp;"␟"&amp;IFERROR(INDEX(PASTE_ALL,$DF56,31)&amp;"","")&amp;"␟"&amp;IFERROR(INDEX(PASTE_ALL,$DF56,32)&amp;"","")&amp;"␟"&amp;IFERROR(INDEX(PASTE_ALL,$DF56,33)&amp;"","")&amp;"␟"&amp;IFERROR(INDEX(PASTE_ALL,$DF56,34)&amp;"","")&amp;"␟"&amp;IFERROR(INDEX(PASTE_ALL,$DF56,35)&amp;"","")&amp;"␟"&amp;IFERROR(INDEX(PASTE_ALL,$DF56,36)&amp;"","")&amp;"␟"&amp;IFERROR(INDEX(PASTE_ALL,$DF56,37)&amp;"","")&amp;"␟"&amp;IFERROR(INDEX(PASTE_ALL,$DF56,38)&amp;"","")&amp;"␟"&amp;IFERROR(INDEX(PASTE_ALL,$DF56,39)&amp;"","")&amp;"␟"&amp;IFERROR(INDEX(PASTE_ALL,$DF56,40)&amp;"","")&amp;"␟"&amp;IFERROR(INDEX(PASTE_ALL,$DF56,41)&amp;"","")&amp;"␟"&amp;IFERROR(INDEX(PASTE_ALL,$DF56,42)&amp;"","")&amp;"␟"&amp;IFERROR(INDEX(PASTE_ALL,$DF56,43)&amp;"","")&amp;"␟"&amp;IFERROR(INDEX(PASTE_ALL,$DF56,44)&amp;"","")&amp;"␟"&amp;IFERROR(INDEX(PASTE_ALL,$DF56,45)&amp;"","")&amp;"␟"&amp;IFERROR(INDEX(PASTE_ALL,$DF56,46)&amp;"","")&amp;"␟"&amp;IFERROR(INDEX(PASTE_ALL,$DF56,47)&amp;"","")&amp;"␟"&amp;IFERROR(INDEX(PASTE_ALL,$DF56,48)&amp;"","")&amp;"␟"&amp;IFERROR(INDEX(PASTE_ALL,$DF56,49)&amp;"","")&amp;"␟"&amp;IFERROR(INDEX(PASTE_ALL,$DF56,50)&amp;"","")&amp;"␟"&amp;IFERROR(INDEX(PASTE_ALL,$DF56,51)&amp;"","")&amp;"␟"&amp;IFERROR(INDEX(PASTE_ALL,$DF56,52)&amp;"","")&amp;"␟"&amp;IFERROR(INDEX(PASTE_ALL,$DF56,53)&amp;"","")&amp;"␟"&amp;IFERROR(INDEX(PASTE_ALL,$DF56,54)&amp;"","")&amp;"␟"&amp;IFERROR(INDEX(PASTE_ALL,$DF56,55)&amp;"","")&amp;"␟"&amp;IFERROR(INDEX(PASTE_ALL,$DF56,56)&amp;"","")&amp;"␟"&amp;IFERROR(INDEX(PASTE_ALL,$DF56,57)&amp;"","")&amp;"␟"&amp;IFERROR(INDEX(PASTE_ALL,$DF56,58)&amp;"","")&amp;"␟"&amp;IFERROR(INDEX(PASTE_ALL,$DF56,59)&amp;"","")&amp;"␟"&amp;IFERROR(INDEX(PASTE_ALL,$DF56,60)&amp;"","")," "," "),CHAR(9)," "),CHAR(10)," "),CHAR(13)," "))," ␟","␟"),"␟ ","␟"),"#"&amp;$DE56),"")</f>
        <v/>
      </c>
      <c r="DJ56">
        <f>IF($DI56="",0,IF(SUMPRODUCT(--EXACT($DI$4:DI55,$DI56))&gt;0,1,0))</f>
        <v/>
      </c>
      <c r="DK56">
        <f>IF(AND($DI56&lt;&gt;"",$DJ56=0),1,0)</f>
        <v/>
      </c>
      <c r="DL56">
        <f>DL55+$DK56</f>
        <v/>
      </c>
      <c r="DM56">
        <f>IF(AND($DK56=1,$DL56&lt;=600),1,0)</f>
        <v/>
      </c>
      <c r="DN56">
        <f>IF($DM56=0,"",IF($L$6=0,"",IFERROR(IF(ISNUMBER(INDEX(PASTE_ALL,$DF56,$L$6)),INDEX(PASTE_ALL,$DF56,$L$6),TRIM(SUBSTITUTE(SUBSTITUTE(SUBSTITUTE(SUBSTITUTE(INDEX(PASTE_ALL,$DF56,$L$6)," "," "),CHAR(9)," "),CHAR(10)," "),CHAR(13)," "))),"")))</f>
        <v/>
      </c>
      <c r="DO56">
        <f>IF($DM56=0,"",IF($L$7=0,"",IFERROR(IF(ISNUMBER(INDEX(PASTE_ALL,$DF56,$L$7)),INDEX(PASTE_ALL,$DF56,$L$7),TRIM(SUBSTITUTE(SUBSTITUTE(SUBSTITUTE(SUBSTITUTE(INDEX(PASTE_ALL,$DF56,$L$7)," "," "),CHAR(9)," "),CHAR(10)," "),CHAR(13)," "))),"")))</f>
        <v/>
      </c>
      <c r="DP56">
        <f>IF($DM56=0,"",IF($L$8=0,"",IFERROR(IF(ISNUMBER(INDEX(PASTE_ALL,$DF56,$L$8)),INDEX(PASTE_ALL,$DF56,$L$8),TRIM(SUBSTITUTE(SUBSTITUTE(SUBSTITUTE(SUBSTITUTE(INDEX(PASTE_ALL,$DF56,$L$8)," "," "),CHAR(9)," "),CHAR(10)," "),CHAR(13)," "))),"")))</f>
        <v/>
      </c>
      <c r="DQ56">
        <f>IF($DM56=0,"",IF($L$9=0,"",IFERROR(IF(ISNUMBER(INDEX(PASTE_ALL,$DF56,$L$9)),INDEX(PASTE_ALL,$DF56,$L$9),TRIM(SUBSTITUTE(SUBSTITUTE(SUBSTITUTE(SUBSTITUTE(INDEX(PASTE_ALL,$DF56,$L$9)," "," "),CHAR(9)," "),CHAR(10)," "),CHAR(13)," "))),"")))</f>
        <v/>
      </c>
      <c r="DR56">
        <f>IF($DM56=0,"",IF($L$10=0,"",IFERROR(IF(ISNUMBER(INDEX(PASTE_ALL,$DF56,$L$10)),INDEX(PASTE_ALL,$DF56,$L$10),TRIM(SUBSTITUTE(SUBSTITUTE(SUBSTITUTE(SUBSTITUTE(INDEX(PASTE_ALL,$DF56,$L$10)," "," "),CHAR(9)," "),CHAR(10)," "),CHAR(13)," "))),"")))</f>
        <v/>
      </c>
      <c r="DS56">
        <f>IF($DM56=0,"",IF($L$11=0,"",IFERROR(IF(ISNUMBER(INDEX(PASTE_ALL,$DF56,$L$11)),INDEX(PASTE_ALL,$DF56,$L$11),TRIM(SUBSTITUTE(SUBSTITUTE(SUBSTITUTE(SUBSTITUTE(INDEX(PASTE_ALL,$DF56,$L$11)," "," "),CHAR(9)," "),CHAR(10)," "),CHAR(13)," "))),"")))</f>
        <v/>
      </c>
      <c r="DT56">
        <f>IF($DM56=0,"",IF($L$12=0,"",IFERROR(IF(ISNUMBER(INDEX(PASTE_ALL,$DF56,$L$12)),INDEX(PASTE_ALL,$DF56,$L$12),TRIM(SUBSTITUTE(SUBSTITUTE(SUBSTITUTE(SUBSTITUTE(INDEX(PASTE_ALL,$DF56,$L$12)," "," "),CHAR(9)," "),CHAR(10)," "),CHAR(13)," "))),"")))</f>
        <v/>
      </c>
      <c r="DU56">
        <f>IF($DM56=0,"",IF($L$13=0,"",IFERROR(IF(ISNUMBER(INDEX(PASTE_ALL,$DF56,$L$13)),INDEX(PASTE_ALL,$DF56,$L$13),TRIM(SUBSTITUTE(SUBSTITUTE(SUBSTITUTE(SUBSTITUTE(INDEX(PASTE_ALL,$DF56,$L$13)," "," "),CHAR(9)," "),CHAR(10)," "),CHAR(13)," "))),"")))</f>
        <v/>
      </c>
      <c r="DV56">
        <f>IF($DM56=0,"",IF($L$14=0,"",IFERROR(IF(ISNUMBER(INDEX(PASTE_ALL,$DF56,$L$14)),INDEX(PASTE_ALL,$DF56,$L$14),TRIM(SUBSTITUTE(SUBSTITUTE(SUBSTITUTE(SUBSTITUTE(INDEX(PASTE_ALL,$DF56,$L$14)," "," "),CHAR(9)," "),CHAR(10)," "),CHAR(13)," "))),"")))</f>
        <v/>
      </c>
      <c r="DW56">
        <f>IF($DM56=0,"",IF($L$15=0,"",IFERROR(IF(ISNUMBER(INDEX(PASTE_ALL,$DF56,$L$15)),INDEX(PASTE_ALL,$DF56,$L$15),IF(SUMPRODUCT(--ISNUMBER(FIND({"A","B","C","D","E","F","G","H","I","J","K","L","M","N","O","P","Q","R","S","T","U","V","W","X","Y","Z","0","1","2","3","4","5","6","7","8","9"},UPPER(TRIM(SUBSTITUTE(SUBSTITUTE(SUBSTITUTE(SUBSTITUTE(INDEX(PASTE_ALL,$DF56,$L$15)," "," "),CHAR(9)," "),CHAR(10)," "),CHAR(13)," "))))))&gt;0,TRIM(SUBSTITUTE(SUBSTITUTE(SUBSTITUTE(SUBSTITUTE(INDEX(PASTE_ALL,$DF56,$L$15)," "," "),CHAR(9)," "),CHAR(10)," "),CHAR(13)," ")),"")),"")))</f>
        <v/>
      </c>
      <c r="DX56">
        <f>IF($DM56=0,"",IF($L$16=0,"",IFERROR(IF(ISNUMBER(INDEX(PASTE_ALL,$DF56,$L$16)),INDEX(PASTE_ALL,$DF56,$L$16),SUBSTITUTE(SUBSTITUTE(TRIM(SUBSTITUTE(SUBSTITUTE(SUBSTITUTE(SUBSTITUTE(INDEX(PASTE_ALL,$DF56,$L$16)," "," "),CHAR(9)," "),CHAR(10)," "),CHAR(13)," ")),",",""),"%","")),"")))</f>
        <v/>
      </c>
      <c r="DY56">
        <f>IF($DM56=0,"",IFERROR(IF(ISNUMBER($DX56),$DX56,IF($DX56="","",IF(TRIM($DX56)="",0,IF(AND(AND(SUBSTITUTE(SUBSTITUTE(SUBSTITUTE(SUBSTITUTE(SUBSTITUTE(SUBSTITUTE(SUBSTITUTE(SUBSTITUTE(SUBSTITUTE(SUBSTITUTE(SUBSTITUTE(SUBSTITUTE(SUBSTITUTE(SUBSTITUTE(UPPER(TRIM($DX56)),"0",""),"1",""),"2",""),"3",""),"4",""),"5",""),"6",""),"7",""),"8",""),"9",""),".",""),"+",""),"-",""),"E","")="",LEN(SUBSTITUTE(SUBSTITUTE(MID(UPPER(TRIM($DX56)),1+OR(LEFT(UPPER(TRIM($DX56)),1)="+",LEFT(UPPER(TRIM($DX56)),1)="-"),999),"E+","E"),"E-","E"))=LEN(SUBSTITUTE(SUBSTITUTE(SUBSTITUTE(SUBSTITUTE(MID(UPPER(TRIM($DX56)),1+OR(LEFT(UPPER(TRIM($DX56)),1)="+",LEFT(UPPER(TRIM($DX56)),1)="-"),999),"E+","E"),"E-","E"),"+",""),"-","")),LEN(UPPER(TRIM($DX56)))-LEN(SUBSTITUTE(UPPER(TRIM($DX56)),"E",""))&lt;2,LEN(UPPER(TRIM($DX56)))-LEN(SUBSTITUTE(UPPER(TRIM($DX56)),".",""))&lt;2,IFERROR(FIND(".",UPPER(TRIM($DX56))),0)&lt;IFERROR(FIND("E",UPPER(TRIM($DX56))),999)),ISNUMBER(VALUE(TRIM($DX56)))),VALUE(TRIM($DX56)),"")))),""))</f>
        <v/>
      </c>
      <c r="DZ56">
        <f>IF($DM56=0,"",IF($L$17=0,"",IFERROR(IF(ISNUMBER(INDEX(PASTE_ALL,$DF56,$L$17)),INDEX(PASTE_ALL,$DF56,$L$17),SUBSTITUTE(SUBSTITUTE(TRIM(SUBSTITUTE(SUBSTITUTE(SUBSTITUTE(SUBSTITUTE(INDEX(PASTE_ALL,$DF56,$L$17)," "," "),CHAR(9)," "),CHAR(10)," "),CHAR(13)," ")),",",""),"%","")),"")))</f>
        <v/>
      </c>
      <c r="EA56">
        <f>IF($DM56=0,"",IFERROR(IF(ISNUMBER($DZ56),$DZ56,IF($DZ56="","",IF(TRIM($DZ56)="",0,IF(AND(AND(SUBSTITUTE(SUBSTITUTE(SUBSTITUTE(SUBSTITUTE(SUBSTITUTE(SUBSTITUTE(SUBSTITUTE(SUBSTITUTE(SUBSTITUTE(SUBSTITUTE(SUBSTITUTE(SUBSTITUTE(SUBSTITUTE(SUBSTITUTE(UPPER(TRIM($DZ56)),"0",""),"1",""),"2",""),"3",""),"4",""),"5",""),"6",""),"7",""),"8",""),"9",""),".",""),"+",""),"-",""),"E","")="",LEN(SUBSTITUTE(SUBSTITUTE(MID(UPPER(TRIM($DZ56)),1+OR(LEFT(UPPER(TRIM($DZ56)),1)="+",LEFT(UPPER(TRIM($DZ56)),1)="-"),999),"E+","E"),"E-","E"))=LEN(SUBSTITUTE(SUBSTITUTE(SUBSTITUTE(SUBSTITUTE(MID(UPPER(TRIM($DZ56)),1+OR(LEFT(UPPER(TRIM($DZ56)),1)="+",LEFT(UPPER(TRIM($DZ56)),1)="-"),999),"E+","E"),"E-","E"),"+",""),"-","")),LEN(UPPER(TRIM($DZ56)))-LEN(SUBSTITUTE(UPPER(TRIM($DZ56)),"E",""))&lt;2,LEN(UPPER(TRIM($DZ56)))-LEN(SUBSTITUTE(UPPER(TRIM($DZ56)),".",""))&lt;2,IFERROR(FIND(".",UPPER(TRIM($DZ56))),0)&lt;IFERROR(FIND("E",UPPER(TRIM($DZ56))),999)),ISNUMBER(VALUE(TRIM($DZ56)))),VALUE(TRIM($DZ56)),"")))),""))</f>
        <v/>
      </c>
      <c r="EB56">
        <f>IF($DM56=0,"",IF($L$18=0,"",IFERROR(IF(UPPER(TRIM(SUBSTITUTE(SUBSTITUTE(SUBSTITUTE(SUBSTITUTE(INDEX(PASTE_ALL,$DF56,$L$18)," "," "),CHAR(9)," "),CHAR(10)," "),CHAR(13)," ")))="READY","Ready",IF(UPPER(TRIM(SUBSTITUTE(SUBSTITUTE(SUBSTITUTE(SUBSTITUTE(INDEX(PASTE_ALL,$DF56,$L$18)," "," "),CHAR(9)," "),CHAR(10)," "),CHAR(13)," ")))="PM","PM",IF(OR(UPPER(TRIM(SUBSTITUTE(SUBSTITUTE(SUBSTITUTE(SUBSTITUTE(INDEX(PASTE_ALL,$DF56,$L$18)," "," "),CHAR(9)," "),CHAR(10)," "),CHAR(13)," ")))="OT",UPPER(TRIM(SUBSTITUTE(SUBSTITUTE(SUBSTITUTE(SUBSTITUTE(INDEX(PASTE_ALL,$DF56,$L$18)," "," "),CHAR(9)," "),CHAR(10)," "),CHAR(13)," ")))="OVERTIME",UPPER(TRIM(SUBSTITUTE(SUBSTITUTE(SUBSTITUTE(SUBSTITUTE(INDEX(PASTE_ALL,$DF56,$L$18)," "," "),CHAR(9)," "),CHAR(10)," "),CHAR(13)," ")))="TRIAL"),"OT",TRIM(SUBSTITUTE(SUBSTITUTE(SUBSTITUTE(SUBSTITUTE(INDEX(PASTE_ALL,$DF56,$L$18)," "," "),CHAR(9)," "),CHAR(10)," "),CHAR(13)," "))))),"")))</f>
        <v/>
      </c>
      <c r="EC56">
        <f>IF($DM56=0,"",IF($L$19=0,"",IFERROR(IF(ISNUMBER(INDEX(PASTE_ALL,$DF56,$L$19)),INDEX(PASTE_ALL,$DF56,$L$19),TRIM(SUBSTITUTE(SUBSTITUTE(SUBSTITUTE(SUBSTITUTE(INDEX(PASTE_ALL,$DF56,$L$19)," "," "),CHAR(9)," "),CHAR(10)," "),CHAR(13)," "))),"")))</f>
        <v/>
      </c>
      <c r="ED56">
        <f>IF($DM56=0,"",MATCH(1,INDEX(EXACT($DH$5:DH56,$DH56)*$DM$5:DM56,0),0))</f>
        <v/>
      </c>
      <c r="EE56">
        <f>IF($DM56=0,0,IF($ED56=$DE56,1,0))</f>
        <v/>
      </c>
      <c r="EF56">
        <f>EF55+$EE56</f>
        <v/>
      </c>
      <c r="EG56">
        <f>IF($DM56=0,"",INDEX($EF$5:$EF$1003,$ED56))</f>
        <v/>
      </c>
      <c r="EH56">
        <f>IF($DM56=0,"",IF($DO56&lt;&gt;"","",IFERROR(LOOKUP(2,1/(($EG$4:EG55=$EG56)*($DO$4:DO55&lt;&gt;"")),$DO$4:DO55),"")))</f>
        <v/>
      </c>
      <c r="EI56">
        <f>IF($DM56=0,"",IF($DO56&lt;&gt;"",$DO56,$EH56))</f>
        <v/>
      </c>
      <c r="EJ56">
        <f>IF($DM56=0,"",IF($EI56="",0,IF(OR(ISNUMBER($EI56),AND(AND(SUBSTITUTE(SUBSTITUTE(SUBSTITUTE(SUBSTITUTE(SUBSTITUTE(SUBSTITUTE(SUBSTITUTE(SUBSTITUTE(SUBSTITUTE(SUBSTITUTE(SUBSTITUTE(SUBSTITUTE(SUBSTITUTE(SUBSTITUTE(UPPER($EI56),"0",""),"1",""),"2",""),"3",""),"4",""),"5",""),"6",""),"7",""),"8",""),"9",""),".",""),"+",""),"-",""),"E","")="",LEN(SUBSTITUTE(SUBSTITUTE(MID(UPPER($EI56),1+OR(LEFT(UPPER($EI56),1)="+",LEFT(UPPER($EI56),1)="-"),999),"E+","E"),"E-","E"))=LEN(SUBSTITUTE(SUBSTITUTE(SUBSTITUTE(SUBSTITUTE(MID(UPPER($EI56),1+OR(LEFT(UPPER($EI56),1)="+",LEFT(UPPER($EI56),1)="-"),999),"E+","E"),"E-","E"),"+",""),"-","")),LEN(UPPER($EI56))-LEN(SUBSTITUTE(UPPER($EI56),"E",""))&lt;2,LEN(UPPER($EI56))-LEN(SUBSTITUTE(UPPER($EI56),".",""))&lt;2,IFERROR(FIND(".",UPPER($EI56)),0)&lt;IFERROR(FIND("E",UPPER($EI56)),999)),ISNUMBER(VALUE($EI56)))),1,2)))</f>
        <v/>
      </c>
      <c r="EK56">
        <f>IF($DM56=0,"",IF($EJ56=1,IF(ISNUMBER($EI56),$EI56,VALUE($EI56)),IF($EJ56=2,$DE56,0)))</f>
        <v/>
      </c>
      <c r="EL56">
        <f>IF($DM56=0,"",COUNTIF($EG$5:$EG$1003,"&lt;"&amp;$EG56)+SUMPRODUCT(($EG$5:$EG$1003=$EG56)*(($EJ$5:$EJ$1003&lt;$EJ56)+($EJ$5:$EJ$1003=$EJ56)*(($EK$5:$EK$1003&lt;$EK56)+($EK$5:$EK$1003=$EK56)*($DE$5:$DE$1003&lt;$DE56))))+1)</f>
        <v/>
      </c>
      <c r="EM56">
        <f>IF($DM56=0,"",$EL56+$EG56-1)</f>
        <v/>
      </c>
      <c r="EN56">
        <f>IF($DM56=0,0,IFERROR(MATCH(1,INDEX(--(TRIM(SUBSTITUTE(SUBSTITUTE(SUBSTITUTE(SUBSTITUTE(LINES_NAME&amp;""," "," "),CHAR(9)," "),CHAR(10)," "),CHAR(13)," "))=$DH56),0),0),0))</f>
        <v/>
      </c>
      <c r="EO56">
        <f>IF($EN56=0,0,IF(OR(UPPER(TRIM(INDEX(LINES_SCHEDULED,$EN56)&amp;""))="YES",UPPER(TRIM(INDEX(LINES_SCHEDULED,$EN56)&amp;""))="Y",UPPER(TRIM(INDEX(LINES_SCHEDULED,$EN56)&amp;""))="X"),1,0))</f>
        <v/>
      </c>
      <c r="EP56">
        <f>IF($DM56=0,"",IF(COUNTIFS($EG$5:$EG$1003,$EG56,$EB$5:$EB$1003,"Ready")&gt;0,"READY",IF(COUNTIFS($EG$5:$EG$1003,$EG56,$EB$5:$EB$1003,"PM")&gt;0,"PM",IF(COUNTIFS($EG$5:$EG$1003,$EG56,$EB$5:$EB$1003,"OT")&gt;0,"OT",""))))</f>
        <v/>
      </c>
      <c r="EQ56">
        <f>IF($EN56=0,"",UPPER(TRIM(INDEX(LINES_STATUS,$EN56)&amp;"")))</f>
        <v/>
      </c>
      <c r="ER56">
        <f>IF($DM56=0,"",IF(OR($EQ56="READY",$EQ56="PM",$EQ56="OT"),$EQ56,$EP56))</f>
        <v/>
      </c>
      <c r="ES56">
        <f>IF($DM56=0,"",IF(AND($DV56&lt;&gt;"",UPPER($DV56)&lt;&gt;"N"),"allergen",IF(ISNUMBER(SEARCH("oil",$DQ56)),"oil",IF(OR(EXACT($DS56,"A662"),EXACT($DS56,"A624")),"bulk",""))))</f>
        <v/>
      </c>
      <c r="ET56">
        <f>IF($DM56=0,"",IF(OR($EA56="",$EA56=0),"",$EA56/100))</f>
        <v/>
      </c>
      <c r="EU56">
        <f>IF(OR($ET56="",$DY56=""),"",INT($DY56*(1-$ET56)+0.5))</f>
        <v/>
      </c>
      <c r="EW56" t="n">
        <v>52</v>
      </c>
      <c r="EX56">
        <f>IFERROR(MATCH($EW56,$EM$5:$EM$1003,0),0)</f>
        <v/>
      </c>
      <c r="EY56">
        <f>IF($EW56&gt;$B$12,"",IF($EX56&gt;0,"row","spacer"))</f>
        <v/>
      </c>
      <c r="EZ56">
        <f>IF(AND($EY56="row",$EY55&lt;&gt;"row"),1,0)</f>
        <v/>
      </c>
      <c r="FA56">
        <f>IF(AND($EY56="row",$EY57&lt;&gt;"row"),1,0)</f>
        <v/>
      </c>
      <c r="FB56">
        <f>IF($EZ56=1,IFERROR(IF(ISNUMBER(INDEX(PASTE_ALL,INDEX($DF$5:$DF$1003,$EX56),$B$37)),INDEX(PASTE_ALL,INDEX($DF$5:$DF$1003,$EX56),$B$37),INDEX($DH$5:$DH$1003,$EX56)),INDEX($DH$5:$DH$1003,$EX56)),"")</f>
        <v/>
      </c>
      <c r="FC56">
        <f>IF($EY56="row",INDEX($ER$5:$ER$1003,$EX56),"")</f>
        <v/>
      </c>
      <c r="FD56">
        <f>IF($EY56="row",INDEX($DN$5:$DN$1003,$EX56),"")</f>
        <v/>
      </c>
      <c r="FE56">
        <f>IF($EY56="row",INDEX($DO$5:$DO$1003,$EX56),"")</f>
        <v/>
      </c>
      <c r="FF56">
        <f>IF($EY56="row",INDEX($DP$5:$DP$1003,$EX56),"")</f>
        <v/>
      </c>
      <c r="FG56">
        <f>IF($EY56="row",INDEX($DQ$5:$DQ$1003,$EX56),"")</f>
        <v/>
      </c>
      <c r="FH56">
        <f>IF($EY56="row",INDEX($DR$5:$DR$1003,$EX56),"")</f>
        <v/>
      </c>
      <c r="FI56">
        <f>IF($EY56="row",INDEX($DS$5:$DS$1003,$EX56),"")</f>
        <v/>
      </c>
      <c r="FJ56">
        <f>IF($EY56="row",INDEX($DT$5:$DT$1003,$EX56),"")</f>
        <v/>
      </c>
      <c r="FK56">
        <f>IF($EY56="row",INDEX($DU$5:$DU$1003,$EX56),"")</f>
        <v/>
      </c>
      <c r="FL56">
        <f>IF($EY56="row",INDEX($DV$5:$DV$1003,$EX56),"")</f>
        <v/>
      </c>
      <c r="FM56">
        <f>IF($EY56="row",INDEX($DW$5:$DW$1003,$EX56),"")</f>
        <v/>
      </c>
      <c r="FN56">
        <f>IF($EY56="row",INDEX($DY$5:$DY$1003,$EX56),"")</f>
        <v/>
      </c>
      <c r="FO56">
        <f>IF($EY56="row",INDEX($EA$5:$EA$1003,$EX56),"")</f>
        <v/>
      </c>
      <c r="FP56">
        <f>IF($EY56="row",INDEX($EC$5:$EC$1003,$EX56),"")</f>
        <v/>
      </c>
      <c r="FQ56">
        <f>IF($EY56="row",INDEX($ET$5:$ET$1003,$EX56),"")</f>
        <v/>
      </c>
      <c r="FR56">
        <f>IF($EY56="row",INDEX($EU$5:$EU$1003,$EX56),"")</f>
        <v/>
      </c>
      <c r="FS56">
        <f>IF(AND($EY56="row",$EY55="row"),IF(OR(INDEX($DT$5:$DT$1003,$EX55)="",INDEX($DT$5:$DT$1003,$EX56)=""),"",IF(NOT(EXACT(INDEX($DT$5:$DT$1003,$EX55),INDEX($DT$5:$DT$1003,$EX56))),"S4",IF(NOT(EXACT(INDEX($DS$5:$DS$1003,$EX55),INDEX($DS$5:$DS$1003,$EX56))),"S3",IF(NOT(EXACT(INDEX($DR$5:$DR$1003,$EX55),INDEX($DR$5:$DR$1003,$EX56))),"S1 Count Change","S1")))),"")</f>
        <v/>
      </c>
      <c r="FT56">
        <f>IF($EY56="row",INDEX($ES$5:$ES$1003,$EX56),"")</f>
        <v/>
      </c>
      <c r="FU56">
        <f>IF($EY56="row",INDEX($EO$5:$EO$1003,$EX56),0)</f>
        <v/>
      </c>
      <c r="FV56">
        <f>IF($FS56="S1 Count Change",1,0)</f>
        <v/>
      </c>
      <c r="FX56" t="n">
        <v>52</v>
      </c>
      <c r="FY56">
        <f>IFERROR(MATCH($FX56,$EF$5:$EF$1003,0),0)</f>
        <v/>
      </c>
      <c r="FZ56">
        <f>IF($FY56=0,"",INDEX($DH$5:$DH$1003,$FY56))</f>
        <v/>
      </c>
      <c r="GA56">
        <f>IF($FY56=0,"",COUNTIF($EG$5:$EG$1003,$FX56))</f>
        <v/>
      </c>
      <c r="GB56">
        <f>IF($FY56=0,"",INDEX($ER$5:$ER$1003,$FY56))</f>
        <v/>
      </c>
      <c r="GC56">
        <f>IF($FY56=0,"",IF(INDEX($EO$5:$EO$1003,$FY56)=1,"Yes",""))</f>
        <v/>
      </c>
      <c r="GD56">
        <f>IF($FY56=0,"",IF(INDEX($EN$5:$EN$1003,$FY56)&gt;0,"","NOT IN YOUR LIST - type it in column A to tick it"))</f>
        <v/>
      </c>
      <c r="GE56">
        <f>IF(AND($FY56&gt;0,$GD56&lt;&gt;""),1,0)</f>
        <v/>
      </c>
      <c r="GF56">
        <f>GF55+$GE56</f>
        <v/>
      </c>
      <c r="GG56">
        <f>IFERROR(INDEX($FZ$5:$FZ$104,MATCH($FX56,$GF$5:$GF$104,0)),"")</f>
        <v/>
      </c>
    </row>
    <row r="57">
      <c r="S57" t="n">
        <v>53</v>
      </c>
      <c r="T57" t="inlineStr">
        <is>
          <t>BA</t>
        </is>
      </c>
      <c r="V57" t="inlineStr">
        <is>
          <t>CAPDESCRIPTION</t>
        </is>
      </c>
      <c r="W57" t="n">
        <v>9</v>
      </c>
      <c r="Y57">
        <f>IFERROR(IF(ISNUMBER(INDEX(PASTE_ALL,8,1)),2,IF(TRIM(INDEX(PASTE_ALL,8,1))="",0,IF(AND(LEFT(MID(TRIM(INDEX(PASTE_ALL,8,1)),1+(LEFT(TRIM(INDEX(PASTE_ALL,8,1)),1)="-"),999),LEN(MID(TRIM(INDEX(PASTE_ALL,8,1)),1+(LEFT(TRIM(INDEX(PASTE_ALL,8,1)),1)="-"),999))-(RIGHT(MID(TRIM(INDEX(PASTE_ALL,8,1)),1+(LEFT(TRIM(INDEX(PASTE_ALL,8,1)),1)="-"),999),1)="%"))&lt;&gt;"",SUBSTITUTE(SUBSTITUTE(SUBSTITUTE(SUBSTITUTE(SUBSTITUTE(SUBSTITUTE(SUBSTITUTE(SUBSTITUTE(SUBSTITUTE(SUBSTITUTE(SUBSTITUTE(SUBSTITUTE(LEFT(MID(TRIM(INDEX(PASTE_ALL,8,1)),1+(LEFT(TRIM(INDEX(PASTE_ALL,8,1)),1)="-"),999),LEN(MID(TRIM(INDEX(PASTE_ALL,8,1)),1+(LEFT(TRIM(INDEX(PASTE_ALL,8,1)),1)="-"),999))-(RIGHT(MID(TRIM(INDEX(PASTE_ALL,8,1)),1+(LEFT(TRIM(INDEX(PASTE_ALL,8,1)),1)="-"),999),1)="%")),"0",""),"1",""),"2",""),"3",""),"4",""),"5",""),"6",""),"7",""),"8",""),"9",""),".",""),",","")=""),2,1))),1)</f>
        <v/>
      </c>
      <c r="Z57">
        <f>IFERROR(IF(ISNUMBER(INDEX(PASTE_ALL,8,2)),2,IF(TRIM(INDEX(PASTE_ALL,8,2))="",0,IF(AND(LEFT(MID(TRIM(INDEX(PASTE_ALL,8,2)),1+(LEFT(TRIM(INDEX(PASTE_ALL,8,2)),1)="-"),999),LEN(MID(TRIM(INDEX(PASTE_ALL,8,2)),1+(LEFT(TRIM(INDEX(PASTE_ALL,8,2)),1)="-"),999))-(RIGHT(MID(TRIM(INDEX(PASTE_ALL,8,2)),1+(LEFT(TRIM(INDEX(PASTE_ALL,8,2)),1)="-"),999),1)="%"))&lt;&gt;"",SUBSTITUTE(SUBSTITUTE(SUBSTITUTE(SUBSTITUTE(SUBSTITUTE(SUBSTITUTE(SUBSTITUTE(SUBSTITUTE(SUBSTITUTE(SUBSTITUTE(SUBSTITUTE(SUBSTITUTE(LEFT(MID(TRIM(INDEX(PASTE_ALL,8,2)),1+(LEFT(TRIM(INDEX(PASTE_ALL,8,2)),1)="-"),999),LEN(MID(TRIM(INDEX(PASTE_ALL,8,2)),1+(LEFT(TRIM(INDEX(PASTE_ALL,8,2)),1)="-"),999))-(RIGHT(MID(TRIM(INDEX(PASTE_ALL,8,2)),1+(LEFT(TRIM(INDEX(PASTE_ALL,8,2)),1)="-"),999),1)="%")),"0",""),"1",""),"2",""),"3",""),"4",""),"5",""),"6",""),"7",""),"8",""),"9",""),".",""),",","")=""),2,1))),1)</f>
        <v/>
      </c>
      <c r="AA57">
        <f>IFERROR(IF(ISNUMBER(INDEX(PASTE_ALL,8,3)),2,IF(TRIM(INDEX(PASTE_ALL,8,3))="",0,IF(AND(LEFT(MID(TRIM(INDEX(PASTE_ALL,8,3)),1+(LEFT(TRIM(INDEX(PASTE_ALL,8,3)),1)="-"),999),LEN(MID(TRIM(INDEX(PASTE_ALL,8,3)),1+(LEFT(TRIM(INDEX(PASTE_ALL,8,3)),1)="-"),999))-(RIGHT(MID(TRIM(INDEX(PASTE_ALL,8,3)),1+(LEFT(TRIM(INDEX(PASTE_ALL,8,3)),1)="-"),999),1)="%"))&lt;&gt;"",SUBSTITUTE(SUBSTITUTE(SUBSTITUTE(SUBSTITUTE(SUBSTITUTE(SUBSTITUTE(SUBSTITUTE(SUBSTITUTE(SUBSTITUTE(SUBSTITUTE(SUBSTITUTE(SUBSTITUTE(LEFT(MID(TRIM(INDEX(PASTE_ALL,8,3)),1+(LEFT(TRIM(INDEX(PASTE_ALL,8,3)),1)="-"),999),LEN(MID(TRIM(INDEX(PASTE_ALL,8,3)),1+(LEFT(TRIM(INDEX(PASTE_ALL,8,3)),1)="-"),999))-(RIGHT(MID(TRIM(INDEX(PASTE_ALL,8,3)),1+(LEFT(TRIM(INDEX(PASTE_ALL,8,3)),1)="-"),999),1)="%")),"0",""),"1",""),"2",""),"3",""),"4",""),"5",""),"6",""),"7",""),"8",""),"9",""),".",""),",","")=""),2,1))),1)</f>
        <v/>
      </c>
      <c r="AB57">
        <f>IFERROR(IF(ISNUMBER(INDEX(PASTE_ALL,8,4)),2,IF(TRIM(INDEX(PASTE_ALL,8,4))="",0,IF(AND(LEFT(MID(TRIM(INDEX(PASTE_ALL,8,4)),1+(LEFT(TRIM(INDEX(PASTE_ALL,8,4)),1)="-"),999),LEN(MID(TRIM(INDEX(PASTE_ALL,8,4)),1+(LEFT(TRIM(INDEX(PASTE_ALL,8,4)),1)="-"),999))-(RIGHT(MID(TRIM(INDEX(PASTE_ALL,8,4)),1+(LEFT(TRIM(INDEX(PASTE_ALL,8,4)),1)="-"),999),1)="%"))&lt;&gt;"",SUBSTITUTE(SUBSTITUTE(SUBSTITUTE(SUBSTITUTE(SUBSTITUTE(SUBSTITUTE(SUBSTITUTE(SUBSTITUTE(SUBSTITUTE(SUBSTITUTE(SUBSTITUTE(SUBSTITUTE(LEFT(MID(TRIM(INDEX(PASTE_ALL,8,4)),1+(LEFT(TRIM(INDEX(PASTE_ALL,8,4)),1)="-"),999),LEN(MID(TRIM(INDEX(PASTE_ALL,8,4)),1+(LEFT(TRIM(INDEX(PASTE_ALL,8,4)),1)="-"),999))-(RIGHT(MID(TRIM(INDEX(PASTE_ALL,8,4)),1+(LEFT(TRIM(INDEX(PASTE_ALL,8,4)),1)="-"),999),1)="%")),"0",""),"1",""),"2",""),"3",""),"4",""),"5",""),"6",""),"7",""),"8",""),"9",""),".",""),",","")=""),2,1))),1)</f>
        <v/>
      </c>
      <c r="AC57">
        <f>IFERROR(IF(ISNUMBER(INDEX(PASTE_ALL,8,5)),2,IF(TRIM(INDEX(PASTE_ALL,8,5))="",0,IF(AND(LEFT(MID(TRIM(INDEX(PASTE_ALL,8,5)),1+(LEFT(TRIM(INDEX(PASTE_ALL,8,5)),1)="-"),999),LEN(MID(TRIM(INDEX(PASTE_ALL,8,5)),1+(LEFT(TRIM(INDEX(PASTE_ALL,8,5)),1)="-"),999))-(RIGHT(MID(TRIM(INDEX(PASTE_ALL,8,5)),1+(LEFT(TRIM(INDEX(PASTE_ALL,8,5)),1)="-"),999),1)="%"))&lt;&gt;"",SUBSTITUTE(SUBSTITUTE(SUBSTITUTE(SUBSTITUTE(SUBSTITUTE(SUBSTITUTE(SUBSTITUTE(SUBSTITUTE(SUBSTITUTE(SUBSTITUTE(SUBSTITUTE(SUBSTITUTE(LEFT(MID(TRIM(INDEX(PASTE_ALL,8,5)),1+(LEFT(TRIM(INDEX(PASTE_ALL,8,5)),1)="-"),999),LEN(MID(TRIM(INDEX(PASTE_ALL,8,5)),1+(LEFT(TRIM(INDEX(PASTE_ALL,8,5)),1)="-"),999))-(RIGHT(MID(TRIM(INDEX(PASTE_ALL,8,5)),1+(LEFT(TRIM(INDEX(PASTE_ALL,8,5)),1)="-"),999),1)="%")),"0",""),"1",""),"2",""),"3",""),"4",""),"5",""),"6",""),"7",""),"8",""),"9",""),".",""),",","")=""),2,1))),1)</f>
        <v/>
      </c>
      <c r="AD57">
        <f>IFERROR(IF(ISNUMBER(INDEX(PASTE_ALL,8,6)),2,IF(TRIM(INDEX(PASTE_ALL,8,6))="",0,IF(AND(LEFT(MID(TRIM(INDEX(PASTE_ALL,8,6)),1+(LEFT(TRIM(INDEX(PASTE_ALL,8,6)),1)="-"),999),LEN(MID(TRIM(INDEX(PASTE_ALL,8,6)),1+(LEFT(TRIM(INDEX(PASTE_ALL,8,6)),1)="-"),999))-(RIGHT(MID(TRIM(INDEX(PASTE_ALL,8,6)),1+(LEFT(TRIM(INDEX(PASTE_ALL,8,6)),1)="-"),999),1)="%"))&lt;&gt;"",SUBSTITUTE(SUBSTITUTE(SUBSTITUTE(SUBSTITUTE(SUBSTITUTE(SUBSTITUTE(SUBSTITUTE(SUBSTITUTE(SUBSTITUTE(SUBSTITUTE(SUBSTITUTE(SUBSTITUTE(LEFT(MID(TRIM(INDEX(PASTE_ALL,8,6)),1+(LEFT(TRIM(INDEX(PASTE_ALL,8,6)),1)="-"),999),LEN(MID(TRIM(INDEX(PASTE_ALL,8,6)),1+(LEFT(TRIM(INDEX(PASTE_ALL,8,6)),1)="-"),999))-(RIGHT(MID(TRIM(INDEX(PASTE_ALL,8,6)),1+(LEFT(TRIM(INDEX(PASTE_ALL,8,6)),1)="-"),999),1)="%")),"0",""),"1",""),"2",""),"3",""),"4",""),"5",""),"6",""),"7",""),"8",""),"9",""),".",""),",","")=""),2,1))),1)</f>
        <v/>
      </c>
      <c r="AE57">
        <f>IFERROR(IF(ISNUMBER(INDEX(PASTE_ALL,8,7)),2,IF(TRIM(INDEX(PASTE_ALL,8,7))="",0,IF(AND(LEFT(MID(TRIM(INDEX(PASTE_ALL,8,7)),1+(LEFT(TRIM(INDEX(PASTE_ALL,8,7)),1)="-"),999),LEN(MID(TRIM(INDEX(PASTE_ALL,8,7)),1+(LEFT(TRIM(INDEX(PASTE_ALL,8,7)),1)="-"),999))-(RIGHT(MID(TRIM(INDEX(PASTE_ALL,8,7)),1+(LEFT(TRIM(INDEX(PASTE_ALL,8,7)),1)="-"),999),1)="%"))&lt;&gt;"",SUBSTITUTE(SUBSTITUTE(SUBSTITUTE(SUBSTITUTE(SUBSTITUTE(SUBSTITUTE(SUBSTITUTE(SUBSTITUTE(SUBSTITUTE(SUBSTITUTE(SUBSTITUTE(SUBSTITUTE(LEFT(MID(TRIM(INDEX(PASTE_ALL,8,7)),1+(LEFT(TRIM(INDEX(PASTE_ALL,8,7)),1)="-"),999),LEN(MID(TRIM(INDEX(PASTE_ALL,8,7)),1+(LEFT(TRIM(INDEX(PASTE_ALL,8,7)),1)="-"),999))-(RIGHT(MID(TRIM(INDEX(PASTE_ALL,8,7)),1+(LEFT(TRIM(INDEX(PASTE_ALL,8,7)),1)="-"),999),1)="%")),"0",""),"1",""),"2",""),"3",""),"4",""),"5",""),"6",""),"7",""),"8",""),"9",""),".",""),",","")=""),2,1))),1)</f>
        <v/>
      </c>
      <c r="AF57">
        <f>IFERROR(IF(ISNUMBER(INDEX(PASTE_ALL,8,8)),2,IF(TRIM(INDEX(PASTE_ALL,8,8))="",0,IF(AND(LEFT(MID(TRIM(INDEX(PASTE_ALL,8,8)),1+(LEFT(TRIM(INDEX(PASTE_ALL,8,8)),1)="-"),999),LEN(MID(TRIM(INDEX(PASTE_ALL,8,8)),1+(LEFT(TRIM(INDEX(PASTE_ALL,8,8)),1)="-"),999))-(RIGHT(MID(TRIM(INDEX(PASTE_ALL,8,8)),1+(LEFT(TRIM(INDEX(PASTE_ALL,8,8)),1)="-"),999),1)="%"))&lt;&gt;"",SUBSTITUTE(SUBSTITUTE(SUBSTITUTE(SUBSTITUTE(SUBSTITUTE(SUBSTITUTE(SUBSTITUTE(SUBSTITUTE(SUBSTITUTE(SUBSTITUTE(SUBSTITUTE(SUBSTITUTE(LEFT(MID(TRIM(INDEX(PASTE_ALL,8,8)),1+(LEFT(TRIM(INDEX(PASTE_ALL,8,8)),1)="-"),999),LEN(MID(TRIM(INDEX(PASTE_ALL,8,8)),1+(LEFT(TRIM(INDEX(PASTE_ALL,8,8)),1)="-"),999))-(RIGHT(MID(TRIM(INDEX(PASTE_ALL,8,8)),1+(LEFT(TRIM(INDEX(PASTE_ALL,8,8)),1)="-"),999),1)="%")),"0",""),"1",""),"2",""),"3",""),"4",""),"5",""),"6",""),"7",""),"8",""),"9",""),".",""),",","")=""),2,1))),1)</f>
        <v/>
      </c>
      <c r="AG57">
        <f>IFERROR(IF(ISNUMBER(INDEX(PASTE_ALL,8,9)),2,IF(TRIM(INDEX(PASTE_ALL,8,9))="",0,IF(AND(LEFT(MID(TRIM(INDEX(PASTE_ALL,8,9)),1+(LEFT(TRIM(INDEX(PASTE_ALL,8,9)),1)="-"),999),LEN(MID(TRIM(INDEX(PASTE_ALL,8,9)),1+(LEFT(TRIM(INDEX(PASTE_ALL,8,9)),1)="-"),999))-(RIGHT(MID(TRIM(INDEX(PASTE_ALL,8,9)),1+(LEFT(TRIM(INDEX(PASTE_ALL,8,9)),1)="-"),999),1)="%"))&lt;&gt;"",SUBSTITUTE(SUBSTITUTE(SUBSTITUTE(SUBSTITUTE(SUBSTITUTE(SUBSTITUTE(SUBSTITUTE(SUBSTITUTE(SUBSTITUTE(SUBSTITUTE(SUBSTITUTE(SUBSTITUTE(LEFT(MID(TRIM(INDEX(PASTE_ALL,8,9)),1+(LEFT(TRIM(INDEX(PASTE_ALL,8,9)),1)="-"),999),LEN(MID(TRIM(INDEX(PASTE_ALL,8,9)),1+(LEFT(TRIM(INDEX(PASTE_ALL,8,9)),1)="-"),999))-(RIGHT(MID(TRIM(INDEX(PASTE_ALL,8,9)),1+(LEFT(TRIM(INDEX(PASTE_ALL,8,9)),1)="-"),999),1)="%")),"0",""),"1",""),"2",""),"3",""),"4",""),"5",""),"6",""),"7",""),"8",""),"9",""),".",""),",","")=""),2,1))),1)</f>
        <v/>
      </c>
      <c r="AH57">
        <f>IFERROR(IF(ISNUMBER(INDEX(PASTE_ALL,8,10)),2,IF(TRIM(INDEX(PASTE_ALL,8,10))="",0,IF(AND(LEFT(MID(TRIM(INDEX(PASTE_ALL,8,10)),1+(LEFT(TRIM(INDEX(PASTE_ALL,8,10)),1)="-"),999),LEN(MID(TRIM(INDEX(PASTE_ALL,8,10)),1+(LEFT(TRIM(INDEX(PASTE_ALL,8,10)),1)="-"),999))-(RIGHT(MID(TRIM(INDEX(PASTE_ALL,8,10)),1+(LEFT(TRIM(INDEX(PASTE_ALL,8,10)),1)="-"),999),1)="%"))&lt;&gt;"",SUBSTITUTE(SUBSTITUTE(SUBSTITUTE(SUBSTITUTE(SUBSTITUTE(SUBSTITUTE(SUBSTITUTE(SUBSTITUTE(SUBSTITUTE(SUBSTITUTE(SUBSTITUTE(SUBSTITUTE(LEFT(MID(TRIM(INDEX(PASTE_ALL,8,10)),1+(LEFT(TRIM(INDEX(PASTE_ALL,8,10)),1)="-"),999),LEN(MID(TRIM(INDEX(PASTE_ALL,8,10)),1+(LEFT(TRIM(INDEX(PASTE_ALL,8,10)),1)="-"),999))-(RIGHT(MID(TRIM(INDEX(PASTE_ALL,8,10)),1+(LEFT(TRIM(INDEX(PASTE_ALL,8,10)),1)="-"),999),1)="%")),"0",""),"1",""),"2",""),"3",""),"4",""),"5",""),"6",""),"7",""),"8",""),"9",""),".",""),",","")=""),2,1))),1)</f>
        <v/>
      </c>
      <c r="AI57">
        <f>IFERROR(IF(ISNUMBER(INDEX(PASTE_ALL,8,11)),2,IF(TRIM(INDEX(PASTE_ALL,8,11))="",0,IF(AND(LEFT(MID(TRIM(INDEX(PASTE_ALL,8,11)),1+(LEFT(TRIM(INDEX(PASTE_ALL,8,11)),1)="-"),999),LEN(MID(TRIM(INDEX(PASTE_ALL,8,11)),1+(LEFT(TRIM(INDEX(PASTE_ALL,8,11)),1)="-"),999))-(RIGHT(MID(TRIM(INDEX(PASTE_ALL,8,11)),1+(LEFT(TRIM(INDEX(PASTE_ALL,8,11)),1)="-"),999),1)="%"))&lt;&gt;"",SUBSTITUTE(SUBSTITUTE(SUBSTITUTE(SUBSTITUTE(SUBSTITUTE(SUBSTITUTE(SUBSTITUTE(SUBSTITUTE(SUBSTITUTE(SUBSTITUTE(SUBSTITUTE(SUBSTITUTE(LEFT(MID(TRIM(INDEX(PASTE_ALL,8,11)),1+(LEFT(TRIM(INDEX(PASTE_ALL,8,11)),1)="-"),999),LEN(MID(TRIM(INDEX(PASTE_ALL,8,11)),1+(LEFT(TRIM(INDEX(PASTE_ALL,8,11)),1)="-"),999))-(RIGHT(MID(TRIM(INDEX(PASTE_ALL,8,11)),1+(LEFT(TRIM(INDEX(PASTE_ALL,8,11)),1)="-"),999),1)="%")),"0",""),"1",""),"2",""),"3",""),"4",""),"5",""),"6",""),"7",""),"8",""),"9",""),".",""),",","")=""),2,1))),1)</f>
        <v/>
      </c>
      <c r="AJ57">
        <f>IFERROR(IF(ISNUMBER(INDEX(PASTE_ALL,8,12)),2,IF(TRIM(INDEX(PASTE_ALL,8,12))="",0,IF(AND(LEFT(MID(TRIM(INDEX(PASTE_ALL,8,12)),1+(LEFT(TRIM(INDEX(PASTE_ALL,8,12)),1)="-"),999),LEN(MID(TRIM(INDEX(PASTE_ALL,8,12)),1+(LEFT(TRIM(INDEX(PASTE_ALL,8,12)),1)="-"),999))-(RIGHT(MID(TRIM(INDEX(PASTE_ALL,8,12)),1+(LEFT(TRIM(INDEX(PASTE_ALL,8,12)),1)="-"),999),1)="%"))&lt;&gt;"",SUBSTITUTE(SUBSTITUTE(SUBSTITUTE(SUBSTITUTE(SUBSTITUTE(SUBSTITUTE(SUBSTITUTE(SUBSTITUTE(SUBSTITUTE(SUBSTITUTE(SUBSTITUTE(SUBSTITUTE(LEFT(MID(TRIM(INDEX(PASTE_ALL,8,12)),1+(LEFT(TRIM(INDEX(PASTE_ALL,8,12)),1)="-"),999),LEN(MID(TRIM(INDEX(PASTE_ALL,8,12)),1+(LEFT(TRIM(INDEX(PASTE_ALL,8,12)),1)="-"),999))-(RIGHT(MID(TRIM(INDEX(PASTE_ALL,8,12)),1+(LEFT(TRIM(INDEX(PASTE_ALL,8,12)),1)="-"),999),1)="%")),"0",""),"1",""),"2",""),"3",""),"4",""),"5",""),"6",""),"7",""),"8",""),"9",""),".",""),",","")=""),2,1))),1)</f>
        <v/>
      </c>
      <c r="AK57">
        <f>IFERROR(IF(ISNUMBER(INDEX(PASTE_ALL,8,13)),2,IF(TRIM(INDEX(PASTE_ALL,8,13))="",0,IF(AND(LEFT(MID(TRIM(INDEX(PASTE_ALL,8,13)),1+(LEFT(TRIM(INDEX(PASTE_ALL,8,13)),1)="-"),999),LEN(MID(TRIM(INDEX(PASTE_ALL,8,13)),1+(LEFT(TRIM(INDEX(PASTE_ALL,8,13)),1)="-"),999))-(RIGHT(MID(TRIM(INDEX(PASTE_ALL,8,13)),1+(LEFT(TRIM(INDEX(PASTE_ALL,8,13)),1)="-"),999),1)="%"))&lt;&gt;"",SUBSTITUTE(SUBSTITUTE(SUBSTITUTE(SUBSTITUTE(SUBSTITUTE(SUBSTITUTE(SUBSTITUTE(SUBSTITUTE(SUBSTITUTE(SUBSTITUTE(SUBSTITUTE(SUBSTITUTE(LEFT(MID(TRIM(INDEX(PASTE_ALL,8,13)),1+(LEFT(TRIM(INDEX(PASTE_ALL,8,13)),1)="-"),999),LEN(MID(TRIM(INDEX(PASTE_ALL,8,13)),1+(LEFT(TRIM(INDEX(PASTE_ALL,8,13)),1)="-"),999))-(RIGHT(MID(TRIM(INDEX(PASTE_ALL,8,13)),1+(LEFT(TRIM(INDEX(PASTE_ALL,8,13)),1)="-"),999),1)="%")),"0",""),"1",""),"2",""),"3",""),"4",""),"5",""),"6",""),"7",""),"8",""),"9",""),".",""),",","")=""),2,1))),1)</f>
        <v/>
      </c>
      <c r="AL57">
        <f>IFERROR(IF(ISNUMBER(INDEX(PASTE_ALL,8,14)),2,IF(TRIM(INDEX(PASTE_ALL,8,14))="",0,IF(AND(LEFT(MID(TRIM(INDEX(PASTE_ALL,8,14)),1+(LEFT(TRIM(INDEX(PASTE_ALL,8,14)),1)="-"),999),LEN(MID(TRIM(INDEX(PASTE_ALL,8,14)),1+(LEFT(TRIM(INDEX(PASTE_ALL,8,14)),1)="-"),999))-(RIGHT(MID(TRIM(INDEX(PASTE_ALL,8,14)),1+(LEFT(TRIM(INDEX(PASTE_ALL,8,14)),1)="-"),999),1)="%"))&lt;&gt;"",SUBSTITUTE(SUBSTITUTE(SUBSTITUTE(SUBSTITUTE(SUBSTITUTE(SUBSTITUTE(SUBSTITUTE(SUBSTITUTE(SUBSTITUTE(SUBSTITUTE(SUBSTITUTE(SUBSTITUTE(LEFT(MID(TRIM(INDEX(PASTE_ALL,8,14)),1+(LEFT(TRIM(INDEX(PASTE_ALL,8,14)),1)="-"),999),LEN(MID(TRIM(INDEX(PASTE_ALL,8,14)),1+(LEFT(TRIM(INDEX(PASTE_ALL,8,14)),1)="-"),999))-(RIGHT(MID(TRIM(INDEX(PASTE_ALL,8,14)),1+(LEFT(TRIM(INDEX(PASTE_ALL,8,14)),1)="-"),999),1)="%")),"0",""),"1",""),"2",""),"3",""),"4",""),"5",""),"6",""),"7",""),"8",""),"9",""),".",""),",","")=""),2,1))),1)</f>
        <v/>
      </c>
      <c r="AM57">
        <f>IFERROR(IF(ISNUMBER(INDEX(PASTE_ALL,8,15)),2,IF(TRIM(INDEX(PASTE_ALL,8,15))="",0,IF(AND(LEFT(MID(TRIM(INDEX(PASTE_ALL,8,15)),1+(LEFT(TRIM(INDEX(PASTE_ALL,8,15)),1)="-"),999),LEN(MID(TRIM(INDEX(PASTE_ALL,8,15)),1+(LEFT(TRIM(INDEX(PASTE_ALL,8,15)),1)="-"),999))-(RIGHT(MID(TRIM(INDEX(PASTE_ALL,8,15)),1+(LEFT(TRIM(INDEX(PASTE_ALL,8,15)),1)="-"),999),1)="%"))&lt;&gt;"",SUBSTITUTE(SUBSTITUTE(SUBSTITUTE(SUBSTITUTE(SUBSTITUTE(SUBSTITUTE(SUBSTITUTE(SUBSTITUTE(SUBSTITUTE(SUBSTITUTE(SUBSTITUTE(SUBSTITUTE(LEFT(MID(TRIM(INDEX(PASTE_ALL,8,15)),1+(LEFT(TRIM(INDEX(PASTE_ALL,8,15)),1)="-"),999),LEN(MID(TRIM(INDEX(PASTE_ALL,8,15)),1+(LEFT(TRIM(INDEX(PASTE_ALL,8,15)),1)="-"),999))-(RIGHT(MID(TRIM(INDEX(PASTE_ALL,8,15)),1+(LEFT(TRIM(INDEX(PASTE_ALL,8,15)),1)="-"),999),1)="%")),"0",""),"1",""),"2",""),"3",""),"4",""),"5",""),"6",""),"7",""),"8",""),"9",""),".",""),",","")=""),2,1))),1)</f>
        <v/>
      </c>
      <c r="AN57">
        <f>IFERROR(IF(ISNUMBER(INDEX(PASTE_ALL,8,16)),2,IF(TRIM(INDEX(PASTE_ALL,8,16))="",0,IF(AND(LEFT(MID(TRIM(INDEX(PASTE_ALL,8,16)),1+(LEFT(TRIM(INDEX(PASTE_ALL,8,16)),1)="-"),999),LEN(MID(TRIM(INDEX(PASTE_ALL,8,16)),1+(LEFT(TRIM(INDEX(PASTE_ALL,8,16)),1)="-"),999))-(RIGHT(MID(TRIM(INDEX(PASTE_ALL,8,16)),1+(LEFT(TRIM(INDEX(PASTE_ALL,8,16)),1)="-"),999),1)="%"))&lt;&gt;"",SUBSTITUTE(SUBSTITUTE(SUBSTITUTE(SUBSTITUTE(SUBSTITUTE(SUBSTITUTE(SUBSTITUTE(SUBSTITUTE(SUBSTITUTE(SUBSTITUTE(SUBSTITUTE(SUBSTITUTE(LEFT(MID(TRIM(INDEX(PASTE_ALL,8,16)),1+(LEFT(TRIM(INDEX(PASTE_ALL,8,16)),1)="-"),999),LEN(MID(TRIM(INDEX(PASTE_ALL,8,16)),1+(LEFT(TRIM(INDEX(PASTE_ALL,8,16)),1)="-"),999))-(RIGHT(MID(TRIM(INDEX(PASTE_ALL,8,16)),1+(LEFT(TRIM(INDEX(PASTE_ALL,8,16)),1)="-"),999),1)="%")),"0",""),"1",""),"2",""),"3",""),"4",""),"5",""),"6",""),"7",""),"8",""),"9",""),".",""),",","")=""),2,1))),1)</f>
        <v/>
      </c>
      <c r="AO57">
        <f>IFERROR(IF(ISNUMBER(INDEX(PASTE_ALL,8,17)),2,IF(TRIM(INDEX(PASTE_ALL,8,17))="",0,IF(AND(LEFT(MID(TRIM(INDEX(PASTE_ALL,8,17)),1+(LEFT(TRIM(INDEX(PASTE_ALL,8,17)),1)="-"),999),LEN(MID(TRIM(INDEX(PASTE_ALL,8,17)),1+(LEFT(TRIM(INDEX(PASTE_ALL,8,17)),1)="-"),999))-(RIGHT(MID(TRIM(INDEX(PASTE_ALL,8,17)),1+(LEFT(TRIM(INDEX(PASTE_ALL,8,17)),1)="-"),999),1)="%"))&lt;&gt;"",SUBSTITUTE(SUBSTITUTE(SUBSTITUTE(SUBSTITUTE(SUBSTITUTE(SUBSTITUTE(SUBSTITUTE(SUBSTITUTE(SUBSTITUTE(SUBSTITUTE(SUBSTITUTE(SUBSTITUTE(LEFT(MID(TRIM(INDEX(PASTE_ALL,8,17)),1+(LEFT(TRIM(INDEX(PASTE_ALL,8,17)),1)="-"),999),LEN(MID(TRIM(INDEX(PASTE_ALL,8,17)),1+(LEFT(TRIM(INDEX(PASTE_ALL,8,17)),1)="-"),999))-(RIGHT(MID(TRIM(INDEX(PASTE_ALL,8,17)),1+(LEFT(TRIM(INDEX(PASTE_ALL,8,17)),1)="-"),999),1)="%")),"0",""),"1",""),"2",""),"3",""),"4",""),"5",""),"6",""),"7",""),"8",""),"9",""),".",""),",","")=""),2,1))),1)</f>
        <v/>
      </c>
      <c r="AP57">
        <f>IFERROR(IF(ISNUMBER(INDEX(PASTE_ALL,8,18)),2,IF(TRIM(INDEX(PASTE_ALL,8,18))="",0,IF(AND(LEFT(MID(TRIM(INDEX(PASTE_ALL,8,18)),1+(LEFT(TRIM(INDEX(PASTE_ALL,8,18)),1)="-"),999),LEN(MID(TRIM(INDEX(PASTE_ALL,8,18)),1+(LEFT(TRIM(INDEX(PASTE_ALL,8,18)),1)="-"),999))-(RIGHT(MID(TRIM(INDEX(PASTE_ALL,8,18)),1+(LEFT(TRIM(INDEX(PASTE_ALL,8,18)),1)="-"),999),1)="%"))&lt;&gt;"",SUBSTITUTE(SUBSTITUTE(SUBSTITUTE(SUBSTITUTE(SUBSTITUTE(SUBSTITUTE(SUBSTITUTE(SUBSTITUTE(SUBSTITUTE(SUBSTITUTE(SUBSTITUTE(SUBSTITUTE(LEFT(MID(TRIM(INDEX(PASTE_ALL,8,18)),1+(LEFT(TRIM(INDEX(PASTE_ALL,8,18)),1)="-"),999),LEN(MID(TRIM(INDEX(PASTE_ALL,8,18)),1+(LEFT(TRIM(INDEX(PASTE_ALL,8,18)),1)="-"),999))-(RIGHT(MID(TRIM(INDEX(PASTE_ALL,8,18)),1+(LEFT(TRIM(INDEX(PASTE_ALL,8,18)),1)="-"),999),1)="%")),"0",""),"1",""),"2",""),"3",""),"4",""),"5",""),"6",""),"7",""),"8",""),"9",""),".",""),",","")=""),2,1))),1)</f>
        <v/>
      </c>
      <c r="AQ57">
        <f>IFERROR(IF(ISNUMBER(INDEX(PASTE_ALL,8,19)),2,IF(TRIM(INDEX(PASTE_ALL,8,19))="",0,IF(AND(LEFT(MID(TRIM(INDEX(PASTE_ALL,8,19)),1+(LEFT(TRIM(INDEX(PASTE_ALL,8,19)),1)="-"),999),LEN(MID(TRIM(INDEX(PASTE_ALL,8,19)),1+(LEFT(TRIM(INDEX(PASTE_ALL,8,19)),1)="-"),999))-(RIGHT(MID(TRIM(INDEX(PASTE_ALL,8,19)),1+(LEFT(TRIM(INDEX(PASTE_ALL,8,19)),1)="-"),999),1)="%"))&lt;&gt;"",SUBSTITUTE(SUBSTITUTE(SUBSTITUTE(SUBSTITUTE(SUBSTITUTE(SUBSTITUTE(SUBSTITUTE(SUBSTITUTE(SUBSTITUTE(SUBSTITUTE(SUBSTITUTE(SUBSTITUTE(LEFT(MID(TRIM(INDEX(PASTE_ALL,8,19)),1+(LEFT(TRIM(INDEX(PASTE_ALL,8,19)),1)="-"),999),LEN(MID(TRIM(INDEX(PASTE_ALL,8,19)),1+(LEFT(TRIM(INDEX(PASTE_ALL,8,19)),1)="-"),999))-(RIGHT(MID(TRIM(INDEX(PASTE_ALL,8,19)),1+(LEFT(TRIM(INDEX(PASTE_ALL,8,19)),1)="-"),999),1)="%")),"0",""),"1",""),"2",""),"3",""),"4",""),"5",""),"6",""),"7",""),"8",""),"9",""),".",""),",","")=""),2,1))),1)</f>
        <v/>
      </c>
      <c r="AR57">
        <f>IFERROR(IF(ISNUMBER(INDEX(PASTE_ALL,8,20)),2,IF(TRIM(INDEX(PASTE_ALL,8,20))="",0,IF(AND(LEFT(MID(TRIM(INDEX(PASTE_ALL,8,20)),1+(LEFT(TRIM(INDEX(PASTE_ALL,8,20)),1)="-"),999),LEN(MID(TRIM(INDEX(PASTE_ALL,8,20)),1+(LEFT(TRIM(INDEX(PASTE_ALL,8,20)),1)="-"),999))-(RIGHT(MID(TRIM(INDEX(PASTE_ALL,8,20)),1+(LEFT(TRIM(INDEX(PASTE_ALL,8,20)),1)="-"),999),1)="%"))&lt;&gt;"",SUBSTITUTE(SUBSTITUTE(SUBSTITUTE(SUBSTITUTE(SUBSTITUTE(SUBSTITUTE(SUBSTITUTE(SUBSTITUTE(SUBSTITUTE(SUBSTITUTE(SUBSTITUTE(SUBSTITUTE(LEFT(MID(TRIM(INDEX(PASTE_ALL,8,20)),1+(LEFT(TRIM(INDEX(PASTE_ALL,8,20)),1)="-"),999),LEN(MID(TRIM(INDEX(PASTE_ALL,8,20)),1+(LEFT(TRIM(INDEX(PASTE_ALL,8,20)),1)="-"),999))-(RIGHT(MID(TRIM(INDEX(PASTE_ALL,8,20)),1+(LEFT(TRIM(INDEX(PASTE_ALL,8,20)),1)="-"),999),1)="%")),"0",""),"1",""),"2",""),"3",""),"4",""),"5",""),"6",""),"7",""),"8",""),"9",""),".",""),",","")=""),2,1))),1)</f>
        <v/>
      </c>
      <c r="AS57">
        <f>IFERROR(IF(ISNUMBER(INDEX(PASTE_ALL,8,21)),2,IF(TRIM(INDEX(PASTE_ALL,8,21))="",0,IF(AND(LEFT(MID(TRIM(INDEX(PASTE_ALL,8,21)),1+(LEFT(TRIM(INDEX(PASTE_ALL,8,21)),1)="-"),999),LEN(MID(TRIM(INDEX(PASTE_ALL,8,21)),1+(LEFT(TRIM(INDEX(PASTE_ALL,8,21)),1)="-"),999))-(RIGHT(MID(TRIM(INDEX(PASTE_ALL,8,21)),1+(LEFT(TRIM(INDEX(PASTE_ALL,8,21)),1)="-"),999),1)="%"))&lt;&gt;"",SUBSTITUTE(SUBSTITUTE(SUBSTITUTE(SUBSTITUTE(SUBSTITUTE(SUBSTITUTE(SUBSTITUTE(SUBSTITUTE(SUBSTITUTE(SUBSTITUTE(SUBSTITUTE(SUBSTITUTE(LEFT(MID(TRIM(INDEX(PASTE_ALL,8,21)),1+(LEFT(TRIM(INDEX(PASTE_ALL,8,21)),1)="-"),999),LEN(MID(TRIM(INDEX(PASTE_ALL,8,21)),1+(LEFT(TRIM(INDEX(PASTE_ALL,8,21)),1)="-"),999))-(RIGHT(MID(TRIM(INDEX(PASTE_ALL,8,21)),1+(LEFT(TRIM(INDEX(PASTE_ALL,8,21)),1)="-"),999),1)="%")),"0",""),"1",""),"2",""),"3",""),"4",""),"5",""),"6",""),"7",""),"8",""),"9",""),".",""),",","")=""),2,1))),1)</f>
        <v/>
      </c>
      <c r="AT57">
        <f>IFERROR(IF(ISNUMBER(INDEX(PASTE_ALL,8,22)),2,IF(TRIM(INDEX(PASTE_ALL,8,22))="",0,IF(AND(LEFT(MID(TRIM(INDEX(PASTE_ALL,8,22)),1+(LEFT(TRIM(INDEX(PASTE_ALL,8,22)),1)="-"),999),LEN(MID(TRIM(INDEX(PASTE_ALL,8,22)),1+(LEFT(TRIM(INDEX(PASTE_ALL,8,22)),1)="-"),999))-(RIGHT(MID(TRIM(INDEX(PASTE_ALL,8,22)),1+(LEFT(TRIM(INDEX(PASTE_ALL,8,22)),1)="-"),999),1)="%"))&lt;&gt;"",SUBSTITUTE(SUBSTITUTE(SUBSTITUTE(SUBSTITUTE(SUBSTITUTE(SUBSTITUTE(SUBSTITUTE(SUBSTITUTE(SUBSTITUTE(SUBSTITUTE(SUBSTITUTE(SUBSTITUTE(LEFT(MID(TRIM(INDEX(PASTE_ALL,8,22)),1+(LEFT(TRIM(INDEX(PASTE_ALL,8,22)),1)="-"),999),LEN(MID(TRIM(INDEX(PASTE_ALL,8,22)),1+(LEFT(TRIM(INDEX(PASTE_ALL,8,22)),1)="-"),999))-(RIGHT(MID(TRIM(INDEX(PASTE_ALL,8,22)),1+(LEFT(TRIM(INDEX(PASTE_ALL,8,22)),1)="-"),999),1)="%")),"0",""),"1",""),"2",""),"3",""),"4",""),"5",""),"6",""),"7",""),"8",""),"9",""),".",""),",","")=""),2,1))),1)</f>
        <v/>
      </c>
      <c r="AU57">
        <f>IFERROR(IF(ISNUMBER(INDEX(PASTE_ALL,8,23)),2,IF(TRIM(INDEX(PASTE_ALL,8,23))="",0,IF(AND(LEFT(MID(TRIM(INDEX(PASTE_ALL,8,23)),1+(LEFT(TRIM(INDEX(PASTE_ALL,8,23)),1)="-"),999),LEN(MID(TRIM(INDEX(PASTE_ALL,8,23)),1+(LEFT(TRIM(INDEX(PASTE_ALL,8,23)),1)="-"),999))-(RIGHT(MID(TRIM(INDEX(PASTE_ALL,8,23)),1+(LEFT(TRIM(INDEX(PASTE_ALL,8,23)),1)="-"),999),1)="%"))&lt;&gt;"",SUBSTITUTE(SUBSTITUTE(SUBSTITUTE(SUBSTITUTE(SUBSTITUTE(SUBSTITUTE(SUBSTITUTE(SUBSTITUTE(SUBSTITUTE(SUBSTITUTE(SUBSTITUTE(SUBSTITUTE(LEFT(MID(TRIM(INDEX(PASTE_ALL,8,23)),1+(LEFT(TRIM(INDEX(PASTE_ALL,8,23)),1)="-"),999),LEN(MID(TRIM(INDEX(PASTE_ALL,8,23)),1+(LEFT(TRIM(INDEX(PASTE_ALL,8,23)),1)="-"),999))-(RIGHT(MID(TRIM(INDEX(PASTE_ALL,8,23)),1+(LEFT(TRIM(INDEX(PASTE_ALL,8,23)),1)="-"),999),1)="%")),"0",""),"1",""),"2",""),"3",""),"4",""),"5",""),"6",""),"7",""),"8",""),"9",""),".",""),",","")=""),2,1))),1)</f>
        <v/>
      </c>
      <c r="AV57">
        <f>IFERROR(IF(ISNUMBER(INDEX(PASTE_ALL,8,24)),2,IF(TRIM(INDEX(PASTE_ALL,8,24))="",0,IF(AND(LEFT(MID(TRIM(INDEX(PASTE_ALL,8,24)),1+(LEFT(TRIM(INDEX(PASTE_ALL,8,24)),1)="-"),999),LEN(MID(TRIM(INDEX(PASTE_ALL,8,24)),1+(LEFT(TRIM(INDEX(PASTE_ALL,8,24)),1)="-"),999))-(RIGHT(MID(TRIM(INDEX(PASTE_ALL,8,24)),1+(LEFT(TRIM(INDEX(PASTE_ALL,8,24)),1)="-"),999),1)="%"))&lt;&gt;"",SUBSTITUTE(SUBSTITUTE(SUBSTITUTE(SUBSTITUTE(SUBSTITUTE(SUBSTITUTE(SUBSTITUTE(SUBSTITUTE(SUBSTITUTE(SUBSTITUTE(SUBSTITUTE(SUBSTITUTE(LEFT(MID(TRIM(INDEX(PASTE_ALL,8,24)),1+(LEFT(TRIM(INDEX(PASTE_ALL,8,24)),1)="-"),999),LEN(MID(TRIM(INDEX(PASTE_ALL,8,24)),1+(LEFT(TRIM(INDEX(PASTE_ALL,8,24)),1)="-"),999))-(RIGHT(MID(TRIM(INDEX(PASTE_ALL,8,24)),1+(LEFT(TRIM(INDEX(PASTE_ALL,8,24)),1)="-"),999),1)="%")),"0",""),"1",""),"2",""),"3",""),"4",""),"5",""),"6",""),"7",""),"8",""),"9",""),".",""),",","")=""),2,1))),1)</f>
        <v/>
      </c>
      <c r="AW57">
        <f>IFERROR(IF(ISNUMBER(INDEX(PASTE_ALL,8,25)),2,IF(TRIM(INDEX(PASTE_ALL,8,25))="",0,IF(AND(LEFT(MID(TRIM(INDEX(PASTE_ALL,8,25)),1+(LEFT(TRIM(INDEX(PASTE_ALL,8,25)),1)="-"),999),LEN(MID(TRIM(INDEX(PASTE_ALL,8,25)),1+(LEFT(TRIM(INDEX(PASTE_ALL,8,25)),1)="-"),999))-(RIGHT(MID(TRIM(INDEX(PASTE_ALL,8,25)),1+(LEFT(TRIM(INDEX(PASTE_ALL,8,25)),1)="-"),999),1)="%"))&lt;&gt;"",SUBSTITUTE(SUBSTITUTE(SUBSTITUTE(SUBSTITUTE(SUBSTITUTE(SUBSTITUTE(SUBSTITUTE(SUBSTITUTE(SUBSTITUTE(SUBSTITUTE(SUBSTITUTE(SUBSTITUTE(LEFT(MID(TRIM(INDEX(PASTE_ALL,8,25)),1+(LEFT(TRIM(INDEX(PASTE_ALL,8,25)),1)="-"),999),LEN(MID(TRIM(INDEX(PASTE_ALL,8,25)),1+(LEFT(TRIM(INDEX(PASTE_ALL,8,25)),1)="-"),999))-(RIGHT(MID(TRIM(INDEX(PASTE_ALL,8,25)),1+(LEFT(TRIM(INDEX(PASTE_ALL,8,25)),1)="-"),999),1)="%")),"0",""),"1",""),"2",""),"3",""),"4",""),"5",""),"6",""),"7",""),"8",""),"9",""),".",""),",","")=""),2,1))),1)</f>
        <v/>
      </c>
      <c r="AX57">
        <f>IFERROR(IF(ISNUMBER(INDEX(PASTE_ALL,8,26)),2,IF(TRIM(INDEX(PASTE_ALL,8,26))="",0,IF(AND(LEFT(MID(TRIM(INDEX(PASTE_ALL,8,26)),1+(LEFT(TRIM(INDEX(PASTE_ALL,8,26)),1)="-"),999),LEN(MID(TRIM(INDEX(PASTE_ALL,8,26)),1+(LEFT(TRIM(INDEX(PASTE_ALL,8,26)),1)="-"),999))-(RIGHT(MID(TRIM(INDEX(PASTE_ALL,8,26)),1+(LEFT(TRIM(INDEX(PASTE_ALL,8,26)),1)="-"),999),1)="%"))&lt;&gt;"",SUBSTITUTE(SUBSTITUTE(SUBSTITUTE(SUBSTITUTE(SUBSTITUTE(SUBSTITUTE(SUBSTITUTE(SUBSTITUTE(SUBSTITUTE(SUBSTITUTE(SUBSTITUTE(SUBSTITUTE(LEFT(MID(TRIM(INDEX(PASTE_ALL,8,26)),1+(LEFT(TRIM(INDEX(PASTE_ALL,8,26)),1)="-"),999),LEN(MID(TRIM(INDEX(PASTE_ALL,8,26)),1+(LEFT(TRIM(INDEX(PASTE_ALL,8,26)),1)="-"),999))-(RIGHT(MID(TRIM(INDEX(PASTE_ALL,8,26)),1+(LEFT(TRIM(INDEX(PASTE_ALL,8,26)),1)="-"),999),1)="%")),"0",""),"1",""),"2",""),"3",""),"4",""),"5",""),"6",""),"7",""),"8",""),"9",""),".",""),",","")=""),2,1))),1)</f>
        <v/>
      </c>
      <c r="AY57">
        <f>IFERROR(IF(ISNUMBER(INDEX(PASTE_ALL,8,27)),2,IF(TRIM(INDEX(PASTE_ALL,8,27))="",0,IF(AND(LEFT(MID(TRIM(INDEX(PASTE_ALL,8,27)),1+(LEFT(TRIM(INDEX(PASTE_ALL,8,27)),1)="-"),999),LEN(MID(TRIM(INDEX(PASTE_ALL,8,27)),1+(LEFT(TRIM(INDEX(PASTE_ALL,8,27)),1)="-"),999))-(RIGHT(MID(TRIM(INDEX(PASTE_ALL,8,27)),1+(LEFT(TRIM(INDEX(PASTE_ALL,8,27)),1)="-"),999),1)="%"))&lt;&gt;"",SUBSTITUTE(SUBSTITUTE(SUBSTITUTE(SUBSTITUTE(SUBSTITUTE(SUBSTITUTE(SUBSTITUTE(SUBSTITUTE(SUBSTITUTE(SUBSTITUTE(SUBSTITUTE(SUBSTITUTE(LEFT(MID(TRIM(INDEX(PASTE_ALL,8,27)),1+(LEFT(TRIM(INDEX(PASTE_ALL,8,27)),1)="-"),999),LEN(MID(TRIM(INDEX(PASTE_ALL,8,27)),1+(LEFT(TRIM(INDEX(PASTE_ALL,8,27)),1)="-"),999))-(RIGHT(MID(TRIM(INDEX(PASTE_ALL,8,27)),1+(LEFT(TRIM(INDEX(PASTE_ALL,8,27)),1)="-"),999),1)="%")),"0",""),"1",""),"2",""),"3",""),"4",""),"5",""),"6",""),"7",""),"8",""),"9",""),".",""),",","")=""),2,1))),1)</f>
        <v/>
      </c>
      <c r="AZ57">
        <f>IFERROR(IF(ISNUMBER(INDEX(PASTE_ALL,8,28)),2,IF(TRIM(INDEX(PASTE_ALL,8,28))="",0,IF(AND(LEFT(MID(TRIM(INDEX(PASTE_ALL,8,28)),1+(LEFT(TRIM(INDEX(PASTE_ALL,8,28)),1)="-"),999),LEN(MID(TRIM(INDEX(PASTE_ALL,8,28)),1+(LEFT(TRIM(INDEX(PASTE_ALL,8,28)),1)="-"),999))-(RIGHT(MID(TRIM(INDEX(PASTE_ALL,8,28)),1+(LEFT(TRIM(INDEX(PASTE_ALL,8,28)),1)="-"),999),1)="%"))&lt;&gt;"",SUBSTITUTE(SUBSTITUTE(SUBSTITUTE(SUBSTITUTE(SUBSTITUTE(SUBSTITUTE(SUBSTITUTE(SUBSTITUTE(SUBSTITUTE(SUBSTITUTE(SUBSTITUTE(SUBSTITUTE(LEFT(MID(TRIM(INDEX(PASTE_ALL,8,28)),1+(LEFT(TRIM(INDEX(PASTE_ALL,8,28)),1)="-"),999),LEN(MID(TRIM(INDEX(PASTE_ALL,8,28)),1+(LEFT(TRIM(INDEX(PASTE_ALL,8,28)),1)="-"),999))-(RIGHT(MID(TRIM(INDEX(PASTE_ALL,8,28)),1+(LEFT(TRIM(INDEX(PASTE_ALL,8,28)),1)="-"),999),1)="%")),"0",""),"1",""),"2",""),"3",""),"4",""),"5",""),"6",""),"7",""),"8",""),"9",""),".",""),",","")=""),2,1))),1)</f>
        <v/>
      </c>
      <c r="BA57">
        <f>IFERROR(IF(ISNUMBER(INDEX(PASTE_ALL,8,29)),2,IF(TRIM(INDEX(PASTE_ALL,8,29))="",0,IF(AND(LEFT(MID(TRIM(INDEX(PASTE_ALL,8,29)),1+(LEFT(TRIM(INDEX(PASTE_ALL,8,29)),1)="-"),999),LEN(MID(TRIM(INDEX(PASTE_ALL,8,29)),1+(LEFT(TRIM(INDEX(PASTE_ALL,8,29)),1)="-"),999))-(RIGHT(MID(TRIM(INDEX(PASTE_ALL,8,29)),1+(LEFT(TRIM(INDEX(PASTE_ALL,8,29)),1)="-"),999),1)="%"))&lt;&gt;"",SUBSTITUTE(SUBSTITUTE(SUBSTITUTE(SUBSTITUTE(SUBSTITUTE(SUBSTITUTE(SUBSTITUTE(SUBSTITUTE(SUBSTITUTE(SUBSTITUTE(SUBSTITUTE(SUBSTITUTE(LEFT(MID(TRIM(INDEX(PASTE_ALL,8,29)),1+(LEFT(TRIM(INDEX(PASTE_ALL,8,29)),1)="-"),999),LEN(MID(TRIM(INDEX(PASTE_ALL,8,29)),1+(LEFT(TRIM(INDEX(PASTE_ALL,8,29)),1)="-"),999))-(RIGHT(MID(TRIM(INDEX(PASTE_ALL,8,29)),1+(LEFT(TRIM(INDEX(PASTE_ALL,8,29)),1)="-"),999),1)="%")),"0",""),"1",""),"2",""),"3",""),"4",""),"5",""),"6",""),"7",""),"8",""),"9",""),".",""),",","")=""),2,1))),1)</f>
        <v/>
      </c>
      <c r="BB57">
        <f>IFERROR(IF(ISNUMBER(INDEX(PASTE_ALL,8,30)),2,IF(TRIM(INDEX(PASTE_ALL,8,30))="",0,IF(AND(LEFT(MID(TRIM(INDEX(PASTE_ALL,8,30)),1+(LEFT(TRIM(INDEX(PASTE_ALL,8,30)),1)="-"),999),LEN(MID(TRIM(INDEX(PASTE_ALL,8,30)),1+(LEFT(TRIM(INDEX(PASTE_ALL,8,30)),1)="-"),999))-(RIGHT(MID(TRIM(INDEX(PASTE_ALL,8,30)),1+(LEFT(TRIM(INDEX(PASTE_ALL,8,30)),1)="-"),999),1)="%"))&lt;&gt;"",SUBSTITUTE(SUBSTITUTE(SUBSTITUTE(SUBSTITUTE(SUBSTITUTE(SUBSTITUTE(SUBSTITUTE(SUBSTITUTE(SUBSTITUTE(SUBSTITUTE(SUBSTITUTE(SUBSTITUTE(LEFT(MID(TRIM(INDEX(PASTE_ALL,8,30)),1+(LEFT(TRIM(INDEX(PASTE_ALL,8,30)),1)="-"),999),LEN(MID(TRIM(INDEX(PASTE_ALL,8,30)),1+(LEFT(TRIM(INDEX(PASTE_ALL,8,30)),1)="-"),999))-(RIGHT(MID(TRIM(INDEX(PASTE_ALL,8,30)),1+(LEFT(TRIM(INDEX(PASTE_ALL,8,30)),1)="-"),999),1)="%")),"0",""),"1",""),"2",""),"3",""),"4",""),"5",""),"6",""),"7",""),"8",""),"9",""),".",""),",","")=""),2,1))),1)</f>
        <v/>
      </c>
      <c r="BC57">
        <f>IFERROR(IF(ISNUMBER(INDEX(PASTE_ALL,8,31)),2,IF(TRIM(INDEX(PASTE_ALL,8,31))="",0,IF(AND(LEFT(MID(TRIM(INDEX(PASTE_ALL,8,31)),1+(LEFT(TRIM(INDEX(PASTE_ALL,8,31)),1)="-"),999),LEN(MID(TRIM(INDEX(PASTE_ALL,8,31)),1+(LEFT(TRIM(INDEX(PASTE_ALL,8,31)),1)="-"),999))-(RIGHT(MID(TRIM(INDEX(PASTE_ALL,8,31)),1+(LEFT(TRIM(INDEX(PASTE_ALL,8,31)),1)="-"),999),1)="%"))&lt;&gt;"",SUBSTITUTE(SUBSTITUTE(SUBSTITUTE(SUBSTITUTE(SUBSTITUTE(SUBSTITUTE(SUBSTITUTE(SUBSTITUTE(SUBSTITUTE(SUBSTITUTE(SUBSTITUTE(SUBSTITUTE(LEFT(MID(TRIM(INDEX(PASTE_ALL,8,31)),1+(LEFT(TRIM(INDEX(PASTE_ALL,8,31)),1)="-"),999),LEN(MID(TRIM(INDEX(PASTE_ALL,8,31)),1+(LEFT(TRIM(INDEX(PASTE_ALL,8,31)),1)="-"),999))-(RIGHT(MID(TRIM(INDEX(PASTE_ALL,8,31)),1+(LEFT(TRIM(INDEX(PASTE_ALL,8,31)),1)="-"),999),1)="%")),"0",""),"1",""),"2",""),"3",""),"4",""),"5",""),"6",""),"7",""),"8",""),"9",""),".",""),",","")=""),2,1))),1)</f>
        <v/>
      </c>
      <c r="BD57">
        <f>IFERROR(IF(ISNUMBER(INDEX(PASTE_ALL,8,32)),2,IF(TRIM(INDEX(PASTE_ALL,8,32))="",0,IF(AND(LEFT(MID(TRIM(INDEX(PASTE_ALL,8,32)),1+(LEFT(TRIM(INDEX(PASTE_ALL,8,32)),1)="-"),999),LEN(MID(TRIM(INDEX(PASTE_ALL,8,32)),1+(LEFT(TRIM(INDEX(PASTE_ALL,8,32)),1)="-"),999))-(RIGHT(MID(TRIM(INDEX(PASTE_ALL,8,32)),1+(LEFT(TRIM(INDEX(PASTE_ALL,8,32)),1)="-"),999),1)="%"))&lt;&gt;"",SUBSTITUTE(SUBSTITUTE(SUBSTITUTE(SUBSTITUTE(SUBSTITUTE(SUBSTITUTE(SUBSTITUTE(SUBSTITUTE(SUBSTITUTE(SUBSTITUTE(SUBSTITUTE(SUBSTITUTE(LEFT(MID(TRIM(INDEX(PASTE_ALL,8,32)),1+(LEFT(TRIM(INDEX(PASTE_ALL,8,32)),1)="-"),999),LEN(MID(TRIM(INDEX(PASTE_ALL,8,32)),1+(LEFT(TRIM(INDEX(PASTE_ALL,8,32)),1)="-"),999))-(RIGHT(MID(TRIM(INDEX(PASTE_ALL,8,32)),1+(LEFT(TRIM(INDEX(PASTE_ALL,8,32)),1)="-"),999),1)="%")),"0",""),"1",""),"2",""),"3",""),"4",""),"5",""),"6",""),"7",""),"8",""),"9",""),".",""),",","")=""),2,1))),1)</f>
        <v/>
      </c>
      <c r="BE57">
        <f>IFERROR(IF(ISNUMBER(INDEX(PASTE_ALL,8,33)),2,IF(TRIM(INDEX(PASTE_ALL,8,33))="",0,IF(AND(LEFT(MID(TRIM(INDEX(PASTE_ALL,8,33)),1+(LEFT(TRIM(INDEX(PASTE_ALL,8,33)),1)="-"),999),LEN(MID(TRIM(INDEX(PASTE_ALL,8,33)),1+(LEFT(TRIM(INDEX(PASTE_ALL,8,33)),1)="-"),999))-(RIGHT(MID(TRIM(INDEX(PASTE_ALL,8,33)),1+(LEFT(TRIM(INDEX(PASTE_ALL,8,33)),1)="-"),999),1)="%"))&lt;&gt;"",SUBSTITUTE(SUBSTITUTE(SUBSTITUTE(SUBSTITUTE(SUBSTITUTE(SUBSTITUTE(SUBSTITUTE(SUBSTITUTE(SUBSTITUTE(SUBSTITUTE(SUBSTITUTE(SUBSTITUTE(LEFT(MID(TRIM(INDEX(PASTE_ALL,8,33)),1+(LEFT(TRIM(INDEX(PASTE_ALL,8,33)),1)="-"),999),LEN(MID(TRIM(INDEX(PASTE_ALL,8,33)),1+(LEFT(TRIM(INDEX(PASTE_ALL,8,33)),1)="-"),999))-(RIGHT(MID(TRIM(INDEX(PASTE_ALL,8,33)),1+(LEFT(TRIM(INDEX(PASTE_ALL,8,33)),1)="-"),999),1)="%")),"0",""),"1",""),"2",""),"3",""),"4",""),"5",""),"6",""),"7",""),"8",""),"9",""),".",""),",","")=""),2,1))),1)</f>
        <v/>
      </c>
      <c r="BF57">
        <f>IFERROR(IF(ISNUMBER(INDEX(PASTE_ALL,8,34)),2,IF(TRIM(INDEX(PASTE_ALL,8,34))="",0,IF(AND(LEFT(MID(TRIM(INDEX(PASTE_ALL,8,34)),1+(LEFT(TRIM(INDEX(PASTE_ALL,8,34)),1)="-"),999),LEN(MID(TRIM(INDEX(PASTE_ALL,8,34)),1+(LEFT(TRIM(INDEX(PASTE_ALL,8,34)),1)="-"),999))-(RIGHT(MID(TRIM(INDEX(PASTE_ALL,8,34)),1+(LEFT(TRIM(INDEX(PASTE_ALL,8,34)),1)="-"),999),1)="%"))&lt;&gt;"",SUBSTITUTE(SUBSTITUTE(SUBSTITUTE(SUBSTITUTE(SUBSTITUTE(SUBSTITUTE(SUBSTITUTE(SUBSTITUTE(SUBSTITUTE(SUBSTITUTE(SUBSTITUTE(SUBSTITUTE(LEFT(MID(TRIM(INDEX(PASTE_ALL,8,34)),1+(LEFT(TRIM(INDEX(PASTE_ALL,8,34)),1)="-"),999),LEN(MID(TRIM(INDEX(PASTE_ALL,8,34)),1+(LEFT(TRIM(INDEX(PASTE_ALL,8,34)),1)="-"),999))-(RIGHT(MID(TRIM(INDEX(PASTE_ALL,8,34)),1+(LEFT(TRIM(INDEX(PASTE_ALL,8,34)),1)="-"),999),1)="%")),"0",""),"1",""),"2",""),"3",""),"4",""),"5",""),"6",""),"7",""),"8",""),"9",""),".",""),",","")=""),2,1))),1)</f>
        <v/>
      </c>
      <c r="BG57">
        <f>IFERROR(IF(ISNUMBER(INDEX(PASTE_ALL,8,35)),2,IF(TRIM(INDEX(PASTE_ALL,8,35))="",0,IF(AND(LEFT(MID(TRIM(INDEX(PASTE_ALL,8,35)),1+(LEFT(TRIM(INDEX(PASTE_ALL,8,35)),1)="-"),999),LEN(MID(TRIM(INDEX(PASTE_ALL,8,35)),1+(LEFT(TRIM(INDEX(PASTE_ALL,8,35)),1)="-"),999))-(RIGHT(MID(TRIM(INDEX(PASTE_ALL,8,35)),1+(LEFT(TRIM(INDEX(PASTE_ALL,8,35)),1)="-"),999),1)="%"))&lt;&gt;"",SUBSTITUTE(SUBSTITUTE(SUBSTITUTE(SUBSTITUTE(SUBSTITUTE(SUBSTITUTE(SUBSTITUTE(SUBSTITUTE(SUBSTITUTE(SUBSTITUTE(SUBSTITUTE(SUBSTITUTE(LEFT(MID(TRIM(INDEX(PASTE_ALL,8,35)),1+(LEFT(TRIM(INDEX(PASTE_ALL,8,35)),1)="-"),999),LEN(MID(TRIM(INDEX(PASTE_ALL,8,35)),1+(LEFT(TRIM(INDEX(PASTE_ALL,8,35)),1)="-"),999))-(RIGHT(MID(TRIM(INDEX(PASTE_ALL,8,35)),1+(LEFT(TRIM(INDEX(PASTE_ALL,8,35)),1)="-"),999),1)="%")),"0",""),"1",""),"2",""),"3",""),"4",""),"5",""),"6",""),"7",""),"8",""),"9",""),".",""),",","")=""),2,1))),1)</f>
        <v/>
      </c>
      <c r="BH57">
        <f>IFERROR(IF(ISNUMBER(INDEX(PASTE_ALL,8,36)),2,IF(TRIM(INDEX(PASTE_ALL,8,36))="",0,IF(AND(LEFT(MID(TRIM(INDEX(PASTE_ALL,8,36)),1+(LEFT(TRIM(INDEX(PASTE_ALL,8,36)),1)="-"),999),LEN(MID(TRIM(INDEX(PASTE_ALL,8,36)),1+(LEFT(TRIM(INDEX(PASTE_ALL,8,36)),1)="-"),999))-(RIGHT(MID(TRIM(INDEX(PASTE_ALL,8,36)),1+(LEFT(TRIM(INDEX(PASTE_ALL,8,36)),1)="-"),999),1)="%"))&lt;&gt;"",SUBSTITUTE(SUBSTITUTE(SUBSTITUTE(SUBSTITUTE(SUBSTITUTE(SUBSTITUTE(SUBSTITUTE(SUBSTITUTE(SUBSTITUTE(SUBSTITUTE(SUBSTITUTE(SUBSTITUTE(LEFT(MID(TRIM(INDEX(PASTE_ALL,8,36)),1+(LEFT(TRIM(INDEX(PASTE_ALL,8,36)),1)="-"),999),LEN(MID(TRIM(INDEX(PASTE_ALL,8,36)),1+(LEFT(TRIM(INDEX(PASTE_ALL,8,36)),1)="-"),999))-(RIGHT(MID(TRIM(INDEX(PASTE_ALL,8,36)),1+(LEFT(TRIM(INDEX(PASTE_ALL,8,36)),1)="-"),999),1)="%")),"0",""),"1",""),"2",""),"3",""),"4",""),"5",""),"6",""),"7",""),"8",""),"9",""),".",""),",","")=""),2,1))),1)</f>
        <v/>
      </c>
      <c r="BI57">
        <f>IFERROR(IF(ISNUMBER(INDEX(PASTE_ALL,8,37)),2,IF(TRIM(INDEX(PASTE_ALL,8,37))="",0,IF(AND(LEFT(MID(TRIM(INDEX(PASTE_ALL,8,37)),1+(LEFT(TRIM(INDEX(PASTE_ALL,8,37)),1)="-"),999),LEN(MID(TRIM(INDEX(PASTE_ALL,8,37)),1+(LEFT(TRIM(INDEX(PASTE_ALL,8,37)),1)="-"),999))-(RIGHT(MID(TRIM(INDEX(PASTE_ALL,8,37)),1+(LEFT(TRIM(INDEX(PASTE_ALL,8,37)),1)="-"),999),1)="%"))&lt;&gt;"",SUBSTITUTE(SUBSTITUTE(SUBSTITUTE(SUBSTITUTE(SUBSTITUTE(SUBSTITUTE(SUBSTITUTE(SUBSTITUTE(SUBSTITUTE(SUBSTITUTE(SUBSTITUTE(SUBSTITUTE(LEFT(MID(TRIM(INDEX(PASTE_ALL,8,37)),1+(LEFT(TRIM(INDEX(PASTE_ALL,8,37)),1)="-"),999),LEN(MID(TRIM(INDEX(PASTE_ALL,8,37)),1+(LEFT(TRIM(INDEX(PASTE_ALL,8,37)),1)="-"),999))-(RIGHT(MID(TRIM(INDEX(PASTE_ALL,8,37)),1+(LEFT(TRIM(INDEX(PASTE_ALL,8,37)),1)="-"),999),1)="%")),"0",""),"1",""),"2",""),"3",""),"4",""),"5",""),"6",""),"7",""),"8",""),"9",""),".",""),",","")=""),2,1))),1)</f>
        <v/>
      </c>
      <c r="BJ57">
        <f>IFERROR(IF(ISNUMBER(INDEX(PASTE_ALL,8,38)),2,IF(TRIM(INDEX(PASTE_ALL,8,38))="",0,IF(AND(LEFT(MID(TRIM(INDEX(PASTE_ALL,8,38)),1+(LEFT(TRIM(INDEX(PASTE_ALL,8,38)),1)="-"),999),LEN(MID(TRIM(INDEX(PASTE_ALL,8,38)),1+(LEFT(TRIM(INDEX(PASTE_ALL,8,38)),1)="-"),999))-(RIGHT(MID(TRIM(INDEX(PASTE_ALL,8,38)),1+(LEFT(TRIM(INDEX(PASTE_ALL,8,38)),1)="-"),999),1)="%"))&lt;&gt;"",SUBSTITUTE(SUBSTITUTE(SUBSTITUTE(SUBSTITUTE(SUBSTITUTE(SUBSTITUTE(SUBSTITUTE(SUBSTITUTE(SUBSTITUTE(SUBSTITUTE(SUBSTITUTE(SUBSTITUTE(LEFT(MID(TRIM(INDEX(PASTE_ALL,8,38)),1+(LEFT(TRIM(INDEX(PASTE_ALL,8,38)),1)="-"),999),LEN(MID(TRIM(INDEX(PASTE_ALL,8,38)),1+(LEFT(TRIM(INDEX(PASTE_ALL,8,38)),1)="-"),999))-(RIGHT(MID(TRIM(INDEX(PASTE_ALL,8,38)),1+(LEFT(TRIM(INDEX(PASTE_ALL,8,38)),1)="-"),999),1)="%")),"0",""),"1",""),"2",""),"3",""),"4",""),"5",""),"6",""),"7",""),"8",""),"9",""),".",""),",","")=""),2,1))),1)</f>
        <v/>
      </c>
      <c r="BK57">
        <f>IFERROR(IF(ISNUMBER(INDEX(PASTE_ALL,8,39)),2,IF(TRIM(INDEX(PASTE_ALL,8,39))="",0,IF(AND(LEFT(MID(TRIM(INDEX(PASTE_ALL,8,39)),1+(LEFT(TRIM(INDEX(PASTE_ALL,8,39)),1)="-"),999),LEN(MID(TRIM(INDEX(PASTE_ALL,8,39)),1+(LEFT(TRIM(INDEX(PASTE_ALL,8,39)),1)="-"),999))-(RIGHT(MID(TRIM(INDEX(PASTE_ALL,8,39)),1+(LEFT(TRIM(INDEX(PASTE_ALL,8,39)),1)="-"),999),1)="%"))&lt;&gt;"",SUBSTITUTE(SUBSTITUTE(SUBSTITUTE(SUBSTITUTE(SUBSTITUTE(SUBSTITUTE(SUBSTITUTE(SUBSTITUTE(SUBSTITUTE(SUBSTITUTE(SUBSTITUTE(SUBSTITUTE(LEFT(MID(TRIM(INDEX(PASTE_ALL,8,39)),1+(LEFT(TRIM(INDEX(PASTE_ALL,8,39)),1)="-"),999),LEN(MID(TRIM(INDEX(PASTE_ALL,8,39)),1+(LEFT(TRIM(INDEX(PASTE_ALL,8,39)),1)="-"),999))-(RIGHT(MID(TRIM(INDEX(PASTE_ALL,8,39)),1+(LEFT(TRIM(INDEX(PASTE_ALL,8,39)),1)="-"),999),1)="%")),"0",""),"1",""),"2",""),"3",""),"4",""),"5",""),"6",""),"7",""),"8",""),"9",""),".",""),",","")=""),2,1))),1)</f>
        <v/>
      </c>
      <c r="BL57">
        <f>IFERROR(IF(ISNUMBER(INDEX(PASTE_ALL,8,40)),2,IF(TRIM(INDEX(PASTE_ALL,8,40))="",0,IF(AND(LEFT(MID(TRIM(INDEX(PASTE_ALL,8,40)),1+(LEFT(TRIM(INDEX(PASTE_ALL,8,40)),1)="-"),999),LEN(MID(TRIM(INDEX(PASTE_ALL,8,40)),1+(LEFT(TRIM(INDEX(PASTE_ALL,8,40)),1)="-"),999))-(RIGHT(MID(TRIM(INDEX(PASTE_ALL,8,40)),1+(LEFT(TRIM(INDEX(PASTE_ALL,8,40)),1)="-"),999),1)="%"))&lt;&gt;"",SUBSTITUTE(SUBSTITUTE(SUBSTITUTE(SUBSTITUTE(SUBSTITUTE(SUBSTITUTE(SUBSTITUTE(SUBSTITUTE(SUBSTITUTE(SUBSTITUTE(SUBSTITUTE(SUBSTITUTE(LEFT(MID(TRIM(INDEX(PASTE_ALL,8,40)),1+(LEFT(TRIM(INDEX(PASTE_ALL,8,40)),1)="-"),999),LEN(MID(TRIM(INDEX(PASTE_ALL,8,40)),1+(LEFT(TRIM(INDEX(PASTE_ALL,8,40)),1)="-"),999))-(RIGHT(MID(TRIM(INDEX(PASTE_ALL,8,40)),1+(LEFT(TRIM(INDEX(PASTE_ALL,8,40)),1)="-"),999),1)="%")),"0",""),"1",""),"2",""),"3",""),"4",""),"5",""),"6",""),"7",""),"8",""),"9",""),".",""),",","")=""),2,1))),1)</f>
        <v/>
      </c>
      <c r="BM57">
        <f>IFERROR(IF(ISNUMBER(INDEX(PASTE_ALL,8,41)),2,IF(TRIM(INDEX(PASTE_ALL,8,41))="",0,IF(AND(LEFT(MID(TRIM(INDEX(PASTE_ALL,8,41)),1+(LEFT(TRIM(INDEX(PASTE_ALL,8,41)),1)="-"),999),LEN(MID(TRIM(INDEX(PASTE_ALL,8,41)),1+(LEFT(TRIM(INDEX(PASTE_ALL,8,41)),1)="-"),999))-(RIGHT(MID(TRIM(INDEX(PASTE_ALL,8,41)),1+(LEFT(TRIM(INDEX(PASTE_ALL,8,41)),1)="-"),999),1)="%"))&lt;&gt;"",SUBSTITUTE(SUBSTITUTE(SUBSTITUTE(SUBSTITUTE(SUBSTITUTE(SUBSTITUTE(SUBSTITUTE(SUBSTITUTE(SUBSTITUTE(SUBSTITUTE(SUBSTITUTE(SUBSTITUTE(LEFT(MID(TRIM(INDEX(PASTE_ALL,8,41)),1+(LEFT(TRIM(INDEX(PASTE_ALL,8,41)),1)="-"),999),LEN(MID(TRIM(INDEX(PASTE_ALL,8,41)),1+(LEFT(TRIM(INDEX(PASTE_ALL,8,41)),1)="-"),999))-(RIGHT(MID(TRIM(INDEX(PASTE_ALL,8,41)),1+(LEFT(TRIM(INDEX(PASTE_ALL,8,41)),1)="-"),999),1)="%")),"0",""),"1",""),"2",""),"3",""),"4",""),"5",""),"6",""),"7",""),"8",""),"9",""),".",""),",","")=""),2,1))),1)</f>
        <v/>
      </c>
      <c r="BN57">
        <f>IFERROR(IF(ISNUMBER(INDEX(PASTE_ALL,8,42)),2,IF(TRIM(INDEX(PASTE_ALL,8,42))="",0,IF(AND(LEFT(MID(TRIM(INDEX(PASTE_ALL,8,42)),1+(LEFT(TRIM(INDEX(PASTE_ALL,8,42)),1)="-"),999),LEN(MID(TRIM(INDEX(PASTE_ALL,8,42)),1+(LEFT(TRIM(INDEX(PASTE_ALL,8,42)),1)="-"),999))-(RIGHT(MID(TRIM(INDEX(PASTE_ALL,8,42)),1+(LEFT(TRIM(INDEX(PASTE_ALL,8,42)),1)="-"),999),1)="%"))&lt;&gt;"",SUBSTITUTE(SUBSTITUTE(SUBSTITUTE(SUBSTITUTE(SUBSTITUTE(SUBSTITUTE(SUBSTITUTE(SUBSTITUTE(SUBSTITUTE(SUBSTITUTE(SUBSTITUTE(SUBSTITUTE(LEFT(MID(TRIM(INDEX(PASTE_ALL,8,42)),1+(LEFT(TRIM(INDEX(PASTE_ALL,8,42)),1)="-"),999),LEN(MID(TRIM(INDEX(PASTE_ALL,8,42)),1+(LEFT(TRIM(INDEX(PASTE_ALL,8,42)),1)="-"),999))-(RIGHT(MID(TRIM(INDEX(PASTE_ALL,8,42)),1+(LEFT(TRIM(INDEX(PASTE_ALL,8,42)),1)="-"),999),1)="%")),"0",""),"1",""),"2",""),"3",""),"4",""),"5",""),"6",""),"7",""),"8",""),"9",""),".",""),",","")=""),2,1))),1)</f>
        <v/>
      </c>
      <c r="BO57">
        <f>IFERROR(IF(ISNUMBER(INDEX(PASTE_ALL,8,43)),2,IF(TRIM(INDEX(PASTE_ALL,8,43))="",0,IF(AND(LEFT(MID(TRIM(INDEX(PASTE_ALL,8,43)),1+(LEFT(TRIM(INDEX(PASTE_ALL,8,43)),1)="-"),999),LEN(MID(TRIM(INDEX(PASTE_ALL,8,43)),1+(LEFT(TRIM(INDEX(PASTE_ALL,8,43)),1)="-"),999))-(RIGHT(MID(TRIM(INDEX(PASTE_ALL,8,43)),1+(LEFT(TRIM(INDEX(PASTE_ALL,8,43)),1)="-"),999),1)="%"))&lt;&gt;"",SUBSTITUTE(SUBSTITUTE(SUBSTITUTE(SUBSTITUTE(SUBSTITUTE(SUBSTITUTE(SUBSTITUTE(SUBSTITUTE(SUBSTITUTE(SUBSTITUTE(SUBSTITUTE(SUBSTITUTE(LEFT(MID(TRIM(INDEX(PASTE_ALL,8,43)),1+(LEFT(TRIM(INDEX(PASTE_ALL,8,43)),1)="-"),999),LEN(MID(TRIM(INDEX(PASTE_ALL,8,43)),1+(LEFT(TRIM(INDEX(PASTE_ALL,8,43)),1)="-"),999))-(RIGHT(MID(TRIM(INDEX(PASTE_ALL,8,43)),1+(LEFT(TRIM(INDEX(PASTE_ALL,8,43)),1)="-"),999),1)="%")),"0",""),"1",""),"2",""),"3",""),"4",""),"5",""),"6",""),"7",""),"8",""),"9",""),".",""),",","")=""),2,1))),1)</f>
        <v/>
      </c>
      <c r="BP57">
        <f>IFERROR(IF(ISNUMBER(INDEX(PASTE_ALL,8,44)),2,IF(TRIM(INDEX(PASTE_ALL,8,44))="",0,IF(AND(LEFT(MID(TRIM(INDEX(PASTE_ALL,8,44)),1+(LEFT(TRIM(INDEX(PASTE_ALL,8,44)),1)="-"),999),LEN(MID(TRIM(INDEX(PASTE_ALL,8,44)),1+(LEFT(TRIM(INDEX(PASTE_ALL,8,44)),1)="-"),999))-(RIGHT(MID(TRIM(INDEX(PASTE_ALL,8,44)),1+(LEFT(TRIM(INDEX(PASTE_ALL,8,44)),1)="-"),999),1)="%"))&lt;&gt;"",SUBSTITUTE(SUBSTITUTE(SUBSTITUTE(SUBSTITUTE(SUBSTITUTE(SUBSTITUTE(SUBSTITUTE(SUBSTITUTE(SUBSTITUTE(SUBSTITUTE(SUBSTITUTE(SUBSTITUTE(LEFT(MID(TRIM(INDEX(PASTE_ALL,8,44)),1+(LEFT(TRIM(INDEX(PASTE_ALL,8,44)),1)="-"),999),LEN(MID(TRIM(INDEX(PASTE_ALL,8,44)),1+(LEFT(TRIM(INDEX(PASTE_ALL,8,44)),1)="-"),999))-(RIGHT(MID(TRIM(INDEX(PASTE_ALL,8,44)),1+(LEFT(TRIM(INDEX(PASTE_ALL,8,44)),1)="-"),999),1)="%")),"0",""),"1",""),"2",""),"3",""),"4",""),"5",""),"6",""),"7",""),"8",""),"9",""),".",""),",","")=""),2,1))),1)</f>
        <v/>
      </c>
      <c r="BQ57">
        <f>IFERROR(IF(ISNUMBER(INDEX(PASTE_ALL,8,45)),2,IF(TRIM(INDEX(PASTE_ALL,8,45))="",0,IF(AND(LEFT(MID(TRIM(INDEX(PASTE_ALL,8,45)),1+(LEFT(TRIM(INDEX(PASTE_ALL,8,45)),1)="-"),999),LEN(MID(TRIM(INDEX(PASTE_ALL,8,45)),1+(LEFT(TRIM(INDEX(PASTE_ALL,8,45)),1)="-"),999))-(RIGHT(MID(TRIM(INDEX(PASTE_ALL,8,45)),1+(LEFT(TRIM(INDEX(PASTE_ALL,8,45)),1)="-"),999),1)="%"))&lt;&gt;"",SUBSTITUTE(SUBSTITUTE(SUBSTITUTE(SUBSTITUTE(SUBSTITUTE(SUBSTITUTE(SUBSTITUTE(SUBSTITUTE(SUBSTITUTE(SUBSTITUTE(SUBSTITUTE(SUBSTITUTE(LEFT(MID(TRIM(INDEX(PASTE_ALL,8,45)),1+(LEFT(TRIM(INDEX(PASTE_ALL,8,45)),1)="-"),999),LEN(MID(TRIM(INDEX(PASTE_ALL,8,45)),1+(LEFT(TRIM(INDEX(PASTE_ALL,8,45)),1)="-"),999))-(RIGHT(MID(TRIM(INDEX(PASTE_ALL,8,45)),1+(LEFT(TRIM(INDEX(PASTE_ALL,8,45)),1)="-"),999),1)="%")),"0",""),"1",""),"2",""),"3",""),"4",""),"5",""),"6",""),"7",""),"8",""),"9",""),".",""),",","")=""),2,1))),1)</f>
        <v/>
      </c>
      <c r="BR57">
        <f>IFERROR(IF(ISNUMBER(INDEX(PASTE_ALL,8,46)),2,IF(TRIM(INDEX(PASTE_ALL,8,46))="",0,IF(AND(LEFT(MID(TRIM(INDEX(PASTE_ALL,8,46)),1+(LEFT(TRIM(INDEX(PASTE_ALL,8,46)),1)="-"),999),LEN(MID(TRIM(INDEX(PASTE_ALL,8,46)),1+(LEFT(TRIM(INDEX(PASTE_ALL,8,46)),1)="-"),999))-(RIGHT(MID(TRIM(INDEX(PASTE_ALL,8,46)),1+(LEFT(TRIM(INDEX(PASTE_ALL,8,46)),1)="-"),999),1)="%"))&lt;&gt;"",SUBSTITUTE(SUBSTITUTE(SUBSTITUTE(SUBSTITUTE(SUBSTITUTE(SUBSTITUTE(SUBSTITUTE(SUBSTITUTE(SUBSTITUTE(SUBSTITUTE(SUBSTITUTE(SUBSTITUTE(LEFT(MID(TRIM(INDEX(PASTE_ALL,8,46)),1+(LEFT(TRIM(INDEX(PASTE_ALL,8,46)),1)="-"),999),LEN(MID(TRIM(INDEX(PASTE_ALL,8,46)),1+(LEFT(TRIM(INDEX(PASTE_ALL,8,46)),1)="-"),999))-(RIGHT(MID(TRIM(INDEX(PASTE_ALL,8,46)),1+(LEFT(TRIM(INDEX(PASTE_ALL,8,46)),1)="-"),999),1)="%")),"0",""),"1",""),"2",""),"3",""),"4",""),"5",""),"6",""),"7",""),"8",""),"9",""),".",""),",","")=""),2,1))),1)</f>
        <v/>
      </c>
      <c r="BS57">
        <f>IFERROR(IF(ISNUMBER(INDEX(PASTE_ALL,8,47)),2,IF(TRIM(INDEX(PASTE_ALL,8,47))="",0,IF(AND(LEFT(MID(TRIM(INDEX(PASTE_ALL,8,47)),1+(LEFT(TRIM(INDEX(PASTE_ALL,8,47)),1)="-"),999),LEN(MID(TRIM(INDEX(PASTE_ALL,8,47)),1+(LEFT(TRIM(INDEX(PASTE_ALL,8,47)),1)="-"),999))-(RIGHT(MID(TRIM(INDEX(PASTE_ALL,8,47)),1+(LEFT(TRIM(INDEX(PASTE_ALL,8,47)),1)="-"),999),1)="%"))&lt;&gt;"",SUBSTITUTE(SUBSTITUTE(SUBSTITUTE(SUBSTITUTE(SUBSTITUTE(SUBSTITUTE(SUBSTITUTE(SUBSTITUTE(SUBSTITUTE(SUBSTITUTE(SUBSTITUTE(SUBSTITUTE(LEFT(MID(TRIM(INDEX(PASTE_ALL,8,47)),1+(LEFT(TRIM(INDEX(PASTE_ALL,8,47)),1)="-"),999),LEN(MID(TRIM(INDEX(PASTE_ALL,8,47)),1+(LEFT(TRIM(INDEX(PASTE_ALL,8,47)),1)="-"),999))-(RIGHT(MID(TRIM(INDEX(PASTE_ALL,8,47)),1+(LEFT(TRIM(INDEX(PASTE_ALL,8,47)),1)="-"),999),1)="%")),"0",""),"1",""),"2",""),"3",""),"4",""),"5",""),"6",""),"7",""),"8",""),"9",""),".",""),",","")=""),2,1))),1)</f>
        <v/>
      </c>
      <c r="BT57">
        <f>IFERROR(IF(ISNUMBER(INDEX(PASTE_ALL,8,48)),2,IF(TRIM(INDEX(PASTE_ALL,8,48))="",0,IF(AND(LEFT(MID(TRIM(INDEX(PASTE_ALL,8,48)),1+(LEFT(TRIM(INDEX(PASTE_ALL,8,48)),1)="-"),999),LEN(MID(TRIM(INDEX(PASTE_ALL,8,48)),1+(LEFT(TRIM(INDEX(PASTE_ALL,8,48)),1)="-"),999))-(RIGHT(MID(TRIM(INDEX(PASTE_ALL,8,48)),1+(LEFT(TRIM(INDEX(PASTE_ALL,8,48)),1)="-"),999),1)="%"))&lt;&gt;"",SUBSTITUTE(SUBSTITUTE(SUBSTITUTE(SUBSTITUTE(SUBSTITUTE(SUBSTITUTE(SUBSTITUTE(SUBSTITUTE(SUBSTITUTE(SUBSTITUTE(SUBSTITUTE(SUBSTITUTE(LEFT(MID(TRIM(INDEX(PASTE_ALL,8,48)),1+(LEFT(TRIM(INDEX(PASTE_ALL,8,48)),1)="-"),999),LEN(MID(TRIM(INDEX(PASTE_ALL,8,48)),1+(LEFT(TRIM(INDEX(PASTE_ALL,8,48)),1)="-"),999))-(RIGHT(MID(TRIM(INDEX(PASTE_ALL,8,48)),1+(LEFT(TRIM(INDEX(PASTE_ALL,8,48)),1)="-"),999),1)="%")),"0",""),"1",""),"2",""),"3",""),"4",""),"5",""),"6",""),"7",""),"8",""),"9",""),".",""),",","")=""),2,1))),1)</f>
        <v/>
      </c>
      <c r="BU57">
        <f>IFERROR(IF(ISNUMBER(INDEX(PASTE_ALL,8,49)),2,IF(TRIM(INDEX(PASTE_ALL,8,49))="",0,IF(AND(LEFT(MID(TRIM(INDEX(PASTE_ALL,8,49)),1+(LEFT(TRIM(INDEX(PASTE_ALL,8,49)),1)="-"),999),LEN(MID(TRIM(INDEX(PASTE_ALL,8,49)),1+(LEFT(TRIM(INDEX(PASTE_ALL,8,49)),1)="-"),999))-(RIGHT(MID(TRIM(INDEX(PASTE_ALL,8,49)),1+(LEFT(TRIM(INDEX(PASTE_ALL,8,49)),1)="-"),999),1)="%"))&lt;&gt;"",SUBSTITUTE(SUBSTITUTE(SUBSTITUTE(SUBSTITUTE(SUBSTITUTE(SUBSTITUTE(SUBSTITUTE(SUBSTITUTE(SUBSTITUTE(SUBSTITUTE(SUBSTITUTE(SUBSTITUTE(LEFT(MID(TRIM(INDEX(PASTE_ALL,8,49)),1+(LEFT(TRIM(INDEX(PASTE_ALL,8,49)),1)="-"),999),LEN(MID(TRIM(INDEX(PASTE_ALL,8,49)),1+(LEFT(TRIM(INDEX(PASTE_ALL,8,49)),1)="-"),999))-(RIGHT(MID(TRIM(INDEX(PASTE_ALL,8,49)),1+(LEFT(TRIM(INDEX(PASTE_ALL,8,49)),1)="-"),999),1)="%")),"0",""),"1",""),"2",""),"3",""),"4",""),"5",""),"6",""),"7",""),"8",""),"9",""),".",""),",","")=""),2,1))),1)</f>
        <v/>
      </c>
      <c r="BV57">
        <f>IFERROR(IF(ISNUMBER(INDEX(PASTE_ALL,8,50)),2,IF(TRIM(INDEX(PASTE_ALL,8,50))="",0,IF(AND(LEFT(MID(TRIM(INDEX(PASTE_ALL,8,50)),1+(LEFT(TRIM(INDEX(PASTE_ALL,8,50)),1)="-"),999),LEN(MID(TRIM(INDEX(PASTE_ALL,8,50)),1+(LEFT(TRIM(INDEX(PASTE_ALL,8,50)),1)="-"),999))-(RIGHT(MID(TRIM(INDEX(PASTE_ALL,8,50)),1+(LEFT(TRIM(INDEX(PASTE_ALL,8,50)),1)="-"),999),1)="%"))&lt;&gt;"",SUBSTITUTE(SUBSTITUTE(SUBSTITUTE(SUBSTITUTE(SUBSTITUTE(SUBSTITUTE(SUBSTITUTE(SUBSTITUTE(SUBSTITUTE(SUBSTITUTE(SUBSTITUTE(SUBSTITUTE(LEFT(MID(TRIM(INDEX(PASTE_ALL,8,50)),1+(LEFT(TRIM(INDEX(PASTE_ALL,8,50)),1)="-"),999),LEN(MID(TRIM(INDEX(PASTE_ALL,8,50)),1+(LEFT(TRIM(INDEX(PASTE_ALL,8,50)),1)="-"),999))-(RIGHT(MID(TRIM(INDEX(PASTE_ALL,8,50)),1+(LEFT(TRIM(INDEX(PASTE_ALL,8,50)),1)="-"),999),1)="%")),"0",""),"1",""),"2",""),"3",""),"4",""),"5",""),"6",""),"7",""),"8",""),"9",""),".",""),",","")=""),2,1))),1)</f>
        <v/>
      </c>
      <c r="BW57">
        <f>IFERROR(IF(ISNUMBER(INDEX(PASTE_ALL,8,51)),2,IF(TRIM(INDEX(PASTE_ALL,8,51))="",0,IF(AND(LEFT(MID(TRIM(INDEX(PASTE_ALL,8,51)),1+(LEFT(TRIM(INDEX(PASTE_ALL,8,51)),1)="-"),999),LEN(MID(TRIM(INDEX(PASTE_ALL,8,51)),1+(LEFT(TRIM(INDEX(PASTE_ALL,8,51)),1)="-"),999))-(RIGHT(MID(TRIM(INDEX(PASTE_ALL,8,51)),1+(LEFT(TRIM(INDEX(PASTE_ALL,8,51)),1)="-"),999),1)="%"))&lt;&gt;"",SUBSTITUTE(SUBSTITUTE(SUBSTITUTE(SUBSTITUTE(SUBSTITUTE(SUBSTITUTE(SUBSTITUTE(SUBSTITUTE(SUBSTITUTE(SUBSTITUTE(SUBSTITUTE(SUBSTITUTE(LEFT(MID(TRIM(INDEX(PASTE_ALL,8,51)),1+(LEFT(TRIM(INDEX(PASTE_ALL,8,51)),1)="-"),999),LEN(MID(TRIM(INDEX(PASTE_ALL,8,51)),1+(LEFT(TRIM(INDEX(PASTE_ALL,8,51)),1)="-"),999))-(RIGHT(MID(TRIM(INDEX(PASTE_ALL,8,51)),1+(LEFT(TRIM(INDEX(PASTE_ALL,8,51)),1)="-"),999),1)="%")),"0",""),"1",""),"2",""),"3",""),"4",""),"5",""),"6",""),"7",""),"8",""),"9",""),".",""),",","")=""),2,1))),1)</f>
        <v/>
      </c>
      <c r="BX57">
        <f>IFERROR(IF(ISNUMBER(INDEX(PASTE_ALL,8,52)),2,IF(TRIM(INDEX(PASTE_ALL,8,52))="",0,IF(AND(LEFT(MID(TRIM(INDEX(PASTE_ALL,8,52)),1+(LEFT(TRIM(INDEX(PASTE_ALL,8,52)),1)="-"),999),LEN(MID(TRIM(INDEX(PASTE_ALL,8,52)),1+(LEFT(TRIM(INDEX(PASTE_ALL,8,52)),1)="-"),999))-(RIGHT(MID(TRIM(INDEX(PASTE_ALL,8,52)),1+(LEFT(TRIM(INDEX(PASTE_ALL,8,52)),1)="-"),999),1)="%"))&lt;&gt;"",SUBSTITUTE(SUBSTITUTE(SUBSTITUTE(SUBSTITUTE(SUBSTITUTE(SUBSTITUTE(SUBSTITUTE(SUBSTITUTE(SUBSTITUTE(SUBSTITUTE(SUBSTITUTE(SUBSTITUTE(LEFT(MID(TRIM(INDEX(PASTE_ALL,8,52)),1+(LEFT(TRIM(INDEX(PASTE_ALL,8,52)),1)="-"),999),LEN(MID(TRIM(INDEX(PASTE_ALL,8,52)),1+(LEFT(TRIM(INDEX(PASTE_ALL,8,52)),1)="-"),999))-(RIGHT(MID(TRIM(INDEX(PASTE_ALL,8,52)),1+(LEFT(TRIM(INDEX(PASTE_ALL,8,52)),1)="-"),999),1)="%")),"0",""),"1",""),"2",""),"3",""),"4",""),"5",""),"6",""),"7",""),"8",""),"9",""),".",""),",","")=""),2,1))),1)</f>
        <v/>
      </c>
      <c r="BY57">
        <f>IFERROR(IF(ISNUMBER(INDEX(PASTE_ALL,8,53)),2,IF(TRIM(INDEX(PASTE_ALL,8,53))="",0,IF(AND(LEFT(MID(TRIM(INDEX(PASTE_ALL,8,53)),1+(LEFT(TRIM(INDEX(PASTE_ALL,8,53)),1)="-"),999),LEN(MID(TRIM(INDEX(PASTE_ALL,8,53)),1+(LEFT(TRIM(INDEX(PASTE_ALL,8,53)),1)="-"),999))-(RIGHT(MID(TRIM(INDEX(PASTE_ALL,8,53)),1+(LEFT(TRIM(INDEX(PASTE_ALL,8,53)),1)="-"),999),1)="%"))&lt;&gt;"",SUBSTITUTE(SUBSTITUTE(SUBSTITUTE(SUBSTITUTE(SUBSTITUTE(SUBSTITUTE(SUBSTITUTE(SUBSTITUTE(SUBSTITUTE(SUBSTITUTE(SUBSTITUTE(SUBSTITUTE(LEFT(MID(TRIM(INDEX(PASTE_ALL,8,53)),1+(LEFT(TRIM(INDEX(PASTE_ALL,8,53)),1)="-"),999),LEN(MID(TRIM(INDEX(PASTE_ALL,8,53)),1+(LEFT(TRIM(INDEX(PASTE_ALL,8,53)),1)="-"),999))-(RIGHT(MID(TRIM(INDEX(PASTE_ALL,8,53)),1+(LEFT(TRIM(INDEX(PASTE_ALL,8,53)),1)="-"),999),1)="%")),"0",""),"1",""),"2",""),"3",""),"4",""),"5",""),"6",""),"7",""),"8",""),"9",""),".",""),",","")=""),2,1))),1)</f>
        <v/>
      </c>
      <c r="BZ57">
        <f>IFERROR(IF(ISNUMBER(INDEX(PASTE_ALL,8,54)),2,IF(TRIM(INDEX(PASTE_ALL,8,54))="",0,IF(AND(LEFT(MID(TRIM(INDEX(PASTE_ALL,8,54)),1+(LEFT(TRIM(INDEX(PASTE_ALL,8,54)),1)="-"),999),LEN(MID(TRIM(INDEX(PASTE_ALL,8,54)),1+(LEFT(TRIM(INDEX(PASTE_ALL,8,54)),1)="-"),999))-(RIGHT(MID(TRIM(INDEX(PASTE_ALL,8,54)),1+(LEFT(TRIM(INDEX(PASTE_ALL,8,54)),1)="-"),999),1)="%"))&lt;&gt;"",SUBSTITUTE(SUBSTITUTE(SUBSTITUTE(SUBSTITUTE(SUBSTITUTE(SUBSTITUTE(SUBSTITUTE(SUBSTITUTE(SUBSTITUTE(SUBSTITUTE(SUBSTITUTE(SUBSTITUTE(LEFT(MID(TRIM(INDEX(PASTE_ALL,8,54)),1+(LEFT(TRIM(INDEX(PASTE_ALL,8,54)),1)="-"),999),LEN(MID(TRIM(INDEX(PASTE_ALL,8,54)),1+(LEFT(TRIM(INDEX(PASTE_ALL,8,54)),1)="-"),999))-(RIGHT(MID(TRIM(INDEX(PASTE_ALL,8,54)),1+(LEFT(TRIM(INDEX(PASTE_ALL,8,54)),1)="-"),999),1)="%")),"0",""),"1",""),"2",""),"3",""),"4",""),"5",""),"6",""),"7",""),"8",""),"9",""),".",""),",","")=""),2,1))),1)</f>
        <v/>
      </c>
      <c r="CA57">
        <f>IFERROR(IF(ISNUMBER(INDEX(PASTE_ALL,8,55)),2,IF(TRIM(INDEX(PASTE_ALL,8,55))="",0,IF(AND(LEFT(MID(TRIM(INDEX(PASTE_ALL,8,55)),1+(LEFT(TRIM(INDEX(PASTE_ALL,8,55)),1)="-"),999),LEN(MID(TRIM(INDEX(PASTE_ALL,8,55)),1+(LEFT(TRIM(INDEX(PASTE_ALL,8,55)),1)="-"),999))-(RIGHT(MID(TRIM(INDEX(PASTE_ALL,8,55)),1+(LEFT(TRIM(INDEX(PASTE_ALL,8,55)),1)="-"),999),1)="%"))&lt;&gt;"",SUBSTITUTE(SUBSTITUTE(SUBSTITUTE(SUBSTITUTE(SUBSTITUTE(SUBSTITUTE(SUBSTITUTE(SUBSTITUTE(SUBSTITUTE(SUBSTITUTE(SUBSTITUTE(SUBSTITUTE(LEFT(MID(TRIM(INDEX(PASTE_ALL,8,55)),1+(LEFT(TRIM(INDEX(PASTE_ALL,8,55)),1)="-"),999),LEN(MID(TRIM(INDEX(PASTE_ALL,8,55)),1+(LEFT(TRIM(INDEX(PASTE_ALL,8,55)),1)="-"),999))-(RIGHT(MID(TRIM(INDEX(PASTE_ALL,8,55)),1+(LEFT(TRIM(INDEX(PASTE_ALL,8,55)),1)="-"),999),1)="%")),"0",""),"1",""),"2",""),"3",""),"4",""),"5",""),"6",""),"7",""),"8",""),"9",""),".",""),",","")=""),2,1))),1)</f>
        <v/>
      </c>
      <c r="CB57">
        <f>IFERROR(IF(ISNUMBER(INDEX(PASTE_ALL,8,56)),2,IF(TRIM(INDEX(PASTE_ALL,8,56))="",0,IF(AND(LEFT(MID(TRIM(INDEX(PASTE_ALL,8,56)),1+(LEFT(TRIM(INDEX(PASTE_ALL,8,56)),1)="-"),999),LEN(MID(TRIM(INDEX(PASTE_ALL,8,56)),1+(LEFT(TRIM(INDEX(PASTE_ALL,8,56)),1)="-"),999))-(RIGHT(MID(TRIM(INDEX(PASTE_ALL,8,56)),1+(LEFT(TRIM(INDEX(PASTE_ALL,8,56)),1)="-"),999),1)="%"))&lt;&gt;"",SUBSTITUTE(SUBSTITUTE(SUBSTITUTE(SUBSTITUTE(SUBSTITUTE(SUBSTITUTE(SUBSTITUTE(SUBSTITUTE(SUBSTITUTE(SUBSTITUTE(SUBSTITUTE(SUBSTITUTE(LEFT(MID(TRIM(INDEX(PASTE_ALL,8,56)),1+(LEFT(TRIM(INDEX(PASTE_ALL,8,56)),1)="-"),999),LEN(MID(TRIM(INDEX(PASTE_ALL,8,56)),1+(LEFT(TRIM(INDEX(PASTE_ALL,8,56)),1)="-"),999))-(RIGHT(MID(TRIM(INDEX(PASTE_ALL,8,56)),1+(LEFT(TRIM(INDEX(PASTE_ALL,8,56)),1)="-"),999),1)="%")),"0",""),"1",""),"2",""),"3",""),"4",""),"5",""),"6",""),"7",""),"8",""),"9",""),".",""),",","")=""),2,1))),1)</f>
        <v/>
      </c>
      <c r="CC57">
        <f>IFERROR(IF(ISNUMBER(INDEX(PASTE_ALL,8,57)),2,IF(TRIM(INDEX(PASTE_ALL,8,57))="",0,IF(AND(LEFT(MID(TRIM(INDEX(PASTE_ALL,8,57)),1+(LEFT(TRIM(INDEX(PASTE_ALL,8,57)),1)="-"),999),LEN(MID(TRIM(INDEX(PASTE_ALL,8,57)),1+(LEFT(TRIM(INDEX(PASTE_ALL,8,57)),1)="-"),999))-(RIGHT(MID(TRIM(INDEX(PASTE_ALL,8,57)),1+(LEFT(TRIM(INDEX(PASTE_ALL,8,57)),1)="-"),999),1)="%"))&lt;&gt;"",SUBSTITUTE(SUBSTITUTE(SUBSTITUTE(SUBSTITUTE(SUBSTITUTE(SUBSTITUTE(SUBSTITUTE(SUBSTITUTE(SUBSTITUTE(SUBSTITUTE(SUBSTITUTE(SUBSTITUTE(LEFT(MID(TRIM(INDEX(PASTE_ALL,8,57)),1+(LEFT(TRIM(INDEX(PASTE_ALL,8,57)),1)="-"),999),LEN(MID(TRIM(INDEX(PASTE_ALL,8,57)),1+(LEFT(TRIM(INDEX(PASTE_ALL,8,57)),1)="-"),999))-(RIGHT(MID(TRIM(INDEX(PASTE_ALL,8,57)),1+(LEFT(TRIM(INDEX(PASTE_ALL,8,57)),1)="-"),999),1)="%")),"0",""),"1",""),"2",""),"3",""),"4",""),"5",""),"6",""),"7",""),"8",""),"9",""),".",""),",","")=""),2,1))),1)</f>
        <v/>
      </c>
      <c r="CD57">
        <f>IFERROR(IF(ISNUMBER(INDEX(PASTE_ALL,8,58)),2,IF(TRIM(INDEX(PASTE_ALL,8,58))="",0,IF(AND(LEFT(MID(TRIM(INDEX(PASTE_ALL,8,58)),1+(LEFT(TRIM(INDEX(PASTE_ALL,8,58)),1)="-"),999),LEN(MID(TRIM(INDEX(PASTE_ALL,8,58)),1+(LEFT(TRIM(INDEX(PASTE_ALL,8,58)),1)="-"),999))-(RIGHT(MID(TRIM(INDEX(PASTE_ALL,8,58)),1+(LEFT(TRIM(INDEX(PASTE_ALL,8,58)),1)="-"),999),1)="%"))&lt;&gt;"",SUBSTITUTE(SUBSTITUTE(SUBSTITUTE(SUBSTITUTE(SUBSTITUTE(SUBSTITUTE(SUBSTITUTE(SUBSTITUTE(SUBSTITUTE(SUBSTITUTE(SUBSTITUTE(SUBSTITUTE(LEFT(MID(TRIM(INDEX(PASTE_ALL,8,58)),1+(LEFT(TRIM(INDEX(PASTE_ALL,8,58)),1)="-"),999),LEN(MID(TRIM(INDEX(PASTE_ALL,8,58)),1+(LEFT(TRIM(INDEX(PASTE_ALL,8,58)),1)="-"),999))-(RIGHT(MID(TRIM(INDEX(PASTE_ALL,8,58)),1+(LEFT(TRIM(INDEX(PASTE_ALL,8,58)),1)="-"),999),1)="%")),"0",""),"1",""),"2",""),"3",""),"4",""),"5",""),"6",""),"7",""),"8",""),"9",""),".",""),",","")=""),2,1))),1)</f>
        <v/>
      </c>
      <c r="CE57">
        <f>IFERROR(IF(ISNUMBER(INDEX(PASTE_ALL,8,59)),2,IF(TRIM(INDEX(PASTE_ALL,8,59))="",0,IF(AND(LEFT(MID(TRIM(INDEX(PASTE_ALL,8,59)),1+(LEFT(TRIM(INDEX(PASTE_ALL,8,59)),1)="-"),999),LEN(MID(TRIM(INDEX(PASTE_ALL,8,59)),1+(LEFT(TRIM(INDEX(PASTE_ALL,8,59)),1)="-"),999))-(RIGHT(MID(TRIM(INDEX(PASTE_ALL,8,59)),1+(LEFT(TRIM(INDEX(PASTE_ALL,8,59)),1)="-"),999),1)="%"))&lt;&gt;"",SUBSTITUTE(SUBSTITUTE(SUBSTITUTE(SUBSTITUTE(SUBSTITUTE(SUBSTITUTE(SUBSTITUTE(SUBSTITUTE(SUBSTITUTE(SUBSTITUTE(SUBSTITUTE(SUBSTITUTE(LEFT(MID(TRIM(INDEX(PASTE_ALL,8,59)),1+(LEFT(TRIM(INDEX(PASTE_ALL,8,59)),1)="-"),999),LEN(MID(TRIM(INDEX(PASTE_ALL,8,59)),1+(LEFT(TRIM(INDEX(PASTE_ALL,8,59)),1)="-"),999))-(RIGHT(MID(TRIM(INDEX(PASTE_ALL,8,59)),1+(LEFT(TRIM(INDEX(PASTE_ALL,8,59)),1)="-"),999),1)="%")),"0",""),"1",""),"2",""),"3",""),"4",""),"5",""),"6",""),"7",""),"8",""),"9",""),".",""),",","")=""),2,1))),1)</f>
        <v/>
      </c>
      <c r="CF57">
        <f>IFERROR(IF(ISNUMBER(INDEX(PASTE_ALL,8,60)),2,IF(TRIM(INDEX(PASTE_ALL,8,60))="",0,IF(AND(LEFT(MID(TRIM(INDEX(PASTE_ALL,8,60)),1+(LEFT(TRIM(INDEX(PASTE_ALL,8,60)),1)="-"),999),LEN(MID(TRIM(INDEX(PASTE_ALL,8,60)),1+(LEFT(TRIM(INDEX(PASTE_ALL,8,60)),1)="-"),999))-(RIGHT(MID(TRIM(INDEX(PASTE_ALL,8,60)),1+(LEFT(TRIM(INDEX(PASTE_ALL,8,60)),1)="-"),999),1)="%"))&lt;&gt;"",SUBSTITUTE(SUBSTITUTE(SUBSTITUTE(SUBSTITUTE(SUBSTITUTE(SUBSTITUTE(SUBSTITUTE(SUBSTITUTE(SUBSTITUTE(SUBSTITUTE(SUBSTITUTE(SUBSTITUTE(LEFT(MID(TRIM(INDEX(PASTE_ALL,8,60)),1+(LEFT(TRIM(INDEX(PASTE_ALL,8,60)),1)="-"),999),LEN(MID(TRIM(INDEX(PASTE_ALL,8,60)),1+(LEFT(TRIM(INDEX(PASTE_ALL,8,60)),1)="-"),999))-(RIGHT(MID(TRIM(INDEX(PASTE_ALL,8,60)),1+(LEFT(TRIM(INDEX(PASTE_ALL,8,60)),1)="-"),999),1)="%")),"0",""),"1",""),"2",""),"3",""),"4",""),"5",""),"6",""),"7",""),"8",""),"9",""),".",""),",","")=""),2,1))),1)</f>
        <v/>
      </c>
      <c r="DA57" t="n">
        <v>53</v>
      </c>
      <c r="DB57">
        <f>IF($B$37=0,"",IFERROR(TRIM(SUBSTITUTE(SUBSTITUTE(SUBSTITUTE(SUBSTITUTE(INDEX(PASTE_ALL,53,$B$37)," "," "),CHAR(9)," "),CHAR(10)," "),CHAR(13)," ")),""))</f>
        <v/>
      </c>
      <c r="DC57">
        <f>IF(AND(53&gt;HEADER_ROW,UPPER(DB57)="LEGEND"),1,0)</f>
        <v/>
      </c>
      <c r="DE57" t="n">
        <v>53</v>
      </c>
      <c r="DF57">
        <f>HEADER_ROW+$DE57</f>
        <v/>
      </c>
      <c r="DG57">
        <f>IF(AND($DF57&lt;=1000,$DF57&lt;$B$8),1,0)</f>
        <v/>
      </c>
      <c r="DH57">
        <f>IF($DG57=1,IFERROR(INDEX($DB$5:$DB$1004,$DF57),""),"")</f>
        <v/>
      </c>
      <c r="DI57">
        <f>IF(AND($DG57=1,$DH57&lt;&gt;""),IFERROR(SUBSTITUTE(SUBSTITUTE(TRIM(SUBSTITUTE(SUBSTITUTE(SUBSTITUTE(SUBSTITUTE(IFERROR(INDEX(PASTE_ALL,$DF57,1)&amp;"","")&amp;"␟"&amp;IFERROR(INDEX(PASTE_ALL,$DF57,2)&amp;"","")&amp;"␟"&amp;IFERROR(INDEX(PASTE_ALL,$DF57,3)&amp;"","")&amp;"␟"&amp;IFERROR(INDEX(PASTE_ALL,$DF57,4)&amp;"","")&amp;"␟"&amp;IFERROR(INDEX(PASTE_ALL,$DF57,5)&amp;"","")&amp;"␟"&amp;IFERROR(INDEX(PASTE_ALL,$DF57,6)&amp;"","")&amp;"␟"&amp;IFERROR(INDEX(PASTE_ALL,$DF57,7)&amp;"","")&amp;"␟"&amp;IFERROR(INDEX(PASTE_ALL,$DF57,8)&amp;"","")&amp;"␟"&amp;IFERROR(INDEX(PASTE_ALL,$DF57,9)&amp;"","")&amp;"␟"&amp;IFERROR(INDEX(PASTE_ALL,$DF57,10)&amp;"","")&amp;"␟"&amp;IFERROR(INDEX(PASTE_ALL,$DF57,11)&amp;"","")&amp;"␟"&amp;IFERROR(INDEX(PASTE_ALL,$DF57,12)&amp;"","")&amp;"␟"&amp;IFERROR(INDEX(PASTE_ALL,$DF57,13)&amp;"","")&amp;"␟"&amp;IFERROR(INDEX(PASTE_ALL,$DF57,14)&amp;"","")&amp;"␟"&amp;IFERROR(INDEX(PASTE_ALL,$DF57,15)&amp;"","")&amp;"␟"&amp;IFERROR(INDEX(PASTE_ALL,$DF57,16)&amp;"","")&amp;"␟"&amp;IFERROR(INDEX(PASTE_ALL,$DF57,17)&amp;"","")&amp;"␟"&amp;IFERROR(INDEX(PASTE_ALL,$DF57,18)&amp;"","")&amp;"␟"&amp;IFERROR(INDEX(PASTE_ALL,$DF57,19)&amp;"","")&amp;"␟"&amp;IFERROR(INDEX(PASTE_ALL,$DF57,20)&amp;"","")&amp;"␟"&amp;IFERROR(INDEX(PASTE_ALL,$DF57,21)&amp;"","")&amp;"␟"&amp;IFERROR(INDEX(PASTE_ALL,$DF57,22)&amp;"","")&amp;"␟"&amp;IFERROR(INDEX(PASTE_ALL,$DF57,23)&amp;"","")&amp;"␟"&amp;IFERROR(INDEX(PASTE_ALL,$DF57,24)&amp;"","")&amp;"␟"&amp;IFERROR(INDEX(PASTE_ALL,$DF57,25)&amp;"","")&amp;"␟"&amp;IFERROR(INDEX(PASTE_ALL,$DF57,26)&amp;"","")&amp;"␟"&amp;IFERROR(INDEX(PASTE_ALL,$DF57,27)&amp;"","")&amp;"␟"&amp;IFERROR(INDEX(PASTE_ALL,$DF57,28)&amp;"","")&amp;"␟"&amp;IFERROR(INDEX(PASTE_ALL,$DF57,29)&amp;"","")&amp;"␟"&amp;IFERROR(INDEX(PASTE_ALL,$DF57,30)&amp;"","")&amp;"␟"&amp;IFERROR(INDEX(PASTE_ALL,$DF57,31)&amp;"","")&amp;"␟"&amp;IFERROR(INDEX(PASTE_ALL,$DF57,32)&amp;"","")&amp;"␟"&amp;IFERROR(INDEX(PASTE_ALL,$DF57,33)&amp;"","")&amp;"␟"&amp;IFERROR(INDEX(PASTE_ALL,$DF57,34)&amp;"","")&amp;"␟"&amp;IFERROR(INDEX(PASTE_ALL,$DF57,35)&amp;"","")&amp;"␟"&amp;IFERROR(INDEX(PASTE_ALL,$DF57,36)&amp;"","")&amp;"␟"&amp;IFERROR(INDEX(PASTE_ALL,$DF57,37)&amp;"","")&amp;"␟"&amp;IFERROR(INDEX(PASTE_ALL,$DF57,38)&amp;"","")&amp;"␟"&amp;IFERROR(INDEX(PASTE_ALL,$DF57,39)&amp;"","")&amp;"␟"&amp;IFERROR(INDEX(PASTE_ALL,$DF57,40)&amp;"","")&amp;"␟"&amp;IFERROR(INDEX(PASTE_ALL,$DF57,41)&amp;"","")&amp;"␟"&amp;IFERROR(INDEX(PASTE_ALL,$DF57,42)&amp;"","")&amp;"␟"&amp;IFERROR(INDEX(PASTE_ALL,$DF57,43)&amp;"","")&amp;"␟"&amp;IFERROR(INDEX(PASTE_ALL,$DF57,44)&amp;"","")&amp;"␟"&amp;IFERROR(INDEX(PASTE_ALL,$DF57,45)&amp;"","")&amp;"␟"&amp;IFERROR(INDEX(PASTE_ALL,$DF57,46)&amp;"","")&amp;"␟"&amp;IFERROR(INDEX(PASTE_ALL,$DF57,47)&amp;"","")&amp;"␟"&amp;IFERROR(INDEX(PASTE_ALL,$DF57,48)&amp;"","")&amp;"␟"&amp;IFERROR(INDEX(PASTE_ALL,$DF57,49)&amp;"","")&amp;"␟"&amp;IFERROR(INDEX(PASTE_ALL,$DF57,50)&amp;"","")&amp;"␟"&amp;IFERROR(INDEX(PASTE_ALL,$DF57,51)&amp;"","")&amp;"␟"&amp;IFERROR(INDEX(PASTE_ALL,$DF57,52)&amp;"","")&amp;"␟"&amp;IFERROR(INDEX(PASTE_ALL,$DF57,53)&amp;"","")&amp;"␟"&amp;IFERROR(INDEX(PASTE_ALL,$DF57,54)&amp;"","")&amp;"␟"&amp;IFERROR(INDEX(PASTE_ALL,$DF57,55)&amp;"","")&amp;"␟"&amp;IFERROR(INDEX(PASTE_ALL,$DF57,56)&amp;"","")&amp;"␟"&amp;IFERROR(INDEX(PASTE_ALL,$DF57,57)&amp;"","")&amp;"␟"&amp;IFERROR(INDEX(PASTE_ALL,$DF57,58)&amp;"","")&amp;"␟"&amp;IFERROR(INDEX(PASTE_ALL,$DF57,59)&amp;"","")&amp;"␟"&amp;IFERROR(INDEX(PASTE_ALL,$DF57,60)&amp;"","")," "," "),CHAR(9)," "),CHAR(10)," "),CHAR(13)," "))," ␟","␟"),"␟ ","␟"),"#"&amp;$DE57),"")</f>
        <v/>
      </c>
      <c r="DJ57">
        <f>IF($DI57="",0,IF(SUMPRODUCT(--EXACT($DI$4:DI56,$DI57))&gt;0,1,0))</f>
        <v/>
      </c>
      <c r="DK57">
        <f>IF(AND($DI57&lt;&gt;"",$DJ57=0),1,0)</f>
        <v/>
      </c>
      <c r="DL57">
        <f>DL56+$DK57</f>
        <v/>
      </c>
      <c r="DM57">
        <f>IF(AND($DK57=1,$DL57&lt;=600),1,0)</f>
        <v/>
      </c>
      <c r="DN57">
        <f>IF($DM57=0,"",IF($L$6=0,"",IFERROR(IF(ISNUMBER(INDEX(PASTE_ALL,$DF57,$L$6)),INDEX(PASTE_ALL,$DF57,$L$6),TRIM(SUBSTITUTE(SUBSTITUTE(SUBSTITUTE(SUBSTITUTE(INDEX(PASTE_ALL,$DF57,$L$6)," "," "),CHAR(9)," "),CHAR(10)," "),CHAR(13)," "))),"")))</f>
        <v/>
      </c>
      <c r="DO57">
        <f>IF($DM57=0,"",IF($L$7=0,"",IFERROR(IF(ISNUMBER(INDEX(PASTE_ALL,$DF57,$L$7)),INDEX(PASTE_ALL,$DF57,$L$7),TRIM(SUBSTITUTE(SUBSTITUTE(SUBSTITUTE(SUBSTITUTE(INDEX(PASTE_ALL,$DF57,$L$7)," "," "),CHAR(9)," "),CHAR(10)," "),CHAR(13)," "))),"")))</f>
        <v/>
      </c>
      <c r="DP57">
        <f>IF($DM57=0,"",IF($L$8=0,"",IFERROR(IF(ISNUMBER(INDEX(PASTE_ALL,$DF57,$L$8)),INDEX(PASTE_ALL,$DF57,$L$8),TRIM(SUBSTITUTE(SUBSTITUTE(SUBSTITUTE(SUBSTITUTE(INDEX(PASTE_ALL,$DF57,$L$8)," "," "),CHAR(9)," "),CHAR(10)," "),CHAR(13)," "))),"")))</f>
        <v/>
      </c>
      <c r="DQ57">
        <f>IF($DM57=0,"",IF($L$9=0,"",IFERROR(IF(ISNUMBER(INDEX(PASTE_ALL,$DF57,$L$9)),INDEX(PASTE_ALL,$DF57,$L$9),TRIM(SUBSTITUTE(SUBSTITUTE(SUBSTITUTE(SUBSTITUTE(INDEX(PASTE_ALL,$DF57,$L$9)," "," "),CHAR(9)," "),CHAR(10)," "),CHAR(13)," "))),"")))</f>
        <v/>
      </c>
      <c r="DR57">
        <f>IF($DM57=0,"",IF($L$10=0,"",IFERROR(IF(ISNUMBER(INDEX(PASTE_ALL,$DF57,$L$10)),INDEX(PASTE_ALL,$DF57,$L$10),TRIM(SUBSTITUTE(SUBSTITUTE(SUBSTITUTE(SUBSTITUTE(INDEX(PASTE_ALL,$DF57,$L$10)," "," "),CHAR(9)," "),CHAR(10)," "),CHAR(13)," "))),"")))</f>
        <v/>
      </c>
      <c r="DS57">
        <f>IF($DM57=0,"",IF($L$11=0,"",IFERROR(IF(ISNUMBER(INDEX(PASTE_ALL,$DF57,$L$11)),INDEX(PASTE_ALL,$DF57,$L$11),TRIM(SUBSTITUTE(SUBSTITUTE(SUBSTITUTE(SUBSTITUTE(INDEX(PASTE_ALL,$DF57,$L$11)," "," "),CHAR(9)," "),CHAR(10)," "),CHAR(13)," "))),"")))</f>
        <v/>
      </c>
      <c r="DT57">
        <f>IF($DM57=0,"",IF($L$12=0,"",IFERROR(IF(ISNUMBER(INDEX(PASTE_ALL,$DF57,$L$12)),INDEX(PASTE_ALL,$DF57,$L$12),TRIM(SUBSTITUTE(SUBSTITUTE(SUBSTITUTE(SUBSTITUTE(INDEX(PASTE_ALL,$DF57,$L$12)," "," "),CHAR(9)," "),CHAR(10)," "),CHAR(13)," "))),"")))</f>
        <v/>
      </c>
      <c r="DU57">
        <f>IF($DM57=0,"",IF($L$13=0,"",IFERROR(IF(ISNUMBER(INDEX(PASTE_ALL,$DF57,$L$13)),INDEX(PASTE_ALL,$DF57,$L$13),TRIM(SUBSTITUTE(SUBSTITUTE(SUBSTITUTE(SUBSTITUTE(INDEX(PASTE_ALL,$DF57,$L$13)," "," "),CHAR(9)," "),CHAR(10)," "),CHAR(13)," "))),"")))</f>
        <v/>
      </c>
      <c r="DV57">
        <f>IF($DM57=0,"",IF($L$14=0,"",IFERROR(IF(ISNUMBER(INDEX(PASTE_ALL,$DF57,$L$14)),INDEX(PASTE_ALL,$DF57,$L$14),TRIM(SUBSTITUTE(SUBSTITUTE(SUBSTITUTE(SUBSTITUTE(INDEX(PASTE_ALL,$DF57,$L$14)," "," "),CHAR(9)," "),CHAR(10)," "),CHAR(13)," "))),"")))</f>
        <v/>
      </c>
      <c r="DW57">
        <f>IF($DM57=0,"",IF($L$15=0,"",IFERROR(IF(ISNUMBER(INDEX(PASTE_ALL,$DF57,$L$15)),INDEX(PASTE_ALL,$DF57,$L$15),IF(SUMPRODUCT(--ISNUMBER(FIND({"A","B","C","D","E","F","G","H","I","J","K","L","M","N","O","P","Q","R","S","T","U","V","W","X","Y","Z","0","1","2","3","4","5","6","7","8","9"},UPPER(TRIM(SUBSTITUTE(SUBSTITUTE(SUBSTITUTE(SUBSTITUTE(INDEX(PASTE_ALL,$DF57,$L$15)," "," "),CHAR(9)," "),CHAR(10)," "),CHAR(13)," "))))))&gt;0,TRIM(SUBSTITUTE(SUBSTITUTE(SUBSTITUTE(SUBSTITUTE(INDEX(PASTE_ALL,$DF57,$L$15)," "," "),CHAR(9)," "),CHAR(10)," "),CHAR(13)," ")),"")),"")))</f>
        <v/>
      </c>
      <c r="DX57">
        <f>IF($DM57=0,"",IF($L$16=0,"",IFERROR(IF(ISNUMBER(INDEX(PASTE_ALL,$DF57,$L$16)),INDEX(PASTE_ALL,$DF57,$L$16),SUBSTITUTE(SUBSTITUTE(TRIM(SUBSTITUTE(SUBSTITUTE(SUBSTITUTE(SUBSTITUTE(INDEX(PASTE_ALL,$DF57,$L$16)," "," "),CHAR(9)," "),CHAR(10)," "),CHAR(13)," ")),",",""),"%","")),"")))</f>
        <v/>
      </c>
      <c r="DY57">
        <f>IF($DM57=0,"",IFERROR(IF(ISNUMBER($DX57),$DX57,IF($DX57="","",IF(TRIM($DX57)="",0,IF(AND(AND(SUBSTITUTE(SUBSTITUTE(SUBSTITUTE(SUBSTITUTE(SUBSTITUTE(SUBSTITUTE(SUBSTITUTE(SUBSTITUTE(SUBSTITUTE(SUBSTITUTE(SUBSTITUTE(SUBSTITUTE(SUBSTITUTE(SUBSTITUTE(UPPER(TRIM($DX57)),"0",""),"1",""),"2",""),"3",""),"4",""),"5",""),"6",""),"7",""),"8",""),"9",""),".",""),"+",""),"-",""),"E","")="",LEN(SUBSTITUTE(SUBSTITUTE(MID(UPPER(TRIM($DX57)),1+OR(LEFT(UPPER(TRIM($DX57)),1)="+",LEFT(UPPER(TRIM($DX57)),1)="-"),999),"E+","E"),"E-","E"))=LEN(SUBSTITUTE(SUBSTITUTE(SUBSTITUTE(SUBSTITUTE(MID(UPPER(TRIM($DX57)),1+OR(LEFT(UPPER(TRIM($DX57)),1)="+",LEFT(UPPER(TRIM($DX57)),1)="-"),999),"E+","E"),"E-","E"),"+",""),"-","")),LEN(UPPER(TRIM($DX57)))-LEN(SUBSTITUTE(UPPER(TRIM($DX57)),"E",""))&lt;2,LEN(UPPER(TRIM($DX57)))-LEN(SUBSTITUTE(UPPER(TRIM($DX57)),".",""))&lt;2,IFERROR(FIND(".",UPPER(TRIM($DX57))),0)&lt;IFERROR(FIND("E",UPPER(TRIM($DX57))),999)),ISNUMBER(VALUE(TRIM($DX57)))),VALUE(TRIM($DX57)),"")))),""))</f>
        <v/>
      </c>
      <c r="DZ57">
        <f>IF($DM57=0,"",IF($L$17=0,"",IFERROR(IF(ISNUMBER(INDEX(PASTE_ALL,$DF57,$L$17)),INDEX(PASTE_ALL,$DF57,$L$17),SUBSTITUTE(SUBSTITUTE(TRIM(SUBSTITUTE(SUBSTITUTE(SUBSTITUTE(SUBSTITUTE(INDEX(PASTE_ALL,$DF57,$L$17)," "," "),CHAR(9)," "),CHAR(10)," "),CHAR(13)," ")),",",""),"%","")),"")))</f>
        <v/>
      </c>
      <c r="EA57">
        <f>IF($DM57=0,"",IFERROR(IF(ISNUMBER($DZ57),$DZ57,IF($DZ57="","",IF(TRIM($DZ57)="",0,IF(AND(AND(SUBSTITUTE(SUBSTITUTE(SUBSTITUTE(SUBSTITUTE(SUBSTITUTE(SUBSTITUTE(SUBSTITUTE(SUBSTITUTE(SUBSTITUTE(SUBSTITUTE(SUBSTITUTE(SUBSTITUTE(SUBSTITUTE(SUBSTITUTE(UPPER(TRIM($DZ57)),"0",""),"1",""),"2",""),"3",""),"4",""),"5",""),"6",""),"7",""),"8",""),"9",""),".",""),"+",""),"-",""),"E","")="",LEN(SUBSTITUTE(SUBSTITUTE(MID(UPPER(TRIM($DZ57)),1+OR(LEFT(UPPER(TRIM($DZ57)),1)="+",LEFT(UPPER(TRIM($DZ57)),1)="-"),999),"E+","E"),"E-","E"))=LEN(SUBSTITUTE(SUBSTITUTE(SUBSTITUTE(SUBSTITUTE(MID(UPPER(TRIM($DZ57)),1+OR(LEFT(UPPER(TRIM($DZ57)),1)="+",LEFT(UPPER(TRIM($DZ57)),1)="-"),999),"E+","E"),"E-","E"),"+",""),"-","")),LEN(UPPER(TRIM($DZ57)))-LEN(SUBSTITUTE(UPPER(TRIM($DZ57)),"E",""))&lt;2,LEN(UPPER(TRIM($DZ57)))-LEN(SUBSTITUTE(UPPER(TRIM($DZ57)),".",""))&lt;2,IFERROR(FIND(".",UPPER(TRIM($DZ57))),0)&lt;IFERROR(FIND("E",UPPER(TRIM($DZ57))),999)),ISNUMBER(VALUE(TRIM($DZ57)))),VALUE(TRIM($DZ57)),"")))),""))</f>
        <v/>
      </c>
      <c r="EB57">
        <f>IF($DM57=0,"",IF($L$18=0,"",IFERROR(IF(UPPER(TRIM(SUBSTITUTE(SUBSTITUTE(SUBSTITUTE(SUBSTITUTE(INDEX(PASTE_ALL,$DF57,$L$18)," "," "),CHAR(9)," "),CHAR(10)," "),CHAR(13)," ")))="READY","Ready",IF(UPPER(TRIM(SUBSTITUTE(SUBSTITUTE(SUBSTITUTE(SUBSTITUTE(INDEX(PASTE_ALL,$DF57,$L$18)," "," "),CHAR(9)," "),CHAR(10)," "),CHAR(13)," ")))="PM","PM",IF(OR(UPPER(TRIM(SUBSTITUTE(SUBSTITUTE(SUBSTITUTE(SUBSTITUTE(INDEX(PASTE_ALL,$DF57,$L$18)," "," "),CHAR(9)," "),CHAR(10)," "),CHAR(13)," ")))="OT",UPPER(TRIM(SUBSTITUTE(SUBSTITUTE(SUBSTITUTE(SUBSTITUTE(INDEX(PASTE_ALL,$DF57,$L$18)," "," "),CHAR(9)," "),CHAR(10)," "),CHAR(13)," ")))="OVERTIME",UPPER(TRIM(SUBSTITUTE(SUBSTITUTE(SUBSTITUTE(SUBSTITUTE(INDEX(PASTE_ALL,$DF57,$L$18)," "," "),CHAR(9)," "),CHAR(10)," "),CHAR(13)," ")))="TRIAL"),"OT",TRIM(SUBSTITUTE(SUBSTITUTE(SUBSTITUTE(SUBSTITUTE(INDEX(PASTE_ALL,$DF57,$L$18)," "," "),CHAR(9)," "),CHAR(10)," "),CHAR(13)," "))))),"")))</f>
        <v/>
      </c>
      <c r="EC57">
        <f>IF($DM57=0,"",IF($L$19=0,"",IFERROR(IF(ISNUMBER(INDEX(PASTE_ALL,$DF57,$L$19)),INDEX(PASTE_ALL,$DF57,$L$19),TRIM(SUBSTITUTE(SUBSTITUTE(SUBSTITUTE(SUBSTITUTE(INDEX(PASTE_ALL,$DF57,$L$19)," "," "),CHAR(9)," "),CHAR(10)," "),CHAR(13)," "))),"")))</f>
        <v/>
      </c>
      <c r="ED57">
        <f>IF($DM57=0,"",MATCH(1,INDEX(EXACT($DH$5:DH57,$DH57)*$DM$5:DM57,0),0))</f>
        <v/>
      </c>
      <c r="EE57">
        <f>IF($DM57=0,0,IF($ED57=$DE57,1,0))</f>
        <v/>
      </c>
      <c r="EF57">
        <f>EF56+$EE57</f>
        <v/>
      </c>
      <c r="EG57">
        <f>IF($DM57=0,"",INDEX($EF$5:$EF$1003,$ED57))</f>
        <v/>
      </c>
      <c r="EH57">
        <f>IF($DM57=0,"",IF($DO57&lt;&gt;"","",IFERROR(LOOKUP(2,1/(($EG$4:EG56=$EG57)*($DO$4:DO56&lt;&gt;"")),$DO$4:DO56),"")))</f>
        <v/>
      </c>
      <c r="EI57">
        <f>IF($DM57=0,"",IF($DO57&lt;&gt;"",$DO57,$EH57))</f>
        <v/>
      </c>
      <c r="EJ57">
        <f>IF($DM57=0,"",IF($EI57="",0,IF(OR(ISNUMBER($EI57),AND(AND(SUBSTITUTE(SUBSTITUTE(SUBSTITUTE(SUBSTITUTE(SUBSTITUTE(SUBSTITUTE(SUBSTITUTE(SUBSTITUTE(SUBSTITUTE(SUBSTITUTE(SUBSTITUTE(SUBSTITUTE(SUBSTITUTE(SUBSTITUTE(UPPER($EI57),"0",""),"1",""),"2",""),"3",""),"4",""),"5",""),"6",""),"7",""),"8",""),"9",""),".",""),"+",""),"-",""),"E","")="",LEN(SUBSTITUTE(SUBSTITUTE(MID(UPPER($EI57),1+OR(LEFT(UPPER($EI57),1)="+",LEFT(UPPER($EI57),1)="-"),999),"E+","E"),"E-","E"))=LEN(SUBSTITUTE(SUBSTITUTE(SUBSTITUTE(SUBSTITUTE(MID(UPPER($EI57),1+OR(LEFT(UPPER($EI57),1)="+",LEFT(UPPER($EI57),1)="-"),999),"E+","E"),"E-","E"),"+",""),"-","")),LEN(UPPER($EI57))-LEN(SUBSTITUTE(UPPER($EI57),"E",""))&lt;2,LEN(UPPER($EI57))-LEN(SUBSTITUTE(UPPER($EI57),".",""))&lt;2,IFERROR(FIND(".",UPPER($EI57)),0)&lt;IFERROR(FIND("E",UPPER($EI57)),999)),ISNUMBER(VALUE($EI57)))),1,2)))</f>
        <v/>
      </c>
      <c r="EK57">
        <f>IF($DM57=0,"",IF($EJ57=1,IF(ISNUMBER($EI57),$EI57,VALUE($EI57)),IF($EJ57=2,$DE57,0)))</f>
        <v/>
      </c>
      <c r="EL57">
        <f>IF($DM57=0,"",COUNTIF($EG$5:$EG$1003,"&lt;"&amp;$EG57)+SUMPRODUCT(($EG$5:$EG$1003=$EG57)*(($EJ$5:$EJ$1003&lt;$EJ57)+($EJ$5:$EJ$1003=$EJ57)*(($EK$5:$EK$1003&lt;$EK57)+($EK$5:$EK$1003=$EK57)*($DE$5:$DE$1003&lt;$DE57))))+1)</f>
        <v/>
      </c>
      <c r="EM57">
        <f>IF($DM57=0,"",$EL57+$EG57-1)</f>
        <v/>
      </c>
      <c r="EN57">
        <f>IF($DM57=0,0,IFERROR(MATCH(1,INDEX(--(TRIM(SUBSTITUTE(SUBSTITUTE(SUBSTITUTE(SUBSTITUTE(LINES_NAME&amp;""," "," "),CHAR(9)," "),CHAR(10)," "),CHAR(13)," "))=$DH57),0),0),0))</f>
        <v/>
      </c>
      <c r="EO57">
        <f>IF($EN57=0,0,IF(OR(UPPER(TRIM(INDEX(LINES_SCHEDULED,$EN57)&amp;""))="YES",UPPER(TRIM(INDEX(LINES_SCHEDULED,$EN57)&amp;""))="Y",UPPER(TRIM(INDEX(LINES_SCHEDULED,$EN57)&amp;""))="X"),1,0))</f>
        <v/>
      </c>
      <c r="EP57">
        <f>IF($DM57=0,"",IF(COUNTIFS($EG$5:$EG$1003,$EG57,$EB$5:$EB$1003,"Ready")&gt;0,"READY",IF(COUNTIFS($EG$5:$EG$1003,$EG57,$EB$5:$EB$1003,"PM")&gt;0,"PM",IF(COUNTIFS($EG$5:$EG$1003,$EG57,$EB$5:$EB$1003,"OT")&gt;0,"OT",""))))</f>
        <v/>
      </c>
      <c r="EQ57">
        <f>IF($EN57=0,"",UPPER(TRIM(INDEX(LINES_STATUS,$EN57)&amp;"")))</f>
        <v/>
      </c>
      <c r="ER57">
        <f>IF($DM57=0,"",IF(OR($EQ57="READY",$EQ57="PM",$EQ57="OT"),$EQ57,$EP57))</f>
        <v/>
      </c>
      <c r="ES57">
        <f>IF($DM57=0,"",IF(AND($DV57&lt;&gt;"",UPPER($DV57)&lt;&gt;"N"),"allergen",IF(ISNUMBER(SEARCH("oil",$DQ57)),"oil",IF(OR(EXACT($DS57,"A662"),EXACT($DS57,"A624")),"bulk",""))))</f>
        <v/>
      </c>
      <c r="ET57">
        <f>IF($DM57=0,"",IF(OR($EA57="",$EA57=0),"",$EA57/100))</f>
        <v/>
      </c>
      <c r="EU57">
        <f>IF(OR($ET57="",$DY57=""),"",INT($DY57*(1-$ET57)+0.5))</f>
        <v/>
      </c>
      <c r="EW57" t="n">
        <v>53</v>
      </c>
      <c r="EX57">
        <f>IFERROR(MATCH($EW57,$EM$5:$EM$1003,0),0)</f>
        <v/>
      </c>
      <c r="EY57">
        <f>IF($EW57&gt;$B$12,"",IF($EX57&gt;0,"row","spacer"))</f>
        <v/>
      </c>
      <c r="EZ57">
        <f>IF(AND($EY57="row",$EY56&lt;&gt;"row"),1,0)</f>
        <v/>
      </c>
      <c r="FA57">
        <f>IF(AND($EY57="row",$EY58&lt;&gt;"row"),1,0)</f>
        <v/>
      </c>
      <c r="FB57">
        <f>IF($EZ57=1,IFERROR(IF(ISNUMBER(INDEX(PASTE_ALL,INDEX($DF$5:$DF$1003,$EX57),$B$37)),INDEX(PASTE_ALL,INDEX($DF$5:$DF$1003,$EX57),$B$37),INDEX($DH$5:$DH$1003,$EX57)),INDEX($DH$5:$DH$1003,$EX57)),"")</f>
        <v/>
      </c>
      <c r="FC57">
        <f>IF($EY57="row",INDEX($ER$5:$ER$1003,$EX57),"")</f>
        <v/>
      </c>
      <c r="FD57">
        <f>IF($EY57="row",INDEX($DN$5:$DN$1003,$EX57),"")</f>
        <v/>
      </c>
      <c r="FE57">
        <f>IF($EY57="row",INDEX($DO$5:$DO$1003,$EX57),"")</f>
        <v/>
      </c>
      <c r="FF57">
        <f>IF($EY57="row",INDEX($DP$5:$DP$1003,$EX57),"")</f>
        <v/>
      </c>
      <c r="FG57">
        <f>IF($EY57="row",INDEX($DQ$5:$DQ$1003,$EX57),"")</f>
        <v/>
      </c>
      <c r="FH57">
        <f>IF($EY57="row",INDEX($DR$5:$DR$1003,$EX57),"")</f>
        <v/>
      </c>
      <c r="FI57">
        <f>IF($EY57="row",INDEX($DS$5:$DS$1003,$EX57),"")</f>
        <v/>
      </c>
      <c r="FJ57">
        <f>IF($EY57="row",INDEX($DT$5:$DT$1003,$EX57),"")</f>
        <v/>
      </c>
      <c r="FK57">
        <f>IF($EY57="row",INDEX($DU$5:$DU$1003,$EX57),"")</f>
        <v/>
      </c>
      <c r="FL57">
        <f>IF($EY57="row",INDEX($DV$5:$DV$1003,$EX57),"")</f>
        <v/>
      </c>
      <c r="FM57">
        <f>IF($EY57="row",INDEX($DW$5:$DW$1003,$EX57),"")</f>
        <v/>
      </c>
      <c r="FN57">
        <f>IF($EY57="row",INDEX($DY$5:$DY$1003,$EX57),"")</f>
        <v/>
      </c>
      <c r="FO57">
        <f>IF($EY57="row",INDEX($EA$5:$EA$1003,$EX57),"")</f>
        <v/>
      </c>
      <c r="FP57">
        <f>IF($EY57="row",INDEX($EC$5:$EC$1003,$EX57),"")</f>
        <v/>
      </c>
      <c r="FQ57">
        <f>IF($EY57="row",INDEX($ET$5:$ET$1003,$EX57),"")</f>
        <v/>
      </c>
      <c r="FR57">
        <f>IF($EY57="row",INDEX($EU$5:$EU$1003,$EX57),"")</f>
        <v/>
      </c>
      <c r="FS57">
        <f>IF(AND($EY57="row",$EY56="row"),IF(OR(INDEX($DT$5:$DT$1003,$EX56)="",INDEX($DT$5:$DT$1003,$EX57)=""),"",IF(NOT(EXACT(INDEX($DT$5:$DT$1003,$EX56),INDEX($DT$5:$DT$1003,$EX57))),"S4",IF(NOT(EXACT(INDEX($DS$5:$DS$1003,$EX56),INDEX($DS$5:$DS$1003,$EX57))),"S3",IF(NOT(EXACT(INDEX($DR$5:$DR$1003,$EX56),INDEX($DR$5:$DR$1003,$EX57))),"S1 Count Change","S1")))),"")</f>
        <v/>
      </c>
      <c r="FT57">
        <f>IF($EY57="row",INDEX($ES$5:$ES$1003,$EX57),"")</f>
        <v/>
      </c>
      <c r="FU57">
        <f>IF($EY57="row",INDEX($EO$5:$EO$1003,$EX57),0)</f>
        <v/>
      </c>
      <c r="FV57">
        <f>IF($FS57="S1 Count Change",1,0)</f>
        <v/>
      </c>
      <c r="FX57" t="n">
        <v>53</v>
      </c>
      <c r="FY57">
        <f>IFERROR(MATCH($FX57,$EF$5:$EF$1003,0),0)</f>
        <v/>
      </c>
      <c r="FZ57">
        <f>IF($FY57=0,"",INDEX($DH$5:$DH$1003,$FY57))</f>
        <v/>
      </c>
      <c r="GA57">
        <f>IF($FY57=0,"",COUNTIF($EG$5:$EG$1003,$FX57))</f>
        <v/>
      </c>
      <c r="GB57">
        <f>IF($FY57=0,"",INDEX($ER$5:$ER$1003,$FY57))</f>
        <v/>
      </c>
      <c r="GC57">
        <f>IF($FY57=0,"",IF(INDEX($EO$5:$EO$1003,$FY57)=1,"Yes",""))</f>
        <v/>
      </c>
      <c r="GD57">
        <f>IF($FY57=0,"",IF(INDEX($EN$5:$EN$1003,$FY57)&gt;0,"","NOT IN YOUR LIST - type it in column A to tick it"))</f>
        <v/>
      </c>
      <c r="GE57">
        <f>IF(AND($FY57&gt;0,$GD57&lt;&gt;""),1,0)</f>
        <v/>
      </c>
      <c r="GF57">
        <f>GF56+$GE57</f>
        <v/>
      </c>
      <c r="GG57">
        <f>IFERROR(INDEX($FZ$5:$FZ$104,MATCH($FX57,$GF$5:$GF$104,0)),"")</f>
        <v/>
      </c>
    </row>
    <row r="58">
      <c r="S58" t="n">
        <v>54</v>
      </c>
      <c r="T58" t="inlineStr">
        <is>
          <t>BB</t>
        </is>
      </c>
      <c r="V58" t="inlineStr">
        <is>
          <t>CAP</t>
        </is>
      </c>
      <c r="W58" t="n">
        <v>9</v>
      </c>
      <c r="Y58">
        <f>IFERROR(IF(ISNUMBER(INDEX(PASTE_ALL,9,1)),2,IF(TRIM(INDEX(PASTE_ALL,9,1))="",0,IF(AND(LEFT(MID(TRIM(INDEX(PASTE_ALL,9,1)),1+(LEFT(TRIM(INDEX(PASTE_ALL,9,1)),1)="-"),999),LEN(MID(TRIM(INDEX(PASTE_ALL,9,1)),1+(LEFT(TRIM(INDEX(PASTE_ALL,9,1)),1)="-"),999))-(RIGHT(MID(TRIM(INDEX(PASTE_ALL,9,1)),1+(LEFT(TRIM(INDEX(PASTE_ALL,9,1)),1)="-"),999),1)="%"))&lt;&gt;"",SUBSTITUTE(SUBSTITUTE(SUBSTITUTE(SUBSTITUTE(SUBSTITUTE(SUBSTITUTE(SUBSTITUTE(SUBSTITUTE(SUBSTITUTE(SUBSTITUTE(SUBSTITUTE(SUBSTITUTE(LEFT(MID(TRIM(INDEX(PASTE_ALL,9,1)),1+(LEFT(TRIM(INDEX(PASTE_ALL,9,1)),1)="-"),999),LEN(MID(TRIM(INDEX(PASTE_ALL,9,1)),1+(LEFT(TRIM(INDEX(PASTE_ALL,9,1)),1)="-"),999))-(RIGHT(MID(TRIM(INDEX(PASTE_ALL,9,1)),1+(LEFT(TRIM(INDEX(PASTE_ALL,9,1)),1)="-"),999),1)="%")),"0",""),"1",""),"2",""),"3",""),"4",""),"5",""),"6",""),"7",""),"8",""),"9",""),".",""),",","")=""),2,1))),1)</f>
        <v/>
      </c>
      <c r="Z58">
        <f>IFERROR(IF(ISNUMBER(INDEX(PASTE_ALL,9,2)),2,IF(TRIM(INDEX(PASTE_ALL,9,2))="",0,IF(AND(LEFT(MID(TRIM(INDEX(PASTE_ALL,9,2)),1+(LEFT(TRIM(INDEX(PASTE_ALL,9,2)),1)="-"),999),LEN(MID(TRIM(INDEX(PASTE_ALL,9,2)),1+(LEFT(TRIM(INDEX(PASTE_ALL,9,2)),1)="-"),999))-(RIGHT(MID(TRIM(INDEX(PASTE_ALL,9,2)),1+(LEFT(TRIM(INDEX(PASTE_ALL,9,2)),1)="-"),999),1)="%"))&lt;&gt;"",SUBSTITUTE(SUBSTITUTE(SUBSTITUTE(SUBSTITUTE(SUBSTITUTE(SUBSTITUTE(SUBSTITUTE(SUBSTITUTE(SUBSTITUTE(SUBSTITUTE(SUBSTITUTE(SUBSTITUTE(LEFT(MID(TRIM(INDEX(PASTE_ALL,9,2)),1+(LEFT(TRIM(INDEX(PASTE_ALL,9,2)),1)="-"),999),LEN(MID(TRIM(INDEX(PASTE_ALL,9,2)),1+(LEFT(TRIM(INDEX(PASTE_ALL,9,2)),1)="-"),999))-(RIGHT(MID(TRIM(INDEX(PASTE_ALL,9,2)),1+(LEFT(TRIM(INDEX(PASTE_ALL,9,2)),1)="-"),999),1)="%")),"0",""),"1",""),"2",""),"3",""),"4",""),"5",""),"6",""),"7",""),"8",""),"9",""),".",""),",","")=""),2,1))),1)</f>
        <v/>
      </c>
      <c r="AA58">
        <f>IFERROR(IF(ISNUMBER(INDEX(PASTE_ALL,9,3)),2,IF(TRIM(INDEX(PASTE_ALL,9,3))="",0,IF(AND(LEFT(MID(TRIM(INDEX(PASTE_ALL,9,3)),1+(LEFT(TRIM(INDEX(PASTE_ALL,9,3)),1)="-"),999),LEN(MID(TRIM(INDEX(PASTE_ALL,9,3)),1+(LEFT(TRIM(INDEX(PASTE_ALL,9,3)),1)="-"),999))-(RIGHT(MID(TRIM(INDEX(PASTE_ALL,9,3)),1+(LEFT(TRIM(INDEX(PASTE_ALL,9,3)),1)="-"),999),1)="%"))&lt;&gt;"",SUBSTITUTE(SUBSTITUTE(SUBSTITUTE(SUBSTITUTE(SUBSTITUTE(SUBSTITUTE(SUBSTITUTE(SUBSTITUTE(SUBSTITUTE(SUBSTITUTE(SUBSTITUTE(SUBSTITUTE(LEFT(MID(TRIM(INDEX(PASTE_ALL,9,3)),1+(LEFT(TRIM(INDEX(PASTE_ALL,9,3)),1)="-"),999),LEN(MID(TRIM(INDEX(PASTE_ALL,9,3)),1+(LEFT(TRIM(INDEX(PASTE_ALL,9,3)),1)="-"),999))-(RIGHT(MID(TRIM(INDEX(PASTE_ALL,9,3)),1+(LEFT(TRIM(INDEX(PASTE_ALL,9,3)),1)="-"),999),1)="%")),"0",""),"1",""),"2",""),"3",""),"4",""),"5",""),"6",""),"7",""),"8",""),"9",""),".",""),",","")=""),2,1))),1)</f>
        <v/>
      </c>
      <c r="AB58">
        <f>IFERROR(IF(ISNUMBER(INDEX(PASTE_ALL,9,4)),2,IF(TRIM(INDEX(PASTE_ALL,9,4))="",0,IF(AND(LEFT(MID(TRIM(INDEX(PASTE_ALL,9,4)),1+(LEFT(TRIM(INDEX(PASTE_ALL,9,4)),1)="-"),999),LEN(MID(TRIM(INDEX(PASTE_ALL,9,4)),1+(LEFT(TRIM(INDEX(PASTE_ALL,9,4)),1)="-"),999))-(RIGHT(MID(TRIM(INDEX(PASTE_ALL,9,4)),1+(LEFT(TRIM(INDEX(PASTE_ALL,9,4)),1)="-"),999),1)="%"))&lt;&gt;"",SUBSTITUTE(SUBSTITUTE(SUBSTITUTE(SUBSTITUTE(SUBSTITUTE(SUBSTITUTE(SUBSTITUTE(SUBSTITUTE(SUBSTITUTE(SUBSTITUTE(SUBSTITUTE(SUBSTITUTE(LEFT(MID(TRIM(INDEX(PASTE_ALL,9,4)),1+(LEFT(TRIM(INDEX(PASTE_ALL,9,4)),1)="-"),999),LEN(MID(TRIM(INDEX(PASTE_ALL,9,4)),1+(LEFT(TRIM(INDEX(PASTE_ALL,9,4)),1)="-"),999))-(RIGHT(MID(TRIM(INDEX(PASTE_ALL,9,4)),1+(LEFT(TRIM(INDEX(PASTE_ALL,9,4)),1)="-"),999),1)="%")),"0",""),"1",""),"2",""),"3",""),"4",""),"5",""),"6",""),"7",""),"8",""),"9",""),".",""),",","")=""),2,1))),1)</f>
        <v/>
      </c>
      <c r="AC58">
        <f>IFERROR(IF(ISNUMBER(INDEX(PASTE_ALL,9,5)),2,IF(TRIM(INDEX(PASTE_ALL,9,5))="",0,IF(AND(LEFT(MID(TRIM(INDEX(PASTE_ALL,9,5)),1+(LEFT(TRIM(INDEX(PASTE_ALL,9,5)),1)="-"),999),LEN(MID(TRIM(INDEX(PASTE_ALL,9,5)),1+(LEFT(TRIM(INDEX(PASTE_ALL,9,5)),1)="-"),999))-(RIGHT(MID(TRIM(INDEX(PASTE_ALL,9,5)),1+(LEFT(TRIM(INDEX(PASTE_ALL,9,5)),1)="-"),999),1)="%"))&lt;&gt;"",SUBSTITUTE(SUBSTITUTE(SUBSTITUTE(SUBSTITUTE(SUBSTITUTE(SUBSTITUTE(SUBSTITUTE(SUBSTITUTE(SUBSTITUTE(SUBSTITUTE(SUBSTITUTE(SUBSTITUTE(LEFT(MID(TRIM(INDEX(PASTE_ALL,9,5)),1+(LEFT(TRIM(INDEX(PASTE_ALL,9,5)),1)="-"),999),LEN(MID(TRIM(INDEX(PASTE_ALL,9,5)),1+(LEFT(TRIM(INDEX(PASTE_ALL,9,5)),1)="-"),999))-(RIGHT(MID(TRIM(INDEX(PASTE_ALL,9,5)),1+(LEFT(TRIM(INDEX(PASTE_ALL,9,5)),1)="-"),999),1)="%")),"0",""),"1",""),"2",""),"3",""),"4",""),"5",""),"6",""),"7",""),"8",""),"9",""),".",""),",","")=""),2,1))),1)</f>
        <v/>
      </c>
      <c r="AD58">
        <f>IFERROR(IF(ISNUMBER(INDEX(PASTE_ALL,9,6)),2,IF(TRIM(INDEX(PASTE_ALL,9,6))="",0,IF(AND(LEFT(MID(TRIM(INDEX(PASTE_ALL,9,6)),1+(LEFT(TRIM(INDEX(PASTE_ALL,9,6)),1)="-"),999),LEN(MID(TRIM(INDEX(PASTE_ALL,9,6)),1+(LEFT(TRIM(INDEX(PASTE_ALL,9,6)),1)="-"),999))-(RIGHT(MID(TRIM(INDEX(PASTE_ALL,9,6)),1+(LEFT(TRIM(INDEX(PASTE_ALL,9,6)),1)="-"),999),1)="%"))&lt;&gt;"",SUBSTITUTE(SUBSTITUTE(SUBSTITUTE(SUBSTITUTE(SUBSTITUTE(SUBSTITUTE(SUBSTITUTE(SUBSTITUTE(SUBSTITUTE(SUBSTITUTE(SUBSTITUTE(SUBSTITUTE(LEFT(MID(TRIM(INDEX(PASTE_ALL,9,6)),1+(LEFT(TRIM(INDEX(PASTE_ALL,9,6)),1)="-"),999),LEN(MID(TRIM(INDEX(PASTE_ALL,9,6)),1+(LEFT(TRIM(INDEX(PASTE_ALL,9,6)),1)="-"),999))-(RIGHT(MID(TRIM(INDEX(PASTE_ALL,9,6)),1+(LEFT(TRIM(INDEX(PASTE_ALL,9,6)),1)="-"),999),1)="%")),"0",""),"1",""),"2",""),"3",""),"4",""),"5",""),"6",""),"7",""),"8",""),"9",""),".",""),",","")=""),2,1))),1)</f>
        <v/>
      </c>
      <c r="AE58">
        <f>IFERROR(IF(ISNUMBER(INDEX(PASTE_ALL,9,7)),2,IF(TRIM(INDEX(PASTE_ALL,9,7))="",0,IF(AND(LEFT(MID(TRIM(INDEX(PASTE_ALL,9,7)),1+(LEFT(TRIM(INDEX(PASTE_ALL,9,7)),1)="-"),999),LEN(MID(TRIM(INDEX(PASTE_ALL,9,7)),1+(LEFT(TRIM(INDEX(PASTE_ALL,9,7)),1)="-"),999))-(RIGHT(MID(TRIM(INDEX(PASTE_ALL,9,7)),1+(LEFT(TRIM(INDEX(PASTE_ALL,9,7)),1)="-"),999),1)="%"))&lt;&gt;"",SUBSTITUTE(SUBSTITUTE(SUBSTITUTE(SUBSTITUTE(SUBSTITUTE(SUBSTITUTE(SUBSTITUTE(SUBSTITUTE(SUBSTITUTE(SUBSTITUTE(SUBSTITUTE(SUBSTITUTE(LEFT(MID(TRIM(INDEX(PASTE_ALL,9,7)),1+(LEFT(TRIM(INDEX(PASTE_ALL,9,7)),1)="-"),999),LEN(MID(TRIM(INDEX(PASTE_ALL,9,7)),1+(LEFT(TRIM(INDEX(PASTE_ALL,9,7)),1)="-"),999))-(RIGHT(MID(TRIM(INDEX(PASTE_ALL,9,7)),1+(LEFT(TRIM(INDEX(PASTE_ALL,9,7)),1)="-"),999),1)="%")),"0",""),"1",""),"2",""),"3",""),"4",""),"5",""),"6",""),"7",""),"8",""),"9",""),".",""),",","")=""),2,1))),1)</f>
        <v/>
      </c>
      <c r="AF58">
        <f>IFERROR(IF(ISNUMBER(INDEX(PASTE_ALL,9,8)),2,IF(TRIM(INDEX(PASTE_ALL,9,8))="",0,IF(AND(LEFT(MID(TRIM(INDEX(PASTE_ALL,9,8)),1+(LEFT(TRIM(INDEX(PASTE_ALL,9,8)),1)="-"),999),LEN(MID(TRIM(INDEX(PASTE_ALL,9,8)),1+(LEFT(TRIM(INDEX(PASTE_ALL,9,8)),1)="-"),999))-(RIGHT(MID(TRIM(INDEX(PASTE_ALL,9,8)),1+(LEFT(TRIM(INDEX(PASTE_ALL,9,8)),1)="-"),999),1)="%"))&lt;&gt;"",SUBSTITUTE(SUBSTITUTE(SUBSTITUTE(SUBSTITUTE(SUBSTITUTE(SUBSTITUTE(SUBSTITUTE(SUBSTITUTE(SUBSTITUTE(SUBSTITUTE(SUBSTITUTE(SUBSTITUTE(LEFT(MID(TRIM(INDEX(PASTE_ALL,9,8)),1+(LEFT(TRIM(INDEX(PASTE_ALL,9,8)),1)="-"),999),LEN(MID(TRIM(INDEX(PASTE_ALL,9,8)),1+(LEFT(TRIM(INDEX(PASTE_ALL,9,8)),1)="-"),999))-(RIGHT(MID(TRIM(INDEX(PASTE_ALL,9,8)),1+(LEFT(TRIM(INDEX(PASTE_ALL,9,8)),1)="-"),999),1)="%")),"0",""),"1",""),"2",""),"3",""),"4",""),"5",""),"6",""),"7",""),"8",""),"9",""),".",""),",","")=""),2,1))),1)</f>
        <v/>
      </c>
      <c r="AG58">
        <f>IFERROR(IF(ISNUMBER(INDEX(PASTE_ALL,9,9)),2,IF(TRIM(INDEX(PASTE_ALL,9,9))="",0,IF(AND(LEFT(MID(TRIM(INDEX(PASTE_ALL,9,9)),1+(LEFT(TRIM(INDEX(PASTE_ALL,9,9)),1)="-"),999),LEN(MID(TRIM(INDEX(PASTE_ALL,9,9)),1+(LEFT(TRIM(INDEX(PASTE_ALL,9,9)),1)="-"),999))-(RIGHT(MID(TRIM(INDEX(PASTE_ALL,9,9)),1+(LEFT(TRIM(INDEX(PASTE_ALL,9,9)),1)="-"),999),1)="%"))&lt;&gt;"",SUBSTITUTE(SUBSTITUTE(SUBSTITUTE(SUBSTITUTE(SUBSTITUTE(SUBSTITUTE(SUBSTITUTE(SUBSTITUTE(SUBSTITUTE(SUBSTITUTE(SUBSTITUTE(SUBSTITUTE(LEFT(MID(TRIM(INDEX(PASTE_ALL,9,9)),1+(LEFT(TRIM(INDEX(PASTE_ALL,9,9)),1)="-"),999),LEN(MID(TRIM(INDEX(PASTE_ALL,9,9)),1+(LEFT(TRIM(INDEX(PASTE_ALL,9,9)),1)="-"),999))-(RIGHT(MID(TRIM(INDEX(PASTE_ALL,9,9)),1+(LEFT(TRIM(INDEX(PASTE_ALL,9,9)),1)="-"),999),1)="%")),"0",""),"1",""),"2",""),"3",""),"4",""),"5",""),"6",""),"7",""),"8",""),"9",""),".",""),",","")=""),2,1))),1)</f>
        <v/>
      </c>
      <c r="AH58">
        <f>IFERROR(IF(ISNUMBER(INDEX(PASTE_ALL,9,10)),2,IF(TRIM(INDEX(PASTE_ALL,9,10))="",0,IF(AND(LEFT(MID(TRIM(INDEX(PASTE_ALL,9,10)),1+(LEFT(TRIM(INDEX(PASTE_ALL,9,10)),1)="-"),999),LEN(MID(TRIM(INDEX(PASTE_ALL,9,10)),1+(LEFT(TRIM(INDEX(PASTE_ALL,9,10)),1)="-"),999))-(RIGHT(MID(TRIM(INDEX(PASTE_ALL,9,10)),1+(LEFT(TRIM(INDEX(PASTE_ALL,9,10)),1)="-"),999),1)="%"))&lt;&gt;"",SUBSTITUTE(SUBSTITUTE(SUBSTITUTE(SUBSTITUTE(SUBSTITUTE(SUBSTITUTE(SUBSTITUTE(SUBSTITUTE(SUBSTITUTE(SUBSTITUTE(SUBSTITUTE(SUBSTITUTE(LEFT(MID(TRIM(INDEX(PASTE_ALL,9,10)),1+(LEFT(TRIM(INDEX(PASTE_ALL,9,10)),1)="-"),999),LEN(MID(TRIM(INDEX(PASTE_ALL,9,10)),1+(LEFT(TRIM(INDEX(PASTE_ALL,9,10)),1)="-"),999))-(RIGHT(MID(TRIM(INDEX(PASTE_ALL,9,10)),1+(LEFT(TRIM(INDEX(PASTE_ALL,9,10)),1)="-"),999),1)="%")),"0",""),"1",""),"2",""),"3",""),"4",""),"5",""),"6",""),"7",""),"8",""),"9",""),".",""),",","")=""),2,1))),1)</f>
        <v/>
      </c>
      <c r="AI58">
        <f>IFERROR(IF(ISNUMBER(INDEX(PASTE_ALL,9,11)),2,IF(TRIM(INDEX(PASTE_ALL,9,11))="",0,IF(AND(LEFT(MID(TRIM(INDEX(PASTE_ALL,9,11)),1+(LEFT(TRIM(INDEX(PASTE_ALL,9,11)),1)="-"),999),LEN(MID(TRIM(INDEX(PASTE_ALL,9,11)),1+(LEFT(TRIM(INDEX(PASTE_ALL,9,11)),1)="-"),999))-(RIGHT(MID(TRIM(INDEX(PASTE_ALL,9,11)),1+(LEFT(TRIM(INDEX(PASTE_ALL,9,11)),1)="-"),999),1)="%"))&lt;&gt;"",SUBSTITUTE(SUBSTITUTE(SUBSTITUTE(SUBSTITUTE(SUBSTITUTE(SUBSTITUTE(SUBSTITUTE(SUBSTITUTE(SUBSTITUTE(SUBSTITUTE(SUBSTITUTE(SUBSTITUTE(LEFT(MID(TRIM(INDEX(PASTE_ALL,9,11)),1+(LEFT(TRIM(INDEX(PASTE_ALL,9,11)),1)="-"),999),LEN(MID(TRIM(INDEX(PASTE_ALL,9,11)),1+(LEFT(TRIM(INDEX(PASTE_ALL,9,11)),1)="-"),999))-(RIGHT(MID(TRIM(INDEX(PASTE_ALL,9,11)),1+(LEFT(TRIM(INDEX(PASTE_ALL,9,11)),1)="-"),999),1)="%")),"0",""),"1",""),"2",""),"3",""),"4",""),"5",""),"6",""),"7",""),"8",""),"9",""),".",""),",","")=""),2,1))),1)</f>
        <v/>
      </c>
      <c r="AJ58">
        <f>IFERROR(IF(ISNUMBER(INDEX(PASTE_ALL,9,12)),2,IF(TRIM(INDEX(PASTE_ALL,9,12))="",0,IF(AND(LEFT(MID(TRIM(INDEX(PASTE_ALL,9,12)),1+(LEFT(TRIM(INDEX(PASTE_ALL,9,12)),1)="-"),999),LEN(MID(TRIM(INDEX(PASTE_ALL,9,12)),1+(LEFT(TRIM(INDEX(PASTE_ALL,9,12)),1)="-"),999))-(RIGHT(MID(TRIM(INDEX(PASTE_ALL,9,12)),1+(LEFT(TRIM(INDEX(PASTE_ALL,9,12)),1)="-"),999),1)="%"))&lt;&gt;"",SUBSTITUTE(SUBSTITUTE(SUBSTITUTE(SUBSTITUTE(SUBSTITUTE(SUBSTITUTE(SUBSTITUTE(SUBSTITUTE(SUBSTITUTE(SUBSTITUTE(SUBSTITUTE(SUBSTITUTE(LEFT(MID(TRIM(INDEX(PASTE_ALL,9,12)),1+(LEFT(TRIM(INDEX(PASTE_ALL,9,12)),1)="-"),999),LEN(MID(TRIM(INDEX(PASTE_ALL,9,12)),1+(LEFT(TRIM(INDEX(PASTE_ALL,9,12)),1)="-"),999))-(RIGHT(MID(TRIM(INDEX(PASTE_ALL,9,12)),1+(LEFT(TRIM(INDEX(PASTE_ALL,9,12)),1)="-"),999),1)="%")),"0",""),"1",""),"2",""),"3",""),"4",""),"5",""),"6",""),"7",""),"8",""),"9",""),".",""),",","")=""),2,1))),1)</f>
        <v/>
      </c>
      <c r="AK58">
        <f>IFERROR(IF(ISNUMBER(INDEX(PASTE_ALL,9,13)),2,IF(TRIM(INDEX(PASTE_ALL,9,13))="",0,IF(AND(LEFT(MID(TRIM(INDEX(PASTE_ALL,9,13)),1+(LEFT(TRIM(INDEX(PASTE_ALL,9,13)),1)="-"),999),LEN(MID(TRIM(INDEX(PASTE_ALL,9,13)),1+(LEFT(TRIM(INDEX(PASTE_ALL,9,13)),1)="-"),999))-(RIGHT(MID(TRIM(INDEX(PASTE_ALL,9,13)),1+(LEFT(TRIM(INDEX(PASTE_ALL,9,13)),1)="-"),999),1)="%"))&lt;&gt;"",SUBSTITUTE(SUBSTITUTE(SUBSTITUTE(SUBSTITUTE(SUBSTITUTE(SUBSTITUTE(SUBSTITUTE(SUBSTITUTE(SUBSTITUTE(SUBSTITUTE(SUBSTITUTE(SUBSTITUTE(LEFT(MID(TRIM(INDEX(PASTE_ALL,9,13)),1+(LEFT(TRIM(INDEX(PASTE_ALL,9,13)),1)="-"),999),LEN(MID(TRIM(INDEX(PASTE_ALL,9,13)),1+(LEFT(TRIM(INDEX(PASTE_ALL,9,13)),1)="-"),999))-(RIGHT(MID(TRIM(INDEX(PASTE_ALL,9,13)),1+(LEFT(TRIM(INDEX(PASTE_ALL,9,13)),1)="-"),999),1)="%")),"0",""),"1",""),"2",""),"3",""),"4",""),"5",""),"6",""),"7",""),"8",""),"9",""),".",""),",","")=""),2,1))),1)</f>
        <v/>
      </c>
      <c r="AL58">
        <f>IFERROR(IF(ISNUMBER(INDEX(PASTE_ALL,9,14)),2,IF(TRIM(INDEX(PASTE_ALL,9,14))="",0,IF(AND(LEFT(MID(TRIM(INDEX(PASTE_ALL,9,14)),1+(LEFT(TRIM(INDEX(PASTE_ALL,9,14)),1)="-"),999),LEN(MID(TRIM(INDEX(PASTE_ALL,9,14)),1+(LEFT(TRIM(INDEX(PASTE_ALL,9,14)),1)="-"),999))-(RIGHT(MID(TRIM(INDEX(PASTE_ALL,9,14)),1+(LEFT(TRIM(INDEX(PASTE_ALL,9,14)),1)="-"),999),1)="%"))&lt;&gt;"",SUBSTITUTE(SUBSTITUTE(SUBSTITUTE(SUBSTITUTE(SUBSTITUTE(SUBSTITUTE(SUBSTITUTE(SUBSTITUTE(SUBSTITUTE(SUBSTITUTE(SUBSTITUTE(SUBSTITUTE(LEFT(MID(TRIM(INDEX(PASTE_ALL,9,14)),1+(LEFT(TRIM(INDEX(PASTE_ALL,9,14)),1)="-"),999),LEN(MID(TRIM(INDEX(PASTE_ALL,9,14)),1+(LEFT(TRIM(INDEX(PASTE_ALL,9,14)),1)="-"),999))-(RIGHT(MID(TRIM(INDEX(PASTE_ALL,9,14)),1+(LEFT(TRIM(INDEX(PASTE_ALL,9,14)),1)="-"),999),1)="%")),"0",""),"1",""),"2",""),"3",""),"4",""),"5",""),"6",""),"7",""),"8",""),"9",""),".",""),",","")=""),2,1))),1)</f>
        <v/>
      </c>
      <c r="AM58">
        <f>IFERROR(IF(ISNUMBER(INDEX(PASTE_ALL,9,15)),2,IF(TRIM(INDEX(PASTE_ALL,9,15))="",0,IF(AND(LEFT(MID(TRIM(INDEX(PASTE_ALL,9,15)),1+(LEFT(TRIM(INDEX(PASTE_ALL,9,15)),1)="-"),999),LEN(MID(TRIM(INDEX(PASTE_ALL,9,15)),1+(LEFT(TRIM(INDEX(PASTE_ALL,9,15)),1)="-"),999))-(RIGHT(MID(TRIM(INDEX(PASTE_ALL,9,15)),1+(LEFT(TRIM(INDEX(PASTE_ALL,9,15)),1)="-"),999),1)="%"))&lt;&gt;"",SUBSTITUTE(SUBSTITUTE(SUBSTITUTE(SUBSTITUTE(SUBSTITUTE(SUBSTITUTE(SUBSTITUTE(SUBSTITUTE(SUBSTITUTE(SUBSTITUTE(SUBSTITUTE(SUBSTITUTE(LEFT(MID(TRIM(INDEX(PASTE_ALL,9,15)),1+(LEFT(TRIM(INDEX(PASTE_ALL,9,15)),1)="-"),999),LEN(MID(TRIM(INDEX(PASTE_ALL,9,15)),1+(LEFT(TRIM(INDEX(PASTE_ALL,9,15)),1)="-"),999))-(RIGHT(MID(TRIM(INDEX(PASTE_ALL,9,15)),1+(LEFT(TRIM(INDEX(PASTE_ALL,9,15)),1)="-"),999),1)="%")),"0",""),"1",""),"2",""),"3",""),"4",""),"5",""),"6",""),"7",""),"8",""),"9",""),".",""),",","")=""),2,1))),1)</f>
        <v/>
      </c>
      <c r="AN58">
        <f>IFERROR(IF(ISNUMBER(INDEX(PASTE_ALL,9,16)),2,IF(TRIM(INDEX(PASTE_ALL,9,16))="",0,IF(AND(LEFT(MID(TRIM(INDEX(PASTE_ALL,9,16)),1+(LEFT(TRIM(INDEX(PASTE_ALL,9,16)),1)="-"),999),LEN(MID(TRIM(INDEX(PASTE_ALL,9,16)),1+(LEFT(TRIM(INDEX(PASTE_ALL,9,16)),1)="-"),999))-(RIGHT(MID(TRIM(INDEX(PASTE_ALL,9,16)),1+(LEFT(TRIM(INDEX(PASTE_ALL,9,16)),1)="-"),999),1)="%"))&lt;&gt;"",SUBSTITUTE(SUBSTITUTE(SUBSTITUTE(SUBSTITUTE(SUBSTITUTE(SUBSTITUTE(SUBSTITUTE(SUBSTITUTE(SUBSTITUTE(SUBSTITUTE(SUBSTITUTE(SUBSTITUTE(LEFT(MID(TRIM(INDEX(PASTE_ALL,9,16)),1+(LEFT(TRIM(INDEX(PASTE_ALL,9,16)),1)="-"),999),LEN(MID(TRIM(INDEX(PASTE_ALL,9,16)),1+(LEFT(TRIM(INDEX(PASTE_ALL,9,16)),1)="-"),999))-(RIGHT(MID(TRIM(INDEX(PASTE_ALL,9,16)),1+(LEFT(TRIM(INDEX(PASTE_ALL,9,16)),1)="-"),999),1)="%")),"0",""),"1",""),"2",""),"3",""),"4",""),"5",""),"6",""),"7",""),"8",""),"9",""),".",""),",","")=""),2,1))),1)</f>
        <v/>
      </c>
      <c r="AO58">
        <f>IFERROR(IF(ISNUMBER(INDEX(PASTE_ALL,9,17)),2,IF(TRIM(INDEX(PASTE_ALL,9,17))="",0,IF(AND(LEFT(MID(TRIM(INDEX(PASTE_ALL,9,17)),1+(LEFT(TRIM(INDEX(PASTE_ALL,9,17)),1)="-"),999),LEN(MID(TRIM(INDEX(PASTE_ALL,9,17)),1+(LEFT(TRIM(INDEX(PASTE_ALL,9,17)),1)="-"),999))-(RIGHT(MID(TRIM(INDEX(PASTE_ALL,9,17)),1+(LEFT(TRIM(INDEX(PASTE_ALL,9,17)),1)="-"),999),1)="%"))&lt;&gt;"",SUBSTITUTE(SUBSTITUTE(SUBSTITUTE(SUBSTITUTE(SUBSTITUTE(SUBSTITUTE(SUBSTITUTE(SUBSTITUTE(SUBSTITUTE(SUBSTITUTE(SUBSTITUTE(SUBSTITUTE(LEFT(MID(TRIM(INDEX(PASTE_ALL,9,17)),1+(LEFT(TRIM(INDEX(PASTE_ALL,9,17)),1)="-"),999),LEN(MID(TRIM(INDEX(PASTE_ALL,9,17)),1+(LEFT(TRIM(INDEX(PASTE_ALL,9,17)),1)="-"),999))-(RIGHT(MID(TRIM(INDEX(PASTE_ALL,9,17)),1+(LEFT(TRIM(INDEX(PASTE_ALL,9,17)),1)="-"),999),1)="%")),"0",""),"1",""),"2",""),"3",""),"4",""),"5",""),"6",""),"7",""),"8",""),"9",""),".",""),",","")=""),2,1))),1)</f>
        <v/>
      </c>
      <c r="AP58">
        <f>IFERROR(IF(ISNUMBER(INDEX(PASTE_ALL,9,18)),2,IF(TRIM(INDEX(PASTE_ALL,9,18))="",0,IF(AND(LEFT(MID(TRIM(INDEX(PASTE_ALL,9,18)),1+(LEFT(TRIM(INDEX(PASTE_ALL,9,18)),1)="-"),999),LEN(MID(TRIM(INDEX(PASTE_ALL,9,18)),1+(LEFT(TRIM(INDEX(PASTE_ALL,9,18)),1)="-"),999))-(RIGHT(MID(TRIM(INDEX(PASTE_ALL,9,18)),1+(LEFT(TRIM(INDEX(PASTE_ALL,9,18)),1)="-"),999),1)="%"))&lt;&gt;"",SUBSTITUTE(SUBSTITUTE(SUBSTITUTE(SUBSTITUTE(SUBSTITUTE(SUBSTITUTE(SUBSTITUTE(SUBSTITUTE(SUBSTITUTE(SUBSTITUTE(SUBSTITUTE(SUBSTITUTE(LEFT(MID(TRIM(INDEX(PASTE_ALL,9,18)),1+(LEFT(TRIM(INDEX(PASTE_ALL,9,18)),1)="-"),999),LEN(MID(TRIM(INDEX(PASTE_ALL,9,18)),1+(LEFT(TRIM(INDEX(PASTE_ALL,9,18)),1)="-"),999))-(RIGHT(MID(TRIM(INDEX(PASTE_ALL,9,18)),1+(LEFT(TRIM(INDEX(PASTE_ALL,9,18)),1)="-"),999),1)="%")),"0",""),"1",""),"2",""),"3",""),"4",""),"5",""),"6",""),"7",""),"8",""),"9",""),".",""),",","")=""),2,1))),1)</f>
        <v/>
      </c>
      <c r="AQ58">
        <f>IFERROR(IF(ISNUMBER(INDEX(PASTE_ALL,9,19)),2,IF(TRIM(INDEX(PASTE_ALL,9,19))="",0,IF(AND(LEFT(MID(TRIM(INDEX(PASTE_ALL,9,19)),1+(LEFT(TRIM(INDEX(PASTE_ALL,9,19)),1)="-"),999),LEN(MID(TRIM(INDEX(PASTE_ALL,9,19)),1+(LEFT(TRIM(INDEX(PASTE_ALL,9,19)),1)="-"),999))-(RIGHT(MID(TRIM(INDEX(PASTE_ALL,9,19)),1+(LEFT(TRIM(INDEX(PASTE_ALL,9,19)),1)="-"),999),1)="%"))&lt;&gt;"",SUBSTITUTE(SUBSTITUTE(SUBSTITUTE(SUBSTITUTE(SUBSTITUTE(SUBSTITUTE(SUBSTITUTE(SUBSTITUTE(SUBSTITUTE(SUBSTITUTE(SUBSTITUTE(SUBSTITUTE(LEFT(MID(TRIM(INDEX(PASTE_ALL,9,19)),1+(LEFT(TRIM(INDEX(PASTE_ALL,9,19)),1)="-"),999),LEN(MID(TRIM(INDEX(PASTE_ALL,9,19)),1+(LEFT(TRIM(INDEX(PASTE_ALL,9,19)),1)="-"),999))-(RIGHT(MID(TRIM(INDEX(PASTE_ALL,9,19)),1+(LEFT(TRIM(INDEX(PASTE_ALL,9,19)),1)="-"),999),1)="%")),"0",""),"1",""),"2",""),"3",""),"4",""),"5",""),"6",""),"7",""),"8",""),"9",""),".",""),",","")=""),2,1))),1)</f>
        <v/>
      </c>
      <c r="AR58">
        <f>IFERROR(IF(ISNUMBER(INDEX(PASTE_ALL,9,20)),2,IF(TRIM(INDEX(PASTE_ALL,9,20))="",0,IF(AND(LEFT(MID(TRIM(INDEX(PASTE_ALL,9,20)),1+(LEFT(TRIM(INDEX(PASTE_ALL,9,20)),1)="-"),999),LEN(MID(TRIM(INDEX(PASTE_ALL,9,20)),1+(LEFT(TRIM(INDEX(PASTE_ALL,9,20)),1)="-"),999))-(RIGHT(MID(TRIM(INDEX(PASTE_ALL,9,20)),1+(LEFT(TRIM(INDEX(PASTE_ALL,9,20)),1)="-"),999),1)="%"))&lt;&gt;"",SUBSTITUTE(SUBSTITUTE(SUBSTITUTE(SUBSTITUTE(SUBSTITUTE(SUBSTITUTE(SUBSTITUTE(SUBSTITUTE(SUBSTITUTE(SUBSTITUTE(SUBSTITUTE(SUBSTITUTE(LEFT(MID(TRIM(INDEX(PASTE_ALL,9,20)),1+(LEFT(TRIM(INDEX(PASTE_ALL,9,20)),1)="-"),999),LEN(MID(TRIM(INDEX(PASTE_ALL,9,20)),1+(LEFT(TRIM(INDEX(PASTE_ALL,9,20)),1)="-"),999))-(RIGHT(MID(TRIM(INDEX(PASTE_ALL,9,20)),1+(LEFT(TRIM(INDEX(PASTE_ALL,9,20)),1)="-"),999),1)="%")),"0",""),"1",""),"2",""),"3",""),"4",""),"5",""),"6",""),"7",""),"8",""),"9",""),".",""),",","")=""),2,1))),1)</f>
        <v/>
      </c>
      <c r="AS58">
        <f>IFERROR(IF(ISNUMBER(INDEX(PASTE_ALL,9,21)),2,IF(TRIM(INDEX(PASTE_ALL,9,21))="",0,IF(AND(LEFT(MID(TRIM(INDEX(PASTE_ALL,9,21)),1+(LEFT(TRIM(INDEX(PASTE_ALL,9,21)),1)="-"),999),LEN(MID(TRIM(INDEX(PASTE_ALL,9,21)),1+(LEFT(TRIM(INDEX(PASTE_ALL,9,21)),1)="-"),999))-(RIGHT(MID(TRIM(INDEX(PASTE_ALL,9,21)),1+(LEFT(TRIM(INDEX(PASTE_ALL,9,21)),1)="-"),999),1)="%"))&lt;&gt;"",SUBSTITUTE(SUBSTITUTE(SUBSTITUTE(SUBSTITUTE(SUBSTITUTE(SUBSTITUTE(SUBSTITUTE(SUBSTITUTE(SUBSTITUTE(SUBSTITUTE(SUBSTITUTE(SUBSTITUTE(LEFT(MID(TRIM(INDEX(PASTE_ALL,9,21)),1+(LEFT(TRIM(INDEX(PASTE_ALL,9,21)),1)="-"),999),LEN(MID(TRIM(INDEX(PASTE_ALL,9,21)),1+(LEFT(TRIM(INDEX(PASTE_ALL,9,21)),1)="-"),999))-(RIGHT(MID(TRIM(INDEX(PASTE_ALL,9,21)),1+(LEFT(TRIM(INDEX(PASTE_ALL,9,21)),1)="-"),999),1)="%")),"0",""),"1",""),"2",""),"3",""),"4",""),"5",""),"6",""),"7",""),"8",""),"9",""),".",""),",","")=""),2,1))),1)</f>
        <v/>
      </c>
      <c r="AT58">
        <f>IFERROR(IF(ISNUMBER(INDEX(PASTE_ALL,9,22)),2,IF(TRIM(INDEX(PASTE_ALL,9,22))="",0,IF(AND(LEFT(MID(TRIM(INDEX(PASTE_ALL,9,22)),1+(LEFT(TRIM(INDEX(PASTE_ALL,9,22)),1)="-"),999),LEN(MID(TRIM(INDEX(PASTE_ALL,9,22)),1+(LEFT(TRIM(INDEX(PASTE_ALL,9,22)),1)="-"),999))-(RIGHT(MID(TRIM(INDEX(PASTE_ALL,9,22)),1+(LEFT(TRIM(INDEX(PASTE_ALL,9,22)),1)="-"),999),1)="%"))&lt;&gt;"",SUBSTITUTE(SUBSTITUTE(SUBSTITUTE(SUBSTITUTE(SUBSTITUTE(SUBSTITUTE(SUBSTITUTE(SUBSTITUTE(SUBSTITUTE(SUBSTITUTE(SUBSTITUTE(SUBSTITUTE(LEFT(MID(TRIM(INDEX(PASTE_ALL,9,22)),1+(LEFT(TRIM(INDEX(PASTE_ALL,9,22)),1)="-"),999),LEN(MID(TRIM(INDEX(PASTE_ALL,9,22)),1+(LEFT(TRIM(INDEX(PASTE_ALL,9,22)),1)="-"),999))-(RIGHT(MID(TRIM(INDEX(PASTE_ALL,9,22)),1+(LEFT(TRIM(INDEX(PASTE_ALL,9,22)),1)="-"),999),1)="%")),"0",""),"1",""),"2",""),"3",""),"4",""),"5",""),"6",""),"7",""),"8",""),"9",""),".",""),",","")=""),2,1))),1)</f>
        <v/>
      </c>
      <c r="AU58">
        <f>IFERROR(IF(ISNUMBER(INDEX(PASTE_ALL,9,23)),2,IF(TRIM(INDEX(PASTE_ALL,9,23))="",0,IF(AND(LEFT(MID(TRIM(INDEX(PASTE_ALL,9,23)),1+(LEFT(TRIM(INDEX(PASTE_ALL,9,23)),1)="-"),999),LEN(MID(TRIM(INDEX(PASTE_ALL,9,23)),1+(LEFT(TRIM(INDEX(PASTE_ALL,9,23)),1)="-"),999))-(RIGHT(MID(TRIM(INDEX(PASTE_ALL,9,23)),1+(LEFT(TRIM(INDEX(PASTE_ALL,9,23)),1)="-"),999),1)="%"))&lt;&gt;"",SUBSTITUTE(SUBSTITUTE(SUBSTITUTE(SUBSTITUTE(SUBSTITUTE(SUBSTITUTE(SUBSTITUTE(SUBSTITUTE(SUBSTITUTE(SUBSTITUTE(SUBSTITUTE(SUBSTITUTE(LEFT(MID(TRIM(INDEX(PASTE_ALL,9,23)),1+(LEFT(TRIM(INDEX(PASTE_ALL,9,23)),1)="-"),999),LEN(MID(TRIM(INDEX(PASTE_ALL,9,23)),1+(LEFT(TRIM(INDEX(PASTE_ALL,9,23)),1)="-"),999))-(RIGHT(MID(TRIM(INDEX(PASTE_ALL,9,23)),1+(LEFT(TRIM(INDEX(PASTE_ALL,9,23)),1)="-"),999),1)="%")),"0",""),"1",""),"2",""),"3",""),"4",""),"5",""),"6",""),"7",""),"8",""),"9",""),".",""),",","")=""),2,1))),1)</f>
        <v/>
      </c>
      <c r="AV58">
        <f>IFERROR(IF(ISNUMBER(INDEX(PASTE_ALL,9,24)),2,IF(TRIM(INDEX(PASTE_ALL,9,24))="",0,IF(AND(LEFT(MID(TRIM(INDEX(PASTE_ALL,9,24)),1+(LEFT(TRIM(INDEX(PASTE_ALL,9,24)),1)="-"),999),LEN(MID(TRIM(INDEX(PASTE_ALL,9,24)),1+(LEFT(TRIM(INDEX(PASTE_ALL,9,24)),1)="-"),999))-(RIGHT(MID(TRIM(INDEX(PASTE_ALL,9,24)),1+(LEFT(TRIM(INDEX(PASTE_ALL,9,24)),1)="-"),999),1)="%"))&lt;&gt;"",SUBSTITUTE(SUBSTITUTE(SUBSTITUTE(SUBSTITUTE(SUBSTITUTE(SUBSTITUTE(SUBSTITUTE(SUBSTITUTE(SUBSTITUTE(SUBSTITUTE(SUBSTITUTE(SUBSTITUTE(LEFT(MID(TRIM(INDEX(PASTE_ALL,9,24)),1+(LEFT(TRIM(INDEX(PASTE_ALL,9,24)),1)="-"),999),LEN(MID(TRIM(INDEX(PASTE_ALL,9,24)),1+(LEFT(TRIM(INDEX(PASTE_ALL,9,24)),1)="-"),999))-(RIGHT(MID(TRIM(INDEX(PASTE_ALL,9,24)),1+(LEFT(TRIM(INDEX(PASTE_ALL,9,24)),1)="-"),999),1)="%")),"0",""),"1",""),"2",""),"3",""),"4",""),"5",""),"6",""),"7",""),"8",""),"9",""),".",""),",","")=""),2,1))),1)</f>
        <v/>
      </c>
      <c r="AW58">
        <f>IFERROR(IF(ISNUMBER(INDEX(PASTE_ALL,9,25)),2,IF(TRIM(INDEX(PASTE_ALL,9,25))="",0,IF(AND(LEFT(MID(TRIM(INDEX(PASTE_ALL,9,25)),1+(LEFT(TRIM(INDEX(PASTE_ALL,9,25)),1)="-"),999),LEN(MID(TRIM(INDEX(PASTE_ALL,9,25)),1+(LEFT(TRIM(INDEX(PASTE_ALL,9,25)),1)="-"),999))-(RIGHT(MID(TRIM(INDEX(PASTE_ALL,9,25)),1+(LEFT(TRIM(INDEX(PASTE_ALL,9,25)),1)="-"),999),1)="%"))&lt;&gt;"",SUBSTITUTE(SUBSTITUTE(SUBSTITUTE(SUBSTITUTE(SUBSTITUTE(SUBSTITUTE(SUBSTITUTE(SUBSTITUTE(SUBSTITUTE(SUBSTITUTE(SUBSTITUTE(SUBSTITUTE(LEFT(MID(TRIM(INDEX(PASTE_ALL,9,25)),1+(LEFT(TRIM(INDEX(PASTE_ALL,9,25)),1)="-"),999),LEN(MID(TRIM(INDEX(PASTE_ALL,9,25)),1+(LEFT(TRIM(INDEX(PASTE_ALL,9,25)),1)="-"),999))-(RIGHT(MID(TRIM(INDEX(PASTE_ALL,9,25)),1+(LEFT(TRIM(INDEX(PASTE_ALL,9,25)),1)="-"),999),1)="%")),"0",""),"1",""),"2",""),"3",""),"4",""),"5",""),"6",""),"7",""),"8",""),"9",""),".",""),",","")=""),2,1))),1)</f>
        <v/>
      </c>
      <c r="AX58">
        <f>IFERROR(IF(ISNUMBER(INDEX(PASTE_ALL,9,26)),2,IF(TRIM(INDEX(PASTE_ALL,9,26))="",0,IF(AND(LEFT(MID(TRIM(INDEX(PASTE_ALL,9,26)),1+(LEFT(TRIM(INDEX(PASTE_ALL,9,26)),1)="-"),999),LEN(MID(TRIM(INDEX(PASTE_ALL,9,26)),1+(LEFT(TRIM(INDEX(PASTE_ALL,9,26)),1)="-"),999))-(RIGHT(MID(TRIM(INDEX(PASTE_ALL,9,26)),1+(LEFT(TRIM(INDEX(PASTE_ALL,9,26)),1)="-"),999),1)="%"))&lt;&gt;"",SUBSTITUTE(SUBSTITUTE(SUBSTITUTE(SUBSTITUTE(SUBSTITUTE(SUBSTITUTE(SUBSTITUTE(SUBSTITUTE(SUBSTITUTE(SUBSTITUTE(SUBSTITUTE(SUBSTITUTE(LEFT(MID(TRIM(INDEX(PASTE_ALL,9,26)),1+(LEFT(TRIM(INDEX(PASTE_ALL,9,26)),1)="-"),999),LEN(MID(TRIM(INDEX(PASTE_ALL,9,26)),1+(LEFT(TRIM(INDEX(PASTE_ALL,9,26)),1)="-"),999))-(RIGHT(MID(TRIM(INDEX(PASTE_ALL,9,26)),1+(LEFT(TRIM(INDEX(PASTE_ALL,9,26)),1)="-"),999),1)="%")),"0",""),"1",""),"2",""),"3",""),"4",""),"5",""),"6",""),"7",""),"8",""),"9",""),".",""),",","")=""),2,1))),1)</f>
        <v/>
      </c>
      <c r="AY58">
        <f>IFERROR(IF(ISNUMBER(INDEX(PASTE_ALL,9,27)),2,IF(TRIM(INDEX(PASTE_ALL,9,27))="",0,IF(AND(LEFT(MID(TRIM(INDEX(PASTE_ALL,9,27)),1+(LEFT(TRIM(INDEX(PASTE_ALL,9,27)),1)="-"),999),LEN(MID(TRIM(INDEX(PASTE_ALL,9,27)),1+(LEFT(TRIM(INDEX(PASTE_ALL,9,27)),1)="-"),999))-(RIGHT(MID(TRIM(INDEX(PASTE_ALL,9,27)),1+(LEFT(TRIM(INDEX(PASTE_ALL,9,27)),1)="-"),999),1)="%"))&lt;&gt;"",SUBSTITUTE(SUBSTITUTE(SUBSTITUTE(SUBSTITUTE(SUBSTITUTE(SUBSTITUTE(SUBSTITUTE(SUBSTITUTE(SUBSTITUTE(SUBSTITUTE(SUBSTITUTE(SUBSTITUTE(LEFT(MID(TRIM(INDEX(PASTE_ALL,9,27)),1+(LEFT(TRIM(INDEX(PASTE_ALL,9,27)),1)="-"),999),LEN(MID(TRIM(INDEX(PASTE_ALL,9,27)),1+(LEFT(TRIM(INDEX(PASTE_ALL,9,27)),1)="-"),999))-(RIGHT(MID(TRIM(INDEX(PASTE_ALL,9,27)),1+(LEFT(TRIM(INDEX(PASTE_ALL,9,27)),1)="-"),999),1)="%")),"0",""),"1",""),"2",""),"3",""),"4",""),"5",""),"6",""),"7",""),"8",""),"9",""),".",""),",","")=""),2,1))),1)</f>
        <v/>
      </c>
      <c r="AZ58">
        <f>IFERROR(IF(ISNUMBER(INDEX(PASTE_ALL,9,28)),2,IF(TRIM(INDEX(PASTE_ALL,9,28))="",0,IF(AND(LEFT(MID(TRIM(INDEX(PASTE_ALL,9,28)),1+(LEFT(TRIM(INDEX(PASTE_ALL,9,28)),1)="-"),999),LEN(MID(TRIM(INDEX(PASTE_ALL,9,28)),1+(LEFT(TRIM(INDEX(PASTE_ALL,9,28)),1)="-"),999))-(RIGHT(MID(TRIM(INDEX(PASTE_ALL,9,28)),1+(LEFT(TRIM(INDEX(PASTE_ALL,9,28)),1)="-"),999),1)="%"))&lt;&gt;"",SUBSTITUTE(SUBSTITUTE(SUBSTITUTE(SUBSTITUTE(SUBSTITUTE(SUBSTITUTE(SUBSTITUTE(SUBSTITUTE(SUBSTITUTE(SUBSTITUTE(SUBSTITUTE(SUBSTITUTE(LEFT(MID(TRIM(INDEX(PASTE_ALL,9,28)),1+(LEFT(TRIM(INDEX(PASTE_ALL,9,28)),1)="-"),999),LEN(MID(TRIM(INDEX(PASTE_ALL,9,28)),1+(LEFT(TRIM(INDEX(PASTE_ALL,9,28)),1)="-"),999))-(RIGHT(MID(TRIM(INDEX(PASTE_ALL,9,28)),1+(LEFT(TRIM(INDEX(PASTE_ALL,9,28)),1)="-"),999),1)="%")),"0",""),"1",""),"2",""),"3",""),"4",""),"5",""),"6",""),"7",""),"8",""),"9",""),".",""),",","")=""),2,1))),1)</f>
        <v/>
      </c>
      <c r="BA58">
        <f>IFERROR(IF(ISNUMBER(INDEX(PASTE_ALL,9,29)),2,IF(TRIM(INDEX(PASTE_ALL,9,29))="",0,IF(AND(LEFT(MID(TRIM(INDEX(PASTE_ALL,9,29)),1+(LEFT(TRIM(INDEX(PASTE_ALL,9,29)),1)="-"),999),LEN(MID(TRIM(INDEX(PASTE_ALL,9,29)),1+(LEFT(TRIM(INDEX(PASTE_ALL,9,29)),1)="-"),999))-(RIGHT(MID(TRIM(INDEX(PASTE_ALL,9,29)),1+(LEFT(TRIM(INDEX(PASTE_ALL,9,29)),1)="-"),999),1)="%"))&lt;&gt;"",SUBSTITUTE(SUBSTITUTE(SUBSTITUTE(SUBSTITUTE(SUBSTITUTE(SUBSTITUTE(SUBSTITUTE(SUBSTITUTE(SUBSTITUTE(SUBSTITUTE(SUBSTITUTE(SUBSTITUTE(LEFT(MID(TRIM(INDEX(PASTE_ALL,9,29)),1+(LEFT(TRIM(INDEX(PASTE_ALL,9,29)),1)="-"),999),LEN(MID(TRIM(INDEX(PASTE_ALL,9,29)),1+(LEFT(TRIM(INDEX(PASTE_ALL,9,29)),1)="-"),999))-(RIGHT(MID(TRIM(INDEX(PASTE_ALL,9,29)),1+(LEFT(TRIM(INDEX(PASTE_ALL,9,29)),1)="-"),999),1)="%")),"0",""),"1",""),"2",""),"3",""),"4",""),"5",""),"6",""),"7",""),"8",""),"9",""),".",""),",","")=""),2,1))),1)</f>
        <v/>
      </c>
      <c r="BB58">
        <f>IFERROR(IF(ISNUMBER(INDEX(PASTE_ALL,9,30)),2,IF(TRIM(INDEX(PASTE_ALL,9,30))="",0,IF(AND(LEFT(MID(TRIM(INDEX(PASTE_ALL,9,30)),1+(LEFT(TRIM(INDEX(PASTE_ALL,9,30)),1)="-"),999),LEN(MID(TRIM(INDEX(PASTE_ALL,9,30)),1+(LEFT(TRIM(INDEX(PASTE_ALL,9,30)),1)="-"),999))-(RIGHT(MID(TRIM(INDEX(PASTE_ALL,9,30)),1+(LEFT(TRIM(INDEX(PASTE_ALL,9,30)),1)="-"),999),1)="%"))&lt;&gt;"",SUBSTITUTE(SUBSTITUTE(SUBSTITUTE(SUBSTITUTE(SUBSTITUTE(SUBSTITUTE(SUBSTITUTE(SUBSTITUTE(SUBSTITUTE(SUBSTITUTE(SUBSTITUTE(SUBSTITUTE(LEFT(MID(TRIM(INDEX(PASTE_ALL,9,30)),1+(LEFT(TRIM(INDEX(PASTE_ALL,9,30)),1)="-"),999),LEN(MID(TRIM(INDEX(PASTE_ALL,9,30)),1+(LEFT(TRIM(INDEX(PASTE_ALL,9,30)),1)="-"),999))-(RIGHT(MID(TRIM(INDEX(PASTE_ALL,9,30)),1+(LEFT(TRIM(INDEX(PASTE_ALL,9,30)),1)="-"),999),1)="%")),"0",""),"1",""),"2",""),"3",""),"4",""),"5",""),"6",""),"7",""),"8",""),"9",""),".",""),",","")=""),2,1))),1)</f>
        <v/>
      </c>
      <c r="BC58">
        <f>IFERROR(IF(ISNUMBER(INDEX(PASTE_ALL,9,31)),2,IF(TRIM(INDEX(PASTE_ALL,9,31))="",0,IF(AND(LEFT(MID(TRIM(INDEX(PASTE_ALL,9,31)),1+(LEFT(TRIM(INDEX(PASTE_ALL,9,31)),1)="-"),999),LEN(MID(TRIM(INDEX(PASTE_ALL,9,31)),1+(LEFT(TRIM(INDEX(PASTE_ALL,9,31)),1)="-"),999))-(RIGHT(MID(TRIM(INDEX(PASTE_ALL,9,31)),1+(LEFT(TRIM(INDEX(PASTE_ALL,9,31)),1)="-"),999),1)="%"))&lt;&gt;"",SUBSTITUTE(SUBSTITUTE(SUBSTITUTE(SUBSTITUTE(SUBSTITUTE(SUBSTITUTE(SUBSTITUTE(SUBSTITUTE(SUBSTITUTE(SUBSTITUTE(SUBSTITUTE(SUBSTITUTE(LEFT(MID(TRIM(INDEX(PASTE_ALL,9,31)),1+(LEFT(TRIM(INDEX(PASTE_ALL,9,31)),1)="-"),999),LEN(MID(TRIM(INDEX(PASTE_ALL,9,31)),1+(LEFT(TRIM(INDEX(PASTE_ALL,9,31)),1)="-"),999))-(RIGHT(MID(TRIM(INDEX(PASTE_ALL,9,31)),1+(LEFT(TRIM(INDEX(PASTE_ALL,9,31)),1)="-"),999),1)="%")),"0",""),"1",""),"2",""),"3",""),"4",""),"5",""),"6",""),"7",""),"8",""),"9",""),".",""),",","")=""),2,1))),1)</f>
        <v/>
      </c>
      <c r="BD58">
        <f>IFERROR(IF(ISNUMBER(INDEX(PASTE_ALL,9,32)),2,IF(TRIM(INDEX(PASTE_ALL,9,32))="",0,IF(AND(LEFT(MID(TRIM(INDEX(PASTE_ALL,9,32)),1+(LEFT(TRIM(INDEX(PASTE_ALL,9,32)),1)="-"),999),LEN(MID(TRIM(INDEX(PASTE_ALL,9,32)),1+(LEFT(TRIM(INDEX(PASTE_ALL,9,32)),1)="-"),999))-(RIGHT(MID(TRIM(INDEX(PASTE_ALL,9,32)),1+(LEFT(TRIM(INDEX(PASTE_ALL,9,32)),1)="-"),999),1)="%"))&lt;&gt;"",SUBSTITUTE(SUBSTITUTE(SUBSTITUTE(SUBSTITUTE(SUBSTITUTE(SUBSTITUTE(SUBSTITUTE(SUBSTITUTE(SUBSTITUTE(SUBSTITUTE(SUBSTITUTE(SUBSTITUTE(LEFT(MID(TRIM(INDEX(PASTE_ALL,9,32)),1+(LEFT(TRIM(INDEX(PASTE_ALL,9,32)),1)="-"),999),LEN(MID(TRIM(INDEX(PASTE_ALL,9,32)),1+(LEFT(TRIM(INDEX(PASTE_ALL,9,32)),1)="-"),999))-(RIGHT(MID(TRIM(INDEX(PASTE_ALL,9,32)),1+(LEFT(TRIM(INDEX(PASTE_ALL,9,32)),1)="-"),999),1)="%")),"0",""),"1",""),"2",""),"3",""),"4",""),"5",""),"6",""),"7",""),"8",""),"9",""),".",""),",","")=""),2,1))),1)</f>
        <v/>
      </c>
      <c r="BE58">
        <f>IFERROR(IF(ISNUMBER(INDEX(PASTE_ALL,9,33)),2,IF(TRIM(INDEX(PASTE_ALL,9,33))="",0,IF(AND(LEFT(MID(TRIM(INDEX(PASTE_ALL,9,33)),1+(LEFT(TRIM(INDEX(PASTE_ALL,9,33)),1)="-"),999),LEN(MID(TRIM(INDEX(PASTE_ALL,9,33)),1+(LEFT(TRIM(INDEX(PASTE_ALL,9,33)),1)="-"),999))-(RIGHT(MID(TRIM(INDEX(PASTE_ALL,9,33)),1+(LEFT(TRIM(INDEX(PASTE_ALL,9,33)),1)="-"),999),1)="%"))&lt;&gt;"",SUBSTITUTE(SUBSTITUTE(SUBSTITUTE(SUBSTITUTE(SUBSTITUTE(SUBSTITUTE(SUBSTITUTE(SUBSTITUTE(SUBSTITUTE(SUBSTITUTE(SUBSTITUTE(SUBSTITUTE(LEFT(MID(TRIM(INDEX(PASTE_ALL,9,33)),1+(LEFT(TRIM(INDEX(PASTE_ALL,9,33)),1)="-"),999),LEN(MID(TRIM(INDEX(PASTE_ALL,9,33)),1+(LEFT(TRIM(INDEX(PASTE_ALL,9,33)),1)="-"),999))-(RIGHT(MID(TRIM(INDEX(PASTE_ALL,9,33)),1+(LEFT(TRIM(INDEX(PASTE_ALL,9,33)),1)="-"),999),1)="%")),"0",""),"1",""),"2",""),"3",""),"4",""),"5",""),"6",""),"7",""),"8",""),"9",""),".",""),",","")=""),2,1))),1)</f>
        <v/>
      </c>
      <c r="BF58">
        <f>IFERROR(IF(ISNUMBER(INDEX(PASTE_ALL,9,34)),2,IF(TRIM(INDEX(PASTE_ALL,9,34))="",0,IF(AND(LEFT(MID(TRIM(INDEX(PASTE_ALL,9,34)),1+(LEFT(TRIM(INDEX(PASTE_ALL,9,34)),1)="-"),999),LEN(MID(TRIM(INDEX(PASTE_ALL,9,34)),1+(LEFT(TRIM(INDEX(PASTE_ALL,9,34)),1)="-"),999))-(RIGHT(MID(TRIM(INDEX(PASTE_ALL,9,34)),1+(LEFT(TRIM(INDEX(PASTE_ALL,9,34)),1)="-"),999),1)="%"))&lt;&gt;"",SUBSTITUTE(SUBSTITUTE(SUBSTITUTE(SUBSTITUTE(SUBSTITUTE(SUBSTITUTE(SUBSTITUTE(SUBSTITUTE(SUBSTITUTE(SUBSTITUTE(SUBSTITUTE(SUBSTITUTE(LEFT(MID(TRIM(INDEX(PASTE_ALL,9,34)),1+(LEFT(TRIM(INDEX(PASTE_ALL,9,34)),1)="-"),999),LEN(MID(TRIM(INDEX(PASTE_ALL,9,34)),1+(LEFT(TRIM(INDEX(PASTE_ALL,9,34)),1)="-"),999))-(RIGHT(MID(TRIM(INDEX(PASTE_ALL,9,34)),1+(LEFT(TRIM(INDEX(PASTE_ALL,9,34)),1)="-"),999),1)="%")),"0",""),"1",""),"2",""),"3",""),"4",""),"5",""),"6",""),"7",""),"8",""),"9",""),".",""),",","")=""),2,1))),1)</f>
        <v/>
      </c>
      <c r="BG58">
        <f>IFERROR(IF(ISNUMBER(INDEX(PASTE_ALL,9,35)),2,IF(TRIM(INDEX(PASTE_ALL,9,35))="",0,IF(AND(LEFT(MID(TRIM(INDEX(PASTE_ALL,9,35)),1+(LEFT(TRIM(INDEX(PASTE_ALL,9,35)),1)="-"),999),LEN(MID(TRIM(INDEX(PASTE_ALL,9,35)),1+(LEFT(TRIM(INDEX(PASTE_ALL,9,35)),1)="-"),999))-(RIGHT(MID(TRIM(INDEX(PASTE_ALL,9,35)),1+(LEFT(TRIM(INDEX(PASTE_ALL,9,35)),1)="-"),999),1)="%"))&lt;&gt;"",SUBSTITUTE(SUBSTITUTE(SUBSTITUTE(SUBSTITUTE(SUBSTITUTE(SUBSTITUTE(SUBSTITUTE(SUBSTITUTE(SUBSTITUTE(SUBSTITUTE(SUBSTITUTE(SUBSTITUTE(LEFT(MID(TRIM(INDEX(PASTE_ALL,9,35)),1+(LEFT(TRIM(INDEX(PASTE_ALL,9,35)),1)="-"),999),LEN(MID(TRIM(INDEX(PASTE_ALL,9,35)),1+(LEFT(TRIM(INDEX(PASTE_ALL,9,35)),1)="-"),999))-(RIGHT(MID(TRIM(INDEX(PASTE_ALL,9,35)),1+(LEFT(TRIM(INDEX(PASTE_ALL,9,35)),1)="-"),999),1)="%")),"0",""),"1",""),"2",""),"3",""),"4",""),"5",""),"6",""),"7",""),"8",""),"9",""),".",""),",","")=""),2,1))),1)</f>
        <v/>
      </c>
      <c r="BH58">
        <f>IFERROR(IF(ISNUMBER(INDEX(PASTE_ALL,9,36)),2,IF(TRIM(INDEX(PASTE_ALL,9,36))="",0,IF(AND(LEFT(MID(TRIM(INDEX(PASTE_ALL,9,36)),1+(LEFT(TRIM(INDEX(PASTE_ALL,9,36)),1)="-"),999),LEN(MID(TRIM(INDEX(PASTE_ALL,9,36)),1+(LEFT(TRIM(INDEX(PASTE_ALL,9,36)),1)="-"),999))-(RIGHT(MID(TRIM(INDEX(PASTE_ALL,9,36)),1+(LEFT(TRIM(INDEX(PASTE_ALL,9,36)),1)="-"),999),1)="%"))&lt;&gt;"",SUBSTITUTE(SUBSTITUTE(SUBSTITUTE(SUBSTITUTE(SUBSTITUTE(SUBSTITUTE(SUBSTITUTE(SUBSTITUTE(SUBSTITUTE(SUBSTITUTE(SUBSTITUTE(SUBSTITUTE(LEFT(MID(TRIM(INDEX(PASTE_ALL,9,36)),1+(LEFT(TRIM(INDEX(PASTE_ALL,9,36)),1)="-"),999),LEN(MID(TRIM(INDEX(PASTE_ALL,9,36)),1+(LEFT(TRIM(INDEX(PASTE_ALL,9,36)),1)="-"),999))-(RIGHT(MID(TRIM(INDEX(PASTE_ALL,9,36)),1+(LEFT(TRIM(INDEX(PASTE_ALL,9,36)),1)="-"),999),1)="%")),"0",""),"1",""),"2",""),"3",""),"4",""),"5",""),"6",""),"7",""),"8",""),"9",""),".",""),",","")=""),2,1))),1)</f>
        <v/>
      </c>
      <c r="BI58">
        <f>IFERROR(IF(ISNUMBER(INDEX(PASTE_ALL,9,37)),2,IF(TRIM(INDEX(PASTE_ALL,9,37))="",0,IF(AND(LEFT(MID(TRIM(INDEX(PASTE_ALL,9,37)),1+(LEFT(TRIM(INDEX(PASTE_ALL,9,37)),1)="-"),999),LEN(MID(TRIM(INDEX(PASTE_ALL,9,37)),1+(LEFT(TRIM(INDEX(PASTE_ALL,9,37)),1)="-"),999))-(RIGHT(MID(TRIM(INDEX(PASTE_ALL,9,37)),1+(LEFT(TRIM(INDEX(PASTE_ALL,9,37)),1)="-"),999),1)="%"))&lt;&gt;"",SUBSTITUTE(SUBSTITUTE(SUBSTITUTE(SUBSTITUTE(SUBSTITUTE(SUBSTITUTE(SUBSTITUTE(SUBSTITUTE(SUBSTITUTE(SUBSTITUTE(SUBSTITUTE(SUBSTITUTE(LEFT(MID(TRIM(INDEX(PASTE_ALL,9,37)),1+(LEFT(TRIM(INDEX(PASTE_ALL,9,37)),1)="-"),999),LEN(MID(TRIM(INDEX(PASTE_ALL,9,37)),1+(LEFT(TRIM(INDEX(PASTE_ALL,9,37)),1)="-"),999))-(RIGHT(MID(TRIM(INDEX(PASTE_ALL,9,37)),1+(LEFT(TRIM(INDEX(PASTE_ALL,9,37)),1)="-"),999),1)="%")),"0",""),"1",""),"2",""),"3",""),"4",""),"5",""),"6",""),"7",""),"8",""),"9",""),".",""),",","")=""),2,1))),1)</f>
        <v/>
      </c>
      <c r="BJ58">
        <f>IFERROR(IF(ISNUMBER(INDEX(PASTE_ALL,9,38)),2,IF(TRIM(INDEX(PASTE_ALL,9,38))="",0,IF(AND(LEFT(MID(TRIM(INDEX(PASTE_ALL,9,38)),1+(LEFT(TRIM(INDEX(PASTE_ALL,9,38)),1)="-"),999),LEN(MID(TRIM(INDEX(PASTE_ALL,9,38)),1+(LEFT(TRIM(INDEX(PASTE_ALL,9,38)),1)="-"),999))-(RIGHT(MID(TRIM(INDEX(PASTE_ALL,9,38)),1+(LEFT(TRIM(INDEX(PASTE_ALL,9,38)),1)="-"),999),1)="%"))&lt;&gt;"",SUBSTITUTE(SUBSTITUTE(SUBSTITUTE(SUBSTITUTE(SUBSTITUTE(SUBSTITUTE(SUBSTITUTE(SUBSTITUTE(SUBSTITUTE(SUBSTITUTE(SUBSTITUTE(SUBSTITUTE(LEFT(MID(TRIM(INDEX(PASTE_ALL,9,38)),1+(LEFT(TRIM(INDEX(PASTE_ALL,9,38)),1)="-"),999),LEN(MID(TRIM(INDEX(PASTE_ALL,9,38)),1+(LEFT(TRIM(INDEX(PASTE_ALL,9,38)),1)="-"),999))-(RIGHT(MID(TRIM(INDEX(PASTE_ALL,9,38)),1+(LEFT(TRIM(INDEX(PASTE_ALL,9,38)),1)="-"),999),1)="%")),"0",""),"1",""),"2",""),"3",""),"4",""),"5",""),"6",""),"7",""),"8",""),"9",""),".",""),",","")=""),2,1))),1)</f>
        <v/>
      </c>
      <c r="BK58">
        <f>IFERROR(IF(ISNUMBER(INDEX(PASTE_ALL,9,39)),2,IF(TRIM(INDEX(PASTE_ALL,9,39))="",0,IF(AND(LEFT(MID(TRIM(INDEX(PASTE_ALL,9,39)),1+(LEFT(TRIM(INDEX(PASTE_ALL,9,39)),1)="-"),999),LEN(MID(TRIM(INDEX(PASTE_ALL,9,39)),1+(LEFT(TRIM(INDEX(PASTE_ALL,9,39)),1)="-"),999))-(RIGHT(MID(TRIM(INDEX(PASTE_ALL,9,39)),1+(LEFT(TRIM(INDEX(PASTE_ALL,9,39)),1)="-"),999),1)="%"))&lt;&gt;"",SUBSTITUTE(SUBSTITUTE(SUBSTITUTE(SUBSTITUTE(SUBSTITUTE(SUBSTITUTE(SUBSTITUTE(SUBSTITUTE(SUBSTITUTE(SUBSTITUTE(SUBSTITUTE(SUBSTITUTE(LEFT(MID(TRIM(INDEX(PASTE_ALL,9,39)),1+(LEFT(TRIM(INDEX(PASTE_ALL,9,39)),1)="-"),999),LEN(MID(TRIM(INDEX(PASTE_ALL,9,39)),1+(LEFT(TRIM(INDEX(PASTE_ALL,9,39)),1)="-"),999))-(RIGHT(MID(TRIM(INDEX(PASTE_ALL,9,39)),1+(LEFT(TRIM(INDEX(PASTE_ALL,9,39)),1)="-"),999),1)="%")),"0",""),"1",""),"2",""),"3",""),"4",""),"5",""),"6",""),"7",""),"8",""),"9",""),".",""),",","")=""),2,1))),1)</f>
        <v/>
      </c>
      <c r="BL58">
        <f>IFERROR(IF(ISNUMBER(INDEX(PASTE_ALL,9,40)),2,IF(TRIM(INDEX(PASTE_ALL,9,40))="",0,IF(AND(LEFT(MID(TRIM(INDEX(PASTE_ALL,9,40)),1+(LEFT(TRIM(INDEX(PASTE_ALL,9,40)),1)="-"),999),LEN(MID(TRIM(INDEX(PASTE_ALL,9,40)),1+(LEFT(TRIM(INDEX(PASTE_ALL,9,40)),1)="-"),999))-(RIGHT(MID(TRIM(INDEX(PASTE_ALL,9,40)),1+(LEFT(TRIM(INDEX(PASTE_ALL,9,40)),1)="-"),999),1)="%"))&lt;&gt;"",SUBSTITUTE(SUBSTITUTE(SUBSTITUTE(SUBSTITUTE(SUBSTITUTE(SUBSTITUTE(SUBSTITUTE(SUBSTITUTE(SUBSTITUTE(SUBSTITUTE(SUBSTITUTE(SUBSTITUTE(LEFT(MID(TRIM(INDEX(PASTE_ALL,9,40)),1+(LEFT(TRIM(INDEX(PASTE_ALL,9,40)),1)="-"),999),LEN(MID(TRIM(INDEX(PASTE_ALL,9,40)),1+(LEFT(TRIM(INDEX(PASTE_ALL,9,40)),1)="-"),999))-(RIGHT(MID(TRIM(INDEX(PASTE_ALL,9,40)),1+(LEFT(TRIM(INDEX(PASTE_ALL,9,40)),1)="-"),999),1)="%")),"0",""),"1",""),"2",""),"3",""),"4",""),"5",""),"6",""),"7",""),"8",""),"9",""),".",""),",","")=""),2,1))),1)</f>
        <v/>
      </c>
      <c r="BM58">
        <f>IFERROR(IF(ISNUMBER(INDEX(PASTE_ALL,9,41)),2,IF(TRIM(INDEX(PASTE_ALL,9,41))="",0,IF(AND(LEFT(MID(TRIM(INDEX(PASTE_ALL,9,41)),1+(LEFT(TRIM(INDEX(PASTE_ALL,9,41)),1)="-"),999),LEN(MID(TRIM(INDEX(PASTE_ALL,9,41)),1+(LEFT(TRIM(INDEX(PASTE_ALL,9,41)),1)="-"),999))-(RIGHT(MID(TRIM(INDEX(PASTE_ALL,9,41)),1+(LEFT(TRIM(INDEX(PASTE_ALL,9,41)),1)="-"),999),1)="%"))&lt;&gt;"",SUBSTITUTE(SUBSTITUTE(SUBSTITUTE(SUBSTITUTE(SUBSTITUTE(SUBSTITUTE(SUBSTITUTE(SUBSTITUTE(SUBSTITUTE(SUBSTITUTE(SUBSTITUTE(SUBSTITUTE(LEFT(MID(TRIM(INDEX(PASTE_ALL,9,41)),1+(LEFT(TRIM(INDEX(PASTE_ALL,9,41)),1)="-"),999),LEN(MID(TRIM(INDEX(PASTE_ALL,9,41)),1+(LEFT(TRIM(INDEX(PASTE_ALL,9,41)),1)="-"),999))-(RIGHT(MID(TRIM(INDEX(PASTE_ALL,9,41)),1+(LEFT(TRIM(INDEX(PASTE_ALL,9,41)),1)="-"),999),1)="%")),"0",""),"1",""),"2",""),"3",""),"4",""),"5",""),"6",""),"7",""),"8",""),"9",""),".",""),",","")=""),2,1))),1)</f>
        <v/>
      </c>
      <c r="BN58">
        <f>IFERROR(IF(ISNUMBER(INDEX(PASTE_ALL,9,42)),2,IF(TRIM(INDEX(PASTE_ALL,9,42))="",0,IF(AND(LEFT(MID(TRIM(INDEX(PASTE_ALL,9,42)),1+(LEFT(TRIM(INDEX(PASTE_ALL,9,42)),1)="-"),999),LEN(MID(TRIM(INDEX(PASTE_ALL,9,42)),1+(LEFT(TRIM(INDEX(PASTE_ALL,9,42)),1)="-"),999))-(RIGHT(MID(TRIM(INDEX(PASTE_ALL,9,42)),1+(LEFT(TRIM(INDEX(PASTE_ALL,9,42)),1)="-"),999),1)="%"))&lt;&gt;"",SUBSTITUTE(SUBSTITUTE(SUBSTITUTE(SUBSTITUTE(SUBSTITUTE(SUBSTITUTE(SUBSTITUTE(SUBSTITUTE(SUBSTITUTE(SUBSTITUTE(SUBSTITUTE(SUBSTITUTE(LEFT(MID(TRIM(INDEX(PASTE_ALL,9,42)),1+(LEFT(TRIM(INDEX(PASTE_ALL,9,42)),1)="-"),999),LEN(MID(TRIM(INDEX(PASTE_ALL,9,42)),1+(LEFT(TRIM(INDEX(PASTE_ALL,9,42)),1)="-"),999))-(RIGHT(MID(TRIM(INDEX(PASTE_ALL,9,42)),1+(LEFT(TRIM(INDEX(PASTE_ALL,9,42)),1)="-"),999),1)="%")),"0",""),"1",""),"2",""),"3",""),"4",""),"5",""),"6",""),"7",""),"8",""),"9",""),".",""),",","")=""),2,1))),1)</f>
        <v/>
      </c>
      <c r="BO58">
        <f>IFERROR(IF(ISNUMBER(INDEX(PASTE_ALL,9,43)),2,IF(TRIM(INDEX(PASTE_ALL,9,43))="",0,IF(AND(LEFT(MID(TRIM(INDEX(PASTE_ALL,9,43)),1+(LEFT(TRIM(INDEX(PASTE_ALL,9,43)),1)="-"),999),LEN(MID(TRIM(INDEX(PASTE_ALL,9,43)),1+(LEFT(TRIM(INDEX(PASTE_ALL,9,43)),1)="-"),999))-(RIGHT(MID(TRIM(INDEX(PASTE_ALL,9,43)),1+(LEFT(TRIM(INDEX(PASTE_ALL,9,43)),1)="-"),999),1)="%"))&lt;&gt;"",SUBSTITUTE(SUBSTITUTE(SUBSTITUTE(SUBSTITUTE(SUBSTITUTE(SUBSTITUTE(SUBSTITUTE(SUBSTITUTE(SUBSTITUTE(SUBSTITUTE(SUBSTITUTE(SUBSTITUTE(LEFT(MID(TRIM(INDEX(PASTE_ALL,9,43)),1+(LEFT(TRIM(INDEX(PASTE_ALL,9,43)),1)="-"),999),LEN(MID(TRIM(INDEX(PASTE_ALL,9,43)),1+(LEFT(TRIM(INDEX(PASTE_ALL,9,43)),1)="-"),999))-(RIGHT(MID(TRIM(INDEX(PASTE_ALL,9,43)),1+(LEFT(TRIM(INDEX(PASTE_ALL,9,43)),1)="-"),999),1)="%")),"0",""),"1",""),"2",""),"3",""),"4",""),"5",""),"6",""),"7",""),"8",""),"9",""),".",""),",","")=""),2,1))),1)</f>
        <v/>
      </c>
      <c r="BP58">
        <f>IFERROR(IF(ISNUMBER(INDEX(PASTE_ALL,9,44)),2,IF(TRIM(INDEX(PASTE_ALL,9,44))="",0,IF(AND(LEFT(MID(TRIM(INDEX(PASTE_ALL,9,44)),1+(LEFT(TRIM(INDEX(PASTE_ALL,9,44)),1)="-"),999),LEN(MID(TRIM(INDEX(PASTE_ALL,9,44)),1+(LEFT(TRIM(INDEX(PASTE_ALL,9,44)),1)="-"),999))-(RIGHT(MID(TRIM(INDEX(PASTE_ALL,9,44)),1+(LEFT(TRIM(INDEX(PASTE_ALL,9,44)),1)="-"),999),1)="%"))&lt;&gt;"",SUBSTITUTE(SUBSTITUTE(SUBSTITUTE(SUBSTITUTE(SUBSTITUTE(SUBSTITUTE(SUBSTITUTE(SUBSTITUTE(SUBSTITUTE(SUBSTITUTE(SUBSTITUTE(SUBSTITUTE(LEFT(MID(TRIM(INDEX(PASTE_ALL,9,44)),1+(LEFT(TRIM(INDEX(PASTE_ALL,9,44)),1)="-"),999),LEN(MID(TRIM(INDEX(PASTE_ALL,9,44)),1+(LEFT(TRIM(INDEX(PASTE_ALL,9,44)),1)="-"),999))-(RIGHT(MID(TRIM(INDEX(PASTE_ALL,9,44)),1+(LEFT(TRIM(INDEX(PASTE_ALL,9,44)),1)="-"),999),1)="%")),"0",""),"1",""),"2",""),"3",""),"4",""),"5",""),"6",""),"7",""),"8",""),"9",""),".",""),",","")=""),2,1))),1)</f>
        <v/>
      </c>
      <c r="BQ58">
        <f>IFERROR(IF(ISNUMBER(INDEX(PASTE_ALL,9,45)),2,IF(TRIM(INDEX(PASTE_ALL,9,45))="",0,IF(AND(LEFT(MID(TRIM(INDEX(PASTE_ALL,9,45)),1+(LEFT(TRIM(INDEX(PASTE_ALL,9,45)),1)="-"),999),LEN(MID(TRIM(INDEX(PASTE_ALL,9,45)),1+(LEFT(TRIM(INDEX(PASTE_ALL,9,45)),1)="-"),999))-(RIGHT(MID(TRIM(INDEX(PASTE_ALL,9,45)),1+(LEFT(TRIM(INDEX(PASTE_ALL,9,45)),1)="-"),999),1)="%"))&lt;&gt;"",SUBSTITUTE(SUBSTITUTE(SUBSTITUTE(SUBSTITUTE(SUBSTITUTE(SUBSTITUTE(SUBSTITUTE(SUBSTITUTE(SUBSTITUTE(SUBSTITUTE(SUBSTITUTE(SUBSTITUTE(LEFT(MID(TRIM(INDEX(PASTE_ALL,9,45)),1+(LEFT(TRIM(INDEX(PASTE_ALL,9,45)),1)="-"),999),LEN(MID(TRIM(INDEX(PASTE_ALL,9,45)),1+(LEFT(TRIM(INDEX(PASTE_ALL,9,45)),1)="-"),999))-(RIGHT(MID(TRIM(INDEX(PASTE_ALL,9,45)),1+(LEFT(TRIM(INDEX(PASTE_ALL,9,45)),1)="-"),999),1)="%")),"0",""),"1",""),"2",""),"3",""),"4",""),"5",""),"6",""),"7",""),"8",""),"9",""),".",""),",","")=""),2,1))),1)</f>
        <v/>
      </c>
      <c r="BR58">
        <f>IFERROR(IF(ISNUMBER(INDEX(PASTE_ALL,9,46)),2,IF(TRIM(INDEX(PASTE_ALL,9,46))="",0,IF(AND(LEFT(MID(TRIM(INDEX(PASTE_ALL,9,46)),1+(LEFT(TRIM(INDEX(PASTE_ALL,9,46)),1)="-"),999),LEN(MID(TRIM(INDEX(PASTE_ALL,9,46)),1+(LEFT(TRIM(INDEX(PASTE_ALL,9,46)),1)="-"),999))-(RIGHT(MID(TRIM(INDEX(PASTE_ALL,9,46)),1+(LEFT(TRIM(INDEX(PASTE_ALL,9,46)),1)="-"),999),1)="%"))&lt;&gt;"",SUBSTITUTE(SUBSTITUTE(SUBSTITUTE(SUBSTITUTE(SUBSTITUTE(SUBSTITUTE(SUBSTITUTE(SUBSTITUTE(SUBSTITUTE(SUBSTITUTE(SUBSTITUTE(SUBSTITUTE(LEFT(MID(TRIM(INDEX(PASTE_ALL,9,46)),1+(LEFT(TRIM(INDEX(PASTE_ALL,9,46)),1)="-"),999),LEN(MID(TRIM(INDEX(PASTE_ALL,9,46)),1+(LEFT(TRIM(INDEX(PASTE_ALL,9,46)),1)="-"),999))-(RIGHT(MID(TRIM(INDEX(PASTE_ALL,9,46)),1+(LEFT(TRIM(INDEX(PASTE_ALL,9,46)),1)="-"),999),1)="%")),"0",""),"1",""),"2",""),"3",""),"4",""),"5",""),"6",""),"7",""),"8",""),"9",""),".",""),",","")=""),2,1))),1)</f>
        <v/>
      </c>
      <c r="BS58">
        <f>IFERROR(IF(ISNUMBER(INDEX(PASTE_ALL,9,47)),2,IF(TRIM(INDEX(PASTE_ALL,9,47))="",0,IF(AND(LEFT(MID(TRIM(INDEX(PASTE_ALL,9,47)),1+(LEFT(TRIM(INDEX(PASTE_ALL,9,47)),1)="-"),999),LEN(MID(TRIM(INDEX(PASTE_ALL,9,47)),1+(LEFT(TRIM(INDEX(PASTE_ALL,9,47)),1)="-"),999))-(RIGHT(MID(TRIM(INDEX(PASTE_ALL,9,47)),1+(LEFT(TRIM(INDEX(PASTE_ALL,9,47)),1)="-"),999),1)="%"))&lt;&gt;"",SUBSTITUTE(SUBSTITUTE(SUBSTITUTE(SUBSTITUTE(SUBSTITUTE(SUBSTITUTE(SUBSTITUTE(SUBSTITUTE(SUBSTITUTE(SUBSTITUTE(SUBSTITUTE(SUBSTITUTE(LEFT(MID(TRIM(INDEX(PASTE_ALL,9,47)),1+(LEFT(TRIM(INDEX(PASTE_ALL,9,47)),1)="-"),999),LEN(MID(TRIM(INDEX(PASTE_ALL,9,47)),1+(LEFT(TRIM(INDEX(PASTE_ALL,9,47)),1)="-"),999))-(RIGHT(MID(TRIM(INDEX(PASTE_ALL,9,47)),1+(LEFT(TRIM(INDEX(PASTE_ALL,9,47)),1)="-"),999),1)="%")),"0",""),"1",""),"2",""),"3",""),"4",""),"5",""),"6",""),"7",""),"8",""),"9",""),".",""),",","")=""),2,1))),1)</f>
        <v/>
      </c>
      <c r="BT58">
        <f>IFERROR(IF(ISNUMBER(INDEX(PASTE_ALL,9,48)),2,IF(TRIM(INDEX(PASTE_ALL,9,48))="",0,IF(AND(LEFT(MID(TRIM(INDEX(PASTE_ALL,9,48)),1+(LEFT(TRIM(INDEX(PASTE_ALL,9,48)),1)="-"),999),LEN(MID(TRIM(INDEX(PASTE_ALL,9,48)),1+(LEFT(TRIM(INDEX(PASTE_ALL,9,48)),1)="-"),999))-(RIGHT(MID(TRIM(INDEX(PASTE_ALL,9,48)),1+(LEFT(TRIM(INDEX(PASTE_ALL,9,48)),1)="-"),999),1)="%"))&lt;&gt;"",SUBSTITUTE(SUBSTITUTE(SUBSTITUTE(SUBSTITUTE(SUBSTITUTE(SUBSTITUTE(SUBSTITUTE(SUBSTITUTE(SUBSTITUTE(SUBSTITUTE(SUBSTITUTE(SUBSTITUTE(LEFT(MID(TRIM(INDEX(PASTE_ALL,9,48)),1+(LEFT(TRIM(INDEX(PASTE_ALL,9,48)),1)="-"),999),LEN(MID(TRIM(INDEX(PASTE_ALL,9,48)),1+(LEFT(TRIM(INDEX(PASTE_ALL,9,48)),1)="-"),999))-(RIGHT(MID(TRIM(INDEX(PASTE_ALL,9,48)),1+(LEFT(TRIM(INDEX(PASTE_ALL,9,48)),1)="-"),999),1)="%")),"0",""),"1",""),"2",""),"3",""),"4",""),"5",""),"6",""),"7",""),"8",""),"9",""),".",""),",","")=""),2,1))),1)</f>
        <v/>
      </c>
      <c r="BU58">
        <f>IFERROR(IF(ISNUMBER(INDEX(PASTE_ALL,9,49)),2,IF(TRIM(INDEX(PASTE_ALL,9,49))="",0,IF(AND(LEFT(MID(TRIM(INDEX(PASTE_ALL,9,49)),1+(LEFT(TRIM(INDEX(PASTE_ALL,9,49)),1)="-"),999),LEN(MID(TRIM(INDEX(PASTE_ALL,9,49)),1+(LEFT(TRIM(INDEX(PASTE_ALL,9,49)),1)="-"),999))-(RIGHT(MID(TRIM(INDEX(PASTE_ALL,9,49)),1+(LEFT(TRIM(INDEX(PASTE_ALL,9,49)),1)="-"),999),1)="%"))&lt;&gt;"",SUBSTITUTE(SUBSTITUTE(SUBSTITUTE(SUBSTITUTE(SUBSTITUTE(SUBSTITUTE(SUBSTITUTE(SUBSTITUTE(SUBSTITUTE(SUBSTITUTE(SUBSTITUTE(SUBSTITUTE(LEFT(MID(TRIM(INDEX(PASTE_ALL,9,49)),1+(LEFT(TRIM(INDEX(PASTE_ALL,9,49)),1)="-"),999),LEN(MID(TRIM(INDEX(PASTE_ALL,9,49)),1+(LEFT(TRIM(INDEX(PASTE_ALL,9,49)),1)="-"),999))-(RIGHT(MID(TRIM(INDEX(PASTE_ALL,9,49)),1+(LEFT(TRIM(INDEX(PASTE_ALL,9,49)),1)="-"),999),1)="%")),"0",""),"1",""),"2",""),"3",""),"4",""),"5",""),"6",""),"7",""),"8",""),"9",""),".",""),",","")=""),2,1))),1)</f>
        <v/>
      </c>
      <c r="BV58">
        <f>IFERROR(IF(ISNUMBER(INDEX(PASTE_ALL,9,50)),2,IF(TRIM(INDEX(PASTE_ALL,9,50))="",0,IF(AND(LEFT(MID(TRIM(INDEX(PASTE_ALL,9,50)),1+(LEFT(TRIM(INDEX(PASTE_ALL,9,50)),1)="-"),999),LEN(MID(TRIM(INDEX(PASTE_ALL,9,50)),1+(LEFT(TRIM(INDEX(PASTE_ALL,9,50)),1)="-"),999))-(RIGHT(MID(TRIM(INDEX(PASTE_ALL,9,50)),1+(LEFT(TRIM(INDEX(PASTE_ALL,9,50)),1)="-"),999),1)="%"))&lt;&gt;"",SUBSTITUTE(SUBSTITUTE(SUBSTITUTE(SUBSTITUTE(SUBSTITUTE(SUBSTITUTE(SUBSTITUTE(SUBSTITUTE(SUBSTITUTE(SUBSTITUTE(SUBSTITUTE(SUBSTITUTE(LEFT(MID(TRIM(INDEX(PASTE_ALL,9,50)),1+(LEFT(TRIM(INDEX(PASTE_ALL,9,50)),1)="-"),999),LEN(MID(TRIM(INDEX(PASTE_ALL,9,50)),1+(LEFT(TRIM(INDEX(PASTE_ALL,9,50)),1)="-"),999))-(RIGHT(MID(TRIM(INDEX(PASTE_ALL,9,50)),1+(LEFT(TRIM(INDEX(PASTE_ALL,9,50)),1)="-"),999),1)="%")),"0",""),"1",""),"2",""),"3",""),"4",""),"5",""),"6",""),"7",""),"8",""),"9",""),".",""),",","")=""),2,1))),1)</f>
        <v/>
      </c>
      <c r="BW58">
        <f>IFERROR(IF(ISNUMBER(INDEX(PASTE_ALL,9,51)),2,IF(TRIM(INDEX(PASTE_ALL,9,51))="",0,IF(AND(LEFT(MID(TRIM(INDEX(PASTE_ALL,9,51)),1+(LEFT(TRIM(INDEX(PASTE_ALL,9,51)),1)="-"),999),LEN(MID(TRIM(INDEX(PASTE_ALL,9,51)),1+(LEFT(TRIM(INDEX(PASTE_ALL,9,51)),1)="-"),999))-(RIGHT(MID(TRIM(INDEX(PASTE_ALL,9,51)),1+(LEFT(TRIM(INDEX(PASTE_ALL,9,51)),1)="-"),999),1)="%"))&lt;&gt;"",SUBSTITUTE(SUBSTITUTE(SUBSTITUTE(SUBSTITUTE(SUBSTITUTE(SUBSTITUTE(SUBSTITUTE(SUBSTITUTE(SUBSTITUTE(SUBSTITUTE(SUBSTITUTE(SUBSTITUTE(LEFT(MID(TRIM(INDEX(PASTE_ALL,9,51)),1+(LEFT(TRIM(INDEX(PASTE_ALL,9,51)),1)="-"),999),LEN(MID(TRIM(INDEX(PASTE_ALL,9,51)),1+(LEFT(TRIM(INDEX(PASTE_ALL,9,51)),1)="-"),999))-(RIGHT(MID(TRIM(INDEX(PASTE_ALL,9,51)),1+(LEFT(TRIM(INDEX(PASTE_ALL,9,51)),1)="-"),999),1)="%")),"0",""),"1",""),"2",""),"3",""),"4",""),"5",""),"6",""),"7",""),"8",""),"9",""),".",""),",","")=""),2,1))),1)</f>
        <v/>
      </c>
      <c r="BX58">
        <f>IFERROR(IF(ISNUMBER(INDEX(PASTE_ALL,9,52)),2,IF(TRIM(INDEX(PASTE_ALL,9,52))="",0,IF(AND(LEFT(MID(TRIM(INDEX(PASTE_ALL,9,52)),1+(LEFT(TRIM(INDEX(PASTE_ALL,9,52)),1)="-"),999),LEN(MID(TRIM(INDEX(PASTE_ALL,9,52)),1+(LEFT(TRIM(INDEX(PASTE_ALL,9,52)),1)="-"),999))-(RIGHT(MID(TRIM(INDEX(PASTE_ALL,9,52)),1+(LEFT(TRIM(INDEX(PASTE_ALL,9,52)),1)="-"),999),1)="%"))&lt;&gt;"",SUBSTITUTE(SUBSTITUTE(SUBSTITUTE(SUBSTITUTE(SUBSTITUTE(SUBSTITUTE(SUBSTITUTE(SUBSTITUTE(SUBSTITUTE(SUBSTITUTE(SUBSTITUTE(SUBSTITUTE(LEFT(MID(TRIM(INDEX(PASTE_ALL,9,52)),1+(LEFT(TRIM(INDEX(PASTE_ALL,9,52)),1)="-"),999),LEN(MID(TRIM(INDEX(PASTE_ALL,9,52)),1+(LEFT(TRIM(INDEX(PASTE_ALL,9,52)),1)="-"),999))-(RIGHT(MID(TRIM(INDEX(PASTE_ALL,9,52)),1+(LEFT(TRIM(INDEX(PASTE_ALL,9,52)),1)="-"),999),1)="%")),"0",""),"1",""),"2",""),"3",""),"4",""),"5",""),"6",""),"7",""),"8",""),"9",""),".",""),",","")=""),2,1))),1)</f>
        <v/>
      </c>
      <c r="BY58">
        <f>IFERROR(IF(ISNUMBER(INDEX(PASTE_ALL,9,53)),2,IF(TRIM(INDEX(PASTE_ALL,9,53))="",0,IF(AND(LEFT(MID(TRIM(INDEX(PASTE_ALL,9,53)),1+(LEFT(TRIM(INDEX(PASTE_ALL,9,53)),1)="-"),999),LEN(MID(TRIM(INDEX(PASTE_ALL,9,53)),1+(LEFT(TRIM(INDEX(PASTE_ALL,9,53)),1)="-"),999))-(RIGHT(MID(TRIM(INDEX(PASTE_ALL,9,53)),1+(LEFT(TRIM(INDEX(PASTE_ALL,9,53)),1)="-"),999),1)="%"))&lt;&gt;"",SUBSTITUTE(SUBSTITUTE(SUBSTITUTE(SUBSTITUTE(SUBSTITUTE(SUBSTITUTE(SUBSTITUTE(SUBSTITUTE(SUBSTITUTE(SUBSTITUTE(SUBSTITUTE(SUBSTITUTE(LEFT(MID(TRIM(INDEX(PASTE_ALL,9,53)),1+(LEFT(TRIM(INDEX(PASTE_ALL,9,53)),1)="-"),999),LEN(MID(TRIM(INDEX(PASTE_ALL,9,53)),1+(LEFT(TRIM(INDEX(PASTE_ALL,9,53)),1)="-"),999))-(RIGHT(MID(TRIM(INDEX(PASTE_ALL,9,53)),1+(LEFT(TRIM(INDEX(PASTE_ALL,9,53)),1)="-"),999),1)="%")),"0",""),"1",""),"2",""),"3",""),"4",""),"5",""),"6",""),"7",""),"8",""),"9",""),".",""),",","")=""),2,1))),1)</f>
        <v/>
      </c>
      <c r="BZ58">
        <f>IFERROR(IF(ISNUMBER(INDEX(PASTE_ALL,9,54)),2,IF(TRIM(INDEX(PASTE_ALL,9,54))="",0,IF(AND(LEFT(MID(TRIM(INDEX(PASTE_ALL,9,54)),1+(LEFT(TRIM(INDEX(PASTE_ALL,9,54)),1)="-"),999),LEN(MID(TRIM(INDEX(PASTE_ALL,9,54)),1+(LEFT(TRIM(INDEX(PASTE_ALL,9,54)),1)="-"),999))-(RIGHT(MID(TRIM(INDEX(PASTE_ALL,9,54)),1+(LEFT(TRIM(INDEX(PASTE_ALL,9,54)),1)="-"),999),1)="%"))&lt;&gt;"",SUBSTITUTE(SUBSTITUTE(SUBSTITUTE(SUBSTITUTE(SUBSTITUTE(SUBSTITUTE(SUBSTITUTE(SUBSTITUTE(SUBSTITUTE(SUBSTITUTE(SUBSTITUTE(SUBSTITUTE(LEFT(MID(TRIM(INDEX(PASTE_ALL,9,54)),1+(LEFT(TRIM(INDEX(PASTE_ALL,9,54)),1)="-"),999),LEN(MID(TRIM(INDEX(PASTE_ALL,9,54)),1+(LEFT(TRIM(INDEX(PASTE_ALL,9,54)),1)="-"),999))-(RIGHT(MID(TRIM(INDEX(PASTE_ALL,9,54)),1+(LEFT(TRIM(INDEX(PASTE_ALL,9,54)),1)="-"),999),1)="%")),"0",""),"1",""),"2",""),"3",""),"4",""),"5",""),"6",""),"7",""),"8",""),"9",""),".",""),",","")=""),2,1))),1)</f>
        <v/>
      </c>
      <c r="CA58">
        <f>IFERROR(IF(ISNUMBER(INDEX(PASTE_ALL,9,55)),2,IF(TRIM(INDEX(PASTE_ALL,9,55))="",0,IF(AND(LEFT(MID(TRIM(INDEX(PASTE_ALL,9,55)),1+(LEFT(TRIM(INDEX(PASTE_ALL,9,55)),1)="-"),999),LEN(MID(TRIM(INDEX(PASTE_ALL,9,55)),1+(LEFT(TRIM(INDEX(PASTE_ALL,9,55)),1)="-"),999))-(RIGHT(MID(TRIM(INDEX(PASTE_ALL,9,55)),1+(LEFT(TRIM(INDEX(PASTE_ALL,9,55)),1)="-"),999),1)="%"))&lt;&gt;"",SUBSTITUTE(SUBSTITUTE(SUBSTITUTE(SUBSTITUTE(SUBSTITUTE(SUBSTITUTE(SUBSTITUTE(SUBSTITUTE(SUBSTITUTE(SUBSTITUTE(SUBSTITUTE(SUBSTITUTE(LEFT(MID(TRIM(INDEX(PASTE_ALL,9,55)),1+(LEFT(TRIM(INDEX(PASTE_ALL,9,55)),1)="-"),999),LEN(MID(TRIM(INDEX(PASTE_ALL,9,55)),1+(LEFT(TRIM(INDEX(PASTE_ALL,9,55)),1)="-"),999))-(RIGHT(MID(TRIM(INDEX(PASTE_ALL,9,55)),1+(LEFT(TRIM(INDEX(PASTE_ALL,9,55)),1)="-"),999),1)="%")),"0",""),"1",""),"2",""),"3",""),"4",""),"5",""),"6",""),"7",""),"8",""),"9",""),".",""),",","")=""),2,1))),1)</f>
        <v/>
      </c>
      <c r="CB58">
        <f>IFERROR(IF(ISNUMBER(INDEX(PASTE_ALL,9,56)),2,IF(TRIM(INDEX(PASTE_ALL,9,56))="",0,IF(AND(LEFT(MID(TRIM(INDEX(PASTE_ALL,9,56)),1+(LEFT(TRIM(INDEX(PASTE_ALL,9,56)),1)="-"),999),LEN(MID(TRIM(INDEX(PASTE_ALL,9,56)),1+(LEFT(TRIM(INDEX(PASTE_ALL,9,56)),1)="-"),999))-(RIGHT(MID(TRIM(INDEX(PASTE_ALL,9,56)),1+(LEFT(TRIM(INDEX(PASTE_ALL,9,56)),1)="-"),999),1)="%"))&lt;&gt;"",SUBSTITUTE(SUBSTITUTE(SUBSTITUTE(SUBSTITUTE(SUBSTITUTE(SUBSTITUTE(SUBSTITUTE(SUBSTITUTE(SUBSTITUTE(SUBSTITUTE(SUBSTITUTE(SUBSTITUTE(LEFT(MID(TRIM(INDEX(PASTE_ALL,9,56)),1+(LEFT(TRIM(INDEX(PASTE_ALL,9,56)),1)="-"),999),LEN(MID(TRIM(INDEX(PASTE_ALL,9,56)),1+(LEFT(TRIM(INDEX(PASTE_ALL,9,56)),1)="-"),999))-(RIGHT(MID(TRIM(INDEX(PASTE_ALL,9,56)),1+(LEFT(TRIM(INDEX(PASTE_ALL,9,56)),1)="-"),999),1)="%")),"0",""),"1",""),"2",""),"3",""),"4",""),"5",""),"6",""),"7",""),"8",""),"9",""),".",""),",","")=""),2,1))),1)</f>
        <v/>
      </c>
      <c r="CC58">
        <f>IFERROR(IF(ISNUMBER(INDEX(PASTE_ALL,9,57)),2,IF(TRIM(INDEX(PASTE_ALL,9,57))="",0,IF(AND(LEFT(MID(TRIM(INDEX(PASTE_ALL,9,57)),1+(LEFT(TRIM(INDEX(PASTE_ALL,9,57)),1)="-"),999),LEN(MID(TRIM(INDEX(PASTE_ALL,9,57)),1+(LEFT(TRIM(INDEX(PASTE_ALL,9,57)),1)="-"),999))-(RIGHT(MID(TRIM(INDEX(PASTE_ALL,9,57)),1+(LEFT(TRIM(INDEX(PASTE_ALL,9,57)),1)="-"),999),1)="%"))&lt;&gt;"",SUBSTITUTE(SUBSTITUTE(SUBSTITUTE(SUBSTITUTE(SUBSTITUTE(SUBSTITUTE(SUBSTITUTE(SUBSTITUTE(SUBSTITUTE(SUBSTITUTE(SUBSTITUTE(SUBSTITUTE(LEFT(MID(TRIM(INDEX(PASTE_ALL,9,57)),1+(LEFT(TRIM(INDEX(PASTE_ALL,9,57)),1)="-"),999),LEN(MID(TRIM(INDEX(PASTE_ALL,9,57)),1+(LEFT(TRIM(INDEX(PASTE_ALL,9,57)),1)="-"),999))-(RIGHT(MID(TRIM(INDEX(PASTE_ALL,9,57)),1+(LEFT(TRIM(INDEX(PASTE_ALL,9,57)),1)="-"),999),1)="%")),"0",""),"1",""),"2",""),"3",""),"4",""),"5",""),"6",""),"7",""),"8",""),"9",""),".",""),",","")=""),2,1))),1)</f>
        <v/>
      </c>
      <c r="CD58">
        <f>IFERROR(IF(ISNUMBER(INDEX(PASTE_ALL,9,58)),2,IF(TRIM(INDEX(PASTE_ALL,9,58))="",0,IF(AND(LEFT(MID(TRIM(INDEX(PASTE_ALL,9,58)),1+(LEFT(TRIM(INDEX(PASTE_ALL,9,58)),1)="-"),999),LEN(MID(TRIM(INDEX(PASTE_ALL,9,58)),1+(LEFT(TRIM(INDEX(PASTE_ALL,9,58)),1)="-"),999))-(RIGHT(MID(TRIM(INDEX(PASTE_ALL,9,58)),1+(LEFT(TRIM(INDEX(PASTE_ALL,9,58)),1)="-"),999),1)="%"))&lt;&gt;"",SUBSTITUTE(SUBSTITUTE(SUBSTITUTE(SUBSTITUTE(SUBSTITUTE(SUBSTITUTE(SUBSTITUTE(SUBSTITUTE(SUBSTITUTE(SUBSTITUTE(SUBSTITUTE(SUBSTITUTE(LEFT(MID(TRIM(INDEX(PASTE_ALL,9,58)),1+(LEFT(TRIM(INDEX(PASTE_ALL,9,58)),1)="-"),999),LEN(MID(TRIM(INDEX(PASTE_ALL,9,58)),1+(LEFT(TRIM(INDEX(PASTE_ALL,9,58)),1)="-"),999))-(RIGHT(MID(TRIM(INDEX(PASTE_ALL,9,58)),1+(LEFT(TRIM(INDEX(PASTE_ALL,9,58)),1)="-"),999),1)="%")),"0",""),"1",""),"2",""),"3",""),"4",""),"5",""),"6",""),"7",""),"8",""),"9",""),".",""),",","")=""),2,1))),1)</f>
        <v/>
      </c>
      <c r="CE58">
        <f>IFERROR(IF(ISNUMBER(INDEX(PASTE_ALL,9,59)),2,IF(TRIM(INDEX(PASTE_ALL,9,59))="",0,IF(AND(LEFT(MID(TRIM(INDEX(PASTE_ALL,9,59)),1+(LEFT(TRIM(INDEX(PASTE_ALL,9,59)),1)="-"),999),LEN(MID(TRIM(INDEX(PASTE_ALL,9,59)),1+(LEFT(TRIM(INDEX(PASTE_ALL,9,59)),1)="-"),999))-(RIGHT(MID(TRIM(INDEX(PASTE_ALL,9,59)),1+(LEFT(TRIM(INDEX(PASTE_ALL,9,59)),1)="-"),999),1)="%"))&lt;&gt;"",SUBSTITUTE(SUBSTITUTE(SUBSTITUTE(SUBSTITUTE(SUBSTITUTE(SUBSTITUTE(SUBSTITUTE(SUBSTITUTE(SUBSTITUTE(SUBSTITUTE(SUBSTITUTE(SUBSTITUTE(LEFT(MID(TRIM(INDEX(PASTE_ALL,9,59)),1+(LEFT(TRIM(INDEX(PASTE_ALL,9,59)),1)="-"),999),LEN(MID(TRIM(INDEX(PASTE_ALL,9,59)),1+(LEFT(TRIM(INDEX(PASTE_ALL,9,59)),1)="-"),999))-(RIGHT(MID(TRIM(INDEX(PASTE_ALL,9,59)),1+(LEFT(TRIM(INDEX(PASTE_ALL,9,59)),1)="-"),999),1)="%")),"0",""),"1",""),"2",""),"3",""),"4",""),"5",""),"6",""),"7",""),"8",""),"9",""),".",""),",","")=""),2,1))),1)</f>
        <v/>
      </c>
      <c r="CF58">
        <f>IFERROR(IF(ISNUMBER(INDEX(PASTE_ALL,9,60)),2,IF(TRIM(INDEX(PASTE_ALL,9,60))="",0,IF(AND(LEFT(MID(TRIM(INDEX(PASTE_ALL,9,60)),1+(LEFT(TRIM(INDEX(PASTE_ALL,9,60)),1)="-"),999),LEN(MID(TRIM(INDEX(PASTE_ALL,9,60)),1+(LEFT(TRIM(INDEX(PASTE_ALL,9,60)),1)="-"),999))-(RIGHT(MID(TRIM(INDEX(PASTE_ALL,9,60)),1+(LEFT(TRIM(INDEX(PASTE_ALL,9,60)),1)="-"),999),1)="%"))&lt;&gt;"",SUBSTITUTE(SUBSTITUTE(SUBSTITUTE(SUBSTITUTE(SUBSTITUTE(SUBSTITUTE(SUBSTITUTE(SUBSTITUTE(SUBSTITUTE(SUBSTITUTE(SUBSTITUTE(SUBSTITUTE(LEFT(MID(TRIM(INDEX(PASTE_ALL,9,60)),1+(LEFT(TRIM(INDEX(PASTE_ALL,9,60)),1)="-"),999),LEN(MID(TRIM(INDEX(PASTE_ALL,9,60)),1+(LEFT(TRIM(INDEX(PASTE_ALL,9,60)),1)="-"),999))-(RIGHT(MID(TRIM(INDEX(PASTE_ALL,9,60)),1+(LEFT(TRIM(INDEX(PASTE_ALL,9,60)),1)="-"),999),1)="%")),"0",""),"1",""),"2",""),"3",""),"4",""),"5",""),"6",""),"7",""),"8",""),"9",""),".",""),",","")=""),2,1))),1)</f>
        <v/>
      </c>
      <c r="DA58" t="n">
        <v>54</v>
      </c>
      <c r="DB58">
        <f>IF($B$37=0,"",IFERROR(TRIM(SUBSTITUTE(SUBSTITUTE(SUBSTITUTE(SUBSTITUTE(INDEX(PASTE_ALL,54,$B$37)," "," "),CHAR(9)," "),CHAR(10)," "),CHAR(13)," ")),""))</f>
        <v/>
      </c>
      <c r="DC58">
        <f>IF(AND(54&gt;HEADER_ROW,UPPER(DB58)="LEGEND"),1,0)</f>
        <v/>
      </c>
      <c r="DE58" t="n">
        <v>54</v>
      </c>
      <c r="DF58">
        <f>HEADER_ROW+$DE58</f>
        <v/>
      </c>
      <c r="DG58">
        <f>IF(AND($DF58&lt;=1000,$DF58&lt;$B$8),1,0)</f>
        <v/>
      </c>
      <c r="DH58">
        <f>IF($DG58=1,IFERROR(INDEX($DB$5:$DB$1004,$DF58),""),"")</f>
        <v/>
      </c>
      <c r="DI58">
        <f>IF(AND($DG58=1,$DH58&lt;&gt;""),IFERROR(SUBSTITUTE(SUBSTITUTE(TRIM(SUBSTITUTE(SUBSTITUTE(SUBSTITUTE(SUBSTITUTE(IFERROR(INDEX(PASTE_ALL,$DF58,1)&amp;"","")&amp;"␟"&amp;IFERROR(INDEX(PASTE_ALL,$DF58,2)&amp;"","")&amp;"␟"&amp;IFERROR(INDEX(PASTE_ALL,$DF58,3)&amp;"","")&amp;"␟"&amp;IFERROR(INDEX(PASTE_ALL,$DF58,4)&amp;"","")&amp;"␟"&amp;IFERROR(INDEX(PASTE_ALL,$DF58,5)&amp;"","")&amp;"␟"&amp;IFERROR(INDEX(PASTE_ALL,$DF58,6)&amp;"","")&amp;"␟"&amp;IFERROR(INDEX(PASTE_ALL,$DF58,7)&amp;"","")&amp;"␟"&amp;IFERROR(INDEX(PASTE_ALL,$DF58,8)&amp;"","")&amp;"␟"&amp;IFERROR(INDEX(PASTE_ALL,$DF58,9)&amp;"","")&amp;"␟"&amp;IFERROR(INDEX(PASTE_ALL,$DF58,10)&amp;"","")&amp;"␟"&amp;IFERROR(INDEX(PASTE_ALL,$DF58,11)&amp;"","")&amp;"␟"&amp;IFERROR(INDEX(PASTE_ALL,$DF58,12)&amp;"","")&amp;"␟"&amp;IFERROR(INDEX(PASTE_ALL,$DF58,13)&amp;"","")&amp;"␟"&amp;IFERROR(INDEX(PASTE_ALL,$DF58,14)&amp;"","")&amp;"␟"&amp;IFERROR(INDEX(PASTE_ALL,$DF58,15)&amp;"","")&amp;"␟"&amp;IFERROR(INDEX(PASTE_ALL,$DF58,16)&amp;"","")&amp;"␟"&amp;IFERROR(INDEX(PASTE_ALL,$DF58,17)&amp;"","")&amp;"␟"&amp;IFERROR(INDEX(PASTE_ALL,$DF58,18)&amp;"","")&amp;"␟"&amp;IFERROR(INDEX(PASTE_ALL,$DF58,19)&amp;"","")&amp;"␟"&amp;IFERROR(INDEX(PASTE_ALL,$DF58,20)&amp;"","")&amp;"␟"&amp;IFERROR(INDEX(PASTE_ALL,$DF58,21)&amp;"","")&amp;"␟"&amp;IFERROR(INDEX(PASTE_ALL,$DF58,22)&amp;"","")&amp;"␟"&amp;IFERROR(INDEX(PASTE_ALL,$DF58,23)&amp;"","")&amp;"␟"&amp;IFERROR(INDEX(PASTE_ALL,$DF58,24)&amp;"","")&amp;"␟"&amp;IFERROR(INDEX(PASTE_ALL,$DF58,25)&amp;"","")&amp;"␟"&amp;IFERROR(INDEX(PASTE_ALL,$DF58,26)&amp;"","")&amp;"␟"&amp;IFERROR(INDEX(PASTE_ALL,$DF58,27)&amp;"","")&amp;"␟"&amp;IFERROR(INDEX(PASTE_ALL,$DF58,28)&amp;"","")&amp;"␟"&amp;IFERROR(INDEX(PASTE_ALL,$DF58,29)&amp;"","")&amp;"␟"&amp;IFERROR(INDEX(PASTE_ALL,$DF58,30)&amp;"","")&amp;"␟"&amp;IFERROR(INDEX(PASTE_ALL,$DF58,31)&amp;"","")&amp;"␟"&amp;IFERROR(INDEX(PASTE_ALL,$DF58,32)&amp;"","")&amp;"␟"&amp;IFERROR(INDEX(PASTE_ALL,$DF58,33)&amp;"","")&amp;"␟"&amp;IFERROR(INDEX(PASTE_ALL,$DF58,34)&amp;"","")&amp;"␟"&amp;IFERROR(INDEX(PASTE_ALL,$DF58,35)&amp;"","")&amp;"␟"&amp;IFERROR(INDEX(PASTE_ALL,$DF58,36)&amp;"","")&amp;"␟"&amp;IFERROR(INDEX(PASTE_ALL,$DF58,37)&amp;"","")&amp;"␟"&amp;IFERROR(INDEX(PASTE_ALL,$DF58,38)&amp;"","")&amp;"␟"&amp;IFERROR(INDEX(PASTE_ALL,$DF58,39)&amp;"","")&amp;"␟"&amp;IFERROR(INDEX(PASTE_ALL,$DF58,40)&amp;"","")&amp;"␟"&amp;IFERROR(INDEX(PASTE_ALL,$DF58,41)&amp;"","")&amp;"␟"&amp;IFERROR(INDEX(PASTE_ALL,$DF58,42)&amp;"","")&amp;"␟"&amp;IFERROR(INDEX(PASTE_ALL,$DF58,43)&amp;"","")&amp;"␟"&amp;IFERROR(INDEX(PASTE_ALL,$DF58,44)&amp;"","")&amp;"␟"&amp;IFERROR(INDEX(PASTE_ALL,$DF58,45)&amp;"","")&amp;"␟"&amp;IFERROR(INDEX(PASTE_ALL,$DF58,46)&amp;"","")&amp;"␟"&amp;IFERROR(INDEX(PASTE_ALL,$DF58,47)&amp;"","")&amp;"␟"&amp;IFERROR(INDEX(PASTE_ALL,$DF58,48)&amp;"","")&amp;"␟"&amp;IFERROR(INDEX(PASTE_ALL,$DF58,49)&amp;"","")&amp;"␟"&amp;IFERROR(INDEX(PASTE_ALL,$DF58,50)&amp;"","")&amp;"␟"&amp;IFERROR(INDEX(PASTE_ALL,$DF58,51)&amp;"","")&amp;"␟"&amp;IFERROR(INDEX(PASTE_ALL,$DF58,52)&amp;"","")&amp;"␟"&amp;IFERROR(INDEX(PASTE_ALL,$DF58,53)&amp;"","")&amp;"␟"&amp;IFERROR(INDEX(PASTE_ALL,$DF58,54)&amp;"","")&amp;"␟"&amp;IFERROR(INDEX(PASTE_ALL,$DF58,55)&amp;"","")&amp;"␟"&amp;IFERROR(INDEX(PASTE_ALL,$DF58,56)&amp;"","")&amp;"␟"&amp;IFERROR(INDEX(PASTE_ALL,$DF58,57)&amp;"","")&amp;"␟"&amp;IFERROR(INDEX(PASTE_ALL,$DF58,58)&amp;"","")&amp;"␟"&amp;IFERROR(INDEX(PASTE_ALL,$DF58,59)&amp;"","")&amp;"␟"&amp;IFERROR(INDEX(PASTE_ALL,$DF58,60)&amp;"","")," "," "),CHAR(9)," "),CHAR(10)," "),CHAR(13)," "))," ␟","␟"),"␟ ","␟"),"#"&amp;$DE58),"")</f>
        <v/>
      </c>
      <c r="DJ58">
        <f>IF($DI58="",0,IF(SUMPRODUCT(--EXACT($DI$4:DI57,$DI58))&gt;0,1,0))</f>
        <v/>
      </c>
      <c r="DK58">
        <f>IF(AND($DI58&lt;&gt;"",$DJ58=0),1,0)</f>
        <v/>
      </c>
      <c r="DL58">
        <f>DL57+$DK58</f>
        <v/>
      </c>
      <c r="DM58">
        <f>IF(AND($DK58=1,$DL58&lt;=600),1,0)</f>
        <v/>
      </c>
      <c r="DN58">
        <f>IF($DM58=0,"",IF($L$6=0,"",IFERROR(IF(ISNUMBER(INDEX(PASTE_ALL,$DF58,$L$6)),INDEX(PASTE_ALL,$DF58,$L$6),TRIM(SUBSTITUTE(SUBSTITUTE(SUBSTITUTE(SUBSTITUTE(INDEX(PASTE_ALL,$DF58,$L$6)," "," "),CHAR(9)," "),CHAR(10)," "),CHAR(13)," "))),"")))</f>
        <v/>
      </c>
      <c r="DO58">
        <f>IF($DM58=0,"",IF($L$7=0,"",IFERROR(IF(ISNUMBER(INDEX(PASTE_ALL,$DF58,$L$7)),INDEX(PASTE_ALL,$DF58,$L$7),TRIM(SUBSTITUTE(SUBSTITUTE(SUBSTITUTE(SUBSTITUTE(INDEX(PASTE_ALL,$DF58,$L$7)," "," "),CHAR(9)," "),CHAR(10)," "),CHAR(13)," "))),"")))</f>
        <v/>
      </c>
      <c r="DP58">
        <f>IF($DM58=0,"",IF($L$8=0,"",IFERROR(IF(ISNUMBER(INDEX(PASTE_ALL,$DF58,$L$8)),INDEX(PASTE_ALL,$DF58,$L$8),TRIM(SUBSTITUTE(SUBSTITUTE(SUBSTITUTE(SUBSTITUTE(INDEX(PASTE_ALL,$DF58,$L$8)," "," "),CHAR(9)," "),CHAR(10)," "),CHAR(13)," "))),"")))</f>
        <v/>
      </c>
      <c r="DQ58">
        <f>IF($DM58=0,"",IF($L$9=0,"",IFERROR(IF(ISNUMBER(INDEX(PASTE_ALL,$DF58,$L$9)),INDEX(PASTE_ALL,$DF58,$L$9),TRIM(SUBSTITUTE(SUBSTITUTE(SUBSTITUTE(SUBSTITUTE(INDEX(PASTE_ALL,$DF58,$L$9)," "," "),CHAR(9)," "),CHAR(10)," "),CHAR(13)," "))),"")))</f>
        <v/>
      </c>
      <c r="DR58">
        <f>IF($DM58=0,"",IF($L$10=0,"",IFERROR(IF(ISNUMBER(INDEX(PASTE_ALL,$DF58,$L$10)),INDEX(PASTE_ALL,$DF58,$L$10),TRIM(SUBSTITUTE(SUBSTITUTE(SUBSTITUTE(SUBSTITUTE(INDEX(PASTE_ALL,$DF58,$L$10)," "," "),CHAR(9)," "),CHAR(10)," "),CHAR(13)," "))),"")))</f>
        <v/>
      </c>
      <c r="DS58">
        <f>IF($DM58=0,"",IF($L$11=0,"",IFERROR(IF(ISNUMBER(INDEX(PASTE_ALL,$DF58,$L$11)),INDEX(PASTE_ALL,$DF58,$L$11),TRIM(SUBSTITUTE(SUBSTITUTE(SUBSTITUTE(SUBSTITUTE(INDEX(PASTE_ALL,$DF58,$L$11)," "," "),CHAR(9)," "),CHAR(10)," "),CHAR(13)," "))),"")))</f>
        <v/>
      </c>
      <c r="DT58">
        <f>IF($DM58=0,"",IF($L$12=0,"",IFERROR(IF(ISNUMBER(INDEX(PASTE_ALL,$DF58,$L$12)),INDEX(PASTE_ALL,$DF58,$L$12),TRIM(SUBSTITUTE(SUBSTITUTE(SUBSTITUTE(SUBSTITUTE(INDEX(PASTE_ALL,$DF58,$L$12)," "," "),CHAR(9)," "),CHAR(10)," "),CHAR(13)," "))),"")))</f>
        <v/>
      </c>
      <c r="DU58">
        <f>IF($DM58=0,"",IF($L$13=0,"",IFERROR(IF(ISNUMBER(INDEX(PASTE_ALL,$DF58,$L$13)),INDEX(PASTE_ALL,$DF58,$L$13),TRIM(SUBSTITUTE(SUBSTITUTE(SUBSTITUTE(SUBSTITUTE(INDEX(PASTE_ALL,$DF58,$L$13)," "," "),CHAR(9)," "),CHAR(10)," "),CHAR(13)," "))),"")))</f>
        <v/>
      </c>
      <c r="DV58">
        <f>IF($DM58=0,"",IF($L$14=0,"",IFERROR(IF(ISNUMBER(INDEX(PASTE_ALL,$DF58,$L$14)),INDEX(PASTE_ALL,$DF58,$L$14),TRIM(SUBSTITUTE(SUBSTITUTE(SUBSTITUTE(SUBSTITUTE(INDEX(PASTE_ALL,$DF58,$L$14)," "," "),CHAR(9)," "),CHAR(10)," "),CHAR(13)," "))),"")))</f>
        <v/>
      </c>
      <c r="DW58">
        <f>IF($DM58=0,"",IF($L$15=0,"",IFERROR(IF(ISNUMBER(INDEX(PASTE_ALL,$DF58,$L$15)),INDEX(PASTE_ALL,$DF58,$L$15),IF(SUMPRODUCT(--ISNUMBER(FIND({"A","B","C","D","E","F","G","H","I","J","K","L","M","N","O","P","Q","R","S","T","U","V","W","X","Y","Z","0","1","2","3","4","5","6","7","8","9"},UPPER(TRIM(SUBSTITUTE(SUBSTITUTE(SUBSTITUTE(SUBSTITUTE(INDEX(PASTE_ALL,$DF58,$L$15)," "," "),CHAR(9)," "),CHAR(10)," "),CHAR(13)," "))))))&gt;0,TRIM(SUBSTITUTE(SUBSTITUTE(SUBSTITUTE(SUBSTITUTE(INDEX(PASTE_ALL,$DF58,$L$15)," "," "),CHAR(9)," "),CHAR(10)," "),CHAR(13)," ")),"")),"")))</f>
        <v/>
      </c>
      <c r="DX58">
        <f>IF($DM58=0,"",IF($L$16=0,"",IFERROR(IF(ISNUMBER(INDEX(PASTE_ALL,$DF58,$L$16)),INDEX(PASTE_ALL,$DF58,$L$16),SUBSTITUTE(SUBSTITUTE(TRIM(SUBSTITUTE(SUBSTITUTE(SUBSTITUTE(SUBSTITUTE(INDEX(PASTE_ALL,$DF58,$L$16)," "," "),CHAR(9)," "),CHAR(10)," "),CHAR(13)," ")),",",""),"%","")),"")))</f>
        <v/>
      </c>
      <c r="DY58">
        <f>IF($DM58=0,"",IFERROR(IF(ISNUMBER($DX58),$DX58,IF($DX58="","",IF(TRIM($DX58)="",0,IF(AND(AND(SUBSTITUTE(SUBSTITUTE(SUBSTITUTE(SUBSTITUTE(SUBSTITUTE(SUBSTITUTE(SUBSTITUTE(SUBSTITUTE(SUBSTITUTE(SUBSTITUTE(SUBSTITUTE(SUBSTITUTE(SUBSTITUTE(SUBSTITUTE(UPPER(TRIM($DX58)),"0",""),"1",""),"2",""),"3",""),"4",""),"5",""),"6",""),"7",""),"8",""),"9",""),".",""),"+",""),"-",""),"E","")="",LEN(SUBSTITUTE(SUBSTITUTE(MID(UPPER(TRIM($DX58)),1+OR(LEFT(UPPER(TRIM($DX58)),1)="+",LEFT(UPPER(TRIM($DX58)),1)="-"),999),"E+","E"),"E-","E"))=LEN(SUBSTITUTE(SUBSTITUTE(SUBSTITUTE(SUBSTITUTE(MID(UPPER(TRIM($DX58)),1+OR(LEFT(UPPER(TRIM($DX58)),1)="+",LEFT(UPPER(TRIM($DX58)),1)="-"),999),"E+","E"),"E-","E"),"+",""),"-","")),LEN(UPPER(TRIM($DX58)))-LEN(SUBSTITUTE(UPPER(TRIM($DX58)),"E",""))&lt;2,LEN(UPPER(TRIM($DX58)))-LEN(SUBSTITUTE(UPPER(TRIM($DX58)),".",""))&lt;2,IFERROR(FIND(".",UPPER(TRIM($DX58))),0)&lt;IFERROR(FIND("E",UPPER(TRIM($DX58))),999)),ISNUMBER(VALUE(TRIM($DX58)))),VALUE(TRIM($DX58)),"")))),""))</f>
        <v/>
      </c>
      <c r="DZ58">
        <f>IF($DM58=0,"",IF($L$17=0,"",IFERROR(IF(ISNUMBER(INDEX(PASTE_ALL,$DF58,$L$17)),INDEX(PASTE_ALL,$DF58,$L$17),SUBSTITUTE(SUBSTITUTE(TRIM(SUBSTITUTE(SUBSTITUTE(SUBSTITUTE(SUBSTITUTE(INDEX(PASTE_ALL,$DF58,$L$17)," "," "),CHAR(9)," "),CHAR(10)," "),CHAR(13)," ")),",",""),"%","")),"")))</f>
        <v/>
      </c>
      <c r="EA58">
        <f>IF($DM58=0,"",IFERROR(IF(ISNUMBER($DZ58),$DZ58,IF($DZ58="","",IF(TRIM($DZ58)="",0,IF(AND(AND(SUBSTITUTE(SUBSTITUTE(SUBSTITUTE(SUBSTITUTE(SUBSTITUTE(SUBSTITUTE(SUBSTITUTE(SUBSTITUTE(SUBSTITUTE(SUBSTITUTE(SUBSTITUTE(SUBSTITUTE(SUBSTITUTE(SUBSTITUTE(UPPER(TRIM($DZ58)),"0",""),"1",""),"2",""),"3",""),"4",""),"5",""),"6",""),"7",""),"8",""),"9",""),".",""),"+",""),"-",""),"E","")="",LEN(SUBSTITUTE(SUBSTITUTE(MID(UPPER(TRIM($DZ58)),1+OR(LEFT(UPPER(TRIM($DZ58)),1)="+",LEFT(UPPER(TRIM($DZ58)),1)="-"),999),"E+","E"),"E-","E"))=LEN(SUBSTITUTE(SUBSTITUTE(SUBSTITUTE(SUBSTITUTE(MID(UPPER(TRIM($DZ58)),1+OR(LEFT(UPPER(TRIM($DZ58)),1)="+",LEFT(UPPER(TRIM($DZ58)),1)="-"),999),"E+","E"),"E-","E"),"+",""),"-","")),LEN(UPPER(TRIM($DZ58)))-LEN(SUBSTITUTE(UPPER(TRIM($DZ58)),"E",""))&lt;2,LEN(UPPER(TRIM($DZ58)))-LEN(SUBSTITUTE(UPPER(TRIM($DZ58)),".",""))&lt;2,IFERROR(FIND(".",UPPER(TRIM($DZ58))),0)&lt;IFERROR(FIND("E",UPPER(TRIM($DZ58))),999)),ISNUMBER(VALUE(TRIM($DZ58)))),VALUE(TRIM($DZ58)),"")))),""))</f>
        <v/>
      </c>
      <c r="EB58">
        <f>IF($DM58=0,"",IF($L$18=0,"",IFERROR(IF(UPPER(TRIM(SUBSTITUTE(SUBSTITUTE(SUBSTITUTE(SUBSTITUTE(INDEX(PASTE_ALL,$DF58,$L$18)," "," "),CHAR(9)," "),CHAR(10)," "),CHAR(13)," ")))="READY","Ready",IF(UPPER(TRIM(SUBSTITUTE(SUBSTITUTE(SUBSTITUTE(SUBSTITUTE(INDEX(PASTE_ALL,$DF58,$L$18)," "," "),CHAR(9)," "),CHAR(10)," "),CHAR(13)," ")))="PM","PM",IF(OR(UPPER(TRIM(SUBSTITUTE(SUBSTITUTE(SUBSTITUTE(SUBSTITUTE(INDEX(PASTE_ALL,$DF58,$L$18)," "," "),CHAR(9)," "),CHAR(10)," "),CHAR(13)," ")))="OT",UPPER(TRIM(SUBSTITUTE(SUBSTITUTE(SUBSTITUTE(SUBSTITUTE(INDEX(PASTE_ALL,$DF58,$L$18)," "," "),CHAR(9)," "),CHAR(10)," "),CHAR(13)," ")))="OVERTIME",UPPER(TRIM(SUBSTITUTE(SUBSTITUTE(SUBSTITUTE(SUBSTITUTE(INDEX(PASTE_ALL,$DF58,$L$18)," "," "),CHAR(9)," "),CHAR(10)," "),CHAR(13)," ")))="TRIAL"),"OT",TRIM(SUBSTITUTE(SUBSTITUTE(SUBSTITUTE(SUBSTITUTE(INDEX(PASTE_ALL,$DF58,$L$18)," "," "),CHAR(9)," "),CHAR(10)," "),CHAR(13)," "))))),"")))</f>
        <v/>
      </c>
      <c r="EC58">
        <f>IF($DM58=0,"",IF($L$19=0,"",IFERROR(IF(ISNUMBER(INDEX(PASTE_ALL,$DF58,$L$19)),INDEX(PASTE_ALL,$DF58,$L$19),TRIM(SUBSTITUTE(SUBSTITUTE(SUBSTITUTE(SUBSTITUTE(INDEX(PASTE_ALL,$DF58,$L$19)," "," "),CHAR(9)," "),CHAR(10)," "),CHAR(13)," "))),"")))</f>
        <v/>
      </c>
      <c r="ED58">
        <f>IF($DM58=0,"",MATCH(1,INDEX(EXACT($DH$5:DH58,$DH58)*$DM$5:DM58,0),0))</f>
        <v/>
      </c>
      <c r="EE58">
        <f>IF($DM58=0,0,IF($ED58=$DE58,1,0))</f>
        <v/>
      </c>
      <c r="EF58">
        <f>EF57+$EE58</f>
        <v/>
      </c>
      <c r="EG58">
        <f>IF($DM58=0,"",INDEX($EF$5:$EF$1003,$ED58))</f>
        <v/>
      </c>
      <c r="EH58">
        <f>IF($DM58=0,"",IF($DO58&lt;&gt;"","",IFERROR(LOOKUP(2,1/(($EG$4:EG57=$EG58)*($DO$4:DO57&lt;&gt;"")),$DO$4:DO57),"")))</f>
        <v/>
      </c>
      <c r="EI58">
        <f>IF($DM58=0,"",IF($DO58&lt;&gt;"",$DO58,$EH58))</f>
        <v/>
      </c>
      <c r="EJ58">
        <f>IF($DM58=0,"",IF($EI58="",0,IF(OR(ISNUMBER($EI58),AND(AND(SUBSTITUTE(SUBSTITUTE(SUBSTITUTE(SUBSTITUTE(SUBSTITUTE(SUBSTITUTE(SUBSTITUTE(SUBSTITUTE(SUBSTITUTE(SUBSTITUTE(SUBSTITUTE(SUBSTITUTE(SUBSTITUTE(SUBSTITUTE(UPPER($EI58),"0",""),"1",""),"2",""),"3",""),"4",""),"5",""),"6",""),"7",""),"8",""),"9",""),".",""),"+",""),"-",""),"E","")="",LEN(SUBSTITUTE(SUBSTITUTE(MID(UPPER($EI58),1+OR(LEFT(UPPER($EI58),1)="+",LEFT(UPPER($EI58),1)="-"),999),"E+","E"),"E-","E"))=LEN(SUBSTITUTE(SUBSTITUTE(SUBSTITUTE(SUBSTITUTE(MID(UPPER($EI58),1+OR(LEFT(UPPER($EI58),1)="+",LEFT(UPPER($EI58),1)="-"),999),"E+","E"),"E-","E"),"+",""),"-","")),LEN(UPPER($EI58))-LEN(SUBSTITUTE(UPPER($EI58),"E",""))&lt;2,LEN(UPPER($EI58))-LEN(SUBSTITUTE(UPPER($EI58),".",""))&lt;2,IFERROR(FIND(".",UPPER($EI58)),0)&lt;IFERROR(FIND("E",UPPER($EI58)),999)),ISNUMBER(VALUE($EI58)))),1,2)))</f>
        <v/>
      </c>
      <c r="EK58">
        <f>IF($DM58=0,"",IF($EJ58=1,IF(ISNUMBER($EI58),$EI58,VALUE($EI58)),IF($EJ58=2,$DE58,0)))</f>
        <v/>
      </c>
      <c r="EL58">
        <f>IF($DM58=0,"",COUNTIF($EG$5:$EG$1003,"&lt;"&amp;$EG58)+SUMPRODUCT(($EG$5:$EG$1003=$EG58)*(($EJ$5:$EJ$1003&lt;$EJ58)+($EJ$5:$EJ$1003=$EJ58)*(($EK$5:$EK$1003&lt;$EK58)+($EK$5:$EK$1003=$EK58)*($DE$5:$DE$1003&lt;$DE58))))+1)</f>
        <v/>
      </c>
      <c r="EM58">
        <f>IF($DM58=0,"",$EL58+$EG58-1)</f>
        <v/>
      </c>
      <c r="EN58">
        <f>IF($DM58=0,0,IFERROR(MATCH(1,INDEX(--(TRIM(SUBSTITUTE(SUBSTITUTE(SUBSTITUTE(SUBSTITUTE(LINES_NAME&amp;""," "," "),CHAR(9)," "),CHAR(10)," "),CHAR(13)," "))=$DH58),0),0),0))</f>
        <v/>
      </c>
      <c r="EO58">
        <f>IF($EN58=0,0,IF(OR(UPPER(TRIM(INDEX(LINES_SCHEDULED,$EN58)&amp;""))="YES",UPPER(TRIM(INDEX(LINES_SCHEDULED,$EN58)&amp;""))="Y",UPPER(TRIM(INDEX(LINES_SCHEDULED,$EN58)&amp;""))="X"),1,0))</f>
        <v/>
      </c>
      <c r="EP58">
        <f>IF($DM58=0,"",IF(COUNTIFS($EG$5:$EG$1003,$EG58,$EB$5:$EB$1003,"Ready")&gt;0,"READY",IF(COUNTIFS($EG$5:$EG$1003,$EG58,$EB$5:$EB$1003,"PM")&gt;0,"PM",IF(COUNTIFS($EG$5:$EG$1003,$EG58,$EB$5:$EB$1003,"OT")&gt;0,"OT",""))))</f>
        <v/>
      </c>
      <c r="EQ58">
        <f>IF($EN58=0,"",UPPER(TRIM(INDEX(LINES_STATUS,$EN58)&amp;"")))</f>
        <v/>
      </c>
      <c r="ER58">
        <f>IF($DM58=0,"",IF(OR($EQ58="READY",$EQ58="PM",$EQ58="OT"),$EQ58,$EP58))</f>
        <v/>
      </c>
      <c r="ES58">
        <f>IF($DM58=0,"",IF(AND($DV58&lt;&gt;"",UPPER($DV58)&lt;&gt;"N"),"allergen",IF(ISNUMBER(SEARCH("oil",$DQ58)),"oil",IF(OR(EXACT($DS58,"A662"),EXACT($DS58,"A624")),"bulk",""))))</f>
        <v/>
      </c>
      <c r="ET58">
        <f>IF($DM58=0,"",IF(OR($EA58="",$EA58=0),"",$EA58/100))</f>
        <v/>
      </c>
      <c r="EU58">
        <f>IF(OR($ET58="",$DY58=""),"",INT($DY58*(1-$ET58)+0.5))</f>
        <v/>
      </c>
      <c r="EW58" t="n">
        <v>54</v>
      </c>
      <c r="EX58">
        <f>IFERROR(MATCH($EW58,$EM$5:$EM$1003,0),0)</f>
        <v/>
      </c>
      <c r="EY58">
        <f>IF($EW58&gt;$B$12,"",IF($EX58&gt;0,"row","spacer"))</f>
        <v/>
      </c>
      <c r="EZ58">
        <f>IF(AND($EY58="row",$EY57&lt;&gt;"row"),1,0)</f>
        <v/>
      </c>
      <c r="FA58">
        <f>IF(AND($EY58="row",$EY59&lt;&gt;"row"),1,0)</f>
        <v/>
      </c>
      <c r="FB58">
        <f>IF($EZ58=1,IFERROR(IF(ISNUMBER(INDEX(PASTE_ALL,INDEX($DF$5:$DF$1003,$EX58),$B$37)),INDEX(PASTE_ALL,INDEX($DF$5:$DF$1003,$EX58),$B$37),INDEX($DH$5:$DH$1003,$EX58)),INDEX($DH$5:$DH$1003,$EX58)),"")</f>
        <v/>
      </c>
      <c r="FC58">
        <f>IF($EY58="row",INDEX($ER$5:$ER$1003,$EX58),"")</f>
        <v/>
      </c>
      <c r="FD58">
        <f>IF($EY58="row",INDEX($DN$5:$DN$1003,$EX58),"")</f>
        <v/>
      </c>
      <c r="FE58">
        <f>IF($EY58="row",INDEX($DO$5:$DO$1003,$EX58),"")</f>
        <v/>
      </c>
      <c r="FF58">
        <f>IF($EY58="row",INDEX($DP$5:$DP$1003,$EX58),"")</f>
        <v/>
      </c>
      <c r="FG58">
        <f>IF($EY58="row",INDEX($DQ$5:$DQ$1003,$EX58),"")</f>
        <v/>
      </c>
      <c r="FH58">
        <f>IF($EY58="row",INDEX($DR$5:$DR$1003,$EX58),"")</f>
        <v/>
      </c>
      <c r="FI58">
        <f>IF($EY58="row",INDEX($DS$5:$DS$1003,$EX58),"")</f>
        <v/>
      </c>
      <c r="FJ58">
        <f>IF($EY58="row",INDEX($DT$5:$DT$1003,$EX58),"")</f>
        <v/>
      </c>
      <c r="FK58">
        <f>IF($EY58="row",INDEX($DU$5:$DU$1003,$EX58),"")</f>
        <v/>
      </c>
      <c r="FL58">
        <f>IF($EY58="row",INDEX($DV$5:$DV$1003,$EX58),"")</f>
        <v/>
      </c>
      <c r="FM58">
        <f>IF($EY58="row",INDEX($DW$5:$DW$1003,$EX58),"")</f>
        <v/>
      </c>
      <c r="FN58">
        <f>IF($EY58="row",INDEX($DY$5:$DY$1003,$EX58),"")</f>
        <v/>
      </c>
      <c r="FO58">
        <f>IF($EY58="row",INDEX($EA$5:$EA$1003,$EX58),"")</f>
        <v/>
      </c>
      <c r="FP58">
        <f>IF($EY58="row",INDEX($EC$5:$EC$1003,$EX58),"")</f>
        <v/>
      </c>
      <c r="FQ58">
        <f>IF($EY58="row",INDEX($ET$5:$ET$1003,$EX58),"")</f>
        <v/>
      </c>
      <c r="FR58">
        <f>IF($EY58="row",INDEX($EU$5:$EU$1003,$EX58),"")</f>
        <v/>
      </c>
      <c r="FS58">
        <f>IF(AND($EY58="row",$EY57="row"),IF(OR(INDEX($DT$5:$DT$1003,$EX57)="",INDEX($DT$5:$DT$1003,$EX58)=""),"",IF(NOT(EXACT(INDEX($DT$5:$DT$1003,$EX57),INDEX($DT$5:$DT$1003,$EX58))),"S4",IF(NOT(EXACT(INDEX($DS$5:$DS$1003,$EX57),INDEX($DS$5:$DS$1003,$EX58))),"S3",IF(NOT(EXACT(INDEX($DR$5:$DR$1003,$EX57),INDEX($DR$5:$DR$1003,$EX58))),"S1 Count Change","S1")))),"")</f>
        <v/>
      </c>
      <c r="FT58">
        <f>IF($EY58="row",INDEX($ES$5:$ES$1003,$EX58),"")</f>
        <v/>
      </c>
      <c r="FU58">
        <f>IF($EY58="row",INDEX($EO$5:$EO$1003,$EX58),0)</f>
        <v/>
      </c>
      <c r="FV58">
        <f>IF($FS58="S1 Count Change",1,0)</f>
        <v/>
      </c>
      <c r="FX58" t="n">
        <v>54</v>
      </c>
      <c r="FY58">
        <f>IFERROR(MATCH($FX58,$EF$5:$EF$1003,0),0)</f>
        <v/>
      </c>
      <c r="FZ58">
        <f>IF($FY58=0,"",INDEX($DH$5:$DH$1003,$FY58))</f>
        <v/>
      </c>
      <c r="GA58">
        <f>IF($FY58=0,"",COUNTIF($EG$5:$EG$1003,$FX58))</f>
        <v/>
      </c>
      <c r="GB58">
        <f>IF($FY58=0,"",INDEX($ER$5:$ER$1003,$FY58))</f>
        <v/>
      </c>
      <c r="GC58">
        <f>IF($FY58=0,"",IF(INDEX($EO$5:$EO$1003,$FY58)=1,"Yes",""))</f>
        <v/>
      </c>
      <c r="GD58">
        <f>IF($FY58=0,"",IF(INDEX($EN$5:$EN$1003,$FY58)&gt;0,"","NOT IN YOUR LIST - type it in column A to tick it"))</f>
        <v/>
      </c>
      <c r="GE58">
        <f>IF(AND($FY58&gt;0,$GD58&lt;&gt;""),1,0)</f>
        <v/>
      </c>
      <c r="GF58">
        <f>GF57+$GE58</f>
        <v/>
      </c>
      <c r="GG58">
        <f>IFERROR(INDEX($FZ$5:$FZ$104,MATCH($FX58,$GF$5:$GF$104,0)),"")</f>
        <v/>
      </c>
    </row>
    <row r="59">
      <c r="S59" t="n">
        <v>55</v>
      </c>
      <c r="T59" t="inlineStr">
        <is>
          <t>BC</t>
        </is>
      </c>
      <c r="V59" t="inlineStr">
        <is>
          <t>CLOSURE</t>
        </is>
      </c>
      <c r="W59" t="n">
        <v>9</v>
      </c>
      <c r="Y59">
        <f>IFERROR(IF(ISNUMBER(INDEX(PASTE_ALL,10,1)),2,IF(TRIM(INDEX(PASTE_ALL,10,1))="",0,IF(AND(LEFT(MID(TRIM(INDEX(PASTE_ALL,10,1)),1+(LEFT(TRIM(INDEX(PASTE_ALL,10,1)),1)="-"),999),LEN(MID(TRIM(INDEX(PASTE_ALL,10,1)),1+(LEFT(TRIM(INDEX(PASTE_ALL,10,1)),1)="-"),999))-(RIGHT(MID(TRIM(INDEX(PASTE_ALL,10,1)),1+(LEFT(TRIM(INDEX(PASTE_ALL,10,1)),1)="-"),999),1)="%"))&lt;&gt;"",SUBSTITUTE(SUBSTITUTE(SUBSTITUTE(SUBSTITUTE(SUBSTITUTE(SUBSTITUTE(SUBSTITUTE(SUBSTITUTE(SUBSTITUTE(SUBSTITUTE(SUBSTITUTE(SUBSTITUTE(LEFT(MID(TRIM(INDEX(PASTE_ALL,10,1)),1+(LEFT(TRIM(INDEX(PASTE_ALL,10,1)),1)="-"),999),LEN(MID(TRIM(INDEX(PASTE_ALL,10,1)),1+(LEFT(TRIM(INDEX(PASTE_ALL,10,1)),1)="-"),999))-(RIGHT(MID(TRIM(INDEX(PASTE_ALL,10,1)),1+(LEFT(TRIM(INDEX(PASTE_ALL,10,1)),1)="-"),999),1)="%")),"0",""),"1",""),"2",""),"3",""),"4",""),"5",""),"6",""),"7",""),"8",""),"9",""),".",""),",","")=""),2,1))),1)</f>
        <v/>
      </c>
      <c r="Z59">
        <f>IFERROR(IF(ISNUMBER(INDEX(PASTE_ALL,10,2)),2,IF(TRIM(INDEX(PASTE_ALL,10,2))="",0,IF(AND(LEFT(MID(TRIM(INDEX(PASTE_ALL,10,2)),1+(LEFT(TRIM(INDEX(PASTE_ALL,10,2)),1)="-"),999),LEN(MID(TRIM(INDEX(PASTE_ALL,10,2)),1+(LEFT(TRIM(INDEX(PASTE_ALL,10,2)),1)="-"),999))-(RIGHT(MID(TRIM(INDEX(PASTE_ALL,10,2)),1+(LEFT(TRIM(INDEX(PASTE_ALL,10,2)),1)="-"),999),1)="%"))&lt;&gt;"",SUBSTITUTE(SUBSTITUTE(SUBSTITUTE(SUBSTITUTE(SUBSTITUTE(SUBSTITUTE(SUBSTITUTE(SUBSTITUTE(SUBSTITUTE(SUBSTITUTE(SUBSTITUTE(SUBSTITUTE(LEFT(MID(TRIM(INDEX(PASTE_ALL,10,2)),1+(LEFT(TRIM(INDEX(PASTE_ALL,10,2)),1)="-"),999),LEN(MID(TRIM(INDEX(PASTE_ALL,10,2)),1+(LEFT(TRIM(INDEX(PASTE_ALL,10,2)),1)="-"),999))-(RIGHT(MID(TRIM(INDEX(PASTE_ALL,10,2)),1+(LEFT(TRIM(INDEX(PASTE_ALL,10,2)),1)="-"),999),1)="%")),"0",""),"1",""),"2",""),"3",""),"4",""),"5",""),"6",""),"7",""),"8",""),"9",""),".",""),",","")=""),2,1))),1)</f>
        <v/>
      </c>
      <c r="AA59">
        <f>IFERROR(IF(ISNUMBER(INDEX(PASTE_ALL,10,3)),2,IF(TRIM(INDEX(PASTE_ALL,10,3))="",0,IF(AND(LEFT(MID(TRIM(INDEX(PASTE_ALL,10,3)),1+(LEFT(TRIM(INDEX(PASTE_ALL,10,3)),1)="-"),999),LEN(MID(TRIM(INDEX(PASTE_ALL,10,3)),1+(LEFT(TRIM(INDEX(PASTE_ALL,10,3)),1)="-"),999))-(RIGHT(MID(TRIM(INDEX(PASTE_ALL,10,3)),1+(LEFT(TRIM(INDEX(PASTE_ALL,10,3)),1)="-"),999),1)="%"))&lt;&gt;"",SUBSTITUTE(SUBSTITUTE(SUBSTITUTE(SUBSTITUTE(SUBSTITUTE(SUBSTITUTE(SUBSTITUTE(SUBSTITUTE(SUBSTITUTE(SUBSTITUTE(SUBSTITUTE(SUBSTITUTE(LEFT(MID(TRIM(INDEX(PASTE_ALL,10,3)),1+(LEFT(TRIM(INDEX(PASTE_ALL,10,3)),1)="-"),999),LEN(MID(TRIM(INDEX(PASTE_ALL,10,3)),1+(LEFT(TRIM(INDEX(PASTE_ALL,10,3)),1)="-"),999))-(RIGHT(MID(TRIM(INDEX(PASTE_ALL,10,3)),1+(LEFT(TRIM(INDEX(PASTE_ALL,10,3)),1)="-"),999),1)="%")),"0",""),"1",""),"2",""),"3",""),"4",""),"5",""),"6",""),"7",""),"8",""),"9",""),".",""),",","")=""),2,1))),1)</f>
        <v/>
      </c>
      <c r="AB59">
        <f>IFERROR(IF(ISNUMBER(INDEX(PASTE_ALL,10,4)),2,IF(TRIM(INDEX(PASTE_ALL,10,4))="",0,IF(AND(LEFT(MID(TRIM(INDEX(PASTE_ALL,10,4)),1+(LEFT(TRIM(INDEX(PASTE_ALL,10,4)),1)="-"),999),LEN(MID(TRIM(INDEX(PASTE_ALL,10,4)),1+(LEFT(TRIM(INDEX(PASTE_ALL,10,4)),1)="-"),999))-(RIGHT(MID(TRIM(INDEX(PASTE_ALL,10,4)),1+(LEFT(TRIM(INDEX(PASTE_ALL,10,4)),1)="-"),999),1)="%"))&lt;&gt;"",SUBSTITUTE(SUBSTITUTE(SUBSTITUTE(SUBSTITUTE(SUBSTITUTE(SUBSTITUTE(SUBSTITUTE(SUBSTITUTE(SUBSTITUTE(SUBSTITUTE(SUBSTITUTE(SUBSTITUTE(LEFT(MID(TRIM(INDEX(PASTE_ALL,10,4)),1+(LEFT(TRIM(INDEX(PASTE_ALL,10,4)),1)="-"),999),LEN(MID(TRIM(INDEX(PASTE_ALL,10,4)),1+(LEFT(TRIM(INDEX(PASTE_ALL,10,4)),1)="-"),999))-(RIGHT(MID(TRIM(INDEX(PASTE_ALL,10,4)),1+(LEFT(TRIM(INDEX(PASTE_ALL,10,4)),1)="-"),999),1)="%")),"0",""),"1",""),"2",""),"3",""),"4",""),"5",""),"6",""),"7",""),"8",""),"9",""),".",""),",","")=""),2,1))),1)</f>
        <v/>
      </c>
      <c r="AC59">
        <f>IFERROR(IF(ISNUMBER(INDEX(PASTE_ALL,10,5)),2,IF(TRIM(INDEX(PASTE_ALL,10,5))="",0,IF(AND(LEFT(MID(TRIM(INDEX(PASTE_ALL,10,5)),1+(LEFT(TRIM(INDEX(PASTE_ALL,10,5)),1)="-"),999),LEN(MID(TRIM(INDEX(PASTE_ALL,10,5)),1+(LEFT(TRIM(INDEX(PASTE_ALL,10,5)),1)="-"),999))-(RIGHT(MID(TRIM(INDEX(PASTE_ALL,10,5)),1+(LEFT(TRIM(INDEX(PASTE_ALL,10,5)),1)="-"),999),1)="%"))&lt;&gt;"",SUBSTITUTE(SUBSTITUTE(SUBSTITUTE(SUBSTITUTE(SUBSTITUTE(SUBSTITUTE(SUBSTITUTE(SUBSTITUTE(SUBSTITUTE(SUBSTITUTE(SUBSTITUTE(SUBSTITUTE(LEFT(MID(TRIM(INDEX(PASTE_ALL,10,5)),1+(LEFT(TRIM(INDEX(PASTE_ALL,10,5)),1)="-"),999),LEN(MID(TRIM(INDEX(PASTE_ALL,10,5)),1+(LEFT(TRIM(INDEX(PASTE_ALL,10,5)),1)="-"),999))-(RIGHT(MID(TRIM(INDEX(PASTE_ALL,10,5)),1+(LEFT(TRIM(INDEX(PASTE_ALL,10,5)),1)="-"),999),1)="%")),"0",""),"1",""),"2",""),"3",""),"4",""),"5",""),"6",""),"7",""),"8",""),"9",""),".",""),",","")=""),2,1))),1)</f>
        <v/>
      </c>
      <c r="AD59">
        <f>IFERROR(IF(ISNUMBER(INDEX(PASTE_ALL,10,6)),2,IF(TRIM(INDEX(PASTE_ALL,10,6))="",0,IF(AND(LEFT(MID(TRIM(INDEX(PASTE_ALL,10,6)),1+(LEFT(TRIM(INDEX(PASTE_ALL,10,6)),1)="-"),999),LEN(MID(TRIM(INDEX(PASTE_ALL,10,6)),1+(LEFT(TRIM(INDEX(PASTE_ALL,10,6)),1)="-"),999))-(RIGHT(MID(TRIM(INDEX(PASTE_ALL,10,6)),1+(LEFT(TRIM(INDEX(PASTE_ALL,10,6)),1)="-"),999),1)="%"))&lt;&gt;"",SUBSTITUTE(SUBSTITUTE(SUBSTITUTE(SUBSTITUTE(SUBSTITUTE(SUBSTITUTE(SUBSTITUTE(SUBSTITUTE(SUBSTITUTE(SUBSTITUTE(SUBSTITUTE(SUBSTITUTE(LEFT(MID(TRIM(INDEX(PASTE_ALL,10,6)),1+(LEFT(TRIM(INDEX(PASTE_ALL,10,6)),1)="-"),999),LEN(MID(TRIM(INDEX(PASTE_ALL,10,6)),1+(LEFT(TRIM(INDEX(PASTE_ALL,10,6)),1)="-"),999))-(RIGHT(MID(TRIM(INDEX(PASTE_ALL,10,6)),1+(LEFT(TRIM(INDEX(PASTE_ALL,10,6)),1)="-"),999),1)="%")),"0",""),"1",""),"2",""),"3",""),"4",""),"5",""),"6",""),"7",""),"8",""),"9",""),".",""),",","")=""),2,1))),1)</f>
        <v/>
      </c>
      <c r="AE59">
        <f>IFERROR(IF(ISNUMBER(INDEX(PASTE_ALL,10,7)),2,IF(TRIM(INDEX(PASTE_ALL,10,7))="",0,IF(AND(LEFT(MID(TRIM(INDEX(PASTE_ALL,10,7)),1+(LEFT(TRIM(INDEX(PASTE_ALL,10,7)),1)="-"),999),LEN(MID(TRIM(INDEX(PASTE_ALL,10,7)),1+(LEFT(TRIM(INDEX(PASTE_ALL,10,7)),1)="-"),999))-(RIGHT(MID(TRIM(INDEX(PASTE_ALL,10,7)),1+(LEFT(TRIM(INDEX(PASTE_ALL,10,7)),1)="-"),999),1)="%"))&lt;&gt;"",SUBSTITUTE(SUBSTITUTE(SUBSTITUTE(SUBSTITUTE(SUBSTITUTE(SUBSTITUTE(SUBSTITUTE(SUBSTITUTE(SUBSTITUTE(SUBSTITUTE(SUBSTITUTE(SUBSTITUTE(LEFT(MID(TRIM(INDEX(PASTE_ALL,10,7)),1+(LEFT(TRIM(INDEX(PASTE_ALL,10,7)),1)="-"),999),LEN(MID(TRIM(INDEX(PASTE_ALL,10,7)),1+(LEFT(TRIM(INDEX(PASTE_ALL,10,7)),1)="-"),999))-(RIGHT(MID(TRIM(INDEX(PASTE_ALL,10,7)),1+(LEFT(TRIM(INDEX(PASTE_ALL,10,7)),1)="-"),999),1)="%")),"0",""),"1",""),"2",""),"3",""),"4",""),"5",""),"6",""),"7",""),"8",""),"9",""),".",""),",","")=""),2,1))),1)</f>
        <v/>
      </c>
      <c r="AF59">
        <f>IFERROR(IF(ISNUMBER(INDEX(PASTE_ALL,10,8)),2,IF(TRIM(INDEX(PASTE_ALL,10,8))="",0,IF(AND(LEFT(MID(TRIM(INDEX(PASTE_ALL,10,8)),1+(LEFT(TRIM(INDEX(PASTE_ALL,10,8)),1)="-"),999),LEN(MID(TRIM(INDEX(PASTE_ALL,10,8)),1+(LEFT(TRIM(INDEX(PASTE_ALL,10,8)),1)="-"),999))-(RIGHT(MID(TRIM(INDEX(PASTE_ALL,10,8)),1+(LEFT(TRIM(INDEX(PASTE_ALL,10,8)),1)="-"),999),1)="%"))&lt;&gt;"",SUBSTITUTE(SUBSTITUTE(SUBSTITUTE(SUBSTITUTE(SUBSTITUTE(SUBSTITUTE(SUBSTITUTE(SUBSTITUTE(SUBSTITUTE(SUBSTITUTE(SUBSTITUTE(SUBSTITUTE(LEFT(MID(TRIM(INDEX(PASTE_ALL,10,8)),1+(LEFT(TRIM(INDEX(PASTE_ALL,10,8)),1)="-"),999),LEN(MID(TRIM(INDEX(PASTE_ALL,10,8)),1+(LEFT(TRIM(INDEX(PASTE_ALL,10,8)),1)="-"),999))-(RIGHT(MID(TRIM(INDEX(PASTE_ALL,10,8)),1+(LEFT(TRIM(INDEX(PASTE_ALL,10,8)),1)="-"),999),1)="%")),"0",""),"1",""),"2",""),"3",""),"4",""),"5",""),"6",""),"7",""),"8",""),"9",""),".",""),",","")=""),2,1))),1)</f>
        <v/>
      </c>
      <c r="AG59">
        <f>IFERROR(IF(ISNUMBER(INDEX(PASTE_ALL,10,9)),2,IF(TRIM(INDEX(PASTE_ALL,10,9))="",0,IF(AND(LEFT(MID(TRIM(INDEX(PASTE_ALL,10,9)),1+(LEFT(TRIM(INDEX(PASTE_ALL,10,9)),1)="-"),999),LEN(MID(TRIM(INDEX(PASTE_ALL,10,9)),1+(LEFT(TRIM(INDEX(PASTE_ALL,10,9)),1)="-"),999))-(RIGHT(MID(TRIM(INDEX(PASTE_ALL,10,9)),1+(LEFT(TRIM(INDEX(PASTE_ALL,10,9)),1)="-"),999),1)="%"))&lt;&gt;"",SUBSTITUTE(SUBSTITUTE(SUBSTITUTE(SUBSTITUTE(SUBSTITUTE(SUBSTITUTE(SUBSTITUTE(SUBSTITUTE(SUBSTITUTE(SUBSTITUTE(SUBSTITUTE(SUBSTITUTE(LEFT(MID(TRIM(INDEX(PASTE_ALL,10,9)),1+(LEFT(TRIM(INDEX(PASTE_ALL,10,9)),1)="-"),999),LEN(MID(TRIM(INDEX(PASTE_ALL,10,9)),1+(LEFT(TRIM(INDEX(PASTE_ALL,10,9)),1)="-"),999))-(RIGHT(MID(TRIM(INDEX(PASTE_ALL,10,9)),1+(LEFT(TRIM(INDEX(PASTE_ALL,10,9)),1)="-"),999),1)="%")),"0",""),"1",""),"2",""),"3",""),"4",""),"5",""),"6",""),"7",""),"8",""),"9",""),".",""),",","")=""),2,1))),1)</f>
        <v/>
      </c>
      <c r="AH59">
        <f>IFERROR(IF(ISNUMBER(INDEX(PASTE_ALL,10,10)),2,IF(TRIM(INDEX(PASTE_ALL,10,10))="",0,IF(AND(LEFT(MID(TRIM(INDEX(PASTE_ALL,10,10)),1+(LEFT(TRIM(INDEX(PASTE_ALL,10,10)),1)="-"),999),LEN(MID(TRIM(INDEX(PASTE_ALL,10,10)),1+(LEFT(TRIM(INDEX(PASTE_ALL,10,10)),1)="-"),999))-(RIGHT(MID(TRIM(INDEX(PASTE_ALL,10,10)),1+(LEFT(TRIM(INDEX(PASTE_ALL,10,10)),1)="-"),999),1)="%"))&lt;&gt;"",SUBSTITUTE(SUBSTITUTE(SUBSTITUTE(SUBSTITUTE(SUBSTITUTE(SUBSTITUTE(SUBSTITUTE(SUBSTITUTE(SUBSTITUTE(SUBSTITUTE(SUBSTITUTE(SUBSTITUTE(LEFT(MID(TRIM(INDEX(PASTE_ALL,10,10)),1+(LEFT(TRIM(INDEX(PASTE_ALL,10,10)),1)="-"),999),LEN(MID(TRIM(INDEX(PASTE_ALL,10,10)),1+(LEFT(TRIM(INDEX(PASTE_ALL,10,10)),1)="-"),999))-(RIGHT(MID(TRIM(INDEX(PASTE_ALL,10,10)),1+(LEFT(TRIM(INDEX(PASTE_ALL,10,10)),1)="-"),999),1)="%")),"0",""),"1",""),"2",""),"3",""),"4",""),"5",""),"6",""),"7",""),"8",""),"9",""),".",""),",","")=""),2,1))),1)</f>
        <v/>
      </c>
      <c r="AI59">
        <f>IFERROR(IF(ISNUMBER(INDEX(PASTE_ALL,10,11)),2,IF(TRIM(INDEX(PASTE_ALL,10,11))="",0,IF(AND(LEFT(MID(TRIM(INDEX(PASTE_ALL,10,11)),1+(LEFT(TRIM(INDEX(PASTE_ALL,10,11)),1)="-"),999),LEN(MID(TRIM(INDEX(PASTE_ALL,10,11)),1+(LEFT(TRIM(INDEX(PASTE_ALL,10,11)),1)="-"),999))-(RIGHT(MID(TRIM(INDEX(PASTE_ALL,10,11)),1+(LEFT(TRIM(INDEX(PASTE_ALL,10,11)),1)="-"),999),1)="%"))&lt;&gt;"",SUBSTITUTE(SUBSTITUTE(SUBSTITUTE(SUBSTITUTE(SUBSTITUTE(SUBSTITUTE(SUBSTITUTE(SUBSTITUTE(SUBSTITUTE(SUBSTITUTE(SUBSTITUTE(SUBSTITUTE(LEFT(MID(TRIM(INDEX(PASTE_ALL,10,11)),1+(LEFT(TRIM(INDEX(PASTE_ALL,10,11)),1)="-"),999),LEN(MID(TRIM(INDEX(PASTE_ALL,10,11)),1+(LEFT(TRIM(INDEX(PASTE_ALL,10,11)),1)="-"),999))-(RIGHT(MID(TRIM(INDEX(PASTE_ALL,10,11)),1+(LEFT(TRIM(INDEX(PASTE_ALL,10,11)),1)="-"),999),1)="%")),"0",""),"1",""),"2",""),"3",""),"4",""),"5",""),"6",""),"7",""),"8",""),"9",""),".",""),",","")=""),2,1))),1)</f>
        <v/>
      </c>
      <c r="AJ59">
        <f>IFERROR(IF(ISNUMBER(INDEX(PASTE_ALL,10,12)),2,IF(TRIM(INDEX(PASTE_ALL,10,12))="",0,IF(AND(LEFT(MID(TRIM(INDEX(PASTE_ALL,10,12)),1+(LEFT(TRIM(INDEX(PASTE_ALL,10,12)),1)="-"),999),LEN(MID(TRIM(INDEX(PASTE_ALL,10,12)),1+(LEFT(TRIM(INDEX(PASTE_ALL,10,12)),1)="-"),999))-(RIGHT(MID(TRIM(INDEX(PASTE_ALL,10,12)),1+(LEFT(TRIM(INDEX(PASTE_ALL,10,12)),1)="-"),999),1)="%"))&lt;&gt;"",SUBSTITUTE(SUBSTITUTE(SUBSTITUTE(SUBSTITUTE(SUBSTITUTE(SUBSTITUTE(SUBSTITUTE(SUBSTITUTE(SUBSTITUTE(SUBSTITUTE(SUBSTITUTE(SUBSTITUTE(LEFT(MID(TRIM(INDEX(PASTE_ALL,10,12)),1+(LEFT(TRIM(INDEX(PASTE_ALL,10,12)),1)="-"),999),LEN(MID(TRIM(INDEX(PASTE_ALL,10,12)),1+(LEFT(TRIM(INDEX(PASTE_ALL,10,12)),1)="-"),999))-(RIGHT(MID(TRIM(INDEX(PASTE_ALL,10,12)),1+(LEFT(TRIM(INDEX(PASTE_ALL,10,12)),1)="-"),999),1)="%")),"0",""),"1",""),"2",""),"3",""),"4",""),"5",""),"6",""),"7",""),"8",""),"9",""),".",""),",","")=""),2,1))),1)</f>
        <v/>
      </c>
      <c r="AK59">
        <f>IFERROR(IF(ISNUMBER(INDEX(PASTE_ALL,10,13)),2,IF(TRIM(INDEX(PASTE_ALL,10,13))="",0,IF(AND(LEFT(MID(TRIM(INDEX(PASTE_ALL,10,13)),1+(LEFT(TRIM(INDEX(PASTE_ALL,10,13)),1)="-"),999),LEN(MID(TRIM(INDEX(PASTE_ALL,10,13)),1+(LEFT(TRIM(INDEX(PASTE_ALL,10,13)),1)="-"),999))-(RIGHT(MID(TRIM(INDEX(PASTE_ALL,10,13)),1+(LEFT(TRIM(INDEX(PASTE_ALL,10,13)),1)="-"),999),1)="%"))&lt;&gt;"",SUBSTITUTE(SUBSTITUTE(SUBSTITUTE(SUBSTITUTE(SUBSTITUTE(SUBSTITUTE(SUBSTITUTE(SUBSTITUTE(SUBSTITUTE(SUBSTITUTE(SUBSTITUTE(SUBSTITUTE(LEFT(MID(TRIM(INDEX(PASTE_ALL,10,13)),1+(LEFT(TRIM(INDEX(PASTE_ALL,10,13)),1)="-"),999),LEN(MID(TRIM(INDEX(PASTE_ALL,10,13)),1+(LEFT(TRIM(INDEX(PASTE_ALL,10,13)),1)="-"),999))-(RIGHT(MID(TRIM(INDEX(PASTE_ALL,10,13)),1+(LEFT(TRIM(INDEX(PASTE_ALL,10,13)),1)="-"),999),1)="%")),"0",""),"1",""),"2",""),"3",""),"4",""),"5",""),"6",""),"7",""),"8",""),"9",""),".",""),",","")=""),2,1))),1)</f>
        <v/>
      </c>
      <c r="AL59">
        <f>IFERROR(IF(ISNUMBER(INDEX(PASTE_ALL,10,14)),2,IF(TRIM(INDEX(PASTE_ALL,10,14))="",0,IF(AND(LEFT(MID(TRIM(INDEX(PASTE_ALL,10,14)),1+(LEFT(TRIM(INDEX(PASTE_ALL,10,14)),1)="-"),999),LEN(MID(TRIM(INDEX(PASTE_ALL,10,14)),1+(LEFT(TRIM(INDEX(PASTE_ALL,10,14)),1)="-"),999))-(RIGHT(MID(TRIM(INDEX(PASTE_ALL,10,14)),1+(LEFT(TRIM(INDEX(PASTE_ALL,10,14)),1)="-"),999),1)="%"))&lt;&gt;"",SUBSTITUTE(SUBSTITUTE(SUBSTITUTE(SUBSTITUTE(SUBSTITUTE(SUBSTITUTE(SUBSTITUTE(SUBSTITUTE(SUBSTITUTE(SUBSTITUTE(SUBSTITUTE(SUBSTITUTE(LEFT(MID(TRIM(INDEX(PASTE_ALL,10,14)),1+(LEFT(TRIM(INDEX(PASTE_ALL,10,14)),1)="-"),999),LEN(MID(TRIM(INDEX(PASTE_ALL,10,14)),1+(LEFT(TRIM(INDEX(PASTE_ALL,10,14)),1)="-"),999))-(RIGHT(MID(TRIM(INDEX(PASTE_ALL,10,14)),1+(LEFT(TRIM(INDEX(PASTE_ALL,10,14)),1)="-"),999),1)="%")),"0",""),"1",""),"2",""),"3",""),"4",""),"5",""),"6",""),"7",""),"8",""),"9",""),".",""),",","")=""),2,1))),1)</f>
        <v/>
      </c>
      <c r="AM59">
        <f>IFERROR(IF(ISNUMBER(INDEX(PASTE_ALL,10,15)),2,IF(TRIM(INDEX(PASTE_ALL,10,15))="",0,IF(AND(LEFT(MID(TRIM(INDEX(PASTE_ALL,10,15)),1+(LEFT(TRIM(INDEX(PASTE_ALL,10,15)),1)="-"),999),LEN(MID(TRIM(INDEX(PASTE_ALL,10,15)),1+(LEFT(TRIM(INDEX(PASTE_ALL,10,15)),1)="-"),999))-(RIGHT(MID(TRIM(INDEX(PASTE_ALL,10,15)),1+(LEFT(TRIM(INDEX(PASTE_ALL,10,15)),1)="-"),999),1)="%"))&lt;&gt;"",SUBSTITUTE(SUBSTITUTE(SUBSTITUTE(SUBSTITUTE(SUBSTITUTE(SUBSTITUTE(SUBSTITUTE(SUBSTITUTE(SUBSTITUTE(SUBSTITUTE(SUBSTITUTE(SUBSTITUTE(LEFT(MID(TRIM(INDEX(PASTE_ALL,10,15)),1+(LEFT(TRIM(INDEX(PASTE_ALL,10,15)),1)="-"),999),LEN(MID(TRIM(INDEX(PASTE_ALL,10,15)),1+(LEFT(TRIM(INDEX(PASTE_ALL,10,15)),1)="-"),999))-(RIGHT(MID(TRIM(INDEX(PASTE_ALL,10,15)),1+(LEFT(TRIM(INDEX(PASTE_ALL,10,15)),1)="-"),999),1)="%")),"0",""),"1",""),"2",""),"3",""),"4",""),"5",""),"6",""),"7",""),"8",""),"9",""),".",""),",","")=""),2,1))),1)</f>
        <v/>
      </c>
      <c r="AN59">
        <f>IFERROR(IF(ISNUMBER(INDEX(PASTE_ALL,10,16)),2,IF(TRIM(INDEX(PASTE_ALL,10,16))="",0,IF(AND(LEFT(MID(TRIM(INDEX(PASTE_ALL,10,16)),1+(LEFT(TRIM(INDEX(PASTE_ALL,10,16)),1)="-"),999),LEN(MID(TRIM(INDEX(PASTE_ALL,10,16)),1+(LEFT(TRIM(INDEX(PASTE_ALL,10,16)),1)="-"),999))-(RIGHT(MID(TRIM(INDEX(PASTE_ALL,10,16)),1+(LEFT(TRIM(INDEX(PASTE_ALL,10,16)),1)="-"),999),1)="%"))&lt;&gt;"",SUBSTITUTE(SUBSTITUTE(SUBSTITUTE(SUBSTITUTE(SUBSTITUTE(SUBSTITUTE(SUBSTITUTE(SUBSTITUTE(SUBSTITUTE(SUBSTITUTE(SUBSTITUTE(SUBSTITUTE(LEFT(MID(TRIM(INDEX(PASTE_ALL,10,16)),1+(LEFT(TRIM(INDEX(PASTE_ALL,10,16)),1)="-"),999),LEN(MID(TRIM(INDEX(PASTE_ALL,10,16)),1+(LEFT(TRIM(INDEX(PASTE_ALL,10,16)),1)="-"),999))-(RIGHT(MID(TRIM(INDEX(PASTE_ALL,10,16)),1+(LEFT(TRIM(INDEX(PASTE_ALL,10,16)),1)="-"),999),1)="%")),"0",""),"1",""),"2",""),"3",""),"4",""),"5",""),"6",""),"7",""),"8",""),"9",""),".",""),",","")=""),2,1))),1)</f>
        <v/>
      </c>
      <c r="AO59">
        <f>IFERROR(IF(ISNUMBER(INDEX(PASTE_ALL,10,17)),2,IF(TRIM(INDEX(PASTE_ALL,10,17))="",0,IF(AND(LEFT(MID(TRIM(INDEX(PASTE_ALL,10,17)),1+(LEFT(TRIM(INDEX(PASTE_ALL,10,17)),1)="-"),999),LEN(MID(TRIM(INDEX(PASTE_ALL,10,17)),1+(LEFT(TRIM(INDEX(PASTE_ALL,10,17)),1)="-"),999))-(RIGHT(MID(TRIM(INDEX(PASTE_ALL,10,17)),1+(LEFT(TRIM(INDEX(PASTE_ALL,10,17)),1)="-"),999),1)="%"))&lt;&gt;"",SUBSTITUTE(SUBSTITUTE(SUBSTITUTE(SUBSTITUTE(SUBSTITUTE(SUBSTITUTE(SUBSTITUTE(SUBSTITUTE(SUBSTITUTE(SUBSTITUTE(SUBSTITUTE(SUBSTITUTE(LEFT(MID(TRIM(INDEX(PASTE_ALL,10,17)),1+(LEFT(TRIM(INDEX(PASTE_ALL,10,17)),1)="-"),999),LEN(MID(TRIM(INDEX(PASTE_ALL,10,17)),1+(LEFT(TRIM(INDEX(PASTE_ALL,10,17)),1)="-"),999))-(RIGHT(MID(TRIM(INDEX(PASTE_ALL,10,17)),1+(LEFT(TRIM(INDEX(PASTE_ALL,10,17)),1)="-"),999),1)="%")),"0",""),"1",""),"2",""),"3",""),"4",""),"5",""),"6",""),"7",""),"8",""),"9",""),".",""),",","")=""),2,1))),1)</f>
        <v/>
      </c>
      <c r="AP59">
        <f>IFERROR(IF(ISNUMBER(INDEX(PASTE_ALL,10,18)),2,IF(TRIM(INDEX(PASTE_ALL,10,18))="",0,IF(AND(LEFT(MID(TRIM(INDEX(PASTE_ALL,10,18)),1+(LEFT(TRIM(INDEX(PASTE_ALL,10,18)),1)="-"),999),LEN(MID(TRIM(INDEX(PASTE_ALL,10,18)),1+(LEFT(TRIM(INDEX(PASTE_ALL,10,18)),1)="-"),999))-(RIGHT(MID(TRIM(INDEX(PASTE_ALL,10,18)),1+(LEFT(TRIM(INDEX(PASTE_ALL,10,18)),1)="-"),999),1)="%"))&lt;&gt;"",SUBSTITUTE(SUBSTITUTE(SUBSTITUTE(SUBSTITUTE(SUBSTITUTE(SUBSTITUTE(SUBSTITUTE(SUBSTITUTE(SUBSTITUTE(SUBSTITUTE(SUBSTITUTE(SUBSTITUTE(LEFT(MID(TRIM(INDEX(PASTE_ALL,10,18)),1+(LEFT(TRIM(INDEX(PASTE_ALL,10,18)),1)="-"),999),LEN(MID(TRIM(INDEX(PASTE_ALL,10,18)),1+(LEFT(TRIM(INDEX(PASTE_ALL,10,18)),1)="-"),999))-(RIGHT(MID(TRIM(INDEX(PASTE_ALL,10,18)),1+(LEFT(TRIM(INDEX(PASTE_ALL,10,18)),1)="-"),999),1)="%")),"0",""),"1",""),"2",""),"3",""),"4",""),"5",""),"6",""),"7",""),"8",""),"9",""),".",""),",","")=""),2,1))),1)</f>
        <v/>
      </c>
      <c r="AQ59">
        <f>IFERROR(IF(ISNUMBER(INDEX(PASTE_ALL,10,19)),2,IF(TRIM(INDEX(PASTE_ALL,10,19))="",0,IF(AND(LEFT(MID(TRIM(INDEX(PASTE_ALL,10,19)),1+(LEFT(TRIM(INDEX(PASTE_ALL,10,19)),1)="-"),999),LEN(MID(TRIM(INDEX(PASTE_ALL,10,19)),1+(LEFT(TRIM(INDEX(PASTE_ALL,10,19)),1)="-"),999))-(RIGHT(MID(TRIM(INDEX(PASTE_ALL,10,19)),1+(LEFT(TRIM(INDEX(PASTE_ALL,10,19)),1)="-"),999),1)="%"))&lt;&gt;"",SUBSTITUTE(SUBSTITUTE(SUBSTITUTE(SUBSTITUTE(SUBSTITUTE(SUBSTITUTE(SUBSTITUTE(SUBSTITUTE(SUBSTITUTE(SUBSTITUTE(SUBSTITUTE(SUBSTITUTE(LEFT(MID(TRIM(INDEX(PASTE_ALL,10,19)),1+(LEFT(TRIM(INDEX(PASTE_ALL,10,19)),1)="-"),999),LEN(MID(TRIM(INDEX(PASTE_ALL,10,19)),1+(LEFT(TRIM(INDEX(PASTE_ALL,10,19)),1)="-"),999))-(RIGHT(MID(TRIM(INDEX(PASTE_ALL,10,19)),1+(LEFT(TRIM(INDEX(PASTE_ALL,10,19)),1)="-"),999),1)="%")),"0",""),"1",""),"2",""),"3",""),"4",""),"5",""),"6",""),"7",""),"8",""),"9",""),".",""),",","")=""),2,1))),1)</f>
        <v/>
      </c>
      <c r="AR59">
        <f>IFERROR(IF(ISNUMBER(INDEX(PASTE_ALL,10,20)),2,IF(TRIM(INDEX(PASTE_ALL,10,20))="",0,IF(AND(LEFT(MID(TRIM(INDEX(PASTE_ALL,10,20)),1+(LEFT(TRIM(INDEX(PASTE_ALL,10,20)),1)="-"),999),LEN(MID(TRIM(INDEX(PASTE_ALL,10,20)),1+(LEFT(TRIM(INDEX(PASTE_ALL,10,20)),1)="-"),999))-(RIGHT(MID(TRIM(INDEX(PASTE_ALL,10,20)),1+(LEFT(TRIM(INDEX(PASTE_ALL,10,20)),1)="-"),999),1)="%"))&lt;&gt;"",SUBSTITUTE(SUBSTITUTE(SUBSTITUTE(SUBSTITUTE(SUBSTITUTE(SUBSTITUTE(SUBSTITUTE(SUBSTITUTE(SUBSTITUTE(SUBSTITUTE(SUBSTITUTE(SUBSTITUTE(LEFT(MID(TRIM(INDEX(PASTE_ALL,10,20)),1+(LEFT(TRIM(INDEX(PASTE_ALL,10,20)),1)="-"),999),LEN(MID(TRIM(INDEX(PASTE_ALL,10,20)),1+(LEFT(TRIM(INDEX(PASTE_ALL,10,20)),1)="-"),999))-(RIGHT(MID(TRIM(INDEX(PASTE_ALL,10,20)),1+(LEFT(TRIM(INDEX(PASTE_ALL,10,20)),1)="-"),999),1)="%")),"0",""),"1",""),"2",""),"3",""),"4",""),"5",""),"6",""),"7",""),"8",""),"9",""),".",""),",","")=""),2,1))),1)</f>
        <v/>
      </c>
      <c r="AS59">
        <f>IFERROR(IF(ISNUMBER(INDEX(PASTE_ALL,10,21)),2,IF(TRIM(INDEX(PASTE_ALL,10,21))="",0,IF(AND(LEFT(MID(TRIM(INDEX(PASTE_ALL,10,21)),1+(LEFT(TRIM(INDEX(PASTE_ALL,10,21)),1)="-"),999),LEN(MID(TRIM(INDEX(PASTE_ALL,10,21)),1+(LEFT(TRIM(INDEX(PASTE_ALL,10,21)),1)="-"),999))-(RIGHT(MID(TRIM(INDEX(PASTE_ALL,10,21)),1+(LEFT(TRIM(INDEX(PASTE_ALL,10,21)),1)="-"),999),1)="%"))&lt;&gt;"",SUBSTITUTE(SUBSTITUTE(SUBSTITUTE(SUBSTITUTE(SUBSTITUTE(SUBSTITUTE(SUBSTITUTE(SUBSTITUTE(SUBSTITUTE(SUBSTITUTE(SUBSTITUTE(SUBSTITUTE(LEFT(MID(TRIM(INDEX(PASTE_ALL,10,21)),1+(LEFT(TRIM(INDEX(PASTE_ALL,10,21)),1)="-"),999),LEN(MID(TRIM(INDEX(PASTE_ALL,10,21)),1+(LEFT(TRIM(INDEX(PASTE_ALL,10,21)),1)="-"),999))-(RIGHT(MID(TRIM(INDEX(PASTE_ALL,10,21)),1+(LEFT(TRIM(INDEX(PASTE_ALL,10,21)),1)="-"),999),1)="%")),"0",""),"1",""),"2",""),"3",""),"4",""),"5",""),"6",""),"7",""),"8",""),"9",""),".",""),",","")=""),2,1))),1)</f>
        <v/>
      </c>
      <c r="AT59">
        <f>IFERROR(IF(ISNUMBER(INDEX(PASTE_ALL,10,22)),2,IF(TRIM(INDEX(PASTE_ALL,10,22))="",0,IF(AND(LEFT(MID(TRIM(INDEX(PASTE_ALL,10,22)),1+(LEFT(TRIM(INDEX(PASTE_ALL,10,22)),1)="-"),999),LEN(MID(TRIM(INDEX(PASTE_ALL,10,22)),1+(LEFT(TRIM(INDEX(PASTE_ALL,10,22)),1)="-"),999))-(RIGHT(MID(TRIM(INDEX(PASTE_ALL,10,22)),1+(LEFT(TRIM(INDEX(PASTE_ALL,10,22)),1)="-"),999),1)="%"))&lt;&gt;"",SUBSTITUTE(SUBSTITUTE(SUBSTITUTE(SUBSTITUTE(SUBSTITUTE(SUBSTITUTE(SUBSTITUTE(SUBSTITUTE(SUBSTITUTE(SUBSTITUTE(SUBSTITUTE(SUBSTITUTE(LEFT(MID(TRIM(INDEX(PASTE_ALL,10,22)),1+(LEFT(TRIM(INDEX(PASTE_ALL,10,22)),1)="-"),999),LEN(MID(TRIM(INDEX(PASTE_ALL,10,22)),1+(LEFT(TRIM(INDEX(PASTE_ALL,10,22)),1)="-"),999))-(RIGHT(MID(TRIM(INDEX(PASTE_ALL,10,22)),1+(LEFT(TRIM(INDEX(PASTE_ALL,10,22)),1)="-"),999),1)="%")),"0",""),"1",""),"2",""),"3",""),"4",""),"5",""),"6",""),"7",""),"8",""),"9",""),".",""),",","")=""),2,1))),1)</f>
        <v/>
      </c>
      <c r="AU59">
        <f>IFERROR(IF(ISNUMBER(INDEX(PASTE_ALL,10,23)),2,IF(TRIM(INDEX(PASTE_ALL,10,23))="",0,IF(AND(LEFT(MID(TRIM(INDEX(PASTE_ALL,10,23)),1+(LEFT(TRIM(INDEX(PASTE_ALL,10,23)),1)="-"),999),LEN(MID(TRIM(INDEX(PASTE_ALL,10,23)),1+(LEFT(TRIM(INDEX(PASTE_ALL,10,23)),1)="-"),999))-(RIGHT(MID(TRIM(INDEX(PASTE_ALL,10,23)),1+(LEFT(TRIM(INDEX(PASTE_ALL,10,23)),1)="-"),999),1)="%"))&lt;&gt;"",SUBSTITUTE(SUBSTITUTE(SUBSTITUTE(SUBSTITUTE(SUBSTITUTE(SUBSTITUTE(SUBSTITUTE(SUBSTITUTE(SUBSTITUTE(SUBSTITUTE(SUBSTITUTE(SUBSTITUTE(LEFT(MID(TRIM(INDEX(PASTE_ALL,10,23)),1+(LEFT(TRIM(INDEX(PASTE_ALL,10,23)),1)="-"),999),LEN(MID(TRIM(INDEX(PASTE_ALL,10,23)),1+(LEFT(TRIM(INDEX(PASTE_ALL,10,23)),1)="-"),999))-(RIGHT(MID(TRIM(INDEX(PASTE_ALL,10,23)),1+(LEFT(TRIM(INDEX(PASTE_ALL,10,23)),1)="-"),999),1)="%")),"0",""),"1",""),"2",""),"3",""),"4",""),"5",""),"6",""),"7",""),"8",""),"9",""),".",""),",","")=""),2,1))),1)</f>
        <v/>
      </c>
      <c r="AV59">
        <f>IFERROR(IF(ISNUMBER(INDEX(PASTE_ALL,10,24)),2,IF(TRIM(INDEX(PASTE_ALL,10,24))="",0,IF(AND(LEFT(MID(TRIM(INDEX(PASTE_ALL,10,24)),1+(LEFT(TRIM(INDEX(PASTE_ALL,10,24)),1)="-"),999),LEN(MID(TRIM(INDEX(PASTE_ALL,10,24)),1+(LEFT(TRIM(INDEX(PASTE_ALL,10,24)),1)="-"),999))-(RIGHT(MID(TRIM(INDEX(PASTE_ALL,10,24)),1+(LEFT(TRIM(INDEX(PASTE_ALL,10,24)),1)="-"),999),1)="%"))&lt;&gt;"",SUBSTITUTE(SUBSTITUTE(SUBSTITUTE(SUBSTITUTE(SUBSTITUTE(SUBSTITUTE(SUBSTITUTE(SUBSTITUTE(SUBSTITUTE(SUBSTITUTE(SUBSTITUTE(SUBSTITUTE(LEFT(MID(TRIM(INDEX(PASTE_ALL,10,24)),1+(LEFT(TRIM(INDEX(PASTE_ALL,10,24)),1)="-"),999),LEN(MID(TRIM(INDEX(PASTE_ALL,10,24)),1+(LEFT(TRIM(INDEX(PASTE_ALL,10,24)),1)="-"),999))-(RIGHT(MID(TRIM(INDEX(PASTE_ALL,10,24)),1+(LEFT(TRIM(INDEX(PASTE_ALL,10,24)),1)="-"),999),1)="%")),"0",""),"1",""),"2",""),"3",""),"4",""),"5",""),"6",""),"7",""),"8",""),"9",""),".",""),",","")=""),2,1))),1)</f>
        <v/>
      </c>
      <c r="AW59">
        <f>IFERROR(IF(ISNUMBER(INDEX(PASTE_ALL,10,25)),2,IF(TRIM(INDEX(PASTE_ALL,10,25))="",0,IF(AND(LEFT(MID(TRIM(INDEX(PASTE_ALL,10,25)),1+(LEFT(TRIM(INDEX(PASTE_ALL,10,25)),1)="-"),999),LEN(MID(TRIM(INDEX(PASTE_ALL,10,25)),1+(LEFT(TRIM(INDEX(PASTE_ALL,10,25)),1)="-"),999))-(RIGHT(MID(TRIM(INDEX(PASTE_ALL,10,25)),1+(LEFT(TRIM(INDEX(PASTE_ALL,10,25)),1)="-"),999),1)="%"))&lt;&gt;"",SUBSTITUTE(SUBSTITUTE(SUBSTITUTE(SUBSTITUTE(SUBSTITUTE(SUBSTITUTE(SUBSTITUTE(SUBSTITUTE(SUBSTITUTE(SUBSTITUTE(SUBSTITUTE(SUBSTITUTE(LEFT(MID(TRIM(INDEX(PASTE_ALL,10,25)),1+(LEFT(TRIM(INDEX(PASTE_ALL,10,25)),1)="-"),999),LEN(MID(TRIM(INDEX(PASTE_ALL,10,25)),1+(LEFT(TRIM(INDEX(PASTE_ALL,10,25)),1)="-"),999))-(RIGHT(MID(TRIM(INDEX(PASTE_ALL,10,25)),1+(LEFT(TRIM(INDEX(PASTE_ALL,10,25)),1)="-"),999),1)="%")),"0",""),"1",""),"2",""),"3",""),"4",""),"5",""),"6",""),"7",""),"8",""),"9",""),".",""),",","")=""),2,1))),1)</f>
        <v/>
      </c>
      <c r="AX59">
        <f>IFERROR(IF(ISNUMBER(INDEX(PASTE_ALL,10,26)),2,IF(TRIM(INDEX(PASTE_ALL,10,26))="",0,IF(AND(LEFT(MID(TRIM(INDEX(PASTE_ALL,10,26)),1+(LEFT(TRIM(INDEX(PASTE_ALL,10,26)),1)="-"),999),LEN(MID(TRIM(INDEX(PASTE_ALL,10,26)),1+(LEFT(TRIM(INDEX(PASTE_ALL,10,26)),1)="-"),999))-(RIGHT(MID(TRIM(INDEX(PASTE_ALL,10,26)),1+(LEFT(TRIM(INDEX(PASTE_ALL,10,26)),1)="-"),999),1)="%"))&lt;&gt;"",SUBSTITUTE(SUBSTITUTE(SUBSTITUTE(SUBSTITUTE(SUBSTITUTE(SUBSTITUTE(SUBSTITUTE(SUBSTITUTE(SUBSTITUTE(SUBSTITUTE(SUBSTITUTE(SUBSTITUTE(LEFT(MID(TRIM(INDEX(PASTE_ALL,10,26)),1+(LEFT(TRIM(INDEX(PASTE_ALL,10,26)),1)="-"),999),LEN(MID(TRIM(INDEX(PASTE_ALL,10,26)),1+(LEFT(TRIM(INDEX(PASTE_ALL,10,26)),1)="-"),999))-(RIGHT(MID(TRIM(INDEX(PASTE_ALL,10,26)),1+(LEFT(TRIM(INDEX(PASTE_ALL,10,26)),1)="-"),999),1)="%")),"0",""),"1",""),"2",""),"3",""),"4",""),"5",""),"6",""),"7",""),"8",""),"9",""),".",""),",","")=""),2,1))),1)</f>
        <v/>
      </c>
      <c r="AY59">
        <f>IFERROR(IF(ISNUMBER(INDEX(PASTE_ALL,10,27)),2,IF(TRIM(INDEX(PASTE_ALL,10,27))="",0,IF(AND(LEFT(MID(TRIM(INDEX(PASTE_ALL,10,27)),1+(LEFT(TRIM(INDEX(PASTE_ALL,10,27)),1)="-"),999),LEN(MID(TRIM(INDEX(PASTE_ALL,10,27)),1+(LEFT(TRIM(INDEX(PASTE_ALL,10,27)),1)="-"),999))-(RIGHT(MID(TRIM(INDEX(PASTE_ALL,10,27)),1+(LEFT(TRIM(INDEX(PASTE_ALL,10,27)),1)="-"),999),1)="%"))&lt;&gt;"",SUBSTITUTE(SUBSTITUTE(SUBSTITUTE(SUBSTITUTE(SUBSTITUTE(SUBSTITUTE(SUBSTITUTE(SUBSTITUTE(SUBSTITUTE(SUBSTITUTE(SUBSTITUTE(SUBSTITUTE(LEFT(MID(TRIM(INDEX(PASTE_ALL,10,27)),1+(LEFT(TRIM(INDEX(PASTE_ALL,10,27)),1)="-"),999),LEN(MID(TRIM(INDEX(PASTE_ALL,10,27)),1+(LEFT(TRIM(INDEX(PASTE_ALL,10,27)),1)="-"),999))-(RIGHT(MID(TRIM(INDEX(PASTE_ALL,10,27)),1+(LEFT(TRIM(INDEX(PASTE_ALL,10,27)),1)="-"),999),1)="%")),"0",""),"1",""),"2",""),"3",""),"4",""),"5",""),"6",""),"7",""),"8",""),"9",""),".",""),",","")=""),2,1))),1)</f>
        <v/>
      </c>
      <c r="AZ59">
        <f>IFERROR(IF(ISNUMBER(INDEX(PASTE_ALL,10,28)),2,IF(TRIM(INDEX(PASTE_ALL,10,28))="",0,IF(AND(LEFT(MID(TRIM(INDEX(PASTE_ALL,10,28)),1+(LEFT(TRIM(INDEX(PASTE_ALL,10,28)),1)="-"),999),LEN(MID(TRIM(INDEX(PASTE_ALL,10,28)),1+(LEFT(TRIM(INDEX(PASTE_ALL,10,28)),1)="-"),999))-(RIGHT(MID(TRIM(INDEX(PASTE_ALL,10,28)),1+(LEFT(TRIM(INDEX(PASTE_ALL,10,28)),1)="-"),999),1)="%"))&lt;&gt;"",SUBSTITUTE(SUBSTITUTE(SUBSTITUTE(SUBSTITUTE(SUBSTITUTE(SUBSTITUTE(SUBSTITUTE(SUBSTITUTE(SUBSTITUTE(SUBSTITUTE(SUBSTITUTE(SUBSTITUTE(LEFT(MID(TRIM(INDEX(PASTE_ALL,10,28)),1+(LEFT(TRIM(INDEX(PASTE_ALL,10,28)),1)="-"),999),LEN(MID(TRIM(INDEX(PASTE_ALL,10,28)),1+(LEFT(TRIM(INDEX(PASTE_ALL,10,28)),1)="-"),999))-(RIGHT(MID(TRIM(INDEX(PASTE_ALL,10,28)),1+(LEFT(TRIM(INDEX(PASTE_ALL,10,28)),1)="-"),999),1)="%")),"0",""),"1",""),"2",""),"3",""),"4",""),"5",""),"6",""),"7",""),"8",""),"9",""),".",""),",","")=""),2,1))),1)</f>
        <v/>
      </c>
      <c r="BA59">
        <f>IFERROR(IF(ISNUMBER(INDEX(PASTE_ALL,10,29)),2,IF(TRIM(INDEX(PASTE_ALL,10,29))="",0,IF(AND(LEFT(MID(TRIM(INDEX(PASTE_ALL,10,29)),1+(LEFT(TRIM(INDEX(PASTE_ALL,10,29)),1)="-"),999),LEN(MID(TRIM(INDEX(PASTE_ALL,10,29)),1+(LEFT(TRIM(INDEX(PASTE_ALL,10,29)),1)="-"),999))-(RIGHT(MID(TRIM(INDEX(PASTE_ALL,10,29)),1+(LEFT(TRIM(INDEX(PASTE_ALL,10,29)),1)="-"),999),1)="%"))&lt;&gt;"",SUBSTITUTE(SUBSTITUTE(SUBSTITUTE(SUBSTITUTE(SUBSTITUTE(SUBSTITUTE(SUBSTITUTE(SUBSTITUTE(SUBSTITUTE(SUBSTITUTE(SUBSTITUTE(SUBSTITUTE(LEFT(MID(TRIM(INDEX(PASTE_ALL,10,29)),1+(LEFT(TRIM(INDEX(PASTE_ALL,10,29)),1)="-"),999),LEN(MID(TRIM(INDEX(PASTE_ALL,10,29)),1+(LEFT(TRIM(INDEX(PASTE_ALL,10,29)),1)="-"),999))-(RIGHT(MID(TRIM(INDEX(PASTE_ALL,10,29)),1+(LEFT(TRIM(INDEX(PASTE_ALL,10,29)),1)="-"),999),1)="%")),"0",""),"1",""),"2",""),"3",""),"4",""),"5",""),"6",""),"7",""),"8",""),"9",""),".",""),",","")=""),2,1))),1)</f>
        <v/>
      </c>
      <c r="BB59">
        <f>IFERROR(IF(ISNUMBER(INDEX(PASTE_ALL,10,30)),2,IF(TRIM(INDEX(PASTE_ALL,10,30))="",0,IF(AND(LEFT(MID(TRIM(INDEX(PASTE_ALL,10,30)),1+(LEFT(TRIM(INDEX(PASTE_ALL,10,30)),1)="-"),999),LEN(MID(TRIM(INDEX(PASTE_ALL,10,30)),1+(LEFT(TRIM(INDEX(PASTE_ALL,10,30)),1)="-"),999))-(RIGHT(MID(TRIM(INDEX(PASTE_ALL,10,30)),1+(LEFT(TRIM(INDEX(PASTE_ALL,10,30)),1)="-"),999),1)="%"))&lt;&gt;"",SUBSTITUTE(SUBSTITUTE(SUBSTITUTE(SUBSTITUTE(SUBSTITUTE(SUBSTITUTE(SUBSTITUTE(SUBSTITUTE(SUBSTITUTE(SUBSTITUTE(SUBSTITUTE(SUBSTITUTE(LEFT(MID(TRIM(INDEX(PASTE_ALL,10,30)),1+(LEFT(TRIM(INDEX(PASTE_ALL,10,30)),1)="-"),999),LEN(MID(TRIM(INDEX(PASTE_ALL,10,30)),1+(LEFT(TRIM(INDEX(PASTE_ALL,10,30)),1)="-"),999))-(RIGHT(MID(TRIM(INDEX(PASTE_ALL,10,30)),1+(LEFT(TRIM(INDEX(PASTE_ALL,10,30)),1)="-"),999),1)="%")),"0",""),"1",""),"2",""),"3",""),"4",""),"5",""),"6",""),"7",""),"8",""),"9",""),".",""),",","")=""),2,1))),1)</f>
        <v/>
      </c>
      <c r="BC59">
        <f>IFERROR(IF(ISNUMBER(INDEX(PASTE_ALL,10,31)),2,IF(TRIM(INDEX(PASTE_ALL,10,31))="",0,IF(AND(LEFT(MID(TRIM(INDEX(PASTE_ALL,10,31)),1+(LEFT(TRIM(INDEX(PASTE_ALL,10,31)),1)="-"),999),LEN(MID(TRIM(INDEX(PASTE_ALL,10,31)),1+(LEFT(TRIM(INDEX(PASTE_ALL,10,31)),1)="-"),999))-(RIGHT(MID(TRIM(INDEX(PASTE_ALL,10,31)),1+(LEFT(TRIM(INDEX(PASTE_ALL,10,31)),1)="-"),999),1)="%"))&lt;&gt;"",SUBSTITUTE(SUBSTITUTE(SUBSTITUTE(SUBSTITUTE(SUBSTITUTE(SUBSTITUTE(SUBSTITUTE(SUBSTITUTE(SUBSTITUTE(SUBSTITUTE(SUBSTITUTE(SUBSTITUTE(LEFT(MID(TRIM(INDEX(PASTE_ALL,10,31)),1+(LEFT(TRIM(INDEX(PASTE_ALL,10,31)),1)="-"),999),LEN(MID(TRIM(INDEX(PASTE_ALL,10,31)),1+(LEFT(TRIM(INDEX(PASTE_ALL,10,31)),1)="-"),999))-(RIGHT(MID(TRIM(INDEX(PASTE_ALL,10,31)),1+(LEFT(TRIM(INDEX(PASTE_ALL,10,31)),1)="-"),999),1)="%")),"0",""),"1",""),"2",""),"3",""),"4",""),"5",""),"6",""),"7",""),"8",""),"9",""),".",""),",","")=""),2,1))),1)</f>
        <v/>
      </c>
      <c r="BD59">
        <f>IFERROR(IF(ISNUMBER(INDEX(PASTE_ALL,10,32)),2,IF(TRIM(INDEX(PASTE_ALL,10,32))="",0,IF(AND(LEFT(MID(TRIM(INDEX(PASTE_ALL,10,32)),1+(LEFT(TRIM(INDEX(PASTE_ALL,10,32)),1)="-"),999),LEN(MID(TRIM(INDEX(PASTE_ALL,10,32)),1+(LEFT(TRIM(INDEX(PASTE_ALL,10,32)),1)="-"),999))-(RIGHT(MID(TRIM(INDEX(PASTE_ALL,10,32)),1+(LEFT(TRIM(INDEX(PASTE_ALL,10,32)),1)="-"),999),1)="%"))&lt;&gt;"",SUBSTITUTE(SUBSTITUTE(SUBSTITUTE(SUBSTITUTE(SUBSTITUTE(SUBSTITUTE(SUBSTITUTE(SUBSTITUTE(SUBSTITUTE(SUBSTITUTE(SUBSTITUTE(SUBSTITUTE(LEFT(MID(TRIM(INDEX(PASTE_ALL,10,32)),1+(LEFT(TRIM(INDEX(PASTE_ALL,10,32)),1)="-"),999),LEN(MID(TRIM(INDEX(PASTE_ALL,10,32)),1+(LEFT(TRIM(INDEX(PASTE_ALL,10,32)),1)="-"),999))-(RIGHT(MID(TRIM(INDEX(PASTE_ALL,10,32)),1+(LEFT(TRIM(INDEX(PASTE_ALL,10,32)),1)="-"),999),1)="%")),"0",""),"1",""),"2",""),"3",""),"4",""),"5",""),"6",""),"7",""),"8",""),"9",""),".",""),",","")=""),2,1))),1)</f>
        <v/>
      </c>
      <c r="BE59">
        <f>IFERROR(IF(ISNUMBER(INDEX(PASTE_ALL,10,33)),2,IF(TRIM(INDEX(PASTE_ALL,10,33))="",0,IF(AND(LEFT(MID(TRIM(INDEX(PASTE_ALL,10,33)),1+(LEFT(TRIM(INDEX(PASTE_ALL,10,33)),1)="-"),999),LEN(MID(TRIM(INDEX(PASTE_ALL,10,33)),1+(LEFT(TRIM(INDEX(PASTE_ALL,10,33)),1)="-"),999))-(RIGHT(MID(TRIM(INDEX(PASTE_ALL,10,33)),1+(LEFT(TRIM(INDEX(PASTE_ALL,10,33)),1)="-"),999),1)="%"))&lt;&gt;"",SUBSTITUTE(SUBSTITUTE(SUBSTITUTE(SUBSTITUTE(SUBSTITUTE(SUBSTITUTE(SUBSTITUTE(SUBSTITUTE(SUBSTITUTE(SUBSTITUTE(SUBSTITUTE(SUBSTITUTE(LEFT(MID(TRIM(INDEX(PASTE_ALL,10,33)),1+(LEFT(TRIM(INDEX(PASTE_ALL,10,33)),1)="-"),999),LEN(MID(TRIM(INDEX(PASTE_ALL,10,33)),1+(LEFT(TRIM(INDEX(PASTE_ALL,10,33)),1)="-"),999))-(RIGHT(MID(TRIM(INDEX(PASTE_ALL,10,33)),1+(LEFT(TRIM(INDEX(PASTE_ALL,10,33)),1)="-"),999),1)="%")),"0",""),"1",""),"2",""),"3",""),"4",""),"5",""),"6",""),"7",""),"8",""),"9",""),".",""),",","")=""),2,1))),1)</f>
        <v/>
      </c>
      <c r="BF59">
        <f>IFERROR(IF(ISNUMBER(INDEX(PASTE_ALL,10,34)),2,IF(TRIM(INDEX(PASTE_ALL,10,34))="",0,IF(AND(LEFT(MID(TRIM(INDEX(PASTE_ALL,10,34)),1+(LEFT(TRIM(INDEX(PASTE_ALL,10,34)),1)="-"),999),LEN(MID(TRIM(INDEX(PASTE_ALL,10,34)),1+(LEFT(TRIM(INDEX(PASTE_ALL,10,34)),1)="-"),999))-(RIGHT(MID(TRIM(INDEX(PASTE_ALL,10,34)),1+(LEFT(TRIM(INDEX(PASTE_ALL,10,34)),1)="-"),999),1)="%"))&lt;&gt;"",SUBSTITUTE(SUBSTITUTE(SUBSTITUTE(SUBSTITUTE(SUBSTITUTE(SUBSTITUTE(SUBSTITUTE(SUBSTITUTE(SUBSTITUTE(SUBSTITUTE(SUBSTITUTE(SUBSTITUTE(LEFT(MID(TRIM(INDEX(PASTE_ALL,10,34)),1+(LEFT(TRIM(INDEX(PASTE_ALL,10,34)),1)="-"),999),LEN(MID(TRIM(INDEX(PASTE_ALL,10,34)),1+(LEFT(TRIM(INDEX(PASTE_ALL,10,34)),1)="-"),999))-(RIGHT(MID(TRIM(INDEX(PASTE_ALL,10,34)),1+(LEFT(TRIM(INDEX(PASTE_ALL,10,34)),1)="-"),999),1)="%")),"0",""),"1",""),"2",""),"3",""),"4",""),"5",""),"6",""),"7",""),"8",""),"9",""),".",""),",","")=""),2,1))),1)</f>
        <v/>
      </c>
      <c r="BG59">
        <f>IFERROR(IF(ISNUMBER(INDEX(PASTE_ALL,10,35)),2,IF(TRIM(INDEX(PASTE_ALL,10,35))="",0,IF(AND(LEFT(MID(TRIM(INDEX(PASTE_ALL,10,35)),1+(LEFT(TRIM(INDEX(PASTE_ALL,10,35)),1)="-"),999),LEN(MID(TRIM(INDEX(PASTE_ALL,10,35)),1+(LEFT(TRIM(INDEX(PASTE_ALL,10,35)),1)="-"),999))-(RIGHT(MID(TRIM(INDEX(PASTE_ALL,10,35)),1+(LEFT(TRIM(INDEX(PASTE_ALL,10,35)),1)="-"),999),1)="%"))&lt;&gt;"",SUBSTITUTE(SUBSTITUTE(SUBSTITUTE(SUBSTITUTE(SUBSTITUTE(SUBSTITUTE(SUBSTITUTE(SUBSTITUTE(SUBSTITUTE(SUBSTITUTE(SUBSTITUTE(SUBSTITUTE(LEFT(MID(TRIM(INDEX(PASTE_ALL,10,35)),1+(LEFT(TRIM(INDEX(PASTE_ALL,10,35)),1)="-"),999),LEN(MID(TRIM(INDEX(PASTE_ALL,10,35)),1+(LEFT(TRIM(INDEX(PASTE_ALL,10,35)),1)="-"),999))-(RIGHT(MID(TRIM(INDEX(PASTE_ALL,10,35)),1+(LEFT(TRIM(INDEX(PASTE_ALL,10,35)),1)="-"),999),1)="%")),"0",""),"1",""),"2",""),"3",""),"4",""),"5",""),"6",""),"7",""),"8",""),"9",""),".",""),",","")=""),2,1))),1)</f>
        <v/>
      </c>
      <c r="BH59">
        <f>IFERROR(IF(ISNUMBER(INDEX(PASTE_ALL,10,36)),2,IF(TRIM(INDEX(PASTE_ALL,10,36))="",0,IF(AND(LEFT(MID(TRIM(INDEX(PASTE_ALL,10,36)),1+(LEFT(TRIM(INDEX(PASTE_ALL,10,36)),1)="-"),999),LEN(MID(TRIM(INDEX(PASTE_ALL,10,36)),1+(LEFT(TRIM(INDEX(PASTE_ALL,10,36)),1)="-"),999))-(RIGHT(MID(TRIM(INDEX(PASTE_ALL,10,36)),1+(LEFT(TRIM(INDEX(PASTE_ALL,10,36)),1)="-"),999),1)="%"))&lt;&gt;"",SUBSTITUTE(SUBSTITUTE(SUBSTITUTE(SUBSTITUTE(SUBSTITUTE(SUBSTITUTE(SUBSTITUTE(SUBSTITUTE(SUBSTITUTE(SUBSTITUTE(SUBSTITUTE(SUBSTITUTE(LEFT(MID(TRIM(INDEX(PASTE_ALL,10,36)),1+(LEFT(TRIM(INDEX(PASTE_ALL,10,36)),1)="-"),999),LEN(MID(TRIM(INDEX(PASTE_ALL,10,36)),1+(LEFT(TRIM(INDEX(PASTE_ALL,10,36)),1)="-"),999))-(RIGHT(MID(TRIM(INDEX(PASTE_ALL,10,36)),1+(LEFT(TRIM(INDEX(PASTE_ALL,10,36)),1)="-"),999),1)="%")),"0",""),"1",""),"2",""),"3",""),"4",""),"5",""),"6",""),"7",""),"8",""),"9",""),".",""),",","")=""),2,1))),1)</f>
        <v/>
      </c>
      <c r="BI59">
        <f>IFERROR(IF(ISNUMBER(INDEX(PASTE_ALL,10,37)),2,IF(TRIM(INDEX(PASTE_ALL,10,37))="",0,IF(AND(LEFT(MID(TRIM(INDEX(PASTE_ALL,10,37)),1+(LEFT(TRIM(INDEX(PASTE_ALL,10,37)),1)="-"),999),LEN(MID(TRIM(INDEX(PASTE_ALL,10,37)),1+(LEFT(TRIM(INDEX(PASTE_ALL,10,37)),1)="-"),999))-(RIGHT(MID(TRIM(INDEX(PASTE_ALL,10,37)),1+(LEFT(TRIM(INDEX(PASTE_ALL,10,37)),1)="-"),999),1)="%"))&lt;&gt;"",SUBSTITUTE(SUBSTITUTE(SUBSTITUTE(SUBSTITUTE(SUBSTITUTE(SUBSTITUTE(SUBSTITUTE(SUBSTITUTE(SUBSTITUTE(SUBSTITUTE(SUBSTITUTE(SUBSTITUTE(LEFT(MID(TRIM(INDEX(PASTE_ALL,10,37)),1+(LEFT(TRIM(INDEX(PASTE_ALL,10,37)),1)="-"),999),LEN(MID(TRIM(INDEX(PASTE_ALL,10,37)),1+(LEFT(TRIM(INDEX(PASTE_ALL,10,37)),1)="-"),999))-(RIGHT(MID(TRIM(INDEX(PASTE_ALL,10,37)),1+(LEFT(TRIM(INDEX(PASTE_ALL,10,37)),1)="-"),999),1)="%")),"0",""),"1",""),"2",""),"3",""),"4",""),"5",""),"6",""),"7",""),"8",""),"9",""),".",""),",","")=""),2,1))),1)</f>
        <v/>
      </c>
      <c r="BJ59">
        <f>IFERROR(IF(ISNUMBER(INDEX(PASTE_ALL,10,38)),2,IF(TRIM(INDEX(PASTE_ALL,10,38))="",0,IF(AND(LEFT(MID(TRIM(INDEX(PASTE_ALL,10,38)),1+(LEFT(TRIM(INDEX(PASTE_ALL,10,38)),1)="-"),999),LEN(MID(TRIM(INDEX(PASTE_ALL,10,38)),1+(LEFT(TRIM(INDEX(PASTE_ALL,10,38)),1)="-"),999))-(RIGHT(MID(TRIM(INDEX(PASTE_ALL,10,38)),1+(LEFT(TRIM(INDEX(PASTE_ALL,10,38)),1)="-"),999),1)="%"))&lt;&gt;"",SUBSTITUTE(SUBSTITUTE(SUBSTITUTE(SUBSTITUTE(SUBSTITUTE(SUBSTITUTE(SUBSTITUTE(SUBSTITUTE(SUBSTITUTE(SUBSTITUTE(SUBSTITUTE(SUBSTITUTE(LEFT(MID(TRIM(INDEX(PASTE_ALL,10,38)),1+(LEFT(TRIM(INDEX(PASTE_ALL,10,38)),1)="-"),999),LEN(MID(TRIM(INDEX(PASTE_ALL,10,38)),1+(LEFT(TRIM(INDEX(PASTE_ALL,10,38)),1)="-"),999))-(RIGHT(MID(TRIM(INDEX(PASTE_ALL,10,38)),1+(LEFT(TRIM(INDEX(PASTE_ALL,10,38)),1)="-"),999),1)="%")),"0",""),"1",""),"2",""),"3",""),"4",""),"5",""),"6",""),"7",""),"8",""),"9",""),".",""),",","")=""),2,1))),1)</f>
        <v/>
      </c>
      <c r="BK59">
        <f>IFERROR(IF(ISNUMBER(INDEX(PASTE_ALL,10,39)),2,IF(TRIM(INDEX(PASTE_ALL,10,39))="",0,IF(AND(LEFT(MID(TRIM(INDEX(PASTE_ALL,10,39)),1+(LEFT(TRIM(INDEX(PASTE_ALL,10,39)),1)="-"),999),LEN(MID(TRIM(INDEX(PASTE_ALL,10,39)),1+(LEFT(TRIM(INDEX(PASTE_ALL,10,39)),1)="-"),999))-(RIGHT(MID(TRIM(INDEX(PASTE_ALL,10,39)),1+(LEFT(TRIM(INDEX(PASTE_ALL,10,39)),1)="-"),999),1)="%"))&lt;&gt;"",SUBSTITUTE(SUBSTITUTE(SUBSTITUTE(SUBSTITUTE(SUBSTITUTE(SUBSTITUTE(SUBSTITUTE(SUBSTITUTE(SUBSTITUTE(SUBSTITUTE(SUBSTITUTE(SUBSTITUTE(LEFT(MID(TRIM(INDEX(PASTE_ALL,10,39)),1+(LEFT(TRIM(INDEX(PASTE_ALL,10,39)),1)="-"),999),LEN(MID(TRIM(INDEX(PASTE_ALL,10,39)),1+(LEFT(TRIM(INDEX(PASTE_ALL,10,39)),1)="-"),999))-(RIGHT(MID(TRIM(INDEX(PASTE_ALL,10,39)),1+(LEFT(TRIM(INDEX(PASTE_ALL,10,39)),1)="-"),999),1)="%")),"0",""),"1",""),"2",""),"3",""),"4",""),"5",""),"6",""),"7",""),"8",""),"9",""),".",""),",","")=""),2,1))),1)</f>
        <v/>
      </c>
      <c r="BL59">
        <f>IFERROR(IF(ISNUMBER(INDEX(PASTE_ALL,10,40)),2,IF(TRIM(INDEX(PASTE_ALL,10,40))="",0,IF(AND(LEFT(MID(TRIM(INDEX(PASTE_ALL,10,40)),1+(LEFT(TRIM(INDEX(PASTE_ALL,10,40)),1)="-"),999),LEN(MID(TRIM(INDEX(PASTE_ALL,10,40)),1+(LEFT(TRIM(INDEX(PASTE_ALL,10,40)),1)="-"),999))-(RIGHT(MID(TRIM(INDEX(PASTE_ALL,10,40)),1+(LEFT(TRIM(INDEX(PASTE_ALL,10,40)),1)="-"),999),1)="%"))&lt;&gt;"",SUBSTITUTE(SUBSTITUTE(SUBSTITUTE(SUBSTITUTE(SUBSTITUTE(SUBSTITUTE(SUBSTITUTE(SUBSTITUTE(SUBSTITUTE(SUBSTITUTE(SUBSTITUTE(SUBSTITUTE(LEFT(MID(TRIM(INDEX(PASTE_ALL,10,40)),1+(LEFT(TRIM(INDEX(PASTE_ALL,10,40)),1)="-"),999),LEN(MID(TRIM(INDEX(PASTE_ALL,10,40)),1+(LEFT(TRIM(INDEX(PASTE_ALL,10,40)),1)="-"),999))-(RIGHT(MID(TRIM(INDEX(PASTE_ALL,10,40)),1+(LEFT(TRIM(INDEX(PASTE_ALL,10,40)),1)="-"),999),1)="%")),"0",""),"1",""),"2",""),"3",""),"4",""),"5",""),"6",""),"7",""),"8",""),"9",""),".",""),",","")=""),2,1))),1)</f>
        <v/>
      </c>
      <c r="BM59">
        <f>IFERROR(IF(ISNUMBER(INDEX(PASTE_ALL,10,41)),2,IF(TRIM(INDEX(PASTE_ALL,10,41))="",0,IF(AND(LEFT(MID(TRIM(INDEX(PASTE_ALL,10,41)),1+(LEFT(TRIM(INDEX(PASTE_ALL,10,41)),1)="-"),999),LEN(MID(TRIM(INDEX(PASTE_ALL,10,41)),1+(LEFT(TRIM(INDEX(PASTE_ALL,10,41)),1)="-"),999))-(RIGHT(MID(TRIM(INDEX(PASTE_ALL,10,41)),1+(LEFT(TRIM(INDEX(PASTE_ALL,10,41)),1)="-"),999),1)="%"))&lt;&gt;"",SUBSTITUTE(SUBSTITUTE(SUBSTITUTE(SUBSTITUTE(SUBSTITUTE(SUBSTITUTE(SUBSTITUTE(SUBSTITUTE(SUBSTITUTE(SUBSTITUTE(SUBSTITUTE(SUBSTITUTE(LEFT(MID(TRIM(INDEX(PASTE_ALL,10,41)),1+(LEFT(TRIM(INDEX(PASTE_ALL,10,41)),1)="-"),999),LEN(MID(TRIM(INDEX(PASTE_ALL,10,41)),1+(LEFT(TRIM(INDEX(PASTE_ALL,10,41)),1)="-"),999))-(RIGHT(MID(TRIM(INDEX(PASTE_ALL,10,41)),1+(LEFT(TRIM(INDEX(PASTE_ALL,10,41)),1)="-"),999),1)="%")),"0",""),"1",""),"2",""),"3",""),"4",""),"5",""),"6",""),"7",""),"8",""),"9",""),".",""),",","")=""),2,1))),1)</f>
        <v/>
      </c>
      <c r="BN59">
        <f>IFERROR(IF(ISNUMBER(INDEX(PASTE_ALL,10,42)),2,IF(TRIM(INDEX(PASTE_ALL,10,42))="",0,IF(AND(LEFT(MID(TRIM(INDEX(PASTE_ALL,10,42)),1+(LEFT(TRIM(INDEX(PASTE_ALL,10,42)),1)="-"),999),LEN(MID(TRIM(INDEX(PASTE_ALL,10,42)),1+(LEFT(TRIM(INDEX(PASTE_ALL,10,42)),1)="-"),999))-(RIGHT(MID(TRIM(INDEX(PASTE_ALL,10,42)),1+(LEFT(TRIM(INDEX(PASTE_ALL,10,42)),1)="-"),999),1)="%"))&lt;&gt;"",SUBSTITUTE(SUBSTITUTE(SUBSTITUTE(SUBSTITUTE(SUBSTITUTE(SUBSTITUTE(SUBSTITUTE(SUBSTITUTE(SUBSTITUTE(SUBSTITUTE(SUBSTITUTE(SUBSTITUTE(LEFT(MID(TRIM(INDEX(PASTE_ALL,10,42)),1+(LEFT(TRIM(INDEX(PASTE_ALL,10,42)),1)="-"),999),LEN(MID(TRIM(INDEX(PASTE_ALL,10,42)),1+(LEFT(TRIM(INDEX(PASTE_ALL,10,42)),1)="-"),999))-(RIGHT(MID(TRIM(INDEX(PASTE_ALL,10,42)),1+(LEFT(TRIM(INDEX(PASTE_ALL,10,42)),1)="-"),999),1)="%")),"0",""),"1",""),"2",""),"3",""),"4",""),"5",""),"6",""),"7",""),"8",""),"9",""),".",""),",","")=""),2,1))),1)</f>
        <v/>
      </c>
      <c r="BO59">
        <f>IFERROR(IF(ISNUMBER(INDEX(PASTE_ALL,10,43)),2,IF(TRIM(INDEX(PASTE_ALL,10,43))="",0,IF(AND(LEFT(MID(TRIM(INDEX(PASTE_ALL,10,43)),1+(LEFT(TRIM(INDEX(PASTE_ALL,10,43)),1)="-"),999),LEN(MID(TRIM(INDEX(PASTE_ALL,10,43)),1+(LEFT(TRIM(INDEX(PASTE_ALL,10,43)),1)="-"),999))-(RIGHT(MID(TRIM(INDEX(PASTE_ALL,10,43)),1+(LEFT(TRIM(INDEX(PASTE_ALL,10,43)),1)="-"),999),1)="%"))&lt;&gt;"",SUBSTITUTE(SUBSTITUTE(SUBSTITUTE(SUBSTITUTE(SUBSTITUTE(SUBSTITUTE(SUBSTITUTE(SUBSTITUTE(SUBSTITUTE(SUBSTITUTE(SUBSTITUTE(SUBSTITUTE(LEFT(MID(TRIM(INDEX(PASTE_ALL,10,43)),1+(LEFT(TRIM(INDEX(PASTE_ALL,10,43)),1)="-"),999),LEN(MID(TRIM(INDEX(PASTE_ALL,10,43)),1+(LEFT(TRIM(INDEX(PASTE_ALL,10,43)),1)="-"),999))-(RIGHT(MID(TRIM(INDEX(PASTE_ALL,10,43)),1+(LEFT(TRIM(INDEX(PASTE_ALL,10,43)),1)="-"),999),1)="%")),"0",""),"1",""),"2",""),"3",""),"4",""),"5",""),"6",""),"7",""),"8",""),"9",""),".",""),",","")=""),2,1))),1)</f>
        <v/>
      </c>
      <c r="BP59">
        <f>IFERROR(IF(ISNUMBER(INDEX(PASTE_ALL,10,44)),2,IF(TRIM(INDEX(PASTE_ALL,10,44))="",0,IF(AND(LEFT(MID(TRIM(INDEX(PASTE_ALL,10,44)),1+(LEFT(TRIM(INDEX(PASTE_ALL,10,44)),1)="-"),999),LEN(MID(TRIM(INDEX(PASTE_ALL,10,44)),1+(LEFT(TRIM(INDEX(PASTE_ALL,10,44)),1)="-"),999))-(RIGHT(MID(TRIM(INDEX(PASTE_ALL,10,44)),1+(LEFT(TRIM(INDEX(PASTE_ALL,10,44)),1)="-"),999),1)="%"))&lt;&gt;"",SUBSTITUTE(SUBSTITUTE(SUBSTITUTE(SUBSTITUTE(SUBSTITUTE(SUBSTITUTE(SUBSTITUTE(SUBSTITUTE(SUBSTITUTE(SUBSTITUTE(SUBSTITUTE(SUBSTITUTE(LEFT(MID(TRIM(INDEX(PASTE_ALL,10,44)),1+(LEFT(TRIM(INDEX(PASTE_ALL,10,44)),1)="-"),999),LEN(MID(TRIM(INDEX(PASTE_ALL,10,44)),1+(LEFT(TRIM(INDEX(PASTE_ALL,10,44)),1)="-"),999))-(RIGHT(MID(TRIM(INDEX(PASTE_ALL,10,44)),1+(LEFT(TRIM(INDEX(PASTE_ALL,10,44)),1)="-"),999),1)="%")),"0",""),"1",""),"2",""),"3",""),"4",""),"5",""),"6",""),"7",""),"8",""),"9",""),".",""),",","")=""),2,1))),1)</f>
        <v/>
      </c>
      <c r="BQ59">
        <f>IFERROR(IF(ISNUMBER(INDEX(PASTE_ALL,10,45)),2,IF(TRIM(INDEX(PASTE_ALL,10,45))="",0,IF(AND(LEFT(MID(TRIM(INDEX(PASTE_ALL,10,45)),1+(LEFT(TRIM(INDEX(PASTE_ALL,10,45)),1)="-"),999),LEN(MID(TRIM(INDEX(PASTE_ALL,10,45)),1+(LEFT(TRIM(INDEX(PASTE_ALL,10,45)),1)="-"),999))-(RIGHT(MID(TRIM(INDEX(PASTE_ALL,10,45)),1+(LEFT(TRIM(INDEX(PASTE_ALL,10,45)),1)="-"),999),1)="%"))&lt;&gt;"",SUBSTITUTE(SUBSTITUTE(SUBSTITUTE(SUBSTITUTE(SUBSTITUTE(SUBSTITUTE(SUBSTITUTE(SUBSTITUTE(SUBSTITUTE(SUBSTITUTE(SUBSTITUTE(SUBSTITUTE(LEFT(MID(TRIM(INDEX(PASTE_ALL,10,45)),1+(LEFT(TRIM(INDEX(PASTE_ALL,10,45)),1)="-"),999),LEN(MID(TRIM(INDEX(PASTE_ALL,10,45)),1+(LEFT(TRIM(INDEX(PASTE_ALL,10,45)),1)="-"),999))-(RIGHT(MID(TRIM(INDEX(PASTE_ALL,10,45)),1+(LEFT(TRIM(INDEX(PASTE_ALL,10,45)),1)="-"),999),1)="%")),"0",""),"1",""),"2",""),"3",""),"4",""),"5",""),"6",""),"7",""),"8",""),"9",""),".",""),",","")=""),2,1))),1)</f>
        <v/>
      </c>
      <c r="BR59">
        <f>IFERROR(IF(ISNUMBER(INDEX(PASTE_ALL,10,46)),2,IF(TRIM(INDEX(PASTE_ALL,10,46))="",0,IF(AND(LEFT(MID(TRIM(INDEX(PASTE_ALL,10,46)),1+(LEFT(TRIM(INDEX(PASTE_ALL,10,46)),1)="-"),999),LEN(MID(TRIM(INDEX(PASTE_ALL,10,46)),1+(LEFT(TRIM(INDEX(PASTE_ALL,10,46)),1)="-"),999))-(RIGHT(MID(TRIM(INDEX(PASTE_ALL,10,46)),1+(LEFT(TRIM(INDEX(PASTE_ALL,10,46)),1)="-"),999),1)="%"))&lt;&gt;"",SUBSTITUTE(SUBSTITUTE(SUBSTITUTE(SUBSTITUTE(SUBSTITUTE(SUBSTITUTE(SUBSTITUTE(SUBSTITUTE(SUBSTITUTE(SUBSTITUTE(SUBSTITUTE(SUBSTITUTE(LEFT(MID(TRIM(INDEX(PASTE_ALL,10,46)),1+(LEFT(TRIM(INDEX(PASTE_ALL,10,46)),1)="-"),999),LEN(MID(TRIM(INDEX(PASTE_ALL,10,46)),1+(LEFT(TRIM(INDEX(PASTE_ALL,10,46)),1)="-"),999))-(RIGHT(MID(TRIM(INDEX(PASTE_ALL,10,46)),1+(LEFT(TRIM(INDEX(PASTE_ALL,10,46)),1)="-"),999),1)="%")),"0",""),"1",""),"2",""),"3",""),"4",""),"5",""),"6",""),"7",""),"8",""),"9",""),".",""),",","")=""),2,1))),1)</f>
        <v/>
      </c>
      <c r="BS59">
        <f>IFERROR(IF(ISNUMBER(INDEX(PASTE_ALL,10,47)),2,IF(TRIM(INDEX(PASTE_ALL,10,47))="",0,IF(AND(LEFT(MID(TRIM(INDEX(PASTE_ALL,10,47)),1+(LEFT(TRIM(INDEX(PASTE_ALL,10,47)),1)="-"),999),LEN(MID(TRIM(INDEX(PASTE_ALL,10,47)),1+(LEFT(TRIM(INDEX(PASTE_ALL,10,47)),1)="-"),999))-(RIGHT(MID(TRIM(INDEX(PASTE_ALL,10,47)),1+(LEFT(TRIM(INDEX(PASTE_ALL,10,47)),1)="-"),999),1)="%"))&lt;&gt;"",SUBSTITUTE(SUBSTITUTE(SUBSTITUTE(SUBSTITUTE(SUBSTITUTE(SUBSTITUTE(SUBSTITUTE(SUBSTITUTE(SUBSTITUTE(SUBSTITUTE(SUBSTITUTE(SUBSTITUTE(LEFT(MID(TRIM(INDEX(PASTE_ALL,10,47)),1+(LEFT(TRIM(INDEX(PASTE_ALL,10,47)),1)="-"),999),LEN(MID(TRIM(INDEX(PASTE_ALL,10,47)),1+(LEFT(TRIM(INDEX(PASTE_ALL,10,47)),1)="-"),999))-(RIGHT(MID(TRIM(INDEX(PASTE_ALL,10,47)),1+(LEFT(TRIM(INDEX(PASTE_ALL,10,47)),1)="-"),999),1)="%")),"0",""),"1",""),"2",""),"3",""),"4",""),"5",""),"6",""),"7",""),"8",""),"9",""),".",""),",","")=""),2,1))),1)</f>
        <v/>
      </c>
      <c r="BT59">
        <f>IFERROR(IF(ISNUMBER(INDEX(PASTE_ALL,10,48)),2,IF(TRIM(INDEX(PASTE_ALL,10,48))="",0,IF(AND(LEFT(MID(TRIM(INDEX(PASTE_ALL,10,48)),1+(LEFT(TRIM(INDEX(PASTE_ALL,10,48)),1)="-"),999),LEN(MID(TRIM(INDEX(PASTE_ALL,10,48)),1+(LEFT(TRIM(INDEX(PASTE_ALL,10,48)),1)="-"),999))-(RIGHT(MID(TRIM(INDEX(PASTE_ALL,10,48)),1+(LEFT(TRIM(INDEX(PASTE_ALL,10,48)),1)="-"),999),1)="%"))&lt;&gt;"",SUBSTITUTE(SUBSTITUTE(SUBSTITUTE(SUBSTITUTE(SUBSTITUTE(SUBSTITUTE(SUBSTITUTE(SUBSTITUTE(SUBSTITUTE(SUBSTITUTE(SUBSTITUTE(SUBSTITUTE(LEFT(MID(TRIM(INDEX(PASTE_ALL,10,48)),1+(LEFT(TRIM(INDEX(PASTE_ALL,10,48)),1)="-"),999),LEN(MID(TRIM(INDEX(PASTE_ALL,10,48)),1+(LEFT(TRIM(INDEX(PASTE_ALL,10,48)),1)="-"),999))-(RIGHT(MID(TRIM(INDEX(PASTE_ALL,10,48)),1+(LEFT(TRIM(INDEX(PASTE_ALL,10,48)),1)="-"),999),1)="%")),"0",""),"1",""),"2",""),"3",""),"4",""),"5",""),"6",""),"7",""),"8",""),"9",""),".",""),",","")=""),2,1))),1)</f>
        <v/>
      </c>
      <c r="BU59">
        <f>IFERROR(IF(ISNUMBER(INDEX(PASTE_ALL,10,49)),2,IF(TRIM(INDEX(PASTE_ALL,10,49))="",0,IF(AND(LEFT(MID(TRIM(INDEX(PASTE_ALL,10,49)),1+(LEFT(TRIM(INDEX(PASTE_ALL,10,49)),1)="-"),999),LEN(MID(TRIM(INDEX(PASTE_ALL,10,49)),1+(LEFT(TRIM(INDEX(PASTE_ALL,10,49)),1)="-"),999))-(RIGHT(MID(TRIM(INDEX(PASTE_ALL,10,49)),1+(LEFT(TRIM(INDEX(PASTE_ALL,10,49)),1)="-"),999),1)="%"))&lt;&gt;"",SUBSTITUTE(SUBSTITUTE(SUBSTITUTE(SUBSTITUTE(SUBSTITUTE(SUBSTITUTE(SUBSTITUTE(SUBSTITUTE(SUBSTITUTE(SUBSTITUTE(SUBSTITUTE(SUBSTITUTE(LEFT(MID(TRIM(INDEX(PASTE_ALL,10,49)),1+(LEFT(TRIM(INDEX(PASTE_ALL,10,49)),1)="-"),999),LEN(MID(TRIM(INDEX(PASTE_ALL,10,49)),1+(LEFT(TRIM(INDEX(PASTE_ALL,10,49)),1)="-"),999))-(RIGHT(MID(TRIM(INDEX(PASTE_ALL,10,49)),1+(LEFT(TRIM(INDEX(PASTE_ALL,10,49)),1)="-"),999),1)="%")),"0",""),"1",""),"2",""),"3",""),"4",""),"5",""),"6",""),"7",""),"8",""),"9",""),".",""),",","")=""),2,1))),1)</f>
        <v/>
      </c>
      <c r="BV59">
        <f>IFERROR(IF(ISNUMBER(INDEX(PASTE_ALL,10,50)),2,IF(TRIM(INDEX(PASTE_ALL,10,50))="",0,IF(AND(LEFT(MID(TRIM(INDEX(PASTE_ALL,10,50)),1+(LEFT(TRIM(INDEX(PASTE_ALL,10,50)),1)="-"),999),LEN(MID(TRIM(INDEX(PASTE_ALL,10,50)),1+(LEFT(TRIM(INDEX(PASTE_ALL,10,50)),1)="-"),999))-(RIGHT(MID(TRIM(INDEX(PASTE_ALL,10,50)),1+(LEFT(TRIM(INDEX(PASTE_ALL,10,50)),1)="-"),999),1)="%"))&lt;&gt;"",SUBSTITUTE(SUBSTITUTE(SUBSTITUTE(SUBSTITUTE(SUBSTITUTE(SUBSTITUTE(SUBSTITUTE(SUBSTITUTE(SUBSTITUTE(SUBSTITUTE(SUBSTITUTE(SUBSTITUTE(LEFT(MID(TRIM(INDEX(PASTE_ALL,10,50)),1+(LEFT(TRIM(INDEX(PASTE_ALL,10,50)),1)="-"),999),LEN(MID(TRIM(INDEX(PASTE_ALL,10,50)),1+(LEFT(TRIM(INDEX(PASTE_ALL,10,50)),1)="-"),999))-(RIGHT(MID(TRIM(INDEX(PASTE_ALL,10,50)),1+(LEFT(TRIM(INDEX(PASTE_ALL,10,50)),1)="-"),999),1)="%")),"0",""),"1",""),"2",""),"3",""),"4",""),"5",""),"6",""),"7",""),"8",""),"9",""),".",""),",","")=""),2,1))),1)</f>
        <v/>
      </c>
      <c r="BW59">
        <f>IFERROR(IF(ISNUMBER(INDEX(PASTE_ALL,10,51)),2,IF(TRIM(INDEX(PASTE_ALL,10,51))="",0,IF(AND(LEFT(MID(TRIM(INDEX(PASTE_ALL,10,51)),1+(LEFT(TRIM(INDEX(PASTE_ALL,10,51)),1)="-"),999),LEN(MID(TRIM(INDEX(PASTE_ALL,10,51)),1+(LEFT(TRIM(INDEX(PASTE_ALL,10,51)),1)="-"),999))-(RIGHT(MID(TRIM(INDEX(PASTE_ALL,10,51)),1+(LEFT(TRIM(INDEX(PASTE_ALL,10,51)),1)="-"),999),1)="%"))&lt;&gt;"",SUBSTITUTE(SUBSTITUTE(SUBSTITUTE(SUBSTITUTE(SUBSTITUTE(SUBSTITUTE(SUBSTITUTE(SUBSTITUTE(SUBSTITUTE(SUBSTITUTE(SUBSTITUTE(SUBSTITUTE(LEFT(MID(TRIM(INDEX(PASTE_ALL,10,51)),1+(LEFT(TRIM(INDEX(PASTE_ALL,10,51)),1)="-"),999),LEN(MID(TRIM(INDEX(PASTE_ALL,10,51)),1+(LEFT(TRIM(INDEX(PASTE_ALL,10,51)),1)="-"),999))-(RIGHT(MID(TRIM(INDEX(PASTE_ALL,10,51)),1+(LEFT(TRIM(INDEX(PASTE_ALL,10,51)),1)="-"),999),1)="%")),"0",""),"1",""),"2",""),"3",""),"4",""),"5",""),"6",""),"7",""),"8",""),"9",""),".",""),",","")=""),2,1))),1)</f>
        <v/>
      </c>
      <c r="BX59">
        <f>IFERROR(IF(ISNUMBER(INDEX(PASTE_ALL,10,52)),2,IF(TRIM(INDEX(PASTE_ALL,10,52))="",0,IF(AND(LEFT(MID(TRIM(INDEX(PASTE_ALL,10,52)),1+(LEFT(TRIM(INDEX(PASTE_ALL,10,52)),1)="-"),999),LEN(MID(TRIM(INDEX(PASTE_ALL,10,52)),1+(LEFT(TRIM(INDEX(PASTE_ALL,10,52)),1)="-"),999))-(RIGHT(MID(TRIM(INDEX(PASTE_ALL,10,52)),1+(LEFT(TRIM(INDEX(PASTE_ALL,10,52)),1)="-"),999),1)="%"))&lt;&gt;"",SUBSTITUTE(SUBSTITUTE(SUBSTITUTE(SUBSTITUTE(SUBSTITUTE(SUBSTITUTE(SUBSTITUTE(SUBSTITUTE(SUBSTITUTE(SUBSTITUTE(SUBSTITUTE(SUBSTITUTE(LEFT(MID(TRIM(INDEX(PASTE_ALL,10,52)),1+(LEFT(TRIM(INDEX(PASTE_ALL,10,52)),1)="-"),999),LEN(MID(TRIM(INDEX(PASTE_ALL,10,52)),1+(LEFT(TRIM(INDEX(PASTE_ALL,10,52)),1)="-"),999))-(RIGHT(MID(TRIM(INDEX(PASTE_ALL,10,52)),1+(LEFT(TRIM(INDEX(PASTE_ALL,10,52)),1)="-"),999),1)="%")),"0",""),"1",""),"2",""),"3",""),"4",""),"5",""),"6",""),"7",""),"8",""),"9",""),".",""),",","")=""),2,1))),1)</f>
        <v/>
      </c>
      <c r="BY59">
        <f>IFERROR(IF(ISNUMBER(INDEX(PASTE_ALL,10,53)),2,IF(TRIM(INDEX(PASTE_ALL,10,53))="",0,IF(AND(LEFT(MID(TRIM(INDEX(PASTE_ALL,10,53)),1+(LEFT(TRIM(INDEX(PASTE_ALL,10,53)),1)="-"),999),LEN(MID(TRIM(INDEX(PASTE_ALL,10,53)),1+(LEFT(TRIM(INDEX(PASTE_ALL,10,53)),1)="-"),999))-(RIGHT(MID(TRIM(INDEX(PASTE_ALL,10,53)),1+(LEFT(TRIM(INDEX(PASTE_ALL,10,53)),1)="-"),999),1)="%"))&lt;&gt;"",SUBSTITUTE(SUBSTITUTE(SUBSTITUTE(SUBSTITUTE(SUBSTITUTE(SUBSTITUTE(SUBSTITUTE(SUBSTITUTE(SUBSTITUTE(SUBSTITUTE(SUBSTITUTE(SUBSTITUTE(LEFT(MID(TRIM(INDEX(PASTE_ALL,10,53)),1+(LEFT(TRIM(INDEX(PASTE_ALL,10,53)),1)="-"),999),LEN(MID(TRIM(INDEX(PASTE_ALL,10,53)),1+(LEFT(TRIM(INDEX(PASTE_ALL,10,53)),1)="-"),999))-(RIGHT(MID(TRIM(INDEX(PASTE_ALL,10,53)),1+(LEFT(TRIM(INDEX(PASTE_ALL,10,53)),1)="-"),999),1)="%")),"0",""),"1",""),"2",""),"3",""),"4",""),"5",""),"6",""),"7",""),"8",""),"9",""),".",""),",","")=""),2,1))),1)</f>
        <v/>
      </c>
      <c r="BZ59">
        <f>IFERROR(IF(ISNUMBER(INDEX(PASTE_ALL,10,54)),2,IF(TRIM(INDEX(PASTE_ALL,10,54))="",0,IF(AND(LEFT(MID(TRIM(INDEX(PASTE_ALL,10,54)),1+(LEFT(TRIM(INDEX(PASTE_ALL,10,54)),1)="-"),999),LEN(MID(TRIM(INDEX(PASTE_ALL,10,54)),1+(LEFT(TRIM(INDEX(PASTE_ALL,10,54)),1)="-"),999))-(RIGHT(MID(TRIM(INDEX(PASTE_ALL,10,54)),1+(LEFT(TRIM(INDEX(PASTE_ALL,10,54)),1)="-"),999),1)="%"))&lt;&gt;"",SUBSTITUTE(SUBSTITUTE(SUBSTITUTE(SUBSTITUTE(SUBSTITUTE(SUBSTITUTE(SUBSTITUTE(SUBSTITUTE(SUBSTITUTE(SUBSTITUTE(SUBSTITUTE(SUBSTITUTE(LEFT(MID(TRIM(INDEX(PASTE_ALL,10,54)),1+(LEFT(TRIM(INDEX(PASTE_ALL,10,54)),1)="-"),999),LEN(MID(TRIM(INDEX(PASTE_ALL,10,54)),1+(LEFT(TRIM(INDEX(PASTE_ALL,10,54)),1)="-"),999))-(RIGHT(MID(TRIM(INDEX(PASTE_ALL,10,54)),1+(LEFT(TRIM(INDEX(PASTE_ALL,10,54)),1)="-"),999),1)="%")),"0",""),"1",""),"2",""),"3",""),"4",""),"5",""),"6",""),"7",""),"8",""),"9",""),".",""),",","")=""),2,1))),1)</f>
        <v/>
      </c>
      <c r="CA59">
        <f>IFERROR(IF(ISNUMBER(INDEX(PASTE_ALL,10,55)),2,IF(TRIM(INDEX(PASTE_ALL,10,55))="",0,IF(AND(LEFT(MID(TRIM(INDEX(PASTE_ALL,10,55)),1+(LEFT(TRIM(INDEX(PASTE_ALL,10,55)),1)="-"),999),LEN(MID(TRIM(INDEX(PASTE_ALL,10,55)),1+(LEFT(TRIM(INDEX(PASTE_ALL,10,55)),1)="-"),999))-(RIGHT(MID(TRIM(INDEX(PASTE_ALL,10,55)),1+(LEFT(TRIM(INDEX(PASTE_ALL,10,55)),1)="-"),999),1)="%"))&lt;&gt;"",SUBSTITUTE(SUBSTITUTE(SUBSTITUTE(SUBSTITUTE(SUBSTITUTE(SUBSTITUTE(SUBSTITUTE(SUBSTITUTE(SUBSTITUTE(SUBSTITUTE(SUBSTITUTE(SUBSTITUTE(LEFT(MID(TRIM(INDEX(PASTE_ALL,10,55)),1+(LEFT(TRIM(INDEX(PASTE_ALL,10,55)),1)="-"),999),LEN(MID(TRIM(INDEX(PASTE_ALL,10,55)),1+(LEFT(TRIM(INDEX(PASTE_ALL,10,55)),1)="-"),999))-(RIGHT(MID(TRIM(INDEX(PASTE_ALL,10,55)),1+(LEFT(TRIM(INDEX(PASTE_ALL,10,55)),1)="-"),999),1)="%")),"0",""),"1",""),"2",""),"3",""),"4",""),"5",""),"6",""),"7",""),"8",""),"9",""),".",""),",","")=""),2,1))),1)</f>
        <v/>
      </c>
      <c r="CB59">
        <f>IFERROR(IF(ISNUMBER(INDEX(PASTE_ALL,10,56)),2,IF(TRIM(INDEX(PASTE_ALL,10,56))="",0,IF(AND(LEFT(MID(TRIM(INDEX(PASTE_ALL,10,56)),1+(LEFT(TRIM(INDEX(PASTE_ALL,10,56)),1)="-"),999),LEN(MID(TRIM(INDEX(PASTE_ALL,10,56)),1+(LEFT(TRIM(INDEX(PASTE_ALL,10,56)),1)="-"),999))-(RIGHT(MID(TRIM(INDEX(PASTE_ALL,10,56)),1+(LEFT(TRIM(INDEX(PASTE_ALL,10,56)),1)="-"),999),1)="%"))&lt;&gt;"",SUBSTITUTE(SUBSTITUTE(SUBSTITUTE(SUBSTITUTE(SUBSTITUTE(SUBSTITUTE(SUBSTITUTE(SUBSTITUTE(SUBSTITUTE(SUBSTITUTE(SUBSTITUTE(SUBSTITUTE(LEFT(MID(TRIM(INDEX(PASTE_ALL,10,56)),1+(LEFT(TRIM(INDEX(PASTE_ALL,10,56)),1)="-"),999),LEN(MID(TRIM(INDEX(PASTE_ALL,10,56)),1+(LEFT(TRIM(INDEX(PASTE_ALL,10,56)),1)="-"),999))-(RIGHT(MID(TRIM(INDEX(PASTE_ALL,10,56)),1+(LEFT(TRIM(INDEX(PASTE_ALL,10,56)),1)="-"),999),1)="%")),"0",""),"1",""),"2",""),"3",""),"4",""),"5",""),"6",""),"7",""),"8",""),"9",""),".",""),",","")=""),2,1))),1)</f>
        <v/>
      </c>
      <c r="CC59">
        <f>IFERROR(IF(ISNUMBER(INDEX(PASTE_ALL,10,57)),2,IF(TRIM(INDEX(PASTE_ALL,10,57))="",0,IF(AND(LEFT(MID(TRIM(INDEX(PASTE_ALL,10,57)),1+(LEFT(TRIM(INDEX(PASTE_ALL,10,57)),1)="-"),999),LEN(MID(TRIM(INDEX(PASTE_ALL,10,57)),1+(LEFT(TRIM(INDEX(PASTE_ALL,10,57)),1)="-"),999))-(RIGHT(MID(TRIM(INDEX(PASTE_ALL,10,57)),1+(LEFT(TRIM(INDEX(PASTE_ALL,10,57)),1)="-"),999),1)="%"))&lt;&gt;"",SUBSTITUTE(SUBSTITUTE(SUBSTITUTE(SUBSTITUTE(SUBSTITUTE(SUBSTITUTE(SUBSTITUTE(SUBSTITUTE(SUBSTITUTE(SUBSTITUTE(SUBSTITUTE(SUBSTITUTE(LEFT(MID(TRIM(INDEX(PASTE_ALL,10,57)),1+(LEFT(TRIM(INDEX(PASTE_ALL,10,57)),1)="-"),999),LEN(MID(TRIM(INDEX(PASTE_ALL,10,57)),1+(LEFT(TRIM(INDEX(PASTE_ALL,10,57)),1)="-"),999))-(RIGHT(MID(TRIM(INDEX(PASTE_ALL,10,57)),1+(LEFT(TRIM(INDEX(PASTE_ALL,10,57)),1)="-"),999),1)="%")),"0",""),"1",""),"2",""),"3",""),"4",""),"5",""),"6",""),"7",""),"8",""),"9",""),".",""),",","")=""),2,1))),1)</f>
        <v/>
      </c>
      <c r="CD59">
        <f>IFERROR(IF(ISNUMBER(INDEX(PASTE_ALL,10,58)),2,IF(TRIM(INDEX(PASTE_ALL,10,58))="",0,IF(AND(LEFT(MID(TRIM(INDEX(PASTE_ALL,10,58)),1+(LEFT(TRIM(INDEX(PASTE_ALL,10,58)),1)="-"),999),LEN(MID(TRIM(INDEX(PASTE_ALL,10,58)),1+(LEFT(TRIM(INDEX(PASTE_ALL,10,58)),1)="-"),999))-(RIGHT(MID(TRIM(INDEX(PASTE_ALL,10,58)),1+(LEFT(TRIM(INDEX(PASTE_ALL,10,58)),1)="-"),999),1)="%"))&lt;&gt;"",SUBSTITUTE(SUBSTITUTE(SUBSTITUTE(SUBSTITUTE(SUBSTITUTE(SUBSTITUTE(SUBSTITUTE(SUBSTITUTE(SUBSTITUTE(SUBSTITUTE(SUBSTITUTE(SUBSTITUTE(LEFT(MID(TRIM(INDEX(PASTE_ALL,10,58)),1+(LEFT(TRIM(INDEX(PASTE_ALL,10,58)),1)="-"),999),LEN(MID(TRIM(INDEX(PASTE_ALL,10,58)),1+(LEFT(TRIM(INDEX(PASTE_ALL,10,58)),1)="-"),999))-(RIGHT(MID(TRIM(INDEX(PASTE_ALL,10,58)),1+(LEFT(TRIM(INDEX(PASTE_ALL,10,58)),1)="-"),999),1)="%")),"0",""),"1",""),"2",""),"3",""),"4",""),"5",""),"6",""),"7",""),"8",""),"9",""),".",""),",","")=""),2,1))),1)</f>
        <v/>
      </c>
      <c r="CE59">
        <f>IFERROR(IF(ISNUMBER(INDEX(PASTE_ALL,10,59)),2,IF(TRIM(INDEX(PASTE_ALL,10,59))="",0,IF(AND(LEFT(MID(TRIM(INDEX(PASTE_ALL,10,59)),1+(LEFT(TRIM(INDEX(PASTE_ALL,10,59)),1)="-"),999),LEN(MID(TRIM(INDEX(PASTE_ALL,10,59)),1+(LEFT(TRIM(INDEX(PASTE_ALL,10,59)),1)="-"),999))-(RIGHT(MID(TRIM(INDEX(PASTE_ALL,10,59)),1+(LEFT(TRIM(INDEX(PASTE_ALL,10,59)),1)="-"),999),1)="%"))&lt;&gt;"",SUBSTITUTE(SUBSTITUTE(SUBSTITUTE(SUBSTITUTE(SUBSTITUTE(SUBSTITUTE(SUBSTITUTE(SUBSTITUTE(SUBSTITUTE(SUBSTITUTE(SUBSTITUTE(SUBSTITUTE(LEFT(MID(TRIM(INDEX(PASTE_ALL,10,59)),1+(LEFT(TRIM(INDEX(PASTE_ALL,10,59)),1)="-"),999),LEN(MID(TRIM(INDEX(PASTE_ALL,10,59)),1+(LEFT(TRIM(INDEX(PASTE_ALL,10,59)),1)="-"),999))-(RIGHT(MID(TRIM(INDEX(PASTE_ALL,10,59)),1+(LEFT(TRIM(INDEX(PASTE_ALL,10,59)),1)="-"),999),1)="%")),"0",""),"1",""),"2",""),"3",""),"4",""),"5",""),"6",""),"7",""),"8",""),"9",""),".",""),",","")=""),2,1))),1)</f>
        <v/>
      </c>
      <c r="CF59">
        <f>IFERROR(IF(ISNUMBER(INDEX(PASTE_ALL,10,60)),2,IF(TRIM(INDEX(PASTE_ALL,10,60))="",0,IF(AND(LEFT(MID(TRIM(INDEX(PASTE_ALL,10,60)),1+(LEFT(TRIM(INDEX(PASTE_ALL,10,60)),1)="-"),999),LEN(MID(TRIM(INDEX(PASTE_ALL,10,60)),1+(LEFT(TRIM(INDEX(PASTE_ALL,10,60)),1)="-"),999))-(RIGHT(MID(TRIM(INDEX(PASTE_ALL,10,60)),1+(LEFT(TRIM(INDEX(PASTE_ALL,10,60)),1)="-"),999),1)="%"))&lt;&gt;"",SUBSTITUTE(SUBSTITUTE(SUBSTITUTE(SUBSTITUTE(SUBSTITUTE(SUBSTITUTE(SUBSTITUTE(SUBSTITUTE(SUBSTITUTE(SUBSTITUTE(SUBSTITUTE(SUBSTITUTE(LEFT(MID(TRIM(INDEX(PASTE_ALL,10,60)),1+(LEFT(TRIM(INDEX(PASTE_ALL,10,60)),1)="-"),999),LEN(MID(TRIM(INDEX(PASTE_ALL,10,60)),1+(LEFT(TRIM(INDEX(PASTE_ALL,10,60)),1)="-"),999))-(RIGHT(MID(TRIM(INDEX(PASTE_ALL,10,60)),1+(LEFT(TRIM(INDEX(PASTE_ALL,10,60)),1)="-"),999),1)="%")),"0",""),"1",""),"2",""),"3",""),"4",""),"5",""),"6",""),"7",""),"8",""),"9",""),".",""),",","")=""),2,1))),1)</f>
        <v/>
      </c>
      <c r="DA59" t="n">
        <v>55</v>
      </c>
      <c r="DB59">
        <f>IF($B$37=0,"",IFERROR(TRIM(SUBSTITUTE(SUBSTITUTE(SUBSTITUTE(SUBSTITUTE(INDEX(PASTE_ALL,55,$B$37)," "," "),CHAR(9)," "),CHAR(10)," "),CHAR(13)," ")),""))</f>
        <v/>
      </c>
      <c r="DC59">
        <f>IF(AND(55&gt;HEADER_ROW,UPPER(DB59)="LEGEND"),1,0)</f>
        <v/>
      </c>
      <c r="DE59" t="n">
        <v>55</v>
      </c>
      <c r="DF59">
        <f>HEADER_ROW+$DE59</f>
        <v/>
      </c>
      <c r="DG59">
        <f>IF(AND($DF59&lt;=1000,$DF59&lt;$B$8),1,0)</f>
        <v/>
      </c>
      <c r="DH59">
        <f>IF($DG59=1,IFERROR(INDEX($DB$5:$DB$1004,$DF59),""),"")</f>
        <v/>
      </c>
      <c r="DI59">
        <f>IF(AND($DG59=1,$DH59&lt;&gt;""),IFERROR(SUBSTITUTE(SUBSTITUTE(TRIM(SUBSTITUTE(SUBSTITUTE(SUBSTITUTE(SUBSTITUTE(IFERROR(INDEX(PASTE_ALL,$DF59,1)&amp;"","")&amp;"␟"&amp;IFERROR(INDEX(PASTE_ALL,$DF59,2)&amp;"","")&amp;"␟"&amp;IFERROR(INDEX(PASTE_ALL,$DF59,3)&amp;"","")&amp;"␟"&amp;IFERROR(INDEX(PASTE_ALL,$DF59,4)&amp;"","")&amp;"␟"&amp;IFERROR(INDEX(PASTE_ALL,$DF59,5)&amp;"","")&amp;"␟"&amp;IFERROR(INDEX(PASTE_ALL,$DF59,6)&amp;"","")&amp;"␟"&amp;IFERROR(INDEX(PASTE_ALL,$DF59,7)&amp;"","")&amp;"␟"&amp;IFERROR(INDEX(PASTE_ALL,$DF59,8)&amp;"","")&amp;"␟"&amp;IFERROR(INDEX(PASTE_ALL,$DF59,9)&amp;"","")&amp;"␟"&amp;IFERROR(INDEX(PASTE_ALL,$DF59,10)&amp;"","")&amp;"␟"&amp;IFERROR(INDEX(PASTE_ALL,$DF59,11)&amp;"","")&amp;"␟"&amp;IFERROR(INDEX(PASTE_ALL,$DF59,12)&amp;"","")&amp;"␟"&amp;IFERROR(INDEX(PASTE_ALL,$DF59,13)&amp;"","")&amp;"␟"&amp;IFERROR(INDEX(PASTE_ALL,$DF59,14)&amp;"","")&amp;"␟"&amp;IFERROR(INDEX(PASTE_ALL,$DF59,15)&amp;"","")&amp;"␟"&amp;IFERROR(INDEX(PASTE_ALL,$DF59,16)&amp;"","")&amp;"␟"&amp;IFERROR(INDEX(PASTE_ALL,$DF59,17)&amp;"","")&amp;"␟"&amp;IFERROR(INDEX(PASTE_ALL,$DF59,18)&amp;"","")&amp;"␟"&amp;IFERROR(INDEX(PASTE_ALL,$DF59,19)&amp;"","")&amp;"␟"&amp;IFERROR(INDEX(PASTE_ALL,$DF59,20)&amp;"","")&amp;"␟"&amp;IFERROR(INDEX(PASTE_ALL,$DF59,21)&amp;"","")&amp;"␟"&amp;IFERROR(INDEX(PASTE_ALL,$DF59,22)&amp;"","")&amp;"␟"&amp;IFERROR(INDEX(PASTE_ALL,$DF59,23)&amp;"","")&amp;"␟"&amp;IFERROR(INDEX(PASTE_ALL,$DF59,24)&amp;"","")&amp;"␟"&amp;IFERROR(INDEX(PASTE_ALL,$DF59,25)&amp;"","")&amp;"␟"&amp;IFERROR(INDEX(PASTE_ALL,$DF59,26)&amp;"","")&amp;"␟"&amp;IFERROR(INDEX(PASTE_ALL,$DF59,27)&amp;"","")&amp;"␟"&amp;IFERROR(INDEX(PASTE_ALL,$DF59,28)&amp;"","")&amp;"␟"&amp;IFERROR(INDEX(PASTE_ALL,$DF59,29)&amp;"","")&amp;"␟"&amp;IFERROR(INDEX(PASTE_ALL,$DF59,30)&amp;"","")&amp;"␟"&amp;IFERROR(INDEX(PASTE_ALL,$DF59,31)&amp;"","")&amp;"␟"&amp;IFERROR(INDEX(PASTE_ALL,$DF59,32)&amp;"","")&amp;"␟"&amp;IFERROR(INDEX(PASTE_ALL,$DF59,33)&amp;"","")&amp;"␟"&amp;IFERROR(INDEX(PASTE_ALL,$DF59,34)&amp;"","")&amp;"␟"&amp;IFERROR(INDEX(PASTE_ALL,$DF59,35)&amp;"","")&amp;"␟"&amp;IFERROR(INDEX(PASTE_ALL,$DF59,36)&amp;"","")&amp;"␟"&amp;IFERROR(INDEX(PASTE_ALL,$DF59,37)&amp;"","")&amp;"␟"&amp;IFERROR(INDEX(PASTE_ALL,$DF59,38)&amp;"","")&amp;"␟"&amp;IFERROR(INDEX(PASTE_ALL,$DF59,39)&amp;"","")&amp;"␟"&amp;IFERROR(INDEX(PASTE_ALL,$DF59,40)&amp;"","")&amp;"␟"&amp;IFERROR(INDEX(PASTE_ALL,$DF59,41)&amp;"","")&amp;"␟"&amp;IFERROR(INDEX(PASTE_ALL,$DF59,42)&amp;"","")&amp;"␟"&amp;IFERROR(INDEX(PASTE_ALL,$DF59,43)&amp;"","")&amp;"␟"&amp;IFERROR(INDEX(PASTE_ALL,$DF59,44)&amp;"","")&amp;"␟"&amp;IFERROR(INDEX(PASTE_ALL,$DF59,45)&amp;"","")&amp;"␟"&amp;IFERROR(INDEX(PASTE_ALL,$DF59,46)&amp;"","")&amp;"␟"&amp;IFERROR(INDEX(PASTE_ALL,$DF59,47)&amp;"","")&amp;"␟"&amp;IFERROR(INDEX(PASTE_ALL,$DF59,48)&amp;"","")&amp;"␟"&amp;IFERROR(INDEX(PASTE_ALL,$DF59,49)&amp;"","")&amp;"␟"&amp;IFERROR(INDEX(PASTE_ALL,$DF59,50)&amp;"","")&amp;"␟"&amp;IFERROR(INDEX(PASTE_ALL,$DF59,51)&amp;"","")&amp;"␟"&amp;IFERROR(INDEX(PASTE_ALL,$DF59,52)&amp;"","")&amp;"␟"&amp;IFERROR(INDEX(PASTE_ALL,$DF59,53)&amp;"","")&amp;"␟"&amp;IFERROR(INDEX(PASTE_ALL,$DF59,54)&amp;"","")&amp;"␟"&amp;IFERROR(INDEX(PASTE_ALL,$DF59,55)&amp;"","")&amp;"␟"&amp;IFERROR(INDEX(PASTE_ALL,$DF59,56)&amp;"","")&amp;"␟"&amp;IFERROR(INDEX(PASTE_ALL,$DF59,57)&amp;"","")&amp;"␟"&amp;IFERROR(INDEX(PASTE_ALL,$DF59,58)&amp;"","")&amp;"␟"&amp;IFERROR(INDEX(PASTE_ALL,$DF59,59)&amp;"","")&amp;"␟"&amp;IFERROR(INDEX(PASTE_ALL,$DF59,60)&amp;"","")," "," "),CHAR(9)," "),CHAR(10)," "),CHAR(13)," "))," ␟","␟"),"␟ ","␟"),"#"&amp;$DE59),"")</f>
        <v/>
      </c>
      <c r="DJ59">
        <f>IF($DI59="",0,IF(SUMPRODUCT(--EXACT($DI$4:DI58,$DI59))&gt;0,1,0))</f>
        <v/>
      </c>
      <c r="DK59">
        <f>IF(AND($DI59&lt;&gt;"",$DJ59=0),1,0)</f>
        <v/>
      </c>
      <c r="DL59">
        <f>DL58+$DK59</f>
        <v/>
      </c>
      <c r="DM59">
        <f>IF(AND($DK59=1,$DL59&lt;=600),1,0)</f>
        <v/>
      </c>
      <c r="DN59">
        <f>IF($DM59=0,"",IF($L$6=0,"",IFERROR(IF(ISNUMBER(INDEX(PASTE_ALL,$DF59,$L$6)),INDEX(PASTE_ALL,$DF59,$L$6),TRIM(SUBSTITUTE(SUBSTITUTE(SUBSTITUTE(SUBSTITUTE(INDEX(PASTE_ALL,$DF59,$L$6)," "," "),CHAR(9)," "),CHAR(10)," "),CHAR(13)," "))),"")))</f>
        <v/>
      </c>
      <c r="DO59">
        <f>IF($DM59=0,"",IF($L$7=0,"",IFERROR(IF(ISNUMBER(INDEX(PASTE_ALL,$DF59,$L$7)),INDEX(PASTE_ALL,$DF59,$L$7),TRIM(SUBSTITUTE(SUBSTITUTE(SUBSTITUTE(SUBSTITUTE(INDEX(PASTE_ALL,$DF59,$L$7)," "," "),CHAR(9)," "),CHAR(10)," "),CHAR(13)," "))),"")))</f>
        <v/>
      </c>
      <c r="DP59">
        <f>IF($DM59=0,"",IF($L$8=0,"",IFERROR(IF(ISNUMBER(INDEX(PASTE_ALL,$DF59,$L$8)),INDEX(PASTE_ALL,$DF59,$L$8),TRIM(SUBSTITUTE(SUBSTITUTE(SUBSTITUTE(SUBSTITUTE(INDEX(PASTE_ALL,$DF59,$L$8)," "," "),CHAR(9)," "),CHAR(10)," "),CHAR(13)," "))),"")))</f>
        <v/>
      </c>
      <c r="DQ59">
        <f>IF($DM59=0,"",IF($L$9=0,"",IFERROR(IF(ISNUMBER(INDEX(PASTE_ALL,$DF59,$L$9)),INDEX(PASTE_ALL,$DF59,$L$9),TRIM(SUBSTITUTE(SUBSTITUTE(SUBSTITUTE(SUBSTITUTE(INDEX(PASTE_ALL,$DF59,$L$9)," "," "),CHAR(9)," "),CHAR(10)," "),CHAR(13)," "))),"")))</f>
        <v/>
      </c>
      <c r="DR59">
        <f>IF($DM59=0,"",IF($L$10=0,"",IFERROR(IF(ISNUMBER(INDEX(PASTE_ALL,$DF59,$L$10)),INDEX(PASTE_ALL,$DF59,$L$10),TRIM(SUBSTITUTE(SUBSTITUTE(SUBSTITUTE(SUBSTITUTE(INDEX(PASTE_ALL,$DF59,$L$10)," "," "),CHAR(9)," "),CHAR(10)," "),CHAR(13)," "))),"")))</f>
        <v/>
      </c>
      <c r="DS59">
        <f>IF($DM59=0,"",IF($L$11=0,"",IFERROR(IF(ISNUMBER(INDEX(PASTE_ALL,$DF59,$L$11)),INDEX(PASTE_ALL,$DF59,$L$11),TRIM(SUBSTITUTE(SUBSTITUTE(SUBSTITUTE(SUBSTITUTE(INDEX(PASTE_ALL,$DF59,$L$11)," "," "),CHAR(9)," "),CHAR(10)," "),CHAR(13)," "))),"")))</f>
        <v/>
      </c>
      <c r="DT59">
        <f>IF($DM59=0,"",IF($L$12=0,"",IFERROR(IF(ISNUMBER(INDEX(PASTE_ALL,$DF59,$L$12)),INDEX(PASTE_ALL,$DF59,$L$12),TRIM(SUBSTITUTE(SUBSTITUTE(SUBSTITUTE(SUBSTITUTE(INDEX(PASTE_ALL,$DF59,$L$12)," "," "),CHAR(9)," "),CHAR(10)," "),CHAR(13)," "))),"")))</f>
        <v/>
      </c>
      <c r="DU59">
        <f>IF($DM59=0,"",IF($L$13=0,"",IFERROR(IF(ISNUMBER(INDEX(PASTE_ALL,$DF59,$L$13)),INDEX(PASTE_ALL,$DF59,$L$13),TRIM(SUBSTITUTE(SUBSTITUTE(SUBSTITUTE(SUBSTITUTE(INDEX(PASTE_ALL,$DF59,$L$13)," "," "),CHAR(9)," "),CHAR(10)," "),CHAR(13)," "))),"")))</f>
        <v/>
      </c>
      <c r="DV59">
        <f>IF($DM59=0,"",IF($L$14=0,"",IFERROR(IF(ISNUMBER(INDEX(PASTE_ALL,$DF59,$L$14)),INDEX(PASTE_ALL,$DF59,$L$14),TRIM(SUBSTITUTE(SUBSTITUTE(SUBSTITUTE(SUBSTITUTE(INDEX(PASTE_ALL,$DF59,$L$14)," "," "),CHAR(9)," "),CHAR(10)," "),CHAR(13)," "))),"")))</f>
        <v/>
      </c>
      <c r="DW59">
        <f>IF($DM59=0,"",IF($L$15=0,"",IFERROR(IF(ISNUMBER(INDEX(PASTE_ALL,$DF59,$L$15)),INDEX(PASTE_ALL,$DF59,$L$15),IF(SUMPRODUCT(--ISNUMBER(FIND({"A","B","C","D","E","F","G","H","I","J","K","L","M","N","O","P","Q","R","S","T","U","V","W","X","Y","Z","0","1","2","3","4","5","6","7","8","9"},UPPER(TRIM(SUBSTITUTE(SUBSTITUTE(SUBSTITUTE(SUBSTITUTE(INDEX(PASTE_ALL,$DF59,$L$15)," "," "),CHAR(9)," "),CHAR(10)," "),CHAR(13)," "))))))&gt;0,TRIM(SUBSTITUTE(SUBSTITUTE(SUBSTITUTE(SUBSTITUTE(INDEX(PASTE_ALL,$DF59,$L$15)," "," "),CHAR(9)," "),CHAR(10)," "),CHAR(13)," ")),"")),"")))</f>
        <v/>
      </c>
      <c r="DX59">
        <f>IF($DM59=0,"",IF($L$16=0,"",IFERROR(IF(ISNUMBER(INDEX(PASTE_ALL,$DF59,$L$16)),INDEX(PASTE_ALL,$DF59,$L$16),SUBSTITUTE(SUBSTITUTE(TRIM(SUBSTITUTE(SUBSTITUTE(SUBSTITUTE(SUBSTITUTE(INDEX(PASTE_ALL,$DF59,$L$16)," "," "),CHAR(9)," "),CHAR(10)," "),CHAR(13)," ")),",",""),"%","")),"")))</f>
        <v/>
      </c>
      <c r="DY59">
        <f>IF($DM59=0,"",IFERROR(IF(ISNUMBER($DX59),$DX59,IF($DX59="","",IF(TRIM($DX59)="",0,IF(AND(AND(SUBSTITUTE(SUBSTITUTE(SUBSTITUTE(SUBSTITUTE(SUBSTITUTE(SUBSTITUTE(SUBSTITUTE(SUBSTITUTE(SUBSTITUTE(SUBSTITUTE(SUBSTITUTE(SUBSTITUTE(SUBSTITUTE(SUBSTITUTE(UPPER(TRIM($DX59)),"0",""),"1",""),"2",""),"3",""),"4",""),"5",""),"6",""),"7",""),"8",""),"9",""),".",""),"+",""),"-",""),"E","")="",LEN(SUBSTITUTE(SUBSTITUTE(MID(UPPER(TRIM($DX59)),1+OR(LEFT(UPPER(TRIM($DX59)),1)="+",LEFT(UPPER(TRIM($DX59)),1)="-"),999),"E+","E"),"E-","E"))=LEN(SUBSTITUTE(SUBSTITUTE(SUBSTITUTE(SUBSTITUTE(MID(UPPER(TRIM($DX59)),1+OR(LEFT(UPPER(TRIM($DX59)),1)="+",LEFT(UPPER(TRIM($DX59)),1)="-"),999),"E+","E"),"E-","E"),"+",""),"-","")),LEN(UPPER(TRIM($DX59)))-LEN(SUBSTITUTE(UPPER(TRIM($DX59)),"E",""))&lt;2,LEN(UPPER(TRIM($DX59)))-LEN(SUBSTITUTE(UPPER(TRIM($DX59)),".",""))&lt;2,IFERROR(FIND(".",UPPER(TRIM($DX59))),0)&lt;IFERROR(FIND("E",UPPER(TRIM($DX59))),999)),ISNUMBER(VALUE(TRIM($DX59)))),VALUE(TRIM($DX59)),"")))),""))</f>
        <v/>
      </c>
      <c r="DZ59">
        <f>IF($DM59=0,"",IF($L$17=0,"",IFERROR(IF(ISNUMBER(INDEX(PASTE_ALL,$DF59,$L$17)),INDEX(PASTE_ALL,$DF59,$L$17),SUBSTITUTE(SUBSTITUTE(TRIM(SUBSTITUTE(SUBSTITUTE(SUBSTITUTE(SUBSTITUTE(INDEX(PASTE_ALL,$DF59,$L$17)," "," "),CHAR(9)," "),CHAR(10)," "),CHAR(13)," ")),",",""),"%","")),"")))</f>
        <v/>
      </c>
      <c r="EA59">
        <f>IF($DM59=0,"",IFERROR(IF(ISNUMBER($DZ59),$DZ59,IF($DZ59="","",IF(TRIM($DZ59)="",0,IF(AND(AND(SUBSTITUTE(SUBSTITUTE(SUBSTITUTE(SUBSTITUTE(SUBSTITUTE(SUBSTITUTE(SUBSTITUTE(SUBSTITUTE(SUBSTITUTE(SUBSTITUTE(SUBSTITUTE(SUBSTITUTE(SUBSTITUTE(SUBSTITUTE(UPPER(TRIM($DZ59)),"0",""),"1",""),"2",""),"3",""),"4",""),"5",""),"6",""),"7",""),"8",""),"9",""),".",""),"+",""),"-",""),"E","")="",LEN(SUBSTITUTE(SUBSTITUTE(MID(UPPER(TRIM($DZ59)),1+OR(LEFT(UPPER(TRIM($DZ59)),1)="+",LEFT(UPPER(TRIM($DZ59)),1)="-"),999),"E+","E"),"E-","E"))=LEN(SUBSTITUTE(SUBSTITUTE(SUBSTITUTE(SUBSTITUTE(MID(UPPER(TRIM($DZ59)),1+OR(LEFT(UPPER(TRIM($DZ59)),1)="+",LEFT(UPPER(TRIM($DZ59)),1)="-"),999),"E+","E"),"E-","E"),"+",""),"-","")),LEN(UPPER(TRIM($DZ59)))-LEN(SUBSTITUTE(UPPER(TRIM($DZ59)),"E",""))&lt;2,LEN(UPPER(TRIM($DZ59)))-LEN(SUBSTITUTE(UPPER(TRIM($DZ59)),".",""))&lt;2,IFERROR(FIND(".",UPPER(TRIM($DZ59))),0)&lt;IFERROR(FIND("E",UPPER(TRIM($DZ59))),999)),ISNUMBER(VALUE(TRIM($DZ59)))),VALUE(TRIM($DZ59)),"")))),""))</f>
        <v/>
      </c>
      <c r="EB59">
        <f>IF($DM59=0,"",IF($L$18=0,"",IFERROR(IF(UPPER(TRIM(SUBSTITUTE(SUBSTITUTE(SUBSTITUTE(SUBSTITUTE(INDEX(PASTE_ALL,$DF59,$L$18)," "," "),CHAR(9)," "),CHAR(10)," "),CHAR(13)," ")))="READY","Ready",IF(UPPER(TRIM(SUBSTITUTE(SUBSTITUTE(SUBSTITUTE(SUBSTITUTE(INDEX(PASTE_ALL,$DF59,$L$18)," "," "),CHAR(9)," "),CHAR(10)," "),CHAR(13)," ")))="PM","PM",IF(OR(UPPER(TRIM(SUBSTITUTE(SUBSTITUTE(SUBSTITUTE(SUBSTITUTE(INDEX(PASTE_ALL,$DF59,$L$18)," "," "),CHAR(9)," "),CHAR(10)," "),CHAR(13)," ")))="OT",UPPER(TRIM(SUBSTITUTE(SUBSTITUTE(SUBSTITUTE(SUBSTITUTE(INDEX(PASTE_ALL,$DF59,$L$18)," "," "),CHAR(9)," "),CHAR(10)," "),CHAR(13)," ")))="OVERTIME",UPPER(TRIM(SUBSTITUTE(SUBSTITUTE(SUBSTITUTE(SUBSTITUTE(INDEX(PASTE_ALL,$DF59,$L$18)," "," "),CHAR(9)," "),CHAR(10)," "),CHAR(13)," ")))="TRIAL"),"OT",TRIM(SUBSTITUTE(SUBSTITUTE(SUBSTITUTE(SUBSTITUTE(INDEX(PASTE_ALL,$DF59,$L$18)," "," "),CHAR(9)," "),CHAR(10)," "),CHAR(13)," "))))),"")))</f>
        <v/>
      </c>
      <c r="EC59">
        <f>IF($DM59=0,"",IF($L$19=0,"",IFERROR(IF(ISNUMBER(INDEX(PASTE_ALL,$DF59,$L$19)),INDEX(PASTE_ALL,$DF59,$L$19),TRIM(SUBSTITUTE(SUBSTITUTE(SUBSTITUTE(SUBSTITUTE(INDEX(PASTE_ALL,$DF59,$L$19)," "," "),CHAR(9)," "),CHAR(10)," "),CHAR(13)," "))),"")))</f>
        <v/>
      </c>
      <c r="ED59">
        <f>IF($DM59=0,"",MATCH(1,INDEX(EXACT($DH$5:DH59,$DH59)*$DM$5:DM59,0),0))</f>
        <v/>
      </c>
      <c r="EE59">
        <f>IF($DM59=0,0,IF($ED59=$DE59,1,0))</f>
        <v/>
      </c>
      <c r="EF59">
        <f>EF58+$EE59</f>
        <v/>
      </c>
      <c r="EG59">
        <f>IF($DM59=0,"",INDEX($EF$5:$EF$1003,$ED59))</f>
        <v/>
      </c>
      <c r="EH59">
        <f>IF($DM59=0,"",IF($DO59&lt;&gt;"","",IFERROR(LOOKUP(2,1/(($EG$4:EG58=$EG59)*($DO$4:DO58&lt;&gt;"")),$DO$4:DO58),"")))</f>
        <v/>
      </c>
      <c r="EI59">
        <f>IF($DM59=0,"",IF($DO59&lt;&gt;"",$DO59,$EH59))</f>
        <v/>
      </c>
      <c r="EJ59">
        <f>IF($DM59=0,"",IF($EI59="",0,IF(OR(ISNUMBER($EI59),AND(AND(SUBSTITUTE(SUBSTITUTE(SUBSTITUTE(SUBSTITUTE(SUBSTITUTE(SUBSTITUTE(SUBSTITUTE(SUBSTITUTE(SUBSTITUTE(SUBSTITUTE(SUBSTITUTE(SUBSTITUTE(SUBSTITUTE(SUBSTITUTE(UPPER($EI59),"0",""),"1",""),"2",""),"3",""),"4",""),"5",""),"6",""),"7",""),"8",""),"9",""),".",""),"+",""),"-",""),"E","")="",LEN(SUBSTITUTE(SUBSTITUTE(MID(UPPER($EI59),1+OR(LEFT(UPPER($EI59),1)="+",LEFT(UPPER($EI59),1)="-"),999),"E+","E"),"E-","E"))=LEN(SUBSTITUTE(SUBSTITUTE(SUBSTITUTE(SUBSTITUTE(MID(UPPER($EI59),1+OR(LEFT(UPPER($EI59),1)="+",LEFT(UPPER($EI59),1)="-"),999),"E+","E"),"E-","E"),"+",""),"-","")),LEN(UPPER($EI59))-LEN(SUBSTITUTE(UPPER($EI59),"E",""))&lt;2,LEN(UPPER($EI59))-LEN(SUBSTITUTE(UPPER($EI59),".",""))&lt;2,IFERROR(FIND(".",UPPER($EI59)),0)&lt;IFERROR(FIND("E",UPPER($EI59)),999)),ISNUMBER(VALUE($EI59)))),1,2)))</f>
        <v/>
      </c>
      <c r="EK59">
        <f>IF($DM59=0,"",IF($EJ59=1,IF(ISNUMBER($EI59),$EI59,VALUE($EI59)),IF($EJ59=2,$DE59,0)))</f>
        <v/>
      </c>
      <c r="EL59">
        <f>IF($DM59=0,"",COUNTIF($EG$5:$EG$1003,"&lt;"&amp;$EG59)+SUMPRODUCT(($EG$5:$EG$1003=$EG59)*(($EJ$5:$EJ$1003&lt;$EJ59)+($EJ$5:$EJ$1003=$EJ59)*(($EK$5:$EK$1003&lt;$EK59)+($EK$5:$EK$1003=$EK59)*($DE$5:$DE$1003&lt;$DE59))))+1)</f>
        <v/>
      </c>
      <c r="EM59">
        <f>IF($DM59=0,"",$EL59+$EG59-1)</f>
        <v/>
      </c>
      <c r="EN59">
        <f>IF($DM59=0,0,IFERROR(MATCH(1,INDEX(--(TRIM(SUBSTITUTE(SUBSTITUTE(SUBSTITUTE(SUBSTITUTE(LINES_NAME&amp;""," "," "),CHAR(9)," "),CHAR(10)," "),CHAR(13)," "))=$DH59),0),0),0))</f>
        <v/>
      </c>
      <c r="EO59">
        <f>IF($EN59=0,0,IF(OR(UPPER(TRIM(INDEX(LINES_SCHEDULED,$EN59)&amp;""))="YES",UPPER(TRIM(INDEX(LINES_SCHEDULED,$EN59)&amp;""))="Y",UPPER(TRIM(INDEX(LINES_SCHEDULED,$EN59)&amp;""))="X"),1,0))</f>
        <v/>
      </c>
      <c r="EP59">
        <f>IF($DM59=0,"",IF(COUNTIFS($EG$5:$EG$1003,$EG59,$EB$5:$EB$1003,"Ready")&gt;0,"READY",IF(COUNTIFS($EG$5:$EG$1003,$EG59,$EB$5:$EB$1003,"PM")&gt;0,"PM",IF(COUNTIFS($EG$5:$EG$1003,$EG59,$EB$5:$EB$1003,"OT")&gt;0,"OT",""))))</f>
        <v/>
      </c>
      <c r="EQ59">
        <f>IF($EN59=0,"",UPPER(TRIM(INDEX(LINES_STATUS,$EN59)&amp;"")))</f>
        <v/>
      </c>
      <c r="ER59">
        <f>IF($DM59=0,"",IF(OR($EQ59="READY",$EQ59="PM",$EQ59="OT"),$EQ59,$EP59))</f>
        <v/>
      </c>
      <c r="ES59">
        <f>IF($DM59=0,"",IF(AND($DV59&lt;&gt;"",UPPER($DV59)&lt;&gt;"N"),"allergen",IF(ISNUMBER(SEARCH("oil",$DQ59)),"oil",IF(OR(EXACT($DS59,"A662"),EXACT($DS59,"A624")),"bulk",""))))</f>
        <v/>
      </c>
      <c r="ET59">
        <f>IF($DM59=0,"",IF(OR($EA59="",$EA59=0),"",$EA59/100))</f>
        <v/>
      </c>
      <c r="EU59">
        <f>IF(OR($ET59="",$DY59=""),"",INT($DY59*(1-$ET59)+0.5))</f>
        <v/>
      </c>
      <c r="EW59" t="n">
        <v>55</v>
      </c>
      <c r="EX59">
        <f>IFERROR(MATCH($EW59,$EM$5:$EM$1003,0),0)</f>
        <v/>
      </c>
      <c r="EY59">
        <f>IF($EW59&gt;$B$12,"",IF($EX59&gt;0,"row","spacer"))</f>
        <v/>
      </c>
      <c r="EZ59">
        <f>IF(AND($EY59="row",$EY58&lt;&gt;"row"),1,0)</f>
        <v/>
      </c>
      <c r="FA59">
        <f>IF(AND($EY59="row",$EY60&lt;&gt;"row"),1,0)</f>
        <v/>
      </c>
      <c r="FB59">
        <f>IF($EZ59=1,IFERROR(IF(ISNUMBER(INDEX(PASTE_ALL,INDEX($DF$5:$DF$1003,$EX59),$B$37)),INDEX(PASTE_ALL,INDEX($DF$5:$DF$1003,$EX59),$B$37),INDEX($DH$5:$DH$1003,$EX59)),INDEX($DH$5:$DH$1003,$EX59)),"")</f>
        <v/>
      </c>
      <c r="FC59">
        <f>IF($EY59="row",INDEX($ER$5:$ER$1003,$EX59),"")</f>
        <v/>
      </c>
      <c r="FD59">
        <f>IF($EY59="row",INDEX($DN$5:$DN$1003,$EX59),"")</f>
        <v/>
      </c>
      <c r="FE59">
        <f>IF($EY59="row",INDEX($DO$5:$DO$1003,$EX59),"")</f>
        <v/>
      </c>
      <c r="FF59">
        <f>IF($EY59="row",INDEX($DP$5:$DP$1003,$EX59),"")</f>
        <v/>
      </c>
      <c r="FG59">
        <f>IF($EY59="row",INDEX($DQ$5:$DQ$1003,$EX59),"")</f>
        <v/>
      </c>
      <c r="FH59">
        <f>IF($EY59="row",INDEX($DR$5:$DR$1003,$EX59),"")</f>
        <v/>
      </c>
      <c r="FI59">
        <f>IF($EY59="row",INDEX($DS$5:$DS$1003,$EX59),"")</f>
        <v/>
      </c>
      <c r="FJ59">
        <f>IF($EY59="row",INDEX($DT$5:$DT$1003,$EX59),"")</f>
        <v/>
      </c>
      <c r="FK59">
        <f>IF($EY59="row",INDEX($DU$5:$DU$1003,$EX59),"")</f>
        <v/>
      </c>
      <c r="FL59">
        <f>IF($EY59="row",INDEX($DV$5:$DV$1003,$EX59),"")</f>
        <v/>
      </c>
      <c r="FM59">
        <f>IF($EY59="row",INDEX($DW$5:$DW$1003,$EX59),"")</f>
        <v/>
      </c>
      <c r="FN59">
        <f>IF($EY59="row",INDEX($DY$5:$DY$1003,$EX59),"")</f>
        <v/>
      </c>
      <c r="FO59">
        <f>IF($EY59="row",INDEX($EA$5:$EA$1003,$EX59),"")</f>
        <v/>
      </c>
      <c r="FP59">
        <f>IF($EY59="row",INDEX($EC$5:$EC$1003,$EX59),"")</f>
        <v/>
      </c>
      <c r="FQ59">
        <f>IF($EY59="row",INDEX($ET$5:$ET$1003,$EX59),"")</f>
        <v/>
      </c>
      <c r="FR59">
        <f>IF($EY59="row",INDEX($EU$5:$EU$1003,$EX59),"")</f>
        <v/>
      </c>
      <c r="FS59">
        <f>IF(AND($EY59="row",$EY58="row"),IF(OR(INDEX($DT$5:$DT$1003,$EX58)="",INDEX($DT$5:$DT$1003,$EX59)=""),"",IF(NOT(EXACT(INDEX($DT$5:$DT$1003,$EX58),INDEX($DT$5:$DT$1003,$EX59))),"S4",IF(NOT(EXACT(INDEX($DS$5:$DS$1003,$EX58),INDEX($DS$5:$DS$1003,$EX59))),"S3",IF(NOT(EXACT(INDEX($DR$5:$DR$1003,$EX58),INDEX($DR$5:$DR$1003,$EX59))),"S1 Count Change","S1")))),"")</f>
        <v/>
      </c>
      <c r="FT59">
        <f>IF($EY59="row",INDEX($ES$5:$ES$1003,$EX59),"")</f>
        <v/>
      </c>
      <c r="FU59">
        <f>IF($EY59="row",INDEX($EO$5:$EO$1003,$EX59),0)</f>
        <v/>
      </c>
      <c r="FV59">
        <f>IF($FS59="S1 Count Change",1,0)</f>
        <v/>
      </c>
      <c r="FX59" t="n">
        <v>55</v>
      </c>
      <c r="FY59">
        <f>IFERROR(MATCH($FX59,$EF$5:$EF$1003,0),0)</f>
        <v/>
      </c>
      <c r="FZ59">
        <f>IF($FY59=0,"",INDEX($DH$5:$DH$1003,$FY59))</f>
        <v/>
      </c>
      <c r="GA59">
        <f>IF($FY59=0,"",COUNTIF($EG$5:$EG$1003,$FX59))</f>
        <v/>
      </c>
      <c r="GB59">
        <f>IF($FY59=0,"",INDEX($ER$5:$ER$1003,$FY59))</f>
        <v/>
      </c>
      <c r="GC59">
        <f>IF($FY59=0,"",IF(INDEX($EO$5:$EO$1003,$FY59)=1,"Yes",""))</f>
        <v/>
      </c>
      <c r="GD59">
        <f>IF($FY59=0,"",IF(INDEX($EN$5:$EN$1003,$FY59)&gt;0,"","NOT IN YOUR LIST - type it in column A to tick it"))</f>
        <v/>
      </c>
      <c r="GE59">
        <f>IF(AND($FY59&gt;0,$GD59&lt;&gt;""),1,0)</f>
        <v/>
      </c>
      <c r="GF59">
        <f>GF58+$GE59</f>
        <v/>
      </c>
      <c r="GG59">
        <f>IFERROR(INDEX($FZ$5:$FZ$104,MATCH($FX59,$GF$5:$GF$104,0)),"")</f>
        <v/>
      </c>
    </row>
    <row r="60">
      <c r="S60" t="n">
        <v>56</v>
      </c>
      <c r="T60" t="inlineStr">
        <is>
          <t>BD</t>
        </is>
      </c>
      <c r="V60" t="inlineStr">
        <is>
          <t>ALLERGEN</t>
        </is>
      </c>
      <c r="W60" t="n">
        <v>10</v>
      </c>
      <c r="Y60">
        <f>IFERROR(IF(ISNUMBER(INDEX(PASTE_ALL,11,1)),2,IF(TRIM(INDEX(PASTE_ALL,11,1))="",0,IF(AND(LEFT(MID(TRIM(INDEX(PASTE_ALL,11,1)),1+(LEFT(TRIM(INDEX(PASTE_ALL,11,1)),1)="-"),999),LEN(MID(TRIM(INDEX(PASTE_ALL,11,1)),1+(LEFT(TRIM(INDEX(PASTE_ALL,11,1)),1)="-"),999))-(RIGHT(MID(TRIM(INDEX(PASTE_ALL,11,1)),1+(LEFT(TRIM(INDEX(PASTE_ALL,11,1)),1)="-"),999),1)="%"))&lt;&gt;"",SUBSTITUTE(SUBSTITUTE(SUBSTITUTE(SUBSTITUTE(SUBSTITUTE(SUBSTITUTE(SUBSTITUTE(SUBSTITUTE(SUBSTITUTE(SUBSTITUTE(SUBSTITUTE(SUBSTITUTE(LEFT(MID(TRIM(INDEX(PASTE_ALL,11,1)),1+(LEFT(TRIM(INDEX(PASTE_ALL,11,1)),1)="-"),999),LEN(MID(TRIM(INDEX(PASTE_ALL,11,1)),1+(LEFT(TRIM(INDEX(PASTE_ALL,11,1)),1)="-"),999))-(RIGHT(MID(TRIM(INDEX(PASTE_ALL,11,1)),1+(LEFT(TRIM(INDEX(PASTE_ALL,11,1)),1)="-"),999),1)="%")),"0",""),"1",""),"2",""),"3",""),"4",""),"5",""),"6",""),"7",""),"8",""),"9",""),".",""),",","")=""),2,1))),1)</f>
        <v/>
      </c>
      <c r="Z60">
        <f>IFERROR(IF(ISNUMBER(INDEX(PASTE_ALL,11,2)),2,IF(TRIM(INDEX(PASTE_ALL,11,2))="",0,IF(AND(LEFT(MID(TRIM(INDEX(PASTE_ALL,11,2)),1+(LEFT(TRIM(INDEX(PASTE_ALL,11,2)),1)="-"),999),LEN(MID(TRIM(INDEX(PASTE_ALL,11,2)),1+(LEFT(TRIM(INDEX(PASTE_ALL,11,2)),1)="-"),999))-(RIGHT(MID(TRIM(INDEX(PASTE_ALL,11,2)),1+(LEFT(TRIM(INDEX(PASTE_ALL,11,2)),1)="-"),999),1)="%"))&lt;&gt;"",SUBSTITUTE(SUBSTITUTE(SUBSTITUTE(SUBSTITUTE(SUBSTITUTE(SUBSTITUTE(SUBSTITUTE(SUBSTITUTE(SUBSTITUTE(SUBSTITUTE(SUBSTITUTE(SUBSTITUTE(LEFT(MID(TRIM(INDEX(PASTE_ALL,11,2)),1+(LEFT(TRIM(INDEX(PASTE_ALL,11,2)),1)="-"),999),LEN(MID(TRIM(INDEX(PASTE_ALL,11,2)),1+(LEFT(TRIM(INDEX(PASTE_ALL,11,2)),1)="-"),999))-(RIGHT(MID(TRIM(INDEX(PASTE_ALL,11,2)),1+(LEFT(TRIM(INDEX(PASTE_ALL,11,2)),1)="-"),999),1)="%")),"0",""),"1",""),"2",""),"3",""),"4",""),"5",""),"6",""),"7",""),"8",""),"9",""),".",""),",","")=""),2,1))),1)</f>
        <v/>
      </c>
      <c r="AA60">
        <f>IFERROR(IF(ISNUMBER(INDEX(PASTE_ALL,11,3)),2,IF(TRIM(INDEX(PASTE_ALL,11,3))="",0,IF(AND(LEFT(MID(TRIM(INDEX(PASTE_ALL,11,3)),1+(LEFT(TRIM(INDEX(PASTE_ALL,11,3)),1)="-"),999),LEN(MID(TRIM(INDEX(PASTE_ALL,11,3)),1+(LEFT(TRIM(INDEX(PASTE_ALL,11,3)),1)="-"),999))-(RIGHT(MID(TRIM(INDEX(PASTE_ALL,11,3)),1+(LEFT(TRIM(INDEX(PASTE_ALL,11,3)),1)="-"),999),1)="%"))&lt;&gt;"",SUBSTITUTE(SUBSTITUTE(SUBSTITUTE(SUBSTITUTE(SUBSTITUTE(SUBSTITUTE(SUBSTITUTE(SUBSTITUTE(SUBSTITUTE(SUBSTITUTE(SUBSTITUTE(SUBSTITUTE(LEFT(MID(TRIM(INDEX(PASTE_ALL,11,3)),1+(LEFT(TRIM(INDEX(PASTE_ALL,11,3)),1)="-"),999),LEN(MID(TRIM(INDEX(PASTE_ALL,11,3)),1+(LEFT(TRIM(INDEX(PASTE_ALL,11,3)),1)="-"),999))-(RIGHT(MID(TRIM(INDEX(PASTE_ALL,11,3)),1+(LEFT(TRIM(INDEX(PASTE_ALL,11,3)),1)="-"),999),1)="%")),"0",""),"1",""),"2",""),"3",""),"4",""),"5",""),"6",""),"7",""),"8",""),"9",""),".",""),",","")=""),2,1))),1)</f>
        <v/>
      </c>
      <c r="AB60">
        <f>IFERROR(IF(ISNUMBER(INDEX(PASTE_ALL,11,4)),2,IF(TRIM(INDEX(PASTE_ALL,11,4))="",0,IF(AND(LEFT(MID(TRIM(INDEX(PASTE_ALL,11,4)),1+(LEFT(TRIM(INDEX(PASTE_ALL,11,4)),1)="-"),999),LEN(MID(TRIM(INDEX(PASTE_ALL,11,4)),1+(LEFT(TRIM(INDEX(PASTE_ALL,11,4)),1)="-"),999))-(RIGHT(MID(TRIM(INDEX(PASTE_ALL,11,4)),1+(LEFT(TRIM(INDEX(PASTE_ALL,11,4)),1)="-"),999),1)="%"))&lt;&gt;"",SUBSTITUTE(SUBSTITUTE(SUBSTITUTE(SUBSTITUTE(SUBSTITUTE(SUBSTITUTE(SUBSTITUTE(SUBSTITUTE(SUBSTITUTE(SUBSTITUTE(SUBSTITUTE(SUBSTITUTE(LEFT(MID(TRIM(INDEX(PASTE_ALL,11,4)),1+(LEFT(TRIM(INDEX(PASTE_ALL,11,4)),1)="-"),999),LEN(MID(TRIM(INDEX(PASTE_ALL,11,4)),1+(LEFT(TRIM(INDEX(PASTE_ALL,11,4)),1)="-"),999))-(RIGHT(MID(TRIM(INDEX(PASTE_ALL,11,4)),1+(LEFT(TRIM(INDEX(PASTE_ALL,11,4)),1)="-"),999),1)="%")),"0",""),"1",""),"2",""),"3",""),"4",""),"5",""),"6",""),"7",""),"8",""),"9",""),".",""),",","")=""),2,1))),1)</f>
        <v/>
      </c>
      <c r="AC60">
        <f>IFERROR(IF(ISNUMBER(INDEX(PASTE_ALL,11,5)),2,IF(TRIM(INDEX(PASTE_ALL,11,5))="",0,IF(AND(LEFT(MID(TRIM(INDEX(PASTE_ALL,11,5)),1+(LEFT(TRIM(INDEX(PASTE_ALL,11,5)),1)="-"),999),LEN(MID(TRIM(INDEX(PASTE_ALL,11,5)),1+(LEFT(TRIM(INDEX(PASTE_ALL,11,5)),1)="-"),999))-(RIGHT(MID(TRIM(INDEX(PASTE_ALL,11,5)),1+(LEFT(TRIM(INDEX(PASTE_ALL,11,5)),1)="-"),999),1)="%"))&lt;&gt;"",SUBSTITUTE(SUBSTITUTE(SUBSTITUTE(SUBSTITUTE(SUBSTITUTE(SUBSTITUTE(SUBSTITUTE(SUBSTITUTE(SUBSTITUTE(SUBSTITUTE(SUBSTITUTE(SUBSTITUTE(LEFT(MID(TRIM(INDEX(PASTE_ALL,11,5)),1+(LEFT(TRIM(INDEX(PASTE_ALL,11,5)),1)="-"),999),LEN(MID(TRIM(INDEX(PASTE_ALL,11,5)),1+(LEFT(TRIM(INDEX(PASTE_ALL,11,5)),1)="-"),999))-(RIGHT(MID(TRIM(INDEX(PASTE_ALL,11,5)),1+(LEFT(TRIM(INDEX(PASTE_ALL,11,5)),1)="-"),999),1)="%")),"0",""),"1",""),"2",""),"3",""),"4",""),"5",""),"6",""),"7",""),"8",""),"9",""),".",""),",","")=""),2,1))),1)</f>
        <v/>
      </c>
      <c r="AD60">
        <f>IFERROR(IF(ISNUMBER(INDEX(PASTE_ALL,11,6)),2,IF(TRIM(INDEX(PASTE_ALL,11,6))="",0,IF(AND(LEFT(MID(TRIM(INDEX(PASTE_ALL,11,6)),1+(LEFT(TRIM(INDEX(PASTE_ALL,11,6)),1)="-"),999),LEN(MID(TRIM(INDEX(PASTE_ALL,11,6)),1+(LEFT(TRIM(INDEX(PASTE_ALL,11,6)),1)="-"),999))-(RIGHT(MID(TRIM(INDEX(PASTE_ALL,11,6)),1+(LEFT(TRIM(INDEX(PASTE_ALL,11,6)),1)="-"),999),1)="%"))&lt;&gt;"",SUBSTITUTE(SUBSTITUTE(SUBSTITUTE(SUBSTITUTE(SUBSTITUTE(SUBSTITUTE(SUBSTITUTE(SUBSTITUTE(SUBSTITUTE(SUBSTITUTE(SUBSTITUTE(SUBSTITUTE(LEFT(MID(TRIM(INDEX(PASTE_ALL,11,6)),1+(LEFT(TRIM(INDEX(PASTE_ALL,11,6)),1)="-"),999),LEN(MID(TRIM(INDEX(PASTE_ALL,11,6)),1+(LEFT(TRIM(INDEX(PASTE_ALL,11,6)),1)="-"),999))-(RIGHT(MID(TRIM(INDEX(PASTE_ALL,11,6)),1+(LEFT(TRIM(INDEX(PASTE_ALL,11,6)),1)="-"),999),1)="%")),"0",""),"1",""),"2",""),"3",""),"4",""),"5",""),"6",""),"7",""),"8",""),"9",""),".",""),",","")=""),2,1))),1)</f>
        <v/>
      </c>
      <c r="AE60">
        <f>IFERROR(IF(ISNUMBER(INDEX(PASTE_ALL,11,7)),2,IF(TRIM(INDEX(PASTE_ALL,11,7))="",0,IF(AND(LEFT(MID(TRIM(INDEX(PASTE_ALL,11,7)),1+(LEFT(TRIM(INDEX(PASTE_ALL,11,7)),1)="-"),999),LEN(MID(TRIM(INDEX(PASTE_ALL,11,7)),1+(LEFT(TRIM(INDEX(PASTE_ALL,11,7)),1)="-"),999))-(RIGHT(MID(TRIM(INDEX(PASTE_ALL,11,7)),1+(LEFT(TRIM(INDEX(PASTE_ALL,11,7)),1)="-"),999),1)="%"))&lt;&gt;"",SUBSTITUTE(SUBSTITUTE(SUBSTITUTE(SUBSTITUTE(SUBSTITUTE(SUBSTITUTE(SUBSTITUTE(SUBSTITUTE(SUBSTITUTE(SUBSTITUTE(SUBSTITUTE(SUBSTITUTE(LEFT(MID(TRIM(INDEX(PASTE_ALL,11,7)),1+(LEFT(TRIM(INDEX(PASTE_ALL,11,7)),1)="-"),999),LEN(MID(TRIM(INDEX(PASTE_ALL,11,7)),1+(LEFT(TRIM(INDEX(PASTE_ALL,11,7)),1)="-"),999))-(RIGHT(MID(TRIM(INDEX(PASTE_ALL,11,7)),1+(LEFT(TRIM(INDEX(PASTE_ALL,11,7)),1)="-"),999),1)="%")),"0",""),"1",""),"2",""),"3",""),"4",""),"5",""),"6",""),"7",""),"8",""),"9",""),".",""),",","")=""),2,1))),1)</f>
        <v/>
      </c>
      <c r="AF60">
        <f>IFERROR(IF(ISNUMBER(INDEX(PASTE_ALL,11,8)),2,IF(TRIM(INDEX(PASTE_ALL,11,8))="",0,IF(AND(LEFT(MID(TRIM(INDEX(PASTE_ALL,11,8)),1+(LEFT(TRIM(INDEX(PASTE_ALL,11,8)),1)="-"),999),LEN(MID(TRIM(INDEX(PASTE_ALL,11,8)),1+(LEFT(TRIM(INDEX(PASTE_ALL,11,8)),1)="-"),999))-(RIGHT(MID(TRIM(INDEX(PASTE_ALL,11,8)),1+(LEFT(TRIM(INDEX(PASTE_ALL,11,8)),1)="-"),999),1)="%"))&lt;&gt;"",SUBSTITUTE(SUBSTITUTE(SUBSTITUTE(SUBSTITUTE(SUBSTITUTE(SUBSTITUTE(SUBSTITUTE(SUBSTITUTE(SUBSTITUTE(SUBSTITUTE(SUBSTITUTE(SUBSTITUTE(LEFT(MID(TRIM(INDEX(PASTE_ALL,11,8)),1+(LEFT(TRIM(INDEX(PASTE_ALL,11,8)),1)="-"),999),LEN(MID(TRIM(INDEX(PASTE_ALL,11,8)),1+(LEFT(TRIM(INDEX(PASTE_ALL,11,8)),1)="-"),999))-(RIGHT(MID(TRIM(INDEX(PASTE_ALL,11,8)),1+(LEFT(TRIM(INDEX(PASTE_ALL,11,8)),1)="-"),999),1)="%")),"0",""),"1",""),"2",""),"3",""),"4",""),"5",""),"6",""),"7",""),"8",""),"9",""),".",""),",","")=""),2,1))),1)</f>
        <v/>
      </c>
      <c r="AG60">
        <f>IFERROR(IF(ISNUMBER(INDEX(PASTE_ALL,11,9)),2,IF(TRIM(INDEX(PASTE_ALL,11,9))="",0,IF(AND(LEFT(MID(TRIM(INDEX(PASTE_ALL,11,9)),1+(LEFT(TRIM(INDEX(PASTE_ALL,11,9)),1)="-"),999),LEN(MID(TRIM(INDEX(PASTE_ALL,11,9)),1+(LEFT(TRIM(INDEX(PASTE_ALL,11,9)),1)="-"),999))-(RIGHT(MID(TRIM(INDEX(PASTE_ALL,11,9)),1+(LEFT(TRIM(INDEX(PASTE_ALL,11,9)),1)="-"),999),1)="%"))&lt;&gt;"",SUBSTITUTE(SUBSTITUTE(SUBSTITUTE(SUBSTITUTE(SUBSTITUTE(SUBSTITUTE(SUBSTITUTE(SUBSTITUTE(SUBSTITUTE(SUBSTITUTE(SUBSTITUTE(SUBSTITUTE(LEFT(MID(TRIM(INDEX(PASTE_ALL,11,9)),1+(LEFT(TRIM(INDEX(PASTE_ALL,11,9)),1)="-"),999),LEN(MID(TRIM(INDEX(PASTE_ALL,11,9)),1+(LEFT(TRIM(INDEX(PASTE_ALL,11,9)),1)="-"),999))-(RIGHT(MID(TRIM(INDEX(PASTE_ALL,11,9)),1+(LEFT(TRIM(INDEX(PASTE_ALL,11,9)),1)="-"),999),1)="%")),"0",""),"1",""),"2",""),"3",""),"4",""),"5",""),"6",""),"7",""),"8",""),"9",""),".",""),",","")=""),2,1))),1)</f>
        <v/>
      </c>
      <c r="AH60">
        <f>IFERROR(IF(ISNUMBER(INDEX(PASTE_ALL,11,10)),2,IF(TRIM(INDEX(PASTE_ALL,11,10))="",0,IF(AND(LEFT(MID(TRIM(INDEX(PASTE_ALL,11,10)),1+(LEFT(TRIM(INDEX(PASTE_ALL,11,10)),1)="-"),999),LEN(MID(TRIM(INDEX(PASTE_ALL,11,10)),1+(LEFT(TRIM(INDEX(PASTE_ALL,11,10)),1)="-"),999))-(RIGHT(MID(TRIM(INDEX(PASTE_ALL,11,10)),1+(LEFT(TRIM(INDEX(PASTE_ALL,11,10)),1)="-"),999),1)="%"))&lt;&gt;"",SUBSTITUTE(SUBSTITUTE(SUBSTITUTE(SUBSTITUTE(SUBSTITUTE(SUBSTITUTE(SUBSTITUTE(SUBSTITUTE(SUBSTITUTE(SUBSTITUTE(SUBSTITUTE(SUBSTITUTE(LEFT(MID(TRIM(INDEX(PASTE_ALL,11,10)),1+(LEFT(TRIM(INDEX(PASTE_ALL,11,10)),1)="-"),999),LEN(MID(TRIM(INDEX(PASTE_ALL,11,10)),1+(LEFT(TRIM(INDEX(PASTE_ALL,11,10)),1)="-"),999))-(RIGHT(MID(TRIM(INDEX(PASTE_ALL,11,10)),1+(LEFT(TRIM(INDEX(PASTE_ALL,11,10)),1)="-"),999),1)="%")),"0",""),"1",""),"2",""),"3",""),"4",""),"5",""),"6",""),"7",""),"8",""),"9",""),".",""),",","")=""),2,1))),1)</f>
        <v/>
      </c>
      <c r="AI60">
        <f>IFERROR(IF(ISNUMBER(INDEX(PASTE_ALL,11,11)),2,IF(TRIM(INDEX(PASTE_ALL,11,11))="",0,IF(AND(LEFT(MID(TRIM(INDEX(PASTE_ALL,11,11)),1+(LEFT(TRIM(INDEX(PASTE_ALL,11,11)),1)="-"),999),LEN(MID(TRIM(INDEX(PASTE_ALL,11,11)),1+(LEFT(TRIM(INDEX(PASTE_ALL,11,11)),1)="-"),999))-(RIGHT(MID(TRIM(INDEX(PASTE_ALL,11,11)),1+(LEFT(TRIM(INDEX(PASTE_ALL,11,11)),1)="-"),999),1)="%"))&lt;&gt;"",SUBSTITUTE(SUBSTITUTE(SUBSTITUTE(SUBSTITUTE(SUBSTITUTE(SUBSTITUTE(SUBSTITUTE(SUBSTITUTE(SUBSTITUTE(SUBSTITUTE(SUBSTITUTE(SUBSTITUTE(LEFT(MID(TRIM(INDEX(PASTE_ALL,11,11)),1+(LEFT(TRIM(INDEX(PASTE_ALL,11,11)),1)="-"),999),LEN(MID(TRIM(INDEX(PASTE_ALL,11,11)),1+(LEFT(TRIM(INDEX(PASTE_ALL,11,11)),1)="-"),999))-(RIGHT(MID(TRIM(INDEX(PASTE_ALL,11,11)),1+(LEFT(TRIM(INDEX(PASTE_ALL,11,11)),1)="-"),999),1)="%")),"0",""),"1",""),"2",""),"3",""),"4",""),"5",""),"6",""),"7",""),"8",""),"9",""),".",""),",","")=""),2,1))),1)</f>
        <v/>
      </c>
      <c r="AJ60">
        <f>IFERROR(IF(ISNUMBER(INDEX(PASTE_ALL,11,12)),2,IF(TRIM(INDEX(PASTE_ALL,11,12))="",0,IF(AND(LEFT(MID(TRIM(INDEX(PASTE_ALL,11,12)),1+(LEFT(TRIM(INDEX(PASTE_ALL,11,12)),1)="-"),999),LEN(MID(TRIM(INDEX(PASTE_ALL,11,12)),1+(LEFT(TRIM(INDEX(PASTE_ALL,11,12)),1)="-"),999))-(RIGHT(MID(TRIM(INDEX(PASTE_ALL,11,12)),1+(LEFT(TRIM(INDEX(PASTE_ALL,11,12)),1)="-"),999),1)="%"))&lt;&gt;"",SUBSTITUTE(SUBSTITUTE(SUBSTITUTE(SUBSTITUTE(SUBSTITUTE(SUBSTITUTE(SUBSTITUTE(SUBSTITUTE(SUBSTITUTE(SUBSTITUTE(SUBSTITUTE(SUBSTITUTE(LEFT(MID(TRIM(INDEX(PASTE_ALL,11,12)),1+(LEFT(TRIM(INDEX(PASTE_ALL,11,12)),1)="-"),999),LEN(MID(TRIM(INDEX(PASTE_ALL,11,12)),1+(LEFT(TRIM(INDEX(PASTE_ALL,11,12)),1)="-"),999))-(RIGHT(MID(TRIM(INDEX(PASTE_ALL,11,12)),1+(LEFT(TRIM(INDEX(PASTE_ALL,11,12)),1)="-"),999),1)="%")),"0",""),"1",""),"2",""),"3",""),"4",""),"5",""),"6",""),"7",""),"8",""),"9",""),".",""),",","")=""),2,1))),1)</f>
        <v/>
      </c>
      <c r="AK60">
        <f>IFERROR(IF(ISNUMBER(INDEX(PASTE_ALL,11,13)),2,IF(TRIM(INDEX(PASTE_ALL,11,13))="",0,IF(AND(LEFT(MID(TRIM(INDEX(PASTE_ALL,11,13)),1+(LEFT(TRIM(INDEX(PASTE_ALL,11,13)),1)="-"),999),LEN(MID(TRIM(INDEX(PASTE_ALL,11,13)),1+(LEFT(TRIM(INDEX(PASTE_ALL,11,13)),1)="-"),999))-(RIGHT(MID(TRIM(INDEX(PASTE_ALL,11,13)),1+(LEFT(TRIM(INDEX(PASTE_ALL,11,13)),1)="-"),999),1)="%"))&lt;&gt;"",SUBSTITUTE(SUBSTITUTE(SUBSTITUTE(SUBSTITUTE(SUBSTITUTE(SUBSTITUTE(SUBSTITUTE(SUBSTITUTE(SUBSTITUTE(SUBSTITUTE(SUBSTITUTE(SUBSTITUTE(LEFT(MID(TRIM(INDEX(PASTE_ALL,11,13)),1+(LEFT(TRIM(INDEX(PASTE_ALL,11,13)),1)="-"),999),LEN(MID(TRIM(INDEX(PASTE_ALL,11,13)),1+(LEFT(TRIM(INDEX(PASTE_ALL,11,13)),1)="-"),999))-(RIGHT(MID(TRIM(INDEX(PASTE_ALL,11,13)),1+(LEFT(TRIM(INDEX(PASTE_ALL,11,13)),1)="-"),999),1)="%")),"0",""),"1",""),"2",""),"3",""),"4",""),"5",""),"6",""),"7",""),"8",""),"9",""),".",""),",","")=""),2,1))),1)</f>
        <v/>
      </c>
      <c r="AL60">
        <f>IFERROR(IF(ISNUMBER(INDEX(PASTE_ALL,11,14)),2,IF(TRIM(INDEX(PASTE_ALL,11,14))="",0,IF(AND(LEFT(MID(TRIM(INDEX(PASTE_ALL,11,14)),1+(LEFT(TRIM(INDEX(PASTE_ALL,11,14)),1)="-"),999),LEN(MID(TRIM(INDEX(PASTE_ALL,11,14)),1+(LEFT(TRIM(INDEX(PASTE_ALL,11,14)),1)="-"),999))-(RIGHT(MID(TRIM(INDEX(PASTE_ALL,11,14)),1+(LEFT(TRIM(INDEX(PASTE_ALL,11,14)),1)="-"),999),1)="%"))&lt;&gt;"",SUBSTITUTE(SUBSTITUTE(SUBSTITUTE(SUBSTITUTE(SUBSTITUTE(SUBSTITUTE(SUBSTITUTE(SUBSTITUTE(SUBSTITUTE(SUBSTITUTE(SUBSTITUTE(SUBSTITUTE(LEFT(MID(TRIM(INDEX(PASTE_ALL,11,14)),1+(LEFT(TRIM(INDEX(PASTE_ALL,11,14)),1)="-"),999),LEN(MID(TRIM(INDEX(PASTE_ALL,11,14)),1+(LEFT(TRIM(INDEX(PASTE_ALL,11,14)),1)="-"),999))-(RIGHT(MID(TRIM(INDEX(PASTE_ALL,11,14)),1+(LEFT(TRIM(INDEX(PASTE_ALL,11,14)),1)="-"),999),1)="%")),"0",""),"1",""),"2",""),"3",""),"4",""),"5",""),"6",""),"7",""),"8",""),"9",""),".",""),",","")=""),2,1))),1)</f>
        <v/>
      </c>
      <c r="AM60">
        <f>IFERROR(IF(ISNUMBER(INDEX(PASTE_ALL,11,15)),2,IF(TRIM(INDEX(PASTE_ALL,11,15))="",0,IF(AND(LEFT(MID(TRIM(INDEX(PASTE_ALL,11,15)),1+(LEFT(TRIM(INDEX(PASTE_ALL,11,15)),1)="-"),999),LEN(MID(TRIM(INDEX(PASTE_ALL,11,15)),1+(LEFT(TRIM(INDEX(PASTE_ALL,11,15)),1)="-"),999))-(RIGHT(MID(TRIM(INDEX(PASTE_ALL,11,15)),1+(LEFT(TRIM(INDEX(PASTE_ALL,11,15)),1)="-"),999),1)="%"))&lt;&gt;"",SUBSTITUTE(SUBSTITUTE(SUBSTITUTE(SUBSTITUTE(SUBSTITUTE(SUBSTITUTE(SUBSTITUTE(SUBSTITUTE(SUBSTITUTE(SUBSTITUTE(SUBSTITUTE(SUBSTITUTE(LEFT(MID(TRIM(INDEX(PASTE_ALL,11,15)),1+(LEFT(TRIM(INDEX(PASTE_ALL,11,15)),1)="-"),999),LEN(MID(TRIM(INDEX(PASTE_ALL,11,15)),1+(LEFT(TRIM(INDEX(PASTE_ALL,11,15)),1)="-"),999))-(RIGHT(MID(TRIM(INDEX(PASTE_ALL,11,15)),1+(LEFT(TRIM(INDEX(PASTE_ALL,11,15)),1)="-"),999),1)="%")),"0",""),"1",""),"2",""),"3",""),"4",""),"5",""),"6",""),"7",""),"8",""),"9",""),".",""),",","")=""),2,1))),1)</f>
        <v/>
      </c>
      <c r="AN60">
        <f>IFERROR(IF(ISNUMBER(INDEX(PASTE_ALL,11,16)),2,IF(TRIM(INDEX(PASTE_ALL,11,16))="",0,IF(AND(LEFT(MID(TRIM(INDEX(PASTE_ALL,11,16)),1+(LEFT(TRIM(INDEX(PASTE_ALL,11,16)),1)="-"),999),LEN(MID(TRIM(INDEX(PASTE_ALL,11,16)),1+(LEFT(TRIM(INDEX(PASTE_ALL,11,16)),1)="-"),999))-(RIGHT(MID(TRIM(INDEX(PASTE_ALL,11,16)),1+(LEFT(TRIM(INDEX(PASTE_ALL,11,16)),1)="-"),999),1)="%"))&lt;&gt;"",SUBSTITUTE(SUBSTITUTE(SUBSTITUTE(SUBSTITUTE(SUBSTITUTE(SUBSTITUTE(SUBSTITUTE(SUBSTITUTE(SUBSTITUTE(SUBSTITUTE(SUBSTITUTE(SUBSTITUTE(LEFT(MID(TRIM(INDEX(PASTE_ALL,11,16)),1+(LEFT(TRIM(INDEX(PASTE_ALL,11,16)),1)="-"),999),LEN(MID(TRIM(INDEX(PASTE_ALL,11,16)),1+(LEFT(TRIM(INDEX(PASTE_ALL,11,16)),1)="-"),999))-(RIGHT(MID(TRIM(INDEX(PASTE_ALL,11,16)),1+(LEFT(TRIM(INDEX(PASTE_ALL,11,16)),1)="-"),999),1)="%")),"0",""),"1",""),"2",""),"3",""),"4",""),"5",""),"6",""),"7",""),"8",""),"9",""),".",""),",","")=""),2,1))),1)</f>
        <v/>
      </c>
      <c r="AO60">
        <f>IFERROR(IF(ISNUMBER(INDEX(PASTE_ALL,11,17)),2,IF(TRIM(INDEX(PASTE_ALL,11,17))="",0,IF(AND(LEFT(MID(TRIM(INDEX(PASTE_ALL,11,17)),1+(LEFT(TRIM(INDEX(PASTE_ALL,11,17)),1)="-"),999),LEN(MID(TRIM(INDEX(PASTE_ALL,11,17)),1+(LEFT(TRIM(INDEX(PASTE_ALL,11,17)),1)="-"),999))-(RIGHT(MID(TRIM(INDEX(PASTE_ALL,11,17)),1+(LEFT(TRIM(INDEX(PASTE_ALL,11,17)),1)="-"),999),1)="%"))&lt;&gt;"",SUBSTITUTE(SUBSTITUTE(SUBSTITUTE(SUBSTITUTE(SUBSTITUTE(SUBSTITUTE(SUBSTITUTE(SUBSTITUTE(SUBSTITUTE(SUBSTITUTE(SUBSTITUTE(SUBSTITUTE(LEFT(MID(TRIM(INDEX(PASTE_ALL,11,17)),1+(LEFT(TRIM(INDEX(PASTE_ALL,11,17)),1)="-"),999),LEN(MID(TRIM(INDEX(PASTE_ALL,11,17)),1+(LEFT(TRIM(INDEX(PASTE_ALL,11,17)),1)="-"),999))-(RIGHT(MID(TRIM(INDEX(PASTE_ALL,11,17)),1+(LEFT(TRIM(INDEX(PASTE_ALL,11,17)),1)="-"),999),1)="%")),"0",""),"1",""),"2",""),"3",""),"4",""),"5",""),"6",""),"7",""),"8",""),"9",""),".",""),",","")=""),2,1))),1)</f>
        <v/>
      </c>
      <c r="AP60">
        <f>IFERROR(IF(ISNUMBER(INDEX(PASTE_ALL,11,18)),2,IF(TRIM(INDEX(PASTE_ALL,11,18))="",0,IF(AND(LEFT(MID(TRIM(INDEX(PASTE_ALL,11,18)),1+(LEFT(TRIM(INDEX(PASTE_ALL,11,18)),1)="-"),999),LEN(MID(TRIM(INDEX(PASTE_ALL,11,18)),1+(LEFT(TRIM(INDEX(PASTE_ALL,11,18)),1)="-"),999))-(RIGHT(MID(TRIM(INDEX(PASTE_ALL,11,18)),1+(LEFT(TRIM(INDEX(PASTE_ALL,11,18)),1)="-"),999),1)="%"))&lt;&gt;"",SUBSTITUTE(SUBSTITUTE(SUBSTITUTE(SUBSTITUTE(SUBSTITUTE(SUBSTITUTE(SUBSTITUTE(SUBSTITUTE(SUBSTITUTE(SUBSTITUTE(SUBSTITUTE(SUBSTITUTE(LEFT(MID(TRIM(INDEX(PASTE_ALL,11,18)),1+(LEFT(TRIM(INDEX(PASTE_ALL,11,18)),1)="-"),999),LEN(MID(TRIM(INDEX(PASTE_ALL,11,18)),1+(LEFT(TRIM(INDEX(PASTE_ALL,11,18)),1)="-"),999))-(RIGHT(MID(TRIM(INDEX(PASTE_ALL,11,18)),1+(LEFT(TRIM(INDEX(PASTE_ALL,11,18)),1)="-"),999),1)="%")),"0",""),"1",""),"2",""),"3",""),"4",""),"5",""),"6",""),"7",""),"8",""),"9",""),".",""),",","")=""),2,1))),1)</f>
        <v/>
      </c>
      <c r="AQ60">
        <f>IFERROR(IF(ISNUMBER(INDEX(PASTE_ALL,11,19)),2,IF(TRIM(INDEX(PASTE_ALL,11,19))="",0,IF(AND(LEFT(MID(TRIM(INDEX(PASTE_ALL,11,19)),1+(LEFT(TRIM(INDEX(PASTE_ALL,11,19)),1)="-"),999),LEN(MID(TRIM(INDEX(PASTE_ALL,11,19)),1+(LEFT(TRIM(INDEX(PASTE_ALL,11,19)),1)="-"),999))-(RIGHT(MID(TRIM(INDEX(PASTE_ALL,11,19)),1+(LEFT(TRIM(INDEX(PASTE_ALL,11,19)),1)="-"),999),1)="%"))&lt;&gt;"",SUBSTITUTE(SUBSTITUTE(SUBSTITUTE(SUBSTITUTE(SUBSTITUTE(SUBSTITUTE(SUBSTITUTE(SUBSTITUTE(SUBSTITUTE(SUBSTITUTE(SUBSTITUTE(SUBSTITUTE(LEFT(MID(TRIM(INDEX(PASTE_ALL,11,19)),1+(LEFT(TRIM(INDEX(PASTE_ALL,11,19)),1)="-"),999),LEN(MID(TRIM(INDEX(PASTE_ALL,11,19)),1+(LEFT(TRIM(INDEX(PASTE_ALL,11,19)),1)="-"),999))-(RIGHT(MID(TRIM(INDEX(PASTE_ALL,11,19)),1+(LEFT(TRIM(INDEX(PASTE_ALL,11,19)),1)="-"),999),1)="%")),"0",""),"1",""),"2",""),"3",""),"4",""),"5",""),"6",""),"7",""),"8",""),"9",""),".",""),",","")=""),2,1))),1)</f>
        <v/>
      </c>
      <c r="AR60">
        <f>IFERROR(IF(ISNUMBER(INDEX(PASTE_ALL,11,20)),2,IF(TRIM(INDEX(PASTE_ALL,11,20))="",0,IF(AND(LEFT(MID(TRIM(INDEX(PASTE_ALL,11,20)),1+(LEFT(TRIM(INDEX(PASTE_ALL,11,20)),1)="-"),999),LEN(MID(TRIM(INDEX(PASTE_ALL,11,20)),1+(LEFT(TRIM(INDEX(PASTE_ALL,11,20)),1)="-"),999))-(RIGHT(MID(TRIM(INDEX(PASTE_ALL,11,20)),1+(LEFT(TRIM(INDEX(PASTE_ALL,11,20)),1)="-"),999),1)="%"))&lt;&gt;"",SUBSTITUTE(SUBSTITUTE(SUBSTITUTE(SUBSTITUTE(SUBSTITUTE(SUBSTITUTE(SUBSTITUTE(SUBSTITUTE(SUBSTITUTE(SUBSTITUTE(SUBSTITUTE(SUBSTITUTE(LEFT(MID(TRIM(INDEX(PASTE_ALL,11,20)),1+(LEFT(TRIM(INDEX(PASTE_ALL,11,20)),1)="-"),999),LEN(MID(TRIM(INDEX(PASTE_ALL,11,20)),1+(LEFT(TRIM(INDEX(PASTE_ALL,11,20)),1)="-"),999))-(RIGHT(MID(TRIM(INDEX(PASTE_ALL,11,20)),1+(LEFT(TRIM(INDEX(PASTE_ALL,11,20)),1)="-"),999),1)="%")),"0",""),"1",""),"2",""),"3",""),"4",""),"5",""),"6",""),"7",""),"8",""),"9",""),".",""),",","")=""),2,1))),1)</f>
        <v/>
      </c>
      <c r="AS60">
        <f>IFERROR(IF(ISNUMBER(INDEX(PASTE_ALL,11,21)),2,IF(TRIM(INDEX(PASTE_ALL,11,21))="",0,IF(AND(LEFT(MID(TRIM(INDEX(PASTE_ALL,11,21)),1+(LEFT(TRIM(INDEX(PASTE_ALL,11,21)),1)="-"),999),LEN(MID(TRIM(INDEX(PASTE_ALL,11,21)),1+(LEFT(TRIM(INDEX(PASTE_ALL,11,21)),1)="-"),999))-(RIGHT(MID(TRIM(INDEX(PASTE_ALL,11,21)),1+(LEFT(TRIM(INDEX(PASTE_ALL,11,21)),1)="-"),999),1)="%"))&lt;&gt;"",SUBSTITUTE(SUBSTITUTE(SUBSTITUTE(SUBSTITUTE(SUBSTITUTE(SUBSTITUTE(SUBSTITUTE(SUBSTITUTE(SUBSTITUTE(SUBSTITUTE(SUBSTITUTE(SUBSTITUTE(LEFT(MID(TRIM(INDEX(PASTE_ALL,11,21)),1+(LEFT(TRIM(INDEX(PASTE_ALL,11,21)),1)="-"),999),LEN(MID(TRIM(INDEX(PASTE_ALL,11,21)),1+(LEFT(TRIM(INDEX(PASTE_ALL,11,21)),1)="-"),999))-(RIGHT(MID(TRIM(INDEX(PASTE_ALL,11,21)),1+(LEFT(TRIM(INDEX(PASTE_ALL,11,21)),1)="-"),999),1)="%")),"0",""),"1",""),"2",""),"3",""),"4",""),"5",""),"6",""),"7",""),"8",""),"9",""),".",""),",","")=""),2,1))),1)</f>
        <v/>
      </c>
      <c r="AT60">
        <f>IFERROR(IF(ISNUMBER(INDEX(PASTE_ALL,11,22)),2,IF(TRIM(INDEX(PASTE_ALL,11,22))="",0,IF(AND(LEFT(MID(TRIM(INDEX(PASTE_ALL,11,22)),1+(LEFT(TRIM(INDEX(PASTE_ALL,11,22)),1)="-"),999),LEN(MID(TRIM(INDEX(PASTE_ALL,11,22)),1+(LEFT(TRIM(INDEX(PASTE_ALL,11,22)),1)="-"),999))-(RIGHT(MID(TRIM(INDEX(PASTE_ALL,11,22)),1+(LEFT(TRIM(INDEX(PASTE_ALL,11,22)),1)="-"),999),1)="%"))&lt;&gt;"",SUBSTITUTE(SUBSTITUTE(SUBSTITUTE(SUBSTITUTE(SUBSTITUTE(SUBSTITUTE(SUBSTITUTE(SUBSTITUTE(SUBSTITUTE(SUBSTITUTE(SUBSTITUTE(SUBSTITUTE(LEFT(MID(TRIM(INDEX(PASTE_ALL,11,22)),1+(LEFT(TRIM(INDEX(PASTE_ALL,11,22)),1)="-"),999),LEN(MID(TRIM(INDEX(PASTE_ALL,11,22)),1+(LEFT(TRIM(INDEX(PASTE_ALL,11,22)),1)="-"),999))-(RIGHT(MID(TRIM(INDEX(PASTE_ALL,11,22)),1+(LEFT(TRIM(INDEX(PASTE_ALL,11,22)),1)="-"),999),1)="%")),"0",""),"1",""),"2",""),"3",""),"4",""),"5",""),"6",""),"7",""),"8",""),"9",""),".",""),",","")=""),2,1))),1)</f>
        <v/>
      </c>
      <c r="AU60">
        <f>IFERROR(IF(ISNUMBER(INDEX(PASTE_ALL,11,23)),2,IF(TRIM(INDEX(PASTE_ALL,11,23))="",0,IF(AND(LEFT(MID(TRIM(INDEX(PASTE_ALL,11,23)),1+(LEFT(TRIM(INDEX(PASTE_ALL,11,23)),1)="-"),999),LEN(MID(TRIM(INDEX(PASTE_ALL,11,23)),1+(LEFT(TRIM(INDEX(PASTE_ALL,11,23)),1)="-"),999))-(RIGHT(MID(TRIM(INDEX(PASTE_ALL,11,23)),1+(LEFT(TRIM(INDEX(PASTE_ALL,11,23)),1)="-"),999),1)="%"))&lt;&gt;"",SUBSTITUTE(SUBSTITUTE(SUBSTITUTE(SUBSTITUTE(SUBSTITUTE(SUBSTITUTE(SUBSTITUTE(SUBSTITUTE(SUBSTITUTE(SUBSTITUTE(SUBSTITUTE(SUBSTITUTE(LEFT(MID(TRIM(INDEX(PASTE_ALL,11,23)),1+(LEFT(TRIM(INDEX(PASTE_ALL,11,23)),1)="-"),999),LEN(MID(TRIM(INDEX(PASTE_ALL,11,23)),1+(LEFT(TRIM(INDEX(PASTE_ALL,11,23)),1)="-"),999))-(RIGHT(MID(TRIM(INDEX(PASTE_ALL,11,23)),1+(LEFT(TRIM(INDEX(PASTE_ALL,11,23)),1)="-"),999),1)="%")),"0",""),"1",""),"2",""),"3",""),"4",""),"5",""),"6",""),"7",""),"8",""),"9",""),".",""),",","")=""),2,1))),1)</f>
        <v/>
      </c>
      <c r="AV60">
        <f>IFERROR(IF(ISNUMBER(INDEX(PASTE_ALL,11,24)),2,IF(TRIM(INDEX(PASTE_ALL,11,24))="",0,IF(AND(LEFT(MID(TRIM(INDEX(PASTE_ALL,11,24)),1+(LEFT(TRIM(INDEX(PASTE_ALL,11,24)),1)="-"),999),LEN(MID(TRIM(INDEX(PASTE_ALL,11,24)),1+(LEFT(TRIM(INDEX(PASTE_ALL,11,24)),1)="-"),999))-(RIGHT(MID(TRIM(INDEX(PASTE_ALL,11,24)),1+(LEFT(TRIM(INDEX(PASTE_ALL,11,24)),1)="-"),999),1)="%"))&lt;&gt;"",SUBSTITUTE(SUBSTITUTE(SUBSTITUTE(SUBSTITUTE(SUBSTITUTE(SUBSTITUTE(SUBSTITUTE(SUBSTITUTE(SUBSTITUTE(SUBSTITUTE(SUBSTITUTE(SUBSTITUTE(LEFT(MID(TRIM(INDEX(PASTE_ALL,11,24)),1+(LEFT(TRIM(INDEX(PASTE_ALL,11,24)),1)="-"),999),LEN(MID(TRIM(INDEX(PASTE_ALL,11,24)),1+(LEFT(TRIM(INDEX(PASTE_ALL,11,24)),1)="-"),999))-(RIGHT(MID(TRIM(INDEX(PASTE_ALL,11,24)),1+(LEFT(TRIM(INDEX(PASTE_ALL,11,24)),1)="-"),999),1)="%")),"0",""),"1",""),"2",""),"3",""),"4",""),"5",""),"6",""),"7",""),"8",""),"9",""),".",""),",","")=""),2,1))),1)</f>
        <v/>
      </c>
      <c r="AW60">
        <f>IFERROR(IF(ISNUMBER(INDEX(PASTE_ALL,11,25)),2,IF(TRIM(INDEX(PASTE_ALL,11,25))="",0,IF(AND(LEFT(MID(TRIM(INDEX(PASTE_ALL,11,25)),1+(LEFT(TRIM(INDEX(PASTE_ALL,11,25)),1)="-"),999),LEN(MID(TRIM(INDEX(PASTE_ALL,11,25)),1+(LEFT(TRIM(INDEX(PASTE_ALL,11,25)),1)="-"),999))-(RIGHT(MID(TRIM(INDEX(PASTE_ALL,11,25)),1+(LEFT(TRIM(INDEX(PASTE_ALL,11,25)),1)="-"),999),1)="%"))&lt;&gt;"",SUBSTITUTE(SUBSTITUTE(SUBSTITUTE(SUBSTITUTE(SUBSTITUTE(SUBSTITUTE(SUBSTITUTE(SUBSTITUTE(SUBSTITUTE(SUBSTITUTE(SUBSTITUTE(SUBSTITUTE(LEFT(MID(TRIM(INDEX(PASTE_ALL,11,25)),1+(LEFT(TRIM(INDEX(PASTE_ALL,11,25)),1)="-"),999),LEN(MID(TRIM(INDEX(PASTE_ALL,11,25)),1+(LEFT(TRIM(INDEX(PASTE_ALL,11,25)),1)="-"),999))-(RIGHT(MID(TRIM(INDEX(PASTE_ALL,11,25)),1+(LEFT(TRIM(INDEX(PASTE_ALL,11,25)),1)="-"),999),1)="%")),"0",""),"1",""),"2",""),"3",""),"4",""),"5",""),"6",""),"7",""),"8",""),"9",""),".",""),",","")=""),2,1))),1)</f>
        <v/>
      </c>
      <c r="AX60">
        <f>IFERROR(IF(ISNUMBER(INDEX(PASTE_ALL,11,26)),2,IF(TRIM(INDEX(PASTE_ALL,11,26))="",0,IF(AND(LEFT(MID(TRIM(INDEX(PASTE_ALL,11,26)),1+(LEFT(TRIM(INDEX(PASTE_ALL,11,26)),1)="-"),999),LEN(MID(TRIM(INDEX(PASTE_ALL,11,26)),1+(LEFT(TRIM(INDEX(PASTE_ALL,11,26)),1)="-"),999))-(RIGHT(MID(TRIM(INDEX(PASTE_ALL,11,26)),1+(LEFT(TRIM(INDEX(PASTE_ALL,11,26)),1)="-"),999),1)="%"))&lt;&gt;"",SUBSTITUTE(SUBSTITUTE(SUBSTITUTE(SUBSTITUTE(SUBSTITUTE(SUBSTITUTE(SUBSTITUTE(SUBSTITUTE(SUBSTITUTE(SUBSTITUTE(SUBSTITUTE(SUBSTITUTE(LEFT(MID(TRIM(INDEX(PASTE_ALL,11,26)),1+(LEFT(TRIM(INDEX(PASTE_ALL,11,26)),1)="-"),999),LEN(MID(TRIM(INDEX(PASTE_ALL,11,26)),1+(LEFT(TRIM(INDEX(PASTE_ALL,11,26)),1)="-"),999))-(RIGHT(MID(TRIM(INDEX(PASTE_ALL,11,26)),1+(LEFT(TRIM(INDEX(PASTE_ALL,11,26)),1)="-"),999),1)="%")),"0",""),"1",""),"2",""),"3",""),"4",""),"5",""),"6",""),"7",""),"8",""),"9",""),".",""),",","")=""),2,1))),1)</f>
        <v/>
      </c>
      <c r="AY60">
        <f>IFERROR(IF(ISNUMBER(INDEX(PASTE_ALL,11,27)),2,IF(TRIM(INDEX(PASTE_ALL,11,27))="",0,IF(AND(LEFT(MID(TRIM(INDEX(PASTE_ALL,11,27)),1+(LEFT(TRIM(INDEX(PASTE_ALL,11,27)),1)="-"),999),LEN(MID(TRIM(INDEX(PASTE_ALL,11,27)),1+(LEFT(TRIM(INDEX(PASTE_ALL,11,27)),1)="-"),999))-(RIGHT(MID(TRIM(INDEX(PASTE_ALL,11,27)),1+(LEFT(TRIM(INDEX(PASTE_ALL,11,27)),1)="-"),999),1)="%"))&lt;&gt;"",SUBSTITUTE(SUBSTITUTE(SUBSTITUTE(SUBSTITUTE(SUBSTITUTE(SUBSTITUTE(SUBSTITUTE(SUBSTITUTE(SUBSTITUTE(SUBSTITUTE(SUBSTITUTE(SUBSTITUTE(LEFT(MID(TRIM(INDEX(PASTE_ALL,11,27)),1+(LEFT(TRIM(INDEX(PASTE_ALL,11,27)),1)="-"),999),LEN(MID(TRIM(INDEX(PASTE_ALL,11,27)),1+(LEFT(TRIM(INDEX(PASTE_ALL,11,27)),1)="-"),999))-(RIGHT(MID(TRIM(INDEX(PASTE_ALL,11,27)),1+(LEFT(TRIM(INDEX(PASTE_ALL,11,27)),1)="-"),999),1)="%")),"0",""),"1",""),"2",""),"3",""),"4",""),"5",""),"6",""),"7",""),"8",""),"9",""),".",""),",","")=""),2,1))),1)</f>
        <v/>
      </c>
      <c r="AZ60">
        <f>IFERROR(IF(ISNUMBER(INDEX(PASTE_ALL,11,28)),2,IF(TRIM(INDEX(PASTE_ALL,11,28))="",0,IF(AND(LEFT(MID(TRIM(INDEX(PASTE_ALL,11,28)),1+(LEFT(TRIM(INDEX(PASTE_ALL,11,28)),1)="-"),999),LEN(MID(TRIM(INDEX(PASTE_ALL,11,28)),1+(LEFT(TRIM(INDEX(PASTE_ALL,11,28)),1)="-"),999))-(RIGHT(MID(TRIM(INDEX(PASTE_ALL,11,28)),1+(LEFT(TRIM(INDEX(PASTE_ALL,11,28)),1)="-"),999),1)="%"))&lt;&gt;"",SUBSTITUTE(SUBSTITUTE(SUBSTITUTE(SUBSTITUTE(SUBSTITUTE(SUBSTITUTE(SUBSTITUTE(SUBSTITUTE(SUBSTITUTE(SUBSTITUTE(SUBSTITUTE(SUBSTITUTE(LEFT(MID(TRIM(INDEX(PASTE_ALL,11,28)),1+(LEFT(TRIM(INDEX(PASTE_ALL,11,28)),1)="-"),999),LEN(MID(TRIM(INDEX(PASTE_ALL,11,28)),1+(LEFT(TRIM(INDEX(PASTE_ALL,11,28)),1)="-"),999))-(RIGHT(MID(TRIM(INDEX(PASTE_ALL,11,28)),1+(LEFT(TRIM(INDEX(PASTE_ALL,11,28)),1)="-"),999),1)="%")),"0",""),"1",""),"2",""),"3",""),"4",""),"5",""),"6",""),"7",""),"8",""),"9",""),".",""),",","")=""),2,1))),1)</f>
        <v/>
      </c>
      <c r="BA60">
        <f>IFERROR(IF(ISNUMBER(INDEX(PASTE_ALL,11,29)),2,IF(TRIM(INDEX(PASTE_ALL,11,29))="",0,IF(AND(LEFT(MID(TRIM(INDEX(PASTE_ALL,11,29)),1+(LEFT(TRIM(INDEX(PASTE_ALL,11,29)),1)="-"),999),LEN(MID(TRIM(INDEX(PASTE_ALL,11,29)),1+(LEFT(TRIM(INDEX(PASTE_ALL,11,29)),1)="-"),999))-(RIGHT(MID(TRIM(INDEX(PASTE_ALL,11,29)),1+(LEFT(TRIM(INDEX(PASTE_ALL,11,29)),1)="-"),999),1)="%"))&lt;&gt;"",SUBSTITUTE(SUBSTITUTE(SUBSTITUTE(SUBSTITUTE(SUBSTITUTE(SUBSTITUTE(SUBSTITUTE(SUBSTITUTE(SUBSTITUTE(SUBSTITUTE(SUBSTITUTE(SUBSTITUTE(LEFT(MID(TRIM(INDEX(PASTE_ALL,11,29)),1+(LEFT(TRIM(INDEX(PASTE_ALL,11,29)),1)="-"),999),LEN(MID(TRIM(INDEX(PASTE_ALL,11,29)),1+(LEFT(TRIM(INDEX(PASTE_ALL,11,29)),1)="-"),999))-(RIGHT(MID(TRIM(INDEX(PASTE_ALL,11,29)),1+(LEFT(TRIM(INDEX(PASTE_ALL,11,29)),1)="-"),999),1)="%")),"0",""),"1",""),"2",""),"3",""),"4",""),"5",""),"6",""),"7",""),"8",""),"9",""),".",""),",","")=""),2,1))),1)</f>
        <v/>
      </c>
      <c r="BB60">
        <f>IFERROR(IF(ISNUMBER(INDEX(PASTE_ALL,11,30)),2,IF(TRIM(INDEX(PASTE_ALL,11,30))="",0,IF(AND(LEFT(MID(TRIM(INDEX(PASTE_ALL,11,30)),1+(LEFT(TRIM(INDEX(PASTE_ALL,11,30)),1)="-"),999),LEN(MID(TRIM(INDEX(PASTE_ALL,11,30)),1+(LEFT(TRIM(INDEX(PASTE_ALL,11,30)),1)="-"),999))-(RIGHT(MID(TRIM(INDEX(PASTE_ALL,11,30)),1+(LEFT(TRIM(INDEX(PASTE_ALL,11,30)),1)="-"),999),1)="%"))&lt;&gt;"",SUBSTITUTE(SUBSTITUTE(SUBSTITUTE(SUBSTITUTE(SUBSTITUTE(SUBSTITUTE(SUBSTITUTE(SUBSTITUTE(SUBSTITUTE(SUBSTITUTE(SUBSTITUTE(SUBSTITUTE(LEFT(MID(TRIM(INDEX(PASTE_ALL,11,30)),1+(LEFT(TRIM(INDEX(PASTE_ALL,11,30)),1)="-"),999),LEN(MID(TRIM(INDEX(PASTE_ALL,11,30)),1+(LEFT(TRIM(INDEX(PASTE_ALL,11,30)),1)="-"),999))-(RIGHT(MID(TRIM(INDEX(PASTE_ALL,11,30)),1+(LEFT(TRIM(INDEX(PASTE_ALL,11,30)),1)="-"),999),1)="%")),"0",""),"1",""),"2",""),"3",""),"4",""),"5",""),"6",""),"7",""),"8",""),"9",""),".",""),",","")=""),2,1))),1)</f>
        <v/>
      </c>
      <c r="BC60">
        <f>IFERROR(IF(ISNUMBER(INDEX(PASTE_ALL,11,31)),2,IF(TRIM(INDEX(PASTE_ALL,11,31))="",0,IF(AND(LEFT(MID(TRIM(INDEX(PASTE_ALL,11,31)),1+(LEFT(TRIM(INDEX(PASTE_ALL,11,31)),1)="-"),999),LEN(MID(TRIM(INDEX(PASTE_ALL,11,31)),1+(LEFT(TRIM(INDEX(PASTE_ALL,11,31)),1)="-"),999))-(RIGHT(MID(TRIM(INDEX(PASTE_ALL,11,31)),1+(LEFT(TRIM(INDEX(PASTE_ALL,11,31)),1)="-"),999),1)="%"))&lt;&gt;"",SUBSTITUTE(SUBSTITUTE(SUBSTITUTE(SUBSTITUTE(SUBSTITUTE(SUBSTITUTE(SUBSTITUTE(SUBSTITUTE(SUBSTITUTE(SUBSTITUTE(SUBSTITUTE(SUBSTITUTE(LEFT(MID(TRIM(INDEX(PASTE_ALL,11,31)),1+(LEFT(TRIM(INDEX(PASTE_ALL,11,31)),1)="-"),999),LEN(MID(TRIM(INDEX(PASTE_ALL,11,31)),1+(LEFT(TRIM(INDEX(PASTE_ALL,11,31)),1)="-"),999))-(RIGHT(MID(TRIM(INDEX(PASTE_ALL,11,31)),1+(LEFT(TRIM(INDEX(PASTE_ALL,11,31)),1)="-"),999),1)="%")),"0",""),"1",""),"2",""),"3",""),"4",""),"5",""),"6",""),"7",""),"8",""),"9",""),".",""),",","")=""),2,1))),1)</f>
        <v/>
      </c>
      <c r="BD60">
        <f>IFERROR(IF(ISNUMBER(INDEX(PASTE_ALL,11,32)),2,IF(TRIM(INDEX(PASTE_ALL,11,32))="",0,IF(AND(LEFT(MID(TRIM(INDEX(PASTE_ALL,11,32)),1+(LEFT(TRIM(INDEX(PASTE_ALL,11,32)),1)="-"),999),LEN(MID(TRIM(INDEX(PASTE_ALL,11,32)),1+(LEFT(TRIM(INDEX(PASTE_ALL,11,32)),1)="-"),999))-(RIGHT(MID(TRIM(INDEX(PASTE_ALL,11,32)),1+(LEFT(TRIM(INDEX(PASTE_ALL,11,32)),1)="-"),999),1)="%"))&lt;&gt;"",SUBSTITUTE(SUBSTITUTE(SUBSTITUTE(SUBSTITUTE(SUBSTITUTE(SUBSTITUTE(SUBSTITUTE(SUBSTITUTE(SUBSTITUTE(SUBSTITUTE(SUBSTITUTE(SUBSTITUTE(LEFT(MID(TRIM(INDEX(PASTE_ALL,11,32)),1+(LEFT(TRIM(INDEX(PASTE_ALL,11,32)),1)="-"),999),LEN(MID(TRIM(INDEX(PASTE_ALL,11,32)),1+(LEFT(TRIM(INDEX(PASTE_ALL,11,32)),1)="-"),999))-(RIGHT(MID(TRIM(INDEX(PASTE_ALL,11,32)),1+(LEFT(TRIM(INDEX(PASTE_ALL,11,32)),1)="-"),999),1)="%")),"0",""),"1",""),"2",""),"3",""),"4",""),"5",""),"6",""),"7",""),"8",""),"9",""),".",""),",","")=""),2,1))),1)</f>
        <v/>
      </c>
      <c r="BE60">
        <f>IFERROR(IF(ISNUMBER(INDEX(PASTE_ALL,11,33)),2,IF(TRIM(INDEX(PASTE_ALL,11,33))="",0,IF(AND(LEFT(MID(TRIM(INDEX(PASTE_ALL,11,33)),1+(LEFT(TRIM(INDEX(PASTE_ALL,11,33)),1)="-"),999),LEN(MID(TRIM(INDEX(PASTE_ALL,11,33)),1+(LEFT(TRIM(INDEX(PASTE_ALL,11,33)),1)="-"),999))-(RIGHT(MID(TRIM(INDEX(PASTE_ALL,11,33)),1+(LEFT(TRIM(INDEX(PASTE_ALL,11,33)),1)="-"),999),1)="%"))&lt;&gt;"",SUBSTITUTE(SUBSTITUTE(SUBSTITUTE(SUBSTITUTE(SUBSTITUTE(SUBSTITUTE(SUBSTITUTE(SUBSTITUTE(SUBSTITUTE(SUBSTITUTE(SUBSTITUTE(SUBSTITUTE(LEFT(MID(TRIM(INDEX(PASTE_ALL,11,33)),1+(LEFT(TRIM(INDEX(PASTE_ALL,11,33)),1)="-"),999),LEN(MID(TRIM(INDEX(PASTE_ALL,11,33)),1+(LEFT(TRIM(INDEX(PASTE_ALL,11,33)),1)="-"),999))-(RIGHT(MID(TRIM(INDEX(PASTE_ALL,11,33)),1+(LEFT(TRIM(INDEX(PASTE_ALL,11,33)),1)="-"),999),1)="%")),"0",""),"1",""),"2",""),"3",""),"4",""),"5",""),"6",""),"7",""),"8",""),"9",""),".",""),",","")=""),2,1))),1)</f>
        <v/>
      </c>
      <c r="BF60">
        <f>IFERROR(IF(ISNUMBER(INDEX(PASTE_ALL,11,34)),2,IF(TRIM(INDEX(PASTE_ALL,11,34))="",0,IF(AND(LEFT(MID(TRIM(INDEX(PASTE_ALL,11,34)),1+(LEFT(TRIM(INDEX(PASTE_ALL,11,34)),1)="-"),999),LEN(MID(TRIM(INDEX(PASTE_ALL,11,34)),1+(LEFT(TRIM(INDEX(PASTE_ALL,11,34)),1)="-"),999))-(RIGHT(MID(TRIM(INDEX(PASTE_ALL,11,34)),1+(LEFT(TRIM(INDEX(PASTE_ALL,11,34)),1)="-"),999),1)="%"))&lt;&gt;"",SUBSTITUTE(SUBSTITUTE(SUBSTITUTE(SUBSTITUTE(SUBSTITUTE(SUBSTITUTE(SUBSTITUTE(SUBSTITUTE(SUBSTITUTE(SUBSTITUTE(SUBSTITUTE(SUBSTITUTE(LEFT(MID(TRIM(INDEX(PASTE_ALL,11,34)),1+(LEFT(TRIM(INDEX(PASTE_ALL,11,34)),1)="-"),999),LEN(MID(TRIM(INDEX(PASTE_ALL,11,34)),1+(LEFT(TRIM(INDEX(PASTE_ALL,11,34)),1)="-"),999))-(RIGHT(MID(TRIM(INDEX(PASTE_ALL,11,34)),1+(LEFT(TRIM(INDEX(PASTE_ALL,11,34)),1)="-"),999),1)="%")),"0",""),"1",""),"2",""),"3",""),"4",""),"5",""),"6",""),"7",""),"8",""),"9",""),".",""),",","")=""),2,1))),1)</f>
        <v/>
      </c>
      <c r="BG60">
        <f>IFERROR(IF(ISNUMBER(INDEX(PASTE_ALL,11,35)),2,IF(TRIM(INDEX(PASTE_ALL,11,35))="",0,IF(AND(LEFT(MID(TRIM(INDEX(PASTE_ALL,11,35)),1+(LEFT(TRIM(INDEX(PASTE_ALL,11,35)),1)="-"),999),LEN(MID(TRIM(INDEX(PASTE_ALL,11,35)),1+(LEFT(TRIM(INDEX(PASTE_ALL,11,35)),1)="-"),999))-(RIGHT(MID(TRIM(INDEX(PASTE_ALL,11,35)),1+(LEFT(TRIM(INDEX(PASTE_ALL,11,35)),1)="-"),999),1)="%"))&lt;&gt;"",SUBSTITUTE(SUBSTITUTE(SUBSTITUTE(SUBSTITUTE(SUBSTITUTE(SUBSTITUTE(SUBSTITUTE(SUBSTITUTE(SUBSTITUTE(SUBSTITUTE(SUBSTITUTE(SUBSTITUTE(LEFT(MID(TRIM(INDEX(PASTE_ALL,11,35)),1+(LEFT(TRIM(INDEX(PASTE_ALL,11,35)),1)="-"),999),LEN(MID(TRIM(INDEX(PASTE_ALL,11,35)),1+(LEFT(TRIM(INDEX(PASTE_ALL,11,35)),1)="-"),999))-(RIGHT(MID(TRIM(INDEX(PASTE_ALL,11,35)),1+(LEFT(TRIM(INDEX(PASTE_ALL,11,35)),1)="-"),999),1)="%")),"0",""),"1",""),"2",""),"3",""),"4",""),"5",""),"6",""),"7",""),"8",""),"9",""),".",""),",","")=""),2,1))),1)</f>
        <v/>
      </c>
      <c r="BH60">
        <f>IFERROR(IF(ISNUMBER(INDEX(PASTE_ALL,11,36)),2,IF(TRIM(INDEX(PASTE_ALL,11,36))="",0,IF(AND(LEFT(MID(TRIM(INDEX(PASTE_ALL,11,36)),1+(LEFT(TRIM(INDEX(PASTE_ALL,11,36)),1)="-"),999),LEN(MID(TRIM(INDEX(PASTE_ALL,11,36)),1+(LEFT(TRIM(INDEX(PASTE_ALL,11,36)),1)="-"),999))-(RIGHT(MID(TRIM(INDEX(PASTE_ALL,11,36)),1+(LEFT(TRIM(INDEX(PASTE_ALL,11,36)),1)="-"),999),1)="%"))&lt;&gt;"",SUBSTITUTE(SUBSTITUTE(SUBSTITUTE(SUBSTITUTE(SUBSTITUTE(SUBSTITUTE(SUBSTITUTE(SUBSTITUTE(SUBSTITUTE(SUBSTITUTE(SUBSTITUTE(SUBSTITUTE(LEFT(MID(TRIM(INDEX(PASTE_ALL,11,36)),1+(LEFT(TRIM(INDEX(PASTE_ALL,11,36)),1)="-"),999),LEN(MID(TRIM(INDEX(PASTE_ALL,11,36)),1+(LEFT(TRIM(INDEX(PASTE_ALL,11,36)),1)="-"),999))-(RIGHT(MID(TRIM(INDEX(PASTE_ALL,11,36)),1+(LEFT(TRIM(INDEX(PASTE_ALL,11,36)),1)="-"),999),1)="%")),"0",""),"1",""),"2",""),"3",""),"4",""),"5",""),"6",""),"7",""),"8",""),"9",""),".",""),",","")=""),2,1))),1)</f>
        <v/>
      </c>
      <c r="BI60">
        <f>IFERROR(IF(ISNUMBER(INDEX(PASTE_ALL,11,37)),2,IF(TRIM(INDEX(PASTE_ALL,11,37))="",0,IF(AND(LEFT(MID(TRIM(INDEX(PASTE_ALL,11,37)),1+(LEFT(TRIM(INDEX(PASTE_ALL,11,37)),1)="-"),999),LEN(MID(TRIM(INDEX(PASTE_ALL,11,37)),1+(LEFT(TRIM(INDEX(PASTE_ALL,11,37)),1)="-"),999))-(RIGHT(MID(TRIM(INDEX(PASTE_ALL,11,37)),1+(LEFT(TRIM(INDEX(PASTE_ALL,11,37)),1)="-"),999),1)="%"))&lt;&gt;"",SUBSTITUTE(SUBSTITUTE(SUBSTITUTE(SUBSTITUTE(SUBSTITUTE(SUBSTITUTE(SUBSTITUTE(SUBSTITUTE(SUBSTITUTE(SUBSTITUTE(SUBSTITUTE(SUBSTITUTE(LEFT(MID(TRIM(INDEX(PASTE_ALL,11,37)),1+(LEFT(TRIM(INDEX(PASTE_ALL,11,37)),1)="-"),999),LEN(MID(TRIM(INDEX(PASTE_ALL,11,37)),1+(LEFT(TRIM(INDEX(PASTE_ALL,11,37)),1)="-"),999))-(RIGHT(MID(TRIM(INDEX(PASTE_ALL,11,37)),1+(LEFT(TRIM(INDEX(PASTE_ALL,11,37)),1)="-"),999),1)="%")),"0",""),"1",""),"2",""),"3",""),"4",""),"5",""),"6",""),"7",""),"8",""),"9",""),".",""),",","")=""),2,1))),1)</f>
        <v/>
      </c>
      <c r="BJ60">
        <f>IFERROR(IF(ISNUMBER(INDEX(PASTE_ALL,11,38)),2,IF(TRIM(INDEX(PASTE_ALL,11,38))="",0,IF(AND(LEFT(MID(TRIM(INDEX(PASTE_ALL,11,38)),1+(LEFT(TRIM(INDEX(PASTE_ALL,11,38)),1)="-"),999),LEN(MID(TRIM(INDEX(PASTE_ALL,11,38)),1+(LEFT(TRIM(INDEX(PASTE_ALL,11,38)),1)="-"),999))-(RIGHT(MID(TRIM(INDEX(PASTE_ALL,11,38)),1+(LEFT(TRIM(INDEX(PASTE_ALL,11,38)),1)="-"),999),1)="%"))&lt;&gt;"",SUBSTITUTE(SUBSTITUTE(SUBSTITUTE(SUBSTITUTE(SUBSTITUTE(SUBSTITUTE(SUBSTITUTE(SUBSTITUTE(SUBSTITUTE(SUBSTITUTE(SUBSTITUTE(SUBSTITUTE(LEFT(MID(TRIM(INDEX(PASTE_ALL,11,38)),1+(LEFT(TRIM(INDEX(PASTE_ALL,11,38)),1)="-"),999),LEN(MID(TRIM(INDEX(PASTE_ALL,11,38)),1+(LEFT(TRIM(INDEX(PASTE_ALL,11,38)),1)="-"),999))-(RIGHT(MID(TRIM(INDEX(PASTE_ALL,11,38)),1+(LEFT(TRIM(INDEX(PASTE_ALL,11,38)),1)="-"),999),1)="%")),"0",""),"1",""),"2",""),"3",""),"4",""),"5",""),"6",""),"7",""),"8",""),"9",""),".",""),",","")=""),2,1))),1)</f>
        <v/>
      </c>
      <c r="BK60">
        <f>IFERROR(IF(ISNUMBER(INDEX(PASTE_ALL,11,39)),2,IF(TRIM(INDEX(PASTE_ALL,11,39))="",0,IF(AND(LEFT(MID(TRIM(INDEX(PASTE_ALL,11,39)),1+(LEFT(TRIM(INDEX(PASTE_ALL,11,39)),1)="-"),999),LEN(MID(TRIM(INDEX(PASTE_ALL,11,39)),1+(LEFT(TRIM(INDEX(PASTE_ALL,11,39)),1)="-"),999))-(RIGHT(MID(TRIM(INDEX(PASTE_ALL,11,39)),1+(LEFT(TRIM(INDEX(PASTE_ALL,11,39)),1)="-"),999),1)="%"))&lt;&gt;"",SUBSTITUTE(SUBSTITUTE(SUBSTITUTE(SUBSTITUTE(SUBSTITUTE(SUBSTITUTE(SUBSTITUTE(SUBSTITUTE(SUBSTITUTE(SUBSTITUTE(SUBSTITUTE(SUBSTITUTE(LEFT(MID(TRIM(INDEX(PASTE_ALL,11,39)),1+(LEFT(TRIM(INDEX(PASTE_ALL,11,39)),1)="-"),999),LEN(MID(TRIM(INDEX(PASTE_ALL,11,39)),1+(LEFT(TRIM(INDEX(PASTE_ALL,11,39)),1)="-"),999))-(RIGHT(MID(TRIM(INDEX(PASTE_ALL,11,39)),1+(LEFT(TRIM(INDEX(PASTE_ALL,11,39)),1)="-"),999),1)="%")),"0",""),"1",""),"2",""),"3",""),"4",""),"5",""),"6",""),"7",""),"8",""),"9",""),".",""),",","")=""),2,1))),1)</f>
        <v/>
      </c>
      <c r="BL60">
        <f>IFERROR(IF(ISNUMBER(INDEX(PASTE_ALL,11,40)),2,IF(TRIM(INDEX(PASTE_ALL,11,40))="",0,IF(AND(LEFT(MID(TRIM(INDEX(PASTE_ALL,11,40)),1+(LEFT(TRIM(INDEX(PASTE_ALL,11,40)),1)="-"),999),LEN(MID(TRIM(INDEX(PASTE_ALL,11,40)),1+(LEFT(TRIM(INDEX(PASTE_ALL,11,40)),1)="-"),999))-(RIGHT(MID(TRIM(INDEX(PASTE_ALL,11,40)),1+(LEFT(TRIM(INDEX(PASTE_ALL,11,40)),1)="-"),999),1)="%"))&lt;&gt;"",SUBSTITUTE(SUBSTITUTE(SUBSTITUTE(SUBSTITUTE(SUBSTITUTE(SUBSTITUTE(SUBSTITUTE(SUBSTITUTE(SUBSTITUTE(SUBSTITUTE(SUBSTITUTE(SUBSTITUTE(LEFT(MID(TRIM(INDEX(PASTE_ALL,11,40)),1+(LEFT(TRIM(INDEX(PASTE_ALL,11,40)),1)="-"),999),LEN(MID(TRIM(INDEX(PASTE_ALL,11,40)),1+(LEFT(TRIM(INDEX(PASTE_ALL,11,40)),1)="-"),999))-(RIGHT(MID(TRIM(INDEX(PASTE_ALL,11,40)),1+(LEFT(TRIM(INDEX(PASTE_ALL,11,40)),1)="-"),999),1)="%")),"0",""),"1",""),"2",""),"3",""),"4",""),"5",""),"6",""),"7",""),"8",""),"9",""),".",""),",","")=""),2,1))),1)</f>
        <v/>
      </c>
      <c r="BM60">
        <f>IFERROR(IF(ISNUMBER(INDEX(PASTE_ALL,11,41)),2,IF(TRIM(INDEX(PASTE_ALL,11,41))="",0,IF(AND(LEFT(MID(TRIM(INDEX(PASTE_ALL,11,41)),1+(LEFT(TRIM(INDEX(PASTE_ALL,11,41)),1)="-"),999),LEN(MID(TRIM(INDEX(PASTE_ALL,11,41)),1+(LEFT(TRIM(INDEX(PASTE_ALL,11,41)),1)="-"),999))-(RIGHT(MID(TRIM(INDEX(PASTE_ALL,11,41)),1+(LEFT(TRIM(INDEX(PASTE_ALL,11,41)),1)="-"),999),1)="%"))&lt;&gt;"",SUBSTITUTE(SUBSTITUTE(SUBSTITUTE(SUBSTITUTE(SUBSTITUTE(SUBSTITUTE(SUBSTITUTE(SUBSTITUTE(SUBSTITUTE(SUBSTITUTE(SUBSTITUTE(SUBSTITUTE(LEFT(MID(TRIM(INDEX(PASTE_ALL,11,41)),1+(LEFT(TRIM(INDEX(PASTE_ALL,11,41)),1)="-"),999),LEN(MID(TRIM(INDEX(PASTE_ALL,11,41)),1+(LEFT(TRIM(INDEX(PASTE_ALL,11,41)),1)="-"),999))-(RIGHT(MID(TRIM(INDEX(PASTE_ALL,11,41)),1+(LEFT(TRIM(INDEX(PASTE_ALL,11,41)),1)="-"),999),1)="%")),"0",""),"1",""),"2",""),"3",""),"4",""),"5",""),"6",""),"7",""),"8",""),"9",""),".",""),",","")=""),2,1))),1)</f>
        <v/>
      </c>
      <c r="BN60">
        <f>IFERROR(IF(ISNUMBER(INDEX(PASTE_ALL,11,42)),2,IF(TRIM(INDEX(PASTE_ALL,11,42))="",0,IF(AND(LEFT(MID(TRIM(INDEX(PASTE_ALL,11,42)),1+(LEFT(TRIM(INDEX(PASTE_ALL,11,42)),1)="-"),999),LEN(MID(TRIM(INDEX(PASTE_ALL,11,42)),1+(LEFT(TRIM(INDEX(PASTE_ALL,11,42)),1)="-"),999))-(RIGHT(MID(TRIM(INDEX(PASTE_ALL,11,42)),1+(LEFT(TRIM(INDEX(PASTE_ALL,11,42)),1)="-"),999),1)="%"))&lt;&gt;"",SUBSTITUTE(SUBSTITUTE(SUBSTITUTE(SUBSTITUTE(SUBSTITUTE(SUBSTITUTE(SUBSTITUTE(SUBSTITUTE(SUBSTITUTE(SUBSTITUTE(SUBSTITUTE(SUBSTITUTE(LEFT(MID(TRIM(INDEX(PASTE_ALL,11,42)),1+(LEFT(TRIM(INDEX(PASTE_ALL,11,42)),1)="-"),999),LEN(MID(TRIM(INDEX(PASTE_ALL,11,42)),1+(LEFT(TRIM(INDEX(PASTE_ALL,11,42)),1)="-"),999))-(RIGHT(MID(TRIM(INDEX(PASTE_ALL,11,42)),1+(LEFT(TRIM(INDEX(PASTE_ALL,11,42)),1)="-"),999),1)="%")),"0",""),"1",""),"2",""),"3",""),"4",""),"5",""),"6",""),"7",""),"8",""),"9",""),".",""),",","")=""),2,1))),1)</f>
        <v/>
      </c>
      <c r="BO60">
        <f>IFERROR(IF(ISNUMBER(INDEX(PASTE_ALL,11,43)),2,IF(TRIM(INDEX(PASTE_ALL,11,43))="",0,IF(AND(LEFT(MID(TRIM(INDEX(PASTE_ALL,11,43)),1+(LEFT(TRIM(INDEX(PASTE_ALL,11,43)),1)="-"),999),LEN(MID(TRIM(INDEX(PASTE_ALL,11,43)),1+(LEFT(TRIM(INDEX(PASTE_ALL,11,43)),1)="-"),999))-(RIGHT(MID(TRIM(INDEX(PASTE_ALL,11,43)),1+(LEFT(TRIM(INDEX(PASTE_ALL,11,43)),1)="-"),999),1)="%"))&lt;&gt;"",SUBSTITUTE(SUBSTITUTE(SUBSTITUTE(SUBSTITUTE(SUBSTITUTE(SUBSTITUTE(SUBSTITUTE(SUBSTITUTE(SUBSTITUTE(SUBSTITUTE(SUBSTITUTE(SUBSTITUTE(LEFT(MID(TRIM(INDEX(PASTE_ALL,11,43)),1+(LEFT(TRIM(INDEX(PASTE_ALL,11,43)),1)="-"),999),LEN(MID(TRIM(INDEX(PASTE_ALL,11,43)),1+(LEFT(TRIM(INDEX(PASTE_ALL,11,43)),1)="-"),999))-(RIGHT(MID(TRIM(INDEX(PASTE_ALL,11,43)),1+(LEFT(TRIM(INDEX(PASTE_ALL,11,43)),1)="-"),999),1)="%")),"0",""),"1",""),"2",""),"3",""),"4",""),"5",""),"6",""),"7",""),"8",""),"9",""),".",""),",","")=""),2,1))),1)</f>
        <v/>
      </c>
      <c r="BP60">
        <f>IFERROR(IF(ISNUMBER(INDEX(PASTE_ALL,11,44)),2,IF(TRIM(INDEX(PASTE_ALL,11,44))="",0,IF(AND(LEFT(MID(TRIM(INDEX(PASTE_ALL,11,44)),1+(LEFT(TRIM(INDEX(PASTE_ALL,11,44)),1)="-"),999),LEN(MID(TRIM(INDEX(PASTE_ALL,11,44)),1+(LEFT(TRIM(INDEX(PASTE_ALL,11,44)),1)="-"),999))-(RIGHT(MID(TRIM(INDEX(PASTE_ALL,11,44)),1+(LEFT(TRIM(INDEX(PASTE_ALL,11,44)),1)="-"),999),1)="%"))&lt;&gt;"",SUBSTITUTE(SUBSTITUTE(SUBSTITUTE(SUBSTITUTE(SUBSTITUTE(SUBSTITUTE(SUBSTITUTE(SUBSTITUTE(SUBSTITUTE(SUBSTITUTE(SUBSTITUTE(SUBSTITUTE(LEFT(MID(TRIM(INDEX(PASTE_ALL,11,44)),1+(LEFT(TRIM(INDEX(PASTE_ALL,11,44)),1)="-"),999),LEN(MID(TRIM(INDEX(PASTE_ALL,11,44)),1+(LEFT(TRIM(INDEX(PASTE_ALL,11,44)),1)="-"),999))-(RIGHT(MID(TRIM(INDEX(PASTE_ALL,11,44)),1+(LEFT(TRIM(INDEX(PASTE_ALL,11,44)),1)="-"),999),1)="%")),"0",""),"1",""),"2",""),"3",""),"4",""),"5",""),"6",""),"7",""),"8",""),"9",""),".",""),",","")=""),2,1))),1)</f>
        <v/>
      </c>
      <c r="BQ60">
        <f>IFERROR(IF(ISNUMBER(INDEX(PASTE_ALL,11,45)),2,IF(TRIM(INDEX(PASTE_ALL,11,45))="",0,IF(AND(LEFT(MID(TRIM(INDEX(PASTE_ALL,11,45)),1+(LEFT(TRIM(INDEX(PASTE_ALL,11,45)),1)="-"),999),LEN(MID(TRIM(INDEX(PASTE_ALL,11,45)),1+(LEFT(TRIM(INDEX(PASTE_ALL,11,45)),1)="-"),999))-(RIGHT(MID(TRIM(INDEX(PASTE_ALL,11,45)),1+(LEFT(TRIM(INDEX(PASTE_ALL,11,45)),1)="-"),999),1)="%"))&lt;&gt;"",SUBSTITUTE(SUBSTITUTE(SUBSTITUTE(SUBSTITUTE(SUBSTITUTE(SUBSTITUTE(SUBSTITUTE(SUBSTITUTE(SUBSTITUTE(SUBSTITUTE(SUBSTITUTE(SUBSTITUTE(LEFT(MID(TRIM(INDEX(PASTE_ALL,11,45)),1+(LEFT(TRIM(INDEX(PASTE_ALL,11,45)),1)="-"),999),LEN(MID(TRIM(INDEX(PASTE_ALL,11,45)),1+(LEFT(TRIM(INDEX(PASTE_ALL,11,45)),1)="-"),999))-(RIGHT(MID(TRIM(INDEX(PASTE_ALL,11,45)),1+(LEFT(TRIM(INDEX(PASTE_ALL,11,45)),1)="-"),999),1)="%")),"0",""),"1",""),"2",""),"3",""),"4",""),"5",""),"6",""),"7",""),"8",""),"9",""),".",""),",","")=""),2,1))),1)</f>
        <v/>
      </c>
      <c r="BR60">
        <f>IFERROR(IF(ISNUMBER(INDEX(PASTE_ALL,11,46)),2,IF(TRIM(INDEX(PASTE_ALL,11,46))="",0,IF(AND(LEFT(MID(TRIM(INDEX(PASTE_ALL,11,46)),1+(LEFT(TRIM(INDEX(PASTE_ALL,11,46)),1)="-"),999),LEN(MID(TRIM(INDEX(PASTE_ALL,11,46)),1+(LEFT(TRIM(INDEX(PASTE_ALL,11,46)),1)="-"),999))-(RIGHT(MID(TRIM(INDEX(PASTE_ALL,11,46)),1+(LEFT(TRIM(INDEX(PASTE_ALL,11,46)),1)="-"),999),1)="%"))&lt;&gt;"",SUBSTITUTE(SUBSTITUTE(SUBSTITUTE(SUBSTITUTE(SUBSTITUTE(SUBSTITUTE(SUBSTITUTE(SUBSTITUTE(SUBSTITUTE(SUBSTITUTE(SUBSTITUTE(SUBSTITUTE(LEFT(MID(TRIM(INDEX(PASTE_ALL,11,46)),1+(LEFT(TRIM(INDEX(PASTE_ALL,11,46)),1)="-"),999),LEN(MID(TRIM(INDEX(PASTE_ALL,11,46)),1+(LEFT(TRIM(INDEX(PASTE_ALL,11,46)),1)="-"),999))-(RIGHT(MID(TRIM(INDEX(PASTE_ALL,11,46)),1+(LEFT(TRIM(INDEX(PASTE_ALL,11,46)),1)="-"),999),1)="%")),"0",""),"1",""),"2",""),"3",""),"4",""),"5",""),"6",""),"7",""),"8",""),"9",""),".",""),",","")=""),2,1))),1)</f>
        <v/>
      </c>
      <c r="BS60">
        <f>IFERROR(IF(ISNUMBER(INDEX(PASTE_ALL,11,47)),2,IF(TRIM(INDEX(PASTE_ALL,11,47))="",0,IF(AND(LEFT(MID(TRIM(INDEX(PASTE_ALL,11,47)),1+(LEFT(TRIM(INDEX(PASTE_ALL,11,47)),1)="-"),999),LEN(MID(TRIM(INDEX(PASTE_ALL,11,47)),1+(LEFT(TRIM(INDEX(PASTE_ALL,11,47)),1)="-"),999))-(RIGHT(MID(TRIM(INDEX(PASTE_ALL,11,47)),1+(LEFT(TRIM(INDEX(PASTE_ALL,11,47)),1)="-"),999),1)="%"))&lt;&gt;"",SUBSTITUTE(SUBSTITUTE(SUBSTITUTE(SUBSTITUTE(SUBSTITUTE(SUBSTITUTE(SUBSTITUTE(SUBSTITUTE(SUBSTITUTE(SUBSTITUTE(SUBSTITUTE(SUBSTITUTE(LEFT(MID(TRIM(INDEX(PASTE_ALL,11,47)),1+(LEFT(TRIM(INDEX(PASTE_ALL,11,47)),1)="-"),999),LEN(MID(TRIM(INDEX(PASTE_ALL,11,47)),1+(LEFT(TRIM(INDEX(PASTE_ALL,11,47)),1)="-"),999))-(RIGHT(MID(TRIM(INDEX(PASTE_ALL,11,47)),1+(LEFT(TRIM(INDEX(PASTE_ALL,11,47)),1)="-"),999),1)="%")),"0",""),"1",""),"2",""),"3",""),"4",""),"5",""),"6",""),"7",""),"8",""),"9",""),".",""),",","")=""),2,1))),1)</f>
        <v/>
      </c>
      <c r="BT60">
        <f>IFERROR(IF(ISNUMBER(INDEX(PASTE_ALL,11,48)),2,IF(TRIM(INDEX(PASTE_ALL,11,48))="",0,IF(AND(LEFT(MID(TRIM(INDEX(PASTE_ALL,11,48)),1+(LEFT(TRIM(INDEX(PASTE_ALL,11,48)),1)="-"),999),LEN(MID(TRIM(INDEX(PASTE_ALL,11,48)),1+(LEFT(TRIM(INDEX(PASTE_ALL,11,48)),1)="-"),999))-(RIGHT(MID(TRIM(INDEX(PASTE_ALL,11,48)),1+(LEFT(TRIM(INDEX(PASTE_ALL,11,48)),1)="-"),999),1)="%"))&lt;&gt;"",SUBSTITUTE(SUBSTITUTE(SUBSTITUTE(SUBSTITUTE(SUBSTITUTE(SUBSTITUTE(SUBSTITUTE(SUBSTITUTE(SUBSTITUTE(SUBSTITUTE(SUBSTITUTE(SUBSTITUTE(LEFT(MID(TRIM(INDEX(PASTE_ALL,11,48)),1+(LEFT(TRIM(INDEX(PASTE_ALL,11,48)),1)="-"),999),LEN(MID(TRIM(INDEX(PASTE_ALL,11,48)),1+(LEFT(TRIM(INDEX(PASTE_ALL,11,48)),1)="-"),999))-(RIGHT(MID(TRIM(INDEX(PASTE_ALL,11,48)),1+(LEFT(TRIM(INDEX(PASTE_ALL,11,48)),1)="-"),999),1)="%")),"0",""),"1",""),"2",""),"3",""),"4",""),"5",""),"6",""),"7",""),"8",""),"9",""),".",""),",","")=""),2,1))),1)</f>
        <v/>
      </c>
      <c r="BU60">
        <f>IFERROR(IF(ISNUMBER(INDEX(PASTE_ALL,11,49)),2,IF(TRIM(INDEX(PASTE_ALL,11,49))="",0,IF(AND(LEFT(MID(TRIM(INDEX(PASTE_ALL,11,49)),1+(LEFT(TRIM(INDEX(PASTE_ALL,11,49)),1)="-"),999),LEN(MID(TRIM(INDEX(PASTE_ALL,11,49)),1+(LEFT(TRIM(INDEX(PASTE_ALL,11,49)),1)="-"),999))-(RIGHT(MID(TRIM(INDEX(PASTE_ALL,11,49)),1+(LEFT(TRIM(INDEX(PASTE_ALL,11,49)),1)="-"),999),1)="%"))&lt;&gt;"",SUBSTITUTE(SUBSTITUTE(SUBSTITUTE(SUBSTITUTE(SUBSTITUTE(SUBSTITUTE(SUBSTITUTE(SUBSTITUTE(SUBSTITUTE(SUBSTITUTE(SUBSTITUTE(SUBSTITUTE(LEFT(MID(TRIM(INDEX(PASTE_ALL,11,49)),1+(LEFT(TRIM(INDEX(PASTE_ALL,11,49)),1)="-"),999),LEN(MID(TRIM(INDEX(PASTE_ALL,11,49)),1+(LEFT(TRIM(INDEX(PASTE_ALL,11,49)),1)="-"),999))-(RIGHT(MID(TRIM(INDEX(PASTE_ALL,11,49)),1+(LEFT(TRIM(INDEX(PASTE_ALL,11,49)),1)="-"),999),1)="%")),"0",""),"1",""),"2",""),"3",""),"4",""),"5",""),"6",""),"7",""),"8",""),"9",""),".",""),",","")=""),2,1))),1)</f>
        <v/>
      </c>
      <c r="BV60">
        <f>IFERROR(IF(ISNUMBER(INDEX(PASTE_ALL,11,50)),2,IF(TRIM(INDEX(PASTE_ALL,11,50))="",0,IF(AND(LEFT(MID(TRIM(INDEX(PASTE_ALL,11,50)),1+(LEFT(TRIM(INDEX(PASTE_ALL,11,50)),1)="-"),999),LEN(MID(TRIM(INDEX(PASTE_ALL,11,50)),1+(LEFT(TRIM(INDEX(PASTE_ALL,11,50)),1)="-"),999))-(RIGHT(MID(TRIM(INDEX(PASTE_ALL,11,50)),1+(LEFT(TRIM(INDEX(PASTE_ALL,11,50)),1)="-"),999),1)="%"))&lt;&gt;"",SUBSTITUTE(SUBSTITUTE(SUBSTITUTE(SUBSTITUTE(SUBSTITUTE(SUBSTITUTE(SUBSTITUTE(SUBSTITUTE(SUBSTITUTE(SUBSTITUTE(SUBSTITUTE(SUBSTITUTE(LEFT(MID(TRIM(INDEX(PASTE_ALL,11,50)),1+(LEFT(TRIM(INDEX(PASTE_ALL,11,50)),1)="-"),999),LEN(MID(TRIM(INDEX(PASTE_ALL,11,50)),1+(LEFT(TRIM(INDEX(PASTE_ALL,11,50)),1)="-"),999))-(RIGHT(MID(TRIM(INDEX(PASTE_ALL,11,50)),1+(LEFT(TRIM(INDEX(PASTE_ALL,11,50)),1)="-"),999),1)="%")),"0",""),"1",""),"2",""),"3",""),"4",""),"5",""),"6",""),"7",""),"8",""),"9",""),".",""),",","")=""),2,1))),1)</f>
        <v/>
      </c>
      <c r="BW60">
        <f>IFERROR(IF(ISNUMBER(INDEX(PASTE_ALL,11,51)),2,IF(TRIM(INDEX(PASTE_ALL,11,51))="",0,IF(AND(LEFT(MID(TRIM(INDEX(PASTE_ALL,11,51)),1+(LEFT(TRIM(INDEX(PASTE_ALL,11,51)),1)="-"),999),LEN(MID(TRIM(INDEX(PASTE_ALL,11,51)),1+(LEFT(TRIM(INDEX(PASTE_ALL,11,51)),1)="-"),999))-(RIGHT(MID(TRIM(INDEX(PASTE_ALL,11,51)),1+(LEFT(TRIM(INDEX(PASTE_ALL,11,51)),1)="-"),999),1)="%"))&lt;&gt;"",SUBSTITUTE(SUBSTITUTE(SUBSTITUTE(SUBSTITUTE(SUBSTITUTE(SUBSTITUTE(SUBSTITUTE(SUBSTITUTE(SUBSTITUTE(SUBSTITUTE(SUBSTITUTE(SUBSTITUTE(LEFT(MID(TRIM(INDEX(PASTE_ALL,11,51)),1+(LEFT(TRIM(INDEX(PASTE_ALL,11,51)),1)="-"),999),LEN(MID(TRIM(INDEX(PASTE_ALL,11,51)),1+(LEFT(TRIM(INDEX(PASTE_ALL,11,51)),1)="-"),999))-(RIGHT(MID(TRIM(INDEX(PASTE_ALL,11,51)),1+(LEFT(TRIM(INDEX(PASTE_ALL,11,51)),1)="-"),999),1)="%")),"0",""),"1",""),"2",""),"3",""),"4",""),"5",""),"6",""),"7",""),"8",""),"9",""),".",""),",","")=""),2,1))),1)</f>
        <v/>
      </c>
      <c r="BX60">
        <f>IFERROR(IF(ISNUMBER(INDEX(PASTE_ALL,11,52)),2,IF(TRIM(INDEX(PASTE_ALL,11,52))="",0,IF(AND(LEFT(MID(TRIM(INDEX(PASTE_ALL,11,52)),1+(LEFT(TRIM(INDEX(PASTE_ALL,11,52)),1)="-"),999),LEN(MID(TRIM(INDEX(PASTE_ALL,11,52)),1+(LEFT(TRIM(INDEX(PASTE_ALL,11,52)),1)="-"),999))-(RIGHT(MID(TRIM(INDEX(PASTE_ALL,11,52)),1+(LEFT(TRIM(INDEX(PASTE_ALL,11,52)),1)="-"),999),1)="%"))&lt;&gt;"",SUBSTITUTE(SUBSTITUTE(SUBSTITUTE(SUBSTITUTE(SUBSTITUTE(SUBSTITUTE(SUBSTITUTE(SUBSTITUTE(SUBSTITUTE(SUBSTITUTE(SUBSTITUTE(SUBSTITUTE(LEFT(MID(TRIM(INDEX(PASTE_ALL,11,52)),1+(LEFT(TRIM(INDEX(PASTE_ALL,11,52)),1)="-"),999),LEN(MID(TRIM(INDEX(PASTE_ALL,11,52)),1+(LEFT(TRIM(INDEX(PASTE_ALL,11,52)),1)="-"),999))-(RIGHT(MID(TRIM(INDEX(PASTE_ALL,11,52)),1+(LEFT(TRIM(INDEX(PASTE_ALL,11,52)),1)="-"),999),1)="%")),"0",""),"1",""),"2",""),"3",""),"4",""),"5",""),"6",""),"7",""),"8",""),"9",""),".",""),",","")=""),2,1))),1)</f>
        <v/>
      </c>
      <c r="BY60">
        <f>IFERROR(IF(ISNUMBER(INDEX(PASTE_ALL,11,53)),2,IF(TRIM(INDEX(PASTE_ALL,11,53))="",0,IF(AND(LEFT(MID(TRIM(INDEX(PASTE_ALL,11,53)),1+(LEFT(TRIM(INDEX(PASTE_ALL,11,53)),1)="-"),999),LEN(MID(TRIM(INDEX(PASTE_ALL,11,53)),1+(LEFT(TRIM(INDEX(PASTE_ALL,11,53)),1)="-"),999))-(RIGHT(MID(TRIM(INDEX(PASTE_ALL,11,53)),1+(LEFT(TRIM(INDEX(PASTE_ALL,11,53)),1)="-"),999),1)="%"))&lt;&gt;"",SUBSTITUTE(SUBSTITUTE(SUBSTITUTE(SUBSTITUTE(SUBSTITUTE(SUBSTITUTE(SUBSTITUTE(SUBSTITUTE(SUBSTITUTE(SUBSTITUTE(SUBSTITUTE(SUBSTITUTE(LEFT(MID(TRIM(INDEX(PASTE_ALL,11,53)),1+(LEFT(TRIM(INDEX(PASTE_ALL,11,53)),1)="-"),999),LEN(MID(TRIM(INDEX(PASTE_ALL,11,53)),1+(LEFT(TRIM(INDEX(PASTE_ALL,11,53)),1)="-"),999))-(RIGHT(MID(TRIM(INDEX(PASTE_ALL,11,53)),1+(LEFT(TRIM(INDEX(PASTE_ALL,11,53)),1)="-"),999),1)="%")),"0",""),"1",""),"2",""),"3",""),"4",""),"5",""),"6",""),"7",""),"8",""),"9",""),".",""),",","")=""),2,1))),1)</f>
        <v/>
      </c>
      <c r="BZ60">
        <f>IFERROR(IF(ISNUMBER(INDEX(PASTE_ALL,11,54)),2,IF(TRIM(INDEX(PASTE_ALL,11,54))="",0,IF(AND(LEFT(MID(TRIM(INDEX(PASTE_ALL,11,54)),1+(LEFT(TRIM(INDEX(PASTE_ALL,11,54)),1)="-"),999),LEN(MID(TRIM(INDEX(PASTE_ALL,11,54)),1+(LEFT(TRIM(INDEX(PASTE_ALL,11,54)),1)="-"),999))-(RIGHT(MID(TRIM(INDEX(PASTE_ALL,11,54)),1+(LEFT(TRIM(INDEX(PASTE_ALL,11,54)),1)="-"),999),1)="%"))&lt;&gt;"",SUBSTITUTE(SUBSTITUTE(SUBSTITUTE(SUBSTITUTE(SUBSTITUTE(SUBSTITUTE(SUBSTITUTE(SUBSTITUTE(SUBSTITUTE(SUBSTITUTE(SUBSTITUTE(SUBSTITUTE(LEFT(MID(TRIM(INDEX(PASTE_ALL,11,54)),1+(LEFT(TRIM(INDEX(PASTE_ALL,11,54)),1)="-"),999),LEN(MID(TRIM(INDEX(PASTE_ALL,11,54)),1+(LEFT(TRIM(INDEX(PASTE_ALL,11,54)),1)="-"),999))-(RIGHT(MID(TRIM(INDEX(PASTE_ALL,11,54)),1+(LEFT(TRIM(INDEX(PASTE_ALL,11,54)),1)="-"),999),1)="%")),"0",""),"1",""),"2",""),"3",""),"4",""),"5",""),"6",""),"7",""),"8",""),"9",""),".",""),",","")=""),2,1))),1)</f>
        <v/>
      </c>
      <c r="CA60">
        <f>IFERROR(IF(ISNUMBER(INDEX(PASTE_ALL,11,55)),2,IF(TRIM(INDEX(PASTE_ALL,11,55))="",0,IF(AND(LEFT(MID(TRIM(INDEX(PASTE_ALL,11,55)),1+(LEFT(TRIM(INDEX(PASTE_ALL,11,55)),1)="-"),999),LEN(MID(TRIM(INDEX(PASTE_ALL,11,55)),1+(LEFT(TRIM(INDEX(PASTE_ALL,11,55)),1)="-"),999))-(RIGHT(MID(TRIM(INDEX(PASTE_ALL,11,55)),1+(LEFT(TRIM(INDEX(PASTE_ALL,11,55)),1)="-"),999),1)="%"))&lt;&gt;"",SUBSTITUTE(SUBSTITUTE(SUBSTITUTE(SUBSTITUTE(SUBSTITUTE(SUBSTITUTE(SUBSTITUTE(SUBSTITUTE(SUBSTITUTE(SUBSTITUTE(SUBSTITUTE(SUBSTITUTE(LEFT(MID(TRIM(INDEX(PASTE_ALL,11,55)),1+(LEFT(TRIM(INDEX(PASTE_ALL,11,55)),1)="-"),999),LEN(MID(TRIM(INDEX(PASTE_ALL,11,55)),1+(LEFT(TRIM(INDEX(PASTE_ALL,11,55)),1)="-"),999))-(RIGHT(MID(TRIM(INDEX(PASTE_ALL,11,55)),1+(LEFT(TRIM(INDEX(PASTE_ALL,11,55)),1)="-"),999),1)="%")),"0",""),"1",""),"2",""),"3",""),"4",""),"5",""),"6",""),"7",""),"8",""),"9",""),".",""),",","")=""),2,1))),1)</f>
        <v/>
      </c>
      <c r="CB60">
        <f>IFERROR(IF(ISNUMBER(INDEX(PASTE_ALL,11,56)),2,IF(TRIM(INDEX(PASTE_ALL,11,56))="",0,IF(AND(LEFT(MID(TRIM(INDEX(PASTE_ALL,11,56)),1+(LEFT(TRIM(INDEX(PASTE_ALL,11,56)),1)="-"),999),LEN(MID(TRIM(INDEX(PASTE_ALL,11,56)),1+(LEFT(TRIM(INDEX(PASTE_ALL,11,56)),1)="-"),999))-(RIGHT(MID(TRIM(INDEX(PASTE_ALL,11,56)),1+(LEFT(TRIM(INDEX(PASTE_ALL,11,56)),1)="-"),999),1)="%"))&lt;&gt;"",SUBSTITUTE(SUBSTITUTE(SUBSTITUTE(SUBSTITUTE(SUBSTITUTE(SUBSTITUTE(SUBSTITUTE(SUBSTITUTE(SUBSTITUTE(SUBSTITUTE(SUBSTITUTE(SUBSTITUTE(LEFT(MID(TRIM(INDEX(PASTE_ALL,11,56)),1+(LEFT(TRIM(INDEX(PASTE_ALL,11,56)),1)="-"),999),LEN(MID(TRIM(INDEX(PASTE_ALL,11,56)),1+(LEFT(TRIM(INDEX(PASTE_ALL,11,56)),1)="-"),999))-(RIGHT(MID(TRIM(INDEX(PASTE_ALL,11,56)),1+(LEFT(TRIM(INDEX(PASTE_ALL,11,56)),1)="-"),999),1)="%")),"0",""),"1",""),"2",""),"3",""),"4",""),"5",""),"6",""),"7",""),"8",""),"9",""),".",""),",","")=""),2,1))),1)</f>
        <v/>
      </c>
      <c r="CC60">
        <f>IFERROR(IF(ISNUMBER(INDEX(PASTE_ALL,11,57)),2,IF(TRIM(INDEX(PASTE_ALL,11,57))="",0,IF(AND(LEFT(MID(TRIM(INDEX(PASTE_ALL,11,57)),1+(LEFT(TRIM(INDEX(PASTE_ALL,11,57)),1)="-"),999),LEN(MID(TRIM(INDEX(PASTE_ALL,11,57)),1+(LEFT(TRIM(INDEX(PASTE_ALL,11,57)),1)="-"),999))-(RIGHT(MID(TRIM(INDEX(PASTE_ALL,11,57)),1+(LEFT(TRIM(INDEX(PASTE_ALL,11,57)),1)="-"),999),1)="%"))&lt;&gt;"",SUBSTITUTE(SUBSTITUTE(SUBSTITUTE(SUBSTITUTE(SUBSTITUTE(SUBSTITUTE(SUBSTITUTE(SUBSTITUTE(SUBSTITUTE(SUBSTITUTE(SUBSTITUTE(SUBSTITUTE(LEFT(MID(TRIM(INDEX(PASTE_ALL,11,57)),1+(LEFT(TRIM(INDEX(PASTE_ALL,11,57)),1)="-"),999),LEN(MID(TRIM(INDEX(PASTE_ALL,11,57)),1+(LEFT(TRIM(INDEX(PASTE_ALL,11,57)),1)="-"),999))-(RIGHT(MID(TRIM(INDEX(PASTE_ALL,11,57)),1+(LEFT(TRIM(INDEX(PASTE_ALL,11,57)),1)="-"),999),1)="%")),"0",""),"1",""),"2",""),"3",""),"4",""),"5",""),"6",""),"7",""),"8",""),"9",""),".",""),",","")=""),2,1))),1)</f>
        <v/>
      </c>
      <c r="CD60">
        <f>IFERROR(IF(ISNUMBER(INDEX(PASTE_ALL,11,58)),2,IF(TRIM(INDEX(PASTE_ALL,11,58))="",0,IF(AND(LEFT(MID(TRIM(INDEX(PASTE_ALL,11,58)),1+(LEFT(TRIM(INDEX(PASTE_ALL,11,58)),1)="-"),999),LEN(MID(TRIM(INDEX(PASTE_ALL,11,58)),1+(LEFT(TRIM(INDEX(PASTE_ALL,11,58)),1)="-"),999))-(RIGHT(MID(TRIM(INDEX(PASTE_ALL,11,58)),1+(LEFT(TRIM(INDEX(PASTE_ALL,11,58)),1)="-"),999),1)="%"))&lt;&gt;"",SUBSTITUTE(SUBSTITUTE(SUBSTITUTE(SUBSTITUTE(SUBSTITUTE(SUBSTITUTE(SUBSTITUTE(SUBSTITUTE(SUBSTITUTE(SUBSTITUTE(SUBSTITUTE(SUBSTITUTE(LEFT(MID(TRIM(INDEX(PASTE_ALL,11,58)),1+(LEFT(TRIM(INDEX(PASTE_ALL,11,58)),1)="-"),999),LEN(MID(TRIM(INDEX(PASTE_ALL,11,58)),1+(LEFT(TRIM(INDEX(PASTE_ALL,11,58)),1)="-"),999))-(RIGHT(MID(TRIM(INDEX(PASTE_ALL,11,58)),1+(LEFT(TRIM(INDEX(PASTE_ALL,11,58)),1)="-"),999),1)="%")),"0",""),"1",""),"2",""),"3",""),"4",""),"5",""),"6",""),"7",""),"8",""),"9",""),".",""),",","")=""),2,1))),1)</f>
        <v/>
      </c>
      <c r="CE60">
        <f>IFERROR(IF(ISNUMBER(INDEX(PASTE_ALL,11,59)),2,IF(TRIM(INDEX(PASTE_ALL,11,59))="",0,IF(AND(LEFT(MID(TRIM(INDEX(PASTE_ALL,11,59)),1+(LEFT(TRIM(INDEX(PASTE_ALL,11,59)),1)="-"),999),LEN(MID(TRIM(INDEX(PASTE_ALL,11,59)),1+(LEFT(TRIM(INDEX(PASTE_ALL,11,59)),1)="-"),999))-(RIGHT(MID(TRIM(INDEX(PASTE_ALL,11,59)),1+(LEFT(TRIM(INDEX(PASTE_ALL,11,59)),1)="-"),999),1)="%"))&lt;&gt;"",SUBSTITUTE(SUBSTITUTE(SUBSTITUTE(SUBSTITUTE(SUBSTITUTE(SUBSTITUTE(SUBSTITUTE(SUBSTITUTE(SUBSTITUTE(SUBSTITUTE(SUBSTITUTE(SUBSTITUTE(LEFT(MID(TRIM(INDEX(PASTE_ALL,11,59)),1+(LEFT(TRIM(INDEX(PASTE_ALL,11,59)),1)="-"),999),LEN(MID(TRIM(INDEX(PASTE_ALL,11,59)),1+(LEFT(TRIM(INDEX(PASTE_ALL,11,59)),1)="-"),999))-(RIGHT(MID(TRIM(INDEX(PASTE_ALL,11,59)),1+(LEFT(TRIM(INDEX(PASTE_ALL,11,59)),1)="-"),999),1)="%")),"0",""),"1",""),"2",""),"3",""),"4",""),"5",""),"6",""),"7",""),"8",""),"9",""),".",""),",","")=""),2,1))),1)</f>
        <v/>
      </c>
      <c r="CF60">
        <f>IFERROR(IF(ISNUMBER(INDEX(PASTE_ALL,11,60)),2,IF(TRIM(INDEX(PASTE_ALL,11,60))="",0,IF(AND(LEFT(MID(TRIM(INDEX(PASTE_ALL,11,60)),1+(LEFT(TRIM(INDEX(PASTE_ALL,11,60)),1)="-"),999),LEN(MID(TRIM(INDEX(PASTE_ALL,11,60)),1+(LEFT(TRIM(INDEX(PASTE_ALL,11,60)),1)="-"),999))-(RIGHT(MID(TRIM(INDEX(PASTE_ALL,11,60)),1+(LEFT(TRIM(INDEX(PASTE_ALL,11,60)),1)="-"),999),1)="%"))&lt;&gt;"",SUBSTITUTE(SUBSTITUTE(SUBSTITUTE(SUBSTITUTE(SUBSTITUTE(SUBSTITUTE(SUBSTITUTE(SUBSTITUTE(SUBSTITUTE(SUBSTITUTE(SUBSTITUTE(SUBSTITUTE(LEFT(MID(TRIM(INDEX(PASTE_ALL,11,60)),1+(LEFT(TRIM(INDEX(PASTE_ALL,11,60)),1)="-"),999),LEN(MID(TRIM(INDEX(PASTE_ALL,11,60)),1+(LEFT(TRIM(INDEX(PASTE_ALL,11,60)),1)="-"),999))-(RIGHT(MID(TRIM(INDEX(PASTE_ALL,11,60)),1+(LEFT(TRIM(INDEX(PASTE_ALL,11,60)),1)="-"),999),1)="%")),"0",""),"1",""),"2",""),"3",""),"4",""),"5",""),"6",""),"7",""),"8",""),"9",""),".",""),",","")=""),2,1))),1)</f>
        <v/>
      </c>
      <c r="DA60" t="n">
        <v>56</v>
      </c>
      <c r="DB60">
        <f>IF($B$37=0,"",IFERROR(TRIM(SUBSTITUTE(SUBSTITUTE(SUBSTITUTE(SUBSTITUTE(INDEX(PASTE_ALL,56,$B$37)," "," "),CHAR(9)," "),CHAR(10)," "),CHAR(13)," ")),""))</f>
        <v/>
      </c>
      <c r="DC60">
        <f>IF(AND(56&gt;HEADER_ROW,UPPER(DB60)="LEGEND"),1,0)</f>
        <v/>
      </c>
      <c r="DE60" t="n">
        <v>56</v>
      </c>
      <c r="DF60">
        <f>HEADER_ROW+$DE60</f>
        <v/>
      </c>
      <c r="DG60">
        <f>IF(AND($DF60&lt;=1000,$DF60&lt;$B$8),1,0)</f>
        <v/>
      </c>
      <c r="DH60">
        <f>IF($DG60=1,IFERROR(INDEX($DB$5:$DB$1004,$DF60),""),"")</f>
        <v/>
      </c>
      <c r="DI60">
        <f>IF(AND($DG60=1,$DH60&lt;&gt;""),IFERROR(SUBSTITUTE(SUBSTITUTE(TRIM(SUBSTITUTE(SUBSTITUTE(SUBSTITUTE(SUBSTITUTE(IFERROR(INDEX(PASTE_ALL,$DF60,1)&amp;"","")&amp;"␟"&amp;IFERROR(INDEX(PASTE_ALL,$DF60,2)&amp;"","")&amp;"␟"&amp;IFERROR(INDEX(PASTE_ALL,$DF60,3)&amp;"","")&amp;"␟"&amp;IFERROR(INDEX(PASTE_ALL,$DF60,4)&amp;"","")&amp;"␟"&amp;IFERROR(INDEX(PASTE_ALL,$DF60,5)&amp;"","")&amp;"␟"&amp;IFERROR(INDEX(PASTE_ALL,$DF60,6)&amp;"","")&amp;"␟"&amp;IFERROR(INDEX(PASTE_ALL,$DF60,7)&amp;"","")&amp;"␟"&amp;IFERROR(INDEX(PASTE_ALL,$DF60,8)&amp;"","")&amp;"␟"&amp;IFERROR(INDEX(PASTE_ALL,$DF60,9)&amp;"","")&amp;"␟"&amp;IFERROR(INDEX(PASTE_ALL,$DF60,10)&amp;"","")&amp;"␟"&amp;IFERROR(INDEX(PASTE_ALL,$DF60,11)&amp;"","")&amp;"␟"&amp;IFERROR(INDEX(PASTE_ALL,$DF60,12)&amp;"","")&amp;"␟"&amp;IFERROR(INDEX(PASTE_ALL,$DF60,13)&amp;"","")&amp;"␟"&amp;IFERROR(INDEX(PASTE_ALL,$DF60,14)&amp;"","")&amp;"␟"&amp;IFERROR(INDEX(PASTE_ALL,$DF60,15)&amp;"","")&amp;"␟"&amp;IFERROR(INDEX(PASTE_ALL,$DF60,16)&amp;"","")&amp;"␟"&amp;IFERROR(INDEX(PASTE_ALL,$DF60,17)&amp;"","")&amp;"␟"&amp;IFERROR(INDEX(PASTE_ALL,$DF60,18)&amp;"","")&amp;"␟"&amp;IFERROR(INDEX(PASTE_ALL,$DF60,19)&amp;"","")&amp;"␟"&amp;IFERROR(INDEX(PASTE_ALL,$DF60,20)&amp;"","")&amp;"␟"&amp;IFERROR(INDEX(PASTE_ALL,$DF60,21)&amp;"","")&amp;"␟"&amp;IFERROR(INDEX(PASTE_ALL,$DF60,22)&amp;"","")&amp;"␟"&amp;IFERROR(INDEX(PASTE_ALL,$DF60,23)&amp;"","")&amp;"␟"&amp;IFERROR(INDEX(PASTE_ALL,$DF60,24)&amp;"","")&amp;"␟"&amp;IFERROR(INDEX(PASTE_ALL,$DF60,25)&amp;"","")&amp;"␟"&amp;IFERROR(INDEX(PASTE_ALL,$DF60,26)&amp;"","")&amp;"␟"&amp;IFERROR(INDEX(PASTE_ALL,$DF60,27)&amp;"","")&amp;"␟"&amp;IFERROR(INDEX(PASTE_ALL,$DF60,28)&amp;"","")&amp;"␟"&amp;IFERROR(INDEX(PASTE_ALL,$DF60,29)&amp;"","")&amp;"␟"&amp;IFERROR(INDEX(PASTE_ALL,$DF60,30)&amp;"","")&amp;"␟"&amp;IFERROR(INDEX(PASTE_ALL,$DF60,31)&amp;"","")&amp;"␟"&amp;IFERROR(INDEX(PASTE_ALL,$DF60,32)&amp;"","")&amp;"␟"&amp;IFERROR(INDEX(PASTE_ALL,$DF60,33)&amp;"","")&amp;"␟"&amp;IFERROR(INDEX(PASTE_ALL,$DF60,34)&amp;"","")&amp;"␟"&amp;IFERROR(INDEX(PASTE_ALL,$DF60,35)&amp;"","")&amp;"␟"&amp;IFERROR(INDEX(PASTE_ALL,$DF60,36)&amp;"","")&amp;"␟"&amp;IFERROR(INDEX(PASTE_ALL,$DF60,37)&amp;"","")&amp;"␟"&amp;IFERROR(INDEX(PASTE_ALL,$DF60,38)&amp;"","")&amp;"␟"&amp;IFERROR(INDEX(PASTE_ALL,$DF60,39)&amp;"","")&amp;"␟"&amp;IFERROR(INDEX(PASTE_ALL,$DF60,40)&amp;"","")&amp;"␟"&amp;IFERROR(INDEX(PASTE_ALL,$DF60,41)&amp;"","")&amp;"␟"&amp;IFERROR(INDEX(PASTE_ALL,$DF60,42)&amp;"","")&amp;"␟"&amp;IFERROR(INDEX(PASTE_ALL,$DF60,43)&amp;"","")&amp;"␟"&amp;IFERROR(INDEX(PASTE_ALL,$DF60,44)&amp;"","")&amp;"␟"&amp;IFERROR(INDEX(PASTE_ALL,$DF60,45)&amp;"","")&amp;"␟"&amp;IFERROR(INDEX(PASTE_ALL,$DF60,46)&amp;"","")&amp;"␟"&amp;IFERROR(INDEX(PASTE_ALL,$DF60,47)&amp;"","")&amp;"␟"&amp;IFERROR(INDEX(PASTE_ALL,$DF60,48)&amp;"","")&amp;"␟"&amp;IFERROR(INDEX(PASTE_ALL,$DF60,49)&amp;"","")&amp;"␟"&amp;IFERROR(INDEX(PASTE_ALL,$DF60,50)&amp;"","")&amp;"␟"&amp;IFERROR(INDEX(PASTE_ALL,$DF60,51)&amp;"","")&amp;"␟"&amp;IFERROR(INDEX(PASTE_ALL,$DF60,52)&amp;"","")&amp;"␟"&amp;IFERROR(INDEX(PASTE_ALL,$DF60,53)&amp;"","")&amp;"␟"&amp;IFERROR(INDEX(PASTE_ALL,$DF60,54)&amp;"","")&amp;"␟"&amp;IFERROR(INDEX(PASTE_ALL,$DF60,55)&amp;"","")&amp;"␟"&amp;IFERROR(INDEX(PASTE_ALL,$DF60,56)&amp;"","")&amp;"␟"&amp;IFERROR(INDEX(PASTE_ALL,$DF60,57)&amp;"","")&amp;"␟"&amp;IFERROR(INDEX(PASTE_ALL,$DF60,58)&amp;"","")&amp;"␟"&amp;IFERROR(INDEX(PASTE_ALL,$DF60,59)&amp;"","")&amp;"␟"&amp;IFERROR(INDEX(PASTE_ALL,$DF60,60)&amp;"","")," "," "),CHAR(9)," "),CHAR(10)," "),CHAR(13)," "))," ␟","␟"),"␟ ","␟"),"#"&amp;$DE60),"")</f>
        <v/>
      </c>
      <c r="DJ60">
        <f>IF($DI60="",0,IF(SUMPRODUCT(--EXACT($DI$4:DI59,$DI60))&gt;0,1,0))</f>
        <v/>
      </c>
      <c r="DK60">
        <f>IF(AND($DI60&lt;&gt;"",$DJ60=0),1,0)</f>
        <v/>
      </c>
      <c r="DL60">
        <f>DL59+$DK60</f>
        <v/>
      </c>
      <c r="DM60">
        <f>IF(AND($DK60=1,$DL60&lt;=600),1,0)</f>
        <v/>
      </c>
      <c r="DN60">
        <f>IF($DM60=0,"",IF($L$6=0,"",IFERROR(IF(ISNUMBER(INDEX(PASTE_ALL,$DF60,$L$6)),INDEX(PASTE_ALL,$DF60,$L$6),TRIM(SUBSTITUTE(SUBSTITUTE(SUBSTITUTE(SUBSTITUTE(INDEX(PASTE_ALL,$DF60,$L$6)," "," "),CHAR(9)," "),CHAR(10)," "),CHAR(13)," "))),"")))</f>
        <v/>
      </c>
      <c r="DO60">
        <f>IF($DM60=0,"",IF($L$7=0,"",IFERROR(IF(ISNUMBER(INDEX(PASTE_ALL,$DF60,$L$7)),INDEX(PASTE_ALL,$DF60,$L$7),TRIM(SUBSTITUTE(SUBSTITUTE(SUBSTITUTE(SUBSTITUTE(INDEX(PASTE_ALL,$DF60,$L$7)," "," "),CHAR(9)," "),CHAR(10)," "),CHAR(13)," "))),"")))</f>
        <v/>
      </c>
      <c r="DP60">
        <f>IF($DM60=0,"",IF($L$8=0,"",IFERROR(IF(ISNUMBER(INDEX(PASTE_ALL,$DF60,$L$8)),INDEX(PASTE_ALL,$DF60,$L$8),TRIM(SUBSTITUTE(SUBSTITUTE(SUBSTITUTE(SUBSTITUTE(INDEX(PASTE_ALL,$DF60,$L$8)," "," "),CHAR(9)," "),CHAR(10)," "),CHAR(13)," "))),"")))</f>
        <v/>
      </c>
      <c r="DQ60">
        <f>IF($DM60=0,"",IF($L$9=0,"",IFERROR(IF(ISNUMBER(INDEX(PASTE_ALL,$DF60,$L$9)),INDEX(PASTE_ALL,$DF60,$L$9),TRIM(SUBSTITUTE(SUBSTITUTE(SUBSTITUTE(SUBSTITUTE(INDEX(PASTE_ALL,$DF60,$L$9)," "," "),CHAR(9)," "),CHAR(10)," "),CHAR(13)," "))),"")))</f>
        <v/>
      </c>
      <c r="DR60">
        <f>IF($DM60=0,"",IF($L$10=0,"",IFERROR(IF(ISNUMBER(INDEX(PASTE_ALL,$DF60,$L$10)),INDEX(PASTE_ALL,$DF60,$L$10),TRIM(SUBSTITUTE(SUBSTITUTE(SUBSTITUTE(SUBSTITUTE(INDEX(PASTE_ALL,$DF60,$L$10)," "," "),CHAR(9)," "),CHAR(10)," "),CHAR(13)," "))),"")))</f>
        <v/>
      </c>
      <c r="DS60">
        <f>IF($DM60=0,"",IF($L$11=0,"",IFERROR(IF(ISNUMBER(INDEX(PASTE_ALL,$DF60,$L$11)),INDEX(PASTE_ALL,$DF60,$L$11),TRIM(SUBSTITUTE(SUBSTITUTE(SUBSTITUTE(SUBSTITUTE(INDEX(PASTE_ALL,$DF60,$L$11)," "," "),CHAR(9)," "),CHAR(10)," "),CHAR(13)," "))),"")))</f>
        <v/>
      </c>
      <c r="DT60">
        <f>IF($DM60=0,"",IF($L$12=0,"",IFERROR(IF(ISNUMBER(INDEX(PASTE_ALL,$DF60,$L$12)),INDEX(PASTE_ALL,$DF60,$L$12),TRIM(SUBSTITUTE(SUBSTITUTE(SUBSTITUTE(SUBSTITUTE(INDEX(PASTE_ALL,$DF60,$L$12)," "," "),CHAR(9)," "),CHAR(10)," "),CHAR(13)," "))),"")))</f>
        <v/>
      </c>
      <c r="DU60">
        <f>IF($DM60=0,"",IF($L$13=0,"",IFERROR(IF(ISNUMBER(INDEX(PASTE_ALL,$DF60,$L$13)),INDEX(PASTE_ALL,$DF60,$L$13),TRIM(SUBSTITUTE(SUBSTITUTE(SUBSTITUTE(SUBSTITUTE(INDEX(PASTE_ALL,$DF60,$L$13)," "," "),CHAR(9)," "),CHAR(10)," "),CHAR(13)," "))),"")))</f>
        <v/>
      </c>
      <c r="DV60">
        <f>IF($DM60=0,"",IF($L$14=0,"",IFERROR(IF(ISNUMBER(INDEX(PASTE_ALL,$DF60,$L$14)),INDEX(PASTE_ALL,$DF60,$L$14),TRIM(SUBSTITUTE(SUBSTITUTE(SUBSTITUTE(SUBSTITUTE(INDEX(PASTE_ALL,$DF60,$L$14)," "," "),CHAR(9)," "),CHAR(10)," "),CHAR(13)," "))),"")))</f>
        <v/>
      </c>
      <c r="DW60">
        <f>IF($DM60=0,"",IF($L$15=0,"",IFERROR(IF(ISNUMBER(INDEX(PASTE_ALL,$DF60,$L$15)),INDEX(PASTE_ALL,$DF60,$L$15),IF(SUMPRODUCT(--ISNUMBER(FIND({"A","B","C","D","E","F","G","H","I","J","K","L","M","N","O","P","Q","R","S","T","U","V","W","X","Y","Z","0","1","2","3","4","5","6","7","8","9"},UPPER(TRIM(SUBSTITUTE(SUBSTITUTE(SUBSTITUTE(SUBSTITUTE(INDEX(PASTE_ALL,$DF60,$L$15)," "," "),CHAR(9)," "),CHAR(10)," "),CHAR(13)," "))))))&gt;0,TRIM(SUBSTITUTE(SUBSTITUTE(SUBSTITUTE(SUBSTITUTE(INDEX(PASTE_ALL,$DF60,$L$15)," "," "),CHAR(9)," "),CHAR(10)," "),CHAR(13)," ")),"")),"")))</f>
        <v/>
      </c>
      <c r="DX60">
        <f>IF($DM60=0,"",IF($L$16=0,"",IFERROR(IF(ISNUMBER(INDEX(PASTE_ALL,$DF60,$L$16)),INDEX(PASTE_ALL,$DF60,$L$16),SUBSTITUTE(SUBSTITUTE(TRIM(SUBSTITUTE(SUBSTITUTE(SUBSTITUTE(SUBSTITUTE(INDEX(PASTE_ALL,$DF60,$L$16)," "," "),CHAR(9)," "),CHAR(10)," "),CHAR(13)," ")),",",""),"%","")),"")))</f>
        <v/>
      </c>
      <c r="DY60">
        <f>IF($DM60=0,"",IFERROR(IF(ISNUMBER($DX60),$DX60,IF($DX60="","",IF(TRIM($DX60)="",0,IF(AND(AND(SUBSTITUTE(SUBSTITUTE(SUBSTITUTE(SUBSTITUTE(SUBSTITUTE(SUBSTITUTE(SUBSTITUTE(SUBSTITUTE(SUBSTITUTE(SUBSTITUTE(SUBSTITUTE(SUBSTITUTE(SUBSTITUTE(SUBSTITUTE(UPPER(TRIM($DX60)),"0",""),"1",""),"2",""),"3",""),"4",""),"5",""),"6",""),"7",""),"8",""),"9",""),".",""),"+",""),"-",""),"E","")="",LEN(SUBSTITUTE(SUBSTITUTE(MID(UPPER(TRIM($DX60)),1+OR(LEFT(UPPER(TRIM($DX60)),1)="+",LEFT(UPPER(TRIM($DX60)),1)="-"),999),"E+","E"),"E-","E"))=LEN(SUBSTITUTE(SUBSTITUTE(SUBSTITUTE(SUBSTITUTE(MID(UPPER(TRIM($DX60)),1+OR(LEFT(UPPER(TRIM($DX60)),1)="+",LEFT(UPPER(TRIM($DX60)),1)="-"),999),"E+","E"),"E-","E"),"+",""),"-","")),LEN(UPPER(TRIM($DX60)))-LEN(SUBSTITUTE(UPPER(TRIM($DX60)),"E",""))&lt;2,LEN(UPPER(TRIM($DX60)))-LEN(SUBSTITUTE(UPPER(TRIM($DX60)),".",""))&lt;2,IFERROR(FIND(".",UPPER(TRIM($DX60))),0)&lt;IFERROR(FIND("E",UPPER(TRIM($DX60))),999)),ISNUMBER(VALUE(TRIM($DX60)))),VALUE(TRIM($DX60)),"")))),""))</f>
        <v/>
      </c>
      <c r="DZ60">
        <f>IF($DM60=0,"",IF($L$17=0,"",IFERROR(IF(ISNUMBER(INDEX(PASTE_ALL,$DF60,$L$17)),INDEX(PASTE_ALL,$DF60,$L$17),SUBSTITUTE(SUBSTITUTE(TRIM(SUBSTITUTE(SUBSTITUTE(SUBSTITUTE(SUBSTITUTE(INDEX(PASTE_ALL,$DF60,$L$17)," "," "),CHAR(9)," "),CHAR(10)," "),CHAR(13)," ")),",",""),"%","")),"")))</f>
        <v/>
      </c>
      <c r="EA60">
        <f>IF($DM60=0,"",IFERROR(IF(ISNUMBER($DZ60),$DZ60,IF($DZ60="","",IF(TRIM($DZ60)="",0,IF(AND(AND(SUBSTITUTE(SUBSTITUTE(SUBSTITUTE(SUBSTITUTE(SUBSTITUTE(SUBSTITUTE(SUBSTITUTE(SUBSTITUTE(SUBSTITUTE(SUBSTITUTE(SUBSTITUTE(SUBSTITUTE(SUBSTITUTE(SUBSTITUTE(UPPER(TRIM($DZ60)),"0",""),"1",""),"2",""),"3",""),"4",""),"5",""),"6",""),"7",""),"8",""),"9",""),".",""),"+",""),"-",""),"E","")="",LEN(SUBSTITUTE(SUBSTITUTE(MID(UPPER(TRIM($DZ60)),1+OR(LEFT(UPPER(TRIM($DZ60)),1)="+",LEFT(UPPER(TRIM($DZ60)),1)="-"),999),"E+","E"),"E-","E"))=LEN(SUBSTITUTE(SUBSTITUTE(SUBSTITUTE(SUBSTITUTE(MID(UPPER(TRIM($DZ60)),1+OR(LEFT(UPPER(TRIM($DZ60)),1)="+",LEFT(UPPER(TRIM($DZ60)),1)="-"),999),"E+","E"),"E-","E"),"+",""),"-","")),LEN(UPPER(TRIM($DZ60)))-LEN(SUBSTITUTE(UPPER(TRIM($DZ60)),"E",""))&lt;2,LEN(UPPER(TRIM($DZ60)))-LEN(SUBSTITUTE(UPPER(TRIM($DZ60)),".",""))&lt;2,IFERROR(FIND(".",UPPER(TRIM($DZ60))),0)&lt;IFERROR(FIND("E",UPPER(TRIM($DZ60))),999)),ISNUMBER(VALUE(TRIM($DZ60)))),VALUE(TRIM($DZ60)),"")))),""))</f>
        <v/>
      </c>
      <c r="EB60">
        <f>IF($DM60=0,"",IF($L$18=0,"",IFERROR(IF(UPPER(TRIM(SUBSTITUTE(SUBSTITUTE(SUBSTITUTE(SUBSTITUTE(INDEX(PASTE_ALL,$DF60,$L$18)," "," "),CHAR(9)," "),CHAR(10)," "),CHAR(13)," ")))="READY","Ready",IF(UPPER(TRIM(SUBSTITUTE(SUBSTITUTE(SUBSTITUTE(SUBSTITUTE(INDEX(PASTE_ALL,$DF60,$L$18)," "," "),CHAR(9)," "),CHAR(10)," "),CHAR(13)," ")))="PM","PM",IF(OR(UPPER(TRIM(SUBSTITUTE(SUBSTITUTE(SUBSTITUTE(SUBSTITUTE(INDEX(PASTE_ALL,$DF60,$L$18)," "," "),CHAR(9)," "),CHAR(10)," "),CHAR(13)," ")))="OT",UPPER(TRIM(SUBSTITUTE(SUBSTITUTE(SUBSTITUTE(SUBSTITUTE(INDEX(PASTE_ALL,$DF60,$L$18)," "," "),CHAR(9)," "),CHAR(10)," "),CHAR(13)," ")))="OVERTIME",UPPER(TRIM(SUBSTITUTE(SUBSTITUTE(SUBSTITUTE(SUBSTITUTE(INDEX(PASTE_ALL,$DF60,$L$18)," "," "),CHAR(9)," "),CHAR(10)," "),CHAR(13)," ")))="TRIAL"),"OT",TRIM(SUBSTITUTE(SUBSTITUTE(SUBSTITUTE(SUBSTITUTE(INDEX(PASTE_ALL,$DF60,$L$18)," "," "),CHAR(9)," "),CHAR(10)," "),CHAR(13)," "))))),"")))</f>
        <v/>
      </c>
      <c r="EC60">
        <f>IF($DM60=0,"",IF($L$19=0,"",IFERROR(IF(ISNUMBER(INDEX(PASTE_ALL,$DF60,$L$19)),INDEX(PASTE_ALL,$DF60,$L$19),TRIM(SUBSTITUTE(SUBSTITUTE(SUBSTITUTE(SUBSTITUTE(INDEX(PASTE_ALL,$DF60,$L$19)," "," "),CHAR(9)," "),CHAR(10)," "),CHAR(13)," "))),"")))</f>
        <v/>
      </c>
      <c r="ED60">
        <f>IF($DM60=0,"",MATCH(1,INDEX(EXACT($DH$5:DH60,$DH60)*$DM$5:DM60,0),0))</f>
        <v/>
      </c>
      <c r="EE60">
        <f>IF($DM60=0,0,IF($ED60=$DE60,1,0))</f>
        <v/>
      </c>
      <c r="EF60">
        <f>EF59+$EE60</f>
        <v/>
      </c>
      <c r="EG60">
        <f>IF($DM60=0,"",INDEX($EF$5:$EF$1003,$ED60))</f>
        <v/>
      </c>
      <c r="EH60">
        <f>IF($DM60=0,"",IF($DO60&lt;&gt;"","",IFERROR(LOOKUP(2,1/(($EG$4:EG59=$EG60)*($DO$4:DO59&lt;&gt;"")),$DO$4:DO59),"")))</f>
        <v/>
      </c>
      <c r="EI60">
        <f>IF($DM60=0,"",IF($DO60&lt;&gt;"",$DO60,$EH60))</f>
        <v/>
      </c>
      <c r="EJ60">
        <f>IF($DM60=0,"",IF($EI60="",0,IF(OR(ISNUMBER($EI60),AND(AND(SUBSTITUTE(SUBSTITUTE(SUBSTITUTE(SUBSTITUTE(SUBSTITUTE(SUBSTITUTE(SUBSTITUTE(SUBSTITUTE(SUBSTITUTE(SUBSTITUTE(SUBSTITUTE(SUBSTITUTE(SUBSTITUTE(SUBSTITUTE(UPPER($EI60),"0",""),"1",""),"2",""),"3",""),"4",""),"5",""),"6",""),"7",""),"8",""),"9",""),".",""),"+",""),"-",""),"E","")="",LEN(SUBSTITUTE(SUBSTITUTE(MID(UPPER($EI60),1+OR(LEFT(UPPER($EI60),1)="+",LEFT(UPPER($EI60),1)="-"),999),"E+","E"),"E-","E"))=LEN(SUBSTITUTE(SUBSTITUTE(SUBSTITUTE(SUBSTITUTE(MID(UPPER($EI60),1+OR(LEFT(UPPER($EI60),1)="+",LEFT(UPPER($EI60),1)="-"),999),"E+","E"),"E-","E"),"+",""),"-","")),LEN(UPPER($EI60))-LEN(SUBSTITUTE(UPPER($EI60),"E",""))&lt;2,LEN(UPPER($EI60))-LEN(SUBSTITUTE(UPPER($EI60),".",""))&lt;2,IFERROR(FIND(".",UPPER($EI60)),0)&lt;IFERROR(FIND("E",UPPER($EI60)),999)),ISNUMBER(VALUE($EI60)))),1,2)))</f>
        <v/>
      </c>
      <c r="EK60">
        <f>IF($DM60=0,"",IF($EJ60=1,IF(ISNUMBER($EI60),$EI60,VALUE($EI60)),IF($EJ60=2,$DE60,0)))</f>
        <v/>
      </c>
      <c r="EL60">
        <f>IF($DM60=0,"",COUNTIF($EG$5:$EG$1003,"&lt;"&amp;$EG60)+SUMPRODUCT(($EG$5:$EG$1003=$EG60)*(($EJ$5:$EJ$1003&lt;$EJ60)+($EJ$5:$EJ$1003=$EJ60)*(($EK$5:$EK$1003&lt;$EK60)+($EK$5:$EK$1003=$EK60)*($DE$5:$DE$1003&lt;$DE60))))+1)</f>
        <v/>
      </c>
      <c r="EM60">
        <f>IF($DM60=0,"",$EL60+$EG60-1)</f>
        <v/>
      </c>
      <c r="EN60">
        <f>IF($DM60=0,0,IFERROR(MATCH(1,INDEX(--(TRIM(SUBSTITUTE(SUBSTITUTE(SUBSTITUTE(SUBSTITUTE(LINES_NAME&amp;""," "," "),CHAR(9)," "),CHAR(10)," "),CHAR(13)," "))=$DH60),0),0),0))</f>
        <v/>
      </c>
      <c r="EO60">
        <f>IF($EN60=0,0,IF(OR(UPPER(TRIM(INDEX(LINES_SCHEDULED,$EN60)&amp;""))="YES",UPPER(TRIM(INDEX(LINES_SCHEDULED,$EN60)&amp;""))="Y",UPPER(TRIM(INDEX(LINES_SCHEDULED,$EN60)&amp;""))="X"),1,0))</f>
        <v/>
      </c>
      <c r="EP60">
        <f>IF($DM60=0,"",IF(COUNTIFS($EG$5:$EG$1003,$EG60,$EB$5:$EB$1003,"Ready")&gt;0,"READY",IF(COUNTIFS($EG$5:$EG$1003,$EG60,$EB$5:$EB$1003,"PM")&gt;0,"PM",IF(COUNTIFS($EG$5:$EG$1003,$EG60,$EB$5:$EB$1003,"OT")&gt;0,"OT",""))))</f>
        <v/>
      </c>
      <c r="EQ60">
        <f>IF($EN60=0,"",UPPER(TRIM(INDEX(LINES_STATUS,$EN60)&amp;"")))</f>
        <v/>
      </c>
      <c r="ER60">
        <f>IF($DM60=0,"",IF(OR($EQ60="READY",$EQ60="PM",$EQ60="OT"),$EQ60,$EP60))</f>
        <v/>
      </c>
      <c r="ES60">
        <f>IF($DM60=0,"",IF(AND($DV60&lt;&gt;"",UPPER($DV60)&lt;&gt;"N"),"allergen",IF(ISNUMBER(SEARCH("oil",$DQ60)),"oil",IF(OR(EXACT($DS60,"A662"),EXACT($DS60,"A624")),"bulk",""))))</f>
        <v/>
      </c>
      <c r="ET60">
        <f>IF($DM60=0,"",IF(OR($EA60="",$EA60=0),"",$EA60/100))</f>
        <v/>
      </c>
      <c r="EU60">
        <f>IF(OR($ET60="",$DY60=""),"",INT($DY60*(1-$ET60)+0.5))</f>
        <v/>
      </c>
      <c r="EW60" t="n">
        <v>56</v>
      </c>
      <c r="EX60">
        <f>IFERROR(MATCH($EW60,$EM$5:$EM$1003,0),0)</f>
        <v/>
      </c>
      <c r="EY60">
        <f>IF($EW60&gt;$B$12,"",IF($EX60&gt;0,"row","spacer"))</f>
        <v/>
      </c>
      <c r="EZ60">
        <f>IF(AND($EY60="row",$EY59&lt;&gt;"row"),1,0)</f>
        <v/>
      </c>
      <c r="FA60">
        <f>IF(AND($EY60="row",$EY61&lt;&gt;"row"),1,0)</f>
        <v/>
      </c>
      <c r="FB60">
        <f>IF($EZ60=1,IFERROR(IF(ISNUMBER(INDEX(PASTE_ALL,INDEX($DF$5:$DF$1003,$EX60),$B$37)),INDEX(PASTE_ALL,INDEX($DF$5:$DF$1003,$EX60),$B$37),INDEX($DH$5:$DH$1003,$EX60)),INDEX($DH$5:$DH$1003,$EX60)),"")</f>
        <v/>
      </c>
      <c r="FC60">
        <f>IF($EY60="row",INDEX($ER$5:$ER$1003,$EX60),"")</f>
        <v/>
      </c>
      <c r="FD60">
        <f>IF($EY60="row",INDEX($DN$5:$DN$1003,$EX60),"")</f>
        <v/>
      </c>
      <c r="FE60">
        <f>IF($EY60="row",INDEX($DO$5:$DO$1003,$EX60),"")</f>
        <v/>
      </c>
      <c r="FF60">
        <f>IF($EY60="row",INDEX($DP$5:$DP$1003,$EX60),"")</f>
        <v/>
      </c>
      <c r="FG60">
        <f>IF($EY60="row",INDEX($DQ$5:$DQ$1003,$EX60),"")</f>
        <v/>
      </c>
      <c r="FH60">
        <f>IF($EY60="row",INDEX($DR$5:$DR$1003,$EX60),"")</f>
        <v/>
      </c>
      <c r="FI60">
        <f>IF($EY60="row",INDEX($DS$5:$DS$1003,$EX60),"")</f>
        <v/>
      </c>
      <c r="FJ60">
        <f>IF($EY60="row",INDEX($DT$5:$DT$1003,$EX60),"")</f>
        <v/>
      </c>
      <c r="FK60">
        <f>IF($EY60="row",INDEX($DU$5:$DU$1003,$EX60),"")</f>
        <v/>
      </c>
      <c r="FL60">
        <f>IF($EY60="row",INDEX($DV$5:$DV$1003,$EX60),"")</f>
        <v/>
      </c>
      <c r="FM60">
        <f>IF($EY60="row",INDEX($DW$5:$DW$1003,$EX60),"")</f>
        <v/>
      </c>
      <c r="FN60">
        <f>IF($EY60="row",INDEX($DY$5:$DY$1003,$EX60),"")</f>
        <v/>
      </c>
      <c r="FO60">
        <f>IF($EY60="row",INDEX($EA$5:$EA$1003,$EX60),"")</f>
        <v/>
      </c>
      <c r="FP60">
        <f>IF($EY60="row",INDEX($EC$5:$EC$1003,$EX60),"")</f>
        <v/>
      </c>
      <c r="FQ60">
        <f>IF($EY60="row",INDEX($ET$5:$ET$1003,$EX60),"")</f>
        <v/>
      </c>
      <c r="FR60">
        <f>IF($EY60="row",INDEX($EU$5:$EU$1003,$EX60),"")</f>
        <v/>
      </c>
      <c r="FS60">
        <f>IF(AND($EY60="row",$EY59="row"),IF(OR(INDEX($DT$5:$DT$1003,$EX59)="",INDEX($DT$5:$DT$1003,$EX60)=""),"",IF(NOT(EXACT(INDEX($DT$5:$DT$1003,$EX59),INDEX($DT$5:$DT$1003,$EX60))),"S4",IF(NOT(EXACT(INDEX($DS$5:$DS$1003,$EX59),INDEX($DS$5:$DS$1003,$EX60))),"S3",IF(NOT(EXACT(INDEX($DR$5:$DR$1003,$EX59),INDEX($DR$5:$DR$1003,$EX60))),"S1 Count Change","S1")))),"")</f>
        <v/>
      </c>
      <c r="FT60">
        <f>IF($EY60="row",INDEX($ES$5:$ES$1003,$EX60),"")</f>
        <v/>
      </c>
      <c r="FU60">
        <f>IF($EY60="row",INDEX($EO$5:$EO$1003,$EX60),0)</f>
        <v/>
      </c>
      <c r="FV60">
        <f>IF($FS60="S1 Count Change",1,0)</f>
        <v/>
      </c>
      <c r="FX60" t="n">
        <v>56</v>
      </c>
      <c r="FY60">
        <f>IFERROR(MATCH($FX60,$EF$5:$EF$1003,0),0)</f>
        <v/>
      </c>
      <c r="FZ60">
        <f>IF($FY60=0,"",INDEX($DH$5:$DH$1003,$FY60))</f>
        <v/>
      </c>
      <c r="GA60">
        <f>IF($FY60=0,"",COUNTIF($EG$5:$EG$1003,$FX60))</f>
        <v/>
      </c>
      <c r="GB60">
        <f>IF($FY60=0,"",INDEX($ER$5:$ER$1003,$FY60))</f>
        <v/>
      </c>
      <c r="GC60">
        <f>IF($FY60=0,"",IF(INDEX($EO$5:$EO$1003,$FY60)=1,"Yes",""))</f>
        <v/>
      </c>
      <c r="GD60">
        <f>IF($FY60=0,"",IF(INDEX($EN$5:$EN$1003,$FY60)&gt;0,"","NOT IN YOUR LIST - type it in column A to tick it"))</f>
        <v/>
      </c>
      <c r="GE60">
        <f>IF(AND($FY60&gt;0,$GD60&lt;&gt;""),1,0)</f>
        <v/>
      </c>
      <c r="GF60">
        <f>GF59+$GE60</f>
        <v/>
      </c>
      <c r="GG60">
        <f>IFERROR(INDEX($FZ$5:$FZ$104,MATCH($FX60,$GF$5:$GF$104,0)),"")</f>
        <v/>
      </c>
    </row>
    <row r="61">
      <c r="S61" t="n">
        <v>57</v>
      </c>
      <c r="T61" t="inlineStr">
        <is>
          <t>BE</t>
        </is>
      </c>
      <c r="V61" t="inlineStr">
        <is>
          <t>ALLERGENCODE</t>
        </is>
      </c>
      <c r="W61" t="n">
        <v>10</v>
      </c>
      <c r="Y61">
        <f>IFERROR(IF(ISNUMBER(INDEX(PASTE_ALL,12,1)),2,IF(TRIM(INDEX(PASTE_ALL,12,1))="",0,IF(AND(LEFT(MID(TRIM(INDEX(PASTE_ALL,12,1)),1+(LEFT(TRIM(INDEX(PASTE_ALL,12,1)),1)="-"),999),LEN(MID(TRIM(INDEX(PASTE_ALL,12,1)),1+(LEFT(TRIM(INDEX(PASTE_ALL,12,1)),1)="-"),999))-(RIGHT(MID(TRIM(INDEX(PASTE_ALL,12,1)),1+(LEFT(TRIM(INDEX(PASTE_ALL,12,1)),1)="-"),999),1)="%"))&lt;&gt;"",SUBSTITUTE(SUBSTITUTE(SUBSTITUTE(SUBSTITUTE(SUBSTITUTE(SUBSTITUTE(SUBSTITUTE(SUBSTITUTE(SUBSTITUTE(SUBSTITUTE(SUBSTITUTE(SUBSTITUTE(LEFT(MID(TRIM(INDEX(PASTE_ALL,12,1)),1+(LEFT(TRIM(INDEX(PASTE_ALL,12,1)),1)="-"),999),LEN(MID(TRIM(INDEX(PASTE_ALL,12,1)),1+(LEFT(TRIM(INDEX(PASTE_ALL,12,1)),1)="-"),999))-(RIGHT(MID(TRIM(INDEX(PASTE_ALL,12,1)),1+(LEFT(TRIM(INDEX(PASTE_ALL,12,1)),1)="-"),999),1)="%")),"0",""),"1",""),"2",""),"3",""),"4",""),"5",""),"6",""),"7",""),"8",""),"9",""),".",""),",","")=""),2,1))),1)</f>
        <v/>
      </c>
      <c r="Z61">
        <f>IFERROR(IF(ISNUMBER(INDEX(PASTE_ALL,12,2)),2,IF(TRIM(INDEX(PASTE_ALL,12,2))="",0,IF(AND(LEFT(MID(TRIM(INDEX(PASTE_ALL,12,2)),1+(LEFT(TRIM(INDEX(PASTE_ALL,12,2)),1)="-"),999),LEN(MID(TRIM(INDEX(PASTE_ALL,12,2)),1+(LEFT(TRIM(INDEX(PASTE_ALL,12,2)),1)="-"),999))-(RIGHT(MID(TRIM(INDEX(PASTE_ALL,12,2)),1+(LEFT(TRIM(INDEX(PASTE_ALL,12,2)),1)="-"),999),1)="%"))&lt;&gt;"",SUBSTITUTE(SUBSTITUTE(SUBSTITUTE(SUBSTITUTE(SUBSTITUTE(SUBSTITUTE(SUBSTITUTE(SUBSTITUTE(SUBSTITUTE(SUBSTITUTE(SUBSTITUTE(SUBSTITUTE(LEFT(MID(TRIM(INDEX(PASTE_ALL,12,2)),1+(LEFT(TRIM(INDEX(PASTE_ALL,12,2)),1)="-"),999),LEN(MID(TRIM(INDEX(PASTE_ALL,12,2)),1+(LEFT(TRIM(INDEX(PASTE_ALL,12,2)),1)="-"),999))-(RIGHT(MID(TRIM(INDEX(PASTE_ALL,12,2)),1+(LEFT(TRIM(INDEX(PASTE_ALL,12,2)),1)="-"),999),1)="%")),"0",""),"1",""),"2",""),"3",""),"4",""),"5",""),"6",""),"7",""),"8",""),"9",""),".",""),",","")=""),2,1))),1)</f>
        <v/>
      </c>
      <c r="AA61">
        <f>IFERROR(IF(ISNUMBER(INDEX(PASTE_ALL,12,3)),2,IF(TRIM(INDEX(PASTE_ALL,12,3))="",0,IF(AND(LEFT(MID(TRIM(INDEX(PASTE_ALL,12,3)),1+(LEFT(TRIM(INDEX(PASTE_ALL,12,3)),1)="-"),999),LEN(MID(TRIM(INDEX(PASTE_ALL,12,3)),1+(LEFT(TRIM(INDEX(PASTE_ALL,12,3)),1)="-"),999))-(RIGHT(MID(TRIM(INDEX(PASTE_ALL,12,3)),1+(LEFT(TRIM(INDEX(PASTE_ALL,12,3)),1)="-"),999),1)="%"))&lt;&gt;"",SUBSTITUTE(SUBSTITUTE(SUBSTITUTE(SUBSTITUTE(SUBSTITUTE(SUBSTITUTE(SUBSTITUTE(SUBSTITUTE(SUBSTITUTE(SUBSTITUTE(SUBSTITUTE(SUBSTITUTE(LEFT(MID(TRIM(INDEX(PASTE_ALL,12,3)),1+(LEFT(TRIM(INDEX(PASTE_ALL,12,3)),1)="-"),999),LEN(MID(TRIM(INDEX(PASTE_ALL,12,3)),1+(LEFT(TRIM(INDEX(PASTE_ALL,12,3)),1)="-"),999))-(RIGHT(MID(TRIM(INDEX(PASTE_ALL,12,3)),1+(LEFT(TRIM(INDEX(PASTE_ALL,12,3)),1)="-"),999),1)="%")),"0",""),"1",""),"2",""),"3",""),"4",""),"5",""),"6",""),"7",""),"8",""),"9",""),".",""),",","")=""),2,1))),1)</f>
        <v/>
      </c>
      <c r="AB61">
        <f>IFERROR(IF(ISNUMBER(INDEX(PASTE_ALL,12,4)),2,IF(TRIM(INDEX(PASTE_ALL,12,4))="",0,IF(AND(LEFT(MID(TRIM(INDEX(PASTE_ALL,12,4)),1+(LEFT(TRIM(INDEX(PASTE_ALL,12,4)),1)="-"),999),LEN(MID(TRIM(INDEX(PASTE_ALL,12,4)),1+(LEFT(TRIM(INDEX(PASTE_ALL,12,4)),1)="-"),999))-(RIGHT(MID(TRIM(INDEX(PASTE_ALL,12,4)),1+(LEFT(TRIM(INDEX(PASTE_ALL,12,4)),1)="-"),999),1)="%"))&lt;&gt;"",SUBSTITUTE(SUBSTITUTE(SUBSTITUTE(SUBSTITUTE(SUBSTITUTE(SUBSTITUTE(SUBSTITUTE(SUBSTITUTE(SUBSTITUTE(SUBSTITUTE(SUBSTITUTE(SUBSTITUTE(LEFT(MID(TRIM(INDEX(PASTE_ALL,12,4)),1+(LEFT(TRIM(INDEX(PASTE_ALL,12,4)),1)="-"),999),LEN(MID(TRIM(INDEX(PASTE_ALL,12,4)),1+(LEFT(TRIM(INDEX(PASTE_ALL,12,4)),1)="-"),999))-(RIGHT(MID(TRIM(INDEX(PASTE_ALL,12,4)),1+(LEFT(TRIM(INDEX(PASTE_ALL,12,4)),1)="-"),999),1)="%")),"0",""),"1",""),"2",""),"3",""),"4",""),"5",""),"6",""),"7",""),"8",""),"9",""),".",""),",","")=""),2,1))),1)</f>
        <v/>
      </c>
      <c r="AC61">
        <f>IFERROR(IF(ISNUMBER(INDEX(PASTE_ALL,12,5)),2,IF(TRIM(INDEX(PASTE_ALL,12,5))="",0,IF(AND(LEFT(MID(TRIM(INDEX(PASTE_ALL,12,5)),1+(LEFT(TRIM(INDEX(PASTE_ALL,12,5)),1)="-"),999),LEN(MID(TRIM(INDEX(PASTE_ALL,12,5)),1+(LEFT(TRIM(INDEX(PASTE_ALL,12,5)),1)="-"),999))-(RIGHT(MID(TRIM(INDEX(PASTE_ALL,12,5)),1+(LEFT(TRIM(INDEX(PASTE_ALL,12,5)),1)="-"),999),1)="%"))&lt;&gt;"",SUBSTITUTE(SUBSTITUTE(SUBSTITUTE(SUBSTITUTE(SUBSTITUTE(SUBSTITUTE(SUBSTITUTE(SUBSTITUTE(SUBSTITUTE(SUBSTITUTE(SUBSTITUTE(SUBSTITUTE(LEFT(MID(TRIM(INDEX(PASTE_ALL,12,5)),1+(LEFT(TRIM(INDEX(PASTE_ALL,12,5)),1)="-"),999),LEN(MID(TRIM(INDEX(PASTE_ALL,12,5)),1+(LEFT(TRIM(INDEX(PASTE_ALL,12,5)),1)="-"),999))-(RIGHT(MID(TRIM(INDEX(PASTE_ALL,12,5)),1+(LEFT(TRIM(INDEX(PASTE_ALL,12,5)),1)="-"),999),1)="%")),"0",""),"1",""),"2",""),"3",""),"4",""),"5",""),"6",""),"7",""),"8",""),"9",""),".",""),",","")=""),2,1))),1)</f>
        <v/>
      </c>
      <c r="AD61">
        <f>IFERROR(IF(ISNUMBER(INDEX(PASTE_ALL,12,6)),2,IF(TRIM(INDEX(PASTE_ALL,12,6))="",0,IF(AND(LEFT(MID(TRIM(INDEX(PASTE_ALL,12,6)),1+(LEFT(TRIM(INDEX(PASTE_ALL,12,6)),1)="-"),999),LEN(MID(TRIM(INDEX(PASTE_ALL,12,6)),1+(LEFT(TRIM(INDEX(PASTE_ALL,12,6)),1)="-"),999))-(RIGHT(MID(TRIM(INDEX(PASTE_ALL,12,6)),1+(LEFT(TRIM(INDEX(PASTE_ALL,12,6)),1)="-"),999),1)="%"))&lt;&gt;"",SUBSTITUTE(SUBSTITUTE(SUBSTITUTE(SUBSTITUTE(SUBSTITUTE(SUBSTITUTE(SUBSTITUTE(SUBSTITUTE(SUBSTITUTE(SUBSTITUTE(SUBSTITUTE(SUBSTITUTE(LEFT(MID(TRIM(INDEX(PASTE_ALL,12,6)),1+(LEFT(TRIM(INDEX(PASTE_ALL,12,6)),1)="-"),999),LEN(MID(TRIM(INDEX(PASTE_ALL,12,6)),1+(LEFT(TRIM(INDEX(PASTE_ALL,12,6)),1)="-"),999))-(RIGHT(MID(TRIM(INDEX(PASTE_ALL,12,6)),1+(LEFT(TRIM(INDEX(PASTE_ALL,12,6)),1)="-"),999),1)="%")),"0",""),"1",""),"2",""),"3",""),"4",""),"5",""),"6",""),"7",""),"8",""),"9",""),".",""),",","")=""),2,1))),1)</f>
        <v/>
      </c>
      <c r="AE61">
        <f>IFERROR(IF(ISNUMBER(INDEX(PASTE_ALL,12,7)),2,IF(TRIM(INDEX(PASTE_ALL,12,7))="",0,IF(AND(LEFT(MID(TRIM(INDEX(PASTE_ALL,12,7)),1+(LEFT(TRIM(INDEX(PASTE_ALL,12,7)),1)="-"),999),LEN(MID(TRIM(INDEX(PASTE_ALL,12,7)),1+(LEFT(TRIM(INDEX(PASTE_ALL,12,7)),1)="-"),999))-(RIGHT(MID(TRIM(INDEX(PASTE_ALL,12,7)),1+(LEFT(TRIM(INDEX(PASTE_ALL,12,7)),1)="-"),999),1)="%"))&lt;&gt;"",SUBSTITUTE(SUBSTITUTE(SUBSTITUTE(SUBSTITUTE(SUBSTITUTE(SUBSTITUTE(SUBSTITUTE(SUBSTITUTE(SUBSTITUTE(SUBSTITUTE(SUBSTITUTE(SUBSTITUTE(LEFT(MID(TRIM(INDEX(PASTE_ALL,12,7)),1+(LEFT(TRIM(INDEX(PASTE_ALL,12,7)),1)="-"),999),LEN(MID(TRIM(INDEX(PASTE_ALL,12,7)),1+(LEFT(TRIM(INDEX(PASTE_ALL,12,7)),1)="-"),999))-(RIGHT(MID(TRIM(INDEX(PASTE_ALL,12,7)),1+(LEFT(TRIM(INDEX(PASTE_ALL,12,7)),1)="-"),999),1)="%")),"0",""),"1",""),"2",""),"3",""),"4",""),"5",""),"6",""),"7",""),"8",""),"9",""),".",""),",","")=""),2,1))),1)</f>
        <v/>
      </c>
      <c r="AF61">
        <f>IFERROR(IF(ISNUMBER(INDEX(PASTE_ALL,12,8)),2,IF(TRIM(INDEX(PASTE_ALL,12,8))="",0,IF(AND(LEFT(MID(TRIM(INDEX(PASTE_ALL,12,8)),1+(LEFT(TRIM(INDEX(PASTE_ALL,12,8)),1)="-"),999),LEN(MID(TRIM(INDEX(PASTE_ALL,12,8)),1+(LEFT(TRIM(INDEX(PASTE_ALL,12,8)),1)="-"),999))-(RIGHT(MID(TRIM(INDEX(PASTE_ALL,12,8)),1+(LEFT(TRIM(INDEX(PASTE_ALL,12,8)),1)="-"),999),1)="%"))&lt;&gt;"",SUBSTITUTE(SUBSTITUTE(SUBSTITUTE(SUBSTITUTE(SUBSTITUTE(SUBSTITUTE(SUBSTITUTE(SUBSTITUTE(SUBSTITUTE(SUBSTITUTE(SUBSTITUTE(SUBSTITUTE(LEFT(MID(TRIM(INDEX(PASTE_ALL,12,8)),1+(LEFT(TRIM(INDEX(PASTE_ALL,12,8)),1)="-"),999),LEN(MID(TRIM(INDEX(PASTE_ALL,12,8)),1+(LEFT(TRIM(INDEX(PASTE_ALL,12,8)),1)="-"),999))-(RIGHT(MID(TRIM(INDEX(PASTE_ALL,12,8)),1+(LEFT(TRIM(INDEX(PASTE_ALL,12,8)),1)="-"),999),1)="%")),"0",""),"1",""),"2",""),"3",""),"4",""),"5",""),"6",""),"7",""),"8",""),"9",""),".",""),",","")=""),2,1))),1)</f>
        <v/>
      </c>
      <c r="AG61">
        <f>IFERROR(IF(ISNUMBER(INDEX(PASTE_ALL,12,9)),2,IF(TRIM(INDEX(PASTE_ALL,12,9))="",0,IF(AND(LEFT(MID(TRIM(INDEX(PASTE_ALL,12,9)),1+(LEFT(TRIM(INDEX(PASTE_ALL,12,9)),1)="-"),999),LEN(MID(TRIM(INDEX(PASTE_ALL,12,9)),1+(LEFT(TRIM(INDEX(PASTE_ALL,12,9)),1)="-"),999))-(RIGHT(MID(TRIM(INDEX(PASTE_ALL,12,9)),1+(LEFT(TRIM(INDEX(PASTE_ALL,12,9)),1)="-"),999),1)="%"))&lt;&gt;"",SUBSTITUTE(SUBSTITUTE(SUBSTITUTE(SUBSTITUTE(SUBSTITUTE(SUBSTITUTE(SUBSTITUTE(SUBSTITUTE(SUBSTITUTE(SUBSTITUTE(SUBSTITUTE(SUBSTITUTE(LEFT(MID(TRIM(INDEX(PASTE_ALL,12,9)),1+(LEFT(TRIM(INDEX(PASTE_ALL,12,9)),1)="-"),999),LEN(MID(TRIM(INDEX(PASTE_ALL,12,9)),1+(LEFT(TRIM(INDEX(PASTE_ALL,12,9)),1)="-"),999))-(RIGHT(MID(TRIM(INDEX(PASTE_ALL,12,9)),1+(LEFT(TRIM(INDEX(PASTE_ALL,12,9)),1)="-"),999),1)="%")),"0",""),"1",""),"2",""),"3",""),"4",""),"5",""),"6",""),"7",""),"8",""),"9",""),".",""),",","")=""),2,1))),1)</f>
        <v/>
      </c>
      <c r="AH61">
        <f>IFERROR(IF(ISNUMBER(INDEX(PASTE_ALL,12,10)),2,IF(TRIM(INDEX(PASTE_ALL,12,10))="",0,IF(AND(LEFT(MID(TRIM(INDEX(PASTE_ALL,12,10)),1+(LEFT(TRIM(INDEX(PASTE_ALL,12,10)),1)="-"),999),LEN(MID(TRIM(INDEX(PASTE_ALL,12,10)),1+(LEFT(TRIM(INDEX(PASTE_ALL,12,10)),1)="-"),999))-(RIGHT(MID(TRIM(INDEX(PASTE_ALL,12,10)),1+(LEFT(TRIM(INDEX(PASTE_ALL,12,10)),1)="-"),999),1)="%"))&lt;&gt;"",SUBSTITUTE(SUBSTITUTE(SUBSTITUTE(SUBSTITUTE(SUBSTITUTE(SUBSTITUTE(SUBSTITUTE(SUBSTITUTE(SUBSTITUTE(SUBSTITUTE(SUBSTITUTE(SUBSTITUTE(LEFT(MID(TRIM(INDEX(PASTE_ALL,12,10)),1+(LEFT(TRIM(INDEX(PASTE_ALL,12,10)),1)="-"),999),LEN(MID(TRIM(INDEX(PASTE_ALL,12,10)),1+(LEFT(TRIM(INDEX(PASTE_ALL,12,10)),1)="-"),999))-(RIGHT(MID(TRIM(INDEX(PASTE_ALL,12,10)),1+(LEFT(TRIM(INDEX(PASTE_ALL,12,10)),1)="-"),999),1)="%")),"0",""),"1",""),"2",""),"3",""),"4",""),"5",""),"6",""),"7",""),"8",""),"9",""),".",""),",","")=""),2,1))),1)</f>
        <v/>
      </c>
      <c r="AI61">
        <f>IFERROR(IF(ISNUMBER(INDEX(PASTE_ALL,12,11)),2,IF(TRIM(INDEX(PASTE_ALL,12,11))="",0,IF(AND(LEFT(MID(TRIM(INDEX(PASTE_ALL,12,11)),1+(LEFT(TRIM(INDEX(PASTE_ALL,12,11)),1)="-"),999),LEN(MID(TRIM(INDEX(PASTE_ALL,12,11)),1+(LEFT(TRIM(INDEX(PASTE_ALL,12,11)),1)="-"),999))-(RIGHT(MID(TRIM(INDEX(PASTE_ALL,12,11)),1+(LEFT(TRIM(INDEX(PASTE_ALL,12,11)),1)="-"),999),1)="%"))&lt;&gt;"",SUBSTITUTE(SUBSTITUTE(SUBSTITUTE(SUBSTITUTE(SUBSTITUTE(SUBSTITUTE(SUBSTITUTE(SUBSTITUTE(SUBSTITUTE(SUBSTITUTE(SUBSTITUTE(SUBSTITUTE(LEFT(MID(TRIM(INDEX(PASTE_ALL,12,11)),1+(LEFT(TRIM(INDEX(PASTE_ALL,12,11)),1)="-"),999),LEN(MID(TRIM(INDEX(PASTE_ALL,12,11)),1+(LEFT(TRIM(INDEX(PASTE_ALL,12,11)),1)="-"),999))-(RIGHT(MID(TRIM(INDEX(PASTE_ALL,12,11)),1+(LEFT(TRIM(INDEX(PASTE_ALL,12,11)),1)="-"),999),1)="%")),"0",""),"1",""),"2",""),"3",""),"4",""),"5",""),"6",""),"7",""),"8",""),"9",""),".",""),",","")=""),2,1))),1)</f>
        <v/>
      </c>
      <c r="AJ61">
        <f>IFERROR(IF(ISNUMBER(INDEX(PASTE_ALL,12,12)),2,IF(TRIM(INDEX(PASTE_ALL,12,12))="",0,IF(AND(LEFT(MID(TRIM(INDEX(PASTE_ALL,12,12)),1+(LEFT(TRIM(INDEX(PASTE_ALL,12,12)),1)="-"),999),LEN(MID(TRIM(INDEX(PASTE_ALL,12,12)),1+(LEFT(TRIM(INDEX(PASTE_ALL,12,12)),1)="-"),999))-(RIGHT(MID(TRIM(INDEX(PASTE_ALL,12,12)),1+(LEFT(TRIM(INDEX(PASTE_ALL,12,12)),1)="-"),999),1)="%"))&lt;&gt;"",SUBSTITUTE(SUBSTITUTE(SUBSTITUTE(SUBSTITUTE(SUBSTITUTE(SUBSTITUTE(SUBSTITUTE(SUBSTITUTE(SUBSTITUTE(SUBSTITUTE(SUBSTITUTE(SUBSTITUTE(LEFT(MID(TRIM(INDEX(PASTE_ALL,12,12)),1+(LEFT(TRIM(INDEX(PASTE_ALL,12,12)),1)="-"),999),LEN(MID(TRIM(INDEX(PASTE_ALL,12,12)),1+(LEFT(TRIM(INDEX(PASTE_ALL,12,12)),1)="-"),999))-(RIGHT(MID(TRIM(INDEX(PASTE_ALL,12,12)),1+(LEFT(TRIM(INDEX(PASTE_ALL,12,12)),1)="-"),999),1)="%")),"0",""),"1",""),"2",""),"3",""),"4",""),"5",""),"6",""),"7",""),"8",""),"9",""),".",""),",","")=""),2,1))),1)</f>
        <v/>
      </c>
      <c r="AK61">
        <f>IFERROR(IF(ISNUMBER(INDEX(PASTE_ALL,12,13)),2,IF(TRIM(INDEX(PASTE_ALL,12,13))="",0,IF(AND(LEFT(MID(TRIM(INDEX(PASTE_ALL,12,13)),1+(LEFT(TRIM(INDEX(PASTE_ALL,12,13)),1)="-"),999),LEN(MID(TRIM(INDEX(PASTE_ALL,12,13)),1+(LEFT(TRIM(INDEX(PASTE_ALL,12,13)),1)="-"),999))-(RIGHT(MID(TRIM(INDEX(PASTE_ALL,12,13)),1+(LEFT(TRIM(INDEX(PASTE_ALL,12,13)),1)="-"),999),1)="%"))&lt;&gt;"",SUBSTITUTE(SUBSTITUTE(SUBSTITUTE(SUBSTITUTE(SUBSTITUTE(SUBSTITUTE(SUBSTITUTE(SUBSTITUTE(SUBSTITUTE(SUBSTITUTE(SUBSTITUTE(SUBSTITUTE(LEFT(MID(TRIM(INDEX(PASTE_ALL,12,13)),1+(LEFT(TRIM(INDEX(PASTE_ALL,12,13)),1)="-"),999),LEN(MID(TRIM(INDEX(PASTE_ALL,12,13)),1+(LEFT(TRIM(INDEX(PASTE_ALL,12,13)),1)="-"),999))-(RIGHT(MID(TRIM(INDEX(PASTE_ALL,12,13)),1+(LEFT(TRIM(INDEX(PASTE_ALL,12,13)),1)="-"),999),1)="%")),"0",""),"1",""),"2",""),"3",""),"4",""),"5",""),"6",""),"7",""),"8",""),"9",""),".",""),",","")=""),2,1))),1)</f>
        <v/>
      </c>
      <c r="AL61">
        <f>IFERROR(IF(ISNUMBER(INDEX(PASTE_ALL,12,14)),2,IF(TRIM(INDEX(PASTE_ALL,12,14))="",0,IF(AND(LEFT(MID(TRIM(INDEX(PASTE_ALL,12,14)),1+(LEFT(TRIM(INDEX(PASTE_ALL,12,14)),1)="-"),999),LEN(MID(TRIM(INDEX(PASTE_ALL,12,14)),1+(LEFT(TRIM(INDEX(PASTE_ALL,12,14)),1)="-"),999))-(RIGHT(MID(TRIM(INDEX(PASTE_ALL,12,14)),1+(LEFT(TRIM(INDEX(PASTE_ALL,12,14)),1)="-"),999),1)="%"))&lt;&gt;"",SUBSTITUTE(SUBSTITUTE(SUBSTITUTE(SUBSTITUTE(SUBSTITUTE(SUBSTITUTE(SUBSTITUTE(SUBSTITUTE(SUBSTITUTE(SUBSTITUTE(SUBSTITUTE(SUBSTITUTE(LEFT(MID(TRIM(INDEX(PASTE_ALL,12,14)),1+(LEFT(TRIM(INDEX(PASTE_ALL,12,14)),1)="-"),999),LEN(MID(TRIM(INDEX(PASTE_ALL,12,14)),1+(LEFT(TRIM(INDEX(PASTE_ALL,12,14)),1)="-"),999))-(RIGHT(MID(TRIM(INDEX(PASTE_ALL,12,14)),1+(LEFT(TRIM(INDEX(PASTE_ALL,12,14)),1)="-"),999),1)="%")),"0",""),"1",""),"2",""),"3",""),"4",""),"5",""),"6",""),"7",""),"8",""),"9",""),".",""),",","")=""),2,1))),1)</f>
        <v/>
      </c>
      <c r="AM61">
        <f>IFERROR(IF(ISNUMBER(INDEX(PASTE_ALL,12,15)),2,IF(TRIM(INDEX(PASTE_ALL,12,15))="",0,IF(AND(LEFT(MID(TRIM(INDEX(PASTE_ALL,12,15)),1+(LEFT(TRIM(INDEX(PASTE_ALL,12,15)),1)="-"),999),LEN(MID(TRIM(INDEX(PASTE_ALL,12,15)),1+(LEFT(TRIM(INDEX(PASTE_ALL,12,15)),1)="-"),999))-(RIGHT(MID(TRIM(INDEX(PASTE_ALL,12,15)),1+(LEFT(TRIM(INDEX(PASTE_ALL,12,15)),1)="-"),999),1)="%"))&lt;&gt;"",SUBSTITUTE(SUBSTITUTE(SUBSTITUTE(SUBSTITUTE(SUBSTITUTE(SUBSTITUTE(SUBSTITUTE(SUBSTITUTE(SUBSTITUTE(SUBSTITUTE(SUBSTITUTE(SUBSTITUTE(LEFT(MID(TRIM(INDEX(PASTE_ALL,12,15)),1+(LEFT(TRIM(INDEX(PASTE_ALL,12,15)),1)="-"),999),LEN(MID(TRIM(INDEX(PASTE_ALL,12,15)),1+(LEFT(TRIM(INDEX(PASTE_ALL,12,15)),1)="-"),999))-(RIGHT(MID(TRIM(INDEX(PASTE_ALL,12,15)),1+(LEFT(TRIM(INDEX(PASTE_ALL,12,15)),1)="-"),999),1)="%")),"0",""),"1",""),"2",""),"3",""),"4",""),"5",""),"6",""),"7",""),"8",""),"9",""),".",""),",","")=""),2,1))),1)</f>
        <v/>
      </c>
      <c r="AN61">
        <f>IFERROR(IF(ISNUMBER(INDEX(PASTE_ALL,12,16)),2,IF(TRIM(INDEX(PASTE_ALL,12,16))="",0,IF(AND(LEFT(MID(TRIM(INDEX(PASTE_ALL,12,16)),1+(LEFT(TRIM(INDEX(PASTE_ALL,12,16)),1)="-"),999),LEN(MID(TRIM(INDEX(PASTE_ALL,12,16)),1+(LEFT(TRIM(INDEX(PASTE_ALL,12,16)),1)="-"),999))-(RIGHT(MID(TRIM(INDEX(PASTE_ALL,12,16)),1+(LEFT(TRIM(INDEX(PASTE_ALL,12,16)),1)="-"),999),1)="%"))&lt;&gt;"",SUBSTITUTE(SUBSTITUTE(SUBSTITUTE(SUBSTITUTE(SUBSTITUTE(SUBSTITUTE(SUBSTITUTE(SUBSTITUTE(SUBSTITUTE(SUBSTITUTE(SUBSTITUTE(SUBSTITUTE(LEFT(MID(TRIM(INDEX(PASTE_ALL,12,16)),1+(LEFT(TRIM(INDEX(PASTE_ALL,12,16)),1)="-"),999),LEN(MID(TRIM(INDEX(PASTE_ALL,12,16)),1+(LEFT(TRIM(INDEX(PASTE_ALL,12,16)),1)="-"),999))-(RIGHT(MID(TRIM(INDEX(PASTE_ALL,12,16)),1+(LEFT(TRIM(INDEX(PASTE_ALL,12,16)),1)="-"),999),1)="%")),"0",""),"1",""),"2",""),"3",""),"4",""),"5",""),"6",""),"7",""),"8",""),"9",""),".",""),",","")=""),2,1))),1)</f>
        <v/>
      </c>
      <c r="AO61">
        <f>IFERROR(IF(ISNUMBER(INDEX(PASTE_ALL,12,17)),2,IF(TRIM(INDEX(PASTE_ALL,12,17))="",0,IF(AND(LEFT(MID(TRIM(INDEX(PASTE_ALL,12,17)),1+(LEFT(TRIM(INDEX(PASTE_ALL,12,17)),1)="-"),999),LEN(MID(TRIM(INDEX(PASTE_ALL,12,17)),1+(LEFT(TRIM(INDEX(PASTE_ALL,12,17)),1)="-"),999))-(RIGHT(MID(TRIM(INDEX(PASTE_ALL,12,17)),1+(LEFT(TRIM(INDEX(PASTE_ALL,12,17)),1)="-"),999),1)="%"))&lt;&gt;"",SUBSTITUTE(SUBSTITUTE(SUBSTITUTE(SUBSTITUTE(SUBSTITUTE(SUBSTITUTE(SUBSTITUTE(SUBSTITUTE(SUBSTITUTE(SUBSTITUTE(SUBSTITUTE(SUBSTITUTE(LEFT(MID(TRIM(INDEX(PASTE_ALL,12,17)),1+(LEFT(TRIM(INDEX(PASTE_ALL,12,17)),1)="-"),999),LEN(MID(TRIM(INDEX(PASTE_ALL,12,17)),1+(LEFT(TRIM(INDEX(PASTE_ALL,12,17)),1)="-"),999))-(RIGHT(MID(TRIM(INDEX(PASTE_ALL,12,17)),1+(LEFT(TRIM(INDEX(PASTE_ALL,12,17)),1)="-"),999),1)="%")),"0",""),"1",""),"2",""),"3",""),"4",""),"5",""),"6",""),"7",""),"8",""),"9",""),".",""),",","")=""),2,1))),1)</f>
        <v/>
      </c>
      <c r="AP61">
        <f>IFERROR(IF(ISNUMBER(INDEX(PASTE_ALL,12,18)),2,IF(TRIM(INDEX(PASTE_ALL,12,18))="",0,IF(AND(LEFT(MID(TRIM(INDEX(PASTE_ALL,12,18)),1+(LEFT(TRIM(INDEX(PASTE_ALL,12,18)),1)="-"),999),LEN(MID(TRIM(INDEX(PASTE_ALL,12,18)),1+(LEFT(TRIM(INDEX(PASTE_ALL,12,18)),1)="-"),999))-(RIGHT(MID(TRIM(INDEX(PASTE_ALL,12,18)),1+(LEFT(TRIM(INDEX(PASTE_ALL,12,18)),1)="-"),999),1)="%"))&lt;&gt;"",SUBSTITUTE(SUBSTITUTE(SUBSTITUTE(SUBSTITUTE(SUBSTITUTE(SUBSTITUTE(SUBSTITUTE(SUBSTITUTE(SUBSTITUTE(SUBSTITUTE(SUBSTITUTE(SUBSTITUTE(LEFT(MID(TRIM(INDEX(PASTE_ALL,12,18)),1+(LEFT(TRIM(INDEX(PASTE_ALL,12,18)),1)="-"),999),LEN(MID(TRIM(INDEX(PASTE_ALL,12,18)),1+(LEFT(TRIM(INDEX(PASTE_ALL,12,18)),1)="-"),999))-(RIGHT(MID(TRIM(INDEX(PASTE_ALL,12,18)),1+(LEFT(TRIM(INDEX(PASTE_ALL,12,18)),1)="-"),999),1)="%")),"0",""),"1",""),"2",""),"3",""),"4",""),"5",""),"6",""),"7",""),"8",""),"9",""),".",""),",","")=""),2,1))),1)</f>
        <v/>
      </c>
      <c r="AQ61">
        <f>IFERROR(IF(ISNUMBER(INDEX(PASTE_ALL,12,19)),2,IF(TRIM(INDEX(PASTE_ALL,12,19))="",0,IF(AND(LEFT(MID(TRIM(INDEX(PASTE_ALL,12,19)),1+(LEFT(TRIM(INDEX(PASTE_ALL,12,19)),1)="-"),999),LEN(MID(TRIM(INDEX(PASTE_ALL,12,19)),1+(LEFT(TRIM(INDEX(PASTE_ALL,12,19)),1)="-"),999))-(RIGHT(MID(TRIM(INDEX(PASTE_ALL,12,19)),1+(LEFT(TRIM(INDEX(PASTE_ALL,12,19)),1)="-"),999),1)="%"))&lt;&gt;"",SUBSTITUTE(SUBSTITUTE(SUBSTITUTE(SUBSTITUTE(SUBSTITUTE(SUBSTITUTE(SUBSTITUTE(SUBSTITUTE(SUBSTITUTE(SUBSTITUTE(SUBSTITUTE(SUBSTITUTE(LEFT(MID(TRIM(INDEX(PASTE_ALL,12,19)),1+(LEFT(TRIM(INDEX(PASTE_ALL,12,19)),1)="-"),999),LEN(MID(TRIM(INDEX(PASTE_ALL,12,19)),1+(LEFT(TRIM(INDEX(PASTE_ALL,12,19)),1)="-"),999))-(RIGHT(MID(TRIM(INDEX(PASTE_ALL,12,19)),1+(LEFT(TRIM(INDEX(PASTE_ALL,12,19)),1)="-"),999),1)="%")),"0",""),"1",""),"2",""),"3",""),"4",""),"5",""),"6",""),"7",""),"8",""),"9",""),".",""),",","")=""),2,1))),1)</f>
        <v/>
      </c>
      <c r="AR61">
        <f>IFERROR(IF(ISNUMBER(INDEX(PASTE_ALL,12,20)),2,IF(TRIM(INDEX(PASTE_ALL,12,20))="",0,IF(AND(LEFT(MID(TRIM(INDEX(PASTE_ALL,12,20)),1+(LEFT(TRIM(INDEX(PASTE_ALL,12,20)),1)="-"),999),LEN(MID(TRIM(INDEX(PASTE_ALL,12,20)),1+(LEFT(TRIM(INDEX(PASTE_ALL,12,20)),1)="-"),999))-(RIGHT(MID(TRIM(INDEX(PASTE_ALL,12,20)),1+(LEFT(TRIM(INDEX(PASTE_ALL,12,20)),1)="-"),999),1)="%"))&lt;&gt;"",SUBSTITUTE(SUBSTITUTE(SUBSTITUTE(SUBSTITUTE(SUBSTITUTE(SUBSTITUTE(SUBSTITUTE(SUBSTITUTE(SUBSTITUTE(SUBSTITUTE(SUBSTITUTE(SUBSTITUTE(LEFT(MID(TRIM(INDEX(PASTE_ALL,12,20)),1+(LEFT(TRIM(INDEX(PASTE_ALL,12,20)),1)="-"),999),LEN(MID(TRIM(INDEX(PASTE_ALL,12,20)),1+(LEFT(TRIM(INDEX(PASTE_ALL,12,20)),1)="-"),999))-(RIGHT(MID(TRIM(INDEX(PASTE_ALL,12,20)),1+(LEFT(TRIM(INDEX(PASTE_ALL,12,20)),1)="-"),999),1)="%")),"0",""),"1",""),"2",""),"3",""),"4",""),"5",""),"6",""),"7",""),"8",""),"9",""),".",""),",","")=""),2,1))),1)</f>
        <v/>
      </c>
      <c r="AS61">
        <f>IFERROR(IF(ISNUMBER(INDEX(PASTE_ALL,12,21)),2,IF(TRIM(INDEX(PASTE_ALL,12,21))="",0,IF(AND(LEFT(MID(TRIM(INDEX(PASTE_ALL,12,21)),1+(LEFT(TRIM(INDEX(PASTE_ALL,12,21)),1)="-"),999),LEN(MID(TRIM(INDEX(PASTE_ALL,12,21)),1+(LEFT(TRIM(INDEX(PASTE_ALL,12,21)),1)="-"),999))-(RIGHT(MID(TRIM(INDEX(PASTE_ALL,12,21)),1+(LEFT(TRIM(INDEX(PASTE_ALL,12,21)),1)="-"),999),1)="%"))&lt;&gt;"",SUBSTITUTE(SUBSTITUTE(SUBSTITUTE(SUBSTITUTE(SUBSTITUTE(SUBSTITUTE(SUBSTITUTE(SUBSTITUTE(SUBSTITUTE(SUBSTITUTE(SUBSTITUTE(SUBSTITUTE(LEFT(MID(TRIM(INDEX(PASTE_ALL,12,21)),1+(LEFT(TRIM(INDEX(PASTE_ALL,12,21)),1)="-"),999),LEN(MID(TRIM(INDEX(PASTE_ALL,12,21)),1+(LEFT(TRIM(INDEX(PASTE_ALL,12,21)),1)="-"),999))-(RIGHT(MID(TRIM(INDEX(PASTE_ALL,12,21)),1+(LEFT(TRIM(INDEX(PASTE_ALL,12,21)),1)="-"),999),1)="%")),"0",""),"1",""),"2",""),"3",""),"4",""),"5",""),"6",""),"7",""),"8",""),"9",""),".",""),",","")=""),2,1))),1)</f>
        <v/>
      </c>
      <c r="AT61">
        <f>IFERROR(IF(ISNUMBER(INDEX(PASTE_ALL,12,22)),2,IF(TRIM(INDEX(PASTE_ALL,12,22))="",0,IF(AND(LEFT(MID(TRIM(INDEX(PASTE_ALL,12,22)),1+(LEFT(TRIM(INDEX(PASTE_ALL,12,22)),1)="-"),999),LEN(MID(TRIM(INDEX(PASTE_ALL,12,22)),1+(LEFT(TRIM(INDEX(PASTE_ALL,12,22)),1)="-"),999))-(RIGHT(MID(TRIM(INDEX(PASTE_ALL,12,22)),1+(LEFT(TRIM(INDEX(PASTE_ALL,12,22)),1)="-"),999),1)="%"))&lt;&gt;"",SUBSTITUTE(SUBSTITUTE(SUBSTITUTE(SUBSTITUTE(SUBSTITUTE(SUBSTITUTE(SUBSTITUTE(SUBSTITUTE(SUBSTITUTE(SUBSTITUTE(SUBSTITUTE(SUBSTITUTE(LEFT(MID(TRIM(INDEX(PASTE_ALL,12,22)),1+(LEFT(TRIM(INDEX(PASTE_ALL,12,22)),1)="-"),999),LEN(MID(TRIM(INDEX(PASTE_ALL,12,22)),1+(LEFT(TRIM(INDEX(PASTE_ALL,12,22)),1)="-"),999))-(RIGHT(MID(TRIM(INDEX(PASTE_ALL,12,22)),1+(LEFT(TRIM(INDEX(PASTE_ALL,12,22)),1)="-"),999),1)="%")),"0",""),"1",""),"2",""),"3",""),"4",""),"5",""),"6",""),"7",""),"8",""),"9",""),".",""),",","")=""),2,1))),1)</f>
        <v/>
      </c>
      <c r="AU61">
        <f>IFERROR(IF(ISNUMBER(INDEX(PASTE_ALL,12,23)),2,IF(TRIM(INDEX(PASTE_ALL,12,23))="",0,IF(AND(LEFT(MID(TRIM(INDEX(PASTE_ALL,12,23)),1+(LEFT(TRIM(INDEX(PASTE_ALL,12,23)),1)="-"),999),LEN(MID(TRIM(INDEX(PASTE_ALL,12,23)),1+(LEFT(TRIM(INDEX(PASTE_ALL,12,23)),1)="-"),999))-(RIGHT(MID(TRIM(INDEX(PASTE_ALL,12,23)),1+(LEFT(TRIM(INDEX(PASTE_ALL,12,23)),1)="-"),999),1)="%"))&lt;&gt;"",SUBSTITUTE(SUBSTITUTE(SUBSTITUTE(SUBSTITUTE(SUBSTITUTE(SUBSTITUTE(SUBSTITUTE(SUBSTITUTE(SUBSTITUTE(SUBSTITUTE(SUBSTITUTE(SUBSTITUTE(LEFT(MID(TRIM(INDEX(PASTE_ALL,12,23)),1+(LEFT(TRIM(INDEX(PASTE_ALL,12,23)),1)="-"),999),LEN(MID(TRIM(INDEX(PASTE_ALL,12,23)),1+(LEFT(TRIM(INDEX(PASTE_ALL,12,23)),1)="-"),999))-(RIGHT(MID(TRIM(INDEX(PASTE_ALL,12,23)),1+(LEFT(TRIM(INDEX(PASTE_ALL,12,23)),1)="-"),999),1)="%")),"0",""),"1",""),"2",""),"3",""),"4",""),"5",""),"6",""),"7",""),"8",""),"9",""),".",""),",","")=""),2,1))),1)</f>
        <v/>
      </c>
      <c r="AV61">
        <f>IFERROR(IF(ISNUMBER(INDEX(PASTE_ALL,12,24)),2,IF(TRIM(INDEX(PASTE_ALL,12,24))="",0,IF(AND(LEFT(MID(TRIM(INDEX(PASTE_ALL,12,24)),1+(LEFT(TRIM(INDEX(PASTE_ALL,12,24)),1)="-"),999),LEN(MID(TRIM(INDEX(PASTE_ALL,12,24)),1+(LEFT(TRIM(INDEX(PASTE_ALL,12,24)),1)="-"),999))-(RIGHT(MID(TRIM(INDEX(PASTE_ALL,12,24)),1+(LEFT(TRIM(INDEX(PASTE_ALL,12,24)),1)="-"),999),1)="%"))&lt;&gt;"",SUBSTITUTE(SUBSTITUTE(SUBSTITUTE(SUBSTITUTE(SUBSTITUTE(SUBSTITUTE(SUBSTITUTE(SUBSTITUTE(SUBSTITUTE(SUBSTITUTE(SUBSTITUTE(SUBSTITUTE(LEFT(MID(TRIM(INDEX(PASTE_ALL,12,24)),1+(LEFT(TRIM(INDEX(PASTE_ALL,12,24)),1)="-"),999),LEN(MID(TRIM(INDEX(PASTE_ALL,12,24)),1+(LEFT(TRIM(INDEX(PASTE_ALL,12,24)),1)="-"),999))-(RIGHT(MID(TRIM(INDEX(PASTE_ALL,12,24)),1+(LEFT(TRIM(INDEX(PASTE_ALL,12,24)),1)="-"),999),1)="%")),"0",""),"1",""),"2",""),"3",""),"4",""),"5",""),"6",""),"7",""),"8",""),"9",""),".",""),",","")=""),2,1))),1)</f>
        <v/>
      </c>
      <c r="AW61">
        <f>IFERROR(IF(ISNUMBER(INDEX(PASTE_ALL,12,25)),2,IF(TRIM(INDEX(PASTE_ALL,12,25))="",0,IF(AND(LEFT(MID(TRIM(INDEX(PASTE_ALL,12,25)),1+(LEFT(TRIM(INDEX(PASTE_ALL,12,25)),1)="-"),999),LEN(MID(TRIM(INDEX(PASTE_ALL,12,25)),1+(LEFT(TRIM(INDEX(PASTE_ALL,12,25)),1)="-"),999))-(RIGHT(MID(TRIM(INDEX(PASTE_ALL,12,25)),1+(LEFT(TRIM(INDEX(PASTE_ALL,12,25)),1)="-"),999),1)="%"))&lt;&gt;"",SUBSTITUTE(SUBSTITUTE(SUBSTITUTE(SUBSTITUTE(SUBSTITUTE(SUBSTITUTE(SUBSTITUTE(SUBSTITUTE(SUBSTITUTE(SUBSTITUTE(SUBSTITUTE(SUBSTITUTE(LEFT(MID(TRIM(INDEX(PASTE_ALL,12,25)),1+(LEFT(TRIM(INDEX(PASTE_ALL,12,25)),1)="-"),999),LEN(MID(TRIM(INDEX(PASTE_ALL,12,25)),1+(LEFT(TRIM(INDEX(PASTE_ALL,12,25)),1)="-"),999))-(RIGHT(MID(TRIM(INDEX(PASTE_ALL,12,25)),1+(LEFT(TRIM(INDEX(PASTE_ALL,12,25)),1)="-"),999),1)="%")),"0",""),"1",""),"2",""),"3",""),"4",""),"5",""),"6",""),"7",""),"8",""),"9",""),".",""),",","")=""),2,1))),1)</f>
        <v/>
      </c>
      <c r="AX61">
        <f>IFERROR(IF(ISNUMBER(INDEX(PASTE_ALL,12,26)),2,IF(TRIM(INDEX(PASTE_ALL,12,26))="",0,IF(AND(LEFT(MID(TRIM(INDEX(PASTE_ALL,12,26)),1+(LEFT(TRIM(INDEX(PASTE_ALL,12,26)),1)="-"),999),LEN(MID(TRIM(INDEX(PASTE_ALL,12,26)),1+(LEFT(TRIM(INDEX(PASTE_ALL,12,26)),1)="-"),999))-(RIGHT(MID(TRIM(INDEX(PASTE_ALL,12,26)),1+(LEFT(TRIM(INDEX(PASTE_ALL,12,26)),1)="-"),999),1)="%"))&lt;&gt;"",SUBSTITUTE(SUBSTITUTE(SUBSTITUTE(SUBSTITUTE(SUBSTITUTE(SUBSTITUTE(SUBSTITUTE(SUBSTITUTE(SUBSTITUTE(SUBSTITUTE(SUBSTITUTE(SUBSTITUTE(LEFT(MID(TRIM(INDEX(PASTE_ALL,12,26)),1+(LEFT(TRIM(INDEX(PASTE_ALL,12,26)),1)="-"),999),LEN(MID(TRIM(INDEX(PASTE_ALL,12,26)),1+(LEFT(TRIM(INDEX(PASTE_ALL,12,26)),1)="-"),999))-(RIGHT(MID(TRIM(INDEX(PASTE_ALL,12,26)),1+(LEFT(TRIM(INDEX(PASTE_ALL,12,26)),1)="-"),999),1)="%")),"0",""),"1",""),"2",""),"3",""),"4",""),"5",""),"6",""),"7",""),"8",""),"9",""),".",""),",","")=""),2,1))),1)</f>
        <v/>
      </c>
      <c r="AY61">
        <f>IFERROR(IF(ISNUMBER(INDEX(PASTE_ALL,12,27)),2,IF(TRIM(INDEX(PASTE_ALL,12,27))="",0,IF(AND(LEFT(MID(TRIM(INDEX(PASTE_ALL,12,27)),1+(LEFT(TRIM(INDEX(PASTE_ALL,12,27)),1)="-"),999),LEN(MID(TRIM(INDEX(PASTE_ALL,12,27)),1+(LEFT(TRIM(INDEX(PASTE_ALL,12,27)),1)="-"),999))-(RIGHT(MID(TRIM(INDEX(PASTE_ALL,12,27)),1+(LEFT(TRIM(INDEX(PASTE_ALL,12,27)),1)="-"),999),1)="%"))&lt;&gt;"",SUBSTITUTE(SUBSTITUTE(SUBSTITUTE(SUBSTITUTE(SUBSTITUTE(SUBSTITUTE(SUBSTITUTE(SUBSTITUTE(SUBSTITUTE(SUBSTITUTE(SUBSTITUTE(SUBSTITUTE(LEFT(MID(TRIM(INDEX(PASTE_ALL,12,27)),1+(LEFT(TRIM(INDEX(PASTE_ALL,12,27)),1)="-"),999),LEN(MID(TRIM(INDEX(PASTE_ALL,12,27)),1+(LEFT(TRIM(INDEX(PASTE_ALL,12,27)),1)="-"),999))-(RIGHT(MID(TRIM(INDEX(PASTE_ALL,12,27)),1+(LEFT(TRIM(INDEX(PASTE_ALL,12,27)),1)="-"),999),1)="%")),"0",""),"1",""),"2",""),"3",""),"4",""),"5",""),"6",""),"7",""),"8",""),"9",""),".",""),",","")=""),2,1))),1)</f>
        <v/>
      </c>
      <c r="AZ61">
        <f>IFERROR(IF(ISNUMBER(INDEX(PASTE_ALL,12,28)),2,IF(TRIM(INDEX(PASTE_ALL,12,28))="",0,IF(AND(LEFT(MID(TRIM(INDEX(PASTE_ALL,12,28)),1+(LEFT(TRIM(INDEX(PASTE_ALL,12,28)),1)="-"),999),LEN(MID(TRIM(INDEX(PASTE_ALL,12,28)),1+(LEFT(TRIM(INDEX(PASTE_ALL,12,28)),1)="-"),999))-(RIGHT(MID(TRIM(INDEX(PASTE_ALL,12,28)),1+(LEFT(TRIM(INDEX(PASTE_ALL,12,28)),1)="-"),999),1)="%"))&lt;&gt;"",SUBSTITUTE(SUBSTITUTE(SUBSTITUTE(SUBSTITUTE(SUBSTITUTE(SUBSTITUTE(SUBSTITUTE(SUBSTITUTE(SUBSTITUTE(SUBSTITUTE(SUBSTITUTE(SUBSTITUTE(LEFT(MID(TRIM(INDEX(PASTE_ALL,12,28)),1+(LEFT(TRIM(INDEX(PASTE_ALL,12,28)),1)="-"),999),LEN(MID(TRIM(INDEX(PASTE_ALL,12,28)),1+(LEFT(TRIM(INDEX(PASTE_ALL,12,28)),1)="-"),999))-(RIGHT(MID(TRIM(INDEX(PASTE_ALL,12,28)),1+(LEFT(TRIM(INDEX(PASTE_ALL,12,28)),1)="-"),999),1)="%")),"0",""),"1",""),"2",""),"3",""),"4",""),"5",""),"6",""),"7",""),"8",""),"9",""),".",""),",","")=""),2,1))),1)</f>
        <v/>
      </c>
      <c r="BA61">
        <f>IFERROR(IF(ISNUMBER(INDEX(PASTE_ALL,12,29)),2,IF(TRIM(INDEX(PASTE_ALL,12,29))="",0,IF(AND(LEFT(MID(TRIM(INDEX(PASTE_ALL,12,29)),1+(LEFT(TRIM(INDEX(PASTE_ALL,12,29)),1)="-"),999),LEN(MID(TRIM(INDEX(PASTE_ALL,12,29)),1+(LEFT(TRIM(INDEX(PASTE_ALL,12,29)),1)="-"),999))-(RIGHT(MID(TRIM(INDEX(PASTE_ALL,12,29)),1+(LEFT(TRIM(INDEX(PASTE_ALL,12,29)),1)="-"),999),1)="%"))&lt;&gt;"",SUBSTITUTE(SUBSTITUTE(SUBSTITUTE(SUBSTITUTE(SUBSTITUTE(SUBSTITUTE(SUBSTITUTE(SUBSTITUTE(SUBSTITUTE(SUBSTITUTE(SUBSTITUTE(SUBSTITUTE(LEFT(MID(TRIM(INDEX(PASTE_ALL,12,29)),1+(LEFT(TRIM(INDEX(PASTE_ALL,12,29)),1)="-"),999),LEN(MID(TRIM(INDEX(PASTE_ALL,12,29)),1+(LEFT(TRIM(INDEX(PASTE_ALL,12,29)),1)="-"),999))-(RIGHT(MID(TRIM(INDEX(PASTE_ALL,12,29)),1+(LEFT(TRIM(INDEX(PASTE_ALL,12,29)),1)="-"),999),1)="%")),"0",""),"1",""),"2",""),"3",""),"4",""),"5",""),"6",""),"7",""),"8",""),"9",""),".",""),",","")=""),2,1))),1)</f>
        <v/>
      </c>
      <c r="BB61">
        <f>IFERROR(IF(ISNUMBER(INDEX(PASTE_ALL,12,30)),2,IF(TRIM(INDEX(PASTE_ALL,12,30))="",0,IF(AND(LEFT(MID(TRIM(INDEX(PASTE_ALL,12,30)),1+(LEFT(TRIM(INDEX(PASTE_ALL,12,30)),1)="-"),999),LEN(MID(TRIM(INDEX(PASTE_ALL,12,30)),1+(LEFT(TRIM(INDEX(PASTE_ALL,12,30)),1)="-"),999))-(RIGHT(MID(TRIM(INDEX(PASTE_ALL,12,30)),1+(LEFT(TRIM(INDEX(PASTE_ALL,12,30)),1)="-"),999),1)="%"))&lt;&gt;"",SUBSTITUTE(SUBSTITUTE(SUBSTITUTE(SUBSTITUTE(SUBSTITUTE(SUBSTITUTE(SUBSTITUTE(SUBSTITUTE(SUBSTITUTE(SUBSTITUTE(SUBSTITUTE(SUBSTITUTE(LEFT(MID(TRIM(INDEX(PASTE_ALL,12,30)),1+(LEFT(TRIM(INDEX(PASTE_ALL,12,30)),1)="-"),999),LEN(MID(TRIM(INDEX(PASTE_ALL,12,30)),1+(LEFT(TRIM(INDEX(PASTE_ALL,12,30)),1)="-"),999))-(RIGHT(MID(TRIM(INDEX(PASTE_ALL,12,30)),1+(LEFT(TRIM(INDEX(PASTE_ALL,12,30)),1)="-"),999),1)="%")),"0",""),"1",""),"2",""),"3",""),"4",""),"5",""),"6",""),"7",""),"8",""),"9",""),".",""),",","")=""),2,1))),1)</f>
        <v/>
      </c>
      <c r="BC61">
        <f>IFERROR(IF(ISNUMBER(INDEX(PASTE_ALL,12,31)),2,IF(TRIM(INDEX(PASTE_ALL,12,31))="",0,IF(AND(LEFT(MID(TRIM(INDEX(PASTE_ALL,12,31)),1+(LEFT(TRIM(INDEX(PASTE_ALL,12,31)),1)="-"),999),LEN(MID(TRIM(INDEX(PASTE_ALL,12,31)),1+(LEFT(TRIM(INDEX(PASTE_ALL,12,31)),1)="-"),999))-(RIGHT(MID(TRIM(INDEX(PASTE_ALL,12,31)),1+(LEFT(TRIM(INDEX(PASTE_ALL,12,31)),1)="-"),999),1)="%"))&lt;&gt;"",SUBSTITUTE(SUBSTITUTE(SUBSTITUTE(SUBSTITUTE(SUBSTITUTE(SUBSTITUTE(SUBSTITUTE(SUBSTITUTE(SUBSTITUTE(SUBSTITUTE(SUBSTITUTE(SUBSTITUTE(LEFT(MID(TRIM(INDEX(PASTE_ALL,12,31)),1+(LEFT(TRIM(INDEX(PASTE_ALL,12,31)),1)="-"),999),LEN(MID(TRIM(INDEX(PASTE_ALL,12,31)),1+(LEFT(TRIM(INDEX(PASTE_ALL,12,31)),1)="-"),999))-(RIGHT(MID(TRIM(INDEX(PASTE_ALL,12,31)),1+(LEFT(TRIM(INDEX(PASTE_ALL,12,31)),1)="-"),999),1)="%")),"0",""),"1",""),"2",""),"3",""),"4",""),"5",""),"6",""),"7",""),"8",""),"9",""),".",""),",","")=""),2,1))),1)</f>
        <v/>
      </c>
      <c r="BD61">
        <f>IFERROR(IF(ISNUMBER(INDEX(PASTE_ALL,12,32)),2,IF(TRIM(INDEX(PASTE_ALL,12,32))="",0,IF(AND(LEFT(MID(TRIM(INDEX(PASTE_ALL,12,32)),1+(LEFT(TRIM(INDEX(PASTE_ALL,12,32)),1)="-"),999),LEN(MID(TRIM(INDEX(PASTE_ALL,12,32)),1+(LEFT(TRIM(INDEX(PASTE_ALL,12,32)),1)="-"),999))-(RIGHT(MID(TRIM(INDEX(PASTE_ALL,12,32)),1+(LEFT(TRIM(INDEX(PASTE_ALL,12,32)),1)="-"),999),1)="%"))&lt;&gt;"",SUBSTITUTE(SUBSTITUTE(SUBSTITUTE(SUBSTITUTE(SUBSTITUTE(SUBSTITUTE(SUBSTITUTE(SUBSTITUTE(SUBSTITUTE(SUBSTITUTE(SUBSTITUTE(SUBSTITUTE(LEFT(MID(TRIM(INDEX(PASTE_ALL,12,32)),1+(LEFT(TRIM(INDEX(PASTE_ALL,12,32)),1)="-"),999),LEN(MID(TRIM(INDEX(PASTE_ALL,12,32)),1+(LEFT(TRIM(INDEX(PASTE_ALL,12,32)),1)="-"),999))-(RIGHT(MID(TRIM(INDEX(PASTE_ALL,12,32)),1+(LEFT(TRIM(INDEX(PASTE_ALL,12,32)),1)="-"),999),1)="%")),"0",""),"1",""),"2",""),"3",""),"4",""),"5",""),"6",""),"7",""),"8",""),"9",""),".",""),",","")=""),2,1))),1)</f>
        <v/>
      </c>
      <c r="BE61">
        <f>IFERROR(IF(ISNUMBER(INDEX(PASTE_ALL,12,33)),2,IF(TRIM(INDEX(PASTE_ALL,12,33))="",0,IF(AND(LEFT(MID(TRIM(INDEX(PASTE_ALL,12,33)),1+(LEFT(TRIM(INDEX(PASTE_ALL,12,33)),1)="-"),999),LEN(MID(TRIM(INDEX(PASTE_ALL,12,33)),1+(LEFT(TRIM(INDEX(PASTE_ALL,12,33)),1)="-"),999))-(RIGHT(MID(TRIM(INDEX(PASTE_ALL,12,33)),1+(LEFT(TRIM(INDEX(PASTE_ALL,12,33)),1)="-"),999),1)="%"))&lt;&gt;"",SUBSTITUTE(SUBSTITUTE(SUBSTITUTE(SUBSTITUTE(SUBSTITUTE(SUBSTITUTE(SUBSTITUTE(SUBSTITUTE(SUBSTITUTE(SUBSTITUTE(SUBSTITUTE(SUBSTITUTE(LEFT(MID(TRIM(INDEX(PASTE_ALL,12,33)),1+(LEFT(TRIM(INDEX(PASTE_ALL,12,33)),1)="-"),999),LEN(MID(TRIM(INDEX(PASTE_ALL,12,33)),1+(LEFT(TRIM(INDEX(PASTE_ALL,12,33)),1)="-"),999))-(RIGHT(MID(TRIM(INDEX(PASTE_ALL,12,33)),1+(LEFT(TRIM(INDEX(PASTE_ALL,12,33)),1)="-"),999),1)="%")),"0",""),"1",""),"2",""),"3",""),"4",""),"5",""),"6",""),"7",""),"8",""),"9",""),".",""),",","")=""),2,1))),1)</f>
        <v/>
      </c>
      <c r="BF61">
        <f>IFERROR(IF(ISNUMBER(INDEX(PASTE_ALL,12,34)),2,IF(TRIM(INDEX(PASTE_ALL,12,34))="",0,IF(AND(LEFT(MID(TRIM(INDEX(PASTE_ALL,12,34)),1+(LEFT(TRIM(INDEX(PASTE_ALL,12,34)),1)="-"),999),LEN(MID(TRIM(INDEX(PASTE_ALL,12,34)),1+(LEFT(TRIM(INDEX(PASTE_ALL,12,34)),1)="-"),999))-(RIGHT(MID(TRIM(INDEX(PASTE_ALL,12,34)),1+(LEFT(TRIM(INDEX(PASTE_ALL,12,34)),1)="-"),999),1)="%"))&lt;&gt;"",SUBSTITUTE(SUBSTITUTE(SUBSTITUTE(SUBSTITUTE(SUBSTITUTE(SUBSTITUTE(SUBSTITUTE(SUBSTITUTE(SUBSTITUTE(SUBSTITUTE(SUBSTITUTE(SUBSTITUTE(LEFT(MID(TRIM(INDEX(PASTE_ALL,12,34)),1+(LEFT(TRIM(INDEX(PASTE_ALL,12,34)),1)="-"),999),LEN(MID(TRIM(INDEX(PASTE_ALL,12,34)),1+(LEFT(TRIM(INDEX(PASTE_ALL,12,34)),1)="-"),999))-(RIGHT(MID(TRIM(INDEX(PASTE_ALL,12,34)),1+(LEFT(TRIM(INDEX(PASTE_ALL,12,34)),1)="-"),999),1)="%")),"0",""),"1",""),"2",""),"3",""),"4",""),"5",""),"6",""),"7",""),"8",""),"9",""),".",""),",","")=""),2,1))),1)</f>
        <v/>
      </c>
      <c r="BG61">
        <f>IFERROR(IF(ISNUMBER(INDEX(PASTE_ALL,12,35)),2,IF(TRIM(INDEX(PASTE_ALL,12,35))="",0,IF(AND(LEFT(MID(TRIM(INDEX(PASTE_ALL,12,35)),1+(LEFT(TRIM(INDEX(PASTE_ALL,12,35)),1)="-"),999),LEN(MID(TRIM(INDEX(PASTE_ALL,12,35)),1+(LEFT(TRIM(INDEX(PASTE_ALL,12,35)),1)="-"),999))-(RIGHT(MID(TRIM(INDEX(PASTE_ALL,12,35)),1+(LEFT(TRIM(INDEX(PASTE_ALL,12,35)),1)="-"),999),1)="%"))&lt;&gt;"",SUBSTITUTE(SUBSTITUTE(SUBSTITUTE(SUBSTITUTE(SUBSTITUTE(SUBSTITUTE(SUBSTITUTE(SUBSTITUTE(SUBSTITUTE(SUBSTITUTE(SUBSTITUTE(SUBSTITUTE(LEFT(MID(TRIM(INDEX(PASTE_ALL,12,35)),1+(LEFT(TRIM(INDEX(PASTE_ALL,12,35)),1)="-"),999),LEN(MID(TRIM(INDEX(PASTE_ALL,12,35)),1+(LEFT(TRIM(INDEX(PASTE_ALL,12,35)),1)="-"),999))-(RIGHT(MID(TRIM(INDEX(PASTE_ALL,12,35)),1+(LEFT(TRIM(INDEX(PASTE_ALL,12,35)),1)="-"),999),1)="%")),"0",""),"1",""),"2",""),"3",""),"4",""),"5",""),"6",""),"7",""),"8",""),"9",""),".",""),",","")=""),2,1))),1)</f>
        <v/>
      </c>
      <c r="BH61">
        <f>IFERROR(IF(ISNUMBER(INDEX(PASTE_ALL,12,36)),2,IF(TRIM(INDEX(PASTE_ALL,12,36))="",0,IF(AND(LEFT(MID(TRIM(INDEX(PASTE_ALL,12,36)),1+(LEFT(TRIM(INDEX(PASTE_ALL,12,36)),1)="-"),999),LEN(MID(TRIM(INDEX(PASTE_ALL,12,36)),1+(LEFT(TRIM(INDEX(PASTE_ALL,12,36)),1)="-"),999))-(RIGHT(MID(TRIM(INDEX(PASTE_ALL,12,36)),1+(LEFT(TRIM(INDEX(PASTE_ALL,12,36)),1)="-"),999),1)="%"))&lt;&gt;"",SUBSTITUTE(SUBSTITUTE(SUBSTITUTE(SUBSTITUTE(SUBSTITUTE(SUBSTITUTE(SUBSTITUTE(SUBSTITUTE(SUBSTITUTE(SUBSTITUTE(SUBSTITUTE(SUBSTITUTE(LEFT(MID(TRIM(INDEX(PASTE_ALL,12,36)),1+(LEFT(TRIM(INDEX(PASTE_ALL,12,36)),1)="-"),999),LEN(MID(TRIM(INDEX(PASTE_ALL,12,36)),1+(LEFT(TRIM(INDEX(PASTE_ALL,12,36)),1)="-"),999))-(RIGHT(MID(TRIM(INDEX(PASTE_ALL,12,36)),1+(LEFT(TRIM(INDEX(PASTE_ALL,12,36)),1)="-"),999),1)="%")),"0",""),"1",""),"2",""),"3",""),"4",""),"5",""),"6",""),"7",""),"8",""),"9",""),".",""),",","")=""),2,1))),1)</f>
        <v/>
      </c>
      <c r="BI61">
        <f>IFERROR(IF(ISNUMBER(INDEX(PASTE_ALL,12,37)),2,IF(TRIM(INDEX(PASTE_ALL,12,37))="",0,IF(AND(LEFT(MID(TRIM(INDEX(PASTE_ALL,12,37)),1+(LEFT(TRIM(INDEX(PASTE_ALL,12,37)),1)="-"),999),LEN(MID(TRIM(INDEX(PASTE_ALL,12,37)),1+(LEFT(TRIM(INDEX(PASTE_ALL,12,37)),1)="-"),999))-(RIGHT(MID(TRIM(INDEX(PASTE_ALL,12,37)),1+(LEFT(TRIM(INDEX(PASTE_ALL,12,37)),1)="-"),999),1)="%"))&lt;&gt;"",SUBSTITUTE(SUBSTITUTE(SUBSTITUTE(SUBSTITUTE(SUBSTITUTE(SUBSTITUTE(SUBSTITUTE(SUBSTITUTE(SUBSTITUTE(SUBSTITUTE(SUBSTITUTE(SUBSTITUTE(LEFT(MID(TRIM(INDEX(PASTE_ALL,12,37)),1+(LEFT(TRIM(INDEX(PASTE_ALL,12,37)),1)="-"),999),LEN(MID(TRIM(INDEX(PASTE_ALL,12,37)),1+(LEFT(TRIM(INDEX(PASTE_ALL,12,37)),1)="-"),999))-(RIGHT(MID(TRIM(INDEX(PASTE_ALL,12,37)),1+(LEFT(TRIM(INDEX(PASTE_ALL,12,37)),1)="-"),999),1)="%")),"0",""),"1",""),"2",""),"3",""),"4",""),"5",""),"6",""),"7",""),"8",""),"9",""),".",""),",","")=""),2,1))),1)</f>
        <v/>
      </c>
      <c r="BJ61">
        <f>IFERROR(IF(ISNUMBER(INDEX(PASTE_ALL,12,38)),2,IF(TRIM(INDEX(PASTE_ALL,12,38))="",0,IF(AND(LEFT(MID(TRIM(INDEX(PASTE_ALL,12,38)),1+(LEFT(TRIM(INDEX(PASTE_ALL,12,38)),1)="-"),999),LEN(MID(TRIM(INDEX(PASTE_ALL,12,38)),1+(LEFT(TRIM(INDEX(PASTE_ALL,12,38)),1)="-"),999))-(RIGHT(MID(TRIM(INDEX(PASTE_ALL,12,38)),1+(LEFT(TRIM(INDEX(PASTE_ALL,12,38)),1)="-"),999),1)="%"))&lt;&gt;"",SUBSTITUTE(SUBSTITUTE(SUBSTITUTE(SUBSTITUTE(SUBSTITUTE(SUBSTITUTE(SUBSTITUTE(SUBSTITUTE(SUBSTITUTE(SUBSTITUTE(SUBSTITUTE(SUBSTITUTE(LEFT(MID(TRIM(INDEX(PASTE_ALL,12,38)),1+(LEFT(TRIM(INDEX(PASTE_ALL,12,38)),1)="-"),999),LEN(MID(TRIM(INDEX(PASTE_ALL,12,38)),1+(LEFT(TRIM(INDEX(PASTE_ALL,12,38)),1)="-"),999))-(RIGHT(MID(TRIM(INDEX(PASTE_ALL,12,38)),1+(LEFT(TRIM(INDEX(PASTE_ALL,12,38)),1)="-"),999),1)="%")),"0",""),"1",""),"2",""),"3",""),"4",""),"5",""),"6",""),"7",""),"8",""),"9",""),".",""),",","")=""),2,1))),1)</f>
        <v/>
      </c>
      <c r="BK61">
        <f>IFERROR(IF(ISNUMBER(INDEX(PASTE_ALL,12,39)),2,IF(TRIM(INDEX(PASTE_ALL,12,39))="",0,IF(AND(LEFT(MID(TRIM(INDEX(PASTE_ALL,12,39)),1+(LEFT(TRIM(INDEX(PASTE_ALL,12,39)),1)="-"),999),LEN(MID(TRIM(INDEX(PASTE_ALL,12,39)),1+(LEFT(TRIM(INDEX(PASTE_ALL,12,39)),1)="-"),999))-(RIGHT(MID(TRIM(INDEX(PASTE_ALL,12,39)),1+(LEFT(TRIM(INDEX(PASTE_ALL,12,39)),1)="-"),999),1)="%"))&lt;&gt;"",SUBSTITUTE(SUBSTITUTE(SUBSTITUTE(SUBSTITUTE(SUBSTITUTE(SUBSTITUTE(SUBSTITUTE(SUBSTITUTE(SUBSTITUTE(SUBSTITUTE(SUBSTITUTE(SUBSTITUTE(LEFT(MID(TRIM(INDEX(PASTE_ALL,12,39)),1+(LEFT(TRIM(INDEX(PASTE_ALL,12,39)),1)="-"),999),LEN(MID(TRIM(INDEX(PASTE_ALL,12,39)),1+(LEFT(TRIM(INDEX(PASTE_ALL,12,39)),1)="-"),999))-(RIGHT(MID(TRIM(INDEX(PASTE_ALL,12,39)),1+(LEFT(TRIM(INDEX(PASTE_ALL,12,39)),1)="-"),999),1)="%")),"0",""),"1",""),"2",""),"3",""),"4",""),"5",""),"6",""),"7",""),"8",""),"9",""),".",""),",","")=""),2,1))),1)</f>
        <v/>
      </c>
      <c r="BL61">
        <f>IFERROR(IF(ISNUMBER(INDEX(PASTE_ALL,12,40)),2,IF(TRIM(INDEX(PASTE_ALL,12,40))="",0,IF(AND(LEFT(MID(TRIM(INDEX(PASTE_ALL,12,40)),1+(LEFT(TRIM(INDEX(PASTE_ALL,12,40)),1)="-"),999),LEN(MID(TRIM(INDEX(PASTE_ALL,12,40)),1+(LEFT(TRIM(INDEX(PASTE_ALL,12,40)),1)="-"),999))-(RIGHT(MID(TRIM(INDEX(PASTE_ALL,12,40)),1+(LEFT(TRIM(INDEX(PASTE_ALL,12,40)),1)="-"),999),1)="%"))&lt;&gt;"",SUBSTITUTE(SUBSTITUTE(SUBSTITUTE(SUBSTITUTE(SUBSTITUTE(SUBSTITUTE(SUBSTITUTE(SUBSTITUTE(SUBSTITUTE(SUBSTITUTE(SUBSTITUTE(SUBSTITUTE(LEFT(MID(TRIM(INDEX(PASTE_ALL,12,40)),1+(LEFT(TRIM(INDEX(PASTE_ALL,12,40)),1)="-"),999),LEN(MID(TRIM(INDEX(PASTE_ALL,12,40)),1+(LEFT(TRIM(INDEX(PASTE_ALL,12,40)),1)="-"),999))-(RIGHT(MID(TRIM(INDEX(PASTE_ALL,12,40)),1+(LEFT(TRIM(INDEX(PASTE_ALL,12,40)),1)="-"),999),1)="%")),"0",""),"1",""),"2",""),"3",""),"4",""),"5",""),"6",""),"7",""),"8",""),"9",""),".",""),",","")=""),2,1))),1)</f>
        <v/>
      </c>
      <c r="BM61">
        <f>IFERROR(IF(ISNUMBER(INDEX(PASTE_ALL,12,41)),2,IF(TRIM(INDEX(PASTE_ALL,12,41))="",0,IF(AND(LEFT(MID(TRIM(INDEX(PASTE_ALL,12,41)),1+(LEFT(TRIM(INDEX(PASTE_ALL,12,41)),1)="-"),999),LEN(MID(TRIM(INDEX(PASTE_ALL,12,41)),1+(LEFT(TRIM(INDEX(PASTE_ALL,12,41)),1)="-"),999))-(RIGHT(MID(TRIM(INDEX(PASTE_ALL,12,41)),1+(LEFT(TRIM(INDEX(PASTE_ALL,12,41)),1)="-"),999),1)="%"))&lt;&gt;"",SUBSTITUTE(SUBSTITUTE(SUBSTITUTE(SUBSTITUTE(SUBSTITUTE(SUBSTITUTE(SUBSTITUTE(SUBSTITUTE(SUBSTITUTE(SUBSTITUTE(SUBSTITUTE(SUBSTITUTE(LEFT(MID(TRIM(INDEX(PASTE_ALL,12,41)),1+(LEFT(TRIM(INDEX(PASTE_ALL,12,41)),1)="-"),999),LEN(MID(TRIM(INDEX(PASTE_ALL,12,41)),1+(LEFT(TRIM(INDEX(PASTE_ALL,12,41)),1)="-"),999))-(RIGHT(MID(TRIM(INDEX(PASTE_ALL,12,41)),1+(LEFT(TRIM(INDEX(PASTE_ALL,12,41)),1)="-"),999),1)="%")),"0",""),"1",""),"2",""),"3",""),"4",""),"5",""),"6",""),"7",""),"8",""),"9",""),".",""),",","")=""),2,1))),1)</f>
        <v/>
      </c>
      <c r="BN61">
        <f>IFERROR(IF(ISNUMBER(INDEX(PASTE_ALL,12,42)),2,IF(TRIM(INDEX(PASTE_ALL,12,42))="",0,IF(AND(LEFT(MID(TRIM(INDEX(PASTE_ALL,12,42)),1+(LEFT(TRIM(INDEX(PASTE_ALL,12,42)),1)="-"),999),LEN(MID(TRIM(INDEX(PASTE_ALL,12,42)),1+(LEFT(TRIM(INDEX(PASTE_ALL,12,42)),1)="-"),999))-(RIGHT(MID(TRIM(INDEX(PASTE_ALL,12,42)),1+(LEFT(TRIM(INDEX(PASTE_ALL,12,42)),1)="-"),999),1)="%"))&lt;&gt;"",SUBSTITUTE(SUBSTITUTE(SUBSTITUTE(SUBSTITUTE(SUBSTITUTE(SUBSTITUTE(SUBSTITUTE(SUBSTITUTE(SUBSTITUTE(SUBSTITUTE(SUBSTITUTE(SUBSTITUTE(LEFT(MID(TRIM(INDEX(PASTE_ALL,12,42)),1+(LEFT(TRIM(INDEX(PASTE_ALL,12,42)),1)="-"),999),LEN(MID(TRIM(INDEX(PASTE_ALL,12,42)),1+(LEFT(TRIM(INDEX(PASTE_ALL,12,42)),1)="-"),999))-(RIGHT(MID(TRIM(INDEX(PASTE_ALL,12,42)),1+(LEFT(TRIM(INDEX(PASTE_ALL,12,42)),1)="-"),999),1)="%")),"0",""),"1",""),"2",""),"3",""),"4",""),"5",""),"6",""),"7",""),"8",""),"9",""),".",""),",","")=""),2,1))),1)</f>
        <v/>
      </c>
      <c r="BO61">
        <f>IFERROR(IF(ISNUMBER(INDEX(PASTE_ALL,12,43)),2,IF(TRIM(INDEX(PASTE_ALL,12,43))="",0,IF(AND(LEFT(MID(TRIM(INDEX(PASTE_ALL,12,43)),1+(LEFT(TRIM(INDEX(PASTE_ALL,12,43)),1)="-"),999),LEN(MID(TRIM(INDEX(PASTE_ALL,12,43)),1+(LEFT(TRIM(INDEX(PASTE_ALL,12,43)),1)="-"),999))-(RIGHT(MID(TRIM(INDEX(PASTE_ALL,12,43)),1+(LEFT(TRIM(INDEX(PASTE_ALL,12,43)),1)="-"),999),1)="%"))&lt;&gt;"",SUBSTITUTE(SUBSTITUTE(SUBSTITUTE(SUBSTITUTE(SUBSTITUTE(SUBSTITUTE(SUBSTITUTE(SUBSTITUTE(SUBSTITUTE(SUBSTITUTE(SUBSTITUTE(SUBSTITUTE(LEFT(MID(TRIM(INDEX(PASTE_ALL,12,43)),1+(LEFT(TRIM(INDEX(PASTE_ALL,12,43)),1)="-"),999),LEN(MID(TRIM(INDEX(PASTE_ALL,12,43)),1+(LEFT(TRIM(INDEX(PASTE_ALL,12,43)),1)="-"),999))-(RIGHT(MID(TRIM(INDEX(PASTE_ALL,12,43)),1+(LEFT(TRIM(INDEX(PASTE_ALL,12,43)),1)="-"),999),1)="%")),"0",""),"1",""),"2",""),"3",""),"4",""),"5",""),"6",""),"7",""),"8",""),"9",""),".",""),",","")=""),2,1))),1)</f>
        <v/>
      </c>
      <c r="BP61">
        <f>IFERROR(IF(ISNUMBER(INDEX(PASTE_ALL,12,44)),2,IF(TRIM(INDEX(PASTE_ALL,12,44))="",0,IF(AND(LEFT(MID(TRIM(INDEX(PASTE_ALL,12,44)),1+(LEFT(TRIM(INDEX(PASTE_ALL,12,44)),1)="-"),999),LEN(MID(TRIM(INDEX(PASTE_ALL,12,44)),1+(LEFT(TRIM(INDEX(PASTE_ALL,12,44)),1)="-"),999))-(RIGHT(MID(TRIM(INDEX(PASTE_ALL,12,44)),1+(LEFT(TRIM(INDEX(PASTE_ALL,12,44)),1)="-"),999),1)="%"))&lt;&gt;"",SUBSTITUTE(SUBSTITUTE(SUBSTITUTE(SUBSTITUTE(SUBSTITUTE(SUBSTITUTE(SUBSTITUTE(SUBSTITUTE(SUBSTITUTE(SUBSTITUTE(SUBSTITUTE(SUBSTITUTE(LEFT(MID(TRIM(INDEX(PASTE_ALL,12,44)),1+(LEFT(TRIM(INDEX(PASTE_ALL,12,44)),1)="-"),999),LEN(MID(TRIM(INDEX(PASTE_ALL,12,44)),1+(LEFT(TRIM(INDEX(PASTE_ALL,12,44)),1)="-"),999))-(RIGHT(MID(TRIM(INDEX(PASTE_ALL,12,44)),1+(LEFT(TRIM(INDEX(PASTE_ALL,12,44)),1)="-"),999),1)="%")),"0",""),"1",""),"2",""),"3",""),"4",""),"5",""),"6",""),"7",""),"8",""),"9",""),".",""),",","")=""),2,1))),1)</f>
        <v/>
      </c>
      <c r="BQ61">
        <f>IFERROR(IF(ISNUMBER(INDEX(PASTE_ALL,12,45)),2,IF(TRIM(INDEX(PASTE_ALL,12,45))="",0,IF(AND(LEFT(MID(TRIM(INDEX(PASTE_ALL,12,45)),1+(LEFT(TRIM(INDEX(PASTE_ALL,12,45)),1)="-"),999),LEN(MID(TRIM(INDEX(PASTE_ALL,12,45)),1+(LEFT(TRIM(INDEX(PASTE_ALL,12,45)),1)="-"),999))-(RIGHT(MID(TRIM(INDEX(PASTE_ALL,12,45)),1+(LEFT(TRIM(INDEX(PASTE_ALL,12,45)),1)="-"),999),1)="%"))&lt;&gt;"",SUBSTITUTE(SUBSTITUTE(SUBSTITUTE(SUBSTITUTE(SUBSTITUTE(SUBSTITUTE(SUBSTITUTE(SUBSTITUTE(SUBSTITUTE(SUBSTITUTE(SUBSTITUTE(SUBSTITUTE(LEFT(MID(TRIM(INDEX(PASTE_ALL,12,45)),1+(LEFT(TRIM(INDEX(PASTE_ALL,12,45)),1)="-"),999),LEN(MID(TRIM(INDEX(PASTE_ALL,12,45)),1+(LEFT(TRIM(INDEX(PASTE_ALL,12,45)),1)="-"),999))-(RIGHT(MID(TRIM(INDEX(PASTE_ALL,12,45)),1+(LEFT(TRIM(INDEX(PASTE_ALL,12,45)),1)="-"),999),1)="%")),"0",""),"1",""),"2",""),"3",""),"4",""),"5",""),"6",""),"7",""),"8",""),"9",""),".",""),",","")=""),2,1))),1)</f>
        <v/>
      </c>
      <c r="BR61">
        <f>IFERROR(IF(ISNUMBER(INDEX(PASTE_ALL,12,46)),2,IF(TRIM(INDEX(PASTE_ALL,12,46))="",0,IF(AND(LEFT(MID(TRIM(INDEX(PASTE_ALL,12,46)),1+(LEFT(TRIM(INDEX(PASTE_ALL,12,46)),1)="-"),999),LEN(MID(TRIM(INDEX(PASTE_ALL,12,46)),1+(LEFT(TRIM(INDEX(PASTE_ALL,12,46)),1)="-"),999))-(RIGHT(MID(TRIM(INDEX(PASTE_ALL,12,46)),1+(LEFT(TRIM(INDEX(PASTE_ALL,12,46)),1)="-"),999),1)="%"))&lt;&gt;"",SUBSTITUTE(SUBSTITUTE(SUBSTITUTE(SUBSTITUTE(SUBSTITUTE(SUBSTITUTE(SUBSTITUTE(SUBSTITUTE(SUBSTITUTE(SUBSTITUTE(SUBSTITUTE(SUBSTITUTE(LEFT(MID(TRIM(INDEX(PASTE_ALL,12,46)),1+(LEFT(TRIM(INDEX(PASTE_ALL,12,46)),1)="-"),999),LEN(MID(TRIM(INDEX(PASTE_ALL,12,46)),1+(LEFT(TRIM(INDEX(PASTE_ALL,12,46)),1)="-"),999))-(RIGHT(MID(TRIM(INDEX(PASTE_ALL,12,46)),1+(LEFT(TRIM(INDEX(PASTE_ALL,12,46)),1)="-"),999),1)="%")),"0",""),"1",""),"2",""),"3",""),"4",""),"5",""),"6",""),"7",""),"8",""),"9",""),".",""),",","")=""),2,1))),1)</f>
        <v/>
      </c>
      <c r="BS61">
        <f>IFERROR(IF(ISNUMBER(INDEX(PASTE_ALL,12,47)),2,IF(TRIM(INDEX(PASTE_ALL,12,47))="",0,IF(AND(LEFT(MID(TRIM(INDEX(PASTE_ALL,12,47)),1+(LEFT(TRIM(INDEX(PASTE_ALL,12,47)),1)="-"),999),LEN(MID(TRIM(INDEX(PASTE_ALL,12,47)),1+(LEFT(TRIM(INDEX(PASTE_ALL,12,47)),1)="-"),999))-(RIGHT(MID(TRIM(INDEX(PASTE_ALL,12,47)),1+(LEFT(TRIM(INDEX(PASTE_ALL,12,47)),1)="-"),999),1)="%"))&lt;&gt;"",SUBSTITUTE(SUBSTITUTE(SUBSTITUTE(SUBSTITUTE(SUBSTITUTE(SUBSTITUTE(SUBSTITUTE(SUBSTITUTE(SUBSTITUTE(SUBSTITUTE(SUBSTITUTE(SUBSTITUTE(LEFT(MID(TRIM(INDEX(PASTE_ALL,12,47)),1+(LEFT(TRIM(INDEX(PASTE_ALL,12,47)),1)="-"),999),LEN(MID(TRIM(INDEX(PASTE_ALL,12,47)),1+(LEFT(TRIM(INDEX(PASTE_ALL,12,47)),1)="-"),999))-(RIGHT(MID(TRIM(INDEX(PASTE_ALL,12,47)),1+(LEFT(TRIM(INDEX(PASTE_ALL,12,47)),1)="-"),999),1)="%")),"0",""),"1",""),"2",""),"3",""),"4",""),"5",""),"6",""),"7",""),"8",""),"9",""),".",""),",","")=""),2,1))),1)</f>
        <v/>
      </c>
      <c r="BT61">
        <f>IFERROR(IF(ISNUMBER(INDEX(PASTE_ALL,12,48)),2,IF(TRIM(INDEX(PASTE_ALL,12,48))="",0,IF(AND(LEFT(MID(TRIM(INDEX(PASTE_ALL,12,48)),1+(LEFT(TRIM(INDEX(PASTE_ALL,12,48)),1)="-"),999),LEN(MID(TRIM(INDEX(PASTE_ALL,12,48)),1+(LEFT(TRIM(INDEX(PASTE_ALL,12,48)),1)="-"),999))-(RIGHT(MID(TRIM(INDEX(PASTE_ALL,12,48)),1+(LEFT(TRIM(INDEX(PASTE_ALL,12,48)),1)="-"),999),1)="%"))&lt;&gt;"",SUBSTITUTE(SUBSTITUTE(SUBSTITUTE(SUBSTITUTE(SUBSTITUTE(SUBSTITUTE(SUBSTITUTE(SUBSTITUTE(SUBSTITUTE(SUBSTITUTE(SUBSTITUTE(SUBSTITUTE(LEFT(MID(TRIM(INDEX(PASTE_ALL,12,48)),1+(LEFT(TRIM(INDEX(PASTE_ALL,12,48)),1)="-"),999),LEN(MID(TRIM(INDEX(PASTE_ALL,12,48)),1+(LEFT(TRIM(INDEX(PASTE_ALL,12,48)),1)="-"),999))-(RIGHT(MID(TRIM(INDEX(PASTE_ALL,12,48)),1+(LEFT(TRIM(INDEX(PASTE_ALL,12,48)),1)="-"),999),1)="%")),"0",""),"1",""),"2",""),"3",""),"4",""),"5",""),"6",""),"7",""),"8",""),"9",""),".",""),",","")=""),2,1))),1)</f>
        <v/>
      </c>
      <c r="BU61">
        <f>IFERROR(IF(ISNUMBER(INDEX(PASTE_ALL,12,49)),2,IF(TRIM(INDEX(PASTE_ALL,12,49))="",0,IF(AND(LEFT(MID(TRIM(INDEX(PASTE_ALL,12,49)),1+(LEFT(TRIM(INDEX(PASTE_ALL,12,49)),1)="-"),999),LEN(MID(TRIM(INDEX(PASTE_ALL,12,49)),1+(LEFT(TRIM(INDEX(PASTE_ALL,12,49)),1)="-"),999))-(RIGHT(MID(TRIM(INDEX(PASTE_ALL,12,49)),1+(LEFT(TRIM(INDEX(PASTE_ALL,12,49)),1)="-"),999),1)="%"))&lt;&gt;"",SUBSTITUTE(SUBSTITUTE(SUBSTITUTE(SUBSTITUTE(SUBSTITUTE(SUBSTITUTE(SUBSTITUTE(SUBSTITUTE(SUBSTITUTE(SUBSTITUTE(SUBSTITUTE(SUBSTITUTE(LEFT(MID(TRIM(INDEX(PASTE_ALL,12,49)),1+(LEFT(TRIM(INDEX(PASTE_ALL,12,49)),1)="-"),999),LEN(MID(TRIM(INDEX(PASTE_ALL,12,49)),1+(LEFT(TRIM(INDEX(PASTE_ALL,12,49)),1)="-"),999))-(RIGHT(MID(TRIM(INDEX(PASTE_ALL,12,49)),1+(LEFT(TRIM(INDEX(PASTE_ALL,12,49)),1)="-"),999),1)="%")),"0",""),"1",""),"2",""),"3",""),"4",""),"5",""),"6",""),"7",""),"8",""),"9",""),".",""),",","")=""),2,1))),1)</f>
        <v/>
      </c>
      <c r="BV61">
        <f>IFERROR(IF(ISNUMBER(INDEX(PASTE_ALL,12,50)),2,IF(TRIM(INDEX(PASTE_ALL,12,50))="",0,IF(AND(LEFT(MID(TRIM(INDEX(PASTE_ALL,12,50)),1+(LEFT(TRIM(INDEX(PASTE_ALL,12,50)),1)="-"),999),LEN(MID(TRIM(INDEX(PASTE_ALL,12,50)),1+(LEFT(TRIM(INDEX(PASTE_ALL,12,50)),1)="-"),999))-(RIGHT(MID(TRIM(INDEX(PASTE_ALL,12,50)),1+(LEFT(TRIM(INDEX(PASTE_ALL,12,50)),1)="-"),999),1)="%"))&lt;&gt;"",SUBSTITUTE(SUBSTITUTE(SUBSTITUTE(SUBSTITUTE(SUBSTITUTE(SUBSTITUTE(SUBSTITUTE(SUBSTITUTE(SUBSTITUTE(SUBSTITUTE(SUBSTITUTE(SUBSTITUTE(LEFT(MID(TRIM(INDEX(PASTE_ALL,12,50)),1+(LEFT(TRIM(INDEX(PASTE_ALL,12,50)),1)="-"),999),LEN(MID(TRIM(INDEX(PASTE_ALL,12,50)),1+(LEFT(TRIM(INDEX(PASTE_ALL,12,50)),1)="-"),999))-(RIGHT(MID(TRIM(INDEX(PASTE_ALL,12,50)),1+(LEFT(TRIM(INDEX(PASTE_ALL,12,50)),1)="-"),999),1)="%")),"0",""),"1",""),"2",""),"3",""),"4",""),"5",""),"6",""),"7",""),"8",""),"9",""),".",""),",","")=""),2,1))),1)</f>
        <v/>
      </c>
      <c r="BW61">
        <f>IFERROR(IF(ISNUMBER(INDEX(PASTE_ALL,12,51)),2,IF(TRIM(INDEX(PASTE_ALL,12,51))="",0,IF(AND(LEFT(MID(TRIM(INDEX(PASTE_ALL,12,51)),1+(LEFT(TRIM(INDEX(PASTE_ALL,12,51)),1)="-"),999),LEN(MID(TRIM(INDEX(PASTE_ALL,12,51)),1+(LEFT(TRIM(INDEX(PASTE_ALL,12,51)),1)="-"),999))-(RIGHT(MID(TRIM(INDEX(PASTE_ALL,12,51)),1+(LEFT(TRIM(INDEX(PASTE_ALL,12,51)),1)="-"),999),1)="%"))&lt;&gt;"",SUBSTITUTE(SUBSTITUTE(SUBSTITUTE(SUBSTITUTE(SUBSTITUTE(SUBSTITUTE(SUBSTITUTE(SUBSTITUTE(SUBSTITUTE(SUBSTITUTE(SUBSTITUTE(SUBSTITUTE(LEFT(MID(TRIM(INDEX(PASTE_ALL,12,51)),1+(LEFT(TRIM(INDEX(PASTE_ALL,12,51)),1)="-"),999),LEN(MID(TRIM(INDEX(PASTE_ALL,12,51)),1+(LEFT(TRIM(INDEX(PASTE_ALL,12,51)),1)="-"),999))-(RIGHT(MID(TRIM(INDEX(PASTE_ALL,12,51)),1+(LEFT(TRIM(INDEX(PASTE_ALL,12,51)),1)="-"),999),1)="%")),"0",""),"1",""),"2",""),"3",""),"4",""),"5",""),"6",""),"7",""),"8",""),"9",""),".",""),",","")=""),2,1))),1)</f>
        <v/>
      </c>
      <c r="BX61">
        <f>IFERROR(IF(ISNUMBER(INDEX(PASTE_ALL,12,52)),2,IF(TRIM(INDEX(PASTE_ALL,12,52))="",0,IF(AND(LEFT(MID(TRIM(INDEX(PASTE_ALL,12,52)),1+(LEFT(TRIM(INDEX(PASTE_ALL,12,52)),1)="-"),999),LEN(MID(TRIM(INDEX(PASTE_ALL,12,52)),1+(LEFT(TRIM(INDEX(PASTE_ALL,12,52)),1)="-"),999))-(RIGHT(MID(TRIM(INDEX(PASTE_ALL,12,52)),1+(LEFT(TRIM(INDEX(PASTE_ALL,12,52)),1)="-"),999),1)="%"))&lt;&gt;"",SUBSTITUTE(SUBSTITUTE(SUBSTITUTE(SUBSTITUTE(SUBSTITUTE(SUBSTITUTE(SUBSTITUTE(SUBSTITUTE(SUBSTITUTE(SUBSTITUTE(SUBSTITUTE(SUBSTITUTE(LEFT(MID(TRIM(INDEX(PASTE_ALL,12,52)),1+(LEFT(TRIM(INDEX(PASTE_ALL,12,52)),1)="-"),999),LEN(MID(TRIM(INDEX(PASTE_ALL,12,52)),1+(LEFT(TRIM(INDEX(PASTE_ALL,12,52)),1)="-"),999))-(RIGHT(MID(TRIM(INDEX(PASTE_ALL,12,52)),1+(LEFT(TRIM(INDEX(PASTE_ALL,12,52)),1)="-"),999),1)="%")),"0",""),"1",""),"2",""),"3",""),"4",""),"5",""),"6",""),"7",""),"8",""),"9",""),".",""),",","")=""),2,1))),1)</f>
        <v/>
      </c>
      <c r="BY61">
        <f>IFERROR(IF(ISNUMBER(INDEX(PASTE_ALL,12,53)),2,IF(TRIM(INDEX(PASTE_ALL,12,53))="",0,IF(AND(LEFT(MID(TRIM(INDEX(PASTE_ALL,12,53)),1+(LEFT(TRIM(INDEX(PASTE_ALL,12,53)),1)="-"),999),LEN(MID(TRIM(INDEX(PASTE_ALL,12,53)),1+(LEFT(TRIM(INDEX(PASTE_ALL,12,53)),1)="-"),999))-(RIGHT(MID(TRIM(INDEX(PASTE_ALL,12,53)),1+(LEFT(TRIM(INDEX(PASTE_ALL,12,53)),1)="-"),999),1)="%"))&lt;&gt;"",SUBSTITUTE(SUBSTITUTE(SUBSTITUTE(SUBSTITUTE(SUBSTITUTE(SUBSTITUTE(SUBSTITUTE(SUBSTITUTE(SUBSTITUTE(SUBSTITUTE(SUBSTITUTE(SUBSTITUTE(LEFT(MID(TRIM(INDEX(PASTE_ALL,12,53)),1+(LEFT(TRIM(INDEX(PASTE_ALL,12,53)),1)="-"),999),LEN(MID(TRIM(INDEX(PASTE_ALL,12,53)),1+(LEFT(TRIM(INDEX(PASTE_ALL,12,53)),1)="-"),999))-(RIGHT(MID(TRIM(INDEX(PASTE_ALL,12,53)),1+(LEFT(TRIM(INDEX(PASTE_ALL,12,53)),1)="-"),999),1)="%")),"0",""),"1",""),"2",""),"3",""),"4",""),"5",""),"6",""),"7",""),"8",""),"9",""),".",""),",","")=""),2,1))),1)</f>
        <v/>
      </c>
      <c r="BZ61">
        <f>IFERROR(IF(ISNUMBER(INDEX(PASTE_ALL,12,54)),2,IF(TRIM(INDEX(PASTE_ALL,12,54))="",0,IF(AND(LEFT(MID(TRIM(INDEX(PASTE_ALL,12,54)),1+(LEFT(TRIM(INDEX(PASTE_ALL,12,54)),1)="-"),999),LEN(MID(TRIM(INDEX(PASTE_ALL,12,54)),1+(LEFT(TRIM(INDEX(PASTE_ALL,12,54)),1)="-"),999))-(RIGHT(MID(TRIM(INDEX(PASTE_ALL,12,54)),1+(LEFT(TRIM(INDEX(PASTE_ALL,12,54)),1)="-"),999),1)="%"))&lt;&gt;"",SUBSTITUTE(SUBSTITUTE(SUBSTITUTE(SUBSTITUTE(SUBSTITUTE(SUBSTITUTE(SUBSTITUTE(SUBSTITUTE(SUBSTITUTE(SUBSTITUTE(SUBSTITUTE(SUBSTITUTE(LEFT(MID(TRIM(INDEX(PASTE_ALL,12,54)),1+(LEFT(TRIM(INDEX(PASTE_ALL,12,54)),1)="-"),999),LEN(MID(TRIM(INDEX(PASTE_ALL,12,54)),1+(LEFT(TRIM(INDEX(PASTE_ALL,12,54)),1)="-"),999))-(RIGHT(MID(TRIM(INDEX(PASTE_ALL,12,54)),1+(LEFT(TRIM(INDEX(PASTE_ALL,12,54)),1)="-"),999),1)="%")),"0",""),"1",""),"2",""),"3",""),"4",""),"5",""),"6",""),"7",""),"8",""),"9",""),".",""),",","")=""),2,1))),1)</f>
        <v/>
      </c>
      <c r="CA61">
        <f>IFERROR(IF(ISNUMBER(INDEX(PASTE_ALL,12,55)),2,IF(TRIM(INDEX(PASTE_ALL,12,55))="",0,IF(AND(LEFT(MID(TRIM(INDEX(PASTE_ALL,12,55)),1+(LEFT(TRIM(INDEX(PASTE_ALL,12,55)),1)="-"),999),LEN(MID(TRIM(INDEX(PASTE_ALL,12,55)),1+(LEFT(TRIM(INDEX(PASTE_ALL,12,55)),1)="-"),999))-(RIGHT(MID(TRIM(INDEX(PASTE_ALL,12,55)),1+(LEFT(TRIM(INDEX(PASTE_ALL,12,55)),1)="-"),999),1)="%"))&lt;&gt;"",SUBSTITUTE(SUBSTITUTE(SUBSTITUTE(SUBSTITUTE(SUBSTITUTE(SUBSTITUTE(SUBSTITUTE(SUBSTITUTE(SUBSTITUTE(SUBSTITUTE(SUBSTITUTE(SUBSTITUTE(LEFT(MID(TRIM(INDEX(PASTE_ALL,12,55)),1+(LEFT(TRIM(INDEX(PASTE_ALL,12,55)),1)="-"),999),LEN(MID(TRIM(INDEX(PASTE_ALL,12,55)),1+(LEFT(TRIM(INDEX(PASTE_ALL,12,55)),1)="-"),999))-(RIGHT(MID(TRIM(INDEX(PASTE_ALL,12,55)),1+(LEFT(TRIM(INDEX(PASTE_ALL,12,55)),1)="-"),999),1)="%")),"0",""),"1",""),"2",""),"3",""),"4",""),"5",""),"6",""),"7",""),"8",""),"9",""),".",""),",","")=""),2,1))),1)</f>
        <v/>
      </c>
      <c r="CB61">
        <f>IFERROR(IF(ISNUMBER(INDEX(PASTE_ALL,12,56)),2,IF(TRIM(INDEX(PASTE_ALL,12,56))="",0,IF(AND(LEFT(MID(TRIM(INDEX(PASTE_ALL,12,56)),1+(LEFT(TRIM(INDEX(PASTE_ALL,12,56)),1)="-"),999),LEN(MID(TRIM(INDEX(PASTE_ALL,12,56)),1+(LEFT(TRIM(INDEX(PASTE_ALL,12,56)),1)="-"),999))-(RIGHT(MID(TRIM(INDEX(PASTE_ALL,12,56)),1+(LEFT(TRIM(INDEX(PASTE_ALL,12,56)),1)="-"),999),1)="%"))&lt;&gt;"",SUBSTITUTE(SUBSTITUTE(SUBSTITUTE(SUBSTITUTE(SUBSTITUTE(SUBSTITUTE(SUBSTITUTE(SUBSTITUTE(SUBSTITUTE(SUBSTITUTE(SUBSTITUTE(SUBSTITUTE(LEFT(MID(TRIM(INDEX(PASTE_ALL,12,56)),1+(LEFT(TRIM(INDEX(PASTE_ALL,12,56)),1)="-"),999),LEN(MID(TRIM(INDEX(PASTE_ALL,12,56)),1+(LEFT(TRIM(INDEX(PASTE_ALL,12,56)),1)="-"),999))-(RIGHT(MID(TRIM(INDEX(PASTE_ALL,12,56)),1+(LEFT(TRIM(INDEX(PASTE_ALL,12,56)),1)="-"),999),1)="%")),"0",""),"1",""),"2",""),"3",""),"4",""),"5",""),"6",""),"7",""),"8",""),"9",""),".",""),",","")=""),2,1))),1)</f>
        <v/>
      </c>
      <c r="CC61">
        <f>IFERROR(IF(ISNUMBER(INDEX(PASTE_ALL,12,57)),2,IF(TRIM(INDEX(PASTE_ALL,12,57))="",0,IF(AND(LEFT(MID(TRIM(INDEX(PASTE_ALL,12,57)),1+(LEFT(TRIM(INDEX(PASTE_ALL,12,57)),1)="-"),999),LEN(MID(TRIM(INDEX(PASTE_ALL,12,57)),1+(LEFT(TRIM(INDEX(PASTE_ALL,12,57)),1)="-"),999))-(RIGHT(MID(TRIM(INDEX(PASTE_ALL,12,57)),1+(LEFT(TRIM(INDEX(PASTE_ALL,12,57)),1)="-"),999),1)="%"))&lt;&gt;"",SUBSTITUTE(SUBSTITUTE(SUBSTITUTE(SUBSTITUTE(SUBSTITUTE(SUBSTITUTE(SUBSTITUTE(SUBSTITUTE(SUBSTITUTE(SUBSTITUTE(SUBSTITUTE(SUBSTITUTE(LEFT(MID(TRIM(INDEX(PASTE_ALL,12,57)),1+(LEFT(TRIM(INDEX(PASTE_ALL,12,57)),1)="-"),999),LEN(MID(TRIM(INDEX(PASTE_ALL,12,57)),1+(LEFT(TRIM(INDEX(PASTE_ALL,12,57)),1)="-"),999))-(RIGHT(MID(TRIM(INDEX(PASTE_ALL,12,57)),1+(LEFT(TRIM(INDEX(PASTE_ALL,12,57)),1)="-"),999),1)="%")),"0",""),"1",""),"2",""),"3",""),"4",""),"5",""),"6",""),"7",""),"8",""),"9",""),".",""),",","")=""),2,1))),1)</f>
        <v/>
      </c>
      <c r="CD61">
        <f>IFERROR(IF(ISNUMBER(INDEX(PASTE_ALL,12,58)),2,IF(TRIM(INDEX(PASTE_ALL,12,58))="",0,IF(AND(LEFT(MID(TRIM(INDEX(PASTE_ALL,12,58)),1+(LEFT(TRIM(INDEX(PASTE_ALL,12,58)),1)="-"),999),LEN(MID(TRIM(INDEX(PASTE_ALL,12,58)),1+(LEFT(TRIM(INDEX(PASTE_ALL,12,58)),1)="-"),999))-(RIGHT(MID(TRIM(INDEX(PASTE_ALL,12,58)),1+(LEFT(TRIM(INDEX(PASTE_ALL,12,58)),1)="-"),999),1)="%"))&lt;&gt;"",SUBSTITUTE(SUBSTITUTE(SUBSTITUTE(SUBSTITUTE(SUBSTITUTE(SUBSTITUTE(SUBSTITUTE(SUBSTITUTE(SUBSTITUTE(SUBSTITUTE(SUBSTITUTE(SUBSTITUTE(LEFT(MID(TRIM(INDEX(PASTE_ALL,12,58)),1+(LEFT(TRIM(INDEX(PASTE_ALL,12,58)),1)="-"),999),LEN(MID(TRIM(INDEX(PASTE_ALL,12,58)),1+(LEFT(TRIM(INDEX(PASTE_ALL,12,58)),1)="-"),999))-(RIGHT(MID(TRIM(INDEX(PASTE_ALL,12,58)),1+(LEFT(TRIM(INDEX(PASTE_ALL,12,58)),1)="-"),999),1)="%")),"0",""),"1",""),"2",""),"3",""),"4",""),"5",""),"6",""),"7",""),"8",""),"9",""),".",""),",","")=""),2,1))),1)</f>
        <v/>
      </c>
      <c r="CE61">
        <f>IFERROR(IF(ISNUMBER(INDEX(PASTE_ALL,12,59)),2,IF(TRIM(INDEX(PASTE_ALL,12,59))="",0,IF(AND(LEFT(MID(TRIM(INDEX(PASTE_ALL,12,59)),1+(LEFT(TRIM(INDEX(PASTE_ALL,12,59)),1)="-"),999),LEN(MID(TRIM(INDEX(PASTE_ALL,12,59)),1+(LEFT(TRIM(INDEX(PASTE_ALL,12,59)),1)="-"),999))-(RIGHT(MID(TRIM(INDEX(PASTE_ALL,12,59)),1+(LEFT(TRIM(INDEX(PASTE_ALL,12,59)),1)="-"),999),1)="%"))&lt;&gt;"",SUBSTITUTE(SUBSTITUTE(SUBSTITUTE(SUBSTITUTE(SUBSTITUTE(SUBSTITUTE(SUBSTITUTE(SUBSTITUTE(SUBSTITUTE(SUBSTITUTE(SUBSTITUTE(SUBSTITUTE(LEFT(MID(TRIM(INDEX(PASTE_ALL,12,59)),1+(LEFT(TRIM(INDEX(PASTE_ALL,12,59)),1)="-"),999),LEN(MID(TRIM(INDEX(PASTE_ALL,12,59)),1+(LEFT(TRIM(INDEX(PASTE_ALL,12,59)),1)="-"),999))-(RIGHT(MID(TRIM(INDEX(PASTE_ALL,12,59)),1+(LEFT(TRIM(INDEX(PASTE_ALL,12,59)),1)="-"),999),1)="%")),"0",""),"1",""),"2",""),"3",""),"4",""),"5",""),"6",""),"7",""),"8",""),"9",""),".",""),",","")=""),2,1))),1)</f>
        <v/>
      </c>
      <c r="CF61">
        <f>IFERROR(IF(ISNUMBER(INDEX(PASTE_ALL,12,60)),2,IF(TRIM(INDEX(PASTE_ALL,12,60))="",0,IF(AND(LEFT(MID(TRIM(INDEX(PASTE_ALL,12,60)),1+(LEFT(TRIM(INDEX(PASTE_ALL,12,60)),1)="-"),999),LEN(MID(TRIM(INDEX(PASTE_ALL,12,60)),1+(LEFT(TRIM(INDEX(PASTE_ALL,12,60)),1)="-"),999))-(RIGHT(MID(TRIM(INDEX(PASTE_ALL,12,60)),1+(LEFT(TRIM(INDEX(PASTE_ALL,12,60)),1)="-"),999),1)="%"))&lt;&gt;"",SUBSTITUTE(SUBSTITUTE(SUBSTITUTE(SUBSTITUTE(SUBSTITUTE(SUBSTITUTE(SUBSTITUTE(SUBSTITUTE(SUBSTITUTE(SUBSTITUTE(SUBSTITUTE(SUBSTITUTE(LEFT(MID(TRIM(INDEX(PASTE_ALL,12,60)),1+(LEFT(TRIM(INDEX(PASTE_ALL,12,60)),1)="-"),999),LEN(MID(TRIM(INDEX(PASTE_ALL,12,60)),1+(LEFT(TRIM(INDEX(PASTE_ALL,12,60)),1)="-"),999))-(RIGHT(MID(TRIM(INDEX(PASTE_ALL,12,60)),1+(LEFT(TRIM(INDEX(PASTE_ALL,12,60)),1)="-"),999),1)="%")),"0",""),"1",""),"2",""),"3",""),"4",""),"5",""),"6",""),"7",""),"8",""),"9",""),".",""),",","")=""),2,1))),1)</f>
        <v/>
      </c>
      <c r="DA61" t="n">
        <v>57</v>
      </c>
      <c r="DB61">
        <f>IF($B$37=0,"",IFERROR(TRIM(SUBSTITUTE(SUBSTITUTE(SUBSTITUTE(SUBSTITUTE(INDEX(PASTE_ALL,57,$B$37)," "," "),CHAR(9)," "),CHAR(10)," "),CHAR(13)," ")),""))</f>
        <v/>
      </c>
      <c r="DC61">
        <f>IF(AND(57&gt;HEADER_ROW,UPPER(DB61)="LEGEND"),1,0)</f>
        <v/>
      </c>
      <c r="DE61" t="n">
        <v>57</v>
      </c>
      <c r="DF61">
        <f>HEADER_ROW+$DE61</f>
        <v/>
      </c>
      <c r="DG61">
        <f>IF(AND($DF61&lt;=1000,$DF61&lt;$B$8),1,0)</f>
        <v/>
      </c>
      <c r="DH61">
        <f>IF($DG61=1,IFERROR(INDEX($DB$5:$DB$1004,$DF61),""),"")</f>
        <v/>
      </c>
      <c r="DI61">
        <f>IF(AND($DG61=1,$DH61&lt;&gt;""),IFERROR(SUBSTITUTE(SUBSTITUTE(TRIM(SUBSTITUTE(SUBSTITUTE(SUBSTITUTE(SUBSTITUTE(IFERROR(INDEX(PASTE_ALL,$DF61,1)&amp;"","")&amp;"␟"&amp;IFERROR(INDEX(PASTE_ALL,$DF61,2)&amp;"","")&amp;"␟"&amp;IFERROR(INDEX(PASTE_ALL,$DF61,3)&amp;"","")&amp;"␟"&amp;IFERROR(INDEX(PASTE_ALL,$DF61,4)&amp;"","")&amp;"␟"&amp;IFERROR(INDEX(PASTE_ALL,$DF61,5)&amp;"","")&amp;"␟"&amp;IFERROR(INDEX(PASTE_ALL,$DF61,6)&amp;"","")&amp;"␟"&amp;IFERROR(INDEX(PASTE_ALL,$DF61,7)&amp;"","")&amp;"␟"&amp;IFERROR(INDEX(PASTE_ALL,$DF61,8)&amp;"","")&amp;"␟"&amp;IFERROR(INDEX(PASTE_ALL,$DF61,9)&amp;"","")&amp;"␟"&amp;IFERROR(INDEX(PASTE_ALL,$DF61,10)&amp;"","")&amp;"␟"&amp;IFERROR(INDEX(PASTE_ALL,$DF61,11)&amp;"","")&amp;"␟"&amp;IFERROR(INDEX(PASTE_ALL,$DF61,12)&amp;"","")&amp;"␟"&amp;IFERROR(INDEX(PASTE_ALL,$DF61,13)&amp;"","")&amp;"␟"&amp;IFERROR(INDEX(PASTE_ALL,$DF61,14)&amp;"","")&amp;"␟"&amp;IFERROR(INDEX(PASTE_ALL,$DF61,15)&amp;"","")&amp;"␟"&amp;IFERROR(INDEX(PASTE_ALL,$DF61,16)&amp;"","")&amp;"␟"&amp;IFERROR(INDEX(PASTE_ALL,$DF61,17)&amp;"","")&amp;"␟"&amp;IFERROR(INDEX(PASTE_ALL,$DF61,18)&amp;"","")&amp;"␟"&amp;IFERROR(INDEX(PASTE_ALL,$DF61,19)&amp;"","")&amp;"␟"&amp;IFERROR(INDEX(PASTE_ALL,$DF61,20)&amp;"","")&amp;"␟"&amp;IFERROR(INDEX(PASTE_ALL,$DF61,21)&amp;"","")&amp;"␟"&amp;IFERROR(INDEX(PASTE_ALL,$DF61,22)&amp;"","")&amp;"␟"&amp;IFERROR(INDEX(PASTE_ALL,$DF61,23)&amp;"","")&amp;"␟"&amp;IFERROR(INDEX(PASTE_ALL,$DF61,24)&amp;"","")&amp;"␟"&amp;IFERROR(INDEX(PASTE_ALL,$DF61,25)&amp;"","")&amp;"␟"&amp;IFERROR(INDEX(PASTE_ALL,$DF61,26)&amp;"","")&amp;"␟"&amp;IFERROR(INDEX(PASTE_ALL,$DF61,27)&amp;"","")&amp;"␟"&amp;IFERROR(INDEX(PASTE_ALL,$DF61,28)&amp;"","")&amp;"␟"&amp;IFERROR(INDEX(PASTE_ALL,$DF61,29)&amp;"","")&amp;"␟"&amp;IFERROR(INDEX(PASTE_ALL,$DF61,30)&amp;"","")&amp;"␟"&amp;IFERROR(INDEX(PASTE_ALL,$DF61,31)&amp;"","")&amp;"␟"&amp;IFERROR(INDEX(PASTE_ALL,$DF61,32)&amp;"","")&amp;"␟"&amp;IFERROR(INDEX(PASTE_ALL,$DF61,33)&amp;"","")&amp;"␟"&amp;IFERROR(INDEX(PASTE_ALL,$DF61,34)&amp;"","")&amp;"␟"&amp;IFERROR(INDEX(PASTE_ALL,$DF61,35)&amp;"","")&amp;"␟"&amp;IFERROR(INDEX(PASTE_ALL,$DF61,36)&amp;"","")&amp;"␟"&amp;IFERROR(INDEX(PASTE_ALL,$DF61,37)&amp;"","")&amp;"␟"&amp;IFERROR(INDEX(PASTE_ALL,$DF61,38)&amp;"","")&amp;"␟"&amp;IFERROR(INDEX(PASTE_ALL,$DF61,39)&amp;"","")&amp;"␟"&amp;IFERROR(INDEX(PASTE_ALL,$DF61,40)&amp;"","")&amp;"␟"&amp;IFERROR(INDEX(PASTE_ALL,$DF61,41)&amp;"","")&amp;"␟"&amp;IFERROR(INDEX(PASTE_ALL,$DF61,42)&amp;"","")&amp;"␟"&amp;IFERROR(INDEX(PASTE_ALL,$DF61,43)&amp;"","")&amp;"␟"&amp;IFERROR(INDEX(PASTE_ALL,$DF61,44)&amp;"","")&amp;"␟"&amp;IFERROR(INDEX(PASTE_ALL,$DF61,45)&amp;"","")&amp;"␟"&amp;IFERROR(INDEX(PASTE_ALL,$DF61,46)&amp;"","")&amp;"␟"&amp;IFERROR(INDEX(PASTE_ALL,$DF61,47)&amp;"","")&amp;"␟"&amp;IFERROR(INDEX(PASTE_ALL,$DF61,48)&amp;"","")&amp;"␟"&amp;IFERROR(INDEX(PASTE_ALL,$DF61,49)&amp;"","")&amp;"␟"&amp;IFERROR(INDEX(PASTE_ALL,$DF61,50)&amp;"","")&amp;"␟"&amp;IFERROR(INDEX(PASTE_ALL,$DF61,51)&amp;"","")&amp;"␟"&amp;IFERROR(INDEX(PASTE_ALL,$DF61,52)&amp;"","")&amp;"␟"&amp;IFERROR(INDEX(PASTE_ALL,$DF61,53)&amp;"","")&amp;"␟"&amp;IFERROR(INDEX(PASTE_ALL,$DF61,54)&amp;"","")&amp;"␟"&amp;IFERROR(INDEX(PASTE_ALL,$DF61,55)&amp;"","")&amp;"␟"&amp;IFERROR(INDEX(PASTE_ALL,$DF61,56)&amp;"","")&amp;"␟"&amp;IFERROR(INDEX(PASTE_ALL,$DF61,57)&amp;"","")&amp;"␟"&amp;IFERROR(INDEX(PASTE_ALL,$DF61,58)&amp;"","")&amp;"␟"&amp;IFERROR(INDEX(PASTE_ALL,$DF61,59)&amp;"","")&amp;"␟"&amp;IFERROR(INDEX(PASTE_ALL,$DF61,60)&amp;"","")," "," "),CHAR(9)," "),CHAR(10)," "),CHAR(13)," "))," ␟","␟"),"␟ ","␟"),"#"&amp;$DE61),"")</f>
        <v/>
      </c>
      <c r="DJ61">
        <f>IF($DI61="",0,IF(SUMPRODUCT(--EXACT($DI$4:DI60,$DI61))&gt;0,1,0))</f>
        <v/>
      </c>
      <c r="DK61">
        <f>IF(AND($DI61&lt;&gt;"",$DJ61=0),1,0)</f>
        <v/>
      </c>
      <c r="DL61">
        <f>DL60+$DK61</f>
        <v/>
      </c>
      <c r="DM61">
        <f>IF(AND($DK61=1,$DL61&lt;=600),1,0)</f>
        <v/>
      </c>
      <c r="DN61">
        <f>IF($DM61=0,"",IF($L$6=0,"",IFERROR(IF(ISNUMBER(INDEX(PASTE_ALL,$DF61,$L$6)),INDEX(PASTE_ALL,$DF61,$L$6),TRIM(SUBSTITUTE(SUBSTITUTE(SUBSTITUTE(SUBSTITUTE(INDEX(PASTE_ALL,$DF61,$L$6)," "," "),CHAR(9)," "),CHAR(10)," "),CHAR(13)," "))),"")))</f>
        <v/>
      </c>
      <c r="DO61">
        <f>IF($DM61=0,"",IF($L$7=0,"",IFERROR(IF(ISNUMBER(INDEX(PASTE_ALL,$DF61,$L$7)),INDEX(PASTE_ALL,$DF61,$L$7),TRIM(SUBSTITUTE(SUBSTITUTE(SUBSTITUTE(SUBSTITUTE(INDEX(PASTE_ALL,$DF61,$L$7)," "," "),CHAR(9)," "),CHAR(10)," "),CHAR(13)," "))),"")))</f>
        <v/>
      </c>
      <c r="DP61">
        <f>IF($DM61=0,"",IF($L$8=0,"",IFERROR(IF(ISNUMBER(INDEX(PASTE_ALL,$DF61,$L$8)),INDEX(PASTE_ALL,$DF61,$L$8),TRIM(SUBSTITUTE(SUBSTITUTE(SUBSTITUTE(SUBSTITUTE(INDEX(PASTE_ALL,$DF61,$L$8)," "," "),CHAR(9)," "),CHAR(10)," "),CHAR(13)," "))),"")))</f>
        <v/>
      </c>
      <c r="DQ61">
        <f>IF($DM61=0,"",IF($L$9=0,"",IFERROR(IF(ISNUMBER(INDEX(PASTE_ALL,$DF61,$L$9)),INDEX(PASTE_ALL,$DF61,$L$9),TRIM(SUBSTITUTE(SUBSTITUTE(SUBSTITUTE(SUBSTITUTE(INDEX(PASTE_ALL,$DF61,$L$9)," "," "),CHAR(9)," "),CHAR(10)," "),CHAR(13)," "))),"")))</f>
        <v/>
      </c>
      <c r="DR61">
        <f>IF($DM61=0,"",IF($L$10=0,"",IFERROR(IF(ISNUMBER(INDEX(PASTE_ALL,$DF61,$L$10)),INDEX(PASTE_ALL,$DF61,$L$10),TRIM(SUBSTITUTE(SUBSTITUTE(SUBSTITUTE(SUBSTITUTE(INDEX(PASTE_ALL,$DF61,$L$10)," "," "),CHAR(9)," "),CHAR(10)," "),CHAR(13)," "))),"")))</f>
        <v/>
      </c>
      <c r="DS61">
        <f>IF($DM61=0,"",IF($L$11=0,"",IFERROR(IF(ISNUMBER(INDEX(PASTE_ALL,$DF61,$L$11)),INDEX(PASTE_ALL,$DF61,$L$11),TRIM(SUBSTITUTE(SUBSTITUTE(SUBSTITUTE(SUBSTITUTE(INDEX(PASTE_ALL,$DF61,$L$11)," "," "),CHAR(9)," "),CHAR(10)," "),CHAR(13)," "))),"")))</f>
        <v/>
      </c>
      <c r="DT61">
        <f>IF($DM61=0,"",IF($L$12=0,"",IFERROR(IF(ISNUMBER(INDEX(PASTE_ALL,$DF61,$L$12)),INDEX(PASTE_ALL,$DF61,$L$12),TRIM(SUBSTITUTE(SUBSTITUTE(SUBSTITUTE(SUBSTITUTE(INDEX(PASTE_ALL,$DF61,$L$12)," "," "),CHAR(9)," "),CHAR(10)," "),CHAR(13)," "))),"")))</f>
        <v/>
      </c>
      <c r="DU61">
        <f>IF($DM61=0,"",IF($L$13=0,"",IFERROR(IF(ISNUMBER(INDEX(PASTE_ALL,$DF61,$L$13)),INDEX(PASTE_ALL,$DF61,$L$13),TRIM(SUBSTITUTE(SUBSTITUTE(SUBSTITUTE(SUBSTITUTE(INDEX(PASTE_ALL,$DF61,$L$13)," "," "),CHAR(9)," "),CHAR(10)," "),CHAR(13)," "))),"")))</f>
        <v/>
      </c>
      <c r="DV61">
        <f>IF($DM61=0,"",IF($L$14=0,"",IFERROR(IF(ISNUMBER(INDEX(PASTE_ALL,$DF61,$L$14)),INDEX(PASTE_ALL,$DF61,$L$14),TRIM(SUBSTITUTE(SUBSTITUTE(SUBSTITUTE(SUBSTITUTE(INDEX(PASTE_ALL,$DF61,$L$14)," "," "),CHAR(9)," "),CHAR(10)," "),CHAR(13)," "))),"")))</f>
        <v/>
      </c>
      <c r="DW61">
        <f>IF($DM61=0,"",IF($L$15=0,"",IFERROR(IF(ISNUMBER(INDEX(PASTE_ALL,$DF61,$L$15)),INDEX(PASTE_ALL,$DF61,$L$15),IF(SUMPRODUCT(--ISNUMBER(FIND({"A","B","C","D","E","F","G","H","I","J","K","L","M","N","O","P","Q","R","S","T","U","V","W","X","Y","Z","0","1","2","3","4","5","6","7","8","9"},UPPER(TRIM(SUBSTITUTE(SUBSTITUTE(SUBSTITUTE(SUBSTITUTE(INDEX(PASTE_ALL,$DF61,$L$15)," "," "),CHAR(9)," "),CHAR(10)," "),CHAR(13)," "))))))&gt;0,TRIM(SUBSTITUTE(SUBSTITUTE(SUBSTITUTE(SUBSTITUTE(INDEX(PASTE_ALL,$DF61,$L$15)," "," "),CHAR(9)," "),CHAR(10)," "),CHAR(13)," ")),"")),"")))</f>
        <v/>
      </c>
      <c r="DX61">
        <f>IF($DM61=0,"",IF($L$16=0,"",IFERROR(IF(ISNUMBER(INDEX(PASTE_ALL,$DF61,$L$16)),INDEX(PASTE_ALL,$DF61,$L$16),SUBSTITUTE(SUBSTITUTE(TRIM(SUBSTITUTE(SUBSTITUTE(SUBSTITUTE(SUBSTITUTE(INDEX(PASTE_ALL,$DF61,$L$16)," "," "),CHAR(9)," "),CHAR(10)," "),CHAR(13)," ")),",",""),"%","")),"")))</f>
        <v/>
      </c>
      <c r="DY61">
        <f>IF($DM61=0,"",IFERROR(IF(ISNUMBER($DX61),$DX61,IF($DX61="","",IF(TRIM($DX61)="",0,IF(AND(AND(SUBSTITUTE(SUBSTITUTE(SUBSTITUTE(SUBSTITUTE(SUBSTITUTE(SUBSTITUTE(SUBSTITUTE(SUBSTITUTE(SUBSTITUTE(SUBSTITUTE(SUBSTITUTE(SUBSTITUTE(SUBSTITUTE(SUBSTITUTE(UPPER(TRIM($DX61)),"0",""),"1",""),"2",""),"3",""),"4",""),"5",""),"6",""),"7",""),"8",""),"9",""),".",""),"+",""),"-",""),"E","")="",LEN(SUBSTITUTE(SUBSTITUTE(MID(UPPER(TRIM($DX61)),1+OR(LEFT(UPPER(TRIM($DX61)),1)="+",LEFT(UPPER(TRIM($DX61)),1)="-"),999),"E+","E"),"E-","E"))=LEN(SUBSTITUTE(SUBSTITUTE(SUBSTITUTE(SUBSTITUTE(MID(UPPER(TRIM($DX61)),1+OR(LEFT(UPPER(TRIM($DX61)),1)="+",LEFT(UPPER(TRIM($DX61)),1)="-"),999),"E+","E"),"E-","E"),"+",""),"-","")),LEN(UPPER(TRIM($DX61)))-LEN(SUBSTITUTE(UPPER(TRIM($DX61)),"E",""))&lt;2,LEN(UPPER(TRIM($DX61)))-LEN(SUBSTITUTE(UPPER(TRIM($DX61)),".",""))&lt;2,IFERROR(FIND(".",UPPER(TRIM($DX61))),0)&lt;IFERROR(FIND("E",UPPER(TRIM($DX61))),999)),ISNUMBER(VALUE(TRIM($DX61)))),VALUE(TRIM($DX61)),"")))),""))</f>
        <v/>
      </c>
      <c r="DZ61">
        <f>IF($DM61=0,"",IF($L$17=0,"",IFERROR(IF(ISNUMBER(INDEX(PASTE_ALL,$DF61,$L$17)),INDEX(PASTE_ALL,$DF61,$L$17),SUBSTITUTE(SUBSTITUTE(TRIM(SUBSTITUTE(SUBSTITUTE(SUBSTITUTE(SUBSTITUTE(INDEX(PASTE_ALL,$DF61,$L$17)," "," "),CHAR(9)," "),CHAR(10)," "),CHAR(13)," ")),",",""),"%","")),"")))</f>
        <v/>
      </c>
      <c r="EA61">
        <f>IF($DM61=0,"",IFERROR(IF(ISNUMBER($DZ61),$DZ61,IF($DZ61="","",IF(TRIM($DZ61)="",0,IF(AND(AND(SUBSTITUTE(SUBSTITUTE(SUBSTITUTE(SUBSTITUTE(SUBSTITUTE(SUBSTITUTE(SUBSTITUTE(SUBSTITUTE(SUBSTITUTE(SUBSTITUTE(SUBSTITUTE(SUBSTITUTE(SUBSTITUTE(SUBSTITUTE(UPPER(TRIM($DZ61)),"0",""),"1",""),"2",""),"3",""),"4",""),"5",""),"6",""),"7",""),"8",""),"9",""),".",""),"+",""),"-",""),"E","")="",LEN(SUBSTITUTE(SUBSTITUTE(MID(UPPER(TRIM($DZ61)),1+OR(LEFT(UPPER(TRIM($DZ61)),1)="+",LEFT(UPPER(TRIM($DZ61)),1)="-"),999),"E+","E"),"E-","E"))=LEN(SUBSTITUTE(SUBSTITUTE(SUBSTITUTE(SUBSTITUTE(MID(UPPER(TRIM($DZ61)),1+OR(LEFT(UPPER(TRIM($DZ61)),1)="+",LEFT(UPPER(TRIM($DZ61)),1)="-"),999),"E+","E"),"E-","E"),"+",""),"-","")),LEN(UPPER(TRIM($DZ61)))-LEN(SUBSTITUTE(UPPER(TRIM($DZ61)),"E",""))&lt;2,LEN(UPPER(TRIM($DZ61)))-LEN(SUBSTITUTE(UPPER(TRIM($DZ61)),".",""))&lt;2,IFERROR(FIND(".",UPPER(TRIM($DZ61))),0)&lt;IFERROR(FIND("E",UPPER(TRIM($DZ61))),999)),ISNUMBER(VALUE(TRIM($DZ61)))),VALUE(TRIM($DZ61)),"")))),""))</f>
        <v/>
      </c>
      <c r="EB61">
        <f>IF($DM61=0,"",IF($L$18=0,"",IFERROR(IF(UPPER(TRIM(SUBSTITUTE(SUBSTITUTE(SUBSTITUTE(SUBSTITUTE(INDEX(PASTE_ALL,$DF61,$L$18)," "," "),CHAR(9)," "),CHAR(10)," "),CHAR(13)," ")))="READY","Ready",IF(UPPER(TRIM(SUBSTITUTE(SUBSTITUTE(SUBSTITUTE(SUBSTITUTE(INDEX(PASTE_ALL,$DF61,$L$18)," "," "),CHAR(9)," "),CHAR(10)," "),CHAR(13)," ")))="PM","PM",IF(OR(UPPER(TRIM(SUBSTITUTE(SUBSTITUTE(SUBSTITUTE(SUBSTITUTE(INDEX(PASTE_ALL,$DF61,$L$18)," "," "),CHAR(9)," "),CHAR(10)," "),CHAR(13)," ")))="OT",UPPER(TRIM(SUBSTITUTE(SUBSTITUTE(SUBSTITUTE(SUBSTITUTE(INDEX(PASTE_ALL,$DF61,$L$18)," "," "),CHAR(9)," "),CHAR(10)," "),CHAR(13)," ")))="OVERTIME",UPPER(TRIM(SUBSTITUTE(SUBSTITUTE(SUBSTITUTE(SUBSTITUTE(INDEX(PASTE_ALL,$DF61,$L$18)," "," "),CHAR(9)," "),CHAR(10)," "),CHAR(13)," ")))="TRIAL"),"OT",TRIM(SUBSTITUTE(SUBSTITUTE(SUBSTITUTE(SUBSTITUTE(INDEX(PASTE_ALL,$DF61,$L$18)," "," "),CHAR(9)," "),CHAR(10)," "),CHAR(13)," "))))),"")))</f>
        <v/>
      </c>
      <c r="EC61">
        <f>IF($DM61=0,"",IF($L$19=0,"",IFERROR(IF(ISNUMBER(INDEX(PASTE_ALL,$DF61,$L$19)),INDEX(PASTE_ALL,$DF61,$L$19),TRIM(SUBSTITUTE(SUBSTITUTE(SUBSTITUTE(SUBSTITUTE(INDEX(PASTE_ALL,$DF61,$L$19)," "," "),CHAR(9)," "),CHAR(10)," "),CHAR(13)," "))),"")))</f>
        <v/>
      </c>
      <c r="ED61">
        <f>IF($DM61=0,"",MATCH(1,INDEX(EXACT($DH$5:DH61,$DH61)*$DM$5:DM61,0),0))</f>
        <v/>
      </c>
      <c r="EE61">
        <f>IF($DM61=0,0,IF($ED61=$DE61,1,0))</f>
        <v/>
      </c>
      <c r="EF61">
        <f>EF60+$EE61</f>
        <v/>
      </c>
      <c r="EG61">
        <f>IF($DM61=0,"",INDEX($EF$5:$EF$1003,$ED61))</f>
        <v/>
      </c>
      <c r="EH61">
        <f>IF($DM61=0,"",IF($DO61&lt;&gt;"","",IFERROR(LOOKUP(2,1/(($EG$4:EG60=$EG61)*($DO$4:DO60&lt;&gt;"")),$DO$4:DO60),"")))</f>
        <v/>
      </c>
      <c r="EI61">
        <f>IF($DM61=0,"",IF($DO61&lt;&gt;"",$DO61,$EH61))</f>
        <v/>
      </c>
      <c r="EJ61">
        <f>IF($DM61=0,"",IF($EI61="",0,IF(OR(ISNUMBER($EI61),AND(AND(SUBSTITUTE(SUBSTITUTE(SUBSTITUTE(SUBSTITUTE(SUBSTITUTE(SUBSTITUTE(SUBSTITUTE(SUBSTITUTE(SUBSTITUTE(SUBSTITUTE(SUBSTITUTE(SUBSTITUTE(SUBSTITUTE(SUBSTITUTE(UPPER($EI61),"0",""),"1",""),"2",""),"3",""),"4",""),"5",""),"6",""),"7",""),"8",""),"9",""),".",""),"+",""),"-",""),"E","")="",LEN(SUBSTITUTE(SUBSTITUTE(MID(UPPER($EI61),1+OR(LEFT(UPPER($EI61),1)="+",LEFT(UPPER($EI61),1)="-"),999),"E+","E"),"E-","E"))=LEN(SUBSTITUTE(SUBSTITUTE(SUBSTITUTE(SUBSTITUTE(MID(UPPER($EI61),1+OR(LEFT(UPPER($EI61),1)="+",LEFT(UPPER($EI61),1)="-"),999),"E+","E"),"E-","E"),"+",""),"-","")),LEN(UPPER($EI61))-LEN(SUBSTITUTE(UPPER($EI61),"E",""))&lt;2,LEN(UPPER($EI61))-LEN(SUBSTITUTE(UPPER($EI61),".",""))&lt;2,IFERROR(FIND(".",UPPER($EI61)),0)&lt;IFERROR(FIND("E",UPPER($EI61)),999)),ISNUMBER(VALUE($EI61)))),1,2)))</f>
        <v/>
      </c>
      <c r="EK61">
        <f>IF($DM61=0,"",IF($EJ61=1,IF(ISNUMBER($EI61),$EI61,VALUE($EI61)),IF($EJ61=2,$DE61,0)))</f>
        <v/>
      </c>
      <c r="EL61">
        <f>IF($DM61=0,"",COUNTIF($EG$5:$EG$1003,"&lt;"&amp;$EG61)+SUMPRODUCT(($EG$5:$EG$1003=$EG61)*(($EJ$5:$EJ$1003&lt;$EJ61)+($EJ$5:$EJ$1003=$EJ61)*(($EK$5:$EK$1003&lt;$EK61)+($EK$5:$EK$1003=$EK61)*($DE$5:$DE$1003&lt;$DE61))))+1)</f>
        <v/>
      </c>
      <c r="EM61">
        <f>IF($DM61=0,"",$EL61+$EG61-1)</f>
        <v/>
      </c>
      <c r="EN61">
        <f>IF($DM61=0,0,IFERROR(MATCH(1,INDEX(--(TRIM(SUBSTITUTE(SUBSTITUTE(SUBSTITUTE(SUBSTITUTE(LINES_NAME&amp;""," "," "),CHAR(9)," "),CHAR(10)," "),CHAR(13)," "))=$DH61),0),0),0))</f>
        <v/>
      </c>
      <c r="EO61">
        <f>IF($EN61=0,0,IF(OR(UPPER(TRIM(INDEX(LINES_SCHEDULED,$EN61)&amp;""))="YES",UPPER(TRIM(INDEX(LINES_SCHEDULED,$EN61)&amp;""))="Y",UPPER(TRIM(INDEX(LINES_SCHEDULED,$EN61)&amp;""))="X"),1,0))</f>
        <v/>
      </c>
      <c r="EP61">
        <f>IF($DM61=0,"",IF(COUNTIFS($EG$5:$EG$1003,$EG61,$EB$5:$EB$1003,"Ready")&gt;0,"READY",IF(COUNTIFS($EG$5:$EG$1003,$EG61,$EB$5:$EB$1003,"PM")&gt;0,"PM",IF(COUNTIFS($EG$5:$EG$1003,$EG61,$EB$5:$EB$1003,"OT")&gt;0,"OT",""))))</f>
        <v/>
      </c>
      <c r="EQ61">
        <f>IF($EN61=0,"",UPPER(TRIM(INDEX(LINES_STATUS,$EN61)&amp;"")))</f>
        <v/>
      </c>
      <c r="ER61">
        <f>IF($DM61=0,"",IF(OR($EQ61="READY",$EQ61="PM",$EQ61="OT"),$EQ61,$EP61))</f>
        <v/>
      </c>
      <c r="ES61">
        <f>IF($DM61=0,"",IF(AND($DV61&lt;&gt;"",UPPER($DV61)&lt;&gt;"N"),"allergen",IF(ISNUMBER(SEARCH("oil",$DQ61)),"oil",IF(OR(EXACT($DS61,"A662"),EXACT($DS61,"A624")),"bulk",""))))</f>
        <v/>
      </c>
      <c r="ET61">
        <f>IF($DM61=0,"",IF(OR($EA61="",$EA61=0),"",$EA61/100))</f>
        <v/>
      </c>
      <c r="EU61">
        <f>IF(OR($ET61="",$DY61=""),"",INT($DY61*(1-$ET61)+0.5))</f>
        <v/>
      </c>
      <c r="EW61" t="n">
        <v>57</v>
      </c>
      <c r="EX61">
        <f>IFERROR(MATCH($EW61,$EM$5:$EM$1003,0),0)</f>
        <v/>
      </c>
      <c r="EY61">
        <f>IF($EW61&gt;$B$12,"",IF($EX61&gt;0,"row","spacer"))</f>
        <v/>
      </c>
      <c r="EZ61">
        <f>IF(AND($EY61="row",$EY60&lt;&gt;"row"),1,0)</f>
        <v/>
      </c>
      <c r="FA61">
        <f>IF(AND($EY61="row",$EY62&lt;&gt;"row"),1,0)</f>
        <v/>
      </c>
      <c r="FB61">
        <f>IF($EZ61=1,IFERROR(IF(ISNUMBER(INDEX(PASTE_ALL,INDEX($DF$5:$DF$1003,$EX61),$B$37)),INDEX(PASTE_ALL,INDEX($DF$5:$DF$1003,$EX61),$B$37),INDEX($DH$5:$DH$1003,$EX61)),INDEX($DH$5:$DH$1003,$EX61)),"")</f>
        <v/>
      </c>
      <c r="FC61">
        <f>IF($EY61="row",INDEX($ER$5:$ER$1003,$EX61),"")</f>
        <v/>
      </c>
      <c r="FD61">
        <f>IF($EY61="row",INDEX($DN$5:$DN$1003,$EX61),"")</f>
        <v/>
      </c>
      <c r="FE61">
        <f>IF($EY61="row",INDEX($DO$5:$DO$1003,$EX61),"")</f>
        <v/>
      </c>
      <c r="FF61">
        <f>IF($EY61="row",INDEX($DP$5:$DP$1003,$EX61),"")</f>
        <v/>
      </c>
      <c r="FG61">
        <f>IF($EY61="row",INDEX($DQ$5:$DQ$1003,$EX61),"")</f>
        <v/>
      </c>
      <c r="FH61">
        <f>IF($EY61="row",INDEX($DR$5:$DR$1003,$EX61),"")</f>
        <v/>
      </c>
      <c r="FI61">
        <f>IF($EY61="row",INDEX($DS$5:$DS$1003,$EX61),"")</f>
        <v/>
      </c>
      <c r="FJ61">
        <f>IF($EY61="row",INDEX($DT$5:$DT$1003,$EX61),"")</f>
        <v/>
      </c>
      <c r="FK61">
        <f>IF($EY61="row",INDEX($DU$5:$DU$1003,$EX61),"")</f>
        <v/>
      </c>
      <c r="FL61">
        <f>IF($EY61="row",INDEX($DV$5:$DV$1003,$EX61),"")</f>
        <v/>
      </c>
      <c r="FM61">
        <f>IF($EY61="row",INDEX($DW$5:$DW$1003,$EX61),"")</f>
        <v/>
      </c>
      <c r="FN61">
        <f>IF($EY61="row",INDEX($DY$5:$DY$1003,$EX61),"")</f>
        <v/>
      </c>
      <c r="FO61">
        <f>IF($EY61="row",INDEX($EA$5:$EA$1003,$EX61),"")</f>
        <v/>
      </c>
      <c r="FP61">
        <f>IF($EY61="row",INDEX($EC$5:$EC$1003,$EX61),"")</f>
        <v/>
      </c>
      <c r="FQ61">
        <f>IF($EY61="row",INDEX($ET$5:$ET$1003,$EX61),"")</f>
        <v/>
      </c>
      <c r="FR61">
        <f>IF($EY61="row",INDEX($EU$5:$EU$1003,$EX61),"")</f>
        <v/>
      </c>
      <c r="FS61">
        <f>IF(AND($EY61="row",$EY60="row"),IF(OR(INDEX($DT$5:$DT$1003,$EX60)="",INDEX($DT$5:$DT$1003,$EX61)=""),"",IF(NOT(EXACT(INDEX($DT$5:$DT$1003,$EX60),INDEX($DT$5:$DT$1003,$EX61))),"S4",IF(NOT(EXACT(INDEX($DS$5:$DS$1003,$EX60),INDEX($DS$5:$DS$1003,$EX61))),"S3",IF(NOT(EXACT(INDEX($DR$5:$DR$1003,$EX60),INDEX($DR$5:$DR$1003,$EX61))),"S1 Count Change","S1")))),"")</f>
        <v/>
      </c>
      <c r="FT61">
        <f>IF($EY61="row",INDEX($ES$5:$ES$1003,$EX61),"")</f>
        <v/>
      </c>
      <c r="FU61">
        <f>IF($EY61="row",INDEX($EO$5:$EO$1003,$EX61),0)</f>
        <v/>
      </c>
      <c r="FV61">
        <f>IF($FS61="S1 Count Change",1,0)</f>
        <v/>
      </c>
      <c r="FX61" t="n">
        <v>57</v>
      </c>
      <c r="FY61">
        <f>IFERROR(MATCH($FX61,$EF$5:$EF$1003,0),0)</f>
        <v/>
      </c>
      <c r="FZ61">
        <f>IF($FY61=0,"",INDEX($DH$5:$DH$1003,$FY61))</f>
        <v/>
      </c>
      <c r="GA61">
        <f>IF($FY61=0,"",COUNTIF($EG$5:$EG$1003,$FX61))</f>
        <v/>
      </c>
      <c r="GB61">
        <f>IF($FY61=0,"",INDEX($ER$5:$ER$1003,$FY61))</f>
        <v/>
      </c>
      <c r="GC61">
        <f>IF($FY61=0,"",IF(INDEX($EO$5:$EO$1003,$FY61)=1,"Yes",""))</f>
        <v/>
      </c>
      <c r="GD61">
        <f>IF($FY61=0,"",IF(INDEX($EN$5:$EN$1003,$FY61)&gt;0,"","NOT IN YOUR LIST - type it in column A to tick it"))</f>
        <v/>
      </c>
      <c r="GE61">
        <f>IF(AND($FY61&gt;0,$GD61&lt;&gt;""),1,0)</f>
        <v/>
      </c>
      <c r="GF61">
        <f>GF60+$GE61</f>
        <v/>
      </c>
      <c r="GG61">
        <f>IFERROR(INDEX($FZ$5:$FZ$104,MATCH($FX61,$GF$5:$GF$104,0)),"")</f>
        <v/>
      </c>
    </row>
    <row r="62">
      <c r="S62" t="n">
        <v>58</v>
      </c>
      <c r="T62" t="inlineStr">
        <is>
          <t>BF</t>
        </is>
      </c>
      <c r="V62" t="inlineStr">
        <is>
          <t>ALLERGENS</t>
        </is>
      </c>
      <c r="W62" t="n">
        <v>10</v>
      </c>
      <c r="Y62">
        <f>IFERROR(IF(ISNUMBER(INDEX(PASTE_ALL,13,1)),2,IF(TRIM(INDEX(PASTE_ALL,13,1))="",0,IF(AND(LEFT(MID(TRIM(INDEX(PASTE_ALL,13,1)),1+(LEFT(TRIM(INDEX(PASTE_ALL,13,1)),1)="-"),999),LEN(MID(TRIM(INDEX(PASTE_ALL,13,1)),1+(LEFT(TRIM(INDEX(PASTE_ALL,13,1)),1)="-"),999))-(RIGHT(MID(TRIM(INDEX(PASTE_ALL,13,1)),1+(LEFT(TRIM(INDEX(PASTE_ALL,13,1)),1)="-"),999),1)="%"))&lt;&gt;"",SUBSTITUTE(SUBSTITUTE(SUBSTITUTE(SUBSTITUTE(SUBSTITUTE(SUBSTITUTE(SUBSTITUTE(SUBSTITUTE(SUBSTITUTE(SUBSTITUTE(SUBSTITUTE(SUBSTITUTE(LEFT(MID(TRIM(INDEX(PASTE_ALL,13,1)),1+(LEFT(TRIM(INDEX(PASTE_ALL,13,1)),1)="-"),999),LEN(MID(TRIM(INDEX(PASTE_ALL,13,1)),1+(LEFT(TRIM(INDEX(PASTE_ALL,13,1)),1)="-"),999))-(RIGHT(MID(TRIM(INDEX(PASTE_ALL,13,1)),1+(LEFT(TRIM(INDEX(PASTE_ALL,13,1)),1)="-"),999),1)="%")),"0",""),"1",""),"2",""),"3",""),"4",""),"5",""),"6",""),"7",""),"8",""),"9",""),".",""),",","")=""),2,1))),1)</f>
        <v/>
      </c>
      <c r="Z62">
        <f>IFERROR(IF(ISNUMBER(INDEX(PASTE_ALL,13,2)),2,IF(TRIM(INDEX(PASTE_ALL,13,2))="",0,IF(AND(LEFT(MID(TRIM(INDEX(PASTE_ALL,13,2)),1+(LEFT(TRIM(INDEX(PASTE_ALL,13,2)),1)="-"),999),LEN(MID(TRIM(INDEX(PASTE_ALL,13,2)),1+(LEFT(TRIM(INDEX(PASTE_ALL,13,2)),1)="-"),999))-(RIGHT(MID(TRIM(INDEX(PASTE_ALL,13,2)),1+(LEFT(TRIM(INDEX(PASTE_ALL,13,2)),1)="-"),999),1)="%"))&lt;&gt;"",SUBSTITUTE(SUBSTITUTE(SUBSTITUTE(SUBSTITUTE(SUBSTITUTE(SUBSTITUTE(SUBSTITUTE(SUBSTITUTE(SUBSTITUTE(SUBSTITUTE(SUBSTITUTE(SUBSTITUTE(LEFT(MID(TRIM(INDEX(PASTE_ALL,13,2)),1+(LEFT(TRIM(INDEX(PASTE_ALL,13,2)),1)="-"),999),LEN(MID(TRIM(INDEX(PASTE_ALL,13,2)),1+(LEFT(TRIM(INDEX(PASTE_ALL,13,2)),1)="-"),999))-(RIGHT(MID(TRIM(INDEX(PASTE_ALL,13,2)),1+(LEFT(TRIM(INDEX(PASTE_ALL,13,2)),1)="-"),999),1)="%")),"0",""),"1",""),"2",""),"3",""),"4",""),"5",""),"6",""),"7",""),"8",""),"9",""),".",""),",","")=""),2,1))),1)</f>
        <v/>
      </c>
      <c r="AA62">
        <f>IFERROR(IF(ISNUMBER(INDEX(PASTE_ALL,13,3)),2,IF(TRIM(INDEX(PASTE_ALL,13,3))="",0,IF(AND(LEFT(MID(TRIM(INDEX(PASTE_ALL,13,3)),1+(LEFT(TRIM(INDEX(PASTE_ALL,13,3)),1)="-"),999),LEN(MID(TRIM(INDEX(PASTE_ALL,13,3)),1+(LEFT(TRIM(INDEX(PASTE_ALL,13,3)),1)="-"),999))-(RIGHT(MID(TRIM(INDEX(PASTE_ALL,13,3)),1+(LEFT(TRIM(INDEX(PASTE_ALL,13,3)),1)="-"),999),1)="%"))&lt;&gt;"",SUBSTITUTE(SUBSTITUTE(SUBSTITUTE(SUBSTITUTE(SUBSTITUTE(SUBSTITUTE(SUBSTITUTE(SUBSTITUTE(SUBSTITUTE(SUBSTITUTE(SUBSTITUTE(SUBSTITUTE(LEFT(MID(TRIM(INDEX(PASTE_ALL,13,3)),1+(LEFT(TRIM(INDEX(PASTE_ALL,13,3)),1)="-"),999),LEN(MID(TRIM(INDEX(PASTE_ALL,13,3)),1+(LEFT(TRIM(INDEX(PASTE_ALL,13,3)),1)="-"),999))-(RIGHT(MID(TRIM(INDEX(PASTE_ALL,13,3)),1+(LEFT(TRIM(INDEX(PASTE_ALL,13,3)),1)="-"),999),1)="%")),"0",""),"1",""),"2",""),"3",""),"4",""),"5",""),"6",""),"7",""),"8",""),"9",""),".",""),",","")=""),2,1))),1)</f>
        <v/>
      </c>
      <c r="AB62">
        <f>IFERROR(IF(ISNUMBER(INDEX(PASTE_ALL,13,4)),2,IF(TRIM(INDEX(PASTE_ALL,13,4))="",0,IF(AND(LEFT(MID(TRIM(INDEX(PASTE_ALL,13,4)),1+(LEFT(TRIM(INDEX(PASTE_ALL,13,4)),1)="-"),999),LEN(MID(TRIM(INDEX(PASTE_ALL,13,4)),1+(LEFT(TRIM(INDEX(PASTE_ALL,13,4)),1)="-"),999))-(RIGHT(MID(TRIM(INDEX(PASTE_ALL,13,4)),1+(LEFT(TRIM(INDEX(PASTE_ALL,13,4)),1)="-"),999),1)="%"))&lt;&gt;"",SUBSTITUTE(SUBSTITUTE(SUBSTITUTE(SUBSTITUTE(SUBSTITUTE(SUBSTITUTE(SUBSTITUTE(SUBSTITUTE(SUBSTITUTE(SUBSTITUTE(SUBSTITUTE(SUBSTITUTE(LEFT(MID(TRIM(INDEX(PASTE_ALL,13,4)),1+(LEFT(TRIM(INDEX(PASTE_ALL,13,4)),1)="-"),999),LEN(MID(TRIM(INDEX(PASTE_ALL,13,4)),1+(LEFT(TRIM(INDEX(PASTE_ALL,13,4)),1)="-"),999))-(RIGHT(MID(TRIM(INDEX(PASTE_ALL,13,4)),1+(LEFT(TRIM(INDEX(PASTE_ALL,13,4)),1)="-"),999),1)="%")),"0",""),"1",""),"2",""),"3",""),"4",""),"5",""),"6",""),"7",""),"8",""),"9",""),".",""),",","")=""),2,1))),1)</f>
        <v/>
      </c>
      <c r="AC62">
        <f>IFERROR(IF(ISNUMBER(INDEX(PASTE_ALL,13,5)),2,IF(TRIM(INDEX(PASTE_ALL,13,5))="",0,IF(AND(LEFT(MID(TRIM(INDEX(PASTE_ALL,13,5)),1+(LEFT(TRIM(INDEX(PASTE_ALL,13,5)),1)="-"),999),LEN(MID(TRIM(INDEX(PASTE_ALL,13,5)),1+(LEFT(TRIM(INDEX(PASTE_ALL,13,5)),1)="-"),999))-(RIGHT(MID(TRIM(INDEX(PASTE_ALL,13,5)),1+(LEFT(TRIM(INDEX(PASTE_ALL,13,5)),1)="-"),999),1)="%"))&lt;&gt;"",SUBSTITUTE(SUBSTITUTE(SUBSTITUTE(SUBSTITUTE(SUBSTITUTE(SUBSTITUTE(SUBSTITUTE(SUBSTITUTE(SUBSTITUTE(SUBSTITUTE(SUBSTITUTE(SUBSTITUTE(LEFT(MID(TRIM(INDEX(PASTE_ALL,13,5)),1+(LEFT(TRIM(INDEX(PASTE_ALL,13,5)),1)="-"),999),LEN(MID(TRIM(INDEX(PASTE_ALL,13,5)),1+(LEFT(TRIM(INDEX(PASTE_ALL,13,5)),1)="-"),999))-(RIGHT(MID(TRIM(INDEX(PASTE_ALL,13,5)),1+(LEFT(TRIM(INDEX(PASTE_ALL,13,5)),1)="-"),999),1)="%")),"0",""),"1",""),"2",""),"3",""),"4",""),"5",""),"6",""),"7",""),"8",""),"9",""),".",""),",","")=""),2,1))),1)</f>
        <v/>
      </c>
      <c r="AD62">
        <f>IFERROR(IF(ISNUMBER(INDEX(PASTE_ALL,13,6)),2,IF(TRIM(INDEX(PASTE_ALL,13,6))="",0,IF(AND(LEFT(MID(TRIM(INDEX(PASTE_ALL,13,6)),1+(LEFT(TRIM(INDEX(PASTE_ALL,13,6)),1)="-"),999),LEN(MID(TRIM(INDEX(PASTE_ALL,13,6)),1+(LEFT(TRIM(INDEX(PASTE_ALL,13,6)),1)="-"),999))-(RIGHT(MID(TRIM(INDEX(PASTE_ALL,13,6)),1+(LEFT(TRIM(INDEX(PASTE_ALL,13,6)),1)="-"),999),1)="%"))&lt;&gt;"",SUBSTITUTE(SUBSTITUTE(SUBSTITUTE(SUBSTITUTE(SUBSTITUTE(SUBSTITUTE(SUBSTITUTE(SUBSTITUTE(SUBSTITUTE(SUBSTITUTE(SUBSTITUTE(SUBSTITUTE(LEFT(MID(TRIM(INDEX(PASTE_ALL,13,6)),1+(LEFT(TRIM(INDEX(PASTE_ALL,13,6)),1)="-"),999),LEN(MID(TRIM(INDEX(PASTE_ALL,13,6)),1+(LEFT(TRIM(INDEX(PASTE_ALL,13,6)),1)="-"),999))-(RIGHT(MID(TRIM(INDEX(PASTE_ALL,13,6)),1+(LEFT(TRIM(INDEX(PASTE_ALL,13,6)),1)="-"),999),1)="%")),"0",""),"1",""),"2",""),"3",""),"4",""),"5",""),"6",""),"7",""),"8",""),"9",""),".",""),",","")=""),2,1))),1)</f>
        <v/>
      </c>
      <c r="AE62">
        <f>IFERROR(IF(ISNUMBER(INDEX(PASTE_ALL,13,7)),2,IF(TRIM(INDEX(PASTE_ALL,13,7))="",0,IF(AND(LEFT(MID(TRIM(INDEX(PASTE_ALL,13,7)),1+(LEFT(TRIM(INDEX(PASTE_ALL,13,7)),1)="-"),999),LEN(MID(TRIM(INDEX(PASTE_ALL,13,7)),1+(LEFT(TRIM(INDEX(PASTE_ALL,13,7)),1)="-"),999))-(RIGHT(MID(TRIM(INDEX(PASTE_ALL,13,7)),1+(LEFT(TRIM(INDEX(PASTE_ALL,13,7)),1)="-"),999),1)="%"))&lt;&gt;"",SUBSTITUTE(SUBSTITUTE(SUBSTITUTE(SUBSTITUTE(SUBSTITUTE(SUBSTITUTE(SUBSTITUTE(SUBSTITUTE(SUBSTITUTE(SUBSTITUTE(SUBSTITUTE(SUBSTITUTE(LEFT(MID(TRIM(INDEX(PASTE_ALL,13,7)),1+(LEFT(TRIM(INDEX(PASTE_ALL,13,7)),1)="-"),999),LEN(MID(TRIM(INDEX(PASTE_ALL,13,7)),1+(LEFT(TRIM(INDEX(PASTE_ALL,13,7)),1)="-"),999))-(RIGHT(MID(TRIM(INDEX(PASTE_ALL,13,7)),1+(LEFT(TRIM(INDEX(PASTE_ALL,13,7)),1)="-"),999),1)="%")),"0",""),"1",""),"2",""),"3",""),"4",""),"5",""),"6",""),"7",""),"8",""),"9",""),".",""),",","")=""),2,1))),1)</f>
        <v/>
      </c>
      <c r="AF62">
        <f>IFERROR(IF(ISNUMBER(INDEX(PASTE_ALL,13,8)),2,IF(TRIM(INDEX(PASTE_ALL,13,8))="",0,IF(AND(LEFT(MID(TRIM(INDEX(PASTE_ALL,13,8)),1+(LEFT(TRIM(INDEX(PASTE_ALL,13,8)),1)="-"),999),LEN(MID(TRIM(INDEX(PASTE_ALL,13,8)),1+(LEFT(TRIM(INDEX(PASTE_ALL,13,8)),1)="-"),999))-(RIGHT(MID(TRIM(INDEX(PASTE_ALL,13,8)),1+(LEFT(TRIM(INDEX(PASTE_ALL,13,8)),1)="-"),999),1)="%"))&lt;&gt;"",SUBSTITUTE(SUBSTITUTE(SUBSTITUTE(SUBSTITUTE(SUBSTITUTE(SUBSTITUTE(SUBSTITUTE(SUBSTITUTE(SUBSTITUTE(SUBSTITUTE(SUBSTITUTE(SUBSTITUTE(LEFT(MID(TRIM(INDEX(PASTE_ALL,13,8)),1+(LEFT(TRIM(INDEX(PASTE_ALL,13,8)),1)="-"),999),LEN(MID(TRIM(INDEX(PASTE_ALL,13,8)),1+(LEFT(TRIM(INDEX(PASTE_ALL,13,8)),1)="-"),999))-(RIGHT(MID(TRIM(INDEX(PASTE_ALL,13,8)),1+(LEFT(TRIM(INDEX(PASTE_ALL,13,8)),1)="-"),999),1)="%")),"0",""),"1",""),"2",""),"3",""),"4",""),"5",""),"6",""),"7",""),"8",""),"9",""),".",""),",","")=""),2,1))),1)</f>
        <v/>
      </c>
      <c r="AG62">
        <f>IFERROR(IF(ISNUMBER(INDEX(PASTE_ALL,13,9)),2,IF(TRIM(INDEX(PASTE_ALL,13,9))="",0,IF(AND(LEFT(MID(TRIM(INDEX(PASTE_ALL,13,9)),1+(LEFT(TRIM(INDEX(PASTE_ALL,13,9)),1)="-"),999),LEN(MID(TRIM(INDEX(PASTE_ALL,13,9)),1+(LEFT(TRIM(INDEX(PASTE_ALL,13,9)),1)="-"),999))-(RIGHT(MID(TRIM(INDEX(PASTE_ALL,13,9)),1+(LEFT(TRIM(INDEX(PASTE_ALL,13,9)),1)="-"),999),1)="%"))&lt;&gt;"",SUBSTITUTE(SUBSTITUTE(SUBSTITUTE(SUBSTITUTE(SUBSTITUTE(SUBSTITUTE(SUBSTITUTE(SUBSTITUTE(SUBSTITUTE(SUBSTITUTE(SUBSTITUTE(SUBSTITUTE(LEFT(MID(TRIM(INDEX(PASTE_ALL,13,9)),1+(LEFT(TRIM(INDEX(PASTE_ALL,13,9)),1)="-"),999),LEN(MID(TRIM(INDEX(PASTE_ALL,13,9)),1+(LEFT(TRIM(INDEX(PASTE_ALL,13,9)),1)="-"),999))-(RIGHT(MID(TRIM(INDEX(PASTE_ALL,13,9)),1+(LEFT(TRIM(INDEX(PASTE_ALL,13,9)),1)="-"),999),1)="%")),"0",""),"1",""),"2",""),"3",""),"4",""),"5",""),"6",""),"7",""),"8",""),"9",""),".",""),",","")=""),2,1))),1)</f>
        <v/>
      </c>
      <c r="AH62">
        <f>IFERROR(IF(ISNUMBER(INDEX(PASTE_ALL,13,10)),2,IF(TRIM(INDEX(PASTE_ALL,13,10))="",0,IF(AND(LEFT(MID(TRIM(INDEX(PASTE_ALL,13,10)),1+(LEFT(TRIM(INDEX(PASTE_ALL,13,10)),1)="-"),999),LEN(MID(TRIM(INDEX(PASTE_ALL,13,10)),1+(LEFT(TRIM(INDEX(PASTE_ALL,13,10)),1)="-"),999))-(RIGHT(MID(TRIM(INDEX(PASTE_ALL,13,10)),1+(LEFT(TRIM(INDEX(PASTE_ALL,13,10)),1)="-"),999),1)="%"))&lt;&gt;"",SUBSTITUTE(SUBSTITUTE(SUBSTITUTE(SUBSTITUTE(SUBSTITUTE(SUBSTITUTE(SUBSTITUTE(SUBSTITUTE(SUBSTITUTE(SUBSTITUTE(SUBSTITUTE(SUBSTITUTE(LEFT(MID(TRIM(INDEX(PASTE_ALL,13,10)),1+(LEFT(TRIM(INDEX(PASTE_ALL,13,10)),1)="-"),999),LEN(MID(TRIM(INDEX(PASTE_ALL,13,10)),1+(LEFT(TRIM(INDEX(PASTE_ALL,13,10)),1)="-"),999))-(RIGHT(MID(TRIM(INDEX(PASTE_ALL,13,10)),1+(LEFT(TRIM(INDEX(PASTE_ALL,13,10)),1)="-"),999),1)="%")),"0",""),"1",""),"2",""),"3",""),"4",""),"5",""),"6",""),"7",""),"8",""),"9",""),".",""),",","")=""),2,1))),1)</f>
        <v/>
      </c>
      <c r="AI62">
        <f>IFERROR(IF(ISNUMBER(INDEX(PASTE_ALL,13,11)),2,IF(TRIM(INDEX(PASTE_ALL,13,11))="",0,IF(AND(LEFT(MID(TRIM(INDEX(PASTE_ALL,13,11)),1+(LEFT(TRIM(INDEX(PASTE_ALL,13,11)),1)="-"),999),LEN(MID(TRIM(INDEX(PASTE_ALL,13,11)),1+(LEFT(TRIM(INDEX(PASTE_ALL,13,11)),1)="-"),999))-(RIGHT(MID(TRIM(INDEX(PASTE_ALL,13,11)),1+(LEFT(TRIM(INDEX(PASTE_ALL,13,11)),1)="-"),999),1)="%"))&lt;&gt;"",SUBSTITUTE(SUBSTITUTE(SUBSTITUTE(SUBSTITUTE(SUBSTITUTE(SUBSTITUTE(SUBSTITUTE(SUBSTITUTE(SUBSTITUTE(SUBSTITUTE(SUBSTITUTE(SUBSTITUTE(LEFT(MID(TRIM(INDEX(PASTE_ALL,13,11)),1+(LEFT(TRIM(INDEX(PASTE_ALL,13,11)),1)="-"),999),LEN(MID(TRIM(INDEX(PASTE_ALL,13,11)),1+(LEFT(TRIM(INDEX(PASTE_ALL,13,11)),1)="-"),999))-(RIGHT(MID(TRIM(INDEX(PASTE_ALL,13,11)),1+(LEFT(TRIM(INDEX(PASTE_ALL,13,11)),1)="-"),999),1)="%")),"0",""),"1",""),"2",""),"3",""),"4",""),"5",""),"6",""),"7",""),"8",""),"9",""),".",""),",","")=""),2,1))),1)</f>
        <v/>
      </c>
      <c r="AJ62">
        <f>IFERROR(IF(ISNUMBER(INDEX(PASTE_ALL,13,12)),2,IF(TRIM(INDEX(PASTE_ALL,13,12))="",0,IF(AND(LEFT(MID(TRIM(INDEX(PASTE_ALL,13,12)),1+(LEFT(TRIM(INDEX(PASTE_ALL,13,12)),1)="-"),999),LEN(MID(TRIM(INDEX(PASTE_ALL,13,12)),1+(LEFT(TRIM(INDEX(PASTE_ALL,13,12)),1)="-"),999))-(RIGHT(MID(TRIM(INDEX(PASTE_ALL,13,12)),1+(LEFT(TRIM(INDEX(PASTE_ALL,13,12)),1)="-"),999),1)="%"))&lt;&gt;"",SUBSTITUTE(SUBSTITUTE(SUBSTITUTE(SUBSTITUTE(SUBSTITUTE(SUBSTITUTE(SUBSTITUTE(SUBSTITUTE(SUBSTITUTE(SUBSTITUTE(SUBSTITUTE(SUBSTITUTE(LEFT(MID(TRIM(INDEX(PASTE_ALL,13,12)),1+(LEFT(TRIM(INDEX(PASTE_ALL,13,12)),1)="-"),999),LEN(MID(TRIM(INDEX(PASTE_ALL,13,12)),1+(LEFT(TRIM(INDEX(PASTE_ALL,13,12)),1)="-"),999))-(RIGHT(MID(TRIM(INDEX(PASTE_ALL,13,12)),1+(LEFT(TRIM(INDEX(PASTE_ALL,13,12)),1)="-"),999),1)="%")),"0",""),"1",""),"2",""),"3",""),"4",""),"5",""),"6",""),"7",""),"8",""),"9",""),".",""),",","")=""),2,1))),1)</f>
        <v/>
      </c>
      <c r="AK62">
        <f>IFERROR(IF(ISNUMBER(INDEX(PASTE_ALL,13,13)),2,IF(TRIM(INDEX(PASTE_ALL,13,13))="",0,IF(AND(LEFT(MID(TRIM(INDEX(PASTE_ALL,13,13)),1+(LEFT(TRIM(INDEX(PASTE_ALL,13,13)),1)="-"),999),LEN(MID(TRIM(INDEX(PASTE_ALL,13,13)),1+(LEFT(TRIM(INDEX(PASTE_ALL,13,13)),1)="-"),999))-(RIGHT(MID(TRIM(INDEX(PASTE_ALL,13,13)),1+(LEFT(TRIM(INDEX(PASTE_ALL,13,13)),1)="-"),999),1)="%"))&lt;&gt;"",SUBSTITUTE(SUBSTITUTE(SUBSTITUTE(SUBSTITUTE(SUBSTITUTE(SUBSTITUTE(SUBSTITUTE(SUBSTITUTE(SUBSTITUTE(SUBSTITUTE(SUBSTITUTE(SUBSTITUTE(LEFT(MID(TRIM(INDEX(PASTE_ALL,13,13)),1+(LEFT(TRIM(INDEX(PASTE_ALL,13,13)),1)="-"),999),LEN(MID(TRIM(INDEX(PASTE_ALL,13,13)),1+(LEFT(TRIM(INDEX(PASTE_ALL,13,13)),1)="-"),999))-(RIGHT(MID(TRIM(INDEX(PASTE_ALL,13,13)),1+(LEFT(TRIM(INDEX(PASTE_ALL,13,13)),1)="-"),999),1)="%")),"0",""),"1",""),"2",""),"3",""),"4",""),"5",""),"6",""),"7",""),"8",""),"9",""),".",""),",","")=""),2,1))),1)</f>
        <v/>
      </c>
      <c r="AL62">
        <f>IFERROR(IF(ISNUMBER(INDEX(PASTE_ALL,13,14)),2,IF(TRIM(INDEX(PASTE_ALL,13,14))="",0,IF(AND(LEFT(MID(TRIM(INDEX(PASTE_ALL,13,14)),1+(LEFT(TRIM(INDEX(PASTE_ALL,13,14)),1)="-"),999),LEN(MID(TRIM(INDEX(PASTE_ALL,13,14)),1+(LEFT(TRIM(INDEX(PASTE_ALL,13,14)),1)="-"),999))-(RIGHT(MID(TRIM(INDEX(PASTE_ALL,13,14)),1+(LEFT(TRIM(INDEX(PASTE_ALL,13,14)),1)="-"),999),1)="%"))&lt;&gt;"",SUBSTITUTE(SUBSTITUTE(SUBSTITUTE(SUBSTITUTE(SUBSTITUTE(SUBSTITUTE(SUBSTITUTE(SUBSTITUTE(SUBSTITUTE(SUBSTITUTE(SUBSTITUTE(SUBSTITUTE(LEFT(MID(TRIM(INDEX(PASTE_ALL,13,14)),1+(LEFT(TRIM(INDEX(PASTE_ALL,13,14)),1)="-"),999),LEN(MID(TRIM(INDEX(PASTE_ALL,13,14)),1+(LEFT(TRIM(INDEX(PASTE_ALL,13,14)),1)="-"),999))-(RIGHT(MID(TRIM(INDEX(PASTE_ALL,13,14)),1+(LEFT(TRIM(INDEX(PASTE_ALL,13,14)),1)="-"),999),1)="%")),"0",""),"1",""),"2",""),"3",""),"4",""),"5",""),"6",""),"7",""),"8",""),"9",""),".",""),",","")=""),2,1))),1)</f>
        <v/>
      </c>
      <c r="AM62">
        <f>IFERROR(IF(ISNUMBER(INDEX(PASTE_ALL,13,15)),2,IF(TRIM(INDEX(PASTE_ALL,13,15))="",0,IF(AND(LEFT(MID(TRIM(INDEX(PASTE_ALL,13,15)),1+(LEFT(TRIM(INDEX(PASTE_ALL,13,15)),1)="-"),999),LEN(MID(TRIM(INDEX(PASTE_ALL,13,15)),1+(LEFT(TRIM(INDEX(PASTE_ALL,13,15)),1)="-"),999))-(RIGHT(MID(TRIM(INDEX(PASTE_ALL,13,15)),1+(LEFT(TRIM(INDEX(PASTE_ALL,13,15)),1)="-"),999),1)="%"))&lt;&gt;"",SUBSTITUTE(SUBSTITUTE(SUBSTITUTE(SUBSTITUTE(SUBSTITUTE(SUBSTITUTE(SUBSTITUTE(SUBSTITUTE(SUBSTITUTE(SUBSTITUTE(SUBSTITUTE(SUBSTITUTE(LEFT(MID(TRIM(INDEX(PASTE_ALL,13,15)),1+(LEFT(TRIM(INDEX(PASTE_ALL,13,15)),1)="-"),999),LEN(MID(TRIM(INDEX(PASTE_ALL,13,15)),1+(LEFT(TRIM(INDEX(PASTE_ALL,13,15)),1)="-"),999))-(RIGHT(MID(TRIM(INDEX(PASTE_ALL,13,15)),1+(LEFT(TRIM(INDEX(PASTE_ALL,13,15)),1)="-"),999),1)="%")),"0",""),"1",""),"2",""),"3",""),"4",""),"5",""),"6",""),"7",""),"8",""),"9",""),".",""),",","")=""),2,1))),1)</f>
        <v/>
      </c>
      <c r="AN62">
        <f>IFERROR(IF(ISNUMBER(INDEX(PASTE_ALL,13,16)),2,IF(TRIM(INDEX(PASTE_ALL,13,16))="",0,IF(AND(LEFT(MID(TRIM(INDEX(PASTE_ALL,13,16)),1+(LEFT(TRIM(INDEX(PASTE_ALL,13,16)),1)="-"),999),LEN(MID(TRIM(INDEX(PASTE_ALL,13,16)),1+(LEFT(TRIM(INDEX(PASTE_ALL,13,16)),1)="-"),999))-(RIGHT(MID(TRIM(INDEX(PASTE_ALL,13,16)),1+(LEFT(TRIM(INDEX(PASTE_ALL,13,16)),1)="-"),999),1)="%"))&lt;&gt;"",SUBSTITUTE(SUBSTITUTE(SUBSTITUTE(SUBSTITUTE(SUBSTITUTE(SUBSTITUTE(SUBSTITUTE(SUBSTITUTE(SUBSTITUTE(SUBSTITUTE(SUBSTITUTE(SUBSTITUTE(LEFT(MID(TRIM(INDEX(PASTE_ALL,13,16)),1+(LEFT(TRIM(INDEX(PASTE_ALL,13,16)),1)="-"),999),LEN(MID(TRIM(INDEX(PASTE_ALL,13,16)),1+(LEFT(TRIM(INDEX(PASTE_ALL,13,16)),1)="-"),999))-(RIGHT(MID(TRIM(INDEX(PASTE_ALL,13,16)),1+(LEFT(TRIM(INDEX(PASTE_ALL,13,16)),1)="-"),999),1)="%")),"0",""),"1",""),"2",""),"3",""),"4",""),"5",""),"6",""),"7",""),"8",""),"9",""),".",""),",","")=""),2,1))),1)</f>
        <v/>
      </c>
      <c r="AO62">
        <f>IFERROR(IF(ISNUMBER(INDEX(PASTE_ALL,13,17)),2,IF(TRIM(INDEX(PASTE_ALL,13,17))="",0,IF(AND(LEFT(MID(TRIM(INDEX(PASTE_ALL,13,17)),1+(LEFT(TRIM(INDEX(PASTE_ALL,13,17)),1)="-"),999),LEN(MID(TRIM(INDEX(PASTE_ALL,13,17)),1+(LEFT(TRIM(INDEX(PASTE_ALL,13,17)),1)="-"),999))-(RIGHT(MID(TRIM(INDEX(PASTE_ALL,13,17)),1+(LEFT(TRIM(INDEX(PASTE_ALL,13,17)),1)="-"),999),1)="%"))&lt;&gt;"",SUBSTITUTE(SUBSTITUTE(SUBSTITUTE(SUBSTITUTE(SUBSTITUTE(SUBSTITUTE(SUBSTITUTE(SUBSTITUTE(SUBSTITUTE(SUBSTITUTE(SUBSTITUTE(SUBSTITUTE(LEFT(MID(TRIM(INDEX(PASTE_ALL,13,17)),1+(LEFT(TRIM(INDEX(PASTE_ALL,13,17)),1)="-"),999),LEN(MID(TRIM(INDEX(PASTE_ALL,13,17)),1+(LEFT(TRIM(INDEX(PASTE_ALL,13,17)),1)="-"),999))-(RIGHT(MID(TRIM(INDEX(PASTE_ALL,13,17)),1+(LEFT(TRIM(INDEX(PASTE_ALL,13,17)),1)="-"),999),1)="%")),"0",""),"1",""),"2",""),"3",""),"4",""),"5",""),"6",""),"7",""),"8",""),"9",""),".",""),",","")=""),2,1))),1)</f>
        <v/>
      </c>
      <c r="AP62">
        <f>IFERROR(IF(ISNUMBER(INDEX(PASTE_ALL,13,18)),2,IF(TRIM(INDEX(PASTE_ALL,13,18))="",0,IF(AND(LEFT(MID(TRIM(INDEX(PASTE_ALL,13,18)),1+(LEFT(TRIM(INDEX(PASTE_ALL,13,18)),1)="-"),999),LEN(MID(TRIM(INDEX(PASTE_ALL,13,18)),1+(LEFT(TRIM(INDEX(PASTE_ALL,13,18)),1)="-"),999))-(RIGHT(MID(TRIM(INDEX(PASTE_ALL,13,18)),1+(LEFT(TRIM(INDEX(PASTE_ALL,13,18)),1)="-"),999),1)="%"))&lt;&gt;"",SUBSTITUTE(SUBSTITUTE(SUBSTITUTE(SUBSTITUTE(SUBSTITUTE(SUBSTITUTE(SUBSTITUTE(SUBSTITUTE(SUBSTITUTE(SUBSTITUTE(SUBSTITUTE(SUBSTITUTE(LEFT(MID(TRIM(INDEX(PASTE_ALL,13,18)),1+(LEFT(TRIM(INDEX(PASTE_ALL,13,18)),1)="-"),999),LEN(MID(TRIM(INDEX(PASTE_ALL,13,18)),1+(LEFT(TRIM(INDEX(PASTE_ALL,13,18)),1)="-"),999))-(RIGHT(MID(TRIM(INDEX(PASTE_ALL,13,18)),1+(LEFT(TRIM(INDEX(PASTE_ALL,13,18)),1)="-"),999),1)="%")),"0",""),"1",""),"2",""),"3",""),"4",""),"5",""),"6",""),"7",""),"8",""),"9",""),".",""),",","")=""),2,1))),1)</f>
        <v/>
      </c>
      <c r="AQ62">
        <f>IFERROR(IF(ISNUMBER(INDEX(PASTE_ALL,13,19)),2,IF(TRIM(INDEX(PASTE_ALL,13,19))="",0,IF(AND(LEFT(MID(TRIM(INDEX(PASTE_ALL,13,19)),1+(LEFT(TRIM(INDEX(PASTE_ALL,13,19)),1)="-"),999),LEN(MID(TRIM(INDEX(PASTE_ALL,13,19)),1+(LEFT(TRIM(INDEX(PASTE_ALL,13,19)),1)="-"),999))-(RIGHT(MID(TRIM(INDEX(PASTE_ALL,13,19)),1+(LEFT(TRIM(INDEX(PASTE_ALL,13,19)),1)="-"),999),1)="%"))&lt;&gt;"",SUBSTITUTE(SUBSTITUTE(SUBSTITUTE(SUBSTITUTE(SUBSTITUTE(SUBSTITUTE(SUBSTITUTE(SUBSTITUTE(SUBSTITUTE(SUBSTITUTE(SUBSTITUTE(SUBSTITUTE(LEFT(MID(TRIM(INDEX(PASTE_ALL,13,19)),1+(LEFT(TRIM(INDEX(PASTE_ALL,13,19)),1)="-"),999),LEN(MID(TRIM(INDEX(PASTE_ALL,13,19)),1+(LEFT(TRIM(INDEX(PASTE_ALL,13,19)),1)="-"),999))-(RIGHT(MID(TRIM(INDEX(PASTE_ALL,13,19)),1+(LEFT(TRIM(INDEX(PASTE_ALL,13,19)),1)="-"),999),1)="%")),"0",""),"1",""),"2",""),"3",""),"4",""),"5",""),"6",""),"7",""),"8",""),"9",""),".",""),",","")=""),2,1))),1)</f>
        <v/>
      </c>
      <c r="AR62">
        <f>IFERROR(IF(ISNUMBER(INDEX(PASTE_ALL,13,20)),2,IF(TRIM(INDEX(PASTE_ALL,13,20))="",0,IF(AND(LEFT(MID(TRIM(INDEX(PASTE_ALL,13,20)),1+(LEFT(TRIM(INDEX(PASTE_ALL,13,20)),1)="-"),999),LEN(MID(TRIM(INDEX(PASTE_ALL,13,20)),1+(LEFT(TRIM(INDEX(PASTE_ALL,13,20)),1)="-"),999))-(RIGHT(MID(TRIM(INDEX(PASTE_ALL,13,20)),1+(LEFT(TRIM(INDEX(PASTE_ALL,13,20)),1)="-"),999),1)="%"))&lt;&gt;"",SUBSTITUTE(SUBSTITUTE(SUBSTITUTE(SUBSTITUTE(SUBSTITUTE(SUBSTITUTE(SUBSTITUTE(SUBSTITUTE(SUBSTITUTE(SUBSTITUTE(SUBSTITUTE(SUBSTITUTE(LEFT(MID(TRIM(INDEX(PASTE_ALL,13,20)),1+(LEFT(TRIM(INDEX(PASTE_ALL,13,20)),1)="-"),999),LEN(MID(TRIM(INDEX(PASTE_ALL,13,20)),1+(LEFT(TRIM(INDEX(PASTE_ALL,13,20)),1)="-"),999))-(RIGHT(MID(TRIM(INDEX(PASTE_ALL,13,20)),1+(LEFT(TRIM(INDEX(PASTE_ALL,13,20)),1)="-"),999),1)="%")),"0",""),"1",""),"2",""),"3",""),"4",""),"5",""),"6",""),"7",""),"8",""),"9",""),".",""),",","")=""),2,1))),1)</f>
        <v/>
      </c>
      <c r="AS62">
        <f>IFERROR(IF(ISNUMBER(INDEX(PASTE_ALL,13,21)),2,IF(TRIM(INDEX(PASTE_ALL,13,21))="",0,IF(AND(LEFT(MID(TRIM(INDEX(PASTE_ALL,13,21)),1+(LEFT(TRIM(INDEX(PASTE_ALL,13,21)),1)="-"),999),LEN(MID(TRIM(INDEX(PASTE_ALL,13,21)),1+(LEFT(TRIM(INDEX(PASTE_ALL,13,21)),1)="-"),999))-(RIGHT(MID(TRIM(INDEX(PASTE_ALL,13,21)),1+(LEFT(TRIM(INDEX(PASTE_ALL,13,21)),1)="-"),999),1)="%"))&lt;&gt;"",SUBSTITUTE(SUBSTITUTE(SUBSTITUTE(SUBSTITUTE(SUBSTITUTE(SUBSTITUTE(SUBSTITUTE(SUBSTITUTE(SUBSTITUTE(SUBSTITUTE(SUBSTITUTE(SUBSTITUTE(LEFT(MID(TRIM(INDEX(PASTE_ALL,13,21)),1+(LEFT(TRIM(INDEX(PASTE_ALL,13,21)),1)="-"),999),LEN(MID(TRIM(INDEX(PASTE_ALL,13,21)),1+(LEFT(TRIM(INDEX(PASTE_ALL,13,21)),1)="-"),999))-(RIGHT(MID(TRIM(INDEX(PASTE_ALL,13,21)),1+(LEFT(TRIM(INDEX(PASTE_ALL,13,21)),1)="-"),999),1)="%")),"0",""),"1",""),"2",""),"3",""),"4",""),"5",""),"6",""),"7",""),"8",""),"9",""),".",""),",","")=""),2,1))),1)</f>
        <v/>
      </c>
      <c r="AT62">
        <f>IFERROR(IF(ISNUMBER(INDEX(PASTE_ALL,13,22)),2,IF(TRIM(INDEX(PASTE_ALL,13,22))="",0,IF(AND(LEFT(MID(TRIM(INDEX(PASTE_ALL,13,22)),1+(LEFT(TRIM(INDEX(PASTE_ALL,13,22)),1)="-"),999),LEN(MID(TRIM(INDEX(PASTE_ALL,13,22)),1+(LEFT(TRIM(INDEX(PASTE_ALL,13,22)),1)="-"),999))-(RIGHT(MID(TRIM(INDEX(PASTE_ALL,13,22)),1+(LEFT(TRIM(INDEX(PASTE_ALL,13,22)),1)="-"),999),1)="%"))&lt;&gt;"",SUBSTITUTE(SUBSTITUTE(SUBSTITUTE(SUBSTITUTE(SUBSTITUTE(SUBSTITUTE(SUBSTITUTE(SUBSTITUTE(SUBSTITUTE(SUBSTITUTE(SUBSTITUTE(SUBSTITUTE(LEFT(MID(TRIM(INDEX(PASTE_ALL,13,22)),1+(LEFT(TRIM(INDEX(PASTE_ALL,13,22)),1)="-"),999),LEN(MID(TRIM(INDEX(PASTE_ALL,13,22)),1+(LEFT(TRIM(INDEX(PASTE_ALL,13,22)),1)="-"),999))-(RIGHT(MID(TRIM(INDEX(PASTE_ALL,13,22)),1+(LEFT(TRIM(INDEX(PASTE_ALL,13,22)),1)="-"),999),1)="%")),"0",""),"1",""),"2",""),"3",""),"4",""),"5",""),"6",""),"7",""),"8",""),"9",""),".",""),",","")=""),2,1))),1)</f>
        <v/>
      </c>
      <c r="AU62">
        <f>IFERROR(IF(ISNUMBER(INDEX(PASTE_ALL,13,23)),2,IF(TRIM(INDEX(PASTE_ALL,13,23))="",0,IF(AND(LEFT(MID(TRIM(INDEX(PASTE_ALL,13,23)),1+(LEFT(TRIM(INDEX(PASTE_ALL,13,23)),1)="-"),999),LEN(MID(TRIM(INDEX(PASTE_ALL,13,23)),1+(LEFT(TRIM(INDEX(PASTE_ALL,13,23)),1)="-"),999))-(RIGHT(MID(TRIM(INDEX(PASTE_ALL,13,23)),1+(LEFT(TRIM(INDEX(PASTE_ALL,13,23)),1)="-"),999),1)="%"))&lt;&gt;"",SUBSTITUTE(SUBSTITUTE(SUBSTITUTE(SUBSTITUTE(SUBSTITUTE(SUBSTITUTE(SUBSTITUTE(SUBSTITUTE(SUBSTITUTE(SUBSTITUTE(SUBSTITUTE(SUBSTITUTE(LEFT(MID(TRIM(INDEX(PASTE_ALL,13,23)),1+(LEFT(TRIM(INDEX(PASTE_ALL,13,23)),1)="-"),999),LEN(MID(TRIM(INDEX(PASTE_ALL,13,23)),1+(LEFT(TRIM(INDEX(PASTE_ALL,13,23)),1)="-"),999))-(RIGHT(MID(TRIM(INDEX(PASTE_ALL,13,23)),1+(LEFT(TRIM(INDEX(PASTE_ALL,13,23)),1)="-"),999),1)="%")),"0",""),"1",""),"2",""),"3",""),"4",""),"5",""),"6",""),"7",""),"8",""),"9",""),".",""),",","")=""),2,1))),1)</f>
        <v/>
      </c>
      <c r="AV62">
        <f>IFERROR(IF(ISNUMBER(INDEX(PASTE_ALL,13,24)),2,IF(TRIM(INDEX(PASTE_ALL,13,24))="",0,IF(AND(LEFT(MID(TRIM(INDEX(PASTE_ALL,13,24)),1+(LEFT(TRIM(INDEX(PASTE_ALL,13,24)),1)="-"),999),LEN(MID(TRIM(INDEX(PASTE_ALL,13,24)),1+(LEFT(TRIM(INDEX(PASTE_ALL,13,24)),1)="-"),999))-(RIGHT(MID(TRIM(INDEX(PASTE_ALL,13,24)),1+(LEFT(TRIM(INDEX(PASTE_ALL,13,24)),1)="-"),999),1)="%"))&lt;&gt;"",SUBSTITUTE(SUBSTITUTE(SUBSTITUTE(SUBSTITUTE(SUBSTITUTE(SUBSTITUTE(SUBSTITUTE(SUBSTITUTE(SUBSTITUTE(SUBSTITUTE(SUBSTITUTE(SUBSTITUTE(LEFT(MID(TRIM(INDEX(PASTE_ALL,13,24)),1+(LEFT(TRIM(INDEX(PASTE_ALL,13,24)),1)="-"),999),LEN(MID(TRIM(INDEX(PASTE_ALL,13,24)),1+(LEFT(TRIM(INDEX(PASTE_ALL,13,24)),1)="-"),999))-(RIGHT(MID(TRIM(INDEX(PASTE_ALL,13,24)),1+(LEFT(TRIM(INDEX(PASTE_ALL,13,24)),1)="-"),999),1)="%")),"0",""),"1",""),"2",""),"3",""),"4",""),"5",""),"6",""),"7",""),"8",""),"9",""),".",""),",","")=""),2,1))),1)</f>
        <v/>
      </c>
      <c r="AW62">
        <f>IFERROR(IF(ISNUMBER(INDEX(PASTE_ALL,13,25)),2,IF(TRIM(INDEX(PASTE_ALL,13,25))="",0,IF(AND(LEFT(MID(TRIM(INDEX(PASTE_ALL,13,25)),1+(LEFT(TRIM(INDEX(PASTE_ALL,13,25)),1)="-"),999),LEN(MID(TRIM(INDEX(PASTE_ALL,13,25)),1+(LEFT(TRIM(INDEX(PASTE_ALL,13,25)),1)="-"),999))-(RIGHT(MID(TRIM(INDEX(PASTE_ALL,13,25)),1+(LEFT(TRIM(INDEX(PASTE_ALL,13,25)),1)="-"),999),1)="%"))&lt;&gt;"",SUBSTITUTE(SUBSTITUTE(SUBSTITUTE(SUBSTITUTE(SUBSTITUTE(SUBSTITUTE(SUBSTITUTE(SUBSTITUTE(SUBSTITUTE(SUBSTITUTE(SUBSTITUTE(SUBSTITUTE(LEFT(MID(TRIM(INDEX(PASTE_ALL,13,25)),1+(LEFT(TRIM(INDEX(PASTE_ALL,13,25)),1)="-"),999),LEN(MID(TRIM(INDEX(PASTE_ALL,13,25)),1+(LEFT(TRIM(INDEX(PASTE_ALL,13,25)),1)="-"),999))-(RIGHT(MID(TRIM(INDEX(PASTE_ALL,13,25)),1+(LEFT(TRIM(INDEX(PASTE_ALL,13,25)),1)="-"),999),1)="%")),"0",""),"1",""),"2",""),"3",""),"4",""),"5",""),"6",""),"7",""),"8",""),"9",""),".",""),",","")=""),2,1))),1)</f>
        <v/>
      </c>
      <c r="AX62">
        <f>IFERROR(IF(ISNUMBER(INDEX(PASTE_ALL,13,26)),2,IF(TRIM(INDEX(PASTE_ALL,13,26))="",0,IF(AND(LEFT(MID(TRIM(INDEX(PASTE_ALL,13,26)),1+(LEFT(TRIM(INDEX(PASTE_ALL,13,26)),1)="-"),999),LEN(MID(TRIM(INDEX(PASTE_ALL,13,26)),1+(LEFT(TRIM(INDEX(PASTE_ALL,13,26)),1)="-"),999))-(RIGHT(MID(TRIM(INDEX(PASTE_ALL,13,26)),1+(LEFT(TRIM(INDEX(PASTE_ALL,13,26)),1)="-"),999),1)="%"))&lt;&gt;"",SUBSTITUTE(SUBSTITUTE(SUBSTITUTE(SUBSTITUTE(SUBSTITUTE(SUBSTITUTE(SUBSTITUTE(SUBSTITUTE(SUBSTITUTE(SUBSTITUTE(SUBSTITUTE(SUBSTITUTE(LEFT(MID(TRIM(INDEX(PASTE_ALL,13,26)),1+(LEFT(TRIM(INDEX(PASTE_ALL,13,26)),1)="-"),999),LEN(MID(TRIM(INDEX(PASTE_ALL,13,26)),1+(LEFT(TRIM(INDEX(PASTE_ALL,13,26)),1)="-"),999))-(RIGHT(MID(TRIM(INDEX(PASTE_ALL,13,26)),1+(LEFT(TRIM(INDEX(PASTE_ALL,13,26)),1)="-"),999),1)="%")),"0",""),"1",""),"2",""),"3",""),"4",""),"5",""),"6",""),"7",""),"8",""),"9",""),".",""),",","")=""),2,1))),1)</f>
        <v/>
      </c>
      <c r="AY62">
        <f>IFERROR(IF(ISNUMBER(INDEX(PASTE_ALL,13,27)),2,IF(TRIM(INDEX(PASTE_ALL,13,27))="",0,IF(AND(LEFT(MID(TRIM(INDEX(PASTE_ALL,13,27)),1+(LEFT(TRIM(INDEX(PASTE_ALL,13,27)),1)="-"),999),LEN(MID(TRIM(INDEX(PASTE_ALL,13,27)),1+(LEFT(TRIM(INDEX(PASTE_ALL,13,27)),1)="-"),999))-(RIGHT(MID(TRIM(INDEX(PASTE_ALL,13,27)),1+(LEFT(TRIM(INDEX(PASTE_ALL,13,27)),1)="-"),999),1)="%"))&lt;&gt;"",SUBSTITUTE(SUBSTITUTE(SUBSTITUTE(SUBSTITUTE(SUBSTITUTE(SUBSTITUTE(SUBSTITUTE(SUBSTITUTE(SUBSTITUTE(SUBSTITUTE(SUBSTITUTE(SUBSTITUTE(LEFT(MID(TRIM(INDEX(PASTE_ALL,13,27)),1+(LEFT(TRIM(INDEX(PASTE_ALL,13,27)),1)="-"),999),LEN(MID(TRIM(INDEX(PASTE_ALL,13,27)),1+(LEFT(TRIM(INDEX(PASTE_ALL,13,27)),1)="-"),999))-(RIGHT(MID(TRIM(INDEX(PASTE_ALL,13,27)),1+(LEFT(TRIM(INDEX(PASTE_ALL,13,27)),1)="-"),999),1)="%")),"0",""),"1",""),"2",""),"3",""),"4",""),"5",""),"6",""),"7",""),"8",""),"9",""),".",""),",","")=""),2,1))),1)</f>
        <v/>
      </c>
      <c r="AZ62">
        <f>IFERROR(IF(ISNUMBER(INDEX(PASTE_ALL,13,28)),2,IF(TRIM(INDEX(PASTE_ALL,13,28))="",0,IF(AND(LEFT(MID(TRIM(INDEX(PASTE_ALL,13,28)),1+(LEFT(TRIM(INDEX(PASTE_ALL,13,28)),1)="-"),999),LEN(MID(TRIM(INDEX(PASTE_ALL,13,28)),1+(LEFT(TRIM(INDEX(PASTE_ALL,13,28)),1)="-"),999))-(RIGHT(MID(TRIM(INDEX(PASTE_ALL,13,28)),1+(LEFT(TRIM(INDEX(PASTE_ALL,13,28)),1)="-"),999),1)="%"))&lt;&gt;"",SUBSTITUTE(SUBSTITUTE(SUBSTITUTE(SUBSTITUTE(SUBSTITUTE(SUBSTITUTE(SUBSTITUTE(SUBSTITUTE(SUBSTITUTE(SUBSTITUTE(SUBSTITUTE(SUBSTITUTE(LEFT(MID(TRIM(INDEX(PASTE_ALL,13,28)),1+(LEFT(TRIM(INDEX(PASTE_ALL,13,28)),1)="-"),999),LEN(MID(TRIM(INDEX(PASTE_ALL,13,28)),1+(LEFT(TRIM(INDEX(PASTE_ALL,13,28)),1)="-"),999))-(RIGHT(MID(TRIM(INDEX(PASTE_ALL,13,28)),1+(LEFT(TRIM(INDEX(PASTE_ALL,13,28)),1)="-"),999),1)="%")),"0",""),"1",""),"2",""),"3",""),"4",""),"5",""),"6",""),"7",""),"8",""),"9",""),".",""),",","")=""),2,1))),1)</f>
        <v/>
      </c>
      <c r="BA62">
        <f>IFERROR(IF(ISNUMBER(INDEX(PASTE_ALL,13,29)),2,IF(TRIM(INDEX(PASTE_ALL,13,29))="",0,IF(AND(LEFT(MID(TRIM(INDEX(PASTE_ALL,13,29)),1+(LEFT(TRIM(INDEX(PASTE_ALL,13,29)),1)="-"),999),LEN(MID(TRIM(INDEX(PASTE_ALL,13,29)),1+(LEFT(TRIM(INDEX(PASTE_ALL,13,29)),1)="-"),999))-(RIGHT(MID(TRIM(INDEX(PASTE_ALL,13,29)),1+(LEFT(TRIM(INDEX(PASTE_ALL,13,29)),1)="-"),999),1)="%"))&lt;&gt;"",SUBSTITUTE(SUBSTITUTE(SUBSTITUTE(SUBSTITUTE(SUBSTITUTE(SUBSTITUTE(SUBSTITUTE(SUBSTITUTE(SUBSTITUTE(SUBSTITUTE(SUBSTITUTE(SUBSTITUTE(LEFT(MID(TRIM(INDEX(PASTE_ALL,13,29)),1+(LEFT(TRIM(INDEX(PASTE_ALL,13,29)),1)="-"),999),LEN(MID(TRIM(INDEX(PASTE_ALL,13,29)),1+(LEFT(TRIM(INDEX(PASTE_ALL,13,29)),1)="-"),999))-(RIGHT(MID(TRIM(INDEX(PASTE_ALL,13,29)),1+(LEFT(TRIM(INDEX(PASTE_ALL,13,29)),1)="-"),999),1)="%")),"0",""),"1",""),"2",""),"3",""),"4",""),"5",""),"6",""),"7",""),"8",""),"9",""),".",""),",","")=""),2,1))),1)</f>
        <v/>
      </c>
      <c r="BB62">
        <f>IFERROR(IF(ISNUMBER(INDEX(PASTE_ALL,13,30)),2,IF(TRIM(INDEX(PASTE_ALL,13,30))="",0,IF(AND(LEFT(MID(TRIM(INDEX(PASTE_ALL,13,30)),1+(LEFT(TRIM(INDEX(PASTE_ALL,13,30)),1)="-"),999),LEN(MID(TRIM(INDEX(PASTE_ALL,13,30)),1+(LEFT(TRIM(INDEX(PASTE_ALL,13,30)),1)="-"),999))-(RIGHT(MID(TRIM(INDEX(PASTE_ALL,13,30)),1+(LEFT(TRIM(INDEX(PASTE_ALL,13,30)),1)="-"),999),1)="%"))&lt;&gt;"",SUBSTITUTE(SUBSTITUTE(SUBSTITUTE(SUBSTITUTE(SUBSTITUTE(SUBSTITUTE(SUBSTITUTE(SUBSTITUTE(SUBSTITUTE(SUBSTITUTE(SUBSTITUTE(SUBSTITUTE(LEFT(MID(TRIM(INDEX(PASTE_ALL,13,30)),1+(LEFT(TRIM(INDEX(PASTE_ALL,13,30)),1)="-"),999),LEN(MID(TRIM(INDEX(PASTE_ALL,13,30)),1+(LEFT(TRIM(INDEX(PASTE_ALL,13,30)),1)="-"),999))-(RIGHT(MID(TRIM(INDEX(PASTE_ALL,13,30)),1+(LEFT(TRIM(INDEX(PASTE_ALL,13,30)),1)="-"),999),1)="%")),"0",""),"1",""),"2",""),"3",""),"4",""),"5",""),"6",""),"7",""),"8",""),"9",""),".",""),",","")=""),2,1))),1)</f>
        <v/>
      </c>
      <c r="BC62">
        <f>IFERROR(IF(ISNUMBER(INDEX(PASTE_ALL,13,31)),2,IF(TRIM(INDEX(PASTE_ALL,13,31))="",0,IF(AND(LEFT(MID(TRIM(INDEX(PASTE_ALL,13,31)),1+(LEFT(TRIM(INDEX(PASTE_ALL,13,31)),1)="-"),999),LEN(MID(TRIM(INDEX(PASTE_ALL,13,31)),1+(LEFT(TRIM(INDEX(PASTE_ALL,13,31)),1)="-"),999))-(RIGHT(MID(TRIM(INDEX(PASTE_ALL,13,31)),1+(LEFT(TRIM(INDEX(PASTE_ALL,13,31)),1)="-"),999),1)="%"))&lt;&gt;"",SUBSTITUTE(SUBSTITUTE(SUBSTITUTE(SUBSTITUTE(SUBSTITUTE(SUBSTITUTE(SUBSTITUTE(SUBSTITUTE(SUBSTITUTE(SUBSTITUTE(SUBSTITUTE(SUBSTITUTE(LEFT(MID(TRIM(INDEX(PASTE_ALL,13,31)),1+(LEFT(TRIM(INDEX(PASTE_ALL,13,31)),1)="-"),999),LEN(MID(TRIM(INDEX(PASTE_ALL,13,31)),1+(LEFT(TRIM(INDEX(PASTE_ALL,13,31)),1)="-"),999))-(RIGHT(MID(TRIM(INDEX(PASTE_ALL,13,31)),1+(LEFT(TRIM(INDEX(PASTE_ALL,13,31)),1)="-"),999),1)="%")),"0",""),"1",""),"2",""),"3",""),"4",""),"5",""),"6",""),"7",""),"8",""),"9",""),".",""),",","")=""),2,1))),1)</f>
        <v/>
      </c>
      <c r="BD62">
        <f>IFERROR(IF(ISNUMBER(INDEX(PASTE_ALL,13,32)),2,IF(TRIM(INDEX(PASTE_ALL,13,32))="",0,IF(AND(LEFT(MID(TRIM(INDEX(PASTE_ALL,13,32)),1+(LEFT(TRIM(INDEX(PASTE_ALL,13,32)),1)="-"),999),LEN(MID(TRIM(INDEX(PASTE_ALL,13,32)),1+(LEFT(TRIM(INDEX(PASTE_ALL,13,32)),1)="-"),999))-(RIGHT(MID(TRIM(INDEX(PASTE_ALL,13,32)),1+(LEFT(TRIM(INDEX(PASTE_ALL,13,32)),1)="-"),999),1)="%"))&lt;&gt;"",SUBSTITUTE(SUBSTITUTE(SUBSTITUTE(SUBSTITUTE(SUBSTITUTE(SUBSTITUTE(SUBSTITUTE(SUBSTITUTE(SUBSTITUTE(SUBSTITUTE(SUBSTITUTE(SUBSTITUTE(LEFT(MID(TRIM(INDEX(PASTE_ALL,13,32)),1+(LEFT(TRIM(INDEX(PASTE_ALL,13,32)),1)="-"),999),LEN(MID(TRIM(INDEX(PASTE_ALL,13,32)),1+(LEFT(TRIM(INDEX(PASTE_ALL,13,32)),1)="-"),999))-(RIGHT(MID(TRIM(INDEX(PASTE_ALL,13,32)),1+(LEFT(TRIM(INDEX(PASTE_ALL,13,32)),1)="-"),999),1)="%")),"0",""),"1",""),"2",""),"3",""),"4",""),"5",""),"6",""),"7",""),"8",""),"9",""),".",""),",","")=""),2,1))),1)</f>
        <v/>
      </c>
      <c r="BE62">
        <f>IFERROR(IF(ISNUMBER(INDEX(PASTE_ALL,13,33)),2,IF(TRIM(INDEX(PASTE_ALL,13,33))="",0,IF(AND(LEFT(MID(TRIM(INDEX(PASTE_ALL,13,33)),1+(LEFT(TRIM(INDEX(PASTE_ALL,13,33)),1)="-"),999),LEN(MID(TRIM(INDEX(PASTE_ALL,13,33)),1+(LEFT(TRIM(INDEX(PASTE_ALL,13,33)),1)="-"),999))-(RIGHT(MID(TRIM(INDEX(PASTE_ALL,13,33)),1+(LEFT(TRIM(INDEX(PASTE_ALL,13,33)),1)="-"),999),1)="%"))&lt;&gt;"",SUBSTITUTE(SUBSTITUTE(SUBSTITUTE(SUBSTITUTE(SUBSTITUTE(SUBSTITUTE(SUBSTITUTE(SUBSTITUTE(SUBSTITUTE(SUBSTITUTE(SUBSTITUTE(SUBSTITUTE(LEFT(MID(TRIM(INDEX(PASTE_ALL,13,33)),1+(LEFT(TRIM(INDEX(PASTE_ALL,13,33)),1)="-"),999),LEN(MID(TRIM(INDEX(PASTE_ALL,13,33)),1+(LEFT(TRIM(INDEX(PASTE_ALL,13,33)),1)="-"),999))-(RIGHT(MID(TRIM(INDEX(PASTE_ALL,13,33)),1+(LEFT(TRIM(INDEX(PASTE_ALL,13,33)),1)="-"),999),1)="%")),"0",""),"1",""),"2",""),"3",""),"4",""),"5",""),"6",""),"7",""),"8",""),"9",""),".",""),",","")=""),2,1))),1)</f>
        <v/>
      </c>
      <c r="BF62">
        <f>IFERROR(IF(ISNUMBER(INDEX(PASTE_ALL,13,34)),2,IF(TRIM(INDEX(PASTE_ALL,13,34))="",0,IF(AND(LEFT(MID(TRIM(INDEX(PASTE_ALL,13,34)),1+(LEFT(TRIM(INDEX(PASTE_ALL,13,34)),1)="-"),999),LEN(MID(TRIM(INDEX(PASTE_ALL,13,34)),1+(LEFT(TRIM(INDEX(PASTE_ALL,13,34)),1)="-"),999))-(RIGHT(MID(TRIM(INDEX(PASTE_ALL,13,34)),1+(LEFT(TRIM(INDEX(PASTE_ALL,13,34)),1)="-"),999),1)="%"))&lt;&gt;"",SUBSTITUTE(SUBSTITUTE(SUBSTITUTE(SUBSTITUTE(SUBSTITUTE(SUBSTITUTE(SUBSTITUTE(SUBSTITUTE(SUBSTITUTE(SUBSTITUTE(SUBSTITUTE(SUBSTITUTE(LEFT(MID(TRIM(INDEX(PASTE_ALL,13,34)),1+(LEFT(TRIM(INDEX(PASTE_ALL,13,34)),1)="-"),999),LEN(MID(TRIM(INDEX(PASTE_ALL,13,34)),1+(LEFT(TRIM(INDEX(PASTE_ALL,13,34)),1)="-"),999))-(RIGHT(MID(TRIM(INDEX(PASTE_ALL,13,34)),1+(LEFT(TRIM(INDEX(PASTE_ALL,13,34)),1)="-"),999),1)="%")),"0",""),"1",""),"2",""),"3",""),"4",""),"5",""),"6",""),"7",""),"8",""),"9",""),".",""),",","")=""),2,1))),1)</f>
        <v/>
      </c>
      <c r="BG62">
        <f>IFERROR(IF(ISNUMBER(INDEX(PASTE_ALL,13,35)),2,IF(TRIM(INDEX(PASTE_ALL,13,35))="",0,IF(AND(LEFT(MID(TRIM(INDEX(PASTE_ALL,13,35)),1+(LEFT(TRIM(INDEX(PASTE_ALL,13,35)),1)="-"),999),LEN(MID(TRIM(INDEX(PASTE_ALL,13,35)),1+(LEFT(TRIM(INDEX(PASTE_ALL,13,35)),1)="-"),999))-(RIGHT(MID(TRIM(INDEX(PASTE_ALL,13,35)),1+(LEFT(TRIM(INDEX(PASTE_ALL,13,35)),1)="-"),999),1)="%"))&lt;&gt;"",SUBSTITUTE(SUBSTITUTE(SUBSTITUTE(SUBSTITUTE(SUBSTITUTE(SUBSTITUTE(SUBSTITUTE(SUBSTITUTE(SUBSTITUTE(SUBSTITUTE(SUBSTITUTE(SUBSTITUTE(LEFT(MID(TRIM(INDEX(PASTE_ALL,13,35)),1+(LEFT(TRIM(INDEX(PASTE_ALL,13,35)),1)="-"),999),LEN(MID(TRIM(INDEX(PASTE_ALL,13,35)),1+(LEFT(TRIM(INDEX(PASTE_ALL,13,35)),1)="-"),999))-(RIGHT(MID(TRIM(INDEX(PASTE_ALL,13,35)),1+(LEFT(TRIM(INDEX(PASTE_ALL,13,35)),1)="-"),999),1)="%")),"0",""),"1",""),"2",""),"3",""),"4",""),"5",""),"6",""),"7",""),"8",""),"9",""),".",""),",","")=""),2,1))),1)</f>
        <v/>
      </c>
      <c r="BH62">
        <f>IFERROR(IF(ISNUMBER(INDEX(PASTE_ALL,13,36)),2,IF(TRIM(INDEX(PASTE_ALL,13,36))="",0,IF(AND(LEFT(MID(TRIM(INDEX(PASTE_ALL,13,36)),1+(LEFT(TRIM(INDEX(PASTE_ALL,13,36)),1)="-"),999),LEN(MID(TRIM(INDEX(PASTE_ALL,13,36)),1+(LEFT(TRIM(INDEX(PASTE_ALL,13,36)),1)="-"),999))-(RIGHT(MID(TRIM(INDEX(PASTE_ALL,13,36)),1+(LEFT(TRIM(INDEX(PASTE_ALL,13,36)),1)="-"),999),1)="%"))&lt;&gt;"",SUBSTITUTE(SUBSTITUTE(SUBSTITUTE(SUBSTITUTE(SUBSTITUTE(SUBSTITUTE(SUBSTITUTE(SUBSTITUTE(SUBSTITUTE(SUBSTITUTE(SUBSTITUTE(SUBSTITUTE(LEFT(MID(TRIM(INDEX(PASTE_ALL,13,36)),1+(LEFT(TRIM(INDEX(PASTE_ALL,13,36)),1)="-"),999),LEN(MID(TRIM(INDEX(PASTE_ALL,13,36)),1+(LEFT(TRIM(INDEX(PASTE_ALL,13,36)),1)="-"),999))-(RIGHT(MID(TRIM(INDEX(PASTE_ALL,13,36)),1+(LEFT(TRIM(INDEX(PASTE_ALL,13,36)),1)="-"),999),1)="%")),"0",""),"1",""),"2",""),"3",""),"4",""),"5",""),"6",""),"7",""),"8",""),"9",""),".",""),",","")=""),2,1))),1)</f>
        <v/>
      </c>
      <c r="BI62">
        <f>IFERROR(IF(ISNUMBER(INDEX(PASTE_ALL,13,37)),2,IF(TRIM(INDEX(PASTE_ALL,13,37))="",0,IF(AND(LEFT(MID(TRIM(INDEX(PASTE_ALL,13,37)),1+(LEFT(TRIM(INDEX(PASTE_ALL,13,37)),1)="-"),999),LEN(MID(TRIM(INDEX(PASTE_ALL,13,37)),1+(LEFT(TRIM(INDEX(PASTE_ALL,13,37)),1)="-"),999))-(RIGHT(MID(TRIM(INDEX(PASTE_ALL,13,37)),1+(LEFT(TRIM(INDEX(PASTE_ALL,13,37)),1)="-"),999),1)="%"))&lt;&gt;"",SUBSTITUTE(SUBSTITUTE(SUBSTITUTE(SUBSTITUTE(SUBSTITUTE(SUBSTITUTE(SUBSTITUTE(SUBSTITUTE(SUBSTITUTE(SUBSTITUTE(SUBSTITUTE(SUBSTITUTE(LEFT(MID(TRIM(INDEX(PASTE_ALL,13,37)),1+(LEFT(TRIM(INDEX(PASTE_ALL,13,37)),1)="-"),999),LEN(MID(TRIM(INDEX(PASTE_ALL,13,37)),1+(LEFT(TRIM(INDEX(PASTE_ALL,13,37)),1)="-"),999))-(RIGHT(MID(TRIM(INDEX(PASTE_ALL,13,37)),1+(LEFT(TRIM(INDEX(PASTE_ALL,13,37)),1)="-"),999),1)="%")),"0",""),"1",""),"2",""),"3",""),"4",""),"5",""),"6",""),"7",""),"8",""),"9",""),".",""),",","")=""),2,1))),1)</f>
        <v/>
      </c>
      <c r="BJ62">
        <f>IFERROR(IF(ISNUMBER(INDEX(PASTE_ALL,13,38)),2,IF(TRIM(INDEX(PASTE_ALL,13,38))="",0,IF(AND(LEFT(MID(TRIM(INDEX(PASTE_ALL,13,38)),1+(LEFT(TRIM(INDEX(PASTE_ALL,13,38)),1)="-"),999),LEN(MID(TRIM(INDEX(PASTE_ALL,13,38)),1+(LEFT(TRIM(INDEX(PASTE_ALL,13,38)),1)="-"),999))-(RIGHT(MID(TRIM(INDEX(PASTE_ALL,13,38)),1+(LEFT(TRIM(INDEX(PASTE_ALL,13,38)),1)="-"),999),1)="%"))&lt;&gt;"",SUBSTITUTE(SUBSTITUTE(SUBSTITUTE(SUBSTITUTE(SUBSTITUTE(SUBSTITUTE(SUBSTITUTE(SUBSTITUTE(SUBSTITUTE(SUBSTITUTE(SUBSTITUTE(SUBSTITUTE(LEFT(MID(TRIM(INDEX(PASTE_ALL,13,38)),1+(LEFT(TRIM(INDEX(PASTE_ALL,13,38)),1)="-"),999),LEN(MID(TRIM(INDEX(PASTE_ALL,13,38)),1+(LEFT(TRIM(INDEX(PASTE_ALL,13,38)),1)="-"),999))-(RIGHT(MID(TRIM(INDEX(PASTE_ALL,13,38)),1+(LEFT(TRIM(INDEX(PASTE_ALL,13,38)),1)="-"),999),1)="%")),"0",""),"1",""),"2",""),"3",""),"4",""),"5",""),"6",""),"7",""),"8",""),"9",""),".",""),",","")=""),2,1))),1)</f>
        <v/>
      </c>
      <c r="BK62">
        <f>IFERROR(IF(ISNUMBER(INDEX(PASTE_ALL,13,39)),2,IF(TRIM(INDEX(PASTE_ALL,13,39))="",0,IF(AND(LEFT(MID(TRIM(INDEX(PASTE_ALL,13,39)),1+(LEFT(TRIM(INDEX(PASTE_ALL,13,39)),1)="-"),999),LEN(MID(TRIM(INDEX(PASTE_ALL,13,39)),1+(LEFT(TRIM(INDEX(PASTE_ALL,13,39)),1)="-"),999))-(RIGHT(MID(TRIM(INDEX(PASTE_ALL,13,39)),1+(LEFT(TRIM(INDEX(PASTE_ALL,13,39)),1)="-"),999),1)="%"))&lt;&gt;"",SUBSTITUTE(SUBSTITUTE(SUBSTITUTE(SUBSTITUTE(SUBSTITUTE(SUBSTITUTE(SUBSTITUTE(SUBSTITUTE(SUBSTITUTE(SUBSTITUTE(SUBSTITUTE(SUBSTITUTE(LEFT(MID(TRIM(INDEX(PASTE_ALL,13,39)),1+(LEFT(TRIM(INDEX(PASTE_ALL,13,39)),1)="-"),999),LEN(MID(TRIM(INDEX(PASTE_ALL,13,39)),1+(LEFT(TRIM(INDEX(PASTE_ALL,13,39)),1)="-"),999))-(RIGHT(MID(TRIM(INDEX(PASTE_ALL,13,39)),1+(LEFT(TRIM(INDEX(PASTE_ALL,13,39)),1)="-"),999),1)="%")),"0",""),"1",""),"2",""),"3",""),"4",""),"5",""),"6",""),"7",""),"8",""),"9",""),".",""),",","")=""),2,1))),1)</f>
        <v/>
      </c>
      <c r="BL62">
        <f>IFERROR(IF(ISNUMBER(INDEX(PASTE_ALL,13,40)),2,IF(TRIM(INDEX(PASTE_ALL,13,40))="",0,IF(AND(LEFT(MID(TRIM(INDEX(PASTE_ALL,13,40)),1+(LEFT(TRIM(INDEX(PASTE_ALL,13,40)),1)="-"),999),LEN(MID(TRIM(INDEX(PASTE_ALL,13,40)),1+(LEFT(TRIM(INDEX(PASTE_ALL,13,40)),1)="-"),999))-(RIGHT(MID(TRIM(INDEX(PASTE_ALL,13,40)),1+(LEFT(TRIM(INDEX(PASTE_ALL,13,40)),1)="-"),999),1)="%"))&lt;&gt;"",SUBSTITUTE(SUBSTITUTE(SUBSTITUTE(SUBSTITUTE(SUBSTITUTE(SUBSTITUTE(SUBSTITUTE(SUBSTITUTE(SUBSTITUTE(SUBSTITUTE(SUBSTITUTE(SUBSTITUTE(LEFT(MID(TRIM(INDEX(PASTE_ALL,13,40)),1+(LEFT(TRIM(INDEX(PASTE_ALL,13,40)),1)="-"),999),LEN(MID(TRIM(INDEX(PASTE_ALL,13,40)),1+(LEFT(TRIM(INDEX(PASTE_ALL,13,40)),1)="-"),999))-(RIGHT(MID(TRIM(INDEX(PASTE_ALL,13,40)),1+(LEFT(TRIM(INDEX(PASTE_ALL,13,40)),1)="-"),999),1)="%")),"0",""),"1",""),"2",""),"3",""),"4",""),"5",""),"6",""),"7",""),"8",""),"9",""),".",""),",","")=""),2,1))),1)</f>
        <v/>
      </c>
      <c r="BM62">
        <f>IFERROR(IF(ISNUMBER(INDEX(PASTE_ALL,13,41)),2,IF(TRIM(INDEX(PASTE_ALL,13,41))="",0,IF(AND(LEFT(MID(TRIM(INDEX(PASTE_ALL,13,41)),1+(LEFT(TRIM(INDEX(PASTE_ALL,13,41)),1)="-"),999),LEN(MID(TRIM(INDEX(PASTE_ALL,13,41)),1+(LEFT(TRIM(INDEX(PASTE_ALL,13,41)),1)="-"),999))-(RIGHT(MID(TRIM(INDEX(PASTE_ALL,13,41)),1+(LEFT(TRIM(INDEX(PASTE_ALL,13,41)),1)="-"),999),1)="%"))&lt;&gt;"",SUBSTITUTE(SUBSTITUTE(SUBSTITUTE(SUBSTITUTE(SUBSTITUTE(SUBSTITUTE(SUBSTITUTE(SUBSTITUTE(SUBSTITUTE(SUBSTITUTE(SUBSTITUTE(SUBSTITUTE(LEFT(MID(TRIM(INDEX(PASTE_ALL,13,41)),1+(LEFT(TRIM(INDEX(PASTE_ALL,13,41)),1)="-"),999),LEN(MID(TRIM(INDEX(PASTE_ALL,13,41)),1+(LEFT(TRIM(INDEX(PASTE_ALL,13,41)),1)="-"),999))-(RIGHT(MID(TRIM(INDEX(PASTE_ALL,13,41)),1+(LEFT(TRIM(INDEX(PASTE_ALL,13,41)),1)="-"),999),1)="%")),"0",""),"1",""),"2",""),"3",""),"4",""),"5",""),"6",""),"7",""),"8",""),"9",""),".",""),",","")=""),2,1))),1)</f>
        <v/>
      </c>
      <c r="BN62">
        <f>IFERROR(IF(ISNUMBER(INDEX(PASTE_ALL,13,42)),2,IF(TRIM(INDEX(PASTE_ALL,13,42))="",0,IF(AND(LEFT(MID(TRIM(INDEX(PASTE_ALL,13,42)),1+(LEFT(TRIM(INDEX(PASTE_ALL,13,42)),1)="-"),999),LEN(MID(TRIM(INDEX(PASTE_ALL,13,42)),1+(LEFT(TRIM(INDEX(PASTE_ALL,13,42)),1)="-"),999))-(RIGHT(MID(TRIM(INDEX(PASTE_ALL,13,42)),1+(LEFT(TRIM(INDEX(PASTE_ALL,13,42)),1)="-"),999),1)="%"))&lt;&gt;"",SUBSTITUTE(SUBSTITUTE(SUBSTITUTE(SUBSTITUTE(SUBSTITUTE(SUBSTITUTE(SUBSTITUTE(SUBSTITUTE(SUBSTITUTE(SUBSTITUTE(SUBSTITUTE(SUBSTITUTE(LEFT(MID(TRIM(INDEX(PASTE_ALL,13,42)),1+(LEFT(TRIM(INDEX(PASTE_ALL,13,42)),1)="-"),999),LEN(MID(TRIM(INDEX(PASTE_ALL,13,42)),1+(LEFT(TRIM(INDEX(PASTE_ALL,13,42)),1)="-"),999))-(RIGHT(MID(TRIM(INDEX(PASTE_ALL,13,42)),1+(LEFT(TRIM(INDEX(PASTE_ALL,13,42)),1)="-"),999),1)="%")),"0",""),"1",""),"2",""),"3",""),"4",""),"5",""),"6",""),"7",""),"8",""),"9",""),".",""),",","")=""),2,1))),1)</f>
        <v/>
      </c>
      <c r="BO62">
        <f>IFERROR(IF(ISNUMBER(INDEX(PASTE_ALL,13,43)),2,IF(TRIM(INDEX(PASTE_ALL,13,43))="",0,IF(AND(LEFT(MID(TRIM(INDEX(PASTE_ALL,13,43)),1+(LEFT(TRIM(INDEX(PASTE_ALL,13,43)),1)="-"),999),LEN(MID(TRIM(INDEX(PASTE_ALL,13,43)),1+(LEFT(TRIM(INDEX(PASTE_ALL,13,43)),1)="-"),999))-(RIGHT(MID(TRIM(INDEX(PASTE_ALL,13,43)),1+(LEFT(TRIM(INDEX(PASTE_ALL,13,43)),1)="-"),999),1)="%"))&lt;&gt;"",SUBSTITUTE(SUBSTITUTE(SUBSTITUTE(SUBSTITUTE(SUBSTITUTE(SUBSTITUTE(SUBSTITUTE(SUBSTITUTE(SUBSTITUTE(SUBSTITUTE(SUBSTITUTE(SUBSTITUTE(LEFT(MID(TRIM(INDEX(PASTE_ALL,13,43)),1+(LEFT(TRIM(INDEX(PASTE_ALL,13,43)),1)="-"),999),LEN(MID(TRIM(INDEX(PASTE_ALL,13,43)),1+(LEFT(TRIM(INDEX(PASTE_ALL,13,43)),1)="-"),999))-(RIGHT(MID(TRIM(INDEX(PASTE_ALL,13,43)),1+(LEFT(TRIM(INDEX(PASTE_ALL,13,43)),1)="-"),999),1)="%")),"0",""),"1",""),"2",""),"3",""),"4",""),"5",""),"6",""),"7",""),"8",""),"9",""),".",""),",","")=""),2,1))),1)</f>
        <v/>
      </c>
      <c r="BP62">
        <f>IFERROR(IF(ISNUMBER(INDEX(PASTE_ALL,13,44)),2,IF(TRIM(INDEX(PASTE_ALL,13,44))="",0,IF(AND(LEFT(MID(TRIM(INDEX(PASTE_ALL,13,44)),1+(LEFT(TRIM(INDEX(PASTE_ALL,13,44)),1)="-"),999),LEN(MID(TRIM(INDEX(PASTE_ALL,13,44)),1+(LEFT(TRIM(INDEX(PASTE_ALL,13,44)),1)="-"),999))-(RIGHT(MID(TRIM(INDEX(PASTE_ALL,13,44)),1+(LEFT(TRIM(INDEX(PASTE_ALL,13,44)),1)="-"),999),1)="%"))&lt;&gt;"",SUBSTITUTE(SUBSTITUTE(SUBSTITUTE(SUBSTITUTE(SUBSTITUTE(SUBSTITUTE(SUBSTITUTE(SUBSTITUTE(SUBSTITUTE(SUBSTITUTE(SUBSTITUTE(SUBSTITUTE(LEFT(MID(TRIM(INDEX(PASTE_ALL,13,44)),1+(LEFT(TRIM(INDEX(PASTE_ALL,13,44)),1)="-"),999),LEN(MID(TRIM(INDEX(PASTE_ALL,13,44)),1+(LEFT(TRIM(INDEX(PASTE_ALL,13,44)),1)="-"),999))-(RIGHT(MID(TRIM(INDEX(PASTE_ALL,13,44)),1+(LEFT(TRIM(INDEX(PASTE_ALL,13,44)),1)="-"),999),1)="%")),"0",""),"1",""),"2",""),"3",""),"4",""),"5",""),"6",""),"7",""),"8",""),"9",""),".",""),",","")=""),2,1))),1)</f>
        <v/>
      </c>
      <c r="BQ62">
        <f>IFERROR(IF(ISNUMBER(INDEX(PASTE_ALL,13,45)),2,IF(TRIM(INDEX(PASTE_ALL,13,45))="",0,IF(AND(LEFT(MID(TRIM(INDEX(PASTE_ALL,13,45)),1+(LEFT(TRIM(INDEX(PASTE_ALL,13,45)),1)="-"),999),LEN(MID(TRIM(INDEX(PASTE_ALL,13,45)),1+(LEFT(TRIM(INDEX(PASTE_ALL,13,45)),1)="-"),999))-(RIGHT(MID(TRIM(INDEX(PASTE_ALL,13,45)),1+(LEFT(TRIM(INDEX(PASTE_ALL,13,45)),1)="-"),999),1)="%"))&lt;&gt;"",SUBSTITUTE(SUBSTITUTE(SUBSTITUTE(SUBSTITUTE(SUBSTITUTE(SUBSTITUTE(SUBSTITUTE(SUBSTITUTE(SUBSTITUTE(SUBSTITUTE(SUBSTITUTE(SUBSTITUTE(LEFT(MID(TRIM(INDEX(PASTE_ALL,13,45)),1+(LEFT(TRIM(INDEX(PASTE_ALL,13,45)),1)="-"),999),LEN(MID(TRIM(INDEX(PASTE_ALL,13,45)),1+(LEFT(TRIM(INDEX(PASTE_ALL,13,45)),1)="-"),999))-(RIGHT(MID(TRIM(INDEX(PASTE_ALL,13,45)),1+(LEFT(TRIM(INDEX(PASTE_ALL,13,45)),1)="-"),999),1)="%")),"0",""),"1",""),"2",""),"3",""),"4",""),"5",""),"6",""),"7",""),"8",""),"9",""),".",""),",","")=""),2,1))),1)</f>
        <v/>
      </c>
      <c r="BR62">
        <f>IFERROR(IF(ISNUMBER(INDEX(PASTE_ALL,13,46)),2,IF(TRIM(INDEX(PASTE_ALL,13,46))="",0,IF(AND(LEFT(MID(TRIM(INDEX(PASTE_ALL,13,46)),1+(LEFT(TRIM(INDEX(PASTE_ALL,13,46)),1)="-"),999),LEN(MID(TRIM(INDEX(PASTE_ALL,13,46)),1+(LEFT(TRIM(INDEX(PASTE_ALL,13,46)),1)="-"),999))-(RIGHT(MID(TRIM(INDEX(PASTE_ALL,13,46)),1+(LEFT(TRIM(INDEX(PASTE_ALL,13,46)),1)="-"),999),1)="%"))&lt;&gt;"",SUBSTITUTE(SUBSTITUTE(SUBSTITUTE(SUBSTITUTE(SUBSTITUTE(SUBSTITUTE(SUBSTITUTE(SUBSTITUTE(SUBSTITUTE(SUBSTITUTE(SUBSTITUTE(SUBSTITUTE(LEFT(MID(TRIM(INDEX(PASTE_ALL,13,46)),1+(LEFT(TRIM(INDEX(PASTE_ALL,13,46)),1)="-"),999),LEN(MID(TRIM(INDEX(PASTE_ALL,13,46)),1+(LEFT(TRIM(INDEX(PASTE_ALL,13,46)),1)="-"),999))-(RIGHT(MID(TRIM(INDEX(PASTE_ALL,13,46)),1+(LEFT(TRIM(INDEX(PASTE_ALL,13,46)),1)="-"),999),1)="%")),"0",""),"1",""),"2",""),"3",""),"4",""),"5",""),"6",""),"7",""),"8",""),"9",""),".",""),",","")=""),2,1))),1)</f>
        <v/>
      </c>
      <c r="BS62">
        <f>IFERROR(IF(ISNUMBER(INDEX(PASTE_ALL,13,47)),2,IF(TRIM(INDEX(PASTE_ALL,13,47))="",0,IF(AND(LEFT(MID(TRIM(INDEX(PASTE_ALL,13,47)),1+(LEFT(TRIM(INDEX(PASTE_ALL,13,47)),1)="-"),999),LEN(MID(TRIM(INDEX(PASTE_ALL,13,47)),1+(LEFT(TRIM(INDEX(PASTE_ALL,13,47)),1)="-"),999))-(RIGHT(MID(TRIM(INDEX(PASTE_ALL,13,47)),1+(LEFT(TRIM(INDEX(PASTE_ALL,13,47)),1)="-"),999),1)="%"))&lt;&gt;"",SUBSTITUTE(SUBSTITUTE(SUBSTITUTE(SUBSTITUTE(SUBSTITUTE(SUBSTITUTE(SUBSTITUTE(SUBSTITUTE(SUBSTITUTE(SUBSTITUTE(SUBSTITUTE(SUBSTITUTE(LEFT(MID(TRIM(INDEX(PASTE_ALL,13,47)),1+(LEFT(TRIM(INDEX(PASTE_ALL,13,47)),1)="-"),999),LEN(MID(TRIM(INDEX(PASTE_ALL,13,47)),1+(LEFT(TRIM(INDEX(PASTE_ALL,13,47)),1)="-"),999))-(RIGHT(MID(TRIM(INDEX(PASTE_ALL,13,47)),1+(LEFT(TRIM(INDEX(PASTE_ALL,13,47)),1)="-"),999),1)="%")),"0",""),"1",""),"2",""),"3",""),"4",""),"5",""),"6",""),"7",""),"8",""),"9",""),".",""),",","")=""),2,1))),1)</f>
        <v/>
      </c>
      <c r="BT62">
        <f>IFERROR(IF(ISNUMBER(INDEX(PASTE_ALL,13,48)),2,IF(TRIM(INDEX(PASTE_ALL,13,48))="",0,IF(AND(LEFT(MID(TRIM(INDEX(PASTE_ALL,13,48)),1+(LEFT(TRIM(INDEX(PASTE_ALL,13,48)),1)="-"),999),LEN(MID(TRIM(INDEX(PASTE_ALL,13,48)),1+(LEFT(TRIM(INDEX(PASTE_ALL,13,48)),1)="-"),999))-(RIGHT(MID(TRIM(INDEX(PASTE_ALL,13,48)),1+(LEFT(TRIM(INDEX(PASTE_ALL,13,48)),1)="-"),999),1)="%"))&lt;&gt;"",SUBSTITUTE(SUBSTITUTE(SUBSTITUTE(SUBSTITUTE(SUBSTITUTE(SUBSTITUTE(SUBSTITUTE(SUBSTITUTE(SUBSTITUTE(SUBSTITUTE(SUBSTITUTE(SUBSTITUTE(LEFT(MID(TRIM(INDEX(PASTE_ALL,13,48)),1+(LEFT(TRIM(INDEX(PASTE_ALL,13,48)),1)="-"),999),LEN(MID(TRIM(INDEX(PASTE_ALL,13,48)),1+(LEFT(TRIM(INDEX(PASTE_ALL,13,48)),1)="-"),999))-(RIGHT(MID(TRIM(INDEX(PASTE_ALL,13,48)),1+(LEFT(TRIM(INDEX(PASTE_ALL,13,48)),1)="-"),999),1)="%")),"0",""),"1",""),"2",""),"3",""),"4",""),"5",""),"6",""),"7",""),"8",""),"9",""),".",""),",","")=""),2,1))),1)</f>
        <v/>
      </c>
      <c r="BU62">
        <f>IFERROR(IF(ISNUMBER(INDEX(PASTE_ALL,13,49)),2,IF(TRIM(INDEX(PASTE_ALL,13,49))="",0,IF(AND(LEFT(MID(TRIM(INDEX(PASTE_ALL,13,49)),1+(LEFT(TRIM(INDEX(PASTE_ALL,13,49)),1)="-"),999),LEN(MID(TRIM(INDEX(PASTE_ALL,13,49)),1+(LEFT(TRIM(INDEX(PASTE_ALL,13,49)),1)="-"),999))-(RIGHT(MID(TRIM(INDEX(PASTE_ALL,13,49)),1+(LEFT(TRIM(INDEX(PASTE_ALL,13,49)),1)="-"),999),1)="%"))&lt;&gt;"",SUBSTITUTE(SUBSTITUTE(SUBSTITUTE(SUBSTITUTE(SUBSTITUTE(SUBSTITUTE(SUBSTITUTE(SUBSTITUTE(SUBSTITUTE(SUBSTITUTE(SUBSTITUTE(SUBSTITUTE(LEFT(MID(TRIM(INDEX(PASTE_ALL,13,49)),1+(LEFT(TRIM(INDEX(PASTE_ALL,13,49)),1)="-"),999),LEN(MID(TRIM(INDEX(PASTE_ALL,13,49)),1+(LEFT(TRIM(INDEX(PASTE_ALL,13,49)),1)="-"),999))-(RIGHT(MID(TRIM(INDEX(PASTE_ALL,13,49)),1+(LEFT(TRIM(INDEX(PASTE_ALL,13,49)),1)="-"),999),1)="%")),"0",""),"1",""),"2",""),"3",""),"4",""),"5",""),"6",""),"7",""),"8",""),"9",""),".",""),",","")=""),2,1))),1)</f>
        <v/>
      </c>
      <c r="BV62">
        <f>IFERROR(IF(ISNUMBER(INDEX(PASTE_ALL,13,50)),2,IF(TRIM(INDEX(PASTE_ALL,13,50))="",0,IF(AND(LEFT(MID(TRIM(INDEX(PASTE_ALL,13,50)),1+(LEFT(TRIM(INDEX(PASTE_ALL,13,50)),1)="-"),999),LEN(MID(TRIM(INDEX(PASTE_ALL,13,50)),1+(LEFT(TRIM(INDEX(PASTE_ALL,13,50)),1)="-"),999))-(RIGHT(MID(TRIM(INDEX(PASTE_ALL,13,50)),1+(LEFT(TRIM(INDEX(PASTE_ALL,13,50)),1)="-"),999),1)="%"))&lt;&gt;"",SUBSTITUTE(SUBSTITUTE(SUBSTITUTE(SUBSTITUTE(SUBSTITUTE(SUBSTITUTE(SUBSTITUTE(SUBSTITUTE(SUBSTITUTE(SUBSTITUTE(SUBSTITUTE(SUBSTITUTE(LEFT(MID(TRIM(INDEX(PASTE_ALL,13,50)),1+(LEFT(TRIM(INDEX(PASTE_ALL,13,50)),1)="-"),999),LEN(MID(TRIM(INDEX(PASTE_ALL,13,50)),1+(LEFT(TRIM(INDEX(PASTE_ALL,13,50)),1)="-"),999))-(RIGHT(MID(TRIM(INDEX(PASTE_ALL,13,50)),1+(LEFT(TRIM(INDEX(PASTE_ALL,13,50)),1)="-"),999),1)="%")),"0",""),"1",""),"2",""),"3",""),"4",""),"5",""),"6",""),"7",""),"8",""),"9",""),".",""),",","")=""),2,1))),1)</f>
        <v/>
      </c>
      <c r="BW62">
        <f>IFERROR(IF(ISNUMBER(INDEX(PASTE_ALL,13,51)),2,IF(TRIM(INDEX(PASTE_ALL,13,51))="",0,IF(AND(LEFT(MID(TRIM(INDEX(PASTE_ALL,13,51)),1+(LEFT(TRIM(INDEX(PASTE_ALL,13,51)),1)="-"),999),LEN(MID(TRIM(INDEX(PASTE_ALL,13,51)),1+(LEFT(TRIM(INDEX(PASTE_ALL,13,51)),1)="-"),999))-(RIGHT(MID(TRIM(INDEX(PASTE_ALL,13,51)),1+(LEFT(TRIM(INDEX(PASTE_ALL,13,51)),1)="-"),999),1)="%"))&lt;&gt;"",SUBSTITUTE(SUBSTITUTE(SUBSTITUTE(SUBSTITUTE(SUBSTITUTE(SUBSTITUTE(SUBSTITUTE(SUBSTITUTE(SUBSTITUTE(SUBSTITUTE(SUBSTITUTE(SUBSTITUTE(LEFT(MID(TRIM(INDEX(PASTE_ALL,13,51)),1+(LEFT(TRIM(INDEX(PASTE_ALL,13,51)),1)="-"),999),LEN(MID(TRIM(INDEX(PASTE_ALL,13,51)),1+(LEFT(TRIM(INDEX(PASTE_ALL,13,51)),1)="-"),999))-(RIGHT(MID(TRIM(INDEX(PASTE_ALL,13,51)),1+(LEFT(TRIM(INDEX(PASTE_ALL,13,51)),1)="-"),999),1)="%")),"0",""),"1",""),"2",""),"3",""),"4",""),"5",""),"6",""),"7",""),"8",""),"9",""),".",""),",","")=""),2,1))),1)</f>
        <v/>
      </c>
      <c r="BX62">
        <f>IFERROR(IF(ISNUMBER(INDEX(PASTE_ALL,13,52)),2,IF(TRIM(INDEX(PASTE_ALL,13,52))="",0,IF(AND(LEFT(MID(TRIM(INDEX(PASTE_ALL,13,52)),1+(LEFT(TRIM(INDEX(PASTE_ALL,13,52)),1)="-"),999),LEN(MID(TRIM(INDEX(PASTE_ALL,13,52)),1+(LEFT(TRIM(INDEX(PASTE_ALL,13,52)),1)="-"),999))-(RIGHT(MID(TRIM(INDEX(PASTE_ALL,13,52)),1+(LEFT(TRIM(INDEX(PASTE_ALL,13,52)),1)="-"),999),1)="%"))&lt;&gt;"",SUBSTITUTE(SUBSTITUTE(SUBSTITUTE(SUBSTITUTE(SUBSTITUTE(SUBSTITUTE(SUBSTITUTE(SUBSTITUTE(SUBSTITUTE(SUBSTITUTE(SUBSTITUTE(SUBSTITUTE(LEFT(MID(TRIM(INDEX(PASTE_ALL,13,52)),1+(LEFT(TRIM(INDEX(PASTE_ALL,13,52)),1)="-"),999),LEN(MID(TRIM(INDEX(PASTE_ALL,13,52)),1+(LEFT(TRIM(INDEX(PASTE_ALL,13,52)),1)="-"),999))-(RIGHT(MID(TRIM(INDEX(PASTE_ALL,13,52)),1+(LEFT(TRIM(INDEX(PASTE_ALL,13,52)),1)="-"),999),1)="%")),"0",""),"1",""),"2",""),"3",""),"4",""),"5",""),"6",""),"7",""),"8",""),"9",""),".",""),",","")=""),2,1))),1)</f>
        <v/>
      </c>
      <c r="BY62">
        <f>IFERROR(IF(ISNUMBER(INDEX(PASTE_ALL,13,53)),2,IF(TRIM(INDEX(PASTE_ALL,13,53))="",0,IF(AND(LEFT(MID(TRIM(INDEX(PASTE_ALL,13,53)),1+(LEFT(TRIM(INDEX(PASTE_ALL,13,53)),1)="-"),999),LEN(MID(TRIM(INDEX(PASTE_ALL,13,53)),1+(LEFT(TRIM(INDEX(PASTE_ALL,13,53)),1)="-"),999))-(RIGHT(MID(TRIM(INDEX(PASTE_ALL,13,53)),1+(LEFT(TRIM(INDEX(PASTE_ALL,13,53)),1)="-"),999),1)="%"))&lt;&gt;"",SUBSTITUTE(SUBSTITUTE(SUBSTITUTE(SUBSTITUTE(SUBSTITUTE(SUBSTITUTE(SUBSTITUTE(SUBSTITUTE(SUBSTITUTE(SUBSTITUTE(SUBSTITUTE(SUBSTITUTE(LEFT(MID(TRIM(INDEX(PASTE_ALL,13,53)),1+(LEFT(TRIM(INDEX(PASTE_ALL,13,53)),1)="-"),999),LEN(MID(TRIM(INDEX(PASTE_ALL,13,53)),1+(LEFT(TRIM(INDEX(PASTE_ALL,13,53)),1)="-"),999))-(RIGHT(MID(TRIM(INDEX(PASTE_ALL,13,53)),1+(LEFT(TRIM(INDEX(PASTE_ALL,13,53)),1)="-"),999),1)="%")),"0",""),"1",""),"2",""),"3",""),"4",""),"5",""),"6",""),"7",""),"8",""),"9",""),".",""),",","")=""),2,1))),1)</f>
        <v/>
      </c>
      <c r="BZ62">
        <f>IFERROR(IF(ISNUMBER(INDEX(PASTE_ALL,13,54)),2,IF(TRIM(INDEX(PASTE_ALL,13,54))="",0,IF(AND(LEFT(MID(TRIM(INDEX(PASTE_ALL,13,54)),1+(LEFT(TRIM(INDEX(PASTE_ALL,13,54)),1)="-"),999),LEN(MID(TRIM(INDEX(PASTE_ALL,13,54)),1+(LEFT(TRIM(INDEX(PASTE_ALL,13,54)),1)="-"),999))-(RIGHT(MID(TRIM(INDEX(PASTE_ALL,13,54)),1+(LEFT(TRIM(INDEX(PASTE_ALL,13,54)),1)="-"),999),1)="%"))&lt;&gt;"",SUBSTITUTE(SUBSTITUTE(SUBSTITUTE(SUBSTITUTE(SUBSTITUTE(SUBSTITUTE(SUBSTITUTE(SUBSTITUTE(SUBSTITUTE(SUBSTITUTE(SUBSTITUTE(SUBSTITUTE(LEFT(MID(TRIM(INDEX(PASTE_ALL,13,54)),1+(LEFT(TRIM(INDEX(PASTE_ALL,13,54)),1)="-"),999),LEN(MID(TRIM(INDEX(PASTE_ALL,13,54)),1+(LEFT(TRIM(INDEX(PASTE_ALL,13,54)),1)="-"),999))-(RIGHT(MID(TRIM(INDEX(PASTE_ALL,13,54)),1+(LEFT(TRIM(INDEX(PASTE_ALL,13,54)),1)="-"),999),1)="%")),"0",""),"1",""),"2",""),"3",""),"4",""),"5",""),"6",""),"7",""),"8",""),"9",""),".",""),",","")=""),2,1))),1)</f>
        <v/>
      </c>
      <c r="CA62">
        <f>IFERROR(IF(ISNUMBER(INDEX(PASTE_ALL,13,55)),2,IF(TRIM(INDEX(PASTE_ALL,13,55))="",0,IF(AND(LEFT(MID(TRIM(INDEX(PASTE_ALL,13,55)),1+(LEFT(TRIM(INDEX(PASTE_ALL,13,55)),1)="-"),999),LEN(MID(TRIM(INDEX(PASTE_ALL,13,55)),1+(LEFT(TRIM(INDEX(PASTE_ALL,13,55)),1)="-"),999))-(RIGHT(MID(TRIM(INDEX(PASTE_ALL,13,55)),1+(LEFT(TRIM(INDEX(PASTE_ALL,13,55)),1)="-"),999),1)="%"))&lt;&gt;"",SUBSTITUTE(SUBSTITUTE(SUBSTITUTE(SUBSTITUTE(SUBSTITUTE(SUBSTITUTE(SUBSTITUTE(SUBSTITUTE(SUBSTITUTE(SUBSTITUTE(SUBSTITUTE(SUBSTITUTE(LEFT(MID(TRIM(INDEX(PASTE_ALL,13,55)),1+(LEFT(TRIM(INDEX(PASTE_ALL,13,55)),1)="-"),999),LEN(MID(TRIM(INDEX(PASTE_ALL,13,55)),1+(LEFT(TRIM(INDEX(PASTE_ALL,13,55)),1)="-"),999))-(RIGHT(MID(TRIM(INDEX(PASTE_ALL,13,55)),1+(LEFT(TRIM(INDEX(PASTE_ALL,13,55)),1)="-"),999),1)="%")),"0",""),"1",""),"2",""),"3",""),"4",""),"5",""),"6",""),"7",""),"8",""),"9",""),".",""),",","")=""),2,1))),1)</f>
        <v/>
      </c>
      <c r="CB62">
        <f>IFERROR(IF(ISNUMBER(INDEX(PASTE_ALL,13,56)),2,IF(TRIM(INDEX(PASTE_ALL,13,56))="",0,IF(AND(LEFT(MID(TRIM(INDEX(PASTE_ALL,13,56)),1+(LEFT(TRIM(INDEX(PASTE_ALL,13,56)),1)="-"),999),LEN(MID(TRIM(INDEX(PASTE_ALL,13,56)),1+(LEFT(TRIM(INDEX(PASTE_ALL,13,56)),1)="-"),999))-(RIGHT(MID(TRIM(INDEX(PASTE_ALL,13,56)),1+(LEFT(TRIM(INDEX(PASTE_ALL,13,56)),1)="-"),999),1)="%"))&lt;&gt;"",SUBSTITUTE(SUBSTITUTE(SUBSTITUTE(SUBSTITUTE(SUBSTITUTE(SUBSTITUTE(SUBSTITUTE(SUBSTITUTE(SUBSTITUTE(SUBSTITUTE(SUBSTITUTE(SUBSTITUTE(LEFT(MID(TRIM(INDEX(PASTE_ALL,13,56)),1+(LEFT(TRIM(INDEX(PASTE_ALL,13,56)),1)="-"),999),LEN(MID(TRIM(INDEX(PASTE_ALL,13,56)),1+(LEFT(TRIM(INDEX(PASTE_ALL,13,56)),1)="-"),999))-(RIGHT(MID(TRIM(INDEX(PASTE_ALL,13,56)),1+(LEFT(TRIM(INDEX(PASTE_ALL,13,56)),1)="-"),999),1)="%")),"0",""),"1",""),"2",""),"3",""),"4",""),"5",""),"6",""),"7",""),"8",""),"9",""),".",""),",","")=""),2,1))),1)</f>
        <v/>
      </c>
      <c r="CC62">
        <f>IFERROR(IF(ISNUMBER(INDEX(PASTE_ALL,13,57)),2,IF(TRIM(INDEX(PASTE_ALL,13,57))="",0,IF(AND(LEFT(MID(TRIM(INDEX(PASTE_ALL,13,57)),1+(LEFT(TRIM(INDEX(PASTE_ALL,13,57)),1)="-"),999),LEN(MID(TRIM(INDEX(PASTE_ALL,13,57)),1+(LEFT(TRIM(INDEX(PASTE_ALL,13,57)),1)="-"),999))-(RIGHT(MID(TRIM(INDEX(PASTE_ALL,13,57)),1+(LEFT(TRIM(INDEX(PASTE_ALL,13,57)),1)="-"),999),1)="%"))&lt;&gt;"",SUBSTITUTE(SUBSTITUTE(SUBSTITUTE(SUBSTITUTE(SUBSTITUTE(SUBSTITUTE(SUBSTITUTE(SUBSTITUTE(SUBSTITUTE(SUBSTITUTE(SUBSTITUTE(SUBSTITUTE(LEFT(MID(TRIM(INDEX(PASTE_ALL,13,57)),1+(LEFT(TRIM(INDEX(PASTE_ALL,13,57)),1)="-"),999),LEN(MID(TRIM(INDEX(PASTE_ALL,13,57)),1+(LEFT(TRIM(INDEX(PASTE_ALL,13,57)),1)="-"),999))-(RIGHT(MID(TRIM(INDEX(PASTE_ALL,13,57)),1+(LEFT(TRIM(INDEX(PASTE_ALL,13,57)),1)="-"),999),1)="%")),"0",""),"1",""),"2",""),"3",""),"4",""),"5",""),"6",""),"7",""),"8",""),"9",""),".",""),",","")=""),2,1))),1)</f>
        <v/>
      </c>
      <c r="CD62">
        <f>IFERROR(IF(ISNUMBER(INDEX(PASTE_ALL,13,58)),2,IF(TRIM(INDEX(PASTE_ALL,13,58))="",0,IF(AND(LEFT(MID(TRIM(INDEX(PASTE_ALL,13,58)),1+(LEFT(TRIM(INDEX(PASTE_ALL,13,58)),1)="-"),999),LEN(MID(TRIM(INDEX(PASTE_ALL,13,58)),1+(LEFT(TRIM(INDEX(PASTE_ALL,13,58)),1)="-"),999))-(RIGHT(MID(TRIM(INDEX(PASTE_ALL,13,58)),1+(LEFT(TRIM(INDEX(PASTE_ALL,13,58)),1)="-"),999),1)="%"))&lt;&gt;"",SUBSTITUTE(SUBSTITUTE(SUBSTITUTE(SUBSTITUTE(SUBSTITUTE(SUBSTITUTE(SUBSTITUTE(SUBSTITUTE(SUBSTITUTE(SUBSTITUTE(SUBSTITUTE(SUBSTITUTE(LEFT(MID(TRIM(INDEX(PASTE_ALL,13,58)),1+(LEFT(TRIM(INDEX(PASTE_ALL,13,58)),1)="-"),999),LEN(MID(TRIM(INDEX(PASTE_ALL,13,58)),1+(LEFT(TRIM(INDEX(PASTE_ALL,13,58)),1)="-"),999))-(RIGHT(MID(TRIM(INDEX(PASTE_ALL,13,58)),1+(LEFT(TRIM(INDEX(PASTE_ALL,13,58)),1)="-"),999),1)="%")),"0",""),"1",""),"2",""),"3",""),"4",""),"5",""),"6",""),"7",""),"8",""),"9",""),".",""),",","")=""),2,1))),1)</f>
        <v/>
      </c>
      <c r="CE62">
        <f>IFERROR(IF(ISNUMBER(INDEX(PASTE_ALL,13,59)),2,IF(TRIM(INDEX(PASTE_ALL,13,59))="",0,IF(AND(LEFT(MID(TRIM(INDEX(PASTE_ALL,13,59)),1+(LEFT(TRIM(INDEX(PASTE_ALL,13,59)),1)="-"),999),LEN(MID(TRIM(INDEX(PASTE_ALL,13,59)),1+(LEFT(TRIM(INDEX(PASTE_ALL,13,59)),1)="-"),999))-(RIGHT(MID(TRIM(INDEX(PASTE_ALL,13,59)),1+(LEFT(TRIM(INDEX(PASTE_ALL,13,59)),1)="-"),999),1)="%"))&lt;&gt;"",SUBSTITUTE(SUBSTITUTE(SUBSTITUTE(SUBSTITUTE(SUBSTITUTE(SUBSTITUTE(SUBSTITUTE(SUBSTITUTE(SUBSTITUTE(SUBSTITUTE(SUBSTITUTE(SUBSTITUTE(LEFT(MID(TRIM(INDEX(PASTE_ALL,13,59)),1+(LEFT(TRIM(INDEX(PASTE_ALL,13,59)),1)="-"),999),LEN(MID(TRIM(INDEX(PASTE_ALL,13,59)),1+(LEFT(TRIM(INDEX(PASTE_ALL,13,59)),1)="-"),999))-(RIGHT(MID(TRIM(INDEX(PASTE_ALL,13,59)),1+(LEFT(TRIM(INDEX(PASTE_ALL,13,59)),1)="-"),999),1)="%")),"0",""),"1",""),"2",""),"3",""),"4",""),"5",""),"6",""),"7",""),"8",""),"9",""),".",""),",","")=""),2,1))),1)</f>
        <v/>
      </c>
      <c r="CF62">
        <f>IFERROR(IF(ISNUMBER(INDEX(PASTE_ALL,13,60)),2,IF(TRIM(INDEX(PASTE_ALL,13,60))="",0,IF(AND(LEFT(MID(TRIM(INDEX(PASTE_ALL,13,60)),1+(LEFT(TRIM(INDEX(PASTE_ALL,13,60)),1)="-"),999),LEN(MID(TRIM(INDEX(PASTE_ALL,13,60)),1+(LEFT(TRIM(INDEX(PASTE_ALL,13,60)),1)="-"),999))-(RIGHT(MID(TRIM(INDEX(PASTE_ALL,13,60)),1+(LEFT(TRIM(INDEX(PASTE_ALL,13,60)),1)="-"),999),1)="%"))&lt;&gt;"",SUBSTITUTE(SUBSTITUTE(SUBSTITUTE(SUBSTITUTE(SUBSTITUTE(SUBSTITUTE(SUBSTITUTE(SUBSTITUTE(SUBSTITUTE(SUBSTITUTE(SUBSTITUTE(SUBSTITUTE(LEFT(MID(TRIM(INDEX(PASTE_ALL,13,60)),1+(LEFT(TRIM(INDEX(PASTE_ALL,13,60)),1)="-"),999),LEN(MID(TRIM(INDEX(PASTE_ALL,13,60)),1+(LEFT(TRIM(INDEX(PASTE_ALL,13,60)),1)="-"),999))-(RIGHT(MID(TRIM(INDEX(PASTE_ALL,13,60)),1+(LEFT(TRIM(INDEX(PASTE_ALL,13,60)),1)="-"),999),1)="%")),"0",""),"1",""),"2",""),"3",""),"4",""),"5",""),"6",""),"7",""),"8",""),"9",""),".",""),",","")=""),2,1))),1)</f>
        <v/>
      </c>
      <c r="DA62" t="n">
        <v>58</v>
      </c>
      <c r="DB62">
        <f>IF($B$37=0,"",IFERROR(TRIM(SUBSTITUTE(SUBSTITUTE(SUBSTITUTE(SUBSTITUTE(INDEX(PASTE_ALL,58,$B$37)," "," "),CHAR(9)," "),CHAR(10)," "),CHAR(13)," ")),""))</f>
        <v/>
      </c>
      <c r="DC62">
        <f>IF(AND(58&gt;HEADER_ROW,UPPER(DB62)="LEGEND"),1,0)</f>
        <v/>
      </c>
      <c r="DE62" t="n">
        <v>58</v>
      </c>
      <c r="DF62">
        <f>HEADER_ROW+$DE62</f>
        <v/>
      </c>
      <c r="DG62">
        <f>IF(AND($DF62&lt;=1000,$DF62&lt;$B$8),1,0)</f>
        <v/>
      </c>
      <c r="DH62">
        <f>IF($DG62=1,IFERROR(INDEX($DB$5:$DB$1004,$DF62),""),"")</f>
        <v/>
      </c>
      <c r="DI62">
        <f>IF(AND($DG62=1,$DH62&lt;&gt;""),IFERROR(SUBSTITUTE(SUBSTITUTE(TRIM(SUBSTITUTE(SUBSTITUTE(SUBSTITUTE(SUBSTITUTE(IFERROR(INDEX(PASTE_ALL,$DF62,1)&amp;"","")&amp;"␟"&amp;IFERROR(INDEX(PASTE_ALL,$DF62,2)&amp;"","")&amp;"␟"&amp;IFERROR(INDEX(PASTE_ALL,$DF62,3)&amp;"","")&amp;"␟"&amp;IFERROR(INDEX(PASTE_ALL,$DF62,4)&amp;"","")&amp;"␟"&amp;IFERROR(INDEX(PASTE_ALL,$DF62,5)&amp;"","")&amp;"␟"&amp;IFERROR(INDEX(PASTE_ALL,$DF62,6)&amp;"","")&amp;"␟"&amp;IFERROR(INDEX(PASTE_ALL,$DF62,7)&amp;"","")&amp;"␟"&amp;IFERROR(INDEX(PASTE_ALL,$DF62,8)&amp;"","")&amp;"␟"&amp;IFERROR(INDEX(PASTE_ALL,$DF62,9)&amp;"","")&amp;"␟"&amp;IFERROR(INDEX(PASTE_ALL,$DF62,10)&amp;"","")&amp;"␟"&amp;IFERROR(INDEX(PASTE_ALL,$DF62,11)&amp;"","")&amp;"␟"&amp;IFERROR(INDEX(PASTE_ALL,$DF62,12)&amp;"","")&amp;"␟"&amp;IFERROR(INDEX(PASTE_ALL,$DF62,13)&amp;"","")&amp;"␟"&amp;IFERROR(INDEX(PASTE_ALL,$DF62,14)&amp;"","")&amp;"␟"&amp;IFERROR(INDEX(PASTE_ALL,$DF62,15)&amp;"","")&amp;"␟"&amp;IFERROR(INDEX(PASTE_ALL,$DF62,16)&amp;"","")&amp;"␟"&amp;IFERROR(INDEX(PASTE_ALL,$DF62,17)&amp;"","")&amp;"␟"&amp;IFERROR(INDEX(PASTE_ALL,$DF62,18)&amp;"","")&amp;"␟"&amp;IFERROR(INDEX(PASTE_ALL,$DF62,19)&amp;"","")&amp;"␟"&amp;IFERROR(INDEX(PASTE_ALL,$DF62,20)&amp;"","")&amp;"␟"&amp;IFERROR(INDEX(PASTE_ALL,$DF62,21)&amp;"","")&amp;"␟"&amp;IFERROR(INDEX(PASTE_ALL,$DF62,22)&amp;"","")&amp;"␟"&amp;IFERROR(INDEX(PASTE_ALL,$DF62,23)&amp;"","")&amp;"␟"&amp;IFERROR(INDEX(PASTE_ALL,$DF62,24)&amp;"","")&amp;"␟"&amp;IFERROR(INDEX(PASTE_ALL,$DF62,25)&amp;"","")&amp;"␟"&amp;IFERROR(INDEX(PASTE_ALL,$DF62,26)&amp;"","")&amp;"␟"&amp;IFERROR(INDEX(PASTE_ALL,$DF62,27)&amp;"","")&amp;"␟"&amp;IFERROR(INDEX(PASTE_ALL,$DF62,28)&amp;"","")&amp;"␟"&amp;IFERROR(INDEX(PASTE_ALL,$DF62,29)&amp;"","")&amp;"␟"&amp;IFERROR(INDEX(PASTE_ALL,$DF62,30)&amp;"","")&amp;"␟"&amp;IFERROR(INDEX(PASTE_ALL,$DF62,31)&amp;"","")&amp;"␟"&amp;IFERROR(INDEX(PASTE_ALL,$DF62,32)&amp;"","")&amp;"␟"&amp;IFERROR(INDEX(PASTE_ALL,$DF62,33)&amp;"","")&amp;"␟"&amp;IFERROR(INDEX(PASTE_ALL,$DF62,34)&amp;"","")&amp;"␟"&amp;IFERROR(INDEX(PASTE_ALL,$DF62,35)&amp;"","")&amp;"␟"&amp;IFERROR(INDEX(PASTE_ALL,$DF62,36)&amp;"","")&amp;"␟"&amp;IFERROR(INDEX(PASTE_ALL,$DF62,37)&amp;"","")&amp;"␟"&amp;IFERROR(INDEX(PASTE_ALL,$DF62,38)&amp;"","")&amp;"␟"&amp;IFERROR(INDEX(PASTE_ALL,$DF62,39)&amp;"","")&amp;"␟"&amp;IFERROR(INDEX(PASTE_ALL,$DF62,40)&amp;"","")&amp;"␟"&amp;IFERROR(INDEX(PASTE_ALL,$DF62,41)&amp;"","")&amp;"␟"&amp;IFERROR(INDEX(PASTE_ALL,$DF62,42)&amp;"","")&amp;"␟"&amp;IFERROR(INDEX(PASTE_ALL,$DF62,43)&amp;"","")&amp;"␟"&amp;IFERROR(INDEX(PASTE_ALL,$DF62,44)&amp;"","")&amp;"␟"&amp;IFERROR(INDEX(PASTE_ALL,$DF62,45)&amp;"","")&amp;"␟"&amp;IFERROR(INDEX(PASTE_ALL,$DF62,46)&amp;"","")&amp;"␟"&amp;IFERROR(INDEX(PASTE_ALL,$DF62,47)&amp;"","")&amp;"␟"&amp;IFERROR(INDEX(PASTE_ALL,$DF62,48)&amp;"","")&amp;"␟"&amp;IFERROR(INDEX(PASTE_ALL,$DF62,49)&amp;"","")&amp;"␟"&amp;IFERROR(INDEX(PASTE_ALL,$DF62,50)&amp;"","")&amp;"␟"&amp;IFERROR(INDEX(PASTE_ALL,$DF62,51)&amp;"","")&amp;"␟"&amp;IFERROR(INDEX(PASTE_ALL,$DF62,52)&amp;"","")&amp;"␟"&amp;IFERROR(INDEX(PASTE_ALL,$DF62,53)&amp;"","")&amp;"␟"&amp;IFERROR(INDEX(PASTE_ALL,$DF62,54)&amp;"","")&amp;"␟"&amp;IFERROR(INDEX(PASTE_ALL,$DF62,55)&amp;"","")&amp;"␟"&amp;IFERROR(INDEX(PASTE_ALL,$DF62,56)&amp;"","")&amp;"␟"&amp;IFERROR(INDEX(PASTE_ALL,$DF62,57)&amp;"","")&amp;"␟"&amp;IFERROR(INDEX(PASTE_ALL,$DF62,58)&amp;"","")&amp;"␟"&amp;IFERROR(INDEX(PASTE_ALL,$DF62,59)&amp;"","")&amp;"␟"&amp;IFERROR(INDEX(PASTE_ALL,$DF62,60)&amp;"","")," "," "),CHAR(9)," "),CHAR(10)," "),CHAR(13)," "))," ␟","␟"),"␟ ","␟"),"#"&amp;$DE62),"")</f>
        <v/>
      </c>
      <c r="DJ62">
        <f>IF($DI62="",0,IF(SUMPRODUCT(--EXACT($DI$4:DI61,$DI62))&gt;0,1,0))</f>
        <v/>
      </c>
      <c r="DK62">
        <f>IF(AND($DI62&lt;&gt;"",$DJ62=0),1,0)</f>
        <v/>
      </c>
      <c r="DL62">
        <f>DL61+$DK62</f>
        <v/>
      </c>
      <c r="DM62">
        <f>IF(AND($DK62=1,$DL62&lt;=600),1,0)</f>
        <v/>
      </c>
      <c r="DN62">
        <f>IF($DM62=0,"",IF($L$6=0,"",IFERROR(IF(ISNUMBER(INDEX(PASTE_ALL,$DF62,$L$6)),INDEX(PASTE_ALL,$DF62,$L$6),TRIM(SUBSTITUTE(SUBSTITUTE(SUBSTITUTE(SUBSTITUTE(INDEX(PASTE_ALL,$DF62,$L$6)," "," "),CHAR(9)," "),CHAR(10)," "),CHAR(13)," "))),"")))</f>
        <v/>
      </c>
      <c r="DO62">
        <f>IF($DM62=0,"",IF($L$7=0,"",IFERROR(IF(ISNUMBER(INDEX(PASTE_ALL,$DF62,$L$7)),INDEX(PASTE_ALL,$DF62,$L$7),TRIM(SUBSTITUTE(SUBSTITUTE(SUBSTITUTE(SUBSTITUTE(INDEX(PASTE_ALL,$DF62,$L$7)," "," "),CHAR(9)," "),CHAR(10)," "),CHAR(13)," "))),"")))</f>
        <v/>
      </c>
      <c r="DP62">
        <f>IF($DM62=0,"",IF($L$8=0,"",IFERROR(IF(ISNUMBER(INDEX(PASTE_ALL,$DF62,$L$8)),INDEX(PASTE_ALL,$DF62,$L$8),TRIM(SUBSTITUTE(SUBSTITUTE(SUBSTITUTE(SUBSTITUTE(INDEX(PASTE_ALL,$DF62,$L$8)," "," "),CHAR(9)," "),CHAR(10)," "),CHAR(13)," "))),"")))</f>
        <v/>
      </c>
      <c r="DQ62">
        <f>IF($DM62=0,"",IF($L$9=0,"",IFERROR(IF(ISNUMBER(INDEX(PASTE_ALL,$DF62,$L$9)),INDEX(PASTE_ALL,$DF62,$L$9),TRIM(SUBSTITUTE(SUBSTITUTE(SUBSTITUTE(SUBSTITUTE(INDEX(PASTE_ALL,$DF62,$L$9)," "," "),CHAR(9)," "),CHAR(10)," "),CHAR(13)," "))),"")))</f>
        <v/>
      </c>
      <c r="DR62">
        <f>IF($DM62=0,"",IF($L$10=0,"",IFERROR(IF(ISNUMBER(INDEX(PASTE_ALL,$DF62,$L$10)),INDEX(PASTE_ALL,$DF62,$L$10),TRIM(SUBSTITUTE(SUBSTITUTE(SUBSTITUTE(SUBSTITUTE(INDEX(PASTE_ALL,$DF62,$L$10)," "," "),CHAR(9)," "),CHAR(10)," "),CHAR(13)," "))),"")))</f>
        <v/>
      </c>
      <c r="DS62">
        <f>IF($DM62=0,"",IF($L$11=0,"",IFERROR(IF(ISNUMBER(INDEX(PASTE_ALL,$DF62,$L$11)),INDEX(PASTE_ALL,$DF62,$L$11),TRIM(SUBSTITUTE(SUBSTITUTE(SUBSTITUTE(SUBSTITUTE(INDEX(PASTE_ALL,$DF62,$L$11)," "," "),CHAR(9)," "),CHAR(10)," "),CHAR(13)," "))),"")))</f>
        <v/>
      </c>
      <c r="DT62">
        <f>IF($DM62=0,"",IF($L$12=0,"",IFERROR(IF(ISNUMBER(INDEX(PASTE_ALL,$DF62,$L$12)),INDEX(PASTE_ALL,$DF62,$L$12),TRIM(SUBSTITUTE(SUBSTITUTE(SUBSTITUTE(SUBSTITUTE(INDEX(PASTE_ALL,$DF62,$L$12)," "," "),CHAR(9)," "),CHAR(10)," "),CHAR(13)," "))),"")))</f>
        <v/>
      </c>
      <c r="DU62">
        <f>IF($DM62=0,"",IF($L$13=0,"",IFERROR(IF(ISNUMBER(INDEX(PASTE_ALL,$DF62,$L$13)),INDEX(PASTE_ALL,$DF62,$L$13),TRIM(SUBSTITUTE(SUBSTITUTE(SUBSTITUTE(SUBSTITUTE(INDEX(PASTE_ALL,$DF62,$L$13)," "," "),CHAR(9)," "),CHAR(10)," "),CHAR(13)," "))),"")))</f>
        <v/>
      </c>
      <c r="DV62">
        <f>IF($DM62=0,"",IF($L$14=0,"",IFERROR(IF(ISNUMBER(INDEX(PASTE_ALL,$DF62,$L$14)),INDEX(PASTE_ALL,$DF62,$L$14),TRIM(SUBSTITUTE(SUBSTITUTE(SUBSTITUTE(SUBSTITUTE(INDEX(PASTE_ALL,$DF62,$L$14)," "," "),CHAR(9)," "),CHAR(10)," "),CHAR(13)," "))),"")))</f>
        <v/>
      </c>
      <c r="DW62">
        <f>IF($DM62=0,"",IF($L$15=0,"",IFERROR(IF(ISNUMBER(INDEX(PASTE_ALL,$DF62,$L$15)),INDEX(PASTE_ALL,$DF62,$L$15),IF(SUMPRODUCT(--ISNUMBER(FIND({"A","B","C","D","E","F","G","H","I","J","K","L","M","N","O","P","Q","R","S","T","U","V","W","X","Y","Z","0","1","2","3","4","5","6","7","8","9"},UPPER(TRIM(SUBSTITUTE(SUBSTITUTE(SUBSTITUTE(SUBSTITUTE(INDEX(PASTE_ALL,$DF62,$L$15)," "," "),CHAR(9)," "),CHAR(10)," "),CHAR(13)," "))))))&gt;0,TRIM(SUBSTITUTE(SUBSTITUTE(SUBSTITUTE(SUBSTITUTE(INDEX(PASTE_ALL,$DF62,$L$15)," "," "),CHAR(9)," "),CHAR(10)," "),CHAR(13)," ")),"")),"")))</f>
        <v/>
      </c>
      <c r="DX62">
        <f>IF($DM62=0,"",IF($L$16=0,"",IFERROR(IF(ISNUMBER(INDEX(PASTE_ALL,$DF62,$L$16)),INDEX(PASTE_ALL,$DF62,$L$16),SUBSTITUTE(SUBSTITUTE(TRIM(SUBSTITUTE(SUBSTITUTE(SUBSTITUTE(SUBSTITUTE(INDEX(PASTE_ALL,$DF62,$L$16)," "," "),CHAR(9)," "),CHAR(10)," "),CHAR(13)," ")),",",""),"%","")),"")))</f>
        <v/>
      </c>
      <c r="DY62">
        <f>IF($DM62=0,"",IFERROR(IF(ISNUMBER($DX62),$DX62,IF($DX62="","",IF(TRIM($DX62)="",0,IF(AND(AND(SUBSTITUTE(SUBSTITUTE(SUBSTITUTE(SUBSTITUTE(SUBSTITUTE(SUBSTITUTE(SUBSTITUTE(SUBSTITUTE(SUBSTITUTE(SUBSTITUTE(SUBSTITUTE(SUBSTITUTE(SUBSTITUTE(SUBSTITUTE(UPPER(TRIM($DX62)),"0",""),"1",""),"2",""),"3",""),"4",""),"5",""),"6",""),"7",""),"8",""),"9",""),".",""),"+",""),"-",""),"E","")="",LEN(SUBSTITUTE(SUBSTITUTE(MID(UPPER(TRIM($DX62)),1+OR(LEFT(UPPER(TRIM($DX62)),1)="+",LEFT(UPPER(TRIM($DX62)),1)="-"),999),"E+","E"),"E-","E"))=LEN(SUBSTITUTE(SUBSTITUTE(SUBSTITUTE(SUBSTITUTE(MID(UPPER(TRIM($DX62)),1+OR(LEFT(UPPER(TRIM($DX62)),1)="+",LEFT(UPPER(TRIM($DX62)),1)="-"),999),"E+","E"),"E-","E"),"+",""),"-","")),LEN(UPPER(TRIM($DX62)))-LEN(SUBSTITUTE(UPPER(TRIM($DX62)),"E",""))&lt;2,LEN(UPPER(TRIM($DX62)))-LEN(SUBSTITUTE(UPPER(TRIM($DX62)),".",""))&lt;2,IFERROR(FIND(".",UPPER(TRIM($DX62))),0)&lt;IFERROR(FIND("E",UPPER(TRIM($DX62))),999)),ISNUMBER(VALUE(TRIM($DX62)))),VALUE(TRIM($DX62)),"")))),""))</f>
        <v/>
      </c>
      <c r="DZ62">
        <f>IF($DM62=0,"",IF($L$17=0,"",IFERROR(IF(ISNUMBER(INDEX(PASTE_ALL,$DF62,$L$17)),INDEX(PASTE_ALL,$DF62,$L$17),SUBSTITUTE(SUBSTITUTE(TRIM(SUBSTITUTE(SUBSTITUTE(SUBSTITUTE(SUBSTITUTE(INDEX(PASTE_ALL,$DF62,$L$17)," "," "),CHAR(9)," "),CHAR(10)," "),CHAR(13)," ")),",",""),"%","")),"")))</f>
        <v/>
      </c>
      <c r="EA62">
        <f>IF($DM62=0,"",IFERROR(IF(ISNUMBER($DZ62),$DZ62,IF($DZ62="","",IF(TRIM($DZ62)="",0,IF(AND(AND(SUBSTITUTE(SUBSTITUTE(SUBSTITUTE(SUBSTITUTE(SUBSTITUTE(SUBSTITUTE(SUBSTITUTE(SUBSTITUTE(SUBSTITUTE(SUBSTITUTE(SUBSTITUTE(SUBSTITUTE(SUBSTITUTE(SUBSTITUTE(UPPER(TRIM($DZ62)),"0",""),"1",""),"2",""),"3",""),"4",""),"5",""),"6",""),"7",""),"8",""),"9",""),".",""),"+",""),"-",""),"E","")="",LEN(SUBSTITUTE(SUBSTITUTE(MID(UPPER(TRIM($DZ62)),1+OR(LEFT(UPPER(TRIM($DZ62)),1)="+",LEFT(UPPER(TRIM($DZ62)),1)="-"),999),"E+","E"),"E-","E"))=LEN(SUBSTITUTE(SUBSTITUTE(SUBSTITUTE(SUBSTITUTE(MID(UPPER(TRIM($DZ62)),1+OR(LEFT(UPPER(TRIM($DZ62)),1)="+",LEFT(UPPER(TRIM($DZ62)),1)="-"),999),"E+","E"),"E-","E"),"+",""),"-","")),LEN(UPPER(TRIM($DZ62)))-LEN(SUBSTITUTE(UPPER(TRIM($DZ62)),"E",""))&lt;2,LEN(UPPER(TRIM($DZ62)))-LEN(SUBSTITUTE(UPPER(TRIM($DZ62)),".",""))&lt;2,IFERROR(FIND(".",UPPER(TRIM($DZ62))),0)&lt;IFERROR(FIND("E",UPPER(TRIM($DZ62))),999)),ISNUMBER(VALUE(TRIM($DZ62)))),VALUE(TRIM($DZ62)),"")))),""))</f>
        <v/>
      </c>
      <c r="EB62">
        <f>IF($DM62=0,"",IF($L$18=0,"",IFERROR(IF(UPPER(TRIM(SUBSTITUTE(SUBSTITUTE(SUBSTITUTE(SUBSTITUTE(INDEX(PASTE_ALL,$DF62,$L$18)," "," "),CHAR(9)," "),CHAR(10)," "),CHAR(13)," ")))="READY","Ready",IF(UPPER(TRIM(SUBSTITUTE(SUBSTITUTE(SUBSTITUTE(SUBSTITUTE(INDEX(PASTE_ALL,$DF62,$L$18)," "," "),CHAR(9)," "),CHAR(10)," "),CHAR(13)," ")))="PM","PM",IF(OR(UPPER(TRIM(SUBSTITUTE(SUBSTITUTE(SUBSTITUTE(SUBSTITUTE(INDEX(PASTE_ALL,$DF62,$L$18)," "," "),CHAR(9)," "),CHAR(10)," "),CHAR(13)," ")))="OT",UPPER(TRIM(SUBSTITUTE(SUBSTITUTE(SUBSTITUTE(SUBSTITUTE(INDEX(PASTE_ALL,$DF62,$L$18)," "," "),CHAR(9)," "),CHAR(10)," "),CHAR(13)," ")))="OVERTIME",UPPER(TRIM(SUBSTITUTE(SUBSTITUTE(SUBSTITUTE(SUBSTITUTE(INDEX(PASTE_ALL,$DF62,$L$18)," "," "),CHAR(9)," "),CHAR(10)," "),CHAR(13)," ")))="TRIAL"),"OT",TRIM(SUBSTITUTE(SUBSTITUTE(SUBSTITUTE(SUBSTITUTE(INDEX(PASTE_ALL,$DF62,$L$18)," "," "),CHAR(9)," "),CHAR(10)," "),CHAR(13)," "))))),"")))</f>
        <v/>
      </c>
      <c r="EC62">
        <f>IF($DM62=0,"",IF($L$19=0,"",IFERROR(IF(ISNUMBER(INDEX(PASTE_ALL,$DF62,$L$19)),INDEX(PASTE_ALL,$DF62,$L$19),TRIM(SUBSTITUTE(SUBSTITUTE(SUBSTITUTE(SUBSTITUTE(INDEX(PASTE_ALL,$DF62,$L$19)," "," "),CHAR(9)," "),CHAR(10)," "),CHAR(13)," "))),"")))</f>
        <v/>
      </c>
      <c r="ED62">
        <f>IF($DM62=0,"",MATCH(1,INDEX(EXACT($DH$5:DH62,$DH62)*$DM$5:DM62,0),0))</f>
        <v/>
      </c>
      <c r="EE62">
        <f>IF($DM62=0,0,IF($ED62=$DE62,1,0))</f>
        <v/>
      </c>
      <c r="EF62">
        <f>EF61+$EE62</f>
        <v/>
      </c>
      <c r="EG62">
        <f>IF($DM62=0,"",INDEX($EF$5:$EF$1003,$ED62))</f>
        <v/>
      </c>
      <c r="EH62">
        <f>IF($DM62=0,"",IF($DO62&lt;&gt;"","",IFERROR(LOOKUP(2,1/(($EG$4:EG61=$EG62)*($DO$4:DO61&lt;&gt;"")),$DO$4:DO61),"")))</f>
        <v/>
      </c>
      <c r="EI62">
        <f>IF($DM62=0,"",IF($DO62&lt;&gt;"",$DO62,$EH62))</f>
        <v/>
      </c>
      <c r="EJ62">
        <f>IF($DM62=0,"",IF($EI62="",0,IF(OR(ISNUMBER($EI62),AND(AND(SUBSTITUTE(SUBSTITUTE(SUBSTITUTE(SUBSTITUTE(SUBSTITUTE(SUBSTITUTE(SUBSTITUTE(SUBSTITUTE(SUBSTITUTE(SUBSTITUTE(SUBSTITUTE(SUBSTITUTE(SUBSTITUTE(SUBSTITUTE(UPPER($EI62),"0",""),"1",""),"2",""),"3",""),"4",""),"5",""),"6",""),"7",""),"8",""),"9",""),".",""),"+",""),"-",""),"E","")="",LEN(SUBSTITUTE(SUBSTITUTE(MID(UPPER($EI62),1+OR(LEFT(UPPER($EI62),1)="+",LEFT(UPPER($EI62),1)="-"),999),"E+","E"),"E-","E"))=LEN(SUBSTITUTE(SUBSTITUTE(SUBSTITUTE(SUBSTITUTE(MID(UPPER($EI62),1+OR(LEFT(UPPER($EI62),1)="+",LEFT(UPPER($EI62),1)="-"),999),"E+","E"),"E-","E"),"+",""),"-","")),LEN(UPPER($EI62))-LEN(SUBSTITUTE(UPPER($EI62),"E",""))&lt;2,LEN(UPPER($EI62))-LEN(SUBSTITUTE(UPPER($EI62),".",""))&lt;2,IFERROR(FIND(".",UPPER($EI62)),0)&lt;IFERROR(FIND("E",UPPER($EI62)),999)),ISNUMBER(VALUE($EI62)))),1,2)))</f>
        <v/>
      </c>
      <c r="EK62">
        <f>IF($DM62=0,"",IF($EJ62=1,IF(ISNUMBER($EI62),$EI62,VALUE($EI62)),IF($EJ62=2,$DE62,0)))</f>
        <v/>
      </c>
      <c r="EL62">
        <f>IF($DM62=0,"",COUNTIF($EG$5:$EG$1003,"&lt;"&amp;$EG62)+SUMPRODUCT(($EG$5:$EG$1003=$EG62)*(($EJ$5:$EJ$1003&lt;$EJ62)+($EJ$5:$EJ$1003=$EJ62)*(($EK$5:$EK$1003&lt;$EK62)+($EK$5:$EK$1003=$EK62)*($DE$5:$DE$1003&lt;$DE62))))+1)</f>
        <v/>
      </c>
      <c r="EM62">
        <f>IF($DM62=0,"",$EL62+$EG62-1)</f>
        <v/>
      </c>
      <c r="EN62">
        <f>IF($DM62=0,0,IFERROR(MATCH(1,INDEX(--(TRIM(SUBSTITUTE(SUBSTITUTE(SUBSTITUTE(SUBSTITUTE(LINES_NAME&amp;""," "," "),CHAR(9)," "),CHAR(10)," "),CHAR(13)," "))=$DH62),0),0),0))</f>
        <v/>
      </c>
      <c r="EO62">
        <f>IF($EN62=0,0,IF(OR(UPPER(TRIM(INDEX(LINES_SCHEDULED,$EN62)&amp;""))="YES",UPPER(TRIM(INDEX(LINES_SCHEDULED,$EN62)&amp;""))="Y",UPPER(TRIM(INDEX(LINES_SCHEDULED,$EN62)&amp;""))="X"),1,0))</f>
        <v/>
      </c>
      <c r="EP62">
        <f>IF($DM62=0,"",IF(COUNTIFS($EG$5:$EG$1003,$EG62,$EB$5:$EB$1003,"Ready")&gt;0,"READY",IF(COUNTIFS($EG$5:$EG$1003,$EG62,$EB$5:$EB$1003,"PM")&gt;0,"PM",IF(COUNTIFS($EG$5:$EG$1003,$EG62,$EB$5:$EB$1003,"OT")&gt;0,"OT",""))))</f>
        <v/>
      </c>
      <c r="EQ62">
        <f>IF($EN62=0,"",UPPER(TRIM(INDEX(LINES_STATUS,$EN62)&amp;"")))</f>
        <v/>
      </c>
      <c r="ER62">
        <f>IF($DM62=0,"",IF(OR($EQ62="READY",$EQ62="PM",$EQ62="OT"),$EQ62,$EP62))</f>
        <v/>
      </c>
      <c r="ES62">
        <f>IF($DM62=0,"",IF(AND($DV62&lt;&gt;"",UPPER($DV62)&lt;&gt;"N"),"allergen",IF(ISNUMBER(SEARCH("oil",$DQ62)),"oil",IF(OR(EXACT($DS62,"A662"),EXACT($DS62,"A624")),"bulk",""))))</f>
        <v/>
      </c>
      <c r="ET62">
        <f>IF($DM62=0,"",IF(OR($EA62="",$EA62=0),"",$EA62/100))</f>
        <v/>
      </c>
      <c r="EU62">
        <f>IF(OR($ET62="",$DY62=""),"",INT($DY62*(1-$ET62)+0.5))</f>
        <v/>
      </c>
      <c r="EW62" t="n">
        <v>58</v>
      </c>
      <c r="EX62">
        <f>IFERROR(MATCH($EW62,$EM$5:$EM$1003,0),0)</f>
        <v/>
      </c>
      <c r="EY62">
        <f>IF($EW62&gt;$B$12,"",IF($EX62&gt;0,"row","spacer"))</f>
        <v/>
      </c>
      <c r="EZ62">
        <f>IF(AND($EY62="row",$EY61&lt;&gt;"row"),1,0)</f>
        <v/>
      </c>
      <c r="FA62">
        <f>IF(AND($EY62="row",$EY63&lt;&gt;"row"),1,0)</f>
        <v/>
      </c>
      <c r="FB62">
        <f>IF($EZ62=1,IFERROR(IF(ISNUMBER(INDEX(PASTE_ALL,INDEX($DF$5:$DF$1003,$EX62),$B$37)),INDEX(PASTE_ALL,INDEX($DF$5:$DF$1003,$EX62),$B$37),INDEX($DH$5:$DH$1003,$EX62)),INDEX($DH$5:$DH$1003,$EX62)),"")</f>
        <v/>
      </c>
      <c r="FC62">
        <f>IF($EY62="row",INDEX($ER$5:$ER$1003,$EX62),"")</f>
        <v/>
      </c>
      <c r="FD62">
        <f>IF($EY62="row",INDEX($DN$5:$DN$1003,$EX62),"")</f>
        <v/>
      </c>
      <c r="FE62">
        <f>IF($EY62="row",INDEX($DO$5:$DO$1003,$EX62),"")</f>
        <v/>
      </c>
      <c r="FF62">
        <f>IF($EY62="row",INDEX($DP$5:$DP$1003,$EX62),"")</f>
        <v/>
      </c>
      <c r="FG62">
        <f>IF($EY62="row",INDEX($DQ$5:$DQ$1003,$EX62),"")</f>
        <v/>
      </c>
      <c r="FH62">
        <f>IF($EY62="row",INDEX($DR$5:$DR$1003,$EX62),"")</f>
        <v/>
      </c>
      <c r="FI62">
        <f>IF($EY62="row",INDEX($DS$5:$DS$1003,$EX62),"")</f>
        <v/>
      </c>
      <c r="FJ62">
        <f>IF($EY62="row",INDEX($DT$5:$DT$1003,$EX62),"")</f>
        <v/>
      </c>
      <c r="FK62">
        <f>IF($EY62="row",INDEX($DU$5:$DU$1003,$EX62),"")</f>
        <v/>
      </c>
      <c r="FL62">
        <f>IF($EY62="row",INDEX($DV$5:$DV$1003,$EX62),"")</f>
        <v/>
      </c>
      <c r="FM62">
        <f>IF($EY62="row",INDEX($DW$5:$DW$1003,$EX62),"")</f>
        <v/>
      </c>
      <c r="FN62">
        <f>IF($EY62="row",INDEX($DY$5:$DY$1003,$EX62),"")</f>
        <v/>
      </c>
      <c r="FO62">
        <f>IF($EY62="row",INDEX($EA$5:$EA$1003,$EX62),"")</f>
        <v/>
      </c>
      <c r="FP62">
        <f>IF($EY62="row",INDEX($EC$5:$EC$1003,$EX62),"")</f>
        <v/>
      </c>
      <c r="FQ62">
        <f>IF($EY62="row",INDEX($ET$5:$ET$1003,$EX62),"")</f>
        <v/>
      </c>
      <c r="FR62">
        <f>IF($EY62="row",INDEX($EU$5:$EU$1003,$EX62),"")</f>
        <v/>
      </c>
      <c r="FS62">
        <f>IF(AND($EY62="row",$EY61="row"),IF(OR(INDEX($DT$5:$DT$1003,$EX61)="",INDEX($DT$5:$DT$1003,$EX62)=""),"",IF(NOT(EXACT(INDEX($DT$5:$DT$1003,$EX61),INDEX($DT$5:$DT$1003,$EX62))),"S4",IF(NOT(EXACT(INDEX($DS$5:$DS$1003,$EX61),INDEX($DS$5:$DS$1003,$EX62))),"S3",IF(NOT(EXACT(INDEX($DR$5:$DR$1003,$EX61),INDEX($DR$5:$DR$1003,$EX62))),"S1 Count Change","S1")))),"")</f>
        <v/>
      </c>
      <c r="FT62">
        <f>IF($EY62="row",INDEX($ES$5:$ES$1003,$EX62),"")</f>
        <v/>
      </c>
      <c r="FU62">
        <f>IF($EY62="row",INDEX($EO$5:$EO$1003,$EX62),0)</f>
        <v/>
      </c>
      <c r="FV62">
        <f>IF($FS62="S1 Count Change",1,0)</f>
        <v/>
      </c>
      <c r="FX62" t="n">
        <v>58</v>
      </c>
      <c r="FY62">
        <f>IFERROR(MATCH($FX62,$EF$5:$EF$1003,0),0)</f>
        <v/>
      </c>
      <c r="FZ62">
        <f>IF($FY62=0,"",INDEX($DH$5:$DH$1003,$FY62))</f>
        <v/>
      </c>
      <c r="GA62">
        <f>IF($FY62=0,"",COUNTIF($EG$5:$EG$1003,$FX62))</f>
        <v/>
      </c>
      <c r="GB62">
        <f>IF($FY62=0,"",INDEX($ER$5:$ER$1003,$FY62))</f>
        <v/>
      </c>
      <c r="GC62">
        <f>IF($FY62=0,"",IF(INDEX($EO$5:$EO$1003,$FY62)=1,"Yes",""))</f>
        <v/>
      </c>
      <c r="GD62">
        <f>IF($FY62=0,"",IF(INDEX($EN$5:$EN$1003,$FY62)&gt;0,"","NOT IN YOUR LIST - type it in column A to tick it"))</f>
        <v/>
      </c>
      <c r="GE62">
        <f>IF(AND($FY62&gt;0,$GD62&lt;&gt;""),1,0)</f>
        <v/>
      </c>
      <c r="GF62">
        <f>GF61+$GE62</f>
        <v/>
      </c>
      <c r="GG62">
        <f>IFERROR(INDEX($FZ$5:$FZ$104,MATCH($FX62,$GF$5:$GF$104,0)),"")</f>
        <v/>
      </c>
    </row>
    <row r="63">
      <c r="S63" t="n">
        <v>59</v>
      </c>
      <c r="T63" t="inlineStr">
        <is>
          <t>BG</t>
        </is>
      </c>
      <c r="V63" t="inlineStr">
        <is>
          <t>REMARKS</t>
        </is>
      </c>
      <c r="W63" t="n">
        <v>11</v>
      </c>
      <c r="Y63">
        <f>IFERROR(IF(ISNUMBER(INDEX(PASTE_ALL,14,1)),2,IF(TRIM(INDEX(PASTE_ALL,14,1))="",0,IF(AND(LEFT(MID(TRIM(INDEX(PASTE_ALL,14,1)),1+(LEFT(TRIM(INDEX(PASTE_ALL,14,1)),1)="-"),999),LEN(MID(TRIM(INDEX(PASTE_ALL,14,1)),1+(LEFT(TRIM(INDEX(PASTE_ALL,14,1)),1)="-"),999))-(RIGHT(MID(TRIM(INDEX(PASTE_ALL,14,1)),1+(LEFT(TRIM(INDEX(PASTE_ALL,14,1)),1)="-"),999),1)="%"))&lt;&gt;"",SUBSTITUTE(SUBSTITUTE(SUBSTITUTE(SUBSTITUTE(SUBSTITUTE(SUBSTITUTE(SUBSTITUTE(SUBSTITUTE(SUBSTITUTE(SUBSTITUTE(SUBSTITUTE(SUBSTITUTE(LEFT(MID(TRIM(INDEX(PASTE_ALL,14,1)),1+(LEFT(TRIM(INDEX(PASTE_ALL,14,1)),1)="-"),999),LEN(MID(TRIM(INDEX(PASTE_ALL,14,1)),1+(LEFT(TRIM(INDEX(PASTE_ALL,14,1)),1)="-"),999))-(RIGHT(MID(TRIM(INDEX(PASTE_ALL,14,1)),1+(LEFT(TRIM(INDEX(PASTE_ALL,14,1)),1)="-"),999),1)="%")),"0",""),"1",""),"2",""),"3",""),"4",""),"5",""),"6",""),"7",""),"8",""),"9",""),".",""),",","")=""),2,1))),1)</f>
        <v/>
      </c>
      <c r="Z63">
        <f>IFERROR(IF(ISNUMBER(INDEX(PASTE_ALL,14,2)),2,IF(TRIM(INDEX(PASTE_ALL,14,2))="",0,IF(AND(LEFT(MID(TRIM(INDEX(PASTE_ALL,14,2)),1+(LEFT(TRIM(INDEX(PASTE_ALL,14,2)),1)="-"),999),LEN(MID(TRIM(INDEX(PASTE_ALL,14,2)),1+(LEFT(TRIM(INDEX(PASTE_ALL,14,2)),1)="-"),999))-(RIGHT(MID(TRIM(INDEX(PASTE_ALL,14,2)),1+(LEFT(TRIM(INDEX(PASTE_ALL,14,2)),1)="-"),999),1)="%"))&lt;&gt;"",SUBSTITUTE(SUBSTITUTE(SUBSTITUTE(SUBSTITUTE(SUBSTITUTE(SUBSTITUTE(SUBSTITUTE(SUBSTITUTE(SUBSTITUTE(SUBSTITUTE(SUBSTITUTE(SUBSTITUTE(LEFT(MID(TRIM(INDEX(PASTE_ALL,14,2)),1+(LEFT(TRIM(INDEX(PASTE_ALL,14,2)),1)="-"),999),LEN(MID(TRIM(INDEX(PASTE_ALL,14,2)),1+(LEFT(TRIM(INDEX(PASTE_ALL,14,2)),1)="-"),999))-(RIGHT(MID(TRIM(INDEX(PASTE_ALL,14,2)),1+(LEFT(TRIM(INDEX(PASTE_ALL,14,2)),1)="-"),999),1)="%")),"0",""),"1",""),"2",""),"3",""),"4",""),"5",""),"6",""),"7",""),"8",""),"9",""),".",""),",","")=""),2,1))),1)</f>
        <v/>
      </c>
      <c r="AA63">
        <f>IFERROR(IF(ISNUMBER(INDEX(PASTE_ALL,14,3)),2,IF(TRIM(INDEX(PASTE_ALL,14,3))="",0,IF(AND(LEFT(MID(TRIM(INDEX(PASTE_ALL,14,3)),1+(LEFT(TRIM(INDEX(PASTE_ALL,14,3)),1)="-"),999),LEN(MID(TRIM(INDEX(PASTE_ALL,14,3)),1+(LEFT(TRIM(INDEX(PASTE_ALL,14,3)),1)="-"),999))-(RIGHT(MID(TRIM(INDEX(PASTE_ALL,14,3)),1+(LEFT(TRIM(INDEX(PASTE_ALL,14,3)),1)="-"),999),1)="%"))&lt;&gt;"",SUBSTITUTE(SUBSTITUTE(SUBSTITUTE(SUBSTITUTE(SUBSTITUTE(SUBSTITUTE(SUBSTITUTE(SUBSTITUTE(SUBSTITUTE(SUBSTITUTE(SUBSTITUTE(SUBSTITUTE(LEFT(MID(TRIM(INDEX(PASTE_ALL,14,3)),1+(LEFT(TRIM(INDEX(PASTE_ALL,14,3)),1)="-"),999),LEN(MID(TRIM(INDEX(PASTE_ALL,14,3)),1+(LEFT(TRIM(INDEX(PASTE_ALL,14,3)),1)="-"),999))-(RIGHT(MID(TRIM(INDEX(PASTE_ALL,14,3)),1+(LEFT(TRIM(INDEX(PASTE_ALL,14,3)),1)="-"),999),1)="%")),"0",""),"1",""),"2",""),"3",""),"4",""),"5",""),"6",""),"7",""),"8",""),"9",""),".",""),",","")=""),2,1))),1)</f>
        <v/>
      </c>
      <c r="AB63">
        <f>IFERROR(IF(ISNUMBER(INDEX(PASTE_ALL,14,4)),2,IF(TRIM(INDEX(PASTE_ALL,14,4))="",0,IF(AND(LEFT(MID(TRIM(INDEX(PASTE_ALL,14,4)),1+(LEFT(TRIM(INDEX(PASTE_ALL,14,4)),1)="-"),999),LEN(MID(TRIM(INDEX(PASTE_ALL,14,4)),1+(LEFT(TRIM(INDEX(PASTE_ALL,14,4)),1)="-"),999))-(RIGHT(MID(TRIM(INDEX(PASTE_ALL,14,4)),1+(LEFT(TRIM(INDEX(PASTE_ALL,14,4)),1)="-"),999),1)="%"))&lt;&gt;"",SUBSTITUTE(SUBSTITUTE(SUBSTITUTE(SUBSTITUTE(SUBSTITUTE(SUBSTITUTE(SUBSTITUTE(SUBSTITUTE(SUBSTITUTE(SUBSTITUTE(SUBSTITUTE(SUBSTITUTE(LEFT(MID(TRIM(INDEX(PASTE_ALL,14,4)),1+(LEFT(TRIM(INDEX(PASTE_ALL,14,4)),1)="-"),999),LEN(MID(TRIM(INDEX(PASTE_ALL,14,4)),1+(LEFT(TRIM(INDEX(PASTE_ALL,14,4)),1)="-"),999))-(RIGHT(MID(TRIM(INDEX(PASTE_ALL,14,4)),1+(LEFT(TRIM(INDEX(PASTE_ALL,14,4)),1)="-"),999),1)="%")),"0",""),"1",""),"2",""),"3",""),"4",""),"5",""),"6",""),"7",""),"8",""),"9",""),".",""),",","")=""),2,1))),1)</f>
        <v/>
      </c>
      <c r="AC63">
        <f>IFERROR(IF(ISNUMBER(INDEX(PASTE_ALL,14,5)),2,IF(TRIM(INDEX(PASTE_ALL,14,5))="",0,IF(AND(LEFT(MID(TRIM(INDEX(PASTE_ALL,14,5)),1+(LEFT(TRIM(INDEX(PASTE_ALL,14,5)),1)="-"),999),LEN(MID(TRIM(INDEX(PASTE_ALL,14,5)),1+(LEFT(TRIM(INDEX(PASTE_ALL,14,5)),1)="-"),999))-(RIGHT(MID(TRIM(INDEX(PASTE_ALL,14,5)),1+(LEFT(TRIM(INDEX(PASTE_ALL,14,5)),1)="-"),999),1)="%"))&lt;&gt;"",SUBSTITUTE(SUBSTITUTE(SUBSTITUTE(SUBSTITUTE(SUBSTITUTE(SUBSTITUTE(SUBSTITUTE(SUBSTITUTE(SUBSTITUTE(SUBSTITUTE(SUBSTITUTE(SUBSTITUTE(LEFT(MID(TRIM(INDEX(PASTE_ALL,14,5)),1+(LEFT(TRIM(INDEX(PASTE_ALL,14,5)),1)="-"),999),LEN(MID(TRIM(INDEX(PASTE_ALL,14,5)),1+(LEFT(TRIM(INDEX(PASTE_ALL,14,5)),1)="-"),999))-(RIGHT(MID(TRIM(INDEX(PASTE_ALL,14,5)),1+(LEFT(TRIM(INDEX(PASTE_ALL,14,5)),1)="-"),999),1)="%")),"0",""),"1",""),"2",""),"3",""),"4",""),"5",""),"6",""),"7",""),"8",""),"9",""),".",""),",","")=""),2,1))),1)</f>
        <v/>
      </c>
      <c r="AD63">
        <f>IFERROR(IF(ISNUMBER(INDEX(PASTE_ALL,14,6)),2,IF(TRIM(INDEX(PASTE_ALL,14,6))="",0,IF(AND(LEFT(MID(TRIM(INDEX(PASTE_ALL,14,6)),1+(LEFT(TRIM(INDEX(PASTE_ALL,14,6)),1)="-"),999),LEN(MID(TRIM(INDEX(PASTE_ALL,14,6)),1+(LEFT(TRIM(INDEX(PASTE_ALL,14,6)),1)="-"),999))-(RIGHT(MID(TRIM(INDEX(PASTE_ALL,14,6)),1+(LEFT(TRIM(INDEX(PASTE_ALL,14,6)),1)="-"),999),1)="%"))&lt;&gt;"",SUBSTITUTE(SUBSTITUTE(SUBSTITUTE(SUBSTITUTE(SUBSTITUTE(SUBSTITUTE(SUBSTITUTE(SUBSTITUTE(SUBSTITUTE(SUBSTITUTE(SUBSTITUTE(SUBSTITUTE(LEFT(MID(TRIM(INDEX(PASTE_ALL,14,6)),1+(LEFT(TRIM(INDEX(PASTE_ALL,14,6)),1)="-"),999),LEN(MID(TRIM(INDEX(PASTE_ALL,14,6)),1+(LEFT(TRIM(INDEX(PASTE_ALL,14,6)),1)="-"),999))-(RIGHT(MID(TRIM(INDEX(PASTE_ALL,14,6)),1+(LEFT(TRIM(INDEX(PASTE_ALL,14,6)),1)="-"),999),1)="%")),"0",""),"1",""),"2",""),"3",""),"4",""),"5",""),"6",""),"7",""),"8",""),"9",""),".",""),",","")=""),2,1))),1)</f>
        <v/>
      </c>
      <c r="AE63">
        <f>IFERROR(IF(ISNUMBER(INDEX(PASTE_ALL,14,7)),2,IF(TRIM(INDEX(PASTE_ALL,14,7))="",0,IF(AND(LEFT(MID(TRIM(INDEX(PASTE_ALL,14,7)),1+(LEFT(TRIM(INDEX(PASTE_ALL,14,7)),1)="-"),999),LEN(MID(TRIM(INDEX(PASTE_ALL,14,7)),1+(LEFT(TRIM(INDEX(PASTE_ALL,14,7)),1)="-"),999))-(RIGHT(MID(TRIM(INDEX(PASTE_ALL,14,7)),1+(LEFT(TRIM(INDEX(PASTE_ALL,14,7)),1)="-"),999),1)="%"))&lt;&gt;"",SUBSTITUTE(SUBSTITUTE(SUBSTITUTE(SUBSTITUTE(SUBSTITUTE(SUBSTITUTE(SUBSTITUTE(SUBSTITUTE(SUBSTITUTE(SUBSTITUTE(SUBSTITUTE(SUBSTITUTE(LEFT(MID(TRIM(INDEX(PASTE_ALL,14,7)),1+(LEFT(TRIM(INDEX(PASTE_ALL,14,7)),1)="-"),999),LEN(MID(TRIM(INDEX(PASTE_ALL,14,7)),1+(LEFT(TRIM(INDEX(PASTE_ALL,14,7)),1)="-"),999))-(RIGHT(MID(TRIM(INDEX(PASTE_ALL,14,7)),1+(LEFT(TRIM(INDEX(PASTE_ALL,14,7)),1)="-"),999),1)="%")),"0",""),"1",""),"2",""),"3",""),"4",""),"5",""),"6",""),"7",""),"8",""),"9",""),".",""),",","")=""),2,1))),1)</f>
        <v/>
      </c>
      <c r="AF63">
        <f>IFERROR(IF(ISNUMBER(INDEX(PASTE_ALL,14,8)),2,IF(TRIM(INDEX(PASTE_ALL,14,8))="",0,IF(AND(LEFT(MID(TRIM(INDEX(PASTE_ALL,14,8)),1+(LEFT(TRIM(INDEX(PASTE_ALL,14,8)),1)="-"),999),LEN(MID(TRIM(INDEX(PASTE_ALL,14,8)),1+(LEFT(TRIM(INDEX(PASTE_ALL,14,8)),1)="-"),999))-(RIGHT(MID(TRIM(INDEX(PASTE_ALL,14,8)),1+(LEFT(TRIM(INDEX(PASTE_ALL,14,8)),1)="-"),999),1)="%"))&lt;&gt;"",SUBSTITUTE(SUBSTITUTE(SUBSTITUTE(SUBSTITUTE(SUBSTITUTE(SUBSTITUTE(SUBSTITUTE(SUBSTITUTE(SUBSTITUTE(SUBSTITUTE(SUBSTITUTE(SUBSTITUTE(LEFT(MID(TRIM(INDEX(PASTE_ALL,14,8)),1+(LEFT(TRIM(INDEX(PASTE_ALL,14,8)),1)="-"),999),LEN(MID(TRIM(INDEX(PASTE_ALL,14,8)),1+(LEFT(TRIM(INDEX(PASTE_ALL,14,8)),1)="-"),999))-(RIGHT(MID(TRIM(INDEX(PASTE_ALL,14,8)),1+(LEFT(TRIM(INDEX(PASTE_ALL,14,8)),1)="-"),999),1)="%")),"0",""),"1",""),"2",""),"3",""),"4",""),"5",""),"6",""),"7",""),"8",""),"9",""),".",""),",","")=""),2,1))),1)</f>
        <v/>
      </c>
      <c r="AG63">
        <f>IFERROR(IF(ISNUMBER(INDEX(PASTE_ALL,14,9)),2,IF(TRIM(INDEX(PASTE_ALL,14,9))="",0,IF(AND(LEFT(MID(TRIM(INDEX(PASTE_ALL,14,9)),1+(LEFT(TRIM(INDEX(PASTE_ALL,14,9)),1)="-"),999),LEN(MID(TRIM(INDEX(PASTE_ALL,14,9)),1+(LEFT(TRIM(INDEX(PASTE_ALL,14,9)),1)="-"),999))-(RIGHT(MID(TRIM(INDEX(PASTE_ALL,14,9)),1+(LEFT(TRIM(INDEX(PASTE_ALL,14,9)),1)="-"),999),1)="%"))&lt;&gt;"",SUBSTITUTE(SUBSTITUTE(SUBSTITUTE(SUBSTITUTE(SUBSTITUTE(SUBSTITUTE(SUBSTITUTE(SUBSTITUTE(SUBSTITUTE(SUBSTITUTE(SUBSTITUTE(SUBSTITUTE(LEFT(MID(TRIM(INDEX(PASTE_ALL,14,9)),1+(LEFT(TRIM(INDEX(PASTE_ALL,14,9)),1)="-"),999),LEN(MID(TRIM(INDEX(PASTE_ALL,14,9)),1+(LEFT(TRIM(INDEX(PASTE_ALL,14,9)),1)="-"),999))-(RIGHT(MID(TRIM(INDEX(PASTE_ALL,14,9)),1+(LEFT(TRIM(INDEX(PASTE_ALL,14,9)),1)="-"),999),1)="%")),"0",""),"1",""),"2",""),"3",""),"4",""),"5",""),"6",""),"7",""),"8",""),"9",""),".",""),",","")=""),2,1))),1)</f>
        <v/>
      </c>
      <c r="AH63">
        <f>IFERROR(IF(ISNUMBER(INDEX(PASTE_ALL,14,10)),2,IF(TRIM(INDEX(PASTE_ALL,14,10))="",0,IF(AND(LEFT(MID(TRIM(INDEX(PASTE_ALL,14,10)),1+(LEFT(TRIM(INDEX(PASTE_ALL,14,10)),1)="-"),999),LEN(MID(TRIM(INDEX(PASTE_ALL,14,10)),1+(LEFT(TRIM(INDEX(PASTE_ALL,14,10)),1)="-"),999))-(RIGHT(MID(TRIM(INDEX(PASTE_ALL,14,10)),1+(LEFT(TRIM(INDEX(PASTE_ALL,14,10)),1)="-"),999),1)="%"))&lt;&gt;"",SUBSTITUTE(SUBSTITUTE(SUBSTITUTE(SUBSTITUTE(SUBSTITUTE(SUBSTITUTE(SUBSTITUTE(SUBSTITUTE(SUBSTITUTE(SUBSTITUTE(SUBSTITUTE(SUBSTITUTE(LEFT(MID(TRIM(INDEX(PASTE_ALL,14,10)),1+(LEFT(TRIM(INDEX(PASTE_ALL,14,10)),1)="-"),999),LEN(MID(TRIM(INDEX(PASTE_ALL,14,10)),1+(LEFT(TRIM(INDEX(PASTE_ALL,14,10)),1)="-"),999))-(RIGHT(MID(TRIM(INDEX(PASTE_ALL,14,10)),1+(LEFT(TRIM(INDEX(PASTE_ALL,14,10)),1)="-"),999),1)="%")),"0",""),"1",""),"2",""),"3",""),"4",""),"5",""),"6",""),"7",""),"8",""),"9",""),".",""),",","")=""),2,1))),1)</f>
        <v/>
      </c>
      <c r="AI63">
        <f>IFERROR(IF(ISNUMBER(INDEX(PASTE_ALL,14,11)),2,IF(TRIM(INDEX(PASTE_ALL,14,11))="",0,IF(AND(LEFT(MID(TRIM(INDEX(PASTE_ALL,14,11)),1+(LEFT(TRIM(INDEX(PASTE_ALL,14,11)),1)="-"),999),LEN(MID(TRIM(INDEX(PASTE_ALL,14,11)),1+(LEFT(TRIM(INDEX(PASTE_ALL,14,11)),1)="-"),999))-(RIGHT(MID(TRIM(INDEX(PASTE_ALL,14,11)),1+(LEFT(TRIM(INDEX(PASTE_ALL,14,11)),1)="-"),999),1)="%"))&lt;&gt;"",SUBSTITUTE(SUBSTITUTE(SUBSTITUTE(SUBSTITUTE(SUBSTITUTE(SUBSTITUTE(SUBSTITUTE(SUBSTITUTE(SUBSTITUTE(SUBSTITUTE(SUBSTITUTE(SUBSTITUTE(LEFT(MID(TRIM(INDEX(PASTE_ALL,14,11)),1+(LEFT(TRIM(INDEX(PASTE_ALL,14,11)),1)="-"),999),LEN(MID(TRIM(INDEX(PASTE_ALL,14,11)),1+(LEFT(TRIM(INDEX(PASTE_ALL,14,11)),1)="-"),999))-(RIGHT(MID(TRIM(INDEX(PASTE_ALL,14,11)),1+(LEFT(TRIM(INDEX(PASTE_ALL,14,11)),1)="-"),999),1)="%")),"0",""),"1",""),"2",""),"3",""),"4",""),"5",""),"6",""),"7",""),"8",""),"9",""),".",""),",","")=""),2,1))),1)</f>
        <v/>
      </c>
      <c r="AJ63">
        <f>IFERROR(IF(ISNUMBER(INDEX(PASTE_ALL,14,12)),2,IF(TRIM(INDEX(PASTE_ALL,14,12))="",0,IF(AND(LEFT(MID(TRIM(INDEX(PASTE_ALL,14,12)),1+(LEFT(TRIM(INDEX(PASTE_ALL,14,12)),1)="-"),999),LEN(MID(TRIM(INDEX(PASTE_ALL,14,12)),1+(LEFT(TRIM(INDEX(PASTE_ALL,14,12)),1)="-"),999))-(RIGHT(MID(TRIM(INDEX(PASTE_ALL,14,12)),1+(LEFT(TRIM(INDEX(PASTE_ALL,14,12)),1)="-"),999),1)="%"))&lt;&gt;"",SUBSTITUTE(SUBSTITUTE(SUBSTITUTE(SUBSTITUTE(SUBSTITUTE(SUBSTITUTE(SUBSTITUTE(SUBSTITUTE(SUBSTITUTE(SUBSTITUTE(SUBSTITUTE(SUBSTITUTE(LEFT(MID(TRIM(INDEX(PASTE_ALL,14,12)),1+(LEFT(TRIM(INDEX(PASTE_ALL,14,12)),1)="-"),999),LEN(MID(TRIM(INDEX(PASTE_ALL,14,12)),1+(LEFT(TRIM(INDEX(PASTE_ALL,14,12)),1)="-"),999))-(RIGHT(MID(TRIM(INDEX(PASTE_ALL,14,12)),1+(LEFT(TRIM(INDEX(PASTE_ALL,14,12)),1)="-"),999),1)="%")),"0",""),"1",""),"2",""),"3",""),"4",""),"5",""),"6",""),"7",""),"8",""),"9",""),".",""),",","")=""),2,1))),1)</f>
        <v/>
      </c>
      <c r="AK63">
        <f>IFERROR(IF(ISNUMBER(INDEX(PASTE_ALL,14,13)),2,IF(TRIM(INDEX(PASTE_ALL,14,13))="",0,IF(AND(LEFT(MID(TRIM(INDEX(PASTE_ALL,14,13)),1+(LEFT(TRIM(INDEX(PASTE_ALL,14,13)),1)="-"),999),LEN(MID(TRIM(INDEX(PASTE_ALL,14,13)),1+(LEFT(TRIM(INDEX(PASTE_ALL,14,13)),1)="-"),999))-(RIGHT(MID(TRIM(INDEX(PASTE_ALL,14,13)),1+(LEFT(TRIM(INDEX(PASTE_ALL,14,13)),1)="-"),999),1)="%"))&lt;&gt;"",SUBSTITUTE(SUBSTITUTE(SUBSTITUTE(SUBSTITUTE(SUBSTITUTE(SUBSTITUTE(SUBSTITUTE(SUBSTITUTE(SUBSTITUTE(SUBSTITUTE(SUBSTITUTE(SUBSTITUTE(LEFT(MID(TRIM(INDEX(PASTE_ALL,14,13)),1+(LEFT(TRIM(INDEX(PASTE_ALL,14,13)),1)="-"),999),LEN(MID(TRIM(INDEX(PASTE_ALL,14,13)),1+(LEFT(TRIM(INDEX(PASTE_ALL,14,13)),1)="-"),999))-(RIGHT(MID(TRIM(INDEX(PASTE_ALL,14,13)),1+(LEFT(TRIM(INDEX(PASTE_ALL,14,13)),1)="-"),999),1)="%")),"0",""),"1",""),"2",""),"3",""),"4",""),"5",""),"6",""),"7",""),"8",""),"9",""),".",""),",","")=""),2,1))),1)</f>
        <v/>
      </c>
      <c r="AL63">
        <f>IFERROR(IF(ISNUMBER(INDEX(PASTE_ALL,14,14)),2,IF(TRIM(INDEX(PASTE_ALL,14,14))="",0,IF(AND(LEFT(MID(TRIM(INDEX(PASTE_ALL,14,14)),1+(LEFT(TRIM(INDEX(PASTE_ALL,14,14)),1)="-"),999),LEN(MID(TRIM(INDEX(PASTE_ALL,14,14)),1+(LEFT(TRIM(INDEX(PASTE_ALL,14,14)),1)="-"),999))-(RIGHT(MID(TRIM(INDEX(PASTE_ALL,14,14)),1+(LEFT(TRIM(INDEX(PASTE_ALL,14,14)),1)="-"),999),1)="%"))&lt;&gt;"",SUBSTITUTE(SUBSTITUTE(SUBSTITUTE(SUBSTITUTE(SUBSTITUTE(SUBSTITUTE(SUBSTITUTE(SUBSTITUTE(SUBSTITUTE(SUBSTITUTE(SUBSTITUTE(SUBSTITUTE(LEFT(MID(TRIM(INDEX(PASTE_ALL,14,14)),1+(LEFT(TRIM(INDEX(PASTE_ALL,14,14)),1)="-"),999),LEN(MID(TRIM(INDEX(PASTE_ALL,14,14)),1+(LEFT(TRIM(INDEX(PASTE_ALL,14,14)),1)="-"),999))-(RIGHT(MID(TRIM(INDEX(PASTE_ALL,14,14)),1+(LEFT(TRIM(INDEX(PASTE_ALL,14,14)),1)="-"),999),1)="%")),"0",""),"1",""),"2",""),"3",""),"4",""),"5",""),"6",""),"7",""),"8",""),"9",""),".",""),",","")=""),2,1))),1)</f>
        <v/>
      </c>
      <c r="AM63">
        <f>IFERROR(IF(ISNUMBER(INDEX(PASTE_ALL,14,15)),2,IF(TRIM(INDEX(PASTE_ALL,14,15))="",0,IF(AND(LEFT(MID(TRIM(INDEX(PASTE_ALL,14,15)),1+(LEFT(TRIM(INDEX(PASTE_ALL,14,15)),1)="-"),999),LEN(MID(TRIM(INDEX(PASTE_ALL,14,15)),1+(LEFT(TRIM(INDEX(PASTE_ALL,14,15)),1)="-"),999))-(RIGHT(MID(TRIM(INDEX(PASTE_ALL,14,15)),1+(LEFT(TRIM(INDEX(PASTE_ALL,14,15)),1)="-"),999),1)="%"))&lt;&gt;"",SUBSTITUTE(SUBSTITUTE(SUBSTITUTE(SUBSTITUTE(SUBSTITUTE(SUBSTITUTE(SUBSTITUTE(SUBSTITUTE(SUBSTITUTE(SUBSTITUTE(SUBSTITUTE(SUBSTITUTE(LEFT(MID(TRIM(INDEX(PASTE_ALL,14,15)),1+(LEFT(TRIM(INDEX(PASTE_ALL,14,15)),1)="-"),999),LEN(MID(TRIM(INDEX(PASTE_ALL,14,15)),1+(LEFT(TRIM(INDEX(PASTE_ALL,14,15)),1)="-"),999))-(RIGHT(MID(TRIM(INDEX(PASTE_ALL,14,15)),1+(LEFT(TRIM(INDEX(PASTE_ALL,14,15)),1)="-"),999),1)="%")),"0",""),"1",""),"2",""),"3",""),"4",""),"5",""),"6",""),"7",""),"8",""),"9",""),".",""),",","")=""),2,1))),1)</f>
        <v/>
      </c>
      <c r="AN63">
        <f>IFERROR(IF(ISNUMBER(INDEX(PASTE_ALL,14,16)),2,IF(TRIM(INDEX(PASTE_ALL,14,16))="",0,IF(AND(LEFT(MID(TRIM(INDEX(PASTE_ALL,14,16)),1+(LEFT(TRIM(INDEX(PASTE_ALL,14,16)),1)="-"),999),LEN(MID(TRIM(INDEX(PASTE_ALL,14,16)),1+(LEFT(TRIM(INDEX(PASTE_ALL,14,16)),1)="-"),999))-(RIGHT(MID(TRIM(INDEX(PASTE_ALL,14,16)),1+(LEFT(TRIM(INDEX(PASTE_ALL,14,16)),1)="-"),999),1)="%"))&lt;&gt;"",SUBSTITUTE(SUBSTITUTE(SUBSTITUTE(SUBSTITUTE(SUBSTITUTE(SUBSTITUTE(SUBSTITUTE(SUBSTITUTE(SUBSTITUTE(SUBSTITUTE(SUBSTITUTE(SUBSTITUTE(LEFT(MID(TRIM(INDEX(PASTE_ALL,14,16)),1+(LEFT(TRIM(INDEX(PASTE_ALL,14,16)),1)="-"),999),LEN(MID(TRIM(INDEX(PASTE_ALL,14,16)),1+(LEFT(TRIM(INDEX(PASTE_ALL,14,16)),1)="-"),999))-(RIGHT(MID(TRIM(INDEX(PASTE_ALL,14,16)),1+(LEFT(TRIM(INDEX(PASTE_ALL,14,16)),1)="-"),999),1)="%")),"0",""),"1",""),"2",""),"3",""),"4",""),"5",""),"6",""),"7",""),"8",""),"9",""),".",""),",","")=""),2,1))),1)</f>
        <v/>
      </c>
      <c r="AO63">
        <f>IFERROR(IF(ISNUMBER(INDEX(PASTE_ALL,14,17)),2,IF(TRIM(INDEX(PASTE_ALL,14,17))="",0,IF(AND(LEFT(MID(TRIM(INDEX(PASTE_ALL,14,17)),1+(LEFT(TRIM(INDEX(PASTE_ALL,14,17)),1)="-"),999),LEN(MID(TRIM(INDEX(PASTE_ALL,14,17)),1+(LEFT(TRIM(INDEX(PASTE_ALL,14,17)),1)="-"),999))-(RIGHT(MID(TRIM(INDEX(PASTE_ALL,14,17)),1+(LEFT(TRIM(INDEX(PASTE_ALL,14,17)),1)="-"),999),1)="%"))&lt;&gt;"",SUBSTITUTE(SUBSTITUTE(SUBSTITUTE(SUBSTITUTE(SUBSTITUTE(SUBSTITUTE(SUBSTITUTE(SUBSTITUTE(SUBSTITUTE(SUBSTITUTE(SUBSTITUTE(SUBSTITUTE(LEFT(MID(TRIM(INDEX(PASTE_ALL,14,17)),1+(LEFT(TRIM(INDEX(PASTE_ALL,14,17)),1)="-"),999),LEN(MID(TRIM(INDEX(PASTE_ALL,14,17)),1+(LEFT(TRIM(INDEX(PASTE_ALL,14,17)),1)="-"),999))-(RIGHT(MID(TRIM(INDEX(PASTE_ALL,14,17)),1+(LEFT(TRIM(INDEX(PASTE_ALL,14,17)),1)="-"),999),1)="%")),"0",""),"1",""),"2",""),"3",""),"4",""),"5",""),"6",""),"7",""),"8",""),"9",""),".",""),",","")=""),2,1))),1)</f>
        <v/>
      </c>
      <c r="AP63">
        <f>IFERROR(IF(ISNUMBER(INDEX(PASTE_ALL,14,18)),2,IF(TRIM(INDEX(PASTE_ALL,14,18))="",0,IF(AND(LEFT(MID(TRIM(INDEX(PASTE_ALL,14,18)),1+(LEFT(TRIM(INDEX(PASTE_ALL,14,18)),1)="-"),999),LEN(MID(TRIM(INDEX(PASTE_ALL,14,18)),1+(LEFT(TRIM(INDEX(PASTE_ALL,14,18)),1)="-"),999))-(RIGHT(MID(TRIM(INDEX(PASTE_ALL,14,18)),1+(LEFT(TRIM(INDEX(PASTE_ALL,14,18)),1)="-"),999),1)="%"))&lt;&gt;"",SUBSTITUTE(SUBSTITUTE(SUBSTITUTE(SUBSTITUTE(SUBSTITUTE(SUBSTITUTE(SUBSTITUTE(SUBSTITUTE(SUBSTITUTE(SUBSTITUTE(SUBSTITUTE(SUBSTITUTE(LEFT(MID(TRIM(INDEX(PASTE_ALL,14,18)),1+(LEFT(TRIM(INDEX(PASTE_ALL,14,18)),1)="-"),999),LEN(MID(TRIM(INDEX(PASTE_ALL,14,18)),1+(LEFT(TRIM(INDEX(PASTE_ALL,14,18)),1)="-"),999))-(RIGHT(MID(TRIM(INDEX(PASTE_ALL,14,18)),1+(LEFT(TRIM(INDEX(PASTE_ALL,14,18)),1)="-"),999),1)="%")),"0",""),"1",""),"2",""),"3",""),"4",""),"5",""),"6",""),"7",""),"8",""),"9",""),".",""),",","")=""),2,1))),1)</f>
        <v/>
      </c>
      <c r="AQ63">
        <f>IFERROR(IF(ISNUMBER(INDEX(PASTE_ALL,14,19)),2,IF(TRIM(INDEX(PASTE_ALL,14,19))="",0,IF(AND(LEFT(MID(TRIM(INDEX(PASTE_ALL,14,19)),1+(LEFT(TRIM(INDEX(PASTE_ALL,14,19)),1)="-"),999),LEN(MID(TRIM(INDEX(PASTE_ALL,14,19)),1+(LEFT(TRIM(INDEX(PASTE_ALL,14,19)),1)="-"),999))-(RIGHT(MID(TRIM(INDEX(PASTE_ALL,14,19)),1+(LEFT(TRIM(INDEX(PASTE_ALL,14,19)),1)="-"),999),1)="%"))&lt;&gt;"",SUBSTITUTE(SUBSTITUTE(SUBSTITUTE(SUBSTITUTE(SUBSTITUTE(SUBSTITUTE(SUBSTITUTE(SUBSTITUTE(SUBSTITUTE(SUBSTITUTE(SUBSTITUTE(SUBSTITUTE(LEFT(MID(TRIM(INDEX(PASTE_ALL,14,19)),1+(LEFT(TRIM(INDEX(PASTE_ALL,14,19)),1)="-"),999),LEN(MID(TRIM(INDEX(PASTE_ALL,14,19)),1+(LEFT(TRIM(INDEX(PASTE_ALL,14,19)),1)="-"),999))-(RIGHT(MID(TRIM(INDEX(PASTE_ALL,14,19)),1+(LEFT(TRIM(INDEX(PASTE_ALL,14,19)),1)="-"),999),1)="%")),"0",""),"1",""),"2",""),"3",""),"4",""),"5",""),"6",""),"7",""),"8",""),"9",""),".",""),",","")=""),2,1))),1)</f>
        <v/>
      </c>
      <c r="AR63">
        <f>IFERROR(IF(ISNUMBER(INDEX(PASTE_ALL,14,20)),2,IF(TRIM(INDEX(PASTE_ALL,14,20))="",0,IF(AND(LEFT(MID(TRIM(INDEX(PASTE_ALL,14,20)),1+(LEFT(TRIM(INDEX(PASTE_ALL,14,20)),1)="-"),999),LEN(MID(TRIM(INDEX(PASTE_ALL,14,20)),1+(LEFT(TRIM(INDEX(PASTE_ALL,14,20)),1)="-"),999))-(RIGHT(MID(TRIM(INDEX(PASTE_ALL,14,20)),1+(LEFT(TRIM(INDEX(PASTE_ALL,14,20)),1)="-"),999),1)="%"))&lt;&gt;"",SUBSTITUTE(SUBSTITUTE(SUBSTITUTE(SUBSTITUTE(SUBSTITUTE(SUBSTITUTE(SUBSTITUTE(SUBSTITUTE(SUBSTITUTE(SUBSTITUTE(SUBSTITUTE(SUBSTITUTE(LEFT(MID(TRIM(INDEX(PASTE_ALL,14,20)),1+(LEFT(TRIM(INDEX(PASTE_ALL,14,20)),1)="-"),999),LEN(MID(TRIM(INDEX(PASTE_ALL,14,20)),1+(LEFT(TRIM(INDEX(PASTE_ALL,14,20)),1)="-"),999))-(RIGHT(MID(TRIM(INDEX(PASTE_ALL,14,20)),1+(LEFT(TRIM(INDEX(PASTE_ALL,14,20)),1)="-"),999),1)="%")),"0",""),"1",""),"2",""),"3",""),"4",""),"5",""),"6",""),"7",""),"8",""),"9",""),".",""),",","")=""),2,1))),1)</f>
        <v/>
      </c>
      <c r="AS63">
        <f>IFERROR(IF(ISNUMBER(INDEX(PASTE_ALL,14,21)),2,IF(TRIM(INDEX(PASTE_ALL,14,21))="",0,IF(AND(LEFT(MID(TRIM(INDEX(PASTE_ALL,14,21)),1+(LEFT(TRIM(INDEX(PASTE_ALL,14,21)),1)="-"),999),LEN(MID(TRIM(INDEX(PASTE_ALL,14,21)),1+(LEFT(TRIM(INDEX(PASTE_ALL,14,21)),1)="-"),999))-(RIGHT(MID(TRIM(INDEX(PASTE_ALL,14,21)),1+(LEFT(TRIM(INDEX(PASTE_ALL,14,21)),1)="-"),999),1)="%"))&lt;&gt;"",SUBSTITUTE(SUBSTITUTE(SUBSTITUTE(SUBSTITUTE(SUBSTITUTE(SUBSTITUTE(SUBSTITUTE(SUBSTITUTE(SUBSTITUTE(SUBSTITUTE(SUBSTITUTE(SUBSTITUTE(LEFT(MID(TRIM(INDEX(PASTE_ALL,14,21)),1+(LEFT(TRIM(INDEX(PASTE_ALL,14,21)),1)="-"),999),LEN(MID(TRIM(INDEX(PASTE_ALL,14,21)),1+(LEFT(TRIM(INDEX(PASTE_ALL,14,21)),1)="-"),999))-(RIGHT(MID(TRIM(INDEX(PASTE_ALL,14,21)),1+(LEFT(TRIM(INDEX(PASTE_ALL,14,21)),1)="-"),999),1)="%")),"0",""),"1",""),"2",""),"3",""),"4",""),"5",""),"6",""),"7",""),"8",""),"9",""),".",""),",","")=""),2,1))),1)</f>
        <v/>
      </c>
      <c r="AT63">
        <f>IFERROR(IF(ISNUMBER(INDEX(PASTE_ALL,14,22)),2,IF(TRIM(INDEX(PASTE_ALL,14,22))="",0,IF(AND(LEFT(MID(TRIM(INDEX(PASTE_ALL,14,22)),1+(LEFT(TRIM(INDEX(PASTE_ALL,14,22)),1)="-"),999),LEN(MID(TRIM(INDEX(PASTE_ALL,14,22)),1+(LEFT(TRIM(INDEX(PASTE_ALL,14,22)),1)="-"),999))-(RIGHT(MID(TRIM(INDEX(PASTE_ALL,14,22)),1+(LEFT(TRIM(INDEX(PASTE_ALL,14,22)),1)="-"),999),1)="%"))&lt;&gt;"",SUBSTITUTE(SUBSTITUTE(SUBSTITUTE(SUBSTITUTE(SUBSTITUTE(SUBSTITUTE(SUBSTITUTE(SUBSTITUTE(SUBSTITUTE(SUBSTITUTE(SUBSTITUTE(SUBSTITUTE(LEFT(MID(TRIM(INDEX(PASTE_ALL,14,22)),1+(LEFT(TRIM(INDEX(PASTE_ALL,14,22)),1)="-"),999),LEN(MID(TRIM(INDEX(PASTE_ALL,14,22)),1+(LEFT(TRIM(INDEX(PASTE_ALL,14,22)),1)="-"),999))-(RIGHT(MID(TRIM(INDEX(PASTE_ALL,14,22)),1+(LEFT(TRIM(INDEX(PASTE_ALL,14,22)),1)="-"),999),1)="%")),"0",""),"1",""),"2",""),"3",""),"4",""),"5",""),"6",""),"7",""),"8",""),"9",""),".",""),",","")=""),2,1))),1)</f>
        <v/>
      </c>
      <c r="AU63">
        <f>IFERROR(IF(ISNUMBER(INDEX(PASTE_ALL,14,23)),2,IF(TRIM(INDEX(PASTE_ALL,14,23))="",0,IF(AND(LEFT(MID(TRIM(INDEX(PASTE_ALL,14,23)),1+(LEFT(TRIM(INDEX(PASTE_ALL,14,23)),1)="-"),999),LEN(MID(TRIM(INDEX(PASTE_ALL,14,23)),1+(LEFT(TRIM(INDEX(PASTE_ALL,14,23)),1)="-"),999))-(RIGHT(MID(TRIM(INDEX(PASTE_ALL,14,23)),1+(LEFT(TRIM(INDEX(PASTE_ALL,14,23)),1)="-"),999),1)="%"))&lt;&gt;"",SUBSTITUTE(SUBSTITUTE(SUBSTITUTE(SUBSTITUTE(SUBSTITUTE(SUBSTITUTE(SUBSTITUTE(SUBSTITUTE(SUBSTITUTE(SUBSTITUTE(SUBSTITUTE(SUBSTITUTE(LEFT(MID(TRIM(INDEX(PASTE_ALL,14,23)),1+(LEFT(TRIM(INDEX(PASTE_ALL,14,23)),1)="-"),999),LEN(MID(TRIM(INDEX(PASTE_ALL,14,23)),1+(LEFT(TRIM(INDEX(PASTE_ALL,14,23)),1)="-"),999))-(RIGHT(MID(TRIM(INDEX(PASTE_ALL,14,23)),1+(LEFT(TRIM(INDEX(PASTE_ALL,14,23)),1)="-"),999),1)="%")),"0",""),"1",""),"2",""),"3",""),"4",""),"5",""),"6",""),"7",""),"8",""),"9",""),".",""),",","")=""),2,1))),1)</f>
        <v/>
      </c>
      <c r="AV63">
        <f>IFERROR(IF(ISNUMBER(INDEX(PASTE_ALL,14,24)),2,IF(TRIM(INDEX(PASTE_ALL,14,24))="",0,IF(AND(LEFT(MID(TRIM(INDEX(PASTE_ALL,14,24)),1+(LEFT(TRIM(INDEX(PASTE_ALL,14,24)),1)="-"),999),LEN(MID(TRIM(INDEX(PASTE_ALL,14,24)),1+(LEFT(TRIM(INDEX(PASTE_ALL,14,24)),1)="-"),999))-(RIGHT(MID(TRIM(INDEX(PASTE_ALL,14,24)),1+(LEFT(TRIM(INDEX(PASTE_ALL,14,24)),1)="-"),999),1)="%"))&lt;&gt;"",SUBSTITUTE(SUBSTITUTE(SUBSTITUTE(SUBSTITUTE(SUBSTITUTE(SUBSTITUTE(SUBSTITUTE(SUBSTITUTE(SUBSTITUTE(SUBSTITUTE(SUBSTITUTE(SUBSTITUTE(LEFT(MID(TRIM(INDEX(PASTE_ALL,14,24)),1+(LEFT(TRIM(INDEX(PASTE_ALL,14,24)),1)="-"),999),LEN(MID(TRIM(INDEX(PASTE_ALL,14,24)),1+(LEFT(TRIM(INDEX(PASTE_ALL,14,24)),1)="-"),999))-(RIGHT(MID(TRIM(INDEX(PASTE_ALL,14,24)),1+(LEFT(TRIM(INDEX(PASTE_ALL,14,24)),1)="-"),999),1)="%")),"0",""),"1",""),"2",""),"3",""),"4",""),"5",""),"6",""),"7",""),"8",""),"9",""),".",""),",","")=""),2,1))),1)</f>
        <v/>
      </c>
      <c r="AW63">
        <f>IFERROR(IF(ISNUMBER(INDEX(PASTE_ALL,14,25)),2,IF(TRIM(INDEX(PASTE_ALL,14,25))="",0,IF(AND(LEFT(MID(TRIM(INDEX(PASTE_ALL,14,25)),1+(LEFT(TRIM(INDEX(PASTE_ALL,14,25)),1)="-"),999),LEN(MID(TRIM(INDEX(PASTE_ALL,14,25)),1+(LEFT(TRIM(INDEX(PASTE_ALL,14,25)),1)="-"),999))-(RIGHT(MID(TRIM(INDEX(PASTE_ALL,14,25)),1+(LEFT(TRIM(INDEX(PASTE_ALL,14,25)),1)="-"),999),1)="%"))&lt;&gt;"",SUBSTITUTE(SUBSTITUTE(SUBSTITUTE(SUBSTITUTE(SUBSTITUTE(SUBSTITUTE(SUBSTITUTE(SUBSTITUTE(SUBSTITUTE(SUBSTITUTE(SUBSTITUTE(SUBSTITUTE(LEFT(MID(TRIM(INDEX(PASTE_ALL,14,25)),1+(LEFT(TRIM(INDEX(PASTE_ALL,14,25)),1)="-"),999),LEN(MID(TRIM(INDEX(PASTE_ALL,14,25)),1+(LEFT(TRIM(INDEX(PASTE_ALL,14,25)),1)="-"),999))-(RIGHT(MID(TRIM(INDEX(PASTE_ALL,14,25)),1+(LEFT(TRIM(INDEX(PASTE_ALL,14,25)),1)="-"),999),1)="%")),"0",""),"1",""),"2",""),"3",""),"4",""),"5",""),"6",""),"7",""),"8",""),"9",""),".",""),",","")=""),2,1))),1)</f>
        <v/>
      </c>
      <c r="AX63">
        <f>IFERROR(IF(ISNUMBER(INDEX(PASTE_ALL,14,26)),2,IF(TRIM(INDEX(PASTE_ALL,14,26))="",0,IF(AND(LEFT(MID(TRIM(INDEX(PASTE_ALL,14,26)),1+(LEFT(TRIM(INDEX(PASTE_ALL,14,26)),1)="-"),999),LEN(MID(TRIM(INDEX(PASTE_ALL,14,26)),1+(LEFT(TRIM(INDEX(PASTE_ALL,14,26)),1)="-"),999))-(RIGHT(MID(TRIM(INDEX(PASTE_ALL,14,26)),1+(LEFT(TRIM(INDEX(PASTE_ALL,14,26)),1)="-"),999),1)="%"))&lt;&gt;"",SUBSTITUTE(SUBSTITUTE(SUBSTITUTE(SUBSTITUTE(SUBSTITUTE(SUBSTITUTE(SUBSTITUTE(SUBSTITUTE(SUBSTITUTE(SUBSTITUTE(SUBSTITUTE(SUBSTITUTE(LEFT(MID(TRIM(INDEX(PASTE_ALL,14,26)),1+(LEFT(TRIM(INDEX(PASTE_ALL,14,26)),1)="-"),999),LEN(MID(TRIM(INDEX(PASTE_ALL,14,26)),1+(LEFT(TRIM(INDEX(PASTE_ALL,14,26)),1)="-"),999))-(RIGHT(MID(TRIM(INDEX(PASTE_ALL,14,26)),1+(LEFT(TRIM(INDEX(PASTE_ALL,14,26)),1)="-"),999),1)="%")),"0",""),"1",""),"2",""),"3",""),"4",""),"5",""),"6",""),"7",""),"8",""),"9",""),".",""),",","")=""),2,1))),1)</f>
        <v/>
      </c>
      <c r="AY63">
        <f>IFERROR(IF(ISNUMBER(INDEX(PASTE_ALL,14,27)),2,IF(TRIM(INDEX(PASTE_ALL,14,27))="",0,IF(AND(LEFT(MID(TRIM(INDEX(PASTE_ALL,14,27)),1+(LEFT(TRIM(INDEX(PASTE_ALL,14,27)),1)="-"),999),LEN(MID(TRIM(INDEX(PASTE_ALL,14,27)),1+(LEFT(TRIM(INDEX(PASTE_ALL,14,27)),1)="-"),999))-(RIGHT(MID(TRIM(INDEX(PASTE_ALL,14,27)),1+(LEFT(TRIM(INDEX(PASTE_ALL,14,27)),1)="-"),999),1)="%"))&lt;&gt;"",SUBSTITUTE(SUBSTITUTE(SUBSTITUTE(SUBSTITUTE(SUBSTITUTE(SUBSTITUTE(SUBSTITUTE(SUBSTITUTE(SUBSTITUTE(SUBSTITUTE(SUBSTITUTE(SUBSTITUTE(LEFT(MID(TRIM(INDEX(PASTE_ALL,14,27)),1+(LEFT(TRIM(INDEX(PASTE_ALL,14,27)),1)="-"),999),LEN(MID(TRIM(INDEX(PASTE_ALL,14,27)),1+(LEFT(TRIM(INDEX(PASTE_ALL,14,27)),1)="-"),999))-(RIGHT(MID(TRIM(INDEX(PASTE_ALL,14,27)),1+(LEFT(TRIM(INDEX(PASTE_ALL,14,27)),1)="-"),999),1)="%")),"0",""),"1",""),"2",""),"3",""),"4",""),"5",""),"6",""),"7",""),"8",""),"9",""),".",""),",","")=""),2,1))),1)</f>
        <v/>
      </c>
      <c r="AZ63">
        <f>IFERROR(IF(ISNUMBER(INDEX(PASTE_ALL,14,28)),2,IF(TRIM(INDEX(PASTE_ALL,14,28))="",0,IF(AND(LEFT(MID(TRIM(INDEX(PASTE_ALL,14,28)),1+(LEFT(TRIM(INDEX(PASTE_ALL,14,28)),1)="-"),999),LEN(MID(TRIM(INDEX(PASTE_ALL,14,28)),1+(LEFT(TRIM(INDEX(PASTE_ALL,14,28)),1)="-"),999))-(RIGHT(MID(TRIM(INDEX(PASTE_ALL,14,28)),1+(LEFT(TRIM(INDEX(PASTE_ALL,14,28)),1)="-"),999),1)="%"))&lt;&gt;"",SUBSTITUTE(SUBSTITUTE(SUBSTITUTE(SUBSTITUTE(SUBSTITUTE(SUBSTITUTE(SUBSTITUTE(SUBSTITUTE(SUBSTITUTE(SUBSTITUTE(SUBSTITUTE(SUBSTITUTE(LEFT(MID(TRIM(INDEX(PASTE_ALL,14,28)),1+(LEFT(TRIM(INDEX(PASTE_ALL,14,28)),1)="-"),999),LEN(MID(TRIM(INDEX(PASTE_ALL,14,28)),1+(LEFT(TRIM(INDEX(PASTE_ALL,14,28)),1)="-"),999))-(RIGHT(MID(TRIM(INDEX(PASTE_ALL,14,28)),1+(LEFT(TRIM(INDEX(PASTE_ALL,14,28)),1)="-"),999),1)="%")),"0",""),"1",""),"2",""),"3",""),"4",""),"5",""),"6",""),"7",""),"8",""),"9",""),".",""),",","")=""),2,1))),1)</f>
        <v/>
      </c>
      <c r="BA63">
        <f>IFERROR(IF(ISNUMBER(INDEX(PASTE_ALL,14,29)),2,IF(TRIM(INDEX(PASTE_ALL,14,29))="",0,IF(AND(LEFT(MID(TRIM(INDEX(PASTE_ALL,14,29)),1+(LEFT(TRIM(INDEX(PASTE_ALL,14,29)),1)="-"),999),LEN(MID(TRIM(INDEX(PASTE_ALL,14,29)),1+(LEFT(TRIM(INDEX(PASTE_ALL,14,29)),1)="-"),999))-(RIGHT(MID(TRIM(INDEX(PASTE_ALL,14,29)),1+(LEFT(TRIM(INDEX(PASTE_ALL,14,29)),1)="-"),999),1)="%"))&lt;&gt;"",SUBSTITUTE(SUBSTITUTE(SUBSTITUTE(SUBSTITUTE(SUBSTITUTE(SUBSTITUTE(SUBSTITUTE(SUBSTITUTE(SUBSTITUTE(SUBSTITUTE(SUBSTITUTE(SUBSTITUTE(LEFT(MID(TRIM(INDEX(PASTE_ALL,14,29)),1+(LEFT(TRIM(INDEX(PASTE_ALL,14,29)),1)="-"),999),LEN(MID(TRIM(INDEX(PASTE_ALL,14,29)),1+(LEFT(TRIM(INDEX(PASTE_ALL,14,29)),1)="-"),999))-(RIGHT(MID(TRIM(INDEX(PASTE_ALL,14,29)),1+(LEFT(TRIM(INDEX(PASTE_ALL,14,29)),1)="-"),999),1)="%")),"0",""),"1",""),"2",""),"3",""),"4",""),"5",""),"6",""),"7",""),"8",""),"9",""),".",""),",","")=""),2,1))),1)</f>
        <v/>
      </c>
      <c r="BB63">
        <f>IFERROR(IF(ISNUMBER(INDEX(PASTE_ALL,14,30)),2,IF(TRIM(INDEX(PASTE_ALL,14,30))="",0,IF(AND(LEFT(MID(TRIM(INDEX(PASTE_ALL,14,30)),1+(LEFT(TRIM(INDEX(PASTE_ALL,14,30)),1)="-"),999),LEN(MID(TRIM(INDEX(PASTE_ALL,14,30)),1+(LEFT(TRIM(INDEX(PASTE_ALL,14,30)),1)="-"),999))-(RIGHT(MID(TRIM(INDEX(PASTE_ALL,14,30)),1+(LEFT(TRIM(INDEX(PASTE_ALL,14,30)),1)="-"),999),1)="%"))&lt;&gt;"",SUBSTITUTE(SUBSTITUTE(SUBSTITUTE(SUBSTITUTE(SUBSTITUTE(SUBSTITUTE(SUBSTITUTE(SUBSTITUTE(SUBSTITUTE(SUBSTITUTE(SUBSTITUTE(SUBSTITUTE(LEFT(MID(TRIM(INDEX(PASTE_ALL,14,30)),1+(LEFT(TRIM(INDEX(PASTE_ALL,14,30)),1)="-"),999),LEN(MID(TRIM(INDEX(PASTE_ALL,14,30)),1+(LEFT(TRIM(INDEX(PASTE_ALL,14,30)),1)="-"),999))-(RIGHT(MID(TRIM(INDEX(PASTE_ALL,14,30)),1+(LEFT(TRIM(INDEX(PASTE_ALL,14,30)),1)="-"),999),1)="%")),"0",""),"1",""),"2",""),"3",""),"4",""),"5",""),"6",""),"7",""),"8",""),"9",""),".",""),",","")=""),2,1))),1)</f>
        <v/>
      </c>
      <c r="BC63">
        <f>IFERROR(IF(ISNUMBER(INDEX(PASTE_ALL,14,31)),2,IF(TRIM(INDEX(PASTE_ALL,14,31))="",0,IF(AND(LEFT(MID(TRIM(INDEX(PASTE_ALL,14,31)),1+(LEFT(TRIM(INDEX(PASTE_ALL,14,31)),1)="-"),999),LEN(MID(TRIM(INDEX(PASTE_ALL,14,31)),1+(LEFT(TRIM(INDEX(PASTE_ALL,14,31)),1)="-"),999))-(RIGHT(MID(TRIM(INDEX(PASTE_ALL,14,31)),1+(LEFT(TRIM(INDEX(PASTE_ALL,14,31)),1)="-"),999),1)="%"))&lt;&gt;"",SUBSTITUTE(SUBSTITUTE(SUBSTITUTE(SUBSTITUTE(SUBSTITUTE(SUBSTITUTE(SUBSTITUTE(SUBSTITUTE(SUBSTITUTE(SUBSTITUTE(SUBSTITUTE(SUBSTITUTE(LEFT(MID(TRIM(INDEX(PASTE_ALL,14,31)),1+(LEFT(TRIM(INDEX(PASTE_ALL,14,31)),1)="-"),999),LEN(MID(TRIM(INDEX(PASTE_ALL,14,31)),1+(LEFT(TRIM(INDEX(PASTE_ALL,14,31)),1)="-"),999))-(RIGHT(MID(TRIM(INDEX(PASTE_ALL,14,31)),1+(LEFT(TRIM(INDEX(PASTE_ALL,14,31)),1)="-"),999),1)="%")),"0",""),"1",""),"2",""),"3",""),"4",""),"5",""),"6",""),"7",""),"8",""),"9",""),".",""),",","")=""),2,1))),1)</f>
        <v/>
      </c>
      <c r="BD63">
        <f>IFERROR(IF(ISNUMBER(INDEX(PASTE_ALL,14,32)),2,IF(TRIM(INDEX(PASTE_ALL,14,32))="",0,IF(AND(LEFT(MID(TRIM(INDEX(PASTE_ALL,14,32)),1+(LEFT(TRIM(INDEX(PASTE_ALL,14,32)),1)="-"),999),LEN(MID(TRIM(INDEX(PASTE_ALL,14,32)),1+(LEFT(TRIM(INDEX(PASTE_ALL,14,32)),1)="-"),999))-(RIGHT(MID(TRIM(INDEX(PASTE_ALL,14,32)),1+(LEFT(TRIM(INDEX(PASTE_ALL,14,32)),1)="-"),999),1)="%"))&lt;&gt;"",SUBSTITUTE(SUBSTITUTE(SUBSTITUTE(SUBSTITUTE(SUBSTITUTE(SUBSTITUTE(SUBSTITUTE(SUBSTITUTE(SUBSTITUTE(SUBSTITUTE(SUBSTITUTE(SUBSTITUTE(LEFT(MID(TRIM(INDEX(PASTE_ALL,14,32)),1+(LEFT(TRIM(INDEX(PASTE_ALL,14,32)),1)="-"),999),LEN(MID(TRIM(INDEX(PASTE_ALL,14,32)),1+(LEFT(TRIM(INDEX(PASTE_ALL,14,32)),1)="-"),999))-(RIGHT(MID(TRIM(INDEX(PASTE_ALL,14,32)),1+(LEFT(TRIM(INDEX(PASTE_ALL,14,32)),1)="-"),999),1)="%")),"0",""),"1",""),"2",""),"3",""),"4",""),"5",""),"6",""),"7",""),"8",""),"9",""),".",""),",","")=""),2,1))),1)</f>
        <v/>
      </c>
      <c r="BE63">
        <f>IFERROR(IF(ISNUMBER(INDEX(PASTE_ALL,14,33)),2,IF(TRIM(INDEX(PASTE_ALL,14,33))="",0,IF(AND(LEFT(MID(TRIM(INDEX(PASTE_ALL,14,33)),1+(LEFT(TRIM(INDEX(PASTE_ALL,14,33)),1)="-"),999),LEN(MID(TRIM(INDEX(PASTE_ALL,14,33)),1+(LEFT(TRIM(INDEX(PASTE_ALL,14,33)),1)="-"),999))-(RIGHT(MID(TRIM(INDEX(PASTE_ALL,14,33)),1+(LEFT(TRIM(INDEX(PASTE_ALL,14,33)),1)="-"),999),1)="%"))&lt;&gt;"",SUBSTITUTE(SUBSTITUTE(SUBSTITUTE(SUBSTITUTE(SUBSTITUTE(SUBSTITUTE(SUBSTITUTE(SUBSTITUTE(SUBSTITUTE(SUBSTITUTE(SUBSTITUTE(SUBSTITUTE(LEFT(MID(TRIM(INDEX(PASTE_ALL,14,33)),1+(LEFT(TRIM(INDEX(PASTE_ALL,14,33)),1)="-"),999),LEN(MID(TRIM(INDEX(PASTE_ALL,14,33)),1+(LEFT(TRIM(INDEX(PASTE_ALL,14,33)),1)="-"),999))-(RIGHT(MID(TRIM(INDEX(PASTE_ALL,14,33)),1+(LEFT(TRIM(INDEX(PASTE_ALL,14,33)),1)="-"),999),1)="%")),"0",""),"1",""),"2",""),"3",""),"4",""),"5",""),"6",""),"7",""),"8",""),"9",""),".",""),",","")=""),2,1))),1)</f>
        <v/>
      </c>
      <c r="BF63">
        <f>IFERROR(IF(ISNUMBER(INDEX(PASTE_ALL,14,34)),2,IF(TRIM(INDEX(PASTE_ALL,14,34))="",0,IF(AND(LEFT(MID(TRIM(INDEX(PASTE_ALL,14,34)),1+(LEFT(TRIM(INDEX(PASTE_ALL,14,34)),1)="-"),999),LEN(MID(TRIM(INDEX(PASTE_ALL,14,34)),1+(LEFT(TRIM(INDEX(PASTE_ALL,14,34)),1)="-"),999))-(RIGHT(MID(TRIM(INDEX(PASTE_ALL,14,34)),1+(LEFT(TRIM(INDEX(PASTE_ALL,14,34)),1)="-"),999),1)="%"))&lt;&gt;"",SUBSTITUTE(SUBSTITUTE(SUBSTITUTE(SUBSTITUTE(SUBSTITUTE(SUBSTITUTE(SUBSTITUTE(SUBSTITUTE(SUBSTITUTE(SUBSTITUTE(SUBSTITUTE(SUBSTITUTE(LEFT(MID(TRIM(INDEX(PASTE_ALL,14,34)),1+(LEFT(TRIM(INDEX(PASTE_ALL,14,34)),1)="-"),999),LEN(MID(TRIM(INDEX(PASTE_ALL,14,34)),1+(LEFT(TRIM(INDEX(PASTE_ALL,14,34)),1)="-"),999))-(RIGHT(MID(TRIM(INDEX(PASTE_ALL,14,34)),1+(LEFT(TRIM(INDEX(PASTE_ALL,14,34)),1)="-"),999),1)="%")),"0",""),"1",""),"2",""),"3",""),"4",""),"5",""),"6",""),"7",""),"8",""),"9",""),".",""),",","")=""),2,1))),1)</f>
        <v/>
      </c>
      <c r="BG63">
        <f>IFERROR(IF(ISNUMBER(INDEX(PASTE_ALL,14,35)),2,IF(TRIM(INDEX(PASTE_ALL,14,35))="",0,IF(AND(LEFT(MID(TRIM(INDEX(PASTE_ALL,14,35)),1+(LEFT(TRIM(INDEX(PASTE_ALL,14,35)),1)="-"),999),LEN(MID(TRIM(INDEX(PASTE_ALL,14,35)),1+(LEFT(TRIM(INDEX(PASTE_ALL,14,35)),1)="-"),999))-(RIGHT(MID(TRIM(INDEX(PASTE_ALL,14,35)),1+(LEFT(TRIM(INDEX(PASTE_ALL,14,35)),1)="-"),999),1)="%"))&lt;&gt;"",SUBSTITUTE(SUBSTITUTE(SUBSTITUTE(SUBSTITUTE(SUBSTITUTE(SUBSTITUTE(SUBSTITUTE(SUBSTITUTE(SUBSTITUTE(SUBSTITUTE(SUBSTITUTE(SUBSTITUTE(LEFT(MID(TRIM(INDEX(PASTE_ALL,14,35)),1+(LEFT(TRIM(INDEX(PASTE_ALL,14,35)),1)="-"),999),LEN(MID(TRIM(INDEX(PASTE_ALL,14,35)),1+(LEFT(TRIM(INDEX(PASTE_ALL,14,35)),1)="-"),999))-(RIGHT(MID(TRIM(INDEX(PASTE_ALL,14,35)),1+(LEFT(TRIM(INDEX(PASTE_ALL,14,35)),1)="-"),999),1)="%")),"0",""),"1",""),"2",""),"3",""),"4",""),"5",""),"6",""),"7",""),"8",""),"9",""),".",""),",","")=""),2,1))),1)</f>
        <v/>
      </c>
      <c r="BH63">
        <f>IFERROR(IF(ISNUMBER(INDEX(PASTE_ALL,14,36)),2,IF(TRIM(INDEX(PASTE_ALL,14,36))="",0,IF(AND(LEFT(MID(TRIM(INDEX(PASTE_ALL,14,36)),1+(LEFT(TRIM(INDEX(PASTE_ALL,14,36)),1)="-"),999),LEN(MID(TRIM(INDEX(PASTE_ALL,14,36)),1+(LEFT(TRIM(INDEX(PASTE_ALL,14,36)),1)="-"),999))-(RIGHT(MID(TRIM(INDEX(PASTE_ALL,14,36)),1+(LEFT(TRIM(INDEX(PASTE_ALL,14,36)),1)="-"),999),1)="%"))&lt;&gt;"",SUBSTITUTE(SUBSTITUTE(SUBSTITUTE(SUBSTITUTE(SUBSTITUTE(SUBSTITUTE(SUBSTITUTE(SUBSTITUTE(SUBSTITUTE(SUBSTITUTE(SUBSTITUTE(SUBSTITUTE(LEFT(MID(TRIM(INDEX(PASTE_ALL,14,36)),1+(LEFT(TRIM(INDEX(PASTE_ALL,14,36)),1)="-"),999),LEN(MID(TRIM(INDEX(PASTE_ALL,14,36)),1+(LEFT(TRIM(INDEX(PASTE_ALL,14,36)),1)="-"),999))-(RIGHT(MID(TRIM(INDEX(PASTE_ALL,14,36)),1+(LEFT(TRIM(INDEX(PASTE_ALL,14,36)),1)="-"),999),1)="%")),"0",""),"1",""),"2",""),"3",""),"4",""),"5",""),"6",""),"7",""),"8",""),"9",""),".",""),",","")=""),2,1))),1)</f>
        <v/>
      </c>
      <c r="BI63">
        <f>IFERROR(IF(ISNUMBER(INDEX(PASTE_ALL,14,37)),2,IF(TRIM(INDEX(PASTE_ALL,14,37))="",0,IF(AND(LEFT(MID(TRIM(INDEX(PASTE_ALL,14,37)),1+(LEFT(TRIM(INDEX(PASTE_ALL,14,37)),1)="-"),999),LEN(MID(TRIM(INDEX(PASTE_ALL,14,37)),1+(LEFT(TRIM(INDEX(PASTE_ALL,14,37)),1)="-"),999))-(RIGHT(MID(TRIM(INDEX(PASTE_ALL,14,37)),1+(LEFT(TRIM(INDEX(PASTE_ALL,14,37)),1)="-"),999),1)="%"))&lt;&gt;"",SUBSTITUTE(SUBSTITUTE(SUBSTITUTE(SUBSTITUTE(SUBSTITUTE(SUBSTITUTE(SUBSTITUTE(SUBSTITUTE(SUBSTITUTE(SUBSTITUTE(SUBSTITUTE(SUBSTITUTE(LEFT(MID(TRIM(INDEX(PASTE_ALL,14,37)),1+(LEFT(TRIM(INDEX(PASTE_ALL,14,37)),1)="-"),999),LEN(MID(TRIM(INDEX(PASTE_ALL,14,37)),1+(LEFT(TRIM(INDEX(PASTE_ALL,14,37)),1)="-"),999))-(RIGHT(MID(TRIM(INDEX(PASTE_ALL,14,37)),1+(LEFT(TRIM(INDEX(PASTE_ALL,14,37)),1)="-"),999),1)="%")),"0",""),"1",""),"2",""),"3",""),"4",""),"5",""),"6",""),"7",""),"8",""),"9",""),".",""),",","")=""),2,1))),1)</f>
        <v/>
      </c>
      <c r="BJ63">
        <f>IFERROR(IF(ISNUMBER(INDEX(PASTE_ALL,14,38)),2,IF(TRIM(INDEX(PASTE_ALL,14,38))="",0,IF(AND(LEFT(MID(TRIM(INDEX(PASTE_ALL,14,38)),1+(LEFT(TRIM(INDEX(PASTE_ALL,14,38)),1)="-"),999),LEN(MID(TRIM(INDEX(PASTE_ALL,14,38)),1+(LEFT(TRIM(INDEX(PASTE_ALL,14,38)),1)="-"),999))-(RIGHT(MID(TRIM(INDEX(PASTE_ALL,14,38)),1+(LEFT(TRIM(INDEX(PASTE_ALL,14,38)),1)="-"),999),1)="%"))&lt;&gt;"",SUBSTITUTE(SUBSTITUTE(SUBSTITUTE(SUBSTITUTE(SUBSTITUTE(SUBSTITUTE(SUBSTITUTE(SUBSTITUTE(SUBSTITUTE(SUBSTITUTE(SUBSTITUTE(SUBSTITUTE(LEFT(MID(TRIM(INDEX(PASTE_ALL,14,38)),1+(LEFT(TRIM(INDEX(PASTE_ALL,14,38)),1)="-"),999),LEN(MID(TRIM(INDEX(PASTE_ALL,14,38)),1+(LEFT(TRIM(INDEX(PASTE_ALL,14,38)),1)="-"),999))-(RIGHT(MID(TRIM(INDEX(PASTE_ALL,14,38)),1+(LEFT(TRIM(INDEX(PASTE_ALL,14,38)),1)="-"),999),1)="%")),"0",""),"1",""),"2",""),"3",""),"4",""),"5",""),"6",""),"7",""),"8",""),"9",""),".",""),",","")=""),2,1))),1)</f>
        <v/>
      </c>
      <c r="BK63">
        <f>IFERROR(IF(ISNUMBER(INDEX(PASTE_ALL,14,39)),2,IF(TRIM(INDEX(PASTE_ALL,14,39))="",0,IF(AND(LEFT(MID(TRIM(INDEX(PASTE_ALL,14,39)),1+(LEFT(TRIM(INDEX(PASTE_ALL,14,39)),1)="-"),999),LEN(MID(TRIM(INDEX(PASTE_ALL,14,39)),1+(LEFT(TRIM(INDEX(PASTE_ALL,14,39)),1)="-"),999))-(RIGHT(MID(TRIM(INDEX(PASTE_ALL,14,39)),1+(LEFT(TRIM(INDEX(PASTE_ALL,14,39)),1)="-"),999),1)="%"))&lt;&gt;"",SUBSTITUTE(SUBSTITUTE(SUBSTITUTE(SUBSTITUTE(SUBSTITUTE(SUBSTITUTE(SUBSTITUTE(SUBSTITUTE(SUBSTITUTE(SUBSTITUTE(SUBSTITUTE(SUBSTITUTE(LEFT(MID(TRIM(INDEX(PASTE_ALL,14,39)),1+(LEFT(TRIM(INDEX(PASTE_ALL,14,39)),1)="-"),999),LEN(MID(TRIM(INDEX(PASTE_ALL,14,39)),1+(LEFT(TRIM(INDEX(PASTE_ALL,14,39)),1)="-"),999))-(RIGHT(MID(TRIM(INDEX(PASTE_ALL,14,39)),1+(LEFT(TRIM(INDEX(PASTE_ALL,14,39)),1)="-"),999),1)="%")),"0",""),"1",""),"2",""),"3",""),"4",""),"5",""),"6",""),"7",""),"8",""),"9",""),".",""),",","")=""),2,1))),1)</f>
        <v/>
      </c>
      <c r="BL63">
        <f>IFERROR(IF(ISNUMBER(INDEX(PASTE_ALL,14,40)),2,IF(TRIM(INDEX(PASTE_ALL,14,40))="",0,IF(AND(LEFT(MID(TRIM(INDEX(PASTE_ALL,14,40)),1+(LEFT(TRIM(INDEX(PASTE_ALL,14,40)),1)="-"),999),LEN(MID(TRIM(INDEX(PASTE_ALL,14,40)),1+(LEFT(TRIM(INDEX(PASTE_ALL,14,40)),1)="-"),999))-(RIGHT(MID(TRIM(INDEX(PASTE_ALL,14,40)),1+(LEFT(TRIM(INDEX(PASTE_ALL,14,40)),1)="-"),999),1)="%"))&lt;&gt;"",SUBSTITUTE(SUBSTITUTE(SUBSTITUTE(SUBSTITUTE(SUBSTITUTE(SUBSTITUTE(SUBSTITUTE(SUBSTITUTE(SUBSTITUTE(SUBSTITUTE(SUBSTITUTE(SUBSTITUTE(LEFT(MID(TRIM(INDEX(PASTE_ALL,14,40)),1+(LEFT(TRIM(INDEX(PASTE_ALL,14,40)),1)="-"),999),LEN(MID(TRIM(INDEX(PASTE_ALL,14,40)),1+(LEFT(TRIM(INDEX(PASTE_ALL,14,40)),1)="-"),999))-(RIGHT(MID(TRIM(INDEX(PASTE_ALL,14,40)),1+(LEFT(TRIM(INDEX(PASTE_ALL,14,40)),1)="-"),999),1)="%")),"0",""),"1",""),"2",""),"3",""),"4",""),"5",""),"6",""),"7",""),"8",""),"9",""),".",""),",","")=""),2,1))),1)</f>
        <v/>
      </c>
      <c r="BM63">
        <f>IFERROR(IF(ISNUMBER(INDEX(PASTE_ALL,14,41)),2,IF(TRIM(INDEX(PASTE_ALL,14,41))="",0,IF(AND(LEFT(MID(TRIM(INDEX(PASTE_ALL,14,41)),1+(LEFT(TRIM(INDEX(PASTE_ALL,14,41)),1)="-"),999),LEN(MID(TRIM(INDEX(PASTE_ALL,14,41)),1+(LEFT(TRIM(INDEX(PASTE_ALL,14,41)),1)="-"),999))-(RIGHT(MID(TRIM(INDEX(PASTE_ALL,14,41)),1+(LEFT(TRIM(INDEX(PASTE_ALL,14,41)),1)="-"),999),1)="%"))&lt;&gt;"",SUBSTITUTE(SUBSTITUTE(SUBSTITUTE(SUBSTITUTE(SUBSTITUTE(SUBSTITUTE(SUBSTITUTE(SUBSTITUTE(SUBSTITUTE(SUBSTITUTE(SUBSTITUTE(SUBSTITUTE(LEFT(MID(TRIM(INDEX(PASTE_ALL,14,41)),1+(LEFT(TRIM(INDEX(PASTE_ALL,14,41)),1)="-"),999),LEN(MID(TRIM(INDEX(PASTE_ALL,14,41)),1+(LEFT(TRIM(INDEX(PASTE_ALL,14,41)),1)="-"),999))-(RIGHT(MID(TRIM(INDEX(PASTE_ALL,14,41)),1+(LEFT(TRIM(INDEX(PASTE_ALL,14,41)),1)="-"),999),1)="%")),"0",""),"1",""),"2",""),"3",""),"4",""),"5",""),"6",""),"7",""),"8",""),"9",""),".",""),",","")=""),2,1))),1)</f>
        <v/>
      </c>
      <c r="BN63">
        <f>IFERROR(IF(ISNUMBER(INDEX(PASTE_ALL,14,42)),2,IF(TRIM(INDEX(PASTE_ALL,14,42))="",0,IF(AND(LEFT(MID(TRIM(INDEX(PASTE_ALL,14,42)),1+(LEFT(TRIM(INDEX(PASTE_ALL,14,42)),1)="-"),999),LEN(MID(TRIM(INDEX(PASTE_ALL,14,42)),1+(LEFT(TRIM(INDEX(PASTE_ALL,14,42)),1)="-"),999))-(RIGHT(MID(TRIM(INDEX(PASTE_ALL,14,42)),1+(LEFT(TRIM(INDEX(PASTE_ALL,14,42)),1)="-"),999),1)="%"))&lt;&gt;"",SUBSTITUTE(SUBSTITUTE(SUBSTITUTE(SUBSTITUTE(SUBSTITUTE(SUBSTITUTE(SUBSTITUTE(SUBSTITUTE(SUBSTITUTE(SUBSTITUTE(SUBSTITUTE(SUBSTITUTE(LEFT(MID(TRIM(INDEX(PASTE_ALL,14,42)),1+(LEFT(TRIM(INDEX(PASTE_ALL,14,42)),1)="-"),999),LEN(MID(TRIM(INDEX(PASTE_ALL,14,42)),1+(LEFT(TRIM(INDEX(PASTE_ALL,14,42)),1)="-"),999))-(RIGHT(MID(TRIM(INDEX(PASTE_ALL,14,42)),1+(LEFT(TRIM(INDEX(PASTE_ALL,14,42)),1)="-"),999),1)="%")),"0",""),"1",""),"2",""),"3",""),"4",""),"5",""),"6",""),"7",""),"8",""),"9",""),".",""),",","")=""),2,1))),1)</f>
        <v/>
      </c>
      <c r="BO63">
        <f>IFERROR(IF(ISNUMBER(INDEX(PASTE_ALL,14,43)),2,IF(TRIM(INDEX(PASTE_ALL,14,43))="",0,IF(AND(LEFT(MID(TRIM(INDEX(PASTE_ALL,14,43)),1+(LEFT(TRIM(INDEX(PASTE_ALL,14,43)),1)="-"),999),LEN(MID(TRIM(INDEX(PASTE_ALL,14,43)),1+(LEFT(TRIM(INDEX(PASTE_ALL,14,43)),1)="-"),999))-(RIGHT(MID(TRIM(INDEX(PASTE_ALL,14,43)),1+(LEFT(TRIM(INDEX(PASTE_ALL,14,43)),1)="-"),999),1)="%"))&lt;&gt;"",SUBSTITUTE(SUBSTITUTE(SUBSTITUTE(SUBSTITUTE(SUBSTITUTE(SUBSTITUTE(SUBSTITUTE(SUBSTITUTE(SUBSTITUTE(SUBSTITUTE(SUBSTITUTE(SUBSTITUTE(LEFT(MID(TRIM(INDEX(PASTE_ALL,14,43)),1+(LEFT(TRIM(INDEX(PASTE_ALL,14,43)),1)="-"),999),LEN(MID(TRIM(INDEX(PASTE_ALL,14,43)),1+(LEFT(TRIM(INDEX(PASTE_ALL,14,43)),1)="-"),999))-(RIGHT(MID(TRIM(INDEX(PASTE_ALL,14,43)),1+(LEFT(TRIM(INDEX(PASTE_ALL,14,43)),1)="-"),999),1)="%")),"0",""),"1",""),"2",""),"3",""),"4",""),"5",""),"6",""),"7",""),"8",""),"9",""),".",""),",","")=""),2,1))),1)</f>
        <v/>
      </c>
      <c r="BP63">
        <f>IFERROR(IF(ISNUMBER(INDEX(PASTE_ALL,14,44)),2,IF(TRIM(INDEX(PASTE_ALL,14,44))="",0,IF(AND(LEFT(MID(TRIM(INDEX(PASTE_ALL,14,44)),1+(LEFT(TRIM(INDEX(PASTE_ALL,14,44)),1)="-"),999),LEN(MID(TRIM(INDEX(PASTE_ALL,14,44)),1+(LEFT(TRIM(INDEX(PASTE_ALL,14,44)),1)="-"),999))-(RIGHT(MID(TRIM(INDEX(PASTE_ALL,14,44)),1+(LEFT(TRIM(INDEX(PASTE_ALL,14,44)),1)="-"),999),1)="%"))&lt;&gt;"",SUBSTITUTE(SUBSTITUTE(SUBSTITUTE(SUBSTITUTE(SUBSTITUTE(SUBSTITUTE(SUBSTITUTE(SUBSTITUTE(SUBSTITUTE(SUBSTITUTE(SUBSTITUTE(SUBSTITUTE(LEFT(MID(TRIM(INDEX(PASTE_ALL,14,44)),1+(LEFT(TRIM(INDEX(PASTE_ALL,14,44)),1)="-"),999),LEN(MID(TRIM(INDEX(PASTE_ALL,14,44)),1+(LEFT(TRIM(INDEX(PASTE_ALL,14,44)),1)="-"),999))-(RIGHT(MID(TRIM(INDEX(PASTE_ALL,14,44)),1+(LEFT(TRIM(INDEX(PASTE_ALL,14,44)),1)="-"),999),1)="%")),"0",""),"1",""),"2",""),"3",""),"4",""),"5",""),"6",""),"7",""),"8",""),"9",""),".",""),",","")=""),2,1))),1)</f>
        <v/>
      </c>
      <c r="BQ63">
        <f>IFERROR(IF(ISNUMBER(INDEX(PASTE_ALL,14,45)),2,IF(TRIM(INDEX(PASTE_ALL,14,45))="",0,IF(AND(LEFT(MID(TRIM(INDEX(PASTE_ALL,14,45)),1+(LEFT(TRIM(INDEX(PASTE_ALL,14,45)),1)="-"),999),LEN(MID(TRIM(INDEX(PASTE_ALL,14,45)),1+(LEFT(TRIM(INDEX(PASTE_ALL,14,45)),1)="-"),999))-(RIGHT(MID(TRIM(INDEX(PASTE_ALL,14,45)),1+(LEFT(TRIM(INDEX(PASTE_ALL,14,45)),1)="-"),999),1)="%"))&lt;&gt;"",SUBSTITUTE(SUBSTITUTE(SUBSTITUTE(SUBSTITUTE(SUBSTITUTE(SUBSTITUTE(SUBSTITUTE(SUBSTITUTE(SUBSTITUTE(SUBSTITUTE(SUBSTITUTE(SUBSTITUTE(LEFT(MID(TRIM(INDEX(PASTE_ALL,14,45)),1+(LEFT(TRIM(INDEX(PASTE_ALL,14,45)),1)="-"),999),LEN(MID(TRIM(INDEX(PASTE_ALL,14,45)),1+(LEFT(TRIM(INDEX(PASTE_ALL,14,45)),1)="-"),999))-(RIGHT(MID(TRIM(INDEX(PASTE_ALL,14,45)),1+(LEFT(TRIM(INDEX(PASTE_ALL,14,45)),1)="-"),999),1)="%")),"0",""),"1",""),"2",""),"3",""),"4",""),"5",""),"6",""),"7",""),"8",""),"9",""),".",""),",","")=""),2,1))),1)</f>
        <v/>
      </c>
      <c r="BR63">
        <f>IFERROR(IF(ISNUMBER(INDEX(PASTE_ALL,14,46)),2,IF(TRIM(INDEX(PASTE_ALL,14,46))="",0,IF(AND(LEFT(MID(TRIM(INDEX(PASTE_ALL,14,46)),1+(LEFT(TRIM(INDEX(PASTE_ALL,14,46)),1)="-"),999),LEN(MID(TRIM(INDEX(PASTE_ALL,14,46)),1+(LEFT(TRIM(INDEX(PASTE_ALL,14,46)),1)="-"),999))-(RIGHT(MID(TRIM(INDEX(PASTE_ALL,14,46)),1+(LEFT(TRIM(INDEX(PASTE_ALL,14,46)),1)="-"),999),1)="%"))&lt;&gt;"",SUBSTITUTE(SUBSTITUTE(SUBSTITUTE(SUBSTITUTE(SUBSTITUTE(SUBSTITUTE(SUBSTITUTE(SUBSTITUTE(SUBSTITUTE(SUBSTITUTE(SUBSTITUTE(SUBSTITUTE(LEFT(MID(TRIM(INDEX(PASTE_ALL,14,46)),1+(LEFT(TRIM(INDEX(PASTE_ALL,14,46)),1)="-"),999),LEN(MID(TRIM(INDEX(PASTE_ALL,14,46)),1+(LEFT(TRIM(INDEX(PASTE_ALL,14,46)),1)="-"),999))-(RIGHT(MID(TRIM(INDEX(PASTE_ALL,14,46)),1+(LEFT(TRIM(INDEX(PASTE_ALL,14,46)),1)="-"),999),1)="%")),"0",""),"1",""),"2",""),"3",""),"4",""),"5",""),"6",""),"7",""),"8",""),"9",""),".",""),",","")=""),2,1))),1)</f>
        <v/>
      </c>
      <c r="BS63">
        <f>IFERROR(IF(ISNUMBER(INDEX(PASTE_ALL,14,47)),2,IF(TRIM(INDEX(PASTE_ALL,14,47))="",0,IF(AND(LEFT(MID(TRIM(INDEX(PASTE_ALL,14,47)),1+(LEFT(TRIM(INDEX(PASTE_ALL,14,47)),1)="-"),999),LEN(MID(TRIM(INDEX(PASTE_ALL,14,47)),1+(LEFT(TRIM(INDEX(PASTE_ALL,14,47)),1)="-"),999))-(RIGHT(MID(TRIM(INDEX(PASTE_ALL,14,47)),1+(LEFT(TRIM(INDEX(PASTE_ALL,14,47)),1)="-"),999),1)="%"))&lt;&gt;"",SUBSTITUTE(SUBSTITUTE(SUBSTITUTE(SUBSTITUTE(SUBSTITUTE(SUBSTITUTE(SUBSTITUTE(SUBSTITUTE(SUBSTITUTE(SUBSTITUTE(SUBSTITUTE(SUBSTITUTE(LEFT(MID(TRIM(INDEX(PASTE_ALL,14,47)),1+(LEFT(TRIM(INDEX(PASTE_ALL,14,47)),1)="-"),999),LEN(MID(TRIM(INDEX(PASTE_ALL,14,47)),1+(LEFT(TRIM(INDEX(PASTE_ALL,14,47)),1)="-"),999))-(RIGHT(MID(TRIM(INDEX(PASTE_ALL,14,47)),1+(LEFT(TRIM(INDEX(PASTE_ALL,14,47)),1)="-"),999),1)="%")),"0",""),"1",""),"2",""),"3",""),"4",""),"5",""),"6",""),"7",""),"8",""),"9",""),".",""),",","")=""),2,1))),1)</f>
        <v/>
      </c>
      <c r="BT63">
        <f>IFERROR(IF(ISNUMBER(INDEX(PASTE_ALL,14,48)),2,IF(TRIM(INDEX(PASTE_ALL,14,48))="",0,IF(AND(LEFT(MID(TRIM(INDEX(PASTE_ALL,14,48)),1+(LEFT(TRIM(INDEX(PASTE_ALL,14,48)),1)="-"),999),LEN(MID(TRIM(INDEX(PASTE_ALL,14,48)),1+(LEFT(TRIM(INDEX(PASTE_ALL,14,48)),1)="-"),999))-(RIGHT(MID(TRIM(INDEX(PASTE_ALL,14,48)),1+(LEFT(TRIM(INDEX(PASTE_ALL,14,48)),1)="-"),999),1)="%"))&lt;&gt;"",SUBSTITUTE(SUBSTITUTE(SUBSTITUTE(SUBSTITUTE(SUBSTITUTE(SUBSTITUTE(SUBSTITUTE(SUBSTITUTE(SUBSTITUTE(SUBSTITUTE(SUBSTITUTE(SUBSTITUTE(LEFT(MID(TRIM(INDEX(PASTE_ALL,14,48)),1+(LEFT(TRIM(INDEX(PASTE_ALL,14,48)),1)="-"),999),LEN(MID(TRIM(INDEX(PASTE_ALL,14,48)),1+(LEFT(TRIM(INDEX(PASTE_ALL,14,48)),1)="-"),999))-(RIGHT(MID(TRIM(INDEX(PASTE_ALL,14,48)),1+(LEFT(TRIM(INDEX(PASTE_ALL,14,48)),1)="-"),999),1)="%")),"0",""),"1",""),"2",""),"3",""),"4",""),"5",""),"6",""),"7",""),"8",""),"9",""),".",""),",","")=""),2,1))),1)</f>
        <v/>
      </c>
      <c r="BU63">
        <f>IFERROR(IF(ISNUMBER(INDEX(PASTE_ALL,14,49)),2,IF(TRIM(INDEX(PASTE_ALL,14,49))="",0,IF(AND(LEFT(MID(TRIM(INDEX(PASTE_ALL,14,49)),1+(LEFT(TRIM(INDEX(PASTE_ALL,14,49)),1)="-"),999),LEN(MID(TRIM(INDEX(PASTE_ALL,14,49)),1+(LEFT(TRIM(INDEX(PASTE_ALL,14,49)),1)="-"),999))-(RIGHT(MID(TRIM(INDEX(PASTE_ALL,14,49)),1+(LEFT(TRIM(INDEX(PASTE_ALL,14,49)),1)="-"),999),1)="%"))&lt;&gt;"",SUBSTITUTE(SUBSTITUTE(SUBSTITUTE(SUBSTITUTE(SUBSTITUTE(SUBSTITUTE(SUBSTITUTE(SUBSTITUTE(SUBSTITUTE(SUBSTITUTE(SUBSTITUTE(SUBSTITUTE(LEFT(MID(TRIM(INDEX(PASTE_ALL,14,49)),1+(LEFT(TRIM(INDEX(PASTE_ALL,14,49)),1)="-"),999),LEN(MID(TRIM(INDEX(PASTE_ALL,14,49)),1+(LEFT(TRIM(INDEX(PASTE_ALL,14,49)),1)="-"),999))-(RIGHT(MID(TRIM(INDEX(PASTE_ALL,14,49)),1+(LEFT(TRIM(INDEX(PASTE_ALL,14,49)),1)="-"),999),1)="%")),"0",""),"1",""),"2",""),"3",""),"4",""),"5",""),"6",""),"7",""),"8",""),"9",""),".",""),",","")=""),2,1))),1)</f>
        <v/>
      </c>
      <c r="BV63">
        <f>IFERROR(IF(ISNUMBER(INDEX(PASTE_ALL,14,50)),2,IF(TRIM(INDEX(PASTE_ALL,14,50))="",0,IF(AND(LEFT(MID(TRIM(INDEX(PASTE_ALL,14,50)),1+(LEFT(TRIM(INDEX(PASTE_ALL,14,50)),1)="-"),999),LEN(MID(TRIM(INDEX(PASTE_ALL,14,50)),1+(LEFT(TRIM(INDEX(PASTE_ALL,14,50)),1)="-"),999))-(RIGHT(MID(TRIM(INDEX(PASTE_ALL,14,50)),1+(LEFT(TRIM(INDEX(PASTE_ALL,14,50)),1)="-"),999),1)="%"))&lt;&gt;"",SUBSTITUTE(SUBSTITUTE(SUBSTITUTE(SUBSTITUTE(SUBSTITUTE(SUBSTITUTE(SUBSTITUTE(SUBSTITUTE(SUBSTITUTE(SUBSTITUTE(SUBSTITUTE(SUBSTITUTE(LEFT(MID(TRIM(INDEX(PASTE_ALL,14,50)),1+(LEFT(TRIM(INDEX(PASTE_ALL,14,50)),1)="-"),999),LEN(MID(TRIM(INDEX(PASTE_ALL,14,50)),1+(LEFT(TRIM(INDEX(PASTE_ALL,14,50)),1)="-"),999))-(RIGHT(MID(TRIM(INDEX(PASTE_ALL,14,50)),1+(LEFT(TRIM(INDEX(PASTE_ALL,14,50)),1)="-"),999),1)="%")),"0",""),"1",""),"2",""),"3",""),"4",""),"5",""),"6",""),"7",""),"8",""),"9",""),".",""),",","")=""),2,1))),1)</f>
        <v/>
      </c>
      <c r="BW63">
        <f>IFERROR(IF(ISNUMBER(INDEX(PASTE_ALL,14,51)),2,IF(TRIM(INDEX(PASTE_ALL,14,51))="",0,IF(AND(LEFT(MID(TRIM(INDEX(PASTE_ALL,14,51)),1+(LEFT(TRIM(INDEX(PASTE_ALL,14,51)),1)="-"),999),LEN(MID(TRIM(INDEX(PASTE_ALL,14,51)),1+(LEFT(TRIM(INDEX(PASTE_ALL,14,51)),1)="-"),999))-(RIGHT(MID(TRIM(INDEX(PASTE_ALL,14,51)),1+(LEFT(TRIM(INDEX(PASTE_ALL,14,51)),1)="-"),999),1)="%"))&lt;&gt;"",SUBSTITUTE(SUBSTITUTE(SUBSTITUTE(SUBSTITUTE(SUBSTITUTE(SUBSTITUTE(SUBSTITUTE(SUBSTITUTE(SUBSTITUTE(SUBSTITUTE(SUBSTITUTE(SUBSTITUTE(LEFT(MID(TRIM(INDEX(PASTE_ALL,14,51)),1+(LEFT(TRIM(INDEX(PASTE_ALL,14,51)),1)="-"),999),LEN(MID(TRIM(INDEX(PASTE_ALL,14,51)),1+(LEFT(TRIM(INDEX(PASTE_ALL,14,51)),1)="-"),999))-(RIGHT(MID(TRIM(INDEX(PASTE_ALL,14,51)),1+(LEFT(TRIM(INDEX(PASTE_ALL,14,51)),1)="-"),999),1)="%")),"0",""),"1",""),"2",""),"3",""),"4",""),"5",""),"6",""),"7",""),"8",""),"9",""),".",""),",","")=""),2,1))),1)</f>
        <v/>
      </c>
      <c r="BX63">
        <f>IFERROR(IF(ISNUMBER(INDEX(PASTE_ALL,14,52)),2,IF(TRIM(INDEX(PASTE_ALL,14,52))="",0,IF(AND(LEFT(MID(TRIM(INDEX(PASTE_ALL,14,52)),1+(LEFT(TRIM(INDEX(PASTE_ALL,14,52)),1)="-"),999),LEN(MID(TRIM(INDEX(PASTE_ALL,14,52)),1+(LEFT(TRIM(INDEX(PASTE_ALL,14,52)),1)="-"),999))-(RIGHT(MID(TRIM(INDEX(PASTE_ALL,14,52)),1+(LEFT(TRIM(INDEX(PASTE_ALL,14,52)),1)="-"),999),1)="%"))&lt;&gt;"",SUBSTITUTE(SUBSTITUTE(SUBSTITUTE(SUBSTITUTE(SUBSTITUTE(SUBSTITUTE(SUBSTITUTE(SUBSTITUTE(SUBSTITUTE(SUBSTITUTE(SUBSTITUTE(SUBSTITUTE(LEFT(MID(TRIM(INDEX(PASTE_ALL,14,52)),1+(LEFT(TRIM(INDEX(PASTE_ALL,14,52)),1)="-"),999),LEN(MID(TRIM(INDEX(PASTE_ALL,14,52)),1+(LEFT(TRIM(INDEX(PASTE_ALL,14,52)),1)="-"),999))-(RIGHT(MID(TRIM(INDEX(PASTE_ALL,14,52)),1+(LEFT(TRIM(INDEX(PASTE_ALL,14,52)),1)="-"),999),1)="%")),"0",""),"1",""),"2",""),"3",""),"4",""),"5",""),"6",""),"7",""),"8",""),"9",""),".",""),",","")=""),2,1))),1)</f>
        <v/>
      </c>
      <c r="BY63">
        <f>IFERROR(IF(ISNUMBER(INDEX(PASTE_ALL,14,53)),2,IF(TRIM(INDEX(PASTE_ALL,14,53))="",0,IF(AND(LEFT(MID(TRIM(INDEX(PASTE_ALL,14,53)),1+(LEFT(TRIM(INDEX(PASTE_ALL,14,53)),1)="-"),999),LEN(MID(TRIM(INDEX(PASTE_ALL,14,53)),1+(LEFT(TRIM(INDEX(PASTE_ALL,14,53)),1)="-"),999))-(RIGHT(MID(TRIM(INDEX(PASTE_ALL,14,53)),1+(LEFT(TRIM(INDEX(PASTE_ALL,14,53)),1)="-"),999),1)="%"))&lt;&gt;"",SUBSTITUTE(SUBSTITUTE(SUBSTITUTE(SUBSTITUTE(SUBSTITUTE(SUBSTITUTE(SUBSTITUTE(SUBSTITUTE(SUBSTITUTE(SUBSTITUTE(SUBSTITUTE(SUBSTITUTE(LEFT(MID(TRIM(INDEX(PASTE_ALL,14,53)),1+(LEFT(TRIM(INDEX(PASTE_ALL,14,53)),1)="-"),999),LEN(MID(TRIM(INDEX(PASTE_ALL,14,53)),1+(LEFT(TRIM(INDEX(PASTE_ALL,14,53)),1)="-"),999))-(RIGHT(MID(TRIM(INDEX(PASTE_ALL,14,53)),1+(LEFT(TRIM(INDEX(PASTE_ALL,14,53)),1)="-"),999),1)="%")),"0",""),"1",""),"2",""),"3",""),"4",""),"5",""),"6",""),"7",""),"8",""),"9",""),".",""),",","")=""),2,1))),1)</f>
        <v/>
      </c>
      <c r="BZ63">
        <f>IFERROR(IF(ISNUMBER(INDEX(PASTE_ALL,14,54)),2,IF(TRIM(INDEX(PASTE_ALL,14,54))="",0,IF(AND(LEFT(MID(TRIM(INDEX(PASTE_ALL,14,54)),1+(LEFT(TRIM(INDEX(PASTE_ALL,14,54)),1)="-"),999),LEN(MID(TRIM(INDEX(PASTE_ALL,14,54)),1+(LEFT(TRIM(INDEX(PASTE_ALL,14,54)),1)="-"),999))-(RIGHT(MID(TRIM(INDEX(PASTE_ALL,14,54)),1+(LEFT(TRIM(INDEX(PASTE_ALL,14,54)),1)="-"),999),1)="%"))&lt;&gt;"",SUBSTITUTE(SUBSTITUTE(SUBSTITUTE(SUBSTITUTE(SUBSTITUTE(SUBSTITUTE(SUBSTITUTE(SUBSTITUTE(SUBSTITUTE(SUBSTITUTE(SUBSTITUTE(SUBSTITUTE(LEFT(MID(TRIM(INDEX(PASTE_ALL,14,54)),1+(LEFT(TRIM(INDEX(PASTE_ALL,14,54)),1)="-"),999),LEN(MID(TRIM(INDEX(PASTE_ALL,14,54)),1+(LEFT(TRIM(INDEX(PASTE_ALL,14,54)),1)="-"),999))-(RIGHT(MID(TRIM(INDEX(PASTE_ALL,14,54)),1+(LEFT(TRIM(INDEX(PASTE_ALL,14,54)),1)="-"),999),1)="%")),"0",""),"1",""),"2",""),"3",""),"4",""),"5",""),"6",""),"7",""),"8",""),"9",""),".",""),",","")=""),2,1))),1)</f>
        <v/>
      </c>
      <c r="CA63">
        <f>IFERROR(IF(ISNUMBER(INDEX(PASTE_ALL,14,55)),2,IF(TRIM(INDEX(PASTE_ALL,14,55))="",0,IF(AND(LEFT(MID(TRIM(INDEX(PASTE_ALL,14,55)),1+(LEFT(TRIM(INDEX(PASTE_ALL,14,55)),1)="-"),999),LEN(MID(TRIM(INDEX(PASTE_ALL,14,55)),1+(LEFT(TRIM(INDEX(PASTE_ALL,14,55)),1)="-"),999))-(RIGHT(MID(TRIM(INDEX(PASTE_ALL,14,55)),1+(LEFT(TRIM(INDEX(PASTE_ALL,14,55)),1)="-"),999),1)="%"))&lt;&gt;"",SUBSTITUTE(SUBSTITUTE(SUBSTITUTE(SUBSTITUTE(SUBSTITUTE(SUBSTITUTE(SUBSTITUTE(SUBSTITUTE(SUBSTITUTE(SUBSTITUTE(SUBSTITUTE(SUBSTITUTE(LEFT(MID(TRIM(INDEX(PASTE_ALL,14,55)),1+(LEFT(TRIM(INDEX(PASTE_ALL,14,55)),1)="-"),999),LEN(MID(TRIM(INDEX(PASTE_ALL,14,55)),1+(LEFT(TRIM(INDEX(PASTE_ALL,14,55)),1)="-"),999))-(RIGHT(MID(TRIM(INDEX(PASTE_ALL,14,55)),1+(LEFT(TRIM(INDEX(PASTE_ALL,14,55)),1)="-"),999),1)="%")),"0",""),"1",""),"2",""),"3",""),"4",""),"5",""),"6",""),"7",""),"8",""),"9",""),".",""),",","")=""),2,1))),1)</f>
        <v/>
      </c>
      <c r="CB63">
        <f>IFERROR(IF(ISNUMBER(INDEX(PASTE_ALL,14,56)),2,IF(TRIM(INDEX(PASTE_ALL,14,56))="",0,IF(AND(LEFT(MID(TRIM(INDEX(PASTE_ALL,14,56)),1+(LEFT(TRIM(INDEX(PASTE_ALL,14,56)),1)="-"),999),LEN(MID(TRIM(INDEX(PASTE_ALL,14,56)),1+(LEFT(TRIM(INDEX(PASTE_ALL,14,56)),1)="-"),999))-(RIGHT(MID(TRIM(INDEX(PASTE_ALL,14,56)),1+(LEFT(TRIM(INDEX(PASTE_ALL,14,56)),1)="-"),999),1)="%"))&lt;&gt;"",SUBSTITUTE(SUBSTITUTE(SUBSTITUTE(SUBSTITUTE(SUBSTITUTE(SUBSTITUTE(SUBSTITUTE(SUBSTITUTE(SUBSTITUTE(SUBSTITUTE(SUBSTITUTE(SUBSTITUTE(LEFT(MID(TRIM(INDEX(PASTE_ALL,14,56)),1+(LEFT(TRIM(INDEX(PASTE_ALL,14,56)),1)="-"),999),LEN(MID(TRIM(INDEX(PASTE_ALL,14,56)),1+(LEFT(TRIM(INDEX(PASTE_ALL,14,56)),1)="-"),999))-(RIGHT(MID(TRIM(INDEX(PASTE_ALL,14,56)),1+(LEFT(TRIM(INDEX(PASTE_ALL,14,56)),1)="-"),999),1)="%")),"0",""),"1",""),"2",""),"3",""),"4",""),"5",""),"6",""),"7",""),"8",""),"9",""),".",""),",","")=""),2,1))),1)</f>
        <v/>
      </c>
      <c r="CC63">
        <f>IFERROR(IF(ISNUMBER(INDEX(PASTE_ALL,14,57)),2,IF(TRIM(INDEX(PASTE_ALL,14,57))="",0,IF(AND(LEFT(MID(TRIM(INDEX(PASTE_ALL,14,57)),1+(LEFT(TRIM(INDEX(PASTE_ALL,14,57)),1)="-"),999),LEN(MID(TRIM(INDEX(PASTE_ALL,14,57)),1+(LEFT(TRIM(INDEX(PASTE_ALL,14,57)),1)="-"),999))-(RIGHT(MID(TRIM(INDEX(PASTE_ALL,14,57)),1+(LEFT(TRIM(INDEX(PASTE_ALL,14,57)),1)="-"),999),1)="%"))&lt;&gt;"",SUBSTITUTE(SUBSTITUTE(SUBSTITUTE(SUBSTITUTE(SUBSTITUTE(SUBSTITUTE(SUBSTITUTE(SUBSTITUTE(SUBSTITUTE(SUBSTITUTE(SUBSTITUTE(SUBSTITUTE(LEFT(MID(TRIM(INDEX(PASTE_ALL,14,57)),1+(LEFT(TRIM(INDEX(PASTE_ALL,14,57)),1)="-"),999),LEN(MID(TRIM(INDEX(PASTE_ALL,14,57)),1+(LEFT(TRIM(INDEX(PASTE_ALL,14,57)),1)="-"),999))-(RIGHT(MID(TRIM(INDEX(PASTE_ALL,14,57)),1+(LEFT(TRIM(INDEX(PASTE_ALL,14,57)),1)="-"),999),1)="%")),"0",""),"1",""),"2",""),"3",""),"4",""),"5",""),"6",""),"7",""),"8",""),"9",""),".",""),",","")=""),2,1))),1)</f>
        <v/>
      </c>
      <c r="CD63">
        <f>IFERROR(IF(ISNUMBER(INDEX(PASTE_ALL,14,58)),2,IF(TRIM(INDEX(PASTE_ALL,14,58))="",0,IF(AND(LEFT(MID(TRIM(INDEX(PASTE_ALL,14,58)),1+(LEFT(TRIM(INDEX(PASTE_ALL,14,58)),1)="-"),999),LEN(MID(TRIM(INDEX(PASTE_ALL,14,58)),1+(LEFT(TRIM(INDEX(PASTE_ALL,14,58)),1)="-"),999))-(RIGHT(MID(TRIM(INDEX(PASTE_ALL,14,58)),1+(LEFT(TRIM(INDEX(PASTE_ALL,14,58)),1)="-"),999),1)="%"))&lt;&gt;"",SUBSTITUTE(SUBSTITUTE(SUBSTITUTE(SUBSTITUTE(SUBSTITUTE(SUBSTITUTE(SUBSTITUTE(SUBSTITUTE(SUBSTITUTE(SUBSTITUTE(SUBSTITUTE(SUBSTITUTE(LEFT(MID(TRIM(INDEX(PASTE_ALL,14,58)),1+(LEFT(TRIM(INDEX(PASTE_ALL,14,58)),1)="-"),999),LEN(MID(TRIM(INDEX(PASTE_ALL,14,58)),1+(LEFT(TRIM(INDEX(PASTE_ALL,14,58)),1)="-"),999))-(RIGHT(MID(TRIM(INDEX(PASTE_ALL,14,58)),1+(LEFT(TRIM(INDEX(PASTE_ALL,14,58)),1)="-"),999),1)="%")),"0",""),"1",""),"2",""),"3",""),"4",""),"5",""),"6",""),"7",""),"8",""),"9",""),".",""),",","")=""),2,1))),1)</f>
        <v/>
      </c>
      <c r="CE63">
        <f>IFERROR(IF(ISNUMBER(INDEX(PASTE_ALL,14,59)),2,IF(TRIM(INDEX(PASTE_ALL,14,59))="",0,IF(AND(LEFT(MID(TRIM(INDEX(PASTE_ALL,14,59)),1+(LEFT(TRIM(INDEX(PASTE_ALL,14,59)),1)="-"),999),LEN(MID(TRIM(INDEX(PASTE_ALL,14,59)),1+(LEFT(TRIM(INDEX(PASTE_ALL,14,59)),1)="-"),999))-(RIGHT(MID(TRIM(INDEX(PASTE_ALL,14,59)),1+(LEFT(TRIM(INDEX(PASTE_ALL,14,59)),1)="-"),999),1)="%"))&lt;&gt;"",SUBSTITUTE(SUBSTITUTE(SUBSTITUTE(SUBSTITUTE(SUBSTITUTE(SUBSTITUTE(SUBSTITUTE(SUBSTITUTE(SUBSTITUTE(SUBSTITUTE(SUBSTITUTE(SUBSTITUTE(LEFT(MID(TRIM(INDEX(PASTE_ALL,14,59)),1+(LEFT(TRIM(INDEX(PASTE_ALL,14,59)),1)="-"),999),LEN(MID(TRIM(INDEX(PASTE_ALL,14,59)),1+(LEFT(TRIM(INDEX(PASTE_ALL,14,59)),1)="-"),999))-(RIGHT(MID(TRIM(INDEX(PASTE_ALL,14,59)),1+(LEFT(TRIM(INDEX(PASTE_ALL,14,59)),1)="-"),999),1)="%")),"0",""),"1",""),"2",""),"3",""),"4",""),"5",""),"6",""),"7",""),"8",""),"9",""),".",""),",","")=""),2,1))),1)</f>
        <v/>
      </c>
      <c r="CF63">
        <f>IFERROR(IF(ISNUMBER(INDEX(PASTE_ALL,14,60)),2,IF(TRIM(INDEX(PASTE_ALL,14,60))="",0,IF(AND(LEFT(MID(TRIM(INDEX(PASTE_ALL,14,60)),1+(LEFT(TRIM(INDEX(PASTE_ALL,14,60)),1)="-"),999),LEN(MID(TRIM(INDEX(PASTE_ALL,14,60)),1+(LEFT(TRIM(INDEX(PASTE_ALL,14,60)),1)="-"),999))-(RIGHT(MID(TRIM(INDEX(PASTE_ALL,14,60)),1+(LEFT(TRIM(INDEX(PASTE_ALL,14,60)),1)="-"),999),1)="%"))&lt;&gt;"",SUBSTITUTE(SUBSTITUTE(SUBSTITUTE(SUBSTITUTE(SUBSTITUTE(SUBSTITUTE(SUBSTITUTE(SUBSTITUTE(SUBSTITUTE(SUBSTITUTE(SUBSTITUTE(SUBSTITUTE(LEFT(MID(TRIM(INDEX(PASTE_ALL,14,60)),1+(LEFT(TRIM(INDEX(PASTE_ALL,14,60)),1)="-"),999),LEN(MID(TRIM(INDEX(PASTE_ALL,14,60)),1+(LEFT(TRIM(INDEX(PASTE_ALL,14,60)),1)="-"),999))-(RIGHT(MID(TRIM(INDEX(PASTE_ALL,14,60)),1+(LEFT(TRIM(INDEX(PASTE_ALL,14,60)),1)="-"),999),1)="%")),"0",""),"1",""),"2",""),"3",""),"4",""),"5",""),"6",""),"7",""),"8",""),"9",""),".",""),",","")=""),2,1))),1)</f>
        <v/>
      </c>
      <c r="DA63" t="n">
        <v>59</v>
      </c>
      <c r="DB63">
        <f>IF($B$37=0,"",IFERROR(TRIM(SUBSTITUTE(SUBSTITUTE(SUBSTITUTE(SUBSTITUTE(INDEX(PASTE_ALL,59,$B$37)," "," "),CHAR(9)," "),CHAR(10)," "),CHAR(13)," ")),""))</f>
        <v/>
      </c>
      <c r="DC63">
        <f>IF(AND(59&gt;HEADER_ROW,UPPER(DB63)="LEGEND"),1,0)</f>
        <v/>
      </c>
      <c r="DE63" t="n">
        <v>59</v>
      </c>
      <c r="DF63">
        <f>HEADER_ROW+$DE63</f>
        <v/>
      </c>
      <c r="DG63">
        <f>IF(AND($DF63&lt;=1000,$DF63&lt;$B$8),1,0)</f>
        <v/>
      </c>
      <c r="DH63">
        <f>IF($DG63=1,IFERROR(INDEX($DB$5:$DB$1004,$DF63),""),"")</f>
        <v/>
      </c>
      <c r="DI63">
        <f>IF(AND($DG63=1,$DH63&lt;&gt;""),IFERROR(SUBSTITUTE(SUBSTITUTE(TRIM(SUBSTITUTE(SUBSTITUTE(SUBSTITUTE(SUBSTITUTE(IFERROR(INDEX(PASTE_ALL,$DF63,1)&amp;"","")&amp;"␟"&amp;IFERROR(INDEX(PASTE_ALL,$DF63,2)&amp;"","")&amp;"␟"&amp;IFERROR(INDEX(PASTE_ALL,$DF63,3)&amp;"","")&amp;"␟"&amp;IFERROR(INDEX(PASTE_ALL,$DF63,4)&amp;"","")&amp;"␟"&amp;IFERROR(INDEX(PASTE_ALL,$DF63,5)&amp;"","")&amp;"␟"&amp;IFERROR(INDEX(PASTE_ALL,$DF63,6)&amp;"","")&amp;"␟"&amp;IFERROR(INDEX(PASTE_ALL,$DF63,7)&amp;"","")&amp;"␟"&amp;IFERROR(INDEX(PASTE_ALL,$DF63,8)&amp;"","")&amp;"␟"&amp;IFERROR(INDEX(PASTE_ALL,$DF63,9)&amp;"","")&amp;"␟"&amp;IFERROR(INDEX(PASTE_ALL,$DF63,10)&amp;"","")&amp;"␟"&amp;IFERROR(INDEX(PASTE_ALL,$DF63,11)&amp;"","")&amp;"␟"&amp;IFERROR(INDEX(PASTE_ALL,$DF63,12)&amp;"","")&amp;"␟"&amp;IFERROR(INDEX(PASTE_ALL,$DF63,13)&amp;"","")&amp;"␟"&amp;IFERROR(INDEX(PASTE_ALL,$DF63,14)&amp;"","")&amp;"␟"&amp;IFERROR(INDEX(PASTE_ALL,$DF63,15)&amp;"","")&amp;"␟"&amp;IFERROR(INDEX(PASTE_ALL,$DF63,16)&amp;"","")&amp;"␟"&amp;IFERROR(INDEX(PASTE_ALL,$DF63,17)&amp;"","")&amp;"␟"&amp;IFERROR(INDEX(PASTE_ALL,$DF63,18)&amp;"","")&amp;"␟"&amp;IFERROR(INDEX(PASTE_ALL,$DF63,19)&amp;"","")&amp;"␟"&amp;IFERROR(INDEX(PASTE_ALL,$DF63,20)&amp;"","")&amp;"␟"&amp;IFERROR(INDEX(PASTE_ALL,$DF63,21)&amp;"","")&amp;"␟"&amp;IFERROR(INDEX(PASTE_ALL,$DF63,22)&amp;"","")&amp;"␟"&amp;IFERROR(INDEX(PASTE_ALL,$DF63,23)&amp;"","")&amp;"␟"&amp;IFERROR(INDEX(PASTE_ALL,$DF63,24)&amp;"","")&amp;"␟"&amp;IFERROR(INDEX(PASTE_ALL,$DF63,25)&amp;"","")&amp;"␟"&amp;IFERROR(INDEX(PASTE_ALL,$DF63,26)&amp;"","")&amp;"␟"&amp;IFERROR(INDEX(PASTE_ALL,$DF63,27)&amp;"","")&amp;"␟"&amp;IFERROR(INDEX(PASTE_ALL,$DF63,28)&amp;"","")&amp;"␟"&amp;IFERROR(INDEX(PASTE_ALL,$DF63,29)&amp;"","")&amp;"␟"&amp;IFERROR(INDEX(PASTE_ALL,$DF63,30)&amp;"","")&amp;"␟"&amp;IFERROR(INDEX(PASTE_ALL,$DF63,31)&amp;"","")&amp;"␟"&amp;IFERROR(INDEX(PASTE_ALL,$DF63,32)&amp;"","")&amp;"␟"&amp;IFERROR(INDEX(PASTE_ALL,$DF63,33)&amp;"","")&amp;"␟"&amp;IFERROR(INDEX(PASTE_ALL,$DF63,34)&amp;"","")&amp;"␟"&amp;IFERROR(INDEX(PASTE_ALL,$DF63,35)&amp;"","")&amp;"␟"&amp;IFERROR(INDEX(PASTE_ALL,$DF63,36)&amp;"","")&amp;"␟"&amp;IFERROR(INDEX(PASTE_ALL,$DF63,37)&amp;"","")&amp;"␟"&amp;IFERROR(INDEX(PASTE_ALL,$DF63,38)&amp;"","")&amp;"␟"&amp;IFERROR(INDEX(PASTE_ALL,$DF63,39)&amp;"","")&amp;"␟"&amp;IFERROR(INDEX(PASTE_ALL,$DF63,40)&amp;"","")&amp;"␟"&amp;IFERROR(INDEX(PASTE_ALL,$DF63,41)&amp;"","")&amp;"␟"&amp;IFERROR(INDEX(PASTE_ALL,$DF63,42)&amp;"","")&amp;"␟"&amp;IFERROR(INDEX(PASTE_ALL,$DF63,43)&amp;"","")&amp;"␟"&amp;IFERROR(INDEX(PASTE_ALL,$DF63,44)&amp;"","")&amp;"␟"&amp;IFERROR(INDEX(PASTE_ALL,$DF63,45)&amp;"","")&amp;"␟"&amp;IFERROR(INDEX(PASTE_ALL,$DF63,46)&amp;"","")&amp;"␟"&amp;IFERROR(INDEX(PASTE_ALL,$DF63,47)&amp;"","")&amp;"␟"&amp;IFERROR(INDEX(PASTE_ALL,$DF63,48)&amp;"","")&amp;"␟"&amp;IFERROR(INDEX(PASTE_ALL,$DF63,49)&amp;"","")&amp;"␟"&amp;IFERROR(INDEX(PASTE_ALL,$DF63,50)&amp;"","")&amp;"␟"&amp;IFERROR(INDEX(PASTE_ALL,$DF63,51)&amp;"","")&amp;"␟"&amp;IFERROR(INDEX(PASTE_ALL,$DF63,52)&amp;"","")&amp;"␟"&amp;IFERROR(INDEX(PASTE_ALL,$DF63,53)&amp;"","")&amp;"␟"&amp;IFERROR(INDEX(PASTE_ALL,$DF63,54)&amp;"","")&amp;"␟"&amp;IFERROR(INDEX(PASTE_ALL,$DF63,55)&amp;"","")&amp;"␟"&amp;IFERROR(INDEX(PASTE_ALL,$DF63,56)&amp;"","")&amp;"␟"&amp;IFERROR(INDEX(PASTE_ALL,$DF63,57)&amp;"","")&amp;"␟"&amp;IFERROR(INDEX(PASTE_ALL,$DF63,58)&amp;"","")&amp;"␟"&amp;IFERROR(INDEX(PASTE_ALL,$DF63,59)&amp;"","")&amp;"␟"&amp;IFERROR(INDEX(PASTE_ALL,$DF63,60)&amp;"","")," "," "),CHAR(9)," "),CHAR(10)," "),CHAR(13)," "))," ␟","␟"),"␟ ","␟"),"#"&amp;$DE63),"")</f>
        <v/>
      </c>
      <c r="DJ63">
        <f>IF($DI63="",0,IF(SUMPRODUCT(--EXACT($DI$4:DI62,$DI63))&gt;0,1,0))</f>
        <v/>
      </c>
      <c r="DK63">
        <f>IF(AND($DI63&lt;&gt;"",$DJ63=0),1,0)</f>
        <v/>
      </c>
      <c r="DL63">
        <f>DL62+$DK63</f>
        <v/>
      </c>
      <c r="DM63">
        <f>IF(AND($DK63=1,$DL63&lt;=600),1,0)</f>
        <v/>
      </c>
      <c r="DN63">
        <f>IF($DM63=0,"",IF($L$6=0,"",IFERROR(IF(ISNUMBER(INDEX(PASTE_ALL,$DF63,$L$6)),INDEX(PASTE_ALL,$DF63,$L$6),TRIM(SUBSTITUTE(SUBSTITUTE(SUBSTITUTE(SUBSTITUTE(INDEX(PASTE_ALL,$DF63,$L$6)," "," "),CHAR(9)," "),CHAR(10)," "),CHAR(13)," "))),"")))</f>
        <v/>
      </c>
      <c r="DO63">
        <f>IF($DM63=0,"",IF($L$7=0,"",IFERROR(IF(ISNUMBER(INDEX(PASTE_ALL,$DF63,$L$7)),INDEX(PASTE_ALL,$DF63,$L$7),TRIM(SUBSTITUTE(SUBSTITUTE(SUBSTITUTE(SUBSTITUTE(INDEX(PASTE_ALL,$DF63,$L$7)," "," "),CHAR(9)," "),CHAR(10)," "),CHAR(13)," "))),"")))</f>
        <v/>
      </c>
      <c r="DP63">
        <f>IF($DM63=0,"",IF($L$8=0,"",IFERROR(IF(ISNUMBER(INDEX(PASTE_ALL,$DF63,$L$8)),INDEX(PASTE_ALL,$DF63,$L$8),TRIM(SUBSTITUTE(SUBSTITUTE(SUBSTITUTE(SUBSTITUTE(INDEX(PASTE_ALL,$DF63,$L$8)," "," "),CHAR(9)," "),CHAR(10)," "),CHAR(13)," "))),"")))</f>
        <v/>
      </c>
      <c r="DQ63">
        <f>IF($DM63=0,"",IF($L$9=0,"",IFERROR(IF(ISNUMBER(INDEX(PASTE_ALL,$DF63,$L$9)),INDEX(PASTE_ALL,$DF63,$L$9),TRIM(SUBSTITUTE(SUBSTITUTE(SUBSTITUTE(SUBSTITUTE(INDEX(PASTE_ALL,$DF63,$L$9)," "," "),CHAR(9)," "),CHAR(10)," "),CHAR(13)," "))),"")))</f>
        <v/>
      </c>
      <c r="DR63">
        <f>IF($DM63=0,"",IF($L$10=0,"",IFERROR(IF(ISNUMBER(INDEX(PASTE_ALL,$DF63,$L$10)),INDEX(PASTE_ALL,$DF63,$L$10),TRIM(SUBSTITUTE(SUBSTITUTE(SUBSTITUTE(SUBSTITUTE(INDEX(PASTE_ALL,$DF63,$L$10)," "," "),CHAR(9)," "),CHAR(10)," "),CHAR(13)," "))),"")))</f>
        <v/>
      </c>
      <c r="DS63">
        <f>IF($DM63=0,"",IF($L$11=0,"",IFERROR(IF(ISNUMBER(INDEX(PASTE_ALL,$DF63,$L$11)),INDEX(PASTE_ALL,$DF63,$L$11),TRIM(SUBSTITUTE(SUBSTITUTE(SUBSTITUTE(SUBSTITUTE(INDEX(PASTE_ALL,$DF63,$L$11)," "," "),CHAR(9)," "),CHAR(10)," "),CHAR(13)," "))),"")))</f>
        <v/>
      </c>
      <c r="DT63">
        <f>IF($DM63=0,"",IF($L$12=0,"",IFERROR(IF(ISNUMBER(INDEX(PASTE_ALL,$DF63,$L$12)),INDEX(PASTE_ALL,$DF63,$L$12),TRIM(SUBSTITUTE(SUBSTITUTE(SUBSTITUTE(SUBSTITUTE(INDEX(PASTE_ALL,$DF63,$L$12)," "," "),CHAR(9)," "),CHAR(10)," "),CHAR(13)," "))),"")))</f>
        <v/>
      </c>
      <c r="DU63">
        <f>IF($DM63=0,"",IF($L$13=0,"",IFERROR(IF(ISNUMBER(INDEX(PASTE_ALL,$DF63,$L$13)),INDEX(PASTE_ALL,$DF63,$L$13),TRIM(SUBSTITUTE(SUBSTITUTE(SUBSTITUTE(SUBSTITUTE(INDEX(PASTE_ALL,$DF63,$L$13)," "," "),CHAR(9)," "),CHAR(10)," "),CHAR(13)," "))),"")))</f>
        <v/>
      </c>
      <c r="DV63">
        <f>IF($DM63=0,"",IF($L$14=0,"",IFERROR(IF(ISNUMBER(INDEX(PASTE_ALL,$DF63,$L$14)),INDEX(PASTE_ALL,$DF63,$L$14),TRIM(SUBSTITUTE(SUBSTITUTE(SUBSTITUTE(SUBSTITUTE(INDEX(PASTE_ALL,$DF63,$L$14)," "," "),CHAR(9)," "),CHAR(10)," "),CHAR(13)," "))),"")))</f>
        <v/>
      </c>
      <c r="DW63">
        <f>IF($DM63=0,"",IF($L$15=0,"",IFERROR(IF(ISNUMBER(INDEX(PASTE_ALL,$DF63,$L$15)),INDEX(PASTE_ALL,$DF63,$L$15),IF(SUMPRODUCT(--ISNUMBER(FIND({"A","B","C","D","E","F","G","H","I","J","K","L","M","N","O","P","Q","R","S","T","U","V","W","X","Y","Z","0","1","2","3","4","5","6","7","8","9"},UPPER(TRIM(SUBSTITUTE(SUBSTITUTE(SUBSTITUTE(SUBSTITUTE(INDEX(PASTE_ALL,$DF63,$L$15)," "," "),CHAR(9)," "),CHAR(10)," "),CHAR(13)," "))))))&gt;0,TRIM(SUBSTITUTE(SUBSTITUTE(SUBSTITUTE(SUBSTITUTE(INDEX(PASTE_ALL,$DF63,$L$15)," "," "),CHAR(9)," "),CHAR(10)," "),CHAR(13)," ")),"")),"")))</f>
        <v/>
      </c>
      <c r="DX63">
        <f>IF($DM63=0,"",IF($L$16=0,"",IFERROR(IF(ISNUMBER(INDEX(PASTE_ALL,$DF63,$L$16)),INDEX(PASTE_ALL,$DF63,$L$16),SUBSTITUTE(SUBSTITUTE(TRIM(SUBSTITUTE(SUBSTITUTE(SUBSTITUTE(SUBSTITUTE(INDEX(PASTE_ALL,$DF63,$L$16)," "," "),CHAR(9)," "),CHAR(10)," "),CHAR(13)," ")),",",""),"%","")),"")))</f>
        <v/>
      </c>
      <c r="DY63">
        <f>IF($DM63=0,"",IFERROR(IF(ISNUMBER($DX63),$DX63,IF($DX63="","",IF(TRIM($DX63)="",0,IF(AND(AND(SUBSTITUTE(SUBSTITUTE(SUBSTITUTE(SUBSTITUTE(SUBSTITUTE(SUBSTITUTE(SUBSTITUTE(SUBSTITUTE(SUBSTITUTE(SUBSTITUTE(SUBSTITUTE(SUBSTITUTE(SUBSTITUTE(SUBSTITUTE(UPPER(TRIM($DX63)),"0",""),"1",""),"2",""),"3",""),"4",""),"5",""),"6",""),"7",""),"8",""),"9",""),".",""),"+",""),"-",""),"E","")="",LEN(SUBSTITUTE(SUBSTITUTE(MID(UPPER(TRIM($DX63)),1+OR(LEFT(UPPER(TRIM($DX63)),1)="+",LEFT(UPPER(TRIM($DX63)),1)="-"),999),"E+","E"),"E-","E"))=LEN(SUBSTITUTE(SUBSTITUTE(SUBSTITUTE(SUBSTITUTE(MID(UPPER(TRIM($DX63)),1+OR(LEFT(UPPER(TRIM($DX63)),1)="+",LEFT(UPPER(TRIM($DX63)),1)="-"),999),"E+","E"),"E-","E"),"+",""),"-","")),LEN(UPPER(TRIM($DX63)))-LEN(SUBSTITUTE(UPPER(TRIM($DX63)),"E",""))&lt;2,LEN(UPPER(TRIM($DX63)))-LEN(SUBSTITUTE(UPPER(TRIM($DX63)),".",""))&lt;2,IFERROR(FIND(".",UPPER(TRIM($DX63))),0)&lt;IFERROR(FIND("E",UPPER(TRIM($DX63))),999)),ISNUMBER(VALUE(TRIM($DX63)))),VALUE(TRIM($DX63)),"")))),""))</f>
        <v/>
      </c>
      <c r="DZ63">
        <f>IF($DM63=0,"",IF($L$17=0,"",IFERROR(IF(ISNUMBER(INDEX(PASTE_ALL,$DF63,$L$17)),INDEX(PASTE_ALL,$DF63,$L$17),SUBSTITUTE(SUBSTITUTE(TRIM(SUBSTITUTE(SUBSTITUTE(SUBSTITUTE(SUBSTITUTE(INDEX(PASTE_ALL,$DF63,$L$17)," "," "),CHAR(9)," "),CHAR(10)," "),CHAR(13)," ")),",",""),"%","")),"")))</f>
        <v/>
      </c>
      <c r="EA63">
        <f>IF($DM63=0,"",IFERROR(IF(ISNUMBER($DZ63),$DZ63,IF($DZ63="","",IF(TRIM($DZ63)="",0,IF(AND(AND(SUBSTITUTE(SUBSTITUTE(SUBSTITUTE(SUBSTITUTE(SUBSTITUTE(SUBSTITUTE(SUBSTITUTE(SUBSTITUTE(SUBSTITUTE(SUBSTITUTE(SUBSTITUTE(SUBSTITUTE(SUBSTITUTE(SUBSTITUTE(UPPER(TRIM($DZ63)),"0",""),"1",""),"2",""),"3",""),"4",""),"5",""),"6",""),"7",""),"8",""),"9",""),".",""),"+",""),"-",""),"E","")="",LEN(SUBSTITUTE(SUBSTITUTE(MID(UPPER(TRIM($DZ63)),1+OR(LEFT(UPPER(TRIM($DZ63)),1)="+",LEFT(UPPER(TRIM($DZ63)),1)="-"),999),"E+","E"),"E-","E"))=LEN(SUBSTITUTE(SUBSTITUTE(SUBSTITUTE(SUBSTITUTE(MID(UPPER(TRIM($DZ63)),1+OR(LEFT(UPPER(TRIM($DZ63)),1)="+",LEFT(UPPER(TRIM($DZ63)),1)="-"),999),"E+","E"),"E-","E"),"+",""),"-","")),LEN(UPPER(TRIM($DZ63)))-LEN(SUBSTITUTE(UPPER(TRIM($DZ63)),"E",""))&lt;2,LEN(UPPER(TRIM($DZ63)))-LEN(SUBSTITUTE(UPPER(TRIM($DZ63)),".",""))&lt;2,IFERROR(FIND(".",UPPER(TRIM($DZ63))),0)&lt;IFERROR(FIND("E",UPPER(TRIM($DZ63))),999)),ISNUMBER(VALUE(TRIM($DZ63)))),VALUE(TRIM($DZ63)),"")))),""))</f>
        <v/>
      </c>
      <c r="EB63">
        <f>IF($DM63=0,"",IF($L$18=0,"",IFERROR(IF(UPPER(TRIM(SUBSTITUTE(SUBSTITUTE(SUBSTITUTE(SUBSTITUTE(INDEX(PASTE_ALL,$DF63,$L$18)," "," "),CHAR(9)," "),CHAR(10)," "),CHAR(13)," ")))="READY","Ready",IF(UPPER(TRIM(SUBSTITUTE(SUBSTITUTE(SUBSTITUTE(SUBSTITUTE(INDEX(PASTE_ALL,$DF63,$L$18)," "," "),CHAR(9)," "),CHAR(10)," "),CHAR(13)," ")))="PM","PM",IF(OR(UPPER(TRIM(SUBSTITUTE(SUBSTITUTE(SUBSTITUTE(SUBSTITUTE(INDEX(PASTE_ALL,$DF63,$L$18)," "," "),CHAR(9)," "),CHAR(10)," "),CHAR(13)," ")))="OT",UPPER(TRIM(SUBSTITUTE(SUBSTITUTE(SUBSTITUTE(SUBSTITUTE(INDEX(PASTE_ALL,$DF63,$L$18)," "," "),CHAR(9)," "),CHAR(10)," "),CHAR(13)," ")))="OVERTIME",UPPER(TRIM(SUBSTITUTE(SUBSTITUTE(SUBSTITUTE(SUBSTITUTE(INDEX(PASTE_ALL,$DF63,$L$18)," "," "),CHAR(9)," "),CHAR(10)," "),CHAR(13)," ")))="TRIAL"),"OT",TRIM(SUBSTITUTE(SUBSTITUTE(SUBSTITUTE(SUBSTITUTE(INDEX(PASTE_ALL,$DF63,$L$18)," "," "),CHAR(9)," "),CHAR(10)," "),CHAR(13)," "))))),"")))</f>
        <v/>
      </c>
      <c r="EC63">
        <f>IF($DM63=0,"",IF($L$19=0,"",IFERROR(IF(ISNUMBER(INDEX(PASTE_ALL,$DF63,$L$19)),INDEX(PASTE_ALL,$DF63,$L$19),TRIM(SUBSTITUTE(SUBSTITUTE(SUBSTITUTE(SUBSTITUTE(INDEX(PASTE_ALL,$DF63,$L$19)," "," "),CHAR(9)," "),CHAR(10)," "),CHAR(13)," "))),"")))</f>
        <v/>
      </c>
      <c r="ED63">
        <f>IF($DM63=0,"",MATCH(1,INDEX(EXACT($DH$5:DH63,$DH63)*$DM$5:DM63,0),0))</f>
        <v/>
      </c>
      <c r="EE63">
        <f>IF($DM63=0,0,IF($ED63=$DE63,1,0))</f>
        <v/>
      </c>
      <c r="EF63">
        <f>EF62+$EE63</f>
        <v/>
      </c>
      <c r="EG63">
        <f>IF($DM63=0,"",INDEX($EF$5:$EF$1003,$ED63))</f>
        <v/>
      </c>
      <c r="EH63">
        <f>IF($DM63=0,"",IF($DO63&lt;&gt;"","",IFERROR(LOOKUP(2,1/(($EG$4:EG62=$EG63)*($DO$4:DO62&lt;&gt;"")),$DO$4:DO62),"")))</f>
        <v/>
      </c>
      <c r="EI63">
        <f>IF($DM63=0,"",IF($DO63&lt;&gt;"",$DO63,$EH63))</f>
        <v/>
      </c>
      <c r="EJ63">
        <f>IF($DM63=0,"",IF($EI63="",0,IF(OR(ISNUMBER($EI63),AND(AND(SUBSTITUTE(SUBSTITUTE(SUBSTITUTE(SUBSTITUTE(SUBSTITUTE(SUBSTITUTE(SUBSTITUTE(SUBSTITUTE(SUBSTITUTE(SUBSTITUTE(SUBSTITUTE(SUBSTITUTE(SUBSTITUTE(SUBSTITUTE(UPPER($EI63),"0",""),"1",""),"2",""),"3",""),"4",""),"5",""),"6",""),"7",""),"8",""),"9",""),".",""),"+",""),"-",""),"E","")="",LEN(SUBSTITUTE(SUBSTITUTE(MID(UPPER($EI63),1+OR(LEFT(UPPER($EI63),1)="+",LEFT(UPPER($EI63),1)="-"),999),"E+","E"),"E-","E"))=LEN(SUBSTITUTE(SUBSTITUTE(SUBSTITUTE(SUBSTITUTE(MID(UPPER($EI63),1+OR(LEFT(UPPER($EI63),1)="+",LEFT(UPPER($EI63),1)="-"),999),"E+","E"),"E-","E"),"+",""),"-","")),LEN(UPPER($EI63))-LEN(SUBSTITUTE(UPPER($EI63),"E",""))&lt;2,LEN(UPPER($EI63))-LEN(SUBSTITUTE(UPPER($EI63),".",""))&lt;2,IFERROR(FIND(".",UPPER($EI63)),0)&lt;IFERROR(FIND("E",UPPER($EI63)),999)),ISNUMBER(VALUE($EI63)))),1,2)))</f>
        <v/>
      </c>
      <c r="EK63">
        <f>IF($DM63=0,"",IF($EJ63=1,IF(ISNUMBER($EI63),$EI63,VALUE($EI63)),IF($EJ63=2,$DE63,0)))</f>
        <v/>
      </c>
      <c r="EL63">
        <f>IF($DM63=0,"",COUNTIF($EG$5:$EG$1003,"&lt;"&amp;$EG63)+SUMPRODUCT(($EG$5:$EG$1003=$EG63)*(($EJ$5:$EJ$1003&lt;$EJ63)+($EJ$5:$EJ$1003=$EJ63)*(($EK$5:$EK$1003&lt;$EK63)+($EK$5:$EK$1003=$EK63)*($DE$5:$DE$1003&lt;$DE63))))+1)</f>
        <v/>
      </c>
      <c r="EM63">
        <f>IF($DM63=0,"",$EL63+$EG63-1)</f>
        <v/>
      </c>
      <c r="EN63">
        <f>IF($DM63=0,0,IFERROR(MATCH(1,INDEX(--(TRIM(SUBSTITUTE(SUBSTITUTE(SUBSTITUTE(SUBSTITUTE(LINES_NAME&amp;""," "," "),CHAR(9)," "),CHAR(10)," "),CHAR(13)," "))=$DH63),0),0),0))</f>
        <v/>
      </c>
      <c r="EO63">
        <f>IF($EN63=0,0,IF(OR(UPPER(TRIM(INDEX(LINES_SCHEDULED,$EN63)&amp;""))="YES",UPPER(TRIM(INDEX(LINES_SCHEDULED,$EN63)&amp;""))="Y",UPPER(TRIM(INDEX(LINES_SCHEDULED,$EN63)&amp;""))="X"),1,0))</f>
        <v/>
      </c>
      <c r="EP63">
        <f>IF($DM63=0,"",IF(COUNTIFS($EG$5:$EG$1003,$EG63,$EB$5:$EB$1003,"Ready")&gt;0,"READY",IF(COUNTIFS($EG$5:$EG$1003,$EG63,$EB$5:$EB$1003,"PM")&gt;0,"PM",IF(COUNTIFS($EG$5:$EG$1003,$EG63,$EB$5:$EB$1003,"OT")&gt;0,"OT",""))))</f>
        <v/>
      </c>
      <c r="EQ63">
        <f>IF($EN63=0,"",UPPER(TRIM(INDEX(LINES_STATUS,$EN63)&amp;"")))</f>
        <v/>
      </c>
      <c r="ER63">
        <f>IF($DM63=0,"",IF(OR($EQ63="READY",$EQ63="PM",$EQ63="OT"),$EQ63,$EP63))</f>
        <v/>
      </c>
      <c r="ES63">
        <f>IF($DM63=0,"",IF(AND($DV63&lt;&gt;"",UPPER($DV63)&lt;&gt;"N"),"allergen",IF(ISNUMBER(SEARCH("oil",$DQ63)),"oil",IF(OR(EXACT($DS63,"A662"),EXACT($DS63,"A624")),"bulk",""))))</f>
        <v/>
      </c>
      <c r="ET63">
        <f>IF($DM63=0,"",IF(OR($EA63="",$EA63=0),"",$EA63/100))</f>
        <v/>
      </c>
      <c r="EU63">
        <f>IF(OR($ET63="",$DY63=""),"",INT($DY63*(1-$ET63)+0.5))</f>
        <v/>
      </c>
      <c r="EW63" t="n">
        <v>59</v>
      </c>
      <c r="EX63">
        <f>IFERROR(MATCH($EW63,$EM$5:$EM$1003,0),0)</f>
        <v/>
      </c>
      <c r="EY63">
        <f>IF($EW63&gt;$B$12,"",IF($EX63&gt;0,"row","spacer"))</f>
        <v/>
      </c>
      <c r="EZ63">
        <f>IF(AND($EY63="row",$EY62&lt;&gt;"row"),1,0)</f>
        <v/>
      </c>
      <c r="FA63">
        <f>IF(AND($EY63="row",$EY64&lt;&gt;"row"),1,0)</f>
        <v/>
      </c>
      <c r="FB63">
        <f>IF($EZ63=1,IFERROR(IF(ISNUMBER(INDEX(PASTE_ALL,INDEX($DF$5:$DF$1003,$EX63),$B$37)),INDEX(PASTE_ALL,INDEX($DF$5:$DF$1003,$EX63),$B$37),INDEX($DH$5:$DH$1003,$EX63)),INDEX($DH$5:$DH$1003,$EX63)),"")</f>
        <v/>
      </c>
      <c r="FC63">
        <f>IF($EY63="row",INDEX($ER$5:$ER$1003,$EX63),"")</f>
        <v/>
      </c>
      <c r="FD63">
        <f>IF($EY63="row",INDEX($DN$5:$DN$1003,$EX63),"")</f>
        <v/>
      </c>
      <c r="FE63">
        <f>IF($EY63="row",INDEX($DO$5:$DO$1003,$EX63),"")</f>
        <v/>
      </c>
      <c r="FF63">
        <f>IF($EY63="row",INDEX($DP$5:$DP$1003,$EX63),"")</f>
        <v/>
      </c>
      <c r="FG63">
        <f>IF($EY63="row",INDEX($DQ$5:$DQ$1003,$EX63),"")</f>
        <v/>
      </c>
      <c r="FH63">
        <f>IF($EY63="row",INDEX($DR$5:$DR$1003,$EX63),"")</f>
        <v/>
      </c>
      <c r="FI63">
        <f>IF($EY63="row",INDEX($DS$5:$DS$1003,$EX63),"")</f>
        <v/>
      </c>
      <c r="FJ63">
        <f>IF($EY63="row",INDEX($DT$5:$DT$1003,$EX63),"")</f>
        <v/>
      </c>
      <c r="FK63">
        <f>IF($EY63="row",INDEX($DU$5:$DU$1003,$EX63),"")</f>
        <v/>
      </c>
      <c r="FL63">
        <f>IF($EY63="row",INDEX($DV$5:$DV$1003,$EX63),"")</f>
        <v/>
      </c>
      <c r="FM63">
        <f>IF($EY63="row",INDEX($DW$5:$DW$1003,$EX63),"")</f>
        <v/>
      </c>
      <c r="FN63">
        <f>IF($EY63="row",INDEX($DY$5:$DY$1003,$EX63),"")</f>
        <v/>
      </c>
      <c r="FO63">
        <f>IF($EY63="row",INDEX($EA$5:$EA$1003,$EX63),"")</f>
        <v/>
      </c>
      <c r="FP63">
        <f>IF($EY63="row",INDEX($EC$5:$EC$1003,$EX63),"")</f>
        <v/>
      </c>
      <c r="FQ63">
        <f>IF($EY63="row",INDEX($ET$5:$ET$1003,$EX63),"")</f>
        <v/>
      </c>
      <c r="FR63">
        <f>IF($EY63="row",INDEX($EU$5:$EU$1003,$EX63),"")</f>
        <v/>
      </c>
      <c r="FS63">
        <f>IF(AND($EY63="row",$EY62="row"),IF(OR(INDEX($DT$5:$DT$1003,$EX62)="",INDEX($DT$5:$DT$1003,$EX63)=""),"",IF(NOT(EXACT(INDEX($DT$5:$DT$1003,$EX62),INDEX($DT$5:$DT$1003,$EX63))),"S4",IF(NOT(EXACT(INDEX($DS$5:$DS$1003,$EX62),INDEX($DS$5:$DS$1003,$EX63))),"S3",IF(NOT(EXACT(INDEX($DR$5:$DR$1003,$EX62),INDEX($DR$5:$DR$1003,$EX63))),"S1 Count Change","S1")))),"")</f>
        <v/>
      </c>
      <c r="FT63">
        <f>IF($EY63="row",INDEX($ES$5:$ES$1003,$EX63),"")</f>
        <v/>
      </c>
      <c r="FU63">
        <f>IF($EY63="row",INDEX($EO$5:$EO$1003,$EX63),0)</f>
        <v/>
      </c>
      <c r="FV63">
        <f>IF($FS63="S1 Count Change",1,0)</f>
        <v/>
      </c>
      <c r="FX63" t="n">
        <v>59</v>
      </c>
      <c r="FY63">
        <f>IFERROR(MATCH($FX63,$EF$5:$EF$1003,0),0)</f>
        <v/>
      </c>
      <c r="FZ63">
        <f>IF($FY63=0,"",INDEX($DH$5:$DH$1003,$FY63))</f>
        <v/>
      </c>
      <c r="GA63">
        <f>IF($FY63=0,"",COUNTIF($EG$5:$EG$1003,$FX63))</f>
        <v/>
      </c>
      <c r="GB63">
        <f>IF($FY63=0,"",INDEX($ER$5:$ER$1003,$FY63))</f>
        <v/>
      </c>
      <c r="GC63">
        <f>IF($FY63=0,"",IF(INDEX($EO$5:$EO$1003,$FY63)=1,"Yes",""))</f>
        <v/>
      </c>
      <c r="GD63">
        <f>IF($FY63=0,"",IF(INDEX($EN$5:$EN$1003,$FY63)&gt;0,"","NOT IN YOUR LIST - type it in column A to tick it"))</f>
        <v/>
      </c>
      <c r="GE63">
        <f>IF(AND($FY63&gt;0,$GD63&lt;&gt;""),1,0)</f>
        <v/>
      </c>
      <c r="GF63">
        <f>GF62+$GE63</f>
        <v/>
      </c>
      <c r="GG63">
        <f>IFERROR(INDEX($FZ$5:$FZ$104,MATCH($FX63,$GF$5:$GF$104,0)),"")</f>
        <v/>
      </c>
    </row>
    <row r="64">
      <c r="S64" t="n">
        <v>60</v>
      </c>
      <c r="T64" t="inlineStr">
        <is>
          <t>BH</t>
        </is>
      </c>
      <c r="V64" t="inlineStr">
        <is>
          <t>REMARK</t>
        </is>
      </c>
      <c r="W64" t="n">
        <v>11</v>
      </c>
      <c r="Y64">
        <f>IFERROR(IF(ISNUMBER(INDEX(PASTE_ALL,15,1)),2,IF(TRIM(INDEX(PASTE_ALL,15,1))="",0,IF(AND(LEFT(MID(TRIM(INDEX(PASTE_ALL,15,1)),1+(LEFT(TRIM(INDEX(PASTE_ALL,15,1)),1)="-"),999),LEN(MID(TRIM(INDEX(PASTE_ALL,15,1)),1+(LEFT(TRIM(INDEX(PASTE_ALL,15,1)),1)="-"),999))-(RIGHT(MID(TRIM(INDEX(PASTE_ALL,15,1)),1+(LEFT(TRIM(INDEX(PASTE_ALL,15,1)),1)="-"),999),1)="%"))&lt;&gt;"",SUBSTITUTE(SUBSTITUTE(SUBSTITUTE(SUBSTITUTE(SUBSTITUTE(SUBSTITUTE(SUBSTITUTE(SUBSTITUTE(SUBSTITUTE(SUBSTITUTE(SUBSTITUTE(SUBSTITUTE(LEFT(MID(TRIM(INDEX(PASTE_ALL,15,1)),1+(LEFT(TRIM(INDEX(PASTE_ALL,15,1)),1)="-"),999),LEN(MID(TRIM(INDEX(PASTE_ALL,15,1)),1+(LEFT(TRIM(INDEX(PASTE_ALL,15,1)),1)="-"),999))-(RIGHT(MID(TRIM(INDEX(PASTE_ALL,15,1)),1+(LEFT(TRIM(INDEX(PASTE_ALL,15,1)),1)="-"),999),1)="%")),"0",""),"1",""),"2",""),"3",""),"4",""),"5",""),"6",""),"7",""),"8",""),"9",""),".",""),",","")=""),2,1))),1)</f>
        <v/>
      </c>
      <c r="Z64">
        <f>IFERROR(IF(ISNUMBER(INDEX(PASTE_ALL,15,2)),2,IF(TRIM(INDEX(PASTE_ALL,15,2))="",0,IF(AND(LEFT(MID(TRIM(INDEX(PASTE_ALL,15,2)),1+(LEFT(TRIM(INDEX(PASTE_ALL,15,2)),1)="-"),999),LEN(MID(TRIM(INDEX(PASTE_ALL,15,2)),1+(LEFT(TRIM(INDEX(PASTE_ALL,15,2)),1)="-"),999))-(RIGHT(MID(TRIM(INDEX(PASTE_ALL,15,2)),1+(LEFT(TRIM(INDEX(PASTE_ALL,15,2)),1)="-"),999),1)="%"))&lt;&gt;"",SUBSTITUTE(SUBSTITUTE(SUBSTITUTE(SUBSTITUTE(SUBSTITUTE(SUBSTITUTE(SUBSTITUTE(SUBSTITUTE(SUBSTITUTE(SUBSTITUTE(SUBSTITUTE(SUBSTITUTE(LEFT(MID(TRIM(INDEX(PASTE_ALL,15,2)),1+(LEFT(TRIM(INDEX(PASTE_ALL,15,2)),1)="-"),999),LEN(MID(TRIM(INDEX(PASTE_ALL,15,2)),1+(LEFT(TRIM(INDEX(PASTE_ALL,15,2)),1)="-"),999))-(RIGHT(MID(TRIM(INDEX(PASTE_ALL,15,2)),1+(LEFT(TRIM(INDEX(PASTE_ALL,15,2)),1)="-"),999),1)="%")),"0",""),"1",""),"2",""),"3",""),"4",""),"5",""),"6",""),"7",""),"8",""),"9",""),".",""),",","")=""),2,1))),1)</f>
        <v/>
      </c>
      <c r="AA64">
        <f>IFERROR(IF(ISNUMBER(INDEX(PASTE_ALL,15,3)),2,IF(TRIM(INDEX(PASTE_ALL,15,3))="",0,IF(AND(LEFT(MID(TRIM(INDEX(PASTE_ALL,15,3)),1+(LEFT(TRIM(INDEX(PASTE_ALL,15,3)),1)="-"),999),LEN(MID(TRIM(INDEX(PASTE_ALL,15,3)),1+(LEFT(TRIM(INDEX(PASTE_ALL,15,3)),1)="-"),999))-(RIGHT(MID(TRIM(INDEX(PASTE_ALL,15,3)),1+(LEFT(TRIM(INDEX(PASTE_ALL,15,3)),1)="-"),999),1)="%"))&lt;&gt;"",SUBSTITUTE(SUBSTITUTE(SUBSTITUTE(SUBSTITUTE(SUBSTITUTE(SUBSTITUTE(SUBSTITUTE(SUBSTITUTE(SUBSTITUTE(SUBSTITUTE(SUBSTITUTE(SUBSTITUTE(LEFT(MID(TRIM(INDEX(PASTE_ALL,15,3)),1+(LEFT(TRIM(INDEX(PASTE_ALL,15,3)),1)="-"),999),LEN(MID(TRIM(INDEX(PASTE_ALL,15,3)),1+(LEFT(TRIM(INDEX(PASTE_ALL,15,3)),1)="-"),999))-(RIGHT(MID(TRIM(INDEX(PASTE_ALL,15,3)),1+(LEFT(TRIM(INDEX(PASTE_ALL,15,3)),1)="-"),999),1)="%")),"0",""),"1",""),"2",""),"3",""),"4",""),"5",""),"6",""),"7",""),"8",""),"9",""),".",""),",","")=""),2,1))),1)</f>
        <v/>
      </c>
      <c r="AB64">
        <f>IFERROR(IF(ISNUMBER(INDEX(PASTE_ALL,15,4)),2,IF(TRIM(INDEX(PASTE_ALL,15,4))="",0,IF(AND(LEFT(MID(TRIM(INDEX(PASTE_ALL,15,4)),1+(LEFT(TRIM(INDEX(PASTE_ALL,15,4)),1)="-"),999),LEN(MID(TRIM(INDEX(PASTE_ALL,15,4)),1+(LEFT(TRIM(INDEX(PASTE_ALL,15,4)),1)="-"),999))-(RIGHT(MID(TRIM(INDEX(PASTE_ALL,15,4)),1+(LEFT(TRIM(INDEX(PASTE_ALL,15,4)),1)="-"),999),1)="%"))&lt;&gt;"",SUBSTITUTE(SUBSTITUTE(SUBSTITUTE(SUBSTITUTE(SUBSTITUTE(SUBSTITUTE(SUBSTITUTE(SUBSTITUTE(SUBSTITUTE(SUBSTITUTE(SUBSTITUTE(SUBSTITUTE(LEFT(MID(TRIM(INDEX(PASTE_ALL,15,4)),1+(LEFT(TRIM(INDEX(PASTE_ALL,15,4)),1)="-"),999),LEN(MID(TRIM(INDEX(PASTE_ALL,15,4)),1+(LEFT(TRIM(INDEX(PASTE_ALL,15,4)),1)="-"),999))-(RIGHT(MID(TRIM(INDEX(PASTE_ALL,15,4)),1+(LEFT(TRIM(INDEX(PASTE_ALL,15,4)),1)="-"),999),1)="%")),"0",""),"1",""),"2",""),"3",""),"4",""),"5",""),"6",""),"7",""),"8",""),"9",""),".",""),",","")=""),2,1))),1)</f>
        <v/>
      </c>
      <c r="AC64">
        <f>IFERROR(IF(ISNUMBER(INDEX(PASTE_ALL,15,5)),2,IF(TRIM(INDEX(PASTE_ALL,15,5))="",0,IF(AND(LEFT(MID(TRIM(INDEX(PASTE_ALL,15,5)),1+(LEFT(TRIM(INDEX(PASTE_ALL,15,5)),1)="-"),999),LEN(MID(TRIM(INDEX(PASTE_ALL,15,5)),1+(LEFT(TRIM(INDEX(PASTE_ALL,15,5)),1)="-"),999))-(RIGHT(MID(TRIM(INDEX(PASTE_ALL,15,5)),1+(LEFT(TRIM(INDEX(PASTE_ALL,15,5)),1)="-"),999),1)="%"))&lt;&gt;"",SUBSTITUTE(SUBSTITUTE(SUBSTITUTE(SUBSTITUTE(SUBSTITUTE(SUBSTITUTE(SUBSTITUTE(SUBSTITUTE(SUBSTITUTE(SUBSTITUTE(SUBSTITUTE(SUBSTITUTE(LEFT(MID(TRIM(INDEX(PASTE_ALL,15,5)),1+(LEFT(TRIM(INDEX(PASTE_ALL,15,5)),1)="-"),999),LEN(MID(TRIM(INDEX(PASTE_ALL,15,5)),1+(LEFT(TRIM(INDEX(PASTE_ALL,15,5)),1)="-"),999))-(RIGHT(MID(TRIM(INDEX(PASTE_ALL,15,5)),1+(LEFT(TRIM(INDEX(PASTE_ALL,15,5)),1)="-"),999),1)="%")),"0",""),"1",""),"2",""),"3",""),"4",""),"5",""),"6",""),"7",""),"8",""),"9",""),".",""),",","")=""),2,1))),1)</f>
        <v/>
      </c>
      <c r="AD64">
        <f>IFERROR(IF(ISNUMBER(INDEX(PASTE_ALL,15,6)),2,IF(TRIM(INDEX(PASTE_ALL,15,6))="",0,IF(AND(LEFT(MID(TRIM(INDEX(PASTE_ALL,15,6)),1+(LEFT(TRIM(INDEX(PASTE_ALL,15,6)),1)="-"),999),LEN(MID(TRIM(INDEX(PASTE_ALL,15,6)),1+(LEFT(TRIM(INDEX(PASTE_ALL,15,6)),1)="-"),999))-(RIGHT(MID(TRIM(INDEX(PASTE_ALL,15,6)),1+(LEFT(TRIM(INDEX(PASTE_ALL,15,6)),1)="-"),999),1)="%"))&lt;&gt;"",SUBSTITUTE(SUBSTITUTE(SUBSTITUTE(SUBSTITUTE(SUBSTITUTE(SUBSTITUTE(SUBSTITUTE(SUBSTITUTE(SUBSTITUTE(SUBSTITUTE(SUBSTITUTE(SUBSTITUTE(LEFT(MID(TRIM(INDEX(PASTE_ALL,15,6)),1+(LEFT(TRIM(INDEX(PASTE_ALL,15,6)),1)="-"),999),LEN(MID(TRIM(INDEX(PASTE_ALL,15,6)),1+(LEFT(TRIM(INDEX(PASTE_ALL,15,6)),1)="-"),999))-(RIGHT(MID(TRIM(INDEX(PASTE_ALL,15,6)),1+(LEFT(TRIM(INDEX(PASTE_ALL,15,6)),1)="-"),999),1)="%")),"0",""),"1",""),"2",""),"3",""),"4",""),"5",""),"6",""),"7",""),"8",""),"9",""),".",""),",","")=""),2,1))),1)</f>
        <v/>
      </c>
      <c r="AE64">
        <f>IFERROR(IF(ISNUMBER(INDEX(PASTE_ALL,15,7)),2,IF(TRIM(INDEX(PASTE_ALL,15,7))="",0,IF(AND(LEFT(MID(TRIM(INDEX(PASTE_ALL,15,7)),1+(LEFT(TRIM(INDEX(PASTE_ALL,15,7)),1)="-"),999),LEN(MID(TRIM(INDEX(PASTE_ALL,15,7)),1+(LEFT(TRIM(INDEX(PASTE_ALL,15,7)),1)="-"),999))-(RIGHT(MID(TRIM(INDEX(PASTE_ALL,15,7)),1+(LEFT(TRIM(INDEX(PASTE_ALL,15,7)),1)="-"),999),1)="%"))&lt;&gt;"",SUBSTITUTE(SUBSTITUTE(SUBSTITUTE(SUBSTITUTE(SUBSTITUTE(SUBSTITUTE(SUBSTITUTE(SUBSTITUTE(SUBSTITUTE(SUBSTITUTE(SUBSTITUTE(SUBSTITUTE(LEFT(MID(TRIM(INDEX(PASTE_ALL,15,7)),1+(LEFT(TRIM(INDEX(PASTE_ALL,15,7)),1)="-"),999),LEN(MID(TRIM(INDEX(PASTE_ALL,15,7)),1+(LEFT(TRIM(INDEX(PASTE_ALL,15,7)),1)="-"),999))-(RIGHT(MID(TRIM(INDEX(PASTE_ALL,15,7)),1+(LEFT(TRIM(INDEX(PASTE_ALL,15,7)),1)="-"),999),1)="%")),"0",""),"1",""),"2",""),"3",""),"4",""),"5",""),"6",""),"7",""),"8",""),"9",""),".",""),",","")=""),2,1))),1)</f>
        <v/>
      </c>
      <c r="AF64">
        <f>IFERROR(IF(ISNUMBER(INDEX(PASTE_ALL,15,8)),2,IF(TRIM(INDEX(PASTE_ALL,15,8))="",0,IF(AND(LEFT(MID(TRIM(INDEX(PASTE_ALL,15,8)),1+(LEFT(TRIM(INDEX(PASTE_ALL,15,8)),1)="-"),999),LEN(MID(TRIM(INDEX(PASTE_ALL,15,8)),1+(LEFT(TRIM(INDEX(PASTE_ALL,15,8)),1)="-"),999))-(RIGHT(MID(TRIM(INDEX(PASTE_ALL,15,8)),1+(LEFT(TRIM(INDEX(PASTE_ALL,15,8)),1)="-"),999),1)="%"))&lt;&gt;"",SUBSTITUTE(SUBSTITUTE(SUBSTITUTE(SUBSTITUTE(SUBSTITUTE(SUBSTITUTE(SUBSTITUTE(SUBSTITUTE(SUBSTITUTE(SUBSTITUTE(SUBSTITUTE(SUBSTITUTE(LEFT(MID(TRIM(INDEX(PASTE_ALL,15,8)),1+(LEFT(TRIM(INDEX(PASTE_ALL,15,8)),1)="-"),999),LEN(MID(TRIM(INDEX(PASTE_ALL,15,8)),1+(LEFT(TRIM(INDEX(PASTE_ALL,15,8)),1)="-"),999))-(RIGHT(MID(TRIM(INDEX(PASTE_ALL,15,8)),1+(LEFT(TRIM(INDEX(PASTE_ALL,15,8)),1)="-"),999),1)="%")),"0",""),"1",""),"2",""),"3",""),"4",""),"5",""),"6",""),"7",""),"8",""),"9",""),".",""),",","")=""),2,1))),1)</f>
        <v/>
      </c>
      <c r="AG64">
        <f>IFERROR(IF(ISNUMBER(INDEX(PASTE_ALL,15,9)),2,IF(TRIM(INDEX(PASTE_ALL,15,9))="",0,IF(AND(LEFT(MID(TRIM(INDEX(PASTE_ALL,15,9)),1+(LEFT(TRIM(INDEX(PASTE_ALL,15,9)),1)="-"),999),LEN(MID(TRIM(INDEX(PASTE_ALL,15,9)),1+(LEFT(TRIM(INDEX(PASTE_ALL,15,9)),1)="-"),999))-(RIGHT(MID(TRIM(INDEX(PASTE_ALL,15,9)),1+(LEFT(TRIM(INDEX(PASTE_ALL,15,9)),1)="-"),999),1)="%"))&lt;&gt;"",SUBSTITUTE(SUBSTITUTE(SUBSTITUTE(SUBSTITUTE(SUBSTITUTE(SUBSTITUTE(SUBSTITUTE(SUBSTITUTE(SUBSTITUTE(SUBSTITUTE(SUBSTITUTE(SUBSTITUTE(LEFT(MID(TRIM(INDEX(PASTE_ALL,15,9)),1+(LEFT(TRIM(INDEX(PASTE_ALL,15,9)),1)="-"),999),LEN(MID(TRIM(INDEX(PASTE_ALL,15,9)),1+(LEFT(TRIM(INDEX(PASTE_ALL,15,9)),1)="-"),999))-(RIGHT(MID(TRIM(INDEX(PASTE_ALL,15,9)),1+(LEFT(TRIM(INDEX(PASTE_ALL,15,9)),1)="-"),999),1)="%")),"0",""),"1",""),"2",""),"3",""),"4",""),"5",""),"6",""),"7",""),"8",""),"9",""),".",""),",","")=""),2,1))),1)</f>
        <v/>
      </c>
      <c r="AH64">
        <f>IFERROR(IF(ISNUMBER(INDEX(PASTE_ALL,15,10)),2,IF(TRIM(INDEX(PASTE_ALL,15,10))="",0,IF(AND(LEFT(MID(TRIM(INDEX(PASTE_ALL,15,10)),1+(LEFT(TRIM(INDEX(PASTE_ALL,15,10)),1)="-"),999),LEN(MID(TRIM(INDEX(PASTE_ALL,15,10)),1+(LEFT(TRIM(INDEX(PASTE_ALL,15,10)),1)="-"),999))-(RIGHT(MID(TRIM(INDEX(PASTE_ALL,15,10)),1+(LEFT(TRIM(INDEX(PASTE_ALL,15,10)),1)="-"),999),1)="%"))&lt;&gt;"",SUBSTITUTE(SUBSTITUTE(SUBSTITUTE(SUBSTITUTE(SUBSTITUTE(SUBSTITUTE(SUBSTITUTE(SUBSTITUTE(SUBSTITUTE(SUBSTITUTE(SUBSTITUTE(SUBSTITUTE(LEFT(MID(TRIM(INDEX(PASTE_ALL,15,10)),1+(LEFT(TRIM(INDEX(PASTE_ALL,15,10)),1)="-"),999),LEN(MID(TRIM(INDEX(PASTE_ALL,15,10)),1+(LEFT(TRIM(INDEX(PASTE_ALL,15,10)),1)="-"),999))-(RIGHT(MID(TRIM(INDEX(PASTE_ALL,15,10)),1+(LEFT(TRIM(INDEX(PASTE_ALL,15,10)),1)="-"),999),1)="%")),"0",""),"1",""),"2",""),"3",""),"4",""),"5",""),"6",""),"7",""),"8",""),"9",""),".",""),",","")=""),2,1))),1)</f>
        <v/>
      </c>
      <c r="AI64">
        <f>IFERROR(IF(ISNUMBER(INDEX(PASTE_ALL,15,11)),2,IF(TRIM(INDEX(PASTE_ALL,15,11))="",0,IF(AND(LEFT(MID(TRIM(INDEX(PASTE_ALL,15,11)),1+(LEFT(TRIM(INDEX(PASTE_ALL,15,11)),1)="-"),999),LEN(MID(TRIM(INDEX(PASTE_ALL,15,11)),1+(LEFT(TRIM(INDEX(PASTE_ALL,15,11)),1)="-"),999))-(RIGHT(MID(TRIM(INDEX(PASTE_ALL,15,11)),1+(LEFT(TRIM(INDEX(PASTE_ALL,15,11)),1)="-"),999),1)="%"))&lt;&gt;"",SUBSTITUTE(SUBSTITUTE(SUBSTITUTE(SUBSTITUTE(SUBSTITUTE(SUBSTITUTE(SUBSTITUTE(SUBSTITUTE(SUBSTITUTE(SUBSTITUTE(SUBSTITUTE(SUBSTITUTE(LEFT(MID(TRIM(INDEX(PASTE_ALL,15,11)),1+(LEFT(TRIM(INDEX(PASTE_ALL,15,11)),1)="-"),999),LEN(MID(TRIM(INDEX(PASTE_ALL,15,11)),1+(LEFT(TRIM(INDEX(PASTE_ALL,15,11)),1)="-"),999))-(RIGHT(MID(TRIM(INDEX(PASTE_ALL,15,11)),1+(LEFT(TRIM(INDEX(PASTE_ALL,15,11)),1)="-"),999),1)="%")),"0",""),"1",""),"2",""),"3",""),"4",""),"5",""),"6",""),"7",""),"8",""),"9",""),".",""),",","")=""),2,1))),1)</f>
        <v/>
      </c>
      <c r="AJ64">
        <f>IFERROR(IF(ISNUMBER(INDEX(PASTE_ALL,15,12)),2,IF(TRIM(INDEX(PASTE_ALL,15,12))="",0,IF(AND(LEFT(MID(TRIM(INDEX(PASTE_ALL,15,12)),1+(LEFT(TRIM(INDEX(PASTE_ALL,15,12)),1)="-"),999),LEN(MID(TRIM(INDEX(PASTE_ALL,15,12)),1+(LEFT(TRIM(INDEX(PASTE_ALL,15,12)),1)="-"),999))-(RIGHT(MID(TRIM(INDEX(PASTE_ALL,15,12)),1+(LEFT(TRIM(INDEX(PASTE_ALL,15,12)),1)="-"),999),1)="%"))&lt;&gt;"",SUBSTITUTE(SUBSTITUTE(SUBSTITUTE(SUBSTITUTE(SUBSTITUTE(SUBSTITUTE(SUBSTITUTE(SUBSTITUTE(SUBSTITUTE(SUBSTITUTE(SUBSTITUTE(SUBSTITUTE(LEFT(MID(TRIM(INDEX(PASTE_ALL,15,12)),1+(LEFT(TRIM(INDEX(PASTE_ALL,15,12)),1)="-"),999),LEN(MID(TRIM(INDEX(PASTE_ALL,15,12)),1+(LEFT(TRIM(INDEX(PASTE_ALL,15,12)),1)="-"),999))-(RIGHT(MID(TRIM(INDEX(PASTE_ALL,15,12)),1+(LEFT(TRIM(INDEX(PASTE_ALL,15,12)),1)="-"),999),1)="%")),"0",""),"1",""),"2",""),"3",""),"4",""),"5",""),"6",""),"7",""),"8",""),"9",""),".",""),",","")=""),2,1))),1)</f>
        <v/>
      </c>
      <c r="AK64">
        <f>IFERROR(IF(ISNUMBER(INDEX(PASTE_ALL,15,13)),2,IF(TRIM(INDEX(PASTE_ALL,15,13))="",0,IF(AND(LEFT(MID(TRIM(INDEX(PASTE_ALL,15,13)),1+(LEFT(TRIM(INDEX(PASTE_ALL,15,13)),1)="-"),999),LEN(MID(TRIM(INDEX(PASTE_ALL,15,13)),1+(LEFT(TRIM(INDEX(PASTE_ALL,15,13)),1)="-"),999))-(RIGHT(MID(TRIM(INDEX(PASTE_ALL,15,13)),1+(LEFT(TRIM(INDEX(PASTE_ALL,15,13)),1)="-"),999),1)="%"))&lt;&gt;"",SUBSTITUTE(SUBSTITUTE(SUBSTITUTE(SUBSTITUTE(SUBSTITUTE(SUBSTITUTE(SUBSTITUTE(SUBSTITUTE(SUBSTITUTE(SUBSTITUTE(SUBSTITUTE(SUBSTITUTE(LEFT(MID(TRIM(INDEX(PASTE_ALL,15,13)),1+(LEFT(TRIM(INDEX(PASTE_ALL,15,13)),1)="-"),999),LEN(MID(TRIM(INDEX(PASTE_ALL,15,13)),1+(LEFT(TRIM(INDEX(PASTE_ALL,15,13)),1)="-"),999))-(RIGHT(MID(TRIM(INDEX(PASTE_ALL,15,13)),1+(LEFT(TRIM(INDEX(PASTE_ALL,15,13)),1)="-"),999),1)="%")),"0",""),"1",""),"2",""),"3",""),"4",""),"5",""),"6",""),"7",""),"8",""),"9",""),".",""),",","")=""),2,1))),1)</f>
        <v/>
      </c>
      <c r="AL64">
        <f>IFERROR(IF(ISNUMBER(INDEX(PASTE_ALL,15,14)),2,IF(TRIM(INDEX(PASTE_ALL,15,14))="",0,IF(AND(LEFT(MID(TRIM(INDEX(PASTE_ALL,15,14)),1+(LEFT(TRIM(INDEX(PASTE_ALL,15,14)),1)="-"),999),LEN(MID(TRIM(INDEX(PASTE_ALL,15,14)),1+(LEFT(TRIM(INDEX(PASTE_ALL,15,14)),1)="-"),999))-(RIGHT(MID(TRIM(INDEX(PASTE_ALL,15,14)),1+(LEFT(TRIM(INDEX(PASTE_ALL,15,14)),1)="-"),999),1)="%"))&lt;&gt;"",SUBSTITUTE(SUBSTITUTE(SUBSTITUTE(SUBSTITUTE(SUBSTITUTE(SUBSTITUTE(SUBSTITUTE(SUBSTITUTE(SUBSTITUTE(SUBSTITUTE(SUBSTITUTE(SUBSTITUTE(LEFT(MID(TRIM(INDEX(PASTE_ALL,15,14)),1+(LEFT(TRIM(INDEX(PASTE_ALL,15,14)),1)="-"),999),LEN(MID(TRIM(INDEX(PASTE_ALL,15,14)),1+(LEFT(TRIM(INDEX(PASTE_ALL,15,14)),1)="-"),999))-(RIGHT(MID(TRIM(INDEX(PASTE_ALL,15,14)),1+(LEFT(TRIM(INDEX(PASTE_ALL,15,14)),1)="-"),999),1)="%")),"0",""),"1",""),"2",""),"3",""),"4",""),"5",""),"6",""),"7",""),"8",""),"9",""),".",""),",","")=""),2,1))),1)</f>
        <v/>
      </c>
      <c r="AM64">
        <f>IFERROR(IF(ISNUMBER(INDEX(PASTE_ALL,15,15)),2,IF(TRIM(INDEX(PASTE_ALL,15,15))="",0,IF(AND(LEFT(MID(TRIM(INDEX(PASTE_ALL,15,15)),1+(LEFT(TRIM(INDEX(PASTE_ALL,15,15)),1)="-"),999),LEN(MID(TRIM(INDEX(PASTE_ALL,15,15)),1+(LEFT(TRIM(INDEX(PASTE_ALL,15,15)),1)="-"),999))-(RIGHT(MID(TRIM(INDEX(PASTE_ALL,15,15)),1+(LEFT(TRIM(INDEX(PASTE_ALL,15,15)),1)="-"),999),1)="%"))&lt;&gt;"",SUBSTITUTE(SUBSTITUTE(SUBSTITUTE(SUBSTITUTE(SUBSTITUTE(SUBSTITUTE(SUBSTITUTE(SUBSTITUTE(SUBSTITUTE(SUBSTITUTE(SUBSTITUTE(SUBSTITUTE(LEFT(MID(TRIM(INDEX(PASTE_ALL,15,15)),1+(LEFT(TRIM(INDEX(PASTE_ALL,15,15)),1)="-"),999),LEN(MID(TRIM(INDEX(PASTE_ALL,15,15)),1+(LEFT(TRIM(INDEX(PASTE_ALL,15,15)),1)="-"),999))-(RIGHT(MID(TRIM(INDEX(PASTE_ALL,15,15)),1+(LEFT(TRIM(INDEX(PASTE_ALL,15,15)),1)="-"),999),1)="%")),"0",""),"1",""),"2",""),"3",""),"4",""),"5",""),"6",""),"7",""),"8",""),"9",""),".",""),",","")=""),2,1))),1)</f>
        <v/>
      </c>
      <c r="AN64">
        <f>IFERROR(IF(ISNUMBER(INDEX(PASTE_ALL,15,16)),2,IF(TRIM(INDEX(PASTE_ALL,15,16))="",0,IF(AND(LEFT(MID(TRIM(INDEX(PASTE_ALL,15,16)),1+(LEFT(TRIM(INDEX(PASTE_ALL,15,16)),1)="-"),999),LEN(MID(TRIM(INDEX(PASTE_ALL,15,16)),1+(LEFT(TRIM(INDEX(PASTE_ALL,15,16)),1)="-"),999))-(RIGHT(MID(TRIM(INDEX(PASTE_ALL,15,16)),1+(LEFT(TRIM(INDEX(PASTE_ALL,15,16)),1)="-"),999),1)="%"))&lt;&gt;"",SUBSTITUTE(SUBSTITUTE(SUBSTITUTE(SUBSTITUTE(SUBSTITUTE(SUBSTITUTE(SUBSTITUTE(SUBSTITUTE(SUBSTITUTE(SUBSTITUTE(SUBSTITUTE(SUBSTITUTE(LEFT(MID(TRIM(INDEX(PASTE_ALL,15,16)),1+(LEFT(TRIM(INDEX(PASTE_ALL,15,16)),1)="-"),999),LEN(MID(TRIM(INDEX(PASTE_ALL,15,16)),1+(LEFT(TRIM(INDEX(PASTE_ALL,15,16)),1)="-"),999))-(RIGHT(MID(TRIM(INDEX(PASTE_ALL,15,16)),1+(LEFT(TRIM(INDEX(PASTE_ALL,15,16)),1)="-"),999),1)="%")),"0",""),"1",""),"2",""),"3",""),"4",""),"5",""),"6",""),"7",""),"8",""),"9",""),".",""),",","")=""),2,1))),1)</f>
        <v/>
      </c>
      <c r="AO64">
        <f>IFERROR(IF(ISNUMBER(INDEX(PASTE_ALL,15,17)),2,IF(TRIM(INDEX(PASTE_ALL,15,17))="",0,IF(AND(LEFT(MID(TRIM(INDEX(PASTE_ALL,15,17)),1+(LEFT(TRIM(INDEX(PASTE_ALL,15,17)),1)="-"),999),LEN(MID(TRIM(INDEX(PASTE_ALL,15,17)),1+(LEFT(TRIM(INDEX(PASTE_ALL,15,17)),1)="-"),999))-(RIGHT(MID(TRIM(INDEX(PASTE_ALL,15,17)),1+(LEFT(TRIM(INDEX(PASTE_ALL,15,17)),1)="-"),999),1)="%"))&lt;&gt;"",SUBSTITUTE(SUBSTITUTE(SUBSTITUTE(SUBSTITUTE(SUBSTITUTE(SUBSTITUTE(SUBSTITUTE(SUBSTITUTE(SUBSTITUTE(SUBSTITUTE(SUBSTITUTE(SUBSTITUTE(LEFT(MID(TRIM(INDEX(PASTE_ALL,15,17)),1+(LEFT(TRIM(INDEX(PASTE_ALL,15,17)),1)="-"),999),LEN(MID(TRIM(INDEX(PASTE_ALL,15,17)),1+(LEFT(TRIM(INDEX(PASTE_ALL,15,17)),1)="-"),999))-(RIGHT(MID(TRIM(INDEX(PASTE_ALL,15,17)),1+(LEFT(TRIM(INDEX(PASTE_ALL,15,17)),1)="-"),999),1)="%")),"0",""),"1",""),"2",""),"3",""),"4",""),"5",""),"6",""),"7",""),"8",""),"9",""),".",""),",","")=""),2,1))),1)</f>
        <v/>
      </c>
      <c r="AP64">
        <f>IFERROR(IF(ISNUMBER(INDEX(PASTE_ALL,15,18)),2,IF(TRIM(INDEX(PASTE_ALL,15,18))="",0,IF(AND(LEFT(MID(TRIM(INDEX(PASTE_ALL,15,18)),1+(LEFT(TRIM(INDEX(PASTE_ALL,15,18)),1)="-"),999),LEN(MID(TRIM(INDEX(PASTE_ALL,15,18)),1+(LEFT(TRIM(INDEX(PASTE_ALL,15,18)),1)="-"),999))-(RIGHT(MID(TRIM(INDEX(PASTE_ALL,15,18)),1+(LEFT(TRIM(INDEX(PASTE_ALL,15,18)),1)="-"),999),1)="%"))&lt;&gt;"",SUBSTITUTE(SUBSTITUTE(SUBSTITUTE(SUBSTITUTE(SUBSTITUTE(SUBSTITUTE(SUBSTITUTE(SUBSTITUTE(SUBSTITUTE(SUBSTITUTE(SUBSTITUTE(SUBSTITUTE(LEFT(MID(TRIM(INDEX(PASTE_ALL,15,18)),1+(LEFT(TRIM(INDEX(PASTE_ALL,15,18)),1)="-"),999),LEN(MID(TRIM(INDEX(PASTE_ALL,15,18)),1+(LEFT(TRIM(INDEX(PASTE_ALL,15,18)),1)="-"),999))-(RIGHT(MID(TRIM(INDEX(PASTE_ALL,15,18)),1+(LEFT(TRIM(INDEX(PASTE_ALL,15,18)),1)="-"),999),1)="%")),"0",""),"1",""),"2",""),"3",""),"4",""),"5",""),"6",""),"7",""),"8",""),"9",""),".",""),",","")=""),2,1))),1)</f>
        <v/>
      </c>
      <c r="AQ64">
        <f>IFERROR(IF(ISNUMBER(INDEX(PASTE_ALL,15,19)),2,IF(TRIM(INDEX(PASTE_ALL,15,19))="",0,IF(AND(LEFT(MID(TRIM(INDEX(PASTE_ALL,15,19)),1+(LEFT(TRIM(INDEX(PASTE_ALL,15,19)),1)="-"),999),LEN(MID(TRIM(INDEX(PASTE_ALL,15,19)),1+(LEFT(TRIM(INDEX(PASTE_ALL,15,19)),1)="-"),999))-(RIGHT(MID(TRIM(INDEX(PASTE_ALL,15,19)),1+(LEFT(TRIM(INDEX(PASTE_ALL,15,19)),1)="-"),999),1)="%"))&lt;&gt;"",SUBSTITUTE(SUBSTITUTE(SUBSTITUTE(SUBSTITUTE(SUBSTITUTE(SUBSTITUTE(SUBSTITUTE(SUBSTITUTE(SUBSTITUTE(SUBSTITUTE(SUBSTITUTE(SUBSTITUTE(LEFT(MID(TRIM(INDEX(PASTE_ALL,15,19)),1+(LEFT(TRIM(INDEX(PASTE_ALL,15,19)),1)="-"),999),LEN(MID(TRIM(INDEX(PASTE_ALL,15,19)),1+(LEFT(TRIM(INDEX(PASTE_ALL,15,19)),1)="-"),999))-(RIGHT(MID(TRIM(INDEX(PASTE_ALL,15,19)),1+(LEFT(TRIM(INDEX(PASTE_ALL,15,19)),1)="-"),999),1)="%")),"0",""),"1",""),"2",""),"3",""),"4",""),"5",""),"6",""),"7",""),"8",""),"9",""),".",""),",","")=""),2,1))),1)</f>
        <v/>
      </c>
      <c r="AR64">
        <f>IFERROR(IF(ISNUMBER(INDEX(PASTE_ALL,15,20)),2,IF(TRIM(INDEX(PASTE_ALL,15,20))="",0,IF(AND(LEFT(MID(TRIM(INDEX(PASTE_ALL,15,20)),1+(LEFT(TRIM(INDEX(PASTE_ALL,15,20)),1)="-"),999),LEN(MID(TRIM(INDEX(PASTE_ALL,15,20)),1+(LEFT(TRIM(INDEX(PASTE_ALL,15,20)),1)="-"),999))-(RIGHT(MID(TRIM(INDEX(PASTE_ALL,15,20)),1+(LEFT(TRIM(INDEX(PASTE_ALL,15,20)),1)="-"),999),1)="%"))&lt;&gt;"",SUBSTITUTE(SUBSTITUTE(SUBSTITUTE(SUBSTITUTE(SUBSTITUTE(SUBSTITUTE(SUBSTITUTE(SUBSTITUTE(SUBSTITUTE(SUBSTITUTE(SUBSTITUTE(SUBSTITUTE(LEFT(MID(TRIM(INDEX(PASTE_ALL,15,20)),1+(LEFT(TRIM(INDEX(PASTE_ALL,15,20)),1)="-"),999),LEN(MID(TRIM(INDEX(PASTE_ALL,15,20)),1+(LEFT(TRIM(INDEX(PASTE_ALL,15,20)),1)="-"),999))-(RIGHT(MID(TRIM(INDEX(PASTE_ALL,15,20)),1+(LEFT(TRIM(INDEX(PASTE_ALL,15,20)),1)="-"),999),1)="%")),"0",""),"1",""),"2",""),"3",""),"4",""),"5",""),"6",""),"7",""),"8",""),"9",""),".",""),",","")=""),2,1))),1)</f>
        <v/>
      </c>
      <c r="AS64">
        <f>IFERROR(IF(ISNUMBER(INDEX(PASTE_ALL,15,21)),2,IF(TRIM(INDEX(PASTE_ALL,15,21))="",0,IF(AND(LEFT(MID(TRIM(INDEX(PASTE_ALL,15,21)),1+(LEFT(TRIM(INDEX(PASTE_ALL,15,21)),1)="-"),999),LEN(MID(TRIM(INDEX(PASTE_ALL,15,21)),1+(LEFT(TRIM(INDEX(PASTE_ALL,15,21)),1)="-"),999))-(RIGHT(MID(TRIM(INDEX(PASTE_ALL,15,21)),1+(LEFT(TRIM(INDEX(PASTE_ALL,15,21)),1)="-"),999),1)="%"))&lt;&gt;"",SUBSTITUTE(SUBSTITUTE(SUBSTITUTE(SUBSTITUTE(SUBSTITUTE(SUBSTITUTE(SUBSTITUTE(SUBSTITUTE(SUBSTITUTE(SUBSTITUTE(SUBSTITUTE(SUBSTITUTE(LEFT(MID(TRIM(INDEX(PASTE_ALL,15,21)),1+(LEFT(TRIM(INDEX(PASTE_ALL,15,21)),1)="-"),999),LEN(MID(TRIM(INDEX(PASTE_ALL,15,21)),1+(LEFT(TRIM(INDEX(PASTE_ALL,15,21)),1)="-"),999))-(RIGHT(MID(TRIM(INDEX(PASTE_ALL,15,21)),1+(LEFT(TRIM(INDEX(PASTE_ALL,15,21)),1)="-"),999),1)="%")),"0",""),"1",""),"2",""),"3",""),"4",""),"5",""),"6",""),"7",""),"8",""),"9",""),".",""),",","")=""),2,1))),1)</f>
        <v/>
      </c>
      <c r="AT64">
        <f>IFERROR(IF(ISNUMBER(INDEX(PASTE_ALL,15,22)),2,IF(TRIM(INDEX(PASTE_ALL,15,22))="",0,IF(AND(LEFT(MID(TRIM(INDEX(PASTE_ALL,15,22)),1+(LEFT(TRIM(INDEX(PASTE_ALL,15,22)),1)="-"),999),LEN(MID(TRIM(INDEX(PASTE_ALL,15,22)),1+(LEFT(TRIM(INDEX(PASTE_ALL,15,22)),1)="-"),999))-(RIGHT(MID(TRIM(INDEX(PASTE_ALL,15,22)),1+(LEFT(TRIM(INDEX(PASTE_ALL,15,22)),1)="-"),999),1)="%"))&lt;&gt;"",SUBSTITUTE(SUBSTITUTE(SUBSTITUTE(SUBSTITUTE(SUBSTITUTE(SUBSTITUTE(SUBSTITUTE(SUBSTITUTE(SUBSTITUTE(SUBSTITUTE(SUBSTITUTE(SUBSTITUTE(LEFT(MID(TRIM(INDEX(PASTE_ALL,15,22)),1+(LEFT(TRIM(INDEX(PASTE_ALL,15,22)),1)="-"),999),LEN(MID(TRIM(INDEX(PASTE_ALL,15,22)),1+(LEFT(TRIM(INDEX(PASTE_ALL,15,22)),1)="-"),999))-(RIGHT(MID(TRIM(INDEX(PASTE_ALL,15,22)),1+(LEFT(TRIM(INDEX(PASTE_ALL,15,22)),1)="-"),999),1)="%")),"0",""),"1",""),"2",""),"3",""),"4",""),"5",""),"6",""),"7",""),"8",""),"9",""),".",""),",","")=""),2,1))),1)</f>
        <v/>
      </c>
      <c r="AU64">
        <f>IFERROR(IF(ISNUMBER(INDEX(PASTE_ALL,15,23)),2,IF(TRIM(INDEX(PASTE_ALL,15,23))="",0,IF(AND(LEFT(MID(TRIM(INDEX(PASTE_ALL,15,23)),1+(LEFT(TRIM(INDEX(PASTE_ALL,15,23)),1)="-"),999),LEN(MID(TRIM(INDEX(PASTE_ALL,15,23)),1+(LEFT(TRIM(INDEX(PASTE_ALL,15,23)),1)="-"),999))-(RIGHT(MID(TRIM(INDEX(PASTE_ALL,15,23)),1+(LEFT(TRIM(INDEX(PASTE_ALL,15,23)),1)="-"),999),1)="%"))&lt;&gt;"",SUBSTITUTE(SUBSTITUTE(SUBSTITUTE(SUBSTITUTE(SUBSTITUTE(SUBSTITUTE(SUBSTITUTE(SUBSTITUTE(SUBSTITUTE(SUBSTITUTE(SUBSTITUTE(SUBSTITUTE(LEFT(MID(TRIM(INDEX(PASTE_ALL,15,23)),1+(LEFT(TRIM(INDEX(PASTE_ALL,15,23)),1)="-"),999),LEN(MID(TRIM(INDEX(PASTE_ALL,15,23)),1+(LEFT(TRIM(INDEX(PASTE_ALL,15,23)),1)="-"),999))-(RIGHT(MID(TRIM(INDEX(PASTE_ALL,15,23)),1+(LEFT(TRIM(INDEX(PASTE_ALL,15,23)),1)="-"),999),1)="%")),"0",""),"1",""),"2",""),"3",""),"4",""),"5",""),"6",""),"7",""),"8",""),"9",""),".",""),",","")=""),2,1))),1)</f>
        <v/>
      </c>
      <c r="AV64">
        <f>IFERROR(IF(ISNUMBER(INDEX(PASTE_ALL,15,24)),2,IF(TRIM(INDEX(PASTE_ALL,15,24))="",0,IF(AND(LEFT(MID(TRIM(INDEX(PASTE_ALL,15,24)),1+(LEFT(TRIM(INDEX(PASTE_ALL,15,24)),1)="-"),999),LEN(MID(TRIM(INDEX(PASTE_ALL,15,24)),1+(LEFT(TRIM(INDEX(PASTE_ALL,15,24)),1)="-"),999))-(RIGHT(MID(TRIM(INDEX(PASTE_ALL,15,24)),1+(LEFT(TRIM(INDEX(PASTE_ALL,15,24)),1)="-"),999),1)="%"))&lt;&gt;"",SUBSTITUTE(SUBSTITUTE(SUBSTITUTE(SUBSTITUTE(SUBSTITUTE(SUBSTITUTE(SUBSTITUTE(SUBSTITUTE(SUBSTITUTE(SUBSTITUTE(SUBSTITUTE(SUBSTITUTE(LEFT(MID(TRIM(INDEX(PASTE_ALL,15,24)),1+(LEFT(TRIM(INDEX(PASTE_ALL,15,24)),1)="-"),999),LEN(MID(TRIM(INDEX(PASTE_ALL,15,24)),1+(LEFT(TRIM(INDEX(PASTE_ALL,15,24)),1)="-"),999))-(RIGHT(MID(TRIM(INDEX(PASTE_ALL,15,24)),1+(LEFT(TRIM(INDEX(PASTE_ALL,15,24)),1)="-"),999),1)="%")),"0",""),"1",""),"2",""),"3",""),"4",""),"5",""),"6",""),"7",""),"8",""),"9",""),".",""),",","")=""),2,1))),1)</f>
        <v/>
      </c>
      <c r="AW64">
        <f>IFERROR(IF(ISNUMBER(INDEX(PASTE_ALL,15,25)),2,IF(TRIM(INDEX(PASTE_ALL,15,25))="",0,IF(AND(LEFT(MID(TRIM(INDEX(PASTE_ALL,15,25)),1+(LEFT(TRIM(INDEX(PASTE_ALL,15,25)),1)="-"),999),LEN(MID(TRIM(INDEX(PASTE_ALL,15,25)),1+(LEFT(TRIM(INDEX(PASTE_ALL,15,25)),1)="-"),999))-(RIGHT(MID(TRIM(INDEX(PASTE_ALL,15,25)),1+(LEFT(TRIM(INDEX(PASTE_ALL,15,25)),1)="-"),999),1)="%"))&lt;&gt;"",SUBSTITUTE(SUBSTITUTE(SUBSTITUTE(SUBSTITUTE(SUBSTITUTE(SUBSTITUTE(SUBSTITUTE(SUBSTITUTE(SUBSTITUTE(SUBSTITUTE(SUBSTITUTE(SUBSTITUTE(LEFT(MID(TRIM(INDEX(PASTE_ALL,15,25)),1+(LEFT(TRIM(INDEX(PASTE_ALL,15,25)),1)="-"),999),LEN(MID(TRIM(INDEX(PASTE_ALL,15,25)),1+(LEFT(TRIM(INDEX(PASTE_ALL,15,25)),1)="-"),999))-(RIGHT(MID(TRIM(INDEX(PASTE_ALL,15,25)),1+(LEFT(TRIM(INDEX(PASTE_ALL,15,25)),1)="-"),999),1)="%")),"0",""),"1",""),"2",""),"3",""),"4",""),"5",""),"6",""),"7",""),"8",""),"9",""),".",""),",","")=""),2,1))),1)</f>
        <v/>
      </c>
      <c r="AX64">
        <f>IFERROR(IF(ISNUMBER(INDEX(PASTE_ALL,15,26)),2,IF(TRIM(INDEX(PASTE_ALL,15,26))="",0,IF(AND(LEFT(MID(TRIM(INDEX(PASTE_ALL,15,26)),1+(LEFT(TRIM(INDEX(PASTE_ALL,15,26)),1)="-"),999),LEN(MID(TRIM(INDEX(PASTE_ALL,15,26)),1+(LEFT(TRIM(INDEX(PASTE_ALL,15,26)),1)="-"),999))-(RIGHT(MID(TRIM(INDEX(PASTE_ALL,15,26)),1+(LEFT(TRIM(INDEX(PASTE_ALL,15,26)),1)="-"),999),1)="%"))&lt;&gt;"",SUBSTITUTE(SUBSTITUTE(SUBSTITUTE(SUBSTITUTE(SUBSTITUTE(SUBSTITUTE(SUBSTITUTE(SUBSTITUTE(SUBSTITUTE(SUBSTITUTE(SUBSTITUTE(SUBSTITUTE(LEFT(MID(TRIM(INDEX(PASTE_ALL,15,26)),1+(LEFT(TRIM(INDEX(PASTE_ALL,15,26)),1)="-"),999),LEN(MID(TRIM(INDEX(PASTE_ALL,15,26)),1+(LEFT(TRIM(INDEX(PASTE_ALL,15,26)),1)="-"),999))-(RIGHT(MID(TRIM(INDEX(PASTE_ALL,15,26)),1+(LEFT(TRIM(INDEX(PASTE_ALL,15,26)),1)="-"),999),1)="%")),"0",""),"1",""),"2",""),"3",""),"4",""),"5",""),"6",""),"7",""),"8",""),"9",""),".",""),",","")=""),2,1))),1)</f>
        <v/>
      </c>
      <c r="AY64">
        <f>IFERROR(IF(ISNUMBER(INDEX(PASTE_ALL,15,27)),2,IF(TRIM(INDEX(PASTE_ALL,15,27))="",0,IF(AND(LEFT(MID(TRIM(INDEX(PASTE_ALL,15,27)),1+(LEFT(TRIM(INDEX(PASTE_ALL,15,27)),1)="-"),999),LEN(MID(TRIM(INDEX(PASTE_ALL,15,27)),1+(LEFT(TRIM(INDEX(PASTE_ALL,15,27)),1)="-"),999))-(RIGHT(MID(TRIM(INDEX(PASTE_ALL,15,27)),1+(LEFT(TRIM(INDEX(PASTE_ALL,15,27)),1)="-"),999),1)="%"))&lt;&gt;"",SUBSTITUTE(SUBSTITUTE(SUBSTITUTE(SUBSTITUTE(SUBSTITUTE(SUBSTITUTE(SUBSTITUTE(SUBSTITUTE(SUBSTITUTE(SUBSTITUTE(SUBSTITUTE(SUBSTITUTE(LEFT(MID(TRIM(INDEX(PASTE_ALL,15,27)),1+(LEFT(TRIM(INDEX(PASTE_ALL,15,27)),1)="-"),999),LEN(MID(TRIM(INDEX(PASTE_ALL,15,27)),1+(LEFT(TRIM(INDEX(PASTE_ALL,15,27)),1)="-"),999))-(RIGHT(MID(TRIM(INDEX(PASTE_ALL,15,27)),1+(LEFT(TRIM(INDEX(PASTE_ALL,15,27)),1)="-"),999),1)="%")),"0",""),"1",""),"2",""),"3",""),"4",""),"5",""),"6",""),"7",""),"8",""),"9",""),".",""),",","")=""),2,1))),1)</f>
        <v/>
      </c>
      <c r="AZ64">
        <f>IFERROR(IF(ISNUMBER(INDEX(PASTE_ALL,15,28)),2,IF(TRIM(INDEX(PASTE_ALL,15,28))="",0,IF(AND(LEFT(MID(TRIM(INDEX(PASTE_ALL,15,28)),1+(LEFT(TRIM(INDEX(PASTE_ALL,15,28)),1)="-"),999),LEN(MID(TRIM(INDEX(PASTE_ALL,15,28)),1+(LEFT(TRIM(INDEX(PASTE_ALL,15,28)),1)="-"),999))-(RIGHT(MID(TRIM(INDEX(PASTE_ALL,15,28)),1+(LEFT(TRIM(INDEX(PASTE_ALL,15,28)),1)="-"),999),1)="%"))&lt;&gt;"",SUBSTITUTE(SUBSTITUTE(SUBSTITUTE(SUBSTITUTE(SUBSTITUTE(SUBSTITUTE(SUBSTITUTE(SUBSTITUTE(SUBSTITUTE(SUBSTITUTE(SUBSTITUTE(SUBSTITUTE(LEFT(MID(TRIM(INDEX(PASTE_ALL,15,28)),1+(LEFT(TRIM(INDEX(PASTE_ALL,15,28)),1)="-"),999),LEN(MID(TRIM(INDEX(PASTE_ALL,15,28)),1+(LEFT(TRIM(INDEX(PASTE_ALL,15,28)),1)="-"),999))-(RIGHT(MID(TRIM(INDEX(PASTE_ALL,15,28)),1+(LEFT(TRIM(INDEX(PASTE_ALL,15,28)),1)="-"),999),1)="%")),"0",""),"1",""),"2",""),"3",""),"4",""),"5",""),"6",""),"7",""),"8",""),"9",""),".",""),",","")=""),2,1))),1)</f>
        <v/>
      </c>
      <c r="BA64">
        <f>IFERROR(IF(ISNUMBER(INDEX(PASTE_ALL,15,29)),2,IF(TRIM(INDEX(PASTE_ALL,15,29))="",0,IF(AND(LEFT(MID(TRIM(INDEX(PASTE_ALL,15,29)),1+(LEFT(TRIM(INDEX(PASTE_ALL,15,29)),1)="-"),999),LEN(MID(TRIM(INDEX(PASTE_ALL,15,29)),1+(LEFT(TRIM(INDEX(PASTE_ALL,15,29)),1)="-"),999))-(RIGHT(MID(TRIM(INDEX(PASTE_ALL,15,29)),1+(LEFT(TRIM(INDEX(PASTE_ALL,15,29)),1)="-"),999),1)="%"))&lt;&gt;"",SUBSTITUTE(SUBSTITUTE(SUBSTITUTE(SUBSTITUTE(SUBSTITUTE(SUBSTITUTE(SUBSTITUTE(SUBSTITUTE(SUBSTITUTE(SUBSTITUTE(SUBSTITUTE(SUBSTITUTE(LEFT(MID(TRIM(INDEX(PASTE_ALL,15,29)),1+(LEFT(TRIM(INDEX(PASTE_ALL,15,29)),1)="-"),999),LEN(MID(TRIM(INDEX(PASTE_ALL,15,29)),1+(LEFT(TRIM(INDEX(PASTE_ALL,15,29)),1)="-"),999))-(RIGHT(MID(TRIM(INDEX(PASTE_ALL,15,29)),1+(LEFT(TRIM(INDEX(PASTE_ALL,15,29)),1)="-"),999),1)="%")),"0",""),"1",""),"2",""),"3",""),"4",""),"5",""),"6",""),"7",""),"8",""),"9",""),".",""),",","")=""),2,1))),1)</f>
        <v/>
      </c>
      <c r="BB64">
        <f>IFERROR(IF(ISNUMBER(INDEX(PASTE_ALL,15,30)),2,IF(TRIM(INDEX(PASTE_ALL,15,30))="",0,IF(AND(LEFT(MID(TRIM(INDEX(PASTE_ALL,15,30)),1+(LEFT(TRIM(INDEX(PASTE_ALL,15,30)),1)="-"),999),LEN(MID(TRIM(INDEX(PASTE_ALL,15,30)),1+(LEFT(TRIM(INDEX(PASTE_ALL,15,30)),1)="-"),999))-(RIGHT(MID(TRIM(INDEX(PASTE_ALL,15,30)),1+(LEFT(TRIM(INDEX(PASTE_ALL,15,30)),1)="-"),999),1)="%"))&lt;&gt;"",SUBSTITUTE(SUBSTITUTE(SUBSTITUTE(SUBSTITUTE(SUBSTITUTE(SUBSTITUTE(SUBSTITUTE(SUBSTITUTE(SUBSTITUTE(SUBSTITUTE(SUBSTITUTE(SUBSTITUTE(LEFT(MID(TRIM(INDEX(PASTE_ALL,15,30)),1+(LEFT(TRIM(INDEX(PASTE_ALL,15,30)),1)="-"),999),LEN(MID(TRIM(INDEX(PASTE_ALL,15,30)),1+(LEFT(TRIM(INDEX(PASTE_ALL,15,30)),1)="-"),999))-(RIGHT(MID(TRIM(INDEX(PASTE_ALL,15,30)),1+(LEFT(TRIM(INDEX(PASTE_ALL,15,30)),1)="-"),999),1)="%")),"0",""),"1",""),"2",""),"3",""),"4",""),"5",""),"6",""),"7",""),"8",""),"9",""),".",""),",","")=""),2,1))),1)</f>
        <v/>
      </c>
      <c r="BC64">
        <f>IFERROR(IF(ISNUMBER(INDEX(PASTE_ALL,15,31)),2,IF(TRIM(INDEX(PASTE_ALL,15,31))="",0,IF(AND(LEFT(MID(TRIM(INDEX(PASTE_ALL,15,31)),1+(LEFT(TRIM(INDEX(PASTE_ALL,15,31)),1)="-"),999),LEN(MID(TRIM(INDEX(PASTE_ALL,15,31)),1+(LEFT(TRIM(INDEX(PASTE_ALL,15,31)),1)="-"),999))-(RIGHT(MID(TRIM(INDEX(PASTE_ALL,15,31)),1+(LEFT(TRIM(INDEX(PASTE_ALL,15,31)),1)="-"),999),1)="%"))&lt;&gt;"",SUBSTITUTE(SUBSTITUTE(SUBSTITUTE(SUBSTITUTE(SUBSTITUTE(SUBSTITUTE(SUBSTITUTE(SUBSTITUTE(SUBSTITUTE(SUBSTITUTE(SUBSTITUTE(SUBSTITUTE(LEFT(MID(TRIM(INDEX(PASTE_ALL,15,31)),1+(LEFT(TRIM(INDEX(PASTE_ALL,15,31)),1)="-"),999),LEN(MID(TRIM(INDEX(PASTE_ALL,15,31)),1+(LEFT(TRIM(INDEX(PASTE_ALL,15,31)),1)="-"),999))-(RIGHT(MID(TRIM(INDEX(PASTE_ALL,15,31)),1+(LEFT(TRIM(INDEX(PASTE_ALL,15,31)),1)="-"),999),1)="%")),"0",""),"1",""),"2",""),"3",""),"4",""),"5",""),"6",""),"7",""),"8",""),"9",""),".",""),",","")=""),2,1))),1)</f>
        <v/>
      </c>
      <c r="BD64">
        <f>IFERROR(IF(ISNUMBER(INDEX(PASTE_ALL,15,32)),2,IF(TRIM(INDEX(PASTE_ALL,15,32))="",0,IF(AND(LEFT(MID(TRIM(INDEX(PASTE_ALL,15,32)),1+(LEFT(TRIM(INDEX(PASTE_ALL,15,32)),1)="-"),999),LEN(MID(TRIM(INDEX(PASTE_ALL,15,32)),1+(LEFT(TRIM(INDEX(PASTE_ALL,15,32)),1)="-"),999))-(RIGHT(MID(TRIM(INDEX(PASTE_ALL,15,32)),1+(LEFT(TRIM(INDEX(PASTE_ALL,15,32)),1)="-"),999),1)="%"))&lt;&gt;"",SUBSTITUTE(SUBSTITUTE(SUBSTITUTE(SUBSTITUTE(SUBSTITUTE(SUBSTITUTE(SUBSTITUTE(SUBSTITUTE(SUBSTITUTE(SUBSTITUTE(SUBSTITUTE(SUBSTITUTE(LEFT(MID(TRIM(INDEX(PASTE_ALL,15,32)),1+(LEFT(TRIM(INDEX(PASTE_ALL,15,32)),1)="-"),999),LEN(MID(TRIM(INDEX(PASTE_ALL,15,32)),1+(LEFT(TRIM(INDEX(PASTE_ALL,15,32)),1)="-"),999))-(RIGHT(MID(TRIM(INDEX(PASTE_ALL,15,32)),1+(LEFT(TRIM(INDEX(PASTE_ALL,15,32)),1)="-"),999),1)="%")),"0",""),"1",""),"2",""),"3",""),"4",""),"5",""),"6",""),"7",""),"8",""),"9",""),".",""),",","")=""),2,1))),1)</f>
        <v/>
      </c>
      <c r="BE64">
        <f>IFERROR(IF(ISNUMBER(INDEX(PASTE_ALL,15,33)),2,IF(TRIM(INDEX(PASTE_ALL,15,33))="",0,IF(AND(LEFT(MID(TRIM(INDEX(PASTE_ALL,15,33)),1+(LEFT(TRIM(INDEX(PASTE_ALL,15,33)),1)="-"),999),LEN(MID(TRIM(INDEX(PASTE_ALL,15,33)),1+(LEFT(TRIM(INDEX(PASTE_ALL,15,33)),1)="-"),999))-(RIGHT(MID(TRIM(INDEX(PASTE_ALL,15,33)),1+(LEFT(TRIM(INDEX(PASTE_ALL,15,33)),1)="-"),999),1)="%"))&lt;&gt;"",SUBSTITUTE(SUBSTITUTE(SUBSTITUTE(SUBSTITUTE(SUBSTITUTE(SUBSTITUTE(SUBSTITUTE(SUBSTITUTE(SUBSTITUTE(SUBSTITUTE(SUBSTITUTE(SUBSTITUTE(LEFT(MID(TRIM(INDEX(PASTE_ALL,15,33)),1+(LEFT(TRIM(INDEX(PASTE_ALL,15,33)),1)="-"),999),LEN(MID(TRIM(INDEX(PASTE_ALL,15,33)),1+(LEFT(TRIM(INDEX(PASTE_ALL,15,33)),1)="-"),999))-(RIGHT(MID(TRIM(INDEX(PASTE_ALL,15,33)),1+(LEFT(TRIM(INDEX(PASTE_ALL,15,33)),1)="-"),999),1)="%")),"0",""),"1",""),"2",""),"3",""),"4",""),"5",""),"6",""),"7",""),"8",""),"9",""),".",""),",","")=""),2,1))),1)</f>
        <v/>
      </c>
      <c r="BF64">
        <f>IFERROR(IF(ISNUMBER(INDEX(PASTE_ALL,15,34)),2,IF(TRIM(INDEX(PASTE_ALL,15,34))="",0,IF(AND(LEFT(MID(TRIM(INDEX(PASTE_ALL,15,34)),1+(LEFT(TRIM(INDEX(PASTE_ALL,15,34)),1)="-"),999),LEN(MID(TRIM(INDEX(PASTE_ALL,15,34)),1+(LEFT(TRIM(INDEX(PASTE_ALL,15,34)),1)="-"),999))-(RIGHT(MID(TRIM(INDEX(PASTE_ALL,15,34)),1+(LEFT(TRIM(INDEX(PASTE_ALL,15,34)),1)="-"),999),1)="%"))&lt;&gt;"",SUBSTITUTE(SUBSTITUTE(SUBSTITUTE(SUBSTITUTE(SUBSTITUTE(SUBSTITUTE(SUBSTITUTE(SUBSTITUTE(SUBSTITUTE(SUBSTITUTE(SUBSTITUTE(SUBSTITUTE(LEFT(MID(TRIM(INDEX(PASTE_ALL,15,34)),1+(LEFT(TRIM(INDEX(PASTE_ALL,15,34)),1)="-"),999),LEN(MID(TRIM(INDEX(PASTE_ALL,15,34)),1+(LEFT(TRIM(INDEX(PASTE_ALL,15,34)),1)="-"),999))-(RIGHT(MID(TRIM(INDEX(PASTE_ALL,15,34)),1+(LEFT(TRIM(INDEX(PASTE_ALL,15,34)),1)="-"),999),1)="%")),"0",""),"1",""),"2",""),"3",""),"4",""),"5",""),"6",""),"7",""),"8",""),"9",""),".",""),",","")=""),2,1))),1)</f>
        <v/>
      </c>
      <c r="BG64">
        <f>IFERROR(IF(ISNUMBER(INDEX(PASTE_ALL,15,35)),2,IF(TRIM(INDEX(PASTE_ALL,15,35))="",0,IF(AND(LEFT(MID(TRIM(INDEX(PASTE_ALL,15,35)),1+(LEFT(TRIM(INDEX(PASTE_ALL,15,35)),1)="-"),999),LEN(MID(TRIM(INDEX(PASTE_ALL,15,35)),1+(LEFT(TRIM(INDEX(PASTE_ALL,15,35)),1)="-"),999))-(RIGHT(MID(TRIM(INDEX(PASTE_ALL,15,35)),1+(LEFT(TRIM(INDEX(PASTE_ALL,15,35)),1)="-"),999),1)="%"))&lt;&gt;"",SUBSTITUTE(SUBSTITUTE(SUBSTITUTE(SUBSTITUTE(SUBSTITUTE(SUBSTITUTE(SUBSTITUTE(SUBSTITUTE(SUBSTITUTE(SUBSTITUTE(SUBSTITUTE(SUBSTITUTE(LEFT(MID(TRIM(INDEX(PASTE_ALL,15,35)),1+(LEFT(TRIM(INDEX(PASTE_ALL,15,35)),1)="-"),999),LEN(MID(TRIM(INDEX(PASTE_ALL,15,35)),1+(LEFT(TRIM(INDEX(PASTE_ALL,15,35)),1)="-"),999))-(RIGHT(MID(TRIM(INDEX(PASTE_ALL,15,35)),1+(LEFT(TRIM(INDEX(PASTE_ALL,15,35)),1)="-"),999),1)="%")),"0",""),"1",""),"2",""),"3",""),"4",""),"5",""),"6",""),"7",""),"8",""),"9",""),".",""),",","")=""),2,1))),1)</f>
        <v/>
      </c>
      <c r="BH64">
        <f>IFERROR(IF(ISNUMBER(INDEX(PASTE_ALL,15,36)),2,IF(TRIM(INDEX(PASTE_ALL,15,36))="",0,IF(AND(LEFT(MID(TRIM(INDEX(PASTE_ALL,15,36)),1+(LEFT(TRIM(INDEX(PASTE_ALL,15,36)),1)="-"),999),LEN(MID(TRIM(INDEX(PASTE_ALL,15,36)),1+(LEFT(TRIM(INDEX(PASTE_ALL,15,36)),1)="-"),999))-(RIGHT(MID(TRIM(INDEX(PASTE_ALL,15,36)),1+(LEFT(TRIM(INDEX(PASTE_ALL,15,36)),1)="-"),999),1)="%"))&lt;&gt;"",SUBSTITUTE(SUBSTITUTE(SUBSTITUTE(SUBSTITUTE(SUBSTITUTE(SUBSTITUTE(SUBSTITUTE(SUBSTITUTE(SUBSTITUTE(SUBSTITUTE(SUBSTITUTE(SUBSTITUTE(LEFT(MID(TRIM(INDEX(PASTE_ALL,15,36)),1+(LEFT(TRIM(INDEX(PASTE_ALL,15,36)),1)="-"),999),LEN(MID(TRIM(INDEX(PASTE_ALL,15,36)),1+(LEFT(TRIM(INDEX(PASTE_ALL,15,36)),1)="-"),999))-(RIGHT(MID(TRIM(INDEX(PASTE_ALL,15,36)),1+(LEFT(TRIM(INDEX(PASTE_ALL,15,36)),1)="-"),999),1)="%")),"0",""),"1",""),"2",""),"3",""),"4",""),"5",""),"6",""),"7",""),"8",""),"9",""),".",""),",","")=""),2,1))),1)</f>
        <v/>
      </c>
      <c r="BI64">
        <f>IFERROR(IF(ISNUMBER(INDEX(PASTE_ALL,15,37)),2,IF(TRIM(INDEX(PASTE_ALL,15,37))="",0,IF(AND(LEFT(MID(TRIM(INDEX(PASTE_ALL,15,37)),1+(LEFT(TRIM(INDEX(PASTE_ALL,15,37)),1)="-"),999),LEN(MID(TRIM(INDEX(PASTE_ALL,15,37)),1+(LEFT(TRIM(INDEX(PASTE_ALL,15,37)),1)="-"),999))-(RIGHT(MID(TRIM(INDEX(PASTE_ALL,15,37)),1+(LEFT(TRIM(INDEX(PASTE_ALL,15,37)),1)="-"),999),1)="%"))&lt;&gt;"",SUBSTITUTE(SUBSTITUTE(SUBSTITUTE(SUBSTITUTE(SUBSTITUTE(SUBSTITUTE(SUBSTITUTE(SUBSTITUTE(SUBSTITUTE(SUBSTITUTE(SUBSTITUTE(SUBSTITUTE(LEFT(MID(TRIM(INDEX(PASTE_ALL,15,37)),1+(LEFT(TRIM(INDEX(PASTE_ALL,15,37)),1)="-"),999),LEN(MID(TRIM(INDEX(PASTE_ALL,15,37)),1+(LEFT(TRIM(INDEX(PASTE_ALL,15,37)),1)="-"),999))-(RIGHT(MID(TRIM(INDEX(PASTE_ALL,15,37)),1+(LEFT(TRIM(INDEX(PASTE_ALL,15,37)),1)="-"),999),1)="%")),"0",""),"1",""),"2",""),"3",""),"4",""),"5",""),"6",""),"7",""),"8",""),"9",""),".",""),",","")=""),2,1))),1)</f>
        <v/>
      </c>
      <c r="BJ64">
        <f>IFERROR(IF(ISNUMBER(INDEX(PASTE_ALL,15,38)),2,IF(TRIM(INDEX(PASTE_ALL,15,38))="",0,IF(AND(LEFT(MID(TRIM(INDEX(PASTE_ALL,15,38)),1+(LEFT(TRIM(INDEX(PASTE_ALL,15,38)),1)="-"),999),LEN(MID(TRIM(INDEX(PASTE_ALL,15,38)),1+(LEFT(TRIM(INDEX(PASTE_ALL,15,38)),1)="-"),999))-(RIGHT(MID(TRIM(INDEX(PASTE_ALL,15,38)),1+(LEFT(TRIM(INDEX(PASTE_ALL,15,38)),1)="-"),999),1)="%"))&lt;&gt;"",SUBSTITUTE(SUBSTITUTE(SUBSTITUTE(SUBSTITUTE(SUBSTITUTE(SUBSTITUTE(SUBSTITUTE(SUBSTITUTE(SUBSTITUTE(SUBSTITUTE(SUBSTITUTE(SUBSTITUTE(LEFT(MID(TRIM(INDEX(PASTE_ALL,15,38)),1+(LEFT(TRIM(INDEX(PASTE_ALL,15,38)),1)="-"),999),LEN(MID(TRIM(INDEX(PASTE_ALL,15,38)),1+(LEFT(TRIM(INDEX(PASTE_ALL,15,38)),1)="-"),999))-(RIGHT(MID(TRIM(INDEX(PASTE_ALL,15,38)),1+(LEFT(TRIM(INDEX(PASTE_ALL,15,38)),1)="-"),999),1)="%")),"0",""),"1",""),"2",""),"3",""),"4",""),"5",""),"6",""),"7",""),"8",""),"9",""),".",""),",","")=""),2,1))),1)</f>
        <v/>
      </c>
      <c r="BK64">
        <f>IFERROR(IF(ISNUMBER(INDEX(PASTE_ALL,15,39)),2,IF(TRIM(INDEX(PASTE_ALL,15,39))="",0,IF(AND(LEFT(MID(TRIM(INDEX(PASTE_ALL,15,39)),1+(LEFT(TRIM(INDEX(PASTE_ALL,15,39)),1)="-"),999),LEN(MID(TRIM(INDEX(PASTE_ALL,15,39)),1+(LEFT(TRIM(INDEX(PASTE_ALL,15,39)),1)="-"),999))-(RIGHT(MID(TRIM(INDEX(PASTE_ALL,15,39)),1+(LEFT(TRIM(INDEX(PASTE_ALL,15,39)),1)="-"),999),1)="%"))&lt;&gt;"",SUBSTITUTE(SUBSTITUTE(SUBSTITUTE(SUBSTITUTE(SUBSTITUTE(SUBSTITUTE(SUBSTITUTE(SUBSTITUTE(SUBSTITUTE(SUBSTITUTE(SUBSTITUTE(SUBSTITUTE(LEFT(MID(TRIM(INDEX(PASTE_ALL,15,39)),1+(LEFT(TRIM(INDEX(PASTE_ALL,15,39)),1)="-"),999),LEN(MID(TRIM(INDEX(PASTE_ALL,15,39)),1+(LEFT(TRIM(INDEX(PASTE_ALL,15,39)),1)="-"),999))-(RIGHT(MID(TRIM(INDEX(PASTE_ALL,15,39)),1+(LEFT(TRIM(INDEX(PASTE_ALL,15,39)),1)="-"),999),1)="%")),"0",""),"1",""),"2",""),"3",""),"4",""),"5",""),"6",""),"7",""),"8",""),"9",""),".",""),",","")=""),2,1))),1)</f>
        <v/>
      </c>
      <c r="BL64">
        <f>IFERROR(IF(ISNUMBER(INDEX(PASTE_ALL,15,40)),2,IF(TRIM(INDEX(PASTE_ALL,15,40))="",0,IF(AND(LEFT(MID(TRIM(INDEX(PASTE_ALL,15,40)),1+(LEFT(TRIM(INDEX(PASTE_ALL,15,40)),1)="-"),999),LEN(MID(TRIM(INDEX(PASTE_ALL,15,40)),1+(LEFT(TRIM(INDEX(PASTE_ALL,15,40)),1)="-"),999))-(RIGHT(MID(TRIM(INDEX(PASTE_ALL,15,40)),1+(LEFT(TRIM(INDEX(PASTE_ALL,15,40)),1)="-"),999),1)="%"))&lt;&gt;"",SUBSTITUTE(SUBSTITUTE(SUBSTITUTE(SUBSTITUTE(SUBSTITUTE(SUBSTITUTE(SUBSTITUTE(SUBSTITUTE(SUBSTITUTE(SUBSTITUTE(SUBSTITUTE(SUBSTITUTE(LEFT(MID(TRIM(INDEX(PASTE_ALL,15,40)),1+(LEFT(TRIM(INDEX(PASTE_ALL,15,40)),1)="-"),999),LEN(MID(TRIM(INDEX(PASTE_ALL,15,40)),1+(LEFT(TRIM(INDEX(PASTE_ALL,15,40)),1)="-"),999))-(RIGHT(MID(TRIM(INDEX(PASTE_ALL,15,40)),1+(LEFT(TRIM(INDEX(PASTE_ALL,15,40)),1)="-"),999),1)="%")),"0",""),"1",""),"2",""),"3",""),"4",""),"5",""),"6",""),"7",""),"8",""),"9",""),".",""),",","")=""),2,1))),1)</f>
        <v/>
      </c>
      <c r="BM64">
        <f>IFERROR(IF(ISNUMBER(INDEX(PASTE_ALL,15,41)),2,IF(TRIM(INDEX(PASTE_ALL,15,41))="",0,IF(AND(LEFT(MID(TRIM(INDEX(PASTE_ALL,15,41)),1+(LEFT(TRIM(INDEX(PASTE_ALL,15,41)),1)="-"),999),LEN(MID(TRIM(INDEX(PASTE_ALL,15,41)),1+(LEFT(TRIM(INDEX(PASTE_ALL,15,41)),1)="-"),999))-(RIGHT(MID(TRIM(INDEX(PASTE_ALL,15,41)),1+(LEFT(TRIM(INDEX(PASTE_ALL,15,41)),1)="-"),999),1)="%"))&lt;&gt;"",SUBSTITUTE(SUBSTITUTE(SUBSTITUTE(SUBSTITUTE(SUBSTITUTE(SUBSTITUTE(SUBSTITUTE(SUBSTITUTE(SUBSTITUTE(SUBSTITUTE(SUBSTITUTE(SUBSTITUTE(LEFT(MID(TRIM(INDEX(PASTE_ALL,15,41)),1+(LEFT(TRIM(INDEX(PASTE_ALL,15,41)),1)="-"),999),LEN(MID(TRIM(INDEX(PASTE_ALL,15,41)),1+(LEFT(TRIM(INDEX(PASTE_ALL,15,41)),1)="-"),999))-(RIGHT(MID(TRIM(INDEX(PASTE_ALL,15,41)),1+(LEFT(TRIM(INDEX(PASTE_ALL,15,41)),1)="-"),999),1)="%")),"0",""),"1",""),"2",""),"3",""),"4",""),"5",""),"6",""),"7",""),"8",""),"9",""),".",""),",","")=""),2,1))),1)</f>
        <v/>
      </c>
      <c r="BN64">
        <f>IFERROR(IF(ISNUMBER(INDEX(PASTE_ALL,15,42)),2,IF(TRIM(INDEX(PASTE_ALL,15,42))="",0,IF(AND(LEFT(MID(TRIM(INDEX(PASTE_ALL,15,42)),1+(LEFT(TRIM(INDEX(PASTE_ALL,15,42)),1)="-"),999),LEN(MID(TRIM(INDEX(PASTE_ALL,15,42)),1+(LEFT(TRIM(INDEX(PASTE_ALL,15,42)),1)="-"),999))-(RIGHT(MID(TRIM(INDEX(PASTE_ALL,15,42)),1+(LEFT(TRIM(INDEX(PASTE_ALL,15,42)),1)="-"),999),1)="%"))&lt;&gt;"",SUBSTITUTE(SUBSTITUTE(SUBSTITUTE(SUBSTITUTE(SUBSTITUTE(SUBSTITUTE(SUBSTITUTE(SUBSTITUTE(SUBSTITUTE(SUBSTITUTE(SUBSTITUTE(SUBSTITUTE(LEFT(MID(TRIM(INDEX(PASTE_ALL,15,42)),1+(LEFT(TRIM(INDEX(PASTE_ALL,15,42)),1)="-"),999),LEN(MID(TRIM(INDEX(PASTE_ALL,15,42)),1+(LEFT(TRIM(INDEX(PASTE_ALL,15,42)),1)="-"),999))-(RIGHT(MID(TRIM(INDEX(PASTE_ALL,15,42)),1+(LEFT(TRIM(INDEX(PASTE_ALL,15,42)),1)="-"),999),1)="%")),"0",""),"1",""),"2",""),"3",""),"4",""),"5",""),"6",""),"7",""),"8",""),"9",""),".",""),",","")=""),2,1))),1)</f>
        <v/>
      </c>
      <c r="BO64">
        <f>IFERROR(IF(ISNUMBER(INDEX(PASTE_ALL,15,43)),2,IF(TRIM(INDEX(PASTE_ALL,15,43))="",0,IF(AND(LEFT(MID(TRIM(INDEX(PASTE_ALL,15,43)),1+(LEFT(TRIM(INDEX(PASTE_ALL,15,43)),1)="-"),999),LEN(MID(TRIM(INDEX(PASTE_ALL,15,43)),1+(LEFT(TRIM(INDEX(PASTE_ALL,15,43)),1)="-"),999))-(RIGHT(MID(TRIM(INDEX(PASTE_ALL,15,43)),1+(LEFT(TRIM(INDEX(PASTE_ALL,15,43)),1)="-"),999),1)="%"))&lt;&gt;"",SUBSTITUTE(SUBSTITUTE(SUBSTITUTE(SUBSTITUTE(SUBSTITUTE(SUBSTITUTE(SUBSTITUTE(SUBSTITUTE(SUBSTITUTE(SUBSTITUTE(SUBSTITUTE(SUBSTITUTE(LEFT(MID(TRIM(INDEX(PASTE_ALL,15,43)),1+(LEFT(TRIM(INDEX(PASTE_ALL,15,43)),1)="-"),999),LEN(MID(TRIM(INDEX(PASTE_ALL,15,43)),1+(LEFT(TRIM(INDEX(PASTE_ALL,15,43)),1)="-"),999))-(RIGHT(MID(TRIM(INDEX(PASTE_ALL,15,43)),1+(LEFT(TRIM(INDEX(PASTE_ALL,15,43)),1)="-"),999),1)="%")),"0",""),"1",""),"2",""),"3",""),"4",""),"5",""),"6",""),"7",""),"8",""),"9",""),".",""),",","")=""),2,1))),1)</f>
        <v/>
      </c>
      <c r="BP64">
        <f>IFERROR(IF(ISNUMBER(INDEX(PASTE_ALL,15,44)),2,IF(TRIM(INDEX(PASTE_ALL,15,44))="",0,IF(AND(LEFT(MID(TRIM(INDEX(PASTE_ALL,15,44)),1+(LEFT(TRIM(INDEX(PASTE_ALL,15,44)),1)="-"),999),LEN(MID(TRIM(INDEX(PASTE_ALL,15,44)),1+(LEFT(TRIM(INDEX(PASTE_ALL,15,44)),1)="-"),999))-(RIGHT(MID(TRIM(INDEX(PASTE_ALL,15,44)),1+(LEFT(TRIM(INDEX(PASTE_ALL,15,44)),1)="-"),999),1)="%"))&lt;&gt;"",SUBSTITUTE(SUBSTITUTE(SUBSTITUTE(SUBSTITUTE(SUBSTITUTE(SUBSTITUTE(SUBSTITUTE(SUBSTITUTE(SUBSTITUTE(SUBSTITUTE(SUBSTITUTE(SUBSTITUTE(LEFT(MID(TRIM(INDEX(PASTE_ALL,15,44)),1+(LEFT(TRIM(INDEX(PASTE_ALL,15,44)),1)="-"),999),LEN(MID(TRIM(INDEX(PASTE_ALL,15,44)),1+(LEFT(TRIM(INDEX(PASTE_ALL,15,44)),1)="-"),999))-(RIGHT(MID(TRIM(INDEX(PASTE_ALL,15,44)),1+(LEFT(TRIM(INDEX(PASTE_ALL,15,44)),1)="-"),999),1)="%")),"0",""),"1",""),"2",""),"3",""),"4",""),"5",""),"6",""),"7",""),"8",""),"9",""),".",""),",","")=""),2,1))),1)</f>
        <v/>
      </c>
      <c r="BQ64">
        <f>IFERROR(IF(ISNUMBER(INDEX(PASTE_ALL,15,45)),2,IF(TRIM(INDEX(PASTE_ALL,15,45))="",0,IF(AND(LEFT(MID(TRIM(INDEX(PASTE_ALL,15,45)),1+(LEFT(TRIM(INDEX(PASTE_ALL,15,45)),1)="-"),999),LEN(MID(TRIM(INDEX(PASTE_ALL,15,45)),1+(LEFT(TRIM(INDEX(PASTE_ALL,15,45)),1)="-"),999))-(RIGHT(MID(TRIM(INDEX(PASTE_ALL,15,45)),1+(LEFT(TRIM(INDEX(PASTE_ALL,15,45)),1)="-"),999),1)="%"))&lt;&gt;"",SUBSTITUTE(SUBSTITUTE(SUBSTITUTE(SUBSTITUTE(SUBSTITUTE(SUBSTITUTE(SUBSTITUTE(SUBSTITUTE(SUBSTITUTE(SUBSTITUTE(SUBSTITUTE(SUBSTITUTE(LEFT(MID(TRIM(INDEX(PASTE_ALL,15,45)),1+(LEFT(TRIM(INDEX(PASTE_ALL,15,45)),1)="-"),999),LEN(MID(TRIM(INDEX(PASTE_ALL,15,45)),1+(LEFT(TRIM(INDEX(PASTE_ALL,15,45)),1)="-"),999))-(RIGHT(MID(TRIM(INDEX(PASTE_ALL,15,45)),1+(LEFT(TRIM(INDEX(PASTE_ALL,15,45)),1)="-"),999),1)="%")),"0",""),"1",""),"2",""),"3",""),"4",""),"5",""),"6",""),"7",""),"8",""),"9",""),".",""),",","")=""),2,1))),1)</f>
        <v/>
      </c>
      <c r="BR64">
        <f>IFERROR(IF(ISNUMBER(INDEX(PASTE_ALL,15,46)),2,IF(TRIM(INDEX(PASTE_ALL,15,46))="",0,IF(AND(LEFT(MID(TRIM(INDEX(PASTE_ALL,15,46)),1+(LEFT(TRIM(INDEX(PASTE_ALL,15,46)),1)="-"),999),LEN(MID(TRIM(INDEX(PASTE_ALL,15,46)),1+(LEFT(TRIM(INDEX(PASTE_ALL,15,46)),1)="-"),999))-(RIGHT(MID(TRIM(INDEX(PASTE_ALL,15,46)),1+(LEFT(TRIM(INDEX(PASTE_ALL,15,46)),1)="-"),999),1)="%"))&lt;&gt;"",SUBSTITUTE(SUBSTITUTE(SUBSTITUTE(SUBSTITUTE(SUBSTITUTE(SUBSTITUTE(SUBSTITUTE(SUBSTITUTE(SUBSTITUTE(SUBSTITUTE(SUBSTITUTE(SUBSTITUTE(LEFT(MID(TRIM(INDEX(PASTE_ALL,15,46)),1+(LEFT(TRIM(INDEX(PASTE_ALL,15,46)),1)="-"),999),LEN(MID(TRIM(INDEX(PASTE_ALL,15,46)),1+(LEFT(TRIM(INDEX(PASTE_ALL,15,46)),1)="-"),999))-(RIGHT(MID(TRIM(INDEX(PASTE_ALL,15,46)),1+(LEFT(TRIM(INDEX(PASTE_ALL,15,46)),1)="-"),999),1)="%")),"0",""),"1",""),"2",""),"3",""),"4",""),"5",""),"6",""),"7",""),"8",""),"9",""),".",""),",","")=""),2,1))),1)</f>
        <v/>
      </c>
      <c r="BS64">
        <f>IFERROR(IF(ISNUMBER(INDEX(PASTE_ALL,15,47)),2,IF(TRIM(INDEX(PASTE_ALL,15,47))="",0,IF(AND(LEFT(MID(TRIM(INDEX(PASTE_ALL,15,47)),1+(LEFT(TRIM(INDEX(PASTE_ALL,15,47)),1)="-"),999),LEN(MID(TRIM(INDEX(PASTE_ALL,15,47)),1+(LEFT(TRIM(INDEX(PASTE_ALL,15,47)),1)="-"),999))-(RIGHT(MID(TRIM(INDEX(PASTE_ALL,15,47)),1+(LEFT(TRIM(INDEX(PASTE_ALL,15,47)),1)="-"),999),1)="%"))&lt;&gt;"",SUBSTITUTE(SUBSTITUTE(SUBSTITUTE(SUBSTITUTE(SUBSTITUTE(SUBSTITUTE(SUBSTITUTE(SUBSTITUTE(SUBSTITUTE(SUBSTITUTE(SUBSTITUTE(SUBSTITUTE(LEFT(MID(TRIM(INDEX(PASTE_ALL,15,47)),1+(LEFT(TRIM(INDEX(PASTE_ALL,15,47)),1)="-"),999),LEN(MID(TRIM(INDEX(PASTE_ALL,15,47)),1+(LEFT(TRIM(INDEX(PASTE_ALL,15,47)),1)="-"),999))-(RIGHT(MID(TRIM(INDEX(PASTE_ALL,15,47)),1+(LEFT(TRIM(INDEX(PASTE_ALL,15,47)),1)="-"),999),1)="%")),"0",""),"1",""),"2",""),"3",""),"4",""),"5",""),"6",""),"7",""),"8",""),"9",""),".",""),",","")=""),2,1))),1)</f>
        <v/>
      </c>
      <c r="BT64">
        <f>IFERROR(IF(ISNUMBER(INDEX(PASTE_ALL,15,48)),2,IF(TRIM(INDEX(PASTE_ALL,15,48))="",0,IF(AND(LEFT(MID(TRIM(INDEX(PASTE_ALL,15,48)),1+(LEFT(TRIM(INDEX(PASTE_ALL,15,48)),1)="-"),999),LEN(MID(TRIM(INDEX(PASTE_ALL,15,48)),1+(LEFT(TRIM(INDEX(PASTE_ALL,15,48)),1)="-"),999))-(RIGHT(MID(TRIM(INDEX(PASTE_ALL,15,48)),1+(LEFT(TRIM(INDEX(PASTE_ALL,15,48)),1)="-"),999),1)="%"))&lt;&gt;"",SUBSTITUTE(SUBSTITUTE(SUBSTITUTE(SUBSTITUTE(SUBSTITUTE(SUBSTITUTE(SUBSTITUTE(SUBSTITUTE(SUBSTITUTE(SUBSTITUTE(SUBSTITUTE(SUBSTITUTE(LEFT(MID(TRIM(INDEX(PASTE_ALL,15,48)),1+(LEFT(TRIM(INDEX(PASTE_ALL,15,48)),1)="-"),999),LEN(MID(TRIM(INDEX(PASTE_ALL,15,48)),1+(LEFT(TRIM(INDEX(PASTE_ALL,15,48)),1)="-"),999))-(RIGHT(MID(TRIM(INDEX(PASTE_ALL,15,48)),1+(LEFT(TRIM(INDEX(PASTE_ALL,15,48)),1)="-"),999),1)="%")),"0",""),"1",""),"2",""),"3",""),"4",""),"5",""),"6",""),"7",""),"8",""),"9",""),".",""),",","")=""),2,1))),1)</f>
        <v/>
      </c>
      <c r="BU64">
        <f>IFERROR(IF(ISNUMBER(INDEX(PASTE_ALL,15,49)),2,IF(TRIM(INDEX(PASTE_ALL,15,49))="",0,IF(AND(LEFT(MID(TRIM(INDEX(PASTE_ALL,15,49)),1+(LEFT(TRIM(INDEX(PASTE_ALL,15,49)),1)="-"),999),LEN(MID(TRIM(INDEX(PASTE_ALL,15,49)),1+(LEFT(TRIM(INDEX(PASTE_ALL,15,49)),1)="-"),999))-(RIGHT(MID(TRIM(INDEX(PASTE_ALL,15,49)),1+(LEFT(TRIM(INDEX(PASTE_ALL,15,49)),1)="-"),999),1)="%"))&lt;&gt;"",SUBSTITUTE(SUBSTITUTE(SUBSTITUTE(SUBSTITUTE(SUBSTITUTE(SUBSTITUTE(SUBSTITUTE(SUBSTITUTE(SUBSTITUTE(SUBSTITUTE(SUBSTITUTE(SUBSTITUTE(LEFT(MID(TRIM(INDEX(PASTE_ALL,15,49)),1+(LEFT(TRIM(INDEX(PASTE_ALL,15,49)),1)="-"),999),LEN(MID(TRIM(INDEX(PASTE_ALL,15,49)),1+(LEFT(TRIM(INDEX(PASTE_ALL,15,49)),1)="-"),999))-(RIGHT(MID(TRIM(INDEX(PASTE_ALL,15,49)),1+(LEFT(TRIM(INDEX(PASTE_ALL,15,49)),1)="-"),999),1)="%")),"0",""),"1",""),"2",""),"3",""),"4",""),"5",""),"6",""),"7",""),"8",""),"9",""),".",""),",","")=""),2,1))),1)</f>
        <v/>
      </c>
      <c r="BV64">
        <f>IFERROR(IF(ISNUMBER(INDEX(PASTE_ALL,15,50)),2,IF(TRIM(INDEX(PASTE_ALL,15,50))="",0,IF(AND(LEFT(MID(TRIM(INDEX(PASTE_ALL,15,50)),1+(LEFT(TRIM(INDEX(PASTE_ALL,15,50)),1)="-"),999),LEN(MID(TRIM(INDEX(PASTE_ALL,15,50)),1+(LEFT(TRIM(INDEX(PASTE_ALL,15,50)),1)="-"),999))-(RIGHT(MID(TRIM(INDEX(PASTE_ALL,15,50)),1+(LEFT(TRIM(INDEX(PASTE_ALL,15,50)),1)="-"),999),1)="%"))&lt;&gt;"",SUBSTITUTE(SUBSTITUTE(SUBSTITUTE(SUBSTITUTE(SUBSTITUTE(SUBSTITUTE(SUBSTITUTE(SUBSTITUTE(SUBSTITUTE(SUBSTITUTE(SUBSTITUTE(SUBSTITUTE(LEFT(MID(TRIM(INDEX(PASTE_ALL,15,50)),1+(LEFT(TRIM(INDEX(PASTE_ALL,15,50)),1)="-"),999),LEN(MID(TRIM(INDEX(PASTE_ALL,15,50)),1+(LEFT(TRIM(INDEX(PASTE_ALL,15,50)),1)="-"),999))-(RIGHT(MID(TRIM(INDEX(PASTE_ALL,15,50)),1+(LEFT(TRIM(INDEX(PASTE_ALL,15,50)),1)="-"),999),1)="%")),"0",""),"1",""),"2",""),"3",""),"4",""),"5",""),"6",""),"7",""),"8",""),"9",""),".",""),",","")=""),2,1))),1)</f>
        <v/>
      </c>
      <c r="BW64">
        <f>IFERROR(IF(ISNUMBER(INDEX(PASTE_ALL,15,51)),2,IF(TRIM(INDEX(PASTE_ALL,15,51))="",0,IF(AND(LEFT(MID(TRIM(INDEX(PASTE_ALL,15,51)),1+(LEFT(TRIM(INDEX(PASTE_ALL,15,51)),1)="-"),999),LEN(MID(TRIM(INDEX(PASTE_ALL,15,51)),1+(LEFT(TRIM(INDEX(PASTE_ALL,15,51)),1)="-"),999))-(RIGHT(MID(TRIM(INDEX(PASTE_ALL,15,51)),1+(LEFT(TRIM(INDEX(PASTE_ALL,15,51)),1)="-"),999),1)="%"))&lt;&gt;"",SUBSTITUTE(SUBSTITUTE(SUBSTITUTE(SUBSTITUTE(SUBSTITUTE(SUBSTITUTE(SUBSTITUTE(SUBSTITUTE(SUBSTITUTE(SUBSTITUTE(SUBSTITUTE(SUBSTITUTE(LEFT(MID(TRIM(INDEX(PASTE_ALL,15,51)),1+(LEFT(TRIM(INDEX(PASTE_ALL,15,51)),1)="-"),999),LEN(MID(TRIM(INDEX(PASTE_ALL,15,51)),1+(LEFT(TRIM(INDEX(PASTE_ALL,15,51)),1)="-"),999))-(RIGHT(MID(TRIM(INDEX(PASTE_ALL,15,51)),1+(LEFT(TRIM(INDEX(PASTE_ALL,15,51)),1)="-"),999),1)="%")),"0",""),"1",""),"2",""),"3",""),"4",""),"5",""),"6",""),"7",""),"8",""),"9",""),".",""),",","")=""),2,1))),1)</f>
        <v/>
      </c>
      <c r="BX64">
        <f>IFERROR(IF(ISNUMBER(INDEX(PASTE_ALL,15,52)),2,IF(TRIM(INDEX(PASTE_ALL,15,52))="",0,IF(AND(LEFT(MID(TRIM(INDEX(PASTE_ALL,15,52)),1+(LEFT(TRIM(INDEX(PASTE_ALL,15,52)),1)="-"),999),LEN(MID(TRIM(INDEX(PASTE_ALL,15,52)),1+(LEFT(TRIM(INDEX(PASTE_ALL,15,52)),1)="-"),999))-(RIGHT(MID(TRIM(INDEX(PASTE_ALL,15,52)),1+(LEFT(TRIM(INDEX(PASTE_ALL,15,52)),1)="-"),999),1)="%"))&lt;&gt;"",SUBSTITUTE(SUBSTITUTE(SUBSTITUTE(SUBSTITUTE(SUBSTITUTE(SUBSTITUTE(SUBSTITUTE(SUBSTITUTE(SUBSTITUTE(SUBSTITUTE(SUBSTITUTE(SUBSTITUTE(LEFT(MID(TRIM(INDEX(PASTE_ALL,15,52)),1+(LEFT(TRIM(INDEX(PASTE_ALL,15,52)),1)="-"),999),LEN(MID(TRIM(INDEX(PASTE_ALL,15,52)),1+(LEFT(TRIM(INDEX(PASTE_ALL,15,52)),1)="-"),999))-(RIGHT(MID(TRIM(INDEX(PASTE_ALL,15,52)),1+(LEFT(TRIM(INDEX(PASTE_ALL,15,52)),1)="-"),999),1)="%")),"0",""),"1",""),"2",""),"3",""),"4",""),"5",""),"6",""),"7",""),"8",""),"9",""),".",""),",","")=""),2,1))),1)</f>
        <v/>
      </c>
      <c r="BY64">
        <f>IFERROR(IF(ISNUMBER(INDEX(PASTE_ALL,15,53)),2,IF(TRIM(INDEX(PASTE_ALL,15,53))="",0,IF(AND(LEFT(MID(TRIM(INDEX(PASTE_ALL,15,53)),1+(LEFT(TRIM(INDEX(PASTE_ALL,15,53)),1)="-"),999),LEN(MID(TRIM(INDEX(PASTE_ALL,15,53)),1+(LEFT(TRIM(INDEX(PASTE_ALL,15,53)),1)="-"),999))-(RIGHT(MID(TRIM(INDEX(PASTE_ALL,15,53)),1+(LEFT(TRIM(INDEX(PASTE_ALL,15,53)),1)="-"),999),1)="%"))&lt;&gt;"",SUBSTITUTE(SUBSTITUTE(SUBSTITUTE(SUBSTITUTE(SUBSTITUTE(SUBSTITUTE(SUBSTITUTE(SUBSTITUTE(SUBSTITUTE(SUBSTITUTE(SUBSTITUTE(SUBSTITUTE(LEFT(MID(TRIM(INDEX(PASTE_ALL,15,53)),1+(LEFT(TRIM(INDEX(PASTE_ALL,15,53)),1)="-"),999),LEN(MID(TRIM(INDEX(PASTE_ALL,15,53)),1+(LEFT(TRIM(INDEX(PASTE_ALL,15,53)),1)="-"),999))-(RIGHT(MID(TRIM(INDEX(PASTE_ALL,15,53)),1+(LEFT(TRIM(INDEX(PASTE_ALL,15,53)),1)="-"),999),1)="%")),"0",""),"1",""),"2",""),"3",""),"4",""),"5",""),"6",""),"7",""),"8",""),"9",""),".",""),",","")=""),2,1))),1)</f>
        <v/>
      </c>
      <c r="BZ64">
        <f>IFERROR(IF(ISNUMBER(INDEX(PASTE_ALL,15,54)),2,IF(TRIM(INDEX(PASTE_ALL,15,54))="",0,IF(AND(LEFT(MID(TRIM(INDEX(PASTE_ALL,15,54)),1+(LEFT(TRIM(INDEX(PASTE_ALL,15,54)),1)="-"),999),LEN(MID(TRIM(INDEX(PASTE_ALL,15,54)),1+(LEFT(TRIM(INDEX(PASTE_ALL,15,54)),1)="-"),999))-(RIGHT(MID(TRIM(INDEX(PASTE_ALL,15,54)),1+(LEFT(TRIM(INDEX(PASTE_ALL,15,54)),1)="-"),999),1)="%"))&lt;&gt;"",SUBSTITUTE(SUBSTITUTE(SUBSTITUTE(SUBSTITUTE(SUBSTITUTE(SUBSTITUTE(SUBSTITUTE(SUBSTITUTE(SUBSTITUTE(SUBSTITUTE(SUBSTITUTE(SUBSTITUTE(LEFT(MID(TRIM(INDEX(PASTE_ALL,15,54)),1+(LEFT(TRIM(INDEX(PASTE_ALL,15,54)),1)="-"),999),LEN(MID(TRIM(INDEX(PASTE_ALL,15,54)),1+(LEFT(TRIM(INDEX(PASTE_ALL,15,54)),1)="-"),999))-(RIGHT(MID(TRIM(INDEX(PASTE_ALL,15,54)),1+(LEFT(TRIM(INDEX(PASTE_ALL,15,54)),1)="-"),999),1)="%")),"0",""),"1",""),"2",""),"3",""),"4",""),"5",""),"6",""),"7",""),"8",""),"9",""),".",""),",","")=""),2,1))),1)</f>
        <v/>
      </c>
      <c r="CA64">
        <f>IFERROR(IF(ISNUMBER(INDEX(PASTE_ALL,15,55)),2,IF(TRIM(INDEX(PASTE_ALL,15,55))="",0,IF(AND(LEFT(MID(TRIM(INDEX(PASTE_ALL,15,55)),1+(LEFT(TRIM(INDEX(PASTE_ALL,15,55)),1)="-"),999),LEN(MID(TRIM(INDEX(PASTE_ALL,15,55)),1+(LEFT(TRIM(INDEX(PASTE_ALL,15,55)),1)="-"),999))-(RIGHT(MID(TRIM(INDEX(PASTE_ALL,15,55)),1+(LEFT(TRIM(INDEX(PASTE_ALL,15,55)),1)="-"),999),1)="%"))&lt;&gt;"",SUBSTITUTE(SUBSTITUTE(SUBSTITUTE(SUBSTITUTE(SUBSTITUTE(SUBSTITUTE(SUBSTITUTE(SUBSTITUTE(SUBSTITUTE(SUBSTITUTE(SUBSTITUTE(SUBSTITUTE(LEFT(MID(TRIM(INDEX(PASTE_ALL,15,55)),1+(LEFT(TRIM(INDEX(PASTE_ALL,15,55)),1)="-"),999),LEN(MID(TRIM(INDEX(PASTE_ALL,15,55)),1+(LEFT(TRIM(INDEX(PASTE_ALL,15,55)),1)="-"),999))-(RIGHT(MID(TRIM(INDEX(PASTE_ALL,15,55)),1+(LEFT(TRIM(INDEX(PASTE_ALL,15,55)),1)="-"),999),1)="%")),"0",""),"1",""),"2",""),"3",""),"4",""),"5",""),"6",""),"7",""),"8",""),"9",""),".",""),",","")=""),2,1))),1)</f>
        <v/>
      </c>
      <c r="CB64">
        <f>IFERROR(IF(ISNUMBER(INDEX(PASTE_ALL,15,56)),2,IF(TRIM(INDEX(PASTE_ALL,15,56))="",0,IF(AND(LEFT(MID(TRIM(INDEX(PASTE_ALL,15,56)),1+(LEFT(TRIM(INDEX(PASTE_ALL,15,56)),1)="-"),999),LEN(MID(TRIM(INDEX(PASTE_ALL,15,56)),1+(LEFT(TRIM(INDEX(PASTE_ALL,15,56)),1)="-"),999))-(RIGHT(MID(TRIM(INDEX(PASTE_ALL,15,56)),1+(LEFT(TRIM(INDEX(PASTE_ALL,15,56)),1)="-"),999),1)="%"))&lt;&gt;"",SUBSTITUTE(SUBSTITUTE(SUBSTITUTE(SUBSTITUTE(SUBSTITUTE(SUBSTITUTE(SUBSTITUTE(SUBSTITUTE(SUBSTITUTE(SUBSTITUTE(SUBSTITUTE(SUBSTITUTE(LEFT(MID(TRIM(INDEX(PASTE_ALL,15,56)),1+(LEFT(TRIM(INDEX(PASTE_ALL,15,56)),1)="-"),999),LEN(MID(TRIM(INDEX(PASTE_ALL,15,56)),1+(LEFT(TRIM(INDEX(PASTE_ALL,15,56)),1)="-"),999))-(RIGHT(MID(TRIM(INDEX(PASTE_ALL,15,56)),1+(LEFT(TRIM(INDEX(PASTE_ALL,15,56)),1)="-"),999),1)="%")),"0",""),"1",""),"2",""),"3",""),"4",""),"5",""),"6",""),"7",""),"8",""),"9",""),".",""),",","")=""),2,1))),1)</f>
        <v/>
      </c>
      <c r="CC64">
        <f>IFERROR(IF(ISNUMBER(INDEX(PASTE_ALL,15,57)),2,IF(TRIM(INDEX(PASTE_ALL,15,57))="",0,IF(AND(LEFT(MID(TRIM(INDEX(PASTE_ALL,15,57)),1+(LEFT(TRIM(INDEX(PASTE_ALL,15,57)),1)="-"),999),LEN(MID(TRIM(INDEX(PASTE_ALL,15,57)),1+(LEFT(TRIM(INDEX(PASTE_ALL,15,57)),1)="-"),999))-(RIGHT(MID(TRIM(INDEX(PASTE_ALL,15,57)),1+(LEFT(TRIM(INDEX(PASTE_ALL,15,57)),1)="-"),999),1)="%"))&lt;&gt;"",SUBSTITUTE(SUBSTITUTE(SUBSTITUTE(SUBSTITUTE(SUBSTITUTE(SUBSTITUTE(SUBSTITUTE(SUBSTITUTE(SUBSTITUTE(SUBSTITUTE(SUBSTITUTE(SUBSTITUTE(LEFT(MID(TRIM(INDEX(PASTE_ALL,15,57)),1+(LEFT(TRIM(INDEX(PASTE_ALL,15,57)),1)="-"),999),LEN(MID(TRIM(INDEX(PASTE_ALL,15,57)),1+(LEFT(TRIM(INDEX(PASTE_ALL,15,57)),1)="-"),999))-(RIGHT(MID(TRIM(INDEX(PASTE_ALL,15,57)),1+(LEFT(TRIM(INDEX(PASTE_ALL,15,57)),1)="-"),999),1)="%")),"0",""),"1",""),"2",""),"3",""),"4",""),"5",""),"6",""),"7",""),"8",""),"9",""),".",""),",","")=""),2,1))),1)</f>
        <v/>
      </c>
      <c r="CD64">
        <f>IFERROR(IF(ISNUMBER(INDEX(PASTE_ALL,15,58)),2,IF(TRIM(INDEX(PASTE_ALL,15,58))="",0,IF(AND(LEFT(MID(TRIM(INDEX(PASTE_ALL,15,58)),1+(LEFT(TRIM(INDEX(PASTE_ALL,15,58)),1)="-"),999),LEN(MID(TRIM(INDEX(PASTE_ALL,15,58)),1+(LEFT(TRIM(INDEX(PASTE_ALL,15,58)),1)="-"),999))-(RIGHT(MID(TRIM(INDEX(PASTE_ALL,15,58)),1+(LEFT(TRIM(INDEX(PASTE_ALL,15,58)),1)="-"),999),1)="%"))&lt;&gt;"",SUBSTITUTE(SUBSTITUTE(SUBSTITUTE(SUBSTITUTE(SUBSTITUTE(SUBSTITUTE(SUBSTITUTE(SUBSTITUTE(SUBSTITUTE(SUBSTITUTE(SUBSTITUTE(SUBSTITUTE(LEFT(MID(TRIM(INDEX(PASTE_ALL,15,58)),1+(LEFT(TRIM(INDEX(PASTE_ALL,15,58)),1)="-"),999),LEN(MID(TRIM(INDEX(PASTE_ALL,15,58)),1+(LEFT(TRIM(INDEX(PASTE_ALL,15,58)),1)="-"),999))-(RIGHT(MID(TRIM(INDEX(PASTE_ALL,15,58)),1+(LEFT(TRIM(INDEX(PASTE_ALL,15,58)),1)="-"),999),1)="%")),"0",""),"1",""),"2",""),"3",""),"4",""),"5",""),"6",""),"7",""),"8",""),"9",""),".",""),",","")=""),2,1))),1)</f>
        <v/>
      </c>
      <c r="CE64">
        <f>IFERROR(IF(ISNUMBER(INDEX(PASTE_ALL,15,59)),2,IF(TRIM(INDEX(PASTE_ALL,15,59))="",0,IF(AND(LEFT(MID(TRIM(INDEX(PASTE_ALL,15,59)),1+(LEFT(TRIM(INDEX(PASTE_ALL,15,59)),1)="-"),999),LEN(MID(TRIM(INDEX(PASTE_ALL,15,59)),1+(LEFT(TRIM(INDEX(PASTE_ALL,15,59)),1)="-"),999))-(RIGHT(MID(TRIM(INDEX(PASTE_ALL,15,59)),1+(LEFT(TRIM(INDEX(PASTE_ALL,15,59)),1)="-"),999),1)="%"))&lt;&gt;"",SUBSTITUTE(SUBSTITUTE(SUBSTITUTE(SUBSTITUTE(SUBSTITUTE(SUBSTITUTE(SUBSTITUTE(SUBSTITUTE(SUBSTITUTE(SUBSTITUTE(SUBSTITUTE(SUBSTITUTE(LEFT(MID(TRIM(INDEX(PASTE_ALL,15,59)),1+(LEFT(TRIM(INDEX(PASTE_ALL,15,59)),1)="-"),999),LEN(MID(TRIM(INDEX(PASTE_ALL,15,59)),1+(LEFT(TRIM(INDEX(PASTE_ALL,15,59)),1)="-"),999))-(RIGHT(MID(TRIM(INDEX(PASTE_ALL,15,59)),1+(LEFT(TRIM(INDEX(PASTE_ALL,15,59)),1)="-"),999),1)="%")),"0",""),"1",""),"2",""),"3",""),"4",""),"5",""),"6",""),"7",""),"8",""),"9",""),".",""),",","")=""),2,1))),1)</f>
        <v/>
      </c>
      <c r="CF64">
        <f>IFERROR(IF(ISNUMBER(INDEX(PASTE_ALL,15,60)),2,IF(TRIM(INDEX(PASTE_ALL,15,60))="",0,IF(AND(LEFT(MID(TRIM(INDEX(PASTE_ALL,15,60)),1+(LEFT(TRIM(INDEX(PASTE_ALL,15,60)),1)="-"),999),LEN(MID(TRIM(INDEX(PASTE_ALL,15,60)),1+(LEFT(TRIM(INDEX(PASTE_ALL,15,60)),1)="-"),999))-(RIGHT(MID(TRIM(INDEX(PASTE_ALL,15,60)),1+(LEFT(TRIM(INDEX(PASTE_ALL,15,60)),1)="-"),999),1)="%"))&lt;&gt;"",SUBSTITUTE(SUBSTITUTE(SUBSTITUTE(SUBSTITUTE(SUBSTITUTE(SUBSTITUTE(SUBSTITUTE(SUBSTITUTE(SUBSTITUTE(SUBSTITUTE(SUBSTITUTE(SUBSTITUTE(LEFT(MID(TRIM(INDEX(PASTE_ALL,15,60)),1+(LEFT(TRIM(INDEX(PASTE_ALL,15,60)),1)="-"),999),LEN(MID(TRIM(INDEX(PASTE_ALL,15,60)),1+(LEFT(TRIM(INDEX(PASTE_ALL,15,60)),1)="-"),999))-(RIGHT(MID(TRIM(INDEX(PASTE_ALL,15,60)),1+(LEFT(TRIM(INDEX(PASTE_ALL,15,60)),1)="-"),999),1)="%")),"0",""),"1",""),"2",""),"3",""),"4",""),"5",""),"6",""),"7",""),"8",""),"9",""),".",""),",","")=""),2,1))),1)</f>
        <v/>
      </c>
      <c r="DA64" t="n">
        <v>60</v>
      </c>
      <c r="DB64">
        <f>IF($B$37=0,"",IFERROR(TRIM(SUBSTITUTE(SUBSTITUTE(SUBSTITUTE(SUBSTITUTE(INDEX(PASTE_ALL,60,$B$37)," "," "),CHAR(9)," "),CHAR(10)," "),CHAR(13)," ")),""))</f>
        <v/>
      </c>
      <c r="DC64">
        <f>IF(AND(60&gt;HEADER_ROW,UPPER(DB64)="LEGEND"),1,0)</f>
        <v/>
      </c>
      <c r="DE64" t="n">
        <v>60</v>
      </c>
      <c r="DF64">
        <f>HEADER_ROW+$DE64</f>
        <v/>
      </c>
      <c r="DG64">
        <f>IF(AND($DF64&lt;=1000,$DF64&lt;$B$8),1,0)</f>
        <v/>
      </c>
      <c r="DH64">
        <f>IF($DG64=1,IFERROR(INDEX($DB$5:$DB$1004,$DF64),""),"")</f>
        <v/>
      </c>
      <c r="DI64">
        <f>IF(AND($DG64=1,$DH64&lt;&gt;""),IFERROR(SUBSTITUTE(SUBSTITUTE(TRIM(SUBSTITUTE(SUBSTITUTE(SUBSTITUTE(SUBSTITUTE(IFERROR(INDEX(PASTE_ALL,$DF64,1)&amp;"","")&amp;"␟"&amp;IFERROR(INDEX(PASTE_ALL,$DF64,2)&amp;"","")&amp;"␟"&amp;IFERROR(INDEX(PASTE_ALL,$DF64,3)&amp;"","")&amp;"␟"&amp;IFERROR(INDEX(PASTE_ALL,$DF64,4)&amp;"","")&amp;"␟"&amp;IFERROR(INDEX(PASTE_ALL,$DF64,5)&amp;"","")&amp;"␟"&amp;IFERROR(INDEX(PASTE_ALL,$DF64,6)&amp;"","")&amp;"␟"&amp;IFERROR(INDEX(PASTE_ALL,$DF64,7)&amp;"","")&amp;"␟"&amp;IFERROR(INDEX(PASTE_ALL,$DF64,8)&amp;"","")&amp;"␟"&amp;IFERROR(INDEX(PASTE_ALL,$DF64,9)&amp;"","")&amp;"␟"&amp;IFERROR(INDEX(PASTE_ALL,$DF64,10)&amp;"","")&amp;"␟"&amp;IFERROR(INDEX(PASTE_ALL,$DF64,11)&amp;"","")&amp;"␟"&amp;IFERROR(INDEX(PASTE_ALL,$DF64,12)&amp;"","")&amp;"␟"&amp;IFERROR(INDEX(PASTE_ALL,$DF64,13)&amp;"","")&amp;"␟"&amp;IFERROR(INDEX(PASTE_ALL,$DF64,14)&amp;"","")&amp;"␟"&amp;IFERROR(INDEX(PASTE_ALL,$DF64,15)&amp;"","")&amp;"␟"&amp;IFERROR(INDEX(PASTE_ALL,$DF64,16)&amp;"","")&amp;"␟"&amp;IFERROR(INDEX(PASTE_ALL,$DF64,17)&amp;"","")&amp;"␟"&amp;IFERROR(INDEX(PASTE_ALL,$DF64,18)&amp;"","")&amp;"␟"&amp;IFERROR(INDEX(PASTE_ALL,$DF64,19)&amp;"","")&amp;"␟"&amp;IFERROR(INDEX(PASTE_ALL,$DF64,20)&amp;"","")&amp;"␟"&amp;IFERROR(INDEX(PASTE_ALL,$DF64,21)&amp;"","")&amp;"␟"&amp;IFERROR(INDEX(PASTE_ALL,$DF64,22)&amp;"","")&amp;"␟"&amp;IFERROR(INDEX(PASTE_ALL,$DF64,23)&amp;"","")&amp;"␟"&amp;IFERROR(INDEX(PASTE_ALL,$DF64,24)&amp;"","")&amp;"␟"&amp;IFERROR(INDEX(PASTE_ALL,$DF64,25)&amp;"","")&amp;"␟"&amp;IFERROR(INDEX(PASTE_ALL,$DF64,26)&amp;"","")&amp;"␟"&amp;IFERROR(INDEX(PASTE_ALL,$DF64,27)&amp;"","")&amp;"␟"&amp;IFERROR(INDEX(PASTE_ALL,$DF64,28)&amp;"","")&amp;"␟"&amp;IFERROR(INDEX(PASTE_ALL,$DF64,29)&amp;"","")&amp;"␟"&amp;IFERROR(INDEX(PASTE_ALL,$DF64,30)&amp;"","")&amp;"␟"&amp;IFERROR(INDEX(PASTE_ALL,$DF64,31)&amp;"","")&amp;"␟"&amp;IFERROR(INDEX(PASTE_ALL,$DF64,32)&amp;"","")&amp;"␟"&amp;IFERROR(INDEX(PASTE_ALL,$DF64,33)&amp;"","")&amp;"␟"&amp;IFERROR(INDEX(PASTE_ALL,$DF64,34)&amp;"","")&amp;"␟"&amp;IFERROR(INDEX(PASTE_ALL,$DF64,35)&amp;"","")&amp;"␟"&amp;IFERROR(INDEX(PASTE_ALL,$DF64,36)&amp;"","")&amp;"␟"&amp;IFERROR(INDEX(PASTE_ALL,$DF64,37)&amp;"","")&amp;"␟"&amp;IFERROR(INDEX(PASTE_ALL,$DF64,38)&amp;"","")&amp;"␟"&amp;IFERROR(INDEX(PASTE_ALL,$DF64,39)&amp;"","")&amp;"␟"&amp;IFERROR(INDEX(PASTE_ALL,$DF64,40)&amp;"","")&amp;"␟"&amp;IFERROR(INDEX(PASTE_ALL,$DF64,41)&amp;"","")&amp;"␟"&amp;IFERROR(INDEX(PASTE_ALL,$DF64,42)&amp;"","")&amp;"␟"&amp;IFERROR(INDEX(PASTE_ALL,$DF64,43)&amp;"","")&amp;"␟"&amp;IFERROR(INDEX(PASTE_ALL,$DF64,44)&amp;"","")&amp;"␟"&amp;IFERROR(INDEX(PASTE_ALL,$DF64,45)&amp;"","")&amp;"␟"&amp;IFERROR(INDEX(PASTE_ALL,$DF64,46)&amp;"","")&amp;"␟"&amp;IFERROR(INDEX(PASTE_ALL,$DF64,47)&amp;"","")&amp;"␟"&amp;IFERROR(INDEX(PASTE_ALL,$DF64,48)&amp;"","")&amp;"␟"&amp;IFERROR(INDEX(PASTE_ALL,$DF64,49)&amp;"","")&amp;"␟"&amp;IFERROR(INDEX(PASTE_ALL,$DF64,50)&amp;"","")&amp;"␟"&amp;IFERROR(INDEX(PASTE_ALL,$DF64,51)&amp;"","")&amp;"␟"&amp;IFERROR(INDEX(PASTE_ALL,$DF64,52)&amp;"","")&amp;"␟"&amp;IFERROR(INDEX(PASTE_ALL,$DF64,53)&amp;"","")&amp;"␟"&amp;IFERROR(INDEX(PASTE_ALL,$DF64,54)&amp;"","")&amp;"␟"&amp;IFERROR(INDEX(PASTE_ALL,$DF64,55)&amp;"","")&amp;"␟"&amp;IFERROR(INDEX(PASTE_ALL,$DF64,56)&amp;"","")&amp;"␟"&amp;IFERROR(INDEX(PASTE_ALL,$DF64,57)&amp;"","")&amp;"␟"&amp;IFERROR(INDEX(PASTE_ALL,$DF64,58)&amp;"","")&amp;"␟"&amp;IFERROR(INDEX(PASTE_ALL,$DF64,59)&amp;"","")&amp;"␟"&amp;IFERROR(INDEX(PASTE_ALL,$DF64,60)&amp;"","")," "," "),CHAR(9)," "),CHAR(10)," "),CHAR(13)," "))," ␟","␟"),"␟ ","␟"),"#"&amp;$DE64),"")</f>
        <v/>
      </c>
      <c r="DJ64">
        <f>IF($DI64="",0,IF(SUMPRODUCT(--EXACT($DI$4:DI63,$DI64))&gt;0,1,0))</f>
        <v/>
      </c>
      <c r="DK64">
        <f>IF(AND($DI64&lt;&gt;"",$DJ64=0),1,0)</f>
        <v/>
      </c>
      <c r="DL64">
        <f>DL63+$DK64</f>
        <v/>
      </c>
      <c r="DM64">
        <f>IF(AND($DK64=1,$DL64&lt;=600),1,0)</f>
        <v/>
      </c>
      <c r="DN64">
        <f>IF($DM64=0,"",IF($L$6=0,"",IFERROR(IF(ISNUMBER(INDEX(PASTE_ALL,$DF64,$L$6)),INDEX(PASTE_ALL,$DF64,$L$6),TRIM(SUBSTITUTE(SUBSTITUTE(SUBSTITUTE(SUBSTITUTE(INDEX(PASTE_ALL,$DF64,$L$6)," "," "),CHAR(9)," "),CHAR(10)," "),CHAR(13)," "))),"")))</f>
        <v/>
      </c>
      <c r="DO64">
        <f>IF($DM64=0,"",IF($L$7=0,"",IFERROR(IF(ISNUMBER(INDEX(PASTE_ALL,$DF64,$L$7)),INDEX(PASTE_ALL,$DF64,$L$7),TRIM(SUBSTITUTE(SUBSTITUTE(SUBSTITUTE(SUBSTITUTE(INDEX(PASTE_ALL,$DF64,$L$7)," "," "),CHAR(9)," "),CHAR(10)," "),CHAR(13)," "))),"")))</f>
        <v/>
      </c>
      <c r="DP64">
        <f>IF($DM64=0,"",IF($L$8=0,"",IFERROR(IF(ISNUMBER(INDEX(PASTE_ALL,$DF64,$L$8)),INDEX(PASTE_ALL,$DF64,$L$8),TRIM(SUBSTITUTE(SUBSTITUTE(SUBSTITUTE(SUBSTITUTE(INDEX(PASTE_ALL,$DF64,$L$8)," "," "),CHAR(9)," "),CHAR(10)," "),CHAR(13)," "))),"")))</f>
        <v/>
      </c>
      <c r="DQ64">
        <f>IF($DM64=0,"",IF($L$9=0,"",IFERROR(IF(ISNUMBER(INDEX(PASTE_ALL,$DF64,$L$9)),INDEX(PASTE_ALL,$DF64,$L$9),TRIM(SUBSTITUTE(SUBSTITUTE(SUBSTITUTE(SUBSTITUTE(INDEX(PASTE_ALL,$DF64,$L$9)," "," "),CHAR(9)," "),CHAR(10)," "),CHAR(13)," "))),"")))</f>
        <v/>
      </c>
      <c r="DR64">
        <f>IF($DM64=0,"",IF($L$10=0,"",IFERROR(IF(ISNUMBER(INDEX(PASTE_ALL,$DF64,$L$10)),INDEX(PASTE_ALL,$DF64,$L$10),TRIM(SUBSTITUTE(SUBSTITUTE(SUBSTITUTE(SUBSTITUTE(INDEX(PASTE_ALL,$DF64,$L$10)," "," "),CHAR(9)," "),CHAR(10)," "),CHAR(13)," "))),"")))</f>
        <v/>
      </c>
      <c r="DS64">
        <f>IF($DM64=0,"",IF($L$11=0,"",IFERROR(IF(ISNUMBER(INDEX(PASTE_ALL,$DF64,$L$11)),INDEX(PASTE_ALL,$DF64,$L$11),TRIM(SUBSTITUTE(SUBSTITUTE(SUBSTITUTE(SUBSTITUTE(INDEX(PASTE_ALL,$DF64,$L$11)," "," "),CHAR(9)," "),CHAR(10)," "),CHAR(13)," "))),"")))</f>
        <v/>
      </c>
      <c r="DT64">
        <f>IF($DM64=0,"",IF($L$12=0,"",IFERROR(IF(ISNUMBER(INDEX(PASTE_ALL,$DF64,$L$12)),INDEX(PASTE_ALL,$DF64,$L$12),TRIM(SUBSTITUTE(SUBSTITUTE(SUBSTITUTE(SUBSTITUTE(INDEX(PASTE_ALL,$DF64,$L$12)," "," "),CHAR(9)," "),CHAR(10)," "),CHAR(13)," "))),"")))</f>
        <v/>
      </c>
      <c r="DU64">
        <f>IF($DM64=0,"",IF($L$13=0,"",IFERROR(IF(ISNUMBER(INDEX(PASTE_ALL,$DF64,$L$13)),INDEX(PASTE_ALL,$DF64,$L$13),TRIM(SUBSTITUTE(SUBSTITUTE(SUBSTITUTE(SUBSTITUTE(INDEX(PASTE_ALL,$DF64,$L$13)," "," "),CHAR(9)," "),CHAR(10)," "),CHAR(13)," "))),"")))</f>
        <v/>
      </c>
      <c r="DV64">
        <f>IF($DM64=0,"",IF($L$14=0,"",IFERROR(IF(ISNUMBER(INDEX(PASTE_ALL,$DF64,$L$14)),INDEX(PASTE_ALL,$DF64,$L$14),TRIM(SUBSTITUTE(SUBSTITUTE(SUBSTITUTE(SUBSTITUTE(INDEX(PASTE_ALL,$DF64,$L$14)," "," "),CHAR(9)," "),CHAR(10)," "),CHAR(13)," "))),"")))</f>
        <v/>
      </c>
      <c r="DW64">
        <f>IF($DM64=0,"",IF($L$15=0,"",IFERROR(IF(ISNUMBER(INDEX(PASTE_ALL,$DF64,$L$15)),INDEX(PASTE_ALL,$DF64,$L$15),IF(SUMPRODUCT(--ISNUMBER(FIND({"A","B","C","D","E","F","G","H","I","J","K","L","M","N","O","P","Q","R","S","T","U","V","W","X","Y","Z","0","1","2","3","4","5","6","7","8","9"},UPPER(TRIM(SUBSTITUTE(SUBSTITUTE(SUBSTITUTE(SUBSTITUTE(INDEX(PASTE_ALL,$DF64,$L$15)," "," "),CHAR(9)," "),CHAR(10)," "),CHAR(13)," "))))))&gt;0,TRIM(SUBSTITUTE(SUBSTITUTE(SUBSTITUTE(SUBSTITUTE(INDEX(PASTE_ALL,$DF64,$L$15)," "," "),CHAR(9)," "),CHAR(10)," "),CHAR(13)," ")),"")),"")))</f>
        <v/>
      </c>
      <c r="DX64">
        <f>IF($DM64=0,"",IF($L$16=0,"",IFERROR(IF(ISNUMBER(INDEX(PASTE_ALL,$DF64,$L$16)),INDEX(PASTE_ALL,$DF64,$L$16),SUBSTITUTE(SUBSTITUTE(TRIM(SUBSTITUTE(SUBSTITUTE(SUBSTITUTE(SUBSTITUTE(INDEX(PASTE_ALL,$DF64,$L$16)," "," "),CHAR(9)," "),CHAR(10)," "),CHAR(13)," ")),",",""),"%","")),"")))</f>
        <v/>
      </c>
      <c r="DY64">
        <f>IF($DM64=0,"",IFERROR(IF(ISNUMBER($DX64),$DX64,IF($DX64="","",IF(TRIM($DX64)="",0,IF(AND(AND(SUBSTITUTE(SUBSTITUTE(SUBSTITUTE(SUBSTITUTE(SUBSTITUTE(SUBSTITUTE(SUBSTITUTE(SUBSTITUTE(SUBSTITUTE(SUBSTITUTE(SUBSTITUTE(SUBSTITUTE(SUBSTITUTE(SUBSTITUTE(UPPER(TRIM($DX64)),"0",""),"1",""),"2",""),"3",""),"4",""),"5",""),"6",""),"7",""),"8",""),"9",""),".",""),"+",""),"-",""),"E","")="",LEN(SUBSTITUTE(SUBSTITUTE(MID(UPPER(TRIM($DX64)),1+OR(LEFT(UPPER(TRIM($DX64)),1)="+",LEFT(UPPER(TRIM($DX64)),1)="-"),999),"E+","E"),"E-","E"))=LEN(SUBSTITUTE(SUBSTITUTE(SUBSTITUTE(SUBSTITUTE(MID(UPPER(TRIM($DX64)),1+OR(LEFT(UPPER(TRIM($DX64)),1)="+",LEFT(UPPER(TRIM($DX64)),1)="-"),999),"E+","E"),"E-","E"),"+",""),"-","")),LEN(UPPER(TRIM($DX64)))-LEN(SUBSTITUTE(UPPER(TRIM($DX64)),"E",""))&lt;2,LEN(UPPER(TRIM($DX64)))-LEN(SUBSTITUTE(UPPER(TRIM($DX64)),".",""))&lt;2,IFERROR(FIND(".",UPPER(TRIM($DX64))),0)&lt;IFERROR(FIND("E",UPPER(TRIM($DX64))),999)),ISNUMBER(VALUE(TRIM($DX64)))),VALUE(TRIM($DX64)),"")))),""))</f>
        <v/>
      </c>
      <c r="DZ64">
        <f>IF($DM64=0,"",IF($L$17=0,"",IFERROR(IF(ISNUMBER(INDEX(PASTE_ALL,$DF64,$L$17)),INDEX(PASTE_ALL,$DF64,$L$17),SUBSTITUTE(SUBSTITUTE(TRIM(SUBSTITUTE(SUBSTITUTE(SUBSTITUTE(SUBSTITUTE(INDEX(PASTE_ALL,$DF64,$L$17)," "," "),CHAR(9)," "),CHAR(10)," "),CHAR(13)," ")),",",""),"%","")),"")))</f>
        <v/>
      </c>
      <c r="EA64">
        <f>IF($DM64=0,"",IFERROR(IF(ISNUMBER($DZ64),$DZ64,IF($DZ64="","",IF(TRIM($DZ64)="",0,IF(AND(AND(SUBSTITUTE(SUBSTITUTE(SUBSTITUTE(SUBSTITUTE(SUBSTITUTE(SUBSTITUTE(SUBSTITUTE(SUBSTITUTE(SUBSTITUTE(SUBSTITUTE(SUBSTITUTE(SUBSTITUTE(SUBSTITUTE(SUBSTITUTE(UPPER(TRIM($DZ64)),"0",""),"1",""),"2",""),"3",""),"4",""),"5",""),"6",""),"7",""),"8",""),"9",""),".",""),"+",""),"-",""),"E","")="",LEN(SUBSTITUTE(SUBSTITUTE(MID(UPPER(TRIM($DZ64)),1+OR(LEFT(UPPER(TRIM($DZ64)),1)="+",LEFT(UPPER(TRIM($DZ64)),1)="-"),999),"E+","E"),"E-","E"))=LEN(SUBSTITUTE(SUBSTITUTE(SUBSTITUTE(SUBSTITUTE(MID(UPPER(TRIM($DZ64)),1+OR(LEFT(UPPER(TRIM($DZ64)),1)="+",LEFT(UPPER(TRIM($DZ64)),1)="-"),999),"E+","E"),"E-","E"),"+",""),"-","")),LEN(UPPER(TRIM($DZ64)))-LEN(SUBSTITUTE(UPPER(TRIM($DZ64)),"E",""))&lt;2,LEN(UPPER(TRIM($DZ64)))-LEN(SUBSTITUTE(UPPER(TRIM($DZ64)),".",""))&lt;2,IFERROR(FIND(".",UPPER(TRIM($DZ64))),0)&lt;IFERROR(FIND("E",UPPER(TRIM($DZ64))),999)),ISNUMBER(VALUE(TRIM($DZ64)))),VALUE(TRIM($DZ64)),"")))),""))</f>
        <v/>
      </c>
      <c r="EB64">
        <f>IF($DM64=0,"",IF($L$18=0,"",IFERROR(IF(UPPER(TRIM(SUBSTITUTE(SUBSTITUTE(SUBSTITUTE(SUBSTITUTE(INDEX(PASTE_ALL,$DF64,$L$18)," "," "),CHAR(9)," "),CHAR(10)," "),CHAR(13)," ")))="READY","Ready",IF(UPPER(TRIM(SUBSTITUTE(SUBSTITUTE(SUBSTITUTE(SUBSTITUTE(INDEX(PASTE_ALL,$DF64,$L$18)," "," "),CHAR(9)," "),CHAR(10)," "),CHAR(13)," ")))="PM","PM",IF(OR(UPPER(TRIM(SUBSTITUTE(SUBSTITUTE(SUBSTITUTE(SUBSTITUTE(INDEX(PASTE_ALL,$DF64,$L$18)," "," "),CHAR(9)," "),CHAR(10)," "),CHAR(13)," ")))="OT",UPPER(TRIM(SUBSTITUTE(SUBSTITUTE(SUBSTITUTE(SUBSTITUTE(INDEX(PASTE_ALL,$DF64,$L$18)," "," "),CHAR(9)," "),CHAR(10)," "),CHAR(13)," ")))="OVERTIME",UPPER(TRIM(SUBSTITUTE(SUBSTITUTE(SUBSTITUTE(SUBSTITUTE(INDEX(PASTE_ALL,$DF64,$L$18)," "," "),CHAR(9)," "),CHAR(10)," "),CHAR(13)," ")))="TRIAL"),"OT",TRIM(SUBSTITUTE(SUBSTITUTE(SUBSTITUTE(SUBSTITUTE(INDEX(PASTE_ALL,$DF64,$L$18)," "," "),CHAR(9)," "),CHAR(10)," "),CHAR(13)," "))))),"")))</f>
        <v/>
      </c>
      <c r="EC64">
        <f>IF($DM64=0,"",IF($L$19=0,"",IFERROR(IF(ISNUMBER(INDEX(PASTE_ALL,$DF64,$L$19)),INDEX(PASTE_ALL,$DF64,$L$19),TRIM(SUBSTITUTE(SUBSTITUTE(SUBSTITUTE(SUBSTITUTE(INDEX(PASTE_ALL,$DF64,$L$19)," "," "),CHAR(9)," "),CHAR(10)," "),CHAR(13)," "))),"")))</f>
        <v/>
      </c>
      <c r="ED64">
        <f>IF($DM64=0,"",MATCH(1,INDEX(EXACT($DH$5:DH64,$DH64)*$DM$5:DM64,0),0))</f>
        <v/>
      </c>
      <c r="EE64">
        <f>IF($DM64=0,0,IF($ED64=$DE64,1,0))</f>
        <v/>
      </c>
      <c r="EF64">
        <f>EF63+$EE64</f>
        <v/>
      </c>
      <c r="EG64">
        <f>IF($DM64=0,"",INDEX($EF$5:$EF$1003,$ED64))</f>
        <v/>
      </c>
      <c r="EH64">
        <f>IF($DM64=0,"",IF($DO64&lt;&gt;"","",IFERROR(LOOKUP(2,1/(($EG$4:EG63=$EG64)*($DO$4:DO63&lt;&gt;"")),$DO$4:DO63),"")))</f>
        <v/>
      </c>
      <c r="EI64">
        <f>IF($DM64=0,"",IF($DO64&lt;&gt;"",$DO64,$EH64))</f>
        <v/>
      </c>
      <c r="EJ64">
        <f>IF($DM64=0,"",IF($EI64="",0,IF(OR(ISNUMBER($EI64),AND(AND(SUBSTITUTE(SUBSTITUTE(SUBSTITUTE(SUBSTITUTE(SUBSTITUTE(SUBSTITUTE(SUBSTITUTE(SUBSTITUTE(SUBSTITUTE(SUBSTITUTE(SUBSTITUTE(SUBSTITUTE(SUBSTITUTE(SUBSTITUTE(UPPER($EI64),"0",""),"1",""),"2",""),"3",""),"4",""),"5",""),"6",""),"7",""),"8",""),"9",""),".",""),"+",""),"-",""),"E","")="",LEN(SUBSTITUTE(SUBSTITUTE(MID(UPPER($EI64),1+OR(LEFT(UPPER($EI64),1)="+",LEFT(UPPER($EI64),1)="-"),999),"E+","E"),"E-","E"))=LEN(SUBSTITUTE(SUBSTITUTE(SUBSTITUTE(SUBSTITUTE(MID(UPPER($EI64),1+OR(LEFT(UPPER($EI64),1)="+",LEFT(UPPER($EI64),1)="-"),999),"E+","E"),"E-","E"),"+",""),"-","")),LEN(UPPER($EI64))-LEN(SUBSTITUTE(UPPER($EI64),"E",""))&lt;2,LEN(UPPER($EI64))-LEN(SUBSTITUTE(UPPER($EI64),".",""))&lt;2,IFERROR(FIND(".",UPPER($EI64)),0)&lt;IFERROR(FIND("E",UPPER($EI64)),999)),ISNUMBER(VALUE($EI64)))),1,2)))</f>
        <v/>
      </c>
      <c r="EK64">
        <f>IF($DM64=0,"",IF($EJ64=1,IF(ISNUMBER($EI64),$EI64,VALUE($EI64)),IF($EJ64=2,$DE64,0)))</f>
        <v/>
      </c>
      <c r="EL64">
        <f>IF($DM64=0,"",COUNTIF($EG$5:$EG$1003,"&lt;"&amp;$EG64)+SUMPRODUCT(($EG$5:$EG$1003=$EG64)*(($EJ$5:$EJ$1003&lt;$EJ64)+($EJ$5:$EJ$1003=$EJ64)*(($EK$5:$EK$1003&lt;$EK64)+($EK$5:$EK$1003=$EK64)*($DE$5:$DE$1003&lt;$DE64))))+1)</f>
        <v/>
      </c>
      <c r="EM64">
        <f>IF($DM64=0,"",$EL64+$EG64-1)</f>
        <v/>
      </c>
      <c r="EN64">
        <f>IF($DM64=0,0,IFERROR(MATCH(1,INDEX(--(TRIM(SUBSTITUTE(SUBSTITUTE(SUBSTITUTE(SUBSTITUTE(LINES_NAME&amp;""," "," "),CHAR(9)," "),CHAR(10)," "),CHAR(13)," "))=$DH64),0),0),0))</f>
        <v/>
      </c>
      <c r="EO64">
        <f>IF($EN64=0,0,IF(OR(UPPER(TRIM(INDEX(LINES_SCHEDULED,$EN64)&amp;""))="YES",UPPER(TRIM(INDEX(LINES_SCHEDULED,$EN64)&amp;""))="Y",UPPER(TRIM(INDEX(LINES_SCHEDULED,$EN64)&amp;""))="X"),1,0))</f>
        <v/>
      </c>
      <c r="EP64">
        <f>IF($DM64=0,"",IF(COUNTIFS($EG$5:$EG$1003,$EG64,$EB$5:$EB$1003,"Ready")&gt;0,"READY",IF(COUNTIFS($EG$5:$EG$1003,$EG64,$EB$5:$EB$1003,"PM")&gt;0,"PM",IF(COUNTIFS($EG$5:$EG$1003,$EG64,$EB$5:$EB$1003,"OT")&gt;0,"OT",""))))</f>
        <v/>
      </c>
      <c r="EQ64">
        <f>IF($EN64=0,"",UPPER(TRIM(INDEX(LINES_STATUS,$EN64)&amp;"")))</f>
        <v/>
      </c>
      <c r="ER64">
        <f>IF($DM64=0,"",IF(OR($EQ64="READY",$EQ64="PM",$EQ64="OT"),$EQ64,$EP64))</f>
        <v/>
      </c>
      <c r="ES64">
        <f>IF($DM64=0,"",IF(AND($DV64&lt;&gt;"",UPPER($DV64)&lt;&gt;"N"),"allergen",IF(ISNUMBER(SEARCH("oil",$DQ64)),"oil",IF(OR(EXACT($DS64,"A662"),EXACT($DS64,"A624")),"bulk",""))))</f>
        <v/>
      </c>
      <c r="ET64">
        <f>IF($DM64=0,"",IF(OR($EA64="",$EA64=0),"",$EA64/100))</f>
        <v/>
      </c>
      <c r="EU64">
        <f>IF(OR($ET64="",$DY64=""),"",INT($DY64*(1-$ET64)+0.5))</f>
        <v/>
      </c>
      <c r="EW64" t="n">
        <v>60</v>
      </c>
      <c r="EX64">
        <f>IFERROR(MATCH($EW64,$EM$5:$EM$1003,0),0)</f>
        <v/>
      </c>
      <c r="EY64">
        <f>IF($EW64&gt;$B$12,"",IF($EX64&gt;0,"row","spacer"))</f>
        <v/>
      </c>
      <c r="EZ64">
        <f>IF(AND($EY64="row",$EY63&lt;&gt;"row"),1,0)</f>
        <v/>
      </c>
      <c r="FA64">
        <f>IF(AND($EY64="row",$EY65&lt;&gt;"row"),1,0)</f>
        <v/>
      </c>
      <c r="FB64">
        <f>IF($EZ64=1,IFERROR(IF(ISNUMBER(INDEX(PASTE_ALL,INDEX($DF$5:$DF$1003,$EX64),$B$37)),INDEX(PASTE_ALL,INDEX($DF$5:$DF$1003,$EX64),$B$37),INDEX($DH$5:$DH$1003,$EX64)),INDEX($DH$5:$DH$1003,$EX64)),"")</f>
        <v/>
      </c>
      <c r="FC64">
        <f>IF($EY64="row",INDEX($ER$5:$ER$1003,$EX64),"")</f>
        <v/>
      </c>
      <c r="FD64">
        <f>IF($EY64="row",INDEX($DN$5:$DN$1003,$EX64),"")</f>
        <v/>
      </c>
      <c r="FE64">
        <f>IF($EY64="row",INDEX($DO$5:$DO$1003,$EX64),"")</f>
        <v/>
      </c>
      <c r="FF64">
        <f>IF($EY64="row",INDEX($DP$5:$DP$1003,$EX64),"")</f>
        <v/>
      </c>
      <c r="FG64">
        <f>IF($EY64="row",INDEX($DQ$5:$DQ$1003,$EX64),"")</f>
        <v/>
      </c>
      <c r="FH64">
        <f>IF($EY64="row",INDEX($DR$5:$DR$1003,$EX64),"")</f>
        <v/>
      </c>
      <c r="FI64">
        <f>IF($EY64="row",INDEX($DS$5:$DS$1003,$EX64),"")</f>
        <v/>
      </c>
      <c r="FJ64">
        <f>IF($EY64="row",INDEX($DT$5:$DT$1003,$EX64),"")</f>
        <v/>
      </c>
      <c r="FK64">
        <f>IF($EY64="row",INDEX($DU$5:$DU$1003,$EX64),"")</f>
        <v/>
      </c>
      <c r="FL64">
        <f>IF($EY64="row",INDEX($DV$5:$DV$1003,$EX64),"")</f>
        <v/>
      </c>
      <c r="FM64">
        <f>IF($EY64="row",INDEX($DW$5:$DW$1003,$EX64),"")</f>
        <v/>
      </c>
      <c r="FN64">
        <f>IF($EY64="row",INDEX($DY$5:$DY$1003,$EX64),"")</f>
        <v/>
      </c>
      <c r="FO64">
        <f>IF($EY64="row",INDEX($EA$5:$EA$1003,$EX64),"")</f>
        <v/>
      </c>
      <c r="FP64">
        <f>IF($EY64="row",INDEX($EC$5:$EC$1003,$EX64),"")</f>
        <v/>
      </c>
      <c r="FQ64">
        <f>IF($EY64="row",INDEX($ET$5:$ET$1003,$EX64),"")</f>
        <v/>
      </c>
      <c r="FR64">
        <f>IF($EY64="row",INDEX($EU$5:$EU$1003,$EX64),"")</f>
        <v/>
      </c>
      <c r="FS64">
        <f>IF(AND($EY64="row",$EY63="row"),IF(OR(INDEX($DT$5:$DT$1003,$EX63)="",INDEX($DT$5:$DT$1003,$EX64)=""),"",IF(NOT(EXACT(INDEX($DT$5:$DT$1003,$EX63),INDEX($DT$5:$DT$1003,$EX64))),"S4",IF(NOT(EXACT(INDEX($DS$5:$DS$1003,$EX63),INDEX($DS$5:$DS$1003,$EX64))),"S3",IF(NOT(EXACT(INDEX($DR$5:$DR$1003,$EX63),INDEX($DR$5:$DR$1003,$EX64))),"S1 Count Change","S1")))),"")</f>
        <v/>
      </c>
      <c r="FT64">
        <f>IF($EY64="row",INDEX($ES$5:$ES$1003,$EX64),"")</f>
        <v/>
      </c>
      <c r="FU64">
        <f>IF($EY64="row",INDEX($EO$5:$EO$1003,$EX64),0)</f>
        <v/>
      </c>
      <c r="FV64">
        <f>IF($FS64="S1 Count Change",1,0)</f>
        <v/>
      </c>
      <c r="FX64" t="n">
        <v>60</v>
      </c>
      <c r="FY64">
        <f>IFERROR(MATCH($FX64,$EF$5:$EF$1003,0),0)</f>
        <v/>
      </c>
      <c r="FZ64">
        <f>IF($FY64=0,"",INDEX($DH$5:$DH$1003,$FY64))</f>
        <v/>
      </c>
      <c r="GA64">
        <f>IF($FY64=0,"",COUNTIF($EG$5:$EG$1003,$FX64))</f>
        <v/>
      </c>
      <c r="GB64">
        <f>IF($FY64=0,"",INDEX($ER$5:$ER$1003,$FY64))</f>
        <v/>
      </c>
      <c r="GC64">
        <f>IF($FY64=0,"",IF(INDEX($EO$5:$EO$1003,$FY64)=1,"Yes",""))</f>
        <v/>
      </c>
      <c r="GD64">
        <f>IF($FY64=0,"",IF(INDEX($EN$5:$EN$1003,$FY64)&gt;0,"","NOT IN YOUR LIST - type it in column A to tick it"))</f>
        <v/>
      </c>
      <c r="GE64">
        <f>IF(AND($FY64&gt;0,$GD64&lt;&gt;""),1,0)</f>
        <v/>
      </c>
      <c r="GF64">
        <f>GF63+$GE64</f>
        <v/>
      </c>
      <c r="GG64">
        <f>IFERROR(INDEX($FZ$5:$FZ$104,MATCH($FX64,$GF$5:$GF$104,0)),"")</f>
        <v/>
      </c>
    </row>
    <row r="65">
      <c r="V65" t="inlineStr">
        <is>
          <t>NOTES</t>
        </is>
      </c>
      <c r="W65" t="n">
        <v>11</v>
      </c>
      <c r="Y65">
        <f>IFERROR(IF(ISNUMBER(INDEX(PASTE_ALL,16,1)),2,IF(TRIM(INDEX(PASTE_ALL,16,1))="",0,IF(AND(LEFT(MID(TRIM(INDEX(PASTE_ALL,16,1)),1+(LEFT(TRIM(INDEX(PASTE_ALL,16,1)),1)="-"),999),LEN(MID(TRIM(INDEX(PASTE_ALL,16,1)),1+(LEFT(TRIM(INDEX(PASTE_ALL,16,1)),1)="-"),999))-(RIGHT(MID(TRIM(INDEX(PASTE_ALL,16,1)),1+(LEFT(TRIM(INDEX(PASTE_ALL,16,1)),1)="-"),999),1)="%"))&lt;&gt;"",SUBSTITUTE(SUBSTITUTE(SUBSTITUTE(SUBSTITUTE(SUBSTITUTE(SUBSTITUTE(SUBSTITUTE(SUBSTITUTE(SUBSTITUTE(SUBSTITUTE(SUBSTITUTE(SUBSTITUTE(LEFT(MID(TRIM(INDEX(PASTE_ALL,16,1)),1+(LEFT(TRIM(INDEX(PASTE_ALL,16,1)),1)="-"),999),LEN(MID(TRIM(INDEX(PASTE_ALL,16,1)),1+(LEFT(TRIM(INDEX(PASTE_ALL,16,1)),1)="-"),999))-(RIGHT(MID(TRIM(INDEX(PASTE_ALL,16,1)),1+(LEFT(TRIM(INDEX(PASTE_ALL,16,1)),1)="-"),999),1)="%")),"0",""),"1",""),"2",""),"3",""),"4",""),"5",""),"6",""),"7",""),"8",""),"9",""),".",""),",","")=""),2,1))),1)</f>
        <v/>
      </c>
      <c r="Z65">
        <f>IFERROR(IF(ISNUMBER(INDEX(PASTE_ALL,16,2)),2,IF(TRIM(INDEX(PASTE_ALL,16,2))="",0,IF(AND(LEFT(MID(TRIM(INDEX(PASTE_ALL,16,2)),1+(LEFT(TRIM(INDEX(PASTE_ALL,16,2)),1)="-"),999),LEN(MID(TRIM(INDEX(PASTE_ALL,16,2)),1+(LEFT(TRIM(INDEX(PASTE_ALL,16,2)),1)="-"),999))-(RIGHT(MID(TRIM(INDEX(PASTE_ALL,16,2)),1+(LEFT(TRIM(INDEX(PASTE_ALL,16,2)),1)="-"),999),1)="%"))&lt;&gt;"",SUBSTITUTE(SUBSTITUTE(SUBSTITUTE(SUBSTITUTE(SUBSTITUTE(SUBSTITUTE(SUBSTITUTE(SUBSTITUTE(SUBSTITUTE(SUBSTITUTE(SUBSTITUTE(SUBSTITUTE(LEFT(MID(TRIM(INDEX(PASTE_ALL,16,2)),1+(LEFT(TRIM(INDEX(PASTE_ALL,16,2)),1)="-"),999),LEN(MID(TRIM(INDEX(PASTE_ALL,16,2)),1+(LEFT(TRIM(INDEX(PASTE_ALL,16,2)),1)="-"),999))-(RIGHT(MID(TRIM(INDEX(PASTE_ALL,16,2)),1+(LEFT(TRIM(INDEX(PASTE_ALL,16,2)),1)="-"),999),1)="%")),"0",""),"1",""),"2",""),"3",""),"4",""),"5",""),"6",""),"7",""),"8",""),"9",""),".",""),",","")=""),2,1))),1)</f>
        <v/>
      </c>
      <c r="AA65">
        <f>IFERROR(IF(ISNUMBER(INDEX(PASTE_ALL,16,3)),2,IF(TRIM(INDEX(PASTE_ALL,16,3))="",0,IF(AND(LEFT(MID(TRIM(INDEX(PASTE_ALL,16,3)),1+(LEFT(TRIM(INDEX(PASTE_ALL,16,3)),1)="-"),999),LEN(MID(TRIM(INDEX(PASTE_ALL,16,3)),1+(LEFT(TRIM(INDEX(PASTE_ALL,16,3)),1)="-"),999))-(RIGHT(MID(TRIM(INDEX(PASTE_ALL,16,3)),1+(LEFT(TRIM(INDEX(PASTE_ALL,16,3)),1)="-"),999),1)="%"))&lt;&gt;"",SUBSTITUTE(SUBSTITUTE(SUBSTITUTE(SUBSTITUTE(SUBSTITUTE(SUBSTITUTE(SUBSTITUTE(SUBSTITUTE(SUBSTITUTE(SUBSTITUTE(SUBSTITUTE(SUBSTITUTE(LEFT(MID(TRIM(INDEX(PASTE_ALL,16,3)),1+(LEFT(TRIM(INDEX(PASTE_ALL,16,3)),1)="-"),999),LEN(MID(TRIM(INDEX(PASTE_ALL,16,3)),1+(LEFT(TRIM(INDEX(PASTE_ALL,16,3)),1)="-"),999))-(RIGHT(MID(TRIM(INDEX(PASTE_ALL,16,3)),1+(LEFT(TRIM(INDEX(PASTE_ALL,16,3)),1)="-"),999),1)="%")),"0",""),"1",""),"2",""),"3",""),"4",""),"5",""),"6",""),"7",""),"8",""),"9",""),".",""),",","")=""),2,1))),1)</f>
        <v/>
      </c>
      <c r="AB65">
        <f>IFERROR(IF(ISNUMBER(INDEX(PASTE_ALL,16,4)),2,IF(TRIM(INDEX(PASTE_ALL,16,4))="",0,IF(AND(LEFT(MID(TRIM(INDEX(PASTE_ALL,16,4)),1+(LEFT(TRIM(INDEX(PASTE_ALL,16,4)),1)="-"),999),LEN(MID(TRIM(INDEX(PASTE_ALL,16,4)),1+(LEFT(TRIM(INDEX(PASTE_ALL,16,4)),1)="-"),999))-(RIGHT(MID(TRIM(INDEX(PASTE_ALL,16,4)),1+(LEFT(TRIM(INDEX(PASTE_ALL,16,4)),1)="-"),999),1)="%"))&lt;&gt;"",SUBSTITUTE(SUBSTITUTE(SUBSTITUTE(SUBSTITUTE(SUBSTITUTE(SUBSTITUTE(SUBSTITUTE(SUBSTITUTE(SUBSTITUTE(SUBSTITUTE(SUBSTITUTE(SUBSTITUTE(LEFT(MID(TRIM(INDEX(PASTE_ALL,16,4)),1+(LEFT(TRIM(INDEX(PASTE_ALL,16,4)),1)="-"),999),LEN(MID(TRIM(INDEX(PASTE_ALL,16,4)),1+(LEFT(TRIM(INDEX(PASTE_ALL,16,4)),1)="-"),999))-(RIGHT(MID(TRIM(INDEX(PASTE_ALL,16,4)),1+(LEFT(TRIM(INDEX(PASTE_ALL,16,4)),1)="-"),999),1)="%")),"0",""),"1",""),"2",""),"3",""),"4",""),"5",""),"6",""),"7",""),"8",""),"9",""),".",""),",","")=""),2,1))),1)</f>
        <v/>
      </c>
      <c r="AC65">
        <f>IFERROR(IF(ISNUMBER(INDEX(PASTE_ALL,16,5)),2,IF(TRIM(INDEX(PASTE_ALL,16,5))="",0,IF(AND(LEFT(MID(TRIM(INDEX(PASTE_ALL,16,5)),1+(LEFT(TRIM(INDEX(PASTE_ALL,16,5)),1)="-"),999),LEN(MID(TRIM(INDEX(PASTE_ALL,16,5)),1+(LEFT(TRIM(INDEX(PASTE_ALL,16,5)),1)="-"),999))-(RIGHT(MID(TRIM(INDEX(PASTE_ALL,16,5)),1+(LEFT(TRIM(INDEX(PASTE_ALL,16,5)),1)="-"),999),1)="%"))&lt;&gt;"",SUBSTITUTE(SUBSTITUTE(SUBSTITUTE(SUBSTITUTE(SUBSTITUTE(SUBSTITUTE(SUBSTITUTE(SUBSTITUTE(SUBSTITUTE(SUBSTITUTE(SUBSTITUTE(SUBSTITUTE(LEFT(MID(TRIM(INDEX(PASTE_ALL,16,5)),1+(LEFT(TRIM(INDEX(PASTE_ALL,16,5)),1)="-"),999),LEN(MID(TRIM(INDEX(PASTE_ALL,16,5)),1+(LEFT(TRIM(INDEX(PASTE_ALL,16,5)),1)="-"),999))-(RIGHT(MID(TRIM(INDEX(PASTE_ALL,16,5)),1+(LEFT(TRIM(INDEX(PASTE_ALL,16,5)),1)="-"),999),1)="%")),"0",""),"1",""),"2",""),"3",""),"4",""),"5",""),"6",""),"7",""),"8",""),"9",""),".",""),",","")=""),2,1))),1)</f>
        <v/>
      </c>
      <c r="AD65">
        <f>IFERROR(IF(ISNUMBER(INDEX(PASTE_ALL,16,6)),2,IF(TRIM(INDEX(PASTE_ALL,16,6))="",0,IF(AND(LEFT(MID(TRIM(INDEX(PASTE_ALL,16,6)),1+(LEFT(TRIM(INDEX(PASTE_ALL,16,6)),1)="-"),999),LEN(MID(TRIM(INDEX(PASTE_ALL,16,6)),1+(LEFT(TRIM(INDEX(PASTE_ALL,16,6)),1)="-"),999))-(RIGHT(MID(TRIM(INDEX(PASTE_ALL,16,6)),1+(LEFT(TRIM(INDEX(PASTE_ALL,16,6)),1)="-"),999),1)="%"))&lt;&gt;"",SUBSTITUTE(SUBSTITUTE(SUBSTITUTE(SUBSTITUTE(SUBSTITUTE(SUBSTITUTE(SUBSTITUTE(SUBSTITUTE(SUBSTITUTE(SUBSTITUTE(SUBSTITUTE(SUBSTITUTE(LEFT(MID(TRIM(INDEX(PASTE_ALL,16,6)),1+(LEFT(TRIM(INDEX(PASTE_ALL,16,6)),1)="-"),999),LEN(MID(TRIM(INDEX(PASTE_ALL,16,6)),1+(LEFT(TRIM(INDEX(PASTE_ALL,16,6)),1)="-"),999))-(RIGHT(MID(TRIM(INDEX(PASTE_ALL,16,6)),1+(LEFT(TRIM(INDEX(PASTE_ALL,16,6)),1)="-"),999),1)="%")),"0",""),"1",""),"2",""),"3",""),"4",""),"5",""),"6",""),"7",""),"8",""),"9",""),".",""),",","")=""),2,1))),1)</f>
        <v/>
      </c>
      <c r="AE65">
        <f>IFERROR(IF(ISNUMBER(INDEX(PASTE_ALL,16,7)),2,IF(TRIM(INDEX(PASTE_ALL,16,7))="",0,IF(AND(LEFT(MID(TRIM(INDEX(PASTE_ALL,16,7)),1+(LEFT(TRIM(INDEX(PASTE_ALL,16,7)),1)="-"),999),LEN(MID(TRIM(INDEX(PASTE_ALL,16,7)),1+(LEFT(TRIM(INDEX(PASTE_ALL,16,7)),1)="-"),999))-(RIGHT(MID(TRIM(INDEX(PASTE_ALL,16,7)),1+(LEFT(TRIM(INDEX(PASTE_ALL,16,7)),1)="-"),999),1)="%"))&lt;&gt;"",SUBSTITUTE(SUBSTITUTE(SUBSTITUTE(SUBSTITUTE(SUBSTITUTE(SUBSTITUTE(SUBSTITUTE(SUBSTITUTE(SUBSTITUTE(SUBSTITUTE(SUBSTITUTE(SUBSTITUTE(LEFT(MID(TRIM(INDEX(PASTE_ALL,16,7)),1+(LEFT(TRIM(INDEX(PASTE_ALL,16,7)),1)="-"),999),LEN(MID(TRIM(INDEX(PASTE_ALL,16,7)),1+(LEFT(TRIM(INDEX(PASTE_ALL,16,7)),1)="-"),999))-(RIGHT(MID(TRIM(INDEX(PASTE_ALL,16,7)),1+(LEFT(TRIM(INDEX(PASTE_ALL,16,7)),1)="-"),999),1)="%")),"0",""),"1",""),"2",""),"3",""),"4",""),"5",""),"6",""),"7",""),"8",""),"9",""),".",""),",","")=""),2,1))),1)</f>
        <v/>
      </c>
      <c r="AF65">
        <f>IFERROR(IF(ISNUMBER(INDEX(PASTE_ALL,16,8)),2,IF(TRIM(INDEX(PASTE_ALL,16,8))="",0,IF(AND(LEFT(MID(TRIM(INDEX(PASTE_ALL,16,8)),1+(LEFT(TRIM(INDEX(PASTE_ALL,16,8)),1)="-"),999),LEN(MID(TRIM(INDEX(PASTE_ALL,16,8)),1+(LEFT(TRIM(INDEX(PASTE_ALL,16,8)),1)="-"),999))-(RIGHT(MID(TRIM(INDEX(PASTE_ALL,16,8)),1+(LEFT(TRIM(INDEX(PASTE_ALL,16,8)),1)="-"),999),1)="%"))&lt;&gt;"",SUBSTITUTE(SUBSTITUTE(SUBSTITUTE(SUBSTITUTE(SUBSTITUTE(SUBSTITUTE(SUBSTITUTE(SUBSTITUTE(SUBSTITUTE(SUBSTITUTE(SUBSTITUTE(SUBSTITUTE(LEFT(MID(TRIM(INDEX(PASTE_ALL,16,8)),1+(LEFT(TRIM(INDEX(PASTE_ALL,16,8)),1)="-"),999),LEN(MID(TRIM(INDEX(PASTE_ALL,16,8)),1+(LEFT(TRIM(INDEX(PASTE_ALL,16,8)),1)="-"),999))-(RIGHT(MID(TRIM(INDEX(PASTE_ALL,16,8)),1+(LEFT(TRIM(INDEX(PASTE_ALL,16,8)),1)="-"),999),1)="%")),"0",""),"1",""),"2",""),"3",""),"4",""),"5",""),"6",""),"7",""),"8",""),"9",""),".",""),",","")=""),2,1))),1)</f>
        <v/>
      </c>
      <c r="AG65">
        <f>IFERROR(IF(ISNUMBER(INDEX(PASTE_ALL,16,9)),2,IF(TRIM(INDEX(PASTE_ALL,16,9))="",0,IF(AND(LEFT(MID(TRIM(INDEX(PASTE_ALL,16,9)),1+(LEFT(TRIM(INDEX(PASTE_ALL,16,9)),1)="-"),999),LEN(MID(TRIM(INDEX(PASTE_ALL,16,9)),1+(LEFT(TRIM(INDEX(PASTE_ALL,16,9)),1)="-"),999))-(RIGHT(MID(TRIM(INDEX(PASTE_ALL,16,9)),1+(LEFT(TRIM(INDEX(PASTE_ALL,16,9)),1)="-"),999),1)="%"))&lt;&gt;"",SUBSTITUTE(SUBSTITUTE(SUBSTITUTE(SUBSTITUTE(SUBSTITUTE(SUBSTITUTE(SUBSTITUTE(SUBSTITUTE(SUBSTITUTE(SUBSTITUTE(SUBSTITUTE(SUBSTITUTE(LEFT(MID(TRIM(INDEX(PASTE_ALL,16,9)),1+(LEFT(TRIM(INDEX(PASTE_ALL,16,9)),1)="-"),999),LEN(MID(TRIM(INDEX(PASTE_ALL,16,9)),1+(LEFT(TRIM(INDEX(PASTE_ALL,16,9)),1)="-"),999))-(RIGHT(MID(TRIM(INDEX(PASTE_ALL,16,9)),1+(LEFT(TRIM(INDEX(PASTE_ALL,16,9)),1)="-"),999),1)="%")),"0",""),"1",""),"2",""),"3",""),"4",""),"5",""),"6",""),"7",""),"8",""),"9",""),".",""),",","")=""),2,1))),1)</f>
        <v/>
      </c>
      <c r="AH65">
        <f>IFERROR(IF(ISNUMBER(INDEX(PASTE_ALL,16,10)),2,IF(TRIM(INDEX(PASTE_ALL,16,10))="",0,IF(AND(LEFT(MID(TRIM(INDEX(PASTE_ALL,16,10)),1+(LEFT(TRIM(INDEX(PASTE_ALL,16,10)),1)="-"),999),LEN(MID(TRIM(INDEX(PASTE_ALL,16,10)),1+(LEFT(TRIM(INDEX(PASTE_ALL,16,10)),1)="-"),999))-(RIGHT(MID(TRIM(INDEX(PASTE_ALL,16,10)),1+(LEFT(TRIM(INDEX(PASTE_ALL,16,10)),1)="-"),999),1)="%"))&lt;&gt;"",SUBSTITUTE(SUBSTITUTE(SUBSTITUTE(SUBSTITUTE(SUBSTITUTE(SUBSTITUTE(SUBSTITUTE(SUBSTITUTE(SUBSTITUTE(SUBSTITUTE(SUBSTITUTE(SUBSTITUTE(LEFT(MID(TRIM(INDEX(PASTE_ALL,16,10)),1+(LEFT(TRIM(INDEX(PASTE_ALL,16,10)),1)="-"),999),LEN(MID(TRIM(INDEX(PASTE_ALL,16,10)),1+(LEFT(TRIM(INDEX(PASTE_ALL,16,10)),1)="-"),999))-(RIGHT(MID(TRIM(INDEX(PASTE_ALL,16,10)),1+(LEFT(TRIM(INDEX(PASTE_ALL,16,10)),1)="-"),999),1)="%")),"0",""),"1",""),"2",""),"3",""),"4",""),"5",""),"6",""),"7",""),"8",""),"9",""),".",""),",","")=""),2,1))),1)</f>
        <v/>
      </c>
      <c r="AI65">
        <f>IFERROR(IF(ISNUMBER(INDEX(PASTE_ALL,16,11)),2,IF(TRIM(INDEX(PASTE_ALL,16,11))="",0,IF(AND(LEFT(MID(TRIM(INDEX(PASTE_ALL,16,11)),1+(LEFT(TRIM(INDEX(PASTE_ALL,16,11)),1)="-"),999),LEN(MID(TRIM(INDEX(PASTE_ALL,16,11)),1+(LEFT(TRIM(INDEX(PASTE_ALL,16,11)),1)="-"),999))-(RIGHT(MID(TRIM(INDEX(PASTE_ALL,16,11)),1+(LEFT(TRIM(INDEX(PASTE_ALL,16,11)),1)="-"),999),1)="%"))&lt;&gt;"",SUBSTITUTE(SUBSTITUTE(SUBSTITUTE(SUBSTITUTE(SUBSTITUTE(SUBSTITUTE(SUBSTITUTE(SUBSTITUTE(SUBSTITUTE(SUBSTITUTE(SUBSTITUTE(SUBSTITUTE(LEFT(MID(TRIM(INDEX(PASTE_ALL,16,11)),1+(LEFT(TRIM(INDEX(PASTE_ALL,16,11)),1)="-"),999),LEN(MID(TRIM(INDEX(PASTE_ALL,16,11)),1+(LEFT(TRIM(INDEX(PASTE_ALL,16,11)),1)="-"),999))-(RIGHT(MID(TRIM(INDEX(PASTE_ALL,16,11)),1+(LEFT(TRIM(INDEX(PASTE_ALL,16,11)),1)="-"),999),1)="%")),"0",""),"1",""),"2",""),"3",""),"4",""),"5",""),"6",""),"7",""),"8",""),"9",""),".",""),",","")=""),2,1))),1)</f>
        <v/>
      </c>
      <c r="AJ65">
        <f>IFERROR(IF(ISNUMBER(INDEX(PASTE_ALL,16,12)),2,IF(TRIM(INDEX(PASTE_ALL,16,12))="",0,IF(AND(LEFT(MID(TRIM(INDEX(PASTE_ALL,16,12)),1+(LEFT(TRIM(INDEX(PASTE_ALL,16,12)),1)="-"),999),LEN(MID(TRIM(INDEX(PASTE_ALL,16,12)),1+(LEFT(TRIM(INDEX(PASTE_ALL,16,12)),1)="-"),999))-(RIGHT(MID(TRIM(INDEX(PASTE_ALL,16,12)),1+(LEFT(TRIM(INDEX(PASTE_ALL,16,12)),1)="-"),999),1)="%"))&lt;&gt;"",SUBSTITUTE(SUBSTITUTE(SUBSTITUTE(SUBSTITUTE(SUBSTITUTE(SUBSTITUTE(SUBSTITUTE(SUBSTITUTE(SUBSTITUTE(SUBSTITUTE(SUBSTITUTE(SUBSTITUTE(LEFT(MID(TRIM(INDEX(PASTE_ALL,16,12)),1+(LEFT(TRIM(INDEX(PASTE_ALL,16,12)),1)="-"),999),LEN(MID(TRIM(INDEX(PASTE_ALL,16,12)),1+(LEFT(TRIM(INDEX(PASTE_ALL,16,12)),1)="-"),999))-(RIGHT(MID(TRIM(INDEX(PASTE_ALL,16,12)),1+(LEFT(TRIM(INDEX(PASTE_ALL,16,12)),1)="-"),999),1)="%")),"0",""),"1",""),"2",""),"3",""),"4",""),"5",""),"6",""),"7",""),"8",""),"9",""),".",""),",","")=""),2,1))),1)</f>
        <v/>
      </c>
      <c r="AK65">
        <f>IFERROR(IF(ISNUMBER(INDEX(PASTE_ALL,16,13)),2,IF(TRIM(INDEX(PASTE_ALL,16,13))="",0,IF(AND(LEFT(MID(TRIM(INDEX(PASTE_ALL,16,13)),1+(LEFT(TRIM(INDEX(PASTE_ALL,16,13)),1)="-"),999),LEN(MID(TRIM(INDEX(PASTE_ALL,16,13)),1+(LEFT(TRIM(INDEX(PASTE_ALL,16,13)),1)="-"),999))-(RIGHT(MID(TRIM(INDEX(PASTE_ALL,16,13)),1+(LEFT(TRIM(INDEX(PASTE_ALL,16,13)),1)="-"),999),1)="%"))&lt;&gt;"",SUBSTITUTE(SUBSTITUTE(SUBSTITUTE(SUBSTITUTE(SUBSTITUTE(SUBSTITUTE(SUBSTITUTE(SUBSTITUTE(SUBSTITUTE(SUBSTITUTE(SUBSTITUTE(SUBSTITUTE(LEFT(MID(TRIM(INDEX(PASTE_ALL,16,13)),1+(LEFT(TRIM(INDEX(PASTE_ALL,16,13)),1)="-"),999),LEN(MID(TRIM(INDEX(PASTE_ALL,16,13)),1+(LEFT(TRIM(INDEX(PASTE_ALL,16,13)),1)="-"),999))-(RIGHT(MID(TRIM(INDEX(PASTE_ALL,16,13)),1+(LEFT(TRIM(INDEX(PASTE_ALL,16,13)),1)="-"),999),1)="%")),"0",""),"1",""),"2",""),"3",""),"4",""),"5",""),"6",""),"7",""),"8",""),"9",""),".",""),",","")=""),2,1))),1)</f>
        <v/>
      </c>
      <c r="AL65">
        <f>IFERROR(IF(ISNUMBER(INDEX(PASTE_ALL,16,14)),2,IF(TRIM(INDEX(PASTE_ALL,16,14))="",0,IF(AND(LEFT(MID(TRIM(INDEX(PASTE_ALL,16,14)),1+(LEFT(TRIM(INDEX(PASTE_ALL,16,14)),1)="-"),999),LEN(MID(TRIM(INDEX(PASTE_ALL,16,14)),1+(LEFT(TRIM(INDEX(PASTE_ALL,16,14)),1)="-"),999))-(RIGHT(MID(TRIM(INDEX(PASTE_ALL,16,14)),1+(LEFT(TRIM(INDEX(PASTE_ALL,16,14)),1)="-"),999),1)="%"))&lt;&gt;"",SUBSTITUTE(SUBSTITUTE(SUBSTITUTE(SUBSTITUTE(SUBSTITUTE(SUBSTITUTE(SUBSTITUTE(SUBSTITUTE(SUBSTITUTE(SUBSTITUTE(SUBSTITUTE(SUBSTITUTE(LEFT(MID(TRIM(INDEX(PASTE_ALL,16,14)),1+(LEFT(TRIM(INDEX(PASTE_ALL,16,14)),1)="-"),999),LEN(MID(TRIM(INDEX(PASTE_ALL,16,14)),1+(LEFT(TRIM(INDEX(PASTE_ALL,16,14)),1)="-"),999))-(RIGHT(MID(TRIM(INDEX(PASTE_ALL,16,14)),1+(LEFT(TRIM(INDEX(PASTE_ALL,16,14)),1)="-"),999),1)="%")),"0",""),"1",""),"2",""),"3",""),"4",""),"5",""),"6",""),"7",""),"8",""),"9",""),".",""),",","")=""),2,1))),1)</f>
        <v/>
      </c>
      <c r="AM65">
        <f>IFERROR(IF(ISNUMBER(INDEX(PASTE_ALL,16,15)),2,IF(TRIM(INDEX(PASTE_ALL,16,15))="",0,IF(AND(LEFT(MID(TRIM(INDEX(PASTE_ALL,16,15)),1+(LEFT(TRIM(INDEX(PASTE_ALL,16,15)),1)="-"),999),LEN(MID(TRIM(INDEX(PASTE_ALL,16,15)),1+(LEFT(TRIM(INDEX(PASTE_ALL,16,15)),1)="-"),999))-(RIGHT(MID(TRIM(INDEX(PASTE_ALL,16,15)),1+(LEFT(TRIM(INDEX(PASTE_ALL,16,15)),1)="-"),999),1)="%"))&lt;&gt;"",SUBSTITUTE(SUBSTITUTE(SUBSTITUTE(SUBSTITUTE(SUBSTITUTE(SUBSTITUTE(SUBSTITUTE(SUBSTITUTE(SUBSTITUTE(SUBSTITUTE(SUBSTITUTE(SUBSTITUTE(LEFT(MID(TRIM(INDEX(PASTE_ALL,16,15)),1+(LEFT(TRIM(INDEX(PASTE_ALL,16,15)),1)="-"),999),LEN(MID(TRIM(INDEX(PASTE_ALL,16,15)),1+(LEFT(TRIM(INDEX(PASTE_ALL,16,15)),1)="-"),999))-(RIGHT(MID(TRIM(INDEX(PASTE_ALL,16,15)),1+(LEFT(TRIM(INDEX(PASTE_ALL,16,15)),1)="-"),999),1)="%")),"0",""),"1",""),"2",""),"3",""),"4",""),"5",""),"6",""),"7",""),"8",""),"9",""),".",""),",","")=""),2,1))),1)</f>
        <v/>
      </c>
      <c r="AN65">
        <f>IFERROR(IF(ISNUMBER(INDEX(PASTE_ALL,16,16)),2,IF(TRIM(INDEX(PASTE_ALL,16,16))="",0,IF(AND(LEFT(MID(TRIM(INDEX(PASTE_ALL,16,16)),1+(LEFT(TRIM(INDEX(PASTE_ALL,16,16)),1)="-"),999),LEN(MID(TRIM(INDEX(PASTE_ALL,16,16)),1+(LEFT(TRIM(INDEX(PASTE_ALL,16,16)),1)="-"),999))-(RIGHT(MID(TRIM(INDEX(PASTE_ALL,16,16)),1+(LEFT(TRIM(INDEX(PASTE_ALL,16,16)),1)="-"),999),1)="%"))&lt;&gt;"",SUBSTITUTE(SUBSTITUTE(SUBSTITUTE(SUBSTITUTE(SUBSTITUTE(SUBSTITUTE(SUBSTITUTE(SUBSTITUTE(SUBSTITUTE(SUBSTITUTE(SUBSTITUTE(SUBSTITUTE(LEFT(MID(TRIM(INDEX(PASTE_ALL,16,16)),1+(LEFT(TRIM(INDEX(PASTE_ALL,16,16)),1)="-"),999),LEN(MID(TRIM(INDEX(PASTE_ALL,16,16)),1+(LEFT(TRIM(INDEX(PASTE_ALL,16,16)),1)="-"),999))-(RIGHT(MID(TRIM(INDEX(PASTE_ALL,16,16)),1+(LEFT(TRIM(INDEX(PASTE_ALL,16,16)),1)="-"),999),1)="%")),"0",""),"1",""),"2",""),"3",""),"4",""),"5",""),"6",""),"7",""),"8",""),"9",""),".",""),",","")=""),2,1))),1)</f>
        <v/>
      </c>
      <c r="AO65">
        <f>IFERROR(IF(ISNUMBER(INDEX(PASTE_ALL,16,17)),2,IF(TRIM(INDEX(PASTE_ALL,16,17))="",0,IF(AND(LEFT(MID(TRIM(INDEX(PASTE_ALL,16,17)),1+(LEFT(TRIM(INDEX(PASTE_ALL,16,17)),1)="-"),999),LEN(MID(TRIM(INDEX(PASTE_ALL,16,17)),1+(LEFT(TRIM(INDEX(PASTE_ALL,16,17)),1)="-"),999))-(RIGHT(MID(TRIM(INDEX(PASTE_ALL,16,17)),1+(LEFT(TRIM(INDEX(PASTE_ALL,16,17)),1)="-"),999),1)="%"))&lt;&gt;"",SUBSTITUTE(SUBSTITUTE(SUBSTITUTE(SUBSTITUTE(SUBSTITUTE(SUBSTITUTE(SUBSTITUTE(SUBSTITUTE(SUBSTITUTE(SUBSTITUTE(SUBSTITUTE(SUBSTITUTE(LEFT(MID(TRIM(INDEX(PASTE_ALL,16,17)),1+(LEFT(TRIM(INDEX(PASTE_ALL,16,17)),1)="-"),999),LEN(MID(TRIM(INDEX(PASTE_ALL,16,17)),1+(LEFT(TRIM(INDEX(PASTE_ALL,16,17)),1)="-"),999))-(RIGHT(MID(TRIM(INDEX(PASTE_ALL,16,17)),1+(LEFT(TRIM(INDEX(PASTE_ALL,16,17)),1)="-"),999),1)="%")),"0",""),"1",""),"2",""),"3",""),"4",""),"5",""),"6",""),"7",""),"8",""),"9",""),".",""),",","")=""),2,1))),1)</f>
        <v/>
      </c>
      <c r="AP65">
        <f>IFERROR(IF(ISNUMBER(INDEX(PASTE_ALL,16,18)),2,IF(TRIM(INDEX(PASTE_ALL,16,18))="",0,IF(AND(LEFT(MID(TRIM(INDEX(PASTE_ALL,16,18)),1+(LEFT(TRIM(INDEX(PASTE_ALL,16,18)),1)="-"),999),LEN(MID(TRIM(INDEX(PASTE_ALL,16,18)),1+(LEFT(TRIM(INDEX(PASTE_ALL,16,18)),1)="-"),999))-(RIGHT(MID(TRIM(INDEX(PASTE_ALL,16,18)),1+(LEFT(TRIM(INDEX(PASTE_ALL,16,18)),1)="-"),999),1)="%"))&lt;&gt;"",SUBSTITUTE(SUBSTITUTE(SUBSTITUTE(SUBSTITUTE(SUBSTITUTE(SUBSTITUTE(SUBSTITUTE(SUBSTITUTE(SUBSTITUTE(SUBSTITUTE(SUBSTITUTE(SUBSTITUTE(LEFT(MID(TRIM(INDEX(PASTE_ALL,16,18)),1+(LEFT(TRIM(INDEX(PASTE_ALL,16,18)),1)="-"),999),LEN(MID(TRIM(INDEX(PASTE_ALL,16,18)),1+(LEFT(TRIM(INDEX(PASTE_ALL,16,18)),1)="-"),999))-(RIGHT(MID(TRIM(INDEX(PASTE_ALL,16,18)),1+(LEFT(TRIM(INDEX(PASTE_ALL,16,18)),1)="-"),999),1)="%")),"0",""),"1",""),"2",""),"3",""),"4",""),"5",""),"6",""),"7",""),"8",""),"9",""),".",""),",","")=""),2,1))),1)</f>
        <v/>
      </c>
      <c r="AQ65">
        <f>IFERROR(IF(ISNUMBER(INDEX(PASTE_ALL,16,19)),2,IF(TRIM(INDEX(PASTE_ALL,16,19))="",0,IF(AND(LEFT(MID(TRIM(INDEX(PASTE_ALL,16,19)),1+(LEFT(TRIM(INDEX(PASTE_ALL,16,19)),1)="-"),999),LEN(MID(TRIM(INDEX(PASTE_ALL,16,19)),1+(LEFT(TRIM(INDEX(PASTE_ALL,16,19)),1)="-"),999))-(RIGHT(MID(TRIM(INDEX(PASTE_ALL,16,19)),1+(LEFT(TRIM(INDEX(PASTE_ALL,16,19)),1)="-"),999),1)="%"))&lt;&gt;"",SUBSTITUTE(SUBSTITUTE(SUBSTITUTE(SUBSTITUTE(SUBSTITUTE(SUBSTITUTE(SUBSTITUTE(SUBSTITUTE(SUBSTITUTE(SUBSTITUTE(SUBSTITUTE(SUBSTITUTE(LEFT(MID(TRIM(INDEX(PASTE_ALL,16,19)),1+(LEFT(TRIM(INDEX(PASTE_ALL,16,19)),1)="-"),999),LEN(MID(TRIM(INDEX(PASTE_ALL,16,19)),1+(LEFT(TRIM(INDEX(PASTE_ALL,16,19)),1)="-"),999))-(RIGHT(MID(TRIM(INDEX(PASTE_ALL,16,19)),1+(LEFT(TRIM(INDEX(PASTE_ALL,16,19)),1)="-"),999),1)="%")),"0",""),"1",""),"2",""),"3",""),"4",""),"5",""),"6",""),"7",""),"8",""),"9",""),".",""),",","")=""),2,1))),1)</f>
        <v/>
      </c>
      <c r="AR65">
        <f>IFERROR(IF(ISNUMBER(INDEX(PASTE_ALL,16,20)),2,IF(TRIM(INDEX(PASTE_ALL,16,20))="",0,IF(AND(LEFT(MID(TRIM(INDEX(PASTE_ALL,16,20)),1+(LEFT(TRIM(INDEX(PASTE_ALL,16,20)),1)="-"),999),LEN(MID(TRIM(INDEX(PASTE_ALL,16,20)),1+(LEFT(TRIM(INDEX(PASTE_ALL,16,20)),1)="-"),999))-(RIGHT(MID(TRIM(INDEX(PASTE_ALL,16,20)),1+(LEFT(TRIM(INDEX(PASTE_ALL,16,20)),1)="-"),999),1)="%"))&lt;&gt;"",SUBSTITUTE(SUBSTITUTE(SUBSTITUTE(SUBSTITUTE(SUBSTITUTE(SUBSTITUTE(SUBSTITUTE(SUBSTITUTE(SUBSTITUTE(SUBSTITUTE(SUBSTITUTE(SUBSTITUTE(LEFT(MID(TRIM(INDEX(PASTE_ALL,16,20)),1+(LEFT(TRIM(INDEX(PASTE_ALL,16,20)),1)="-"),999),LEN(MID(TRIM(INDEX(PASTE_ALL,16,20)),1+(LEFT(TRIM(INDEX(PASTE_ALL,16,20)),1)="-"),999))-(RIGHT(MID(TRIM(INDEX(PASTE_ALL,16,20)),1+(LEFT(TRIM(INDEX(PASTE_ALL,16,20)),1)="-"),999),1)="%")),"0",""),"1",""),"2",""),"3",""),"4",""),"5",""),"6",""),"7",""),"8",""),"9",""),".",""),",","")=""),2,1))),1)</f>
        <v/>
      </c>
      <c r="AS65">
        <f>IFERROR(IF(ISNUMBER(INDEX(PASTE_ALL,16,21)),2,IF(TRIM(INDEX(PASTE_ALL,16,21))="",0,IF(AND(LEFT(MID(TRIM(INDEX(PASTE_ALL,16,21)),1+(LEFT(TRIM(INDEX(PASTE_ALL,16,21)),1)="-"),999),LEN(MID(TRIM(INDEX(PASTE_ALL,16,21)),1+(LEFT(TRIM(INDEX(PASTE_ALL,16,21)),1)="-"),999))-(RIGHT(MID(TRIM(INDEX(PASTE_ALL,16,21)),1+(LEFT(TRIM(INDEX(PASTE_ALL,16,21)),1)="-"),999),1)="%"))&lt;&gt;"",SUBSTITUTE(SUBSTITUTE(SUBSTITUTE(SUBSTITUTE(SUBSTITUTE(SUBSTITUTE(SUBSTITUTE(SUBSTITUTE(SUBSTITUTE(SUBSTITUTE(SUBSTITUTE(SUBSTITUTE(LEFT(MID(TRIM(INDEX(PASTE_ALL,16,21)),1+(LEFT(TRIM(INDEX(PASTE_ALL,16,21)),1)="-"),999),LEN(MID(TRIM(INDEX(PASTE_ALL,16,21)),1+(LEFT(TRIM(INDEX(PASTE_ALL,16,21)),1)="-"),999))-(RIGHT(MID(TRIM(INDEX(PASTE_ALL,16,21)),1+(LEFT(TRIM(INDEX(PASTE_ALL,16,21)),1)="-"),999),1)="%")),"0",""),"1",""),"2",""),"3",""),"4",""),"5",""),"6",""),"7",""),"8",""),"9",""),".",""),",","")=""),2,1))),1)</f>
        <v/>
      </c>
      <c r="AT65">
        <f>IFERROR(IF(ISNUMBER(INDEX(PASTE_ALL,16,22)),2,IF(TRIM(INDEX(PASTE_ALL,16,22))="",0,IF(AND(LEFT(MID(TRIM(INDEX(PASTE_ALL,16,22)),1+(LEFT(TRIM(INDEX(PASTE_ALL,16,22)),1)="-"),999),LEN(MID(TRIM(INDEX(PASTE_ALL,16,22)),1+(LEFT(TRIM(INDEX(PASTE_ALL,16,22)),1)="-"),999))-(RIGHT(MID(TRIM(INDEX(PASTE_ALL,16,22)),1+(LEFT(TRIM(INDEX(PASTE_ALL,16,22)),1)="-"),999),1)="%"))&lt;&gt;"",SUBSTITUTE(SUBSTITUTE(SUBSTITUTE(SUBSTITUTE(SUBSTITUTE(SUBSTITUTE(SUBSTITUTE(SUBSTITUTE(SUBSTITUTE(SUBSTITUTE(SUBSTITUTE(SUBSTITUTE(LEFT(MID(TRIM(INDEX(PASTE_ALL,16,22)),1+(LEFT(TRIM(INDEX(PASTE_ALL,16,22)),1)="-"),999),LEN(MID(TRIM(INDEX(PASTE_ALL,16,22)),1+(LEFT(TRIM(INDEX(PASTE_ALL,16,22)),1)="-"),999))-(RIGHT(MID(TRIM(INDEX(PASTE_ALL,16,22)),1+(LEFT(TRIM(INDEX(PASTE_ALL,16,22)),1)="-"),999),1)="%")),"0",""),"1",""),"2",""),"3",""),"4",""),"5",""),"6",""),"7",""),"8",""),"9",""),".",""),",","")=""),2,1))),1)</f>
        <v/>
      </c>
      <c r="AU65">
        <f>IFERROR(IF(ISNUMBER(INDEX(PASTE_ALL,16,23)),2,IF(TRIM(INDEX(PASTE_ALL,16,23))="",0,IF(AND(LEFT(MID(TRIM(INDEX(PASTE_ALL,16,23)),1+(LEFT(TRIM(INDEX(PASTE_ALL,16,23)),1)="-"),999),LEN(MID(TRIM(INDEX(PASTE_ALL,16,23)),1+(LEFT(TRIM(INDEX(PASTE_ALL,16,23)),1)="-"),999))-(RIGHT(MID(TRIM(INDEX(PASTE_ALL,16,23)),1+(LEFT(TRIM(INDEX(PASTE_ALL,16,23)),1)="-"),999),1)="%"))&lt;&gt;"",SUBSTITUTE(SUBSTITUTE(SUBSTITUTE(SUBSTITUTE(SUBSTITUTE(SUBSTITUTE(SUBSTITUTE(SUBSTITUTE(SUBSTITUTE(SUBSTITUTE(SUBSTITUTE(SUBSTITUTE(LEFT(MID(TRIM(INDEX(PASTE_ALL,16,23)),1+(LEFT(TRIM(INDEX(PASTE_ALL,16,23)),1)="-"),999),LEN(MID(TRIM(INDEX(PASTE_ALL,16,23)),1+(LEFT(TRIM(INDEX(PASTE_ALL,16,23)),1)="-"),999))-(RIGHT(MID(TRIM(INDEX(PASTE_ALL,16,23)),1+(LEFT(TRIM(INDEX(PASTE_ALL,16,23)),1)="-"),999),1)="%")),"0",""),"1",""),"2",""),"3",""),"4",""),"5",""),"6",""),"7",""),"8",""),"9",""),".",""),",","")=""),2,1))),1)</f>
        <v/>
      </c>
      <c r="AV65">
        <f>IFERROR(IF(ISNUMBER(INDEX(PASTE_ALL,16,24)),2,IF(TRIM(INDEX(PASTE_ALL,16,24))="",0,IF(AND(LEFT(MID(TRIM(INDEX(PASTE_ALL,16,24)),1+(LEFT(TRIM(INDEX(PASTE_ALL,16,24)),1)="-"),999),LEN(MID(TRIM(INDEX(PASTE_ALL,16,24)),1+(LEFT(TRIM(INDEX(PASTE_ALL,16,24)),1)="-"),999))-(RIGHT(MID(TRIM(INDEX(PASTE_ALL,16,24)),1+(LEFT(TRIM(INDEX(PASTE_ALL,16,24)),1)="-"),999),1)="%"))&lt;&gt;"",SUBSTITUTE(SUBSTITUTE(SUBSTITUTE(SUBSTITUTE(SUBSTITUTE(SUBSTITUTE(SUBSTITUTE(SUBSTITUTE(SUBSTITUTE(SUBSTITUTE(SUBSTITUTE(SUBSTITUTE(LEFT(MID(TRIM(INDEX(PASTE_ALL,16,24)),1+(LEFT(TRIM(INDEX(PASTE_ALL,16,24)),1)="-"),999),LEN(MID(TRIM(INDEX(PASTE_ALL,16,24)),1+(LEFT(TRIM(INDEX(PASTE_ALL,16,24)),1)="-"),999))-(RIGHT(MID(TRIM(INDEX(PASTE_ALL,16,24)),1+(LEFT(TRIM(INDEX(PASTE_ALL,16,24)),1)="-"),999),1)="%")),"0",""),"1",""),"2",""),"3",""),"4",""),"5",""),"6",""),"7",""),"8",""),"9",""),".",""),",","")=""),2,1))),1)</f>
        <v/>
      </c>
      <c r="AW65">
        <f>IFERROR(IF(ISNUMBER(INDEX(PASTE_ALL,16,25)),2,IF(TRIM(INDEX(PASTE_ALL,16,25))="",0,IF(AND(LEFT(MID(TRIM(INDEX(PASTE_ALL,16,25)),1+(LEFT(TRIM(INDEX(PASTE_ALL,16,25)),1)="-"),999),LEN(MID(TRIM(INDEX(PASTE_ALL,16,25)),1+(LEFT(TRIM(INDEX(PASTE_ALL,16,25)),1)="-"),999))-(RIGHT(MID(TRIM(INDEX(PASTE_ALL,16,25)),1+(LEFT(TRIM(INDEX(PASTE_ALL,16,25)),1)="-"),999),1)="%"))&lt;&gt;"",SUBSTITUTE(SUBSTITUTE(SUBSTITUTE(SUBSTITUTE(SUBSTITUTE(SUBSTITUTE(SUBSTITUTE(SUBSTITUTE(SUBSTITUTE(SUBSTITUTE(SUBSTITUTE(SUBSTITUTE(LEFT(MID(TRIM(INDEX(PASTE_ALL,16,25)),1+(LEFT(TRIM(INDEX(PASTE_ALL,16,25)),1)="-"),999),LEN(MID(TRIM(INDEX(PASTE_ALL,16,25)),1+(LEFT(TRIM(INDEX(PASTE_ALL,16,25)),1)="-"),999))-(RIGHT(MID(TRIM(INDEX(PASTE_ALL,16,25)),1+(LEFT(TRIM(INDEX(PASTE_ALL,16,25)),1)="-"),999),1)="%")),"0",""),"1",""),"2",""),"3",""),"4",""),"5",""),"6",""),"7",""),"8",""),"9",""),".",""),",","")=""),2,1))),1)</f>
        <v/>
      </c>
      <c r="AX65">
        <f>IFERROR(IF(ISNUMBER(INDEX(PASTE_ALL,16,26)),2,IF(TRIM(INDEX(PASTE_ALL,16,26))="",0,IF(AND(LEFT(MID(TRIM(INDEX(PASTE_ALL,16,26)),1+(LEFT(TRIM(INDEX(PASTE_ALL,16,26)),1)="-"),999),LEN(MID(TRIM(INDEX(PASTE_ALL,16,26)),1+(LEFT(TRIM(INDEX(PASTE_ALL,16,26)),1)="-"),999))-(RIGHT(MID(TRIM(INDEX(PASTE_ALL,16,26)),1+(LEFT(TRIM(INDEX(PASTE_ALL,16,26)),1)="-"),999),1)="%"))&lt;&gt;"",SUBSTITUTE(SUBSTITUTE(SUBSTITUTE(SUBSTITUTE(SUBSTITUTE(SUBSTITUTE(SUBSTITUTE(SUBSTITUTE(SUBSTITUTE(SUBSTITUTE(SUBSTITUTE(SUBSTITUTE(LEFT(MID(TRIM(INDEX(PASTE_ALL,16,26)),1+(LEFT(TRIM(INDEX(PASTE_ALL,16,26)),1)="-"),999),LEN(MID(TRIM(INDEX(PASTE_ALL,16,26)),1+(LEFT(TRIM(INDEX(PASTE_ALL,16,26)),1)="-"),999))-(RIGHT(MID(TRIM(INDEX(PASTE_ALL,16,26)),1+(LEFT(TRIM(INDEX(PASTE_ALL,16,26)),1)="-"),999),1)="%")),"0",""),"1",""),"2",""),"3",""),"4",""),"5",""),"6",""),"7",""),"8",""),"9",""),".",""),",","")=""),2,1))),1)</f>
        <v/>
      </c>
      <c r="AY65">
        <f>IFERROR(IF(ISNUMBER(INDEX(PASTE_ALL,16,27)),2,IF(TRIM(INDEX(PASTE_ALL,16,27))="",0,IF(AND(LEFT(MID(TRIM(INDEX(PASTE_ALL,16,27)),1+(LEFT(TRIM(INDEX(PASTE_ALL,16,27)),1)="-"),999),LEN(MID(TRIM(INDEX(PASTE_ALL,16,27)),1+(LEFT(TRIM(INDEX(PASTE_ALL,16,27)),1)="-"),999))-(RIGHT(MID(TRIM(INDEX(PASTE_ALL,16,27)),1+(LEFT(TRIM(INDEX(PASTE_ALL,16,27)),1)="-"),999),1)="%"))&lt;&gt;"",SUBSTITUTE(SUBSTITUTE(SUBSTITUTE(SUBSTITUTE(SUBSTITUTE(SUBSTITUTE(SUBSTITUTE(SUBSTITUTE(SUBSTITUTE(SUBSTITUTE(SUBSTITUTE(SUBSTITUTE(LEFT(MID(TRIM(INDEX(PASTE_ALL,16,27)),1+(LEFT(TRIM(INDEX(PASTE_ALL,16,27)),1)="-"),999),LEN(MID(TRIM(INDEX(PASTE_ALL,16,27)),1+(LEFT(TRIM(INDEX(PASTE_ALL,16,27)),1)="-"),999))-(RIGHT(MID(TRIM(INDEX(PASTE_ALL,16,27)),1+(LEFT(TRIM(INDEX(PASTE_ALL,16,27)),1)="-"),999),1)="%")),"0",""),"1",""),"2",""),"3",""),"4",""),"5",""),"6",""),"7",""),"8",""),"9",""),".",""),",","")=""),2,1))),1)</f>
        <v/>
      </c>
      <c r="AZ65">
        <f>IFERROR(IF(ISNUMBER(INDEX(PASTE_ALL,16,28)),2,IF(TRIM(INDEX(PASTE_ALL,16,28))="",0,IF(AND(LEFT(MID(TRIM(INDEX(PASTE_ALL,16,28)),1+(LEFT(TRIM(INDEX(PASTE_ALL,16,28)),1)="-"),999),LEN(MID(TRIM(INDEX(PASTE_ALL,16,28)),1+(LEFT(TRIM(INDEX(PASTE_ALL,16,28)),1)="-"),999))-(RIGHT(MID(TRIM(INDEX(PASTE_ALL,16,28)),1+(LEFT(TRIM(INDEX(PASTE_ALL,16,28)),1)="-"),999),1)="%"))&lt;&gt;"",SUBSTITUTE(SUBSTITUTE(SUBSTITUTE(SUBSTITUTE(SUBSTITUTE(SUBSTITUTE(SUBSTITUTE(SUBSTITUTE(SUBSTITUTE(SUBSTITUTE(SUBSTITUTE(SUBSTITUTE(LEFT(MID(TRIM(INDEX(PASTE_ALL,16,28)),1+(LEFT(TRIM(INDEX(PASTE_ALL,16,28)),1)="-"),999),LEN(MID(TRIM(INDEX(PASTE_ALL,16,28)),1+(LEFT(TRIM(INDEX(PASTE_ALL,16,28)),1)="-"),999))-(RIGHT(MID(TRIM(INDEX(PASTE_ALL,16,28)),1+(LEFT(TRIM(INDEX(PASTE_ALL,16,28)),1)="-"),999),1)="%")),"0",""),"1",""),"2",""),"3",""),"4",""),"5",""),"6",""),"7",""),"8",""),"9",""),".",""),",","")=""),2,1))),1)</f>
        <v/>
      </c>
      <c r="BA65">
        <f>IFERROR(IF(ISNUMBER(INDEX(PASTE_ALL,16,29)),2,IF(TRIM(INDEX(PASTE_ALL,16,29))="",0,IF(AND(LEFT(MID(TRIM(INDEX(PASTE_ALL,16,29)),1+(LEFT(TRIM(INDEX(PASTE_ALL,16,29)),1)="-"),999),LEN(MID(TRIM(INDEX(PASTE_ALL,16,29)),1+(LEFT(TRIM(INDEX(PASTE_ALL,16,29)),1)="-"),999))-(RIGHT(MID(TRIM(INDEX(PASTE_ALL,16,29)),1+(LEFT(TRIM(INDEX(PASTE_ALL,16,29)),1)="-"),999),1)="%"))&lt;&gt;"",SUBSTITUTE(SUBSTITUTE(SUBSTITUTE(SUBSTITUTE(SUBSTITUTE(SUBSTITUTE(SUBSTITUTE(SUBSTITUTE(SUBSTITUTE(SUBSTITUTE(SUBSTITUTE(SUBSTITUTE(LEFT(MID(TRIM(INDEX(PASTE_ALL,16,29)),1+(LEFT(TRIM(INDEX(PASTE_ALL,16,29)),1)="-"),999),LEN(MID(TRIM(INDEX(PASTE_ALL,16,29)),1+(LEFT(TRIM(INDEX(PASTE_ALL,16,29)),1)="-"),999))-(RIGHT(MID(TRIM(INDEX(PASTE_ALL,16,29)),1+(LEFT(TRIM(INDEX(PASTE_ALL,16,29)),1)="-"),999),1)="%")),"0",""),"1",""),"2",""),"3",""),"4",""),"5",""),"6",""),"7",""),"8",""),"9",""),".",""),",","")=""),2,1))),1)</f>
        <v/>
      </c>
      <c r="BB65">
        <f>IFERROR(IF(ISNUMBER(INDEX(PASTE_ALL,16,30)),2,IF(TRIM(INDEX(PASTE_ALL,16,30))="",0,IF(AND(LEFT(MID(TRIM(INDEX(PASTE_ALL,16,30)),1+(LEFT(TRIM(INDEX(PASTE_ALL,16,30)),1)="-"),999),LEN(MID(TRIM(INDEX(PASTE_ALL,16,30)),1+(LEFT(TRIM(INDEX(PASTE_ALL,16,30)),1)="-"),999))-(RIGHT(MID(TRIM(INDEX(PASTE_ALL,16,30)),1+(LEFT(TRIM(INDEX(PASTE_ALL,16,30)),1)="-"),999),1)="%"))&lt;&gt;"",SUBSTITUTE(SUBSTITUTE(SUBSTITUTE(SUBSTITUTE(SUBSTITUTE(SUBSTITUTE(SUBSTITUTE(SUBSTITUTE(SUBSTITUTE(SUBSTITUTE(SUBSTITUTE(SUBSTITUTE(LEFT(MID(TRIM(INDEX(PASTE_ALL,16,30)),1+(LEFT(TRIM(INDEX(PASTE_ALL,16,30)),1)="-"),999),LEN(MID(TRIM(INDEX(PASTE_ALL,16,30)),1+(LEFT(TRIM(INDEX(PASTE_ALL,16,30)),1)="-"),999))-(RIGHT(MID(TRIM(INDEX(PASTE_ALL,16,30)),1+(LEFT(TRIM(INDEX(PASTE_ALL,16,30)),1)="-"),999),1)="%")),"0",""),"1",""),"2",""),"3",""),"4",""),"5",""),"6",""),"7",""),"8",""),"9",""),".",""),",","")=""),2,1))),1)</f>
        <v/>
      </c>
      <c r="BC65">
        <f>IFERROR(IF(ISNUMBER(INDEX(PASTE_ALL,16,31)),2,IF(TRIM(INDEX(PASTE_ALL,16,31))="",0,IF(AND(LEFT(MID(TRIM(INDEX(PASTE_ALL,16,31)),1+(LEFT(TRIM(INDEX(PASTE_ALL,16,31)),1)="-"),999),LEN(MID(TRIM(INDEX(PASTE_ALL,16,31)),1+(LEFT(TRIM(INDEX(PASTE_ALL,16,31)),1)="-"),999))-(RIGHT(MID(TRIM(INDEX(PASTE_ALL,16,31)),1+(LEFT(TRIM(INDEX(PASTE_ALL,16,31)),1)="-"),999),1)="%"))&lt;&gt;"",SUBSTITUTE(SUBSTITUTE(SUBSTITUTE(SUBSTITUTE(SUBSTITUTE(SUBSTITUTE(SUBSTITUTE(SUBSTITUTE(SUBSTITUTE(SUBSTITUTE(SUBSTITUTE(SUBSTITUTE(LEFT(MID(TRIM(INDEX(PASTE_ALL,16,31)),1+(LEFT(TRIM(INDEX(PASTE_ALL,16,31)),1)="-"),999),LEN(MID(TRIM(INDEX(PASTE_ALL,16,31)),1+(LEFT(TRIM(INDEX(PASTE_ALL,16,31)),1)="-"),999))-(RIGHT(MID(TRIM(INDEX(PASTE_ALL,16,31)),1+(LEFT(TRIM(INDEX(PASTE_ALL,16,31)),1)="-"),999),1)="%")),"0",""),"1",""),"2",""),"3",""),"4",""),"5",""),"6",""),"7",""),"8",""),"9",""),".",""),",","")=""),2,1))),1)</f>
        <v/>
      </c>
      <c r="BD65">
        <f>IFERROR(IF(ISNUMBER(INDEX(PASTE_ALL,16,32)),2,IF(TRIM(INDEX(PASTE_ALL,16,32))="",0,IF(AND(LEFT(MID(TRIM(INDEX(PASTE_ALL,16,32)),1+(LEFT(TRIM(INDEX(PASTE_ALL,16,32)),1)="-"),999),LEN(MID(TRIM(INDEX(PASTE_ALL,16,32)),1+(LEFT(TRIM(INDEX(PASTE_ALL,16,32)),1)="-"),999))-(RIGHT(MID(TRIM(INDEX(PASTE_ALL,16,32)),1+(LEFT(TRIM(INDEX(PASTE_ALL,16,32)),1)="-"),999),1)="%"))&lt;&gt;"",SUBSTITUTE(SUBSTITUTE(SUBSTITUTE(SUBSTITUTE(SUBSTITUTE(SUBSTITUTE(SUBSTITUTE(SUBSTITUTE(SUBSTITUTE(SUBSTITUTE(SUBSTITUTE(SUBSTITUTE(LEFT(MID(TRIM(INDEX(PASTE_ALL,16,32)),1+(LEFT(TRIM(INDEX(PASTE_ALL,16,32)),1)="-"),999),LEN(MID(TRIM(INDEX(PASTE_ALL,16,32)),1+(LEFT(TRIM(INDEX(PASTE_ALL,16,32)),1)="-"),999))-(RIGHT(MID(TRIM(INDEX(PASTE_ALL,16,32)),1+(LEFT(TRIM(INDEX(PASTE_ALL,16,32)),1)="-"),999),1)="%")),"0",""),"1",""),"2",""),"3",""),"4",""),"5",""),"6",""),"7",""),"8",""),"9",""),".",""),",","")=""),2,1))),1)</f>
        <v/>
      </c>
      <c r="BE65">
        <f>IFERROR(IF(ISNUMBER(INDEX(PASTE_ALL,16,33)),2,IF(TRIM(INDEX(PASTE_ALL,16,33))="",0,IF(AND(LEFT(MID(TRIM(INDEX(PASTE_ALL,16,33)),1+(LEFT(TRIM(INDEX(PASTE_ALL,16,33)),1)="-"),999),LEN(MID(TRIM(INDEX(PASTE_ALL,16,33)),1+(LEFT(TRIM(INDEX(PASTE_ALL,16,33)),1)="-"),999))-(RIGHT(MID(TRIM(INDEX(PASTE_ALL,16,33)),1+(LEFT(TRIM(INDEX(PASTE_ALL,16,33)),1)="-"),999),1)="%"))&lt;&gt;"",SUBSTITUTE(SUBSTITUTE(SUBSTITUTE(SUBSTITUTE(SUBSTITUTE(SUBSTITUTE(SUBSTITUTE(SUBSTITUTE(SUBSTITUTE(SUBSTITUTE(SUBSTITUTE(SUBSTITUTE(LEFT(MID(TRIM(INDEX(PASTE_ALL,16,33)),1+(LEFT(TRIM(INDEX(PASTE_ALL,16,33)),1)="-"),999),LEN(MID(TRIM(INDEX(PASTE_ALL,16,33)),1+(LEFT(TRIM(INDEX(PASTE_ALL,16,33)),1)="-"),999))-(RIGHT(MID(TRIM(INDEX(PASTE_ALL,16,33)),1+(LEFT(TRIM(INDEX(PASTE_ALL,16,33)),1)="-"),999),1)="%")),"0",""),"1",""),"2",""),"3",""),"4",""),"5",""),"6",""),"7",""),"8",""),"9",""),".",""),",","")=""),2,1))),1)</f>
        <v/>
      </c>
      <c r="BF65">
        <f>IFERROR(IF(ISNUMBER(INDEX(PASTE_ALL,16,34)),2,IF(TRIM(INDEX(PASTE_ALL,16,34))="",0,IF(AND(LEFT(MID(TRIM(INDEX(PASTE_ALL,16,34)),1+(LEFT(TRIM(INDEX(PASTE_ALL,16,34)),1)="-"),999),LEN(MID(TRIM(INDEX(PASTE_ALL,16,34)),1+(LEFT(TRIM(INDEX(PASTE_ALL,16,34)),1)="-"),999))-(RIGHT(MID(TRIM(INDEX(PASTE_ALL,16,34)),1+(LEFT(TRIM(INDEX(PASTE_ALL,16,34)),1)="-"),999),1)="%"))&lt;&gt;"",SUBSTITUTE(SUBSTITUTE(SUBSTITUTE(SUBSTITUTE(SUBSTITUTE(SUBSTITUTE(SUBSTITUTE(SUBSTITUTE(SUBSTITUTE(SUBSTITUTE(SUBSTITUTE(SUBSTITUTE(LEFT(MID(TRIM(INDEX(PASTE_ALL,16,34)),1+(LEFT(TRIM(INDEX(PASTE_ALL,16,34)),1)="-"),999),LEN(MID(TRIM(INDEX(PASTE_ALL,16,34)),1+(LEFT(TRIM(INDEX(PASTE_ALL,16,34)),1)="-"),999))-(RIGHT(MID(TRIM(INDEX(PASTE_ALL,16,34)),1+(LEFT(TRIM(INDEX(PASTE_ALL,16,34)),1)="-"),999),1)="%")),"0",""),"1",""),"2",""),"3",""),"4",""),"5",""),"6",""),"7",""),"8",""),"9",""),".",""),",","")=""),2,1))),1)</f>
        <v/>
      </c>
      <c r="BG65">
        <f>IFERROR(IF(ISNUMBER(INDEX(PASTE_ALL,16,35)),2,IF(TRIM(INDEX(PASTE_ALL,16,35))="",0,IF(AND(LEFT(MID(TRIM(INDEX(PASTE_ALL,16,35)),1+(LEFT(TRIM(INDEX(PASTE_ALL,16,35)),1)="-"),999),LEN(MID(TRIM(INDEX(PASTE_ALL,16,35)),1+(LEFT(TRIM(INDEX(PASTE_ALL,16,35)),1)="-"),999))-(RIGHT(MID(TRIM(INDEX(PASTE_ALL,16,35)),1+(LEFT(TRIM(INDEX(PASTE_ALL,16,35)),1)="-"),999),1)="%"))&lt;&gt;"",SUBSTITUTE(SUBSTITUTE(SUBSTITUTE(SUBSTITUTE(SUBSTITUTE(SUBSTITUTE(SUBSTITUTE(SUBSTITUTE(SUBSTITUTE(SUBSTITUTE(SUBSTITUTE(SUBSTITUTE(LEFT(MID(TRIM(INDEX(PASTE_ALL,16,35)),1+(LEFT(TRIM(INDEX(PASTE_ALL,16,35)),1)="-"),999),LEN(MID(TRIM(INDEX(PASTE_ALL,16,35)),1+(LEFT(TRIM(INDEX(PASTE_ALL,16,35)),1)="-"),999))-(RIGHT(MID(TRIM(INDEX(PASTE_ALL,16,35)),1+(LEFT(TRIM(INDEX(PASTE_ALL,16,35)),1)="-"),999),1)="%")),"0",""),"1",""),"2",""),"3",""),"4",""),"5",""),"6",""),"7",""),"8",""),"9",""),".",""),",","")=""),2,1))),1)</f>
        <v/>
      </c>
      <c r="BH65">
        <f>IFERROR(IF(ISNUMBER(INDEX(PASTE_ALL,16,36)),2,IF(TRIM(INDEX(PASTE_ALL,16,36))="",0,IF(AND(LEFT(MID(TRIM(INDEX(PASTE_ALL,16,36)),1+(LEFT(TRIM(INDEX(PASTE_ALL,16,36)),1)="-"),999),LEN(MID(TRIM(INDEX(PASTE_ALL,16,36)),1+(LEFT(TRIM(INDEX(PASTE_ALL,16,36)),1)="-"),999))-(RIGHT(MID(TRIM(INDEX(PASTE_ALL,16,36)),1+(LEFT(TRIM(INDEX(PASTE_ALL,16,36)),1)="-"),999),1)="%"))&lt;&gt;"",SUBSTITUTE(SUBSTITUTE(SUBSTITUTE(SUBSTITUTE(SUBSTITUTE(SUBSTITUTE(SUBSTITUTE(SUBSTITUTE(SUBSTITUTE(SUBSTITUTE(SUBSTITUTE(SUBSTITUTE(LEFT(MID(TRIM(INDEX(PASTE_ALL,16,36)),1+(LEFT(TRIM(INDEX(PASTE_ALL,16,36)),1)="-"),999),LEN(MID(TRIM(INDEX(PASTE_ALL,16,36)),1+(LEFT(TRIM(INDEX(PASTE_ALL,16,36)),1)="-"),999))-(RIGHT(MID(TRIM(INDEX(PASTE_ALL,16,36)),1+(LEFT(TRIM(INDEX(PASTE_ALL,16,36)),1)="-"),999),1)="%")),"0",""),"1",""),"2",""),"3",""),"4",""),"5",""),"6",""),"7",""),"8",""),"9",""),".",""),",","")=""),2,1))),1)</f>
        <v/>
      </c>
      <c r="BI65">
        <f>IFERROR(IF(ISNUMBER(INDEX(PASTE_ALL,16,37)),2,IF(TRIM(INDEX(PASTE_ALL,16,37))="",0,IF(AND(LEFT(MID(TRIM(INDEX(PASTE_ALL,16,37)),1+(LEFT(TRIM(INDEX(PASTE_ALL,16,37)),1)="-"),999),LEN(MID(TRIM(INDEX(PASTE_ALL,16,37)),1+(LEFT(TRIM(INDEX(PASTE_ALL,16,37)),1)="-"),999))-(RIGHT(MID(TRIM(INDEX(PASTE_ALL,16,37)),1+(LEFT(TRIM(INDEX(PASTE_ALL,16,37)),1)="-"),999),1)="%"))&lt;&gt;"",SUBSTITUTE(SUBSTITUTE(SUBSTITUTE(SUBSTITUTE(SUBSTITUTE(SUBSTITUTE(SUBSTITUTE(SUBSTITUTE(SUBSTITUTE(SUBSTITUTE(SUBSTITUTE(SUBSTITUTE(LEFT(MID(TRIM(INDEX(PASTE_ALL,16,37)),1+(LEFT(TRIM(INDEX(PASTE_ALL,16,37)),1)="-"),999),LEN(MID(TRIM(INDEX(PASTE_ALL,16,37)),1+(LEFT(TRIM(INDEX(PASTE_ALL,16,37)),1)="-"),999))-(RIGHT(MID(TRIM(INDEX(PASTE_ALL,16,37)),1+(LEFT(TRIM(INDEX(PASTE_ALL,16,37)),1)="-"),999),1)="%")),"0",""),"1",""),"2",""),"3",""),"4",""),"5",""),"6",""),"7",""),"8",""),"9",""),".",""),",","")=""),2,1))),1)</f>
        <v/>
      </c>
      <c r="BJ65">
        <f>IFERROR(IF(ISNUMBER(INDEX(PASTE_ALL,16,38)),2,IF(TRIM(INDEX(PASTE_ALL,16,38))="",0,IF(AND(LEFT(MID(TRIM(INDEX(PASTE_ALL,16,38)),1+(LEFT(TRIM(INDEX(PASTE_ALL,16,38)),1)="-"),999),LEN(MID(TRIM(INDEX(PASTE_ALL,16,38)),1+(LEFT(TRIM(INDEX(PASTE_ALL,16,38)),1)="-"),999))-(RIGHT(MID(TRIM(INDEX(PASTE_ALL,16,38)),1+(LEFT(TRIM(INDEX(PASTE_ALL,16,38)),1)="-"),999),1)="%"))&lt;&gt;"",SUBSTITUTE(SUBSTITUTE(SUBSTITUTE(SUBSTITUTE(SUBSTITUTE(SUBSTITUTE(SUBSTITUTE(SUBSTITUTE(SUBSTITUTE(SUBSTITUTE(SUBSTITUTE(SUBSTITUTE(LEFT(MID(TRIM(INDEX(PASTE_ALL,16,38)),1+(LEFT(TRIM(INDEX(PASTE_ALL,16,38)),1)="-"),999),LEN(MID(TRIM(INDEX(PASTE_ALL,16,38)),1+(LEFT(TRIM(INDEX(PASTE_ALL,16,38)),1)="-"),999))-(RIGHT(MID(TRIM(INDEX(PASTE_ALL,16,38)),1+(LEFT(TRIM(INDEX(PASTE_ALL,16,38)),1)="-"),999),1)="%")),"0",""),"1",""),"2",""),"3",""),"4",""),"5",""),"6",""),"7",""),"8",""),"9",""),".",""),",","")=""),2,1))),1)</f>
        <v/>
      </c>
      <c r="BK65">
        <f>IFERROR(IF(ISNUMBER(INDEX(PASTE_ALL,16,39)),2,IF(TRIM(INDEX(PASTE_ALL,16,39))="",0,IF(AND(LEFT(MID(TRIM(INDEX(PASTE_ALL,16,39)),1+(LEFT(TRIM(INDEX(PASTE_ALL,16,39)),1)="-"),999),LEN(MID(TRIM(INDEX(PASTE_ALL,16,39)),1+(LEFT(TRIM(INDEX(PASTE_ALL,16,39)),1)="-"),999))-(RIGHT(MID(TRIM(INDEX(PASTE_ALL,16,39)),1+(LEFT(TRIM(INDEX(PASTE_ALL,16,39)),1)="-"),999),1)="%"))&lt;&gt;"",SUBSTITUTE(SUBSTITUTE(SUBSTITUTE(SUBSTITUTE(SUBSTITUTE(SUBSTITUTE(SUBSTITUTE(SUBSTITUTE(SUBSTITUTE(SUBSTITUTE(SUBSTITUTE(SUBSTITUTE(LEFT(MID(TRIM(INDEX(PASTE_ALL,16,39)),1+(LEFT(TRIM(INDEX(PASTE_ALL,16,39)),1)="-"),999),LEN(MID(TRIM(INDEX(PASTE_ALL,16,39)),1+(LEFT(TRIM(INDEX(PASTE_ALL,16,39)),1)="-"),999))-(RIGHT(MID(TRIM(INDEX(PASTE_ALL,16,39)),1+(LEFT(TRIM(INDEX(PASTE_ALL,16,39)),1)="-"),999),1)="%")),"0",""),"1",""),"2",""),"3",""),"4",""),"5",""),"6",""),"7",""),"8",""),"9",""),".",""),",","")=""),2,1))),1)</f>
        <v/>
      </c>
      <c r="BL65">
        <f>IFERROR(IF(ISNUMBER(INDEX(PASTE_ALL,16,40)),2,IF(TRIM(INDEX(PASTE_ALL,16,40))="",0,IF(AND(LEFT(MID(TRIM(INDEX(PASTE_ALL,16,40)),1+(LEFT(TRIM(INDEX(PASTE_ALL,16,40)),1)="-"),999),LEN(MID(TRIM(INDEX(PASTE_ALL,16,40)),1+(LEFT(TRIM(INDEX(PASTE_ALL,16,40)),1)="-"),999))-(RIGHT(MID(TRIM(INDEX(PASTE_ALL,16,40)),1+(LEFT(TRIM(INDEX(PASTE_ALL,16,40)),1)="-"),999),1)="%"))&lt;&gt;"",SUBSTITUTE(SUBSTITUTE(SUBSTITUTE(SUBSTITUTE(SUBSTITUTE(SUBSTITUTE(SUBSTITUTE(SUBSTITUTE(SUBSTITUTE(SUBSTITUTE(SUBSTITUTE(SUBSTITUTE(LEFT(MID(TRIM(INDEX(PASTE_ALL,16,40)),1+(LEFT(TRIM(INDEX(PASTE_ALL,16,40)),1)="-"),999),LEN(MID(TRIM(INDEX(PASTE_ALL,16,40)),1+(LEFT(TRIM(INDEX(PASTE_ALL,16,40)),1)="-"),999))-(RIGHT(MID(TRIM(INDEX(PASTE_ALL,16,40)),1+(LEFT(TRIM(INDEX(PASTE_ALL,16,40)),1)="-"),999),1)="%")),"0",""),"1",""),"2",""),"3",""),"4",""),"5",""),"6",""),"7",""),"8",""),"9",""),".",""),",","")=""),2,1))),1)</f>
        <v/>
      </c>
      <c r="BM65">
        <f>IFERROR(IF(ISNUMBER(INDEX(PASTE_ALL,16,41)),2,IF(TRIM(INDEX(PASTE_ALL,16,41))="",0,IF(AND(LEFT(MID(TRIM(INDEX(PASTE_ALL,16,41)),1+(LEFT(TRIM(INDEX(PASTE_ALL,16,41)),1)="-"),999),LEN(MID(TRIM(INDEX(PASTE_ALL,16,41)),1+(LEFT(TRIM(INDEX(PASTE_ALL,16,41)),1)="-"),999))-(RIGHT(MID(TRIM(INDEX(PASTE_ALL,16,41)),1+(LEFT(TRIM(INDEX(PASTE_ALL,16,41)),1)="-"),999),1)="%"))&lt;&gt;"",SUBSTITUTE(SUBSTITUTE(SUBSTITUTE(SUBSTITUTE(SUBSTITUTE(SUBSTITUTE(SUBSTITUTE(SUBSTITUTE(SUBSTITUTE(SUBSTITUTE(SUBSTITUTE(SUBSTITUTE(LEFT(MID(TRIM(INDEX(PASTE_ALL,16,41)),1+(LEFT(TRIM(INDEX(PASTE_ALL,16,41)),1)="-"),999),LEN(MID(TRIM(INDEX(PASTE_ALL,16,41)),1+(LEFT(TRIM(INDEX(PASTE_ALL,16,41)),1)="-"),999))-(RIGHT(MID(TRIM(INDEX(PASTE_ALL,16,41)),1+(LEFT(TRIM(INDEX(PASTE_ALL,16,41)),1)="-"),999),1)="%")),"0",""),"1",""),"2",""),"3",""),"4",""),"5",""),"6",""),"7",""),"8",""),"9",""),".",""),",","")=""),2,1))),1)</f>
        <v/>
      </c>
      <c r="BN65">
        <f>IFERROR(IF(ISNUMBER(INDEX(PASTE_ALL,16,42)),2,IF(TRIM(INDEX(PASTE_ALL,16,42))="",0,IF(AND(LEFT(MID(TRIM(INDEX(PASTE_ALL,16,42)),1+(LEFT(TRIM(INDEX(PASTE_ALL,16,42)),1)="-"),999),LEN(MID(TRIM(INDEX(PASTE_ALL,16,42)),1+(LEFT(TRIM(INDEX(PASTE_ALL,16,42)),1)="-"),999))-(RIGHT(MID(TRIM(INDEX(PASTE_ALL,16,42)),1+(LEFT(TRIM(INDEX(PASTE_ALL,16,42)),1)="-"),999),1)="%"))&lt;&gt;"",SUBSTITUTE(SUBSTITUTE(SUBSTITUTE(SUBSTITUTE(SUBSTITUTE(SUBSTITUTE(SUBSTITUTE(SUBSTITUTE(SUBSTITUTE(SUBSTITUTE(SUBSTITUTE(SUBSTITUTE(LEFT(MID(TRIM(INDEX(PASTE_ALL,16,42)),1+(LEFT(TRIM(INDEX(PASTE_ALL,16,42)),1)="-"),999),LEN(MID(TRIM(INDEX(PASTE_ALL,16,42)),1+(LEFT(TRIM(INDEX(PASTE_ALL,16,42)),1)="-"),999))-(RIGHT(MID(TRIM(INDEX(PASTE_ALL,16,42)),1+(LEFT(TRIM(INDEX(PASTE_ALL,16,42)),1)="-"),999),1)="%")),"0",""),"1",""),"2",""),"3",""),"4",""),"5",""),"6",""),"7",""),"8",""),"9",""),".",""),",","")=""),2,1))),1)</f>
        <v/>
      </c>
      <c r="BO65">
        <f>IFERROR(IF(ISNUMBER(INDEX(PASTE_ALL,16,43)),2,IF(TRIM(INDEX(PASTE_ALL,16,43))="",0,IF(AND(LEFT(MID(TRIM(INDEX(PASTE_ALL,16,43)),1+(LEFT(TRIM(INDEX(PASTE_ALL,16,43)),1)="-"),999),LEN(MID(TRIM(INDEX(PASTE_ALL,16,43)),1+(LEFT(TRIM(INDEX(PASTE_ALL,16,43)),1)="-"),999))-(RIGHT(MID(TRIM(INDEX(PASTE_ALL,16,43)),1+(LEFT(TRIM(INDEX(PASTE_ALL,16,43)),1)="-"),999),1)="%"))&lt;&gt;"",SUBSTITUTE(SUBSTITUTE(SUBSTITUTE(SUBSTITUTE(SUBSTITUTE(SUBSTITUTE(SUBSTITUTE(SUBSTITUTE(SUBSTITUTE(SUBSTITUTE(SUBSTITUTE(SUBSTITUTE(LEFT(MID(TRIM(INDEX(PASTE_ALL,16,43)),1+(LEFT(TRIM(INDEX(PASTE_ALL,16,43)),1)="-"),999),LEN(MID(TRIM(INDEX(PASTE_ALL,16,43)),1+(LEFT(TRIM(INDEX(PASTE_ALL,16,43)),1)="-"),999))-(RIGHT(MID(TRIM(INDEX(PASTE_ALL,16,43)),1+(LEFT(TRIM(INDEX(PASTE_ALL,16,43)),1)="-"),999),1)="%")),"0",""),"1",""),"2",""),"3",""),"4",""),"5",""),"6",""),"7",""),"8",""),"9",""),".",""),",","")=""),2,1))),1)</f>
        <v/>
      </c>
      <c r="BP65">
        <f>IFERROR(IF(ISNUMBER(INDEX(PASTE_ALL,16,44)),2,IF(TRIM(INDEX(PASTE_ALL,16,44))="",0,IF(AND(LEFT(MID(TRIM(INDEX(PASTE_ALL,16,44)),1+(LEFT(TRIM(INDEX(PASTE_ALL,16,44)),1)="-"),999),LEN(MID(TRIM(INDEX(PASTE_ALL,16,44)),1+(LEFT(TRIM(INDEX(PASTE_ALL,16,44)),1)="-"),999))-(RIGHT(MID(TRIM(INDEX(PASTE_ALL,16,44)),1+(LEFT(TRIM(INDEX(PASTE_ALL,16,44)),1)="-"),999),1)="%"))&lt;&gt;"",SUBSTITUTE(SUBSTITUTE(SUBSTITUTE(SUBSTITUTE(SUBSTITUTE(SUBSTITUTE(SUBSTITUTE(SUBSTITUTE(SUBSTITUTE(SUBSTITUTE(SUBSTITUTE(SUBSTITUTE(LEFT(MID(TRIM(INDEX(PASTE_ALL,16,44)),1+(LEFT(TRIM(INDEX(PASTE_ALL,16,44)),1)="-"),999),LEN(MID(TRIM(INDEX(PASTE_ALL,16,44)),1+(LEFT(TRIM(INDEX(PASTE_ALL,16,44)),1)="-"),999))-(RIGHT(MID(TRIM(INDEX(PASTE_ALL,16,44)),1+(LEFT(TRIM(INDEX(PASTE_ALL,16,44)),1)="-"),999),1)="%")),"0",""),"1",""),"2",""),"3",""),"4",""),"5",""),"6",""),"7",""),"8",""),"9",""),".",""),",","")=""),2,1))),1)</f>
        <v/>
      </c>
      <c r="BQ65">
        <f>IFERROR(IF(ISNUMBER(INDEX(PASTE_ALL,16,45)),2,IF(TRIM(INDEX(PASTE_ALL,16,45))="",0,IF(AND(LEFT(MID(TRIM(INDEX(PASTE_ALL,16,45)),1+(LEFT(TRIM(INDEX(PASTE_ALL,16,45)),1)="-"),999),LEN(MID(TRIM(INDEX(PASTE_ALL,16,45)),1+(LEFT(TRIM(INDEX(PASTE_ALL,16,45)),1)="-"),999))-(RIGHT(MID(TRIM(INDEX(PASTE_ALL,16,45)),1+(LEFT(TRIM(INDEX(PASTE_ALL,16,45)),1)="-"),999),1)="%"))&lt;&gt;"",SUBSTITUTE(SUBSTITUTE(SUBSTITUTE(SUBSTITUTE(SUBSTITUTE(SUBSTITUTE(SUBSTITUTE(SUBSTITUTE(SUBSTITUTE(SUBSTITUTE(SUBSTITUTE(SUBSTITUTE(LEFT(MID(TRIM(INDEX(PASTE_ALL,16,45)),1+(LEFT(TRIM(INDEX(PASTE_ALL,16,45)),1)="-"),999),LEN(MID(TRIM(INDEX(PASTE_ALL,16,45)),1+(LEFT(TRIM(INDEX(PASTE_ALL,16,45)),1)="-"),999))-(RIGHT(MID(TRIM(INDEX(PASTE_ALL,16,45)),1+(LEFT(TRIM(INDEX(PASTE_ALL,16,45)),1)="-"),999),1)="%")),"0",""),"1",""),"2",""),"3",""),"4",""),"5",""),"6",""),"7",""),"8",""),"9",""),".",""),",","")=""),2,1))),1)</f>
        <v/>
      </c>
      <c r="BR65">
        <f>IFERROR(IF(ISNUMBER(INDEX(PASTE_ALL,16,46)),2,IF(TRIM(INDEX(PASTE_ALL,16,46))="",0,IF(AND(LEFT(MID(TRIM(INDEX(PASTE_ALL,16,46)),1+(LEFT(TRIM(INDEX(PASTE_ALL,16,46)),1)="-"),999),LEN(MID(TRIM(INDEX(PASTE_ALL,16,46)),1+(LEFT(TRIM(INDEX(PASTE_ALL,16,46)),1)="-"),999))-(RIGHT(MID(TRIM(INDEX(PASTE_ALL,16,46)),1+(LEFT(TRIM(INDEX(PASTE_ALL,16,46)),1)="-"),999),1)="%"))&lt;&gt;"",SUBSTITUTE(SUBSTITUTE(SUBSTITUTE(SUBSTITUTE(SUBSTITUTE(SUBSTITUTE(SUBSTITUTE(SUBSTITUTE(SUBSTITUTE(SUBSTITUTE(SUBSTITUTE(SUBSTITUTE(LEFT(MID(TRIM(INDEX(PASTE_ALL,16,46)),1+(LEFT(TRIM(INDEX(PASTE_ALL,16,46)),1)="-"),999),LEN(MID(TRIM(INDEX(PASTE_ALL,16,46)),1+(LEFT(TRIM(INDEX(PASTE_ALL,16,46)),1)="-"),999))-(RIGHT(MID(TRIM(INDEX(PASTE_ALL,16,46)),1+(LEFT(TRIM(INDEX(PASTE_ALL,16,46)),1)="-"),999),1)="%")),"0",""),"1",""),"2",""),"3",""),"4",""),"5",""),"6",""),"7",""),"8",""),"9",""),".",""),",","")=""),2,1))),1)</f>
        <v/>
      </c>
      <c r="BS65">
        <f>IFERROR(IF(ISNUMBER(INDEX(PASTE_ALL,16,47)),2,IF(TRIM(INDEX(PASTE_ALL,16,47))="",0,IF(AND(LEFT(MID(TRIM(INDEX(PASTE_ALL,16,47)),1+(LEFT(TRIM(INDEX(PASTE_ALL,16,47)),1)="-"),999),LEN(MID(TRIM(INDEX(PASTE_ALL,16,47)),1+(LEFT(TRIM(INDEX(PASTE_ALL,16,47)),1)="-"),999))-(RIGHT(MID(TRIM(INDEX(PASTE_ALL,16,47)),1+(LEFT(TRIM(INDEX(PASTE_ALL,16,47)),1)="-"),999),1)="%"))&lt;&gt;"",SUBSTITUTE(SUBSTITUTE(SUBSTITUTE(SUBSTITUTE(SUBSTITUTE(SUBSTITUTE(SUBSTITUTE(SUBSTITUTE(SUBSTITUTE(SUBSTITUTE(SUBSTITUTE(SUBSTITUTE(LEFT(MID(TRIM(INDEX(PASTE_ALL,16,47)),1+(LEFT(TRIM(INDEX(PASTE_ALL,16,47)),1)="-"),999),LEN(MID(TRIM(INDEX(PASTE_ALL,16,47)),1+(LEFT(TRIM(INDEX(PASTE_ALL,16,47)),1)="-"),999))-(RIGHT(MID(TRIM(INDEX(PASTE_ALL,16,47)),1+(LEFT(TRIM(INDEX(PASTE_ALL,16,47)),1)="-"),999),1)="%")),"0",""),"1",""),"2",""),"3",""),"4",""),"5",""),"6",""),"7",""),"8",""),"9",""),".",""),",","")=""),2,1))),1)</f>
        <v/>
      </c>
      <c r="BT65">
        <f>IFERROR(IF(ISNUMBER(INDEX(PASTE_ALL,16,48)),2,IF(TRIM(INDEX(PASTE_ALL,16,48))="",0,IF(AND(LEFT(MID(TRIM(INDEX(PASTE_ALL,16,48)),1+(LEFT(TRIM(INDEX(PASTE_ALL,16,48)),1)="-"),999),LEN(MID(TRIM(INDEX(PASTE_ALL,16,48)),1+(LEFT(TRIM(INDEX(PASTE_ALL,16,48)),1)="-"),999))-(RIGHT(MID(TRIM(INDEX(PASTE_ALL,16,48)),1+(LEFT(TRIM(INDEX(PASTE_ALL,16,48)),1)="-"),999),1)="%"))&lt;&gt;"",SUBSTITUTE(SUBSTITUTE(SUBSTITUTE(SUBSTITUTE(SUBSTITUTE(SUBSTITUTE(SUBSTITUTE(SUBSTITUTE(SUBSTITUTE(SUBSTITUTE(SUBSTITUTE(SUBSTITUTE(LEFT(MID(TRIM(INDEX(PASTE_ALL,16,48)),1+(LEFT(TRIM(INDEX(PASTE_ALL,16,48)),1)="-"),999),LEN(MID(TRIM(INDEX(PASTE_ALL,16,48)),1+(LEFT(TRIM(INDEX(PASTE_ALL,16,48)),1)="-"),999))-(RIGHT(MID(TRIM(INDEX(PASTE_ALL,16,48)),1+(LEFT(TRIM(INDEX(PASTE_ALL,16,48)),1)="-"),999),1)="%")),"0",""),"1",""),"2",""),"3",""),"4",""),"5",""),"6",""),"7",""),"8",""),"9",""),".",""),",","")=""),2,1))),1)</f>
        <v/>
      </c>
      <c r="BU65">
        <f>IFERROR(IF(ISNUMBER(INDEX(PASTE_ALL,16,49)),2,IF(TRIM(INDEX(PASTE_ALL,16,49))="",0,IF(AND(LEFT(MID(TRIM(INDEX(PASTE_ALL,16,49)),1+(LEFT(TRIM(INDEX(PASTE_ALL,16,49)),1)="-"),999),LEN(MID(TRIM(INDEX(PASTE_ALL,16,49)),1+(LEFT(TRIM(INDEX(PASTE_ALL,16,49)),1)="-"),999))-(RIGHT(MID(TRIM(INDEX(PASTE_ALL,16,49)),1+(LEFT(TRIM(INDEX(PASTE_ALL,16,49)),1)="-"),999),1)="%"))&lt;&gt;"",SUBSTITUTE(SUBSTITUTE(SUBSTITUTE(SUBSTITUTE(SUBSTITUTE(SUBSTITUTE(SUBSTITUTE(SUBSTITUTE(SUBSTITUTE(SUBSTITUTE(SUBSTITUTE(SUBSTITUTE(LEFT(MID(TRIM(INDEX(PASTE_ALL,16,49)),1+(LEFT(TRIM(INDEX(PASTE_ALL,16,49)),1)="-"),999),LEN(MID(TRIM(INDEX(PASTE_ALL,16,49)),1+(LEFT(TRIM(INDEX(PASTE_ALL,16,49)),1)="-"),999))-(RIGHT(MID(TRIM(INDEX(PASTE_ALL,16,49)),1+(LEFT(TRIM(INDEX(PASTE_ALL,16,49)),1)="-"),999),1)="%")),"0",""),"1",""),"2",""),"3",""),"4",""),"5",""),"6",""),"7",""),"8",""),"9",""),".",""),",","")=""),2,1))),1)</f>
        <v/>
      </c>
      <c r="BV65">
        <f>IFERROR(IF(ISNUMBER(INDEX(PASTE_ALL,16,50)),2,IF(TRIM(INDEX(PASTE_ALL,16,50))="",0,IF(AND(LEFT(MID(TRIM(INDEX(PASTE_ALL,16,50)),1+(LEFT(TRIM(INDEX(PASTE_ALL,16,50)),1)="-"),999),LEN(MID(TRIM(INDEX(PASTE_ALL,16,50)),1+(LEFT(TRIM(INDEX(PASTE_ALL,16,50)),1)="-"),999))-(RIGHT(MID(TRIM(INDEX(PASTE_ALL,16,50)),1+(LEFT(TRIM(INDEX(PASTE_ALL,16,50)),1)="-"),999),1)="%"))&lt;&gt;"",SUBSTITUTE(SUBSTITUTE(SUBSTITUTE(SUBSTITUTE(SUBSTITUTE(SUBSTITUTE(SUBSTITUTE(SUBSTITUTE(SUBSTITUTE(SUBSTITUTE(SUBSTITUTE(SUBSTITUTE(LEFT(MID(TRIM(INDEX(PASTE_ALL,16,50)),1+(LEFT(TRIM(INDEX(PASTE_ALL,16,50)),1)="-"),999),LEN(MID(TRIM(INDEX(PASTE_ALL,16,50)),1+(LEFT(TRIM(INDEX(PASTE_ALL,16,50)),1)="-"),999))-(RIGHT(MID(TRIM(INDEX(PASTE_ALL,16,50)),1+(LEFT(TRIM(INDEX(PASTE_ALL,16,50)),1)="-"),999),1)="%")),"0",""),"1",""),"2",""),"3",""),"4",""),"5",""),"6",""),"7",""),"8",""),"9",""),".",""),",","")=""),2,1))),1)</f>
        <v/>
      </c>
      <c r="BW65">
        <f>IFERROR(IF(ISNUMBER(INDEX(PASTE_ALL,16,51)),2,IF(TRIM(INDEX(PASTE_ALL,16,51))="",0,IF(AND(LEFT(MID(TRIM(INDEX(PASTE_ALL,16,51)),1+(LEFT(TRIM(INDEX(PASTE_ALL,16,51)),1)="-"),999),LEN(MID(TRIM(INDEX(PASTE_ALL,16,51)),1+(LEFT(TRIM(INDEX(PASTE_ALL,16,51)),1)="-"),999))-(RIGHT(MID(TRIM(INDEX(PASTE_ALL,16,51)),1+(LEFT(TRIM(INDEX(PASTE_ALL,16,51)),1)="-"),999),1)="%"))&lt;&gt;"",SUBSTITUTE(SUBSTITUTE(SUBSTITUTE(SUBSTITUTE(SUBSTITUTE(SUBSTITUTE(SUBSTITUTE(SUBSTITUTE(SUBSTITUTE(SUBSTITUTE(SUBSTITUTE(SUBSTITUTE(LEFT(MID(TRIM(INDEX(PASTE_ALL,16,51)),1+(LEFT(TRIM(INDEX(PASTE_ALL,16,51)),1)="-"),999),LEN(MID(TRIM(INDEX(PASTE_ALL,16,51)),1+(LEFT(TRIM(INDEX(PASTE_ALL,16,51)),1)="-"),999))-(RIGHT(MID(TRIM(INDEX(PASTE_ALL,16,51)),1+(LEFT(TRIM(INDEX(PASTE_ALL,16,51)),1)="-"),999),1)="%")),"0",""),"1",""),"2",""),"3",""),"4",""),"5",""),"6",""),"7",""),"8",""),"9",""),".",""),",","")=""),2,1))),1)</f>
        <v/>
      </c>
      <c r="BX65">
        <f>IFERROR(IF(ISNUMBER(INDEX(PASTE_ALL,16,52)),2,IF(TRIM(INDEX(PASTE_ALL,16,52))="",0,IF(AND(LEFT(MID(TRIM(INDEX(PASTE_ALL,16,52)),1+(LEFT(TRIM(INDEX(PASTE_ALL,16,52)),1)="-"),999),LEN(MID(TRIM(INDEX(PASTE_ALL,16,52)),1+(LEFT(TRIM(INDEX(PASTE_ALL,16,52)),1)="-"),999))-(RIGHT(MID(TRIM(INDEX(PASTE_ALL,16,52)),1+(LEFT(TRIM(INDEX(PASTE_ALL,16,52)),1)="-"),999),1)="%"))&lt;&gt;"",SUBSTITUTE(SUBSTITUTE(SUBSTITUTE(SUBSTITUTE(SUBSTITUTE(SUBSTITUTE(SUBSTITUTE(SUBSTITUTE(SUBSTITUTE(SUBSTITUTE(SUBSTITUTE(SUBSTITUTE(LEFT(MID(TRIM(INDEX(PASTE_ALL,16,52)),1+(LEFT(TRIM(INDEX(PASTE_ALL,16,52)),1)="-"),999),LEN(MID(TRIM(INDEX(PASTE_ALL,16,52)),1+(LEFT(TRIM(INDEX(PASTE_ALL,16,52)),1)="-"),999))-(RIGHT(MID(TRIM(INDEX(PASTE_ALL,16,52)),1+(LEFT(TRIM(INDEX(PASTE_ALL,16,52)),1)="-"),999),1)="%")),"0",""),"1",""),"2",""),"3",""),"4",""),"5",""),"6",""),"7",""),"8",""),"9",""),".",""),",","")=""),2,1))),1)</f>
        <v/>
      </c>
      <c r="BY65">
        <f>IFERROR(IF(ISNUMBER(INDEX(PASTE_ALL,16,53)),2,IF(TRIM(INDEX(PASTE_ALL,16,53))="",0,IF(AND(LEFT(MID(TRIM(INDEX(PASTE_ALL,16,53)),1+(LEFT(TRIM(INDEX(PASTE_ALL,16,53)),1)="-"),999),LEN(MID(TRIM(INDEX(PASTE_ALL,16,53)),1+(LEFT(TRIM(INDEX(PASTE_ALL,16,53)),1)="-"),999))-(RIGHT(MID(TRIM(INDEX(PASTE_ALL,16,53)),1+(LEFT(TRIM(INDEX(PASTE_ALL,16,53)),1)="-"),999),1)="%"))&lt;&gt;"",SUBSTITUTE(SUBSTITUTE(SUBSTITUTE(SUBSTITUTE(SUBSTITUTE(SUBSTITUTE(SUBSTITUTE(SUBSTITUTE(SUBSTITUTE(SUBSTITUTE(SUBSTITUTE(SUBSTITUTE(LEFT(MID(TRIM(INDEX(PASTE_ALL,16,53)),1+(LEFT(TRIM(INDEX(PASTE_ALL,16,53)),1)="-"),999),LEN(MID(TRIM(INDEX(PASTE_ALL,16,53)),1+(LEFT(TRIM(INDEX(PASTE_ALL,16,53)),1)="-"),999))-(RIGHT(MID(TRIM(INDEX(PASTE_ALL,16,53)),1+(LEFT(TRIM(INDEX(PASTE_ALL,16,53)),1)="-"),999),1)="%")),"0",""),"1",""),"2",""),"3",""),"4",""),"5",""),"6",""),"7",""),"8",""),"9",""),".",""),",","")=""),2,1))),1)</f>
        <v/>
      </c>
      <c r="BZ65">
        <f>IFERROR(IF(ISNUMBER(INDEX(PASTE_ALL,16,54)),2,IF(TRIM(INDEX(PASTE_ALL,16,54))="",0,IF(AND(LEFT(MID(TRIM(INDEX(PASTE_ALL,16,54)),1+(LEFT(TRIM(INDEX(PASTE_ALL,16,54)),1)="-"),999),LEN(MID(TRIM(INDEX(PASTE_ALL,16,54)),1+(LEFT(TRIM(INDEX(PASTE_ALL,16,54)),1)="-"),999))-(RIGHT(MID(TRIM(INDEX(PASTE_ALL,16,54)),1+(LEFT(TRIM(INDEX(PASTE_ALL,16,54)),1)="-"),999),1)="%"))&lt;&gt;"",SUBSTITUTE(SUBSTITUTE(SUBSTITUTE(SUBSTITUTE(SUBSTITUTE(SUBSTITUTE(SUBSTITUTE(SUBSTITUTE(SUBSTITUTE(SUBSTITUTE(SUBSTITUTE(SUBSTITUTE(LEFT(MID(TRIM(INDEX(PASTE_ALL,16,54)),1+(LEFT(TRIM(INDEX(PASTE_ALL,16,54)),1)="-"),999),LEN(MID(TRIM(INDEX(PASTE_ALL,16,54)),1+(LEFT(TRIM(INDEX(PASTE_ALL,16,54)),1)="-"),999))-(RIGHT(MID(TRIM(INDEX(PASTE_ALL,16,54)),1+(LEFT(TRIM(INDEX(PASTE_ALL,16,54)),1)="-"),999),1)="%")),"0",""),"1",""),"2",""),"3",""),"4",""),"5",""),"6",""),"7",""),"8",""),"9",""),".",""),",","")=""),2,1))),1)</f>
        <v/>
      </c>
      <c r="CA65">
        <f>IFERROR(IF(ISNUMBER(INDEX(PASTE_ALL,16,55)),2,IF(TRIM(INDEX(PASTE_ALL,16,55))="",0,IF(AND(LEFT(MID(TRIM(INDEX(PASTE_ALL,16,55)),1+(LEFT(TRIM(INDEX(PASTE_ALL,16,55)),1)="-"),999),LEN(MID(TRIM(INDEX(PASTE_ALL,16,55)),1+(LEFT(TRIM(INDEX(PASTE_ALL,16,55)),1)="-"),999))-(RIGHT(MID(TRIM(INDEX(PASTE_ALL,16,55)),1+(LEFT(TRIM(INDEX(PASTE_ALL,16,55)),1)="-"),999),1)="%"))&lt;&gt;"",SUBSTITUTE(SUBSTITUTE(SUBSTITUTE(SUBSTITUTE(SUBSTITUTE(SUBSTITUTE(SUBSTITUTE(SUBSTITUTE(SUBSTITUTE(SUBSTITUTE(SUBSTITUTE(SUBSTITUTE(LEFT(MID(TRIM(INDEX(PASTE_ALL,16,55)),1+(LEFT(TRIM(INDEX(PASTE_ALL,16,55)),1)="-"),999),LEN(MID(TRIM(INDEX(PASTE_ALL,16,55)),1+(LEFT(TRIM(INDEX(PASTE_ALL,16,55)),1)="-"),999))-(RIGHT(MID(TRIM(INDEX(PASTE_ALL,16,55)),1+(LEFT(TRIM(INDEX(PASTE_ALL,16,55)),1)="-"),999),1)="%")),"0",""),"1",""),"2",""),"3",""),"4",""),"5",""),"6",""),"7",""),"8",""),"9",""),".",""),",","")=""),2,1))),1)</f>
        <v/>
      </c>
      <c r="CB65">
        <f>IFERROR(IF(ISNUMBER(INDEX(PASTE_ALL,16,56)),2,IF(TRIM(INDEX(PASTE_ALL,16,56))="",0,IF(AND(LEFT(MID(TRIM(INDEX(PASTE_ALL,16,56)),1+(LEFT(TRIM(INDEX(PASTE_ALL,16,56)),1)="-"),999),LEN(MID(TRIM(INDEX(PASTE_ALL,16,56)),1+(LEFT(TRIM(INDEX(PASTE_ALL,16,56)),1)="-"),999))-(RIGHT(MID(TRIM(INDEX(PASTE_ALL,16,56)),1+(LEFT(TRIM(INDEX(PASTE_ALL,16,56)),1)="-"),999),1)="%"))&lt;&gt;"",SUBSTITUTE(SUBSTITUTE(SUBSTITUTE(SUBSTITUTE(SUBSTITUTE(SUBSTITUTE(SUBSTITUTE(SUBSTITUTE(SUBSTITUTE(SUBSTITUTE(SUBSTITUTE(SUBSTITUTE(LEFT(MID(TRIM(INDEX(PASTE_ALL,16,56)),1+(LEFT(TRIM(INDEX(PASTE_ALL,16,56)),1)="-"),999),LEN(MID(TRIM(INDEX(PASTE_ALL,16,56)),1+(LEFT(TRIM(INDEX(PASTE_ALL,16,56)),1)="-"),999))-(RIGHT(MID(TRIM(INDEX(PASTE_ALL,16,56)),1+(LEFT(TRIM(INDEX(PASTE_ALL,16,56)),1)="-"),999),1)="%")),"0",""),"1",""),"2",""),"3",""),"4",""),"5",""),"6",""),"7",""),"8",""),"9",""),".",""),",","")=""),2,1))),1)</f>
        <v/>
      </c>
      <c r="CC65">
        <f>IFERROR(IF(ISNUMBER(INDEX(PASTE_ALL,16,57)),2,IF(TRIM(INDEX(PASTE_ALL,16,57))="",0,IF(AND(LEFT(MID(TRIM(INDEX(PASTE_ALL,16,57)),1+(LEFT(TRIM(INDEX(PASTE_ALL,16,57)),1)="-"),999),LEN(MID(TRIM(INDEX(PASTE_ALL,16,57)),1+(LEFT(TRIM(INDEX(PASTE_ALL,16,57)),1)="-"),999))-(RIGHT(MID(TRIM(INDEX(PASTE_ALL,16,57)),1+(LEFT(TRIM(INDEX(PASTE_ALL,16,57)),1)="-"),999),1)="%"))&lt;&gt;"",SUBSTITUTE(SUBSTITUTE(SUBSTITUTE(SUBSTITUTE(SUBSTITUTE(SUBSTITUTE(SUBSTITUTE(SUBSTITUTE(SUBSTITUTE(SUBSTITUTE(SUBSTITUTE(SUBSTITUTE(LEFT(MID(TRIM(INDEX(PASTE_ALL,16,57)),1+(LEFT(TRIM(INDEX(PASTE_ALL,16,57)),1)="-"),999),LEN(MID(TRIM(INDEX(PASTE_ALL,16,57)),1+(LEFT(TRIM(INDEX(PASTE_ALL,16,57)),1)="-"),999))-(RIGHT(MID(TRIM(INDEX(PASTE_ALL,16,57)),1+(LEFT(TRIM(INDEX(PASTE_ALL,16,57)),1)="-"),999),1)="%")),"0",""),"1",""),"2",""),"3",""),"4",""),"5",""),"6",""),"7",""),"8",""),"9",""),".",""),",","")=""),2,1))),1)</f>
        <v/>
      </c>
      <c r="CD65">
        <f>IFERROR(IF(ISNUMBER(INDEX(PASTE_ALL,16,58)),2,IF(TRIM(INDEX(PASTE_ALL,16,58))="",0,IF(AND(LEFT(MID(TRIM(INDEX(PASTE_ALL,16,58)),1+(LEFT(TRIM(INDEX(PASTE_ALL,16,58)),1)="-"),999),LEN(MID(TRIM(INDEX(PASTE_ALL,16,58)),1+(LEFT(TRIM(INDEX(PASTE_ALL,16,58)),1)="-"),999))-(RIGHT(MID(TRIM(INDEX(PASTE_ALL,16,58)),1+(LEFT(TRIM(INDEX(PASTE_ALL,16,58)),1)="-"),999),1)="%"))&lt;&gt;"",SUBSTITUTE(SUBSTITUTE(SUBSTITUTE(SUBSTITUTE(SUBSTITUTE(SUBSTITUTE(SUBSTITUTE(SUBSTITUTE(SUBSTITUTE(SUBSTITUTE(SUBSTITUTE(SUBSTITUTE(LEFT(MID(TRIM(INDEX(PASTE_ALL,16,58)),1+(LEFT(TRIM(INDEX(PASTE_ALL,16,58)),1)="-"),999),LEN(MID(TRIM(INDEX(PASTE_ALL,16,58)),1+(LEFT(TRIM(INDEX(PASTE_ALL,16,58)),1)="-"),999))-(RIGHT(MID(TRIM(INDEX(PASTE_ALL,16,58)),1+(LEFT(TRIM(INDEX(PASTE_ALL,16,58)),1)="-"),999),1)="%")),"0",""),"1",""),"2",""),"3",""),"4",""),"5",""),"6",""),"7",""),"8",""),"9",""),".",""),",","")=""),2,1))),1)</f>
        <v/>
      </c>
      <c r="CE65">
        <f>IFERROR(IF(ISNUMBER(INDEX(PASTE_ALL,16,59)),2,IF(TRIM(INDEX(PASTE_ALL,16,59))="",0,IF(AND(LEFT(MID(TRIM(INDEX(PASTE_ALL,16,59)),1+(LEFT(TRIM(INDEX(PASTE_ALL,16,59)),1)="-"),999),LEN(MID(TRIM(INDEX(PASTE_ALL,16,59)),1+(LEFT(TRIM(INDEX(PASTE_ALL,16,59)),1)="-"),999))-(RIGHT(MID(TRIM(INDEX(PASTE_ALL,16,59)),1+(LEFT(TRIM(INDEX(PASTE_ALL,16,59)),1)="-"),999),1)="%"))&lt;&gt;"",SUBSTITUTE(SUBSTITUTE(SUBSTITUTE(SUBSTITUTE(SUBSTITUTE(SUBSTITUTE(SUBSTITUTE(SUBSTITUTE(SUBSTITUTE(SUBSTITUTE(SUBSTITUTE(SUBSTITUTE(LEFT(MID(TRIM(INDEX(PASTE_ALL,16,59)),1+(LEFT(TRIM(INDEX(PASTE_ALL,16,59)),1)="-"),999),LEN(MID(TRIM(INDEX(PASTE_ALL,16,59)),1+(LEFT(TRIM(INDEX(PASTE_ALL,16,59)),1)="-"),999))-(RIGHT(MID(TRIM(INDEX(PASTE_ALL,16,59)),1+(LEFT(TRIM(INDEX(PASTE_ALL,16,59)),1)="-"),999),1)="%")),"0",""),"1",""),"2",""),"3",""),"4",""),"5",""),"6",""),"7",""),"8",""),"9",""),".",""),",","")=""),2,1))),1)</f>
        <v/>
      </c>
      <c r="CF65">
        <f>IFERROR(IF(ISNUMBER(INDEX(PASTE_ALL,16,60)),2,IF(TRIM(INDEX(PASTE_ALL,16,60))="",0,IF(AND(LEFT(MID(TRIM(INDEX(PASTE_ALL,16,60)),1+(LEFT(TRIM(INDEX(PASTE_ALL,16,60)),1)="-"),999),LEN(MID(TRIM(INDEX(PASTE_ALL,16,60)),1+(LEFT(TRIM(INDEX(PASTE_ALL,16,60)),1)="-"),999))-(RIGHT(MID(TRIM(INDEX(PASTE_ALL,16,60)),1+(LEFT(TRIM(INDEX(PASTE_ALL,16,60)),1)="-"),999),1)="%"))&lt;&gt;"",SUBSTITUTE(SUBSTITUTE(SUBSTITUTE(SUBSTITUTE(SUBSTITUTE(SUBSTITUTE(SUBSTITUTE(SUBSTITUTE(SUBSTITUTE(SUBSTITUTE(SUBSTITUTE(SUBSTITUTE(LEFT(MID(TRIM(INDEX(PASTE_ALL,16,60)),1+(LEFT(TRIM(INDEX(PASTE_ALL,16,60)),1)="-"),999),LEN(MID(TRIM(INDEX(PASTE_ALL,16,60)),1+(LEFT(TRIM(INDEX(PASTE_ALL,16,60)),1)="-"),999))-(RIGHT(MID(TRIM(INDEX(PASTE_ALL,16,60)),1+(LEFT(TRIM(INDEX(PASTE_ALL,16,60)),1)="-"),999),1)="%")),"0",""),"1",""),"2",""),"3",""),"4",""),"5",""),"6",""),"7",""),"8",""),"9",""),".",""),",","")=""),2,1))),1)</f>
        <v/>
      </c>
      <c r="DA65" t="n">
        <v>61</v>
      </c>
      <c r="DB65">
        <f>IF($B$37=0,"",IFERROR(TRIM(SUBSTITUTE(SUBSTITUTE(SUBSTITUTE(SUBSTITUTE(INDEX(PASTE_ALL,61,$B$37)," "," "),CHAR(9)," "),CHAR(10)," "),CHAR(13)," ")),""))</f>
        <v/>
      </c>
      <c r="DC65">
        <f>IF(AND(61&gt;HEADER_ROW,UPPER(DB65)="LEGEND"),1,0)</f>
        <v/>
      </c>
      <c r="DE65" t="n">
        <v>61</v>
      </c>
      <c r="DF65">
        <f>HEADER_ROW+$DE65</f>
        <v/>
      </c>
      <c r="DG65">
        <f>IF(AND($DF65&lt;=1000,$DF65&lt;$B$8),1,0)</f>
        <v/>
      </c>
      <c r="DH65">
        <f>IF($DG65=1,IFERROR(INDEX($DB$5:$DB$1004,$DF65),""),"")</f>
        <v/>
      </c>
      <c r="DI65">
        <f>IF(AND($DG65=1,$DH65&lt;&gt;""),IFERROR(SUBSTITUTE(SUBSTITUTE(TRIM(SUBSTITUTE(SUBSTITUTE(SUBSTITUTE(SUBSTITUTE(IFERROR(INDEX(PASTE_ALL,$DF65,1)&amp;"","")&amp;"␟"&amp;IFERROR(INDEX(PASTE_ALL,$DF65,2)&amp;"","")&amp;"␟"&amp;IFERROR(INDEX(PASTE_ALL,$DF65,3)&amp;"","")&amp;"␟"&amp;IFERROR(INDEX(PASTE_ALL,$DF65,4)&amp;"","")&amp;"␟"&amp;IFERROR(INDEX(PASTE_ALL,$DF65,5)&amp;"","")&amp;"␟"&amp;IFERROR(INDEX(PASTE_ALL,$DF65,6)&amp;"","")&amp;"␟"&amp;IFERROR(INDEX(PASTE_ALL,$DF65,7)&amp;"","")&amp;"␟"&amp;IFERROR(INDEX(PASTE_ALL,$DF65,8)&amp;"","")&amp;"␟"&amp;IFERROR(INDEX(PASTE_ALL,$DF65,9)&amp;"","")&amp;"␟"&amp;IFERROR(INDEX(PASTE_ALL,$DF65,10)&amp;"","")&amp;"␟"&amp;IFERROR(INDEX(PASTE_ALL,$DF65,11)&amp;"","")&amp;"␟"&amp;IFERROR(INDEX(PASTE_ALL,$DF65,12)&amp;"","")&amp;"␟"&amp;IFERROR(INDEX(PASTE_ALL,$DF65,13)&amp;"","")&amp;"␟"&amp;IFERROR(INDEX(PASTE_ALL,$DF65,14)&amp;"","")&amp;"␟"&amp;IFERROR(INDEX(PASTE_ALL,$DF65,15)&amp;"","")&amp;"␟"&amp;IFERROR(INDEX(PASTE_ALL,$DF65,16)&amp;"","")&amp;"␟"&amp;IFERROR(INDEX(PASTE_ALL,$DF65,17)&amp;"","")&amp;"␟"&amp;IFERROR(INDEX(PASTE_ALL,$DF65,18)&amp;"","")&amp;"␟"&amp;IFERROR(INDEX(PASTE_ALL,$DF65,19)&amp;"","")&amp;"␟"&amp;IFERROR(INDEX(PASTE_ALL,$DF65,20)&amp;"","")&amp;"␟"&amp;IFERROR(INDEX(PASTE_ALL,$DF65,21)&amp;"","")&amp;"␟"&amp;IFERROR(INDEX(PASTE_ALL,$DF65,22)&amp;"","")&amp;"␟"&amp;IFERROR(INDEX(PASTE_ALL,$DF65,23)&amp;"","")&amp;"␟"&amp;IFERROR(INDEX(PASTE_ALL,$DF65,24)&amp;"","")&amp;"␟"&amp;IFERROR(INDEX(PASTE_ALL,$DF65,25)&amp;"","")&amp;"␟"&amp;IFERROR(INDEX(PASTE_ALL,$DF65,26)&amp;"","")&amp;"␟"&amp;IFERROR(INDEX(PASTE_ALL,$DF65,27)&amp;"","")&amp;"␟"&amp;IFERROR(INDEX(PASTE_ALL,$DF65,28)&amp;"","")&amp;"␟"&amp;IFERROR(INDEX(PASTE_ALL,$DF65,29)&amp;"","")&amp;"␟"&amp;IFERROR(INDEX(PASTE_ALL,$DF65,30)&amp;"","")&amp;"␟"&amp;IFERROR(INDEX(PASTE_ALL,$DF65,31)&amp;"","")&amp;"␟"&amp;IFERROR(INDEX(PASTE_ALL,$DF65,32)&amp;"","")&amp;"␟"&amp;IFERROR(INDEX(PASTE_ALL,$DF65,33)&amp;"","")&amp;"␟"&amp;IFERROR(INDEX(PASTE_ALL,$DF65,34)&amp;"","")&amp;"␟"&amp;IFERROR(INDEX(PASTE_ALL,$DF65,35)&amp;"","")&amp;"␟"&amp;IFERROR(INDEX(PASTE_ALL,$DF65,36)&amp;"","")&amp;"␟"&amp;IFERROR(INDEX(PASTE_ALL,$DF65,37)&amp;"","")&amp;"␟"&amp;IFERROR(INDEX(PASTE_ALL,$DF65,38)&amp;"","")&amp;"␟"&amp;IFERROR(INDEX(PASTE_ALL,$DF65,39)&amp;"","")&amp;"␟"&amp;IFERROR(INDEX(PASTE_ALL,$DF65,40)&amp;"","")&amp;"␟"&amp;IFERROR(INDEX(PASTE_ALL,$DF65,41)&amp;"","")&amp;"␟"&amp;IFERROR(INDEX(PASTE_ALL,$DF65,42)&amp;"","")&amp;"␟"&amp;IFERROR(INDEX(PASTE_ALL,$DF65,43)&amp;"","")&amp;"␟"&amp;IFERROR(INDEX(PASTE_ALL,$DF65,44)&amp;"","")&amp;"␟"&amp;IFERROR(INDEX(PASTE_ALL,$DF65,45)&amp;"","")&amp;"␟"&amp;IFERROR(INDEX(PASTE_ALL,$DF65,46)&amp;"","")&amp;"␟"&amp;IFERROR(INDEX(PASTE_ALL,$DF65,47)&amp;"","")&amp;"␟"&amp;IFERROR(INDEX(PASTE_ALL,$DF65,48)&amp;"","")&amp;"␟"&amp;IFERROR(INDEX(PASTE_ALL,$DF65,49)&amp;"","")&amp;"␟"&amp;IFERROR(INDEX(PASTE_ALL,$DF65,50)&amp;"","")&amp;"␟"&amp;IFERROR(INDEX(PASTE_ALL,$DF65,51)&amp;"","")&amp;"␟"&amp;IFERROR(INDEX(PASTE_ALL,$DF65,52)&amp;"","")&amp;"␟"&amp;IFERROR(INDEX(PASTE_ALL,$DF65,53)&amp;"","")&amp;"␟"&amp;IFERROR(INDEX(PASTE_ALL,$DF65,54)&amp;"","")&amp;"␟"&amp;IFERROR(INDEX(PASTE_ALL,$DF65,55)&amp;"","")&amp;"␟"&amp;IFERROR(INDEX(PASTE_ALL,$DF65,56)&amp;"","")&amp;"␟"&amp;IFERROR(INDEX(PASTE_ALL,$DF65,57)&amp;"","")&amp;"␟"&amp;IFERROR(INDEX(PASTE_ALL,$DF65,58)&amp;"","")&amp;"␟"&amp;IFERROR(INDEX(PASTE_ALL,$DF65,59)&amp;"","")&amp;"␟"&amp;IFERROR(INDEX(PASTE_ALL,$DF65,60)&amp;"","")," "," "),CHAR(9)," "),CHAR(10)," "),CHAR(13)," "))," ␟","␟"),"␟ ","␟"),"#"&amp;$DE65),"")</f>
        <v/>
      </c>
      <c r="DJ65">
        <f>IF($DI65="",0,IF(SUMPRODUCT(--EXACT($DI$4:DI64,$DI65))&gt;0,1,0))</f>
        <v/>
      </c>
      <c r="DK65">
        <f>IF(AND($DI65&lt;&gt;"",$DJ65=0),1,0)</f>
        <v/>
      </c>
      <c r="DL65">
        <f>DL64+$DK65</f>
        <v/>
      </c>
      <c r="DM65">
        <f>IF(AND($DK65=1,$DL65&lt;=600),1,0)</f>
        <v/>
      </c>
      <c r="DN65">
        <f>IF($DM65=0,"",IF($L$6=0,"",IFERROR(IF(ISNUMBER(INDEX(PASTE_ALL,$DF65,$L$6)),INDEX(PASTE_ALL,$DF65,$L$6),TRIM(SUBSTITUTE(SUBSTITUTE(SUBSTITUTE(SUBSTITUTE(INDEX(PASTE_ALL,$DF65,$L$6)," "," "),CHAR(9)," "),CHAR(10)," "),CHAR(13)," "))),"")))</f>
        <v/>
      </c>
      <c r="DO65">
        <f>IF($DM65=0,"",IF($L$7=0,"",IFERROR(IF(ISNUMBER(INDEX(PASTE_ALL,$DF65,$L$7)),INDEX(PASTE_ALL,$DF65,$L$7),TRIM(SUBSTITUTE(SUBSTITUTE(SUBSTITUTE(SUBSTITUTE(INDEX(PASTE_ALL,$DF65,$L$7)," "," "),CHAR(9)," "),CHAR(10)," "),CHAR(13)," "))),"")))</f>
        <v/>
      </c>
      <c r="DP65">
        <f>IF($DM65=0,"",IF($L$8=0,"",IFERROR(IF(ISNUMBER(INDEX(PASTE_ALL,$DF65,$L$8)),INDEX(PASTE_ALL,$DF65,$L$8),TRIM(SUBSTITUTE(SUBSTITUTE(SUBSTITUTE(SUBSTITUTE(INDEX(PASTE_ALL,$DF65,$L$8)," "," "),CHAR(9)," "),CHAR(10)," "),CHAR(13)," "))),"")))</f>
        <v/>
      </c>
      <c r="DQ65">
        <f>IF($DM65=0,"",IF($L$9=0,"",IFERROR(IF(ISNUMBER(INDEX(PASTE_ALL,$DF65,$L$9)),INDEX(PASTE_ALL,$DF65,$L$9),TRIM(SUBSTITUTE(SUBSTITUTE(SUBSTITUTE(SUBSTITUTE(INDEX(PASTE_ALL,$DF65,$L$9)," "," "),CHAR(9)," "),CHAR(10)," "),CHAR(13)," "))),"")))</f>
        <v/>
      </c>
      <c r="DR65">
        <f>IF($DM65=0,"",IF($L$10=0,"",IFERROR(IF(ISNUMBER(INDEX(PASTE_ALL,$DF65,$L$10)),INDEX(PASTE_ALL,$DF65,$L$10),TRIM(SUBSTITUTE(SUBSTITUTE(SUBSTITUTE(SUBSTITUTE(INDEX(PASTE_ALL,$DF65,$L$10)," "," "),CHAR(9)," "),CHAR(10)," "),CHAR(13)," "))),"")))</f>
        <v/>
      </c>
      <c r="DS65">
        <f>IF($DM65=0,"",IF($L$11=0,"",IFERROR(IF(ISNUMBER(INDEX(PASTE_ALL,$DF65,$L$11)),INDEX(PASTE_ALL,$DF65,$L$11),TRIM(SUBSTITUTE(SUBSTITUTE(SUBSTITUTE(SUBSTITUTE(INDEX(PASTE_ALL,$DF65,$L$11)," "," "),CHAR(9)," "),CHAR(10)," "),CHAR(13)," "))),"")))</f>
        <v/>
      </c>
      <c r="DT65">
        <f>IF($DM65=0,"",IF($L$12=0,"",IFERROR(IF(ISNUMBER(INDEX(PASTE_ALL,$DF65,$L$12)),INDEX(PASTE_ALL,$DF65,$L$12),TRIM(SUBSTITUTE(SUBSTITUTE(SUBSTITUTE(SUBSTITUTE(INDEX(PASTE_ALL,$DF65,$L$12)," "," "),CHAR(9)," "),CHAR(10)," "),CHAR(13)," "))),"")))</f>
        <v/>
      </c>
      <c r="DU65">
        <f>IF($DM65=0,"",IF($L$13=0,"",IFERROR(IF(ISNUMBER(INDEX(PASTE_ALL,$DF65,$L$13)),INDEX(PASTE_ALL,$DF65,$L$13),TRIM(SUBSTITUTE(SUBSTITUTE(SUBSTITUTE(SUBSTITUTE(INDEX(PASTE_ALL,$DF65,$L$13)," "," "),CHAR(9)," "),CHAR(10)," "),CHAR(13)," "))),"")))</f>
        <v/>
      </c>
      <c r="DV65">
        <f>IF($DM65=0,"",IF($L$14=0,"",IFERROR(IF(ISNUMBER(INDEX(PASTE_ALL,$DF65,$L$14)),INDEX(PASTE_ALL,$DF65,$L$14),TRIM(SUBSTITUTE(SUBSTITUTE(SUBSTITUTE(SUBSTITUTE(INDEX(PASTE_ALL,$DF65,$L$14)," "," "),CHAR(9)," "),CHAR(10)," "),CHAR(13)," "))),"")))</f>
        <v/>
      </c>
      <c r="DW65">
        <f>IF($DM65=0,"",IF($L$15=0,"",IFERROR(IF(ISNUMBER(INDEX(PASTE_ALL,$DF65,$L$15)),INDEX(PASTE_ALL,$DF65,$L$15),IF(SUMPRODUCT(--ISNUMBER(FIND({"A","B","C","D","E","F","G","H","I","J","K","L","M","N","O","P","Q","R","S","T","U","V","W","X","Y","Z","0","1","2","3","4","5","6","7","8","9"},UPPER(TRIM(SUBSTITUTE(SUBSTITUTE(SUBSTITUTE(SUBSTITUTE(INDEX(PASTE_ALL,$DF65,$L$15)," "," "),CHAR(9)," "),CHAR(10)," "),CHAR(13)," "))))))&gt;0,TRIM(SUBSTITUTE(SUBSTITUTE(SUBSTITUTE(SUBSTITUTE(INDEX(PASTE_ALL,$DF65,$L$15)," "," "),CHAR(9)," "),CHAR(10)," "),CHAR(13)," ")),"")),"")))</f>
        <v/>
      </c>
      <c r="DX65">
        <f>IF($DM65=0,"",IF($L$16=0,"",IFERROR(IF(ISNUMBER(INDEX(PASTE_ALL,$DF65,$L$16)),INDEX(PASTE_ALL,$DF65,$L$16),SUBSTITUTE(SUBSTITUTE(TRIM(SUBSTITUTE(SUBSTITUTE(SUBSTITUTE(SUBSTITUTE(INDEX(PASTE_ALL,$DF65,$L$16)," "," "),CHAR(9)," "),CHAR(10)," "),CHAR(13)," ")),",",""),"%","")),"")))</f>
        <v/>
      </c>
      <c r="DY65">
        <f>IF($DM65=0,"",IFERROR(IF(ISNUMBER($DX65),$DX65,IF($DX65="","",IF(TRIM($DX65)="",0,IF(AND(AND(SUBSTITUTE(SUBSTITUTE(SUBSTITUTE(SUBSTITUTE(SUBSTITUTE(SUBSTITUTE(SUBSTITUTE(SUBSTITUTE(SUBSTITUTE(SUBSTITUTE(SUBSTITUTE(SUBSTITUTE(SUBSTITUTE(SUBSTITUTE(UPPER(TRIM($DX65)),"0",""),"1",""),"2",""),"3",""),"4",""),"5",""),"6",""),"7",""),"8",""),"9",""),".",""),"+",""),"-",""),"E","")="",LEN(SUBSTITUTE(SUBSTITUTE(MID(UPPER(TRIM($DX65)),1+OR(LEFT(UPPER(TRIM($DX65)),1)="+",LEFT(UPPER(TRIM($DX65)),1)="-"),999),"E+","E"),"E-","E"))=LEN(SUBSTITUTE(SUBSTITUTE(SUBSTITUTE(SUBSTITUTE(MID(UPPER(TRIM($DX65)),1+OR(LEFT(UPPER(TRIM($DX65)),1)="+",LEFT(UPPER(TRIM($DX65)),1)="-"),999),"E+","E"),"E-","E"),"+",""),"-","")),LEN(UPPER(TRIM($DX65)))-LEN(SUBSTITUTE(UPPER(TRIM($DX65)),"E",""))&lt;2,LEN(UPPER(TRIM($DX65)))-LEN(SUBSTITUTE(UPPER(TRIM($DX65)),".",""))&lt;2,IFERROR(FIND(".",UPPER(TRIM($DX65))),0)&lt;IFERROR(FIND("E",UPPER(TRIM($DX65))),999)),ISNUMBER(VALUE(TRIM($DX65)))),VALUE(TRIM($DX65)),"")))),""))</f>
        <v/>
      </c>
      <c r="DZ65">
        <f>IF($DM65=0,"",IF($L$17=0,"",IFERROR(IF(ISNUMBER(INDEX(PASTE_ALL,$DF65,$L$17)),INDEX(PASTE_ALL,$DF65,$L$17),SUBSTITUTE(SUBSTITUTE(TRIM(SUBSTITUTE(SUBSTITUTE(SUBSTITUTE(SUBSTITUTE(INDEX(PASTE_ALL,$DF65,$L$17)," "," "),CHAR(9)," "),CHAR(10)," "),CHAR(13)," ")),",",""),"%","")),"")))</f>
        <v/>
      </c>
      <c r="EA65">
        <f>IF($DM65=0,"",IFERROR(IF(ISNUMBER($DZ65),$DZ65,IF($DZ65="","",IF(TRIM($DZ65)="",0,IF(AND(AND(SUBSTITUTE(SUBSTITUTE(SUBSTITUTE(SUBSTITUTE(SUBSTITUTE(SUBSTITUTE(SUBSTITUTE(SUBSTITUTE(SUBSTITUTE(SUBSTITUTE(SUBSTITUTE(SUBSTITUTE(SUBSTITUTE(SUBSTITUTE(UPPER(TRIM($DZ65)),"0",""),"1",""),"2",""),"3",""),"4",""),"5",""),"6",""),"7",""),"8",""),"9",""),".",""),"+",""),"-",""),"E","")="",LEN(SUBSTITUTE(SUBSTITUTE(MID(UPPER(TRIM($DZ65)),1+OR(LEFT(UPPER(TRIM($DZ65)),1)="+",LEFT(UPPER(TRIM($DZ65)),1)="-"),999),"E+","E"),"E-","E"))=LEN(SUBSTITUTE(SUBSTITUTE(SUBSTITUTE(SUBSTITUTE(MID(UPPER(TRIM($DZ65)),1+OR(LEFT(UPPER(TRIM($DZ65)),1)="+",LEFT(UPPER(TRIM($DZ65)),1)="-"),999),"E+","E"),"E-","E"),"+",""),"-","")),LEN(UPPER(TRIM($DZ65)))-LEN(SUBSTITUTE(UPPER(TRIM($DZ65)),"E",""))&lt;2,LEN(UPPER(TRIM($DZ65)))-LEN(SUBSTITUTE(UPPER(TRIM($DZ65)),".",""))&lt;2,IFERROR(FIND(".",UPPER(TRIM($DZ65))),0)&lt;IFERROR(FIND("E",UPPER(TRIM($DZ65))),999)),ISNUMBER(VALUE(TRIM($DZ65)))),VALUE(TRIM($DZ65)),"")))),""))</f>
        <v/>
      </c>
      <c r="EB65">
        <f>IF($DM65=0,"",IF($L$18=0,"",IFERROR(IF(UPPER(TRIM(SUBSTITUTE(SUBSTITUTE(SUBSTITUTE(SUBSTITUTE(INDEX(PASTE_ALL,$DF65,$L$18)," "," "),CHAR(9)," "),CHAR(10)," "),CHAR(13)," ")))="READY","Ready",IF(UPPER(TRIM(SUBSTITUTE(SUBSTITUTE(SUBSTITUTE(SUBSTITUTE(INDEX(PASTE_ALL,$DF65,$L$18)," "," "),CHAR(9)," "),CHAR(10)," "),CHAR(13)," ")))="PM","PM",IF(OR(UPPER(TRIM(SUBSTITUTE(SUBSTITUTE(SUBSTITUTE(SUBSTITUTE(INDEX(PASTE_ALL,$DF65,$L$18)," "," "),CHAR(9)," "),CHAR(10)," "),CHAR(13)," ")))="OT",UPPER(TRIM(SUBSTITUTE(SUBSTITUTE(SUBSTITUTE(SUBSTITUTE(INDEX(PASTE_ALL,$DF65,$L$18)," "," "),CHAR(9)," "),CHAR(10)," "),CHAR(13)," ")))="OVERTIME",UPPER(TRIM(SUBSTITUTE(SUBSTITUTE(SUBSTITUTE(SUBSTITUTE(INDEX(PASTE_ALL,$DF65,$L$18)," "," "),CHAR(9)," "),CHAR(10)," "),CHAR(13)," ")))="TRIAL"),"OT",TRIM(SUBSTITUTE(SUBSTITUTE(SUBSTITUTE(SUBSTITUTE(INDEX(PASTE_ALL,$DF65,$L$18)," "," "),CHAR(9)," "),CHAR(10)," "),CHAR(13)," "))))),"")))</f>
        <v/>
      </c>
      <c r="EC65">
        <f>IF($DM65=0,"",IF($L$19=0,"",IFERROR(IF(ISNUMBER(INDEX(PASTE_ALL,$DF65,$L$19)),INDEX(PASTE_ALL,$DF65,$L$19),TRIM(SUBSTITUTE(SUBSTITUTE(SUBSTITUTE(SUBSTITUTE(INDEX(PASTE_ALL,$DF65,$L$19)," "," "),CHAR(9)," "),CHAR(10)," "),CHAR(13)," "))),"")))</f>
        <v/>
      </c>
      <c r="ED65">
        <f>IF($DM65=0,"",MATCH(1,INDEX(EXACT($DH$5:DH65,$DH65)*$DM$5:DM65,0),0))</f>
        <v/>
      </c>
      <c r="EE65">
        <f>IF($DM65=0,0,IF($ED65=$DE65,1,0))</f>
        <v/>
      </c>
      <c r="EF65">
        <f>EF64+$EE65</f>
        <v/>
      </c>
      <c r="EG65">
        <f>IF($DM65=0,"",INDEX($EF$5:$EF$1003,$ED65))</f>
        <v/>
      </c>
      <c r="EH65">
        <f>IF($DM65=0,"",IF($DO65&lt;&gt;"","",IFERROR(LOOKUP(2,1/(($EG$4:EG64=$EG65)*($DO$4:DO64&lt;&gt;"")),$DO$4:DO64),"")))</f>
        <v/>
      </c>
      <c r="EI65">
        <f>IF($DM65=0,"",IF($DO65&lt;&gt;"",$DO65,$EH65))</f>
        <v/>
      </c>
      <c r="EJ65">
        <f>IF($DM65=0,"",IF($EI65="",0,IF(OR(ISNUMBER($EI65),AND(AND(SUBSTITUTE(SUBSTITUTE(SUBSTITUTE(SUBSTITUTE(SUBSTITUTE(SUBSTITUTE(SUBSTITUTE(SUBSTITUTE(SUBSTITUTE(SUBSTITUTE(SUBSTITUTE(SUBSTITUTE(SUBSTITUTE(SUBSTITUTE(UPPER($EI65),"0",""),"1",""),"2",""),"3",""),"4",""),"5",""),"6",""),"7",""),"8",""),"9",""),".",""),"+",""),"-",""),"E","")="",LEN(SUBSTITUTE(SUBSTITUTE(MID(UPPER($EI65),1+OR(LEFT(UPPER($EI65),1)="+",LEFT(UPPER($EI65),1)="-"),999),"E+","E"),"E-","E"))=LEN(SUBSTITUTE(SUBSTITUTE(SUBSTITUTE(SUBSTITUTE(MID(UPPER($EI65),1+OR(LEFT(UPPER($EI65),1)="+",LEFT(UPPER($EI65),1)="-"),999),"E+","E"),"E-","E"),"+",""),"-","")),LEN(UPPER($EI65))-LEN(SUBSTITUTE(UPPER($EI65),"E",""))&lt;2,LEN(UPPER($EI65))-LEN(SUBSTITUTE(UPPER($EI65),".",""))&lt;2,IFERROR(FIND(".",UPPER($EI65)),0)&lt;IFERROR(FIND("E",UPPER($EI65)),999)),ISNUMBER(VALUE($EI65)))),1,2)))</f>
        <v/>
      </c>
      <c r="EK65">
        <f>IF($DM65=0,"",IF($EJ65=1,IF(ISNUMBER($EI65),$EI65,VALUE($EI65)),IF($EJ65=2,$DE65,0)))</f>
        <v/>
      </c>
      <c r="EL65">
        <f>IF($DM65=0,"",COUNTIF($EG$5:$EG$1003,"&lt;"&amp;$EG65)+SUMPRODUCT(($EG$5:$EG$1003=$EG65)*(($EJ$5:$EJ$1003&lt;$EJ65)+($EJ$5:$EJ$1003=$EJ65)*(($EK$5:$EK$1003&lt;$EK65)+($EK$5:$EK$1003=$EK65)*($DE$5:$DE$1003&lt;$DE65))))+1)</f>
        <v/>
      </c>
      <c r="EM65">
        <f>IF($DM65=0,"",$EL65+$EG65-1)</f>
        <v/>
      </c>
      <c r="EN65">
        <f>IF($DM65=0,0,IFERROR(MATCH(1,INDEX(--(TRIM(SUBSTITUTE(SUBSTITUTE(SUBSTITUTE(SUBSTITUTE(LINES_NAME&amp;""," "," "),CHAR(9)," "),CHAR(10)," "),CHAR(13)," "))=$DH65),0),0),0))</f>
        <v/>
      </c>
      <c r="EO65">
        <f>IF($EN65=0,0,IF(OR(UPPER(TRIM(INDEX(LINES_SCHEDULED,$EN65)&amp;""))="YES",UPPER(TRIM(INDEX(LINES_SCHEDULED,$EN65)&amp;""))="Y",UPPER(TRIM(INDEX(LINES_SCHEDULED,$EN65)&amp;""))="X"),1,0))</f>
        <v/>
      </c>
      <c r="EP65">
        <f>IF($DM65=0,"",IF(COUNTIFS($EG$5:$EG$1003,$EG65,$EB$5:$EB$1003,"Ready")&gt;0,"READY",IF(COUNTIFS($EG$5:$EG$1003,$EG65,$EB$5:$EB$1003,"PM")&gt;0,"PM",IF(COUNTIFS($EG$5:$EG$1003,$EG65,$EB$5:$EB$1003,"OT")&gt;0,"OT",""))))</f>
        <v/>
      </c>
      <c r="EQ65">
        <f>IF($EN65=0,"",UPPER(TRIM(INDEX(LINES_STATUS,$EN65)&amp;"")))</f>
        <v/>
      </c>
      <c r="ER65">
        <f>IF($DM65=0,"",IF(OR($EQ65="READY",$EQ65="PM",$EQ65="OT"),$EQ65,$EP65))</f>
        <v/>
      </c>
      <c r="ES65">
        <f>IF($DM65=0,"",IF(AND($DV65&lt;&gt;"",UPPER($DV65)&lt;&gt;"N"),"allergen",IF(ISNUMBER(SEARCH("oil",$DQ65)),"oil",IF(OR(EXACT($DS65,"A662"),EXACT($DS65,"A624")),"bulk",""))))</f>
        <v/>
      </c>
      <c r="ET65">
        <f>IF($DM65=0,"",IF(OR($EA65="",$EA65=0),"",$EA65/100))</f>
        <v/>
      </c>
      <c r="EU65">
        <f>IF(OR($ET65="",$DY65=""),"",INT($DY65*(1-$ET65)+0.5))</f>
        <v/>
      </c>
      <c r="EW65" t="n">
        <v>61</v>
      </c>
      <c r="EX65">
        <f>IFERROR(MATCH($EW65,$EM$5:$EM$1003,0),0)</f>
        <v/>
      </c>
      <c r="EY65">
        <f>IF($EW65&gt;$B$12,"",IF($EX65&gt;0,"row","spacer"))</f>
        <v/>
      </c>
      <c r="EZ65">
        <f>IF(AND($EY65="row",$EY64&lt;&gt;"row"),1,0)</f>
        <v/>
      </c>
      <c r="FA65">
        <f>IF(AND($EY65="row",$EY66&lt;&gt;"row"),1,0)</f>
        <v/>
      </c>
      <c r="FB65">
        <f>IF($EZ65=1,IFERROR(IF(ISNUMBER(INDEX(PASTE_ALL,INDEX($DF$5:$DF$1003,$EX65),$B$37)),INDEX(PASTE_ALL,INDEX($DF$5:$DF$1003,$EX65),$B$37),INDEX($DH$5:$DH$1003,$EX65)),INDEX($DH$5:$DH$1003,$EX65)),"")</f>
        <v/>
      </c>
      <c r="FC65">
        <f>IF($EY65="row",INDEX($ER$5:$ER$1003,$EX65),"")</f>
        <v/>
      </c>
      <c r="FD65">
        <f>IF($EY65="row",INDEX($DN$5:$DN$1003,$EX65),"")</f>
        <v/>
      </c>
      <c r="FE65">
        <f>IF($EY65="row",INDEX($DO$5:$DO$1003,$EX65),"")</f>
        <v/>
      </c>
      <c r="FF65">
        <f>IF($EY65="row",INDEX($DP$5:$DP$1003,$EX65),"")</f>
        <v/>
      </c>
      <c r="FG65">
        <f>IF($EY65="row",INDEX($DQ$5:$DQ$1003,$EX65),"")</f>
        <v/>
      </c>
      <c r="FH65">
        <f>IF($EY65="row",INDEX($DR$5:$DR$1003,$EX65),"")</f>
        <v/>
      </c>
      <c r="FI65">
        <f>IF($EY65="row",INDEX($DS$5:$DS$1003,$EX65),"")</f>
        <v/>
      </c>
      <c r="FJ65">
        <f>IF($EY65="row",INDEX($DT$5:$DT$1003,$EX65),"")</f>
        <v/>
      </c>
      <c r="FK65">
        <f>IF($EY65="row",INDEX($DU$5:$DU$1003,$EX65),"")</f>
        <v/>
      </c>
      <c r="FL65">
        <f>IF($EY65="row",INDEX($DV$5:$DV$1003,$EX65),"")</f>
        <v/>
      </c>
      <c r="FM65">
        <f>IF($EY65="row",INDEX($DW$5:$DW$1003,$EX65),"")</f>
        <v/>
      </c>
      <c r="FN65">
        <f>IF($EY65="row",INDEX($DY$5:$DY$1003,$EX65),"")</f>
        <v/>
      </c>
      <c r="FO65">
        <f>IF($EY65="row",INDEX($EA$5:$EA$1003,$EX65),"")</f>
        <v/>
      </c>
      <c r="FP65">
        <f>IF($EY65="row",INDEX($EC$5:$EC$1003,$EX65),"")</f>
        <v/>
      </c>
      <c r="FQ65">
        <f>IF($EY65="row",INDEX($ET$5:$ET$1003,$EX65),"")</f>
        <v/>
      </c>
      <c r="FR65">
        <f>IF($EY65="row",INDEX($EU$5:$EU$1003,$EX65),"")</f>
        <v/>
      </c>
      <c r="FS65">
        <f>IF(AND($EY65="row",$EY64="row"),IF(OR(INDEX($DT$5:$DT$1003,$EX64)="",INDEX($DT$5:$DT$1003,$EX65)=""),"",IF(NOT(EXACT(INDEX($DT$5:$DT$1003,$EX64),INDEX($DT$5:$DT$1003,$EX65))),"S4",IF(NOT(EXACT(INDEX($DS$5:$DS$1003,$EX64),INDEX($DS$5:$DS$1003,$EX65))),"S3",IF(NOT(EXACT(INDEX($DR$5:$DR$1003,$EX64),INDEX($DR$5:$DR$1003,$EX65))),"S1 Count Change","S1")))),"")</f>
        <v/>
      </c>
      <c r="FT65">
        <f>IF($EY65="row",INDEX($ES$5:$ES$1003,$EX65),"")</f>
        <v/>
      </c>
      <c r="FU65">
        <f>IF($EY65="row",INDEX($EO$5:$EO$1003,$EX65),0)</f>
        <v/>
      </c>
      <c r="FV65">
        <f>IF($FS65="S1 Count Change",1,0)</f>
        <v/>
      </c>
      <c r="FX65" t="n">
        <v>61</v>
      </c>
      <c r="FY65">
        <f>IFERROR(MATCH($FX65,$EF$5:$EF$1003,0),0)</f>
        <v/>
      </c>
      <c r="FZ65">
        <f>IF($FY65=0,"",INDEX($DH$5:$DH$1003,$FY65))</f>
        <v/>
      </c>
      <c r="GA65">
        <f>IF($FY65=0,"",COUNTIF($EG$5:$EG$1003,$FX65))</f>
        <v/>
      </c>
      <c r="GB65">
        <f>IF($FY65=0,"",INDEX($ER$5:$ER$1003,$FY65))</f>
        <v/>
      </c>
      <c r="GC65">
        <f>IF($FY65=0,"",IF(INDEX($EO$5:$EO$1003,$FY65)=1,"Yes",""))</f>
        <v/>
      </c>
      <c r="GD65">
        <f>IF($FY65=0,"",IF(INDEX($EN$5:$EN$1003,$FY65)&gt;0,"","NOT IN YOUR LIST - type it in column A to tick it"))</f>
        <v/>
      </c>
      <c r="GE65">
        <f>IF(AND($FY65&gt;0,$GD65&lt;&gt;""),1,0)</f>
        <v/>
      </c>
      <c r="GF65">
        <f>GF64+$GE65</f>
        <v/>
      </c>
      <c r="GG65">
        <f>IFERROR(INDEX($FZ$5:$FZ$104,MATCH($FX65,$GF$5:$GF$104,0)),"")</f>
        <v/>
      </c>
    </row>
    <row r="66">
      <c r="V66" t="inlineStr">
        <is>
          <t>NOTE</t>
        </is>
      </c>
      <c r="W66" t="n">
        <v>11</v>
      </c>
      <c r="Y66">
        <f>IFERROR(IF(ISNUMBER(INDEX(PASTE_ALL,17,1)),2,IF(TRIM(INDEX(PASTE_ALL,17,1))="",0,IF(AND(LEFT(MID(TRIM(INDEX(PASTE_ALL,17,1)),1+(LEFT(TRIM(INDEX(PASTE_ALL,17,1)),1)="-"),999),LEN(MID(TRIM(INDEX(PASTE_ALL,17,1)),1+(LEFT(TRIM(INDEX(PASTE_ALL,17,1)),1)="-"),999))-(RIGHT(MID(TRIM(INDEX(PASTE_ALL,17,1)),1+(LEFT(TRIM(INDEX(PASTE_ALL,17,1)),1)="-"),999),1)="%"))&lt;&gt;"",SUBSTITUTE(SUBSTITUTE(SUBSTITUTE(SUBSTITUTE(SUBSTITUTE(SUBSTITUTE(SUBSTITUTE(SUBSTITUTE(SUBSTITUTE(SUBSTITUTE(SUBSTITUTE(SUBSTITUTE(LEFT(MID(TRIM(INDEX(PASTE_ALL,17,1)),1+(LEFT(TRIM(INDEX(PASTE_ALL,17,1)),1)="-"),999),LEN(MID(TRIM(INDEX(PASTE_ALL,17,1)),1+(LEFT(TRIM(INDEX(PASTE_ALL,17,1)),1)="-"),999))-(RIGHT(MID(TRIM(INDEX(PASTE_ALL,17,1)),1+(LEFT(TRIM(INDEX(PASTE_ALL,17,1)),1)="-"),999),1)="%")),"0",""),"1",""),"2",""),"3",""),"4",""),"5",""),"6",""),"7",""),"8",""),"9",""),".",""),",","")=""),2,1))),1)</f>
        <v/>
      </c>
      <c r="Z66">
        <f>IFERROR(IF(ISNUMBER(INDEX(PASTE_ALL,17,2)),2,IF(TRIM(INDEX(PASTE_ALL,17,2))="",0,IF(AND(LEFT(MID(TRIM(INDEX(PASTE_ALL,17,2)),1+(LEFT(TRIM(INDEX(PASTE_ALL,17,2)),1)="-"),999),LEN(MID(TRIM(INDEX(PASTE_ALL,17,2)),1+(LEFT(TRIM(INDEX(PASTE_ALL,17,2)),1)="-"),999))-(RIGHT(MID(TRIM(INDEX(PASTE_ALL,17,2)),1+(LEFT(TRIM(INDEX(PASTE_ALL,17,2)),1)="-"),999),1)="%"))&lt;&gt;"",SUBSTITUTE(SUBSTITUTE(SUBSTITUTE(SUBSTITUTE(SUBSTITUTE(SUBSTITUTE(SUBSTITUTE(SUBSTITUTE(SUBSTITUTE(SUBSTITUTE(SUBSTITUTE(SUBSTITUTE(LEFT(MID(TRIM(INDEX(PASTE_ALL,17,2)),1+(LEFT(TRIM(INDEX(PASTE_ALL,17,2)),1)="-"),999),LEN(MID(TRIM(INDEX(PASTE_ALL,17,2)),1+(LEFT(TRIM(INDEX(PASTE_ALL,17,2)),1)="-"),999))-(RIGHT(MID(TRIM(INDEX(PASTE_ALL,17,2)),1+(LEFT(TRIM(INDEX(PASTE_ALL,17,2)),1)="-"),999),1)="%")),"0",""),"1",""),"2",""),"3",""),"4",""),"5",""),"6",""),"7",""),"8",""),"9",""),".",""),",","")=""),2,1))),1)</f>
        <v/>
      </c>
      <c r="AA66">
        <f>IFERROR(IF(ISNUMBER(INDEX(PASTE_ALL,17,3)),2,IF(TRIM(INDEX(PASTE_ALL,17,3))="",0,IF(AND(LEFT(MID(TRIM(INDEX(PASTE_ALL,17,3)),1+(LEFT(TRIM(INDEX(PASTE_ALL,17,3)),1)="-"),999),LEN(MID(TRIM(INDEX(PASTE_ALL,17,3)),1+(LEFT(TRIM(INDEX(PASTE_ALL,17,3)),1)="-"),999))-(RIGHT(MID(TRIM(INDEX(PASTE_ALL,17,3)),1+(LEFT(TRIM(INDEX(PASTE_ALL,17,3)),1)="-"),999),1)="%"))&lt;&gt;"",SUBSTITUTE(SUBSTITUTE(SUBSTITUTE(SUBSTITUTE(SUBSTITUTE(SUBSTITUTE(SUBSTITUTE(SUBSTITUTE(SUBSTITUTE(SUBSTITUTE(SUBSTITUTE(SUBSTITUTE(LEFT(MID(TRIM(INDEX(PASTE_ALL,17,3)),1+(LEFT(TRIM(INDEX(PASTE_ALL,17,3)),1)="-"),999),LEN(MID(TRIM(INDEX(PASTE_ALL,17,3)),1+(LEFT(TRIM(INDEX(PASTE_ALL,17,3)),1)="-"),999))-(RIGHT(MID(TRIM(INDEX(PASTE_ALL,17,3)),1+(LEFT(TRIM(INDEX(PASTE_ALL,17,3)),1)="-"),999),1)="%")),"0",""),"1",""),"2",""),"3",""),"4",""),"5",""),"6",""),"7",""),"8",""),"9",""),".",""),",","")=""),2,1))),1)</f>
        <v/>
      </c>
      <c r="AB66">
        <f>IFERROR(IF(ISNUMBER(INDEX(PASTE_ALL,17,4)),2,IF(TRIM(INDEX(PASTE_ALL,17,4))="",0,IF(AND(LEFT(MID(TRIM(INDEX(PASTE_ALL,17,4)),1+(LEFT(TRIM(INDEX(PASTE_ALL,17,4)),1)="-"),999),LEN(MID(TRIM(INDEX(PASTE_ALL,17,4)),1+(LEFT(TRIM(INDEX(PASTE_ALL,17,4)),1)="-"),999))-(RIGHT(MID(TRIM(INDEX(PASTE_ALL,17,4)),1+(LEFT(TRIM(INDEX(PASTE_ALL,17,4)),1)="-"),999),1)="%"))&lt;&gt;"",SUBSTITUTE(SUBSTITUTE(SUBSTITUTE(SUBSTITUTE(SUBSTITUTE(SUBSTITUTE(SUBSTITUTE(SUBSTITUTE(SUBSTITUTE(SUBSTITUTE(SUBSTITUTE(SUBSTITUTE(LEFT(MID(TRIM(INDEX(PASTE_ALL,17,4)),1+(LEFT(TRIM(INDEX(PASTE_ALL,17,4)),1)="-"),999),LEN(MID(TRIM(INDEX(PASTE_ALL,17,4)),1+(LEFT(TRIM(INDEX(PASTE_ALL,17,4)),1)="-"),999))-(RIGHT(MID(TRIM(INDEX(PASTE_ALL,17,4)),1+(LEFT(TRIM(INDEX(PASTE_ALL,17,4)),1)="-"),999),1)="%")),"0",""),"1",""),"2",""),"3",""),"4",""),"5",""),"6",""),"7",""),"8",""),"9",""),".",""),",","")=""),2,1))),1)</f>
        <v/>
      </c>
      <c r="AC66">
        <f>IFERROR(IF(ISNUMBER(INDEX(PASTE_ALL,17,5)),2,IF(TRIM(INDEX(PASTE_ALL,17,5))="",0,IF(AND(LEFT(MID(TRIM(INDEX(PASTE_ALL,17,5)),1+(LEFT(TRIM(INDEX(PASTE_ALL,17,5)),1)="-"),999),LEN(MID(TRIM(INDEX(PASTE_ALL,17,5)),1+(LEFT(TRIM(INDEX(PASTE_ALL,17,5)),1)="-"),999))-(RIGHT(MID(TRIM(INDEX(PASTE_ALL,17,5)),1+(LEFT(TRIM(INDEX(PASTE_ALL,17,5)),1)="-"),999),1)="%"))&lt;&gt;"",SUBSTITUTE(SUBSTITUTE(SUBSTITUTE(SUBSTITUTE(SUBSTITUTE(SUBSTITUTE(SUBSTITUTE(SUBSTITUTE(SUBSTITUTE(SUBSTITUTE(SUBSTITUTE(SUBSTITUTE(LEFT(MID(TRIM(INDEX(PASTE_ALL,17,5)),1+(LEFT(TRIM(INDEX(PASTE_ALL,17,5)),1)="-"),999),LEN(MID(TRIM(INDEX(PASTE_ALL,17,5)),1+(LEFT(TRIM(INDEX(PASTE_ALL,17,5)),1)="-"),999))-(RIGHT(MID(TRIM(INDEX(PASTE_ALL,17,5)),1+(LEFT(TRIM(INDEX(PASTE_ALL,17,5)),1)="-"),999),1)="%")),"0",""),"1",""),"2",""),"3",""),"4",""),"5",""),"6",""),"7",""),"8",""),"9",""),".",""),",","")=""),2,1))),1)</f>
        <v/>
      </c>
      <c r="AD66">
        <f>IFERROR(IF(ISNUMBER(INDEX(PASTE_ALL,17,6)),2,IF(TRIM(INDEX(PASTE_ALL,17,6))="",0,IF(AND(LEFT(MID(TRIM(INDEX(PASTE_ALL,17,6)),1+(LEFT(TRIM(INDEX(PASTE_ALL,17,6)),1)="-"),999),LEN(MID(TRIM(INDEX(PASTE_ALL,17,6)),1+(LEFT(TRIM(INDEX(PASTE_ALL,17,6)),1)="-"),999))-(RIGHT(MID(TRIM(INDEX(PASTE_ALL,17,6)),1+(LEFT(TRIM(INDEX(PASTE_ALL,17,6)),1)="-"),999),1)="%"))&lt;&gt;"",SUBSTITUTE(SUBSTITUTE(SUBSTITUTE(SUBSTITUTE(SUBSTITUTE(SUBSTITUTE(SUBSTITUTE(SUBSTITUTE(SUBSTITUTE(SUBSTITUTE(SUBSTITUTE(SUBSTITUTE(LEFT(MID(TRIM(INDEX(PASTE_ALL,17,6)),1+(LEFT(TRIM(INDEX(PASTE_ALL,17,6)),1)="-"),999),LEN(MID(TRIM(INDEX(PASTE_ALL,17,6)),1+(LEFT(TRIM(INDEX(PASTE_ALL,17,6)),1)="-"),999))-(RIGHT(MID(TRIM(INDEX(PASTE_ALL,17,6)),1+(LEFT(TRIM(INDEX(PASTE_ALL,17,6)),1)="-"),999),1)="%")),"0",""),"1",""),"2",""),"3",""),"4",""),"5",""),"6",""),"7",""),"8",""),"9",""),".",""),",","")=""),2,1))),1)</f>
        <v/>
      </c>
      <c r="AE66">
        <f>IFERROR(IF(ISNUMBER(INDEX(PASTE_ALL,17,7)),2,IF(TRIM(INDEX(PASTE_ALL,17,7))="",0,IF(AND(LEFT(MID(TRIM(INDEX(PASTE_ALL,17,7)),1+(LEFT(TRIM(INDEX(PASTE_ALL,17,7)),1)="-"),999),LEN(MID(TRIM(INDEX(PASTE_ALL,17,7)),1+(LEFT(TRIM(INDEX(PASTE_ALL,17,7)),1)="-"),999))-(RIGHT(MID(TRIM(INDEX(PASTE_ALL,17,7)),1+(LEFT(TRIM(INDEX(PASTE_ALL,17,7)),1)="-"),999),1)="%"))&lt;&gt;"",SUBSTITUTE(SUBSTITUTE(SUBSTITUTE(SUBSTITUTE(SUBSTITUTE(SUBSTITUTE(SUBSTITUTE(SUBSTITUTE(SUBSTITUTE(SUBSTITUTE(SUBSTITUTE(SUBSTITUTE(LEFT(MID(TRIM(INDEX(PASTE_ALL,17,7)),1+(LEFT(TRIM(INDEX(PASTE_ALL,17,7)),1)="-"),999),LEN(MID(TRIM(INDEX(PASTE_ALL,17,7)),1+(LEFT(TRIM(INDEX(PASTE_ALL,17,7)),1)="-"),999))-(RIGHT(MID(TRIM(INDEX(PASTE_ALL,17,7)),1+(LEFT(TRIM(INDEX(PASTE_ALL,17,7)),1)="-"),999),1)="%")),"0",""),"1",""),"2",""),"3",""),"4",""),"5",""),"6",""),"7",""),"8",""),"9",""),".",""),",","")=""),2,1))),1)</f>
        <v/>
      </c>
      <c r="AF66">
        <f>IFERROR(IF(ISNUMBER(INDEX(PASTE_ALL,17,8)),2,IF(TRIM(INDEX(PASTE_ALL,17,8))="",0,IF(AND(LEFT(MID(TRIM(INDEX(PASTE_ALL,17,8)),1+(LEFT(TRIM(INDEX(PASTE_ALL,17,8)),1)="-"),999),LEN(MID(TRIM(INDEX(PASTE_ALL,17,8)),1+(LEFT(TRIM(INDEX(PASTE_ALL,17,8)),1)="-"),999))-(RIGHT(MID(TRIM(INDEX(PASTE_ALL,17,8)),1+(LEFT(TRIM(INDEX(PASTE_ALL,17,8)),1)="-"),999),1)="%"))&lt;&gt;"",SUBSTITUTE(SUBSTITUTE(SUBSTITUTE(SUBSTITUTE(SUBSTITUTE(SUBSTITUTE(SUBSTITUTE(SUBSTITUTE(SUBSTITUTE(SUBSTITUTE(SUBSTITUTE(SUBSTITUTE(LEFT(MID(TRIM(INDEX(PASTE_ALL,17,8)),1+(LEFT(TRIM(INDEX(PASTE_ALL,17,8)),1)="-"),999),LEN(MID(TRIM(INDEX(PASTE_ALL,17,8)),1+(LEFT(TRIM(INDEX(PASTE_ALL,17,8)),1)="-"),999))-(RIGHT(MID(TRIM(INDEX(PASTE_ALL,17,8)),1+(LEFT(TRIM(INDEX(PASTE_ALL,17,8)),1)="-"),999),1)="%")),"0",""),"1",""),"2",""),"3",""),"4",""),"5",""),"6",""),"7",""),"8",""),"9",""),".",""),",","")=""),2,1))),1)</f>
        <v/>
      </c>
      <c r="AG66">
        <f>IFERROR(IF(ISNUMBER(INDEX(PASTE_ALL,17,9)),2,IF(TRIM(INDEX(PASTE_ALL,17,9))="",0,IF(AND(LEFT(MID(TRIM(INDEX(PASTE_ALL,17,9)),1+(LEFT(TRIM(INDEX(PASTE_ALL,17,9)),1)="-"),999),LEN(MID(TRIM(INDEX(PASTE_ALL,17,9)),1+(LEFT(TRIM(INDEX(PASTE_ALL,17,9)),1)="-"),999))-(RIGHT(MID(TRIM(INDEX(PASTE_ALL,17,9)),1+(LEFT(TRIM(INDEX(PASTE_ALL,17,9)),1)="-"),999),1)="%"))&lt;&gt;"",SUBSTITUTE(SUBSTITUTE(SUBSTITUTE(SUBSTITUTE(SUBSTITUTE(SUBSTITUTE(SUBSTITUTE(SUBSTITUTE(SUBSTITUTE(SUBSTITUTE(SUBSTITUTE(SUBSTITUTE(LEFT(MID(TRIM(INDEX(PASTE_ALL,17,9)),1+(LEFT(TRIM(INDEX(PASTE_ALL,17,9)),1)="-"),999),LEN(MID(TRIM(INDEX(PASTE_ALL,17,9)),1+(LEFT(TRIM(INDEX(PASTE_ALL,17,9)),1)="-"),999))-(RIGHT(MID(TRIM(INDEX(PASTE_ALL,17,9)),1+(LEFT(TRIM(INDEX(PASTE_ALL,17,9)),1)="-"),999),1)="%")),"0",""),"1",""),"2",""),"3",""),"4",""),"5",""),"6",""),"7",""),"8",""),"9",""),".",""),",","")=""),2,1))),1)</f>
        <v/>
      </c>
      <c r="AH66">
        <f>IFERROR(IF(ISNUMBER(INDEX(PASTE_ALL,17,10)),2,IF(TRIM(INDEX(PASTE_ALL,17,10))="",0,IF(AND(LEFT(MID(TRIM(INDEX(PASTE_ALL,17,10)),1+(LEFT(TRIM(INDEX(PASTE_ALL,17,10)),1)="-"),999),LEN(MID(TRIM(INDEX(PASTE_ALL,17,10)),1+(LEFT(TRIM(INDEX(PASTE_ALL,17,10)),1)="-"),999))-(RIGHT(MID(TRIM(INDEX(PASTE_ALL,17,10)),1+(LEFT(TRIM(INDEX(PASTE_ALL,17,10)),1)="-"),999),1)="%"))&lt;&gt;"",SUBSTITUTE(SUBSTITUTE(SUBSTITUTE(SUBSTITUTE(SUBSTITUTE(SUBSTITUTE(SUBSTITUTE(SUBSTITUTE(SUBSTITUTE(SUBSTITUTE(SUBSTITUTE(SUBSTITUTE(LEFT(MID(TRIM(INDEX(PASTE_ALL,17,10)),1+(LEFT(TRIM(INDEX(PASTE_ALL,17,10)),1)="-"),999),LEN(MID(TRIM(INDEX(PASTE_ALL,17,10)),1+(LEFT(TRIM(INDEX(PASTE_ALL,17,10)),1)="-"),999))-(RIGHT(MID(TRIM(INDEX(PASTE_ALL,17,10)),1+(LEFT(TRIM(INDEX(PASTE_ALL,17,10)),1)="-"),999),1)="%")),"0",""),"1",""),"2",""),"3",""),"4",""),"5",""),"6",""),"7",""),"8",""),"9",""),".",""),",","")=""),2,1))),1)</f>
        <v/>
      </c>
      <c r="AI66">
        <f>IFERROR(IF(ISNUMBER(INDEX(PASTE_ALL,17,11)),2,IF(TRIM(INDEX(PASTE_ALL,17,11))="",0,IF(AND(LEFT(MID(TRIM(INDEX(PASTE_ALL,17,11)),1+(LEFT(TRIM(INDEX(PASTE_ALL,17,11)),1)="-"),999),LEN(MID(TRIM(INDEX(PASTE_ALL,17,11)),1+(LEFT(TRIM(INDEX(PASTE_ALL,17,11)),1)="-"),999))-(RIGHT(MID(TRIM(INDEX(PASTE_ALL,17,11)),1+(LEFT(TRIM(INDEX(PASTE_ALL,17,11)),1)="-"),999),1)="%"))&lt;&gt;"",SUBSTITUTE(SUBSTITUTE(SUBSTITUTE(SUBSTITUTE(SUBSTITUTE(SUBSTITUTE(SUBSTITUTE(SUBSTITUTE(SUBSTITUTE(SUBSTITUTE(SUBSTITUTE(SUBSTITUTE(LEFT(MID(TRIM(INDEX(PASTE_ALL,17,11)),1+(LEFT(TRIM(INDEX(PASTE_ALL,17,11)),1)="-"),999),LEN(MID(TRIM(INDEX(PASTE_ALL,17,11)),1+(LEFT(TRIM(INDEX(PASTE_ALL,17,11)),1)="-"),999))-(RIGHT(MID(TRIM(INDEX(PASTE_ALL,17,11)),1+(LEFT(TRIM(INDEX(PASTE_ALL,17,11)),1)="-"),999),1)="%")),"0",""),"1",""),"2",""),"3",""),"4",""),"5",""),"6",""),"7",""),"8",""),"9",""),".",""),",","")=""),2,1))),1)</f>
        <v/>
      </c>
      <c r="AJ66">
        <f>IFERROR(IF(ISNUMBER(INDEX(PASTE_ALL,17,12)),2,IF(TRIM(INDEX(PASTE_ALL,17,12))="",0,IF(AND(LEFT(MID(TRIM(INDEX(PASTE_ALL,17,12)),1+(LEFT(TRIM(INDEX(PASTE_ALL,17,12)),1)="-"),999),LEN(MID(TRIM(INDEX(PASTE_ALL,17,12)),1+(LEFT(TRIM(INDEX(PASTE_ALL,17,12)),1)="-"),999))-(RIGHT(MID(TRIM(INDEX(PASTE_ALL,17,12)),1+(LEFT(TRIM(INDEX(PASTE_ALL,17,12)),1)="-"),999),1)="%"))&lt;&gt;"",SUBSTITUTE(SUBSTITUTE(SUBSTITUTE(SUBSTITUTE(SUBSTITUTE(SUBSTITUTE(SUBSTITUTE(SUBSTITUTE(SUBSTITUTE(SUBSTITUTE(SUBSTITUTE(SUBSTITUTE(LEFT(MID(TRIM(INDEX(PASTE_ALL,17,12)),1+(LEFT(TRIM(INDEX(PASTE_ALL,17,12)),1)="-"),999),LEN(MID(TRIM(INDEX(PASTE_ALL,17,12)),1+(LEFT(TRIM(INDEX(PASTE_ALL,17,12)),1)="-"),999))-(RIGHT(MID(TRIM(INDEX(PASTE_ALL,17,12)),1+(LEFT(TRIM(INDEX(PASTE_ALL,17,12)),1)="-"),999),1)="%")),"0",""),"1",""),"2",""),"3",""),"4",""),"5",""),"6",""),"7",""),"8",""),"9",""),".",""),",","")=""),2,1))),1)</f>
        <v/>
      </c>
      <c r="AK66">
        <f>IFERROR(IF(ISNUMBER(INDEX(PASTE_ALL,17,13)),2,IF(TRIM(INDEX(PASTE_ALL,17,13))="",0,IF(AND(LEFT(MID(TRIM(INDEX(PASTE_ALL,17,13)),1+(LEFT(TRIM(INDEX(PASTE_ALL,17,13)),1)="-"),999),LEN(MID(TRIM(INDEX(PASTE_ALL,17,13)),1+(LEFT(TRIM(INDEX(PASTE_ALL,17,13)),1)="-"),999))-(RIGHT(MID(TRIM(INDEX(PASTE_ALL,17,13)),1+(LEFT(TRIM(INDEX(PASTE_ALL,17,13)),1)="-"),999),1)="%"))&lt;&gt;"",SUBSTITUTE(SUBSTITUTE(SUBSTITUTE(SUBSTITUTE(SUBSTITUTE(SUBSTITUTE(SUBSTITUTE(SUBSTITUTE(SUBSTITUTE(SUBSTITUTE(SUBSTITUTE(SUBSTITUTE(LEFT(MID(TRIM(INDEX(PASTE_ALL,17,13)),1+(LEFT(TRIM(INDEX(PASTE_ALL,17,13)),1)="-"),999),LEN(MID(TRIM(INDEX(PASTE_ALL,17,13)),1+(LEFT(TRIM(INDEX(PASTE_ALL,17,13)),1)="-"),999))-(RIGHT(MID(TRIM(INDEX(PASTE_ALL,17,13)),1+(LEFT(TRIM(INDEX(PASTE_ALL,17,13)),1)="-"),999),1)="%")),"0",""),"1",""),"2",""),"3",""),"4",""),"5",""),"6",""),"7",""),"8",""),"9",""),".",""),",","")=""),2,1))),1)</f>
        <v/>
      </c>
      <c r="AL66">
        <f>IFERROR(IF(ISNUMBER(INDEX(PASTE_ALL,17,14)),2,IF(TRIM(INDEX(PASTE_ALL,17,14))="",0,IF(AND(LEFT(MID(TRIM(INDEX(PASTE_ALL,17,14)),1+(LEFT(TRIM(INDEX(PASTE_ALL,17,14)),1)="-"),999),LEN(MID(TRIM(INDEX(PASTE_ALL,17,14)),1+(LEFT(TRIM(INDEX(PASTE_ALL,17,14)),1)="-"),999))-(RIGHT(MID(TRIM(INDEX(PASTE_ALL,17,14)),1+(LEFT(TRIM(INDEX(PASTE_ALL,17,14)),1)="-"),999),1)="%"))&lt;&gt;"",SUBSTITUTE(SUBSTITUTE(SUBSTITUTE(SUBSTITUTE(SUBSTITUTE(SUBSTITUTE(SUBSTITUTE(SUBSTITUTE(SUBSTITUTE(SUBSTITUTE(SUBSTITUTE(SUBSTITUTE(LEFT(MID(TRIM(INDEX(PASTE_ALL,17,14)),1+(LEFT(TRIM(INDEX(PASTE_ALL,17,14)),1)="-"),999),LEN(MID(TRIM(INDEX(PASTE_ALL,17,14)),1+(LEFT(TRIM(INDEX(PASTE_ALL,17,14)),1)="-"),999))-(RIGHT(MID(TRIM(INDEX(PASTE_ALL,17,14)),1+(LEFT(TRIM(INDEX(PASTE_ALL,17,14)),1)="-"),999),1)="%")),"0",""),"1",""),"2",""),"3",""),"4",""),"5",""),"6",""),"7",""),"8",""),"9",""),".",""),",","")=""),2,1))),1)</f>
        <v/>
      </c>
      <c r="AM66">
        <f>IFERROR(IF(ISNUMBER(INDEX(PASTE_ALL,17,15)),2,IF(TRIM(INDEX(PASTE_ALL,17,15))="",0,IF(AND(LEFT(MID(TRIM(INDEX(PASTE_ALL,17,15)),1+(LEFT(TRIM(INDEX(PASTE_ALL,17,15)),1)="-"),999),LEN(MID(TRIM(INDEX(PASTE_ALL,17,15)),1+(LEFT(TRIM(INDEX(PASTE_ALL,17,15)),1)="-"),999))-(RIGHT(MID(TRIM(INDEX(PASTE_ALL,17,15)),1+(LEFT(TRIM(INDEX(PASTE_ALL,17,15)),1)="-"),999),1)="%"))&lt;&gt;"",SUBSTITUTE(SUBSTITUTE(SUBSTITUTE(SUBSTITUTE(SUBSTITUTE(SUBSTITUTE(SUBSTITUTE(SUBSTITUTE(SUBSTITUTE(SUBSTITUTE(SUBSTITUTE(SUBSTITUTE(LEFT(MID(TRIM(INDEX(PASTE_ALL,17,15)),1+(LEFT(TRIM(INDEX(PASTE_ALL,17,15)),1)="-"),999),LEN(MID(TRIM(INDEX(PASTE_ALL,17,15)),1+(LEFT(TRIM(INDEX(PASTE_ALL,17,15)),1)="-"),999))-(RIGHT(MID(TRIM(INDEX(PASTE_ALL,17,15)),1+(LEFT(TRIM(INDEX(PASTE_ALL,17,15)),1)="-"),999),1)="%")),"0",""),"1",""),"2",""),"3",""),"4",""),"5",""),"6",""),"7",""),"8",""),"9",""),".",""),",","")=""),2,1))),1)</f>
        <v/>
      </c>
      <c r="AN66">
        <f>IFERROR(IF(ISNUMBER(INDEX(PASTE_ALL,17,16)),2,IF(TRIM(INDEX(PASTE_ALL,17,16))="",0,IF(AND(LEFT(MID(TRIM(INDEX(PASTE_ALL,17,16)),1+(LEFT(TRIM(INDEX(PASTE_ALL,17,16)),1)="-"),999),LEN(MID(TRIM(INDEX(PASTE_ALL,17,16)),1+(LEFT(TRIM(INDEX(PASTE_ALL,17,16)),1)="-"),999))-(RIGHT(MID(TRIM(INDEX(PASTE_ALL,17,16)),1+(LEFT(TRIM(INDEX(PASTE_ALL,17,16)),1)="-"),999),1)="%"))&lt;&gt;"",SUBSTITUTE(SUBSTITUTE(SUBSTITUTE(SUBSTITUTE(SUBSTITUTE(SUBSTITUTE(SUBSTITUTE(SUBSTITUTE(SUBSTITUTE(SUBSTITUTE(SUBSTITUTE(SUBSTITUTE(LEFT(MID(TRIM(INDEX(PASTE_ALL,17,16)),1+(LEFT(TRIM(INDEX(PASTE_ALL,17,16)),1)="-"),999),LEN(MID(TRIM(INDEX(PASTE_ALL,17,16)),1+(LEFT(TRIM(INDEX(PASTE_ALL,17,16)),1)="-"),999))-(RIGHT(MID(TRIM(INDEX(PASTE_ALL,17,16)),1+(LEFT(TRIM(INDEX(PASTE_ALL,17,16)),1)="-"),999),1)="%")),"0",""),"1",""),"2",""),"3",""),"4",""),"5",""),"6",""),"7",""),"8",""),"9",""),".",""),",","")=""),2,1))),1)</f>
        <v/>
      </c>
      <c r="AO66">
        <f>IFERROR(IF(ISNUMBER(INDEX(PASTE_ALL,17,17)),2,IF(TRIM(INDEX(PASTE_ALL,17,17))="",0,IF(AND(LEFT(MID(TRIM(INDEX(PASTE_ALL,17,17)),1+(LEFT(TRIM(INDEX(PASTE_ALL,17,17)),1)="-"),999),LEN(MID(TRIM(INDEX(PASTE_ALL,17,17)),1+(LEFT(TRIM(INDEX(PASTE_ALL,17,17)),1)="-"),999))-(RIGHT(MID(TRIM(INDEX(PASTE_ALL,17,17)),1+(LEFT(TRIM(INDEX(PASTE_ALL,17,17)),1)="-"),999),1)="%"))&lt;&gt;"",SUBSTITUTE(SUBSTITUTE(SUBSTITUTE(SUBSTITUTE(SUBSTITUTE(SUBSTITUTE(SUBSTITUTE(SUBSTITUTE(SUBSTITUTE(SUBSTITUTE(SUBSTITUTE(SUBSTITUTE(LEFT(MID(TRIM(INDEX(PASTE_ALL,17,17)),1+(LEFT(TRIM(INDEX(PASTE_ALL,17,17)),1)="-"),999),LEN(MID(TRIM(INDEX(PASTE_ALL,17,17)),1+(LEFT(TRIM(INDEX(PASTE_ALL,17,17)),1)="-"),999))-(RIGHT(MID(TRIM(INDEX(PASTE_ALL,17,17)),1+(LEFT(TRIM(INDEX(PASTE_ALL,17,17)),1)="-"),999),1)="%")),"0",""),"1",""),"2",""),"3",""),"4",""),"5",""),"6",""),"7",""),"8",""),"9",""),".",""),",","")=""),2,1))),1)</f>
        <v/>
      </c>
      <c r="AP66">
        <f>IFERROR(IF(ISNUMBER(INDEX(PASTE_ALL,17,18)),2,IF(TRIM(INDEX(PASTE_ALL,17,18))="",0,IF(AND(LEFT(MID(TRIM(INDEX(PASTE_ALL,17,18)),1+(LEFT(TRIM(INDEX(PASTE_ALL,17,18)),1)="-"),999),LEN(MID(TRIM(INDEX(PASTE_ALL,17,18)),1+(LEFT(TRIM(INDEX(PASTE_ALL,17,18)),1)="-"),999))-(RIGHT(MID(TRIM(INDEX(PASTE_ALL,17,18)),1+(LEFT(TRIM(INDEX(PASTE_ALL,17,18)),1)="-"),999),1)="%"))&lt;&gt;"",SUBSTITUTE(SUBSTITUTE(SUBSTITUTE(SUBSTITUTE(SUBSTITUTE(SUBSTITUTE(SUBSTITUTE(SUBSTITUTE(SUBSTITUTE(SUBSTITUTE(SUBSTITUTE(SUBSTITUTE(LEFT(MID(TRIM(INDEX(PASTE_ALL,17,18)),1+(LEFT(TRIM(INDEX(PASTE_ALL,17,18)),1)="-"),999),LEN(MID(TRIM(INDEX(PASTE_ALL,17,18)),1+(LEFT(TRIM(INDEX(PASTE_ALL,17,18)),1)="-"),999))-(RIGHT(MID(TRIM(INDEX(PASTE_ALL,17,18)),1+(LEFT(TRIM(INDEX(PASTE_ALL,17,18)),1)="-"),999),1)="%")),"0",""),"1",""),"2",""),"3",""),"4",""),"5",""),"6",""),"7",""),"8",""),"9",""),".",""),",","")=""),2,1))),1)</f>
        <v/>
      </c>
      <c r="AQ66">
        <f>IFERROR(IF(ISNUMBER(INDEX(PASTE_ALL,17,19)),2,IF(TRIM(INDEX(PASTE_ALL,17,19))="",0,IF(AND(LEFT(MID(TRIM(INDEX(PASTE_ALL,17,19)),1+(LEFT(TRIM(INDEX(PASTE_ALL,17,19)),1)="-"),999),LEN(MID(TRIM(INDEX(PASTE_ALL,17,19)),1+(LEFT(TRIM(INDEX(PASTE_ALL,17,19)),1)="-"),999))-(RIGHT(MID(TRIM(INDEX(PASTE_ALL,17,19)),1+(LEFT(TRIM(INDEX(PASTE_ALL,17,19)),1)="-"),999),1)="%"))&lt;&gt;"",SUBSTITUTE(SUBSTITUTE(SUBSTITUTE(SUBSTITUTE(SUBSTITUTE(SUBSTITUTE(SUBSTITUTE(SUBSTITUTE(SUBSTITUTE(SUBSTITUTE(SUBSTITUTE(SUBSTITUTE(LEFT(MID(TRIM(INDEX(PASTE_ALL,17,19)),1+(LEFT(TRIM(INDEX(PASTE_ALL,17,19)),1)="-"),999),LEN(MID(TRIM(INDEX(PASTE_ALL,17,19)),1+(LEFT(TRIM(INDEX(PASTE_ALL,17,19)),1)="-"),999))-(RIGHT(MID(TRIM(INDEX(PASTE_ALL,17,19)),1+(LEFT(TRIM(INDEX(PASTE_ALL,17,19)),1)="-"),999),1)="%")),"0",""),"1",""),"2",""),"3",""),"4",""),"5",""),"6",""),"7",""),"8",""),"9",""),".",""),",","")=""),2,1))),1)</f>
        <v/>
      </c>
      <c r="AR66">
        <f>IFERROR(IF(ISNUMBER(INDEX(PASTE_ALL,17,20)),2,IF(TRIM(INDEX(PASTE_ALL,17,20))="",0,IF(AND(LEFT(MID(TRIM(INDEX(PASTE_ALL,17,20)),1+(LEFT(TRIM(INDEX(PASTE_ALL,17,20)),1)="-"),999),LEN(MID(TRIM(INDEX(PASTE_ALL,17,20)),1+(LEFT(TRIM(INDEX(PASTE_ALL,17,20)),1)="-"),999))-(RIGHT(MID(TRIM(INDEX(PASTE_ALL,17,20)),1+(LEFT(TRIM(INDEX(PASTE_ALL,17,20)),1)="-"),999),1)="%"))&lt;&gt;"",SUBSTITUTE(SUBSTITUTE(SUBSTITUTE(SUBSTITUTE(SUBSTITUTE(SUBSTITUTE(SUBSTITUTE(SUBSTITUTE(SUBSTITUTE(SUBSTITUTE(SUBSTITUTE(SUBSTITUTE(LEFT(MID(TRIM(INDEX(PASTE_ALL,17,20)),1+(LEFT(TRIM(INDEX(PASTE_ALL,17,20)),1)="-"),999),LEN(MID(TRIM(INDEX(PASTE_ALL,17,20)),1+(LEFT(TRIM(INDEX(PASTE_ALL,17,20)),1)="-"),999))-(RIGHT(MID(TRIM(INDEX(PASTE_ALL,17,20)),1+(LEFT(TRIM(INDEX(PASTE_ALL,17,20)),1)="-"),999),1)="%")),"0",""),"1",""),"2",""),"3",""),"4",""),"5",""),"6",""),"7",""),"8",""),"9",""),".",""),",","")=""),2,1))),1)</f>
        <v/>
      </c>
      <c r="AS66">
        <f>IFERROR(IF(ISNUMBER(INDEX(PASTE_ALL,17,21)),2,IF(TRIM(INDEX(PASTE_ALL,17,21))="",0,IF(AND(LEFT(MID(TRIM(INDEX(PASTE_ALL,17,21)),1+(LEFT(TRIM(INDEX(PASTE_ALL,17,21)),1)="-"),999),LEN(MID(TRIM(INDEX(PASTE_ALL,17,21)),1+(LEFT(TRIM(INDEX(PASTE_ALL,17,21)),1)="-"),999))-(RIGHT(MID(TRIM(INDEX(PASTE_ALL,17,21)),1+(LEFT(TRIM(INDEX(PASTE_ALL,17,21)),1)="-"),999),1)="%"))&lt;&gt;"",SUBSTITUTE(SUBSTITUTE(SUBSTITUTE(SUBSTITUTE(SUBSTITUTE(SUBSTITUTE(SUBSTITUTE(SUBSTITUTE(SUBSTITUTE(SUBSTITUTE(SUBSTITUTE(SUBSTITUTE(LEFT(MID(TRIM(INDEX(PASTE_ALL,17,21)),1+(LEFT(TRIM(INDEX(PASTE_ALL,17,21)),1)="-"),999),LEN(MID(TRIM(INDEX(PASTE_ALL,17,21)),1+(LEFT(TRIM(INDEX(PASTE_ALL,17,21)),1)="-"),999))-(RIGHT(MID(TRIM(INDEX(PASTE_ALL,17,21)),1+(LEFT(TRIM(INDEX(PASTE_ALL,17,21)),1)="-"),999),1)="%")),"0",""),"1",""),"2",""),"3",""),"4",""),"5",""),"6",""),"7",""),"8",""),"9",""),".",""),",","")=""),2,1))),1)</f>
        <v/>
      </c>
      <c r="AT66">
        <f>IFERROR(IF(ISNUMBER(INDEX(PASTE_ALL,17,22)),2,IF(TRIM(INDEX(PASTE_ALL,17,22))="",0,IF(AND(LEFT(MID(TRIM(INDEX(PASTE_ALL,17,22)),1+(LEFT(TRIM(INDEX(PASTE_ALL,17,22)),1)="-"),999),LEN(MID(TRIM(INDEX(PASTE_ALL,17,22)),1+(LEFT(TRIM(INDEX(PASTE_ALL,17,22)),1)="-"),999))-(RIGHT(MID(TRIM(INDEX(PASTE_ALL,17,22)),1+(LEFT(TRIM(INDEX(PASTE_ALL,17,22)),1)="-"),999),1)="%"))&lt;&gt;"",SUBSTITUTE(SUBSTITUTE(SUBSTITUTE(SUBSTITUTE(SUBSTITUTE(SUBSTITUTE(SUBSTITUTE(SUBSTITUTE(SUBSTITUTE(SUBSTITUTE(SUBSTITUTE(SUBSTITUTE(LEFT(MID(TRIM(INDEX(PASTE_ALL,17,22)),1+(LEFT(TRIM(INDEX(PASTE_ALL,17,22)),1)="-"),999),LEN(MID(TRIM(INDEX(PASTE_ALL,17,22)),1+(LEFT(TRIM(INDEX(PASTE_ALL,17,22)),1)="-"),999))-(RIGHT(MID(TRIM(INDEX(PASTE_ALL,17,22)),1+(LEFT(TRIM(INDEX(PASTE_ALL,17,22)),1)="-"),999),1)="%")),"0",""),"1",""),"2",""),"3",""),"4",""),"5",""),"6",""),"7",""),"8",""),"9",""),".",""),",","")=""),2,1))),1)</f>
        <v/>
      </c>
      <c r="AU66">
        <f>IFERROR(IF(ISNUMBER(INDEX(PASTE_ALL,17,23)),2,IF(TRIM(INDEX(PASTE_ALL,17,23))="",0,IF(AND(LEFT(MID(TRIM(INDEX(PASTE_ALL,17,23)),1+(LEFT(TRIM(INDEX(PASTE_ALL,17,23)),1)="-"),999),LEN(MID(TRIM(INDEX(PASTE_ALL,17,23)),1+(LEFT(TRIM(INDEX(PASTE_ALL,17,23)),1)="-"),999))-(RIGHT(MID(TRIM(INDEX(PASTE_ALL,17,23)),1+(LEFT(TRIM(INDEX(PASTE_ALL,17,23)),1)="-"),999),1)="%"))&lt;&gt;"",SUBSTITUTE(SUBSTITUTE(SUBSTITUTE(SUBSTITUTE(SUBSTITUTE(SUBSTITUTE(SUBSTITUTE(SUBSTITUTE(SUBSTITUTE(SUBSTITUTE(SUBSTITUTE(SUBSTITUTE(LEFT(MID(TRIM(INDEX(PASTE_ALL,17,23)),1+(LEFT(TRIM(INDEX(PASTE_ALL,17,23)),1)="-"),999),LEN(MID(TRIM(INDEX(PASTE_ALL,17,23)),1+(LEFT(TRIM(INDEX(PASTE_ALL,17,23)),1)="-"),999))-(RIGHT(MID(TRIM(INDEX(PASTE_ALL,17,23)),1+(LEFT(TRIM(INDEX(PASTE_ALL,17,23)),1)="-"),999),1)="%")),"0",""),"1",""),"2",""),"3",""),"4",""),"5",""),"6",""),"7",""),"8",""),"9",""),".",""),",","")=""),2,1))),1)</f>
        <v/>
      </c>
      <c r="AV66">
        <f>IFERROR(IF(ISNUMBER(INDEX(PASTE_ALL,17,24)),2,IF(TRIM(INDEX(PASTE_ALL,17,24))="",0,IF(AND(LEFT(MID(TRIM(INDEX(PASTE_ALL,17,24)),1+(LEFT(TRIM(INDEX(PASTE_ALL,17,24)),1)="-"),999),LEN(MID(TRIM(INDEX(PASTE_ALL,17,24)),1+(LEFT(TRIM(INDEX(PASTE_ALL,17,24)),1)="-"),999))-(RIGHT(MID(TRIM(INDEX(PASTE_ALL,17,24)),1+(LEFT(TRIM(INDEX(PASTE_ALL,17,24)),1)="-"),999),1)="%"))&lt;&gt;"",SUBSTITUTE(SUBSTITUTE(SUBSTITUTE(SUBSTITUTE(SUBSTITUTE(SUBSTITUTE(SUBSTITUTE(SUBSTITUTE(SUBSTITUTE(SUBSTITUTE(SUBSTITUTE(SUBSTITUTE(LEFT(MID(TRIM(INDEX(PASTE_ALL,17,24)),1+(LEFT(TRIM(INDEX(PASTE_ALL,17,24)),1)="-"),999),LEN(MID(TRIM(INDEX(PASTE_ALL,17,24)),1+(LEFT(TRIM(INDEX(PASTE_ALL,17,24)),1)="-"),999))-(RIGHT(MID(TRIM(INDEX(PASTE_ALL,17,24)),1+(LEFT(TRIM(INDEX(PASTE_ALL,17,24)),1)="-"),999),1)="%")),"0",""),"1",""),"2",""),"3",""),"4",""),"5",""),"6",""),"7",""),"8",""),"9",""),".",""),",","")=""),2,1))),1)</f>
        <v/>
      </c>
      <c r="AW66">
        <f>IFERROR(IF(ISNUMBER(INDEX(PASTE_ALL,17,25)),2,IF(TRIM(INDEX(PASTE_ALL,17,25))="",0,IF(AND(LEFT(MID(TRIM(INDEX(PASTE_ALL,17,25)),1+(LEFT(TRIM(INDEX(PASTE_ALL,17,25)),1)="-"),999),LEN(MID(TRIM(INDEX(PASTE_ALL,17,25)),1+(LEFT(TRIM(INDEX(PASTE_ALL,17,25)),1)="-"),999))-(RIGHT(MID(TRIM(INDEX(PASTE_ALL,17,25)),1+(LEFT(TRIM(INDEX(PASTE_ALL,17,25)),1)="-"),999),1)="%"))&lt;&gt;"",SUBSTITUTE(SUBSTITUTE(SUBSTITUTE(SUBSTITUTE(SUBSTITUTE(SUBSTITUTE(SUBSTITUTE(SUBSTITUTE(SUBSTITUTE(SUBSTITUTE(SUBSTITUTE(SUBSTITUTE(LEFT(MID(TRIM(INDEX(PASTE_ALL,17,25)),1+(LEFT(TRIM(INDEX(PASTE_ALL,17,25)),1)="-"),999),LEN(MID(TRIM(INDEX(PASTE_ALL,17,25)),1+(LEFT(TRIM(INDEX(PASTE_ALL,17,25)),1)="-"),999))-(RIGHT(MID(TRIM(INDEX(PASTE_ALL,17,25)),1+(LEFT(TRIM(INDEX(PASTE_ALL,17,25)),1)="-"),999),1)="%")),"0",""),"1",""),"2",""),"3",""),"4",""),"5",""),"6",""),"7",""),"8",""),"9",""),".",""),",","")=""),2,1))),1)</f>
        <v/>
      </c>
      <c r="AX66">
        <f>IFERROR(IF(ISNUMBER(INDEX(PASTE_ALL,17,26)),2,IF(TRIM(INDEX(PASTE_ALL,17,26))="",0,IF(AND(LEFT(MID(TRIM(INDEX(PASTE_ALL,17,26)),1+(LEFT(TRIM(INDEX(PASTE_ALL,17,26)),1)="-"),999),LEN(MID(TRIM(INDEX(PASTE_ALL,17,26)),1+(LEFT(TRIM(INDEX(PASTE_ALL,17,26)),1)="-"),999))-(RIGHT(MID(TRIM(INDEX(PASTE_ALL,17,26)),1+(LEFT(TRIM(INDEX(PASTE_ALL,17,26)),1)="-"),999),1)="%"))&lt;&gt;"",SUBSTITUTE(SUBSTITUTE(SUBSTITUTE(SUBSTITUTE(SUBSTITUTE(SUBSTITUTE(SUBSTITUTE(SUBSTITUTE(SUBSTITUTE(SUBSTITUTE(SUBSTITUTE(SUBSTITUTE(LEFT(MID(TRIM(INDEX(PASTE_ALL,17,26)),1+(LEFT(TRIM(INDEX(PASTE_ALL,17,26)),1)="-"),999),LEN(MID(TRIM(INDEX(PASTE_ALL,17,26)),1+(LEFT(TRIM(INDEX(PASTE_ALL,17,26)),1)="-"),999))-(RIGHT(MID(TRIM(INDEX(PASTE_ALL,17,26)),1+(LEFT(TRIM(INDEX(PASTE_ALL,17,26)),1)="-"),999),1)="%")),"0",""),"1",""),"2",""),"3",""),"4",""),"5",""),"6",""),"7",""),"8",""),"9",""),".",""),",","")=""),2,1))),1)</f>
        <v/>
      </c>
      <c r="AY66">
        <f>IFERROR(IF(ISNUMBER(INDEX(PASTE_ALL,17,27)),2,IF(TRIM(INDEX(PASTE_ALL,17,27))="",0,IF(AND(LEFT(MID(TRIM(INDEX(PASTE_ALL,17,27)),1+(LEFT(TRIM(INDEX(PASTE_ALL,17,27)),1)="-"),999),LEN(MID(TRIM(INDEX(PASTE_ALL,17,27)),1+(LEFT(TRIM(INDEX(PASTE_ALL,17,27)),1)="-"),999))-(RIGHT(MID(TRIM(INDEX(PASTE_ALL,17,27)),1+(LEFT(TRIM(INDEX(PASTE_ALL,17,27)),1)="-"),999),1)="%"))&lt;&gt;"",SUBSTITUTE(SUBSTITUTE(SUBSTITUTE(SUBSTITUTE(SUBSTITUTE(SUBSTITUTE(SUBSTITUTE(SUBSTITUTE(SUBSTITUTE(SUBSTITUTE(SUBSTITUTE(SUBSTITUTE(LEFT(MID(TRIM(INDEX(PASTE_ALL,17,27)),1+(LEFT(TRIM(INDEX(PASTE_ALL,17,27)),1)="-"),999),LEN(MID(TRIM(INDEX(PASTE_ALL,17,27)),1+(LEFT(TRIM(INDEX(PASTE_ALL,17,27)),1)="-"),999))-(RIGHT(MID(TRIM(INDEX(PASTE_ALL,17,27)),1+(LEFT(TRIM(INDEX(PASTE_ALL,17,27)),1)="-"),999),1)="%")),"0",""),"1",""),"2",""),"3",""),"4",""),"5",""),"6",""),"7",""),"8",""),"9",""),".",""),",","")=""),2,1))),1)</f>
        <v/>
      </c>
      <c r="AZ66">
        <f>IFERROR(IF(ISNUMBER(INDEX(PASTE_ALL,17,28)),2,IF(TRIM(INDEX(PASTE_ALL,17,28))="",0,IF(AND(LEFT(MID(TRIM(INDEX(PASTE_ALL,17,28)),1+(LEFT(TRIM(INDEX(PASTE_ALL,17,28)),1)="-"),999),LEN(MID(TRIM(INDEX(PASTE_ALL,17,28)),1+(LEFT(TRIM(INDEX(PASTE_ALL,17,28)),1)="-"),999))-(RIGHT(MID(TRIM(INDEX(PASTE_ALL,17,28)),1+(LEFT(TRIM(INDEX(PASTE_ALL,17,28)),1)="-"),999),1)="%"))&lt;&gt;"",SUBSTITUTE(SUBSTITUTE(SUBSTITUTE(SUBSTITUTE(SUBSTITUTE(SUBSTITUTE(SUBSTITUTE(SUBSTITUTE(SUBSTITUTE(SUBSTITUTE(SUBSTITUTE(SUBSTITUTE(LEFT(MID(TRIM(INDEX(PASTE_ALL,17,28)),1+(LEFT(TRIM(INDEX(PASTE_ALL,17,28)),1)="-"),999),LEN(MID(TRIM(INDEX(PASTE_ALL,17,28)),1+(LEFT(TRIM(INDEX(PASTE_ALL,17,28)),1)="-"),999))-(RIGHT(MID(TRIM(INDEX(PASTE_ALL,17,28)),1+(LEFT(TRIM(INDEX(PASTE_ALL,17,28)),1)="-"),999),1)="%")),"0",""),"1",""),"2",""),"3",""),"4",""),"5",""),"6",""),"7",""),"8",""),"9",""),".",""),",","")=""),2,1))),1)</f>
        <v/>
      </c>
      <c r="BA66">
        <f>IFERROR(IF(ISNUMBER(INDEX(PASTE_ALL,17,29)),2,IF(TRIM(INDEX(PASTE_ALL,17,29))="",0,IF(AND(LEFT(MID(TRIM(INDEX(PASTE_ALL,17,29)),1+(LEFT(TRIM(INDEX(PASTE_ALL,17,29)),1)="-"),999),LEN(MID(TRIM(INDEX(PASTE_ALL,17,29)),1+(LEFT(TRIM(INDEX(PASTE_ALL,17,29)),1)="-"),999))-(RIGHT(MID(TRIM(INDEX(PASTE_ALL,17,29)),1+(LEFT(TRIM(INDEX(PASTE_ALL,17,29)),1)="-"),999),1)="%"))&lt;&gt;"",SUBSTITUTE(SUBSTITUTE(SUBSTITUTE(SUBSTITUTE(SUBSTITUTE(SUBSTITUTE(SUBSTITUTE(SUBSTITUTE(SUBSTITUTE(SUBSTITUTE(SUBSTITUTE(SUBSTITUTE(LEFT(MID(TRIM(INDEX(PASTE_ALL,17,29)),1+(LEFT(TRIM(INDEX(PASTE_ALL,17,29)),1)="-"),999),LEN(MID(TRIM(INDEX(PASTE_ALL,17,29)),1+(LEFT(TRIM(INDEX(PASTE_ALL,17,29)),1)="-"),999))-(RIGHT(MID(TRIM(INDEX(PASTE_ALL,17,29)),1+(LEFT(TRIM(INDEX(PASTE_ALL,17,29)),1)="-"),999),1)="%")),"0",""),"1",""),"2",""),"3",""),"4",""),"5",""),"6",""),"7",""),"8",""),"9",""),".",""),",","")=""),2,1))),1)</f>
        <v/>
      </c>
      <c r="BB66">
        <f>IFERROR(IF(ISNUMBER(INDEX(PASTE_ALL,17,30)),2,IF(TRIM(INDEX(PASTE_ALL,17,30))="",0,IF(AND(LEFT(MID(TRIM(INDEX(PASTE_ALL,17,30)),1+(LEFT(TRIM(INDEX(PASTE_ALL,17,30)),1)="-"),999),LEN(MID(TRIM(INDEX(PASTE_ALL,17,30)),1+(LEFT(TRIM(INDEX(PASTE_ALL,17,30)),1)="-"),999))-(RIGHT(MID(TRIM(INDEX(PASTE_ALL,17,30)),1+(LEFT(TRIM(INDEX(PASTE_ALL,17,30)),1)="-"),999),1)="%"))&lt;&gt;"",SUBSTITUTE(SUBSTITUTE(SUBSTITUTE(SUBSTITUTE(SUBSTITUTE(SUBSTITUTE(SUBSTITUTE(SUBSTITUTE(SUBSTITUTE(SUBSTITUTE(SUBSTITUTE(SUBSTITUTE(LEFT(MID(TRIM(INDEX(PASTE_ALL,17,30)),1+(LEFT(TRIM(INDEX(PASTE_ALL,17,30)),1)="-"),999),LEN(MID(TRIM(INDEX(PASTE_ALL,17,30)),1+(LEFT(TRIM(INDEX(PASTE_ALL,17,30)),1)="-"),999))-(RIGHT(MID(TRIM(INDEX(PASTE_ALL,17,30)),1+(LEFT(TRIM(INDEX(PASTE_ALL,17,30)),1)="-"),999),1)="%")),"0",""),"1",""),"2",""),"3",""),"4",""),"5",""),"6",""),"7",""),"8",""),"9",""),".",""),",","")=""),2,1))),1)</f>
        <v/>
      </c>
      <c r="BC66">
        <f>IFERROR(IF(ISNUMBER(INDEX(PASTE_ALL,17,31)),2,IF(TRIM(INDEX(PASTE_ALL,17,31))="",0,IF(AND(LEFT(MID(TRIM(INDEX(PASTE_ALL,17,31)),1+(LEFT(TRIM(INDEX(PASTE_ALL,17,31)),1)="-"),999),LEN(MID(TRIM(INDEX(PASTE_ALL,17,31)),1+(LEFT(TRIM(INDEX(PASTE_ALL,17,31)),1)="-"),999))-(RIGHT(MID(TRIM(INDEX(PASTE_ALL,17,31)),1+(LEFT(TRIM(INDEX(PASTE_ALL,17,31)),1)="-"),999),1)="%"))&lt;&gt;"",SUBSTITUTE(SUBSTITUTE(SUBSTITUTE(SUBSTITUTE(SUBSTITUTE(SUBSTITUTE(SUBSTITUTE(SUBSTITUTE(SUBSTITUTE(SUBSTITUTE(SUBSTITUTE(SUBSTITUTE(LEFT(MID(TRIM(INDEX(PASTE_ALL,17,31)),1+(LEFT(TRIM(INDEX(PASTE_ALL,17,31)),1)="-"),999),LEN(MID(TRIM(INDEX(PASTE_ALL,17,31)),1+(LEFT(TRIM(INDEX(PASTE_ALL,17,31)),1)="-"),999))-(RIGHT(MID(TRIM(INDEX(PASTE_ALL,17,31)),1+(LEFT(TRIM(INDEX(PASTE_ALL,17,31)),1)="-"),999),1)="%")),"0",""),"1",""),"2",""),"3",""),"4",""),"5",""),"6",""),"7",""),"8",""),"9",""),".",""),",","")=""),2,1))),1)</f>
        <v/>
      </c>
      <c r="BD66">
        <f>IFERROR(IF(ISNUMBER(INDEX(PASTE_ALL,17,32)),2,IF(TRIM(INDEX(PASTE_ALL,17,32))="",0,IF(AND(LEFT(MID(TRIM(INDEX(PASTE_ALL,17,32)),1+(LEFT(TRIM(INDEX(PASTE_ALL,17,32)),1)="-"),999),LEN(MID(TRIM(INDEX(PASTE_ALL,17,32)),1+(LEFT(TRIM(INDEX(PASTE_ALL,17,32)),1)="-"),999))-(RIGHT(MID(TRIM(INDEX(PASTE_ALL,17,32)),1+(LEFT(TRIM(INDEX(PASTE_ALL,17,32)),1)="-"),999),1)="%"))&lt;&gt;"",SUBSTITUTE(SUBSTITUTE(SUBSTITUTE(SUBSTITUTE(SUBSTITUTE(SUBSTITUTE(SUBSTITUTE(SUBSTITUTE(SUBSTITUTE(SUBSTITUTE(SUBSTITUTE(SUBSTITUTE(LEFT(MID(TRIM(INDEX(PASTE_ALL,17,32)),1+(LEFT(TRIM(INDEX(PASTE_ALL,17,32)),1)="-"),999),LEN(MID(TRIM(INDEX(PASTE_ALL,17,32)),1+(LEFT(TRIM(INDEX(PASTE_ALL,17,32)),1)="-"),999))-(RIGHT(MID(TRIM(INDEX(PASTE_ALL,17,32)),1+(LEFT(TRIM(INDEX(PASTE_ALL,17,32)),1)="-"),999),1)="%")),"0",""),"1",""),"2",""),"3",""),"4",""),"5",""),"6",""),"7",""),"8",""),"9",""),".",""),",","")=""),2,1))),1)</f>
        <v/>
      </c>
      <c r="BE66">
        <f>IFERROR(IF(ISNUMBER(INDEX(PASTE_ALL,17,33)),2,IF(TRIM(INDEX(PASTE_ALL,17,33))="",0,IF(AND(LEFT(MID(TRIM(INDEX(PASTE_ALL,17,33)),1+(LEFT(TRIM(INDEX(PASTE_ALL,17,33)),1)="-"),999),LEN(MID(TRIM(INDEX(PASTE_ALL,17,33)),1+(LEFT(TRIM(INDEX(PASTE_ALL,17,33)),1)="-"),999))-(RIGHT(MID(TRIM(INDEX(PASTE_ALL,17,33)),1+(LEFT(TRIM(INDEX(PASTE_ALL,17,33)),1)="-"),999),1)="%"))&lt;&gt;"",SUBSTITUTE(SUBSTITUTE(SUBSTITUTE(SUBSTITUTE(SUBSTITUTE(SUBSTITUTE(SUBSTITUTE(SUBSTITUTE(SUBSTITUTE(SUBSTITUTE(SUBSTITUTE(SUBSTITUTE(LEFT(MID(TRIM(INDEX(PASTE_ALL,17,33)),1+(LEFT(TRIM(INDEX(PASTE_ALL,17,33)),1)="-"),999),LEN(MID(TRIM(INDEX(PASTE_ALL,17,33)),1+(LEFT(TRIM(INDEX(PASTE_ALL,17,33)),1)="-"),999))-(RIGHT(MID(TRIM(INDEX(PASTE_ALL,17,33)),1+(LEFT(TRIM(INDEX(PASTE_ALL,17,33)),1)="-"),999),1)="%")),"0",""),"1",""),"2",""),"3",""),"4",""),"5",""),"6",""),"7",""),"8",""),"9",""),".",""),",","")=""),2,1))),1)</f>
        <v/>
      </c>
      <c r="BF66">
        <f>IFERROR(IF(ISNUMBER(INDEX(PASTE_ALL,17,34)),2,IF(TRIM(INDEX(PASTE_ALL,17,34))="",0,IF(AND(LEFT(MID(TRIM(INDEX(PASTE_ALL,17,34)),1+(LEFT(TRIM(INDEX(PASTE_ALL,17,34)),1)="-"),999),LEN(MID(TRIM(INDEX(PASTE_ALL,17,34)),1+(LEFT(TRIM(INDEX(PASTE_ALL,17,34)),1)="-"),999))-(RIGHT(MID(TRIM(INDEX(PASTE_ALL,17,34)),1+(LEFT(TRIM(INDEX(PASTE_ALL,17,34)),1)="-"),999),1)="%"))&lt;&gt;"",SUBSTITUTE(SUBSTITUTE(SUBSTITUTE(SUBSTITUTE(SUBSTITUTE(SUBSTITUTE(SUBSTITUTE(SUBSTITUTE(SUBSTITUTE(SUBSTITUTE(SUBSTITUTE(SUBSTITUTE(LEFT(MID(TRIM(INDEX(PASTE_ALL,17,34)),1+(LEFT(TRIM(INDEX(PASTE_ALL,17,34)),1)="-"),999),LEN(MID(TRIM(INDEX(PASTE_ALL,17,34)),1+(LEFT(TRIM(INDEX(PASTE_ALL,17,34)),1)="-"),999))-(RIGHT(MID(TRIM(INDEX(PASTE_ALL,17,34)),1+(LEFT(TRIM(INDEX(PASTE_ALL,17,34)),1)="-"),999),1)="%")),"0",""),"1",""),"2",""),"3",""),"4",""),"5",""),"6",""),"7",""),"8",""),"9",""),".",""),",","")=""),2,1))),1)</f>
        <v/>
      </c>
      <c r="BG66">
        <f>IFERROR(IF(ISNUMBER(INDEX(PASTE_ALL,17,35)),2,IF(TRIM(INDEX(PASTE_ALL,17,35))="",0,IF(AND(LEFT(MID(TRIM(INDEX(PASTE_ALL,17,35)),1+(LEFT(TRIM(INDEX(PASTE_ALL,17,35)),1)="-"),999),LEN(MID(TRIM(INDEX(PASTE_ALL,17,35)),1+(LEFT(TRIM(INDEX(PASTE_ALL,17,35)),1)="-"),999))-(RIGHT(MID(TRIM(INDEX(PASTE_ALL,17,35)),1+(LEFT(TRIM(INDEX(PASTE_ALL,17,35)),1)="-"),999),1)="%"))&lt;&gt;"",SUBSTITUTE(SUBSTITUTE(SUBSTITUTE(SUBSTITUTE(SUBSTITUTE(SUBSTITUTE(SUBSTITUTE(SUBSTITUTE(SUBSTITUTE(SUBSTITUTE(SUBSTITUTE(SUBSTITUTE(LEFT(MID(TRIM(INDEX(PASTE_ALL,17,35)),1+(LEFT(TRIM(INDEX(PASTE_ALL,17,35)),1)="-"),999),LEN(MID(TRIM(INDEX(PASTE_ALL,17,35)),1+(LEFT(TRIM(INDEX(PASTE_ALL,17,35)),1)="-"),999))-(RIGHT(MID(TRIM(INDEX(PASTE_ALL,17,35)),1+(LEFT(TRIM(INDEX(PASTE_ALL,17,35)),1)="-"),999),1)="%")),"0",""),"1",""),"2",""),"3",""),"4",""),"5",""),"6",""),"7",""),"8",""),"9",""),".",""),",","")=""),2,1))),1)</f>
        <v/>
      </c>
      <c r="BH66">
        <f>IFERROR(IF(ISNUMBER(INDEX(PASTE_ALL,17,36)),2,IF(TRIM(INDEX(PASTE_ALL,17,36))="",0,IF(AND(LEFT(MID(TRIM(INDEX(PASTE_ALL,17,36)),1+(LEFT(TRIM(INDEX(PASTE_ALL,17,36)),1)="-"),999),LEN(MID(TRIM(INDEX(PASTE_ALL,17,36)),1+(LEFT(TRIM(INDEX(PASTE_ALL,17,36)),1)="-"),999))-(RIGHT(MID(TRIM(INDEX(PASTE_ALL,17,36)),1+(LEFT(TRIM(INDEX(PASTE_ALL,17,36)),1)="-"),999),1)="%"))&lt;&gt;"",SUBSTITUTE(SUBSTITUTE(SUBSTITUTE(SUBSTITUTE(SUBSTITUTE(SUBSTITUTE(SUBSTITUTE(SUBSTITUTE(SUBSTITUTE(SUBSTITUTE(SUBSTITUTE(SUBSTITUTE(LEFT(MID(TRIM(INDEX(PASTE_ALL,17,36)),1+(LEFT(TRIM(INDEX(PASTE_ALL,17,36)),1)="-"),999),LEN(MID(TRIM(INDEX(PASTE_ALL,17,36)),1+(LEFT(TRIM(INDEX(PASTE_ALL,17,36)),1)="-"),999))-(RIGHT(MID(TRIM(INDEX(PASTE_ALL,17,36)),1+(LEFT(TRIM(INDEX(PASTE_ALL,17,36)),1)="-"),999),1)="%")),"0",""),"1",""),"2",""),"3",""),"4",""),"5",""),"6",""),"7",""),"8",""),"9",""),".",""),",","")=""),2,1))),1)</f>
        <v/>
      </c>
      <c r="BI66">
        <f>IFERROR(IF(ISNUMBER(INDEX(PASTE_ALL,17,37)),2,IF(TRIM(INDEX(PASTE_ALL,17,37))="",0,IF(AND(LEFT(MID(TRIM(INDEX(PASTE_ALL,17,37)),1+(LEFT(TRIM(INDEX(PASTE_ALL,17,37)),1)="-"),999),LEN(MID(TRIM(INDEX(PASTE_ALL,17,37)),1+(LEFT(TRIM(INDEX(PASTE_ALL,17,37)),1)="-"),999))-(RIGHT(MID(TRIM(INDEX(PASTE_ALL,17,37)),1+(LEFT(TRIM(INDEX(PASTE_ALL,17,37)),1)="-"),999),1)="%"))&lt;&gt;"",SUBSTITUTE(SUBSTITUTE(SUBSTITUTE(SUBSTITUTE(SUBSTITUTE(SUBSTITUTE(SUBSTITUTE(SUBSTITUTE(SUBSTITUTE(SUBSTITUTE(SUBSTITUTE(SUBSTITUTE(LEFT(MID(TRIM(INDEX(PASTE_ALL,17,37)),1+(LEFT(TRIM(INDEX(PASTE_ALL,17,37)),1)="-"),999),LEN(MID(TRIM(INDEX(PASTE_ALL,17,37)),1+(LEFT(TRIM(INDEX(PASTE_ALL,17,37)),1)="-"),999))-(RIGHT(MID(TRIM(INDEX(PASTE_ALL,17,37)),1+(LEFT(TRIM(INDEX(PASTE_ALL,17,37)),1)="-"),999),1)="%")),"0",""),"1",""),"2",""),"3",""),"4",""),"5",""),"6",""),"7",""),"8",""),"9",""),".",""),",","")=""),2,1))),1)</f>
        <v/>
      </c>
      <c r="BJ66">
        <f>IFERROR(IF(ISNUMBER(INDEX(PASTE_ALL,17,38)),2,IF(TRIM(INDEX(PASTE_ALL,17,38))="",0,IF(AND(LEFT(MID(TRIM(INDEX(PASTE_ALL,17,38)),1+(LEFT(TRIM(INDEX(PASTE_ALL,17,38)),1)="-"),999),LEN(MID(TRIM(INDEX(PASTE_ALL,17,38)),1+(LEFT(TRIM(INDEX(PASTE_ALL,17,38)),1)="-"),999))-(RIGHT(MID(TRIM(INDEX(PASTE_ALL,17,38)),1+(LEFT(TRIM(INDEX(PASTE_ALL,17,38)),1)="-"),999),1)="%"))&lt;&gt;"",SUBSTITUTE(SUBSTITUTE(SUBSTITUTE(SUBSTITUTE(SUBSTITUTE(SUBSTITUTE(SUBSTITUTE(SUBSTITUTE(SUBSTITUTE(SUBSTITUTE(SUBSTITUTE(SUBSTITUTE(LEFT(MID(TRIM(INDEX(PASTE_ALL,17,38)),1+(LEFT(TRIM(INDEX(PASTE_ALL,17,38)),1)="-"),999),LEN(MID(TRIM(INDEX(PASTE_ALL,17,38)),1+(LEFT(TRIM(INDEX(PASTE_ALL,17,38)),1)="-"),999))-(RIGHT(MID(TRIM(INDEX(PASTE_ALL,17,38)),1+(LEFT(TRIM(INDEX(PASTE_ALL,17,38)),1)="-"),999),1)="%")),"0",""),"1",""),"2",""),"3",""),"4",""),"5",""),"6",""),"7",""),"8",""),"9",""),".",""),",","")=""),2,1))),1)</f>
        <v/>
      </c>
      <c r="BK66">
        <f>IFERROR(IF(ISNUMBER(INDEX(PASTE_ALL,17,39)),2,IF(TRIM(INDEX(PASTE_ALL,17,39))="",0,IF(AND(LEFT(MID(TRIM(INDEX(PASTE_ALL,17,39)),1+(LEFT(TRIM(INDEX(PASTE_ALL,17,39)),1)="-"),999),LEN(MID(TRIM(INDEX(PASTE_ALL,17,39)),1+(LEFT(TRIM(INDEX(PASTE_ALL,17,39)),1)="-"),999))-(RIGHT(MID(TRIM(INDEX(PASTE_ALL,17,39)),1+(LEFT(TRIM(INDEX(PASTE_ALL,17,39)),1)="-"),999),1)="%"))&lt;&gt;"",SUBSTITUTE(SUBSTITUTE(SUBSTITUTE(SUBSTITUTE(SUBSTITUTE(SUBSTITUTE(SUBSTITUTE(SUBSTITUTE(SUBSTITUTE(SUBSTITUTE(SUBSTITUTE(SUBSTITUTE(LEFT(MID(TRIM(INDEX(PASTE_ALL,17,39)),1+(LEFT(TRIM(INDEX(PASTE_ALL,17,39)),1)="-"),999),LEN(MID(TRIM(INDEX(PASTE_ALL,17,39)),1+(LEFT(TRIM(INDEX(PASTE_ALL,17,39)),1)="-"),999))-(RIGHT(MID(TRIM(INDEX(PASTE_ALL,17,39)),1+(LEFT(TRIM(INDEX(PASTE_ALL,17,39)),1)="-"),999),1)="%")),"0",""),"1",""),"2",""),"3",""),"4",""),"5",""),"6",""),"7",""),"8",""),"9",""),".",""),",","")=""),2,1))),1)</f>
        <v/>
      </c>
      <c r="BL66">
        <f>IFERROR(IF(ISNUMBER(INDEX(PASTE_ALL,17,40)),2,IF(TRIM(INDEX(PASTE_ALL,17,40))="",0,IF(AND(LEFT(MID(TRIM(INDEX(PASTE_ALL,17,40)),1+(LEFT(TRIM(INDEX(PASTE_ALL,17,40)),1)="-"),999),LEN(MID(TRIM(INDEX(PASTE_ALL,17,40)),1+(LEFT(TRIM(INDEX(PASTE_ALL,17,40)),1)="-"),999))-(RIGHT(MID(TRIM(INDEX(PASTE_ALL,17,40)),1+(LEFT(TRIM(INDEX(PASTE_ALL,17,40)),1)="-"),999),1)="%"))&lt;&gt;"",SUBSTITUTE(SUBSTITUTE(SUBSTITUTE(SUBSTITUTE(SUBSTITUTE(SUBSTITUTE(SUBSTITUTE(SUBSTITUTE(SUBSTITUTE(SUBSTITUTE(SUBSTITUTE(SUBSTITUTE(LEFT(MID(TRIM(INDEX(PASTE_ALL,17,40)),1+(LEFT(TRIM(INDEX(PASTE_ALL,17,40)),1)="-"),999),LEN(MID(TRIM(INDEX(PASTE_ALL,17,40)),1+(LEFT(TRIM(INDEX(PASTE_ALL,17,40)),1)="-"),999))-(RIGHT(MID(TRIM(INDEX(PASTE_ALL,17,40)),1+(LEFT(TRIM(INDEX(PASTE_ALL,17,40)),1)="-"),999),1)="%")),"0",""),"1",""),"2",""),"3",""),"4",""),"5",""),"6",""),"7",""),"8",""),"9",""),".",""),",","")=""),2,1))),1)</f>
        <v/>
      </c>
      <c r="BM66">
        <f>IFERROR(IF(ISNUMBER(INDEX(PASTE_ALL,17,41)),2,IF(TRIM(INDEX(PASTE_ALL,17,41))="",0,IF(AND(LEFT(MID(TRIM(INDEX(PASTE_ALL,17,41)),1+(LEFT(TRIM(INDEX(PASTE_ALL,17,41)),1)="-"),999),LEN(MID(TRIM(INDEX(PASTE_ALL,17,41)),1+(LEFT(TRIM(INDEX(PASTE_ALL,17,41)),1)="-"),999))-(RIGHT(MID(TRIM(INDEX(PASTE_ALL,17,41)),1+(LEFT(TRIM(INDEX(PASTE_ALL,17,41)),1)="-"),999),1)="%"))&lt;&gt;"",SUBSTITUTE(SUBSTITUTE(SUBSTITUTE(SUBSTITUTE(SUBSTITUTE(SUBSTITUTE(SUBSTITUTE(SUBSTITUTE(SUBSTITUTE(SUBSTITUTE(SUBSTITUTE(SUBSTITUTE(LEFT(MID(TRIM(INDEX(PASTE_ALL,17,41)),1+(LEFT(TRIM(INDEX(PASTE_ALL,17,41)),1)="-"),999),LEN(MID(TRIM(INDEX(PASTE_ALL,17,41)),1+(LEFT(TRIM(INDEX(PASTE_ALL,17,41)),1)="-"),999))-(RIGHT(MID(TRIM(INDEX(PASTE_ALL,17,41)),1+(LEFT(TRIM(INDEX(PASTE_ALL,17,41)),1)="-"),999),1)="%")),"0",""),"1",""),"2",""),"3",""),"4",""),"5",""),"6",""),"7",""),"8",""),"9",""),".",""),",","")=""),2,1))),1)</f>
        <v/>
      </c>
      <c r="BN66">
        <f>IFERROR(IF(ISNUMBER(INDEX(PASTE_ALL,17,42)),2,IF(TRIM(INDEX(PASTE_ALL,17,42))="",0,IF(AND(LEFT(MID(TRIM(INDEX(PASTE_ALL,17,42)),1+(LEFT(TRIM(INDEX(PASTE_ALL,17,42)),1)="-"),999),LEN(MID(TRIM(INDEX(PASTE_ALL,17,42)),1+(LEFT(TRIM(INDEX(PASTE_ALL,17,42)),1)="-"),999))-(RIGHT(MID(TRIM(INDEX(PASTE_ALL,17,42)),1+(LEFT(TRIM(INDEX(PASTE_ALL,17,42)),1)="-"),999),1)="%"))&lt;&gt;"",SUBSTITUTE(SUBSTITUTE(SUBSTITUTE(SUBSTITUTE(SUBSTITUTE(SUBSTITUTE(SUBSTITUTE(SUBSTITUTE(SUBSTITUTE(SUBSTITUTE(SUBSTITUTE(SUBSTITUTE(LEFT(MID(TRIM(INDEX(PASTE_ALL,17,42)),1+(LEFT(TRIM(INDEX(PASTE_ALL,17,42)),1)="-"),999),LEN(MID(TRIM(INDEX(PASTE_ALL,17,42)),1+(LEFT(TRIM(INDEX(PASTE_ALL,17,42)),1)="-"),999))-(RIGHT(MID(TRIM(INDEX(PASTE_ALL,17,42)),1+(LEFT(TRIM(INDEX(PASTE_ALL,17,42)),1)="-"),999),1)="%")),"0",""),"1",""),"2",""),"3",""),"4",""),"5",""),"6",""),"7",""),"8",""),"9",""),".",""),",","")=""),2,1))),1)</f>
        <v/>
      </c>
      <c r="BO66">
        <f>IFERROR(IF(ISNUMBER(INDEX(PASTE_ALL,17,43)),2,IF(TRIM(INDEX(PASTE_ALL,17,43))="",0,IF(AND(LEFT(MID(TRIM(INDEX(PASTE_ALL,17,43)),1+(LEFT(TRIM(INDEX(PASTE_ALL,17,43)),1)="-"),999),LEN(MID(TRIM(INDEX(PASTE_ALL,17,43)),1+(LEFT(TRIM(INDEX(PASTE_ALL,17,43)),1)="-"),999))-(RIGHT(MID(TRIM(INDEX(PASTE_ALL,17,43)),1+(LEFT(TRIM(INDEX(PASTE_ALL,17,43)),1)="-"),999),1)="%"))&lt;&gt;"",SUBSTITUTE(SUBSTITUTE(SUBSTITUTE(SUBSTITUTE(SUBSTITUTE(SUBSTITUTE(SUBSTITUTE(SUBSTITUTE(SUBSTITUTE(SUBSTITUTE(SUBSTITUTE(SUBSTITUTE(LEFT(MID(TRIM(INDEX(PASTE_ALL,17,43)),1+(LEFT(TRIM(INDEX(PASTE_ALL,17,43)),1)="-"),999),LEN(MID(TRIM(INDEX(PASTE_ALL,17,43)),1+(LEFT(TRIM(INDEX(PASTE_ALL,17,43)),1)="-"),999))-(RIGHT(MID(TRIM(INDEX(PASTE_ALL,17,43)),1+(LEFT(TRIM(INDEX(PASTE_ALL,17,43)),1)="-"),999),1)="%")),"0",""),"1",""),"2",""),"3",""),"4",""),"5",""),"6",""),"7",""),"8",""),"9",""),".",""),",","")=""),2,1))),1)</f>
        <v/>
      </c>
      <c r="BP66">
        <f>IFERROR(IF(ISNUMBER(INDEX(PASTE_ALL,17,44)),2,IF(TRIM(INDEX(PASTE_ALL,17,44))="",0,IF(AND(LEFT(MID(TRIM(INDEX(PASTE_ALL,17,44)),1+(LEFT(TRIM(INDEX(PASTE_ALL,17,44)),1)="-"),999),LEN(MID(TRIM(INDEX(PASTE_ALL,17,44)),1+(LEFT(TRIM(INDEX(PASTE_ALL,17,44)),1)="-"),999))-(RIGHT(MID(TRIM(INDEX(PASTE_ALL,17,44)),1+(LEFT(TRIM(INDEX(PASTE_ALL,17,44)),1)="-"),999),1)="%"))&lt;&gt;"",SUBSTITUTE(SUBSTITUTE(SUBSTITUTE(SUBSTITUTE(SUBSTITUTE(SUBSTITUTE(SUBSTITUTE(SUBSTITUTE(SUBSTITUTE(SUBSTITUTE(SUBSTITUTE(SUBSTITUTE(LEFT(MID(TRIM(INDEX(PASTE_ALL,17,44)),1+(LEFT(TRIM(INDEX(PASTE_ALL,17,44)),1)="-"),999),LEN(MID(TRIM(INDEX(PASTE_ALL,17,44)),1+(LEFT(TRIM(INDEX(PASTE_ALL,17,44)),1)="-"),999))-(RIGHT(MID(TRIM(INDEX(PASTE_ALL,17,44)),1+(LEFT(TRIM(INDEX(PASTE_ALL,17,44)),1)="-"),999),1)="%")),"0",""),"1",""),"2",""),"3",""),"4",""),"5",""),"6",""),"7",""),"8",""),"9",""),".",""),",","")=""),2,1))),1)</f>
        <v/>
      </c>
      <c r="BQ66">
        <f>IFERROR(IF(ISNUMBER(INDEX(PASTE_ALL,17,45)),2,IF(TRIM(INDEX(PASTE_ALL,17,45))="",0,IF(AND(LEFT(MID(TRIM(INDEX(PASTE_ALL,17,45)),1+(LEFT(TRIM(INDEX(PASTE_ALL,17,45)),1)="-"),999),LEN(MID(TRIM(INDEX(PASTE_ALL,17,45)),1+(LEFT(TRIM(INDEX(PASTE_ALL,17,45)),1)="-"),999))-(RIGHT(MID(TRIM(INDEX(PASTE_ALL,17,45)),1+(LEFT(TRIM(INDEX(PASTE_ALL,17,45)),1)="-"),999),1)="%"))&lt;&gt;"",SUBSTITUTE(SUBSTITUTE(SUBSTITUTE(SUBSTITUTE(SUBSTITUTE(SUBSTITUTE(SUBSTITUTE(SUBSTITUTE(SUBSTITUTE(SUBSTITUTE(SUBSTITUTE(SUBSTITUTE(LEFT(MID(TRIM(INDEX(PASTE_ALL,17,45)),1+(LEFT(TRIM(INDEX(PASTE_ALL,17,45)),1)="-"),999),LEN(MID(TRIM(INDEX(PASTE_ALL,17,45)),1+(LEFT(TRIM(INDEX(PASTE_ALL,17,45)),1)="-"),999))-(RIGHT(MID(TRIM(INDEX(PASTE_ALL,17,45)),1+(LEFT(TRIM(INDEX(PASTE_ALL,17,45)),1)="-"),999),1)="%")),"0",""),"1",""),"2",""),"3",""),"4",""),"5",""),"6",""),"7",""),"8",""),"9",""),".",""),",","")=""),2,1))),1)</f>
        <v/>
      </c>
      <c r="BR66">
        <f>IFERROR(IF(ISNUMBER(INDEX(PASTE_ALL,17,46)),2,IF(TRIM(INDEX(PASTE_ALL,17,46))="",0,IF(AND(LEFT(MID(TRIM(INDEX(PASTE_ALL,17,46)),1+(LEFT(TRIM(INDEX(PASTE_ALL,17,46)),1)="-"),999),LEN(MID(TRIM(INDEX(PASTE_ALL,17,46)),1+(LEFT(TRIM(INDEX(PASTE_ALL,17,46)),1)="-"),999))-(RIGHT(MID(TRIM(INDEX(PASTE_ALL,17,46)),1+(LEFT(TRIM(INDEX(PASTE_ALL,17,46)),1)="-"),999),1)="%"))&lt;&gt;"",SUBSTITUTE(SUBSTITUTE(SUBSTITUTE(SUBSTITUTE(SUBSTITUTE(SUBSTITUTE(SUBSTITUTE(SUBSTITUTE(SUBSTITUTE(SUBSTITUTE(SUBSTITUTE(SUBSTITUTE(LEFT(MID(TRIM(INDEX(PASTE_ALL,17,46)),1+(LEFT(TRIM(INDEX(PASTE_ALL,17,46)),1)="-"),999),LEN(MID(TRIM(INDEX(PASTE_ALL,17,46)),1+(LEFT(TRIM(INDEX(PASTE_ALL,17,46)),1)="-"),999))-(RIGHT(MID(TRIM(INDEX(PASTE_ALL,17,46)),1+(LEFT(TRIM(INDEX(PASTE_ALL,17,46)),1)="-"),999),1)="%")),"0",""),"1",""),"2",""),"3",""),"4",""),"5",""),"6",""),"7",""),"8",""),"9",""),".",""),",","")=""),2,1))),1)</f>
        <v/>
      </c>
      <c r="BS66">
        <f>IFERROR(IF(ISNUMBER(INDEX(PASTE_ALL,17,47)),2,IF(TRIM(INDEX(PASTE_ALL,17,47))="",0,IF(AND(LEFT(MID(TRIM(INDEX(PASTE_ALL,17,47)),1+(LEFT(TRIM(INDEX(PASTE_ALL,17,47)),1)="-"),999),LEN(MID(TRIM(INDEX(PASTE_ALL,17,47)),1+(LEFT(TRIM(INDEX(PASTE_ALL,17,47)),1)="-"),999))-(RIGHT(MID(TRIM(INDEX(PASTE_ALL,17,47)),1+(LEFT(TRIM(INDEX(PASTE_ALL,17,47)),1)="-"),999),1)="%"))&lt;&gt;"",SUBSTITUTE(SUBSTITUTE(SUBSTITUTE(SUBSTITUTE(SUBSTITUTE(SUBSTITUTE(SUBSTITUTE(SUBSTITUTE(SUBSTITUTE(SUBSTITUTE(SUBSTITUTE(SUBSTITUTE(LEFT(MID(TRIM(INDEX(PASTE_ALL,17,47)),1+(LEFT(TRIM(INDEX(PASTE_ALL,17,47)),1)="-"),999),LEN(MID(TRIM(INDEX(PASTE_ALL,17,47)),1+(LEFT(TRIM(INDEX(PASTE_ALL,17,47)),1)="-"),999))-(RIGHT(MID(TRIM(INDEX(PASTE_ALL,17,47)),1+(LEFT(TRIM(INDEX(PASTE_ALL,17,47)),1)="-"),999),1)="%")),"0",""),"1",""),"2",""),"3",""),"4",""),"5",""),"6",""),"7",""),"8",""),"9",""),".",""),",","")=""),2,1))),1)</f>
        <v/>
      </c>
      <c r="BT66">
        <f>IFERROR(IF(ISNUMBER(INDEX(PASTE_ALL,17,48)),2,IF(TRIM(INDEX(PASTE_ALL,17,48))="",0,IF(AND(LEFT(MID(TRIM(INDEX(PASTE_ALL,17,48)),1+(LEFT(TRIM(INDEX(PASTE_ALL,17,48)),1)="-"),999),LEN(MID(TRIM(INDEX(PASTE_ALL,17,48)),1+(LEFT(TRIM(INDEX(PASTE_ALL,17,48)),1)="-"),999))-(RIGHT(MID(TRIM(INDEX(PASTE_ALL,17,48)),1+(LEFT(TRIM(INDEX(PASTE_ALL,17,48)),1)="-"),999),1)="%"))&lt;&gt;"",SUBSTITUTE(SUBSTITUTE(SUBSTITUTE(SUBSTITUTE(SUBSTITUTE(SUBSTITUTE(SUBSTITUTE(SUBSTITUTE(SUBSTITUTE(SUBSTITUTE(SUBSTITUTE(SUBSTITUTE(LEFT(MID(TRIM(INDEX(PASTE_ALL,17,48)),1+(LEFT(TRIM(INDEX(PASTE_ALL,17,48)),1)="-"),999),LEN(MID(TRIM(INDEX(PASTE_ALL,17,48)),1+(LEFT(TRIM(INDEX(PASTE_ALL,17,48)),1)="-"),999))-(RIGHT(MID(TRIM(INDEX(PASTE_ALL,17,48)),1+(LEFT(TRIM(INDEX(PASTE_ALL,17,48)),1)="-"),999),1)="%")),"0",""),"1",""),"2",""),"3",""),"4",""),"5",""),"6",""),"7",""),"8",""),"9",""),".",""),",","")=""),2,1))),1)</f>
        <v/>
      </c>
      <c r="BU66">
        <f>IFERROR(IF(ISNUMBER(INDEX(PASTE_ALL,17,49)),2,IF(TRIM(INDEX(PASTE_ALL,17,49))="",0,IF(AND(LEFT(MID(TRIM(INDEX(PASTE_ALL,17,49)),1+(LEFT(TRIM(INDEX(PASTE_ALL,17,49)),1)="-"),999),LEN(MID(TRIM(INDEX(PASTE_ALL,17,49)),1+(LEFT(TRIM(INDEX(PASTE_ALL,17,49)),1)="-"),999))-(RIGHT(MID(TRIM(INDEX(PASTE_ALL,17,49)),1+(LEFT(TRIM(INDEX(PASTE_ALL,17,49)),1)="-"),999),1)="%"))&lt;&gt;"",SUBSTITUTE(SUBSTITUTE(SUBSTITUTE(SUBSTITUTE(SUBSTITUTE(SUBSTITUTE(SUBSTITUTE(SUBSTITUTE(SUBSTITUTE(SUBSTITUTE(SUBSTITUTE(SUBSTITUTE(LEFT(MID(TRIM(INDEX(PASTE_ALL,17,49)),1+(LEFT(TRIM(INDEX(PASTE_ALL,17,49)),1)="-"),999),LEN(MID(TRIM(INDEX(PASTE_ALL,17,49)),1+(LEFT(TRIM(INDEX(PASTE_ALL,17,49)),1)="-"),999))-(RIGHT(MID(TRIM(INDEX(PASTE_ALL,17,49)),1+(LEFT(TRIM(INDEX(PASTE_ALL,17,49)),1)="-"),999),1)="%")),"0",""),"1",""),"2",""),"3",""),"4",""),"5",""),"6",""),"7",""),"8",""),"9",""),".",""),",","")=""),2,1))),1)</f>
        <v/>
      </c>
      <c r="BV66">
        <f>IFERROR(IF(ISNUMBER(INDEX(PASTE_ALL,17,50)),2,IF(TRIM(INDEX(PASTE_ALL,17,50))="",0,IF(AND(LEFT(MID(TRIM(INDEX(PASTE_ALL,17,50)),1+(LEFT(TRIM(INDEX(PASTE_ALL,17,50)),1)="-"),999),LEN(MID(TRIM(INDEX(PASTE_ALL,17,50)),1+(LEFT(TRIM(INDEX(PASTE_ALL,17,50)),1)="-"),999))-(RIGHT(MID(TRIM(INDEX(PASTE_ALL,17,50)),1+(LEFT(TRIM(INDEX(PASTE_ALL,17,50)),1)="-"),999),1)="%"))&lt;&gt;"",SUBSTITUTE(SUBSTITUTE(SUBSTITUTE(SUBSTITUTE(SUBSTITUTE(SUBSTITUTE(SUBSTITUTE(SUBSTITUTE(SUBSTITUTE(SUBSTITUTE(SUBSTITUTE(SUBSTITUTE(LEFT(MID(TRIM(INDEX(PASTE_ALL,17,50)),1+(LEFT(TRIM(INDEX(PASTE_ALL,17,50)),1)="-"),999),LEN(MID(TRIM(INDEX(PASTE_ALL,17,50)),1+(LEFT(TRIM(INDEX(PASTE_ALL,17,50)),1)="-"),999))-(RIGHT(MID(TRIM(INDEX(PASTE_ALL,17,50)),1+(LEFT(TRIM(INDEX(PASTE_ALL,17,50)),1)="-"),999),1)="%")),"0",""),"1",""),"2",""),"3",""),"4",""),"5",""),"6",""),"7",""),"8",""),"9",""),".",""),",","")=""),2,1))),1)</f>
        <v/>
      </c>
      <c r="BW66">
        <f>IFERROR(IF(ISNUMBER(INDEX(PASTE_ALL,17,51)),2,IF(TRIM(INDEX(PASTE_ALL,17,51))="",0,IF(AND(LEFT(MID(TRIM(INDEX(PASTE_ALL,17,51)),1+(LEFT(TRIM(INDEX(PASTE_ALL,17,51)),1)="-"),999),LEN(MID(TRIM(INDEX(PASTE_ALL,17,51)),1+(LEFT(TRIM(INDEX(PASTE_ALL,17,51)),1)="-"),999))-(RIGHT(MID(TRIM(INDEX(PASTE_ALL,17,51)),1+(LEFT(TRIM(INDEX(PASTE_ALL,17,51)),1)="-"),999),1)="%"))&lt;&gt;"",SUBSTITUTE(SUBSTITUTE(SUBSTITUTE(SUBSTITUTE(SUBSTITUTE(SUBSTITUTE(SUBSTITUTE(SUBSTITUTE(SUBSTITUTE(SUBSTITUTE(SUBSTITUTE(SUBSTITUTE(LEFT(MID(TRIM(INDEX(PASTE_ALL,17,51)),1+(LEFT(TRIM(INDEX(PASTE_ALL,17,51)),1)="-"),999),LEN(MID(TRIM(INDEX(PASTE_ALL,17,51)),1+(LEFT(TRIM(INDEX(PASTE_ALL,17,51)),1)="-"),999))-(RIGHT(MID(TRIM(INDEX(PASTE_ALL,17,51)),1+(LEFT(TRIM(INDEX(PASTE_ALL,17,51)),1)="-"),999),1)="%")),"0",""),"1",""),"2",""),"3",""),"4",""),"5",""),"6",""),"7",""),"8",""),"9",""),".",""),",","")=""),2,1))),1)</f>
        <v/>
      </c>
      <c r="BX66">
        <f>IFERROR(IF(ISNUMBER(INDEX(PASTE_ALL,17,52)),2,IF(TRIM(INDEX(PASTE_ALL,17,52))="",0,IF(AND(LEFT(MID(TRIM(INDEX(PASTE_ALL,17,52)),1+(LEFT(TRIM(INDEX(PASTE_ALL,17,52)),1)="-"),999),LEN(MID(TRIM(INDEX(PASTE_ALL,17,52)),1+(LEFT(TRIM(INDEX(PASTE_ALL,17,52)),1)="-"),999))-(RIGHT(MID(TRIM(INDEX(PASTE_ALL,17,52)),1+(LEFT(TRIM(INDEX(PASTE_ALL,17,52)),1)="-"),999),1)="%"))&lt;&gt;"",SUBSTITUTE(SUBSTITUTE(SUBSTITUTE(SUBSTITUTE(SUBSTITUTE(SUBSTITUTE(SUBSTITUTE(SUBSTITUTE(SUBSTITUTE(SUBSTITUTE(SUBSTITUTE(SUBSTITUTE(LEFT(MID(TRIM(INDEX(PASTE_ALL,17,52)),1+(LEFT(TRIM(INDEX(PASTE_ALL,17,52)),1)="-"),999),LEN(MID(TRIM(INDEX(PASTE_ALL,17,52)),1+(LEFT(TRIM(INDEX(PASTE_ALL,17,52)),1)="-"),999))-(RIGHT(MID(TRIM(INDEX(PASTE_ALL,17,52)),1+(LEFT(TRIM(INDEX(PASTE_ALL,17,52)),1)="-"),999),1)="%")),"0",""),"1",""),"2",""),"3",""),"4",""),"5",""),"6",""),"7",""),"8",""),"9",""),".",""),",","")=""),2,1))),1)</f>
        <v/>
      </c>
      <c r="BY66">
        <f>IFERROR(IF(ISNUMBER(INDEX(PASTE_ALL,17,53)),2,IF(TRIM(INDEX(PASTE_ALL,17,53))="",0,IF(AND(LEFT(MID(TRIM(INDEX(PASTE_ALL,17,53)),1+(LEFT(TRIM(INDEX(PASTE_ALL,17,53)),1)="-"),999),LEN(MID(TRIM(INDEX(PASTE_ALL,17,53)),1+(LEFT(TRIM(INDEX(PASTE_ALL,17,53)),1)="-"),999))-(RIGHT(MID(TRIM(INDEX(PASTE_ALL,17,53)),1+(LEFT(TRIM(INDEX(PASTE_ALL,17,53)),1)="-"),999),1)="%"))&lt;&gt;"",SUBSTITUTE(SUBSTITUTE(SUBSTITUTE(SUBSTITUTE(SUBSTITUTE(SUBSTITUTE(SUBSTITUTE(SUBSTITUTE(SUBSTITUTE(SUBSTITUTE(SUBSTITUTE(SUBSTITUTE(LEFT(MID(TRIM(INDEX(PASTE_ALL,17,53)),1+(LEFT(TRIM(INDEX(PASTE_ALL,17,53)),1)="-"),999),LEN(MID(TRIM(INDEX(PASTE_ALL,17,53)),1+(LEFT(TRIM(INDEX(PASTE_ALL,17,53)),1)="-"),999))-(RIGHT(MID(TRIM(INDEX(PASTE_ALL,17,53)),1+(LEFT(TRIM(INDEX(PASTE_ALL,17,53)),1)="-"),999),1)="%")),"0",""),"1",""),"2",""),"3",""),"4",""),"5",""),"6",""),"7",""),"8",""),"9",""),".",""),",","")=""),2,1))),1)</f>
        <v/>
      </c>
      <c r="BZ66">
        <f>IFERROR(IF(ISNUMBER(INDEX(PASTE_ALL,17,54)),2,IF(TRIM(INDEX(PASTE_ALL,17,54))="",0,IF(AND(LEFT(MID(TRIM(INDEX(PASTE_ALL,17,54)),1+(LEFT(TRIM(INDEX(PASTE_ALL,17,54)),1)="-"),999),LEN(MID(TRIM(INDEX(PASTE_ALL,17,54)),1+(LEFT(TRIM(INDEX(PASTE_ALL,17,54)),1)="-"),999))-(RIGHT(MID(TRIM(INDEX(PASTE_ALL,17,54)),1+(LEFT(TRIM(INDEX(PASTE_ALL,17,54)),1)="-"),999),1)="%"))&lt;&gt;"",SUBSTITUTE(SUBSTITUTE(SUBSTITUTE(SUBSTITUTE(SUBSTITUTE(SUBSTITUTE(SUBSTITUTE(SUBSTITUTE(SUBSTITUTE(SUBSTITUTE(SUBSTITUTE(SUBSTITUTE(LEFT(MID(TRIM(INDEX(PASTE_ALL,17,54)),1+(LEFT(TRIM(INDEX(PASTE_ALL,17,54)),1)="-"),999),LEN(MID(TRIM(INDEX(PASTE_ALL,17,54)),1+(LEFT(TRIM(INDEX(PASTE_ALL,17,54)),1)="-"),999))-(RIGHT(MID(TRIM(INDEX(PASTE_ALL,17,54)),1+(LEFT(TRIM(INDEX(PASTE_ALL,17,54)),1)="-"),999),1)="%")),"0",""),"1",""),"2",""),"3",""),"4",""),"5",""),"6",""),"7",""),"8",""),"9",""),".",""),",","")=""),2,1))),1)</f>
        <v/>
      </c>
      <c r="CA66">
        <f>IFERROR(IF(ISNUMBER(INDEX(PASTE_ALL,17,55)),2,IF(TRIM(INDEX(PASTE_ALL,17,55))="",0,IF(AND(LEFT(MID(TRIM(INDEX(PASTE_ALL,17,55)),1+(LEFT(TRIM(INDEX(PASTE_ALL,17,55)),1)="-"),999),LEN(MID(TRIM(INDEX(PASTE_ALL,17,55)),1+(LEFT(TRIM(INDEX(PASTE_ALL,17,55)),1)="-"),999))-(RIGHT(MID(TRIM(INDEX(PASTE_ALL,17,55)),1+(LEFT(TRIM(INDEX(PASTE_ALL,17,55)),1)="-"),999),1)="%"))&lt;&gt;"",SUBSTITUTE(SUBSTITUTE(SUBSTITUTE(SUBSTITUTE(SUBSTITUTE(SUBSTITUTE(SUBSTITUTE(SUBSTITUTE(SUBSTITUTE(SUBSTITUTE(SUBSTITUTE(SUBSTITUTE(LEFT(MID(TRIM(INDEX(PASTE_ALL,17,55)),1+(LEFT(TRIM(INDEX(PASTE_ALL,17,55)),1)="-"),999),LEN(MID(TRIM(INDEX(PASTE_ALL,17,55)),1+(LEFT(TRIM(INDEX(PASTE_ALL,17,55)),1)="-"),999))-(RIGHT(MID(TRIM(INDEX(PASTE_ALL,17,55)),1+(LEFT(TRIM(INDEX(PASTE_ALL,17,55)),1)="-"),999),1)="%")),"0",""),"1",""),"2",""),"3",""),"4",""),"5",""),"6",""),"7",""),"8",""),"9",""),".",""),",","")=""),2,1))),1)</f>
        <v/>
      </c>
      <c r="CB66">
        <f>IFERROR(IF(ISNUMBER(INDEX(PASTE_ALL,17,56)),2,IF(TRIM(INDEX(PASTE_ALL,17,56))="",0,IF(AND(LEFT(MID(TRIM(INDEX(PASTE_ALL,17,56)),1+(LEFT(TRIM(INDEX(PASTE_ALL,17,56)),1)="-"),999),LEN(MID(TRIM(INDEX(PASTE_ALL,17,56)),1+(LEFT(TRIM(INDEX(PASTE_ALL,17,56)),1)="-"),999))-(RIGHT(MID(TRIM(INDEX(PASTE_ALL,17,56)),1+(LEFT(TRIM(INDEX(PASTE_ALL,17,56)),1)="-"),999),1)="%"))&lt;&gt;"",SUBSTITUTE(SUBSTITUTE(SUBSTITUTE(SUBSTITUTE(SUBSTITUTE(SUBSTITUTE(SUBSTITUTE(SUBSTITUTE(SUBSTITUTE(SUBSTITUTE(SUBSTITUTE(SUBSTITUTE(LEFT(MID(TRIM(INDEX(PASTE_ALL,17,56)),1+(LEFT(TRIM(INDEX(PASTE_ALL,17,56)),1)="-"),999),LEN(MID(TRIM(INDEX(PASTE_ALL,17,56)),1+(LEFT(TRIM(INDEX(PASTE_ALL,17,56)),1)="-"),999))-(RIGHT(MID(TRIM(INDEX(PASTE_ALL,17,56)),1+(LEFT(TRIM(INDEX(PASTE_ALL,17,56)),1)="-"),999),1)="%")),"0",""),"1",""),"2",""),"3",""),"4",""),"5",""),"6",""),"7",""),"8",""),"9",""),".",""),",","")=""),2,1))),1)</f>
        <v/>
      </c>
      <c r="CC66">
        <f>IFERROR(IF(ISNUMBER(INDEX(PASTE_ALL,17,57)),2,IF(TRIM(INDEX(PASTE_ALL,17,57))="",0,IF(AND(LEFT(MID(TRIM(INDEX(PASTE_ALL,17,57)),1+(LEFT(TRIM(INDEX(PASTE_ALL,17,57)),1)="-"),999),LEN(MID(TRIM(INDEX(PASTE_ALL,17,57)),1+(LEFT(TRIM(INDEX(PASTE_ALL,17,57)),1)="-"),999))-(RIGHT(MID(TRIM(INDEX(PASTE_ALL,17,57)),1+(LEFT(TRIM(INDEX(PASTE_ALL,17,57)),1)="-"),999),1)="%"))&lt;&gt;"",SUBSTITUTE(SUBSTITUTE(SUBSTITUTE(SUBSTITUTE(SUBSTITUTE(SUBSTITUTE(SUBSTITUTE(SUBSTITUTE(SUBSTITUTE(SUBSTITUTE(SUBSTITUTE(SUBSTITUTE(LEFT(MID(TRIM(INDEX(PASTE_ALL,17,57)),1+(LEFT(TRIM(INDEX(PASTE_ALL,17,57)),1)="-"),999),LEN(MID(TRIM(INDEX(PASTE_ALL,17,57)),1+(LEFT(TRIM(INDEX(PASTE_ALL,17,57)),1)="-"),999))-(RIGHT(MID(TRIM(INDEX(PASTE_ALL,17,57)),1+(LEFT(TRIM(INDEX(PASTE_ALL,17,57)),1)="-"),999),1)="%")),"0",""),"1",""),"2",""),"3",""),"4",""),"5",""),"6",""),"7",""),"8",""),"9",""),".",""),",","")=""),2,1))),1)</f>
        <v/>
      </c>
      <c r="CD66">
        <f>IFERROR(IF(ISNUMBER(INDEX(PASTE_ALL,17,58)),2,IF(TRIM(INDEX(PASTE_ALL,17,58))="",0,IF(AND(LEFT(MID(TRIM(INDEX(PASTE_ALL,17,58)),1+(LEFT(TRIM(INDEX(PASTE_ALL,17,58)),1)="-"),999),LEN(MID(TRIM(INDEX(PASTE_ALL,17,58)),1+(LEFT(TRIM(INDEX(PASTE_ALL,17,58)),1)="-"),999))-(RIGHT(MID(TRIM(INDEX(PASTE_ALL,17,58)),1+(LEFT(TRIM(INDEX(PASTE_ALL,17,58)),1)="-"),999),1)="%"))&lt;&gt;"",SUBSTITUTE(SUBSTITUTE(SUBSTITUTE(SUBSTITUTE(SUBSTITUTE(SUBSTITUTE(SUBSTITUTE(SUBSTITUTE(SUBSTITUTE(SUBSTITUTE(SUBSTITUTE(SUBSTITUTE(LEFT(MID(TRIM(INDEX(PASTE_ALL,17,58)),1+(LEFT(TRIM(INDEX(PASTE_ALL,17,58)),1)="-"),999),LEN(MID(TRIM(INDEX(PASTE_ALL,17,58)),1+(LEFT(TRIM(INDEX(PASTE_ALL,17,58)),1)="-"),999))-(RIGHT(MID(TRIM(INDEX(PASTE_ALL,17,58)),1+(LEFT(TRIM(INDEX(PASTE_ALL,17,58)),1)="-"),999),1)="%")),"0",""),"1",""),"2",""),"3",""),"4",""),"5",""),"6",""),"7",""),"8",""),"9",""),".",""),",","")=""),2,1))),1)</f>
        <v/>
      </c>
      <c r="CE66">
        <f>IFERROR(IF(ISNUMBER(INDEX(PASTE_ALL,17,59)),2,IF(TRIM(INDEX(PASTE_ALL,17,59))="",0,IF(AND(LEFT(MID(TRIM(INDEX(PASTE_ALL,17,59)),1+(LEFT(TRIM(INDEX(PASTE_ALL,17,59)),1)="-"),999),LEN(MID(TRIM(INDEX(PASTE_ALL,17,59)),1+(LEFT(TRIM(INDEX(PASTE_ALL,17,59)),1)="-"),999))-(RIGHT(MID(TRIM(INDEX(PASTE_ALL,17,59)),1+(LEFT(TRIM(INDEX(PASTE_ALL,17,59)),1)="-"),999),1)="%"))&lt;&gt;"",SUBSTITUTE(SUBSTITUTE(SUBSTITUTE(SUBSTITUTE(SUBSTITUTE(SUBSTITUTE(SUBSTITUTE(SUBSTITUTE(SUBSTITUTE(SUBSTITUTE(SUBSTITUTE(SUBSTITUTE(LEFT(MID(TRIM(INDEX(PASTE_ALL,17,59)),1+(LEFT(TRIM(INDEX(PASTE_ALL,17,59)),1)="-"),999),LEN(MID(TRIM(INDEX(PASTE_ALL,17,59)),1+(LEFT(TRIM(INDEX(PASTE_ALL,17,59)),1)="-"),999))-(RIGHT(MID(TRIM(INDEX(PASTE_ALL,17,59)),1+(LEFT(TRIM(INDEX(PASTE_ALL,17,59)),1)="-"),999),1)="%")),"0",""),"1",""),"2",""),"3",""),"4",""),"5",""),"6",""),"7",""),"8",""),"9",""),".",""),",","")=""),2,1))),1)</f>
        <v/>
      </c>
      <c r="CF66">
        <f>IFERROR(IF(ISNUMBER(INDEX(PASTE_ALL,17,60)),2,IF(TRIM(INDEX(PASTE_ALL,17,60))="",0,IF(AND(LEFT(MID(TRIM(INDEX(PASTE_ALL,17,60)),1+(LEFT(TRIM(INDEX(PASTE_ALL,17,60)),1)="-"),999),LEN(MID(TRIM(INDEX(PASTE_ALL,17,60)),1+(LEFT(TRIM(INDEX(PASTE_ALL,17,60)),1)="-"),999))-(RIGHT(MID(TRIM(INDEX(PASTE_ALL,17,60)),1+(LEFT(TRIM(INDEX(PASTE_ALL,17,60)),1)="-"),999),1)="%"))&lt;&gt;"",SUBSTITUTE(SUBSTITUTE(SUBSTITUTE(SUBSTITUTE(SUBSTITUTE(SUBSTITUTE(SUBSTITUTE(SUBSTITUTE(SUBSTITUTE(SUBSTITUTE(SUBSTITUTE(SUBSTITUTE(LEFT(MID(TRIM(INDEX(PASTE_ALL,17,60)),1+(LEFT(TRIM(INDEX(PASTE_ALL,17,60)),1)="-"),999),LEN(MID(TRIM(INDEX(PASTE_ALL,17,60)),1+(LEFT(TRIM(INDEX(PASTE_ALL,17,60)),1)="-"),999))-(RIGHT(MID(TRIM(INDEX(PASTE_ALL,17,60)),1+(LEFT(TRIM(INDEX(PASTE_ALL,17,60)),1)="-"),999),1)="%")),"0",""),"1",""),"2",""),"3",""),"4",""),"5",""),"6",""),"7",""),"8",""),"9",""),".",""),",","")=""),2,1))),1)</f>
        <v/>
      </c>
      <c r="DA66" t="n">
        <v>62</v>
      </c>
      <c r="DB66">
        <f>IF($B$37=0,"",IFERROR(TRIM(SUBSTITUTE(SUBSTITUTE(SUBSTITUTE(SUBSTITUTE(INDEX(PASTE_ALL,62,$B$37)," "," "),CHAR(9)," "),CHAR(10)," "),CHAR(13)," ")),""))</f>
        <v/>
      </c>
      <c r="DC66">
        <f>IF(AND(62&gt;HEADER_ROW,UPPER(DB66)="LEGEND"),1,0)</f>
        <v/>
      </c>
      <c r="DE66" t="n">
        <v>62</v>
      </c>
      <c r="DF66">
        <f>HEADER_ROW+$DE66</f>
        <v/>
      </c>
      <c r="DG66">
        <f>IF(AND($DF66&lt;=1000,$DF66&lt;$B$8),1,0)</f>
        <v/>
      </c>
      <c r="DH66">
        <f>IF($DG66=1,IFERROR(INDEX($DB$5:$DB$1004,$DF66),""),"")</f>
        <v/>
      </c>
      <c r="DI66">
        <f>IF(AND($DG66=1,$DH66&lt;&gt;""),IFERROR(SUBSTITUTE(SUBSTITUTE(TRIM(SUBSTITUTE(SUBSTITUTE(SUBSTITUTE(SUBSTITUTE(IFERROR(INDEX(PASTE_ALL,$DF66,1)&amp;"","")&amp;"␟"&amp;IFERROR(INDEX(PASTE_ALL,$DF66,2)&amp;"","")&amp;"␟"&amp;IFERROR(INDEX(PASTE_ALL,$DF66,3)&amp;"","")&amp;"␟"&amp;IFERROR(INDEX(PASTE_ALL,$DF66,4)&amp;"","")&amp;"␟"&amp;IFERROR(INDEX(PASTE_ALL,$DF66,5)&amp;"","")&amp;"␟"&amp;IFERROR(INDEX(PASTE_ALL,$DF66,6)&amp;"","")&amp;"␟"&amp;IFERROR(INDEX(PASTE_ALL,$DF66,7)&amp;"","")&amp;"␟"&amp;IFERROR(INDEX(PASTE_ALL,$DF66,8)&amp;"","")&amp;"␟"&amp;IFERROR(INDEX(PASTE_ALL,$DF66,9)&amp;"","")&amp;"␟"&amp;IFERROR(INDEX(PASTE_ALL,$DF66,10)&amp;"","")&amp;"␟"&amp;IFERROR(INDEX(PASTE_ALL,$DF66,11)&amp;"","")&amp;"␟"&amp;IFERROR(INDEX(PASTE_ALL,$DF66,12)&amp;"","")&amp;"␟"&amp;IFERROR(INDEX(PASTE_ALL,$DF66,13)&amp;"","")&amp;"␟"&amp;IFERROR(INDEX(PASTE_ALL,$DF66,14)&amp;"","")&amp;"␟"&amp;IFERROR(INDEX(PASTE_ALL,$DF66,15)&amp;"","")&amp;"␟"&amp;IFERROR(INDEX(PASTE_ALL,$DF66,16)&amp;"","")&amp;"␟"&amp;IFERROR(INDEX(PASTE_ALL,$DF66,17)&amp;"","")&amp;"␟"&amp;IFERROR(INDEX(PASTE_ALL,$DF66,18)&amp;"","")&amp;"␟"&amp;IFERROR(INDEX(PASTE_ALL,$DF66,19)&amp;"","")&amp;"␟"&amp;IFERROR(INDEX(PASTE_ALL,$DF66,20)&amp;"","")&amp;"␟"&amp;IFERROR(INDEX(PASTE_ALL,$DF66,21)&amp;"","")&amp;"␟"&amp;IFERROR(INDEX(PASTE_ALL,$DF66,22)&amp;"","")&amp;"␟"&amp;IFERROR(INDEX(PASTE_ALL,$DF66,23)&amp;"","")&amp;"␟"&amp;IFERROR(INDEX(PASTE_ALL,$DF66,24)&amp;"","")&amp;"␟"&amp;IFERROR(INDEX(PASTE_ALL,$DF66,25)&amp;"","")&amp;"␟"&amp;IFERROR(INDEX(PASTE_ALL,$DF66,26)&amp;"","")&amp;"␟"&amp;IFERROR(INDEX(PASTE_ALL,$DF66,27)&amp;"","")&amp;"␟"&amp;IFERROR(INDEX(PASTE_ALL,$DF66,28)&amp;"","")&amp;"␟"&amp;IFERROR(INDEX(PASTE_ALL,$DF66,29)&amp;"","")&amp;"␟"&amp;IFERROR(INDEX(PASTE_ALL,$DF66,30)&amp;"","")&amp;"␟"&amp;IFERROR(INDEX(PASTE_ALL,$DF66,31)&amp;"","")&amp;"␟"&amp;IFERROR(INDEX(PASTE_ALL,$DF66,32)&amp;"","")&amp;"␟"&amp;IFERROR(INDEX(PASTE_ALL,$DF66,33)&amp;"","")&amp;"␟"&amp;IFERROR(INDEX(PASTE_ALL,$DF66,34)&amp;"","")&amp;"␟"&amp;IFERROR(INDEX(PASTE_ALL,$DF66,35)&amp;"","")&amp;"␟"&amp;IFERROR(INDEX(PASTE_ALL,$DF66,36)&amp;"","")&amp;"␟"&amp;IFERROR(INDEX(PASTE_ALL,$DF66,37)&amp;"","")&amp;"␟"&amp;IFERROR(INDEX(PASTE_ALL,$DF66,38)&amp;"","")&amp;"␟"&amp;IFERROR(INDEX(PASTE_ALL,$DF66,39)&amp;"","")&amp;"␟"&amp;IFERROR(INDEX(PASTE_ALL,$DF66,40)&amp;"","")&amp;"␟"&amp;IFERROR(INDEX(PASTE_ALL,$DF66,41)&amp;"","")&amp;"␟"&amp;IFERROR(INDEX(PASTE_ALL,$DF66,42)&amp;"","")&amp;"␟"&amp;IFERROR(INDEX(PASTE_ALL,$DF66,43)&amp;"","")&amp;"␟"&amp;IFERROR(INDEX(PASTE_ALL,$DF66,44)&amp;"","")&amp;"␟"&amp;IFERROR(INDEX(PASTE_ALL,$DF66,45)&amp;"","")&amp;"␟"&amp;IFERROR(INDEX(PASTE_ALL,$DF66,46)&amp;"","")&amp;"␟"&amp;IFERROR(INDEX(PASTE_ALL,$DF66,47)&amp;"","")&amp;"␟"&amp;IFERROR(INDEX(PASTE_ALL,$DF66,48)&amp;"","")&amp;"␟"&amp;IFERROR(INDEX(PASTE_ALL,$DF66,49)&amp;"","")&amp;"␟"&amp;IFERROR(INDEX(PASTE_ALL,$DF66,50)&amp;"","")&amp;"␟"&amp;IFERROR(INDEX(PASTE_ALL,$DF66,51)&amp;"","")&amp;"␟"&amp;IFERROR(INDEX(PASTE_ALL,$DF66,52)&amp;"","")&amp;"␟"&amp;IFERROR(INDEX(PASTE_ALL,$DF66,53)&amp;"","")&amp;"␟"&amp;IFERROR(INDEX(PASTE_ALL,$DF66,54)&amp;"","")&amp;"␟"&amp;IFERROR(INDEX(PASTE_ALL,$DF66,55)&amp;"","")&amp;"␟"&amp;IFERROR(INDEX(PASTE_ALL,$DF66,56)&amp;"","")&amp;"␟"&amp;IFERROR(INDEX(PASTE_ALL,$DF66,57)&amp;"","")&amp;"␟"&amp;IFERROR(INDEX(PASTE_ALL,$DF66,58)&amp;"","")&amp;"␟"&amp;IFERROR(INDEX(PASTE_ALL,$DF66,59)&amp;"","")&amp;"␟"&amp;IFERROR(INDEX(PASTE_ALL,$DF66,60)&amp;"","")," "," "),CHAR(9)," "),CHAR(10)," "),CHAR(13)," "))," ␟","␟"),"␟ ","␟"),"#"&amp;$DE66),"")</f>
        <v/>
      </c>
      <c r="DJ66">
        <f>IF($DI66="",0,IF(SUMPRODUCT(--EXACT($DI$4:DI65,$DI66))&gt;0,1,0))</f>
        <v/>
      </c>
      <c r="DK66">
        <f>IF(AND($DI66&lt;&gt;"",$DJ66=0),1,0)</f>
        <v/>
      </c>
      <c r="DL66">
        <f>DL65+$DK66</f>
        <v/>
      </c>
      <c r="DM66">
        <f>IF(AND($DK66=1,$DL66&lt;=600),1,0)</f>
        <v/>
      </c>
      <c r="DN66">
        <f>IF($DM66=0,"",IF($L$6=0,"",IFERROR(IF(ISNUMBER(INDEX(PASTE_ALL,$DF66,$L$6)),INDEX(PASTE_ALL,$DF66,$L$6),TRIM(SUBSTITUTE(SUBSTITUTE(SUBSTITUTE(SUBSTITUTE(INDEX(PASTE_ALL,$DF66,$L$6)," "," "),CHAR(9)," "),CHAR(10)," "),CHAR(13)," "))),"")))</f>
        <v/>
      </c>
      <c r="DO66">
        <f>IF($DM66=0,"",IF($L$7=0,"",IFERROR(IF(ISNUMBER(INDEX(PASTE_ALL,$DF66,$L$7)),INDEX(PASTE_ALL,$DF66,$L$7),TRIM(SUBSTITUTE(SUBSTITUTE(SUBSTITUTE(SUBSTITUTE(INDEX(PASTE_ALL,$DF66,$L$7)," "," "),CHAR(9)," "),CHAR(10)," "),CHAR(13)," "))),"")))</f>
        <v/>
      </c>
      <c r="DP66">
        <f>IF($DM66=0,"",IF($L$8=0,"",IFERROR(IF(ISNUMBER(INDEX(PASTE_ALL,$DF66,$L$8)),INDEX(PASTE_ALL,$DF66,$L$8),TRIM(SUBSTITUTE(SUBSTITUTE(SUBSTITUTE(SUBSTITUTE(INDEX(PASTE_ALL,$DF66,$L$8)," "," "),CHAR(9)," "),CHAR(10)," "),CHAR(13)," "))),"")))</f>
        <v/>
      </c>
      <c r="DQ66">
        <f>IF($DM66=0,"",IF($L$9=0,"",IFERROR(IF(ISNUMBER(INDEX(PASTE_ALL,$DF66,$L$9)),INDEX(PASTE_ALL,$DF66,$L$9),TRIM(SUBSTITUTE(SUBSTITUTE(SUBSTITUTE(SUBSTITUTE(INDEX(PASTE_ALL,$DF66,$L$9)," "," "),CHAR(9)," "),CHAR(10)," "),CHAR(13)," "))),"")))</f>
        <v/>
      </c>
      <c r="DR66">
        <f>IF($DM66=0,"",IF($L$10=0,"",IFERROR(IF(ISNUMBER(INDEX(PASTE_ALL,$DF66,$L$10)),INDEX(PASTE_ALL,$DF66,$L$10),TRIM(SUBSTITUTE(SUBSTITUTE(SUBSTITUTE(SUBSTITUTE(INDEX(PASTE_ALL,$DF66,$L$10)," "," "),CHAR(9)," "),CHAR(10)," "),CHAR(13)," "))),"")))</f>
        <v/>
      </c>
      <c r="DS66">
        <f>IF($DM66=0,"",IF($L$11=0,"",IFERROR(IF(ISNUMBER(INDEX(PASTE_ALL,$DF66,$L$11)),INDEX(PASTE_ALL,$DF66,$L$11),TRIM(SUBSTITUTE(SUBSTITUTE(SUBSTITUTE(SUBSTITUTE(INDEX(PASTE_ALL,$DF66,$L$11)," "," "),CHAR(9)," "),CHAR(10)," "),CHAR(13)," "))),"")))</f>
        <v/>
      </c>
      <c r="DT66">
        <f>IF($DM66=0,"",IF($L$12=0,"",IFERROR(IF(ISNUMBER(INDEX(PASTE_ALL,$DF66,$L$12)),INDEX(PASTE_ALL,$DF66,$L$12),TRIM(SUBSTITUTE(SUBSTITUTE(SUBSTITUTE(SUBSTITUTE(INDEX(PASTE_ALL,$DF66,$L$12)," "," "),CHAR(9)," "),CHAR(10)," "),CHAR(13)," "))),"")))</f>
        <v/>
      </c>
      <c r="DU66">
        <f>IF($DM66=0,"",IF($L$13=0,"",IFERROR(IF(ISNUMBER(INDEX(PASTE_ALL,$DF66,$L$13)),INDEX(PASTE_ALL,$DF66,$L$13),TRIM(SUBSTITUTE(SUBSTITUTE(SUBSTITUTE(SUBSTITUTE(INDEX(PASTE_ALL,$DF66,$L$13)," "," "),CHAR(9)," "),CHAR(10)," "),CHAR(13)," "))),"")))</f>
        <v/>
      </c>
      <c r="DV66">
        <f>IF($DM66=0,"",IF($L$14=0,"",IFERROR(IF(ISNUMBER(INDEX(PASTE_ALL,$DF66,$L$14)),INDEX(PASTE_ALL,$DF66,$L$14),TRIM(SUBSTITUTE(SUBSTITUTE(SUBSTITUTE(SUBSTITUTE(INDEX(PASTE_ALL,$DF66,$L$14)," "," "),CHAR(9)," "),CHAR(10)," "),CHAR(13)," "))),"")))</f>
        <v/>
      </c>
      <c r="DW66">
        <f>IF($DM66=0,"",IF($L$15=0,"",IFERROR(IF(ISNUMBER(INDEX(PASTE_ALL,$DF66,$L$15)),INDEX(PASTE_ALL,$DF66,$L$15),IF(SUMPRODUCT(--ISNUMBER(FIND({"A","B","C","D","E","F","G","H","I","J","K","L","M","N","O","P","Q","R","S","T","U","V","W","X","Y","Z","0","1","2","3","4","5","6","7","8","9"},UPPER(TRIM(SUBSTITUTE(SUBSTITUTE(SUBSTITUTE(SUBSTITUTE(INDEX(PASTE_ALL,$DF66,$L$15)," "," "),CHAR(9)," "),CHAR(10)," "),CHAR(13)," "))))))&gt;0,TRIM(SUBSTITUTE(SUBSTITUTE(SUBSTITUTE(SUBSTITUTE(INDEX(PASTE_ALL,$DF66,$L$15)," "," "),CHAR(9)," "),CHAR(10)," "),CHAR(13)," ")),"")),"")))</f>
        <v/>
      </c>
      <c r="DX66">
        <f>IF($DM66=0,"",IF($L$16=0,"",IFERROR(IF(ISNUMBER(INDEX(PASTE_ALL,$DF66,$L$16)),INDEX(PASTE_ALL,$DF66,$L$16),SUBSTITUTE(SUBSTITUTE(TRIM(SUBSTITUTE(SUBSTITUTE(SUBSTITUTE(SUBSTITUTE(INDEX(PASTE_ALL,$DF66,$L$16)," "," "),CHAR(9)," "),CHAR(10)," "),CHAR(13)," ")),",",""),"%","")),"")))</f>
        <v/>
      </c>
      <c r="DY66">
        <f>IF($DM66=0,"",IFERROR(IF(ISNUMBER($DX66),$DX66,IF($DX66="","",IF(TRIM($DX66)="",0,IF(AND(AND(SUBSTITUTE(SUBSTITUTE(SUBSTITUTE(SUBSTITUTE(SUBSTITUTE(SUBSTITUTE(SUBSTITUTE(SUBSTITUTE(SUBSTITUTE(SUBSTITUTE(SUBSTITUTE(SUBSTITUTE(SUBSTITUTE(SUBSTITUTE(UPPER(TRIM($DX66)),"0",""),"1",""),"2",""),"3",""),"4",""),"5",""),"6",""),"7",""),"8",""),"9",""),".",""),"+",""),"-",""),"E","")="",LEN(SUBSTITUTE(SUBSTITUTE(MID(UPPER(TRIM($DX66)),1+OR(LEFT(UPPER(TRIM($DX66)),1)="+",LEFT(UPPER(TRIM($DX66)),1)="-"),999),"E+","E"),"E-","E"))=LEN(SUBSTITUTE(SUBSTITUTE(SUBSTITUTE(SUBSTITUTE(MID(UPPER(TRIM($DX66)),1+OR(LEFT(UPPER(TRIM($DX66)),1)="+",LEFT(UPPER(TRIM($DX66)),1)="-"),999),"E+","E"),"E-","E"),"+",""),"-","")),LEN(UPPER(TRIM($DX66)))-LEN(SUBSTITUTE(UPPER(TRIM($DX66)),"E",""))&lt;2,LEN(UPPER(TRIM($DX66)))-LEN(SUBSTITUTE(UPPER(TRIM($DX66)),".",""))&lt;2,IFERROR(FIND(".",UPPER(TRIM($DX66))),0)&lt;IFERROR(FIND("E",UPPER(TRIM($DX66))),999)),ISNUMBER(VALUE(TRIM($DX66)))),VALUE(TRIM($DX66)),"")))),""))</f>
        <v/>
      </c>
      <c r="DZ66">
        <f>IF($DM66=0,"",IF($L$17=0,"",IFERROR(IF(ISNUMBER(INDEX(PASTE_ALL,$DF66,$L$17)),INDEX(PASTE_ALL,$DF66,$L$17),SUBSTITUTE(SUBSTITUTE(TRIM(SUBSTITUTE(SUBSTITUTE(SUBSTITUTE(SUBSTITUTE(INDEX(PASTE_ALL,$DF66,$L$17)," "," "),CHAR(9)," "),CHAR(10)," "),CHAR(13)," ")),",",""),"%","")),"")))</f>
        <v/>
      </c>
      <c r="EA66">
        <f>IF($DM66=0,"",IFERROR(IF(ISNUMBER($DZ66),$DZ66,IF($DZ66="","",IF(TRIM($DZ66)="",0,IF(AND(AND(SUBSTITUTE(SUBSTITUTE(SUBSTITUTE(SUBSTITUTE(SUBSTITUTE(SUBSTITUTE(SUBSTITUTE(SUBSTITUTE(SUBSTITUTE(SUBSTITUTE(SUBSTITUTE(SUBSTITUTE(SUBSTITUTE(SUBSTITUTE(UPPER(TRIM($DZ66)),"0",""),"1",""),"2",""),"3",""),"4",""),"5",""),"6",""),"7",""),"8",""),"9",""),".",""),"+",""),"-",""),"E","")="",LEN(SUBSTITUTE(SUBSTITUTE(MID(UPPER(TRIM($DZ66)),1+OR(LEFT(UPPER(TRIM($DZ66)),1)="+",LEFT(UPPER(TRIM($DZ66)),1)="-"),999),"E+","E"),"E-","E"))=LEN(SUBSTITUTE(SUBSTITUTE(SUBSTITUTE(SUBSTITUTE(MID(UPPER(TRIM($DZ66)),1+OR(LEFT(UPPER(TRIM($DZ66)),1)="+",LEFT(UPPER(TRIM($DZ66)),1)="-"),999),"E+","E"),"E-","E"),"+",""),"-","")),LEN(UPPER(TRIM($DZ66)))-LEN(SUBSTITUTE(UPPER(TRIM($DZ66)),"E",""))&lt;2,LEN(UPPER(TRIM($DZ66)))-LEN(SUBSTITUTE(UPPER(TRIM($DZ66)),".",""))&lt;2,IFERROR(FIND(".",UPPER(TRIM($DZ66))),0)&lt;IFERROR(FIND("E",UPPER(TRIM($DZ66))),999)),ISNUMBER(VALUE(TRIM($DZ66)))),VALUE(TRIM($DZ66)),"")))),""))</f>
        <v/>
      </c>
      <c r="EB66">
        <f>IF($DM66=0,"",IF($L$18=0,"",IFERROR(IF(UPPER(TRIM(SUBSTITUTE(SUBSTITUTE(SUBSTITUTE(SUBSTITUTE(INDEX(PASTE_ALL,$DF66,$L$18)," "," "),CHAR(9)," "),CHAR(10)," "),CHAR(13)," ")))="READY","Ready",IF(UPPER(TRIM(SUBSTITUTE(SUBSTITUTE(SUBSTITUTE(SUBSTITUTE(INDEX(PASTE_ALL,$DF66,$L$18)," "," "),CHAR(9)," "),CHAR(10)," "),CHAR(13)," ")))="PM","PM",IF(OR(UPPER(TRIM(SUBSTITUTE(SUBSTITUTE(SUBSTITUTE(SUBSTITUTE(INDEX(PASTE_ALL,$DF66,$L$18)," "," "),CHAR(9)," "),CHAR(10)," "),CHAR(13)," ")))="OT",UPPER(TRIM(SUBSTITUTE(SUBSTITUTE(SUBSTITUTE(SUBSTITUTE(INDEX(PASTE_ALL,$DF66,$L$18)," "," "),CHAR(9)," "),CHAR(10)," "),CHAR(13)," ")))="OVERTIME",UPPER(TRIM(SUBSTITUTE(SUBSTITUTE(SUBSTITUTE(SUBSTITUTE(INDEX(PASTE_ALL,$DF66,$L$18)," "," "),CHAR(9)," "),CHAR(10)," "),CHAR(13)," ")))="TRIAL"),"OT",TRIM(SUBSTITUTE(SUBSTITUTE(SUBSTITUTE(SUBSTITUTE(INDEX(PASTE_ALL,$DF66,$L$18)," "," "),CHAR(9)," "),CHAR(10)," "),CHAR(13)," "))))),"")))</f>
        <v/>
      </c>
      <c r="EC66">
        <f>IF($DM66=0,"",IF($L$19=0,"",IFERROR(IF(ISNUMBER(INDEX(PASTE_ALL,$DF66,$L$19)),INDEX(PASTE_ALL,$DF66,$L$19),TRIM(SUBSTITUTE(SUBSTITUTE(SUBSTITUTE(SUBSTITUTE(INDEX(PASTE_ALL,$DF66,$L$19)," "," "),CHAR(9)," "),CHAR(10)," "),CHAR(13)," "))),"")))</f>
        <v/>
      </c>
      <c r="ED66">
        <f>IF($DM66=0,"",MATCH(1,INDEX(EXACT($DH$5:DH66,$DH66)*$DM$5:DM66,0),0))</f>
        <v/>
      </c>
      <c r="EE66">
        <f>IF($DM66=0,0,IF($ED66=$DE66,1,0))</f>
        <v/>
      </c>
      <c r="EF66">
        <f>EF65+$EE66</f>
        <v/>
      </c>
      <c r="EG66">
        <f>IF($DM66=0,"",INDEX($EF$5:$EF$1003,$ED66))</f>
        <v/>
      </c>
      <c r="EH66">
        <f>IF($DM66=0,"",IF($DO66&lt;&gt;"","",IFERROR(LOOKUP(2,1/(($EG$4:EG65=$EG66)*($DO$4:DO65&lt;&gt;"")),$DO$4:DO65),"")))</f>
        <v/>
      </c>
      <c r="EI66">
        <f>IF($DM66=0,"",IF($DO66&lt;&gt;"",$DO66,$EH66))</f>
        <v/>
      </c>
      <c r="EJ66">
        <f>IF($DM66=0,"",IF($EI66="",0,IF(OR(ISNUMBER($EI66),AND(AND(SUBSTITUTE(SUBSTITUTE(SUBSTITUTE(SUBSTITUTE(SUBSTITUTE(SUBSTITUTE(SUBSTITUTE(SUBSTITUTE(SUBSTITUTE(SUBSTITUTE(SUBSTITUTE(SUBSTITUTE(SUBSTITUTE(SUBSTITUTE(UPPER($EI66),"0",""),"1",""),"2",""),"3",""),"4",""),"5",""),"6",""),"7",""),"8",""),"9",""),".",""),"+",""),"-",""),"E","")="",LEN(SUBSTITUTE(SUBSTITUTE(MID(UPPER($EI66),1+OR(LEFT(UPPER($EI66),1)="+",LEFT(UPPER($EI66),1)="-"),999),"E+","E"),"E-","E"))=LEN(SUBSTITUTE(SUBSTITUTE(SUBSTITUTE(SUBSTITUTE(MID(UPPER($EI66),1+OR(LEFT(UPPER($EI66),1)="+",LEFT(UPPER($EI66),1)="-"),999),"E+","E"),"E-","E"),"+",""),"-","")),LEN(UPPER($EI66))-LEN(SUBSTITUTE(UPPER($EI66),"E",""))&lt;2,LEN(UPPER($EI66))-LEN(SUBSTITUTE(UPPER($EI66),".",""))&lt;2,IFERROR(FIND(".",UPPER($EI66)),0)&lt;IFERROR(FIND("E",UPPER($EI66)),999)),ISNUMBER(VALUE($EI66)))),1,2)))</f>
        <v/>
      </c>
      <c r="EK66">
        <f>IF($DM66=0,"",IF($EJ66=1,IF(ISNUMBER($EI66),$EI66,VALUE($EI66)),IF($EJ66=2,$DE66,0)))</f>
        <v/>
      </c>
      <c r="EL66">
        <f>IF($DM66=0,"",COUNTIF($EG$5:$EG$1003,"&lt;"&amp;$EG66)+SUMPRODUCT(($EG$5:$EG$1003=$EG66)*(($EJ$5:$EJ$1003&lt;$EJ66)+($EJ$5:$EJ$1003=$EJ66)*(($EK$5:$EK$1003&lt;$EK66)+($EK$5:$EK$1003=$EK66)*($DE$5:$DE$1003&lt;$DE66))))+1)</f>
        <v/>
      </c>
      <c r="EM66">
        <f>IF($DM66=0,"",$EL66+$EG66-1)</f>
        <v/>
      </c>
      <c r="EN66">
        <f>IF($DM66=0,0,IFERROR(MATCH(1,INDEX(--(TRIM(SUBSTITUTE(SUBSTITUTE(SUBSTITUTE(SUBSTITUTE(LINES_NAME&amp;""," "," "),CHAR(9)," "),CHAR(10)," "),CHAR(13)," "))=$DH66),0),0),0))</f>
        <v/>
      </c>
      <c r="EO66">
        <f>IF($EN66=0,0,IF(OR(UPPER(TRIM(INDEX(LINES_SCHEDULED,$EN66)&amp;""))="YES",UPPER(TRIM(INDEX(LINES_SCHEDULED,$EN66)&amp;""))="Y",UPPER(TRIM(INDEX(LINES_SCHEDULED,$EN66)&amp;""))="X"),1,0))</f>
        <v/>
      </c>
      <c r="EP66">
        <f>IF($DM66=0,"",IF(COUNTIFS($EG$5:$EG$1003,$EG66,$EB$5:$EB$1003,"Ready")&gt;0,"READY",IF(COUNTIFS($EG$5:$EG$1003,$EG66,$EB$5:$EB$1003,"PM")&gt;0,"PM",IF(COUNTIFS($EG$5:$EG$1003,$EG66,$EB$5:$EB$1003,"OT")&gt;0,"OT",""))))</f>
        <v/>
      </c>
      <c r="EQ66">
        <f>IF($EN66=0,"",UPPER(TRIM(INDEX(LINES_STATUS,$EN66)&amp;"")))</f>
        <v/>
      </c>
      <c r="ER66">
        <f>IF($DM66=0,"",IF(OR($EQ66="READY",$EQ66="PM",$EQ66="OT"),$EQ66,$EP66))</f>
        <v/>
      </c>
      <c r="ES66">
        <f>IF($DM66=0,"",IF(AND($DV66&lt;&gt;"",UPPER($DV66)&lt;&gt;"N"),"allergen",IF(ISNUMBER(SEARCH("oil",$DQ66)),"oil",IF(OR(EXACT($DS66,"A662"),EXACT($DS66,"A624")),"bulk",""))))</f>
        <v/>
      </c>
      <c r="ET66">
        <f>IF($DM66=0,"",IF(OR($EA66="",$EA66=0),"",$EA66/100))</f>
        <v/>
      </c>
      <c r="EU66">
        <f>IF(OR($ET66="",$DY66=""),"",INT($DY66*(1-$ET66)+0.5))</f>
        <v/>
      </c>
      <c r="EW66" t="n">
        <v>62</v>
      </c>
      <c r="EX66">
        <f>IFERROR(MATCH($EW66,$EM$5:$EM$1003,0),0)</f>
        <v/>
      </c>
      <c r="EY66">
        <f>IF($EW66&gt;$B$12,"",IF($EX66&gt;0,"row","spacer"))</f>
        <v/>
      </c>
      <c r="EZ66">
        <f>IF(AND($EY66="row",$EY65&lt;&gt;"row"),1,0)</f>
        <v/>
      </c>
      <c r="FA66">
        <f>IF(AND($EY66="row",$EY67&lt;&gt;"row"),1,0)</f>
        <v/>
      </c>
      <c r="FB66">
        <f>IF($EZ66=1,IFERROR(IF(ISNUMBER(INDEX(PASTE_ALL,INDEX($DF$5:$DF$1003,$EX66),$B$37)),INDEX(PASTE_ALL,INDEX($DF$5:$DF$1003,$EX66),$B$37),INDEX($DH$5:$DH$1003,$EX66)),INDEX($DH$5:$DH$1003,$EX66)),"")</f>
        <v/>
      </c>
      <c r="FC66">
        <f>IF($EY66="row",INDEX($ER$5:$ER$1003,$EX66),"")</f>
        <v/>
      </c>
      <c r="FD66">
        <f>IF($EY66="row",INDEX($DN$5:$DN$1003,$EX66),"")</f>
        <v/>
      </c>
      <c r="FE66">
        <f>IF($EY66="row",INDEX($DO$5:$DO$1003,$EX66),"")</f>
        <v/>
      </c>
      <c r="FF66">
        <f>IF($EY66="row",INDEX($DP$5:$DP$1003,$EX66),"")</f>
        <v/>
      </c>
      <c r="FG66">
        <f>IF($EY66="row",INDEX($DQ$5:$DQ$1003,$EX66),"")</f>
        <v/>
      </c>
      <c r="FH66">
        <f>IF($EY66="row",INDEX($DR$5:$DR$1003,$EX66),"")</f>
        <v/>
      </c>
      <c r="FI66">
        <f>IF($EY66="row",INDEX($DS$5:$DS$1003,$EX66),"")</f>
        <v/>
      </c>
      <c r="FJ66">
        <f>IF($EY66="row",INDEX($DT$5:$DT$1003,$EX66),"")</f>
        <v/>
      </c>
      <c r="FK66">
        <f>IF($EY66="row",INDEX($DU$5:$DU$1003,$EX66),"")</f>
        <v/>
      </c>
      <c r="FL66">
        <f>IF($EY66="row",INDEX($DV$5:$DV$1003,$EX66),"")</f>
        <v/>
      </c>
      <c r="FM66">
        <f>IF($EY66="row",INDEX($DW$5:$DW$1003,$EX66),"")</f>
        <v/>
      </c>
      <c r="FN66">
        <f>IF($EY66="row",INDEX($DY$5:$DY$1003,$EX66),"")</f>
        <v/>
      </c>
      <c r="FO66">
        <f>IF($EY66="row",INDEX($EA$5:$EA$1003,$EX66),"")</f>
        <v/>
      </c>
      <c r="FP66">
        <f>IF($EY66="row",INDEX($EC$5:$EC$1003,$EX66),"")</f>
        <v/>
      </c>
      <c r="FQ66">
        <f>IF($EY66="row",INDEX($ET$5:$ET$1003,$EX66),"")</f>
        <v/>
      </c>
      <c r="FR66">
        <f>IF($EY66="row",INDEX($EU$5:$EU$1003,$EX66),"")</f>
        <v/>
      </c>
      <c r="FS66">
        <f>IF(AND($EY66="row",$EY65="row"),IF(OR(INDEX($DT$5:$DT$1003,$EX65)="",INDEX($DT$5:$DT$1003,$EX66)=""),"",IF(NOT(EXACT(INDEX($DT$5:$DT$1003,$EX65),INDEX($DT$5:$DT$1003,$EX66))),"S4",IF(NOT(EXACT(INDEX($DS$5:$DS$1003,$EX65),INDEX($DS$5:$DS$1003,$EX66))),"S3",IF(NOT(EXACT(INDEX($DR$5:$DR$1003,$EX65),INDEX($DR$5:$DR$1003,$EX66))),"S1 Count Change","S1")))),"")</f>
        <v/>
      </c>
      <c r="FT66">
        <f>IF($EY66="row",INDEX($ES$5:$ES$1003,$EX66),"")</f>
        <v/>
      </c>
      <c r="FU66">
        <f>IF($EY66="row",INDEX($EO$5:$EO$1003,$EX66),0)</f>
        <v/>
      </c>
      <c r="FV66">
        <f>IF($FS66="S1 Count Change",1,0)</f>
        <v/>
      </c>
      <c r="FX66" t="n">
        <v>62</v>
      </c>
      <c r="FY66">
        <f>IFERROR(MATCH($FX66,$EF$5:$EF$1003,0),0)</f>
        <v/>
      </c>
      <c r="FZ66">
        <f>IF($FY66=0,"",INDEX($DH$5:$DH$1003,$FY66))</f>
        <v/>
      </c>
      <c r="GA66">
        <f>IF($FY66=0,"",COUNTIF($EG$5:$EG$1003,$FX66))</f>
        <v/>
      </c>
      <c r="GB66">
        <f>IF($FY66=0,"",INDEX($ER$5:$ER$1003,$FY66))</f>
        <v/>
      </c>
      <c r="GC66">
        <f>IF($FY66=0,"",IF(INDEX($EO$5:$EO$1003,$FY66)=1,"Yes",""))</f>
        <v/>
      </c>
      <c r="GD66">
        <f>IF($FY66=0,"",IF(INDEX($EN$5:$EN$1003,$FY66)&gt;0,"","NOT IN YOUR LIST - type it in column A to tick it"))</f>
        <v/>
      </c>
      <c r="GE66">
        <f>IF(AND($FY66&gt;0,$GD66&lt;&gt;""),1,0)</f>
        <v/>
      </c>
      <c r="GF66">
        <f>GF65+$GE66</f>
        <v/>
      </c>
      <c r="GG66">
        <f>IFERROR(INDEX($FZ$5:$FZ$104,MATCH($FX66,$GF$5:$GF$104,0)),"")</f>
        <v/>
      </c>
    </row>
    <row r="67">
      <c r="V67" t="inlineStr">
        <is>
          <t>COMMENTS</t>
        </is>
      </c>
      <c r="W67" t="n">
        <v>11</v>
      </c>
      <c r="Y67">
        <f>IFERROR(IF(ISNUMBER(INDEX(PASTE_ALL,18,1)),2,IF(TRIM(INDEX(PASTE_ALL,18,1))="",0,IF(AND(LEFT(MID(TRIM(INDEX(PASTE_ALL,18,1)),1+(LEFT(TRIM(INDEX(PASTE_ALL,18,1)),1)="-"),999),LEN(MID(TRIM(INDEX(PASTE_ALL,18,1)),1+(LEFT(TRIM(INDEX(PASTE_ALL,18,1)),1)="-"),999))-(RIGHT(MID(TRIM(INDEX(PASTE_ALL,18,1)),1+(LEFT(TRIM(INDEX(PASTE_ALL,18,1)),1)="-"),999),1)="%"))&lt;&gt;"",SUBSTITUTE(SUBSTITUTE(SUBSTITUTE(SUBSTITUTE(SUBSTITUTE(SUBSTITUTE(SUBSTITUTE(SUBSTITUTE(SUBSTITUTE(SUBSTITUTE(SUBSTITUTE(SUBSTITUTE(LEFT(MID(TRIM(INDEX(PASTE_ALL,18,1)),1+(LEFT(TRIM(INDEX(PASTE_ALL,18,1)),1)="-"),999),LEN(MID(TRIM(INDEX(PASTE_ALL,18,1)),1+(LEFT(TRIM(INDEX(PASTE_ALL,18,1)),1)="-"),999))-(RIGHT(MID(TRIM(INDEX(PASTE_ALL,18,1)),1+(LEFT(TRIM(INDEX(PASTE_ALL,18,1)),1)="-"),999),1)="%")),"0",""),"1",""),"2",""),"3",""),"4",""),"5",""),"6",""),"7",""),"8",""),"9",""),".",""),",","")=""),2,1))),1)</f>
        <v/>
      </c>
      <c r="Z67">
        <f>IFERROR(IF(ISNUMBER(INDEX(PASTE_ALL,18,2)),2,IF(TRIM(INDEX(PASTE_ALL,18,2))="",0,IF(AND(LEFT(MID(TRIM(INDEX(PASTE_ALL,18,2)),1+(LEFT(TRIM(INDEX(PASTE_ALL,18,2)),1)="-"),999),LEN(MID(TRIM(INDEX(PASTE_ALL,18,2)),1+(LEFT(TRIM(INDEX(PASTE_ALL,18,2)),1)="-"),999))-(RIGHT(MID(TRIM(INDEX(PASTE_ALL,18,2)),1+(LEFT(TRIM(INDEX(PASTE_ALL,18,2)),1)="-"),999),1)="%"))&lt;&gt;"",SUBSTITUTE(SUBSTITUTE(SUBSTITUTE(SUBSTITUTE(SUBSTITUTE(SUBSTITUTE(SUBSTITUTE(SUBSTITUTE(SUBSTITUTE(SUBSTITUTE(SUBSTITUTE(SUBSTITUTE(LEFT(MID(TRIM(INDEX(PASTE_ALL,18,2)),1+(LEFT(TRIM(INDEX(PASTE_ALL,18,2)),1)="-"),999),LEN(MID(TRIM(INDEX(PASTE_ALL,18,2)),1+(LEFT(TRIM(INDEX(PASTE_ALL,18,2)),1)="-"),999))-(RIGHT(MID(TRIM(INDEX(PASTE_ALL,18,2)),1+(LEFT(TRIM(INDEX(PASTE_ALL,18,2)),1)="-"),999),1)="%")),"0",""),"1",""),"2",""),"3",""),"4",""),"5",""),"6",""),"7",""),"8",""),"9",""),".",""),",","")=""),2,1))),1)</f>
        <v/>
      </c>
      <c r="AA67">
        <f>IFERROR(IF(ISNUMBER(INDEX(PASTE_ALL,18,3)),2,IF(TRIM(INDEX(PASTE_ALL,18,3))="",0,IF(AND(LEFT(MID(TRIM(INDEX(PASTE_ALL,18,3)),1+(LEFT(TRIM(INDEX(PASTE_ALL,18,3)),1)="-"),999),LEN(MID(TRIM(INDEX(PASTE_ALL,18,3)),1+(LEFT(TRIM(INDEX(PASTE_ALL,18,3)),1)="-"),999))-(RIGHT(MID(TRIM(INDEX(PASTE_ALL,18,3)),1+(LEFT(TRIM(INDEX(PASTE_ALL,18,3)),1)="-"),999),1)="%"))&lt;&gt;"",SUBSTITUTE(SUBSTITUTE(SUBSTITUTE(SUBSTITUTE(SUBSTITUTE(SUBSTITUTE(SUBSTITUTE(SUBSTITUTE(SUBSTITUTE(SUBSTITUTE(SUBSTITUTE(SUBSTITUTE(LEFT(MID(TRIM(INDEX(PASTE_ALL,18,3)),1+(LEFT(TRIM(INDEX(PASTE_ALL,18,3)),1)="-"),999),LEN(MID(TRIM(INDEX(PASTE_ALL,18,3)),1+(LEFT(TRIM(INDEX(PASTE_ALL,18,3)),1)="-"),999))-(RIGHT(MID(TRIM(INDEX(PASTE_ALL,18,3)),1+(LEFT(TRIM(INDEX(PASTE_ALL,18,3)),1)="-"),999),1)="%")),"0",""),"1",""),"2",""),"3",""),"4",""),"5",""),"6",""),"7",""),"8",""),"9",""),".",""),",","")=""),2,1))),1)</f>
        <v/>
      </c>
      <c r="AB67">
        <f>IFERROR(IF(ISNUMBER(INDEX(PASTE_ALL,18,4)),2,IF(TRIM(INDEX(PASTE_ALL,18,4))="",0,IF(AND(LEFT(MID(TRIM(INDEX(PASTE_ALL,18,4)),1+(LEFT(TRIM(INDEX(PASTE_ALL,18,4)),1)="-"),999),LEN(MID(TRIM(INDEX(PASTE_ALL,18,4)),1+(LEFT(TRIM(INDEX(PASTE_ALL,18,4)),1)="-"),999))-(RIGHT(MID(TRIM(INDEX(PASTE_ALL,18,4)),1+(LEFT(TRIM(INDEX(PASTE_ALL,18,4)),1)="-"),999),1)="%"))&lt;&gt;"",SUBSTITUTE(SUBSTITUTE(SUBSTITUTE(SUBSTITUTE(SUBSTITUTE(SUBSTITUTE(SUBSTITUTE(SUBSTITUTE(SUBSTITUTE(SUBSTITUTE(SUBSTITUTE(SUBSTITUTE(LEFT(MID(TRIM(INDEX(PASTE_ALL,18,4)),1+(LEFT(TRIM(INDEX(PASTE_ALL,18,4)),1)="-"),999),LEN(MID(TRIM(INDEX(PASTE_ALL,18,4)),1+(LEFT(TRIM(INDEX(PASTE_ALL,18,4)),1)="-"),999))-(RIGHT(MID(TRIM(INDEX(PASTE_ALL,18,4)),1+(LEFT(TRIM(INDEX(PASTE_ALL,18,4)),1)="-"),999),1)="%")),"0",""),"1",""),"2",""),"3",""),"4",""),"5",""),"6",""),"7",""),"8",""),"9",""),".",""),",","")=""),2,1))),1)</f>
        <v/>
      </c>
      <c r="AC67">
        <f>IFERROR(IF(ISNUMBER(INDEX(PASTE_ALL,18,5)),2,IF(TRIM(INDEX(PASTE_ALL,18,5))="",0,IF(AND(LEFT(MID(TRIM(INDEX(PASTE_ALL,18,5)),1+(LEFT(TRIM(INDEX(PASTE_ALL,18,5)),1)="-"),999),LEN(MID(TRIM(INDEX(PASTE_ALL,18,5)),1+(LEFT(TRIM(INDEX(PASTE_ALL,18,5)),1)="-"),999))-(RIGHT(MID(TRIM(INDEX(PASTE_ALL,18,5)),1+(LEFT(TRIM(INDEX(PASTE_ALL,18,5)),1)="-"),999),1)="%"))&lt;&gt;"",SUBSTITUTE(SUBSTITUTE(SUBSTITUTE(SUBSTITUTE(SUBSTITUTE(SUBSTITUTE(SUBSTITUTE(SUBSTITUTE(SUBSTITUTE(SUBSTITUTE(SUBSTITUTE(SUBSTITUTE(LEFT(MID(TRIM(INDEX(PASTE_ALL,18,5)),1+(LEFT(TRIM(INDEX(PASTE_ALL,18,5)),1)="-"),999),LEN(MID(TRIM(INDEX(PASTE_ALL,18,5)),1+(LEFT(TRIM(INDEX(PASTE_ALL,18,5)),1)="-"),999))-(RIGHT(MID(TRIM(INDEX(PASTE_ALL,18,5)),1+(LEFT(TRIM(INDEX(PASTE_ALL,18,5)),1)="-"),999),1)="%")),"0",""),"1",""),"2",""),"3",""),"4",""),"5",""),"6",""),"7",""),"8",""),"9",""),".",""),",","")=""),2,1))),1)</f>
        <v/>
      </c>
      <c r="AD67">
        <f>IFERROR(IF(ISNUMBER(INDEX(PASTE_ALL,18,6)),2,IF(TRIM(INDEX(PASTE_ALL,18,6))="",0,IF(AND(LEFT(MID(TRIM(INDEX(PASTE_ALL,18,6)),1+(LEFT(TRIM(INDEX(PASTE_ALL,18,6)),1)="-"),999),LEN(MID(TRIM(INDEX(PASTE_ALL,18,6)),1+(LEFT(TRIM(INDEX(PASTE_ALL,18,6)),1)="-"),999))-(RIGHT(MID(TRIM(INDEX(PASTE_ALL,18,6)),1+(LEFT(TRIM(INDEX(PASTE_ALL,18,6)),1)="-"),999),1)="%"))&lt;&gt;"",SUBSTITUTE(SUBSTITUTE(SUBSTITUTE(SUBSTITUTE(SUBSTITUTE(SUBSTITUTE(SUBSTITUTE(SUBSTITUTE(SUBSTITUTE(SUBSTITUTE(SUBSTITUTE(SUBSTITUTE(LEFT(MID(TRIM(INDEX(PASTE_ALL,18,6)),1+(LEFT(TRIM(INDEX(PASTE_ALL,18,6)),1)="-"),999),LEN(MID(TRIM(INDEX(PASTE_ALL,18,6)),1+(LEFT(TRIM(INDEX(PASTE_ALL,18,6)),1)="-"),999))-(RIGHT(MID(TRIM(INDEX(PASTE_ALL,18,6)),1+(LEFT(TRIM(INDEX(PASTE_ALL,18,6)),1)="-"),999),1)="%")),"0",""),"1",""),"2",""),"3",""),"4",""),"5",""),"6",""),"7",""),"8",""),"9",""),".",""),",","")=""),2,1))),1)</f>
        <v/>
      </c>
      <c r="AE67">
        <f>IFERROR(IF(ISNUMBER(INDEX(PASTE_ALL,18,7)),2,IF(TRIM(INDEX(PASTE_ALL,18,7))="",0,IF(AND(LEFT(MID(TRIM(INDEX(PASTE_ALL,18,7)),1+(LEFT(TRIM(INDEX(PASTE_ALL,18,7)),1)="-"),999),LEN(MID(TRIM(INDEX(PASTE_ALL,18,7)),1+(LEFT(TRIM(INDEX(PASTE_ALL,18,7)),1)="-"),999))-(RIGHT(MID(TRIM(INDEX(PASTE_ALL,18,7)),1+(LEFT(TRIM(INDEX(PASTE_ALL,18,7)),1)="-"),999),1)="%"))&lt;&gt;"",SUBSTITUTE(SUBSTITUTE(SUBSTITUTE(SUBSTITUTE(SUBSTITUTE(SUBSTITUTE(SUBSTITUTE(SUBSTITUTE(SUBSTITUTE(SUBSTITUTE(SUBSTITUTE(SUBSTITUTE(LEFT(MID(TRIM(INDEX(PASTE_ALL,18,7)),1+(LEFT(TRIM(INDEX(PASTE_ALL,18,7)),1)="-"),999),LEN(MID(TRIM(INDEX(PASTE_ALL,18,7)),1+(LEFT(TRIM(INDEX(PASTE_ALL,18,7)),1)="-"),999))-(RIGHT(MID(TRIM(INDEX(PASTE_ALL,18,7)),1+(LEFT(TRIM(INDEX(PASTE_ALL,18,7)),1)="-"),999),1)="%")),"0",""),"1",""),"2",""),"3",""),"4",""),"5",""),"6",""),"7",""),"8",""),"9",""),".",""),",","")=""),2,1))),1)</f>
        <v/>
      </c>
      <c r="AF67">
        <f>IFERROR(IF(ISNUMBER(INDEX(PASTE_ALL,18,8)),2,IF(TRIM(INDEX(PASTE_ALL,18,8))="",0,IF(AND(LEFT(MID(TRIM(INDEX(PASTE_ALL,18,8)),1+(LEFT(TRIM(INDEX(PASTE_ALL,18,8)),1)="-"),999),LEN(MID(TRIM(INDEX(PASTE_ALL,18,8)),1+(LEFT(TRIM(INDEX(PASTE_ALL,18,8)),1)="-"),999))-(RIGHT(MID(TRIM(INDEX(PASTE_ALL,18,8)),1+(LEFT(TRIM(INDEX(PASTE_ALL,18,8)),1)="-"),999),1)="%"))&lt;&gt;"",SUBSTITUTE(SUBSTITUTE(SUBSTITUTE(SUBSTITUTE(SUBSTITUTE(SUBSTITUTE(SUBSTITUTE(SUBSTITUTE(SUBSTITUTE(SUBSTITUTE(SUBSTITUTE(SUBSTITUTE(LEFT(MID(TRIM(INDEX(PASTE_ALL,18,8)),1+(LEFT(TRIM(INDEX(PASTE_ALL,18,8)),1)="-"),999),LEN(MID(TRIM(INDEX(PASTE_ALL,18,8)),1+(LEFT(TRIM(INDEX(PASTE_ALL,18,8)),1)="-"),999))-(RIGHT(MID(TRIM(INDEX(PASTE_ALL,18,8)),1+(LEFT(TRIM(INDEX(PASTE_ALL,18,8)),1)="-"),999),1)="%")),"0",""),"1",""),"2",""),"3",""),"4",""),"5",""),"6",""),"7",""),"8",""),"9",""),".",""),",","")=""),2,1))),1)</f>
        <v/>
      </c>
      <c r="AG67">
        <f>IFERROR(IF(ISNUMBER(INDEX(PASTE_ALL,18,9)),2,IF(TRIM(INDEX(PASTE_ALL,18,9))="",0,IF(AND(LEFT(MID(TRIM(INDEX(PASTE_ALL,18,9)),1+(LEFT(TRIM(INDEX(PASTE_ALL,18,9)),1)="-"),999),LEN(MID(TRIM(INDEX(PASTE_ALL,18,9)),1+(LEFT(TRIM(INDEX(PASTE_ALL,18,9)),1)="-"),999))-(RIGHT(MID(TRIM(INDEX(PASTE_ALL,18,9)),1+(LEFT(TRIM(INDEX(PASTE_ALL,18,9)),1)="-"),999),1)="%"))&lt;&gt;"",SUBSTITUTE(SUBSTITUTE(SUBSTITUTE(SUBSTITUTE(SUBSTITUTE(SUBSTITUTE(SUBSTITUTE(SUBSTITUTE(SUBSTITUTE(SUBSTITUTE(SUBSTITUTE(SUBSTITUTE(LEFT(MID(TRIM(INDEX(PASTE_ALL,18,9)),1+(LEFT(TRIM(INDEX(PASTE_ALL,18,9)),1)="-"),999),LEN(MID(TRIM(INDEX(PASTE_ALL,18,9)),1+(LEFT(TRIM(INDEX(PASTE_ALL,18,9)),1)="-"),999))-(RIGHT(MID(TRIM(INDEX(PASTE_ALL,18,9)),1+(LEFT(TRIM(INDEX(PASTE_ALL,18,9)),1)="-"),999),1)="%")),"0",""),"1",""),"2",""),"3",""),"4",""),"5",""),"6",""),"7",""),"8",""),"9",""),".",""),",","")=""),2,1))),1)</f>
        <v/>
      </c>
      <c r="AH67">
        <f>IFERROR(IF(ISNUMBER(INDEX(PASTE_ALL,18,10)),2,IF(TRIM(INDEX(PASTE_ALL,18,10))="",0,IF(AND(LEFT(MID(TRIM(INDEX(PASTE_ALL,18,10)),1+(LEFT(TRIM(INDEX(PASTE_ALL,18,10)),1)="-"),999),LEN(MID(TRIM(INDEX(PASTE_ALL,18,10)),1+(LEFT(TRIM(INDEX(PASTE_ALL,18,10)),1)="-"),999))-(RIGHT(MID(TRIM(INDEX(PASTE_ALL,18,10)),1+(LEFT(TRIM(INDEX(PASTE_ALL,18,10)),1)="-"),999),1)="%"))&lt;&gt;"",SUBSTITUTE(SUBSTITUTE(SUBSTITUTE(SUBSTITUTE(SUBSTITUTE(SUBSTITUTE(SUBSTITUTE(SUBSTITUTE(SUBSTITUTE(SUBSTITUTE(SUBSTITUTE(SUBSTITUTE(LEFT(MID(TRIM(INDEX(PASTE_ALL,18,10)),1+(LEFT(TRIM(INDEX(PASTE_ALL,18,10)),1)="-"),999),LEN(MID(TRIM(INDEX(PASTE_ALL,18,10)),1+(LEFT(TRIM(INDEX(PASTE_ALL,18,10)),1)="-"),999))-(RIGHT(MID(TRIM(INDEX(PASTE_ALL,18,10)),1+(LEFT(TRIM(INDEX(PASTE_ALL,18,10)),1)="-"),999),1)="%")),"0",""),"1",""),"2",""),"3",""),"4",""),"5",""),"6",""),"7",""),"8",""),"9",""),".",""),",","")=""),2,1))),1)</f>
        <v/>
      </c>
      <c r="AI67">
        <f>IFERROR(IF(ISNUMBER(INDEX(PASTE_ALL,18,11)),2,IF(TRIM(INDEX(PASTE_ALL,18,11))="",0,IF(AND(LEFT(MID(TRIM(INDEX(PASTE_ALL,18,11)),1+(LEFT(TRIM(INDEX(PASTE_ALL,18,11)),1)="-"),999),LEN(MID(TRIM(INDEX(PASTE_ALL,18,11)),1+(LEFT(TRIM(INDEX(PASTE_ALL,18,11)),1)="-"),999))-(RIGHT(MID(TRIM(INDEX(PASTE_ALL,18,11)),1+(LEFT(TRIM(INDEX(PASTE_ALL,18,11)),1)="-"),999),1)="%"))&lt;&gt;"",SUBSTITUTE(SUBSTITUTE(SUBSTITUTE(SUBSTITUTE(SUBSTITUTE(SUBSTITUTE(SUBSTITUTE(SUBSTITUTE(SUBSTITUTE(SUBSTITUTE(SUBSTITUTE(SUBSTITUTE(LEFT(MID(TRIM(INDEX(PASTE_ALL,18,11)),1+(LEFT(TRIM(INDEX(PASTE_ALL,18,11)),1)="-"),999),LEN(MID(TRIM(INDEX(PASTE_ALL,18,11)),1+(LEFT(TRIM(INDEX(PASTE_ALL,18,11)),1)="-"),999))-(RIGHT(MID(TRIM(INDEX(PASTE_ALL,18,11)),1+(LEFT(TRIM(INDEX(PASTE_ALL,18,11)),1)="-"),999),1)="%")),"0",""),"1",""),"2",""),"3",""),"4",""),"5",""),"6",""),"7",""),"8",""),"9",""),".",""),",","")=""),2,1))),1)</f>
        <v/>
      </c>
      <c r="AJ67">
        <f>IFERROR(IF(ISNUMBER(INDEX(PASTE_ALL,18,12)),2,IF(TRIM(INDEX(PASTE_ALL,18,12))="",0,IF(AND(LEFT(MID(TRIM(INDEX(PASTE_ALL,18,12)),1+(LEFT(TRIM(INDEX(PASTE_ALL,18,12)),1)="-"),999),LEN(MID(TRIM(INDEX(PASTE_ALL,18,12)),1+(LEFT(TRIM(INDEX(PASTE_ALL,18,12)),1)="-"),999))-(RIGHT(MID(TRIM(INDEX(PASTE_ALL,18,12)),1+(LEFT(TRIM(INDEX(PASTE_ALL,18,12)),1)="-"),999),1)="%"))&lt;&gt;"",SUBSTITUTE(SUBSTITUTE(SUBSTITUTE(SUBSTITUTE(SUBSTITUTE(SUBSTITUTE(SUBSTITUTE(SUBSTITUTE(SUBSTITUTE(SUBSTITUTE(SUBSTITUTE(SUBSTITUTE(LEFT(MID(TRIM(INDEX(PASTE_ALL,18,12)),1+(LEFT(TRIM(INDEX(PASTE_ALL,18,12)),1)="-"),999),LEN(MID(TRIM(INDEX(PASTE_ALL,18,12)),1+(LEFT(TRIM(INDEX(PASTE_ALL,18,12)),1)="-"),999))-(RIGHT(MID(TRIM(INDEX(PASTE_ALL,18,12)),1+(LEFT(TRIM(INDEX(PASTE_ALL,18,12)),1)="-"),999),1)="%")),"0",""),"1",""),"2",""),"3",""),"4",""),"5",""),"6",""),"7",""),"8",""),"9",""),".",""),",","")=""),2,1))),1)</f>
        <v/>
      </c>
      <c r="AK67">
        <f>IFERROR(IF(ISNUMBER(INDEX(PASTE_ALL,18,13)),2,IF(TRIM(INDEX(PASTE_ALL,18,13))="",0,IF(AND(LEFT(MID(TRIM(INDEX(PASTE_ALL,18,13)),1+(LEFT(TRIM(INDEX(PASTE_ALL,18,13)),1)="-"),999),LEN(MID(TRIM(INDEX(PASTE_ALL,18,13)),1+(LEFT(TRIM(INDEX(PASTE_ALL,18,13)),1)="-"),999))-(RIGHT(MID(TRIM(INDEX(PASTE_ALL,18,13)),1+(LEFT(TRIM(INDEX(PASTE_ALL,18,13)),1)="-"),999),1)="%"))&lt;&gt;"",SUBSTITUTE(SUBSTITUTE(SUBSTITUTE(SUBSTITUTE(SUBSTITUTE(SUBSTITUTE(SUBSTITUTE(SUBSTITUTE(SUBSTITUTE(SUBSTITUTE(SUBSTITUTE(SUBSTITUTE(LEFT(MID(TRIM(INDEX(PASTE_ALL,18,13)),1+(LEFT(TRIM(INDEX(PASTE_ALL,18,13)),1)="-"),999),LEN(MID(TRIM(INDEX(PASTE_ALL,18,13)),1+(LEFT(TRIM(INDEX(PASTE_ALL,18,13)),1)="-"),999))-(RIGHT(MID(TRIM(INDEX(PASTE_ALL,18,13)),1+(LEFT(TRIM(INDEX(PASTE_ALL,18,13)),1)="-"),999),1)="%")),"0",""),"1",""),"2",""),"3",""),"4",""),"5",""),"6",""),"7",""),"8",""),"9",""),".",""),",","")=""),2,1))),1)</f>
        <v/>
      </c>
      <c r="AL67">
        <f>IFERROR(IF(ISNUMBER(INDEX(PASTE_ALL,18,14)),2,IF(TRIM(INDEX(PASTE_ALL,18,14))="",0,IF(AND(LEFT(MID(TRIM(INDEX(PASTE_ALL,18,14)),1+(LEFT(TRIM(INDEX(PASTE_ALL,18,14)),1)="-"),999),LEN(MID(TRIM(INDEX(PASTE_ALL,18,14)),1+(LEFT(TRIM(INDEX(PASTE_ALL,18,14)),1)="-"),999))-(RIGHT(MID(TRIM(INDEX(PASTE_ALL,18,14)),1+(LEFT(TRIM(INDEX(PASTE_ALL,18,14)),1)="-"),999),1)="%"))&lt;&gt;"",SUBSTITUTE(SUBSTITUTE(SUBSTITUTE(SUBSTITUTE(SUBSTITUTE(SUBSTITUTE(SUBSTITUTE(SUBSTITUTE(SUBSTITUTE(SUBSTITUTE(SUBSTITUTE(SUBSTITUTE(LEFT(MID(TRIM(INDEX(PASTE_ALL,18,14)),1+(LEFT(TRIM(INDEX(PASTE_ALL,18,14)),1)="-"),999),LEN(MID(TRIM(INDEX(PASTE_ALL,18,14)),1+(LEFT(TRIM(INDEX(PASTE_ALL,18,14)),1)="-"),999))-(RIGHT(MID(TRIM(INDEX(PASTE_ALL,18,14)),1+(LEFT(TRIM(INDEX(PASTE_ALL,18,14)),1)="-"),999),1)="%")),"0",""),"1",""),"2",""),"3",""),"4",""),"5",""),"6",""),"7",""),"8",""),"9",""),".",""),",","")=""),2,1))),1)</f>
        <v/>
      </c>
      <c r="AM67">
        <f>IFERROR(IF(ISNUMBER(INDEX(PASTE_ALL,18,15)),2,IF(TRIM(INDEX(PASTE_ALL,18,15))="",0,IF(AND(LEFT(MID(TRIM(INDEX(PASTE_ALL,18,15)),1+(LEFT(TRIM(INDEX(PASTE_ALL,18,15)),1)="-"),999),LEN(MID(TRIM(INDEX(PASTE_ALL,18,15)),1+(LEFT(TRIM(INDEX(PASTE_ALL,18,15)),1)="-"),999))-(RIGHT(MID(TRIM(INDEX(PASTE_ALL,18,15)),1+(LEFT(TRIM(INDEX(PASTE_ALL,18,15)),1)="-"),999),1)="%"))&lt;&gt;"",SUBSTITUTE(SUBSTITUTE(SUBSTITUTE(SUBSTITUTE(SUBSTITUTE(SUBSTITUTE(SUBSTITUTE(SUBSTITUTE(SUBSTITUTE(SUBSTITUTE(SUBSTITUTE(SUBSTITUTE(LEFT(MID(TRIM(INDEX(PASTE_ALL,18,15)),1+(LEFT(TRIM(INDEX(PASTE_ALL,18,15)),1)="-"),999),LEN(MID(TRIM(INDEX(PASTE_ALL,18,15)),1+(LEFT(TRIM(INDEX(PASTE_ALL,18,15)),1)="-"),999))-(RIGHT(MID(TRIM(INDEX(PASTE_ALL,18,15)),1+(LEFT(TRIM(INDEX(PASTE_ALL,18,15)),1)="-"),999),1)="%")),"0",""),"1",""),"2",""),"3",""),"4",""),"5",""),"6",""),"7",""),"8",""),"9",""),".",""),",","")=""),2,1))),1)</f>
        <v/>
      </c>
      <c r="AN67">
        <f>IFERROR(IF(ISNUMBER(INDEX(PASTE_ALL,18,16)),2,IF(TRIM(INDEX(PASTE_ALL,18,16))="",0,IF(AND(LEFT(MID(TRIM(INDEX(PASTE_ALL,18,16)),1+(LEFT(TRIM(INDEX(PASTE_ALL,18,16)),1)="-"),999),LEN(MID(TRIM(INDEX(PASTE_ALL,18,16)),1+(LEFT(TRIM(INDEX(PASTE_ALL,18,16)),1)="-"),999))-(RIGHT(MID(TRIM(INDEX(PASTE_ALL,18,16)),1+(LEFT(TRIM(INDEX(PASTE_ALL,18,16)),1)="-"),999),1)="%"))&lt;&gt;"",SUBSTITUTE(SUBSTITUTE(SUBSTITUTE(SUBSTITUTE(SUBSTITUTE(SUBSTITUTE(SUBSTITUTE(SUBSTITUTE(SUBSTITUTE(SUBSTITUTE(SUBSTITUTE(SUBSTITUTE(LEFT(MID(TRIM(INDEX(PASTE_ALL,18,16)),1+(LEFT(TRIM(INDEX(PASTE_ALL,18,16)),1)="-"),999),LEN(MID(TRIM(INDEX(PASTE_ALL,18,16)),1+(LEFT(TRIM(INDEX(PASTE_ALL,18,16)),1)="-"),999))-(RIGHT(MID(TRIM(INDEX(PASTE_ALL,18,16)),1+(LEFT(TRIM(INDEX(PASTE_ALL,18,16)),1)="-"),999),1)="%")),"0",""),"1",""),"2",""),"3",""),"4",""),"5",""),"6",""),"7",""),"8",""),"9",""),".",""),",","")=""),2,1))),1)</f>
        <v/>
      </c>
      <c r="AO67">
        <f>IFERROR(IF(ISNUMBER(INDEX(PASTE_ALL,18,17)),2,IF(TRIM(INDEX(PASTE_ALL,18,17))="",0,IF(AND(LEFT(MID(TRIM(INDEX(PASTE_ALL,18,17)),1+(LEFT(TRIM(INDEX(PASTE_ALL,18,17)),1)="-"),999),LEN(MID(TRIM(INDEX(PASTE_ALL,18,17)),1+(LEFT(TRIM(INDEX(PASTE_ALL,18,17)),1)="-"),999))-(RIGHT(MID(TRIM(INDEX(PASTE_ALL,18,17)),1+(LEFT(TRIM(INDEX(PASTE_ALL,18,17)),1)="-"),999),1)="%"))&lt;&gt;"",SUBSTITUTE(SUBSTITUTE(SUBSTITUTE(SUBSTITUTE(SUBSTITUTE(SUBSTITUTE(SUBSTITUTE(SUBSTITUTE(SUBSTITUTE(SUBSTITUTE(SUBSTITUTE(SUBSTITUTE(LEFT(MID(TRIM(INDEX(PASTE_ALL,18,17)),1+(LEFT(TRIM(INDEX(PASTE_ALL,18,17)),1)="-"),999),LEN(MID(TRIM(INDEX(PASTE_ALL,18,17)),1+(LEFT(TRIM(INDEX(PASTE_ALL,18,17)),1)="-"),999))-(RIGHT(MID(TRIM(INDEX(PASTE_ALL,18,17)),1+(LEFT(TRIM(INDEX(PASTE_ALL,18,17)),1)="-"),999),1)="%")),"0",""),"1",""),"2",""),"3",""),"4",""),"5",""),"6",""),"7",""),"8",""),"9",""),".",""),",","")=""),2,1))),1)</f>
        <v/>
      </c>
      <c r="AP67">
        <f>IFERROR(IF(ISNUMBER(INDEX(PASTE_ALL,18,18)),2,IF(TRIM(INDEX(PASTE_ALL,18,18))="",0,IF(AND(LEFT(MID(TRIM(INDEX(PASTE_ALL,18,18)),1+(LEFT(TRIM(INDEX(PASTE_ALL,18,18)),1)="-"),999),LEN(MID(TRIM(INDEX(PASTE_ALL,18,18)),1+(LEFT(TRIM(INDEX(PASTE_ALL,18,18)),1)="-"),999))-(RIGHT(MID(TRIM(INDEX(PASTE_ALL,18,18)),1+(LEFT(TRIM(INDEX(PASTE_ALL,18,18)),1)="-"),999),1)="%"))&lt;&gt;"",SUBSTITUTE(SUBSTITUTE(SUBSTITUTE(SUBSTITUTE(SUBSTITUTE(SUBSTITUTE(SUBSTITUTE(SUBSTITUTE(SUBSTITUTE(SUBSTITUTE(SUBSTITUTE(SUBSTITUTE(LEFT(MID(TRIM(INDEX(PASTE_ALL,18,18)),1+(LEFT(TRIM(INDEX(PASTE_ALL,18,18)),1)="-"),999),LEN(MID(TRIM(INDEX(PASTE_ALL,18,18)),1+(LEFT(TRIM(INDEX(PASTE_ALL,18,18)),1)="-"),999))-(RIGHT(MID(TRIM(INDEX(PASTE_ALL,18,18)),1+(LEFT(TRIM(INDEX(PASTE_ALL,18,18)),1)="-"),999),1)="%")),"0",""),"1",""),"2",""),"3",""),"4",""),"5",""),"6",""),"7",""),"8",""),"9",""),".",""),",","")=""),2,1))),1)</f>
        <v/>
      </c>
      <c r="AQ67">
        <f>IFERROR(IF(ISNUMBER(INDEX(PASTE_ALL,18,19)),2,IF(TRIM(INDEX(PASTE_ALL,18,19))="",0,IF(AND(LEFT(MID(TRIM(INDEX(PASTE_ALL,18,19)),1+(LEFT(TRIM(INDEX(PASTE_ALL,18,19)),1)="-"),999),LEN(MID(TRIM(INDEX(PASTE_ALL,18,19)),1+(LEFT(TRIM(INDEX(PASTE_ALL,18,19)),1)="-"),999))-(RIGHT(MID(TRIM(INDEX(PASTE_ALL,18,19)),1+(LEFT(TRIM(INDEX(PASTE_ALL,18,19)),1)="-"),999),1)="%"))&lt;&gt;"",SUBSTITUTE(SUBSTITUTE(SUBSTITUTE(SUBSTITUTE(SUBSTITUTE(SUBSTITUTE(SUBSTITUTE(SUBSTITUTE(SUBSTITUTE(SUBSTITUTE(SUBSTITUTE(SUBSTITUTE(LEFT(MID(TRIM(INDEX(PASTE_ALL,18,19)),1+(LEFT(TRIM(INDEX(PASTE_ALL,18,19)),1)="-"),999),LEN(MID(TRIM(INDEX(PASTE_ALL,18,19)),1+(LEFT(TRIM(INDEX(PASTE_ALL,18,19)),1)="-"),999))-(RIGHT(MID(TRIM(INDEX(PASTE_ALL,18,19)),1+(LEFT(TRIM(INDEX(PASTE_ALL,18,19)),1)="-"),999),1)="%")),"0",""),"1",""),"2",""),"3",""),"4",""),"5",""),"6",""),"7",""),"8",""),"9",""),".",""),",","")=""),2,1))),1)</f>
        <v/>
      </c>
      <c r="AR67">
        <f>IFERROR(IF(ISNUMBER(INDEX(PASTE_ALL,18,20)),2,IF(TRIM(INDEX(PASTE_ALL,18,20))="",0,IF(AND(LEFT(MID(TRIM(INDEX(PASTE_ALL,18,20)),1+(LEFT(TRIM(INDEX(PASTE_ALL,18,20)),1)="-"),999),LEN(MID(TRIM(INDEX(PASTE_ALL,18,20)),1+(LEFT(TRIM(INDEX(PASTE_ALL,18,20)),1)="-"),999))-(RIGHT(MID(TRIM(INDEX(PASTE_ALL,18,20)),1+(LEFT(TRIM(INDEX(PASTE_ALL,18,20)),1)="-"),999),1)="%"))&lt;&gt;"",SUBSTITUTE(SUBSTITUTE(SUBSTITUTE(SUBSTITUTE(SUBSTITUTE(SUBSTITUTE(SUBSTITUTE(SUBSTITUTE(SUBSTITUTE(SUBSTITUTE(SUBSTITUTE(SUBSTITUTE(LEFT(MID(TRIM(INDEX(PASTE_ALL,18,20)),1+(LEFT(TRIM(INDEX(PASTE_ALL,18,20)),1)="-"),999),LEN(MID(TRIM(INDEX(PASTE_ALL,18,20)),1+(LEFT(TRIM(INDEX(PASTE_ALL,18,20)),1)="-"),999))-(RIGHT(MID(TRIM(INDEX(PASTE_ALL,18,20)),1+(LEFT(TRIM(INDEX(PASTE_ALL,18,20)),1)="-"),999),1)="%")),"0",""),"1",""),"2",""),"3",""),"4",""),"5",""),"6",""),"7",""),"8",""),"9",""),".",""),",","")=""),2,1))),1)</f>
        <v/>
      </c>
      <c r="AS67">
        <f>IFERROR(IF(ISNUMBER(INDEX(PASTE_ALL,18,21)),2,IF(TRIM(INDEX(PASTE_ALL,18,21))="",0,IF(AND(LEFT(MID(TRIM(INDEX(PASTE_ALL,18,21)),1+(LEFT(TRIM(INDEX(PASTE_ALL,18,21)),1)="-"),999),LEN(MID(TRIM(INDEX(PASTE_ALL,18,21)),1+(LEFT(TRIM(INDEX(PASTE_ALL,18,21)),1)="-"),999))-(RIGHT(MID(TRIM(INDEX(PASTE_ALL,18,21)),1+(LEFT(TRIM(INDEX(PASTE_ALL,18,21)),1)="-"),999),1)="%"))&lt;&gt;"",SUBSTITUTE(SUBSTITUTE(SUBSTITUTE(SUBSTITUTE(SUBSTITUTE(SUBSTITUTE(SUBSTITUTE(SUBSTITUTE(SUBSTITUTE(SUBSTITUTE(SUBSTITUTE(SUBSTITUTE(LEFT(MID(TRIM(INDEX(PASTE_ALL,18,21)),1+(LEFT(TRIM(INDEX(PASTE_ALL,18,21)),1)="-"),999),LEN(MID(TRIM(INDEX(PASTE_ALL,18,21)),1+(LEFT(TRIM(INDEX(PASTE_ALL,18,21)),1)="-"),999))-(RIGHT(MID(TRIM(INDEX(PASTE_ALL,18,21)),1+(LEFT(TRIM(INDEX(PASTE_ALL,18,21)),1)="-"),999),1)="%")),"0",""),"1",""),"2",""),"3",""),"4",""),"5",""),"6",""),"7",""),"8",""),"9",""),".",""),",","")=""),2,1))),1)</f>
        <v/>
      </c>
      <c r="AT67">
        <f>IFERROR(IF(ISNUMBER(INDEX(PASTE_ALL,18,22)),2,IF(TRIM(INDEX(PASTE_ALL,18,22))="",0,IF(AND(LEFT(MID(TRIM(INDEX(PASTE_ALL,18,22)),1+(LEFT(TRIM(INDEX(PASTE_ALL,18,22)),1)="-"),999),LEN(MID(TRIM(INDEX(PASTE_ALL,18,22)),1+(LEFT(TRIM(INDEX(PASTE_ALL,18,22)),1)="-"),999))-(RIGHT(MID(TRIM(INDEX(PASTE_ALL,18,22)),1+(LEFT(TRIM(INDEX(PASTE_ALL,18,22)),1)="-"),999),1)="%"))&lt;&gt;"",SUBSTITUTE(SUBSTITUTE(SUBSTITUTE(SUBSTITUTE(SUBSTITUTE(SUBSTITUTE(SUBSTITUTE(SUBSTITUTE(SUBSTITUTE(SUBSTITUTE(SUBSTITUTE(SUBSTITUTE(LEFT(MID(TRIM(INDEX(PASTE_ALL,18,22)),1+(LEFT(TRIM(INDEX(PASTE_ALL,18,22)),1)="-"),999),LEN(MID(TRIM(INDEX(PASTE_ALL,18,22)),1+(LEFT(TRIM(INDEX(PASTE_ALL,18,22)),1)="-"),999))-(RIGHT(MID(TRIM(INDEX(PASTE_ALL,18,22)),1+(LEFT(TRIM(INDEX(PASTE_ALL,18,22)),1)="-"),999),1)="%")),"0",""),"1",""),"2",""),"3",""),"4",""),"5",""),"6",""),"7",""),"8",""),"9",""),".",""),",","")=""),2,1))),1)</f>
        <v/>
      </c>
      <c r="AU67">
        <f>IFERROR(IF(ISNUMBER(INDEX(PASTE_ALL,18,23)),2,IF(TRIM(INDEX(PASTE_ALL,18,23))="",0,IF(AND(LEFT(MID(TRIM(INDEX(PASTE_ALL,18,23)),1+(LEFT(TRIM(INDEX(PASTE_ALL,18,23)),1)="-"),999),LEN(MID(TRIM(INDEX(PASTE_ALL,18,23)),1+(LEFT(TRIM(INDEX(PASTE_ALL,18,23)),1)="-"),999))-(RIGHT(MID(TRIM(INDEX(PASTE_ALL,18,23)),1+(LEFT(TRIM(INDEX(PASTE_ALL,18,23)),1)="-"),999),1)="%"))&lt;&gt;"",SUBSTITUTE(SUBSTITUTE(SUBSTITUTE(SUBSTITUTE(SUBSTITUTE(SUBSTITUTE(SUBSTITUTE(SUBSTITUTE(SUBSTITUTE(SUBSTITUTE(SUBSTITUTE(SUBSTITUTE(LEFT(MID(TRIM(INDEX(PASTE_ALL,18,23)),1+(LEFT(TRIM(INDEX(PASTE_ALL,18,23)),1)="-"),999),LEN(MID(TRIM(INDEX(PASTE_ALL,18,23)),1+(LEFT(TRIM(INDEX(PASTE_ALL,18,23)),1)="-"),999))-(RIGHT(MID(TRIM(INDEX(PASTE_ALL,18,23)),1+(LEFT(TRIM(INDEX(PASTE_ALL,18,23)),1)="-"),999),1)="%")),"0",""),"1",""),"2",""),"3",""),"4",""),"5",""),"6",""),"7",""),"8",""),"9",""),".",""),",","")=""),2,1))),1)</f>
        <v/>
      </c>
      <c r="AV67">
        <f>IFERROR(IF(ISNUMBER(INDEX(PASTE_ALL,18,24)),2,IF(TRIM(INDEX(PASTE_ALL,18,24))="",0,IF(AND(LEFT(MID(TRIM(INDEX(PASTE_ALL,18,24)),1+(LEFT(TRIM(INDEX(PASTE_ALL,18,24)),1)="-"),999),LEN(MID(TRIM(INDEX(PASTE_ALL,18,24)),1+(LEFT(TRIM(INDEX(PASTE_ALL,18,24)),1)="-"),999))-(RIGHT(MID(TRIM(INDEX(PASTE_ALL,18,24)),1+(LEFT(TRIM(INDEX(PASTE_ALL,18,24)),1)="-"),999),1)="%"))&lt;&gt;"",SUBSTITUTE(SUBSTITUTE(SUBSTITUTE(SUBSTITUTE(SUBSTITUTE(SUBSTITUTE(SUBSTITUTE(SUBSTITUTE(SUBSTITUTE(SUBSTITUTE(SUBSTITUTE(SUBSTITUTE(LEFT(MID(TRIM(INDEX(PASTE_ALL,18,24)),1+(LEFT(TRIM(INDEX(PASTE_ALL,18,24)),1)="-"),999),LEN(MID(TRIM(INDEX(PASTE_ALL,18,24)),1+(LEFT(TRIM(INDEX(PASTE_ALL,18,24)),1)="-"),999))-(RIGHT(MID(TRIM(INDEX(PASTE_ALL,18,24)),1+(LEFT(TRIM(INDEX(PASTE_ALL,18,24)),1)="-"),999),1)="%")),"0",""),"1",""),"2",""),"3",""),"4",""),"5",""),"6",""),"7",""),"8",""),"9",""),".",""),",","")=""),2,1))),1)</f>
        <v/>
      </c>
      <c r="AW67">
        <f>IFERROR(IF(ISNUMBER(INDEX(PASTE_ALL,18,25)),2,IF(TRIM(INDEX(PASTE_ALL,18,25))="",0,IF(AND(LEFT(MID(TRIM(INDEX(PASTE_ALL,18,25)),1+(LEFT(TRIM(INDEX(PASTE_ALL,18,25)),1)="-"),999),LEN(MID(TRIM(INDEX(PASTE_ALL,18,25)),1+(LEFT(TRIM(INDEX(PASTE_ALL,18,25)),1)="-"),999))-(RIGHT(MID(TRIM(INDEX(PASTE_ALL,18,25)),1+(LEFT(TRIM(INDEX(PASTE_ALL,18,25)),1)="-"),999),1)="%"))&lt;&gt;"",SUBSTITUTE(SUBSTITUTE(SUBSTITUTE(SUBSTITUTE(SUBSTITUTE(SUBSTITUTE(SUBSTITUTE(SUBSTITUTE(SUBSTITUTE(SUBSTITUTE(SUBSTITUTE(SUBSTITUTE(LEFT(MID(TRIM(INDEX(PASTE_ALL,18,25)),1+(LEFT(TRIM(INDEX(PASTE_ALL,18,25)),1)="-"),999),LEN(MID(TRIM(INDEX(PASTE_ALL,18,25)),1+(LEFT(TRIM(INDEX(PASTE_ALL,18,25)),1)="-"),999))-(RIGHT(MID(TRIM(INDEX(PASTE_ALL,18,25)),1+(LEFT(TRIM(INDEX(PASTE_ALL,18,25)),1)="-"),999),1)="%")),"0",""),"1",""),"2",""),"3",""),"4",""),"5",""),"6",""),"7",""),"8",""),"9",""),".",""),",","")=""),2,1))),1)</f>
        <v/>
      </c>
      <c r="AX67">
        <f>IFERROR(IF(ISNUMBER(INDEX(PASTE_ALL,18,26)),2,IF(TRIM(INDEX(PASTE_ALL,18,26))="",0,IF(AND(LEFT(MID(TRIM(INDEX(PASTE_ALL,18,26)),1+(LEFT(TRIM(INDEX(PASTE_ALL,18,26)),1)="-"),999),LEN(MID(TRIM(INDEX(PASTE_ALL,18,26)),1+(LEFT(TRIM(INDEX(PASTE_ALL,18,26)),1)="-"),999))-(RIGHT(MID(TRIM(INDEX(PASTE_ALL,18,26)),1+(LEFT(TRIM(INDEX(PASTE_ALL,18,26)),1)="-"),999),1)="%"))&lt;&gt;"",SUBSTITUTE(SUBSTITUTE(SUBSTITUTE(SUBSTITUTE(SUBSTITUTE(SUBSTITUTE(SUBSTITUTE(SUBSTITUTE(SUBSTITUTE(SUBSTITUTE(SUBSTITUTE(SUBSTITUTE(LEFT(MID(TRIM(INDEX(PASTE_ALL,18,26)),1+(LEFT(TRIM(INDEX(PASTE_ALL,18,26)),1)="-"),999),LEN(MID(TRIM(INDEX(PASTE_ALL,18,26)),1+(LEFT(TRIM(INDEX(PASTE_ALL,18,26)),1)="-"),999))-(RIGHT(MID(TRIM(INDEX(PASTE_ALL,18,26)),1+(LEFT(TRIM(INDEX(PASTE_ALL,18,26)),1)="-"),999),1)="%")),"0",""),"1",""),"2",""),"3",""),"4",""),"5",""),"6",""),"7",""),"8",""),"9",""),".",""),",","")=""),2,1))),1)</f>
        <v/>
      </c>
      <c r="AY67">
        <f>IFERROR(IF(ISNUMBER(INDEX(PASTE_ALL,18,27)),2,IF(TRIM(INDEX(PASTE_ALL,18,27))="",0,IF(AND(LEFT(MID(TRIM(INDEX(PASTE_ALL,18,27)),1+(LEFT(TRIM(INDEX(PASTE_ALL,18,27)),1)="-"),999),LEN(MID(TRIM(INDEX(PASTE_ALL,18,27)),1+(LEFT(TRIM(INDEX(PASTE_ALL,18,27)),1)="-"),999))-(RIGHT(MID(TRIM(INDEX(PASTE_ALL,18,27)),1+(LEFT(TRIM(INDEX(PASTE_ALL,18,27)),1)="-"),999),1)="%"))&lt;&gt;"",SUBSTITUTE(SUBSTITUTE(SUBSTITUTE(SUBSTITUTE(SUBSTITUTE(SUBSTITUTE(SUBSTITUTE(SUBSTITUTE(SUBSTITUTE(SUBSTITUTE(SUBSTITUTE(SUBSTITUTE(LEFT(MID(TRIM(INDEX(PASTE_ALL,18,27)),1+(LEFT(TRIM(INDEX(PASTE_ALL,18,27)),1)="-"),999),LEN(MID(TRIM(INDEX(PASTE_ALL,18,27)),1+(LEFT(TRIM(INDEX(PASTE_ALL,18,27)),1)="-"),999))-(RIGHT(MID(TRIM(INDEX(PASTE_ALL,18,27)),1+(LEFT(TRIM(INDEX(PASTE_ALL,18,27)),1)="-"),999),1)="%")),"0",""),"1",""),"2",""),"3",""),"4",""),"5",""),"6",""),"7",""),"8",""),"9",""),".",""),",","")=""),2,1))),1)</f>
        <v/>
      </c>
      <c r="AZ67">
        <f>IFERROR(IF(ISNUMBER(INDEX(PASTE_ALL,18,28)),2,IF(TRIM(INDEX(PASTE_ALL,18,28))="",0,IF(AND(LEFT(MID(TRIM(INDEX(PASTE_ALL,18,28)),1+(LEFT(TRIM(INDEX(PASTE_ALL,18,28)),1)="-"),999),LEN(MID(TRIM(INDEX(PASTE_ALL,18,28)),1+(LEFT(TRIM(INDEX(PASTE_ALL,18,28)),1)="-"),999))-(RIGHT(MID(TRIM(INDEX(PASTE_ALL,18,28)),1+(LEFT(TRIM(INDEX(PASTE_ALL,18,28)),1)="-"),999),1)="%"))&lt;&gt;"",SUBSTITUTE(SUBSTITUTE(SUBSTITUTE(SUBSTITUTE(SUBSTITUTE(SUBSTITUTE(SUBSTITUTE(SUBSTITUTE(SUBSTITUTE(SUBSTITUTE(SUBSTITUTE(SUBSTITUTE(LEFT(MID(TRIM(INDEX(PASTE_ALL,18,28)),1+(LEFT(TRIM(INDEX(PASTE_ALL,18,28)),1)="-"),999),LEN(MID(TRIM(INDEX(PASTE_ALL,18,28)),1+(LEFT(TRIM(INDEX(PASTE_ALL,18,28)),1)="-"),999))-(RIGHT(MID(TRIM(INDEX(PASTE_ALL,18,28)),1+(LEFT(TRIM(INDEX(PASTE_ALL,18,28)),1)="-"),999),1)="%")),"0",""),"1",""),"2",""),"3",""),"4",""),"5",""),"6",""),"7",""),"8",""),"9",""),".",""),",","")=""),2,1))),1)</f>
        <v/>
      </c>
      <c r="BA67">
        <f>IFERROR(IF(ISNUMBER(INDEX(PASTE_ALL,18,29)),2,IF(TRIM(INDEX(PASTE_ALL,18,29))="",0,IF(AND(LEFT(MID(TRIM(INDEX(PASTE_ALL,18,29)),1+(LEFT(TRIM(INDEX(PASTE_ALL,18,29)),1)="-"),999),LEN(MID(TRIM(INDEX(PASTE_ALL,18,29)),1+(LEFT(TRIM(INDEX(PASTE_ALL,18,29)),1)="-"),999))-(RIGHT(MID(TRIM(INDEX(PASTE_ALL,18,29)),1+(LEFT(TRIM(INDEX(PASTE_ALL,18,29)),1)="-"),999),1)="%"))&lt;&gt;"",SUBSTITUTE(SUBSTITUTE(SUBSTITUTE(SUBSTITUTE(SUBSTITUTE(SUBSTITUTE(SUBSTITUTE(SUBSTITUTE(SUBSTITUTE(SUBSTITUTE(SUBSTITUTE(SUBSTITUTE(LEFT(MID(TRIM(INDEX(PASTE_ALL,18,29)),1+(LEFT(TRIM(INDEX(PASTE_ALL,18,29)),1)="-"),999),LEN(MID(TRIM(INDEX(PASTE_ALL,18,29)),1+(LEFT(TRIM(INDEX(PASTE_ALL,18,29)),1)="-"),999))-(RIGHT(MID(TRIM(INDEX(PASTE_ALL,18,29)),1+(LEFT(TRIM(INDEX(PASTE_ALL,18,29)),1)="-"),999),1)="%")),"0",""),"1",""),"2",""),"3",""),"4",""),"5",""),"6",""),"7",""),"8",""),"9",""),".",""),",","")=""),2,1))),1)</f>
        <v/>
      </c>
      <c r="BB67">
        <f>IFERROR(IF(ISNUMBER(INDEX(PASTE_ALL,18,30)),2,IF(TRIM(INDEX(PASTE_ALL,18,30))="",0,IF(AND(LEFT(MID(TRIM(INDEX(PASTE_ALL,18,30)),1+(LEFT(TRIM(INDEX(PASTE_ALL,18,30)),1)="-"),999),LEN(MID(TRIM(INDEX(PASTE_ALL,18,30)),1+(LEFT(TRIM(INDEX(PASTE_ALL,18,30)),1)="-"),999))-(RIGHT(MID(TRIM(INDEX(PASTE_ALL,18,30)),1+(LEFT(TRIM(INDEX(PASTE_ALL,18,30)),1)="-"),999),1)="%"))&lt;&gt;"",SUBSTITUTE(SUBSTITUTE(SUBSTITUTE(SUBSTITUTE(SUBSTITUTE(SUBSTITUTE(SUBSTITUTE(SUBSTITUTE(SUBSTITUTE(SUBSTITUTE(SUBSTITUTE(SUBSTITUTE(LEFT(MID(TRIM(INDEX(PASTE_ALL,18,30)),1+(LEFT(TRIM(INDEX(PASTE_ALL,18,30)),1)="-"),999),LEN(MID(TRIM(INDEX(PASTE_ALL,18,30)),1+(LEFT(TRIM(INDEX(PASTE_ALL,18,30)),1)="-"),999))-(RIGHT(MID(TRIM(INDEX(PASTE_ALL,18,30)),1+(LEFT(TRIM(INDEX(PASTE_ALL,18,30)),1)="-"),999),1)="%")),"0",""),"1",""),"2",""),"3",""),"4",""),"5",""),"6",""),"7",""),"8",""),"9",""),".",""),",","")=""),2,1))),1)</f>
        <v/>
      </c>
      <c r="BC67">
        <f>IFERROR(IF(ISNUMBER(INDEX(PASTE_ALL,18,31)),2,IF(TRIM(INDEX(PASTE_ALL,18,31))="",0,IF(AND(LEFT(MID(TRIM(INDEX(PASTE_ALL,18,31)),1+(LEFT(TRIM(INDEX(PASTE_ALL,18,31)),1)="-"),999),LEN(MID(TRIM(INDEX(PASTE_ALL,18,31)),1+(LEFT(TRIM(INDEX(PASTE_ALL,18,31)),1)="-"),999))-(RIGHT(MID(TRIM(INDEX(PASTE_ALL,18,31)),1+(LEFT(TRIM(INDEX(PASTE_ALL,18,31)),1)="-"),999),1)="%"))&lt;&gt;"",SUBSTITUTE(SUBSTITUTE(SUBSTITUTE(SUBSTITUTE(SUBSTITUTE(SUBSTITUTE(SUBSTITUTE(SUBSTITUTE(SUBSTITUTE(SUBSTITUTE(SUBSTITUTE(SUBSTITUTE(LEFT(MID(TRIM(INDEX(PASTE_ALL,18,31)),1+(LEFT(TRIM(INDEX(PASTE_ALL,18,31)),1)="-"),999),LEN(MID(TRIM(INDEX(PASTE_ALL,18,31)),1+(LEFT(TRIM(INDEX(PASTE_ALL,18,31)),1)="-"),999))-(RIGHT(MID(TRIM(INDEX(PASTE_ALL,18,31)),1+(LEFT(TRIM(INDEX(PASTE_ALL,18,31)),1)="-"),999),1)="%")),"0",""),"1",""),"2",""),"3",""),"4",""),"5",""),"6",""),"7",""),"8",""),"9",""),".",""),",","")=""),2,1))),1)</f>
        <v/>
      </c>
      <c r="BD67">
        <f>IFERROR(IF(ISNUMBER(INDEX(PASTE_ALL,18,32)),2,IF(TRIM(INDEX(PASTE_ALL,18,32))="",0,IF(AND(LEFT(MID(TRIM(INDEX(PASTE_ALL,18,32)),1+(LEFT(TRIM(INDEX(PASTE_ALL,18,32)),1)="-"),999),LEN(MID(TRIM(INDEX(PASTE_ALL,18,32)),1+(LEFT(TRIM(INDEX(PASTE_ALL,18,32)),1)="-"),999))-(RIGHT(MID(TRIM(INDEX(PASTE_ALL,18,32)),1+(LEFT(TRIM(INDEX(PASTE_ALL,18,32)),1)="-"),999),1)="%"))&lt;&gt;"",SUBSTITUTE(SUBSTITUTE(SUBSTITUTE(SUBSTITUTE(SUBSTITUTE(SUBSTITUTE(SUBSTITUTE(SUBSTITUTE(SUBSTITUTE(SUBSTITUTE(SUBSTITUTE(SUBSTITUTE(LEFT(MID(TRIM(INDEX(PASTE_ALL,18,32)),1+(LEFT(TRIM(INDEX(PASTE_ALL,18,32)),1)="-"),999),LEN(MID(TRIM(INDEX(PASTE_ALL,18,32)),1+(LEFT(TRIM(INDEX(PASTE_ALL,18,32)),1)="-"),999))-(RIGHT(MID(TRIM(INDEX(PASTE_ALL,18,32)),1+(LEFT(TRIM(INDEX(PASTE_ALL,18,32)),1)="-"),999),1)="%")),"0",""),"1",""),"2",""),"3",""),"4",""),"5",""),"6",""),"7",""),"8",""),"9",""),".",""),",","")=""),2,1))),1)</f>
        <v/>
      </c>
      <c r="BE67">
        <f>IFERROR(IF(ISNUMBER(INDEX(PASTE_ALL,18,33)),2,IF(TRIM(INDEX(PASTE_ALL,18,33))="",0,IF(AND(LEFT(MID(TRIM(INDEX(PASTE_ALL,18,33)),1+(LEFT(TRIM(INDEX(PASTE_ALL,18,33)),1)="-"),999),LEN(MID(TRIM(INDEX(PASTE_ALL,18,33)),1+(LEFT(TRIM(INDEX(PASTE_ALL,18,33)),1)="-"),999))-(RIGHT(MID(TRIM(INDEX(PASTE_ALL,18,33)),1+(LEFT(TRIM(INDEX(PASTE_ALL,18,33)),1)="-"),999),1)="%"))&lt;&gt;"",SUBSTITUTE(SUBSTITUTE(SUBSTITUTE(SUBSTITUTE(SUBSTITUTE(SUBSTITUTE(SUBSTITUTE(SUBSTITUTE(SUBSTITUTE(SUBSTITUTE(SUBSTITUTE(SUBSTITUTE(LEFT(MID(TRIM(INDEX(PASTE_ALL,18,33)),1+(LEFT(TRIM(INDEX(PASTE_ALL,18,33)),1)="-"),999),LEN(MID(TRIM(INDEX(PASTE_ALL,18,33)),1+(LEFT(TRIM(INDEX(PASTE_ALL,18,33)),1)="-"),999))-(RIGHT(MID(TRIM(INDEX(PASTE_ALL,18,33)),1+(LEFT(TRIM(INDEX(PASTE_ALL,18,33)),1)="-"),999),1)="%")),"0",""),"1",""),"2",""),"3",""),"4",""),"5",""),"6",""),"7",""),"8",""),"9",""),".",""),",","")=""),2,1))),1)</f>
        <v/>
      </c>
      <c r="BF67">
        <f>IFERROR(IF(ISNUMBER(INDEX(PASTE_ALL,18,34)),2,IF(TRIM(INDEX(PASTE_ALL,18,34))="",0,IF(AND(LEFT(MID(TRIM(INDEX(PASTE_ALL,18,34)),1+(LEFT(TRIM(INDEX(PASTE_ALL,18,34)),1)="-"),999),LEN(MID(TRIM(INDEX(PASTE_ALL,18,34)),1+(LEFT(TRIM(INDEX(PASTE_ALL,18,34)),1)="-"),999))-(RIGHT(MID(TRIM(INDEX(PASTE_ALL,18,34)),1+(LEFT(TRIM(INDEX(PASTE_ALL,18,34)),1)="-"),999),1)="%"))&lt;&gt;"",SUBSTITUTE(SUBSTITUTE(SUBSTITUTE(SUBSTITUTE(SUBSTITUTE(SUBSTITUTE(SUBSTITUTE(SUBSTITUTE(SUBSTITUTE(SUBSTITUTE(SUBSTITUTE(SUBSTITUTE(LEFT(MID(TRIM(INDEX(PASTE_ALL,18,34)),1+(LEFT(TRIM(INDEX(PASTE_ALL,18,34)),1)="-"),999),LEN(MID(TRIM(INDEX(PASTE_ALL,18,34)),1+(LEFT(TRIM(INDEX(PASTE_ALL,18,34)),1)="-"),999))-(RIGHT(MID(TRIM(INDEX(PASTE_ALL,18,34)),1+(LEFT(TRIM(INDEX(PASTE_ALL,18,34)),1)="-"),999),1)="%")),"0",""),"1",""),"2",""),"3",""),"4",""),"5",""),"6",""),"7",""),"8",""),"9",""),".",""),",","")=""),2,1))),1)</f>
        <v/>
      </c>
      <c r="BG67">
        <f>IFERROR(IF(ISNUMBER(INDEX(PASTE_ALL,18,35)),2,IF(TRIM(INDEX(PASTE_ALL,18,35))="",0,IF(AND(LEFT(MID(TRIM(INDEX(PASTE_ALL,18,35)),1+(LEFT(TRIM(INDEX(PASTE_ALL,18,35)),1)="-"),999),LEN(MID(TRIM(INDEX(PASTE_ALL,18,35)),1+(LEFT(TRIM(INDEX(PASTE_ALL,18,35)),1)="-"),999))-(RIGHT(MID(TRIM(INDEX(PASTE_ALL,18,35)),1+(LEFT(TRIM(INDEX(PASTE_ALL,18,35)),1)="-"),999),1)="%"))&lt;&gt;"",SUBSTITUTE(SUBSTITUTE(SUBSTITUTE(SUBSTITUTE(SUBSTITUTE(SUBSTITUTE(SUBSTITUTE(SUBSTITUTE(SUBSTITUTE(SUBSTITUTE(SUBSTITUTE(SUBSTITUTE(LEFT(MID(TRIM(INDEX(PASTE_ALL,18,35)),1+(LEFT(TRIM(INDEX(PASTE_ALL,18,35)),1)="-"),999),LEN(MID(TRIM(INDEX(PASTE_ALL,18,35)),1+(LEFT(TRIM(INDEX(PASTE_ALL,18,35)),1)="-"),999))-(RIGHT(MID(TRIM(INDEX(PASTE_ALL,18,35)),1+(LEFT(TRIM(INDEX(PASTE_ALL,18,35)),1)="-"),999),1)="%")),"0",""),"1",""),"2",""),"3",""),"4",""),"5",""),"6",""),"7",""),"8",""),"9",""),".",""),",","")=""),2,1))),1)</f>
        <v/>
      </c>
      <c r="BH67">
        <f>IFERROR(IF(ISNUMBER(INDEX(PASTE_ALL,18,36)),2,IF(TRIM(INDEX(PASTE_ALL,18,36))="",0,IF(AND(LEFT(MID(TRIM(INDEX(PASTE_ALL,18,36)),1+(LEFT(TRIM(INDEX(PASTE_ALL,18,36)),1)="-"),999),LEN(MID(TRIM(INDEX(PASTE_ALL,18,36)),1+(LEFT(TRIM(INDEX(PASTE_ALL,18,36)),1)="-"),999))-(RIGHT(MID(TRIM(INDEX(PASTE_ALL,18,36)),1+(LEFT(TRIM(INDEX(PASTE_ALL,18,36)),1)="-"),999),1)="%"))&lt;&gt;"",SUBSTITUTE(SUBSTITUTE(SUBSTITUTE(SUBSTITUTE(SUBSTITUTE(SUBSTITUTE(SUBSTITUTE(SUBSTITUTE(SUBSTITUTE(SUBSTITUTE(SUBSTITUTE(SUBSTITUTE(LEFT(MID(TRIM(INDEX(PASTE_ALL,18,36)),1+(LEFT(TRIM(INDEX(PASTE_ALL,18,36)),1)="-"),999),LEN(MID(TRIM(INDEX(PASTE_ALL,18,36)),1+(LEFT(TRIM(INDEX(PASTE_ALL,18,36)),1)="-"),999))-(RIGHT(MID(TRIM(INDEX(PASTE_ALL,18,36)),1+(LEFT(TRIM(INDEX(PASTE_ALL,18,36)),1)="-"),999),1)="%")),"0",""),"1",""),"2",""),"3",""),"4",""),"5",""),"6",""),"7",""),"8",""),"9",""),".",""),",","")=""),2,1))),1)</f>
        <v/>
      </c>
      <c r="BI67">
        <f>IFERROR(IF(ISNUMBER(INDEX(PASTE_ALL,18,37)),2,IF(TRIM(INDEX(PASTE_ALL,18,37))="",0,IF(AND(LEFT(MID(TRIM(INDEX(PASTE_ALL,18,37)),1+(LEFT(TRIM(INDEX(PASTE_ALL,18,37)),1)="-"),999),LEN(MID(TRIM(INDEX(PASTE_ALL,18,37)),1+(LEFT(TRIM(INDEX(PASTE_ALL,18,37)),1)="-"),999))-(RIGHT(MID(TRIM(INDEX(PASTE_ALL,18,37)),1+(LEFT(TRIM(INDEX(PASTE_ALL,18,37)),1)="-"),999),1)="%"))&lt;&gt;"",SUBSTITUTE(SUBSTITUTE(SUBSTITUTE(SUBSTITUTE(SUBSTITUTE(SUBSTITUTE(SUBSTITUTE(SUBSTITUTE(SUBSTITUTE(SUBSTITUTE(SUBSTITUTE(SUBSTITUTE(LEFT(MID(TRIM(INDEX(PASTE_ALL,18,37)),1+(LEFT(TRIM(INDEX(PASTE_ALL,18,37)),1)="-"),999),LEN(MID(TRIM(INDEX(PASTE_ALL,18,37)),1+(LEFT(TRIM(INDEX(PASTE_ALL,18,37)),1)="-"),999))-(RIGHT(MID(TRIM(INDEX(PASTE_ALL,18,37)),1+(LEFT(TRIM(INDEX(PASTE_ALL,18,37)),1)="-"),999),1)="%")),"0",""),"1",""),"2",""),"3",""),"4",""),"5",""),"6",""),"7",""),"8",""),"9",""),".",""),",","")=""),2,1))),1)</f>
        <v/>
      </c>
      <c r="BJ67">
        <f>IFERROR(IF(ISNUMBER(INDEX(PASTE_ALL,18,38)),2,IF(TRIM(INDEX(PASTE_ALL,18,38))="",0,IF(AND(LEFT(MID(TRIM(INDEX(PASTE_ALL,18,38)),1+(LEFT(TRIM(INDEX(PASTE_ALL,18,38)),1)="-"),999),LEN(MID(TRIM(INDEX(PASTE_ALL,18,38)),1+(LEFT(TRIM(INDEX(PASTE_ALL,18,38)),1)="-"),999))-(RIGHT(MID(TRIM(INDEX(PASTE_ALL,18,38)),1+(LEFT(TRIM(INDEX(PASTE_ALL,18,38)),1)="-"),999),1)="%"))&lt;&gt;"",SUBSTITUTE(SUBSTITUTE(SUBSTITUTE(SUBSTITUTE(SUBSTITUTE(SUBSTITUTE(SUBSTITUTE(SUBSTITUTE(SUBSTITUTE(SUBSTITUTE(SUBSTITUTE(SUBSTITUTE(LEFT(MID(TRIM(INDEX(PASTE_ALL,18,38)),1+(LEFT(TRIM(INDEX(PASTE_ALL,18,38)),1)="-"),999),LEN(MID(TRIM(INDEX(PASTE_ALL,18,38)),1+(LEFT(TRIM(INDEX(PASTE_ALL,18,38)),1)="-"),999))-(RIGHT(MID(TRIM(INDEX(PASTE_ALL,18,38)),1+(LEFT(TRIM(INDEX(PASTE_ALL,18,38)),1)="-"),999),1)="%")),"0",""),"1",""),"2",""),"3",""),"4",""),"5",""),"6",""),"7",""),"8",""),"9",""),".",""),",","")=""),2,1))),1)</f>
        <v/>
      </c>
      <c r="BK67">
        <f>IFERROR(IF(ISNUMBER(INDEX(PASTE_ALL,18,39)),2,IF(TRIM(INDEX(PASTE_ALL,18,39))="",0,IF(AND(LEFT(MID(TRIM(INDEX(PASTE_ALL,18,39)),1+(LEFT(TRIM(INDEX(PASTE_ALL,18,39)),1)="-"),999),LEN(MID(TRIM(INDEX(PASTE_ALL,18,39)),1+(LEFT(TRIM(INDEX(PASTE_ALL,18,39)),1)="-"),999))-(RIGHT(MID(TRIM(INDEX(PASTE_ALL,18,39)),1+(LEFT(TRIM(INDEX(PASTE_ALL,18,39)),1)="-"),999),1)="%"))&lt;&gt;"",SUBSTITUTE(SUBSTITUTE(SUBSTITUTE(SUBSTITUTE(SUBSTITUTE(SUBSTITUTE(SUBSTITUTE(SUBSTITUTE(SUBSTITUTE(SUBSTITUTE(SUBSTITUTE(SUBSTITUTE(LEFT(MID(TRIM(INDEX(PASTE_ALL,18,39)),1+(LEFT(TRIM(INDEX(PASTE_ALL,18,39)),1)="-"),999),LEN(MID(TRIM(INDEX(PASTE_ALL,18,39)),1+(LEFT(TRIM(INDEX(PASTE_ALL,18,39)),1)="-"),999))-(RIGHT(MID(TRIM(INDEX(PASTE_ALL,18,39)),1+(LEFT(TRIM(INDEX(PASTE_ALL,18,39)),1)="-"),999),1)="%")),"0",""),"1",""),"2",""),"3",""),"4",""),"5",""),"6",""),"7",""),"8",""),"9",""),".",""),",","")=""),2,1))),1)</f>
        <v/>
      </c>
      <c r="BL67">
        <f>IFERROR(IF(ISNUMBER(INDEX(PASTE_ALL,18,40)),2,IF(TRIM(INDEX(PASTE_ALL,18,40))="",0,IF(AND(LEFT(MID(TRIM(INDEX(PASTE_ALL,18,40)),1+(LEFT(TRIM(INDEX(PASTE_ALL,18,40)),1)="-"),999),LEN(MID(TRIM(INDEX(PASTE_ALL,18,40)),1+(LEFT(TRIM(INDEX(PASTE_ALL,18,40)),1)="-"),999))-(RIGHT(MID(TRIM(INDEX(PASTE_ALL,18,40)),1+(LEFT(TRIM(INDEX(PASTE_ALL,18,40)),1)="-"),999),1)="%"))&lt;&gt;"",SUBSTITUTE(SUBSTITUTE(SUBSTITUTE(SUBSTITUTE(SUBSTITUTE(SUBSTITUTE(SUBSTITUTE(SUBSTITUTE(SUBSTITUTE(SUBSTITUTE(SUBSTITUTE(SUBSTITUTE(LEFT(MID(TRIM(INDEX(PASTE_ALL,18,40)),1+(LEFT(TRIM(INDEX(PASTE_ALL,18,40)),1)="-"),999),LEN(MID(TRIM(INDEX(PASTE_ALL,18,40)),1+(LEFT(TRIM(INDEX(PASTE_ALL,18,40)),1)="-"),999))-(RIGHT(MID(TRIM(INDEX(PASTE_ALL,18,40)),1+(LEFT(TRIM(INDEX(PASTE_ALL,18,40)),1)="-"),999),1)="%")),"0",""),"1",""),"2",""),"3",""),"4",""),"5",""),"6",""),"7",""),"8",""),"9",""),".",""),",","")=""),2,1))),1)</f>
        <v/>
      </c>
      <c r="BM67">
        <f>IFERROR(IF(ISNUMBER(INDEX(PASTE_ALL,18,41)),2,IF(TRIM(INDEX(PASTE_ALL,18,41))="",0,IF(AND(LEFT(MID(TRIM(INDEX(PASTE_ALL,18,41)),1+(LEFT(TRIM(INDEX(PASTE_ALL,18,41)),1)="-"),999),LEN(MID(TRIM(INDEX(PASTE_ALL,18,41)),1+(LEFT(TRIM(INDEX(PASTE_ALL,18,41)),1)="-"),999))-(RIGHT(MID(TRIM(INDEX(PASTE_ALL,18,41)),1+(LEFT(TRIM(INDEX(PASTE_ALL,18,41)),1)="-"),999),1)="%"))&lt;&gt;"",SUBSTITUTE(SUBSTITUTE(SUBSTITUTE(SUBSTITUTE(SUBSTITUTE(SUBSTITUTE(SUBSTITUTE(SUBSTITUTE(SUBSTITUTE(SUBSTITUTE(SUBSTITUTE(SUBSTITUTE(LEFT(MID(TRIM(INDEX(PASTE_ALL,18,41)),1+(LEFT(TRIM(INDEX(PASTE_ALL,18,41)),1)="-"),999),LEN(MID(TRIM(INDEX(PASTE_ALL,18,41)),1+(LEFT(TRIM(INDEX(PASTE_ALL,18,41)),1)="-"),999))-(RIGHT(MID(TRIM(INDEX(PASTE_ALL,18,41)),1+(LEFT(TRIM(INDEX(PASTE_ALL,18,41)),1)="-"),999),1)="%")),"0",""),"1",""),"2",""),"3",""),"4",""),"5",""),"6",""),"7",""),"8",""),"9",""),".",""),",","")=""),2,1))),1)</f>
        <v/>
      </c>
      <c r="BN67">
        <f>IFERROR(IF(ISNUMBER(INDEX(PASTE_ALL,18,42)),2,IF(TRIM(INDEX(PASTE_ALL,18,42))="",0,IF(AND(LEFT(MID(TRIM(INDEX(PASTE_ALL,18,42)),1+(LEFT(TRIM(INDEX(PASTE_ALL,18,42)),1)="-"),999),LEN(MID(TRIM(INDEX(PASTE_ALL,18,42)),1+(LEFT(TRIM(INDEX(PASTE_ALL,18,42)),1)="-"),999))-(RIGHT(MID(TRIM(INDEX(PASTE_ALL,18,42)),1+(LEFT(TRIM(INDEX(PASTE_ALL,18,42)),1)="-"),999),1)="%"))&lt;&gt;"",SUBSTITUTE(SUBSTITUTE(SUBSTITUTE(SUBSTITUTE(SUBSTITUTE(SUBSTITUTE(SUBSTITUTE(SUBSTITUTE(SUBSTITUTE(SUBSTITUTE(SUBSTITUTE(SUBSTITUTE(LEFT(MID(TRIM(INDEX(PASTE_ALL,18,42)),1+(LEFT(TRIM(INDEX(PASTE_ALL,18,42)),1)="-"),999),LEN(MID(TRIM(INDEX(PASTE_ALL,18,42)),1+(LEFT(TRIM(INDEX(PASTE_ALL,18,42)),1)="-"),999))-(RIGHT(MID(TRIM(INDEX(PASTE_ALL,18,42)),1+(LEFT(TRIM(INDEX(PASTE_ALL,18,42)),1)="-"),999),1)="%")),"0",""),"1",""),"2",""),"3",""),"4",""),"5",""),"6",""),"7",""),"8",""),"9",""),".",""),",","")=""),2,1))),1)</f>
        <v/>
      </c>
      <c r="BO67">
        <f>IFERROR(IF(ISNUMBER(INDEX(PASTE_ALL,18,43)),2,IF(TRIM(INDEX(PASTE_ALL,18,43))="",0,IF(AND(LEFT(MID(TRIM(INDEX(PASTE_ALL,18,43)),1+(LEFT(TRIM(INDEX(PASTE_ALL,18,43)),1)="-"),999),LEN(MID(TRIM(INDEX(PASTE_ALL,18,43)),1+(LEFT(TRIM(INDEX(PASTE_ALL,18,43)),1)="-"),999))-(RIGHT(MID(TRIM(INDEX(PASTE_ALL,18,43)),1+(LEFT(TRIM(INDEX(PASTE_ALL,18,43)),1)="-"),999),1)="%"))&lt;&gt;"",SUBSTITUTE(SUBSTITUTE(SUBSTITUTE(SUBSTITUTE(SUBSTITUTE(SUBSTITUTE(SUBSTITUTE(SUBSTITUTE(SUBSTITUTE(SUBSTITUTE(SUBSTITUTE(SUBSTITUTE(LEFT(MID(TRIM(INDEX(PASTE_ALL,18,43)),1+(LEFT(TRIM(INDEX(PASTE_ALL,18,43)),1)="-"),999),LEN(MID(TRIM(INDEX(PASTE_ALL,18,43)),1+(LEFT(TRIM(INDEX(PASTE_ALL,18,43)),1)="-"),999))-(RIGHT(MID(TRIM(INDEX(PASTE_ALL,18,43)),1+(LEFT(TRIM(INDEX(PASTE_ALL,18,43)),1)="-"),999),1)="%")),"0",""),"1",""),"2",""),"3",""),"4",""),"5",""),"6",""),"7",""),"8",""),"9",""),".",""),",","")=""),2,1))),1)</f>
        <v/>
      </c>
      <c r="BP67">
        <f>IFERROR(IF(ISNUMBER(INDEX(PASTE_ALL,18,44)),2,IF(TRIM(INDEX(PASTE_ALL,18,44))="",0,IF(AND(LEFT(MID(TRIM(INDEX(PASTE_ALL,18,44)),1+(LEFT(TRIM(INDEX(PASTE_ALL,18,44)),1)="-"),999),LEN(MID(TRIM(INDEX(PASTE_ALL,18,44)),1+(LEFT(TRIM(INDEX(PASTE_ALL,18,44)),1)="-"),999))-(RIGHT(MID(TRIM(INDEX(PASTE_ALL,18,44)),1+(LEFT(TRIM(INDEX(PASTE_ALL,18,44)),1)="-"),999),1)="%"))&lt;&gt;"",SUBSTITUTE(SUBSTITUTE(SUBSTITUTE(SUBSTITUTE(SUBSTITUTE(SUBSTITUTE(SUBSTITUTE(SUBSTITUTE(SUBSTITUTE(SUBSTITUTE(SUBSTITUTE(SUBSTITUTE(LEFT(MID(TRIM(INDEX(PASTE_ALL,18,44)),1+(LEFT(TRIM(INDEX(PASTE_ALL,18,44)),1)="-"),999),LEN(MID(TRIM(INDEX(PASTE_ALL,18,44)),1+(LEFT(TRIM(INDEX(PASTE_ALL,18,44)),1)="-"),999))-(RIGHT(MID(TRIM(INDEX(PASTE_ALL,18,44)),1+(LEFT(TRIM(INDEX(PASTE_ALL,18,44)),1)="-"),999),1)="%")),"0",""),"1",""),"2",""),"3",""),"4",""),"5",""),"6",""),"7",""),"8",""),"9",""),".",""),",","")=""),2,1))),1)</f>
        <v/>
      </c>
      <c r="BQ67">
        <f>IFERROR(IF(ISNUMBER(INDEX(PASTE_ALL,18,45)),2,IF(TRIM(INDEX(PASTE_ALL,18,45))="",0,IF(AND(LEFT(MID(TRIM(INDEX(PASTE_ALL,18,45)),1+(LEFT(TRIM(INDEX(PASTE_ALL,18,45)),1)="-"),999),LEN(MID(TRIM(INDEX(PASTE_ALL,18,45)),1+(LEFT(TRIM(INDEX(PASTE_ALL,18,45)),1)="-"),999))-(RIGHT(MID(TRIM(INDEX(PASTE_ALL,18,45)),1+(LEFT(TRIM(INDEX(PASTE_ALL,18,45)),1)="-"),999),1)="%"))&lt;&gt;"",SUBSTITUTE(SUBSTITUTE(SUBSTITUTE(SUBSTITUTE(SUBSTITUTE(SUBSTITUTE(SUBSTITUTE(SUBSTITUTE(SUBSTITUTE(SUBSTITUTE(SUBSTITUTE(SUBSTITUTE(LEFT(MID(TRIM(INDEX(PASTE_ALL,18,45)),1+(LEFT(TRIM(INDEX(PASTE_ALL,18,45)),1)="-"),999),LEN(MID(TRIM(INDEX(PASTE_ALL,18,45)),1+(LEFT(TRIM(INDEX(PASTE_ALL,18,45)),1)="-"),999))-(RIGHT(MID(TRIM(INDEX(PASTE_ALL,18,45)),1+(LEFT(TRIM(INDEX(PASTE_ALL,18,45)),1)="-"),999),1)="%")),"0",""),"1",""),"2",""),"3",""),"4",""),"5",""),"6",""),"7",""),"8",""),"9",""),".",""),",","")=""),2,1))),1)</f>
        <v/>
      </c>
      <c r="BR67">
        <f>IFERROR(IF(ISNUMBER(INDEX(PASTE_ALL,18,46)),2,IF(TRIM(INDEX(PASTE_ALL,18,46))="",0,IF(AND(LEFT(MID(TRIM(INDEX(PASTE_ALL,18,46)),1+(LEFT(TRIM(INDEX(PASTE_ALL,18,46)),1)="-"),999),LEN(MID(TRIM(INDEX(PASTE_ALL,18,46)),1+(LEFT(TRIM(INDEX(PASTE_ALL,18,46)),1)="-"),999))-(RIGHT(MID(TRIM(INDEX(PASTE_ALL,18,46)),1+(LEFT(TRIM(INDEX(PASTE_ALL,18,46)),1)="-"),999),1)="%"))&lt;&gt;"",SUBSTITUTE(SUBSTITUTE(SUBSTITUTE(SUBSTITUTE(SUBSTITUTE(SUBSTITUTE(SUBSTITUTE(SUBSTITUTE(SUBSTITUTE(SUBSTITUTE(SUBSTITUTE(SUBSTITUTE(LEFT(MID(TRIM(INDEX(PASTE_ALL,18,46)),1+(LEFT(TRIM(INDEX(PASTE_ALL,18,46)),1)="-"),999),LEN(MID(TRIM(INDEX(PASTE_ALL,18,46)),1+(LEFT(TRIM(INDEX(PASTE_ALL,18,46)),1)="-"),999))-(RIGHT(MID(TRIM(INDEX(PASTE_ALL,18,46)),1+(LEFT(TRIM(INDEX(PASTE_ALL,18,46)),1)="-"),999),1)="%")),"0",""),"1",""),"2",""),"3",""),"4",""),"5",""),"6",""),"7",""),"8",""),"9",""),".",""),",","")=""),2,1))),1)</f>
        <v/>
      </c>
      <c r="BS67">
        <f>IFERROR(IF(ISNUMBER(INDEX(PASTE_ALL,18,47)),2,IF(TRIM(INDEX(PASTE_ALL,18,47))="",0,IF(AND(LEFT(MID(TRIM(INDEX(PASTE_ALL,18,47)),1+(LEFT(TRIM(INDEX(PASTE_ALL,18,47)),1)="-"),999),LEN(MID(TRIM(INDEX(PASTE_ALL,18,47)),1+(LEFT(TRIM(INDEX(PASTE_ALL,18,47)),1)="-"),999))-(RIGHT(MID(TRIM(INDEX(PASTE_ALL,18,47)),1+(LEFT(TRIM(INDEX(PASTE_ALL,18,47)),1)="-"),999),1)="%"))&lt;&gt;"",SUBSTITUTE(SUBSTITUTE(SUBSTITUTE(SUBSTITUTE(SUBSTITUTE(SUBSTITUTE(SUBSTITUTE(SUBSTITUTE(SUBSTITUTE(SUBSTITUTE(SUBSTITUTE(SUBSTITUTE(LEFT(MID(TRIM(INDEX(PASTE_ALL,18,47)),1+(LEFT(TRIM(INDEX(PASTE_ALL,18,47)),1)="-"),999),LEN(MID(TRIM(INDEX(PASTE_ALL,18,47)),1+(LEFT(TRIM(INDEX(PASTE_ALL,18,47)),1)="-"),999))-(RIGHT(MID(TRIM(INDEX(PASTE_ALL,18,47)),1+(LEFT(TRIM(INDEX(PASTE_ALL,18,47)),1)="-"),999),1)="%")),"0",""),"1",""),"2",""),"3",""),"4",""),"5",""),"6",""),"7",""),"8",""),"9",""),".",""),",","")=""),2,1))),1)</f>
        <v/>
      </c>
      <c r="BT67">
        <f>IFERROR(IF(ISNUMBER(INDEX(PASTE_ALL,18,48)),2,IF(TRIM(INDEX(PASTE_ALL,18,48))="",0,IF(AND(LEFT(MID(TRIM(INDEX(PASTE_ALL,18,48)),1+(LEFT(TRIM(INDEX(PASTE_ALL,18,48)),1)="-"),999),LEN(MID(TRIM(INDEX(PASTE_ALL,18,48)),1+(LEFT(TRIM(INDEX(PASTE_ALL,18,48)),1)="-"),999))-(RIGHT(MID(TRIM(INDEX(PASTE_ALL,18,48)),1+(LEFT(TRIM(INDEX(PASTE_ALL,18,48)),1)="-"),999),1)="%"))&lt;&gt;"",SUBSTITUTE(SUBSTITUTE(SUBSTITUTE(SUBSTITUTE(SUBSTITUTE(SUBSTITUTE(SUBSTITUTE(SUBSTITUTE(SUBSTITUTE(SUBSTITUTE(SUBSTITUTE(SUBSTITUTE(LEFT(MID(TRIM(INDEX(PASTE_ALL,18,48)),1+(LEFT(TRIM(INDEX(PASTE_ALL,18,48)),1)="-"),999),LEN(MID(TRIM(INDEX(PASTE_ALL,18,48)),1+(LEFT(TRIM(INDEX(PASTE_ALL,18,48)),1)="-"),999))-(RIGHT(MID(TRIM(INDEX(PASTE_ALL,18,48)),1+(LEFT(TRIM(INDEX(PASTE_ALL,18,48)),1)="-"),999),1)="%")),"0",""),"1",""),"2",""),"3",""),"4",""),"5",""),"6",""),"7",""),"8",""),"9",""),".",""),",","")=""),2,1))),1)</f>
        <v/>
      </c>
      <c r="BU67">
        <f>IFERROR(IF(ISNUMBER(INDEX(PASTE_ALL,18,49)),2,IF(TRIM(INDEX(PASTE_ALL,18,49))="",0,IF(AND(LEFT(MID(TRIM(INDEX(PASTE_ALL,18,49)),1+(LEFT(TRIM(INDEX(PASTE_ALL,18,49)),1)="-"),999),LEN(MID(TRIM(INDEX(PASTE_ALL,18,49)),1+(LEFT(TRIM(INDEX(PASTE_ALL,18,49)),1)="-"),999))-(RIGHT(MID(TRIM(INDEX(PASTE_ALL,18,49)),1+(LEFT(TRIM(INDEX(PASTE_ALL,18,49)),1)="-"),999),1)="%"))&lt;&gt;"",SUBSTITUTE(SUBSTITUTE(SUBSTITUTE(SUBSTITUTE(SUBSTITUTE(SUBSTITUTE(SUBSTITUTE(SUBSTITUTE(SUBSTITUTE(SUBSTITUTE(SUBSTITUTE(SUBSTITUTE(LEFT(MID(TRIM(INDEX(PASTE_ALL,18,49)),1+(LEFT(TRIM(INDEX(PASTE_ALL,18,49)),1)="-"),999),LEN(MID(TRIM(INDEX(PASTE_ALL,18,49)),1+(LEFT(TRIM(INDEX(PASTE_ALL,18,49)),1)="-"),999))-(RIGHT(MID(TRIM(INDEX(PASTE_ALL,18,49)),1+(LEFT(TRIM(INDEX(PASTE_ALL,18,49)),1)="-"),999),1)="%")),"0",""),"1",""),"2",""),"3",""),"4",""),"5",""),"6",""),"7",""),"8",""),"9",""),".",""),",","")=""),2,1))),1)</f>
        <v/>
      </c>
      <c r="BV67">
        <f>IFERROR(IF(ISNUMBER(INDEX(PASTE_ALL,18,50)),2,IF(TRIM(INDEX(PASTE_ALL,18,50))="",0,IF(AND(LEFT(MID(TRIM(INDEX(PASTE_ALL,18,50)),1+(LEFT(TRIM(INDEX(PASTE_ALL,18,50)),1)="-"),999),LEN(MID(TRIM(INDEX(PASTE_ALL,18,50)),1+(LEFT(TRIM(INDEX(PASTE_ALL,18,50)),1)="-"),999))-(RIGHT(MID(TRIM(INDEX(PASTE_ALL,18,50)),1+(LEFT(TRIM(INDEX(PASTE_ALL,18,50)),1)="-"),999),1)="%"))&lt;&gt;"",SUBSTITUTE(SUBSTITUTE(SUBSTITUTE(SUBSTITUTE(SUBSTITUTE(SUBSTITUTE(SUBSTITUTE(SUBSTITUTE(SUBSTITUTE(SUBSTITUTE(SUBSTITUTE(SUBSTITUTE(LEFT(MID(TRIM(INDEX(PASTE_ALL,18,50)),1+(LEFT(TRIM(INDEX(PASTE_ALL,18,50)),1)="-"),999),LEN(MID(TRIM(INDEX(PASTE_ALL,18,50)),1+(LEFT(TRIM(INDEX(PASTE_ALL,18,50)),1)="-"),999))-(RIGHT(MID(TRIM(INDEX(PASTE_ALL,18,50)),1+(LEFT(TRIM(INDEX(PASTE_ALL,18,50)),1)="-"),999),1)="%")),"0",""),"1",""),"2",""),"3",""),"4",""),"5",""),"6",""),"7",""),"8",""),"9",""),".",""),",","")=""),2,1))),1)</f>
        <v/>
      </c>
      <c r="BW67">
        <f>IFERROR(IF(ISNUMBER(INDEX(PASTE_ALL,18,51)),2,IF(TRIM(INDEX(PASTE_ALL,18,51))="",0,IF(AND(LEFT(MID(TRIM(INDEX(PASTE_ALL,18,51)),1+(LEFT(TRIM(INDEX(PASTE_ALL,18,51)),1)="-"),999),LEN(MID(TRIM(INDEX(PASTE_ALL,18,51)),1+(LEFT(TRIM(INDEX(PASTE_ALL,18,51)),1)="-"),999))-(RIGHT(MID(TRIM(INDEX(PASTE_ALL,18,51)),1+(LEFT(TRIM(INDEX(PASTE_ALL,18,51)),1)="-"),999),1)="%"))&lt;&gt;"",SUBSTITUTE(SUBSTITUTE(SUBSTITUTE(SUBSTITUTE(SUBSTITUTE(SUBSTITUTE(SUBSTITUTE(SUBSTITUTE(SUBSTITUTE(SUBSTITUTE(SUBSTITUTE(SUBSTITUTE(LEFT(MID(TRIM(INDEX(PASTE_ALL,18,51)),1+(LEFT(TRIM(INDEX(PASTE_ALL,18,51)),1)="-"),999),LEN(MID(TRIM(INDEX(PASTE_ALL,18,51)),1+(LEFT(TRIM(INDEX(PASTE_ALL,18,51)),1)="-"),999))-(RIGHT(MID(TRIM(INDEX(PASTE_ALL,18,51)),1+(LEFT(TRIM(INDEX(PASTE_ALL,18,51)),1)="-"),999),1)="%")),"0",""),"1",""),"2",""),"3",""),"4",""),"5",""),"6",""),"7",""),"8",""),"9",""),".",""),",","")=""),2,1))),1)</f>
        <v/>
      </c>
      <c r="BX67">
        <f>IFERROR(IF(ISNUMBER(INDEX(PASTE_ALL,18,52)),2,IF(TRIM(INDEX(PASTE_ALL,18,52))="",0,IF(AND(LEFT(MID(TRIM(INDEX(PASTE_ALL,18,52)),1+(LEFT(TRIM(INDEX(PASTE_ALL,18,52)),1)="-"),999),LEN(MID(TRIM(INDEX(PASTE_ALL,18,52)),1+(LEFT(TRIM(INDEX(PASTE_ALL,18,52)),1)="-"),999))-(RIGHT(MID(TRIM(INDEX(PASTE_ALL,18,52)),1+(LEFT(TRIM(INDEX(PASTE_ALL,18,52)),1)="-"),999),1)="%"))&lt;&gt;"",SUBSTITUTE(SUBSTITUTE(SUBSTITUTE(SUBSTITUTE(SUBSTITUTE(SUBSTITUTE(SUBSTITUTE(SUBSTITUTE(SUBSTITUTE(SUBSTITUTE(SUBSTITUTE(SUBSTITUTE(LEFT(MID(TRIM(INDEX(PASTE_ALL,18,52)),1+(LEFT(TRIM(INDEX(PASTE_ALL,18,52)),1)="-"),999),LEN(MID(TRIM(INDEX(PASTE_ALL,18,52)),1+(LEFT(TRIM(INDEX(PASTE_ALL,18,52)),1)="-"),999))-(RIGHT(MID(TRIM(INDEX(PASTE_ALL,18,52)),1+(LEFT(TRIM(INDEX(PASTE_ALL,18,52)),1)="-"),999),1)="%")),"0",""),"1",""),"2",""),"3",""),"4",""),"5",""),"6",""),"7",""),"8",""),"9",""),".",""),",","")=""),2,1))),1)</f>
        <v/>
      </c>
      <c r="BY67">
        <f>IFERROR(IF(ISNUMBER(INDEX(PASTE_ALL,18,53)),2,IF(TRIM(INDEX(PASTE_ALL,18,53))="",0,IF(AND(LEFT(MID(TRIM(INDEX(PASTE_ALL,18,53)),1+(LEFT(TRIM(INDEX(PASTE_ALL,18,53)),1)="-"),999),LEN(MID(TRIM(INDEX(PASTE_ALL,18,53)),1+(LEFT(TRIM(INDEX(PASTE_ALL,18,53)),1)="-"),999))-(RIGHT(MID(TRIM(INDEX(PASTE_ALL,18,53)),1+(LEFT(TRIM(INDEX(PASTE_ALL,18,53)),1)="-"),999),1)="%"))&lt;&gt;"",SUBSTITUTE(SUBSTITUTE(SUBSTITUTE(SUBSTITUTE(SUBSTITUTE(SUBSTITUTE(SUBSTITUTE(SUBSTITUTE(SUBSTITUTE(SUBSTITUTE(SUBSTITUTE(SUBSTITUTE(LEFT(MID(TRIM(INDEX(PASTE_ALL,18,53)),1+(LEFT(TRIM(INDEX(PASTE_ALL,18,53)),1)="-"),999),LEN(MID(TRIM(INDEX(PASTE_ALL,18,53)),1+(LEFT(TRIM(INDEX(PASTE_ALL,18,53)),1)="-"),999))-(RIGHT(MID(TRIM(INDEX(PASTE_ALL,18,53)),1+(LEFT(TRIM(INDEX(PASTE_ALL,18,53)),1)="-"),999),1)="%")),"0",""),"1",""),"2",""),"3",""),"4",""),"5",""),"6",""),"7",""),"8",""),"9",""),".",""),",","")=""),2,1))),1)</f>
        <v/>
      </c>
      <c r="BZ67">
        <f>IFERROR(IF(ISNUMBER(INDEX(PASTE_ALL,18,54)),2,IF(TRIM(INDEX(PASTE_ALL,18,54))="",0,IF(AND(LEFT(MID(TRIM(INDEX(PASTE_ALL,18,54)),1+(LEFT(TRIM(INDEX(PASTE_ALL,18,54)),1)="-"),999),LEN(MID(TRIM(INDEX(PASTE_ALL,18,54)),1+(LEFT(TRIM(INDEX(PASTE_ALL,18,54)),1)="-"),999))-(RIGHT(MID(TRIM(INDEX(PASTE_ALL,18,54)),1+(LEFT(TRIM(INDEX(PASTE_ALL,18,54)),1)="-"),999),1)="%"))&lt;&gt;"",SUBSTITUTE(SUBSTITUTE(SUBSTITUTE(SUBSTITUTE(SUBSTITUTE(SUBSTITUTE(SUBSTITUTE(SUBSTITUTE(SUBSTITUTE(SUBSTITUTE(SUBSTITUTE(SUBSTITUTE(LEFT(MID(TRIM(INDEX(PASTE_ALL,18,54)),1+(LEFT(TRIM(INDEX(PASTE_ALL,18,54)),1)="-"),999),LEN(MID(TRIM(INDEX(PASTE_ALL,18,54)),1+(LEFT(TRIM(INDEX(PASTE_ALL,18,54)),1)="-"),999))-(RIGHT(MID(TRIM(INDEX(PASTE_ALL,18,54)),1+(LEFT(TRIM(INDEX(PASTE_ALL,18,54)),1)="-"),999),1)="%")),"0",""),"1",""),"2",""),"3",""),"4",""),"5",""),"6",""),"7",""),"8",""),"9",""),".",""),",","")=""),2,1))),1)</f>
        <v/>
      </c>
      <c r="CA67">
        <f>IFERROR(IF(ISNUMBER(INDEX(PASTE_ALL,18,55)),2,IF(TRIM(INDEX(PASTE_ALL,18,55))="",0,IF(AND(LEFT(MID(TRIM(INDEX(PASTE_ALL,18,55)),1+(LEFT(TRIM(INDEX(PASTE_ALL,18,55)),1)="-"),999),LEN(MID(TRIM(INDEX(PASTE_ALL,18,55)),1+(LEFT(TRIM(INDEX(PASTE_ALL,18,55)),1)="-"),999))-(RIGHT(MID(TRIM(INDEX(PASTE_ALL,18,55)),1+(LEFT(TRIM(INDEX(PASTE_ALL,18,55)),1)="-"),999),1)="%"))&lt;&gt;"",SUBSTITUTE(SUBSTITUTE(SUBSTITUTE(SUBSTITUTE(SUBSTITUTE(SUBSTITUTE(SUBSTITUTE(SUBSTITUTE(SUBSTITUTE(SUBSTITUTE(SUBSTITUTE(SUBSTITUTE(LEFT(MID(TRIM(INDEX(PASTE_ALL,18,55)),1+(LEFT(TRIM(INDEX(PASTE_ALL,18,55)),1)="-"),999),LEN(MID(TRIM(INDEX(PASTE_ALL,18,55)),1+(LEFT(TRIM(INDEX(PASTE_ALL,18,55)),1)="-"),999))-(RIGHT(MID(TRIM(INDEX(PASTE_ALL,18,55)),1+(LEFT(TRIM(INDEX(PASTE_ALL,18,55)),1)="-"),999),1)="%")),"0",""),"1",""),"2",""),"3",""),"4",""),"5",""),"6",""),"7",""),"8",""),"9",""),".",""),",","")=""),2,1))),1)</f>
        <v/>
      </c>
      <c r="CB67">
        <f>IFERROR(IF(ISNUMBER(INDEX(PASTE_ALL,18,56)),2,IF(TRIM(INDEX(PASTE_ALL,18,56))="",0,IF(AND(LEFT(MID(TRIM(INDEX(PASTE_ALL,18,56)),1+(LEFT(TRIM(INDEX(PASTE_ALL,18,56)),1)="-"),999),LEN(MID(TRIM(INDEX(PASTE_ALL,18,56)),1+(LEFT(TRIM(INDEX(PASTE_ALL,18,56)),1)="-"),999))-(RIGHT(MID(TRIM(INDEX(PASTE_ALL,18,56)),1+(LEFT(TRIM(INDEX(PASTE_ALL,18,56)),1)="-"),999),1)="%"))&lt;&gt;"",SUBSTITUTE(SUBSTITUTE(SUBSTITUTE(SUBSTITUTE(SUBSTITUTE(SUBSTITUTE(SUBSTITUTE(SUBSTITUTE(SUBSTITUTE(SUBSTITUTE(SUBSTITUTE(SUBSTITUTE(LEFT(MID(TRIM(INDEX(PASTE_ALL,18,56)),1+(LEFT(TRIM(INDEX(PASTE_ALL,18,56)),1)="-"),999),LEN(MID(TRIM(INDEX(PASTE_ALL,18,56)),1+(LEFT(TRIM(INDEX(PASTE_ALL,18,56)),1)="-"),999))-(RIGHT(MID(TRIM(INDEX(PASTE_ALL,18,56)),1+(LEFT(TRIM(INDEX(PASTE_ALL,18,56)),1)="-"),999),1)="%")),"0",""),"1",""),"2",""),"3",""),"4",""),"5",""),"6",""),"7",""),"8",""),"9",""),".",""),",","")=""),2,1))),1)</f>
        <v/>
      </c>
      <c r="CC67">
        <f>IFERROR(IF(ISNUMBER(INDEX(PASTE_ALL,18,57)),2,IF(TRIM(INDEX(PASTE_ALL,18,57))="",0,IF(AND(LEFT(MID(TRIM(INDEX(PASTE_ALL,18,57)),1+(LEFT(TRIM(INDEX(PASTE_ALL,18,57)),1)="-"),999),LEN(MID(TRIM(INDEX(PASTE_ALL,18,57)),1+(LEFT(TRIM(INDEX(PASTE_ALL,18,57)),1)="-"),999))-(RIGHT(MID(TRIM(INDEX(PASTE_ALL,18,57)),1+(LEFT(TRIM(INDEX(PASTE_ALL,18,57)),1)="-"),999),1)="%"))&lt;&gt;"",SUBSTITUTE(SUBSTITUTE(SUBSTITUTE(SUBSTITUTE(SUBSTITUTE(SUBSTITUTE(SUBSTITUTE(SUBSTITUTE(SUBSTITUTE(SUBSTITUTE(SUBSTITUTE(SUBSTITUTE(LEFT(MID(TRIM(INDEX(PASTE_ALL,18,57)),1+(LEFT(TRIM(INDEX(PASTE_ALL,18,57)),1)="-"),999),LEN(MID(TRIM(INDEX(PASTE_ALL,18,57)),1+(LEFT(TRIM(INDEX(PASTE_ALL,18,57)),1)="-"),999))-(RIGHT(MID(TRIM(INDEX(PASTE_ALL,18,57)),1+(LEFT(TRIM(INDEX(PASTE_ALL,18,57)),1)="-"),999),1)="%")),"0",""),"1",""),"2",""),"3",""),"4",""),"5",""),"6",""),"7",""),"8",""),"9",""),".",""),",","")=""),2,1))),1)</f>
        <v/>
      </c>
      <c r="CD67">
        <f>IFERROR(IF(ISNUMBER(INDEX(PASTE_ALL,18,58)),2,IF(TRIM(INDEX(PASTE_ALL,18,58))="",0,IF(AND(LEFT(MID(TRIM(INDEX(PASTE_ALL,18,58)),1+(LEFT(TRIM(INDEX(PASTE_ALL,18,58)),1)="-"),999),LEN(MID(TRIM(INDEX(PASTE_ALL,18,58)),1+(LEFT(TRIM(INDEX(PASTE_ALL,18,58)),1)="-"),999))-(RIGHT(MID(TRIM(INDEX(PASTE_ALL,18,58)),1+(LEFT(TRIM(INDEX(PASTE_ALL,18,58)),1)="-"),999),1)="%"))&lt;&gt;"",SUBSTITUTE(SUBSTITUTE(SUBSTITUTE(SUBSTITUTE(SUBSTITUTE(SUBSTITUTE(SUBSTITUTE(SUBSTITUTE(SUBSTITUTE(SUBSTITUTE(SUBSTITUTE(SUBSTITUTE(LEFT(MID(TRIM(INDEX(PASTE_ALL,18,58)),1+(LEFT(TRIM(INDEX(PASTE_ALL,18,58)),1)="-"),999),LEN(MID(TRIM(INDEX(PASTE_ALL,18,58)),1+(LEFT(TRIM(INDEX(PASTE_ALL,18,58)),1)="-"),999))-(RIGHT(MID(TRIM(INDEX(PASTE_ALL,18,58)),1+(LEFT(TRIM(INDEX(PASTE_ALL,18,58)),1)="-"),999),1)="%")),"0",""),"1",""),"2",""),"3",""),"4",""),"5",""),"6",""),"7",""),"8",""),"9",""),".",""),",","")=""),2,1))),1)</f>
        <v/>
      </c>
      <c r="CE67">
        <f>IFERROR(IF(ISNUMBER(INDEX(PASTE_ALL,18,59)),2,IF(TRIM(INDEX(PASTE_ALL,18,59))="",0,IF(AND(LEFT(MID(TRIM(INDEX(PASTE_ALL,18,59)),1+(LEFT(TRIM(INDEX(PASTE_ALL,18,59)),1)="-"),999),LEN(MID(TRIM(INDEX(PASTE_ALL,18,59)),1+(LEFT(TRIM(INDEX(PASTE_ALL,18,59)),1)="-"),999))-(RIGHT(MID(TRIM(INDEX(PASTE_ALL,18,59)),1+(LEFT(TRIM(INDEX(PASTE_ALL,18,59)),1)="-"),999),1)="%"))&lt;&gt;"",SUBSTITUTE(SUBSTITUTE(SUBSTITUTE(SUBSTITUTE(SUBSTITUTE(SUBSTITUTE(SUBSTITUTE(SUBSTITUTE(SUBSTITUTE(SUBSTITUTE(SUBSTITUTE(SUBSTITUTE(LEFT(MID(TRIM(INDEX(PASTE_ALL,18,59)),1+(LEFT(TRIM(INDEX(PASTE_ALL,18,59)),1)="-"),999),LEN(MID(TRIM(INDEX(PASTE_ALL,18,59)),1+(LEFT(TRIM(INDEX(PASTE_ALL,18,59)),1)="-"),999))-(RIGHT(MID(TRIM(INDEX(PASTE_ALL,18,59)),1+(LEFT(TRIM(INDEX(PASTE_ALL,18,59)),1)="-"),999),1)="%")),"0",""),"1",""),"2",""),"3",""),"4",""),"5",""),"6",""),"7",""),"8",""),"9",""),".",""),",","")=""),2,1))),1)</f>
        <v/>
      </c>
      <c r="CF67">
        <f>IFERROR(IF(ISNUMBER(INDEX(PASTE_ALL,18,60)),2,IF(TRIM(INDEX(PASTE_ALL,18,60))="",0,IF(AND(LEFT(MID(TRIM(INDEX(PASTE_ALL,18,60)),1+(LEFT(TRIM(INDEX(PASTE_ALL,18,60)),1)="-"),999),LEN(MID(TRIM(INDEX(PASTE_ALL,18,60)),1+(LEFT(TRIM(INDEX(PASTE_ALL,18,60)),1)="-"),999))-(RIGHT(MID(TRIM(INDEX(PASTE_ALL,18,60)),1+(LEFT(TRIM(INDEX(PASTE_ALL,18,60)),1)="-"),999),1)="%"))&lt;&gt;"",SUBSTITUTE(SUBSTITUTE(SUBSTITUTE(SUBSTITUTE(SUBSTITUTE(SUBSTITUTE(SUBSTITUTE(SUBSTITUTE(SUBSTITUTE(SUBSTITUTE(SUBSTITUTE(SUBSTITUTE(LEFT(MID(TRIM(INDEX(PASTE_ALL,18,60)),1+(LEFT(TRIM(INDEX(PASTE_ALL,18,60)),1)="-"),999),LEN(MID(TRIM(INDEX(PASTE_ALL,18,60)),1+(LEFT(TRIM(INDEX(PASTE_ALL,18,60)),1)="-"),999))-(RIGHT(MID(TRIM(INDEX(PASTE_ALL,18,60)),1+(LEFT(TRIM(INDEX(PASTE_ALL,18,60)),1)="-"),999),1)="%")),"0",""),"1",""),"2",""),"3",""),"4",""),"5",""),"6",""),"7",""),"8",""),"9",""),".",""),",","")=""),2,1))),1)</f>
        <v/>
      </c>
      <c r="DA67" t="n">
        <v>63</v>
      </c>
      <c r="DB67">
        <f>IF($B$37=0,"",IFERROR(TRIM(SUBSTITUTE(SUBSTITUTE(SUBSTITUTE(SUBSTITUTE(INDEX(PASTE_ALL,63,$B$37)," "," "),CHAR(9)," "),CHAR(10)," "),CHAR(13)," ")),""))</f>
        <v/>
      </c>
      <c r="DC67">
        <f>IF(AND(63&gt;HEADER_ROW,UPPER(DB67)="LEGEND"),1,0)</f>
        <v/>
      </c>
      <c r="DE67" t="n">
        <v>63</v>
      </c>
      <c r="DF67">
        <f>HEADER_ROW+$DE67</f>
        <v/>
      </c>
      <c r="DG67">
        <f>IF(AND($DF67&lt;=1000,$DF67&lt;$B$8),1,0)</f>
        <v/>
      </c>
      <c r="DH67">
        <f>IF($DG67=1,IFERROR(INDEX($DB$5:$DB$1004,$DF67),""),"")</f>
        <v/>
      </c>
      <c r="DI67">
        <f>IF(AND($DG67=1,$DH67&lt;&gt;""),IFERROR(SUBSTITUTE(SUBSTITUTE(TRIM(SUBSTITUTE(SUBSTITUTE(SUBSTITUTE(SUBSTITUTE(IFERROR(INDEX(PASTE_ALL,$DF67,1)&amp;"","")&amp;"␟"&amp;IFERROR(INDEX(PASTE_ALL,$DF67,2)&amp;"","")&amp;"␟"&amp;IFERROR(INDEX(PASTE_ALL,$DF67,3)&amp;"","")&amp;"␟"&amp;IFERROR(INDEX(PASTE_ALL,$DF67,4)&amp;"","")&amp;"␟"&amp;IFERROR(INDEX(PASTE_ALL,$DF67,5)&amp;"","")&amp;"␟"&amp;IFERROR(INDEX(PASTE_ALL,$DF67,6)&amp;"","")&amp;"␟"&amp;IFERROR(INDEX(PASTE_ALL,$DF67,7)&amp;"","")&amp;"␟"&amp;IFERROR(INDEX(PASTE_ALL,$DF67,8)&amp;"","")&amp;"␟"&amp;IFERROR(INDEX(PASTE_ALL,$DF67,9)&amp;"","")&amp;"␟"&amp;IFERROR(INDEX(PASTE_ALL,$DF67,10)&amp;"","")&amp;"␟"&amp;IFERROR(INDEX(PASTE_ALL,$DF67,11)&amp;"","")&amp;"␟"&amp;IFERROR(INDEX(PASTE_ALL,$DF67,12)&amp;"","")&amp;"␟"&amp;IFERROR(INDEX(PASTE_ALL,$DF67,13)&amp;"","")&amp;"␟"&amp;IFERROR(INDEX(PASTE_ALL,$DF67,14)&amp;"","")&amp;"␟"&amp;IFERROR(INDEX(PASTE_ALL,$DF67,15)&amp;"","")&amp;"␟"&amp;IFERROR(INDEX(PASTE_ALL,$DF67,16)&amp;"","")&amp;"␟"&amp;IFERROR(INDEX(PASTE_ALL,$DF67,17)&amp;"","")&amp;"␟"&amp;IFERROR(INDEX(PASTE_ALL,$DF67,18)&amp;"","")&amp;"␟"&amp;IFERROR(INDEX(PASTE_ALL,$DF67,19)&amp;"","")&amp;"␟"&amp;IFERROR(INDEX(PASTE_ALL,$DF67,20)&amp;"","")&amp;"␟"&amp;IFERROR(INDEX(PASTE_ALL,$DF67,21)&amp;"","")&amp;"␟"&amp;IFERROR(INDEX(PASTE_ALL,$DF67,22)&amp;"","")&amp;"␟"&amp;IFERROR(INDEX(PASTE_ALL,$DF67,23)&amp;"","")&amp;"␟"&amp;IFERROR(INDEX(PASTE_ALL,$DF67,24)&amp;"","")&amp;"␟"&amp;IFERROR(INDEX(PASTE_ALL,$DF67,25)&amp;"","")&amp;"␟"&amp;IFERROR(INDEX(PASTE_ALL,$DF67,26)&amp;"","")&amp;"␟"&amp;IFERROR(INDEX(PASTE_ALL,$DF67,27)&amp;"","")&amp;"␟"&amp;IFERROR(INDEX(PASTE_ALL,$DF67,28)&amp;"","")&amp;"␟"&amp;IFERROR(INDEX(PASTE_ALL,$DF67,29)&amp;"","")&amp;"␟"&amp;IFERROR(INDEX(PASTE_ALL,$DF67,30)&amp;"","")&amp;"␟"&amp;IFERROR(INDEX(PASTE_ALL,$DF67,31)&amp;"","")&amp;"␟"&amp;IFERROR(INDEX(PASTE_ALL,$DF67,32)&amp;"","")&amp;"␟"&amp;IFERROR(INDEX(PASTE_ALL,$DF67,33)&amp;"","")&amp;"␟"&amp;IFERROR(INDEX(PASTE_ALL,$DF67,34)&amp;"","")&amp;"␟"&amp;IFERROR(INDEX(PASTE_ALL,$DF67,35)&amp;"","")&amp;"␟"&amp;IFERROR(INDEX(PASTE_ALL,$DF67,36)&amp;"","")&amp;"␟"&amp;IFERROR(INDEX(PASTE_ALL,$DF67,37)&amp;"","")&amp;"␟"&amp;IFERROR(INDEX(PASTE_ALL,$DF67,38)&amp;"","")&amp;"␟"&amp;IFERROR(INDEX(PASTE_ALL,$DF67,39)&amp;"","")&amp;"␟"&amp;IFERROR(INDEX(PASTE_ALL,$DF67,40)&amp;"","")&amp;"␟"&amp;IFERROR(INDEX(PASTE_ALL,$DF67,41)&amp;"","")&amp;"␟"&amp;IFERROR(INDEX(PASTE_ALL,$DF67,42)&amp;"","")&amp;"␟"&amp;IFERROR(INDEX(PASTE_ALL,$DF67,43)&amp;"","")&amp;"␟"&amp;IFERROR(INDEX(PASTE_ALL,$DF67,44)&amp;"","")&amp;"␟"&amp;IFERROR(INDEX(PASTE_ALL,$DF67,45)&amp;"","")&amp;"␟"&amp;IFERROR(INDEX(PASTE_ALL,$DF67,46)&amp;"","")&amp;"␟"&amp;IFERROR(INDEX(PASTE_ALL,$DF67,47)&amp;"","")&amp;"␟"&amp;IFERROR(INDEX(PASTE_ALL,$DF67,48)&amp;"","")&amp;"␟"&amp;IFERROR(INDEX(PASTE_ALL,$DF67,49)&amp;"","")&amp;"␟"&amp;IFERROR(INDEX(PASTE_ALL,$DF67,50)&amp;"","")&amp;"␟"&amp;IFERROR(INDEX(PASTE_ALL,$DF67,51)&amp;"","")&amp;"␟"&amp;IFERROR(INDEX(PASTE_ALL,$DF67,52)&amp;"","")&amp;"␟"&amp;IFERROR(INDEX(PASTE_ALL,$DF67,53)&amp;"","")&amp;"␟"&amp;IFERROR(INDEX(PASTE_ALL,$DF67,54)&amp;"","")&amp;"␟"&amp;IFERROR(INDEX(PASTE_ALL,$DF67,55)&amp;"","")&amp;"␟"&amp;IFERROR(INDEX(PASTE_ALL,$DF67,56)&amp;"","")&amp;"␟"&amp;IFERROR(INDEX(PASTE_ALL,$DF67,57)&amp;"","")&amp;"␟"&amp;IFERROR(INDEX(PASTE_ALL,$DF67,58)&amp;"","")&amp;"␟"&amp;IFERROR(INDEX(PASTE_ALL,$DF67,59)&amp;"","")&amp;"␟"&amp;IFERROR(INDEX(PASTE_ALL,$DF67,60)&amp;"","")," "," "),CHAR(9)," "),CHAR(10)," "),CHAR(13)," "))," ␟","␟"),"␟ ","␟"),"#"&amp;$DE67),"")</f>
        <v/>
      </c>
      <c r="DJ67">
        <f>IF($DI67="",0,IF(SUMPRODUCT(--EXACT($DI$4:DI66,$DI67))&gt;0,1,0))</f>
        <v/>
      </c>
      <c r="DK67">
        <f>IF(AND($DI67&lt;&gt;"",$DJ67=0),1,0)</f>
        <v/>
      </c>
      <c r="DL67">
        <f>DL66+$DK67</f>
        <v/>
      </c>
      <c r="DM67">
        <f>IF(AND($DK67=1,$DL67&lt;=600),1,0)</f>
        <v/>
      </c>
      <c r="DN67">
        <f>IF($DM67=0,"",IF($L$6=0,"",IFERROR(IF(ISNUMBER(INDEX(PASTE_ALL,$DF67,$L$6)),INDEX(PASTE_ALL,$DF67,$L$6),TRIM(SUBSTITUTE(SUBSTITUTE(SUBSTITUTE(SUBSTITUTE(INDEX(PASTE_ALL,$DF67,$L$6)," "," "),CHAR(9)," "),CHAR(10)," "),CHAR(13)," "))),"")))</f>
        <v/>
      </c>
      <c r="DO67">
        <f>IF($DM67=0,"",IF($L$7=0,"",IFERROR(IF(ISNUMBER(INDEX(PASTE_ALL,$DF67,$L$7)),INDEX(PASTE_ALL,$DF67,$L$7),TRIM(SUBSTITUTE(SUBSTITUTE(SUBSTITUTE(SUBSTITUTE(INDEX(PASTE_ALL,$DF67,$L$7)," "," "),CHAR(9)," "),CHAR(10)," "),CHAR(13)," "))),"")))</f>
        <v/>
      </c>
      <c r="DP67">
        <f>IF($DM67=0,"",IF($L$8=0,"",IFERROR(IF(ISNUMBER(INDEX(PASTE_ALL,$DF67,$L$8)),INDEX(PASTE_ALL,$DF67,$L$8),TRIM(SUBSTITUTE(SUBSTITUTE(SUBSTITUTE(SUBSTITUTE(INDEX(PASTE_ALL,$DF67,$L$8)," "," "),CHAR(9)," "),CHAR(10)," "),CHAR(13)," "))),"")))</f>
        <v/>
      </c>
      <c r="DQ67">
        <f>IF($DM67=0,"",IF($L$9=0,"",IFERROR(IF(ISNUMBER(INDEX(PASTE_ALL,$DF67,$L$9)),INDEX(PASTE_ALL,$DF67,$L$9),TRIM(SUBSTITUTE(SUBSTITUTE(SUBSTITUTE(SUBSTITUTE(INDEX(PASTE_ALL,$DF67,$L$9)," "," "),CHAR(9)," "),CHAR(10)," "),CHAR(13)," "))),"")))</f>
        <v/>
      </c>
      <c r="DR67">
        <f>IF($DM67=0,"",IF($L$10=0,"",IFERROR(IF(ISNUMBER(INDEX(PASTE_ALL,$DF67,$L$10)),INDEX(PASTE_ALL,$DF67,$L$10),TRIM(SUBSTITUTE(SUBSTITUTE(SUBSTITUTE(SUBSTITUTE(INDEX(PASTE_ALL,$DF67,$L$10)," "," "),CHAR(9)," "),CHAR(10)," "),CHAR(13)," "))),"")))</f>
        <v/>
      </c>
      <c r="DS67">
        <f>IF($DM67=0,"",IF($L$11=0,"",IFERROR(IF(ISNUMBER(INDEX(PASTE_ALL,$DF67,$L$11)),INDEX(PASTE_ALL,$DF67,$L$11),TRIM(SUBSTITUTE(SUBSTITUTE(SUBSTITUTE(SUBSTITUTE(INDEX(PASTE_ALL,$DF67,$L$11)," "," "),CHAR(9)," "),CHAR(10)," "),CHAR(13)," "))),"")))</f>
        <v/>
      </c>
      <c r="DT67">
        <f>IF($DM67=0,"",IF($L$12=0,"",IFERROR(IF(ISNUMBER(INDEX(PASTE_ALL,$DF67,$L$12)),INDEX(PASTE_ALL,$DF67,$L$12),TRIM(SUBSTITUTE(SUBSTITUTE(SUBSTITUTE(SUBSTITUTE(INDEX(PASTE_ALL,$DF67,$L$12)," "," "),CHAR(9)," "),CHAR(10)," "),CHAR(13)," "))),"")))</f>
        <v/>
      </c>
      <c r="DU67">
        <f>IF($DM67=0,"",IF($L$13=0,"",IFERROR(IF(ISNUMBER(INDEX(PASTE_ALL,$DF67,$L$13)),INDEX(PASTE_ALL,$DF67,$L$13),TRIM(SUBSTITUTE(SUBSTITUTE(SUBSTITUTE(SUBSTITUTE(INDEX(PASTE_ALL,$DF67,$L$13)," "," "),CHAR(9)," "),CHAR(10)," "),CHAR(13)," "))),"")))</f>
        <v/>
      </c>
      <c r="DV67">
        <f>IF($DM67=0,"",IF($L$14=0,"",IFERROR(IF(ISNUMBER(INDEX(PASTE_ALL,$DF67,$L$14)),INDEX(PASTE_ALL,$DF67,$L$14),TRIM(SUBSTITUTE(SUBSTITUTE(SUBSTITUTE(SUBSTITUTE(INDEX(PASTE_ALL,$DF67,$L$14)," "," "),CHAR(9)," "),CHAR(10)," "),CHAR(13)," "))),"")))</f>
        <v/>
      </c>
      <c r="DW67">
        <f>IF($DM67=0,"",IF($L$15=0,"",IFERROR(IF(ISNUMBER(INDEX(PASTE_ALL,$DF67,$L$15)),INDEX(PASTE_ALL,$DF67,$L$15),IF(SUMPRODUCT(--ISNUMBER(FIND({"A","B","C","D","E","F","G","H","I","J","K","L","M","N","O","P","Q","R","S","T","U","V","W","X","Y","Z","0","1","2","3","4","5","6","7","8","9"},UPPER(TRIM(SUBSTITUTE(SUBSTITUTE(SUBSTITUTE(SUBSTITUTE(INDEX(PASTE_ALL,$DF67,$L$15)," "," "),CHAR(9)," "),CHAR(10)," "),CHAR(13)," "))))))&gt;0,TRIM(SUBSTITUTE(SUBSTITUTE(SUBSTITUTE(SUBSTITUTE(INDEX(PASTE_ALL,$DF67,$L$15)," "," "),CHAR(9)," "),CHAR(10)," "),CHAR(13)," ")),"")),"")))</f>
        <v/>
      </c>
      <c r="DX67">
        <f>IF($DM67=0,"",IF($L$16=0,"",IFERROR(IF(ISNUMBER(INDEX(PASTE_ALL,$DF67,$L$16)),INDEX(PASTE_ALL,$DF67,$L$16),SUBSTITUTE(SUBSTITUTE(TRIM(SUBSTITUTE(SUBSTITUTE(SUBSTITUTE(SUBSTITUTE(INDEX(PASTE_ALL,$DF67,$L$16)," "," "),CHAR(9)," "),CHAR(10)," "),CHAR(13)," ")),",",""),"%","")),"")))</f>
        <v/>
      </c>
      <c r="DY67">
        <f>IF($DM67=0,"",IFERROR(IF(ISNUMBER($DX67),$DX67,IF($DX67="","",IF(TRIM($DX67)="",0,IF(AND(AND(SUBSTITUTE(SUBSTITUTE(SUBSTITUTE(SUBSTITUTE(SUBSTITUTE(SUBSTITUTE(SUBSTITUTE(SUBSTITUTE(SUBSTITUTE(SUBSTITUTE(SUBSTITUTE(SUBSTITUTE(SUBSTITUTE(SUBSTITUTE(UPPER(TRIM($DX67)),"0",""),"1",""),"2",""),"3",""),"4",""),"5",""),"6",""),"7",""),"8",""),"9",""),".",""),"+",""),"-",""),"E","")="",LEN(SUBSTITUTE(SUBSTITUTE(MID(UPPER(TRIM($DX67)),1+OR(LEFT(UPPER(TRIM($DX67)),1)="+",LEFT(UPPER(TRIM($DX67)),1)="-"),999),"E+","E"),"E-","E"))=LEN(SUBSTITUTE(SUBSTITUTE(SUBSTITUTE(SUBSTITUTE(MID(UPPER(TRIM($DX67)),1+OR(LEFT(UPPER(TRIM($DX67)),1)="+",LEFT(UPPER(TRIM($DX67)),1)="-"),999),"E+","E"),"E-","E"),"+",""),"-","")),LEN(UPPER(TRIM($DX67)))-LEN(SUBSTITUTE(UPPER(TRIM($DX67)),"E",""))&lt;2,LEN(UPPER(TRIM($DX67)))-LEN(SUBSTITUTE(UPPER(TRIM($DX67)),".",""))&lt;2,IFERROR(FIND(".",UPPER(TRIM($DX67))),0)&lt;IFERROR(FIND("E",UPPER(TRIM($DX67))),999)),ISNUMBER(VALUE(TRIM($DX67)))),VALUE(TRIM($DX67)),"")))),""))</f>
        <v/>
      </c>
      <c r="DZ67">
        <f>IF($DM67=0,"",IF($L$17=0,"",IFERROR(IF(ISNUMBER(INDEX(PASTE_ALL,$DF67,$L$17)),INDEX(PASTE_ALL,$DF67,$L$17),SUBSTITUTE(SUBSTITUTE(TRIM(SUBSTITUTE(SUBSTITUTE(SUBSTITUTE(SUBSTITUTE(INDEX(PASTE_ALL,$DF67,$L$17)," "," "),CHAR(9)," "),CHAR(10)," "),CHAR(13)," ")),",",""),"%","")),"")))</f>
        <v/>
      </c>
      <c r="EA67">
        <f>IF($DM67=0,"",IFERROR(IF(ISNUMBER($DZ67),$DZ67,IF($DZ67="","",IF(TRIM($DZ67)="",0,IF(AND(AND(SUBSTITUTE(SUBSTITUTE(SUBSTITUTE(SUBSTITUTE(SUBSTITUTE(SUBSTITUTE(SUBSTITUTE(SUBSTITUTE(SUBSTITUTE(SUBSTITUTE(SUBSTITUTE(SUBSTITUTE(SUBSTITUTE(SUBSTITUTE(UPPER(TRIM($DZ67)),"0",""),"1",""),"2",""),"3",""),"4",""),"5",""),"6",""),"7",""),"8",""),"9",""),".",""),"+",""),"-",""),"E","")="",LEN(SUBSTITUTE(SUBSTITUTE(MID(UPPER(TRIM($DZ67)),1+OR(LEFT(UPPER(TRIM($DZ67)),1)="+",LEFT(UPPER(TRIM($DZ67)),1)="-"),999),"E+","E"),"E-","E"))=LEN(SUBSTITUTE(SUBSTITUTE(SUBSTITUTE(SUBSTITUTE(MID(UPPER(TRIM($DZ67)),1+OR(LEFT(UPPER(TRIM($DZ67)),1)="+",LEFT(UPPER(TRIM($DZ67)),1)="-"),999),"E+","E"),"E-","E"),"+",""),"-","")),LEN(UPPER(TRIM($DZ67)))-LEN(SUBSTITUTE(UPPER(TRIM($DZ67)),"E",""))&lt;2,LEN(UPPER(TRIM($DZ67)))-LEN(SUBSTITUTE(UPPER(TRIM($DZ67)),".",""))&lt;2,IFERROR(FIND(".",UPPER(TRIM($DZ67))),0)&lt;IFERROR(FIND("E",UPPER(TRIM($DZ67))),999)),ISNUMBER(VALUE(TRIM($DZ67)))),VALUE(TRIM($DZ67)),"")))),""))</f>
        <v/>
      </c>
      <c r="EB67">
        <f>IF($DM67=0,"",IF($L$18=0,"",IFERROR(IF(UPPER(TRIM(SUBSTITUTE(SUBSTITUTE(SUBSTITUTE(SUBSTITUTE(INDEX(PASTE_ALL,$DF67,$L$18)," "," "),CHAR(9)," "),CHAR(10)," "),CHAR(13)," ")))="READY","Ready",IF(UPPER(TRIM(SUBSTITUTE(SUBSTITUTE(SUBSTITUTE(SUBSTITUTE(INDEX(PASTE_ALL,$DF67,$L$18)," "," "),CHAR(9)," "),CHAR(10)," "),CHAR(13)," ")))="PM","PM",IF(OR(UPPER(TRIM(SUBSTITUTE(SUBSTITUTE(SUBSTITUTE(SUBSTITUTE(INDEX(PASTE_ALL,$DF67,$L$18)," "," "),CHAR(9)," "),CHAR(10)," "),CHAR(13)," ")))="OT",UPPER(TRIM(SUBSTITUTE(SUBSTITUTE(SUBSTITUTE(SUBSTITUTE(INDEX(PASTE_ALL,$DF67,$L$18)," "," "),CHAR(9)," "),CHAR(10)," "),CHAR(13)," ")))="OVERTIME",UPPER(TRIM(SUBSTITUTE(SUBSTITUTE(SUBSTITUTE(SUBSTITUTE(INDEX(PASTE_ALL,$DF67,$L$18)," "," "),CHAR(9)," "),CHAR(10)," "),CHAR(13)," ")))="TRIAL"),"OT",TRIM(SUBSTITUTE(SUBSTITUTE(SUBSTITUTE(SUBSTITUTE(INDEX(PASTE_ALL,$DF67,$L$18)," "," "),CHAR(9)," "),CHAR(10)," "),CHAR(13)," "))))),"")))</f>
        <v/>
      </c>
      <c r="EC67">
        <f>IF($DM67=0,"",IF($L$19=0,"",IFERROR(IF(ISNUMBER(INDEX(PASTE_ALL,$DF67,$L$19)),INDEX(PASTE_ALL,$DF67,$L$19),TRIM(SUBSTITUTE(SUBSTITUTE(SUBSTITUTE(SUBSTITUTE(INDEX(PASTE_ALL,$DF67,$L$19)," "," "),CHAR(9)," "),CHAR(10)," "),CHAR(13)," "))),"")))</f>
        <v/>
      </c>
      <c r="ED67">
        <f>IF($DM67=0,"",MATCH(1,INDEX(EXACT($DH$5:DH67,$DH67)*$DM$5:DM67,0),0))</f>
        <v/>
      </c>
      <c r="EE67">
        <f>IF($DM67=0,0,IF($ED67=$DE67,1,0))</f>
        <v/>
      </c>
      <c r="EF67">
        <f>EF66+$EE67</f>
        <v/>
      </c>
      <c r="EG67">
        <f>IF($DM67=0,"",INDEX($EF$5:$EF$1003,$ED67))</f>
        <v/>
      </c>
      <c r="EH67">
        <f>IF($DM67=0,"",IF($DO67&lt;&gt;"","",IFERROR(LOOKUP(2,1/(($EG$4:EG66=$EG67)*($DO$4:DO66&lt;&gt;"")),$DO$4:DO66),"")))</f>
        <v/>
      </c>
      <c r="EI67">
        <f>IF($DM67=0,"",IF($DO67&lt;&gt;"",$DO67,$EH67))</f>
        <v/>
      </c>
      <c r="EJ67">
        <f>IF($DM67=0,"",IF($EI67="",0,IF(OR(ISNUMBER($EI67),AND(AND(SUBSTITUTE(SUBSTITUTE(SUBSTITUTE(SUBSTITUTE(SUBSTITUTE(SUBSTITUTE(SUBSTITUTE(SUBSTITUTE(SUBSTITUTE(SUBSTITUTE(SUBSTITUTE(SUBSTITUTE(SUBSTITUTE(SUBSTITUTE(UPPER($EI67),"0",""),"1",""),"2",""),"3",""),"4",""),"5",""),"6",""),"7",""),"8",""),"9",""),".",""),"+",""),"-",""),"E","")="",LEN(SUBSTITUTE(SUBSTITUTE(MID(UPPER($EI67),1+OR(LEFT(UPPER($EI67),1)="+",LEFT(UPPER($EI67),1)="-"),999),"E+","E"),"E-","E"))=LEN(SUBSTITUTE(SUBSTITUTE(SUBSTITUTE(SUBSTITUTE(MID(UPPER($EI67),1+OR(LEFT(UPPER($EI67),1)="+",LEFT(UPPER($EI67),1)="-"),999),"E+","E"),"E-","E"),"+",""),"-","")),LEN(UPPER($EI67))-LEN(SUBSTITUTE(UPPER($EI67),"E",""))&lt;2,LEN(UPPER($EI67))-LEN(SUBSTITUTE(UPPER($EI67),".",""))&lt;2,IFERROR(FIND(".",UPPER($EI67)),0)&lt;IFERROR(FIND("E",UPPER($EI67)),999)),ISNUMBER(VALUE($EI67)))),1,2)))</f>
        <v/>
      </c>
      <c r="EK67">
        <f>IF($DM67=0,"",IF($EJ67=1,IF(ISNUMBER($EI67),$EI67,VALUE($EI67)),IF($EJ67=2,$DE67,0)))</f>
        <v/>
      </c>
      <c r="EL67">
        <f>IF($DM67=0,"",COUNTIF($EG$5:$EG$1003,"&lt;"&amp;$EG67)+SUMPRODUCT(($EG$5:$EG$1003=$EG67)*(($EJ$5:$EJ$1003&lt;$EJ67)+($EJ$5:$EJ$1003=$EJ67)*(($EK$5:$EK$1003&lt;$EK67)+($EK$5:$EK$1003=$EK67)*($DE$5:$DE$1003&lt;$DE67))))+1)</f>
        <v/>
      </c>
      <c r="EM67">
        <f>IF($DM67=0,"",$EL67+$EG67-1)</f>
        <v/>
      </c>
      <c r="EN67">
        <f>IF($DM67=0,0,IFERROR(MATCH(1,INDEX(--(TRIM(SUBSTITUTE(SUBSTITUTE(SUBSTITUTE(SUBSTITUTE(LINES_NAME&amp;""," "," "),CHAR(9)," "),CHAR(10)," "),CHAR(13)," "))=$DH67),0),0),0))</f>
        <v/>
      </c>
      <c r="EO67">
        <f>IF($EN67=0,0,IF(OR(UPPER(TRIM(INDEX(LINES_SCHEDULED,$EN67)&amp;""))="YES",UPPER(TRIM(INDEX(LINES_SCHEDULED,$EN67)&amp;""))="Y",UPPER(TRIM(INDEX(LINES_SCHEDULED,$EN67)&amp;""))="X"),1,0))</f>
        <v/>
      </c>
      <c r="EP67">
        <f>IF($DM67=0,"",IF(COUNTIFS($EG$5:$EG$1003,$EG67,$EB$5:$EB$1003,"Ready")&gt;0,"READY",IF(COUNTIFS($EG$5:$EG$1003,$EG67,$EB$5:$EB$1003,"PM")&gt;0,"PM",IF(COUNTIFS($EG$5:$EG$1003,$EG67,$EB$5:$EB$1003,"OT")&gt;0,"OT",""))))</f>
        <v/>
      </c>
      <c r="EQ67">
        <f>IF($EN67=0,"",UPPER(TRIM(INDEX(LINES_STATUS,$EN67)&amp;"")))</f>
        <v/>
      </c>
      <c r="ER67">
        <f>IF($DM67=0,"",IF(OR($EQ67="READY",$EQ67="PM",$EQ67="OT"),$EQ67,$EP67))</f>
        <v/>
      </c>
      <c r="ES67">
        <f>IF($DM67=0,"",IF(AND($DV67&lt;&gt;"",UPPER($DV67)&lt;&gt;"N"),"allergen",IF(ISNUMBER(SEARCH("oil",$DQ67)),"oil",IF(OR(EXACT($DS67,"A662"),EXACT($DS67,"A624")),"bulk",""))))</f>
        <v/>
      </c>
      <c r="ET67">
        <f>IF($DM67=0,"",IF(OR($EA67="",$EA67=0),"",$EA67/100))</f>
        <v/>
      </c>
      <c r="EU67">
        <f>IF(OR($ET67="",$DY67=""),"",INT($DY67*(1-$ET67)+0.5))</f>
        <v/>
      </c>
      <c r="EW67" t="n">
        <v>63</v>
      </c>
      <c r="EX67">
        <f>IFERROR(MATCH($EW67,$EM$5:$EM$1003,0),0)</f>
        <v/>
      </c>
      <c r="EY67">
        <f>IF($EW67&gt;$B$12,"",IF($EX67&gt;0,"row","spacer"))</f>
        <v/>
      </c>
      <c r="EZ67">
        <f>IF(AND($EY67="row",$EY66&lt;&gt;"row"),1,0)</f>
        <v/>
      </c>
      <c r="FA67">
        <f>IF(AND($EY67="row",$EY68&lt;&gt;"row"),1,0)</f>
        <v/>
      </c>
      <c r="FB67">
        <f>IF($EZ67=1,IFERROR(IF(ISNUMBER(INDEX(PASTE_ALL,INDEX($DF$5:$DF$1003,$EX67),$B$37)),INDEX(PASTE_ALL,INDEX($DF$5:$DF$1003,$EX67),$B$37),INDEX($DH$5:$DH$1003,$EX67)),INDEX($DH$5:$DH$1003,$EX67)),"")</f>
        <v/>
      </c>
      <c r="FC67">
        <f>IF($EY67="row",INDEX($ER$5:$ER$1003,$EX67),"")</f>
        <v/>
      </c>
      <c r="FD67">
        <f>IF($EY67="row",INDEX($DN$5:$DN$1003,$EX67),"")</f>
        <v/>
      </c>
      <c r="FE67">
        <f>IF($EY67="row",INDEX($DO$5:$DO$1003,$EX67),"")</f>
        <v/>
      </c>
      <c r="FF67">
        <f>IF($EY67="row",INDEX($DP$5:$DP$1003,$EX67),"")</f>
        <v/>
      </c>
      <c r="FG67">
        <f>IF($EY67="row",INDEX($DQ$5:$DQ$1003,$EX67),"")</f>
        <v/>
      </c>
      <c r="FH67">
        <f>IF($EY67="row",INDEX($DR$5:$DR$1003,$EX67),"")</f>
        <v/>
      </c>
      <c r="FI67">
        <f>IF($EY67="row",INDEX($DS$5:$DS$1003,$EX67),"")</f>
        <v/>
      </c>
      <c r="FJ67">
        <f>IF($EY67="row",INDEX($DT$5:$DT$1003,$EX67),"")</f>
        <v/>
      </c>
      <c r="FK67">
        <f>IF($EY67="row",INDEX($DU$5:$DU$1003,$EX67),"")</f>
        <v/>
      </c>
      <c r="FL67">
        <f>IF($EY67="row",INDEX($DV$5:$DV$1003,$EX67),"")</f>
        <v/>
      </c>
      <c r="FM67">
        <f>IF($EY67="row",INDEX($DW$5:$DW$1003,$EX67),"")</f>
        <v/>
      </c>
      <c r="FN67">
        <f>IF($EY67="row",INDEX($DY$5:$DY$1003,$EX67),"")</f>
        <v/>
      </c>
      <c r="FO67">
        <f>IF($EY67="row",INDEX($EA$5:$EA$1003,$EX67),"")</f>
        <v/>
      </c>
      <c r="FP67">
        <f>IF($EY67="row",INDEX($EC$5:$EC$1003,$EX67),"")</f>
        <v/>
      </c>
      <c r="FQ67">
        <f>IF($EY67="row",INDEX($ET$5:$ET$1003,$EX67),"")</f>
        <v/>
      </c>
      <c r="FR67">
        <f>IF($EY67="row",INDEX($EU$5:$EU$1003,$EX67),"")</f>
        <v/>
      </c>
      <c r="FS67">
        <f>IF(AND($EY67="row",$EY66="row"),IF(OR(INDEX($DT$5:$DT$1003,$EX66)="",INDEX($DT$5:$DT$1003,$EX67)=""),"",IF(NOT(EXACT(INDEX($DT$5:$DT$1003,$EX66),INDEX($DT$5:$DT$1003,$EX67))),"S4",IF(NOT(EXACT(INDEX($DS$5:$DS$1003,$EX66),INDEX($DS$5:$DS$1003,$EX67))),"S3",IF(NOT(EXACT(INDEX($DR$5:$DR$1003,$EX66),INDEX($DR$5:$DR$1003,$EX67))),"S1 Count Change","S1")))),"")</f>
        <v/>
      </c>
      <c r="FT67">
        <f>IF($EY67="row",INDEX($ES$5:$ES$1003,$EX67),"")</f>
        <v/>
      </c>
      <c r="FU67">
        <f>IF($EY67="row",INDEX($EO$5:$EO$1003,$EX67),0)</f>
        <v/>
      </c>
      <c r="FV67">
        <f>IF($FS67="S1 Count Change",1,0)</f>
        <v/>
      </c>
      <c r="FX67" t="n">
        <v>63</v>
      </c>
      <c r="FY67">
        <f>IFERROR(MATCH($FX67,$EF$5:$EF$1003,0),0)</f>
        <v/>
      </c>
      <c r="FZ67">
        <f>IF($FY67=0,"",INDEX($DH$5:$DH$1003,$FY67))</f>
        <v/>
      </c>
      <c r="GA67">
        <f>IF($FY67=0,"",COUNTIF($EG$5:$EG$1003,$FX67))</f>
        <v/>
      </c>
      <c r="GB67">
        <f>IF($FY67=0,"",INDEX($ER$5:$ER$1003,$FY67))</f>
        <v/>
      </c>
      <c r="GC67">
        <f>IF($FY67=0,"",IF(INDEX($EO$5:$EO$1003,$FY67)=1,"Yes",""))</f>
        <v/>
      </c>
      <c r="GD67">
        <f>IF($FY67=0,"",IF(INDEX($EN$5:$EN$1003,$FY67)&gt;0,"","NOT IN YOUR LIST - type it in column A to tick it"))</f>
        <v/>
      </c>
      <c r="GE67">
        <f>IF(AND($FY67&gt;0,$GD67&lt;&gt;""),1,0)</f>
        <v/>
      </c>
      <c r="GF67">
        <f>GF66+$GE67</f>
        <v/>
      </c>
      <c r="GG67">
        <f>IFERROR(INDEX($FZ$5:$FZ$104,MATCH($FX67,$GF$5:$GF$104,0)),"")</f>
        <v/>
      </c>
    </row>
    <row r="68">
      <c r="V68" t="inlineStr">
        <is>
          <t>COMMENT</t>
        </is>
      </c>
      <c r="W68" t="n">
        <v>11</v>
      </c>
      <c r="Y68">
        <f>IFERROR(IF(ISNUMBER(INDEX(PASTE_ALL,19,1)),2,IF(TRIM(INDEX(PASTE_ALL,19,1))="",0,IF(AND(LEFT(MID(TRIM(INDEX(PASTE_ALL,19,1)),1+(LEFT(TRIM(INDEX(PASTE_ALL,19,1)),1)="-"),999),LEN(MID(TRIM(INDEX(PASTE_ALL,19,1)),1+(LEFT(TRIM(INDEX(PASTE_ALL,19,1)),1)="-"),999))-(RIGHT(MID(TRIM(INDEX(PASTE_ALL,19,1)),1+(LEFT(TRIM(INDEX(PASTE_ALL,19,1)),1)="-"),999),1)="%"))&lt;&gt;"",SUBSTITUTE(SUBSTITUTE(SUBSTITUTE(SUBSTITUTE(SUBSTITUTE(SUBSTITUTE(SUBSTITUTE(SUBSTITUTE(SUBSTITUTE(SUBSTITUTE(SUBSTITUTE(SUBSTITUTE(LEFT(MID(TRIM(INDEX(PASTE_ALL,19,1)),1+(LEFT(TRIM(INDEX(PASTE_ALL,19,1)),1)="-"),999),LEN(MID(TRIM(INDEX(PASTE_ALL,19,1)),1+(LEFT(TRIM(INDEX(PASTE_ALL,19,1)),1)="-"),999))-(RIGHT(MID(TRIM(INDEX(PASTE_ALL,19,1)),1+(LEFT(TRIM(INDEX(PASTE_ALL,19,1)),1)="-"),999),1)="%")),"0",""),"1",""),"2",""),"3",""),"4",""),"5",""),"6",""),"7",""),"8",""),"9",""),".",""),",","")=""),2,1))),1)</f>
        <v/>
      </c>
      <c r="Z68">
        <f>IFERROR(IF(ISNUMBER(INDEX(PASTE_ALL,19,2)),2,IF(TRIM(INDEX(PASTE_ALL,19,2))="",0,IF(AND(LEFT(MID(TRIM(INDEX(PASTE_ALL,19,2)),1+(LEFT(TRIM(INDEX(PASTE_ALL,19,2)),1)="-"),999),LEN(MID(TRIM(INDEX(PASTE_ALL,19,2)),1+(LEFT(TRIM(INDEX(PASTE_ALL,19,2)),1)="-"),999))-(RIGHT(MID(TRIM(INDEX(PASTE_ALL,19,2)),1+(LEFT(TRIM(INDEX(PASTE_ALL,19,2)),1)="-"),999),1)="%"))&lt;&gt;"",SUBSTITUTE(SUBSTITUTE(SUBSTITUTE(SUBSTITUTE(SUBSTITUTE(SUBSTITUTE(SUBSTITUTE(SUBSTITUTE(SUBSTITUTE(SUBSTITUTE(SUBSTITUTE(SUBSTITUTE(LEFT(MID(TRIM(INDEX(PASTE_ALL,19,2)),1+(LEFT(TRIM(INDEX(PASTE_ALL,19,2)),1)="-"),999),LEN(MID(TRIM(INDEX(PASTE_ALL,19,2)),1+(LEFT(TRIM(INDEX(PASTE_ALL,19,2)),1)="-"),999))-(RIGHT(MID(TRIM(INDEX(PASTE_ALL,19,2)),1+(LEFT(TRIM(INDEX(PASTE_ALL,19,2)),1)="-"),999),1)="%")),"0",""),"1",""),"2",""),"3",""),"4",""),"5",""),"6",""),"7",""),"8",""),"9",""),".",""),",","")=""),2,1))),1)</f>
        <v/>
      </c>
      <c r="AA68">
        <f>IFERROR(IF(ISNUMBER(INDEX(PASTE_ALL,19,3)),2,IF(TRIM(INDEX(PASTE_ALL,19,3))="",0,IF(AND(LEFT(MID(TRIM(INDEX(PASTE_ALL,19,3)),1+(LEFT(TRIM(INDEX(PASTE_ALL,19,3)),1)="-"),999),LEN(MID(TRIM(INDEX(PASTE_ALL,19,3)),1+(LEFT(TRIM(INDEX(PASTE_ALL,19,3)),1)="-"),999))-(RIGHT(MID(TRIM(INDEX(PASTE_ALL,19,3)),1+(LEFT(TRIM(INDEX(PASTE_ALL,19,3)),1)="-"),999),1)="%"))&lt;&gt;"",SUBSTITUTE(SUBSTITUTE(SUBSTITUTE(SUBSTITUTE(SUBSTITUTE(SUBSTITUTE(SUBSTITUTE(SUBSTITUTE(SUBSTITUTE(SUBSTITUTE(SUBSTITUTE(SUBSTITUTE(LEFT(MID(TRIM(INDEX(PASTE_ALL,19,3)),1+(LEFT(TRIM(INDEX(PASTE_ALL,19,3)),1)="-"),999),LEN(MID(TRIM(INDEX(PASTE_ALL,19,3)),1+(LEFT(TRIM(INDEX(PASTE_ALL,19,3)),1)="-"),999))-(RIGHT(MID(TRIM(INDEX(PASTE_ALL,19,3)),1+(LEFT(TRIM(INDEX(PASTE_ALL,19,3)),1)="-"),999),1)="%")),"0",""),"1",""),"2",""),"3",""),"4",""),"5",""),"6",""),"7",""),"8",""),"9",""),".",""),",","")=""),2,1))),1)</f>
        <v/>
      </c>
      <c r="AB68">
        <f>IFERROR(IF(ISNUMBER(INDEX(PASTE_ALL,19,4)),2,IF(TRIM(INDEX(PASTE_ALL,19,4))="",0,IF(AND(LEFT(MID(TRIM(INDEX(PASTE_ALL,19,4)),1+(LEFT(TRIM(INDEX(PASTE_ALL,19,4)),1)="-"),999),LEN(MID(TRIM(INDEX(PASTE_ALL,19,4)),1+(LEFT(TRIM(INDEX(PASTE_ALL,19,4)),1)="-"),999))-(RIGHT(MID(TRIM(INDEX(PASTE_ALL,19,4)),1+(LEFT(TRIM(INDEX(PASTE_ALL,19,4)),1)="-"),999),1)="%"))&lt;&gt;"",SUBSTITUTE(SUBSTITUTE(SUBSTITUTE(SUBSTITUTE(SUBSTITUTE(SUBSTITUTE(SUBSTITUTE(SUBSTITUTE(SUBSTITUTE(SUBSTITUTE(SUBSTITUTE(SUBSTITUTE(LEFT(MID(TRIM(INDEX(PASTE_ALL,19,4)),1+(LEFT(TRIM(INDEX(PASTE_ALL,19,4)),1)="-"),999),LEN(MID(TRIM(INDEX(PASTE_ALL,19,4)),1+(LEFT(TRIM(INDEX(PASTE_ALL,19,4)),1)="-"),999))-(RIGHT(MID(TRIM(INDEX(PASTE_ALL,19,4)),1+(LEFT(TRIM(INDEX(PASTE_ALL,19,4)),1)="-"),999),1)="%")),"0",""),"1",""),"2",""),"3",""),"4",""),"5",""),"6",""),"7",""),"8",""),"9",""),".",""),",","")=""),2,1))),1)</f>
        <v/>
      </c>
      <c r="AC68">
        <f>IFERROR(IF(ISNUMBER(INDEX(PASTE_ALL,19,5)),2,IF(TRIM(INDEX(PASTE_ALL,19,5))="",0,IF(AND(LEFT(MID(TRIM(INDEX(PASTE_ALL,19,5)),1+(LEFT(TRIM(INDEX(PASTE_ALL,19,5)),1)="-"),999),LEN(MID(TRIM(INDEX(PASTE_ALL,19,5)),1+(LEFT(TRIM(INDEX(PASTE_ALL,19,5)),1)="-"),999))-(RIGHT(MID(TRIM(INDEX(PASTE_ALL,19,5)),1+(LEFT(TRIM(INDEX(PASTE_ALL,19,5)),1)="-"),999),1)="%"))&lt;&gt;"",SUBSTITUTE(SUBSTITUTE(SUBSTITUTE(SUBSTITUTE(SUBSTITUTE(SUBSTITUTE(SUBSTITUTE(SUBSTITUTE(SUBSTITUTE(SUBSTITUTE(SUBSTITUTE(SUBSTITUTE(LEFT(MID(TRIM(INDEX(PASTE_ALL,19,5)),1+(LEFT(TRIM(INDEX(PASTE_ALL,19,5)),1)="-"),999),LEN(MID(TRIM(INDEX(PASTE_ALL,19,5)),1+(LEFT(TRIM(INDEX(PASTE_ALL,19,5)),1)="-"),999))-(RIGHT(MID(TRIM(INDEX(PASTE_ALL,19,5)),1+(LEFT(TRIM(INDEX(PASTE_ALL,19,5)),1)="-"),999),1)="%")),"0",""),"1",""),"2",""),"3",""),"4",""),"5",""),"6",""),"7",""),"8",""),"9",""),".",""),",","")=""),2,1))),1)</f>
        <v/>
      </c>
      <c r="AD68">
        <f>IFERROR(IF(ISNUMBER(INDEX(PASTE_ALL,19,6)),2,IF(TRIM(INDEX(PASTE_ALL,19,6))="",0,IF(AND(LEFT(MID(TRIM(INDEX(PASTE_ALL,19,6)),1+(LEFT(TRIM(INDEX(PASTE_ALL,19,6)),1)="-"),999),LEN(MID(TRIM(INDEX(PASTE_ALL,19,6)),1+(LEFT(TRIM(INDEX(PASTE_ALL,19,6)),1)="-"),999))-(RIGHT(MID(TRIM(INDEX(PASTE_ALL,19,6)),1+(LEFT(TRIM(INDEX(PASTE_ALL,19,6)),1)="-"),999),1)="%"))&lt;&gt;"",SUBSTITUTE(SUBSTITUTE(SUBSTITUTE(SUBSTITUTE(SUBSTITUTE(SUBSTITUTE(SUBSTITUTE(SUBSTITUTE(SUBSTITUTE(SUBSTITUTE(SUBSTITUTE(SUBSTITUTE(LEFT(MID(TRIM(INDEX(PASTE_ALL,19,6)),1+(LEFT(TRIM(INDEX(PASTE_ALL,19,6)),1)="-"),999),LEN(MID(TRIM(INDEX(PASTE_ALL,19,6)),1+(LEFT(TRIM(INDEX(PASTE_ALL,19,6)),1)="-"),999))-(RIGHT(MID(TRIM(INDEX(PASTE_ALL,19,6)),1+(LEFT(TRIM(INDEX(PASTE_ALL,19,6)),1)="-"),999),1)="%")),"0",""),"1",""),"2",""),"3",""),"4",""),"5",""),"6",""),"7",""),"8",""),"9",""),".",""),",","")=""),2,1))),1)</f>
        <v/>
      </c>
      <c r="AE68">
        <f>IFERROR(IF(ISNUMBER(INDEX(PASTE_ALL,19,7)),2,IF(TRIM(INDEX(PASTE_ALL,19,7))="",0,IF(AND(LEFT(MID(TRIM(INDEX(PASTE_ALL,19,7)),1+(LEFT(TRIM(INDEX(PASTE_ALL,19,7)),1)="-"),999),LEN(MID(TRIM(INDEX(PASTE_ALL,19,7)),1+(LEFT(TRIM(INDEX(PASTE_ALL,19,7)),1)="-"),999))-(RIGHT(MID(TRIM(INDEX(PASTE_ALL,19,7)),1+(LEFT(TRIM(INDEX(PASTE_ALL,19,7)),1)="-"),999),1)="%"))&lt;&gt;"",SUBSTITUTE(SUBSTITUTE(SUBSTITUTE(SUBSTITUTE(SUBSTITUTE(SUBSTITUTE(SUBSTITUTE(SUBSTITUTE(SUBSTITUTE(SUBSTITUTE(SUBSTITUTE(SUBSTITUTE(LEFT(MID(TRIM(INDEX(PASTE_ALL,19,7)),1+(LEFT(TRIM(INDEX(PASTE_ALL,19,7)),1)="-"),999),LEN(MID(TRIM(INDEX(PASTE_ALL,19,7)),1+(LEFT(TRIM(INDEX(PASTE_ALL,19,7)),1)="-"),999))-(RIGHT(MID(TRIM(INDEX(PASTE_ALL,19,7)),1+(LEFT(TRIM(INDEX(PASTE_ALL,19,7)),1)="-"),999),1)="%")),"0",""),"1",""),"2",""),"3",""),"4",""),"5",""),"6",""),"7",""),"8",""),"9",""),".",""),",","")=""),2,1))),1)</f>
        <v/>
      </c>
      <c r="AF68">
        <f>IFERROR(IF(ISNUMBER(INDEX(PASTE_ALL,19,8)),2,IF(TRIM(INDEX(PASTE_ALL,19,8))="",0,IF(AND(LEFT(MID(TRIM(INDEX(PASTE_ALL,19,8)),1+(LEFT(TRIM(INDEX(PASTE_ALL,19,8)),1)="-"),999),LEN(MID(TRIM(INDEX(PASTE_ALL,19,8)),1+(LEFT(TRIM(INDEX(PASTE_ALL,19,8)),1)="-"),999))-(RIGHT(MID(TRIM(INDEX(PASTE_ALL,19,8)),1+(LEFT(TRIM(INDEX(PASTE_ALL,19,8)),1)="-"),999),1)="%"))&lt;&gt;"",SUBSTITUTE(SUBSTITUTE(SUBSTITUTE(SUBSTITUTE(SUBSTITUTE(SUBSTITUTE(SUBSTITUTE(SUBSTITUTE(SUBSTITUTE(SUBSTITUTE(SUBSTITUTE(SUBSTITUTE(LEFT(MID(TRIM(INDEX(PASTE_ALL,19,8)),1+(LEFT(TRIM(INDEX(PASTE_ALL,19,8)),1)="-"),999),LEN(MID(TRIM(INDEX(PASTE_ALL,19,8)),1+(LEFT(TRIM(INDEX(PASTE_ALL,19,8)),1)="-"),999))-(RIGHT(MID(TRIM(INDEX(PASTE_ALL,19,8)),1+(LEFT(TRIM(INDEX(PASTE_ALL,19,8)),1)="-"),999),1)="%")),"0",""),"1",""),"2",""),"3",""),"4",""),"5",""),"6",""),"7",""),"8",""),"9",""),".",""),",","")=""),2,1))),1)</f>
        <v/>
      </c>
      <c r="AG68">
        <f>IFERROR(IF(ISNUMBER(INDEX(PASTE_ALL,19,9)),2,IF(TRIM(INDEX(PASTE_ALL,19,9))="",0,IF(AND(LEFT(MID(TRIM(INDEX(PASTE_ALL,19,9)),1+(LEFT(TRIM(INDEX(PASTE_ALL,19,9)),1)="-"),999),LEN(MID(TRIM(INDEX(PASTE_ALL,19,9)),1+(LEFT(TRIM(INDEX(PASTE_ALL,19,9)),1)="-"),999))-(RIGHT(MID(TRIM(INDEX(PASTE_ALL,19,9)),1+(LEFT(TRIM(INDEX(PASTE_ALL,19,9)),1)="-"),999),1)="%"))&lt;&gt;"",SUBSTITUTE(SUBSTITUTE(SUBSTITUTE(SUBSTITUTE(SUBSTITUTE(SUBSTITUTE(SUBSTITUTE(SUBSTITUTE(SUBSTITUTE(SUBSTITUTE(SUBSTITUTE(SUBSTITUTE(LEFT(MID(TRIM(INDEX(PASTE_ALL,19,9)),1+(LEFT(TRIM(INDEX(PASTE_ALL,19,9)),1)="-"),999),LEN(MID(TRIM(INDEX(PASTE_ALL,19,9)),1+(LEFT(TRIM(INDEX(PASTE_ALL,19,9)),1)="-"),999))-(RIGHT(MID(TRIM(INDEX(PASTE_ALL,19,9)),1+(LEFT(TRIM(INDEX(PASTE_ALL,19,9)),1)="-"),999),1)="%")),"0",""),"1",""),"2",""),"3",""),"4",""),"5",""),"6",""),"7",""),"8",""),"9",""),".",""),",","")=""),2,1))),1)</f>
        <v/>
      </c>
      <c r="AH68">
        <f>IFERROR(IF(ISNUMBER(INDEX(PASTE_ALL,19,10)),2,IF(TRIM(INDEX(PASTE_ALL,19,10))="",0,IF(AND(LEFT(MID(TRIM(INDEX(PASTE_ALL,19,10)),1+(LEFT(TRIM(INDEX(PASTE_ALL,19,10)),1)="-"),999),LEN(MID(TRIM(INDEX(PASTE_ALL,19,10)),1+(LEFT(TRIM(INDEX(PASTE_ALL,19,10)),1)="-"),999))-(RIGHT(MID(TRIM(INDEX(PASTE_ALL,19,10)),1+(LEFT(TRIM(INDEX(PASTE_ALL,19,10)),1)="-"),999),1)="%"))&lt;&gt;"",SUBSTITUTE(SUBSTITUTE(SUBSTITUTE(SUBSTITUTE(SUBSTITUTE(SUBSTITUTE(SUBSTITUTE(SUBSTITUTE(SUBSTITUTE(SUBSTITUTE(SUBSTITUTE(SUBSTITUTE(LEFT(MID(TRIM(INDEX(PASTE_ALL,19,10)),1+(LEFT(TRIM(INDEX(PASTE_ALL,19,10)),1)="-"),999),LEN(MID(TRIM(INDEX(PASTE_ALL,19,10)),1+(LEFT(TRIM(INDEX(PASTE_ALL,19,10)),1)="-"),999))-(RIGHT(MID(TRIM(INDEX(PASTE_ALL,19,10)),1+(LEFT(TRIM(INDEX(PASTE_ALL,19,10)),1)="-"),999),1)="%")),"0",""),"1",""),"2",""),"3",""),"4",""),"5",""),"6",""),"7",""),"8",""),"9",""),".",""),",","")=""),2,1))),1)</f>
        <v/>
      </c>
      <c r="AI68">
        <f>IFERROR(IF(ISNUMBER(INDEX(PASTE_ALL,19,11)),2,IF(TRIM(INDEX(PASTE_ALL,19,11))="",0,IF(AND(LEFT(MID(TRIM(INDEX(PASTE_ALL,19,11)),1+(LEFT(TRIM(INDEX(PASTE_ALL,19,11)),1)="-"),999),LEN(MID(TRIM(INDEX(PASTE_ALL,19,11)),1+(LEFT(TRIM(INDEX(PASTE_ALL,19,11)),1)="-"),999))-(RIGHT(MID(TRIM(INDEX(PASTE_ALL,19,11)),1+(LEFT(TRIM(INDEX(PASTE_ALL,19,11)),1)="-"),999),1)="%"))&lt;&gt;"",SUBSTITUTE(SUBSTITUTE(SUBSTITUTE(SUBSTITUTE(SUBSTITUTE(SUBSTITUTE(SUBSTITUTE(SUBSTITUTE(SUBSTITUTE(SUBSTITUTE(SUBSTITUTE(SUBSTITUTE(LEFT(MID(TRIM(INDEX(PASTE_ALL,19,11)),1+(LEFT(TRIM(INDEX(PASTE_ALL,19,11)),1)="-"),999),LEN(MID(TRIM(INDEX(PASTE_ALL,19,11)),1+(LEFT(TRIM(INDEX(PASTE_ALL,19,11)),1)="-"),999))-(RIGHT(MID(TRIM(INDEX(PASTE_ALL,19,11)),1+(LEFT(TRIM(INDEX(PASTE_ALL,19,11)),1)="-"),999),1)="%")),"0",""),"1",""),"2",""),"3",""),"4",""),"5",""),"6",""),"7",""),"8",""),"9",""),".",""),",","")=""),2,1))),1)</f>
        <v/>
      </c>
      <c r="AJ68">
        <f>IFERROR(IF(ISNUMBER(INDEX(PASTE_ALL,19,12)),2,IF(TRIM(INDEX(PASTE_ALL,19,12))="",0,IF(AND(LEFT(MID(TRIM(INDEX(PASTE_ALL,19,12)),1+(LEFT(TRIM(INDEX(PASTE_ALL,19,12)),1)="-"),999),LEN(MID(TRIM(INDEX(PASTE_ALL,19,12)),1+(LEFT(TRIM(INDEX(PASTE_ALL,19,12)),1)="-"),999))-(RIGHT(MID(TRIM(INDEX(PASTE_ALL,19,12)),1+(LEFT(TRIM(INDEX(PASTE_ALL,19,12)),1)="-"),999),1)="%"))&lt;&gt;"",SUBSTITUTE(SUBSTITUTE(SUBSTITUTE(SUBSTITUTE(SUBSTITUTE(SUBSTITUTE(SUBSTITUTE(SUBSTITUTE(SUBSTITUTE(SUBSTITUTE(SUBSTITUTE(SUBSTITUTE(LEFT(MID(TRIM(INDEX(PASTE_ALL,19,12)),1+(LEFT(TRIM(INDEX(PASTE_ALL,19,12)),1)="-"),999),LEN(MID(TRIM(INDEX(PASTE_ALL,19,12)),1+(LEFT(TRIM(INDEX(PASTE_ALL,19,12)),1)="-"),999))-(RIGHT(MID(TRIM(INDEX(PASTE_ALL,19,12)),1+(LEFT(TRIM(INDEX(PASTE_ALL,19,12)),1)="-"),999),1)="%")),"0",""),"1",""),"2",""),"3",""),"4",""),"5",""),"6",""),"7",""),"8",""),"9",""),".",""),",","")=""),2,1))),1)</f>
        <v/>
      </c>
      <c r="AK68">
        <f>IFERROR(IF(ISNUMBER(INDEX(PASTE_ALL,19,13)),2,IF(TRIM(INDEX(PASTE_ALL,19,13))="",0,IF(AND(LEFT(MID(TRIM(INDEX(PASTE_ALL,19,13)),1+(LEFT(TRIM(INDEX(PASTE_ALL,19,13)),1)="-"),999),LEN(MID(TRIM(INDEX(PASTE_ALL,19,13)),1+(LEFT(TRIM(INDEX(PASTE_ALL,19,13)),1)="-"),999))-(RIGHT(MID(TRIM(INDEX(PASTE_ALL,19,13)),1+(LEFT(TRIM(INDEX(PASTE_ALL,19,13)),1)="-"),999),1)="%"))&lt;&gt;"",SUBSTITUTE(SUBSTITUTE(SUBSTITUTE(SUBSTITUTE(SUBSTITUTE(SUBSTITUTE(SUBSTITUTE(SUBSTITUTE(SUBSTITUTE(SUBSTITUTE(SUBSTITUTE(SUBSTITUTE(LEFT(MID(TRIM(INDEX(PASTE_ALL,19,13)),1+(LEFT(TRIM(INDEX(PASTE_ALL,19,13)),1)="-"),999),LEN(MID(TRIM(INDEX(PASTE_ALL,19,13)),1+(LEFT(TRIM(INDEX(PASTE_ALL,19,13)),1)="-"),999))-(RIGHT(MID(TRIM(INDEX(PASTE_ALL,19,13)),1+(LEFT(TRIM(INDEX(PASTE_ALL,19,13)),1)="-"),999),1)="%")),"0",""),"1",""),"2",""),"3",""),"4",""),"5",""),"6",""),"7",""),"8",""),"9",""),".",""),",","")=""),2,1))),1)</f>
        <v/>
      </c>
      <c r="AL68">
        <f>IFERROR(IF(ISNUMBER(INDEX(PASTE_ALL,19,14)),2,IF(TRIM(INDEX(PASTE_ALL,19,14))="",0,IF(AND(LEFT(MID(TRIM(INDEX(PASTE_ALL,19,14)),1+(LEFT(TRIM(INDEX(PASTE_ALL,19,14)),1)="-"),999),LEN(MID(TRIM(INDEX(PASTE_ALL,19,14)),1+(LEFT(TRIM(INDEX(PASTE_ALL,19,14)),1)="-"),999))-(RIGHT(MID(TRIM(INDEX(PASTE_ALL,19,14)),1+(LEFT(TRIM(INDEX(PASTE_ALL,19,14)),1)="-"),999),1)="%"))&lt;&gt;"",SUBSTITUTE(SUBSTITUTE(SUBSTITUTE(SUBSTITUTE(SUBSTITUTE(SUBSTITUTE(SUBSTITUTE(SUBSTITUTE(SUBSTITUTE(SUBSTITUTE(SUBSTITUTE(SUBSTITUTE(LEFT(MID(TRIM(INDEX(PASTE_ALL,19,14)),1+(LEFT(TRIM(INDEX(PASTE_ALL,19,14)),1)="-"),999),LEN(MID(TRIM(INDEX(PASTE_ALL,19,14)),1+(LEFT(TRIM(INDEX(PASTE_ALL,19,14)),1)="-"),999))-(RIGHT(MID(TRIM(INDEX(PASTE_ALL,19,14)),1+(LEFT(TRIM(INDEX(PASTE_ALL,19,14)),1)="-"),999),1)="%")),"0",""),"1",""),"2",""),"3",""),"4",""),"5",""),"6",""),"7",""),"8",""),"9",""),".",""),",","")=""),2,1))),1)</f>
        <v/>
      </c>
      <c r="AM68">
        <f>IFERROR(IF(ISNUMBER(INDEX(PASTE_ALL,19,15)),2,IF(TRIM(INDEX(PASTE_ALL,19,15))="",0,IF(AND(LEFT(MID(TRIM(INDEX(PASTE_ALL,19,15)),1+(LEFT(TRIM(INDEX(PASTE_ALL,19,15)),1)="-"),999),LEN(MID(TRIM(INDEX(PASTE_ALL,19,15)),1+(LEFT(TRIM(INDEX(PASTE_ALL,19,15)),1)="-"),999))-(RIGHT(MID(TRIM(INDEX(PASTE_ALL,19,15)),1+(LEFT(TRIM(INDEX(PASTE_ALL,19,15)),1)="-"),999),1)="%"))&lt;&gt;"",SUBSTITUTE(SUBSTITUTE(SUBSTITUTE(SUBSTITUTE(SUBSTITUTE(SUBSTITUTE(SUBSTITUTE(SUBSTITUTE(SUBSTITUTE(SUBSTITUTE(SUBSTITUTE(SUBSTITUTE(LEFT(MID(TRIM(INDEX(PASTE_ALL,19,15)),1+(LEFT(TRIM(INDEX(PASTE_ALL,19,15)),1)="-"),999),LEN(MID(TRIM(INDEX(PASTE_ALL,19,15)),1+(LEFT(TRIM(INDEX(PASTE_ALL,19,15)),1)="-"),999))-(RIGHT(MID(TRIM(INDEX(PASTE_ALL,19,15)),1+(LEFT(TRIM(INDEX(PASTE_ALL,19,15)),1)="-"),999),1)="%")),"0",""),"1",""),"2",""),"3",""),"4",""),"5",""),"6",""),"7",""),"8",""),"9",""),".",""),",","")=""),2,1))),1)</f>
        <v/>
      </c>
      <c r="AN68">
        <f>IFERROR(IF(ISNUMBER(INDEX(PASTE_ALL,19,16)),2,IF(TRIM(INDEX(PASTE_ALL,19,16))="",0,IF(AND(LEFT(MID(TRIM(INDEX(PASTE_ALL,19,16)),1+(LEFT(TRIM(INDEX(PASTE_ALL,19,16)),1)="-"),999),LEN(MID(TRIM(INDEX(PASTE_ALL,19,16)),1+(LEFT(TRIM(INDEX(PASTE_ALL,19,16)),1)="-"),999))-(RIGHT(MID(TRIM(INDEX(PASTE_ALL,19,16)),1+(LEFT(TRIM(INDEX(PASTE_ALL,19,16)),1)="-"),999),1)="%"))&lt;&gt;"",SUBSTITUTE(SUBSTITUTE(SUBSTITUTE(SUBSTITUTE(SUBSTITUTE(SUBSTITUTE(SUBSTITUTE(SUBSTITUTE(SUBSTITUTE(SUBSTITUTE(SUBSTITUTE(SUBSTITUTE(LEFT(MID(TRIM(INDEX(PASTE_ALL,19,16)),1+(LEFT(TRIM(INDEX(PASTE_ALL,19,16)),1)="-"),999),LEN(MID(TRIM(INDEX(PASTE_ALL,19,16)),1+(LEFT(TRIM(INDEX(PASTE_ALL,19,16)),1)="-"),999))-(RIGHT(MID(TRIM(INDEX(PASTE_ALL,19,16)),1+(LEFT(TRIM(INDEX(PASTE_ALL,19,16)),1)="-"),999),1)="%")),"0",""),"1",""),"2",""),"3",""),"4",""),"5",""),"6",""),"7",""),"8",""),"9",""),".",""),",","")=""),2,1))),1)</f>
        <v/>
      </c>
      <c r="AO68">
        <f>IFERROR(IF(ISNUMBER(INDEX(PASTE_ALL,19,17)),2,IF(TRIM(INDEX(PASTE_ALL,19,17))="",0,IF(AND(LEFT(MID(TRIM(INDEX(PASTE_ALL,19,17)),1+(LEFT(TRIM(INDEX(PASTE_ALL,19,17)),1)="-"),999),LEN(MID(TRIM(INDEX(PASTE_ALL,19,17)),1+(LEFT(TRIM(INDEX(PASTE_ALL,19,17)),1)="-"),999))-(RIGHT(MID(TRIM(INDEX(PASTE_ALL,19,17)),1+(LEFT(TRIM(INDEX(PASTE_ALL,19,17)),1)="-"),999),1)="%"))&lt;&gt;"",SUBSTITUTE(SUBSTITUTE(SUBSTITUTE(SUBSTITUTE(SUBSTITUTE(SUBSTITUTE(SUBSTITUTE(SUBSTITUTE(SUBSTITUTE(SUBSTITUTE(SUBSTITUTE(SUBSTITUTE(LEFT(MID(TRIM(INDEX(PASTE_ALL,19,17)),1+(LEFT(TRIM(INDEX(PASTE_ALL,19,17)),1)="-"),999),LEN(MID(TRIM(INDEX(PASTE_ALL,19,17)),1+(LEFT(TRIM(INDEX(PASTE_ALL,19,17)),1)="-"),999))-(RIGHT(MID(TRIM(INDEX(PASTE_ALL,19,17)),1+(LEFT(TRIM(INDEX(PASTE_ALL,19,17)),1)="-"),999),1)="%")),"0",""),"1",""),"2",""),"3",""),"4",""),"5",""),"6",""),"7",""),"8",""),"9",""),".",""),",","")=""),2,1))),1)</f>
        <v/>
      </c>
      <c r="AP68">
        <f>IFERROR(IF(ISNUMBER(INDEX(PASTE_ALL,19,18)),2,IF(TRIM(INDEX(PASTE_ALL,19,18))="",0,IF(AND(LEFT(MID(TRIM(INDEX(PASTE_ALL,19,18)),1+(LEFT(TRIM(INDEX(PASTE_ALL,19,18)),1)="-"),999),LEN(MID(TRIM(INDEX(PASTE_ALL,19,18)),1+(LEFT(TRIM(INDEX(PASTE_ALL,19,18)),1)="-"),999))-(RIGHT(MID(TRIM(INDEX(PASTE_ALL,19,18)),1+(LEFT(TRIM(INDEX(PASTE_ALL,19,18)),1)="-"),999),1)="%"))&lt;&gt;"",SUBSTITUTE(SUBSTITUTE(SUBSTITUTE(SUBSTITUTE(SUBSTITUTE(SUBSTITUTE(SUBSTITUTE(SUBSTITUTE(SUBSTITUTE(SUBSTITUTE(SUBSTITUTE(SUBSTITUTE(LEFT(MID(TRIM(INDEX(PASTE_ALL,19,18)),1+(LEFT(TRIM(INDEX(PASTE_ALL,19,18)),1)="-"),999),LEN(MID(TRIM(INDEX(PASTE_ALL,19,18)),1+(LEFT(TRIM(INDEX(PASTE_ALL,19,18)),1)="-"),999))-(RIGHT(MID(TRIM(INDEX(PASTE_ALL,19,18)),1+(LEFT(TRIM(INDEX(PASTE_ALL,19,18)),1)="-"),999),1)="%")),"0",""),"1",""),"2",""),"3",""),"4",""),"5",""),"6",""),"7",""),"8",""),"9",""),".",""),",","")=""),2,1))),1)</f>
        <v/>
      </c>
      <c r="AQ68">
        <f>IFERROR(IF(ISNUMBER(INDEX(PASTE_ALL,19,19)),2,IF(TRIM(INDEX(PASTE_ALL,19,19))="",0,IF(AND(LEFT(MID(TRIM(INDEX(PASTE_ALL,19,19)),1+(LEFT(TRIM(INDEX(PASTE_ALL,19,19)),1)="-"),999),LEN(MID(TRIM(INDEX(PASTE_ALL,19,19)),1+(LEFT(TRIM(INDEX(PASTE_ALL,19,19)),1)="-"),999))-(RIGHT(MID(TRIM(INDEX(PASTE_ALL,19,19)),1+(LEFT(TRIM(INDEX(PASTE_ALL,19,19)),1)="-"),999),1)="%"))&lt;&gt;"",SUBSTITUTE(SUBSTITUTE(SUBSTITUTE(SUBSTITUTE(SUBSTITUTE(SUBSTITUTE(SUBSTITUTE(SUBSTITUTE(SUBSTITUTE(SUBSTITUTE(SUBSTITUTE(SUBSTITUTE(LEFT(MID(TRIM(INDEX(PASTE_ALL,19,19)),1+(LEFT(TRIM(INDEX(PASTE_ALL,19,19)),1)="-"),999),LEN(MID(TRIM(INDEX(PASTE_ALL,19,19)),1+(LEFT(TRIM(INDEX(PASTE_ALL,19,19)),1)="-"),999))-(RIGHT(MID(TRIM(INDEX(PASTE_ALL,19,19)),1+(LEFT(TRIM(INDEX(PASTE_ALL,19,19)),1)="-"),999),1)="%")),"0",""),"1",""),"2",""),"3",""),"4",""),"5",""),"6",""),"7",""),"8",""),"9",""),".",""),",","")=""),2,1))),1)</f>
        <v/>
      </c>
      <c r="AR68">
        <f>IFERROR(IF(ISNUMBER(INDEX(PASTE_ALL,19,20)),2,IF(TRIM(INDEX(PASTE_ALL,19,20))="",0,IF(AND(LEFT(MID(TRIM(INDEX(PASTE_ALL,19,20)),1+(LEFT(TRIM(INDEX(PASTE_ALL,19,20)),1)="-"),999),LEN(MID(TRIM(INDEX(PASTE_ALL,19,20)),1+(LEFT(TRIM(INDEX(PASTE_ALL,19,20)),1)="-"),999))-(RIGHT(MID(TRIM(INDEX(PASTE_ALL,19,20)),1+(LEFT(TRIM(INDEX(PASTE_ALL,19,20)),1)="-"),999),1)="%"))&lt;&gt;"",SUBSTITUTE(SUBSTITUTE(SUBSTITUTE(SUBSTITUTE(SUBSTITUTE(SUBSTITUTE(SUBSTITUTE(SUBSTITUTE(SUBSTITUTE(SUBSTITUTE(SUBSTITUTE(SUBSTITUTE(LEFT(MID(TRIM(INDEX(PASTE_ALL,19,20)),1+(LEFT(TRIM(INDEX(PASTE_ALL,19,20)),1)="-"),999),LEN(MID(TRIM(INDEX(PASTE_ALL,19,20)),1+(LEFT(TRIM(INDEX(PASTE_ALL,19,20)),1)="-"),999))-(RIGHT(MID(TRIM(INDEX(PASTE_ALL,19,20)),1+(LEFT(TRIM(INDEX(PASTE_ALL,19,20)),1)="-"),999),1)="%")),"0",""),"1",""),"2",""),"3",""),"4",""),"5",""),"6",""),"7",""),"8",""),"9",""),".",""),",","")=""),2,1))),1)</f>
        <v/>
      </c>
      <c r="AS68">
        <f>IFERROR(IF(ISNUMBER(INDEX(PASTE_ALL,19,21)),2,IF(TRIM(INDEX(PASTE_ALL,19,21))="",0,IF(AND(LEFT(MID(TRIM(INDEX(PASTE_ALL,19,21)),1+(LEFT(TRIM(INDEX(PASTE_ALL,19,21)),1)="-"),999),LEN(MID(TRIM(INDEX(PASTE_ALL,19,21)),1+(LEFT(TRIM(INDEX(PASTE_ALL,19,21)),1)="-"),999))-(RIGHT(MID(TRIM(INDEX(PASTE_ALL,19,21)),1+(LEFT(TRIM(INDEX(PASTE_ALL,19,21)),1)="-"),999),1)="%"))&lt;&gt;"",SUBSTITUTE(SUBSTITUTE(SUBSTITUTE(SUBSTITUTE(SUBSTITUTE(SUBSTITUTE(SUBSTITUTE(SUBSTITUTE(SUBSTITUTE(SUBSTITUTE(SUBSTITUTE(SUBSTITUTE(LEFT(MID(TRIM(INDEX(PASTE_ALL,19,21)),1+(LEFT(TRIM(INDEX(PASTE_ALL,19,21)),1)="-"),999),LEN(MID(TRIM(INDEX(PASTE_ALL,19,21)),1+(LEFT(TRIM(INDEX(PASTE_ALL,19,21)),1)="-"),999))-(RIGHT(MID(TRIM(INDEX(PASTE_ALL,19,21)),1+(LEFT(TRIM(INDEX(PASTE_ALL,19,21)),1)="-"),999),1)="%")),"0",""),"1",""),"2",""),"3",""),"4",""),"5",""),"6",""),"7",""),"8",""),"9",""),".",""),",","")=""),2,1))),1)</f>
        <v/>
      </c>
      <c r="AT68">
        <f>IFERROR(IF(ISNUMBER(INDEX(PASTE_ALL,19,22)),2,IF(TRIM(INDEX(PASTE_ALL,19,22))="",0,IF(AND(LEFT(MID(TRIM(INDEX(PASTE_ALL,19,22)),1+(LEFT(TRIM(INDEX(PASTE_ALL,19,22)),1)="-"),999),LEN(MID(TRIM(INDEX(PASTE_ALL,19,22)),1+(LEFT(TRIM(INDEX(PASTE_ALL,19,22)),1)="-"),999))-(RIGHT(MID(TRIM(INDEX(PASTE_ALL,19,22)),1+(LEFT(TRIM(INDEX(PASTE_ALL,19,22)),1)="-"),999),1)="%"))&lt;&gt;"",SUBSTITUTE(SUBSTITUTE(SUBSTITUTE(SUBSTITUTE(SUBSTITUTE(SUBSTITUTE(SUBSTITUTE(SUBSTITUTE(SUBSTITUTE(SUBSTITUTE(SUBSTITUTE(SUBSTITUTE(LEFT(MID(TRIM(INDEX(PASTE_ALL,19,22)),1+(LEFT(TRIM(INDEX(PASTE_ALL,19,22)),1)="-"),999),LEN(MID(TRIM(INDEX(PASTE_ALL,19,22)),1+(LEFT(TRIM(INDEX(PASTE_ALL,19,22)),1)="-"),999))-(RIGHT(MID(TRIM(INDEX(PASTE_ALL,19,22)),1+(LEFT(TRIM(INDEX(PASTE_ALL,19,22)),1)="-"),999),1)="%")),"0",""),"1",""),"2",""),"3",""),"4",""),"5",""),"6",""),"7",""),"8",""),"9",""),".",""),",","")=""),2,1))),1)</f>
        <v/>
      </c>
      <c r="AU68">
        <f>IFERROR(IF(ISNUMBER(INDEX(PASTE_ALL,19,23)),2,IF(TRIM(INDEX(PASTE_ALL,19,23))="",0,IF(AND(LEFT(MID(TRIM(INDEX(PASTE_ALL,19,23)),1+(LEFT(TRIM(INDEX(PASTE_ALL,19,23)),1)="-"),999),LEN(MID(TRIM(INDEX(PASTE_ALL,19,23)),1+(LEFT(TRIM(INDEX(PASTE_ALL,19,23)),1)="-"),999))-(RIGHT(MID(TRIM(INDEX(PASTE_ALL,19,23)),1+(LEFT(TRIM(INDEX(PASTE_ALL,19,23)),1)="-"),999),1)="%"))&lt;&gt;"",SUBSTITUTE(SUBSTITUTE(SUBSTITUTE(SUBSTITUTE(SUBSTITUTE(SUBSTITUTE(SUBSTITUTE(SUBSTITUTE(SUBSTITUTE(SUBSTITUTE(SUBSTITUTE(SUBSTITUTE(LEFT(MID(TRIM(INDEX(PASTE_ALL,19,23)),1+(LEFT(TRIM(INDEX(PASTE_ALL,19,23)),1)="-"),999),LEN(MID(TRIM(INDEX(PASTE_ALL,19,23)),1+(LEFT(TRIM(INDEX(PASTE_ALL,19,23)),1)="-"),999))-(RIGHT(MID(TRIM(INDEX(PASTE_ALL,19,23)),1+(LEFT(TRIM(INDEX(PASTE_ALL,19,23)),1)="-"),999),1)="%")),"0",""),"1",""),"2",""),"3",""),"4",""),"5",""),"6",""),"7",""),"8",""),"9",""),".",""),",","")=""),2,1))),1)</f>
        <v/>
      </c>
      <c r="AV68">
        <f>IFERROR(IF(ISNUMBER(INDEX(PASTE_ALL,19,24)),2,IF(TRIM(INDEX(PASTE_ALL,19,24))="",0,IF(AND(LEFT(MID(TRIM(INDEX(PASTE_ALL,19,24)),1+(LEFT(TRIM(INDEX(PASTE_ALL,19,24)),1)="-"),999),LEN(MID(TRIM(INDEX(PASTE_ALL,19,24)),1+(LEFT(TRIM(INDEX(PASTE_ALL,19,24)),1)="-"),999))-(RIGHT(MID(TRIM(INDEX(PASTE_ALL,19,24)),1+(LEFT(TRIM(INDEX(PASTE_ALL,19,24)),1)="-"),999),1)="%"))&lt;&gt;"",SUBSTITUTE(SUBSTITUTE(SUBSTITUTE(SUBSTITUTE(SUBSTITUTE(SUBSTITUTE(SUBSTITUTE(SUBSTITUTE(SUBSTITUTE(SUBSTITUTE(SUBSTITUTE(SUBSTITUTE(LEFT(MID(TRIM(INDEX(PASTE_ALL,19,24)),1+(LEFT(TRIM(INDEX(PASTE_ALL,19,24)),1)="-"),999),LEN(MID(TRIM(INDEX(PASTE_ALL,19,24)),1+(LEFT(TRIM(INDEX(PASTE_ALL,19,24)),1)="-"),999))-(RIGHT(MID(TRIM(INDEX(PASTE_ALL,19,24)),1+(LEFT(TRIM(INDEX(PASTE_ALL,19,24)),1)="-"),999),1)="%")),"0",""),"1",""),"2",""),"3",""),"4",""),"5",""),"6",""),"7",""),"8",""),"9",""),".",""),",","")=""),2,1))),1)</f>
        <v/>
      </c>
      <c r="AW68">
        <f>IFERROR(IF(ISNUMBER(INDEX(PASTE_ALL,19,25)),2,IF(TRIM(INDEX(PASTE_ALL,19,25))="",0,IF(AND(LEFT(MID(TRIM(INDEX(PASTE_ALL,19,25)),1+(LEFT(TRIM(INDEX(PASTE_ALL,19,25)),1)="-"),999),LEN(MID(TRIM(INDEX(PASTE_ALL,19,25)),1+(LEFT(TRIM(INDEX(PASTE_ALL,19,25)),1)="-"),999))-(RIGHT(MID(TRIM(INDEX(PASTE_ALL,19,25)),1+(LEFT(TRIM(INDEX(PASTE_ALL,19,25)),1)="-"),999),1)="%"))&lt;&gt;"",SUBSTITUTE(SUBSTITUTE(SUBSTITUTE(SUBSTITUTE(SUBSTITUTE(SUBSTITUTE(SUBSTITUTE(SUBSTITUTE(SUBSTITUTE(SUBSTITUTE(SUBSTITUTE(SUBSTITUTE(LEFT(MID(TRIM(INDEX(PASTE_ALL,19,25)),1+(LEFT(TRIM(INDEX(PASTE_ALL,19,25)),1)="-"),999),LEN(MID(TRIM(INDEX(PASTE_ALL,19,25)),1+(LEFT(TRIM(INDEX(PASTE_ALL,19,25)),1)="-"),999))-(RIGHT(MID(TRIM(INDEX(PASTE_ALL,19,25)),1+(LEFT(TRIM(INDEX(PASTE_ALL,19,25)),1)="-"),999),1)="%")),"0",""),"1",""),"2",""),"3",""),"4",""),"5",""),"6",""),"7",""),"8",""),"9",""),".",""),",","")=""),2,1))),1)</f>
        <v/>
      </c>
      <c r="AX68">
        <f>IFERROR(IF(ISNUMBER(INDEX(PASTE_ALL,19,26)),2,IF(TRIM(INDEX(PASTE_ALL,19,26))="",0,IF(AND(LEFT(MID(TRIM(INDEX(PASTE_ALL,19,26)),1+(LEFT(TRIM(INDEX(PASTE_ALL,19,26)),1)="-"),999),LEN(MID(TRIM(INDEX(PASTE_ALL,19,26)),1+(LEFT(TRIM(INDEX(PASTE_ALL,19,26)),1)="-"),999))-(RIGHT(MID(TRIM(INDEX(PASTE_ALL,19,26)),1+(LEFT(TRIM(INDEX(PASTE_ALL,19,26)),1)="-"),999),1)="%"))&lt;&gt;"",SUBSTITUTE(SUBSTITUTE(SUBSTITUTE(SUBSTITUTE(SUBSTITUTE(SUBSTITUTE(SUBSTITUTE(SUBSTITUTE(SUBSTITUTE(SUBSTITUTE(SUBSTITUTE(SUBSTITUTE(LEFT(MID(TRIM(INDEX(PASTE_ALL,19,26)),1+(LEFT(TRIM(INDEX(PASTE_ALL,19,26)),1)="-"),999),LEN(MID(TRIM(INDEX(PASTE_ALL,19,26)),1+(LEFT(TRIM(INDEX(PASTE_ALL,19,26)),1)="-"),999))-(RIGHT(MID(TRIM(INDEX(PASTE_ALL,19,26)),1+(LEFT(TRIM(INDEX(PASTE_ALL,19,26)),1)="-"),999),1)="%")),"0",""),"1",""),"2",""),"3",""),"4",""),"5",""),"6",""),"7",""),"8",""),"9",""),".",""),",","")=""),2,1))),1)</f>
        <v/>
      </c>
      <c r="AY68">
        <f>IFERROR(IF(ISNUMBER(INDEX(PASTE_ALL,19,27)),2,IF(TRIM(INDEX(PASTE_ALL,19,27))="",0,IF(AND(LEFT(MID(TRIM(INDEX(PASTE_ALL,19,27)),1+(LEFT(TRIM(INDEX(PASTE_ALL,19,27)),1)="-"),999),LEN(MID(TRIM(INDEX(PASTE_ALL,19,27)),1+(LEFT(TRIM(INDEX(PASTE_ALL,19,27)),1)="-"),999))-(RIGHT(MID(TRIM(INDEX(PASTE_ALL,19,27)),1+(LEFT(TRIM(INDEX(PASTE_ALL,19,27)),1)="-"),999),1)="%"))&lt;&gt;"",SUBSTITUTE(SUBSTITUTE(SUBSTITUTE(SUBSTITUTE(SUBSTITUTE(SUBSTITUTE(SUBSTITUTE(SUBSTITUTE(SUBSTITUTE(SUBSTITUTE(SUBSTITUTE(SUBSTITUTE(LEFT(MID(TRIM(INDEX(PASTE_ALL,19,27)),1+(LEFT(TRIM(INDEX(PASTE_ALL,19,27)),1)="-"),999),LEN(MID(TRIM(INDEX(PASTE_ALL,19,27)),1+(LEFT(TRIM(INDEX(PASTE_ALL,19,27)),1)="-"),999))-(RIGHT(MID(TRIM(INDEX(PASTE_ALL,19,27)),1+(LEFT(TRIM(INDEX(PASTE_ALL,19,27)),1)="-"),999),1)="%")),"0",""),"1",""),"2",""),"3",""),"4",""),"5",""),"6",""),"7",""),"8",""),"9",""),".",""),",","")=""),2,1))),1)</f>
        <v/>
      </c>
      <c r="AZ68">
        <f>IFERROR(IF(ISNUMBER(INDEX(PASTE_ALL,19,28)),2,IF(TRIM(INDEX(PASTE_ALL,19,28))="",0,IF(AND(LEFT(MID(TRIM(INDEX(PASTE_ALL,19,28)),1+(LEFT(TRIM(INDEX(PASTE_ALL,19,28)),1)="-"),999),LEN(MID(TRIM(INDEX(PASTE_ALL,19,28)),1+(LEFT(TRIM(INDEX(PASTE_ALL,19,28)),1)="-"),999))-(RIGHT(MID(TRIM(INDEX(PASTE_ALL,19,28)),1+(LEFT(TRIM(INDEX(PASTE_ALL,19,28)),1)="-"),999),1)="%"))&lt;&gt;"",SUBSTITUTE(SUBSTITUTE(SUBSTITUTE(SUBSTITUTE(SUBSTITUTE(SUBSTITUTE(SUBSTITUTE(SUBSTITUTE(SUBSTITUTE(SUBSTITUTE(SUBSTITUTE(SUBSTITUTE(LEFT(MID(TRIM(INDEX(PASTE_ALL,19,28)),1+(LEFT(TRIM(INDEX(PASTE_ALL,19,28)),1)="-"),999),LEN(MID(TRIM(INDEX(PASTE_ALL,19,28)),1+(LEFT(TRIM(INDEX(PASTE_ALL,19,28)),1)="-"),999))-(RIGHT(MID(TRIM(INDEX(PASTE_ALL,19,28)),1+(LEFT(TRIM(INDEX(PASTE_ALL,19,28)),1)="-"),999),1)="%")),"0",""),"1",""),"2",""),"3",""),"4",""),"5",""),"6",""),"7",""),"8",""),"9",""),".",""),",","")=""),2,1))),1)</f>
        <v/>
      </c>
      <c r="BA68">
        <f>IFERROR(IF(ISNUMBER(INDEX(PASTE_ALL,19,29)),2,IF(TRIM(INDEX(PASTE_ALL,19,29))="",0,IF(AND(LEFT(MID(TRIM(INDEX(PASTE_ALL,19,29)),1+(LEFT(TRIM(INDEX(PASTE_ALL,19,29)),1)="-"),999),LEN(MID(TRIM(INDEX(PASTE_ALL,19,29)),1+(LEFT(TRIM(INDEX(PASTE_ALL,19,29)),1)="-"),999))-(RIGHT(MID(TRIM(INDEX(PASTE_ALL,19,29)),1+(LEFT(TRIM(INDEX(PASTE_ALL,19,29)),1)="-"),999),1)="%"))&lt;&gt;"",SUBSTITUTE(SUBSTITUTE(SUBSTITUTE(SUBSTITUTE(SUBSTITUTE(SUBSTITUTE(SUBSTITUTE(SUBSTITUTE(SUBSTITUTE(SUBSTITUTE(SUBSTITUTE(SUBSTITUTE(LEFT(MID(TRIM(INDEX(PASTE_ALL,19,29)),1+(LEFT(TRIM(INDEX(PASTE_ALL,19,29)),1)="-"),999),LEN(MID(TRIM(INDEX(PASTE_ALL,19,29)),1+(LEFT(TRIM(INDEX(PASTE_ALL,19,29)),1)="-"),999))-(RIGHT(MID(TRIM(INDEX(PASTE_ALL,19,29)),1+(LEFT(TRIM(INDEX(PASTE_ALL,19,29)),1)="-"),999),1)="%")),"0",""),"1",""),"2",""),"3",""),"4",""),"5",""),"6",""),"7",""),"8",""),"9",""),".",""),",","")=""),2,1))),1)</f>
        <v/>
      </c>
      <c r="BB68">
        <f>IFERROR(IF(ISNUMBER(INDEX(PASTE_ALL,19,30)),2,IF(TRIM(INDEX(PASTE_ALL,19,30))="",0,IF(AND(LEFT(MID(TRIM(INDEX(PASTE_ALL,19,30)),1+(LEFT(TRIM(INDEX(PASTE_ALL,19,30)),1)="-"),999),LEN(MID(TRIM(INDEX(PASTE_ALL,19,30)),1+(LEFT(TRIM(INDEX(PASTE_ALL,19,30)),1)="-"),999))-(RIGHT(MID(TRIM(INDEX(PASTE_ALL,19,30)),1+(LEFT(TRIM(INDEX(PASTE_ALL,19,30)),1)="-"),999),1)="%"))&lt;&gt;"",SUBSTITUTE(SUBSTITUTE(SUBSTITUTE(SUBSTITUTE(SUBSTITUTE(SUBSTITUTE(SUBSTITUTE(SUBSTITUTE(SUBSTITUTE(SUBSTITUTE(SUBSTITUTE(SUBSTITUTE(LEFT(MID(TRIM(INDEX(PASTE_ALL,19,30)),1+(LEFT(TRIM(INDEX(PASTE_ALL,19,30)),1)="-"),999),LEN(MID(TRIM(INDEX(PASTE_ALL,19,30)),1+(LEFT(TRIM(INDEX(PASTE_ALL,19,30)),1)="-"),999))-(RIGHT(MID(TRIM(INDEX(PASTE_ALL,19,30)),1+(LEFT(TRIM(INDEX(PASTE_ALL,19,30)),1)="-"),999),1)="%")),"0",""),"1",""),"2",""),"3",""),"4",""),"5",""),"6",""),"7",""),"8",""),"9",""),".",""),",","")=""),2,1))),1)</f>
        <v/>
      </c>
      <c r="BC68">
        <f>IFERROR(IF(ISNUMBER(INDEX(PASTE_ALL,19,31)),2,IF(TRIM(INDEX(PASTE_ALL,19,31))="",0,IF(AND(LEFT(MID(TRIM(INDEX(PASTE_ALL,19,31)),1+(LEFT(TRIM(INDEX(PASTE_ALL,19,31)),1)="-"),999),LEN(MID(TRIM(INDEX(PASTE_ALL,19,31)),1+(LEFT(TRIM(INDEX(PASTE_ALL,19,31)),1)="-"),999))-(RIGHT(MID(TRIM(INDEX(PASTE_ALL,19,31)),1+(LEFT(TRIM(INDEX(PASTE_ALL,19,31)),1)="-"),999),1)="%"))&lt;&gt;"",SUBSTITUTE(SUBSTITUTE(SUBSTITUTE(SUBSTITUTE(SUBSTITUTE(SUBSTITUTE(SUBSTITUTE(SUBSTITUTE(SUBSTITUTE(SUBSTITUTE(SUBSTITUTE(SUBSTITUTE(LEFT(MID(TRIM(INDEX(PASTE_ALL,19,31)),1+(LEFT(TRIM(INDEX(PASTE_ALL,19,31)),1)="-"),999),LEN(MID(TRIM(INDEX(PASTE_ALL,19,31)),1+(LEFT(TRIM(INDEX(PASTE_ALL,19,31)),1)="-"),999))-(RIGHT(MID(TRIM(INDEX(PASTE_ALL,19,31)),1+(LEFT(TRIM(INDEX(PASTE_ALL,19,31)),1)="-"),999),1)="%")),"0",""),"1",""),"2",""),"3",""),"4",""),"5",""),"6",""),"7",""),"8",""),"9",""),".",""),",","")=""),2,1))),1)</f>
        <v/>
      </c>
      <c r="BD68">
        <f>IFERROR(IF(ISNUMBER(INDEX(PASTE_ALL,19,32)),2,IF(TRIM(INDEX(PASTE_ALL,19,32))="",0,IF(AND(LEFT(MID(TRIM(INDEX(PASTE_ALL,19,32)),1+(LEFT(TRIM(INDEX(PASTE_ALL,19,32)),1)="-"),999),LEN(MID(TRIM(INDEX(PASTE_ALL,19,32)),1+(LEFT(TRIM(INDEX(PASTE_ALL,19,32)),1)="-"),999))-(RIGHT(MID(TRIM(INDEX(PASTE_ALL,19,32)),1+(LEFT(TRIM(INDEX(PASTE_ALL,19,32)),1)="-"),999),1)="%"))&lt;&gt;"",SUBSTITUTE(SUBSTITUTE(SUBSTITUTE(SUBSTITUTE(SUBSTITUTE(SUBSTITUTE(SUBSTITUTE(SUBSTITUTE(SUBSTITUTE(SUBSTITUTE(SUBSTITUTE(SUBSTITUTE(LEFT(MID(TRIM(INDEX(PASTE_ALL,19,32)),1+(LEFT(TRIM(INDEX(PASTE_ALL,19,32)),1)="-"),999),LEN(MID(TRIM(INDEX(PASTE_ALL,19,32)),1+(LEFT(TRIM(INDEX(PASTE_ALL,19,32)),1)="-"),999))-(RIGHT(MID(TRIM(INDEX(PASTE_ALL,19,32)),1+(LEFT(TRIM(INDEX(PASTE_ALL,19,32)),1)="-"),999),1)="%")),"0",""),"1",""),"2",""),"3",""),"4",""),"5",""),"6",""),"7",""),"8",""),"9",""),".",""),",","")=""),2,1))),1)</f>
        <v/>
      </c>
      <c r="BE68">
        <f>IFERROR(IF(ISNUMBER(INDEX(PASTE_ALL,19,33)),2,IF(TRIM(INDEX(PASTE_ALL,19,33))="",0,IF(AND(LEFT(MID(TRIM(INDEX(PASTE_ALL,19,33)),1+(LEFT(TRIM(INDEX(PASTE_ALL,19,33)),1)="-"),999),LEN(MID(TRIM(INDEX(PASTE_ALL,19,33)),1+(LEFT(TRIM(INDEX(PASTE_ALL,19,33)),1)="-"),999))-(RIGHT(MID(TRIM(INDEX(PASTE_ALL,19,33)),1+(LEFT(TRIM(INDEX(PASTE_ALL,19,33)),1)="-"),999),1)="%"))&lt;&gt;"",SUBSTITUTE(SUBSTITUTE(SUBSTITUTE(SUBSTITUTE(SUBSTITUTE(SUBSTITUTE(SUBSTITUTE(SUBSTITUTE(SUBSTITUTE(SUBSTITUTE(SUBSTITUTE(SUBSTITUTE(LEFT(MID(TRIM(INDEX(PASTE_ALL,19,33)),1+(LEFT(TRIM(INDEX(PASTE_ALL,19,33)),1)="-"),999),LEN(MID(TRIM(INDEX(PASTE_ALL,19,33)),1+(LEFT(TRIM(INDEX(PASTE_ALL,19,33)),1)="-"),999))-(RIGHT(MID(TRIM(INDEX(PASTE_ALL,19,33)),1+(LEFT(TRIM(INDEX(PASTE_ALL,19,33)),1)="-"),999),1)="%")),"0",""),"1",""),"2",""),"3",""),"4",""),"5",""),"6",""),"7",""),"8",""),"9",""),".",""),",","")=""),2,1))),1)</f>
        <v/>
      </c>
      <c r="BF68">
        <f>IFERROR(IF(ISNUMBER(INDEX(PASTE_ALL,19,34)),2,IF(TRIM(INDEX(PASTE_ALL,19,34))="",0,IF(AND(LEFT(MID(TRIM(INDEX(PASTE_ALL,19,34)),1+(LEFT(TRIM(INDEX(PASTE_ALL,19,34)),1)="-"),999),LEN(MID(TRIM(INDEX(PASTE_ALL,19,34)),1+(LEFT(TRIM(INDEX(PASTE_ALL,19,34)),1)="-"),999))-(RIGHT(MID(TRIM(INDEX(PASTE_ALL,19,34)),1+(LEFT(TRIM(INDEX(PASTE_ALL,19,34)),1)="-"),999),1)="%"))&lt;&gt;"",SUBSTITUTE(SUBSTITUTE(SUBSTITUTE(SUBSTITUTE(SUBSTITUTE(SUBSTITUTE(SUBSTITUTE(SUBSTITUTE(SUBSTITUTE(SUBSTITUTE(SUBSTITUTE(SUBSTITUTE(LEFT(MID(TRIM(INDEX(PASTE_ALL,19,34)),1+(LEFT(TRIM(INDEX(PASTE_ALL,19,34)),1)="-"),999),LEN(MID(TRIM(INDEX(PASTE_ALL,19,34)),1+(LEFT(TRIM(INDEX(PASTE_ALL,19,34)),1)="-"),999))-(RIGHT(MID(TRIM(INDEX(PASTE_ALL,19,34)),1+(LEFT(TRIM(INDEX(PASTE_ALL,19,34)),1)="-"),999),1)="%")),"0",""),"1",""),"2",""),"3",""),"4",""),"5",""),"6",""),"7",""),"8",""),"9",""),".",""),",","")=""),2,1))),1)</f>
        <v/>
      </c>
      <c r="BG68">
        <f>IFERROR(IF(ISNUMBER(INDEX(PASTE_ALL,19,35)),2,IF(TRIM(INDEX(PASTE_ALL,19,35))="",0,IF(AND(LEFT(MID(TRIM(INDEX(PASTE_ALL,19,35)),1+(LEFT(TRIM(INDEX(PASTE_ALL,19,35)),1)="-"),999),LEN(MID(TRIM(INDEX(PASTE_ALL,19,35)),1+(LEFT(TRIM(INDEX(PASTE_ALL,19,35)),1)="-"),999))-(RIGHT(MID(TRIM(INDEX(PASTE_ALL,19,35)),1+(LEFT(TRIM(INDEX(PASTE_ALL,19,35)),1)="-"),999),1)="%"))&lt;&gt;"",SUBSTITUTE(SUBSTITUTE(SUBSTITUTE(SUBSTITUTE(SUBSTITUTE(SUBSTITUTE(SUBSTITUTE(SUBSTITUTE(SUBSTITUTE(SUBSTITUTE(SUBSTITUTE(SUBSTITUTE(LEFT(MID(TRIM(INDEX(PASTE_ALL,19,35)),1+(LEFT(TRIM(INDEX(PASTE_ALL,19,35)),1)="-"),999),LEN(MID(TRIM(INDEX(PASTE_ALL,19,35)),1+(LEFT(TRIM(INDEX(PASTE_ALL,19,35)),1)="-"),999))-(RIGHT(MID(TRIM(INDEX(PASTE_ALL,19,35)),1+(LEFT(TRIM(INDEX(PASTE_ALL,19,35)),1)="-"),999),1)="%")),"0",""),"1",""),"2",""),"3",""),"4",""),"5",""),"6",""),"7",""),"8",""),"9",""),".",""),",","")=""),2,1))),1)</f>
        <v/>
      </c>
      <c r="BH68">
        <f>IFERROR(IF(ISNUMBER(INDEX(PASTE_ALL,19,36)),2,IF(TRIM(INDEX(PASTE_ALL,19,36))="",0,IF(AND(LEFT(MID(TRIM(INDEX(PASTE_ALL,19,36)),1+(LEFT(TRIM(INDEX(PASTE_ALL,19,36)),1)="-"),999),LEN(MID(TRIM(INDEX(PASTE_ALL,19,36)),1+(LEFT(TRIM(INDEX(PASTE_ALL,19,36)),1)="-"),999))-(RIGHT(MID(TRIM(INDEX(PASTE_ALL,19,36)),1+(LEFT(TRIM(INDEX(PASTE_ALL,19,36)),1)="-"),999),1)="%"))&lt;&gt;"",SUBSTITUTE(SUBSTITUTE(SUBSTITUTE(SUBSTITUTE(SUBSTITUTE(SUBSTITUTE(SUBSTITUTE(SUBSTITUTE(SUBSTITUTE(SUBSTITUTE(SUBSTITUTE(SUBSTITUTE(LEFT(MID(TRIM(INDEX(PASTE_ALL,19,36)),1+(LEFT(TRIM(INDEX(PASTE_ALL,19,36)),1)="-"),999),LEN(MID(TRIM(INDEX(PASTE_ALL,19,36)),1+(LEFT(TRIM(INDEX(PASTE_ALL,19,36)),1)="-"),999))-(RIGHT(MID(TRIM(INDEX(PASTE_ALL,19,36)),1+(LEFT(TRIM(INDEX(PASTE_ALL,19,36)),1)="-"),999),1)="%")),"0",""),"1",""),"2",""),"3",""),"4",""),"5",""),"6",""),"7",""),"8",""),"9",""),".",""),",","")=""),2,1))),1)</f>
        <v/>
      </c>
      <c r="BI68">
        <f>IFERROR(IF(ISNUMBER(INDEX(PASTE_ALL,19,37)),2,IF(TRIM(INDEX(PASTE_ALL,19,37))="",0,IF(AND(LEFT(MID(TRIM(INDEX(PASTE_ALL,19,37)),1+(LEFT(TRIM(INDEX(PASTE_ALL,19,37)),1)="-"),999),LEN(MID(TRIM(INDEX(PASTE_ALL,19,37)),1+(LEFT(TRIM(INDEX(PASTE_ALL,19,37)),1)="-"),999))-(RIGHT(MID(TRIM(INDEX(PASTE_ALL,19,37)),1+(LEFT(TRIM(INDEX(PASTE_ALL,19,37)),1)="-"),999),1)="%"))&lt;&gt;"",SUBSTITUTE(SUBSTITUTE(SUBSTITUTE(SUBSTITUTE(SUBSTITUTE(SUBSTITUTE(SUBSTITUTE(SUBSTITUTE(SUBSTITUTE(SUBSTITUTE(SUBSTITUTE(SUBSTITUTE(LEFT(MID(TRIM(INDEX(PASTE_ALL,19,37)),1+(LEFT(TRIM(INDEX(PASTE_ALL,19,37)),1)="-"),999),LEN(MID(TRIM(INDEX(PASTE_ALL,19,37)),1+(LEFT(TRIM(INDEX(PASTE_ALL,19,37)),1)="-"),999))-(RIGHT(MID(TRIM(INDEX(PASTE_ALL,19,37)),1+(LEFT(TRIM(INDEX(PASTE_ALL,19,37)),1)="-"),999),1)="%")),"0",""),"1",""),"2",""),"3",""),"4",""),"5",""),"6",""),"7",""),"8",""),"9",""),".",""),",","")=""),2,1))),1)</f>
        <v/>
      </c>
      <c r="BJ68">
        <f>IFERROR(IF(ISNUMBER(INDEX(PASTE_ALL,19,38)),2,IF(TRIM(INDEX(PASTE_ALL,19,38))="",0,IF(AND(LEFT(MID(TRIM(INDEX(PASTE_ALL,19,38)),1+(LEFT(TRIM(INDEX(PASTE_ALL,19,38)),1)="-"),999),LEN(MID(TRIM(INDEX(PASTE_ALL,19,38)),1+(LEFT(TRIM(INDEX(PASTE_ALL,19,38)),1)="-"),999))-(RIGHT(MID(TRIM(INDEX(PASTE_ALL,19,38)),1+(LEFT(TRIM(INDEX(PASTE_ALL,19,38)),1)="-"),999),1)="%"))&lt;&gt;"",SUBSTITUTE(SUBSTITUTE(SUBSTITUTE(SUBSTITUTE(SUBSTITUTE(SUBSTITUTE(SUBSTITUTE(SUBSTITUTE(SUBSTITUTE(SUBSTITUTE(SUBSTITUTE(SUBSTITUTE(LEFT(MID(TRIM(INDEX(PASTE_ALL,19,38)),1+(LEFT(TRIM(INDEX(PASTE_ALL,19,38)),1)="-"),999),LEN(MID(TRIM(INDEX(PASTE_ALL,19,38)),1+(LEFT(TRIM(INDEX(PASTE_ALL,19,38)),1)="-"),999))-(RIGHT(MID(TRIM(INDEX(PASTE_ALL,19,38)),1+(LEFT(TRIM(INDEX(PASTE_ALL,19,38)),1)="-"),999),1)="%")),"0",""),"1",""),"2",""),"3",""),"4",""),"5",""),"6",""),"7",""),"8",""),"9",""),".",""),",","")=""),2,1))),1)</f>
        <v/>
      </c>
      <c r="BK68">
        <f>IFERROR(IF(ISNUMBER(INDEX(PASTE_ALL,19,39)),2,IF(TRIM(INDEX(PASTE_ALL,19,39))="",0,IF(AND(LEFT(MID(TRIM(INDEX(PASTE_ALL,19,39)),1+(LEFT(TRIM(INDEX(PASTE_ALL,19,39)),1)="-"),999),LEN(MID(TRIM(INDEX(PASTE_ALL,19,39)),1+(LEFT(TRIM(INDEX(PASTE_ALL,19,39)),1)="-"),999))-(RIGHT(MID(TRIM(INDEX(PASTE_ALL,19,39)),1+(LEFT(TRIM(INDEX(PASTE_ALL,19,39)),1)="-"),999),1)="%"))&lt;&gt;"",SUBSTITUTE(SUBSTITUTE(SUBSTITUTE(SUBSTITUTE(SUBSTITUTE(SUBSTITUTE(SUBSTITUTE(SUBSTITUTE(SUBSTITUTE(SUBSTITUTE(SUBSTITUTE(SUBSTITUTE(LEFT(MID(TRIM(INDEX(PASTE_ALL,19,39)),1+(LEFT(TRIM(INDEX(PASTE_ALL,19,39)),1)="-"),999),LEN(MID(TRIM(INDEX(PASTE_ALL,19,39)),1+(LEFT(TRIM(INDEX(PASTE_ALL,19,39)),1)="-"),999))-(RIGHT(MID(TRIM(INDEX(PASTE_ALL,19,39)),1+(LEFT(TRIM(INDEX(PASTE_ALL,19,39)),1)="-"),999),1)="%")),"0",""),"1",""),"2",""),"3",""),"4",""),"5",""),"6",""),"7",""),"8",""),"9",""),".",""),",","")=""),2,1))),1)</f>
        <v/>
      </c>
      <c r="BL68">
        <f>IFERROR(IF(ISNUMBER(INDEX(PASTE_ALL,19,40)),2,IF(TRIM(INDEX(PASTE_ALL,19,40))="",0,IF(AND(LEFT(MID(TRIM(INDEX(PASTE_ALL,19,40)),1+(LEFT(TRIM(INDEX(PASTE_ALL,19,40)),1)="-"),999),LEN(MID(TRIM(INDEX(PASTE_ALL,19,40)),1+(LEFT(TRIM(INDEX(PASTE_ALL,19,40)),1)="-"),999))-(RIGHT(MID(TRIM(INDEX(PASTE_ALL,19,40)),1+(LEFT(TRIM(INDEX(PASTE_ALL,19,40)),1)="-"),999),1)="%"))&lt;&gt;"",SUBSTITUTE(SUBSTITUTE(SUBSTITUTE(SUBSTITUTE(SUBSTITUTE(SUBSTITUTE(SUBSTITUTE(SUBSTITUTE(SUBSTITUTE(SUBSTITUTE(SUBSTITUTE(SUBSTITUTE(LEFT(MID(TRIM(INDEX(PASTE_ALL,19,40)),1+(LEFT(TRIM(INDEX(PASTE_ALL,19,40)),1)="-"),999),LEN(MID(TRIM(INDEX(PASTE_ALL,19,40)),1+(LEFT(TRIM(INDEX(PASTE_ALL,19,40)),1)="-"),999))-(RIGHT(MID(TRIM(INDEX(PASTE_ALL,19,40)),1+(LEFT(TRIM(INDEX(PASTE_ALL,19,40)),1)="-"),999),1)="%")),"0",""),"1",""),"2",""),"3",""),"4",""),"5",""),"6",""),"7",""),"8",""),"9",""),".",""),",","")=""),2,1))),1)</f>
        <v/>
      </c>
      <c r="BM68">
        <f>IFERROR(IF(ISNUMBER(INDEX(PASTE_ALL,19,41)),2,IF(TRIM(INDEX(PASTE_ALL,19,41))="",0,IF(AND(LEFT(MID(TRIM(INDEX(PASTE_ALL,19,41)),1+(LEFT(TRIM(INDEX(PASTE_ALL,19,41)),1)="-"),999),LEN(MID(TRIM(INDEX(PASTE_ALL,19,41)),1+(LEFT(TRIM(INDEX(PASTE_ALL,19,41)),1)="-"),999))-(RIGHT(MID(TRIM(INDEX(PASTE_ALL,19,41)),1+(LEFT(TRIM(INDEX(PASTE_ALL,19,41)),1)="-"),999),1)="%"))&lt;&gt;"",SUBSTITUTE(SUBSTITUTE(SUBSTITUTE(SUBSTITUTE(SUBSTITUTE(SUBSTITUTE(SUBSTITUTE(SUBSTITUTE(SUBSTITUTE(SUBSTITUTE(SUBSTITUTE(SUBSTITUTE(LEFT(MID(TRIM(INDEX(PASTE_ALL,19,41)),1+(LEFT(TRIM(INDEX(PASTE_ALL,19,41)),1)="-"),999),LEN(MID(TRIM(INDEX(PASTE_ALL,19,41)),1+(LEFT(TRIM(INDEX(PASTE_ALL,19,41)),1)="-"),999))-(RIGHT(MID(TRIM(INDEX(PASTE_ALL,19,41)),1+(LEFT(TRIM(INDEX(PASTE_ALL,19,41)),1)="-"),999),1)="%")),"0",""),"1",""),"2",""),"3",""),"4",""),"5",""),"6",""),"7",""),"8",""),"9",""),".",""),",","")=""),2,1))),1)</f>
        <v/>
      </c>
      <c r="BN68">
        <f>IFERROR(IF(ISNUMBER(INDEX(PASTE_ALL,19,42)),2,IF(TRIM(INDEX(PASTE_ALL,19,42))="",0,IF(AND(LEFT(MID(TRIM(INDEX(PASTE_ALL,19,42)),1+(LEFT(TRIM(INDEX(PASTE_ALL,19,42)),1)="-"),999),LEN(MID(TRIM(INDEX(PASTE_ALL,19,42)),1+(LEFT(TRIM(INDEX(PASTE_ALL,19,42)),1)="-"),999))-(RIGHT(MID(TRIM(INDEX(PASTE_ALL,19,42)),1+(LEFT(TRIM(INDEX(PASTE_ALL,19,42)),1)="-"),999),1)="%"))&lt;&gt;"",SUBSTITUTE(SUBSTITUTE(SUBSTITUTE(SUBSTITUTE(SUBSTITUTE(SUBSTITUTE(SUBSTITUTE(SUBSTITUTE(SUBSTITUTE(SUBSTITUTE(SUBSTITUTE(SUBSTITUTE(LEFT(MID(TRIM(INDEX(PASTE_ALL,19,42)),1+(LEFT(TRIM(INDEX(PASTE_ALL,19,42)),1)="-"),999),LEN(MID(TRIM(INDEX(PASTE_ALL,19,42)),1+(LEFT(TRIM(INDEX(PASTE_ALL,19,42)),1)="-"),999))-(RIGHT(MID(TRIM(INDEX(PASTE_ALL,19,42)),1+(LEFT(TRIM(INDEX(PASTE_ALL,19,42)),1)="-"),999),1)="%")),"0",""),"1",""),"2",""),"3",""),"4",""),"5",""),"6",""),"7",""),"8",""),"9",""),".",""),",","")=""),2,1))),1)</f>
        <v/>
      </c>
      <c r="BO68">
        <f>IFERROR(IF(ISNUMBER(INDEX(PASTE_ALL,19,43)),2,IF(TRIM(INDEX(PASTE_ALL,19,43))="",0,IF(AND(LEFT(MID(TRIM(INDEX(PASTE_ALL,19,43)),1+(LEFT(TRIM(INDEX(PASTE_ALL,19,43)),1)="-"),999),LEN(MID(TRIM(INDEX(PASTE_ALL,19,43)),1+(LEFT(TRIM(INDEX(PASTE_ALL,19,43)),1)="-"),999))-(RIGHT(MID(TRIM(INDEX(PASTE_ALL,19,43)),1+(LEFT(TRIM(INDEX(PASTE_ALL,19,43)),1)="-"),999),1)="%"))&lt;&gt;"",SUBSTITUTE(SUBSTITUTE(SUBSTITUTE(SUBSTITUTE(SUBSTITUTE(SUBSTITUTE(SUBSTITUTE(SUBSTITUTE(SUBSTITUTE(SUBSTITUTE(SUBSTITUTE(SUBSTITUTE(LEFT(MID(TRIM(INDEX(PASTE_ALL,19,43)),1+(LEFT(TRIM(INDEX(PASTE_ALL,19,43)),1)="-"),999),LEN(MID(TRIM(INDEX(PASTE_ALL,19,43)),1+(LEFT(TRIM(INDEX(PASTE_ALL,19,43)),1)="-"),999))-(RIGHT(MID(TRIM(INDEX(PASTE_ALL,19,43)),1+(LEFT(TRIM(INDEX(PASTE_ALL,19,43)),1)="-"),999),1)="%")),"0",""),"1",""),"2",""),"3",""),"4",""),"5",""),"6",""),"7",""),"8",""),"9",""),".",""),",","")=""),2,1))),1)</f>
        <v/>
      </c>
      <c r="BP68">
        <f>IFERROR(IF(ISNUMBER(INDEX(PASTE_ALL,19,44)),2,IF(TRIM(INDEX(PASTE_ALL,19,44))="",0,IF(AND(LEFT(MID(TRIM(INDEX(PASTE_ALL,19,44)),1+(LEFT(TRIM(INDEX(PASTE_ALL,19,44)),1)="-"),999),LEN(MID(TRIM(INDEX(PASTE_ALL,19,44)),1+(LEFT(TRIM(INDEX(PASTE_ALL,19,44)),1)="-"),999))-(RIGHT(MID(TRIM(INDEX(PASTE_ALL,19,44)),1+(LEFT(TRIM(INDEX(PASTE_ALL,19,44)),1)="-"),999),1)="%"))&lt;&gt;"",SUBSTITUTE(SUBSTITUTE(SUBSTITUTE(SUBSTITUTE(SUBSTITUTE(SUBSTITUTE(SUBSTITUTE(SUBSTITUTE(SUBSTITUTE(SUBSTITUTE(SUBSTITUTE(SUBSTITUTE(LEFT(MID(TRIM(INDEX(PASTE_ALL,19,44)),1+(LEFT(TRIM(INDEX(PASTE_ALL,19,44)),1)="-"),999),LEN(MID(TRIM(INDEX(PASTE_ALL,19,44)),1+(LEFT(TRIM(INDEX(PASTE_ALL,19,44)),1)="-"),999))-(RIGHT(MID(TRIM(INDEX(PASTE_ALL,19,44)),1+(LEFT(TRIM(INDEX(PASTE_ALL,19,44)),1)="-"),999),1)="%")),"0",""),"1",""),"2",""),"3",""),"4",""),"5",""),"6",""),"7",""),"8",""),"9",""),".",""),",","")=""),2,1))),1)</f>
        <v/>
      </c>
      <c r="BQ68">
        <f>IFERROR(IF(ISNUMBER(INDEX(PASTE_ALL,19,45)),2,IF(TRIM(INDEX(PASTE_ALL,19,45))="",0,IF(AND(LEFT(MID(TRIM(INDEX(PASTE_ALL,19,45)),1+(LEFT(TRIM(INDEX(PASTE_ALL,19,45)),1)="-"),999),LEN(MID(TRIM(INDEX(PASTE_ALL,19,45)),1+(LEFT(TRIM(INDEX(PASTE_ALL,19,45)),1)="-"),999))-(RIGHT(MID(TRIM(INDEX(PASTE_ALL,19,45)),1+(LEFT(TRIM(INDEX(PASTE_ALL,19,45)),1)="-"),999),1)="%"))&lt;&gt;"",SUBSTITUTE(SUBSTITUTE(SUBSTITUTE(SUBSTITUTE(SUBSTITUTE(SUBSTITUTE(SUBSTITUTE(SUBSTITUTE(SUBSTITUTE(SUBSTITUTE(SUBSTITUTE(SUBSTITUTE(LEFT(MID(TRIM(INDEX(PASTE_ALL,19,45)),1+(LEFT(TRIM(INDEX(PASTE_ALL,19,45)),1)="-"),999),LEN(MID(TRIM(INDEX(PASTE_ALL,19,45)),1+(LEFT(TRIM(INDEX(PASTE_ALL,19,45)),1)="-"),999))-(RIGHT(MID(TRIM(INDEX(PASTE_ALL,19,45)),1+(LEFT(TRIM(INDEX(PASTE_ALL,19,45)),1)="-"),999),1)="%")),"0",""),"1",""),"2",""),"3",""),"4",""),"5",""),"6",""),"7",""),"8",""),"9",""),".",""),",","")=""),2,1))),1)</f>
        <v/>
      </c>
      <c r="BR68">
        <f>IFERROR(IF(ISNUMBER(INDEX(PASTE_ALL,19,46)),2,IF(TRIM(INDEX(PASTE_ALL,19,46))="",0,IF(AND(LEFT(MID(TRIM(INDEX(PASTE_ALL,19,46)),1+(LEFT(TRIM(INDEX(PASTE_ALL,19,46)),1)="-"),999),LEN(MID(TRIM(INDEX(PASTE_ALL,19,46)),1+(LEFT(TRIM(INDEX(PASTE_ALL,19,46)),1)="-"),999))-(RIGHT(MID(TRIM(INDEX(PASTE_ALL,19,46)),1+(LEFT(TRIM(INDEX(PASTE_ALL,19,46)),1)="-"),999),1)="%"))&lt;&gt;"",SUBSTITUTE(SUBSTITUTE(SUBSTITUTE(SUBSTITUTE(SUBSTITUTE(SUBSTITUTE(SUBSTITUTE(SUBSTITUTE(SUBSTITUTE(SUBSTITUTE(SUBSTITUTE(SUBSTITUTE(LEFT(MID(TRIM(INDEX(PASTE_ALL,19,46)),1+(LEFT(TRIM(INDEX(PASTE_ALL,19,46)),1)="-"),999),LEN(MID(TRIM(INDEX(PASTE_ALL,19,46)),1+(LEFT(TRIM(INDEX(PASTE_ALL,19,46)),1)="-"),999))-(RIGHT(MID(TRIM(INDEX(PASTE_ALL,19,46)),1+(LEFT(TRIM(INDEX(PASTE_ALL,19,46)),1)="-"),999),1)="%")),"0",""),"1",""),"2",""),"3",""),"4",""),"5",""),"6",""),"7",""),"8",""),"9",""),".",""),",","")=""),2,1))),1)</f>
        <v/>
      </c>
      <c r="BS68">
        <f>IFERROR(IF(ISNUMBER(INDEX(PASTE_ALL,19,47)),2,IF(TRIM(INDEX(PASTE_ALL,19,47))="",0,IF(AND(LEFT(MID(TRIM(INDEX(PASTE_ALL,19,47)),1+(LEFT(TRIM(INDEX(PASTE_ALL,19,47)),1)="-"),999),LEN(MID(TRIM(INDEX(PASTE_ALL,19,47)),1+(LEFT(TRIM(INDEX(PASTE_ALL,19,47)),1)="-"),999))-(RIGHT(MID(TRIM(INDEX(PASTE_ALL,19,47)),1+(LEFT(TRIM(INDEX(PASTE_ALL,19,47)),1)="-"),999),1)="%"))&lt;&gt;"",SUBSTITUTE(SUBSTITUTE(SUBSTITUTE(SUBSTITUTE(SUBSTITUTE(SUBSTITUTE(SUBSTITUTE(SUBSTITUTE(SUBSTITUTE(SUBSTITUTE(SUBSTITUTE(SUBSTITUTE(LEFT(MID(TRIM(INDEX(PASTE_ALL,19,47)),1+(LEFT(TRIM(INDEX(PASTE_ALL,19,47)),1)="-"),999),LEN(MID(TRIM(INDEX(PASTE_ALL,19,47)),1+(LEFT(TRIM(INDEX(PASTE_ALL,19,47)),1)="-"),999))-(RIGHT(MID(TRIM(INDEX(PASTE_ALL,19,47)),1+(LEFT(TRIM(INDEX(PASTE_ALL,19,47)),1)="-"),999),1)="%")),"0",""),"1",""),"2",""),"3",""),"4",""),"5",""),"6",""),"7",""),"8",""),"9",""),".",""),",","")=""),2,1))),1)</f>
        <v/>
      </c>
      <c r="BT68">
        <f>IFERROR(IF(ISNUMBER(INDEX(PASTE_ALL,19,48)),2,IF(TRIM(INDEX(PASTE_ALL,19,48))="",0,IF(AND(LEFT(MID(TRIM(INDEX(PASTE_ALL,19,48)),1+(LEFT(TRIM(INDEX(PASTE_ALL,19,48)),1)="-"),999),LEN(MID(TRIM(INDEX(PASTE_ALL,19,48)),1+(LEFT(TRIM(INDEX(PASTE_ALL,19,48)),1)="-"),999))-(RIGHT(MID(TRIM(INDEX(PASTE_ALL,19,48)),1+(LEFT(TRIM(INDEX(PASTE_ALL,19,48)),1)="-"),999),1)="%"))&lt;&gt;"",SUBSTITUTE(SUBSTITUTE(SUBSTITUTE(SUBSTITUTE(SUBSTITUTE(SUBSTITUTE(SUBSTITUTE(SUBSTITUTE(SUBSTITUTE(SUBSTITUTE(SUBSTITUTE(SUBSTITUTE(LEFT(MID(TRIM(INDEX(PASTE_ALL,19,48)),1+(LEFT(TRIM(INDEX(PASTE_ALL,19,48)),1)="-"),999),LEN(MID(TRIM(INDEX(PASTE_ALL,19,48)),1+(LEFT(TRIM(INDEX(PASTE_ALL,19,48)),1)="-"),999))-(RIGHT(MID(TRIM(INDEX(PASTE_ALL,19,48)),1+(LEFT(TRIM(INDEX(PASTE_ALL,19,48)),1)="-"),999),1)="%")),"0",""),"1",""),"2",""),"3",""),"4",""),"5",""),"6",""),"7",""),"8",""),"9",""),".",""),",","")=""),2,1))),1)</f>
        <v/>
      </c>
      <c r="BU68">
        <f>IFERROR(IF(ISNUMBER(INDEX(PASTE_ALL,19,49)),2,IF(TRIM(INDEX(PASTE_ALL,19,49))="",0,IF(AND(LEFT(MID(TRIM(INDEX(PASTE_ALL,19,49)),1+(LEFT(TRIM(INDEX(PASTE_ALL,19,49)),1)="-"),999),LEN(MID(TRIM(INDEX(PASTE_ALL,19,49)),1+(LEFT(TRIM(INDEX(PASTE_ALL,19,49)),1)="-"),999))-(RIGHT(MID(TRIM(INDEX(PASTE_ALL,19,49)),1+(LEFT(TRIM(INDEX(PASTE_ALL,19,49)),1)="-"),999),1)="%"))&lt;&gt;"",SUBSTITUTE(SUBSTITUTE(SUBSTITUTE(SUBSTITUTE(SUBSTITUTE(SUBSTITUTE(SUBSTITUTE(SUBSTITUTE(SUBSTITUTE(SUBSTITUTE(SUBSTITUTE(SUBSTITUTE(LEFT(MID(TRIM(INDEX(PASTE_ALL,19,49)),1+(LEFT(TRIM(INDEX(PASTE_ALL,19,49)),1)="-"),999),LEN(MID(TRIM(INDEX(PASTE_ALL,19,49)),1+(LEFT(TRIM(INDEX(PASTE_ALL,19,49)),1)="-"),999))-(RIGHT(MID(TRIM(INDEX(PASTE_ALL,19,49)),1+(LEFT(TRIM(INDEX(PASTE_ALL,19,49)),1)="-"),999),1)="%")),"0",""),"1",""),"2",""),"3",""),"4",""),"5",""),"6",""),"7",""),"8",""),"9",""),".",""),",","")=""),2,1))),1)</f>
        <v/>
      </c>
      <c r="BV68">
        <f>IFERROR(IF(ISNUMBER(INDEX(PASTE_ALL,19,50)),2,IF(TRIM(INDEX(PASTE_ALL,19,50))="",0,IF(AND(LEFT(MID(TRIM(INDEX(PASTE_ALL,19,50)),1+(LEFT(TRIM(INDEX(PASTE_ALL,19,50)),1)="-"),999),LEN(MID(TRIM(INDEX(PASTE_ALL,19,50)),1+(LEFT(TRIM(INDEX(PASTE_ALL,19,50)),1)="-"),999))-(RIGHT(MID(TRIM(INDEX(PASTE_ALL,19,50)),1+(LEFT(TRIM(INDEX(PASTE_ALL,19,50)),1)="-"),999),1)="%"))&lt;&gt;"",SUBSTITUTE(SUBSTITUTE(SUBSTITUTE(SUBSTITUTE(SUBSTITUTE(SUBSTITUTE(SUBSTITUTE(SUBSTITUTE(SUBSTITUTE(SUBSTITUTE(SUBSTITUTE(SUBSTITUTE(LEFT(MID(TRIM(INDEX(PASTE_ALL,19,50)),1+(LEFT(TRIM(INDEX(PASTE_ALL,19,50)),1)="-"),999),LEN(MID(TRIM(INDEX(PASTE_ALL,19,50)),1+(LEFT(TRIM(INDEX(PASTE_ALL,19,50)),1)="-"),999))-(RIGHT(MID(TRIM(INDEX(PASTE_ALL,19,50)),1+(LEFT(TRIM(INDEX(PASTE_ALL,19,50)),1)="-"),999),1)="%")),"0",""),"1",""),"2",""),"3",""),"4",""),"5",""),"6",""),"7",""),"8",""),"9",""),".",""),",","")=""),2,1))),1)</f>
        <v/>
      </c>
      <c r="BW68">
        <f>IFERROR(IF(ISNUMBER(INDEX(PASTE_ALL,19,51)),2,IF(TRIM(INDEX(PASTE_ALL,19,51))="",0,IF(AND(LEFT(MID(TRIM(INDEX(PASTE_ALL,19,51)),1+(LEFT(TRIM(INDEX(PASTE_ALL,19,51)),1)="-"),999),LEN(MID(TRIM(INDEX(PASTE_ALL,19,51)),1+(LEFT(TRIM(INDEX(PASTE_ALL,19,51)),1)="-"),999))-(RIGHT(MID(TRIM(INDEX(PASTE_ALL,19,51)),1+(LEFT(TRIM(INDEX(PASTE_ALL,19,51)),1)="-"),999),1)="%"))&lt;&gt;"",SUBSTITUTE(SUBSTITUTE(SUBSTITUTE(SUBSTITUTE(SUBSTITUTE(SUBSTITUTE(SUBSTITUTE(SUBSTITUTE(SUBSTITUTE(SUBSTITUTE(SUBSTITUTE(SUBSTITUTE(LEFT(MID(TRIM(INDEX(PASTE_ALL,19,51)),1+(LEFT(TRIM(INDEX(PASTE_ALL,19,51)),1)="-"),999),LEN(MID(TRIM(INDEX(PASTE_ALL,19,51)),1+(LEFT(TRIM(INDEX(PASTE_ALL,19,51)),1)="-"),999))-(RIGHT(MID(TRIM(INDEX(PASTE_ALL,19,51)),1+(LEFT(TRIM(INDEX(PASTE_ALL,19,51)),1)="-"),999),1)="%")),"0",""),"1",""),"2",""),"3",""),"4",""),"5",""),"6",""),"7",""),"8",""),"9",""),".",""),",","")=""),2,1))),1)</f>
        <v/>
      </c>
      <c r="BX68">
        <f>IFERROR(IF(ISNUMBER(INDEX(PASTE_ALL,19,52)),2,IF(TRIM(INDEX(PASTE_ALL,19,52))="",0,IF(AND(LEFT(MID(TRIM(INDEX(PASTE_ALL,19,52)),1+(LEFT(TRIM(INDEX(PASTE_ALL,19,52)),1)="-"),999),LEN(MID(TRIM(INDEX(PASTE_ALL,19,52)),1+(LEFT(TRIM(INDEX(PASTE_ALL,19,52)),1)="-"),999))-(RIGHT(MID(TRIM(INDEX(PASTE_ALL,19,52)),1+(LEFT(TRIM(INDEX(PASTE_ALL,19,52)),1)="-"),999),1)="%"))&lt;&gt;"",SUBSTITUTE(SUBSTITUTE(SUBSTITUTE(SUBSTITUTE(SUBSTITUTE(SUBSTITUTE(SUBSTITUTE(SUBSTITUTE(SUBSTITUTE(SUBSTITUTE(SUBSTITUTE(SUBSTITUTE(LEFT(MID(TRIM(INDEX(PASTE_ALL,19,52)),1+(LEFT(TRIM(INDEX(PASTE_ALL,19,52)),1)="-"),999),LEN(MID(TRIM(INDEX(PASTE_ALL,19,52)),1+(LEFT(TRIM(INDEX(PASTE_ALL,19,52)),1)="-"),999))-(RIGHT(MID(TRIM(INDEX(PASTE_ALL,19,52)),1+(LEFT(TRIM(INDEX(PASTE_ALL,19,52)),1)="-"),999),1)="%")),"0",""),"1",""),"2",""),"3",""),"4",""),"5",""),"6",""),"7",""),"8",""),"9",""),".",""),",","")=""),2,1))),1)</f>
        <v/>
      </c>
      <c r="BY68">
        <f>IFERROR(IF(ISNUMBER(INDEX(PASTE_ALL,19,53)),2,IF(TRIM(INDEX(PASTE_ALL,19,53))="",0,IF(AND(LEFT(MID(TRIM(INDEX(PASTE_ALL,19,53)),1+(LEFT(TRIM(INDEX(PASTE_ALL,19,53)),1)="-"),999),LEN(MID(TRIM(INDEX(PASTE_ALL,19,53)),1+(LEFT(TRIM(INDEX(PASTE_ALL,19,53)),1)="-"),999))-(RIGHT(MID(TRIM(INDEX(PASTE_ALL,19,53)),1+(LEFT(TRIM(INDEX(PASTE_ALL,19,53)),1)="-"),999),1)="%"))&lt;&gt;"",SUBSTITUTE(SUBSTITUTE(SUBSTITUTE(SUBSTITUTE(SUBSTITUTE(SUBSTITUTE(SUBSTITUTE(SUBSTITUTE(SUBSTITUTE(SUBSTITUTE(SUBSTITUTE(SUBSTITUTE(LEFT(MID(TRIM(INDEX(PASTE_ALL,19,53)),1+(LEFT(TRIM(INDEX(PASTE_ALL,19,53)),1)="-"),999),LEN(MID(TRIM(INDEX(PASTE_ALL,19,53)),1+(LEFT(TRIM(INDEX(PASTE_ALL,19,53)),1)="-"),999))-(RIGHT(MID(TRIM(INDEX(PASTE_ALL,19,53)),1+(LEFT(TRIM(INDEX(PASTE_ALL,19,53)),1)="-"),999),1)="%")),"0",""),"1",""),"2",""),"3",""),"4",""),"5",""),"6",""),"7",""),"8",""),"9",""),".",""),",","")=""),2,1))),1)</f>
        <v/>
      </c>
      <c r="BZ68">
        <f>IFERROR(IF(ISNUMBER(INDEX(PASTE_ALL,19,54)),2,IF(TRIM(INDEX(PASTE_ALL,19,54))="",0,IF(AND(LEFT(MID(TRIM(INDEX(PASTE_ALL,19,54)),1+(LEFT(TRIM(INDEX(PASTE_ALL,19,54)),1)="-"),999),LEN(MID(TRIM(INDEX(PASTE_ALL,19,54)),1+(LEFT(TRIM(INDEX(PASTE_ALL,19,54)),1)="-"),999))-(RIGHT(MID(TRIM(INDEX(PASTE_ALL,19,54)),1+(LEFT(TRIM(INDEX(PASTE_ALL,19,54)),1)="-"),999),1)="%"))&lt;&gt;"",SUBSTITUTE(SUBSTITUTE(SUBSTITUTE(SUBSTITUTE(SUBSTITUTE(SUBSTITUTE(SUBSTITUTE(SUBSTITUTE(SUBSTITUTE(SUBSTITUTE(SUBSTITUTE(SUBSTITUTE(LEFT(MID(TRIM(INDEX(PASTE_ALL,19,54)),1+(LEFT(TRIM(INDEX(PASTE_ALL,19,54)),1)="-"),999),LEN(MID(TRIM(INDEX(PASTE_ALL,19,54)),1+(LEFT(TRIM(INDEX(PASTE_ALL,19,54)),1)="-"),999))-(RIGHT(MID(TRIM(INDEX(PASTE_ALL,19,54)),1+(LEFT(TRIM(INDEX(PASTE_ALL,19,54)),1)="-"),999),1)="%")),"0",""),"1",""),"2",""),"3",""),"4",""),"5",""),"6",""),"7",""),"8",""),"9",""),".",""),",","")=""),2,1))),1)</f>
        <v/>
      </c>
      <c r="CA68">
        <f>IFERROR(IF(ISNUMBER(INDEX(PASTE_ALL,19,55)),2,IF(TRIM(INDEX(PASTE_ALL,19,55))="",0,IF(AND(LEFT(MID(TRIM(INDEX(PASTE_ALL,19,55)),1+(LEFT(TRIM(INDEX(PASTE_ALL,19,55)),1)="-"),999),LEN(MID(TRIM(INDEX(PASTE_ALL,19,55)),1+(LEFT(TRIM(INDEX(PASTE_ALL,19,55)),1)="-"),999))-(RIGHT(MID(TRIM(INDEX(PASTE_ALL,19,55)),1+(LEFT(TRIM(INDEX(PASTE_ALL,19,55)),1)="-"),999),1)="%"))&lt;&gt;"",SUBSTITUTE(SUBSTITUTE(SUBSTITUTE(SUBSTITUTE(SUBSTITUTE(SUBSTITUTE(SUBSTITUTE(SUBSTITUTE(SUBSTITUTE(SUBSTITUTE(SUBSTITUTE(SUBSTITUTE(LEFT(MID(TRIM(INDEX(PASTE_ALL,19,55)),1+(LEFT(TRIM(INDEX(PASTE_ALL,19,55)),1)="-"),999),LEN(MID(TRIM(INDEX(PASTE_ALL,19,55)),1+(LEFT(TRIM(INDEX(PASTE_ALL,19,55)),1)="-"),999))-(RIGHT(MID(TRIM(INDEX(PASTE_ALL,19,55)),1+(LEFT(TRIM(INDEX(PASTE_ALL,19,55)),1)="-"),999),1)="%")),"0",""),"1",""),"2",""),"3",""),"4",""),"5",""),"6",""),"7",""),"8",""),"9",""),".",""),",","")=""),2,1))),1)</f>
        <v/>
      </c>
      <c r="CB68">
        <f>IFERROR(IF(ISNUMBER(INDEX(PASTE_ALL,19,56)),2,IF(TRIM(INDEX(PASTE_ALL,19,56))="",0,IF(AND(LEFT(MID(TRIM(INDEX(PASTE_ALL,19,56)),1+(LEFT(TRIM(INDEX(PASTE_ALL,19,56)),1)="-"),999),LEN(MID(TRIM(INDEX(PASTE_ALL,19,56)),1+(LEFT(TRIM(INDEX(PASTE_ALL,19,56)),1)="-"),999))-(RIGHT(MID(TRIM(INDEX(PASTE_ALL,19,56)),1+(LEFT(TRIM(INDEX(PASTE_ALL,19,56)),1)="-"),999),1)="%"))&lt;&gt;"",SUBSTITUTE(SUBSTITUTE(SUBSTITUTE(SUBSTITUTE(SUBSTITUTE(SUBSTITUTE(SUBSTITUTE(SUBSTITUTE(SUBSTITUTE(SUBSTITUTE(SUBSTITUTE(SUBSTITUTE(LEFT(MID(TRIM(INDEX(PASTE_ALL,19,56)),1+(LEFT(TRIM(INDEX(PASTE_ALL,19,56)),1)="-"),999),LEN(MID(TRIM(INDEX(PASTE_ALL,19,56)),1+(LEFT(TRIM(INDEX(PASTE_ALL,19,56)),1)="-"),999))-(RIGHT(MID(TRIM(INDEX(PASTE_ALL,19,56)),1+(LEFT(TRIM(INDEX(PASTE_ALL,19,56)),1)="-"),999),1)="%")),"0",""),"1",""),"2",""),"3",""),"4",""),"5",""),"6",""),"7",""),"8",""),"9",""),".",""),",","")=""),2,1))),1)</f>
        <v/>
      </c>
      <c r="CC68">
        <f>IFERROR(IF(ISNUMBER(INDEX(PASTE_ALL,19,57)),2,IF(TRIM(INDEX(PASTE_ALL,19,57))="",0,IF(AND(LEFT(MID(TRIM(INDEX(PASTE_ALL,19,57)),1+(LEFT(TRIM(INDEX(PASTE_ALL,19,57)),1)="-"),999),LEN(MID(TRIM(INDEX(PASTE_ALL,19,57)),1+(LEFT(TRIM(INDEX(PASTE_ALL,19,57)),1)="-"),999))-(RIGHT(MID(TRIM(INDEX(PASTE_ALL,19,57)),1+(LEFT(TRIM(INDEX(PASTE_ALL,19,57)),1)="-"),999),1)="%"))&lt;&gt;"",SUBSTITUTE(SUBSTITUTE(SUBSTITUTE(SUBSTITUTE(SUBSTITUTE(SUBSTITUTE(SUBSTITUTE(SUBSTITUTE(SUBSTITUTE(SUBSTITUTE(SUBSTITUTE(SUBSTITUTE(LEFT(MID(TRIM(INDEX(PASTE_ALL,19,57)),1+(LEFT(TRIM(INDEX(PASTE_ALL,19,57)),1)="-"),999),LEN(MID(TRIM(INDEX(PASTE_ALL,19,57)),1+(LEFT(TRIM(INDEX(PASTE_ALL,19,57)),1)="-"),999))-(RIGHT(MID(TRIM(INDEX(PASTE_ALL,19,57)),1+(LEFT(TRIM(INDEX(PASTE_ALL,19,57)),1)="-"),999),1)="%")),"0",""),"1",""),"2",""),"3",""),"4",""),"5",""),"6",""),"7",""),"8",""),"9",""),".",""),",","")=""),2,1))),1)</f>
        <v/>
      </c>
      <c r="CD68">
        <f>IFERROR(IF(ISNUMBER(INDEX(PASTE_ALL,19,58)),2,IF(TRIM(INDEX(PASTE_ALL,19,58))="",0,IF(AND(LEFT(MID(TRIM(INDEX(PASTE_ALL,19,58)),1+(LEFT(TRIM(INDEX(PASTE_ALL,19,58)),1)="-"),999),LEN(MID(TRIM(INDEX(PASTE_ALL,19,58)),1+(LEFT(TRIM(INDEX(PASTE_ALL,19,58)),1)="-"),999))-(RIGHT(MID(TRIM(INDEX(PASTE_ALL,19,58)),1+(LEFT(TRIM(INDEX(PASTE_ALL,19,58)),1)="-"),999),1)="%"))&lt;&gt;"",SUBSTITUTE(SUBSTITUTE(SUBSTITUTE(SUBSTITUTE(SUBSTITUTE(SUBSTITUTE(SUBSTITUTE(SUBSTITUTE(SUBSTITUTE(SUBSTITUTE(SUBSTITUTE(SUBSTITUTE(LEFT(MID(TRIM(INDEX(PASTE_ALL,19,58)),1+(LEFT(TRIM(INDEX(PASTE_ALL,19,58)),1)="-"),999),LEN(MID(TRIM(INDEX(PASTE_ALL,19,58)),1+(LEFT(TRIM(INDEX(PASTE_ALL,19,58)),1)="-"),999))-(RIGHT(MID(TRIM(INDEX(PASTE_ALL,19,58)),1+(LEFT(TRIM(INDEX(PASTE_ALL,19,58)),1)="-"),999),1)="%")),"0",""),"1",""),"2",""),"3",""),"4",""),"5",""),"6",""),"7",""),"8",""),"9",""),".",""),",","")=""),2,1))),1)</f>
        <v/>
      </c>
      <c r="CE68">
        <f>IFERROR(IF(ISNUMBER(INDEX(PASTE_ALL,19,59)),2,IF(TRIM(INDEX(PASTE_ALL,19,59))="",0,IF(AND(LEFT(MID(TRIM(INDEX(PASTE_ALL,19,59)),1+(LEFT(TRIM(INDEX(PASTE_ALL,19,59)),1)="-"),999),LEN(MID(TRIM(INDEX(PASTE_ALL,19,59)),1+(LEFT(TRIM(INDEX(PASTE_ALL,19,59)),1)="-"),999))-(RIGHT(MID(TRIM(INDEX(PASTE_ALL,19,59)),1+(LEFT(TRIM(INDEX(PASTE_ALL,19,59)),1)="-"),999),1)="%"))&lt;&gt;"",SUBSTITUTE(SUBSTITUTE(SUBSTITUTE(SUBSTITUTE(SUBSTITUTE(SUBSTITUTE(SUBSTITUTE(SUBSTITUTE(SUBSTITUTE(SUBSTITUTE(SUBSTITUTE(SUBSTITUTE(LEFT(MID(TRIM(INDEX(PASTE_ALL,19,59)),1+(LEFT(TRIM(INDEX(PASTE_ALL,19,59)),1)="-"),999),LEN(MID(TRIM(INDEX(PASTE_ALL,19,59)),1+(LEFT(TRIM(INDEX(PASTE_ALL,19,59)),1)="-"),999))-(RIGHT(MID(TRIM(INDEX(PASTE_ALL,19,59)),1+(LEFT(TRIM(INDEX(PASTE_ALL,19,59)),1)="-"),999),1)="%")),"0",""),"1",""),"2",""),"3",""),"4",""),"5",""),"6",""),"7",""),"8",""),"9",""),".",""),",","")=""),2,1))),1)</f>
        <v/>
      </c>
      <c r="CF68">
        <f>IFERROR(IF(ISNUMBER(INDEX(PASTE_ALL,19,60)),2,IF(TRIM(INDEX(PASTE_ALL,19,60))="",0,IF(AND(LEFT(MID(TRIM(INDEX(PASTE_ALL,19,60)),1+(LEFT(TRIM(INDEX(PASTE_ALL,19,60)),1)="-"),999),LEN(MID(TRIM(INDEX(PASTE_ALL,19,60)),1+(LEFT(TRIM(INDEX(PASTE_ALL,19,60)),1)="-"),999))-(RIGHT(MID(TRIM(INDEX(PASTE_ALL,19,60)),1+(LEFT(TRIM(INDEX(PASTE_ALL,19,60)),1)="-"),999),1)="%"))&lt;&gt;"",SUBSTITUTE(SUBSTITUTE(SUBSTITUTE(SUBSTITUTE(SUBSTITUTE(SUBSTITUTE(SUBSTITUTE(SUBSTITUTE(SUBSTITUTE(SUBSTITUTE(SUBSTITUTE(SUBSTITUTE(LEFT(MID(TRIM(INDEX(PASTE_ALL,19,60)),1+(LEFT(TRIM(INDEX(PASTE_ALL,19,60)),1)="-"),999),LEN(MID(TRIM(INDEX(PASTE_ALL,19,60)),1+(LEFT(TRIM(INDEX(PASTE_ALL,19,60)),1)="-"),999))-(RIGHT(MID(TRIM(INDEX(PASTE_ALL,19,60)),1+(LEFT(TRIM(INDEX(PASTE_ALL,19,60)),1)="-"),999),1)="%")),"0",""),"1",""),"2",""),"3",""),"4",""),"5",""),"6",""),"7",""),"8",""),"9",""),".",""),",","")=""),2,1))),1)</f>
        <v/>
      </c>
      <c r="DA68" t="n">
        <v>64</v>
      </c>
      <c r="DB68">
        <f>IF($B$37=0,"",IFERROR(TRIM(SUBSTITUTE(SUBSTITUTE(SUBSTITUTE(SUBSTITUTE(INDEX(PASTE_ALL,64,$B$37)," "," "),CHAR(9)," "),CHAR(10)," "),CHAR(13)," ")),""))</f>
        <v/>
      </c>
      <c r="DC68">
        <f>IF(AND(64&gt;HEADER_ROW,UPPER(DB68)="LEGEND"),1,0)</f>
        <v/>
      </c>
      <c r="DE68" t="n">
        <v>64</v>
      </c>
      <c r="DF68">
        <f>HEADER_ROW+$DE68</f>
        <v/>
      </c>
      <c r="DG68">
        <f>IF(AND($DF68&lt;=1000,$DF68&lt;$B$8),1,0)</f>
        <v/>
      </c>
      <c r="DH68">
        <f>IF($DG68=1,IFERROR(INDEX($DB$5:$DB$1004,$DF68),""),"")</f>
        <v/>
      </c>
      <c r="DI68">
        <f>IF(AND($DG68=1,$DH68&lt;&gt;""),IFERROR(SUBSTITUTE(SUBSTITUTE(TRIM(SUBSTITUTE(SUBSTITUTE(SUBSTITUTE(SUBSTITUTE(IFERROR(INDEX(PASTE_ALL,$DF68,1)&amp;"","")&amp;"␟"&amp;IFERROR(INDEX(PASTE_ALL,$DF68,2)&amp;"","")&amp;"␟"&amp;IFERROR(INDEX(PASTE_ALL,$DF68,3)&amp;"","")&amp;"␟"&amp;IFERROR(INDEX(PASTE_ALL,$DF68,4)&amp;"","")&amp;"␟"&amp;IFERROR(INDEX(PASTE_ALL,$DF68,5)&amp;"","")&amp;"␟"&amp;IFERROR(INDEX(PASTE_ALL,$DF68,6)&amp;"","")&amp;"␟"&amp;IFERROR(INDEX(PASTE_ALL,$DF68,7)&amp;"","")&amp;"␟"&amp;IFERROR(INDEX(PASTE_ALL,$DF68,8)&amp;"","")&amp;"␟"&amp;IFERROR(INDEX(PASTE_ALL,$DF68,9)&amp;"","")&amp;"␟"&amp;IFERROR(INDEX(PASTE_ALL,$DF68,10)&amp;"","")&amp;"␟"&amp;IFERROR(INDEX(PASTE_ALL,$DF68,11)&amp;"","")&amp;"␟"&amp;IFERROR(INDEX(PASTE_ALL,$DF68,12)&amp;"","")&amp;"␟"&amp;IFERROR(INDEX(PASTE_ALL,$DF68,13)&amp;"","")&amp;"␟"&amp;IFERROR(INDEX(PASTE_ALL,$DF68,14)&amp;"","")&amp;"␟"&amp;IFERROR(INDEX(PASTE_ALL,$DF68,15)&amp;"","")&amp;"␟"&amp;IFERROR(INDEX(PASTE_ALL,$DF68,16)&amp;"","")&amp;"␟"&amp;IFERROR(INDEX(PASTE_ALL,$DF68,17)&amp;"","")&amp;"␟"&amp;IFERROR(INDEX(PASTE_ALL,$DF68,18)&amp;"","")&amp;"␟"&amp;IFERROR(INDEX(PASTE_ALL,$DF68,19)&amp;"","")&amp;"␟"&amp;IFERROR(INDEX(PASTE_ALL,$DF68,20)&amp;"","")&amp;"␟"&amp;IFERROR(INDEX(PASTE_ALL,$DF68,21)&amp;"","")&amp;"␟"&amp;IFERROR(INDEX(PASTE_ALL,$DF68,22)&amp;"","")&amp;"␟"&amp;IFERROR(INDEX(PASTE_ALL,$DF68,23)&amp;"","")&amp;"␟"&amp;IFERROR(INDEX(PASTE_ALL,$DF68,24)&amp;"","")&amp;"␟"&amp;IFERROR(INDEX(PASTE_ALL,$DF68,25)&amp;"","")&amp;"␟"&amp;IFERROR(INDEX(PASTE_ALL,$DF68,26)&amp;"","")&amp;"␟"&amp;IFERROR(INDEX(PASTE_ALL,$DF68,27)&amp;"","")&amp;"␟"&amp;IFERROR(INDEX(PASTE_ALL,$DF68,28)&amp;"","")&amp;"␟"&amp;IFERROR(INDEX(PASTE_ALL,$DF68,29)&amp;"","")&amp;"␟"&amp;IFERROR(INDEX(PASTE_ALL,$DF68,30)&amp;"","")&amp;"␟"&amp;IFERROR(INDEX(PASTE_ALL,$DF68,31)&amp;"","")&amp;"␟"&amp;IFERROR(INDEX(PASTE_ALL,$DF68,32)&amp;"","")&amp;"␟"&amp;IFERROR(INDEX(PASTE_ALL,$DF68,33)&amp;"","")&amp;"␟"&amp;IFERROR(INDEX(PASTE_ALL,$DF68,34)&amp;"","")&amp;"␟"&amp;IFERROR(INDEX(PASTE_ALL,$DF68,35)&amp;"","")&amp;"␟"&amp;IFERROR(INDEX(PASTE_ALL,$DF68,36)&amp;"","")&amp;"␟"&amp;IFERROR(INDEX(PASTE_ALL,$DF68,37)&amp;"","")&amp;"␟"&amp;IFERROR(INDEX(PASTE_ALL,$DF68,38)&amp;"","")&amp;"␟"&amp;IFERROR(INDEX(PASTE_ALL,$DF68,39)&amp;"","")&amp;"␟"&amp;IFERROR(INDEX(PASTE_ALL,$DF68,40)&amp;"","")&amp;"␟"&amp;IFERROR(INDEX(PASTE_ALL,$DF68,41)&amp;"","")&amp;"␟"&amp;IFERROR(INDEX(PASTE_ALL,$DF68,42)&amp;"","")&amp;"␟"&amp;IFERROR(INDEX(PASTE_ALL,$DF68,43)&amp;"","")&amp;"␟"&amp;IFERROR(INDEX(PASTE_ALL,$DF68,44)&amp;"","")&amp;"␟"&amp;IFERROR(INDEX(PASTE_ALL,$DF68,45)&amp;"","")&amp;"␟"&amp;IFERROR(INDEX(PASTE_ALL,$DF68,46)&amp;"","")&amp;"␟"&amp;IFERROR(INDEX(PASTE_ALL,$DF68,47)&amp;"","")&amp;"␟"&amp;IFERROR(INDEX(PASTE_ALL,$DF68,48)&amp;"","")&amp;"␟"&amp;IFERROR(INDEX(PASTE_ALL,$DF68,49)&amp;"","")&amp;"␟"&amp;IFERROR(INDEX(PASTE_ALL,$DF68,50)&amp;"","")&amp;"␟"&amp;IFERROR(INDEX(PASTE_ALL,$DF68,51)&amp;"","")&amp;"␟"&amp;IFERROR(INDEX(PASTE_ALL,$DF68,52)&amp;"","")&amp;"␟"&amp;IFERROR(INDEX(PASTE_ALL,$DF68,53)&amp;"","")&amp;"␟"&amp;IFERROR(INDEX(PASTE_ALL,$DF68,54)&amp;"","")&amp;"␟"&amp;IFERROR(INDEX(PASTE_ALL,$DF68,55)&amp;"","")&amp;"␟"&amp;IFERROR(INDEX(PASTE_ALL,$DF68,56)&amp;"","")&amp;"␟"&amp;IFERROR(INDEX(PASTE_ALL,$DF68,57)&amp;"","")&amp;"␟"&amp;IFERROR(INDEX(PASTE_ALL,$DF68,58)&amp;"","")&amp;"␟"&amp;IFERROR(INDEX(PASTE_ALL,$DF68,59)&amp;"","")&amp;"␟"&amp;IFERROR(INDEX(PASTE_ALL,$DF68,60)&amp;"","")," "," "),CHAR(9)," "),CHAR(10)," "),CHAR(13)," "))," ␟","␟"),"␟ ","␟"),"#"&amp;$DE68),"")</f>
        <v/>
      </c>
      <c r="DJ68">
        <f>IF($DI68="",0,IF(SUMPRODUCT(--EXACT($DI$4:DI67,$DI68))&gt;0,1,0))</f>
        <v/>
      </c>
      <c r="DK68">
        <f>IF(AND($DI68&lt;&gt;"",$DJ68=0),1,0)</f>
        <v/>
      </c>
      <c r="DL68">
        <f>DL67+$DK68</f>
        <v/>
      </c>
      <c r="DM68">
        <f>IF(AND($DK68=1,$DL68&lt;=600),1,0)</f>
        <v/>
      </c>
      <c r="DN68">
        <f>IF($DM68=0,"",IF($L$6=0,"",IFERROR(IF(ISNUMBER(INDEX(PASTE_ALL,$DF68,$L$6)),INDEX(PASTE_ALL,$DF68,$L$6),TRIM(SUBSTITUTE(SUBSTITUTE(SUBSTITUTE(SUBSTITUTE(INDEX(PASTE_ALL,$DF68,$L$6)," "," "),CHAR(9)," "),CHAR(10)," "),CHAR(13)," "))),"")))</f>
        <v/>
      </c>
      <c r="DO68">
        <f>IF($DM68=0,"",IF($L$7=0,"",IFERROR(IF(ISNUMBER(INDEX(PASTE_ALL,$DF68,$L$7)),INDEX(PASTE_ALL,$DF68,$L$7),TRIM(SUBSTITUTE(SUBSTITUTE(SUBSTITUTE(SUBSTITUTE(INDEX(PASTE_ALL,$DF68,$L$7)," "," "),CHAR(9)," "),CHAR(10)," "),CHAR(13)," "))),"")))</f>
        <v/>
      </c>
      <c r="DP68">
        <f>IF($DM68=0,"",IF($L$8=0,"",IFERROR(IF(ISNUMBER(INDEX(PASTE_ALL,$DF68,$L$8)),INDEX(PASTE_ALL,$DF68,$L$8),TRIM(SUBSTITUTE(SUBSTITUTE(SUBSTITUTE(SUBSTITUTE(INDEX(PASTE_ALL,$DF68,$L$8)," "," "),CHAR(9)," "),CHAR(10)," "),CHAR(13)," "))),"")))</f>
        <v/>
      </c>
      <c r="DQ68">
        <f>IF($DM68=0,"",IF($L$9=0,"",IFERROR(IF(ISNUMBER(INDEX(PASTE_ALL,$DF68,$L$9)),INDEX(PASTE_ALL,$DF68,$L$9),TRIM(SUBSTITUTE(SUBSTITUTE(SUBSTITUTE(SUBSTITUTE(INDEX(PASTE_ALL,$DF68,$L$9)," "," "),CHAR(9)," "),CHAR(10)," "),CHAR(13)," "))),"")))</f>
        <v/>
      </c>
      <c r="DR68">
        <f>IF($DM68=0,"",IF($L$10=0,"",IFERROR(IF(ISNUMBER(INDEX(PASTE_ALL,$DF68,$L$10)),INDEX(PASTE_ALL,$DF68,$L$10),TRIM(SUBSTITUTE(SUBSTITUTE(SUBSTITUTE(SUBSTITUTE(INDEX(PASTE_ALL,$DF68,$L$10)," "," "),CHAR(9)," "),CHAR(10)," "),CHAR(13)," "))),"")))</f>
        <v/>
      </c>
      <c r="DS68">
        <f>IF($DM68=0,"",IF($L$11=0,"",IFERROR(IF(ISNUMBER(INDEX(PASTE_ALL,$DF68,$L$11)),INDEX(PASTE_ALL,$DF68,$L$11),TRIM(SUBSTITUTE(SUBSTITUTE(SUBSTITUTE(SUBSTITUTE(INDEX(PASTE_ALL,$DF68,$L$11)," "," "),CHAR(9)," "),CHAR(10)," "),CHAR(13)," "))),"")))</f>
        <v/>
      </c>
      <c r="DT68">
        <f>IF($DM68=0,"",IF($L$12=0,"",IFERROR(IF(ISNUMBER(INDEX(PASTE_ALL,$DF68,$L$12)),INDEX(PASTE_ALL,$DF68,$L$12),TRIM(SUBSTITUTE(SUBSTITUTE(SUBSTITUTE(SUBSTITUTE(INDEX(PASTE_ALL,$DF68,$L$12)," "," "),CHAR(9)," "),CHAR(10)," "),CHAR(13)," "))),"")))</f>
        <v/>
      </c>
      <c r="DU68">
        <f>IF($DM68=0,"",IF($L$13=0,"",IFERROR(IF(ISNUMBER(INDEX(PASTE_ALL,$DF68,$L$13)),INDEX(PASTE_ALL,$DF68,$L$13),TRIM(SUBSTITUTE(SUBSTITUTE(SUBSTITUTE(SUBSTITUTE(INDEX(PASTE_ALL,$DF68,$L$13)," "," "),CHAR(9)," "),CHAR(10)," "),CHAR(13)," "))),"")))</f>
        <v/>
      </c>
      <c r="DV68">
        <f>IF($DM68=0,"",IF($L$14=0,"",IFERROR(IF(ISNUMBER(INDEX(PASTE_ALL,$DF68,$L$14)),INDEX(PASTE_ALL,$DF68,$L$14),TRIM(SUBSTITUTE(SUBSTITUTE(SUBSTITUTE(SUBSTITUTE(INDEX(PASTE_ALL,$DF68,$L$14)," "," "),CHAR(9)," "),CHAR(10)," "),CHAR(13)," "))),"")))</f>
        <v/>
      </c>
      <c r="DW68">
        <f>IF($DM68=0,"",IF($L$15=0,"",IFERROR(IF(ISNUMBER(INDEX(PASTE_ALL,$DF68,$L$15)),INDEX(PASTE_ALL,$DF68,$L$15),IF(SUMPRODUCT(--ISNUMBER(FIND({"A","B","C","D","E","F","G","H","I","J","K","L","M","N","O","P","Q","R","S","T","U","V","W","X","Y","Z","0","1","2","3","4","5","6","7","8","9"},UPPER(TRIM(SUBSTITUTE(SUBSTITUTE(SUBSTITUTE(SUBSTITUTE(INDEX(PASTE_ALL,$DF68,$L$15)," "," "),CHAR(9)," "),CHAR(10)," "),CHAR(13)," "))))))&gt;0,TRIM(SUBSTITUTE(SUBSTITUTE(SUBSTITUTE(SUBSTITUTE(INDEX(PASTE_ALL,$DF68,$L$15)," "," "),CHAR(9)," "),CHAR(10)," "),CHAR(13)," ")),"")),"")))</f>
        <v/>
      </c>
      <c r="DX68">
        <f>IF($DM68=0,"",IF($L$16=0,"",IFERROR(IF(ISNUMBER(INDEX(PASTE_ALL,$DF68,$L$16)),INDEX(PASTE_ALL,$DF68,$L$16),SUBSTITUTE(SUBSTITUTE(TRIM(SUBSTITUTE(SUBSTITUTE(SUBSTITUTE(SUBSTITUTE(INDEX(PASTE_ALL,$DF68,$L$16)," "," "),CHAR(9)," "),CHAR(10)," "),CHAR(13)," ")),",",""),"%","")),"")))</f>
        <v/>
      </c>
      <c r="DY68">
        <f>IF($DM68=0,"",IFERROR(IF(ISNUMBER($DX68),$DX68,IF($DX68="","",IF(TRIM($DX68)="",0,IF(AND(AND(SUBSTITUTE(SUBSTITUTE(SUBSTITUTE(SUBSTITUTE(SUBSTITUTE(SUBSTITUTE(SUBSTITUTE(SUBSTITUTE(SUBSTITUTE(SUBSTITUTE(SUBSTITUTE(SUBSTITUTE(SUBSTITUTE(SUBSTITUTE(UPPER(TRIM($DX68)),"0",""),"1",""),"2",""),"3",""),"4",""),"5",""),"6",""),"7",""),"8",""),"9",""),".",""),"+",""),"-",""),"E","")="",LEN(SUBSTITUTE(SUBSTITUTE(MID(UPPER(TRIM($DX68)),1+OR(LEFT(UPPER(TRIM($DX68)),1)="+",LEFT(UPPER(TRIM($DX68)),1)="-"),999),"E+","E"),"E-","E"))=LEN(SUBSTITUTE(SUBSTITUTE(SUBSTITUTE(SUBSTITUTE(MID(UPPER(TRIM($DX68)),1+OR(LEFT(UPPER(TRIM($DX68)),1)="+",LEFT(UPPER(TRIM($DX68)),1)="-"),999),"E+","E"),"E-","E"),"+",""),"-","")),LEN(UPPER(TRIM($DX68)))-LEN(SUBSTITUTE(UPPER(TRIM($DX68)),"E",""))&lt;2,LEN(UPPER(TRIM($DX68)))-LEN(SUBSTITUTE(UPPER(TRIM($DX68)),".",""))&lt;2,IFERROR(FIND(".",UPPER(TRIM($DX68))),0)&lt;IFERROR(FIND("E",UPPER(TRIM($DX68))),999)),ISNUMBER(VALUE(TRIM($DX68)))),VALUE(TRIM($DX68)),"")))),""))</f>
        <v/>
      </c>
      <c r="DZ68">
        <f>IF($DM68=0,"",IF($L$17=0,"",IFERROR(IF(ISNUMBER(INDEX(PASTE_ALL,$DF68,$L$17)),INDEX(PASTE_ALL,$DF68,$L$17),SUBSTITUTE(SUBSTITUTE(TRIM(SUBSTITUTE(SUBSTITUTE(SUBSTITUTE(SUBSTITUTE(INDEX(PASTE_ALL,$DF68,$L$17)," "," "),CHAR(9)," "),CHAR(10)," "),CHAR(13)," ")),",",""),"%","")),"")))</f>
        <v/>
      </c>
      <c r="EA68">
        <f>IF($DM68=0,"",IFERROR(IF(ISNUMBER($DZ68),$DZ68,IF($DZ68="","",IF(TRIM($DZ68)="",0,IF(AND(AND(SUBSTITUTE(SUBSTITUTE(SUBSTITUTE(SUBSTITUTE(SUBSTITUTE(SUBSTITUTE(SUBSTITUTE(SUBSTITUTE(SUBSTITUTE(SUBSTITUTE(SUBSTITUTE(SUBSTITUTE(SUBSTITUTE(SUBSTITUTE(UPPER(TRIM($DZ68)),"0",""),"1",""),"2",""),"3",""),"4",""),"5",""),"6",""),"7",""),"8",""),"9",""),".",""),"+",""),"-",""),"E","")="",LEN(SUBSTITUTE(SUBSTITUTE(MID(UPPER(TRIM($DZ68)),1+OR(LEFT(UPPER(TRIM($DZ68)),1)="+",LEFT(UPPER(TRIM($DZ68)),1)="-"),999),"E+","E"),"E-","E"))=LEN(SUBSTITUTE(SUBSTITUTE(SUBSTITUTE(SUBSTITUTE(MID(UPPER(TRIM($DZ68)),1+OR(LEFT(UPPER(TRIM($DZ68)),1)="+",LEFT(UPPER(TRIM($DZ68)),1)="-"),999),"E+","E"),"E-","E"),"+",""),"-","")),LEN(UPPER(TRIM($DZ68)))-LEN(SUBSTITUTE(UPPER(TRIM($DZ68)),"E",""))&lt;2,LEN(UPPER(TRIM($DZ68)))-LEN(SUBSTITUTE(UPPER(TRIM($DZ68)),".",""))&lt;2,IFERROR(FIND(".",UPPER(TRIM($DZ68))),0)&lt;IFERROR(FIND("E",UPPER(TRIM($DZ68))),999)),ISNUMBER(VALUE(TRIM($DZ68)))),VALUE(TRIM($DZ68)),"")))),""))</f>
        <v/>
      </c>
      <c r="EB68">
        <f>IF($DM68=0,"",IF($L$18=0,"",IFERROR(IF(UPPER(TRIM(SUBSTITUTE(SUBSTITUTE(SUBSTITUTE(SUBSTITUTE(INDEX(PASTE_ALL,$DF68,$L$18)," "," "),CHAR(9)," "),CHAR(10)," "),CHAR(13)," ")))="READY","Ready",IF(UPPER(TRIM(SUBSTITUTE(SUBSTITUTE(SUBSTITUTE(SUBSTITUTE(INDEX(PASTE_ALL,$DF68,$L$18)," "," "),CHAR(9)," "),CHAR(10)," "),CHAR(13)," ")))="PM","PM",IF(OR(UPPER(TRIM(SUBSTITUTE(SUBSTITUTE(SUBSTITUTE(SUBSTITUTE(INDEX(PASTE_ALL,$DF68,$L$18)," "," "),CHAR(9)," "),CHAR(10)," "),CHAR(13)," ")))="OT",UPPER(TRIM(SUBSTITUTE(SUBSTITUTE(SUBSTITUTE(SUBSTITUTE(INDEX(PASTE_ALL,$DF68,$L$18)," "," "),CHAR(9)," "),CHAR(10)," "),CHAR(13)," ")))="OVERTIME",UPPER(TRIM(SUBSTITUTE(SUBSTITUTE(SUBSTITUTE(SUBSTITUTE(INDEX(PASTE_ALL,$DF68,$L$18)," "," "),CHAR(9)," "),CHAR(10)," "),CHAR(13)," ")))="TRIAL"),"OT",TRIM(SUBSTITUTE(SUBSTITUTE(SUBSTITUTE(SUBSTITUTE(INDEX(PASTE_ALL,$DF68,$L$18)," "," "),CHAR(9)," "),CHAR(10)," "),CHAR(13)," "))))),"")))</f>
        <v/>
      </c>
      <c r="EC68">
        <f>IF($DM68=0,"",IF($L$19=0,"",IFERROR(IF(ISNUMBER(INDEX(PASTE_ALL,$DF68,$L$19)),INDEX(PASTE_ALL,$DF68,$L$19),TRIM(SUBSTITUTE(SUBSTITUTE(SUBSTITUTE(SUBSTITUTE(INDEX(PASTE_ALL,$DF68,$L$19)," "," "),CHAR(9)," "),CHAR(10)," "),CHAR(13)," "))),"")))</f>
        <v/>
      </c>
      <c r="ED68">
        <f>IF($DM68=0,"",MATCH(1,INDEX(EXACT($DH$5:DH68,$DH68)*$DM$5:DM68,0),0))</f>
        <v/>
      </c>
      <c r="EE68">
        <f>IF($DM68=0,0,IF($ED68=$DE68,1,0))</f>
        <v/>
      </c>
      <c r="EF68">
        <f>EF67+$EE68</f>
        <v/>
      </c>
      <c r="EG68">
        <f>IF($DM68=0,"",INDEX($EF$5:$EF$1003,$ED68))</f>
        <v/>
      </c>
      <c r="EH68">
        <f>IF($DM68=0,"",IF($DO68&lt;&gt;"","",IFERROR(LOOKUP(2,1/(($EG$4:EG67=$EG68)*($DO$4:DO67&lt;&gt;"")),$DO$4:DO67),"")))</f>
        <v/>
      </c>
      <c r="EI68">
        <f>IF($DM68=0,"",IF($DO68&lt;&gt;"",$DO68,$EH68))</f>
        <v/>
      </c>
      <c r="EJ68">
        <f>IF($DM68=0,"",IF($EI68="",0,IF(OR(ISNUMBER($EI68),AND(AND(SUBSTITUTE(SUBSTITUTE(SUBSTITUTE(SUBSTITUTE(SUBSTITUTE(SUBSTITUTE(SUBSTITUTE(SUBSTITUTE(SUBSTITUTE(SUBSTITUTE(SUBSTITUTE(SUBSTITUTE(SUBSTITUTE(SUBSTITUTE(UPPER($EI68),"0",""),"1",""),"2",""),"3",""),"4",""),"5",""),"6",""),"7",""),"8",""),"9",""),".",""),"+",""),"-",""),"E","")="",LEN(SUBSTITUTE(SUBSTITUTE(MID(UPPER($EI68),1+OR(LEFT(UPPER($EI68),1)="+",LEFT(UPPER($EI68),1)="-"),999),"E+","E"),"E-","E"))=LEN(SUBSTITUTE(SUBSTITUTE(SUBSTITUTE(SUBSTITUTE(MID(UPPER($EI68),1+OR(LEFT(UPPER($EI68),1)="+",LEFT(UPPER($EI68),1)="-"),999),"E+","E"),"E-","E"),"+",""),"-","")),LEN(UPPER($EI68))-LEN(SUBSTITUTE(UPPER($EI68),"E",""))&lt;2,LEN(UPPER($EI68))-LEN(SUBSTITUTE(UPPER($EI68),".",""))&lt;2,IFERROR(FIND(".",UPPER($EI68)),0)&lt;IFERROR(FIND("E",UPPER($EI68)),999)),ISNUMBER(VALUE($EI68)))),1,2)))</f>
        <v/>
      </c>
      <c r="EK68">
        <f>IF($DM68=0,"",IF($EJ68=1,IF(ISNUMBER($EI68),$EI68,VALUE($EI68)),IF($EJ68=2,$DE68,0)))</f>
        <v/>
      </c>
      <c r="EL68">
        <f>IF($DM68=0,"",COUNTIF($EG$5:$EG$1003,"&lt;"&amp;$EG68)+SUMPRODUCT(($EG$5:$EG$1003=$EG68)*(($EJ$5:$EJ$1003&lt;$EJ68)+($EJ$5:$EJ$1003=$EJ68)*(($EK$5:$EK$1003&lt;$EK68)+($EK$5:$EK$1003=$EK68)*($DE$5:$DE$1003&lt;$DE68))))+1)</f>
        <v/>
      </c>
      <c r="EM68">
        <f>IF($DM68=0,"",$EL68+$EG68-1)</f>
        <v/>
      </c>
      <c r="EN68">
        <f>IF($DM68=0,0,IFERROR(MATCH(1,INDEX(--(TRIM(SUBSTITUTE(SUBSTITUTE(SUBSTITUTE(SUBSTITUTE(LINES_NAME&amp;""," "," "),CHAR(9)," "),CHAR(10)," "),CHAR(13)," "))=$DH68),0),0),0))</f>
        <v/>
      </c>
      <c r="EO68">
        <f>IF($EN68=0,0,IF(OR(UPPER(TRIM(INDEX(LINES_SCHEDULED,$EN68)&amp;""))="YES",UPPER(TRIM(INDEX(LINES_SCHEDULED,$EN68)&amp;""))="Y",UPPER(TRIM(INDEX(LINES_SCHEDULED,$EN68)&amp;""))="X"),1,0))</f>
        <v/>
      </c>
      <c r="EP68">
        <f>IF($DM68=0,"",IF(COUNTIFS($EG$5:$EG$1003,$EG68,$EB$5:$EB$1003,"Ready")&gt;0,"READY",IF(COUNTIFS($EG$5:$EG$1003,$EG68,$EB$5:$EB$1003,"PM")&gt;0,"PM",IF(COUNTIFS($EG$5:$EG$1003,$EG68,$EB$5:$EB$1003,"OT")&gt;0,"OT",""))))</f>
        <v/>
      </c>
      <c r="EQ68">
        <f>IF($EN68=0,"",UPPER(TRIM(INDEX(LINES_STATUS,$EN68)&amp;"")))</f>
        <v/>
      </c>
      <c r="ER68">
        <f>IF($DM68=0,"",IF(OR($EQ68="READY",$EQ68="PM",$EQ68="OT"),$EQ68,$EP68))</f>
        <v/>
      </c>
      <c r="ES68">
        <f>IF($DM68=0,"",IF(AND($DV68&lt;&gt;"",UPPER($DV68)&lt;&gt;"N"),"allergen",IF(ISNUMBER(SEARCH("oil",$DQ68)),"oil",IF(OR(EXACT($DS68,"A662"),EXACT($DS68,"A624")),"bulk",""))))</f>
        <v/>
      </c>
      <c r="ET68">
        <f>IF($DM68=0,"",IF(OR($EA68="",$EA68=0),"",$EA68/100))</f>
        <v/>
      </c>
      <c r="EU68">
        <f>IF(OR($ET68="",$DY68=""),"",INT($DY68*(1-$ET68)+0.5))</f>
        <v/>
      </c>
      <c r="EW68" t="n">
        <v>64</v>
      </c>
      <c r="EX68">
        <f>IFERROR(MATCH($EW68,$EM$5:$EM$1003,0),0)</f>
        <v/>
      </c>
      <c r="EY68">
        <f>IF($EW68&gt;$B$12,"",IF($EX68&gt;0,"row","spacer"))</f>
        <v/>
      </c>
      <c r="EZ68">
        <f>IF(AND($EY68="row",$EY67&lt;&gt;"row"),1,0)</f>
        <v/>
      </c>
      <c r="FA68">
        <f>IF(AND($EY68="row",$EY69&lt;&gt;"row"),1,0)</f>
        <v/>
      </c>
      <c r="FB68">
        <f>IF($EZ68=1,IFERROR(IF(ISNUMBER(INDEX(PASTE_ALL,INDEX($DF$5:$DF$1003,$EX68),$B$37)),INDEX(PASTE_ALL,INDEX($DF$5:$DF$1003,$EX68),$B$37),INDEX($DH$5:$DH$1003,$EX68)),INDEX($DH$5:$DH$1003,$EX68)),"")</f>
        <v/>
      </c>
      <c r="FC68">
        <f>IF($EY68="row",INDEX($ER$5:$ER$1003,$EX68),"")</f>
        <v/>
      </c>
      <c r="FD68">
        <f>IF($EY68="row",INDEX($DN$5:$DN$1003,$EX68),"")</f>
        <v/>
      </c>
      <c r="FE68">
        <f>IF($EY68="row",INDEX($DO$5:$DO$1003,$EX68),"")</f>
        <v/>
      </c>
      <c r="FF68">
        <f>IF($EY68="row",INDEX($DP$5:$DP$1003,$EX68),"")</f>
        <v/>
      </c>
      <c r="FG68">
        <f>IF($EY68="row",INDEX($DQ$5:$DQ$1003,$EX68),"")</f>
        <v/>
      </c>
      <c r="FH68">
        <f>IF($EY68="row",INDEX($DR$5:$DR$1003,$EX68),"")</f>
        <v/>
      </c>
      <c r="FI68">
        <f>IF($EY68="row",INDEX($DS$5:$DS$1003,$EX68),"")</f>
        <v/>
      </c>
      <c r="FJ68">
        <f>IF($EY68="row",INDEX($DT$5:$DT$1003,$EX68),"")</f>
        <v/>
      </c>
      <c r="FK68">
        <f>IF($EY68="row",INDEX($DU$5:$DU$1003,$EX68),"")</f>
        <v/>
      </c>
      <c r="FL68">
        <f>IF($EY68="row",INDEX($DV$5:$DV$1003,$EX68),"")</f>
        <v/>
      </c>
      <c r="FM68">
        <f>IF($EY68="row",INDEX($DW$5:$DW$1003,$EX68),"")</f>
        <v/>
      </c>
      <c r="FN68">
        <f>IF($EY68="row",INDEX($DY$5:$DY$1003,$EX68),"")</f>
        <v/>
      </c>
      <c r="FO68">
        <f>IF($EY68="row",INDEX($EA$5:$EA$1003,$EX68),"")</f>
        <v/>
      </c>
      <c r="FP68">
        <f>IF($EY68="row",INDEX($EC$5:$EC$1003,$EX68),"")</f>
        <v/>
      </c>
      <c r="FQ68">
        <f>IF($EY68="row",INDEX($ET$5:$ET$1003,$EX68),"")</f>
        <v/>
      </c>
      <c r="FR68">
        <f>IF($EY68="row",INDEX($EU$5:$EU$1003,$EX68),"")</f>
        <v/>
      </c>
      <c r="FS68">
        <f>IF(AND($EY68="row",$EY67="row"),IF(OR(INDEX($DT$5:$DT$1003,$EX67)="",INDEX($DT$5:$DT$1003,$EX68)=""),"",IF(NOT(EXACT(INDEX($DT$5:$DT$1003,$EX67),INDEX($DT$5:$DT$1003,$EX68))),"S4",IF(NOT(EXACT(INDEX($DS$5:$DS$1003,$EX67),INDEX($DS$5:$DS$1003,$EX68))),"S3",IF(NOT(EXACT(INDEX($DR$5:$DR$1003,$EX67),INDEX($DR$5:$DR$1003,$EX68))),"S1 Count Change","S1")))),"")</f>
        <v/>
      </c>
      <c r="FT68">
        <f>IF($EY68="row",INDEX($ES$5:$ES$1003,$EX68),"")</f>
        <v/>
      </c>
      <c r="FU68">
        <f>IF($EY68="row",INDEX($EO$5:$EO$1003,$EX68),0)</f>
        <v/>
      </c>
      <c r="FV68">
        <f>IF($FS68="S1 Count Change",1,0)</f>
        <v/>
      </c>
      <c r="FX68" t="n">
        <v>64</v>
      </c>
      <c r="FY68">
        <f>IFERROR(MATCH($FX68,$EF$5:$EF$1003,0),0)</f>
        <v/>
      </c>
      <c r="FZ68">
        <f>IF($FY68=0,"",INDEX($DH$5:$DH$1003,$FY68))</f>
        <v/>
      </c>
      <c r="GA68">
        <f>IF($FY68=0,"",COUNTIF($EG$5:$EG$1003,$FX68))</f>
        <v/>
      </c>
      <c r="GB68">
        <f>IF($FY68=0,"",INDEX($ER$5:$ER$1003,$FY68))</f>
        <v/>
      </c>
      <c r="GC68">
        <f>IF($FY68=0,"",IF(INDEX($EO$5:$EO$1003,$FY68)=1,"Yes",""))</f>
        <v/>
      </c>
      <c r="GD68">
        <f>IF($FY68=0,"",IF(INDEX($EN$5:$EN$1003,$FY68)&gt;0,"","NOT IN YOUR LIST - type it in column A to tick it"))</f>
        <v/>
      </c>
      <c r="GE68">
        <f>IF(AND($FY68&gt;0,$GD68&lt;&gt;""),1,0)</f>
        <v/>
      </c>
      <c r="GF68">
        <f>GF67+$GE68</f>
        <v/>
      </c>
      <c r="GG68">
        <f>IFERROR(INDEX($FZ$5:$FZ$104,MATCH($FX68,$GF$5:$GF$104,0)),"")</f>
        <v/>
      </c>
    </row>
    <row r="69">
      <c r="V69" t="inlineStr">
        <is>
          <t>WOQUANTITY</t>
        </is>
      </c>
      <c r="W69" t="n">
        <v>12</v>
      </c>
      <c r="Y69">
        <f>IFERROR(IF(ISNUMBER(INDEX(PASTE_ALL,20,1)),2,IF(TRIM(INDEX(PASTE_ALL,20,1))="",0,IF(AND(LEFT(MID(TRIM(INDEX(PASTE_ALL,20,1)),1+(LEFT(TRIM(INDEX(PASTE_ALL,20,1)),1)="-"),999),LEN(MID(TRIM(INDEX(PASTE_ALL,20,1)),1+(LEFT(TRIM(INDEX(PASTE_ALL,20,1)),1)="-"),999))-(RIGHT(MID(TRIM(INDEX(PASTE_ALL,20,1)),1+(LEFT(TRIM(INDEX(PASTE_ALL,20,1)),1)="-"),999),1)="%"))&lt;&gt;"",SUBSTITUTE(SUBSTITUTE(SUBSTITUTE(SUBSTITUTE(SUBSTITUTE(SUBSTITUTE(SUBSTITUTE(SUBSTITUTE(SUBSTITUTE(SUBSTITUTE(SUBSTITUTE(SUBSTITUTE(LEFT(MID(TRIM(INDEX(PASTE_ALL,20,1)),1+(LEFT(TRIM(INDEX(PASTE_ALL,20,1)),1)="-"),999),LEN(MID(TRIM(INDEX(PASTE_ALL,20,1)),1+(LEFT(TRIM(INDEX(PASTE_ALL,20,1)),1)="-"),999))-(RIGHT(MID(TRIM(INDEX(PASTE_ALL,20,1)),1+(LEFT(TRIM(INDEX(PASTE_ALL,20,1)),1)="-"),999),1)="%")),"0",""),"1",""),"2",""),"3",""),"4",""),"5",""),"6",""),"7",""),"8",""),"9",""),".",""),",","")=""),2,1))),1)</f>
        <v/>
      </c>
      <c r="Z69">
        <f>IFERROR(IF(ISNUMBER(INDEX(PASTE_ALL,20,2)),2,IF(TRIM(INDEX(PASTE_ALL,20,2))="",0,IF(AND(LEFT(MID(TRIM(INDEX(PASTE_ALL,20,2)),1+(LEFT(TRIM(INDEX(PASTE_ALL,20,2)),1)="-"),999),LEN(MID(TRIM(INDEX(PASTE_ALL,20,2)),1+(LEFT(TRIM(INDEX(PASTE_ALL,20,2)),1)="-"),999))-(RIGHT(MID(TRIM(INDEX(PASTE_ALL,20,2)),1+(LEFT(TRIM(INDEX(PASTE_ALL,20,2)),1)="-"),999),1)="%"))&lt;&gt;"",SUBSTITUTE(SUBSTITUTE(SUBSTITUTE(SUBSTITUTE(SUBSTITUTE(SUBSTITUTE(SUBSTITUTE(SUBSTITUTE(SUBSTITUTE(SUBSTITUTE(SUBSTITUTE(SUBSTITUTE(LEFT(MID(TRIM(INDEX(PASTE_ALL,20,2)),1+(LEFT(TRIM(INDEX(PASTE_ALL,20,2)),1)="-"),999),LEN(MID(TRIM(INDEX(PASTE_ALL,20,2)),1+(LEFT(TRIM(INDEX(PASTE_ALL,20,2)),1)="-"),999))-(RIGHT(MID(TRIM(INDEX(PASTE_ALL,20,2)),1+(LEFT(TRIM(INDEX(PASTE_ALL,20,2)),1)="-"),999),1)="%")),"0",""),"1",""),"2",""),"3",""),"4",""),"5",""),"6",""),"7",""),"8",""),"9",""),".",""),",","")=""),2,1))),1)</f>
        <v/>
      </c>
      <c r="AA69">
        <f>IFERROR(IF(ISNUMBER(INDEX(PASTE_ALL,20,3)),2,IF(TRIM(INDEX(PASTE_ALL,20,3))="",0,IF(AND(LEFT(MID(TRIM(INDEX(PASTE_ALL,20,3)),1+(LEFT(TRIM(INDEX(PASTE_ALL,20,3)),1)="-"),999),LEN(MID(TRIM(INDEX(PASTE_ALL,20,3)),1+(LEFT(TRIM(INDEX(PASTE_ALL,20,3)),1)="-"),999))-(RIGHT(MID(TRIM(INDEX(PASTE_ALL,20,3)),1+(LEFT(TRIM(INDEX(PASTE_ALL,20,3)),1)="-"),999),1)="%"))&lt;&gt;"",SUBSTITUTE(SUBSTITUTE(SUBSTITUTE(SUBSTITUTE(SUBSTITUTE(SUBSTITUTE(SUBSTITUTE(SUBSTITUTE(SUBSTITUTE(SUBSTITUTE(SUBSTITUTE(SUBSTITUTE(LEFT(MID(TRIM(INDEX(PASTE_ALL,20,3)),1+(LEFT(TRIM(INDEX(PASTE_ALL,20,3)),1)="-"),999),LEN(MID(TRIM(INDEX(PASTE_ALL,20,3)),1+(LEFT(TRIM(INDEX(PASTE_ALL,20,3)),1)="-"),999))-(RIGHT(MID(TRIM(INDEX(PASTE_ALL,20,3)),1+(LEFT(TRIM(INDEX(PASTE_ALL,20,3)),1)="-"),999),1)="%")),"0",""),"1",""),"2",""),"3",""),"4",""),"5",""),"6",""),"7",""),"8",""),"9",""),".",""),",","")=""),2,1))),1)</f>
        <v/>
      </c>
      <c r="AB69">
        <f>IFERROR(IF(ISNUMBER(INDEX(PASTE_ALL,20,4)),2,IF(TRIM(INDEX(PASTE_ALL,20,4))="",0,IF(AND(LEFT(MID(TRIM(INDEX(PASTE_ALL,20,4)),1+(LEFT(TRIM(INDEX(PASTE_ALL,20,4)),1)="-"),999),LEN(MID(TRIM(INDEX(PASTE_ALL,20,4)),1+(LEFT(TRIM(INDEX(PASTE_ALL,20,4)),1)="-"),999))-(RIGHT(MID(TRIM(INDEX(PASTE_ALL,20,4)),1+(LEFT(TRIM(INDEX(PASTE_ALL,20,4)),1)="-"),999),1)="%"))&lt;&gt;"",SUBSTITUTE(SUBSTITUTE(SUBSTITUTE(SUBSTITUTE(SUBSTITUTE(SUBSTITUTE(SUBSTITUTE(SUBSTITUTE(SUBSTITUTE(SUBSTITUTE(SUBSTITUTE(SUBSTITUTE(LEFT(MID(TRIM(INDEX(PASTE_ALL,20,4)),1+(LEFT(TRIM(INDEX(PASTE_ALL,20,4)),1)="-"),999),LEN(MID(TRIM(INDEX(PASTE_ALL,20,4)),1+(LEFT(TRIM(INDEX(PASTE_ALL,20,4)),1)="-"),999))-(RIGHT(MID(TRIM(INDEX(PASTE_ALL,20,4)),1+(LEFT(TRIM(INDEX(PASTE_ALL,20,4)),1)="-"),999),1)="%")),"0",""),"1",""),"2",""),"3",""),"4",""),"5",""),"6",""),"7",""),"8",""),"9",""),".",""),",","")=""),2,1))),1)</f>
        <v/>
      </c>
      <c r="AC69">
        <f>IFERROR(IF(ISNUMBER(INDEX(PASTE_ALL,20,5)),2,IF(TRIM(INDEX(PASTE_ALL,20,5))="",0,IF(AND(LEFT(MID(TRIM(INDEX(PASTE_ALL,20,5)),1+(LEFT(TRIM(INDEX(PASTE_ALL,20,5)),1)="-"),999),LEN(MID(TRIM(INDEX(PASTE_ALL,20,5)),1+(LEFT(TRIM(INDEX(PASTE_ALL,20,5)),1)="-"),999))-(RIGHT(MID(TRIM(INDEX(PASTE_ALL,20,5)),1+(LEFT(TRIM(INDEX(PASTE_ALL,20,5)),1)="-"),999),1)="%"))&lt;&gt;"",SUBSTITUTE(SUBSTITUTE(SUBSTITUTE(SUBSTITUTE(SUBSTITUTE(SUBSTITUTE(SUBSTITUTE(SUBSTITUTE(SUBSTITUTE(SUBSTITUTE(SUBSTITUTE(SUBSTITUTE(LEFT(MID(TRIM(INDEX(PASTE_ALL,20,5)),1+(LEFT(TRIM(INDEX(PASTE_ALL,20,5)),1)="-"),999),LEN(MID(TRIM(INDEX(PASTE_ALL,20,5)),1+(LEFT(TRIM(INDEX(PASTE_ALL,20,5)),1)="-"),999))-(RIGHT(MID(TRIM(INDEX(PASTE_ALL,20,5)),1+(LEFT(TRIM(INDEX(PASTE_ALL,20,5)),1)="-"),999),1)="%")),"0",""),"1",""),"2",""),"3",""),"4",""),"5",""),"6",""),"7",""),"8",""),"9",""),".",""),",","")=""),2,1))),1)</f>
        <v/>
      </c>
      <c r="AD69">
        <f>IFERROR(IF(ISNUMBER(INDEX(PASTE_ALL,20,6)),2,IF(TRIM(INDEX(PASTE_ALL,20,6))="",0,IF(AND(LEFT(MID(TRIM(INDEX(PASTE_ALL,20,6)),1+(LEFT(TRIM(INDEX(PASTE_ALL,20,6)),1)="-"),999),LEN(MID(TRIM(INDEX(PASTE_ALL,20,6)),1+(LEFT(TRIM(INDEX(PASTE_ALL,20,6)),1)="-"),999))-(RIGHT(MID(TRIM(INDEX(PASTE_ALL,20,6)),1+(LEFT(TRIM(INDEX(PASTE_ALL,20,6)),1)="-"),999),1)="%"))&lt;&gt;"",SUBSTITUTE(SUBSTITUTE(SUBSTITUTE(SUBSTITUTE(SUBSTITUTE(SUBSTITUTE(SUBSTITUTE(SUBSTITUTE(SUBSTITUTE(SUBSTITUTE(SUBSTITUTE(SUBSTITUTE(LEFT(MID(TRIM(INDEX(PASTE_ALL,20,6)),1+(LEFT(TRIM(INDEX(PASTE_ALL,20,6)),1)="-"),999),LEN(MID(TRIM(INDEX(PASTE_ALL,20,6)),1+(LEFT(TRIM(INDEX(PASTE_ALL,20,6)),1)="-"),999))-(RIGHT(MID(TRIM(INDEX(PASTE_ALL,20,6)),1+(LEFT(TRIM(INDEX(PASTE_ALL,20,6)),1)="-"),999),1)="%")),"0",""),"1",""),"2",""),"3",""),"4",""),"5",""),"6",""),"7",""),"8",""),"9",""),".",""),",","")=""),2,1))),1)</f>
        <v/>
      </c>
      <c r="AE69">
        <f>IFERROR(IF(ISNUMBER(INDEX(PASTE_ALL,20,7)),2,IF(TRIM(INDEX(PASTE_ALL,20,7))="",0,IF(AND(LEFT(MID(TRIM(INDEX(PASTE_ALL,20,7)),1+(LEFT(TRIM(INDEX(PASTE_ALL,20,7)),1)="-"),999),LEN(MID(TRIM(INDEX(PASTE_ALL,20,7)),1+(LEFT(TRIM(INDEX(PASTE_ALL,20,7)),1)="-"),999))-(RIGHT(MID(TRIM(INDEX(PASTE_ALL,20,7)),1+(LEFT(TRIM(INDEX(PASTE_ALL,20,7)),1)="-"),999),1)="%"))&lt;&gt;"",SUBSTITUTE(SUBSTITUTE(SUBSTITUTE(SUBSTITUTE(SUBSTITUTE(SUBSTITUTE(SUBSTITUTE(SUBSTITUTE(SUBSTITUTE(SUBSTITUTE(SUBSTITUTE(SUBSTITUTE(LEFT(MID(TRIM(INDEX(PASTE_ALL,20,7)),1+(LEFT(TRIM(INDEX(PASTE_ALL,20,7)),1)="-"),999),LEN(MID(TRIM(INDEX(PASTE_ALL,20,7)),1+(LEFT(TRIM(INDEX(PASTE_ALL,20,7)),1)="-"),999))-(RIGHT(MID(TRIM(INDEX(PASTE_ALL,20,7)),1+(LEFT(TRIM(INDEX(PASTE_ALL,20,7)),1)="-"),999),1)="%")),"0",""),"1",""),"2",""),"3",""),"4",""),"5",""),"6",""),"7",""),"8",""),"9",""),".",""),",","")=""),2,1))),1)</f>
        <v/>
      </c>
      <c r="AF69">
        <f>IFERROR(IF(ISNUMBER(INDEX(PASTE_ALL,20,8)),2,IF(TRIM(INDEX(PASTE_ALL,20,8))="",0,IF(AND(LEFT(MID(TRIM(INDEX(PASTE_ALL,20,8)),1+(LEFT(TRIM(INDEX(PASTE_ALL,20,8)),1)="-"),999),LEN(MID(TRIM(INDEX(PASTE_ALL,20,8)),1+(LEFT(TRIM(INDEX(PASTE_ALL,20,8)),1)="-"),999))-(RIGHT(MID(TRIM(INDEX(PASTE_ALL,20,8)),1+(LEFT(TRIM(INDEX(PASTE_ALL,20,8)),1)="-"),999),1)="%"))&lt;&gt;"",SUBSTITUTE(SUBSTITUTE(SUBSTITUTE(SUBSTITUTE(SUBSTITUTE(SUBSTITUTE(SUBSTITUTE(SUBSTITUTE(SUBSTITUTE(SUBSTITUTE(SUBSTITUTE(SUBSTITUTE(LEFT(MID(TRIM(INDEX(PASTE_ALL,20,8)),1+(LEFT(TRIM(INDEX(PASTE_ALL,20,8)),1)="-"),999),LEN(MID(TRIM(INDEX(PASTE_ALL,20,8)),1+(LEFT(TRIM(INDEX(PASTE_ALL,20,8)),1)="-"),999))-(RIGHT(MID(TRIM(INDEX(PASTE_ALL,20,8)),1+(LEFT(TRIM(INDEX(PASTE_ALL,20,8)),1)="-"),999),1)="%")),"0",""),"1",""),"2",""),"3",""),"4",""),"5",""),"6",""),"7",""),"8",""),"9",""),".",""),",","")=""),2,1))),1)</f>
        <v/>
      </c>
      <c r="AG69">
        <f>IFERROR(IF(ISNUMBER(INDEX(PASTE_ALL,20,9)),2,IF(TRIM(INDEX(PASTE_ALL,20,9))="",0,IF(AND(LEFT(MID(TRIM(INDEX(PASTE_ALL,20,9)),1+(LEFT(TRIM(INDEX(PASTE_ALL,20,9)),1)="-"),999),LEN(MID(TRIM(INDEX(PASTE_ALL,20,9)),1+(LEFT(TRIM(INDEX(PASTE_ALL,20,9)),1)="-"),999))-(RIGHT(MID(TRIM(INDEX(PASTE_ALL,20,9)),1+(LEFT(TRIM(INDEX(PASTE_ALL,20,9)),1)="-"),999),1)="%"))&lt;&gt;"",SUBSTITUTE(SUBSTITUTE(SUBSTITUTE(SUBSTITUTE(SUBSTITUTE(SUBSTITUTE(SUBSTITUTE(SUBSTITUTE(SUBSTITUTE(SUBSTITUTE(SUBSTITUTE(SUBSTITUTE(LEFT(MID(TRIM(INDEX(PASTE_ALL,20,9)),1+(LEFT(TRIM(INDEX(PASTE_ALL,20,9)),1)="-"),999),LEN(MID(TRIM(INDEX(PASTE_ALL,20,9)),1+(LEFT(TRIM(INDEX(PASTE_ALL,20,9)),1)="-"),999))-(RIGHT(MID(TRIM(INDEX(PASTE_ALL,20,9)),1+(LEFT(TRIM(INDEX(PASTE_ALL,20,9)),1)="-"),999),1)="%")),"0",""),"1",""),"2",""),"3",""),"4",""),"5",""),"6",""),"7",""),"8",""),"9",""),".",""),",","")=""),2,1))),1)</f>
        <v/>
      </c>
      <c r="AH69">
        <f>IFERROR(IF(ISNUMBER(INDEX(PASTE_ALL,20,10)),2,IF(TRIM(INDEX(PASTE_ALL,20,10))="",0,IF(AND(LEFT(MID(TRIM(INDEX(PASTE_ALL,20,10)),1+(LEFT(TRIM(INDEX(PASTE_ALL,20,10)),1)="-"),999),LEN(MID(TRIM(INDEX(PASTE_ALL,20,10)),1+(LEFT(TRIM(INDEX(PASTE_ALL,20,10)),1)="-"),999))-(RIGHT(MID(TRIM(INDEX(PASTE_ALL,20,10)),1+(LEFT(TRIM(INDEX(PASTE_ALL,20,10)),1)="-"),999),1)="%"))&lt;&gt;"",SUBSTITUTE(SUBSTITUTE(SUBSTITUTE(SUBSTITUTE(SUBSTITUTE(SUBSTITUTE(SUBSTITUTE(SUBSTITUTE(SUBSTITUTE(SUBSTITUTE(SUBSTITUTE(SUBSTITUTE(LEFT(MID(TRIM(INDEX(PASTE_ALL,20,10)),1+(LEFT(TRIM(INDEX(PASTE_ALL,20,10)),1)="-"),999),LEN(MID(TRIM(INDEX(PASTE_ALL,20,10)),1+(LEFT(TRIM(INDEX(PASTE_ALL,20,10)),1)="-"),999))-(RIGHT(MID(TRIM(INDEX(PASTE_ALL,20,10)),1+(LEFT(TRIM(INDEX(PASTE_ALL,20,10)),1)="-"),999),1)="%")),"0",""),"1",""),"2",""),"3",""),"4",""),"5",""),"6",""),"7",""),"8",""),"9",""),".",""),",","")=""),2,1))),1)</f>
        <v/>
      </c>
      <c r="AI69">
        <f>IFERROR(IF(ISNUMBER(INDEX(PASTE_ALL,20,11)),2,IF(TRIM(INDEX(PASTE_ALL,20,11))="",0,IF(AND(LEFT(MID(TRIM(INDEX(PASTE_ALL,20,11)),1+(LEFT(TRIM(INDEX(PASTE_ALL,20,11)),1)="-"),999),LEN(MID(TRIM(INDEX(PASTE_ALL,20,11)),1+(LEFT(TRIM(INDEX(PASTE_ALL,20,11)),1)="-"),999))-(RIGHT(MID(TRIM(INDEX(PASTE_ALL,20,11)),1+(LEFT(TRIM(INDEX(PASTE_ALL,20,11)),1)="-"),999),1)="%"))&lt;&gt;"",SUBSTITUTE(SUBSTITUTE(SUBSTITUTE(SUBSTITUTE(SUBSTITUTE(SUBSTITUTE(SUBSTITUTE(SUBSTITUTE(SUBSTITUTE(SUBSTITUTE(SUBSTITUTE(SUBSTITUTE(LEFT(MID(TRIM(INDEX(PASTE_ALL,20,11)),1+(LEFT(TRIM(INDEX(PASTE_ALL,20,11)),1)="-"),999),LEN(MID(TRIM(INDEX(PASTE_ALL,20,11)),1+(LEFT(TRIM(INDEX(PASTE_ALL,20,11)),1)="-"),999))-(RIGHT(MID(TRIM(INDEX(PASTE_ALL,20,11)),1+(LEFT(TRIM(INDEX(PASTE_ALL,20,11)),1)="-"),999),1)="%")),"0",""),"1",""),"2",""),"3",""),"4",""),"5",""),"6",""),"7",""),"8",""),"9",""),".",""),",","")=""),2,1))),1)</f>
        <v/>
      </c>
      <c r="AJ69">
        <f>IFERROR(IF(ISNUMBER(INDEX(PASTE_ALL,20,12)),2,IF(TRIM(INDEX(PASTE_ALL,20,12))="",0,IF(AND(LEFT(MID(TRIM(INDEX(PASTE_ALL,20,12)),1+(LEFT(TRIM(INDEX(PASTE_ALL,20,12)),1)="-"),999),LEN(MID(TRIM(INDEX(PASTE_ALL,20,12)),1+(LEFT(TRIM(INDEX(PASTE_ALL,20,12)),1)="-"),999))-(RIGHT(MID(TRIM(INDEX(PASTE_ALL,20,12)),1+(LEFT(TRIM(INDEX(PASTE_ALL,20,12)),1)="-"),999),1)="%"))&lt;&gt;"",SUBSTITUTE(SUBSTITUTE(SUBSTITUTE(SUBSTITUTE(SUBSTITUTE(SUBSTITUTE(SUBSTITUTE(SUBSTITUTE(SUBSTITUTE(SUBSTITUTE(SUBSTITUTE(SUBSTITUTE(LEFT(MID(TRIM(INDEX(PASTE_ALL,20,12)),1+(LEFT(TRIM(INDEX(PASTE_ALL,20,12)),1)="-"),999),LEN(MID(TRIM(INDEX(PASTE_ALL,20,12)),1+(LEFT(TRIM(INDEX(PASTE_ALL,20,12)),1)="-"),999))-(RIGHT(MID(TRIM(INDEX(PASTE_ALL,20,12)),1+(LEFT(TRIM(INDEX(PASTE_ALL,20,12)),1)="-"),999),1)="%")),"0",""),"1",""),"2",""),"3",""),"4",""),"5",""),"6",""),"7",""),"8",""),"9",""),".",""),",","")=""),2,1))),1)</f>
        <v/>
      </c>
      <c r="AK69">
        <f>IFERROR(IF(ISNUMBER(INDEX(PASTE_ALL,20,13)),2,IF(TRIM(INDEX(PASTE_ALL,20,13))="",0,IF(AND(LEFT(MID(TRIM(INDEX(PASTE_ALL,20,13)),1+(LEFT(TRIM(INDEX(PASTE_ALL,20,13)),1)="-"),999),LEN(MID(TRIM(INDEX(PASTE_ALL,20,13)),1+(LEFT(TRIM(INDEX(PASTE_ALL,20,13)),1)="-"),999))-(RIGHT(MID(TRIM(INDEX(PASTE_ALL,20,13)),1+(LEFT(TRIM(INDEX(PASTE_ALL,20,13)),1)="-"),999),1)="%"))&lt;&gt;"",SUBSTITUTE(SUBSTITUTE(SUBSTITUTE(SUBSTITUTE(SUBSTITUTE(SUBSTITUTE(SUBSTITUTE(SUBSTITUTE(SUBSTITUTE(SUBSTITUTE(SUBSTITUTE(SUBSTITUTE(LEFT(MID(TRIM(INDEX(PASTE_ALL,20,13)),1+(LEFT(TRIM(INDEX(PASTE_ALL,20,13)),1)="-"),999),LEN(MID(TRIM(INDEX(PASTE_ALL,20,13)),1+(LEFT(TRIM(INDEX(PASTE_ALL,20,13)),1)="-"),999))-(RIGHT(MID(TRIM(INDEX(PASTE_ALL,20,13)),1+(LEFT(TRIM(INDEX(PASTE_ALL,20,13)),1)="-"),999),1)="%")),"0",""),"1",""),"2",""),"3",""),"4",""),"5",""),"6",""),"7",""),"8",""),"9",""),".",""),",","")=""),2,1))),1)</f>
        <v/>
      </c>
      <c r="AL69">
        <f>IFERROR(IF(ISNUMBER(INDEX(PASTE_ALL,20,14)),2,IF(TRIM(INDEX(PASTE_ALL,20,14))="",0,IF(AND(LEFT(MID(TRIM(INDEX(PASTE_ALL,20,14)),1+(LEFT(TRIM(INDEX(PASTE_ALL,20,14)),1)="-"),999),LEN(MID(TRIM(INDEX(PASTE_ALL,20,14)),1+(LEFT(TRIM(INDEX(PASTE_ALL,20,14)),1)="-"),999))-(RIGHT(MID(TRIM(INDEX(PASTE_ALL,20,14)),1+(LEFT(TRIM(INDEX(PASTE_ALL,20,14)),1)="-"),999),1)="%"))&lt;&gt;"",SUBSTITUTE(SUBSTITUTE(SUBSTITUTE(SUBSTITUTE(SUBSTITUTE(SUBSTITUTE(SUBSTITUTE(SUBSTITUTE(SUBSTITUTE(SUBSTITUTE(SUBSTITUTE(SUBSTITUTE(LEFT(MID(TRIM(INDEX(PASTE_ALL,20,14)),1+(LEFT(TRIM(INDEX(PASTE_ALL,20,14)),1)="-"),999),LEN(MID(TRIM(INDEX(PASTE_ALL,20,14)),1+(LEFT(TRIM(INDEX(PASTE_ALL,20,14)),1)="-"),999))-(RIGHT(MID(TRIM(INDEX(PASTE_ALL,20,14)),1+(LEFT(TRIM(INDEX(PASTE_ALL,20,14)),1)="-"),999),1)="%")),"0",""),"1",""),"2",""),"3",""),"4",""),"5",""),"6",""),"7",""),"8",""),"9",""),".",""),",","")=""),2,1))),1)</f>
        <v/>
      </c>
      <c r="AM69">
        <f>IFERROR(IF(ISNUMBER(INDEX(PASTE_ALL,20,15)),2,IF(TRIM(INDEX(PASTE_ALL,20,15))="",0,IF(AND(LEFT(MID(TRIM(INDEX(PASTE_ALL,20,15)),1+(LEFT(TRIM(INDEX(PASTE_ALL,20,15)),1)="-"),999),LEN(MID(TRIM(INDEX(PASTE_ALL,20,15)),1+(LEFT(TRIM(INDEX(PASTE_ALL,20,15)),1)="-"),999))-(RIGHT(MID(TRIM(INDEX(PASTE_ALL,20,15)),1+(LEFT(TRIM(INDEX(PASTE_ALL,20,15)),1)="-"),999),1)="%"))&lt;&gt;"",SUBSTITUTE(SUBSTITUTE(SUBSTITUTE(SUBSTITUTE(SUBSTITUTE(SUBSTITUTE(SUBSTITUTE(SUBSTITUTE(SUBSTITUTE(SUBSTITUTE(SUBSTITUTE(SUBSTITUTE(LEFT(MID(TRIM(INDEX(PASTE_ALL,20,15)),1+(LEFT(TRIM(INDEX(PASTE_ALL,20,15)),1)="-"),999),LEN(MID(TRIM(INDEX(PASTE_ALL,20,15)),1+(LEFT(TRIM(INDEX(PASTE_ALL,20,15)),1)="-"),999))-(RIGHT(MID(TRIM(INDEX(PASTE_ALL,20,15)),1+(LEFT(TRIM(INDEX(PASTE_ALL,20,15)),1)="-"),999),1)="%")),"0",""),"1",""),"2",""),"3",""),"4",""),"5",""),"6",""),"7",""),"8",""),"9",""),".",""),",","")=""),2,1))),1)</f>
        <v/>
      </c>
      <c r="AN69">
        <f>IFERROR(IF(ISNUMBER(INDEX(PASTE_ALL,20,16)),2,IF(TRIM(INDEX(PASTE_ALL,20,16))="",0,IF(AND(LEFT(MID(TRIM(INDEX(PASTE_ALL,20,16)),1+(LEFT(TRIM(INDEX(PASTE_ALL,20,16)),1)="-"),999),LEN(MID(TRIM(INDEX(PASTE_ALL,20,16)),1+(LEFT(TRIM(INDEX(PASTE_ALL,20,16)),1)="-"),999))-(RIGHT(MID(TRIM(INDEX(PASTE_ALL,20,16)),1+(LEFT(TRIM(INDEX(PASTE_ALL,20,16)),1)="-"),999),1)="%"))&lt;&gt;"",SUBSTITUTE(SUBSTITUTE(SUBSTITUTE(SUBSTITUTE(SUBSTITUTE(SUBSTITUTE(SUBSTITUTE(SUBSTITUTE(SUBSTITUTE(SUBSTITUTE(SUBSTITUTE(SUBSTITUTE(LEFT(MID(TRIM(INDEX(PASTE_ALL,20,16)),1+(LEFT(TRIM(INDEX(PASTE_ALL,20,16)),1)="-"),999),LEN(MID(TRIM(INDEX(PASTE_ALL,20,16)),1+(LEFT(TRIM(INDEX(PASTE_ALL,20,16)),1)="-"),999))-(RIGHT(MID(TRIM(INDEX(PASTE_ALL,20,16)),1+(LEFT(TRIM(INDEX(PASTE_ALL,20,16)),1)="-"),999),1)="%")),"0",""),"1",""),"2",""),"3",""),"4",""),"5",""),"6",""),"7",""),"8",""),"9",""),".",""),",","")=""),2,1))),1)</f>
        <v/>
      </c>
      <c r="AO69">
        <f>IFERROR(IF(ISNUMBER(INDEX(PASTE_ALL,20,17)),2,IF(TRIM(INDEX(PASTE_ALL,20,17))="",0,IF(AND(LEFT(MID(TRIM(INDEX(PASTE_ALL,20,17)),1+(LEFT(TRIM(INDEX(PASTE_ALL,20,17)),1)="-"),999),LEN(MID(TRIM(INDEX(PASTE_ALL,20,17)),1+(LEFT(TRIM(INDEX(PASTE_ALL,20,17)),1)="-"),999))-(RIGHT(MID(TRIM(INDEX(PASTE_ALL,20,17)),1+(LEFT(TRIM(INDEX(PASTE_ALL,20,17)),1)="-"),999),1)="%"))&lt;&gt;"",SUBSTITUTE(SUBSTITUTE(SUBSTITUTE(SUBSTITUTE(SUBSTITUTE(SUBSTITUTE(SUBSTITUTE(SUBSTITUTE(SUBSTITUTE(SUBSTITUTE(SUBSTITUTE(SUBSTITUTE(LEFT(MID(TRIM(INDEX(PASTE_ALL,20,17)),1+(LEFT(TRIM(INDEX(PASTE_ALL,20,17)),1)="-"),999),LEN(MID(TRIM(INDEX(PASTE_ALL,20,17)),1+(LEFT(TRIM(INDEX(PASTE_ALL,20,17)),1)="-"),999))-(RIGHT(MID(TRIM(INDEX(PASTE_ALL,20,17)),1+(LEFT(TRIM(INDEX(PASTE_ALL,20,17)),1)="-"),999),1)="%")),"0",""),"1",""),"2",""),"3",""),"4",""),"5",""),"6",""),"7",""),"8",""),"9",""),".",""),",","")=""),2,1))),1)</f>
        <v/>
      </c>
      <c r="AP69">
        <f>IFERROR(IF(ISNUMBER(INDEX(PASTE_ALL,20,18)),2,IF(TRIM(INDEX(PASTE_ALL,20,18))="",0,IF(AND(LEFT(MID(TRIM(INDEX(PASTE_ALL,20,18)),1+(LEFT(TRIM(INDEX(PASTE_ALL,20,18)),1)="-"),999),LEN(MID(TRIM(INDEX(PASTE_ALL,20,18)),1+(LEFT(TRIM(INDEX(PASTE_ALL,20,18)),1)="-"),999))-(RIGHT(MID(TRIM(INDEX(PASTE_ALL,20,18)),1+(LEFT(TRIM(INDEX(PASTE_ALL,20,18)),1)="-"),999),1)="%"))&lt;&gt;"",SUBSTITUTE(SUBSTITUTE(SUBSTITUTE(SUBSTITUTE(SUBSTITUTE(SUBSTITUTE(SUBSTITUTE(SUBSTITUTE(SUBSTITUTE(SUBSTITUTE(SUBSTITUTE(SUBSTITUTE(LEFT(MID(TRIM(INDEX(PASTE_ALL,20,18)),1+(LEFT(TRIM(INDEX(PASTE_ALL,20,18)),1)="-"),999),LEN(MID(TRIM(INDEX(PASTE_ALL,20,18)),1+(LEFT(TRIM(INDEX(PASTE_ALL,20,18)),1)="-"),999))-(RIGHT(MID(TRIM(INDEX(PASTE_ALL,20,18)),1+(LEFT(TRIM(INDEX(PASTE_ALL,20,18)),1)="-"),999),1)="%")),"0",""),"1",""),"2",""),"3",""),"4",""),"5",""),"6",""),"7",""),"8",""),"9",""),".",""),",","")=""),2,1))),1)</f>
        <v/>
      </c>
      <c r="AQ69">
        <f>IFERROR(IF(ISNUMBER(INDEX(PASTE_ALL,20,19)),2,IF(TRIM(INDEX(PASTE_ALL,20,19))="",0,IF(AND(LEFT(MID(TRIM(INDEX(PASTE_ALL,20,19)),1+(LEFT(TRIM(INDEX(PASTE_ALL,20,19)),1)="-"),999),LEN(MID(TRIM(INDEX(PASTE_ALL,20,19)),1+(LEFT(TRIM(INDEX(PASTE_ALL,20,19)),1)="-"),999))-(RIGHT(MID(TRIM(INDEX(PASTE_ALL,20,19)),1+(LEFT(TRIM(INDEX(PASTE_ALL,20,19)),1)="-"),999),1)="%"))&lt;&gt;"",SUBSTITUTE(SUBSTITUTE(SUBSTITUTE(SUBSTITUTE(SUBSTITUTE(SUBSTITUTE(SUBSTITUTE(SUBSTITUTE(SUBSTITUTE(SUBSTITUTE(SUBSTITUTE(SUBSTITUTE(LEFT(MID(TRIM(INDEX(PASTE_ALL,20,19)),1+(LEFT(TRIM(INDEX(PASTE_ALL,20,19)),1)="-"),999),LEN(MID(TRIM(INDEX(PASTE_ALL,20,19)),1+(LEFT(TRIM(INDEX(PASTE_ALL,20,19)),1)="-"),999))-(RIGHT(MID(TRIM(INDEX(PASTE_ALL,20,19)),1+(LEFT(TRIM(INDEX(PASTE_ALL,20,19)),1)="-"),999),1)="%")),"0",""),"1",""),"2",""),"3",""),"4",""),"5",""),"6",""),"7",""),"8",""),"9",""),".",""),",","")=""),2,1))),1)</f>
        <v/>
      </c>
      <c r="AR69">
        <f>IFERROR(IF(ISNUMBER(INDEX(PASTE_ALL,20,20)),2,IF(TRIM(INDEX(PASTE_ALL,20,20))="",0,IF(AND(LEFT(MID(TRIM(INDEX(PASTE_ALL,20,20)),1+(LEFT(TRIM(INDEX(PASTE_ALL,20,20)),1)="-"),999),LEN(MID(TRIM(INDEX(PASTE_ALL,20,20)),1+(LEFT(TRIM(INDEX(PASTE_ALL,20,20)),1)="-"),999))-(RIGHT(MID(TRIM(INDEX(PASTE_ALL,20,20)),1+(LEFT(TRIM(INDEX(PASTE_ALL,20,20)),1)="-"),999),1)="%"))&lt;&gt;"",SUBSTITUTE(SUBSTITUTE(SUBSTITUTE(SUBSTITUTE(SUBSTITUTE(SUBSTITUTE(SUBSTITUTE(SUBSTITUTE(SUBSTITUTE(SUBSTITUTE(SUBSTITUTE(SUBSTITUTE(LEFT(MID(TRIM(INDEX(PASTE_ALL,20,20)),1+(LEFT(TRIM(INDEX(PASTE_ALL,20,20)),1)="-"),999),LEN(MID(TRIM(INDEX(PASTE_ALL,20,20)),1+(LEFT(TRIM(INDEX(PASTE_ALL,20,20)),1)="-"),999))-(RIGHT(MID(TRIM(INDEX(PASTE_ALL,20,20)),1+(LEFT(TRIM(INDEX(PASTE_ALL,20,20)),1)="-"),999),1)="%")),"0",""),"1",""),"2",""),"3",""),"4",""),"5",""),"6",""),"7",""),"8",""),"9",""),".",""),",","")=""),2,1))),1)</f>
        <v/>
      </c>
      <c r="AS69">
        <f>IFERROR(IF(ISNUMBER(INDEX(PASTE_ALL,20,21)),2,IF(TRIM(INDEX(PASTE_ALL,20,21))="",0,IF(AND(LEFT(MID(TRIM(INDEX(PASTE_ALL,20,21)),1+(LEFT(TRIM(INDEX(PASTE_ALL,20,21)),1)="-"),999),LEN(MID(TRIM(INDEX(PASTE_ALL,20,21)),1+(LEFT(TRIM(INDEX(PASTE_ALL,20,21)),1)="-"),999))-(RIGHT(MID(TRIM(INDEX(PASTE_ALL,20,21)),1+(LEFT(TRIM(INDEX(PASTE_ALL,20,21)),1)="-"),999),1)="%"))&lt;&gt;"",SUBSTITUTE(SUBSTITUTE(SUBSTITUTE(SUBSTITUTE(SUBSTITUTE(SUBSTITUTE(SUBSTITUTE(SUBSTITUTE(SUBSTITUTE(SUBSTITUTE(SUBSTITUTE(SUBSTITUTE(LEFT(MID(TRIM(INDEX(PASTE_ALL,20,21)),1+(LEFT(TRIM(INDEX(PASTE_ALL,20,21)),1)="-"),999),LEN(MID(TRIM(INDEX(PASTE_ALL,20,21)),1+(LEFT(TRIM(INDEX(PASTE_ALL,20,21)),1)="-"),999))-(RIGHT(MID(TRIM(INDEX(PASTE_ALL,20,21)),1+(LEFT(TRIM(INDEX(PASTE_ALL,20,21)),1)="-"),999),1)="%")),"0",""),"1",""),"2",""),"3",""),"4",""),"5",""),"6",""),"7",""),"8",""),"9",""),".",""),",","")=""),2,1))),1)</f>
        <v/>
      </c>
      <c r="AT69">
        <f>IFERROR(IF(ISNUMBER(INDEX(PASTE_ALL,20,22)),2,IF(TRIM(INDEX(PASTE_ALL,20,22))="",0,IF(AND(LEFT(MID(TRIM(INDEX(PASTE_ALL,20,22)),1+(LEFT(TRIM(INDEX(PASTE_ALL,20,22)),1)="-"),999),LEN(MID(TRIM(INDEX(PASTE_ALL,20,22)),1+(LEFT(TRIM(INDEX(PASTE_ALL,20,22)),1)="-"),999))-(RIGHT(MID(TRIM(INDEX(PASTE_ALL,20,22)),1+(LEFT(TRIM(INDEX(PASTE_ALL,20,22)),1)="-"),999),1)="%"))&lt;&gt;"",SUBSTITUTE(SUBSTITUTE(SUBSTITUTE(SUBSTITUTE(SUBSTITUTE(SUBSTITUTE(SUBSTITUTE(SUBSTITUTE(SUBSTITUTE(SUBSTITUTE(SUBSTITUTE(SUBSTITUTE(LEFT(MID(TRIM(INDEX(PASTE_ALL,20,22)),1+(LEFT(TRIM(INDEX(PASTE_ALL,20,22)),1)="-"),999),LEN(MID(TRIM(INDEX(PASTE_ALL,20,22)),1+(LEFT(TRIM(INDEX(PASTE_ALL,20,22)),1)="-"),999))-(RIGHT(MID(TRIM(INDEX(PASTE_ALL,20,22)),1+(LEFT(TRIM(INDEX(PASTE_ALL,20,22)),1)="-"),999),1)="%")),"0",""),"1",""),"2",""),"3",""),"4",""),"5",""),"6",""),"7",""),"8",""),"9",""),".",""),",","")=""),2,1))),1)</f>
        <v/>
      </c>
      <c r="AU69">
        <f>IFERROR(IF(ISNUMBER(INDEX(PASTE_ALL,20,23)),2,IF(TRIM(INDEX(PASTE_ALL,20,23))="",0,IF(AND(LEFT(MID(TRIM(INDEX(PASTE_ALL,20,23)),1+(LEFT(TRIM(INDEX(PASTE_ALL,20,23)),1)="-"),999),LEN(MID(TRIM(INDEX(PASTE_ALL,20,23)),1+(LEFT(TRIM(INDEX(PASTE_ALL,20,23)),1)="-"),999))-(RIGHT(MID(TRIM(INDEX(PASTE_ALL,20,23)),1+(LEFT(TRIM(INDEX(PASTE_ALL,20,23)),1)="-"),999),1)="%"))&lt;&gt;"",SUBSTITUTE(SUBSTITUTE(SUBSTITUTE(SUBSTITUTE(SUBSTITUTE(SUBSTITUTE(SUBSTITUTE(SUBSTITUTE(SUBSTITUTE(SUBSTITUTE(SUBSTITUTE(SUBSTITUTE(LEFT(MID(TRIM(INDEX(PASTE_ALL,20,23)),1+(LEFT(TRIM(INDEX(PASTE_ALL,20,23)),1)="-"),999),LEN(MID(TRIM(INDEX(PASTE_ALL,20,23)),1+(LEFT(TRIM(INDEX(PASTE_ALL,20,23)),1)="-"),999))-(RIGHT(MID(TRIM(INDEX(PASTE_ALL,20,23)),1+(LEFT(TRIM(INDEX(PASTE_ALL,20,23)),1)="-"),999),1)="%")),"0",""),"1",""),"2",""),"3",""),"4",""),"5",""),"6",""),"7",""),"8",""),"9",""),".",""),",","")=""),2,1))),1)</f>
        <v/>
      </c>
      <c r="AV69">
        <f>IFERROR(IF(ISNUMBER(INDEX(PASTE_ALL,20,24)),2,IF(TRIM(INDEX(PASTE_ALL,20,24))="",0,IF(AND(LEFT(MID(TRIM(INDEX(PASTE_ALL,20,24)),1+(LEFT(TRIM(INDEX(PASTE_ALL,20,24)),1)="-"),999),LEN(MID(TRIM(INDEX(PASTE_ALL,20,24)),1+(LEFT(TRIM(INDEX(PASTE_ALL,20,24)),1)="-"),999))-(RIGHT(MID(TRIM(INDEX(PASTE_ALL,20,24)),1+(LEFT(TRIM(INDEX(PASTE_ALL,20,24)),1)="-"),999),1)="%"))&lt;&gt;"",SUBSTITUTE(SUBSTITUTE(SUBSTITUTE(SUBSTITUTE(SUBSTITUTE(SUBSTITUTE(SUBSTITUTE(SUBSTITUTE(SUBSTITUTE(SUBSTITUTE(SUBSTITUTE(SUBSTITUTE(LEFT(MID(TRIM(INDEX(PASTE_ALL,20,24)),1+(LEFT(TRIM(INDEX(PASTE_ALL,20,24)),1)="-"),999),LEN(MID(TRIM(INDEX(PASTE_ALL,20,24)),1+(LEFT(TRIM(INDEX(PASTE_ALL,20,24)),1)="-"),999))-(RIGHT(MID(TRIM(INDEX(PASTE_ALL,20,24)),1+(LEFT(TRIM(INDEX(PASTE_ALL,20,24)),1)="-"),999),1)="%")),"0",""),"1",""),"2",""),"3",""),"4",""),"5",""),"6",""),"7",""),"8",""),"9",""),".",""),",","")=""),2,1))),1)</f>
        <v/>
      </c>
      <c r="AW69">
        <f>IFERROR(IF(ISNUMBER(INDEX(PASTE_ALL,20,25)),2,IF(TRIM(INDEX(PASTE_ALL,20,25))="",0,IF(AND(LEFT(MID(TRIM(INDEX(PASTE_ALL,20,25)),1+(LEFT(TRIM(INDEX(PASTE_ALL,20,25)),1)="-"),999),LEN(MID(TRIM(INDEX(PASTE_ALL,20,25)),1+(LEFT(TRIM(INDEX(PASTE_ALL,20,25)),1)="-"),999))-(RIGHT(MID(TRIM(INDEX(PASTE_ALL,20,25)),1+(LEFT(TRIM(INDEX(PASTE_ALL,20,25)),1)="-"),999),1)="%"))&lt;&gt;"",SUBSTITUTE(SUBSTITUTE(SUBSTITUTE(SUBSTITUTE(SUBSTITUTE(SUBSTITUTE(SUBSTITUTE(SUBSTITUTE(SUBSTITUTE(SUBSTITUTE(SUBSTITUTE(SUBSTITUTE(LEFT(MID(TRIM(INDEX(PASTE_ALL,20,25)),1+(LEFT(TRIM(INDEX(PASTE_ALL,20,25)),1)="-"),999),LEN(MID(TRIM(INDEX(PASTE_ALL,20,25)),1+(LEFT(TRIM(INDEX(PASTE_ALL,20,25)),1)="-"),999))-(RIGHT(MID(TRIM(INDEX(PASTE_ALL,20,25)),1+(LEFT(TRIM(INDEX(PASTE_ALL,20,25)),1)="-"),999),1)="%")),"0",""),"1",""),"2",""),"3",""),"4",""),"5",""),"6",""),"7",""),"8",""),"9",""),".",""),",","")=""),2,1))),1)</f>
        <v/>
      </c>
      <c r="AX69">
        <f>IFERROR(IF(ISNUMBER(INDEX(PASTE_ALL,20,26)),2,IF(TRIM(INDEX(PASTE_ALL,20,26))="",0,IF(AND(LEFT(MID(TRIM(INDEX(PASTE_ALL,20,26)),1+(LEFT(TRIM(INDEX(PASTE_ALL,20,26)),1)="-"),999),LEN(MID(TRIM(INDEX(PASTE_ALL,20,26)),1+(LEFT(TRIM(INDEX(PASTE_ALL,20,26)),1)="-"),999))-(RIGHT(MID(TRIM(INDEX(PASTE_ALL,20,26)),1+(LEFT(TRIM(INDEX(PASTE_ALL,20,26)),1)="-"),999),1)="%"))&lt;&gt;"",SUBSTITUTE(SUBSTITUTE(SUBSTITUTE(SUBSTITUTE(SUBSTITUTE(SUBSTITUTE(SUBSTITUTE(SUBSTITUTE(SUBSTITUTE(SUBSTITUTE(SUBSTITUTE(SUBSTITUTE(LEFT(MID(TRIM(INDEX(PASTE_ALL,20,26)),1+(LEFT(TRIM(INDEX(PASTE_ALL,20,26)),1)="-"),999),LEN(MID(TRIM(INDEX(PASTE_ALL,20,26)),1+(LEFT(TRIM(INDEX(PASTE_ALL,20,26)),1)="-"),999))-(RIGHT(MID(TRIM(INDEX(PASTE_ALL,20,26)),1+(LEFT(TRIM(INDEX(PASTE_ALL,20,26)),1)="-"),999),1)="%")),"0",""),"1",""),"2",""),"3",""),"4",""),"5",""),"6",""),"7",""),"8",""),"9",""),".",""),",","")=""),2,1))),1)</f>
        <v/>
      </c>
      <c r="AY69">
        <f>IFERROR(IF(ISNUMBER(INDEX(PASTE_ALL,20,27)),2,IF(TRIM(INDEX(PASTE_ALL,20,27))="",0,IF(AND(LEFT(MID(TRIM(INDEX(PASTE_ALL,20,27)),1+(LEFT(TRIM(INDEX(PASTE_ALL,20,27)),1)="-"),999),LEN(MID(TRIM(INDEX(PASTE_ALL,20,27)),1+(LEFT(TRIM(INDEX(PASTE_ALL,20,27)),1)="-"),999))-(RIGHT(MID(TRIM(INDEX(PASTE_ALL,20,27)),1+(LEFT(TRIM(INDEX(PASTE_ALL,20,27)),1)="-"),999),1)="%"))&lt;&gt;"",SUBSTITUTE(SUBSTITUTE(SUBSTITUTE(SUBSTITUTE(SUBSTITUTE(SUBSTITUTE(SUBSTITUTE(SUBSTITUTE(SUBSTITUTE(SUBSTITUTE(SUBSTITUTE(SUBSTITUTE(LEFT(MID(TRIM(INDEX(PASTE_ALL,20,27)),1+(LEFT(TRIM(INDEX(PASTE_ALL,20,27)),1)="-"),999),LEN(MID(TRIM(INDEX(PASTE_ALL,20,27)),1+(LEFT(TRIM(INDEX(PASTE_ALL,20,27)),1)="-"),999))-(RIGHT(MID(TRIM(INDEX(PASTE_ALL,20,27)),1+(LEFT(TRIM(INDEX(PASTE_ALL,20,27)),1)="-"),999),1)="%")),"0",""),"1",""),"2",""),"3",""),"4",""),"5",""),"6",""),"7",""),"8",""),"9",""),".",""),",","")=""),2,1))),1)</f>
        <v/>
      </c>
      <c r="AZ69">
        <f>IFERROR(IF(ISNUMBER(INDEX(PASTE_ALL,20,28)),2,IF(TRIM(INDEX(PASTE_ALL,20,28))="",0,IF(AND(LEFT(MID(TRIM(INDEX(PASTE_ALL,20,28)),1+(LEFT(TRIM(INDEX(PASTE_ALL,20,28)),1)="-"),999),LEN(MID(TRIM(INDEX(PASTE_ALL,20,28)),1+(LEFT(TRIM(INDEX(PASTE_ALL,20,28)),1)="-"),999))-(RIGHT(MID(TRIM(INDEX(PASTE_ALL,20,28)),1+(LEFT(TRIM(INDEX(PASTE_ALL,20,28)),1)="-"),999),1)="%"))&lt;&gt;"",SUBSTITUTE(SUBSTITUTE(SUBSTITUTE(SUBSTITUTE(SUBSTITUTE(SUBSTITUTE(SUBSTITUTE(SUBSTITUTE(SUBSTITUTE(SUBSTITUTE(SUBSTITUTE(SUBSTITUTE(LEFT(MID(TRIM(INDEX(PASTE_ALL,20,28)),1+(LEFT(TRIM(INDEX(PASTE_ALL,20,28)),1)="-"),999),LEN(MID(TRIM(INDEX(PASTE_ALL,20,28)),1+(LEFT(TRIM(INDEX(PASTE_ALL,20,28)),1)="-"),999))-(RIGHT(MID(TRIM(INDEX(PASTE_ALL,20,28)),1+(LEFT(TRIM(INDEX(PASTE_ALL,20,28)),1)="-"),999),1)="%")),"0",""),"1",""),"2",""),"3",""),"4",""),"5",""),"6",""),"7",""),"8",""),"9",""),".",""),",","")=""),2,1))),1)</f>
        <v/>
      </c>
      <c r="BA69">
        <f>IFERROR(IF(ISNUMBER(INDEX(PASTE_ALL,20,29)),2,IF(TRIM(INDEX(PASTE_ALL,20,29))="",0,IF(AND(LEFT(MID(TRIM(INDEX(PASTE_ALL,20,29)),1+(LEFT(TRIM(INDEX(PASTE_ALL,20,29)),1)="-"),999),LEN(MID(TRIM(INDEX(PASTE_ALL,20,29)),1+(LEFT(TRIM(INDEX(PASTE_ALL,20,29)),1)="-"),999))-(RIGHT(MID(TRIM(INDEX(PASTE_ALL,20,29)),1+(LEFT(TRIM(INDEX(PASTE_ALL,20,29)),1)="-"),999),1)="%"))&lt;&gt;"",SUBSTITUTE(SUBSTITUTE(SUBSTITUTE(SUBSTITUTE(SUBSTITUTE(SUBSTITUTE(SUBSTITUTE(SUBSTITUTE(SUBSTITUTE(SUBSTITUTE(SUBSTITUTE(SUBSTITUTE(LEFT(MID(TRIM(INDEX(PASTE_ALL,20,29)),1+(LEFT(TRIM(INDEX(PASTE_ALL,20,29)),1)="-"),999),LEN(MID(TRIM(INDEX(PASTE_ALL,20,29)),1+(LEFT(TRIM(INDEX(PASTE_ALL,20,29)),1)="-"),999))-(RIGHT(MID(TRIM(INDEX(PASTE_ALL,20,29)),1+(LEFT(TRIM(INDEX(PASTE_ALL,20,29)),1)="-"),999),1)="%")),"0",""),"1",""),"2",""),"3",""),"4",""),"5",""),"6",""),"7",""),"8",""),"9",""),".",""),",","")=""),2,1))),1)</f>
        <v/>
      </c>
      <c r="BB69">
        <f>IFERROR(IF(ISNUMBER(INDEX(PASTE_ALL,20,30)),2,IF(TRIM(INDEX(PASTE_ALL,20,30))="",0,IF(AND(LEFT(MID(TRIM(INDEX(PASTE_ALL,20,30)),1+(LEFT(TRIM(INDEX(PASTE_ALL,20,30)),1)="-"),999),LEN(MID(TRIM(INDEX(PASTE_ALL,20,30)),1+(LEFT(TRIM(INDEX(PASTE_ALL,20,30)),1)="-"),999))-(RIGHT(MID(TRIM(INDEX(PASTE_ALL,20,30)),1+(LEFT(TRIM(INDEX(PASTE_ALL,20,30)),1)="-"),999),1)="%"))&lt;&gt;"",SUBSTITUTE(SUBSTITUTE(SUBSTITUTE(SUBSTITUTE(SUBSTITUTE(SUBSTITUTE(SUBSTITUTE(SUBSTITUTE(SUBSTITUTE(SUBSTITUTE(SUBSTITUTE(SUBSTITUTE(LEFT(MID(TRIM(INDEX(PASTE_ALL,20,30)),1+(LEFT(TRIM(INDEX(PASTE_ALL,20,30)),1)="-"),999),LEN(MID(TRIM(INDEX(PASTE_ALL,20,30)),1+(LEFT(TRIM(INDEX(PASTE_ALL,20,30)),1)="-"),999))-(RIGHT(MID(TRIM(INDEX(PASTE_ALL,20,30)),1+(LEFT(TRIM(INDEX(PASTE_ALL,20,30)),1)="-"),999),1)="%")),"0",""),"1",""),"2",""),"3",""),"4",""),"5",""),"6",""),"7",""),"8",""),"9",""),".",""),",","")=""),2,1))),1)</f>
        <v/>
      </c>
      <c r="BC69">
        <f>IFERROR(IF(ISNUMBER(INDEX(PASTE_ALL,20,31)),2,IF(TRIM(INDEX(PASTE_ALL,20,31))="",0,IF(AND(LEFT(MID(TRIM(INDEX(PASTE_ALL,20,31)),1+(LEFT(TRIM(INDEX(PASTE_ALL,20,31)),1)="-"),999),LEN(MID(TRIM(INDEX(PASTE_ALL,20,31)),1+(LEFT(TRIM(INDEX(PASTE_ALL,20,31)),1)="-"),999))-(RIGHT(MID(TRIM(INDEX(PASTE_ALL,20,31)),1+(LEFT(TRIM(INDEX(PASTE_ALL,20,31)),1)="-"),999),1)="%"))&lt;&gt;"",SUBSTITUTE(SUBSTITUTE(SUBSTITUTE(SUBSTITUTE(SUBSTITUTE(SUBSTITUTE(SUBSTITUTE(SUBSTITUTE(SUBSTITUTE(SUBSTITUTE(SUBSTITUTE(SUBSTITUTE(LEFT(MID(TRIM(INDEX(PASTE_ALL,20,31)),1+(LEFT(TRIM(INDEX(PASTE_ALL,20,31)),1)="-"),999),LEN(MID(TRIM(INDEX(PASTE_ALL,20,31)),1+(LEFT(TRIM(INDEX(PASTE_ALL,20,31)),1)="-"),999))-(RIGHT(MID(TRIM(INDEX(PASTE_ALL,20,31)),1+(LEFT(TRIM(INDEX(PASTE_ALL,20,31)),1)="-"),999),1)="%")),"0",""),"1",""),"2",""),"3",""),"4",""),"5",""),"6",""),"7",""),"8",""),"9",""),".",""),",","")=""),2,1))),1)</f>
        <v/>
      </c>
      <c r="BD69">
        <f>IFERROR(IF(ISNUMBER(INDEX(PASTE_ALL,20,32)),2,IF(TRIM(INDEX(PASTE_ALL,20,32))="",0,IF(AND(LEFT(MID(TRIM(INDEX(PASTE_ALL,20,32)),1+(LEFT(TRIM(INDEX(PASTE_ALL,20,32)),1)="-"),999),LEN(MID(TRIM(INDEX(PASTE_ALL,20,32)),1+(LEFT(TRIM(INDEX(PASTE_ALL,20,32)),1)="-"),999))-(RIGHT(MID(TRIM(INDEX(PASTE_ALL,20,32)),1+(LEFT(TRIM(INDEX(PASTE_ALL,20,32)),1)="-"),999),1)="%"))&lt;&gt;"",SUBSTITUTE(SUBSTITUTE(SUBSTITUTE(SUBSTITUTE(SUBSTITUTE(SUBSTITUTE(SUBSTITUTE(SUBSTITUTE(SUBSTITUTE(SUBSTITUTE(SUBSTITUTE(SUBSTITUTE(LEFT(MID(TRIM(INDEX(PASTE_ALL,20,32)),1+(LEFT(TRIM(INDEX(PASTE_ALL,20,32)),1)="-"),999),LEN(MID(TRIM(INDEX(PASTE_ALL,20,32)),1+(LEFT(TRIM(INDEX(PASTE_ALL,20,32)),1)="-"),999))-(RIGHT(MID(TRIM(INDEX(PASTE_ALL,20,32)),1+(LEFT(TRIM(INDEX(PASTE_ALL,20,32)),1)="-"),999),1)="%")),"0",""),"1",""),"2",""),"3",""),"4",""),"5",""),"6",""),"7",""),"8",""),"9",""),".",""),",","")=""),2,1))),1)</f>
        <v/>
      </c>
      <c r="BE69">
        <f>IFERROR(IF(ISNUMBER(INDEX(PASTE_ALL,20,33)),2,IF(TRIM(INDEX(PASTE_ALL,20,33))="",0,IF(AND(LEFT(MID(TRIM(INDEX(PASTE_ALL,20,33)),1+(LEFT(TRIM(INDEX(PASTE_ALL,20,33)),1)="-"),999),LEN(MID(TRIM(INDEX(PASTE_ALL,20,33)),1+(LEFT(TRIM(INDEX(PASTE_ALL,20,33)),1)="-"),999))-(RIGHT(MID(TRIM(INDEX(PASTE_ALL,20,33)),1+(LEFT(TRIM(INDEX(PASTE_ALL,20,33)),1)="-"),999),1)="%"))&lt;&gt;"",SUBSTITUTE(SUBSTITUTE(SUBSTITUTE(SUBSTITUTE(SUBSTITUTE(SUBSTITUTE(SUBSTITUTE(SUBSTITUTE(SUBSTITUTE(SUBSTITUTE(SUBSTITUTE(SUBSTITUTE(LEFT(MID(TRIM(INDEX(PASTE_ALL,20,33)),1+(LEFT(TRIM(INDEX(PASTE_ALL,20,33)),1)="-"),999),LEN(MID(TRIM(INDEX(PASTE_ALL,20,33)),1+(LEFT(TRIM(INDEX(PASTE_ALL,20,33)),1)="-"),999))-(RIGHT(MID(TRIM(INDEX(PASTE_ALL,20,33)),1+(LEFT(TRIM(INDEX(PASTE_ALL,20,33)),1)="-"),999),1)="%")),"0",""),"1",""),"2",""),"3",""),"4",""),"5",""),"6",""),"7",""),"8",""),"9",""),".",""),",","")=""),2,1))),1)</f>
        <v/>
      </c>
      <c r="BF69">
        <f>IFERROR(IF(ISNUMBER(INDEX(PASTE_ALL,20,34)),2,IF(TRIM(INDEX(PASTE_ALL,20,34))="",0,IF(AND(LEFT(MID(TRIM(INDEX(PASTE_ALL,20,34)),1+(LEFT(TRIM(INDEX(PASTE_ALL,20,34)),1)="-"),999),LEN(MID(TRIM(INDEX(PASTE_ALL,20,34)),1+(LEFT(TRIM(INDEX(PASTE_ALL,20,34)),1)="-"),999))-(RIGHT(MID(TRIM(INDEX(PASTE_ALL,20,34)),1+(LEFT(TRIM(INDEX(PASTE_ALL,20,34)),1)="-"),999),1)="%"))&lt;&gt;"",SUBSTITUTE(SUBSTITUTE(SUBSTITUTE(SUBSTITUTE(SUBSTITUTE(SUBSTITUTE(SUBSTITUTE(SUBSTITUTE(SUBSTITUTE(SUBSTITUTE(SUBSTITUTE(SUBSTITUTE(LEFT(MID(TRIM(INDEX(PASTE_ALL,20,34)),1+(LEFT(TRIM(INDEX(PASTE_ALL,20,34)),1)="-"),999),LEN(MID(TRIM(INDEX(PASTE_ALL,20,34)),1+(LEFT(TRIM(INDEX(PASTE_ALL,20,34)),1)="-"),999))-(RIGHT(MID(TRIM(INDEX(PASTE_ALL,20,34)),1+(LEFT(TRIM(INDEX(PASTE_ALL,20,34)),1)="-"),999),1)="%")),"0",""),"1",""),"2",""),"3",""),"4",""),"5",""),"6",""),"7",""),"8",""),"9",""),".",""),",","")=""),2,1))),1)</f>
        <v/>
      </c>
      <c r="BG69">
        <f>IFERROR(IF(ISNUMBER(INDEX(PASTE_ALL,20,35)),2,IF(TRIM(INDEX(PASTE_ALL,20,35))="",0,IF(AND(LEFT(MID(TRIM(INDEX(PASTE_ALL,20,35)),1+(LEFT(TRIM(INDEX(PASTE_ALL,20,35)),1)="-"),999),LEN(MID(TRIM(INDEX(PASTE_ALL,20,35)),1+(LEFT(TRIM(INDEX(PASTE_ALL,20,35)),1)="-"),999))-(RIGHT(MID(TRIM(INDEX(PASTE_ALL,20,35)),1+(LEFT(TRIM(INDEX(PASTE_ALL,20,35)),1)="-"),999),1)="%"))&lt;&gt;"",SUBSTITUTE(SUBSTITUTE(SUBSTITUTE(SUBSTITUTE(SUBSTITUTE(SUBSTITUTE(SUBSTITUTE(SUBSTITUTE(SUBSTITUTE(SUBSTITUTE(SUBSTITUTE(SUBSTITUTE(LEFT(MID(TRIM(INDEX(PASTE_ALL,20,35)),1+(LEFT(TRIM(INDEX(PASTE_ALL,20,35)),1)="-"),999),LEN(MID(TRIM(INDEX(PASTE_ALL,20,35)),1+(LEFT(TRIM(INDEX(PASTE_ALL,20,35)),1)="-"),999))-(RIGHT(MID(TRIM(INDEX(PASTE_ALL,20,35)),1+(LEFT(TRIM(INDEX(PASTE_ALL,20,35)),1)="-"),999),1)="%")),"0",""),"1",""),"2",""),"3",""),"4",""),"5",""),"6",""),"7",""),"8",""),"9",""),".",""),",","")=""),2,1))),1)</f>
        <v/>
      </c>
      <c r="BH69">
        <f>IFERROR(IF(ISNUMBER(INDEX(PASTE_ALL,20,36)),2,IF(TRIM(INDEX(PASTE_ALL,20,36))="",0,IF(AND(LEFT(MID(TRIM(INDEX(PASTE_ALL,20,36)),1+(LEFT(TRIM(INDEX(PASTE_ALL,20,36)),1)="-"),999),LEN(MID(TRIM(INDEX(PASTE_ALL,20,36)),1+(LEFT(TRIM(INDEX(PASTE_ALL,20,36)),1)="-"),999))-(RIGHT(MID(TRIM(INDEX(PASTE_ALL,20,36)),1+(LEFT(TRIM(INDEX(PASTE_ALL,20,36)),1)="-"),999),1)="%"))&lt;&gt;"",SUBSTITUTE(SUBSTITUTE(SUBSTITUTE(SUBSTITUTE(SUBSTITUTE(SUBSTITUTE(SUBSTITUTE(SUBSTITUTE(SUBSTITUTE(SUBSTITUTE(SUBSTITUTE(SUBSTITUTE(LEFT(MID(TRIM(INDEX(PASTE_ALL,20,36)),1+(LEFT(TRIM(INDEX(PASTE_ALL,20,36)),1)="-"),999),LEN(MID(TRIM(INDEX(PASTE_ALL,20,36)),1+(LEFT(TRIM(INDEX(PASTE_ALL,20,36)),1)="-"),999))-(RIGHT(MID(TRIM(INDEX(PASTE_ALL,20,36)),1+(LEFT(TRIM(INDEX(PASTE_ALL,20,36)),1)="-"),999),1)="%")),"0",""),"1",""),"2",""),"3",""),"4",""),"5",""),"6",""),"7",""),"8",""),"9",""),".",""),",","")=""),2,1))),1)</f>
        <v/>
      </c>
      <c r="BI69">
        <f>IFERROR(IF(ISNUMBER(INDEX(PASTE_ALL,20,37)),2,IF(TRIM(INDEX(PASTE_ALL,20,37))="",0,IF(AND(LEFT(MID(TRIM(INDEX(PASTE_ALL,20,37)),1+(LEFT(TRIM(INDEX(PASTE_ALL,20,37)),1)="-"),999),LEN(MID(TRIM(INDEX(PASTE_ALL,20,37)),1+(LEFT(TRIM(INDEX(PASTE_ALL,20,37)),1)="-"),999))-(RIGHT(MID(TRIM(INDEX(PASTE_ALL,20,37)),1+(LEFT(TRIM(INDEX(PASTE_ALL,20,37)),1)="-"),999),1)="%"))&lt;&gt;"",SUBSTITUTE(SUBSTITUTE(SUBSTITUTE(SUBSTITUTE(SUBSTITUTE(SUBSTITUTE(SUBSTITUTE(SUBSTITUTE(SUBSTITUTE(SUBSTITUTE(SUBSTITUTE(SUBSTITUTE(LEFT(MID(TRIM(INDEX(PASTE_ALL,20,37)),1+(LEFT(TRIM(INDEX(PASTE_ALL,20,37)),1)="-"),999),LEN(MID(TRIM(INDEX(PASTE_ALL,20,37)),1+(LEFT(TRIM(INDEX(PASTE_ALL,20,37)),1)="-"),999))-(RIGHT(MID(TRIM(INDEX(PASTE_ALL,20,37)),1+(LEFT(TRIM(INDEX(PASTE_ALL,20,37)),1)="-"),999),1)="%")),"0",""),"1",""),"2",""),"3",""),"4",""),"5",""),"6",""),"7",""),"8",""),"9",""),".",""),",","")=""),2,1))),1)</f>
        <v/>
      </c>
      <c r="BJ69">
        <f>IFERROR(IF(ISNUMBER(INDEX(PASTE_ALL,20,38)),2,IF(TRIM(INDEX(PASTE_ALL,20,38))="",0,IF(AND(LEFT(MID(TRIM(INDEX(PASTE_ALL,20,38)),1+(LEFT(TRIM(INDEX(PASTE_ALL,20,38)),1)="-"),999),LEN(MID(TRIM(INDEX(PASTE_ALL,20,38)),1+(LEFT(TRIM(INDEX(PASTE_ALL,20,38)),1)="-"),999))-(RIGHT(MID(TRIM(INDEX(PASTE_ALL,20,38)),1+(LEFT(TRIM(INDEX(PASTE_ALL,20,38)),1)="-"),999),1)="%"))&lt;&gt;"",SUBSTITUTE(SUBSTITUTE(SUBSTITUTE(SUBSTITUTE(SUBSTITUTE(SUBSTITUTE(SUBSTITUTE(SUBSTITUTE(SUBSTITUTE(SUBSTITUTE(SUBSTITUTE(SUBSTITUTE(LEFT(MID(TRIM(INDEX(PASTE_ALL,20,38)),1+(LEFT(TRIM(INDEX(PASTE_ALL,20,38)),1)="-"),999),LEN(MID(TRIM(INDEX(PASTE_ALL,20,38)),1+(LEFT(TRIM(INDEX(PASTE_ALL,20,38)),1)="-"),999))-(RIGHT(MID(TRIM(INDEX(PASTE_ALL,20,38)),1+(LEFT(TRIM(INDEX(PASTE_ALL,20,38)),1)="-"),999),1)="%")),"0",""),"1",""),"2",""),"3",""),"4",""),"5",""),"6",""),"7",""),"8",""),"9",""),".",""),",","")=""),2,1))),1)</f>
        <v/>
      </c>
      <c r="BK69">
        <f>IFERROR(IF(ISNUMBER(INDEX(PASTE_ALL,20,39)),2,IF(TRIM(INDEX(PASTE_ALL,20,39))="",0,IF(AND(LEFT(MID(TRIM(INDEX(PASTE_ALL,20,39)),1+(LEFT(TRIM(INDEX(PASTE_ALL,20,39)),1)="-"),999),LEN(MID(TRIM(INDEX(PASTE_ALL,20,39)),1+(LEFT(TRIM(INDEX(PASTE_ALL,20,39)),1)="-"),999))-(RIGHT(MID(TRIM(INDEX(PASTE_ALL,20,39)),1+(LEFT(TRIM(INDEX(PASTE_ALL,20,39)),1)="-"),999),1)="%"))&lt;&gt;"",SUBSTITUTE(SUBSTITUTE(SUBSTITUTE(SUBSTITUTE(SUBSTITUTE(SUBSTITUTE(SUBSTITUTE(SUBSTITUTE(SUBSTITUTE(SUBSTITUTE(SUBSTITUTE(SUBSTITUTE(LEFT(MID(TRIM(INDEX(PASTE_ALL,20,39)),1+(LEFT(TRIM(INDEX(PASTE_ALL,20,39)),1)="-"),999),LEN(MID(TRIM(INDEX(PASTE_ALL,20,39)),1+(LEFT(TRIM(INDEX(PASTE_ALL,20,39)),1)="-"),999))-(RIGHT(MID(TRIM(INDEX(PASTE_ALL,20,39)),1+(LEFT(TRIM(INDEX(PASTE_ALL,20,39)),1)="-"),999),1)="%")),"0",""),"1",""),"2",""),"3",""),"4",""),"5",""),"6",""),"7",""),"8",""),"9",""),".",""),",","")=""),2,1))),1)</f>
        <v/>
      </c>
      <c r="BL69">
        <f>IFERROR(IF(ISNUMBER(INDEX(PASTE_ALL,20,40)),2,IF(TRIM(INDEX(PASTE_ALL,20,40))="",0,IF(AND(LEFT(MID(TRIM(INDEX(PASTE_ALL,20,40)),1+(LEFT(TRIM(INDEX(PASTE_ALL,20,40)),1)="-"),999),LEN(MID(TRIM(INDEX(PASTE_ALL,20,40)),1+(LEFT(TRIM(INDEX(PASTE_ALL,20,40)),1)="-"),999))-(RIGHT(MID(TRIM(INDEX(PASTE_ALL,20,40)),1+(LEFT(TRIM(INDEX(PASTE_ALL,20,40)),1)="-"),999),1)="%"))&lt;&gt;"",SUBSTITUTE(SUBSTITUTE(SUBSTITUTE(SUBSTITUTE(SUBSTITUTE(SUBSTITUTE(SUBSTITUTE(SUBSTITUTE(SUBSTITUTE(SUBSTITUTE(SUBSTITUTE(SUBSTITUTE(LEFT(MID(TRIM(INDEX(PASTE_ALL,20,40)),1+(LEFT(TRIM(INDEX(PASTE_ALL,20,40)),1)="-"),999),LEN(MID(TRIM(INDEX(PASTE_ALL,20,40)),1+(LEFT(TRIM(INDEX(PASTE_ALL,20,40)),1)="-"),999))-(RIGHT(MID(TRIM(INDEX(PASTE_ALL,20,40)),1+(LEFT(TRIM(INDEX(PASTE_ALL,20,40)),1)="-"),999),1)="%")),"0",""),"1",""),"2",""),"3",""),"4",""),"5",""),"6",""),"7",""),"8",""),"9",""),".",""),",","")=""),2,1))),1)</f>
        <v/>
      </c>
      <c r="BM69">
        <f>IFERROR(IF(ISNUMBER(INDEX(PASTE_ALL,20,41)),2,IF(TRIM(INDEX(PASTE_ALL,20,41))="",0,IF(AND(LEFT(MID(TRIM(INDEX(PASTE_ALL,20,41)),1+(LEFT(TRIM(INDEX(PASTE_ALL,20,41)),1)="-"),999),LEN(MID(TRIM(INDEX(PASTE_ALL,20,41)),1+(LEFT(TRIM(INDEX(PASTE_ALL,20,41)),1)="-"),999))-(RIGHT(MID(TRIM(INDEX(PASTE_ALL,20,41)),1+(LEFT(TRIM(INDEX(PASTE_ALL,20,41)),1)="-"),999),1)="%"))&lt;&gt;"",SUBSTITUTE(SUBSTITUTE(SUBSTITUTE(SUBSTITUTE(SUBSTITUTE(SUBSTITUTE(SUBSTITUTE(SUBSTITUTE(SUBSTITUTE(SUBSTITUTE(SUBSTITUTE(SUBSTITUTE(LEFT(MID(TRIM(INDEX(PASTE_ALL,20,41)),1+(LEFT(TRIM(INDEX(PASTE_ALL,20,41)),1)="-"),999),LEN(MID(TRIM(INDEX(PASTE_ALL,20,41)),1+(LEFT(TRIM(INDEX(PASTE_ALL,20,41)),1)="-"),999))-(RIGHT(MID(TRIM(INDEX(PASTE_ALL,20,41)),1+(LEFT(TRIM(INDEX(PASTE_ALL,20,41)),1)="-"),999),1)="%")),"0",""),"1",""),"2",""),"3",""),"4",""),"5",""),"6",""),"7",""),"8",""),"9",""),".",""),",","")=""),2,1))),1)</f>
        <v/>
      </c>
      <c r="BN69">
        <f>IFERROR(IF(ISNUMBER(INDEX(PASTE_ALL,20,42)),2,IF(TRIM(INDEX(PASTE_ALL,20,42))="",0,IF(AND(LEFT(MID(TRIM(INDEX(PASTE_ALL,20,42)),1+(LEFT(TRIM(INDEX(PASTE_ALL,20,42)),1)="-"),999),LEN(MID(TRIM(INDEX(PASTE_ALL,20,42)),1+(LEFT(TRIM(INDEX(PASTE_ALL,20,42)),1)="-"),999))-(RIGHT(MID(TRIM(INDEX(PASTE_ALL,20,42)),1+(LEFT(TRIM(INDEX(PASTE_ALL,20,42)),1)="-"),999),1)="%"))&lt;&gt;"",SUBSTITUTE(SUBSTITUTE(SUBSTITUTE(SUBSTITUTE(SUBSTITUTE(SUBSTITUTE(SUBSTITUTE(SUBSTITUTE(SUBSTITUTE(SUBSTITUTE(SUBSTITUTE(SUBSTITUTE(LEFT(MID(TRIM(INDEX(PASTE_ALL,20,42)),1+(LEFT(TRIM(INDEX(PASTE_ALL,20,42)),1)="-"),999),LEN(MID(TRIM(INDEX(PASTE_ALL,20,42)),1+(LEFT(TRIM(INDEX(PASTE_ALL,20,42)),1)="-"),999))-(RIGHT(MID(TRIM(INDEX(PASTE_ALL,20,42)),1+(LEFT(TRIM(INDEX(PASTE_ALL,20,42)),1)="-"),999),1)="%")),"0",""),"1",""),"2",""),"3",""),"4",""),"5",""),"6",""),"7",""),"8",""),"9",""),".",""),",","")=""),2,1))),1)</f>
        <v/>
      </c>
      <c r="BO69">
        <f>IFERROR(IF(ISNUMBER(INDEX(PASTE_ALL,20,43)),2,IF(TRIM(INDEX(PASTE_ALL,20,43))="",0,IF(AND(LEFT(MID(TRIM(INDEX(PASTE_ALL,20,43)),1+(LEFT(TRIM(INDEX(PASTE_ALL,20,43)),1)="-"),999),LEN(MID(TRIM(INDEX(PASTE_ALL,20,43)),1+(LEFT(TRIM(INDEX(PASTE_ALL,20,43)),1)="-"),999))-(RIGHT(MID(TRIM(INDEX(PASTE_ALL,20,43)),1+(LEFT(TRIM(INDEX(PASTE_ALL,20,43)),1)="-"),999),1)="%"))&lt;&gt;"",SUBSTITUTE(SUBSTITUTE(SUBSTITUTE(SUBSTITUTE(SUBSTITUTE(SUBSTITUTE(SUBSTITUTE(SUBSTITUTE(SUBSTITUTE(SUBSTITUTE(SUBSTITUTE(SUBSTITUTE(LEFT(MID(TRIM(INDEX(PASTE_ALL,20,43)),1+(LEFT(TRIM(INDEX(PASTE_ALL,20,43)),1)="-"),999),LEN(MID(TRIM(INDEX(PASTE_ALL,20,43)),1+(LEFT(TRIM(INDEX(PASTE_ALL,20,43)),1)="-"),999))-(RIGHT(MID(TRIM(INDEX(PASTE_ALL,20,43)),1+(LEFT(TRIM(INDEX(PASTE_ALL,20,43)),1)="-"),999),1)="%")),"0",""),"1",""),"2",""),"3",""),"4",""),"5",""),"6",""),"7",""),"8",""),"9",""),".",""),",","")=""),2,1))),1)</f>
        <v/>
      </c>
      <c r="BP69">
        <f>IFERROR(IF(ISNUMBER(INDEX(PASTE_ALL,20,44)),2,IF(TRIM(INDEX(PASTE_ALL,20,44))="",0,IF(AND(LEFT(MID(TRIM(INDEX(PASTE_ALL,20,44)),1+(LEFT(TRIM(INDEX(PASTE_ALL,20,44)),1)="-"),999),LEN(MID(TRIM(INDEX(PASTE_ALL,20,44)),1+(LEFT(TRIM(INDEX(PASTE_ALL,20,44)),1)="-"),999))-(RIGHT(MID(TRIM(INDEX(PASTE_ALL,20,44)),1+(LEFT(TRIM(INDEX(PASTE_ALL,20,44)),1)="-"),999),1)="%"))&lt;&gt;"",SUBSTITUTE(SUBSTITUTE(SUBSTITUTE(SUBSTITUTE(SUBSTITUTE(SUBSTITUTE(SUBSTITUTE(SUBSTITUTE(SUBSTITUTE(SUBSTITUTE(SUBSTITUTE(SUBSTITUTE(LEFT(MID(TRIM(INDEX(PASTE_ALL,20,44)),1+(LEFT(TRIM(INDEX(PASTE_ALL,20,44)),1)="-"),999),LEN(MID(TRIM(INDEX(PASTE_ALL,20,44)),1+(LEFT(TRIM(INDEX(PASTE_ALL,20,44)),1)="-"),999))-(RIGHT(MID(TRIM(INDEX(PASTE_ALL,20,44)),1+(LEFT(TRIM(INDEX(PASTE_ALL,20,44)),1)="-"),999),1)="%")),"0",""),"1",""),"2",""),"3",""),"4",""),"5",""),"6",""),"7",""),"8",""),"9",""),".",""),",","")=""),2,1))),1)</f>
        <v/>
      </c>
      <c r="BQ69">
        <f>IFERROR(IF(ISNUMBER(INDEX(PASTE_ALL,20,45)),2,IF(TRIM(INDEX(PASTE_ALL,20,45))="",0,IF(AND(LEFT(MID(TRIM(INDEX(PASTE_ALL,20,45)),1+(LEFT(TRIM(INDEX(PASTE_ALL,20,45)),1)="-"),999),LEN(MID(TRIM(INDEX(PASTE_ALL,20,45)),1+(LEFT(TRIM(INDEX(PASTE_ALL,20,45)),1)="-"),999))-(RIGHT(MID(TRIM(INDEX(PASTE_ALL,20,45)),1+(LEFT(TRIM(INDEX(PASTE_ALL,20,45)),1)="-"),999),1)="%"))&lt;&gt;"",SUBSTITUTE(SUBSTITUTE(SUBSTITUTE(SUBSTITUTE(SUBSTITUTE(SUBSTITUTE(SUBSTITUTE(SUBSTITUTE(SUBSTITUTE(SUBSTITUTE(SUBSTITUTE(SUBSTITUTE(LEFT(MID(TRIM(INDEX(PASTE_ALL,20,45)),1+(LEFT(TRIM(INDEX(PASTE_ALL,20,45)),1)="-"),999),LEN(MID(TRIM(INDEX(PASTE_ALL,20,45)),1+(LEFT(TRIM(INDEX(PASTE_ALL,20,45)),1)="-"),999))-(RIGHT(MID(TRIM(INDEX(PASTE_ALL,20,45)),1+(LEFT(TRIM(INDEX(PASTE_ALL,20,45)),1)="-"),999),1)="%")),"0",""),"1",""),"2",""),"3",""),"4",""),"5",""),"6",""),"7",""),"8",""),"9",""),".",""),",","")=""),2,1))),1)</f>
        <v/>
      </c>
      <c r="BR69">
        <f>IFERROR(IF(ISNUMBER(INDEX(PASTE_ALL,20,46)),2,IF(TRIM(INDEX(PASTE_ALL,20,46))="",0,IF(AND(LEFT(MID(TRIM(INDEX(PASTE_ALL,20,46)),1+(LEFT(TRIM(INDEX(PASTE_ALL,20,46)),1)="-"),999),LEN(MID(TRIM(INDEX(PASTE_ALL,20,46)),1+(LEFT(TRIM(INDEX(PASTE_ALL,20,46)),1)="-"),999))-(RIGHT(MID(TRIM(INDEX(PASTE_ALL,20,46)),1+(LEFT(TRIM(INDEX(PASTE_ALL,20,46)),1)="-"),999),1)="%"))&lt;&gt;"",SUBSTITUTE(SUBSTITUTE(SUBSTITUTE(SUBSTITUTE(SUBSTITUTE(SUBSTITUTE(SUBSTITUTE(SUBSTITUTE(SUBSTITUTE(SUBSTITUTE(SUBSTITUTE(SUBSTITUTE(LEFT(MID(TRIM(INDEX(PASTE_ALL,20,46)),1+(LEFT(TRIM(INDEX(PASTE_ALL,20,46)),1)="-"),999),LEN(MID(TRIM(INDEX(PASTE_ALL,20,46)),1+(LEFT(TRIM(INDEX(PASTE_ALL,20,46)),1)="-"),999))-(RIGHT(MID(TRIM(INDEX(PASTE_ALL,20,46)),1+(LEFT(TRIM(INDEX(PASTE_ALL,20,46)),1)="-"),999),1)="%")),"0",""),"1",""),"2",""),"3",""),"4",""),"5",""),"6",""),"7",""),"8",""),"9",""),".",""),",","")=""),2,1))),1)</f>
        <v/>
      </c>
      <c r="BS69">
        <f>IFERROR(IF(ISNUMBER(INDEX(PASTE_ALL,20,47)),2,IF(TRIM(INDEX(PASTE_ALL,20,47))="",0,IF(AND(LEFT(MID(TRIM(INDEX(PASTE_ALL,20,47)),1+(LEFT(TRIM(INDEX(PASTE_ALL,20,47)),1)="-"),999),LEN(MID(TRIM(INDEX(PASTE_ALL,20,47)),1+(LEFT(TRIM(INDEX(PASTE_ALL,20,47)),1)="-"),999))-(RIGHT(MID(TRIM(INDEX(PASTE_ALL,20,47)),1+(LEFT(TRIM(INDEX(PASTE_ALL,20,47)),1)="-"),999),1)="%"))&lt;&gt;"",SUBSTITUTE(SUBSTITUTE(SUBSTITUTE(SUBSTITUTE(SUBSTITUTE(SUBSTITUTE(SUBSTITUTE(SUBSTITUTE(SUBSTITUTE(SUBSTITUTE(SUBSTITUTE(SUBSTITUTE(LEFT(MID(TRIM(INDEX(PASTE_ALL,20,47)),1+(LEFT(TRIM(INDEX(PASTE_ALL,20,47)),1)="-"),999),LEN(MID(TRIM(INDEX(PASTE_ALL,20,47)),1+(LEFT(TRIM(INDEX(PASTE_ALL,20,47)),1)="-"),999))-(RIGHT(MID(TRIM(INDEX(PASTE_ALL,20,47)),1+(LEFT(TRIM(INDEX(PASTE_ALL,20,47)),1)="-"),999),1)="%")),"0",""),"1",""),"2",""),"3",""),"4",""),"5",""),"6",""),"7",""),"8",""),"9",""),".",""),",","")=""),2,1))),1)</f>
        <v/>
      </c>
      <c r="BT69">
        <f>IFERROR(IF(ISNUMBER(INDEX(PASTE_ALL,20,48)),2,IF(TRIM(INDEX(PASTE_ALL,20,48))="",0,IF(AND(LEFT(MID(TRIM(INDEX(PASTE_ALL,20,48)),1+(LEFT(TRIM(INDEX(PASTE_ALL,20,48)),1)="-"),999),LEN(MID(TRIM(INDEX(PASTE_ALL,20,48)),1+(LEFT(TRIM(INDEX(PASTE_ALL,20,48)),1)="-"),999))-(RIGHT(MID(TRIM(INDEX(PASTE_ALL,20,48)),1+(LEFT(TRIM(INDEX(PASTE_ALL,20,48)),1)="-"),999),1)="%"))&lt;&gt;"",SUBSTITUTE(SUBSTITUTE(SUBSTITUTE(SUBSTITUTE(SUBSTITUTE(SUBSTITUTE(SUBSTITUTE(SUBSTITUTE(SUBSTITUTE(SUBSTITUTE(SUBSTITUTE(SUBSTITUTE(LEFT(MID(TRIM(INDEX(PASTE_ALL,20,48)),1+(LEFT(TRIM(INDEX(PASTE_ALL,20,48)),1)="-"),999),LEN(MID(TRIM(INDEX(PASTE_ALL,20,48)),1+(LEFT(TRIM(INDEX(PASTE_ALL,20,48)),1)="-"),999))-(RIGHT(MID(TRIM(INDEX(PASTE_ALL,20,48)),1+(LEFT(TRIM(INDEX(PASTE_ALL,20,48)),1)="-"),999),1)="%")),"0",""),"1",""),"2",""),"3",""),"4",""),"5",""),"6",""),"7",""),"8",""),"9",""),".",""),",","")=""),2,1))),1)</f>
        <v/>
      </c>
      <c r="BU69">
        <f>IFERROR(IF(ISNUMBER(INDEX(PASTE_ALL,20,49)),2,IF(TRIM(INDEX(PASTE_ALL,20,49))="",0,IF(AND(LEFT(MID(TRIM(INDEX(PASTE_ALL,20,49)),1+(LEFT(TRIM(INDEX(PASTE_ALL,20,49)),1)="-"),999),LEN(MID(TRIM(INDEX(PASTE_ALL,20,49)),1+(LEFT(TRIM(INDEX(PASTE_ALL,20,49)),1)="-"),999))-(RIGHT(MID(TRIM(INDEX(PASTE_ALL,20,49)),1+(LEFT(TRIM(INDEX(PASTE_ALL,20,49)),1)="-"),999),1)="%"))&lt;&gt;"",SUBSTITUTE(SUBSTITUTE(SUBSTITUTE(SUBSTITUTE(SUBSTITUTE(SUBSTITUTE(SUBSTITUTE(SUBSTITUTE(SUBSTITUTE(SUBSTITUTE(SUBSTITUTE(SUBSTITUTE(LEFT(MID(TRIM(INDEX(PASTE_ALL,20,49)),1+(LEFT(TRIM(INDEX(PASTE_ALL,20,49)),1)="-"),999),LEN(MID(TRIM(INDEX(PASTE_ALL,20,49)),1+(LEFT(TRIM(INDEX(PASTE_ALL,20,49)),1)="-"),999))-(RIGHT(MID(TRIM(INDEX(PASTE_ALL,20,49)),1+(LEFT(TRIM(INDEX(PASTE_ALL,20,49)),1)="-"),999),1)="%")),"0",""),"1",""),"2",""),"3",""),"4",""),"5",""),"6",""),"7",""),"8",""),"9",""),".",""),",","")=""),2,1))),1)</f>
        <v/>
      </c>
      <c r="BV69">
        <f>IFERROR(IF(ISNUMBER(INDEX(PASTE_ALL,20,50)),2,IF(TRIM(INDEX(PASTE_ALL,20,50))="",0,IF(AND(LEFT(MID(TRIM(INDEX(PASTE_ALL,20,50)),1+(LEFT(TRIM(INDEX(PASTE_ALL,20,50)),1)="-"),999),LEN(MID(TRIM(INDEX(PASTE_ALL,20,50)),1+(LEFT(TRIM(INDEX(PASTE_ALL,20,50)),1)="-"),999))-(RIGHT(MID(TRIM(INDEX(PASTE_ALL,20,50)),1+(LEFT(TRIM(INDEX(PASTE_ALL,20,50)),1)="-"),999),1)="%"))&lt;&gt;"",SUBSTITUTE(SUBSTITUTE(SUBSTITUTE(SUBSTITUTE(SUBSTITUTE(SUBSTITUTE(SUBSTITUTE(SUBSTITUTE(SUBSTITUTE(SUBSTITUTE(SUBSTITUTE(SUBSTITUTE(LEFT(MID(TRIM(INDEX(PASTE_ALL,20,50)),1+(LEFT(TRIM(INDEX(PASTE_ALL,20,50)),1)="-"),999),LEN(MID(TRIM(INDEX(PASTE_ALL,20,50)),1+(LEFT(TRIM(INDEX(PASTE_ALL,20,50)),1)="-"),999))-(RIGHT(MID(TRIM(INDEX(PASTE_ALL,20,50)),1+(LEFT(TRIM(INDEX(PASTE_ALL,20,50)),1)="-"),999),1)="%")),"0",""),"1",""),"2",""),"3",""),"4",""),"5",""),"6",""),"7",""),"8",""),"9",""),".",""),",","")=""),2,1))),1)</f>
        <v/>
      </c>
      <c r="BW69">
        <f>IFERROR(IF(ISNUMBER(INDEX(PASTE_ALL,20,51)),2,IF(TRIM(INDEX(PASTE_ALL,20,51))="",0,IF(AND(LEFT(MID(TRIM(INDEX(PASTE_ALL,20,51)),1+(LEFT(TRIM(INDEX(PASTE_ALL,20,51)),1)="-"),999),LEN(MID(TRIM(INDEX(PASTE_ALL,20,51)),1+(LEFT(TRIM(INDEX(PASTE_ALL,20,51)),1)="-"),999))-(RIGHT(MID(TRIM(INDEX(PASTE_ALL,20,51)),1+(LEFT(TRIM(INDEX(PASTE_ALL,20,51)),1)="-"),999),1)="%"))&lt;&gt;"",SUBSTITUTE(SUBSTITUTE(SUBSTITUTE(SUBSTITUTE(SUBSTITUTE(SUBSTITUTE(SUBSTITUTE(SUBSTITUTE(SUBSTITUTE(SUBSTITUTE(SUBSTITUTE(SUBSTITUTE(LEFT(MID(TRIM(INDEX(PASTE_ALL,20,51)),1+(LEFT(TRIM(INDEX(PASTE_ALL,20,51)),1)="-"),999),LEN(MID(TRIM(INDEX(PASTE_ALL,20,51)),1+(LEFT(TRIM(INDEX(PASTE_ALL,20,51)),1)="-"),999))-(RIGHT(MID(TRIM(INDEX(PASTE_ALL,20,51)),1+(LEFT(TRIM(INDEX(PASTE_ALL,20,51)),1)="-"),999),1)="%")),"0",""),"1",""),"2",""),"3",""),"4",""),"5",""),"6",""),"7",""),"8",""),"9",""),".",""),",","")=""),2,1))),1)</f>
        <v/>
      </c>
      <c r="BX69">
        <f>IFERROR(IF(ISNUMBER(INDEX(PASTE_ALL,20,52)),2,IF(TRIM(INDEX(PASTE_ALL,20,52))="",0,IF(AND(LEFT(MID(TRIM(INDEX(PASTE_ALL,20,52)),1+(LEFT(TRIM(INDEX(PASTE_ALL,20,52)),1)="-"),999),LEN(MID(TRIM(INDEX(PASTE_ALL,20,52)),1+(LEFT(TRIM(INDEX(PASTE_ALL,20,52)),1)="-"),999))-(RIGHT(MID(TRIM(INDEX(PASTE_ALL,20,52)),1+(LEFT(TRIM(INDEX(PASTE_ALL,20,52)),1)="-"),999),1)="%"))&lt;&gt;"",SUBSTITUTE(SUBSTITUTE(SUBSTITUTE(SUBSTITUTE(SUBSTITUTE(SUBSTITUTE(SUBSTITUTE(SUBSTITUTE(SUBSTITUTE(SUBSTITUTE(SUBSTITUTE(SUBSTITUTE(LEFT(MID(TRIM(INDEX(PASTE_ALL,20,52)),1+(LEFT(TRIM(INDEX(PASTE_ALL,20,52)),1)="-"),999),LEN(MID(TRIM(INDEX(PASTE_ALL,20,52)),1+(LEFT(TRIM(INDEX(PASTE_ALL,20,52)),1)="-"),999))-(RIGHT(MID(TRIM(INDEX(PASTE_ALL,20,52)),1+(LEFT(TRIM(INDEX(PASTE_ALL,20,52)),1)="-"),999),1)="%")),"0",""),"1",""),"2",""),"3",""),"4",""),"5",""),"6",""),"7",""),"8",""),"9",""),".",""),",","")=""),2,1))),1)</f>
        <v/>
      </c>
      <c r="BY69">
        <f>IFERROR(IF(ISNUMBER(INDEX(PASTE_ALL,20,53)),2,IF(TRIM(INDEX(PASTE_ALL,20,53))="",0,IF(AND(LEFT(MID(TRIM(INDEX(PASTE_ALL,20,53)),1+(LEFT(TRIM(INDEX(PASTE_ALL,20,53)),1)="-"),999),LEN(MID(TRIM(INDEX(PASTE_ALL,20,53)),1+(LEFT(TRIM(INDEX(PASTE_ALL,20,53)),1)="-"),999))-(RIGHT(MID(TRIM(INDEX(PASTE_ALL,20,53)),1+(LEFT(TRIM(INDEX(PASTE_ALL,20,53)),1)="-"),999),1)="%"))&lt;&gt;"",SUBSTITUTE(SUBSTITUTE(SUBSTITUTE(SUBSTITUTE(SUBSTITUTE(SUBSTITUTE(SUBSTITUTE(SUBSTITUTE(SUBSTITUTE(SUBSTITUTE(SUBSTITUTE(SUBSTITUTE(LEFT(MID(TRIM(INDEX(PASTE_ALL,20,53)),1+(LEFT(TRIM(INDEX(PASTE_ALL,20,53)),1)="-"),999),LEN(MID(TRIM(INDEX(PASTE_ALL,20,53)),1+(LEFT(TRIM(INDEX(PASTE_ALL,20,53)),1)="-"),999))-(RIGHT(MID(TRIM(INDEX(PASTE_ALL,20,53)),1+(LEFT(TRIM(INDEX(PASTE_ALL,20,53)),1)="-"),999),1)="%")),"0",""),"1",""),"2",""),"3",""),"4",""),"5",""),"6",""),"7",""),"8",""),"9",""),".",""),",","")=""),2,1))),1)</f>
        <v/>
      </c>
      <c r="BZ69">
        <f>IFERROR(IF(ISNUMBER(INDEX(PASTE_ALL,20,54)),2,IF(TRIM(INDEX(PASTE_ALL,20,54))="",0,IF(AND(LEFT(MID(TRIM(INDEX(PASTE_ALL,20,54)),1+(LEFT(TRIM(INDEX(PASTE_ALL,20,54)),1)="-"),999),LEN(MID(TRIM(INDEX(PASTE_ALL,20,54)),1+(LEFT(TRIM(INDEX(PASTE_ALL,20,54)),1)="-"),999))-(RIGHT(MID(TRIM(INDEX(PASTE_ALL,20,54)),1+(LEFT(TRIM(INDEX(PASTE_ALL,20,54)),1)="-"),999),1)="%"))&lt;&gt;"",SUBSTITUTE(SUBSTITUTE(SUBSTITUTE(SUBSTITUTE(SUBSTITUTE(SUBSTITUTE(SUBSTITUTE(SUBSTITUTE(SUBSTITUTE(SUBSTITUTE(SUBSTITUTE(SUBSTITUTE(LEFT(MID(TRIM(INDEX(PASTE_ALL,20,54)),1+(LEFT(TRIM(INDEX(PASTE_ALL,20,54)),1)="-"),999),LEN(MID(TRIM(INDEX(PASTE_ALL,20,54)),1+(LEFT(TRIM(INDEX(PASTE_ALL,20,54)),1)="-"),999))-(RIGHT(MID(TRIM(INDEX(PASTE_ALL,20,54)),1+(LEFT(TRIM(INDEX(PASTE_ALL,20,54)),1)="-"),999),1)="%")),"0",""),"1",""),"2",""),"3",""),"4",""),"5",""),"6",""),"7",""),"8",""),"9",""),".",""),",","")=""),2,1))),1)</f>
        <v/>
      </c>
      <c r="CA69">
        <f>IFERROR(IF(ISNUMBER(INDEX(PASTE_ALL,20,55)),2,IF(TRIM(INDEX(PASTE_ALL,20,55))="",0,IF(AND(LEFT(MID(TRIM(INDEX(PASTE_ALL,20,55)),1+(LEFT(TRIM(INDEX(PASTE_ALL,20,55)),1)="-"),999),LEN(MID(TRIM(INDEX(PASTE_ALL,20,55)),1+(LEFT(TRIM(INDEX(PASTE_ALL,20,55)),1)="-"),999))-(RIGHT(MID(TRIM(INDEX(PASTE_ALL,20,55)),1+(LEFT(TRIM(INDEX(PASTE_ALL,20,55)),1)="-"),999),1)="%"))&lt;&gt;"",SUBSTITUTE(SUBSTITUTE(SUBSTITUTE(SUBSTITUTE(SUBSTITUTE(SUBSTITUTE(SUBSTITUTE(SUBSTITUTE(SUBSTITUTE(SUBSTITUTE(SUBSTITUTE(SUBSTITUTE(LEFT(MID(TRIM(INDEX(PASTE_ALL,20,55)),1+(LEFT(TRIM(INDEX(PASTE_ALL,20,55)),1)="-"),999),LEN(MID(TRIM(INDEX(PASTE_ALL,20,55)),1+(LEFT(TRIM(INDEX(PASTE_ALL,20,55)),1)="-"),999))-(RIGHT(MID(TRIM(INDEX(PASTE_ALL,20,55)),1+(LEFT(TRIM(INDEX(PASTE_ALL,20,55)),1)="-"),999),1)="%")),"0",""),"1",""),"2",""),"3",""),"4",""),"5",""),"6",""),"7",""),"8",""),"9",""),".",""),",","")=""),2,1))),1)</f>
        <v/>
      </c>
      <c r="CB69">
        <f>IFERROR(IF(ISNUMBER(INDEX(PASTE_ALL,20,56)),2,IF(TRIM(INDEX(PASTE_ALL,20,56))="",0,IF(AND(LEFT(MID(TRIM(INDEX(PASTE_ALL,20,56)),1+(LEFT(TRIM(INDEX(PASTE_ALL,20,56)),1)="-"),999),LEN(MID(TRIM(INDEX(PASTE_ALL,20,56)),1+(LEFT(TRIM(INDEX(PASTE_ALL,20,56)),1)="-"),999))-(RIGHT(MID(TRIM(INDEX(PASTE_ALL,20,56)),1+(LEFT(TRIM(INDEX(PASTE_ALL,20,56)),1)="-"),999),1)="%"))&lt;&gt;"",SUBSTITUTE(SUBSTITUTE(SUBSTITUTE(SUBSTITUTE(SUBSTITUTE(SUBSTITUTE(SUBSTITUTE(SUBSTITUTE(SUBSTITUTE(SUBSTITUTE(SUBSTITUTE(SUBSTITUTE(LEFT(MID(TRIM(INDEX(PASTE_ALL,20,56)),1+(LEFT(TRIM(INDEX(PASTE_ALL,20,56)),1)="-"),999),LEN(MID(TRIM(INDEX(PASTE_ALL,20,56)),1+(LEFT(TRIM(INDEX(PASTE_ALL,20,56)),1)="-"),999))-(RIGHT(MID(TRIM(INDEX(PASTE_ALL,20,56)),1+(LEFT(TRIM(INDEX(PASTE_ALL,20,56)),1)="-"),999),1)="%")),"0",""),"1",""),"2",""),"3",""),"4",""),"5",""),"6",""),"7",""),"8",""),"9",""),".",""),",","")=""),2,1))),1)</f>
        <v/>
      </c>
      <c r="CC69">
        <f>IFERROR(IF(ISNUMBER(INDEX(PASTE_ALL,20,57)),2,IF(TRIM(INDEX(PASTE_ALL,20,57))="",0,IF(AND(LEFT(MID(TRIM(INDEX(PASTE_ALL,20,57)),1+(LEFT(TRIM(INDEX(PASTE_ALL,20,57)),1)="-"),999),LEN(MID(TRIM(INDEX(PASTE_ALL,20,57)),1+(LEFT(TRIM(INDEX(PASTE_ALL,20,57)),1)="-"),999))-(RIGHT(MID(TRIM(INDEX(PASTE_ALL,20,57)),1+(LEFT(TRIM(INDEX(PASTE_ALL,20,57)),1)="-"),999),1)="%"))&lt;&gt;"",SUBSTITUTE(SUBSTITUTE(SUBSTITUTE(SUBSTITUTE(SUBSTITUTE(SUBSTITUTE(SUBSTITUTE(SUBSTITUTE(SUBSTITUTE(SUBSTITUTE(SUBSTITUTE(SUBSTITUTE(LEFT(MID(TRIM(INDEX(PASTE_ALL,20,57)),1+(LEFT(TRIM(INDEX(PASTE_ALL,20,57)),1)="-"),999),LEN(MID(TRIM(INDEX(PASTE_ALL,20,57)),1+(LEFT(TRIM(INDEX(PASTE_ALL,20,57)),1)="-"),999))-(RIGHT(MID(TRIM(INDEX(PASTE_ALL,20,57)),1+(LEFT(TRIM(INDEX(PASTE_ALL,20,57)),1)="-"),999),1)="%")),"0",""),"1",""),"2",""),"3",""),"4",""),"5",""),"6",""),"7",""),"8",""),"9",""),".",""),",","")=""),2,1))),1)</f>
        <v/>
      </c>
      <c r="CD69">
        <f>IFERROR(IF(ISNUMBER(INDEX(PASTE_ALL,20,58)),2,IF(TRIM(INDEX(PASTE_ALL,20,58))="",0,IF(AND(LEFT(MID(TRIM(INDEX(PASTE_ALL,20,58)),1+(LEFT(TRIM(INDEX(PASTE_ALL,20,58)),1)="-"),999),LEN(MID(TRIM(INDEX(PASTE_ALL,20,58)),1+(LEFT(TRIM(INDEX(PASTE_ALL,20,58)),1)="-"),999))-(RIGHT(MID(TRIM(INDEX(PASTE_ALL,20,58)),1+(LEFT(TRIM(INDEX(PASTE_ALL,20,58)),1)="-"),999),1)="%"))&lt;&gt;"",SUBSTITUTE(SUBSTITUTE(SUBSTITUTE(SUBSTITUTE(SUBSTITUTE(SUBSTITUTE(SUBSTITUTE(SUBSTITUTE(SUBSTITUTE(SUBSTITUTE(SUBSTITUTE(SUBSTITUTE(LEFT(MID(TRIM(INDEX(PASTE_ALL,20,58)),1+(LEFT(TRIM(INDEX(PASTE_ALL,20,58)),1)="-"),999),LEN(MID(TRIM(INDEX(PASTE_ALL,20,58)),1+(LEFT(TRIM(INDEX(PASTE_ALL,20,58)),1)="-"),999))-(RIGHT(MID(TRIM(INDEX(PASTE_ALL,20,58)),1+(LEFT(TRIM(INDEX(PASTE_ALL,20,58)),1)="-"),999),1)="%")),"0",""),"1",""),"2",""),"3",""),"4",""),"5",""),"6",""),"7",""),"8",""),"9",""),".",""),",","")=""),2,1))),1)</f>
        <v/>
      </c>
      <c r="CE69">
        <f>IFERROR(IF(ISNUMBER(INDEX(PASTE_ALL,20,59)),2,IF(TRIM(INDEX(PASTE_ALL,20,59))="",0,IF(AND(LEFT(MID(TRIM(INDEX(PASTE_ALL,20,59)),1+(LEFT(TRIM(INDEX(PASTE_ALL,20,59)),1)="-"),999),LEN(MID(TRIM(INDEX(PASTE_ALL,20,59)),1+(LEFT(TRIM(INDEX(PASTE_ALL,20,59)),1)="-"),999))-(RIGHT(MID(TRIM(INDEX(PASTE_ALL,20,59)),1+(LEFT(TRIM(INDEX(PASTE_ALL,20,59)),1)="-"),999),1)="%"))&lt;&gt;"",SUBSTITUTE(SUBSTITUTE(SUBSTITUTE(SUBSTITUTE(SUBSTITUTE(SUBSTITUTE(SUBSTITUTE(SUBSTITUTE(SUBSTITUTE(SUBSTITUTE(SUBSTITUTE(SUBSTITUTE(LEFT(MID(TRIM(INDEX(PASTE_ALL,20,59)),1+(LEFT(TRIM(INDEX(PASTE_ALL,20,59)),1)="-"),999),LEN(MID(TRIM(INDEX(PASTE_ALL,20,59)),1+(LEFT(TRIM(INDEX(PASTE_ALL,20,59)),1)="-"),999))-(RIGHT(MID(TRIM(INDEX(PASTE_ALL,20,59)),1+(LEFT(TRIM(INDEX(PASTE_ALL,20,59)),1)="-"),999),1)="%")),"0",""),"1",""),"2",""),"3",""),"4",""),"5",""),"6",""),"7",""),"8",""),"9",""),".",""),",","")=""),2,1))),1)</f>
        <v/>
      </c>
      <c r="CF69">
        <f>IFERROR(IF(ISNUMBER(INDEX(PASTE_ALL,20,60)),2,IF(TRIM(INDEX(PASTE_ALL,20,60))="",0,IF(AND(LEFT(MID(TRIM(INDEX(PASTE_ALL,20,60)),1+(LEFT(TRIM(INDEX(PASTE_ALL,20,60)),1)="-"),999),LEN(MID(TRIM(INDEX(PASTE_ALL,20,60)),1+(LEFT(TRIM(INDEX(PASTE_ALL,20,60)),1)="-"),999))-(RIGHT(MID(TRIM(INDEX(PASTE_ALL,20,60)),1+(LEFT(TRIM(INDEX(PASTE_ALL,20,60)),1)="-"),999),1)="%"))&lt;&gt;"",SUBSTITUTE(SUBSTITUTE(SUBSTITUTE(SUBSTITUTE(SUBSTITUTE(SUBSTITUTE(SUBSTITUTE(SUBSTITUTE(SUBSTITUTE(SUBSTITUTE(SUBSTITUTE(SUBSTITUTE(LEFT(MID(TRIM(INDEX(PASTE_ALL,20,60)),1+(LEFT(TRIM(INDEX(PASTE_ALL,20,60)),1)="-"),999),LEN(MID(TRIM(INDEX(PASTE_ALL,20,60)),1+(LEFT(TRIM(INDEX(PASTE_ALL,20,60)),1)="-"),999))-(RIGHT(MID(TRIM(INDEX(PASTE_ALL,20,60)),1+(LEFT(TRIM(INDEX(PASTE_ALL,20,60)),1)="-"),999),1)="%")),"0",""),"1",""),"2",""),"3",""),"4",""),"5",""),"6",""),"7",""),"8",""),"9",""),".",""),",","")=""),2,1))),1)</f>
        <v/>
      </c>
      <c r="DA69" t="n">
        <v>65</v>
      </c>
      <c r="DB69">
        <f>IF($B$37=0,"",IFERROR(TRIM(SUBSTITUTE(SUBSTITUTE(SUBSTITUTE(SUBSTITUTE(INDEX(PASTE_ALL,65,$B$37)," "," "),CHAR(9)," "),CHAR(10)," "),CHAR(13)," ")),""))</f>
        <v/>
      </c>
      <c r="DC69">
        <f>IF(AND(65&gt;HEADER_ROW,UPPER(DB69)="LEGEND"),1,0)</f>
        <v/>
      </c>
      <c r="DE69" t="n">
        <v>65</v>
      </c>
      <c r="DF69">
        <f>HEADER_ROW+$DE69</f>
        <v/>
      </c>
      <c r="DG69">
        <f>IF(AND($DF69&lt;=1000,$DF69&lt;$B$8),1,0)</f>
        <v/>
      </c>
      <c r="DH69">
        <f>IF($DG69=1,IFERROR(INDEX($DB$5:$DB$1004,$DF69),""),"")</f>
        <v/>
      </c>
      <c r="DI69">
        <f>IF(AND($DG69=1,$DH69&lt;&gt;""),IFERROR(SUBSTITUTE(SUBSTITUTE(TRIM(SUBSTITUTE(SUBSTITUTE(SUBSTITUTE(SUBSTITUTE(IFERROR(INDEX(PASTE_ALL,$DF69,1)&amp;"","")&amp;"␟"&amp;IFERROR(INDEX(PASTE_ALL,$DF69,2)&amp;"","")&amp;"␟"&amp;IFERROR(INDEX(PASTE_ALL,$DF69,3)&amp;"","")&amp;"␟"&amp;IFERROR(INDEX(PASTE_ALL,$DF69,4)&amp;"","")&amp;"␟"&amp;IFERROR(INDEX(PASTE_ALL,$DF69,5)&amp;"","")&amp;"␟"&amp;IFERROR(INDEX(PASTE_ALL,$DF69,6)&amp;"","")&amp;"␟"&amp;IFERROR(INDEX(PASTE_ALL,$DF69,7)&amp;"","")&amp;"␟"&amp;IFERROR(INDEX(PASTE_ALL,$DF69,8)&amp;"","")&amp;"␟"&amp;IFERROR(INDEX(PASTE_ALL,$DF69,9)&amp;"","")&amp;"␟"&amp;IFERROR(INDEX(PASTE_ALL,$DF69,10)&amp;"","")&amp;"␟"&amp;IFERROR(INDEX(PASTE_ALL,$DF69,11)&amp;"","")&amp;"␟"&amp;IFERROR(INDEX(PASTE_ALL,$DF69,12)&amp;"","")&amp;"␟"&amp;IFERROR(INDEX(PASTE_ALL,$DF69,13)&amp;"","")&amp;"␟"&amp;IFERROR(INDEX(PASTE_ALL,$DF69,14)&amp;"","")&amp;"␟"&amp;IFERROR(INDEX(PASTE_ALL,$DF69,15)&amp;"","")&amp;"␟"&amp;IFERROR(INDEX(PASTE_ALL,$DF69,16)&amp;"","")&amp;"␟"&amp;IFERROR(INDEX(PASTE_ALL,$DF69,17)&amp;"","")&amp;"␟"&amp;IFERROR(INDEX(PASTE_ALL,$DF69,18)&amp;"","")&amp;"␟"&amp;IFERROR(INDEX(PASTE_ALL,$DF69,19)&amp;"","")&amp;"␟"&amp;IFERROR(INDEX(PASTE_ALL,$DF69,20)&amp;"","")&amp;"␟"&amp;IFERROR(INDEX(PASTE_ALL,$DF69,21)&amp;"","")&amp;"␟"&amp;IFERROR(INDEX(PASTE_ALL,$DF69,22)&amp;"","")&amp;"␟"&amp;IFERROR(INDEX(PASTE_ALL,$DF69,23)&amp;"","")&amp;"␟"&amp;IFERROR(INDEX(PASTE_ALL,$DF69,24)&amp;"","")&amp;"␟"&amp;IFERROR(INDEX(PASTE_ALL,$DF69,25)&amp;"","")&amp;"␟"&amp;IFERROR(INDEX(PASTE_ALL,$DF69,26)&amp;"","")&amp;"␟"&amp;IFERROR(INDEX(PASTE_ALL,$DF69,27)&amp;"","")&amp;"␟"&amp;IFERROR(INDEX(PASTE_ALL,$DF69,28)&amp;"","")&amp;"␟"&amp;IFERROR(INDEX(PASTE_ALL,$DF69,29)&amp;"","")&amp;"␟"&amp;IFERROR(INDEX(PASTE_ALL,$DF69,30)&amp;"","")&amp;"␟"&amp;IFERROR(INDEX(PASTE_ALL,$DF69,31)&amp;"","")&amp;"␟"&amp;IFERROR(INDEX(PASTE_ALL,$DF69,32)&amp;"","")&amp;"␟"&amp;IFERROR(INDEX(PASTE_ALL,$DF69,33)&amp;"","")&amp;"␟"&amp;IFERROR(INDEX(PASTE_ALL,$DF69,34)&amp;"","")&amp;"␟"&amp;IFERROR(INDEX(PASTE_ALL,$DF69,35)&amp;"","")&amp;"␟"&amp;IFERROR(INDEX(PASTE_ALL,$DF69,36)&amp;"","")&amp;"␟"&amp;IFERROR(INDEX(PASTE_ALL,$DF69,37)&amp;"","")&amp;"␟"&amp;IFERROR(INDEX(PASTE_ALL,$DF69,38)&amp;"","")&amp;"␟"&amp;IFERROR(INDEX(PASTE_ALL,$DF69,39)&amp;"","")&amp;"␟"&amp;IFERROR(INDEX(PASTE_ALL,$DF69,40)&amp;"","")&amp;"␟"&amp;IFERROR(INDEX(PASTE_ALL,$DF69,41)&amp;"","")&amp;"␟"&amp;IFERROR(INDEX(PASTE_ALL,$DF69,42)&amp;"","")&amp;"␟"&amp;IFERROR(INDEX(PASTE_ALL,$DF69,43)&amp;"","")&amp;"␟"&amp;IFERROR(INDEX(PASTE_ALL,$DF69,44)&amp;"","")&amp;"␟"&amp;IFERROR(INDEX(PASTE_ALL,$DF69,45)&amp;"","")&amp;"␟"&amp;IFERROR(INDEX(PASTE_ALL,$DF69,46)&amp;"","")&amp;"␟"&amp;IFERROR(INDEX(PASTE_ALL,$DF69,47)&amp;"","")&amp;"␟"&amp;IFERROR(INDEX(PASTE_ALL,$DF69,48)&amp;"","")&amp;"␟"&amp;IFERROR(INDEX(PASTE_ALL,$DF69,49)&amp;"","")&amp;"␟"&amp;IFERROR(INDEX(PASTE_ALL,$DF69,50)&amp;"","")&amp;"␟"&amp;IFERROR(INDEX(PASTE_ALL,$DF69,51)&amp;"","")&amp;"␟"&amp;IFERROR(INDEX(PASTE_ALL,$DF69,52)&amp;"","")&amp;"␟"&amp;IFERROR(INDEX(PASTE_ALL,$DF69,53)&amp;"","")&amp;"␟"&amp;IFERROR(INDEX(PASTE_ALL,$DF69,54)&amp;"","")&amp;"␟"&amp;IFERROR(INDEX(PASTE_ALL,$DF69,55)&amp;"","")&amp;"␟"&amp;IFERROR(INDEX(PASTE_ALL,$DF69,56)&amp;"","")&amp;"␟"&amp;IFERROR(INDEX(PASTE_ALL,$DF69,57)&amp;"","")&amp;"␟"&amp;IFERROR(INDEX(PASTE_ALL,$DF69,58)&amp;"","")&amp;"␟"&amp;IFERROR(INDEX(PASTE_ALL,$DF69,59)&amp;"","")&amp;"␟"&amp;IFERROR(INDEX(PASTE_ALL,$DF69,60)&amp;"","")," "," "),CHAR(9)," "),CHAR(10)," "),CHAR(13)," "))," ␟","␟"),"␟ ","␟"),"#"&amp;$DE69),"")</f>
        <v/>
      </c>
      <c r="DJ69">
        <f>IF($DI69="",0,IF(SUMPRODUCT(--EXACT($DI$4:DI68,$DI69))&gt;0,1,0))</f>
        <v/>
      </c>
      <c r="DK69">
        <f>IF(AND($DI69&lt;&gt;"",$DJ69=0),1,0)</f>
        <v/>
      </c>
      <c r="DL69">
        <f>DL68+$DK69</f>
        <v/>
      </c>
      <c r="DM69">
        <f>IF(AND($DK69=1,$DL69&lt;=600),1,0)</f>
        <v/>
      </c>
      <c r="DN69">
        <f>IF($DM69=0,"",IF($L$6=0,"",IFERROR(IF(ISNUMBER(INDEX(PASTE_ALL,$DF69,$L$6)),INDEX(PASTE_ALL,$DF69,$L$6),TRIM(SUBSTITUTE(SUBSTITUTE(SUBSTITUTE(SUBSTITUTE(INDEX(PASTE_ALL,$DF69,$L$6)," "," "),CHAR(9)," "),CHAR(10)," "),CHAR(13)," "))),"")))</f>
        <v/>
      </c>
      <c r="DO69">
        <f>IF($DM69=0,"",IF($L$7=0,"",IFERROR(IF(ISNUMBER(INDEX(PASTE_ALL,$DF69,$L$7)),INDEX(PASTE_ALL,$DF69,$L$7),TRIM(SUBSTITUTE(SUBSTITUTE(SUBSTITUTE(SUBSTITUTE(INDEX(PASTE_ALL,$DF69,$L$7)," "," "),CHAR(9)," "),CHAR(10)," "),CHAR(13)," "))),"")))</f>
        <v/>
      </c>
      <c r="DP69">
        <f>IF($DM69=0,"",IF($L$8=0,"",IFERROR(IF(ISNUMBER(INDEX(PASTE_ALL,$DF69,$L$8)),INDEX(PASTE_ALL,$DF69,$L$8),TRIM(SUBSTITUTE(SUBSTITUTE(SUBSTITUTE(SUBSTITUTE(INDEX(PASTE_ALL,$DF69,$L$8)," "," "),CHAR(9)," "),CHAR(10)," "),CHAR(13)," "))),"")))</f>
        <v/>
      </c>
      <c r="DQ69">
        <f>IF($DM69=0,"",IF($L$9=0,"",IFERROR(IF(ISNUMBER(INDEX(PASTE_ALL,$DF69,$L$9)),INDEX(PASTE_ALL,$DF69,$L$9),TRIM(SUBSTITUTE(SUBSTITUTE(SUBSTITUTE(SUBSTITUTE(INDEX(PASTE_ALL,$DF69,$L$9)," "," "),CHAR(9)," "),CHAR(10)," "),CHAR(13)," "))),"")))</f>
        <v/>
      </c>
      <c r="DR69">
        <f>IF($DM69=0,"",IF($L$10=0,"",IFERROR(IF(ISNUMBER(INDEX(PASTE_ALL,$DF69,$L$10)),INDEX(PASTE_ALL,$DF69,$L$10),TRIM(SUBSTITUTE(SUBSTITUTE(SUBSTITUTE(SUBSTITUTE(INDEX(PASTE_ALL,$DF69,$L$10)," "," "),CHAR(9)," "),CHAR(10)," "),CHAR(13)," "))),"")))</f>
        <v/>
      </c>
      <c r="DS69">
        <f>IF($DM69=0,"",IF($L$11=0,"",IFERROR(IF(ISNUMBER(INDEX(PASTE_ALL,$DF69,$L$11)),INDEX(PASTE_ALL,$DF69,$L$11),TRIM(SUBSTITUTE(SUBSTITUTE(SUBSTITUTE(SUBSTITUTE(INDEX(PASTE_ALL,$DF69,$L$11)," "," "),CHAR(9)," "),CHAR(10)," "),CHAR(13)," "))),"")))</f>
        <v/>
      </c>
      <c r="DT69">
        <f>IF($DM69=0,"",IF($L$12=0,"",IFERROR(IF(ISNUMBER(INDEX(PASTE_ALL,$DF69,$L$12)),INDEX(PASTE_ALL,$DF69,$L$12),TRIM(SUBSTITUTE(SUBSTITUTE(SUBSTITUTE(SUBSTITUTE(INDEX(PASTE_ALL,$DF69,$L$12)," "," "),CHAR(9)," "),CHAR(10)," "),CHAR(13)," "))),"")))</f>
        <v/>
      </c>
      <c r="DU69">
        <f>IF($DM69=0,"",IF($L$13=0,"",IFERROR(IF(ISNUMBER(INDEX(PASTE_ALL,$DF69,$L$13)),INDEX(PASTE_ALL,$DF69,$L$13),TRIM(SUBSTITUTE(SUBSTITUTE(SUBSTITUTE(SUBSTITUTE(INDEX(PASTE_ALL,$DF69,$L$13)," "," "),CHAR(9)," "),CHAR(10)," "),CHAR(13)," "))),"")))</f>
        <v/>
      </c>
      <c r="DV69">
        <f>IF($DM69=0,"",IF($L$14=0,"",IFERROR(IF(ISNUMBER(INDEX(PASTE_ALL,$DF69,$L$14)),INDEX(PASTE_ALL,$DF69,$L$14),TRIM(SUBSTITUTE(SUBSTITUTE(SUBSTITUTE(SUBSTITUTE(INDEX(PASTE_ALL,$DF69,$L$14)," "," "),CHAR(9)," "),CHAR(10)," "),CHAR(13)," "))),"")))</f>
        <v/>
      </c>
      <c r="DW69">
        <f>IF($DM69=0,"",IF($L$15=0,"",IFERROR(IF(ISNUMBER(INDEX(PASTE_ALL,$DF69,$L$15)),INDEX(PASTE_ALL,$DF69,$L$15),IF(SUMPRODUCT(--ISNUMBER(FIND({"A","B","C","D","E","F","G","H","I","J","K","L","M","N","O","P","Q","R","S","T","U","V","W","X","Y","Z","0","1","2","3","4","5","6","7","8","9"},UPPER(TRIM(SUBSTITUTE(SUBSTITUTE(SUBSTITUTE(SUBSTITUTE(INDEX(PASTE_ALL,$DF69,$L$15)," "," "),CHAR(9)," "),CHAR(10)," "),CHAR(13)," "))))))&gt;0,TRIM(SUBSTITUTE(SUBSTITUTE(SUBSTITUTE(SUBSTITUTE(INDEX(PASTE_ALL,$DF69,$L$15)," "," "),CHAR(9)," "),CHAR(10)," "),CHAR(13)," ")),"")),"")))</f>
        <v/>
      </c>
      <c r="DX69">
        <f>IF($DM69=0,"",IF($L$16=0,"",IFERROR(IF(ISNUMBER(INDEX(PASTE_ALL,$DF69,$L$16)),INDEX(PASTE_ALL,$DF69,$L$16),SUBSTITUTE(SUBSTITUTE(TRIM(SUBSTITUTE(SUBSTITUTE(SUBSTITUTE(SUBSTITUTE(INDEX(PASTE_ALL,$DF69,$L$16)," "," "),CHAR(9)," "),CHAR(10)," "),CHAR(13)," ")),",",""),"%","")),"")))</f>
        <v/>
      </c>
      <c r="DY69">
        <f>IF($DM69=0,"",IFERROR(IF(ISNUMBER($DX69),$DX69,IF($DX69="","",IF(TRIM($DX69)="",0,IF(AND(AND(SUBSTITUTE(SUBSTITUTE(SUBSTITUTE(SUBSTITUTE(SUBSTITUTE(SUBSTITUTE(SUBSTITUTE(SUBSTITUTE(SUBSTITUTE(SUBSTITUTE(SUBSTITUTE(SUBSTITUTE(SUBSTITUTE(SUBSTITUTE(UPPER(TRIM($DX69)),"0",""),"1",""),"2",""),"3",""),"4",""),"5",""),"6",""),"7",""),"8",""),"9",""),".",""),"+",""),"-",""),"E","")="",LEN(SUBSTITUTE(SUBSTITUTE(MID(UPPER(TRIM($DX69)),1+OR(LEFT(UPPER(TRIM($DX69)),1)="+",LEFT(UPPER(TRIM($DX69)),1)="-"),999),"E+","E"),"E-","E"))=LEN(SUBSTITUTE(SUBSTITUTE(SUBSTITUTE(SUBSTITUTE(MID(UPPER(TRIM($DX69)),1+OR(LEFT(UPPER(TRIM($DX69)),1)="+",LEFT(UPPER(TRIM($DX69)),1)="-"),999),"E+","E"),"E-","E"),"+",""),"-","")),LEN(UPPER(TRIM($DX69)))-LEN(SUBSTITUTE(UPPER(TRIM($DX69)),"E",""))&lt;2,LEN(UPPER(TRIM($DX69)))-LEN(SUBSTITUTE(UPPER(TRIM($DX69)),".",""))&lt;2,IFERROR(FIND(".",UPPER(TRIM($DX69))),0)&lt;IFERROR(FIND("E",UPPER(TRIM($DX69))),999)),ISNUMBER(VALUE(TRIM($DX69)))),VALUE(TRIM($DX69)),"")))),""))</f>
        <v/>
      </c>
      <c r="DZ69">
        <f>IF($DM69=0,"",IF($L$17=0,"",IFERROR(IF(ISNUMBER(INDEX(PASTE_ALL,$DF69,$L$17)),INDEX(PASTE_ALL,$DF69,$L$17),SUBSTITUTE(SUBSTITUTE(TRIM(SUBSTITUTE(SUBSTITUTE(SUBSTITUTE(SUBSTITUTE(INDEX(PASTE_ALL,$DF69,$L$17)," "," "),CHAR(9)," "),CHAR(10)," "),CHAR(13)," ")),",",""),"%","")),"")))</f>
        <v/>
      </c>
      <c r="EA69">
        <f>IF($DM69=0,"",IFERROR(IF(ISNUMBER($DZ69),$DZ69,IF($DZ69="","",IF(TRIM($DZ69)="",0,IF(AND(AND(SUBSTITUTE(SUBSTITUTE(SUBSTITUTE(SUBSTITUTE(SUBSTITUTE(SUBSTITUTE(SUBSTITUTE(SUBSTITUTE(SUBSTITUTE(SUBSTITUTE(SUBSTITUTE(SUBSTITUTE(SUBSTITUTE(SUBSTITUTE(UPPER(TRIM($DZ69)),"0",""),"1",""),"2",""),"3",""),"4",""),"5",""),"6",""),"7",""),"8",""),"9",""),".",""),"+",""),"-",""),"E","")="",LEN(SUBSTITUTE(SUBSTITUTE(MID(UPPER(TRIM($DZ69)),1+OR(LEFT(UPPER(TRIM($DZ69)),1)="+",LEFT(UPPER(TRIM($DZ69)),1)="-"),999),"E+","E"),"E-","E"))=LEN(SUBSTITUTE(SUBSTITUTE(SUBSTITUTE(SUBSTITUTE(MID(UPPER(TRIM($DZ69)),1+OR(LEFT(UPPER(TRIM($DZ69)),1)="+",LEFT(UPPER(TRIM($DZ69)),1)="-"),999),"E+","E"),"E-","E"),"+",""),"-","")),LEN(UPPER(TRIM($DZ69)))-LEN(SUBSTITUTE(UPPER(TRIM($DZ69)),"E",""))&lt;2,LEN(UPPER(TRIM($DZ69)))-LEN(SUBSTITUTE(UPPER(TRIM($DZ69)),".",""))&lt;2,IFERROR(FIND(".",UPPER(TRIM($DZ69))),0)&lt;IFERROR(FIND("E",UPPER(TRIM($DZ69))),999)),ISNUMBER(VALUE(TRIM($DZ69)))),VALUE(TRIM($DZ69)),"")))),""))</f>
        <v/>
      </c>
      <c r="EB69">
        <f>IF($DM69=0,"",IF($L$18=0,"",IFERROR(IF(UPPER(TRIM(SUBSTITUTE(SUBSTITUTE(SUBSTITUTE(SUBSTITUTE(INDEX(PASTE_ALL,$DF69,$L$18)," "," "),CHAR(9)," "),CHAR(10)," "),CHAR(13)," ")))="READY","Ready",IF(UPPER(TRIM(SUBSTITUTE(SUBSTITUTE(SUBSTITUTE(SUBSTITUTE(INDEX(PASTE_ALL,$DF69,$L$18)," "," "),CHAR(9)," "),CHAR(10)," "),CHAR(13)," ")))="PM","PM",IF(OR(UPPER(TRIM(SUBSTITUTE(SUBSTITUTE(SUBSTITUTE(SUBSTITUTE(INDEX(PASTE_ALL,$DF69,$L$18)," "," "),CHAR(9)," "),CHAR(10)," "),CHAR(13)," ")))="OT",UPPER(TRIM(SUBSTITUTE(SUBSTITUTE(SUBSTITUTE(SUBSTITUTE(INDEX(PASTE_ALL,$DF69,$L$18)," "," "),CHAR(9)," "),CHAR(10)," "),CHAR(13)," ")))="OVERTIME",UPPER(TRIM(SUBSTITUTE(SUBSTITUTE(SUBSTITUTE(SUBSTITUTE(INDEX(PASTE_ALL,$DF69,$L$18)," "," "),CHAR(9)," "),CHAR(10)," "),CHAR(13)," ")))="TRIAL"),"OT",TRIM(SUBSTITUTE(SUBSTITUTE(SUBSTITUTE(SUBSTITUTE(INDEX(PASTE_ALL,$DF69,$L$18)," "," "),CHAR(9)," "),CHAR(10)," "),CHAR(13)," "))))),"")))</f>
        <v/>
      </c>
      <c r="EC69">
        <f>IF($DM69=0,"",IF($L$19=0,"",IFERROR(IF(ISNUMBER(INDEX(PASTE_ALL,$DF69,$L$19)),INDEX(PASTE_ALL,$DF69,$L$19),TRIM(SUBSTITUTE(SUBSTITUTE(SUBSTITUTE(SUBSTITUTE(INDEX(PASTE_ALL,$DF69,$L$19)," "," "),CHAR(9)," "),CHAR(10)," "),CHAR(13)," "))),"")))</f>
        <v/>
      </c>
      <c r="ED69">
        <f>IF($DM69=0,"",MATCH(1,INDEX(EXACT($DH$5:DH69,$DH69)*$DM$5:DM69,0),0))</f>
        <v/>
      </c>
      <c r="EE69">
        <f>IF($DM69=0,0,IF($ED69=$DE69,1,0))</f>
        <v/>
      </c>
      <c r="EF69">
        <f>EF68+$EE69</f>
        <v/>
      </c>
      <c r="EG69">
        <f>IF($DM69=0,"",INDEX($EF$5:$EF$1003,$ED69))</f>
        <v/>
      </c>
      <c r="EH69">
        <f>IF($DM69=0,"",IF($DO69&lt;&gt;"","",IFERROR(LOOKUP(2,1/(($EG$4:EG68=$EG69)*($DO$4:DO68&lt;&gt;"")),$DO$4:DO68),"")))</f>
        <v/>
      </c>
      <c r="EI69">
        <f>IF($DM69=0,"",IF($DO69&lt;&gt;"",$DO69,$EH69))</f>
        <v/>
      </c>
      <c r="EJ69">
        <f>IF($DM69=0,"",IF($EI69="",0,IF(OR(ISNUMBER($EI69),AND(AND(SUBSTITUTE(SUBSTITUTE(SUBSTITUTE(SUBSTITUTE(SUBSTITUTE(SUBSTITUTE(SUBSTITUTE(SUBSTITUTE(SUBSTITUTE(SUBSTITUTE(SUBSTITUTE(SUBSTITUTE(SUBSTITUTE(SUBSTITUTE(UPPER($EI69),"0",""),"1",""),"2",""),"3",""),"4",""),"5",""),"6",""),"7",""),"8",""),"9",""),".",""),"+",""),"-",""),"E","")="",LEN(SUBSTITUTE(SUBSTITUTE(MID(UPPER($EI69),1+OR(LEFT(UPPER($EI69),1)="+",LEFT(UPPER($EI69),1)="-"),999),"E+","E"),"E-","E"))=LEN(SUBSTITUTE(SUBSTITUTE(SUBSTITUTE(SUBSTITUTE(MID(UPPER($EI69),1+OR(LEFT(UPPER($EI69),1)="+",LEFT(UPPER($EI69),1)="-"),999),"E+","E"),"E-","E"),"+",""),"-","")),LEN(UPPER($EI69))-LEN(SUBSTITUTE(UPPER($EI69),"E",""))&lt;2,LEN(UPPER($EI69))-LEN(SUBSTITUTE(UPPER($EI69),".",""))&lt;2,IFERROR(FIND(".",UPPER($EI69)),0)&lt;IFERROR(FIND("E",UPPER($EI69)),999)),ISNUMBER(VALUE($EI69)))),1,2)))</f>
        <v/>
      </c>
      <c r="EK69">
        <f>IF($DM69=0,"",IF($EJ69=1,IF(ISNUMBER($EI69),$EI69,VALUE($EI69)),IF($EJ69=2,$DE69,0)))</f>
        <v/>
      </c>
      <c r="EL69">
        <f>IF($DM69=0,"",COUNTIF($EG$5:$EG$1003,"&lt;"&amp;$EG69)+SUMPRODUCT(($EG$5:$EG$1003=$EG69)*(($EJ$5:$EJ$1003&lt;$EJ69)+($EJ$5:$EJ$1003=$EJ69)*(($EK$5:$EK$1003&lt;$EK69)+($EK$5:$EK$1003=$EK69)*($DE$5:$DE$1003&lt;$DE69))))+1)</f>
        <v/>
      </c>
      <c r="EM69">
        <f>IF($DM69=0,"",$EL69+$EG69-1)</f>
        <v/>
      </c>
      <c r="EN69">
        <f>IF($DM69=0,0,IFERROR(MATCH(1,INDEX(--(TRIM(SUBSTITUTE(SUBSTITUTE(SUBSTITUTE(SUBSTITUTE(LINES_NAME&amp;""," "," "),CHAR(9)," "),CHAR(10)," "),CHAR(13)," "))=$DH69),0),0),0))</f>
        <v/>
      </c>
      <c r="EO69">
        <f>IF($EN69=0,0,IF(OR(UPPER(TRIM(INDEX(LINES_SCHEDULED,$EN69)&amp;""))="YES",UPPER(TRIM(INDEX(LINES_SCHEDULED,$EN69)&amp;""))="Y",UPPER(TRIM(INDEX(LINES_SCHEDULED,$EN69)&amp;""))="X"),1,0))</f>
        <v/>
      </c>
      <c r="EP69">
        <f>IF($DM69=0,"",IF(COUNTIFS($EG$5:$EG$1003,$EG69,$EB$5:$EB$1003,"Ready")&gt;0,"READY",IF(COUNTIFS($EG$5:$EG$1003,$EG69,$EB$5:$EB$1003,"PM")&gt;0,"PM",IF(COUNTIFS($EG$5:$EG$1003,$EG69,$EB$5:$EB$1003,"OT")&gt;0,"OT",""))))</f>
        <v/>
      </c>
      <c r="EQ69">
        <f>IF($EN69=0,"",UPPER(TRIM(INDEX(LINES_STATUS,$EN69)&amp;"")))</f>
        <v/>
      </c>
      <c r="ER69">
        <f>IF($DM69=0,"",IF(OR($EQ69="READY",$EQ69="PM",$EQ69="OT"),$EQ69,$EP69))</f>
        <v/>
      </c>
      <c r="ES69">
        <f>IF($DM69=0,"",IF(AND($DV69&lt;&gt;"",UPPER($DV69)&lt;&gt;"N"),"allergen",IF(ISNUMBER(SEARCH("oil",$DQ69)),"oil",IF(OR(EXACT($DS69,"A662"),EXACT($DS69,"A624")),"bulk",""))))</f>
        <v/>
      </c>
      <c r="ET69">
        <f>IF($DM69=0,"",IF(OR($EA69="",$EA69=0),"",$EA69/100))</f>
        <v/>
      </c>
      <c r="EU69">
        <f>IF(OR($ET69="",$DY69=""),"",INT($DY69*(1-$ET69)+0.5))</f>
        <v/>
      </c>
      <c r="EW69" t="n">
        <v>65</v>
      </c>
      <c r="EX69">
        <f>IFERROR(MATCH($EW69,$EM$5:$EM$1003,0),0)</f>
        <v/>
      </c>
      <c r="EY69">
        <f>IF($EW69&gt;$B$12,"",IF($EX69&gt;0,"row","spacer"))</f>
        <v/>
      </c>
      <c r="EZ69">
        <f>IF(AND($EY69="row",$EY68&lt;&gt;"row"),1,0)</f>
        <v/>
      </c>
      <c r="FA69">
        <f>IF(AND($EY69="row",$EY70&lt;&gt;"row"),1,0)</f>
        <v/>
      </c>
      <c r="FB69">
        <f>IF($EZ69=1,IFERROR(IF(ISNUMBER(INDEX(PASTE_ALL,INDEX($DF$5:$DF$1003,$EX69),$B$37)),INDEX(PASTE_ALL,INDEX($DF$5:$DF$1003,$EX69),$B$37),INDEX($DH$5:$DH$1003,$EX69)),INDEX($DH$5:$DH$1003,$EX69)),"")</f>
        <v/>
      </c>
      <c r="FC69">
        <f>IF($EY69="row",INDEX($ER$5:$ER$1003,$EX69),"")</f>
        <v/>
      </c>
      <c r="FD69">
        <f>IF($EY69="row",INDEX($DN$5:$DN$1003,$EX69),"")</f>
        <v/>
      </c>
      <c r="FE69">
        <f>IF($EY69="row",INDEX($DO$5:$DO$1003,$EX69),"")</f>
        <v/>
      </c>
      <c r="FF69">
        <f>IF($EY69="row",INDEX($DP$5:$DP$1003,$EX69),"")</f>
        <v/>
      </c>
      <c r="FG69">
        <f>IF($EY69="row",INDEX($DQ$5:$DQ$1003,$EX69),"")</f>
        <v/>
      </c>
      <c r="FH69">
        <f>IF($EY69="row",INDEX($DR$5:$DR$1003,$EX69),"")</f>
        <v/>
      </c>
      <c r="FI69">
        <f>IF($EY69="row",INDEX($DS$5:$DS$1003,$EX69),"")</f>
        <v/>
      </c>
      <c r="FJ69">
        <f>IF($EY69="row",INDEX($DT$5:$DT$1003,$EX69),"")</f>
        <v/>
      </c>
      <c r="FK69">
        <f>IF($EY69="row",INDEX($DU$5:$DU$1003,$EX69),"")</f>
        <v/>
      </c>
      <c r="FL69">
        <f>IF($EY69="row",INDEX($DV$5:$DV$1003,$EX69),"")</f>
        <v/>
      </c>
      <c r="FM69">
        <f>IF($EY69="row",INDEX($DW$5:$DW$1003,$EX69),"")</f>
        <v/>
      </c>
      <c r="FN69">
        <f>IF($EY69="row",INDEX($DY$5:$DY$1003,$EX69),"")</f>
        <v/>
      </c>
      <c r="FO69">
        <f>IF($EY69="row",INDEX($EA$5:$EA$1003,$EX69),"")</f>
        <v/>
      </c>
      <c r="FP69">
        <f>IF($EY69="row",INDEX($EC$5:$EC$1003,$EX69),"")</f>
        <v/>
      </c>
      <c r="FQ69">
        <f>IF($EY69="row",INDEX($ET$5:$ET$1003,$EX69),"")</f>
        <v/>
      </c>
      <c r="FR69">
        <f>IF($EY69="row",INDEX($EU$5:$EU$1003,$EX69),"")</f>
        <v/>
      </c>
      <c r="FS69">
        <f>IF(AND($EY69="row",$EY68="row"),IF(OR(INDEX($DT$5:$DT$1003,$EX68)="",INDEX($DT$5:$DT$1003,$EX69)=""),"",IF(NOT(EXACT(INDEX($DT$5:$DT$1003,$EX68),INDEX($DT$5:$DT$1003,$EX69))),"S4",IF(NOT(EXACT(INDEX($DS$5:$DS$1003,$EX68),INDEX($DS$5:$DS$1003,$EX69))),"S3",IF(NOT(EXACT(INDEX($DR$5:$DR$1003,$EX68),INDEX($DR$5:$DR$1003,$EX69))),"S1 Count Change","S1")))),"")</f>
        <v/>
      </c>
      <c r="FT69">
        <f>IF($EY69="row",INDEX($ES$5:$ES$1003,$EX69),"")</f>
        <v/>
      </c>
      <c r="FU69">
        <f>IF($EY69="row",INDEX($EO$5:$EO$1003,$EX69),0)</f>
        <v/>
      </c>
      <c r="FV69">
        <f>IF($FS69="S1 Count Change",1,0)</f>
        <v/>
      </c>
      <c r="FX69" t="n">
        <v>65</v>
      </c>
      <c r="FY69">
        <f>IFERROR(MATCH($FX69,$EF$5:$EF$1003,0),0)</f>
        <v/>
      </c>
      <c r="FZ69">
        <f>IF($FY69=0,"",INDEX($DH$5:$DH$1003,$FY69))</f>
        <v/>
      </c>
      <c r="GA69">
        <f>IF($FY69=0,"",COUNTIF($EG$5:$EG$1003,$FX69))</f>
        <v/>
      </c>
      <c r="GB69">
        <f>IF($FY69=0,"",INDEX($ER$5:$ER$1003,$FY69))</f>
        <v/>
      </c>
      <c r="GC69">
        <f>IF($FY69=0,"",IF(INDEX($EO$5:$EO$1003,$FY69)=1,"Yes",""))</f>
        <v/>
      </c>
      <c r="GD69">
        <f>IF($FY69=0,"",IF(INDEX($EN$5:$EN$1003,$FY69)&gt;0,"","NOT IN YOUR LIST - type it in column A to tick it"))</f>
        <v/>
      </c>
      <c r="GE69">
        <f>IF(AND($FY69&gt;0,$GD69&lt;&gt;""),1,0)</f>
        <v/>
      </c>
      <c r="GF69">
        <f>GF68+$GE69</f>
        <v/>
      </c>
      <c r="GG69">
        <f>IFERROR(INDEX($FZ$5:$FZ$104,MATCH($FX69,$GF$5:$GF$104,0)),"")</f>
        <v/>
      </c>
    </row>
    <row r="70">
      <c r="V70" t="inlineStr">
        <is>
          <t>QUANTITY</t>
        </is>
      </c>
      <c r="W70" t="n">
        <v>12</v>
      </c>
      <c r="Y70">
        <f>IFERROR(IF(ISNUMBER(INDEX(PASTE_ALL,21,1)),2,IF(TRIM(INDEX(PASTE_ALL,21,1))="",0,IF(AND(LEFT(MID(TRIM(INDEX(PASTE_ALL,21,1)),1+(LEFT(TRIM(INDEX(PASTE_ALL,21,1)),1)="-"),999),LEN(MID(TRIM(INDEX(PASTE_ALL,21,1)),1+(LEFT(TRIM(INDEX(PASTE_ALL,21,1)),1)="-"),999))-(RIGHT(MID(TRIM(INDEX(PASTE_ALL,21,1)),1+(LEFT(TRIM(INDEX(PASTE_ALL,21,1)),1)="-"),999),1)="%"))&lt;&gt;"",SUBSTITUTE(SUBSTITUTE(SUBSTITUTE(SUBSTITUTE(SUBSTITUTE(SUBSTITUTE(SUBSTITUTE(SUBSTITUTE(SUBSTITUTE(SUBSTITUTE(SUBSTITUTE(SUBSTITUTE(LEFT(MID(TRIM(INDEX(PASTE_ALL,21,1)),1+(LEFT(TRIM(INDEX(PASTE_ALL,21,1)),1)="-"),999),LEN(MID(TRIM(INDEX(PASTE_ALL,21,1)),1+(LEFT(TRIM(INDEX(PASTE_ALL,21,1)),1)="-"),999))-(RIGHT(MID(TRIM(INDEX(PASTE_ALL,21,1)),1+(LEFT(TRIM(INDEX(PASTE_ALL,21,1)),1)="-"),999),1)="%")),"0",""),"1",""),"2",""),"3",""),"4",""),"5",""),"6",""),"7",""),"8",""),"9",""),".",""),",","")=""),2,1))),1)</f>
        <v/>
      </c>
      <c r="Z70">
        <f>IFERROR(IF(ISNUMBER(INDEX(PASTE_ALL,21,2)),2,IF(TRIM(INDEX(PASTE_ALL,21,2))="",0,IF(AND(LEFT(MID(TRIM(INDEX(PASTE_ALL,21,2)),1+(LEFT(TRIM(INDEX(PASTE_ALL,21,2)),1)="-"),999),LEN(MID(TRIM(INDEX(PASTE_ALL,21,2)),1+(LEFT(TRIM(INDEX(PASTE_ALL,21,2)),1)="-"),999))-(RIGHT(MID(TRIM(INDEX(PASTE_ALL,21,2)),1+(LEFT(TRIM(INDEX(PASTE_ALL,21,2)),1)="-"),999),1)="%"))&lt;&gt;"",SUBSTITUTE(SUBSTITUTE(SUBSTITUTE(SUBSTITUTE(SUBSTITUTE(SUBSTITUTE(SUBSTITUTE(SUBSTITUTE(SUBSTITUTE(SUBSTITUTE(SUBSTITUTE(SUBSTITUTE(LEFT(MID(TRIM(INDEX(PASTE_ALL,21,2)),1+(LEFT(TRIM(INDEX(PASTE_ALL,21,2)),1)="-"),999),LEN(MID(TRIM(INDEX(PASTE_ALL,21,2)),1+(LEFT(TRIM(INDEX(PASTE_ALL,21,2)),1)="-"),999))-(RIGHT(MID(TRIM(INDEX(PASTE_ALL,21,2)),1+(LEFT(TRIM(INDEX(PASTE_ALL,21,2)),1)="-"),999),1)="%")),"0",""),"1",""),"2",""),"3",""),"4",""),"5",""),"6",""),"7",""),"8",""),"9",""),".",""),",","")=""),2,1))),1)</f>
        <v/>
      </c>
      <c r="AA70">
        <f>IFERROR(IF(ISNUMBER(INDEX(PASTE_ALL,21,3)),2,IF(TRIM(INDEX(PASTE_ALL,21,3))="",0,IF(AND(LEFT(MID(TRIM(INDEX(PASTE_ALL,21,3)),1+(LEFT(TRIM(INDEX(PASTE_ALL,21,3)),1)="-"),999),LEN(MID(TRIM(INDEX(PASTE_ALL,21,3)),1+(LEFT(TRIM(INDEX(PASTE_ALL,21,3)),1)="-"),999))-(RIGHT(MID(TRIM(INDEX(PASTE_ALL,21,3)),1+(LEFT(TRIM(INDEX(PASTE_ALL,21,3)),1)="-"),999),1)="%"))&lt;&gt;"",SUBSTITUTE(SUBSTITUTE(SUBSTITUTE(SUBSTITUTE(SUBSTITUTE(SUBSTITUTE(SUBSTITUTE(SUBSTITUTE(SUBSTITUTE(SUBSTITUTE(SUBSTITUTE(SUBSTITUTE(LEFT(MID(TRIM(INDEX(PASTE_ALL,21,3)),1+(LEFT(TRIM(INDEX(PASTE_ALL,21,3)),1)="-"),999),LEN(MID(TRIM(INDEX(PASTE_ALL,21,3)),1+(LEFT(TRIM(INDEX(PASTE_ALL,21,3)),1)="-"),999))-(RIGHT(MID(TRIM(INDEX(PASTE_ALL,21,3)),1+(LEFT(TRIM(INDEX(PASTE_ALL,21,3)),1)="-"),999),1)="%")),"0",""),"1",""),"2",""),"3",""),"4",""),"5",""),"6",""),"7",""),"8",""),"9",""),".",""),",","")=""),2,1))),1)</f>
        <v/>
      </c>
      <c r="AB70">
        <f>IFERROR(IF(ISNUMBER(INDEX(PASTE_ALL,21,4)),2,IF(TRIM(INDEX(PASTE_ALL,21,4))="",0,IF(AND(LEFT(MID(TRIM(INDEX(PASTE_ALL,21,4)),1+(LEFT(TRIM(INDEX(PASTE_ALL,21,4)),1)="-"),999),LEN(MID(TRIM(INDEX(PASTE_ALL,21,4)),1+(LEFT(TRIM(INDEX(PASTE_ALL,21,4)),1)="-"),999))-(RIGHT(MID(TRIM(INDEX(PASTE_ALL,21,4)),1+(LEFT(TRIM(INDEX(PASTE_ALL,21,4)),1)="-"),999),1)="%"))&lt;&gt;"",SUBSTITUTE(SUBSTITUTE(SUBSTITUTE(SUBSTITUTE(SUBSTITUTE(SUBSTITUTE(SUBSTITUTE(SUBSTITUTE(SUBSTITUTE(SUBSTITUTE(SUBSTITUTE(SUBSTITUTE(LEFT(MID(TRIM(INDEX(PASTE_ALL,21,4)),1+(LEFT(TRIM(INDEX(PASTE_ALL,21,4)),1)="-"),999),LEN(MID(TRIM(INDEX(PASTE_ALL,21,4)),1+(LEFT(TRIM(INDEX(PASTE_ALL,21,4)),1)="-"),999))-(RIGHT(MID(TRIM(INDEX(PASTE_ALL,21,4)),1+(LEFT(TRIM(INDEX(PASTE_ALL,21,4)),1)="-"),999),1)="%")),"0",""),"1",""),"2",""),"3",""),"4",""),"5",""),"6",""),"7",""),"8",""),"9",""),".",""),",","")=""),2,1))),1)</f>
        <v/>
      </c>
      <c r="AC70">
        <f>IFERROR(IF(ISNUMBER(INDEX(PASTE_ALL,21,5)),2,IF(TRIM(INDEX(PASTE_ALL,21,5))="",0,IF(AND(LEFT(MID(TRIM(INDEX(PASTE_ALL,21,5)),1+(LEFT(TRIM(INDEX(PASTE_ALL,21,5)),1)="-"),999),LEN(MID(TRIM(INDEX(PASTE_ALL,21,5)),1+(LEFT(TRIM(INDEX(PASTE_ALL,21,5)),1)="-"),999))-(RIGHT(MID(TRIM(INDEX(PASTE_ALL,21,5)),1+(LEFT(TRIM(INDEX(PASTE_ALL,21,5)),1)="-"),999),1)="%"))&lt;&gt;"",SUBSTITUTE(SUBSTITUTE(SUBSTITUTE(SUBSTITUTE(SUBSTITUTE(SUBSTITUTE(SUBSTITUTE(SUBSTITUTE(SUBSTITUTE(SUBSTITUTE(SUBSTITUTE(SUBSTITUTE(LEFT(MID(TRIM(INDEX(PASTE_ALL,21,5)),1+(LEFT(TRIM(INDEX(PASTE_ALL,21,5)),1)="-"),999),LEN(MID(TRIM(INDEX(PASTE_ALL,21,5)),1+(LEFT(TRIM(INDEX(PASTE_ALL,21,5)),1)="-"),999))-(RIGHT(MID(TRIM(INDEX(PASTE_ALL,21,5)),1+(LEFT(TRIM(INDEX(PASTE_ALL,21,5)),1)="-"),999),1)="%")),"0",""),"1",""),"2",""),"3",""),"4",""),"5",""),"6",""),"7",""),"8",""),"9",""),".",""),",","")=""),2,1))),1)</f>
        <v/>
      </c>
      <c r="AD70">
        <f>IFERROR(IF(ISNUMBER(INDEX(PASTE_ALL,21,6)),2,IF(TRIM(INDEX(PASTE_ALL,21,6))="",0,IF(AND(LEFT(MID(TRIM(INDEX(PASTE_ALL,21,6)),1+(LEFT(TRIM(INDEX(PASTE_ALL,21,6)),1)="-"),999),LEN(MID(TRIM(INDEX(PASTE_ALL,21,6)),1+(LEFT(TRIM(INDEX(PASTE_ALL,21,6)),1)="-"),999))-(RIGHT(MID(TRIM(INDEX(PASTE_ALL,21,6)),1+(LEFT(TRIM(INDEX(PASTE_ALL,21,6)),1)="-"),999),1)="%"))&lt;&gt;"",SUBSTITUTE(SUBSTITUTE(SUBSTITUTE(SUBSTITUTE(SUBSTITUTE(SUBSTITUTE(SUBSTITUTE(SUBSTITUTE(SUBSTITUTE(SUBSTITUTE(SUBSTITUTE(SUBSTITUTE(LEFT(MID(TRIM(INDEX(PASTE_ALL,21,6)),1+(LEFT(TRIM(INDEX(PASTE_ALL,21,6)),1)="-"),999),LEN(MID(TRIM(INDEX(PASTE_ALL,21,6)),1+(LEFT(TRIM(INDEX(PASTE_ALL,21,6)),1)="-"),999))-(RIGHT(MID(TRIM(INDEX(PASTE_ALL,21,6)),1+(LEFT(TRIM(INDEX(PASTE_ALL,21,6)),1)="-"),999),1)="%")),"0",""),"1",""),"2",""),"3",""),"4",""),"5",""),"6",""),"7",""),"8",""),"9",""),".",""),",","")=""),2,1))),1)</f>
        <v/>
      </c>
      <c r="AE70">
        <f>IFERROR(IF(ISNUMBER(INDEX(PASTE_ALL,21,7)),2,IF(TRIM(INDEX(PASTE_ALL,21,7))="",0,IF(AND(LEFT(MID(TRIM(INDEX(PASTE_ALL,21,7)),1+(LEFT(TRIM(INDEX(PASTE_ALL,21,7)),1)="-"),999),LEN(MID(TRIM(INDEX(PASTE_ALL,21,7)),1+(LEFT(TRIM(INDEX(PASTE_ALL,21,7)),1)="-"),999))-(RIGHT(MID(TRIM(INDEX(PASTE_ALL,21,7)),1+(LEFT(TRIM(INDEX(PASTE_ALL,21,7)),1)="-"),999),1)="%"))&lt;&gt;"",SUBSTITUTE(SUBSTITUTE(SUBSTITUTE(SUBSTITUTE(SUBSTITUTE(SUBSTITUTE(SUBSTITUTE(SUBSTITUTE(SUBSTITUTE(SUBSTITUTE(SUBSTITUTE(SUBSTITUTE(LEFT(MID(TRIM(INDEX(PASTE_ALL,21,7)),1+(LEFT(TRIM(INDEX(PASTE_ALL,21,7)),1)="-"),999),LEN(MID(TRIM(INDEX(PASTE_ALL,21,7)),1+(LEFT(TRIM(INDEX(PASTE_ALL,21,7)),1)="-"),999))-(RIGHT(MID(TRIM(INDEX(PASTE_ALL,21,7)),1+(LEFT(TRIM(INDEX(PASTE_ALL,21,7)),1)="-"),999),1)="%")),"0",""),"1",""),"2",""),"3",""),"4",""),"5",""),"6",""),"7",""),"8",""),"9",""),".",""),",","")=""),2,1))),1)</f>
        <v/>
      </c>
      <c r="AF70">
        <f>IFERROR(IF(ISNUMBER(INDEX(PASTE_ALL,21,8)),2,IF(TRIM(INDEX(PASTE_ALL,21,8))="",0,IF(AND(LEFT(MID(TRIM(INDEX(PASTE_ALL,21,8)),1+(LEFT(TRIM(INDEX(PASTE_ALL,21,8)),1)="-"),999),LEN(MID(TRIM(INDEX(PASTE_ALL,21,8)),1+(LEFT(TRIM(INDEX(PASTE_ALL,21,8)),1)="-"),999))-(RIGHT(MID(TRIM(INDEX(PASTE_ALL,21,8)),1+(LEFT(TRIM(INDEX(PASTE_ALL,21,8)),1)="-"),999),1)="%"))&lt;&gt;"",SUBSTITUTE(SUBSTITUTE(SUBSTITUTE(SUBSTITUTE(SUBSTITUTE(SUBSTITUTE(SUBSTITUTE(SUBSTITUTE(SUBSTITUTE(SUBSTITUTE(SUBSTITUTE(SUBSTITUTE(LEFT(MID(TRIM(INDEX(PASTE_ALL,21,8)),1+(LEFT(TRIM(INDEX(PASTE_ALL,21,8)),1)="-"),999),LEN(MID(TRIM(INDEX(PASTE_ALL,21,8)),1+(LEFT(TRIM(INDEX(PASTE_ALL,21,8)),1)="-"),999))-(RIGHT(MID(TRIM(INDEX(PASTE_ALL,21,8)),1+(LEFT(TRIM(INDEX(PASTE_ALL,21,8)),1)="-"),999),1)="%")),"0",""),"1",""),"2",""),"3",""),"4",""),"5",""),"6",""),"7",""),"8",""),"9",""),".",""),",","")=""),2,1))),1)</f>
        <v/>
      </c>
      <c r="AG70">
        <f>IFERROR(IF(ISNUMBER(INDEX(PASTE_ALL,21,9)),2,IF(TRIM(INDEX(PASTE_ALL,21,9))="",0,IF(AND(LEFT(MID(TRIM(INDEX(PASTE_ALL,21,9)),1+(LEFT(TRIM(INDEX(PASTE_ALL,21,9)),1)="-"),999),LEN(MID(TRIM(INDEX(PASTE_ALL,21,9)),1+(LEFT(TRIM(INDEX(PASTE_ALL,21,9)),1)="-"),999))-(RIGHT(MID(TRIM(INDEX(PASTE_ALL,21,9)),1+(LEFT(TRIM(INDEX(PASTE_ALL,21,9)),1)="-"),999),1)="%"))&lt;&gt;"",SUBSTITUTE(SUBSTITUTE(SUBSTITUTE(SUBSTITUTE(SUBSTITUTE(SUBSTITUTE(SUBSTITUTE(SUBSTITUTE(SUBSTITUTE(SUBSTITUTE(SUBSTITUTE(SUBSTITUTE(LEFT(MID(TRIM(INDEX(PASTE_ALL,21,9)),1+(LEFT(TRIM(INDEX(PASTE_ALL,21,9)),1)="-"),999),LEN(MID(TRIM(INDEX(PASTE_ALL,21,9)),1+(LEFT(TRIM(INDEX(PASTE_ALL,21,9)),1)="-"),999))-(RIGHT(MID(TRIM(INDEX(PASTE_ALL,21,9)),1+(LEFT(TRIM(INDEX(PASTE_ALL,21,9)),1)="-"),999),1)="%")),"0",""),"1",""),"2",""),"3",""),"4",""),"5",""),"6",""),"7",""),"8",""),"9",""),".",""),",","")=""),2,1))),1)</f>
        <v/>
      </c>
      <c r="AH70">
        <f>IFERROR(IF(ISNUMBER(INDEX(PASTE_ALL,21,10)),2,IF(TRIM(INDEX(PASTE_ALL,21,10))="",0,IF(AND(LEFT(MID(TRIM(INDEX(PASTE_ALL,21,10)),1+(LEFT(TRIM(INDEX(PASTE_ALL,21,10)),1)="-"),999),LEN(MID(TRIM(INDEX(PASTE_ALL,21,10)),1+(LEFT(TRIM(INDEX(PASTE_ALL,21,10)),1)="-"),999))-(RIGHT(MID(TRIM(INDEX(PASTE_ALL,21,10)),1+(LEFT(TRIM(INDEX(PASTE_ALL,21,10)),1)="-"),999),1)="%"))&lt;&gt;"",SUBSTITUTE(SUBSTITUTE(SUBSTITUTE(SUBSTITUTE(SUBSTITUTE(SUBSTITUTE(SUBSTITUTE(SUBSTITUTE(SUBSTITUTE(SUBSTITUTE(SUBSTITUTE(SUBSTITUTE(LEFT(MID(TRIM(INDEX(PASTE_ALL,21,10)),1+(LEFT(TRIM(INDEX(PASTE_ALL,21,10)),1)="-"),999),LEN(MID(TRIM(INDEX(PASTE_ALL,21,10)),1+(LEFT(TRIM(INDEX(PASTE_ALL,21,10)),1)="-"),999))-(RIGHT(MID(TRIM(INDEX(PASTE_ALL,21,10)),1+(LEFT(TRIM(INDEX(PASTE_ALL,21,10)),1)="-"),999),1)="%")),"0",""),"1",""),"2",""),"3",""),"4",""),"5",""),"6",""),"7",""),"8",""),"9",""),".",""),",","")=""),2,1))),1)</f>
        <v/>
      </c>
      <c r="AI70">
        <f>IFERROR(IF(ISNUMBER(INDEX(PASTE_ALL,21,11)),2,IF(TRIM(INDEX(PASTE_ALL,21,11))="",0,IF(AND(LEFT(MID(TRIM(INDEX(PASTE_ALL,21,11)),1+(LEFT(TRIM(INDEX(PASTE_ALL,21,11)),1)="-"),999),LEN(MID(TRIM(INDEX(PASTE_ALL,21,11)),1+(LEFT(TRIM(INDEX(PASTE_ALL,21,11)),1)="-"),999))-(RIGHT(MID(TRIM(INDEX(PASTE_ALL,21,11)),1+(LEFT(TRIM(INDEX(PASTE_ALL,21,11)),1)="-"),999),1)="%"))&lt;&gt;"",SUBSTITUTE(SUBSTITUTE(SUBSTITUTE(SUBSTITUTE(SUBSTITUTE(SUBSTITUTE(SUBSTITUTE(SUBSTITUTE(SUBSTITUTE(SUBSTITUTE(SUBSTITUTE(SUBSTITUTE(LEFT(MID(TRIM(INDEX(PASTE_ALL,21,11)),1+(LEFT(TRIM(INDEX(PASTE_ALL,21,11)),1)="-"),999),LEN(MID(TRIM(INDEX(PASTE_ALL,21,11)),1+(LEFT(TRIM(INDEX(PASTE_ALL,21,11)),1)="-"),999))-(RIGHT(MID(TRIM(INDEX(PASTE_ALL,21,11)),1+(LEFT(TRIM(INDEX(PASTE_ALL,21,11)),1)="-"),999),1)="%")),"0",""),"1",""),"2",""),"3",""),"4",""),"5",""),"6",""),"7",""),"8",""),"9",""),".",""),",","")=""),2,1))),1)</f>
        <v/>
      </c>
      <c r="AJ70">
        <f>IFERROR(IF(ISNUMBER(INDEX(PASTE_ALL,21,12)),2,IF(TRIM(INDEX(PASTE_ALL,21,12))="",0,IF(AND(LEFT(MID(TRIM(INDEX(PASTE_ALL,21,12)),1+(LEFT(TRIM(INDEX(PASTE_ALL,21,12)),1)="-"),999),LEN(MID(TRIM(INDEX(PASTE_ALL,21,12)),1+(LEFT(TRIM(INDEX(PASTE_ALL,21,12)),1)="-"),999))-(RIGHT(MID(TRIM(INDEX(PASTE_ALL,21,12)),1+(LEFT(TRIM(INDEX(PASTE_ALL,21,12)),1)="-"),999),1)="%"))&lt;&gt;"",SUBSTITUTE(SUBSTITUTE(SUBSTITUTE(SUBSTITUTE(SUBSTITUTE(SUBSTITUTE(SUBSTITUTE(SUBSTITUTE(SUBSTITUTE(SUBSTITUTE(SUBSTITUTE(SUBSTITUTE(LEFT(MID(TRIM(INDEX(PASTE_ALL,21,12)),1+(LEFT(TRIM(INDEX(PASTE_ALL,21,12)),1)="-"),999),LEN(MID(TRIM(INDEX(PASTE_ALL,21,12)),1+(LEFT(TRIM(INDEX(PASTE_ALL,21,12)),1)="-"),999))-(RIGHT(MID(TRIM(INDEX(PASTE_ALL,21,12)),1+(LEFT(TRIM(INDEX(PASTE_ALL,21,12)),1)="-"),999),1)="%")),"0",""),"1",""),"2",""),"3",""),"4",""),"5",""),"6",""),"7",""),"8",""),"9",""),".",""),",","")=""),2,1))),1)</f>
        <v/>
      </c>
      <c r="AK70">
        <f>IFERROR(IF(ISNUMBER(INDEX(PASTE_ALL,21,13)),2,IF(TRIM(INDEX(PASTE_ALL,21,13))="",0,IF(AND(LEFT(MID(TRIM(INDEX(PASTE_ALL,21,13)),1+(LEFT(TRIM(INDEX(PASTE_ALL,21,13)),1)="-"),999),LEN(MID(TRIM(INDEX(PASTE_ALL,21,13)),1+(LEFT(TRIM(INDEX(PASTE_ALL,21,13)),1)="-"),999))-(RIGHT(MID(TRIM(INDEX(PASTE_ALL,21,13)),1+(LEFT(TRIM(INDEX(PASTE_ALL,21,13)),1)="-"),999),1)="%"))&lt;&gt;"",SUBSTITUTE(SUBSTITUTE(SUBSTITUTE(SUBSTITUTE(SUBSTITUTE(SUBSTITUTE(SUBSTITUTE(SUBSTITUTE(SUBSTITUTE(SUBSTITUTE(SUBSTITUTE(SUBSTITUTE(LEFT(MID(TRIM(INDEX(PASTE_ALL,21,13)),1+(LEFT(TRIM(INDEX(PASTE_ALL,21,13)),1)="-"),999),LEN(MID(TRIM(INDEX(PASTE_ALL,21,13)),1+(LEFT(TRIM(INDEX(PASTE_ALL,21,13)),1)="-"),999))-(RIGHT(MID(TRIM(INDEX(PASTE_ALL,21,13)),1+(LEFT(TRIM(INDEX(PASTE_ALL,21,13)),1)="-"),999),1)="%")),"0",""),"1",""),"2",""),"3",""),"4",""),"5",""),"6",""),"7",""),"8",""),"9",""),".",""),",","")=""),2,1))),1)</f>
        <v/>
      </c>
      <c r="AL70">
        <f>IFERROR(IF(ISNUMBER(INDEX(PASTE_ALL,21,14)),2,IF(TRIM(INDEX(PASTE_ALL,21,14))="",0,IF(AND(LEFT(MID(TRIM(INDEX(PASTE_ALL,21,14)),1+(LEFT(TRIM(INDEX(PASTE_ALL,21,14)),1)="-"),999),LEN(MID(TRIM(INDEX(PASTE_ALL,21,14)),1+(LEFT(TRIM(INDEX(PASTE_ALL,21,14)),1)="-"),999))-(RIGHT(MID(TRIM(INDEX(PASTE_ALL,21,14)),1+(LEFT(TRIM(INDEX(PASTE_ALL,21,14)),1)="-"),999),1)="%"))&lt;&gt;"",SUBSTITUTE(SUBSTITUTE(SUBSTITUTE(SUBSTITUTE(SUBSTITUTE(SUBSTITUTE(SUBSTITUTE(SUBSTITUTE(SUBSTITUTE(SUBSTITUTE(SUBSTITUTE(SUBSTITUTE(LEFT(MID(TRIM(INDEX(PASTE_ALL,21,14)),1+(LEFT(TRIM(INDEX(PASTE_ALL,21,14)),1)="-"),999),LEN(MID(TRIM(INDEX(PASTE_ALL,21,14)),1+(LEFT(TRIM(INDEX(PASTE_ALL,21,14)),1)="-"),999))-(RIGHT(MID(TRIM(INDEX(PASTE_ALL,21,14)),1+(LEFT(TRIM(INDEX(PASTE_ALL,21,14)),1)="-"),999),1)="%")),"0",""),"1",""),"2",""),"3",""),"4",""),"5",""),"6",""),"7",""),"8",""),"9",""),".",""),",","")=""),2,1))),1)</f>
        <v/>
      </c>
      <c r="AM70">
        <f>IFERROR(IF(ISNUMBER(INDEX(PASTE_ALL,21,15)),2,IF(TRIM(INDEX(PASTE_ALL,21,15))="",0,IF(AND(LEFT(MID(TRIM(INDEX(PASTE_ALL,21,15)),1+(LEFT(TRIM(INDEX(PASTE_ALL,21,15)),1)="-"),999),LEN(MID(TRIM(INDEX(PASTE_ALL,21,15)),1+(LEFT(TRIM(INDEX(PASTE_ALL,21,15)),1)="-"),999))-(RIGHT(MID(TRIM(INDEX(PASTE_ALL,21,15)),1+(LEFT(TRIM(INDEX(PASTE_ALL,21,15)),1)="-"),999),1)="%"))&lt;&gt;"",SUBSTITUTE(SUBSTITUTE(SUBSTITUTE(SUBSTITUTE(SUBSTITUTE(SUBSTITUTE(SUBSTITUTE(SUBSTITUTE(SUBSTITUTE(SUBSTITUTE(SUBSTITUTE(SUBSTITUTE(LEFT(MID(TRIM(INDEX(PASTE_ALL,21,15)),1+(LEFT(TRIM(INDEX(PASTE_ALL,21,15)),1)="-"),999),LEN(MID(TRIM(INDEX(PASTE_ALL,21,15)),1+(LEFT(TRIM(INDEX(PASTE_ALL,21,15)),1)="-"),999))-(RIGHT(MID(TRIM(INDEX(PASTE_ALL,21,15)),1+(LEFT(TRIM(INDEX(PASTE_ALL,21,15)),1)="-"),999),1)="%")),"0",""),"1",""),"2",""),"3",""),"4",""),"5",""),"6",""),"7",""),"8",""),"9",""),".",""),",","")=""),2,1))),1)</f>
        <v/>
      </c>
      <c r="AN70">
        <f>IFERROR(IF(ISNUMBER(INDEX(PASTE_ALL,21,16)),2,IF(TRIM(INDEX(PASTE_ALL,21,16))="",0,IF(AND(LEFT(MID(TRIM(INDEX(PASTE_ALL,21,16)),1+(LEFT(TRIM(INDEX(PASTE_ALL,21,16)),1)="-"),999),LEN(MID(TRIM(INDEX(PASTE_ALL,21,16)),1+(LEFT(TRIM(INDEX(PASTE_ALL,21,16)),1)="-"),999))-(RIGHT(MID(TRIM(INDEX(PASTE_ALL,21,16)),1+(LEFT(TRIM(INDEX(PASTE_ALL,21,16)),1)="-"),999),1)="%"))&lt;&gt;"",SUBSTITUTE(SUBSTITUTE(SUBSTITUTE(SUBSTITUTE(SUBSTITUTE(SUBSTITUTE(SUBSTITUTE(SUBSTITUTE(SUBSTITUTE(SUBSTITUTE(SUBSTITUTE(SUBSTITUTE(LEFT(MID(TRIM(INDEX(PASTE_ALL,21,16)),1+(LEFT(TRIM(INDEX(PASTE_ALL,21,16)),1)="-"),999),LEN(MID(TRIM(INDEX(PASTE_ALL,21,16)),1+(LEFT(TRIM(INDEX(PASTE_ALL,21,16)),1)="-"),999))-(RIGHT(MID(TRIM(INDEX(PASTE_ALL,21,16)),1+(LEFT(TRIM(INDEX(PASTE_ALL,21,16)),1)="-"),999),1)="%")),"0",""),"1",""),"2",""),"3",""),"4",""),"5",""),"6",""),"7",""),"8",""),"9",""),".",""),",","")=""),2,1))),1)</f>
        <v/>
      </c>
      <c r="AO70">
        <f>IFERROR(IF(ISNUMBER(INDEX(PASTE_ALL,21,17)),2,IF(TRIM(INDEX(PASTE_ALL,21,17))="",0,IF(AND(LEFT(MID(TRIM(INDEX(PASTE_ALL,21,17)),1+(LEFT(TRIM(INDEX(PASTE_ALL,21,17)),1)="-"),999),LEN(MID(TRIM(INDEX(PASTE_ALL,21,17)),1+(LEFT(TRIM(INDEX(PASTE_ALL,21,17)),1)="-"),999))-(RIGHT(MID(TRIM(INDEX(PASTE_ALL,21,17)),1+(LEFT(TRIM(INDEX(PASTE_ALL,21,17)),1)="-"),999),1)="%"))&lt;&gt;"",SUBSTITUTE(SUBSTITUTE(SUBSTITUTE(SUBSTITUTE(SUBSTITUTE(SUBSTITUTE(SUBSTITUTE(SUBSTITUTE(SUBSTITUTE(SUBSTITUTE(SUBSTITUTE(SUBSTITUTE(LEFT(MID(TRIM(INDEX(PASTE_ALL,21,17)),1+(LEFT(TRIM(INDEX(PASTE_ALL,21,17)),1)="-"),999),LEN(MID(TRIM(INDEX(PASTE_ALL,21,17)),1+(LEFT(TRIM(INDEX(PASTE_ALL,21,17)),1)="-"),999))-(RIGHT(MID(TRIM(INDEX(PASTE_ALL,21,17)),1+(LEFT(TRIM(INDEX(PASTE_ALL,21,17)),1)="-"),999),1)="%")),"0",""),"1",""),"2",""),"3",""),"4",""),"5",""),"6",""),"7",""),"8",""),"9",""),".",""),",","")=""),2,1))),1)</f>
        <v/>
      </c>
      <c r="AP70">
        <f>IFERROR(IF(ISNUMBER(INDEX(PASTE_ALL,21,18)),2,IF(TRIM(INDEX(PASTE_ALL,21,18))="",0,IF(AND(LEFT(MID(TRIM(INDEX(PASTE_ALL,21,18)),1+(LEFT(TRIM(INDEX(PASTE_ALL,21,18)),1)="-"),999),LEN(MID(TRIM(INDEX(PASTE_ALL,21,18)),1+(LEFT(TRIM(INDEX(PASTE_ALL,21,18)),1)="-"),999))-(RIGHT(MID(TRIM(INDEX(PASTE_ALL,21,18)),1+(LEFT(TRIM(INDEX(PASTE_ALL,21,18)),1)="-"),999),1)="%"))&lt;&gt;"",SUBSTITUTE(SUBSTITUTE(SUBSTITUTE(SUBSTITUTE(SUBSTITUTE(SUBSTITUTE(SUBSTITUTE(SUBSTITUTE(SUBSTITUTE(SUBSTITUTE(SUBSTITUTE(SUBSTITUTE(LEFT(MID(TRIM(INDEX(PASTE_ALL,21,18)),1+(LEFT(TRIM(INDEX(PASTE_ALL,21,18)),1)="-"),999),LEN(MID(TRIM(INDEX(PASTE_ALL,21,18)),1+(LEFT(TRIM(INDEX(PASTE_ALL,21,18)),1)="-"),999))-(RIGHT(MID(TRIM(INDEX(PASTE_ALL,21,18)),1+(LEFT(TRIM(INDEX(PASTE_ALL,21,18)),1)="-"),999),1)="%")),"0",""),"1",""),"2",""),"3",""),"4",""),"5",""),"6",""),"7",""),"8",""),"9",""),".",""),",","")=""),2,1))),1)</f>
        <v/>
      </c>
      <c r="AQ70">
        <f>IFERROR(IF(ISNUMBER(INDEX(PASTE_ALL,21,19)),2,IF(TRIM(INDEX(PASTE_ALL,21,19))="",0,IF(AND(LEFT(MID(TRIM(INDEX(PASTE_ALL,21,19)),1+(LEFT(TRIM(INDEX(PASTE_ALL,21,19)),1)="-"),999),LEN(MID(TRIM(INDEX(PASTE_ALL,21,19)),1+(LEFT(TRIM(INDEX(PASTE_ALL,21,19)),1)="-"),999))-(RIGHT(MID(TRIM(INDEX(PASTE_ALL,21,19)),1+(LEFT(TRIM(INDEX(PASTE_ALL,21,19)),1)="-"),999),1)="%"))&lt;&gt;"",SUBSTITUTE(SUBSTITUTE(SUBSTITUTE(SUBSTITUTE(SUBSTITUTE(SUBSTITUTE(SUBSTITUTE(SUBSTITUTE(SUBSTITUTE(SUBSTITUTE(SUBSTITUTE(SUBSTITUTE(LEFT(MID(TRIM(INDEX(PASTE_ALL,21,19)),1+(LEFT(TRIM(INDEX(PASTE_ALL,21,19)),1)="-"),999),LEN(MID(TRIM(INDEX(PASTE_ALL,21,19)),1+(LEFT(TRIM(INDEX(PASTE_ALL,21,19)),1)="-"),999))-(RIGHT(MID(TRIM(INDEX(PASTE_ALL,21,19)),1+(LEFT(TRIM(INDEX(PASTE_ALL,21,19)),1)="-"),999),1)="%")),"0",""),"1",""),"2",""),"3",""),"4",""),"5",""),"6",""),"7",""),"8",""),"9",""),".",""),",","")=""),2,1))),1)</f>
        <v/>
      </c>
      <c r="AR70">
        <f>IFERROR(IF(ISNUMBER(INDEX(PASTE_ALL,21,20)),2,IF(TRIM(INDEX(PASTE_ALL,21,20))="",0,IF(AND(LEFT(MID(TRIM(INDEX(PASTE_ALL,21,20)),1+(LEFT(TRIM(INDEX(PASTE_ALL,21,20)),1)="-"),999),LEN(MID(TRIM(INDEX(PASTE_ALL,21,20)),1+(LEFT(TRIM(INDEX(PASTE_ALL,21,20)),1)="-"),999))-(RIGHT(MID(TRIM(INDEX(PASTE_ALL,21,20)),1+(LEFT(TRIM(INDEX(PASTE_ALL,21,20)),1)="-"),999),1)="%"))&lt;&gt;"",SUBSTITUTE(SUBSTITUTE(SUBSTITUTE(SUBSTITUTE(SUBSTITUTE(SUBSTITUTE(SUBSTITUTE(SUBSTITUTE(SUBSTITUTE(SUBSTITUTE(SUBSTITUTE(SUBSTITUTE(LEFT(MID(TRIM(INDEX(PASTE_ALL,21,20)),1+(LEFT(TRIM(INDEX(PASTE_ALL,21,20)),1)="-"),999),LEN(MID(TRIM(INDEX(PASTE_ALL,21,20)),1+(LEFT(TRIM(INDEX(PASTE_ALL,21,20)),1)="-"),999))-(RIGHT(MID(TRIM(INDEX(PASTE_ALL,21,20)),1+(LEFT(TRIM(INDEX(PASTE_ALL,21,20)),1)="-"),999),1)="%")),"0",""),"1",""),"2",""),"3",""),"4",""),"5",""),"6",""),"7",""),"8",""),"9",""),".",""),",","")=""),2,1))),1)</f>
        <v/>
      </c>
      <c r="AS70">
        <f>IFERROR(IF(ISNUMBER(INDEX(PASTE_ALL,21,21)),2,IF(TRIM(INDEX(PASTE_ALL,21,21))="",0,IF(AND(LEFT(MID(TRIM(INDEX(PASTE_ALL,21,21)),1+(LEFT(TRIM(INDEX(PASTE_ALL,21,21)),1)="-"),999),LEN(MID(TRIM(INDEX(PASTE_ALL,21,21)),1+(LEFT(TRIM(INDEX(PASTE_ALL,21,21)),1)="-"),999))-(RIGHT(MID(TRIM(INDEX(PASTE_ALL,21,21)),1+(LEFT(TRIM(INDEX(PASTE_ALL,21,21)),1)="-"),999),1)="%"))&lt;&gt;"",SUBSTITUTE(SUBSTITUTE(SUBSTITUTE(SUBSTITUTE(SUBSTITUTE(SUBSTITUTE(SUBSTITUTE(SUBSTITUTE(SUBSTITUTE(SUBSTITUTE(SUBSTITUTE(SUBSTITUTE(LEFT(MID(TRIM(INDEX(PASTE_ALL,21,21)),1+(LEFT(TRIM(INDEX(PASTE_ALL,21,21)),1)="-"),999),LEN(MID(TRIM(INDEX(PASTE_ALL,21,21)),1+(LEFT(TRIM(INDEX(PASTE_ALL,21,21)),1)="-"),999))-(RIGHT(MID(TRIM(INDEX(PASTE_ALL,21,21)),1+(LEFT(TRIM(INDEX(PASTE_ALL,21,21)),1)="-"),999),1)="%")),"0",""),"1",""),"2",""),"3",""),"4",""),"5",""),"6",""),"7",""),"8",""),"9",""),".",""),",","")=""),2,1))),1)</f>
        <v/>
      </c>
      <c r="AT70">
        <f>IFERROR(IF(ISNUMBER(INDEX(PASTE_ALL,21,22)),2,IF(TRIM(INDEX(PASTE_ALL,21,22))="",0,IF(AND(LEFT(MID(TRIM(INDEX(PASTE_ALL,21,22)),1+(LEFT(TRIM(INDEX(PASTE_ALL,21,22)),1)="-"),999),LEN(MID(TRIM(INDEX(PASTE_ALL,21,22)),1+(LEFT(TRIM(INDEX(PASTE_ALL,21,22)),1)="-"),999))-(RIGHT(MID(TRIM(INDEX(PASTE_ALL,21,22)),1+(LEFT(TRIM(INDEX(PASTE_ALL,21,22)),1)="-"),999),1)="%"))&lt;&gt;"",SUBSTITUTE(SUBSTITUTE(SUBSTITUTE(SUBSTITUTE(SUBSTITUTE(SUBSTITUTE(SUBSTITUTE(SUBSTITUTE(SUBSTITUTE(SUBSTITUTE(SUBSTITUTE(SUBSTITUTE(LEFT(MID(TRIM(INDEX(PASTE_ALL,21,22)),1+(LEFT(TRIM(INDEX(PASTE_ALL,21,22)),1)="-"),999),LEN(MID(TRIM(INDEX(PASTE_ALL,21,22)),1+(LEFT(TRIM(INDEX(PASTE_ALL,21,22)),1)="-"),999))-(RIGHT(MID(TRIM(INDEX(PASTE_ALL,21,22)),1+(LEFT(TRIM(INDEX(PASTE_ALL,21,22)),1)="-"),999),1)="%")),"0",""),"1",""),"2",""),"3",""),"4",""),"5",""),"6",""),"7",""),"8",""),"9",""),".",""),",","")=""),2,1))),1)</f>
        <v/>
      </c>
      <c r="AU70">
        <f>IFERROR(IF(ISNUMBER(INDEX(PASTE_ALL,21,23)),2,IF(TRIM(INDEX(PASTE_ALL,21,23))="",0,IF(AND(LEFT(MID(TRIM(INDEX(PASTE_ALL,21,23)),1+(LEFT(TRIM(INDEX(PASTE_ALL,21,23)),1)="-"),999),LEN(MID(TRIM(INDEX(PASTE_ALL,21,23)),1+(LEFT(TRIM(INDEX(PASTE_ALL,21,23)),1)="-"),999))-(RIGHT(MID(TRIM(INDEX(PASTE_ALL,21,23)),1+(LEFT(TRIM(INDEX(PASTE_ALL,21,23)),1)="-"),999),1)="%"))&lt;&gt;"",SUBSTITUTE(SUBSTITUTE(SUBSTITUTE(SUBSTITUTE(SUBSTITUTE(SUBSTITUTE(SUBSTITUTE(SUBSTITUTE(SUBSTITUTE(SUBSTITUTE(SUBSTITUTE(SUBSTITUTE(LEFT(MID(TRIM(INDEX(PASTE_ALL,21,23)),1+(LEFT(TRIM(INDEX(PASTE_ALL,21,23)),1)="-"),999),LEN(MID(TRIM(INDEX(PASTE_ALL,21,23)),1+(LEFT(TRIM(INDEX(PASTE_ALL,21,23)),1)="-"),999))-(RIGHT(MID(TRIM(INDEX(PASTE_ALL,21,23)),1+(LEFT(TRIM(INDEX(PASTE_ALL,21,23)),1)="-"),999),1)="%")),"0",""),"1",""),"2",""),"3",""),"4",""),"5",""),"6",""),"7",""),"8",""),"9",""),".",""),",","")=""),2,1))),1)</f>
        <v/>
      </c>
      <c r="AV70">
        <f>IFERROR(IF(ISNUMBER(INDEX(PASTE_ALL,21,24)),2,IF(TRIM(INDEX(PASTE_ALL,21,24))="",0,IF(AND(LEFT(MID(TRIM(INDEX(PASTE_ALL,21,24)),1+(LEFT(TRIM(INDEX(PASTE_ALL,21,24)),1)="-"),999),LEN(MID(TRIM(INDEX(PASTE_ALL,21,24)),1+(LEFT(TRIM(INDEX(PASTE_ALL,21,24)),1)="-"),999))-(RIGHT(MID(TRIM(INDEX(PASTE_ALL,21,24)),1+(LEFT(TRIM(INDEX(PASTE_ALL,21,24)),1)="-"),999),1)="%"))&lt;&gt;"",SUBSTITUTE(SUBSTITUTE(SUBSTITUTE(SUBSTITUTE(SUBSTITUTE(SUBSTITUTE(SUBSTITUTE(SUBSTITUTE(SUBSTITUTE(SUBSTITUTE(SUBSTITUTE(SUBSTITUTE(LEFT(MID(TRIM(INDEX(PASTE_ALL,21,24)),1+(LEFT(TRIM(INDEX(PASTE_ALL,21,24)),1)="-"),999),LEN(MID(TRIM(INDEX(PASTE_ALL,21,24)),1+(LEFT(TRIM(INDEX(PASTE_ALL,21,24)),1)="-"),999))-(RIGHT(MID(TRIM(INDEX(PASTE_ALL,21,24)),1+(LEFT(TRIM(INDEX(PASTE_ALL,21,24)),1)="-"),999),1)="%")),"0",""),"1",""),"2",""),"3",""),"4",""),"5",""),"6",""),"7",""),"8",""),"9",""),".",""),",","")=""),2,1))),1)</f>
        <v/>
      </c>
      <c r="AW70">
        <f>IFERROR(IF(ISNUMBER(INDEX(PASTE_ALL,21,25)),2,IF(TRIM(INDEX(PASTE_ALL,21,25))="",0,IF(AND(LEFT(MID(TRIM(INDEX(PASTE_ALL,21,25)),1+(LEFT(TRIM(INDEX(PASTE_ALL,21,25)),1)="-"),999),LEN(MID(TRIM(INDEX(PASTE_ALL,21,25)),1+(LEFT(TRIM(INDEX(PASTE_ALL,21,25)),1)="-"),999))-(RIGHT(MID(TRIM(INDEX(PASTE_ALL,21,25)),1+(LEFT(TRIM(INDEX(PASTE_ALL,21,25)),1)="-"),999),1)="%"))&lt;&gt;"",SUBSTITUTE(SUBSTITUTE(SUBSTITUTE(SUBSTITUTE(SUBSTITUTE(SUBSTITUTE(SUBSTITUTE(SUBSTITUTE(SUBSTITUTE(SUBSTITUTE(SUBSTITUTE(SUBSTITUTE(LEFT(MID(TRIM(INDEX(PASTE_ALL,21,25)),1+(LEFT(TRIM(INDEX(PASTE_ALL,21,25)),1)="-"),999),LEN(MID(TRIM(INDEX(PASTE_ALL,21,25)),1+(LEFT(TRIM(INDEX(PASTE_ALL,21,25)),1)="-"),999))-(RIGHT(MID(TRIM(INDEX(PASTE_ALL,21,25)),1+(LEFT(TRIM(INDEX(PASTE_ALL,21,25)),1)="-"),999),1)="%")),"0",""),"1",""),"2",""),"3",""),"4",""),"5",""),"6",""),"7",""),"8",""),"9",""),".",""),",","")=""),2,1))),1)</f>
        <v/>
      </c>
      <c r="AX70">
        <f>IFERROR(IF(ISNUMBER(INDEX(PASTE_ALL,21,26)),2,IF(TRIM(INDEX(PASTE_ALL,21,26))="",0,IF(AND(LEFT(MID(TRIM(INDEX(PASTE_ALL,21,26)),1+(LEFT(TRIM(INDEX(PASTE_ALL,21,26)),1)="-"),999),LEN(MID(TRIM(INDEX(PASTE_ALL,21,26)),1+(LEFT(TRIM(INDEX(PASTE_ALL,21,26)),1)="-"),999))-(RIGHT(MID(TRIM(INDEX(PASTE_ALL,21,26)),1+(LEFT(TRIM(INDEX(PASTE_ALL,21,26)),1)="-"),999),1)="%"))&lt;&gt;"",SUBSTITUTE(SUBSTITUTE(SUBSTITUTE(SUBSTITUTE(SUBSTITUTE(SUBSTITUTE(SUBSTITUTE(SUBSTITUTE(SUBSTITUTE(SUBSTITUTE(SUBSTITUTE(SUBSTITUTE(LEFT(MID(TRIM(INDEX(PASTE_ALL,21,26)),1+(LEFT(TRIM(INDEX(PASTE_ALL,21,26)),1)="-"),999),LEN(MID(TRIM(INDEX(PASTE_ALL,21,26)),1+(LEFT(TRIM(INDEX(PASTE_ALL,21,26)),1)="-"),999))-(RIGHT(MID(TRIM(INDEX(PASTE_ALL,21,26)),1+(LEFT(TRIM(INDEX(PASTE_ALL,21,26)),1)="-"),999),1)="%")),"0",""),"1",""),"2",""),"3",""),"4",""),"5",""),"6",""),"7",""),"8",""),"9",""),".",""),",","")=""),2,1))),1)</f>
        <v/>
      </c>
      <c r="AY70">
        <f>IFERROR(IF(ISNUMBER(INDEX(PASTE_ALL,21,27)),2,IF(TRIM(INDEX(PASTE_ALL,21,27))="",0,IF(AND(LEFT(MID(TRIM(INDEX(PASTE_ALL,21,27)),1+(LEFT(TRIM(INDEX(PASTE_ALL,21,27)),1)="-"),999),LEN(MID(TRIM(INDEX(PASTE_ALL,21,27)),1+(LEFT(TRIM(INDEX(PASTE_ALL,21,27)),1)="-"),999))-(RIGHT(MID(TRIM(INDEX(PASTE_ALL,21,27)),1+(LEFT(TRIM(INDEX(PASTE_ALL,21,27)),1)="-"),999),1)="%"))&lt;&gt;"",SUBSTITUTE(SUBSTITUTE(SUBSTITUTE(SUBSTITUTE(SUBSTITUTE(SUBSTITUTE(SUBSTITUTE(SUBSTITUTE(SUBSTITUTE(SUBSTITUTE(SUBSTITUTE(SUBSTITUTE(LEFT(MID(TRIM(INDEX(PASTE_ALL,21,27)),1+(LEFT(TRIM(INDEX(PASTE_ALL,21,27)),1)="-"),999),LEN(MID(TRIM(INDEX(PASTE_ALL,21,27)),1+(LEFT(TRIM(INDEX(PASTE_ALL,21,27)),1)="-"),999))-(RIGHT(MID(TRIM(INDEX(PASTE_ALL,21,27)),1+(LEFT(TRIM(INDEX(PASTE_ALL,21,27)),1)="-"),999),1)="%")),"0",""),"1",""),"2",""),"3",""),"4",""),"5",""),"6",""),"7",""),"8",""),"9",""),".",""),",","")=""),2,1))),1)</f>
        <v/>
      </c>
      <c r="AZ70">
        <f>IFERROR(IF(ISNUMBER(INDEX(PASTE_ALL,21,28)),2,IF(TRIM(INDEX(PASTE_ALL,21,28))="",0,IF(AND(LEFT(MID(TRIM(INDEX(PASTE_ALL,21,28)),1+(LEFT(TRIM(INDEX(PASTE_ALL,21,28)),1)="-"),999),LEN(MID(TRIM(INDEX(PASTE_ALL,21,28)),1+(LEFT(TRIM(INDEX(PASTE_ALL,21,28)),1)="-"),999))-(RIGHT(MID(TRIM(INDEX(PASTE_ALL,21,28)),1+(LEFT(TRIM(INDEX(PASTE_ALL,21,28)),1)="-"),999),1)="%"))&lt;&gt;"",SUBSTITUTE(SUBSTITUTE(SUBSTITUTE(SUBSTITUTE(SUBSTITUTE(SUBSTITUTE(SUBSTITUTE(SUBSTITUTE(SUBSTITUTE(SUBSTITUTE(SUBSTITUTE(SUBSTITUTE(LEFT(MID(TRIM(INDEX(PASTE_ALL,21,28)),1+(LEFT(TRIM(INDEX(PASTE_ALL,21,28)),1)="-"),999),LEN(MID(TRIM(INDEX(PASTE_ALL,21,28)),1+(LEFT(TRIM(INDEX(PASTE_ALL,21,28)),1)="-"),999))-(RIGHT(MID(TRIM(INDEX(PASTE_ALL,21,28)),1+(LEFT(TRIM(INDEX(PASTE_ALL,21,28)),1)="-"),999),1)="%")),"0",""),"1",""),"2",""),"3",""),"4",""),"5",""),"6",""),"7",""),"8",""),"9",""),".",""),",","")=""),2,1))),1)</f>
        <v/>
      </c>
      <c r="BA70">
        <f>IFERROR(IF(ISNUMBER(INDEX(PASTE_ALL,21,29)),2,IF(TRIM(INDEX(PASTE_ALL,21,29))="",0,IF(AND(LEFT(MID(TRIM(INDEX(PASTE_ALL,21,29)),1+(LEFT(TRIM(INDEX(PASTE_ALL,21,29)),1)="-"),999),LEN(MID(TRIM(INDEX(PASTE_ALL,21,29)),1+(LEFT(TRIM(INDEX(PASTE_ALL,21,29)),1)="-"),999))-(RIGHT(MID(TRIM(INDEX(PASTE_ALL,21,29)),1+(LEFT(TRIM(INDEX(PASTE_ALL,21,29)),1)="-"),999),1)="%"))&lt;&gt;"",SUBSTITUTE(SUBSTITUTE(SUBSTITUTE(SUBSTITUTE(SUBSTITUTE(SUBSTITUTE(SUBSTITUTE(SUBSTITUTE(SUBSTITUTE(SUBSTITUTE(SUBSTITUTE(SUBSTITUTE(LEFT(MID(TRIM(INDEX(PASTE_ALL,21,29)),1+(LEFT(TRIM(INDEX(PASTE_ALL,21,29)),1)="-"),999),LEN(MID(TRIM(INDEX(PASTE_ALL,21,29)),1+(LEFT(TRIM(INDEX(PASTE_ALL,21,29)),1)="-"),999))-(RIGHT(MID(TRIM(INDEX(PASTE_ALL,21,29)),1+(LEFT(TRIM(INDEX(PASTE_ALL,21,29)),1)="-"),999),1)="%")),"0",""),"1",""),"2",""),"3",""),"4",""),"5",""),"6",""),"7",""),"8",""),"9",""),".",""),",","")=""),2,1))),1)</f>
        <v/>
      </c>
      <c r="BB70">
        <f>IFERROR(IF(ISNUMBER(INDEX(PASTE_ALL,21,30)),2,IF(TRIM(INDEX(PASTE_ALL,21,30))="",0,IF(AND(LEFT(MID(TRIM(INDEX(PASTE_ALL,21,30)),1+(LEFT(TRIM(INDEX(PASTE_ALL,21,30)),1)="-"),999),LEN(MID(TRIM(INDEX(PASTE_ALL,21,30)),1+(LEFT(TRIM(INDEX(PASTE_ALL,21,30)),1)="-"),999))-(RIGHT(MID(TRIM(INDEX(PASTE_ALL,21,30)),1+(LEFT(TRIM(INDEX(PASTE_ALL,21,30)),1)="-"),999),1)="%"))&lt;&gt;"",SUBSTITUTE(SUBSTITUTE(SUBSTITUTE(SUBSTITUTE(SUBSTITUTE(SUBSTITUTE(SUBSTITUTE(SUBSTITUTE(SUBSTITUTE(SUBSTITUTE(SUBSTITUTE(SUBSTITUTE(LEFT(MID(TRIM(INDEX(PASTE_ALL,21,30)),1+(LEFT(TRIM(INDEX(PASTE_ALL,21,30)),1)="-"),999),LEN(MID(TRIM(INDEX(PASTE_ALL,21,30)),1+(LEFT(TRIM(INDEX(PASTE_ALL,21,30)),1)="-"),999))-(RIGHT(MID(TRIM(INDEX(PASTE_ALL,21,30)),1+(LEFT(TRIM(INDEX(PASTE_ALL,21,30)),1)="-"),999),1)="%")),"0",""),"1",""),"2",""),"3",""),"4",""),"5",""),"6",""),"7",""),"8",""),"9",""),".",""),",","")=""),2,1))),1)</f>
        <v/>
      </c>
      <c r="BC70">
        <f>IFERROR(IF(ISNUMBER(INDEX(PASTE_ALL,21,31)),2,IF(TRIM(INDEX(PASTE_ALL,21,31))="",0,IF(AND(LEFT(MID(TRIM(INDEX(PASTE_ALL,21,31)),1+(LEFT(TRIM(INDEX(PASTE_ALL,21,31)),1)="-"),999),LEN(MID(TRIM(INDEX(PASTE_ALL,21,31)),1+(LEFT(TRIM(INDEX(PASTE_ALL,21,31)),1)="-"),999))-(RIGHT(MID(TRIM(INDEX(PASTE_ALL,21,31)),1+(LEFT(TRIM(INDEX(PASTE_ALL,21,31)),1)="-"),999),1)="%"))&lt;&gt;"",SUBSTITUTE(SUBSTITUTE(SUBSTITUTE(SUBSTITUTE(SUBSTITUTE(SUBSTITUTE(SUBSTITUTE(SUBSTITUTE(SUBSTITUTE(SUBSTITUTE(SUBSTITUTE(SUBSTITUTE(LEFT(MID(TRIM(INDEX(PASTE_ALL,21,31)),1+(LEFT(TRIM(INDEX(PASTE_ALL,21,31)),1)="-"),999),LEN(MID(TRIM(INDEX(PASTE_ALL,21,31)),1+(LEFT(TRIM(INDEX(PASTE_ALL,21,31)),1)="-"),999))-(RIGHT(MID(TRIM(INDEX(PASTE_ALL,21,31)),1+(LEFT(TRIM(INDEX(PASTE_ALL,21,31)),1)="-"),999),1)="%")),"0",""),"1",""),"2",""),"3",""),"4",""),"5",""),"6",""),"7",""),"8",""),"9",""),".",""),",","")=""),2,1))),1)</f>
        <v/>
      </c>
      <c r="BD70">
        <f>IFERROR(IF(ISNUMBER(INDEX(PASTE_ALL,21,32)),2,IF(TRIM(INDEX(PASTE_ALL,21,32))="",0,IF(AND(LEFT(MID(TRIM(INDEX(PASTE_ALL,21,32)),1+(LEFT(TRIM(INDEX(PASTE_ALL,21,32)),1)="-"),999),LEN(MID(TRIM(INDEX(PASTE_ALL,21,32)),1+(LEFT(TRIM(INDEX(PASTE_ALL,21,32)),1)="-"),999))-(RIGHT(MID(TRIM(INDEX(PASTE_ALL,21,32)),1+(LEFT(TRIM(INDEX(PASTE_ALL,21,32)),1)="-"),999),1)="%"))&lt;&gt;"",SUBSTITUTE(SUBSTITUTE(SUBSTITUTE(SUBSTITUTE(SUBSTITUTE(SUBSTITUTE(SUBSTITUTE(SUBSTITUTE(SUBSTITUTE(SUBSTITUTE(SUBSTITUTE(SUBSTITUTE(LEFT(MID(TRIM(INDEX(PASTE_ALL,21,32)),1+(LEFT(TRIM(INDEX(PASTE_ALL,21,32)),1)="-"),999),LEN(MID(TRIM(INDEX(PASTE_ALL,21,32)),1+(LEFT(TRIM(INDEX(PASTE_ALL,21,32)),1)="-"),999))-(RIGHT(MID(TRIM(INDEX(PASTE_ALL,21,32)),1+(LEFT(TRIM(INDEX(PASTE_ALL,21,32)),1)="-"),999),1)="%")),"0",""),"1",""),"2",""),"3",""),"4",""),"5",""),"6",""),"7",""),"8",""),"9",""),".",""),",","")=""),2,1))),1)</f>
        <v/>
      </c>
      <c r="BE70">
        <f>IFERROR(IF(ISNUMBER(INDEX(PASTE_ALL,21,33)),2,IF(TRIM(INDEX(PASTE_ALL,21,33))="",0,IF(AND(LEFT(MID(TRIM(INDEX(PASTE_ALL,21,33)),1+(LEFT(TRIM(INDEX(PASTE_ALL,21,33)),1)="-"),999),LEN(MID(TRIM(INDEX(PASTE_ALL,21,33)),1+(LEFT(TRIM(INDEX(PASTE_ALL,21,33)),1)="-"),999))-(RIGHT(MID(TRIM(INDEX(PASTE_ALL,21,33)),1+(LEFT(TRIM(INDEX(PASTE_ALL,21,33)),1)="-"),999),1)="%"))&lt;&gt;"",SUBSTITUTE(SUBSTITUTE(SUBSTITUTE(SUBSTITUTE(SUBSTITUTE(SUBSTITUTE(SUBSTITUTE(SUBSTITUTE(SUBSTITUTE(SUBSTITUTE(SUBSTITUTE(SUBSTITUTE(LEFT(MID(TRIM(INDEX(PASTE_ALL,21,33)),1+(LEFT(TRIM(INDEX(PASTE_ALL,21,33)),1)="-"),999),LEN(MID(TRIM(INDEX(PASTE_ALL,21,33)),1+(LEFT(TRIM(INDEX(PASTE_ALL,21,33)),1)="-"),999))-(RIGHT(MID(TRIM(INDEX(PASTE_ALL,21,33)),1+(LEFT(TRIM(INDEX(PASTE_ALL,21,33)),1)="-"),999),1)="%")),"0",""),"1",""),"2",""),"3",""),"4",""),"5",""),"6",""),"7",""),"8",""),"9",""),".",""),",","")=""),2,1))),1)</f>
        <v/>
      </c>
      <c r="BF70">
        <f>IFERROR(IF(ISNUMBER(INDEX(PASTE_ALL,21,34)),2,IF(TRIM(INDEX(PASTE_ALL,21,34))="",0,IF(AND(LEFT(MID(TRIM(INDEX(PASTE_ALL,21,34)),1+(LEFT(TRIM(INDEX(PASTE_ALL,21,34)),1)="-"),999),LEN(MID(TRIM(INDEX(PASTE_ALL,21,34)),1+(LEFT(TRIM(INDEX(PASTE_ALL,21,34)),1)="-"),999))-(RIGHT(MID(TRIM(INDEX(PASTE_ALL,21,34)),1+(LEFT(TRIM(INDEX(PASTE_ALL,21,34)),1)="-"),999),1)="%"))&lt;&gt;"",SUBSTITUTE(SUBSTITUTE(SUBSTITUTE(SUBSTITUTE(SUBSTITUTE(SUBSTITUTE(SUBSTITUTE(SUBSTITUTE(SUBSTITUTE(SUBSTITUTE(SUBSTITUTE(SUBSTITUTE(LEFT(MID(TRIM(INDEX(PASTE_ALL,21,34)),1+(LEFT(TRIM(INDEX(PASTE_ALL,21,34)),1)="-"),999),LEN(MID(TRIM(INDEX(PASTE_ALL,21,34)),1+(LEFT(TRIM(INDEX(PASTE_ALL,21,34)),1)="-"),999))-(RIGHT(MID(TRIM(INDEX(PASTE_ALL,21,34)),1+(LEFT(TRIM(INDEX(PASTE_ALL,21,34)),1)="-"),999),1)="%")),"0",""),"1",""),"2",""),"3",""),"4",""),"5",""),"6",""),"7",""),"8",""),"9",""),".",""),",","")=""),2,1))),1)</f>
        <v/>
      </c>
      <c r="BG70">
        <f>IFERROR(IF(ISNUMBER(INDEX(PASTE_ALL,21,35)),2,IF(TRIM(INDEX(PASTE_ALL,21,35))="",0,IF(AND(LEFT(MID(TRIM(INDEX(PASTE_ALL,21,35)),1+(LEFT(TRIM(INDEX(PASTE_ALL,21,35)),1)="-"),999),LEN(MID(TRIM(INDEX(PASTE_ALL,21,35)),1+(LEFT(TRIM(INDEX(PASTE_ALL,21,35)),1)="-"),999))-(RIGHT(MID(TRIM(INDEX(PASTE_ALL,21,35)),1+(LEFT(TRIM(INDEX(PASTE_ALL,21,35)),1)="-"),999),1)="%"))&lt;&gt;"",SUBSTITUTE(SUBSTITUTE(SUBSTITUTE(SUBSTITUTE(SUBSTITUTE(SUBSTITUTE(SUBSTITUTE(SUBSTITUTE(SUBSTITUTE(SUBSTITUTE(SUBSTITUTE(SUBSTITUTE(LEFT(MID(TRIM(INDEX(PASTE_ALL,21,35)),1+(LEFT(TRIM(INDEX(PASTE_ALL,21,35)),1)="-"),999),LEN(MID(TRIM(INDEX(PASTE_ALL,21,35)),1+(LEFT(TRIM(INDEX(PASTE_ALL,21,35)),1)="-"),999))-(RIGHT(MID(TRIM(INDEX(PASTE_ALL,21,35)),1+(LEFT(TRIM(INDEX(PASTE_ALL,21,35)),1)="-"),999),1)="%")),"0",""),"1",""),"2",""),"3",""),"4",""),"5",""),"6",""),"7",""),"8",""),"9",""),".",""),",","")=""),2,1))),1)</f>
        <v/>
      </c>
      <c r="BH70">
        <f>IFERROR(IF(ISNUMBER(INDEX(PASTE_ALL,21,36)),2,IF(TRIM(INDEX(PASTE_ALL,21,36))="",0,IF(AND(LEFT(MID(TRIM(INDEX(PASTE_ALL,21,36)),1+(LEFT(TRIM(INDEX(PASTE_ALL,21,36)),1)="-"),999),LEN(MID(TRIM(INDEX(PASTE_ALL,21,36)),1+(LEFT(TRIM(INDEX(PASTE_ALL,21,36)),1)="-"),999))-(RIGHT(MID(TRIM(INDEX(PASTE_ALL,21,36)),1+(LEFT(TRIM(INDEX(PASTE_ALL,21,36)),1)="-"),999),1)="%"))&lt;&gt;"",SUBSTITUTE(SUBSTITUTE(SUBSTITUTE(SUBSTITUTE(SUBSTITUTE(SUBSTITUTE(SUBSTITUTE(SUBSTITUTE(SUBSTITUTE(SUBSTITUTE(SUBSTITUTE(SUBSTITUTE(LEFT(MID(TRIM(INDEX(PASTE_ALL,21,36)),1+(LEFT(TRIM(INDEX(PASTE_ALL,21,36)),1)="-"),999),LEN(MID(TRIM(INDEX(PASTE_ALL,21,36)),1+(LEFT(TRIM(INDEX(PASTE_ALL,21,36)),1)="-"),999))-(RIGHT(MID(TRIM(INDEX(PASTE_ALL,21,36)),1+(LEFT(TRIM(INDEX(PASTE_ALL,21,36)),1)="-"),999),1)="%")),"0",""),"1",""),"2",""),"3",""),"4",""),"5",""),"6",""),"7",""),"8",""),"9",""),".",""),",","")=""),2,1))),1)</f>
        <v/>
      </c>
      <c r="BI70">
        <f>IFERROR(IF(ISNUMBER(INDEX(PASTE_ALL,21,37)),2,IF(TRIM(INDEX(PASTE_ALL,21,37))="",0,IF(AND(LEFT(MID(TRIM(INDEX(PASTE_ALL,21,37)),1+(LEFT(TRIM(INDEX(PASTE_ALL,21,37)),1)="-"),999),LEN(MID(TRIM(INDEX(PASTE_ALL,21,37)),1+(LEFT(TRIM(INDEX(PASTE_ALL,21,37)),1)="-"),999))-(RIGHT(MID(TRIM(INDEX(PASTE_ALL,21,37)),1+(LEFT(TRIM(INDEX(PASTE_ALL,21,37)),1)="-"),999),1)="%"))&lt;&gt;"",SUBSTITUTE(SUBSTITUTE(SUBSTITUTE(SUBSTITUTE(SUBSTITUTE(SUBSTITUTE(SUBSTITUTE(SUBSTITUTE(SUBSTITUTE(SUBSTITUTE(SUBSTITUTE(SUBSTITUTE(LEFT(MID(TRIM(INDEX(PASTE_ALL,21,37)),1+(LEFT(TRIM(INDEX(PASTE_ALL,21,37)),1)="-"),999),LEN(MID(TRIM(INDEX(PASTE_ALL,21,37)),1+(LEFT(TRIM(INDEX(PASTE_ALL,21,37)),1)="-"),999))-(RIGHT(MID(TRIM(INDEX(PASTE_ALL,21,37)),1+(LEFT(TRIM(INDEX(PASTE_ALL,21,37)),1)="-"),999),1)="%")),"0",""),"1",""),"2",""),"3",""),"4",""),"5",""),"6",""),"7",""),"8",""),"9",""),".",""),",","")=""),2,1))),1)</f>
        <v/>
      </c>
      <c r="BJ70">
        <f>IFERROR(IF(ISNUMBER(INDEX(PASTE_ALL,21,38)),2,IF(TRIM(INDEX(PASTE_ALL,21,38))="",0,IF(AND(LEFT(MID(TRIM(INDEX(PASTE_ALL,21,38)),1+(LEFT(TRIM(INDEX(PASTE_ALL,21,38)),1)="-"),999),LEN(MID(TRIM(INDEX(PASTE_ALL,21,38)),1+(LEFT(TRIM(INDEX(PASTE_ALL,21,38)),1)="-"),999))-(RIGHT(MID(TRIM(INDEX(PASTE_ALL,21,38)),1+(LEFT(TRIM(INDEX(PASTE_ALL,21,38)),1)="-"),999),1)="%"))&lt;&gt;"",SUBSTITUTE(SUBSTITUTE(SUBSTITUTE(SUBSTITUTE(SUBSTITUTE(SUBSTITUTE(SUBSTITUTE(SUBSTITUTE(SUBSTITUTE(SUBSTITUTE(SUBSTITUTE(SUBSTITUTE(LEFT(MID(TRIM(INDEX(PASTE_ALL,21,38)),1+(LEFT(TRIM(INDEX(PASTE_ALL,21,38)),1)="-"),999),LEN(MID(TRIM(INDEX(PASTE_ALL,21,38)),1+(LEFT(TRIM(INDEX(PASTE_ALL,21,38)),1)="-"),999))-(RIGHT(MID(TRIM(INDEX(PASTE_ALL,21,38)),1+(LEFT(TRIM(INDEX(PASTE_ALL,21,38)),1)="-"),999),1)="%")),"0",""),"1",""),"2",""),"3",""),"4",""),"5",""),"6",""),"7",""),"8",""),"9",""),".",""),",","")=""),2,1))),1)</f>
        <v/>
      </c>
      <c r="BK70">
        <f>IFERROR(IF(ISNUMBER(INDEX(PASTE_ALL,21,39)),2,IF(TRIM(INDEX(PASTE_ALL,21,39))="",0,IF(AND(LEFT(MID(TRIM(INDEX(PASTE_ALL,21,39)),1+(LEFT(TRIM(INDEX(PASTE_ALL,21,39)),1)="-"),999),LEN(MID(TRIM(INDEX(PASTE_ALL,21,39)),1+(LEFT(TRIM(INDEX(PASTE_ALL,21,39)),1)="-"),999))-(RIGHT(MID(TRIM(INDEX(PASTE_ALL,21,39)),1+(LEFT(TRIM(INDEX(PASTE_ALL,21,39)),1)="-"),999),1)="%"))&lt;&gt;"",SUBSTITUTE(SUBSTITUTE(SUBSTITUTE(SUBSTITUTE(SUBSTITUTE(SUBSTITUTE(SUBSTITUTE(SUBSTITUTE(SUBSTITUTE(SUBSTITUTE(SUBSTITUTE(SUBSTITUTE(LEFT(MID(TRIM(INDEX(PASTE_ALL,21,39)),1+(LEFT(TRIM(INDEX(PASTE_ALL,21,39)),1)="-"),999),LEN(MID(TRIM(INDEX(PASTE_ALL,21,39)),1+(LEFT(TRIM(INDEX(PASTE_ALL,21,39)),1)="-"),999))-(RIGHT(MID(TRIM(INDEX(PASTE_ALL,21,39)),1+(LEFT(TRIM(INDEX(PASTE_ALL,21,39)),1)="-"),999),1)="%")),"0",""),"1",""),"2",""),"3",""),"4",""),"5",""),"6",""),"7",""),"8",""),"9",""),".",""),",","")=""),2,1))),1)</f>
        <v/>
      </c>
      <c r="BL70">
        <f>IFERROR(IF(ISNUMBER(INDEX(PASTE_ALL,21,40)),2,IF(TRIM(INDEX(PASTE_ALL,21,40))="",0,IF(AND(LEFT(MID(TRIM(INDEX(PASTE_ALL,21,40)),1+(LEFT(TRIM(INDEX(PASTE_ALL,21,40)),1)="-"),999),LEN(MID(TRIM(INDEX(PASTE_ALL,21,40)),1+(LEFT(TRIM(INDEX(PASTE_ALL,21,40)),1)="-"),999))-(RIGHT(MID(TRIM(INDEX(PASTE_ALL,21,40)),1+(LEFT(TRIM(INDEX(PASTE_ALL,21,40)),1)="-"),999),1)="%"))&lt;&gt;"",SUBSTITUTE(SUBSTITUTE(SUBSTITUTE(SUBSTITUTE(SUBSTITUTE(SUBSTITUTE(SUBSTITUTE(SUBSTITUTE(SUBSTITUTE(SUBSTITUTE(SUBSTITUTE(SUBSTITUTE(LEFT(MID(TRIM(INDEX(PASTE_ALL,21,40)),1+(LEFT(TRIM(INDEX(PASTE_ALL,21,40)),1)="-"),999),LEN(MID(TRIM(INDEX(PASTE_ALL,21,40)),1+(LEFT(TRIM(INDEX(PASTE_ALL,21,40)),1)="-"),999))-(RIGHT(MID(TRIM(INDEX(PASTE_ALL,21,40)),1+(LEFT(TRIM(INDEX(PASTE_ALL,21,40)),1)="-"),999),1)="%")),"0",""),"1",""),"2",""),"3",""),"4",""),"5",""),"6",""),"7",""),"8",""),"9",""),".",""),",","")=""),2,1))),1)</f>
        <v/>
      </c>
      <c r="BM70">
        <f>IFERROR(IF(ISNUMBER(INDEX(PASTE_ALL,21,41)),2,IF(TRIM(INDEX(PASTE_ALL,21,41))="",0,IF(AND(LEFT(MID(TRIM(INDEX(PASTE_ALL,21,41)),1+(LEFT(TRIM(INDEX(PASTE_ALL,21,41)),1)="-"),999),LEN(MID(TRIM(INDEX(PASTE_ALL,21,41)),1+(LEFT(TRIM(INDEX(PASTE_ALL,21,41)),1)="-"),999))-(RIGHT(MID(TRIM(INDEX(PASTE_ALL,21,41)),1+(LEFT(TRIM(INDEX(PASTE_ALL,21,41)),1)="-"),999),1)="%"))&lt;&gt;"",SUBSTITUTE(SUBSTITUTE(SUBSTITUTE(SUBSTITUTE(SUBSTITUTE(SUBSTITUTE(SUBSTITUTE(SUBSTITUTE(SUBSTITUTE(SUBSTITUTE(SUBSTITUTE(SUBSTITUTE(LEFT(MID(TRIM(INDEX(PASTE_ALL,21,41)),1+(LEFT(TRIM(INDEX(PASTE_ALL,21,41)),1)="-"),999),LEN(MID(TRIM(INDEX(PASTE_ALL,21,41)),1+(LEFT(TRIM(INDEX(PASTE_ALL,21,41)),1)="-"),999))-(RIGHT(MID(TRIM(INDEX(PASTE_ALL,21,41)),1+(LEFT(TRIM(INDEX(PASTE_ALL,21,41)),1)="-"),999),1)="%")),"0",""),"1",""),"2",""),"3",""),"4",""),"5",""),"6",""),"7",""),"8",""),"9",""),".",""),",","")=""),2,1))),1)</f>
        <v/>
      </c>
      <c r="BN70">
        <f>IFERROR(IF(ISNUMBER(INDEX(PASTE_ALL,21,42)),2,IF(TRIM(INDEX(PASTE_ALL,21,42))="",0,IF(AND(LEFT(MID(TRIM(INDEX(PASTE_ALL,21,42)),1+(LEFT(TRIM(INDEX(PASTE_ALL,21,42)),1)="-"),999),LEN(MID(TRIM(INDEX(PASTE_ALL,21,42)),1+(LEFT(TRIM(INDEX(PASTE_ALL,21,42)),1)="-"),999))-(RIGHT(MID(TRIM(INDEX(PASTE_ALL,21,42)),1+(LEFT(TRIM(INDEX(PASTE_ALL,21,42)),1)="-"),999),1)="%"))&lt;&gt;"",SUBSTITUTE(SUBSTITUTE(SUBSTITUTE(SUBSTITUTE(SUBSTITUTE(SUBSTITUTE(SUBSTITUTE(SUBSTITUTE(SUBSTITUTE(SUBSTITUTE(SUBSTITUTE(SUBSTITUTE(LEFT(MID(TRIM(INDEX(PASTE_ALL,21,42)),1+(LEFT(TRIM(INDEX(PASTE_ALL,21,42)),1)="-"),999),LEN(MID(TRIM(INDEX(PASTE_ALL,21,42)),1+(LEFT(TRIM(INDEX(PASTE_ALL,21,42)),1)="-"),999))-(RIGHT(MID(TRIM(INDEX(PASTE_ALL,21,42)),1+(LEFT(TRIM(INDEX(PASTE_ALL,21,42)),1)="-"),999),1)="%")),"0",""),"1",""),"2",""),"3",""),"4",""),"5",""),"6",""),"7",""),"8",""),"9",""),".",""),",","")=""),2,1))),1)</f>
        <v/>
      </c>
      <c r="BO70">
        <f>IFERROR(IF(ISNUMBER(INDEX(PASTE_ALL,21,43)),2,IF(TRIM(INDEX(PASTE_ALL,21,43))="",0,IF(AND(LEFT(MID(TRIM(INDEX(PASTE_ALL,21,43)),1+(LEFT(TRIM(INDEX(PASTE_ALL,21,43)),1)="-"),999),LEN(MID(TRIM(INDEX(PASTE_ALL,21,43)),1+(LEFT(TRIM(INDEX(PASTE_ALL,21,43)),1)="-"),999))-(RIGHT(MID(TRIM(INDEX(PASTE_ALL,21,43)),1+(LEFT(TRIM(INDEX(PASTE_ALL,21,43)),1)="-"),999),1)="%"))&lt;&gt;"",SUBSTITUTE(SUBSTITUTE(SUBSTITUTE(SUBSTITUTE(SUBSTITUTE(SUBSTITUTE(SUBSTITUTE(SUBSTITUTE(SUBSTITUTE(SUBSTITUTE(SUBSTITUTE(SUBSTITUTE(LEFT(MID(TRIM(INDEX(PASTE_ALL,21,43)),1+(LEFT(TRIM(INDEX(PASTE_ALL,21,43)),1)="-"),999),LEN(MID(TRIM(INDEX(PASTE_ALL,21,43)),1+(LEFT(TRIM(INDEX(PASTE_ALL,21,43)),1)="-"),999))-(RIGHT(MID(TRIM(INDEX(PASTE_ALL,21,43)),1+(LEFT(TRIM(INDEX(PASTE_ALL,21,43)),1)="-"),999),1)="%")),"0",""),"1",""),"2",""),"3",""),"4",""),"5",""),"6",""),"7",""),"8",""),"9",""),".",""),",","")=""),2,1))),1)</f>
        <v/>
      </c>
      <c r="BP70">
        <f>IFERROR(IF(ISNUMBER(INDEX(PASTE_ALL,21,44)),2,IF(TRIM(INDEX(PASTE_ALL,21,44))="",0,IF(AND(LEFT(MID(TRIM(INDEX(PASTE_ALL,21,44)),1+(LEFT(TRIM(INDEX(PASTE_ALL,21,44)),1)="-"),999),LEN(MID(TRIM(INDEX(PASTE_ALL,21,44)),1+(LEFT(TRIM(INDEX(PASTE_ALL,21,44)),1)="-"),999))-(RIGHT(MID(TRIM(INDEX(PASTE_ALL,21,44)),1+(LEFT(TRIM(INDEX(PASTE_ALL,21,44)),1)="-"),999),1)="%"))&lt;&gt;"",SUBSTITUTE(SUBSTITUTE(SUBSTITUTE(SUBSTITUTE(SUBSTITUTE(SUBSTITUTE(SUBSTITUTE(SUBSTITUTE(SUBSTITUTE(SUBSTITUTE(SUBSTITUTE(SUBSTITUTE(LEFT(MID(TRIM(INDEX(PASTE_ALL,21,44)),1+(LEFT(TRIM(INDEX(PASTE_ALL,21,44)),1)="-"),999),LEN(MID(TRIM(INDEX(PASTE_ALL,21,44)),1+(LEFT(TRIM(INDEX(PASTE_ALL,21,44)),1)="-"),999))-(RIGHT(MID(TRIM(INDEX(PASTE_ALL,21,44)),1+(LEFT(TRIM(INDEX(PASTE_ALL,21,44)),1)="-"),999),1)="%")),"0",""),"1",""),"2",""),"3",""),"4",""),"5",""),"6",""),"7",""),"8",""),"9",""),".",""),",","")=""),2,1))),1)</f>
        <v/>
      </c>
      <c r="BQ70">
        <f>IFERROR(IF(ISNUMBER(INDEX(PASTE_ALL,21,45)),2,IF(TRIM(INDEX(PASTE_ALL,21,45))="",0,IF(AND(LEFT(MID(TRIM(INDEX(PASTE_ALL,21,45)),1+(LEFT(TRIM(INDEX(PASTE_ALL,21,45)),1)="-"),999),LEN(MID(TRIM(INDEX(PASTE_ALL,21,45)),1+(LEFT(TRIM(INDEX(PASTE_ALL,21,45)),1)="-"),999))-(RIGHT(MID(TRIM(INDEX(PASTE_ALL,21,45)),1+(LEFT(TRIM(INDEX(PASTE_ALL,21,45)),1)="-"),999),1)="%"))&lt;&gt;"",SUBSTITUTE(SUBSTITUTE(SUBSTITUTE(SUBSTITUTE(SUBSTITUTE(SUBSTITUTE(SUBSTITUTE(SUBSTITUTE(SUBSTITUTE(SUBSTITUTE(SUBSTITUTE(SUBSTITUTE(LEFT(MID(TRIM(INDEX(PASTE_ALL,21,45)),1+(LEFT(TRIM(INDEX(PASTE_ALL,21,45)),1)="-"),999),LEN(MID(TRIM(INDEX(PASTE_ALL,21,45)),1+(LEFT(TRIM(INDEX(PASTE_ALL,21,45)),1)="-"),999))-(RIGHT(MID(TRIM(INDEX(PASTE_ALL,21,45)),1+(LEFT(TRIM(INDEX(PASTE_ALL,21,45)),1)="-"),999),1)="%")),"0",""),"1",""),"2",""),"3",""),"4",""),"5",""),"6",""),"7",""),"8",""),"9",""),".",""),",","")=""),2,1))),1)</f>
        <v/>
      </c>
      <c r="BR70">
        <f>IFERROR(IF(ISNUMBER(INDEX(PASTE_ALL,21,46)),2,IF(TRIM(INDEX(PASTE_ALL,21,46))="",0,IF(AND(LEFT(MID(TRIM(INDEX(PASTE_ALL,21,46)),1+(LEFT(TRIM(INDEX(PASTE_ALL,21,46)),1)="-"),999),LEN(MID(TRIM(INDEX(PASTE_ALL,21,46)),1+(LEFT(TRIM(INDEX(PASTE_ALL,21,46)),1)="-"),999))-(RIGHT(MID(TRIM(INDEX(PASTE_ALL,21,46)),1+(LEFT(TRIM(INDEX(PASTE_ALL,21,46)),1)="-"),999),1)="%"))&lt;&gt;"",SUBSTITUTE(SUBSTITUTE(SUBSTITUTE(SUBSTITUTE(SUBSTITUTE(SUBSTITUTE(SUBSTITUTE(SUBSTITUTE(SUBSTITUTE(SUBSTITUTE(SUBSTITUTE(SUBSTITUTE(LEFT(MID(TRIM(INDEX(PASTE_ALL,21,46)),1+(LEFT(TRIM(INDEX(PASTE_ALL,21,46)),1)="-"),999),LEN(MID(TRIM(INDEX(PASTE_ALL,21,46)),1+(LEFT(TRIM(INDEX(PASTE_ALL,21,46)),1)="-"),999))-(RIGHT(MID(TRIM(INDEX(PASTE_ALL,21,46)),1+(LEFT(TRIM(INDEX(PASTE_ALL,21,46)),1)="-"),999),1)="%")),"0",""),"1",""),"2",""),"3",""),"4",""),"5",""),"6",""),"7",""),"8",""),"9",""),".",""),",","")=""),2,1))),1)</f>
        <v/>
      </c>
      <c r="BS70">
        <f>IFERROR(IF(ISNUMBER(INDEX(PASTE_ALL,21,47)),2,IF(TRIM(INDEX(PASTE_ALL,21,47))="",0,IF(AND(LEFT(MID(TRIM(INDEX(PASTE_ALL,21,47)),1+(LEFT(TRIM(INDEX(PASTE_ALL,21,47)),1)="-"),999),LEN(MID(TRIM(INDEX(PASTE_ALL,21,47)),1+(LEFT(TRIM(INDEX(PASTE_ALL,21,47)),1)="-"),999))-(RIGHT(MID(TRIM(INDEX(PASTE_ALL,21,47)),1+(LEFT(TRIM(INDEX(PASTE_ALL,21,47)),1)="-"),999),1)="%"))&lt;&gt;"",SUBSTITUTE(SUBSTITUTE(SUBSTITUTE(SUBSTITUTE(SUBSTITUTE(SUBSTITUTE(SUBSTITUTE(SUBSTITUTE(SUBSTITUTE(SUBSTITUTE(SUBSTITUTE(SUBSTITUTE(LEFT(MID(TRIM(INDEX(PASTE_ALL,21,47)),1+(LEFT(TRIM(INDEX(PASTE_ALL,21,47)),1)="-"),999),LEN(MID(TRIM(INDEX(PASTE_ALL,21,47)),1+(LEFT(TRIM(INDEX(PASTE_ALL,21,47)),1)="-"),999))-(RIGHT(MID(TRIM(INDEX(PASTE_ALL,21,47)),1+(LEFT(TRIM(INDEX(PASTE_ALL,21,47)),1)="-"),999),1)="%")),"0",""),"1",""),"2",""),"3",""),"4",""),"5",""),"6",""),"7",""),"8",""),"9",""),".",""),",","")=""),2,1))),1)</f>
        <v/>
      </c>
      <c r="BT70">
        <f>IFERROR(IF(ISNUMBER(INDEX(PASTE_ALL,21,48)),2,IF(TRIM(INDEX(PASTE_ALL,21,48))="",0,IF(AND(LEFT(MID(TRIM(INDEX(PASTE_ALL,21,48)),1+(LEFT(TRIM(INDEX(PASTE_ALL,21,48)),1)="-"),999),LEN(MID(TRIM(INDEX(PASTE_ALL,21,48)),1+(LEFT(TRIM(INDEX(PASTE_ALL,21,48)),1)="-"),999))-(RIGHT(MID(TRIM(INDEX(PASTE_ALL,21,48)),1+(LEFT(TRIM(INDEX(PASTE_ALL,21,48)),1)="-"),999),1)="%"))&lt;&gt;"",SUBSTITUTE(SUBSTITUTE(SUBSTITUTE(SUBSTITUTE(SUBSTITUTE(SUBSTITUTE(SUBSTITUTE(SUBSTITUTE(SUBSTITUTE(SUBSTITUTE(SUBSTITUTE(SUBSTITUTE(LEFT(MID(TRIM(INDEX(PASTE_ALL,21,48)),1+(LEFT(TRIM(INDEX(PASTE_ALL,21,48)),1)="-"),999),LEN(MID(TRIM(INDEX(PASTE_ALL,21,48)),1+(LEFT(TRIM(INDEX(PASTE_ALL,21,48)),1)="-"),999))-(RIGHT(MID(TRIM(INDEX(PASTE_ALL,21,48)),1+(LEFT(TRIM(INDEX(PASTE_ALL,21,48)),1)="-"),999),1)="%")),"0",""),"1",""),"2",""),"3",""),"4",""),"5",""),"6",""),"7",""),"8",""),"9",""),".",""),",","")=""),2,1))),1)</f>
        <v/>
      </c>
      <c r="BU70">
        <f>IFERROR(IF(ISNUMBER(INDEX(PASTE_ALL,21,49)),2,IF(TRIM(INDEX(PASTE_ALL,21,49))="",0,IF(AND(LEFT(MID(TRIM(INDEX(PASTE_ALL,21,49)),1+(LEFT(TRIM(INDEX(PASTE_ALL,21,49)),1)="-"),999),LEN(MID(TRIM(INDEX(PASTE_ALL,21,49)),1+(LEFT(TRIM(INDEX(PASTE_ALL,21,49)),1)="-"),999))-(RIGHT(MID(TRIM(INDEX(PASTE_ALL,21,49)),1+(LEFT(TRIM(INDEX(PASTE_ALL,21,49)),1)="-"),999),1)="%"))&lt;&gt;"",SUBSTITUTE(SUBSTITUTE(SUBSTITUTE(SUBSTITUTE(SUBSTITUTE(SUBSTITUTE(SUBSTITUTE(SUBSTITUTE(SUBSTITUTE(SUBSTITUTE(SUBSTITUTE(SUBSTITUTE(LEFT(MID(TRIM(INDEX(PASTE_ALL,21,49)),1+(LEFT(TRIM(INDEX(PASTE_ALL,21,49)),1)="-"),999),LEN(MID(TRIM(INDEX(PASTE_ALL,21,49)),1+(LEFT(TRIM(INDEX(PASTE_ALL,21,49)),1)="-"),999))-(RIGHT(MID(TRIM(INDEX(PASTE_ALL,21,49)),1+(LEFT(TRIM(INDEX(PASTE_ALL,21,49)),1)="-"),999),1)="%")),"0",""),"1",""),"2",""),"3",""),"4",""),"5",""),"6",""),"7",""),"8",""),"9",""),".",""),",","")=""),2,1))),1)</f>
        <v/>
      </c>
      <c r="BV70">
        <f>IFERROR(IF(ISNUMBER(INDEX(PASTE_ALL,21,50)),2,IF(TRIM(INDEX(PASTE_ALL,21,50))="",0,IF(AND(LEFT(MID(TRIM(INDEX(PASTE_ALL,21,50)),1+(LEFT(TRIM(INDEX(PASTE_ALL,21,50)),1)="-"),999),LEN(MID(TRIM(INDEX(PASTE_ALL,21,50)),1+(LEFT(TRIM(INDEX(PASTE_ALL,21,50)),1)="-"),999))-(RIGHT(MID(TRIM(INDEX(PASTE_ALL,21,50)),1+(LEFT(TRIM(INDEX(PASTE_ALL,21,50)),1)="-"),999),1)="%"))&lt;&gt;"",SUBSTITUTE(SUBSTITUTE(SUBSTITUTE(SUBSTITUTE(SUBSTITUTE(SUBSTITUTE(SUBSTITUTE(SUBSTITUTE(SUBSTITUTE(SUBSTITUTE(SUBSTITUTE(SUBSTITUTE(LEFT(MID(TRIM(INDEX(PASTE_ALL,21,50)),1+(LEFT(TRIM(INDEX(PASTE_ALL,21,50)),1)="-"),999),LEN(MID(TRIM(INDEX(PASTE_ALL,21,50)),1+(LEFT(TRIM(INDEX(PASTE_ALL,21,50)),1)="-"),999))-(RIGHT(MID(TRIM(INDEX(PASTE_ALL,21,50)),1+(LEFT(TRIM(INDEX(PASTE_ALL,21,50)),1)="-"),999),1)="%")),"0",""),"1",""),"2",""),"3",""),"4",""),"5",""),"6",""),"7",""),"8",""),"9",""),".",""),",","")=""),2,1))),1)</f>
        <v/>
      </c>
      <c r="BW70">
        <f>IFERROR(IF(ISNUMBER(INDEX(PASTE_ALL,21,51)),2,IF(TRIM(INDEX(PASTE_ALL,21,51))="",0,IF(AND(LEFT(MID(TRIM(INDEX(PASTE_ALL,21,51)),1+(LEFT(TRIM(INDEX(PASTE_ALL,21,51)),1)="-"),999),LEN(MID(TRIM(INDEX(PASTE_ALL,21,51)),1+(LEFT(TRIM(INDEX(PASTE_ALL,21,51)),1)="-"),999))-(RIGHT(MID(TRIM(INDEX(PASTE_ALL,21,51)),1+(LEFT(TRIM(INDEX(PASTE_ALL,21,51)),1)="-"),999),1)="%"))&lt;&gt;"",SUBSTITUTE(SUBSTITUTE(SUBSTITUTE(SUBSTITUTE(SUBSTITUTE(SUBSTITUTE(SUBSTITUTE(SUBSTITUTE(SUBSTITUTE(SUBSTITUTE(SUBSTITUTE(SUBSTITUTE(LEFT(MID(TRIM(INDEX(PASTE_ALL,21,51)),1+(LEFT(TRIM(INDEX(PASTE_ALL,21,51)),1)="-"),999),LEN(MID(TRIM(INDEX(PASTE_ALL,21,51)),1+(LEFT(TRIM(INDEX(PASTE_ALL,21,51)),1)="-"),999))-(RIGHT(MID(TRIM(INDEX(PASTE_ALL,21,51)),1+(LEFT(TRIM(INDEX(PASTE_ALL,21,51)),1)="-"),999),1)="%")),"0",""),"1",""),"2",""),"3",""),"4",""),"5",""),"6",""),"7",""),"8",""),"9",""),".",""),",","")=""),2,1))),1)</f>
        <v/>
      </c>
      <c r="BX70">
        <f>IFERROR(IF(ISNUMBER(INDEX(PASTE_ALL,21,52)),2,IF(TRIM(INDEX(PASTE_ALL,21,52))="",0,IF(AND(LEFT(MID(TRIM(INDEX(PASTE_ALL,21,52)),1+(LEFT(TRIM(INDEX(PASTE_ALL,21,52)),1)="-"),999),LEN(MID(TRIM(INDEX(PASTE_ALL,21,52)),1+(LEFT(TRIM(INDEX(PASTE_ALL,21,52)),1)="-"),999))-(RIGHT(MID(TRIM(INDEX(PASTE_ALL,21,52)),1+(LEFT(TRIM(INDEX(PASTE_ALL,21,52)),1)="-"),999),1)="%"))&lt;&gt;"",SUBSTITUTE(SUBSTITUTE(SUBSTITUTE(SUBSTITUTE(SUBSTITUTE(SUBSTITUTE(SUBSTITUTE(SUBSTITUTE(SUBSTITUTE(SUBSTITUTE(SUBSTITUTE(SUBSTITUTE(LEFT(MID(TRIM(INDEX(PASTE_ALL,21,52)),1+(LEFT(TRIM(INDEX(PASTE_ALL,21,52)),1)="-"),999),LEN(MID(TRIM(INDEX(PASTE_ALL,21,52)),1+(LEFT(TRIM(INDEX(PASTE_ALL,21,52)),1)="-"),999))-(RIGHT(MID(TRIM(INDEX(PASTE_ALL,21,52)),1+(LEFT(TRIM(INDEX(PASTE_ALL,21,52)),1)="-"),999),1)="%")),"0",""),"1",""),"2",""),"3",""),"4",""),"5",""),"6",""),"7",""),"8",""),"9",""),".",""),",","")=""),2,1))),1)</f>
        <v/>
      </c>
      <c r="BY70">
        <f>IFERROR(IF(ISNUMBER(INDEX(PASTE_ALL,21,53)),2,IF(TRIM(INDEX(PASTE_ALL,21,53))="",0,IF(AND(LEFT(MID(TRIM(INDEX(PASTE_ALL,21,53)),1+(LEFT(TRIM(INDEX(PASTE_ALL,21,53)),1)="-"),999),LEN(MID(TRIM(INDEX(PASTE_ALL,21,53)),1+(LEFT(TRIM(INDEX(PASTE_ALL,21,53)),1)="-"),999))-(RIGHT(MID(TRIM(INDEX(PASTE_ALL,21,53)),1+(LEFT(TRIM(INDEX(PASTE_ALL,21,53)),1)="-"),999),1)="%"))&lt;&gt;"",SUBSTITUTE(SUBSTITUTE(SUBSTITUTE(SUBSTITUTE(SUBSTITUTE(SUBSTITUTE(SUBSTITUTE(SUBSTITUTE(SUBSTITUTE(SUBSTITUTE(SUBSTITUTE(SUBSTITUTE(LEFT(MID(TRIM(INDEX(PASTE_ALL,21,53)),1+(LEFT(TRIM(INDEX(PASTE_ALL,21,53)),1)="-"),999),LEN(MID(TRIM(INDEX(PASTE_ALL,21,53)),1+(LEFT(TRIM(INDEX(PASTE_ALL,21,53)),1)="-"),999))-(RIGHT(MID(TRIM(INDEX(PASTE_ALL,21,53)),1+(LEFT(TRIM(INDEX(PASTE_ALL,21,53)),1)="-"),999),1)="%")),"0",""),"1",""),"2",""),"3",""),"4",""),"5",""),"6",""),"7",""),"8",""),"9",""),".",""),",","")=""),2,1))),1)</f>
        <v/>
      </c>
      <c r="BZ70">
        <f>IFERROR(IF(ISNUMBER(INDEX(PASTE_ALL,21,54)),2,IF(TRIM(INDEX(PASTE_ALL,21,54))="",0,IF(AND(LEFT(MID(TRIM(INDEX(PASTE_ALL,21,54)),1+(LEFT(TRIM(INDEX(PASTE_ALL,21,54)),1)="-"),999),LEN(MID(TRIM(INDEX(PASTE_ALL,21,54)),1+(LEFT(TRIM(INDEX(PASTE_ALL,21,54)),1)="-"),999))-(RIGHT(MID(TRIM(INDEX(PASTE_ALL,21,54)),1+(LEFT(TRIM(INDEX(PASTE_ALL,21,54)),1)="-"),999),1)="%"))&lt;&gt;"",SUBSTITUTE(SUBSTITUTE(SUBSTITUTE(SUBSTITUTE(SUBSTITUTE(SUBSTITUTE(SUBSTITUTE(SUBSTITUTE(SUBSTITUTE(SUBSTITUTE(SUBSTITUTE(SUBSTITUTE(LEFT(MID(TRIM(INDEX(PASTE_ALL,21,54)),1+(LEFT(TRIM(INDEX(PASTE_ALL,21,54)),1)="-"),999),LEN(MID(TRIM(INDEX(PASTE_ALL,21,54)),1+(LEFT(TRIM(INDEX(PASTE_ALL,21,54)),1)="-"),999))-(RIGHT(MID(TRIM(INDEX(PASTE_ALL,21,54)),1+(LEFT(TRIM(INDEX(PASTE_ALL,21,54)),1)="-"),999),1)="%")),"0",""),"1",""),"2",""),"3",""),"4",""),"5",""),"6",""),"7",""),"8",""),"9",""),".",""),",","")=""),2,1))),1)</f>
        <v/>
      </c>
      <c r="CA70">
        <f>IFERROR(IF(ISNUMBER(INDEX(PASTE_ALL,21,55)),2,IF(TRIM(INDEX(PASTE_ALL,21,55))="",0,IF(AND(LEFT(MID(TRIM(INDEX(PASTE_ALL,21,55)),1+(LEFT(TRIM(INDEX(PASTE_ALL,21,55)),1)="-"),999),LEN(MID(TRIM(INDEX(PASTE_ALL,21,55)),1+(LEFT(TRIM(INDEX(PASTE_ALL,21,55)),1)="-"),999))-(RIGHT(MID(TRIM(INDEX(PASTE_ALL,21,55)),1+(LEFT(TRIM(INDEX(PASTE_ALL,21,55)),1)="-"),999),1)="%"))&lt;&gt;"",SUBSTITUTE(SUBSTITUTE(SUBSTITUTE(SUBSTITUTE(SUBSTITUTE(SUBSTITUTE(SUBSTITUTE(SUBSTITUTE(SUBSTITUTE(SUBSTITUTE(SUBSTITUTE(SUBSTITUTE(LEFT(MID(TRIM(INDEX(PASTE_ALL,21,55)),1+(LEFT(TRIM(INDEX(PASTE_ALL,21,55)),1)="-"),999),LEN(MID(TRIM(INDEX(PASTE_ALL,21,55)),1+(LEFT(TRIM(INDEX(PASTE_ALL,21,55)),1)="-"),999))-(RIGHT(MID(TRIM(INDEX(PASTE_ALL,21,55)),1+(LEFT(TRIM(INDEX(PASTE_ALL,21,55)),1)="-"),999),1)="%")),"0",""),"1",""),"2",""),"3",""),"4",""),"5",""),"6",""),"7",""),"8",""),"9",""),".",""),",","")=""),2,1))),1)</f>
        <v/>
      </c>
      <c r="CB70">
        <f>IFERROR(IF(ISNUMBER(INDEX(PASTE_ALL,21,56)),2,IF(TRIM(INDEX(PASTE_ALL,21,56))="",0,IF(AND(LEFT(MID(TRIM(INDEX(PASTE_ALL,21,56)),1+(LEFT(TRIM(INDEX(PASTE_ALL,21,56)),1)="-"),999),LEN(MID(TRIM(INDEX(PASTE_ALL,21,56)),1+(LEFT(TRIM(INDEX(PASTE_ALL,21,56)),1)="-"),999))-(RIGHT(MID(TRIM(INDEX(PASTE_ALL,21,56)),1+(LEFT(TRIM(INDEX(PASTE_ALL,21,56)),1)="-"),999),1)="%"))&lt;&gt;"",SUBSTITUTE(SUBSTITUTE(SUBSTITUTE(SUBSTITUTE(SUBSTITUTE(SUBSTITUTE(SUBSTITUTE(SUBSTITUTE(SUBSTITUTE(SUBSTITUTE(SUBSTITUTE(SUBSTITUTE(LEFT(MID(TRIM(INDEX(PASTE_ALL,21,56)),1+(LEFT(TRIM(INDEX(PASTE_ALL,21,56)),1)="-"),999),LEN(MID(TRIM(INDEX(PASTE_ALL,21,56)),1+(LEFT(TRIM(INDEX(PASTE_ALL,21,56)),1)="-"),999))-(RIGHT(MID(TRIM(INDEX(PASTE_ALL,21,56)),1+(LEFT(TRIM(INDEX(PASTE_ALL,21,56)),1)="-"),999),1)="%")),"0",""),"1",""),"2",""),"3",""),"4",""),"5",""),"6",""),"7",""),"8",""),"9",""),".",""),",","")=""),2,1))),1)</f>
        <v/>
      </c>
      <c r="CC70">
        <f>IFERROR(IF(ISNUMBER(INDEX(PASTE_ALL,21,57)),2,IF(TRIM(INDEX(PASTE_ALL,21,57))="",0,IF(AND(LEFT(MID(TRIM(INDEX(PASTE_ALL,21,57)),1+(LEFT(TRIM(INDEX(PASTE_ALL,21,57)),1)="-"),999),LEN(MID(TRIM(INDEX(PASTE_ALL,21,57)),1+(LEFT(TRIM(INDEX(PASTE_ALL,21,57)),1)="-"),999))-(RIGHT(MID(TRIM(INDEX(PASTE_ALL,21,57)),1+(LEFT(TRIM(INDEX(PASTE_ALL,21,57)),1)="-"),999),1)="%"))&lt;&gt;"",SUBSTITUTE(SUBSTITUTE(SUBSTITUTE(SUBSTITUTE(SUBSTITUTE(SUBSTITUTE(SUBSTITUTE(SUBSTITUTE(SUBSTITUTE(SUBSTITUTE(SUBSTITUTE(SUBSTITUTE(LEFT(MID(TRIM(INDEX(PASTE_ALL,21,57)),1+(LEFT(TRIM(INDEX(PASTE_ALL,21,57)),1)="-"),999),LEN(MID(TRIM(INDEX(PASTE_ALL,21,57)),1+(LEFT(TRIM(INDEX(PASTE_ALL,21,57)),1)="-"),999))-(RIGHT(MID(TRIM(INDEX(PASTE_ALL,21,57)),1+(LEFT(TRIM(INDEX(PASTE_ALL,21,57)),1)="-"),999),1)="%")),"0",""),"1",""),"2",""),"3",""),"4",""),"5",""),"6",""),"7",""),"8",""),"9",""),".",""),",","")=""),2,1))),1)</f>
        <v/>
      </c>
      <c r="CD70">
        <f>IFERROR(IF(ISNUMBER(INDEX(PASTE_ALL,21,58)),2,IF(TRIM(INDEX(PASTE_ALL,21,58))="",0,IF(AND(LEFT(MID(TRIM(INDEX(PASTE_ALL,21,58)),1+(LEFT(TRIM(INDEX(PASTE_ALL,21,58)),1)="-"),999),LEN(MID(TRIM(INDEX(PASTE_ALL,21,58)),1+(LEFT(TRIM(INDEX(PASTE_ALL,21,58)),1)="-"),999))-(RIGHT(MID(TRIM(INDEX(PASTE_ALL,21,58)),1+(LEFT(TRIM(INDEX(PASTE_ALL,21,58)),1)="-"),999),1)="%"))&lt;&gt;"",SUBSTITUTE(SUBSTITUTE(SUBSTITUTE(SUBSTITUTE(SUBSTITUTE(SUBSTITUTE(SUBSTITUTE(SUBSTITUTE(SUBSTITUTE(SUBSTITUTE(SUBSTITUTE(SUBSTITUTE(LEFT(MID(TRIM(INDEX(PASTE_ALL,21,58)),1+(LEFT(TRIM(INDEX(PASTE_ALL,21,58)),1)="-"),999),LEN(MID(TRIM(INDEX(PASTE_ALL,21,58)),1+(LEFT(TRIM(INDEX(PASTE_ALL,21,58)),1)="-"),999))-(RIGHT(MID(TRIM(INDEX(PASTE_ALL,21,58)),1+(LEFT(TRIM(INDEX(PASTE_ALL,21,58)),1)="-"),999),1)="%")),"0",""),"1",""),"2",""),"3",""),"4",""),"5",""),"6",""),"7",""),"8",""),"9",""),".",""),",","")=""),2,1))),1)</f>
        <v/>
      </c>
      <c r="CE70">
        <f>IFERROR(IF(ISNUMBER(INDEX(PASTE_ALL,21,59)),2,IF(TRIM(INDEX(PASTE_ALL,21,59))="",0,IF(AND(LEFT(MID(TRIM(INDEX(PASTE_ALL,21,59)),1+(LEFT(TRIM(INDEX(PASTE_ALL,21,59)),1)="-"),999),LEN(MID(TRIM(INDEX(PASTE_ALL,21,59)),1+(LEFT(TRIM(INDEX(PASTE_ALL,21,59)),1)="-"),999))-(RIGHT(MID(TRIM(INDEX(PASTE_ALL,21,59)),1+(LEFT(TRIM(INDEX(PASTE_ALL,21,59)),1)="-"),999),1)="%"))&lt;&gt;"",SUBSTITUTE(SUBSTITUTE(SUBSTITUTE(SUBSTITUTE(SUBSTITUTE(SUBSTITUTE(SUBSTITUTE(SUBSTITUTE(SUBSTITUTE(SUBSTITUTE(SUBSTITUTE(SUBSTITUTE(LEFT(MID(TRIM(INDEX(PASTE_ALL,21,59)),1+(LEFT(TRIM(INDEX(PASTE_ALL,21,59)),1)="-"),999),LEN(MID(TRIM(INDEX(PASTE_ALL,21,59)),1+(LEFT(TRIM(INDEX(PASTE_ALL,21,59)),1)="-"),999))-(RIGHT(MID(TRIM(INDEX(PASTE_ALL,21,59)),1+(LEFT(TRIM(INDEX(PASTE_ALL,21,59)),1)="-"),999),1)="%")),"0",""),"1",""),"2",""),"3",""),"4",""),"5",""),"6",""),"7",""),"8",""),"9",""),".",""),",","")=""),2,1))),1)</f>
        <v/>
      </c>
      <c r="CF70">
        <f>IFERROR(IF(ISNUMBER(INDEX(PASTE_ALL,21,60)),2,IF(TRIM(INDEX(PASTE_ALL,21,60))="",0,IF(AND(LEFT(MID(TRIM(INDEX(PASTE_ALL,21,60)),1+(LEFT(TRIM(INDEX(PASTE_ALL,21,60)),1)="-"),999),LEN(MID(TRIM(INDEX(PASTE_ALL,21,60)),1+(LEFT(TRIM(INDEX(PASTE_ALL,21,60)),1)="-"),999))-(RIGHT(MID(TRIM(INDEX(PASTE_ALL,21,60)),1+(LEFT(TRIM(INDEX(PASTE_ALL,21,60)),1)="-"),999),1)="%"))&lt;&gt;"",SUBSTITUTE(SUBSTITUTE(SUBSTITUTE(SUBSTITUTE(SUBSTITUTE(SUBSTITUTE(SUBSTITUTE(SUBSTITUTE(SUBSTITUTE(SUBSTITUTE(SUBSTITUTE(SUBSTITUTE(LEFT(MID(TRIM(INDEX(PASTE_ALL,21,60)),1+(LEFT(TRIM(INDEX(PASTE_ALL,21,60)),1)="-"),999),LEN(MID(TRIM(INDEX(PASTE_ALL,21,60)),1+(LEFT(TRIM(INDEX(PASTE_ALL,21,60)),1)="-"),999))-(RIGHT(MID(TRIM(INDEX(PASTE_ALL,21,60)),1+(LEFT(TRIM(INDEX(PASTE_ALL,21,60)),1)="-"),999),1)="%")),"0",""),"1",""),"2",""),"3",""),"4",""),"5",""),"6",""),"7",""),"8",""),"9",""),".",""),",","")=""),2,1))),1)</f>
        <v/>
      </c>
      <c r="DA70" t="n">
        <v>66</v>
      </c>
      <c r="DB70">
        <f>IF($B$37=0,"",IFERROR(TRIM(SUBSTITUTE(SUBSTITUTE(SUBSTITUTE(SUBSTITUTE(INDEX(PASTE_ALL,66,$B$37)," "," "),CHAR(9)," "),CHAR(10)," "),CHAR(13)," ")),""))</f>
        <v/>
      </c>
      <c r="DC70">
        <f>IF(AND(66&gt;HEADER_ROW,UPPER(DB70)="LEGEND"),1,0)</f>
        <v/>
      </c>
      <c r="DE70" t="n">
        <v>66</v>
      </c>
      <c r="DF70">
        <f>HEADER_ROW+$DE70</f>
        <v/>
      </c>
      <c r="DG70">
        <f>IF(AND($DF70&lt;=1000,$DF70&lt;$B$8),1,0)</f>
        <v/>
      </c>
      <c r="DH70">
        <f>IF($DG70=1,IFERROR(INDEX($DB$5:$DB$1004,$DF70),""),"")</f>
        <v/>
      </c>
      <c r="DI70">
        <f>IF(AND($DG70=1,$DH70&lt;&gt;""),IFERROR(SUBSTITUTE(SUBSTITUTE(TRIM(SUBSTITUTE(SUBSTITUTE(SUBSTITUTE(SUBSTITUTE(IFERROR(INDEX(PASTE_ALL,$DF70,1)&amp;"","")&amp;"␟"&amp;IFERROR(INDEX(PASTE_ALL,$DF70,2)&amp;"","")&amp;"␟"&amp;IFERROR(INDEX(PASTE_ALL,$DF70,3)&amp;"","")&amp;"␟"&amp;IFERROR(INDEX(PASTE_ALL,$DF70,4)&amp;"","")&amp;"␟"&amp;IFERROR(INDEX(PASTE_ALL,$DF70,5)&amp;"","")&amp;"␟"&amp;IFERROR(INDEX(PASTE_ALL,$DF70,6)&amp;"","")&amp;"␟"&amp;IFERROR(INDEX(PASTE_ALL,$DF70,7)&amp;"","")&amp;"␟"&amp;IFERROR(INDEX(PASTE_ALL,$DF70,8)&amp;"","")&amp;"␟"&amp;IFERROR(INDEX(PASTE_ALL,$DF70,9)&amp;"","")&amp;"␟"&amp;IFERROR(INDEX(PASTE_ALL,$DF70,10)&amp;"","")&amp;"␟"&amp;IFERROR(INDEX(PASTE_ALL,$DF70,11)&amp;"","")&amp;"␟"&amp;IFERROR(INDEX(PASTE_ALL,$DF70,12)&amp;"","")&amp;"␟"&amp;IFERROR(INDEX(PASTE_ALL,$DF70,13)&amp;"","")&amp;"␟"&amp;IFERROR(INDEX(PASTE_ALL,$DF70,14)&amp;"","")&amp;"␟"&amp;IFERROR(INDEX(PASTE_ALL,$DF70,15)&amp;"","")&amp;"␟"&amp;IFERROR(INDEX(PASTE_ALL,$DF70,16)&amp;"","")&amp;"␟"&amp;IFERROR(INDEX(PASTE_ALL,$DF70,17)&amp;"","")&amp;"␟"&amp;IFERROR(INDEX(PASTE_ALL,$DF70,18)&amp;"","")&amp;"␟"&amp;IFERROR(INDEX(PASTE_ALL,$DF70,19)&amp;"","")&amp;"␟"&amp;IFERROR(INDEX(PASTE_ALL,$DF70,20)&amp;"","")&amp;"␟"&amp;IFERROR(INDEX(PASTE_ALL,$DF70,21)&amp;"","")&amp;"␟"&amp;IFERROR(INDEX(PASTE_ALL,$DF70,22)&amp;"","")&amp;"␟"&amp;IFERROR(INDEX(PASTE_ALL,$DF70,23)&amp;"","")&amp;"␟"&amp;IFERROR(INDEX(PASTE_ALL,$DF70,24)&amp;"","")&amp;"␟"&amp;IFERROR(INDEX(PASTE_ALL,$DF70,25)&amp;"","")&amp;"␟"&amp;IFERROR(INDEX(PASTE_ALL,$DF70,26)&amp;"","")&amp;"␟"&amp;IFERROR(INDEX(PASTE_ALL,$DF70,27)&amp;"","")&amp;"␟"&amp;IFERROR(INDEX(PASTE_ALL,$DF70,28)&amp;"","")&amp;"␟"&amp;IFERROR(INDEX(PASTE_ALL,$DF70,29)&amp;"","")&amp;"␟"&amp;IFERROR(INDEX(PASTE_ALL,$DF70,30)&amp;"","")&amp;"␟"&amp;IFERROR(INDEX(PASTE_ALL,$DF70,31)&amp;"","")&amp;"␟"&amp;IFERROR(INDEX(PASTE_ALL,$DF70,32)&amp;"","")&amp;"␟"&amp;IFERROR(INDEX(PASTE_ALL,$DF70,33)&amp;"","")&amp;"␟"&amp;IFERROR(INDEX(PASTE_ALL,$DF70,34)&amp;"","")&amp;"␟"&amp;IFERROR(INDEX(PASTE_ALL,$DF70,35)&amp;"","")&amp;"␟"&amp;IFERROR(INDEX(PASTE_ALL,$DF70,36)&amp;"","")&amp;"␟"&amp;IFERROR(INDEX(PASTE_ALL,$DF70,37)&amp;"","")&amp;"␟"&amp;IFERROR(INDEX(PASTE_ALL,$DF70,38)&amp;"","")&amp;"␟"&amp;IFERROR(INDEX(PASTE_ALL,$DF70,39)&amp;"","")&amp;"␟"&amp;IFERROR(INDEX(PASTE_ALL,$DF70,40)&amp;"","")&amp;"␟"&amp;IFERROR(INDEX(PASTE_ALL,$DF70,41)&amp;"","")&amp;"␟"&amp;IFERROR(INDEX(PASTE_ALL,$DF70,42)&amp;"","")&amp;"␟"&amp;IFERROR(INDEX(PASTE_ALL,$DF70,43)&amp;"","")&amp;"␟"&amp;IFERROR(INDEX(PASTE_ALL,$DF70,44)&amp;"","")&amp;"␟"&amp;IFERROR(INDEX(PASTE_ALL,$DF70,45)&amp;"","")&amp;"␟"&amp;IFERROR(INDEX(PASTE_ALL,$DF70,46)&amp;"","")&amp;"␟"&amp;IFERROR(INDEX(PASTE_ALL,$DF70,47)&amp;"","")&amp;"␟"&amp;IFERROR(INDEX(PASTE_ALL,$DF70,48)&amp;"","")&amp;"␟"&amp;IFERROR(INDEX(PASTE_ALL,$DF70,49)&amp;"","")&amp;"␟"&amp;IFERROR(INDEX(PASTE_ALL,$DF70,50)&amp;"","")&amp;"␟"&amp;IFERROR(INDEX(PASTE_ALL,$DF70,51)&amp;"","")&amp;"␟"&amp;IFERROR(INDEX(PASTE_ALL,$DF70,52)&amp;"","")&amp;"␟"&amp;IFERROR(INDEX(PASTE_ALL,$DF70,53)&amp;"","")&amp;"␟"&amp;IFERROR(INDEX(PASTE_ALL,$DF70,54)&amp;"","")&amp;"␟"&amp;IFERROR(INDEX(PASTE_ALL,$DF70,55)&amp;"","")&amp;"␟"&amp;IFERROR(INDEX(PASTE_ALL,$DF70,56)&amp;"","")&amp;"␟"&amp;IFERROR(INDEX(PASTE_ALL,$DF70,57)&amp;"","")&amp;"␟"&amp;IFERROR(INDEX(PASTE_ALL,$DF70,58)&amp;"","")&amp;"␟"&amp;IFERROR(INDEX(PASTE_ALL,$DF70,59)&amp;"","")&amp;"␟"&amp;IFERROR(INDEX(PASTE_ALL,$DF70,60)&amp;"","")," "," "),CHAR(9)," "),CHAR(10)," "),CHAR(13)," "))," ␟","␟"),"␟ ","␟"),"#"&amp;$DE70),"")</f>
        <v/>
      </c>
      <c r="DJ70">
        <f>IF($DI70="",0,IF(SUMPRODUCT(--EXACT($DI$4:DI69,$DI70))&gt;0,1,0))</f>
        <v/>
      </c>
      <c r="DK70">
        <f>IF(AND($DI70&lt;&gt;"",$DJ70=0),1,0)</f>
        <v/>
      </c>
      <c r="DL70">
        <f>DL69+$DK70</f>
        <v/>
      </c>
      <c r="DM70">
        <f>IF(AND($DK70=1,$DL70&lt;=600),1,0)</f>
        <v/>
      </c>
      <c r="DN70">
        <f>IF($DM70=0,"",IF($L$6=0,"",IFERROR(IF(ISNUMBER(INDEX(PASTE_ALL,$DF70,$L$6)),INDEX(PASTE_ALL,$DF70,$L$6),TRIM(SUBSTITUTE(SUBSTITUTE(SUBSTITUTE(SUBSTITUTE(INDEX(PASTE_ALL,$DF70,$L$6)," "," "),CHAR(9)," "),CHAR(10)," "),CHAR(13)," "))),"")))</f>
        <v/>
      </c>
      <c r="DO70">
        <f>IF($DM70=0,"",IF($L$7=0,"",IFERROR(IF(ISNUMBER(INDEX(PASTE_ALL,$DF70,$L$7)),INDEX(PASTE_ALL,$DF70,$L$7),TRIM(SUBSTITUTE(SUBSTITUTE(SUBSTITUTE(SUBSTITUTE(INDEX(PASTE_ALL,$DF70,$L$7)," "," "),CHAR(9)," "),CHAR(10)," "),CHAR(13)," "))),"")))</f>
        <v/>
      </c>
      <c r="DP70">
        <f>IF($DM70=0,"",IF($L$8=0,"",IFERROR(IF(ISNUMBER(INDEX(PASTE_ALL,$DF70,$L$8)),INDEX(PASTE_ALL,$DF70,$L$8),TRIM(SUBSTITUTE(SUBSTITUTE(SUBSTITUTE(SUBSTITUTE(INDEX(PASTE_ALL,$DF70,$L$8)," "," "),CHAR(9)," "),CHAR(10)," "),CHAR(13)," "))),"")))</f>
        <v/>
      </c>
      <c r="DQ70">
        <f>IF($DM70=0,"",IF($L$9=0,"",IFERROR(IF(ISNUMBER(INDEX(PASTE_ALL,$DF70,$L$9)),INDEX(PASTE_ALL,$DF70,$L$9),TRIM(SUBSTITUTE(SUBSTITUTE(SUBSTITUTE(SUBSTITUTE(INDEX(PASTE_ALL,$DF70,$L$9)," "," "),CHAR(9)," "),CHAR(10)," "),CHAR(13)," "))),"")))</f>
        <v/>
      </c>
      <c r="DR70">
        <f>IF($DM70=0,"",IF($L$10=0,"",IFERROR(IF(ISNUMBER(INDEX(PASTE_ALL,$DF70,$L$10)),INDEX(PASTE_ALL,$DF70,$L$10),TRIM(SUBSTITUTE(SUBSTITUTE(SUBSTITUTE(SUBSTITUTE(INDEX(PASTE_ALL,$DF70,$L$10)," "," "),CHAR(9)," "),CHAR(10)," "),CHAR(13)," "))),"")))</f>
        <v/>
      </c>
      <c r="DS70">
        <f>IF($DM70=0,"",IF($L$11=0,"",IFERROR(IF(ISNUMBER(INDEX(PASTE_ALL,$DF70,$L$11)),INDEX(PASTE_ALL,$DF70,$L$11),TRIM(SUBSTITUTE(SUBSTITUTE(SUBSTITUTE(SUBSTITUTE(INDEX(PASTE_ALL,$DF70,$L$11)," "," "),CHAR(9)," "),CHAR(10)," "),CHAR(13)," "))),"")))</f>
        <v/>
      </c>
      <c r="DT70">
        <f>IF($DM70=0,"",IF($L$12=0,"",IFERROR(IF(ISNUMBER(INDEX(PASTE_ALL,$DF70,$L$12)),INDEX(PASTE_ALL,$DF70,$L$12),TRIM(SUBSTITUTE(SUBSTITUTE(SUBSTITUTE(SUBSTITUTE(INDEX(PASTE_ALL,$DF70,$L$12)," "," "),CHAR(9)," "),CHAR(10)," "),CHAR(13)," "))),"")))</f>
        <v/>
      </c>
      <c r="DU70">
        <f>IF($DM70=0,"",IF($L$13=0,"",IFERROR(IF(ISNUMBER(INDEX(PASTE_ALL,$DF70,$L$13)),INDEX(PASTE_ALL,$DF70,$L$13),TRIM(SUBSTITUTE(SUBSTITUTE(SUBSTITUTE(SUBSTITUTE(INDEX(PASTE_ALL,$DF70,$L$13)," "," "),CHAR(9)," "),CHAR(10)," "),CHAR(13)," "))),"")))</f>
        <v/>
      </c>
      <c r="DV70">
        <f>IF($DM70=0,"",IF($L$14=0,"",IFERROR(IF(ISNUMBER(INDEX(PASTE_ALL,$DF70,$L$14)),INDEX(PASTE_ALL,$DF70,$L$14),TRIM(SUBSTITUTE(SUBSTITUTE(SUBSTITUTE(SUBSTITUTE(INDEX(PASTE_ALL,$DF70,$L$14)," "," "),CHAR(9)," "),CHAR(10)," "),CHAR(13)," "))),"")))</f>
        <v/>
      </c>
      <c r="DW70">
        <f>IF($DM70=0,"",IF($L$15=0,"",IFERROR(IF(ISNUMBER(INDEX(PASTE_ALL,$DF70,$L$15)),INDEX(PASTE_ALL,$DF70,$L$15),IF(SUMPRODUCT(--ISNUMBER(FIND({"A","B","C","D","E","F","G","H","I","J","K","L","M","N","O","P","Q","R","S","T","U","V","W","X","Y","Z","0","1","2","3","4","5","6","7","8","9"},UPPER(TRIM(SUBSTITUTE(SUBSTITUTE(SUBSTITUTE(SUBSTITUTE(INDEX(PASTE_ALL,$DF70,$L$15)," "," "),CHAR(9)," "),CHAR(10)," "),CHAR(13)," "))))))&gt;0,TRIM(SUBSTITUTE(SUBSTITUTE(SUBSTITUTE(SUBSTITUTE(INDEX(PASTE_ALL,$DF70,$L$15)," "," "),CHAR(9)," "),CHAR(10)," "),CHAR(13)," ")),"")),"")))</f>
        <v/>
      </c>
      <c r="DX70">
        <f>IF($DM70=0,"",IF($L$16=0,"",IFERROR(IF(ISNUMBER(INDEX(PASTE_ALL,$DF70,$L$16)),INDEX(PASTE_ALL,$DF70,$L$16),SUBSTITUTE(SUBSTITUTE(TRIM(SUBSTITUTE(SUBSTITUTE(SUBSTITUTE(SUBSTITUTE(INDEX(PASTE_ALL,$DF70,$L$16)," "," "),CHAR(9)," "),CHAR(10)," "),CHAR(13)," ")),",",""),"%","")),"")))</f>
        <v/>
      </c>
      <c r="DY70">
        <f>IF($DM70=0,"",IFERROR(IF(ISNUMBER($DX70),$DX70,IF($DX70="","",IF(TRIM($DX70)="",0,IF(AND(AND(SUBSTITUTE(SUBSTITUTE(SUBSTITUTE(SUBSTITUTE(SUBSTITUTE(SUBSTITUTE(SUBSTITUTE(SUBSTITUTE(SUBSTITUTE(SUBSTITUTE(SUBSTITUTE(SUBSTITUTE(SUBSTITUTE(SUBSTITUTE(UPPER(TRIM($DX70)),"0",""),"1",""),"2",""),"3",""),"4",""),"5",""),"6",""),"7",""),"8",""),"9",""),".",""),"+",""),"-",""),"E","")="",LEN(SUBSTITUTE(SUBSTITUTE(MID(UPPER(TRIM($DX70)),1+OR(LEFT(UPPER(TRIM($DX70)),1)="+",LEFT(UPPER(TRIM($DX70)),1)="-"),999),"E+","E"),"E-","E"))=LEN(SUBSTITUTE(SUBSTITUTE(SUBSTITUTE(SUBSTITUTE(MID(UPPER(TRIM($DX70)),1+OR(LEFT(UPPER(TRIM($DX70)),1)="+",LEFT(UPPER(TRIM($DX70)),1)="-"),999),"E+","E"),"E-","E"),"+",""),"-","")),LEN(UPPER(TRIM($DX70)))-LEN(SUBSTITUTE(UPPER(TRIM($DX70)),"E",""))&lt;2,LEN(UPPER(TRIM($DX70)))-LEN(SUBSTITUTE(UPPER(TRIM($DX70)),".",""))&lt;2,IFERROR(FIND(".",UPPER(TRIM($DX70))),0)&lt;IFERROR(FIND("E",UPPER(TRIM($DX70))),999)),ISNUMBER(VALUE(TRIM($DX70)))),VALUE(TRIM($DX70)),"")))),""))</f>
        <v/>
      </c>
      <c r="DZ70">
        <f>IF($DM70=0,"",IF($L$17=0,"",IFERROR(IF(ISNUMBER(INDEX(PASTE_ALL,$DF70,$L$17)),INDEX(PASTE_ALL,$DF70,$L$17),SUBSTITUTE(SUBSTITUTE(TRIM(SUBSTITUTE(SUBSTITUTE(SUBSTITUTE(SUBSTITUTE(INDEX(PASTE_ALL,$DF70,$L$17)," "," "),CHAR(9)," "),CHAR(10)," "),CHAR(13)," ")),",",""),"%","")),"")))</f>
        <v/>
      </c>
      <c r="EA70">
        <f>IF($DM70=0,"",IFERROR(IF(ISNUMBER($DZ70),$DZ70,IF($DZ70="","",IF(TRIM($DZ70)="",0,IF(AND(AND(SUBSTITUTE(SUBSTITUTE(SUBSTITUTE(SUBSTITUTE(SUBSTITUTE(SUBSTITUTE(SUBSTITUTE(SUBSTITUTE(SUBSTITUTE(SUBSTITUTE(SUBSTITUTE(SUBSTITUTE(SUBSTITUTE(SUBSTITUTE(UPPER(TRIM($DZ70)),"0",""),"1",""),"2",""),"3",""),"4",""),"5",""),"6",""),"7",""),"8",""),"9",""),".",""),"+",""),"-",""),"E","")="",LEN(SUBSTITUTE(SUBSTITUTE(MID(UPPER(TRIM($DZ70)),1+OR(LEFT(UPPER(TRIM($DZ70)),1)="+",LEFT(UPPER(TRIM($DZ70)),1)="-"),999),"E+","E"),"E-","E"))=LEN(SUBSTITUTE(SUBSTITUTE(SUBSTITUTE(SUBSTITUTE(MID(UPPER(TRIM($DZ70)),1+OR(LEFT(UPPER(TRIM($DZ70)),1)="+",LEFT(UPPER(TRIM($DZ70)),1)="-"),999),"E+","E"),"E-","E"),"+",""),"-","")),LEN(UPPER(TRIM($DZ70)))-LEN(SUBSTITUTE(UPPER(TRIM($DZ70)),"E",""))&lt;2,LEN(UPPER(TRIM($DZ70)))-LEN(SUBSTITUTE(UPPER(TRIM($DZ70)),".",""))&lt;2,IFERROR(FIND(".",UPPER(TRIM($DZ70))),0)&lt;IFERROR(FIND("E",UPPER(TRIM($DZ70))),999)),ISNUMBER(VALUE(TRIM($DZ70)))),VALUE(TRIM($DZ70)),"")))),""))</f>
        <v/>
      </c>
      <c r="EB70">
        <f>IF($DM70=0,"",IF($L$18=0,"",IFERROR(IF(UPPER(TRIM(SUBSTITUTE(SUBSTITUTE(SUBSTITUTE(SUBSTITUTE(INDEX(PASTE_ALL,$DF70,$L$18)," "," "),CHAR(9)," "),CHAR(10)," "),CHAR(13)," ")))="READY","Ready",IF(UPPER(TRIM(SUBSTITUTE(SUBSTITUTE(SUBSTITUTE(SUBSTITUTE(INDEX(PASTE_ALL,$DF70,$L$18)," "," "),CHAR(9)," "),CHAR(10)," "),CHAR(13)," ")))="PM","PM",IF(OR(UPPER(TRIM(SUBSTITUTE(SUBSTITUTE(SUBSTITUTE(SUBSTITUTE(INDEX(PASTE_ALL,$DF70,$L$18)," "," "),CHAR(9)," "),CHAR(10)," "),CHAR(13)," ")))="OT",UPPER(TRIM(SUBSTITUTE(SUBSTITUTE(SUBSTITUTE(SUBSTITUTE(INDEX(PASTE_ALL,$DF70,$L$18)," "," "),CHAR(9)," "),CHAR(10)," "),CHAR(13)," ")))="OVERTIME",UPPER(TRIM(SUBSTITUTE(SUBSTITUTE(SUBSTITUTE(SUBSTITUTE(INDEX(PASTE_ALL,$DF70,$L$18)," "," "),CHAR(9)," "),CHAR(10)," "),CHAR(13)," ")))="TRIAL"),"OT",TRIM(SUBSTITUTE(SUBSTITUTE(SUBSTITUTE(SUBSTITUTE(INDEX(PASTE_ALL,$DF70,$L$18)," "," "),CHAR(9)," "),CHAR(10)," "),CHAR(13)," "))))),"")))</f>
        <v/>
      </c>
      <c r="EC70">
        <f>IF($DM70=0,"",IF($L$19=0,"",IFERROR(IF(ISNUMBER(INDEX(PASTE_ALL,$DF70,$L$19)),INDEX(PASTE_ALL,$DF70,$L$19),TRIM(SUBSTITUTE(SUBSTITUTE(SUBSTITUTE(SUBSTITUTE(INDEX(PASTE_ALL,$DF70,$L$19)," "," "),CHAR(9)," "),CHAR(10)," "),CHAR(13)," "))),"")))</f>
        <v/>
      </c>
      <c r="ED70">
        <f>IF($DM70=0,"",MATCH(1,INDEX(EXACT($DH$5:DH70,$DH70)*$DM$5:DM70,0),0))</f>
        <v/>
      </c>
      <c r="EE70">
        <f>IF($DM70=0,0,IF($ED70=$DE70,1,0))</f>
        <v/>
      </c>
      <c r="EF70">
        <f>EF69+$EE70</f>
        <v/>
      </c>
      <c r="EG70">
        <f>IF($DM70=0,"",INDEX($EF$5:$EF$1003,$ED70))</f>
        <v/>
      </c>
      <c r="EH70">
        <f>IF($DM70=0,"",IF($DO70&lt;&gt;"","",IFERROR(LOOKUP(2,1/(($EG$4:EG69=$EG70)*($DO$4:DO69&lt;&gt;"")),$DO$4:DO69),"")))</f>
        <v/>
      </c>
      <c r="EI70">
        <f>IF($DM70=0,"",IF($DO70&lt;&gt;"",$DO70,$EH70))</f>
        <v/>
      </c>
      <c r="EJ70">
        <f>IF($DM70=0,"",IF($EI70="",0,IF(OR(ISNUMBER($EI70),AND(AND(SUBSTITUTE(SUBSTITUTE(SUBSTITUTE(SUBSTITUTE(SUBSTITUTE(SUBSTITUTE(SUBSTITUTE(SUBSTITUTE(SUBSTITUTE(SUBSTITUTE(SUBSTITUTE(SUBSTITUTE(SUBSTITUTE(SUBSTITUTE(UPPER($EI70),"0",""),"1",""),"2",""),"3",""),"4",""),"5",""),"6",""),"7",""),"8",""),"9",""),".",""),"+",""),"-",""),"E","")="",LEN(SUBSTITUTE(SUBSTITUTE(MID(UPPER($EI70),1+OR(LEFT(UPPER($EI70),1)="+",LEFT(UPPER($EI70),1)="-"),999),"E+","E"),"E-","E"))=LEN(SUBSTITUTE(SUBSTITUTE(SUBSTITUTE(SUBSTITUTE(MID(UPPER($EI70),1+OR(LEFT(UPPER($EI70),1)="+",LEFT(UPPER($EI70),1)="-"),999),"E+","E"),"E-","E"),"+",""),"-","")),LEN(UPPER($EI70))-LEN(SUBSTITUTE(UPPER($EI70),"E",""))&lt;2,LEN(UPPER($EI70))-LEN(SUBSTITUTE(UPPER($EI70),".",""))&lt;2,IFERROR(FIND(".",UPPER($EI70)),0)&lt;IFERROR(FIND("E",UPPER($EI70)),999)),ISNUMBER(VALUE($EI70)))),1,2)))</f>
        <v/>
      </c>
      <c r="EK70">
        <f>IF($DM70=0,"",IF($EJ70=1,IF(ISNUMBER($EI70),$EI70,VALUE($EI70)),IF($EJ70=2,$DE70,0)))</f>
        <v/>
      </c>
      <c r="EL70">
        <f>IF($DM70=0,"",COUNTIF($EG$5:$EG$1003,"&lt;"&amp;$EG70)+SUMPRODUCT(($EG$5:$EG$1003=$EG70)*(($EJ$5:$EJ$1003&lt;$EJ70)+($EJ$5:$EJ$1003=$EJ70)*(($EK$5:$EK$1003&lt;$EK70)+($EK$5:$EK$1003=$EK70)*($DE$5:$DE$1003&lt;$DE70))))+1)</f>
        <v/>
      </c>
      <c r="EM70">
        <f>IF($DM70=0,"",$EL70+$EG70-1)</f>
        <v/>
      </c>
      <c r="EN70">
        <f>IF($DM70=0,0,IFERROR(MATCH(1,INDEX(--(TRIM(SUBSTITUTE(SUBSTITUTE(SUBSTITUTE(SUBSTITUTE(LINES_NAME&amp;""," "," "),CHAR(9)," "),CHAR(10)," "),CHAR(13)," "))=$DH70),0),0),0))</f>
        <v/>
      </c>
      <c r="EO70">
        <f>IF($EN70=0,0,IF(OR(UPPER(TRIM(INDEX(LINES_SCHEDULED,$EN70)&amp;""))="YES",UPPER(TRIM(INDEX(LINES_SCHEDULED,$EN70)&amp;""))="Y",UPPER(TRIM(INDEX(LINES_SCHEDULED,$EN70)&amp;""))="X"),1,0))</f>
        <v/>
      </c>
      <c r="EP70">
        <f>IF($DM70=0,"",IF(COUNTIFS($EG$5:$EG$1003,$EG70,$EB$5:$EB$1003,"Ready")&gt;0,"READY",IF(COUNTIFS($EG$5:$EG$1003,$EG70,$EB$5:$EB$1003,"PM")&gt;0,"PM",IF(COUNTIFS($EG$5:$EG$1003,$EG70,$EB$5:$EB$1003,"OT")&gt;0,"OT",""))))</f>
        <v/>
      </c>
      <c r="EQ70">
        <f>IF($EN70=0,"",UPPER(TRIM(INDEX(LINES_STATUS,$EN70)&amp;"")))</f>
        <v/>
      </c>
      <c r="ER70">
        <f>IF($DM70=0,"",IF(OR($EQ70="READY",$EQ70="PM",$EQ70="OT"),$EQ70,$EP70))</f>
        <v/>
      </c>
      <c r="ES70">
        <f>IF($DM70=0,"",IF(AND($DV70&lt;&gt;"",UPPER($DV70)&lt;&gt;"N"),"allergen",IF(ISNUMBER(SEARCH("oil",$DQ70)),"oil",IF(OR(EXACT($DS70,"A662"),EXACT($DS70,"A624")),"bulk",""))))</f>
        <v/>
      </c>
      <c r="ET70">
        <f>IF($DM70=0,"",IF(OR($EA70="",$EA70=0),"",$EA70/100))</f>
        <v/>
      </c>
      <c r="EU70">
        <f>IF(OR($ET70="",$DY70=""),"",INT($DY70*(1-$ET70)+0.5))</f>
        <v/>
      </c>
      <c r="EW70" t="n">
        <v>66</v>
      </c>
      <c r="EX70">
        <f>IFERROR(MATCH($EW70,$EM$5:$EM$1003,0),0)</f>
        <v/>
      </c>
      <c r="EY70">
        <f>IF($EW70&gt;$B$12,"",IF($EX70&gt;0,"row","spacer"))</f>
        <v/>
      </c>
      <c r="EZ70">
        <f>IF(AND($EY70="row",$EY69&lt;&gt;"row"),1,0)</f>
        <v/>
      </c>
      <c r="FA70">
        <f>IF(AND($EY70="row",$EY71&lt;&gt;"row"),1,0)</f>
        <v/>
      </c>
      <c r="FB70">
        <f>IF($EZ70=1,IFERROR(IF(ISNUMBER(INDEX(PASTE_ALL,INDEX($DF$5:$DF$1003,$EX70),$B$37)),INDEX(PASTE_ALL,INDEX($DF$5:$DF$1003,$EX70),$B$37),INDEX($DH$5:$DH$1003,$EX70)),INDEX($DH$5:$DH$1003,$EX70)),"")</f>
        <v/>
      </c>
      <c r="FC70">
        <f>IF($EY70="row",INDEX($ER$5:$ER$1003,$EX70),"")</f>
        <v/>
      </c>
      <c r="FD70">
        <f>IF($EY70="row",INDEX($DN$5:$DN$1003,$EX70),"")</f>
        <v/>
      </c>
      <c r="FE70">
        <f>IF($EY70="row",INDEX($DO$5:$DO$1003,$EX70),"")</f>
        <v/>
      </c>
      <c r="FF70">
        <f>IF($EY70="row",INDEX($DP$5:$DP$1003,$EX70),"")</f>
        <v/>
      </c>
      <c r="FG70">
        <f>IF($EY70="row",INDEX($DQ$5:$DQ$1003,$EX70),"")</f>
        <v/>
      </c>
      <c r="FH70">
        <f>IF($EY70="row",INDEX($DR$5:$DR$1003,$EX70),"")</f>
        <v/>
      </c>
      <c r="FI70">
        <f>IF($EY70="row",INDEX($DS$5:$DS$1003,$EX70),"")</f>
        <v/>
      </c>
      <c r="FJ70">
        <f>IF($EY70="row",INDEX($DT$5:$DT$1003,$EX70),"")</f>
        <v/>
      </c>
      <c r="FK70">
        <f>IF($EY70="row",INDEX($DU$5:$DU$1003,$EX70),"")</f>
        <v/>
      </c>
      <c r="FL70">
        <f>IF($EY70="row",INDEX($DV$5:$DV$1003,$EX70),"")</f>
        <v/>
      </c>
      <c r="FM70">
        <f>IF($EY70="row",INDEX($DW$5:$DW$1003,$EX70),"")</f>
        <v/>
      </c>
      <c r="FN70">
        <f>IF($EY70="row",INDEX($DY$5:$DY$1003,$EX70),"")</f>
        <v/>
      </c>
      <c r="FO70">
        <f>IF($EY70="row",INDEX($EA$5:$EA$1003,$EX70),"")</f>
        <v/>
      </c>
      <c r="FP70">
        <f>IF($EY70="row",INDEX($EC$5:$EC$1003,$EX70),"")</f>
        <v/>
      </c>
      <c r="FQ70">
        <f>IF($EY70="row",INDEX($ET$5:$ET$1003,$EX70),"")</f>
        <v/>
      </c>
      <c r="FR70">
        <f>IF($EY70="row",INDEX($EU$5:$EU$1003,$EX70),"")</f>
        <v/>
      </c>
      <c r="FS70">
        <f>IF(AND($EY70="row",$EY69="row"),IF(OR(INDEX($DT$5:$DT$1003,$EX69)="",INDEX($DT$5:$DT$1003,$EX70)=""),"",IF(NOT(EXACT(INDEX($DT$5:$DT$1003,$EX69),INDEX($DT$5:$DT$1003,$EX70))),"S4",IF(NOT(EXACT(INDEX($DS$5:$DS$1003,$EX69),INDEX($DS$5:$DS$1003,$EX70))),"S3",IF(NOT(EXACT(INDEX($DR$5:$DR$1003,$EX69),INDEX($DR$5:$DR$1003,$EX70))),"S1 Count Change","S1")))),"")</f>
        <v/>
      </c>
      <c r="FT70">
        <f>IF($EY70="row",INDEX($ES$5:$ES$1003,$EX70),"")</f>
        <v/>
      </c>
      <c r="FU70">
        <f>IF($EY70="row",INDEX($EO$5:$EO$1003,$EX70),0)</f>
        <v/>
      </c>
      <c r="FV70">
        <f>IF($FS70="S1 Count Change",1,0)</f>
        <v/>
      </c>
      <c r="FX70" t="n">
        <v>66</v>
      </c>
      <c r="FY70">
        <f>IFERROR(MATCH($FX70,$EF$5:$EF$1003,0),0)</f>
        <v/>
      </c>
      <c r="FZ70">
        <f>IF($FY70=0,"",INDEX($DH$5:$DH$1003,$FY70))</f>
        <v/>
      </c>
      <c r="GA70">
        <f>IF($FY70=0,"",COUNTIF($EG$5:$EG$1003,$FX70))</f>
        <v/>
      </c>
      <c r="GB70">
        <f>IF($FY70=0,"",INDEX($ER$5:$ER$1003,$FY70))</f>
        <v/>
      </c>
      <c r="GC70">
        <f>IF($FY70=0,"",IF(INDEX($EO$5:$EO$1003,$FY70)=1,"Yes",""))</f>
        <v/>
      </c>
      <c r="GD70">
        <f>IF($FY70=0,"",IF(INDEX($EN$5:$EN$1003,$FY70)&gt;0,"","NOT IN YOUR LIST - type it in column A to tick it"))</f>
        <v/>
      </c>
      <c r="GE70">
        <f>IF(AND($FY70&gt;0,$GD70&lt;&gt;""),1,0)</f>
        <v/>
      </c>
      <c r="GF70">
        <f>GF69+$GE70</f>
        <v/>
      </c>
      <c r="GG70">
        <f>IFERROR(INDEX($FZ$5:$FZ$104,MATCH($FX70,$GF$5:$GF$104,0)),"")</f>
        <v/>
      </c>
    </row>
    <row r="71">
      <c r="V71" t="inlineStr">
        <is>
          <t>QTY</t>
        </is>
      </c>
      <c r="W71" t="n">
        <v>12</v>
      </c>
      <c r="Y71">
        <f>IFERROR(IF(ISNUMBER(INDEX(PASTE_ALL,22,1)),2,IF(TRIM(INDEX(PASTE_ALL,22,1))="",0,IF(AND(LEFT(MID(TRIM(INDEX(PASTE_ALL,22,1)),1+(LEFT(TRIM(INDEX(PASTE_ALL,22,1)),1)="-"),999),LEN(MID(TRIM(INDEX(PASTE_ALL,22,1)),1+(LEFT(TRIM(INDEX(PASTE_ALL,22,1)),1)="-"),999))-(RIGHT(MID(TRIM(INDEX(PASTE_ALL,22,1)),1+(LEFT(TRIM(INDEX(PASTE_ALL,22,1)),1)="-"),999),1)="%"))&lt;&gt;"",SUBSTITUTE(SUBSTITUTE(SUBSTITUTE(SUBSTITUTE(SUBSTITUTE(SUBSTITUTE(SUBSTITUTE(SUBSTITUTE(SUBSTITUTE(SUBSTITUTE(SUBSTITUTE(SUBSTITUTE(LEFT(MID(TRIM(INDEX(PASTE_ALL,22,1)),1+(LEFT(TRIM(INDEX(PASTE_ALL,22,1)),1)="-"),999),LEN(MID(TRIM(INDEX(PASTE_ALL,22,1)),1+(LEFT(TRIM(INDEX(PASTE_ALL,22,1)),1)="-"),999))-(RIGHT(MID(TRIM(INDEX(PASTE_ALL,22,1)),1+(LEFT(TRIM(INDEX(PASTE_ALL,22,1)),1)="-"),999),1)="%")),"0",""),"1",""),"2",""),"3",""),"4",""),"5",""),"6",""),"7",""),"8",""),"9",""),".",""),",","")=""),2,1))),1)</f>
        <v/>
      </c>
      <c r="Z71">
        <f>IFERROR(IF(ISNUMBER(INDEX(PASTE_ALL,22,2)),2,IF(TRIM(INDEX(PASTE_ALL,22,2))="",0,IF(AND(LEFT(MID(TRIM(INDEX(PASTE_ALL,22,2)),1+(LEFT(TRIM(INDEX(PASTE_ALL,22,2)),1)="-"),999),LEN(MID(TRIM(INDEX(PASTE_ALL,22,2)),1+(LEFT(TRIM(INDEX(PASTE_ALL,22,2)),1)="-"),999))-(RIGHT(MID(TRIM(INDEX(PASTE_ALL,22,2)),1+(LEFT(TRIM(INDEX(PASTE_ALL,22,2)),1)="-"),999),1)="%"))&lt;&gt;"",SUBSTITUTE(SUBSTITUTE(SUBSTITUTE(SUBSTITUTE(SUBSTITUTE(SUBSTITUTE(SUBSTITUTE(SUBSTITUTE(SUBSTITUTE(SUBSTITUTE(SUBSTITUTE(SUBSTITUTE(LEFT(MID(TRIM(INDEX(PASTE_ALL,22,2)),1+(LEFT(TRIM(INDEX(PASTE_ALL,22,2)),1)="-"),999),LEN(MID(TRIM(INDEX(PASTE_ALL,22,2)),1+(LEFT(TRIM(INDEX(PASTE_ALL,22,2)),1)="-"),999))-(RIGHT(MID(TRIM(INDEX(PASTE_ALL,22,2)),1+(LEFT(TRIM(INDEX(PASTE_ALL,22,2)),1)="-"),999),1)="%")),"0",""),"1",""),"2",""),"3",""),"4",""),"5",""),"6",""),"7",""),"8",""),"9",""),".",""),",","")=""),2,1))),1)</f>
        <v/>
      </c>
      <c r="AA71">
        <f>IFERROR(IF(ISNUMBER(INDEX(PASTE_ALL,22,3)),2,IF(TRIM(INDEX(PASTE_ALL,22,3))="",0,IF(AND(LEFT(MID(TRIM(INDEX(PASTE_ALL,22,3)),1+(LEFT(TRIM(INDEX(PASTE_ALL,22,3)),1)="-"),999),LEN(MID(TRIM(INDEX(PASTE_ALL,22,3)),1+(LEFT(TRIM(INDEX(PASTE_ALL,22,3)),1)="-"),999))-(RIGHT(MID(TRIM(INDEX(PASTE_ALL,22,3)),1+(LEFT(TRIM(INDEX(PASTE_ALL,22,3)),1)="-"),999),1)="%"))&lt;&gt;"",SUBSTITUTE(SUBSTITUTE(SUBSTITUTE(SUBSTITUTE(SUBSTITUTE(SUBSTITUTE(SUBSTITUTE(SUBSTITUTE(SUBSTITUTE(SUBSTITUTE(SUBSTITUTE(SUBSTITUTE(LEFT(MID(TRIM(INDEX(PASTE_ALL,22,3)),1+(LEFT(TRIM(INDEX(PASTE_ALL,22,3)),1)="-"),999),LEN(MID(TRIM(INDEX(PASTE_ALL,22,3)),1+(LEFT(TRIM(INDEX(PASTE_ALL,22,3)),1)="-"),999))-(RIGHT(MID(TRIM(INDEX(PASTE_ALL,22,3)),1+(LEFT(TRIM(INDEX(PASTE_ALL,22,3)),1)="-"),999),1)="%")),"0",""),"1",""),"2",""),"3",""),"4",""),"5",""),"6",""),"7",""),"8",""),"9",""),".",""),",","")=""),2,1))),1)</f>
        <v/>
      </c>
      <c r="AB71">
        <f>IFERROR(IF(ISNUMBER(INDEX(PASTE_ALL,22,4)),2,IF(TRIM(INDEX(PASTE_ALL,22,4))="",0,IF(AND(LEFT(MID(TRIM(INDEX(PASTE_ALL,22,4)),1+(LEFT(TRIM(INDEX(PASTE_ALL,22,4)),1)="-"),999),LEN(MID(TRIM(INDEX(PASTE_ALL,22,4)),1+(LEFT(TRIM(INDEX(PASTE_ALL,22,4)),1)="-"),999))-(RIGHT(MID(TRIM(INDEX(PASTE_ALL,22,4)),1+(LEFT(TRIM(INDEX(PASTE_ALL,22,4)),1)="-"),999),1)="%"))&lt;&gt;"",SUBSTITUTE(SUBSTITUTE(SUBSTITUTE(SUBSTITUTE(SUBSTITUTE(SUBSTITUTE(SUBSTITUTE(SUBSTITUTE(SUBSTITUTE(SUBSTITUTE(SUBSTITUTE(SUBSTITUTE(LEFT(MID(TRIM(INDEX(PASTE_ALL,22,4)),1+(LEFT(TRIM(INDEX(PASTE_ALL,22,4)),1)="-"),999),LEN(MID(TRIM(INDEX(PASTE_ALL,22,4)),1+(LEFT(TRIM(INDEX(PASTE_ALL,22,4)),1)="-"),999))-(RIGHT(MID(TRIM(INDEX(PASTE_ALL,22,4)),1+(LEFT(TRIM(INDEX(PASTE_ALL,22,4)),1)="-"),999),1)="%")),"0",""),"1",""),"2",""),"3",""),"4",""),"5",""),"6",""),"7",""),"8",""),"9",""),".",""),",","")=""),2,1))),1)</f>
        <v/>
      </c>
      <c r="AC71">
        <f>IFERROR(IF(ISNUMBER(INDEX(PASTE_ALL,22,5)),2,IF(TRIM(INDEX(PASTE_ALL,22,5))="",0,IF(AND(LEFT(MID(TRIM(INDEX(PASTE_ALL,22,5)),1+(LEFT(TRIM(INDEX(PASTE_ALL,22,5)),1)="-"),999),LEN(MID(TRIM(INDEX(PASTE_ALL,22,5)),1+(LEFT(TRIM(INDEX(PASTE_ALL,22,5)),1)="-"),999))-(RIGHT(MID(TRIM(INDEX(PASTE_ALL,22,5)),1+(LEFT(TRIM(INDEX(PASTE_ALL,22,5)),1)="-"),999),1)="%"))&lt;&gt;"",SUBSTITUTE(SUBSTITUTE(SUBSTITUTE(SUBSTITUTE(SUBSTITUTE(SUBSTITUTE(SUBSTITUTE(SUBSTITUTE(SUBSTITUTE(SUBSTITUTE(SUBSTITUTE(SUBSTITUTE(LEFT(MID(TRIM(INDEX(PASTE_ALL,22,5)),1+(LEFT(TRIM(INDEX(PASTE_ALL,22,5)),1)="-"),999),LEN(MID(TRIM(INDEX(PASTE_ALL,22,5)),1+(LEFT(TRIM(INDEX(PASTE_ALL,22,5)),1)="-"),999))-(RIGHT(MID(TRIM(INDEX(PASTE_ALL,22,5)),1+(LEFT(TRIM(INDEX(PASTE_ALL,22,5)),1)="-"),999),1)="%")),"0",""),"1",""),"2",""),"3",""),"4",""),"5",""),"6",""),"7",""),"8",""),"9",""),".",""),",","")=""),2,1))),1)</f>
        <v/>
      </c>
      <c r="AD71">
        <f>IFERROR(IF(ISNUMBER(INDEX(PASTE_ALL,22,6)),2,IF(TRIM(INDEX(PASTE_ALL,22,6))="",0,IF(AND(LEFT(MID(TRIM(INDEX(PASTE_ALL,22,6)),1+(LEFT(TRIM(INDEX(PASTE_ALL,22,6)),1)="-"),999),LEN(MID(TRIM(INDEX(PASTE_ALL,22,6)),1+(LEFT(TRIM(INDEX(PASTE_ALL,22,6)),1)="-"),999))-(RIGHT(MID(TRIM(INDEX(PASTE_ALL,22,6)),1+(LEFT(TRIM(INDEX(PASTE_ALL,22,6)),1)="-"),999),1)="%"))&lt;&gt;"",SUBSTITUTE(SUBSTITUTE(SUBSTITUTE(SUBSTITUTE(SUBSTITUTE(SUBSTITUTE(SUBSTITUTE(SUBSTITUTE(SUBSTITUTE(SUBSTITUTE(SUBSTITUTE(SUBSTITUTE(LEFT(MID(TRIM(INDEX(PASTE_ALL,22,6)),1+(LEFT(TRIM(INDEX(PASTE_ALL,22,6)),1)="-"),999),LEN(MID(TRIM(INDEX(PASTE_ALL,22,6)),1+(LEFT(TRIM(INDEX(PASTE_ALL,22,6)),1)="-"),999))-(RIGHT(MID(TRIM(INDEX(PASTE_ALL,22,6)),1+(LEFT(TRIM(INDEX(PASTE_ALL,22,6)),1)="-"),999),1)="%")),"0",""),"1",""),"2",""),"3",""),"4",""),"5",""),"6",""),"7",""),"8",""),"9",""),".",""),",","")=""),2,1))),1)</f>
        <v/>
      </c>
      <c r="AE71">
        <f>IFERROR(IF(ISNUMBER(INDEX(PASTE_ALL,22,7)),2,IF(TRIM(INDEX(PASTE_ALL,22,7))="",0,IF(AND(LEFT(MID(TRIM(INDEX(PASTE_ALL,22,7)),1+(LEFT(TRIM(INDEX(PASTE_ALL,22,7)),1)="-"),999),LEN(MID(TRIM(INDEX(PASTE_ALL,22,7)),1+(LEFT(TRIM(INDEX(PASTE_ALL,22,7)),1)="-"),999))-(RIGHT(MID(TRIM(INDEX(PASTE_ALL,22,7)),1+(LEFT(TRIM(INDEX(PASTE_ALL,22,7)),1)="-"),999),1)="%"))&lt;&gt;"",SUBSTITUTE(SUBSTITUTE(SUBSTITUTE(SUBSTITUTE(SUBSTITUTE(SUBSTITUTE(SUBSTITUTE(SUBSTITUTE(SUBSTITUTE(SUBSTITUTE(SUBSTITUTE(SUBSTITUTE(LEFT(MID(TRIM(INDEX(PASTE_ALL,22,7)),1+(LEFT(TRIM(INDEX(PASTE_ALL,22,7)),1)="-"),999),LEN(MID(TRIM(INDEX(PASTE_ALL,22,7)),1+(LEFT(TRIM(INDEX(PASTE_ALL,22,7)),1)="-"),999))-(RIGHT(MID(TRIM(INDEX(PASTE_ALL,22,7)),1+(LEFT(TRIM(INDEX(PASTE_ALL,22,7)),1)="-"),999),1)="%")),"0",""),"1",""),"2",""),"3",""),"4",""),"5",""),"6",""),"7",""),"8",""),"9",""),".",""),",","")=""),2,1))),1)</f>
        <v/>
      </c>
      <c r="AF71">
        <f>IFERROR(IF(ISNUMBER(INDEX(PASTE_ALL,22,8)),2,IF(TRIM(INDEX(PASTE_ALL,22,8))="",0,IF(AND(LEFT(MID(TRIM(INDEX(PASTE_ALL,22,8)),1+(LEFT(TRIM(INDEX(PASTE_ALL,22,8)),1)="-"),999),LEN(MID(TRIM(INDEX(PASTE_ALL,22,8)),1+(LEFT(TRIM(INDEX(PASTE_ALL,22,8)),1)="-"),999))-(RIGHT(MID(TRIM(INDEX(PASTE_ALL,22,8)),1+(LEFT(TRIM(INDEX(PASTE_ALL,22,8)),1)="-"),999),1)="%"))&lt;&gt;"",SUBSTITUTE(SUBSTITUTE(SUBSTITUTE(SUBSTITUTE(SUBSTITUTE(SUBSTITUTE(SUBSTITUTE(SUBSTITUTE(SUBSTITUTE(SUBSTITUTE(SUBSTITUTE(SUBSTITUTE(LEFT(MID(TRIM(INDEX(PASTE_ALL,22,8)),1+(LEFT(TRIM(INDEX(PASTE_ALL,22,8)),1)="-"),999),LEN(MID(TRIM(INDEX(PASTE_ALL,22,8)),1+(LEFT(TRIM(INDEX(PASTE_ALL,22,8)),1)="-"),999))-(RIGHT(MID(TRIM(INDEX(PASTE_ALL,22,8)),1+(LEFT(TRIM(INDEX(PASTE_ALL,22,8)),1)="-"),999),1)="%")),"0",""),"1",""),"2",""),"3",""),"4",""),"5",""),"6",""),"7",""),"8",""),"9",""),".",""),",","")=""),2,1))),1)</f>
        <v/>
      </c>
      <c r="AG71">
        <f>IFERROR(IF(ISNUMBER(INDEX(PASTE_ALL,22,9)),2,IF(TRIM(INDEX(PASTE_ALL,22,9))="",0,IF(AND(LEFT(MID(TRIM(INDEX(PASTE_ALL,22,9)),1+(LEFT(TRIM(INDEX(PASTE_ALL,22,9)),1)="-"),999),LEN(MID(TRIM(INDEX(PASTE_ALL,22,9)),1+(LEFT(TRIM(INDEX(PASTE_ALL,22,9)),1)="-"),999))-(RIGHT(MID(TRIM(INDEX(PASTE_ALL,22,9)),1+(LEFT(TRIM(INDEX(PASTE_ALL,22,9)),1)="-"),999),1)="%"))&lt;&gt;"",SUBSTITUTE(SUBSTITUTE(SUBSTITUTE(SUBSTITUTE(SUBSTITUTE(SUBSTITUTE(SUBSTITUTE(SUBSTITUTE(SUBSTITUTE(SUBSTITUTE(SUBSTITUTE(SUBSTITUTE(LEFT(MID(TRIM(INDEX(PASTE_ALL,22,9)),1+(LEFT(TRIM(INDEX(PASTE_ALL,22,9)),1)="-"),999),LEN(MID(TRIM(INDEX(PASTE_ALL,22,9)),1+(LEFT(TRIM(INDEX(PASTE_ALL,22,9)),1)="-"),999))-(RIGHT(MID(TRIM(INDEX(PASTE_ALL,22,9)),1+(LEFT(TRIM(INDEX(PASTE_ALL,22,9)),1)="-"),999),1)="%")),"0",""),"1",""),"2",""),"3",""),"4",""),"5",""),"6",""),"7",""),"8",""),"9",""),".",""),",","")=""),2,1))),1)</f>
        <v/>
      </c>
      <c r="AH71">
        <f>IFERROR(IF(ISNUMBER(INDEX(PASTE_ALL,22,10)),2,IF(TRIM(INDEX(PASTE_ALL,22,10))="",0,IF(AND(LEFT(MID(TRIM(INDEX(PASTE_ALL,22,10)),1+(LEFT(TRIM(INDEX(PASTE_ALL,22,10)),1)="-"),999),LEN(MID(TRIM(INDEX(PASTE_ALL,22,10)),1+(LEFT(TRIM(INDEX(PASTE_ALL,22,10)),1)="-"),999))-(RIGHT(MID(TRIM(INDEX(PASTE_ALL,22,10)),1+(LEFT(TRIM(INDEX(PASTE_ALL,22,10)),1)="-"),999),1)="%"))&lt;&gt;"",SUBSTITUTE(SUBSTITUTE(SUBSTITUTE(SUBSTITUTE(SUBSTITUTE(SUBSTITUTE(SUBSTITUTE(SUBSTITUTE(SUBSTITUTE(SUBSTITUTE(SUBSTITUTE(SUBSTITUTE(LEFT(MID(TRIM(INDEX(PASTE_ALL,22,10)),1+(LEFT(TRIM(INDEX(PASTE_ALL,22,10)),1)="-"),999),LEN(MID(TRIM(INDEX(PASTE_ALL,22,10)),1+(LEFT(TRIM(INDEX(PASTE_ALL,22,10)),1)="-"),999))-(RIGHT(MID(TRIM(INDEX(PASTE_ALL,22,10)),1+(LEFT(TRIM(INDEX(PASTE_ALL,22,10)),1)="-"),999),1)="%")),"0",""),"1",""),"2",""),"3",""),"4",""),"5",""),"6",""),"7",""),"8",""),"9",""),".",""),",","")=""),2,1))),1)</f>
        <v/>
      </c>
      <c r="AI71">
        <f>IFERROR(IF(ISNUMBER(INDEX(PASTE_ALL,22,11)),2,IF(TRIM(INDEX(PASTE_ALL,22,11))="",0,IF(AND(LEFT(MID(TRIM(INDEX(PASTE_ALL,22,11)),1+(LEFT(TRIM(INDEX(PASTE_ALL,22,11)),1)="-"),999),LEN(MID(TRIM(INDEX(PASTE_ALL,22,11)),1+(LEFT(TRIM(INDEX(PASTE_ALL,22,11)),1)="-"),999))-(RIGHT(MID(TRIM(INDEX(PASTE_ALL,22,11)),1+(LEFT(TRIM(INDEX(PASTE_ALL,22,11)),1)="-"),999),1)="%"))&lt;&gt;"",SUBSTITUTE(SUBSTITUTE(SUBSTITUTE(SUBSTITUTE(SUBSTITUTE(SUBSTITUTE(SUBSTITUTE(SUBSTITUTE(SUBSTITUTE(SUBSTITUTE(SUBSTITUTE(SUBSTITUTE(LEFT(MID(TRIM(INDEX(PASTE_ALL,22,11)),1+(LEFT(TRIM(INDEX(PASTE_ALL,22,11)),1)="-"),999),LEN(MID(TRIM(INDEX(PASTE_ALL,22,11)),1+(LEFT(TRIM(INDEX(PASTE_ALL,22,11)),1)="-"),999))-(RIGHT(MID(TRIM(INDEX(PASTE_ALL,22,11)),1+(LEFT(TRIM(INDEX(PASTE_ALL,22,11)),1)="-"),999),1)="%")),"0",""),"1",""),"2",""),"3",""),"4",""),"5",""),"6",""),"7",""),"8",""),"9",""),".",""),",","")=""),2,1))),1)</f>
        <v/>
      </c>
      <c r="AJ71">
        <f>IFERROR(IF(ISNUMBER(INDEX(PASTE_ALL,22,12)),2,IF(TRIM(INDEX(PASTE_ALL,22,12))="",0,IF(AND(LEFT(MID(TRIM(INDEX(PASTE_ALL,22,12)),1+(LEFT(TRIM(INDEX(PASTE_ALL,22,12)),1)="-"),999),LEN(MID(TRIM(INDEX(PASTE_ALL,22,12)),1+(LEFT(TRIM(INDEX(PASTE_ALL,22,12)),1)="-"),999))-(RIGHT(MID(TRIM(INDEX(PASTE_ALL,22,12)),1+(LEFT(TRIM(INDEX(PASTE_ALL,22,12)),1)="-"),999),1)="%"))&lt;&gt;"",SUBSTITUTE(SUBSTITUTE(SUBSTITUTE(SUBSTITUTE(SUBSTITUTE(SUBSTITUTE(SUBSTITUTE(SUBSTITUTE(SUBSTITUTE(SUBSTITUTE(SUBSTITUTE(SUBSTITUTE(LEFT(MID(TRIM(INDEX(PASTE_ALL,22,12)),1+(LEFT(TRIM(INDEX(PASTE_ALL,22,12)),1)="-"),999),LEN(MID(TRIM(INDEX(PASTE_ALL,22,12)),1+(LEFT(TRIM(INDEX(PASTE_ALL,22,12)),1)="-"),999))-(RIGHT(MID(TRIM(INDEX(PASTE_ALL,22,12)),1+(LEFT(TRIM(INDEX(PASTE_ALL,22,12)),1)="-"),999),1)="%")),"0",""),"1",""),"2",""),"3",""),"4",""),"5",""),"6",""),"7",""),"8",""),"9",""),".",""),",","")=""),2,1))),1)</f>
        <v/>
      </c>
      <c r="AK71">
        <f>IFERROR(IF(ISNUMBER(INDEX(PASTE_ALL,22,13)),2,IF(TRIM(INDEX(PASTE_ALL,22,13))="",0,IF(AND(LEFT(MID(TRIM(INDEX(PASTE_ALL,22,13)),1+(LEFT(TRIM(INDEX(PASTE_ALL,22,13)),1)="-"),999),LEN(MID(TRIM(INDEX(PASTE_ALL,22,13)),1+(LEFT(TRIM(INDEX(PASTE_ALL,22,13)),1)="-"),999))-(RIGHT(MID(TRIM(INDEX(PASTE_ALL,22,13)),1+(LEFT(TRIM(INDEX(PASTE_ALL,22,13)),1)="-"),999),1)="%"))&lt;&gt;"",SUBSTITUTE(SUBSTITUTE(SUBSTITUTE(SUBSTITUTE(SUBSTITUTE(SUBSTITUTE(SUBSTITUTE(SUBSTITUTE(SUBSTITUTE(SUBSTITUTE(SUBSTITUTE(SUBSTITUTE(LEFT(MID(TRIM(INDEX(PASTE_ALL,22,13)),1+(LEFT(TRIM(INDEX(PASTE_ALL,22,13)),1)="-"),999),LEN(MID(TRIM(INDEX(PASTE_ALL,22,13)),1+(LEFT(TRIM(INDEX(PASTE_ALL,22,13)),1)="-"),999))-(RIGHT(MID(TRIM(INDEX(PASTE_ALL,22,13)),1+(LEFT(TRIM(INDEX(PASTE_ALL,22,13)),1)="-"),999),1)="%")),"0",""),"1",""),"2",""),"3",""),"4",""),"5",""),"6",""),"7",""),"8",""),"9",""),".",""),",","")=""),2,1))),1)</f>
        <v/>
      </c>
      <c r="AL71">
        <f>IFERROR(IF(ISNUMBER(INDEX(PASTE_ALL,22,14)),2,IF(TRIM(INDEX(PASTE_ALL,22,14))="",0,IF(AND(LEFT(MID(TRIM(INDEX(PASTE_ALL,22,14)),1+(LEFT(TRIM(INDEX(PASTE_ALL,22,14)),1)="-"),999),LEN(MID(TRIM(INDEX(PASTE_ALL,22,14)),1+(LEFT(TRIM(INDEX(PASTE_ALL,22,14)),1)="-"),999))-(RIGHT(MID(TRIM(INDEX(PASTE_ALL,22,14)),1+(LEFT(TRIM(INDEX(PASTE_ALL,22,14)),1)="-"),999),1)="%"))&lt;&gt;"",SUBSTITUTE(SUBSTITUTE(SUBSTITUTE(SUBSTITUTE(SUBSTITUTE(SUBSTITUTE(SUBSTITUTE(SUBSTITUTE(SUBSTITUTE(SUBSTITUTE(SUBSTITUTE(SUBSTITUTE(LEFT(MID(TRIM(INDEX(PASTE_ALL,22,14)),1+(LEFT(TRIM(INDEX(PASTE_ALL,22,14)),1)="-"),999),LEN(MID(TRIM(INDEX(PASTE_ALL,22,14)),1+(LEFT(TRIM(INDEX(PASTE_ALL,22,14)),1)="-"),999))-(RIGHT(MID(TRIM(INDEX(PASTE_ALL,22,14)),1+(LEFT(TRIM(INDEX(PASTE_ALL,22,14)),1)="-"),999),1)="%")),"0",""),"1",""),"2",""),"3",""),"4",""),"5",""),"6",""),"7",""),"8",""),"9",""),".",""),",","")=""),2,1))),1)</f>
        <v/>
      </c>
      <c r="AM71">
        <f>IFERROR(IF(ISNUMBER(INDEX(PASTE_ALL,22,15)),2,IF(TRIM(INDEX(PASTE_ALL,22,15))="",0,IF(AND(LEFT(MID(TRIM(INDEX(PASTE_ALL,22,15)),1+(LEFT(TRIM(INDEX(PASTE_ALL,22,15)),1)="-"),999),LEN(MID(TRIM(INDEX(PASTE_ALL,22,15)),1+(LEFT(TRIM(INDEX(PASTE_ALL,22,15)),1)="-"),999))-(RIGHT(MID(TRIM(INDEX(PASTE_ALL,22,15)),1+(LEFT(TRIM(INDEX(PASTE_ALL,22,15)),1)="-"),999),1)="%"))&lt;&gt;"",SUBSTITUTE(SUBSTITUTE(SUBSTITUTE(SUBSTITUTE(SUBSTITUTE(SUBSTITUTE(SUBSTITUTE(SUBSTITUTE(SUBSTITUTE(SUBSTITUTE(SUBSTITUTE(SUBSTITUTE(LEFT(MID(TRIM(INDEX(PASTE_ALL,22,15)),1+(LEFT(TRIM(INDEX(PASTE_ALL,22,15)),1)="-"),999),LEN(MID(TRIM(INDEX(PASTE_ALL,22,15)),1+(LEFT(TRIM(INDEX(PASTE_ALL,22,15)),1)="-"),999))-(RIGHT(MID(TRIM(INDEX(PASTE_ALL,22,15)),1+(LEFT(TRIM(INDEX(PASTE_ALL,22,15)),1)="-"),999),1)="%")),"0",""),"1",""),"2",""),"3",""),"4",""),"5",""),"6",""),"7",""),"8",""),"9",""),".",""),",","")=""),2,1))),1)</f>
        <v/>
      </c>
      <c r="AN71">
        <f>IFERROR(IF(ISNUMBER(INDEX(PASTE_ALL,22,16)),2,IF(TRIM(INDEX(PASTE_ALL,22,16))="",0,IF(AND(LEFT(MID(TRIM(INDEX(PASTE_ALL,22,16)),1+(LEFT(TRIM(INDEX(PASTE_ALL,22,16)),1)="-"),999),LEN(MID(TRIM(INDEX(PASTE_ALL,22,16)),1+(LEFT(TRIM(INDEX(PASTE_ALL,22,16)),1)="-"),999))-(RIGHT(MID(TRIM(INDEX(PASTE_ALL,22,16)),1+(LEFT(TRIM(INDEX(PASTE_ALL,22,16)),1)="-"),999),1)="%"))&lt;&gt;"",SUBSTITUTE(SUBSTITUTE(SUBSTITUTE(SUBSTITUTE(SUBSTITUTE(SUBSTITUTE(SUBSTITUTE(SUBSTITUTE(SUBSTITUTE(SUBSTITUTE(SUBSTITUTE(SUBSTITUTE(LEFT(MID(TRIM(INDEX(PASTE_ALL,22,16)),1+(LEFT(TRIM(INDEX(PASTE_ALL,22,16)),1)="-"),999),LEN(MID(TRIM(INDEX(PASTE_ALL,22,16)),1+(LEFT(TRIM(INDEX(PASTE_ALL,22,16)),1)="-"),999))-(RIGHT(MID(TRIM(INDEX(PASTE_ALL,22,16)),1+(LEFT(TRIM(INDEX(PASTE_ALL,22,16)),1)="-"),999),1)="%")),"0",""),"1",""),"2",""),"3",""),"4",""),"5",""),"6",""),"7",""),"8",""),"9",""),".",""),",","")=""),2,1))),1)</f>
        <v/>
      </c>
      <c r="AO71">
        <f>IFERROR(IF(ISNUMBER(INDEX(PASTE_ALL,22,17)),2,IF(TRIM(INDEX(PASTE_ALL,22,17))="",0,IF(AND(LEFT(MID(TRIM(INDEX(PASTE_ALL,22,17)),1+(LEFT(TRIM(INDEX(PASTE_ALL,22,17)),1)="-"),999),LEN(MID(TRIM(INDEX(PASTE_ALL,22,17)),1+(LEFT(TRIM(INDEX(PASTE_ALL,22,17)),1)="-"),999))-(RIGHT(MID(TRIM(INDEX(PASTE_ALL,22,17)),1+(LEFT(TRIM(INDEX(PASTE_ALL,22,17)),1)="-"),999),1)="%"))&lt;&gt;"",SUBSTITUTE(SUBSTITUTE(SUBSTITUTE(SUBSTITUTE(SUBSTITUTE(SUBSTITUTE(SUBSTITUTE(SUBSTITUTE(SUBSTITUTE(SUBSTITUTE(SUBSTITUTE(SUBSTITUTE(LEFT(MID(TRIM(INDEX(PASTE_ALL,22,17)),1+(LEFT(TRIM(INDEX(PASTE_ALL,22,17)),1)="-"),999),LEN(MID(TRIM(INDEX(PASTE_ALL,22,17)),1+(LEFT(TRIM(INDEX(PASTE_ALL,22,17)),1)="-"),999))-(RIGHT(MID(TRIM(INDEX(PASTE_ALL,22,17)),1+(LEFT(TRIM(INDEX(PASTE_ALL,22,17)),1)="-"),999),1)="%")),"0",""),"1",""),"2",""),"3",""),"4",""),"5",""),"6",""),"7",""),"8",""),"9",""),".",""),",","")=""),2,1))),1)</f>
        <v/>
      </c>
      <c r="AP71">
        <f>IFERROR(IF(ISNUMBER(INDEX(PASTE_ALL,22,18)),2,IF(TRIM(INDEX(PASTE_ALL,22,18))="",0,IF(AND(LEFT(MID(TRIM(INDEX(PASTE_ALL,22,18)),1+(LEFT(TRIM(INDEX(PASTE_ALL,22,18)),1)="-"),999),LEN(MID(TRIM(INDEX(PASTE_ALL,22,18)),1+(LEFT(TRIM(INDEX(PASTE_ALL,22,18)),1)="-"),999))-(RIGHT(MID(TRIM(INDEX(PASTE_ALL,22,18)),1+(LEFT(TRIM(INDEX(PASTE_ALL,22,18)),1)="-"),999),1)="%"))&lt;&gt;"",SUBSTITUTE(SUBSTITUTE(SUBSTITUTE(SUBSTITUTE(SUBSTITUTE(SUBSTITUTE(SUBSTITUTE(SUBSTITUTE(SUBSTITUTE(SUBSTITUTE(SUBSTITUTE(SUBSTITUTE(LEFT(MID(TRIM(INDEX(PASTE_ALL,22,18)),1+(LEFT(TRIM(INDEX(PASTE_ALL,22,18)),1)="-"),999),LEN(MID(TRIM(INDEX(PASTE_ALL,22,18)),1+(LEFT(TRIM(INDEX(PASTE_ALL,22,18)),1)="-"),999))-(RIGHT(MID(TRIM(INDEX(PASTE_ALL,22,18)),1+(LEFT(TRIM(INDEX(PASTE_ALL,22,18)),1)="-"),999),1)="%")),"0",""),"1",""),"2",""),"3",""),"4",""),"5",""),"6",""),"7",""),"8",""),"9",""),".",""),",","")=""),2,1))),1)</f>
        <v/>
      </c>
      <c r="AQ71">
        <f>IFERROR(IF(ISNUMBER(INDEX(PASTE_ALL,22,19)),2,IF(TRIM(INDEX(PASTE_ALL,22,19))="",0,IF(AND(LEFT(MID(TRIM(INDEX(PASTE_ALL,22,19)),1+(LEFT(TRIM(INDEX(PASTE_ALL,22,19)),1)="-"),999),LEN(MID(TRIM(INDEX(PASTE_ALL,22,19)),1+(LEFT(TRIM(INDEX(PASTE_ALL,22,19)),1)="-"),999))-(RIGHT(MID(TRIM(INDEX(PASTE_ALL,22,19)),1+(LEFT(TRIM(INDEX(PASTE_ALL,22,19)),1)="-"),999),1)="%"))&lt;&gt;"",SUBSTITUTE(SUBSTITUTE(SUBSTITUTE(SUBSTITUTE(SUBSTITUTE(SUBSTITUTE(SUBSTITUTE(SUBSTITUTE(SUBSTITUTE(SUBSTITUTE(SUBSTITUTE(SUBSTITUTE(LEFT(MID(TRIM(INDEX(PASTE_ALL,22,19)),1+(LEFT(TRIM(INDEX(PASTE_ALL,22,19)),1)="-"),999),LEN(MID(TRIM(INDEX(PASTE_ALL,22,19)),1+(LEFT(TRIM(INDEX(PASTE_ALL,22,19)),1)="-"),999))-(RIGHT(MID(TRIM(INDEX(PASTE_ALL,22,19)),1+(LEFT(TRIM(INDEX(PASTE_ALL,22,19)),1)="-"),999),1)="%")),"0",""),"1",""),"2",""),"3",""),"4",""),"5",""),"6",""),"7",""),"8",""),"9",""),".",""),",","")=""),2,1))),1)</f>
        <v/>
      </c>
      <c r="AR71">
        <f>IFERROR(IF(ISNUMBER(INDEX(PASTE_ALL,22,20)),2,IF(TRIM(INDEX(PASTE_ALL,22,20))="",0,IF(AND(LEFT(MID(TRIM(INDEX(PASTE_ALL,22,20)),1+(LEFT(TRIM(INDEX(PASTE_ALL,22,20)),1)="-"),999),LEN(MID(TRIM(INDEX(PASTE_ALL,22,20)),1+(LEFT(TRIM(INDEX(PASTE_ALL,22,20)),1)="-"),999))-(RIGHT(MID(TRIM(INDEX(PASTE_ALL,22,20)),1+(LEFT(TRIM(INDEX(PASTE_ALL,22,20)),1)="-"),999),1)="%"))&lt;&gt;"",SUBSTITUTE(SUBSTITUTE(SUBSTITUTE(SUBSTITUTE(SUBSTITUTE(SUBSTITUTE(SUBSTITUTE(SUBSTITUTE(SUBSTITUTE(SUBSTITUTE(SUBSTITUTE(SUBSTITUTE(LEFT(MID(TRIM(INDEX(PASTE_ALL,22,20)),1+(LEFT(TRIM(INDEX(PASTE_ALL,22,20)),1)="-"),999),LEN(MID(TRIM(INDEX(PASTE_ALL,22,20)),1+(LEFT(TRIM(INDEX(PASTE_ALL,22,20)),1)="-"),999))-(RIGHT(MID(TRIM(INDEX(PASTE_ALL,22,20)),1+(LEFT(TRIM(INDEX(PASTE_ALL,22,20)),1)="-"),999),1)="%")),"0",""),"1",""),"2",""),"3",""),"4",""),"5",""),"6",""),"7",""),"8",""),"9",""),".",""),",","")=""),2,1))),1)</f>
        <v/>
      </c>
      <c r="AS71">
        <f>IFERROR(IF(ISNUMBER(INDEX(PASTE_ALL,22,21)),2,IF(TRIM(INDEX(PASTE_ALL,22,21))="",0,IF(AND(LEFT(MID(TRIM(INDEX(PASTE_ALL,22,21)),1+(LEFT(TRIM(INDEX(PASTE_ALL,22,21)),1)="-"),999),LEN(MID(TRIM(INDEX(PASTE_ALL,22,21)),1+(LEFT(TRIM(INDEX(PASTE_ALL,22,21)),1)="-"),999))-(RIGHT(MID(TRIM(INDEX(PASTE_ALL,22,21)),1+(LEFT(TRIM(INDEX(PASTE_ALL,22,21)),1)="-"),999),1)="%"))&lt;&gt;"",SUBSTITUTE(SUBSTITUTE(SUBSTITUTE(SUBSTITUTE(SUBSTITUTE(SUBSTITUTE(SUBSTITUTE(SUBSTITUTE(SUBSTITUTE(SUBSTITUTE(SUBSTITUTE(SUBSTITUTE(LEFT(MID(TRIM(INDEX(PASTE_ALL,22,21)),1+(LEFT(TRIM(INDEX(PASTE_ALL,22,21)),1)="-"),999),LEN(MID(TRIM(INDEX(PASTE_ALL,22,21)),1+(LEFT(TRIM(INDEX(PASTE_ALL,22,21)),1)="-"),999))-(RIGHT(MID(TRIM(INDEX(PASTE_ALL,22,21)),1+(LEFT(TRIM(INDEX(PASTE_ALL,22,21)),1)="-"),999),1)="%")),"0",""),"1",""),"2",""),"3",""),"4",""),"5",""),"6",""),"7",""),"8",""),"9",""),".",""),",","")=""),2,1))),1)</f>
        <v/>
      </c>
      <c r="AT71">
        <f>IFERROR(IF(ISNUMBER(INDEX(PASTE_ALL,22,22)),2,IF(TRIM(INDEX(PASTE_ALL,22,22))="",0,IF(AND(LEFT(MID(TRIM(INDEX(PASTE_ALL,22,22)),1+(LEFT(TRIM(INDEX(PASTE_ALL,22,22)),1)="-"),999),LEN(MID(TRIM(INDEX(PASTE_ALL,22,22)),1+(LEFT(TRIM(INDEX(PASTE_ALL,22,22)),1)="-"),999))-(RIGHT(MID(TRIM(INDEX(PASTE_ALL,22,22)),1+(LEFT(TRIM(INDEX(PASTE_ALL,22,22)),1)="-"),999),1)="%"))&lt;&gt;"",SUBSTITUTE(SUBSTITUTE(SUBSTITUTE(SUBSTITUTE(SUBSTITUTE(SUBSTITUTE(SUBSTITUTE(SUBSTITUTE(SUBSTITUTE(SUBSTITUTE(SUBSTITUTE(SUBSTITUTE(LEFT(MID(TRIM(INDEX(PASTE_ALL,22,22)),1+(LEFT(TRIM(INDEX(PASTE_ALL,22,22)),1)="-"),999),LEN(MID(TRIM(INDEX(PASTE_ALL,22,22)),1+(LEFT(TRIM(INDEX(PASTE_ALL,22,22)),1)="-"),999))-(RIGHT(MID(TRIM(INDEX(PASTE_ALL,22,22)),1+(LEFT(TRIM(INDEX(PASTE_ALL,22,22)),1)="-"),999),1)="%")),"0",""),"1",""),"2",""),"3",""),"4",""),"5",""),"6",""),"7",""),"8",""),"9",""),".",""),",","")=""),2,1))),1)</f>
        <v/>
      </c>
      <c r="AU71">
        <f>IFERROR(IF(ISNUMBER(INDEX(PASTE_ALL,22,23)),2,IF(TRIM(INDEX(PASTE_ALL,22,23))="",0,IF(AND(LEFT(MID(TRIM(INDEX(PASTE_ALL,22,23)),1+(LEFT(TRIM(INDEX(PASTE_ALL,22,23)),1)="-"),999),LEN(MID(TRIM(INDEX(PASTE_ALL,22,23)),1+(LEFT(TRIM(INDEX(PASTE_ALL,22,23)),1)="-"),999))-(RIGHT(MID(TRIM(INDEX(PASTE_ALL,22,23)),1+(LEFT(TRIM(INDEX(PASTE_ALL,22,23)),1)="-"),999),1)="%"))&lt;&gt;"",SUBSTITUTE(SUBSTITUTE(SUBSTITUTE(SUBSTITUTE(SUBSTITUTE(SUBSTITUTE(SUBSTITUTE(SUBSTITUTE(SUBSTITUTE(SUBSTITUTE(SUBSTITUTE(SUBSTITUTE(LEFT(MID(TRIM(INDEX(PASTE_ALL,22,23)),1+(LEFT(TRIM(INDEX(PASTE_ALL,22,23)),1)="-"),999),LEN(MID(TRIM(INDEX(PASTE_ALL,22,23)),1+(LEFT(TRIM(INDEX(PASTE_ALL,22,23)),1)="-"),999))-(RIGHT(MID(TRIM(INDEX(PASTE_ALL,22,23)),1+(LEFT(TRIM(INDEX(PASTE_ALL,22,23)),1)="-"),999),1)="%")),"0",""),"1",""),"2",""),"3",""),"4",""),"5",""),"6",""),"7",""),"8",""),"9",""),".",""),",","")=""),2,1))),1)</f>
        <v/>
      </c>
      <c r="AV71">
        <f>IFERROR(IF(ISNUMBER(INDEX(PASTE_ALL,22,24)),2,IF(TRIM(INDEX(PASTE_ALL,22,24))="",0,IF(AND(LEFT(MID(TRIM(INDEX(PASTE_ALL,22,24)),1+(LEFT(TRIM(INDEX(PASTE_ALL,22,24)),1)="-"),999),LEN(MID(TRIM(INDEX(PASTE_ALL,22,24)),1+(LEFT(TRIM(INDEX(PASTE_ALL,22,24)),1)="-"),999))-(RIGHT(MID(TRIM(INDEX(PASTE_ALL,22,24)),1+(LEFT(TRIM(INDEX(PASTE_ALL,22,24)),1)="-"),999),1)="%"))&lt;&gt;"",SUBSTITUTE(SUBSTITUTE(SUBSTITUTE(SUBSTITUTE(SUBSTITUTE(SUBSTITUTE(SUBSTITUTE(SUBSTITUTE(SUBSTITUTE(SUBSTITUTE(SUBSTITUTE(SUBSTITUTE(LEFT(MID(TRIM(INDEX(PASTE_ALL,22,24)),1+(LEFT(TRIM(INDEX(PASTE_ALL,22,24)),1)="-"),999),LEN(MID(TRIM(INDEX(PASTE_ALL,22,24)),1+(LEFT(TRIM(INDEX(PASTE_ALL,22,24)),1)="-"),999))-(RIGHT(MID(TRIM(INDEX(PASTE_ALL,22,24)),1+(LEFT(TRIM(INDEX(PASTE_ALL,22,24)),1)="-"),999),1)="%")),"0",""),"1",""),"2",""),"3",""),"4",""),"5",""),"6",""),"7",""),"8",""),"9",""),".",""),",","")=""),2,1))),1)</f>
        <v/>
      </c>
      <c r="AW71">
        <f>IFERROR(IF(ISNUMBER(INDEX(PASTE_ALL,22,25)),2,IF(TRIM(INDEX(PASTE_ALL,22,25))="",0,IF(AND(LEFT(MID(TRIM(INDEX(PASTE_ALL,22,25)),1+(LEFT(TRIM(INDEX(PASTE_ALL,22,25)),1)="-"),999),LEN(MID(TRIM(INDEX(PASTE_ALL,22,25)),1+(LEFT(TRIM(INDEX(PASTE_ALL,22,25)),1)="-"),999))-(RIGHT(MID(TRIM(INDEX(PASTE_ALL,22,25)),1+(LEFT(TRIM(INDEX(PASTE_ALL,22,25)),1)="-"),999),1)="%"))&lt;&gt;"",SUBSTITUTE(SUBSTITUTE(SUBSTITUTE(SUBSTITUTE(SUBSTITUTE(SUBSTITUTE(SUBSTITUTE(SUBSTITUTE(SUBSTITUTE(SUBSTITUTE(SUBSTITUTE(SUBSTITUTE(LEFT(MID(TRIM(INDEX(PASTE_ALL,22,25)),1+(LEFT(TRIM(INDEX(PASTE_ALL,22,25)),1)="-"),999),LEN(MID(TRIM(INDEX(PASTE_ALL,22,25)),1+(LEFT(TRIM(INDEX(PASTE_ALL,22,25)),1)="-"),999))-(RIGHT(MID(TRIM(INDEX(PASTE_ALL,22,25)),1+(LEFT(TRIM(INDEX(PASTE_ALL,22,25)),1)="-"),999),1)="%")),"0",""),"1",""),"2",""),"3",""),"4",""),"5",""),"6",""),"7",""),"8",""),"9",""),".",""),",","")=""),2,1))),1)</f>
        <v/>
      </c>
      <c r="AX71">
        <f>IFERROR(IF(ISNUMBER(INDEX(PASTE_ALL,22,26)),2,IF(TRIM(INDEX(PASTE_ALL,22,26))="",0,IF(AND(LEFT(MID(TRIM(INDEX(PASTE_ALL,22,26)),1+(LEFT(TRIM(INDEX(PASTE_ALL,22,26)),1)="-"),999),LEN(MID(TRIM(INDEX(PASTE_ALL,22,26)),1+(LEFT(TRIM(INDEX(PASTE_ALL,22,26)),1)="-"),999))-(RIGHT(MID(TRIM(INDEX(PASTE_ALL,22,26)),1+(LEFT(TRIM(INDEX(PASTE_ALL,22,26)),1)="-"),999),1)="%"))&lt;&gt;"",SUBSTITUTE(SUBSTITUTE(SUBSTITUTE(SUBSTITUTE(SUBSTITUTE(SUBSTITUTE(SUBSTITUTE(SUBSTITUTE(SUBSTITUTE(SUBSTITUTE(SUBSTITUTE(SUBSTITUTE(LEFT(MID(TRIM(INDEX(PASTE_ALL,22,26)),1+(LEFT(TRIM(INDEX(PASTE_ALL,22,26)),1)="-"),999),LEN(MID(TRIM(INDEX(PASTE_ALL,22,26)),1+(LEFT(TRIM(INDEX(PASTE_ALL,22,26)),1)="-"),999))-(RIGHT(MID(TRIM(INDEX(PASTE_ALL,22,26)),1+(LEFT(TRIM(INDEX(PASTE_ALL,22,26)),1)="-"),999),1)="%")),"0",""),"1",""),"2",""),"3",""),"4",""),"5",""),"6",""),"7",""),"8",""),"9",""),".",""),",","")=""),2,1))),1)</f>
        <v/>
      </c>
      <c r="AY71">
        <f>IFERROR(IF(ISNUMBER(INDEX(PASTE_ALL,22,27)),2,IF(TRIM(INDEX(PASTE_ALL,22,27))="",0,IF(AND(LEFT(MID(TRIM(INDEX(PASTE_ALL,22,27)),1+(LEFT(TRIM(INDEX(PASTE_ALL,22,27)),1)="-"),999),LEN(MID(TRIM(INDEX(PASTE_ALL,22,27)),1+(LEFT(TRIM(INDEX(PASTE_ALL,22,27)),1)="-"),999))-(RIGHT(MID(TRIM(INDEX(PASTE_ALL,22,27)),1+(LEFT(TRIM(INDEX(PASTE_ALL,22,27)),1)="-"),999),1)="%"))&lt;&gt;"",SUBSTITUTE(SUBSTITUTE(SUBSTITUTE(SUBSTITUTE(SUBSTITUTE(SUBSTITUTE(SUBSTITUTE(SUBSTITUTE(SUBSTITUTE(SUBSTITUTE(SUBSTITUTE(SUBSTITUTE(LEFT(MID(TRIM(INDEX(PASTE_ALL,22,27)),1+(LEFT(TRIM(INDEX(PASTE_ALL,22,27)),1)="-"),999),LEN(MID(TRIM(INDEX(PASTE_ALL,22,27)),1+(LEFT(TRIM(INDEX(PASTE_ALL,22,27)),1)="-"),999))-(RIGHT(MID(TRIM(INDEX(PASTE_ALL,22,27)),1+(LEFT(TRIM(INDEX(PASTE_ALL,22,27)),1)="-"),999),1)="%")),"0",""),"1",""),"2",""),"3",""),"4",""),"5",""),"6",""),"7",""),"8",""),"9",""),".",""),",","")=""),2,1))),1)</f>
        <v/>
      </c>
      <c r="AZ71">
        <f>IFERROR(IF(ISNUMBER(INDEX(PASTE_ALL,22,28)),2,IF(TRIM(INDEX(PASTE_ALL,22,28))="",0,IF(AND(LEFT(MID(TRIM(INDEX(PASTE_ALL,22,28)),1+(LEFT(TRIM(INDEX(PASTE_ALL,22,28)),1)="-"),999),LEN(MID(TRIM(INDEX(PASTE_ALL,22,28)),1+(LEFT(TRIM(INDEX(PASTE_ALL,22,28)),1)="-"),999))-(RIGHT(MID(TRIM(INDEX(PASTE_ALL,22,28)),1+(LEFT(TRIM(INDEX(PASTE_ALL,22,28)),1)="-"),999),1)="%"))&lt;&gt;"",SUBSTITUTE(SUBSTITUTE(SUBSTITUTE(SUBSTITUTE(SUBSTITUTE(SUBSTITUTE(SUBSTITUTE(SUBSTITUTE(SUBSTITUTE(SUBSTITUTE(SUBSTITUTE(SUBSTITUTE(LEFT(MID(TRIM(INDEX(PASTE_ALL,22,28)),1+(LEFT(TRIM(INDEX(PASTE_ALL,22,28)),1)="-"),999),LEN(MID(TRIM(INDEX(PASTE_ALL,22,28)),1+(LEFT(TRIM(INDEX(PASTE_ALL,22,28)),1)="-"),999))-(RIGHT(MID(TRIM(INDEX(PASTE_ALL,22,28)),1+(LEFT(TRIM(INDEX(PASTE_ALL,22,28)),1)="-"),999),1)="%")),"0",""),"1",""),"2",""),"3",""),"4",""),"5",""),"6",""),"7",""),"8",""),"9",""),".",""),",","")=""),2,1))),1)</f>
        <v/>
      </c>
      <c r="BA71">
        <f>IFERROR(IF(ISNUMBER(INDEX(PASTE_ALL,22,29)),2,IF(TRIM(INDEX(PASTE_ALL,22,29))="",0,IF(AND(LEFT(MID(TRIM(INDEX(PASTE_ALL,22,29)),1+(LEFT(TRIM(INDEX(PASTE_ALL,22,29)),1)="-"),999),LEN(MID(TRIM(INDEX(PASTE_ALL,22,29)),1+(LEFT(TRIM(INDEX(PASTE_ALL,22,29)),1)="-"),999))-(RIGHT(MID(TRIM(INDEX(PASTE_ALL,22,29)),1+(LEFT(TRIM(INDEX(PASTE_ALL,22,29)),1)="-"),999),1)="%"))&lt;&gt;"",SUBSTITUTE(SUBSTITUTE(SUBSTITUTE(SUBSTITUTE(SUBSTITUTE(SUBSTITUTE(SUBSTITUTE(SUBSTITUTE(SUBSTITUTE(SUBSTITUTE(SUBSTITUTE(SUBSTITUTE(LEFT(MID(TRIM(INDEX(PASTE_ALL,22,29)),1+(LEFT(TRIM(INDEX(PASTE_ALL,22,29)),1)="-"),999),LEN(MID(TRIM(INDEX(PASTE_ALL,22,29)),1+(LEFT(TRIM(INDEX(PASTE_ALL,22,29)),1)="-"),999))-(RIGHT(MID(TRIM(INDEX(PASTE_ALL,22,29)),1+(LEFT(TRIM(INDEX(PASTE_ALL,22,29)),1)="-"),999),1)="%")),"0",""),"1",""),"2",""),"3",""),"4",""),"5",""),"6",""),"7",""),"8",""),"9",""),".",""),",","")=""),2,1))),1)</f>
        <v/>
      </c>
      <c r="BB71">
        <f>IFERROR(IF(ISNUMBER(INDEX(PASTE_ALL,22,30)),2,IF(TRIM(INDEX(PASTE_ALL,22,30))="",0,IF(AND(LEFT(MID(TRIM(INDEX(PASTE_ALL,22,30)),1+(LEFT(TRIM(INDEX(PASTE_ALL,22,30)),1)="-"),999),LEN(MID(TRIM(INDEX(PASTE_ALL,22,30)),1+(LEFT(TRIM(INDEX(PASTE_ALL,22,30)),1)="-"),999))-(RIGHT(MID(TRIM(INDEX(PASTE_ALL,22,30)),1+(LEFT(TRIM(INDEX(PASTE_ALL,22,30)),1)="-"),999),1)="%"))&lt;&gt;"",SUBSTITUTE(SUBSTITUTE(SUBSTITUTE(SUBSTITUTE(SUBSTITUTE(SUBSTITUTE(SUBSTITUTE(SUBSTITUTE(SUBSTITUTE(SUBSTITUTE(SUBSTITUTE(SUBSTITUTE(LEFT(MID(TRIM(INDEX(PASTE_ALL,22,30)),1+(LEFT(TRIM(INDEX(PASTE_ALL,22,30)),1)="-"),999),LEN(MID(TRIM(INDEX(PASTE_ALL,22,30)),1+(LEFT(TRIM(INDEX(PASTE_ALL,22,30)),1)="-"),999))-(RIGHT(MID(TRIM(INDEX(PASTE_ALL,22,30)),1+(LEFT(TRIM(INDEX(PASTE_ALL,22,30)),1)="-"),999),1)="%")),"0",""),"1",""),"2",""),"3",""),"4",""),"5",""),"6",""),"7",""),"8",""),"9",""),".",""),",","")=""),2,1))),1)</f>
        <v/>
      </c>
      <c r="BC71">
        <f>IFERROR(IF(ISNUMBER(INDEX(PASTE_ALL,22,31)),2,IF(TRIM(INDEX(PASTE_ALL,22,31))="",0,IF(AND(LEFT(MID(TRIM(INDEX(PASTE_ALL,22,31)),1+(LEFT(TRIM(INDEX(PASTE_ALL,22,31)),1)="-"),999),LEN(MID(TRIM(INDEX(PASTE_ALL,22,31)),1+(LEFT(TRIM(INDEX(PASTE_ALL,22,31)),1)="-"),999))-(RIGHT(MID(TRIM(INDEX(PASTE_ALL,22,31)),1+(LEFT(TRIM(INDEX(PASTE_ALL,22,31)),1)="-"),999),1)="%"))&lt;&gt;"",SUBSTITUTE(SUBSTITUTE(SUBSTITUTE(SUBSTITUTE(SUBSTITUTE(SUBSTITUTE(SUBSTITUTE(SUBSTITUTE(SUBSTITUTE(SUBSTITUTE(SUBSTITUTE(SUBSTITUTE(LEFT(MID(TRIM(INDEX(PASTE_ALL,22,31)),1+(LEFT(TRIM(INDEX(PASTE_ALL,22,31)),1)="-"),999),LEN(MID(TRIM(INDEX(PASTE_ALL,22,31)),1+(LEFT(TRIM(INDEX(PASTE_ALL,22,31)),1)="-"),999))-(RIGHT(MID(TRIM(INDEX(PASTE_ALL,22,31)),1+(LEFT(TRIM(INDEX(PASTE_ALL,22,31)),1)="-"),999),1)="%")),"0",""),"1",""),"2",""),"3",""),"4",""),"5",""),"6",""),"7",""),"8",""),"9",""),".",""),",","")=""),2,1))),1)</f>
        <v/>
      </c>
      <c r="BD71">
        <f>IFERROR(IF(ISNUMBER(INDEX(PASTE_ALL,22,32)),2,IF(TRIM(INDEX(PASTE_ALL,22,32))="",0,IF(AND(LEFT(MID(TRIM(INDEX(PASTE_ALL,22,32)),1+(LEFT(TRIM(INDEX(PASTE_ALL,22,32)),1)="-"),999),LEN(MID(TRIM(INDEX(PASTE_ALL,22,32)),1+(LEFT(TRIM(INDEX(PASTE_ALL,22,32)),1)="-"),999))-(RIGHT(MID(TRIM(INDEX(PASTE_ALL,22,32)),1+(LEFT(TRIM(INDEX(PASTE_ALL,22,32)),1)="-"),999),1)="%"))&lt;&gt;"",SUBSTITUTE(SUBSTITUTE(SUBSTITUTE(SUBSTITUTE(SUBSTITUTE(SUBSTITUTE(SUBSTITUTE(SUBSTITUTE(SUBSTITUTE(SUBSTITUTE(SUBSTITUTE(SUBSTITUTE(LEFT(MID(TRIM(INDEX(PASTE_ALL,22,32)),1+(LEFT(TRIM(INDEX(PASTE_ALL,22,32)),1)="-"),999),LEN(MID(TRIM(INDEX(PASTE_ALL,22,32)),1+(LEFT(TRIM(INDEX(PASTE_ALL,22,32)),1)="-"),999))-(RIGHT(MID(TRIM(INDEX(PASTE_ALL,22,32)),1+(LEFT(TRIM(INDEX(PASTE_ALL,22,32)),1)="-"),999),1)="%")),"0",""),"1",""),"2",""),"3",""),"4",""),"5",""),"6",""),"7",""),"8",""),"9",""),".",""),",","")=""),2,1))),1)</f>
        <v/>
      </c>
      <c r="BE71">
        <f>IFERROR(IF(ISNUMBER(INDEX(PASTE_ALL,22,33)),2,IF(TRIM(INDEX(PASTE_ALL,22,33))="",0,IF(AND(LEFT(MID(TRIM(INDEX(PASTE_ALL,22,33)),1+(LEFT(TRIM(INDEX(PASTE_ALL,22,33)),1)="-"),999),LEN(MID(TRIM(INDEX(PASTE_ALL,22,33)),1+(LEFT(TRIM(INDEX(PASTE_ALL,22,33)),1)="-"),999))-(RIGHT(MID(TRIM(INDEX(PASTE_ALL,22,33)),1+(LEFT(TRIM(INDEX(PASTE_ALL,22,33)),1)="-"),999),1)="%"))&lt;&gt;"",SUBSTITUTE(SUBSTITUTE(SUBSTITUTE(SUBSTITUTE(SUBSTITUTE(SUBSTITUTE(SUBSTITUTE(SUBSTITUTE(SUBSTITUTE(SUBSTITUTE(SUBSTITUTE(SUBSTITUTE(LEFT(MID(TRIM(INDEX(PASTE_ALL,22,33)),1+(LEFT(TRIM(INDEX(PASTE_ALL,22,33)),1)="-"),999),LEN(MID(TRIM(INDEX(PASTE_ALL,22,33)),1+(LEFT(TRIM(INDEX(PASTE_ALL,22,33)),1)="-"),999))-(RIGHT(MID(TRIM(INDEX(PASTE_ALL,22,33)),1+(LEFT(TRIM(INDEX(PASTE_ALL,22,33)),1)="-"),999),1)="%")),"0",""),"1",""),"2",""),"3",""),"4",""),"5",""),"6",""),"7",""),"8",""),"9",""),".",""),",","")=""),2,1))),1)</f>
        <v/>
      </c>
      <c r="BF71">
        <f>IFERROR(IF(ISNUMBER(INDEX(PASTE_ALL,22,34)),2,IF(TRIM(INDEX(PASTE_ALL,22,34))="",0,IF(AND(LEFT(MID(TRIM(INDEX(PASTE_ALL,22,34)),1+(LEFT(TRIM(INDEX(PASTE_ALL,22,34)),1)="-"),999),LEN(MID(TRIM(INDEX(PASTE_ALL,22,34)),1+(LEFT(TRIM(INDEX(PASTE_ALL,22,34)),1)="-"),999))-(RIGHT(MID(TRIM(INDEX(PASTE_ALL,22,34)),1+(LEFT(TRIM(INDEX(PASTE_ALL,22,34)),1)="-"),999),1)="%"))&lt;&gt;"",SUBSTITUTE(SUBSTITUTE(SUBSTITUTE(SUBSTITUTE(SUBSTITUTE(SUBSTITUTE(SUBSTITUTE(SUBSTITUTE(SUBSTITUTE(SUBSTITUTE(SUBSTITUTE(SUBSTITUTE(LEFT(MID(TRIM(INDEX(PASTE_ALL,22,34)),1+(LEFT(TRIM(INDEX(PASTE_ALL,22,34)),1)="-"),999),LEN(MID(TRIM(INDEX(PASTE_ALL,22,34)),1+(LEFT(TRIM(INDEX(PASTE_ALL,22,34)),1)="-"),999))-(RIGHT(MID(TRIM(INDEX(PASTE_ALL,22,34)),1+(LEFT(TRIM(INDEX(PASTE_ALL,22,34)),1)="-"),999),1)="%")),"0",""),"1",""),"2",""),"3",""),"4",""),"5",""),"6",""),"7",""),"8",""),"9",""),".",""),",","")=""),2,1))),1)</f>
        <v/>
      </c>
      <c r="BG71">
        <f>IFERROR(IF(ISNUMBER(INDEX(PASTE_ALL,22,35)),2,IF(TRIM(INDEX(PASTE_ALL,22,35))="",0,IF(AND(LEFT(MID(TRIM(INDEX(PASTE_ALL,22,35)),1+(LEFT(TRIM(INDEX(PASTE_ALL,22,35)),1)="-"),999),LEN(MID(TRIM(INDEX(PASTE_ALL,22,35)),1+(LEFT(TRIM(INDEX(PASTE_ALL,22,35)),1)="-"),999))-(RIGHT(MID(TRIM(INDEX(PASTE_ALL,22,35)),1+(LEFT(TRIM(INDEX(PASTE_ALL,22,35)),1)="-"),999),1)="%"))&lt;&gt;"",SUBSTITUTE(SUBSTITUTE(SUBSTITUTE(SUBSTITUTE(SUBSTITUTE(SUBSTITUTE(SUBSTITUTE(SUBSTITUTE(SUBSTITUTE(SUBSTITUTE(SUBSTITUTE(SUBSTITUTE(LEFT(MID(TRIM(INDEX(PASTE_ALL,22,35)),1+(LEFT(TRIM(INDEX(PASTE_ALL,22,35)),1)="-"),999),LEN(MID(TRIM(INDEX(PASTE_ALL,22,35)),1+(LEFT(TRIM(INDEX(PASTE_ALL,22,35)),1)="-"),999))-(RIGHT(MID(TRIM(INDEX(PASTE_ALL,22,35)),1+(LEFT(TRIM(INDEX(PASTE_ALL,22,35)),1)="-"),999),1)="%")),"0",""),"1",""),"2",""),"3",""),"4",""),"5",""),"6",""),"7",""),"8",""),"9",""),".",""),",","")=""),2,1))),1)</f>
        <v/>
      </c>
      <c r="BH71">
        <f>IFERROR(IF(ISNUMBER(INDEX(PASTE_ALL,22,36)),2,IF(TRIM(INDEX(PASTE_ALL,22,36))="",0,IF(AND(LEFT(MID(TRIM(INDEX(PASTE_ALL,22,36)),1+(LEFT(TRIM(INDEX(PASTE_ALL,22,36)),1)="-"),999),LEN(MID(TRIM(INDEX(PASTE_ALL,22,36)),1+(LEFT(TRIM(INDEX(PASTE_ALL,22,36)),1)="-"),999))-(RIGHT(MID(TRIM(INDEX(PASTE_ALL,22,36)),1+(LEFT(TRIM(INDEX(PASTE_ALL,22,36)),1)="-"),999),1)="%"))&lt;&gt;"",SUBSTITUTE(SUBSTITUTE(SUBSTITUTE(SUBSTITUTE(SUBSTITUTE(SUBSTITUTE(SUBSTITUTE(SUBSTITUTE(SUBSTITUTE(SUBSTITUTE(SUBSTITUTE(SUBSTITUTE(LEFT(MID(TRIM(INDEX(PASTE_ALL,22,36)),1+(LEFT(TRIM(INDEX(PASTE_ALL,22,36)),1)="-"),999),LEN(MID(TRIM(INDEX(PASTE_ALL,22,36)),1+(LEFT(TRIM(INDEX(PASTE_ALL,22,36)),1)="-"),999))-(RIGHT(MID(TRIM(INDEX(PASTE_ALL,22,36)),1+(LEFT(TRIM(INDEX(PASTE_ALL,22,36)),1)="-"),999),1)="%")),"0",""),"1",""),"2",""),"3",""),"4",""),"5",""),"6",""),"7",""),"8",""),"9",""),".",""),",","")=""),2,1))),1)</f>
        <v/>
      </c>
      <c r="BI71">
        <f>IFERROR(IF(ISNUMBER(INDEX(PASTE_ALL,22,37)),2,IF(TRIM(INDEX(PASTE_ALL,22,37))="",0,IF(AND(LEFT(MID(TRIM(INDEX(PASTE_ALL,22,37)),1+(LEFT(TRIM(INDEX(PASTE_ALL,22,37)),1)="-"),999),LEN(MID(TRIM(INDEX(PASTE_ALL,22,37)),1+(LEFT(TRIM(INDEX(PASTE_ALL,22,37)),1)="-"),999))-(RIGHT(MID(TRIM(INDEX(PASTE_ALL,22,37)),1+(LEFT(TRIM(INDEX(PASTE_ALL,22,37)),1)="-"),999),1)="%"))&lt;&gt;"",SUBSTITUTE(SUBSTITUTE(SUBSTITUTE(SUBSTITUTE(SUBSTITUTE(SUBSTITUTE(SUBSTITUTE(SUBSTITUTE(SUBSTITUTE(SUBSTITUTE(SUBSTITUTE(SUBSTITUTE(LEFT(MID(TRIM(INDEX(PASTE_ALL,22,37)),1+(LEFT(TRIM(INDEX(PASTE_ALL,22,37)),1)="-"),999),LEN(MID(TRIM(INDEX(PASTE_ALL,22,37)),1+(LEFT(TRIM(INDEX(PASTE_ALL,22,37)),1)="-"),999))-(RIGHT(MID(TRIM(INDEX(PASTE_ALL,22,37)),1+(LEFT(TRIM(INDEX(PASTE_ALL,22,37)),1)="-"),999),1)="%")),"0",""),"1",""),"2",""),"3",""),"4",""),"5",""),"6",""),"7",""),"8",""),"9",""),".",""),",","")=""),2,1))),1)</f>
        <v/>
      </c>
      <c r="BJ71">
        <f>IFERROR(IF(ISNUMBER(INDEX(PASTE_ALL,22,38)),2,IF(TRIM(INDEX(PASTE_ALL,22,38))="",0,IF(AND(LEFT(MID(TRIM(INDEX(PASTE_ALL,22,38)),1+(LEFT(TRIM(INDEX(PASTE_ALL,22,38)),1)="-"),999),LEN(MID(TRIM(INDEX(PASTE_ALL,22,38)),1+(LEFT(TRIM(INDEX(PASTE_ALL,22,38)),1)="-"),999))-(RIGHT(MID(TRIM(INDEX(PASTE_ALL,22,38)),1+(LEFT(TRIM(INDEX(PASTE_ALL,22,38)),1)="-"),999),1)="%"))&lt;&gt;"",SUBSTITUTE(SUBSTITUTE(SUBSTITUTE(SUBSTITUTE(SUBSTITUTE(SUBSTITUTE(SUBSTITUTE(SUBSTITUTE(SUBSTITUTE(SUBSTITUTE(SUBSTITUTE(SUBSTITUTE(LEFT(MID(TRIM(INDEX(PASTE_ALL,22,38)),1+(LEFT(TRIM(INDEX(PASTE_ALL,22,38)),1)="-"),999),LEN(MID(TRIM(INDEX(PASTE_ALL,22,38)),1+(LEFT(TRIM(INDEX(PASTE_ALL,22,38)),1)="-"),999))-(RIGHT(MID(TRIM(INDEX(PASTE_ALL,22,38)),1+(LEFT(TRIM(INDEX(PASTE_ALL,22,38)),1)="-"),999),1)="%")),"0",""),"1",""),"2",""),"3",""),"4",""),"5",""),"6",""),"7",""),"8",""),"9",""),".",""),",","")=""),2,1))),1)</f>
        <v/>
      </c>
      <c r="BK71">
        <f>IFERROR(IF(ISNUMBER(INDEX(PASTE_ALL,22,39)),2,IF(TRIM(INDEX(PASTE_ALL,22,39))="",0,IF(AND(LEFT(MID(TRIM(INDEX(PASTE_ALL,22,39)),1+(LEFT(TRIM(INDEX(PASTE_ALL,22,39)),1)="-"),999),LEN(MID(TRIM(INDEX(PASTE_ALL,22,39)),1+(LEFT(TRIM(INDEX(PASTE_ALL,22,39)),1)="-"),999))-(RIGHT(MID(TRIM(INDEX(PASTE_ALL,22,39)),1+(LEFT(TRIM(INDEX(PASTE_ALL,22,39)),1)="-"),999),1)="%"))&lt;&gt;"",SUBSTITUTE(SUBSTITUTE(SUBSTITUTE(SUBSTITUTE(SUBSTITUTE(SUBSTITUTE(SUBSTITUTE(SUBSTITUTE(SUBSTITUTE(SUBSTITUTE(SUBSTITUTE(SUBSTITUTE(LEFT(MID(TRIM(INDEX(PASTE_ALL,22,39)),1+(LEFT(TRIM(INDEX(PASTE_ALL,22,39)),1)="-"),999),LEN(MID(TRIM(INDEX(PASTE_ALL,22,39)),1+(LEFT(TRIM(INDEX(PASTE_ALL,22,39)),1)="-"),999))-(RIGHT(MID(TRIM(INDEX(PASTE_ALL,22,39)),1+(LEFT(TRIM(INDEX(PASTE_ALL,22,39)),1)="-"),999),1)="%")),"0",""),"1",""),"2",""),"3",""),"4",""),"5",""),"6",""),"7",""),"8",""),"9",""),".",""),",","")=""),2,1))),1)</f>
        <v/>
      </c>
      <c r="BL71">
        <f>IFERROR(IF(ISNUMBER(INDEX(PASTE_ALL,22,40)),2,IF(TRIM(INDEX(PASTE_ALL,22,40))="",0,IF(AND(LEFT(MID(TRIM(INDEX(PASTE_ALL,22,40)),1+(LEFT(TRIM(INDEX(PASTE_ALL,22,40)),1)="-"),999),LEN(MID(TRIM(INDEX(PASTE_ALL,22,40)),1+(LEFT(TRIM(INDEX(PASTE_ALL,22,40)),1)="-"),999))-(RIGHT(MID(TRIM(INDEX(PASTE_ALL,22,40)),1+(LEFT(TRIM(INDEX(PASTE_ALL,22,40)),1)="-"),999),1)="%"))&lt;&gt;"",SUBSTITUTE(SUBSTITUTE(SUBSTITUTE(SUBSTITUTE(SUBSTITUTE(SUBSTITUTE(SUBSTITUTE(SUBSTITUTE(SUBSTITUTE(SUBSTITUTE(SUBSTITUTE(SUBSTITUTE(LEFT(MID(TRIM(INDEX(PASTE_ALL,22,40)),1+(LEFT(TRIM(INDEX(PASTE_ALL,22,40)),1)="-"),999),LEN(MID(TRIM(INDEX(PASTE_ALL,22,40)),1+(LEFT(TRIM(INDEX(PASTE_ALL,22,40)),1)="-"),999))-(RIGHT(MID(TRIM(INDEX(PASTE_ALL,22,40)),1+(LEFT(TRIM(INDEX(PASTE_ALL,22,40)),1)="-"),999),1)="%")),"0",""),"1",""),"2",""),"3",""),"4",""),"5",""),"6",""),"7",""),"8",""),"9",""),".",""),",","")=""),2,1))),1)</f>
        <v/>
      </c>
      <c r="BM71">
        <f>IFERROR(IF(ISNUMBER(INDEX(PASTE_ALL,22,41)),2,IF(TRIM(INDEX(PASTE_ALL,22,41))="",0,IF(AND(LEFT(MID(TRIM(INDEX(PASTE_ALL,22,41)),1+(LEFT(TRIM(INDEX(PASTE_ALL,22,41)),1)="-"),999),LEN(MID(TRIM(INDEX(PASTE_ALL,22,41)),1+(LEFT(TRIM(INDEX(PASTE_ALL,22,41)),1)="-"),999))-(RIGHT(MID(TRIM(INDEX(PASTE_ALL,22,41)),1+(LEFT(TRIM(INDEX(PASTE_ALL,22,41)),1)="-"),999),1)="%"))&lt;&gt;"",SUBSTITUTE(SUBSTITUTE(SUBSTITUTE(SUBSTITUTE(SUBSTITUTE(SUBSTITUTE(SUBSTITUTE(SUBSTITUTE(SUBSTITUTE(SUBSTITUTE(SUBSTITUTE(SUBSTITUTE(LEFT(MID(TRIM(INDEX(PASTE_ALL,22,41)),1+(LEFT(TRIM(INDEX(PASTE_ALL,22,41)),1)="-"),999),LEN(MID(TRIM(INDEX(PASTE_ALL,22,41)),1+(LEFT(TRIM(INDEX(PASTE_ALL,22,41)),1)="-"),999))-(RIGHT(MID(TRIM(INDEX(PASTE_ALL,22,41)),1+(LEFT(TRIM(INDEX(PASTE_ALL,22,41)),1)="-"),999),1)="%")),"0",""),"1",""),"2",""),"3",""),"4",""),"5",""),"6",""),"7",""),"8",""),"9",""),".",""),",","")=""),2,1))),1)</f>
        <v/>
      </c>
      <c r="BN71">
        <f>IFERROR(IF(ISNUMBER(INDEX(PASTE_ALL,22,42)),2,IF(TRIM(INDEX(PASTE_ALL,22,42))="",0,IF(AND(LEFT(MID(TRIM(INDEX(PASTE_ALL,22,42)),1+(LEFT(TRIM(INDEX(PASTE_ALL,22,42)),1)="-"),999),LEN(MID(TRIM(INDEX(PASTE_ALL,22,42)),1+(LEFT(TRIM(INDEX(PASTE_ALL,22,42)),1)="-"),999))-(RIGHT(MID(TRIM(INDEX(PASTE_ALL,22,42)),1+(LEFT(TRIM(INDEX(PASTE_ALL,22,42)),1)="-"),999),1)="%"))&lt;&gt;"",SUBSTITUTE(SUBSTITUTE(SUBSTITUTE(SUBSTITUTE(SUBSTITUTE(SUBSTITUTE(SUBSTITUTE(SUBSTITUTE(SUBSTITUTE(SUBSTITUTE(SUBSTITUTE(SUBSTITUTE(LEFT(MID(TRIM(INDEX(PASTE_ALL,22,42)),1+(LEFT(TRIM(INDEX(PASTE_ALL,22,42)),1)="-"),999),LEN(MID(TRIM(INDEX(PASTE_ALL,22,42)),1+(LEFT(TRIM(INDEX(PASTE_ALL,22,42)),1)="-"),999))-(RIGHT(MID(TRIM(INDEX(PASTE_ALL,22,42)),1+(LEFT(TRIM(INDEX(PASTE_ALL,22,42)),1)="-"),999),1)="%")),"0",""),"1",""),"2",""),"3",""),"4",""),"5",""),"6",""),"7",""),"8",""),"9",""),".",""),",","")=""),2,1))),1)</f>
        <v/>
      </c>
      <c r="BO71">
        <f>IFERROR(IF(ISNUMBER(INDEX(PASTE_ALL,22,43)),2,IF(TRIM(INDEX(PASTE_ALL,22,43))="",0,IF(AND(LEFT(MID(TRIM(INDEX(PASTE_ALL,22,43)),1+(LEFT(TRIM(INDEX(PASTE_ALL,22,43)),1)="-"),999),LEN(MID(TRIM(INDEX(PASTE_ALL,22,43)),1+(LEFT(TRIM(INDEX(PASTE_ALL,22,43)),1)="-"),999))-(RIGHT(MID(TRIM(INDEX(PASTE_ALL,22,43)),1+(LEFT(TRIM(INDEX(PASTE_ALL,22,43)),1)="-"),999),1)="%"))&lt;&gt;"",SUBSTITUTE(SUBSTITUTE(SUBSTITUTE(SUBSTITUTE(SUBSTITUTE(SUBSTITUTE(SUBSTITUTE(SUBSTITUTE(SUBSTITUTE(SUBSTITUTE(SUBSTITUTE(SUBSTITUTE(LEFT(MID(TRIM(INDEX(PASTE_ALL,22,43)),1+(LEFT(TRIM(INDEX(PASTE_ALL,22,43)),1)="-"),999),LEN(MID(TRIM(INDEX(PASTE_ALL,22,43)),1+(LEFT(TRIM(INDEX(PASTE_ALL,22,43)),1)="-"),999))-(RIGHT(MID(TRIM(INDEX(PASTE_ALL,22,43)),1+(LEFT(TRIM(INDEX(PASTE_ALL,22,43)),1)="-"),999),1)="%")),"0",""),"1",""),"2",""),"3",""),"4",""),"5",""),"6",""),"7",""),"8",""),"9",""),".",""),",","")=""),2,1))),1)</f>
        <v/>
      </c>
      <c r="BP71">
        <f>IFERROR(IF(ISNUMBER(INDEX(PASTE_ALL,22,44)),2,IF(TRIM(INDEX(PASTE_ALL,22,44))="",0,IF(AND(LEFT(MID(TRIM(INDEX(PASTE_ALL,22,44)),1+(LEFT(TRIM(INDEX(PASTE_ALL,22,44)),1)="-"),999),LEN(MID(TRIM(INDEX(PASTE_ALL,22,44)),1+(LEFT(TRIM(INDEX(PASTE_ALL,22,44)),1)="-"),999))-(RIGHT(MID(TRIM(INDEX(PASTE_ALL,22,44)),1+(LEFT(TRIM(INDEX(PASTE_ALL,22,44)),1)="-"),999),1)="%"))&lt;&gt;"",SUBSTITUTE(SUBSTITUTE(SUBSTITUTE(SUBSTITUTE(SUBSTITUTE(SUBSTITUTE(SUBSTITUTE(SUBSTITUTE(SUBSTITUTE(SUBSTITUTE(SUBSTITUTE(SUBSTITUTE(LEFT(MID(TRIM(INDEX(PASTE_ALL,22,44)),1+(LEFT(TRIM(INDEX(PASTE_ALL,22,44)),1)="-"),999),LEN(MID(TRIM(INDEX(PASTE_ALL,22,44)),1+(LEFT(TRIM(INDEX(PASTE_ALL,22,44)),1)="-"),999))-(RIGHT(MID(TRIM(INDEX(PASTE_ALL,22,44)),1+(LEFT(TRIM(INDEX(PASTE_ALL,22,44)),1)="-"),999),1)="%")),"0",""),"1",""),"2",""),"3",""),"4",""),"5",""),"6",""),"7",""),"8",""),"9",""),".",""),",","")=""),2,1))),1)</f>
        <v/>
      </c>
      <c r="BQ71">
        <f>IFERROR(IF(ISNUMBER(INDEX(PASTE_ALL,22,45)),2,IF(TRIM(INDEX(PASTE_ALL,22,45))="",0,IF(AND(LEFT(MID(TRIM(INDEX(PASTE_ALL,22,45)),1+(LEFT(TRIM(INDEX(PASTE_ALL,22,45)),1)="-"),999),LEN(MID(TRIM(INDEX(PASTE_ALL,22,45)),1+(LEFT(TRIM(INDEX(PASTE_ALL,22,45)),1)="-"),999))-(RIGHT(MID(TRIM(INDEX(PASTE_ALL,22,45)),1+(LEFT(TRIM(INDEX(PASTE_ALL,22,45)),1)="-"),999),1)="%"))&lt;&gt;"",SUBSTITUTE(SUBSTITUTE(SUBSTITUTE(SUBSTITUTE(SUBSTITUTE(SUBSTITUTE(SUBSTITUTE(SUBSTITUTE(SUBSTITUTE(SUBSTITUTE(SUBSTITUTE(SUBSTITUTE(LEFT(MID(TRIM(INDEX(PASTE_ALL,22,45)),1+(LEFT(TRIM(INDEX(PASTE_ALL,22,45)),1)="-"),999),LEN(MID(TRIM(INDEX(PASTE_ALL,22,45)),1+(LEFT(TRIM(INDEX(PASTE_ALL,22,45)),1)="-"),999))-(RIGHT(MID(TRIM(INDEX(PASTE_ALL,22,45)),1+(LEFT(TRIM(INDEX(PASTE_ALL,22,45)),1)="-"),999),1)="%")),"0",""),"1",""),"2",""),"3",""),"4",""),"5",""),"6",""),"7",""),"8",""),"9",""),".",""),",","")=""),2,1))),1)</f>
        <v/>
      </c>
      <c r="BR71">
        <f>IFERROR(IF(ISNUMBER(INDEX(PASTE_ALL,22,46)),2,IF(TRIM(INDEX(PASTE_ALL,22,46))="",0,IF(AND(LEFT(MID(TRIM(INDEX(PASTE_ALL,22,46)),1+(LEFT(TRIM(INDEX(PASTE_ALL,22,46)),1)="-"),999),LEN(MID(TRIM(INDEX(PASTE_ALL,22,46)),1+(LEFT(TRIM(INDEX(PASTE_ALL,22,46)),1)="-"),999))-(RIGHT(MID(TRIM(INDEX(PASTE_ALL,22,46)),1+(LEFT(TRIM(INDEX(PASTE_ALL,22,46)),1)="-"),999),1)="%"))&lt;&gt;"",SUBSTITUTE(SUBSTITUTE(SUBSTITUTE(SUBSTITUTE(SUBSTITUTE(SUBSTITUTE(SUBSTITUTE(SUBSTITUTE(SUBSTITUTE(SUBSTITUTE(SUBSTITUTE(SUBSTITUTE(LEFT(MID(TRIM(INDEX(PASTE_ALL,22,46)),1+(LEFT(TRIM(INDEX(PASTE_ALL,22,46)),1)="-"),999),LEN(MID(TRIM(INDEX(PASTE_ALL,22,46)),1+(LEFT(TRIM(INDEX(PASTE_ALL,22,46)),1)="-"),999))-(RIGHT(MID(TRIM(INDEX(PASTE_ALL,22,46)),1+(LEFT(TRIM(INDEX(PASTE_ALL,22,46)),1)="-"),999),1)="%")),"0",""),"1",""),"2",""),"3",""),"4",""),"5",""),"6",""),"7",""),"8",""),"9",""),".",""),",","")=""),2,1))),1)</f>
        <v/>
      </c>
      <c r="BS71">
        <f>IFERROR(IF(ISNUMBER(INDEX(PASTE_ALL,22,47)),2,IF(TRIM(INDEX(PASTE_ALL,22,47))="",0,IF(AND(LEFT(MID(TRIM(INDEX(PASTE_ALL,22,47)),1+(LEFT(TRIM(INDEX(PASTE_ALL,22,47)),1)="-"),999),LEN(MID(TRIM(INDEX(PASTE_ALL,22,47)),1+(LEFT(TRIM(INDEX(PASTE_ALL,22,47)),1)="-"),999))-(RIGHT(MID(TRIM(INDEX(PASTE_ALL,22,47)),1+(LEFT(TRIM(INDEX(PASTE_ALL,22,47)),1)="-"),999),1)="%"))&lt;&gt;"",SUBSTITUTE(SUBSTITUTE(SUBSTITUTE(SUBSTITUTE(SUBSTITUTE(SUBSTITUTE(SUBSTITUTE(SUBSTITUTE(SUBSTITUTE(SUBSTITUTE(SUBSTITUTE(SUBSTITUTE(LEFT(MID(TRIM(INDEX(PASTE_ALL,22,47)),1+(LEFT(TRIM(INDEX(PASTE_ALL,22,47)),1)="-"),999),LEN(MID(TRIM(INDEX(PASTE_ALL,22,47)),1+(LEFT(TRIM(INDEX(PASTE_ALL,22,47)),1)="-"),999))-(RIGHT(MID(TRIM(INDEX(PASTE_ALL,22,47)),1+(LEFT(TRIM(INDEX(PASTE_ALL,22,47)),1)="-"),999),1)="%")),"0",""),"1",""),"2",""),"3",""),"4",""),"5",""),"6",""),"7",""),"8",""),"9",""),".",""),",","")=""),2,1))),1)</f>
        <v/>
      </c>
      <c r="BT71">
        <f>IFERROR(IF(ISNUMBER(INDEX(PASTE_ALL,22,48)),2,IF(TRIM(INDEX(PASTE_ALL,22,48))="",0,IF(AND(LEFT(MID(TRIM(INDEX(PASTE_ALL,22,48)),1+(LEFT(TRIM(INDEX(PASTE_ALL,22,48)),1)="-"),999),LEN(MID(TRIM(INDEX(PASTE_ALL,22,48)),1+(LEFT(TRIM(INDEX(PASTE_ALL,22,48)),1)="-"),999))-(RIGHT(MID(TRIM(INDEX(PASTE_ALL,22,48)),1+(LEFT(TRIM(INDEX(PASTE_ALL,22,48)),1)="-"),999),1)="%"))&lt;&gt;"",SUBSTITUTE(SUBSTITUTE(SUBSTITUTE(SUBSTITUTE(SUBSTITUTE(SUBSTITUTE(SUBSTITUTE(SUBSTITUTE(SUBSTITUTE(SUBSTITUTE(SUBSTITUTE(SUBSTITUTE(LEFT(MID(TRIM(INDEX(PASTE_ALL,22,48)),1+(LEFT(TRIM(INDEX(PASTE_ALL,22,48)),1)="-"),999),LEN(MID(TRIM(INDEX(PASTE_ALL,22,48)),1+(LEFT(TRIM(INDEX(PASTE_ALL,22,48)),1)="-"),999))-(RIGHT(MID(TRIM(INDEX(PASTE_ALL,22,48)),1+(LEFT(TRIM(INDEX(PASTE_ALL,22,48)),1)="-"),999),1)="%")),"0",""),"1",""),"2",""),"3",""),"4",""),"5",""),"6",""),"7",""),"8",""),"9",""),".",""),",","")=""),2,1))),1)</f>
        <v/>
      </c>
      <c r="BU71">
        <f>IFERROR(IF(ISNUMBER(INDEX(PASTE_ALL,22,49)),2,IF(TRIM(INDEX(PASTE_ALL,22,49))="",0,IF(AND(LEFT(MID(TRIM(INDEX(PASTE_ALL,22,49)),1+(LEFT(TRIM(INDEX(PASTE_ALL,22,49)),1)="-"),999),LEN(MID(TRIM(INDEX(PASTE_ALL,22,49)),1+(LEFT(TRIM(INDEX(PASTE_ALL,22,49)),1)="-"),999))-(RIGHT(MID(TRIM(INDEX(PASTE_ALL,22,49)),1+(LEFT(TRIM(INDEX(PASTE_ALL,22,49)),1)="-"),999),1)="%"))&lt;&gt;"",SUBSTITUTE(SUBSTITUTE(SUBSTITUTE(SUBSTITUTE(SUBSTITUTE(SUBSTITUTE(SUBSTITUTE(SUBSTITUTE(SUBSTITUTE(SUBSTITUTE(SUBSTITUTE(SUBSTITUTE(LEFT(MID(TRIM(INDEX(PASTE_ALL,22,49)),1+(LEFT(TRIM(INDEX(PASTE_ALL,22,49)),1)="-"),999),LEN(MID(TRIM(INDEX(PASTE_ALL,22,49)),1+(LEFT(TRIM(INDEX(PASTE_ALL,22,49)),1)="-"),999))-(RIGHT(MID(TRIM(INDEX(PASTE_ALL,22,49)),1+(LEFT(TRIM(INDEX(PASTE_ALL,22,49)),1)="-"),999),1)="%")),"0",""),"1",""),"2",""),"3",""),"4",""),"5",""),"6",""),"7",""),"8",""),"9",""),".",""),",","")=""),2,1))),1)</f>
        <v/>
      </c>
      <c r="BV71">
        <f>IFERROR(IF(ISNUMBER(INDEX(PASTE_ALL,22,50)),2,IF(TRIM(INDEX(PASTE_ALL,22,50))="",0,IF(AND(LEFT(MID(TRIM(INDEX(PASTE_ALL,22,50)),1+(LEFT(TRIM(INDEX(PASTE_ALL,22,50)),1)="-"),999),LEN(MID(TRIM(INDEX(PASTE_ALL,22,50)),1+(LEFT(TRIM(INDEX(PASTE_ALL,22,50)),1)="-"),999))-(RIGHT(MID(TRIM(INDEX(PASTE_ALL,22,50)),1+(LEFT(TRIM(INDEX(PASTE_ALL,22,50)),1)="-"),999),1)="%"))&lt;&gt;"",SUBSTITUTE(SUBSTITUTE(SUBSTITUTE(SUBSTITUTE(SUBSTITUTE(SUBSTITUTE(SUBSTITUTE(SUBSTITUTE(SUBSTITUTE(SUBSTITUTE(SUBSTITUTE(SUBSTITUTE(LEFT(MID(TRIM(INDEX(PASTE_ALL,22,50)),1+(LEFT(TRIM(INDEX(PASTE_ALL,22,50)),1)="-"),999),LEN(MID(TRIM(INDEX(PASTE_ALL,22,50)),1+(LEFT(TRIM(INDEX(PASTE_ALL,22,50)),1)="-"),999))-(RIGHT(MID(TRIM(INDEX(PASTE_ALL,22,50)),1+(LEFT(TRIM(INDEX(PASTE_ALL,22,50)),1)="-"),999),1)="%")),"0",""),"1",""),"2",""),"3",""),"4",""),"5",""),"6",""),"7",""),"8",""),"9",""),".",""),",","")=""),2,1))),1)</f>
        <v/>
      </c>
      <c r="BW71">
        <f>IFERROR(IF(ISNUMBER(INDEX(PASTE_ALL,22,51)),2,IF(TRIM(INDEX(PASTE_ALL,22,51))="",0,IF(AND(LEFT(MID(TRIM(INDEX(PASTE_ALL,22,51)),1+(LEFT(TRIM(INDEX(PASTE_ALL,22,51)),1)="-"),999),LEN(MID(TRIM(INDEX(PASTE_ALL,22,51)),1+(LEFT(TRIM(INDEX(PASTE_ALL,22,51)),1)="-"),999))-(RIGHT(MID(TRIM(INDEX(PASTE_ALL,22,51)),1+(LEFT(TRIM(INDEX(PASTE_ALL,22,51)),1)="-"),999),1)="%"))&lt;&gt;"",SUBSTITUTE(SUBSTITUTE(SUBSTITUTE(SUBSTITUTE(SUBSTITUTE(SUBSTITUTE(SUBSTITUTE(SUBSTITUTE(SUBSTITUTE(SUBSTITUTE(SUBSTITUTE(SUBSTITUTE(LEFT(MID(TRIM(INDEX(PASTE_ALL,22,51)),1+(LEFT(TRIM(INDEX(PASTE_ALL,22,51)),1)="-"),999),LEN(MID(TRIM(INDEX(PASTE_ALL,22,51)),1+(LEFT(TRIM(INDEX(PASTE_ALL,22,51)),1)="-"),999))-(RIGHT(MID(TRIM(INDEX(PASTE_ALL,22,51)),1+(LEFT(TRIM(INDEX(PASTE_ALL,22,51)),1)="-"),999),1)="%")),"0",""),"1",""),"2",""),"3",""),"4",""),"5",""),"6",""),"7",""),"8",""),"9",""),".",""),",","")=""),2,1))),1)</f>
        <v/>
      </c>
      <c r="BX71">
        <f>IFERROR(IF(ISNUMBER(INDEX(PASTE_ALL,22,52)),2,IF(TRIM(INDEX(PASTE_ALL,22,52))="",0,IF(AND(LEFT(MID(TRIM(INDEX(PASTE_ALL,22,52)),1+(LEFT(TRIM(INDEX(PASTE_ALL,22,52)),1)="-"),999),LEN(MID(TRIM(INDEX(PASTE_ALL,22,52)),1+(LEFT(TRIM(INDEX(PASTE_ALL,22,52)),1)="-"),999))-(RIGHT(MID(TRIM(INDEX(PASTE_ALL,22,52)),1+(LEFT(TRIM(INDEX(PASTE_ALL,22,52)),1)="-"),999),1)="%"))&lt;&gt;"",SUBSTITUTE(SUBSTITUTE(SUBSTITUTE(SUBSTITUTE(SUBSTITUTE(SUBSTITUTE(SUBSTITUTE(SUBSTITUTE(SUBSTITUTE(SUBSTITUTE(SUBSTITUTE(SUBSTITUTE(LEFT(MID(TRIM(INDEX(PASTE_ALL,22,52)),1+(LEFT(TRIM(INDEX(PASTE_ALL,22,52)),1)="-"),999),LEN(MID(TRIM(INDEX(PASTE_ALL,22,52)),1+(LEFT(TRIM(INDEX(PASTE_ALL,22,52)),1)="-"),999))-(RIGHT(MID(TRIM(INDEX(PASTE_ALL,22,52)),1+(LEFT(TRIM(INDEX(PASTE_ALL,22,52)),1)="-"),999),1)="%")),"0",""),"1",""),"2",""),"3",""),"4",""),"5",""),"6",""),"7",""),"8",""),"9",""),".",""),",","")=""),2,1))),1)</f>
        <v/>
      </c>
      <c r="BY71">
        <f>IFERROR(IF(ISNUMBER(INDEX(PASTE_ALL,22,53)),2,IF(TRIM(INDEX(PASTE_ALL,22,53))="",0,IF(AND(LEFT(MID(TRIM(INDEX(PASTE_ALL,22,53)),1+(LEFT(TRIM(INDEX(PASTE_ALL,22,53)),1)="-"),999),LEN(MID(TRIM(INDEX(PASTE_ALL,22,53)),1+(LEFT(TRIM(INDEX(PASTE_ALL,22,53)),1)="-"),999))-(RIGHT(MID(TRIM(INDEX(PASTE_ALL,22,53)),1+(LEFT(TRIM(INDEX(PASTE_ALL,22,53)),1)="-"),999),1)="%"))&lt;&gt;"",SUBSTITUTE(SUBSTITUTE(SUBSTITUTE(SUBSTITUTE(SUBSTITUTE(SUBSTITUTE(SUBSTITUTE(SUBSTITUTE(SUBSTITUTE(SUBSTITUTE(SUBSTITUTE(SUBSTITUTE(LEFT(MID(TRIM(INDEX(PASTE_ALL,22,53)),1+(LEFT(TRIM(INDEX(PASTE_ALL,22,53)),1)="-"),999),LEN(MID(TRIM(INDEX(PASTE_ALL,22,53)),1+(LEFT(TRIM(INDEX(PASTE_ALL,22,53)),1)="-"),999))-(RIGHT(MID(TRIM(INDEX(PASTE_ALL,22,53)),1+(LEFT(TRIM(INDEX(PASTE_ALL,22,53)),1)="-"),999),1)="%")),"0",""),"1",""),"2",""),"3",""),"4",""),"5",""),"6",""),"7",""),"8",""),"9",""),".",""),",","")=""),2,1))),1)</f>
        <v/>
      </c>
      <c r="BZ71">
        <f>IFERROR(IF(ISNUMBER(INDEX(PASTE_ALL,22,54)),2,IF(TRIM(INDEX(PASTE_ALL,22,54))="",0,IF(AND(LEFT(MID(TRIM(INDEX(PASTE_ALL,22,54)),1+(LEFT(TRIM(INDEX(PASTE_ALL,22,54)),1)="-"),999),LEN(MID(TRIM(INDEX(PASTE_ALL,22,54)),1+(LEFT(TRIM(INDEX(PASTE_ALL,22,54)),1)="-"),999))-(RIGHT(MID(TRIM(INDEX(PASTE_ALL,22,54)),1+(LEFT(TRIM(INDEX(PASTE_ALL,22,54)),1)="-"),999),1)="%"))&lt;&gt;"",SUBSTITUTE(SUBSTITUTE(SUBSTITUTE(SUBSTITUTE(SUBSTITUTE(SUBSTITUTE(SUBSTITUTE(SUBSTITUTE(SUBSTITUTE(SUBSTITUTE(SUBSTITUTE(SUBSTITUTE(LEFT(MID(TRIM(INDEX(PASTE_ALL,22,54)),1+(LEFT(TRIM(INDEX(PASTE_ALL,22,54)),1)="-"),999),LEN(MID(TRIM(INDEX(PASTE_ALL,22,54)),1+(LEFT(TRIM(INDEX(PASTE_ALL,22,54)),1)="-"),999))-(RIGHT(MID(TRIM(INDEX(PASTE_ALL,22,54)),1+(LEFT(TRIM(INDEX(PASTE_ALL,22,54)),1)="-"),999),1)="%")),"0",""),"1",""),"2",""),"3",""),"4",""),"5",""),"6",""),"7",""),"8",""),"9",""),".",""),",","")=""),2,1))),1)</f>
        <v/>
      </c>
      <c r="CA71">
        <f>IFERROR(IF(ISNUMBER(INDEX(PASTE_ALL,22,55)),2,IF(TRIM(INDEX(PASTE_ALL,22,55))="",0,IF(AND(LEFT(MID(TRIM(INDEX(PASTE_ALL,22,55)),1+(LEFT(TRIM(INDEX(PASTE_ALL,22,55)),1)="-"),999),LEN(MID(TRIM(INDEX(PASTE_ALL,22,55)),1+(LEFT(TRIM(INDEX(PASTE_ALL,22,55)),1)="-"),999))-(RIGHT(MID(TRIM(INDEX(PASTE_ALL,22,55)),1+(LEFT(TRIM(INDEX(PASTE_ALL,22,55)),1)="-"),999),1)="%"))&lt;&gt;"",SUBSTITUTE(SUBSTITUTE(SUBSTITUTE(SUBSTITUTE(SUBSTITUTE(SUBSTITUTE(SUBSTITUTE(SUBSTITUTE(SUBSTITUTE(SUBSTITUTE(SUBSTITUTE(SUBSTITUTE(LEFT(MID(TRIM(INDEX(PASTE_ALL,22,55)),1+(LEFT(TRIM(INDEX(PASTE_ALL,22,55)),1)="-"),999),LEN(MID(TRIM(INDEX(PASTE_ALL,22,55)),1+(LEFT(TRIM(INDEX(PASTE_ALL,22,55)),1)="-"),999))-(RIGHT(MID(TRIM(INDEX(PASTE_ALL,22,55)),1+(LEFT(TRIM(INDEX(PASTE_ALL,22,55)),1)="-"),999),1)="%")),"0",""),"1",""),"2",""),"3",""),"4",""),"5",""),"6",""),"7",""),"8",""),"9",""),".",""),",","")=""),2,1))),1)</f>
        <v/>
      </c>
      <c r="CB71">
        <f>IFERROR(IF(ISNUMBER(INDEX(PASTE_ALL,22,56)),2,IF(TRIM(INDEX(PASTE_ALL,22,56))="",0,IF(AND(LEFT(MID(TRIM(INDEX(PASTE_ALL,22,56)),1+(LEFT(TRIM(INDEX(PASTE_ALL,22,56)),1)="-"),999),LEN(MID(TRIM(INDEX(PASTE_ALL,22,56)),1+(LEFT(TRIM(INDEX(PASTE_ALL,22,56)),1)="-"),999))-(RIGHT(MID(TRIM(INDEX(PASTE_ALL,22,56)),1+(LEFT(TRIM(INDEX(PASTE_ALL,22,56)),1)="-"),999),1)="%"))&lt;&gt;"",SUBSTITUTE(SUBSTITUTE(SUBSTITUTE(SUBSTITUTE(SUBSTITUTE(SUBSTITUTE(SUBSTITUTE(SUBSTITUTE(SUBSTITUTE(SUBSTITUTE(SUBSTITUTE(SUBSTITUTE(LEFT(MID(TRIM(INDEX(PASTE_ALL,22,56)),1+(LEFT(TRIM(INDEX(PASTE_ALL,22,56)),1)="-"),999),LEN(MID(TRIM(INDEX(PASTE_ALL,22,56)),1+(LEFT(TRIM(INDEX(PASTE_ALL,22,56)),1)="-"),999))-(RIGHT(MID(TRIM(INDEX(PASTE_ALL,22,56)),1+(LEFT(TRIM(INDEX(PASTE_ALL,22,56)),1)="-"),999),1)="%")),"0",""),"1",""),"2",""),"3",""),"4",""),"5",""),"6",""),"7",""),"8",""),"9",""),".",""),",","")=""),2,1))),1)</f>
        <v/>
      </c>
      <c r="CC71">
        <f>IFERROR(IF(ISNUMBER(INDEX(PASTE_ALL,22,57)),2,IF(TRIM(INDEX(PASTE_ALL,22,57))="",0,IF(AND(LEFT(MID(TRIM(INDEX(PASTE_ALL,22,57)),1+(LEFT(TRIM(INDEX(PASTE_ALL,22,57)),1)="-"),999),LEN(MID(TRIM(INDEX(PASTE_ALL,22,57)),1+(LEFT(TRIM(INDEX(PASTE_ALL,22,57)),1)="-"),999))-(RIGHT(MID(TRIM(INDEX(PASTE_ALL,22,57)),1+(LEFT(TRIM(INDEX(PASTE_ALL,22,57)),1)="-"),999),1)="%"))&lt;&gt;"",SUBSTITUTE(SUBSTITUTE(SUBSTITUTE(SUBSTITUTE(SUBSTITUTE(SUBSTITUTE(SUBSTITUTE(SUBSTITUTE(SUBSTITUTE(SUBSTITUTE(SUBSTITUTE(SUBSTITUTE(LEFT(MID(TRIM(INDEX(PASTE_ALL,22,57)),1+(LEFT(TRIM(INDEX(PASTE_ALL,22,57)),1)="-"),999),LEN(MID(TRIM(INDEX(PASTE_ALL,22,57)),1+(LEFT(TRIM(INDEX(PASTE_ALL,22,57)),1)="-"),999))-(RIGHT(MID(TRIM(INDEX(PASTE_ALL,22,57)),1+(LEFT(TRIM(INDEX(PASTE_ALL,22,57)),1)="-"),999),1)="%")),"0",""),"1",""),"2",""),"3",""),"4",""),"5",""),"6",""),"7",""),"8",""),"9",""),".",""),",","")=""),2,1))),1)</f>
        <v/>
      </c>
      <c r="CD71">
        <f>IFERROR(IF(ISNUMBER(INDEX(PASTE_ALL,22,58)),2,IF(TRIM(INDEX(PASTE_ALL,22,58))="",0,IF(AND(LEFT(MID(TRIM(INDEX(PASTE_ALL,22,58)),1+(LEFT(TRIM(INDEX(PASTE_ALL,22,58)),1)="-"),999),LEN(MID(TRIM(INDEX(PASTE_ALL,22,58)),1+(LEFT(TRIM(INDEX(PASTE_ALL,22,58)),1)="-"),999))-(RIGHT(MID(TRIM(INDEX(PASTE_ALL,22,58)),1+(LEFT(TRIM(INDEX(PASTE_ALL,22,58)),1)="-"),999),1)="%"))&lt;&gt;"",SUBSTITUTE(SUBSTITUTE(SUBSTITUTE(SUBSTITUTE(SUBSTITUTE(SUBSTITUTE(SUBSTITUTE(SUBSTITUTE(SUBSTITUTE(SUBSTITUTE(SUBSTITUTE(SUBSTITUTE(LEFT(MID(TRIM(INDEX(PASTE_ALL,22,58)),1+(LEFT(TRIM(INDEX(PASTE_ALL,22,58)),1)="-"),999),LEN(MID(TRIM(INDEX(PASTE_ALL,22,58)),1+(LEFT(TRIM(INDEX(PASTE_ALL,22,58)),1)="-"),999))-(RIGHT(MID(TRIM(INDEX(PASTE_ALL,22,58)),1+(LEFT(TRIM(INDEX(PASTE_ALL,22,58)),1)="-"),999),1)="%")),"0",""),"1",""),"2",""),"3",""),"4",""),"5",""),"6",""),"7",""),"8",""),"9",""),".",""),",","")=""),2,1))),1)</f>
        <v/>
      </c>
      <c r="CE71">
        <f>IFERROR(IF(ISNUMBER(INDEX(PASTE_ALL,22,59)),2,IF(TRIM(INDEX(PASTE_ALL,22,59))="",0,IF(AND(LEFT(MID(TRIM(INDEX(PASTE_ALL,22,59)),1+(LEFT(TRIM(INDEX(PASTE_ALL,22,59)),1)="-"),999),LEN(MID(TRIM(INDEX(PASTE_ALL,22,59)),1+(LEFT(TRIM(INDEX(PASTE_ALL,22,59)),1)="-"),999))-(RIGHT(MID(TRIM(INDEX(PASTE_ALL,22,59)),1+(LEFT(TRIM(INDEX(PASTE_ALL,22,59)),1)="-"),999),1)="%"))&lt;&gt;"",SUBSTITUTE(SUBSTITUTE(SUBSTITUTE(SUBSTITUTE(SUBSTITUTE(SUBSTITUTE(SUBSTITUTE(SUBSTITUTE(SUBSTITUTE(SUBSTITUTE(SUBSTITUTE(SUBSTITUTE(LEFT(MID(TRIM(INDEX(PASTE_ALL,22,59)),1+(LEFT(TRIM(INDEX(PASTE_ALL,22,59)),1)="-"),999),LEN(MID(TRIM(INDEX(PASTE_ALL,22,59)),1+(LEFT(TRIM(INDEX(PASTE_ALL,22,59)),1)="-"),999))-(RIGHT(MID(TRIM(INDEX(PASTE_ALL,22,59)),1+(LEFT(TRIM(INDEX(PASTE_ALL,22,59)),1)="-"),999),1)="%")),"0",""),"1",""),"2",""),"3",""),"4",""),"5",""),"6",""),"7",""),"8",""),"9",""),".",""),",","")=""),2,1))),1)</f>
        <v/>
      </c>
      <c r="CF71">
        <f>IFERROR(IF(ISNUMBER(INDEX(PASTE_ALL,22,60)),2,IF(TRIM(INDEX(PASTE_ALL,22,60))="",0,IF(AND(LEFT(MID(TRIM(INDEX(PASTE_ALL,22,60)),1+(LEFT(TRIM(INDEX(PASTE_ALL,22,60)),1)="-"),999),LEN(MID(TRIM(INDEX(PASTE_ALL,22,60)),1+(LEFT(TRIM(INDEX(PASTE_ALL,22,60)),1)="-"),999))-(RIGHT(MID(TRIM(INDEX(PASTE_ALL,22,60)),1+(LEFT(TRIM(INDEX(PASTE_ALL,22,60)),1)="-"),999),1)="%"))&lt;&gt;"",SUBSTITUTE(SUBSTITUTE(SUBSTITUTE(SUBSTITUTE(SUBSTITUTE(SUBSTITUTE(SUBSTITUTE(SUBSTITUTE(SUBSTITUTE(SUBSTITUTE(SUBSTITUTE(SUBSTITUTE(LEFT(MID(TRIM(INDEX(PASTE_ALL,22,60)),1+(LEFT(TRIM(INDEX(PASTE_ALL,22,60)),1)="-"),999),LEN(MID(TRIM(INDEX(PASTE_ALL,22,60)),1+(LEFT(TRIM(INDEX(PASTE_ALL,22,60)),1)="-"),999))-(RIGHT(MID(TRIM(INDEX(PASTE_ALL,22,60)),1+(LEFT(TRIM(INDEX(PASTE_ALL,22,60)),1)="-"),999),1)="%")),"0",""),"1",""),"2",""),"3",""),"4",""),"5",""),"6",""),"7",""),"8",""),"9",""),".",""),",","")=""),2,1))),1)</f>
        <v/>
      </c>
      <c r="DA71" t="n">
        <v>67</v>
      </c>
      <c r="DB71">
        <f>IF($B$37=0,"",IFERROR(TRIM(SUBSTITUTE(SUBSTITUTE(SUBSTITUTE(SUBSTITUTE(INDEX(PASTE_ALL,67,$B$37)," "," "),CHAR(9)," "),CHAR(10)," "),CHAR(13)," ")),""))</f>
        <v/>
      </c>
      <c r="DC71">
        <f>IF(AND(67&gt;HEADER_ROW,UPPER(DB71)="LEGEND"),1,0)</f>
        <v/>
      </c>
      <c r="DE71" t="n">
        <v>67</v>
      </c>
      <c r="DF71">
        <f>HEADER_ROW+$DE71</f>
        <v/>
      </c>
      <c r="DG71">
        <f>IF(AND($DF71&lt;=1000,$DF71&lt;$B$8),1,0)</f>
        <v/>
      </c>
      <c r="DH71">
        <f>IF($DG71=1,IFERROR(INDEX($DB$5:$DB$1004,$DF71),""),"")</f>
        <v/>
      </c>
      <c r="DI71">
        <f>IF(AND($DG71=1,$DH71&lt;&gt;""),IFERROR(SUBSTITUTE(SUBSTITUTE(TRIM(SUBSTITUTE(SUBSTITUTE(SUBSTITUTE(SUBSTITUTE(IFERROR(INDEX(PASTE_ALL,$DF71,1)&amp;"","")&amp;"␟"&amp;IFERROR(INDEX(PASTE_ALL,$DF71,2)&amp;"","")&amp;"␟"&amp;IFERROR(INDEX(PASTE_ALL,$DF71,3)&amp;"","")&amp;"␟"&amp;IFERROR(INDEX(PASTE_ALL,$DF71,4)&amp;"","")&amp;"␟"&amp;IFERROR(INDEX(PASTE_ALL,$DF71,5)&amp;"","")&amp;"␟"&amp;IFERROR(INDEX(PASTE_ALL,$DF71,6)&amp;"","")&amp;"␟"&amp;IFERROR(INDEX(PASTE_ALL,$DF71,7)&amp;"","")&amp;"␟"&amp;IFERROR(INDEX(PASTE_ALL,$DF71,8)&amp;"","")&amp;"␟"&amp;IFERROR(INDEX(PASTE_ALL,$DF71,9)&amp;"","")&amp;"␟"&amp;IFERROR(INDEX(PASTE_ALL,$DF71,10)&amp;"","")&amp;"␟"&amp;IFERROR(INDEX(PASTE_ALL,$DF71,11)&amp;"","")&amp;"␟"&amp;IFERROR(INDEX(PASTE_ALL,$DF71,12)&amp;"","")&amp;"␟"&amp;IFERROR(INDEX(PASTE_ALL,$DF71,13)&amp;"","")&amp;"␟"&amp;IFERROR(INDEX(PASTE_ALL,$DF71,14)&amp;"","")&amp;"␟"&amp;IFERROR(INDEX(PASTE_ALL,$DF71,15)&amp;"","")&amp;"␟"&amp;IFERROR(INDEX(PASTE_ALL,$DF71,16)&amp;"","")&amp;"␟"&amp;IFERROR(INDEX(PASTE_ALL,$DF71,17)&amp;"","")&amp;"␟"&amp;IFERROR(INDEX(PASTE_ALL,$DF71,18)&amp;"","")&amp;"␟"&amp;IFERROR(INDEX(PASTE_ALL,$DF71,19)&amp;"","")&amp;"␟"&amp;IFERROR(INDEX(PASTE_ALL,$DF71,20)&amp;"","")&amp;"␟"&amp;IFERROR(INDEX(PASTE_ALL,$DF71,21)&amp;"","")&amp;"␟"&amp;IFERROR(INDEX(PASTE_ALL,$DF71,22)&amp;"","")&amp;"␟"&amp;IFERROR(INDEX(PASTE_ALL,$DF71,23)&amp;"","")&amp;"␟"&amp;IFERROR(INDEX(PASTE_ALL,$DF71,24)&amp;"","")&amp;"␟"&amp;IFERROR(INDEX(PASTE_ALL,$DF71,25)&amp;"","")&amp;"␟"&amp;IFERROR(INDEX(PASTE_ALL,$DF71,26)&amp;"","")&amp;"␟"&amp;IFERROR(INDEX(PASTE_ALL,$DF71,27)&amp;"","")&amp;"␟"&amp;IFERROR(INDEX(PASTE_ALL,$DF71,28)&amp;"","")&amp;"␟"&amp;IFERROR(INDEX(PASTE_ALL,$DF71,29)&amp;"","")&amp;"␟"&amp;IFERROR(INDEX(PASTE_ALL,$DF71,30)&amp;"","")&amp;"␟"&amp;IFERROR(INDEX(PASTE_ALL,$DF71,31)&amp;"","")&amp;"␟"&amp;IFERROR(INDEX(PASTE_ALL,$DF71,32)&amp;"","")&amp;"␟"&amp;IFERROR(INDEX(PASTE_ALL,$DF71,33)&amp;"","")&amp;"␟"&amp;IFERROR(INDEX(PASTE_ALL,$DF71,34)&amp;"","")&amp;"␟"&amp;IFERROR(INDEX(PASTE_ALL,$DF71,35)&amp;"","")&amp;"␟"&amp;IFERROR(INDEX(PASTE_ALL,$DF71,36)&amp;"","")&amp;"␟"&amp;IFERROR(INDEX(PASTE_ALL,$DF71,37)&amp;"","")&amp;"␟"&amp;IFERROR(INDEX(PASTE_ALL,$DF71,38)&amp;"","")&amp;"␟"&amp;IFERROR(INDEX(PASTE_ALL,$DF71,39)&amp;"","")&amp;"␟"&amp;IFERROR(INDEX(PASTE_ALL,$DF71,40)&amp;"","")&amp;"␟"&amp;IFERROR(INDEX(PASTE_ALL,$DF71,41)&amp;"","")&amp;"␟"&amp;IFERROR(INDEX(PASTE_ALL,$DF71,42)&amp;"","")&amp;"␟"&amp;IFERROR(INDEX(PASTE_ALL,$DF71,43)&amp;"","")&amp;"␟"&amp;IFERROR(INDEX(PASTE_ALL,$DF71,44)&amp;"","")&amp;"␟"&amp;IFERROR(INDEX(PASTE_ALL,$DF71,45)&amp;"","")&amp;"␟"&amp;IFERROR(INDEX(PASTE_ALL,$DF71,46)&amp;"","")&amp;"␟"&amp;IFERROR(INDEX(PASTE_ALL,$DF71,47)&amp;"","")&amp;"␟"&amp;IFERROR(INDEX(PASTE_ALL,$DF71,48)&amp;"","")&amp;"␟"&amp;IFERROR(INDEX(PASTE_ALL,$DF71,49)&amp;"","")&amp;"␟"&amp;IFERROR(INDEX(PASTE_ALL,$DF71,50)&amp;"","")&amp;"␟"&amp;IFERROR(INDEX(PASTE_ALL,$DF71,51)&amp;"","")&amp;"␟"&amp;IFERROR(INDEX(PASTE_ALL,$DF71,52)&amp;"","")&amp;"␟"&amp;IFERROR(INDEX(PASTE_ALL,$DF71,53)&amp;"","")&amp;"␟"&amp;IFERROR(INDEX(PASTE_ALL,$DF71,54)&amp;"","")&amp;"␟"&amp;IFERROR(INDEX(PASTE_ALL,$DF71,55)&amp;"","")&amp;"␟"&amp;IFERROR(INDEX(PASTE_ALL,$DF71,56)&amp;"","")&amp;"␟"&amp;IFERROR(INDEX(PASTE_ALL,$DF71,57)&amp;"","")&amp;"␟"&amp;IFERROR(INDEX(PASTE_ALL,$DF71,58)&amp;"","")&amp;"␟"&amp;IFERROR(INDEX(PASTE_ALL,$DF71,59)&amp;"","")&amp;"␟"&amp;IFERROR(INDEX(PASTE_ALL,$DF71,60)&amp;"","")," "," "),CHAR(9)," "),CHAR(10)," "),CHAR(13)," "))," ␟","␟"),"␟ ","␟"),"#"&amp;$DE71),"")</f>
        <v/>
      </c>
      <c r="DJ71">
        <f>IF($DI71="",0,IF(SUMPRODUCT(--EXACT($DI$4:DI70,$DI71))&gt;0,1,0))</f>
        <v/>
      </c>
      <c r="DK71">
        <f>IF(AND($DI71&lt;&gt;"",$DJ71=0),1,0)</f>
        <v/>
      </c>
      <c r="DL71">
        <f>DL70+$DK71</f>
        <v/>
      </c>
      <c r="DM71">
        <f>IF(AND($DK71=1,$DL71&lt;=600),1,0)</f>
        <v/>
      </c>
      <c r="DN71">
        <f>IF($DM71=0,"",IF($L$6=0,"",IFERROR(IF(ISNUMBER(INDEX(PASTE_ALL,$DF71,$L$6)),INDEX(PASTE_ALL,$DF71,$L$6),TRIM(SUBSTITUTE(SUBSTITUTE(SUBSTITUTE(SUBSTITUTE(INDEX(PASTE_ALL,$DF71,$L$6)," "," "),CHAR(9)," "),CHAR(10)," "),CHAR(13)," "))),"")))</f>
        <v/>
      </c>
      <c r="DO71">
        <f>IF($DM71=0,"",IF($L$7=0,"",IFERROR(IF(ISNUMBER(INDEX(PASTE_ALL,$DF71,$L$7)),INDEX(PASTE_ALL,$DF71,$L$7),TRIM(SUBSTITUTE(SUBSTITUTE(SUBSTITUTE(SUBSTITUTE(INDEX(PASTE_ALL,$DF71,$L$7)," "," "),CHAR(9)," "),CHAR(10)," "),CHAR(13)," "))),"")))</f>
        <v/>
      </c>
      <c r="DP71">
        <f>IF($DM71=0,"",IF($L$8=0,"",IFERROR(IF(ISNUMBER(INDEX(PASTE_ALL,$DF71,$L$8)),INDEX(PASTE_ALL,$DF71,$L$8),TRIM(SUBSTITUTE(SUBSTITUTE(SUBSTITUTE(SUBSTITUTE(INDEX(PASTE_ALL,$DF71,$L$8)," "," "),CHAR(9)," "),CHAR(10)," "),CHAR(13)," "))),"")))</f>
        <v/>
      </c>
      <c r="DQ71">
        <f>IF($DM71=0,"",IF($L$9=0,"",IFERROR(IF(ISNUMBER(INDEX(PASTE_ALL,$DF71,$L$9)),INDEX(PASTE_ALL,$DF71,$L$9),TRIM(SUBSTITUTE(SUBSTITUTE(SUBSTITUTE(SUBSTITUTE(INDEX(PASTE_ALL,$DF71,$L$9)," "," "),CHAR(9)," "),CHAR(10)," "),CHAR(13)," "))),"")))</f>
        <v/>
      </c>
      <c r="DR71">
        <f>IF($DM71=0,"",IF($L$10=0,"",IFERROR(IF(ISNUMBER(INDEX(PASTE_ALL,$DF71,$L$10)),INDEX(PASTE_ALL,$DF71,$L$10),TRIM(SUBSTITUTE(SUBSTITUTE(SUBSTITUTE(SUBSTITUTE(INDEX(PASTE_ALL,$DF71,$L$10)," "," "),CHAR(9)," "),CHAR(10)," "),CHAR(13)," "))),"")))</f>
        <v/>
      </c>
      <c r="DS71">
        <f>IF($DM71=0,"",IF($L$11=0,"",IFERROR(IF(ISNUMBER(INDEX(PASTE_ALL,$DF71,$L$11)),INDEX(PASTE_ALL,$DF71,$L$11),TRIM(SUBSTITUTE(SUBSTITUTE(SUBSTITUTE(SUBSTITUTE(INDEX(PASTE_ALL,$DF71,$L$11)," "," "),CHAR(9)," "),CHAR(10)," "),CHAR(13)," "))),"")))</f>
        <v/>
      </c>
      <c r="DT71">
        <f>IF($DM71=0,"",IF($L$12=0,"",IFERROR(IF(ISNUMBER(INDEX(PASTE_ALL,$DF71,$L$12)),INDEX(PASTE_ALL,$DF71,$L$12),TRIM(SUBSTITUTE(SUBSTITUTE(SUBSTITUTE(SUBSTITUTE(INDEX(PASTE_ALL,$DF71,$L$12)," "," "),CHAR(9)," "),CHAR(10)," "),CHAR(13)," "))),"")))</f>
        <v/>
      </c>
      <c r="DU71">
        <f>IF($DM71=0,"",IF($L$13=0,"",IFERROR(IF(ISNUMBER(INDEX(PASTE_ALL,$DF71,$L$13)),INDEX(PASTE_ALL,$DF71,$L$13),TRIM(SUBSTITUTE(SUBSTITUTE(SUBSTITUTE(SUBSTITUTE(INDEX(PASTE_ALL,$DF71,$L$13)," "," "),CHAR(9)," "),CHAR(10)," "),CHAR(13)," "))),"")))</f>
        <v/>
      </c>
      <c r="DV71">
        <f>IF($DM71=0,"",IF($L$14=0,"",IFERROR(IF(ISNUMBER(INDEX(PASTE_ALL,$DF71,$L$14)),INDEX(PASTE_ALL,$DF71,$L$14),TRIM(SUBSTITUTE(SUBSTITUTE(SUBSTITUTE(SUBSTITUTE(INDEX(PASTE_ALL,$DF71,$L$14)," "," "),CHAR(9)," "),CHAR(10)," "),CHAR(13)," "))),"")))</f>
        <v/>
      </c>
      <c r="DW71">
        <f>IF($DM71=0,"",IF($L$15=0,"",IFERROR(IF(ISNUMBER(INDEX(PASTE_ALL,$DF71,$L$15)),INDEX(PASTE_ALL,$DF71,$L$15),IF(SUMPRODUCT(--ISNUMBER(FIND({"A","B","C","D","E","F","G","H","I","J","K","L","M","N","O","P","Q","R","S","T","U","V","W","X","Y","Z","0","1","2","3","4","5","6","7","8","9"},UPPER(TRIM(SUBSTITUTE(SUBSTITUTE(SUBSTITUTE(SUBSTITUTE(INDEX(PASTE_ALL,$DF71,$L$15)," "," "),CHAR(9)," "),CHAR(10)," "),CHAR(13)," "))))))&gt;0,TRIM(SUBSTITUTE(SUBSTITUTE(SUBSTITUTE(SUBSTITUTE(INDEX(PASTE_ALL,$DF71,$L$15)," "," "),CHAR(9)," "),CHAR(10)," "),CHAR(13)," ")),"")),"")))</f>
        <v/>
      </c>
      <c r="DX71">
        <f>IF($DM71=0,"",IF($L$16=0,"",IFERROR(IF(ISNUMBER(INDEX(PASTE_ALL,$DF71,$L$16)),INDEX(PASTE_ALL,$DF71,$L$16),SUBSTITUTE(SUBSTITUTE(TRIM(SUBSTITUTE(SUBSTITUTE(SUBSTITUTE(SUBSTITUTE(INDEX(PASTE_ALL,$DF71,$L$16)," "," "),CHAR(9)," "),CHAR(10)," "),CHAR(13)," ")),",",""),"%","")),"")))</f>
        <v/>
      </c>
      <c r="DY71">
        <f>IF($DM71=0,"",IFERROR(IF(ISNUMBER($DX71),$DX71,IF($DX71="","",IF(TRIM($DX71)="",0,IF(AND(AND(SUBSTITUTE(SUBSTITUTE(SUBSTITUTE(SUBSTITUTE(SUBSTITUTE(SUBSTITUTE(SUBSTITUTE(SUBSTITUTE(SUBSTITUTE(SUBSTITUTE(SUBSTITUTE(SUBSTITUTE(SUBSTITUTE(SUBSTITUTE(UPPER(TRIM($DX71)),"0",""),"1",""),"2",""),"3",""),"4",""),"5",""),"6",""),"7",""),"8",""),"9",""),".",""),"+",""),"-",""),"E","")="",LEN(SUBSTITUTE(SUBSTITUTE(MID(UPPER(TRIM($DX71)),1+OR(LEFT(UPPER(TRIM($DX71)),1)="+",LEFT(UPPER(TRIM($DX71)),1)="-"),999),"E+","E"),"E-","E"))=LEN(SUBSTITUTE(SUBSTITUTE(SUBSTITUTE(SUBSTITUTE(MID(UPPER(TRIM($DX71)),1+OR(LEFT(UPPER(TRIM($DX71)),1)="+",LEFT(UPPER(TRIM($DX71)),1)="-"),999),"E+","E"),"E-","E"),"+",""),"-","")),LEN(UPPER(TRIM($DX71)))-LEN(SUBSTITUTE(UPPER(TRIM($DX71)),"E",""))&lt;2,LEN(UPPER(TRIM($DX71)))-LEN(SUBSTITUTE(UPPER(TRIM($DX71)),".",""))&lt;2,IFERROR(FIND(".",UPPER(TRIM($DX71))),0)&lt;IFERROR(FIND("E",UPPER(TRIM($DX71))),999)),ISNUMBER(VALUE(TRIM($DX71)))),VALUE(TRIM($DX71)),"")))),""))</f>
        <v/>
      </c>
      <c r="DZ71">
        <f>IF($DM71=0,"",IF($L$17=0,"",IFERROR(IF(ISNUMBER(INDEX(PASTE_ALL,$DF71,$L$17)),INDEX(PASTE_ALL,$DF71,$L$17),SUBSTITUTE(SUBSTITUTE(TRIM(SUBSTITUTE(SUBSTITUTE(SUBSTITUTE(SUBSTITUTE(INDEX(PASTE_ALL,$DF71,$L$17)," "," "),CHAR(9)," "),CHAR(10)," "),CHAR(13)," ")),",",""),"%","")),"")))</f>
        <v/>
      </c>
      <c r="EA71">
        <f>IF($DM71=0,"",IFERROR(IF(ISNUMBER($DZ71),$DZ71,IF($DZ71="","",IF(TRIM($DZ71)="",0,IF(AND(AND(SUBSTITUTE(SUBSTITUTE(SUBSTITUTE(SUBSTITUTE(SUBSTITUTE(SUBSTITUTE(SUBSTITUTE(SUBSTITUTE(SUBSTITUTE(SUBSTITUTE(SUBSTITUTE(SUBSTITUTE(SUBSTITUTE(SUBSTITUTE(UPPER(TRIM($DZ71)),"0",""),"1",""),"2",""),"3",""),"4",""),"5",""),"6",""),"7",""),"8",""),"9",""),".",""),"+",""),"-",""),"E","")="",LEN(SUBSTITUTE(SUBSTITUTE(MID(UPPER(TRIM($DZ71)),1+OR(LEFT(UPPER(TRIM($DZ71)),1)="+",LEFT(UPPER(TRIM($DZ71)),1)="-"),999),"E+","E"),"E-","E"))=LEN(SUBSTITUTE(SUBSTITUTE(SUBSTITUTE(SUBSTITUTE(MID(UPPER(TRIM($DZ71)),1+OR(LEFT(UPPER(TRIM($DZ71)),1)="+",LEFT(UPPER(TRIM($DZ71)),1)="-"),999),"E+","E"),"E-","E"),"+",""),"-","")),LEN(UPPER(TRIM($DZ71)))-LEN(SUBSTITUTE(UPPER(TRIM($DZ71)),"E",""))&lt;2,LEN(UPPER(TRIM($DZ71)))-LEN(SUBSTITUTE(UPPER(TRIM($DZ71)),".",""))&lt;2,IFERROR(FIND(".",UPPER(TRIM($DZ71))),0)&lt;IFERROR(FIND("E",UPPER(TRIM($DZ71))),999)),ISNUMBER(VALUE(TRIM($DZ71)))),VALUE(TRIM($DZ71)),"")))),""))</f>
        <v/>
      </c>
      <c r="EB71">
        <f>IF($DM71=0,"",IF($L$18=0,"",IFERROR(IF(UPPER(TRIM(SUBSTITUTE(SUBSTITUTE(SUBSTITUTE(SUBSTITUTE(INDEX(PASTE_ALL,$DF71,$L$18)," "," "),CHAR(9)," "),CHAR(10)," "),CHAR(13)," ")))="READY","Ready",IF(UPPER(TRIM(SUBSTITUTE(SUBSTITUTE(SUBSTITUTE(SUBSTITUTE(INDEX(PASTE_ALL,$DF71,$L$18)," "," "),CHAR(9)," "),CHAR(10)," "),CHAR(13)," ")))="PM","PM",IF(OR(UPPER(TRIM(SUBSTITUTE(SUBSTITUTE(SUBSTITUTE(SUBSTITUTE(INDEX(PASTE_ALL,$DF71,$L$18)," "," "),CHAR(9)," "),CHAR(10)," "),CHAR(13)," ")))="OT",UPPER(TRIM(SUBSTITUTE(SUBSTITUTE(SUBSTITUTE(SUBSTITUTE(INDEX(PASTE_ALL,$DF71,$L$18)," "," "),CHAR(9)," "),CHAR(10)," "),CHAR(13)," ")))="OVERTIME",UPPER(TRIM(SUBSTITUTE(SUBSTITUTE(SUBSTITUTE(SUBSTITUTE(INDEX(PASTE_ALL,$DF71,$L$18)," "," "),CHAR(9)," "),CHAR(10)," "),CHAR(13)," ")))="TRIAL"),"OT",TRIM(SUBSTITUTE(SUBSTITUTE(SUBSTITUTE(SUBSTITUTE(INDEX(PASTE_ALL,$DF71,$L$18)," "," "),CHAR(9)," "),CHAR(10)," "),CHAR(13)," "))))),"")))</f>
        <v/>
      </c>
      <c r="EC71">
        <f>IF($DM71=0,"",IF($L$19=0,"",IFERROR(IF(ISNUMBER(INDEX(PASTE_ALL,$DF71,$L$19)),INDEX(PASTE_ALL,$DF71,$L$19),TRIM(SUBSTITUTE(SUBSTITUTE(SUBSTITUTE(SUBSTITUTE(INDEX(PASTE_ALL,$DF71,$L$19)," "," "),CHAR(9)," "),CHAR(10)," "),CHAR(13)," "))),"")))</f>
        <v/>
      </c>
      <c r="ED71">
        <f>IF($DM71=0,"",MATCH(1,INDEX(EXACT($DH$5:DH71,$DH71)*$DM$5:DM71,0),0))</f>
        <v/>
      </c>
      <c r="EE71">
        <f>IF($DM71=0,0,IF($ED71=$DE71,1,0))</f>
        <v/>
      </c>
      <c r="EF71">
        <f>EF70+$EE71</f>
        <v/>
      </c>
      <c r="EG71">
        <f>IF($DM71=0,"",INDEX($EF$5:$EF$1003,$ED71))</f>
        <v/>
      </c>
      <c r="EH71">
        <f>IF($DM71=0,"",IF($DO71&lt;&gt;"","",IFERROR(LOOKUP(2,1/(($EG$4:EG70=$EG71)*($DO$4:DO70&lt;&gt;"")),$DO$4:DO70),"")))</f>
        <v/>
      </c>
      <c r="EI71">
        <f>IF($DM71=0,"",IF($DO71&lt;&gt;"",$DO71,$EH71))</f>
        <v/>
      </c>
      <c r="EJ71">
        <f>IF($DM71=0,"",IF($EI71="",0,IF(OR(ISNUMBER($EI71),AND(AND(SUBSTITUTE(SUBSTITUTE(SUBSTITUTE(SUBSTITUTE(SUBSTITUTE(SUBSTITUTE(SUBSTITUTE(SUBSTITUTE(SUBSTITUTE(SUBSTITUTE(SUBSTITUTE(SUBSTITUTE(SUBSTITUTE(SUBSTITUTE(UPPER($EI71),"0",""),"1",""),"2",""),"3",""),"4",""),"5",""),"6",""),"7",""),"8",""),"9",""),".",""),"+",""),"-",""),"E","")="",LEN(SUBSTITUTE(SUBSTITUTE(MID(UPPER($EI71),1+OR(LEFT(UPPER($EI71),1)="+",LEFT(UPPER($EI71),1)="-"),999),"E+","E"),"E-","E"))=LEN(SUBSTITUTE(SUBSTITUTE(SUBSTITUTE(SUBSTITUTE(MID(UPPER($EI71),1+OR(LEFT(UPPER($EI71),1)="+",LEFT(UPPER($EI71),1)="-"),999),"E+","E"),"E-","E"),"+",""),"-","")),LEN(UPPER($EI71))-LEN(SUBSTITUTE(UPPER($EI71),"E",""))&lt;2,LEN(UPPER($EI71))-LEN(SUBSTITUTE(UPPER($EI71),".",""))&lt;2,IFERROR(FIND(".",UPPER($EI71)),0)&lt;IFERROR(FIND("E",UPPER($EI71)),999)),ISNUMBER(VALUE($EI71)))),1,2)))</f>
        <v/>
      </c>
      <c r="EK71">
        <f>IF($DM71=0,"",IF($EJ71=1,IF(ISNUMBER($EI71),$EI71,VALUE($EI71)),IF($EJ71=2,$DE71,0)))</f>
        <v/>
      </c>
      <c r="EL71">
        <f>IF($DM71=0,"",COUNTIF($EG$5:$EG$1003,"&lt;"&amp;$EG71)+SUMPRODUCT(($EG$5:$EG$1003=$EG71)*(($EJ$5:$EJ$1003&lt;$EJ71)+($EJ$5:$EJ$1003=$EJ71)*(($EK$5:$EK$1003&lt;$EK71)+($EK$5:$EK$1003=$EK71)*($DE$5:$DE$1003&lt;$DE71))))+1)</f>
        <v/>
      </c>
      <c r="EM71">
        <f>IF($DM71=0,"",$EL71+$EG71-1)</f>
        <v/>
      </c>
      <c r="EN71">
        <f>IF($DM71=0,0,IFERROR(MATCH(1,INDEX(--(TRIM(SUBSTITUTE(SUBSTITUTE(SUBSTITUTE(SUBSTITUTE(LINES_NAME&amp;""," "," "),CHAR(9)," "),CHAR(10)," "),CHAR(13)," "))=$DH71),0),0),0))</f>
        <v/>
      </c>
      <c r="EO71">
        <f>IF($EN71=0,0,IF(OR(UPPER(TRIM(INDEX(LINES_SCHEDULED,$EN71)&amp;""))="YES",UPPER(TRIM(INDEX(LINES_SCHEDULED,$EN71)&amp;""))="Y",UPPER(TRIM(INDEX(LINES_SCHEDULED,$EN71)&amp;""))="X"),1,0))</f>
        <v/>
      </c>
      <c r="EP71">
        <f>IF($DM71=0,"",IF(COUNTIFS($EG$5:$EG$1003,$EG71,$EB$5:$EB$1003,"Ready")&gt;0,"READY",IF(COUNTIFS($EG$5:$EG$1003,$EG71,$EB$5:$EB$1003,"PM")&gt;0,"PM",IF(COUNTIFS($EG$5:$EG$1003,$EG71,$EB$5:$EB$1003,"OT")&gt;0,"OT",""))))</f>
        <v/>
      </c>
      <c r="EQ71">
        <f>IF($EN71=0,"",UPPER(TRIM(INDEX(LINES_STATUS,$EN71)&amp;"")))</f>
        <v/>
      </c>
      <c r="ER71">
        <f>IF($DM71=0,"",IF(OR($EQ71="READY",$EQ71="PM",$EQ71="OT"),$EQ71,$EP71))</f>
        <v/>
      </c>
      <c r="ES71">
        <f>IF($DM71=0,"",IF(AND($DV71&lt;&gt;"",UPPER($DV71)&lt;&gt;"N"),"allergen",IF(ISNUMBER(SEARCH("oil",$DQ71)),"oil",IF(OR(EXACT($DS71,"A662"),EXACT($DS71,"A624")),"bulk",""))))</f>
        <v/>
      </c>
      <c r="ET71">
        <f>IF($DM71=0,"",IF(OR($EA71="",$EA71=0),"",$EA71/100))</f>
        <v/>
      </c>
      <c r="EU71">
        <f>IF(OR($ET71="",$DY71=""),"",INT($DY71*(1-$ET71)+0.5))</f>
        <v/>
      </c>
      <c r="EW71" t="n">
        <v>67</v>
      </c>
      <c r="EX71">
        <f>IFERROR(MATCH($EW71,$EM$5:$EM$1003,0),0)</f>
        <v/>
      </c>
      <c r="EY71">
        <f>IF($EW71&gt;$B$12,"",IF($EX71&gt;0,"row","spacer"))</f>
        <v/>
      </c>
      <c r="EZ71">
        <f>IF(AND($EY71="row",$EY70&lt;&gt;"row"),1,0)</f>
        <v/>
      </c>
      <c r="FA71">
        <f>IF(AND($EY71="row",$EY72&lt;&gt;"row"),1,0)</f>
        <v/>
      </c>
      <c r="FB71">
        <f>IF($EZ71=1,IFERROR(IF(ISNUMBER(INDEX(PASTE_ALL,INDEX($DF$5:$DF$1003,$EX71),$B$37)),INDEX(PASTE_ALL,INDEX($DF$5:$DF$1003,$EX71),$B$37),INDEX($DH$5:$DH$1003,$EX71)),INDEX($DH$5:$DH$1003,$EX71)),"")</f>
        <v/>
      </c>
      <c r="FC71">
        <f>IF($EY71="row",INDEX($ER$5:$ER$1003,$EX71),"")</f>
        <v/>
      </c>
      <c r="FD71">
        <f>IF($EY71="row",INDEX($DN$5:$DN$1003,$EX71),"")</f>
        <v/>
      </c>
      <c r="FE71">
        <f>IF($EY71="row",INDEX($DO$5:$DO$1003,$EX71),"")</f>
        <v/>
      </c>
      <c r="FF71">
        <f>IF($EY71="row",INDEX($DP$5:$DP$1003,$EX71),"")</f>
        <v/>
      </c>
      <c r="FG71">
        <f>IF($EY71="row",INDEX($DQ$5:$DQ$1003,$EX71),"")</f>
        <v/>
      </c>
      <c r="FH71">
        <f>IF($EY71="row",INDEX($DR$5:$DR$1003,$EX71),"")</f>
        <v/>
      </c>
      <c r="FI71">
        <f>IF($EY71="row",INDEX($DS$5:$DS$1003,$EX71),"")</f>
        <v/>
      </c>
      <c r="FJ71">
        <f>IF($EY71="row",INDEX($DT$5:$DT$1003,$EX71),"")</f>
        <v/>
      </c>
      <c r="FK71">
        <f>IF($EY71="row",INDEX($DU$5:$DU$1003,$EX71),"")</f>
        <v/>
      </c>
      <c r="FL71">
        <f>IF($EY71="row",INDEX($DV$5:$DV$1003,$EX71),"")</f>
        <v/>
      </c>
      <c r="FM71">
        <f>IF($EY71="row",INDEX($DW$5:$DW$1003,$EX71),"")</f>
        <v/>
      </c>
      <c r="FN71">
        <f>IF($EY71="row",INDEX($DY$5:$DY$1003,$EX71),"")</f>
        <v/>
      </c>
      <c r="FO71">
        <f>IF($EY71="row",INDEX($EA$5:$EA$1003,$EX71),"")</f>
        <v/>
      </c>
      <c r="FP71">
        <f>IF($EY71="row",INDEX($EC$5:$EC$1003,$EX71),"")</f>
        <v/>
      </c>
      <c r="FQ71">
        <f>IF($EY71="row",INDEX($ET$5:$ET$1003,$EX71),"")</f>
        <v/>
      </c>
      <c r="FR71">
        <f>IF($EY71="row",INDEX($EU$5:$EU$1003,$EX71),"")</f>
        <v/>
      </c>
      <c r="FS71">
        <f>IF(AND($EY71="row",$EY70="row"),IF(OR(INDEX($DT$5:$DT$1003,$EX70)="",INDEX($DT$5:$DT$1003,$EX71)=""),"",IF(NOT(EXACT(INDEX($DT$5:$DT$1003,$EX70),INDEX($DT$5:$DT$1003,$EX71))),"S4",IF(NOT(EXACT(INDEX($DS$5:$DS$1003,$EX70),INDEX($DS$5:$DS$1003,$EX71))),"S3",IF(NOT(EXACT(INDEX($DR$5:$DR$1003,$EX70),INDEX($DR$5:$DR$1003,$EX71))),"S1 Count Change","S1")))),"")</f>
        <v/>
      </c>
      <c r="FT71">
        <f>IF($EY71="row",INDEX($ES$5:$ES$1003,$EX71),"")</f>
        <v/>
      </c>
      <c r="FU71">
        <f>IF($EY71="row",INDEX($EO$5:$EO$1003,$EX71),0)</f>
        <v/>
      </c>
      <c r="FV71">
        <f>IF($FS71="S1 Count Change",1,0)</f>
        <v/>
      </c>
      <c r="FX71" t="n">
        <v>67</v>
      </c>
      <c r="FY71">
        <f>IFERROR(MATCH($FX71,$EF$5:$EF$1003,0),0)</f>
        <v/>
      </c>
      <c r="FZ71">
        <f>IF($FY71=0,"",INDEX($DH$5:$DH$1003,$FY71))</f>
        <v/>
      </c>
      <c r="GA71">
        <f>IF($FY71=0,"",COUNTIF($EG$5:$EG$1003,$FX71))</f>
        <v/>
      </c>
      <c r="GB71">
        <f>IF($FY71=0,"",INDEX($ER$5:$ER$1003,$FY71))</f>
        <v/>
      </c>
      <c r="GC71">
        <f>IF($FY71=0,"",IF(INDEX($EO$5:$EO$1003,$FY71)=1,"Yes",""))</f>
        <v/>
      </c>
      <c r="GD71">
        <f>IF($FY71=0,"",IF(INDEX($EN$5:$EN$1003,$FY71)&gt;0,"","NOT IN YOUR LIST - type it in column A to tick it"))</f>
        <v/>
      </c>
      <c r="GE71">
        <f>IF(AND($FY71&gt;0,$GD71&lt;&gt;""),1,0)</f>
        <v/>
      </c>
      <c r="GF71">
        <f>GF70+$GE71</f>
        <v/>
      </c>
      <c r="GG71">
        <f>IFERROR(INDEX($FZ$5:$FZ$104,MATCH($FX71,$GF$5:$GF$104,0)),"")</f>
        <v/>
      </c>
    </row>
    <row r="72">
      <c r="V72" t="inlineStr">
        <is>
          <t>WOQTY</t>
        </is>
      </c>
      <c r="W72" t="n">
        <v>12</v>
      </c>
      <c r="Y72">
        <f>IFERROR(IF(ISNUMBER(INDEX(PASTE_ALL,23,1)),2,IF(TRIM(INDEX(PASTE_ALL,23,1))="",0,IF(AND(LEFT(MID(TRIM(INDEX(PASTE_ALL,23,1)),1+(LEFT(TRIM(INDEX(PASTE_ALL,23,1)),1)="-"),999),LEN(MID(TRIM(INDEX(PASTE_ALL,23,1)),1+(LEFT(TRIM(INDEX(PASTE_ALL,23,1)),1)="-"),999))-(RIGHT(MID(TRIM(INDEX(PASTE_ALL,23,1)),1+(LEFT(TRIM(INDEX(PASTE_ALL,23,1)),1)="-"),999),1)="%"))&lt;&gt;"",SUBSTITUTE(SUBSTITUTE(SUBSTITUTE(SUBSTITUTE(SUBSTITUTE(SUBSTITUTE(SUBSTITUTE(SUBSTITUTE(SUBSTITUTE(SUBSTITUTE(SUBSTITUTE(SUBSTITUTE(LEFT(MID(TRIM(INDEX(PASTE_ALL,23,1)),1+(LEFT(TRIM(INDEX(PASTE_ALL,23,1)),1)="-"),999),LEN(MID(TRIM(INDEX(PASTE_ALL,23,1)),1+(LEFT(TRIM(INDEX(PASTE_ALL,23,1)),1)="-"),999))-(RIGHT(MID(TRIM(INDEX(PASTE_ALL,23,1)),1+(LEFT(TRIM(INDEX(PASTE_ALL,23,1)),1)="-"),999),1)="%")),"0",""),"1",""),"2",""),"3",""),"4",""),"5",""),"6",""),"7",""),"8",""),"9",""),".",""),",","")=""),2,1))),1)</f>
        <v/>
      </c>
      <c r="Z72">
        <f>IFERROR(IF(ISNUMBER(INDEX(PASTE_ALL,23,2)),2,IF(TRIM(INDEX(PASTE_ALL,23,2))="",0,IF(AND(LEFT(MID(TRIM(INDEX(PASTE_ALL,23,2)),1+(LEFT(TRIM(INDEX(PASTE_ALL,23,2)),1)="-"),999),LEN(MID(TRIM(INDEX(PASTE_ALL,23,2)),1+(LEFT(TRIM(INDEX(PASTE_ALL,23,2)),1)="-"),999))-(RIGHT(MID(TRIM(INDEX(PASTE_ALL,23,2)),1+(LEFT(TRIM(INDEX(PASTE_ALL,23,2)),1)="-"),999),1)="%"))&lt;&gt;"",SUBSTITUTE(SUBSTITUTE(SUBSTITUTE(SUBSTITUTE(SUBSTITUTE(SUBSTITUTE(SUBSTITUTE(SUBSTITUTE(SUBSTITUTE(SUBSTITUTE(SUBSTITUTE(SUBSTITUTE(LEFT(MID(TRIM(INDEX(PASTE_ALL,23,2)),1+(LEFT(TRIM(INDEX(PASTE_ALL,23,2)),1)="-"),999),LEN(MID(TRIM(INDEX(PASTE_ALL,23,2)),1+(LEFT(TRIM(INDEX(PASTE_ALL,23,2)),1)="-"),999))-(RIGHT(MID(TRIM(INDEX(PASTE_ALL,23,2)),1+(LEFT(TRIM(INDEX(PASTE_ALL,23,2)),1)="-"),999),1)="%")),"0",""),"1",""),"2",""),"3",""),"4",""),"5",""),"6",""),"7",""),"8",""),"9",""),".",""),",","")=""),2,1))),1)</f>
        <v/>
      </c>
      <c r="AA72">
        <f>IFERROR(IF(ISNUMBER(INDEX(PASTE_ALL,23,3)),2,IF(TRIM(INDEX(PASTE_ALL,23,3))="",0,IF(AND(LEFT(MID(TRIM(INDEX(PASTE_ALL,23,3)),1+(LEFT(TRIM(INDEX(PASTE_ALL,23,3)),1)="-"),999),LEN(MID(TRIM(INDEX(PASTE_ALL,23,3)),1+(LEFT(TRIM(INDEX(PASTE_ALL,23,3)),1)="-"),999))-(RIGHT(MID(TRIM(INDEX(PASTE_ALL,23,3)),1+(LEFT(TRIM(INDEX(PASTE_ALL,23,3)),1)="-"),999),1)="%"))&lt;&gt;"",SUBSTITUTE(SUBSTITUTE(SUBSTITUTE(SUBSTITUTE(SUBSTITUTE(SUBSTITUTE(SUBSTITUTE(SUBSTITUTE(SUBSTITUTE(SUBSTITUTE(SUBSTITUTE(SUBSTITUTE(LEFT(MID(TRIM(INDEX(PASTE_ALL,23,3)),1+(LEFT(TRIM(INDEX(PASTE_ALL,23,3)),1)="-"),999),LEN(MID(TRIM(INDEX(PASTE_ALL,23,3)),1+(LEFT(TRIM(INDEX(PASTE_ALL,23,3)),1)="-"),999))-(RIGHT(MID(TRIM(INDEX(PASTE_ALL,23,3)),1+(LEFT(TRIM(INDEX(PASTE_ALL,23,3)),1)="-"),999),1)="%")),"0",""),"1",""),"2",""),"3",""),"4",""),"5",""),"6",""),"7",""),"8",""),"9",""),".",""),",","")=""),2,1))),1)</f>
        <v/>
      </c>
      <c r="AB72">
        <f>IFERROR(IF(ISNUMBER(INDEX(PASTE_ALL,23,4)),2,IF(TRIM(INDEX(PASTE_ALL,23,4))="",0,IF(AND(LEFT(MID(TRIM(INDEX(PASTE_ALL,23,4)),1+(LEFT(TRIM(INDEX(PASTE_ALL,23,4)),1)="-"),999),LEN(MID(TRIM(INDEX(PASTE_ALL,23,4)),1+(LEFT(TRIM(INDEX(PASTE_ALL,23,4)),1)="-"),999))-(RIGHT(MID(TRIM(INDEX(PASTE_ALL,23,4)),1+(LEFT(TRIM(INDEX(PASTE_ALL,23,4)),1)="-"),999),1)="%"))&lt;&gt;"",SUBSTITUTE(SUBSTITUTE(SUBSTITUTE(SUBSTITUTE(SUBSTITUTE(SUBSTITUTE(SUBSTITUTE(SUBSTITUTE(SUBSTITUTE(SUBSTITUTE(SUBSTITUTE(SUBSTITUTE(LEFT(MID(TRIM(INDEX(PASTE_ALL,23,4)),1+(LEFT(TRIM(INDEX(PASTE_ALL,23,4)),1)="-"),999),LEN(MID(TRIM(INDEX(PASTE_ALL,23,4)),1+(LEFT(TRIM(INDEX(PASTE_ALL,23,4)),1)="-"),999))-(RIGHT(MID(TRIM(INDEX(PASTE_ALL,23,4)),1+(LEFT(TRIM(INDEX(PASTE_ALL,23,4)),1)="-"),999),1)="%")),"0",""),"1",""),"2",""),"3",""),"4",""),"5",""),"6",""),"7",""),"8",""),"9",""),".",""),",","")=""),2,1))),1)</f>
        <v/>
      </c>
      <c r="AC72">
        <f>IFERROR(IF(ISNUMBER(INDEX(PASTE_ALL,23,5)),2,IF(TRIM(INDEX(PASTE_ALL,23,5))="",0,IF(AND(LEFT(MID(TRIM(INDEX(PASTE_ALL,23,5)),1+(LEFT(TRIM(INDEX(PASTE_ALL,23,5)),1)="-"),999),LEN(MID(TRIM(INDEX(PASTE_ALL,23,5)),1+(LEFT(TRIM(INDEX(PASTE_ALL,23,5)),1)="-"),999))-(RIGHT(MID(TRIM(INDEX(PASTE_ALL,23,5)),1+(LEFT(TRIM(INDEX(PASTE_ALL,23,5)),1)="-"),999),1)="%"))&lt;&gt;"",SUBSTITUTE(SUBSTITUTE(SUBSTITUTE(SUBSTITUTE(SUBSTITUTE(SUBSTITUTE(SUBSTITUTE(SUBSTITUTE(SUBSTITUTE(SUBSTITUTE(SUBSTITUTE(SUBSTITUTE(LEFT(MID(TRIM(INDEX(PASTE_ALL,23,5)),1+(LEFT(TRIM(INDEX(PASTE_ALL,23,5)),1)="-"),999),LEN(MID(TRIM(INDEX(PASTE_ALL,23,5)),1+(LEFT(TRIM(INDEX(PASTE_ALL,23,5)),1)="-"),999))-(RIGHT(MID(TRIM(INDEX(PASTE_ALL,23,5)),1+(LEFT(TRIM(INDEX(PASTE_ALL,23,5)),1)="-"),999),1)="%")),"0",""),"1",""),"2",""),"3",""),"4",""),"5",""),"6",""),"7",""),"8",""),"9",""),".",""),",","")=""),2,1))),1)</f>
        <v/>
      </c>
      <c r="AD72">
        <f>IFERROR(IF(ISNUMBER(INDEX(PASTE_ALL,23,6)),2,IF(TRIM(INDEX(PASTE_ALL,23,6))="",0,IF(AND(LEFT(MID(TRIM(INDEX(PASTE_ALL,23,6)),1+(LEFT(TRIM(INDEX(PASTE_ALL,23,6)),1)="-"),999),LEN(MID(TRIM(INDEX(PASTE_ALL,23,6)),1+(LEFT(TRIM(INDEX(PASTE_ALL,23,6)),1)="-"),999))-(RIGHT(MID(TRIM(INDEX(PASTE_ALL,23,6)),1+(LEFT(TRIM(INDEX(PASTE_ALL,23,6)),1)="-"),999),1)="%"))&lt;&gt;"",SUBSTITUTE(SUBSTITUTE(SUBSTITUTE(SUBSTITUTE(SUBSTITUTE(SUBSTITUTE(SUBSTITUTE(SUBSTITUTE(SUBSTITUTE(SUBSTITUTE(SUBSTITUTE(SUBSTITUTE(LEFT(MID(TRIM(INDEX(PASTE_ALL,23,6)),1+(LEFT(TRIM(INDEX(PASTE_ALL,23,6)),1)="-"),999),LEN(MID(TRIM(INDEX(PASTE_ALL,23,6)),1+(LEFT(TRIM(INDEX(PASTE_ALL,23,6)),1)="-"),999))-(RIGHT(MID(TRIM(INDEX(PASTE_ALL,23,6)),1+(LEFT(TRIM(INDEX(PASTE_ALL,23,6)),1)="-"),999),1)="%")),"0",""),"1",""),"2",""),"3",""),"4",""),"5",""),"6",""),"7",""),"8",""),"9",""),".",""),",","")=""),2,1))),1)</f>
        <v/>
      </c>
      <c r="AE72">
        <f>IFERROR(IF(ISNUMBER(INDEX(PASTE_ALL,23,7)),2,IF(TRIM(INDEX(PASTE_ALL,23,7))="",0,IF(AND(LEFT(MID(TRIM(INDEX(PASTE_ALL,23,7)),1+(LEFT(TRIM(INDEX(PASTE_ALL,23,7)),1)="-"),999),LEN(MID(TRIM(INDEX(PASTE_ALL,23,7)),1+(LEFT(TRIM(INDEX(PASTE_ALL,23,7)),1)="-"),999))-(RIGHT(MID(TRIM(INDEX(PASTE_ALL,23,7)),1+(LEFT(TRIM(INDEX(PASTE_ALL,23,7)),1)="-"),999),1)="%"))&lt;&gt;"",SUBSTITUTE(SUBSTITUTE(SUBSTITUTE(SUBSTITUTE(SUBSTITUTE(SUBSTITUTE(SUBSTITUTE(SUBSTITUTE(SUBSTITUTE(SUBSTITUTE(SUBSTITUTE(SUBSTITUTE(LEFT(MID(TRIM(INDEX(PASTE_ALL,23,7)),1+(LEFT(TRIM(INDEX(PASTE_ALL,23,7)),1)="-"),999),LEN(MID(TRIM(INDEX(PASTE_ALL,23,7)),1+(LEFT(TRIM(INDEX(PASTE_ALL,23,7)),1)="-"),999))-(RIGHT(MID(TRIM(INDEX(PASTE_ALL,23,7)),1+(LEFT(TRIM(INDEX(PASTE_ALL,23,7)),1)="-"),999),1)="%")),"0",""),"1",""),"2",""),"3",""),"4",""),"5",""),"6",""),"7",""),"8",""),"9",""),".",""),",","")=""),2,1))),1)</f>
        <v/>
      </c>
      <c r="AF72">
        <f>IFERROR(IF(ISNUMBER(INDEX(PASTE_ALL,23,8)),2,IF(TRIM(INDEX(PASTE_ALL,23,8))="",0,IF(AND(LEFT(MID(TRIM(INDEX(PASTE_ALL,23,8)),1+(LEFT(TRIM(INDEX(PASTE_ALL,23,8)),1)="-"),999),LEN(MID(TRIM(INDEX(PASTE_ALL,23,8)),1+(LEFT(TRIM(INDEX(PASTE_ALL,23,8)),1)="-"),999))-(RIGHT(MID(TRIM(INDEX(PASTE_ALL,23,8)),1+(LEFT(TRIM(INDEX(PASTE_ALL,23,8)),1)="-"),999),1)="%"))&lt;&gt;"",SUBSTITUTE(SUBSTITUTE(SUBSTITUTE(SUBSTITUTE(SUBSTITUTE(SUBSTITUTE(SUBSTITUTE(SUBSTITUTE(SUBSTITUTE(SUBSTITUTE(SUBSTITUTE(SUBSTITUTE(LEFT(MID(TRIM(INDEX(PASTE_ALL,23,8)),1+(LEFT(TRIM(INDEX(PASTE_ALL,23,8)),1)="-"),999),LEN(MID(TRIM(INDEX(PASTE_ALL,23,8)),1+(LEFT(TRIM(INDEX(PASTE_ALL,23,8)),1)="-"),999))-(RIGHT(MID(TRIM(INDEX(PASTE_ALL,23,8)),1+(LEFT(TRIM(INDEX(PASTE_ALL,23,8)),1)="-"),999),1)="%")),"0",""),"1",""),"2",""),"3",""),"4",""),"5",""),"6",""),"7",""),"8",""),"9",""),".",""),",","")=""),2,1))),1)</f>
        <v/>
      </c>
      <c r="AG72">
        <f>IFERROR(IF(ISNUMBER(INDEX(PASTE_ALL,23,9)),2,IF(TRIM(INDEX(PASTE_ALL,23,9))="",0,IF(AND(LEFT(MID(TRIM(INDEX(PASTE_ALL,23,9)),1+(LEFT(TRIM(INDEX(PASTE_ALL,23,9)),1)="-"),999),LEN(MID(TRIM(INDEX(PASTE_ALL,23,9)),1+(LEFT(TRIM(INDEX(PASTE_ALL,23,9)),1)="-"),999))-(RIGHT(MID(TRIM(INDEX(PASTE_ALL,23,9)),1+(LEFT(TRIM(INDEX(PASTE_ALL,23,9)),1)="-"),999),1)="%"))&lt;&gt;"",SUBSTITUTE(SUBSTITUTE(SUBSTITUTE(SUBSTITUTE(SUBSTITUTE(SUBSTITUTE(SUBSTITUTE(SUBSTITUTE(SUBSTITUTE(SUBSTITUTE(SUBSTITUTE(SUBSTITUTE(LEFT(MID(TRIM(INDEX(PASTE_ALL,23,9)),1+(LEFT(TRIM(INDEX(PASTE_ALL,23,9)),1)="-"),999),LEN(MID(TRIM(INDEX(PASTE_ALL,23,9)),1+(LEFT(TRIM(INDEX(PASTE_ALL,23,9)),1)="-"),999))-(RIGHT(MID(TRIM(INDEX(PASTE_ALL,23,9)),1+(LEFT(TRIM(INDEX(PASTE_ALL,23,9)),1)="-"),999),1)="%")),"0",""),"1",""),"2",""),"3",""),"4",""),"5",""),"6",""),"7",""),"8",""),"9",""),".",""),",","")=""),2,1))),1)</f>
        <v/>
      </c>
      <c r="AH72">
        <f>IFERROR(IF(ISNUMBER(INDEX(PASTE_ALL,23,10)),2,IF(TRIM(INDEX(PASTE_ALL,23,10))="",0,IF(AND(LEFT(MID(TRIM(INDEX(PASTE_ALL,23,10)),1+(LEFT(TRIM(INDEX(PASTE_ALL,23,10)),1)="-"),999),LEN(MID(TRIM(INDEX(PASTE_ALL,23,10)),1+(LEFT(TRIM(INDEX(PASTE_ALL,23,10)),1)="-"),999))-(RIGHT(MID(TRIM(INDEX(PASTE_ALL,23,10)),1+(LEFT(TRIM(INDEX(PASTE_ALL,23,10)),1)="-"),999),1)="%"))&lt;&gt;"",SUBSTITUTE(SUBSTITUTE(SUBSTITUTE(SUBSTITUTE(SUBSTITUTE(SUBSTITUTE(SUBSTITUTE(SUBSTITUTE(SUBSTITUTE(SUBSTITUTE(SUBSTITUTE(SUBSTITUTE(LEFT(MID(TRIM(INDEX(PASTE_ALL,23,10)),1+(LEFT(TRIM(INDEX(PASTE_ALL,23,10)),1)="-"),999),LEN(MID(TRIM(INDEX(PASTE_ALL,23,10)),1+(LEFT(TRIM(INDEX(PASTE_ALL,23,10)),1)="-"),999))-(RIGHT(MID(TRIM(INDEX(PASTE_ALL,23,10)),1+(LEFT(TRIM(INDEX(PASTE_ALL,23,10)),1)="-"),999),1)="%")),"0",""),"1",""),"2",""),"3",""),"4",""),"5",""),"6",""),"7",""),"8",""),"9",""),".",""),",","")=""),2,1))),1)</f>
        <v/>
      </c>
      <c r="AI72">
        <f>IFERROR(IF(ISNUMBER(INDEX(PASTE_ALL,23,11)),2,IF(TRIM(INDEX(PASTE_ALL,23,11))="",0,IF(AND(LEFT(MID(TRIM(INDEX(PASTE_ALL,23,11)),1+(LEFT(TRIM(INDEX(PASTE_ALL,23,11)),1)="-"),999),LEN(MID(TRIM(INDEX(PASTE_ALL,23,11)),1+(LEFT(TRIM(INDEX(PASTE_ALL,23,11)),1)="-"),999))-(RIGHT(MID(TRIM(INDEX(PASTE_ALL,23,11)),1+(LEFT(TRIM(INDEX(PASTE_ALL,23,11)),1)="-"),999),1)="%"))&lt;&gt;"",SUBSTITUTE(SUBSTITUTE(SUBSTITUTE(SUBSTITUTE(SUBSTITUTE(SUBSTITUTE(SUBSTITUTE(SUBSTITUTE(SUBSTITUTE(SUBSTITUTE(SUBSTITUTE(SUBSTITUTE(LEFT(MID(TRIM(INDEX(PASTE_ALL,23,11)),1+(LEFT(TRIM(INDEX(PASTE_ALL,23,11)),1)="-"),999),LEN(MID(TRIM(INDEX(PASTE_ALL,23,11)),1+(LEFT(TRIM(INDEX(PASTE_ALL,23,11)),1)="-"),999))-(RIGHT(MID(TRIM(INDEX(PASTE_ALL,23,11)),1+(LEFT(TRIM(INDEX(PASTE_ALL,23,11)),1)="-"),999),1)="%")),"0",""),"1",""),"2",""),"3",""),"4",""),"5",""),"6",""),"7",""),"8",""),"9",""),".",""),",","")=""),2,1))),1)</f>
        <v/>
      </c>
      <c r="AJ72">
        <f>IFERROR(IF(ISNUMBER(INDEX(PASTE_ALL,23,12)),2,IF(TRIM(INDEX(PASTE_ALL,23,12))="",0,IF(AND(LEFT(MID(TRIM(INDEX(PASTE_ALL,23,12)),1+(LEFT(TRIM(INDEX(PASTE_ALL,23,12)),1)="-"),999),LEN(MID(TRIM(INDEX(PASTE_ALL,23,12)),1+(LEFT(TRIM(INDEX(PASTE_ALL,23,12)),1)="-"),999))-(RIGHT(MID(TRIM(INDEX(PASTE_ALL,23,12)),1+(LEFT(TRIM(INDEX(PASTE_ALL,23,12)),1)="-"),999),1)="%"))&lt;&gt;"",SUBSTITUTE(SUBSTITUTE(SUBSTITUTE(SUBSTITUTE(SUBSTITUTE(SUBSTITUTE(SUBSTITUTE(SUBSTITUTE(SUBSTITUTE(SUBSTITUTE(SUBSTITUTE(SUBSTITUTE(LEFT(MID(TRIM(INDEX(PASTE_ALL,23,12)),1+(LEFT(TRIM(INDEX(PASTE_ALL,23,12)),1)="-"),999),LEN(MID(TRIM(INDEX(PASTE_ALL,23,12)),1+(LEFT(TRIM(INDEX(PASTE_ALL,23,12)),1)="-"),999))-(RIGHT(MID(TRIM(INDEX(PASTE_ALL,23,12)),1+(LEFT(TRIM(INDEX(PASTE_ALL,23,12)),1)="-"),999),1)="%")),"0",""),"1",""),"2",""),"3",""),"4",""),"5",""),"6",""),"7",""),"8",""),"9",""),".",""),",","")=""),2,1))),1)</f>
        <v/>
      </c>
      <c r="AK72">
        <f>IFERROR(IF(ISNUMBER(INDEX(PASTE_ALL,23,13)),2,IF(TRIM(INDEX(PASTE_ALL,23,13))="",0,IF(AND(LEFT(MID(TRIM(INDEX(PASTE_ALL,23,13)),1+(LEFT(TRIM(INDEX(PASTE_ALL,23,13)),1)="-"),999),LEN(MID(TRIM(INDEX(PASTE_ALL,23,13)),1+(LEFT(TRIM(INDEX(PASTE_ALL,23,13)),1)="-"),999))-(RIGHT(MID(TRIM(INDEX(PASTE_ALL,23,13)),1+(LEFT(TRIM(INDEX(PASTE_ALL,23,13)),1)="-"),999),1)="%"))&lt;&gt;"",SUBSTITUTE(SUBSTITUTE(SUBSTITUTE(SUBSTITUTE(SUBSTITUTE(SUBSTITUTE(SUBSTITUTE(SUBSTITUTE(SUBSTITUTE(SUBSTITUTE(SUBSTITUTE(SUBSTITUTE(LEFT(MID(TRIM(INDEX(PASTE_ALL,23,13)),1+(LEFT(TRIM(INDEX(PASTE_ALL,23,13)),1)="-"),999),LEN(MID(TRIM(INDEX(PASTE_ALL,23,13)),1+(LEFT(TRIM(INDEX(PASTE_ALL,23,13)),1)="-"),999))-(RIGHT(MID(TRIM(INDEX(PASTE_ALL,23,13)),1+(LEFT(TRIM(INDEX(PASTE_ALL,23,13)),1)="-"),999),1)="%")),"0",""),"1",""),"2",""),"3",""),"4",""),"5",""),"6",""),"7",""),"8",""),"9",""),".",""),",","")=""),2,1))),1)</f>
        <v/>
      </c>
      <c r="AL72">
        <f>IFERROR(IF(ISNUMBER(INDEX(PASTE_ALL,23,14)),2,IF(TRIM(INDEX(PASTE_ALL,23,14))="",0,IF(AND(LEFT(MID(TRIM(INDEX(PASTE_ALL,23,14)),1+(LEFT(TRIM(INDEX(PASTE_ALL,23,14)),1)="-"),999),LEN(MID(TRIM(INDEX(PASTE_ALL,23,14)),1+(LEFT(TRIM(INDEX(PASTE_ALL,23,14)),1)="-"),999))-(RIGHT(MID(TRIM(INDEX(PASTE_ALL,23,14)),1+(LEFT(TRIM(INDEX(PASTE_ALL,23,14)),1)="-"),999),1)="%"))&lt;&gt;"",SUBSTITUTE(SUBSTITUTE(SUBSTITUTE(SUBSTITUTE(SUBSTITUTE(SUBSTITUTE(SUBSTITUTE(SUBSTITUTE(SUBSTITUTE(SUBSTITUTE(SUBSTITUTE(SUBSTITUTE(LEFT(MID(TRIM(INDEX(PASTE_ALL,23,14)),1+(LEFT(TRIM(INDEX(PASTE_ALL,23,14)),1)="-"),999),LEN(MID(TRIM(INDEX(PASTE_ALL,23,14)),1+(LEFT(TRIM(INDEX(PASTE_ALL,23,14)),1)="-"),999))-(RIGHT(MID(TRIM(INDEX(PASTE_ALL,23,14)),1+(LEFT(TRIM(INDEX(PASTE_ALL,23,14)),1)="-"),999),1)="%")),"0",""),"1",""),"2",""),"3",""),"4",""),"5",""),"6",""),"7",""),"8",""),"9",""),".",""),",","")=""),2,1))),1)</f>
        <v/>
      </c>
      <c r="AM72">
        <f>IFERROR(IF(ISNUMBER(INDEX(PASTE_ALL,23,15)),2,IF(TRIM(INDEX(PASTE_ALL,23,15))="",0,IF(AND(LEFT(MID(TRIM(INDEX(PASTE_ALL,23,15)),1+(LEFT(TRIM(INDEX(PASTE_ALL,23,15)),1)="-"),999),LEN(MID(TRIM(INDEX(PASTE_ALL,23,15)),1+(LEFT(TRIM(INDEX(PASTE_ALL,23,15)),1)="-"),999))-(RIGHT(MID(TRIM(INDEX(PASTE_ALL,23,15)),1+(LEFT(TRIM(INDEX(PASTE_ALL,23,15)),1)="-"),999),1)="%"))&lt;&gt;"",SUBSTITUTE(SUBSTITUTE(SUBSTITUTE(SUBSTITUTE(SUBSTITUTE(SUBSTITUTE(SUBSTITUTE(SUBSTITUTE(SUBSTITUTE(SUBSTITUTE(SUBSTITUTE(SUBSTITUTE(LEFT(MID(TRIM(INDEX(PASTE_ALL,23,15)),1+(LEFT(TRIM(INDEX(PASTE_ALL,23,15)),1)="-"),999),LEN(MID(TRIM(INDEX(PASTE_ALL,23,15)),1+(LEFT(TRIM(INDEX(PASTE_ALL,23,15)),1)="-"),999))-(RIGHT(MID(TRIM(INDEX(PASTE_ALL,23,15)),1+(LEFT(TRIM(INDEX(PASTE_ALL,23,15)),1)="-"),999),1)="%")),"0",""),"1",""),"2",""),"3",""),"4",""),"5",""),"6",""),"7",""),"8",""),"9",""),".",""),",","")=""),2,1))),1)</f>
        <v/>
      </c>
      <c r="AN72">
        <f>IFERROR(IF(ISNUMBER(INDEX(PASTE_ALL,23,16)),2,IF(TRIM(INDEX(PASTE_ALL,23,16))="",0,IF(AND(LEFT(MID(TRIM(INDEX(PASTE_ALL,23,16)),1+(LEFT(TRIM(INDEX(PASTE_ALL,23,16)),1)="-"),999),LEN(MID(TRIM(INDEX(PASTE_ALL,23,16)),1+(LEFT(TRIM(INDEX(PASTE_ALL,23,16)),1)="-"),999))-(RIGHT(MID(TRIM(INDEX(PASTE_ALL,23,16)),1+(LEFT(TRIM(INDEX(PASTE_ALL,23,16)),1)="-"),999),1)="%"))&lt;&gt;"",SUBSTITUTE(SUBSTITUTE(SUBSTITUTE(SUBSTITUTE(SUBSTITUTE(SUBSTITUTE(SUBSTITUTE(SUBSTITUTE(SUBSTITUTE(SUBSTITUTE(SUBSTITUTE(SUBSTITUTE(LEFT(MID(TRIM(INDEX(PASTE_ALL,23,16)),1+(LEFT(TRIM(INDEX(PASTE_ALL,23,16)),1)="-"),999),LEN(MID(TRIM(INDEX(PASTE_ALL,23,16)),1+(LEFT(TRIM(INDEX(PASTE_ALL,23,16)),1)="-"),999))-(RIGHT(MID(TRIM(INDEX(PASTE_ALL,23,16)),1+(LEFT(TRIM(INDEX(PASTE_ALL,23,16)),1)="-"),999),1)="%")),"0",""),"1",""),"2",""),"3",""),"4",""),"5",""),"6",""),"7",""),"8",""),"9",""),".",""),",","")=""),2,1))),1)</f>
        <v/>
      </c>
      <c r="AO72">
        <f>IFERROR(IF(ISNUMBER(INDEX(PASTE_ALL,23,17)),2,IF(TRIM(INDEX(PASTE_ALL,23,17))="",0,IF(AND(LEFT(MID(TRIM(INDEX(PASTE_ALL,23,17)),1+(LEFT(TRIM(INDEX(PASTE_ALL,23,17)),1)="-"),999),LEN(MID(TRIM(INDEX(PASTE_ALL,23,17)),1+(LEFT(TRIM(INDEX(PASTE_ALL,23,17)),1)="-"),999))-(RIGHT(MID(TRIM(INDEX(PASTE_ALL,23,17)),1+(LEFT(TRIM(INDEX(PASTE_ALL,23,17)),1)="-"),999),1)="%"))&lt;&gt;"",SUBSTITUTE(SUBSTITUTE(SUBSTITUTE(SUBSTITUTE(SUBSTITUTE(SUBSTITUTE(SUBSTITUTE(SUBSTITUTE(SUBSTITUTE(SUBSTITUTE(SUBSTITUTE(SUBSTITUTE(LEFT(MID(TRIM(INDEX(PASTE_ALL,23,17)),1+(LEFT(TRIM(INDEX(PASTE_ALL,23,17)),1)="-"),999),LEN(MID(TRIM(INDEX(PASTE_ALL,23,17)),1+(LEFT(TRIM(INDEX(PASTE_ALL,23,17)),1)="-"),999))-(RIGHT(MID(TRIM(INDEX(PASTE_ALL,23,17)),1+(LEFT(TRIM(INDEX(PASTE_ALL,23,17)),1)="-"),999),1)="%")),"0",""),"1",""),"2",""),"3",""),"4",""),"5",""),"6",""),"7",""),"8",""),"9",""),".",""),",","")=""),2,1))),1)</f>
        <v/>
      </c>
      <c r="AP72">
        <f>IFERROR(IF(ISNUMBER(INDEX(PASTE_ALL,23,18)),2,IF(TRIM(INDEX(PASTE_ALL,23,18))="",0,IF(AND(LEFT(MID(TRIM(INDEX(PASTE_ALL,23,18)),1+(LEFT(TRIM(INDEX(PASTE_ALL,23,18)),1)="-"),999),LEN(MID(TRIM(INDEX(PASTE_ALL,23,18)),1+(LEFT(TRIM(INDEX(PASTE_ALL,23,18)),1)="-"),999))-(RIGHT(MID(TRIM(INDEX(PASTE_ALL,23,18)),1+(LEFT(TRIM(INDEX(PASTE_ALL,23,18)),1)="-"),999),1)="%"))&lt;&gt;"",SUBSTITUTE(SUBSTITUTE(SUBSTITUTE(SUBSTITUTE(SUBSTITUTE(SUBSTITUTE(SUBSTITUTE(SUBSTITUTE(SUBSTITUTE(SUBSTITUTE(SUBSTITUTE(SUBSTITUTE(LEFT(MID(TRIM(INDEX(PASTE_ALL,23,18)),1+(LEFT(TRIM(INDEX(PASTE_ALL,23,18)),1)="-"),999),LEN(MID(TRIM(INDEX(PASTE_ALL,23,18)),1+(LEFT(TRIM(INDEX(PASTE_ALL,23,18)),1)="-"),999))-(RIGHT(MID(TRIM(INDEX(PASTE_ALL,23,18)),1+(LEFT(TRIM(INDEX(PASTE_ALL,23,18)),1)="-"),999),1)="%")),"0",""),"1",""),"2",""),"3",""),"4",""),"5",""),"6",""),"7",""),"8",""),"9",""),".",""),",","")=""),2,1))),1)</f>
        <v/>
      </c>
      <c r="AQ72">
        <f>IFERROR(IF(ISNUMBER(INDEX(PASTE_ALL,23,19)),2,IF(TRIM(INDEX(PASTE_ALL,23,19))="",0,IF(AND(LEFT(MID(TRIM(INDEX(PASTE_ALL,23,19)),1+(LEFT(TRIM(INDEX(PASTE_ALL,23,19)),1)="-"),999),LEN(MID(TRIM(INDEX(PASTE_ALL,23,19)),1+(LEFT(TRIM(INDEX(PASTE_ALL,23,19)),1)="-"),999))-(RIGHT(MID(TRIM(INDEX(PASTE_ALL,23,19)),1+(LEFT(TRIM(INDEX(PASTE_ALL,23,19)),1)="-"),999),1)="%"))&lt;&gt;"",SUBSTITUTE(SUBSTITUTE(SUBSTITUTE(SUBSTITUTE(SUBSTITUTE(SUBSTITUTE(SUBSTITUTE(SUBSTITUTE(SUBSTITUTE(SUBSTITUTE(SUBSTITUTE(SUBSTITUTE(LEFT(MID(TRIM(INDEX(PASTE_ALL,23,19)),1+(LEFT(TRIM(INDEX(PASTE_ALL,23,19)),1)="-"),999),LEN(MID(TRIM(INDEX(PASTE_ALL,23,19)),1+(LEFT(TRIM(INDEX(PASTE_ALL,23,19)),1)="-"),999))-(RIGHT(MID(TRIM(INDEX(PASTE_ALL,23,19)),1+(LEFT(TRIM(INDEX(PASTE_ALL,23,19)),1)="-"),999),1)="%")),"0",""),"1",""),"2",""),"3",""),"4",""),"5",""),"6",""),"7",""),"8",""),"9",""),".",""),",","")=""),2,1))),1)</f>
        <v/>
      </c>
      <c r="AR72">
        <f>IFERROR(IF(ISNUMBER(INDEX(PASTE_ALL,23,20)),2,IF(TRIM(INDEX(PASTE_ALL,23,20))="",0,IF(AND(LEFT(MID(TRIM(INDEX(PASTE_ALL,23,20)),1+(LEFT(TRIM(INDEX(PASTE_ALL,23,20)),1)="-"),999),LEN(MID(TRIM(INDEX(PASTE_ALL,23,20)),1+(LEFT(TRIM(INDEX(PASTE_ALL,23,20)),1)="-"),999))-(RIGHT(MID(TRIM(INDEX(PASTE_ALL,23,20)),1+(LEFT(TRIM(INDEX(PASTE_ALL,23,20)),1)="-"),999),1)="%"))&lt;&gt;"",SUBSTITUTE(SUBSTITUTE(SUBSTITUTE(SUBSTITUTE(SUBSTITUTE(SUBSTITUTE(SUBSTITUTE(SUBSTITUTE(SUBSTITUTE(SUBSTITUTE(SUBSTITUTE(SUBSTITUTE(LEFT(MID(TRIM(INDEX(PASTE_ALL,23,20)),1+(LEFT(TRIM(INDEX(PASTE_ALL,23,20)),1)="-"),999),LEN(MID(TRIM(INDEX(PASTE_ALL,23,20)),1+(LEFT(TRIM(INDEX(PASTE_ALL,23,20)),1)="-"),999))-(RIGHT(MID(TRIM(INDEX(PASTE_ALL,23,20)),1+(LEFT(TRIM(INDEX(PASTE_ALL,23,20)),1)="-"),999),1)="%")),"0",""),"1",""),"2",""),"3",""),"4",""),"5",""),"6",""),"7",""),"8",""),"9",""),".",""),",","")=""),2,1))),1)</f>
        <v/>
      </c>
      <c r="AS72">
        <f>IFERROR(IF(ISNUMBER(INDEX(PASTE_ALL,23,21)),2,IF(TRIM(INDEX(PASTE_ALL,23,21))="",0,IF(AND(LEFT(MID(TRIM(INDEX(PASTE_ALL,23,21)),1+(LEFT(TRIM(INDEX(PASTE_ALL,23,21)),1)="-"),999),LEN(MID(TRIM(INDEX(PASTE_ALL,23,21)),1+(LEFT(TRIM(INDEX(PASTE_ALL,23,21)),1)="-"),999))-(RIGHT(MID(TRIM(INDEX(PASTE_ALL,23,21)),1+(LEFT(TRIM(INDEX(PASTE_ALL,23,21)),1)="-"),999),1)="%"))&lt;&gt;"",SUBSTITUTE(SUBSTITUTE(SUBSTITUTE(SUBSTITUTE(SUBSTITUTE(SUBSTITUTE(SUBSTITUTE(SUBSTITUTE(SUBSTITUTE(SUBSTITUTE(SUBSTITUTE(SUBSTITUTE(LEFT(MID(TRIM(INDEX(PASTE_ALL,23,21)),1+(LEFT(TRIM(INDEX(PASTE_ALL,23,21)),1)="-"),999),LEN(MID(TRIM(INDEX(PASTE_ALL,23,21)),1+(LEFT(TRIM(INDEX(PASTE_ALL,23,21)),1)="-"),999))-(RIGHT(MID(TRIM(INDEX(PASTE_ALL,23,21)),1+(LEFT(TRIM(INDEX(PASTE_ALL,23,21)),1)="-"),999),1)="%")),"0",""),"1",""),"2",""),"3",""),"4",""),"5",""),"6",""),"7",""),"8",""),"9",""),".",""),",","")=""),2,1))),1)</f>
        <v/>
      </c>
      <c r="AT72">
        <f>IFERROR(IF(ISNUMBER(INDEX(PASTE_ALL,23,22)),2,IF(TRIM(INDEX(PASTE_ALL,23,22))="",0,IF(AND(LEFT(MID(TRIM(INDEX(PASTE_ALL,23,22)),1+(LEFT(TRIM(INDEX(PASTE_ALL,23,22)),1)="-"),999),LEN(MID(TRIM(INDEX(PASTE_ALL,23,22)),1+(LEFT(TRIM(INDEX(PASTE_ALL,23,22)),1)="-"),999))-(RIGHT(MID(TRIM(INDEX(PASTE_ALL,23,22)),1+(LEFT(TRIM(INDEX(PASTE_ALL,23,22)),1)="-"),999),1)="%"))&lt;&gt;"",SUBSTITUTE(SUBSTITUTE(SUBSTITUTE(SUBSTITUTE(SUBSTITUTE(SUBSTITUTE(SUBSTITUTE(SUBSTITUTE(SUBSTITUTE(SUBSTITUTE(SUBSTITUTE(SUBSTITUTE(LEFT(MID(TRIM(INDEX(PASTE_ALL,23,22)),1+(LEFT(TRIM(INDEX(PASTE_ALL,23,22)),1)="-"),999),LEN(MID(TRIM(INDEX(PASTE_ALL,23,22)),1+(LEFT(TRIM(INDEX(PASTE_ALL,23,22)),1)="-"),999))-(RIGHT(MID(TRIM(INDEX(PASTE_ALL,23,22)),1+(LEFT(TRIM(INDEX(PASTE_ALL,23,22)),1)="-"),999),1)="%")),"0",""),"1",""),"2",""),"3",""),"4",""),"5",""),"6",""),"7",""),"8",""),"9",""),".",""),",","")=""),2,1))),1)</f>
        <v/>
      </c>
      <c r="AU72">
        <f>IFERROR(IF(ISNUMBER(INDEX(PASTE_ALL,23,23)),2,IF(TRIM(INDEX(PASTE_ALL,23,23))="",0,IF(AND(LEFT(MID(TRIM(INDEX(PASTE_ALL,23,23)),1+(LEFT(TRIM(INDEX(PASTE_ALL,23,23)),1)="-"),999),LEN(MID(TRIM(INDEX(PASTE_ALL,23,23)),1+(LEFT(TRIM(INDEX(PASTE_ALL,23,23)),1)="-"),999))-(RIGHT(MID(TRIM(INDEX(PASTE_ALL,23,23)),1+(LEFT(TRIM(INDEX(PASTE_ALL,23,23)),1)="-"),999),1)="%"))&lt;&gt;"",SUBSTITUTE(SUBSTITUTE(SUBSTITUTE(SUBSTITUTE(SUBSTITUTE(SUBSTITUTE(SUBSTITUTE(SUBSTITUTE(SUBSTITUTE(SUBSTITUTE(SUBSTITUTE(SUBSTITUTE(LEFT(MID(TRIM(INDEX(PASTE_ALL,23,23)),1+(LEFT(TRIM(INDEX(PASTE_ALL,23,23)),1)="-"),999),LEN(MID(TRIM(INDEX(PASTE_ALL,23,23)),1+(LEFT(TRIM(INDEX(PASTE_ALL,23,23)),1)="-"),999))-(RIGHT(MID(TRIM(INDEX(PASTE_ALL,23,23)),1+(LEFT(TRIM(INDEX(PASTE_ALL,23,23)),1)="-"),999),1)="%")),"0",""),"1",""),"2",""),"3",""),"4",""),"5",""),"6",""),"7",""),"8",""),"9",""),".",""),",","")=""),2,1))),1)</f>
        <v/>
      </c>
      <c r="AV72">
        <f>IFERROR(IF(ISNUMBER(INDEX(PASTE_ALL,23,24)),2,IF(TRIM(INDEX(PASTE_ALL,23,24))="",0,IF(AND(LEFT(MID(TRIM(INDEX(PASTE_ALL,23,24)),1+(LEFT(TRIM(INDEX(PASTE_ALL,23,24)),1)="-"),999),LEN(MID(TRIM(INDEX(PASTE_ALL,23,24)),1+(LEFT(TRIM(INDEX(PASTE_ALL,23,24)),1)="-"),999))-(RIGHT(MID(TRIM(INDEX(PASTE_ALL,23,24)),1+(LEFT(TRIM(INDEX(PASTE_ALL,23,24)),1)="-"),999),1)="%"))&lt;&gt;"",SUBSTITUTE(SUBSTITUTE(SUBSTITUTE(SUBSTITUTE(SUBSTITUTE(SUBSTITUTE(SUBSTITUTE(SUBSTITUTE(SUBSTITUTE(SUBSTITUTE(SUBSTITUTE(SUBSTITUTE(LEFT(MID(TRIM(INDEX(PASTE_ALL,23,24)),1+(LEFT(TRIM(INDEX(PASTE_ALL,23,24)),1)="-"),999),LEN(MID(TRIM(INDEX(PASTE_ALL,23,24)),1+(LEFT(TRIM(INDEX(PASTE_ALL,23,24)),1)="-"),999))-(RIGHT(MID(TRIM(INDEX(PASTE_ALL,23,24)),1+(LEFT(TRIM(INDEX(PASTE_ALL,23,24)),1)="-"),999),1)="%")),"0",""),"1",""),"2",""),"3",""),"4",""),"5",""),"6",""),"7",""),"8",""),"9",""),".",""),",","")=""),2,1))),1)</f>
        <v/>
      </c>
      <c r="AW72">
        <f>IFERROR(IF(ISNUMBER(INDEX(PASTE_ALL,23,25)),2,IF(TRIM(INDEX(PASTE_ALL,23,25))="",0,IF(AND(LEFT(MID(TRIM(INDEX(PASTE_ALL,23,25)),1+(LEFT(TRIM(INDEX(PASTE_ALL,23,25)),1)="-"),999),LEN(MID(TRIM(INDEX(PASTE_ALL,23,25)),1+(LEFT(TRIM(INDEX(PASTE_ALL,23,25)),1)="-"),999))-(RIGHT(MID(TRIM(INDEX(PASTE_ALL,23,25)),1+(LEFT(TRIM(INDEX(PASTE_ALL,23,25)),1)="-"),999),1)="%"))&lt;&gt;"",SUBSTITUTE(SUBSTITUTE(SUBSTITUTE(SUBSTITUTE(SUBSTITUTE(SUBSTITUTE(SUBSTITUTE(SUBSTITUTE(SUBSTITUTE(SUBSTITUTE(SUBSTITUTE(SUBSTITUTE(LEFT(MID(TRIM(INDEX(PASTE_ALL,23,25)),1+(LEFT(TRIM(INDEX(PASTE_ALL,23,25)),1)="-"),999),LEN(MID(TRIM(INDEX(PASTE_ALL,23,25)),1+(LEFT(TRIM(INDEX(PASTE_ALL,23,25)),1)="-"),999))-(RIGHT(MID(TRIM(INDEX(PASTE_ALL,23,25)),1+(LEFT(TRIM(INDEX(PASTE_ALL,23,25)),1)="-"),999),1)="%")),"0",""),"1",""),"2",""),"3",""),"4",""),"5",""),"6",""),"7",""),"8",""),"9",""),".",""),",","")=""),2,1))),1)</f>
        <v/>
      </c>
      <c r="AX72">
        <f>IFERROR(IF(ISNUMBER(INDEX(PASTE_ALL,23,26)),2,IF(TRIM(INDEX(PASTE_ALL,23,26))="",0,IF(AND(LEFT(MID(TRIM(INDEX(PASTE_ALL,23,26)),1+(LEFT(TRIM(INDEX(PASTE_ALL,23,26)),1)="-"),999),LEN(MID(TRIM(INDEX(PASTE_ALL,23,26)),1+(LEFT(TRIM(INDEX(PASTE_ALL,23,26)),1)="-"),999))-(RIGHT(MID(TRIM(INDEX(PASTE_ALL,23,26)),1+(LEFT(TRIM(INDEX(PASTE_ALL,23,26)),1)="-"),999),1)="%"))&lt;&gt;"",SUBSTITUTE(SUBSTITUTE(SUBSTITUTE(SUBSTITUTE(SUBSTITUTE(SUBSTITUTE(SUBSTITUTE(SUBSTITUTE(SUBSTITUTE(SUBSTITUTE(SUBSTITUTE(SUBSTITUTE(LEFT(MID(TRIM(INDEX(PASTE_ALL,23,26)),1+(LEFT(TRIM(INDEX(PASTE_ALL,23,26)),1)="-"),999),LEN(MID(TRIM(INDEX(PASTE_ALL,23,26)),1+(LEFT(TRIM(INDEX(PASTE_ALL,23,26)),1)="-"),999))-(RIGHT(MID(TRIM(INDEX(PASTE_ALL,23,26)),1+(LEFT(TRIM(INDEX(PASTE_ALL,23,26)),1)="-"),999),1)="%")),"0",""),"1",""),"2",""),"3",""),"4",""),"5",""),"6",""),"7",""),"8",""),"9",""),".",""),",","")=""),2,1))),1)</f>
        <v/>
      </c>
      <c r="AY72">
        <f>IFERROR(IF(ISNUMBER(INDEX(PASTE_ALL,23,27)),2,IF(TRIM(INDEX(PASTE_ALL,23,27))="",0,IF(AND(LEFT(MID(TRIM(INDEX(PASTE_ALL,23,27)),1+(LEFT(TRIM(INDEX(PASTE_ALL,23,27)),1)="-"),999),LEN(MID(TRIM(INDEX(PASTE_ALL,23,27)),1+(LEFT(TRIM(INDEX(PASTE_ALL,23,27)),1)="-"),999))-(RIGHT(MID(TRIM(INDEX(PASTE_ALL,23,27)),1+(LEFT(TRIM(INDEX(PASTE_ALL,23,27)),1)="-"),999),1)="%"))&lt;&gt;"",SUBSTITUTE(SUBSTITUTE(SUBSTITUTE(SUBSTITUTE(SUBSTITUTE(SUBSTITUTE(SUBSTITUTE(SUBSTITUTE(SUBSTITUTE(SUBSTITUTE(SUBSTITUTE(SUBSTITUTE(LEFT(MID(TRIM(INDEX(PASTE_ALL,23,27)),1+(LEFT(TRIM(INDEX(PASTE_ALL,23,27)),1)="-"),999),LEN(MID(TRIM(INDEX(PASTE_ALL,23,27)),1+(LEFT(TRIM(INDEX(PASTE_ALL,23,27)),1)="-"),999))-(RIGHT(MID(TRIM(INDEX(PASTE_ALL,23,27)),1+(LEFT(TRIM(INDEX(PASTE_ALL,23,27)),1)="-"),999),1)="%")),"0",""),"1",""),"2",""),"3",""),"4",""),"5",""),"6",""),"7",""),"8",""),"9",""),".",""),",","")=""),2,1))),1)</f>
        <v/>
      </c>
      <c r="AZ72">
        <f>IFERROR(IF(ISNUMBER(INDEX(PASTE_ALL,23,28)),2,IF(TRIM(INDEX(PASTE_ALL,23,28))="",0,IF(AND(LEFT(MID(TRIM(INDEX(PASTE_ALL,23,28)),1+(LEFT(TRIM(INDEX(PASTE_ALL,23,28)),1)="-"),999),LEN(MID(TRIM(INDEX(PASTE_ALL,23,28)),1+(LEFT(TRIM(INDEX(PASTE_ALL,23,28)),1)="-"),999))-(RIGHT(MID(TRIM(INDEX(PASTE_ALL,23,28)),1+(LEFT(TRIM(INDEX(PASTE_ALL,23,28)),1)="-"),999),1)="%"))&lt;&gt;"",SUBSTITUTE(SUBSTITUTE(SUBSTITUTE(SUBSTITUTE(SUBSTITUTE(SUBSTITUTE(SUBSTITUTE(SUBSTITUTE(SUBSTITUTE(SUBSTITUTE(SUBSTITUTE(SUBSTITUTE(LEFT(MID(TRIM(INDEX(PASTE_ALL,23,28)),1+(LEFT(TRIM(INDEX(PASTE_ALL,23,28)),1)="-"),999),LEN(MID(TRIM(INDEX(PASTE_ALL,23,28)),1+(LEFT(TRIM(INDEX(PASTE_ALL,23,28)),1)="-"),999))-(RIGHT(MID(TRIM(INDEX(PASTE_ALL,23,28)),1+(LEFT(TRIM(INDEX(PASTE_ALL,23,28)),1)="-"),999),1)="%")),"0",""),"1",""),"2",""),"3",""),"4",""),"5",""),"6",""),"7",""),"8",""),"9",""),".",""),",","")=""),2,1))),1)</f>
        <v/>
      </c>
      <c r="BA72">
        <f>IFERROR(IF(ISNUMBER(INDEX(PASTE_ALL,23,29)),2,IF(TRIM(INDEX(PASTE_ALL,23,29))="",0,IF(AND(LEFT(MID(TRIM(INDEX(PASTE_ALL,23,29)),1+(LEFT(TRIM(INDEX(PASTE_ALL,23,29)),1)="-"),999),LEN(MID(TRIM(INDEX(PASTE_ALL,23,29)),1+(LEFT(TRIM(INDEX(PASTE_ALL,23,29)),1)="-"),999))-(RIGHT(MID(TRIM(INDEX(PASTE_ALL,23,29)),1+(LEFT(TRIM(INDEX(PASTE_ALL,23,29)),1)="-"),999),1)="%"))&lt;&gt;"",SUBSTITUTE(SUBSTITUTE(SUBSTITUTE(SUBSTITUTE(SUBSTITUTE(SUBSTITUTE(SUBSTITUTE(SUBSTITUTE(SUBSTITUTE(SUBSTITUTE(SUBSTITUTE(SUBSTITUTE(LEFT(MID(TRIM(INDEX(PASTE_ALL,23,29)),1+(LEFT(TRIM(INDEX(PASTE_ALL,23,29)),1)="-"),999),LEN(MID(TRIM(INDEX(PASTE_ALL,23,29)),1+(LEFT(TRIM(INDEX(PASTE_ALL,23,29)),1)="-"),999))-(RIGHT(MID(TRIM(INDEX(PASTE_ALL,23,29)),1+(LEFT(TRIM(INDEX(PASTE_ALL,23,29)),1)="-"),999),1)="%")),"0",""),"1",""),"2",""),"3",""),"4",""),"5",""),"6",""),"7",""),"8",""),"9",""),".",""),",","")=""),2,1))),1)</f>
        <v/>
      </c>
      <c r="BB72">
        <f>IFERROR(IF(ISNUMBER(INDEX(PASTE_ALL,23,30)),2,IF(TRIM(INDEX(PASTE_ALL,23,30))="",0,IF(AND(LEFT(MID(TRIM(INDEX(PASTE_ALL,23,30)),1+(LEFT(TRIM(INDEX(PASTE_ALL,23,30)),1)="-"),999),LEN(MID(TRIM(INDEX(PASTE_ALL,23,30)),1+(LEFT(TRIM(INDEX(PASTE_ALL,23,30)),1)="-"),999))-(RIGHT(MID(TRIM(INDEX(PASTE_ALL,23,30)),1+(LEFT(TRIM(INDEX(PASTE_ALL,23,30)),1)="-"),999),1)="%"))&lt;&gt;"",SUBSTITUTE(SUBSTITUTE(SUBSTITUTE(SUBSTITUTE(SUBSTITUTE(SUBSTITUTE(SUBSTITUTE(SUBSTITUTE(SUBSTITUTE(SUBSTITUTE(SUBSTITUTE(SUBSTITUTE(LEFT(MID(TRIM(INDEX(PASTE_ALL,23,30)),1+(LEFT(TRIM(INDEX(PASTE_ALL,23,30)),1)="-"),999),LEN(MID(TRIM(INDEX(PASTE_ALL,23,30)),1+(LEFT(TRIM(INDEX(PASTE_ALL,23,30)),1)="-"),999))-(RIGHT(MID(TRIM(INDEX(PASTE_ALL,23,30)),1+(LEFT(TRIM(INDEX(PASTE_ALL,23,30)),1)="-"),999),1)="%")),"0",""),"1",""),"2",""),"3",""),"4",""),"5",""),"6",""),"7",""),"8",""),"9",""),".",""),",","")=""),2,1))),1)</f>
        <v/>
      </c>
      <c r="BC72">
        <f>IFERROR(IF(ISNUMBER(INDEX(PASTE_ALL,23,31)),2,IF(TRIM(INDEX(PASTE_ALL,23,31))="",0,IF(AND(LEFT(MID(TRIM(INDEX(PASTE_ALL,23,31)),1+(LEFT(TRIM(INDEX(PASTE_ALL,23,31)),1)="-"),999),LEN(MID(TRIM(INDEX(PASTE_ALL,23,31)),1+(LEFT(TRIM(INDEX(PASTE_ALL,23,31)),1)="-"),999))-(RIGHT(MID(TRIM(INDEX(PASTE_ALL,23,31)),1+(LEFT(TRIM(INDEX(PASTE_ALL,23,31)),1)="-"),999),1)="%"))&lt;&gt;"",SUBSTITUTE(SUBSTITUTE(SUBSTITUTE(SUBSTITUTE(SUBSTITUTE(SUBSTITUTE(SUBSTITUTE(SUBSTITUTE(SUBSTITUTE(SUBSTITUTE(SUBSTITUTE(SUBSTITUTE(LEFT(MID(TRIM(INDEX(PASTE_ALL,23,31)),1+(LEFT(TRIM(INDEX(PASTE_ALL,23,31)),1)="-"),999),LEN(MID(TRIM(INDEX(PASTE_ALL,23,31)),1+(LEFT(TRIM(INDEX(PASTE_ALL,23,31)),1)="-"),999))-(RIGHT(MID(TRIM(INDEX(PASTE_ALL,23,31)),1+(LEFT(TRIM(INDEX(PASTE_ALL,23,31)),1)="-"),999),1)="%")),"0",""),"1",""),"2",""),"3",""),"4",""),"5",""),"6",""),"7",""),"8",""),"9",""),".",""),",","")=""),2,1))),1)</f>
        <v/>
      </c>
      <c r="BD72">
        <f>IFERROR(IF(ISNUMBER(INDEX(PASTE_ALL,23,32)),2,IF(TRIM(INDEX(PASTE_ALL,23,32))="",0,IF(AND(LEFT(MID(TRIM(INDEX(PASTE_ALL,23,32)),1+(LEFT(TRIM(INDEX(PASTE_ALL,23,32)),1)="-"),999),LEN(MID(TRIM(INDEX(PASTE_ALL,23,32)),1+(LEFT(TRIM(INDEX(PASTE_ALL,23,32)),1)="-"),999))-(RIGHT(MID(TRIM(INDEX(PASTE_ALL,23,32)),1+(LEFT(TRIM(INDEX(PASTE_ALL,23,32)),1)="-"),999),1)="%"))&lt;&gt;"",SUBSTITUTE(SUBSTITUTE(SUBSTITUTE(SUBSTITUTE(SUBSTITUTE(SUBSTITUTE(SUBSTITUTE(SUBSTITUTE(SUBSTITUTE(SUBSTITUTE(SUBSTITUTE(SUBSTITUTE(LEFT(MID(TRIM(INDEX(PASTE_ALL,23,32)),1+(LEFT(TRIM(INDEX(PASTE_ALL,23,32)),1)="-"),999),LEN(MID(TRIM(INDEX(PASTE_ALL,23,32)),1+(LEFT(TRIM(INDEX(PASTE_ALL,23,32)),1)="-"),999))-(RIGHT(MID(TRIM(INDEX(PASTE_ALL,23,32)),1+(LEFT(TRIM(INDEX(PASTE_ALL,23,32)),1)="-"),999),1)="%")),"0",""),"1",""),"2",""),"3",""),"4",""),"5",""),"6",""),"7",""),"8",""),"9",""),".",""),",","")=""),2,1))),1)</f>
        <v/>
      </c>
      <c r="BE72">
        <f>IFERROR(IF(ISNUMBER(INDEX(PASTE_ALL,23,33)),2,IF(TRIM(INDEX(PASTE_ALL,23,33))="",0,IF(AND(LEFT(MID(TRIM(INDEX(PASTE_ALL,23,33)),1+(LEFT(TRIM(INDEX(PASTE_ALL,23,33)),1)="-"),999),LEN(MID(TRIM(INDEX(PASTE_ALL,23,33)),1+(LEFT(TRIM(INDEX(PASTE_ALL,23,33)),1)="-"),999))-(RIGHT(MID(TRIM(INDEX(PASTE_ALL,23,33)),1+(LEFT(TRIM(INDEX(PASTE_ALL,23,33)),1)="-"),999),1)="%"))&lt;&gt;"",SUBSTITUTE(SUBSTITUTE(SUBSTITUTE(SUBSTITUTE(SUBSTITUTE(SUBSTITUTE(SUBSTITUTE(SUBSTITUTE(SUBSTITUTE(SUBSTITUTE(SUBSTITUTE(SUBSTITUTE(LEFT(MID(TRIM(INDEX(PASTE_ALL,23,33)),1+(LEFT(TRIM(INDEX(PASTE_ALL,23,33)),1)="-"),999),LEN(MID(TRIM(INDEX(PASTE_ALL,23,33)),1+(LEFT(TRIM(INDEX(PASTE_ALL,23,33)),1)="-"),999))-(RIGHT(MID(TRIM(INDEX(PASTE_ALL,23,33)),1+(LEFT(TRIM(INDEX(PASTE_ALL,23,33)),1)="-"),999),1)="%")),"0",""),"1",""),"2",""),"3",""),"4",""),"5",""),"6",""),"7",""),"8",""),"9",""),".",""),",","")=""),2,1))),1)</f>
        <v/>
      </c>
      <c r="BF72">
        <f>IFERROR(IF(ISNUMBER(INDEX(PASTE_ALL,23,34)),2,IF(TRIM(INDEX(PASTE_ALL,23,34))="",0,IF(AND(LEFT(MID(TRIM(INDEX(PASTE_ALL,23,34)),1+(LEFT(TRIM(INDEX(PASTE_ALL,23,34)),1)="-"),999),LEN(MID(TRIM(INDEX(PASTE_ALL,23,34)),1+(LEFT(TRIM(INDEX(PASTE_ALL,23,34)),1)="-"),999))-(RIGHT(MID(TRIM(INDEX(PASTE_ALL,23,34)),1+(LEFT(TRIM(INDEX(PASTE_ALL,23,34)),1)="-"),999),1)="%"))&lt;&gt;"",SUBSTITUTE(SUBSTITUTE(SUBSTITUTE(SUBSTITUTE(SUBSTITUTE(SUBSTITUTE(SUBSTITUTE(SUBSTITUTE(SUBSTITUTE(SUBSTITUTE(SUBSTITUTE(SUBSTITUTE(LEFT(MID(TRIM(INDEX(PASTE_ALL,23,34)),1+(LEFT(TRIM(INDEX(PASTE_ALL,23,34)),1)="-"),999),LEN(MID(TRIM(INDEX(PASTE_ALL,23,34)),1+(LEFT(TRIM(INDEX(PASTE_ALL,23,34)),1)="-"),999))-(RIGHT(MID(TRIM(INDEX(PASTE_ALL,23,34)),1+(LEFT(TRIM(INDEX(PASTE_ALL,23,34)),1)="-"),999),1)="%")),"0",""),"1",""),"2",""),"3",""),"4",""),"5",""),"6",""),"7",""),"8",""),"9",""),".",""),",","")=""),2,1))),1)</f>
        <v/>
      </c>
      <c r="BG72">
        <f>IFERROR(IF(ISNUMBER(INDEX(PASTE_ALL,23,35)),2,IF(TRIM(INDEX(PASTE_ALL,23,35))="",0,IF(AND(LEFT(MID(TRIM(INDEX(PASTE_ALL,23,35)),1+(LEFT(TRIM(INDEX(PASTE_ALL,23,35)),1)="-"),999),LEN(MID(TRIM(INDEX(PASTE_ALL,23,35)),1+(LEFT(TRIM(INDEX(PASTE_ALL,23,35)),1)="-"),999))-(RIGHT(MID(TRIM(INDEX(PASTE_ALL,23,35)),1+(LEFT(TRIM(INDEX(PASTE_ALL,23,35)),1)="-"),999),1)="%"))&lt;&gt;"",SUBSTITUTE(SUBSTITUTE(SUBSTITUTE(SUBSTITUTE(SUBSTITUTE(SUBSTITUTE(SUBSTITUTE(SUBSTITUTE(SUBSTITUTE(SUBSTITUTE(SUBSTITUTE(SUBSTITUTE(LEFT(MID(TRIM(INDEX(PASTE_ALL,23,35)),1+(LEFT(TRIM(INDEX(PASTE_ALL,23,35)),1)="-"),999),LEN(MID(TRIM(INDEX(PASTE_ALL,23,35)),1+(LEFT(TRIM(INDEX(PASTE_ALL,23,35)),1)="-"),999))-(RIGHT(MID(TRIM(INDEX(PASTE_ALL,23,35)),1+(LEFT(TRIM(INDEX(PASTE_ALL,23,35)),1)="-"),999),1)="%")),"0",""),"1",""),"2",""),"3",""),"4",""),"5",""),"6",""),"7",""),"8",""),"9",""),".",""),",","")=""),2,1))),1)</f>
        <v/>
      </c>
      <c r="BH72">
        <f>IFERROR(IF(ISNUMBER(INDEX(PASTE_ALL,23,36)),2,IF(TRIM(INDEX(PASTE_ALL,23,36))="",0,IF(AND(LEFT(MID(TRIM(INDEX(PASTE_ALL,23,36)),1+(LEFT(TRIM(INDEX(PASTE_ALL,23,36)),1)="-"),999),LEN(MID(TRIM(INDEX(PASTE_ALL,23,36)),1+(LEFT(TRIM(INDEX(PASTE_ALL,23,36)),1)="-"),999))-(RIGHT(MID(TRIM(INDEX(PASTE_ALL,23,36)),1+(LEFT(TRIM(INDEX(PASTE_ALL,23,36)),1)="-"),999),1)="%"))&lt;&gt;"",SUBSTITUTE(SUBSTITUTE(SUBSTITUTE(SUBSTITUTE(SUBSTITUTE(SUBSTITUTE(SUBSTITUTE(SUBSTITUTE(SUBSTITUTE(SUBSTITUTE(SUBSTITUTE(SUBSTITUTE(LEFT(MID(TRIM(INDEX(PASTE_ALL,23,36)),1+(LEFT(TRIM(INDEX(PASTE_ALL,23,36)),1)="-"),999),LEN(MID(TRIM(INDEX(PASTE_ALL,23,36)),1+(LEFT(TRIM(INDEX(PASTE_ALL,23,36)),1)="-"),999))-(RIGHT(MID(TRIM(INDEX(PASTE_ALL,23,36)),1+(LEFT(TRIM(INDEX(PASTE_ALL,23,36)),1)="-"),999),1)="%")),"0",""),"1",""),"2",""),"3",""),"4",""),"5",""),"6",""),"7",""),"8",""),"9",""),".",""),",","")=""),2,1))),1)</f>
        <v/>
      </c>
      <c r="BI72">
        <f>IFERROR(IF(ISNUMBER(INDEX(PASTE_ALL,23,37)),2,IF(TRIM(INDEX(PASTE_ALL,23,37))="",0,IF(AND(LEFT(MID(TRIM(INDEX(PASTE_ALL,23,37)),1+(LEFT(TRIM(INDEX(PASTE_ALL,23,37)),1)="-"),999),LEN(MID(TRIM(INDEX(PASTE_ALL,23,37)),1+(LEFT(TRIM(INDEX(PASTE_ALL,23,37)),1)="-"),999))-(RIGHT(MID(TRIM(INDEX(PASTE_ALL,23,37)),1+(LEFT(TRIM(INDEX(PASTE_ALL,23,37)),1)="-"),999),1)="%"))&lt;&gt;"",SUBSTITUTE(SUBSTITUTE(SUBSTITUTE(SUBSTITUTE(SUBSTITUTE(SUBSTITUTE(SUBSTITUTE(SUBSTITUTE(SUBSTITUTE(SUBSTITUTE(SUBSTITUTE(SUBSTITUTE(LEFT(MID(TRIM(INDEX(PASTE_ALL,23,37)),1+(LEFT(TRIM(INDEX(PASTE_ALL,23,37)),1)="-"),999),LEN(MID(TRIM(INDEX(PASTE_ALL,23,37)),1+(LEFT(TRIM(INDEX(PASTE_ALL,23,37)),1)="-"),999))-(RIGHT(MID(TRIM(INDEX(PASTE_ALL,23,37)),1+(LEFT(TRIM(INDEX(PASTE_ALL,23,37)),1)="-"),999),1)="%")),"0",""),"1",""),"2",""),"3",""),"4",""),"5",""),"6",""),"7",""),"8",""),"9",""),".",""),",","")=""),2,1))),1)</f>
        <v/>
      </c>
      <c r="BJ72">
        <f>IFERROR(IF(ISNUMBER(INDEX(PASTE_ALL,23,38)),2,IF(TRIM(INDEX(PASTE_ALL,23,38))="",0,IF(AND(LEFT(MID(TRIM(INDEX(PASTE_ALL,23,38)),1+(LEFT(TRIM(INDEX(PASTE_ALL,23,38)),1)="-"),999),LEN(MID(TRIM(INDEX(PASTE_ALL,23,38)),1+(LEFT(TRIM(INDEX(PASTE_ALL,23,38)),1)="-"),999))-(RIGHT(MID(TRIM(INDEX(PASTE_ALL,23,38)),1+(LEFT(TRIM(INDEX(PASTE_ALL,23,38)),1)="-"),999),1)="%"))&lt;&gt;"",SUBSTITUTE(SUBSTITUTE(SUBSTITUTE(SUBSTITUTE(SUBSTITUTE(SUBSTITUTE(SUBSTITUTE(SUBSTITUTE(SUBSTITUTE(SUBSTITUTE(SUBSTITUTE(SUBSTITUTE(LEFT(MID(TRIM(INDEX(PASTE_ALL,23,38)),1+(LEFT(TRIM(INDEX(PASTE_ALL,23,38)),1)="-"),999),LEN(MID(TRIM(INDEX(PASTE_ALL,23,38)),1+(LEFT(TRIM(INDEX(PASTE_ALL,23,38)),1)="-"),999))-(RIGHT(MID(TRIM(INDEX(PASTE_ALL,23,38)),1+(LEFT(TRIM(INDEX(PASTE_ALL,23,38)),1)="-"),999),1)="%")),"0",""),"1",""),"2",""),"3",""),"4",""),"5",""),"6",""),"7",""),"8",""),"9",""),".",""),",","")=""),2,1))),1)</f>
        <v/>
      </c>
      <c r="BK72">
        <f>IFERROR(IF(ISNUMBER(INDEX(PASTE_ALL,23,39)),2,IF(TRIM(INDEX(PASTE_ALL,23,39))="",0,IF(AND(LEFT(MID(TRIM(INDEX(PASTE_ALL,23,39)),1+(LEFT(TRIM(INDEX(PASTE_ALL,23,39)),1)="-"),999),LEN(MID(TRIM(INDEX(PASTE_ALL,23,39)),1+(LEFT(TRIM(INDEX(PASTE_ALL,23,39)),1)="-"),999))-(RIGHT(MID(TRIM(INDEX(PASTE_ALL,23,39)),1+(LEFT(TRIM(INDEX(PASTE_ALL,23,39)),1)="-"),999),1)="%"))&lt;&gt;"",SUBSTITUTE(SUBSTITUTE(SUBSTITUTE(SUBSTITUTE(SUBSTITUTE(SUBSTITUTE(SUBSTITUTE(SUBSTITUTE(SUBSTITUTE(SUBSTITUTE(SUBSTITUTE(SUBSTITUTE(LEFT(MID(TRIM(INDEX(PASTE_ALL,23,39)),1+(LEFT(TRIM(INDEX(PASTE_ALL,23,39)),1)="-"),999),LEN(MID(TRIM(INDEX(PASTE_ALL,23,39)),1+(LEFT(TRIM(INDEX(PASTE_ALL,23,39)),1)="-"),999))-(RIGHT(MID(TRIM(INDEX(PASTE_ALL,23,39)),1+(LEFT(TRIM(INDEX(PASTE_ALL,23,39)),1)="-"),999),1)="%")),"0",""),"1",""),"2",""),"3",""),"4",""),"5",""),"6",""),"7",""),"8",""),"9",""),".",""),",","")=""),2,1))),1)</f>
        <v/>
      </c>
      <c r="BL72">
        <f>IFERROR(IF(ISNUMBER(INDEX(PASTE_ALL,23,40)),2,IF(TRIM(INDEX(PASTE_ALL,23,40))="",0,IF(AND(LEFT(MID(TRIM(INDEX(PASTE_ALL,23,40)),1+(LEFT(TRIM(INDEX(PASTE_ALL,23,40)),1)="-"),999),LEN(MID(TRIM(INDEX(PASTE_ALL,23,40)),1+(LEFT(TRIM(INDEX(PASTE_ALL,23,40)),1)="-"),999))-(RIGHT(MID(TRIM(INDEX(PASTE_ALL,23,40)),1+(LEFT(TRIM(INDEX(PASTE_ALL,23,40)),1)="-"),999),1)="%"))&lt;&gt;"",SUBSTITUTE(SUBSTITUTE(SUBSTITUTE(SUBSTITUTE(SUBSTITUTE(SUBSTITUTE(SUBSTITUTE(SUBSTITUTE(SUBSTITUTE(SUBSTITUTE(SUBSTITUTE(SUBSTITUTE(LEFT(MID(TRIM(INDEX(PASTE_ALL,23,40)),1+(LEFT(TRIM(INDEX(PASTE_ALL,23,40)),1)="-"),999),LEN(MID(TRIM(INDEX(PASTE_ALL,23,40)),1+(LEFT(TRIM(INDEX(PASTE_ALL,23,40)),1)="-"),999))-(RIGHT(MID(TRIM(INDEX(PASTE_ALL,23,40)),1+(LEFT(TRIM(INDEX(PASTE_ALL,23,40)),1)="-"),999),1)="%")),"0",""),"1",""),"2",""),"3",""),"4",""),"5",""),"6",""),"7",""),"8",""),"9",""),".",""),",","")=""),2,1))),1)</f>
        <v/>
      </c>
      <c r="BM72">
        <f>IFERROR(IF(ISNUMBER(INDEX(PASTE_ALL,23,41)),2,IF(TRIM(INDEX(PASTE_ALL,23,41))="",0,IF(AND(LEFT(MID(TRIM(INDEX(PASTE_ALL,23,41)),1+(LEFT(TRIM(INDEX(PASTE_ALL,23,41)),1)="-"),999),LEN(MID(TRIM(INDEX(PASTE_ALL,23,41)),1+(LEFT(TRIM(INDEX(PASTE_ALL,23,41)),1)="-"),999))-(RIGHT(MID(TRIM(INDEX(PASTE_ALL,23,41)),1+(LEFT(TRIM(INDEX(PASTE_ALL,23,41)),1)="-"),999),1)="%"))&lt;&gt;"",SUBSTITUTE(SUBSTITUTE(SUBSTITUTE(SUBSTITUTE(SUBSTITUTE(SUBSTITUTE(SUBSTITUTE(SUBSTITUTE(SUBSTITUTE(SUBSTITUTE(SUBSTITUTE(SUBSTITUTE(LEFT(MID(TRIM(INDEX(PASTE_ALL,23,41)),1+(LEFT(TRIM(INDEX(PASTE_ALL,23,41)),1)="-"),999),LEN(MID(TRIM(INDEX(PASTE_ALL,23,41)),1+(LEFT(TRIM(INDEX(PASTE_ALL,23,41)),1)="-"),999))-(RIGHT(MID(TRIM(INDEX(PASTE_ALL,23,41)),1+(LEFT(TRIM(INDEX(PASTE_ALL,23,41)),1)="-"),999),1)="%")),"0",""),"1",""),"2",""),"3",""),"4",""),"5",""),"6",""),"7",""),"8",""),"9",""),".",""),",","")=""),2,1))),1)</f>
        <v/>
      </c>
      <c r="BN72">
        <f>IFERROR(IF(ISNUMBER(INDEX(PASTE_ALL,23,42)),2,IF(TRIM(INDEX(PASTE_ALL,23,42))="",0,IF(AND(LEFT(MID(TRIM(INDEX(PASTE_ALL,23,42)),1+(LEFT(TRIM(INDEX(PASTE_ALL,23,42)),1)="-"),999),LEN(MID(TRIM(INDEX(PASTE_ALL,23,42)),1+(LEFT(TRIM(INDEX(PASTE_ALL,23,42)),1)="-"),999))-(RIGHT(MID(TRIM(INDEX(PASTE_ALL,23,42)),1+(LEFT(TRIM(INDEX(PASTE_ALL,23,42)),1)="-"),999),1)="%"))&lt;&gt;"",SUBSTITUTE(SUBSTITUTE(SUBSTITUTE(SUBSTITUTE(SUBSTITUTE(SUBSTITUTE(SUBSTITUTE(SUBSTITUTE(SUBSTITUTE(SUBSTITUTE(SUBSTITUTE(SUBSTITUTE(LEFT(MID(TRIM(INDEX(PASTE_ALL,23,42)),1+(LEFT(TRIM(INDEX(PASTE_ALL,23,42)),1)="-"),999),LEN(MID(TRIM(INDEX(PASTE_ALL,23,42)),1+(LEFT(TRIM(INDEX(PASTE_ALL,23,42)),1)="-"),999))-(RIGHT(MID(TRIM(INDEX(PASTE_ALL,23,42)),1+(LEFT(TRIM(INDEX(PASTE_ALL,23,42)),1)="-"),999),1)="%")),"0",""),"1",""),"2",""),"3",""),"4",""),"5",""),"6",""),"7",""),"8",""),"9",""),".",""),",","")=""),2,1))),1)</f>
        <v/>
      </c>
      <c r="BO72">
        <f>IFERROR(IF(ISNUMBER(INDEX(PASTE_ALL,23,43)),2,IF(TRIM(INDEX(PASTE_ALL,23,43))="",0,IF(AND(LEFT(MID(TRIM(INDEX(PASTE_ALL,23,43)),1+(LEFT(TRIM(INDEX(PASTE_ALL,23,43)),1)="-"),999),LEN(MID(TRIM(INDEX(PASTE_ALL,23,43)),1+(LEFT(TRIM(INDEX(PASTE_ALL,23,43)),1)="-"),999))-(RIGHT(MID(TRIM(INDEX(PASTE_ALL,23,43)),1+(LEFT(TRIM(INDEX(PASTE_ALL,23,43)),1)="-"),999),1)="%"))&lt;&gt;"",SUBSTITUTE(SUBSTITUTE(SUBSTITUTE(SUBSTITUTE(SUBSTITUTE(SUBSTITUTE(SUBSTITUTE(SUBSTITUTE(SUBSTITUTE(SUBSTITUTE(SUBSTITUTE(SUBSTITUTE(LEFT(MID(TRIM(INDEX(PASTE_ALL,23,43)),1+(LEFT(TRIM(INDEX(PASTE_ALL,23,43)),1)="-"),999),LEN(MID(TRIM(INDEX(PASTE_ALL,23,43)),1+(LEFT(TRIM(INDEX(PASTE_ALL,23,43)),1)="-"),999))-(RIGHT(MID(TRIM(INDEX(PASTE_ALL,23,43)),1+(LEFT(TRIM(INDEX(PASTE_ALL,23,43)),1)="-"),999),1)="%")),"0",""),"1",""),"2",""),"3",""),"4",""),"5",""),"6",""),"7",""),"8",""),"9",""),".",""),",","")=""),2,1))),1)</f>
        <v/>
      </c>
      <c r="BP72">
        <f>IFERROR(IF(ISNUMBER(INDEX(PASTE_ALL,23,44)),2,IF(TRIM(INDEX(PASTE_ALL,23,44))="",0,IF(AND(LEFT(MID(TRIM(INDEX(PASTE_ALL,23,44)),1+(LEFT(TRIM(INDEX(PASTE_ALL,23,44)),1)="-"),999),LEN(MID(TRIM(INDEX(PASTE_ALL,23,44)),1+(LEFT(TRIM(INDEX(PASTE_ALL,23,44)),1)="-"),999))-(RIGHT(MID(TRIM(INDEX(PASTE_ALL,23,44)),1+(LEFT(TRIM(INDEX(PASTE_ALL,23,44)),1)="-"),999),1)="%"))&lt;&gt;"",SUBSTITUTE(SUBSTITUTE(SUBSTITUTE(SUBSTITUTE(SUBSTITUTE(SUBSTITUTE(SUBSTITUTE(SUBSTITUTE(SUBSTITUTE(SUBSTITUTE(SUBSTITUTE(SUBSTITUTE(LEFT(MID(TRIM(INDEX(PASTE_ALL,23,44)),1+(LEFT(TRIM(INDEX(PASTE_ALL,23,44)),1)="-"),999),LEN(MID(TRIM(INDEX(PASTE_ALL,23,44)),1+(LEFT(TRIM(INDEX(PASTE_ALL,23,44)),1)="-"),999))-(RIGHT(MID(TRIM(INDEX(PASTE_ALL,23,44)),1+(LEFT(TRIM(INDEX(PASTE_ALL,23,44)),1)="-"),999),1)="%")),"0",""),"1",""),"2",""),"3",""),"4",""),"5",""),"6",""),"7",""),"8",""),"9",""),".",""),",","")=""),2,1))),1)</f>
        <v/>
      </c>
      <c r="BQ72">
        <f>IFERROR(IF(ISNUMBER(INDEX(PASTE_ALL,23,45)),2,IF(TRIM(INDEX(PASTE_ALL,23,45))="",0,IF(AND(LEFT(MID(TRIM(INDEX(PASTE_ALL,23,45)),1+(LEFT(TRIM(INDEX(PASTE_ALL,23,45)),1)="-"),999),LEN(MID(TRIM(INDEX(PASTE_ALL,23,45)),1+(LEFT(TRIM(INDEX(PASTE_ALL,23,45)),1)="-"),999))-(RIGHT(MID(TRIM(INDEX(PASTE_ALL,23,45)),1+(LEFT(TRIM(INDEX(PASTE_ALL,23,45)),1)="-"),999),1)="%"))&lt;&gt;"",SUBSTITUTE(SUBSTITUTE(SUBSTITUTE(SUBSTITUTE(SUBSTITUTE(SUBSTITUTE(SUBSTITUTE(SUBSTITUTE(SUBSTITUTE(SUBSTITUTE(SUBSTITUTE(SUBSTITUTE(LEFT(MID(TRIM(INDEX(PASTE_ALL,23,45)),1+(LEFT(TRIM(INDEX(PASTE_ALL,23,45)),1)="-"),999),LEN(MID(TRIM(INDEX(PASTE_ALL,23,45)),1+(LEFT(TRIM(INDEX(PASTE_ALL,23,45)),1)="-"),999))-(RIGHT(MID(TRIM(INDEX(PASTE_ALL,23,45)),1+(LEFT(TRIM(INDEX(PASTE_ALL,23,45)),1)="-"),999),1)="%")),"0",""),"1",""),"2",""),"3",""),"4",""),"5",""),"6",""),"7",""),"8",""),"9",""),".",""),",","")=""),2,1))),1)</f>
        <v/>
      </c>
      <c r="BR72">
        <f>IFERROR(IF(ISNUMBER(INDEX(PASTE_ALL,23,46)),2,IF(TRIM(INDEX(PASTE_ALL,23,46))="",0,IF(AND(LEFT(MID(TRIM(INDEX(PASTE_ALL,23,46)),1+(LEFT(TRIM(INDEX(PASTE_ALL,23,46)),1)="-"),999),LEN(MID(TRIM(INDEX(PASTE_ALL,23,46)),1+(LEFT(TRIM(INDEX(PASTE_ALL,23,46)),1)="-"),999))-(RIGHT(MID(TRIM(INDEX(PASTE_ALL,23,46)),1+(LEFT(TRIM(INDEX(PASTE_ALL,23,46)),1)="-"),999),1)="%"))&lt;&gt;"",SUBSTITUTE(SUBSTITUTE(SUBSTITUTE(SUBSTITUTE(SUBSTITUTE(SUBSTITUTE(SUBSTITUTE(SUBSTITUTE(SUBSTITUTE(SUBSTITUTE(SUBSTITUTE(SUBSTITUTE(LEFT(MID(TRIM(INDEX(PASTE_ALL,23,46)),1+(LEFT(TRIM(INDEX(PASTE_ALL,23,46)),1)="-"),999),LEN(MID(TRIM(INDEX(PASTE_ALL,23,46)),1+(LEFT(TRIM(INDEX(PASTE_ALL,23,46)),1)="-"),999))-(RIGHT(MID(TRIM(INDEX(PASTE_ALL,23,46)),1+(LEFT(TRIM(INDEX(PASTE_ALL,23,46)),1)="-"),999),1)="%")),"0",""),"1",""),"2",""),"3",""),"4",""),"5",""),"6",""),"7",""),"8",""),"9",""),".",""),",","")=""),2,1))),1)</f>
        <v/>
      </c>
      <c r="BS72">
        <f>IFERROR(IF(ISNUMBER(INDEX(PASTE_ALL,23,47)),2,IF(TRIM(INDEX(PASTE_ALL,23,47))="",0,IF(AND(LEFT(MID(TRIM(INDEX(PASTE_ALL,23,47)),1+(LEFT(TRIM(INDEX(PASTE_ALL,23,47)),1)="-"),999),LEN(MID(TRIM(INDEX(PASTE_ALL,23,47)),1+(LEFT(TRIM(INDEX(PASTE_ALL,23,47)),1)="-"),999))-(RIGHT(MID(TRIM(INDEX(PASTE_ALL,23,47)),1+(LEFT(TRIM(INDEX(PASTE_ALL,23,47)),1)="-"),999),1)="%"))&lt;&gt;"",SUBSTITUTE(SUBSTITUTE(SUBSTITUTE(SUBSTITUTE(SUBSTITUTE(SUBSTITUTE(SUBSTITUTE(SUBSTITUTE(SUBSTITUTE(SUBSTITUTE(SUBSTITUTE(SUBSTITUTE(LEFT(MID(TRIM(INDEX(PASTE_ALL,23,47)),1+(LEFT(TRIM(INDEX(PASTE_ALL,23,47)),1)="-"),999),LEN(MID(TRIM(INDEX(PASTE_ALL,23,47)),1+(LEFT(TRIM(INDEX(PASTE_ALL,23,47)),1)="-"),999))-(RIGHT(MID(TRIM(INDEX(PASTE_ALL,23,47)),1+(LEFT(TRIM(INDEX(PASTE_ALL,23,47)),1)="-"),999),1)="%")),"0",""),"1",""),"2",""),"3",""),"4",""),"5",""),"6",""),"7",""),"8",""),"9",""),".",""),",","")=""),2,1))),1)</f>
        <v/>
      </c>
      <c r="BT72">
        <f>IFERROR(IF(ISNUMBER(INDEX(PASTE_ALL,23,48)),2,IF(TRIM(INDEX(PASTE_ALL,23,48))="",0,IF(AND(LEFT(MID(TRIM(INDEX(PASTE_ALL,23,48)),1+(LEFT(TRIM(INDEX(PASTE_ALL,23,48)),1)="-"),999),LEN(MID(TRIM(INDEX(PASTE_ALL,23,48)),1+(LEFT(TRIM(INDEX(PASTE_ALL,23,48)),1)="-"),999))-(RIGHT(MID(TRIM(INDEX(PASTE_ALL,23,48)),1+(LEFT(TRIM(INDEX(PASTE_ALL,23,48)),1)="-"),999),1)="%"))&lt;&gt;"",SUBSTITUTE(SUBSTITUTE(SUBSTITUTE(SUBSTITUTE(SUBSTITUTE(SUBSTITUTE(SUBSTITUTE(SUBSTITUTE(SUBSTITUTE(SUBSTITUTE(SUBSTITUTE(SUBSTITUTE(LEFT(MID(TRIM(INDEX(PASTE_ALL,23,48)),1+(LEFT(TRIM(INDEX(PASTE_ALL,23,48)),1)="-"),999),LEN(MID(TRIM(INDEX(PASTE_ALL,23,48)),1+(LEFT(TRIM(INDEX(PASTE_ALL,23,48)),1)="-"),999))-(RIGHT(MID(TRIM(INDEX(PASTE_ALL,23,48)),1+(LEFT(TRIM(INDEX(PASTE_ALL,23,48)),1)="-"),999),1)="%")),"0",""),"1",""),"2",""),"3",""),"4",""),"5",""),"6",""),"7",""),"8",""),"9",""),".",""),",","")=""),2,1))),1)</f>
        <v/>
      </c>
      <c r="BU72">
        <f>IFERROR(IF(ISNUMBER(INDEX(PASTE_ALL,23,49)),2,IF(TRIM(INDEX(PASTE_ALL,23,49))="",0,IF(AND(LEFT(MID(TRIM(INDEX(PASTE_ALL,23,49)),1+(LEFT(TRIM(INDEX(PASTE_ALL,23,49)),1)="-"),999),LEN(MID(TRIM(INDEX(PASTE_ALL,23,49)),1+(LEFT(TRIM(INDEX(PASTE_ALL,23,49)),1)="-"),999))-(RIGHT(MID(TRIM(INDEX(PASTE_ALL,23,49)),1+(LEFT(TRIM(INDEX(PASTE_ALL,23,49)),1)="-"),999),1)="%"))&lt;&gt;"",SUBSTITUTE(SUBSTITUTE(SUBSTITUTE(SUBSTITUTE(SUBSTITUTE(SUBSTITUTE(SUBSTITUTE(SUBSTITUTE(SUBSTITUTE(SUBSTITUTE(SUBSTITUTE(SUBSTITUTE(LEFT(MID(TRIM(INDEX(PASTE_ALL,23,49)),1+(LEFT(TRIM(INDEX(PASTE_ALL,23,49)),1)="-"),999),LEN(MID(TRIM(INDEX(PASTE_ALL,23,49)),1+(LEFT(TRIM(INDEX(PASTE_ALL,23,49)),1)="-"),999))-(RIGHT(MID(TRIM(INDEX(PASTE_ALL,23,49)),1+(LEFT(TRIM(INDEX(PASTE_ALL,23,49)),1)="-"),999),1)="%")),"0",""),"1",""),"2",""),"3",""),"4",""),"5",""),"6",""),"7",""),"8",""),"9",""),".",""),",","")=""),2,1))),1)</f>
        <v/>
      </c>
      <c r="BV72">
        <f>IFERROR(IF(ISNUMBER(INDEX(PASTE_ALL,23,50)),2,IF(TRIM(INDEX(PASTE_ALL,23,50))="",0,IF(AND(LEFT(MID(TRIM(INDEX(PASTE_ALL,23,50)),1+(LEFT(TRIM(INDEX(PASTE_ALL,23,50)),1)="-"),999),LEN(MID(TRIM(INDEX(PASTE_ALL,23,50)),1+(LEFT(TRIM(INDEX(PASTE_ALL,23,50)),1)="-"),999))-(RIGHT(MID(TRIM(INDEX(PASTE_ALL,23,50)),1+(LEFT(TRIM(INDEX(PASTE_ALL,23,50)),1)="-"),999),1)="%"))&lt;&gt;"",SUBSTITUTE(SUBSTITUTE(SUBSTITUTE(SUBSTITUTE(SUBSTITUTE(SUBSTITUTE(SUBSTITUTE(SUBSTITUTE(SUBSTITUTE(SUBSTITUTE(SUBSTITUTE(SUBSTITUTE(LEFT(MID(TRIM(INDEX(PASTE_ALL,23,50)),1+(LEFT(TRIM(INDEX(PASTE_ALL,23,50)),1)="-"),999),LEN(MID(TRIM(INDEX(PASTE_ALL,23,50)),1+(LEFT(TRIM(INDEX(PASTE_ALL,23,50)),1)="-"),999))-(RIGHT(MID(TRIM(INDEX(PASTE_ALL,23,50)),1+(LEFT(TRIM(INDEX(PASTE_ALL,23,50)),1)="-"),999),1)="%")),"0",""),"1",""),"2",""),"3",""),"4",""),"5",""),"6",""),"7",""),"8",""),"9",""),".",""),",","")=""),2,1))),1)</f>
        <v/>
      </c>
      <c r="BW72">
        <f>IFERROR(IF(ISNUMBER(INDEX(PASTE_ALL,23,51)),2,IF(TRIM(INDEX(PASTE_ALL,23,51))="",0,IF(AND(LEFT(MID(TRIM(INDEX(PASTE_ALL,23,51)),1+(LEFT(TRIM(INDEX(PASTE_ALL,23,51)),1)="-"),999),LEN(MID(TRIM(INDEX(PASTE_ALL,23,51)),1+(LEFT(TRIM(INDEX(PASTE_ALL,23,51)),1)="-"),999))-(RIGHT(MID(TRIM(INDEX(PASTE_ALL,23,51)),1+(LEFT(TRIM(INDEX(PASTE_ALL,23,51)),1)="-"),999),1)="%"))&lt;&gt;"",SUBSTITUTE(SUBSTITUTE(SUBSTITUTE(SUBSTITUTE(SUBSTITUTE(SUBSTITUTE(SUBSTITUTE(SUBSTITUTE(SUBSTITUTE(SUBSTITUTE(SUBSTITUTE(SUBSTITUTE(LEFT(MID(TRIM(INDEX(PASTE_ALL,23,51)),1+(LEFT(TRIM(INDEX(PASTE_ALL,23,51)),1)="-"),999),LEN(MID(TRIM(INDEX(PASTE_ALL,23,51)),1+(LEFT(TRIM(INDEX(PASTE_ALL,23,51)),1)="-"),999))-(RIGHT(MID(TRIM(INDEX(PASTE_ALL,23,51)),1+(LEFT(TRIM(INDEX(PASTE_ALL,23,51)),1)="-"),999),1)="%")),"0",""),"1",""),"2",""),"3",""),"4",""),"5",""),"6",""),"7",""),"8",""),"9",""),".",""),",","")=""),2,1))),1)</f>
        <v/>
      </c>
      <c r="BX72">
        <f>IFERROR(IF(ISNUMBER(INDEX(PASTE_ALL,23,52)),2,IF(TRIM(INDEX(PASTE_ALL,23,52))="",0,IF(AND(LEFT(MID(TRIM(INDEX(PASTE_ALL,23,52)),1+(LEFT(TRIM(INDEX(PASTE_ALL,23,52)),1)="-"),999),LEN(MID(TRIM(INDEX(PASTE_ALL,23,52)),1+(LEFT(TRIM(INDEX(PASTE_ALL,23,52)),1)="-"),999))-(RIGHT(MID(TRIM(INDEX(PASTE_ALL,23,52)),1+(LEFT(TRIM(INDEX(PASTE_ALL,23,52)),1)="-"),999),1)="%"))&lt;&gt;"",SUBSTITUTE(SUBSTITUTE(SUBSTITUTE(SUBSTITUTE(SUBSTITUTE(SUBSTITUTE(SUBSTITUTE(SUBSTITUTE(SUBSTITUTE(SUBSTITUTE(SUBSTITUTE(SUBSTITUTE(LEFT(MID(TRIM(INDEX(PASTE_ALL,23,52)),1+(LEFT(TRIM(INDEX(PASTE_ALL,23,52)),1)="-"),999),LEN(MID(TRIM(INDEX(PASTE_ALL,23,52)),1+(LEFT(TRIM(INDEX(PASTE_ALL,23,52)),1)="-"),999))-(RIGHT(MID(TRIM(INDEX(PASTE_ALL,23,52)),1+(LEFT(TRIM(INDEX(PASTE_ALL,23,52)),1)="-"),999),1)="%")),"0",""),"1",""),"2",""),"3",""),"4",""),"5",""),"6",""),"7",""),"8",""),"9",""),".",""),",","")=""),2,1))),1)</f>
        <v/>
      </c>
      <c r="BY72">
        <f>IFERROR(IF(ISNUMBER(INDEX(PASTE_ALL,23,53)),2,IF(TRIM(INDEX(PASTE_ALL,23,53))="",0,IF(AND(LEFT(MID(TRIM(INDEX(PASTE_ALL,23,53)),1+(LEFT(TRIM(INDEX(PASTE_ALL,23,53)),1)="-"),999),LEN(MID(TRIM(INDEX(PASTE_ALL,23,53)),1+(LEFT(TRIM(INDEX(PASTE_ALL,23,53)),1)="-"),999))-(RIGHT(MID(TRIM(INDEX(PASTE_ALL,23,53)),1+(LEFT(TRIM(INDEX(PASTE_ALL,23,53)),1)="-"),999),1)="%"))&lt;&gt;"",SUBSTITUTE(SUBSTITUTE(SUBSTITUTE(SUBSTITUTE(SUBSTITUTE(SUBSTITUTE(SUBSTITUTE(SUBSTITUTE(SUBSTITUTE(SUBSTITUTE(SUBSTITUTE(SUBSTITUTE(LEFT(MID(TRIM(INDEX(PASTE_ALL,23,53)),1+(LEFT(TRIM(INDEX(PASTE_ALL,23,53)),1)="-"),999),LEN(MID(TRIM(INDEX(PASTE_ALL,23,53)),1+(LEFT(TRIM(INDEX(PASTE_ALL,23,53)),1)="-"),999))-(RIGHT(MID(TRIM(INDEX(PASTE_ALL,23,53)),1+(LEFT(TRIM(INDEX(PASTE_ALL,23,53)),1)="-"),999),1)="%")),"0",""),"1",""),"2",""),"3",""),"4",""),"5",""),"6",""),"7",""),"8",""),"9",""),".",""),",","")=""),2,1))),1)</f>
        <v/>
      </c>
      <c r="BZ72">
        <f>IFERROR(IF(ISNUMBER(INDEX(PASTE_ALL,23,54)),2,IF(TRIM(INDEX(PASTE_ALL,23,54))="",0,IF(AND(LEFT(MID(TRIM(INDEX(PASTE_ALL,23,54)),1+(LEFT(TRIM(INDEX(PASTE_ALL,23,54)),1)="-"),999),LEN(MID(TRIM(INDEX(PASTE_ALL,23,54)),1+(LEFT(TRIM(INDEX(PASTE_ALL,23,54)),1)="-"),999))-(RIGHT(MID(TRIM(INDEX(PASTE_ALL,23,54)),1+(LEFT(TRIM(INDEX(PASTE_ALL,23,54)),1)="-"),999),1)="%"))&lt;&gt;"",SUBSTITUTE(SUBSTITUTE(SUBSTITUTE(SUBSTITUTE(SUBSTITUTE(SUBSTITUTE(SUBSTITUTE(SUBSTITUTE(SUBSTITUTE(SUBSTITUTE(SUBSTITUTE(SUBSTITUTE(LEFT(MID(TRIM(INDEX(PASTE_ALL,23,54)),1+(LEFT(TRIM(INDEX(PASTE_ALL,23,54)),1)="-"),999),LEN(MID(TRIM(INDEX(PASTE_ALL,23,54)),1+(LEFT(TRIM(INDEX(PASTE_ALL,23,54)),1)="-"),999))-(RIGHT(MID(TRIM(INDEX(PASTE_ALL,23,54)),1+(LEFT(TRIM(INDEX(PASTE_ALL,23,54)),1)="-"),999),1)="%")),"0",""),"1",""),"2",""),"3",""),"4",""),"5",""),"6",""),"7",""),"8",""),"9",""),".",""),",","")=""),2,1))),1)</f>
        <v/>
      </c>
      <c r="CA72">
        <f>IFERROR(IF(ISNUMBER(INDEX(PASTE_ALL,23,55)),2,IF(TRIM(INDEX(PASTE_ALL,23,55))="",0,IF(AND(LEFT(MID(TRIM(INDEX(PASTE_ALL,23,55)),1+(LEFT(TRIM(INDEX(PASTE_ALL,23,55)),1)="-"),999),LEN(MID(TRIM(INDEX(PASTE_ALL,23,55)),1+(LEFT(TRIM(INDEX(PASTE_ALL,23,55)),1)="-"),999))-(RIGHT(MID(TRIM(INDEX(PASTE_ALL,23,55)),1+(LEFT(TRIM(INDEX(PASTE_ALL,23,55)),1)="-"),999),1)="%"))&lt;&gt;"",SUBSTITUTE(SUBSTITUTE(SUBSTITUTE(SUBSTITUTE(SUBSTITUTE(SUBSTITUTE(SUBSTITUTE(SUBSTITUTE(SUBSTITUTE(SUBSTITUTE(SUBSTITUTE(SUBSTITUTE(LEFT(MID(TRIM(INDEX(PASTE_ALL,23,55)),1+(LEFT(TRIM(INDEX(PASTE_ALL,23,55)),1)="-"),999),LEN(MID(TRIM(INDEX(PASTE_ALL,23,55)),1+(LEFT(TRIM(INDEX(PASTE_ALL,23,55)),1)="-"),999))-(RIGHT(MID(TRIM(INDEX(PASTE_ALL,23,55)),1+(LEFT(TRIM(INDEX(PASTE_ALL,23,55)),1)="-"),999),1)="%")),"0",""),"1",""),"2",""),"3",""),"4",""),"5",""),"6",""),"7",""),"8",""),"9",""),".",""),",","")=""),2,1))),1)</f>
        <v/>
      </c>
      <c r="CB72">
        <f>IFERROR(IF(ISNUMBER(INDEX(PASTE_ALL,23,56)),2,IF(TRIM(INDEX(PASTE_ALL,23,56))="",0,IF(AND(LEFT(MID(TRIM(INDEX(PASTE_ALL,23,56)),1+(LEFT(TRIM(INDEX(PASTE_ALL,23,56)),1)="-"),999),LEN(MID(TRIM(INDEX(PASTE_ALL,23,56)),1+(LEFT(TRIM(INDEX(PASTE_ALL,23,56)),1)="-"),999))-(RIGHT(MID(TRIM(INDEX(PASTE_ALL,23,56)),1+(LEFT(TRIM(INDEX(PASTE_ALL,23,56)),1)="-"),999),1)="%"))&lt;&gt;"",SUBSTITUTE(SUBSTITUTE(SUBSTITUTE(SUBSTITUTE(SUBSTITUTE(SUBSTITUTE(SUBSTITUTE(SUBSTITUTE(SUBSTITUTE(SUBSTITUTE(SUBSTITUTE(SUBSTITUTE(LEFT(MID(TRIM(INDEX(PASTE_ALL,23,56)),1+(LEFT(TRIM(INDEX(PASTE_ALL,23,56)),1)="-"),999),LEN(MID(TRIM(INDEX(PASTE_ALL,23,56)),1+(LEFT(TRIM(INDEX(PASTE_ALL,23,56)),1)="-"),999))-(RIGHT(MID(TRIM(INDEX(PASTE_ALL,23,56)),1+(LEFT(TRIM(INDEX(PASTE_ALL,23,56)),1)="-"),999),1)="%")),"0",""),"1",""),"2",""),"3",""),"4",""),"5",""),"6",""),"7",""),"8",""),"9",""),".",""),",","")=""),2,1))),1)</f>
        <v/>
      </c>
      <c r="CC72">
        <f>IFERROR(IF(ISNUMBER(INDEX(PASTE_ALL,23,57)),2,IF(TRIM(INDEX(PASTE_ALL,23,57))="",0,IF(AND(LEFT(MID(TRIM(INDEX(PASTE_ALL,23,57)),1+(LEFT(TRIM(INDEX(PASTE_ALL,23,57)),1)="-"),999),LEN(MID(TRIM(INDEX(PASTE_ALL,23,57)),1+(LEFT(TRIM(INDEX(PASTE_ALL,23,57)),1)="-"),999))-(RIGHT(MID(TRIM(INDEX(PASTE_ALL,23,57)),1+(LEFT(TRIM(INDEX(PASTE_ALL,23,57)),1)="-"),999),1)="%"))&lt;&gt;"",SUBSTITUTE(SUBSTITUTE(SUBSTITUTE(SUBSTITUTE(SUBSTITUTE(SUBSTITUTE(SUBSTITUTE(SUBSTITUTE(SUBSTITUTE(SUBSTITUTE(SUBSTITUTE(SUBSTITUTE(LEFT(MID(TRIM(INDEX(PASTE_ALL,23,57)),1+(LEFT(TRIM(INDEX(PASTE_ALL,23,57)),1)="-"),999),LEN(MID(TRIM(INDEX(PASTE_ALL,23,57)),1+(LEFT(TRIM(INDEX(PASTE_ALL,23,57)),1)="-"),999))-(RIGHT(MID(TRIM(INDEX(PASTE_ALL,23,57)),1+(LEFT(TRIM(INDEX(PASTE_ALL,23,57)),1)="-"),999),1)="%")),"0",""),"1",""),"2",""),"3",""),"4",""),"5",""),"6",""),"7",""),"8",""),"9",""),".",""),",","")=""),2,1))),1)</f>
        <v/>
      </c>
      <c r="CD72">
        <f>IFERROR(IF(ISNUMBER(INDEX(PASTE_ALL,23,58)),2,IF(TRIM(INDEX(PASTE_ALL,23,58))="",0,IF(AND(LEFT(MID(TRIM(INDEX(PASTE_ALL,23,58)),1+(LEFT(TRIM(INDEX(PASTE_ALL,23,58)),1)="-"),999),LEN(MID(TRIM(INDEX(PASTE_ALL,23,58)),1+(LEFT(TRIM(INDEX(PASTE_ALL,23,58)),1)="-"),999))-(RIGHT(MID(TRIM(INDEX(PASTE_ALL,23,58)),1+(LEFT(TRIM(INDEX(PASTE_ALL,23,58)),1)="-"),999),1)="%"))&lt;&gt;"",SUBSTITUTE(SUBSTITUTE(SUBSTITUTE(SUBSTITUTE(SUBSTITUTE(SUBSTITUTE(SUBSTITUTE(SUBSTITUTE(SUBSTITUTE(SUBSTITUTE(SUBSTITUTE(SUBSTITUTE(LEFT(MID(TRIM(INDEX(PASTE_ALL,23,58)),1+(LEFT(TRIM(INDEX(PASTE_ALL,23,58)),1)="-"),999),LEN(MID(TRIM(INDEX(PASTE_ALL,23,58)),1+(LEFT(TRIM(INDEX(PASTE_ALL,23,58)),1)="-"),999))-(RIGHT(MID(TRIM(INDEX(PASTE_ALL,23,58)),1+(LEFT(TRIM(INDEX(PASTE_ALL,23,58)),1)="-"),999),1)="%")),"0",""),"1",""),"2",""),"3",""),"4",""),"5",""),"6",""),"7",""),"8",""),"9",""),".",""),",","")=""),2,1))),1)</f>
        <v/>
      </c>
      <c r="CE72">
        <f>IFERROR(IF(ISNUMBER(INDEX(PASTE_ALL,23,59)),2,IF(TRIM(INDEX(PASTE_ALL,23,59))="",0,IF(AND(LEFT(MID(TRIM(INDEX(PASTE_ALL,23,59)),1+(LEFT(TRIM(INDEX(PASTE_ALL,23,59)),1)="-"),999),LEN(MID(TRIM(INDEX(PASTE_ALL,23,59)),1+(LEFT(TRIM(INDEX(PASTE_ALL,23,59)),1)="-"),999))-(RIGHT(MID(TRIM(INDEX(PASTE_ALL,23,59)),1+(LEFT(TRIM(INDEX(PASTE_ALL,23,59)),1)="-"),999),1)="%"))&lt;&gt;"",SUBSTITUTE(SUBSTITUTE(SUBSTITUTE(SUBSTITUTE(SUBSTITUTE(SUBSTITUTE(SUBSTITUTE(SUBSTITUTE(SUBSTITUTE(SUBSTITUTE(SUBSTITUTE(SUBSTITUTE(LEFT(MID(TRIM(INDEX(PASTE_ALL,23,59)),1+(LEFT(TRIM(INDEX(PASTE_ALL,23,59)),1)="-"),999),LEN(MID(TRIM(INDEX(PASTE_ALL,23,59)),1+(LEFT(TRIM(INDEX(PASTE_ALL,23,59)),1)="-"),999))-(RIGHT(MID(TRIM(INDEX(PASTE_ALL,23,59)),1+(LEFT(TRIM(INDEX(PASTE_ALL,23,59)),1)="-"),999),1)="%")),"0",""),"1",""),"2",""),"3",""),"4",""),"5",""),"6",""),"7",""),"8",""),"9",""),".",""),",","")=""),2,1))),1)</f>
        <v/>
      </c>
      <c r="CF72">
        <f>IFERROR(IF(ISNUMBER(INDEX(PASTE_ALL,23,60)),2,IF(TRIM(INDEX(PASTE_ALL,23,60))="",0,IF(AND(LEFT(MID(TRIM(INDEX(PASTE_ALL,23,60)),1+(LEFT(TRIM(INDEX(PASTE_ALL,23,60)),1)="-"),999),LEN(MID(TRIM(INDEX(PASTE_ALL,23,60)),1+(LEFT(TRIM(INDEX(PASTE_ALL,23,60)),1)="-"),999))-(RIGHT(MID(TRIM(INDEX(PASTE_ALL,23,60)),1+(LEFT(TRIM(INDEX(PASTE_ALL,23,60)),1)="-"),999),1)="%"))&lt;&gt;"",SUBSTITUTE(SUBSTITUTE(SUBSTITUTE(SUBSTITUTE(SUBSTITUTE(SUBSTITUTE(SUBSTITUTE(SUBSTITUTE(SUBSTITUTE(SUBSTITUTE(SUBSTITUTE(SUBSTITUTE(LEFT(MID(TRIM(INDEX(PASTE_ALL,23,60)),1+(LEFT(TRIM(INDEX(PASTE_ALL,23,60)),1)="-"),999),LEN(MID(TRIM(INDEX(PASTE_ALL,23,60)),1+(LEFT(TRIM(INDEX(PASTE_ALL,23,60)),1)="-"),999))-(RIGHT(MID(TRIM(INDEX(PASTE_ALL,23,60)),1+(LEFT(TRIM(INDEX(PASTE_ALL,23,60)),1)="-"),999),1)="%")),"0",""),"1",""),"2",""),"3",""),"4",""),"5",""),"6",""),"7",""),"8",""),"9",""),".",""),",","")=""),2,1))),1)</f>
        <v/>
      </c>
      <c r="DA72" t="n">
        <v>68</v>
      </c>
      <c r="DB72">
        <f>IF($B$37=0,"",IFERROR(TRIM(SUBSTITUTE(SUBSTITUTE(SUBSTITUTE(SUBSTITUTE(INDEX(PASTE_ALL,68,$B$37)," "," "),CHAR(9)," "),CHAR(10)," "),CHAR(13)," ")),""))</f>
        <v/>
      </c>
      <c r="DC72">
        <f>IF(AND(68&gt;HEADER_ROW,UPPER(DB72)="LEGEND"),1,0)</f>
        <v/>
      </c>
      <c r="DE72" t="n">
        <v>68</v>
      </c>
      <c r="DF72">
        <f>HEADER_ROW+$DE72</f>
        <v/>
      </c>
      <c r="DG72">
        <f>IF(AND($DF72&lt;=1000,$DF72&lt;$B$8),1,0)</f>
        <v/>
      </c>
      <c r="DH72">
        <f>IF($DG72=1,IFERROR(INDEX($DB$5:$DB$1004,$DF72),""),"")</f>
        <v/>
      </c>
      <c r="DI72">
        <f>IF(AND($DG72=1,$DH72&lt;&gt;""),IFERROR(SUBSTITUTE(SUBSTITUTE(TRIM(SUBSTITUTE(SUBSTITUTE(SUBSTITUTE(SUBSTITUTE(IFERROR(INDEX(PASTE_ALL,$DF72,1)&amp;"","")&amp;"␟"&amp;IFERROR(INDEX(PASTE_ALL,$DF72,2)&amp;"","")&amp;"␟"&amp;IFERROR(INDEX(PASTE_ALL,$DF72,3)&amp;"","")&amp;"␟"&amp;IFERROR(INDEX(PASTE_ALL,$DF72,4)&amp;"","")&amp;"␟"&amp;IFERROR(INDEX(PASTE_ALL,$DF72,5)&amp;"","")&amp;"␟"&amp;IFERROR(INDEX(PASTE_ALL,$DF72,6)&amp;"","")&amp;"␟"&amp;IFERROR(INDEX(PASTE_ALL,$DF72,7)&amp;"","")&amp;"␟"&amp;IFERROR(INDEX(PASTE_ALL,$DF72,8)&amp;"","")&amp;"␟"&amp;IFERROR(INDEX(PASTE_ALL,$DF72,9)&amp;"","")&amp;"␟"&amp;IFERROR(INDEX(PASTE_ALL,$DF72,10)&amp;"","")&amp;"␟"&amp;IFERROR(INDEX(PASTE_ALL,$DF72,11)&amp;"","")&amp;"␟"&amp;IFERROR(INDEX(PASTE_ALL,$DF72,12)&amp;"","")&amp;"␟"&amp;IFERROR(INDEX(PASTE_ALL,$DF72,13)&amp;"","")&amp;"␟"&amp;IFERROR(INDEX(PASTE_ALL,$DF72,14)&amp;"","")&amp;"␟"&amp;IFERROR(INDEX(PASTE_ALL,$DF72,15)&amp;"","")&amp;"␟"&amp;IFERROR(INDEX(PASTE_ALL,$DF72,16)&amp;"","")&amp;"␟"&amp;IFERROR(INDEX(PASTE_ALL,$DF72,17)&amp;"","")&amp;"␟"&amp;IFERROR(INDEX(PASTE_ALL,$DF72,18)&amp;"","")&amp;"␟"&amp;IFERROR(INDEX(PASTE_ALL,$DF72,19)&amp;"","")&amp;"␟"&amp;IFERROR(INDEX(PASTE_ALL,$DF72,20)&amp;"","")&amp;"␟"&amp;IFERROR(INDEX(PASTE_ALL,$DF72,21)&amp;"","")&amp;"␟"&amp;IFERROR(INDEX(PASTE_ALL,$DF72,22)&amp;"","")&amp;"␟"&amp;IFERROR(INDEX(PASTE_ALL,$DF72,23)&amp;"","")&amp;"␟"&amp;IFERROR(INDEX(PASTE_ALL,$DF72,24)&amp;"","")&amp;"␟"&amp;IFERROR(INDEX(PASTE_ALL,$DF72,25)&amp;"","")&amp;"␟"&amp;IFERROR(INDEX(PASTE_ALL,$DF72,26)&amp;"","")&amp;"␟"&amp;IFERROR(INDEX(PASTE_ALL,$DF72,27)&amp;"","")&amp;"␟"&amp;IFERROR(INDEX(PASTE_ALL,$DF72,28)&amp;"","")&amp;"␟"&amp;IFERROR(INDEX(PASTE_ALL,$DF72,29)&amp;"","")&amp;"␟"&amp;IFERROR(INDEX(PASTE_ALL,$DF72,30)&amp;"","")&amp;"␟"&amp;IFERROR(INDEX(PASTE_ALL,$DF72,31)&amp;"","")&amp;"␟"&amp;IFERROR(INDEX(PASTE_ALL,$DF72,32)&amp;"","")&amp;"␟"&amp;IFERROR(INDEX(PASTE_ALL,$DF72,33)&amp;"","")&amp;"␟"&amp;IFERROR(INDEX(PASTE_ALL,$DF72,34)&amp;"","")&amp;"␟"&amp;IFERROR(INDEX(PASTE_ALL,$DF72,35)&amp;"","")&amp;"␟"&amp;IFERROR(INDEX(PASTE_ALL,$DF72,36)&amp;"","")&amp;"␟"&amp;IFERROR(INDEX(PASTE_ALL,$DF72,37)&amp;"","")&amp;"␟"&amp;IFERROR(INDEX(PASTE_ALL,$DF72,38)&amp;"","")&amp;"␟"&amp;IFERROR(INDEX(PASTE_ALL,$DF72,39)&amp;"","")&amp;"␟"&amp;IFERROR(INDEX(PASTE_ALL,$DF72,40)&amp;"","")&amp;"␟"&amp;IFERROR(INDEX(PASTE_ALL,$DF72,41)&amp;"","")&amp;"␟"&amp;IFERROR(INDEX(PASTE_ALL,$DF72,42)&amp;"","")&amp;"␟"&amp;IFERROR(INDEX(PASTE_ALL,$DF72,43)&amp;"","")&amp;"␟"&amp;IFERROR(INDEX(PASTE_ALL,$DF72,44)&amp;"","")&amp;"␟"&amp;IFERROR(INDEX(PASTE_ALL,$DF72,45)&amp;"","")&amp;"␟"&amp;IFERROR(INDEX(PASTE_ALL,$DF72,46)&amp;"","")&amp;"␟"&amp;IFERROR(INDEX(PASTE_ALL,$DF72,47)&amp;"","")&amp;"␟"&amp;IFERROR(INDEX(PASTE_ALL,$DF72,48)&amp;"","")&amp;"␟"&amp;IFERROR(INDEX(PASTE_ALL,$DF72,49)&amp;"","")&amp;"␟"&amp;IFERROR(INDEX(PASTE_ALL,$DF72,50)&amp;"","")&amp;"␟"&amp;IFERROR(INDEX(PASTE_ALL,$DF72,51)&amp;"","")&amp;"␟"&amp;IFERROR(INDEX(PASTE_ALL,$DF72,52)&amp;"","")&amp;"␟"&amp;IFERROR(INDEX(PASTE_ALL,$DF72,53)&amp;"","")&amp;"␟"&amp;IFERROR(INDEX(PASTE_ALL,$DF72,54)&amp;"","")&amp;"␟"&amp;IFERROR(INDEX(PASTE_ALL,$DF72,55)&amp;"","")&amp;"␟"&amp;IFERROR(INDEX(PASTE_ALL,$DF72,56)&amp;"","")&amp;"␟"&amp;IFERROR(INDEX(PASTE_ALL,$DF72,57)&amp;"","")&amp;"␟"&amp;IFERROR(INDEX(PASTE_ALL,$DF72,58)&amp;"","")&amp;"␟"&amp;IFERROR(INDEX(PASTE_ALL,$DF72,59)&amp;"","")&amp;"␟"&amp;IFERROR(INDEX(PASTE_ALL,$DF72,60)&amp;"","")," "," "),CHAR(9)," "),CHAR(10)," "),CHAR(13)," "))," ␟","␟"),"␟ ","␟"),"#"&amp;$DE72),"")</f>
        <v/>
      </c>
      <c r="DJ72">
        <f>IF($DI72="",0,IF(SUMPRODUCT(--EXACT($DI$4:DI71,$DI72))&gt;0,1,0))</f>
        <v/>
      </c>
      <c r="DK72">
        <f>IF(AND($DI72&lt;&gt;"",$DJ72=0),1,0)</f>
        <v/>
      </c>
      <c r="DL72">
        <f>DL71+$DK72</f>
        <v/>
      </c>
      <c r="DM72">
        <f>IF(AND($DK72=1,$DL72&lt;=600),1,0)</f>
        <v/>
      </c>
      <c r="DN72">
        <f>IF($DM72=0,"",IF($L$6=0,"",IFERROR(IF(ISNUMBER(INDEX(PASTE_ALL,$DF72,$L$6)),INDEX(PASTE_ALL,$DF72,$L$6),TRIM(SUBSTITUTE(SUBSTITUTE(SUBSTITUTE(SUBSTITUTE(INDEX(PASTE_ALL,$DF72,$L$6)," "," "),CHAR(9)," "),CHAR(10)," "),CHAR(13)," "))),"")))</f>
        <v/>
      </c>
      <c r="DO72">
        <f>IF($DM72=0,"",IF($L$7=0,"",IFERROR(IF(ISNUMBER(INDEX(PASTE_ALL,$DF72,$L$7)),INDEX(PASTE_ALL,$DF72,$L$7),TRIM(SUBSTITUTE(SUBSTITUTE(SUBSTITUTE(SUBSTITUTE(INDEX(PASTE_ALL,$DF72,$L$7)," "," "),CHAR(9)," "),CHAR(10)," "),CHAR(13)," "))),"")))</f>
        <v/>
      </c>
      <c r="DP72">
        <f>IF($DM72=0,"",IF($L$8=0,"",IFERROR(IF(ISNUMBER(INDEX(PASTE_ALL,$DF72,$L$8)),INDEX(PASTE_ALL,$DF72,$L$8),TRIM(SUBSTITUTE(SUBSTITUTE(SUBSTITUTE(SUBSTITUTE(INDEX(PASTE_ALL,$DF72,$L$8)," "," "),CHAR(9)," "),CHAR(10)," "),CHAR(13)," "))),"")))</f>
        <v/>
      </c>
      <c r="DQ72">
        <f>IF($DM72=0,"",IF($L$9=0,"",IFERROR(IF(ISNUMBER(INDEX(PASTE_ALL,$DF72,$L$9)),INDEX(PASTE_ALL,$DF72,$L$9),TRIM(SUBSTITUTE(SUBSTITUTE(SUBSTITUTE(SUBSTITUTE(INDEX(PASTE_ALL,$DF72,$L$9)," "," "),CHAR(9)," "),CHAR(10)," "),CHAR(13)," "))),"")))</f>
        <v/>
      </c>
      <c r="DR72">
        <f>IF($DM72=0,"",IF($L$10=0,"",IFERROR(IF(ISNUMBER(INDEX(PASTE_ALL,$DF72,$L$10)),INDEX(PASTE_ALL,$DF72,$L$10),TRIM(SUBSTITUTE(SUBSTITUTE(SUBSTITUTE(SUBSTITUTE(INDEX(PASTE_ALL,$DF72,$L$10)," "," "),CHAR(9)," "),CHAR(10)," "),CHAR(13)," "))),"")))</f>
        <v/>
      </c>
      <c r="DS72">
        <f>IF($DM72=0,"",IF($L$11=0,"",IFERROR(IF(ISNUMBER(INDEX(PASTE_ALL,$DF72,$L$11)),INDEX(PASTE_ALL,$DF72,$L$11),TRIM(SUBSTITUTE(SUBSTITUTE(SUBSTITUTE(SUBSTITUTE(INDEX(PASTE_ALL,$DF72,$L$11)," "," "),CHAR(9)," "),CHAR(10)," "),CHAR(13)," "))),"")))</f>
        <v/>
      </c>
      <c r="DT72">
        <f>IF($DM72=0,"",IF($L$12=0,"",IFERROR(IF(ISNUMBER(INDEX(PASTE_ALL,$DF72,$L$12)),INDEX(PASTE_ALL,$DF72,$L$12),TRIM(SUBSTITUTE(SUBSTITUTE(SUBSTITUTE(SUBSTITUTE(INDEX(PASTE_ALL,$DF72,$L$12)," "," "),CHAR(9)," "),CHAR(10)," "),CHAR(13)," "))),"")))</f>
        <v/>
      </c>
      <c r="DU72">
        <f>IF($DM72=0,"",IF($L$13=0,"",IFERROR(IF(ISNUMBER(INDEX(PASTE_ALL,$DF72,$L$13)),INDEX(PASTE_ALL,$DF72,$L$13),TRIM(SUBSTITUTE(SUBSTITUTE(SUBSTITUTE(SUBSTITUTE(INDEX(PASTE_ALL,$DF72,$L$13)," "," "),CHAR(9)," "),CHAR(10)," "),CHAR(13)," "))),"")))</f>
        <v/>
      </c>
      <c r="DV72">
        <f>IF($DM72=0,"",IF($L$14=0,"",IFERROR(IF(ISNUMBER(INDEX(PASTE_ALL,$DF72,$L$14)),INDEX(PASTE_ALL,$DF72,$L$14),TRIM(SUBSTITUTE(SUBSTITUTE(SUBSTITUTE(SUBSTITUTE(INDEX(PASTE_ALL,$DF72,$L$14)," "," "),CHAR(9)," "),CHAR(10)," "),CHAR(13)," "))),"")))</f>
        <v/>
      </c>
      <c r="DW72">
        <f>IF($DM72=0,"",IF($L$15=0,"",IFERROR(IF(ISNUMBER(INDEX(PASTE_ALL,$DF72,$L$15)),INDEX(PASTE_ALL,$DF72,$L$15),IF(SUMPRODUCT(--ISNUMBER(FIND({"A","B","C","D","E","F","G","H","I","J","K","L","M","N","O","P","Q","R","S","T","U","V","W","X","Y","Z","0","1","2","3","4","5","6","7","8","9"},UPPER(TRIM(SUBSTITUTE(SUBSTITUTE(SUBSTITUTE(SUBSTITUTE(INDEX(PASTE_ALL,$DF72,$L$15)," "," "),CHAR(9)," "),CHAR(10)," "),CHAR(13)," "))))))&gt;0,TRIM(SUBSTITUTE(SUBSTITUTE(SUBSTITUTE(SUBSTITUTE(INDEX(PASTE_ALL,$DF72,$L$15)," "," "),CHAR(9)," "),CHAR(10)," "),CHAR(13)," ")),"")),"")))</f>
        <v/>
      </c>
      <c r="DX72">
        <f>IF($DM72=0,"",IF($L$16=0,"",IFERROR(IF(ISNUMBER(INDEX(PASTE_ALL,$DF72,$L$16)),INDEX(PASTE_ALL,$DF72,$L$16),SUBSTITUTE(SUBSTITUTE(TRIM(SUBSTITUTE(SUBSTITUTE(SUBSTITUTE(SUBSTITUTE(INDEX(PASTE_ALL,$DF72,$L$16)," "," "),CHAR(9)," "),CHAR(10)," "),CHAR(13)," ")),",",""),"%","")),"")))</f>
        <v/>
      </c>
      <c r="DY72">
        <f>IF($DM72=0,"",IFERROR(IF(ISNUMBER($DX72),$DX72,IF($DX72="","",IF(TRIM($DX72)="",0,IF(AND(AND(SUBSTITUTE(SUBSTITUTE(SUBSTITUTE(SUBSTITUTE(SUBSTITUTE(SUBSTITUTE(SUBSTITUTE(SUBSTITUTE(SUBSTITUTE(SUBSTITUTE(SUBSTITUTE(SUBSTITUTE(SUBSTITUTE(SUBSTITUTE(UPPER(TRIM($DX72)),"0",""),"1",""),"2",""),"3",""),"4",""),"5",""),"6",""),"7",""),"8",""),"9",""),".",""),"+",""),"-",""),"E","")="",LEN(SUBSTITUTE(SUBSTITUTE(MID(UPPER(TRIM($DX72)),1+OR(LEFT(UPPER(TRIM($DX72)),1)="+",LEFT(UPPER(TRIM($DX72)),1)="-"),999),"E+","E"),"E-","E"))=LEN(SUBSTITUTE(SUBSTITUTE(SUBSTITUTE(SUBSTITUTE(MID(UPPER(TRIM($DX72)),1+OR(LEFT(UPPER(TRIM($DX72)),1)="+",LEFT(UPPER(TRIM($DX72)),1)="-"),999),"E+","E"),"E-","E"),"+",""),"-","")),LEN(UPPER(TRIM($DX72)))-LEN(SUBSTITUTE(UPPER(TRIM($DX72)),"E",""))&lt;2,LEN(UPPER(TRIM($DX72)))-LEN(SUBSTITUTE(UPPER(TRIM($DX72)),".",""))&lt;2,IFERROR(FIND(".",UPPER(TRIM($DX72))),0)&lt;IFERROR(FIND("E",UPPER(TRIM($DX72))),999)),ISNUMBER(VALUE(TRIM($DX72)))),VALUE(TRIM($DX72)),"")))),""))</f>
        <v/>
      </c>
      <c r="DZ72">
        <f>IF($DM72=0,"",IF($L$17=0,"",IFERROR(IF(ISNUMBER(INDEX(PASTE_ALL,$DF72,$L$17)),INDEX(PASTE_ALL,$DF72,$L$17),SUBSTITUTE(SUBSTITUTE(TRIM(SUBSTITUTE(SUBSTITUTE(SUBSTITUTE(SUBSTITUTE(INDEX(PASTE_ALL,$DF72,$L$17)," "," "),CHAR(9)," "),CHAR(10)," "),CHAR(13)," ")),",",""),"%","")),"")))</f>
        <v/>
      </c>
      <c r="EA72">
        <f>IF($DM72=0,"",IFERROR(IF(ISNUMBER($DZ72),$DZ72,IF($DZ72="","",IF(TRIM($DZ72)="",0,IF(AND(AND(SUBSTITUTE(SUBSTITUTE(SUBSTITUTE(SUBSTITUTE(SUBSTITUTE(SUBSTITUTE(SUBSTITUTE(SUBSTITUTE(SUBSTITUTE(SUBSTITUTE(SUBSTITUTE(SUBSTITUTE(SUBSTITUTE(SUBSTITUTE(UPPER(TRIM($DZ72)),"0",""),"1",""),"2",""),"3",""),"4",""),"5",""),"6",""),"7",""),"8",""),"9",""),".",""),"+",""),"-",""),"E","")="",LEN(SUBSTITUTE(SUBSTITUTE(MID(UPPER(TRIM($DZ72)),1+OR(LEFT(UPPER(TRIM($DZ72)),1)="+",LEFT(UPPER(TRIM($DZ72)),1)="-"),999),"E+","E"),"E-","E"))=LEN(SUBSTITUTE(SUBSTITUTE(SUBSTITUTE(SUBSTITUTE(MID(UPPER(TRIM($DZ72)),1+OR(LEFT(UPPER(TRIM($DZ72)),1)="+",LEFT(UPPER(TRIM($DZ72)),1)="-"),999),"E+","E"),"E-","E"),"+",""),"-","")),LEN(UPPER(TRIM($DZ72)))-LEN(SUBSTITUTE(UPPER(TRIM($DZ72)),"E",""))&lt;2,LEN(UPPER(TRIM($DZ72)))-LEN(SUBSTITUTE(UPPER(TRIM($DZ72)),".",""))&lt;2,IFERROR(FIND(".",UPPER(TRIM($DZ72))),0)&lt;IFERROR(FIND("E",UPPER(TRIM($DZ72))),999)),ISNUMBER(VALUE(TRIM($DZ72)))),VALUE(TRIM($DZ72)),"")))),""))</f>
        <v/>
      </c>
      <c r="EB72">
        <f>IF($DM72=0,"",IF($L$18=0,"",IFERROR(IF(UPPER(TRIM(SUBSTITUTE(SUBSTITUTE(SUBSTITUTE(SUBSTITUTE(INDEX(PASTE_ALL,$DF72,$L$18)," "," "),CHAR(9)," "),CHAR(10)," "),CHAR(13)," ")))="READY","Ready",IF(UPPER(TRIM(SUBSTITUTE(SUBSTITUTE(SUBSTITUTE(SUBSTITUTE(INDEX(PASTE_ALL,$DF72,$L$18)," "," "),CHAR(9)," "),CHAR(10)," "),CHAR(13)," ")))="PM","PM",IF(OR(UPPER(TRIM(SUBSTITUTE(SUBSTITUTE(SUBSTITUTE(SUBSTITUTE(INDEX(PASTE_ALL,$DF72,$L$18)," "," "),CHAR(9)," "),CHAR(10)," "),CHAR(13)," ")))="OT",UPPER(TRIM(SUBSTITUTE(SUBSTITUTE(SUBSTITUTE(SUBSTITUTE(INDEX(PASTE_ALL,$DF72,$L$18)," "," "),CHAR(9)," "),CHAR(10)," "),CHAR(13)," ")))="OVERTIME",UPPER(TRIM(SUBSTITUTE(SUBSTITUTE(SUBSTITUTE(SUBSTITUTE(INDEX(PASTE_ALL,$DF72,$L$18)," "," "),CHAR(9)," "),CHAR(10)," "),CHAR(13)," ")))="TRIAL"),"OT",TRIM(SUBSTITUTE(SUBSTITUTE(SUBSTITUTE(SUBSTITUTE(INDEX(PASTE_ALL,$DF72,$L$18)," "," "),CHAR(9)," "),CHAR(10)," "),CHAR(13)," "))))),"")))</f>
        <v/>
      </c>
      <c r="EC72">
        <f>IF($DM72=0,"",IF($L$19=0,"",IFERROR(IF(ISNUMBER(INDEX(PASTE_ALL,$DF72,$L$19)),INDEX(PASTE_ALL,$DF72,$L$19),TRIM(SUBSTITUTE(SUBSTITUTE(SUBSTITUTE(SUBSTITUTE(INDEX(PASTE_ALL,$DF72,$L$19)," "," "),CHAR(9)," "),CHAR(10)," "),CHAR(13)," "))),"")))</f>
        <v/>
      </c>
      <c r="ED72">
        <f>IF($DM72=0,"",MATCH(1,INDEX(EXACT($DH$5:DH72,$DH72)*$DM$5:DM72,0),0))</f>
        <v/>
      </c>
      <c r="EE72">
        <f>IF($DM72=0,0,IF($ED72=$DE72,1,0))</f>
        <v/>
      </c>
      <c r="EF72">
        <f>EF71+$EE72</f>
        <v/>
      </c>
      <c r="EG72">
        <f>IF($DM72=0,"",INDEX($EF$5:$EF$1003,$ED72))</f>
        <v/>
      </c>
      <c r="EH72">
        <f>IF($DM72=0,"",IF($DO72&lt;&gt;"","",IFERROR(LOOKUP(2,1/(($EG$4:EG71=$EG72)*($DO$4:DO71&lt;&gt;"")),$DO$4:DO71),"")))</f>
        <v/>
      </c>
      <c r="EI72">
        <f>IF($DM72=0,"",IF($DO72&lt;&gt;"",$DO72,$EH72))</f>
        <v/>
      </c>
      <c r="EJ72">
        <f>IF($DM72=0,"",IF($EI72="",0,IF(OR(ISNUMBER($EI72),AND(AND(SUBSTITUTE(SUBSTITUTE(SUBSTITUTE(SUBSTITUTE(SUBSTITUTE(SUBSTITUTE(SUBSTITUTE(SUBSTITUTE(SUBSTITUTE(SUBSTITUTE(SUBSTITUTE(SUBSTITUTE(SUBSTITUTE(SUBSTITUTE(UPPER($EI72),"0",""),"1",""),"2",""),"3",""),"4",""),"5",""),"6",""),"7",""),"8",""),"9",""),".",""),"+",""),"-",""),"E","")="",LEN(SUBSTITUTE(SUBSTITUTE(MID(UPPER($EI72),1+OR(LEFT(UPPER($EI72),1)="+",LEFT(UPPER($EI72),1)="-"),999),"E+","E"),"E-","E"))=LEN(SUBSTITUTE(SUBSTITUTE(SUBSTITUTE(SUBSTITUTE(MID(UPPER($EI72),1+OR(LEFT(UPPER($EI72),1)="+",LEFT(UPPER($EI72),1)="-"),999),"E+","E"),"E-","E"),"+",""),"-","")),LEN(UPPER($EI72))-LEN(SUBSTITUTE(UPPER($EI72),"E",""))&lt;2,LEN(UPPER($EI72))-LEN(SUBSTITUTE(UPPER($EI72),".",""))&lt;2,IFERROR(FIND(".",UPPER($EI72)),0)&lt;IFERROR(FIND("E",UPPER($EI72)),999)),ISNUMBER(VALUE($EI72)))),1,2)))</f>
        <v/>
      </c>
      <c r="EK72">
        <f>IF($DM72=0,"",IF($EJ72=1,IF(ISNUMBER($EI72),$EI72,VALUE($EI72)),IF($EJ72=2,$DE72,0)))</f>
        <v/>
      </c>
      <c r="EL72">
        <f>IF($DM72=0,"",COUNTIF($EG$5:$EG$1003,"&lt;"&amp;$EG72)+SUMPRODUCT(($EG$5:$EG$1003=$EG72)*(($EJ$5:$EJ$1003&lt;$EJ72)+($EJ$5:$EJ$1003=$EJ72)*(($EK$5:$EK$1003&lt;$EK72)+($EK$5:$EK$1003=$EK72)*($DE$5:$DE$1003&lt;$DE72))))+1)</f>
        <v/>
      </c>
      <c r="EM72">
        <f>IF($DM72=0,"",$EL72+$EG72-1)</f>
        <v/>
      </c>
      <c r="EN72">
        <f>IF($DM72=0,0,IFERROR(MATCH(1,INDEX(--(TRIM(SUBSTITUTE(SUBSTITUTE(SUBSTITUTE(SUBSTITUTE(LINES_NAME&amp;""," "," "),CHAR(9)," "),CHAR(10)," "),CHAR(13)," "))=$DH72),0),0),0))</f>
        <v/>
      </c>
      <c r="EO72">
        <f>IF($EN72=0,0,IF(OR(UPPER(TRIM(INDEX(LINES_SCHEDULED,$EN72)&amp;""))="YES",UPPER(TRIM(INDEX(LINES_SCHEDULED,$EN72)&amp;""))="Y",UPPER(TRIM(INDEX(LINES_SCHEDULED,$EN72)&amp;""))="X"),1,0))</f>
        <v/>
      </c>
      <c r="EP72">
        <f>IF($DM72=0,"",IF(COUNTIFS($EG$5:$EG$1003,$EG72,$EB$5:$EB$1003,"Ready")&gt;0,"READY",IF(COUNTIFS($EG$5:$EG$1003,$EG72,$EB$5:$EB$1003,"PM")&gt;0,"PM",IF(COUNTIFS($EG$5:$EG$1003,$EG72,$EB$5:$EB$1003,"OT")&gt;0,"OT",""))))</f>
        <v/>
      </c>
      <c r="EQ72">
        <f>IF($EN72=0,"",UPPER(TRIM(INDEX(LINES_STATUS,$EN72)&amp;"")))</f>
        <v/>
      </c>
      <c r="ER72">
        <f>IF($DM72=0,"",IF(OR($EQ72="READY",$EQ72="PM",$EQ72="OT"),$EQ72,$EP72))</f>
        <v/>
      </c>
      <c r="ES72">
        <f>IF($DM72=0,"",IF(AND($DV72&lt;&gt;"",UPPER($DV72)&lt;&gt;"N"),"allergen",IF(ISNUMBER(SEARCH("oil",$DQ72)),"oil",IF(OR(EXACT($DS72,"A662"),EXACT($DS72,"A624")),"bulk",""))))</f>
        <v/>
      </c>
      <c r="ET72">
        <f>IF($DM72=0,"",IF(OR($EA72="",$EA72=0),"",$EA72/100))</f>
        <v/>
      </c>
      <c r="EU72">
        <f>IF(OR($ET72="",$DY72=""),"",INT($DY72*(1-$ET72)+0.5))</f>
        <v/>
      </c>
      <c r="EW72" t="n">
        <v>68</v>
      </c>
      <c r="EX72">
        <f>IFERROR(MATCH($EW72,$EM$5:$EM$1003,0),0)</f>
        <v/>
      </c>
      <c r="EY72">
        <f>IF($EW72&gt;$B$12,"",IF($EX72&gt;0,"row","spacer"))</f>
        <v/>
      </c>
      <c r="EZ72">
        <f>IF(AND($EY72="row",$EY71&lt;&gt;"row"),1,0)</f>
        <v/>
      </c>
      <c r="FA72">
        <f>IF(AND($EY72="row",$EY73&lt;&gt;"row"),1,0)</f>
        <v/>
      </c>
      <c r="FB72">
        <f>IF($EZ72=1,IFERROR(IF(ISNUMBER(INDEX(PASTE_ALL,INDEX($DF$5:$DF$1003,$EX72),$B$37)),INDEX(PASTE_ALL,INDEX($DF$5:$DF$1003,$EX72),$B$37),INDEX($DH$5:$DH$1003,$EX72)),INDEX($DH$5:$DH$1003,$EX72)),"")</f>
        <v/>
      </c>
      <c r="FC72">
        <f>IF($EY72="row",INDEX($ER$5:$ER$1003,$EX72),"")</f>
        <v/>
      </c>
      <c r="FD72">
        <f>IF($EY72="row",INDEX($DN$5:$DN$1003,$EX72),"")</f>
        <v/>
      </c>
      <c r="FE72">
        <f>IF($EY72="row",INDEX($DO$5:$DO$1003,$EX72),"")</f>
        <v/>
      </c>
      <c r="FF72">
        <f>IF($EY72="row",INDEX($DP$5:$DP$1003,$EX72),"")</f>
        <v/>
      </c>
      <c r="FG72">
        <f>IF($EY72="row",INDEX($DQ$5:$DQ$1003,$EX72),"")</f>
        <v/>
      </c>
      <c r="FH72">
        <f>IF($EY72="row",INDEX($DR$5:$DR$1003,$EX72),"")</f>
        <v/>
      </c>
      <c r="FI72">
        <f>IF($EY72="row",INDEX($DS$5:$DS$1003,$EX72),"")</f>
        <v/>
      </c>
      <c r="FJ72">
        <f>IF($EY72="row",INDEX($DT$5:$DT$1003,$EX72),"")</f>
        <v/>
      </c>
      <c r="FK72">
        <f>IF($EY72="row",INDEX($DU$5:$DU$1003,$EX72),"")</f>
        <v/>
      </c>
      <c r="FL72">
        <f>IF($EY72="row",INDEX($DV$5:$DV$1003,$EX72),"")</f>
        <v/>
      </c>
      <c r="FM72">
        <f>IF($EY72="row",INDEX($DW$5:$DW$1003,$EX72),"")</f>
        <v/>
      </c>
      <c r="FN72">
        <f>IF($EY72="row",INDEX($DY$5:$DY$1003,$EX72),"")</f>
        <v/>
      </c>
      <c r="FO72">
        <f>IF($EY72="row",INDEX($EA$5:$EA$1003,$EX72),"")</f>
        <v/>
      </c>
      <c r="FP72">
        <f>IF($EY72="row",INDEX($EC$5:$EC$1003,$EX72),"")</f>
        <v/>
      </c>
      <c r="FQ72">
        <f>IF($EY72="row",INDEX($ET$5:$ET$1003,$EX72),"")</f>
        <v/>
      </c>
      <c r="FR72">
        <f>IF($EY72="row",INDEX($EU$5:$EU$1003,$EX72),"")</f>
        <v/>
      </c>
      <c r="FS72">
        <f>IF(AND($EY72="row",$EY71="row"),IF(OR(INDEX($DT$5:$DT$1003,$EX71)="",INDEX($DT$5:$DT$1003,$EX72)=""),"",IF(NOT(EXACT(INDEX($DT$5:$DT$1003,$EX71),INDEX($DT$5:$DT$1003,$EX72))),"S4",IF(NOT(EXACT(INDEX($DS$5:$DS$1003,$EX71),INDEX($DS$5:$DS$1003,$EX72))),"S3",IF(NOT(EXACT(INDEX($DR$5:$DR$1003,$EX71),INDEX($DR$5:$DR$1003,$EX72))),"S1 Count Change","S1")))),"")</f>
        <v/>
      </c>
      <c r="FT72">
        <f>IF($EY72="row",INDEX($ES$5:$ES$1003,$EX72),"")</f>
        <v/>
      </c>
      <c r="FU72">
        <f>IF($EY72="row",INDEX($EO$5:$EO$1003,$EX72),0)</f>
        <v/>
      </c>
      <c r="FV72">
        <f>IF($FS72="S1 Count Change",1,0)</f>
        <v/>
      </c>
      <c r="FX72" t="n">
        <v>68</v>
      </c>
      <c r="FY72">
        <f>IFERROR(MATCH($FX72,$EF$5:$EF$1003,0),0)</f>
        <v/>
      </c>
      <c r="FZ72">
        <f>IF($FY72=0,"",INDEX($DH$5:$DH$1003,$FY72))</f>
        <v/>
      </c>
      <c r="GA72">
        <f>IF($FY72=0,"",COUNTIF($EG$5:$EG$1003,$FX72))</f>
        <v/>
      </c>
      <c r="GB72">
        <f>IF($FY72=0,"",INDEX($ER$5:$ER$1003,$FY72))</f>
        <v/>
      </c>
      <c r="GC72">
        <f>IF($FY72=0,"",IF(INDEX($EO$5:$EO$1003,$FY72)=1,"Yes",""))</f>
        <v/>
      </c>
      <c r="GD72">
        <f>IF($FY72=0,"",IF(INDEX($EN$5:$EN$1003,$FY72)&gt;0,"","NOT IN YOUR LIST - type it in column A to tick it"))</f>
        <v/>
      </c>
      <c r="GE72">
        <f>IF(AND($FY72&gt;0,$GD72&lt;&gt;""),1,0)</f>
        <v/>
      </c>
      <c r="GF72">
        <f>GF71+$GE72</f>
        <v/>
      </c>
      <c r="GG72">
        <f>IFERROR(INDEX($FZ$5:$FZ$104,MATCH($FX72,$GF$5:$GF$104,0)),"")</f>
        <v/>
      </c>
    </row>
    <row r="73">
      <c r="V73" t="inlineStr">
        <is>
          <t>BATCHQUANTITY</t>
        </is>
      </c>
      <c r="W73" t="n">
        <v>12</v>
      </c>
      <c r="Y73">
        <f>IFERROR(IF(ISNUMBER(INDEX(PASTE_ALL,24,1)),2,IF(TRIM(INDEX(PASTE_ALL,24,1))="",0,IF(AND(LEFT(MID(TRIM(INDEX(PASTE_ALL,24,1)),1+(LEFT(TRIM(INDEX(PASTE_ALL,24,1)),1)="-"),999),LEN(MID(TRIM(INDEX(PASTE_ALL,24,1)),1+(LEFT(TRIM(INDEX(PASTE_ALL,24,1)),1)="-"),999))-(RIGHT(MID(TRIM(INDEX(PASTE_ALL,24,1)),1+(LEFT(TRIM(INDEX(PASTE_ALL,24,1)),1)="-"),999),1)="%"))&lt;&gt;"",SUBSTITUTE(SUBSTITUTE(SUBSTITUTE(SUBSTITUTE(SUBSTITUTE(SUBSTITUTE(SUBSTITUTE(SUBSTITUTE(SUBSTITUTE(SUBSTITUTE(SUBSTITUTE(SUBSTITUTE(LEFT(MID(TRIM(INDEX(PASTE_ALL,24,1)),1+(LEFT(TRIM(INDEX(PASTE_ALL,24,1)),1)="-"),999),LEN(MID(TRIM(INDEX(PASTE_ALL,24,1)),1+(LEFT(TRIM(INDEX(PASTE_ALL,24,1)),1)="-"),999))-(RIGHT(MID(TRIM(INDEX(PASTE_ALL,24,1)),1+(LEFT(TRIM(INDEX(PASTE_ALL,24,1)),1)="-"),999),1)="%")),"0",""),"1",""),"2",""),"3",""),"4",""),"5",""),"6",""),"7",""),"8",""),"9",""),".",""),",","")=""),2,1))),1)</f>
        <v/>
      </c>
      <c r="Z73">
        <f>IFERROR(IF(ISNUMBER(INDEX(PASTE_ALL,24,2)),2,IF(TRIM(INDEX(PASTE_ALL,24,2))="",0,IF(AND(LEFT(MID(TRIM(INDEX(PASTE_ALL,24,2)),1+(LEFT(TRIM(INDEX(PASTE_ALL,24,2)),1)="-"),999),LEN(MID(TRIM(INDEX(PASTE_ALL,24,2)),1+(LEFT(TRIM(INDEX(PASTE_ALL,24,2)),1)="-"),999))-(RIGHT(MID(TRIM(INDEX(PASTE_ALL,24,2)),1+(LEFT(TRIM(INDEX(PASTE_ALL,24,2)),1)="-"),999),1)="%"))&lt;&gt;"",SUBSTITUTE(SUBSTITUTE(SUBSTITUTE(SUBSTITUTE(SUBSTITUTE(SUBSTITUTE(SUBSTITUTE(SUBSTITUTE(SUBSTITUTE(SUBSTITUTE(SUBSTITUTE(SUBSTITUTE(LEFT(MID(TRIM(INDEX(PASTE_ALL,24,2)),1+(LEFT(TRIM(INDEX(PASTE_ALL,24,2)),1)="-"),999),LEN(MID(TRIM(INDEX(PASTE_ALL,24,2)),1+(LEFT(TRIM(INDEX(PASTE_ALL,24,2)),1)="-"),999))-(RIGHT(MID(TRIM(INDEX(PASTE_ALL,24,2)),1+(LEFT(TRIM(INDEX(PASTE_ALL,24,2)),1)="-"),999),1)="%")),"0",""),"1",""),"2",""),"3",""),"4",""),"5",""),"6",""),"7",""),"8",""),"9",""),".",""),",","")=""),2,1))),1)</f>
        <v/>
      </c>
      <c r="AA73">
        <f>IFERROR(IF(ISNUMBER(INDEX(PASTE_ALL,24,3)),2,IF(TRIM(INDEX(PASTE_ALL,24,3))="",0,IF(AND(LEFT(MID(TRIM(INDEX(PASTE_ALL,24,3)),1+(LEFT(TRIM(INDEX(PASTE_ALL,24,3)),1)="-"),999),LEN(MID(TRIM(INDEX(PASTE_ALL,24,3)),1+(LEFT(TRIM(INDEX(PASTE_ALL,24,3)),1)="-"),999))-(RIGHT(MID(TRIM(INDEX(PASTE_ALL,24,3)),1+(LEFT(TRIM(INDEX(PASTE_ALL,24,3)),1)="-"),999),1)="%"))&lt;&gt;"",SUBSTITUTE(SUBSTITUTE(SUBSTITUTE(SUBSTITUTE(SUBSTITUTE(SUBSTITUTE(SUBSTITUTE(SUBSTITUTE(SUBSTITUTE(SUBSTITUTE(SUBSTITUTE(SUBSTITUTE(LEFT(MID(TRIM(INDEX(PASTE_ALL,24,3)),1+(LEFT(TRIM(INDEX(PASTE_ALL,24,3)),1)="-"),999),LEN(MID(TRIM(INDEX(PASTE_ALL,24,3)),1+(LEFT(TRIM(INDEX(PASTE_ALL,24,3)),1)="-"),999))-(RIGHT(MID(TRIM(INDEX(PASTE_ALL,24,3)),1+(LEFT(TRIM(INDEX(PASTE_ALL,24,3)),1)="-"),999),1)="%")),"0",""),"1",""),"2",""),"3",""),"4",""),"5",""),"6",""),"7",""),"8",""),"9",""),".",""),",","")=""),2,1))),1)</f>
        <v/>
      </c>
      <c r="AB73">
        <f>IFERROR(IF(ISNUMBER(INDEX(PASTE_ALL,24,4)),2,IF(TRIM(INDEX(PASTE_ALL,24,4))="",0,IF(AND(LEFT(MID(TRIM(INDEX(PASTE_ALL,24,4)),1+(LEFT(TRIM(INDEX(PASTE_ALL,24,4)),1)="-"),999),LEN(MID(TRIM(INDEX(PASTE_ALL,24,4)),1+(LEFT(TRIM(INDEX(PASTE_ALL,24,4)),1)="-"),999))-(RIGHT(MID(TRIM(INDEX(PASTE_ALL,24,4)),1+(LEFT(TRIM(INDEX(PASTE_ALL,24,4)),1)="-"),999),1)="%"))&lt;&gt;"",SUBSTITUTE(SUBSTITUTE(SUBSTITUTE(SUBSTITUTE(SUBSTITUTE(SUBSTITUTE(SUBSTITUTE(SUBSTITUTE(SUBSTITUTE(SUBSTITUTE(SUBSTITUTE(SUBSTITUTE(LEFT(MID(TRIM(INDEX(PASTE_ALL,24,4)),1+(LEFT(TRIM(INDEX(PASTE_ALL,24,4)),1)="-"),999),LEN(MID(TRIM(INDEX(PASTE_ALL,24,4)),1+(LEFT(TRIM(INDEX(PASTE_ALL,24,4)),1)="-"),999))-(RIGHT(MID(TRIM(INDEX(PASTE_ALL,24,4)),1+(LEFT(TRIM(INDEX(PASTE_ALL,24,4)),1)="-"),999),1)="%")),"0",""),"1",""),"2",""),"3",""),"4",""),"5",""),"6",""),"7",""),"8",""),"9",""),".",""),",","")=""),2,1))),1)</f>
        <v/>
      </c>
      <c r="AC73">
        <f>IFERROR(IF(ISNUMBER(INDEX(PASTE_ALL,24,5)),2,IF(TRIM(INDEX(PASTE_ALL,24,5))="",0,IF(AND(LEFT(MID(TRIM(INDEX(PASTE_ALL,24,5)),1+(LEFT(TRIM(INDEX(PASTE_ALL,24,5)),1)="-"),999),LEN(MID(TRIM(INDEX(PASTE_ALL,24,5)),1+(LEFT(TRIM(INDEX(PASTE_ALL,24,5)),1)="-"),999))-(RIGHT(MID(TRIM(INDEX(PASTE_ALL,24,5)),1+(LEFT(TRIM(INDEX(PASTE_ALL,24,5)),1)="-"),999),1)="%"))&lt;&gt;"",SUBSTITUTE(SUBSTITUTE(SUBSTITUTE(SUBSTITUTE(SUBSTITUTE(SUBSTITUTE(SUBSTITUTE(SUBSTITUTE(SUBSTITUTE(SUBSTITUTE(SUBSTITUTE(SUBSTITUTE(LEFT(MID(TRIM(INDEX(PASTE_ALL,24,5)),1+(LEFT(TRIM(INDEX(PASTE_ALL,24,5)),1)="-"),999),LEN(MID(TRIM(INDEX(PASTE_ALL,24,5)),1+(LEFT(TRIM(INDEX(PASTE_ALL,24,5)),1)="-"),999))-(RIGHT(MID(TRIM(INDEX(PASTE_ALL,24,5)),1+(LEFT(TRIM(INDEX(PASTE_ALL,24,5)),1)="-"),999),1)="%")),"0",""),"1",""),"2",""),"3",""),"4",""),"5",""),"6",""),"7",""),"8",""),"9",""),".",""),",","")=""),2,1))),1)</f>
        <v/>
      </c>
      <c r="AD73">
        <f>IFERROR(IF(ISNUMBER(INDEX(PASTE_ALL,24,6)),2,IF(TRIM(INDEX(PASTE_ALL,24,6))="",0,IF(AND(LEFT(MID(TRIM(INDEX(PASTE_ALL,24,6)),1+(LEFT(TRIM(INDEX(PASTE_ALL,24,6)),1)="-"),999),LEN(MID(TRIM(INDEX(PASTE_ALL,24,6)),1+(LEFT(TRIM(INDEX(PASTE_ALL,24,6)),1)="-"),999))-(RIGHT(MID(TRIM(INDEX(PASTE_ALL,24,6)),1+(LEFT(TRIM(INDEX(PASTE_ALL,24,6)),1)="-"),999),1)="%"))&lt;&gt;"",SUBSTITUTE(SUBSTITUTE(SUBSTITUTE(SUBSTITUTE(SUBSTITUTE(SUBSTITUTE(SUBSTITUTE(SUBSTITUTE(SUBSTITUTE(SUBSTITUTE(SUBSTITUTE(SUBSTITUTE(LEFT(MID(TRIM(INDEX(PASTE_ALL,24,6)),1+(LEFT(TRIM(INDEX(PASTE_ALL,24,6)),1)="-"),999),LEN(MID(TRIM(INDEX(PASTE_ALL,24,6)),1+(LEFT(TRIM(INDEX(PASTE_ALL,24,6)),1)="-"),999))-(RIGHT(MID(TRIM(INDEX(PASTE_ALL,24,6)),1+(LEFT(TRIM(INDEX(PASTE_ALL,24,6)),1)="-"),999),1)="%")),"0",""),"1",""),"2",""),"3",""),"4",""),"5",""),"6",""),"7",""),"8",""),"9",""),".",""),",","")=""),2,1))),1)</f>
        <v/>
      </c>
      <c r="AE73">
        <f>IFERROR(IF(ISNUMBER(INDEX(PASTE_ALL,24,7)),2,IF(TRIM(INDEX(PASTE_ALL,24,7))="",0,IF(AND(LEFT(MID(TRIM(INDEX(PASTE_ALL,24,7)),1+(LEFT(TRIM(INDEX(PASTE_ALL,24,7)),1)="-"),999),LEN(MID(TRIM(INDEX(PASTE_ALL,24,7)),1+(LEFT(TRIM(INDEX(PASTE_ALL,24,7)),1)="-"),999))-(RIGHT(MID(TRIM(INDEX(PASTE_ALL,24,7)),1+(LEFT(TRIM(INDEX(PASTE_ALL,24,7)),1)="-"),999),1)="%"))&lt;&gt;"",SUBSTITUTE(SUBSTITUTE(SUBSTITUTE(SUBSTITUTE(SUBSTITUTE(SUBSTITUTE(SUBSTITUTE(SUBSTITUTE(SUBSTITUTE(SUBSTITUTE(SUBSTITUTE(SUBSTITUTE(LEFT(MID(TRIM(INDEX(PASTE_ALL,24,7)),1+(LEFT(TRIM(INDEX(PASTE_ALL,24,7)),1)="-"),999),LEN(MID(TRIM(INDEX(PASTE_ALL,24,7)),1+(LEFT(TRIM(INDEX(PASTE_ALL,24,7)),1)="-"),999))-(RIGHT(MID(TRIM(INDEX(PASTE_ALL,24,7)),1+(LEFT(TRIM(INDEX(PASTE_ALL,24,7)),1)="-"),999),1)="%")),"0",""),"1",""),"2",""),"3",""),"4",""),"5",""),"6",""),"7",""),"8",""),"9",""),".",""),",","")=""),2,1))),1)</f>
        <v/>
      </c>
      <c r="AF73">
        <f>IFERROR(IF(ISNUMBER(INDEX(PASTE_ALL,24,8)),2,IF(TRIM(INDEX(PASTE_ALL,24,8))="",0,IF(AND(LEFT(MID(TRIM(INDEX(PASTE_ALL,24,8)),1+(LEFT(TRIM(INDEX(PASTE_ALL,24,8)),1)="-"),999),LEN(MID(TRIM(INDEX(PASTE_ALL,24,8)),1+(LEFT(TRIM(INDEX(PASTE_ALL,24,8)),1)="-"),999))-(RIGHT(MID(TRIM(INDEX(PASTE_ALL,24,8)),1+(LEFT(TRIM(INDEX(PASTE_ALL,24,8)),1)="-"),999),1)="%"))&lt;&gt;"",SUBSTITUTE(SUBSTITUTE(SUBSTITUTE(SUBSTITUTE(SUBSTITUTE(SUBSTITUTE(SUBSTITUTE(SUBSTITUTE(SUBSTITUTE(SUBSTITUTE(SUBSTITUTE(SUBSTITUTE(LEFT(MID(TRIM(INDEX(PASTE_ALL,24,8)),1+(LEFT(TRIM(INDEX(PASTE_ALL,24,8)),1)="-"),999),LEN(MID(TRIM(INDEX(PASTE_ALL,24,8)),1+(LEFT(TRIM(INDEX(PASTE_ALL,24,8)),1)="-"),999))-(RIGHT(MID(TRIM(INDEX(PASTE_ALL,24,8)),1+(LEFT(TRIM(INDEX(PASTE_ALL,24,8)),1)="-"),999),1)="%")),"0",""),"1",""),"2",""),"3",""),"4",""),"5",""),"6",""),"7",""),"8",""),"9",""),".",""),",","")=""),2,1))),1)</f>
        <v/>
      </c>
      <c r="AG73">
        <f>IFERROR(IF(ISNUMBER(INDEX(PASTE_ALL,24,9)),2,IF(TRIM(INDEX(PASTE_ALL,24,9))="",0,IF(AND(LEFT(MID(TRIM(INDEX(PASTE_ALL,24,9)),1+(LEFT(TRIM(INDEX(PASTE_ALL,24,9)),1)="-"),999),LEN(MID(TRIM(INDEX(PASTE_ALL,24,9)),1+(LEFT(TRIM(INDEX(PASTE_ALL,24,9)),1)="-"),999))-(RIGHT(MID(TRIM(INDEX(PASTE_ALL,24,9)),1+(LEFT(TRIM(INDEX(PASTE_ALL,24,9)),1)="-"),999),1)="%"))&lt;&gt;"",SUBSTITUTE(SUBSTITUTE(SUBSTITUTE(SUBSTITUTE(SUBSTITUTE(SUBSTITUTE(SUBSTITUTE(SUBSTITUTE(SUBSTITUTE(SUBSTITUTE(SUBSTITUTE(SUBSTITUTE(LEFT(MID(TRIM(INDEX(PASTE_ALL,24,9)),1+(LEFT(TRIM(INDEX(PASTE_ALL,24,9)),1)="-"),999),LEN(MID(TRIM(INDEX(PASTE_ALL,24,9)),1+(LEFT(TRIM(INDEX(PASTE_ALL,24,9)),1)="-"),999))-(RIGHT(MID(TRIM(INDEX(PASTE_ALL,24,9)),1+(LEFT(TRIM(INDEX(PASTE_ALL,24,9)),1)="-"),999),1)="%")),"0",""),"1",""),"2",""),"3",""),"4",""),"5",""),"6",""),"7",""),"8",""),"9",""),".",""),",","")=""),2,1))),1)</f>
        <v/>
      </c>
      <c r="AH73">
        <f>IFERROR(IF(ISNUMBER(INDEX(PASTE_ALL,24,10)),2,IF(TRIM(INDEX(PASTE_ALL,24,10))="",0,IF(AND(LEFT(MID(TRIM(INDEX(PASTE_ALL,24,10)),1+(LEFT(TRIM(INDEX(PASTE_ALL,24,10)),1)="-"),999),LEN(MID(TRIM(INDEX(PASTE_ALL,24,10)),1+(LEFT(TRIM(INDEX(PASTE_ALL,24,10)),1)="-"),999))-(RIGHT(MID(TRIM(INDEX(PASTE_ALL,24,10)),1+(LEFT(TRIM(INDEX(PASTE_ALL,24,10)),1)="-"),999),1)="%"))&lt;&gt;"",SUBSTITUTE(SUBSTITUTE(SUBSTITUTE(SUBSTITUTE(SUBSTITUTE(SUBSTITUTE(SUBSTITUTE(SUBSTITUTE(SUBSTITUTE(SUBSTITUTE(SUBSTITUTE(SUBSTITUTE(LEFT(MID(TRIM(INDEX(PASTE_ALL,24,10)),1+(LEFT(TRIM(INDEX(PASTE_ALL,24,10)),1)="-"),999),LEN(MID(TRIM(INDEX(PASTE_ALL,24,10)),1+(LEFT(TRIM(INDEX(PASTE_ALL,24,10)),1)="-"),999))-(RIGHT(MID(TRIM(INDEX(PASTE_ALL,24,10)),1+(LEFT(TRIM(INDEX(PASTE_ALL,24,10)),1)="-"),999),1)="%")),"0",""),"1",""),"2",""),"3",""),"4",""),"5",""),"6",""),"7",""),"8",""),"9",""),".",""),",","")=""),2,1))),1)</f>
        <v/>
      </c>
      <c r="AI73">
        <f>IFERROR(IF(ISNUMBER(INDEX(PASTE_ALL,24,11)),2,IF(TRIM(INDEX(PASTE_ALL,24,11))="",0,IF(AND(LEFT(MID(TRIM(INDEX(PASTE_ALL,24,11)),1+(LEFT(TRIM(INDEX(PASTE_ALL,24,11)),1)="-"),999),LEN(MID(TRIM(INDEX(PASTE_ALL,24,11)),1+(LEFT(TRIM(INDEX(PASTE_ALL,24,11)),1)="-"),999))-(RIGHT(MID(TRIM(INDEX(PASTE_ALL,24,11)),1+(LEFT(TRIM(INDEX(PASTE_ALL,24,11)),1)="-"),999),1)="%"))&lt;&gt;"",SUBSTITUTE(SUBSTITUTE(SUBSTITUTE(SUBSTITUTE(SUBSTITUTE(SUBSTITUTE(SUBSTITUTE(SUBSTITUTE(SUBSTITUTE(SUBSTITUTE(SUBSTITUTE(SUBSTITUTE(LEFT(MID(TRIM(INDEX(PASTE_ALL,24,11)),1+(LEFT(TRIM(INDEX(PASTE_ALL,24,11)),1)="-"),999),LEN(MID(TRIM(INDEX(PASTE_ALL,24,11)),1+(LEFT(TRIM(INDEX(PASTE_ALL,24,11)),1)="-"),999))-(RIGHT(MID(TRIM(INDEX(PASTE_ALL,24,11)),1+(LEFT(TRIM(INDEX(PASTE_ALL,24,11)),1)="-"),999),1)="%")),"0",""),"1",""),"2",""),"3",""),"4",""),"5",""),"6",""),"7",""),"8",""),"9",""),".",""),",","")=""),2,1))),1)</f>
        <v/>
      </c>
      <c r="AJ73">
        <f>IFERROR(IF(ISNUMBER(INDEX(PASTE_ALL,24,12)),2,IF(TRIM(INDEX(PASTE_ALL,24,12))="",0,IF(AND(LEFT(MID(TRIM(INDEX(PASTE_ALL,24,12)),1+(LEFT(TRIM(INDEX(PASTE_ALL,24,12)),1)="-"),999),LEN(MID(TRIM(INDEX(PASTE_ALL,24,12)),1+(LEFT(TRIM(INDEX(PASTE_ALL,24,12)),1)="-"),999))-(RIGHT(MID(TRIM(INDEX(PASTE_ALL,24,12)),1+(LEFT(TRIM(INDEX(PASTE_ALL,24,12)),1)="-"),999),1)="%"))&lt;&gt;"",SUBSTITUTE(SUBSTITUTE(SUBSTITUTE(SUBSTITUTE(SUBSTITUTE(SUBSTITUTE(SUBSTITUTE(SUBSTITUTE(SUBSTITUTE(SUBSTITUTE(SUBSTITUTE(SUBSTITUTE(LEFT(MID(TRIM(INDEX(PASTE_ALL,24,12)),1+(LEFT(TRIM(INDEX(PASTE_ALL,24,12)),1)="-"),999),LEN(MID(TRIM(INDEX(PASTE_ALL,24,12)),1+(LEFT(TRIM(INDEX(PASTE_ALL,24,12)),1)="-"),999))-(RIGHT(MID(TRIM(INDEX(PASTE_ALL,24,12)),1+(LEFT(TRIM(INDEX(PASTE_ALL,24,12)),1)="-"),999),1)="%")),"0",""),"1",""),"2",""),"3",""),"4",""),"5",""),"6",""),"7",""),"8",""),"9",""),".",""),",","")=""),2,1))),1)</f>
        <v/>
      </c>
      <c r="AK73">
        <f>IFERROR(IF(ISNUMBER(INDEX(PASTE_ALL,24,13)),2,IF(TRIM(INDEX(PASTE_ALL,24,13))="",0,IF(AND(LEFT(MID(TRIM(INDEX(PASTE_ALL,24,13)),1+(LEFT(TRIM(INDEX(PASTE_ALL,24,13)),1)="-"),999),LEN(MID(TRIM(INDEX(PASTE_ALL,24,13)),1+(LEFT(TRIM(INDEX(PASTE_ALL,24,13)),1)="-"),999))-(RIGHT(MID(TRIM(INDEX(PASTE_ALL,24,13)),1+(LEFT(TRIM(INDEX(PASTE_ALL,24,13)),1)="-"),999),1)="%"))&lt;&gt;"",SUBSTITUTE(SUBSTITUTE(SUBSTITUTE(SUBSTITUTE(SUBSTITUTE(SUBSTITUTE(SUBSTITUTE(SUBSTITUTE(SUBSTITUTE(SUBSTITUTE(SUBSTITUTE(SUBSTITUTE(LEFT(MID(TRIM(INDEX(PASTE_ALL,24,13)),1+(LEFT(TRIM(INDEX(PASTE_ALL,24,13)),1)="-"),999),LEN(MID(TRIM(INDEX(PASTE_ALL,24,13)),1+(LEFT(TRIM(INDEX(PASTE_ALL,24,13)),1)="-"),999))-(RIGHT(MID(TRIM(INDEX(PASTE_ALL,24,13)),1+(LEFT(TRIM(INDEX(PASTE_ALL,24,13)),1)="-"),999),1)="%")),"0",""),"1",""),"2",""),"3",""),"4",""),"5",""),"6",""),"7",""),"8",""),"9",""),".",""),",","")=""),2,1))),1)</f>
        <v/>
      </c>
      <c r="AL73">
        <f>IFERROR(IF(ISNUMBER(INDEX(PASTE_ALL,24,14)),2,IF(TRIM(INDEX(PASTE_ALL,24,14))="",0,IF(AND(LEFT(MID(TRIM(INDEX(PASTE_ALL,24,14)),1+(LEFT(TRIM(INDEX(PASTE_ALL,24,14)),1)="-"),999),LEN(MID(TRIM(INDEX(PASTE_ALL,24,14)),1+(LEFT(TRIM(INDEX(PASTE_ALL,24,14)),1)="-"),999))-(RIGHT(MID(TRIM(INDEX(PASTE_ALL,24,14)),1+(LEFT(TRIM(INDEX(PASTE_ALL,24,14)),1)="-"),999),1)="%"))&lt;&gt;"",SUBSTITUTE(SUBSTITUTE(SUBSTITUTE(SUBSTITUTE(SUBSTITUTE(SUBSTITUTE(SUBSTITUTE(SUBSTITUTE(SUBSTITUTE(SUBSTITUTE(SUBSTITUTE(SUBSTITUTE(LEFT(MID(TRIM(INDEX(PASTE_ALL,24,14)),1+(LEFT(TRIM(INDEX(PASTE_ALL,24,14)),1)="-"),999),LEN(MID(TRIM(INDEX(PASTE_ALL,24,14)),1+(LEFT(TRIM(INDEX(PASTE_ALL,24,14)),1)="-"),999))-(RIGHT(MID(TRIM(INDEX(PASTE_ALL,24,14)),1+(LEFT(TRIM(INDEX(PASTE_ALL,24,14)),1)="-"),999),1)="%")),"0",""),"1",""),"2",""),"3",""),"4",""),"5",""),"6",""),"7",""),"8",""),"9",""),".",""),",","")=""),2,1))),1)</f>
        <v/>
      </c>
      <c r="AM73">
        <f>IFERROR(IF(ISNUMBER(INDEX(PASTE_ALL,24,15)),2,IF(TRIM(INDEX(PASTE_ALL,24,15))="",0,IF(AND(LEFT(MID(TRIM(INDEX(PASTE_ALL,24,15)),1+(LEFT(TRIM(INDEX(PASTE_ALL,24,15)),1)="-"),999),LEN(MID(TRIM(INDEX(PASTE_ALL,24,15)),1+(LEFT(TRIM(INDEX(PASTE_ALL,24,15)),1)="-"),999))-(RIGHT(MID(TRIM(INDEX(PASTE_ALL,24,15)),1+(LEFT(TRIM(INDEX(PASTE_ALL,24,15)),1)="-"),999),1)="%"))&lt;&gt;"",SUBSTITUTE(SUBSTITUTE(SUBSTITUTE(SUBSTITUTE(SUBSTITUTE(SUBSTITUTE(SUBSTITUTE(SUBSTITUTE(SUBSTITUTE(SUBSTITUTE(SUBSTITUTE(SUBSTITUTE(LEFT(MID(TRIM(INDEX(PASTE_ALL,24,15)),1+(LEFT(TRIM(INDEX(PASTE_ALL,24,15)),1)="-"),999),LEN(MID(TRIM(INDEX(PASTE_ALL,24,15)),1+(LEFT(TRIM(INDEX(PASTE_ALL,24,15)),1)="-"),999))-(RIGHT(MID(TRIM(INDEX(PASTE_ALL,24,15)),1+(LEFT(TRIM(INDEX(PASTE_ALL,24,15)),1)="-"),999),1)="%")),"0",""),"1",""),"2",""),"3",""),"4",""),"5",""),"6",""),"7",""),"8",""),"9",""),".",""),",","")=""),2,1))),1)</f>
        <v/>
      </c>
      <c r="AN73">
        <f>IFERROR(IF(ISNUMBER(INDEX(PASTE_ALL,24,16)),2,IF(TRIM(INDEX(PASTE_ALL,24,16))="",0,IF(AND(LEFT(MID(TRIM(INDEX(PASTE_ALL,24,16)),1+(LEFT(TRIM(INDEX(PASTE_ALL,24,16)),1)="-"),999),LEN(MID(TRIM(INDEX(PASTE_ALL,24,16)),1+(LEFT(TRIM(INDEX(PASTE_ALL,24,16)),1)="-"),999))-(RIGHT(MID(TRIM(INDEX(PASTE_ALL,24,16)),1+(LEFT(TRIM(INDEX(PASTE_ALL,24,16)),1)="-"),999),1)="%"))&lt;&gt;"",SUBSTITUTE(SUBSTITUTE(SUBSTITUTE(SUBSTITUTE(SUBSTITUTE(SUBSTITUTE(SUBSTITUTE(SUBSTITUTE(SUBSTITUTE(SUBSTITUTE(SUBSTITUTE(SUBSTITUTE(LEFT(MID(TRIM(INDEX(PASTE_ALL,24,16)),1+(LEFT(TRIM(INDEX(PASTE_ALL,24,16)),1)="-"),999),LEN(MID(TRIM(INDEX(PASTE_ALL,24,16)),1+(LEFT(TRIM(INDEX(PASTE_ALL,24,16)),1)="-"),999))-(RIGHT(MID(TRIM(INDEX(PASTE_ALL,24,16)),1+(LEFT(TRIM(INDEX(PASTE_ALL,24,16)),1)="-"),999),1)="%")),"0",""),"1",""),"2",""),"3",""),"4",""),"5",""),"6",""),"7",""),"8",""),"9",""),".",""),",","")=""),2,1))),1)</f>
        <v/>
      </c>
      <c r="AO73">
        <f>IFERROR(IF(ISNUMBER(INDEX(PASTE_ALL,24,17)),2,IF(TRIM(INDEX(PASTE_ALL,24,17))="",0,IF(AND(LEFT(MID(TRIM(INDEX(PASTE_ALL,24,17)),1+(LEFT(TRIM(INDEX(PASTE_ALL,24,17)),1)="-"),999),LEN(MID(TRIM(INDEX(PASTE_ALL,24,17)),1+(LEFT(TRIM(INDEX(PASTE_ALL,24,17)),1)="-"),999))-(RIGHT(MID(TRIM(INDEX(PASTE_ALL,24,17)),1+(LEFT(TRIM(INDEX(PASTE_ALL,24,17)),1)="-"),999),1)="%"))&lt;&gt;"",SUBSTITUTE(SUBSTITUTE(SUBSTITUTE(SUBSTITUTE(SUBSTITUTE(SUBSTITUTE(SUBSTITUTE(SUBSTITUTE(SUBSTITUTE(SUBSTITUTE(SUBSTITUTE(SUBSTITUTE(LEFT(MID(TRIM(INDEX(PASTE_ALL,24,17)),1+(LEFT(TRIM(INDEX(PASTE_ALL,24,17)),1)="-"),999),LEN(MID(TRIM(INDEX(PASTE_ALL,24,17)),1+(LEFT(TRIM(INDEX(PASTE_ALL,24,17)),1)="-"),999))-(RIGHT(MID(TRIM(INDEX(PASTE_ALL,24,17)),1+(LEFT(TRIM(INDEX(PASTE_ALL,24,17)),1)="-"),999),1)="%")),"0",""),"1",""),"2",""),"3",""),"4",""),"5",""),"6",""),"7",""),"8",""),"9",""),".",""),",","")=""),2,1))),1)</f>
        <v/>
      </c>
      <c r="AP73">
        <f>IFERROR(IF(ISNUMBER(INDEX(PASTE_ALL,24,18)),2,IF(TRIM(INDEX(PASTE_ALL,24,18))="",0,IF(AND(LEFT(MID(TRIM(INDEX(PASTE_ALL,24,18)),1+(LEFT(TRIM(INDEX(PASTE_ALL,24,18)),1)="-"),999),LEN(MID(TRIM(INDEX(PASTE_ALL,24,18)),1+(LEFT(TRIM(INDEX(PASTE_ALL,24,18)),1)="-"),999))-(RIGHT(MID(TRIM(INDEX(PASTE_ALL,24,18)),1+(LEFT(TRIM(INDEX(PASTE_ALL,24,18)),1)="-"),999),1)="%"))&lt;&gt;"",SUBSTITUTE(SUBSTITUTE(SUBSTITUTE(SUBSTITUTE(SUBSTITUTE(SUBSTITUTE(SUBSTITUTE(SUBSTITUTE(SUBSTITUTE(SUBSTITUTE(SUBSTITUTE(SUBSTITUTE(LEFT(MID(TRIM(INDEX(PASTE_ALL,24,18)),1+(LEFT(TRIM(INDEX(PASTE_ALL,24,18)),1)="-"),999),LEN(MID(TRIM(INDEX(PASTE_ALL,24,18)),1+(LEFT(TRIM(INDEX(PASTE_ALL,24,18)),1)="-"),999))-(RIGHT(MID(TRIM(INDEX(PASTE_ALL,24,18)),1+(LEFT(TRIM(INDEX(PASTE_ALL,24,18)),1)="-"),999),1)="%")),"0",""),"1",""),"2",""),"3",""),"4",""),"5",""),"6",""),"7",""),"8",""),"9",""),".",""),",","")=""),2,1))),1)</f>
        <v/>
      </c>
      <c r="AQ73">
        <f>IFERROR(IF(ISNUMBER(INDEX(PASTE_ALL,24,19)),2,IF(TRIM(INDEX(PASTE_ALL,24,19))="",0,IF(AND(LEFT(MID(TRIM(INDEX(PASTE_ALL,24,19)),1+(LEFT(TRIM(INDEX(PASTE_ALL,24,19)),1)="-"),999),LEN(MID(TRIM(INDEX(PASTE_ALL,24,19)),1+(LEFT(TRIM(INDEX(PASTE_ALL,24,19)),1)="-"),999))-(RIGHT(MID(TRIM(INDEX(PASTE_ALL,24,19)),1+(LEFT(TRIM(INDEX(PASTE_ALL,24,19)),1)="-"),999),1)="%"))&lt;&gt;"",SUBSTITUTE(SUBSTITUTE(SUBSTITUTE(SUBSTITUTE(SUBSTITUTE(SUBSTITUTE(SUBSTITUTE(SUBSTITUTE(SUBSTITUTE(SUBSTITUTE(SUBSTITUTE(SUBSTITUTE(LEFT(MID(TRIM(INDEX(PASTE_ALL,24,19)),1+(LEFT(TRIM(INDEX(PASTE_ALL,24,19)),1)="-"),999),LEN(MID(TRIM(INDEX(PASTE_ALL,24,19)),1+(LEFT(TRIM(INDEX(PASTE_ALL,24,19)),1)="-"),999))-(RIGHT(MID(TRIM(INDEX(PASTE_ALL,24,19)),1+(LEFT(TRIM(INDEX(PASTE_ALL,24,19)),1)="-"),999),1)="%")),"0",""),"1",""),"2",""),"3",""),"4",""),"5",""),"6",""),"7",""),"8",""),"9",""),".",""),",","")=""),2,1))),1)</f>
        <v/>
      </c>
      <c r="AR73">
        <f>IFERROR(IF(ISNUMBER(INDEX(PASTE_ALL,24,20)),2,IF(TRIM(INDEX(PASTE_ALL,24,20))="",0,IF(AND(LEFT(MID(TRIM(INDEX(PASTE_ALL,24,20)),1+(LEFT(TRIM(INDEX(PASTE_ALL,24,20)),1)="-"),999),LEN(MID(TRIM(INDEX(PASTE_ALL,24,20)),1+(LEFT(TRIM(INDEX(PASTE_ALL,24,20)),1)="-"),999))-(RIGHT(MID(TRIM(INDEX(PASTE_ALL,24,20)),1+(LEFT(TRIM(INDEX(PASTE_ALL,24,20)),1)="-"),999),1)="%"))&lt;&gt;"",SUBSTITUTE(SUBSTITUTE(SUBSTITUTE(SUBSTITUTE(SUBSTITUTE(SUBSTITUTE(SUBSTITUTE(SUBSTITUTE(SUBSTITUTE(SUBSTITUTE(SUBSTITUTE(SUBSTITUTE(LEFT(MID(TRIM(INDEX(PASTE_ALL,24,20)),1+(LEFT(TRIM(INDEX(PASTE_ALL,24,20)),1)="-"),999),LEN(MID(TRIM(INDEX(PASTE_ALL,24,20)),1+(LEFT(TRIM(INDEX(PASTE_ALL,24,20)),1)="-"),999))-(RIGHT(MID(TRIM(INDEX(PASTE_ALL,24,20)),1+(LEFT(TRIM(INDEX(PASTE_ALL,24,20)),1)="-"),999),1)="%")),"0",""),"1",""),"2",""),"3",""),"4",""),"5",""),"6",""),"7",""),"8",""),"9",""),".",""),",","")=""),2,1))),1)</f>
        <v/>
      </c>
      <c r="AS73">
        <f>IFERROR(IF(ISNUMBER(INDEX(PASTE_ALL,24,21)),2,IF(TRIM(INDEX(PASTE_ALL,24,21))="",0,IF(AND(LEFT(MID(TRIM(INDEX(PASTE_ALL,24,21)),1+(LEFT(TRIM(INDEX(PASTE_ALL,24,21)),1)="-"),999),LEN(MID(TRIM(INDEX(PASTE_ALL,24,21)),1+(LEFT(TRIM(INDEX(PASTE_ALL,24,21)),1)="-"),999))-(RIGHT(MID(TRIM(INDEX(PASTE_ALL,24,21)),1+(LEFT(TRIM(INDEX(PASTE_ALL,24,21)),1)="-"),999),1)="%"))&lt;&gt;"",SUBSTITUTE(SUBSTITUTE(SUBSTITUTE(SUBSTITUTE(SUBSTITUTE(SUBSTITUTE(SUBSTITUTE(SUBSTITUTE(SUBSTITUTE(SUBSTITUTE(SUBSTITUTE(SUBSTITUTE(LEFT(MID(TRIM(INDEX(PASTE_ALL,24,21)),1+(LEFT(TRIM(INDEX(PASTE_ALL,24,21)),1)="-"),999),LEN(MID(TRIM(INDEX(PASTE_ALL,24,21)),1+(LEFT(TRIM(INDEX(PASTE_ALL,24,21)),1)="-"),999))-(RIGHT(MID(TRIM(INDEX(PASTE_ALL,24,21)),1+(LEFT(TRIM(INDEX(PASTE_ALL,24,21)),1)="-"),999),1)="%")),"0",""),"1",""),"2",""),"3",""),"4",""),"5",""),"6",""),"7",""),"8",""),"9",""),".",""),",","")=""),2,1))),1)</f>
        <v/>
      </c>
      <c r="AT73">
        <f>IFERROR(IF(ISNUMBER(INDEX(PASTE_ALL,24,22)),2,IF(TRIM(INDEX(PASTE_ALL,24,22))="",0,IF(AND(LEFT(MID(TRIM(INDEX(PASTE_ALL,24,22)),1+(LEFT(TRIM(INDEX(PASTE_ALL,24,22)),1)="-"),999),LEN(MID(TRIM(INDEX(PASTE_ALL,24,22)),1+(LEFT(TRIM(INDEX(PASTE_ALL,24,22)),1)="-"),999))-(RIGHT(MID(TRIM(INDEX(PASTE_ALL,24,22)),1+(LEFT(TRIM(INDEX(PASTE_ALL,24,22)),1)="-"),999),1)="%"))&lt;&gt;"",SUBSTITUTE(SUBSTITUTE(SUBSTITUTE(SUBSTITUTE(SUBSTITUTE(SUBSTITUTE(SUBSTITUTE(SUBSTITUTE(SUBSTITUTE(SUBSTITUTE(SUBSTITUTE(SUBSTITUTE(LEFT(MID(TRIM(INDEX(PASTE_ALL,24,22)),1+(LEFT(TRIM(INDEX(PASTE_ALL,24,22)),1)="-"),999),LEN(MID(TRIM(INDEX(PASTE_ALL,24,22)),1+(LEFT(TRIM(INDEX(PASTE_ALL,24,22)),1)="-"),999))-(RIGHT(MID(TRIM(INDEX(PASTE_ALL,24,22)),1+(LEFT(TRIM(INDEX(PASTE_ALL,24,22)),1)="-"),999),1)="%")),"0",""),"1",""),"2",""),"3",""),"4",""),"5",""),"6",""),"7",""),"8",""),"9",""),".",""),",","")=""),2,1))),1)</f>
        <v/>
      </c>
      <c r="AU73">
        <f>IFERROR(IF(ISNUMBER(INDEX(PASTE_ALL,24,23)),2,IF(TRIM(INDEX(PASTE_ALL,24,23))="",0,IF(AND(LEFT(MID(TRIM(INDEX(PASTE_ALL,24,23)),1+(LEFT(TRIM(INDEX(PASTE_ALL,24,23)),1)="-"),999),LEN(MID(TRIM(INDEX(PASTE_ALL,24,23)),1+(LEFT(TRIM(INDEX(PASTE_ALL,24,23)),1)="-"),999))-(RIGHT(MID(TRIM(INDEX(PASTE_ALL,24,23)),1+(LEFT(TRIM(INDEX(PASTE_ALL,24,23)),1)="-"),999),1)="%"))&lt;&gt;"",SUBSTITUTE(SUBSTITUTE(SUBSTITUTE(SUBSTITUTE(SUBSTITUTE(SUBSTITUTE(SUBSTITUTE(SUBSTITUTE(SUBSTITUTE(SUBSTITUTE(SUBSTITUTE(SUBSTITUTE(LEFT(MID(TRIM(INDEX(PASTE_ALL,24,23)),1+(LEFT(TRIM(INDEX(PASTE_ALL,24,23)),1)="-"),999),LEN(MID(TRIM(INDEX(PASTE_ALL,24,23)),1+(LEFT(TRIM(INDEX(PASTE_ALL,24,23)),1)="-"),999))-(RIGHT(MID(TRIM(INDEX(PASTE_ALL,24,23)),1+(LEFT(TRIM(INDEX(PASTE_ALL,24,23)),1)="-"),999),1)="%")),"0",""),"1",""),"2",""),"3",""),"4",""),"5",""),"6",""),"7",""),"8",""),"9",""),".",""),",","")=""),2,1))),1)</f>
        <v/>
      </c>
      <c r="AV73">
        <f>IFERROR(IF(ISNUMBER(INDEX(PASTE_ALL,24,24)),2,IF(TRIM(INDEX(PASTE_ALL,24,24))="",0,IF(AND(LEFT(MID(TRIM(INDEX(PASTE_ALL,24,24)),1+(LEFT(TRIM(INDEX(PASTE_ALL,24,24)),1)="-"),999),LEN(MID(TRIM(INDEX(PASTE_ALL,24,24)),1+(LEFT(TRIM(INDEX(PASTE_ALL,24,24)),1)="-"),999))-(RIGHT(MID(TRIM(INDEX(PASTE_ALL,24,24)),1+(LEFT(TRIM(INDEX(PASTE_ALL,24,24)),1)="-"),999),1)="%"))&lt;&gt;"",SUBSTITUTE(SUBSTITUTE(SUBSTITUTE(SUBSTITUTE(SUBSTITUTE(SUBSTITUTE(SUBSTITUTE(SUBSTITUTE(SUBSTITUTE(SUBSTITUTE(SUBSTITUTE(SUBSTITUTE(LEFT(MID(TRIM(INDEX(PASTE_ALL,24,24)),1+(LEFT(TRIM(INDEX(PASTE_ALL,24,24)),1)="-"),999),LEN(MID(TRIM(INDEX(PASTE_ALL,24,24)),1+(LEFT(TRIM(INDEX(PASTE_ALL,24,24)),1)="-"),999))-(RIGHT(MID(TRIM(INDEX(PASTE_ALL,24,24)),1+(LEFT(TRIM(INDEX(PASTE_ALL,24,24)),1)="-"),999),1)="%")),"0",""),"1",""),"2",""),"3",""),"4",""),"5",""),"6",""),"7",""),"8",""),"9",""),".",""),",","")=""),2,1))),1)</f>
        <v/>
      </c>
      <c r="AW73">
        <f>IFERROR(IF(ISNUMBER(INDEX(PASTE_ALL,24,25)),2,IF(TRIM(INDEX(PASTE_ALL,24,25))="",0,IF(AND(LEFT(MID(TRIM(INDEX(PASTE_ALL,24,25)),1+(LEFT(TRIM(INDEX(PASTE_ALL,24,25)),1)="-"),999),LEN(MID(TRIM(INDEX(PASTE_ALL,24,25)),1+(LEFT(TRIM(INDEX(PASTE_ALL,24,25)),1)="-"),999))-(RIGHT(MID(TRIM(INDEX(PASTE_ALL,24,25)),1+(LEFT(TRIM(INDEX(PASTE_ALL,24,25)),1)="-"),999),1)="%"))&lt;&gt;"",SUBSTITUTE(SUBSTITUTE(SUBSTITUTE(SUBSTITUTE(SUBSTITUTE(SUBSTITUTE(SUBSTITUTE(SUBSTITUTE(SUBSTITUTE(SUBSTITUTE(SUBSTITUTE(SUBSTITUTE(LEFT(MID(TRIM(INDEX(PASTE_ALL,24,25)),1+(LEFT(TRIM(INDEX(PASTE_ALL,24,25)),1)="-"),999),LEN(MID(TRIM(INDEX(PASTE_ALL,24,25)),1+(LEFT(TRIM(INDEX(PASTE_ALL,24,25)),1)="-"),999))-(RIGHT(MID(TRIM(INDEX(PASTE_ALL,24,25)),1+(LEFT(TRIM(INDEX(PASTE_ALL,24,25)),1)="-"),999),1)="%")),"0",""),"1",""),"2",""),"3",""),"4",""),"5",""),"6",""),"7",""),"8",""),"9",""),".",""),",","")=""),2,1))),1)</f>
        <v/>
      </c>
      <c r="AX73">
        <f>IFERROR(IF(ISNUMBER(INDEX(PASTE_ALL,24,26)),2,IF(TRIM(INDEX(PASTE_ALL,24,26))="",0,IF(AND(LEFT(MID(TRIM(INDEX(PASTE_ALL,24,26)),1+(LEFT(TRIM(INDEX(PASTE_ALL,24,26)),1)="-"),999),LEN(MID(TRIM(INDEX(PASTE_ALL,24,26)),1+(LEFT(TRIM(INDEX(PASTE_ALL,24,26)),1)="-"),999))-(RIGHT(MID(TRIM(INDEX(PASTE_ALL,24,26)),1+(LEFT(TRIM(INDEX(PASTE_ALL,24,26)),1)="-"),999),1)="%"))&lt;&gt;"",SUBSTITUTE(SUBSTITUTE(SUBSTITUTE(SUBSTITUTE(SUBSTITUTE(SUBSTITUTE(SUBSTITUTE(SUBSTITUTE(SUBSTITUTE(SUBSTITUTE(SUBSTITUTE(SUBSTITUTE(LEFT(MID(TRIM(INDEX(PASTE_ALL,24,26)),1+(LEFT(TRIM(INDEX(PASTE_ALL,24,26)),1)="-"),999),LEN(MID(TRIM(INDEX(PASTE_ALL,24,26)),1+(LEFT(TRIM(INDEX(PASTE_ALL,24,26)),1)="-"),999))-(RIGHT(MID(TRIM(INDEX(PASTE_ALL,24,26)),1+(LEFT(TRIM(INDEX(PASTE_ALL,24,26)),1)="-"),999),1)="%")),"0",""),"1",""),"2",""),"3",""),"4",""),"5",""),"6",""),"7",""),"8",""),"9",""),".",""),",","")=""),2,1))),1)</f>
        <v/>
      </c>
      <c r="AY73">
        <f>IFERROR(IF(ISNUMBER(INDEX(PASTE_ALL,24,27)),2,IF(TRIM(INDEX(PASTE_ALL,24,27))="",0,IF(AND(LEFT(MID(TRIM(INDEX(PASTE_ALL,24,27)),1+(LEFT(TRIM(INDEX(PASTE_ALL,24,27)),1)="-"),999),LEN(MID(TRIM(INDEX(PASTE_ALL,24,27)),1+(LEFT(TRIM(INDEX(PASTE_ALL,24,27)),1)="-"),999))-(RIGHT(MID(TRIM(INDEX(PASTE_ALL,24,27)),1+(LEFT(TRIM(INDEX(PASTE_ALL,24,27)),1)="-"),999),1)="%"))&lt;&gt;"",SUBSTITUTE(SUBSTITUTE(SUBSTITUTE(SUBSTITUTE(SUBSTITUTE(SUBSTITUTE(SUBSTITUTE(SUBSTITUTE(SUBSTITUTE(SUBSTITUTE(SUBSTITUTE(SUBSTITUTE(LEFT(MID(TRIM(INDEX(PASTE_ALL,24,27)),1+(LEFT(TRIM(INDEX(PASTE_ALL,24,27)),1)="-"),999),LEN(MID(TRIM(INDEX(PASTE_ALL,24,27)),1+(LEFT(TRIM(INDEX(PASTE_ALL,24,27)),1)="-"),999))-(RIGHT(MID(TRIM(INDEX(PASTE_ALL,24,27)),1+(LEFT(TRIM(INDEX(PASTE_ALL,24,27)),1)="-"),999),1)="%")),"0",""),"1",""),"2",""),"3",""),"4",""),"5",""),"6",""),"7",""),"8",""),"9",""),".",""),",","")=""),2,1))),1)</f>
        <v/>
      </c>
      <c r="AZ73">
        <f>IFERROR(IF(ISNUMBER(INDEX(PASTE_ALL,24,28)),2,IF(TRIM(INDEX(PASTE_ALL,24,28))="",0,IF(AND(LEFT(MID(TRIM(INDEX(PASTE_ALL,24,28)),1+(LEFT(TRIM(INDEX(PASTE_ALL,24,28)),1)="-"),999),LEN(MID(TRIM(INDEX(PASTE_ALL,24,28)),1+(LEFT(TRIM(INDEX(PASTE_ALL,24,28)),1)="-"),999))-(RIGHT(MID(TRIM(INDEX(PASTE_ALL,24,28)),1+(LEFT(TRIM(INDEX(PASTE_ALL,24,28)),1)="-"),999),1)="%"))&lt;&gt;"",SUBSTITUTE(SUBSTITUTE(SUBSTITUTE(SUBSTITUTE(SUBSTITUTE(SUBSTITUTE(SUBSTITUTE(SUBSTITUTE(SUBSTITUTE(SUBSTITUTE(SUBSTITUTE(SUBSTITUTE(LEFT(MID(TRIM(INDEX(PASTE_ALL,24,28)),1+(LEFT(TRIM(INDEX(PASTE_ALL,24,28)),1)="-"),999),LEN(MID(TRIM(INDEX(PASTE_ALL,24,28)),1+(LEFT(TRIM(INDEX(PASTE_ALL,24,28)),1)="-"),999))-(RIGHT(MID(TRIM(INDEX(PASTE_ALL,24,28)),1+(LEFT(TRIM(INDEX(PASTE_ALL,24,28)),1)="-"),999),1)="%")),"0",""),"1",""),"2",""),"3",""),"4",""),"5",""),"6",""),"7",""),"8",""),"9",""),".",""),",","")=""),2,1))),1)</f>
        <v/>
      </c>
      <c r="BA73">
        <f>IFERROR(IF(ISNUMBER(INDEX(PASTE_ALL,24,29)),2,IF(TRIM(INDEX(PASTE_ALL,24,29))="",0,IF(AND(LEFT(MID(TRIM(INDEX(PASTE_ALL,24,29)),1+(LEFT(TRIM(INDEX(PASTE_ALL,24,29)),1)="-"),999),LEN(MID(TRIM(INDEX(PASTE_ALL,24,29)),1+(LEFT(TRIM(INDEX(PASTE_ALL,24,29)),1)="-"),999))-(RIGHT(MID(TRIM(INDEX(PASTE_ALL,24,29)),1+(LEFT(TRIM(INDEX(PASTE_ALL,24,29)),1)="-"),999),1)="%"))&lt;&gt;"",SUBSTITUTE(SUBSTITUTE(SUBSTITUTE(SUBSTITUTE(SUBSTITUTE(SUBSTITUTE(SUBSTITUTE(SUBSTITUTE(SUBSTITUTE(SUBSTITUTE(SUBSTITUTE(SUBSTITUTE(LEFT(MID(TRIM(INDEX(PASTE_ALL,24,29)),1+(LEFT(TRIM(INDEX(PASTE_ALL,24,29)),1)="-"),999),LEN(MID(TRIM(INDEX(PASTE_ALL,24,29)),1+(LEFT(TRIM(INDEX(PASTE_ALL,24,29)),1)="-"),999))-(RIGHT(MID(TRIM(INDEX(PASTE_ALL,24,29)),1+(LEFT(TRIM(INDEX(PASTE_ALL,24,29)),1)="-"),999),1)="%")),"0",""),"1",""),"2",""),"3",""),"4",""),"5",""),"6",""),"7",""),"8",""),"9",""),".",""),",","")=""),2,1))),1)</f>
        <v/>
      </c>
      <c r="BB73">
        <f>IFERROR(IF(ISNUMBER(INDEX(PASTE_ALL,24,30)),2,IF(TRIM(INDEX(PASTE_ALL,24,30))="",0,IF(AND(LEFT(MID(TRIM(INDEX(PASTE_ALL,24,30)),1+(LEFT(TRIM(INDEX(PASTE_ALL,24,30)),1)="-"),999),LEN(MID(TRIM(INDEX(PASTE_ALL,24,30)),1+(LEFT(TRIM(INDEX(PASTE_ALL,24,30)),1)="-"),999))-(RIGHT(MID(TRIM(INDEX(PASTE_ALL,24,30)),1+(LEFT(TRIM(INDEX(PASTE_ALL,24,30)),1)="-"),999),1)="%"))&lt;&gt;"",SUBSTITUTE(SUBSTITUTE(SUBSTITUTE(SUBSTITUTE(SUBSTITUTE(SUBSTITUTE(SUBSTITUTE(SUBSTITUTE(SUBSTITUTE(SUBSTITUTE(SUBSTITUTE(SUBSTITUTE(LEFT(MID(TRIM(INDEX(PASTE_ALL,24,30)),1+(LEFT(TRIM(INDEX(PASTE_ALL,24,30)),1)="-"),999),LEN(MID(TRIM(INDEX(PASTE_ALL,24,30)),1+(LEFT(TRIM(INDEX(PASTE_ALL,24,30)),1)="-"),999))-(RIGHT(MID(TRIM(INDEX(PASTE_ALL,24,30)),1+(LEFT(TRIM(INDEX(PASTE_ALL,24,30)),1)="-"),999),1)="%")),"0",""),"1",""),"2",""),"3",""),"4",""),"5",""),"6",""),"7",""),"8",""),"9",""),".",""),",","")=""),2,1))),1)</f>
        <v/>
      </c>
      <c r="BC73">
        <f>IFERROR(IF(ISNUMBER(INDEX(PASTE_ALL,24,31)),2,IF(TRIM(INDEX(PASTE_ALL,24,31))="",0,IF(AND(LEFT(MID(TRIM(INDEX(PASTE_ALL,24,31)),1+(LEFT(TRIM(INDEX(PASTE_ALL,24,31)),1)="-"),999),LEN(MID(TRIM(INDEX(PASTE_ALL,24,31)),1+(LEFT(TRIM(INDEX(PASTE_ALL,24,31)),1)="-"),999))-(RIGHT(MID(TRIM(INDEX(PASTE_ALL,24,31)),1+(LEFT(TRIM(INDEX(PASTE_ALL,24,31)),1)="-"),999),1)="%"))&lt;&gt;"",SUBSTITUTE(SUBSTITUTE(SUBSTITUTE(SUBSTITUTE(SUBSTITUTE(SUBSTITUTE(SUBSTITUTE(SUBSTITUTE(SUBSTITUTE(SUBSTITUTE(SUBSTITUTE(SUBSTITUTE(LEFT(MID(TRIM(INDEX(PASTE_ALL,24,31)),1+(LEFT(TRIM(INDEX(PASTE_ALL,24,31)),1)="-"),999),LEN(MID(TRIM(INDEX(PASTE_ALL,24,31)),1+(LEFT(TRIM(INDEX(PASTE_ALL,24,31)),1)="-"),999))-(RIGHT(MID(TRIM(INDEX(PASTE_ALL,24,31)),1+(LEFT(TRIM(INDEX(PASTE_ALL,24,31)),1)="-"),999),1)="%")),"0",""),"1",""),"2",""),"3",""),"4",""),"5",""),"6",""),"7",""),"8",""),"9",""),".",""),",","")=""),2,1))),1)</f>
        <v/>
      </c>
      <c r="BD73">
        <f>IFERROR(IF(ISNUMBER(INDEX(PASTE_ALL,24,32)),2,IF(TRIM(INDEX(PASTE_ALL,24,32))="",0,IF(AND(LEFT(MID(TRIM(INDEX(PASTE_ALL,24,32)),1+(LEFT(TRIM(INDEX(PASTE_ALL,24,32)),1)="-"),999),LEN(MID(TRIM(INDEX(PASTE_ALL,24,32)),1+(LEFT(TRIM(INDEX(PASTE_ALL,24,32)),1)="-"),999))-(RIGHT(MID(TRIM(INDEX(PASTE_ALL,24,32)),1+(LEFT(TRIM(INDEX(PASTE_ALL,24,32)),1)="-"),999),1)="%"))&lt;&gt;"",SUBSTITUTE(SUBSTITUTE(SUBSTITUTE(SUBSTITUTE(SUBSTITUTE(SUBSTITUTE(SUBSTITUTE(SUBSTITUTE(SUBSTITUTE(SUBSTITUTE(SUBSTITUTE(SUBSTITUTE(LEFT(MID(TRIM(INDEX(PASTE_ALL,24,32)),1+(LEFT(TRIM(INDEX(PASTE_ALL,24,32)),1)="-"),999),LEN(MID(TRIM(INDEX(PASTE_ALL,24,32)),1+(LEFT(TRIM(INDEX(PASTE_ALL,24,32)),1)="-"),999))-(RIGHT(MID(TRIM(INDEX(PASTE_ALL,24,32)),1+(LEFT(TRIM(INDEX(PASTE_ALL,24,32)),1)="-"),999),1)="%")),"0",""),"1",""),"2",""),"3",""),"4",""),"5",""),"6",""),"7",""),"8",""),"9",""),".",""),",","")=""),2,1))),1)</f>
        <v/>
      </c>
      <c r="BE73">
        <f>IFERROR(IF(ISNUMBER(INDEX(PASTE_ALL,24,33)),2,IF(TRIM(INDEX(PASTE_ALL,24,33))="",0,IF(AND(LEFT(MID(TRIM(INDEX(PASTE_ALL,24,33)),1+(LEFT(TRIM(INDEX(PASTE_ALL,24,33)),1)="-"),999),LEN(MID(TRIM(INDEX(PASTE_ALL,24,33)),1+(LEFT(TRIM(INDEX(PASTE_ALL,24,33)),1)="-"),999))-(RIGHT(MID(TRIM(INDEX(PASTE_ALL,24,33)),1+(LEFT(TRIM(INDEX(PASTE_ALL,24,33)),1)="-"),999),1)="%"))&lt;&gt;"",SUBSTITUTE(SUBSTITUTE(SUBSTITUTE(SUBSTITUTE(SUBSTITUTE(SUBSTITUTE(SUBSTITUTE(SUBSTITUTE(SUBSTITUTE(SUBSTITUTE(SUBSTITUTE(SUBSTITUTE(LEFT(MID(TRIM(INDEX(PASTE_ALL,24,33)),1+(LEFT(TRIM(INDEX(PASTE_ALL,24,33)),1)="-"),999),LEN(MID(TRIM(INDEX(PASTE_ALL,24,33)),1+(LEFT(TRIM(INDEX(PASTE_ALL,24,33)),1)="-"),999))-(RIGHT(MID(TRIM(INDEX(PASTE_ALL,24,33)),1+(LEFT(TRIM(INDEX(PASTE_ALL,24,33)),1)="-"),999),1)="%")),"0",""),"1",""),"2",""),"3",""),"4",""),"5",""),"6",""),"7",""),"8",""),"9",""),".",""),",","")=""),2,1))),1)</f>
        <v/>
      </c>
      <c r="BF73">
        <f>IFERROR(IF(ISNUMBER(INDEX(PASTE_ALL,24,34)),2,IF(TRIM(INDEX(PASTE_ALL,24,34))="",0,IF(AND(LEFT(MID(TRIM(INDEX(PASTE_ALL,24,34)),1+(LEFT(TRIM(INDEX(PASTE_ALL,24,34)),1)="-"),999),LEN(MID(TRIM(INDEX(PASTE_ALL,24,34)),1+(LEFT(TRIM(INDEX(PASTE_ALL,24,34)),1)="-"),999))-(RIGHT(MID(TRIM(INDEX(PASTE_ALL,24,34)),1+(LEFT(TRIM(INDEX(PASTE_ALL,24,34)),1)="-"),999),1)="%"))&lt;&gt;"",SUBSTITUTE(SUBSTITUTE(SUBSTITUTE(SUBSTITUTE(SUBSTITUTE(SUBSTITUTE(SUBSTITUTE(SUBSTITUTE(SUBSTITUTE(SUBSTITUTE(SUBSTITUTE(SUBSTITUTE(LEFT(MID(TRIM(INDEX(PASTE_ALL,24,34)),1+(LEFT(TRIM(INDEX(PASTE_ALL,24,34)),1)="-"),999),LEN(MID(TRIM(INDEX(PASTE_ALL,24,34)),1+(LEFT(TRIM(INDEX(PASTE_ALL,24,34)),1)="-"),999))-(RIGHT(MID(TRIM(INDEX(PASTE_ALL,24,34)),1+(LEFT(TRIM(INDEX(PASTE_ALL,24,34)),1)="-"),999),1)="%")),"0",""),"1",""),"2",""),"3",""),"4",""),"5",""),"6",""),"7",""),"8",""),"9",""),".",""),",","")=""),2,1))),1)</f>
        <v/>
      </c>
      <c r="BG73">
        <f>IFERROR(IF(ISNUMBER(INDEX(PASTE_ALL,24,35)),2,IF(TRIM(INDEX(PASTE_ALL,24,35))="",0,IF(AND(LEFT(MID(TRIM(INDEX(PASTE_ALL,24,35)),1+(LEFT(TRIM(INDEX(PASTE_ALL,24,35)),1)="-"),999),LEN(MID(TRIM(INDEX(PASTE_ALL,24,35)),1+(LEFT(TRIM(INDEX(PASTE_ALL,24,35)),1)="-"),999))-(RIGHT(MID(TRIM(INDEX(PASTE_ALL,24,35)),1+(LEFT(TRIM(INDEX(PASTE_ALL,24,35)),1)="-"),999),1)="%"))&lt;&gt;"",SUBSTITUTE(SUBSTITUTE(SUBSTITUTE(SUBSTITUTE(SUBSTITUTE(SUBSTITUTE(SUBSTITUTE(SUBSTITUTE(SUBSTITUTE(SUBSTITUTE(SUBSTITUTE(SUBSTITUTE(LEFT(MID(TRIM(INDEX(PASTE_ALL,24,35)),1+(LEFT(TRIM(INDEX(PASTE_ALL,24,35)),1)="-"),999),LEN(MID(TRIM(INDEX(PASTE_ALL,24,35)),1+(LEFT(TRIM(INDEX(PASTE_ALL,24,35)),1)="-"),999))-(RIGHT(MID(TRIM(INDEX(PASTE_ALL,24,35)),1+(LEFT(TRIM(INDEX(PASTE_ALL,24,35)),1)="-"),999),1)="%")),"0",""),"1",""),"2",""),"3",""),"4",""),"5",""),"6",""),"7",""),"8",""),"9",""),".",""),",","")=""),2,1))),1)</f>
        <v/>
      </c>
      <c r="BH73">
        <f>IFERROR(IF(ISNUMBER(INDEX(PASTE_ALL,24,36)),2,IF(TRIM(INDEX(PASTE_ALL,24,36))="",0,IF(AND(LEFT(MID(TRIM(INDEX(PASTE_ALL,24,36)),1+(LEFT(TRIM(INDEX(PASTE_ALL,24,36)),1)="-"),999),LEN(MID(TRIM(INDEX(PASTE_ALL,24,36)),1+(LEFT(TRIM(INDEX(PASTE_ALL,24,36)),1)="-"),999))-(RIGHT(MID(TRIM(INDEX(PASTE_ALL,24,36)),1+(LEFT(TRIM(INDEX(PASTE_ALL,24,36)),1)="-"),999),1)="%"))&lt;&gt;"",SUBSTITUTE(SUBSTITUTE(SUBSTITUTE(SUBSTITUTE(SUBSTITUTE(SUBSTITUTE(SUBSTITUTE(SUBSTITUTE(SUBSTITUTE(SUBSTITUTE(SUBSTITUTE(SUBSTITUTE(LEFT(MID(TRIM(INDEX(PASTE_ALL,24,36)),1+(LEFT(TRIM(INDEX(PASTE_ALL,24,36)),1)="-"),999),LEN(MID(TRIM(INDEX(PASTE_ALL,24,36)),1+(LEFT(TRIM(INDEX(PASTE_ALL,24,36)),1)="-"),999))-(RIGHT(MID(TRIM(INDEX(PASTE_ALL,24,36)),1+(LEFT(TRIM(INDEX(PASTE_ALL,24,36)),1)="-"),999),1)="%")),"0",""),"1",""),"2",""),"3",""),"4",""),"5",""),"6",""),"7",""),"8",""),"9",""),".",""),",","")=""),2,1))),1)</f>
        <v/>
      </c>
      <c r="BI73">
        <f>IFERROR(IF(ISNUMBER(INDEX(PASTE_ALL,24,37)),2,IF(TRIM(INDEX(PASTE_ALL,24,37))="",0,IF(AND(LEFT(MID(TRIM(INDEX(PASTE_ALL,24,37)),1+(LEFT(TRIM(INDEX(PASTE_ALL,24,37)),1)="-"),999),LEN(MID(TRIM(INDEX(PASTE_ALL,24,37)),1+(LEFT(TRIM(INDEX(PASTE_ALL,24,37)),1)="-"),999))-(RIGHT(MID(TRIM(INDEX(PASTE_ALL,24,37)),1+(LEFT(TRIM(INDEX(PASTE_ALL,24,37)),1)="-"),999),1)="%"))&lt;&gt;"",SUBSTITUTE(SUBSTITUTE(SUBSTITUTE(SUBSTITUTE(SUBSTITUTE(SUBSTITUTE(SUBSTITUTE(SUBSTITUTE(SUBSTITUTE(SUBSTITUTE(SUBSTITUTE(SUBSTITUTE(LEFT(MID(TRIM(INDEX(PASTE_ALL,24,37)),1+(LEFT(TRIM(INDEX(PASTE_ALL,24,37)),1)="-"),999),LEN(MID(TRIM(INDEX(PASTE_ALL,24,37)),1+(LEFT(TRIM(INDEX(PASTE_ALL,24,37)),1)="-"),999))-(RIGHT(MID(TRIM(INDEX(PASTE_ALL,24,37)),1+(LEFT(TRIM(INDEX(PASTE_ALL,24,37)),1)="-"),999),1)="%")),"0",""),"1",""),"2",""),"3",""),"4",""),"5",""),"6",""),"7",""),"8",""),"9",""),".",""),",","")=""),2,1))),1)</f>
        <v/>
      </c>
      <c r="BJ73">
        <f>IFERROR(IF(ISNUMBER(INDEX(PASTE_ALL,24,38)),2,IF(TRIM(INDEX(PASTE_ALL,24,38))="",0,IF(AND(LEFT(MID(TRIM(INDEX(PASTE_ALL,24,38)),1+(LEFT(TRIM(INDEX(PASTE_ALL,24,38)),1)="-"),999),LEN(MID(TRIM(INDEX(PASTE_ALL,24,38)),1+(LEFT(TRIM(INDEX(PASTE_ALL,24,38)),1)="-"),999))-(RIGHT(MID(TRIM(INDEX(PASTE_ALL,24,38)),1+(LEFT(TRIM(INDEX(PASTE_ALL,24,38)),1)="-"),999),1)="%"))&lt;&gt;"",SUBSTITUTE(SUBSTITUTE(SUBSTITUTE(SUBSTITUTE(SUBSTITUTE(SUBSTITUTE(SUBSTITUTE(SUBSTITUTE(SUBSTITUTE(SUBSTITUTE(SUBSTITUTE(SUBSTITUTE(LEFT(MID(TRIM(INDEX(PASTE_ALL,24,38)),1+(LEFT(TRIM(INDEX(PASTE_ALL,24,38)),1)="-"),999),LEN(MID(TRIM(INDEX(PASTE_ALL,24,38)),1+(LEFT(TRIM(INDEX(PASTE_ALL,24,38)),1)="-"),999))-(RIGHT(MID(TRIM(INDEX(PASTE_ALL,24,38)),1+(LEFT(TRIM(INDEX(PASTE_ALL,24,38)),1)="-"),999),1)="%")),"0",""),"1",""),"2",""),"3",""),"4",""),"5",""),"6",""),"7",""),"8",""),"9",""),".",""),",","")=""),2,1))),1)</f>
        <v/>
      </c>
      <c r="BK73">
        <f>IFERROR(IF(ISNUMBER(INDEX(PASTE_ALL,24,39)),2,IF(TRIM(INDEX(PASTE_ALL,24,39))="",0,IF(AND(LEFT(MID(TRIM(INDEX(PASTE_ALL,24,39)),1+(LEFT(TRIM(INDEX(PASTE_ALL,24,39)),1)="-"),999),LEN(MID(TRIM(INDEX(PASTE_ALL,24,39)),1+(LEFT(TRIM(INDEX(PASTE_ALL,24,39)),1)="-"),999))-(RIGHT(MID(TRIM(INDEX(PASTE_ALL,24,39)),1+(LEFT(TRIM(INDEX(PASTE_ALL,24,39)),1)="-"),999),1)="%"))&lt;&gt;"",SUBSTITUTE(SUBSTITUTE(SUBSTITUTE(SUBSTITUTE(SUBSTITUTE(SUBSTITUTE(SUBSTITUTE(SUBSTITUTE(SUBSTITUTE(SUBSTITUTE(SUBSTITUTE(SUBSTITUTE(LEFT(MID(TRIM(INDEX(PASTE_ALL,24,39)),1+(LEFT(TRIM(INDEX(PASTE_ALL,24,39)),1)="-"),999),LEN(MID(TRIM(INDEX(PASTE_ALL,24,39)),1+(LEFT(TRIM(INDEX(PASTE_ALL,24,39)),1)="-"),999))-(RIGHT(MID(TRIM(INDEX(PASTE_ALL,24,39)),1+(LEFT(TRIM(INDEX(PASTE_ALL,24,39)),1)="-"),999),1)="%")),"0",""),"1",""),"2",""),"3",""),"4",""),"5",""),"6",""),"7",""),"8",""),"9",""),".",""),",","")=""),2,1))),1)</f>
        <v/>
      </c>
      <c r="BL73">
        <f>IFERROR(IF(ISNUMBER(INDEX(PASTE_ALL,24,40)),2,IF(TRIM(INDEX(PASTE_ALL,24,40))="",0,IF(AND(LEFT(MID(TRIM(INDEX(PASTE_ALL,24,40)),1+(LEFT(TRIM(INDEX(PASTE_ALL,24,40)),1)="-"),999),LEN(MID(TRIM(INDEX(PASTE_ALL,24,40)),1+(LEFT(TRIM(INDEX(PASTE_ALL,24,40)),1)="-"),999))-(RIGHT(MID(TRIM(INDEX(PASTE_ALL,24,40)),1+(LEFT(TRIM(INDEX(PASTE_ALL,24,40)),1)="-"),999),1)="%"))&lt;&gt;"",SUBSTITUTE(SUBSTITUTE(SUBSTITUTE(SUBSTITUTE(SUBSTITUTE(SUBSTITUTE(SUBSTITUTE(SUBSTITUTE(SUBSTITUTE(SUBSTITUTE(SUBSTITUTE(SUBSTITUTE(LEFT(MID(TRIM(INDEX(PASTE_ALL,24,40)),1+(LEFT(TRIM(INDEX(PASTE_ALL,24,40)),1)="-"),999),LEN(MID(TRIM(INDEX(PASTE_ALL,24,40)),1+(LEFT(TRIM(INDEX(PASTE_ALL,24,40)),1)="-"),999))-(RIGHT(MID(TRIM(INDEX(PASTE_ALL,24,40)),1+(LEFT(TRIM(INDEX(PASTE_ALL,24,40)),1)="-"),999),1)="%")),"0",""),"1",""),"2",""),"3",""),"4",""),"5",""),"6",""),"7",""),"8",""),"9",""),".",""),",","")=""),2,1))),1)</f>
        <v/>
      </c>
      <c r="BM73">
        <f>IFERROR(IF(ISNUMBER(INDEX(PASTE_ALL,24,41)),2,IF(TRIM(INDEX(PASTE_ALL,24,41))="",0,IF(AND(LEFT(MID(TRIM(INDEX(PASTE_ALL,24,41)),1+(LEFT(TRIM(INDEX(PASTE_ALL,24,41)),1)="-"),999),LEN(MID(TRIM(INDEX(PASTE_ALL,24,41)),1+(LEFT(TRIM(INDEX(PASTE_ALL,24,41)),1)="-"),999))-(RIGHT(MID(TRIM(INDEX(PASTE_ALL,24,41)),1+(LEFT(TRIM(INDEX(PASTE_ALL,24,41)),1)="-"),999),1)="%"))&lt;&gt;"",SUBSTITUTE(SUBSTITUTE(SUBSTITUTE(SUBSTITUTE(SUBSTITUTE(SUBSTITUTE(SUBSTITUTE(SUBSTITUTE(SUBSTITUTE(SUBSTITUTE(SUBSTITUTE(SUBSTITUTE(LEFT(MID(TRIM(INDEX(PASTE_ALL,24,41)),1+(LEFT(TRIM(INDEX(PASTE_ALL,24,41)),1)="-"),999),LEN(MID(TRIM(INDEX(PASTE_ALL,24,41)),1+(LEFT(TRIM(INDEX(PASTE_ALL,24,41)),1)="-"),999))-(RIGHT(MID(TRIM(INDEX(PASTE_ALL,24,41)),1+(LEFT(TRIM(INDEX(PASTE_ALL,24,41)),1)="-"),999),1)="%")),"0",""),"1",""),"2",""),"3",""),"4",""),"5",""),"6",""),"7",""),"8",""),"9",""),".",""),",","")=""),2,1))),1)</f>
        <v/>
      </c>
      <c r="BN73">
        <f>IFERROR(IF(ISNUMBER(INDEX(PASTE_ALL,24,42)),2,IF(TRIM(INDEX(PASTE_ALL,24,42))="",0,IF(AND(LEFT(MID(TRIM(INDEX(PASTE_ALL,24,42)),1+(LEFT(TRIM(INDEX(PASTE_ALL,24,42)),1)="-"),999),LEN(MID(TRIM(INDEX(PASTE_ALL,24,42)),1+(LEFT(TRIM(INDEX(PASTE_ALL,24,42)),1)="-"),999))-(RIGHT(MID(TRIM(INDEX(PASTE_ALL,24,42)),1+(LEFT(TRIM(INDEX(PASTE_ALL,24,42)),1)="-"),999),1)="%"))&lt;&gt;"",SUBSTITUTE(SUBSTITUTE(SUBSTITUTE(SUBSTITUTE(SUBSTITUTE(SUBSTITUTE(SUBSTITUTE(SUBSTITUTE(SUBSTITUTE(SUBSTITUTE(SUBSTITUTE(SUBSTITUTE(LEFT(MID(TRIM(INDEX(PASTE_ALL,24,42)),1+(LEFT(TRIM(INDEX(PASTE_ALL,24,42)),1)="-"),999),LEN(MID(TRIM(INDEX(PASTE_ALL,24,42)),1+(LEFT(TRIM(INDEX(PASTE_ALL,24,42)),1)="-"),999))-(RIGHT(MID(TRIM(INDEX(PASTE_ALL,24,42)),1+(LEFT(TRIM(INDEX(PASTE_ALL,24,42)),1)="-"),999),1)="%")),"0",""),"1",""),"2",""),"3",""),"4",""),"5",""),"6",""),"7",""),"8",""),"9",""),".",""),",","")=""),2,1))),1)</f>
        <v/>
      </c>
      <c r="BO73">
        <f>IFERROR(IF(ISNUMBER(INDEX(PASTE_ALL,24,43)),2,IF(TRIM(INDEX(PASTE_ALL,24,43))="",0,IF(AND(LEFT(MID(TRIM(INDEX(PASTE_ALL,24,43)),1+(LEFT(TRIM(INDEX(PASTE_ALL,24,43)),1)="-"),999),LEN(MID(TRIM(INDEX(PASTE_ALL,24,43)),1+(LEFT(TRIM(INDEX(PASTE_ALL,24,43)),1)="-"),999))-(RIGHT(MID(TRIM(INDEX(PASTE_ALL,24,43)),1+(LEFT(TRIM(INDEX(PASTE_ALL,24,43)),1)="-"),999),1)="%"))&lt;&gt;"",SUBSTITUTE(SUBSTITUTE(SUBSTITUTE(SUBSTITUTE(SUBSTITUTE(SUBSTITUTE(SUBSTITUTE(SUBSTITUTE(SUBSTITUTE(SUBSTITUTE(SUBSTITUTE(SUBSTITUTE(LEFT(MID(TRIM(INDEX(PASTE_ALL,24,43)),1+(LEFT(TRIM(INDEX(PASTE_ALL,24,43)),1)="-"),999),LEN(MID(TRIM(INDEX(PASTE_ALL,24,43)),1+(LEFT(TRIM(INDEX(PASTE_ALL,24,43)),1)="-"),999))-(RIGHT(MID(TRIM(INDEX(PASTE_ALL,24,43)),1+(LEFT(TRIM(INDEX(PASTE_ALL,24,43)),1)="-"),999),1)="%")),"0",""),"1",""),"2",""),"3",""),"4",""),"5",""),"6",""),"7",""),"8",""),"9",""),".",""),",","")=""),2,1))),1)</f>
        <v/>
      </c>
      <c r="BP73">
        <f>IFERROR(IF(ISNUMBER(INDEX(PASTE_ALL,24,44)),2,IF(TRIM(INDEX(PASTE_ALL,24,44))="",0,IF(AND(LEFT(MID(TRIM(INDEX(PASTE_ALL,24,44)),1+(LEFT(TRIM(INDEX(PASTE_ALL,24,44)),1)="-"),999),LEN(MID(TRIM(INDEX(PASTE_ALL,24,44)),1+(LEFT(TRIM(INDEX(PASTE_ALL,24,44)),1)="-"),999))-(RIGHT(MID(TRIM(INDEX(PASTE_ALL,24,44)),1+(LEFT(TRIM(INDEX(PASTE_ALL,24,44)),1)="-"),999),1)="%"))&lt;&gt;"",SUBSTITUTE(SUBSTITUTE(SUBSTITUTE(SUBSTITUTE(SUBSTITUTE(SUBSTITUTE(SUBSTITUTE(SUBSTITUTE(SUBSTITUTE(SUBSTITUTE(SUBSTITUTE(SUBSTITUTE(LEFT(MID(TRIM(INDEX(PASTE_ALL,24,44)),1+(LEFT(TRIM(INDEX(PASTE_ALL,24,44)),1)="-"),999),LEN(MID(TRIM(INDEX(PASTE_ALL,24,44)),1+(LEFT(TRIM(INDEX(PASTE_ALL,24,44)),1)="-"),999))-(RIGHT(MID(TRIM(INDEX(PASTE_ALL,24,44)),1+(LEFT(TRIM(INDEX(PASTE_ALL,24,44)),1)="-"),999),1)="%")),"0",""),"1",""),"2",""),"3",""),"4",""),"5",""),"6",""),"7",""),"8",""),"9",""),".",""),",","")=""),2,1))),1)</f>
        <v/>
      </c>
      <c r="BQ73">
        <f>IFERROR(IF(ISNUMBER(INDEX(PASTE_ALL,24,45)),2,IF(TRIM(INDEX(PASTE_ALL,24,45))="",0,IF(AND(LEFT(MID(TRIM(INDEX(PASTE_ALL,24,45)),1+(LEFT(TRIM(INDEX(PASTE_ALL,24,45)),1)="-"),999),LEN(MID(TRIM(INDEX(PASTE_ALL,24,45)),1+(LEFT(TRIM(INDEX(PASTE_ALL,24,45)),1)="-"),999))-(RIGHT(MID(TRIM(INDEX(PASTE_ALL,24,45)),1+(LEFT(TRIM(INDEX(PASTE_ALL,24,45)),1)="-"),999),1)="%"))&lt;&gt;"",SUBSTITUTE(SUBSTITUTE(SUBSTITUTE(SUBSTITUTE(SUBSTITUTE(SUBSTITUTE(SUBSTITUTE(SUBSTITUTE(SUBSTITUTE(SUBSTITUTE(SUBSTITUTE(SUBSTITUTE(LEFT(MID(TRIM(INDEX(PASTE_ALL,24,45)),1+(LEFT(TRIM(INDEX(PASTE_ALL,24,45)),1)="-"),999),LEN(MID(TRIM(INDEX(PASTE_ALL,24,45)),1+(LEFT(TRIM(INDEX(PASTE_ALL,24,45)),1)="-"),999))-(RIGHT(MID(TRIM(INDEX(PASTE_ALL,24,45)),1+(LEFT(TRIM(INDEX(PASTE_ALL,24,45)),1)="-"),999),1)="%")),"0",""),"1",""),"2",""),"3",""),"4",""),"5",""),"6",""),"7",""),"8",""),"9",""),".",""),",","")=""),2,1))),1)</f>
        <v/>
      </c>
      <c r="BR73">
        <f>IFERROR(IF(ISNUMBER(INDEX(PASTE_ALL,24,46)),2,IF(TRIM(INDEX(PASTE_ALL,24,46))="",0,IF(AND(LEFT(MID(TRIM(INDEX(PASTE_ALL,24,46)),1+(LEFT(TRIM(INDEX(PASTE_ALL,24,46)),1)="-"),999),LEN(MID(TRIM(INDEX(PASTE_ALL,24,46)),1+(LEFT(TRIM(INDEX(PASTE_ALL,24,46)),1)="-"),999))-(RIGHT(MID(TRIM(INDEX(PASTE_ALL,24,46)),1+(LEFT(TRIM(INDEX(PASTE_ALL,24,46)),1)="-"),999),1)="%"))&lt;&gt;"",SUBSTITUTE(SUBSTITUTE(SUBSTITUTE(SUBSTITUTE(SUBSTITUTE(SUBSTITUTE(SUBSTITUTE(SUBSTITUTE(SUBSTITUTE(SUBSTITUTE(SUBSTITUTE(SUBSTITUTE(LEFT(MID(TRIM(INDEX(PASTE_ALL,24,46)),1+(LEFT(TRIM(INDEX(PASTE_ALL,24,46)),1)="-"),999),LEN(MID(TRIM(INDEX(PASTE_ALL,24,46)),1+(LEFT(TRIM(INDEX(PASTE_ALL,24,46)),1)="-"),999))-(RIGHT(MID(TRIM(INDEX(PASTE_ALL,24,46)),1+(LEFT(TRIM(INDEX(PASTE_ALL,24,46)),1)="-"),999),1)="%")),"0",""),"1",""),"2",""),"3",""),"4",""),"5",""),"6",""),"7",""),"8",""),"9",""),".",""),",","")=""),2,1))),1)</f>
        <v/>
      </c>
      <c r="BS73">
        <f>IFERROR(IF(ISNUMBER(INDEX(PASTE_ALL,24,47)),2,IF(TRIM(INDEX(PASTE_ALL,24,47))="",0,IF(AND(LEFT(MID(TRIM(INDEX(PASTE_ALL,24,47)),1+(LEFT(TRIM(INDEX(PASTE_ALL,24,47)),1)="-"),999),LEN(MID(TRIM(INDEX(PASTE_ALL,24,47)),1+(LEFT(TRIM(INDEX(PASTE_ALL,24,47)),1)="-"),999))-(RIGHT(MID(TRIM(INDEX(PASTE_ALL,24,47)),1+(LEFT(TRIM(INDEX(PASTE_ALL,24,47)),1)="-"),999),1)="%"))&lt;&gt;"",SUBSTITUTE(SUBSTITUTE(SUBSTITUTE(SUBSTITUTE(SUBSTITUTE(SUBSTITUTE(SUBSTITUTE(SUBSTITUTE(SUBSTITUTE(SUBSTITUTE(SUBSTITUTE(SUBSTITUTE(LEFT(MID(TRIM(INDEX(PASTE_ALL,24,47)),1+(LEFT(TRIM(INDEX(PASTE_ALL,24,47)),1)="-"),999),LEN(MID(TRIM(INDEX(PASTE_ALL,24,47)),1+(LEFT(TRIM(INDEX(PASTE_ALL,24,47)),1)="-"),999))-(RIGHT(MID(TRIM(INDEX(PASTE_ALL,24,47)),1+(LEFT(TRIM(INDEX(PASTE_ALL,24,47)),1)="-"),999),1)="%")),"0",""),"1",""),"2",""),"3",""),"4",""),"5",""),"6",""),"7",""),"8",""),"9",""),".",""),",","")=""),2,1))),1)</f>
        <v/>
      </c>
      <c r="BT73">
        <f>IFERROR(IF(ISNUMBER(INDEX(PASTE_ALL,24,48)),2,IF(TRIM(INDEX(PASTE_ALL,24,48))="",0,IF(AND(LEFT(MID(TRIM(INDEX(PASTE_ALL,24,48)),1+(LEFT(TRIM(INDEX(PASTE_ALL,24,48)),1)="-"),999),LEN(MID(TRIM(INDEX(PASTE_ALL,24,48)),1+(LEFT(TRIM(INDEX(PASTE_ALL,24,48)),1)="-"),999))-(RIGHT(MID(TRIM(INDEX(PASTE_ALL,24,48)),1+(LEFT(TRIM(INDEX(PASTE_ALL,24,48)),1)="-"),999),1)="%"))&lt;&gt;"",SUBSTITUTE(SUBSTITUTE(SUBSTITUTE(SUBSTITUTE(SUBSTITUTE(SUBSTITUTE(SUBSTITUTE(SUBSTITUTE(SUBSTITUTE(SUBSTITUTE(SUBSTITUTE(SUBSTITUTE(LEFT(MID(TRIM(INDEX(PASTE_ALL,24,48)),1+(LEFT(TRIM(INDEX(PASTE_ALL,24,48)),1)="-"),999),LEN(MID(TRIM(INDEX(PASTE_ALL,24,48)),1+(LEFT(TRIM(INDEX(PASTE_ALL,24,48)),1)="-"),999))-(RIGHT(MID(TRIM(INDEX(PASTE_ALL,24,48)),1+(LEFT(TRIM(INDEX(PASTE_ALL,24,48)),1)="-"),999),1)="%")),"0",""),"1",""),"2",""),"3",""),"4",""),"5",""),"6",""),"7",""),"8",""),"9",""),".",""),",","")=""),2,1))),1)</f>
        <v/>
      </c>
      <c r="BU73">
        <f>IFERROR(IF(ISNUMBER(INDEX(PASTE_ALL,24,49)),2,IF(TRIM(INDEX(PASTE_ALL,24,49))="",0,IF(AND(LEFT(MID(TRIM(INDEX(PASTE_ALL,24,49)),1+(LEFT(TRIM(INDEX(PASTE_ALL,24,49)),1)="-"),999),LEN(MID(TRIM(INDEX(PASTE_ALL,24,49)),1+(LEFT(TRIM(INDEX(PASTE_ALL,24,49)),1)="-"),999))-(RIGHT(MID(TRIM(INDEX(PASTE_ALL,24,49)),1+(LEFT(TRIM(INDEX(PASTE_ALL,24,49)),1)="-"),999),1)="%"))&lt;&gt;"",SUBSTITUTE(SUBSTITUTE(SUBSTITUTE(SUBSTITUTE(SUBSTITUTE(SUBSTITUTE(SUBSTITUTE(SUBSTITUTE(SUBSTITUTE(SUBSTITUTE(SUBSTITUTE(SUBSTITUTE(LEFT(MID(TRIM(INDEX(PASTE_ALL,24,49)),1+(LEFT(TRIM(INDEX(PASTE_ALL,24,49)),1)="-"),999),LEN(MID(TRIM(INDEX(PASTE_ALL,24,49)),1+(LEFT(TRIM(INDEX(PASTE_ALL,24,49)),1)="-"),999))-(RIGHT(MID(TRIM(INDEX(PASTE_ALL,24,49)),1+(LEFT(TRIM(INDEX(PASTE_ALL,24,49)),1)="-"),999),1)="%")),"0",""),"1",""),"2",""),"3",""),"4",""),"5",""),"6",""),"7",""),"8",""),"9",""),".",""),",","")=""),2,1))),1)</f>
        <v/>
      </c>
      <c r="BV73">
        <f>IFERROR(IF(ISNUMBER(INDEX(PASTE_ALL,24,50)),2,IF(TRIM(INDEX(PASTE_ALL,24,50))="",0,IF(AND(LEFT(MID(TRIM(INDEX(PASTE_ALL,24,50)),1+(LEFT(TRIM(INDEX(PASTE_ALL,24,50)),1)="-"),999),LEN(MID(TRIM(INDEX(PASTE_ALL,24,50)),1+(LEFT(TRIM(INDEX(PASTE_ALL,24,50)),1)="-"),999))-(RIGHT(MID(TRIM(INDEX(PASTE_ALL,24,50)),1+(LEFT(TRIM(INDEX(PASTE_ALL,24,50)),1)="-"),999),1)="%"))&lt;&gt;"",SUBSTITUTE(SUBSTITUTE(SUBSTITUTE(SUBSTITUTE(SUBSTITUTE(SUBSTITUTE(SUBSTITUTE(SUBSTITUTE(SUBSTITUTE(SUBSTITUTE(SUBSTITUTE(SUBSTITUTE(LEFT(MID(TRIM(INDEX(PASTE_ALL,24,50)),1+(LEFT(TRIM(INDEX(PASTE_ALL,24,50)),1)="-"),999),LEN(MID(TRIM(INDEX(PASTE_ALL,24,50)),1+(LEFT(TRIM(INDEX(PASTE_ALL,24,50)),1)="-"),999))-(RIGHT(MID(TRIM(INDEX(PASTE_ALL,24,50)),1+(LEFT(TRIM(INDEX(PASTE_ALL,24,50)),1)="-"),999),1)="%")),"0",""),"1",""),"2",""),"3",""),"4",""),"5",""),"6",""),"7",""),"8",""),"9",""),".",""),",","")=""),2,1))),1)</f>
        <v/>
      </c>
      <c r="BW73">
        <f>IFERROR(IF(ISNUMBER(INDEX(PASTE_ALL,24,51)),2,IF(TRIM(INDEX(PASTE_ALL,24,51))="",0,IF(AND(LEFT(MID(TRIM(INDEX(PASTE_ALL,24,51)),1+(LEFT(TRIM(INDEX(PASTE_ALL,24,51)),1)="-"),999),LEN(MID(TRIM(INDEX(PASTE_ALL,24,51)),1+(LEFT(TRIM(INDEX(PASTE_ALL,24,51)),1)="-"),999))-(RIGHT(MID(TRIM(INDEX(PASTE_ALL,24,51)),1+(LEFT(TRIM(INDEX(PASTE_ALL,24,51)),1)="-"),999),1)="%"))&lt;&gt;"",SUBSTITUTE(SUBSTITUTE(SUBSTITUTE(SUBSTITUTE(SUBSTITUTE(SUBSTITUTE(SUBSTITUTE(SUBSTITUTE(SUBSTITUTE(SUBSTITUTE(SUBSTITUTE(SUBSTITUTE(LEFT(MID(TRIM(INDEX(PASTE_ALL,24,51)),1+(LEFT(TRIM(INDEX(PASTE_ALL,24,51)),1)="-"),999),LEN(MID(TRIM(INDEX(PASTE_ALL,24,51)),1+(LEFT(TRIM(INDEX(PASTE_ALL,24,51)),1)="-"),999))-(RIGHT(MID(TRIM(INDEX(PASTE_ALL,24,51)),1+(LEFT(TRIM(INDEX(PASTE_ALL,24,51)),1)="-"),999),1)="%")),"0",""),"1",""),"2",""),"3",""),"4",""),"5",""),"6",""),"7",""),"8",""),"9",""),".",""),",","")=""),2,1))),1)</f>
        <v/>
      </c>
      <c r="BX73">
        <f>IFERROR(IF(ISNUMBER(INDEX(PASTE_ALL,24,52)),2,IF(TRIM(INDEX(PASTE_ALL,24,52))="",0,IF(AND(LEFT(MID(TRIM(INDEX(PASTE_ALL,24,52)),1+(LEFT(TRIM(INDEX(PASTE_ALL,24,52)),1)="-"),999),LEN(MID(TRIM(INDEX(PASTE_ALL,24,52)),1+(LEFT(TRIM(INDEX(PASTE_ALL,24,52)),1)="-"),999))-(RIGHT(MID(TRIM(INDEX(PASTE_ALL,24,52)),1+(LEFT(TRIM(INDEX(PASTE_ALL,24,52)),1)="-"),999),1)="%"))&lt;&gt;"",SUBSTITUTE(SUBSTITUTE(SUBSTITUTE(SUBSTITUTE(SUBSTITUTE(SUBSTITUTE(SUBSTITUTE(SUBSTITUTE(SUBSTITUTE(SUBSTITUTE(SUBSTITUTE(SUBSTITUTE(LEFT(MID(TRIM(INDEX(PASTE_ALL,24,52)),1+(LEFT(TRIM(INDEX(PASTE_ALL,24,52)),1)="-"),999),LEN(MID(TRIM(INDEX(PASTE_ALL,24,52)),1+(LEFT(TRIM(INDEX(PASTE_ALL,24,52)),1)="-"),999))-(RIGHT(MID(TRIM(INDEX(PASTE_ALL,24,52)),1+(LEFT(TRIM(INDEX(PASTE_ALL,24,52)),1)="-"),999),1)="%")),"0",""),"1",""),"2",""),"3",""),"4",""),"5",""),"6",""),"7",""),"8",""),"9",""),".",""),",","")=""),2,1))),1)</f>
        <v/>
      </c>
      <c r="BY73">
        <f>IFERROR(IF(ISNUMBER(INDEX(PASTE_ALL,24,53)),2,IF(TRIM(INDEX(PASTE_ALL,24,53))="",0,IF(AND(LEFT(MID(TRIM(INDEX(PASTE_ALL,24,53)),1+(LEFT(TRIM(INDEX(PASTE_ALL,24,53)),1)="-"),999),LEN(MID(TRIM(INDEX(PASTE_ALL,24,53)),1+(LEFT(TRIM(INDEX(PASTE_ALL,24,53)),1)="-"),999))-(RIGHT(MID(TRIM(INDEX(PASTE_ALL,24,53)),1+(LEFT(TRIM(INDEX(PASTE_ALL,24,53)),1)="-"),999),1)="%"))&lt;&gt;"",SUBSTITUTE(SUBSTITUTE(SUBSTITUTE(SUBSTITUTE(SUBSTITUTE(SUBSTITUTE(SUBSTITUTE(SUBSTITUTE(SUBSTITUTE(SUBSTITUTE(SUBSTITUTE(SUBSTITUTE(LEFT(MID(TRIM(INDEX(PASTE_ALL,24,53)),1+(LEFT(TRIM(INDEX(PASTE_ALL,24,53)),1)="-"),999),LEN(MID(TRIM(INDEX(PASTE_ALL,24,53)),1+(LEFT(TRIM(INDEX(PASTE_ALL,24,53)),1)="-"),999))-(RIGHT(MID(TRIM(INDEX(PASTE_ALL,24,53)),1+(LEFT(TRIM(INDEX(PASTE_ALL,24,53)),1)="-"),999),1)="%")),"0",""),"1",""),"2",""),"3",""),"4",""),"5",""),"6",""),"7",""),"8",""),"9",""),".",""),",","")=""),2,1))),1)</f>
        <v/>
      </c>
      <c r="BZ73">
        <f>IFERROR(IF(ISNUMBER(INDEX(PASTE_ALL,24,54)),2,IF(TRIM(INDEX(PASTE_ALL,24,54))="",0,IF(AND(LEFT(MID(TRIM(INDEX(PASTE_ALL,24,54)),1+(LEFT(TRIM(INDEX(PASTE_ALL,24,54)),1)="-"),999),LEN(MID(TRIM(INDEX(PASTE_ALL,24,54)),1+(LEFT(TRIM(INDEX(PASTE_ALL,24,54)),1)="-"),999))-(RIGHT(MID(TRIM(INDEX(PASTE_ALL,24,54)),1+(LEFT(TRIM(INDEX(PASTE_ALL,24,54)),1)="-"),999),1)="%"))&lt;&gt;"",SUBSTITUTE(SUBSTITUTE(SUBSTITUTE(SUBSTITUTE(SUBSTITUTE(SUBSTITUTE(SUBSTITUTE(SUBSTITUTE(SUBSTITUTE(SUBSTITUTE(SUBSTITUTE(SUBSTITUTE(LEFT(MID(TRIM(INDEX(PASTE_ALL,24,54)),1+(LEFT(TRIM(INDEX(PASTE_ALL,24,54)),1)="-"),999),LEN(MID(TRIM(INDEX(PASTE_ALL,24,54)),1+(LEFT(TRIM(INDEX(PASTE_ALL,24,54)),1)="-"),999))-(RIGHT(MID(TRIM(INDEX(PASTE_ALL,24,54)),1+(LEFT(TRIM(INDEX(PASTE_ALL,24,54)),1)="-"),999),1)="%")),"0",""),"1",""),"2",""),"3",""),"4",""),"5",""),"6",""),"7",""),"8",""),"9",""),".",""),",","")=""),2,1))),1)</f>
        <v/>
      </c>
      <c r="CA73">
        <f>IFERROR(IF(ISNUMBER(INDEX(PASTE_ALL,24,55)),2,IF(TRIM(INDEX(PASTE_ALL,24,55))="",0,IF(AND(LEFT(MID(TRIM(INDEX(PASTE_ALL,24,55)),1+(LEFT(TRIM(INDEX(PASTE_ALL,24,55)),1)="-"),999),LEN(MID(TRIM(INDEX(PASTE_ALL,24,55)),1+(LEFT(TRIM(INDEX(PASTE_ALL,24,55)),1)="-"),999))-(RIGHT(MID(TRIM(INDEX(PASTE_ALL,24,55)),1+(LEFT(TRIM(INDEX(PASTE_ALL,24,55)),1)="-"),999),1)="%"))&lt;&gt;"",SUBSTITUTE(SUBSTITUTE(SUBSTITUTE(SUBSTITUTE(SUBSTITUTE(SUBSTITUTE(SUBSTITUTE(SUBSTITUTE(SUBSTITUTE(SUBSTITUTE(SUBSTITUTE(SUBSTITUTE(LEFT(MID(TRIM(INDEX(PASTE_ALL,24,55)),1+(LEFT(TRIM(INDEX(PASTE_ALL,24,55)),1)="-"),999),LEN(MID(TRIM(INDEX(PASTE_ALL,24,55)),1+(LEFT(TRIM(INDEX(PASTE_ALL,24,55)),1)="-"),999))-(RIGHT(MID(TRIM(INDEX(PASTE_ALL,24,55)),1+(LEFT(TRIM(INDEX(PASTE_ALL,24,55)),1)="-"),999),1)="%")),"0",""),"1",""),"2",""),"3",""),"4",""),"5",""),"6",""),"7",""),"8",""),"9",""),".",""),",","")=""),2,1))),1)</f>
        <v/>
      </c>
      <c r="CB73">
        <f>IFERROR(IF(ISNUMBER(INDEX(PASTE_ALL,24,56)),2,IF(TRIM(INDEX(PASTE_ALL,24,56))="",0,IF(AND(LEFT(MID(TRIM(INDEX(PASTE_ALL,24,56)),1+(LEFT(TRIM(INDEX(PASTE_ALL,24,56)),1)="-"),999),LEN(MID(TRIM(INDEX(PASTE_ALL,24,56)),1+(LEFT(TRIM(INDEX(PASTE_ALL,24,56)),1)="-"),999))-(RIGHT(MID(TRIM(INDEX(PASTE_ALL,24,56)),1+(LEFT(TRIM(INDEX(PASTE_ALL,24,56)),1)="-"),999),1)="%"))&lt;&gt;"",SUBSTITUTE(SUBSTITUTE(SUBSTITUTE(SUBSTITUTE(SUBSTITUTE(SUBSTITUTE(SUBSTITUTE(SUBSTITUTE(SUBSTITUTE(SUBSTITUTE(SUBSTITUTE(SUBSTITUTE(LEFT(MID(TRIM(INDEX(PASTE_ALL,24,56)),1+(LEFT(TRIM(INDEX(PASTE_ALL,24,56)),1)="-"),999),LEN(MID(TRIM(INDEX(PASTE_ALL,24,56)),1+(LEFT(TRIM(INDEX(PASTE_ALL,24,56)),1)="-"),999))-(RIGHT(MID(TRIM(INDEX(PASTE_ALL,24,56)),1+(LEFT(TRIM(INDEX(PASTE_ALL,24,56)),1)="-"),999),1)="%")),"0",""),"1",""),"2",""),"3",""),"4",""),"5",""),"6",""),"7",""),"8",""),"9",""),".",""),",","")=""),2,1))),1)</f>
        <v/>
      </c>
      <c r="CC73">
        <f>IFERROR(IF(ISNUMBER(INDEX(PASTE_ALL,24,57)),2,IF(TRIM(INDEX(PASTE_ALL,24,57))="",0,IF(AND(LEFT(MID(TRIM(INDEX(PASTE_ALL,24,57)),1+(LEFT(TRIM(INDEX(PASTE_ALL,24,57)),1)="-"),999),LEN(MID(TRIM(INDEX(PASTE_ALL,24,57)),1+(LEFT(TRIM(INDEX(PASTE_ALL,24,57)),1)="-"),999))-(RIGHT(MID(TRIM(INDEX(PASTE_ALL,24,57)),1+(LEFT(TRIM(INDEX(PASTE_ALL,24,57)),1)="-"),999),1)="%"))&lt;&gt;"",SUBSTITUTE(SUBSTITUTE(SUBSTITUTE(SUBSTITUTE(SUBSTITUTE(SUBSTITUTE(SUBSTITUTE(SUBSTITUTE(SUBSTITUTE(SUBSTITUTE(SUBSTITUTE(SUBSTITUTE(LEFT(MID(TRIM(INDEX(PASTE_ALL,24,57)),1+(LEFT(TRIM(INDEX(PASTE_ALL,24,57)),1)="-"),999),LEN(MID(TRIM(INDEX(PASTE_ALL,24,57)),1+(LEFT(TRIM(INDEX(PASTE_ALL,24,57)),1)="-"),999))-(RIGHT(MID(TRIM(INDEX(PASTE_ALL,24,57)),1+(LEFT(TRIM(INDEX(PASTE_ALL,24,57)),1)="-"),999),1)="%")),"0",""),"1",""),"2",""),"3",""),"4",""),"5",""),"6",""),"7",""),"8",""),"9",""),".",""),",","")=""),2,1))),1)</f>
        <v/>
      </c>
      <c r="CD73">
        <f>IFERROR(IF(ISNUMBER(INDEX(PASTE_ALL,24,58)),2,IF(TRIM(INDEX(PASTE_ALL,24,58))="",0,IF(AND(LEFT(MID(TRIM(INDEX(PASTE_ALL,24,58)),1+(LEFT(TRIM(INDEX(PASTE_ALL,24,58)),1)="-"),999),LEN(MID(TRIM(INDEX(PASTE_ALL,24,58)),1+(LEFT(TRIM(INDEX(PASTE_ALL,24,58)),1)="-"),999))-(RIGHT(MID(TRIM(INDEX(PASTE_ALL,24,58)),1+(LEFT(TRIM(INDEX(PASTE_ALL,24,58)),1)="-"),999),1)="%"))&lt;&gt;"",SUBSTITUTE(SUBSTITUTE(SUBSTITUTE(SUBSTITUTE(SUBSTITUTE(SUBSTITUTE(SUBSTITUTE(SUBSTITUTE(SUBSTITUTE(SUBSTITUTE(SUBSTITUTE(SUBSTITUTE(LEFT(MID(TRIM(INDEX(PASTE_ALL,24,58)),1+(LEFT(TRIM(INDEX(PASTE_ALL,24,58)),1)="-"),999),LEN(MID(TRIM(INDEX(PASTE_ALL,24,58)),1+(LEFT(TRIM(INDEX(PASTE_ALL,24,58)),1)="-"),999))-(RIGHT(MID(TRIM(INDEX(PASTE_ALL,24,58)),1+(LEFT(TRIM(INDEX(PASTE_ALL,24,58)),1)="-"),999),1)="%")),"0",""),"1",""),"2",""),"3",""),"4",""),"5",""),"6",""),"7",""),"8",""),"9",""),".",""),",","")=""),2,1))),1)</f>
        <v/>
      </c>
      <c r="CE73">
        <f>IFERROR(IF(ISNUMBER(INDEX(PASTE_ALL,24,59)),2,IF(TRIM(INDEX(PASTE_ALL,24,59))="",0,IF(AND(LEFT(MID(TRIM(INDEX(PASTE_ALL,24,59)),1+(LEFT(TRIM(INDEX(PASTE_ALL,24,59)),1)="-"),999),LEN(MID(TRIM(INDEX(PASTE_ALL,24,59)),1+(LEFT(TRIM(INDEX(PASTE_ALL,24,59)),1)="-"),999))-(RIGHT(MID(TRIM(INDEX(PASTE_ALL,24,59)),1+(LEFT(TRIM(INDEX(PASTE_ALL,24,59)),1)="-"),999),1)="%"))&lt;&gt;"",SUBSTITUTE(SUBSTITUTE(SUBSTITUTE(SUBSTITUTE(SUBSTITUTE(SUBSTITUTE(SUBSTITUTE(SUBSTITUTE(SUBSTITUTE(SUBSTITUTE(SUBSTITUTE(SUBSTITUTE(LEFT(MID(TRIM(INDEX(PASTE_ALL,24,59)),1+(LEFT(TRIM(INDEX(PASTE_ALL,24,59)),1)="-"),999),LEN(MID(TRIM(INDEX(PASTE_ALL,24,59)),1+(LEFT(TRIM(INDEX(PASTE_ALL,24,59)),1)="-"),999))-(RIGHT(MID(TRIM(INDEX(PASTE_ALL,24,59)),1+(LEFT(TRIM(INDEX(PASTE_ALL,24,59)),1)="-"),999),1)="%")),"0",""),"1",""),"2",""),"3",""),"4",""),"5",""),"6",""),"7",""),"8",""),"9",""),".",""),",","")=""),2,1))),1)</f>
        <v/>
      </c>
      <c r="CF73">
        <f>IFERROR(IF(ISNUMBER(INDEX(PASTE_ALL,24,60)),2,IF(TRIM(INDEX(PASTE_ALL,24,60))="",0,IF(AND(LEFT(MID(TRIM(INDEX(PASTE_ALL,24,60)),1+(LEFT(TRIM(INDEX(PASTE_ALL,24,60)),1)="-"),999),LEN(MID(TRIM(INDEX(PASTE_ALL,24,60)),1+(LEFT(TRIM(INDEX(PASTE_ALL,24,60)),1)="-"),999))-(RIGHT(MID(TRIM(INDEX(PASTE_ALL,24,60)),1+(LEFT(TRIM(INDEX(PASTE_ALL,24,60)),1)="-"),999),1)="%"))&lt;&gt;"",SUBSTITUTE(SUBSTITUTE(SUBSTITUTE(SUBSTITUTE(SUBSTITUTE(SUBSTITUTE(SUBSTITUTE(SUBSTITUTE(SUBSTITUTE(SUBSTITUTE(SUBSTITUTE(SUBSTITUTE(LEFT(MID(TRIM(INDEX(PASTE_ALL,24,60)),1+(LEFT(TRIM(INDEX(PASTE_ALL,24,60)),1)="-"),999),LEN(MID(TRIM(INDEX(PASTE_ALL,24,60)),1+(LEFT(TRIM(INDEX(PASTE_ALL,24,60)),1)="-"),999))-(RIGHT(MID(TRIM(INDEX(PASTE_ALL,24,60)),1+(LEFT(TRIM(INDEX(PASTE_ALL,24,60)),1)="-"),999),1)="%")),"0",""),"1",""),"2",""),"3",""),"4",""),"5",""),"6",""),"7",""),"8",""),"9",""),".",""),",","")=""),2,1))),1)</f>
        <v/>
      </c>
      <c r="DA73" t="n">
        <v>69</v>
      </c>
      <c r="DB73">
        <f>IF($B$37=0,"",IFERROR(TRIM(SUBSTITUTE(SUBSTITUTE(SUBSTITUTE(SUBSTITUTE(INDEX(PASTE_ALL,69,$B$37)," "," "),CHAR(9)," "),CHAR(10)," "),CHAR(13)," ")),""))</f>
        <v/>
      </c>
      <c r="DC73">
        <f>IF(AND(69&gt;HEADER_ROW,UPPER(DB73)="LEGEND"),1,0)</f>
        <v/>
      </c>
      <c r="DE73" t="n">
        <v>69</v>
      </c>
      <c r="DF73">
        <f>HEADER_ROW+$DE73</f>
        <v/>
      </c>
      <c r="DG73">
        <f>IF(AND($DF73&lt;=1000,$DF73&lt;$B$8),1,0)</f>
        <v/>
      </c>
      <c r="DH73">
        <f>IF($DG73=1,IFERROR(INDEX($DB$5:$DB$1004,$DF73),""),"")</f>
        <v/>
      </c>
      <c r="DI73">
        <f>IF(AND($DG73=1,$DH73&lt;&gt;""),IFERROR(SUBSTITUTE(SUBSTITUTE(TRIM(SUBSTITUTE(SUBSTITUTE(SUBSTITUTE(SUBSTITUTE(IFERROR(INDEX(PASTE_ALL,$DF73,1)&amp;"","")&amp;"␟"&amp;IFERROR(INDEX(PASTE_ALL,$DF73,2)&amp;"","")&amp;"␟"&amp;IFERROR(INDEX(PASTE_ALL,$DF73,3)&amp;"","")&amp;"␟"&amp;IFERROR(INDEX(PASTE_ALL,$DF73,4)&amp;"","")&amp;"␟"&amp;IFERROR(INDEX(PASTE_ALL,$DF73,5)&amp;"","")&amp;"␟"&amp;IFERROR(INDEX(PASTE_ALL,$DF73,6)&amp;"","")&amp;"␟"&amp;IFERROR(INDEX(PASTE_ALL,$DF73,7)&amp;"","")&amp;"␟"&amp;IFERROR(INDEX(PASTE_ALL,$DF73,8)&amp;"","")&amp;"␟"&amp;IFERROR(INDEX(PASTE_ALL,$DF73,9)&amp;"","")&amp;"␟"&amp;IFERROR(INDEX(PASTE_ALL,$DF73,10)&amp;"","")&amp;"␟"&amp;IFERROR(INDEX(PASTE_ALL,$DF73,11)&amp;"","")&amp;"␟"&amp;IFERROR(INDEX(PASTE_ALL,$DF73,12)&amp;"","")&amp;"␟"&amp;IFERROR(INDEX(PASTE_ALL,$DF73,13)&amp;"","")&amp;"␟"&amp;IFERROR(INDEX(PASTE_ALL,$DF73,14)&amp;"","")&amp;"␟"&amp;IFERROR(INDEX(PASTE_ALL,$DF73,15)&amp;"","")&amp;"␟"&amp;IFERROR(INDEX(PASTE_ALL,$DF73,16)&amp;"","")&amp;"␟"&amp;IFERROR(INDEX(PASTE_ALL,$DF73,17)&amp;"","")&amp;"␟"&amp;IFERROR(INDEX(PASTE_ALL,$DF73,18)&amp;"","")&amp;"␟"&amp;IFERROR(INDEX(PASTE_ALL,$DF73,19)&amp;"","")&amp;"␟"&amp;IFERROR(INDEX(PASTE_ALL,$DF73,20)&amp;"","")&amp;"␟"&amp;IFERROR(INDEX(PASTE_ALL,$DF73,21)&amp;"","")&amp;"␟"&amp;IFERROR(INDEX(PASTE_ALL,$DF73,22)&amp;"","")&amp;"␟"&amp;IFERROR(INDEX(PASTE_ALL,$DF73,23)&amp;"","")&amp;"␟"&amp;IFERROR(INDEX(PASTE_ALL,$DF73,24)&amp;"","")&amp;"␟"&amp;IFERROR(INDEX(PASTE_ALL,$DF73,25)&amp;"","")&amp;"␟"&amp;IFERROR(INDEX(PASTE_ALL,$DF73,26)&amp;"","")&amp;"␟"&amp;IFERROR(INDEX(PASTE_ALL,$DF73,27)&amp;"","")&amp;"␟"&amp;IFERROR(INDEX(PASTE_ALL,$DF73,28)&amp;"","")&amp;"␟"&amp;IFERROR(INDEX(PASTE_ALL,$DF73,29)&amp;"","")&amp;"␟"&amp;IFERROR(INDEX(PASTE_ALL,$DF73,30)&amp;"","")&amp;"␟"&amp;IFERROR(INDEX(PASTE_ALL,$DF73,31)&amp;"","")&amp;"␟"&amp;IFERROR(INDEX(PASTE_ALL,$DF73,32)&amp;"","")&amp;"␟"&amp;IFERROR(INDEX(PASTE_ALL,$DF73,33)&amp;"","")&amp;"␟"&amp;IFERROR(INDEX(PASTE_ALL,$DF73,34)&amp;"","")&amp;"␟"&amp;IFERROR(INDEX(PASTE_ALL,$DF73,35)&amp;"","")&amp;"␟"&amp;IFERROR(INDEX(PASTE_ALL,$DF73,36)&amp;"","")&amp;"␟"&amp;IFERROR(INDEX(PASTE_ALL,$DF73,37)&amp;"","")&amp;"␟"&amp;IFERROR(INDEX(PASTE_ALL,$DF73,38)&amp;"","")&amp;"␟"&amp;IFERROR(INDEX(PASTE_ALL,$DF73,39)&amp;"","")&amp;"␟"&amp;IFERROR(INDEX(PASTE_ALL,$DF73,40)&amp;"","")&amp;"␟"&amp;IFERROR(INDEX(PASTE_ALL,$DF73,41)&amp;"","")&amp;"␟"&amp;IFERROR(INDEX(PASTE_ALL,$DF73,42)&amp;"","")&amp;"␟"&amp;IFERROR(INDEX(PASTE_ALL,$DF73,43)&amp;"","")&amp;"␟"&amp;IFERROR(INDEX(PASTE_ALL,$DF73,44)&amp;"","")&amp;"␟"&amp;IFERROR(INDEX(PASTE_ALL,$DF73,45)&amp;"","")&amp;"␟"&amp;IFERROR(INDEX(PASTE_ALL,$DF73,46)&amp;"","")&amp;"␟"&amp;IFERROR(INDEX(PASTE_ALL,$DF73,47)&amp;"","")&amp;"␟"&amp;IFERROR(INDEX(PASTE_ALL,$DF73,48)&amp;"","")&amp;"␟"&amp;IFERROR(INDEX(PASTE_ALL,$DF73,49)&amp;"","")&amp;"␟"&amp;IFERROR(INDEX(PASTE_ALL,$DF73,50)&amp;"","")&amp;"␟"&amp;IFERROR(INDEX(PASTE_ALL,$DF73,51)&amp;"","")&amp;"␟"&amp;IFERROR(INDEX(PASTE_ALL,$DF73,52)&amp;"","")&amp;"␟"&amp;IFERROR(INDEX(PASTE_ALL,$DF73,53)&amp;"","")&amp;"␟"&amp;IFERROR(INDEX(PASTE_ALL,$DF73,54)&amp;"","")&amp;"␟"&amp;IFERROR(INDEX(PASTE_ALL,$DF73,55)&amp;"","")&amp;"␟"&amp;IFERROR(INDEX(PASTE_ALL,$DF73,56)&amp;"","")&amp;"␟"&amp;IFERROR(INDEX(PASTE_ALL,$DF73,57)&amp;"","")&amp;"␟"&amp;IFERROR(INDEX(PASTE_ALL,$DF73,58)&amp;"","")&amp;"␟"&amp;IFERROR(INDEX(PASTE_ALL,$DF73,59)&amp;"","")&amp;"␟"&amp;IFERROR(INDEX(PASTE_ALL,$DF73,60)&amp;"","")," "," "),CHAR(9)," "),CHAR(10)," "),CHAR(13)," "))," ␟","␟"),"␟ ","␟"),"#"&amp;$DE73),"")</f>
        <v/>
      </c>
      <c r="DJ73">
        <f>IF($DI73="",0,IF(SUMPRODUCT(--EXACT($DI$4:DI72,$DI73))&gt;0,1,0))</f>
        <v/>
      </c>
      <c r="DK73">
        <f>IF(AND($DI73&lt;&gt;"",$DJ73=0),1,0)</f>
        <v/>
      </c>
      <c r="DL73">
        <f>DL72+$DK73</f>
        <v/>
      </c>
      <c r="DM73">
        <f>IF(AND($DK73=1,$DL73&lt;=600),1,0)</f>
        <v/>
      </c>
      <c r="DN73">
        <f>IF($DM73=0,"",IF($L$6=0,"",IFERROR(IF(ISNUMBER(INDEX(PASTE_ALL,$DF73,$L$6)),INDEX(PASTE_ALL,$DF73,$L$6),TRIM(SUBSTITUTE(SUBSTITUTE(SUBSTITUTE(SUBSTITUTE(INDEX(PASTE_ALL,$DF73,$L$6)," "," "),CHAR(9)," "),CHAR(10)," "),CHAR(13)," "))),"")))</f>
        <v/>
      </c>
      <c r="DO73">
        <f>IF($DM73=0,"",IF($L$7=0,"",IFERROR(IF(ISNUMBER(INDEX(PASTE_ALL,$DF73,$L$7)),INDEX(PASTE_ALL,$DF73,$L$7),TRIM(SUBSTITUTE(SUBSTITUTE(SUBSTITUTE(SUBSTITUTE(INDEX(PASTE_ALL,$DF73,$L$7)," "," "),CHAR(9)," "),CHAR(10)," "),CHAR(13)," "))),"")))</f>
        <v/>
      </c>
      <c r="DP73">
        <f>IF($DM73=0,"",IF($L$8=0,"",IFERROR(IF(ISNUMBER(INDEX(PASTE_ALL,$DF73,$L$8)),INDEX(PASTE_ALL,$DF73,$L$8),TRIM(SUBSTITUTE(SUBSTITUTE(SUBSTITUTE(SUBSTITUTE(INDEX(PASTE_ALL,$DF73,$L$8)," "," "),CHAR(9)," "),CHAR(10)," "),CHAR(13)," "))),"")))</f>
        <v/>
      </c>
      <c r="DQ73">
        <f>IF($DM73=0,"",IF($L$9=0,"",IFERROR(IF(ISNUMBER(INDEX(PASTE_ALL,$DF73,$L$9)),INDEX(PASTE_ALL,$DF73,$L$9),TRIM(SUBSTITUTE(SUBSTITUTE(SUBSTITUTE(SUBSTITUTE(INDEX(PASTE_ALL,$DF73,$L$9)," "," "),CHAR(9)," "),CHAR(10)," "),CHAR(13)," "))),"")))</f>
        <v/>
      </c>
      <c r="DR73">
        <f>IF($DM73=0,"",IF($L$10=0,"",IFERROR(IF(ISNUMBER(INDEX(PASTE_ALL,$DF73,$L$10)),INDEX(PASTE_ALL,$DF73,$L$10),TRIM(SUBSTITUTE(SUBSTITUTE(SUBSTITUTE(SUBSTITUTE(INDEX(PASTE_ALL,$DF73,$L$10)," "," "),CHAR(9)," "),CHAR(10)," "),CHAR(13)," "))),"")))</f>
        <v/>
      </c>
      <c r="DS73">
        <f>IF($DM73=0,"",IF($L$11=0,"",IFERROR(IF(ISNUMBER(INDEX(PASTE_ALL,$DF73,$L$11)),INDEX(PASTE_ALL,$DF73,$L$11),TRIM(SUBSTITUTE(SUBSTITUTE(SUBSTITUTE(SUBSTITUTE(INDEX(PASTE_ALL,$DF73,$L$11)," "," "),CHAR(9)," "),CHAR(10)," "),CHAR(13)," "))),"")))</f>
        <v/>
      </c>
      <c r="DT73">
        <f>IF($DM73=0,"",IF($L$12=0,"",IFERROR(IF(ISNUMBER(INDEX(PASTE_ALL,$DF73,$L$12)),INDEX(PASTE_ALL,$DF73,$L$12),TRIM(SUBSTITUTE(SUBSTITUTE(SUBSTITUTE(SUBSTITUTE(INDEX(PASTE_ALL,$DF73,$L$12)," "," "),CHAR(9)," "),CHAR(10)," "),CHAR(13)," "))),"")))</f>
        <v/>
      </c>
      <c r="DU73">
        <f>IF($DM73=0,"",IF($L$13=0,"",IFERROR(IF(ISNUMBER(INDEX(PASTE_ALL,$DF73,$L$13)),INDEX(PASTE_ALL,$DF73,$L$13),TRIM(SUBSTITUTE(SUBSTITUTE(SUBSTITUTE(SUBSTITUTE(INDEX(PASTE_ALL,$DF73,$L$13)," "," "),CHAR(9)," "),CHAR(10)," "),CHAR(13)," "))),"")))</f>
        <v/>
      </c>
      <c r="DV73">
        <f>IF($DM73=0,"",IF($L$14=0,"",IFERROR(IF(ISNUMBER(INDEX(PASTE_ALL,$DF73,$L$14)),INDEX(PASTE_ALL,$DF73,$L$14),TRIM(SUBSTITUTE(SUBSTITUTE(SUBSTITUTE(SUBSTITUTE(INDEX(PASTE_ALL,$DF73,$L$14)," "," "),CHAR(9)," "),CHAR(10)," "),CHAR(13)," "))),"")))</f>
        <v/>
      </c>
      <c r="DW73">
        <f>IF($DM73=0,"",IF($L$15=0,"",IFERROR(IF(ISNUMBER(INDEX(PASTE_ALL,$DF73,$L$15)),INDEX(PASTE_ALL,$DF73,$L$15),IF(SUMPRODUCT(--ISNUMBER(FIND({"A","B","C","D","E","F","G","H","I","J","K","L","M","N","O","P","Q","R","S","T","U","V","W","X","Y","Z","0","1","2","3","4","5","6","7","8","9"},UPPER(TRIM(SUBSTITUTE(SUBSTITUTE(SUBSTITUTE(SUBSTITUTE(INDEX(PASTE_ALL,$DF73,$L$15)," "," "),CHAR(9)," "),CHAR(10)," "),CHAR(13)," "))))))&gt;0,TRIM(SUBSTITUTE(SUBSTITUTE(SUBSTITUTE(SUBSTITUTE(INDEX(PASTE_ALL,$DF73,$L$15)," "," "),CHAR(9)," "),CHAR(10)," "),CHAR(13)," ")),"")),"")))</f>
        <v/>
      </c>
      <c r="DX73">
        <f>IF($DM73=0,"",IF($L$16=0,"",IFERROR(IF(ISNUMBER(INDEX(PASTE_ALL,$DF73,$L$16)),INDEX(PASTE_ALL,$DF73,$L$16),SUBSTITUTE(SUBSTITUTE(TRIM(SUBSTITUTE(SUBSTITUTE(SUBSTITUTE(SUBSTITUTE(INDEX(PASTE_ALL,$DF73,$L$16)," "," "),CHAR(9)," "),CHAR(10)," "),CHAR(13)," ")),",",""),"%","")),"")))</f>
        <v/>
      </c>
      <c r="DY73">
        <f>IF($DM73=0,"",IFERROR(IF(ISNUMBER($DX73),$DX73,IF($DX73="","",IF(TRIM($DX73)="",0,IF(AND(AND(SUBSTITUTE(SUBSTITUTE(SUBSTITUTE(SUBSTITUTE(SUBSTITUTE(SUBSTITUTE(SUBSTITUTE(SUBSTITUTE(SUBSTITUTE(SUBSTITUTE(SUBSTITUTE(SUBSTITUTE(SUBSTITUTE(SUBSTITUTE(UPPER(TRIM($DX73)),"0",""),"1",""),"2",""),"3",""),"4",""),"5",""),"6",""),"7",""),"8",""),"9",""),".",""),"+",""),"-",""),"E","")="",LEN(SUBSTITUTE(SUBSTITUTE(MID(UPPER(TRIM($DX73)),1+OR(LEFT(UPPER(TRIM($DX73)),1)="+",LEFT(UPPER(TRIM($DX73)),1)="-"),999),"E+","E"),"E-","E"))=LEN(SUBSTITUTE(SUBSTITUTE(SUBSTITUTE(SUBSTITUTE(MID(UPPER(TRIM($DX73)),1+OR(LEFT(UPPER(TRIM($DX73)),1)="+",LEFT(UPPER(TRIM($DX73)),1)="-"),999),"E+","E"),"E-","E"),"+",""),"-","")),LEN(UPPER(TRIM($DX73)))-LEN(SUBSTITUTE(UPPER(TRIM($DX73)),"E",""))&lt;2,LEN(UPPER(TRIM($DX73)))-LEN(SUBSTITUTE(UPPER(TRIM($DX73)),".",""))&lt;2,IFERROR(FIND(".",UPPER(TRIM($DX73))),0)&lt;IFERROR(FIND("E",UPPER(TRIM($DX73))),999)),ISNUMBER(VALUE(TRIM($DX73)))),VALUE(TRIM($DX73)),"")))),""))</f>
        <v/>
      </c>
      <c r="DZ73">
        <f>IF($DM73=0,"",IF($L$17=0,"",IFERROR(IF(ISNUMBER(INDEX(PASTE_ALL,$DF73,$L$17)),INDEX(PASTE_ALL,$DF73,$L$17),SUBSTITUTE(SUBSTITUTE(TRIM(SUBSTITUTE(SUBSTITUTE(SUBSTITUTE(SUBSTITUTE(INDEX(PASTE_ALL,$DF73,$L$17)," "," "),CHAR(9)," "),CHAR(10)," "),CHAR(13)," ")),",",""),"%","")),"")))</f>
        <v/>
      </c>
      <c r="EA73">
        <f>IF($DM73=0,"",IFERROR(IF(ISNUMBER($DZ73),$DZ73,IF($DZ73="","",IF(TRIM($DZ73)="",0,IF(AND(AND(SUBSTITUTE(SUBSTITUTE(SUBSTITUTE(SUBSTITUTE(SUBSTITUTE(SUBSTITUTE(SUBSTITUTE(SUBSTITUTE(SUBSTITUTE(SUBSTITUTE(SUBSTITUTE(SUBSTITUTE(SUBSTITUTE(SUBSTITUTE(UPPER(TRIM($DZ73)),"0",""),"1",""),"2",""),"3",""),"4",""),"5",""),"6",""),"7",""),"8",""),"9",""),".",""),"+",""),"-",""),"E","")="",LEN(SUBSTITUTE(SUBSTITUTE(MID(UPPER(TRIM($DZ73)),1+OR(LEFT(UPPER(TRIM($DZ73)),1)="+",LEFT(UPPER(TRIM($DZ73)),1)="-"),999),"E+","E"),"E-","E"))=LEN(SUBSTITUTE(SUBSTITUTE(SUBSTITUTE(SUBSTITUTE(MID(UPPER(TRIM($DZ73)),1+OR(LEFT(UPPER(TRIM($DZ73)),1)="+",LEFT(UPPER(TRIM($DZ73)),1)="-"),999),"E+","E"),"E-","E"),"+",""),"-","")),LEN(UPPER(TRIM($DZ73)))-LEN(SUBSTITUTE(UPPER(TRIM($DZ73)),"E",""))&lt;2,LEN(UPPER(TRIM($DZ73)))-LEN(SUBSTITUTE(UPPER(TRIM($DZ73)),".",""))&lt;2,IFERROR(FIND(".",UPPER(TRIM($DZ73))),0)&lt;IFERROR(FIND("E",UPPER(TRIM($DZ73))),999)),ISNUMBER(VALUE(TRIM($DZ73)))),VALUE(TRIM($DZ73)),"")))),""))</f>
        <v/>
      </c>
      <c r="EB73">
        <f>IF($DM73=0,"",IF($L$18=0,"",IFERROR(IF(UPPER(TRIM(SUBSTITUTE(SUBSTITUTE(SUBSTITUTE(SUBSTITUTE(INDEX(PASTE_ALL,$DF73,$L$18)," "," "),CHAR(9)," "),CHAR(10)," "),CHAR(13)," ")))="READY","Ready",IF(UPPER(TRIM(SUBSTITUTE(SUBSTITUTE(SUBSTITUTE(SUBSTITUTE(INDEX(PASTE_ALL,$DF73,$L$18)," "," "),CHAR(9)," "),CHAR(10)," "),CHAR(13)," ")))="PM","PM",IF(OR(UPPER(TRIM(SUBSTITUTE(SUBSTITUTE(SUBSTITUTE(SUBSTITUTE(INDEX(PASTE_ALL,$DF73,$L$18)," "," "),CHAR(9)," "),CHAR(10)," "),CHAR(13)," ")))="OT",UPPER(TRIM(SUBSTITUTE(SUBSTITUTE(SUBSTITUTE(SUBSTITUTE(INDEX(PASTE_ALL,$DF73,$L$18)," "," "),CHAR(9)," "),CHAR(10)," "),CHAR(13)," ")))="OVERTIME",UPPER(TRIM(SUBSTITUTE(SUBSTITUTE(SUBSTITUTE(SUBSTITUTE(INDEX(PASTE_ALL,$DF73,$L$18)," "," "),CHAR(9)," "),CHAR(10)," "),CHAR(13)," ")))="TRIAL"),"OT",TRIM(SUBSTITUTE(SUBSTITUTE(SUBSTITUTE(SUBSTITUTE(INDEX(PASTE_ALL,$DF73,$L$18)," "," "),CHAR(9)," "),CHAR(10)," "),CHAR(13)," "))))),"")))</f>
        <v/>
      </c>
      <c r="EC73">
        <f>IF($DM73=0,"",IF($L$19=0,"",IFERROR(IF(ISNUMBER(INDEX(PASTE_ALL,$DF73,$L$19)),INDEX(PASTE_ALL,$DF73,$L$19),TRIM(SUBSTITUTE(SUBSTITUTE(SUBSTITUTE(SUBSTITUTE(INDEX(PASTE_ALL,$DF73,$L$19)," "," "),CHAR(9)," "),CHAR(10)," "),CHAR(13)," "))),"")))</f>
        <v/>
      </c>
      <c r="ED73">
        <f>IF($DM73=0,"",MATCH(1,INDEX(EXACT($DH$5:DH73,$DH73)*$DM$5:DM73,0),0))</f>
        <v/>
      </c>
      <c r="EE73">
        <f>IF($DM73=0,0,IF($ED73=$DE73,1,0))</f>
        <v/>
      </c>
      <c r="EF73">
        <f>EF72+$EE73</f>
        <v/>
      </c>
      <c r="EG73">
        <f>IF($DM73=0,"",INDEX($EF$5:$EF$1003,$ED73))</f>
        <v/>
      </c>
      <c r="EH73">
        <f>IF($DM73=0,"",IF($DO73&lt;&gt;"","",IFERROR(LOOKUP(2,1/(($EG$4:EG72=$EG73)*($DO$4:DO72&lt;&gt;"")),$DO$4:DO72),"")))</f>
        <v/>
      </c>
      <c r="EI73">
        <f>IF($DM73=0,"",IF($DO73&lt;&gt;"",$DO73,$EH73))</f>
        <v/>
      </c>
      <c r="EJ73">
        <f>IF($DM73=0,"",IF($EI73="",0,IF(OR(ISNUMBER($EI73),AND(AND(SUBSTITUTE(SUBSTITUTE(SUBSTITUTE(SUBSTITUTE(SUBSTITUTE(SUBSTITUTE(SUBSTITUTE(SUBSTITUTE(SUBSTITUTE(SUBSTITUTE(SUBSTITUTE(SUBSTITUTE(SUBSTITUTE(SUBSTITUTE(UPPER($EI73),"0",""),"1",""),"2",""),"3",""),"4",""),"5",""),"6",""),"7",""),"8",""),"9",""),".",""),"+",""),"-",""),"E","")="",LEN(SUBSTITUTE(SUBSTITUTE(MID(UPPER($EI73),1+OR(LEFT(UPPER($EI73),1)="+",LEFT(UPPER($EI73),1)="-"),999),"E+","E"),"E-","E"))=LEN(SUBSTITUTE(SUBSTITUTE(SUBSTITUTE(SUBSTITUTE(MID(UPPER($EI73),1+OR(LEFT(UPPER($EI73),1)="+",LEFT(UPPER($EI73),1)="-"),999),"E+","E"),"E-","E"),"+",""),"-","")),LEN(UPPER($EI73))-LEN(SUBSTITUTE(UPPER($EI73),"E",""))&lt;2,LEN(UPPER($EI73))-LEN(SUBSTITUTE(UPPER($EI73),".",""))&lt;2,IFERROR(FIND(".",UPPER($EI73)),0)&lt;IFERROR(FIND("E",UPPER($EI73)),999)),ISNUMBER(VALUE($EI73)))),1,2)))</f>
        <v/>
      </c>
      <c r="EK73">
        <f>IF($DM73=0,"",IF($EJ73=1,IF(ISNUMBER($EI73),$EI73,VALUE($EI73)),IF($EJ73=2,$DE73,0)))</f>
        <v/>
      </c>
      <c r="EL73">
        <f>IF($DM73=0,"",COUNTIF($EG$5:$EG$1003,"&lt;"&amp;$EG73)+SUMPRODUCT(($EG$5:$EG$1003=$EG73)*(($EJ$5:$EJ$1003&lt;$EJ73)+($EJ$5:$EJ$1003=$EJ73)*(($EK$5:$EK$1003&lt;$EK73)+($EK$5:$EK$1003=$EK73)*($DE$5:$DE$1003&lt;$DE73))))+1)</f>
        <v/>
      </c>
      <c r="EM73">
        <f>IF($DM73=0,"",$EL73+$EG73-1)</f>
        <v/>
      </c>
      <c r="EN73">
        <f>IF($DM73=0,0,IFERROR(MATCH(1,INDEX(--(TRIM(SUBSTITUTE(SUBSTITUTE(SUBSTITUTE(SUBSTITUTE(LINES_NAME&amp;""," "," "),CHAR(9)," "),CHAR(10)," "),CHAR(13)," "))=$DH73),0),0),0))</f>
        <v/>
      </c>
      <c r="EO73">
        <f>IF($EN73=0,0,IF(OR(UPPER(TRIM(INDEX(LINES_SCHEDULED,$EN73)&amp;""))="YES",UPPER(TRIM(INDEX(LINES_SCHEDULED,$EN73)&amp;""))="Y",UPPER(TRIM(INDEX(LINES_SCHEDULED,$EN73)&amp;""))="X"),1,0))</f>
        <v/>
      </c>
      <c r="EP73">
        <f>IF($DM73=0,"",IF(COUNTIFS($EG$5:$EG$1003,$EG73,$EB$5:$EB$1003,"Ready")&gt;0,"READY",IF(COUNTIFS($EG$5:$EG$1003,$EG73,$EB$5:$EB$1003,"PM")&gt;0,"PM",IF(COUNTIFS($EG$5:$EG$1003,$EG73,$EB$5:$EB$1003,"OT")&gt;0,"OT",""))))</f>
        <v/>
      </c>
      <c r="EQ73">
        <f>IF($EN73=0,"",UPPER(TRIM(INDEX(LINES_STATUS,$EN73)&amp;"")))</f>
        <v/>
      </c>
      <c r="ER73">
        <f>IF($DM73=0,"",IF(OR($EQ73="READY",$EQ73="PM",$EQ73="OT"),$EQ73,$EP73))</f>
        <v/>
      </c>
      <c r="ES73">
        <f>IF($DM73=0,"",IF(AND($DV73&lt;&gt;"",UPPER($DV73)&lt;&gt;"N"),"allergen",IF(ISNUMBER(SEARCH("oil",$DQ73)),"oil",IF(OR(EXACT($DS73,"A662"),EXACT($DS73,"A624")),"bulk",""))))</f>
        <v/>
      </c>
      <c r="ET73">
        <f>IF($DM73=0,"",IF(OR($EA73="",$EA73=0),"",$EA73/100))</f>
        <v/>
      </c>
      <c r="EU73">
        <f>IF(OR($ET73="",$DY73=""),"",INT($DY73*(1-$ET73)+0.5))</f>
        <v/>
      </c>
      <c r="EW73" t="n">
        <v>69</v>
      </c>
      <c r="EX73">
        <f>IFERROR(MATCH($EW73,$EM$5:$EM$1003,0),0)</f>
        <v/>
      </c>
      <c r="EY73">
        <f>IF($EW73&gt;$B$12,"",IF($EX73&gt;0,"row","spacer"))</f>
        <v/>
      </c>
      <c r="EZ73">
        <f>IF(AND($EY73="row",$EY72&lt;&gt;"row"),1,0)</f>
        <v/>
      </c>
      <c r="FA73">
        <f>IF(AND($EY73="row",$EY74&lt;&gt;"row"),1,0)</f>
        <v/>
      </c>
      <c r="FB73">
        <f>IF($EZ73=1,IFERROR(IF(ISNUMBER(INDEX(PASTE_ALL,INDEX($DF$5:$DF$1003,$EX73),$B$37)),INDEX(PASTE_ALL,INDEX($DF$5:$DF$1003,$EX73),$B$37),INDEX($DH$5:$DH$1003,$EX73)),INDEX($DH$5:$DH$1003,$EX73)),"")</f>
        <v/>
      </c>
      <c r="FC73">
        <f>IF($EY73="row",INDEX($ER$5:$ER$1003,$EX73),"")</f>
        <v/>
      </c>
      <c r="FD73">
        <f>IF($EY73="row",INDEX($DN$5:$DN$1003,$EX73),"")</f>
        <v/>
      </c>
      <c r="FE73">
        <f>IF($EY73="row",INDEX($DO$5:$DO$1003,$EX73),"")</f>
        <v/>
      </c>
      <c r="FF73">
        <f>IF($EY73="row",INDEX($DP$5:$DP$1003,$EX73),"")</f>
        <v/>
      </c>
      <c r="FG73">
        <f>IF($EY73="row",INDEX($DQ$5:$DQ$1003,$EX73),"")</f>
        <v/>
      </c>
      <c r="FH73">
        <f>IF($EY73="row",INDEX($DR$5:$DR$1003,$EX73),"")</f>
        <v/>
      </c>
      <c r="FI73">
        <f>IF($EY73="row",INDEX($DS$5:$DS$1003,$EX73),"")</f>
        <v/>
      </c>
      <c r="FJ73">
        <f>IF($EY73="row",INDEX($DT$5:$DT$1003,$EX73),"")</f>
        <v/>
      </c>
      <c r="FK73">
        <f>IF($EY73="row",INDEX($DU$5:$DU$1003,$EX73),"")</f>
        <v/>
      </c>
      <c r="FL73">
        <f>IF($EY73="row",INDEX($DV$5:$DV$1003,$EX73),"")</f>
        <v/>
      </c>
      <c r="FM73">
        <f>IF($EY73="row",INDEX($DW$5:$DW$1003,$EX73),"")</f>
        <v/>
      </c>
      <c r="FN73">
        <f>IF($EY73="row",INDEX($DY$5:$DY$1003,$EX73),"")</f>
        <v/>
      </c>
      <c r="FO73">
        <f>IF($EY73="row",INDEX($EA$5:$EA$1003,$EX73),"")</f>
        <v/>
      </c>
      <c r="FP73">
        <f>IF($EY73="row",INDEX($EC$5:$EC$1003,$EX73),"")</f>
        <v/>
      </c>
      <c r="FQ73">
        <f>IF($EY73="row",INDEX($ET$5:$ET$1003,$EX73),"")</f>
        <v/>
      </c>
      <c r="FR73">
        <f>IF($EY73="row",INDEX($EU$5:$EU$1003,$EX73),"")</f>
        <v/>
      </c>
      <c r="FS73">
        <f>IF(AND($EY73="row",$EY72="row"),IF(OR(INDEX($DT$5:$DT$1003,$EX72)="",INDEX($DT$5:$DT$1003,$EX73)=""),"",IF(NOT(EXACT(INDEX($DT$5:$DT$1003,$EX72),INDEX($DT$5:$DT$1003,$EX73))),"S4",IF(NOT(EXACT(INDEX($DS$5:$DS$1003,$EX72),INDEX($DS$5:$DS$1003,$EX73))),"S3",IF(NOT(EXACT(INDEX($DR$5:$DR$1003,$EX72),INDEX($DR$5:$DR$1003,$EX73))),"S1 Count Change","S1")))),"")</f>
        <v/>
      </c>
      <c r="FT73">
        <f>IF($EY73="row",INDEX($ES$5:$ES$1003,$EX73),"")</f>
        <v/>
      </c>
      <c r="FU73">
        <f>IF($EY73="row",INDEX($EO$5:$EO$1003,$EX73),0)</f>
        <v/>
      </c>
      <c r="FV73">
        <f>IF($FS73="S1 Count Change",1,0)</f>
        <v/>
      </c>
      <c r="FX73" t="n">
        <v>69</v>
      </c>
      <c r="FY73">
        <f>IFERROR(MATCH($FX73,$EF$5:$EF$1003,0),0)</f>
        <v/>
      </c>
      <c r="FZ73">
        <f>IF($FY73=0,"",INDEX($DH$5:$DH$1003,$FY73))</f>
        <v/>
      </c>
      <c r="GA73">
        <f>IF($FY73=0,"",COUNTIF($EG$5:$EG$1003,$FX73))</f>
        <v/>
      </c>
      <c r="GB73">
        <f>IF($FY73=0,"",INDEX($ER$5:$ER$1003,$FY73))</f>
        <v/>
      </c>
      <c r="GC73">
        <f>IF($FY73=0,"",IF(INDEX($EO$5:$EO$1003,$FY73)=1,"Yes",""))</f>
        <v/>
      </c>
      <c r="GD73">
        <f>IF($FY73=0,"",IF(INDEX($EN$5:$EN$1003,$FY73)&gt;0,"","NOT IN YOUR LIST - type it in column A to tick it"))</f>
        <v/>
      </c>
      <c r="GE73">
        <f>IF(AND($FY73&gt;0,$GD73&lt;&gt;""),1,0)</f>
        <v/>
      </c>
      <c r="GF73">
        <f>GF72+$GE73</f>
        <v/>
      </c>
      <c r="GG73">
        <f>IFERROR(INDEX($FZ$5:$FZ$104,MATCH($FX73,$GF$5:$GF$104,0)),"")</f>
        <v/>
      </c>
    </row>
    <row r="74">
      <c r="V74" t="inlineStr">
        <is>
          <t>ORDERQUANTITY</t>
        </is>
      </c>
      <c r="W74" t="n">
        <v>12</v>
      </c>
      <c r="Y74">
        <f>IFERROR(IF(ISNUMBER(INDEX(PASTE_ALL,25,1)),2,IF(TRIM(INDEX(PASTE_ALL,25,1))="",0,IF(AND(LEFT(MID(TRIM(INDEX(PASTE_ALL,25,1)),1+(LEFT(TRIM(INDEX(PASTE_ALL,25,1)),1)="-"),999),LEN(MID(TRIM(INDEX(PASTE_ALL,25,1)),1+(LEFT(TRIM(INDEX(PASTE_ALL,25,1)),1)="-"),999))-(RIGHT(MID(TRIM(INDEX(PASTE_ALL,25,1)),1+(LEFT(TRIM(INDEX(PASTE_ALL,25,1)),1)="-"),999),1)="%"))&lt;&gt;"",SUBSTITUTE(SUBSTITUTE(SUBSTITUTE(SUBSTITUTE(SUBSTITUTE(SUBSTITUTE(SUBSTITUTE(SUBSTITUTE(SUBSTITUTE(SUBSTITUTE(SUBSTITUTE(SUBSTITUTE(LEFT(MID(TRIM(INDEX(PASTE_ALL,25,1)),1+(LEFT(TRIM(INDEX(PASTE_ALL,25,1)),1)="-"),999),LEN(MID(TRIM(INDEX(PASTE_ALL,25,1)),1+(LEFT(TRIM(INDEX(PASTE_ALL,25,1)),1)="-"),999))-(RIGHT(MID(TRIM(INDEX(PASTE_ALL,25,1)),1+(LEFT(TRIM(INDEX(PASTE_ALL,25,1)),1)="-"),999),1)="%")),"0",""),"1",""),"2",""),"3",""),"4",""),"5",""),"6",""),"7",""),"8",""),"9",""),".",""),",","")=""),2,1))),1)</f>
        <v/>
      </c>
      <c r="Z74">
        <f>IFERROR(IF(ISNUMBER(INDEX(PASTE_ALL,25,2)),2,IF(TRIM(INDEX(PASTE_ALL,25,2))="",0,IF(AND(LEFT(MID(TRIM(INDEX(PASTE_ALL,25,2)),1+(LEFT(TRIM(INDEX(PASTE_ALL,25,2)),1)="-"),999),LEN(MID(TRIM(INDEX(PASTE_ALL,25,2)),1+(LEFT(TRIM(INDEX(PASTE_ALL,25,2)),1)="-"),999))-(RIGHT(MID(TRIM(INDEX(PASTE_ALL,25,2)),1+(LEFT(TRIM(INDEX(PASTE_ALL,25,2)),1)="-"),999),1)="%"))&lt;&gt;"",SUBSTITUTE(SUBSTITUTE(SUBSTITUTE(SUBSTITUTE(SUBSTITUTE(SUBSTITUTE(SUBSTITUTE(SUBSTITUTE(SUBSTITUTE(SUBSTITUTE(SUBSTITUTE(SUBSTITUTE(LEFT(MID(TRIM(INDEX(PASTE_ALL,25,2)),1+(LEFT(TRIM(INDEX(PASTE_ALL,25,2)),1)="-"),999),LEN(MID(TRIM(INDEX(PASTE_ALL,25,2)),1+(LEFT(TRIM(INDEX(PASTE_ALL,25,2)),1)="-"),999))-(RIGHT(MID(TRIM(INDEX(PASTE_ALL,25,2)),1+(LEFT(TRIM(INDEX(PASTE_ALL,25,2)),1)="-"),999),1)="%")),"0",""),"1",""),"2",""),"3",""),"4",""),"5",""),"6",""),"7",""),"8",""),"9",""),".",""),",","")=""),2,1))),1)</f>
        <v/>
      </c>
      <c r="AA74">
        <f>IFERROR(IF(ISNUMBER(INDEX(PASTE_ALL,25,3)),2,IF(TRIM(INDEX(PASTE_ALL,25,3))="",0,IF(AND(LEFT(MID(TRIM(INDEX(PASTE_ALL,25,3)),1+(LEFT(TRIM(INDEX(PASTE_ALL,25,3)),1)="-"),999),LEN(MID(TRIM(INDEX(PASTE_ALL,25,3)),1+(LEFT(TRIM(INDEX(PASTE_ALL,25,3)),1)="-"),999))-(RIGHT(MID(TRIM(INDEX(PASTE_ALL,25,3)),1+(LEFT(TRIM(INDEX(PASTE_ALL,25,3)),1)="-"),999),1)="%"))&lt;&gt;"",SUBSTITUTE(SUBSTITUTE(SUBSTITUTE(SUBSTITUTE(SUBSTITUTE(SUBSTITUTE(SUBSTITUTE(SUBSTITUTE(SUBSTITUTE(SUBSTITUTE(SUBSTITUTE(SUBSTITUTE(LEFT(MID(TRIM(INDEX(PASTE_ALL,25,3)),1+(LEFT(TRIM(INDEX(PASTE_ALL,25,3)),1)="-"),999),LEN(MID(TRIM(INDEX(PASTE_ALL,25,3)),1+(LEFT(TRIM(INDEX(PASTE_ALL,25,3)),1)="-"),999))-(RIGHT(MID(TRIM(INDEX(PASTE_ALL,25,3)),1+(LEFT(TRIM(INDEX(PASTE_ALL,25,3)),1)="-"),999),1)="%")),"0",""),"1",""),"2",""),"3",""),"4",""),"5",""),"6",""),"7",""),"8",""),"9",""),".",""),",","")=""),2,1))),1)</f>
        <v/>
      </c>
      <c r="AB74">
        <f>IFERROR(IF(ISNUMBER(INDEX(PASTE_ALL,25,4)),2,IF(TRIM(INDEX(PASTE_ALL,25,4))="",0,IF(AND(LEFT(MID(TRIM(INDEX(PASTE_ALL,25,4)),1+(LEFT(TRIM(INDEX(PASTE_ALL,25,4)),1)="-"),999),LEN(MID(TRIM(INDEX(PASTE_ALL,25,4)),1+(LEFT(TRIM(INDEX(PASTE_ALL,25,4)),1)="-"),999))-(RIGHT(MID(TRIM(INDEX(PASTE_ALL,25,4)),1+(LEFT(TRIM(INDEX(PASTE_ALL,25,4)),1)="-"),999),1)="%"))&lt;&gt;"",SUBSTITUTE(SUBSTITUTE(SUBSTITUTE(SUBSTITUTE(SUBSTITUTE(SUBSTITUTE(SUBSTITUTE(SUBSTITUTE(SUBSTITUTE(SUBSTITUTE(SUBSTITUTE(SUBSTITUTE(LEFT(MID(TRIM(INDEX(PASTE_ALL,25,4)),1+(LEFT(TRIM(INDEX(PASTE_ALL,25,4)),1)="-"),999),LEN(MID(TRIM(INDEX(PASTE_ALL,25,4)),1+(LEFT(TRIM(INDEX(PASTE_ALL,25,4)),1)="-"),999))-(RIGHT(MID(TRIM(INDEX(PASTE_ALL,25,4)),1+(LEFT(TRIM(INDEX(PASTE_ALL,25,4)),1)="-"),999),1)="%")),"0",""),"1",""),"2",""),"3",""),"4",""),"5",""),"6",""),"7",""),"8",""),"9",""),".",""),",","")=""),2,1))),1)</f>
        <v/>
      </c>
      <c r="AC74">
        <f>IFERROR(IF(ISNUMBER(INDEX(PASTE_ALL,25,5)),2,IF(TRIM(INDEX(PASTE_ALL,25,5))="",0,IF(AND(LEFT(MID(TRIM(INDEX(PASTE_ALL,25,5)),1+(LEFT(TRIM(INDEX(PASTE_ALL,25,5)),1)="-"),999),LEN(MID(TRIM(INDEX(PASTE_ALL,25,5)),1+(LEFT(TRIM(INDEX(PASTE_ALL,25,5)),1)="-"),999))-(RIGHT(MID(TRIM(INDEX(PASTE_ALL,25,5)),1+(LEFT(TRIM(INDEX(PASTE_ALL,25,5)),1)="-"),999),1)="%"))&lt;&gt;"",SUBSTITUTE(SUBSTITUTE(SUBSTITUTE(SUBSTITUTE(SUBSTITUTE(SUBSTITUTE(SUBSTITUTE(SUBSTITUTE(SUBSTITUTE(SUBSTITUTE(SUBSTITUTE(SUBSTITUTE(LEFT(MID(TRIM(INDEX(PASTE_ALL,25,5)),1+(LEFT(TRIM(INDEX(PASTE_ALL,25,5)),1)="-"),999),LEN(MID(TRIM(INDEX(PASTE_ALL,25,5)),1+(LEFT(TRIM(INDEX(PASTE_ALL,25,5)),1)="-"),999))-(RIGHT(MID(TRIM(INDEX(PASTE_ALL,25,5)),1+(LEFT(TRIM(INDEX(PASTE_ALL,25,5)),1)="-"),999),1)="%")),"0",""),"1",""),"2",""),"3",""),"4",""),"5",""),"6",""),"7",""),"8",""),"9",""),".",""),",","")=""),2,1))),1)</f>
        <v/>
      </c>
      <c r="AD74">
        <f>IFERROR(IF(ISNUMBER(INDEX(PASTE_ALL,25,6)),2,IF(TRIM(INDEX(PASTE_ALL,25,6))="",0,IF(AND(LEFT(MID(TRIM(INDEX(PASTE_ALL,25,6)),1+(LEFT(TRIM(INDEX(PASTE_ALL,25,6)),1)="-"),999),LEN(MID(TRIM(INDEX(PASTE_ALL,25,6)),1+(LEFT(TRIM(INDEX(PASTE_ALL,25,6)),1)="-"),999))-(RIGHT(MID(TRIM(INDEX(PASTE_ALL,25,6)),1+(LEFT(TRIM(INDEX(PASTE_ALL,25,6)),1)="-"),999),1)="%"))&lt;&gt;"",SUBSTITUTE(SUBSTITUTE(SUBSTITUTE(SUBSTITUTE(SUBSTITUTE(SUBSTITUTE(SUBSTITUTE(SUBSTITUTE(SUBSTITUTE(SUBSTITUTE(SUBSTITUTE(SUBSTITUTE(LEFT(MID(TRIM(INDEX(PASTE_ALL,25,6)),1+(LEFT(TRIM(INDEX(PASTE_ALL,25,6)),1)="-"),999),LEN(MID(TRIM(INDEX(PASTE_ALL,25,6)),1+(LEFT(TRIM(INDEX(PASTE_ALL,25,6)),1)="-"),999))-(RIGHT(MID(TRIM(INDEX(PASTE_ALL,25,6)),1+(LEFT(TRIM(INDEX(PASTE_ALL,25,6)),1)="-"),999),1)="%")),"0",""),"1",""),"2",""),"3",""),"4",""),"5",""),"6",""),"7",""),"8",""),"9",""),".",""),",","")=""),2,1))),1)</f>
        <v/>
      </c>
      <c r="AE74">
        <f>IFERROR(IF(ISNUMBER(INDEX(PASTE_ALL,25,7)),2,IF(TRIM(INDEX(PASTE_ALL,25,7))="",0,IF(AND(LEFT(MID(TRIM(INDEX(PASTE_ALL,25,7)),1+(LEFT(TRIM(INDEX(PASTE_ALL,25,7)),1)="-"),999),LEN(MID(TRIM(INDEX(PASTE_ALL,25,7)),1+(LEFT(TRIM(INDEX(PASTE_ALL,25,7)),1)="-"),999))-(RIGHT(MID(TRIM(INDEX(PASTE_ALL,25,7)),1+(LEFT(TRIM(INDEX(PASTE_ALL,25,7)),1)="-"),999),1)="%"))&lt;&gt;"",SUBSTITUTE(SUBSTITUTE(SUBSTITUTE(SUBSTITUTE(SUBSTITUTE(SUBSTITUTE(SUBSTITUTE(SUBSTITUTE(SUBSTITUTE(SUBSTITUTE(SUBSTITUTE(SUBSTITUTE(LEFT(MID(TRIM(INDEX(PASTE_ALL,25,7)),1+(LEFT(TRIM(INDEX(PASTE_ALL,25,7)),1)="-"),999),LEN(MID(TRIM(INDEX(PASTE_ALL,25,7)),1+(LEFT(TRIM(INDEX(PASTE_ALL,25,7)),1)="-"),999))-(RIGHT(MID(TRIM(INDEX(PASTE_ALL,25,7)),1+(LEFT(TRIM(INDEX(PASTE_ALL,25,7)),1)="-"),999),1)="%")),"0",""),"1",""),"2",""),"3",""),"4",""),"5",""),"6",""),"7",""),"8",""),"9",""),".",""),",","")=""),2,1))),1)</f>
        <v/>
      </c>
      <c r="AF74">
        <f>IFERROR(IF(ISNUMBER(INDEX(PASTE_ALL,25,8)),2,IF(TRIM(INDEX(PASTE_ALL,25,8))="",0,IF(AND(LEFT(MID(TRIM(INDEX(PASTE_ALL,25,8)),1+(LEFT(TRIM(INDEX(PASTE_ALL,25,8)),1)="-"),999),LEN(MID(TRIM(INDEX(PASTE_ALL,25,8)),1+(LEFT(TRIM(INDEX(PASTE_ALL,25,8)),1)="-"),999))-(RIGHT(MID(TRIM(INDEX(PASTE_ALL,25,8)),1+(LEFT(TRIM(INDEX(PASTE_ALL,25,8)),1)="-"),999),1)="%"))&lt;&gt;"",SUBSTITUTE(SUBSTITUTE(SUBSTITUTE(SUBSTITUTE(SUBSTITUTE(SUBSTITUTE(SUBSTITUTE(SUBSTITUTE(SUBSTITUTE(SUBSTITUTE(SUBSTITUTE(SUBSTITUTE(LEFT(MID(TRIM(INDEX(PASTE_ALL,25,8)),1+(LEFT(TRIM(INDEX(PASTE_ALL,25,8)),1)="-"),999),LEN(MID(TRIM(INDEX(PASTE_ALL,25,8)),1+(LEFT(TRIM(INDEX(PASTE_ALL,25,8)),1)="-"),999))-(RIGHT(MID(TRIM(INDEX(PASTE_ALL,25,8)),1+(LEFT(TRIM(INDEX(PASTE_ALL,25,8)),1)="-"),999),1)="%")),"0",""),"1",""),"2",""),"3",""),"4",""),"5",""),"6",""),"7",""),"8",""),"9",""),".",""),",","")=""),2,1))),1)</f>
        <v/>
      </c>
      <c r="AG74">
        <f>IFERROR(IF(ISNUMBER(INDEX(PASTE_ALL,25,9)),2,IF(TRIM(INDEX(PASTE_ALL,25,9))="",0,IF(AND(LEFT(MID(TRIM(INDEX(PASTE_ALL,25,9)),1+(LEFT(TRIM(INDEX(PASTE_ALL,25,9)),1)="-"),999),LEN(MID(TRIM(INDEX(PASTE_ALL,25,9)),1+(LEFT(TRIM(INDEX(PASTE_ALL,25,9)),1)="-"),999))-(RIGHT(MID(TRIM(INDEX(PASTE_ALL,25,9)),1+(LEFT(TRIM(INDEX(PASTE_ALL,25,9)),1)="-"),999),1)="%"))&lt;&gt;"",SUBSTITUTE(SUBSTITUTE(SUBSTITUTE(SUBSTITUTE(SUBSTITUTE(SUBSTITUTE(SUBSTITUTE(SUBSTITUTE(SUBSTITUTE(SUBSTITUTE(SUBSTITUTE(SUBSTITUTE(LEFT(MID(TRIM(INDEX(PASTE_ALL,25,9)),1+(LEFT(TRIM(INDEX(PASTE_ALL,25,9)),1)="-"),999),LEN(MID(TRIM(INDEX(PASTE_ALL,25,9)),1+(LEFT(TRIM(INDEX(PASTE_ALL,25,9)),1)="-"),999))-(RIGHT(MID(TRIM(INDEX(PASTE_ALL,25,9)),1+(LEFT(TRIM(INDEX(PASTE_ALL,25,9)),1)="-"),999),1)="%")),"0",""),"1",""),"2",""),"3",""),"4",""),"5",""),"6",""),"7",""),"8",""),"9",""),".",""),",","")=""),2,1))),1)</f>
        <v/>
      </c>
      <c r="AH74">
        <f>IFERROR(IF(ISNUMBER(INDEX(PASTE_ALL,25,10)),2,IF(TRIM(INDEX(PASTE_ALL,25,10))="",0,IF(AND(LEFT(MID(TRIM(INDEX(PASTE_ALL,25,10)),1+(LEFT(TRIM(INDEX(PASTE_ALL,25,10)),1)="-"),999),LEN(MID(TRIM(INDEX(PASTE_ALL,25,10)),1+(LEFT(TRIM(INDEX(PASTE_ALL,25,10)),1)="-"),999))-(RIGHT(MID(TRIM(INDEX(PASTE_ALL,25,10)),1+(LEFT(TRIM(INDEX(PASTE_ALL,25,10)),1)="-"),999),1)="%"))&lt;&gt;"",SUBSTITUTE(SUBSTITUTE(SUBSTITUTE(SUBSTITUTE(SUBSTITUTE(SUBSTITUTE(SUBSTITUTE(SUBSTITUTE(SUBSTITUTE(SUBSTITUTE(SUBSTITUTE(SUBSTITUTE(LEFT(MID(TRIM(INDEX(PASTE_ALL,25,10)),1+(LEFT(TRIM(INDEX(PASTE_ALL,25,10)),1)="-"),999),LEN(MID(TRIM(INDEX(PASTE_ALL,25,10)),1+(LEFT(TRIM(INDEX(PASTE_ALL,25,10)),1)="-"),999))-(RIGHT(MID(TRIM(INDEX(PASTE_ALL,25,10)),1+(LEFT(TRIM(INDEX(PASTE_ALL,25,10)),1)="-"),999),1)="%")),"0",""),"1",""),"2",""),"3",""),"4",""),"5",""),"6",""),"7",""),"8",""),"9",""),".",""),",","")=""),2,1))),1)</f>
        <v/>
      </c>
      <c r="AI74">
        <f>IFERROR(IF(ISNUMBER(INDEX(PASTE_ALL,25,11)),2,IF(TRIM(INDEX(PASTE_ALL,25,11))="",0,IF(AND(LEFT(MID(TRIM(INDEX(PASTE_ALL,25,11)),1+(LEFT(TRIM(INDEX(PASTE_ALL,25,11)),1)="-"),999),LEN(MID(TRIM(INDEX(PASTE_ALL,25,11)),1+(LEFT(TRIM(INDEX(PASTE_ALL,25,11)),1)="-"),999))-(RIGHT(MID(TRIM(INDEX(PASTE_ALL,25,11)),1+(LEFT(TRIM(INDEX(PASTE_ALL,25,11)),1)="-"),999),1)="%"))&lt;&gt;"",SUBSTITUTE(SUBSTITUTE(SUBSTITUTE(SUBSTITUTE(SUBSTITUTE(SUBSTITUTE(SUBSTITUTE(SUBSTITUTE(SUBSTITUTE(SUBSTITUTE(SUBSTITUTE(SUBSTITUTE(LEFT(MID(TRIM(INDEX(PASTE_ALL,25,11)),1+(LEFT(TRIM(INDEX(PASTE_ALL,25,11)),1)="-"),999),LEN(MID(TRIM(INDEX(PASTE_ALL,25,11)),1+(LEFT(TRIM(INDEX(PASTE_ALL,25,11)),1)="-"),999))-(RIGHT(MID(TRIM(INDEX(PASTE_ALL,25,11)),1+(LEFT(TRIM(INDEX(PASTE_ALL,25,11)),1)="-"),999),1)="%")),"0",""),"1",""),"2",""),"3",""),"4",""),"5",""),"6",""),"7",""),"8",""),"9",""),".",""),",","")=""),2,1))),1)</f>
        <v/>
      </c>
      <c r="AJ74">
        <f>IFERROR(IF(ISNUMBER(INDEX(PASTE_ALL,25,12)),2,IF(TRIM(INDEX(PASTE_ALL,25,12))="",0,IF(AND(LEFT(MID(TRIM(INDEX(PASTE_ALL,25,12)),1+(LEFT(TRIM(INDEX(PASTE_ALL,25,12)),1)="-"),999),LEN(MID(TRIM(INDEX(PASTE_ALL,25,12)),1+(LEFT(TRIM(INDEX(PASTE_ALL,25,12)),1)="-"),999))-(RIGHT(MID(TRIM(INDEX(PASTE_ALL,25,12)),1+(LEFT(TRIM(INDEX(PASTE_ALL,25,12)),1)="-"),999),1)="%"))&lt;&gt;"",SUBSTITUTE(SUBSTITUTE(SUBSTITUTE(SUBSTITUTE(SUBSTITUTE(SUBSTITUTE(SUBSTITUTE(SUBSTITUTE(SUBSTITUTE(SUBSTITUTE(SUBSTITUTE(SUBSTITUTE(LEFT(MID(TRIM(INDEX(PASTE_ALL,25,12)),1+(LEFT(TRIM(INDEX(PASTE_ALL,25,12)),1)="-"),999),LEN(MID(TRIM(INDEX(PASTE_ALL,25,12)),1+(LEFT(TRIM(INDEX(PASTE_ALL,25,12)),1)="-"),999))-(RIGHT(MID(TRIM(INDEX(PASTE_ALL,25,12)),1+(LEFT(TRIM(INDEX(PASTE_ALL,25,12)),1)="-"),999),1)="%")),"0",""),"1",""),"2",""),"3",""),"4",""),"5",""),"6",""),"7",""),"8",""),"9",""),".",""),",","")=""),2,1))),1)</f>
        <v/>
      </c>
      <c r="AK74">
        <f>IFERROR(IF(ISNUMBER(INDEX(PASTE_ALL,25,13)),2,IF(TRIM(INDEX(PASTE_ALL,25,13))="",0,IF(AND(LEFT(MID(TRIM(INDEX(PASTE_ALL,25,13)),1+(LEFT(TRIM(INDEX(PASTE_ALL,25,13)),1)="-"),999),LEN(MID(TRIM(INDEX(PASTE_ALL,25,13)),1+(LEFT(TRIM(INDEX(PASTE_ALL,25,13)),1)="-"),999))-(RIGHT(MID(TRIM(INDEX(PASTE_ALL,25,13)),1+(LEFT(TRIM(INDEX(PASTE_ALL,25,13)),1)="-"),999),1)="%"))&lt;&gt;"",SUBSTITUTE(SUBSTITUTE(SUBSTITUTE(SUBSTITUTE(SUBSTITUTE(SUBSTITUTE(SUBSTITUTE(SUBSTITUTE(SUBSTITUTE(SUBSTITUTE(SUBSTITUTE(SUBSTITUTE(LEFT(MID(TRIM(INDEX(PASTE_ALL,25,13)),1+(LEFT(TRIM(INDEX(PASTE_ALL,25,13)),1)="-"),999),LEN(MID(TRIM(INDEX(PASTE_ALL,25,13)),1+(LEFT(TRIM(INDEX(PASTE_ALL,25,13)),1)="-"),999))-(RIGHT(MID(TRIM(INDEX(PASTE_ALL,25,13)),1+(LEFT(TRIM(INDEX(PASTE_ALL,25,13)),1)="-"),999),1)="%")),"0",""),"1",""),"2",""),"3",""),"4",""),"5",""),"6",""),"7",""),"8",""),"9",""),".",""),",","")=""),2,1))),1)</f>
        <v/>
      </c>
      <c r="AL74">
        <f>IFERROR(IF(ISNUMBER(INDEX(PASTE_ALL,25,14)),2,IF(TRIM(INDEX(PASTE_ALL,25,14))="",0,IF(AND(LEFT(MID(TRIM(INDEX(PASTE_ALL,25,14)),1+(LEFT(TRIM(INDEX(PASTE_ALL,25,14)),1)="-"),999),LEN(MID(TRIM(INDEX(PASTE_ALL,25,14)),1+(LEFT(TRIM(INDEX(PASTE_ALL,25,14)),1)="-"),999))-(RIGHT(MID(TRIM(INDEX(PASTE_ALL,25,14)),1+(LEFT(TRIM(INDEX(PASTE_ALL,25,14)),1)="-"),999),1)="%"))&lt;&gt;"",SUBSTITUTE(SUBSTITUTE(SUBSTITUTE(SUBSTITUTE(SUBSTITUTE(SUBSTITUTE(SUBSTITUTE(SUBSTITUTE(SUBSTITUTE(SUBSTITUTE(SUBSTITUTE(SUBSTITUTE(LEFT(MID(TRIM(INDEX(PASTE_ALL,25,14)),1+(LEFT(TRIM(INDEX(PASTE_ALL,25,14)),1)="-"),999),LEN(MID(TRIM(INDEX(PASTE_ALL,25,14)),1+(LEFT(TRIM(INDEX(PASTE_ALL,25,14)),1)="-"),999))-(RIGHT(MID(TRIM(INDEX(PASTE_ALL,25,14)),1+(LEFT(TRIM(INDEX(PASTE_ALL,25,14)),1)="-"),999),1)="%")),"0",""),"1",""),"2",""),"3",""),"4",""),"5",""),"6",""),"7",""),"8",""),"9",""),".",""),",","")=""),2,1))),1)</f>
        <v/>
      </c>
      <c r="AM74">
        <f>IFERROR(IF(ISNUMBER(INDEX(PASTE_ALL,25,15)),2,IF(TRIM(INDEX(PASTE_ALL,25,15))="",0,IF(AND(LEFT(MID(TRIM(INDEX(PASTE_ALL,25,15)),1+(LEFT(TRIM(INDEX(PASTE_ALL,25,15)),1)="-"),999),LEN(MID(TRIM(INDEX(PASTE_ALL,25,15)),1+(LEFT(TRIM(INDEX(PASTE_ALL,25,15)),1)="-"),999))-(RIGHT(MID(TRIM(INDEX(PASTE_ALL,25,15)),1+(LEFT(TRIM(INDEX(PASTE_ALL,25,15)),1)="-"),999),1)="%"))&lt;&gt;"",SUBSTITUTE(SUBSTITUTE(SUBSTITUTE(SUBSTITUTE(SUBSTITUTE(SUBSTITUTE(SUBSTITUTE(SUBSTITUTE(SUBSTITUTE(SUBSTITUTE(SUBSTITUTE(SUBSTITUTE(LEFT(MID(TRIM(INDEX(PASTE_ALL,25,15)),1+(LEFT(TRIM(INDEX(PASTE_ALL,25,15)),1)="-"),999),LEN(MID(TRIM(INDEX(PASTE_ALL,25,15)),1+(LEFT(TRIM(INDEX(PASTE_ALL,25,15)),1)="-"),999))-(RIGHT(MID(TRIM(INDEX(PASTE_ALL,25,15)),1+(LEFT(TRIM(INDEX(PASTE_ALL,25,15)),1)="-"),999),1)="%")),"0",""),"1",""),"2",""),"3",""),"4",""),"5",""),"6",""),"7",""),"8",""),"9",""),".",""),",","")=""),2,1))),1)</f>
        <v/>
      </c>
      <c r="AN74">
        <f>IFERROR(IF(ISNUMBER(INDEX(PASTE_ALL,25,16)),2,IF(TRIM(INDEX(PASTE_ALL,25,16))="",0,IF(AND(LEFT(MID(TRIM(INDEX(PASTE_ALL,25,16)),1+(LEFT(TRIM(INDEX(PASTE_ALL,25,16)),1)="-"),999),LEN(MID(TRIM(INDEX(PASTE_ALL,25,16)),1+(LEFT(TRIM(INDEX(PASTE_ALL,25,16)),1)="-"),999))-(RIGHT(MID(TRIM(INDEX(PASTE_ALL,25,16)),1+(LEFT(TRIM(INDEX(PASTE_ALL,25,16)),1)="-"),999),1)="%"))&lt;&gt;"",SUBSTITUTE(SUBSTITUTE(SUBSTITUTE(SUBSTITUTE(SUBSTITUTE(SUBSTITUTE(SUBSTITUTE(SUBSTITUTE(SUBSTITUTE(SUBSTITUTE(SUBSTITUTE(SUBSTITUTE(LEFT(MID(TRIM(INDEX(PASTE_ALL,25,16)),1+(LEFT(TRIM(INDEX(PASTE_ALL,25,16)),1)="-"),999),LEN(MID(TRIM(INDEX(PASTE_ALL,25,16)),1+(LEFT(TRIM(INDEX(PASTE_ALL,25,16)),1)="-"),999))-(RIGHT(MID(TRIM(INDEX(PASTE_ALL,25,16)),1+(LEFT(TRIM(INDEX(PASTE_ALL,25,16)),1)="-"),999),1)="%")),"0",""),"1",""),"2",""),"3",""),"4",""),"5",""),"6",""),"7",""),"8",""),"9",""),".",""),",","")=""),2,1))),1)</f>
        <v/>
      </c>
      <c r="AO74">
        <f>IFERROR(IF(ISNUMBER(INDEX(PASTE_ALL,25,17)),2,IF(TRIM(INDEX(PASTE_ALL,25,17))="",0,IF(AND(LEFT(MID(TRIM(INDEX(PASTE_ALL,25,17)),1+(LEFT(TRIM(INDEX(PASTE_ALL,25,17)),1)="-"),999),LEN(MID(TRIM(INDEX(PASTE_ALL,25,17)),1+(LEFT(TRIM(INDEX(PASTE_ALL,25,17)),1)="-"),999))-(RIGHT(MID(TRIM(INDEX(PASTE_ALL,25,17)),1+(LEFT(TRIM(INDEX(PASTE_ALL,25,17)),1)="-"),999),1)="%"))&lt;&gt;"",SUBSTITUTE(SUBSTITUTE(SUBSTITUTE(SUBSTITUTE(SUBSTITUTE(SUBSTITUTE(SUBSTITUTE(SUBSTITUTE(SUBSTITUTE(SUBSTITUTE(SUBSTITUTE(SUBSTITUTE(LEFT(MID(TRIM(INDEX(PASTE_ALL,25,17)),1+(LEFT(TRIM(INDEX(PASTE_ALL,25,17)),1)="-"),999),LEN(MID(TRIM(INDEX(PASTE_ALL,25,17)),1+(LEFT(TRIM(INDEX(PASTE_ALL,25,17)),1)="-"),999))-(RIGHT(MID(TRIM(INDEX(PASTE_ALL,25,17)),1+(LEFT(TRIM(INDEX(PASTE_ALL,25,17)),1)="-"),999),1)="%")),"0",""),"1",""),"2",""),"3",""),"4",""),"5",""),"6",""),"7",""),"8",""),"9",""),".",""),",","")=""),2,1))),1)</f>
        <v/>
      </c>
      <c r="AP74">
        <f>IFERROR(IF(ISNUMBER(INDEX(PASTE_ALL,25,18)),2,IF(TRIM(INDEX(PASTE_ALL,25,18))="",0,IF(AND(LEFT(MID(TRIM(INDEX(PASTE_ALL,25,18)),1+(LEFT(TRIM(INDEX(PASTE_ALL,25,18)),1)="-"),999),LEN(MID(TRIM(INDEX(PASTE_ALL,25,18)),1+(LEFT(TRIM(INDEX(PASTE_ALL,25,18)),1)="-"),999))-(RIGHT(MID(TRIM(INDEX(PASTE_ALL,25,18)),1+(LEFT(TRIM(INDEX(PASTE_ALL,25,18)),1)="-"),999),1)="%"))&lt;&gt;"",SUBSTITUTE(SUBSTITUTE(SUBSTITUTE(SUBSTITUTE(SUBSTITUTE(SUBSTITUTE(SUBSTITUTE(SUBSTITUTE(SUBSTITUTE(SUBSTITUTE(SUBSTITUTE(SUBSTITUTE(LEFT(MID(TRIM(INDEX(PASTE_ALL,25,18)),1+(LEFT(TRIM(INDEX(PASTE_ALL,25,18)),1)="-"),999),LEN(MID(TRIM(INDEX(PASTE_ALL,25,18)),1+(LEFT(TRIM(INDEX(PASTE_ALL,25,18)),1)="-"),999))-(RIGHT(MID(TRIM(INDEX(PASTE_ALL,25,18)),1+(LEFT(TRIM(INDEX(PASTE_ALL,25,18)),1)="-"),999),1)="%")),"0",""),"1",""),"2",""),"3",""),"4",""),"5",""),"6",""),"7",""),"8",""),"9",""),".",""),",","")=""),2,1))),1)</f>
        <v/>
      </c>
      <c r="AQ74">
        <f>IFERROR(IF(ISNUMBER(INDEX(PASTE_ALL,25,19)),2,IF(TRIM(INDEX(PASTE_ALL,25,19))="",0,IF(AND(LEFT(MID(TRIM(INDEX(PASTE_ALL,25,19)),1+(LEFT(TRIM(INDEX(PASTE_ALL,25,19)),1)="-"),999),LEN(MID(TRIM(INDEX(PASTE_ALL,25,19)),1+(LEFT(TRIM(INDEX(PASTE_ALL,25,19)),1)="-"),999))-(RIGHT(MID(TRIM(INDEX(PASTE_ALL,25,19)),1+(LEFT(TRIM(INDEX(PASTE_ALL,25,19)),1)="-"),999),1)="%"))&lt;&gt;"",SUBSTITUTE(SUBSTITUTE(SUBSTITUTE(SUBSTITUTE(SUBSTITUTE(SUBSTITUTE(SUBSTITUTE(SUBSTITUTE(SUBSTITUTE(SUBSTITUTE(SUBSTITUTE(SUBSTITUTE(LEFT(MID(TRIM(INDEX(PASTE_ALL,25,19)),1+(LEFT(TRIM(INDEX(PASTE_ALL,25,19)),1)="-"),999),LEN(MID(TRIM(INDEX(PASTE_ALL,25,19)),1+(LEFT(TRIM(INDEX(PASTE_ALL,25,19)),1)="-"),999))-(RIGHT(MID(TRIM(INDEX(PASTE_ALL,25,19)),1+(LEFT(TRIM(INDEX(PASTE_ALL,25,19)),1)="-"),999),1)="%")),"0",""),"1",""),"2",""),"3",""),"4",""),"5",""),"6",""),"7",""),"8",""),"9",""),".",""),",","")=""),2,1))),1)</f>
        <v/>
      </c>
      <c r="AR74">
        <f>IFERROR(IF(ISNUMBER(INDEX(PASTE_ALL,25,20)),2,IF(TRIM(INDEX(PASTE_ALL,25,20))="",0,IF(AND(LEFT(MID(TRIM(INDEX(PASTE_ALL,25,20)),1+(LEFT(TRIM(INDEX(PASTE_ALL,25,20)),1)="-"),999),LEN(MID(TRIM(INDEX(PASTE_ALL,25,20)),1+(LEFT(TRIM(INDEX(PASTE_ALL,25,20)),1)="-"),999))-(RIGHT(MID(TRIM(INDEX(PASTE_ALL,25,20)),1+(LEFT(TRIM(INDEX(PASTE_ALL,25,20)),1)="-"),999),1)="%"))&lt;&gt;"",SUBSTITUTE(SUBSTITUTE(SUBSTITUTE(SUBSTITUTE(SUBSTITUTE(SUBSTITUTE(SUBSTITUTE(SUBSTITUTE(SUBSTITUTE(SUBSTITUTE(SUBSTITUTE(SUBSTITUTE(LEFT(MID(TRIM(INDEX(PASTE_ALL,25,20)),1+(LEFT(TRIM(INDEX(PASTE_ALL,25,20)),1)="-"),999),LEN(MID(TRIM(INDEX(PASTE_ALL,25,20)),1+(LEFT(TRIM(INDEX(PASTE_ALL,25,20)),1)="-"),999))-(RIGHT(MID(TRIM(INDEX(PASTE_ALL,25,20)),1+(LEFT(TRIM(INDEX(PASTE_ALL,25,20)),1)="-"),999),1)="%")),"0",""),"1",""),"2",""),"3",""),"4",""),"5",""),"6",""),"7",""),"8",""),"9",""),".",""),",","")=""),2,1))),1)</f>
        <v/>
      </c>
      <c r="AS74">
        <f>IFERROR(IF(ISNUMBER(INDEX(PASTE_ALL,25,21)),2,IF(TRIM(INDEX(PASTE_ALL,25,21))="",0,IF(AND(LEFT(MID(TRIM(INDEX(PASTE_ALL,25,21)),1+(LEFT(TRIM(INDEX(PASTE_ALL,25,21)),1)="-"),999),LEN(MID(TRIM(INDEX(PASTE_ALL,25,21)),1+(LEFT(TRIM(INDEX(PASTE_ALL,25,21)),1)="-"),999))-(RIGHT(MID(TRIM(INDEX(PASTE_ALL,25,21)),1+(LEFT(TRIM(INDEX(PASTE_ALL,25,21)),1)="-"),999),1)="%"))&lt;&gt;"",SUBSTITUTE(SUBSTITUTE(SUBSTITUTE(SUBSTITUTE(SUBSTITUTE(SUBSTITUTE(SUBSTITUTE(SUBSTITUTE(SUBSTITUTE(SUBSTITUTE(SUBSTITUTE(SUBSTITUTE(LEFT(MID(TRIM(INDEX(PASTE_ALL,25,21)),1+(LEFT(TRIM(INDEX(PASTE_ALL,25,21)),1)="-"),999),LEN(MID(TRIM(INDEX(PASTE_ALL,25,21)),1+(LEFT(TRIM(INDEX(PASTE_ALL,25,21)),1)="-"),999))-(RIGHT(MID(TRIM(INDEX(PASTE_ALL,25,21)),1+(LEFT(TRIM(INDEX(PASTE_ALL,25,21)),1)="-"),999),1)="%")),"0",""),"1",""),"2",""),"3",""),"4",""),"5",""),"6",""),"7",""),"8",""),"9",""),".",""),",","")=""),2,1))),1)</f>
        <v/>
      </c>
      <c r="AT74">
        <f>IFERROR(IF(ISNUMBER(INDEX(PASTE_ALL,25,22)),2,IF(TRIM(INDEX(PASTE_ALL,25,22))="",0,IF(AND(LEFT(MID(TRIM(INDEX(PASTE_ALL,25,22)),1+(LEFT(TRIM(INDEX(PASTE_ALL,25,22)),1)="-"),999),LEN(MID(TRIM(INDEX(PASTE_ALL,25,22)),1+(LEFT(TRIM(INDEX(PASTE_ALL,25,22)),1)="-"),999))-(RIGHT(MID(TRIM(INDEX(PASTE_ALL,25,22)),1+(LEFT(TRIM(INDEX(PASTE_ALL,25,22)),1)="-"),999),1)="%"))&lt;&gt;"",SUBSTITUTE(SUBSTITUTE(SUBSTITUTE(SUBSTITUTE(SUBSTITUTE(SUBSTITUTE(SUBSTITUTE(SUBSTITUTE(SUBSTITUTE(SUBSTITUTE(SUBSTITUTE(SUBSTITUTE(LEFT(MID(TRIM(INDEX(PASTE_ALL,25,22)),1+(LEFT(TRIM(INDEX(PASTE_ALL,25,22)),1)="-"),999),LEN(MID(TRIM(INDEX(PASTE_ALL,25,22)),1+(LEFT(TRIM(INDEX(PASTE_ALL,25,22)),1)="-"),999))-(RIGHT(MID(TRIM(INDEX(PASTE_ALL,25,22)),1+(LEFT(TRIM(INDEX(PASTE_ALL,25,22)),1)="-"),999),1)="%")),"0",""),"1",""),"2",""),"3",""),"4",""),"5",""),"6",""),"7",""),"8",""),"9",""),".",""),",","")=""),2,1))),1)</f>
        <v/>
      </c>
      <c r="AU74">
        <f>IFERROR(IF(ISNUMBER(INDEX(PASTE_ALL,25,23)),2,IF(TRIM(INDEX(PASTE_ALL,25,23))="",0,IF(AND(LEFT(MID(TRIM(INDEX(PASTE_ALL,25,23)),1+(LEFT(TRIM(INDEX(PASTE_ALL,25,23)),1)="-"),999),LEN(MID(TRIM(INDEX(PASTE_ALL,25,23)),1+(LEFT(TRIM(INDEX(PASTE_ALL,25,23)),1)="-"),999))-(RIGHT(MID(TRIM(INDEX(PASTE_ALL,25,23)),1+(LEFT(TRIM(INDEX(PASTE_ALL,25,23)),1)="-"),999),1)="%"))&lt;&gt;"",SUBSTITUTE(SUBSTITUTE(SUBSTITUTE(SUBSTITUTE(SUBSTITUTE(SUBSTITUTE(SUBSTITUTE(SUBSTITUTE(SUBSTITUTE(SUBSTITUTE(SUBSTITUTE(SUBSTITUTE(LEFT(MID(TRIM(INDEX(PASTE_ALL,25,23)),1+(LEFT(TRIM(INDEX(PASTE_ALL,25,23)),1)="-"),999),LEN(MID(TRIM(INDEX(PASTE_ALL,25,23)),1+(LEFT(TRIM(INDEX(PASTE_ALL,25,23)),1)="-"),999))-(RIGHT(MID(TRIM(INDEX(PASTE_ALL,25,23)),1+(LEFT(TRIM(INDEX(PASTE_ALL,25,23)),1)="-"),999),1)="%")),"0",""),"1",""),"2",""),"3",""),"4",""),"5",""),"6",""),"7",""),"8",""),"9",""),".",""),",","")=""),2,1))),1)</f>
        <v/>
      </c>
      <c r="AV74">
        <f>IFERROR(IF(ISNUMBER(INDEX(PASTE_ALL,25,24)),2,IF(TRIM(INDEX(PASTE_ALL,25,24))="",0,IF(AND(LEFT(MID(TRIM(INDEX(PASTE_ALL,25,24)),1+(LEFT(TRIM(INDEX(PASTE_ALL,25,24)),1)="-"),999),LEN(MID(TRIM(INDEX(PASTE_ALL,25,24)),1+(LEFT(TRIM(INDEX(PASTE_ALL,25,24)),1)="-"),999))-(RIGHT(MID(TRIM(INDEX(PASTE_ALL,25,24)),1+(LEFT(TRIM(INDEX(PASTE_ALL,25,24)),1)="-"),999),1)="%"))&lt;&gt;"",SUBSTITUTE(SUBSTITUTE(SUBSTITUTE(SUBSTITUTE(SUBSTITUTE(SUBSTITUTE(SUBSTITUTE(SUBSTITUTE(SUBSTITUTE(SUBSTITUTE(SUBSTITUTE(SUBSTITUTE(LEFT(MID(TRIM(INDEX(PASTE_ALL,25,24)),1+(LEFT(TRIM(INDEX(PASTE_ALL,25,24)),1)="-"),999),LEN(MID(TRIM(INDEX(PASTE_ALL,25,24)),1+(LEFT(TRIM(INDEX(PASTE_ALL,25,24)),1)="-"),999))-(RIGHT(MID(TRIM(INDEX(PASTE_ALL,25,24)),1+(LEFT(TRIM(INDEX(PASTE_ALL,25,24)),1)="-"),999),1)="%")),"0",""),"1",""),"2",""),"3",""),"4",""),"5",""),"6",""),"7",""),"8",""),"9",""),".",""),",","")=""),2,1))),1)</f>
        <v/>
      </c>
      <c r="AW74">
        <f>IFERROR(IF(ISNUMBER(INDEX(PASTE_ALL,25,25)),2,IF(TRIM(INDEX(PASTE_ALL,25,25))="",0,IF(AND(LEFT(MID(TRIM(INDEX(PASTE_ALL,25,25)),1+(LEFT(TRIM(INDEX(PASTE_ALL,25,25)),1)="-"),999),LEN(MID(TRIM(INDEX(PASTE_ALL,25,25)),1+(LEFT(TRIM(INDEX(PASTE_ALL,25,25)),1)="-"),999))-(RIGHT(MID(TRIM(INDEX(PASTE_ALL,25,25)),1+(LEFT(TRIM(INDEX(PASTE_ALL,25,25)),1)="-"),999),1)="%"))&lt;&gt;"",SUBSTITUTE(SUBSTITUTE(SUBSTITUTE(SUBSTITUTE(SUBSTITUTE(SUBSTITUTE(SUBSTITUTE(SUBSTITUTE(SUBSTITUTE(SUBSTITUTE(SUBSTITUTE(SUBSTITUTE(LEFT(MID(TRIM(INDEX(PASTE_ALL,25,25)),1+(LEFT(TRIM(INDEX(PASTE_ALL,25,25)),1)="-"),999),LEN(MID(TRIM(INDEX(PASTE_ALL,25,25)),1+(LEFT(TRIM(INDEX(PASTE_ALL,25,25)),1)="-"),999))-(RIGHT(MID(TRIM(INDEX(PASTE_ALL,25,25)),1+(LEFT(TRIM(INDEX(PASTE_ALL,25,25)),1)="-"),999),1)="%")),"0",""),"1",""),"2",""),"3",""),"4",""),"5",""),"6",""),"7",""),"8",""),"9",""),".",""),",","")=""),2,1))),1)</f>
        <v/>
      </c>
      <c r="AX74">
        <f>IFERROR(IF(ISNUMBER(INDEX(PASTE_ALL,25,26)),2,IF(TRIM(INDEX(PASTE_ALL,25,26))="",0,IF(AND(LEFT(MID(TRIM(INDEX(PASTE_ALL,25,26)),1+(LEFT(TRIM(INDEX(PASTE_ALL,25,26)),1)="-"),999),LEN(MID(TRIM(INDEX(PASTE_ALL,25,26)),1+(LEFT(TRIM(INDEX(PASTE_ALL,25,26)),1)="-"),999))-(RIGHT(MID(TRIM(INDEX(PASTE_ALL,25,26)),1+(LEFT(TRIM(INDEX(PASTE_ALL,25,26)),1)="-"),999),1)="%"))&lt;&gt;"",SUBSTITUTE(SUBSTITUTE(SUBSTITUTE(SUBSTITUTE(SUBSTITUTE(SUBSTITUTE(SUBSTITUTE(SUBSTITUTE(SUBSTITUTE(SUBSTITUTE(SUBSTITUTE(SUBSTITUTE(LEFT(MID(TRIM(INDEX(PASTE_ALL,25,26)),1+(LEFT(TRIM(INDEX(PASTE_ALL,25,26)),1)="-"),999),LEN(MID(TRIM(INDEX(PASTE_ALL,25,26)),1+(LEFT(TRIM(INDEX(PASTE_ALL,25,26)),1)="-"),999))-(RIGHT(MID(TRIM(INDEX(PASTE_ALL,25,26)),1+(LEFT(TRIM(INDEX(PASTE_ALL,25,26)),1)="-"),999),1)="%")),"0",""),"1",""),"2",""),"3",""),"4",""),"5",""),"6",""),"7",""),"8",""),"9",""),".",""),",","")=""),2,1))),1)</f>
        <v/>
      </c>
      <c r="AY74">
        <f>IFERROR(IF(ISNUMBER(INDEX(PASTE_ALL,25,27)),2,IF(TRIM(INDEX(PASTE_ALL,25,27))="",0,IF(AND(LEFT(MID(TRIM(INDEX(PASTE_ALL,25,27)),1+(LEFT(TRIM(INDEX(PASTE_ALL,25,27)),1)="-"),999),LEN(MID(TRIM(INDEX(PASTE_ALL,25,27)),1+(LEFT(TRIM(INDEX(PASTE_ALL,25,27)),1)="-"),999))-(RIGHT(MID(TRIM(INDEX(PASTE_ALL,25,27)),1+(LEFT(TRIM(INDEX(PASTE_ALL,25,27)),1)="-"),999),1)="%"))&lt;&gt;"",SUBSTITUTE(SUBSTITUTE(SUBSTITUTE(SUBSTITUTE(SUBSTITUTE(SUBSTITUTE(SUBSTITUTE(SUBSTITUTE(SUBSTITUTE(SUBSTITUTE(SUBSTITUTE(SUBSTITUTE(LEFT(MID(TRIM(INDEX(PASTE_ALL,25,27)),1+(LEFT(TRIM(INDEX(PASTE_ALL,25,27)),1)="-"),999),LEN(MID(TRIM(INDEX(PASTE_ALL,25,27)),1+(LEFT(TRIM(INDEX(PASTE_ALL,25,27)),1)="-"),999))-(RIGHT(MID(TRIM(INDEX(PASTE_ALL,25,27)),1+(LEFT(TRIM(INDEX(PASTE_ALL,25,27)),1)="-"),999),1)="%")),"0",""),"1",""),"2",""),"3",""),"4",""),"5",""),"6",""),"7",""),"8",""),"9",""),".",""),",","")=""),2,1))),1)</f>
        <v/>
      </c>
      <c r="AZ74">
        <f>IFERROR(IF(ISNUMBER(INDEX(PASTE_ALL,25,28)),2,IF(TRIM(INDEX(PASTE_ALL,25,28))="",0,IF(AND(LEFT(MID(TRIM(INDEX(PASTE_ALL,25,28)),1+(LEFT(TRIM(INDEX(PASTE_ALL,25,28)),1)="-"),999),LEN(MID(TRIM(INDEX(PASTE_ALL,25,28)),1+(LEFT(TRIM(INDEX(PASTE_ALL,25,28)),1)="-"),999))-(RIGHT(MID(TRIM(INDEX(PASTE_ALL,25,28)),1+(LEFT(TRIM(INDEX(PASTE_ALL,25,28)),1)="-"),999),1)="%"))&lt;&gt;"",SUBSTITUTE(SUBSTITUTE(SUBSTITUTE(SUBSTITUTE(SUBSTITUTE(SUBSTITUTE(SUBSTITUTE(SUBSTITUTE(SUBSTITUTE(SUBSTITUTE(SUBSTITUTE(SUBSTITUTE(LEFT(MID(TRIM(INDEX(PASTE_ALL,25,28)),1+(LEFT(TRIM(INDEX(PASTE_ALL,25,28)),1)="-"),999),LEN(MID(TRIM(INDEX(PASTE_ALL,25,28)),1+(LEFT(TRIM(INDEX(PASTE_ALL,25,28)),1)="-"),999))-(RIGHT(MID(TRIM(INDEX(PASTE_ALL,25,28)),1+(LEFT(TRIM(INDEX(PASTE_ALL,25,28)),1)="-"),999),1)="%")),"0",""),"1",""),"2",""),"3",""),"4",""),"5",""),"6",""),"7",""),"8",""),"9",""),".",""),",","")=""),2,1))),1)</f>
        <v/>
      </c>
      <c r="BA74">
        <f>IFERROR(IF(ISNUMBER(INDEX(PASTE_ALL,25,29)),2,IF(TRIM(INDEX(PASTE_ALL,25,29))="",0,IF(AND(LEFT(MID(TRIM(INDEX(PASTE_ALL,25,29)),1+(LEFT(TRIM(INDEX(PASTE_ALL,25,29)),1)="-"),999),LEN(MID(TRIM(INDEX(PASTE_ALL,25,29)),1+(LEFT(TRIM(INDEX(PASTE_ALL,25,29)),1)="-"),999))-(RIGHT(MID(TRIM(INDEX(PASTE_ALL,25,29)),1+(LEFT(TRIM(INDEX(PASTE_ALL,25,29)),1)="-"),999),1)="%"))&lt;&gt;"",SUBSTITUTE(SUBSTITUTE(SUBSTITUTE(SUBSTITUTE(SUBSTITUTE(SUBSTITUTE(SUBSTITUTE(SUBSTITUTE(SUBSTITUTE(SUBSTITUTE(SUBSTITUTE(SUBSTITUTE(LEFT(MID(TRIM(INDEX(PASTE_ALL,25,29)),1+(LEFT(TRIM(INDEX(PASTE_ALL,25,29)),1)="-"),999),LEN(MID(TRIM(INDEX(PASTE_ALL,25,29)),1+(LEFT(TRIM(INDEX(PASTE_ALL,25,29)),1)="-"),999))-(RIGHT(MID(TRIM(INDEX(PASTE_ALL,25,29)),1+(LEFT(TRIM(INDEX(PASTE_ALL,25,29)),1)="-"),999),1)="%")),"0",""),"1",""),"2",""),"3",""),"4",""),"5",""),"6",""),"7",""),"8",""),"9",""),".",""),",","")=""),2,1))),1)</f>
        <v/>
      </c>
      <c r="BB74">
        <f>IFERROR(IF(ISNUMBER(INDEX(PASTE_ALL,25,30)),2,IF(TRIM(INDEX(PASTE_ALL,25,30))="",0,IF(AND(LEFT(MID(TRIM(INDEX(PASTE_ALL,25,30)),1+(LEFT(TRIM(INDEX(PASTE_ALL,25,30)),1)="-"),999),LEN(MID(TRIM(INDEX(PASTE_ALL,25,30)),1+(LEFT(TRIM(INDEX(PASTE_ALL,25,30)),1)="-"),999))-(RIGHT(MID(TRIM(INDEX(PASTE_ALL,25,30)),1+(LEFT(TRIM(INDEX(PASTE_ALL,25,30)),1)="-"),999),1)="%"))&lt;&gt;"",SUBSTITUTE(SUBSTITUTE(SUBSTITUTE(SUBSTITUTE(SUBSTITUTE(SUBSTITUTE(SUBSTITUTE(SUBSTITUTE(SUBSTITUTE(SUBSTITUTE(SUBSTITUTE(SUBSTITUTE(LEFT(MID(TRIM(INDEX(PASTE_ALL,25,30)),1+(LEFT(TRIM(INDEX(PASTE_ALL,25,30)),1)="-"),999),LEN(MID(TRIM(INDEX(PASTE_ALL,25,30)),1+(LEFT(TRIM(INDEX(PASTE_ALL,25,30)),1)="-"),999))-(RIGHT(MID(TRIM(INDEX(PASTE_ALL,25,30)),1+(LEFT(TRIM(INDEX(PASTE_ALL,25,30)),1)="-"),999),1)="%")),"0",""),"1",""),"2",""),"3",""),"4",""),"5",""),"6",""),"7",""),"8",""),"9",""),".",""),",","")=""),2,1))),1)</f>
        <v/>
      </c>
      <c r="BC74">
        <f>IFERROR(IF(ISNUMBER(INDEX(PASTE_ALL,25,31)),2,IF(TRIM(INDEX(PASTE_ALL,25,31))="",0,IF(AND(LEFT(MID(TRIM(INDEX(PASTE_ALL,25,31)),1+(LEFT(TRIM(INDEX(PASTE_ALL,25,31)),1)="-"),999),LEN(MID(TRIM(INDEX(PASTE_ALL,25,31)),1+(LEFT(TRIM(INDEX(PASTE_ALL,25,31)),1)="-"),999))-(RIGHT(MID(TRIM(INDEX(PASTE_ALL,25,31)),1+(LEFT(TRIM(INDEX(PASTE_ALL,25,31)),1)="-"),999),1)="%"))&lt;&gt;"",SUBSTITUTE(SUBSTITUTE(SUBSTITUTE(SUBSTITUTE(SUBSTITUTE(SUBSTITUTE(SUBSTITUTE(SUBSTITUTE(SUBSTITUTE(SUBSTITUTE(SUBSTITUTE(SUBSTITUTE(LEFT(MID(TRIM(INDEX(PASTE_ALL,25,31)),1+(LEFT(TRIM(INDEX(PASTE_ALL,25,31)),1)="-"),999),LEN(MID(TRIM(INDEX(PASTE_ALL,25,31)),1+(LEFT(TRIM(INDEX(PASTE_ALL,25,31)),1)="-"),999))-(RIGHT(MID(TRIM(INDEX(PASTE_ALL,25,31)),1+(LEFT(TRIM(INDEX(PASTE_ALL,25,31)),1)="-"),999),1)="%")),"0",""),"1",""),"2",""),"3",""),"4",""),"5",""),"6",""),"7",""),"8",""),"9",""),".",""),",","")=""),2,1))),1)</f>
        <v/>
      </c>
      <c r="BD74">
        <f>IFERROR(IF(ISNUMBER(INDEX(PASTE_ALL,25,32)),2,IF(TRIM(INDEX(PASTE_ALL,25,32))="",0,IF(AND(LEFT(MID(TRIM(INDEX(PASTE_ALL,25,32)),1+(LEFT(TRIM(INDEX(PASTE_ALL,25,32)),1)="-"),999),LEN(MID(TRIM(INDEX(PASTE_ALL,25,32)),1+(LEFT(TRIM(INDEX(PASTE_ALL,25,32)),1)="-"),999))-(RIGHT(MID(TRIM(INDEX(PASTE_ALL,25,32)),1+(LEFT(TRIM(INDEX(PASTE_ALL,25,32)),1)="-"),999),1)="%"))&lt;&gt;"",SUBSTITUTE(SUBSTITUTE(SUBSTITUTE(SUBSTITUTE(SUBSTITUTE(SUBSTITUTE(SUBSTITUTE(SUBSTITUTE(SUBSTITUTE(SUBSTITUTE(SUBSTITUTE(SUBSTITUTE(LEFT(MID(TRIM(INDEX(PASTE_ALL,25,32)),1+(LEFT(TRIM(INDEX(PASTE_ALL,25,32)),1)="-"),999),LEN(MID(TRIM(INDEX(PASTE_ALL,25,32)),1+(LEFT(TRIM(INDEX(PASTE_ALL,25,32)),1)="-"),999))-(RIGHT(MID(TRIM(INDEX(PASTE_ALL,25,32)),1+(LEFT(TRIM(INDEX(PASTE_ALL,25,32)),1)="-"),999),1)="%")),"0",""),"1",""),"2",""),"3",""),"4",""),"5",""),"6",""),"7",""),"8",""),"9",""),".",""),",","")=""),2,1))),1)</f>
        <v/>
      </c>
      <c r="BE74">
        <f>IFERROR(IF(ISNUMBER(INDEX(PASTE_ALL,25,33)),2,IF(TRIM(INDEX(PASTE_ALL,25,33))="",0,IF(AND(LEFT(MID(TRIM(INDEX(PASTE_ALL,25,33)),1+(LEFT(TRIM(INDEX(PASTE_ALL,25,33)),1)="-"),999),LEN(MID(TRIM(INDEX(PASTE_ALL,25,33)),1+(LEFT(TRIM(INDEX(PASTE_ALL,25,33)),1)="-"),999))-(RIGHT(MID(TRIM(INDEX(PASTE_ALL,25,33)),1+(LEFT(TRIM(INDEX(PASTE_ALL,25,33)),1)="-"),999),1)="%"))&lt;&gt;"",SUBSTITUTE(SUBSTITUTE(SUBSTITUTE(SUBSTITUTE(SUBSTITUTE(SUBSTITUTE(SUBSTITUTE(SUBSTITUTE(SUBSTITUTE(SUBSTITUTE(SUBSTITUTE(SUBSTITUTE(LEFT(MID(TRIM(INDEX(PASTE_ALL,25,33)),1+(LEFT(TRIM(INDEX(PASTE_ALL,25,33)),1)="-"),999),LEN(MID(TRIM(INDEX(PASTE_ALL,25,33)),1+(LEFT(TRIM(INDEX(PASTE_ALL,25,33)),1)="-"),999))-(RIGHT(MID(TRIM(INDEX(PASTE_ALL,25,33)),1+(LEFT(TRIM(INDEX(PASTE_ALL,25,33)),1)="-"),999),1)="%")),"0",""),"1",""),"2",""),"3",""),"4",""),"5",""),"6",""),"7",""),"8",""),"9",""),".",""),",","")=""),2,1))),1)</f>
        <v/>
      </c>
      <c r="BF74">
        <f>IFERROR(IF(ISNUMBER(INDEX(PASTE_ALL,25,34)),2,IF(TRIM(INDEX(PASTE_ALL,25,34))="",0,IF(AND(LEFT(MID(TRIM(INDEX(PASTE_ALL,25,34)),1+(LEFT(TRIM(INDEX(PASTE_ALL,25,34)),1)="-"),999),LEN(MID(TRIM(INDEX(PASTE_ALL,25,34)),1+(LEFT(TRIM(INDEX(PASTE_ALL,25,34)),1)="-"),999))-(RIGHT(MID(TRIM(INDEX(PASTE_ALL,25,34)),1+(LEFT(TRIM(INDEX(PASTE_ALL,25,34)),1)="-"),999),1)="%"))&lt;&gt;"",SUBSTITUTE(SUBSTITUTE(SUBSTITUTE(SUBSTITUTE(SUBSTITUTE(SUBSTITUTE(SUBSTITUTE(SUBSTITUTE(SUBSTITUTE(SUBSTITUTE(SUBSTITUTE(SUBSTITUTE(LEFT(MID(TRIM(INDEX(PASTE_ALL,25,34)),1+(LEFT(TRIM(INDEX(PASTE_ALL,25,34)),1)="-"),999),LEN(MID(TRIM(INDEX(PASTE_ALL,25,34)),1+(LEFT(TRIM(INDEX(PASTE_ALL,25,34)),1)="-"),999))-(RIGHT(MID(TRIM(INDEX(PASTE_ALL,25,34)),1+(LEFT(TRIM(INDEX(PASTE_ALL,25,34)),1)="-"),999),1)="%")),"0",""),"1",""),"2",""),"3",""),"4",""),"5",""),"6",""),"7",""),"8",""),"9",""),".",""),",","")=""),2,1))),1)</f>
        <v/>
      </c>
      <c r="BG74">
        <f>IFERROR(IF(ISNUMBER(INDEX(PASTE_ALL,25,35)),2,IF(TRIM(INDEX(PASTE_ALL,25,35))="",0,IF(AND(LEFT(MID(TRIM(INDEX(PASTE_ALL,25,35)),1+(LEFT(TRIM(INDEX(PASTE_ALL,25,35)),1)="-"),999),LEN(MID(TRIM(INDEX(PASTE_ALL,25,35)),1+(LEFT(TRIM(INDEX(PASTE_ALL,25,35)),1)="-"),999))-(RIGHT(MID(TRIM(INDEX(PASTE_ALL,25,35)),1+(LEFT(TRIM(INDEX(PASTE_ALL,25,35)),1)="-"),999),1)="%"))&lt;&gt;"",SUBSTITUTE(SUBSTITUTE(SUBSTITUTE(SUBSTITUTE(SUBSTITUTE(SUBSTITUTE(SUBSTITUTE(SUBSTITUTE(SUBSTITUTE(SUBSTITUTE(SUBSTITUTE(SUBSTITUTE(LEFT(MID(TRIM(INDEX(PASTE_ALL,25,35)),1+(LEFT(TRIM(INDEX(PASTE_ALL,25,35)),1)="-"),999),LEN(MID(TRIM(INDEX(PASTE_ALL,25,35)),1+(LEFT(TRIM(INDEX(PASTE_ALL,25,35)),1)="-"),999))-(RIGHT(MID(TRIM(INDEX(PASTE_ALL,25,35)),1+(LEFT(TRIM(INDEX(PASTE_ALL,25,35)),1)="-"),999),1)="%")),"0",""),"1",""),"2",""),"3",""),"4",""),"5",""),"6",""),"7",""),"8",""),"9",""),".",""),",","")=""),2,1))),1)</f>
        <v/>
      </c>
      <c r="BH74">
        <f>IFERROR(IF(ISNUMBER(INDEX(PASTE_ALL,25,36)),2,IF(TRIM(INDEX(PASTE_ALL,25,36))="",0,IF(AND(LEFT(MID(TRIM(INDEX(PASTE_ALL,25,36)),1+(LEFT(TRIM(INDEX(PASTE_ALL,25,36)),1)="-"),999),LEN(MID(TRIM(INDEX(PASTE_ALL,25,36)),1+(LEFT(TRIM(INDEX(PASTE_ALL,25,36)),1)="-"),999))-(RIGHT(MID(TRIM(INDEX(PASTE_ALL,25,36)),1+(LEFT(TRIM(INDEX(PASTE_ALL,25,36)),1)="-"),999),1)="%"))&lt;&gt;"",SUBSTITUTE(SUBSTITUTE(SUBSTITUTE(SUBSTITUTE(SUBSTITUTE(SUBSTITUTE(SUBSTITUTE(SUBSTITUTE(SUBSTITUTE(SUBSTITUTE(SUBSTITUTE(SUBSTITUTE(LEFT(MID(TRIM(INDEX(PASTE_ALL,25,36)),1+(LEFT(TRIM(INDEX(PASTE_ALL,25,36)),1)="-"),999),LEN(MID(TRIM(INDEX(PASTE_ALL,25,36)),1+(LEFT(TRIM(INDEX(PASTE_ALL,25,36)),1)="-"),999))-(RIGHT(MID(TRIM(INDEX(PASTE_ALL,25,36)),1+(LEFT(TRIM(INDEX(PASTE_ALL,25,36)),1)="-"),999),1)="%")),"0",""),"1",""),"2",""),"3",""),"4",""),"5",""),"6",""),"7",""),"8",""),"9",""),".",""),",","")=""),2,1))),1)</f>
        <v/>
      </c>
      <c r="BI74">
        <f>IFERROR(IF(ISNUMBER(INDEX(PASTE_ALL,25,37)),2,IF(TRIM(INDEX(PASTE_ALL,25,37))="",0,IF(AND(LEFT(MID(TRIM(INDEX(PASTE_ALL,25,37)),1+(LEFT(TRIM(INDEX(PASTE_ALL,25,37)),1)="-"),999),LEN(MID(TRIM(INDEX(PASTE_ALL,25,37)),1+(LEFT(TRIM(INDEX(PASTE_ALL,25,37)),1)="-"),999))-(RIGHT(MID(TRIM(INDEX(PASTE_ALL,25,37)),1+(LEFT(TRIM(INDEX(PASTE_ALL,25,37)),1)="-"),999),1)="%"))&lt;&gt;"",SUBSTITUTE(SUBSTITUTE(SUBSTITUTE(SUBSTITUTE(SUBSTITUTE(SUBSTITUTE(SUBSTITUTE(SUBSTITUTE(SUBSTITUTE(SUBSTITUTE(SUBSTITUTE(SUBSTITUTE(LEFT(MID(TRIM(INDEX(PASTE_ALL,25,37)),1+(LEFT(TRIM(INDEX(PASTE_ALL,25,37)),1)="-"),999),LEN(MID(TRIM(INDEX(PASTE_ALL,25,37)),1+(LEFT(TRIM(INDEX(PASTE_ALL,25,37)),1)="-"),999))-(RIGHT(MID(TRIM(INDEX(PASTE_ALL,25,37)),1+(LEFT(TRIM(INDEX(PASTE_ALL,25,37)),1)="-"),999),1)="%")),"0",""),"1",""),"2",""),"3",""),"4",""),"5",""),"6",""),"7",""),"8",""),"9",""),".",""),",","")=""),2,1))),1)</f>
        <v/>
      </c>
      <c r="BJ74">
        <f>IFERROR(IF(ISNUMBER(INDEX(PASTE_ALL,25,38)),2,IF(TRIM(INDEX(PASTE_ALL,25,38))="",0,IF(AND(LEFT(MID(TRIM(INDEX(PASTE_ALL,25,38)),1+(LEFT(TRIM(INDEX(PASTE_ALL,25,38)),1)="-"),999),LEN(MID(TRIM(INDEX(PASTE_ALL,25,38)),1+(LEFT(TRIM(INDEX(PASTE_ALL,25,38)),1)="-"),999))-(RIGHT(MID(TRIM(INDEX(PASTE_ALL,25,38)),1+(LEFT(TRIM(INDEX(PASTE_ALL,25,38)),1)="-"),999),1)="%"))&lt;&gt;"",SUBSTITUTE(SUBSTITUTE(SUBSTITUTE(SUBSTITUTE(SUBSTITUTE(SUBSTITUTE(SUBSTITUTE(SUBSTITUTE(SUBSTITUTE(SUBSTITUTE(SUBSTITUTE(SUBSTITUTE(LEFT(MID(TRIM(INDEX(PASTE_ALL,25,38)),1+(LEFT(TRIM(INDEX(PASTE_ALL,25,38)),1)="-"),999),LEN(MID(TRIM(INDEX(PASTE_ALL,25,38)),1+(LEFT(TRIM(INDEX(PASTE_ALL,25,38)),1)="-"),999))-(RIGHT(MID(TRIM(INDEX(PASTE_ALL,25,38)),1+(LEFT(TRIM(INDEX(PASTE_ALL,25,38)),1)="-"),999),1)="%")),"0",""),"1",""),"2",""),"3",""),"4",""),"5",""),"6",""),"7",""),"8",""),"9",""),".",""),",","")=""),2,1))),1)</f>
        <v/>
      </c>
      <c r="BK74">
        <f>IFERROR(IF(ISNUMBER(INDEX(PASTE_ALL,25,39)),2,IF(TRIM(INDEX(PASTE_ALL,25,39))="",0,IF(AND(LEFT(MID(TRIM(INDEX(PASTE_ALL,25,39)),1+(LEFT(TRIM(INDEX(PASTE_ALL,25,39)),1)="-"),999),LEN(MID(TRIM(INDEX(PASTE_ALL,25,39)),1+(LEFT(TRIM(INDEX(PASTE_ALL,25,39)),1)="-"),999))-(RIGHT(MID(TRIM(INDEX(PASTE_ALL,25,39)),1+(LEFT(TRIM(INDEX(PASTE_ALL,25,39)),1)="-"),999),1)="%"))&lt;&gt;"",SUBSTITUTE(SUBSTITUTE(SUBSTITUTE(SUBSTITUTE(SUBSTITUTE(SUBSTITUTE(SUBSTITUTE(SUBSTITUTE(SUBSTITUTE(SUBSTITUTE(SUBSTITUTE(SUBSTITUTE(LEFT(MID(TRIM(INDEX(PASTE_ALL,25,39)),1+(LEFT(TRIM(INDEX(PASTE_ALL,25,39)),1)="-"),999),LEN(MID(TRIM(INDEX(PASTE_ALL,25,39)),1+(LEFT(TRIM(INDEX(PASTE_ALL,25,39)),1)="-"),999))-(RIGHT(MID(TRIM(INDEX(PASTE_ALL,25,39)),1+(LEFT(TRIM(INDEX(PASTE_ALL,25,39)),1)="-"),999),1)="%")),"0",""),"1",""),"2",""),"3",""),"4",""),"5",""),"6",""),"7",""),"8",""),"9",""),".",""),",","")=""),2,1))),1)</f>
        <v/>
      </c>
      <c r="BL74">
        <f>IFERROR(IF(ISNUMBER(INDEX(PASTE_ALL,25,40)),2,IF(TRIM(INDEX(PASTE_ALL,25,40))="",0,IF(AND(LEFT(MID(TRIM(INDEX(PASTE_ALL,25,40)),1+(LEFT(TRIM(INDEX(PASTE_ALL,25,40)),1)="-"),999),LEN(MID(TRIM(INDEX(PASTE_ALL,25,40)),1+(LEFT(TRIM(INDEX(PASTE_ALL,25,40)),1)="-"),999))-(RIGHT(MID(TRIM(INDEX(PASTE_ALL,25,40)),1+(LEFT(TRIM(INDEX(PASTE_ALL,25,40)),1)="-"),999),1)="%"))&lt;&gt;"",SUBSTITUTE(SUBSTITUTE(SUBSTITUTE(SUBSTITUTE(SUBSTITUTE(SUBSTITUTE(SUBSTITUTE(SUBSTITUTE(SUBSTITUTE(SUBSTITUTE(SUBSTITUTE(SUBSTITUTE(LEFT(MID(TRIM(INDEX(PASTE_ALL,25,40)),1+(LEFT(TRIM(INDEX(PASTE_ALL,25,40)),1)="-"),999),LEN(MID(TRIM(INDEX(PASTE_ALL,25,40)),1+(LEFT(TRIM(INDEX(PASTE_ALL,25,40)),1)="-"),999))-(RIGHT(MID(TRIM(INDEX(PASTE_ALL,25,40)),1+(LEFT(TRIM(INDEX(PASTE_ALL,25,40)),1)="-"),999),1)="%")),"0",""),"1",""),"2",""),"3",""),"4",""),"5",""),"6",""),"7",""),"8",""),"9",""),".",""),",","")=""),2,1))),1)</f>
        <v/>
      </c>
      <c r="BM74">
        <f>IFERROR(IF(ISNUMBER(INDEX(PASTE_ALL,25,41)),2,IF(TRIM(INDEX(PASTE_ALL,25,41))="",0,IF(AND(LEFT(MID(TRIM(INDEX(PASTE_ALL,25,41)),1+(LEFT(TRIM(INDEX(PASTE_ALL,25,41)),1)="-"),999),LEN(MID(TRIM(INDEX(PASTE_ALL,25,41)),1+(LEFT(TRIM(INDEX(PASTE_ALL,25,41)),1)="-"),999))-(RIGHT(MID(TRIM(INDEX(PASTE_ALL,25,41)),1+(LEFT(TRIM(INDEX(PASTE_ALL,25,41)),1)="-"),999),1)="%"))&lt;&gt;"",SUBSTITUTE(SUBSTITUTE(SUBSTITUTE(SUBSTITUTE(SUBSTITUTE(SUBSTITUTE(SUBSTITUTE(SUBSTITUTE(SUBSTITUTE(SUBSTITUTE(SUBSTITUTE(SUBSTITUTE(LEFT(MID(TRIM(INDEX(PASTE_ALL,25,41)),1+(LEFT(TRIM(INDEX(PASTE_ALL,25,41)),1)="-"),999),LEN(MID(TRIM(INDEX(PASTE_ALL,25,41)),1+(LEFT(TRIM(INDEX(PASTE_ALL,25,41)),1)="-"),999))-(RIGHT(MID(TRIM(INDEX(PASTE_ALL,25,41)),1+(LEFT(TRIM(INDEX(PASTE_ALL,25,41)),1)="-"),999),1)="%")),"0",""),"1",""),"2",""),"3",""),"4",""),"5",""),"6",""),"7",""),"8",""),"9",""),".",""),",","")=""),2,1))),1)</f>
        <v/>
      </c>
      <c r="BN74">
        <f>IFERROR(IF(ISNUMBER(INDEX(PASTE_ALL,25,42)),2,IF(TRIM(INDEX(PASTE_ALL,25,42))="",0,IF(AND(LEFT(MID(TRIM(INDEX(PASTE_ALL,25,42)),1+(LEFT(TRIM(INDEX(PASTE_ALL,25,42)),1)="-"),999),LEN(MID(TRIM(INDEX(PASTE_ALL,25,42)),1+(LEFT(TRIM(INDEX(PASTE_ALL,25,42)),1)="-"),999))-(RIGHT(MID(TRIM(INDEX(PASTE_ALL,25,42)),1+(LEFT(TRIM(INDEX(PASTE_ALL,25,42)),1)="-"),999),1)="%"))&lt;&gt;"",SUBSTITUTE(SUBSTITUTE(SUBSTITUTE(SUBSTITUTE(SUBSTITUTE(SUBSTITUTE(SUBSTITUTE(SUBSTITUTE(SUBSTITUTE(SUBSTITUTE(SUBSTITUTE(SUBSTITUTE(LEFT(MID(TRIM(INDEX(PASTE_ALL,25,42)),1+(LEFT(TRIM(INDEX(PASTE_ALL,25,42)),1)="-"),999),LEN(MID(TRIM(INDEX(PASTE_ALL,25,42)),1+(LEFT(TRIM(INDEX(PASTE_ALL,25,42)),1)="-"),999))-(RIGHT(MID(TRIM(INDEX(PASTE_ALL,25,42)),1+(LEFT(TRIM(INDEX(PASTE_ALL,25,42)),1)="-"),999),1)="%")),"0",""),"1",""),"2",""),"3",""),"4",""),"5",""),"6",""),"7",""),"8",""),"9",""),".",""),",","")=""),2,1))),1)</f>
        <v/>
      </c>
      <c r="BO74">
        <f>IFERROR(IF(ISNUMBER(INDEX(PASTE_ALL,25,43)),2,IF(TRIM(INDEX(PASTE_ALL,25,43))="",0,IF(AND(LEFT(MID(TRIM(INDEX(PASTE_ALL,25,43)),1+(LEFT(TRIM(INDEX(PASTE_ALL,25,43)),1)="-"),999),LEN(MID(TRIM(INDEX(PASTE_ALL,25,43)),1+(LEFT(TRIM(INDEX(PASTE_ALL,25,43)),1)="-"),999))-(RIGHT(MID(TRIM(INDEX(PASTE_ALL,25,43)),1+(LEFT(TRIM(INDEX(PASTE_ALL,25,43)),1)="-"),999),1)="%"))&lt;&gt;"",SUBSTITUTE(SUBSTITUTE(SUBSTITUTE(SUBSTITUTE(SUBSTITUTE(SUBSTITUTE(SUBSTITUTE(SUBSTITUTE(SUBSTITUTE(SUBSTITUTE(SUBSTITUTE(SUBSTITUTE(LEFT(MID(TRIM(INDEX(PASTE_ALL,25,43)),1+(LEFT(TRIM(INDEX(PASTE_ALL,25,43)),1)="-"),999),LEN(MID(TRIM(INDEX(PASTE_ALL,25,43)),1+(LEFT(TRIM(INDEX(PASTE_ALL,25,43)),1)="-"),999))-(RIGHT(MID(TRIM(INDEX(PASTE_ALL,25,43)),1+(LEFT(TRIM(INDEX(PASTE_ALL,25,43)),1)="-"),999),1)="%")),"0",""),"1",""),"2",""),"3",""),"4",""),"5",""),"6",""),"7",""),"8",""),"9",""),".",""),",","")=""),2,1))),1)</f>
        <v/>
      </c>
      <c r="BP74">
        <f>IFERROR(IF(ISNUMBER(INDEX(PASTE_ALL,25,44)),2,IF(TRIM(INDEX(PASTE_ALL,25,44))="",0,IF(AND(LEFT(MID(TRIM(INDEX(PASTE_ALL,25,44)),1+(LEFT(TRIM(INDEX(PASTE_ALL,25,44)),1)="-"),999),LEN(MID(TRIM(INDEX(PASTE_ALL,25,44)),1+(LEFT(TRIM(INDEX(PASTE_ALL,25,44)),1)="-"),999))-(RIGHT(MID(TRIM(INDEX(PASTE_ALL,25,44)),1+(LEFT(TRIM(INDEX(PASTE_ALL,25,44)),1)="-"),999),1)="%"))&lt;&gt;"",SUBSTITUTE(SUBSTITUTE(SUBSTITUTE(SUBSTITUTE(SUBSTITUTE(SUBSTITUTE(SUBSTITUTE(SUBSTITUTE(SUBSTITUTE(SUBSTITUTE(SUBSTITUTE(SUBSTITUTE(LEFT(MID(TRIM(INDEX(PASTE_ALL,25,44)),1+(LEFT(TRIM(INDEX(PASTE_ALL,25,44)),1)="-"),999),LEN(MID(TRIM(INDEX(PASTE_ALL,25,44)),1+(LEFT(TRIM(INDEX(PASTE_ALL,25,44)),1)="-"),999))-(RIGHT(MID(TRIM(INDEX(PASTE_ALL,25,44)),1+(LEFT(TRIM(INDEX(PASTE_ALL,25,44)),1)="-"),999),1)="%")),"0",""),"1",""),"2",""),"3",""),"4",""),"5",""),"6",""),"7",""),"8",""),"9",""),".",""),",","")=""),2,1))),1)</f>
        <v/>
      </c>
      <c r="BQ74">
        <f>IFERROR(IF(ISNUMBER(INDEX(PASTE_ALL,25,45)),2,IF(TRIM(INDEX(PASTE_ALL,25,45))="",0,IF(AND(LEFT(MID(TRIM(INDEX(PASTE_ALL,25,45)),1+(LEFT(TRIM(INDEX(PASTE_ALL,25,45)),1)="-"),999),LEN(MID(TRIM(INDEX(PASTE_ALL,25,45)),1+(LEFT(TRIM(INDEX(PASTE_ALL,25,45)),1)="-"),999))-(RIGHT(MID(TRIM(INDEX(PASTE_ALL,25,45)),1+(LEFT(TRIM(INDEX(PASTE_ALL,25,45)),1)="-"),999),1)="%"))&lt;&gt;"",SUBSTITUTE(SUBSTITUTE(SUBSTITUTE(SUBSTITUTE(SUBSTITUTE(SUBSTITUTE(SUBSTITUTE(SUBSTITUTE(SUBSTITUTE(SUBSTITUTE(SUBSTITUTE(SUBSTITUTE(LEFT(MID(TRIM(INDEX(PASTE_ALL,25,45)),1+(LEFT(TRIM(INDEX(PASTE_ALL,25,45)),1)="-"),999),LEN(MID(TRIM(INDEX(PASTE_ALL,25,45)),1+(LEFT(TRIM(INDEX(PASTE_ALL,25,45)),1)="-"),999))-(RIGHT(MID(TRIM(INDEX(PASTE_ALL,25,45)),1+(LEFT(TRIM(INDEX(PASTE_ALL,25,45)),1)="-"),999),1)="%")),"0",""),"1",""),"2",""),"3",""),"4",""),"5",""),"6",""),"7",""),"8",""),"9",""),".",""),",","")=""),2,1))),1)</f>
        <v/>
      </c>
      <c r="BR74">
        <f>IFERROR(IF(ISNUMBER(INDEX(PASTE_ALL,25,46)),2,IF(TRIM(INDEX(PASTE_ALL,25,46))="",0,IF(AND(LEFT(MID(TRIM(INDEX(PASTE_ALL,25,46)),1+(LEFT(TRIM(INDEX(PASTE_ALL,25,46)),1)="-"),999),LEN(MID(TRIM(INDEX(PASTE_ALL,25,46)),1+(LEFT(TRIM(INDEX(PASTE_ALL,25,46)),1)="-"),999))-(RIGHT(MID(TRIM(INDEX(PASTE_ALL,25,46)),1+(LEFT(TRIM(INDEX(PASTE_ALL,25,46)),1)="-"),999),1)="%"))&lt;&gt;"",SUBSTITUTE(SUBSTITUTE(SUBSTITUTE(SUBSTITUTE(SUBSTITUTE(SUBSTITUTE(SUBSTITUTE(SUBSTITUTE(SUBSTITUTE(SUBSTITUTE(SUBSTITUTE(SUBSTITUTE(LEFT(MID(TRIM(INDEX(PASTE_ALL,25,46)),1+(LEFT(TRIM(INDEX(PASTE_ALL,25,46)),1)="-"),999),LEN(MID(TRIM(INDEX(PASTE_ALL,25,46)),1+(LEFT(TRIM(INDEX(PASTE_ALL,25,46)),1)="-"),999))-(RIGHT(MID(TRIM(INDEX(PASTE_ALL,25,46)),1+(LEFT(TRIM(INDEX(PASTE_ALL,25,46)),1)="-"),999),1)="%")),"0",""),"1",""),"2",""),"3",""),"4",""),"5",""),"6",""),"7",""),"8",""),"9",""),".",""),",","")=""),2,1))),1)</f>
        <v/>
      </c>
      <c r="BS74">
        <f>IFERROR(IF(ISNUMBER(INDEX(PASTE_ALL,25,47)),2,IF(TRIM(INDEX(PASTE_ALL,25,47))="",0,IF(AND(LEFT(MID(TRIM(INDEX(PASTE_ALL,25,47)),1+(LEFT(TRIM(INDEX(PASTE_ALL,25,47)),1)="-"),999),LEN(MID(TRIM(INDEX(PASTE_ALL,25,47)),1+(LEFT(TRIM(INDEX(PASTE_ALL,25,47)),1)="-"),999))-(RIGHT(MID(TRIM(INDEX(PASTE_ALL,25,47)),1+(LEFT(TRIM(INDEX(PASTE_ALL,25,47)),1)="-"),999),1)="%"))&lt;&gt;"",SUBSTITUTE(SUBSTITUTE(SUBSTITUTE(SUBSTITUTE(SUBSTITUTE(SUBSTITUTE(SUBSTITUTE(SUBSTITUTE(SUBSTITUTE(SUBSTITUTE(SUBSTITUTE(SUBSTITUTE(LEFT(MID(TRIM(INDEX(PASTE_ALL,25,47)),1+(LEFT(TRIM(INDEX(PASTE_ALL,25,47)),1)="-"),999),LEN(MID(TRIM(INDEX(PASTE_ALL,25,47)),1+(LEFT(TRIM(INDEX(PASTE_ALL,25,47)),1)="-"),999))-(RIGHT(MID(TRIM(INDEX(PASTE_ALL,25,47)),1+(LEFT(TRIM(INDEX(PASTE_ALL,25,47)),1)="-"),999),1)="%")),"0",""),"1",""),"2",""),"3",""),"4",""),"5",""),"6",""),"7",""),"8",""),"9",""),".",""),",","")=""),2,1))),1)</f>
        <v/>
      </c>
      <c r="BT74">
        <f>IFERROR(IF(ISNUMBER(INDEX(PASTE_ALL,25,48)),2,IF(TRIM(INDEX(PASTE_ALL,25,48))="",0,IF(AND(LEFT(MID(TRIM(INDEX(PASTE_ALL,25,48)),1+(LEFT(TRIM(INDEX(PASTE_ALL,25,48)),1)="-"),999),LEN(MID(TRIM(INDEX(PASTE_ALL,25,48)),1+(LEFT(TRIM(INDEX(PASTE_ALL,25,48)),1)="-"),999))-(RIGHT(MID(TRIM(INDEX(PASTE_ALL,25,48)),1+(LEFT(TRIM(INDEX(PASTE_ALL,25,48)),1)="-"),999),1)="%"))&lt;&gt;"",SUBSTITUTE(SUBSTITUTE(SUBSTITUTE(SUBSTITUTE(SUBSTITUTE(SUBSTITUTE(SUBSTITUTE(SUBSTITUTE(SUBSTITUTE(SUBSTITUTE(SUBSTITUTE(SUBSTITUTE(LEFT(MID(TRIM(INDEX(PASTE_ALL,25,48)),1+(LEFT(TRIM(INDEX(PASTE_ALL,25,48)),1)="-"),999),LEN(MID(TRIM(INDEX(PASTE_ALL,25,48)),1+(LEFT(TRIM(INDEX(PASTE_ALL,25,48)),1)="-"),999))-(RIGHT(MID(TRIM(INDEX(PASTE_ALL,25,48)),1+(LEFT(TRIM(INDEX(PASTE_ALL,25,48)),1)="-"),999),1)="%")),"0",""),"1",""),"2",""),"3",""),"4",""),"5",""),"6",""),"7",""),"8",""),"9",""),".",""),",","")=""),2,1))),1)</f>
        <v/>
      </c>
      <c r="BU74">
        <f>IFERROR(IF(ISNUMBER(INDEX(PASTE_ALL,25,49)),2,IF(TRIM(INDEX(PASTE_ALL,25,49))="",0,IF(AND(LEFT(MID(TRIM(INDEX(PASTE_ALL,25,49)),1+(LEFT(TRIM(INDEX(PASTE_ALL,25,49)),1)="-"),999),LEN(MID(TRIM(INDEX(PASTE_ALL,25,49)),1+(LEFT(TRIM(INDEX(PASTE_ALL,25,49)),1)="-"),999))-(RIGHT(MID(TRIM(INDEX(PASTE_ALL,25,49)),1+(LEFT(TRIM(INDEX(PASTE_ALL,25,49)),1)="-"),999),1)="%"))&lt;&gt;"",SUBSTITUTE(SUBSTITUTE(SUBSTITUTE(SUBSTITUTE(SUBSTITUTE(SUBSTITUTE(SUBSTITUTE(SUBSTITUTE(SUBSTITUTE(SUBSTITUTE(SUBSTITUTE(SUBSTITUTE(LEFT(MID(TRIM(INDEX(PASTE_ALL,25,49)),1+(LEFT(TRIM(INDEX(PASTE_ALL,25,49)),1)="-"),999),LEN(MID(TRIM(INDEX(PASTE_ALL,25,49)),1+(LEFT(TRIM(INDEX(PASTE_ALL,25,49)),1)="-"),999))-(RIGHT(MID(TRIM(INDEX(PASTE_ALL,25,49)),1+(LEFT(TRIM(INDEX(PASTE_ALL,25,49)),1)="-"),999),1)="%")),"0",""),"1",""),"2",""),"3",""),"4",""),"5",""),"6",""),"7",""),"8",""),"9",""),".",""),",","")=""),2,1))),1)</f>
        <v/>
      </c>
      <c r="BV74">
        <f>IFERROR(IF(ISNUMBER(INDEX(PASTE_ALL,25,50)),2,IF(TRIM(INDEX(PASTE_ALL,25,50))="",0,IF(AND(LEFT(MID(TRIM(INDEX(PASTE_ALL,25,50)),1+(LEFT(TRIM(INDEX(PASTE_ALL,25,50)),1)="-"),999),LEN(MID(TRIM(INDEX(PASTE_ALL,25,50)),1+(LEFT(TRIM(INDEX(PASTE_ALL,25,50)),1)="-"),999))-(RIGHT(MID(TRIM(INDEX(PASTE_ALL,25,50)),1+(LEFT(TRIM(INDEX(PASTE_ALL,25,50)),1)="-"),999),1)="%"))&lt;&gt;"",SUBSTITUTE(SUBSTITUTE(SUBSTITUTE(SUBSTITUTE(SUBSTITUTE(SUBSTITUTE(SUBSTITUTE(SUBSTITUTE(SUBSTITUTE(SUBSTITUTE(SUBSTITUTE(SUBSTITUTE(LEFT(MID(TRIM(INDEX(PASTE_ALL,25,50)),1+(LEFT(TRIM(INDEX(PASTE_ALL,25,50)),1)="-"),999),LEN(MID(TRIM(INDEX(PASTE_ALL,25,50)),1+(LEFT(TRIM(INDEX(PASTE_ALL,25,50)),1)="-"),999))-(RIGHT(MID(TRIM(INDEX(PASTE_ALL,25,50)),1+(LEFT(TRIM(INDEX(PASTE_ALL,25,50)),1)="-"),999),1)="%")),"0",""),"1",""),"2",""),"3",""),"4",""),"5",""),"6",""),"7",""),"8",""),"9",""),".",""),",","")=""),2,1))),1)</f>
        <v/>
      </c>
      <c r="BW74">
        <f>IFERROR(IF(ISNUMBER(INDEX(PASTE_ALL,25,51)),2,IF(TRIM(INDEX(PASTE_ALL,25,51))="",0,IF(AND(LEFT(MID(TRIM(INDEX(PASTE_ALL,25,51)),1+(LEFT(TRIM(INDEX(PASTE_ALL,25,51)),1)="-"),999),LEN(MID(TRIM(INDEX(PASTE_ALL,25,51)),1+(LEFT(TRIM(INDEX(PASTE_ALL,25,51)),1)="-"),999))-(RIGHT(MID(TRIM(INDEX(PASTE_ALL,25,51)),1+(LEFT(TRIM(INDEX(PASTE_ALL,25,51)),1)="-"),999),1)="%"))&lt;&gt;"",SUBSTITUTE(SUBSTITUTE(SUBSTITUTE(SUBSTITUTE(SUBSTITUTE(SUBSTITUTE(SUBSTITUTE(SUBSTITUTE(SUBSTITUTE(SUBSTITUTE(SUBSTITUTE(SUBSTITUTE(LEFT(MID(TRIM(INDEX(PASTE_ALL,25,51)),1+(LEFT(TRIM(INDEX(PASTE_ALL,25,51)),1)="-"),999),LEN(MID(TRIM(INDEX(PASTE_ALL,25,51)),1+(LEFT(TRIM(INDEX(PASTE_ALL,25,51)),1)="-"),999))-(RIGHT(MID(TRIM(INDEX(PASTE_ALL,25,51)),1+(LEFT(TRIM(INDEX(PASTE_ALL,25,51)),1)="-"),999),1)="%")),"0",""),"1",""),"2",""),"3",""),"4",""),"5",""),"6",""),"7",""),"8",""),"9",""),".",""),",","")=""),2,1))),1)</f>
        <v/>
      </c>
      <c r="BX74">
        <f>IFERROR(IF(ISNUMBER(INDEX(PASTE_ALL,25,52)),2,IF(TRIM(INDEX(PASTE_ALL,25,52))="",0,IF(AND(LEFT(MID(TRIM(INDEX(PASTE_ALL,25,52)),1+(LEFT(TRIM(INDEX(PASTE_ALL,25,52)),1)="-"),999),LEN(MID(TRIM(INDEX(PASTE_ALL,25,52)),1+(LEFT(TRIM(INDEX(PASTE_ALL,25,52)),1)="-"),999))-(RIGHT(MID(TRIM(INDEX(PASTE_ALL,25,52)),1+(LEFT(TRIM(INDEX(PASTE_ALL,25,52)),1)="-"),999),1)="%"))&lt;&gt;"",SUBSTITUTE(SUBSTITUTE(SUBSTITUTE(SUBSTITUTE(SUBSTITUTE(SUBSTITUTE(SUBSTITUTE(SUBSTITUTE(SUBSTITUTE(SUBSTITUTE(SUBSTITUTE(SUBSTITUTE(LEFT(MID(TRIM(INDEX(PASTE_ALL,25,52)),1+(LEFT(TRIM(INDEX(PASTE_ALL,25,52)),1)="-"),999),LEN(MID(TRIM(INDEX(PASTE_ALL,25,52)),1+(LEFT(TRIM(INDEX(PASTE_ALL,25,52)),1)="-"),999))-(RIGHT(MID(TRIM(INDEX(PASTE_ALL,25,52)),1+(LEFT(TRIM(INDEX(PASTE_ALL,25,52)),1)="-"),999),1)="%")),"0",""),"1",""),"2",""),"3",""),"4",""),"5",""),"6",""),"7",""),"8",""),"9",""),".",""),",","")=""),2,1))),1)</f>
        <v/>
      </c>
      <c r="BY74">
        <f>IFERROR(IF(ISNUMBER(INDEX(PASTE_ALL,25,53)),2,IF(TRIM(INDEX(PASTE_ALL,25,53))="",0,IF(AND(LEFT(MID(TRIM(INDEX(PASTE_ALL,25,53)),1+(LEFT(TRIM(INDEX(PASTE_ALL,25,53)),1)="-"),999),LEN(MID(TRIM(INDEX(PASTE_ALL,25,53)),1+(LEFT(TRIM(INDEX(PASTE_ALL,25,53)),1)="-"),999))-(RIGHT(MID(TRIM(INDEX(PASTE_ALL,25,53)),1+(LEFT(TRIM(INDEX(PASTE_ALL,25,53)),1)="-"),999),1)="%"))&lt;&gt;"",SUBSTITUTE(SUBSTITUTE(SUBSTITUTE(SUBSTITUTE(SUBSTITUTE(SUBSTITUTE(SUBSTITUTE(SUBSTITUTE(SUBSTITUTE(SUBSTITUTE(SUBSTITUTE(SUBSTITUTE(LEFT(MID(TRIM(INDEX(PASTE_ALL,25,53)),1+(LEFT(TRIM(INDEX(PASTE_ALL,25,53)),1)="-"),999),LEN(MID(TRIM(INDEX(PASTE_ALL,25,53)),1+(LEFT(TRIM(INDEX(PASTE_ALL,25,53)),1)="-"),999))-(RIGHT(MID(TRIM(INDEX(PASTE_ALL,25,53)),1+(LEFT(TRIM(INDEX(PASTE_ALL,25,53)),1)="-"),999),1)="%")),"0",""),"1",""),"2",""),"3",""),"4",""),"5",""),"6",""),"7",""),"8",""),"9",""),".",""),",","")=""),2,1))),1)</f>
        <v/>
      </c>
      <c r="BZ74">
        <f>IFERROR(IF(ISNUMBER(INDEX(PASTE_ALL,25,54)),2,IF(TRIM(INDEX(PASTE_ALL,25,54))="",0,IF(AND(LEFT(MID(TRIM(INDEX(PASTE_ALL,25,54)),1+(LEFT(TRIM(INDEX(PASTE_ALL,25,54)),1)="-"),999),LEN(MID(TRIM(INDEX(PASTE_ALL,25,54)),1+(LEFT(TRIM(INDEX(PASTE_ALL,25,54)),1)="-"),999))-(RIGHT(MID(TRIM(INDEX(PASTE_ALL,25,54)),1+(LEFT(TRIM(INDEX(PASTE_ALL,25,54)),1)="-"),999),1)="%"))&lt;&gt;"",SUBSTITUTE(SUBSTITUTE(SUBSTITUTE(SUBSTITUTE(SUBSTITUTE(SUBSTITUTE(SUBSTITUTE(SUBSTITUTE(SUBSTITUTE(SUBSTITUTE(SUBSTITUTE(SUBSTITUTE(LEFT(MID(TRIM(INDEX(PASTE_ALL,25,54)),1+(LEFT(TRIM(INDEX(PASTE_ALL,25,54)),1)="-"),999),LEN(MID(TRIM(INDEX(PASTE_ALL,25,54)),1+(LEFT(TRIM(INDEX(PASTE_ALL,25,54)),1)="-"),999))-(RIGHT(MID(TRIM(INDEX(PASTE_ALL,25,54)),1+(LEFT(TRIM(INDEX(PASTE_ALL,25,54)),1)="-"),999),1)="%")),"0",""),"1",""),"2",""),"3",""),"4",""),"5",""),"6",""),"7",""),"8",""),"9",""),".",""),",","")=""),2,1))),1)</f>
        <v/>
      </c>
      <c r="CA74">
        <f>IFERROR(IF(ISNUMBER(INDEX(PASTE_ALL,25,55)),2,IF(TRIM(INDEX(PASTE_ALL,25,55))="",0,IF(AND(LEFT(MID(TRIM(INDEX(PASTE_ALL,25,55)),1+(LEFT(TRIM(INDEX(PASTE_ALL,25,55)),1)="-"),999),LEN(MID(TRIM(INDEX(PASTE_ALL,25,55)),1+(LEFT(TRIM(INDEX(PASTE_ALL,25,55)),1)="-"),999))-(RIGHT(MID(TRIM(INDEX(PASTE_ALL,25,55)),1+(LEFT(TRIM(INDEX(PASTE_ALL,25,55)),1)="-"),999),1)="%"))&lt;&gt;"",SUBSTITUTE(SUBSTITUTE(SUBSTITUTE(SUBSTITUTE(SUBSTITUTE(SUBSTITUTE(SUBSTITUTE(SUBSTITUTE(SUBSTITUTE(SUBSTITUTE(SUBSTITUTE(SUBSTITUTE(LEFT(MID(TRIM(INDEX(PASTE_ALL,25,55)),1+(LEFT(TRIM(INDEX(PASTE_ALL,25,55)),1)="-"),999),LEN(MID(TRIM(INDEX(PASTE_ALL,25,55)),1+(LEFT(TRIM(INDEX(PASTE_ALL,25,55)),1)="-"),999))-(RIGHT(MID(TRIM(INDEX(PASTE_ALL,25,55)),1+(LEFT(TRIM(INDEX(PASTE_ALL,25,55)),1)="-"),999),1)="%")),"0",""),"1",""),"2",""),"3",""),"4",""),"5",""),"6",""),"7",""),"8",""),"9",""),".",""),",","")=""),2,1))),1)</f>
        <v/>
      </c>
      <c r="CB74">
        <f>IFERROR(IF(ISNUMBER(INDEX(PASTE_ALL,25,56)),2,IF(TRIM(INDEX(PASTE_ALL,25,56))="",0,IF(AND(LEFT(MID(TRIM(INDEX(PASTE_ALL,25,56)),1+(LEFT(TRIM(INDEX(PASTE_ALL,25,56)),1)="-"),999),LEN(MID(TRIM(INDEX(PASTE_ALL,25,56)),1+(LEFT(TRIM(INDEX(PASTE_ALL,25,56)),1)="-"),999))-(RIGHT(MID(TRIM(INDEX(PASTE_ALL,25,56)),1+(LEFT(TRIM(INDEX(PASTE_ALL,25,56)),1)="-"),999),1)="%"))&lt;&gt;"",SUBSTITUTE(SUBSTITUTE(SUBSTITUTE(SUBSTITUTE(SUBSTITUTE(SUBSTITUTE(SUBSTITUTE(SUBSTITUTE(SUBSTITUTE(SUBSTITUTE(SUBSTITUTE(SUBSTITUTE(LEFT(MID(TRIM(INDEX(PASTE_ALL,25,56)),1+(LEFT(TRIM(INDEX(PASTE_ALL,25,56)),1)="-"),999),LEN(MID(TRIM(INDEX(PASTE_ALL,25,56)),1+(LEFT(TRIM(INDEX(PASTE_ALL,25,56)),1)="-"),999))-(RIGHT(MID(TRIM(INDEX(PASTE_ALL,25,56)),1+(LEFT(TRIM(INDEX(PASTE_ALL,25,56)),1)="-"),999),1)="%")),"0",""),"1",""),"2",""),"3",""),"4",""),"5",""),"6",""),"7",""),"8",""),"9",""),".",""),",","")=""),2,1))),1)</f>
        <v/>
      </c>
      <c r="CC74">
        <f>IFERROR(IF(ISNUMBER(INDEX(PASTE_ALL,25,57)),2,IF(TRIM(INDEX(PASTE_ALL,25,57))="",0,IF(AND(LEFT(MID(TRIM(INDEX(PASTE_ALL,25,57)),1+(LEFT(TRIM(INDEX(PASTE_ALL,25,57)),1)="-"),999),LEN(MID(TRIM(INDEX(PASTE_ALL,25,57)),1+(LEFT(TRIM(INDEX(PASTE_ALL,25,57)),1)="-"),999))-(RIGHT(MID(TRIM(INDEX(PASTE_ALL,25,57)),1+(LEFT(TRIM(INDEX(PASTE_ALL,25,57)),1)="-"),999),1)="%"))&lt;&gt;"",SUBSTITUTE(SUBSTITUTE(SUBSTITUTE(SUBSTITUTE(SUBSTITUTE(SUBSTITUTE(SUBSTITUTE(SUBSTITUTE(SUBSTITUTE(SUBSTITUTE(SUBSTITUTE(SUBSTITUTE(LEFT(MID(TRIM(INDEX(PASTE_ALL,25,57)),1+(LEFT(TRIM(INDEX(PASTE_ALL,25,57)),1)="-"),999),LEN(MID(TRIM(INDEX(PASTE_ALL,25,57)),1+(LEFT(TRIM(INDEX(PASTE_ALL,25,57)),1)="-"),999))-(RIGHT(MID(TRIM(INDEX(PASTE_ALL,25,57)),1+(LEFT(TRIM(INDEX(PASTE_ALL,25,57)),1)="-"),999),1)="%")),"0",""),"1",""),"2",""),"3",""),"4",""),"5",""),"6",""),"7",""),"8",""),"9",""),".",""),",","")=""),2,1))),1)</f>
        <v/>
      </c>
      <c r="CD74">
        <f>IFERROR(IF(ISNUMBER(INDEX(PASTE_ALL,25,58)),2,IF(TRIM(INDEX(PASTE_ALL,25,58))="",0,IF(AND(LEFT(MID(TRIM(INDEX(PASTE_ALL,25,58)),1+(LEFT(TRIM(INDEX(PASTE_ALL,25,58)),1)="-"),999),LEN(MID(TRIM(INDEX(PASTE_ALL,25,58)),1+(LEFT(TRIM(INDEX(PASTE_ALL,25,58)),1)="-"),999))-(RIGHT(MID(TRIM(INDEX(PASTE_ALL,25,58)),1+(LEFT(TRIM(INDEX(PASTE_ALL,25,58)),1)="-"),999),1)="%"))&lt;&gt;"",SUBSTITUTE(SUBSTITUTE(SUBSTITUTE(SUBSTITUTE(SUBSTITUTE(SUBSTITUTE(SUBSTITUTE(SUBSTITUTE(SUBSTITUTE(SUBSTITUTE(SUBSTITUTE(SUBSTITUTE(LEFT(MID(TRIM(INDEX(PASTE_ALL,25,58)),1+(LEFT(TRIM(INDEX(PASTE_ALL,25,58)),1)="-"),999),LEN(MID(TRIM(INDEX(PASTE_ALL,25,58)),1+(LEFT(TRIM(INDEX(PASTE_ALL,25,58)),1)="-"),999))-(RIGHT(MID(TRIM(INDEX(PASTE_ALL,25,58)),1+(LEFT(TRIM(INDEX(PASTE_ALL,25,58)),1)="-"),999),1)="%")),"0",""),"1",""),"2",""),"3",""),"4",""),"5",""),"6",""),"7",""),"8",""),"9",""),".",""),",","")=""),2,1))),1)</f>
        <v/>
      </c>
      <c r="CE74">
        <f>IFERROR(IF(ISNUMBER(INDEX(PASTE_ALL,25,59)),2,IF(TRIM(INDEX(PASTE_ALL,25,59))="",0,IF(AND(LEFT(MID(TRIM(INDEX(PASTE_ALL,25,59)),1+(LEFT(TRIM(INDEX(PASTE_ALL,25,59)),1)="-"),999),LEN(MID(TRIM(INDEX(PASTE_ALL,25,59)),1+(LEFT(TRIM(INDEX(PASTE_ALL,25,59)),1)="-"),999))-(RIGHT(MID(TRIM(INDEX(PASTE_ALL,25,59)),1+(LEFT(TRIM(INDEX(PASTE_ALL,25,59)),1)="-"),999),1)="%"))&lt;&gt;"",SUBSTITUTE(SUBSTITUTE(SUBSTITUTE(SUBSTITUTE(SUBSTITUTE(SUBSTITUTE(SUBSTITUTE(SUBSTITUTE(SUBSTITUTE(SUBSTITUTE(SUBSTITUTE(SUBSTITUTE(LEFT(MID(TRIM(INDEX(PASTE_ALL,25,59)),1+(LEFT(TRIM(INDEX(PASTE_ALL,25,59)),1)="-"),999),LEN(MID(TRIM(INDEX(PASTE_ALL,25,59)),1+(LEFT(TRIM(INDEX(PASTE_ALL,25,59)),1)="-"),999))-(RIGHT(MID(TRIM(INDEX(PASTE_ALL,25,59)),1+(LEFT(TRIM(INDEX(PASTE_ALL,25,59)),1)="-"),999),1)="%")),"0",""),"1",""),"2",""),"3",""),"4",""),"5",""),"6",""),"7",""),"8",""),"9",""),".",""),",","")=""),2,1))),1)</f>
        <v/>
      </c>
      <c r="CF74">
        <f>IFERROR(IF(ISNUMBER(INDEX(PASTE_ALL,25,60)),2,IF(TRIM(INDEX(PASTE_ALL,25,60))="",0,IF(AND(LEFT(MID(TRIM(INDEX(PASTE_ALL,25,60)),1+(LEFT(TRIM(INDEX(PASTE_ALL,25,60)),1)="-"),999),LEN(MID(TRIM(INDEX(PASTE_ALL,25,60)),1+(LEFT(TRIM(INDEX(PASTE_ALL,25,60)),1)="-"),999))-(RIGHT(MID(TRIM(INDEX(PASTE_ALL,25,60)),1+(LEFT(TRIM(INDEX(PASTE_ALL,25,60)),1)="-"),999),1)="%"))&lt;&gt;"",SUBSTITUTE(SUBSTITUTE(SUBSTITUTE(SUBSTITUTE(SUBSTITUTE(SUBSTITUTE(SUBSTITUTE(SUBSTITUTE(SUBSTITUTE(SUBSTITUTE(SUBSTITUTE(SUBSTITUTE(LEFT(MID(TRIM(INDEX(PASTE_ALL,25,60)),1+(LEFT(TRIM(INDEX(PASTE_ALL,25,60)),1)="-"),999),LEN(MID(TRIM(INDEX(PASTE_ALL,25,60)),1+(LEFT(TRIM(INDEX(PASTE_ALL,25,60)),1)="-"),999))-(RIGHT(MID(TRIM(INDEX(PASTE_ALL,25,60)),1+(LEFT(TRIM(INDEX(PASTE_ALL,25,60)),1)="-"),999),1)="%")),"0",""),"1",""),"2",""),"3",""),"4",""),"5",""),"6",""),"7",""),"8",""),"9",""),".",""),",","")=""),2,1))),1)</f>
        <v/>
      </c>
      <c r="DA74" t="n">
        <v>70</v>
      </c>
      <c r="DB74">
        <f>IF($B$37=0,"",IFERROR(TRIM(SUBSTITUTE(SUBSTITUTE(SUBSTITUTE(SUBSTITUTE(INDEX(PASTE_ALL,70,$B$37)," "," "),CHAR(9)," "),CHAR(10)," "),CHAR(13)," ")),""))</f>
        <v/>
      </c>
      <c r="DC74">
        <f>IF(AND(70&gt;HEADER_ROW,UPPER(DB74)="LEGEND"),1,0)</f>
        <v/>
      </c>
      <c r="DE74" t="n">
        <v>70</v>
      </c>
      <c r="DF74">
        <f>HEADER_ROW+$DE74</f>
        <v/>
      </c>
      <c r="DG74">
        <f>IF(AND($DF74&lt;=1000,$DF74&lt;$B$8),1,0)</f>
        <v/>
      </c>
      <c r="DH74">
        <f>IF($DG74=1,IFERROR(INDEX($DB$5:$DB$1004,$DF74),""),"")</f>
        <v/>
      </c>
      <c r="DI74">
        <f>IF(AND($DG74=1,$DH74&lt;&gt;""),IFERROR(SUBSTITUTE(SUBSTITUTE(TRIM(SUBSTITUTE(SUBSTITUTE(SUBSTITUTE(SUBSTITUTE(IFERROR(INDEX(PASTE_ALL,$DF74,1)&amp;"","")&amp;"␟"&amp;IFERROR(INDEX(PASTE_ALL,$DF74,2)&amp;"","")&amp;"␟"&amp;IFERROR(INDEX(PASTE_ALL,$DF74,3)&amp;"","")&amp;"␟"&amp;IFERROR(INDEX(PASTE_ALL,$DF74,4)&amp;"","")&amp;"␟"&amp;IFERROR(INDEX(PASTE_ALL,$DF74,5)&amp;"","")&amp;"␟"&amp;IFERROR(INDEX(PASTE_ALL,$DF74,6)&amp;"","")&amp;"␟"&amp;IFERROR(INDEX(PASTE_ALL,$DF74,7)&amp;"","")&amp;"␟"&amp;IFERROR(INDEX(PASTE_ALL,$DF74,8)&amp;"","")&amp;"␟"&amp;IFERROR(INDEX(PASTE_ALL,$DF74,9)&amp;"","")&amp;"␟"&amp;IFERROR(INDEX(PASTE_ALL,$DF74,10)&amp;"","")&amp;"␟"&amp;IFERROR(INDEX(PASTE_ALL,$DF74,11)&amp;"","")&amp;"␟"&amp;IFERROR(INDEX(PASTE_ALL,$DF74,12)&amp;"","")&amp;"␟"&amp;IFERROR(INDEX(PASTE_ALL,$DF74,13)&amp;"","")&amp;"␟"&amp;IFERROR(INDEX(PASTE_ALL,$DF74,14)&amp;"","")&amp;"␟"&amp;IFERROR(INDEX(PASTE_ALL,$DF74,15)&amp;"","")&amp;"␟"&amp;IFERROR(INDEX(PASTE_ALL,$DF74,16)&amp;"","")&amp;"␟"&amp;IFERROR(INDEX(PASTE_ALL,$DF74,17)&amp;"","")&amp;"␟"&amp;IFERROR(INDEX(PASTE_ALL,$DF74,18)&amp;"","")&amp;"␟"&amp;IFERROR(INDEX(PASTE_ALL,$DF74,19)&amp;"","")&amp;"␟"&amp;IFERROR(INDEX(PASTE_ALL,$DF74,20)&amp;"","")&amp;"␟"&amp;IFERROR(INDEX(PASTE_ALL,$DF74,21)&amp;"","")&amp;"␟"&amp;IFERROR(INDEX(PASTE_ALL,$DF74,22)&amp;"","")&amp;"␟"&amp;IFERROR(INDEX(PASTE_ALL,$DF74,23)&amp;"","")&amp;"␟"&amp;IFERROR(INDEX(PASTE_ALL,$DF74,24)&amp;"","")&amp;"␟"&amp;IFERROR(INDEX(PASTE_ALL,$DF74,25)&amp;"","")&amp;"␟"&amp;IFERROR(INDEX(PASTE_ALL,$DF74,26)&amp;"","")&amp;"␟"&amp;IFERROR(INDEX(PASTE_ALL,$DF74,27)&amp;"","")&amp;"␟"&amp;IFERROR(INDEX(PASTE_ALL,$DF74,28)&amp;"","")&amp;"␟"&amp;IFERROR(INDEX(PASTE_ALL,$DF74,29)&amp;"","")&amp;"␟"&amp;IFERROR(INDEX(PASTE_ALL,$DF74,30)&amp;"","")&amp;"␟"&amp;IFERROR(INDEX(PASTE_ALL,$DF74,31)&amp;"","")&amp;"␟"&amp;IFERROR(INDEX(PASTE_ALL,$DF74,32)&amp;"","")&amp;"␟"&amp;IFERROR(INDEX(PASTE_ALL,$DF74,33)&amp;"","")&amp;"␟"&amp;IFERROR(INDEX(PASTE_ALL,$DF74,34)&amp;"","")&amp;"␟"&amp;IFERROR(INDEX(PASTE_ALL,$DF74,35)&amp;"","")&amp;"␟"&amp;IFERROR(INDEX(PASTE_ALL,$DF74,36)&amp;"","")&amp;"␟"&amp;IFERROR(INDEX(PASTE_ALL,$DF74,37)&amp;"","")&amp;"␟"&amp;IFERROR(INDEX(PASTE_ALL,$DF74,38)&amp;"","")&amp;"␟"&amp;IFERROR(INDEX(PASTE_ALL,$DF74,39)&amp;"","")&amp;"␟"&amp;IFERROR(INDEX(PASTE_ALL,$DF74,40)&amp;"","")&amp;"␟"&amp;IFERROR(INDEX(PASTE_ALL,$DF74,41)&amp;"","")&amp;"␟"&amp;IFERROR(INDEX(PASTE_ALL,$DF74,42)&amp;"","")&amp;"␟"&amp;IFERROR(INDEX(PASTE_ALL,$DF74,43)&amp;"","")&amp;"␟"&amp;IFERROR(INDEX(PASTE_ALL,$DF74,44)&amp;"","")&amp;"␟"&amp;IFERROR(INDEX(PASTE_ALL,$DF74,45)&amp;"","")&amp;"␟"&amp;IFERROR(INDEX(PASTE_ALL,$DF74,46)&amp;"","")&amp;"␟"&amp;IFERROR(INDEX(PASTE_ALL,$DF74,47)&amp;"","")&amp;"␟"&amp;IFERROR(INDEX(PASTE_ALL,$DF74,48)&amp;"","")&amp;"␟"&amp;IFERROR(INDEX(PASTE_ALL,$DF74,49)&amp;"","")&amp;"␟"&amp;IFERROR(INDEX(PASTE_ALL,$DF74,50)&amp;"","")&amp;"␟"&amp;IFERROR(INDEX(PASTE_ALL,$DF74,51)&amp;"","")&amp;"␟"&amp;IFERROR(INDEX(PASTE_ALL,$DF74,52)&amp;"","")&amp;"␟"&amp;IFERROR(INDEX(PASTE_ALL,$DF74,53)&amp;"","")&amp;"␟"&amp;IFERROR(INDEX(PASTE_ALL,$DF74,54)&amp;"","")&amp;"␟"&amp;IFERROR(INDEX(PASTE_ALL,$DF74,55)&amp;"","")&amp;"␟"&amp;IFERROR(INDEX(PASTE_ALL,$DF74,56)&amp;"","")&amp;"␟"&amp;IFERROR(INDEX(PASTE_ALL,$DF74,57)&amp;"","")&amp;"␟"&amp;IFERROR(INDEX(PASTE_ALL,$DF74,58)&amp;"","")&amp;"␟"&amp;IFERROR(INDEX(PASTE_ALL,$DF74,59)&amp;"","")&amp;"␟"&amp;IFERROR(INDEX(PASTE_ALL,$DF74,60)&amp;"","")," "," "),CHAR(9)," "),CHAR(10)," "),CHAR(13)," "))," ␟","␟"),"␟ ","␟"),"#"&amp;$DE74),"")</f>
        <v/>
      </c>
      <c r="DJ74">
        <f>IF($DI74="",0,IF(SUMPRODUCT(--EXACT($DI$4:DI73,$DI74))&gt;0,1,0))</f>
        <v/>
      </c>
      <c r="DK74">
        <f>IF(AND($DI74&lt;&gt;"",$DJ74=0),1,0)</f>
        <v/>
      </c>
      <c r="DL74">
        <f>DL73+$DK74</f>
        <v/>
      </c>
      <c r="DM74">
        <f>IF(AND($DK74=1,$DL74&lt;=600),1,0)</f>
        <v/>
      </c>
      <c r="DN74">
        <f>IF($DM74=0,"",IF($L$6=0,"",IFERROR(IF(ISNUMBER(INDEX(PASTE_ALL,$DF74,$L$6)),INDEX(PASTE_ALL,$DF74,$L$6),TRIM(SUBSTITUTE(SUBSTITUTE(SUBSTITUTE(SUBSTITUTE(INDEX(PASTE_ALL,$DF74,$L$6)," "," "),CHAR(9)," "),CHAR(10)," "),CHAR(13)," "))),"")))</f>
        <v/>
      </c>
      <c r="DO74">
        <f>IF($DM74=0,"",IF($L$7=0,"",IFERROR(IF(ISNUMBER(INDEX(PASTE_ALL,$DF74,$L$7)),INDEX(PASTE_ALL,$DF74,$L$7),TRIM(SUBSTITUTE(SUBSTITUTE(SUBSTITUTE(SUBSTITUTE(INDEX(PASTE_ALL,$DF74,$L$7)," "," "),CHAR(9)," "),CHAR(10)," "),CHAR(13)," "))),"")))</f>
        <v/>
      </c>
      <c r="DP74">
        <f>IF($DM74=0,"",IF($L$8=0,"",IFERROR(IF(ISNUMBER(INDEX(PASTE_ALL,$DF74,$L$8)),INDEX(PASTE_ALL,$DF74,$L$8),TRIM(SUBSTITUTE(SUBSTITUTE(SUBSTITUTE(SUBSTITUTE(INDEX(PASTE_ALL,$DF74,$L$8)," "," "),CHAR(9)," "),CHAR(10)," "),CHAR(13)," "))),"")))</f>
        <v/>
      </c>
      <c r="DQ74">
        <f>IF($DM74=0,"",IF($L$9=0,"",IFERROR(IF(ISNUMBER(INDEX(PASTE_ALL,$DF74,$L$9)),INDEX(PASTE_ALL,$DF74,$L$9),TRIM(SUBSTITUTE(SUBSTITUTE(SUBSTITUTE(SUBSTITUTE(INDEX(PASTE_ALL,$DF74,$L$9)," "," "),CHAR(9)," "),CHAR(10)," "),CHAR(13)," "))),"")))</f>
        <v/>
      </c>
      <c r="DR74">
        <f>IF($DM74=0,"",IF($L$10=0,"",IFERROR(IF(ISNUMBER(INDEX(PASTE_ALL,$DF74,$L$10)),INDEX(PASTE_ALL,$DF74,$L$10),TRIM(SUBSTITUTE(SUBSTITUTE(SUBSTITUTE(SUBSTITUTE(INDEX(PASTE_ALL,$DF74,$L$10)," "," "),CHAR(9)," "),CHAR(10)," "),CHAR(13)," "))),"")))</f>
        <v/>
      </c>
      <c r="DS74">
        <f>IF($DM74=0,"",IF($L$11=0,"",IFERROR(IF(ISNUMBER(INDEX(PASTE_ALL,$DF74,$L$11)),INDEX(PASTE_ALL,$DF74,$L$11),TRIM(SUBSTITUTE(SUBSTITUTE(SUBSTITUTE(SUBSTITUTE(INDEX(PASTE_ALL,$DF74,$L$11)," "," "),CHAR(9)," "),CHAR(10)," "),CHAR(13)," "))),"")))</f>
        <v/>
      </c>
      <c r="DT74">
        <f>IF($DM74=0,"",IF($L$12=0,"",IFERROR(IF(ISNUMBER(INDEX(PASTE_ALL,$DF74,$L$12)),INDEX(PASTE_ALL,$DF74,$L$12),TRIM(SUBSTITUTE(SUBSTITUTE(SUBSTITUTE(SUBSTITUTE(INDEX(PASTE_ALL,$DF74,$L$12)," "," "),CHAR(9)," "),CHAR(10)," "),CHAR(13)," "))),"")))</f>
        <v/>
      </c>
      <c r="DU74">
        <f>IF($DM74=0,"",IF($L$13=0,"",IFERROR(IF(ISNUMBER(INDEX(PASTE_ALL,$DF74,$L$13)),INDEX(PASTE_ALL,$DF74,$L$13),TRIM(SUBSTITUTE(SUBSTITUTE(SUBSTITUTE(SUBSTITUTE(INDEX(PASTE_ALL,$DF74,$L$13)," "," "),CHAR(9)," "),CHAR(10)," "),CHAR(13)," "))),"")))</f>
        <v/>
      </c>
      <c r="DV74">
        <f>IF($DM74=0,"",IF($L$14=0,"",IFERROR(IF(ISNUMBER(INDEX(PASTE_ALL,$DF74,$L$14)),INDEX(PASTE_ALL,$DF74,$L$14),TRIM(SUBSTITUTE(SUBSTITUTE(SUBSTITUTE(SUBSTITUTE(INDEX(PASTE_ALL,$DF74,$L$14)," "," "),CHAR(9)," "),CHAR(10)," "),CHAR(13)," "))),"")))</f>
        <v/>
      </c>
      <c r="DW74">
        <f>IF($DM74=0,"",IF($L$15=0,"",IFERROR(IF(ISNUMBER(INDEX(PASTE_ALL,$DF74,$L$15)),INDEX(PASTE_ALL,$DF74,$L$15),IF(SUMPRODUCT(--ISNUMBER(FIND({"A","B","C","D","E","F","G","H","I","J","K","L","M","N","O","P","Q","R","S","T","U","V","W","X","Y","Z","0","1","2","3","4","5","6","7","8","9"},UPPER(TRIM(SUBSTITUTE(SUBSTITUTE(SUBSTITUTE(SUBSTITUTE(INDEX(PASTE_ALL,$DF74,$L$15)," "," "),CHAR(9)," "),CHAR(10)," "),CHAR(13)," "))))))&gt;0,TRIM(SUBSTITUTE(SUBSTITUTE(SUBSTITUTE(SUBSTITUTE(INDEX(PASTE_ALL,$DF74,$L$15)," "," "),CHAR(9)," "),CHAR(10)," "),CHAR(13)," ")),"")),"")))</f>
        <v/>
      </c>
      <c r="DX74">
        <f>IF($DM74=0,"",IF($L$16=0,"",IFERROR(IF(ISNUMBER(INDEX(PASTE_ALL,$DF74,$L$16)),INDEX(PASTE_ALL,$DF74,$L$16),SUBSTITUTE(SUBSTITUTE(TRIM(SUBSTITUTE(SUBSTITUTE(SUBSTITUTE(SUBSTITUTE(INDEX(PASTE_ALL,$DF74,$L$16)," "," "),CHAR(9)," "),CHAR(10)," "),CHAR(13)," ")),",",""),"%","")),"")))</f>
        <v/>
      </c>
      <c r="DY74">
        <f>IF($DM74=0,"",IFERROR(IF(ISNUMBER($DX74),$DX74,IF($DX74="","",IF(TRIM($DX74)="",0,IF(AND(AND(SUBSTITUTE(SUBSTITUTE(SUBSTITUTE(SUBSTITUTE(SUBSTITUTE(SUBSTITUTE(SUBSTITUTE(SUBSTITUTE(SUBSTITUTE(SUBSTITUTE(SUBSTITUTE(SUBSTITUTE(SUBSTITUTE(SUBSTITUTE(UPPER(TRIM($DX74)),"0",""),"1",""),"2",""),"3",""),"4",""),"5",""),"6",""),"7",""),"8",""),"9",""),".",""),"+",""),"-",""),"E","")="",LEN(SUBSTITUTE(SUBSTITUTE(MID(UPPER(TRIM($DX74)),1+OR(LEFT(UPPER(TRIM($DX74)),1)="+",LEFT(UPPER(TRIM($DX74)),1)="-"),999),"E+","E"),"E-","E"))=LEN(SUBSTITUTE(SUBSTITUTE(SUBSTITUTE(SUBSTITUTE(MID(UPPER(TRIM($DX74)),1+OR(LEFT(UPPER(TRIM($DX74)),1)="+",LEFT(UPPER(TRIM($DX74)),1)="-"),999),"E+","E"),"E-","E"),"+",""),"-","")),LEN(UPPER(TRIM($DX74)))-LEN(SUBSTITUTE(UPPER(TRIM($DX74)),"E",""))&lt;2,LEN(UPPER(TRIM($DX74)))-LEN(SUBSTITUTE(UPPER(TRIM($DX74)),".",""))&lt;2,IFERROR(FIND(".",UPPER(TRIM($DX74))),0)&lt;IFERROR(FIND("E",UPPER(TRIM($DX74))),999)),ISNUMBER(VALUE(TRIM($DX74)))),VALUE(TRIM($DX74)),"")))),""))</f>
        <v/>
      </c>
      <c r="DZ74">
        <f>IF($DM74=0,"",IF($L$17=0,"",IFERROR(IF(ISNUMBER(INDEX(PASTE_ALL,$DF74,$L$17)),INDEX(PASTE_ALL,$DF74,$L$17),SUBSTITUTE(SUBSTITUTE(TRIM(SUBSTITUTE(SUBSTITUTE(SUBSTITUTE(SUBSTITUTE(INDEX(PASTE_ALL,$DF74,$L$17)," "," "),CHAR(9)," "),CHAR(10)," "),CHAR(13)," ")),",",""),"%","")),"")))</f>
        <v/>
      </c>
      <c r="EA74">
        <f>IF($DM74=0,"",IFERROR(IF(ISNUMBER($DZ74),$DZ74,IF($DZ74="","",IF(TRIM($DZ74)="",0,IF(AND(AND(SUBSTITUTE(SUBSTITUTE(SUBSTITUTE(SUBSTITUTE(SUBSTITUTE(SUBSTITUTE(SUBSTITUTE(SUBSTITUTE(SUBSTITUTE(SUBSTITUTE(SUBSTITUTE(SUBSTITUTE(SUBSTITUTE(SUBSTITUTE(UPPER(TRIM($DZ74)),"0",""),"1",""),"2",""),"3",""),"4",""),"5",""),"6",""),"7",""),"8",""),"9",""),".",""),"+",""),"-",""),"E","")="",LEN(SUBSTITUTE(SUBSTITUTE(MID(UPPER(TRIM($DZ74)),1+OR(LEFT(UPPER(TRIM($DZ74)),1)="+",LEFT(UPPER(TRIM($DZ74)),1)="-"),999),"E+","E"),"E-","E"))=LEN(SUBSTITUTE(SUBSTITUTE(SUBSTITUTE(SUBSTITUTE(MID(UPPER(TRIM($DZ74)),1+OR(LEFT(UPPER(TRIM($DZ74)),1)="+",LEFT(UPPER(TRIM($DZ74)),1)="-"),999),"E+","E"),"E-","E"),"+",""),"-","")),LEN(UPPER(TRIM($DZ74)))-LEN(SUBSTITUTE(UPPER(TRIM($DZ74)),"E",""))&lt;2,LEN(UPPER(TRIM($DZ74)))-LEN(SUBSTITUTE(UPPER(TRIM($DZ74)),".",""))&lt;2,IFERROR(FIND(".",UPPER(TRIM($DZ74))),0)&lt;IFERROR(FIND("E",UPPER(TRIM($DZ74))),999)),ISNUMBER(VALUE(TRIM($DZ74)))),VALUE(TRIM($DZ74)),"")))),""))</f>
        <v/>
      </c>
      <c r="EB74">
        <f>IF($DM74=0,"",IF($L$18=0,"",IFERROR(IF(UPPER(TRIM(SUBSTITUTE(SUBSTITUTE(SUBSTITUTE(SUBSTITUTE(INDEX(PASTE_ALL,$DF74,$L$18)," "," "),CHAR(9)," "),CHAR(10)," "),CHAR(13)," ")))="READY","Ready",IF(UPPER(TRIM(SUBSTITUTE(SUBSTITUTE(SUBSTITUTE(SUBSTITUTE(INDEX(PASTE_ALL,$DF74,$L$18)," "," "),CHAR(9)," "),CHAR(10)," "),CHAR(13)," ")))="PM","PM",IF(OR(UPPER(TRIM(SUBSTITUTE(SUBSTITUTE(SUBSTITUTE(SUBSTITUTE(INDEX(PASTE_ALL,$DF74,$L$18)," "," "),CHAR(9)," "),CHAR(10)," "),CHAR(13)," ")))="OT",UPPER(TRIM(SUBSTITUTE(SUBSTITUTE(SUBSTITUTE(SUBSTITUTE(INDEX(PASTE_ALL,$DF74,$L$18)," "," "),CHAR(9)," "),CHAR(10)," "),CHAR(13)," ")))="OVERTIME",UPPER(TRIM(SUBSTITUTE(SUBSTITUTE(SUBSTITUTE(SUBSTITUTE(INDEX(PASTE_ALL,$DF74,$L$18)," "," "),CHAR(9)," "),CHAR(10)," "),CHAR(13)," ")))="TRIAL"),"OT",TRIM(SUBSTITUTE(SUBSTITUTE(SUBSTITUTE(SUBSTITUTE(INDEX(PASTE_ALL,$DF74,$L$18)," "," "),CHAR(9)," "),CHAR(10)," "),CHAR(13)," "))))),"")))</f>
        <v/>
      </c>
      <c r="EC74">
        <f>IF($DM74=0,"",IF($L$19=0,"",IFERROR(IF(ISNUMBER(INDEX(PASTE_ALL,$DF74,$L$19)),INDEX(PASTE_ALL,$DF74,$L$19),TRIM(SUBSTITUTE(SUBSTITUTE(SUBSTITUTE(SUBSTITUTE(INDEX(PASTE_ALL,$DF74,$L$19)," "," "),CHAR(9)," "),CHAR(10)," "),CHAR(13)," "))),"")))</f>
        <v/>
      </c>
      <c r="ED74">
        <f>IF($DM74=0,"",MATCH(1,INDEX(EXACT($DH$5:DH74,$DH74)*$DM$5:DM74,0),0))</f>
        <v/>
      </c>
      <c r="EE74">
        <f>IF($DM74=0,0,IF($ED74=$DE74,1,0))</f>
        <v/>
      </c>
      <c r="EF74">
        <f>EF73+$EE74</f>
        <v/>
      </c>
      <c r="EG74">
        <f>IF($DM74=0,"",INDEX($EF$5:$EF$1003,$ED74))</f>
        <v/>
      </c>
      <c r="EH74">
        <f>IF($DM74=0,"",IF($DO74&lt;&gt;"","",IFERROR(LOOKUP(2,1/(($EG$4:EG73=$EG74)*($DO$4:DO73&lt;&gt;"")),$DO$4:DO73),"")))</f>
        <v/>
      </c>
      <c r="EI74">
        <f>IF($DM74=0,"",IF($DO74&lt;&gt;"",$DO74,$EH74))</f>
        <v/>
      </c>
      <c r="EJ74">
        <f>IF($DM74=0,"",IF($EI74="",0,IF(OR(ISNUMBER($EI74),AND(AND(SUBSTITUTE(SUBSTITUTE(SUBSTITUTE(SUBSTITUTE(SUBSTITUTE(SUBSTITUTE(SUBSTITUTE(SUBSTITUTE(SUBSTITUTE(SUBSTITUTE(SUBSTITUTE(SUBSTITUTE(SUBSTITUTE(SUBSTITUTE(UPPER($EI74),"0",""),"1",""),"2",""),"3",""),"4",""),"5",""),"6",""),"7",""),"8",""),"9",""),".",""),"+",""),"-",""),"E","")="",LEN(SUBSTITUTE(SUBSTITUTE(MID(UPPER($EI74),1+OR(LEFT(UPPER($EI74),1)="+",LEFT(UPPER($EI74),1)="-"),999),"E+","E"),"E-","E"))=LEN(SUBSTITUTE(SUBSTITUTE(SUBSTITUTE(SUBSTITUTE(MID(UPPER($EI74),1+OR(LEFT(UPPER($EI74),1)="+",LEFT(UPPER($EI74),1)="-"),999),"E+","E"),"E-","E"),"+",""),"-","")),LEN(UPPER($EI74))-LEN(SUBSTITUTE(UPPER($EI74),"E",""))&lt;2,LEN(UPPER($EI74))-LEN(SUBSTITUTE(UPPER($EI74),".",""))&lt;2,IFERROR(FIND(".",UPPER($EI74)),0)&lt;IFERROR(FIND("E",UPPER($EI74)),999)),ISNUMBER(VALUE($EI74)))),1,2)))</f>
        <v/>
      </c>
      <c r="EK74">
        <f>IF($DM74=0,"",IF($EJ74=1,IF(ISNUMBER($EI74),$EI74,VALUE($EI74)),IF($EJ74=2,$DE74,0)))</f>
        <v/>
      </c>
      <c r="EL74">
        <f>IF($DM74=0,"",COUNTIF($EG$5:$EG$1003,"&lt;"&amp;$EG74)+SUMPRODUCT(($EG$5:$EG$1003=$EG74)*(($EJ$5:$EJ$1003&lt;$EJ74)+($EJ$5:$EJ$1003=$EJ74)*(($EK$5:$EK$1003&lt;$EK74)+($EK$5:$EK$1003=$EK74)*($DE$5:$DE$1003&lt;$DE74))))+1)</f>
        <v/>
      </c>
      <c r="EM74">
        <f>IF($DM74=0,"",$EL74+$EG74-1)</f>
        <v/>
      </c>
      <c r="EN74">
        <f>IF($DM74=0,0,IFERROR(MATCH(1,INDEX(--(TRIM(SUBSTITUTE(SUBSTITUTE(SUBSTITUTE(SUBSTITUTE(LINES_NAME&amp;""," "," "),CHAR(9)," "),CHAR(10)," "),CHAR(13)," "))=$DH74),0),0),0))</f>
        <v/>
      </c>
      <c r="EO74">
        <f>IF($EN74=0,0,IF(OR(UPPER(TRIM(INDEX(LINES_SCHEDULED,$EN74)&amp;""))="YES",UPPER(TRIM(INDEX(LINES_SCHEDULED,$EN74)&amp;""))="Y",UPPER(TRIM(INDEX(LINES_SCHEDULED,$EN74)&amp;""))="X"),1,0))</f>
        <v/>
      </c>
      <c r="EP74">
        <f>IF($DM74=0,"",IF(COUNTIFS($EG$5:$EG$1003,$EG74,$EB$5:$EB$1003,"Ready")&gt;0,"READY",IF(COUNTIFS($EG$5:$EG$1003,$EG74,$EB$5:$EB$1003,"PM")&gt;0,"PM",IF(COUNTIFS($EG$5:$EG$1003,$EG74,$EB$5:$EB$1003,"OT")&gt;0,"OT",""))))</f>
        <v/>
      </c>
      <c r="EQ74">
        <f>IF($EN74=0,"",UPPER(TRIM(INDEX(LINES_STATUS,$EN74)&amp;"")))</f>
        <v/>
      </c>
      <c r="ER74">
        <f>IF($DM74=0,"",IF(OR($EQ74="READY",$EQ74="PM",$EQ74="OT"),$EQ74,$EP74))</f>
        <v/>
      </c>
      <c r="ES74">
        <f>IF($DM74=0,"",IF(AND($DV74&lt;&gt;"",UPPER($DV74)&lt;&gt;"N"),"allergen",IF(ISNUMBER(SEARCH("oil",$DQ74)),"oil",IF(OR(EXACT($DS74,"A662"),EXACT($DS74,"A624")),"bulk",""))))</f>
        <v/>
      </c>
      <c r="ET74">
        <f>IF($DM74=0,"",IF(OR($EA74="",$EA74=0),"",$EA74/100))</f>
        <v/>
      </c>
      <c r="EU74">
        <f>IF(OR($ET74="",$DY74=""),"",INT($DY74*(1-$ET74)+0.5))</f>
        <v/>
      </c>
      <c r="EW74" t="n">
        <v>70</v>
      </c>
      <c r="EX74">
        <f>IFERROR(MATCH($EW74,$EM$5:$EM$1003,0),0)</f>
        <v/>
      </c>
      <c r="EY74">
        <f>IF($EW74&gt;$B$12,"",IF($EX74&gt;0,"row","spacer"))</f>
        <v/>
      </c>
      <c r="EZ74">
        <f>IF(AND($EY74="row",$EY73&lt;&gt;"row"),1,0)</f>
        <v/>
      </c>
      <c r="FA74">
        <f>IF(AND($EY74="row",$EY75&lt;&gt;"row"),1,0)</f>
        <v/>
      </c>
      <c r="FB74">
        <f>IF($EZ74=1,IFERROR(IF(ISNUMBER(INDEX(PASTE_ALL,INDEX($DF$5:$DF$1003,$EX74),$B$37)),INDEX(PASTE_ALL,INDEX($DF$5:$DF$1003,$EX74),$B$37),INDEX($DH$5:$DH$1003,$EX74)),INDEX($DH$5:$DH$1003,$EX74)),"")</f>
        <v/>
      </c>
      <c r="FC74">
        <f>IF($EY74="row",INDEX($ER$5:$ER$1003,$EX74),"")</f>
        <v/>
      </c>
      <c r="FD74">
        <f>IF($EY74="row",INDEX($DN$5:$DN$1003,$EX74),"")</f>
        <v/>
      </c>
      <c r="FE74">
        <f>IF($EY74="row",INDEX($DO$5:$DO$1003,$EX74),"")</f>
        <v/>
      </c>
      <c r="FF74">
        <f>IF($EY74="row",INDEX($DP$5:$DP$1003,$EX74),"")</f>
        <v/>
      </c>
      <c r="FG74">
        <f>IF($EY74="row",INDEX($DQ$5:$DQ$1003,$EX74),"")</f>
        <v/>
      </c>
      <c r="FH74">
        <f>IF($EY74="row",INDEX($DR$5:$DR$1003,$EX74),"")</f>
        <v/>
      </c>
      <c r="FI74">
        <f>IF($EY74="row",INDEX($DS$5:$DS$1003,$EX74),"")</f>
        <v/>
      </c>
      <c r="FJ74">
        <f>IF($EY74="row",INDEX($DT$5:$DT$1003,$EX74),"")</f>
        <v/>
      </c>
      <c r="FK74">
        <f>IF($EY74="row",INDEX($DU$5:$DU$1003,$EX74),"")</f>
        <v/>
      </c>
      <c r="FL74">
        <f>IF($EY74="row",INDEX($DV$5:$DV$1003,$EX74),"")</f>
        <v/>
      </c>
      <c r="FM74">
        <f>IF($EY74="row",INDEX($DW$5:$DW$1003,$EX74),"")</f>
        <v/>
      </c>
      <c r="FN74">
        <f>IF($EY74="row",INDEX($DY$5:$DY$1003,$EX74),"")</f>
        <v/>
      </c>
      <c r="FO74">
        <f>IF($EY74="row",INDEX($EA$5:$EA$1003,$EX74),"")</f>
        <v/>
      </c>
      <c r="FP74">
        <f>IF($EY74="row",INDEX($EC$5:$EC$1003,$EX74),"")</f>
        <v/>
      </c>
      <c r="FQ74">
        <f>IF($EY74="row",INDEX($ET$5:$ET$1003,$EX74),"")</f>
        <v/>
      </c>
      <c r="FR74">
        <f>IF($EY74="row",INDEX($EU$5:$EU$1003,$EX74),"")</f>
        <v/>
      </c>
      <c r="FS74">
        <f>IF(AND($EY74="row",$EY73="row"),IF(OR(INDEX($DT$5:$DT$1003,$EX73)="",INDEX($DT$5:$DT$1003,$EX74)=""),"",IF(NOT(EXACT(INDEX($DT$5:$DT$1003,$EX73),INDEX($DT$5:$DT$1003,$EX74))),"S4",IF(NOT(EXACT(INDEX($DS$5:$DS$1003,$EX73),INDEX($DS$5:$DS$1003,$EX74))),"S3",IF(NOT(EXACT(INDEX($DR$5:$DR$1003,$EX73),INDEX($DR$5:$DR$1003,$EX74))),"S1 Count Change","S1")))),"")</f>
        <v/>
      </c>
      <c r="FT74">
        <f>IF($EY74="row",INDEX($ES$5:$ES$1003,$EX74),"")</f>
        <v/>
      </c>
      <c r="FU74">
        <f>IF($EY74="row",INDEX($EO$5:$EO$1003,$EX74),0)</f>
        <v/>
      </c>
      <c r="FV74">
        <f>IF($FS74="S1 Count Change",1,0)</f>
        <v/>
      </c>
      <c r="FX74" t="n">
        <v>70</v>
      </c>
      <c r="FY74">
        <f>IFERROR(MATCH($FX74,$EF$5:$EF$1003,0),0)</f>
        <v/>
      </c>
      <c r="FZ74">
        <f>IF($FY74=0,"",INDEX($DH$5:$DH$1003,$FY74))</f>
        <v/>
      </c>
      <c r="GA74">
        <f>IF($FY74=0,"",COUNTIF($EG$5:$EG$1003,$FX74))</f>
        <v/>
      </c>
      <c r="GB74">
        <f>IF($FY74=0,"",INDEX($ER$5:$ER$1003,$FY74))</f>
        <v/>
      </c>
      <c r="GC74">
        <f>IF($FY74=0,"",IF(INDEX($EO$5:$EO$1003,$FY74)=1,"Yes",""))</f>
        <v/>
      </c>
      <c r="GD74">
        <f>IF($FY74=0,"",IF(INDEX($EN$5:$EN$1003,$FY74)&gt;0,"","NOT IN YOUR LIST - type it in column A to tick it"))</f>
        <v/>
      </c>
      <c r="GE74">
        <f>IF(AND($FY74&gt;0,$GD74&lt;&gt;""),1,0)</f>
        <v/>
      </c>
      <c r="GF74">
        <f>GF73+$GE74</f>
        <v/>
      </c>
      <c r="GG74">
        <f>IFERROR(INDEX($FZ$5:$FZ$104,MATCH($FX74,$GF$5:$GF$104,0)),"")</f>
        <v/>
      </c>
    </row>
    <row r="75">
      <c r="V75" t="inlineStr">
        <is>
          <t>ORDERQTY</t>
        </is>
      </c>
      <c r="W75" t="n">
        <v>12</v>
      </c>
      <c r="Y75">
        <f>IFERROR(IF(ISNUMBER(INDEX(PASTE_ALL,26,1)),2,IF(TRIM(INDEX(PASTE_ALL,26,1))="",0,IF(AND(LEFT(MID(TRIM(INDEX(PASTE_ALL,26,1)),1+(LEFT(TRIM(INDEX(PASTE_ALL,26,1)),1)="-"),999),LEN(MID(TRIM(INDEX(PASTE_ALL,26,1)),1+(LEFT(TRIM(INDEX(PASTE_ALL,26,1)),1)="-"),999))-(RIGHT(MID(TRIM(INDEX(PASTE_ALL,26,1)),1+(LEFT(TRIM(INDEX(PASTE_ALL,26,1)),1)="-"),999),1)="%"))&lt;&gt;"",SUBSTITUTE(SUBSTITUTE(SUBSTITUTE(SUBSTITUTE(SUBSTITUTE(SUBSTITUTE(SUBSTITUTE(SUBSTITUTE(SUBSTITUTE(SUBSTITUTE(SUBSTITUTE(SUBSTITUTE(LEFT(MID(TRIM(INDEX(PASTE_ALL,26,1)),1+(LEFT(TRIM(INDEX(PASTE_ALL,26,1)),1)="-"),999),LEN(MID(TRIM(INDEX(PASTE_ALL,26,1)),1+(LEFT(TRIM(INDEX(PASTE_ALL,26,1)),1)="-"),999))-(RIGHT(MID(TRIM(INDEX(PASTE_ALL,26,1)),1+(LEFT(TRIM(INDEX(PASTE_ALL,26,1)),1)="-"),999),1)="%")),"0",""),"1",""),"2",""),"3",""),"4",""),"5",""),"6",""),"7",""),"8",""),"9",""),".",""),",","")=""),2,1))),1)</f>
        <v/>
      </c>
      <c r="Z75">
        <f>IFERROR(IF(ISNUMBER(INDEX(PASTE_ALL,26,2)),2,IF(TRIM(INDEX(PASTE_ALL,26,2))="",0,IF(AND(LEFT(MID(TRIM(INDEX(PASTE_ALL,26,2)),1+(LEFT(TRIM(INDEX(PASTE_ALL,26,2)),1)="-"),999),LEN(MID(TRIM(INDEX(PASTE_ALL,26,2)),1+(LEFT(TRIM(INDEX(PASTE_ALL,26,2)),1)="-"),999))-(RIGHT(MID(TRIM(INDEX(PASTE_ALL,26,2)),1+(LEFT(TRIM(INDEX(PASTE_ALL,26,2)),1)="-"),999),1)="%"))&lt;&gt;"",SUBSTITUTE(SUBSTITUTE(SUBSTITUTE(SUBSTITUTE(SUBSTITUTE(SUBSTITUTE(SUBSTITUTE(SUBSTITUTE(SUBSTITUTE(SUBSTITUTE(SUBSTITUTE(SUBSTITUTE(LEFT(MID(TRIM(INDEX(PASTE_ALL,26,2)),1+(LEFT(TRIM(INDEX(PASTE_ALL,26,2)),1)="-"),999),LEN(MID(TRIM(INDEX(PASTE_ALL,26,2)),1+(LEFT(TRIM(INDEX(PASTE_ALL,26,2)),1)="-"),999))-(RIGHT(MID(TRIM(INDEX(PASTE_ALL,26,2)),1+(LEFT(TRIM(INDEX(PASTE_ALL,26,2)),1)="-"),999),1)="%")),"0",""),"1",""),"2",""),"3",""),"4",""),"5",""),"6",""),"7",""),"8",""),"9",""),".",""),",","")=""),2,1))),1)</f>
        <v/>
      </c>
      <c r="AA75">
        <f>IFERROR(IF(ISNUMBER(INDEX(PASTE_ALL,26,3)),2,IF(TRIM(INDEX(PASTE_ALL,26,3))="",0,IF(AND(LEFT(MID(TRIM(INDEX(PASTE_ALL,26,3)),1+(LEFT(TRIM(INDEX(PASTE_ALL,26,3)),1)="-"),999),LEN(MID(TRIM(INDEX(PASTE_ALL,26,3)),1+(LEFT(TRIM(INDEX(PASTE_ALL,26,3)),1)="-"),999))-(RIGHT(MID(TRIM(INDEX(PASTE_ALL,26,3)),1+(LEFT(TRIM(INDEX(PASTE_ALL,26,3)),1)="-"),999),1)="%"))&lt;&gt;"",SUBSTITUTE(SUBSTITUTE(SUBSTITUTE(SUBSTITUTE(SUBSTITUTE(SUBSTITUTE(SUBSTITUTE(SUBSTITUTE(SUBSTITUTE(SUBSTITUTE(SUBSTITUTE(SUBSTITUTE(LEFT(MID(TRIM(INDEX(PASTE_ALL,26,3)),1+(LEFT(TRIM(INDEX(PASTE_ALL,26,3)),1)="-"),999),LEN(MID(TRIM(INDEX(PASTE_ALL,26,3)),1+(LEFT(TRIM(INDEX(PASTE_ALL,26,3)),1)="-"),999))-(RIGHT(MID(TRIM(INDEX(PASTE_ALL,26,3)),1+(LEFT(TRIM(INDEX(PASTE_ALL,26,3)),1)="-"),999),1)="%")),"0",""),"1",""),"2",""),"3",""),"4",""),"5",""),"6",""),"7",""),"8",""),"9",""),".",""),",","")=""),2,1))),1)</f>
        <v/>
      </c>
      <c r="AB75">
        <f>IFERROR(IF(ISNUMBER(INDEX(PASTE_ALL,26,4)),2,IF(TRIM(INDEX(PASTE_ALL,26,4))="",0,IF(AND(LEFT(MID(TRIM(INDEX(PASTE_ALL,26,4)),1+(LEFT(TRIM(INDEX(PASTE_ALL,26,4)),1)="-"),999),LEN(MID(TRIM(INDEX(PASTE_ALL,26,4)),1+(LEFT(TRIM(INDEX(PASTE_ALL,26,4)),1)="-"),999))-(RIGHT(MID(TRIM(INDEX(PASTE_ALL,26,4)),1+(LEFT(TRIM(INDEX(PASTE_ALL,26,4)),1)="-"),999),1)="%"))&lt;&gt;"",SUBSTITUTE(SUBSTITUTE(SUBSTITUTE(SUBSTITUTE(SUBSTITUTE(SUBSTITUTE(SUBSTITUTE(SUBSTITUTE(SUBSTITUTE(SUBSTITUTE(SUBSTITUTE(SUBSTITUTE(LEFT(MID(TRIM(INDEX(PASTE_ALL,26,4)),1+(LEFT(TRIM(INDEX(PASTE_ALL,26,4)),1)="-"),999),LEN(MID(TRIM(INDEX(PASTE_ALL,26,4)),1+(LEFT(TRIM(INDEX(PASTE_ALL,26,4)),1)="-"),999))-(RIGHT(MID(TRIM(INDEX(PASTE_ALL,26,4)),1+(LEFT(TRIM(INDEX(PASTE_ALL,26,4)),1)="-"),999),1)="%")),"0",""),"1",""),"2",""),"3",""),"4",""),"5",""),"6",""),"7",""),"8",""),"9",""),".",""),",","")=""),2,1))),1)</f>
        <v/>
      </c>
      <c r="AC75">
        <f>IFERROR(IF(ISNUMBER(INDEX(PASTE_ALL,26,5)),2,IF(TRIM(INDEX(PASTE_ALL,26,5))="",0,IF(AND(LEFT(MID(TRIM(INDEX(PASTE_ALL,26,5)),1+(LEFT(TRIM(INDEX(PASTE_ALL,26,5)),1)="-"),999),LEN(MID(TRIM(INDEX(PASTE_ALL,26,5)),1+(LEFT(TRIM(INDEX(PASTE_ALL,26,5)),1)="-"),999))-(RIGHT(MID(TRIM(INDEX(PASTE_ALL,26,5)),1+(LEFT(TRIM(INDEX(PASTE_ALL,26,5)),1)="-"),999),1)="%"))&lt;&gt;"",SUBSTITUTE(SUBSTITUTE(SUBSTITUTE(SUBSTITUTE(SUBSTITUTE(SUBSTITUTE(SUBSTITUTE(SUBSTITUTE(SUBSTITUTE(SUBSTITUTE(SUBSTITUTE(SUBSTITUTE(LEFT(MID(TRIM(INDEX(PASTE_ALL,26,5)),1+(LEFT(TRIM(INDEX(PASTE_ALL,26,5)),1)="-"),999),LEN(MID(TRIM(INDEX(PASTE_ALL,26,5)),1+(LEFT(TRIM(INDEX(PASTE_ALL,26,5)),1)="-"),999))-(RIGHT(MID(TRIM(INDEX(PASTE_ALL,26,5)),1+(LEFT(TRIM(INDEX(PASTE_ALL,26,5)),1)="-"),999),1)="%")),"0",""),"1",""),"2",""),"3",""),"4",""),"5",""),"6",""),"7",""),"8",""),"9",""),".",""),",","")=""),2,1))),1)</f>
        <v/>
      </c>
      <c r="AD75">
        <f>IFERROR(IF(ISNUMBER(INDEX(PASTE_ALL,26,6)),2,IF(TRIM(INDEX(PASTE_ALL,26,6))="",0,IF(AND(LEFT(MID(TRIM(INDEX(PASTE_ALL,26,6)),1+(LEFT(TRIM(INDEX(PASTE_ALL,26,6)),1)="-"),999),LEN(MID(TRIM(INDEX(PASTE_ALL,26,6)),1+(LEFT(TRIM(INDEX(PASTE_ALL,26,6)),1)="-"),999))-(RIGHT(MID(TRIM(INDEX(PASTE_ALL,26,6)),1+(LEFT(TRIM(INDEX(PASTE_ALL,26,6)),1)="-"),999),1)="%"))&lt;&gt;"",SUBSTITUTE(SUBSTITUTE(SUBSTITUTE(SUBSTITUTE(SUBSTITUTE(SUBSTITUTE(SUBSTITUTE(SUBSTITUTE(SUBSTITUTE(SUBSTITUTE(SUBSTITUTE(SUBSTITUTE(LEFT(MID(TRIM(INDEX(PASTE_ALL,26,6)),1+(LEFT(TRIM(INDEX(PASTE_ALL,26,6)),1)="-"),999),LEN(MID(TRIM(INDEX(PASTE_ALL,26,6)),1+(LEFT(TRIM(INDEX(PASTE_ALL,26,6)),1)="-"),999))-(RIGHT(MID(TRIM(INDEX(PASTE_ALL,26,6)),1+(LEFT(TRIM(INDEX(PASTE_ALL,26,6)),1)="-"),999),1)="%")),"0",""),"1",""),"2",""),"3",""),"4",""),"5",""),"6",""),"7",""),"8",""),"9",""),".",""),",","")=""),2,1))),1)</f>
        <v/>
      </c>
      <c r="AE75">
        <f>IFERROR(IF(ISNUMBER(INDEX(PASTE_ALL,26,7)),2,IF(TRIM(INDEX(PASTE_ALL,26,7))="",0,IF(AND(LEFT(MID(TRIM(INDEX(PASTE_ALL,26,7)),1+(LEFT(TRIM(INDEX(PASTE_ALL,26,7)),1)="-"),999),LEN(MID(TRIM(INDEX(PASTE_ALL,26,7)),1+(LEFT(TRIM(INDEX(PASTE_ALL,26,7)),1)="-"),999))-(RIGHT(MID(TRIM(INDEX(PASTE_ALL,26,7)),1+(LEFT(TRIM(INDEX(PASTE_ALL,26,7)),1)="-"),999),1)="%"))&lt;&gt;"",SUBSTITUTE(SUBSTITUTE(SUBSTITUTE(SUBSTITUTE(SUBSTITUTE(SUBSTITUTE(SUBSTITUTE(SUBSTITUTE(SUBSTITUTE(SUBSTITUTE(SUBSTITUTE(SUBSTITUTE(LEFT(MID(TRIM(INDEX(PASTE_ALL,26,7)),1+(LEFT(TRIM(INDEX(PASTE_ALL,26,7)),1)="-"),999),LEN(MID(TRIM(INDEX(PASTE_ALL,26,7)),1+(LEFT(TRIM(INDEX(PASTE_ALL,26,7)),1)="-"),999))-(RIGHT(MID(TRIM(INDEX(PASTE_ALL,26,7)),1+(LEFT(TRIM(INDEX(PASTE_ALL,26,7)),1)="-"),999),1)="%")),"0",""),"1",""),"2",""),"3",""),"4",""),"5",""),"6",""),"7",""),"8",""),"9",""),".",""),",","")=""),2,1))),1)</f>
        <v/>
      </c>
      <c r="AF75">
        <f>IFERROR(IF(ISNUMBER(INDEX(PASTE_ALL,26,8)),2,IF(TRIM(INDEX(PASTE_ALL,26,8))="",0,IF(AND(LEFT(MID(TRIM(INDEX(PASTE_ALL,26,8)),1+(LEFT(TRIM(INDEX(PASTE_ALL,26,8)),1)="-"),999),LEN(MID(TRIM(INDEX(PASTE_ALL,26,8)),1+(LEFT(TRIM(INDEX(PASTE_ALL,26,8)),1)="-"),999))-(RIGHT(MID(TRIM(INDEX(PASTE_ALL,26,8)),1+(LEFT(TRIM(INDEX(PASTE_ALL,26,8)),1)="-"),999),1)="%"))&lt;&gt;"",SUBSTITUTE(SUBSTITUTE(SUBSTITUTE(SUBSTITUTE(SUBSTITUTE(SUBSTITUTE(SUBSTITUTE(SUBSTITUTE(SUBSTITUTE(SUBSTITUTE(SUBSTITUTE(SUBSTITUTE(LEFT(MID(TRIM(INDEX(PASTE_ALL,26,8)),1+(LEFT(TRIM(INDEX(PASTE_ALL,26,8)),1)="-"),999),LEN(MID(TRIM(INDEX(PASTE_ALL,26,8)),1+(LEFT(TRIM(INDEX(PASTE_ALL,26,8)),1)="-"),999))-(RIGHT(MID(TRIM(INDEX(PASTE_ALL,26,8)),1+(LEFT(TRIM(INDEX(PASTE_ALL,26,8)),1)="-"),999),1)="%")),"0",""),"1",""),"2",""),"3",""),"4",""),"5",""),"6",""),"7",""),"8",""),"9",""),".",""),",","")=""),2,1))),1)</f>
        <v/>
      </c>
      <c r="AG75">
        <f>IFERROR(IF(ISNUMBER(INDEX(PASTE_ALL,26,9)),2,IF(TRIM(INDEX(PASTE_ALL,26,9))="",0,IF(AND(LEFT(MID(TRIM(INDEX(PASTE_ALL,26,9)),1+(LEFT(TRIM(INDEX(PASTE_ALL,26,9)),1)="-"),999),LEN(MID(TRIM(INDEX(PASTE_ALL,26,9)),1+(LEFT(TRIM(INDEX(PASTE_ALL,26,9)),1)="-"),999))-(RIGHT(MID(TRIM(INDEX(PASTE_ALL,26,9)),1+(LEFT(TRIM(INDEX(PASTE_ALL,26,9)),1)="-"),999),1)="%"))&lt;&gt;"",SUBSTITUTE(SUBSTITUTE(SUBSTITUTE(SUBSTITUTE(SUBSTITUTE(SUBSTITUTE(SUBSTITUTE(SUBSTITUTE(SUBSTITUTE(SUBSTITUTE(SUBSTITUTE(SUBSTITUTE(LEFT(MID(TRIM(INDEX(PASTE_ALL,26,9)),1+(LEFT(TRIM(INDEX(PASTE_ALL,26,9)),1)="-"),999),LEN(MID(TRIM(INDEX(PASTE_ALL,26,9)),1+(LEFT(TRIM(INDEX(PASTE_ALL,26,9)),1)="-"),999))-(RIGHT(MID(TRIM(INDEX(PASTE_ALL,26,9)),1+(LEFT(TRIM(INDEX(PASTE_ALL,26,9)),1)="-"),999),1)="%")),"0",""),"1",""),"2",""),"3",""),"4",""),"5",""),"6",""),"7",""),"8",""),"9",""),".",""),",","")=""),2,1))),1)</f>
        <v/>
      </c>
      <c r="AH75">
        <f>IFERROR(IF(ISNUMBER(INDEX(PASTE_ALL,26,10)),2,IF(TRIM(INDEX(PASTE_ALL,26,10))="",0,IF(AND(LEFT(MID(TRIM(INDEX(PASTE_ALL,26,10)),1+(LEFT(TRIM(INDEX(PASTE_ALL,26,10)),1)="-"),999),LEN(MID(TRIM(INDEX(PASTE_ALL,26,10)),1+(LEFT(TRIM(INDEX(PASTE_ALL,26,10)),1)="-"),999))-(RIGHT(MID(TRIM(INDEX(PASTE_ALL,26,10)),1+(LEFT(TRIM(INDEX(PASTE_ALL,26,10)),1)="-"),999),1)="%"))&lt;&gt;"",SUBSTITUTE(SUBSTITUTE(SUBSTITUTE(SUBSTITUTE(SUBSTITUTE(SUBSTITUTE(SUBSTITUTE(SUBSTITUTE(SUBSTITUTE(SUBSTITUTE(SUBSTITUTE(SUBSTITUTE(LEFT(MID(TRIM(INDEX(PASTE_ALL,26,10)),1+(LEFT(TRIM(INDEX(PASTE_ALL,26,10)),1)="-"),999),LEN(MID(TRIM(INDEX(PASTE_ALL,26,10)),1+(LEFT(TRIM(INDEX(PASTE_ALL,26,10)),1)="-"),999))-(RIGHT(MID(TRIM(INDEX(PASTE_ALL,26,10)),1+(LEFT(TRIM(INDEX(PASTE_ALL,26,10)),1)="-"),999),1)="%")),"0",""),"1",""),"2",""),"3",""),"4",""),"5",""),"6",""),"7",""),"8",""),"9",""),".",""),",","")=""),2,1))),1)</f>
        <v/>
      </c>
      <c r="AI75">
        <f>IFERROR(IF(ISNUMBER(INDEX(PASTE_ALL,26,11)),2,IF(TRIM(INDEX(PASTE_ALL,26,11))="",0,IF(AND(LEFT(MID(TRIM(INDEX(PASTE_ALL,26,11)),1+(LEFT(TRIM(INDEX(PASTE_ALL,26,11)),1)="-"),999),LEN(MID(TRIM(INDEX(PASTE_ALL,26,11)),1+(LEFT(TRIM(INDEX(PASTE_ALL,26,11)),1)="-"),999))-(RIGHT(MID(TRIM(INDEX(PASTE_ALL,26,11)),1+(LEFT(TRIM(INDEX(PASTE_ALL,26,11)),1)="-"),999),1)="%"))&lt;&gt;"",SUBSTITUTE(SUBSTITUTE(SUBSTITUTE(SUBSTITUTE(SUBSTITUTE(SUBSTITUTE(SUBSTITUTE(SUBSTITUTE(SUBSTITUTE(SUBSTITUTE(SUBSTITUTE(SUBSTITUTE(LEFT(MID(TRIM(INDEX(PASTE_ALL,26,11)),1+(LEFT(TRIM(INDEX(PASTE_ALL,26,11)),1)="-"),999),LEN(MID(TRIM(INDEX(PASTE_ALL,26,11)),1+(LEFT(TRIM(INDEX(PASTE_ALL,26,11)),1)="-"),999))-(RIGHT(MID(TRIM(INDEX(PASTE_ALL,26,11)),1+(LEFT(TRIM(INDEX(PASTE_ALL,26,11)),1)="-"),999),1)="%")),"0",""),"1",""),"2",""),"3",""),"4",""),"5",""),"6",""),"7",""),"8",""),"9",""),".",""),",","")=""),2,1))),1)</f>
        <v/>
      </c>
      <c r="AJ75">
        <f>IFERROR(IF(ISNUMBER(INDEX(PASTE_ALL,26,12)),2,IF(TRIM(INDEX(PASTE_ALL,26,12))="",0,IF(AND(LEFT(MID(TRIM(INDEX(PASTE_ALL,26,12)),1+(LEFT(TRIM(INDEX(PASTE_ALL,26,12)),1)="-"),999),LEN(MID(TRIM(INDEX(PASTE_ALL,26,12)),1+(LEFT(TRIM(INDEX(PASTE_ALL,26,12)),1)="-"),999))-(RIGHT(MID(TRIM(INDEX(PASTE_ALL,26,12)),1+(LEFT(TRIM(INDEX(PASTE_ALL,26,12)),1)="-"),999),1)="%"))&lt;&gt;"",SUBSTITUTE(SUBSTITUTE(SUBSTITUTE(SUBSTITUTE(SUBSTITUTE(SUBSTITUTE(SUBSTITUTE(SUBSTITUTE(SUBSTITUTE(SUBSTITUTE(SUBSTITUTE(SUBSTITUTE(LEFT(MID(TRIM(INDEX(PASTE_ALL,26,12)),1+(LEFT(TRIM(INDEX(PASTE_ALL,26,12)),1)="-"),999),LEN(MID(TRIM(INDEX(PASTE_ALL,26,12)),1+(LEFT(TRIM(INDEX(PASTE_ALL,26,12)),1)="-"),999))-(RIGHT(MID(TRIM(INDEX(PASTE_ALL,26,12)),1+(LEFT(TRIM(INDEX(PASTE_ALL,26,12)),1)="-"),999),1)="%")),"0",""),"1",""),"2",""),"3",""),"4",""),"5",""),"6",""),"7",""),"8",""),"9",""),".",""),",","")=""),2,1))),1)</f>
        <v/>
      </c>
      <c r="AK75">
        <f>IFERROR(IF(ISNUMBER(INDEX(PASTE_ALL,26,13)),2,IF(TRIM(INDEX(PASTE_ALL,26,13))="",0,IF(AND(LEFT(MID(TRIM(INDEX(PASTE_ALL,26,13)),1+(LEFT(TRIM(INDEX(PASTE_ALL,26,13)),1)="-"),999),LEN(MID(TRIM(INDEX(PASTE_ALL,26,13)),1+(LEFT(TRIM(INDEX(PASTE_ALL,26,13)),1)="-"),999))-(RIGHT(MID(TRIM(INDEX(PASTE_ALL,26,13)),1+(LEFT(TRIM(INDEX(PASTE_ALL,26,13)),1)="-"),999),1)="%"))&lt;&gt;"",SUBSTITUTE(SUBSTITUTE(SUBSTITUTE(SUBSTITUTE(SUBSTITUTE(SUBSTITUTE(SUBSTITUTE(SUBSTITUTE(SUBSTITUTE(SUBSTITUTE(SUBSTITUTE(SUBSTITUTE(LEFT(MID(TRIM(INDEX(PASTE_ALL,26,13)),1+(LEFT(TRIM(INDEX(PASTE_ALL,26,13)),1)="-"),999),LEN(MID(TRIM(INDEX(PASTE_ALL,26,13)),1+(LEFT(TRIM(INDEX(PASTE_ALL,26,13)),1)="-"),999))-(RIGHT(MID(TRIM(INDEX(PASTE_ALL,26,13)),1+(LEFT(TRIM(INDEX(PASTE_ALL,26,13)),1)="-"),999),1)="%")),"0",""),"1",""),"2",""),"3",""),"4",""),"5",""),"6",""),"7",""),"8",""),"9",""),".",""),",","")=""),2,1))),1)</f>
        <v/>
      </c>
      <c r="AL75">
        <f>IFERROR(IF(ISNUMBER(INDEX(PASTE_ALL,26,14)),2,IF(TRIM(INDEX(PASTE_ALL,26,14))="",0,IF(AND(LEFT(MID(TRIM(INDEX(PASTE_ALL,26,14)),1+(LEFT(TRIM(INDEX(PASTE_ALL,26,14)),1)="-"),999),LEN(MID(TRIM(INDEX(PASTE_ALL,26,14)),1+(LEFT(TRIM(INDEX(PASTE_ALL,26,14)),1)="-"),999))-(RIGHT(MID(TRIM(INDEX(PASTE_ALL,26,14)),1+(LEFT(TRIM(INDEX(PASTE_ALL,26,14)),1)="-"),999),1)="%"))&lt;&gt;"",SUBSTITUTE(SUBSTITUTE(SUBSTITUTE(SUBSTITUTE(SUBSTITUTE(SUBSTITUTE(SUBSTITUTE(SUBSTITUTE(SUBSTITUTE(SUBSTITUTE(SUBSTITUTE(SUBSTITUTE(LEFT(MID(TRIM(INDEX(PASTE_ALL,26,14)),1+(LEFT(TRIM(INDEX(PASTE_ALL,26,14)),1)="-"),999),LEN(MID(TRIM(INDEX(PASTE_ALL,26,14)),1+(LEFT(TRIM(INDEX(PASTE_ALL,26,14)),1)="-"),999))-(RIGHT(MID(TRIM(INDEX(PASTE_ALL,26,14)),1+(LEFT(TRIM(INDEX(PASTE_ALL,26,14)),1)="-"),999),1)="%")),"0",""),"1",""),"2",""),"3",""),"4",""),"5",""),"6",""),"7",""),"8",""),"9",""),".",""),",","")=""),2,1))),1)</f>
        <v/>
      </c>
      <c r="AM75">
        <f>IFERROR(IF(ISNUMBER(INDEX(PASTE_ALL,26,15)),2,IF(TRIM(INDEX(PASTE_ALL,26,15))="",0,IF(AND(LEFT(MID(TRIM(INDEX(PASTE_ALL,26,15)),1+(LEFT(TRIM(INDEX(PASTE_ALL,26,15)),1)="-"),999),LEN(MID(TRIM(INDEX(PASTE_ALL,26,15)),1+(LEFT(TRIM(INDEX(PASTE_ALL,26,15)),1)="-"),999))-(RIGHT(MID(TRIM(INDEX(PASTE_ALL,26,15)),1+(LEFT(TRIM(INDEX(PASTE_ALL,26,15)),1)="-"),999),1)="%"))&lt;&gt;"",SUBSTITUTE(SUBSTITUTE(SUBSTITUTE(SUBSTITUTE(SUBSTITUTE(SUBSTITUTE(SUBSTITUTE(SUBSTITUTE(SUBSTITUTE(SUBSTITUTE(SUBSTITUTE(SUBSTITUTE(LEFT(MID(TRIM(INDEX(PASTE_ALL,26,15)),1+(LEFT(TRIM(INDEX(PASTE_ALL,26,15)),1)="-"),999),LEN(MID(TRIM(INDEX(PASTE_ALL,26,15)),1+(LEFT(TRIM(INDEX(PASTE_ALL,26,15)),1)="-"),999))-(RIGHT(MID(TRIM(INDEX(PASTE_ALL,26,15)),1+(LEFT(TRIM(INDEX(PASTE_ALL,26,15)),1)="-"),999),1)="%")),"0",""),"1",""),"2",""),"3",""),"4",""),"5",""),"6",""),"7",""),"8",""),"9",""),".",""),",","")=""),2,1))),1)</f>
        <v/>
      </c>
      <c r="AN75">
        <f>IFERROR(IF(ISNUMBER(INDEX(PASTE_ALL,26,16)),2,IF(TRIM(INDEX(PASTE_ALL,26,16))="",0,IF(AND(LEFT(MID(TRIM(INDEX(PASTE_ALL,26,16)),1+(LEFT(TRIM(INDEX(PASTE_ALL,26,16)),1)="-"),999),LEN(MID(TRIM(INDEX(PASTE_ALL,26,16)),1+(LEFT(TRIM(INDEX(PASTE_ALL,26,16)),1)="-"),999))-(RIGHT(MID(TRIM(INDEX(PASTE_ALL,26,16)),1+(LEFT(TRIM(INDEX(PASTE_ALL,26,16)),1)="-"),999),1)="%"))&lt;&gt;"",SUBSTITUTE(SUBSTITUTE(SUBSTITUTE(SUBSTITUTE(SUBSTITUTE(SUBSTITUTE(SUBSTITUTE(SUBSTITUTE(SUBSTITUTE(SUBSTITUTE(SUBSTITUTE(SUBSTITUTE(LEFT(MID(TRIM(INDEX(PASTE_ALL,26,16)),1+(LEFT(TRIM(INDEX(PASTE_ALL,26,16)),1)="-"),999),LEN(MID(TRIM(INDEX(PASTE_ALL,26,16)),1+(LEFT(TRIM(INDEX(PASTE_ALL,26,16)),1)="-"),999))-(RIGHT(MID(TRIM(INDEX(PASTE_ALL,26,16)),1+(LEFT(TRIM(INDEX(PASTE_ALL,26,16)),1)="-"),999),1)="%")),"0",""),"1",""),"2",""),"3",""),"4",""),"5",""),"6",""),"7",""),"8",""),"9",""),".",""),",","")=""),2,1))),1)</f>
        <v/>
      </c>
      <c r="AO75">
        <f>IFERROR(IF(ISNUMBER(INDEX(PASTE_ALL,26,17)),2,IF(TRIM(INDEX(PASTE_ALL,26,17))="",0,IF(AND(LEFT(MID(TRIM(INDEX(PASTE_ALL,26,17)),1+(LEFT(TRIM(INDEX(PASTE_ALL,26,17)),1)="-"),999),LEN(MID(TRIM(INDEX(PASTE_ALL,26,17)),1+(LEFT(TRIM(INDEX(PASTE_ALL,26,17)),1)="-"),999))-(RIGHT(MID(TRIM(INDEX(PASTE_ALL,26,17)),1+(LEFT(TRIM(INDEX(PASTE_ALL,26,17)),1)="-"),999),1)="%"))&lt;&gt;"",SUBSTITUTE(SUBSTITUTE(SUBSTITUTE(SUBSTITUTE(SUBSTITUTE(SUBSTITUTE(SUBSTITUTE(SUBSTITUTE(SUBSTITUTE(SUBSTITUTE(SUBSTITUTE(SUBSTITUTE(LEFT(MID(TRIM(INDEX(PASTE_ALL,26,17)),1+(LEFT(TRIM(INDEX(PASTE_ALL,26,17)),1)="-"),999),LEN(MID(TRIM(INDEX(PASTE_ALL,26,17)),1+(LEFT(TRIM(INDEX(PASTE_ALL,26,17)),1)="-"),999))-(RIGHT(MID(TRIM(INDEX(PASTE_ALL,26,17)),1+(LEFT(TRIM(INDEX(PASTE_ALL,26,17)),1)="-"),999),1)="%")),"0",""),"1",""),"2",""),"3",""),"4",""),"5",""),"6",""),"7",""),"8",""),"9",""),".",""),",","")=""),2,1))),1)</f>
        <v/>
      </c>
      <c r="AP75">
        <f>IFERROR(IF(ISNUMBER(INDEX(PASTE_ALL,26,18)),2,IF(TRIM(INDEX(PASTE_ALL,26,18))="",0,IF(AND(LEFT(MID(TRIM(INDEX(PASTE_ALL,26,18)),1+(LEFT(TRIM(INDEX(PASTE_ALL,26,18)),1)="-"),999),LEN(MID(TRIM(INDEX(PASTE_ALL,26,18)),1+(LEFT(TRIM(INDEX(PASTE_ALL,26,18)),1)="-"),999))-(RIGHT(MID(TRIM(INDEX(PASTE_ALL,26,18)),1+(LEFT(TRIM(INDEX(PASTE_ALL,26,18)),1)="-"),999),1)="%"))&lt;&gt;"",SUBSTITUTE(SUBSTITUTE(SUBSTITUTE(SUBSTITUTE(SUBSTITUTE(SUBSTITUTE(SUBSTITUTE(SUBSTITUTE(SUBSTITUTE(SUBSTITUTE(SUBSTITUTE(SUBSTITUTE(LEFT(MID(TRIM(INDEX(PASTE_ALL,26,18)),1+(LEFT(TRIM(INDEX(PASTE_ALL,26,18)),1)="-"),999),LEN(MID(TRIM(INDEX(PASTE_ALL,26,18)),1+(LEFT(TRIM(INDEX(PASTE_ALL,26,18)),1)="-"),999))-(RIGHT(MID(TRIM(INDEX(PASTE_ALL,26,18)),1+(LEFT(TRIM(INDEX(PASTE_ALL,26,18)),1)="-"),999),1)="%")),"0",""),"1",""),"2",""),"3",""),"4",""),"5",""),"6",""),"7",""),"8",""),"9",""),".",""),",","")=""),2,1))),1)</f>
        <v/>
      </c>
      <c r="AQ75">
        <f>IFERROR(IF(ISNUMBER(INDEX(PASTE_ALL,26,19)),2,IF(TRIM(INDEX(PASTE_ALL,26,19))="",0,IF(AND(LEFT(MID(TRIM(INDEX(PASTE_ALL,26,19)),1+(LEFT(TRIM(INDEX(PASTE_ALL,26,19)),1)="-"),999),LEN(MID(TRIM(INDEX(PASTE_ALL,26,19)),1+(LEFT(TRIM(INDEX(PASTE_ALL,26,19)),1)="-"),999))-(RIGHT(MID(TRIM(INDEX(PASTE_ALL,26,19)),1+(LEFT(TRIM(INDEX(PASTE_ALL,26,19)),1)="-"),999),1)="%"))&lt;&gt;"",SUBSTITUTE(SUBSTITUTE(SUBSTITUTE(SUBSTITUTE(SUBSTITUTE(SUBSTITUTE(SUBSTITUTE(SUBSTITUTE(SUBSTITUTE(SUBSTITUTE(SUBSTITUTE(SUBSTITUTE(LEFT(MID(TRIM(INDEX(PASTE_ALL,26,19)),1+(LEFT(TRIM(INDEX(PASTE_ALL,26,19)),1)="-"),999),LEN(MID(TRIM(INDEX(PASTE_ALL,26,19)),1+(LEFT(TRIM(INDEX(PASTE_ALL,26,19)),1)="-"),999))-(RIGHT(MID(TRIM(INDEX(PASTE_ALL,26,19)),1+(LEFT(TRIM(INDEX(PASTE_ALL,26,19)),1)="-"),999),1)="%")),"0",""),"1",""),"2",""),"3",""),"4",""),"5",""),"6",""),"7",""),"8",""),"9",""),".",""),",","")=""),2,1))),1)</f>
        <v/>
      </c>
      <c r="AR75">
        <f>IFERROR(IF(ISNUMBER(INDEX(PASTE_ALL,26,20)),2,IF(TRIM(INDEX(PASTE_ALL,26,20))="",0,IF(AND(LEFT(MID(TRIM(INDEX(PASTE_ALL,26,20)),1+(LEFT(TRIM(INDEX(PASTE_ALL,26,20)),1)="-"),999),LEN(MID(TRIM(INDEX(PASTE_ALL,26,20)),1+(LEFT(TRIM(INDEX(PASTE_ALL,26,20)),1)="-"),999))-(RIGHT(MID(TRIM(INDEX(PASTE_ALL,26,20)),1+(LEFT(TRIM(INDEX(PASTE_ALL,26,20)),1)="-"),999),1)="%"))&lt;&gt;"",SUBSTITUTE(SUBSTITUTE(SUBSTITUTE(SUBSTITUTE(SUBSTITUTE(SUBSTITUTE(SUBSTITUTE(SUBSTITUTE(SUBSTITUTE(SUBSTITUTE(SUBSTITUTE(SUBSTITUTE(LEFT(MID(TRIM(INDEX(PASTE_ALL,26,20)),1+(LEFT(TRIM(INDEX(PASTE_ALL,26,20)),1)="-"),999),LEN(MID(TRIM(INDEX(PASTE_ALL,26,20)),1+(LEFT(TRIM(INDEX(PASTE_ALL,26,20)),1)="-"),999))-(RIGHT(MID(TRIM(INDEX(PASTE_ALL,26,20)),1+(LEFT(TRIM(INDEX(PASTE_ALL,26,20)),1)="-"),999),1)="%")),"0",""),"1",""),"2",""),"3",""),"4",""),"5",""),"6",""),"7",""),"8",""),"9",""),".",""),",","")=""),2,1))),1)</f>
        <v/>
      </c>
      <c r="AS75">
        <f>IFERROR(IF(ISNUMBER(INDEX(PASTE_ALL,26,21)),2,IF(TRIM(INDEX(PASTE_ALL,26,21))="",0,IF(AND(LEFT(MID(TRIM(INDEX(PASTE_ALL,26,21)),1+(LEFT(TRIM(INDEX(PASTE_ALL,26,21)),1)="-"),999),LEN(MID(TRIM(INDEX(PASTE_ALL,26,21)),1+(LEFT(TRIM(INDEX(PASTE_ALL,26,21)),1)="-"),999))-(RIGHT(MID(TRIM(INDEX(PASTE_ALL,26,21)),1+(LEFT(TRIM(INDEX(PASTE_ALL,26,21)),1)="-"),999),1)="%"))&lt;&gt;"",SUBSTITUTE(SUBSTITUTE(SUBSTITUTE(SUBSTITUTE(SUBSTITUTE(SUBSTITUTE(SUBSTITUTE(SUBSTITUTE(SUBSTITUTE(SUBSTITUTE(SUBSTITUTE(SUBSTITUTE(LEFT(MID(TRIM(INDEX(PASTE_ALL,26,21)),1+(LEFT(TRIM(INDEX(PASTE_ALL,26,21)),1)="-"),999),LEN(MID(TRIM(INDEX(PASTE_ALL,26,21)),1+(LEFT(TRIM(INDEX(PASTE_ALL,26,21)),1)="-"),999))-(RIGHT(MID(TRIM(INDEX(PASTE_ALL,26,21)),1+(LEFT(TRIM(INDEX(PASTE_ALL,26,21)),1)="-"),999),1)="%")),"0",""),"1",""),"2",""),"3",""),"4",""),"5",""),"6",""),"7",""),"8",""),"9",""),".",""),",","")=""),2,1))),1)</f>
        <v/>
      </c>
      <c r="AT75">
        <f>IFERROR(IF(ISNUMBER(INDEX(PASTE_ALL,26,22)),2,IF(TRIM(INDEX(PASTE_ALL,26,22))="",0,IF(AND(LEFT(MID(TRIM(INDEX(PASTE_ALL,26,22)),1+(LEFT(TRIM(INDEX(PASTE_ALL,26,22)),1)="-"),999),LEN(MID(TRIM(INDEX(PASTE_ALL,26,22)),1+(LEFT(TRIM(INDEX(PASTE_ALL,26,22)),1)="-"),999))-(RIGHT(MID(TRIM(INDEX(PASTE_ALL,26,22)),1+(LEFT(TRIM(INDEX(PASTE_ALL,26,22)),1)="-"),999),1)="%"))&lt;&gt;"",SUBSTITUTE(SUBSTITUTE(SUBSTITUTE(SUBSTITUTE(SUBSTITUTE(SUBSTITUTE(SUBSTITUTE(SUBSTITUTE(SUBSTITUTE(SUBSTITUTE(SUBSTITUTE(SUBSTITUTE(LEFT(MID(TRIM(INDEX(PASTE_ALL,26,22)),1+(LEFT(TRIM(INDEX(PASTE_ALL,26,22)),1)="-"),999),LEN(MID(TRIM(INDEX(PASTE_ALL,26,22)),1+(LEFT(TRIM(INDEX(PASTE_ALL,26,22)),1)="-"),999))-(RIGHT(MID(TRIM(INDEX(PASTE_ALL,26,22)),1+(LEFT(TRIM(INDEX(PASTE_ALL,26,22)),1)="-"),999),1)="%")),"0",""),"1",""),"2",""),"3",""),"4",""),"5",""),"6",""),"7",""),"8",""),"9",""),".",""),",","")=""),2,1))),1)</f>
        <v/>
      </c>
      <c r="AU75">
        <f>IFERROR(IF(ISNUMBER(INDEX(PASTE_ALL,26,23)),2,IF(TRIM(INDEX(PASTE_ALL,26,23))="",0,IF(AND(LEFT(MID(TRIM(INDEX(PASTE_ALL,26,23)),1+(LEFT(TRIM(INDEX(PASTE_ALL,26,23)),1)="-"),999),LEN(MID(TRIM(INDEX(PASTE_ALL,26,23)),1+(LEFT(TRIM(INDEX(PASTE_ALL,26,23)),1)="-"),999))-(RIGHT(MID(TRIM(INDEX(PASTE_ALL,26,23)),1+(LEFT(TRIM(INDEX(PASTE_ALL,26,23)),1)="-"),999),1)="%"))&lt;&gt;"",SUBSTITUTE(SUBSTITUTE(SUBSTITUTE(SUBSTITUTE(SUBSTITUTE(SUBSTITUTE(SUBSTITUTE(SUBSTITUTE(SUBSTITUTE(SUBSTITUTE(SUBSTITUTE(SUBSTITUTE(LEFT(MID(TRIM(INDEX(PASTE_ALL,26,23)),1+(LEFT(TRIM(INDEX(PASTE_ALL,26,23)),1)="-"),999),LEN(MID(TRIM(INDEX(PASTE_ALL,26,23)),1+(LEFT(TRIM(INDEX(PASTE_ALL,26,23)),1)="-"),999))-(RIGHT(MID(TRIM(INDEX(PASTE_ALL,26,23)),1+(LEFT(TRIM(INDEX(PASTE_ALL,26,23)),1)="-"),999),1)="%")),"0",""),"1",""),"2",""),"3",""),"4",""),"5",""),"6",""),"7",""),"8",""),"9",""),".",""),",","")=""),2,1))),1)</f>
        <v/>
      </c>
      <c r="AV75">
        <f>IFERROR(IF(ISNUMBER(INDEX(PASTE_ALL,26,24)),2,IF(TRIM(INDEX(PASTE_ALL,26,24))="",0,IF(AND(LEFT(MID(TRIM(INDEX(PASTE_ALL,26,24)),1+(LEFT(TRIM(INDEX(PASTE_ALL,26,24)),1)="-"),999),LEN(MID(TRIM(INDEX(PASTE_ALL,26,24)),1+(LEFT(TRIM(INDEX(PASTE_ALL,26,24)),1)="-"),999))-(RIGHT(MID(TRIM(INDEX(PASTE_ALL,26,24)),1+(LEFT(TRIM(INDEX(PASTE_ALL,26,24)),1)="-"),999),1)="%"))&lt;&gt;"",SUBSTITUTE(SUBSTITUTE(SUBSTITUTE(SUBSTITUTE(SUBSTITUTE(SUBSTITUTE(SUBSTITUTE(SUBSTITUTE(SUBSTITUTE(SUBSTITUTE(SUBSTITUTE(SUBSTITUTE(LEFT(MID(TRIM(INDEX(PASTE_ALL,26,24)),1+(LEFT(TRIM(INDEX(PASTE_ALL,26,24)),1)="-"),999),LEN(MID(TRIM(INDEX(PASTE_ALL,26,24)),1+(LEFT(TRIM(INDEX(PASTE_ALL,26,24)),1)="-"),999))-(RIGHT(MID(TRIM(INDEX(PASTE_ALL,26,24)),1+(LEFT(TRIM(INDEX(PASTE_ALL,26,24)),1)="-"),999),1)="%")),"0",""),"1",""),"2",""),"3",""),"4",""),"5",""),"6",""),"7",""),"8",""),"9",""),".",""),",","")=""),2,1))),1)</f>
        <v/>
      </c>
      <c r="AW75">
        <f>IFERROR(IF(ISNUMBER(INDEX(PASTE_ALL,26,25)),2,IF(TRIM(INDEX(PASTE_ALL,26,25))="",0,IF(AND(LEFT(MID(TRIM(INDEX(PASTE_ALL,26,25)),1+(LEFT(TRIM(INDEX(PASTE_ALL,26,25)),1)="-"),999),LEN(MID(TRIM(INDEX(PASTE_ALL,26,25)),1+(LEFT(TRIM(INDEX(PASTE_ALL,26,25)),1)="-"),999))-(RIGHT(MID(TRIM(INDEX(PASTE_ALL,26,25)),1+(LEFT(TRIM(INDEX(PASTE_ALL,26,25)),1)="-"),999),1)="%"))&lt;&gt;"",SUBSTITUTE(SUBSTITUTE(SUBSTITUTE(SUBSTITUTE(SUBSTITUTE(SUBSTITUTE(SUBSTITUTE(SUBSTITUTE(SUBSTITUTE(SUBSTITUTE(SUBSTITUTE(SUBSTITUTE(LEFT(MID(TRIM(INDEX(PASTE_ALL,26,25)),1+(LEFT(TRIM(INDEX(PASTE_ALL,26,25)),1)="-"),999),LEN(MID(TRIM(INDEX(PASTE_ALL,26,25)),1+(LEFT(TRIM(INDEX(PASTE_ALL,26,25)),1)="-"),999))-(RIGHT(MID(TRIM(INDEX(PASTE_ALL,26,25)),1+(LEFT(TRIM(INDEX(PASTE_ALL,26,25)),1)="-"),999),1)="%")),"0",""),"1",""),"2",""),"3",""),"4",""),"5",""),"6",""),"7",""),"8",""),"9",""),".",""),",","")=""),2,1))),1)</f>
        <v/>
      </c>
      <c r="AX75">
        <f>IFERROR(IF(ISNUMBER(INDEX(PASTE_ALL,26,26)),2,IF(TRIM(INDEX(PASTE_ALL,26,26))="",0,IF(AND(LEFT(MID(TRIM(INDEX(PASTE_ALL,26,26)),1+(LEFT(TRIM(INDEX(PASTE_ALL,26,26)),1)="-"),999),LEN(MID(TRIM(INDEX(PASTE_ALL,26,26)),1+(LEFT(TRIM(INDEX(PASTE_ALL,26,26)),1)="-"),999))-(RIGHT(MID(TRIM(INDEX(PASTE_ALL,26,26)),1+(LEFT(TRIM(INDEX(PASTE_ALL,26,26)),1)="-"),999),1)="%"))&lt;&gt;"",SUBSTITUTE(SUBSTITUTE(SUBSTITUTE(SUBSTITUTE(SUBSTITUTE(SUBSTITUTE(SUBSTITUTE(SUBSTITUTE(SUBSTITUTE(SUBSTITUTE(SUBSTITUTE(SUBSTITUTE(LEFT(MID(TRIM(INDEX(PASTE_ALL,26,26)),1+(LEFT(TRIM(INDEX(PASTE_ALL,26,26)),1)="-"),999),LEN(MID(TRIM(INDEX(PASTE_ALL,26,26)),1+(LEFT(TRIM(INDEX(PASTE_ALL,26,26)),1)="-"),999))-(RIGHT(MID(TRIM(INDEX(PASTE_ALL,26,26)),1+(LEFT(TRIM(INDEX(PASTE_ALL,26,26)),1)="-"),999),1)="%")),"0",""),"1",""),"2",""),"3",""),"4",""),"5",""),"6",""),"7",""),"8",""),"9",""),".",""),",","")=""),2,1))),1)</f>
        <v/>
      </c>
      <c r="AY75">
        <f>IFERROR(IF(ISNUMBER(INDEX(PASTE_ALL,26,27)),2,IF(TRIM(INDEX(PASTE_ALL,26,27))="",0,IF(AND(LEFT(MID(TRIM(INDEX(PASTE_ALL,26,27)),1+(LEFT(TRIM(INDEX(PASTE_ALL,26,27)),1)="-"),999),LEN(MID(TRIM(INDEX(PASTE_ALL,26,27)),1+(LEFT(TRIM(INDEX(PASTE_ALL,26,27)),1)="-"),999))-(RIGHT(MID(TRIM(INDEX(PASTE_ALL,26,27)),1+(LEFT(TRIM(INDEX(PASTE_ALL,26,27)),1)="-"),999),1)="%"))&lt;&gt;"",SUBSTITUTE(SUBSTITUTE(SUBSTITUTE(SUBSTITUTE(SUBSTITUTE(SUBSTITUTE(SUBSTITUTE(SUBSTITUTE(SUBSTITUTE(SUBSTITUTE(SUBSTITUTE(SUBSTITUTE(LEFT(MID(TRIM(INDEX(PASTE_ALL,26,27)),1+(LEFT(TRIM(INDEX(PASTE_ALL,26,27)),1)="-"),999),LEN(MID(TRIM(INDEX(PASTE_ALL,26,27)),1+(LEFT(TRIM(INDEX(PASTE_ALL,26,27)),1)="-"),999))-(RIGHT(MID(TRIM(INDEX(PASTE_ALL,26,27)),1+(LEFT(TRIM(INDEX(PASTE_ALL,26,27)),1)="-"),999),1)="%")),"0",""),"1",""),"2",""),"3",""),"4",""),"5",""),"6",""),"7",""),"8",""),"9",""),".",""),",","")=""),2,1))),1)</f>
        <v/>
      </c>
      <c r="AZ75">
        <f>IFERROR(IF(ISNUMBER(INDEX(PASTE_ALL,26,28)),2,IF(TRIM(INDEX(PASTE_ALL,26,28))="",0,IF(AND(LEFT(MID(TRIM(INDEX(PASTE_ALL,26,28)),1+(LEFT(TRIM(INDEX(PASTE_ALL,26,28)),1)="-"),999),LEN(MID(TRIM(INDEX(PASTE_ALL,26,28)),1+(LEFT(TRIM(INDEX(PASTE_ALL,26,28)),1)="-"),999))-(RIGHT(MID(TRIM(INDEX(PASTE_ALL,26,28)),1+(LEFT(TRIM(INDEX(PASTE_ALL,26,28)),1)="-"),999),1)="%"))&lt;&gt;"",SUBSTITUTE(SUBSTITUTE(SUBSTITUTE(SUBSTITUTE(SUBSTITUTE(SUBSTITUTE(SUBSTITUTE(SUBSTITUTE(SUBSTITUTE(SUBSTITUTE(SUBSTITUTE(SUBSTITUTE(LEFT(MID(TRIM(INDEX(PASTE_ALL,26,28)),1+(LEFT(TRIM(INDEX(PASTE_ALL,26,28)),1)="-"),999),LEN(MID(TRIM(INDEX(PASTE_ALL,26,28)),1+(LEFT(TRIM(INDEX(PASTE_ALL,26,28)),1)="-"),999))-(RIGHT(MID(TRIM(INDEX(PASTE_ALL,26,28)),1+(LEFT(TRIM(INDEX(PASTE_ALL,26,28)),1)="-"),999),1)="%")),"0",""),"1",""),"2",""),"3",""),"4",""),"5",""),"6",""),"7",""),"8",""),"9",""),".",""),",","")=""),2,1))),1)</f>
        <v/>
      </c>
      <c r="BA75">
        <f>IFERROR(IF(ISNUMBER(INDEX(PASTE_ALL,26,29)),2,IF(TRIM(INDEX(PASTE_ALL,26,29))="",0,IF(AND(LEFT(MID(TRIM(INDEX(PASTE_ALL,26,29)),1+(LEFT(TRIM(INDEX(PASTE_ALL,26,29)),1)="-"),999),LEN(MID(TRIM(INDEX(PASTE_ALL,26,29)),1+(LEFT(TRIM(INDEX(PASTE_ALL,26,29)),1)="-"),999))-(RIGHT(MID(TRIM(INDEX(PASTE_ALL,26,29)),1+(LEFT(TRIM(INDEX(PASTE_ALL,26,29)),1)="-"),999),1)="%"))&lt;&gt;"",SUBSTITUTE(SUBSTITUTE(SUBSTITUTE(SUBSTITUTE(SUBSTITUTE(SUBSTITUTE(SUBSTITUTE(SUBSTITUTE(SUBSTITUTE(SUBSTITUTE(SUBSTITUTE(SUBSTITUTE(LEFT(MID(TRIM(INDEX(PASTE_ALL,26,29)),1+(LEFT(TRIM(INDEX(PASTE_ALL,26,29)),1)="-"),999),LEN(MID(TRIM(INDEX(PASTE_ALL,26,29)),1+(LEFT(TRIM(INDEX(PASTE_ALL,26,29)),1)="-"),999))-(RIGHT(MID(TRIM(INDEX(PASTE_ALL,26,29)),1+(LEFT(TRIM(INDEX(PASTE_ALL,26,29)),1)="-"),999),1)="%")),"0",""),"1",""),"2",""),"3",""),"4",""),"5",""),"6",""),"7",""),"8",""),"9",""),".",""),",","")=""),2,1))),1)</f>
        <v/>
      </c>
      <c r="BB75">
        <f>IFERROR(IF(ISNUMBER(INDEX(PASTE_ALL,26,30)),2,IF(TRIM(INDEX(PASTE_ALL,26,30))="",0,IF(AND(LEFT(MID(TRIM(INDEX(PASTE_ALL,26,30)),1+(LEFT(TRIM(INDEX(PASTE_ALL,26,30)),1)="-"),999),LEN(MID(TRIM(INDEX(PASTE_ALL,26,30)),1+(LEFT(TRIM(INDEX(PASTE_ALL,26,30)),1)="-"),999))-(RIGHT(MID(TRIM(INDEX(PASTE_ALL,26,30)),1+(LEFT(TRIM(INDEX(PASTE_ALL,26,30)),1)="-"),999),1)="%"))&lt;&gt;"",SUBSTITUTE(SUBSTITUTE(SUBSTITUTE(SUBSTITUTE(SUBSTITUTE(SUBSTITUTE(SUBSTITUTE(SUBSTITUTE(SUBSTITUTE(SUBSTITUTE(SUBSTITUTE(SUBSTITUTE(LEFT(MID(TRIM(INDEX(PASTE_ALL,26,30)),1+(LEFT(TRIM(INDEX(PASTE_ALL,26,30)),1)="-"),999),LEN(MID(TRIM(INDEX(PASTE_ALL,26,30)),1+(LEFT(TRIM(INDEX(PASTE_ALL,26,30)),1)="-"),999))-(RIGHT(MID(TRIM(INDEX(PASTE_ALL,26,30)),1+(LEFT(TRIM(INDEX(PASTE_ALL,26,30)),1)="-"),999),1)="%")),"0",""),"1",""),"2",""),"3",""),"4",""),"5",""),"6",""),"7",""),"8",""),"9",""),".",""),",","")=""),2,1))),1)</f>
        <v/>
      </c>
      <c r="BC75">
        <f>IFERROR(IF(ISNUMBER(INDEX(PASTE_ALL,26,31)),2,IF(TRIM(INDEX(PASTE_ALL,26,31))="",0,IF(AND(LEFT(MID(TRIM(INDEX(PASTE_ALL,26,31)),1+(LEFT(TRIM(INDEX(PASTE_ALL,26,31)),1)="-"),999),LEN(MID(TRIM(INDEX(PASTE_ALL,26,31)),1+(LEFT(TRIM(INDEX(PASTE_ALL,26,31)),1)="-"),999))-(RIGHT(MID(TRIM(INDEX(PASTE_ALL,26,31)),1+(LEFT(TRIM(INDEX(PASTE_ALL,26,31)),1)="-"),999),1)="%"))&lt;&gt;"",SUBSTITUTE(SUBSTITUTE(SUBSTITUTE(SUBSTITUTE(SUBSTITUTE(SUBSTITUTE(SUBSTITUTE(SUBSTITUTE(SUBSTITUTE(SUBSTITUTE(SUBSTITUTE(SUBSTITUTE(LEFT(MID(TRIM(INDEX(PASTE_ALL,26,31)),1+(LEFT(TRIM(INDEX(PASTE_ALL,26,31)),1)="-"),999),LEN(MID(TRIM(INDEX(PASTE_ALL,26,31)),1+(LEFT(TRIM(INDEX(PASTE_ALL,26,31)),1)="-"),999))-(RIGHT(MID(TRIM(INDEX(PASTE_ALL,26,31)),1+(LEFT(TRIM(INDEX(PASTE_ALL,26,31)),1)="-"),999),1)="%")),"0",""),"1",""),"2",""),"3",""),"4",""),"5",""),"6",""),"7",""),"8",""),"9",""),".",""),",","")=""),2,1))),1)</f>
        <v/>
      </c>
      <c r="BD75">
        <f>IFERROR(IF(ISNUMBER(INDEX(PASTE_ALL,26,32)),2,IF(TRIM(INDEX(PASTE_ALL,26,32))="",0,IF(AND(LEFT(MID(TRIM(INDEX(PASTE_ALL,26,32)),1+(LEFT(TRIM(INDEX(PASTE_ALL,26,32)),1)="-"),999),LEN(MID(TRIM(INDEX(PASTE_ALL,26,32)),1+(LEFT(TRIM(INDEX(PASTE_ALL,26,32)),1)="-"),999))-(RIGHT(MID(TRIM(INDEX(PASTE_ALL,26,32)),1+(LEFT(TRIM(INDEX(PASTE_ALL,26,32)),1)="-"),999),1)="%"))&lt;&gt;"",SUBSTITUTE(SUBSTITUTE(SUBSTITUTE(SUBSTITUTE(SUBSTITUTE(SUBSTITUTE(SUBSTITUTE(SUBSTITUTE(SUBSTITUTE(SUBSTITUTE(SUBSTITUTE(SUBSTITUTE(LEFT(MID(TRIM(INDEX(PASTE_ALL,26,32)),1+(LEFT(TRIM(INDEX(PASTE_ALL,26,32)),1)="-"),999),LEN(MID(TRIM(INDEX(PASTE_ALL,26,32)),1+(LEFT(TRIM(INDEX(PASTE_ALL,26,32)),1)="-"),999))-(RIGHT(MID(TRIM(INDEX(PASTE_ALL,26,32)),1+(LEFT(TRIM(INDEX(PASTE_ALL,26,32)),1)="-"),999),1)="%")),"0",""),"1",""),"2",""),"3",""),"4",""),"5",""),"6",""),"7",""),"8",""),"9",""),".",""),",","")=""),2,1))),1)</f>
        <v/>
      </c>
      <c r="BE75">
        <f>IFERROR(IF(ISNUMBER(INDEX(PASTE_ALL,26,33)),2,IF(TRIM(INDEX(PASTE_ALL,26,33))="",0,IF(AND(LEFT(MID(TRIM(INDEX(PASTE_ALL,26,33)),1+(LEFT(TRIM(INDEX(PASTE_ALL,26,33)),1)="-"),999),LEN(MID(TRIM(INDEX(PASTE_ALL,26,33)),1+(LEFT(TRIM(INDEX(PASTE_ALL,26,33)),1)="-"),999))-(RIGHT(MID(TRIM(INDEX(PASTE_ALL,26,33)),1+(LEFT(TRIM(INDEX(PASTE_ALL,26,33)),1)="-"),999),1)="%"))&lt;&gt;"",SUBSTITUTE(SUBSTITUTE(SUBSTITUTE(SUBSTITUTE(SUBSTITUTE(SUBSTITUTE(SUBSTITUTE(SUBSTITUTE(SUBSTITUTE(SUBSTITUTE(SUBSTITUTE(SUBSTITUTE(LEFT(MID(TRIM(INDEX(PASTE_ALL,26,33)),1+(LEFT(TRIM(INDEX(PASTE_ALL,26,33)),1)="-"),999),LEN(MID(TRIM(INDEX(PASTE_ALL,26,33)),1+(LEFT(TRIM(INDEX(PASTE_ALL,26,33)),1)="-"),999))-(RIGHT(MID(TRIM(INDEX(PASTE_ALL,26,33)),1+(LEFT(TRIM(INDEX(PASTE_ALL,26,33)),1)="-"),999),1)="%")),"0",""),"1",""),"2",""),"3",""),"4",""),"5",""),"6",""),"7",""),"8",""),"9",""),".",""),",","")=""),2,1))),1)</f>
        <v/>
      </c>
      <c r="BF75">
        <f>IFERROR(IF(ISNUMBER(INDEX(PASTE_ALL,26,34)),2,IF(TRIM(INDEX(PASTE_ALL,26,34))="",0,IF(AND(LEFT(MID(TRIM(INDEX(PASTE_ALL,26,34)),1+(LEFT(TRIM(INDEX(PASTE_ALL,26,34)),1)="-"),999),LEN(MID(TRIM(INDEX(PASTE_ALL,26,34)),1+(LEFT(TRIM(INDEX(PASTE_ALL,26,34)),1)="-"),999))-(RIGHT(MID(TRIM(INDEX(PASTE_ALL,26,34)),1+(LEFT(TRIM(INDEX(PASTE_ALL,26,34)),1)="-"),999),1)="%"))&lt;&gt;"",SUBSTITUTE(SUBSTITUTE(SUBSTITUTE(SUBSTITUTE(SUBSTITUTE(SUBSTITUTE(SUBSTITUTE(SUBSTITUTE(SUBSTITUTE(SUBSTITUTE(SUBSTITUTE(SUBSTITUTE(LEFT(MID(TRIM(INDEX(PASTE_ALL,26,34)),1+(LEFT(TRIM(INDEX(PASTE_ALL,26,34)),1)="-"),999),LEN(MID(TRIM(INDEX(PASTE_ALL,26,34)),1+(LEFT(TRIM(INDEX(PASTE_ALL,26,34)),1)="-"),999))-(RIGHT(MID(TRIM(INDEX(PASTE_ALL,26,34)),1+(LEFT(TRIM(INDEX(PASTE_ALL,26,34)),1)="-"),999),1)="%")),"0",""),"1",""),"2",""),"3",""),"4",""),"5",""),"6",""),"7",""),"8",""),"9",""),".",""),",","")=""),2,1))),1)</f>
        <v/>
      </c>
      <c r="BG75">
        <f>IFERROR(IF(ISNUMBER(INDEX(PASTE_ALL,26,35)),2,IF(TRIM(INDEX(PASTE_ALL,26,35))="",0,IF(AND(LEFT(MID(TRIM(INDEX(PASTE_ALL,26,35)),1+(LEFT(TRIM(INDEX(PASTE_ALL,26,35)),1)="-"),999),LEN(MID(TRIM(INDEX(PASTE_ALL,26,35)),1+(LEFT(TRIM(INDEX(PASTE_ALL,26,35)),1)="-"),999))-(RIGHT(MID(TRIM(INDEX(PASTE_ALL,26,35)),1+(LEFT(TRIM(INDEX(PASTE_ALL,26,35)),1)="-"),999),1)="%"))&lt;&gt;"",SUBSTITUTE(SUBSTITUTE(SUBSTITUTE(SUBSTITUTE(SUBSTITUTE(SUBSTITUTE(SUBSTITUTE(SUBSTITUTE(SUBSTITUTE(SUBSTITUTE(SUBSTITUTE(SUBSTITUTE(LEFT(MID(TRIM(INDEX(PASTE_ALL,26,35)),1+(LEFT(TRIM(INDEX(PASTE_ALL,26,35)),1)="-"),999),LEN(MID(TRIM(INDEX(PASTE_ALL,26,35)),1+(LEFT(TRIM(INDEX(PASTE_ALL,26,35)),1)="-"),999))-(RIGHT(MID(TRIM(INDEX(PASTE_ALL,26,35)),1+(LEFT(TRIM(INDEX(PASTE_ALL,26,35)),1)="-"),999),1)="%")),"0",""),"1",""),"2",""),"3",""),"4",""),"5",""),"6",""),"7",""),"8",""),"9",""),".",""),",","")=""),2,1))),1)</f>
        <v/>
      </c>
      <c r="BH75">
        <f>IFERROR(IF(ISNUMBER(INDEX(PASTE_ALL,26,36)),2,IF(TRIM(INDEX(PASTE_ALL,26,36))="",0,IF(AND(LEFT(MID(TRIM(INDEX(PASTE_ALL,26,36)),1+(LEFT(TRIM(INDEX(PASTE_ALL,26,36)),1)="-"),999),LEN(MID(TRIM(INDEX(PASTE_ALL,26,36)),1+(LEFT(TRIM(INDEX(PASTE_ALL,26,36)),1)="-"),999))-(RIGHT(MID(TRIM(INDEX(PASTE_ALL,26,36)),1+(LEFT(TRIM(INDEX(PASTE_ALL,26,36)),1)="-"),999),1)="%"))&lt;&gt;"",SUBSTITUTE(SUBSTITUTE(SUBSTITUTE(SUBSTITUTE(SUBSTITUTE(SUBSTITUTE(SUBSTITUTE(SUBSTITUTE(SUBSTITUTE(SUBSTITUTE(SUBSTITUTE(SUBSTITUTE(LEFT(MID(TRIM(INDEX(PASTE_ALL,26,36)),1+(LEFT(TRIM(INDEX(PASTE_ALL,26,36)),1)="-"),999),LEN(MID(TRIM(INDEX(PASTE_ALL,26,36)),1+(LEFT(TRIM(INDEX(PASTE_ALL,26,36)),1)="-"),999))-(RIGHT(MID(TRIM(INDEX(PASTE_ALL,26,36)),1+(LEFT(TRIM(INDEX(PASTE_ALL,26,36)),1)="-"),999),1)="%")),"0",""),"1",""),"2",""),"3",""),"4",""),"5",""),"6",""),"7",""),"8",""),"9",""),".",""),",","")=""),2,1))),1)</f>
        <v/>
      </c>
      <c r="BI75">
        <f>IFERROR(IF(ISNUMBER(INDEX(PASTE_ALL,26,37)),2,IF(TRIM(INDEX(PASTE_ALL,26,37))="",0,IF(AND(LEFT(MID(TRIM(INDEX(PASTE_ALL,26,37)),1+(LEFT(TRIM(INDEX(PASTE_ALL,26,37)),1)="-"),999),LEN(MID(TRIM(INDEX(PASTE_ALL,26,37)),1+(LEFT(TRIM(INDEX(PASTE_ALL,26,37)),1)="-"),999))-(RIGHT(MID(TRIM(INDEX(PASTE_ALL,26,37)),1+(LEFT(TRIM(INDEX(PASTE_ALL,26,37)),1)="-"),999),1)="%"))&lt;&gt;"",SUBSTITUTE(SUBSTITUTE(SUBSTITUTE(SUBSTITUTE(SUBSTITUTE(SUBSTITUTE(SUBSTITUTE(SUBSTITUTE(SUBSTITUTE(SUBSTITUTE(SUBSTITUTE(SUBSTITUTE(LEFT(MID(TRIM(INDEX(PASTE_ALL,26,37)),1+(LEFT(TRIM(INDEX(PASTE_ALL,26,37)),1)="-"),999),LEN(MID(TRIM(INDEX(PASTE_ALL,26,37)),1+(LEFT(TRIM(INDEX(PASTE_ALL,26,37)),1)="-"),999))-(RIGHT(MID(TRIM(INDEX(PASTE_ALL,26,37)),1+(LEFT(TRIM(INDEX(PASTE_ALL,26,37)),1)="-"),999),1)="%")),"0",""),"1",""),"2",""),"3",""),"4",""),"5",""),"6",""),"7",""),"8",""),"9",""),".",""),",","")=""),2,1))),1)</f>
        <v/>
      </c>
      <c r="BJ75">
        <f>IFERROR(IF(ISNUMBER(INDEX(PASTE_ALL,26,38)),2,IF(TRIM(INDEX(PASTE_ALL,26,38))="",0,IF(AND(LEFT(MID(TRIM(INDEX(PASTE_ALL,26,38)),1+(LEFT(TRIM(INDEX(PASTE_ALL,26,38)),1)="-"),999),LEN(MID(TRIM(INDEX(PASTE_ALL,26,38)),1+(LEFT(TRIM(INDEX(PASTE_ALL,26,38)),1)="-"),999))-(RIGHT(MID(TRIM(INDEX(PASTE_ALL,26,38)),1+(LEFT(TRIM(INDEX(PASTE_ALL,26,38)),1)="-"),999),1)="%"))&lt;&gt;"",SUBSTITUTE(SUBSTITUTE(SUBSTITUTE(SUBSTITUTE(SUBSTITUTE(SUBSTITUTE(SUBSTITUTE(SUBSTITUTE(SUBSTITUTE(SUBSTITUTE(SUBSTITUTE(SUBSTITUTE(LEFT(MID(TRIM(INDEX(PASTE_ALL,26,38)),1+(LEFT(TRIM(INDEX(PASTE_ALL,26,38)),1)="-"),999),LEN(MID(TRIM(INDEX(PASTE_ALL,26,38)),1+(LEFT(TRIM(INDEX(PASTE_ALL,26,38)),1)="-"),999))-(RIGHT(MID(TRIM(INDEX(PASTE_ALL,26,38)),1+(LEFT(TRIM(INDEX(PASTE_ALL,26,38)),1)="-"),999),1)="%")),"0",""),"1",""),"2",""),"3",""),"4",""),"5",""),"6",""),"7",""),"8",""),"9",""),".",""),",","")=""),2,1))),1)</f>
        <v/>
      </c>
      <c r="BK75">
        <f>IFERROR(IF(ISNUMBER(INDEX(PASTE_ALL,26,39)),2,IF(TRIM(INDEX(PASTE_ALL,26,39))="",0,IF(AND(LEFT(MID(TRIM(INDEX(PASTE_ALL,26,39)),1+(LEFT(TRIM(INDEX(PASTE_ALL,26,39)),1)="-"),999),LEN(MID(TRIM(INDEX(PASTE_ALL,26,39)),1+(LEFT(TRIM(INDEX(PASTE_ALL,26,39)),1)="-"),999))-(RIGHT(MID(TRIM(INDEX(PASTE_ALL,26,39)),1+(LEFT(TRIM(INDEX(PASTE_ALL,26,39)),1)="-"),999),1)="%"))&lt;&gt;"",SUBSTITUTE(SUBSTITUTE(SUBSTITUTE(SUBSTITUTE(SUBSTITUTE(SUBSTITUTE(SUBSTITUTE(SUBSTITUTE(SUBSTITUTE(SUBSTITUTE(SUBSTITUTE(SUBSTITUTE(LEFT(MID(TRIM(INDEX(PASTE_ALL,26,39)),1+(LEFT(TRIM(INDEX(PASTE_ALL,26,39)),1)="-"),999),LEN(MID(TRIM(INDEX(PASTE_ALL,26,39)),1+(LEFT(TRIM(INDEX(PASTE_ALL,26,39)),1)="-"),999))-(RIGHT(MID(TRIM(INDEX(PASTE_ALL,26,39)),1+(LEFT(TRIM(INDEX(PASTE_ALL,26,39)),1)="-"),999),1)="%")),"0",""),"1",""),"2",""),"3",""),"4",""),"5",""),"6",""),"7",""),"8",""),"9",""),".",""),",","")=""),2,1))),1)</f>
        <v/>
      </c>
      <c r="BL75">
        <f>IFERROR(IF(ISNUMBER(INDEX(PASTE_ALL,26,40)),2,IF(TRIM(INDEX(PASTE_ALL,26,40))="",0,IF(AND(LEFT(MID(TRIM(INDEX(PASTE_ALL,26,40)),1+(LEFT(TRIM(INDEX(PASTE_ALL,26,40)),1)="-"),999),LEN(MID(TRIM(INDEX(PASTE_ALL,26,40)),1+(LEFT(TRIM(INDEX(PASTE_ALL,26,40)),1)="-"),999))-(RIGHT(MID(TRIM(INDEX(PASTE_ALL,26,40)),1+(LEFT(TRIM(INDEX(PASTE_ALL,26,40)),1)="-"),999),1)="%"))&lt;&gt;"",SUBSTITUTE(SUBSTITUTE(SUBSTITUTE(SUBSTITUTE(SUBSTITUTE(SUBSTITUTE(SUBSTITUTE(SUBSTITUTE(SUBSTITUTE(SUBSTITUTE(SUBSTITUTE(SUBSTITUTE(LEFT(MID(TRIM(INDEX(PASTE_ALL,26,40)),1+(LEFT(TRIM(INDEX(PASTE_ALL,26,40)),1)="-"),999),LEN(MID(TRIM(INDEX(PASTE_ALL,26,40)),1+(LEFT(TRIM(INDEX(PASTE_ALL,26,40)),1)="-"),999))-(RIGHT(MID(TRIM(INDEX(PASTE_ALL,26,40)),1+(LEFT(TRIM(INDEX(PASTE_ALL,26,40)),1)="-"),999),1)="%")),"0",""),"1",""),"2",""),"3",""),"4",""),"5",""),"6",""),"7",""),"8",""),"9",""),".",""),",","")=""),2,1))),1)</f>
        <v/>
      </c>
      <c r="BM75">
        <f>IFERROR(IF(ISNUMBER(INDEX(PASTE_ALL,26,41)),2,IF(TRIM(INDEX(PASTE_ALL,26,41))="",0,IF(AND(LEFT(MID(TRIM(INDEX(PASTE_ALL,26,41)),1+(LEFT(TRIM(INDEX(PASTE_ALL,26,41)),1)="-"),999),LEN(MID(TRIM(INDEX(PASTE_ALL,26,41)),1+(LEFT(TRIM(INDEX(PASTE_ALL,26,41)),1)="-"),999))-(RIGHT(MID(TRIM(INDEX(PASTE_ALL,26,41)),1+(LEFT(TRIM(INDEX(PASTE_ALL,26,41)),1)="-"),999),1)="%"))&lt;&gt;"",SUBSTITUTE(SUBSTITUTE(SUBSTITUTE(SUBSTITUTE(SUBSTITUTE(SUBSTITUTE(SUBSTITUTE(SUBSTITUTE(SUBSTITUTE(SUBSTITUTE(SUBSTITUTE(SUBSTITUTE(LEFT(MID(TRIM(INDEX(PASTE_ALL,26,41)),1+(LEFT(TRIM(INDEX(PASTE_ALL,26,41)),1)="-"),999),LEN(MID(TRIM(INDEX(PASTE_ALL,26,41)),1+(LEFT(TRIM(INDEX(PASTE_ALL,26,41)),1)="-"),999))-(RIGHT(MID(TRIM(INDEX(PASTE_ALL,26,41)),1+(LEFT(TRIM(INDEX(PASTE_ALL,26,41)),1)="-"),999),1)="%")),"0",""),"1",""),"2",""),"3",""),"4",""),"5",""),"6",""),"7",""),"8",""),"9",""),".",""),",","")=""),2,1))),1)</f>
        <v/>
      </c>
      <c r="BN75">
        <f>IFERROR(IF(ISNUMBER(INDEX(PASTE_ALL,26,42)),2,IF(TRIM(INDEX(PASTE_ALL,26,42))="",0,IF(AND(LEFT(MID(TRIM(INDEX(PASTE_ALL,26,42)),1+(LEFT(TRIM(INDEX(PASTE_ALL,26,42)),1)="-"),999),LEN(MID(TRIM(INDEX(PASTE_ALL,26,42)),1+(LEFT(TRIM(INDEX(PASTE_ALL,26,42)),1)="-"),999))-(RIGHT(MID(TRIM(INDEX(PASTE_ALL,26,42)),1+(LEFT(TRIM(INDEX(PASTE_ALL,26,42)),1)="-"),999),1)="%"))&lt;&gt;"",SUBSTITUTE(SUBSTITUTE(SUBSTITUTE(SUBSTITUTE(SUBSTITUTE(SUBSTITUTE(SUBSTITUTE(SUBSTITUTE(SUBSTITUTE(SUBSTITUTE(SUBSTITUTE(SUBSTITUTE(LEFT(MID(TRIM(INDEX(PASTE_ALL,26,42)),1+(LEFT(TRIM(INDEX(PASTE_ALL,26,42)),1)="-"),999),LEN(MID(TRIM(INDEX(PASTE_ALL,26,42)),1+(LEFT(TRIM(INDEX(PASTE_ALL,26,42)),1)="-"),999))-(RIGHT(MID(TRIM(INDEX(PASTE_ALL,26,42)),1+(LEFT(TRIM(INDEX(PASTE_ALL,26,42)),1)="-"),999),1)="%")),"0",""),"1",""),"2",""),"3",""),"4",""),"5",""),"6",""),"7",""),"8",""),"9",""),".",""),",","")=""),2,1))),1)</f>
        <v/>
      </c>
      <c r="BO75">
        <f>IFERROR(IF(ISNUMBER(INDEX(PASTE_ALL,26,43)),2,IF(TRIM(INDEX(PASTE_ALL,26,43))="",0,IF(AND(LEFT(MID(TRIM(INDEX(PASTE_ALL,26,43)),1+(LEFT(TRIM(INDEX(PASTE_ALL,26,43)),1)="-"),999),LEN(MID(TRIM(INDEX(PASTE_ALL,26,43)),1+(LEFT(TRIM(INDEX(PASTE_ALL,26,43)),1)="-"),999))-(RIGHT(MID(TRIM(INDEX(PASTE_ALL,26,43)),1+(LEFT(TRIM(INDEX(PASTE_ALL,26,43)),1)="-"),999),1)="%"))&lt;&gt;"",SUBSTITUTE(SUBSTITUTE(SUBSTITUTE(SUBSTITUTE(SUBSTITUTE(SUBSTITUTE(SUBSTITUTE(SUBSTITUTE(SUBSTITUTE(SUBSTITUTE(SUBSTITUTE(SUBSTITUTE(LEFT(MID(TRIM(INDEX(PASTE_ALL,26,43)),1+(LEFT(TRIM(INDEX(PASTE_ALL,26,43)),1)="-"),999),LEN(MID(TRIM(INDEX(PASTE_ALL,26,43)),1+(LEFT(TRIM(INDEX(PASTE_ALL,26,43)),1)="-"),999))-(RIGHT(MID(TRIM(INDEX(PASTE_ALL,26,43)),1+(LEFT(TRIM(INDEX(PASTE_ALL,26,43)),1)="-"),999),1)="%")),"0",""),"1",""),"2",""),"3",""),"4",""),"5",""),"6",""),"7",""),"8",""),"9",""),".",""),",","")=""),2,1))),1)</f>
        <v/>
      </c>
      <c r="BP75">
        <f>IFERROR(IF(ISNUMBER(INDEX(PASTE_ALL,26,44)),2,IF(TRIM(INDEX(PASTE_ALL,26,44))="",0,IF(AND(LEFT(MID(TRIM(INDEX(PASTE_ALL,26,44)),1+(LEFT(TRIM(INDEX(PASTE_ALL,26,44)),1)="-"),999),LEN(MID(TRIM(INDEX(PASTE_ALL,26,44)),1+(LEFT(TRIM(INDEX(PASTE_ALL,26,44)),1)="-"),999))-(RIGHT(MID(TRIM(INDEX(PASTE_ALL,26,44)),1+(LEFT(TRIM(INDEX(PASTE_ALL,26,44)),1)="-"),999),1)="%"))&lt;&gt;"",SUBSTITUTE(SUBSTITUTE(SUBSTITUTE(SUBSTITUTE(SUBSTITUTE(SUBSTITUTE(SUBSTITUTE(SUBSTITUTE(SUBSTITUTE(SUBSTITUTE(SUBSTITUTE(SUBSTITUTE(LEFT(MID(TRIM(INDEX(PASTE_ALL,26,44)),1+(LEFT(TRIM(INDEX(PASTE_ALL,26,44)),1)="-"),999),LEN(MID(TRIM(INDEX(PASTE_ALL,26,44)),1+(LEFT(TRIM(INDEX(PASTE_ALL,26,44)),1)="-"),999))-(RIGHT(MID(TRIM(INDEX(PASTE_ALL,26,44)),1+(LEFT(TRIM(INDEX(PASTE_ALL,26,44)),1)="-"),999),1)="%")),"0",""),"1",""),"2",""),"3",""),"4",""),"5",""),"6",""),"7",""),"8",""),"9",""),".",""),",","")=""),2,1))),1)</f>
        <v/>
      </c>
      <c r="BQ75">
        <f>IFERROR(IF(ISNUMBER(INDEX(PASTE_ALL,26,45)),2,IF(TRIM(INDEX(PASTE_ALL,26,45))="",0,IF(AND(LEFT(MID(TRIM(INDEX(PASTE_ALL,26,45)),1+(LEFT(TRIM(INDEX(PASTE_ALL,26,45)),1)="-"),999),LEN(MID(TRIM(INDEX(PASTE_ALL,26,45)),1+(LEFT(TRIM(INDEX(PASTE_ALL,26,45)),1)="-"),999))-(RIGHT(MID(TRIM(INDEX(PASTE_ALL,26,45)),1+(LEFT(TRIM(INDEX(PASTE_ALL,26,45)),1)="-"),999),1)="%"))&lt;&gt;"",SUBSTITUTE(SUBSTITUTE(SUBSTITUTE(SUBSTITUTE(SUBSTITUTE(SUBSTITUTE(SUBSTITUTE(SUBSTITUTE(SUBSTITUTE(SUBSTITUTE(SUBSTITUTE(SUBSTITUTE(LEFT(MID(TRIM(INDEX(PASTE_ALL,26,45)),1+(LEFT(TRIM(INDEX(PASTE_ALL,26,45)),1)="-"),999),LEN(MID(TRIM(INDEX(PASTE_ALL,26,45)),1+(LEFT(TRIM(INDEX(PASTE_ALL,26,45)),1)="-"),999))-(RIGHT(MID(TRIM(INDEX(PASTE_ALL,26,45)),1+(LEFT(TRIM(INDEX(PASTE_ALL,26,45)),1)="-"),999),1)="%")),"0",""),"1",""),"2",""),"3",""),"4",""),"5",""),"6",""),"7",""),"8",""),"9",""),".",""),",","")=""),2,1))),1)</f>
        <v/>
      </c>
      <c r="BR75">
        <f>IFERROR(IF(ISNUMBER(INDEX(PASTE_ALL,26,46)),2,IF(TRIM(INDEX(PASTE_ALL,26,46))="",0,IF(AND(LEFT(MID(TRIM(INDEX(PASTE_ALL,26,46)),1+(LEFT(TRIM(INDEX(PASTE_ALL,26,46)),1)="-"),999),LEN(MID(TRIM(INDEX(PASTE_ALL,26,46)),1+(LEFT(TRIM(INDEX(PASTE_ALL,26,46)),1)="-"),999))-(RIGHT(MID(TRIM(INDEX(PASTE_ALL,26,46)),1+(LEFT(TRIM(INDEX(PASTE_ALL,26,46)),1)="-"),999),1)="%"))&lt;&gt;"",SUBSTITUTE(SUBSTITUTE(SUBSTITUTE(SUBSTITUTE(SUBSTITUTE(SUBSTITUTE(SUBSTITUTE(SUBSTITUTE(SUBSTITUTE(SUBSTITUTE(SUBSTITUTE(SUBSTITUTE(LEFT(MID(TRIM(INDEX(PASTE_ALL,26,46)),1+(LEFT(TRIM(INDEX(PASTE_ALL,26,46)),1)="-"),999),LEN(MID(TRIM(INDEX(PASTE_ALL,26,46)),1+(LEFT(TRIM(INDEX(PASTE_ALL,26,46)),1)="-"),999))-(RIGHT(MID(TRIM(INDEX(PASTE_ALL,26,46)),1+(LEFT(TRIM(INDEX(PASTE_ALL,26,46)),1)="-"),999),1)="%")),"0",""),"1",""),"2",""),"3",""),"4",""),"5",""),"6",""),"7",""),"8",""),"9",""),".",""),",","")=""),2,1))),1)</f>
        <v/>
      </c>
      <c r="BS75">
        <f>IFERROR(IF(ISNUMBER(INDEX(PASTE_ALL,26,47)),2,IF(TRIM(INDEX(PASTE_ALL,26,47))="",0,IF(AND(LEFT(MID(TRIM(INDEX(PASTE_ALL,26,47)),1+(LEFT(TRIM(INDEX(PASTE_ALL,26,47)),1)="-"),999),LEN(MID(TRIM(INDEX(PASTE_ALL,26,47)),1+(LEFT(TRIM(INDEX(PASTE_ALL,26,47)),1)="-"),999))-(RIGHT(MID(TRIM(INDEX(PASTE_ALL,26,47)),1+(LEFT(TRIM(INDEX(PASTE_ALL,26,47)),1)="-"),999),1)="%"))&lt;&gt;"",SUBSTITUTE(SUBSTITUTE(SUBSTITUTE(SUBSTITUTE(SUBSTITUTE(SUBSTITUTE(SUBSTITUTE(SUBSTITUTE(SUBSTITUTE(SUBSTITUTE(SUBSTITUTE(SUBSTITUTE(LEFT(MID(TRIM(INDEX(PASTE_ALL,26,47)),1+(LEFT(TRIM(INDEX(PASTE_ALL,26,47)),1)="-"),999),LEN(MID(TRIM(INDEX(PASTE_ALL,26,47)),1+(LEFT(TRIM(INDEX(PASTE_ALL,26,47)),1)="-"),999))-(RIGHT(MID(TRIM(INDEX(PASTE_ALL,26,47)),1+(LEFT(TRIM(INDEX(PASTE_ALL,26,47)),1)="-"),999),1)="%")),"0",""),"1",""),"2",""),"3",""),"4",""),"5",""),"6",""),"7",""),"8",""),"9",""),".",""),",","")=""),2,1))),1)</f>
        <v/>
      </c>
      <c r="BT75">
        <f>IFERROR(IF(ISNUMBER(INDEX(PASTE_ALL,26,48)),2,IF(TRIM(INDEX(PASTE_ALL,26,48))="",0,IF(AND(LEFT(MID(TRIM(INDEX(PASTE_ALL,26,48)),1+(LEFT(TRIM(INDEX(PASTE_ALL,26,48)),1)="-"),999),LEN(MID(TRIM(INDEX(PASTE_ALL,26,48)),1+(LEFT(TRIM(INDEX(PASTE_ALL,26,48)),1)="-"),999))-(RIGHT(MID(TRIM(INDEX(PASTE_ALL,26,48)),1+(LEFT(TRIM(INDEX(PASTE_ALL,26,48)),1)="-"),999),1)="%"))&lt;&gt;"",SUBSTITUTE(SUBSTITUTE(SUBSTITUTE(SUBSTITUTE(SUBSTITUTE(SUBSTITUTE(SUBSTITUTE(SUBSTITUTE(SUBSTITUTE(SUBSTITUTE(SUBSTITUTE(SUBSTITUTE(LEFT(MID(TRIM(INDEX(PASTE_ALL,26,48)),1+(LEFT(TRIM(INDEX(PASTE_ALL,26,48)),1)="-"),999),LEN(MID(TRIM(INDEX(PASTE_ALL,26,48)),1+(LEFT(TRIM(INDEX(PASTE_ALL,26,48)),1)="-"),999))-(RIGHT(MID(TRIM(INDEX(PASTE_ALL,26,48)),1+(LEFT(TRIM(INDEX(PASTE_ALL,26,48)),1)="-"),999),1)="%")),"0",""),"1",""),"2",""),"3",""),"4",""),"5",""),"6",""),"7",""),"8",""),"9",""),".",""),",","")=""),2,1))),1)</f>
        <v/>
      </c>
      <c r="BU75">
        <f>IFERROR(IF(ISNUMBER(INDEX(PASTE_ALL,26,49)),2,IF(TRIM(INDEX(PASTE_ALL,26,49))="",0,IF(AND(LEFT(MID(TRIM(INDEX(PASTE_ALL,26,49)),1+(LEFT(TRIM(INDEX(PASTE_ALL,26,49)),1)="-"),999),LEN(MID(TRIM(INDEX(PASTE_ALL,26,49)),1+(LEFT(TRIM(INDEX(PASTE_ALL,26,49)),1)="-"),999))-(RIGHT(MID(TRIM(INDEX(PASTE_ALL,26,49)),1+(LEFT(TRIM(INDEX(PASTE_ALL,26,49)),1)="-"),999),1)="%"))&lt;&gt;"",SUBSTITUTE(SUBSTITUTE(SUBSTITUTE(SUBSTITUTE(SUBSTITUTE(SUBSTITUTE(SUBSTITUTE(SUBSTITUTE(SUBSTITUTE(SUBSTITUTE(SUBSTITUTE(SUBSTITUTE(LEFT(MID(TRIM(INDEX(PASTE_ALL,26,49)),1+(LEFT(TRIM(INDEX(PASTE_ALL,26,49)),1)="-"),999),LEN(MID(TRIM(INDEX(PASTE_ALL,26,49)),1+(LEFT(TRIM(INDEX(PASTE_ALL,26,49)),1)="-"),999))-(RIGHT(MID(TRIM(INDEX(PASTE_ALL,26,49)),1+(LEFT(TRIM(INDEX(PASTE_ALL,26,49)),1)="-"),999),1)="%")),"0",""),"1",""),"2",""),"3",""),"4",""),"5",""),"6",""),"7",""),"8",""),"9",""),".",""),",","")=""),2,1))),1)</f>
        <v/>
      </c>
      <c r="BV75">
        <f>IFERROR(IF(ISNUMBER(INDEX(PASTE_ALL,26,50)),2,IF(TRIM(INDEX(PASTE_ALL,26,50))="",0,IF(AND(LEFT(MID(TRIM(INDEX(PASTE_ALL,26,50)),1+(LEFT(TRIM(INDEX(PASTE_ALL,26,50)),1)="-"),999),LEN(MID(TRIM(INDEX(PASTE_ALL,26,50)),1+(LEFT(TRIM(INDEX(PASTE_ALL,26,50)),1)="-"),999))-(RIGHT(MID(TRIM(INDEX(PASTE_ALL,26,50)),1+(LEFT(TRIM(INDEX(PASTE_ALL,26,50)),1)="-"),999),1)="%"))&lt;&gt;"",SUBSTITUTE(SUBSTITUTE(SUBSTITUTE(SUBSTITUTE(SUBSTITUTE(SUBSTITUTE(SUBSTITUTE(SUBSTITUTE(SUBSTITUTE(SUBSTITUTE(SUBSTITUTE(SUBSTITUTE(LEFT(MID(TRIM(INDEX(PASTE_ALL,26,50)),1+(LEFT(TRIM(INDEX(PASTE_ALL,26,50)),1)="-"),999),LEN(MID(TRIM(INDEX(PASTE_ALL,26,50)),1+(LEFT(TRIM(INDEX(PASTE_ALL,26,50)),1)="-"),999))-(RIGHT(MID(TRIM(INDEX(PASTE_ALL,26,50)),1+(LEFT(TRIM(INDEX(PASTE_ALL,26,50)),1)="-"),999),1)="%")),"0",""),"1",""),"2",""),"3",""),"4",""),"5",""),"6",""),"7",""),"8",""),"9",""),".",""),",","")=""),2,1))),1)</f>
        <v/>
      </c>
      <c r="BW75">
        <f>IFERROR(IF(ISNUMBER(INDEX(PASTE_ALL,26,51)),2,IF(TRIM(INDEX(PASTE_ALL,26,51))="",0,IF(AND(LEFT(MID(TRIM(INDEX(PASTE_ALL,26,51)),1+(LEFT(TRIM(INDEX(PASTE_ALL,26,51)),1)="-"),999),LEN(MID(TRIM(INDEX(PASTE_ALL,26,51)),1+(LEFT(TRIM(INDEX(PASTE_ALL,26,51)),1)="-"),999))-(RIGHT(MID(TRIM(INDEX(PASTE_ALL,26,51)),1+(LEFT(TRIM(INDEX(PASTE_ALL,26,51)),1)="-"),999),1)="%"))&lt;&gt;"",SUBSTITUTE(SUBSTITUTE(SUBSTITUTE(SUBSTITUTE(SUBSTITUTE(SUBSTITUTE(SUBSTITUTE(SUBSTITUTE(SUBSTITUTE(SUBSTITUTE(SUBSTITUTE(SUBSTITUTE(LEFT(MID(TRIM(INDEX(PASTE_ALL,26,51)),1+(LEFT(TRIM(INDEX(PASTE_ALL,26,51)),1)="-"),999),LEN(MID(TRIM(INDEX(PASTE_ALL,26,51)),1+(LEFT(TRIM(INDEX(PASTE_ALL,26,51)),1)="-"),999))-(RIGHT(MID(TRIM(INDEX(PASTE_ALL,26,51)),1+(LEFT(TRIM(INDEX(PASTE_ALL,26,51)),1)="-"),999),1)="%")),"0",""),"1",""),"2",""),"3",""),"4",""),"5",""),"6",""),"7",""),"8",""),"9",""),".",""),",","")=""),2,1))),1)</f>
        <v/>
      </c>
      <c r="BX75">
        <f>IFERROR(IF(ISNUMBER(INDEX(PASTE_ALL,26,52)),2,IF(TRIM(INDEX(PASTE_ALL,26,52))="",0,IF(AND(LEFT(MID(TRIM(INDEX(PASTE_ALL,26,52)),1+(LEFT(TRIM(INDEX(PASTE_ALL,26,52)),1)="-"),999),LEN(MID(TRIM(INDEX(PASTE_ALL,26,52)),1+(LEFT(TRIM(INDEX(PASTE_ALL,26,52)),1)="-"),999))-(RIGHT(MID(TRIM(INDEX(PASTE_ALL,26,52)),1+(LEFT(TRIM(INDEX(PASTE_ALL,26,52)),1)="-"),999),1)="%"))&lt;&gt;"",SUBSTITUTE(SUBSTITUTE(SUBSTITUTE(SUBSTITUTE(SUBSTITUTE(SUBSTITUTE(SUBSTITUTE(SUBSTITUTE(SUBSTITUTE(SUBSTITUTE(SUBSTITUTE(SUBSTITUTE(LEFT(MID(TRIM(INDEX(PASTE_ALL,26,52)),1+(LEFT(TRIM(INDEX(PASTE_ALL,26,52)),1)="-"),999),LEN(MID(TRIM(INDEX(PASTE_ALL,26,52)),1+(LEFT(TRIM(INDEX(PASTE_ALL,26,52)),1)="-"),999))-(RIGHT(MID(TRIM(INDEX(PASTE_ALL,26,52)),1+(LEFT(TRIM(INDEX(PASTE_ALL,26,52)),1)="-"),999),1)="%")),"0",""),"1",""),"2",""),"3",""),"4",""),"5",""),"6",""),"7",""),"8",""),"9",""),".",""),",","")=""),2,1))),1)</f>
        <v/>
      </c>
      <c r="BY75">
        <f>IFERROR(IF(ISNUMBER(INDEX(PASTE_ALL,26,53)),2,IF(TRIM(INDEX(PASTE_ALL,26,53))="",0,IF(AND(LEFT(MID(TRIM(INDEX(PASTE_ALL,26,53)),1+(LEFT(TRIM(INDEX(PASTE_ALL,26,53)),1)="-"),999),LEN(MID(TRIM(INDEX(PASTE_ALL,26,53)),1+(LEFT(TRIM(INDEX(PASTE_ALL,26,53)),1)="-"),999))-(RIGHT(MID(TRIM(INDEX(PASTE_ALL,26,53)),1+(LEFT(TRIM(INDEX(PASTE_ALL,26,53)),1)="-"),999),1)="%"))&lt;&gt;"",SUBSTITUTE(SUBSTITUTE(SUBSTITUTE(SUBSTITUTE(SUBSTITUTE(SUBSTITUTE(SUBSTITUTE(SUBSTITUTE(SUBSTITUTE(SUBSTITUTE(SUBSTITUTE(SUBSTITUTE(LEFT(MID(TRIM(INDEX(PASTE_ALL,26,53)),1+(LEFT(TRIM(INDEX(PASTE_ALL,26,53)),1)="-"),999),LEN(MID(TRIM(INDEX(PASTE_ALL,26,53)),1+(LEFT(TRIM(INDEX(PASTE_ALL,26,53)),1)="-"),999))-(RIGHT(MID(TRIM(INDEX(PASTE_ALL,26,53)),1+(LEFT(TRIM(INDEX(PASTE_ALL,26,53)),1)="-"),999),1)="%")),"0",""),"1",""),"2",""),"3",""),"4",""),"5",""),"6",""),"7",""),"8",""),"9",""),".",""),",","")=""),2,1))),1)</f>
        <v/>
      </c>
      <c r="BZ75">
        <f>IFERROR(IF(ISNUMBER(INDEX(PASTE_ALL,26,54)),2,IF(TRIM(INDEX(PASTE_ALL,26,54))="",0,IF(AND(LEFT(MID(TRIM(INDEX(PASTE_ALL,26,54)),1+(LEFT(TRIM(INDEX(PASTE_ALL,26,54)),1)="-"),999),LEN(MID(TRIM(INDEX(PASTE_ALL,26,54)),1+(LEFT(TRIM(INDEX(PASTE_ALL,26,54)),1)="-"),999))-(RIGHT(MID(TRIM(INDEX(PASTE_ALL,26,54)),1+(LEFT(TRIM(INDEX(PASTE_ALL,26,54)),1)="-"),999),1)="%"))&lt;&gt;"",SUBSTITUTE(SUBSTITUTE(SUBSTITUTE(SUBSTITUTE(SUBSTITUTE(SUBSTITUTE(SUBSTITUTE(SUBSTITUTE(SUBSTITUTE(SUBSTITUTE(SUBSTITUTE(SUBSTITUTE(LEFT(MID(TRIM(INDEX(PASTE_ALL,26,54)),1+(LEFT(TRIM(INDEX(PASTE_ALL,26,54)),1)="-"),999),LEN(MID(TRIM(INDEX(PASTE_ALL,26,54)),1+(LEFT(TRIM(INDEX(PASTE_ALL,26,54)),1)="-"),999))-(RIGHT(MID(TRIM(INDEX(PASTE_ALL,26,54)),1+(LEFT(TRIM(INDEX(PASTE_ALL,26,54)),1)="-"),999),1)="%")),"0",""),"1",""),"2",""),"3",""),"4",""),"5",""),"6",""),"7",""),"8",""),"9",""),".",""),",","")=""),2,1))),1)</f>
        <v/>
      </c>
      <c r="CA75">
        <f>IFERROR(IF(ISNUMBER(INDEX(PASTE_ALL,26,55)),2,IF(TRIM(INDEX(PASTE_ALL,26,55))="",0,IF(AND(LEFT(MID(TRIM(INDEX(PASTE_ALL,26,55)),1+(LEFT(TRIM(INDEX(PASTE_ALL,26,55)),1)="-"),999),LEN(MID(TRIM(INDEX(PASTE_ALL,26,55)),1+(LEFT(TRIM(INDEX(PASTE_ALL,26,55)),1)="-"),999))-(RIGHT(MID(TRIM(INDEX(PASTE_ALL,26,55)),1+(LEFT(TRIM(INDEX(PASTE_ALL,26,55)),1)="-"),999),1)="%"))&lt;&gt;"",SUBSTITUTE(SUBSTITUTE(SUBSTITUTE(SUBSTITUTE(SUBSTITUTE(SUBSTITUTE(SUBSTITUTE(SUBSTITUTE(SUBSTITUTE(SUBSTITUTE(SUBSTITUTE(SUBSTITUTE(LEFT(MID(TRIM(INDEX(PASTE_ALL,26,55)),1+(LEFT(TRIM(INDEX(PASTE_ALL,26,55)),1)="-"),999),LEN(MID(TRIM(INDEX(PASTE_ALL,26,55)),1+(LEFT(TRIM(INDEX(PASTE_ALL,26,55)),1)="-"),999))-(RIGHT(MID(TRIM(INDEX(PASTE_ALL,26,55)),1+(LEFT(TRIM(INDEX(PASTE_ALL,26,55)),1)="-"),999),1)="%")),"0",""),"1",""),"2",""),"3",""),"4",""),"5",""),"6",""),"7",""),"8",""),"9",""),".",""),",","")=""),2,1))),1)</f>
        <v/>
      </c>
      <c r="CB75">
        <f>IFERROR(IF(ISNUMBER(INDEX(PASTE_ALL,26,56)),2,IF(TRIM(INDEX(PASTE_ALL,26,56))="",0,IF(AND(LEFT(MID(TRIM(INDEX(PASTE_ALL,26,56)),1+(LEFT(TRIM(INDEX(PASTE_ALL,26,56)),1)="-"),999),LEN(MID(TRIM(INDEX(PASTE_ALL,26,56)),1+(LEFT(TRIM(INDEX(PASTE_ALL,26,56)),1)="-"),999))-(RIGHT(MID(TRIM(INDEX(PASTE_ALL,26,56)),1+(LEFT(TRIM(INDEX(PASTE_ALL,26,56)),1)="-"),999),1)="%"))&lt;&gt;"",SUBSTITUTE(SUBSTITUTE(SUBSTITUTE(SUBSTITUTE(SUBSTITUTE(SUBSTITUTE(SUBSTITUTE(SUBSTITUTE(SUBSTITUTE(SUBSTITUTE(SUBSTITUTE(SUBSTITUTE(LEFT(MID(TRIM(INDEX(PASTE_ALL,26,56)),1+(LEFT(TRIM(INDEX(PASTE_ALL,26,56)),1)="-"),999),LEN(MID(TRIM(INDEX(PASTE_ALL,26,56)),1+(LEFT(TRIM(INDEX(PASTE_ALL,26,56)),1)="-"),999))-(RIGHT(MID(TRIM(INDEX(PASTE_ALL,26,56)),1+(LEFT(TRIM(INDEX(PASTE_ALL,26,56)),1)="-"),999),1)="%")),"0",""),"1",""),"2",""),"3",""),"4",""),"5",""),"6",""),"7",""),"8",""),"9",""),".",""),",","")=""),2,1))),1)</f>
        <v/>
      </c>
      <c r="CC75">
        <f>IFERROR(IF(ISNUMBER(INDEX(PASTE_ALL,26,57)),2,IF(TRIM(INDEX(PASTE_ALL,26,57))="",0,IF(AND(LEFT(MID(TRIM(INDEX(PASTE_ALL,26,57)),1+(LEFT(TRIM(INDEX(PASTE_ALL,26,57)),1)="-"),999),LEN(MID(TRIM(INDEX(PASTE_ALL,26,57)),1+(LEFT(TRIM(INDEX(PASTE_ALL,26,57)),1)="-"),999))-(RIGHT(MID(TRIM(INDEX(PASTE_ALL,26,57)),1+(LEFT(TRIM(INDEX(PASTE_ALL,26,57)),1)="-"),999),1)="%"))&lt;&gt;"",SUBSTITUTE(SUBSTITUTE(SUBSTITUTE(SUBSTITUTE(SUBSTITUTE(SUBSTITUTE(SUBSTITUTE(SUBSTITUTE(SUBSTITUTE(SUBSTITUTE(SUBSTITUTE(SUBSTITUTE(LEFT(MID(TRIM(INDEX(PASTE_ALL,26,57)),1+(LEFT(TRIM(INDEX(PASTE_ALL,26,57)),1)="-"),999),LEN(MID(TRIM(INDEX(PASTE_ALL,26,57)),1+(LEFT(TRIM(INDEX(PASTE_ALL,26,57)),1)="-"),999))-(RIGHT(MID(TRIM(INDEX(PASTE_ALL,26,57)),1+(LEFT(TRIM(INDEX(PASTE_ALL,26,57)),1)="-"),999),1)="%")),"0",""),"1",""),"2",""),"3",""),"4",""),"5",""),"6",""),"7",""),"8",""),"9",""),".",""),",","")=""),2,1))),1)</f>
        <v/>
      </c>
      <c r="CD75">
        <f>IFERROR(IF(ISNUMBER(INDEX(PASTE_ALL,26,58)),2,IF(TRIM(INDEX(PASTE_ALL,26,58))="",0,IF(AND(LEFT(MID(TRIM(INDEX(PASTE_ALL,26,58)),1+(LEFT(TRIM(INDEX(PASTE_ALL,26,58)),1)="-"),999),LEN(MID(TRIM(INDEX(PASTE_ALL,26,58)),1+(LEFT(TRIM(INDEX(PASTE_ALL,26,58)),1)="-"),999))-(RIGHT(MID(TRIM(INDEX(PASTE_ALL,26,58)),1+(LEFT(TRIM(INDEX(PASTE_ALL,26,58)),1)="-"),999),1)="%"))&lt;&gt;"",SUBSTITUTE(SUBSTITUTE(SUBSTITUTE(SUBSTITUTE(SUBSTITUTE(SUBSTITUTE(SUBSTITUTE(SUBSTITUTE(SUBSTITUTE(SUBSTITUTE(SUBSTITUTE(SUBSTITUTE(LEFT(MID(TRIM(INDEX(PASTE_ALL,26,58)),1+(LEFT(TRIM(INDEX(PASTE_ALL,26,58)),1)="-"),999),LEN(MID(TRIM(INDEX(PASTE_ALL,26,58)),1+(LEFT(TRIM(INDEX(PASTE_ALL,26,58)),1)="-"),999))-(RIGHT(MID(TRIM(INDEX(PASTE_ALL,26,58)),1+(LEFT(TRIM(INDEX(PASTE_ALL,26,58)),1)="-"),999),1)="%")),"0",""),"1",""),"2",""),"3",""),"4",""),"5",""),"6",""),"7",""),"8",""),"9",""),".",""),",","")=""),2,1))),1)</f>
        <v/>
      </c>
      <c r="CE75">
        <f>IFERROR(IF(ISNUMBER(INDEX(PASTE_ALL,26,59)),2,IF(TRIM(INDEX(PASTE_ALL,26,59))="",0,IF(AND(LEFT(MID(TRIM(INDEX(PASTE_ALL,26,59)),1+(LEFT(TRIM(INDEX(PASTE_ALL,26,59)),1)="-"),999),LEN(MID(TRIM(INDEX(PASTE_ALL,26,59)),1+(LEFT(TRIM(INDEX(PASTE_ALL,26,59)),1)="-"),999))-(RIGHT(MID(TRIM(INDEX(PASTE_ALL,26,59)),1+(LEFT(TRIM(INDEX(PASTE_ALL,26,59)),1)="-"),999),1)="%"))&lt;&gt;"",SUBSTITUTE(SUBSTITUTE(SUBSTITUTE(SUBSTITUTE(SUBSTITUTE(SUBSTITUTE(SUBSTITUTE(SUBSTITUTE(SUBSTITUTE(SUBSTITUTE(SUBSTITUTE(SUBSTITUTE(LEFT(MID(TRIM(INDEX(PASTE_ALL,26,59)),1+(LEFT(TRIM(INDEX(PASTE_ALL,26,59)),1)="-"),999),LEN(MID(TRIM(INDEX(PASTE_ALL,26,59)),1+(LEFT(TRIM(INDEX(PASTE_ALL,26,59)),1)="-"),999))-(RIGHT(MID(TRIM(INDEX(PASTE_ALL,26,59)),1+(LEFT(TRIM(INDEX(PASTE_ALL,26,59)),1)="-"),999),1)="%")),"0",""),"1",""),"2",""),"3",""),"4",""),"5",""),"6",""),"7",""),"8",""),"9",""),".",""),",","")=""),2,1))),1)</f>
        <v/>
      </c>
      <c r="CF75">
        <f>IFERROR(IF(ISNUMBER(INDEX(PASTE_ALL,26,60)),2,IF(TRIM(INDEX(PASTE_ALL,26,60))="",0,IF(AND(LEFT(MID(TRIM(INDEX(PASTE_ALL,26,60)),1+(LEFT(TRIM(INDEX(PASTE_ALL,26,60)),1)="-"),999),LEN(MID(TRIM(INDEX(PASTE_ALL,26,60)),1+(LEFT(TRIM(INDEX(PASTE_ALL,26,60)),1)="-"),999))-(RIGHT(MID(TRIM(INDEX(PASTE_ALL,26,60)),1+(LEFT(TRIM(INDEX(PASTE_ALL,26,60)),1)="-"),999),1)="%"))&lt;&gt;"",SUBSTITUTE(SUBSTITUTE(SUBSTITUTE(SUBSTITUTE(SUBSTITUTE(SUBSTITUTE(SUBSTITUTE(SUBSTITUTE(SUBSTITUTE(SUBSTITUTE(SUBSTITUTE(SUBSTITUTE(LEFT(MID(TRIM(INDEX(PASTE_ALL,26,60)),1+(LEFT(TRIM(INDEX(PASTE_ALL,26,60)),1)="-"),999),LEN(MID(TRIM(INDEX(PASTE_ALL,26,60)),1+(LEFT(TRIM(INDEX(PASTE_ALL,26,60)),1)="-"),999))-(RIGHT(MID(TRIM(INDEX(PASTE_ALL,26,60)),1+(LEFT(TRIM(INDEX(PASTE_ALL,26,60)),1)="-"),999),1)="%")),"0",""),"1",""),"2",""),"3",""),"4",""),"5",""),"6",""),"7",""),"8",""),"9",""),".",""),",","")=""),2,1))),1)</f>
        <v/>
      </c>
      <c r="DA75" t="n">
        <v>71</v>
      </c>
      <c r="DB75">
        <f>IF($B$37=0,"",IFERROR(TRIM(SUBSTITUTE(SUBSTITUTE(SUBSTITUTE(SUBSTITUTE(INDEX(PASTE_ALL,71,$B$37)," "," "),CHAR(9)," "),CHAR(10)," "),CHAR(13)," ")),""))</f>
        <v/>
      </c>
      <c r="DC75">
        <f>IF(AND(71&gt;HEADER_ROW,UPPER(DB75)="LEGEND"),1,0)</f>
        <v/>
      </c>
      <c r="DE75" t="n">
        <v>71</v>
      </c>
      <c r="DF75">
        <f>HEADER_ROW+$DE75</f>
        <v/>
      </c>
      <c r="DG75">
        <f>IF(AND($DF75&lt;=1000,$DF75&lt;$B$8),1,0)</f>
        <v/>
      </c>
      <c r="DH75">
        <f>IF($DG75=1,IFERROR(INDEX($DB$5:$DB$1004,$DF75),""),"")</f>
        <v/>
      </c>
      <c r="DI75">
        <f>IF(AND($DG75=1,$DH75&lt;&gt;""),IFERROR(SUBSTITUTE(SUBSTITUTE(TRIM(SUBSTITUTE(SUBSTITUTE(SUBSTITUTE(SUBSTITUTE(IFERROR(INDEX(PASTE_ALL,$DF75,1)&amp;"","")&amp;"␟"&amp;IFERROR(INDEX(PASTE_ALL,$DF75,2)&amp;"","")&amp;"␟"&amp;IFERROR(INDEX(PASTE_ALL,$DF75,3)&amp;"","")&amp;"␟"&amp;IFERROR(INDEX(PASTE_ALL,$DF75,4)&amp;"","")&amp;"␟"&amp;IFERROR(INDEX(PASTE_ALL,$DF75,5)&amp;"","")&amp;"␟"&amp;IFERROR(INDEX(PASTE_ALL,$DF75,6)&amp;"","")&amp;"␟"&amp;IFERROR(INDEX(PASTE_ALL,$DF75,7)&amp;"","")&amp;"␟"&amp;IFERROR(INDEX(PASTE_ALL,$DF75,8)&amp;"","")&amp;"␟"&amp;IFERROR(INDEX(PASTE_ALL,$DF75,9)&amp;"","")&amp;"␟"&amp;IFERROR(INDEX(PASTE_ALL,$DF75,10)&amp;"","")&amp;"␟"&amp;IFERROR(INDEX(PASTE_ALL,$DF75,11)&amp;"","")&amp;"␟"&amp;IFERROR(INDEX(PASTE_ALL,$DF75,12)&amp;"","")&amp;"␟"&amp;IFERROR(INDEX(PASTE_ALL,$DF75,13)&amp;"","")&amp;"␟"&amp;IFERROR(INDEX(PASTE_ALL,$DF75,14)&amp;"","")&amp;"␟"&amp;IFERROR(INDEX(PASTE_ALL,$DF75,15)&amp;"","")&amp;"␟"&amp;IFERROR(INDEX(PASTE_ALL,$DF75,16)&amp;"","")&amp;"␟"&amp;IFERROR(INDEX(PASTE_ALL,$DF75,17)&amp;"","")&amp;"␟"&amp;IFERROR(INDEX(PASTE_ALL,$DF75,18)&amp;"","")&amp;"␟"&amp;IFERROR(INDEX(PASTE_ALL,$DF75,19)&amp;"","")&amp;"␟"&amp;IFERROR(INDEX(PASTE_ALL,$DF75,20)&amp;"","")&amp;"␟"&amp;IFERROR(INDEX(PASTE_ALL,$DF75,21)&amp;"","")&amp;"␟"&amp;IFERROR(INDEX(PASTE_ALL,$DF75,22)&amp;"","")&amp;"␟"&amp;IFERROR(INDEX(PASTE_ALL,$DF75,23)&amp;"","")&amp;"␟"&amp;IFERROR(INDEX(PASTE_ALL,$DF75,24)&amp;"","")&amp;"␟"&amp;IFERROR(INDEX(PASTE_ALL,$DF75,25)&amp;"","")&amp;"␟"&amp;IFERROR(INDEX(PASTE_ALL,$DF75,26)&amp;"","")&amp;"␟"&amp;IFERROR(INDEX(PASTE_ALL,$DF75,27)&amp;"","")&amp;"␟"&amp;IFERROR(INDEX(PASTE_ALL,$DF75,28)&amp;"","")&amp;"␟"&amp;IFERROR(INDEX(PASTE_ALL,$DF75,29)&amp;"","")&amp;"␟"&amp;IFERROR(INDEX(PASTE_ALL,$DF75,30)&amp;"","")&amp;"␟"&amp;IFERROR(INDEX(PASTE_ALL,$DF75,31)&amp;"","")&amp;"␟"&amp;IFERROR(INDEX(PASTE_ALL,$DF75,32)&amp;"","")&amp;"␟"&amp;IFERROR(INDEX(PASTE_ALL,$DF75,33)&amp;"","")&amp;"␟"&amp;IFERROR(INDEX(PASTE_ALL,$DF75,34)&amp;"","")&amp;"␟"&amp;IFERROR(INDEX(PASTE_ALL,$DF75,35)&amp;"","")&amp;"␟"&amp;IFERROR(INDEX(PASTE_ALL,$DF75,36)&amp;"","")&amp;"␟"&amp;IFERROR(INDEX(PASTE_ALL,$DF75,37)&amp;"","")&amp;"␟"&amp;IFERROR(INDEX(PASTE_ALL,$DF75,38)&amp;"","")&amp;"␟"&amp;IFERROR(INDEX(PASTE_ALL,$DF75,39)&amp;"","")&amp;"␟"&amp;IFERROR(INDEX(PASTE_ALL,$DF75,40)&amp;"","")&amp;"␟"&amp;IFERROR(INDEX(PASTE_ALL,$DF75,41)&amp;"","")&amp;"␟"&amp;IFERROR(INDEX(PASTE_ALL,$DF75,42)&amp;"","")&amp;"␟"&amp;IFERROR(INDEX(PASTE_ALL,$DF75,43)&amp;"","")&amp;"␟"&amp;IFERROR(INDEX(PASTE_ALL,$DF75,44)&amp;"","")&amp;"␟"&amp;IFERROR(INDEX(PASTE_ALL,$DF75,45)&amp;"","")&amp;"␟"&amp;IFERROR(INDEX(PASTE_ALL,$DF75,46)&amp;"","")&amp;"␟"&amp;IFERROR(INDEX(PASTE_ALL,$DF75,47)&amp;"","")&amp;"␟"&amp;IFERROR(INDEX(PASTE_ALL,$DF75,48)&amp;"","")&amp;"␟"&amp;IFERROR(INDEX(PASTE_ALL,$DF75,49)&amp;"","")&amp;"␟"&amp;IFERROR(INDEX(PASTE_ALL,$DF75,50)&amp;"","")&amp;"␟"&amp;IFERROR(INDEX(PASTE_ALL,$DF75,51)&amp;"","")&amp;"␟"&amp;IFERROR(INDEX(PASTE_ALL,$DF75,52)&amp;"","")&amp;"␟"&amp;IFERROR(INDEX(PASTE_ALL,$DF75,53)&amp;"","")&amp;"␟"&amp;IFERROR(INDEX(PASTE_ALL,$DF75,54)&amp;"","")&amp;"␟"&amp;IFERROR(INDEX(PASTE_ALL,$DF75,55)&amp;"","")&amp;"␟"&amp;IFERROR(INDEX(PASTE_ALL,$DF75,56)&amp;"","")&amp;"␟"&amp;IFERROR(INDEX(PASTE_ALL,$DF75,57)&amp;"","")&amp;"␟"&amp;IFERROR(INDEX(PASTE_ALL,$DF75,58)&amp;"","")&amp;"␟"&amp;IFERROR(INDEX(PASTE_ALL,$DF75,59)&amp;"","")&amp;"␟"&amp;IFERROR(INDEX(PASTE_ALL,$DF75,60)&amp;"","")," "," "),CHAR(9)," "),CHAR(10)," "),CHAR(13)," "))," ␟","␟"),"␟ ","␟"),"#"&amp;$DE75),"")</f>
        <v/>
      </c>
      <c r="DJ75">
        <f>IF($DI75="",0,IF(SUMPRODUCT(--EXACT($DI$4:DI74,$DI75))&gt;0,1,0))</f>
        <v/>
      </c>
      <c r="DK75">
        <f>IF(AND($DI75&lt;&gt;"",$DJ75=0),1,0)</f>
        <v/>
      </c>
      <c r="DL75">
        <f>DL74+$DK75</f>
        <v/>
      </c>
      <c r="DM75">
        <f>IF(AND($DK75=1,$DL75&lt;=600),1,0)</f>
        <v/>
      </c>
      <c r="DN75">
        <f>IF($DM75=0,"",IF($L$6=0,"",IFERROR(IF(ISNUMBER(INDEX(PASTE_ALL,$DF75,$L$6)),INDEX(PASTE_ALL,$DF75,$L$6),TRIM(SUBSTITUTE(SUBSTITUTE(SUBSTITUTE(SUBSTITUTE(INDEX(PASTE_ALL,$DF75,$L$6)," "," "),CHAR(9)," "),CHAR(10)," "),CHAR(13)," "))),"")))</f>
        <v/>
      </c>
      <c r="DO75">
        <f>IF($DM75=0,"",IF($L$7=0,"",IFERROR(IF(ISNUMBER(INDEX(PASTE_ALL,$DF75,$L$7)),INDEX(PASTE_ALL,$DF75,$L$7),TRIM(SUBSTITUTE(SUBSTITUTE(SUBSTITUTE(SUBSTITUTE(INDEX(PASTE_ALL,$DF75,$L$7)," "," "),CHAR(9)," "),CHAR(10)," "),CHAR(13)," "))),"")))</f>
        <v/>
      </c>
      <c r="DP75">
        <f>IF($DM75=0,"",IF($L$8=0,"",IFERROR(IF(ISNUMBER(INDEX(PASTE_ALL,$DF75,$L$8)),INDEX(PASTE_ALL,$DF75,$L$8),TRIM(SUBSTITUTE(SUBSTITUTE(SUBSTITUTE(SUBSTITUTE(INDEX(PASTE_ALL,$DF75,$L$8)," "," "),CHAR(9)," "),CHAR(10)," "),CHAR(13)," "))),"")))</f>
        <v/>
      </c>
      <c r="DQ75">
        <f>IF($DM75=0,"",IF($L$9=0,"",IFERROR(IF(ISNUMBER(INDEX(PASTE_ALL,$DF75,$L$9)),INDEX(PASTE_ALL,$DF75,$L$9),TRIM(SUBSTITUTE(SUBSTITUTE(SUBSTITUTE(SUBSTITUTE(INDEX(PASTE_ALL,$DF75,$L$9)," "," "),CHAR(9)," "),CHAR(10)," "),CHAR(13)," "))),"")))</f>
        <v/>
      </c>
      <c r="DR75">
        <f>IF($DM75=0,"",IF($L$10=0,"",IFERROR(IF(ISNUMBER(INDEX(PASTE_ALL,$DF75,$L$10)),INDEX(PASTE_ALL,$DF75,$L$10),TRIM(SUBSTITUTE(SUBSTITUTE(SUBSTITUTE(SUBSTITUTE(INDEX(PASTE_ALL,$DF75,$L$10)," "," "),CHAR(9)," "),CHAR(10)," "),CHAR(13)," "))),"")))</f>
        <v/>
      </c>
      <c r="DS75">
        <f>IF($DM75=0,"",IF($L$11=0,"",IFERROR(IF(ISNUMBER(INDEX(PASTE_ALL,$DF75,$L$11)),INDEX(PASTE_ALL,$DF75,$L$11),TRIM(SUBSTITUTE(SUBSTITUTE(SUBSTITUTE(SUBSTITUTE(INDEX(PASTE_ALL,$DF75,$L$11)," "," "),CHAR(9)," "),CHAR(10)," "),CHAR(13)," "))),"")))</f>
        <v/>
      </c>
      <c r="DT75">
        <f>IF($DM75=0,"",IF($L$12=0,"",IFERROR(IF(ISNUMBER(INDEX(PASTE_ALL,$DF75,$L$12)),INDEX(PASTE_ALL,$DF75,$L$12),TRIM(SUBSTITUTE(SUBSTITUTE(SUBSTITUTE(SUBSTITUTE(INDEX(PASTE_ALL,$DF75,$L$12)," "," "),CHAR(9)," "),CHAR(10)," "),CHAR(13)," "))),"")))</f>
        <v/>
      </c>
      <c r="DU75">
        <f>IF($DM75=0,"",IF($L$13=0,"",IFERROR(IF(ISNUMBER(INDEX(PASTE_ALL,$DF75,$L$13)),INDEX(PASTE_ALL,$DF75,$L$13),TRIM(SUBSTITUTE(SUBSTITUTE(SUBSTITUTE(SUBSTITUTE(INDEX(PASTE_ALL,$DF75,$L$13)," "," "),CHAR(9)," "),CHAR(10)," "),CHAR(13)," "))),"")))</f>
        <v/>
      </c>
      <c r="DV75">
        <f>IF($DM75=0,"",IF($L$14=0,"",IFERROR(IF(ISNUMBER(INDEX(PASTE_ALL,$DF75,$L$14)),INDEX(PASTE_ALL,$DF75,$L$14),TRIM(SUBSTITUTE(SUBSTITUTE(SUBSTITUTE(SUBSTITUTE(INDEX(PASTE_ALL,$DF75,$L$14)," "," "),CHAR(9)," "),CHAR(10)," "),CHAR(13)," "))),"")))</f>
        <v/>
      </c>
      <c r="DW75">
        <f>IF($DM75=0,"",IF($L$15=0,"",IFERROR(IF(ISNUMBER(INDEX(PASTE_ALL,$DF75,$L$15)),INDEX(PASTE_ALL,$DF75,$L$15),IF(SUMPRODUCT(--ISNUMBER(FIND({"A","B","C","D","E","F","G","H","I","J","K","L","M","N","O","P","Q","R","S","T","U","V","W","X","Y","Z","0","1","2","3","4","5","6","7","8","9"},UPPER(TRIM(SUBSTITUTE(SUBSTITUTE(SUBSTITUTE(SUBSTITUTE(INDEX(PASTE_ALL,$DF75,$L$15)," "," "),CHAR(9)," "),CHAR(10)," "),CHAR(13)," "))))))&gt;0,TRIM(SUBSTITUTE(SUBSTITUTE(SUBSTITUTE(SUBSTITUTE(INDEX(PASTE_ALL,$DF75,$L$15)," "," "),CHAR(9)," "),CHAR(10)," "),CHAR(13)," ")),"")),"")))</f>
        <v/>
      </c>
      <c r="DX75">
        <f>IF($DM75=0,"",IF($L$16=0,"",IFERROR(IF(ISNUMBER(INDEX(PASTE_ALL,$DF75,$L$16)),INDEX(PASTE_ALL,$DF75,$L$16),SUBSTITUTE(SUBSTITUTE(TRIM(SUBSTITUTE(SUBSTITUTE(SUBSTITUTE(SUBSTITUTE(INDEX(PASTE_ALL,$DF75,$L$16)," "," "),CHAR(9)," "),CHAR(10)," "),CHAR(13)," ")),",",""),"%","")),"")))</f>
        <v/>
      </c>
      <c r="DY75">
        <f>IF($DM75=0,"",IFERROR(IF(ISNUMBER($DX75),$DX75,IF($DX75="","",IF(TRIM($DX75)="",0,IF(AND(AND(SUBSTITUTE(SUBSTITUTE(SUBSTITUTE(SUBSTITUTE(SUBSTITUTE(SUBSTITUTE(SUBSTITUTE(SUBSTITUTE(SUBSTITUTE(SUBSTITUTE(SUBSTITUTE(SUBSTITUTE(SUBSTITUTE(SUBSTITUTE(UPPER(TRIM($DX75)),"0",""),"1",""),"2",""),"3",""),"4",""),"5",""),"6",""),"7",""),"8",""),"9",""),".",""),"+",""),"-",""),"E","")="",LEN(SUBSTITUTE(SUBSTITUTE(MID(UPPER(TRIM($DX75)),1+OR(LEFT(UPPER(TRIM($DX75)),1)="+",LEFT(UPPER(TRIM($DX75)),1)="-"),999),"E+","E"),"E-","E"))=LEN(SUBSTITUTE(SUBSTITUTE(SUBSTITUTE(SUBSTITUTE(MID(UPPER(TRIM($DX75)),1+OR(LEFT(UPPER(TRIM($DX75)),1)="+",LEFT(UPPER(TRIM($DX75)),1)="-"),999),"E+","E"),"E-","E"),"+",""),"-","")),LEN(UPPER(TRIM($DX75)))-LEN(SUBSTITUTE(UPPER(TRIM($DX75)),"E",""))&lt;2,LEN(UPPER(TRIM($DX75)))-LEN(SUBSTITUTE(UPPER(TRIM($DX75)),".",""))&lt;2,IFERROR(FIND(".",UPPER(TRIM($DX75))),0)&lt;IFERROR(FIND("E",UPPER(TRIM($DX75))),999)),ISNUMBER(VALUE(TRIM($DX75)))),VALUE(TRIM($DX75)),"")))),""))</f>
        <v/>
      </c>
      <c r="DZ75">
        <f>IF($DM75=0,"",IF($L$17=0,"",IFERROR(IF(ISNUMBER(INDEX(PASTE_ALL,$DF75,$L$17)),INDEX(PASTE_ALL,$DF75,$L$17),SUBSTITUTE(SUBSTITUTE(TRIM(SUBSTITUTE(SUBSTITUTE(SUBSTITUTE(SUBSTITUTE(INDEX(PASTE_ALL,$DF75,$L$17)," "," "),CHAR(9)," "),CHAR(10)," "),CHAR(13)," ")),",",""),"%","")),"")))</f>
        <v/>
      </c>
      <c r="EA75">
        <f>IF($DM75=0,"",IFERROR(IF(ISNUMBER($DZ75),$DZ75,IF($DZ75="","",IF(TRIM($DZ75)="",0,IF(AND(AND(SUBSTITUTE(SUBSTITUTE(SUBSTITUTE(SUBSTITUTE(SUBSTITUTE(SUBSTITUTE(SUBSTITUTE(SUBSTITUTE(SUBSTITUTE(SUBSTITUTE(SUBSTITUTE(SUBSTITUTE(SUBSTITUTE(SUBSTITUTE(UPPER(TRIM($DZ75)),"0",""),"1",""),"2",""),"3",""),"4",""),"5",""),"6",""),"7",""),"8",""),"9",""),".",""),"+",""),"-",""),"E","")="",LEN(SUBSTITUTE(SUBSTITUTE(MID(UPPER(TRIM($DZ75)),1+OR(LEFT(UPPER(TRIM($DZ75)),1)="+",LEFT(UPPER(TRIM($DZ75)),1)="-"),999),"E+","E"),"E-","E"))=LEN(SUBSTITUTE(SUBSTITUTE(SUBSTITUTE(SUBSTITUTE(MID(UPPER(TRIM($DZ75)),1+OR(LEFT(UPPER(TRIM($DZ75)),1)="+",LEFT(UPPER(TRIM($DZ75)),1)="-"),999),"E+","E"),"E-","E"),"+",""),"-","")),LEN(UPPER(TRIM($DZ75)))-LEN(SUBSTITUTE(UPPER(TRIM($DZ75)),"E",""))&lt;2,LEN(UPPER(TRIM($DZ75)))-LEN(SUBSTITUTE(UPPER(TRIM($DZ75)),".",""))&lt;2,IFERROR(FIND(".",UPPER(TRIM($DZ75))),0)&lt;IFERROR(FIND("E",UPPER(TRIM($DZ75))),999)),ISNUMBER(VALUE(TRIM($DZ75)))),VALUE(TRIM($DZ75)),"")))),""))</f>
        <v/>
      </c>
      <c r="EB75">
        <f>IF($DM75=0,"",IF($L$18=0,"",IFERROR(IF(UPPER(TRIM(SUBSTITUTE(SUBSTITUTE(SUBSTITUTE(SUBSTITUTE(INDEX(PASTE_ALL,$DF75,$L$18)," "," "),CHAR(9)," "),CHAR(10)," "),CHAR(13)," ")))="READY","Ready",IF(UPPER(TRIM(SUBSTITUTE(SUBSTITUTE(SUBSTITUTE(SUBSTITUTE(INDEX(PASTE_ALL,$DF75,$L$18)," "," "),CHAR(9)," "),CHAR(10)," "),CHAR(13)," ")))="PM","PM",IF(OR(UPPER(TRIM(SUBSTITUTE(SUBSTITUTE(SUBSTITUTE(SUBSTITUTE(INDEX(PASTE_ALL,$DF75,$L$18)," "," "),CHAR(9)," "),CHAR(10)," "),CHAR(13)," ")))="OT",UPPER(TRIM(SUBSTITUTE(SUBSTITUTE(SUBSTITUTE(SUBSTITUTE(INDEX(PASTE_ALL,$DF75,$L$18)," "," "),CHAR(9)," "),CHAR(10)," "),CHAR(13)," ")))="OVERTIME",UPPER(TRIM(SUBSTITUTE(SUBSTITUTE(SUBSTITUTE(SUBSTITUTE(INDEX(PASTE_ALL,$DF75,$L$18)," "," "),CHAR(9)," "),CHAR(10)," "),CHAR(13)," ")))="TRIAL"),"OT",TRIM(SUBSTITUTE(SUBSTITUTE(SUBSTITUTE(SUBSTITUTE(INDEX(PASTE_ALL,$DF75,$L$18)," "," "),CHAR(9)," "),CHAR(10)," "),CHAR(13)," "))))),"")))</f>
        <v/>
      </c>
      <c r="EC75">
        <f>IF($DM75=0,"",IF($L$19=0,"",IFERROR(IF(ISNUMBER(INDEX(PASTE_ALL,$DF75,$L$19)),INDEX(PASTE_ALL,$DF75,$L$19),TRIM(SUBSTITUTE(SUBSTITUTE(SUBSTITUTE(SUBSTITUTE(INDEX(PASTE_ALL,$DF75,$L$19)," "," "),CHAR(9)," "),CHAR(10)," "),CHAR(13)," "))),"")))</f>
        <v/>
      </c>
      <c r="ED75">
        <f>IF($DM75=0,"",MATCH(1,INDEX(EXACT($DH$5:DH75,$DH75)*$DM$5:DM75,0),0))</f>
        <v/>
      </c>
      <c r="EE75">
        <f>IF($DM75=0,0,IF($ED75=$DE75,1,0))</f>
        <v/>
      </c>
      <c r="EF75">
        <f>EF74+$EE75</f>
        <v/>
      </c>
      <c r="EG75">
        <f>IF($DM75=0,"",INDEX($EF$5:$EF$1003,$ED75))</f>
        <v/>
      </c>
      <c r="EH75">
        <f>IF($DM75=0,"",IF($DO75&lt;&gt;"","",IFERROR(LOOKUP(2,1/(($EG$4:EG74=$EG75)*($DO$4:DO74&lt;&gt;"")),$DO$4:DO74),"")))</f>
        <v/>
      </c>
      <c r="EI75">
        <f>IF($DM75=0,"",IF($DO75&lt;&gt;"",$DO75,$EH75))</f>
        <v/>
      </c>
      <c r="EJ75">
        <f>IF($DM75=0,"",IF($EI75="",0,IF(OR(ISNUMBER($EI75),AND(AND(SUBSTITUTE(SUBSTITUTE(SUBSTITUTE(SUBSTITUTE(SUBSTITUTE(SUBSTITUTE(SUBSTITUTE(SUBSTITUTE(SUBSTITUTE(SUBSTITUTE(SUBSTITUTE(SUBSTITUTE(SUBSTITUTE(SUBSTITUTE(UPPER($EI75),"0",""),"1",""),"2",""),"3",""),"4",""),"5",""),"6",""),"7",""),"8",""),"9",""),".",""),"+",""),"-",""),"E","")="",LEN(SUBSTITUTE(SUBSTITUTE(MID(UPPER($EI75),1+OR(LEFT(UPPER($EI75),1)="+",LEFT(UPPER($EI75),1)="-"),999),"E+","E"),"E-","E"))=LEN(SUBSTITUTE(SUBSTITUTE(SUBSTITUTE(SUBSTITUTE(MID(UPPER($EI75),1+OR(LEFT(UPPER($EI75),1)="+",LEFT(UPPER($EI75),1)="-"),999),"E+","E"),"E-","E"),"+",""),"-","")),LEN(UPPER($EI75))-LEN(SUBSTITUTE(UPPER($EI75),"E",""))&lt;2,LEN(UPPER($EI75))-LEN(SUBSTITUTE(UPPER($EI75),".",""))&lt;2,IFERROR(FIND(".",UPPER($EI75)),0)&lt;IFERROR(FIND("E",UPPER($EI75)),999)),ISNUMBER(VALUE($EI75)))),1,2)))</f>
        <v/>
      </c>
      <c r="EK75">
        <f>IF($DM75=0,"",IF($EJ75=1,IF(ISNUMBER($EI75),$EI75,VALUE($EI75)),IF($EJ75=2,$DE75,0)))</f>
        <v/>
      </c>
      <c r="EL75">
        <f>IF($DM75=0,"",COUNTIF($EG$5:$EG$1003,"&lt;"&amp;$EG75)+SUMPRODUCT(($EG$5:$EG$1003=$EG75)*(($EJ$5:$EJ$1003&lt;$EJ75)+($EJ$5:$EJ$1003=$EJ75)*(($EK$5:$EK$1003&lt;$EK75)+($EK$5:$EK$1003=$EK75)*($DE$5:$DE$1003&lt;$DE75))))+1)</f>
        <v/>
      </c>
      <c r="EM75">
        <f>IF($DM75=0,"",$EL75+$EG75-1)</f>
        <v/>
      </c>
      <c r="EN75">
        <f>IF($DM75=0,0,IFERROR(MATCH(1,INDEX(--(TRIM(SUBSTITUTE(SUBSTITUTE(SUBSTITUTE(SUBSTITUTE(LINES_NAME&amp;""," "," "),CHAR(9)," "),CHAR(10)," "),CHAR(13)," "))=$DH75),0),0),0))</f>
        <v/>
      </c>
      <c r="EO75">
        <f>IF($EN75=0,0,IF(OR(UPPER(TRIM(INDEX(LINES_SCHEDULED,$EN75)&amp;""))="YES",UPPER(TRIM(INDEX(LINES_SCHEDULED,$EN75)&amp;""))="Y",UPPER(TRIM(INDEX(LINES_SCHEDULED,$EN75)&amp;""))="X"),1,0))</f>
        <v/>
      </c>
      <c r="EP75">
        <f>IF($DM75=0,"",IF(COUNTIFS($EG$5:$EG$1003,$EG75,$EB$5:$EB$1003,"Ready")&gt;0,"READY",IF(COUNTIFS($EG$5:$EG$1003,$EG75,$EB$5:$EB$1003,"PM")&gt;0,"PM",IF(COUNTIFS($EG$5:$EG$1003,$EG75,$EB$5:$EB$1003,"OT")&gt;0,"OT",""))))</f>
        <v/>
      </c>
      <c r="EQ75">
        <f>IF($EN75=0,"",UPPER(TRIM(INDEX(LINES_STATUS,$EN75)&amp;"")))</f>
        <v/>
      </c>
      <c r="ER75">
        <f>IF($DM75=0,"",IF(OR($EQ75="READY",$EQ75="PM",$EQ75="OT"),$EQ75,$EP75))</f>
        <v/>
      </c>
      <c r="ES75">
        <f>IF($DM75=0,"",IF(AND($DV75&lt;&gt;"",UPPER($DV75)&lt;&gt;"N"),"allergen",IF(ISNUMBER(SEARCH("oil",$DQ75)),"oil",IF(OR(EXACT($DS75,"A662"),EXACT($DS75,"A624")),"bulk",""))))</f>
        <v/>
      </c>
      <c r="ET75">
        <f>IF($DM75=0,"",IF(OR($EA75="",$EA75=0),"",$EA75/100))</f>
        <v/>
      </c>
      <c r="EU75">
        <f>IF(OR($ET75="",$DY75=""),"",INT($DY75*(1-$ET75)+0.5))</f>
        <v/>
      </c>
      <c r="EW75" t="n">
        <v>71</v>
      </c>
      <c r="EX75">
        <f>IFERROR(MATCH($EW75,$EM$5:$EM$1003,0),0)</f>
        <v/>
      </c>
      <c r="EY75">
        <f>IF($EW75&gt;$B$12,"",IF($EX75&gt;0,"row","spacer"))</f>
        <v/>
      </c>
      <c r="EZ75">
        <f>IF(AND($EY75="row",$EY74&lt;&gt;"row"),1,0)</f>
        <v/>
      </c>
      <c r="FA75">
        <f>IF(AND($EY75="row",$EY76&lt;&gt;"row"),1,0)</f>
        <v/>
      </c>
      <c r="FB75">
        <f>IF($EZ75=1,IFERROR(IF(ISNUMBER(INDEX(PASTE_ALL,INDEX($DF$5:$DF$1003,$EX75),$B$37)),INDEX(PASTE_ALL,INDEX($DF$5:$DF$1003,$EX75),$B$37),INDEX($DH$5:$DH$1003,$EX75)),INDEX($DH$5:$DH$1003,$EX75)),"")</f>
        <v/>
      </c>
      <c r="FC75">
        <f>IF($EY75="row",INDEX($ER$5:$ER$1003,$EX75),"")</f>
        <v/>
      </c>
      <c r="FD75">
        <f>IF($EY75="row",INDEX($DN$5:$DN$1003,$EX75),"")</f>
        <v/>
      </c>
      <c r="FE75">
        <f>IF($EY75="row",INDEX($DO$5:$DO$1003,$EX75),"")</f>
        <v/>
      </c>
      <c r="FF75">
        <f>IF($EY75="row",INDEX($DP$5:$DP$1003,$EX75),"")</f>
        <v/>
      </c>
      <c r="FG75">
        <f>IF($EY75="row",INDEX($DQ$5:$DQ$1003,$EX75),"")</f>
        <v/>
      </c>
      <c r="FH75">
        <f>IF($EY75="row",INDEX($DR$5:$DR$1003,$EX75),"")</f>
        <v/>
      </c>
      <c r="FI75">
        <f>IF($EY75="row",INDEX($DS$5:$DS$1003,$EX75),"")</f>
        <v/>
      </c>
      <c r="FJ75">
        <f>IF($EY75="row",INDEX($DT$5:$DT$1003,$EX75),"")</f>
        <v/>
      </c>
      <c r="FK75">
        <f>IF($EY75="row",INDEX($DU$5:$DU$1003,$EX75),"")</f>
        <v/>
      </c>
      <c r="FL75">
        <f>IF($EY75="row",INDEX($DV$5:$DV$1003,$EX75),"")</f>
        <v/>
      </c>
      <c r="FM75">
        <f>IF($EY75="row",INDEX($DW$5:$DW$1003,$EX75),"")</f>
        <v/>
      </c>
      <c r="FN75">
        <f>IF($EY75="row",INDEX($DY$5:$DY$1003,$EX75),"")</f>
        <v/>
      </c>
      <c r="FO75">
        <f>IF($EY75="row",INDEX($EA$5:$EA$1003,$EX75),"")</f>
        <v/>
      </c>
      <c r="FP75">
        <f>IF($EY75="row",INDEX($EC$5:$EC$1003,$EX75),"")</f>
        <v/>
      </c>
      <c r="FQ75">
        <f>IF($EY75="row",INDEX($ET$5:$ET$1003,$EX75),"")</f>
        <v/>
      </c>
      <c r="FR75">
        <f>IF($EY75="row",INDEX($EU$5:$EU$1003,$EX75),"")</f>
        <v/>
      </c>
      <c r="FS75">
        <f>IF(AND($EY75="row",$EY74="row"),IF(OR(INDEX($DT$5:$DT$1003,$EX74)="",INDEX($DT$5:$DT$1003,$EX75)=""),"",IF(NOT(EXACT(INDEX($DT$5:$DT$1003,$EX74),INDEX($DT$5:$DT$1003,$EX75))),"S4",IF(NOT(EXACT(INDEX($DS$5:$DS$1003,$EX74),INDEX($DS$5:$DS$1003,$EX75))),"S3",IF(NOT(EXACT(INDEX($DR$5:$DR$1003,$EX74),INDEX($DR$5:$DR$1003,$EX75))),"S1 Count Change","S1")))),"")</f>
        <v/>
      </c>
      <c r="FT75">
        <f>IF($EY75="row",INDEX($ES$5:$ES$1003,$EX75),"")</f>
        <v/>
      </c>
      <c r="FU75">
        <f>IF($EY75="row",INDEX($EO$5:$EO$1003,$EX75),0)</f>
        <v/>
      </c>
      <c r="FV75">
        <f>IF($FS75="S1 Count Change",1,0)</f>
        <v/>
      </c>
      <c r="FX75" t="n">
        <v>71</v>
      </c>
      <c r="FY75">
        <f>IFERROR(MATCH($FX75,$EF$5:$EF$1003,0),0)</f>
        <v/>
      </c>
      <c r="FZ75">
        <f>IF($FY75=0,"",INDEX($DH$5:$DH$1003,$FY75))</f>
        <v/>
      </c>
      <c r="GA75">
        <f>IF($FY75=0,"",COUNTIF($EG$5:$EG$1003,$FX75))</f>
        <v/>
      </c>
      <c r="GB75">
        <f>IF($FY75=0,"",INDEX($ER$5:$ER$1003,$FY75))</f>
        <v/>
      </c>
      <c r="GC75">
        <f>IF($FY75=0,"",IF(INDEX($EO$5:$EO$1003,$FY75)=1,"Yes",""))</f>
        <v/>
      </c>
      <c r="GD75">
        <f>IF($FY75=0,"",IF(INDEX($EN$5:$EN$1003,$FY75)&gt;0,"","NOT IN YOUR LIST - type it in column A to tick it"))</f>
        <v/>
      </c>
      <c r="GE75">
        <f>IF(AND($FY75&gt;0,$GD75&lt;&gt;""),1,0)</f>
        <v/>
      </c>
      <c r="GF75">
        <f>GF74+$GE75</f>
        <v/>
      </c>
      <c r="GG75">
        <f>IFERROR(INDEX($FZ$5:$FZ$104,MATCH($FX75,$GF$5:$GF$104,0)),"")</f>
        <v/>
      </c>
    </row>
    <row r="76">
      <c r="V76" t="inlineStr">
        <is>
          <t>COMPLETE</t>
        </is>
      </c>
      <c r="W76" t="n">
        <v>13</v>
      </c>
      <c r="Y76">
        <f>IFERROR(IF(ISNUMBER(INDEX(PASTE_ALL,27,1)),2,IF(TRIM(INDEX(PASTE_ALL,27,1))="",0,IF(AND(LEFT(MID(TRIM(INDEX(PASTE_ALL,27,1)),1+(LEFT(TRIM(INDEX(PASTE_ALL,27,1)),1)="-"),999),LEN(MID(TRIM(INDEX(PASTE_ALL,27,1)),1+(LEFT(TRIM(INDEX(PASTE_ALL,27,1)),1)="-"),999))-(RIGHT(MID(TRIM(INDEX(PASTE_ALL,27,1)),1+(LEFT(TRIM(INDEX(PASTE_ALL,27,1)),1)="-"),999),1)="%"))&lt;&gt;"",SUBSTITUTE(SUBSTITUTE(SUBSTITUTE(SUBSTITUTE(SUBSTITUTE(SUBSTITUTE(SUBSTITUTE(SUBSTITUTE(SUBSTITUTE(SUBSTITUTE(SUBSTITUTE(SUBSTITUTE(LEFT(MID(TRIM(INDEX(PASTE_ALL,27,1)),1+(LEFT(TRIM(INDEX(PASTE_ALL,27,1)),1)="-"),999),LEN(MID(TRIM(INDEX(PASTE_ALL,27,1)),1+(LEFT(TRIM(INDEX(PASTE_ALL,27,1)),1)="-"),999))-(RIGHT(MID(TRIM(INDEX(PASTE_ALL,27,1)),1+(LEFT(TRIM(INDEX(PASTE_ALL,27,1)),1)="-"),999),1)="%")),"0",""),"1",""),"2",""),"3",""),"4",""),"5",""),"6",""),"7",""),"8",""),"9",""),".",""),",","")=""),2,1))),1)</f>
        <v/>
      </c>
      <c r="Z76">
        <f>IFERROR(IF(ISNUMBER(INDEX(PASTE_ALL,27,2)),2,IF(TRIM(INDEX(PASTE_ALL,27,2))="",0,IF(AND(LEFT(MID(TRIM(INDEX(PASTE_ALL,27,2)),1+(LEFT(TRIM(INDEX(PASTE_ALL,27,2)),1)="-"),999),LEN(MID(TRIM(INDEX(PASTE_ALL,27,2)),1+(LEFT(TRIM(INDEX(PASTE_ALL,27,2)),1)="-"),999))-(RIGHT(MID(TRIM(INDEX(PASTE_ALL,27,2)),1+(LEFT(TRIM(INDEX(PASTE_ALL,27,2)),1)="-"),999),1)="%"))&lt;&gt;"",SUBSTITUTE(SUBSTITUTE(SUBSTITUTE(SUBSTITUTE(SUBSTITUTE(SUBSTITUTE(SUBSTITUTE(SUBSTITUTE(SUBSTITUTE(SUBSTITUTE(SUBSTITUTE(SUBSTITUTE(LEFT(MID(TRIM(INDEX(PASTE_ALL,27,2)),1+(LEFT(TRIM(INDEX(PASTE_ALL,27,2)),1)="-"),999),LEN(MID(TRIM(INDEX(PASTE_ALL,27,2)),1+(LEFT(TRIM(INDEX(PASTE_ALL,27,2)),1)="-"),999))-(RIGHT(MID(TRIM(INDEX(PASTE_ALL,27,2)),1+(LEFT(TRIM(INDEX(PASTE_ALL,27,2)),1)="-"),999),1)="%")),"0",""),"1",""),"2",""),"3",""),"4",""),"5",""),"6",""),"7",""),"8",""),"9",""),".",""),",","")=""),2,1))),1)</f>
        <v/>
      </c>
      <c r="AA76">
        <f>IFERROR(IF(ISNUMBER(INDEX(PASTE_ALL,27,3)),2,IF(TRIM(INDEX(PASTE_ALL,27,3))="",0,IF(AND(LEFT(MID(TRIM(INDEX(PASTE_ALL,27,3)),1+(LEFT(TRIM(INDEX(PASTE_ALL,27,3)),1)="-"),999),LEN(MID(TRIM(INDEX(PASTE_ALL,27,3)),1+(LEFT(TRIM(INDEX(PASTE_ALL,27,3)),1)="-"),999))-(RIGHT(MID(TRIM(INDEX(PASTE_ALL,27,3)),1+(LEFT(TRIM(INDEX(PASTE_ALL,27,3)),1)="-"),999),1)="%"))&lt;&gt;"",SUBSTITUTE(SUBSTITUTE(SUBSTITUTE(SUBSTITUTE(SUBSTITUTE(SUBSTITUTE(SUBSTITUTE(SUBSTITUTE(SUBSTITUTE(SUBSTITUTE(SUBSTITUTE(SUBSTITUTE(LEFT(MID(TRIM(INDEX(PASTE_ALL,27,3)),1+(LEFT(TRIM(INDEX(PASTE_ALL,27,3)),1)="-"),999),LEN(MID(TRIM(INDEX(PASTE_ALL,27,3)),1+(LEFT(TRIM(INDEX(PASTE_ALL,27,3)),1)="-"),999))-(RIGHT(MID(TRIM(INDEX(PASTE_ALL,27,3)),1+(LEFT(TRIM(INDEX(PASTE_ALL,27,3)),1)="-"),999),1)="%")),"0",""),"1",""),"2",""),"3",""),"4",""),"5",""),"6",""),"7",""),"8",""),"9",""),".",""),",","")=""),2,1))),1)</f>
        <v/>
      </c>
      <c r="AB76">
        <f>IFERROR(IF(ISNUMBER(INDEX(PASTE_ALL,27,4)),2,IF(TRIM(INDEX(PASTE_ALL,27,4))="",0,IF(AND(LEFT(MID(TRIM(INDEX(PASTE_ALL,27,4)),1+(LEFT(TRIM(INDEX(PASTE_ALL,27,4)),1)="-"),999),LEN(MID(TRIM(INDEX(PASTE_ALL,27,4)),1+(LEFT(TRIM(INDEX(PASTE_ALL,27,4)),1)="-"),999))-(RIGHT(MID(TRIM(INDEX(PASTE_ALL,27,4)),1+(LEFT(TRIM(INDEX(PASTE_ALL,27,4)),1)="-"),999),1)="%"))&lt;&gt;"",SUBSTITUTE(SUBSTITUTE(SUBSTITUTE(SUBSTITUTE(SUBSTITUTE(SUBSTITUTE(SUBSTITUTE(SUBSTITUTE(SUBSTITUTE(SUBSTITUTE(SUBSTITUTE(SUBSTITUTE(LEFT(MID(TRIM(INDEX(PASTE_ALL,27,4)),1+(LEFT(TRIM(INDEX(PASTE_ALL,27,4)),1)="-"),999),LEN(MID(TRIM(INDEX(PASTE_ALL,27,4)),1+(LEFT(TRIM(INDEX(PASTE_ALL,27,4)),1)="-"),999))-(RIGHT(MID(TRIM(INDEX(PASTE_ALL,27,4)),1+(LEFT(TRIM(INDEX(PASTE_ALL,27,4)),1)="-"),999),1)="%")),"0",""),"1",""),"2",""),"3",""),"4",""),"5",""),"6",""),"7",""),"8",""),"9",""),".",""),",","")=""),2,1))),1)</f>
        <v/>
      </c>
      <c r="AC76">
        <f>IFERROR(IF(ISNUMBER(INDEX(PASTE_ALL,27,5)),2,IF(TRIM(INDEX(PASTE_ALL,27,5))="",0,IF(AND(LEFT(MID(TRIM(INDEX(PASTE_ALL,27,5)),1+(LEFT(TRIM(INDEX(PASTE_ALL,27,5)),1)="-"),999),LEN(MID(TRIM(INDEX(PASTE_ALL,27,5)),1+(LEFT(TRIM(INDEX(PASTE_ALL,27,5)),1)="-"),999))-(RIGHT(MID(TRIM(INDEX(PASTE_ALL,27,5)),1+(LEFT(TRIM(INDEX(PASTE_ALL,27,5)),1)="-"),999),1)="%"))&lt;&gt;"",SUBSTITUTE(SUBSTITUTE(SUBSTITUTE(SUBSTITUTE(SUBSTITUTE(SUBSTITUTE(SUBSTITUTE(SUBSTITUTE(SUBSTITUTE(SUBSTITUTE(SUBSTITUTE(SUBSTITUTE(LEFT(MID(TRIM(INDEX(PASTE_ALL,27,5)),1+(LEFT(TRIM(INDEX(PASTE_ALL,27,5)),1)="-"),999),LEN(MID(TRIM(INDEX(PASTE_ALL,27,5)),1+(LEFT(TRIM(INDEX(PASTE_ALL,27,5)),1)="-"),999))-(RIGHT(MID(TRIM(INDEX(PASTE_ALL,27,5)),1+(LEFT(TRIM(INDEX(PASTE_ALL,27,5)),1)="-"),999),1)="%")),"0",""),"1",""),"2",""),"3",""),"4",""),"5",""),"6",""),"7",""),"8",""),"9",""),".",""),",","")=""),2,1))),1)</f>
        <v/>
      </c>
      <c r="AD76">
        <f>IFERROR(IF(ISNUMBER(INDEX(PASTE_ALL,27,6)),2,IF(TRIM(INDEX(PASTE_ALL,27,6))="",0,IF(AND(LEFT(MID(TRIM(INDEX(PASTE_ALL,27,6)),1+(LEFT(TRIM(INDEX(PASTE_ALL,27,6)),1)="-"),999),LEN(MID(TRIM(INDEX(PASTE_ALL,27,6)),1+(LEFT(TRIM(INDEX(PASTE_ALL,27,6)),1)="-"),999))-(RIGHT(MID(TRIM(INDEX(PASTE_ALL,27,6)),1+(LEFT(TRIM(INDEX(PASTE_ALL,27,6)),1)="-"),999),1)="%"))&lt;&gt;"",SUBSTITUTE(SUBSTITUTE(SUBSTITUTE(SUBSTITUTE(SUBSTITUTE(SUBSTITUTE(SUBSTITUTE(SUBSTITUTE(SUBSTITUTE(SUBSTITUTE(SUBSTITUTE(SUBSTITUTE(LEFT(MID(TRIM(INDEX(PASTE_ALL,27,6)),1+(LEFT(TRIM(INDEX(PASTE_ALL,27,6)),1)="-"),999),LEN(MID(TRIM(INDEX(PASTE_ALL,27,6)),1+(LEFT(TRIM(INDEX(PASTE_ALL,27,6)),1)="-"),999))-(RIGHT(MID(TRIM(INDEX(PASTE_ALL,27,6)),1+(LEFT(TRIM(INDEX(PASTE_ALL,27,6)),1)="-"),999),1)="%")),"0",""),"1",""),"2",""),"3",""),"4",""),"5",""),"6",""),"7",""),"8",""),"9",""),".",""),",","")=""),2,1))),1)</f>
        <v/>
      </c>
      <c r="AE76">
        <f>IFERROR(IF(ISNUMBER(INDEX(PASTE_ALL,27,7)),2,IF(TRIM(INDEX(PASTE_ALL,27,7))="",0,IF(AND(LEFT(MID(TRIM(INDEX(PASTE_ALL,27,7)),1+(LEFT(TRIM(INDEX(PASTE_ALL,27,7)),1)="-"),999),LEN(MID(TRIM(INDEX(PASTE_ALL,27,7)),1+(LEFT(TRIM(INDEX(PASTE_ALL,27,7)),1)="-"),999))-(RIGHT(MID(TRIM(INDEX(PASTE_ALL,27,7)),1+(LEFT(TRIM(INDEX(PASTE_ALL,27,7)),1)="-"),999),1)="%"))&lt;&gt;"",SUBSTITUTE(SUBSTITUTE(SUBSTITUTE(SUBSTITUTE(SUBSTITUTE(SUBSTITUTE(SUBSTITUTE(SUBSTITUTE(SUBSTITUTE(SUBSTITUTE(SUBSTITUTE(SUBSTITUTE(LEFT(MID(TRIM(INDEX(PASTE_ALL,27,7)),1+(LEFT(TRIM(INDEX(PASTE_ALL,27,7)),1)="-"),999),LEN(MID(TRIM(INDEX(PASTE_ALL,27,7)),1+(LEFT(TRIM(INDEX(PASTE_ALL,27,7)),1)="-"),999))-(RIGHT(MID(TRIM(INDEX(PASTE_ALL,27,7)),1+(LEFT(TRIM(INDEX(PASTE_ALL,27,7)),1)="-"),999),1)="%")),"0",""),"1",""),"2",""),"3",""),"4",""),"5",""),"6",""),"7",""),"8",""),"9",""),".",""),",","")=""),2,1))),1)</f>
        <v/>
      </c>
      <c r="AF76">
        <f>IFERROR(IF(ISNUMBER(INDEX(PASTE_ALL,27,8)),2,IF(TRIM(INDEX(PASTE_ALL,27,8))="",0,IF(AND(LEFT(MID(TRIM(INDEX(PASTE_ALL,27,8)),1+(LEFT(TRIM(INDEX(PASTE_ALL,27,8)),1)="-"),999),LEN(MID(TRIM(INDEX(PASTE_ALL,27,8)),1+(LEFT(TRIM(INDEX(PASTE_ALL,27,8)),1)="-"),999))-(RIGHT(MID(TRIM(INDEX(PASTE_ALL,27,8)),1+(LEFT(TRIM(INDEX(PASTE_ALL,27,8)),1)="-"),999),1)="%"))&lt;&gt;"",SUBSTITUTE(SUBSTITUTE(SUBSTITUTE(SUBSTITUTE(SUBSTITUTE(SUBSTITUTE(SUBSTITUTE(SUBSTITUTE(SUBSTITUTE(SUBSTITUTE(SUBSTITUTE(SUBSTITUTE(LEFT(MID(TRIM(INDEX(PASTE_ALL,27,8)),1+(LEFT(TRIM(INDEX(PASTE_ALL,27,8)),1)="-"),999),LEN(MID(TRIM(INDEX(PASTE_ALL,27,8)),1+(LEFT(TRIM(INDEX(PASTE_ALL,27,8)),1)="-"),999))-(RIGHT(MID(TRIM(INDEX(PASTE_ALL,27,8)),1+(LEFT(TRIM(INDEX(PASTE_ALL,27,8)),1)="-"),999),1)="%")),"0",""),"1",""),"2",""),"3",""),"4",""),"5",""),"6",""),"7",""),"8",""),"9",""),".",""),",","")=""),2,1))),1)</f>
        <v/>
      </c>
      <c r="AG76">
        <f>IFERROR(IF(ISNUMBER(INDEX(PASTE_ALL,27,9)),2,IF(TRIM(INDEX(PASTE_ALL,27,9))="",0,IF(AND(LEFT(MID(TRIM(INDEX(PASTE_ALL,27,9)),1+(LEFT(TRIM(INDEX(PASTE_ALL,27,9)),1)="-"),999),LEN(MID(TRIM(INDEX(PASTE_ALL,27,9)),1+(LEFT(TRIM(INDEX(PASTE_ALL,27,9)),1)="-"),999))-(RIGHT(MID(TRIM(INDEX(PASTE_ALL,27,9)),1+(LEFT(TRIM(INDEX(PASTE_ALL,27,9)),1)="-"),999),1)="%"))&lt;&gt;"",SUBSTITUTE(SUBSTITUTE(SUBSTITUTE(SUBSTITUTE(SUBSTITUTE(SUBSTITUTE(SUBSTITUTE(SUBSTITUTE(SUBSTITUTE(SUBSTITUTE(SUBSTITUTE(SUBSTITUTE(LEFT(MID(TRIM(INDEX(PASTE_ALL,27,9)),1+(LEFT(TRIM(INDEX(PASTE_ALL,27,9)),1)="-"),999),LEN(MID(TRIM(INDEX(PASTE_ALL,27,9)),1+(LEFT(TRIM(INDEX(PASTE_ALL,27,9)),1)="-"),999))-(RIGHT(MID(TRIM(INDEX(PASTE_ALL,27,9)),1+(LEFT(TRIM(INDEX(PASTE_ALL,27,9)),1)="-"),999),1)="%")),"0",""),"1",""),"2",""),"3",""),"4",""),"5",""),"6",""),"7",""),"8",""),"9",""),".",""),",","")=""),2,1))),1)</f>
        <v/>
      </c>
      <c r="AH76">
        <f>IFERROR(IF(ISNUMBER(INDEX(PASTE_ALL,27,10)),2,IF(TRIM(INDEX(PASTE_ALL,27,10))="",0,IF(AND(LEFT(MID(TRIM(INDEX(PASTE_ALL,27,10)),1+(LEFT(TRIM(INDEX(PASTE_ALL,27,10)),1)="-"),999),LEN(MID(TRIM(INDEX(PASTE_ALL,27,10)),1+(LEFT(TRIM(INDEX(PASTE_ALL,27,10)),1)="-"),999))-(RIGHT(MID(TRIM(INDEX(PASTE_ALL,27,10)),1+(LEFT(TRIM(INDEX(PASTE_ALL,27,10)),1)="-"),999),1)="%"))&lt;&gt;"",SUBSTITUTE(SUBSTITUTE(SUBSTITUTE(SUBSTITUTE(SUBSTITUTE(SUBSTITUTE(SUBSTITUTE(SUBSTITUTE(SUBSTITUTE(SUBSTITUTE(SUBSTITUTE(SUBSTITUTE(LEFT(MID(TRIM(INDEX(PASTE_ALL,27,10)),1+(LEFT(TRIM(INDEX(PASTE_ALL,27,10)),1)="-"),999),LEN(MID(TRIM(INDEX(PASTE_ALL,27,10)),1+(LEFT(TRIM(INDEX(PASTE_ALL,27,10)),1)="-"),999))-(RIGHT(MID(TRIM(INDEX(PASTE_ALL,27,10)),1+(LEFT(TRIM(INDEX(PASTE_ALL,27,10)),1)="-"),999),1)="%")),"0",""),"1",""),"2",""),"3",""),"4",""),"5",""),"6",""),"7",""),"8",""),"9",""),".",""),",","")=""),2,1))),1)</f>
        <v/>
      </c>
      <c r="AI76">
        <f>IFERROR(IF(ISNUMBER(INDEX(PASTE_ALL,27,11)),2,IF(TRIM(INDEX(PASTE_ALL,27,11))="",0,IF(AND(LEFT(MID(TRIM(INDEX(PASTE_ALL,27,11)),1+(LEFT(TRIM(INDEX(PASTE_ALL,27,11)),1)="-"),999),LEN(MID(TRIM(INDEX(PASTE_ALL,27,11)),1+(LEFT(TRIM(INDEX(PASTE_ALL,27,11)),1)="-"),999))-(RIGHT(MID(TRIM(INDEX(PASTE_ALL,27,11)),1+(LEFT(TRIM(INDEX(PASTE_ALL,27,11)),1)="-"),999),1)="%"))&lt;&gt;"",SUBSTITUTE(SUBSTITUTE(SUBSTITUTE(SUBSTITUTE(SUBSTITUTE(SUBSTITUTE(SUBSTITUTE(SUBSTITUTE(SUBSTITUTE(SUBSTITUTE(SUBSTITUTE(SUBSTITUTE(LEFT(MID(TRIM(INDEX(PASTE_ALL,27,11)),1+(LEFT(TRIM(INDEX(PASTE_ALL,27,11)),1)="-"),999),LEN(MID(TRIM(INDEX(PASTE_ALL,27,11)),1+(LEFT(TRIM(INDEX(PASTE_ALL,27,11)),1)="-"),999))-(RIGHT(MID(TRIM(INDEX(PASTE_ALL,27,11)),1+(LEFT(TRIM(INDEX(PASTE_ALL,27,11)),1)="-"),999),1)="%")),"0",""),"1",""),"2",""),"3",""),"4",""),"5",""),"6",""),"7",""),"8",""),"9",""),".",""),",","")=""),2,1))),1)</f>
        <v/>
      </c>
      <c r="AJ76">
        <f>IFERROR(IF(ISNUMBER(INDEX(PASTE_ALL,27,12)),2,IF(TRIM(INDEX(PASTE_ALL,27,12))="",0,IF(AND(LEFT(MID(TRIM(INDEX(PASTE_ALL,27,12)),1+(LEFT(TRIM(INDEX(PASTE_ALL,27,12)),1)="-"),999),LEN(MID(TRIM(INDEX(PASTE_ALL,27,12)),1+(LEFT(TRIM(INDEX(PASTE_ALL,27,12)),1)="-"),999))-(RIGHT(MID(TRIM(INDEX(PASTE_ALL,27,12)),1+(LEFT(TRIM(INDEX(PASTE_ALL,27,12)),1)="-"),999),1)="%"))&lt;&gt;"",SUBSTITUTE(SUBSTITUTE(SUBSTITUTE(SUBSTITUTE(SUBSTITUTE(SUBSTITUTE(SUBSTITUTE(SUBSTITUTE(SUBSTITUTE(SUBSTITUTE(SUBSTITUTE(SUBSTITUTE(LEFT(MID(TRIM(INDEX(PASTE_ALL,27,12)),1+(LEFT(TRIM(INDEX(PASTE_ALL,27,12)),1)="-"),999),LEN(MID(TRIM(INDEX(PASTE_ALL,27,12)),1+(LEFT(TRIM(INDEX(PASTE_ALL,27,12)),1)="-"),999))-(RIGHT(MID(TRIM(INDEX(PASTE_ALL,27,12)),1+(LEFT(TRIM(INDEX(PASTE_ALL,27,12)),1)="-"),999),1)="%")),"0",""),"1",""),"2",""),"3",""),"4",""),"5",""),"6",""),"7",""),"8",""),"9",""),".",""),",","")=""),2,1))),1)</f>
        <v/>
      </c>
      <c r="AK76">
        <f>IFERROR(IF(ISNUMBER(INDEX(PASTE_ALL,27,13)),2,IF(TRIM(INDEX(PASTE_ALL,27,13))="",0,IF(AND(LEFT(MID(TRIM(INDEX(PASTE_ALL,27,13)),1+(LEFT(TRIM(INDEX(PASTE_ALL,27,13)),1)="-"),999),LEN(MID(TRIM(INDEX(PASTE_ALL,27,13)),1+(LEFT(TRIM(INDEX(PASTE_ALL,27,13)),1)="-"),999))-(RIGHT(MID(TRIM(INDEX(PASTE_ALL,27,13)),1+(LEFT(TRIM(INDEX(PASTE_ALL,27,13)),1)="-"),999),1)="%"))&lt;&gt;"",SUBSTITUTE(SUBSTITUTE(SUBSTITUTE(SUBSTITUTE(SUBSTITUTE(SUBSTITUTE(SUBSTITUTE(SUBSTITUTE(SUBSTITUTE(SUBSTITUTE(SUBSTITUTE(SUBSTITUTE(LEFT(MID(TRIM(INDEX(PASTE_ALL,27,13)),1+(LEFT(TRIM(INDEX(PASTE_ALL,27,13)),1)="-"),999),LEN(MID(TRIM(INDEX(PASTE_ALL,27,13)),1+(LEFT(TRIM(INDEX(PASTE_ALL,27,13)),1)="-"),999))-(RIGHT(MID(TRIM(INDEX(PASTE_ALL,27,13)),1+(LEFT(TRIM(INDEX(PASTE_ALL,27,13)),1)="-"),999),1)="%")),"0",""),"1",""),"2",""),"3",""),"4",""),"5",""),"6",""),"7",""),"8",""),"9",""),".",""),",","")=""),2,1))),1)</f>
        <v/>
      </c>
      <c r="AL76">
        <f>IFERROR(IF(ISNUMBER(INDEX(PASTE_ALL,27,14)),2,IF(TRIM(INDEX(PASTE_ALL,27,14))="",0,IF(AND(LEFT(MID(TRIM(INDEX(PASTE_ALL,27,14)),1+(LEFT(TRIM(INDEX(PASTE_ALL,27,14)),1)="-"),999),LEN(MID(TRIM(INDEX(PASTE_ALL,27,14)),1+(LEFT(TRIM(INDEX(PASTE_ALL,27,14)),1)="-"),999))-(RIGHT(MID(TRIM(INDEX(PASTE_ALL,27,14)),1+(LEFT(TRIM(INDEX(PASTE_ALL,27,14)),1)="-"),999),1)="%"))&lt;&gt;"",SUBSTITUTE(SUBSTITUTE(SUBSTITUTE(SUBSTITUTE(SUBSTITUTE(SUBSTITUTE(SUBSTITUTE(SUBSTITUTE(SUBSTITUTE(SUBSTITUTE(SUBSTITUTE(SUBSTITUTE(LEFT(MID(TRIM(INDEX(PASTE_ALL,27,14)),1+(LEFT(TRIM(INDEX(PASTE_ALL,27,14)),1)="-"),999),LEN(MID(TRIM(INDEX(PASTE_ALL,27,14)),1+(LEFT(TRIM(INDEX(PASTE_ALL,27,14)),1)="-"),999))-(RIGHT(MID(TRIM(INDEX(PASTE_ALL,27,14)),1+(LEFT(TRIM(INDEX(PASTE_ALL,27,14)),1)="-"),999),1)="%")),"0",""),"1",""),"2",""),"3",""),"4",""),"5",""),"6",""),"7",""),"8",""),"9",""),".",""),",","")=""),2,1))),1)</f>
        <v/>
      </c>
      <c r="AM76">
        <f>IFERROR(IF(ISNUMBER(INDEX(PASTE_ALL,27,15)),2,IF(TRIM(INDEX(PASTE_ALL,27,15))="",0,IF(AND(LEFT(MID(TRIM(INDEX(PASTE_ALL,27,15)),1+(LEFT(TRIM(INDEX(PASTE_ALL,27,15)),1)="-"),999),LEN(MID(TRIM(INDEX(PASTE_ALL,27,15)),1+(LEFT(TRIM(INDEX(PASTE_ALL,27,15)),1)="-"),999))-(RIGHT(MID(TRIM(INDEX(PASTE_ALL,27,15)),1+(LEFT(TRIM(INDEX(PASTE_ALL,27,15)),1)="-"),999),1)="%"))&lt;&gt;"",SUBSTITUTE(SUBSTITUTE(SUBSTITUTE(SUBSTITUTE(SUBSTITUTE(SUBSTITUTE(SUBSTITUTE(SUBSTITUTE(SUBSTITUTE(SUBSTITUTE(SUBSTITUTE(SUBSTITUTE(LEFT(MID(TRIM(INDEX(PASTE_ALL,27,15)),1+(LEFT(TRIM(INDEX(PASTE_ALL,27,15)),1)="-"),999),LEN(MID(TRIM(INDEX(PASTE_ALL,27,15)),1+(LEFT(TRIM(INDEX(PASTE_ALL,27,15)),1)="-"),999))-(RIGHT(MID(TRIM(INDEX(PASTE_ALL,27,15)),1+(LEFT(TRIM(INDEX(PASTE_ALL,27,15)),1)="-"),999),1)="%")),"0",""),"1",""),"2",""),"3",""),"4",""),"5",""),"6",""),"7",""),"8",""),"9",""),".",""),",","")=""),2,1))),1)</f>
        <v/>
      </c>
      <c r="AN76">
        <f>IFERROR(IF(ISNUMBER(INDEX(PASTE_ALL,27,16)),2,IF(TRIM(INDEX(PASTE_ALL,27,16))="",0,IF(AND(LEFT(MID(TRIM(INDEX(PASTE_ALL,27,16)),1+(LEFT(TRIM(INDEX(PASTE_ALL,27,16)),1)="-"),999),LEN(MID(TRIM(INDEX(PASTE_ALL,27,16)),1+(LEFT(TRIM(INDEX(PASTE_ALL,27,16)),1)="-"),999))-(RIGHT(MID(TRIM(INDEX(PASTE_ALL,27,16)),1+(LEFT(TRIM(INDEX(PASTE_ALL,27,16)),1)="-"),999),1)="%"))&lt;&gt;"",SUBSTITUTE(SUBSTITUTE(SUBSTITUTE(SUBSTITUTE(SUBSTITUTE(SUBSTITUTE(SUBSTITUTE(SUBSTITUTE(SUBSTITUTE(SUBSTITUTE(SUBSTITUTE(SUBSTITUTE(LEFT(MID(TRIM(INDEX(PASTE_ALL,27,16)),1+(LEFT(TRIM(INDEX(PASTE_ALL,27,16)),1)="-"),999),LEN(MID(TRIM(INDEX(PASTE_ALL,27,16)),1+(LEFT(TRIM(INDEX(PASTE_ALL,27,16)),1)="-"),999))-(RIGHT(MID(TRIM(INDEX(PASTE_ALL,27,16)),1+(LEFT(TRIM(INDEX(PASTE_ALL,27,16)),1)="-"),999),1)="%")),"0",""),"1",""),"2",""),"3",""),"4",""),"5",""),"6",""),"7",""),"8",""),"9",""),".",""),",","")=""),2,1))),1)</f>
        <v/>
      </c>
      <c r="AO76">
        <f>IFERROR(IF(ISNUMBER(INDEX(PASTE_ALL,27,17)),2,IF(TRIM(INDEX(PASTE_ALL,27,17))="",0,IF(AND(LEFT(MID(TRIM(INDEX(PASTE_ALL,27,17)),1+(LEFT(TRIM(INDEX(PASTE_ALL,27,17)),1)="-"),999),LEN(MID(TRIM(INDEX(PASTE_ALL,27,17)),1+(LEFT(TRIM(INDEX(PASTE_ALL,27,17)),1)="-"),999))-(RIGHT(MID(TRIM(INDEX(PASTE_ALL,27,17)),1+(LEFT(TRIM(INDEX(PASTE_ALL,27,17)),1)="-"),999),1)="%"))&lt;&gt;"",SUBSTITUTE(SUBSTITUTE(SUBSTITUTE(SUBSTITUTE(SUBSTITUTE(SUBSTITUTE(SUBSTITUTE(SUBSTITUTE(SUBSTITUTE(SUBSTITUTE(SUBSTITUTE(SUBSTITUTE(LEFT(MID(TRIM(INDEX(PASTE_ALL,27,17)),1+(LEFT(TRIM(INDEX(PASTE_ALL,27,17)),1)="-"),999),LEN(MID(TRIM(INDEX(PASTE_ALL,27,17)),1+(LEFT(TRIM(INDEX(PASTE_ALL,27,17)),1)="-"),999))-(RIGHT(MID(TRIM(INDEX(PASTE_ALL,27,17)),1+(LEFT(TRIM(INDEX(PASTE_ALL,27,17)),1)="-"),999),1)="%")),"0",""),"1",""),"2",""),"3",""),"4",""),"5",""),"6",""),"7",""),"8",""),"9",""),".",""),",","")=""),2,1))),1)</f>
        <v/>
      </c>
      <c r="AP76">
        <f>IFERROR(IF(ISNUMBER(INDEX(PASTE_ALL,27,18)),2,IF(TRIM(INDEX(PASTE_ALL,27,18))="",0,IF(AND(LEFT(MID(TRIM(INDEX(PASTE_ALL,27,18)),1+(LEFT(TRIM(INDEX(PASTE_ALL,27,18)),1)="-"),999),LEN(MID(TRIM(INDEX(PASTE_ALL,27,18)),1+(LEFT(TRIM(INDEX(PASTE_ALL,27,18)),1)="-"),999))-(RIGHT(MID(TRIM(INDEX(PASTE_ALL,27,18)),1+(LEFT(TRIM(INDEX(PASTE_ALL,27,18)),1)="-"),999),1)="%"))&lt;&gt;"",SUBSTITUTE(SUBSTITUTE(SUBSTITUTE(SUBSTITUTE(SUBSTITUTE(SUBSTITUTE(SUBSTITUTE(SUBSTITUTE(SUBSTITUTE(SUBSTITUTE(SUBSTITUTE(SUBSTITUTE(LEFT(MID(TRIM(INDEX(PASTE_ALL,27,18)),1+(LEFT(TRIM(INDEX(PASTE_ALL,27,18)),1)="-"),999),LEN(MID(TRIM(INDEX(PASTE_ALL,27,18)),1+(LEFT(TRIM(INDEX(PASTE_ALL,27,18)),1)="-"),999))-(RIGHT(MID(TRIM(INDEX(PASTE_ALL,27,18)),1+(LEFT(TRIM(INDEX(PASTE_ALL,27,18)),1)="-"),999),1)="%")),"0",""),"1",""),"2",""),"3",""),"4",""),"5",""),"6",""),"7",""),"8",""),"9",""),".",""),",","")=""),2,1))),1)</f>
        <v/>
      </c>
      <c r="AQ76">
        <f>IFERROR(IF(ISNUMBER(INDEX(PASTE_ALL,27,19)),2,IF(TRIM(INDEX(PASTE_ALL,27,19))="",0,IF(AND(LEFT(MID(TRIM(INDEX(PASTE_ALL,27,19)),1+(LEFT(TRIM(INDEX(PASTE_ALL,27,19)),1)="-"),999),LEN(MID(TRIM(INDEX(PASTE_ALL,27,19)),1+(LEFT(TRIM(INDEX(PASTE_ALL,27,19)),1)="-"),999))-(RIGHT(MID(TRIM(INDEX(PASTE_ALL,27,19)),1+(LEFT(TRIM(INDEX(PASTE_ALL,27,19)),1)="-"),999),1)="%"))&lt;&gt;"",SUBSTITUTE(SUBSTITUTE(SUBSTITUTE(SUBSTITUTE(SUBSTITUTE(SUBSTITUTE(SUBSTITUTE(SUBSTITUTE(SUBSTITUTE(SUBSTITUTE(SUBSTITUTE(SUBSTITUTE(LEFT(MID(TRIM(INDEX(PASTE_ALL,27,19)),1+(LEFT(TRIM(INDEX(PASTE_ALL,27,19)),1)="-"),999),LEN(MID(TRIM(INDEX(PASTE_ALL,27,19)),1+(LEFT(TRIM(INDEX(PASTE_ALL,27,19)),1)="-"),999))-(RIGHT(MID(TRIM(INDEX(PASTE_ALL,27,19)),1+(LEFT(TRIM(INDEX(PASTE_ALL,27,19)),1)="-"),999),1)="%")),"0",""),"1",""),"2",""),"3",""),"4",""),"5",""),"6",""),"7",""),"8",""),"9",""),".",""),",","")=""),2,1))),1)</f>
        <v/>
      </c>
      <c r="AR76">
        <f>IFERROR(IF(ISNUMBER(INDEX(PASTE_ALL,27,20)),2,IF(TRIM(INDEX(PASTE_ALL,27,20))="",0,IF(AND(LEFT(MID(TRIM(INDEX(PASTE_ALL,27,20)),1+(LEFT(TRIM(INDEX(PASTE_ALL,27,20)),1)="-"),999),LEN(MID(TRIM(INDEX(PASTE_ALL,27,20)),1+(LEFT(TRIM(INDEX(PASTE_ALL,27,20)),1)="-"),999))-(RIGHT(MID(TRIM(INDEX(PASTE_ALL,27,20)),1+(LEFT(TRIM(INDEX(PASTE_ALL,27,20)),1)="-"),999),1)="%"))&lt;&gt;"",SUBSTITUTE(SUBSTITUTE(SUBSTITUTE(SUBSTITUTE(SUBSTITUTE(SUBSTITUTE(SUBSTITUTE(SUBSTITUTE(SUBSTITUTE(SUBSTITUTE(SUBSTITUTE(SUBSTITUTE(LEFT(MID(TRIM(INDEX(PASTE_ALL,27,20)),1+(LEFT(TRIM(INDEX(PASTE_ALL,27,20)),1)="-"),999),LEN(MID(TRIM(INDEX(PASTE_ALL,27,20)),1+(LEFT(TRIM(INDEX(PASTE_ALL,27,20)),1)="-"),999))-(RIGHT(MID(TRIM(INDEX(PASTE_ALL,27,20)),1+(LEFT(TRIM(INDEX(PASTE_ALL,27,20)),1)="-"),999),1)="%")),"0",""),"1",""),"2",""),"3",""),"4",""),"5",""),"6",""),"7",""),"8",""),"9",""),".",""),",","")=""),2,1))),1)</f>
        <v/>
      </c>
      <c r="AS76">
        <f>IFERROR(IF(ISNUMBER(INDEX(PASTE_ALL,27,21)),2,IF(TRIM(INDEX(PASTE_ALL,27,21))="",0,IF(AND(LEFT(MID(TRIM(INDEX(PASTE_ALL,27,21)),1+(LEFT(TRIM(INDEX(PASTE_ALL,27,21)),1)="-"),999),LEN(MID(TRIM(INDEX(PASTE_ALL,27,21)),1+(LEFT(TRIM(INDEX(PASTE_ALL,27,21)),1)="-"),999))-(RIGHT(MID(TRIM(INDEX(PASTE_ALL,27,21)),1+(LEFT(TRIM(INDEX(PASTE_ALL,27,21)),1)="-"),999),1)="%"))&lt;&gt;"",SUBSTITUTE(SUBSTITUTE(SUBSTITUTE(SUBSTITUTE(SUBSTITUTE(SUBSTITUTE(SUBSTITUTE(SUBSTITUTE(SUBSTITUTE(SUBSTITUTE(SUBSTITUTE(SUBSTITUTE(LEFT(MID(TRIM(INDEX(PASTE_ALL,27,21)),1+(LEFT(TRIM(INDEX(PASTE_ALL,27,21)),1)="-"),999),LEN(MID(TRIM(INDEX(PASTE_ALL,27,21)),1+(LEFT(TRIM(INDEX(PASTE_ALL,27,21)),1)="-"),999))-(RIGHT(MID(TRIM(INDEX(PASTE_ALL,27,21)),1+(LEFT(TRIM(INDEX(PASTE_ALL,27,21)),1)="-"),999),1)="%")),"0",""),"1",""),"2",""),"3",""),"4",""),"5",""),"6",""),"7",""),"8",""),"9",""),".",""),",","")=""),2,1))),1)</f>
        <v/>
      </c>
      <c r="AT76">
        <f>IFERROR(IF(ISNUMBER(INDEX(PASTE_ALL,27,22)),2,IF(TRIM(INDEX(PASTE_ALL,27,22))="",0,IF(AND(LEFT(MID(TRIM(INDEX(PASTE_ALL,27,22)),1+(LEFT(TRIM(INDEX(PASTE_ALL,27,22)),1)="-"),999),LEN(MID(TRIM(INDEX(PASTE_ALL,27,22)),1+(LEFT(TRIM(INDEX(PASTE_ALL,27,22)),1)="-"),999))-(RIGHT(MID(TRIM(INDEX(PASTE_ALL,27,22)),1+(LEFT(TRIM(INDEX(PASTE_ALL,27,22)),1)="-"),999),1)="%"))&lt;&gt;"",SUBSTITUTE(SUBSTITUTE(SUBSTITUTE(SUBSTITUTE(SUBSTITUTE(SUBSTITUTE(SUBSTITUTE(SUBSTITUTE(SUBSTITUTE(SUBSTITUTE(SUBSTITUTE(SUBSTITUTE(LEFT(MID(TRIM(INDEX(PASTE_ALL,27,22)),1+(LEFT(TRIM(INDEX(PASTE_ALL,27,22)),1)="-"),999),LEN(MID(TRIM(INDEX(PASTE_ALL,27,22)),1+(LEFT(TRIM(INDEX(PASTE_ALL,27,22)),1)="-"),999))-(RIGHT(MID(TRIM(INDEX(PASTE_ALL,27,22)),1+(LEFT(TRIM(INDEX(PASTE_ALL,27,22)),1)="-"),999),1)="%")),"0",""),"1",""),"2",""),"3",""),"4",""),"5",""),"6",""),"7",""),"8",""),"9",""),".",""),",","")=""),2,1))),1)</f>
        <v/>
      </c>
      <c r="AU76">
        <f>IFERROR(IF(ISNUMBER(INDEX(PASTE_ALL,27,23)),2,IF(TRIM(INDEX(PASTE_ALL,27,23))="",0,IF(AND(LEFT(MID(TRIM(INDEX(PASTE_ALL,27,23)),1+(LEFT(TRIM(INDEX(PASTE_ALL,27,23)),1)="-"),999),LEN(MID(TRIM(INDEX(PASTE_ALL,27,23)),1+(LEFT(TRIM(INDEX(PASTE_ALL,27,23)),1)="-"),999))-(RIGHT(MID(TRIM(INDEX(PASTE_ALL,27,23)),1+(LEFT(TRIM(INDEX(PASTE_ALL,27,23)),1)="-"),999),1)="%"))&lt;&gt;"",SUBSTITUTE(SUBSTITUTE(SUBSTITUTE(SUBSTITUTE(SUBSTITUTE(SUBSTITUTE(SUBSTITUTE(SUBSTITUTE(SUBSTITUTE(SUBSTITUTE(SUBSTITUTE(SUBSTITUTE(LEFT(MID(TRIM(INDEX(PASTE_ALL,27,23)),1+(LEFT(TRIM(INDEX(PASTE_ALL,27,23)),1)="-"),999),LEN(MID(TRIM(INDEX(PASTE_ALL,27,23)),1+(LEFT(TRIM(INDEX(PASTE_ALL,27,23)),1)="-"),999))-(RIGHT(MID(TRIM(INDEX(PASTE_ALL,27,23)),1+(LEFT(TRIM(INDEX(PASTE_ALL,27,23)),1)="-"),999),1)="%")),"0",""),"1",""),"2",""),"3",""),"4",""),"5",""),"6",""),"7",""),"8",""),"9",""),".",""),",","")=""),2,1))),1)</f>
        <v/>
      </c>
      <c r="AV76">
        <f>IFERROR(IF(ISNUMBER(INDEX(PASTE_ALL,27,24)),2,IF(TRIM(INDEX(PASTE_ALL,27,24))="",0,IF(AND(LEFT(MID(TRIM(INDEX(PASTE_ALL,27,24)),1+(LEFT(TRIM(INDEX(PASTE_ALL,27,24)),1)="-"),999),LEN(MID(TRIM(INDEX(PASTE_ALL,27,24)),1+(LEFT(TRIM(INDEX(PASTE_ALL,27,24)),1)="-"),999))-(RIGHT(MID(TRIM(INDEX(PASTE_ALL,27,24)),1+(LEFT(TRIM(INDEX(PASTE_ALL,27,24)),1)="-"),999),1)="%"))&lt;&gt;"",SUBSTITUTE(SUBSTITUTE(SUBSTITUTE(SUBSTITUTE(SUBSTITUTE(SUBSTITUTE(SUBSTITUTE(SUBSTITUTE(SUBSTITUTE(SUBSTITUTE(SUBSTITUTE(SUBSTITUTE(LEFT(MID(TRIM(INDEX(PASTE_ALL,27,24)),1+(LEFT(TRIM(INDEX(PASTE_ALL,27,24)),1)="-"),999),LEN(MID(TRIM(INDEX(PASTE_ALL,27,24)),1+(LEFT(TRIM(INDEX(PASTE_ALL,27,24)),1)="-"),999))-(RIGHT(MID(TRIM(INDEX(PASTE_ALL,27,24)),1+(LEFT(TRIM(INDEX(PASTE_ALL,27,24)),1)="-"),999),1)="%")),"0",""),"1",""),"2",""),"3",""),"4",""),"5",""),"6",""),"7",""),"8",""),"9",""),".",""),",","")=""),2,1))),1)</f>
        <v/>
      </c>
      <c r="AW76">
        <f>IFERROR(IF(ISNUMBER(INDEX(PASTE_ALL,27,25)),2,IF(TRIM(INDEX(PASTE_ALL,27,25))="",0,IF(AND(LEFT(MID(TRIM(INDEX(PASTE_ALL,27,25)),1+(LEFT(TRIM(INDEX(PASTE_ALL,27,25)),1)="-"),999),LEN(MID(TRIM(INDEX(PASTE_ALL,27,25)),1+(LEFT(TRIM(INDEX(PASTE_ALL,27,25)),1)="-"),999))-(RIGHT(MID(TRIM(INDEX(PASTE_ALL,27,25)),1+(LEFT(TRIM(INDEX(PASTE_ALL,27,25)),1)="-"),999),1)="%"))&lt;&gt;"",SUBSTITUTE(SUBSTITUTE(SUBSTITUTE(SUBSTITUTE(SUBSTITUTE(SUBSTITUTE(SUBSTITUTE(SUBSTITUTE(SUBSTITUTE(SUBSTITUTE(SUBSTITUTE(SUBSTITUTE(LEFT(MID(TRIM(INDEX(PASTE_ALL,27,25)),1+(LEFT(TRIM(INDEX(PASTE_ALL,27,25)),1)="-"),999),LEN(MID(TRIM(INDEX(PASTE_ALL,27,25)),1+(LEFT(TRIM(INDEX(PASTE_ALL,27,25)),1)="-"),999))-(RIGHT(MID(TRIM(INDEX(PASTE_ALL,27,25)),1+(LEFT(TRIM(INDEX(PASTE_ALL,27,25)),1)="-"),999),1)="%")),"0",""),"1",""),"2",""),"3",""),"4",""),"5",""),"6",""),"7",""),"8",""),"9",""),".",""),",","")=""),2,1))),1)</f>
        <v/>
      </c>
      <c r="AX76">
        <f>IFERROR(IF(ISNUMBER(INDEX(PASTE_ALL,27,26)),2,IF(TRIM(INDEX(PASTE_ALL,27,26))="",0,IF(AND(LEFT(MID(TRIM(INDEX(PASTE_ALL,27,26)),1+(LEFT(TRIM(INDEX(PASTE_ALL,27,26)),1)="-"),999),LEN(MID(TRIM(INDEX(PASTE_ALL,27,26)),1+(LEFT(TRIM(INDEX(PASTE_ALL,27,26)),1)="-"),999))-(RIGHT(MID(TRIM(INDEX(PASTE_ALL,27,26)),1+(LEFT(TRIM(INDEX(PASTE_ALL,27,26)),1)="-"),999),1)="%"))&lt;&gt;"",SUBSTITUTE(SUBSTITUTE(SUBSTITUTE(SUBSTITUTE(SUBSTITUTE(SUBSTITUTE(SUBSTITUTE(SUBSTITUTE(SUBSTITUTE(SUBSTITUTE(SUBSTITUTE(SUBSTITUTE(LEFT(MID(TRIM(INDEX(PASTE_ALL,27,26)),1+(LEFT(TRIM(INDEX(PASTE_ALL,27,26)),1)="-"),999),LEN(MID(TRIM(INDEX(PASTE_ALL,27,26)),1+(LEFT(TRIM(INDEX(PASTE_ALL,27,26)),1)="-"),999))-(RIGHT(MID(TRIM(INDEX(PASTE_ALL,27,26)),1+(LEFT(TRIM(INDEX(PASTE_ALL,27,26)),1)="-"),999),1)="%")),"0",""),"1",""),"2",""),"3",""),"4",""),"5",""),"6",""),"7",""),"8",""),"9",""),".",""),",","")=""),2,1))),1)</f>
        <v/>
      </c>
      <c r="AY76">
        <f>IFERROR(IF(ISNUMBER(INDEX(PASTE_ALL,27,27)),2,IF(TRIM(INDEX(PASTE_ALL,27,27))="",0,IF(AND(LEFT(MID(TRIM(INDEX(PASTE_ALL,27,27)),1+(LEFT(TRIM(INDEX(PASTE_ALL,27,27)),1)="-"),999),LEN(MID(TRIM(INDEX(PASTE_ALL,27,27)),1+(LEFT(TRIM(INDEX(PASTE_ALL,27,27)),1)="-"),999))-(RIGHT(MID(TRIM(INDEX(PASTE_ALL,27,27)),1+(LEFT(TRIM(INDEX(PASTE_ALL,27,27)),1)="-"),999),1)="%"))&lt;&gt;"",SUBSTITUTE(SUBSTITUTE(SUBSTITUTE(SUBSTITUTE(SUBSTITUTE(SUBSTITUTE(SUBSTITUTE(SUBSTITUTE(SUBSTITUTE(SUBSTITUTE(SUBSTITUTE(SUBSTITUTE(LEFT(MID(TRIM(INDEX(PASTE_ALL,27,27)),1+(LEFT(TRIM(INDEX(PASTE_ALL,27,27)),1)="-"),999),LEN(MID(TRIM(INDEX(PASTE_ALL,27,27)),1+(LEFT(TRIM(INDEX(PASTE_ALL,27,27)),1)="-"),999))-(RIGHT(MID(TRIM(INDEX(PASTE_ALL,27,27)),1+(LEFT(TRIM(INDEX(PASTE_ALL,27,27)),1)="-"),999),1)="%")),"0",""),"1",""),"2",""),"3",""),"4",""),"5",""),"6",""),"7",""),"8",""),"9",""),".",""),",","")=""),2,1))),1)</f>
        <v/>
      </c>
      <c r="AZ76">
        <f>IFERROR(IF(ISNUMBER(INDEX(PASTE_ALL,27,28)),2,IF(TRIM(INDEX(PASTE_ALL,27,28))="",0,IF(AND(LEFT(MID(TRIM(INDEX(PASTE_ALL,27,28)),1+(LEFT(TRIM(INDEX(PASTE_ALL,27,28)),1)="-"),999),LEN(MID(TRIM(INDEX(PASTE_ALL,27,28)),1+(LEFT(TRIM(INDEX(PASTE_ALL,27,28)),1)="-"),999))-(RIGHT(MID(TRIM(INDEX(PASTE_ALL,27,28)),1+(LEFT(TRIM(INDEX(PASTE_ALL,27,28)),1)="-"),999),1)="%"))&lt;&gt;"",SUBSTITUTE(SUBSTITUTE(SUBSTITUTE(SUBSTITUTE(SUBSTITUTE(SUBSTITUTE(SUBSTITUTE(SUBSTITUTE(SUBSTITUTE(SUBSTITUTE(SUBSTITUTE(SUBSTITUTE(LEFT(MID(TRIM(INDEX(PASTE_ALL,27,28)),1+(LEFT(TRIM(INDEX(PASTE_ALL,27,28)),1)="-"),999),LEN(MID(TRIM(INDEX(PASTE_ALL,27,28)),1+(LEFT(TRIM(INDEX(PASTE_ALL,27,28)),1)="-"),999))-(RIGHT(MID(TRIM(INDEX(PASTE_ALL,27,28)),1+(LEFT(TRIM(INDEX(PASTE_ALL,27,28)),1)="-"),999),1)="%")),"0",""),"1",""),"2",""),"3",""),"4",""),"5",""),"6",""),"7",""),"8",""),"9",""),".",""),",","")=""),2,1))),1)</f>
        <v/>
      </c>
      <c r="BA76">
        <f>IFERROR(IF(ISNUMBER(INDEX(PASTE_ALL,27,29)),2,IF(TRIM(INDEX(PASTE_ALL,27,29))="",0,IF(AND(LEFT(MID(TRIM(INDEX(PASTE_ALL,27,29)),1+(LEFT(TRIM(INDEX(PASTE_ALL,27,29)),1)="-"),999),LEN(MID(TRIM(INDEX(PASTE_ALL,27,29)),1+(LEFT(TRIM(INDEX(PASTE_ALL,27,29)),1)="-"),999))-(RIGHT(MID(TRIM(INDEX(PASTE_ALL,27,29)),1+(LEFT(TRIM(INDEX(PASTE_ALL,27,29)),1)="-"),999),1)="%"))&lt;&gt;"",SUBSTITUTE(SUBSTITUTE(SUBSTITUTE(SUBSTITUTE(SUBSTITUTE(SUBSTITUTE(SUBSTITUTE(SUBSTITUTE(SUBSTITUTE(SUBSTITUTE(SUBSTITUTE(SUBSTITUTE(LEFT(MID(TRIM(INDEX(PASTE_ALL,27,29)),1+(LEFT(TRIM(INDEX(PASTE_ALL,27,29)),1)="-"),999),LEN(MID(TRIM(INDEX(PASTE_ALL,27,29)),1+(LEFT(TRIM(INDEX(PASTE_ALL,27,29)),1)="-"),999))-(RIGHT(MID(TRIM(INDEX(PASTE_ALL,27,29)),1+(LEFT(TRIM(INDEX(PASTE_ALL,27,29)),1)="-"),999),1)="%")),"0",""),"1",""),"2",""),"3",""),"4",""),"5",""),"6",""),"7",""),"8",""),"9",""),".",""),",","")=""),2,1))),1)</f>
        <v/>
      </c>
      <c r="BB76">
        <f>IFERROR(IF(ISNUMBER(INDEX(PASTE_ALL,27,30)),2,IF(TRIM(INDEX(PASTE_ALL,27,30))="",0,IF(AND(LEFT(MID(TRIM(INDEX(PASTE_ALL,27,30)),1+(LEFT(TRIM(INDEX(PASTE_ALL,27,30)),1)="-"),999),LEN(MID(TRIM(INDEX(PASTE_ALL,27,30)),1+(LEFT(TRIM(INDEX(PASTE_ALL,27,30)),1)="-"),999))-(RIGHT(MID(TRIM(INDEX(PASTE_ALL,27,30)),1+(LEFT(TRIM(INDEX(PASTE_ALL,27,30)),1)="-"),999),1)="%"))&lt;&gt;"",SUBSTITUTE(SUBSTITUTE(SUBSTITUTE(SUBSTITUTE(SUBSTITUTE(SUBSTITUTE(SUBSTITUTE(SUBSTITUTE(SUBSTITUTE(SUBSTITUTE(SUBSTITUTE(SUBSTITUTE(LEFT(MID(TRIM(INDEX(PASTE_ALL,27,30)),1+(LEFT(TRIM(INDEX(PASTE_ALL,27,30)),1)="-"),999),LEN(MID(TRIM(INDEX(PASTE_ALL,27,30)),1+(LEFT(TRIM(INDEX(PASTE_ALL,27,30)),1)="-"),999))-(RIGHT(MID(TRIM(INDEX(PASTE_ALL,27,30)),1+(LEFT(TRIM(INDEX(PASTE_ALL,27,30)),1)="-"),999),1)="%")),"0",""),"1",""),"2",""),"3",""),"4",""),"5",""),"6",""),"7",""),"8",""),"9",""),".",""),",","")=""),2,1))),1)</f>
        <v/>
      </c>
      <c r="BC76">
        <f>IFERROR(IF(ISNUMBER(INDEX(PASTE_ALL,27,31)),2,IF(TRIM(INDEX(PASTE_ALL,27,31))="",0,IF(AND(LEFT(MID(TRIM(INDEX(PASTE_ALL,27,31)),1+(LEFT(TRIM(INDEX(PASTE_ALL,27,31)),1)="-"),999),LEN(MID(TRIM(INDEX(PASTE_ALL,27,31)),1+(LEFT(TRIM(INDEX(PASTE_ALL,27,31)),1)="-"),999))-(RIGHT(MID(TRIM(INDEX(PASTE_ALL,27,31)),1+(LEFT(TRIM(INDEX(PASTE_ALL,27,31)),1)="-"),999),1)="%"))&lt;&gt;"",SUBSTITUTE(SUBSTITUTE(SUBSTITUTE(SUBSTITUTE(SUBSTITUTE(SUBSTITUTE(SUBSTITUTE(SUBSTITUTE(SUBSTITUTE(SUBSTITUTE(SUBSTITUTE(SUBSTITUTE(LEFT(MID(TRIM(INDEX(PASTE_ALL,27,31)),1+(LEFT(TRIM(INDEX(PASTE_ALL,27,31)),1)="-"),999),LEN(MID(TRIM(INDEX(PASTE_ALL,27,31)),1+(LEFT(TRIM(INDEX(PASTE_ALL,27,31)),1)="-"),999))-(RIGHT(MID(TRIM(INDEX(PASTE_ALL,27,31)),1+(LEFT(TRIM(INDEX(PASTE_ALL,27,31)),1)="-"),999),1)="%")),"0",""),"1",""),"2",""),"3",""),"4",""),"5",""),"6",""),"7",""),"8",""),"9",""),".",""),",","")=""),2,1))),1)</f>
        <v/>
      </c>
      <c r="BD76">
        <f>IFERROR(IF(ISNUMBER(INDEX(PASTE_ALL,27,32)),2,IF(TRIM(INDEX(PASTE_ALL,27,32))="",0,IF(AND(LEFT(MID(TRIM(INDEX(PASTE_ALL,27,32)),1+(LEFT(TRIM(INDEX(PASTE_ALL,27,32)),1)="-"),999),LEN(MID(TRIM(INDEX(PASTE_ALL,27,32)),1+(LEFT(TRIM(INDEX(PASTE_ALL,27,32)),1)="-"),999))-(RIGHT(MID(TRIM(INDEX(PASTE_ALL,27,32)),1+(LEFT(TRIM(INDEX(PASTE_ALL,27,32)),1)="-"),999),1)="%"))&lt;&gt;"",SUBSTITUTE(SUBSTITUTE(SUBSTITUTE(SUBSTITUTE(SUBSTITUTE(SUBSTITUTE(SUBSTITUTE(SUBSTITUTE(SUBSTITUTE(SUBSTITUTE(SUBSTITUTE(SUBSTITUTE(LEFT(MID(TRIM(INDEX(PASTE_ALL,27,32)),1+(LEFT(TRIM(INDEX(PASTE_ALL,27,32)),1)="-"),999),LEN(MID(TRIM(INDEX(PASTE_ALL,27,32)),1+(LEFT(TRIM(INDEX(PASTE_ALL,27,32)),1)="-"),999))-(RIGHT(MID(TRIM(INDEX(PASTE_ALL,27,32)),1+(LEFT(TRIM(INDEX(PASTE_ALL,27,32)),1)="-"),999),1)="%")),"0",""),"1",""),"2",""),"3",""),"4",""),"5",""),"6",""),"7",""),"8",""),"9",""),".",""),",","")=""),2,1))),1)</f>
        <v/>
      </c>
      <c r="BE76">
        <f>IFERROR(IF(ISNUMBER(INDEX(PASTE_ALL,27,33)),2,IF(TRIM(INDEX(PASTE_ALL,27,33))="",0,IF(AND(LEFT(MID(TRIM(INDEX(PASTE_ALL,27,33)),1+(LEFT(TRIM(INDEX(PASTE_ALL,27,33)),1)="-"),999),LEN(MID(TRIM(INDEX(PASTE_ALL,27,33)),1+(LEFT(TRIM(INDEX(PASTE_ALL,27,33)),1)="-"),999))-(RIGHT(MID(TRIM(INDEX(PASTE_ALL,27,33)),1+(LEFT(TRIM(INDEX(PASTE_ALL,27,33)),1)="-"),999),1)="%"))&lt;&gt;"",SUBSTITUTE(SUBSTITUTE(SUBSTITUTE(SUBSTITUTE(SUBSTITUTE(SUBSTITUTE(SUBSTITUTE(SUBSTITUTE(SUBSTITUTE(SUBSTITUTE(SUBSTITUTE(SUBSTITUTE(LEFT(MID(TRIM(INDEX(PASTE_ALL,27,33)),1+(LEFT(TRIM(INDEX(PASTE_ALL,27,33)),1)="-"),999),LEN(MID(TRIM(INDEX(PASTE_ALL,27,33)),1+(LEFT(TRIM(INDEX(PASTE_ALL,27,33)),1)="-"),999))-(RIGHT(MID(TRIM(INDEX(PASTE_ALL,27,33)),1+(LEFT(TRIM(INDEX(PASTE_ALL,27,33)),1)="-"),999),1)="%")),"0",""),"1",""),"2",""),"3",""),"4",""),"5",""),"6",""),"7",""),"8",""),"9",""),".",""),",","")=""),2,1))),1)</f>
        <v/>
      </c>
      <c r="BF76">
        <f>IFERROR(IF(ISNUMBER(INDEX(PASTE_ALL,27,34)),2,IF(TRIM(INDEX(PASTE_ALL,27,34))="",0,IF(AND(LEFT(MID(TRIM(INDEX(PASTE_ALL,27,34)),1+(LEFT(TRIM(INDEX(PASTE_ALL,27,34)),1)="-"),999),LEN(MID(TRIM(INDEX(PASTE_ALL,27,34)),1+(LEFT(TRIM(INDEX(PASTE_ALL,27,34)),1)="-"),999))-(RIGHT(MID(TRIM(INDEX(PASTE_ALL,27,34)),1+(LEFT(TRIM(INDEX(PASTE_ALL,27,34)),1)="-"),999),1)="%"))&lt;&gt;"",SUBSTITUTE(SUBSTITUTE(SUBSTITUTE(SUBSTITUTE(SUBSTITUTE(SUBSTITUTE(SUBSTITUTE(SUBSTITUTE(SUBSTITUTE(SUBSTITUTE(SUBSTITUTE(SUBSTITUTE(LEFT(MID(TRIM(INDEX(PASTE_ALL,27,34)),1+(LEFT(TRIM(INDEX(PASTE_ALL,27,34)),1)="-"),999),LEN(MID(TRIM(INDEX(PASTE_ALL,27,34)),1+(LEFT(TRIM(INDEX(PASTE_ALL,27,34)),1)="-"),999))-(RIGHT(MID(TRIM(INDEX(PASTE_ALL,27,34)),1+(LEFT(TRIM(INDEX(PASTE_ALL,27,34)),1)="-"),999),1)="%")),"0",""),"1",""),"2",""),"3",""),"4",""),"5",""),"6",""),"7",""),"8",""),"9",""),".",""),",","")=""),2,1))),1)</f>
        <v/>
      </c>
      <c r="BG76">
        <f>IFERROR(IF(ISNUMBER(INDEX(PASTE_ALL,27,35)),2,IF(TRIM(INDEX(PASTE_ALL,27,35))="",0,IF(AND(LEFT(MID(TRIM(INDEX(PASTE_ALL,27,35)),1+(LEFT(TRIM(INDEX(PASTE_ALL,27,35)),1)="-"),999),LEN(MID(TRIM(INDEX(PASTE_ALL,27,35)),1+(LEFT(TRIM(INDEX(PASTE_ALL,27,35)),1)="-"),999))-(RIGHT(MID(TRIM(INDEX(PASTE_ALL,27,35)),1+(LEFT(TRIM(INDEX(PASTE_ALL,27,35)),1)="-"),999),1)="%"))&lt;&gt;"",SUBSTITUTE(SUBSTITUTE(SUBSTITUTE(SUBSTITUTE(SUBSTITUTE(SUBSTITUTE(SUBSTITUTE(SUBSTITUTE(SUBSTITUTE(SUBSTITUTE(SUBSTITUTE(SUBSTITUTE(LEFT(MID(TRIM(INDEX(PASTE_ALL,27,35)),1+(LEFT(TRIM(INDEX(PASTE_ALL,27,35)),1)="-"),999),LEN(MID(TRIM(INDEX(PASTE_ALL,27,35)),1+(LEFT(TRIM(INDEX(PASTE_ALL,27,35)),1)="-"),999))-(RIGHT(MID(TRIM(INDEX(PASTE_ALL,27,35)),1+(LEFT(TRIM(INDEX(PASTE_ALL,27,35)),1)="-"),999),1)="%")),"0",""),"1",""),"2",""),"3",""),"4",""),"5",""),"6",""),"7",""),"8",""),"9",""),".",""),",","")=""),2,1))),1)</f>
        <v/>
      </c>
      <c r="BH76">
        <f>IFERROR(IF(ISNUMBER(INDEX(PASTE_ALL,27,36)),2,IF(TRIM(INDEX(PASTE_ALL,27,36))="",0,IF(AND(LEFT(MID(TRIM(INDEX(PASTE_ALL,27,36)),1+(LEFT(TRIM(INDEX(PASTE_ALL,27,36)),1)="-"),999),LEN(MID(TRIM(INDEX(PASTE_ALL,27,36)),1+(LEFT(TRIM(INDEX(PASTE_ALL,27,36)),1)="-"),999))-(RIGHT(MID(TRIM(INDEX(PASTE_ALL,27,36)),1+(LEFT(TRIM(INDEX(PASTE_ALL,27,36)),1)="-"),999),1)="%"))&lt;&gt;"",SUBSTITUTE(SUBSTITUTE(SUBSTITUTE(SUBSTITUTE(SUBSTITUTE(SUBSTITUTE(SUBSTITUTE(SUBSTITUTE(SUBSTITUTE(SUBSTITUTE(SUBSTITUTE(SUBSTITUTE(LEFT(MID(TRIM(INDEX(PASTE_ALL,27,36)),1+(LEFT(TRIM(INDEX(PASTE_ALL,27,36)),1)="-"),999),LEN(MID(TRIM(INDEX(PASTE_ALL,27,36)),1+(LEFT(TRIM(INDEX(PASTE_ALL,27,36)),1)="-"),999))-(RIGHT(MID(TRIM(INDEX(PASTE_ALL,27,36)),1+(LEFT(TRIM(INDEX(PASTE_ALL,27,36)),1)="-"),999),1)="%")),"0",""),"1",""),"2",""),"3",""),"4",""),"5",""),"6",""),"7",""),"8",""),"9",""),".",""),",","")=""),2,1))),1)</f>
        <v/>
      </c>
      <c r="BI76">
        <f>IFERROR(IF(ISNUMBER(INDEX(PASTE_ALL,27,37)),2,IF(TRIM(INDEX(PASTE_ALL,27,37))="",0,IF(AND(LEFT(MID(TRIM(INDEX(PASTE_ALL,27,37)),1+(LEFT(TRIM(INDEX(PASTE_ALL,27,37)),1)="-"),999),LEN(MID(TRIM(INDEX(PASTE_ALL,27,37)),1+(LEFT(TRIM(INDEX(PASTE_ALL,27,37)),1)="-"),999))-(RIGHT(MID(TRIM(INDEX(PASTE_ALL,27,37)),1+(LEFT(TRIM(INDEX(PASTE_ALL,27,37)),1)="-"),999),1)="%"))&lt;&gt;"",SUBSTITUTE(SUBSTITUTE(SUBSTITUTE(SUBSTITUTE(SUBSTITUTE(SUBSTITUTE(SUBSTITUTE(SUBSTITUTE(SUBSTITUTE(SUBSTITUTE(SUBSTITUTE(SUBSTITUTE(LEFT(MID(TRIM(INDEX(PASTE_ALL,27,37)),1+(LEFT(TRIM(INDEX(PASTE_ALL,27,37)),1)="-"),999),LEN(MID(TRIM(INDEX(PASTE_ALL,27,37)),1+(LEFT(TRIM(INDEX(PASTE_ALL,27,37)),1)="-"),999))-(RIGHT(MID(TRIM(INDEX(PASTE_ALL,27,37)),1+(LEFT(TRIM(INDEX(PASTE_ALL,27,37)),1)="-"),999),1)="%")),"0",""),"1",""),"2",""),"3",""),"4",""),"5",""),"6",""),"7",""),"8",""),"9",""),".",""),",","")=""),2,1))),1)</f>
        <v/>
      </c>
      <c r="BJ76">
        <f>IFERROR(IF(ISNUMBER(INDEX(PASTE_ALL,27,38)),2,IF(TRIM(INDEX(PASTE_ALL,27,38))="",0,IF(AND(LEFT(MID(TRIM(INDEX(PASTE_ALL,27,38)),1+(LEFT(TRIM(INDEX(PASTE_ALL,27,38)),1)="-"),999),LEN(MID(TRIM(INDEX(PASTE_ALL,27,38)),1+(LEFT(TRIM(INDEX(PASTE_ALL,27,38)),1)="-"),999))-(RIGHT(MID(TRIM(INDEX(PASTE_ALL,27,38)),1+(LEFT(TRIM(INDEX(PASTE_ALL,27,38)),1)="-"),999),1)="%"))&lt;&gt;"",SUBSTITUTE(SUBSTITUTE(SUBSTITUTE(SUBSTITUTE(SUBSTITUTE(SUBSTITUTE(SUBSTITUTE(SUBSTITUTE(SUBSTITUTE(SUBSTITUTE(SUBSTITUTE(SUBSTITUTE(LEFT(MID(TRIM(INDEX(PASTE_ALL,27,38)),1+(LEFT(TRIM(INDEX(PASTE_ALL,27,38)),1)="-"),999),LEN(MID(TRIM(INDEX(PASTE_ALL,27,38)),1+(LEFT(TRIM(INDEX(PASTE_ALL,27,38)),1)="-"),999))-(RIGHT(MID(TRIM(INDEX(PASTE_ALL,27,38)),1+(LEFT(TRIM(INDEX(PASTE_ALL,27,38)),1)="-"),999),1)="%")),"0",""),"1",""),"2",""),"3",""),"4",""),"5",""),"6",""),"7",""),"8",""),"9",""),".",""),",","")=""),2,1))),1)</f>
        <v/>
      </c>
      <c r="BK76">
        <f>IFERROR(IF(ISNUMBER(INDEX(PASTE_ALL,27,39)),2,IF(TRIM(INDEX(PASTE_ALL,27,39))="",0,IF(AND(LEFT(MID(TRIM(INDEX(PASTE_ALL,27,39)),1+(LEFT(TRIM(INDEX(PASTE_ALL,27,39)),1)="-"),999),LEN(MID(TRIM(INDEX(PASTE_ALL,27,39)),1+(LEFT(TRIM(INDEX(PASTE_ALL,27,39)),1)="-"),999))-(RIGHT(MID(TRIM(INDEX(PASTE_ALL,27,39)),1+(LEFT(TRIM(INDEX(PASTE_ALL,27,39)),1)="-"),999),1)="%"))&lt;&gt;"",SUBSTITUTE(SUBSTITUTE(SUBSTITUTE(SUBSTITUTE(SUBSTITUTE(SUBSTITUTE(SUBSTITUTE(SUBSTITUTE(SUBSTITUTE(SUBSTITUTE(SUBSTITUTE(SUBSTITUTE(LEFT(MID(TRIM(INDEX(PASTE_ALL,27,39)),1+(LEFT(TRIM(INDEX(PASTE_ALL,27,39)),1)="-"),999),LEN(MID(TRIM(INDEX(PASTE_ALL,27,39)),1+(LEFT(TRIM(INDEX(PASTE_ALL,27,39)),1)="-"),999))-(RIGHT(MID(TRIM(INDEX(PASTE_ALL,27,39)),1+(LEFT(TRIM(INDEX(PASTE_ALL,27,39)),1)="-"),999),1)="%")),"0",""),"1",""),"2",""),"3",""),"4",""),"5",""),"6",""),"7",""),"8",""),"9",""),".",""),",","")=""),2,1))),1)</f>
        <v/>
      </c>
      <c r="BL76">
        <f>IFERROR(IF(ISNUMBER(INDEX(PASTE_ALL,27,40)),2,IF(TRIM(INDEX(PASTE_ALL,27,40))="",0,IF(AND(LEFT(MID(TRIM(INDEX(PASTE_ALL,27,40)),1+(LEFT(TRIM(INDEX(PASTE_ALL,27,40)),1)="-"),999),LEN(MID(TRIM(INDEX(PASTE_ALL,27,40)),1+(LEFT(TRIM(INDEX(PASTE_ALL,27,40)),1)="-"),999))-(RIGHT(MID(TRIM(INDEX(PASTE_ALL,27,40)),1+(LEFT(TRIM(INDEX(PASTE_ALL,27,40)),1)="-"),999),1)="%"))&lt;&gt;"",SUBSTITUTE(SUBSTITUTE(SUBSTITUTE(SUBSTITUTE(SUBSTITUTE(SUBSTITUTE(SUBSTITUTE(SUBSTITUTE(SUBSTITUTE(SUBSTITUTE(SUBSTITUTE(SUBSTITUTE(LEFT(MID(TRIM(INDEX(PASTE_ALL,27,40)),1+(LEFT(TRIM(INDEX(PASTE_ALL,27,40)),1)="-"),999),LEN(MID(TRIM(INDEX(PASTE_ALL,27,40)),1+(LEFT(TRIM(INDEX(PASTE_ALL,27,40)),1)="-"),999))-(RIGHT(MID(TRIM(INDEX(PASTE_ALL,27,40)),1+(LEFT(TRIM(INDEX(PASTE_ALL,27,40)),1)="-"),999),1)="%")),"0",""),"1",""),"2",""),"3",""),"4",""),"5",""),"6",""),"7",""),"8",""),"9",""),".",""),",","")=""),2,1))),1)</f>
        <v/>
      </c>
      <c r="BM76">
        <f>IFERROR(IF(ISNUMBER(INDEX(PASTE_ALL,27,41)),2,IF(TRIM(INDEX(PASTE_ALL,27,41))="",0,IF(AND(LEFT(MID(TRIM(INDEX(PASTE_ALL,27,41)),1+(LEFT(TRIM(INDEX(PASTE_ALL,27,41)),1)="-"),999),LEN(MID(TRIM(INDEX(PASTE_ALL,27,41)),1+(LEFT(TRIM(INDEX(PASTE_ALL,27,41)),1)="-"),999))-(RIGHT(MID(TRIM(INDEX(PASTE_ALL,27,41)),1+(LEFT(TRIM(INDEX(PASTE_ALL,27,41)),1)="-"),999),1)="%"))&lt;&gt;"",SUBSTITUTE(SUBSTITUTE(SUBSTITUTE(SUBSTITUTE(SUBSTITUTE(SUBSTITUTE(SUBSTITUTE(SUBSTITUTE(SUBSTITUTE(SUBSTITUTE(SUBSTITUTE(SUBSTITUTE(LEFT(MID(TRIM(INDEX(PASTE_ALL,27,41)),1+(LEFT(TRIM(INDEX(PASTE_ALL,27,41)),1)="-"),999),LEN(MID(TRIM(INDEX(PASTE_ALL,27,41)),1+(LEFT(TRIM(INDEX(PASTE_ALL,27,41)),1)="-"),999))-(RIGHT(MID(TRIM(INDEX(PASTE_ALL,27,41)),1+(LEFT(TRIM(INDEX(PASTE_ALL,27,41)),1)="-"),999),1)="%")),"0",""),"1",""),"2",""),"3",""),"4",""),"5",""),"6",""),"7",""),"8",""),"9",""),".",""),",","")=""),2,1))),1)</f>
        <v/>
      </c>
      <c r="BN76">
        <f>IFERROR(IF(ISNUMBER(INDEX(PASTE_ALL,27,42)),2,IF(TRIM(INDEX(PASTE_ALL,27,42))="",0,IF(AND(LEFT(MID(TRIM(INDEX(PASTE_ALL,27,42)),1+(LEFT(TRIM(INDEX(PASTE_ALL,27,42)),1)="-"),999),LEN(MID(TRIM(INDEX(PASTE_ALL,27,42)),1+(LEFT(TRIM(INDEX(PASTE_ALL,27,42)),1)="-"),999))-(RIGHT(MID(TRIM(INDEX(PASTE_ALL,27,42)),1+(LEFT(TRIM(INDEX(PASTE_ALL,27,42)),1)="-"),999),1)="%"))&lt;&gt;"",SUBSTITUTE(SUBSTITUTE(SUBSTITUTE(SUBSTITUTE(SUBSTITUTE(SUBSTITUTE(SUBSTITUTE(SUBSTITUTE(SUBSTITUTE(SUBSTITUTE(SUBSTITUTE(SUBSTITUTE(LEFT(MID(TRIM(INDEX(PASTE_ALL,27,42)),1+(LEFT(TRIM(INDEX(PASTE_ALL,27,42)),1)="-"),999),LEN(MID(TRIM(INDEX(PASTE_ALL,27,42)),1+(LEFT(TRIM(INDEX(PASTE_ALL,27,42)),1)="-"),999))-(RIGHT(MID(TRIM(INDEX(PASTE_ALL,27,42)),1+(LEFT(TRIM(INDEX(PASTE_ALL,27,42)),1)="-"),999),1)="%")),"0",""),"1",""),"2",""),"3",""),"4",""),"5",""),"6",""),"7",""),"8",""),"9",""),".",""),",","")=""),2,1))),1)</f>
        <v/>
      </c>
      <c r="BO76">
        <f>IFERROR(IF(ISNUMBER(INDEX(PASTE_ALL,27,43)),2,IF(TRIM(INDEX(PASTE_ALL,27,43))="",0,IF(AND(LEFT(MID(TRIM(INDEX(PASTE_ALL,27,43)),1+(LEFT(TRIM(INDEX(PASTE_ALL,27,43)),1)="-"),999),LEN(MID(TRIM(INDEX(PASTE_ALL,27,43)),1+(LEFT(TRIM(INDEX(PASTE_ALL,27,43)),1)="-"),999))-(RIGHT(MID(TRIM(INDEX(PASTE_ALL,27,43)),1+(LEFT(TRIM(INDEX(PASTE_ALL,27,43)),1)="-"),999),1)="%"))&lt;&gt;"",SUBSTITUTE(SUBSTITUTE(SUBSTITUTE(SUBSTITUTE(SUBSTITUTE(SUBSTITUTE(SUBSTITUTE(SUBSTITUTE(SUBSTITUTE(SUBSTITUTE(SUBSTITUTE(SUBSTITUTE(LEFT(MID(TRIM(INDEX(PASTE_ALL,27,43)),1+(LEFT(TRIM(INDEX(PASTE_ALL,27,43)),1)="-"),999),LEN(MID(TRIM(INDEX(PASTE_ALL,27,43)),1+(LEFT(TRIM(INDEX(PASTE_ALL,27,43)),1)="-"),999))-(RIGHT(MID(TRIM(INDEX(PASTE_ALL,27,43)),1+(LEFT(TRIM(INDEX(PASTE_ALL,27,43)),1)="-"),999),1)="%")),"0",""),"1",""),"2",""),"3",""),"4",""),"5",""),"6",""),"7",""),"8",""),"9",""),".",""),",","")=""),2,1))),1)</f>
        <v/>
      </c>
      <c r="BP76">
        <f>IFERROR(IF(ISNUMBER(INDEX(PASTE_ALL,27,44)),2,IF(TRIM(INDEX(PASTE_ALL,27,44))="",0,IF(AND(LEFT(MID(TRIM(INDEX(PASTE_ALL,27,44)),1+(LEFT(TRIM(INDEX(PASTE_ALL,27,44)),1)="-"),999),LEN(MID(TRIM(INDEX(PASTE_ALL,27,44)),1+(LEFT(TRIM(INDEX(PASTE_ALL,27,44)),1)="-"),999))-(RIGHT(MID(TRIM(INDEX(PASTE_ALL,27,44)),1+(LEFT(TRIM(INDEX(PASTE_ALL,27,44)),1)="-"),999),1)="%"))&lt;&gt;"",SUBSTITUTE(SUBSTITUTE(SUBSTITUTE(SUBSTITUTE(SUBSTITUTE(SUBSTITUTE(SUBSTITUTE(SUBSTITUTE(SUBSTITUTE(SUBSTITUTE(SUBSTITUTE(SUBSTITUTE(LEFT(MID(TRIM(INDEX(PASTE_ALL,27,44)),1+(LEFT(TRIM(INDEX(PASTE_ALL,27,44)),1)="-"),999),LEN(MID(TRIM(INDEX(PASTE_ALL,27,44)),1+(LEFT(TRIM(INDEX(PASTE_ALL,27,44)),1)="-"),999))-(RIGHT(MID(TRIM(INDEX(PASTE_ALL,27,44)),1+(LEFT(TRIM(INDEX(PASTE_ALL,27,44)),1)="-"),999),1)="%")),"0",""),"1",""),"2",""),"3",""),"4",""),"5",""),"6",""),"7",""),"8",""),"9",""),".",""),",","")=""),2,1))),1)</f>
        <v/>
      </c>
      <c r="BQ76">
        <f>IFERROR(IF(ISNUMBER(INDEX(PASTE_ALL,27,45)),2,IF(TRIM(INDEX(PASTE_ALL,27,45))="",0,IF(AND(LEFT(MID(TRIM(INDEX(PASTE_ALL,27,45)),1+(LEFT(TRIM(INDEX(PASTE_ALL,27,45)),1)="-"),999),LEN(MID(TRIM(INDEX(PASTE_ALL,27,45)),1+(LEFT(TRIM(INDEX(PASTE_ALL,27,45)),1)="-"),999))-(RIGHT(MID(TRIM(INDEX(PASTE_ALL,27,45)),1+(LEFT(TRIM(INDEX(PASTE_ALL,27,45)),1)="-"),999),1)="%"))&lt;&gt;"",SUBSTITUTE(SUBSTITUTE(SUBSTITUTE(SUBSTITUTE(SUBSTITUTE(SUBSTITUTE(SUBSTITUTE(SUBSTITUTE(SUBSTITUTE(SUBSTITUTE(SUBSTITUTE(SUBSTITUTE(LEFT(MID(TRIM(INDEX(PASTE_ALL,27,45)),1+(LEFT(TRIM(INDEX(PASTE_ALL,27,45)),1)="-"),999),LEN(MID(TRIM(INDEX(PASTE_ALL,27,45)),1+(LEFT(TRIM(INDEX(PASTE_ALL,27,45)),1)="-"),999))-(RIGHT(MID(TRIM(INDEX(PASTE_ALL,27,45)),1+(LEFT(TRIM(INDEX(PASTE_ALL,27,45)),1)="-"),999),1)="%")),"0",""),"1",""),"2",""),"3",""),"4",""),"5",""),"6",""),"7",""),"8",""),"9",""),".",""),",","")=""),2,1))),1)</f>
        <v/>
      </c>
      <c r="BR76">
        <f>IFERROR(IF(ISNUMBER(INDEX(PASTE_ALL,27,46)),2,IF(TRIM(INDEX(PASTE_ALL,27,46))="",0,IF(AND(LEFT(MID(TRIM(INDEX(PASTE_ALL,27,46)),1+(LEFT(TRIM(INDEX(PASTE_ALL,27,46)),1)="-"),999),LEN(MID(TRIM(INDEX(PASTE_ALL,27,46)),1+(LEFT(TRIM(INDEX(PASTE_ALL,27,46)),1)="-"),999))-(RIGHT(MID(TRIM(INDEX(PASTE_ALL,27,46)),1+(LEFT(TRIM(INDEX(PASTE_ALL,27,46)),1)="-"),999),1)="%"))&lt;&gt;"",SUBSTITUTE(SUBSTITUTE(SUBSTITUTE(SUBSTITUTE(SUBSTITUTE(SUBSTITUTE(SUBSTITUTE(SUBSTITUTE(SUBSTITUTE(SUBSTITUTE(SUBSTITUTE(SUBSTITUTE(LEFT(MID(TRIM(INDEX(PASTE_ALL,27,46)),1+(LEFT(TRIM(INDEX(PASTE_ALL,27,46)),1)="-"),999),LEN(MID(TRIM(INDEX(PASTE_ALL,27,46)),1+(LEFT(TRIM(INDEX(PASTE_ALL,27,46)),1)="-"),999))-(RIGHT(MID(TRIM(INDEX(PASTE_ALL,27,46)),1+(LEFT(TRIM(INDEX(PASTE_ALL,27,46)),1)="-"),999),1)="%")),"0",""),"1",""),"2",""),"3",""),"4",""),"5",""),"6",""),"7",""),"8",""),"9",""),".",""),",","")=""),2,1))),1)</f>
        <v/>
      </c>
      <c r="BS76">
        <f>IFERROR(IF(ISNUMBER(INDEX(PASTE_ALL,27,47)),2,IF(TRIM(INDEX(PASTE_ALL,27,47))="",0,IF(AND(LEFT(MID(TRIM(INDEX(PASTE_ALL,27,47)),1+(LEFT(TRIM(INDEX(PASTE_ALL,27,47)),1)="-"),999),LEN(MID(TRIM(INDEX(PASTE_ALL,27,47)),1+(LEFT(TRIM(INDEX(PASTE_ALL,27,47)),1)="-"),999))-(RIGHT(MID(TRIM(INDEX(PASTE_ALL,27,47)),1+(LEFT(TRIM(INDEX(PASTE_ALL,27,47)),1)="-"),999),1)="%"))&lt;&gt;"",SUBSTITUTE(SUBSTITUTE(SUBSTITUTE(SUBSTITUTE(SUBSTITUTE(SUBSTITUTE(SUBSTITUTE(SUBSTITUTE(SUBSTITUTE(SUBSTITUTE(SUBSTITUTE(SUBSTITUTE(LEFT(MID(TRIM(INDEX(PASTE_ALL,27,47)),1+(LEFT(TRIM(INDEX(PASTE_ALL,27,47)),1)="-"),999),LEN(MID(TRIM(INDEX(PASTE_ALL,27,47)),1+(LEFT(TRIM(INDEX(PASTE_ALL,27,47)),1)="-"),999))-(RIGHT(MID(TRIM(INDEX(PASTE_ALL,27,47)),1+(LEFT(TRIM(INDEX(PASTE_ALL,27,47)),1)="-"),999),1)="%")),"0",""),"1",""),"2",""),"3",""),"4",""),"5",""),"6",""),"7",""),"8",""),"9",""),".",""),",","")=""),2,1))),1)</f>
        <v/>
      </c>
      <c r="BT76">
        <f>IFERROR(IF(ISNUMBER(INDEX(PASTE_ALL,27,48)),2,IF(TRIM(INDEX(PASTE_ALL,27,48))="",0,IF(AND(LEFT(MID(TRIM(INDEX(PASTE_ALL,27,48)),1+(LEFT(TRIM(INDEX(PASTE_ALL,27,48)),1)="-"),999),LEN(MID(TRIM(INDEX(PASTE_ALL,27,48)),1+(LEFT(TRIM(INDEX(PASTE_ALL,27,48)),1)="-"),999))-(RIGHT(MID(TRIM(INDEX(PASTE_ALL,27,48)),1+(LEFT(TRIM(INDEX(PASTE_ALL,27,48)),1)="-"),999),1)="%"))&lt;&gt;"",SUBSTITUTE(SUBSTITUTE(SUBSTITUTE(SUBSTITUTE(SUBSTITUTE(SUBSTITUTE(SUBSTITUTE(SUBSTITUTE(SUBSTITUTE(SUBSTITUTE(SUBSTITUTE(SUBSTITUTE(LEFT(MID(TRIM(INDEX(PASTE_ALL,27,48)),1+(LEFT(TRIM(INDEX(PASTE_ALL,27,48)),1)="-"),999),LEN(MID(TRIM(INDEX(PASTE_ALL,27,48)),1+(LEFT(TRIM(INDEX(PASTE_ALL,27,48)),1)="-"),999))-(RIGHT(MID(TRIM(INDEX(PASTE_ALL,27,48)),1+(LEFT(TRIM(INDEX(PASTE_ALL,27,48)),1)="-"),999),1)="%")),"0",""),"1",""),"2",""),"3",""),"4",""),"5",""),"6",""),"7",""),"8",""),"9",""),".",""),",","")=""),2,1))),1)</f>
        <v/>
      </c>
      <c r="BU76">
        <f>IFERROR(IF(ISNUMBER(INDEX(PASTE_ALL,27,49)),2,IF(TRIM(INDEX(PASTE_ALL,27,49))="",0,IF(AND(LEFT(MID(TRIM(INDEX(PASTE_ALL,27,49)),1+(LEFT(TRIM(INDEX(PASTE_ALL,27,49)),1)="-"),999),LEN(MID(TRIM(INDEX(PASTE_ALL,27,49)),1+(LEFT(TRIM(INDEX(PASTE_ALL,27,49)),1)="-"),999))-(RIGHT(MID(TRIM(INDEX(PASTE_ALL,27,49)),1+(LEFT(TRIM(INDEX(PASTE_ALL,27,49)),1)="-"),999),1)="%"))&lt;&gt;"",SUBSTITUTE(SUBSTITUTE(SUBSTITUTE(SUBSTITUTE(SUBSTITUTE(SUBSTITUTE(SUBSTITUTE(SUBSTITUTE(SUBSTITUTE(SUBSTITUTE(SUBSTITUTE(SUBSTITUTE(LEFT(MID(TRIM(INDEX(PASTE_ALL,27,49)),1+(LEFT(TRIM(INDEX(PASTE_ALL,27,49)),1)="-"),999),LEN(MID(TRIM(INDEX(PASTE_ALL,27,49)),1+(LEFT(TRIM(INDEX(PASTE_ALL,27,49)),1)="-"),999))-(RIGHT(MID(TRIM(INDEX(PASTE_ALL,27,49)),1+(LEFT(TRIM(INDEX(PASTE_ALL,27,49)),1)="-"),999),1)="%")),"0",""),"1",""),"2",""),"3",""),"4",""),"5",""),"6",""),"7",""),"8",""),"9",""),".",""),",","")=""),2,1))),1)</f>
        <v/>
      </c>
      <c r="BV76">
        <f>IFERROR(IF(ISNUMBER(INDEX(PASTE_ALL,27,50)),2,IF(TRIM(INDEX(PASTE_ALL,27,50))="",0,IF(AND(LEFT(MID(TRIM(INDEX(PASTE_ALL,27,50)),1+(LEFT(TRIM(INDEX(PASTE_ALL,27,50)),1)="-"),999),LEN(MID(TRIM(INDEX(PASTE_ALL,27,50)),1+(LEFT(TRIM(INDEX(PASTE_ALL,27,50)),1)="-"),999))-(RIGHT(MID(TRIM(INDEX(PASTE_ALL,27,50)),1+(LEFT(TRIM(INDEX(PASTE_ALL,27,50)),1)="-"),999),1)="%"))&lt;&gt;"",SUBSTITUTE(SUBSTITUTE(SUBSTITUTE(SUBSTITUTE(SUBSTITUTE(SUBSTITUTE(SUBSTITUTE(SUBSTITUTE(SUBSTITUTE(SUBSTITUTE(SUBSTITUTE(SUBSTITUTE(LEFT(MID(TRIM(INDEX(PASTE_ALL,27,50)),1+(LEFT(TRIM(INDEX(PASTE_ALL,27,50)),1)="-"),999),LEN(MID(TRIM(INDEX(PASTE_ALL,27,50)),1+(LEFT(TRIM(INDEX(PASTE_ALL,27,50)),1)="-"),999))-(RIGHT(MID(TRIM(INDEX(PASTE_ALL,27,50)),1+(LEFT(TRIM(INDEX(PASTE_ALL,27,50)),1)="-"),999),1)="%")),"0",""),"1",""),"2",""),"3",""),"4",""),"5",""),"6",""),"7",""),"8",""),"9",""),".",""),",","")=""),2,1))),1)</f>
        <v/>
      </c>
      <c r="BW76">
        <f>IFERROR(IF(ISNUMBER(INDEX(PASTE_ALL,27,51)),2,IF(TRIM(INDEX(PASTE_ALL,27,51))="",0,IF(AND(LEFT(MID(TRIM(INDEX(PASTE_ALL,27,51)),1+(LEFT(TRIM(INDEX(PASTE_ALL,27,51)),1)="-"),999),LEN(MID(TRIM(INDEX(PASTE_ALL,27,51)),1+(LEFT(TRIM(INDEX(PASTE_ALL,27,51)),1)="-"),999))-(RIGHT(MID(TRIM(INDEX(PASTE_ALL,27,51)),1+(LEFT(TRIM(INDEX(PASTE_ALL,27,51)),1)="-"),999),1)="%"))&lt;&gt;"",SUBSTITUTE(SUBSTITUTE(SUBSTITUTE(SUBSTITUTE(SUBSTITUTE(SUBSTITUTE(SUBSTITUTE(SUBSTITUTE(SUBSTITUTE(SUBSTITUTE(SUBSTITUTE(SUBSTITUTE(LEFT(MID(TRIM(INDEX(PASTE_ALL,27,51)),1+(LEFT(TRIM(INDEX(PASTE_ALL,27,51)),1)="-"),999),LEN(MID(TRIM(INDEX(PASTE_ALL,27,51)),1+(LEFT(TRIM(INDEX(PASTE_ALL,27,51)),1)="-"),999))-(RIGHT(MID(TRIM(INDEX(PASTE_ALL,27,51)),1+(LEFT(TRIM(INDEX(PASTE_ALL,27,51)),1)="-"),999),1)="%")),"0",""),"1",""),"2",""),"3",""),"4",""),"5",""),"6",""),"7",""),"8",""),"9",""),".",""),",","")=""),2,1))),1)</f>
        <v/>
      </c>
      <c r="BX76">
        <f>IFERROR(IF(ISNUMBER(INDEX(PASTE_ALL,27,52)),2,IF(TRIM(INDEX(PASTE_ALL,27,52))="",0,IF(AND(LEFT(MID(TRIM(INDEX(PASTE_ALL,27,52)),1+(LEFT(TRIM(INDEX(PASTE_ALL,27,52)),1)="-"),999),LEN(MID(TRIM(INDEX(PASTE_ALL,27,52)),1+(LEFT(TRIM(INDEX(PASTE_ALL,27,52)),1)="-"),999))-(RIGHT(MID(TRIM(INDEX(PASTE_ALL,27,52)),1+(LEFT(TRIM(INDEX(PASTE_ALL,27,52)),1)="-"),999),1)="%"))&lt;&gt;"",SUBSTITUTE(SUBSTITUTE(SUBSTITUTE(SUBSTITUTE(SUBSTITUTE(SUBSTITUTE(SUBSTITUTE(SUBSTITUTE(SUBSTITUTE(SUBSTITUTE(SUBSTITUTE(SUBSTITUTE(LEFT(MID(TRIM(INDEX(PASTE_ALL,27,52)),1+(LEFT(TRIM(INDEX(PASTE_ALL,27,52)),1)="-"),999),LEN(MID(TRIM(INDEX(PASTE_ALL,27,52)),1+(LEFT(TRIM(INDEX(PASTE_ALL,27,52)),1)="-"),999))-(RIGHT(MID(TRIM(INDEX(PASTE_ALL,27,52)),1+(LEFT(TRIM(INDEX(PASTE_ALL,27,52)),1)="-"),999),1)="%")),"0",""),"1",""),"2",""),"3",""),"4",""),"5",""),"6",""),"7",""),"8",""),"9",""),".",""),",","")=""),2,1))),1)</f>
        <v/>
      </c>
      <c r="BY76">
        <f>IFERROR(IF(ISNUMBER(INDEX(PASTE_ALL,27,53)),2,IF(TRIM(INDEX(PASTE_ALL,27,53))="",0,IF(AND(LEFT(MID(TRIM(INDEX(PASTE_ALL,27,53)),1+(LEFT(TRIM(INDEX(PASTE_ALL,27,53)),1)="-"),999),LEN(MID(TRIM(INDEX(PASTE_ALL,27,53)),1+(LEFT(TRIM(INDEX(PASTE_ALL,27,53)),1)="-"),999))-(RIGHT(MID(TRIM(INDEX(PASTE_ALL,27,53)),1+(LEFT(TRIM(INDEX(PASTE_ALL,27,53)),1)="-"),999),1)="%"))&lt;&gt;"",SUBSTITUTE(SUBSTITUTE(SUBSTITUTE(SUBSTITUTE(SUBSTITUTE(SUBSTITUTE(SUBSTITUTE(SUBSTITUTE(SUBSTITUTE(SUBSTITUTE(SUBSTITUTE(SUBSTITUTE(LEFT(MID(TRIM(INDEX(PASTE_ALL,27,53)),1+(LEFT(TRIM(INDEX(PASTE_ALL,27,53)),1)="-"),999),LEN(MID(TRIM(INDEX(PASTE_ALL,27,53)),1+(LEFT(TRIM(INDEX(PASTE_ALL,27,53)),1)="-"),999))-(RIGHT(MID(TRIM(INDEX(PASTE_ALL,27,53)),1+(LEFT(TRIM(INDEX(PASTE_ALL,27,53)),1)="-"),999),1)="%")),"0",""),"1",""),"2",""),"3",""),"4",""),"5",""),"6",""),"7",""),"8",""),"9",""),".",""),",","")=""),2,1))),1)</f>
        <v/>
      </c>
      <c r="BZ76">
        <f>IFERROR(IF(ISNUMBER(INDEX(PASTE_ALL,27,54)),2,IF(TRIM(INDEX(PASTE_ALL,27,54))="",0,IF(AND(LEFT(MID(TRIM(INDEX(PASTE_ALL,27,54)),1+(LEFT(TRIM(INDEX(PASTE_ALL,27,54)),1)="-"),999),LEN(MID(TRIM(INDEX(PASTE_ALL,27,54)),1+(LEFT(TRIM(INDEX(PASTE_ALL,27,54)),1)="-"),999))-(RIGHT(MID(TRIM(INDEX(PASTE_ALL,27,54)),1+(LEFT(TRIM(INDEX(PASTE_ALL,27,54)),1)="-"),999),1)="%"))&lt;&gt;"",SUBSTITUTE(SUBSTITUTE(SUBSTITUTE(SUBSTITUTE(SUBSTITUTE(SUBSTITUTE(SUBSTITUTE(SUBSTITUTE(SUBSTITUTE(SUBSTITUTE(SUBSTITUTE(SUBSTITUTE(LEFT(MID(TRIM(INDEX(PASTE_ALL,27,54)),1+(LEFT(TRIM(INDEX(PASTE_ALL,27,54)),1)="-"),999),LEN(MID(TRIM(INDEX(PASTE_ALL,27,54)),1+(LEFT(TRIM(INDEX(PASTE_ALL,27,54)),1)="-"),999))-(RIGHT(MID(TRIM(INDEX(PASTE_ALL,27,54)),1+(LEFT(TRIM(INDEX(PASTE_ALL,27,54)),1)="-"),999),1)="%")),"0",""),"1",""),"2",""),"3",""),"4",""),"5",""),"6",""),"7",""),"8",""),"9",""),".",""),",","")=""),2,1))),1)</f>
        <v/>
      </c>
      <c r="CA76">
        <f>IFERROR(IF(ISNUMBER(INDEX(PASTE_ALL,27,55)),2,IF(TRIM(INDEX(PASTE_ALL,27,55))="",0,IF(AND(LEFT(MID(TRIM(INDEX(PASTE_ALL,27,55)),1+(LEFT(TRIM(INDEX(PASTE_ALL,27,55)),1)="-"),999),LEN(MID(TRIM(INDEX(PASTE_ALL,27,55)),1+(LEFT(TRIM(INDEX(PASTE_ALL,27,55)),1)="-"),999))-(RIGHT(MID(TRIM(INDEX(PASTE_ALL,27,55)),1+(LEFT(TRIM(INDEX(PASTE_ALL,27,55)),1)="-"),999),1)="%"))&lt;&gt;"",SUBSTITUTE(SUBSTITUTE(SUBSTITUTE(SUBSTITUTE(SUBSTITUTE(SUBSTITUTE(SUBSTITUTE(SUBSTITUTE(SUBSTITUTE(SUBSTITUTE(SUBSTITUTE(SUBSTITUTE(LEFT(MID(TRIM(INDEX(PASTE_ALL,27,55)),1+(LEFT(TRIM(INDEX(PASTE_ALL,27,55)),1)="-"),999),LEN(MID(TRIM(INDEX(PASTE_ALL,27,55)),1+(LEFT(TRIM(INDEX(PASTE_ALL,27,55)),1)="-"),999))-(RIGHT(MID(TRIM(INDEX(PASTE_ALL,27,55)),1+(LEFT(TRIM(INDEX(PASTE_ALL,27,55)),1)="-"),999),1)="%")),"0",""),"1",""),"2",""),"3",""),"4",""),"5",""),"6",""),"7",""),"8",""),"9",""),".",""),",","")=""),2,1))),1)</f>
        <v/>
      </c>
      <c r="CB76">
        <f>IFERROR(IF(ISNUMBER(INDEX(PASTE_ALL,27,56)),2,IF(TRIM(INDEX(PASTE_ALL,27,56))="",0,IF(AND(LEFT(MID(TRIM(INDEX(PASTE_ALL,27,56)),1+(LEFT(TRIM(INDEX(PASTE_ALL,27,56)),1)="-"),999),LEN(MID(TRIM(INDEX(PASTE_ALL,27,56)),1+(LEFT(TRIM(INDEX(PASTE_ALL,27,56)),1)="-"),999))-(RIGHT(MID(TRIM(INDEX(PASTE_ALL,27,56)),1+(LEFT(TRIM(INDEX(PASTE_ALL,27,56)),1)="-"),999),1)="%"))&lt;&gt;"",SUBSTITUTE(SUBSTITUTE(SUBSTITUTE(SUBSTITUTE(SUBSTITUTE(SUBSTITUTE(SUBSTITUTE(SUBSTITUTE(SUBSTITUTE(SUBSTITUTE(SUBSTITUTE(SUBSTITUTE(LEFT(MID(TRIM(INDEX(PASTE_ALL,27,56)),1+(LEFT(TRIM(INDEX(PASTE_ALL,27,56)),1)="-"),999),LEN(MID(TRIM(INDEX(PASTE_ALL,27,56)),1+(LEFT(TRIM(INDEX(PASTE_ALL,27,56)),1)="-"),999))-(RIGHT(MID(TRIM(INDEX(PASTE_ALL,27,56)),1+(LEFT(TRIM(INDEX(PASTE_ALL,27,56)),1)="-"),999),1)="%")),"0",""),"1",""),"2",""),"3",""),"4",""),"5",""),"6",""),"7",""),"8",""),"9",""),".",""),",","")=""),2,1))),1)</f>
        <v/>
      </c>
      <c r="CC76">
        <f>IFERROR(IF(ISNUMBER(INDEX(PASTE_ALL,27,57)),2,IF(TRIM(INDEX(PASTE_ALL,27,57))="",0,IF(AND(LEFT(MID(TRIM(INDEX(PASTE_ALL,27,57)),1+(LEFT(TRIM(INDEX(PASTE_ALL,27,57)),1)="-"),999),LEN(MID(TRIM(INDEX(PASTE_ALL,27,57)),1+(LEFT(TRIM(INDEX(PASTE_ALL,27,57)),1)="-"),999))-(RIGHT(MID(TRIM(INDEX(PASTE_ALL,27,57)),1+(LEFT(TRIM(INDEX(PASTE_ALL,27,57)),1)="-"),999),1)="%"))&lt;&gt;"",SUBSTITUTE(SUBSTITUTE(SUBSTITUTE(SUBSTITUTE(SUBSTITUTE(SUBSTITUTE(SUBSTITUTE(SUBSTITUTE(SUBSTITUTE(SUBSTITUTE(SUBSTITUTE(SUBSTITUTE(LEFT(MID(TRIM(INDEX(PASTE_ALL,27,57)),1+(LEFT(TRIM(INDEX(PASTE_ALL,27,57)),1)="-"),999),LEN(MID(TRIM(INDEX(PASTE_ALL,27,57)),1+(LEFT(TRIM(INDEX(PASTE_ALL,27,57)),1)="-"),999))-(RIGHT(MID(TRIM(INDEX(PASTE_ALL,27,57)),1+(LEFT(TRIM(INDEX(PASTE_ALL,27,57)),1)="-"),999),1)="%")),"0",""),"1",""),"2",""),"3",""),"4",""),"5",""),"6",""),"7",""),"8",""),"9",""),".",""),",","")=""),2,1))),1)</f>
        <v/>
      </c>
      <c r="CD76">
        <f>IFERROR(IF(ISNUMBER(INDEX(PASTE_ALL,27,58)),2,IF(TRIM(INDEX(PASTE_ALL,27,58))="",0,IF(AND(LEFT(MID(TRIM(INDEX(PASTE_ALL,27,58)),1+(LEFT(TRIM(INDEX(PASTE_ALL,27,58)),1)="-"),999),LEN(MID(TRIM(INDEX(PASTE_ALL,27,58)),1+(LEFT(TRIM(INDEX(PASTE_ALL,27,58)),1)="-"),999))-(RIGHT(MID(TRIM(INDEX(PASTE_ALL,27,58)),1+(LEFT(TRIM(INDEX(PASTE_ALL,27,58)),1)="-"),999),1)="%"))&lt;&gt;"",SUBSTITUTE(SUBSTITUTE(SUBSTITUTE(SUBSTITUTE(SUBSTITUTE(SUBSTITUTE(SUBSTITUTE(SUBSTITUTE(SUBSTITUTE(SUBSTITUTE(SUBSTITUTE(SUBSTITUTE(LEFT(MID(TRIM(INDEX(PASTE_ALL,27,58)),1+(LEFT(TRIM(INDEX(PASTE_ALL,27,58)),1)="-"),999),LEN(MID(TRIM(INDEX(PASTE_ALL,27,58)),1+(LEFT(TRIM(INDEX(PASTE_ALL,27,58)),1)="-"),999))-(RIGHT(MID(TRIM(INDEX(PASTE_ALL,27,58)),1+(LEFT(TRIM(INDEX(PASTE_ALL,27,58)),1)="-"),999),1)="%")),"0",""),"1",""),"2",""),"3",""),"4",""),"5",""),"6",""),"7",""),"8",""),"9",""),".",""),",","")=""),2,1))),1)</f>
        <v/>
      </c>
      <c r="CE76">
        <f>IFERROR(IF(ISNUMBER(INDEX(PASTE_ALL,27,59)),2,IF(TRIM(INDEX(PASTE_ALL,27,59))="",0,IF(AND(LEFT(MID(TRIM(INDEX(PASTE_ALL,27,59)),1+(LEFT(TRIM(INDEX(PASTE_ALL,27,59)),1)="-"),999),LEN(MID(TRIM(INDEX(PASTE_ALL,27,59)),1+(LEFT(TRIM(INDEX(PASTE_ALL,27,59)),1)="-"),999))-(RIGHT(MID(TRIM(INDEX(PASTE_ALL,27,59)),1+(LEFT(TRIM(INDEX(PASTE_ALL,27,59)),1)="-"),999),1)="%"))&lt;&gt;"",SUBSTITUTE(SUBSTITUTE(SUBSTITUTE(SUBSTITUTE(SUBSTITUTE(SUBSTITUTE(SUBSTITUTE(SUBSTITUTE(SUBSTITUTE(SUBSTITUTE(SUBSTITUTE(SUBSTITUTE(LEFT(MID(TRIM(INDEX(PASTE_ALL,27,59)),1+(LEFT(TRIM(INDEX(PASTE_ALL,27,59)),1)="-"),999),LEN(MID(TRIM(INDEX(PASTE_ALL,27,59)),1+(LEFT(TRIM(INDEX(PASTE_ALL,27,59)),1)="-"),999))-(RIGHT(MID(TRIM(INDEX(PASTE_ALL,27,59)),1+(LEFT(TRIM(INDEX(PASTE_ALL,27,59)),1)="-"),999),1)="%")),"0",""),"1",""),"2",""),"3",""),"4",""),"5",""),"6",""),"7",""),"8",""),"9",""),".",""),",","")=""),2,1))),1)</f>
        <v/>
      </c>
      <c r="CF76">
        <f>IFERROR(IF(ISNUMBER(INDEX(PASTE_ALL,27,60)),2,IF(TRIM(INDEX(PASTE_ALL,27,60))="",0,IF(AND(LEFT(MID(TRIM(INDEX(PASTE_ALL,27,60)),1+(LEFT(TRIM(INDEX(PASTE_ALL,27,60)),1)="-"),999),LEN(MID(TRIM(INDEX(PASTE_ALL,27,60)),1+(LEFT(TRIM(INDEX(PASTE_ALL,27,60)),1)="-"),999))-(RIGHT(MID(TRIM(INDEX(PASTE_ALL,27,60)),1+(LEFT(TRIM(INDEX(PASTE_ALL,27,60)),1)="-"),999),1)="%"))&lt;&gt;"",SUBSTITUTE(SUBSTITUTE(SUBSTITUTE(SUBSTITUTE(SUBSTITUTE(SUBSTITUTE(SUBSTITUTE(SUBSTITUTE(SUBSTITUTE(SUBSTITUTE(SUBSTITUTE(SUBSTITUTE(LEFT(MID(TRIM(INDEX(PASTE_ALL,27,60)),1+(LEFT(TRIM(INDEX(PASTE_ALL,27,60)),1)="-"),999),LEN(MID(TRIM(INDEX(PASTE_ALL,27,60)),1+(LEFT(TRIM(INDEX(PASTE_ALL,27,60)),1)="-"),999))-(RIGHT(MID(TRIM(INDEX(PASTE_ALL,27,60)),1+(LEFT(TRIM(INDEX(PASTE_ALL,27,60)),1)="-"),999),1)="%")),"0",""),"1",""),"2",""),"3",""),"4",""),"5",""),"6",""),"7",""),"8",""),"9",""),".",""),",","")=""),2,1))),1)</f>
        <v/>
      </c>
      <c r="DA76" t="n">
        <v>72</v>
      </c>
      <c r="DB76">
        <f>IF($B$37=0,"",IFERROR(TRIM(SUBSTITUTE(SUBSTITUTE(SUBSTITUTE(SUBSTITUTE(INDEX(PASTE_ALL,72,$B$37)," "," "),CHAR(9)," "),CHAR(10)," "),CHAR(13)," ")),""))</f>
        <v/>
      </c>
      <c r="DC76">
        <f>IF(AND(72&gt;HEADER_ROW,UPPER(DB76)="LEGEND"),1,0)</f>
        <v/>
      </c>
      <c r="DE76" t="n">
        <v>72</v>
      </c>
      <c r="DF76">
        <f>HEADER_ROW+$DE76</f>
        <v/>
      </c>
      <c r="DG76">
        <f>IF(AND($DF76&lt;=1000,$DF76&lt;$B$8),1,0)</f>
        <v/>
      </c>
      <c r="DH76">
        <f>IF($DG76=1,IFERROR(INDEX($DB$5:$DB$1004,$DF76),""),"")</f>
        <v/>
      </c>
      <c r="DI76">
        <f>IF(AND($DG76=1,$DH76&lt;&gt;""),IFERROR(SUBSTITUTE(SUBSTITUTE(TRIM(SUBSTITUTE(SUBSTITUTE(SUBSTITUTE(SUBSTITUTE(IFERROR(INDEX(PASTE_ALL,$DF76,1)&amp;"","")&amp;"␟"&amp;IFERROR(INDEX(PASTE_ALL,$DF76,2)&amp;"","")&amp;"␟"&amp;IFERROR(INDEX(PASTE_ALL,$DF76,3)&amp;"","")&amp;"␟"&amp;IFERROR(INDEX(PASTE_ALL,$DF76,4)&amp;"","")&amp;"␟"&amp;IFERROR(INDEX(PASTE_ALL,$DF76,5)&amp;"","")&amp;"␟"&amp;IFERROR(INDEX(PASTE_ALL,$DF76,6)&amp;"","")&amp;"␟"&amp;IFERROR(INDEX(PASTE_ALL,$DF76,7)&amp;"","")&amp;"␟"&amp;IFERROR(INDEX(PASTE_ALL,$DF76,8)&amp;"","")&amp;"␟"&amp;IFERROR(INDEX(PASTE_ALL,$DF76,9)&amp;"","")&amp;"␟"&amp;IFERROR(INDEX(PASTE_ALL,$DF76,10)&amp;"","")&amp;"␟"&amp;IFERROR(INDEX(PASTE_ALL,$DF76,11)&amp;"","")&amp;"␟"&amp;IFERROR(INDEX(PASTE_ALL,$DF76,12)&amp;"","")&amp;"␟"&amp;IFERROR(INDEX(PASTE_ALL,$DF76,13)&amp;"","")&amp;"␟"&amp;IFERROR(INDEX(PASTE_ALL,$DF76,14)&amp;"","")&amp;"␟"&amp;IFERROR(INDEX(PASTE_ALL,$DF76,15)&amp;"","")&amp;"␟"&amp;IFERROR(INDEX(PASTE_ALL,$DF76,16)&amp;"","")&amp;"␟"&amp;IFERROR(INDEX(PASTE_ALL,$DF76,17)&amp;"","")&amp;"␟"&amp;IFERROR(INDEX(PASTE_ALL,$DF76,18)&amp;"","")&amp;"␟"&amp;IFERROR(INDEX(PASTE_ALL,$DF76,19)&amp;"","")&amp;"␟"&amp;IFERROR(INDEX(PASTE_ALL,$DF76,20)&amp;"","")&amp;"␟"&amp;IFERROR(INDEX(PASTE_ALL,$DF76,21)&amp;"","")&amp;"␟"&amp;IFERROR(INDEX(PASTE_ALL,$DF76,22)&amp;"","")&amp;"␟"&amp;IFERROR(INDEX(PASTE_ALL,$DF76,23)&amp;"","")&amp;"␟"&amp;IFERROR(INDEX(PASTE_ALL,$DF76,24)&amp;"","")&amp;"␟"&amp;IFERROR(INDEX(PASTE_ALL,$DF76,25)&amp;"","")&amp;"␟"&amp;IFERROR(INDEX(PASTE_ALL,$DF76,26)&amp;"","")&amp;"␟"&amp;IFERROR(INDEX(PASTE_ALL,$DF76,27)&amp;"","")&amp;"␟"&amp;IFERROR(INDEX(PASTE_ALL,$DF76,28)&amp;"","")&amp;"␟"&amp;IFERROR(INDEX(PASTE_ALL,$DF76,29)&amp;"","")&amp;"␟"&amp;IFERROR(INDEX(PASTE_ALL,$DF76,30)&amp;"","")&amp;"␟"&amp;IFERROR(INDEX(PASTE_ALL,$DF76,31)&amp;"","")&amp;"␟"&amp;IFERROR(INDEX(PASTE_ALL,$DF76,32)&amp;"","")&amp;"␟"&amp;IFERROR(INDEX(PASTE_ALL,$DF76,33)&amp;"","")&amp;"␟"&amp;IFERROR(INDEX(PASTE_ALL,$DF76,34)&amp;"","")&amp;"␟"&amp;IFERROR(INDEX(PASTE_ALL,$DF76,35)&amp;"","")&amp;"␟"&amp;IFERROR(INDEX(PASTE_ALL,$DF76,36)&amp;"","")&amp;"␟"&amp;IFERROR(INDEX(PASTE_ALL,$DF76,37)&amp;"","")&amp;"␟"&amp;IFERROR(INDEX(PASTE_ALL,$DF76,38)&amp;"","")&amp;"␟"&amp;IFERROR(INDEX(PASTE_ALL,$DF76,39)&amp;"","")&amp;"␟"&amp;IFERROR(INDEX(PASTE_ALL,$DF76,40)&amp;"","")&amp;"␟"&amp;IFERROR(INDEX(PASTE_ALL,$DF76,41)&amp;"","")&amp;"␟"&amp;IFERROR(INDEX(PASTE_ALL,$DF76,42)&amp;"","")&amp;"␟"&amp;IFERROR(INDEX(PASTE_ALL,$DF76,43)&amp;"","")&amp;"␟"&amp;IFERROR(INDEX(PASTE_ALL,$DF76,44)&amp;"","")&amp;"␟"&amp;IFERROR(INDEX(PASTE_ALL,$DF76,45)&amp;"","")&amp;"␟"&amp;IFERROR(INDEX(PASTE_ALL,$DF76,46)&amp;"","")&amp;"␟"&amp;IFERROR(INDEX(PASTE_ALL,$DF76,47)&amp;"","")&amp;"␟"&amp;IFERROR(INDEX(PASTE_ALL,$DF76,48)&amp;"","")&amp;"␟"&amp;IFERROR(INDEX(PASTE_ALL,$DF76,49)&amp;"","")&amp;"␟"&amp;IFERROR(INDEX(PASTE_ALL,$DF76,50)&amp;"","")&amp;"␟"&amp;IFERROR(INDEX(PASTE_ALL,$DF76,51)&amp;"","")&amp;"␟"&amp;IFERROR(INDEX(PASTE_ALL,$DF76,52)&amp;"","")&amp;"␟"&amp;IFERROR(INDEX(PASTE_ALL,$DF76,53)&amp;"","")&amp;"␟"&amp;IFERROR(INDEX(PASTE_ALL,$DF76,54)&amp;"","")&amp;"␟"&amp;IFERROR(INDEX(PASTE_ALL,$DF76,55)&amp;"","")&amp;"␟"&amp;IFERROR(INDEX(PASTE_ALL,$DF76,56)&amp;"","")&amp;"␟"&amp;IFERROR(INDEX(PASTE_ALL,$DF76,57)&amp;"","")&amp;"␟"&amp;IFERROR(INDEX(PASTE_ALL,$DF76,58)&amp;"","")&amp;"␟"&amp;IFERROR(INDEX(PASTE_ALL,$DF76,59)&amp;"","")&amp;"␟"&amp;IFERROR(INDEX(PASTE_ALL,$DF76,60)&amp;"","")," "," "),CHAR(9)," "),CHAR(10)," "),CHAR(13)," "))," ␟","␟"),"␟ ","␟"),"#"&amp;$DE76),"")</f>
        <v/>
      </c>
      <c r="DJ76">
        <f>IF($DI76="",0,IF(SUMPRODUCT(--EXACT($DI$4:DI75,$DI76))&gt;0,1,0))</f>
        <v/>
      </c>
      <c r="DK76">
        <f>IF(AND($DI76&lt;&gt;"",$DJ76=0),1,0)</f>
        <v/>
      </c>
      <c r="DL76">
        <f>DL75+$DK76</f>
        <v/>
      </c>
      <c r="DM76">
        <f>IF(AND($DK76=1,$DL76&lt;=600),1,0)</f>
        <v/>
      </c>
      <c r="DN76">
        <f>IF($DM76=0,"",IF($L$6=0,"",IFERROR(IF(ISNUMBER(INDEX(PASTE_ALL,$DF76,$L$6)),INDEX(PASTE_ALL,$DF76,$L$6),TRIM(SUBSTITUTE(SUBSTITUTE(SUBSTITUTE(SUBSTITUTE(INDEX(PASTE_ALL,$DF76,$L$6)," "," "),CHAR(9)," "),CHAR(10)," "),CHAR(13)," "))),"")))</f>
        <v/>
      </c>
      <c r="DO76">
        <f>IF($DM76=0,"",IF($L$7=0,"",IFERROR(IF(ISNUMBER(INDEX(PASTE_ALL,$DF76,$L$7)),INDEX(PASTE_ALL,$DF76,$L$7),TRIM(SUBSTITUTE(SUBSTITUTE(SUBSTITUTE(SUBSTITUTE(INDEX(PASTE_ALL,$DF76,$L$7)," "," "),CHAR(9)," "),CHAR(10)," "),CHAR(13)," "))),"")))</f>
        <v/>
      </c>
      <c r="DP76">
        <f>IF($DM76=0,"",IF($L$8=0,"",IFERROR(IF(ISNUMBER(INDEX(PASTE_ALL,$DF76,$L$8)),INDEX(PASTE_ALL,$DF76,$L$8),TRIM(SUBSTITUTE(SUBSTITUTE(SUBSTITUTE(SUBSTITUTE(INDEX(PASTE_ALL,$DF76,$L$8)," "," "),CHAR(9)," "),CHAR(10)," "),CHAR(13)," "))),"")))</f>
        <v/>
      </c>
      <c r="DQ76">
        <f>IF($DM76=0,"",IF($L$9=0,"",IFERROR(IF(ISNUMBER(INDEX(PASTE_ALL,$DF76,$L$9)),INDEX(PASTE_ALL,$DF76,$L$9),TRIM(SUBSTITUTE(SUBSTITUTE(SUBSTITUTE(SUBSTITUTE(INDEX(PASTE_ALL,$DF76,$L$9)," "," "),CHAR(9)," "),CHAR(10)," "),CHAR(13)," "))),"")))</f>
        <v/>
      </c>
      <c r="DR76">
        <f>IF($DM76=0,"",IF($L$10=0,"",IFERROR(IF(ISNUMBER(INDEX(PASTE_ALL,$DF76,$L$10)),INDEX(PASTE_ALL,$DF76,$L$10),TRIM(SUBSTITUTE(SUBSTITUTE(SUBSTITUTE(SUBSTITUTE(INDEX(PASTE_ALL,$DF76,$L$10)," "," "),CHAR(9)," "),CHAR(10)," "),CHAR(13)," "))),"")))</f>
        <v/>
      </c>
      <c r="DS76">
        <f>IF($DM76=0,"",IF($L$11=0,"",IFERROR(IF(ISNUMBER(INDEX(PASTE_ALL,$DF76,$L$11)),INDEX(PASTE_ALL,$DF76,$L$11),TRIM(SUBSTITUTE(SUBSTITUTE(SUBSTITUTE(SUBSTITUTE(INDEX(PASTE_ALL,$DF76,$L$11)," "," "),CHAR(9)," "),CHAR(10)," "),CHAR(13)," "))),"")))</f>
        <v/>
      </c>
      <c r="DT76">
        <f>IF($DM76=0,"",IF($L$12=0,"",IFERROR(IF(ISNUMBER(INDEX(PASTE_ALL,$DF76,$L$12)),INDEX(PASTE_ALL,$DF76,$L$12),TRIM(SUBSTITUTE(SUBSTITUTE(SUBSTITUTE(SUBSTITUTE(INDEX(PASTE_ALL,$DF76,$L$12)," "," "),CHAR(9)," "),CHAR(10)," "),CHAR(13)," "))),"")))</f>
        <v/>
      </c>
      <c r="DU76">
        <f>IF($DM76=0,"",IF($L$13=0,"",IFERROR(IF(ISNUMBER(INDEX(PASTE_ALL,$DF76,$L$13)),INDEX(PASTE_ALL,$DF76,$L$13),TRIM(SUBSTITUTE(SUBSTITUTE(SUBSTITUTE(SUBSTITUTE(INDEX(PASTE_ALL,$DF76,$L$13)," "," "),CHAR(9)," "),CHAR(10)," "),CHAR(13)," "))),"")))</f>
        <v/>
      </c>
      <c r="DV76">
        <f>IF($DM76=0,"",IF($L$14=0,"",IFERROR(IF(ISNUMBER(INDEX(PASTE_ALL,$DF76,$L$14)),INDEX(PASTE_ALL,$DF76,$L$14),TRIM(SUBSTITUTE(SUBSTITUTE(SUBSTITUTE(SUBSTITUTE(INDEX(PASTE_ALL,$DF76,$L$14)," "," "),CHAR(9)," "),CHAR(10)," "),CHAR(13)," "))),"")))</f>
        <v/>
      </c>
      <c r="DW76">
        <f>IF($DM76=0,"",IF($L$15=0,"",IFERROR(IF(ISNUMBER(INDEX(PASTE_ALL,$DF76,$L$15)),INDEX(PASTE_ALL,$DF76,$L$15),IF(SUMPRODUCT(--ISNUMBER(FIND({"A","B","C","D","E","F","G","H","I","J","K","L","M","N","O","P","Q","R","S","T","U","V","W","X","Y","Z","0","1","2","3","4","5","6","7","8","9"},UPPER(TRIM(SUBSTITUTE(SUBSTITUTE(SUBSTITUTE(SUBSTITUTE(INDEX(PASTE_ALL,$DF76,$L$15)," "," "),CHAR(9)," "),CHAR(10)," "),CHAR(13)," "))))))&gt;0,TRIM(SUBSTITUTE(SUBSTITUTE(SUBSTITUTE(SUBSTITUTE(INDEX(PASTE_ALL,$DF76,$L$15)," "," "),CHAR(9)," "),CHAR(10)," "),CHAR(13)," ")),"")),"")))</f>
        <v/>
      </c>
      <c r="DX76">
        <f>IF($DM76=0,"",IF($L$16=0,"",IFERROR(IF(ISNUMBER(INDEX(PASTE_ALL,$DF76,$L$16)),INDEX(PASTE_ALL,$DF76,$L$16),SUBSTITUTE(SUBSTITUTE(TRIM(SUBSTITUTE(SUBSTITUTE(SUBSTITUTE(SUBSTITUTE(INDEX(PASTE_ALL,$DF76,$L$16)," "," "),CHAR(9)," "),CHAR(10)," "),CHAR(13)," ")),",",""),"%","")),"")))</f>
        <v/>
      </c>
      <c r="DY76">
        <f>IF($DM76=0,"",IFERROR(IF(ISNUMBER($DX76),$DX76,IF($DX76="","",IF(TRIM($DX76)="",0,IF(AND(AND(SUBSTITUTE(SUBSTITUTE(SUBSTITUTE(SUBSTITUTE(SUBSTITUTE(SUBSTITUTE(SUBSTITUTE(SUBSTITUTE(SUBSTITUTE(SUBSTITUTE(SUBSTITUTE(SUBSTITUTE(SUBSTITUTE(SUBSTITUTE(UPPER(TRIM($DX76)),"0",""),"1",""),"2",""),"3",""),"4",""),"5",""),"6",""),"7",""),"8",""),"9",""),".",""),"+",""),"-",""),"E","")="",LEN(SUBSTITUTE(SUBSTITUTE(MID(UPPER(TRIM($DX76)),1+OR(LEFT(UPPER(TRIM($DX76)),1)="+",LEFT(UPPER(TRIM($DX76)),1)="-"),999),"E+","E"),"E-","E"))=LEN(SUBSTITUTE(SUBSTITUTE(SUBSTITUTE(SUBSTITUTE(MID(UPPER(TRIM($DX76)),1+OR(LEFT(UPPER(TRIM($DX76)),1)="+",LEFT(UPPER(TRIM($DX76)),1)="-"),999),"E+","E"),"E-","E"),"+",""),"-","")),LEN(UPPER(TRIM($DX76)))-LEN(SUBSTITUTE(UPPER(TRIM($DX76)),"E",""))&lt;2,LEN(UPPER(TRIM($DX76)))-LEN(SUBSTITUTE(UPPER(TRIM($DX76)),".",""))&lt;2,IFERROR(FIND(".",UPPER(TRIM($DX76))),0)&lt;IFERROR(FIND("E",UPPER(TRIM($DX76))),999)),ISNUMBER(VALUE(TRIM($DX76)))),VALUE(TRIM($DX76)),"")))),""))</f>
        <v/>
      </c>
      <c r="DZ76">
        <f>IF($DM76=0,"",IF($L$17=0,"",IFERROR(IF(ISNUMBER(INDEX(PASTE_ALL,$DF76,$L$17)),INDEX(PASTE_ALL,$DF76,$L$17),SUBSTITUTE(SUBSTITUTE(TRIM(SUBSTITUTE(SUBSTITUTE(SUBSTITUTE(SUBSTITUTE(INDEX(PASTE_ALL,$DF76,$L$17)," "," "),CHAR(9)," "),CHAR(10)," "),CHAR(13)," ")),",",""),"%","")),"")))</f>
        <v/>
      </c>
      <c r="EA76">
        <f>IF($DM76=0,"",IFERROR(IF(ISNUMBER($DZ76),$DZ76,IF($DZ76="","",IF(TRIM($DZ76)="",0,IF(AND(AND(SUBSTITUTE(SUBSTITUTE(SUBSTITUTE(SUBSTITUTE(SUBSTITUTE(SUBSTITUTE(SUBSTITUTE(SUBSTITUTE(SUBSTITUTE(SUBSTITUTE(SUBSTITUTE(SUBSTITUTE(SUBSTITUTE(SUBSTITUTE(UPPER(TRIM($DZ76)),"0",""),"1",""),"2",""),"3",""),"4",""),"5",""),"6",""),"7",""),"8",""),"9",""),".",""),"+",""),"-",""),"E","")="",LEN(SUBSTITUTE(SUBSTITUTE(MID(UPPER(TRIM($DZ76)),1+OR(LEFT(UPPER(TRIM($DZ76)),1)="+",LEFT(UPPER(TRIM($DZ76)),1)="-"),999),"E+","E"),"E-","E"))=LEN(SUBSTITUTE(SUBSTITUTE(SUBSTITUTE(SUBSTITUTE(MID(UPPER(TRIM($DZ76)),1+OR(LEFT(UPPER(TRIM($DZ76)),1)="+",LEFT(UPPER(TRIM($DZ76)),1)="-"),999),"E+","E"),"E-","E"),"+",""),"-","")),LEN(UPPER(TRIM($DZ76)))-LEN(SUBSTITUTE(UPPER(TRIM($DZ76)),"E",""))&lt;2,LEN(UPPER(TRIM($DZ76)))-LEN(SUBSTITUTE(UPPER(TRIM($DZ76)),".",""))&lt;2,IFERROR(FIND(".",UPPER(TRIM($DZ76))),0)&lt;IFERROR(FIND("E",UPPER(TRIM($DZ76))),999)),ISNUMBER(VALUE(TRIM($DZ76)))),VALUE(TRIM($DZ76)),"")))),""))</f>
        <v/>
      </c>
      <c r="EB76">
        <f>IF($DM76=0,"",IF($L$18=0,"",IFERROR(IF(UPPER(TRIM(SUBSTITUTE(SUBSTITUTE(SUBSTITUTE(SUBSTITUTE(INDEX(PASTE_ALL,$DF76,$L$18)," "," "),CHAR(9)," "),CHAR(10)," "),CHAR(13)," ")))="READY","Ready",IF(UPPER(TRIM(SUBSTITUTE(SUBSTITUTE(SUBSTITUTE(SUBSTITUTE(INDEX(PASTE_ALL,$DF76,$L$18)," "," "),CHAR(9)," "),CHAR(10)," "),CHAR(13)," ")))="PM","PM",IF(OR(UPPER(TRIM(SUBSTITUTE(SUBSTITUTE(SUBSTITUTE(SUBSTITUTE(INDEX(PASTE_ALL,$DF76,$L$18)," "," "),CHAR(9)," "),CHAR(10)," "),CHAR(13)," ")))="OT",UPPER(TRIM(SUBSTITUTE(SUBSTITUTE(SUBSTITUTE(SUBSTITUTE(INDEX(PASTE_ALL,$DF76,$L$18)," "," "),CHAR(9)," "),CHAR(10)," "),CHAR(13)," ")))="OVERTIME",UPPER(TRIM(SUBSTITUTE(SUBSTITUTE(SUBSTITUTE(SUBSTITUTE(INDEX(PASTE_ALL,$DF76,$L$18)," "," "),CHAR(9)," "),CHAR(10)," "),CHAR(13)," ")))="TRIAL"),"OT",TRIM(SUBSTITUTE(SUBSTITUTE(SUBSTITUTE(SUBSTITUTE(INDEX(PASTE_ALL,$DF76,$L$18)," "," "),CHAR(9)," "),CHAR(10)," "),CHAR(13)," "))))),"")))</f>
        <v/>
      </c>
      <c r="EC76">
        <f>IF($DM76=0,"",IF($L$19=0,"",IFERROR(IF(ISNUMBER(INDEX(PASTE_ALL,$DF76,$L$19)),INDEX(PASTE_ALL,$DF76,$L$19),TRIM(SUBSTITUTE(SUBSTITUTE(SUBSTITUTE(SUBSTITUTE(INDEX(PASTE_ALL,$DF76,$L$19)," "," "),CHAR(9)," "),CHAR(10)," "),CHAR(13)," "))),"")))</f>
        <v/>
      </c>
      <c r="ED76">
        <f>IF($DM76=0,"",MATCH(1,INDEX(EXACT($DH$5:DH76,$DH76)*$DM$5:DM76,0),0))</f>
        <v/>
      </c>
      <c r="EE76">
        <f>IF($DM76=0,0,IF($ED76=$DE76,1,0))</f>
        <v/>
      </c>
      <c r="EF76">
        <f>EF75+$EE76</f>
        <v/>
      </c>
      <c r="EG76">
        <f>IF($DM76=0,"",INDEX($EF$5:$EF$1003,$ED76))</f>
        <v/>
      </c>
      <c r="EH76">
        <f>IF($DM76=0,"",IF($DO76&lt;&gt;"","",IFERROR(LOOKUP(2,1/(($EG$4:EG75=$EG76)*($DO$4:DO75&lt;&gt;"")),$DO$4:DO75),"")))</f>
        <v/>
      </c>
      <c r="EI76">
        <f>IF($DM76=0,"",IF($DO76&lt;&gt;"",$DO76,$EH76))</f>
        <v/>
      </c>
      <c r="EJ76">
        <f>IF($DM76=0,"",IF($EI76="",0,IF(OR(ISNUMBER($EI76),AND(AND(SUBSTITUTE(SUBSTITUTE(SUBSTITUTE(SUBSTITUTE(SUBSTITUTE(SUBSTITUTE(SUBSTITUTE(SUBSTITUTE(SUBSTITUTE(SUBSTITUTE(SUBSTITUTE(SUBSTITUTE(SUBSTITUTE(SUBSTITUTE(UPPER($EI76),"0",""),"1",""),"2",""),"3",""),"4",""),"5",""),"6",""),"7",""),"8",""),"9",""),".",""),"+",""),"-",""),"E","")="",LEN(SUBSTITUTE(SUBSTITUTE(MID(UPPER($EI76),1+OR(LEFT(UPPER($EI76),1)="+",LEFT(UPPER($EI76),1)="-"),999),"E+","E"),"E-","E"))=LEN(SUBSTITUTE(SUBSTITUTE(SUBSTITUTE(SUBSTITUTE(MID(UPPER($EI76),1+OR(LEFT(UPPER($EI76),1)="+",LEFT(UPPER($EI76),1)="-"),999),"E+","E"),"E-","E"),"+",""),"-","")),LEN(UPPER($EI76))-LEN(SUBSTITUTE(UPPER($EI76),"E",""))&lt;2,LEN(UPPER($EI76))-LEN(SUBSTITUTE(UPPER($EI76),".",""))&lt;2,IFERROR(FIND(".",UPPER($EI76)),0)&lt;IFERROR(FIND("E",UPPER($EI76)),999)),ISNUMBER(VALUE($EI76)))),1,2)))</f>
        <v/>
      </c>
      <c r="EK76">
        <f>IF($DM76=0,"",IF($EJ76=1,IF(ISNUMBER($EI76),$EI76,VALUE($EI76)),IF($EJ76=2,$DE76,0)))</f>
        <v/>
      </c>
      <c r="EL76">
        <f>IF($DM76=0,"",COUNTIF($EG$5:$EG$1003,"&lt;"&amp;$EG76)+SUMPRODUCT(($EG$5:$EG$1003=$EG76)*(($EJ$5:$EJ$1003&lt;$EJ76)+($EJ$5:$EJ$1003=$EJ76)*(($EK$5:$EK$1003&lt;$EK76)+($EK$5:$EK$1003=$EK76)*($DE$5:$DE$1003&lt;$DE76))))+1)</f>
        <v/>
      </c>
      <c r="EM76">
        <f>IF($DM76=0,"",$EL76+$EG76-1)</f>
        <v/>
      </c>
      <c r="EN76">
        <f>IF($DM76=0,0,IFERROR(MATCH(1,INDEX(--(TRIM(SUBSTITUTE(SUBSTITUTE(SUBSTITUTE(SUBSTITUTE(LINES_NAME&amp;""," "," "),CHAR(9)," "),CHAR(10)," "),CHAR(13)," "))=$DH76),0),0),0))</f>
        <v/>
      </c>
      <c r="EO76">
        <f>IF($EN76=0,0,IF(OR(UPPER(TRIM(INDEX(LINES_SCHEDULED,$EN76)&amp;""))="YES",UPPER(TRIM(INDEX(LINES_SCHEDULED,$EN76)&amp;""))="Y",UPPER(TRIM(INDEX(LINES_SCHEDULED,$EN76)&amp;""))="X"),1,0))</f>
        <v/>
      </c>
      <c r="EP76">
        <f>IF($DM76=0,"",IF(COUNTIFS($EG$5:$EG$1003,$EG76,$EB$5:$EB$1003,"Ready")&gt;0,"READY",IF(COUNTIFS($EG$5:$EG$1003,$EG76,$EB$5:$EB$1003,"PM")&gt;0,"PM",IF(COUNTIFS($EG$5:$EG$1003,$EG76,$EB$5:$EB$1003,"OT")&gt;0,"OT",""))))</f>
        <v/>
      </c>
      <c r="EQ76">
        <f>IF($EN76=0,"",UPPER(TRIM(INDEX(LINES_STATUS,$EN76)&amp;"")))</f>
        <v/>
      </c>
      <c r="ER76">
        <f>IF($DM76=0,"",IF(OR($EQ76="READY",$EQ76="PM",$EQ76="OT"),$EQ76,$EP76))</f>
        <v/>
      </c>
      <c r="ES76">
        <f>IF($DM76=0,"",IF(AND($DV76&lt;&gt;"",UPPER($DV76)&lt;&gt;"N"),"allergen",IF(ISNUMBER(SEARCH("oil",$DQ76)),"oil",IF(OR(EXACT($DS76,"A662"),EXACT($DS76,"A624")),"bulk",""))))</f>
        <v/>
      </c>
      <c r="ET76">
        <f>IF($DM76=0,"",IF(OR($EA76="",$EA76=0),"",$EA76/100))</f>
        <v/>
      </c>
      <c r="EU76">
        <f>IF(OR($ET76="",$DY76=""),"",INT($DY76*(1-$ET76)+0.5))</f>
        <v/>
      </c>
      <c r="EW76" t="n">
        <v>72</v>
      </c>
      <c r="EX76">
        <f>IFERROR(MATCH($EW76,$EM$5:$EM$1003,0),0)</f>
        <v/>
      </c>
      <c r="EY76">
        <f>IF($EW76&gt;$B$12,"",IF($EX76&gt;0,"row","spacer"))</f>
        <v/>
      </c>
      <c r="EZ76">
        <f>IF(AND($EY76="row",$EY75&lt;&gt;"row"),1,0)</f>
        <v/>
      </c>
      <c r="FA76">
        <f>IF(AND($EY76="row",$EY77&lt;&gt;"row"),1,0)</f>
        <v/>
      </c>
      <c r="FB76">
        <f>IF($EZ76=1,IFERROR(IF(ISNUMBER(INDEX(PASTE_ALL,INDEX($DF$5:$DF$1003,$EX76),$B$37)),INDEX(PASTE_ALL,INDEX($DF$5:$DF$1003,$EX76),$B$37),INDEX($DH$5:$DH$1003,$EX76)),INDEX($DH$5:$DH$1003,$EX76)),"")</f>
        <v/>
      </c>
      <c r="FC76">
        <f>IF($EY76="row",INDEX($ER$5:$ER$1003,$EX76),"")</f>
        <v/>
      </c>
      <c r="FD76">
        <f>IF($EY76="row",INDEX($DN$5:$DN$1003,$EX76),"")</f>
        <v/>
      </c>
      <c r="FE76">
        <f>IF($EY76="row",INDEX($DO$5:$DO$1003,$EX76),"")</f>
        <v/>
      </c>
      <c r="FF76">
        <f>IF($EY76="row",INDEX($DP$5:$DP$1003,$EX76),"")</f>
        <v/>
      </c>
      <c r="FG76">
        <f>IF($EY76="row",INDEX($DQ$5:$DQ$1003,$EX76),"")</f>
        <v/>
      </c>
      <c r="FH76">
        <f>IF($EY76="row",INDEX($DR$5:$DR$1003,$EX76),"")</f>
        <v/>
      </c>
      <c r="FI76">
        <f>IF($EY76="row",INDEX($DS$5:$DS$1003,$EX76),"")</f>
        <v/>
      </c>
      <c r="FJ76">
        <f>IF($EY76="row",INDEX($DT$5:$DT$1003,$EX76),"")</f>
        <v/>
      </c>
      <c r="FK76">
        <f>IF($EY76="row",INDEX($DU$5:$DU$1003,$EX76),"")</f>
        <v/>
      </c>
      <c r="FL76">
        <f>IF($EY76="row",INDEX($DV$5:$DV$1003,$EX76),"")</f>
        <v/>
      </c>
      <c r="FM76">
        <f>IF($EY76="row",INDEX($DW$5:$DW$1003,$EX76),"")</f>
        <v/>
      </c>
      <c r="FN76">
        <f>IF($EY76="row",INDEX($DY$5:$DY$1003,$EX76),"")</f>
        <v/>
      </c>
      <c r="FO76">
        <f>IF($EY76="row",INDEX($EA$5:$EA$1003,$EX76),"")</f>
        <v/>
      </c>
      <c r="FP76">
        <f>IF($EY76="row",INDEX($EC$5:$EC$1003,$EX76),"")</f>
        <v/>
      </c>
      <c r="FQ76">
        <f>IF($EY76="row",INDEX($ET$5:$ET$1003,$EX76),"")</f>
        <v/>
      </c>
      <c r="FR76">
        <f>IF($EY76="row",INDEX($EU$5:$EU$1003,$EX76),"")</f>
        <v/>
      </c>
      <c r="FS76">
        <f>IF(AND($EY76="row",$EY75="row"),IF(OR(INDEX($DT$5:$DT$1003,$EX75)="",INDEX($DT$5:$DT$1003,$EX76)=""),"",IF(NOT(EXACT(INDEX($DT$5:$DT$1003,$EX75),INDEX($DT$5:$DT$1003,$EX76))),"S4",IF(NOT(EXACT(INDEX($DS$5:$DS$1003,$EX75),INDEX($DS$5:$DS$1003,$EX76))),"S3",IF(NOT(EXACT(INDEX($DR$5:$DR$1003,$EX75),INDEX($DR$5:$DR$1003,$EX76))),"S1 Count Change","S1")))),"")</f>
        <v/>
      </c>
      <c r="FT76">
        <f>IF($EY76="row",INDEX($ES$5:$ES$1003,$EX76),"")</f>
        <v/>
      </c>
      <c r="FU76">
        <f>IF($EY76="row",INDEX($EO$5:$EO$1003,$EX76),0)</f>
        <v/>
      </c>
      <c r="FV76">
        <f>IF($FS76="S1 Count Change",1,0)</f>
        <v/>
      </c>
      <c r="FX76" t="n">
        <v>72</v>
      </c>
      <c r="FY76">
        <f>IFERROR(MATCH($FX76,$EF$5:$EF$1003,0),0)</f>
        <v/>
      </c>
      <c r="FZ76">
        <f>IF($FY76=0,"",INDEX($DH$5:$DH$1003,$FY76))</f>
        <v/>
      </c>
      <c r="GA76">
        <f>IF($FY76=0,"",COUNTIF($EG$5:$EG$1003,$FX76))</f>
        <v/>
      </c>
      <c r="GB76">
        <f>IF($FY76=0,"",INDEX($ER$5:$ER$1003,$FY76))</f>
        <v/>
      </c>
      <c r="GC76">
        <f>IF($FY76=0,"",IF(INDEX($EO$5:$EO$1003,$FY76)=1,"Yes",""))</f>
        <v/>
      </c>
      <c r="GD76">
        <f>IF($FY76=0,"",IF(INDEX($EN$5:$EN$1003,$FY76)&gt;0,"","NOT IN YOUR LIST - type it in column A to tick it"))</f>
        <v/>
      </c>
      <c r="GE76">
        <f>IF(AND($FY76&gt;0,$GD76&lt;&gt;""),1,0)</f>
        <v/>
      </c>
      <c r="GF76">
        <f>GF75+$GE76</f>
        <v/>
      </c>
      <c r="GG76">
        <f>IFERROR(INDEX($FZ$5:$FZ$104,MATCH($FX76,$GF$5:$GF$104,0)),"")</f>
        <v/>
      </c>
    </row>
    <row r="77">
      <c r="V77" t="inlineStr">
        <is>
          <t>PERCENTCOMPLETE</t>
        </is>
      </c>
      <c r="W77" t="n">
        <v>13</v>
      </c>
      <c r="Y77">
        <f>IFERROR(IF(ISNUMBER(INDEX(PASTE_ALL,28,1)),2,IF(TRIM(INDEX(PASTE_ALL,28,1))="",0,IF(AND(LEFT(MID(TRIM(INDEX(PASTE_ALL,28,1)),1+(LEFT(TRIM(INDEX(PASTE_ALL,28,1)),1)="-"),999),LEN(MID(TRIM(INDEX(PASTE_ALL,28,1)),1+(LEFT(TRIM(INDEX(PASTE_ALL,28,1)),1)="-"),999))-(RIGHT(MID(TRIM(INDEX(PASTE_ALL,28,1)),1+(LEFT(TRIM(INDEX(PASTE_ALL,28,1)),1)="-"),999),1)="%"))&lt;&gt;"",SUBSTITUTE(SUBSTITUTE(SUBSTITUTE(SUBSTITUTE(SUBSTITUTE(SUBSTITUTE(SUBSTITUTE(SUBSTITUTE(SUBSTITUTE(SUBSTITUTE(SUBSTITUTE(SUBSTITUTE(LEFT(MID(TRIM(INDEX(PASTE_ALL,28,1)),1+(LEFT(TRIM(INDEX(PASTE_ALL,28,1)),1)="-"),999),LEN(MID(TRIM(INDEX(PASTE_ALL,28,1)),1+(LEFT(TRIM(INDEX(PASTE_ALL,28,1)),1)="-"),999))-(RIGHT(MID(TRIM(INDEX(PASTE_ALL,28,1)),1+(LEFT(TRIM(INDEX(PASTE_ALL,28,1)),1)="-"),999),1)="%")),"0",""),"1",""),"2",""),"3",""),"4",""),"5",""),"6",""),"7",""),"8",""),"9",""),".",""),",","")=""),2,1))),1)</f>
        <v/>
      </c>
      <c r="Z77">
        <f>IFERROR(IF(ISNUMBER(INDEX(PASTE_ALL,28,2)),2,IF(TRIM(INDEX(PASTE_ALL,28,2))="",0,IF(AND(LEFT(MID(TRIM(INDEX(PASTE_ALL,28,2)),1+(LEFT(TRIM(INDEX(PASTE_ALL,28,2)),1)="-"),999),LEN(MID(TRIM(INDEX(PASTE_ALL,28,2)),1+(LEFT(TRIM(INDEX(PASTE_ALL,28,2)),1)="-"),999))-(RIGHT(MID(TRIM(INDEX(PASTE_ALL,28,2)),1+(LEFT(TRIM(INDEX(PASTE_ALL,28,2)),1)="-"),999),1)="%"))&lt;&gt;"",SUBSTITUTE(SUBSTITUTE(SUBSTITUTE(SUBSTITUTE(SUBSTITUTE(SUBSTITUTE(SUBSTITUTE(SUBSTITUTE(SUBSTITUTE(SUBSTITUTE(SUBSTITUTE(SUBSTITUTE(LEFT(MID(TRIM(INDEX(PASTE_ALL,28,2)),1+(LEFT(TRIM(INDEX(PASTE_ALL,28,2)),1)="-"),999),LEN(MID(TRIM(INDEX(PASTE_ALL,28,2)),1+(LEFT(TRIM(INDEX(PASTE_ALL,28,2)),1)="-"),999))-(RIGHT(MID(TRIM(INDEX(PASTE_ALL,28,2)),1+(LEFT(TRIM(INDEX(PASTE_ALL,28,2)),1)="-"),999),1)="%")),"0",""),"1",""),"2",""),"3",""),"4",""),"5",""),"6",""),"7",""),"8",""),"9",""),".",""),",","")=""),2,1))),1)</f>
        <v/>
      </c>
      <c r="AA77">
        <f>IFERROR(IF(ISNUMBER(INDEX(PASTE_ALL,28,3)),2,IF(TRIM(INDEX(PASTE_ALL,28,3))="",0,IF(AND(LEFT(MID(TRIM(INDEX(PASTE_ALL,28,3)),1+(LEFT(TRIM(INDEX(PASTE_ALL,28,3)),1)="-"),999),LEN(MID(TRIM(INDEX(PASTE_ALL,28,3)),1+(LEFT(TRIM(INDEX(PASTE_ALL,28,3)),1)="-"),999))-(RIGHT(MID(TRIM(INDEX(PASTE_ALL,28,3)),1+(LEFT(TRIM(INDEX(PASTE_ALL,28,3)),1)="-"),999),1)="%"))&lt;&gt;"",SUBSTITUTE(SUBSTITUTE(SUBSTITUTE(SUBSTITUTE(SUBSTITUTE(SUBSTITUTE(SUBSTITUTE(SUBSTITUTE(SUBSTITUTE(SUBSTITUTE(SUBSTITUTE(SUBSTITUTE(LEFT(MID(TRIM(INDEX(PASTE_ALL,28,3)),1+(LEFT(TRIM(INDEX(PASTE_ALL,28,3)),1)="-"),999),LEN(MID(TRIM(INDEX(PASTE_ALL,28,3)),1+(LEFT(TRIM(INDEX(PASTE_ALL,28,3)),1)="-"),999))-(RIGHT(MID(TRIM(INDEX(PASTE_ALL,28,3)),1+(LEFT(TRIM(INDEX(PASTE_ALL,28,3)),1)="-"),999),1)="%")),"0",""),"1",""),"2",""),"3",""),"4",""),"5",""),"6",""),"7",""),"8",""),"9",""),".",""),",","")=""),2,1))),1)</f>
        <v/>
      </c>
      <c r="AB77">
        <f>IFERROR(IF(ISNUMBER(INDEX(PASTE_ALL,28,4)),2,IF(TRIM(INDEX(PASTE_ALL,28,4))="",0,IF(AND(LEFT(MID(TRIM(INDEX(PASTE_ALL,28,4)),1+(LEFT(TRIM(INDEX(PASTE_ALL,28,4)),1)="-"),999),LEN(MID(TRIM(INDEX(PASTE_ALL,28,4)),1+(LEFT(TRIM(INDEX(PASTE_ALL,28,4)),1)="-"),999))-(RIGHT(MID(TRIM(INDEX(PASTE_ALL,28,4)),1+(LEFT(TRIM(INDEX(PASTE_ALL,28,4)),1)="-"),999),1)="%"))&lt;&gt;"",SUBSTITUTE(SUBSTITUTE(SUBSTITUTE(SUBSTITUTE(SUBSTITUTE(SUBSTITUTE(SUBSTITUTE(SUBSTITUTE(SUBSTITUTE(SUBSTITUTE(SUBSTITUTE(SUBSTITUTE(LEFT(MID(TRIM(INDEX(PASTE_ALL,28,4)),1+(LEFT(TRIM(INDEX(PASTE_ALL,28,4)),1)="-"),999),LEN(MID(TRIM(INDEX(PASTE_ALL,28,4)),1+(LEFT(TRIM(INDEX(PASTE_ALL,28,4)),1)="-"),999))-(RIGHT(MID(TRIM(INDEX(PASTE_ALL,28,4)),1+(LEFT(TRIM(INDEX(PASTE_ALL,28,4)),1)="-"),999),1)="%")),"0",""),"1",""),"2",""),"3",""),"4",""),"5",""),"6",""),"7",""),"8",""),"9",""),".",""),",","")=""),2,1))),1)</f>
        <v/>
      </c>
      <c r="AC77">
        <f>IFERROR(IF(ISNUMBER(INDEX(PASTE_ALL,28,5)),2,IF(TRIM(INDEX(PASTE_ALL,28,5))="",0,IF(AND(LEFT(MID(TRIM(INDEX(PASTE_ALL,28,5)),1+(LEFT(TRIM(INDEX(PASTE_ALL,28,5)),1)="-"),999),LEN(MID(TRIM(INDEX(PASTE_ALL,28,5)),1+(LEFT(TRIM(INDEX(PASTE_ALL,28,5)),1)="-"),999))-(RIGHT(MID(TRIM(INDEX(PASTE_ALL,28,5)),1+(LEFT(TRIM(INDEX(PASTE_ALL,28,5)),1)="-"),999),1)="%"))&lt;&gt;"",SUBSTITUTE(SUBSTITUTE(SUBSTITUTE(SUBSTITUTE(SUBSTITUTE(SUBSTITUTE(SUBSTITUTE(SUBSTITUTE(SUBSTITUTE(SUBSTITUTE(SUBSTITUTE(SUBSTITUTE(LEFT(MID(TRIM(INDEX(PASTE_ALL,28,5)),1+(LEFT(TRIM(INDEX(PASTE_ALL,28,5)),1)="-"),999),LEN(MID(TRIM(INDEX(PASTE_ALL,28,5)),1+(LEFT(TRIM(INDEX(PASTE_ALL,28,5)),1)="-"),999))-(RIGHT(MID(TRIM(INDEX(PASTE_ALL,28,5)),1+(LEFT(TRIM(INDEX(PASTE_ALL,28,5)),1)="-"),999),1)="%")),"0",""),"1",""),"2",""),"3",""),"4",""),"5",""),"6",""),"7",""),"8",""),"9",""),".",""),",","")=""),2,1))),1)</f>
        <v/>
      </c>
      <c r="AD77">
        <f>IFERROR(IF(ISNUMBER(INDEX(PASTE_ALL,28,6)),2,IF(TRIM(INDEX(PASTE_ALL,28,6))="",0,IF(AND(LEFT(MID(TRIM(INDEX(PASTE_ALL,28,6)),1+(LEFT(TRIM(INDEX(PASTE_ALL,28,6)),1)="-"),999),LEN(MID(TRIM(INDEX(PASTE_ALL,28,6)),1+(LEFT(TRIM(INDEX(PASTE_ALL,28,6)),1)="-"),999))-(RIGHT(MID(TRIM(INDEX(PASTE_ALL,28,6)),1+(LEFT(TRIM(INDEX(PASTE_ALL,28,6)),1)="-"),999),1)="%"))&lt;&gt;"",SUBSTITUTE(SUBSTITUTE(SUBSTITUTE(SUBSTITUTE(SUBSTITUTE(SUBSTITUTE(SUBSTITUTE(SUBSTITUTE(SUBSTITUTE(SUBSTITUTE(SUBSTITUTE(SUBSTITUTE(LEFT(MID(TRIM(INDEX(PASTE_ALL,28,6)),1+(LEFT(TRIM(INDEX(PASTE_ALL,28,6)),1)="-"),999),LEN(MID(TRIM(INDEX(PASTE_ALL,28,6)),1+(LEFT(TRIM(INDEX(PASTE_ALL,28,6)),1)="-"),999))-(RIGHT(MID(TRIM(INDEX(PASTE_ALL,28,6)),1+(LEFT(TRIM(INDEX(PASTE_ALL,28,6)),1)="-"),999),1)="%")),"0",""),"1",""),"2",""),"3",""),"4",""),"5",""),"6",""),"7",""),"8",""),"9",""),".",""),",","")=""),2,1))),1)</f>
        <v/>
      </c>
      <c r="AE77">
        <f>IFERROR(IF(ISNUMBER(INDEX(PASTE_ALL,28,7)),2,IF(TRIM(INDEX(PASTE_ALL,28,7))="",0,IF(AND(LEFT(MID(TRIM(INDEX(PASTE_ALL,28,7)),1+(LEFT(TRIM(INDEX(PASTE_ALL,28,7)),1)="-"),999),LEN(MID(TRIM(INDEX(PASTE_ALL,28,7)),1+(LEFT(TRIM(INDEX(PASTE_ALL,28,7)),1)="-"),999))-(RIGHT(MID(TRIM(INDEX(PASTE_ALL,28,7)),1+(LEFT(TRIM(INDEX(PASTE_ALL,28,7)),1)="-"),999),1)="%"))&lt;&gt;"",SUBSTITUTE(SUBSTITUTE(SUBSTITUTE(SUBSTITUTE(SUBSTITUTE(SUBSTITUTE(SUBSTITUTE(SUBSTITUTE(SUBSTITUTE(SUBSTITUTE(SUBSTITUTE(SUBSTITUTE(LEFT(MID(TRIM(INDEX(PASTE_ALL,28,7)),1+(LEFT(TRIM(INDEX(PASTE_ALL,28,7)),1)="-"),999),LEN(MID(TRIM(INDEX(PASTE_ALL,28,7)),1+(LEFT(TRIM(INDEX(PASTE_ALL,28,7)),1)="-"),999))-(RIGHT(MID(TRIM(INDEX(PASTE_ALL,28,7)),1+(LEFT(TRIM(INDEX(PASTE_ALL,28,7)),1)="-"),999),1)="%")),"0",""),"1",""),"2",""),"3",""),"4",""),"5",""),"6",""),"7",""),"8",""),"9",""),".",""),",","")=""),2,1))),1)</f>
        <v/>
      </c>
      <c r="AF77">
        <f>IFERROR(IF(ISNUMBER(INDEX(PASTE_ALL,28,8)),2,IF(TRIM(INDEX(PASTE_ALL,28,8))="",0,IF(AND(LEFT(MID(TRIM(INDEX(PASTE_ALL,28,8)),1+(LEFT(TRIM(INDEX(PASTE_ALL,28,8)),1)="-"),999),LEN(MID(TRIM(INDEX(PASTE_ALL,28,8)),1+(LEFT(TRIM(INDEX(PASTE_ALL,28,8)),1)="-"),999))-(RIGHT(MID(TRIM(INDEX(PASTE_ALL,28,8)),1+(LEFT(TRIM(INDEX(PASTE_ALL,28,8)),1)="-"),999),1)="%"))&lt;&gt;"",SUBSTITUTE(SUBSTITUTE(SUBSTITUTE(SUBSTITUTE(SUBSTITUTE(SUBSTITUTE(SUBSTITUTE(SUBSTITUTE(SUBSTITUTE(SUBSTITUTE(SUBSTITUTE(SUBSTITUTE(LEFT(MID(TRIM(INDEX(PASTE_ALL,28,8)),1+(LEFT(TRIM(INDEX(PASTE_ALL,28,8)),1)="-"),999),LEN(MID(TRIM(INDEX(PASTE_ALL,28,8)),1+(LEFT(TRIM(INDEX(PASTE_ALL,28,8)),1)="-"),999))-(RIGHT(MID(TRIM(INDEX(PASTE_ALL,28,8)),1+(LEFT(TRIM(INDEX(PASTE_ALL,28,8)),1)="-"),999),1)="%")),"0",""),"1",""),"2",""),"3",""),"4",""),"5",""),"6",""),"7",""),"8",""),"9",""),".",""),",","")=""),2,1))),1)</f>
        <v/>
      </c>
      <c r="AG77">
        <f>IFERROR(IF(ISNUMBER(INDEX(PASTE_ALL,28,9)),2,IF(TRIM(INDEX(PASTE_ALL,28,9))="",0,IF(AND(LEFT(MID(TRIM(INDEX(PASTE_ALL,28,9)),1+(LEFT(TRIM(INDEX(PASTE_ALL,28,9)),1)="-"),999),LEN(MID(TRIM(INDEX(PASTE_ALL,28,9)),1+(LEFT(TRIM(INDEX(PASTE_ALL,28,9)),1)="-"),999))-(RIGHT(MID(TRIM(INDEX(PASTE_ALL,28,9)),1+(LEFT(TRIM(INDEX(PASTE_ALL,28,9)),1)="-"),999),1)="%"))&lt;&gt;"",SUBSTITUTE(SUBSTITUTE(SUBSTITUTE(SUBSTITUTE(SUBSTITUTE(SUBSTITUTE(SUBSTITUTE(SUBSTITUTE(SUBSTITUTE(SUBSTITUTE(SUBSTITUTE(SUBSTITUTE(LEFT(MID(TRIM(INDEX(PASTE_ALL,28,9)),1+(LEFT(TRIM(INDEX(PASTE_ALL,28,9)),1)="-"),999),LEN(MID(TRIM(INDEX(PASTE_ALL,28,9)),1+(LEFT(TRIM(INDEX(PASTE_ALL,28,9)),1)="-"),999))-(RIGHT(MID(TRIM(INDEX(PASTE_ALL,28,9)),1+(LEFT(TRIM(INDEX(PASTE_ALL,28,9)),1)="-"),999),1)="%")),"0",""),"1",""),"2",""),"3",""),"4",""),"5",""),"6",""),"7",""),"8",""),"9",""),".",""),",","")=""),2,1))),1)</f>
        <v/>
      </c>
      <c r="AH77">
        <f>IFERROR(IF(ISNUMBER(INDEX(PASTE_ALL,28,10)),2,IF(TRIM(INDEX(PASTE_ALL,28,10))="",0,IF(AND(LEFT(MID(TRIM(INDEX(PASTE_ALL,28,10)),1+(LEFT(TRIM(INDEX(PASTE_ALL,28,10)),1)="-"),999),LEN(MID(TRIM(INDEX(PASTE_ALL,28,10)),1+(LEFT(TRIM(INDEX(PASTE_ALL,28,10)),1)="-"),999))-(RIGHT(MID(TRIM(INDEX(PASTE_ALL,28,10)),1+(LEFT(TRIM(INDEX(PASTE_ALL,28,10)),1)="-"),999),1)="%"))&lt;&gt;"",SUBSTITUTE(SUBSTITUTE(SUBSTITUTE(SUBSTITUTE(SUBSTITUTE(SUBSTITUTE(SUBSTITUTE(SUBSTITUTE(SUBSTITUTE(SUBSTITUTE(SUBSTITUTE(SUBSTITUTE(LEFT(MID(TRIM(INDEX(PASTE_ALL,28,10)),1+(LEFT(TRIM(INDEX(PASTE_ALL,28,10)),1)="-"),999),LEN(MID(TRIM(INDEX(PASTE_ALL,28,10)),1+(LEFT(TRIM(INDEX(PASTE_ALL,28,10)),1)="-"),999))-(RIGHT(MID(TRIM(INDEX(PASTE_ALL,28,10)),1+(LEFT(TRIM(INDEX(PASTE_ALL,28,10)),1)="-"),999),1)="%")),"0",""),"1",""),"2",""),"3",""),"4",""),"5",""),"6",""),"7",""),"8",""),"9",""),".",""),",","")=""),2,1))),1)</f>
        <v/>
      </c>
      <c r="AI77">
        <f>IFERROR(IF(ISNUMBER(INDEX(PASTE_ALL,28,11)),2,IF(TRIM(INDEX(PASTE_ALL,28,11))="",0,IF(AND(LEFT(MID(TRIM(INDEX(PASTE_ALL,28,11)),1+(LEFT(TRIM(INDEX(PASTE_ALL,28,11)),1)="-"),999),LEN(MID(TRIM(INDEX(PASTE_ALL,28,11)),1+(LEFT(TRIM(INDEX(PASTE_ALL,28,11)),1)="-"),999))-(RIGHT(MID(TRIM(INDEX(PASTE_ALL,28,11)),1+(LEFT(TRIM(INDEX(PASTE_ALL,28,11)),1)="-"),999),1)="%"))&lt;&gt;"",SUBSTITUTE(SUBSTITUTE(SUBSTITUTE(SUBSTITUTE(SUBSTITUTE(SUBSTITUTE(SUBSTITUTE(SUBSTITUTE(SUBSTITUTE(SUBSTITUTE(SUBSTITUTE(SUBSTITUTE(LEFT(MID(TRIM(INDEX(PASTE_ALL,28,11)),1+(LEFT(TRIM(INDEX(PASTE_ALL,28,11)),1)="-"),999),LEN(MID(TRIM(INDEX(PASTE_ALL,28,11)),1+(LEFT(TRIM(INDEX(PASTE_ALL,28,11)),1)="-"),999))-(RIGHT(MID(TRIM(INDEX(PASTE_ALL,28,11)),1+(LEFT(TRIM(INDEX(PASTE_ALL,28,11)),1)="-"),999),1)="%")),"0",""),"1",""),"2",""),"3",""),"4",""),"5",""),"6",""),"7",""),"8",""),"9",""),".",""),",","")=""),2,1))),1)</f>
        <v/>
      </c>
      <c r="AJ77">
        <f>IFERROR(IF(ISNUMBER(INDEX(PASTE_ALL,28,12)),2,IF(TRIM(INDEX(PASTE_ALL,28,12))="",0,IF(AND(LEFT(MID(TRIM(INDEX(PASTE_ALL,28,12)),1+(LEFT(TRIM(INDEX(PASTE_ALL,28,12)),1)="-"),999),LEN(MID(TRIM(INDEX(PASTE_ALL,28,12)),1+(LEFT(TRIM(INDEX(PASTE_ALL,28,12)),1)="-"),999))-(RIGHT(MID(TRIM(INDEX(PASTE_ALL,28,12)),1+(LEFT(TRIM(INDEX(PASTE_ALL,28,12)),1)="-"),999),1)="%"))&lt;&gt;"",SUBSTITUTE(SUBSTITUTE(SUBSTITUTE(SUBSTITUTE(SUBSTITUTE(SUBSTITUTE(SUBSTITUTE(SUBSTITUTE(SUBSTITUTE(SUBSTITUTE(SUBSTITUTE(SUBSTITUTE(LEFT(MID(TRIM(INDEX(PASTE_ALL,28,12)),1+(LEFT(TRIM(INDEX(PASTE_ALL,28,12)),1)="-"),999),LEN(MID(TRIM(INDEX(PASTE_ALL,28,12)),1+(LEFT(TRIM(INDEX(PASTE_ALL,28,12)),1)="-"),999))-(RIGHT(MID(TRIM(INDEX(PASTE_ALL,28,12)),1+(LEFT(TRIM(INDEX(PASTE_ALL,28,12)),1)="-"),999),1)="%")),"0",""),"1",""),"2",""),"3",""),"4",""),"5",""),"6",""),"7",""),"8",""),"9",""),".",""),",","")=""),2,1))),1)</f>
        <v/>
      </c>
      <c r="AK77">
        <f>IFERROR(IF(ISNUMBER(INDEX(PASTE_ALL,28,13)),2,IF(TRIM(INDEX(PASTE_ALL,28,13))="",0,IF(AND(LEFT(MID(TRIM(INDEX(PASTE_ALL,28,13)),1+(LEFT(TRIM(INDEX(PASTE_ALL,28,13)),1)="-"),999),LEN(MID(TRIM(INDEX(PASTE_ALL,28,13)),1+(LEFT(TRIM(INDEX(PASTE_ALL,28,13)),1)="-"),999))-(RIGHT(MID(TRIM(INDEX(PASTE_ALL,28,13)),1+(LEFT(TRIM(INDEX(PASTE_ALL,28,13)),1)="-"),999),1)="%"))&lt;&gt;"",SUBSTITUTE(SUBSTITUTE(SUBSTITUTE(SUBSTITUTE(SUBSTITUTE(SUBSTITUTE(SUBSTITUTE(SUBSTITUTE(SUBSTITUTE(SUBSTITUTE(SUBSTITUTE(SUBSTITUTE(LEFT(MID(TRIM(INDEX(PASTE_ALL,28,13)),1+(LEFT(TRIM(INDEX(PASTE_ALL,28,13)),1)="-"),999),LEN(MID(TRIM(INDEX(PASTE_ALL,28,13)),1+(LEFT(TRIM(INDEX(PASTE_ALL,28,13)),1)="-"),999))-(RIGHT(MID(TRIM(INDEX(PASTE_ALL,28,13)),1+(LEFT(TRIM(INDEX(PASTE_ALL,28,13)),1)="-"),999),1)="%")),"0",""),"1",""),"2",""),"3",""),"4",""),"5",""),"6",""),"7",""),"8",""),"9",""),".",""),",","")=""),2,1))),1)</f>
        <v/>
      </c>
      <c r="AL77">
        <f>IFERROR(IF(ISNUMBER(INDEX(PASTE_ALL,28,14)),2,IF(TRIM(INDEX(PASTE_ALL,28,14))="",0,IF(AND(LEFT(MID(TRIM(INDEX(PASTE_ALL,28,14)),1+(LEFT(TRIM(INDEX(PASTE_ALL,28,14)),1)="-"),999),LEN(MID(TRIM(INDEX(PASTE_ALL,28,14)),1+(LEFT(TRIM(INDEX(PASTE_ALL,28,14)),1)="-"),999))-(RIGHT(MID(TRIM(INDEX(PASTE_ALL,28,14)),1+(LEFT(TRIM(INDEX(PASTE_ALL,28,14)),1)="-"),999),1)="%"))&lt;&gt;"",SUBSTITUTE(SUBSTITUTE(SUBSTITUTE(SUBSTITUTE(SUBSTITUTE(SUBSTITUTE(SUBSTITUTE(SUBSTITUTE(SUBSTITUTE(SUBSTITUTE(SUBSTITUTE(SUBSTITUTE(LEFT(MID(TRIM(INDEX(PASTE_ALL,28,14)),1+(LEFT(TRIM(INDEX(PASTE_ALL,28,14)),1)="-"),999),LEN(MID(TRIM(INDEX(PASTE_ALL,28,14)),1+(LEFT(TRIM(INDEX(PASTE_ALL,28,14)),1)="-"),999))-(RIGHT(MID(TRIM(INDEX(PASTE_ALL,28,14)),1+(LEFT(TRIM(INDEX(PASTE_ALL,28,14)),1)="-"),999),1)="%")),"0",""),"1",""),"2",""),"3",""),"4",""),"5",""),"6",""),"7",""),"8",""),"9",""),".",""),",","")=""),2,1))),1)</f>
        <v/>
      </c>
      <c r="AM77">
        <f>IFERROR(IF(ISNUMBER(INDEX(PASTE_ALL,28,15)),2,IF(TRIM(INDEX(PASTE_ALL,28,15))="",0,IF(AND(LEFT(MID(TRIM(INDEX(PASTE_ALL,28,15)),1+(LEFT(TRIM(INDEX(PASTE_ALL,28,15)),1)="-"),999),LEN(MID(TRIM(INDEX(PASTE_ALL,28,15)),1+(LEFT(TRIM(INDEX(PASTE_ALL,28,15)),1)="-"),999))-(RIGHT(MID(TRIM(INDEX(PASTE_ALL,28,15)),1+(LEFT(TRIM(INDEX(PASTE_ALL,28,15)),1)="-"),999),1)="%"))&lt;&gt;"",SUBSTITUTE(SUBSTITUTE(SUBSTITUTE(SUBSTITUTE(SUBSTITUTE(SUBSTITUTE(SUBSTITUTE(SUBSTITUTE(SUBSTITUTE(SUBSTITUTE(SUBSTITUTE(SUBSTITUTE(LEFT(MID(TRIM(INDEX(PASTE_ALL,28,15)),1+(LEFT(TRIM(INDEX(PASTE_ALL,28,15)),1)="-"),999),LEN(MID(TRIM(INDEX(PASTE_ALL,28,15)),1+(LEFT(TRIM(INDEX(PASTE_ALL,28,15)),1)="-"),999))-(RIGHT(MID(TRIM(INDEX(PASTE_ALL,28,15)),1+(LEFT(TRIM(INDEX(PASTE_ALL,28,15)),1)="-"),999),1)="%")),"0",""),"1",""),"2",""),"3",""),"4",""),"5",""),"6",""),"7",""),"8",""),"9",""),".",""),",","")=""),2,1))),1)</f>
        <v/>
      </c>
      <c r="AN77">
        <f>IFERROR(IF(ISNUMBER(INDEX(PASTE_ALL,28,16)),2,IF(TRIM(INDEX(PASTE_ALL,28,16))="",0,IF(AND(LEFT(MID(TRIM(INDEX(PASTE_ALL,28,16)),1+(LEFT(TRIM(INDEX(PASTE_ALL,28,16)),1)="-"),999),LEN(MID(TRIM(INDEX(PASTE_ALL,28,16)),1+(LEFT(TRIM(INDEX(PASTE_ALL,28,16)),1)="-"),999))-(RIGHT(MID(TRIM(INDEX(PASTE_ALL,28,16)),1+(LEFT(TRIM(INDEX(PASTE_ALL,28,16)),1)="-"),999),1)="%"))&lt;&gt;"",SUBSTITUTE(SUBSTITUTE(SUBSTITUTE(SUBSTITUTE(SUBSTITUTE(SUBSTITUTE(SUBSTITUTE(SUBSTITUTE(SUBSTITUTE(SUBSTITUTE(SUBSTITUTE(SUBSTITUTE(LEFT(MID(TRIM(INDEX(PASTE_ALL,28,16)),1+(LEFT(TRIM(INDEX(PASTE_ALL,28,16)),1)="-"),999),LEN(MID(TRIM(INDEX(PASTE_ALL,28,16)),1+(LEFT(TRIM(INDEX(PASTE_ALL,28,16)),1)="-"),999))-(RIGHT(MID(TRIM(INDEX(PASTE_ALL,28,16)),1+(LEFT(TRIM(INDEX(PASTE_ALL,28,16)),1)="-"),999),1)="%")),"0",""),"1",""),"2",""),"3",""),"4",""),"5",""),"6",""),"7",""),"8",""),"9",""),".",""),",","")=""),2,1))),1)</f>
        <v/>
      </c>
      <c r="AO77">
        <f>IFERROR(IF(ISNUMBER(INDEX(PASTE_ALL,28,17)),2,IF(TRIM(INDEX(PASTE_ALL,28,17))="",0,IF(AND(LEFT(MID(TRIM(INDEX(PASTE_ALL,28,17)),1+(LEFT(TRIM(INDEX(PASTE_ALL,28,17)),1)="-"),999),LEN(MID(TRIM(INDEX(PASTE_ALL,28,17)),1+(LEFT(TRIM(INDEX(PASTE_ALL,28,17)),1)="-"),999))-(RIGHT(MID(TRIM(INDEX(PASTE_ALL,28,17)),1+(LEFT(TRIM(INDEX(PASTE_ALL,28,17)),1)="-"),999),1)="%"))&lt;&gt;"",SUBSTITUTE(SUBSTITUTE(SUBSTITUTE(SUBSTITUTE(SUBSTITUTE(SUBSTITUTE(SUBSTITUTE(SUBSTITUTE(SUBSTITUTE(SUBSTITUTE(SUBSTITUTE(SUBSTITUTE(LEFT(MID(TRIM(INDEX(PASTE_ALL,28,17)),1+(LEFT(TRIM(INDEX(PASTE_ALL,28,17)),1)="-"),999),LEN(MID(TRIM(INDEX(PASTE_ALL,28,17)),1+(LEFT(TRIM(INDEX(PASTE_ALL,28,17)),1)="-"),999))-(RIGHT(MID(TRIM(INDEX(PASTE_ALL,28,17)),1+(LEFT(TRIM(INDEX(PASTE_ALL,28,17)),1)="-"),999),1)="%")),"0",""),"1",""),"2",""),"3",""),"4",""),"5",""),"6",""),"7",""),"8",""),"9",""),".",""),",","")=""),2,1))),1)</f>
        <v/>
      </c>
      <c r="AP77">
        <f>IFERROR(IF(ISNUMBER(INDEX(PASTE_ALL,28,18)),2,IF(TRIM(INDEX(PASTE_ALL,28,18))="",0,IF(AND(LEFT(MID(TRIM(INDEX(PASTE_ALL,28,18)),1+(LEFT(TRIM(INDEX(PASTE_ALL,28,18)),1)="-"),999),LEN(MID(TRIM(INDEX(PASTE_ALL,28,18)),1+(LEFT(TRIM(INDEX(PASTE_ALL,28,18)),1)="-"),999))-(RIGHT(MID(TRIM(INDEX(PASTE_ALL,28,18)),1+(LEFT(TRIM(INDEX(PASTE_ALL,28,18)),1)="-"),999),1)="%"))&lt;&gt;"",SUBSTITUTE(SUBSTITUTE(SUBSTITUTE(SUBSTITUTE(SUBSTITUTE(SUBSTITUTE(SUBSTITUTE(SUBSTITUTE(SUBSTITUTE(SUBSTITUTE(SUBSTITUTE(SUBSTITUTE(LEFT(MID(TRIM(INDEX(PASTE_ALL,28,18)),1+(LEFT(TRIM(INDEX(PASTE_ALL,28,18)),1)="-"),999),LEN(MID(TRIM(INDEX(PASTE_ALL,28,18)),1+(LEFT(TRIM(INDEX(PASTE_ALL,28,18)),1)="-"),999))-(RIGHT(MID(TRIM(INDEX(PASTE_ALL,28,18)),1+(LEFT(TRIM(INDEX(PASTE_ALL,28,18)),1)="-"),999),1)="%")),"0",""),"1",""),"2",""),"3",""),"4",""),"5",""),"6",""),"7",""),"8",""),"9",""),".",""),",","")=""),2,1))),1)</f>
        <v/>
      </c>
      <c r="AQ77">
        <f>IFERROR(IF(ISNUMBER(INDEX(PASTE_ALL,28,19)),2,IF(TRIM(INDEX(PASTE_ALL,28,19))="",0,IF(AND(LEFT(MID(TRIM(INDEX(PASTE_ALL,28,19)),1+(LEFT(TRIM(INDEX(PASTE_ALL,28,19)),1)="-"),999),LEN(MID(TRIM(INDEX(PASTE_ALL,28,19)),1+(LEFT(TRIM(INDEX(PASTE_ALL,28,19)),1)="-"),999))-(RIGHT(MID(TRIM(INDEX(PASTE_ALL,28,19)),1+(LEFT(TRIM(INDEX(PASTE_ALL,28,19)),1)="-"),999),1)="%"))&lt;&gt;"",SUBSTITUTE(SUBSTITUTE(SUBSTITUTE(SUBSTITUTE(SUBSTITUTE(SUBSTITUTE(SUBSTITUTE(SUBSTITUTE(SUBSTITUTE(SUBSTITUTE(SUBSTITUTE(SUBSTITUTE(LEFT(MID(TRIM(INDEX(PASTE_ALL,28,19)),1+(LEFT(TRIM(INDEX(PASTE_ALL,28,19)),1)="-"),999),LEN(MID(TRIM(INDEX(PASTE_ALL,28,19)),1+(LEFT(TRIM(INDEX(PASTE_ALL,28,19)),1)="-"),999))-(RIGHT(MID(TRIM(INDEX(PASTE_ALL,28,19)),1+(LEFT(TRIM(INDEX(PASTE_ALL,28,19)),1)="-"),999),1)="%")),"0",""),"1",""),"2",""),"3",""),"4",""),"5",""),"6",""),"7",""),"8",""),"9",""),".",""),",","")=""),2,1))),1)</f>
        <v/>
      </c>
      <c r="AR77">
        <f>IFERROR(IF(ISNUMBER(INDEX(PASTE_ALL,28,20)),2,IF(TRIM(INDEX(PASTE_ALL,28,20))="",0,IF(AND(LEFT(MID(TRIM(INDEX(PASTE_ALL,28,20)),1+(LEFT(TRIM(INDEX(PASTE_ALL,28,20)),1)="-"),999),LEN(MID(TRIM(INDEX(PASTE_ALL,28,20)),1+(LEFT(TRIM(INDEX(PASTE_ALL,28,20)),1)="-"),999))-(RIGHT(MID(TRIM(INDEX(PASTE_ALL,28,20)),1+(LEFT(TRIM(INDEX(PASTE_ALL,28,20)),1)="-"),999),1)="%"))&lt;&gt;"",SUBSTITUTE(SUBSTITUTE(SUBSTITUTE(SUBSTITUTE(SUBSTITUTE(SUBSTITUTE(SUBSTITUTE(SUBSTITUTE(SUBSTITUTE(SUBSTITUTE(SUBSTITUTE(SUBSTITUTE(LEFT(MID(TRIM(INDEX(PASTE_ALL,28,20)),1+(LEFT(TRIM(INDEX(PASTE_ALL,28,20)),1)="-"),999),LEN(MID(TRIM(INDEX(PASTE_ALL,28,20)),1+(LEFT(TRIM(INDEX(PASTE_ALL,28,20)),1)="-"),999))-(RIGHT(MID(TRIM(INDEX(PASTE_ALL,28,20)),1+(LEFT(TRIM(INDEX(PASTE_ALL,28,20)),1)="-"),999),1)="%")),"0",""),"1",""),"2",""),"3",""),"4",""),"5",""),"6",""),"7",""),"8",""),"9",""),".",""),",","")=""),2,1))),1)</f>
        <v/>
      </c>
      <c r="AS77">
        <f>IFERROR(IF(ISNUMBER(INDEX(PASTE_ALL,28,21)),2,IF(TRIM(INDEX(PASTE_ALL,28,21))="",0,IF(AND(LEFT(MID(TRIM(INDEX(PASTE_ALL,28,21)),1+(LEFT(TRIM(INDEX(PASTE_ALL,28,21)),1)="-"),999),LEN(MID(TRIM(INDEX(PASTE_ALL,28,21)),1+(LEFT(TRIM(INDEX(PASTE_ALL,28,21)),1)="-"),999))-(RIGHT(MID(TRIM(INDEX(PASTE_ALL,28,21)),1+(LEFT(TRIM(INDEX(PASTE_ALL,28,21)),1)="-"),999),1)="%"))&lt;&gt;"",SUBSTITUTE(SUBSTITUTE(SUBSTITUTE(SUBSTITUTE(SUBSTITUTE(SUBSTITUTE(SUBSTITUTE(SUBSTITUTE(SUBSTITUTE(SUBSTITUTE(SUBSTITUTE(SUBSTITUTE(LEFT(MID(TRIM(INDEX(PASTE_ALL,28,21)),1+(LEFT(TRIM(INDEX(PASTE_ALL,28,21)),1)="-"),999),LEN(MID(TRIM(INDEX(PASTE_ALL,28,21)),1+(LEFT(TRIM(INDEX(PASTE_ALL,28,21)),1)="-"),999))-(RIGHT(MID(TRIM(INDEX(PASTE_ALL,28,21)),1+(LEFT(TRIM(INDEX(PASTE_ALL,28,21)),1)="-"),999),1)="%")),"0",""),"1",""),"2",""),"3",""),"4",""),"5",""),"6",""),"7",""),"8",""),"9",""),".",""),",","")=""),2,1))),1)</f>
        <v/>
      </c>
      <c r="AT77">
        <f>IFERROR(IF(ISNUMBER(INDEX(PASTE_ALL,28,22)),2,IF(TRIM(INDEX(PASTE_ALL,28,22))="",0,IF(AND(LEFT(MID(TRIM(INDEX(PASTE_ALL,28,22)),1+(LEFT(TRIM(INDEX(PASTE_ALL,28,22)),1)="-"),999),LEN(MID(TRIM(INDEX(PASTE_ALL,28,22)),1+(LEFT(TRIM(INDEX(PASTE_ALL,28,22)),1)="-"),999))-(RIGHT(MID(TRIM(INDEX(PASTE_ALL,28,22)),1+(LEFT(TRIM(INDEX(PASTE_ALL,28,22)),1)="-"),999),1)="%"))&lt;&gt;"",SUBSTITUTE(SUBSTITUTE(SUBSTITUTE(SUBSTITUTE(SUBSTITUTE(SUBSTITUTE(SUBSTITUTE(SUBSTITUTE(SUBSTITUTE(SUBSTITUTE(SUBSTITUTE(SUBSTITUTE(LEFT(MID(TRIM(INDEX(PASTE_ALL,28,22)),1+(LEFT(TRIM(INDEX(PASTE_ALL,28,22)),1)="-"),999),LEN(MID(TRIM(INDEX(PASTE_ALL,28,22)),1+(LEFT(TRIM(INDEX(PASTE_ALL,28,22)),1)="-"),999))-(RIGHT(MID(TRIM(INDEX(PASTE_ALL,28,22)),1+(LEFT(TRIM(INDEX(PASTE_ALL,28,22)),1)="-"),999),1)="%")),"0",""),"1",""),"2",""),"3",""),"4",""),"5",""),"6",""),"7",""),"8",""),"9",""),".",""),",","")=""),2,1))),1)</f>
        <v/>
      </c>
      <c r="AU77">
        <f>IFERROR(IF(ISNUMBER(INDEX(PASTE_ALL,28,23)),2,IF(TRIM(INDEX(PASTE_ALL,28,23))="",0,IF(AND(LEFT(MID(TRIM(INDEX(PASTE_ALL,28,23)),1+(LEFT(TRIM(INDEX(PASTE_ALL,28,23)),1)="-"),999),LEN(MID(TRIM(INDEX(PASTE_ALL,28,23)),1+(LEFT(TRIM(INDEX(PASTE_ALL,28,23)),1)="-"),999))-(RIGHT(MID(TRIM(INDEX(PASTE_ALL,28,23)),1+(LEFT(TRIM(INDEX(PASTE_ALL,28,23)),1)="-"),999),1)="%"))&lt;&gt;"",SUBSTITUTE(SUBSTITUTE(SUBSTITUTE(SUBSTITUTE(SUBSTITUTE(SUBSTITUTE(SUBSTITUTE(SUBSTITUTE(SUBSTITUTE(SUBSTITUTE(SUBSTITUTE(SUBSTITUTE(LEFT(MID(TRIM(INDEX(PASTE_ALL,28,23)),1+(LEFT(TRIM(INDEX(PASTE_ALL,28,23)),1)="-"),999),LEN(MID(TRIM(INDEX(PASTE_ALL,28,23)),1+(LEFT(TRIM(INDEX(PASTE_ALL,28,23)),1)="-"),999))-(RIGHT(MID(TRIM(INDEX(PASTE_ALL,28,23)),1+(LEFT(TRIM(INDEX(PASTE_ALL,28,23)),1)="-"),999),1)="%")),"0",""),"1",""),"2",""),"3",""),"4",""),"5",""),"6",""),"7",""),"8",""),"9",""),".",""),",","")=""),2,1))),1)</f>
        <v/>
      </c>
      <c r="AV77">
        <f>IFERROR(IF(ISNUMBER(INDEX(PASTE_ALL,28,24)),2,IF(TRIM(INDEX(PASTE_ALL,28,24))="",0,IF(AND(LEFT(MID(TRIM(INDEX(PASTE_ALL,28,24)),1+(LEFT(TRIM(INDEX(PASTE_ALL,28,24)),1)="-"),999),LEN(MID(TRIM(INDEX(PASTE_ALL,28,24)),1+(LEFT(TRIM(INDEX(PASTE_ALL,28,24)),1)="-"),999))-(RIGHT(MID(TRIM(INDEX(PASTE_ALL,28,24)),1+(LEFT(TRIM(INDEX(PASTE_ALL,28,24)),1)="-"),999),1)="%"))&lt;&gt;"",SUBSTITUTE(SUBSTITUTE(SUBSTITUTE(SUBSTITUTE(SUBSTITUTE(SUBSTITUTE(SUBSTITUTE(SUBSTITUTE(SUBSTITUTE(SUBSTITUTE(SUBSTITUTE(SUBSTITUTE(LEFT(MID(TRIM(INDEX(PASTE_ALL,28,24)),1+(LEFT(TRIM(INDEX(PASTE_ALL,28,24)),1)="-"),999),LEN(MID(TRIM(INDEX(PASTE_ALL,28,24)),1+(LEFT(TRIM(INDEX(PASTE_ALL,28,24)),1)="-"),999))-(RIGHT(MID(TRIM(INDEX(PASTE_ALL,28,24)),1+(LEFT(TRIM(INDEX(PASTE_ALL,28,24)),1)="-"),999),1)="%")),"0",""),"1",""),"2",""),"3",""),"4",""),"5",""),"6",""),"7",""),"8",""),"9",""),".",""),",","")=""),2,1))),1)</f>
        <v/>
      </c>
      <c r="AW77">
        <f>IFERROR(IF(ISNUMBER(INDEX(PASTE_ALL,28,25)),2,IF(TRIM(INDEX(PASTE_ALL,28,25))="",0,IF(AND(LEFT(MID(TRIM(INDEX(PASTE_ALL,28,25)),1+(LEFT(TRIM(INDEX(PASTE_ALL,28,25)),1)="-"),999),LEN(MID(TRIM(INDEX(PASTE_ALL,28,25)),1+(LEFT(TRIM(INDEX(PASTE_ALL,28,25)),1)="-"),999))-(RIGHT(MID(TRIM(INDEX(PASTE_ALL,28,25)),1+(LEFT(TRIM(INDEX(PASTE_ALL,28,25)),1)="-"),999),1)="%"))&lt;&gt;"",SUBSTITUTE(SUBSTITUTE(SUBSTITUTE(SUBSTITUTE(SUBSTITUTE(SUBSTITUTE(SUBSTITUTE(SUBSTITUTE(SUBSTITUTE(SUBSTITUTE(SUBSTITUTE(SUBSTITUTE(LEFT(MID(TRIM(INDEX(PASTE_ALL,28,25)),1+(LEFT(TRIM(INDEX(PASTE_ALL,28,25)),1)="-"),999),LEN(MID(TRIM(INDEX(PASTE_ALL,28,25)),1+(LEFT(TRIM(INDEX(PASTE_ALL,28,25)),1)="-"),999))-(RIGHT(MID(TRIM(INDEX(PASTE_ALL,28,25)),1+(LEFT(TRIM(INDEX(PASTE_ALL,28,25)),1)="-"),999),1)="%")),"0",""),"1",""),"2",""),"3",""),"4",""),"5",""),"6",""),"7",""),"8",""),"9",""),".",""),",","")=""),2,1))),1)</f>
        <v/>
      </c>
      <c r="AX77">
        <f>IFERROR(IF(ISNUMBER(INDEX(PASTE_ALL,28,26)),2,IF(TRIM(INDEX(PASTE_ALL,28,26))="",0,IF(AND(LEFT(MID(TRIM(INDEX(PASTE_ALL,28,26)),1+(LEFT(TRIM(INDEX(PASTE_ALL,28,26)),1)="-"),999),LEN(MID(TRIM(INDEX(PASTE_ALL,28,26)),1+(LEFT(TRIM(INDEX(PASTE_ALL,28,26)),1)="-"),999))-(RIGHT(MID(TRIM(INDEX(PASTE_ALL,28,26)),1+(LEFT(TRIM(INDEX(PASTE_ALL,28,26)),1)="-"),999),1)="%"))&lt;&gt;"",SUBSTITUTE(SUBSTITUTE(SUBSTITUTE(SUBSTITUTE(SUBSTITUTE(SUBSTITUTE(SUBSTITUTE(SUBSTITUTE(SUBSTITUTE(SUBSTITUTE(SUBSTITUTE(SUBSTITUTE(LEFT(MID(TRIM(INDEX(PASTE_ALL,28,26)),1+(LEFT(TRIM(INDEX(PASTE_ALL,28,26)),1)="-"),999),LEN(MID(TRIM(INDEX(PASTE_ALL,28,26)),1+(LEFT(TRIM(INDEX(PASTE_ALL,28,26)),1)="-"),999))-(RIGHT(MID(TRIM(INDEX(PASTE_ALL,28,26)),1+(LEFT(TRIM(INDEX(PASTE_ALL,28,26)),1)="-"),999),1)="%")),"0",""),"1",""),"2",""),"3",""),"4",""),"5",""),"6",""),"7",""),"8",""),"9",""),".",""),",","")=""),2,1))),1)</f>
        <v/>
      </c>
      <c r="AY77">
        <f>IFERROR(IF(ISNUMBER(INDEX(PASTE_ALL,28,27)),2,IF(TRIM(INDEX(PASTE_ALL,28,27))="",0,IF(AND(LEFT(MID(TRIM(INDEX(PASTE_ALL,28,27)),1+(LEFT(TRIM(INDEX(PASTE_ALL,28,27)),1)="-"),999),LEN(MID(TRIM(INDEX(PASTE_ALL,28,27)),1+(LEFT(TRIM(INDEX(PASTE_ALL,28,27)),1)="-"),999))-(RIGHT(MID(TRIM(INDEX(PASTE_ALL,28,27)),1+(LEFT(TRIM(INDEX(PASTE_ALL,28,27)),1)="-"),999),1)="%"))&lt;&gt;"",SUBSTITUTE(SUBSTITUTE(SUBSTITUTE(SUBSTITUTE(SUBSTITUTE(SUBSTITUTE(SUBSTITUTE(SUBSTITUTE(SUBSTITUTE(SUBSTITUTE(SUBSTITUTE(SUBSTITUTE(LEFT(MID(TRIM(INDEX(PASTE_ALL,28,27)),1+(LEFT(TRIM(INDEX(PASTE_ALL,28,27)),1)="-"),999),LEN(MID(TRIM(INDEX(PASTE_ALL,28,27)),1+(LEFT(TRIM(INDEX(PASTE_ALL,28,27)),1)="-"),999))-(RIGHT(MID(TRIM(INDEX(PASTE_ALL,28,27)),1+(LEFT(TRIM(INDEX(PASTE_ALL,28,27)),1)="-"),999),1)="%")),"0",""),"1",""),"2",""),"3",""),"4",""),"5",""),"6",""),"7",""),"8",""),"9",""),".",""),",","")=""),2,1))),1)</f>
        <v/>
      </c>
      <c r="AZ77">
        <f>IFERROR(IF(ISNUMBER(INDEX(PASTE_ALL,28,28)),2,IF(TRIM(INDEX(PASTE_ALL,28,28))="",0,IF(AND(LEFT(MID(TRIM(INDEX(PASTE_ALL,28,28)),1+(LEFT(TRIM(INDEX(PASTE_ALL,28,28)),1)="-"),999),LEN(MID(TRIM(INDEX(PASTE_ALL,28,28)),1+(LEFT(TRIM(INDEX(PASTE_ALL,28,28)),1)="-"),999))-(RIGHT(MID(TRIM(INDEX(PASTE_ALL,28,28)),1+(LEFT(TRIM(INDEX(PASTE_ALL,28,28)),1)="-"),999),1)="%"))&lt;&gt;"",SUBSTITUTE(SUBSTITUTE(SUBSTITUTE(SUBSTITUTE(SUBSTITUTE(SUBSTITUTE(SUBSTITUTE(SUBSTITUTE(SUBSTITUTE(SUBSTITUTE(SUBSTITUTE(SUBSTITUTE(LEFT(MID(TRIM(INDEX(PASTE_ALL,28,28)),1+(LEFT(TRIM(INDEX(PASTE_ALL,28,28)),1)="-"),999),LEN(MID(TRIM(INDEX(PASTE_ALL,28,28)),1+(LEFT(TRIM(INDEX(PASTE_ALL,28,28)),1)="-"),999))-(RIGHT(MID(TRIM(INDEX(PASTE_ALL,28,28)),1+(LEFT(TRIM(INDEX(PASTE_ALL,28,28)),1)="-"),999),1)="%")),"0",""),"1",""),"2",""),"3",""),"4",""),"5",""),"6",""),"7",""),"8",""),"9",""),".",""),",","")=""),2,1))),1)</f>
        <v/>
      </c>
      <c r="BA77">
        <f>IFERROR(IF(ISNUMBER(INDEX(PASTE_ALL,28,29)),2,IF(TRIM(INDEX(PASTE_ALL,28,29))="",0,IF(AND(LEFT(MID(TRIM(INDEX(PASTE_ALL,28,29)),1+(LEFT(TRIM(INDEX(PASTE_ALL,28,29)),1)="-"),999),LEN(MID(TRIM(INDEX(PASTE_ALL,28,29)),1+(LEFT(TRIM(INDEX(PASTE_ALL,28,29)),1)="-"),999))-(RIGHT(MID(TRIM(INDEX(PASTE_ALL,28,29)),1+(LEFT(TRIM(INDEX(PASTE_ALL,28,29)),1)="-"),999),1)="%"))&lt;&gt;"",SUBSTITUTE(SUBSTITUTE(SUBSTITUTE(SUBSTITUTE(SUBSTITUTE(SUBSTITUTE(SUBSTITUTE(SUBSTITUTE(SUBSTITUTE(SUBSTITUTE(SUBSTITUTE(SUBSTITUTE(LEFT(MID(TRIM(INDEX(PASTE_ALL,28,29)),1+(LEFT(TRIM(INDEX(PASTE_ALL,28,29)),1)="-"),999),LEN(MID(TRIM(INDEX(PASTE_ALL,28,29)),1+(LEFT(TRIM(INDEX(PASTE_ALL,28,29)),1)="-"),999))-(RIGHT(MID(TRIM(INDEX(PASTE_ALL,28,29)),1+(LEFT(TRIM(INDEX(PASTE_ALL,28,29)),1)="-"),999),1)="%")),"0",""),"1",""),"2",""),"3",""),"4",""),"5",""),"6",""),"7",""),"8",""),"9",""),".",""),",","")=""),2,1))),1)</f>
        <v/>
      </c>
      <c r="BB77">
        <f>IFERROR(IF(ISNUMBER(INDEX(PASTE_ALL,28,30)),2,IF(TRIM(INDEX(PASTE_ALL,28,30))="",0,IF(AND(LEFT(MID(TRIM(INDEX(PASTE_ALL,28,30)),1+(LEFT(TRIM(INDEX(PASTE_ALL,28,30)),1)="-"),999),LEN(MID(TRIM(INDEX(PASTE_ALL,28,30)),1+(LEFT(TRIM(INDEX(PASTE_ALL,28,30)),1)="-"),999))-(RIGHT(MID(TRIM(INDEX(PASTE_ALL,28,30)),1+(LEFT(TRIM(INDEX(PASTE_ALL,28,30)),1)="-"),999),1)="%"))&lt;&gt;"",SUBSTITUTE(SUBSTITUTE(SUBSTITUTE(SUBSTITUTE(SUBSTITUTE(SUBSTITUTE(SUBSTITUTE(SUBSTITUTE(SUBSTITUTE(SUBSTITUTE(SUBSTITUTE(SUBSTITUTE(LEFT(MID(TRIM(INDEX(PASTE_ALL,28,30)),1+(LEFT(TRIM(INDEX(PASTE_ALL,28,30)),1)="-"),999),LEN(MID(TRIM(INDEX(PASTE_ALL,28,30)),1+(LEFT(TRIM(INDEX(PASTE_ALL,28,30)),1)="-"),999))-(RIGHT(MID(TRIM(INDEX(PASTE_ALL,28,30)),1+(LEFT(TRIM(INDEX(PASTE_ALL,28,30)),1)="-"),999),1)="%")),"0",""),"1",""),"2",""),"3",""),"4",""),"5",""),"6",""),"7",""),"8",""),"9",""),".",""),",","")=""),2,1))),1)</f>
        <v/>
      </c>
      <c r="BC77">
        <f>IFERROR(IF(ISNUMBER(INDEX(PASTE_ALL,28,31)),2,IF(TRIM(INDEX(PASTE_ALL,28,31))="",0,IF(AND(LEFT(MID(TRIM(INDEX(PASTE_ALL,28,31)),1+(LEFT(TRIM(INDEX(PASTE_ALL,28,31)),1)="-"),999),LEN(MID(TRIM(INDEX(PASTE_ALL,28,31)),1+(LEFT(TRIM(INDEX(PASTE_ALL,28,31)),1)="-"),999))-(RIGHT(MID(TRIM(INDEX(PASTE_ALL,28,31)),1+(LEFT(TRIM(INDEX(PASTE_ALL,28,31)),1)="-"),999),1)="%"))&lt;&gt;"",SUBSTITUTE(SUBSTITUTE(SUBSTITUTE(SUBSTITUTE(SUBSTITUTE(SUBSTITUTE(SUBSTITUTE(SUBSTITUTE(SUBSTITUTE(SUBSTITUTE(SUBSTITUTE(SUBSTITUTE(LEFT(MID(TRIM(INDEX(PASTE_ALL,28,31)),1+(LEFT(TRIM(INDEX(PASTE_ALL,28,31)),1)="-"),999),LEN(MID(TRIM(INDEX(PASTE_ALL,28,31)),1+(LEFT(TRIM(INDEX(PASTE_ALL,28,31)),1)="-"),999))-(RIGHT(MID(TRIM(INDEX(PASTE_ALL,28,31)),1+(LEFT(TRIM(INDEX(PASTE_ALL,28,31)),1)="-"),999),1)="%")),"0",""),"1",""),"2",""),"3",""),"4",""),"5",""),"6",""),"7",""),"8",""),"9",""),".",""),",","")=""),2,1))),1)</f>
        <v/>
      </c>
      <c r="BD77">
        <f>IFERROR(IF(ISNUMBER(INDEX(PASTE_ALL,28,32)),2,IF(TRIM(INDEX(PASTE_ALL,28,32))="",0,IF(AND(LEFT(MID(TRIM(INDEX(PASTE_ALL,28,32)),1+(LEFT(TRIM(INDEX(PASTE_ALL,28,32)),1)="-"),999),LEN(MID(TRIM(INDEX(PASTE_ALL,28,32)),1+(LEFT(TRIM(INDEX(PASTE_ALL,28,32)),1)="-"),999))-(RIGHT(MID(TRIM(INDEX(PASTE_ALL,28,32)),1+(LEFT(TRIM(INDEX(PASTE_ALL,28,32)),1)="-"),999),1)="%"))&lt;&gt;"",SUBSTITUTE(SUBSTITUTE(SUBSTITUTE(SUBSTITUTE(SUBSTITUTE(SUBSTITUTE(SUBSTITUTE(SUBSTITUTE(SUBSTITUTE(SUBSTITUTE(SUBSTITUTE(SUBSTITUTE(LEFT(MID(TRIM(INDEX(PASTE_ALL,28,32)),1+(LEFT(TRIM(INDEX(PASTE_ALL,28,32)),1)="-"),999),LEN(MID(TRIM(INDEX(PASTE_ALL,28,32)),1+(LEFT(TRIM(INDEX(PASTE_ALL,28,32)),1)="-"),999))-(RIGHT(MID(TRIM(INDEX(PASTE_ALL,28,32)),1+(LEFT(TRIM(INDEX(PASTE_ALL,28,32)),1)="-"),999),1)="%")),"0",""),"1",""),"2",""),"3",""),"4",""),"5",""),"6",""),"7",""),"8",""),"9",""),".",""),",","")=""),2,1))),1)</f>
        <v/>
      </c>
      <c r="BE77">
        <f>IFERROR(IF(ISNUMBER(INDEX(PASTE_ALL,28,33)),2,IF(TRIM(INDEX(PASTE_ALL,28,33))="",0,IF(AND(LEFT(MID(TRIM(INDEX(PASTE_ALL,28,33)),1+(LEFT(TRIM(INDEX(PASTE_ALL,28,33)),1)="-"),999),LEN(MID(TRIM(INDEX(PASTE_ALL,28,33)),1+(LEFT(TRIM(INDEX(PASTE_ALL,28,33)),1)="-"),999))-(RIGHT(MID(TRIM(INDEX(PASTE_ALL,28,33)),1+(LEFT(TRIM(INDEX(PASTE_ALL,28,33)),1)="-"),999),1)="%"))&lt;&gt;"",SUBSTITUTE(SUBSTITUTE(SUBSTITUTE(SUBSTITUTE(SUBSTITUTE(SUBSTITUTE(SUBSTITUTE(SUBSTITUTE(SUBSTITUTE(SUBSTITUTE(SUBSTITUTE(SUBSTITUTE(LEFT(MID(TRIM(INDEX(PASTE_ALL,28,33)),1+(LEFT(TRIM(INDEX(PASTE_ALL,28,33)),1)="-"),999),LEN(MID(TRIM(INDEX(PASTE_ALL,28,33)),1+(LEFT(TRIM(INDEX(PASTE_ALL,28,33)),1)="-"),999))-(RIGHT(MID(TRIM(INDEX(PASTE_ALL,28,33)),1+(LEFT(TRIM(INDEX(PASTE_ALL,28,33)),1)="-"),999),1)="%")),"0",""),"1",""),"2",""),"3",""),"4",""),"5",""),"6",""),"7",""),"8",""),"9",""),".",""),",","")=""),2,1))),1)</f>
        <v/>
      </c>
      <c r="BF77">
        <f>IFERROR(IF(ISNUMBER(INDEX(PASTE_ALL,28,34)),2,IF(TRIM(INDEX(PASTE_ALL,28,34))="",0,IF(AND(LEFT(MID(TRIM(INDEX(PASTE_ALL,28,34)),1+(LEFT(TRIM(INDEX(PASTE_ALL,28,34)),1)="-"),999),LEN(MID(TRIM(INDEX(PASTE_ALL,28,34)),1+(LEFT(TRIM(INDEX(PASTE_ALL,28,34)),1)="-"),999))-(RIGHT(MID(TRIM(INDEX(PASTE_ALL,28,34)),1+(LEFT(TRIM(INDEX(PASTE_ALL,28,34)),1)="-"),999),1)="%"))&lt;&gt;"",SUBSTITUTE(SUBSTITUTE(SUBSTITUTE(SUBSTITUTE(SUBSTITUTE(SUBSTITUTE(SUBSTITUTE(SUBSTITUTE(SUBSTITUTE(SUBSTITUTE(SUBSTITUTE(SUBSTITUTE(LEFT(MID(TRIM(INDEX(PASTE_ALL,28,34)),1+(LEFT(TRIM(INDEX(PASTE_ALL,28,34)),1)="-"),999),LEN(MID(TRIM(INDEX(PASTE_ALL,28,34)),1+(LEFT(TRIM(INDEX(PASTE_ALL,28,34)),1)="-"),999))-(RIGHT(MID(TRIM(INDEX(PASTE_ALL,28,34)),1+(LEFT(TRIM(INDEX(PASTE_ALL,28,34)),1)="-"),999),1)="%")),"0",""),"1",""),"2",""),"3",""),"4",""),"5",""),"6",""),"7",""),"8",""),"9",""),".",""),",","")=""),2,1))),1)</f>
        <v/>
      </c>
      <c r="BG77">
        <f>IFERROR(IF(ISNUMBER(INDEX(PASTE_ALL,28,35)),2,IF(TRIM(INDEX(PASTE_ALL,28,35))="",0,IF(AND(LEFT(MID(TRIM(INDEX(PASTE_ALL,28,35)),1+(LEFT(TRIM(INDEX(PASTE_ALL,28,35)),1)="-"),999),LEN(MID(TRIM(INDEX(PASTE_ALL,28,35)),1+(LEFT(TRIM(INDEX(PASTE_ALL,28,35)),1)="-"),999))-(RIGHT(MID(TRIM(INDEX(PASTE_ALL,28,35)),1+(LEFT(TRIM(INDEX(PASTE_ALL,28,35)),1)="-"),999),1)="%"))&lt;&gt;"",SUBSTITUTE(SUBSTITUTE(SUBSTITUTE(SUBSTITUTE(SUBSTITUTE(SUBSTITUTE(SUBSTITUTE(SUBSTITUTE(SUBSTITUTE(SUBSTITUTE(SUBSTITUTE(SUBSTITUTE(LEFT(MID(TRIM(INDEX(PASTE_ALL,28,35)),1+(LEFT(TRIM(INDEX(PASTE_ALL,28,35)),1)="-"),999),LEN(MID(TRIM(INDEX(PASTE_ALL,28,35)),1+(LEFT(TRIM(INDEX(PASTE_ALL,28,35)),1)="-"),999))-(RIGHT(MID(TRIM(INDEX(PASTE_ALL,28,35)),1+(LEFT(TRIM(INDEX(PASTE_ALL,28,35)),1)="-"),999),1)="%")),"0",""),"1",""),"2",""),"3",""),"4",""),"5",""),"6",""),"7",""),"8",""),"9",""),".",""),",","")=""),2,1))),1)</f>
        <v/>
      </c>
      <c r="BH77">
        <f>IFERROR(IF(ISNUMBER(INDEX(PASTE_ALL,28,36)),2,IF(TRIM(INDEX(PASTE_ALL,28,36))="",0,IF(AND(LEFT(MID(TRIM(INDEX(PASTE_ALL,28,36)),1+(LEFT(TRIM(INDEX(PASTE_ALL,28,36)),1)="-"),999),LEN(MID(TRIM(INDEX(PASTE_ALL,28,36)),1+(LEFT(TRIM(INDEX(PASTE_ALL,28,36)),1)="-"),999))-(RIGHT(MID(TRIM(INDEX(PASTE_ALL,28,36)),1+(LEFT(TRIM(INDEX(PASTE_ALL,28,36)),1)="-"),999),1)="%"))&lt;&gt;"",SUBSTITUTE(SUBSTITUTE(SUBSTITUTE(SUBSTITUTE(SUBSTITUTE(SUBSTITUTE(SUBSTITUTE(SUBSTITUTE(SUBSTITUTE(SUBSTITUTE(SUBSTITUTE(SUBSTITUTE(LEFT(MID(TRIM(INDEX(PASTE_ALL,28,36)),1+(LEFT(TRIM(INDEX(PASTE_ALL,28,36)),1)="-"),999),LEN(MID(TRIM(INDEX(PASTE_ALL,28,36)),1+(LEFT(TRIM(INDEX(PASTE_ALL,28,36)),1)="-"),999))-(RIGHT(MID(TRIM(INDEX(PASTE_ALL,28,36)),1+(LEFT(TRIM(INDEX(PASTE_ALL,28,36)),1)="-"),999),1)="%")),"0",""),"1",""),"2",""),"3",""),"4",""),"5",""),"6",""),"7",""),"8",""),"9",""),".",""),",","")=""),2,1))),1)</f>
        <v/>
      </c>
      <c r="BI77">
        <f>IFERROR(IF(ISNUMBER(INDEX(PASTE_ALL,28,37)),2,IF(TRIM(INDEX(PASTE_ALL,28,37))="",0,IF(AND(LEFT(MID(TRIM(INDEX(PASTE_ALL,28,37)),1+(LEFT(TRIM(INDEX(PASTE_ALL,28,37)),1)="-"),999),LEN(MID(TRIM(INDEX(PASTE_ALL,28,37)),1+(LEFT(TRIM(INDEX(PASTE_ALL,28,37)),1)="-"),999))-(RIGHT(MID(TRIM(INDEX(PASTE_ALL,28,37)),1+(LEFT(TRIM(INDEX(PASTE_ALL,28,37)),1)="-"),999),1)="%"))&lt;&gt;"",SUBSTITUTE(SUBSTITUTE(SUBSTITUTE(SUBSTITUTE(SUBSTITUTE(SUBSTITUTE(SUBSTITUTE(SUBSTITUTE(SUBSTITUTE(SUBSTITUTE(SUBSTITUTE(SUBSTITUTE(LEFT(MID(TRIM(INDEX(PASTE_ALL,28,37)),1+(LEFT(TRIM(INDEX(PASTE_ALL,28,37)),1)="-"),999),LEN(MID(TRIM(INDEX(PASTE_ALL,28,37)),1+(LEFT(TRIM(INDEX(PASTE_ALL,28,37)),1)="-"),999))-(RIGHT(MID(TRIM(INDEX(PASTE_ALL,28,37)),1+(LEFT(TRIM(INDEX(PASTE_ALL,28,37)),1)="-"),999),1)="%")),"0",""),"1",""),"2",""),"3",""),"4",""),"5",""),"6",""),"7",""),"8",""),"9",""),".",""),",","")=""),2,1))),1)</f>
        <v/>
      </c>
      <c r="BJ77">
        <f>IFERROR(IF(ISNUMBER(INDEX(PASTE_ALL,28,38)),2,IF(TRIM(INDEX(PASTE_ALL,28,38))="",0,IF(AND(LEFT(MID(TRIM(INDEX(PASTE_ALL,28,38)),1+(LEFT(TRIM(INDEX(PASTE_ALL,28,38)),1)="-"),999),LEN(MID(TRIM(INDEX(PASTE_ALL,28,38)),1+(LEFT(TRIM(INDEX(PASTE_ALL,28,38)),1)="-"),999))-(RIGHT(MID(TRIM(INDEX(PASTE_ALL,28,38)),1+(LEFT(TRIM(INDEX(PASTE_ALL,28,38)),1)="-"),999),1)="%"))&lt;&gt;"",SUBSTITUTE(SUBSTITUTE(SUBSTITUTE(SUBSTITUTE(SUBSTITUTE(SUBSTITUTE(SUBSTITUTE(SUBSTITUTE(SUBSTITUTE(SUBSTITUTE(SUBSTITUTE(SUBSTITUTE(LEFT(MID(TRIM(INDEX(PASTE_ALL,28,38)),1+(LEFT(TRIM(INDEX(PASTE_ALL,28,38)),1)="-"),999),LEN(MID(TRIM(INDEX(PASTE_ALL,28,38)),1+(LEFT(TRIM(INDEX(PASTE_ALL,28,38)),1)="-"),999))-(RIGHT(MID(TRIM(INDEX(PASTE_ALL,28,38)),1+(LEFT(TRIM(INDEX(PASTE_ALL,28,38)),1)="-"),999),1)="%")),"0",""),"1",""),"2",""),"3",""),"4",""),"5",""),"6",""),"7",""),"8",""),"9",""),".",""),",","")=""),2,1))),1)</f>
        <v/>
      </c>
      <c r="BK77">
        <f>IFERROR(IF(ISNUMBER(INDEX(PASTE_ALL,28,39)),2,IF(TRIM(INDEX(PASTE_ALL,28,39))="",0,IF(AND(LEFT(MID(TRIM(INDEX(PASTE_ALL,28,39)),1+(LEFT(TRIM(INDEX(PASTE_ALL,28,39)),1)="-"),999),LEN(MID(TRIM(INDEX(PASTE_ALL,28,39)),1+(LEFT(TRIM(INDEX(PASTE_ALL,28,39)),1)="-"),999))-(RIGHT(MID(TRIM(INDEX(PASTE_ALL,28,39)),1+(LEFT(TRIM(INDEX(PASTE_ALL,28,39)),1)="-"),999),1)="%"))&lt;&gt;"",SUBSTITUTE(SUBSTITUTE(SUBSTITUTE(SUBSTITUTE(SUBSTITUTE(SUBSTITUTE(SUBSTITUTE(SUBSTITUTE(SUBSTITUTE(SUBSTITUTE(SUBSTITUTE(SUBSTITUTE(LEFT(MID(TRIM(INDEX(PASTE_ALL,28,39)),1+(LEFT(TRIM(INDEX(PASTE_ALL,28,39)),1)="-"),999),LEN(MID(TRIM(INDEX(PASTE_ALL,28,39)),1+(LEFT(TRIM(INDEX(PASTE_ALL,28,39)),1)="-"),999))-(RIGHT(MID(TRIM(INDEX(PASTE_ALL,28,39)),1+(LEFT(TRIM(INDEX(PASTE_ALL,28,39)),1)="-"),999),1)="%")),"0",""),"1",""),"2",""),"3",""),"4",""),"5",""),"6",""),"7",""),"8",""),"9",""),".",""),",","")=""),2,1))),1)</f>
        <v/>
      </c>
      <c r="BL77">
        <f>IFERROR(IF(ISNUMBER(INDEX(PASTE_ALL,28,40)),2,IF(TRIM(INDEX(PASTE_ALL,28,40))="",0,IF(AND(LEFT(MID(TRIM(INDEX(PASTE_ALL,28,40)),1+(LEFT(TRIM(INDEX(PASTE_ALL,28,40)),1)="-"),999),LEN(MID(TRIM(INDEX(PASTE_ALL,28,40)),1+(LEFT(TRIM(INDEX(PASTE_ALL,28,40)),1)="-"),999))-(RIGHT(MID(TRIM(INDEX(PASTE_ALL,28,40)),1+(LEFT(TRIM(INDEX(PASTE_ALL,28,40)),1)="-"),999),1)="%"))&lt;&gt;"",SUBSTITUTE(SUBSTITUTE(SUBSTITUTE(SUBSTITUTE(SUBSTITUTE(SUBSTITUTE(SUBSTITUTE(SUBSTITUTE(SUBSTITUTE(SUBSTITUTE(SUBSTITUTE(SUBSTITUTE(LEFT(MID(TRIM(INDEX(PASTE_ALL,28,40)),1+(LEFT(TRIM(INDEX(PASTE_ALL,28,40)),1)="-"),999),LEN(MID(TRIM(INDEX(PASTE_ALL,28,40)),1+(LEFT(TRIM(INDEX(PASTE_ALL,28,40)),1)="-"),999))-(RIGHT(MID(TRIM(INDEX(PASTE_ALL,28,40)),1+(LEFT(TRIM(INDEX(PASTE_ALL,28,40)),1)="-"),999),1)="%")),"0",""),"1",""),"2",""),"3",""),"4",""),"5",""),"6",""),"7",""),"8",""),"9",""),".",""),",","")=""),2,1))),1)</f>
        <v/>
      </c>
      <c r="BM77">
        <f>IFERROR(IF(ISNUMBER(INDEX(PASTE_ALL,28,41)),2,IF(TRIM(INDEX(PASTE_ALL,28,41))="",0,IF(AND(LEFT(MID(TRIM(INDEX(PASTE_ALL,28,41)),1+(LEFT(TRIM(INDEX(PASTE_ALL,28,41)),1)="-"),999),LEN(MID(TRIM(INDEX(PASTE_ALL,28,41)),1+(LEFT(TRIM(INDEX(PASTE_ALL,28,41)),1)="-"),999))-(RIGHT(MID(TRIM(INDEX(PASTE_ALL,28,41)),1+(LEFT(TRIM(INDEX(PASTE_ALL,28,41)),1)="-"),999),1)="%"))&lt;&gt;"",SUBSTITUTE(SUBSTITUTE(SUBSTITUTE(SUBSTITUTE(SUBSTITUTE(SUBSTITUTE(SUBSTITUTE(SUBSTITUTE(SUBSTITUTE(SUBSTITUTE(SUBSTITUTE(SUBSTITUTE(LEFT(MID(TRIM(INDEX(PASTE_ALL,28,41)),1+(LEFT(TRIM(INDEX(PASTE_ALL,28,41)),1)="-"),999),LEN(MID(TRIM(INDEX(PASTE_ALL,28,41)),1+(LEFT(TRIM(INDEX(PASTE_ALL,28,41)),1)="-"),999))-(RIGHT(MID(TRIM(INDEX(PASTE_ALL,28,41)),1+(LEFT(TRIM(INDEX(PASTE_ALL,28,41)),1)="-"),999),1)="%")),"0",""),"1",""),"2",""),"3",""),"4",""),"5",""),"6",""),"7",""),"8",""),"9",""),".",""),",","")=""),2,1))),1)</f>
        <v/>
      </c>
      <c r="BN77">
        <f>IFERROR(IF(ISNUMBER(INDEX(PASTE_ALL,28,42)),2,IF(TRIM(INDEX(PASTE_ALL,28,42))="",0,IF(AND(LEFT(MID(TRIM(INDEX(PASTE_ALL,28,42)),1+(LEFT(TRIM(INDEX(PASTE_ALL,28,42)),1)="-"),999),LEN(MID(TRIM(INDEX(PASTE_ALL,28,42)),1+(LEFT(TRIM(INDEX(PASTE_ALL,28,42)),1)="-"),999))-(RIGHT(MID(TRIM(INDEX(PASTE_ALL,28,42)),1+(LEFT(TRIM(INDEX(PASTE_ALL,28,42)),1)="-"),999),1)="%"))&lt;&gt;"",SUBSTITUTE(SUBSTITUTE(SUBSTITUTE(SUBSTITUTE(SUBSTITUTE(SUBSTITUTE(SUBSTITUTE(SUBSTITUTE(SUBSTITUTE(SUBSTITUTE(SUBSTITUTE(SUBSTITUTE(LEFT(MID(TRIM(INDEX(PASTE_ALL,28,42)),1+(LEFT(TRIM(INDEX(PASTE_ALL,28,42)),1)="-"),999),LEN(MID(TRIM(INDEX(PASTE_ALL,28,42)),1+(LEFT(TRIM(INDEX(PASTE_ALL,28,42)),1)="-"),999))-(RIGHT(MID(TRIM(INDEX(PASTE_ALL,28,42)),1+(LEFT(TRIM(INDEX(PASTE_ALL,28,42)),1)="-"),999),1)="%")),"0",""),"1",""),"2",""),"3",""),"4",""),"5",""),"6",""),"7",""),"8",""),"9",""),".",""),",","")=""),2,1))),1)</f>
        <v/>
      </c>
      <c r="BO77">
        <f>IFERROR(IF(ISNUMBER(INDEX(PASTE_ALL,28,43)),2,IF(TRIM(INDEX(PASTE_ALL,28,43))="",0,IF(AND(LEFT(MID(TRIM(INDEX(PASTE_ALL,28,43)),1+(LEFT(TRIM(INDEX(PASTE_ALL,28,43)),1)="-"),999),LEN(MID(TRIM(INDEX(PASTE_ALL,28,43)),1+(LEFT(TRIM(INDEX(PASTE_ALL,28,43)),1)="-"),999))-(RIGHT(MID(TRIM(INDEX(PASTE_ALL,28,43)),1+(LEFT(TRIM(INDEX(PASTE_ALL,28,43)),1)="-"),999),1)="%"))&lt;&gt;"",SUBSTITUTE(SUBSTITUTE(SUBSTITUTE(SUBSTITUTE(SUBSTITUTE(SUBSTITUTE(SUBSTITUTE(SUBSTITUTE(SUBSTITUTE(SUBSTITUTE(SUBSTITUTE(SUBSTITUTE(LEFT(MID(TRIM(INDEX(PASTE_ALL,28,43)),1+(LEFT(TRIM(INDEX(PASTE_ALL,28,43)),1)="-"),999),LEN(MID(TRIM(INDEX(PASTE_ALL,28,43)),1+(LEFT(TRIM(INDEX(PASTE_ALL,28,43)),1)="-"),999))-(RIGHT(MID(TRIM(INDEX(PASTE_ALL,28,43)),1+(LEFT(TRIM(INDEX(PASTE_ALL,28,43)),1)="-"),999),1)="%")),"0",""),"1",""),"2",""),"3",""),"4",""),"5",""),"6",""),"7",""),"8",""),"9",""),".",""),",","")=""),2,1))),1)</f>
        <v/>
      </c>
      <c r="BP77">
        <f>IFERROR(IF(ISNUMBER(INDEX(PASTE_ALL,28,44)),2,IF(TRIM(INDEX(PASTE_ALL,28,44))="",0,IF(AND(LEFT(MID(TRIM(INDEX(PASTE_ALL,28,44)),1+(LEFT(TRIM(INDEX(PASTE_ALL,28,44)),1)="-"),999),LEN(MID(TRIM(INDEX(PASTE_ALL,28,44)),1+(LEFT(TRIM(INDEX(PASTE_ALL,28,44)),1)="-"),999))-(RIGHT(MID(TRIM(INDEX(PASTE_ALL,28,44)),1+(LEFT(TRIM(INDEX(PASTE_ALL,28,44)),1)="-"),999),1)="%"))&lt;&gt;"",SUBSTITUTE(SUBSTITUTE(SUBSTITUTE(SUBSTITUTE(SUBSTITUTE(SUBSTITUTE(SUBSTITUTE(SUBSTITUTE(SUBSTITUTE(SUBSTITUTE(SUBSTITUTE(SUBSTITUTE(LEFT(MID(TRIM(INDEX(PASTE_ALL,28,44)),1+(LEFT(TRIM(INDEX(PASTE_ALL,28,44)),1)="-"),999),LEN(MID(TRIM(INDEX(PASTE_ALL,28,44)),1+(LEFT(TRIM(INDEX(PASTE_ALL,28,44)),1)="-"),999))-(RIGHT(MID(TRIM(INDEX(PASTE_ALL,28,44)),1+(LEFT(TRIM(INDEX(PASTE_ALL,28,44)),1)="-"),999),1)="%")),"0",""),"1",""),"2",""),"3",""),"4",""),"5",""),"6",""),"7",""),"8",""),"9",""),".",""),",","")=""),2,1))),1)</f>
        <v/>
      </c>
      <c r="BQ77">
        <f>IFERROR(IF(ISNUMBER(INDEX(PASTE_ALL,28,45)),2,IF(TRIM(INDEX(PASTE_ALL,28,45))="",0,IF(AND(LEFT(MID(TRIM(INDEX(PASTE_ALL,28,45)),1+(LEFT(TRIM(INDEX(PASTE_ALL,28,45)),1)="-"),999),LEN(MID(TRIM(INDEX(PASTE_ALL,28,45)),1+(LEFT(TRIM(INDEX(PASTE_ALL,28,45)),1)="-"),999))-(RIGHT(MID(TRIM(INDEX(PASTE_ALL,28,45)),1+(LEFT(TRIM(INDEX(PASTE_ALL,28,45)),1)="-"),999),1)="%"))&lt;&gt;"",SUBSTITUTE(SUBSTITUTE(SUBSTITUTE(SUBSTITUTE(SUBSTITUTE(SUBSTITUTE(SUBSTITUTE(SUBSTITUTE(SUBSTITUTE(SUBSTITUTE(SUBSTITUTE(SUBSTITUTE(LEFT(MID(TRIM(INDEX(PASTE_ALL,28,45)),1+(LEFT(TRIM(INDEX(PASTE_ALL,28,45)),1)="-"),999),LEN(MID(TRIM(INDEX(PASTE_ALL,28,45)),1+(LEFT(TRIM(INDEX(PASTE_ALL,28,45)),1)="-"),999))-(RIGHT(MID(TRIM(INDEX(PASTE_ALL,28,45)),1+(LEFT(TRIM(INDEX(PASTE_ALL,28,45)),1)="-"),999),1)="%")),"0",""),"1",""),"2",""),"3",""),"4",""),"5",""),"6",""),"7",""),"8",""),"9",""),".",""),",","")=""),2,1))),1)</f>
        <v/>
      </c>
      <c r="BR77">
        <f>IFERROR(IF(ISNUMBER(INDEX(PASTE_ALL,28,46)),2,IF(TRIM(INDEX(PASTE_ALL,28,46))="",0,IF(AND(LEFT(MID(TRIM(INDEX(PASTE_ALL,28,46)),1+(LEFT(TRIM(INDEX(PASTE_ALL,28,46)),1)="-"),999),LEN(MID(TRIM(INDEX(PASTE_ALL,28,46)),1+(LEFT(TRIM(INDEX(PASTE_ALL,28,46)),1)="-"),999))-(RIGHT(MID(TRIM(INDEX(PASTE_ALL,28,46)),1+(LEFT(TRIM(INDEX(PASTE_ALL,28,46)),1)="-"),999),1)="%"))&lt;&gt;"",SUBSTITUTE(SUBSTITUTE(SUBSTITUTE(SUBSTITUTE(SUBSTITUTE(SUBSTITUTE(SUBSTITUTE(SUBSTITUTE(SUBSTITUTE(SUBSTITUTE(SUBSTITUTE(SUBSTITUTE(LEFT(MID(TRIM(INDEX(PASTE_ALL,28,46)),1+(LEFT(TRIM(INDEX(PASTE_ALL,28,46)),1)="-"),999),LEN(MID(TRIM(INDEX(PASTE_ALL,28,46)),1+(LEFT(TRIM(INDEX(PASTE_ALL,28,46)),1)="-"),999))-(RIGHT(MID(TRIM(INDEX(PASTE_ALL,28,46)),1+(LEFT(TRIM(INDEX(PASTE_ALL,28,46)),1)="-"),999),1)="%")),"0",""),"1",""),"2",""),"3",""),"4",""),"5",""),"6",""),"7",""),"8",""),"9",""),".",""),",","")=""),2,1))),1)</f>
        <v/>
      </c>
      <c r="BS77">
        <f>IFERROR(IF(ISNUMBER(INDEX(PASTE_ALL,28,47)),2,IF(TRIM(INDEX(PASTE_ALL,28,47))="",0,IF(AND(LEFT(MID(TRIM(INDEX(PASTE_ALL,28,47)),1+(LEFT(TRIM(INDEX(PASTE_ALL,28,47)),1)="-"),999),LEN(MID(TRIM(INDEX(PASTE_ALL,28,47)),1+(LEFT(TRIM(INDEX(PASTE_ALL,28,47)),1)="-"),999))-(RIGHT(MID(TRIM(INDEX(PASTE_ALL,28,47)),1+(LEFT(TRIM(INDEX(PASTE_ALL,28,47)),1)="-"),999),1)="%"))&lt;&gt;"",SUBSTITUTE(SUBSTITUTE(SUBSTITUTE(SUBSTITUTE(SUBSTITUTE(SUBSTITUTE(SUBSTITUTE(SUBSTITUTE(SUBSTITUTE(SUBSTITUTE(SUBSTITUTE(SUBSTITUTE(LEFT(MID(TRIM(INDEX(PASTE_ALL,28,47)),1+(LEFT(TRIM(INDEX(PASTE_ALL,28,47)),1)="-"),999),LEN(MID(TRIM(INDEX(PASTE_ALL,28,47)),1+(LEFT(TRIM(INDEX(PASTE_ALL,28,47)),1)="-"),999))-(RIGHT(MID(TRIM(INDEX(PASTE_ALL,28,47)),1+(LEFT(TRIM(INDEX(PASTE_ALL,28,47)),1)="-"),999),1)="%")),"0",""),"1",""),"2",""),"3",""),"4",""),"5",""),"6",""),"7",""),"8",""),"9",""),".",""),",","")=""),2,1))),1)</f>
        <v/>
      </c>
      <c r="BT77">
        <f>IFERROR(IF(ISNUMBER(INDEX(PASTE_ALL,28,48)),2,IF(TRIM(INDEX(PASTE_ALL,28,48))="",0,IF(AND(LEFT(MID(TRIM(INDEX(PASTE_ALL,28,48)),1+(LEFT(TRIM(INDEX(PASTE_ALL,28,48)),1)="-"),999),LEN(MID(TRIM(INDEX(PASTE_ALL,28,48)),1+(LEFT(TRIM(INDEX(PASTE_ALL,28,48)),1)="-"),999))-(RIGHT(MID(TRIM(INDEX(PASTE_ALL,28,48)),1+(LEFT(TRIM(INDEX(PASTE_ALL,28,48)),1)="-"),999),1)="%"))&lt;&gt;"",SUBSTITUTE(SUBSTITUTE(SUBSTITUTE(SUBSTITUTE(SUBSTITUTE(SUBSTITUTE(SUBSTITUTE(SUBSTITUTE(SUBSTITUTE(SUBSTITUTE(SUBSTITUTE(SUBSTITUTE(LEFT(MID(TRIM(INDEX(PASTE_ALL,28,48)),1+(LEFT(TRIM(INDEX(PASTE_ALL,28,48)),1)="-"),999),LEN(MID(TRIM(INDEX(PASTE_ALL,28,48)),1+(LEFT(TRIM(INDEX(PASTE_ALL,28,48)),1)="-"),999))-(RIGHT(MID(TRIM(INDEX(PASTE_ALL,28,48)),1+(LEFT(TRIM(INDEX(PASTE_ALL,28,48)),1)="-"),999),1)="%")),"0",""),"1",""),"2",""),"3",""),"4",""),"5",""),"6",""),"7",""),"8",""),"9",""),".",""),",","")=""),2,1))),1)</f>
        <v/>
      </c>
      <c r="BU77">
        <f>IFERROR(IF(ISNUMBER(INDEX(PASTE_ALL,28,49)),2,IF(TRIM(INDEX(PASTE_ALL,28,49))="",0,IF(AND(LEFT(MID(TRIM(INDEX(PASTE_ALL,28,49)),1+(LEFT(TRIM(INDEX(PASTE_ALL,28,49)),1)="-"),999),LEN(MID(TRIM(INDEX(PASTE_ALL,28,49)),1+(LEFT(TRIM(INDEX(PASTE_ALL,28,49)),1)="-"),999))-(RIGHT(MID(TRIM(INDEX(PASTE_ALL,28,49)),1+(LEFT(TRIM(INDEX(PASTE_ALL,28,49)),1)="-"),999),1)="%"))&lt;&gt;"",SUBSTITUTE(SUBSTITUTE(SUBSTITUTE(SUBSTITUTE(SUBSTITUTE(SUBSTITUTE(SUBSTITUTE(SUBSTITUTE(SUBSTITUTE(SUBSTITUTE(SUBSTITUTE(SUBSTITUTE(LEFT(MID(TRIM(INDEX(PASTE_ALL,28,49)),1+(LEFT(TRIM(INDEX(PASTE_ALL,28,49)),1)="-"),999),LEN(MID(TRIM(INDEX(PASTE_ALL,28,49)),1+(LEFT(TRIM(INDEX(PASTE_ALL,28,49)),1)="-"),999))-(RIGHT(MID(TRIM(INDEX(PASTE_ALL,28,49)),1+(LEFT(TRIM(INDEX(PASTE_ALL,28,49)),1)="-"),999),1)="%")),"0",""),"1",""),"2",""),"3",""),"4",""),"5",""),"6",""),"7",""),"8",""),"9",""),".",""),",","")=""),2,1))),1)</f>
        <v/>
      </c>
      <c r="BV77">
        <f>IFERROR(IF(ISNUMBER(INDEX(PASTE_ALL,28,50)),2,IF(TRIM(INDEX(PASTE_ALL,28,50))="",0,IF(AND(LEFT(MID(TRIM(INDEX(PASTE_ALL,28,50)),1+(LEFT(TRIM(INDEX(PASTE_ALL,28,50)),1)="-"),999),LEN(MID(TRIM(INDEX(PASTE_ALL,28,50)),1+(LEFT(TRIM(INDEX(PASTE_ALL,28,50)),1)="-"),999))-(RIGHT(MID(TRIM(INDEX(PASTE_ALL,28,50)),1+(LEFT(TRIM(INDEX(PASTE_ALL,28,50)),1)="-"),999),1)="%"))&lt;&gt;"",SUBSTITUTE(SUBSTITUTE(SUBSTITUTE(SUBSTITUTE(SUBSTITUTE(SUBSTITUTE(SUBSTITUTE(SUBSTITUTE(SUBSTITUTE(SUBSTITUTE(SUBSTITUTE(SUBSTITUTE(LEFT(MID(TRIM(INDEX(PASTE_ALL,28,50)),1+(LEFT(TRIM(INDEX(PASTE_ALL,28,50)),1)="-"),999),LEN(MID(TRIM(INDEX(PASTE_ALL,28,50)),1+(LEFT(TRIM(INDEX(PASTE_ALL,28,50)),1)="-"),999))-(RIGHT(MID(TRIM(INDEX(PASTE_ALL,28,50)),1+(LEFT(TRIM(INDEX(PASTE_ALL,28,50)),1)="-"),999),1)="%")),"0",""),"1",""),"2",""),"3",""),"4",""),"5",""),"6",""),"7",""),"8",""),"9",""),".",""),",","")=""),2,1))),1)</f>
        <v/>
      </c>
      <c r="BW77">
        <f>IFERROR(IF(ISNUMBER(INDEX(PASTE_ALL,28,51)),2,IF(TRIM(INDEX(PASTE_ALL,28,51))="",0,IF(AND(LEFT(MID(TRIM(INDEX(PASTE_ALL,28,51)),1+(LEFT(TRIM(INDEX(PASTE_ALL,28,51)),1)="-"),999),LEN(MID(TRIM(INDEX(PASTE_ALL,28,51)),1+(LEFT(TRIM(INDEX(PASTE_ALL,28,51)),1)="-"),999))-(RIGHT(MID(TRIM(INDEX(PASTE_ALL,28,51)),1+(LEFT(TRIM(INDEX(PASTE_ALL,28,51)),1)="-"),999),1)="%"))&lt;&gt;"",SUBSTITUTE(SUBSTITUTE(SUBSTITUTE(SUBSTITUTE(SUBSTITUTE(SUBSTITUTE(SUBSTITUTE(SUBSTITUTE(SUBSTITUTE(SUBSTITUTE(SUBSTITUTE(SUBSTITUTE(LEFT(MID(TRIM(INDEX(PASTE_ALL,28,51)),1+(LEFT(TRIM(INDEX(PASTE_ALL,28,51)),1)="-"),999),LEN(MID(TRIM(INDEX(PASTE_ALL,28,51)),1+(LEFT(TRIM(INDEX(PASTE_ALL,28,51)),1)="-"),999))-(RIGHT(MID(TRIM(INDEX(PASTE_ALL,28,51)),1+(LEFT(TRIM(INDEX(PASTE_ALL,28,51)),1)="-"),999),1)="%")),"0",""),"1",""),"2",""),"3",""),"4",""),"5",""),"6",""),"7",""),"8",""),"9",""),".",""),",","")=""),2,1))),1)</f>
        <v/>
      </c>
      <c r="BX77">
        <f>IFERROR(IF(ISNUMBER(INDEX(PASTE_ALL,28,52)),2,IF(TRIM(INDEX(PASTE_ALL,28,52))="",0,IF(AND(LEFT(MID(TRIM(INDEX(PASTE_ALL,28,52)),1+(LEFT(TRIM(INDEX(PASTE_ALL,28,52)),1)="-"),999),LEN(MID(TRIM(INDEX(PASTE_ALL,28,52)),1+(LEFT(TRIM(INDEX(PASTE_ALL,28,52)),1)="-"),999))-(RIGHT(MID(TRIM(INDEX(PASTE_ALL,28,52)),1+(LEFT(TRIM(INDEX(PASTE_ALL,28,52)),1)="-"),999),1)="%"))&lt;&gt;"",SUBSTITUTE(SUBSTITUTE(SUBSTITUTE(SUBSTITUTE(SUBSTITUTE(SUBSTITUTE(SUBSTITUTE(SUBSTITUTE(SUBSTITUTE(SUBSTITUTE(SUBSTITUTE(SUBSTITUTE(LEFT(MID(TRIM(INDEX(PASTE_ALL,28,52)),1+(LEFT(TRIM(INDEX(PASTE_ALL,28,52)),1)="-"),999),LEN(MID(TRIM(INDEX(PASTE_ALL,28,52)),1+(LEFT(TRIM(INDEX(PASTE_ALL,28,52)),1)="-"),999))-(RIGHT(MID(TRIM(INDEX(PASTE_ALL,28,52)),1+(LEFT(TRIM(INDEX(PASTE_ALL,28,52)),1)="-"),999),1)="%")),"0",""),"1",""),"2",""),"3",""),"4",""),"5",""),"6",""),"7",""),"8",""),"9",""),".",""),",","")=""),2,1))),1)</f>
        <v/>
      </c>
      <c r="BY77">
        <f>IFERROR(IF(ISNUMBER(INDEX(PASTE_ALL,28,53)),2,IF(TRIM(INDEX(PASTE_ALL,28,53))="",0,IF(AND(LEFT(MID(TRIM(INDEX(PASTE_ALL,28,53)),1+(LEFT(TRIM(INDEX(PASTE_ALL,28,53)),1)="-"),999),LEN(MID(TRIM(INDEX(PASTE_ALL,28,53)),1+(LEFT(TRIM(INDEX(PASTE_ALL,28,53)),1)="-"),999))-(RIGHT(MID(TRIM(INDEX(PASTE_ALL,28,53)),1+(LEFT(TRIM(INDEX(PASTE_ALL,28,53)),1)="-"),999),1)="%"))&lt;&gt;"",SUBSTITUTE(SUBSTITUTE(SUBSTITUTE(SUBSTITUTE(SUBSTITUTE(SUBSTITUTE(SUBSTITUTE(SUBSTITUTE(SUBSTITUTE(SUBSTITUTE(SUBSTITUTE(SUBSTITUTE(LEFT(MID(TRIM(INDEX(PASTE_ALL,28,53)),1+(LEFT(TRIM(INDEX(PASTE_ALL,28,53)),1)="-"),999),LEN(MID(TRIM(INDEX(PASTE_ALL,28,53)),1+(LEFT(TRIM(INDEX(PASTE_ALL,28,53)),1)="-"),999))-(RIGHT(MID(TRIM(INDEX(PASTE_ALL,28,53)),1+(LEFT(TRIM(INDEX(PASTE_ALL,28,53)),1)="-"),999),1)="%")),"0",""),"1",""),"2",""),"3",""),"4",""),"5",""),"6",""),"7",""),"8",""),"9",""),".",""),",","")=""),2,1))),1)</f>
        <v/>
      </c>
      <c r="BZ77">
        <f>IFERROR(IF(ISNUMBER(INDEX(PASTE_ALL,28,54)),2,IF(TRIM(INDEX(PASTE_ALL,28,54))="",0,IF(AND(LEFT(MID(TRIM(INDEX(PASTE_ALL,28,54)),1+(LEFT(TRIM(INDEX(PASTE_ALL,28,54)),1)="-"),999),LEN(MID(TRIM(INDEX(PASTE_ALL,28,54)),1+(LEFT(TRIM(INDEX(PASTE_ALL,28,54)),1)="-"),999))-(RIGHT(MID(TRIM(INDEX(PASTE_ALL,28,54)),1+(LEFT(TRIM(INDEX(PASTE_ALL,28,54)),1)="-"),999),1)="%"))&lt;&gt;"",SUBSTITUTE(SUBSTITUTE(SUBSTITUTE(SUBSTITUTE(SUBSTITUTE(SUBSTITUTE(SUBSTITUTE(SUBSTITUTE(SUBSTITUTE(SUBSTITUTE(SUBSTITUTE(SUBSTITUTE(LEFT(MID(TRIM(INDEX(PASTE_ALL,28,54)),1+(LEFT(TRIM(INDEX(PASTE_ALL,28,54)),1)="-"),999),LEN(MID(TRIM(INDEX(PASTE_ALL,28,54)),1+(LEFT(TRIM(INDEX(PASTE_ALL,28,54)),1)="-"),999))-(RIGHT(MID(TRIM(INDEX(PASTE_ALL,28,54)),1+(LEFT(TRIM(INDEX(PASTE_ALL,28,54)),1)="-"),999),1)="%")),"0",""),"1",""),"2",""),"3",""),"4",""),"5",""),"6",""),"7",""),"8",""),"9",""),".",""),",","")=""),2,1))),1)</f>
        <v/>
      </c>
      <c r="CA77">
        <f>IFERROR(IF(ISNUMBER(INDEX(PASTE_ALL,28,55)),2,IF(TRIM(INDEX(PASTE_ALL,28,55))="",0,IF(AND(LEFT(MID(TRIM(INDEX(PASTE_ALL,28,55)),1+(LEFT(TRIM(INDEX(PASTE_ALL,28,55)),1)="-"),999),LEN(MID(TRIM(INDEX(PASTE_ALL,28,55)),1+(LEFT(TRIM(INDEX(PASTE_ALL,28,55)),1)="-"),999))-(RIGHT(MID(TRIM(INDEX(PASTE_ALL,28,55)),1+(LEFT(TRIM(INDEX(PASTE_ALL,28,55)),1)="-"),999),1)="%"))&lt;&gt;"",SUBSTITUTE(SUBSTITUTE(SUBSTITUTE(SUBSTITUTE(SUBSTITUTE(SUBSTITUTE(SUBSTITUTE(SUBSTITUTE(SUBSTITUTE(SUBSTITUTE(SUBSTITUTE(SUBSTITUTE(LEFT(MID(TRIM(INDEX(PASTE_ALL,28,55)),1+(LEFT(TRIM(INDEX(PASTE_ALL,28,55)),1)="-"),999),LEN(MID(TRIM(INDEX(PASTE_ALL,28,55)),1+(LEFT(TRIM(INDEX(PASTE_ALL,28,55)),1)="-"),999))-(RIGHT(MID(TRIM(INDEX(PASTE_ALL,28,55)),1+(LEFT(TRIM(INDEX(PASTE_ALL,28,55)),1)="-"),999),1)="%")),"0",""),"1",""),"2",""),"3",""),"4",""),"5",""),"6",""),"7",""),"8",""),"9",""),".",""),",","")=""),2,1))),1)</f>
        <v/>
      </c>
      <c r="CB77">
        <f>IFERROR(IF(ISNUMBER(INDEX(PASTE_ALL,28,56)),2,IF(TRIM(INDEX(PASTE_ALL,28,56))="",0,IF(AND(LEFT(MID(TRIM(INDEX(PASTE_ALL,28,56)),1+(LEFT(TRIM(INDEX(PASTE_ALL,28,56)),1)="-"),999),LEN(MID(TRIM(INDEX(PASTE_ALL,28,56)),1+(LEFT(TRIM(INDEX(PASTE_ALL,28,56)),1)="-"),999))-(RIGHT(MID(TRIM(INDEX(PASTE_ALL,28,56)),1+(LEFT(TRIM(INDEX(PASTE_ALL,28,56)),1)="-"),999),1)="%"))&lt;&gt;"",SUBSTITUTE(SUBSTITUTE(SUBSTITUTE(SUBSTITUTE(SUBSTITUTE(SUBSTITUTE(SUBSTITUTE(SUBSTITUTE(SUBSTITUTE(SUBSTITUTE(SUBSTITUTE(SUBSTITUTE(LEFT(MID(TRIM(INDEX(PASTE_ALL,28,56)),1+(LEFT(TRIM(INDEX(PASTE_ALL,28,56)),1)="-"),999),LEN(MID(TRIM(INDEX(PASTE_ALL,28,56)),1+(LEFT(TRIM(INDEX(PASTE_ALL,28,56)),1)="-"),999))-(RIGHT(MID(TRIM(INDEX(PASTE_ALL,28,56)),1+(LEFT(TRIM(INDEX(PASTE_ALL,28,56)),1)="-"),999),1)="%")),"0",""),"1",""),"2",""),"3",""),"4",""),"5",""),"6",""),"7",""),"8",""),"9",""),".",""),",","")=""),2,1))),1)</f>
        <v/>
      </c>
      <c r="CC77">
        <f>IFERROR(IF(ISNUMBER(INDEX(PASTE_ALL,28,57)),2,IF(TRIM(INDEX(PASTE_ALL,28,57))="",0,IF(AND(LEFT(MID(TRIM(INDEX(PASTE_ALL,28,57)),1+(LEFT(TRIM(INDEX(PASTE_ALL,28,57)),1)="-"),999),LEN(MID(TRIM(INDEX(PASTE_ALL,28,57)),1+(LEFT(TRIM(INDEX(PASTE_ALL,28,57)),1)="-"),999))-(RIGHT(MID(TRIM(INDEX(PASTE_ALL,28,57)),1+(LEFT(TRIM(INDEX(PASTE_ALL,28,57)),1)="-"),999),1)="%"))&lt;&gt;"",SUBSTITUTE(SUBSTITUTE(SUBSTITUTE(SUBSTITUTE(SUBSTITUTE(SUBSTITUTE(SUBSTITUTE(SUBSTITUTE(SUBSTITUTE(SUBSTITUTE(SUBSTITUTE(SUBSTITUTE(LEFT(MID(TRIM(INDEX(PASTE_ALL,28,57)),1+(LEFT(TRIM(INDEX(PASTE_ALL,28,57)),1)="-"),999),LEN(MID(TRIM(INDEX(PASTE_ALL,28,57)),1+(LEFT(TRIM(INDEX(PASTE_ALL,28,57)),1)="-"),999))-(RIGHT(MID(TRIM(INDEX(PASTE_ALL,28,57)),1+(LEFT(TRIM(INDEX(PASTE_ALL,28,57)),1)="-"),999),1)="%")),"0",""),"1",""),"2",""),"3",""),"4",""),"5",""),"6",""),"7",""),"8",""),"9",""),".",""),",","")=""),2,1))),1)</f>
        <v/>
      </c>
      <c r="CD77">
        <f>IFERROR(IF(ISNUMBER(INDEX(PASTE_ALL,28,58)),2,IF(TRIM(INDEX(PASTE_ALL,28,58))="",0,IF(AND(LEFT(MID(TRIM(INDEX(PASTE_ALL,28,58)),1+(LEFT(TRIM(INDEX(PASTE_ALL,28,58)),1)="-"),999),LEN(MID(TRIM(INDEX(PASTE_ALL,28,58)),1+(LEFT(TRIM(INDEX(PASTE_ALL,28,58)),1)="-"),999))-(RIGHT(MID(TRIM(INDEX(PASTE_ALL,28,58)),1+(LEFT(TRIM(INDEX(PASTE_ALL,28,58)),1)="-"),999),1)="%"))&lt;&gt;"",SUBSTITUTE(SUBSTITUTE(SUBSTITUTE(SUBSTITUTE(SUBSTITUTE(SUBSTITUTE(SUBSTITUTE(SUBSTITUTE(SUBSTITUTE(SUBSTITUTE(SUBSTITUTE(SUBSTITUTE(LEFT(MID(TRIM(INDEX(PASTE_ALL,28,58)),1+(LEFT(TRIM(INDEX(PASTE_ALL,28,58)),1)="-"),999),LEN(MID(TRIM(INDEX(PASTE_ALL,28,58)),1+(LEFT(TRIM(INDEX(PASTE_ALL,28,58)),1)="-"),999))-(RIGHT(MID(TRIM(INDEX(PASTE_ALL,28,58)),1+(LEFT(TRIM(INDEX(PASTE_ALL,28,58)),1)="-"),999),1)="%")),"0",""),"1",""),"2",""),"3",""),"4",""),"5",""),"6",""),"7",""),"8",""),"9",""),".",""),",","")=""),2,1))),1)</f>
        <v/>
      </c>
      <c r="CE77">
        <f>IFERROR(IF(ISNUMBER(INDEX(PASTE_ALL,28,59)),2,IF(TRIM(INDEX(PASTE_ALL,28,59))="",0,IF(AND(LEFT(MID(TRIM(INDEX(PASTE_ALL,28,59)),1+(LEFT(TRIM(INDEX(PASTE_ALL,28,59)),1)="-"),999),LEN(MID(TRIM(INDEX(PASTE_ALL,28,59)),1+(LEFT(TRIM(INDEX(PASTE_ALL,28,59)),1)="-"),999))-(RIGHT(MID(TRIM(INDEX(PASTE_ALL,28,59)),1+(LEFT(TRIM(INDEX(PASTE_ALL,28,59)),1)="-"),999),1)="%"))&lt;&gt;"",SUBSTITUTE(SUBSTITUTE(SUBSTITUTE(SUBSTITUTE(SUBSTITUTE(SUBSTITUTE(SUBSTITUTE(SUBSTITUTE(SUBSTITUTE(SUBSTITUTE(SUBSTITUTE(SUBSTITUTE(LEFT(MID(TRIM(INDEX(PASTE_ALL,28,59)),1+(LEFT(TRIM(INDEX(PASTE_ALL,28,59)),1)="-"),999),LEN(MID(TRIM(INDEX(PASTE_ALL,28,59)),1+(LEFT(TRIM(INDEX(PASTE_ALL,28,59)),1)="-"),999))-(RIGHT(MID(TRIM(INDEX(PASTE_ALL,28,59)),1+(LEFT(TRIM(INDEX(PASTE_ALL,28,59)),1)="-"),999),1)="%")),"0",""),"1",""),"2",""),"3",""),"4",""),"5",""),"6",""),"7",""),"8",""),"9",""),".",""),",","")=""),2,1))),1)</f>
        <v/>
      </c>
      <c r="CF77">
        <f>IFERROR(IF(ISNUMBER(INDEX(PASTE_ALL,28,60)),2,IF(TRIM(INDEX(PASTE_ALL,28,60))="",0,IF(AND(LEFT(MID(TRIM(INDEX(PASTE_ALL,28,60)),1+(LEFT(TRIM(INDEX(PASTE_ALL,28,60)),1)="-"),999),LEN(MID(TRIM(INDEX(PASTE_ALL,28,60)),1+(LEFT(TRIM(INDEX(PASTE_ALL,28,60)),1)="-"),999))-(RIGHT(MID(TRIM(INDEX(PASTE_ALL,28,60)),1+(LEFT(TRIM(INDEX(PASTE_ALL,28,60)),1)="-"),999),1)="%"))&lt;&gt;"",SUBSTITUTE(SUBSTITUTE(SUBSTITUTE(SUBSTITUTE(SUBSTITUTE(SUBSTITUTE(SUBSTITUTE(SUBSTITUTE(SUBSTITUTE(SUBSTITUTE(SUBSTITUTE(SUBSTITUTE(LEFT(MID(TRIM(INDEX(PASTE_ALL,28,60)),1+(LEFT(TRIM(INDEX(PASTE_ALL,28,60)),1)="-"),999),LEN(MID(TRIM(INDEX(PASTE_ALL,28,60)),1+(LEFT(TRIM(INDEX(PASTE_ALL,28,60)),1)="-"),999))-(RIGHT(MID(TRIM(INDEX(PASTE_ALL,28,60)),1+(LEFT(TRIM(INDEX(PASTE_ALL,28,60)),1)="-"),999),1)="%")),"0",""),"1",""),"2",""),"3",""),"4",""),"5",""),"6",""),"7",""),"8",""),"9",""),".",""),",","")=""),2,1))),1)</f>
        <v/>
      </c>
      <c r="DA77" t="n">
        <v>73</v>
      </c>
      <c r="DB77">
        <f>IF($B$37=0,"",IFERROR(TRIM(SUBSTITUTE(SUBSTITUTE(SUBSTITUTE(SUBSTITUTE(INDEX(PASTE_ALL,73,$B$37)," "," "),CHAR(9)," "),CHAR(10)," "),CHAR(13)," ")),""))</f>
        <v/>
      </c>
      <c r="DC77">
        <f>IF(AND(73&gt;HEADER_ROW,UPPER(DB77)="LEGEND"),1,0)</f>
        <v/>
      </c>
      <c r="DE77" t="n">
        <v>73</v>
      </c>
      <c r="DF77">
        <f>HEADER_ROW+$DE77</f>
        <v/>
      </c>
      <c r="DG77">
        <f>IF(AND($DF77&lt;=1000,$DF77&lt;$B$8),1,0)</f>
        <v/>
      </c>
      <c r="DH77">
        <f>IF($DG77=1,IFERROR(INDEX($DB$5:$DB$1004,$DF77),""),"")</f>
        <v/>
      </c>
      <c r="DI77">
        <f>IF(AND($DG77=1,$DH77&lt;&gt;""),IFERROR(SUBSTITUTE(SUBSTITUTE(TRIM(SUBSTITUTE(SUBSTITUTE(SUBSTITUTE(SUBSTITUTE(IFERROR(INDEX(PASTE_ALL,$DF77,1)&amp;"","")&amp;"␟"&amp;IFERROR(INDEX(PASTE_ALL,$DF77,2)&amp;"","")&amp;"␟"&amp;IFERROR(INDEX(PASTE_ALL,$DF77,3)&amp;"","")&amp;"␟"&amp;IFERROR(INDEX(PASTE_ALL,$DF77,4)&amp;"","")&amp;"␟"&amp;IFERROR(INDEX(PASTE_ALL,$DF77,5)&amp;"","")&amp;"␟"&amp;IFERROR(INDEX(PASTE_ALL,$DF77,6)&amp;"","")&amp;"␟"&amp;IFERROR(INDEX(PASTE_ALL,$DF77,7)&amp;"","")&amp;"␟"&amp;IFERROR(INDEX(PASTE_ALL,$DF77,8)&amp;"","")&amp;"␟"&amp;IFERROR(INDEX(PASTE_ALL,$DF77,9)&amp;"","")&amp;"␟"&amp;IFERROR(INDEX(PASTE_ALL,$DF77,10)&amp;"","")&amp;"␟"&amp;IFERROR(INDEX(PASTE_ALL,$DF77,11)&amp;"","")&amp;"␟"&amp;IFERROR(INDEX(PASTE_ALL,$DF77,12)&amp;"","")&amp;"␟"&amp;IFERROR(INDEX(PASTE_ALL,$DF77,13)&amp;"","")&amp;"␟"&amp;IFERROR(INDEX(PASTE_ALL,$DF77,14)&amp;"","")&amp;"␟"&amp;IFERROR(INDEX(PASTE_ALL,$DF77,15)&amp;"","")&amp;"␟"&amp;IFERROR(INDEX(PASTE_ALL,$DF77,16)&amp;"","")&amp;"␟"&amp;IFERROR(INDEX(PASTE_ALL,$DF77,17)&amp;"","")&amp;"␟"&amp;IFERROR(INDEX(PASTE_ALL,$DF77,18)&amp;"","")&amp;"␟"&amp;IFERROR(INDEX(PASTE_ALL,$DF77,19)&amp;"","")&amp;"␟"&amp;IFERROR(INDEX(PASTE_ALL,$DF77,20)&amp;"","")&amp;"␟"&amp;IFERROR(INDEX(PASTE_ALL,$DF77,21)&amp;"","")&amp;"␟"&amp;IFERROR(INDEX(PASTE_ALL,$DF77,22)&amp;"","")&amp;"␟"&amp;IFERROR(INDEX(PASTE_ALL,$DF77,23)&amp;"","")&amp;"␟"&amp;IFERROR(INDEX(PASTE_ALL,$DF77,24)&amp;"","")&amp;"␟"&amp;IFERROR(INDEX(PASTE_ALL,$DF77,25)&amp;"","")&amp;"␟"&amp;IFERROR(INDEX(PASTE_ALL,$DF77,26)&amp;"","")&amp;"␟"&amp;IFERROR(INDEX(PASTE_ALL,$DF77,27)&amp;"","")&amp;"␟"&amp;IFERROR(INDEX(PASTE_ALL,$DF77,28)&amp;"","")&amp;"␟"&amp;IFERROR(INDEX(PASTE_ALL,$DF77,29)&amp;"","")&amp;"␟"&amp;IFERROR(INDEX(PASTE_ALL,$DF77,30)&amp;"","")&amp;"␟"&amp;IFERROR(INDEX(PASTE_ALL,$DF77,31)&amp;"","")&amp;"␟"&amp;IFERROR(INDEX(PASTE_ALL,$DF77,32)&amp;"","")&amp;"␟"&amp;IFERROR(INDEX(PASTE_ALL,$DF77,33)&amp;"","")&amp;"␟"&amp;IFERROR(INDEX(PASTE_ALL,$DF77,34)&amp;"","")&amp;"␟"&amp;IFERROR(INDEX(PASTE_ALL,$DF77,35)&amp;"","")&amp;"␟"&amp;IFERROR(INDEX(PASTE_ALL,$DF77,36)&amp;"","")&amp;"␟"&amp;IFERROR(INDEX(PASTE_ALL,$DF77,37)&amp;"","")&amp;"␟"&amp;IFERROR(INDEX(PASTE_ALL,$DF77,38)&amp;"","")&amp;"␟"&amp;IFERROR(INDEX(PASTE_ALL,$DF77,39)&amp;"","")&amp;"␟"&amp;IFERROR(INDEX(PASTE_ALL,$DF77,40)&amp;"","")&amp;"␟"&amp;IFERROR(INDEX(PASTE_ALL,$DF77,41)&amp;"","")&amp;"␟"&amp;IFERROR(INDEX(PASTE_ALL,$DF77,42)&amp;"","")&amp;"␟"&amp;IFERROR(INDEX(PASTE_ALL,$DF77,43)&amp;"","")&amp;"␟"&amp;IFERROR(INDEX(PASTE_ALL,$DF77,44)&amp;"","")&amp;"␟"&amp;IFERROR(INDEX(PASTE_ALL,$DF77,45)&amp;"","")&amp;"␟"&amp;IFERROR(INDEX(PASTE_ALL,$DF77,46)&amp;"","")&amp;"␟"&amp;IFERROR(INDEX(PASTE_ALL,$DF77,47)&amp;"","")&amp;"␟"&amp;IFERROR(INDEX(PASTE_ALL,$DF77,48)&amp;"","")&amp;"␟"&amp;IFERROR(INDEX(PASTE_ALL,$DF77,49)&amp;"","")&amp;"␟"&amp;IFERROR(INDEX(PASTE_ALL,$DF77,50)&amp;"","")&amp;"␟"&amp;IFERROR(INDEX(PASTE_ALL,$DF77,51)&amp;"","")&amp;"␟"&amp;IFERROR(INDEX(PASTE_ALL,$DF77,52)&amp;"","")&amp;"␟"&amp;IFERROR(INDEX(PASTE_ALL,$DF77,53)&amp;"","")&amp;"␟"&amp;IFERROR(INDEX(PASTE_ALL,$DF77,54)&amp;"","")&amp;"␟"&amp;IFERROR(INDEX(PASTE_ALL,$DF77,55)&amp;"","")&amp;"␟"&amp;IFERROR(INDEX(PASTE_ALL,$DF77,56)&amp;"","")&amp;"␟"&amp;IFERROR(INDEX(PASTE_ALL,$DF77,57)&amp;"","")&amp;"␟"&amp;IFERROR(INDEX(PASTE_ALL,$DF77,58)&amp;"","")&amp;"␟"&amp;IFERROR(INDEX(PASTE_ALL,$DF77,59)&amp;"","")&amp;"␟"&amp;IFERROR(INDEX(PASTE_ALL,$DF77,60)&amp;"","")," "," "),CHAR(9)," "),CHAR(10)," "),CHAR(13)," "))," ␟","␟"),"␟ ","␟"),"#"&amp;$DE77),"")</f>
        <v/>
      </c>
      <c r="DJ77">
        <f>IF($DI77="",0,IF(SUMPRODUCT(--EXACT($DI$4:DI76,$DI77))&gt;0,1,0))</f>
        <v/>
      </c>
      <c r="DK77">
        <f>IF(AND($DI77&lt;&gt;"",$DJ77=0),1,0)</f>
        <v/>
      </c>
      <c r="DL77">
        <f>DL76+$DK77</f>
        <v/>
      </c>
      <c r="DM77">
        <f>IF(AND($DK77=1,$DL77&lt;=600),1,0)</f>
        <v/>
      </c>
      <c r="DN77">
        <f>IF($DM77=0,"",IF($L$6=0,"",IFERROR(IF(ISNUMBER(INDEX(PASTE_ALL,$DF77,$L$6)),INDEX(PASTE_ALL,$DF77,$L$6),TRIM(SUBSTITUTE(SUBSTITUTE(SUBSTITUTE(SUBSTITUTE(INDEX(PASTE_ALL,$DF77,$L$6)," "," "),CHAR(9)," "),CHAR(10)," "),CHAR(13)," "))),"")))</f>
        <v/>
      </c>
      <c r="DO77">
        <f>IF($DM77=0,"",IF($L$7=0,"",IFERROR(IF(ISNUMBER(INDEX(PASTE_ALL,$DF77,$L$7)),INDEX(PASTE_ALL,$DF77,$L$7),TRIM(SUBSTITUTE(SUBSTITUTE(SUBSTITUTE(SUBSTITUTE(INDEX(PASTE_ALL,$DF77,$L$7)," "," "),CHAR(9)," "),CHAR(10)," "),CHAR(13)," "))),"")))</f>
        <v/>
      </c>
      <c r="DP77">
        <f>IF($DM77=0,"",IF($L$8=0,"",IFERROR(IF(ISNUMBER(INDEX(PASTE_ALL,$DF77,$L$8)),INDEX(PASTE_ALL,$DF77,$L$8),TRIM(SUBSTITUTE(SUBSTITUTE(SUBSTITUTE(SUBSTITUTE(INDEX(PASTE_ALL,$DF77,$L$8)," "," "),CHAR(9)," "),CHAR(10)," "),CHAR(13)," "))),"")))</f>
        <v/>
      </c>
      <c r="DQ77">
        <f>IF($DM77=0,"",IF($L$9=0,"",IFERROR(IF(ISNUMBER(INDEX(PASTE_ALL,$DF77,$L$9)),INDEX(PASTE_ALL,$DF77,$L$9),TRIM(SUBSTITUTE(SUBSTITUTE(SUBSTITUTE(SUBSTITUTE(INDEX(PASTE_ALL,$DF77,$L$9)," "," "),CHAR(9)," "),CHAR(10)," "),CHAR(13)," "))),"")))</f>
        <v/>
      </c>
      <c r="DR77">
        <f>IF($DM77=0,"",IF($L$10=0,"",IFERROR(IF(ISNUMBER(INDEX(PASTE_ALL,$DF77,$L$10)),INDEX(PASTE_ALL,$DF77,$L$10),TRIM(SUBSTITUTE(SUBSTITUTE(SUBSTITUTE(SUBSTITUTE(INDEX(PASTE_ALL,$DF77,$L$10)," "," "),CHAR(9)," "),CHAR(10)," "),CHAR(13)," "))),"")))</f>
        <v/>
      </c>
      <c r="DS77">
        <f>IF($DM77=0,"",IF($L$11=0,"",IFERROR(IF(ISNUMBER(INDEX(PASTE_ALL,$DF77,$L$11)),INDEX(PASTE_ALL,$DF77,$L$11),TRIM(SUBSTITUTE(SUBSTITUTE(SUBSTITUTE(SUBSTITUTE(INDEX(PASTE_ALL,$DF77,$L$11)," "," "),CHAR(9)," "),CHAR(10)," "),CHAR(13)," "))),"")))</f>
        <v/>
      </c>
      <c r="DT77">
        <f>IF($DM77=0,"",IF($L$12=0,"",IFERROR(IF(ISNUMBER(INDEX(PASTE_ALL,$DF77,$L$12)),INDEX(PASTE_ALL,$DF77,$L$12),TRIM(SUBSTITUTE(SUBSTITUTE(SUBSTITUTE(SUBSTITUTE(INDEX(PASTE_ALL,$DF77,$L$12)," "," "),CHAR(9)," "),CHAR(10)," "),CHAR(13)," "))),"")))</f>
        <v/>
      </c>
      <c r="DU77">
        <f>IF($DM77=0,"",IF($L$13=0,"",IFERROR(IF(ISNUMBER(INDEX(PASTE_ALL,$DF77,$L$13)),INDEX(PASTE_ALL,$DF77,$L$13),TRIM(SUBSTITUTE(SUBSTITUTE(SUBSTITUTE(SUBSTITUTE(INDEX(PASTE_ALL,$DF77,$L$13)," "," "),CHAR(9)," "),CHAR(10)," "),CHAR(13)," "))),"")))</f>
        <v/>
      </c>
      <c r="DV77">
        <f>IF($DM77=0,"",IF($L$14=0,"",IFERROR(IF(ISNUMBER(INDEX(PASTE_ALL,$DF77,$L$14)),INDEX(PASTE_ALL,$DF77,$L$14),TRIM(SUBSTITUTE(SUBSTITUTE(SUBSTITUTE(SUBSTITUTE(INDEX(PASTE_ALL,$DF77,$L$14)," "," "),CHAR(9)," "),CHAR(10)," "),CHAR(13)," "))),"")))</f>
        <v/>
      </c>
      <c r="DW77">
        <f>IF($DM77=0,"",IF($L$15=0,"",IFERROR(IF(ISNUMBER(INDEX(PASTE_ALL,$DF77,$L$15)),INDEX(PASTE_ALL,$DF77,$L$15),IF(SUMPRODUCT(--ISNUMBER(FIND({"A","B","C","D","E","F","G","H","I","J","K","L","M","N","O","P","Q","R","S","T","U","V","W","X","Y","Z","0","1","2","3","4","5","6","7","8","9"},UPPER(TRIM(SUBSTITUTE(SUBSTITUTE(SUBSTITUTE(SUBSTITUTE(INDEX(PASTE_ALL,$DF77,$L$15)," "," "),CHAR(9)," "),CHAR(10)," "),CHAR(13)," "))))))&gt;0,TRIM(SUBSTITUTE(SUBSTITUTE(SUBSTITUTE(SUBSTITUTE(INDEX(PASTE_ALL,$DF77,$L$15)," "," "),CHAR(9)," "),CHAR(10)," "),CHAR(13)," ")),"")),"")))</f>
        <v/>
      </c>
      <c r="DX77">
        <f>IF($DM77=0,"",IF($L$16=0,"",IFERROR(IF(ISNUMBER(INDEX(PASTE_ALL,$DF77,$L$16)),INDEX(PASTE_ALL,$DF77,$L$16),SUBSTITUTE(SUBSTITUTE(TRIM(SUBSTITUTE(SUBSTITUTE(SUBSTITUTE(SUBSTITUTE(INDEX(PASTE_ALL,$DF77,$L$16)," "," "),CHAR(9)," "),CHAR(10)," "),CHAR(13)," ")),",",""),"%","")),"")))</f>
        <v/>
      </c>
      <c r="DY77">
        <f>IF($DM77=0,"",IFERROR(IF(ISNUMBER($DX77),$DX77,IF($DX77="","",IF(TRIM($DX77)="",0,IF(AND(AND(SUBSTITUTE(SUBSTITUTE(SUBSTITUTE(SUBSTITUTE(SUBSTITUTE(SUBSTITUTE(SUBSTITUTE(SUBSTITUTE(SUBSTITUTE(SUBSTITUTE(SUBSTITUTE(SUBSTITUTE(SUBSTITUTE(SUBSTITUTE(UPPER(TRIM($DX77)),"0",""),"1",""),"2",""),"3",""),"4",""),"5",""),"6",""),"7",""),"8",""),"9",""),".",""),"+",""),"-",""),"E","")="",LEN(SUBSTITUTE(SUBSTITUTE(MID(UPPER(TRIM($DX77)),1+OR(LEFT(UPPER(TRIM($DX77)),1)="+",LEFT(UPPER(TRIM($DX77)),1)="-"),999),"E+","E"),"E-","E"))=LEN(SUBSTITUTE(SUBSTITUTE(SUBSTITUTE(SUBSTITUTE(MID(UPPER(TRIM($DX77)),1+OR(LEFT(UPPER(TRIM($DX77)),1)="+",LEFT(UPPER(TRIM($DX77)),1)="-"),999),"E+","E"),"E-","E"),"+",""),"-","")),LEN(UPPER(TRIM($DX77)))-LEN(SUBSTITUTE(UPPER(TRIM($DX77)),"E",""))&lt;2,LEN(UPPER(TRIM($DX77)))-LEN(SUBSTITUTE(UPPER(TRIM($DX77)),".",""))&lt;2,IFERROR(FIND(".",UPPER(TRIM($DX77))),0)&lt;IFERROR(FIND("E",UPPER(TRIM($DX77))),999)),ISNUMBER(VALUE(TRIM($DX77)))),VALUE(TRIM($DX77)),"")))),""))</f>
        <v/>
      </c>
      <c r="DZ77">
        <f>IF($DM77=0,"",IF($L$17=0,"",IFERROR(IF(ISNUMBER(INDEX(PASTE_ALL,$DF77,$L$17)),INDEX(PASTE_ALL,$DF77,$L$17),SUBSTITUTE(SUBSTITUTE(TRIM(SUBSTITUTE(SUBSTITUTE(SUBSTITUTE(SUBSTITUTE(INDEX(PASTE_ALL,$DF77,$L$17)," "," "),CHAR(9)," "),CHAR(10)," "),CHAR(13)," ")),",",""),"%","")),"")))</f>
        <v/>
      </c>
      <c r="EA77">
        <f>IF($DM77=0,"",IFERROR(IF(ISNUMBER($DZ77),$DZ77,IF($DZ77="","",IF(TRIM($DZ77)="",0,IF(AND(AND(SUBSTITUTE(SUBSTITUTE(SUBSTITUTE(SUBSTITUTE(SUBSTITUTE(SUBSTITUTE(SUBSTITUTE(SUBSTITUTE(SUBSTITUTE(SUBSTITUTE(SUBSTITUTE(SUBSTITUTE(SUBSTITUTE(SUBSTITUTE(UPPER(TRIM($DZ77)),"0",""),"1",""),"2",""),"3",""),"4",""),"5",""),"6",""),"7",""),"8",""),"9",""),".",""),"+",""),"-",""),"E","")="",LEN(SUBSTITUTE(SUBSTITUTE(MID(UPPER(TRIM($DZ77)),1+OR(LEFT(UPPER(TRIM($DZ77)),1)="+",LEFT(UPPER(TRIM($DZ77)),1)="-"),999),"E+","E"),"E-","E"))=LEN(SUBSTITUTE(SUBSTITUTE(SUBSTITUTE(SUBSTITUTE(MID(UPPER(TRIM($DZ77)),1+OR(LEFT(UPPER(TRIM($DZ77)),1)="+",LEFT(UPPER(TRIM($DZ77)),1)="-"),999),"E+","E"),"E-","E"),"+",""),"-","")),LEN(UPPER(TRIM($DZ77)))-LEN(SUBSTITUTE(UPPER(TRIM($DZ77)),"E",""))&lt;2,LEN(UPPER(TRIM($DZ77)))-LEN(SUBSTITUTE(UPPER(TRIM($DZ77)),".",""))&lt;2,IFERROR(FIND(".",UPPER(TRIM($DZ77))),0)&lt;IFERROR(FIND("E",UPPER(TRIM($DZ77))),999)),ISNUMBER(VALUE(TRIM($DZ77)))),VALUE(TRIM($DZ77)),"")))),""))</f>
        <v/>
      </c>
      <c r="EB77">
        <f>IF($DM77=0,"",IF($L$18=0,"",IFERROR(IF(UPPER(TRIM(SUBSTITUTE(SUBSTITUTE(SUBSTITUTE(SUBSTITUTE(INDEX(PASTE_ALL,$DF77,$L$18)," "," "),CHAR(9)," "),CHAR(10)," "),CHAR(13)," ")))="READY","Ready",IF(UPPER(TRIM(SUBSTITUTE(SUBSTITUTE(SUBSTITUTE(SUBSTITUTE(INDEX(PASTE_ALL,$DF77,$L$18)," "," "),CHAR(9)," "),CHAR(10)," "),CHAR(13)," ")))="PM","PM",IF(OR(UPPER(TRIM(SUBSTITUTE(SUBSTITUTE(SUBSTITUTE(SUBSTITUTE(INDEX(PASTE_ALL,$DF77,$L$18)," "," "),CHAR(9)," "),CHAR(10)," "),CHAR(13)," ")))="OT",UPPER(TRIM(SUBSTITUTE(SUBSTITUTE(SUBSTITUTE(SUBSTITUTE(INDEX(PASTE_ALL,$DF77,$L$18)," "," "),CHAR(9)," "),CHAR(10)," "),CHAR(13)," ")))="OVERTIME",UPPER(TRIM(SUBSTITUTE(SUBSTITUTE(SUBSTITUTE(SUBSTITUTE(INDEX(PASTE_ALL,$DF77,$L$18)," "," "),CHAR(9)," "),CHAR(10)," "),CHAR(13)," ")))="TRIAL"),"OT",TRIM(SUBSTITUTE(SUBSTITUTE(SUBSTITUTE(SUBSTITUTE(INDEX(PASTE_ALL,$DF77,$L$18)," "," "),CHAR(9)," "),CHAR(10)," "),CHAR(13)," "))))),"")))</f>
        <v/>
      </c>
      <c r="EC77">
        <f>IF($DM77=0,"",IF($L$19=0,"",IFERROR(IF(ISNUMBER(INDEX(PASTE_ALL,$DF77,$L$19)),INDEX(PASTE_ALL,$DF77,$L$19),TRIM(SUBSTITUTE(SUBSTITUTE(SUBSTITUTE(SUBSTITUTE(INDEX(PASTE_ALL,$DF77,$L$19)," "," "),CHAR(9)," "),CHAR(10)," "),CHAR(13)," "))),"")))</f>
        <v/>
      </c>
      <c r="ED77">
        <f>IF($DM77=0,"",MATCH(1,INDEX(EXACT($DH$5:DH77,$DH77)*$DM$5:DM77,0),0))</f>
        <v/>
      </c>
      <c r="EE77">
        <f>IF($DM77=0,0,IF($ED77=$DE77,1,0))</f>
        <v/>
      </c>
      <c r="EF77">
        <f>EF76+$EE77</f>
        <v/>
      </c>
      <c r="EG77">
        <f>IF($DM77=0,"",INDEX($EF$5:$EF$1003,$ED77))</f>
        <v/>
      </c>
      <c r="EH77">
        <f>IF($DM77=0,"",IF($DO77&lt;&gt;"","",IFERROR(LOOKUP(2,1/(($EG$4:EG76=$EG77)*($DO$4:DO76&lt;&gt;"")),$DO$4:DO76),"")))</f>
        <v/>
      </c>
      <c r="EI77">
        <f>IF($DM77=0,"",IF($DO77&lt;&gt;"",$DO77,$EH77))</f>
        <v/>
      </c>
      <c r="EJ77">
        <f>IF($DM77=0,"",IF($EI77="",0,IF(OR(ISNUMBER($EI77),AND(AND(SUBSTITUTE(SUBSTITUTE(SUBSTITUTE(SUBSTITUTE(SUBSTITUTE(SUBSTITUTE(SUBSTITUTE(SUBSTITUTE(SUBSTITUTE(SUBSTITUTE(SUBSTITUTE(SUBSTITUTE(SUBSTITUTE(SUBSTITUTE(UPPER($EI77),"0",""),"1",""),"2",""),"3",""),"4",""),"5",""),"6",""),"7",""),"8",""),"9",""),".",""),"+",""),"-",""),"E","")="",LEN(SUBSTITUTE(SUBSTITUTE(MID(UPPER($EI77),1+OR(LEFT(UPPER($EI77),1)="+",LEFT(UPPER($EI77),1)="-"),999),"E+","E"),"E-","E"))=LEN(SUBSTITUTE(SUBSTITUTE(SUBSTITUTE(SUBSTITUTE(MID(UPPER($EI77),1+OR(LEFT(UPPER($EI77),1)="+",LEFT(UPPER($EI77),1)="-"),999),"E+","E"),"E-","E"),"+",""),"-","")),LEN(UPPER($EI77))-LEN(SUBSTITUTE(UPPER($EI77),"E",""))&lt;2,LEN(UPPER($EI77))-LEN(SUBSTITUTE(UPPER($EI77),".",""))&lt;2,IFERROR(FIND(".",UPPER($EI77)),0)&lt;IFERROR(FIND("E",UPPER($EI77)),999)),ISNUMBER(VALUE($EI77)))),1,2)))</f>
        <v/>
      </c>
      <c r="EK77">
        <f>IF($DM77=0,"",IF($EJ77=1,IF(ISNUMBER($EI77),$EI77,VALUE($EI77)),IF($EJ77=2,$DE77,0)))</f>
        <v/>
      </c>
      <c r="EL77">
        <f>IF($DM77=0,"",COUNTIF($EG$5:$EG$1003,"&lt;"&amp;$EG77)+SUMPRODUCT(($EG$5:$EG$1003=$EG77)*(($EJ$5:$EJ$1003&lt;$EJ77)+($EJ$5:$EJ$1003=$EJ77)*(($EK$5:$EK$1003&lt;$EK77)+($EK$5:$EK$1003=$EK77)*($DE$5:$DE$1003&lt;$DE77))))+1)</f>
        <v/>
      </c>
      <c r="EM77">
        <f>IF($DM77=0,"",$EL77+$EG77-1)</f>
        <v/>
      </c>
      <c r="EN77">
        <f>IF($DM77=0,0,IFERROR(MATCH(1,INDEX(--(TRIM(SUBSTITUTE(SUBSTITUTE(SUBSTITUTE(SUBSTITUTE(LINES_NAME&amp;""," "," "),CHAR(9)," "),CHAR(10)," "),CHAR(13)," "))=$DH77),0),0),0))</f>
        <v/>
      </c>
      <c r="EO77">
        <f>IF($EN77=0,0,IF(OR(UPPER(TRIM(INDEX(LINES_SCHEDULED,$EN77)&amp;""))="YES",UPPER(TRIM(INDEX(LINES_SCHEDULED,$EN77)&amp;""))="Y",UPPER(TRIM(INDEX(LINES_SCHEDULED,$EN77)&amp;""))="X"),1,0))</f>
        <v/>
      </c>
      <c r="EP77">
        <f>IF($DM77=0,"",IF(COUNTIFS($EG$5:$EG$1003,$EG77,$EB$5:$EB$1003,"Ready")&gt;0,"READY",IF(COUNTIFS($EG$5:$EG$1003,$EG77,$EB$5:$EB$1003,"PM")&gt;0,"PM",IF(COUNTIFS($EG$5:$EG$1003,$EG77,$EB$5:$EB$1003,"OT")&gt;0,"OT",""))))</f>
        <v/>
      </c>
      <c r="EQ77">
        <f>IF($EN77=0,"",UPPER(TRIM(INDEX(LINES_STATUS,$EN77)&amp;"")))</f>
        <v/>
      </c>
      <c r="ER77">
        <f>IF($DM77=0,"",IF(OR($EQ77="READY",$EQ77="PM",$EQ77="OT"),$EQ77,$EP77))</f>
        <v/>
      </c>
      <c r="ES77">
        <f>IF($DM77=0,"",IF(AND($DV77&lt;&gt;"",UPPER($DV77)&lt;&gt;"N"),"allergen",IF(ISNUMBER(SEARCH("oil",$DQ77)),"oil",IF(OR(EXACT($DS77,"A662"),EXACT($DS77,"A624")),"bulk",""))))</f>
        <v/>
      </c>
      <c r="ET77">
        <f>IF($DM77=0,"",IF(OR($EA77="",$EA77=0),"",$EA77/100))</f>
        <v/>
      </c>
      <c r="EU77">
        <f>IF(OR($ET77="",$DY77=""),"",INT($DY77*(1-$ET77)+0.5))</f>
        <v/>
      </c>
      <c r="EW77" t="n">
        <v>73</v>
      </c>
      <c r="EX77">
        <f>IFERROR(MATCH($EW77,$EM$5:$EM$1003,0),0)</f>
        <v/>
      </c>
      <c r="EY77">
        <f>IF($EW77&gt;$B$12,"",IF($EX77&gt;0,"row","spacer"))</f>
        <v/>
      </c>
      <c r="EZ77">
        <f>IF(AND($EY77="row",$EY76&lt;&gt;"row"),1,0)</f>
        <v/>
      </c>
      <c r="FA77">
        <f>IF(AND($EY77="row",$EY78&lt;&gt;"row"),1,0)</f>
        <v/>
      </c>
      <c r="FB77">
        <f>IF($EZ77=1,IFERROR(IF(ISNUMBER(INDEX(PASTE_ALL,INDEX($DF$5:$DF$1003,$EX77),$B$37)),INDEX(PASTE_ALL,INDEX($DF$5:$DF$1003,$EX77),$B$37),INDEX($DH$5:$DH$1003,$EX77)),INDEX($DH$5:$DH$1003,$EX77)),"")</f>
        <v/>
      </c>
      <c r="FC77">
        <f>IF($EY77="row",INDEX($ER$5:$ER$1003,$EX77),"")</f>
        <v/>
      </c>
      <c r="FD77">
        <f>IF($EY77="row",INDEX($DN$5:$DN$1003,$EX77),"")</f>
        <v/>
      </c>
      <c r="FE77">
        <f>IF($EY77="row",INDEX($DO$5:$DO$1003,$EX77),"")</f>
        <v/>
      </c>
      <c r="FF77">
        <f>IF($EY77="row",INDEX($DP$5:$DP$1003,$EX77),"")</f>
        <v/>
      </c>
      <c r="FG77">
        <f>IF($EY77="row",INDEX($DQ$5:$DQ$1003,$EX77),"")</f>
        <v/>
      </c>
      <c r="FH77">
        <f>IF($EY77="row",INDEX($DR$5:$DR$1003,$EX77),"")</f>
        <v/>
      </c>
      <c r="FI77">
        <f>IF($EY77="row",INDEX($DS$5:$DS$1003,$EX77),"")</f>
        <v/>
      </c>
      <c r="FJ77">
        <f>IF($EY77="row",INDEX($DT$5:$DT$1003,$EX77),"")</f>
        <v/>
      </c>
      <c r="FK77">
        <f>IF($EY77="row",INDEX($DU$5:$DU$1003,$EX77),"")</f>
        <v/>
      </c>
      <c r="FL77">
        <f>IF($EY77="row",INDEX($DV$5:$DV$1003,$EX77),"")</f>
        <v/>
      </c>
      <c r="FM77">
        <f>IF($EY77="row",INDEX($DW$5:$DW$1003,$EX77),"")</f>
        <v/>
      </c>
      <c r="FN77">
        <f>IF($EY77="row",INDEX($DY$5:$DY$1003,$EX77),"")</f>
        <v/>
      </c>
      <c r="FO77">
        <f>IF($EY77="row",INDEX($EA$5:$EA$1003,$EX77),"")</f>
        <v/>
      </c>
      <c r="FP77">
        <f>IF($EY77="row",INDEX($EC$5:$EC$1003,$EX77),"")</f>
        <v/>
      </c>
      <c r="FQ77">
        <f>IF($EY77="row",INDEX($ET$5:$ET$1003,$EX77),"")</f>
        <v/>
      </c>
      <c r="FR77">
        <f>IF($EY77="row",INDEX($EU$5:$EU$1003,$EX77),"")</f>
        <v/>
      </c>
      <c r="FS77">
        <f>IF(AND($EY77="row",$EY76="row"),IF(OR(INDEX($DT$5:$DT$1003,$EX76)="",INDEX($DT$5:$DT$1003,$EX77)=""),"",IF(NOT(EXACT(INDEX($DT$5:$DT$1003,$EX76),INDEX($DT$5:$DT$1003,$EX77))),"S4",IF(NOT(EXACT(INDEX($DS$5:$DS$1003,$EX76),INDEX($DS$5:$DS$1003,$EX77))),"S3",IF(NOT(EXACT(INDEX($DR$5:$DR$1003,$EX76),INDEX($DR$5:$DR$1003,$EX77))),"S1 Count Change","S1")))),"")</f>
        <v/>
      </c>
      <c r="FT77">
        <f>IF($EY77="row",INDEX($ES$5:$ES$1003,$EX77),"")</f>
        <v/>
      </c>
      <c r="FU77">
        <f>IF($EY77="row",INDEX($EO$5:$EO$1003,$EX77),0)</f>
        <v/>
      </c>
      <c r="FV77">
        <f>IF($FS77="S1 Count Change",1,0)</f>
        <v/>
      </c>
      <c r="FX77" t="n">
        <v>73</v>
      </c>
      <c r="FY77">
        <f>IFERROR(MATCH($FX77,$EF$5:$EF$1003,0),0)</f>
        <v/>
      </c>
      <c r="FZ77">
        <f>IF($FY77=0,"",INDEX($DH$5:$DH$1003,$FY77))</f>
        <v/>
      </c>
      <c r="GA77">
        <f>IF($FY77=0,"",COUNTIF($EG$5:$EG$1003,$FX77))</f>
        <v/>
      </c>
      <c r="GB77">
        <f>IF($FY77=0,"",INDEX($ER$5:$ER$1003,$FY77))</f>
        <v/>
      </c>
      <c r="GC77">
        <f>IF($FY77=0,"",IF(INDEX($EO$5:$EO$1003,$FY77)=1,"Yes",""))</f>
        <v/>
      </c>
      <c r="GD77">
        <f>IF($FY77=0,"",IF(INDEX($EN$5:$EN$1003,$FY77)&gt;0,"","NOT IN YOUR LIST - type it in column A to tick it"))</f>
        <v/>
      </c>
      <c r="GE77">
        <f>IF(AND($FY77&gt;0,$GD77&lt;&gt;""),1,0)</f>
        <v/>
      </c>
      <c r="GF77">
        <f>GF76+$GE77</f>
        <v/>
      </c>
      <c r="GG77">
        <f>IFERROR(INDEX($FZ$5:$FZ$104,MATCH($FX77,$GF$5:$GF$104,0)),"")</f>
        <v/>
      </c>
    </row>
    <row r="78">
      <c r="V78" t="inlineStr">
        <is>
          <t>PCTCOMPLETE</t>
        </is>
      </c>
      <c r="W78" t="n">
        <v>13</v>
      </c>
      <c r="Y78">
        <f>IFERROR(IF(ISNUMBER(INDEX(PASTE_ALL,29,1)),2,IF(TRIM(INDEX(PASTE_ALL,29,1))="",0,IF(AND(LEFT(MID(TRIM(INDEX(PASTE_ALL,29,1)),1+(LEFT(TRIM(INDEX(PASTE_ALL,29,1)),1)="-"),999),LEN(MID(TRIM(INDEX(PASTE_ALL,29,1)),1+(LEFT(TRIM(INDEX(PASTE_ALL,29,1)),1)="-"),999))-(RIGHT(MID(TRIM(INDEX(PASTE_ALL,29,1)),1+(LEFT(TRIM(INDEX(PASTE_ALL,29,1)),1)="-"),999),1)="%"))&lt;&gt;"",SUBSTITUTE(SUBSTITUTE(SUBSTITUTE(SUBSTITUTE(SUBSTITUTE(SUBSTITUTE(SUBSTITUTE(SUBSTITUTE(SUBSTITUTE(SUBSTITUTE(SUBSTITUTE(SUBSTITUTE(LEFT(MID(TRIM(INDEX(PASTE_ALL,29,1)),1+(LEFT(TRIM(INDEX(PASTE_ALL,29,1)),1)="-"),999),LEN(MID(TRIM(INDEX(PASTE_ALL,29,1)),1+(LEFT(TRIM(INDEX(PASTE_ALL,29,1)),1)="-"),999))-(RIGHT(MID(TRIM(INDEX(PASTE_ALL,29,1)),1+(LEFT(TRIM(INDEX(PASTE_ALL,29,1)),1)="-"),999),1)="%")),"0",""),"1",""),"2",""),"3",""),"4",""),"5",""),"6",""),"7",""),"8",""),"9",""),".",""),",","")=""),2,1))),1)</f>
        <v/>
      </c>
      <c r="Z78">
        <f>IFERROR(IF(ISNUMBER(INDEX(PASTE_ALL,29,2)),2,IF(TRIM(INDEX(PASTE_ALL,29,2))="",0,IF(AND(LEFT(MID(TRIM(INDEX(PASTE_ALL,29,2)),1+(LEFT(TRIM(INDEX(PASTE_ALL,29,2)),1)="-"),999),LEN(MID(TRIM(INDEX(PASTE_ALL,29,2)),1+(LEFT(TRIM(INDEX(PASTE_ALL,29,2)),1)="-"),999))-(RIGHT(MID(TRIM(INDEX(PASTE_ALL,29,2)),1+(LEFT(TRIM(INDEX(PASTE_ALL,29,2)),1)="-"),999),1)="%"))&lt;&gt;"",SUBSTITUTE(SUBSTITUTE(SUBSTITUTE(SUBSTITUTE(SUBSTITUTE(SUBSTITUTE(SUBSTITUTE(SUBSTITUTE(SUBSTITUTE(SUBSTITUTE(SUBSTITUTE(SUBSTITUTE(LEFT(MID(TRIM(INDEX(PASTE_ALL,29,2)),1+(LEFT(TRIM(INDEX(PASTE_ALL,29,2)),1)="-"),999),LEN(MID(TRIM(INDEX(PASTE_ALL,29,2)),1+(LEFT(TRIM(INDEX(PASTE_ALL,29,2)),1)="-"),999))-(RIGHT(MID(TRIM(INDEX(PASTE_ALL,29,2)),1+(LEFT(TRIM(INDEX(PASTE_ALL,29,2)),1)="-"),999),1)="%")),"0",""),"1",""),"2",""),"3",""),"4",""),"5",""),"6",""),"7",""),"8",""),"9",""),".",""),",","")=""),2,1))),1)</f>
        <v/>
      </c>
      <c r="AA78">
        <f>IFERROR(IF(ISNUMBER(INDEX(PASTE_ALL,29,3)),2,IF(TRIM(INDEX(PASTE_ALL,29,3))="",0,IF(AND(LEFT(MID(TRIM(INDEX(PASTE_ALL,29,3)),1+(LEFT(TRIM(INDEX(PASTE_ALL,29,3)),1)="-"),999),LEN(MID(TRIM(INDEX(PASTE_ALL,29,3)),1+(LEFT(TRIM(INDEX(PASTE_ALL,29,3)),1)="-"),999))-(RIGHT(MID(TRIM(INDEX(PASTE_ALL,29,3)),1+(LEFT(TRIM(INDEX(PASTE_ALL,29,3)),1)="-"),999),1)="%"))&lt;&gt;"",SUBSTITUTE(SUBSTITUTE(SUBSTITUTE(SUBSTITUTE(SUBSTITUTE(SUBSTITUTE(SUBSTITUTE(SUBSTITUTE(SUBSTITUTE(SUBSTITUTE(SUBSTITUTE(SUBSTITUTE(LEFT(MID(TRIM(INDEX(PASTE_ALL,29,3)),1+(LEFT(TRIM(INDEX(PASTE_ALL,29,3)),1)="-"),999),LEN(MID(TRIM(INDEX(PASTE_ALL,29,3)),1+(LEFT(TRIM(INDEX(PASTE_ALL,29,3)),1)="-"),999))-(RIGHT(MID(TRIM(INDEX(PASTE_ALL,29,3)),1+(LEFT(TRIM(INDEX(PASTE_ALL,29,3)),1)="-"),999),1)="%")),"0",""),"1",""),"2",""),"3",""),"4",""),"5",""),"6",""),"7",""),"8",""),"9",""),".",""),",","")=""),2,1))),1)</f>
        <v/>
      </c>
      <c r="AB78">
        <f>IFERROR(IF(ISNUMBER(INDEX(PASTE_ALL,29,4)),2,IF(TRIM(INDEX(PASTE_ALL,29,4))="",0,IF(AND(LEFT(MID(TRIM(INDEX(PASTE_ALL,29,4)),1+(LEFT(TRIM(INDEX(PASTE_ALL,29,4)),1)="-"),999),LEN(MID(TRIM(INDEX(PASTE_ALL,29,4)),1+(LEFT(TRIM(INDEX(PASTE_ALL,29,4)),1)="-"),999))-(RIGHT(MID(TRIM(INDEX(PASTE_ALL,29,4)),1+(LEFT(TRIM(INDEX(PASTE_ALL,29,4)),1)="-"),999),1)="%"))&lt;&gt;"",SUBSTITUTE(SUBSTITUTE(SUBSTITUTE(SUBSTITUTE(SUBSTITUTE(SUBSTITUTE(SUBSTITUTE(SUBSTITUTE(SUBSTITUTE(SUBSTITUTE(SUBSTITUTE(SUBSTITUTE(LEFT(MID(TRIM(INDEX(PASTE_ALL,29,4)),1+(LEFT(TRIM(INDEX(PASTE_ALL,29,4)),1)="-"),999),LEN(MID(TRIM(INDEX(PASTE_ALL,29,4)),1+(LEFT(TRIM(INDEX(PASTE_ALL,29,4)),1)="-"),999))-(RIGHT(MID(TRIM(INDEX(PASTE_ALL,29,4)),1+(LEFT(TRIM(INDEX(PASTE_ALL,29,4)),1)="-"),999),1)="%")),"0",""),"1",""),"2",""),"3",""),"4",""),"5",""),"6",""),"7",""),"8",""),"9",""),".",""),",","")=""),2,1))),1)</f>
        <v/>
      </c>
      <c r="AC78">
        <f>IFERROR(IF(ISNUMBER(INDEX(PASTE_ALL,29,5)),2,IF(TRIM(INDEX(PASTE_ALL,29,5))="",0,IF(AND(LEFT(MID(TRIM(INDEX(PASTE_ALL,29,5)),1+(LEFT(TRIM(INDEX(PASTE_ALL,29,5)),1)="-"),999),LEN(MID(TRIM(INDEX(PASTE_ALL,29,5)),1+(LEFT(TRIM(INDEX(PASTE_ALL,29,5)),1)="-"),999))-(RIGHT(MID(TRIM(INDEX(PASTE_ALL,29,5)),1+(LEFT(TRIM(INDEX(PASTE_ALL,29,5)),1)="-"),999),1)="%"))&lt;&gt;"",SUBSTITUTE(SUBSTITUTE(SUBSTITUTE(SUBSTITUTE(SUBSTITUTE(SUBSTITUTE(SUBSTITUTE(SUBSTITUTE(SUBSTITUTE(SUBSTITUTE(SUBSTITUTE(SUBSTITUTE(LEFT(MID(TRIM(INDEX(PASTE_ALL,29,5)),1+(LEFT(TRIM(INDEX(PASTE_ALL,29,5)),1)="-"),999),LEN(MID(TRIM(INDEX(PASTE_ALL,29,5)),1+(LEFT(TRIM(INDEX(PASTE_ALL,29,5)),1)="-"),999))-(RIGHT(MID(TRIM(INDEX(PASTE_ALL,29,5)),1+(LEFT(TRIM(INDEX(PASTE_ALL,29,5)),1)="-"),999),1)="%")),"0",""),"1",""),"2",""),"3",""),"4",""),"5",""),"6",""),"7",""),"8",""),"9",""),".",""),",","")=""),2,1))),1)</f>
        <v/>
      </c>
      <c r="AD78">
        <f>IFERROR(IF(ISNUMBER(INDEX(PASTE_ALL,29,6)),2,IF(TRIM(INDEX(PASTE_ALL,29,6))="",0,IF(AND(LEFT(MID(TRIM(INDEX(PASTE_ALL,29,6)),1+(LEFT(TRIM(INDEX(PASTE_ALL,29,6)),1)="-"),999),LEN(MID(TRIM(INDEX(PASTE_ALL,29,6)),1+(LEFT(TRIM(INDEX(PASTE_ALL,29,6)),1)="-"),999))-(RIGHT(MID(TRIM(INDEX(PASTE_ALL,29,6)),1+(LEFT(TRIM(INDEX(PASTE_ALL,29,6)),1)="-"),999),1)="%"))&lt;&gt;"",SUBSTITUTE(SUBSTITUTE(SUBSTITUTE(SUBSTITUTE(SUBSTITUTE(SUBSTITUTE(SUBSTITUTE(SUBSTITUTE(SUBSTITUTE(SUBSTITUTE(SUBSTITUTE(SUBSTITUTE(LEFT(MID(TRIM(INDEX(PASTE_ALL,29,6)),1+(LEFT(TRIM(INDEX(PASTE_ALL,29,6)),1)="-"),999),LEN(MID(TRIM(INDEX(PASTE_ALL,29,6)),1+(LEFT(TRIM(INDEX(PASTE_ALL,29,6)),1)="-"),999))-(RIGHT(MID(TRIM(INDEX(PASTE_ALL,29,6)),1+(LEFT(TRIM(INDEX(PASTE_ALL,29,6)),1)="-"),999),1)="%")),"0",""),"1",""),"2",""),"3",""),"4",""),"5",""),"6",""),"7",""),"8",""),"9",""),".",""),",","")=""),2,1))),1)</f>
        <v/>
      </c>
      <c r="AE78">
        <f>IFERROR(IF(ISNUMBER(INDEX(PASTE_ALL,29,7)),2,IF(TRIM(INDEX(PASTE_ALL,29,7))="",0,IF(AND(LEFT(MID(TRIM(INDEX(PASTE_ALL,29,7)),1+(LEFT(TRIM(INDEX(PASTE_ALL,29,7)),1)="-"),999),LEN(MID(TRIM(INDEX(PASTE_ALL,29,7)),1+(LEFT(TRIM(INDEX(PASTE_ALL,29,7)),1)="-"),999))-(RIGHT(MID(TRIM(INDEX(PASTE_ALL,29,7)),1+(LEFT(TRIM(INDEX(PASTE_ALL,29,7)),1)="-"),999),1)="%"))&lt;&gt;"",SUBSTITUTE(SUBSTITUTE(SUBSTITUTE(SUBSTITUTE(SUBSTITUTE(SUBSTITUTE(SUBSTITUTE(SUBSTITUTE(SUBSTITUTE(SUBSTITUTE(SUBSTITUTE(SUBSTITUTE(LEFT(MID(TRIM(INDEX(PASTE_ALL,29,7)),1+(LEFT(TRIM(INDEX(PASTE_ALL,29,7)),1)="-"),999),LEN(MID(TRIM(INDEX(PASTE_ALL,29,7)),1+(LEFT(TRIM(INDEX(PASTE_ALL,29,7)),1)="-"),999))-(RIGHT(MID(TRIM(INDEX(PASTE_ALL,29,7)),1+(LEFT(TRIM(INDEX(PASTE_ALL,29,7)),1)="-"),999),1)="%")),"0",""),"1",""),"2",""),"3",""),"4",""),"5",""),"6",""),"7",""),"8",""),"9",""),".",""),",","")=""),2,1))),1)</f>
        <v/>
      </c>
      <c r="AF78">
        <f>IFERROR(IF(ISNUMBER(INDEX(PASTE_ALL,29,8)),2,IF(TRIM(INDEX(PASTE_ALL,29,8))="",0,IF(AND(LEFT(MID(TRIM(INDEX(PASTE_ALL,29,8)),1+(LEFT(TRIM(INDEX(PASTE_ALL,29,8)),1)="-"),999),LEN(MID(TRIM(INDEX(PASTE_ALL,29,8)),1+(LEFT(TRIM(INDEX(PASTE_ALL,29,8)),1)="-"),999))-(RIGHT(MID(TRIM(INDEX(PASTE_ALL,29,8)),1+(LEFT(TRIM(INDEX(PASTE_ALL,29,8)),1)="-"),999),1)="%"))&lt;&gt;"",SUBSTITUTE(SUBSTITUTE(SUBSTITUTE(SUBSTITUTE(SUBSTITUTE(SUBSTITUTE(SUBSTITUTE(SUBSTITUTE(SUBSTITUTE(SUBSTITUTE(SUBSTITUTE(SUBSTITUTE(LEFT(MID(TRIM(INDEX(PASTE_ALL,29,8)),1+(LEFT(TRIM(INDEX(PASTE_ALL,29,8)),1)="-"),999),LEN(MID(TRIM(INDEX(PASTE_ALL,29,8)),1+(LEFT(TRIM(INDEX(PASTE_ALL,29,8)),1)="-"),999))-(RIGHT(MID(TRIM(INDEX(PASTE_ALL,29,8)),1+(LEFT(TRIM(INDEX(PASTE_ALL,29,8)),1)="-"),999),1)="%")),"0",""),"1",""),"2",""),"3",""),"4",""),"5",""),"6",""),"7",""),"8",""),"9",""),".",""),",","")=""),2,1))),1)</f>
        <v/>
      </c>
      <c r="AG78">
        <f>IFERROR(IF(ISNUMBER(INDEX(PASTE_ALL,29,9)),2,IF(TRIM(INDEX(PASTE_ALL,29,9))="",0,IF(AND(LEFT(MID(TRIM(INDEX(PASTE_ALL,29,9)),1+(LEFT(TRIM(INDEX(PASTE_ALL,29,9)),1)="-"),999),LEN(MID(TRIM(INDEX(PASTE_ALL,29,9)),1+(LEFT(TRIM(INDEX(PASTE_ALL,29,9)),1)="-"),999))-(RIGHT(MID(TRIM(INDEX(PASTE_ALL,29,9)),1+(LEFT(TRIM(INDEX(PASTE_ALL,29,9)),1)="-"),999),1)="%"))&lt;&gt;"",SUBSTITUTE(SUBSTITUTE(SUBSTITUTE(SUBSTITUTE(SUBSTITUTE(SUBSTITUTE(SUBSTITUTE(SUBSTITUTE(SUBSTITUTE(SUBSTITUTE(SUBSTITUTE(SUBSTITUTE(LEFT(MID(TRIM(INDEX(PASTE_ALL,29,9)),1+(LEFT(TRIM(INDEX(PASTE_ALL,29,9)),1)="-"),999),LEN(MID(TRIM(INDEX(PASTE_ALL,29,9)),1+(LEFT(TRIM(INDEX(PASTE_ALL,29,9)),1)="-"),999))-(RIGHT(MID(TRIM(INDEX(PASTE_ALL,29,9)),1+(LEFT(TRIM(INDEX(PASTE_ALL,29,9)),1)="-"),999),1)="%")),"0",""),"1",""),"2",""),"3",""),"4",""),"5",""),"6",""),"7",""),"8",""),"9",""),".",""),",","")=""),2,1))),1)</f>
        <v/>
      </c>
      <c r="AH78">
        <f>IFERROR(IF(ISNUMBER(INDEX(PASTE_ALL,29,10)),2,IF(TRIM(INDEX(PASTE_ALL,29,10))="",0,IF(AND(LEFT(MID(TRIM(INDEX(PASTE_ALL,29,10)),1+(LEFT(TRIM(INDEX(PASTE_ALL,29,10)),1)="-"),999),LEN(MID(TRIM(INDEX(PASTE_ALL,29,10)),1+(LEFT(TRIM(INDEX(PASTE_ALL,29,10)),1)="-"),999))-(RIGHT(MID(TRIM(INDEX(PASTE_ALL,29,10)),1+(LEFT(TRIM(INDEX(PASTE_ALL,29,10)),1)="-"),999),1)="%"))&lt;&gt;"",SUBSTITUTE(SUBSTITUTE(SUBSTITUTE(SUBSTITUTE(SUBSTITUTE(SUBSTITUTE(SUBSTITUTE(SUBSTITUTE(SUBSTITUTE(SUBSTITUTE(SUBSTITUTE(SUBSTITUTE(LEFT(MID(TRIM(INDEX(PASTE_ALL,29,10)),1+(LEFT(TRIM(INDEX(PASTE_ALL,29,10)),1)="-"),999),LEN(MID(TRIM(INDEX(PASTE_ALL,29,10)),1+(LEFT(TRIM(INDEX(PASTE_ALL,29,10)),1)="-"),999))-(RIGHT(MID(TRIM(INDEX(PASTE_ALL,29,10)),1+(LEFT(TRIM(INDEX(PASTE_ALL,29,10)),1)="-"),999),1)="%")),"0",""),"1",""),"2",""),"3",""),"4",""),"5",""),"6",""),"7",""),"8",""),"9",""),".",""),",","")=""),2,1))),1)</f>
        <v/>
      </c>
      <c r="AI78">
        <f>IFERROR(IF(ISNUMBER(INDEX(PASTE_ALL,29,11)),2,IF(TRIM(INDEX(PASTE_ALL,29,11))="",0,IF(AND(LEFT(MID(TRIM(INDEX(PASTE_ALL,29,11)),1+(LEFT(TRIM(INDEX(PASTE_ALL,29,11)),1)="-"),999),LEN(MID(TRIM(INDEX(PASTE_ALL,29,11)),1+(LEFT(TRIM(INDEX(PASTE_ALL,29,11)),1)="-"),999))-(RIGHT(MID(TRIM(INDEX(PASTE_ALL,29,11)),1+(LEFT(TRIM(INDEX(PASTE_ALL,29,11)),1)="-"),999),1)="%"))&lt;&gt;"",SUBSTITUTE(SUBSTITUTE(SUBSTITUTE(SUBSTITUTE(SUBSTITUTE(SUBSTITUTE(SUBSTITUTE(SUBSTITUTE(SUBSTITUTE(SUBSTITUTE(SUBSTITUTE(SUBSTITUTE(LEFT(MID(TRIM(INDEX(PASTE_ALL,29,11)),1+(LEFT(TRIM(INDEX(PASTE_ALL,29,11)),1)="-"),999),LEN(MID(TRIM(INDEX(PASTE_ALL,29,11)),1+(LEFT(TRIM(INDEX(PASTE_ALL,29,11)),1)="-"),999))-(RIGHT(MID(TRIM(INDEX(PASTE_ALL,29,11)),1+(LEFT(TRIM(INDEX(PASTE_ALL,29,11)),1)="-"),999),1)="%")),"0",""),"1",""),"2",""),"3",""),"4",""),"5",""),"6",""),"7",""),"8",""),"9",""),".",""),",","")=""),2,1))),1)</f>
        <v/>
      </c>
      <c r="AJ78">
        <f>IFERROR(IF(ISNUMBER(INDEX(PASTE_ALL,29,12)),2,IF(TRIM(INDEX(PASTE_ALL,29,12))="",0,IF(AND(LEFT(MID(TRIM(INDEX(PASTE_ALL,29,12)),1+(LEFT(TRIM(INDEX(PASTE_ALL,29,12)),1)="-"),999),LEN(MID(TRIM(INDEX(PASTE_ALL,29,12)),1+(LEFT(TRIM(INDEX(PASTE_ALL,29,12)),1)="-"),999))-(RIGHT(MID(TRIM(INDEX(PASTE_ALL,29,12)),1+(LEFT(TRIM(INDEX(PASTE_ALL,29,12)),1)="-"),999),1)="%"))&lt;&gt;"",SUBSTITUTE(SUBSTITUTE(SUBSTITUTE(SUBSTITUTE(SUBSTITUTE(SUBSTITUTE(SUBSTITUTE(SUBSTITUTE(SUBSTITUTE(SUBSTITUTE(SUBSTITUTE(SUBSTITUTE(LEFT(MID(TRIM(INDEX(PASTE_ALL,29,12)),1+(LEFT(TRIM(INDEX(PASTE_ALL,29,12)),1)="-"),999),LEN(MID(TRIM(INDEX(PASTE_ALL,29,12)),1+(LEFT(TRIM(INDEX(PASTE_ALL,29,12)),1)="-"),999))-(RIGHT(MID(TRIM(INDEX(PASTE_ALL,29,12)),1+(LEFT(TRIM(INDEX(PASTE_ALL,29,12)),1)="-"),999),1)="%")),"0",""),"1",""),"2",""),"3",""),"4",""),"5",""),"6",""),"7",""),"8",""),"9",""),".",""),",","")=""),2,1))),1)</f>
        <v/>
      </c>
      <c r="AK78">
        <f>IFERROR(IF(ISNUMBER(INDEX(PASTE_ALL,29,13)),2,IF(TRIM(INDEX(PASTE_ALL,29,13))="",0,IF(AND(LEFT(MID(TRIM(INDEX(PASTE_ALL,29,13)),1+(LEFT(TRIM(INDEX(PASTE_ALL,29,13)),1)="-"),999),LEN(MID(TRIM(INDEX(PASTE_ALL,29,13)),1+(LEFT(TRIM(INDEX(PASTE_ALL,29,13)),1)="-"),999))-(RIGHT(MID(TRIM(INDEX(PASTE_ALL,29,13)),1+(LEFT(TRIM(INDEX(PASTE_ALL,29,13)),1)="-"),999),1)="%"))&lt;&gt;"",SUBSTITUTE(SUBSTITUTE(SUBSTITUTE(SUBSTITUTE(SUBSTITUTE(SUBSTITUTE(SUBSTITUTE(SUBSTITUTE(SUBSTITUTE(SUBSTITUTE(SUBSTITUTE(SUBSTITUTE(LEFT(MID(TRIM(INDEX(PASTE_ALL,29,13)),1+(LEFT(TRIM(INDEX(PASTE_ALL,29,13)),1)="-"),999),LEN(MID(TRIM(INDEX(PASTE_ALL,29,13)),1+(LEFT(TRIM(INDEX(PASTE_ALL,29,13)),1)="-"),999))-(RIGHT(MID(TRIM(INDEX(PASTE_ALL,29,13)),1+(LEFT(TRIM(INDEX(PASTE_ALL,29,13)),1)="-"),999),1)="%")),"0",""),"1",""),"2",""),"3",""),"4",""),"5",""),"6",""),"7",""),"8",""),"9",""),".",""),",","")=""),2,1))),1)</f>
        <v/>
      </c>
      <c r="AL78">
        <f>IFERROR(IF(ISNUMBER(INDEX(PASTE_ALL,29,14)),2,IF(TRIM(INDEX(PASTE_ALL,29,14))="",0,IF(AND(LEFT(MID(TRIM(INDEX(PASTE_ALL,29,14)),1+(LEFT(TRIM(INDEX(PASTE_ALL,29,14)),1)="-"),999),LEN(MID(TRIM(INDEX(PASTE_ALL,29,14)),1+(LEFT(TRIM(INDEX(PASTE_ALL,29,14)),1)="-"),999))-(RIGHT(MID(TRIM(INDEX(PASTE_ALL,29,14)),1+(LEFT(TRIM(INDEX(PASTE_ALL,29,14)),1)="-"),999),1)="%"))&lt;&gt;"",SUBSTITUTE(SUBSTITUTE(SUBSTITUTE(SUBSTITUTE(SUBSTITUTE(SUBSTITUTE(SUBSTITUTE(SUBSTITUTE(SUBSTITUTE(SUBSTITUTE(SUBSTITUTE(SUBSTITUTE(LEFT(MID(TRIM(INDEX(PASTE_ALL,29,14)),1+(LEFT(TRIM(INDEX(PASTE_ALL,29,14)),1)="-"),999),LEN(MID(TRIM(INDEX(PASTE_ALL,29,14)),1+(LEFT(TRIM(INDEX(PASTE_ALL,29,14)),1)="-"),999))-(RIGHT(MID(TRIM(INDEX(PASTE_ALL,29,14)),1+(LEFT(TRIM(INDEX(PASTE_ALL,29,14)),1)="-"),999),1)="%")),"0",""),"1",""),"2",""),"3",""),"4",""),"5",""),"6",""),"7",""),"8",""),"9",""),".",""),",","")=""),2,1))),1)</f>
        <v/>
      </c>
      <c r="AM78">
        <f>IFERROR(IF(ISNUMBER(INDEX(PASTE_ALL,29,15)),2,IF(TRIM(INDEX(PASTE_ALL,29,15))="",0,IF(AND(LEFT(MID(TRIM(INDEX(PASTE_ALL,29,15)),1+(LEFT(TRIM(INDEX(PASTE_ALL,29,15)),1)="-"),999),LEN(MID(TRIM(INDEX(PASTE_ALL,29,15)),1+(LEFT(TRIM(INDEX(PASTE_ALL,29,15)),1)="-"),999))-(RIGHT(MID(TRIM(INDEX(PASTE_ALL,29,15)),1+(LEFT(TRIM(INDEX(PASTE_ALL,29,15)),1)="-"),999),1)="%"))&lt;&gt;"",SUBSTITUTE(SUBSTITUTE(SUBSTITUTE(SUBSTITUTE(SUBSTITUTE(SUBSTITUTE(SUBSTITUTE(SUBSTITUTE(SUBSTITUTE(SUBSTITUTE(SUBSTITUTE(SUBSTITUTE(LEFT(MID(TRIM(INDEX(PASTE_ALL,29,15)),1+(LEFT(TRIM(INDEX(PASTE_ALL,29,15)),1)="-"),999),LEN(MID(TRIM(INDEX(PASTE_ALL,29,15)),1+(LEFT(TRIM(INDEX(PASTE_ALL,29,15)),1)="-"),999))-(RIGHT(MID(TRIM(INDEX(PASTE_ALL,29,15)),1+(LEFT(TRIM(INDEX(PASTE_ALL,29,15)),1)="-"),999),1)="%")),"0",""),"1",""),"2",""),"3",""),"4",""),"5",""),"6",""),"7",""),"8",""),"9",""),".",""),",","")=""),2,1))),1)</f>
        <v/>
      </c>
      <c r="AN78">
        <f>IFERROR(IF(ISNUMBER(INDEX(PASTE_ALL,29,16)),2,IF(TRIM(INDEX(PASTE_ALL,29,16))="",0,IF(AND(LEFT(MID(TRIM(INDEX(PASTE_ALL,29,16)),1+(LEFT(TRIM(INDEX(PASTE_ALL,29,16)),1)="-"),999),LEN(MID(TRIM(INDEX(PASTE_ALL,29,16)),1+(LEFT(TRIM(INDEX(PASTE_ALL,29,16)),1)="-"),999))-(RIGHT(MID(TRIM(INDEX(PASTE_ALL,29,16)),1+(LEFT(TRIM(INDEX(PASTE_ALL,29,16)),1)="-"),999),1)="%"))&lt;&gt;"",SUBSTITUTE(SUBSTITUTE(SUBSTITUTE(SUBSTITUTE(SUBSTITUTE(SUBSTITUTE(SUBSTITUTE(SUBSTITUTE(SUBSTITUTE(SUBSTITUTE(SUBSTITUTE(SUBSTITUTE(LEFT(MID(TRIM(INDEX(PASTE_ALL,29,16)),1+(LEFT(TRIM(INDEX(PASTE_ALL,29,16)),1)="-"),999),LEN(MID(TRIM(INDEX(PASTE_ALL,29,16)),1+(LEFT(TRIM(INDEX(PASTE_ALL,29,16)),1)="-"),999))-(RIGHT(MID(TRIM(INDEX(PASTE_ALL,29,16)),1+(LEFT(TRIM(INDEX(PASTE_ALL,29,16)),1)="-"),999),1)="%")),"0",""),"1",""),"2",""),"3",""),"4",""),"5",""),"6",""),"7",""),"8",""),"9",""),".",""),",","")=""),2,1))),1)</f>
        <v/>
      </c>
      <c r="AO78">
        <f>IFERROR(IF(ISNUMBER(INDEX(PASTE_ALL,29,17)),2,IF(TRIM(INDEX(PASTE_ALL,29,17))="",0,IF(AND(LEFT(MID(TRIM(INDEX(PASTE_ALL,29,17)),1+(LEFT(TRIM(INDEX(PASTE_ALL,29,17)),1)="-"),999),LEN(MID(TRIM(INDEX(PASTE_ALL,29,17)),1+(LEFT(TRIM(INDEX(PASTE_ALL,29,17)),1)="-"),999))-(RIGHT(MID(TRIM(INDEX(PASTE_ALL,29,17)),1+(LEFT(TRIM(INDEX(PASTE_ALL,29,17)),1)="-"),999),1)="%"))&lt;&gt;"",SUBSTITUTE(SUBSTITUTE(SUBSTITUTE(SUBSTITUTE(SUBSTITUTE(SUBSTITUTE(SUBSTITUTE(SUBSTITUTE(SUBSTITUTE(SUBSTITUTE(SUBSTITUTE(SUBSTITUTE(LEFT(MID(TRIM(INDEX(PASTE_ALL,29,17)),1+(LEFT(TRIM(INDEX(PASTE_ALL,29,17)),1)="-"),999),LEN(MID(TRIM(INDEX(PASTE_ALL,29,17)),1+(LEFT(TRIM(INDEX(PASTE_ALL,29,17)),1)="-"),999))-(RIGHT(MID(TRIM(INDEX(PASTE_ALL,29,17)),1+(LEFT(TRIM(INDEX(PASTE_ALL,29,17)),1)="-"),999),1)="%")),"0",""),"1",""),"2",""),"3",""),"4",""),"5",""),"6",""),"7",""),"8",""),"9",""),".",""),",","")=""),2,1))),1)</f>
        <v/>
      </c>
      <c r="AP78">
        <f>IFERROR(IF(ISNUMBER(INDEX(PASTE_ALL,29,18)),2,IF(TRIM(INDEX(PASTE_ALL,29,18))="",0,IF(AND(LEFT(MID(TRIM(INDEX(PASTE_ALL,29,18)),1+(LEFT(TRIM(INDEX(PASTE_ALL,29,18)),1)="-"),999),LEN(MID(TRIM(INDEX(PASTE_ALL,29,18)),1+(LEFT(TRIM(INDEX(PASTE_ALL,29,18)),1)="-"),999))-(RIGHT(MID(TRIM(INDEX(PASTE_ALL,29,18)),1+(LEFT(TRIM(INDEX(PASTE_ALL,29,18)),1)="-"),999),1)="%"))&lt;&gt;"",SUBSTITUTE(SUBSTITUTE(SUBSTITUTE(SUBSTITUTE(SUBSTITUTE(SUBSTITUTE(SUBSTITUTE(SUBSTITUTE(SUBSTITUTE(SUBSTITUTE(SUBSTITUTE(SUBSTITUTE(LEFT(MID(TRIM(INDEX(PASTE_ALL,29,18)),1+(LEFT(TRIM(INDEX(PASTE_ALL,29,18)),1)="-"),999),LEN(MID(TRIM(INDEX(PASTE_ALL,29,18)),1+(LEFT(TRIM(INDEX(PASTE_ALL,29,18)),1)="-"),999))-(RIGHT(MID(TRIM(INDEX(PASTE_ALL,29,18)),1+(LEFT(TRIM(INDEX(PASTE_ALL,29,18)),1)="-"),999),1)="%")),"0",""),"1",""),"2",""),"3",""),"4",""),"5",""),"6",""),"7",""),"8",""),"9",""),".",""),",","")=""),2,1))),1)</f>
        <v/>
      </c>
      <c r="AQ78">
        <f>IFERROR(IF(ISNUMBER(INDEX(PASTE_ALL,29,19)),2,IF(TRIM(INDEX(PASTE_ALL,29,19))="",0,IF(AND(LEFT(MID(TRIM(INDEX(PASTE_ALL,29,19)),1+(LEFT(TRIM(INDEX(PASTE_ALL,29,19)),1)="-"),999),LEN(MID(TRIM(INDEX(PASTE_ALL,29,19)),1+(LEFT(TRIM(INDEX(PASTE_ALL,29,19)),1)="-"),999))-(RIGHT(MID(TRIM(INDEX(PASTE_ALL,29,19)),1+(LEFT(TRIM(INDEX(PASTE_ALL,29,19)),1)="-"),999),1)="%"))&lt;&gt;"",SUBSTITUTE(SUBSTITUTE(SUBSTITUTE(SUBSTITUTE(SUBSTITUTE(SUBSTITUTE(SUBSTITUTE(SUBSTITUTE(SUBSTITUTE(SUBSTITUTE(SUBSTITUTE(SUBSTITUTE(LEFT(MID(TRIM(INDEX(PASTE_ALL,29,19)),1+(LEFT(TRIM(INDEX(PASTE_ALL,29,19)),1)="-"),999),LEN(MID(TRIM(INDEX(PASTE_ALL,29,19)),1+(LEFT(TRIM(INDEX(PASTE_ALL,29,19)),1)="-"),999))-(RIGHT(MID(TRIM(INDEX(PASTE_ALL,29,19)),1+(LEFT(TRIM(INDEX(PASTE_ALL,29,19)),1)="-"),999),1)="%")),"0",""),"1",""),"2",""),"3",""),"4",""),"5",""),"6",""),"7",""),"8",""),"9",""),".",""),",","")=""),2,1))),1)</f>
        <v/>
      </c>
      <c r="AR78">
        <f>IFERROR(IF(ISNUMBER(INDEX(PASTE_ALL,29,20)),2,IF(TRIM(INDEX(PASTE_ALL,29,20))="",0,IF(AND(LEFT(MID(TRIM(INDEX(PASTE_ALL,29,20)),1+(LEFT(TRIM(INDEX(PASTE_ALL,29,20)),1)="-"),999),LEN(MID(TRIM(INDEX(PASTE_ALL,29,20)),1+(LEFT(TRIM(INDEX(PASTE_ALL,29,20)),1)="-"),999))-(RIGHT(MID(TRIM(INDEX(PASTE_ALL,29,20)),1+(LEFT(TRIM(INDEX(PASTE_ALL,29,20)),1)="-"),999),1)="%"))&lt;&gt;"",SUBSTITUTE(SUBSTITUTE(SUBSTITUTE(SUBSTITUTE(SUBSTITUTE(SUBSTITUTE(SUBSTITUTE(SUBSTITUTE(SUBSTITUTE(SUBSTITUTE(SUBSTITUTE(SUBSTITUTE(LEFT(MID(TRIM(INDEX(PASTE_ALL,29,20)),1+(LEFT(TRIM(INDEX(PASTE_ALL,29,20)),1)="-"),999),LEN(MID(TRIM(INDEX(PASTE_ALL,29,20)),1+(LEFT(TRIM(INDEX(PASTE_ALL,29,20)),1)="-"),999))-(RIGHT(MID(TRIM(INDEX(PASTE_ALL,29,20)),1+(LEFT(TRIM(INDEX(PASTE_ALL,29,20)),1)="-"),999),1)="%")),"0",""),"1",""),"2",""),"3",""),"4",""),"5",""),"6",""),"7",""),"8",""),"9",""),".",""),",","")=""),2,1))),1)</f>
        <v/>
      </c>
      <c r="AS78">
        <f>IFERROR(IF(ISNUMBER(INDEX(PASTE_ALL,29,21)),2,IF(TRIM(INDEX(PASTE_ALL,29,21))="",0,IF(AND(LEFT(MID(TRIM(INDEX(PASTE_ALL,29,21)),1+(LEFT(TRIM(INDEX(PASTE_ALL,29,21)),1)="-"),999),LEN(MID(TRIM(INDEX(PASTE_ALL,29,21)),1+(LEFT(TRIM(INDEX(PASTE_ALL,29,21)),1)="-"),999))-(RIGHT(MID(TRIM(INDEX(PASTE_ALL,29,21)),1+(LEFT(TRIM(INDEX(PASTE_ALL,29,21)),1)="-"),999),1)="%"))&lt;&gt;"",SUBSTITUTE(SUBSTITUTE(SUBSTITUTE(SUBSTITUTE(SUBSTITUTE(SUBSTITUTE(SUBSTITUTE(SUBSTITUTE(SUBSTITUTE(SUBSTITUTE(SUBSTITUTE(SUBSTITUTE(LEFT(MID(TRIM(INDEX(PASTE_ALL,29,21)),1+(LEFT(TRIM(INDEX(PASTE_ALL,29,21)),1)="-"),999),LEN(MID(TRIM(INDEX(PASTE_ALL,29,21)),1+(LEFT(TRIM(INDEX(PASTE_ALL,29,21)),1)="-"),999))-(RIGHT(MID(TRIM(INDEX(PASTE_ALL,29,21)),1+(LEFT(TRIM(INDEX(PASTE_ALL,29,21)),1)="-"),999),1)="%")),"0",""),"1",""),"2",""),"3",""),"4",""),"5",""),"6",""),"7",""),"8",""),"9",""),".",""),",","")=""),2,1))),1)</f>
        <v/>
      </c>
      <c r="AT78">
        <f>IFERROR(IF(ISNUMBER(INDEX(PASTE_ALL,29,22)),2,IF(TRIM(INDEX(PASTE_ALL,29,22))="",0,IF(AND(LEFT(MID(TRIM(INDEX(PASTE_ALL,29,22)),1+(LEFT(TRIM(INDEX(PASTE_ALL,29,22)),1)="-"),999),LEN(MID(TRIM(INDEX(PASTE_ALL,29,22)),1+(LEFT(TRIM(INDEX(PASTE_ALL,29,22)),1)="-"),999))-(RIGHT(MID(TRIM(INDEX(PASTE_ALL,29,22)),1+(LEFT(TRIM(INDEX(PASTE_ALL,29,22)),1)="-"),999),1)="%"))&lt;&gt;"",SUBSTITUTE(SUBSTITUTE(SUBSTITUTE(SUBSTITUTE(SUBSTITUTE(SUBSTITUTE(SUBSTITUTE(SUBSTITUTE(SUBSTITUTE(SUBSTITUTE(SUBSTITUTE(SUBSTITUTE(LEFT(MID(TRIM(INDEX(PASTE_ALL,29,22)),1+(LEFT(TRIM(INDEX(PASTE_ALL,29,22)),1)="-"),999),LEN(MID(TRIM(INDEX(PASTE_ALL,29,22)),1+(LEFT(TRIM(INDEX(PASTE_ALL,29,22)),1)="-"),999))-(RIGHT(MID(TRIM(INDEX(PASTE_ALL,29,22)),1+(LEFT(TRIM(INDEX(PASTE_ALL,29,22)),1)="-"),999),1)="%")),"0",""),"1",""),"2",""),"3",""),"4",""),"5",""),"6",""),"7",""),"8",""),"9",""),".",""),",","")=""),2,1))),1)</f>
        <v/>
      </c>
      <c r="AU78">
        <f>IFERROR(IF(ISNUMBER(INDEX(PASTE_ALL,29,23)),2,IF(TRIM(INDEX(PASTE_ALL,29,23))="",0,IF(AND(LEFT(MID(TRIM(INDEX(PASTE_ALL,29,23)),1+(LEFT(TRIM(INDEX(PASTE_ALL,29,23)),1)="-"),999),LEN(MID(TRIM(INDEX(PASTE_ALL,29,23)),1+(LEFT(TRIM(INDEX(PASTE_ALL,29,23)),1)="-"),999))-(RIGHT(MID(TRIM(INDEX(PASTE_ALL,29,23)),1+(LEFT(TRIM(INDEX(PASTE_ALL,29,23)),1)="-"),999),1)="%"))&lt;&gt;"",SUBSTITUTE(SUBSTITUTE(SUBSTITUTE(SUBSTITUTE(SUBSTITUTE(SUBSTITUTE(SUBSTITUTE(SUBSTITUTE(SUBSTITUTE(SUBSTITUTE(SUBSTITUTE(SUBSTITUTE(LEFT(MID(TRIM(INDEX(PASTE_ALL,29,23)),1+(LEFT(TRIM(INDEX(PASTE_ALL,29,23)),1)="-"),999),LEN(MID(TRIM(INDEX(PASTE_ALL,29,23)),1+(LEFT(TRIM(INDEX(PASTE_ALL,29,23)),1)="-"),999))-(RIGHT(MID(TRIM(INDEX(PASTE_ALL,29,23)),1+(LEFT(TRIM(INDEX(PASTE_ALL,29,23)),1)="-"),999),1)="%")),"0",""),"1",""),"2",""),"3",""),"4",""),"5",""),"6",""),"7",""),"8",""),"9",""),".",""),",","")=""),2,1))),1)</f>
        <v/>
      </c>
      <c r="AV78">
        <f>IFERROR(IF(ISNUMBER(INDEX(PASTE_ALL,29,24)),2,IF(TRIM(INDEX(PASTE_ALL,29,24))="",0,IF(AND(LEFT(MID(TRIM(INDEX(PASTE_ALL,29,24)),1+(LEFT(TRIM(INDEX(PASTE_ALL,29,24)),1)="-"),999),LEN(MID(TRIM(INDEX(PASTE_ALL,29,24)),1+(LEFT(TRIM(INDEX(PASTE_ALL,29,24)),1)="-"),999))-(RIGHT(MID(TRIM(INDEX(PASTE_ALL,29,24)),1+(LEFT(TRIM(INDEX(PASTE_ALL,29,24)),1)="-"),999),1)="%"))&lt;&gt;"",SUBSTITUTE(SUBSTITUTE(SUBSTITUTE(SUBSTITUTE(SUBSTITUTE(SUBSTITUTE(SUBSTITUTE(SUBSTITUTE(SUBSTITUTE(SUBSTITUTE(SUBSTITUTE(SUBSTITUTE(LEFT(MID(TRIM(INDEX(PASTE_ALL,29,24)),1+(LEFT(TRIM(INDEX(PASTE_ALL,29,24)),1)="-"),999),LEN(MID(TRIM(INDEX(PASTE_ALL,29,24)),1+(LEFT(TRIM(INDEX(PASTE_ALL,29,24)),1)="-"),999))-(RIGHT(MID(TRIM(INDEX(PASTE_ALL,29,24)),1+(LEFT(TRIM(INDEX(PASTE_ALL,29,24)),1)="-"),999),1)="%")),"0",""),"1",""),"2",""),"3",""),"4",""),"5",""),"6",""),"7",""),"8",""),"9",""),".",""),",","")=""),2,1))),1)</f>
        <v/>
      </c>
      <c r="AW78">
        <f>IFERROR(IF(ISNUMBER(INDEX(PASTE_ALL,29,25)),2,IF(TRIM(INDEX(PASTE_ALL,29,25))="",0,IF(AND(LEFT(MID(TRIM(INDEX(PASTE_ALL,29,25)),1+(LEFT(TRIM(INDEX(PASTE_ALL,29,25)),1)="-"),999),LEN(MID(TRIM(INDEX(PASTE_ALL,29,25)),1+(LEFT(TRIM(INDEX(PASTE_ALL,29,25)),1)="-"),999))-(RIGHT(MID(TRIM(INDEX(PASTE_ALL,29,25)),1+(LEFT(TRIM(INDEX(PASTE_ALL,29,25)),1)="-"),999),1)="%"))&lt;&gt;"",SUBSTITUTE(SUBSTITUTE(SUBSTITUTE(SUBSTITUTE(SUBSTITUTE(SUBSTITUTE(SUBSTITUTE(SUBSTITUTE(SUBSTITUTE(SUBSTITUTE(SUBSTITUTE(SUBSTITUTE(LEFT(MID(TRIM(INDEX(PASTE_ALL,29,25)),1+(LEFT(TRIM(INDEX(PASTE_ALL,29,25)),1)="-"),999),LEN(MID(TRIM(INDEX(PASTE_ALL,29,25)),1+(LEFT(TRIM(INDEX(PASTE_ALL,29,25)),1)="-"),999))-(RIGHT(MID(TRIM(INDEX(PASTE_ALL,29,25)),1+(LEFT(TRIM(INDEX(PASTE_ALL,29,25)),1)="-"),999),1)="%")),"0",""),"1",""),"2",""),"3",""),"4",""),"5",""),"6",""),"7",""),"8",""),"9",""),".",""),",","")=""),2,1))),1)</f>
        <v/>
      </c>
      <c r="AX78">
        <f>IFERROR(IF(ISNUMBER(INDEX(PASTE_ALL,29,26)),2,IF(TRIM(INDEX(PASTE_ALL,29,26))="",0,IF(AND(LEFT(MID(TRIM(INDEX(PASTE_ALL,29,26)),1+(LEFT(TRIM(INDEX(PASTE_ALL,29,26)),1)="-"),999),LEN(MID(TRIM(INDEX(PASTE_ALL,29,26)),1+(LEFT(TRIM(INDEX(PASTE_ALL,29,26)),1)="-"),999))-(RIGHT(MID(TRIM(INDEX(PASTE_ALL,29,26)),1+(LEFT(TRIM(INDEX(PASTE_ALL,29,26)),1)="-"),999),1)="%"))&lt;&gt;"",SUBSTITUTE(SUBSTITUTE(SUBSTITUTE(SUBSTITUTE(SUBSTITUTE(SUBSTITUTE(SUBSTITUTE(SUBSTITUTE(SUBSTITUTE(SUBSTITUTE(SUBSTITUTE(SUBSTITUTE(LEFT(MID(TRIM(INDEX(PASTE_ALL,29,26)),1+(LEFT(TRIM(INDEX(PASTE_ALL,29,26)),1)="-"),999),LEN(MID(TRIM(INDEX(PASTE_ALL,29,26)),1+(LEFT(TRIM(INDEX(PASTE_ALL,29,26)),1)="-"),999))-(RIGHT(MID(TRIM(INDEX(PASTE_ALL,29,26)),1+(LEFT(TRIM(INDEX(PASTE_ALL,29,26)),1)="-"),999),1)="%")),"0",""),"1",""),"2",""),"3",""),"4",""),"5",""),"6",""),"7",""),"8",""),"9",""),".",""),",","")=""),2,1))),1)</f>
        <v/>
      </c>
      <c r="AY78">
        <f>IFERROR(IF(ISNUMBER(INDEX(PASTE_ALL,29,27)),2,IF(TRIM(INDEX(PASTE_ALL,29,27))="",0,IF(AND(LEFT(MID(TRIM(INDEX(PASTE_ALL,29,27)),1+(LEFT(TRIM(INDEX(PASTE_ALL,29,27)),1)="-"),999),LEN(MID(TRIM(INDEX(PASTE_ALL,29,27)),1+(LEFT(TRIM(INDEX(PASTE_ALL,29,27)),1)="-"),999))-(RIGHT(MID(TRIM(INDEX(PASTE_ALL,29,27)),1+(LEFT(TRIM(INDEX(PASTE_ALL,29,27)),1)="-"),999),1)="%"))&lt;&gt;"",SUBSTITUTE(SUBSTITUTE(SUBSTITUTE(SUBSTITUTE(SUBSTITUTE(SUBSTITUTE(SUBSTITUTE(SUBSTITUTE(SUBSTITUTE(SUBSTITUTE(SUBSTITUTE(SUBSTITUTE(LEFT(MID(TRIM(INDEX(PASTE_ALL,29,27)),1+(LEFT(TRIM(INDEX(PASTE_ALL,29,27)),1)="-"),999),LEN(MID(TRIM(INDEX(PASTE_ALL,29,27)),1+(LEFT(TRIM(INDEX(PASTE_ALL,29,27)),1)="-"),999))-(RIGHT(MID(TRIM(INDEX(PASTE_ALL,29,27)),1+(LEFT(TRIM(INDEX(PASTE_ALL,29,27)),1)="-"),999),1)="%")),"0",""),"1",""),"2",""),"3",""),"4",""),"5",""),"6",""),"7",""),"8",""),"9",""),".",""),",","")=""),2,1))),1)</f>
        <v/>
      </c>
      <c r="AZ78">
        <f>IFERROR(IF(ISNUMBER(INDEX(PASTE_ALL,29,28)),2,IF(TRIM(INDEX(PASTE_ALL,29,28))="",0,IF(AND(LEFT(MID(TRIM(INDEX(PASTE_ALL,29,28)),1+(LEFT(TRIM(INDEX(PASTE_ALL,29,28)),1)="-"),999),LEN(MID(TRIM(INDEX(PASTE_ALL,29,28)),1+(LEFT(TRIM(INDEX(PASTE_ALL,29,28)),1)="-"),999))-(RIGHT(MID(TRIM(INDEX(PASTE_ALL,29,28)),1+(LEFT(TRIM(INDEX(PASTE_ALL,29,28)),1)="-"),999),1)="%"))&lt;&gt;"",SUBSTITUTE(SUBSTITUTE(SUBSTITUTE(SUBSTITUTE(SUBSTITUTE(SUBSTITUTE(SUBSTITUTE(SUBSTITUTE(SUBSTITUTE(SUBSTITUTE(SUBSTITUTE(SUBSTITUTE(LEFT(MID(TRIM(INDEX(PASTE_ALL,29,28)),1+(LEFT(TRIM(INDEX(PASTE_ALL,29,28)),1)="-"),999),LEN(MID(TRIM(INDEX(PASTE_ALL,29,28)),1+(LEFT(TRIM(INDEX(PASTE_ALL,29,28)),1)="-"),999))-(RIGHT(MID(TRIM(INDEX(PASTE_ALL,29,28)),1+(LEFT(TRIM(INDEX(PASTE_ALL,29,28)),1)="-"),999),1)="%")),"0",""),"1",""),"2",""),"3",""),"4",""),"5",""),"6",""),"7",""),"8",""),"9",""),".",""),",","")=""),2,1))),1)</f>
        <v/>
      </c>
      <c r="BA78">
        <f>IFERROR(IF(ISNUMBER(INDEX(PASTE_ALL,29,29)),2,IF(TRIM(INDEX(PASTE_ALL,29,29))="",0,IF(AND(LEFT(MID(TRIM(INDEX(PASTE_ALL,29,29)),1+(LEFT(TRIM(INDEX(PASTE_ALL,29,29)),1)="-"),999),LEN(MID(TRIM(INDEX(PASTE_ALL,29,29)),1+(LEFT(TRIM(INDEX(PASTE_ALL,29,29)),1)="-"),999))-(RIGHT(MID(TRIM(INDEX(PASTE_ALL,29,29)),1+(LEFT(TRIM(INDEX(PASTE_ALL,29,29)),1)="-"),999),1)="%"))&lt;&gt;"",SUBSTITUTE(SUBSTITUTE(SUBSTITUTE(SUBSTITUTE(SUBSTITUTE(SUBSTITUTE(SUBSTITUTE(SUBSTITUTE(SUBSTITUTE(SUBSTITUTE(SUBSTITUTE(SUBSTITUTE(LEFT(MID(TRIM(INDEX(PASTE_ALL,29,29)),1+(LEFT(TRIM(INDEX(PASTE_ALL,29,29)),1)="-"),999),LEN(MID(TRIM(INDEX(PASTE_ALL,29,29)),1+(LEFT(TRIM(INDEX(PASTE_ALL,29,29)),1)="-"),999))-(RIGHT(MID(TRIM(INDEX(PASTE_ALL,29,29)),1+(LEFT(TRIM(INDEX(PASTE_ALL,29,29)),1)="-"),999),1)="%")),"0",""),"1",""),"2",""),"3",""),"4",""),"5",""),"6",""),"7",""),"8",""),"9",""),".",""),",","")=""),2,1))),1)</f>
        <v/>
      </c>
      <c r="BB78">
        <f>IFERROR(IF(ISNUMBER(INDEX(PASTE_ALL,29,30)),2,IF(TRIM(INDEX(PASTE_ALL,29,30))="",0,IF(AND(LEFT(MID(TRIM(INDEX(PASTE_ALL,29,30)),1+(LEFT(TRIM(INDEX(PASTE_ALL,29,30)),1)="-"),999),LEN(MID(TRIM(INDEX(PASTE_ALL,29,30)),1+(LEFT(TRIM(INDEX(PASTE_ALL,29,30)),1)="-"),999))-(RIGHT(MID(TRIM(INDEX(PASTE_ALL,29,30)),1+(LEFT(TRIM(INDEX(PASTE_ALL,29,30)),1)="-"),999),1)="%"))&lt;&gt;"",SUBSTITUTE(SUBSTITUTE(SUBSTITUTE(SUBSTITUTE(SUBSTITUTE(SUBSTITUTE(SUBSTITUTE(SUBSTITUTE(SUBSTITUTE(SUBSTITUTE(SUBSTITUTE(SUBSTITUTE(LEFT(MID(TRIM(INDEX(PASTE_ALL,29,30)),1+(LEFT(TRIM(INDEX(PASTE_ALL,29,30)),1)="-"),999),LEN(MID(TRIM(INDEX(PASTE_ALL,29,30)),1+(LEFT(TRIM(INDEX(PASTE_ALL,29,30)),1)="-"),999))-(RIGHT(MID(TRIM(INDEX(PASTE_ALL,29,30)),1+(LEFT(TRIM(INDEX(PASTE_ALL,29,30)),1)="-"),999),1)="%")),"0",""),"1",""),"2",""),"3",""),"4",""),"5",""),"6",""),"7",""),"8",""),"9",""),".",""),",","")=""),2,1))),1)</f>
        <v/>
      </c>
      <c r="BC78">
        <f>IFERROR(IF(ISNUMBER(INDEX(PASTE_ALL,29,31)),2,IF(TRIM(INDEX(PASTE_ALL,29,31))="",0,IF(AND(LEFT(MID(TRIM(INDEX(PASTE_ALL,29,31)),1+(LEFT(TRIM(INDEX(PASTE_ALL,29,31)),1)="-"),999),LEN(MID(TRIM(INDEX(PASTE_ALL,29,31)),1+(LEFT(TRIM(INDEX(PASTE_ALL,29,31)),1)="-"),999))-(RIGHT(MID(TRIM(INDEX(PASTE_ALL,29,31)),1+(LEFT(TRIM(INDEX(PASTE_ALL,29,31)),1)="-"),999),1)="%"))&lt;&gt;"",SUBSTITUTE(SUBSTITUTE(SUBSTITUTE(SUBSTITUTE(SUBSTITUTE(SUBSTITUTE(SUBSTITUTE(SUBSTITUTE(SUBSTITUTE(SUBSTITUTE(SUBSTITUTE(SUBSTITUTE(LEFT(MID(TRIM(INDEX(PASTE_ALL,29,31)),1+(LEFT(TRIM(INDEX(PASTE_ALL,29,31)),1)="-"),999),LEN(MID(TRIM(INDEX(PASTE_ALL,29,31)),1+(LEFT(TRIM(INDEX(PASTE_ALL,29,31)),1)="-"),999))-(RIGHT(MID(TRIM(INDEX(PASTE_ALL,29,31)),1+(LEFT(TRIM(INDEX(PASTE_ALL,29,31)),1)="-"),999),1)="%")),"0",""),"1",""),"2",""),"3",""),"4",""),"5",""),"6",""),"7",""),"8",""),"9",""),".",""),",","")=""),2,1))),1)</f>
        <v/>
      </c>
      <c r="BD78">
        <f>IFERROR(IF(ISNUMBER(INDEX(PASTE_ALL,29,32)),2,IF(TRIM(INDEX(PASTE_ALL,29,32))="",0,IF(AND(LEFT(MID(TRIM(INDEX(PASTE_ALL,29,32)),1+(LEFT(TRIM(INDEX(PASTE_ALL,29,32)),1)="-"),999),LEN(MID(TRIM(INDEX(PASTE_ALL,29,32)),1+(LEFT(TRIM(INDEX(PASTE_ALL,29,32)),1)="-"),999))-(RIGHT(MID(TRIM(INDEX(PASTE_ALL,29,32)),1+(LEFT(TRIM(INDEX(PASTE_ALL,29,32)),1)="-"),999),1)="%"))&lt;&gt;"",SUBSTITUTE(SUBSTITUTE(SUBSTITUTE(SUBSTITUTE(SUBSTITUTE(SUBSTITUTE(SUBSTITUTE(SUBSTITUTE(SUBSTITUTE(SUBSTITUTE(SUBSTITUTE(SUBSTITUTE(LEFT(MID(TRIM(INDEX(PASTE_ALL,29,32)),1+(LEFT(TRIM(INDEX(PASTE_ALL,29,32)),1)="-"),999),LEN(MID(TRIM(INDEX(PASTE_ALL,29,32)),1+(LEFT(TRIM(INDEX(PASTE_ALL,29,32)),1)="-"),999))-(RIGHT(MID(TRIM(INDEX(PASTE_ALL,29,32)),1+(LEFT(TRIM(INDEX(PASTE_ALL,29,32)),1)="-"),999),1)="%")),"0",""),"1",""),"2",""),"3",""),"4",""),"5",""),"6",""),"7",""),"8",""),"9",""),".",""),",","")=""),2,1))),1)</f>
        <v/>
      </c>
      <c r="BE78">
        <f>IFERROR(IF(ISNUMBER(INDEX(PASTE_ALL,29,33)),2,IF(TRIM(INDEX(PASTE_ALL,29,33))="",0,IF(AND(LEFT(MID(TRIM(INDEX(PASTE_ALL,29,33)),1+(LEFT(TRIM(INDEX(PASTE_ALL,29,33)),1)="-"),999),LEN(MID(TRIM(INDEX(PASTE_ALL,29,33)),1+(LEFT(TRIM(INDEX(PASTE_ALL,29,33)),1)="-"),999))-(RIGHT(MID(TRIM(INDEX(PASTE_ALL,29,33)),1+(LEFT(TRIM(INDEX(PASTE_ALL,29,33)),1)="-"),999),1)="%"))&lt;&gt;"",SUBSTITUTE(SUBSTITUTE(SUBSTITUTE(SUBSTITUTE(SUBSTITUTE(SUBSTITUTE(SUBSTITUTE(SUBSTITUTE(SUBSTITUTE(SUBSTITUTE(SUBSTITUTE(SUBSTITUTE(LEFT(MID(TRIM(INDEX(PASTE_ALL,29,33)),1+(LEFT(TRIM(INDEX(PASTE_ALL,29,33)),1)="-"),999),LEN(MID(TRIM(INDEX(PASTE_ALL,29,33)),1+(LEFT(TRIM(INDEX(PASTE_ALL,29,33)),1)="-"),999))-(RIGHT(MID(TRIM(INDEX(PASTE_ALL,29,33)),1+(LEFT(TRIM(INDEX(PASTE_ALL,29,33)),1)="-"),999),1)="%")),"0",""),"1",""),"2",""),"3",""),"4",""),"5",""),"6",""),"7",""),"8",""),"9",""),".",""),",","")=""),2,1))),1)</f>
        <v/>
      </c>
      <c r="BF78">
        <f>IFERROR(IF(ISNUMBER(INDEX(PASTE_ALL,29,34)),2,IF(TRIM(INDEX(PASTE_ALL,29,34))="",0,IF(AND(LEFT(MID(TRIM(INDEX(PASTE_ALL,29,34)),1+(LEFT(TRIM(INDEX(PASTE_ALL,29,34)),1)="-"),999),LEN(MID(TRIM(INDEX(PASTE_ALL,29,34)),1+(LEFT(TRIM(INDEX(PASTE_ALL,29,34)),1)="-"),999))-(RIGHT(MID(TRIM(INDEX(PASTE_ALL,29,34)),1+(LEFT(TRIM(INDEX(PASTE_ALL,29,34)),1)="-"),999),1)="%"))&lt;&gt;"",SUBSTITUTE(SUBSTITUTE(SUBSTITUTE(SUBSTITUTE(SUBSTITUTE(SUBSTITUTE(SUBSTITUTE(SUBSTITUTE(SUBSTITUTE(SUBSTITUTE(SUBSTITUTE(SUBSTITUTE(LEFT(MID(TRIM(INDEX(PASTE_ALL,29,34)),1+(LEFT(TRIM(INDEX(PASTE_ALL,29,34)),1)="-"),999),LEN(MID(TRIM(INDEX(PASTE_ALL,29,34)),1+(LEFT(TRIM(INDEX(PASTE_ALL,29,34)),1)="-"),999))-(RIGHT(MID(TRIM(INDEX(PASTE_ALL,29,34)),1+(LEFT(TRIM(INDEX(PASTE_ALL,29,34)),1)="-"),999),1)="%")),"0",""),"1",""),"2",""),"3",""),"4",""),"5",""),"6",""),"7",""),"8",""),"9",""),".",""),",","")=""),2,1))),1)</f>
        <v/>
      </c>
      <c r="BG78">
        <f>IFERROR(IF(ISNUMBER(INDEX(PASTE_ALL,29,35)),2,IF(TRIM(INDEX(PASTE_ALL,29,35))="",0,IF(AND(LEFT(MID(TRIM(INDEX(PASTE_ALL,29,35)),1+(LEFT(TRIM(INDEX(PASTE_ALL,29,35)),1)="-"),999),LEN(MID(TRIM(INDEX(PASTE_ALL,29,35)),1+(LEFT(TRIM(INDEX(PASTE_ALL,29,35)),1)="-"),999))-(RIGHT(MID(TRIM(INDEX(PASTE_ALL,29,35)),1+(LEFT(TRIM(INDEX(PASTE_ALL,29,35)),1)="-"),999),1)="%"))&lt;&gt;"",SUBSTITUTE(SUBSTITUTE(SUBSTITUTE(SUBSTITUTE(SUBSTITUTE(SUBSTITUTE(SUBSTITUTE(SUBSTITUTE(SUBSTITUTE(SUBSTITUTE(SUBSTITUTE(SUBSTITUTE(LEFT(MID(TRIM(INDEX(PASTE_ALL,29,35)),1+(LEFT(TRIM(INDEX(PASTE_ALL,29,35)),1)="-"),999),LEN(MID(TRIM(INDEX(PASTE_ALL,29,35)),1+(LEFT(TRIM(INDEX(PASTE_ALL,29,35)),1)="-"),999))-(RIGHT(MID(TRIM(INDEX(PASTE_ALL,29,35)),1+(LEFT(TRIM(INDEX(PASTE_ALL,29,35)),1)="-"),999),1)="%")),"0",""),"1",""),"2",""),"3",""),"4",""),"5",""),"6",""),"7",""),"8",""),"9",""),".",""),",","")=""),2,1))),1)</f>
        <v/>
      </c>
      <c r="BH78">
        <f>IFERROR(IF(ISNUMBER(INDEX(PASTE_ALL,29,36)),2,IF(TRIM(INDEX(PASTE_ALL,29,36))="",0,IF(AND(LEFT(MID(TRIM(INDEX(PASTE_ALL,29,36)),1+(LEFT(TRIM(INDEX(PASTE_ALL,29,36)),1)="-"),999),LEN(MID(TRIM(INDEX(PASTE_ALL,29,36)),1+(LEFT(TRIM(INDEX(PASTE_ALL,29,36)),1)="-"),999))-(RIGHT(MID(TRIM(INDEX(PASTE_ALL,29,36)),1+(LEFT(TRIM(INDEX(PASTE_ALL,29,36)),1)="-"),999),1)="%"))&lt;&gt;"",SUBSTITUTE(SUBSTITUTE(SUBSTITUTE(SUBSTITUTE(SUBSTITUTE(SUBSTITUTE(SUBSTITUTE(SUBSTITUTE(SUBSTITUTE(SUBSTITUTE(SUBSTITUTE(SUBSTITUTE(LEFT(MID(TRIM(INDEX(PASTE_ALL,29,36)),1+(LEFT(TRIM(INDEX(PASTE_ALL,29,36)),1)="-"),999),LEN(MID(TRIM(INDEX(PASTE_ALL,29,36)),1+(LEFT(TRIM(INDEX(PASTE_ALL,29,36)),1)="-"),999))-(RIGHT(MID(TRIM(INDEX(PASTE_ALL,29,36)),1+(LEFT(TRIM(INDEX(PASTE_ALL,29,36)),1)="-"),999),1)="%")),"0",""),"1",""),"2",""),"3",""),"4",""),"5",""),"6",""),"7",""),"8",""),"9",""),".",""),",","")=""),2,1))),1)</f>
        <v/>
      </c>
      <c r="BI78">
        <f>IFERROR(IF(ISNUMBER(INDEX(PASTE_ALL,29,37)),2,IF(TRIM(INDEX(PASTE_ALL,29,37))="",0,IF(AND(LEFT(MID(TRIM(INDEX(PASTE_ALL,29,37)),1+(LEFT(TRIM(INDEX(PASTE_ALL,29,37)),1)="-"),999),LEN(MID(TRIM(INDEX(PASTE_ALL,29,37)),1+(LEFT(TRIM(INDEX(PASTE_ALL,29,37)),1)="-"),999))-(RIGHT(MID(TRIM(INDEX(PASTE_ALL,29,37)),1+(LEFT(TRIM(INDEX(PASTE_ALL,29,37)),1)="-"),999),1)="%"))&lt;&gt;"",SUBSTITUTE(SUBSTITUTE(SUBSTITUTE(SUBSTITUTE(SUBSTITUTE(SUBSTITUTE(SUBSTITUTE(SUBSTITUTE(SUBSTITUTE(SUBSTITUTE(SUBSTITUTE(SUBSTITUTE(LEFT(MID(TRIM(INDEX(PASTE_ALL,29,37)),1+(LEFT(TRIM(INDEX(PASTE_ALL,29,37)),1)="-"),999),LEN(MID(TRIM(INDEX(PASTE_ALL,29,37)),1+(LEFT(TRIM(INDEX(PASTE_ALL,29,37)),1)="-"),999))-(RIGHT(MID(TRIM(INDEX(PASTE_ALL,29,37)),1+(LEFT(TRIM(INDEX(PASTE_ALL,29,37)),1)="-"),999),1)="%")),"0",""),"1",""),"2",""),"3",""),"4",""),"5",""),"6",""),"7",""),"8",""),"9",""),".",""),",","")=""),2,1))),1)</f>
        <v/>
      </c>
      <c r="BJ78">
        <f>IFERROR(IF(ISNUMBER(INDEX(PASTE_ALL,29,38)),2,IF(TRIM(INDEX(PASTE_ALL,29,38))="",0,IF(AND(LEFT(MID(TRIM(INDEX(PASTE_ALL,29,38)),1+(LEFT(TRIM(INDEX(PASTE_ALL,29,38)),1)="-"),999),LEN(MID(TRIM(INDEX(PASTE_ALL,29,38)),1+(LEFT(TRIM(INDEX(PASTE_ALL,29,38)),1)="-"),999))-(RIGHT(MID(TRIM(INDEX(PASTE_ALL,29,38)),1+(LEFT(TRIM(INDEX(PASTE_ALL,29,38)),1)="-"),999),1)="%"))&lt;&gt;"",SUBSTITUTE(SUBSTITUTE(SUBSTITUTE(SUBSTITUTE(SUBSTITUTE(SUBSTITUTE(SUBSTITUTE(SUBSTITUTE(SUBSTITUTE(SUBSTITUTE(SUBSTITUTE(SUBSTITUTE(LEFT(MID(TRIM(INDEX(PASTE_ALL,29,38)),1+(LEFT(TRIM(INDEX(PASTE_ALL,29,38)),1)="-"),999),LEN(MID(TRIM(INDEX(PASTE_ALL,29,38)),1+(LEFT(TRIM(INDEX(PASTE_ALL,29,38)),1)="-"),999))-(RIGHT(MID(TRIM(INDEX(PASTE_ALL,29,38)),1+(LEFT(TRIM(INDEX(PASTE_ALL,29,38)),1)="-"),999),1)="%")),"0",""),"1",""),"2",""),"3",""),"4",""),"5",""),"6",""),"7",""),"8",""),"9",""),".",""),",","")=""),2,1))),1)</f>
        <v/>
      </c>
      <c r="BK78">
        <f>IFERROR(IF(ISNUMBER(INDEX(PASTE_ALL,29,39)),2,IF(TRIM(INDEX(PASTE_ALL,29,39))="",0,IF(AND(LEFT(MID(TRIM(INDEX(PASTE_ALL,29,39)),1+(LEFT(TRIM(INDEX(PASTE_ALL,29,39)),1)="-"),999),LEN(MID(TRIM(INDEX(PASTE_ALL,29,39)),1+(LEFT(TRIM(INDEX(PASTE_ALL,29,39)),1)="-"),999))-(RIGHT(MID(TRIM(INDEX(PASTE_ALL,29,39)),1+(LEFT(TRIM(INDEX(PASTE_ALL,29,39)),1)="-"),999),1)="%"))&lt;&gt;"",SUBSTITUTE(SUBSTITUTE(SUBSTITUTE(SUBSTITUTE(SUBSTITUTE(SUBSTITUTE(SUBSTITUTE(SUBSTITUTE(SUBSTITUTE(SUBSTITUTE(SUBSTITUTE(SUBSTITUTE(LEFT(MID(TRIM(INDEX(PASTE_ALL,29,39)),1+(LEFT(TRIM(INDEX(PASTE_ALL,29,39)),1)="-"),999),LEN(MID(TRIM(INDEX(PASTE_ALL,29,39)),1+(LEFT(TRIM(INDEX(PASTE_ALL,29,39)),1)="-"),999))-(RIGHT(MID(TRIM(INDEX(PASTE_ALL,29,39)),1+(LEFT(TRIM(INDEX(PASTE_ALL,29,39)),1)="-"),999),1)="%")),"0",""),"1",""),"2",""),"3",""),"4",""),"5",""),"6",""),"7",""),"8",""),"9",""),".",""),",","")=""),2,1))),1)</f>
        <v/>
      </c>
      <c r="BL78">
        <f>IFERROR(IF(ISNUMBER(INDEX(PASTE_ALL,29,40)),2,IF(TRIM(INDEX(PASTE_ALL,29,40))="",0,IF(AND(LEFT(MID(TRIM(INDEX(PASTE_ALL,29,40)),1+(LEFT(TRIM(INDEX(PASTE_ALL,29,40)),1)="-"),999),LEN(MID(TRIM(INDEX(PASTE_ALL,29,40)),1+(LEFT(TRIM(INDEX(PASTE_ALL,29,40)),1)="-"),999))-(RIGHT(MID(TRIM(INDEX(PASTE_ALL,29,40)),1+(LEFT(TRIM(INDEX(PASTE_ALL,29,40)),1)="-"),999),1)="%"))&lt;&gt;"",SUBSTITUTE(SUBSTITUTE(SUBSTITUTE(SUBSTITUTE(SUBSTITUTE(SUBSTITUTE(SUBSTITUTE(SUBSTITUTE(SUBSTITUTE(SUBSTITUTE(SUBSTITUTE(SUBSTITUTE(LEFT(MID(TRIM(INDEX(PASTE_ALL,29,40)),1+(LEFT(TRIM(INDEX(PASTE_ALL,29,40)),1)="-"),999),LEN(MID(TRIM(INDEX(PASTE_ALL,29,40)),1+(LEFT(TRIM(INDEX(PASTE_ALL,29,40)),1)="-"),999))-(RIGHT(MID(TRIM(INDEX(PASTE_ALL,29,40)),1+(LEFT(TRIM(INDEX(PASTE_ALL,29,40)),1)="-"),999),1)="%")),"0",""),"1",""),"2",""),"3",""),"4",""),"5",""),"6",""),"7",""),"8",""),"9",""),".",""),",","")=""),2,1))),1)</f>
        <v/>
      </c>
      <c r="BM78">
        <f>IFERROR(IF(ISNUMBER(INDEX(PASTE_ALL,29,41)),2,IF(TRIM(INDEX(PASTE_ALL,29,41))="",0,IF(AND(LEFT(MID(TRIM(INDEX(PASTE_ALL,29,41)),1+(LEFT(TRIM(INDEX(PASTE_ALL,29,41)),1)="-"),999),LEN(MID(TRIM(INDEX(PASTE_ALL,29,41)),1+(LEFT(TRIM(INDEX(PASTE_ALL,29,41)),1)="-"),999))-(RIGHT(MID(TRIM(INDEX(PASTE_ALL,29,41)),1+(LEFT(TRIM(INDEX(PASTE_ALL,29,41)),1)="-"),999),1)="%"))&lt;&gt;"",SUBSTITUTE(SUBSTITUTE(SUBSTITUTE(SUBSTITUTE(SUBSTITUTE(SUBSTITUTE(SUBSTITUTE(SUBSTITUTE(SUBSTITUTE(SUBSTITUTE(SUBSTITUTE(SUBSTITUTE(LEFT(MID(TRIM(INDEX(PASTE_ALL,29,41)),1+(LEFT(TRIM(INDEX(PASTE_ALL,29,41)),1)="-"),999),LEN(MID(TRIM(INDEX(PASTE_ALL,29,41)),1+(LEFT(TRIM(INDEX(PASTE_ALL,29,41)),1)="-"),999))-(RIGHT(MID(TRIM(INDEX(PASTE_ALL,29,41)),1+(LEFT(TRIM(INDEX(PASTE_ALL,29,41)),1)="-"),999),1)="%")),"0",""),"1",""),"2",""),"3",""),"4",""),"5",""),"6",""),"7",""),"8",""),"9",""),".",""),",","")=""),2,1))),1)</f>
        <v/>
      </c>
      <c r="BN78">
        <f>IFERROR(IF(ISNUMBER(INDEX(PASTE_ALL,29,42)),2,IF(TRIM(INDEX(PASTE_ALL,29,42))="",0,IF(AND(LEFT(MID(TRIM(INDEX(PASTE_ALL,29,42)),1+(LEFT(TRIM(INDEX(PASTE_ALL,29,42)),1)="-"),999),LEN(MID(TRIM(INDEX(PASTE_ALL,29,42)),1+(LEFT(TRIM(INDEX(PASTE_ALL,29,42)),1)="-"),999))-(RIGHT(MID(TRIM(INDEX(PASTE_ALL,29,42)),1+(LEFT(TRIM(INDEX(PASTE_ALL,29,42)),1)="-"),999),1)="%"))&lt;&gt;"",SUBSTITUTE(SUBSTITUTE(SUBSTITUTE(SUBSTITUTE(SUBSTITUTE(SUBSTITUTE(SUBSTITUTE(SUBSTITUTE(SUBSTITUTE(SUBSTITUTE(SUBSTITUTE(SUBSTITUTE(LEFT(MID(TRIM(INDEX(PASTE_ALL,29,42)),1+(LEFT(TRIM(INDEX(PASTE_ALL,29,42)),1)="-"),999),LEN(MID(TRIM(INDEX(PASTE_ALL,29,42)),1+(LEFT(TRIM(INDEX(PASTE_ALL,29,42)),1)="-"),999))-(RIGHT(MID(TRIM(INDEX(PASTE_ALL,29,42)),1+(LEFT(TRIM(INDEX(PASTE_ALL,29,42)),1)="-"),999),1)="%")),"0",""),"1",""),"2",""),"3",""),"4",""),"5",""),"6",""),"7",""),"8",""),"9",""),".",""),",","")=""),2,1))),1)</f>
        <v/>
      </c>
      <c r="BO78">
        <f>IFERROR(IF(ISNUMBER(INDEX(PASTE_ALL,29,43)),2,IF(TRIM(INDEX(PASTE_ALL,29,43))="",0,IF(AND(LEFT(MID(TRIM(INDEX(PASTE_ALL,29,43)),1+(LEFT(TRIM(INDEX(PASTE_ALL,29,43)),1)="-"),999),LEN(MID(TRIM(INDEX(PASTE_ALL,29,43)),1+(LEFT(TRIM(INDEX(PASTE_ALL,29,43)),1)="-"),999))-(RIGHT(MID(TRIM(INDEX(PASTE_ALL,29,43)),1+(LEFT(TRIM(INDEX(PASTE_ALL,29,43)),1)="-"),999),1)="%"))&lt;&gt;"",SUBSTITUTE(SUBSTITUTE(SUBSTITUTE(SUBSTITUTE(SUBSTITUTE(SUBSTITUTE(SUBSTITUTE(SUBSTITUTE(SUBSTITUTE(SUBSTITUTE(SUBSTITUTE(SUBSTITUTE(LEFT(MID(TRIM(INDEX(PASTE_ALL,29,43)),1+(LEFT(TRIM(INDEX(PASTE_ALL,29,43)),1)="-"),999),LEN(MID(TRIM(INDEX(PASTE_ALL,29,43)),1+(LEFT(TRIM(INDEX(PASTE_ALL,29,43)),1)="-"),999))-(RIGHT(MID(TRIM(INDEX(PASTE_ALL,29,43)),1+(LEFT(TRIM(INDEX(PASTE_ALL,29,43)),1)="-"),999),1)="%")),"0",""),"1",""),"2",""),"3",""),"4",""),"5",""),"6",""),"7",""),"8",""),"9",""),".",""),",","")=""),2,1))),1)</f>
        <v/>
      </c>
      <c r="BP78">
        <f>IFERROR(IF(ISNUMBER(INDEX(PASTE_ALL,29,44)),2,IF(TRIM(INDEX(PASTE_ALL,29,44))="",0,IF(AND(LEFT(MID(TRIM(INDEX(PASTE_ALL,29,44)),1+(LEFT(TRIM(INDEX(PASTE_ALL,29,44)),1)="-"),999),LEN(MID(TRIM(INDEX(PASTE_ALL,29,44)),1+(LEFT(TRIM(INDEX(PASTE_ALL,29,44)),1)="-"),999))-(RIGHT(MID(TRIM(INDEX(PASTE_ALL,29,44)),1+(LEFT(TRIM(INDEX(PASTE_ALL,29,44)),1)="-"),999),1)="%"))&lt;&gt;"",SUBSTITUTE(SUBSTITUTE(SUBSTITUTE(SUBSTITUTE(SUBSTITUTE(SUBSTITUTE(SUBSTITUTE(SUBSTITUTE(SUBSTITUTE(SUBSTITUTE(SUBSTITUTE(SUBSTITUTE(LEFT(MID(TRIM(INDEX(PASTE_ALL,29,44)),1+(LEFT(TRIM(INDEX(PASTE_ALL,29,44)),1)="-"),999),LEN(MID(TRIM(INDEX(PASTE_ALL,29,44)),1+(LEFT(TRIM(INDEX(PASTE_ALL,29,44)),1)="-"),999))-(RIGHT(MID(TRIM(INDEX(PASTE_ALL,29,44)),1+(LEFT(TRIM(INDEX(PASTE_ALL,29,44)),1)="-"),999),1)="%")),"0",""),"1",""),"2",""),"3",""),"4",""),"5",""),"6",""),"7",""),"8",""),"9",""),".",""),",","")=""),2,1))),1)</f>
        <v/>
      </c>
      <c r="BQ78">
        <f>IFERROR(IF(ISNUMBER(INDEX(PASTE_ALL,29,45)),2,IF(TRIM(INDEX(PASTE_ALL,29,45))="",0,IF(AND(LEFT(MID(TRIM(INDEX(PASTE_ALL,29,45)),1+(LEFT(TRIM(INDEX(PASTE_ALL,29,45)),1)="-"),999),LEN(MID(TRIM(INDEX(PASTE_ALL,29,45)),1+(LEFT(TRIM(INDEX(PASTE_ALL,29,45)),1)="-"),999))-(RIGHT(MID(TRIM(INDEX(PASTE_ALL,29,45)),1+(LEFT(TRIM(INDEX(PASTE_ALL,29,45)),1)="-"),999),1)="%"))&lt;&gt;"",SUBSTITUTE(SUBSTITUTE(SUBSTITUTE(SUBSTITUTE(SUBSTITUTE(SUBSTITUTE(SUBSTITUTE(SUBSTITUTE(SUBSTITUTE(SUBSTITUTE(SUBSTITUTE(SUBSTITUTE(LEFT(MID(TRIM(INDEX(PASTE_ALL,29,45)),1+(LEFT(TRIM(INDEX(PASTE_ALL,29,45)),1)="-"),999),LEN(MID(TRIM(INDEX(PASTE_ALL,29,45)),1+(LEFT(TRIM(INDEX(PASTE_ALL,29,45)),1)="-"),999))-(RIGHT(MID(TRIM(INDEX(PASTE_ALL,29,45)),1+(LEFT(TRIM(INDEX(PASTE_ALL,29,45)),1)="-"),999),1)="%")),"0",""),"1",""),"2",""),"3",""),"4",""),"5",""),"6",""),"7",""),"8",""),"9",""),".",""),",","")=""),2,1))),1)</f>
        <v/>
      </c>
      <c r="BR78">
        <f>IFERROR(IF(ISNUMBER(INDEX(PASTE_ALL,29,46)),2,IF(TRIM(INDEX(PASTE_ALL,29,46))="",0,IF(AND(LEFT(MID(TRIM(INDEX(PASTE_ALL,29,46)),1+(LEFT(TRIM(INDEX(PASTE_ALL,29,46)),1)="-"),999),LEN(MID(TRIM(INDEX(PASTE_ALL,29,46)),1+(LEFT(TRIM(INDEX(PASTE_ALL,29,46)),1)="-"),999))-(RIGHT(MID(TRIM(INDEX(PASTE_ALL,29,46)),1+(LEFT(TRIM(INDEX(PASTE_ALL,29,46)),1)="-"),999),1)="%"))&lt;&gt;"",SUBSTITUTE(SUBSTITUTE(SUBSTITUTE(SUBSTITUTE(SUBSTITUTE(SUBSTITUTE(SUBSTITUTE(SUBSTITUTE(SUBSTITUTE(SUBSTITUTE(SUBSTITUTE(SUBSTITUTE(LEFT(MID(TRIM(INDEX(PASTE_ALL,29,46)),1+(LEFT(TRIM(INDEX(PASTE_ALL,29,46)),1)="-"),999),LEN(MID(TRIM(INDEX(PASTE_ALL,29,46)),1+(LEFT(TRIM(INDEX(PASTE_ALL,29,46)),1)="-"),999))-(RIGHT(MID(TRIM(INDEX(PASTE_ALL,29,46)),1+(LEFT(TRIM(INDEX(PASTE_ALL,29,46)),1)="-"),999),1)="%")),"0",""),"1",""),"2",""),"3",""),"4",""),"5",""),"6",""),"7",""),"8",""),"9",""),".",""),",","")=""),2,1))),1)</f>
        <v/>
      </c>
      <c r="BS78">
        <f>IFERROR(IF(ISNUMBER(INDEX(PASTE_ALL,29,47)),2,IF(TRIM(INDEX(PASTE_ALL,29,47))="",0,IF(AND(LEFT(MID(TRIM(INDEX(PASTE_ALL,29,47)),1+(LEFT(TRIM(INDEX(PASTE_ALL,29,47)),1)="-"),999),LEN(MID(TRIM(INDEX(PASTE_ALL,29,47)),1+(LEFT(TRIM(INDEX(PASTE_ALL,29,47)),1)="-"),999))-(RIGHT(MID(TRIM(INDEX(PASTE_ALL,29,47)),1+(LEFT(TRIM(INDEX(PASTE_ALL,29,47)),1)="-"),999),1)="%"))&lt;&gt;"",SUBSTITUTE(SUBSTITUTE(SUBSTITUTE(SUBSTITUTE(SUBSTITUTE(SUBSTITUTE(SUBSTITUTE(SUBSTITUTE(SUBSTITUTE(SUBSTITUTE(SUBSTITUTE(SUBSTITUTE(LEFT(MID(TRIM(INDEX(PASTE_ALL,29,47)),1+(LEFT(TRIM(INDEX(PASTE_ALL,29,47)),1)="-"),999),LEN(MID(TRIM(INDEX(PASTE_ALL,29,47)),1+(LEFT(TRIM(INDEX(PASTE_ALL,29,47)),1)="-"),999))-(RIGHT(MID(TRIM(INDEX(PASTE_ALL,29,47)),1+(LEFT(TRIM(INDEX(PASTE_ALL,29,47)),1)="-"),999),1)="%")),"0",""),"1",""),"2",""),"3",""),"4",""),"5",""),"6",""),"7",""),"8",""),"9",""),".",""),",","")=""),2,1))),1)</f>
        <v/>
      </c>
      <c r="BT78">
        <f>IFERROR(IF(ISNUMBER(INDEX(PASTE_ALL,29,48)),2,IF(TRIM(INDEX(PASTE_ALL,29,48))="",0,IF(AND(LEFT(MID(TRIM(INDEX(PASTE_ALL,29,48)),1+(LEFT(TRIM(INDEX(PASTE_ALL,29,48)),1)="-"),999),LEN(MID(TRIM(INDEX(PASTE_ALL,29,48)),1+(LEFT(TRIM(INDEX(PASTE_ALL,29,48)),1)="-"),999))-(RIGHT(MID(TRIM(INDEX(PASTE_ALL,29,48)),1+(LEFT(TRIM(INDEX(PASTE_ALL,29,48)),1)="-"),999),1)="%"))&lt;&gt;"",SUBSTITUTE(SUBSTITUTE(SUBSTITUTE(SUBSTITUTE(SUBSTITUTE(SUBSTITUTE(SUBSTITUTE(SUBSTITUTE(SUBSTITUTE(SUBSTITUTE(SUBSTITUTE(SUBSTITUTE(LEFT(MID(TRIM(INDEX(PASTE_ALL,29,48)),1+(LEFT(TRIM(INDEX(PASTE_ALL,29,48)),1)="-"),999),LEN(MID(TRIM(INDEX(PASTE_ALL,29,48)),1+(LEFT(TRIM(INDEX(PASTE_ALL,29,48)),1)="-"),999))-(RIGHT(MID(TRIM(INDEX(PASTE_ALL,29,48)),1+(LEFT(TRIM(INDEX(PASTE_ALL,29,48)),1)="-"),999),1)="%")),"0",""),"1",""),"2",""),"3",""),"4",""),"5",""),"6",""),"7",""),"8",""),"9",""),".",""),",","")=""),2,1))),1)</f>
        <v/>
      </c>
      <c r="BU78">
        <f>IFERROR(IF(ISNUMBER(INDEX(PASTE_ALL,29,49)),2,IF(TRIM(INDEX(PASTE_ALL,29,49))="",0,IF(AND(LEFT(MID(TRIM(INDEX(PASTE_ALL,29,49)),1+(LEFT(TRIM(INDEX(PASTE_ALL,29,49)),1)="-"),999),LEN(MID(TRIM(INDEX(PASTE_ALL,29,49)),1+(LEFT(TRIM(INDEX(PASTE_ALL,29,49)),1)="-"),999))-(RIGHT(MID(TRIM(INDEX(PASTE_ALL,29,49)),1+(LEFT(TRIM(INDEX(PASTE_ALL,29,49)),1)="-"),999),1)="%"))&lt;&gt;"",SUBSTITUTE(SUBSTITUTE(SUBSTITUTE(SUBSTITUTE(SUBSTITUTE(SUBSTITUTE(SUBSTITUTE(SUBSTITUTE(SUBSTITUTE(SUBSTITUTE(SUBSTITUTE(SUBSTITUTE(LEFT(MID(TRIM(INDEX(PASTE_ALL,29,49)),1+(LEFT(TRIM(INDEX(PASTE_ALL,29,49)),1)="-"),999),LEN(MID(TRIM(INDEX(PASTE_ALL,29,49)),1+(LEFT(TRIM(INDEX(PASTE_ALL,29,49)),1)="-"),999))-(RIGHT(MID(TRIM(INDEX(PASTE_ALL,29,49)),1+(LEFT(TRIM(INDEX(PASTE_ALL,29,49)),1)="-"),999),1)="%")),"0",""),"1",""),"2",""),"3",""),"4",""),"5",""),"6",""),"7",""),"8",""),"9",""),".",""),",","")=""),2,1))),1)</f>
        <v/>
      </c>
      <c r="BV78">
        <f>IFERROR(IF(ISNUMBER(INDEX(PASTE_ALL,29,50)),2,IF(TRIM(INDEX(PASTE_ALL,29,50))="",0,IF(AND(LEFT(MID(TRIM(INDEX(PASTE_ALL,29,50)),1+(LEFT(TRIM(INDEX(PASTE_ALL,29,50)),1)="-"),999),LEN(MID(TRIM(INDEX(PASTE_ALL,29,50)),1+(LEFT(TRIM(INDEX(PASTE_ALL,29,50)),1)="-"),999))-(RIGHT(MID(TRIM(INDEX(PASTE_ALL,29,50)),1+(LEFT(TRIM(INDEX(PASTE_ALL,29,50)),1)="-"),999),1)="%"))&lt;&gt;"",SUBSTITUTE(SUBSTITUTE(SUBSTITUTE(SUBSTITUTE(SUBSTITUTE(SUBSTITUTE(SUBSTITUTE(SUBSTITUTE(SUBSTITUTE(SUBSTITUTE(SUBSTITUTE(SUBSTITUTE(LEFT(MID(TRIM(INDEX(PASTE_ALL,29,50)),1+(LEFT(TRIM(INDEX(PASTE_ALL,29,50)),1)="-"),999),LEN(MID(TRIM(INDEX(PASTE_ALL,29,50)),1+(LEFT(TRIM(INDEX(PASTE_ALL,29,50)),1)="-"),999))-(RIGHT(MID(TRIM(INDEX(PASTE_ALL,29,50)),1+(LEFT(TRIM(INDEX(PASTE_ALL,29,50)),1)="-"),999),1)="%")),"0",""),"1",""),"2",""),"3",""),"4",""),"5",""),"6",""),"7",""),"8",""),"9",""),".",""),",","")=""),2,1))),1)</f>
        <v/>
      </c>
      <c r="BW78">
        <f>IFERROR(IF(ISNUMBER(INDEX(PASTE_ALL,29,51)),2,IF(TRIM(INDEX(PASTE_ALL,29,51))="",0,IF(AND(LEFT(MID(TRIM(INDEX(PASTE_ALL,29,51)),1+(LEFT(TRIM(INDEX(PASTE_ALL,29,51)),1)="-"),999),LEN(MID(TRIM(INDEX(PASTE_ALL,29,51)),1+(LEFT(TRIM(INDEX(PASTE_ALL,29,51)),1)="-"),999))-(RIGHT(MID(TRIM(INDEX(PASTE_ALL,29,51)),1+(LEFT(TRIM(INDEX(PASTE_ALL,29,51)),1)="-"),999),1)="%"))&lt;&gt;"",SUBSTITUTE(SUBSTITUTE(SUBSTITUTE(SUBSTITUTE(SUBSTITUTE(SUBSTITUTE(SUBSTITUTE(SUBSTITUTE(SUBSTITUTE(SUBSTITUTE(SUBSTITUTE(SUBSTITUTE(LEFT(MID(TRIM(INDEX(PASTE_ALL,29,51)),1+(LEFT(TRIM(INDEX(PASTE_ALL,29,51)),1)="-"),999),LEN(MID(TRIM(INDEX(PASTE_ALL,29,51)),1+(LEFT(TRIM(INDEX(PASTE_ALL,29,51)),1)="-"),999))-(RIGHT(MID(TRIM(INDEX(PASTE_ALL,29,51)),1+(LEFT(TRIM(INDEX(PASTE_ALL,29,51)),1)="-"),999),1)="%")),"0",""),"1",""),"2",""),"3",""),"4",""),"5",""),"6",""),"7",""),"8",""),"9",""),".",""),",","")=""),2,1))),1)</f>
        <v/>
      </c>
      <c r="BX78">
        <f>IFERROR(IF(ISNUMBER(INDEX(PASTE_ALL,29,52)),2,IF(TRIM(INDEX(PASTE_ALL,29,52))="",0,IF(AND(LEFT(MID(TRIM(INDEX(PASTE_ALL,29,52)),1+(LEFT(TRIM(INDEX(PASTE_ALL,29,52)),1)="-"),999),LEN(MID(TRIM(INDEX(PASTE_ALL,29,52)),1+(LEFT(TRIM(INDEX(PASTE_ALL,29,52)),1)="-"),999))-(RIGHT(MID(TRIM(INDEX(PASTE_ALL,29,52)),1+(LEFT(TRIM(INDEX(PASTE_ALL,29,52)),1)="-"),999),1)="%"))&lt;&gt;"",SUBSTITUTE(SUBSTITUTE(SUBSTITUTE(SUBSTITUTE(SUBSTITUTE(SUBSTITUTE(SUBSTITUTE(SUBSTITUTE(SUBSTITUTE(SUBSTITUTE(SUBSTITUTE(SUBSTITUTE(LEFT(MID(TRIM(INDEX(PASTE_ALL,29,52)),1+(LEFT(TRIM(INDEX(PASTE_ALL,29,52)),1)="-"),999),LEN(MID(TRIM(INDEX(PASTE_ALL,29,52)),1+(LEFT(TRIM(INDEX(PASTE_ALL,29,52)),1)="-"),999))-(RIGHT(MID(TRIM(INDEX(PASTE_ALL,29,52)),1+(LEFT(TRIM(INDEX(PASTE_ALL,29,52)),1)="-"),999),1)="%")),"0",""),"1",""),"2",""),"3",""),"4",""),"5",""),"6",""),"7",""),"8",""),"9",""),".",""),",","")=""),2,1))),1)</f>
        <v/>
      </c>
      <c r="BY78">
        <f>IFERROR(IF(ISNUMBER(INDEX(PASTE_ALL,29,53)),2,IF(TRIM(INDEX(PASTE_ALL,29,53))="",0,IF(AND(LEFT(MID(TRIM(INDEX(PASTE_ALL,29,53)),1+(LEFT(TRIM(INDEX(PASTE_ALL,29,53)),1)="-"),999),LEN(MID(TRIM(INDEX(PASTE_ALL,29,53)),1+(LEFT(TRIM(INDEX(PASTE_ALL,29,53)),1)="-"),999))-(RIGHT(MID(TRIM(INDEX(PASTE_ALL,29,53)),1+(LEFT(TRIM(INDEX(PASTE_ALL,29,53)),1)="-"),999),1)="%"))&lt;&gt;"",SUBSTITUTE(SUBSTITUTE(SUBSTITUTE(SUBSTITUTE(SUBSTITUTE(SUBSTITUTE(SUBSTITUTE(SUBSTITUTE(SUBSTITUTE(SUBSTITUTE(SUBSTITUTE(SUBSTITUTE(LEFT(MID(TRIM(INDEX(PASTE_ALL,29,53)),1+(LEFT(TRIM(INDEX(PASTE_ALL,29,53)),1)="-"),999),LEN(MID(TRIM(INDEX(PASTE_ALL,29,53)),1+(LEFT(TRIM(INDEX(PASTE_ALL,29,53)),1)="-"),999))-(RIGHT(MID(TRIM(INDEX(PASTE_ALL,29,53)),1+(LEFT(TRIM(INDEX(PASTE_ALL,29,53)),1)="-"),999),1)="%")),"0",""),"1",""),"2",""),"3",""),"4",""),"5",""),"6",""),"7",""),"8",""),"9",""),".",""),",","")=""),2,1))),1)</f>
        <v/>
      </c>
      <c r="BZ78">
        <f>IFERROR(IF(ISNUMBER(INDEX(PASTE_ALL,29,54)),2,IF(TRIM(INDEX(PASTE_ALL,29,54))="",0,IF(AND(LEFT(MID(TRIM(INDEX(PASTE_ALL,29,54)),1+(LEFT(TRIM(INDEX(PASTE_ALL,29,54)),1)="-"),999),LEN(MID(TRIM(INDEX(PASTE_ALL,29,54)),1+(LEFT(TRIM(INDEX(PASTE_ALL,29,54)),1)="-"),999))-(RIGHT(MID(TRIM(INDEX(PASTE_ALL,29,54)),1+(LEFT(TRIM(INDEX(PASTE_ALL,29,54)),1)="-"),999),1)="%"))&lt;&gt;"",SUBSTITUTE(SUBSTITUTE(SUBSTITUTE(SUBSTITUTE(SUBSTITUTE(SUBSTITUTE(SUBSTITUTE(SUBSTITUTE(SUBSTITUTE(SUBSTITUTE(SUBSTITUTE(SUBSTITUTE(LEFT(MID(TRIM(INDEX(PASTE_ALL,29,54)),1+(LEFT(TRIM(INDEX(PASTE_ALL,29,54)),1)="-"),999),LEN(MID(TRIM(INDEX(PASTE_ALL,29,54)),1+(LEFT(TRIM(INDEX(PASTE_ALL,29,54)),1)="-"),999))-(RIGHT(MID(TRIM(INDEX(PASTE_ALL,29,54)),1+(LEFT(TRIM(INDEX(PASTE_ALL,29,54)),1)="-"),999),1)="%")),"0",""),"1",""),"2",""),"3",""),"4",""),"5",""),"6",""),"7",""),"8",""),"9",""),".",""),",","")=""),2,1))),1)</f>
        <v/>
      </c>
      <c r="CA78">
        <f>IFERROR(IF(ISNUMBER(INDEX(PASTE_ALL,29,55)),2,IF(TRIM(INDEX(PASTE_ALL,29,55))="",0,IF(AND(LEFT(MID(TRIM(INDEX(PASTE_ALL,29,55)),1+(LEFT(TRIM(INDEX(PASTE_ALL,29,55)),1)="-"),999),LEN(MID(TRIM(INDEX(PASTE_ALL,29,55)),1+(LEFT(TRIM(INDEX(PASTE_ALL,29,55)),1)="-"),999))-(RIGHT(MID(TRIM(INDEX(PASTE_ALL,29,55)),1+(LEFT(TRIM(INDEX(PASTE_ALL,29,55)),1)="-"),999),1)="%"))&lt;&gt;"",SUBSTITUTE(SUBSTITUTE(SUBSTITUTE(SUBSTITUTE(SUBSTITUTE(SUBSTITUTE(SUBSTITUTE(SUBSTITUTE(SUBSTITUTE(SUBSTITUTE(SUBSTITUTE(SUBSTITUTE(LEFT(MID(TRIM(INDEX(PASTE_ALL,29,55)),1+(LEFT(TRIM(INDEX(PASTE_ALL,29,55)),1)="-"),999),LEN(MID(TRIM(INDEX(PASTE_ALL,29,55)),1+(LEFT(TRIM(INDEX(PASTE_ALL,29,55)),1)="-"),999))-(RIGHT(MID(TRIM(INDEX(PASTE_ALL,29,55)),1+(LEFT(TRIM(INDEX(PASTE_ALL,29,55)),1)="-"),999),1)="%")),"0",""),"1",""),"2",""),"3",""),"4",""),"5",""),"6",""),"7",""),"8",""),"9",""),".",""),",","")=""),2,1))),1)</f>
        <v/>
      </c>
      <c r="CB78">
        <f>IFERROR(IF(ISNUMBER(INDEX(PASTE_ALL,29,56)),2,IF(TRIM(INDEX(PASTE_ALL,29,56))="",0,IF(AND(LEFT(MID(TRIM(INDEX(PASTE_ALL,29,56)),1+(LEFT(TRIM(INDEX(PASTE_ALL,29,56)),1)="-"),999),LEN(MID(TRIM(INDEX(PASTE_ALL,29,56)),1+(LEFT(TRIM(INDEX(PASTE_ALL,29,56)),1)="-"),999))-(RIGHT(MID(TRIM(INDEX(PASTE_ALL,29,56)),1+(LEFT(TRIM(INDEX(PASTE_ALL,29,56)),1)="-"),999),1)="%"))&lt;&gt;"",SUBSTITUTE(SUBSTITUTE(SUBSTITUTE(SUBSTITUTE(SUBSTITUTE(SUBSTITUTE(SUBSTITUTE(SUBSTITUTE(SUBSTITUTE(SUBSTITUTE(SUBSTITUTE(SUBSTITUTE(LEFT(MID(TRIM(INDEX(PASTE_ALL,29,56)),1+(LEFT(TRIM(INDEX(PASTE_ALL,29,56)),1)="-"),999),LEN(MID(TRIM(INDEX(PASTE_ALL,29,56)),1+(LEFT(TRIM(INDEX(PASTE_ALL,29,56)),1)="-"),999))-(RIGHT(MID(TRIM(INDEX(PASTE_ALL,29,56)),1+(LEFT(TRIM(INDEX(PASTE_ALL,29,56)),1)="-"),999),1)="%")),"0",""),"1",""),"2",""),"3",""),"4",""),"5",""),"6",""),"7",""),"8",""),"9",""),".",""),",","")=""),2,1))),1)</f>
        <v/>
      </c>
      <c r="CC78">
        <f>IFERROR(IF(ISNUMBER(INDEX(PASTE_ALL,29,57)),2,IF(TRIM(INDEX(PASTE_ALL,29,57))="",0,IF(AND(LEFT(MID(TRIM(INDEX(PASTE_ALL,29,57)),1+(LEFT(TRIM(INDEX(PASTE_ALL,29,57)),1)="-"),999),LEN(MID(TRIM(INDEX(PASTE_ALL,29,57)),1+(LEFT(TRIM(INDEX(PASTE_ALL,29,57)),1)="-"),999))-(RIGHT(MID(TRIM(INDEX(PASTE_ALL,29,57)),1+(LEFT(TRIM(INDEX(PASTE_ALL,29,57)),1)="-"),999),1)="%"))&lt;&gt;"",SUBSTITUTE(SUBSTITUTE(SUBSTITUTE(SUBSTITUTE(SUBSTITUTE(SUBSTITUTE(SUBSTITUTE(SUBSTITUTE(SUBSTITUTE(SUBSTITUTE(SUBSTITUTE(SUBSTITUTE(LEFT(MID(TRIM(INDEX(PASTE_ALL,29,57)),1+(LEFT(TRIM(INDEX(PASTE_ALL,29,57)),1)="-"),999),LEN(MID(TRIM(INDEX(PASTE_ALL,29,57)),1+(LEFT(TRIM(INDEX(PASTE_ALL,29,57)),1)="-"),999))-(RIGHT(MID(TRIM(INDEX(PASTE_ALL,29,57)),1+(LEFT(TRIM(INDEX(PASTE_ALL,29,57)),1)="-"),999),1)="%")),"0",""),"1",""),"2",""),"3",""),"4",""),"5",""),"6",""),"7",""),"8",""),"9",""),".",""),",","")=""),2,1))),1)</f>
        <v/>
      </c>
      <c r="CD78">
        <f>IFERROR(IF(ISNUMBER(INDEX(PASTE_ALL,29,58)),2,IF(TRIM(INDEX(PASTE_ALL,29,58))="",0,IF(AND(LEFT(MID(TRIM(INDEX(PASTE_ALL,29,58)),1+(LEFT(TRIM(INDEX(PASTE_ALL,29,58)),1)="-"),999),LEN(MID(TRIM(INDEX(PASTE_ALL,29,58)),1+(LEFT(TRIM(INDEX(PASTE_ALL,29,58)),1)="-"),999))-(RIGHT(MID(TRIM(INDEX(PASTE_ALL,29,58)),1+(LEFT(TRIM(INDEX(PASTE_ALL,29,58)),1)="-"),999),1)="%"))&lt;&gt;"",SUBSTITUTE(SUBSTITUTE(SUBSTITUTE(SUBSTITUTE(SUBSTITUTE(SUBSTITUTE(SUBSTITUTE(SUBSTITUTE(SUBSTITUTE(SUBSTITUTE(SUBSTITUTE(SUBSTITUTE(LEFT(MID(TRIM(INDEX(PASTE_ALL,29,58)),1+(LEFT(TRIM(INDEX(PASTE_ALL,29,58)),1)="-"),999),LEN(MID(TRIM(INDEX(PASTE_ALL,29,58)),1+(LEFT(TRIM(INDEX(PASTE_ALL,29,58)),1)="-"),999))-(RIGHT(MID(TRIM(INDEX(PASTE_ALL,29,58)),1+(LEFT(TRIM(INDEX(PASTE_ALL,29,58)),1)="-"),999),1)="%")),"0",""),"1",""),"2",""),"3",""),"4",""),"5",""),"6",""),"7",""),"8",""),"9",""),".",""),",","")=""),2,1))),1)</f>
        <v/>
      </c>
      <c r="CE78">
        <f>IFERROR(IF(ISNUMBER(INDEX(PASTE_ALL,29,59)),2,IF(TRIM(INDEX(PASTE_ALL,29,59))="",0,IF(AND(LEFT(MID(TRIM(INDEX(PASTE_ALL,29,59)),1+(LEFT(TRIM(INDEX(PASTE_ALL,29,59)),1)="-"),999),LEN(MID(TRIM(INDEX(PASTE_ALL,29,59)),1+(LEFT(TRIM(INDEX(PASTE_ALL,29,59)),1)="-"),999))-(RIGHT(MID(TRIM(INDEX(PASTE_ALL,29,59)),1+(LEFT(TRIM(INDEX(PASTE_ALL,29,59)),1)="-"),999),1)="%"))&lt;&gt;"",SUBSTITUTE(SUBSTITUTE(SUBSTITUTE(SUBSTITUTE(SUBSTITUTE(SUBSTITUTE(SUBSTITUTE(SUBSTITUTE(SUBSTITUTE(SUBSTITUTE(SUBSTITUTE(SUBSTITUTE(LEFT(MID(TRIM(INDEX(PASTE_ALL,29,59)),1+(LEFT(TRIM(INDEX(PASTE_ALL,29,59)),1)="-"),999),LEN(MID(TRIM(INDEX(PASTE_ALL,29,59)),1+(LEFT(TRIM(INDEX(PASTE_ALL,29,59)),1)="-"),999))-(RIGHT(MID(TRIM(INDEX(PASTE_ALL,29,59)),1+(LEFT(TRIM(INDEX(PASTE_ALL,29,59)),1)="-"),999),1)="%")),"0",""),"1",""),"2",""),"3",""),"4",""),"5",""),"6",""),"7",""),"8",""),"9",""),".",""),",","")=""),2,1))),1)</f>
        <v/>
      </c>
      <c r="CF78">
        <f>IFERROR(IF(ISNUMBER(INDEX(PASTE_ALL,29,60)),2,IF(TRIM(INDEX(PASTE_ALL,29,60))="",0,IF(AND(LEFT(MID(TRIM(INDEX(PASTE_ALL,29,60)),1+(LEFT(TRIM(INDEX(PASTE_ALL,29,60)),1)="-"),999),LEN(MID(TRIM(INDEX(PASTE_ALL,29,60)),1+(LEFT(TRIM(INDEX(PASTE_ALL,29,60)),1)="-"),999))-(RIGHT(MID(TRIM(INDEX(PASTE_ALL,29,60)),1+(LEFT(TRIM(INDEX(PASTE_ALL,29,60)),1)="-"),999),1)="%"))&lt;&gt;"",SUBSTITUTE(SUBSTITUTE(SUBSTITUTE(SUBSTITUTE(SUBSTITUTE(SUBSTITUTE(SUBSTITUTE(SUBSTITUTE(SUBSTITUTE(SUBSTITUTE(SUBSTITUTE(SUBSTITUTE(LEFT(MID(TRIM(INDEX(PASTE_ALL,29,60)),1+(LEFT(TRIM(INDEX(PASTE_ALL,29,60)),1)="-"),999),LEN(MID(TRIM(INDEX(PASTE_ALL,29,60)),1+(LEFT(TRIM(INDEX(PASTE_ALL,29,60)),1)="-"),999))-(RIGHT(MID(TRIM(INDEX(PASTE_ALL,29,60)),1+(LEFT(TRIM(INDEX(PASTE_ALL,29,60)),1)="-"),999),1)="%")),"0",""),"1",""),"2",""),"3",""),"4",""),"5",""),"6",""),"7",""),"8",""),"9",""),".",""),",","")=""),2,1))),1)</f>
        <v/>
      </c>
      <c r="DA78" t="n">
        <v>74</v>
      </c>
      <c r="DB78">
        <f>IF($B$37=0,"",IFERROR(TRIM(SUBSTITUTE(SUBSTITUTE(SUBSTITUTE(SUBSTITUTE(INDEX(PASTE_ALL,74,$B$37)," "," "),CHAR(9)," "),CHAR(10)," "),CHAR(13)," ")),""))</f>
        <v/>
      </c>
      <c r="DC78">
        <f>IF(AND(74&gt;HEADER_ROW,UPPER(DB78)="LEGEND"),1,0)</f>
        <v/>
      </c>
      <c r="DE78" t="n">
        <v>74</v>
      </c>
      <c r="DF78">
        <f>HEADER_ROW+$DE78</f>
        <v/>
      </c>
      <c r="DG78">
        <f>IF(AND($DF78&lt;=1000,$DF78&lt;$B$8),1,0)</f>
        <v/>
      </c>
      <c r="DH78">
        <f>IF($DG78=1,IFERROR(INDEX($DB$5:$DB$1004,$DF78),""),"")</f>
        <v/>
      </c>
      <c r="DI78">
        <f>IF(AND($DG78=1,$DH78&lt;&gt;""),IFERROR(SUBSTITUTE(SUBSTITUTE(TRIM(SUBSTITUTE(SUBSTITUTE(SUBSTITUTE(SUBSTITUTE(IFERROR(INDEX(PASTE_ALL,$DF78,1)&amp;"","")&amp;"␟"&amp;IFERROR(INDEX(PASTE_ALL,$DF78,2)&amp;"","")&amp;"␟"&amp;IFERROR(INDEX(PASTE_ALL,$DF78,3)&amp;"","")&amp;"␟"&amp;IFERROR(INDEX(PASTE_ALL,$DF78,4)&amp;"","")&amp;"␟"&amp;IFERROR(INDEX(PASTE_ALL,$DF78,5)&amp;"","")&amp;"␟"&amp;IFERROR(INDEX(PASTE_ALL,$DF78,6)&amp;"","")&amp;"␟"&amp;IFERROR(INDEX(PASTE_ALL,$DF78,7)&amp;"","")&amp;"␟"&amp;IFERROR(INDEX(PASTE_ALL,$DF78,8)&amp;"","")&amp;"␟"&amp;IFERROR(INDEX(PASTE_ALL,$DF78,9)&amp;"","")&amp;"␟"&amp;IFERROR(INDEX(PASTE_ALL,$DF78,10)&amp;"","")&amp;"␟"&amp;IFERROR(INDEX(PASTE_ALL,$DF78,11)&amp;"","")&amp;"␟"&amp;IFERROR(INDEX(PASTE_ALL,$DF78,12)&amp;"","")&amp;"␟"&amp;IFERROR(INDEX(PASTE_ALL,$DF78,13)&amp;"","")&amp;"␟"&amp;IFERROR(INDEX(PASTE_ALL,$DF78,14)&amp;"","")&amp;"␟"&amp;IFERROR(INDEX(PASTE_ALL,$DF78,15)&amp;"","")&amp;"␟"&amp;IFERROR(INDEX(PASTE_ALL,$DF78,16)&amp;"","")&amp;"␟"&amp;IFERROR(INDEX(PASTE_ALL,$DF78,17)&amp;"","")&amp;"␟"&amp;IFERROR(INDEX(PASTE_ALL,$DF78,18)&amp;"","")&amp;"␟"&amp;IFERROR(INDEX(PASTE_ALL,$DF78,19)&amp;"","")&amp;"␟"&amp;IFERROR(INDEX(PASTE_ALL,$DF78,20)&amp;"","")&amp;"␟"&amp;IFERROR(INDEX(PASTE_ALL,$DF78,21)&amp;"","")&amp;"␟"&amp;IFERROR(INDEX(PASTE_ALL,$DF78,22)&amp;"","")&amp;"␟"&amp;IFERROR(INDEX(PASTE_ALL,$DF78,23)&amp;"","")&amp;"␟"&amp;IFERROR(INDEX(PASTE_ALL,$DF78,24)&amp;"","")&amp;"␟"&amp;IFERROR(INDEX(PASTE_ALL,$DF78,25)&amp;"","")&amp;"␟"&amp;IFERROR(INDEX(PASTE_ALL,$DF78,26)&amp;"","")&amp;"␟"&amp;IFERROR(INDEX(PASTE_ALL,$DF78,27)&amp;"","")&amp;"␟"&amp;IFERROR(INDEX(PASTE_ALL,$DF78,28)&amp;"","")&amp;"␟"&amp;IFERROR(INDEX(PASTE_ALL,$DF78,29)&amp;"","")&amp;"␟"&amp;IFERROR(INDEX(PASTE_ALL,$DF78,30)&amp;"","")&amp;"␟"&amp;IFERROR(INDEX(PASTE_ALL,$DF78,31)&amp;"","")&amp;"␟"&amp;IFERROR(INDEX(PASTE_ALL,$DF78,32)&amp;"","")&amp;"␟"&amp;IFERROR(INDEX(PASTE_ALL,$DF78,33)&amp;"","")&amp;"␟"&amp;IFERROR(INDEX(PASTE_ALL,$DF78,34)&amp;"","")&amp;"␟"&amp;IFERROR(INDEX(PASTE_ALL,$DF78,35)&amp;"","")&amp;"␟"&amp;IFERROR(INDEX(PASTE_ALL,$DF78,36)&amp;"","")&amp;"␟"&amp;IFERROR(INDEX(PASTE_ALL,$DF78,37)&amp;"","")&amp;"␟"&amp;IFERROR(INDEX(PASTE_ALL,$DF78,38)&amp;"","")&amp;"␟"&amp;IFERROR(INDEX(PASTE_ALL,$DF78,39)&amp;"","")&amp;"␟"&amp;IFERROR(INDEX(PASTE_ALL,$DF78,40)&amp;"","")&amp;"␟"&amp;IFERROR(INDEX(PASTE_ALL,$DF78,41)&amp;"","")&amp;"␟"&amp;IFERROR(INDEX(PASTE_ALL,$DF78,42)&amp;"","")&amp;"␟"&amp;IFERROR(INDEX(PASTE_ALL,$DF78,43)&amp;"","")&amp;"␟"&amp;IFERROR(INDEX(PASTE_ALL,$DF78,44)&amp;"","")&amp;"␟"&amp;IFERROR(INDEX(PASTE_ALL,$DF78,45)&amp;"","")&amp;"␟"&amp;IFERROR(INDEX(PASTE_ALL,$DF78,46)&amp;"","")&amp;"␟"&amp;IFERROR(INDEX(PASTE_ALL,$DF78,47)&amp;"","")&amp;"␟"&amp;IFERROR(INDEX(PASTE_ALL,$DF78,48)&amp;"","")&amp;"␟"&amp;IFERROR(INDEX(PASTE_ALL,$DF78,49)&amp;"","")&amp;"␟"&amp;IFERROR(INDEX(PASTE_ALL,$DF78,50)&amp;"","")&amp;"␟"&amp;IFERROR(INDEX(PASTE_ALL,$DF78,51)&amp;"","")&amp;"␟"&amp;IFERROR(INDEX(PASTE_ALL,$DF78,52)&amp;"","")&amp;"␟"&amp;IFERROR(INDEX(PASTE_ALL,$DF78,53)&amp;"","")&amp;"␟"&amp;IFERROR(INDEX(PASTE_ALL,$DF78,54)&amp;"","")&amp;"␟"&amp;IFERROR(INDEX(PASTE_ALL,$DF78,55)&amp;"","")&amp;"␟"&amp;IFERROR(INDEX(PASTE_ALL,$DF78,56)&amp;"","")&amp;"␟"&amp;IFERROR(INDEX(PASTE_ALL,$DF78,57)&amp;"","")&amp;"␟"&amp;IFERROR(INDEX(PASTE_ALL,$DF78,58)&amp;"","")&amp;"␟"&amp;IFERROR(INDEX(PASTE_ALL,$DF78,59)&amp;"","")&amp;"␟"&amp;IFERROR(INDEX(PASTE_ALL,$DF78,60)&amp;"","")," "," "),CHAR(9)," "),CHAR(10)," "),CHAR(13)," "))," ␟","␟"),"␟ ","␟"),"#"&amp;$DE78),"")</f>
        <v/>
      </c>
      <c r="DJ78">
        <f>IF($DI78="",0,IF(SUMPRODUCT(--EXACT($DI$4:DI77,$DI78))&gt;0,1,0))</f>
        <v/>
      </c>
      <c r="DK78">
        <f>IF(AND($DI78&lt;&gt;"",$DJ78=0),1,0)</f>
        <v/>
      </c>
      <c r="DL78">
        <f>DL77+$DK78</f>
        <v/>
      </c>
      <c r="DM78">
        <f>IF(AND($DK78=1,$DL78&lt;=600),1,0)</f>
        <v/>
      </c>
      <c r="DN78">
        <f>IF($DM78=0,"",IF($L$6=0,"",IFERROR(IF(ISNUMBER(INDEX(PASTE_ALL,$DF78,$L$6)),INDEX(PASTE_ALL,$DF78,$L$6),TRIM(SUBSTITUTE(SUBSTITUTE(SUBSTITUTE(SUBSTITUTE(INDEX(PASTE_ALL,$DF78,$L$6)," "," "),CHAR(9)," "),CHAR(10)," "),CHAR(13)," "))),"")))</f>
        <v/>
      </c>
      <c r="DO78">
        <f>IF($DM78=0,"",IF($L$7=0,"",IFERROR(IF(ISNUMBER(INDEX(PASTE_ALL,$DF78,$L$7)),INDEX(PASTE_ALL,$DF78,$L$7),TRIM(SUBSTITUTE(SUBSTITUTE(SUBSTITUTE(SUBSTITUTE(INDEX(PASTE_ALL,$DF78,$L$7)," "," "),CHAR(9)," "),CHAR(10)," "),CHAR(13)," "))),"")))</f>
        <v/>
      </c>
      <c r="DP78">
        <f>IF($DM78=0,"",IF($L$8=0,"",IFERROR(IF(ISNUMBER(INDEX(PASTE_ALL,$DF78,$L$8)),INDEX(PASTE_ALL,$DF78,$L$8),TRIM(SUBSTITUTE(SUBSTITUTE(SUBSTITUTE(SUBSTITUTE(INDEX(PASTE_ALL,$DF78,$L$8)," "," "),CHAR(9)," "),CHAR(10)," "),CHAR(13)," "))),"")))</f>
        <v/>
      </c>
      <c r="DQ78">
        <f>IF($DM78=0,"",IF($L$9=0,"",IFERROR(IF(ISNUMBER(INDEX(PASTE_ALL,$DF78,$L$9)),INDEX(PASTE_ALL,$DF78,$L$9),TRIM(SUBSTITUTE(SUBSTITUTE(SUBSTITUTE(SUBSTITUTE(INDEX(PASTE_ALL,$DF78,$L$9)," "," "),CHAR(9)," "),CHAR(10)," "),CHAR(13)," "))),"")))</f>
        <v/>
      </c>
      <c r="DR78">
        <f>IF($DM78=0,"",IF($L$10=0,"",IFERROR(IF(ISNUMBER(INDEX(PASTE_ALL,$DF78,$L$10)),INDEX(PASTE_ALL,$DF78,$L$10),TRIM(SUBSTITUTE(SUBSTITUTE(SUBSTITUTE(SUBSTITUTE(INDEX(PASTE_ALL,$DF78,$L$10)," "," "),CHAR(9)," "),CHAR(10)," "),CHAR(13)," "))),"")))</f>
        <v/>
      </c>
      <c r="DS78">
        <f>IF($DM78=0,"",IF($L$11=0,"",IFERROR(IF(ISNUMBER(INDEX(PASTE_ALL,$DF78,$L$11)),INDEX(PASTE_ALL,$DF78,$L$11),TRIM(SUBSTITUTE(SUBSTITUTE(SUBSTITUTE(SUBSTITUTE(INDEX(PASTE_ALL,$DF78,$L$11)," "," "),CHAR(9)," "),CHAR(10)," "),CHAR(13)," "))),"")))</f>
        <v/>
      </c>
      <c r="DT78">
        <f>IF($DM78=0,"",IF($L$12=0,"",IFERROR(IF(ISNUMBER(INDEX(PASTE_ALL,$DF78,$L$12)),INDEX(PASTE_ALL,$DF78,$L$12),TRIM(SUBSTITUTE(SUBSTITUTE(SUBSTITUTE(SUBSTITUTE(INDEX(PASTE_ALL,$DF78,$L$12)," "," "),CHAR(9)," "),CHAR(10)," "),CHAR(13)," "))),"")))</f>
        <v/>
      </c>
      <c r="DU78">
        <f>IF($DM78=0,"",IF($L$13=0,"",IFERROR(IF(ISNUMBER(INDEX(PASTE_ALL,$DF78,$L$13)),INDEX(PASTE_ALL,$DF78,$L$13),TRIM(SUBSTITUTE(SUBSTITUTE(SUBSTITUTE(SUBSTITUTE(INDEX(PASTE_ALL,$DF78,$L$13)," "," "),CHAR(9)," "),CHAR(10)," "),CHAR(13)," "))),"")))</f>
        <v/>
      </c>
      <c r="DV78">
        <f>IF($DM78=0,"",IF($L$14=0,"",IFERROR(IF(ISNUMBER(INDEX(PASTE_ALL,$DF78,$L$14)),INDEX(PASTE_ALL,$DF78,$L$14),TRIM(SUBSTITUTE(SUBSTITUTE(SUBSTITUTE(SUBSTITUTE(INDEX(PASTE_ALL,$DF78,$L$14)," "," "),CHAR(9)," "),CHAR(10)," "),CHAR(13)," "))),"")))</f>
        <v/>
      </c>
      <c r="DW78">
        <f>IF($DM78=0,"",IF($L$15=0,"",IFERROR(IF(ISNUMBER(INDEX(PASTE_ALL,$DF78,$L$15)),INDEX(PASTE_ALL,$DF78,$L$15),IF(SUMPRODUCT(--ISNUMBER(FIND({"A","B","C","D","E","F","G","H","I","J","K","L","M","N","O","P","Q","R","S","T","U","V","W","X","Y","Z","0","1","2","3","4","5","6","7","8","9"},UPPER(TRIM(SUBSTITUTE(SUBSTITUTE(SUBSTITUTE(SUBSTITUTE(INDEX(PASTE_ALL,$DF78,$L$15)," "," "),CHAR(9)," "),CHAR(10)," "),CHAR(13)," "))))))&gt;0,TRIM(SUBSTITUTE(SUBSTITUTE(SUBSTITUTE(SUBSTITUTE(INDEX(PASTE_ALL,$DF78,$L$15)," "," "),CHAR(9)," "),CHAR(10)," "),CHAR(13)," ")),"")),"")))</f>
        <v/>
      </c>
      <c r="DX78">
        <f>IF($DM78=0,"",IF($L$16=0,"",IFERROR(IF(ISNUMBER(INDEX(PASTE_ALL,$DF78,$L$16)),INDEX(PASTE_ALL,$DF78,$L$16),SUBSTITUTE(SUBSTITUTE(TRIM(SUBSTITUTE(SUBSTITUTE(SUBSTITUTE(SUBSTITUTE(INDEX(PASTE_ALL,$DF78,$L$16)," "," "),CHAR(9)," "),CHAR(10)," "),CHAR(13)," ")),",",""),"%","")),"")))</f>
        <v/>
      </c>
      <c r="DY78">
        <f>IF($DM78=0,"",IFERROR(IF(ISNUMBER($DX78),$DX78,IF($DX78="","",IF(TRIM($DX78)="",0,IF(AND(AND(SUBSTITUTE(SUBSTITUTE(SUBSTITUTE(SUBSTITUTE(SUBSTITUTE(SUBSTITUTE(SUBSTITUTE(SUBSTITUTE(SUBSTITUTE(SUBSTITUTE(SUBSTITUTE(SUBSTITUTE(SUBSTITUTE(SUBSTITUTE(UPPER(TRIM($DX78)),"0",""),"1",""),"2",""),"3",""),"4",""),"5",""),"6",""),"7",""),"8",""),"9",""),".",""),"+",""),"-",""),"E","")="",LEN(SUBSTITUTE(SUBSTITUTE(MID(UPPER(TRIM($DX78)),1+OR(LEFT(UPPER(TRIM($DX78)),1)="+",LEFT(UPPER(TRIM($DX78)),1)="-"),999),"E+","E"),"E-","E"))=LEN(SUBSTITUTE(SUBSTITUTE(SUBSTITUTE(SUBSTITUTE(MID(UPPER(TRIM($DX78)),1+OR(LEFT(UPPER(TRIM($DX78)),1)="+",LEFT(UPPER(TRIM($DX78)),1)="-"),999),"E+","E"),"E-","E"),"+",""),"-","")),LEN(UPPER(TRIM($DX78)))-LEN(SUBSTITUTE(UPPER(TRIM($DX78)),"E",""))&lt;2,LEN(UPPER(TRIM($DX78)))-LEN(SUBSTITUTE(UPPER(TRIM($DX78)),".",""))&lt;2,IFERROR(FIND(".",UPPER(TRIM($DX78))),0)&lt;IFERROR(FIND("E",UPPER(TRIM($DX78))),999)),ISNUMBER(VALUE(TRIM($DX78)))),VALUE(TRIM($DX78)),"")))),""))</f>
        <v/>
      </c>
      <c r="DZ78">
        <f>IF($DM78=0,"",IF($L$17=0,"",IFERROR(IF(ISNUMBER(INDEX(PASTE_ALL,$DF78,$L$17)),INDEX(PASTE_ALL,$DF78,$L$17),SUBSTITUTE(SUBSTITUTE(TRIM(SUBSTITUTE(SUBSTITUTE(SUBSTITUTE(SUBSTITUTE(INDEX(PASTE_ALL,$DF78,$L$17)," "," "),CHAR(9)," "),CHAR(10)," "),CHAR(13)," ")),",",""),"%","")),"")))</f>
        <v/>
      </c>
      <c r="EA78">
        <f>IF($DM78=0,"",IFERROR(IF(ISNUMBER($DZ78),$DZ78,IF($DZ78="","",IF(TRIM($DZ78)="",0,IF(AND(AND(SUBSTITUTE(SUBSTITUTE(SUBSTITUTE(SUBSTITUTE(SUBSTITUTE(SUBSTITUTE(SUBSTITUTE(SUBSTITUTE(SUBSTITUTE(SUBSTITUTE(SUBSTITUTE(SUBSTITUTE(SUBSTITUTE(SUBSTITUTE(UPPER(TRIM($DZ78)),"0",""),"1",""),"2",""),"3",""),"4",""),"5",""),"6",""),"7",""),"8",""),"9",""),".",""),"+",""),"-",""),"E","")="",LEN(SUBSTITUTE(SUBSTITUTE(MID(UPPER(TRIM($DZ78)),1+OR(LEFT(UPPER(TRIM($DZ78)),1)="+",LEFT(UPPER(TRIM($DZ78)),1)="-"),999),"E+","E"),"E-","E"))=LEN(SUBSTITUTE(SUBSTITUTE(SUBSTITUTE(SUBSTITUTE(MID(UPPER(TRIM($DZ78)),1+OR(LEFT(UPPER(TRIM($DZ78)),1)="+",LEFT(UPPER(TRIM($DZ78)),1)="-"),999),"E+","E"),"E-","E"),"+",""),"-","")),LEN(UPPER(TRIM($DZ78)))-LEN(SUBSTITUTE(UPPER(TRIM($DZ78)),"E",""))&lt;2,LEN(UPPER(TRIM($DZ78)))-LEN(SUBSTITUTE(UPPER(TRIM($DZ78)),".",""))&lt;2,IFERROR(FIND(".",UPPER(TRIM($DZ78))),0)&lt;IFERROR(FIND("E",UPPER(TRIM($DZ78))),999)),ISNUMBER(VALUE(TRIM($DZ78)))),VALUE(TRIM($DZ78)),"")))),""))</f>
        <v/>
      </c>
      <c r="EB78">
        <f>IF($DM78=0,"",IF($L$18=0,"",IFERROR(IF(UPPER(TRIM(SUBSTITUTE(SUBSTITUTE(SUBSTITUTE(SUBSTITUTE(INDEX(PASTE_ALL,$DF78,$L$18)," "," "),CHAR(9)," "),CHAR(10)," "),CHAR(13)," ")))="READY","Ready",IF(UPPER(TRIM(SUBSTITUTE(SUBSTITUTE(SUBSTITUTE(SUBSTITUTE(INDEX(PASTE_ALL,$DF78,$L$18)," "," "),CHAR(9)," "),CHAR(10)," "),CHAR(13)," ")))="PM","PM",IF(OR(UPPER(TRIM(SUBSTITUTE(SUBSTITUTE(SUBSTITUTE(SUBSTITUTE(INDEX(PASTE_ALL,$DF78,$L$18)," "," "),CHAR(9)," "),CHAR(10)," "),CHAR(13)," ")))="OT",UPPER(TRIM(SUBSTITUTE(SUBSTITUTE(SUBSTITUTE(SUBSTITUTE(INDEX(PASTE_ALL,$DF78,$L$18)," "," "),CHAR(9)," "),CHAR(10)," "),CHAR(13)," ")))="OVERTIME",UPPER(TRIM(SUBSTITUTE(SUBSTITUTE(SUBSTITUTE(SUBSTITUTE(INDEX(PASTE_ALL,$DF78,$L$18)," "," "),CHAR(9)," "),CHAR(10)," "),CHAR(13)," ")))="TRIAL"),"OT",TRIM(SUBSTITUTE(SUBSTITUTE(SUBSTITUTE(SUBSTITUTE(INDEX(PASTE_ALL,$DF78,$L$18)," "," "),CHAR(9)," "),CHAR(10)," "),CHAR(13)," "))))),"")))</f>
        <v/>
      </c>
      <c r="EC78">
        <f>IF($DM78=0,"",IF($L$19=0,"",IFERROR(IF(ISNUMBER(INDEX(PASTE_ALL,$DF78,$L$19)),INDEX(PASTE_ALL,$DF78,$L$19),TRIM(SUBSTITUTE(SUBSTITUTE(SUBSTITUTE(SUBSTITUTE(INDEX(PASTE_ALL,$DF78,$L$19)," "," "),CHAR(9)," "),CHAR(10)," "),CHAR(13)," "))),"")))</f>
        <v/>
      </c>
      <c r="ED78">
        <f>IF($DM78=0,"",MATCH(1,INDEX(EXACT($DH$5:DH78,$DH78)*$DM$5:DM78,0),0))</f>
        <v/>
      </c>
      <c r="EE78">
        <f>IF($DM78=0,0,IF($ED78=$DE78,1,0))</f>
        <v/>
      </c>
      <c r="EF78">
        <f>EF77+$EE78</f>
        <v/>
      </c>
      <c r="EG78">
        <f>IF($DM78=0,"",INDEX($EF$5:$EF$1003,$ED78))</f>
        <v/>
      </c>
      <c r="EH78">
        <f>IF($DM78=0,"",IF($DO78&lt;&gt;"","",IFERROR(LOOKUP(2,1/(($EG$4:EG77=$EG78)*($DO$4:DO77&lt;&gt;"")),$DO$4:DO77),"")))</f>
        <v/>
      </c>
      <c r="EI78">
        <f>IF($DM78=0,"",IF($DO78&lt;&gt;"",$DO78,$EH78))</f>
        <v/>
      </c>
      <c r="EJ78">
        <f>IF($DM78=0,"",IF($EI78="",0,IF(OR(ISNUMBER($EI78),AND(AND(SUBSTITUTE(SUBSTITUTE(SUBSTITUTE(SUBSTITUTE(SUBSTITUTE(SUBSTITUTE(SUBSTITUTE(SUBSTITUTE(SUBSTITUTE(SUBSTITUTE(SUBSTITUTE(SUBSTITUTE(SUBSTITUTE(SUBSTITUTE(UPPER($EI78),"0",""),"1",""),"2",""),"3",""),"4",""),"5",""),"6",""),"7",""),"8",""),"9",""),".",""),"+",""),"-",""),"E","")="",LEN(SUBSTITUTE(SUBSTITUTE(MID(UPPER($EI78),1+OR(LEFT(UPPER($EI78),1)="+",LEFT(UPPER($EI78),1)="-"),999),"E+","E"),"E-","E"))=LEN(SUBSTITUTE(SUBSTITUTE(SUBSTITUTE(SUBSTITUTE(MID(UPPER($EI78),1+OR(LEFT(UPPER($EI78),1)="+",LEFT(UPPER($EI78),1)="-"),999),"E+","E"),"E-","E"),"+",""),"-","")),LEN(UPPER($EI78))-LEN(SUBSTITUTE(UPPER($EI78),"E",""))&lt;2,LEN(UPPER($EI78))-LEN(SUBSTITUTE(UPPER($EI78),".",""))&lt;2,IFERROR(FIND(".",UPPER($EI78)),0)&lt;IFERROR(FIND("E",UPPER($EI78)),999)),ISNUMBER(VALUE($EI78)))),1,2)))</f>
        <v/>
      </c>
      <c r="EK78">
        <f>IF($DM78=0,"",IF($EJ78=1,IF(ISNUMBER($EI78),$EI78,VALUE($EI78)),IF($EJ78=2,$DE78,0)))</f>
        <v/>
      </c>
      <c r="EL78">
        <f>IF($DM78=0,"",COUNTIF($EG$5:$EG$1003,"&lt;"&amp;$EG78)+SUMPRODUCT(($EG$5:$EG$1003=$EG78)*(($EJ$5:$EJ$1003&lt;$EJ78)+($EJ$5:$EJ$1003=$EJ78)*(($EK$5:$EK$1003&lt;$EK78)+($EK$5:$EK$1003=$EK78)*($DE$5:$DE$1003&lt;$DE78))))+1)</f>
        <v/>
      </c>
      <c r="EM78">
        <f>IF($DM78=0,"",$EL78+$EG78-1)</f>
        <v/>
      </c>
      <c r="EN78">
        <f>IF($DM78=0,0,IFERROR(MATCH(1,INDEX(--(TRIM(SUBSTITUTE(SUBSTITUTE(SUBSTITUTE(SUBSTITUTE(LINES_NAME&amp;""," "," "),CHAR(9)," "),CHAR(10)," "),CHAR(13)," "))=$DH78),0),0),0))</f>
        <v/>
      </c>
      <c r="EO78">
        <f>IF($EN78=0,0,IF(OR(UPPER(TRIM(INDEX(LINES_SCHEDULED,$EN78)&amp;""))="YES",UPPER(TRIM(INDEX(LINES_SCHEDULED,$EN78)&amp;""))="Y",UPPER(TRIM(INDEX(LINES_SCHEDULED,$EN78)&amp;""))="X"),1,0))</f>
        <v/>
      </c>
      <c r="EP78">
        <f>IF($DM78=0,"",IF(COUNTIFS($EG$5:$EG$1003,$EG78,$EB$5:$EB$1003,"Ready")&gt;0,"READY",IF(COUNTIFS($EG$5:$EG$1003,$EG78,$EB$5:$EB$1003,"PM")&gt;0,"PM",IF(COUNTIFS($EG$5:$EG$1003,$EG78,$EB$5:$EB$1003,"OT")&gt;0,"OT",""))))</f>
        <v/>
      </c>
      <c r="EQ78">
        <f>IF($EN78=0,"",UPPER(TRIM(INDEX(LINES_STATUS,$EN78)&amp;"")))</f>
        <v/>
      </c>
      <c r="ER78">
        <f>IF($DM78=0,"",IF(OR($EQ78="READY",$EQ78="PM",$EQ78="OT"),$EQ78,$EP78))</f>
        <v/>
      </c>
      <c r="ES78">
        <f>IF($DM78=0,"",IF(AND($DV78&lt;&gt;"",UPPER($DV78)&lt;&gt;"N"),"allergen",IF(ISNUMBER(SEARCH("oil",$DQ78)),"oil",IF(OR(EXACT($DS78,"A662"),EXACT($DS78,"A624")),"bulk",""))))</f>
        <v/>
      </c>
      <c r="ET78">
        <f>IF($DM78=0,"",IF(OR($EA78="",$EA78=0),"",$EA78/100))</f>
        <v/>
      </c>
      <c r="EU78">
        <f>IF(OR($ET78="",$DY78=""),"",INT($DY78*(1-$ET78)+0.5))</f>
        <v/>
      </c>
      <c r="EW78" t="n">
        <v>74</v>
      </c>
      <c r="EX78">
        <f>IFERROR(MATCH($EW78,$EM$5:$EM$1003,0),0)</f>
        <v/>
      </c>
      <c r="EY78">
        <f>IF($EW78&gt;$B$12,"",IF($EX78&gt;0,"row","spacer"))</f>
        <v/>
      </c>
      <c r="EZ78">
        <f>IF(AND($EY78="row",$EY77&lt;&gt;"row"),1,0)</f>
        <v/>
      </c>
      <c r="FA78">
        <f>IF(AND($EY78="row",$EY79&lt;&gt;"row"),1,0)</f>
        <v/>
      </c>
      <c r="FB78">
        <f>IF($EZ78=1,IFERROR(IF(ISNUMBER(INDEX(PASTE_ALL,INDEX($DF$5:$DF$1003,$EX78),$B$37)),INDEX(PASTE_ALL,INDEX($DF$5:$DF$1003,$EX78),$B$37),INDEX($DH$5:$DH$1003,$EX78)),INDEX($DH$5:$DH$1003,$EX78)),"")</f>
        <v/>
      </c>
      <c r="FC78">
        <f>IF($EY78="row",INDEX($ER$5:$ER$1003,$EX78),"")</f>
        <v/>
      </c>
      <c r="FD78">
        <f>IF($EY78="row",INDEX($DN$5:$DN$1003,$EX78),"")</f>
        <v/>
      </c>
      <c r="FE78">
        <f>IF($EY78="row",INDEX($DO$5:$DO$1003,$EX78),"")</f>
        <v/>
      </c>
      <c r="FF78">
        <f>IF($EY78="row",INDEX($DP$5:$DP$1003,$EX78),"")</f>
        <v/>
      </c>
      <c r="FG78">
        <f>IF($EY78="row",INDEX($DQ$5:$DQ$1003,$EX78),"")</f>
        <v/>
      </c>
      <c r="FH78">
        <f>IF($EY78="row",INDEX($DR$5:$DR$1003,$EX78),"")</f>
        <v/>
      </c>
      <c r="FI78">
        <f>IF($EY78="row",INDEX($DS$5:$DS$1003,$EX78),"")</f>
        <v/>
      </c>
      <c r="FJ78">
        <f>IF($EY78="row",INDEX($DT$5:$DT$1003,$EX78),"")</f>
        <v/>
      </c>
      <c r="FK78">
        <f>IF($EY78="row",INDEX($DU$5:$DU$1003,$EX78),"")</f>
        <v/>
      </c>
      <c r="FL78">
        <f>IF($EY78="row",INDEX($DV$5:$DV$1003,$EX78),"")</f>
        <v/>
      </c>
      <c r="FM78">
        <f>IF($EY78="row",INDEX($DW$5:$DW$1003,$EX78),"")</f>
        <v/>
      </c>
      <c r="FN78">
        <f>IF($EY78="row",INDEX($DY$5:$DY$1003,$EX78),"")</f>
        <v/>
      </c>
      <c r="FO78">
        <f>IF($EY78="row",INDEX($EA$5:$EA$1003,$EX78),"")</f>
        <v/>
      </c>
      <c r="FP78">
        <f>IF($EY78="row",INDEX($EC$5:$EC$1003,$EX78),"")</f>
        <v/>
      </c>
      <c r="FQ78">
        <f>IF($EY78="row",INDEX($ET$5:$ET$1003,$EX78),"")</f>
        <v/>
      </c>
      <c r="FR78">
        <f>IF($EY78="row",INDEX($EU$5:$EU$1003,$EX78),"")</f>
        <v/>
      </c>
      <c r="FS78">
        <f>IF(AND($EY78="row",$EY77="row"),IF(OR(INDEX($DT$5:$DT$1003,$EX77)="",INDEX($DT$5:$DT$1003,$EX78)=""),"",IF(NOT(EXACT(INDEX($DT$5:$DT$1003,$EX77),INDEX($DT$5:$DT$1003,$EX78))),"S4",IF(NOT(EXACT(INDEX($DS$5:$DS$1003,$EX77),INDEX($DS$5:$DS$1003,$EX78))),"S3",IF(NOT(EXACT(INDEX($DR$5:$DR$1003,$EX77),INDEX($DR$5:$DR$1003,$EX78))),"S1 Count Change","S1")))),"")</f>
        <v/>
      </c>
      <c r="FT78">
        <f>IF($EY78="row",INDEX($ES$5:$ES$1003,$EX78),"")</f>
        <v/>
      </c>
      <c r="FU78">
        <f>IF($EY78="row",INDEX($EO$5:$EO$1003,$EX78),0)</f>
        <v/>
      </c>
      <c r="FV78">
        <f>IF($FS78="S1 Count Change",1,0)</f>
        <v/>
      </c>
      <c r="FX78" t="n">
        <v>74</v>
      </c>
      <c r="FY78">
        <f>IFERROR(MATCH($FX78,$EF$5:$EF$1003,0),0)</f>
        <v/>
      </c>
      <c r="FZ78">
        <f>IF($FY78=0,"",INDEX($DH$5:$DH$1003,$FY78))</f>
        <v/>
      </c>
      <c r="GA78">
        <f>IF($FY78=0,"",COUNTIF($EG$5:$EG$1003,$FX78))</f>
        <v/>
      </c>
      <c r="GB78">
        <f>IF($FY78=0,"",INDEX($ER$5:$ER$1003,$FY78))</f>
        <v/>
      </c>
      <c r="GC78">
        <f>IF($FY78=0,"",IF(INDEX($EO$5:$EO$1003,$FY78)=1,"Yes",""))</f>
        <v/>
      </c>
      <c r="GD78">
        <f>IF($FY78=0,"",IF(INDEX($EN$5:$EN$1003,$FY78)&gt;0,"","NOT IN YOUR LIST - type it in column A to tick it"))</f>
        <v/>
      </c>
      <c r="GE78">
        <f>IF(AND($FY78&gt;0,$GD78&lt;&gt;""),1,0)</f>
        <v/>
      </c>
      <c r="GF78">
        <f>GF77+$GE78</f>
        <v/>
      </c>
      <c r="GG78">
        <f>IFERROR(INDEX($FZ$5:$FZ$104,MATCH($FX78,$GF$5:$GF$104,0)),"")</f>
        <v/>
      </c>
    </row>
    <row r="79">
      <c r="V79" t="inlineStr">
        <is>
          <t>WOCOMPLETED</t>
        </is>
      </c>
      <c r="W79" t="n">
        <v>13</v>
      </c>
      <c r="Y79">
        <f>IFERROR(IF(ISNUMBER(INDEX(PASTE_ALL,30,1)),2,IF(TRIM(INDEX(PASTE_ALL,30,1))="",0,IF(AND(LEFT(MID(TRIM(INDEX(PASTE_ALL,30,1)),1+(LEFT(TRIM(INDEX(PASTE_ALL,30,1)),1)="-"),999),LEN(MID(TRIM(INDEX(PASTE_ALL,30,1)),1+(LEFT(TRIM(INDEX(PASTE_ALL,30,1)),1)="-"),999))-(RIGHT(MID(TRIM(INDEX(PASTE_ALL,30,1)),1+(LEFT(TRIM(INDEX(PASTE_ALL,30,1)),1)="-"),999),1)="%"))&lt;&gt;"",SUBSTITUTE(SUBSTITUTE(SUBSTITUTE(SUBSTITUTE(SUBSTITUTE(SUBSTITUTE(SUBSTITUTE(SUBSTITUTE(SUBSTITUTE(SUBSTITUTE(SUBSTITUTE(SUBSTITUTE(LEFT(MID(TRIM(INDEX(PASTE_ALL,30,1)),1+(LEFT(TRIM(INDEX(PASTE_ALL,30,1)),1)="-"),999),LEN(MID(TRIM(INDEX(PASTE_ALL,30,1)),1+(LEFT(TRIM(INDEX(PASTE_ALL,30,1)),1)="-"),999))-(RIGHT(MID(TRIM(INDEX(PASTE_ALL,30,1)),1+(LEFT(TRIM(INDEX(PASTE_ALL,30,1)),1)="-"),999),1)="%")),"0",""),"1",""),"2",""),"3",""),"4",""),"5",""),"6",""),"7",""),"8",""),"9",""),".",""),",","")=""),2,1))),1)</f>
        <v/>
      </c>
      <c r="Z79">
        <f>IFERROR(IF(ISNUMBER(INDEX(PASTE_ALL,30,2)),2,IF(TRIM(INDEX(PASTE_ALL,30,2))="",0,IF(AND(LEFT(MID(TRIM(INDEX(PASTE_ALL,30,2)),1+(LEFT(TRIM(INDEX(PASTE_ALL,30,2)),1)="-"),999),LEN(MID(TRIM(INDEX(PASTE_ALL,30,2)),1+(LEFT(TRIM(INDEX(PASTE_ALL,30,2)),1)="-"),999))-(RIGHT(MID(TRIM(INDEX(PASTE_ALL,30,2)),1+(LEFT(TRIM(INDEX(PASTE_ALL,30,2)),1)="-"),999),1)="%"))&lt;&gt;"",SUBSTITUTE(SUBSTITUTE(SUBSTITUTE(SUBSTITUTE(SUBSTITUTE(SUBSTITUTE(SUBSTITUTE(SUBSTITUTE(SUBSTITUTE(SUBSTITUTE(SUBSTITUTE(SUBSTITUTE(LEFT(MID(TRIM(INDEX(PASTE_ALL,30,2)),1+(LEFT(TRIM(INDEX(PASTE_ALL,30,2)),1)="-"),999),LEN(MID(TRIM(INDEX(PASTE_ALL,30,2)),1+(LEFT(TRIM(INDEX(PASTE_ALL,30,2)),1)="-"),999))-(RIGHT(MID(TRIM(INDEX(PASTE_ALL,30,2)),1+(LEFT(TRIM(INDEX(PASTE_ALL,30,2)),1)="-"),999),1)="%")),"0",""),"1",""),"2",""),"3",""),"4",""),"5",""),"6",""),"7",""),"8",""),"9",""),".",""),",","")=""),2,1))),1)</f>
        <v/>
      </c>
      <c r="AA79">
        <f>IFERROR(IF(ISNUMBER(INDEX(PASTE_ALL,30,3)),2,IF(TRIM(INDEX(PASTE_ALL,30,3))="",0,IF(AND(LEFT(MID(TRIM(INDEX(PASTE_ALL,30,3)),1+(LEFT(TRIM(INDEX(PASTE_ALL,30,3)),1)="-"),999),LEN(MID(TRIM(INDEX(PASTE_ALL,30,3)),1+(LEFT(TRIM(INDEX(PASTE_ALL,30,3)),1)="-"),999))-(RIGHT(MID(TRIM(INDEX(PASTE_ALL,30,3)),1+(LEFT(TRIM(INDEX(PASTE_ALL,30,3)),1)="-"),999),1)="%"))&lt;&gt;"",SUBSTITUTE(SUBSTITUTE(SUBSTITUTE(SUBSTITUTE(SUBSTITUTE(SUBSTITUTE(SUBSTITUTE(SUBSTITUTE(SUBSTITUTE(SUBSTITUTE(SUBSTITUTE(SUBSTITUTE(LEFT(MID(TRIM(INDEX(PASTE_ALL,30,3)),1+(LEFT(TRIM(INDEX(PASTE_ALL,30,3)),1)="-"),999),LEN(MID(TRIM(INDEX(PASTE_ALL,30,3)),1+(LEFT(TRIM(INDEX(PASTE_ALL,30,3)),1)="-"),999))-(RIGHT(MID(TRIM(INDEX(PASTE_ALL,30,3)),1+(LEFT(TRIM(INDEX(PASTE_ALL,30,3)),1)="-"),999),1)="%")),"0",""),"1",""),"2",""),"3",""),"4",""),"5",""),"6",""),"7",""),"8",""),"9",""),".",""),",","")=""),2,1))),1)</f>
        <v/>
      </c>
      <c r="AB79">
        <f>IFERROR(IF(ISNUMBER(INDEX(PASTE_ALL,30,4)),2,IF(TRIM(INDEX(PASTE_ALL,30,4))="",0,IF(AND(LEFT(MID(TRIM(INDEX(PASTE_ALL,30,4)),1+(LEFT(TRIM(INDEX(PASTE_ALL,30,4)),1)="-"),999),LEN(MID(TRIM(INDEX(PASTE_ALL,30,4)),1+(LEFT(TRIM(INDEX(PASTE_ALL,30,4)),1)="-"),999))-(RIGHT(MID(TRIM(INDEX(PASTE_ALL,30,4)),1+(LEFT(TRIM(INDEX(PASTE_ALL,30,4)),1)="-"),999),1)="%"))&lt;&gt;"",SUBSTITUTE(SUBSTITUTE(SUBSTITUTE(SUBSTITUTE(SUBSTITUTE(SUBSTITUTE(SUBSTITUTE(SUBSTITUTE(SUBSTITUTE(SUBSTITUTE(SUBSTITUTE(SUBSTITUTE(LEFT(MID(TRIM(INDEX(PASTE_ALL,30,4)),1+(LEFT(TRIM(INDEX(PASTE_ALL,30,4)),1)="-"),999),LEN(MID(TRIM(INDEX(PASTE_ALL,30,4)),1+(LEFT(TRIM(INDEX(PASTE_ALL,30,4)),1)="-"),999))-(RIGHT(MID(TRIM(INDEX(PASTE_ALL,30,4)),1+(LEFT(TRIM(INDEX(PASTE_ALL,30,4)),1)="-"),999),1)="%")),"0",""),"1",""),"2",""),"3",""),"4",""),"5",""),"6",""),"7",""),"8",""),"9",""),".",""),",","")=""),2,1))),1)</f>
        <v/>
      </c>
      <c r="AC79">
        <f>IFERROR(IF(ISNUMBER(INDEX(PASTE_ALL,30,5)),2,IF(TRIM(INDEX(PASTE_ALL,30,5))="",0,IF(AND(LEFT(MID(TRIM(INDEX(PASTE_ALL,30,5)),1+(LEFT(TRIM(INDEX(PASTE_ALL,30,5)),1)="-"),999),LEN(MID(TRIM(INDEX(PASTE_ALL,30,5)),1+(LEFT(TRIM(INDEX(PASTE_ALL,30,5)),1)="-"),999))-(RIGHT(MID(TRIM(INDEX(PASTE_ALL,30,5)),1+(LEFT(TRIM(INDEX(PASTE_ALL,30,5)),1)="-"),999),1)="%"))&lt;&gt;"",SUBSTITUTE(SUBSTITUTE(SUBSTITUTE(SUBSTITUTE(SUBSTITUTE(SUBSTITUTE(SUBSTITUTE(SUBSTITUTE(SUBSTITUTE(SUBSTITUTE(SUBSTITUTE(SUBSTITUTE(LEFT(MID(TRIM(INDEX(PASTE_ALL,30,5)),1+(LEFT(TRIM(INDEX(PASTE_ALL,30,5)),1)="-"),999),LEN(MID(TRIM(INDEX(PASTE_ALL,30,5)),1+(LEFT(TRIM(INDEX(PASTE_ALL,30,5)),1)="-"),999))-(RIGHT(MID(TRIM(INDEX(PASTE_ALL,30,5)),1+(LEFT(TRIM(INDEX(PASTE_ALL,30,5)),1)="-"),999),1)="%")),"0",""),"1",""),"2",""),"3",""),"4",""),"5",""),"6",""),"7",""),"8",""),"9",""),".",""),",","")=""),2,1))),1)</f>
        <v/>
      </c>
      <c r="AD79">
        <f>IFERROR(IF(ISNUMBER(INDEX(PASTE_ALL,30,6)),2,IF(TRIM(INDEX(PASTE_ALL,30,6))="",0,IF(AND(LEFT(MID(TRIM(INDEX(PASTE_ALL,30,6)),1+(LEFT(TRIM(INDEX(PASTE_ALL,30,6)),1)="-"),999),LEN(MID(TRIM(INDEX(PASTE_ALL,30,6)),1+(LEFT(TRIM(INDEX(PASTE_ALL,30,6)),1)="-"),999))-(RIGHT(MID(TRIM(INDEX(PASTE_ALL,30,6)),1+(LEFT(TRIM(INDEX(PASTE_ALL,30,6)),1)="-"),999),1)="%"))&lt;&gt;"",SUBSTITUTE(SUBSTITUTE(SUBSTITUTE(SUBSTITUTE(SUBSTITUTE(SUBSTITUTE(SUBSTITUTE(SUBSTITUTE(SUBSTITUTE(SUBSTITUTE(SUBSTITUTE(SUBSTITUTE(LEFT(MID(TRIM(INDEX(PASTE_ALL,30,6)),1+(LEFT(TRIM(INDEX(PASTE_ALL,30,6)),1)="-"),999),LEN(MID(TRIM(INDEX(PASTE_ALL,30,6)),1+(LEFT(TRIM(INDEX(PASTE_ALL,30,6)),1)="-"),999))-(RIGHT(MID(TRIM(INDEX(PASTE_ALL,30,6)),1+(LEFT(TRIM(INDEX(PASTE_ALL,30,6)),1)="-"),999),1)="%")),"0",""),"1",""),"2",""),"3",""),"4",""),"5",""),"6",""),"7",""),"8",""),"9",""),".",""),",","")=""),2,1))),1)</f>
        <v/>
      </c>
      <c r="AE79">
        <f>IFERROR(IF(ISNUMBER(INDEX(PASTE_ALL,30,7)),2,IF(TRIM(INDEX(PASTE_ALL,30,7))="",0,IF(AND(LEFT(MID(TRIM(INDEX(PASTE_ALL,30,7)),1+(LEFT(TRIM(INDEX(PASTE_ALL,30,7)),1)="-"),999),LEN(MID(TRIM(INDEX(PASTE_ALL,30,7)),1+(LEFT(TRIM(INDEX(PASTE_ALL,30,7)),1)="-"),999))-(RIGHT(MID(TRIM(INDEX(PASTE_ALL,30,7)),1+(LEFT(TRIM(INDEX(PASTE_ALL,30,7)),1)="-"),999),1)="%"))&lt;&gt;"",SUBSTITUTE(SUBSTITUTE(SUBSTITUTE(SUBSTITUTE(SUBSTITUTE(SUBSTITUTE(SUBSTITUTE(SUBSTITUTE(SUBSTITUTE(SUBSTITUTE(SUBSTITUTE(SUBSTITUTE(LEFT(MID(TRIM(INDEX(PASTE_ALL,30,7)),1+(LEFT(TRIM(INDEX(PASTE_ALL,30,7)),1)="-"),999),LEN(MID(TRIM(INDEX(PASTE_ALL,30,7)),1+(LEFT(TRIM(INDEX(PASTE_ALL,30,7)),1)="-"),999))-(RIGHT(MID(TRIM(INDEX(PASTE_ALL,30,7)),1+(LEFT(TRIM(INDEX(PASTE_ALL,30,7)),1)="-"),999),1)="%")),"0",""),"1",""),"2",""),"3",""),"4",""),"5",""),"6",""),"7",""),"8",""),"9",""),".",""),",","")=""),2,1))),1)</f>
        <v/>
      </c>
      <c r="AF79">
        <f>IFERROR(IF(ISNUMBER(INDEX(PASTE_ALL,30,8)),2,IF(TRIM(INDEX(PASTE_ALL,30,8))="",0,IF(AND(LEFT(MID(TRIM(INDEX(PASTE_ALL,30,8)),1+(LEFT(TRIM(INDEX(PASTE_ALL,30,8)),1)="-"),999),LEN(MID(TRIM(INDEX(PASTE_ALL,30,8)),1+(LEFT(TRIM(INDEX(PASTE_ALL,30,8)),1)="-"),999))-(RIGHT(MID(TRIM(INDEX(PASTE_ALL,30,8)),1+(LEFT(TRIM(INDEX(PASTE_ALL,30,8)),1)="-"),999),1)="%"))&lt;&gt;"",SUBSTITUTE(SUBSTITUTE(SUBSTITUTE(SUBSTITUTE(SUBSTITUTE(SUBSTITUTE(SUBSTITUTE(SUBSTITUTE(SUBSTITUTE(SUBSTITUTE(SUBSTITUTE(SUBSTITUTE(LEFT(MID(TRIM(INDEX(PASTE_ALL,30,8)),1+(LEFT(TRIM(INDEX(PASTE_ALL,30,8)),1)="-"),999),LEN(MID(TRIM(INDEX(PASTE_ALL,30,8)),1+(LEFT(TRIM(INDEX(PASTE_ALL,30,8)),1)="-"),999))-(RIGHT(MID(TRIM(INDEX(PASTE_ALL,30,8)),1+(LEFT(TRIM(INDEX(PASTE_ALL,30,8)),1)="-"),999),1)="%")),"0",""),"1",""),"2",""),"3",""),"4",""),"5",""),"6",""),"7",""),"8",""),"9",""),".",""),",","")=""),2,1))),1)</f>
        <v/>
      </c>
      <c r="AG79">
        <f>IFERROR(IF(ISNUMBER(INDEX(PASTE_ALL,30,9)),2,IF(TRIM(INDEX(PASTE_ALL,30,9))="",0,IF(AND(LEFT(MID(TRIM(INDEX(PASTE_ALL,30,9)),1+(LEFT(TRIM(INDEX(PASTE_ALL,30,9)),1)="-"),999),LEN(MID(TRIM(INDEX(PASTE_ALL,30,9)),1+(LEFT(TRIM(INDEX(PASTE_ALL,30,9)),1)="-"),999))-(RIGHT(MID(TRIM(INDEX(PASTE_ALL,30,9)),1+(LEFT(TRIM(INDEX(PASTE_ALL,30,9)),1)="-"),999),1)="%"))&lt;&gt;"",SUBSTITUTE(SUBSTITUTE(SUBSTITUTE(SUBSTITUTE(SUBSTITUTE(SUBSTITUTE(SUBSTITUTE(SUBSTITUTE(SUBSTITUTE(SUBSTITUTE(SUBSTITUTE(SUBSTITUTE(LEFT(MID(TRIM(INDEX(PASTE_ALL,30,9)),1+(LEFT(TRIM(INDEX(PASTE_ALL,30,9)),1)="-"),999),LEN(MID(TRIM(INDEX(PASTE_ALL,30,9)),1+(LEFT(TRIM(INDEX(PASTE_ALL,30,9)),1)="-"),999))-(RIGHT(MID(TRIM(INDEX(PASTE_ALL,30,9)),1+(LEFT(TRIM(INDEX(PASTE_ALL,30,9)),1)="-"),999),1)="%")),"0",""),"1",""),"2",""),"3",""),"4",""),"5",""),"6",""),"7",""),"8",""),"9",""),".",""),",","")=""),2,1))),1)</f>
        <v/>
      </c>
      <c r="AH79">
        <f>IFERROR(IF(ISNUMBER(INDEX(PASTE_ALL,30,10)),2,IF(TRIM(INDEX(PASTE_ALL,30,10))="",0,IF(AND(LEFT(MID(TRIM(INDEX(PASTE_ALL,30,10)),1+(LEFT(TRIM(INDEX(PASTE_ALL,30,10)),1)="-"),999),LEN(MID(TRIM(INDEX(PASTE_ALL,30,10)),1+(LEFT(TRIM(INDEX(PASTE_ALL,30,10)),1)="-"),999))-(RIGHT(MID(TRIM(INDEX(PASTE_ALL,30,10)),1+(LEFT(TRIM(INDEX(PASTE_ALL,30,10)),1)="-"),999),1)="%"))&lt;&gt;"",SUBSTITUTE(SUBSTITUTE(SUBSTITUTE(SUBSTITUTE(SUBSTITUTE(SUBSTITUTE(SUBSTITUTE(SUBSTITUTE(SUBSTITUTE(SUBSTITUTE(SUBSTITUTE(SUBSTITUTE(LEFT(MID(TRIM(INDEX(PASTE_ALL,30,10)),1+(LEFT(TRIM(INDEX(PASTE_ALL,30,10)),1)="-"),999),LEN(MID(TRIM(INDEX(PASTE_ALL,30,10)),1+(LEFT(TRIM(INDEX(PASTE_ALL,30,10)),1)="-"),999))-(RIGHT(MID(TRIM(INDEX(PASTE_ALL,30,10)),1+(LEFT(TRIM(INDEX(PASTE_ALL,30,10)),1)="-"),999),1)="%")),"0",""),"1",""),"2",""),"3",""),"4",""),"5",""),"6",""),"7",""),"8",""),"9",""),".",""),",","")=""),2,1))),1)</f>
        <v/>
      </c>
      <c r="AI79">
        <f>IFERROR(IF(ISNUMBER(INDEX(PASTE_ALL,30,11)),2,IF(TRIM(INDEX(PASTE_ALL,30,11))="",0,IF(AND(LEFT(MID(TRIM(INDEX(PASTE_ALL,30,11)),1+(LEFT(TRIM(INDEX(PASTE_ALL,30,11)),1)="-"),999),LEN(MID(TRIM(INDEX(PASTE_ALL,30,11)),1+(LEFT(TRIM(INDEX(PASTE_ALL,30,11)),1)="-"),999))-(RIGHT(MID(TRIM(INDEX(PASTE_ALL,30,11)),1+(LEFT(TRIM(INDEX(PASTE_ALL,30,11)),1)="-"),999),1)="%"))&lt;&gt;"",SUBSTITUTE(SUBSTITUTE(SUBSTITUTE(SUBSTITUTE(SUBSTITUTE(SUBSTITUTE(SUBSTITUTE(SUBSTITUTE(SUBSTITUTE(SUBSTITUTE(SUBSTITUTE(SUBSTITUTE(LEFT(MID(TRIM(INDEX(PASTE_ALL,30,11)),1+(LEFT(TRIM(INDEX(PASTE_ALL,30,11)),1)="-"),999),LEN(MID(TRIM(INDEX(PASTE_ALL,30,11)),1+(LEFT(TRIM(INDEX(PASTE_ALL,30,11)),1)="-"),999))-(RIGHT(MID(TRIM(INDEX(PASTE_ALL,30,11)),1+(LEFT(TRIM(INDEX(PASTE_ALL,30,11)),1)="-"),999),1)="%")),"0",""),"1",""),"2",""),"3",""),"4",""),"5",""),"6",""),"7",""),"8",""),"9",""),".",""),",","")=""),2,1))),1)</f>
        <v/>
      </c>
      <c r="AJ79">
        <f>IFERROR(IF(ISNUMBER(INDEX(PASTE_ALL,30,12)),2,IF(TRIM(INDEX(PASTE_ALL,30,12))="",0,IF(AND(LEFT(MID(TRIM(INDEX(PASTE_ALL,30,12)),1+(LEFT(TRIM(INDEX(PASTE_ALL,30,12)),1)="-"),999),LEN(MID(TRIM(INDEX(PASTE_ALL,30,12)),1+(LEFT(TRIM(INDEX(PASTE_ALL,30,12)),1)="-"),999))-(RIGHT(MID(TRIM(INDEX(PASTE_ALL,30,12)),1+(LEFT(TRIM(INDEX(PASTE_ALL,30,12)),1)="-"),999),1)="%"))&lt;&gt;"",SUBSTITUTE(SUBSTITUTE(SUBSTITUTE(SUBSTITUTE(SUBSTITUTE(SUBSTITUTE(SUBSTITUTE(SUBSTITUTE(SUBSTITUTE(SUBSTITUTE(SUBSTITUTE(SUBSTITUTE(LEFT(MID(TRIM(INDEX(PASTE_ALL,30,12)),1+(LEFT(TRIM(INDEX(PASTE_ALL,30,12)),1)="-"),999),LEN(MID(TRIM(INDEX(PASTE_ALL,30,12)),1+(LEFT(TRIM(INDEX(PASTE_ALL,30,12)),1)="-"),999))-(RIGHT(MID(TRIM(INDEX(PASTE_ALL,30,12)),1+(LEFT(TRIM(INDEX(PASTE_ALL,30,12)),1)="-"),999),1)="%")),"0",""),"1",""),"2",""),"3",""),"4",""),"5",""),"6",""),"7",""),"8",""),"9",""),".",""),",","")=""),2,1))),1)</f>
        <v/>
      </c>
      <c r="AK79">
        <f>IFERROR(IF(ISNUMBER(INDEX(PASTE_ALL,30,13)),2,IF(TRIM(INDEX(PASTE_ALL,30,13))="",0,IF(AND(LEFT(MID(TRIM(INDEX(PASTE_ALL,30,13)),1+(LEFT(TRIM(INDEX(PASTE_ALL,30,13)),1)="-"),999),LEN(MID(TRIM(INDEX(PASTE_ALL,30,13)),1+(LEFT(TRIM(INDEX(PASTE_ALL,30,13)),1)="-"),999))-(RIGHT(MID(TRIM(INDEX(PASTE_ALL,30,13)),1+(LEFT(TRIM(INDEX(PASTE_ALL,30,13)),1)="-"),999),1)="%"))&lt;&gt;"",SUBSTITUTE(SUBSTITUTE(SUBSTITUTE(SUBSTITUTE(SUBSTITUTE(SUBSTITUTE(SUBSTITUTE(SUBSTITUTE(SUBSTITUTE(SUBSTITUTE(SUBSTITUTE(SUBSTITUTE(LEFT(MID(TRIM(INDEX(PASTE_ALL,30,13)),1+(LEFT(TRIM(INDEX(PASTE_ALL,30,13)),1)="-"),999),LEN(MID(TRIM(INDEX(PASTE_ALL,30,13)),1+(LEFT(TRIM(INDEX(PASTE_ALL,30,13)),1)="-"),999))-(RIGHT(MID(TRIM(INDEX(PASTE_ALL,30,13)),1+(LEFT(TRIM(INDEX(PASTE_ALL,30,13)),1)="-"),999),1)="%")),"0",""),"1",""),"2",""),"3",""),"4",""),"5",""),"6",""),"7",""),"8",""),"9",""),".",""),",","")=""),2,1))),1)</f>
        <v/>
      </c>
      <c r="AL79">
        <f>IFERROR(IF(ISNUMBER(INDEX(PASTE_ALL,30,14)),2,IF(TRIM(INDEX(PASTE_ALL,30,14))="",0,IF(AND(LEFT(MID(TRIM(INDEX(PASTE_ALL,30,14)),1+(LEFT(TRIM(INDEX(PASTE_ALL,30,14)),1)="-"),999),LEN(MID(TRIM(INDEX(PASTE_ALL,30,14)),1+(LEFT(TRIM(INDEX(PASTE_ALL,30,14)),1)="-"),999))-(RIGHT(MID(TRIM(INDEX(PASTE_ALL,30,14)),1+(LEFT(TRIM(INDEX(PASTE_ALL,30,14)),1)="-"),999),1)="%"))&lt;&gt;"",SUBSTITUTE(SUBSTITUTE(SUBSTITUTE(SUBSTITUTE(SUBSTITUTE(SUBSTITUTE(SUBSTITUTE(SUBSTITUTE(SUBSTITUTE(SUBSTITUTE(SUBSTITUTE(SUBSTITUTE(LEFT(MID(TRIM(INDEX(PASTE_ALL,30,14)),1+(LEFT(TRIM(INDEX(PASTE_ALL,30,14)),1)="-"),999),LEN(MID(TRIM(INDEX(PASTE_ALL,30,14)),1+(LEFT(TRIM(INDEX(PASTE_ALL,30,14)),1)="-"),999))-(RIGHT(MID(TRIM(INDEX(PASTE_ALL,30,14)),1+(LEFT(TRIM(INDEX(PASTE_ALL,30,14)),1)="-"),999),1)="%")),"0",""),"1",""),"2",""),"3",""),"4",""),"5",""),"6",""),"7",""),"8",""),"9",""),".",""),",","")=""),2,1))),1)</f>
        <v/>
      </c>
      <c r="AM79">
        <f>IFERROR(IF(ISNUMBER(INDEX(PASTE_ALL,30,15)),2,IF(TRIM(INDEX(PASTE_ALL,30,15))="",0,IF(AND(LEFT(MID(TRIM(INDEX(PASTE_ALL,30,15)),1+(LEFT(TRIM(INDEX(PASTE_ALL,30,15)),1)="-"),999),LEN(MID(TRIM(INDEX(PASTE_ALL,30,15)),1+(LEFT(TRIM(INDEX(PASTE_ALL,30,15)),1)="-"),999))-(RIGHT(MID(TRIM(INDEX(PASTE_ALL,30,15)),1+(LEFT(TRIM(INDEX(PASTE_ALL,30,15)),1)="-"),999),1)="%"))&lt;&gt;"",SUBSTITUTE(SUBSTITUTE(SUBSTITUTE(SUBSTITUTE(SUBSTITUTE(SUBSTITUTE(SUBSTITUTE(SUBSTITUTE(SUBSTITUTE(SUBSTITUTE(SUBSTITUTE(SUBSTITUTE(LEFT(MID(TRIM(INDEX(PASTE_ALL,30,15)),1+(LEFT(TRIM(INDEX(PASTE_ALL,30,15)),1)="-"),999),LEN(MID(TRIM(INDEX(PASTE_ALL,30,15)),1+(LEFT(TRIM(INDEX(PASTE_ALL,30,15)),1)="-"),999))-(RIGHT(MID(TRIM(INDEX(PASTE_ALL,30,15)),1+(LEFT(TRIM(INDEX(PASTE_ALL,30,15)),1)="-"),999),1)="%")),"0",""),"1",""),"2",""),"3",""),"4",""),"5",""),"6",""),"7",""),"8",""),"9",""),".",""),",","")=""),2,1))),1)</f>
        <v/>
      </c>
      <c r="AN79">
        <f>IFERROR(IF(ISNUMBER(INDEX(PASTE_ALL,30,16)),2,IF(TRIM(INDEX(PASTE_ALL,30,16))="",0,IF(AND(LEFT(MID(TRIM(INDEX(PASTE_ALL,30,16)),1+(LEFT(TRIM(INDEX(PASTE_ALL,30,16)),1)="-"),999),LEN(MID(TRIM(INDEX(PASTE_ALL,30,16)),1+(LEFT(TRIM(INDEX(PASTE_ALL,30,16)),1)="-"),999))-(RIGHT(MID(TRIM(INDEX(PASTE_ALL,30,16)),1+(LEFT(TRIM(INDEX(PASTE_ALL,30,16)),1)="-"),999),1)="%"))&lt;&gt;"",SUBSTITUTE(SUBSTITUTE(SUBSTITUTE(SUBSTITUTE(SUBSTITUTE(SUBSTITUTE(SUBSTITUTE(SUBSTITUTE(SUBSTITUTE(SUBSTITUTE(SUBSTITUTE(SUBSTITUTE(LEFT(MID(TRIM(INDEX(PASTE_ALL,30,16)),1+(LEFT(TRIM(INDEX(PASTE_ALL,30,16)),1)="-"),999),LEN(MID(TRIM(INDEX(PASTE_ALL,30,16)),1+(LEFT(TRIM(INDEX(PASTE_ALL,30,16)),1)="-"),999))-(RIGHT(MID(TRIM(INDEX(PASTE_ALL,30,16)),1+(LEFT(TRIM(INDEX(PASTE_ALL,30,16)),1)="-"),999),1)="%")),"0",""),"1",""),"2",""),"3",""),"4",""),"5",""),"6",""),"7",""),"8",""),"9",""),".",""),",","")=""),2,1))),1)</f>
        <v/>
      </c>
      <c r="AO79">
        <f>IFERROR(IF(ISNUMBER(INDEX(PASTE_ALL,30,17)),2,IF(TRIM(INDEX(PASTE_ALL,30,17))="",0,IF(AND(LEFT(MID(TRIM(INDEX(PASTE_ALL,30,17)),1+(LEFT(TRIM(INDEX(PASTE_ALL,30,17)),1)="-"),999),LEN(MID(TRIM(INDEX(PASTE_ALL,30,17)),1+(LEFT(TRIM(INDEX(PASTE_ALL,30,17)),1)="-"),999))-(RIGHT(MID(TRIM(INDEX(PASTE_ALL,30,17)),1+(LEFT(TRIM(INDEX(PASTE_ALL,30,17)),1)="-"),999),1)="%"))&lt;&gt;"",SUBSTITUTE(SUBSTITUTE(SUBSTITUTE(SUBSTITUTE(SUBSTITUTE(SUBSTITUTE(SUBSTITUTE(SUBSTITUTE(SUBSTITUTE(SUBSTITUTE(SUBSTITUTE(SUBSTITUTE(LEFT(MID(TRIM(INDEX(PASTE_ALL,30,17)),1+(LEFT(TRIM(INDEX(PASTE_ALL,30,17)),1)="-"),999),LEN(MID(TRIM(INDEX(PASTE_ALL,30,17)),1+(LEFT(TRIM(INDEX(PASTE_ALL,30,17)),1)="-"),999))-(RIGHT(MID(TRIM(INDEX(PASTE_ALL,30,17)),1+(LEFT(TRIM(INDEX(PASTE_ALL,30,17)),1)="-"),999),1)="%")),"0",""),"1",""),"2",""),"3",""),"4",""),"5",""),"6",""),"7",""),"8",""),"9",""),".",""),",","")=""),2,1))),1)</f>
        <v/>
      </c>
      <c r="AP79">
        <f>IFERROR(IF(ISNUMBER(INDEX(PASTE_ALL,30,18)),2,IF(TRIM(INDEX(PASTE_ALL,30,18))="",0,IF(AND(LEFT(MID(TRIM(INDEX(PASTE_ALL,30,18)),1+(LEFT(TRIM(INDEX(PASTE_ALL,30,18)),1)="-"),999),LEN(MID(TRIM(INDEX(PASTE_ALL,30,18)),1+(LEFT(TRIM(INDEX(PASTE_ALL,30,18)),1)="-"),999))-(RIGHT(MID(TRIM(INDEX(PASTE_ALL,30,18)),1+(LEFT(TRIM(INDEX(PASTE_ALL,30,18)),1)="-"),999),1)="%"))&lt;&gt;"",SUBSTITUTE(SUBSTITUTE(SUBSTITUTE(SUBSTITUTE(SUBSTITUTE(SUBSTITUTE(SUBSTITUTE(SUBSTITUTE(SUBSTITUTE(SUBSTITUTE(SUBSTITUTE(SUBSTITUTE(LEFT(MID(TRIM(INDEX(PASTE_ALL,30,18)),1+(LEFT(TRIM(INDEX(PASTE_ALL,30,18)),1)="-"),999),LEN(MID(TRIM(INDEX(PASTE_ALL,30,18)),1+(LEFT(TRIM(INDEX(PASTE_ALL,30,18)),1)="-"),999))-(RIGHT(MID(TRIM(INDEX(PASTE_ALL,30,18)),1+(LEFT(TRIM(INDEX(PASTE_ALL,30,18)),1)="-"),999),1)="%")),"0",""),"1",""),"2",""),"3",""),"4",""),"5",""),"6",""),"7",""),"8",""),"9",""),".",""),",","")=""),2,1))),1)</f>
        <v/>
      </c>
      <c r="AQ79">
        <f>IFERROR(IF(ISNUMBER(INDEX(PASTE_ALL,30,19)),2,IF(TRIM(INDEX(PASTE_ALL,30,19))="",0,IF(AND(LEFT(MID(TRIM(INDEX(PASTE_ALL,30,19)),1+(LEFT(TRIM(INDEX(PASTE_ALL,30,19)),1)="-"),999),LEN(MID(TRIM(INDEX(PASTE_ALL,30,19)),1+(LEFT(TRIM(INDEX(PASTE_ALL,30,19)),1)="-"),999))-(RIGHT(MID(TRIM(INDEX(PASTE_ALL,30,19)),1+(LEFT(TRIM(INDEX(PASTE_ALL,30,19)),1)="-"),999),1)="%"))&lt;&gt;"",SUBSTITUTE(SUBSTITUTE(SUBSTITUTE(SUBSTITUTE(SUBSTITUTE(SUBSTITUTE(SUBSTITUTE(SUBSTITUTE(SUBSTITUTE(SUBSTITUTE(SUBSTITUTE(SUBSTITUTE(LEFT(MID(TRIM(INDEX(PASTE_ALL,30,19)),1+(LEFT(TRIM(INDEX(PASTE_ALL,30,19)),1)="-"),999),LEN(MID(TRIM(INDEX(PASTE_ALL,30,19)),1+(LEFT(TRIM(INDEX(PASTE_ALL,30,19)),1)="-"),999))-(RIGHT(MID(TRIM(INDEX(PASTE_ALL,30,19)),1+(LEFT(TRIM(INDEX(PASTE_ALL,30,19)),1)="-"),999),1)="%")),"0",""),"1",""),"2",""),"3",""),"4",""),"5",""),"6",""),"7",""),"8",""),"9",""),".",""),",","")=""),2,1))),1)</f>
        <v/>
      </c>
      <c r="AR79">
        <f>IFERROR(IF(ISNUMBER(INDEX(PASTE_ALL,30,20)),2,IF(TRIM(INDEX(PASTE_ALL,30,20))="",0,IF(AND(LEFT(MID(TRIM(INDEX(PASTE_ALL,30,20)),1+(LEFT(TRIM(INDEX(PASTE_ALL,30,20)),1)="-"),999),LEN(MID(TRIM(INDEX(PASTE_ALL,30,20)),1+(LEFT(TRIM(INDEX(PASTE_ALL,30,20)),1)="-"),999))-(RIGHT(MID(TRIM(INDEX(PASTE_ALL,30,20)),1+(LEFT(TRIM(INDEX(PASTE_ALL,30,20)),1)="-"),999),1)="%"))&lt;&gt;"",SUBSTITUTE(SUBSTITUTE(SUBSTITUTE(SUBSTITUTE(SUBSTITUTE(SUBSTITUTE(SUBSTITUTE(SUBSTITUTE(SUBSTITUTE(SUBSTITUTE(SUBSTITUTE(SUBSTITUTE(LEFT(MID(TRIM(INDEX(PASTE_ALL,30,20)),1+(LEFT(TRIM(INDEX(PASTE_ALL,30,20)),1)="-"),999),LEN(MID(TRIM(INDEX(PASTE_ALL,30,20)),1+(LEFT(TRIM(INDEX(PASTE_ALL,30,20)),1)="-"),999))-(RIGHT(MID(TRIM(INDEX(PASTE_ALL,30,20)),1+(LEFT(TRIM(INDEX(PASTE_ALL,30,20)),1)="-"),999),1)="%")),"0",""),"1",""),"2",""),"3",""),"4",""),"5",""),"6",""),"7",""),"8",""),"9",""),".",""),",","")=""),2,1))),1)</f>
        <v/>
      </c>
      <c r="AS79">
        <f>IFERROR(IF(ISNUMBER(INDEX(PASTE_ALL,30,21)),2,IF(TRIM(INDEX(PASTE_ALL,30,21))="",0,IF(AND(LEFT(MID(TRIM(INDEX(PASTE_ALL,30,21)),1+(LEFT(TRIM(INDEX(PASTE_ALL,30,21)),1)="-"),999),LEN(MID(TRIM(INDEX(PASTE_ALL,30,21)),1+(LEFT(TRIM(INDEX(PASTE_ALL,30,21)),1)="-"),999))-(RIGHT(MID(TRIM(INDEX(PASTE_ALL,30,21)),1+(LEFT(TRIM(INDEX(PASTE_ALL,30,21)),1)="-"),999),1)="%"))&lt;&gt;"",SUBSTITUTE(SUBSTITUTE(SUBSTITUTE(SUBSTITUTE(SUBSTITUTE(SUBSTITUTE(SUBSTITUTE(SUBSTITUTE(SUBSTITUTE(SUBSTITUTE(SUBSTITUTE(SUBSTITUTE(LEFT(MID(TRIM(INDEX(PASTE_ALL,30,21)),1+(LEFT(TRIM(INDEX(PASTE_ALL,30,21)),1)="-"),999),LEN(MID(TRIM(INDEX(PASTE_ALL,30,21)),1+(LEFT(TRIM(INDEX(PASTE_ALL,30,21)),1)="-"),999))-(RIGHT(MID(TRIM(INDEX(PASTE_ALL,30,21)),1+(LEFT(TRIM(INDEX(PASTE_ALL,30,21)),1)="-"),999),1)="%")),"0",""),"1",""),"2",""),"3",""),"4",""),"5",""),"6",""),"7",""),"8",""),"9",""),".",""),",","")=""),2,1))),1)</f>
        <v/>
      </c>
      <c r="AT79">
        <f>IFERROR(IF(ISNUMBER(INDEX(PASTE_ALL,30,22)),2,IF(TRIM(INDEX(PASTE_ALL,30,22))="",0,IF(AND(LEFT(MID(TRIM(INDEX(PASTE_ALL,30,22)),1+(LEFT(TRIM(INDEX(PASTE_ALL,30,22)),1)="-"),999),LEN(MID(TRIM(INDEX(PASTE_ALL,30,22)),1+(LEFT(TRIM(INDEX(PASTE_ALL,30,22)),1)="-"),999))-(RIGHT(MID(TRIM(INDEX(PASTE_ALL,30,22)),1+(LEFT(TRIM(INDEX(PASTE_ALL,30,22)),1)="-"),999),1)="%"))&lt;&gt;"",SUBSTITUTE(SUBSTITUTE(SUBSTITUTE(SUBSTITUTE(SUBSTITUTE(SUBSTITUTE(SUBSTITUTE(SUBSTITUTE(SUBSTITUTE(SUBSTITUTE(SUBSTITUTE(SUBSTITUTE(LEFT(MID(TRIM(INDEX(PASTE_ALL,30,22)),1+(LEFT(TRIM(INDEX(PASTE_ALL,30,22)),1)="-"),999),LEN(MID(TRIM(INDEX(PASTE_ALL,30,22)),1+(LEFT(TRIM(INDEX(PASTE_ALL,30,22)),1)="-"),999))-(RIGHT(MID(TRIM(INDEX(PASTE_ALL,30,22)),1+(LEFT(TRIM(INDEX(PASTE_ALL,30,22)),1)="-"),999),1)="%")),"0",""),"1",""),"2",""),"3",""),"4",""),"5",""),"6",""),"7",""),"8",""),"9",""),".",""),",","")=""),2,1))),1)</f>
        <v/>
      </c>
      <c r="AU79">
        <f>IFERROR(IF(ISNUMBER(INDEX(PASTE_ALL,30,23)),2,IF(TRIM(INDEX(PASTE_ALL,30,23))="",0,IF(AND(LEFT(MID(TRIM(INDEX(PASTE_ALL,30,23)),1+(LEFT(TRIM(INDEX(PASTE_ALL,30,23)),1)="-"),999),LEN(MID(TRIM(INDEX(PASTE_ALL,30,23)),1+(LEFT(TRIM(INDEX(PASTE_ALL,30,23)),1)="-"),999))-(RIGHT(MID(TRIM(INDEX(PASTE_ALL,30,23)),1+(LEFT(TRIM(INDEX(PASTE_ALL,30,23)),1)="-"),999),1)="%"))&lt;&gt;"",SUBSTITUTE(SUBSTITUTE(SUBSTITUTE(SUBSTITUTE(SUBSTITUTE(SUBSTITUTE(SUBSTITUTE(SUBSTITUTE(SUBSTITUTE(SUBSTITUTE(SUBSTITUTE(SUBSTITUTE(LEFT(MID(TRIM(INDEX(PASTE_ALL,30,23)),1+(LEFT(TRIM(INDEX(PASTE_ALL,30,23)),1)="-"),999),LEN(MID(TRIM(INDEX(PASTE_ALL,30,23)),1+(LEFT(TRIM(INDEX(PASTE_ALL,30,23)),1)="-"),999))-(RIGHT(MID(TRIM(INDEX(PASTE_ALL,30,23)),1+(LEFT(TRIM(INDEX(PASTE_ALL,30,23)),1)="-"),999),1)="%")),"0",""),"1",""),"2",""),"3",""),"4",""),"5",""),"6",""),"7",""),"8",""),"9",""),".",""),",","")=""),2,1))),1)</f>
        <v/>
      </c>
      <c r="AV79">
        <f>IFERROR(IF(ISNUMBER(INDEX(PASTE_ALL,30,24)),2,IF(TRIM(INDEX(PASTE_ALL,30,24))="",0,IF(AND(LEFT(MID(TRIM(INDEX(PASTE_ALL,30,24)),1+(LEFT(TRIM(INDEX(PASTE_ALL,30,24)),1)="-"),999),LEN(MID(TRIM(INDEX(PASTE_ALL,30,24)),1+(LEFT(TRIM(INDEX(PASTE_ALL,30,24)),1)="-"),999))-(RIGHT(MID(TRIM(INDEX(PASTE_ALL,30,24)),1+(LEFT(TRIM(INDEX(PASTE_ALL,30,24)),1)="-"),999),1)="%"))&lt;&gt;"",SUBSTITUTE(SUBSTITUTE(SUBSTITUTE(SUBSTITUTE(SUBSTITUTE(SUBSTITUTE(SUBSTITUTE(SUBSTITUTE(SUBSTITUTE(SUBSTITUTE(SUBSTITUTE(SUBSTITUTE(LEFT(MID(TRIM(INDEX(PASTE_ALL,30,24)),1+(LEFT(TRIM(INDEX(PASTE_ALL,30,24)),1)="-"),999),LEN(MID(TRIM(INDEX(PASTE_ALL,30,24)),1+(LEFT(TRIM(INDEX(PASTE_ALL,30,24)),1)="-"),999))-(RIGHT(MID(TRIM(INDEX(PASTE_ALL,30,24)),1+(LEFT(TRIM(INDEX(PASTE_ALL,30,24)),1)="-"),999),1)="%")),"0",""),"1",""),"2",""),"3",""),"4",""),"5",""),"6",""),"7",""),"8",""),"9",""),".",""),",","")=""),2,1))),1)</f>
        <v/>
      </c>
      <c r="AW79">
        <f>IFERROR(IF(ISNUMBER(INDEX(PASTE_ALL,30,25)),2,IF(TRIM(INDEX(PASTE_ALL,30,25))="",0,IF(AND(LEFT(MID(TRIM(INDEX(PASTE_ALL,30,25)),1+(LEFT(TRIM(INDEX(PASTE_ALL,30,25)),1)="-"),999),LEN(MID(TRIM(INDEX(PASTE_ALL,30,25)),1+(LEFT(TRIM(INDEX(PASTE_ALL,30,25)),1)="-"),999))-(RIGHT(MID(TRIM(INDEX(PASTE_ALL,30,25)),1+(LEFT(TRIM(INDEX(PASTE_ALL,30,25)),1)="-"),999),1)="%"))&lt;&gt;"",SUBSTITUTE(SUBSTITUTE(SUBSTITUTE(SUBSTITUTE(SUBSTITUTE(SUBSTITUTE(SUBSTITUTE(SUBSTITUTE(SUBSTITUTE(SUBSTITUTE(SUBSTITUTE(SUBSTITUTE(LEFT(MID(TRIM(INDEX(PASTE_ALL,30,25)),1+(LEFT(TRIM(INDEX(PASTE_ALL,30,25)),1)="-"),999),LEN(MID(TRIM(INDEX(PASTE_ALL,30,25)),1+(LEFT(TRIM(INDEX(PASTE_ALL,30,25)),1)="-"),999))-(RIGHT(MID(TRIM(INDEX(PASTE_ALL,30,25)),1+(LEFT(TRIM(INDEX(PASTE_ALL,30,25)),1)="-"),999),1)="%")),"0",""),"1",""),"2",""),"3",""),"4",""),"5",""),"6",""),"7",""),"8",""),"9",""),".",""),",","")=""),2,1))),1)</f>
        <v/>
      </c>
      <c r="AX79">
        <f>IFERROR(IF(ISNUMBER(INDEX(PASTE_ALL,30,26)),2,IF(TRIM(INDEX(PASTE_ALL,30,26))="",0,IF(AND(LEFT(MID(TRIM(INDEX(PASTE_ALL,30,26)),1+(LEFT(TRIM(INDEX(PASTE_ALL,30,26)),1)="-"),999),LEN(MID(TRIM(INDEX(PASTE_ALL,30,26)),1+(LEFT(TRIM(INDEX(PASTE_ALL,30,26)),1)="-"),999))-(RIGHT(MID(TRIM(INDEX(PASTE_ALL,30,26)),1+(LEFT(TRIM(INDEX(PASTE_ALL,30,26)),1)="-"),999),1)="%"))&lt;&gt;"",SUBSTITUTE(SUBSTITUTE(SUBSTITUTE(SUBSTITUTE(SUBSTITUTE(SUBSTITUTE(SUBSTITUTE(SUBSTITUTE(SUBSTITUTE(SUBSTITUTE(SUBSTITUTE(SUBSTITUTE(LEFT(MID(TRIM(INDEX(PASTE_ALL,30,26)),1+(LEFT(TRIM(INDEX(PASTE_ALL,30,26)),1)="-"),999),LEN(MID(TRIM(INDEX(PASTE_ALL,30,26)),1+(LEFT(TRIM(INDEX(PASTE_ALL,30,26)),1)="-"),999))-(RIGHT(MID(TRIM(INDEX(PASTE_ALL,30,26)),1+(LEFT(TRIM(INDEX(PASTE_ALL,30,26)),1)="-"),999),1)="%")),"0",""),"1",""),"2",""),"3",""),"4",""),"5",""),"6",""),"7",""),"8",""),"9",""),".",""),",","")=""),2,1))),1)</f>
        <v/>
      </c>
      <c r="AY79">
        <f>IFERROR(IF(ISNUMBER(INDEX(PASTE_ALL,30,27)),2,IF(TRIM(INDEX(PASTE_ALL,30,27))="",0,IF(AND(LEFT(MID(TRIM(INDEX(PASTE_ALL,30,27)),1+(LEFT(TRIM(INDEX(PASTE_ALL,30,27)),1)="-"),999),LEN(MID(TRIM(INDEX(PASTE_ALL,30,27)),1+(LEFT(TRIM(INDEX(PASTE_ALL,30,27)),1)="-"),999))-(RIGHT(MID(TRIM(INDEX(PASTE_ALL,30,27)),1+(LEFT(TRIM(INDEX(PASTE_ALL,30,27)),1)="-"),999),1)="%"))&lt;&gt;"",SUBSTITUTE(SUBSTITUTE(SUBSTITUTE(SUBSTITUTE(SUBSTITUTE(SUBSTITUTE(SUBSTITUTE(SUBSTITUTE(SUBSTITUTE(SUBSTITUTE(SUBSTITUTE(SUBSTITUTE(LEFT(MID(TRIM(INDEX(PASTE_ALL,30,27)),1+(LEFT(TRIM(INDEX(PASTE_ALL,30,27)),1)="-"),999),LEN(MID(TRIM(INDEX(PASTE_ALL,30,27)),1+(LEFT(TRIM(INDEX(PASTE_ALL,30,27)),1)="-"),999))-(RIGHT(MID(TRIM(INDEX(PASTE_ALL,30,27)),1+(LEFT(TRIM(INDEX(PASTE_ALL,30,27)),1)="-"),999),1)="%")),"0",""),"1",""),"2",""),"3",""),"4",""),"5",""),"6",""),"7",""),"8",""),"9",""),".",""),",","")=""),2,1))),1)</f>
        <v/>
      </c>
      <c r="AZ79">
        <f>IFERROR(IF(ISNUMBER(INDEX(PASTE_ALL,30,28)),2,IF(TRIM(INDEX(PASTE_ALL,30,28))="",0,IF(AND(LEFT(MID(TRIM(INDEX(PASTE_ALL,30,28)),1+(LEFT(TRIM(INDEX(PASTE_ALL,30,28)),1)="-"),999),LEN(MID(TRIM(INDEX(PASTE_ALL,30,28)),1+(LEFT(TRIM(INDEX(PASTE_ALL,30,28)),1)="-"),999))-(RIGHT(MID(TRIM(INDEX(PASTE_ALL,30,28)),1+(LEFT(TRIM(INDEX(PASTE_ALL,30,28)),1)="-"),999),1)="%"))&lt;&gt;"",SUBSTITUTE(SUBSTITUTE(SUBSTITUTE(SUBSTITUTE(SUBSTITUTE(SUBSTITUTE(SUBSTITUTE(SUBSTITUTE(SUBSTITUTE(SUBSTITUTE(SUBSTITUTE(SUBSTITUTE(LEFT(MID(TRIM(INDEX(PASTE_ALL,30,28)),1+(LEFT(TRIM(INDEX(PASTE_ALL,30,28)),1)="-"),999),LEN(MID(TRIM(INDEX(PASTE_ALL,30,28)),1+(LEFT(TRIM(INDEX(PASTE_ALL,30,28)),1)="-"),999))-(RIGHT(MID(TRIM(INDEX(PASTE_ALL,30,28)),1+(LEFT(TRIM(INDEX(PASTE_ALL,30,28)),1)="-"),999),1)="%")),"0",""),"1",""),"2",""),"3",""),"4",""),"5",""),"6",""),"7",""),"8",""),"9",""),".",""),",","")=""),2,1))),1)</f>
        <v/>
      </c>
      <c r="BA79">
        <f>IFERROR(IF(ISNUMBER(INDEX(PASTE_ALL,30,29)),2,IF(TRIM(INDEX(PASTE_ALL,30,29))="",0,IF(AND(LEFT(MID(TRIM(INDEX(PASTE_ALL,30,29)),1+(LEFT(TRIM(INDEX(PASTE_ALL,30,29)),1)="-"),999),LEN(MID(TRIM(INDEX(PASTE_ALL,30,29)),1+(LEFT(TRIM(INDEX(PASTE_ALL,30,29)),1)="-"),999))-(RIGHT(MID(TRIM(INDEX(PASTE_ALL,30,29)),1+(LEFT(TRIM(INDEX(PASTE_ALL,30,29)),1)="-"),999),1)="%"))&lt;&gt;"",SUBSTITUTE(SUBSTITUTE(SUBSTITUTE(SUBSTITUTE(SUBSTITUTE(SUBSTITUTE(SUBSTITUTE(SUBSTITUTE(SUBSTITUTE(SUBSTITUTE(SUBSTITUTE(SUBSTITUTE(LEFT(MID(TRIM(INDEX(PASTE_ALL,30,29)),1+(LEFT(TRIM(INDEX(PASTE_ALL,30,29)),1)="-"),999),LEN(MID(TRIM(INDEX(PASTE_ALL,30,29)),1+(LEFT(TRIM(INDEX(PASTE_ALL,30,29)),1)="-"),999))-(RIGHT(MID(TRIM(INDEX(PASTE_ALL,30,29)),1+(LEFT(TRIM(INDEX(PASTE_ALL,30,29)),1)="-"),999),1)="%")),"0",""),"1",""),"2",""),"3",""),"4",""),"5",""),"6",""),"7",""),"8",""),"9",""),".",""),",","")=""),2,1))),1)</f>
        <v/>
      </c>
      <c r="BB79">
        <f>IFERROR(IF(ISNUMBER(INDEX(PASTE_ALL,30,30)),2,IF(TRIM(INDEX(PASTE_ALL,30,30))="",0,IF(AND(LEFT(MID(TRIM(INDEX(PASTE_ALL,30,30)),1+(LEFT(TRIM(INDEX(PASTE_ALL,30,30)),1)="-"),999),LEN(MID(TRIM(INDEX(PASTE_ALL,30,30)),1+(LEFT(TRIM(INDEX(PASTE_ALL,30,30)),1)="-"),999))-(RIGHT(MID(TRIM(INDEX(PASTE_ALL,30,30)),1+(LEFT(TRIM(INDEX(PASTE_ALL,30,30)),1)="-"),999),1)="%"))&lt;&gt;"",SUBSTITUTE(SUBSTITUTE(SUBSTITUTE(SUBSTITUTE(SUBSTITUTE(SUBSTITUTE(SUBSTITUTE(SUBSTITUTE(SUBSTITUTE(SUBSTITUTE(SUBSTITUTE(SUBSTITUTE(LEFT(MID(TRIM(INDEX(PASTE_ALL,30,30)),1+(LEFT(TRIM(INDEX(PASTE_ALL,30,30)),1)="-"),999),LEN(MID(TRIM(INDEX(PASTE_ALL,30,30)),1+(LEFT(TRIM(INDEX(PASTE_ALL,30,30)),1)="-"),999))-(RIGHT(MID(TRIM(INDEX(PASTE_ALL,30,30)),1+(LEFT(TRIM(INDEX(PASTE_ALL,30,30)),1)="-"),999),1)="%")),"0",""),"1",""),"2",""),"3",""),"4",""),"5",""),"6",""),"7",""),"8",""),"9",""),".",""),",","")=""),2,1))),1)</f>
        <v/>
      </c>
      <c r="BC79">
        <f>IFERROR(IF(ISNUMBER(INDEX(PASTE_ALL,30,31)),2,IF(TRIM(INDEX(PASTE_ALL,30,31))="",0,IF(AND(LEFT(MID(TRIM(INDEX(PASTE_ALL,30,31)),1+(LEFT(TRIM(INDEX(PASTE_ALL,30,31)),1)="-"),999),LEN(MID(TRIM(INDEX(PASTE_ALL,30,31)),1+(LEFT(TRIM(INDEX(PASTE_ALL,30,31)),1)="-"),999))-(RIGHT(MID(TRIM(INDEX(PASTE_ALL,30,31)),1+(LEFT(TRIM(INDEX(PASTE_ALL,30,31)),1)="-"),999),1)="%"))&lt;&gt;"",SUBSTITUTE(SUBSTITUTE(SUBSTITUTE(SUBSTITUTE(SUBSTITUTE(SUBSTITUTE(SUBSTITUTE(SUBSTITUTE(SUBSTITUTE(SUBSTITUTE(SUBSTITUTE(SUBSTITUTE(LEFT(MID(TRIM(INDEX(PASTE_ALL,30,31)),1+(LEFT(TRIM(INDEX(PASTE_ALL,30,31)),1)="-"),999),LEN(MID(TRIM(INDEX(PASTE_ALL,30,31)),1+(LEFT(TRIM(INDEX(PASTE_ALL,30,31)),1)="-"),999))-(RIGHT(MID(TRIM(INDEX(PASTE_ALL,30,31)),1+(LEFT(TRIM(INDEX(PASTE_ALL,30,31)),1)="-"),999),1)="%")),"0",""),"1",""),"2",""),"3",""),"4",""),"5",""),"6",""),"7",""),"8",""),"9",""),".",""),",","")=""),2,1))),1)</f>
        <v/>
      </c>
      <c r="BD79">
        <f>IFERROR(IF(ISNUMBER(INDEX(PASTE_ALL,30,32)),2,IF(TRIM(INDEX(PASTE_ALL,30,32))="",0,IF(AND(LEFT(MID(TRIM(INDEX(PASTE_ALL,30,32)),1+(LEFT(TRIM(INDEX(PASTE_ALL,30,32)),1)="-"),999),LEN(MID(TRIM(INDEX(PASTE_ALL,30,32)),1+(LEFT(TRIM(INDEX(PASTE_ALL,30,32)),1)="-"),999))-(RIGHT(MID(TRIM(INDEX(PASTE_ALL,30,32)),1+(LEFT(TRIM(INDEX(PASTE_ALL,30,32)),1)="-"),999),1)="%"))&lt;&gt;"",SUBSTITUTE(SUBSTITUTE(SUBSTITUTE(SUBSTITUTE(SUBSTITUTE(SUBSTITUTE(SUBSTITUTE(SUBSTITUTE(SUBSTITUTE(SUBSTITUTE(SUBSTITUTE(SUBSTITUTE(LEFT(MID(TRIM(INDEX(PASTE_ALL,30,32)),1+(LEFT(TRIM(INDEX(PASTE_ALL,30,32)),1)="-"),999),LEN(MID(TRIM(INDEX(PASTE_ALL,30,32)),1+(LEFT(TRIM(INDEX(PASTE_ALL,30,32)),1)="-"),999))-(RIGHT(MID(TRIM(INDEX(PASTE_ALL,30,32)),1+(LEFT(TRIM(INDEX(PASTE_ALL,30,32)),1)="-"),999),1)="%")),"0",""),"1",""),"2",""),"3",""),"4",""),"5",""),"6",""),"7",""),"8",""),"9",""),".",""),",","")=""),2,1))),1)</f>
        <v/>
      </c>
      <c r="BE79">
        <f>IFERROR(IF(ISNUMBER(INDEX(PASTE_ALL,30,33)),2,IF(TRIM(INDEX(PASTE_ALL,30,33))="",0,IF(AND(LEFT(MID(TRIM(INDEX(PASTE_ALL,30,33)),1+(LEFT(TRIM(INDEX(PASTE_ALL,30,33)),1)="-"),999),LEN(MID(TRIM(INDEX(PASTE_ALL,30,33)),1+(LEFT(TRIM(INDEX(PASTE_ALL,30,33)),1)="-"),999))-(RIGHT(MID(TRIM(INDEX(PASTE_ALL,30,33)),1+(LEFT(TRIM(INDEX(PASTE_ALL,30,33)),1)="-"),999),1)="%"))&lt;&gt;"",SUBSTITUTE(SUBSTITUTE(SUBSTITUTE(SUBSTITUTE(SUBSTITUTE(SUBSTITUTE(SUBSTITUTE(SUBSTITUTE(SUBSTITUTE(SUBSTITUTE(SUBSTITUTE(SUBSTITUTE(LEFT(MID(TRIM(INDEX(PASTE_ALL,30,33)),1+(LEFT(TRIM(INDEX(PASTE_ALL,30,33)),1)="-"),999),LEN(MID(TRIM(INDEX(PASTE_ALL,30,33)),1+(LEFT(TRIM(INDEX(PASTE_ALL,30,33)),1)="-"),999))-(RIGHT(MID(TRIM(INDEX(PASTE_ALL,30,33)),1+(LEFT(TRIM(INDEX(PASTE_ALL,30,33)),1)="-"),999),1)="%")),"0",""),"1",""),"2",""),"3",""),"4",""),"5",""),"6",""),"7",""),"8",""),"9",""),".",""),",","")=""),2,1))),1)</f>
        <v/>
      </c>
      <c r="BF79">
        <f>IFERROR(IF(ISNUMBER(INDEX(PASTE_ALL,30,34)),2,IF(TRIM(INDEX(PASTE_ALL,30,34))="",0,IF(AND(LEFT(MID(TRIM(INDEX(PASTE_ALL,30,34)),1+(LEFT(TRIM(INDEX(PASTE_ALL,30,34)),1)="-"),999),LEN(MID(TRIM(INDEX(PASTE_ALL,30,34)),1+(LEFT(TRIM(INDEX(PASTE_ALL,30,34)),1)="-"),999))-(RIGHT(MID(TRIM(INDEX(PASTE_ALL,30,34)),1+(LEFT(TRIM(INDEX(PASTE_ALL,30,34)),1)="-"),999),1)="%"))&lt;&gt;"",SUBSTITUTE(SUBSTITUTE(SUBSTITUTE(SUBSTITUTE(SUBSTITUTE(SUBSTITUTE(SUBSTITUTE(SUBSTITUTE(SUBSTITUTE(SUBSTITUTE(SUBSTITUTE(SUBSTITUTE(LEFT(MID(TRIM(INDEX(PASTE_ALL,30,34)),1+(LEFT(TRIM(INDEX(PASTE_ALL,30,34)),1)="-"),999),LEN(MID(TRIM(INDEX(PASTE_ALL,30,34)),1+(LEFT(TRIM(INDEX(PASTE_ALL,30,34)),1)="-"),999))-(RIGHT(MID(TRIM(INDEX(PASTE_ALL,30,34)),1+(LEFT(TRIM(INDEX(PASTE_ALL,30,34)),1)="-"),999),1)="%")),"0",""),"1",""),"2",""),"3",""),"4",""),"5",""),"6",""),"7",""),"8",""),"9",""),".",""),",","")=""),2,1))),1)</f>
        <v/>
      </c>
      <c r="BG79">
        <f>IFERROR(IF(ISNUMBER(INDEX(PASTE_ALL,30,35)),2,IF(TRIM(INDEX(PASTE_ALL,30,35))="",0,IF(AND(LEFT(MID(TRIM(INDEX(PASTE_ALL,30,35)),1+(LEFT(TRIM(INDEX(PASTE_ALL,30,35)),1)="-"),999),LEN(MID(TRIM(INDEX(PASTE_ALL,30,35)),1+(LEFT(TRIM(INDEX(PASTE_ALL,30,35)),1)="-"),999))-(RIGHT(MID(TRIM(INDEX(PASTE_ALL,30,35)),1+(LEFT(TRIM(INDEX(PASTE_ALL,30,35)),1)="-"),999),1)="%"))&lt;&gt;"",SUBSTITUTE(SUBSTITUTE(SUBSTITUTE(SUBSTITUTE(SUBSTITUTE(SUBSTITUTE(SUBSTITUTE(SUBSTITUTE(SUBSTITUTE(SUBSTITUTE(SUBSTITUTE(SUBSTITUTE(LEFT(MID(TRIM(INDEX(PASTE_ALL,30,35)),1+(LEFT(TRIM(INDEX(PASTE_ALL,30,35)),1)="-"),999),LEN(MID(TRIM(INDEX(PASTE_ALL,30,35)),1+(LEFT(TRIM(INDEX(PASTE_ALL,30,35)),1)="-"),999))-(RIGHT(MID(TRIM(INDEX(PASTE_ALL,30,35)),1+(LEFT(TRIM(INDEX(PASTE_ALL,30,35)),1)="-"),999),1)="%")),"0",""),"1",""),"2",""),"3",""),"4",""),"5",""),"6",""),"7",""),"8",""),"9",""),".",""),",","")=""),2,1))),1)</f>
        <v/>
      </c>
      <c r="BH79">
        <f>IFERROR(IF(ISNUMBER(INDEX(PASTE_ALL,30,36)),2,IF(TRIM(INDEX(PASTE_ALL,30,36))="",0,IF(AND(LEFT(MID(TRIM(INDEX(PASTE_ALL,30,36)),1+(LEFT(TRIM(INDEX(PASTE_ALL,30,36)),1)="-"),999),LEN(MID(TRIM(INDEX(PASTE_ALL,30,36)),1+(LEFT(TRIM(INDEX(PASTE_ALL,30,36)),1)="-"),999))-(RIGHT(MID(TRIM(INDEX(PASTE_ALL,30,36)),1+(LEFT(TRIM(INDEX(PASTE_ALL,30,36)),1)="-"),999),1)="%"))&lt;&gt;"",SUBSTITUTE(SUBSTITUTE(SUBSTITUTE(SUBSTITUTE(SUBSTITUTE(SUBSTITUTE(SUBSTITUTE(SUBSTITUTE(SUBSTITUTE(SUBSTITUTE(SUBSTITUTE(SUBSTITUTE(LEFT(MID(TRIM(INDEX(PASTE_ALL,30,36)),1+(LEFT(TRIM(INDEX(PASTE_ALL,30,36)),1)="-"),999),LEN(MID(TRIM(INDEX(PASTE_ALL,30,36)),1+(LEFT(TRIM(INDEX(PASTE_ALL,30,36)),1)="-"),999))-(RIGHT(MID(TRIM(INDEX(PASTE_ALL,30,36)),1+(LEFT(TRIM(INDEX(PASTE_ALL,30,36)),1)="-"),999),1)="%")),"0",""),"1",""),"2",""),"3",""),"4",""),"5",""),"6",""),"7",""),"8",""),"9",""),".",""),",","")=""),2,1))),1)</f>
        <v/>
      </c>
      <c r="BI79">
        <f>IFERROR(IF(ISNUMBER(INDEX(PASTE_ALL,30,37)),2,IF(TRIM(INDEX(PASTE_ALL,30,37))="",0,IF(AND(LEFT(MID(TRIM(INDEX(PASTE_ALL,30,37)),1+(LEFT(TRIM(INDEX(PASTE_ALL,30,37)),1)="-"),999),LEN(MID(TRIM(INDEX(PASTE_ALL,30,37)),1+(LEFT(TRIM(INDEX(PASTE_ALL,30,37)),1)="-"),999))-(RIGHT(MID(TRIM(INDEX(PASTE_ALL,30,37)),1+(LEFT(TRIM(INDEX(PASTE_ALL,30,37)),1)="-"),999),1)="%"))&lt;&gt;"",SUBSTITUTE(SUBSTITUTE(SUBSTITUTE(SUBSTITUTE(SUBSTITUTE(SUBSTITUTE(SUBSTITUTE(SUBSTITUTE(SUBSTITUTE(SUBSTITUTE(SUBSTITUTE(SUBSTITUTE(LEFT(MID(TRIM(INDEX(PASTE_ALL,30,37)),1+(LEFT(TRIM(INDEX(PASTE_ALL,30,37)),1)="-"),999),LEN(MID(TRIM(INDEX(PASTE_ALL,30,37)),1+(LEFT(TRIM(INDEX(PASTE_ALL,30,37)),1)="-"),999))-(RIGHT(MID(TRIM(INDEX(PASTE_ALL,30,37)),1+(LEFT(TRIM(INDEX(PASTE_ALL,30,37)),1)="-"),999),1)="%")),"0",""),"1",""),"2",""),"3",""),"4",""),"5",""),"6",""),"7",""),"8",""),"9",""),".",""),",","")=""),2,1))),1)</f>
        <v/>
      </c>
      <c r="BJ79">
        <f>IFERROR(IF(ISNUMBER(INDEX(PASTE_ALL,30,38)),2,IF(TRIM(INDEX(PASTE_ALL,30,38))="",0,IF(AND(LEFT(MID(TRIM(INDEX(PASTE_ALL,30,38)),1+(LEFT(TRIM(INDEX(PASTE_ALL,30,38)),1)="-"),999),LEN(MID(TRIM(INDEX(PASTE_ALL,30,38)),1+(LEFT(TRIM(INDEX(PASTE_ALL,30,38)),1)="-"),999))-(RIGHT(MID(TRIM(INDEX(PASTE_ALL,30,38)),1+(LEFT(TRIM(INDEX(PASTE_ALL,30,38)),1)="-"),999),1)="%"))&lt;&gt;"",SUBSTITUTE(SUBSTITUTE(SUBSTITUTE(SUBSTITUTE(SUBSTITUTE(SUBSTITUTE(SUBSTITUTE(SUBSTITUTE(SUBSTITUTE(SUBSTITUTE(SUBSTITUTE(SUBSTITUTE(LEFT(MID(TRIM(INDEX(PASTE_ALL,30,38)),1+(LEFT(TRIM(INDEX(PASTE_ALL,30,38)),1)="-"),999),LEN(MID(TRIM(INDEX(PASTE_ALL,30,38)),1+(LEFT(TRIM(INDEX(PASTE_ALL,30,38)),1)="-"),999))-(RIGHT(MID(TRIM(INDEX(PASTE_ALL,30,38)),1+(LEFT(TRIM(INDEX(PASTE_ALL,30,38)),1)="-"),999),1)="%")),"0",""),"1",""),"2",""),"3",""),"4",""),"5",""),"6",""),"7",""),"8",""),"9",""),".",""),",","")=""),2,1))),1)</f>
        <v/>
      </c>
      <c r="BK79">
        <f>IFERROR(IF(ISNUMBER(INDEX(PASTE_ALL,30,39)),2,IF(TRIM(INDEX(PASTE_ALL,30,39))="",0,IF(AND(LEFT(MID(TRIM(INDEX(PASTE_ALL,30,39)),1+(LEFT(TRIM(INDEX(PASTE_ALL,30,39)),1)="-"),999),LEN(MID(TRIM(INDEX(PASTE_ALL,30,39)),1+(LEFT(TRIM(INDEX(PASTE_ALL,30,39)),1)="-"),999))-(RIGHT(MID(TRIM(INDEX(PASTE_ALL,30,39)),1+(LEFT(TRIM(INDEX(PASTE_ALL,30,39)),1)="-"),999),1)="%"))&lt;&gt;"",SUBSTITUTE(SUBSTITUTE(SUBSTITUTE(SUBSTITUTE(SUBSTITUTE(SUBSTITUTE(SUBSTITUTE(SUBSTITUTE(SUBSTITUTE(SUBSTITUTE(SUBSTITUTE(SUBSTITUTE(LEFT(MID(TRIM(INDEX(PASTE_ALL,30,39)),1+(LEFT(TRIM(INDEX(PASTE_ALL,30,39)),1)="-"),999),LEN(MID(TRIM(INDEX(PASTE_ALL,30,39)),1+(LEFT(TRIM(INDEX(PASTE_ALL,30,39)),1)="-"),999))-(RIGHT(MID(TRIM(INDEX(PASTE_ALL,30,39)),1+(LEFT(TRIM(INDEX(PASTE_ALL,30,39)),1)="-"),999),1)="%")),"0",""),"1",""),"2",""),"3",""),"4",""),"5",""),"6",""),"7",""),"8",""),"9",""),".",""),",","")=""),2,1))),1)</f>
        <v/>
      </c>
      <c r="BL79">
        <f>IFERROR(IF(ISNUMBER(INDEX(PASTE_ALL,30,40)),2,IF(TRIM(INDEX(PASTE_ALL,30,40))="",0,IF(AND(LEFT(MID(TRIM(INDEX(PASTE_ALL,30,40)),1+(LEFT(TRIM(INDEX(PASTE_ALL,30,40)),1)="-"),999),LEN(MID(TRIM(INDEX(PASTE_ALL,30,40)),1+(LEFT(TRIM(INDEX(PASTE_ALL,30,40)),1)="-"),999))-(RIGHT(MID(TRIM(INDEX(PASTE_ALL,30,40)),1+(LEFT(TRIM(INDEX(PASTE_ALL,30,40)),1)="-"),999),1)="%"))&lt;&gt;"",SUBSTITUTE(SUBSTITUTE(SUBSTITUTE(SUBSTITUTE(SUBSTITUTE(SUBSTITUTE(SUBSTITUTE(SUBSTITUTE(SUBSTITUTE(SUBSTITUTE(SUBSTITUTE(SUBSTITUTE(LEFT(MID(TRIM(INDEX(PASTE_ALL,30,40)),1+(LEFT(TRIM(INDEX(PASTE_ALL,30,40)),1)="-"),999),LEN(MID(TRIM(INDEX(PASTE_ALL,30,40)),1+(LEFT(TRIM(INDEX(PASTE_ALL,30,40)),1)="-"),999))-(RIGHT(MID(TRIM(INDEX(PASTE_ALL,30,40)),1+(LEFT(TRIM(INDEX(PASTE_ALL,30,40)),1)="-"),999),1)="%")),"0",""),"1",""),"2",""),"3",""),"4",""),"5",""),"6",""),"7",""),"8",""),"9",""),".",""),",","")=""),2,1))),1)</f>
        <v/>
      </c>
      <c r="BM79">
        <f>IFERROR(IF(ISNUMBER(INDEX(PASTE_ALL,30,41)),2,IF(TRIM(INDEX(PASTE_ALL,30,41))="",0,IF(AND(LEFT(MID(TRIM(INDEX(PASTE_ALL,30,41)),1+(LEFT(TRIM(INDEX(PASTE_ALL,30,41)),1)="-"),999),LEN(MID(TRIM(INDEX(PASTE_ALL,30,41)),1+(LEFT(TRIM(INDEX(PASTE_ALL,30,41)),1)="-"),999))-(RIGHT(MID(TRIM(INDEX(PASTE_ALL,30,41)),1+(LEFT(TRIM(INDEX(PASTE_ALL,30,41)),1)="-"),999),1)="%"))&lt;&gt;"",SUBSTITUTE(SUBSTITUTE(SUBSTITUTE(SUBSTITUTE(SUBSTITUTE(SUBSTITUTE(SUBSTITUTE(SUBSTITUTE(SUBSTITUTE(SUBSTITUTE(SUBSTITUTE(SUBSTITUTE(LEFT(MID(TRIM(INDEX(PASTE_ALL,30,41)),1+(LEFT(TRIM(INDEX(PASTE_ALL,30,41)),1)="-"),999),LEN(MID(TRIM(INDEX(PASTE_ALL,30,41)),1+(LEFT(TRIM(INDEX(PASTE_ALL,30,41)),1)="-"),999))-(RIGHT(MID(TRIM(INDEX(PASTE_ALL,30,41)),1+(LEFT(TRIM(INDEX(PASTE_ALL,30,41)),1)="-"),999),1)="%")),"0",""),"1",""),"2",""),"3",""),"4",""),"5",""),"6",""),"7",""),"8",""),"9",""),".",""),",","")=""),2,1))),1)</f>
        <v/>
      </c>
      <c r="BN79">
        <f>IFERROR(IF(ISNUMBER(INDEX(PASTE_ALL,30,42)),2,IF(TRIM(INDEX(PASTE_ALL,30,42))="",0,IF(AND(LEFT(MID(TRIM(INDEX(PASTE_ALL,30,42)),1+(LEFT(TRIM(INDEX(PASTE_ALL,30,42)),1)="-"),999),LEN(MID(TRIM(INDEX(PASTE_ALL,30,42)),1+(LEFT(TRIM(INDEX(PASTE_ALL,30,42)),1)="-"),999))-(RIGHT(MID(TRIM(INDEX(PASTE_ALL,30,42)),1+(LEFT(TRIM(INDEX(PASTE_ALL,30,42)),1)="-"),999),1)="%"))&lt;&gt;"",SUBSTITUTE(SUBSTITUTE(SUBSTITUTE(SUBSTITUTE(SUBSTITUTE(SUBSTITUTE(SUBSTITUTE(SUBSTITUTE(SUBSTITUTE(SUBSTITUTE(SUBSTITUTE(SUBSTITUTE(LEFT(MID(TRIM(INDEX(PASTE_ALL,30,42)),1+(LEFT(TRIM(INDEX(PASTE_ALL,30,42)),1)="-"),999),LEN(MID(TRIM(INDEX(PASTE_ALL,30,42)),1+(LEFT(TRIM(INDEX(PASTE_ALL,30,42)),1)="-"),999))-(RIGHT(MID(TRIM(INDEX(PASTE_ALL,30,42)),1+(LEFT(TRIM(INDEX(PASTE_ALL,30,42)),1)="-"),999),1)="%")),"0",""),"1",""),"2",""),"3",""),"4",""),"5",""),"6",""),"7",""),"8",""),"9",""),".",""),",","")=""),2,1))),1)</f>
        <v/>
      </c>
      <c r="BO79">
        <f>IFERROR(IF(ISNUMBER(INDEX(PASTE_ALL,30,43)),2,IF(TRIM(INDEX(PASTE_ALL,30,43))="",0,IF(AND(LEFT(MID(TRIM(INDEX(PASTE_ALL,30,43)),1+(LEFT(TRIM(INDEX(PASTE_ALL,30,43)),1)="-"),999),LEN(MID(TRIM(INDEX(PASTE_ALL,30,43)),1+(LEFT(TRIM(INDEX(PASTE_ALL,30,43)),1)="-"),999))-(RIGHT(MID(TRIM(INDEX(PASTE_ALL,30,43)),1+(LEFT(TRIM(INDEX(PASTE_ALL,30,43)),1)="-"),999),1)="%"))&lt;&gt;"",SUBSTITUTE(SUBSTITUTE(SUBSTITUTE(SUBSTITUTE(SUBSTITUTE(SUBSTITUTE(SUBSTITUTE(SUBSTITUTE(SUBSTITUTE(SUBSTITUTE(SUBSTITUTE(SUBSTITUTE(LEFT(MID(TRIM(INDEX(PASTE_ALL,30,43)),1+(LEFT(TRIM(INDEX(PASTE_ALL,30,43)),1)="-"),999),LEN(MID(TRIM(INDEX(PASTE_ALL,30,43)),1+(LEFT(TRIM(INDEX(PASTE_ALL,30,43)),1)="-"),999))-(RIGHT(MID(TRIM(INDEX(PASTE_ALL,30,43)),1+(LEFT(TRIM(INDEX(PASTE_ALL,30,43)),1)="-"),999),1)="%")),"0",""),"1",""),"2",""),"3",""),"4",""),"5",""),"6",""),"7",""),"8",""),"9",""),".",""),",","")=""),2,1))),1)</f>
        <v/>
      </c>
      <c r="BP79">
        <f>IFERROR(IF(ISNUMBER(INDEX(PASTE_ALL,30,44)),2,IF(TRIM(INDEX(PASTE_ALL,30,44))="",0,IF(AND(LEFT(MID(TRIM(INDEX(PASTE_ALL,30,44)),1+(LEFT(TRIM(INDEX(PASTE_ALL,30,44)),1)="-"),999),LEN(MID(TRIM(INDEX(PASTE_ALL,30,44)),1+(LEFT(TRIM(INDEX(PASTE_ALL,30,44)),1)="-"),999))-(RIGHT(MID(TRIM(INDEX(PASTE_ALL,30,44)),1+(LEFT(TRIM(INDEX(PASTE_ALL,30,44)),1)="-"),999),1)="%"))&lt;&gt;"",SUBSTITUTE(SUBSTITUTE(SUBSTITUTE(SUBSTITUTE(SUBSTITUTE(SUBSTITUTE(SUBSTITUTE(SUBSTITUTE(SUBSTITUTE(SUBSTITUTE(SUBSTITUTE(SUBSTITUTE(LEFT(MID(TRIM(INDEX(PASTE_ALL,30,44)),1+(LEFT(TRIM(INDEX(PASTE_ALL,30,44)),1)="-"),999),LEN(MID(TRIM(INDEX(PASTE_ALL,30,44)),1+(LEFT(TRIM(INDEX(PASTE_ALL,30,44)),1)="-"),999))-(RIGHT(MID(TRIM(INDEX(PASTE_ALL,30,44)),1+(LEFT(TRIM(INDEX(PASTE_ALL,30,44)),1)="-"),999),1)="%")),"0",""),"1",""),"2",""),"3",""),"4",""),"5",""),"6",""),"7",""),"8",""),"9",""),".",""),",","")=""),2,1))),1)</f>
        <v/>
      </c>
      <c r="BQ79">
        <f>IFERROR(IF(ISNUMBER(INDEX(PASTE_ALL,30,45)),2,IF(TRIM(INDEX(PASTE_ALL,30,45))="",0,IF(AND(LEFT(MID(TRIM(INDEX(PASTE_ALL,30,45)),1+(LEFT(TRIM(INDEX(PASTE_ALL,30,45)),1)="-"),999),LEN(MID(TRIM(INDEX(PASTE_ALL,30,45)),1+(LEFT(TRIM(INDEX(PASTE_ALL,30,45)),1)="-"),999))-(RIGHT(MID(TRIM(INDEX(PASTE_ALL,30,45)),1+(LEFT(TRIM(INDEX(PASTE_ALL,30,45)),1)="-"),999),1)="%"))&lt;&gt;"",SUBSTITUTE(SUBSTITUTE(SUBSTITUTE(SUBSTITUTE(SUBSTITUTE(SUBSTITUTE(SUBSTITUTE(SUBSTITUTE(SUBSTITUTE(SUBSTITUTE(SUBSTITUTE(SUBSTITUTE(LEFT(MID(TRIM(INDEX(PASTE_ALL,30,45)),1+(LEFT(TRIM(INDEX(PASTE_ALL,30,45)),1)="-"),999),LEN(MID(TRIM(INDEX(PASTE_ALL,30,45)),1+(LEFT(TRIM(INDEX(PASTE_ALL,30,45)),1)="-"),999))-(RIGHT(MID(TRIM(INDEX(PASTE_ALL,30,45)),1+(LEFT(TRIM(INDEX(PASTE_ALL,30,45)),1)="-"),999),1)="%")),"0",""),"1",""),"2",""),"3",""),"4",""),"5",""),"6",""),"7",""),"8",""),"9",""),".",""),",","")=""),2,1))),1)</f>
        <v/>
      </c>
      <c r="BR79">
        <f>IFERROR(IF(ISNUMBER(INDEX(PASTE_ALL,30,46)),2,IF(TRIM(INDEX(PASTE_ALL,30,46))="",0,IF(AND(LEFT(MID(TRIM(INDEX(PASTE_ALL,30,46)),1+(LEFT(TRIM(INDEX(PASTE_ALL,30,46)),1)="-"),999),LEN(MID(TRIM(INDEX(PASTE_ALL,30,46)),1+(LEFT(TRIM(INDEX(PASTE_ALL,30,46)),1)="-"),999))-(RIGHT(MID(TRIM(INDEX(PASTE_ALL,30,46)),1+(LEFT(TRIM(INDEX(PASTE_ALL,30,46)),1)="-"),999),1)="%"))&lt;&gt;"",SUBSTITUTE(SUBSTITUTE(SUBSTITUTE(SUBSTITUTE(SUBSTITUTE(SUBSTITUTE(SUBSTITUTE(SUBSTITUTE(SUBSTITUTE(SUBSTITUTE(SUBSTITUTE(SUBSTITUTE(LEFT(MID(TRIM(INDEX(PASTE_ALL,30,46)),1+(LEFT(TRIM(INDEX(PASTE_ALL,30,46)),1)="-"),999),LEN(MID(TRIM(INDEX(PASTE_ALL,30,46)),1+(LEFT(TRIM(INDEX(PASTE_ALL,30,46)),1)="-"),999))-(RIGHT(MID(TRIM(INDEX(PASTE_ALL,30,46)),1+(LEFT(TRIM(INDEX(PASTE_ALL,30,46)),1)="-"),999),1)="%")),"0",""),"1",""),"2",""),"3",""),"4",""),"5",""),"6",""),"7",""),"8",""),"9",""),".",""),",","")=""),2,1))),1)</f>
        <v/>
      </c>
      <c r="BS79">
        <f>IFERROR(IF(ISNUMBER(INDEX(PASTE_ALL,30,47)),2,IF(TRIM(INDEX(PASTE_ALL,30,47))="",0,IF(AND(LEFT(MID(TRIM(INDEX(PASTE_ALL,30,47)),1+(LEFT(TRIM(INDEX(PASTE_ALL,30,47)),1)="-"),999),LEN(MID(TRIM(INDEX(PASTE_ALL,30,47)),1+(LEFT(TRIM(INDEX(PASTE_ALL,30,47)),1)="-"),999))-(RIGHT(MID(TRIM(INDEX(PASTE_ALL,30,47)),1+(LEFT(TRIM(INDEX(PASTE_ALL,30,47)),1)="-"),999),1)="%"))&lt;&gt;"",SUBSTITUTE(SUBSTITUTE(SUBSTITUTE(SUBSTITUTE(SUBSTITUTE(SUBSTITUTE(SUBSTITUTE(SUBSTITUTE(SUBSTITUTE(SUBSTITUTE(SUBSTITUTE(SUBSTITUTE(LEFT(MID(TRIM(INDEX(PASTE_ALL,30,47)),1+(LEFT(TRIM(INDEX(PASTE_ALL,30,47)),1)="-"),999),LEN(MID(TRIM(INDEX(PASTE_ALL,30,47)),1+(LEFT(TRIM(INDEX(PASTE_ALL,30,47)),1)="-"),999))-(RIGHT(MID(TRIM(INDEX(PASTE_ALL,30,47)),1+(LEFT(TRIM(INDEX(PASTE_ALL,30,47)),1)="-"),999),1)="%")),"0",""),"1",""),"2",""),"3",""),"4",""),"5",""),"6",""),"7",""),"8",""),"9",""),".",""),",","")=""),2,1))),1)</f>
        <v/>
      </c>
      <c r="BT79">
        <f>IFERROR(IF(ISNUMBER(INDEX(PASTE_ALL,30,48)),2,IF(TRIM(INDEX(PASTE_ALL,30,48))="",0,IF(AND(LEFT(MID(TRIM(INDEX(PASTE_ALL,30,48)),1+(LEFT(TRIM(INDEX(PASTE_ALL,30,48)),1)="-"),999),LEN(MID(TRIM(INDEX(PASTE_ALL,30,48)),1+(LEFT(TRIM(INDEX(PASTE_ALL,30,48)),1)="-"),999))-(RIGHT(MID(TRIM(INDEX(PASTE_ALL,30,48)),1+(LEFT(TRIM(INDEX(PASTE_ALL,30,48)),1)="-"),999),1)="%"))&lt;&gt;"",SUBSTITUTE(SUBSTITUTE(SUBSTITUTE(SUBSTITUTE(SUBSTITUTE(SUBSTITUTE(SUBSTITUTE(SUBSTITUTE(SUBSTITUTE(SUBSTITUTE(SUBSTITUTE(SUBSTITUTE(LEFT(MID(TRIM(INDEX(PASTE_ALL,30,48)),1+(LEFT(TRIM(INDEX(PASTE_ALL,30,48)),1)="-"),999),LEN(MID(TRIM(INDEX(PASTE_ALL,30,48)),1+(LEFT(TRIM(INDEX(PASTE_ALL,30,48)),1)="-"),999))-(RIGHT(MID(TRIM(INDEX(PASTE_ALL,30,48)),1+(LEFT(TRIM(INDEX(PASTE_ALL,30,48)),1)="-"),999),1)="%")),"0",""),"1",""),"2",""),"3",""),"4",""),"5",""),"6",""),"7",""),"8",""),"9",""),".",""),",","")=""),2,1))),1)</f>
        <v/>
      </c>
      <c r="BU79">
        <f>IFERROR(IF(ISNUMBER(INDEX(PASTE_ALL,30,49)),2,IF(TRIM(INDEX(PASTE_ALL,30,49))="",0,IF(AND(LEFT(MID(TRIM(INDEX(PASTE_ALL,30,49)),1+(LEFT(TRIM(INDEX(PASTE_ALL,30,49)),1)="-"),999),LEN(MID(TRIM(INDEX(PASTE_ALL,30,49)),1+(LEFT(TRIM(INDEX(PASTE_ALL,30,49)),1)="-"),999))-(RIGHT(MID(TRIM(INDEX(PASTE_ALL,30,49)),1+(LEFT(TRIM(INDEX(PASTE_ALL,30,49)),1)="-"),999),1)="%"))&lt;&gt;"",SUBSTITUTE(SUBSTITUTE(SUBSTITUTE(SUBSTITUTE(SUBSTITUTE(SUBSTITUTE(SUBSTITUTE(SUBSTITUTE(SUBSTITUTE(SUBSTITUTE(SUBSTITUTE(SUBSTITUTE(LEFT(MID(TRIM(INDEX(PASTE_ALL,30,49)),1+(LEFT(TRIM(INDEX(PASTE_ALL,30,49)),1)="-"),999),LEN(MID(TRIM(INDEX(PASTE_ALL,30,49)),1+(LEFT(TRIM(INDEX(PASTE_ALL,30,49)),1)="-"),999))-(RIGHT(MID(TRIM(INDEX(PASTE_ALL,30,49)),1+(LEFT(TRIM(INDEX(PASTE_ALL,30,49)),1)="-"),999),1)="%")),"0",""),"1",""),"2",""),"3",""),"4",""),"5",""),"6",""),"7",""),"8",""),"9",""),".",""),",","")=""),2,1))),1)</f>
        <v/>
      </c>
      <c r="BV79">
        <f>IFERROR(IF(ISNUMBER(INDEX(PASTE_ALL,30,50)),2,IF(TRIM(INDEX(PASTE_ALL,30,50))="",0,IF(AND(LEFT(MID(TRIM(INDEX(PASTE_ALL,30,50)),1+(LEFT(TRIM(INDEX(PASTE_ALL,30,50)),1)="-"),999),LEN(MID(TRIM(INDEX(PASTE_ALL,30,50)),1+(LEFT(TRIM(INDEX(PASTE_ALL,30,50)),1)="-"),999))-(RIGHT(MID(TRIM(INDEX(PASTE_ALL,30,50)),1+(LEFT(TRIM(INDEX(PASTE_ALL,30,50)),1)="-"),999),1)="%"))&lt;&gt;"",SUBSTITUTE(SUBSTITUTE(SUBSTITUTE(SUBSTITUTE(SUBSTITUTE(SUBSTITUTE(SUBSTITUTE(SUBSTITUTE(SUBSTITUTE(SUBSTITUTE(SUBSTITUTE(SUBSTITUTE(LEFT(MID(TRIM(INDEX(PASTE_ALL,30,50)),1+(LEFT(TRIM(INDEX(PASTE_ALL,30,50)),1)="-"),999),LEN(MID(TRIM(INDEX(PASTE_ALL,30,50)),1+(LEFT(TRIM(INDEX(PASTE_ALL,30,50)),1)="-"),999))-(RIGHT(MID(TRIM(INDEX(PASTE_ALL,30,50)),1+(LEFT(TRIM(INDEX(PASTE_ALL,30,50)),1)="-"),999),1)="%")),"0",""),"1",""),"2",""),"3",""),"4",""),"5",""),"6",""),"7",""),"8",""),"9",""),".",""),",","")=""),2,1))),1)</f>
        <v/>
      </c>
      <c r="BW79">
        <f>IFERROR(IF(ISNUMBER(INDEX(PASTE_ALL,30,51)),2,IF(TRIM(INDEX(PASTE_ALL,30,51))="",0,IF(AND(LEFT(MID(TRIM(INDEX(PASTE_ALL,30,51)),1+(LEFT(TRIM(INDEX(PASTE_ALL,30,51)),1)="-"),999),LEN(MID(TRIM(INDEX(PASTE_ALL,30,51)),1+(LEFT(TRIM(INDEX(PASTE_ALL,30,51)),1)="-"),999))-(RIGHT(MID(TRIM(INDEX(PASTE_ALL,30,51)),1+(LEFT(TRIM(INDEX(PASTE_ALL,30,51)),1)="-"),999),1)="%"))&lt;&gt;"",SUBSTITUTE(SUBSTITUTE(SUBSTITUTE(SUBSTITUTE(SUBSTITUTE(SUBSTITUTE(SUBSTITUTE(SUBSTITUTE(SUBSTITUTE(SUBSTITUTE(SUBSTITUTE(SUBSTITUTE(LEFT(MID(TRIM(INDEX(PASTE_ALL,30,51)),1+(LEFT(TRIM(INDEX(PASTE_ALL,30,51)),1)="-"),999),LEN(MID(TRIM(INDEX(PASTE_ALL,30,51)),1+(LEFT(TRIM(INDEX(PASTE_ALL,30,51)),1)="-"),999))-(RIGHT(MID(TRIM(INDEX(PASTE_ALL,30,51)),1+(LEFT(TRIM(INDEX(PASTE_ALL,30,51)),1)="-"),999),1)="%")),"0",""),"1",""),"2",""),"3",""),"4",""),"5",""),"6",""),"7",""),"8",""),"9",""),".",""),",","")=""),2,1))),1)</f>
        <v/>
      </c>
      <c r="BX79">
        <f>IFERROR(IF(ISNUMBER(INDEX(PASTE_ALL,30,52)),2,IF(TRIM(INDEX(PASTE_ALL,30,52))="",0,IF(AND(LEFT(MID(TRIM(INDEX(PASTE_ALL,30,52)),1+(LEFT(TRIM(INDEX(PASTE_ALL,30,52)),1)="-"),999),LEN(MID(TRIM(INDEX(PASTE_ALL,30,52)),1+(LEFT(TRIM(INDEX(PASTE_ALL,30,52)),1)="-"),999))-(RIGHT(MID(TRIM(INDEX(PASTE_ALL,30,52)),1+(LEFT(TRIM(INDEX(PASTE_ALL,30,52)),1)="-"),999),1)="%"))&lt;&gt;"",SUBSTITUTE(SUBSTITUTE(SUBSTITUTE(SUBSTITUTE(SUBSTITUTE(SUBSTITUTE(SUBSTITUTE(SUBSTITUTE(SUBSTITUTE(SUBSTITUTE(SUBSTITUTE(SUBSTITUTE(LEFT(MID(TRIM(INDEX(PASTE_ALL,30,52)),1+(LEFT(TRIM(INDEX(PASTE_ALL,30,52)),1)="-"),999),LEN(MID(TRIM(INDEX(PASTE_ALL,30,52)),1+(LEFT(TRIM(INDEX(PASTE_ALL,30,52)),1)="-"),999))-(RIGHT(MID(TRIM(INDEX(PASTE_ALL,30,52)),1+(LEFT(TRIM(INDEX(PASTE_ALL,30,52)),1)="-"),999),1)="%")),"0",""),"1",""),"2",""),"3",""),"4",""),"5",""),"6",""),"7",""),"8",""),"9",""),".",""),",","")=""),2,1))),1)</f>
        <v/>
      </c>
      <c r="BY79">
        <f>IFERROR(IF(ISNUMBER(INDEX(PASTE_ALL,30,53)),2,IF(TRIM(INDEX(PASTE_ALL,30,53))="",0,IF(AND(LEFT(MID(TRIM(INDEX(PASTE_ALL,30,53)),1+(LEFT(TRIM(INDEX(PASTE_ALL,30,53)),1)="-"),999),LEN(MID(TRIM(INDEX(PASTE_ALL,30,53)),1+(LEFT(TRIM(INDEX(PASTE_ALL,30,53)),1)="-"),999))-(RIGHT(MID(TRIM(INDEX(PASTE_ALL,30,53)),1+(LEFT(TRIM(INDEX(PASTE_ALL,30,53)),1)="-"),999),1)="%"))&lt;&gt;"",SUBSTITUTE(SUBSTITUTE(SUBSTITUTE(SUBSTITUTE(SUBSTITUTE(SUBSTITUTE(SUBSTITUTE(SUBSTITUTE(SUBSTITUTE(SUBSTITUTE(SUBSTITUTE(SUBSTITUTE(LEFT(MID(TRIM(INDEX(PASTE_ALL,30,53)),1+(LEFT(TRIM(INDEX(PASTE_ALL,30,53)),1)="-"),999),LEN(MID(TRIM(INDEX(PASTE_ALL,30,53)),1+(LEFT(TRIM(INDEX(PASTE_ALL,30,53)),1)="-"),999))-(RIGHT(MID(TRIM(INDEX(PASTE_ALL,30,53)),1+(LEFT(TRIM(INDEX(PASTE_ALL,30,53)),1)="-"),999),1)="%")),"0",""),"1",""),"2",""),"3",""),"4",""),"5",""),"6",""),"7",""),"8",""),"9",""),".",""),",","")=""),2,1))),1)</f>
        <v/>
      </c>
      <c r="BZ79">
        <f>IFERROR(IF(ISNUMBER(INDEX(PASTE_ALL,30,54)),2,IF(TRIM(INDEX(PASTE_ALL,30,54))="",0,IF(AND(LEFT(MID(TRIM(INDEX(PASTE_ALL,30,54)),1+(LEFT(TRIM(INDEX(PASTE_ALL,30,54)),1)="-"),999),LEN(MID(TRIM(INDEX(PASTE_ALL,30,54)),1+(LEFT(TRIM(INDEX(PASTE_ALL,30,54)),1)="-"),999))-(RIGHT(MID(TRIM(INDEX(PASTE_ALL,30,54)),1+(LEFT(TRIM(INDEX(PASTE_ALL,30,54)),1)="-"),999),1)="%"))&lt;&gt;"",SUBSTITUTE(SUBSTITUTE(SUBSTITUTE(SUBSTITUTE(SUBSTITUTE(SUBSTITUTE(SUBSTITUTE(SUBSTITUTE(SUBSTITUTE(SUBSTITUTE(SUBSTITUTE(SUBSTITUTE(LEFT(MID(TRIM(INDEX(PASTE_ALL,30,54)),1+(LEFT(TRIM(INDEX(PASTE_ALL,30,54)),1)="-"),999),LEN(MID(TRIM(INDEX(PASTE_ALL,30,54)),1+(LEFT(TRIM(INDEX(PASTE_ALL,30,54)),1)="-"),999))-(RIGHT(MID(TRIM(INDEX(PASTE_ALL,30,54)),1+(LEFT(TRIM(INDEX(PASTE_ALL,30,54)),1)="-"),999),1)="%")),"0",""),"1",""),"2",""),"3",""),"4",""),"5",""),"6",""),"7",""),"8",""),"9",""),".",""),",","")=""),2,1))),1)</f>
        <v/>
      </c>
      <c r="CA79">
        <f>IFERROR(IF(ISNUMBER(INDEX(PASTE_ALL,30,55)),2,IF(TRIM(INDEX(PASTE_ALL,30,55))="",0,IF(AND(LEFT(MID(TRIM(INDEX(PASTE_ALL,30,55)),1+(LEFT(TRIM(INDEX(PASTE_ALL,30,55)),1)="-"),999),LEN(MID(TRIM(INDEX(PASTE_ALL,30,55)),1+(LEFT(TRIM(INDEX(PASTE_ALL,30,55)),1)="-"),999))-(RIGHT(MID(TRIM(INDEX(PASTE_ALL,30,55)),1+(LEFT(TRIM(INDEX(PASTE_ALL,30,55)),1)="-"),999),1)="%"))&lt;&gt;"",SUBSTITUTE(SUBSTITUTE(SUBSTITUTE(SUBSTITUTE(SUBSTITUTE(SUBSTITUTE(SUBSTITUTE(SUBSTITUTE(SUBSTITUTE(SUBSTITUTE(SUBSTITUTE(SUBSTITUTE(LEFT(MID(TRIM(INDEX(PASTE_ALL,30,55)),1+(LEFT(TRIM(INDEX(PASTE_ALL,30,55)),1)="-"),999),LEN(MID(TRIM(INDEX(PASTE_ALL,30,55)),1+(LEFT(TRIM(INDEX(PASTE_ALL,30,55)),1)="-"),999))-(RIGHT(MID(TRIM(INDEX(PASTE_ALL,30,55)),1+(LEFT(TRIM(INDEX(PASTE_ALL,30,55)),1)="-"),999),1)="%")),"0",""),"1",""),"2",""),"3",""),"4",""),"5",""),"6",""),"7",""),"8",""),"9",""),".",""),",","")=""),2,1))),1)</f>
        <v/>
      </c>
      <c r="CB79">
        <f>IFERROR(IF(ISNUMBER(INDEX(PASTE_ALL,30,56)),2,IF(TRIM(INDEX(PASTE_ALL,30,56))="",0,IF(AND(LEFT(MID(TRIM(INDEX(PASTE_ALL,30,56)),1+(LEFT(TRIM(INDEX(PASTE_ALL,30,56)),1)="-"),999),LEN(MID(TRIM(INDEX(PASTE_ALL,30,56)),1+(LEFT(TRIM(INDEX(PASTE_ALL,30,56)),1)="-"),999))-(RIGHT(MID(TRIM(INDEX(PASTE_ALL,30,56)),1+(LEFT(TRIM(INDEX(PASTE_ALL,30,56)),1)="-"),999),1)="%"))&lt;&gt;"",SUBSTITUTE(SUBSTITUTE(SUBSTITUTE(SUBSTITUTE(SUBSTITUTE(SUBSTITUTE(SUBSTITUTE(SUBSTITUTE(SUBSTITUTE(SUBSTITUTE(SUBSTITUTE(SUBSTITUTE(LEFT(MID(TRIM(INDEX(PASTE_ALL,30,56)),1+(LEFT(TRIM(INDEX(PASTE_ALL,30,56)),1)="-"),999),LEN(MID(TRIM(INDEX(PASTE_ALL,30,56)),1+(LEFT(TRIM(INDEX(PASTE_ALL,30,56)),1)="-"),999))-(RIGHT(MID(TRIM(INDEX(PASTE_ALL,30,56)),1+(LEFT(TRIM(INDEX(PASTE_ALL,30,56)),1)="-"),999),1)="%")),"0",""),"1",""),"2",""),"3",""),"4",""),"5",""),"6",""),"7",""),"8",""),"9",""),".",""),",","")=""),2,1))),1)</f>
        <v/>
      </c>
      <c r="CC79">
        <f>IFERROR(IF(ISNUMBER(INDEX(PASTE_ALL,30,57)),2,IF(TRIM(INDEX(PASTE_ALL,30,57))="",0,IF(AND(LEFT(MID(TRIM(INDEX(PASTE_ALL,30,57)),1+(LEFT(TRIM(INDEX(PASTE_ALL,30,57)),1)="-"),999),LEN(MID(TRIM(INDEX(PASTE_ALL,30,57)),1+(LEFT(TRIM(INDEX(PASTE_ALL,30,57)),1)="-"),999))-(RIGHT(MID(TRIM(INDEX(PASTE_ALL,30,57)),1+(LEFT(TRIM(INDEX(PASTE_ALL,30,57)),1)="-"),999),1)="%"))&lt;&gt;"",SUBSTITUTE(SUBSTITUTE(SUBSTITUTE(SUBSTITUTE(SUBSTITUTE(SUBSTITUTE(SUBSTITUTE(SUBSTITUTE(SUBSTITUTE(SUBSTITUTE(SUBSTITUTE(SUBSTITUTE(LEFT(MID(TRIM(INDEX(PASTE_ALL,30,57)),1+(LEFT(TRIM(INDEX(PASTE_ALL,30,57)),1)="-"),999),LEN(MID(TRIM(INDEX(PASTE_ALL,30,57)),1+(LEFT(TRIM(INDEX(PASTE_ALL,30,57)),1)="-"),999))-(RIGHT(MID(TRIM(INDEX(PASTE_ALL,30,57)),1+(LEFT(TRIM(INDEX(PASTE_ALL,30,57)),1)="-"),999),1)="%")),"0",""),"1",""),"2",""),"3",""),"4",""),"5",""),"6",""),"7",""),"8",""),"9",""),".",""),",","")=""),2,1))),1)</f>
        <v/>
      </c>
      <c r="CD79">
        <f>IFERROR(IF(ISNUMBER(INDEX(PASTE_ALL,30,58)),2,IF(TRIM(INDEX(PASTE_ALL,30,58))="",0,IF(AND(LEFT(MID(TRIM(INDEX(PASTE_ALL,30,58)),1+(LEFT(TRIM(INDEX(PASTE_ALL,30,58)),1)="-"),999),LEN(MID(TRIM(INDEX(PASTE_ALL,30,58)),1+(LEFT(TRIM(INDEX(PASTE_ALL,30,58)),1)="-"),999))-(RIGHT(MID(TRIM(INDEX(PASTE_ALL,30,58)),1+(LEFT(TRIM(INDEX(PASTE_ALL,30,58)),1)="-"),999),1)="%"))&lt;&gt;"",SUBSTITUTE(SUBSTITUTE(SUBSTITUTE(SUBSTITUTE(SUBSTITUTE(SUBSTITUTE(SUBSTITUTE(SUBSTITUTE(SUBSTITUTE(SUBSTITUTE(SUBSTITUTE(SUBSTITUTE(LEFT(MID(TRIM(INDEX(PASTE_ALL,30,58)),1+(LEFT(TRIM(INDEX(PASTE_ALL,30,58)),1)="-"),999),LEN(MID(TRIM(INDEX(PASTE_ALL,30,58)),1+(LEFT(TRIM(INDEX(PASTE_ALL,30,58)),1)="-"),999))-(RIGHT(MID(TRIM(INDEX(PASTE_ALL,30,58)),1+(LEFT(TRIM(INDEX(PASTE_ALL,30,58)),1)="-"),999),1)="%")),"0",""),"1",""),"2",""),"3",""),"4",""),"5",""),"6",""),"7",""),"8",""),"9",""),".",""),",","")=""),2,1))),1)</f>
        <v/>
      </c>
      <c r="CE79">
        <f>IFERROR(IF(ISNUMBER(INDEX(PASTE_ALL,30,59)),2,IF(TRIM(INDEX(PASTE_ALL,30,59))="",0,IF(AND(LEFT(MID(TRIM(INDEX(PASTE_ALL,30,59)),1+(LEFT(TRIM(INDEX(PASTE_ALL,30,59)),1)="-"),999),LEN(MID(TRIM(INDEX(PASTE_ALL,30,59)),1+(LEFT(TRIM(INDEX(PASTE_ALL,30,59)),1)="-"),999))-(RIGHT(MID(TRIM(INDEX(PASTE_ALL,30,59)),1+(LEFT(TRIM(INDEX(PASTE_ALL,30,59)),1)="-"),999),1)="%"))&lt;&gt;"",SUBSTITUTE(SUBSTITUTE(SUBSTITUTE(SUBSTITUTE(SUBSTITUTE(SUBSTITUTE(SUBSTITUTE(SUBSTITUTE(SUBSTITUTE(SUBSTITUTE(SUBSTITUTE(SUBSTITUTE(LEFT(MID(TRIM(INDEX(PASTE_ALL,30,59)),1+(LEFT(TRIM(INDEX(PASTE_ALL,30,59)),1)="-"),999),LEN(MID(TRIM(INDEX(PASTE_ALL,30,59)),1+(LEFT(TRIM(INDEX(PASTE_ALL,30,59)),1)="-"),999))-(RIGHT(MID(TRIM(INDEX(PASTE_ALL,30,59)),1+(LEFT(TRIM(INDEX(PASTE_ALL,30,59)),1)="-"),999),1)="%")),"0",""),"1",""),"2",""),"3",""),"4",""),"5",""),"6",""),"7",""),"8",""),"9",""),".",""),",","")=""),2,1))),1)</f>
        <v/>
      </c>
      <c r="CF79">
        <f>IFERROR(IF(ISNUMBER(INDEX(PASTE_ALL,30,60)),2,IF(TRIM(INDEX(PASTE_ALL,30,60))="",0,IF(AND(LEFT(MID(TRIM(INDEX(PASTE_ALL,30,60)),1+(LEFT(TRIM(INDEX(PASTE_ALL,30,60)),1)="-"),999),LEN(MID(TRIM(INDEX(PASTE_ALL,30,60)),1+(LEFT(TRIM(INDEX(PASTE_ALL,30,60)),1)="-"),999))-(RIGHT(MID(TRIM(INDEX(PASTE_ALL,30,60)),1+(LEFT(TRIM(INDEX(PASTE_ALL,30,60)),1)="-"),999),1)="%"))&lt;&gt;"",SUBSTITUTE(SUBSTITUTE(SUBSTITUTE(SUBSTITUTE(SUBSTITUTE(SUBSTITUTE(SUBSTITUTE(SUBSTITUTE(SUBSTITUTE(SUBSTITUTE(SUBSTITUTE(SUBSTITUTE(LEFT(MID(TRIM(INDEX(PASTE_ALL,30,60)),1+(LEFT(TRIM(INDEX(PASTE_ALL,30,60)),1)="-"),999),LEN(MID(TRIM(INDEX(PASTE_ALL,30,60)),1+(LEFT(TRIM(INDEX(PASTE_ALL,30,60)),1)="-"),999))-(RIGHT(MID(TRIM(INDEX(PASTE_ALL,30,60)),1+(LEFT(TRIM(INDEX(PASTE_ALL,30,60)),1)="-"),999),1)="%")),"0",""),"1",""),"2",""),"3",""),"4",""),"5",""),"6",""),"7",""),"8",""),"9",""),".",""),",","")=""),2,1))),1)</f>
        <v/>
      </c>
      <c r="DA79" t="n">
        <v>75</v>
      </c>
      <c r="DB79">
        <f>IF($B$37=0,"",IFERROR(TRIM(SUBSTITUTE(SUBSTITUTE(SUBSTITUTE(SUBSTITUTE(INDEX(PASTE_ALL,75,$B$37)," "," "),CHAR(9)," "),CHAR(10)," "),CHAR(13)," ")),""))</f>
        <v/>
      </c>
      <c r="DC79">
        <f>IF(AND(75&gt;HEADER_ROW,UPPER(DB79)="LEGEND"),1,0)</f>
        <v/>
      </c>
      <c r="DE79" t="n">
        <v>75</v>
      </c>
      <c r="DF79">
        <f>HEADER_ROW+$DE79</f>
        <v/>
      </c>
      <c r="DG79">
        <f>IF(AND($DF79&lt;=1000,$DF79&lt;$B$8),1,0)</f>
        <v/>
      </c>
      <c r="DH79">
        <f>IF($DG79=1,IFERROR(INDEX($DB$5:$DB$1004,$DF79),""),"")</f>
        <v/>
      </c>
      <c r="DI79">
        <f>IF(AND($DG79=1,$DH79&lt;&gt;""),IFERROR(SUBSTITUTE(SUBSTITUTE(TRIM(SUBSTITUTE(SUBSTITUTE(SUBSTITUTE(SUBSTITUTE(IFERROR(INDEX(PASTE_ALL,$DF79,1)&amp;"","")&amp;"␟"&amp;IFERROR(INDEX(PASTE_ALL,$DF79,2)&amp;"","")&amp;"␟"&amp;IFERROR(INDEX(PASTE_ALL,$DF79,3)&amp;"","")&amp;"␟"&amp;IFERROR(INDEX(PASTE_ALL,$DF79,4)&amp;"","")&amp;"␟"&amp;IFERROR(INDEX(PASTE_ALL,$DF79,5)&amp;"","")&amp;"␟"&amp;IFERROR(INDEX(PASTE_ALL,$DF79,6)&amp;"","")&amp;"␟"&amp;IFERROR(INDEX(PASTE_ALL,$DF79,7)&amp;"","")&amp;"␟"&amp;IFERROR(INDEX(PASTE_ALL,$DF79,8)&amp;"","")&amp;"␟"&amp;IFERROR(INDEX(PASTE_ALL,$DF79,9)&amp;"","")&amp;"␟"&amp;IFERROR(INDEX(PASTE_ALL,$DF79,10)&amp;"","")&amp;"␟"&amp;IFERROR(INDEX(PASTE_ALL,$DF79,11)&amp;"","")&amp;"␟"&amp;IFERROR(INDEX(PASTE_ALL,$DF79,12)&amp;"","")&amp;"␟"&amp;IFERROR(INDEX(PASTE_ALL,$DF79,13)&amp;"","")&amp;"␟"&amp;IFERROR(INDEX(PASTE_ALL,$DF79,14)&amp;"","")&amp;"␟"&amp;IFERROR(INDEX(PASTE_ALL,$DF79,15)&amp;"","")&amp;"␟"&amp;IFERROR(INDEX(PASTE_ALL,$DF79,16)&amp;"","")&amp;"␟"&amp;IFERROR(INDEX(PASTE_ALL,$DF79,17)&amp;"","")&amp;"␟"&amp;IFERROR(INDEX(PASTE_ALL,$DF79,18)&amp;"","")&amp;"␟"&amp;IFERROR(INDEX(PASTE_ALL,$DF79,19)&amp;"","")&amp;"␟"&amp;IFERROR(INDEX(PASTE_ALL,$DF79,20)&amp;"","")&amp;"␟"&amp;IFERROR(INDEX(PASTE_ALL,$DF79,21)&amp;"","")&amp;"␟"&amp;IFERROR(INDEX(PASTE_ALL,$DF79,22)&amp;"","")&amp;"␟"&amp;IFERROR(INDEX(PASTE_ALL,$DF79,23)&amp;"","")&amp;"␟"&amp;IFERROR(INDEX(PASTE_ALL,$DF79,24)&amp;"","")&amp;"␟"&amp;IFERROR(INDEX(PASTE_ALL,$DF79,25)&amp;"","")&amp;"␟"&amp;IFERROR(INDEX(PASTE_ALL,$DF79,26)&amp;"","")&amp;"␟"&amp;IFERROR(INDEX(PASTE_ALL,$DF79,27)&amp;"","")&amp;"␟"&amp;IFERROR(INDEX(PASTE_ALL,$DF79,28)&amp;"","")&amp;"␟"&amp;IFERROR(INDEX(PASTE_ALL,$DF79,29)&amp;"","")&amp;"␟"&amp;IFERROR(INDEX(PASTE_ALL,$DF79,30)&amp;"","")&amp;"␟"&amp;IFERROR(INDEX(PASTE_ALL,$DF79,31)&amp;"","")&amp;"␟"&amp;IFERROR(INDEX(PASTE_ALL,$DF79,32)&amp;"","")&amp;"␟"&amp;IFERROR(INDEX(PASTE_ALL,$DF79,33)&amp;"","")&amp;"␟"&amp;IFERROR(INDEX(PASTE_ALL,$DF79,34)&amp;"","")&amp;"␟"&amp;IFERROR(INDEX(PASTE_ALL,$DF79,35)&amp;"","")&amp;"␟"&amp;IFERROR(INDEX(PASTE_ALL,$DF79,36)&amp;"","")&amp;"␟"&amp;IFERROR(INDEX(PASTE_ALL,$DF79,37)&amp;"","")&amp;"␟"&amp;IFERROR(INDEX(PASTE_ALL,$DF79,38)&amp;"","")&amp;"␟"&amp;IFERROR(INDEX(PASTE_ALL,$DF79,39)&amp;"","")&amp;"␟"&amp;IFERROR(INDEX(PASTE_ALL,$DF79,40)&amp;"","")&amp;"␟"&amp;IFERROR(INDEX(PASTE_ALL,$DF79,41)&amp;"","")&amp;"␟"&amp;IFERROR(INDEX(PASTE_ALL,$DF79,42)&amp;"","")&amp;"␟"&amp;IFERROR(INDEX(PASTE_ALL,$DF79,43)&amp;"","")&amp;"␟"&amp;IFERROR(INDEX(PASTE_ALL,$DF79,44)&amp;"","")&amp;"␟"&amp;IFERROR(INDEX(PASTE_ALL,$DF79,45)&amp;"","")&amp;"␟"&amp;IFERROR(INDEX(PASTE_ALL,$DF79,46)&amp;"","")&amp;"␟"&amp;IFERROR(INDEX(PASTE_ALL,$DF79,47)&amp;"","")&amp;"␟"&amp;IFERROR(INDEX(PASTE_ALL,$DF79,48)&amp;"","")&amp;"␟"&amp;IFERROR(INDEX(PASTE_ALL,$DF79,49)&amp;"","")&amp;"␟"&amp;IFERROR(INDEX(PASTE_ALL,$DF79,50)&amp;"","")&amp;"␟"&amp;IFERROR(INDEX(PASTE_ALL,$DF79,51)&amp;"","")&amp;"␟"&amp;IFERROR(INDEX(PASTE_ALL,$DF79,52)&amp;"","")&amp;"␟"&amp;IFERROR(INDEX(PASTE_ALL,$DF79,53)&amp;"","")&amp;"␟"&amp;IFERROR(INDEX(PASTE_ALL,$DF79,54)&amp;"","")&amp;"␟"&amp;IFERROR(INDEX(PASTE_ALL,$DF79,55)&amp;"","")&amp;"␟"&amp;IFERROR(INDEX(PASTE_ALL,$DF79,56)&amp;"","")&amp;"␟"&amp;IFERROR(INDEX(PASTE_ALL,$DF79,57)&amp;"","")&amp;"␟"&amp;IFERROR(INDEX(PASTE_ALL,$DF79,58)&amp;"","")&amp;"␟"&amp;IFERROR(INDEX(PASTE_ALL,$DF79,59)&amp;"","")&amp;"␟"&amp;IFERROR(INDEX(PASTE_ALL,$DF79,60)&amp;"","")," "," "),CHAR(9)," "),CHAR(10)," "),CHAR(13)," "))," ␟","␟"),"␟ ","␟"),"#"&amp;$DE79),"")</f>
        <v/>
      </c>
      <c r="DJ79">
        <f>IF($DI79="",0,IF(SUMPRODUCT(--EXACT($DI$4:DI78,$DI79))&gt;0,1,0))</f>
        <v/>
      </c>
      <c r="DK79">
        <f>IF(AND($DI79&lt;&gt;"",$DJ79=0),1,0)</f>
        <v/>
      </c>
      <c r="DL79">
        <f>DL78+$DK79</f>
        <v/>
      </c>
      <c r="DM79">
        <f>IF(AND($DK79=1,$DL79&lt;=600),1,0)</f>
        <v/>
      </c>
      <c r="DN79">
        <f>IF($DM79=0,"",IF($L$6=0,"",IFERROR(IF(ISNUMBER(INDEX(PASTE_ALL,$DF79,$L$6)),INDEX(PASTE_ALL,$DF79,$L$6),TRIM(SUBSTITUTE(SUBSTITUTE(SUBSTITUTE(SUBSTITUTE(INDEX(PASTE_ALL,$DF79,$L$6)," "," "),CHAR(9)," "),CHAR(10)," "),CHAR(13)," "))),"")))</f>
        <v/>
      </c>
      <c r="DO79">
        <f>IF($DM79=0,"",IF($L$7=0,"",IFERROR(IF(ISNUMBER(INDEX(PASTE_ALL,$DF79,$L$7)),INDEX(PASTE_ALL,$DF79,$L$7),TRIM(SUBSTITUTE(SUBSTITUTE(SUBSTITUTE(SUBSTITUTE(INDEX(PASTE_ALL,$DF79,$L$7)," "," "),CHAR(9)," "),CHAR(10)," "),CHAR(13)," "))),"")))</f>
        <v/>
      </c>
      <c r="DP79">
        <f>IF($DM79=0,"",IF($L$8=0,"",IFERROR(IF(ISNUMBER(INDEX(PASTE_ALL,$DF79,$L$8)),INDEX(PASTE_ALL,$DF79,$L$8),TRIM(SUBSTITUTE(SUBSTITUTE(SUBSTITUTE(SUBSTITUTE(INDEX(PASTE_ALL,$DF79,$L$8)," "," "),CHAR(9)," "),CHAR(10)," "),CHAR(13)," "))),"")))</f>
        <v/>
      </c>
      <c r="DQ79">
        <f>IF($DM79=0,"",IF($L$9=0,"",IFERROR(IF(ISNUMBER(INDEX(PASTE_ALL,$DF79,$L$9)),INDEX(PASTE_ALL,$DF79,$L$9),TRIM(SUBSTITUTE(SUBSTITUTE(SUBSTITUTE(SUBSTITUTE(INDEX(PASTE_ALL,$DF79,$L$9)," "," "),CHAR(9)," "),CHAR(10)," "),CHAR(13)," "))),"")))</f>
        <v/>
      </c>
      <c r="DR79">
        <f>IF($DM79=0,"",IF($L$10=0,"",IFERROR(IF(ISNUMBER(INDEX(PASTE_ALL,$DF79,$L$10)),INDEX(PASTE_ALL,$DF79,$L$10),TRIM(SUBSTITUTE(SUBSTITUTE(SUBSTITUTE(SUBSTITUTE(INDEX(PASTE_ALL,$DF79,$L$10)," "," "),CHAR(9)," "),CHAR(10)," "),CHAR(13)," "))),"")))</f>
        <v/>
      </c>
      <c r="DS79">
        <f>IF($DM79=0,"",IF($L$11=0,"",IFERROR(IF(ISNUMBER(INDEX(PASTE_ALL,$DF79,$L$11)),INDEX(PASTE_ALL,$DF79,$L$11),TRIM(SUBSTITUTE(SUBSTITUTE(SUBSTITUTE(SUBSTITUTE(INDEX(PASTE_ALL,$DF79,$L$11)," "," "),CHAR(9)," "),CHAR(10)," "),CHAR(13)," "))),"")))</f>
        <v/>
      </c>
      <c r="DT79">
        <f>IF($DM79=0,"",IF($L$12=0,"",IFERROR(IF(ISNUMBER(INDEX(PASTE_ALL,$DF79,$L$12)),INDEX(PASTE_ALL,$DF79,$L$12),TRIM(SUBSTITUTE(SUBSTITUTE(SUBSTITUTE(SUBSTITUTE(INDEX(PASTE_ALL,$DF79,$L$12)," "," "),CHAR(9)," "),CHAR(10)," "),CHAR(13)," "))),"")))</f>
        <v/>
      </c>
      <c r="DU79">
        <f>IF($DM79=0,"",IF($L$13=0,"",IFERROR(IF(ISNUMBER(INDEX(PASTE_ALL,$DF79,$L$13)),INDEX(PASTE_ALL,$DF79,$L$13),TRIM(SUBSTITUTE(SUBSTITUTE(SUBSTITUTE(SUBSTITUTE(INDEX(PASTE_ALL,$DF79,$L$13)," "," "),CHAR(9)," "),CHAR(10)," "),CHAR(13)," "))),"")))</f>
        <v/>
      </c>
      <c r="DV79">
        <f>IF($DM79=0,"",IF($L$14=0,"",IFERROR(IF(ISNUMBER(INDEX(PASTE_ALL,$DF79,$L$14)),INDEX(PASTE_ALL,$DF79,$L$14),TRIM(SUBSTITUTE(SUBSTITUTE(SUBSTITUTE(SUBSTITUTE(INDEX(PASTE_ALL,$DF79,$L$14)," "," "),CHAR(9)," "),CHAR(10)," "),CHAR(13)," "))),"")))</f>
        <v/>
      </c>
      <c r="DW79">
        <f>IF($DM79=0,"",IF($L$15=0,"",IFERROR(IF(ISNUMBER(INDEX(PASTE_ALL,$DF79,$L$15)),INDEX(PASTE_ALL,$DF79,$L$15),IF(SUMPRODUCT(--ISNUMBER(FIND({"A","B","C","D","E","F","G","H","I","J","K","L","M","N","O","P","Q","R","S","T","U","V","W","X","Y","Z","0","1","2","3","4","5","6","7","8","9"},UPPER(TRIM(SUBSTITUTE(SUBSTITUTE(SUBSTITUTE(SUBSTITUTE(INDEX(PASTE_ALL,$DF79,$L$15)," "," "),CHAR(9)," "),CHAR(10)," "),CHAR(13)," "))))))&gt;0,TRIM(SUBSTITUTE(SUBSTITUTE(SUBSTITUTE(SUBSTITUTE(INDEX(PASTE_ALL,$DF79,$L$15)," "," "),CHAR(9)," "),CHAR(10)," "),CHAR(13)," ")),"")),"")))</f>
        <v/>
      </c>
      <c r="DX79">
        <f>IF($DM79=0,"",IF($L$16=0,"",IFERROR(IF(ISNUMBER(INDEX(PASTE_ALL,$DF79,$L$16)),INDEX(PASTE_ALL,$DF79,$L$16),SUBSTITUTE(SUBSTITUTE(TRIM(SUBSTITUTE(SUBSTITUTE(SUBSTITUTE(SUBSTITUTE(INDEX(PASTE_ALL,$DF79,$L$16)," "," "),CHAR(9)," "),CHAR(10)," "),CHAR(13)," ")),",",""),"%","")),"")))</f>
        <v/>
      </c>
      <c r="DY79">
        <f>IF($DM79=0,"",IFERROR(IF(ISNUMBER($DX79),$DX79,IF($DX79="","",IF(TRIM($DX79)="",0,IF(AND(AND(SUBSTITUTE(SUBSTITUTE(SUBSTITUTE(SUBSTITUTE(SUBSTITUTE(SUBSTITUTE(SUBSTITUTE(SUBSTITUTE(SUBSTITUTE(SUBSTITUTE(SUBSTITUTE(SUBSTITUTE(SUBSTITUTE(SUBSTITUTE(UPPER(TRIM($DX79)),"0",""),"1",""),"2",""),"3",""),"4",""),"5",""),"6",""),"7",""),"8",""),"9",""),".",""),"+",""),"-",""),"E","")="",LEN(SUBSTITUTE(SUBSTITUTE(MID(UPPER(TRIM($DX79)),1+OR(LEFT(UPPER(TRIM($DX79)),1)="+",LEFT(UPPER(TRIM($DX79)),1)="-"),999),"E+","E"),"E-","E"))=LEN(SUBSTITUTE(SUBSTITUTE(SUBSTITUTE(SUBSTITUTE(MID(UPPER(TRIM($DX79)),1+OR(LEFT(UPPER(TRIM($DX79)),1)="+",LEFT(UPPER(TRIM($DX79)),1)="-"),999),"E+","E"),"E-","E"),"+",""),"-","")),LEN(UPPER(TRIM($DX79)))-LEN(SUBSTITUTE(UPPER(TRIM($DX79)),"E",""))&lt;2,LEN(UPPER(TRIM($DX79)))-LEN(SUBSTITUTE(UPPER(TRIM($DX79)),".",""))&lt;2,IFERROR(FIND(".",UPPER(TRIM($DX79))),0)&lt;IFERROR(FIND("E",UPPER(TRIM($DX79))),999)),ISNUMBER(VALUE(TRIM($DX79)))),VALUE(TRIM($DX79)),"")))),""))</f>
        <v/>
      </c>
      <c r="DZ79">
        <f>IF($DM79=0,"",IF($L$17=0,"",IFERROR(IF(ISNUMBER(INDEX(PASTE_ALL,$DF79,$L$17)),INDEX(PASTE_ALL,$DF79,$L$17),SUBSTITUTE(SUBSTITUTE(TRIM(SUBSTITUTE(SUBSTITUTE(SUBSTITUTE(SUBSTITUTE(INDEX(PASTE_ALL,$DF79,$L$17)," "," "),CHAR(9)," "),CHAR(10)," "),CHAR(13)," ")),",",""),"%","")),"")))</f>
        <v/>
      </c>
      <c r="EA79">
        <f>IF($DM79=0,"",IFERROR(IF(ISNUMBER($DZ79),$DZ79,IF($DZ79="","",IF(TRIM($DZ79)="",0,IF(AND(AND(SUBSTITUTE(SUBSTITUTE(SUBSTITUTE(SUBSTITUTE(SUBSTITUTE(SUBSTITUTE(SUBSTITUTE(SUBSTITUTE(SUBSTITUTE(SUBSTITUTE(SUBSTITUTE(SUBSTITUTE(SUBSTITUTE(SUBSTITUTE(UPPER(TRIM($DZ79)),"0",""),"1",""),"2",""),"3",""),"4",""),"5",""),"6",""),"7",""),"8",""),"9",""),".",""),"+",""),"-",""),"E","")="",LEN(SUBSTITUTE(SUBSTITUTE(MID(UPPER(TRIM($DZ79)),1+OR(LEFT(UPPER(TRIM($DZ79)),1)="+",LEFT(UPPER(TRIM($DZ79)),1)="-"),999),"E+","E"),"E-","E"))=LEN(SUBSTITUTE(SUBSTITUTE(SUBSTITUTE(SUBSTITUTE(MID(UPPER(TRIM($DZ79)),1+OR(LEFT(UPPER(TRIM($DZ79)),1)="+",LEFT(UPPER(TRIM($DZ79)),1)="-"),999),"E+","E"),"E-","E"),"+",""),"-","")),LEN(UPPER(TRIM($DZ79)))-LEN(SUBSTITUTE(UPPER(TRIM($DZ79)),"E",""))&lt;2,LEN(UPPER(TRIM($DZ79)))-LEN(SUBSTITUTE(UPPER(TRIM($DZ79)),".",""))&lt;2,IFERROR(FIND(".",UPPER(TRIM($DZ79))),0)&lt;IFERROR(FIND("E",UPPER(TRIM($DZ79))),999)),ISNUMBER(VALUE(TRIM($DZ79)))),VALUE(TRIM($DZ79)),"")))),""))</f>
        <v/>
      </c>
      <c r="EB79">
        <f>IF($DM79=0,"",IF($L$18=0,"",IFERROR(IF(UPPER(TRIM(SUBSTITUTE(SUBSTITUTE(SUBSTITUTE(SUBSTITUTE(INDEX(PASTE_ALL,$DF79,$L$18)," "," "),CHAR(9)," "),CHAR(10)," "),CHAR(13)," ")))="READY","Ready",IF(UPPER(TRIM(SUBSTITUTE(SUBSTITUTE(SUBSTITUTE(SUBSTITUTE(INDEX(PASTE_ALL,$DF79,$L$18)," "," "),CHAR(9)," "),CHAR(10)," "),CHAR(13)," ")))="PM","PM",IF(OR(UPPER(TRIM(SUBSTITUTE(SUBSTITUTE(SUBSTITUTE(SUBSTITUTE(INDEX(PASTE_ALL,$DF79,$L$18)," "," "),CHAR(9)," "),CHAR(10)," "),CHAR(13)," ")))="OT",UPPER(TRIM(SUBSTITUTE(SUBSTITUTE(SUBSTITUTE(SUBSTITUTE(INDEX(PASTE_ALL,$DF79,$L$18)," "," "),CHAR(9)," "),CHAR(10)," "),CHAR(13)," ")))="OVERTIME",UPPER(TRIM(SUBSTITUTE(SUBSTITUTE(SUBSTITUTE(SUBSTITUTE(INDEX(PASTE_ALL,$DF79,$L$18)," "," "),CHAR(9)," "),CHAR(10)," "),CHAR(13)," ")))="TRIAL"),"OT",TRIM(SUBSTITUTE(SUBSTITUTE(SUBSTITUTE(SUBSTITUTE(INDEX(PASTE_ALL,$DF79,$L$18)," "," "),CHAR(9)," "),CHAR(10)," "),CHAR(13)," "))))),"")))</f>
        <v/>
      </c>
      <c r="EC79">
        <f>IF($DM79=0,"",IF($L$19=0,"",IFERROR(IF(ISNUMBER(INDEX(PASTE_ALL,$DF79,$L$19)),INDEX(PASTE_ALL,$DF79,$L$19),TRIM(SUBSTITUTE(SUBSTITUTE(SUBSTITUTE(SUBSTITUTE(INDEX(PASTE_ALL,$DF79,$L$19)," "," "),CHAR(9)," "),CHAR(10)," "),CHAR(13)," "))),"")))</f>
        <v/>
      </c>
      <c r="ED79">
        <f>IF($DM79=0,"",MATCH(1,INDEX(EXACT($DH$5:DH79,$DH79)*$DM$5:DM79,0),0))</f>
        <v/>
      </c>
      <c r="EE79">
        <f>IF($DM79=0,0,IF($ED79=$DE79,1,0))</f>
        <v/>
      </c>
      <c r="EF79">
        <f>EF78+$EE79</f>
        <v/>
      </c>
      <c r="EG79">
        <f>IF($DM79=0,"",INDEX($EF$5:$EF$1003,$ED79))</f>
        <v/>
      </c>
      <c r="EH79">
        <f>IF($DM79=0,"",IF($DO79&lt;&gt;"","",IFERROR(LOOKUP(2,1/(($EG$4:EG78=$EG79)*($DO$4:DO78&lt;&gt;"")),$DO$4:DO78),"")))</f>
        <v/>
      </c>
      <c r="EI79">
        <f>IF($DM79=0,"",IF($DO79&lt;&gt;"",$DO79,$EH79))</f>
        <v/>
      </c>
      <c r="EJ79">
        <f>IF($DM79=0,"",IF($EI79="",0,IF(OR(ISNUMBER($EI79),AND(AND(SUBSTITUTE(SUBSTITUTE(SUBSTITUTE(SUBSTITUTE(SUBSTITUTE(SUBSTITUTE(SUBSTITUTE(SUBSTITUTE(SUBSTITUTE(SUBSTITUTE(SUBSTITUTE(SUBSTITUTE(SUBSTITUTE(SUBSTITUTE(UPPER($EI79),"0",""),"1",""),"2",""),"3",""),"4",""),"5",""),"6",""),"7",""),"8",""),"9",""),".",""),"+",""),"-",""),"E","")="",LEN(SUBSTITUTE(SUBSTITUTE(MID(UPPER($EI79),1+OR(LEFT(UPPER($EI79),1)="+",LEFT(UPPER($EI79),1)="-"),999),"E+","E"),"E-","E"))=LEN(SUBSTITUTE(SUBSTITUTE(SUBSTITUTE(SUBSTITUTE(MID(UPPER($EI79),1+OR(LEFT(UPPER($EI79),1)="+",LEFT(UPPER($EI79),1)="-"),999),"E+","E"),"E-","E"),"+",""),"-","")),LEN(UPPER($EI79))-LEN(SUBSTITUTE(UPPER($EI79),"E",""))&lt;2,LEN(UPPER($EI79))-LEN(SUBSTITUTE(UPPER($EI79),".",""))&lt;2,IFERROR(FIND(".",UPPER($EI79)),0)&lt;IFERROR(FIND("E",UPPER($EI79)),999)),ISNUMBER(VALUE($EI79)))),1,2)))</f>
        <v/>
      </c>
      <c r="EK79">
        <f>IF($DM79=0,"",IF($EJ79=1,IF(ISNUMBER($EI79),$EI79,VALUE($EI79)),IF($EJ79=2,$DE79,0)))</f>
        <v/>
      </c>
      <c r="EL79">
        <f>IF($DM79=0,"",COUNTIF($EG$5:$EG$1003,"&lt;"&amp;$EG79)+SUMPRODUCT(($EG$5:$EG$1003=$EG79)*(($EJ$5:$EJ$1003&lt;$EJ79)+($EJ$5:$EJ$1003=$EJ79)*(($EK$5:$EK$1003&lt;$EK79)+($EK$5:$EK$1003=$EK79)*($DE$5:$DE$1003&lt;$DE79))))+1)</f>
        <v/>
      </c>
      <c r="EM79">
        <f>IF($DM79=0,"",$EL79+$EG79-1)</f>
        <v/>
      </c>
      <c r="EN79">
        <f>IF($DM79=0,0,IFERROR(MATCH(1,INDEX(--(TRIM(SUBSTITUTE(SUBSTITUTE(SUBSTITUTE(SUBSTITUTE(LINES_NAME&amp;""," "," "),CHAR(9)," "),CHAR(10)," "),CHAR(13)," "))=$DH79),0),0),0))</f>
        <v/>
      </c>
      <c r="EO79">
        <f>IF($EN79=0,0,IF(OR(UPPER(TRIM(INDEX(LINES_SCHEDULED,$EN79)&amp;""))="YES",UPPER(TRIM(INDEX(LINES_SCHEDULED,$EN79)&amp;""))="Y",UPPER(TRIM(INDEX(LINES_SCHEDULED,$EN79)&amp;""))="X"),1,0))</f>
        <v/>
      </c>
      <c r="EP79">
        <f>IF($DM79=0,"",IF(COUNTIFS($EG$5:$EG$1003,$EG79,$EB$5:$EB$1003,"Ready")&gt;0,"READY",IF(COUNTIFS($EG$5:$EG$1003,$EG79,$EB$5:$EB$1003,"PM")&gt;0,"PM",IF(COUNTIFS($EG$5:$EG$1003,$EG79,$EB$5:$EB$1003,"OT")&gt;0,"OT",""))))</f>
        <v/>
      </c>
      <c r="EQ79">
        <f>IF($EN79=0,"",UPPER(TRIM(INDEX(LINES_STATUS,$EN79)&amp;"")))</f>
        <v/>
      </c>
      <c r="ER79">
        <f>IF($DM79=0,"",IF(OR($EQ79="READY",$EQ79="PM",$EQ79="OT"),$EQ79,$EP79))</f>
        <v/>
      </c>
      <c r="ES79">
        <f>IF($DM79=0,"",IF(AND($DV79&lt;&gt;"",UPPER($DV79)&lt;&gt;"N"),"allergen",IF(ISNUMBER(SEARCH("oil",$DQ79)),"oil",IF(OR(EXACT($DS79,"A662"),EXACT($DS79,"A624")),"bulk",""))))</f>
        <v/>
      </c>
      <c r="ET79">
        <f>IF($DM79=0,"",IF(OR($EA79="",$EA79=0),"",$EA79/100))</f>
        <v/>
      </c>
      <c r="EU79">
        <f>IF(OR($ET79="",$DY79=""),"",INT($DY79*(1-$ET79)+0.5))</f>
        <v/>
      </c>
      <c r="EW79" t="n">
        <v>75</v>
      </c>
      <c r="EX79">
        <f>IFERROR(MATCH($EW79,$EM$5:$EM$1003,0),0)</f>
        <v/>
      </c>
      <c r="EY79">
        <f>IF($EW79&gt;$B$12,"",IF($EX79&gt;0,"row","spacer"))</f>
        <v/>
      </c>
      <c r="EZ79">
        <f>IF(AND($EY79="row",$EY78&lt;&gt;"row"),1,0)</f>
        <v/>
      </c>
      <c r="FA79">
        <f>IF(AND($EY79="row",$EY80&lt;&gt;"row"),1,0)</f>
        <v/>
      </c>
      <c r="FB79">
        <f>IF($EZ79=1,IFERROR(IF(ISNUMBER(INDEX(PASTE_ALL,INDEX($DF$5:$DF$1003,$EX79),$B$37)),INDEX(PASTE_ALL,INDEX($DF$5:$DF$1003,$EX79),$B$37),INDEX($DH$5:$DH$1003,$EX79)),INDEX($DH$5:$DH$1003,$EX79)),"")</f>
        <v/>
      </c>
      <c r="FC79">
        <f>IF($EY79="row",INDEX($ER$5:$ER$1003,$EX79),"")</f>
        <v/>
      </c>
      <c r="FD79">
        <f>IF($EY79="row",INDEX($DN$5:$DN$1003,$EX79),"")</f>
        <v/>
      </c>
      <c r="FE79">
        <f>IF($EY79="row",INDEX($DO$5:$DO$1003,$EX79),"")</f>
        <v/>
      </c>
      <c r="FF79">
        <f>IF($EY79="row",INDEX($DP$5:$DP$1003,$EX79),"")</f>
        <v/>
      </c>
      <c r="FG79">
        <f>IF($EY79="row",INDEX($DQ$5:$DQ$1003,$EX79),"")</f>
        <v/>
      </c>
      <c r="FH79">
        <f>IF($EY79="row",INDEX($DR$5:$DR$1003,$EX79),"")</f>
        <v/>
      </c>
      <c r="FI79">
        <f>IF($EY79="row",INDEX($DS$5:$DS$1003,$EX79),"")</f>
        <v/>
      </c>
      <c r="FJ79">
        <f>IF($EY79="row",INDEX($DT$5:$DT$1003,$EX79),"")</f>
        <v/>
      </c>
      <c r="FK79">
        <f>IF($EY79="row",INDEX($DU$5:$DU$1003,$EX79),"")</f>
        <v/>
      </c>
      <c r="FL79">
        <f>IF($EY79="row",INDEX($DV$5:$DV$1003,$EX79),"")</f>
        <v/>
      </c>
      <c r="FM79">
        <f>IF($EY79="row",INDEX($DW$5:$DW$1003,$EX79),"")</f>
        <v/>
      </c>
      <c r="FN79">
        <f>IF($EY79="row",INDEX($DY$5:$DY$1003,$EX79),"")</f>
        <v/>
      </c>
      <c r="FO79">
        <f>IF($EY79="row",INDEX($EA$5:$EA$1003,$EX79),"")</f>
        <v/>
      </c>
      <c r="FP79">
        <f>IF($EY79="row",INDEX($EC$5:$EC$1003,$EX79),"")</f>
        <v/>
      </c>
      <c r="FQ79">
        <f>IF($EY79="row",INDEX($ET$5:$ET$1003,$EX79),"")</f>
        <v/>
      </c>
      <c r="FR79">
        <f>IF($EY79="row",INDEX($EU$5:$EU$1003,$EX79),"")</f>
        <v/>
      </c>
      <c r="FS79">
        <f>IF(AND($EY79="row",$EY78="row"),IF(OR(INDEX($DT$5:$DT$1003,$EX78)="",INDEX($DT$5:$DT$1003,$EX79)=""),"",IF(NOT(EXACT(INDEX($DT$5:$DT$1003,$EX78),INDEX($DT$5:$DT$1003,$EX79))),"S4",IF(NOT(EXACT(INDEX($DS$5:$DS$1003,$EX78),INDEX($DS$5:$DS$1003,$EX79))),"S3",IF(NOT(EXACT(INDEX($DR$5:$DR$1003,$EX78),INDEX($DR$5:$DR$1003,$EX79))),"S1 Count Change","S1")))),"")</f>
        <v/>
      </c>
      <c r="FT79">
        <f>IF($EY79="row",INDEX($ES$5:$ES$1003,$EX79),"")</f>
        <v/>
      </c>
      <c r="FU79">
        <f>IF($EY79="row",INDEX($EO$5:$EO$1003,$EX79),0)</f>
        <v/>
      </c>
      <c r="FV79">
        <f>IF($FS79="S1 Count Change",1,0)</f>
        <v/>
      </c>
      <c r="FX79" t="n">
        <v>75</v>
      </c>
      <c r="FY79">
        <f>IFERROR(MATCH($FX79,$EF$5:$EF$1003,0),0)</f>
        <v/>
      </c>
      <c r="FZ79">
        <f>IF($FY79=0,"",INDEX($DH$5:$DH$1003,$FY79))</f>
        <v/>
      </c>
      <c r="GA79">
        <f>IF($FY79=0,"",COUNTIF($EG$5:$EG$1003,$FX79))</f>
        <v/>
      </c>
      <c r="GB79">
        <f>IF($FY79=0,"",INDEX($ER$5:$ER$1003,$FY79))</f>
        <v/>
      </c>
      <c r="GC79">
        <f>IF($FY79=0,"",IF(INDEX($EO$5:$EO$1003,$FY79)=1,"Yes",""))</f>
        <v/>
      </c>
      <c r="GD79">
        <f>IF($FY79=0,"",IF(INDEX($EN$5:$EN$1003,$FY79)&gt;0,"","NOT IN YOUR LIST - type it in column A to tick it"))</f>
        <v/>
      </c>
      <c r="GE79">
        <f>IF(AND($FY79&gt;0,$GD79&lt;&gt;""),1,0)</f>
        <v/>
      </c>
      <c r="GF79">
        <f>GF78+$GE79</f>
        <v/>
      </c>
      <c r="GG79">
        <f>IFERROR(INDEX($FZ$5:$FZ$104,MATCH($FX79,$GF$5:$GF$104,0)),"")</f>
        <v/>
      </c>
    </row>
    <row r="80">
      <c r="V80" t="inlineStr">
        <is>
          <t>COMPLETED</t>
        </is>
      </c>
      <c r="W80" t="n">
        <v>13</v>
      </c>
      <c r="Y80">
        <f>IFERROR(IF(ISNUMBER(INDEX(PASTE_ALL,31,1)),2,IF(TRIM(INDEX(PASTE_ALL,31,1))="",0,IF(AND(LEFT(MID(TRIM(INDEX(PASTE_ALL,31,1)),1+(LEFT(TRIM(INDEX(PASTE_ALL,31,1)),1)="-"),999),LEN(MID(TRIM(INDEX(PASTE_ALL,31,1)),1+(LEFT(TRIM(INDEX(PASTE_ALL,31,1)),1)="-"),999))-(RIGHT(MID(TRIM(INDEX(PASTE_ALL,31,1)),1+(LEFT(TRIM(INDEX(PASTE_ALL,31,1)),1)="-"),999),1)="%"))&lt;&gt;"",SUBSTITUTE(SUBSTITUTE(SUBSTITUTE(SUBSTITUTE(SUBSTITUTE(SUBSTITUTE(SUBSTITUTE(SUBSTITUTE(SUBSTITUTE(SUBSTITUTE(SUBSTITUTE(SUBSTITUTE(LEFT(MID(TRIM(INDEX(PASTE_ALL,31,1)),1+(LEFT(TRIM(INDEX(PASTE_ALL,31,1)),1)="-"),999),LEN(MID(TRIM(INDEX(PASTE_ALL,31,1)),1+(LEFT(TRIM(INDEX(PASTE_ALL,31,1)),1)="-"),999))-(RIGHT(MID(TRIM(INDEX(PASTE_ALL,31,1)),1+(LEFT(TRIM(INDEX(PASTE_ALL,31,1)),1)="-"),999),1)="%")),"0",""),"1",""),"2",""),"3",""),"4",""),"5",""),"6",""),"7",""),"8",""),"9",""),".",""),",","")=""),2,1))),1)</f>
        <v/>
      </c>
      <c r="Z80">
        <f>IFERROR(IF(ISNUMBER(INDEX(PASTE_ALL,31,2)),2,IF(TRIM(INDEX(PASTE_ALL,31,2))="",0,IF(AND(LEFT(MID(TRIM(INDEX(PASTE_ALL,31,2)),1+(LEFT(TRIM(INDEX(PASTE_ALL,31,2)),1)="-"),999),LEN(MID(TRIM(INDEX(PASTE_ALL,31,2)),1+(LEFT(TRIM(INDEX(PASTE_ALL,31,2)),1)="-"),999))-(RIGHT(MID(TRIM(INDEX(PASTE_ALL,31,2)),1+(LEFT(TRIM(INDEX(PASTE_ALL,31,2)),1)="-"),999),1)="%"))&lt;&gt;"",SUBSTITUTE(SUBSTITUTE(SUBSTITUTE(SUBSTITUTE(SUBSTITUTE(SUBSTITUTE(SUBSTITUTE(SUBSTITUTE(SUBSTITUTE(SUBSTITUTE(SUBSTITUTE(SUBSTITUTE(LEFT(MID(TRIM(INDEX(PASTE_ALL,31,2)),1+(LEFT(TRIM(INDEX(PASTE_ALL,31,2)),1)="-"),999),LEN(MID(TRIM(INDEX(PASTE_ALL,31,2)),1+(LEFT(TRIM(INDEX(PASTE_ALL,31,2)),1)="-"),999))-(RIGHT(MID(TRIM(INDEX(PASTE_ALL,31,2)),1+(LEFT(TRIM(INDEX(PASTE_ALL,31,2)),1)="-"),999),1)="%")),"0",""),"1",""),"2",""),"3",""),"4",""),"5",""),"6",""),"7",""),"8",""),"9",""),".",""),",","")=""),2,1))),1)</f>
        <v/>
      </c>
      <c r="AA80">
        <f>IFERROR(IF(ISNUMBER(INDEX(PASTE_ALL,31,3)),2,IF(TRIM(INDEX(PASTE_ALL,31,3))="",0,IF(AND(LEFT(MID(TRIM(INDEX(PASTE_ALL,31,3)),1+(LEFT(TRIM(INDEX(PASTE_ALL,31,3)),1)="-"),999),LEN(MID(TRIM(INDEX(PASTE_ALL,31,3)),1+(LEFT(TRIM(INDEX(PASTE_ALL,31,3)),1)="-"),999))-(RIGHT(MID(TRIM(INDEX(PASTE_ALL,31,3)),1+(LEFT(TRIM(INDEX(PASTE_ALL,31,3)),1)="-"),999),1)="%"))&lt;&gt;"",SUBSTITUTE(SUBSTITUTE(SUBSTITUTE(SUBSTITUTE(SUBSTITUTE(SUBSTITUTE(SUBSTITUTE(SUBSTITUTE(SUBSTITUTE(SUBSTITUTE(SUBSTITUTE(SUBSTITUTE(LEFT(MID(TRIM(INDEX(PASTE_ALL,31,3)),1+(LEFT(TRIM(INDEX(PASTE_ALL,31,3)),1)="-"),999),LEN(MID(TRIM(INDEX(PASTE_ALL,31,3)),1+(LEFT(TRIM(INDEX(PASTE_ALL,31,3)),1)="-"),999))-(RIGHT(MID(TRIM(INDEX(PASTE_ALL,31,3)),1+(LEFT(TRIM(INDEX(PASTE_ALL,31,3)),1)="-"),999),1)="%")),"0",""),"1",""),"2",""),"3",""),"4",""),"5",""),"6",""),"7",""),"8",""),"9",""),".",""),",","")=""),2,1))),1)</f>
        <v/>
      </c>
      <c r="AB80">
        <f>IFERROR(IF(ISNUMBER(INDEX(PASTE_ALL,31,4)),2,IF(TRIM(INDEX(PASTE_ALL,31,4))="",0,IF(AND(LEFT(MID(TRIM(INDEX(PASTE_ALL,31,4)),1+(LEFT(TRIM(INDEX(PASTE_ALL,31,4)),1)="-"),999),LEN(MID(TRIM(INDEX(PASTE_ALL,31,4)),1+(LEFT(TRIM(INDEX(PASTE_ALL,31,4)),1)="-"),999))-(RIGHT(MID(TRIM(INDEX(PASTE_ALL,31,4)),1+(LEFT(TRIM(INDEX(PASTE_ALL,31,4)),1)="-"),999),1)="%"))&lt;&gt;"",SUBSTITUTE(SUBSTITUTE(SUBSTITUTE(SUBSTITUTE(SUBSTITUTE(SUBSTITUTE(SUBSTITUTE(SUBSTITUTE(SUBSTITUTE(SUBSTITUTE(SUBSTITUTE(SUBSTITUTE(LEFT(MID(TRIM(INDEX(PASTE_ALL,31,4)),1+(LEFT(TRIM(INDEX(PASTE_ALL,31,4)),1)="-"),999),LEN(MID(TRIM(INDEX(PASTE_ALL,31,4)),1+(LEFT(TRIM(INDEX(PASTE_ALL,31,4)),1)="-"),999))-(RIGHT(MID(TRIM(INDEX(PASTE_ALL,31,4)),1+(LEFT(TRIM(INDEX(PASTE_ALL,31,4)),1)="-"),999),1)="%")),"0",""),"1",""),"2",""),"3",""),"4",""),"5",""),"6",""),"7",""),"8",""),"9",""),".",""),",","")=""),2,1))),1)</f>
        <v/>
      </c>
      <c r="AC80">
        <f>IFERROR(IF(ISNUMBER(INDEX(PASTE_ALL,31,5)),2,IF(TRIM(INDEX(PASTE_ALL,31,5))="",0,IF(AND(LEFT(MID(TRIM(INDEX(PASTE_ALL,31,5)),1+(LEFT(TRIM(INDEX(PASTE_ALL,31,5)),1)="-"),999),LEN(MID(TRIM(INDEX(PASTE_ALL,31,5)),1+(LEFT(TRIM(INDEX(PASTE_ALL,31,5)),1)="-"),999))-(RIGHT(MID(TRIM(INDEX(PASTE_ALL,31,5)),1+(LEFT(TRIM(INDEX(PASTE_ALL,31,5)),1)="-"),999),1)="%"))&lt;&gt;"",SUBSTITUTE(SUBSTITUTE(SUBSTITUTE(SUBSTITUTE(SUBSTITUTE(SUBSTITUTE(SUBSTITUTE(SUBSTITUTE(SUBSTITUTE(SUBSTITUTE(SUBSTITUTE(SUBSTITUTE(LEFT(MID(TRIM(INDEX(PASTE_ALL,31,5)),1+(LEFT(TRIM(INDEX(PASTE_ALL,31,5)),1)="-"),999),LEN(MID(TRIM(INDEX(PASTE_ALL,31,5)),1+(LEFT(TRIM(INDEX(PASTE_ALL,31,5)),1)="-"),999))-(RIGHT(MID(TRIM(INDEX(PASTE_ALL,31,5)),1+(LEFT(TRIM(INDEX(PASTE_ALL,31,5)),1)="-"),999),1)="%")),"0",""),"1",""),"2",""),"3",""),"4",""),"5",""),"6",""),"7",""),"8",""),"9",""),".",""),",","")=""),2,1))),1)</f>
        <v/>
      </c>
      <c r="AD80">
        <f>IFERROR(IF(ISNUMBER(INDEX(PASTE_ALL,31,6)),2,IF(TRIM(INDEX(PASTE_ALL,31,6))="",0,IF(AND(LEFT(MID(TRIM(INDEX(PASTE_ALL,31,6)),1+(LEFT(TRIM(INDEX(PASTE_ALL,31,6)),1)="-"),999),LEN(MID(TRIM(INDEX(PASTE_ALL,31,6)),1+(LEFT(TRIM(INDEX(PASTE_ALL,31,6)),1)="-"),999))-(RIGHT(MID(TRIM(INDEX(PASTE_ALL,31,6)),1+(LEFT(TRIM(INDEX(PASTE_ALL,31,6)),1)="-"),999),1)="%"))&lt;&gt;"",SUBSTITUTE(SUBSTITUTE(SUBSTITUTE(SUBSTITUTE(SUBSTITUTE(SUBSTITUTE(SUBSTITUTE(SUBSTITUTE(SUBSTITUTE(SUBSTITUTE(SUBSTITUTE(SUBSTITUTE(LEFT(MID(TRIM(INDEX(PASTE_ALL,31,6)),1+(LEFT(TRIM(INDEX(PASTE_ALL,31,6)),1)="-"),999),LEN(MID(TRIM(INDEX(PASTE_ALL,31,6)),1+(LEFT(TRIM(INDEX(PASTE_ALL,31,6)),1)="-"),999))-(RIGHT(MID(TRIM(INDEX(PASTE_ALL,31,6)),1+(LEFT(TRIM(INDEX(PASTE_ALL,31,6)),1)="-"),999),1)="%")),"0",""),"1",""),"2",""),"3",""),"4",""),"5",""),"6",""),"7",""),"8",""),"9",""),".",""),",","")=""),2,1))),1)</f>
        <v/>
      </c>
      <c r="AE80">
        <f>IFERROR(IF(ISNUMBER(INDEX(PASTE_ALL,31,7)),2,IF(TRIM(INDEX(PASTE_ALL,31,7))="",0,IF(AND(LEFT(MID(TRIM(INDEX(PASTE_ALL,31,7)),1+(LEFT(TRIM(INDEX(PASTE_ALL,31,7)),1)="-"),999),LEN(MID(TRIM(INDEX(PASTE_ALL,31,7)),1+(LEFT(TRIM(INDEX(PASTE_ALL,31,7)),1)="-"),999))-(RIGHT(MID(TRIM(INDEX(PASTE_ALL,31,7)),1+(LEFT(TRIM(INDEX(PASTE_ALL,31,7)),1)="-"),999),1)="%"))&lt;&gt;"",SUBSTITUTE(SUBSTITUTE(SUBSTITUTE(SUBSTITUTE(SUBSTITUTE(SUBSTITUTE(SUBSTITUTE(SUBSTITUTE(SUBSTITUTE(SUBSTITUTE(SUBSTITUTE(SUBSTITUTE(LEFT(MID(TRIM(INDEX(PASTE_ALL,31,7)),1+(LEFT(TRIM(INDEX(PASTE_ALL,31,7)),1)="-"),999),LEN(MID(TRIM(INDEX(PASTE_ALL,31,7)),1+(LEFT(TRIM(INDEX(PASTE_ALL,31,7)),1)="-"),999))-(RIGHT(MID(TRIM(INDEX(PASTE_ALL,31,7)),1+(LEFT(TRIM(INDEX(PASTE_ALL,31,7)),1)="-"),999),1)="%")),"0",""),"1",""),"2",""),"3",""),"4",""),"5",""),"6",""),"7",""),"8",""),"9",""),".",""),",","")=""),2,1))),1)</f>
        <v/>
      </c>
      <c r="AF80">
        <f>IFERROR(IF(ISNUMBER(INDEX(PASTE_ALL,31,8)),2,IF(TRIM(INDEX(PASTE_ALL,31,8))="",0,IF(AND(LEFT(MID(TRIM(INDEX(PASTE_ALL,31,8)),1+(LEFT(TRIM(INDEX(PASTE_ALL,31,8)),1)="-"),999),LEN(MID(TRIM(INDEX(PASTE_ALL,31,8)),1+(LEFT(TRIM(INDEX(PASTE_ALL,31,8)),1)="-"),999))-(RIGHT(MID(TRIM(INDEX(PASTE_ALL,31,8)),1+(LEFT(TRIM(INDEX(PASTE_ALL,31,8)),1)="-"),999),1)="%"))&lt;&gt;"",SUBSTITUTE(SUBSTITUTE(SUBSTITUTE(SUBSTITUTE(SUBSTITUTE(SUBSTITUTE(SUBSTITUTE(SUBSTITUTE(SUBSTITUTE(SUBSTITUTE(SUBSTITUTE(SUBSTITUTE(LEFT(MID(TRIM(INDEX(PASTE_ALL,31,8)),1+(LEFT(TRIM(INDEX(PASTE_ALL,31,8)),1)="-"),999),LEN(MID(TRIM(INDEX(PASTE_ALL,31,8)),1+(LEFT(TRIM(INDEX(PASTE_ALL,31,8)),1)="-"),999))-(RIGHT(MID(TRIM(INDEX(PASTE_ALL,31,8)),1+(LEFT(TRIM(INDEX(PASTE_ALL,31,8)),1)="-"),999),1)="%")),"0",""),"1",""),"2",""),"3",""),"4",""),"5",""),"6",""),"7",""),"8",""),"9",""),".",""),",","")=""),2,1))),1)</f>
        <v/>
      </c>
      <c r="AG80">
        <f>IFERROR(IF(ISNUMBER(INDEX(PASTE_ALL,31,9)),2,IF(TRIM(INDEX(PASTE_ALL,31,9))="",0,IF(AND(LEFT(MID(TRIM(INDEX(PASTE_ALL,31,9)),1+(LEFT(TRIM(INDEX(PASTE_ALL,31,9)),1)="-"),999),LEN(MID(TRIM(INDEX(PASTE_ALL,31,9)),1+(LEFT(TRIM(INDEX(PASTE_ALL,31,9)),1)="-"),999))-(RIGHT(MID(TRIM(INDEX(PASTE_ALL,31,9)),1+(LEFT(TRIM(INDEX(PASTE_ALL,31,9)),1)="-"),999),1)="%"))&lt;&gt;"",SUBSTITUTE(SUBSTITUTE(SUBSTITUTE(SUBSTITUTE(SUBSTITUTE(SUBSTITUTE(SUBSTITUTE(SUBSTITUTE(SUBSTITUTE(SUBSTITUTE(SUBSTITUTE(SUBSTITUTE(LEFT(MID(TRIM(INDEX(PASTE_ALL,31,9)),1+(LEFT(TRIM(INDEX(PASTE_ALL,31,9)),1)="-"),999),LEN(MID(TRIM(INDEX(PASTE_ALL,31,9)),1+(LEFT(TRIM(INDEX(PASTE_ALL,31,9)),1)="-"),999))-(RIGHT(MID(TRIM(INDEX(PASTE_ALL,31,9)),1+(LEFT(TRIM(INDEX(PASTE_ALL,31,9)),1)="-"),999),1)="%")),"0",""),"1",""),"2",""),"3",""),"4",""),"5",""),"6",""),"7",""),"8",""),"9",""),".",""),",","")=""),2,1))),1)</f>
        <v/>
      </c>
      <c r="AH80">
        <f>IFERROR(IF(ISNUMBER(INDEX(PASTE_ALL,31,10)),2,IF(TRIM(INDEX(PASTE_ALL,31,10))="",0,IF(AND(LEFT(MID(TRIM(INDEX(PASTE_ALL,31,10)),1+(LEFT(TRIM(INDEX(PASTE_ALL,31,10)),1)="-"),999),LEN(MID(TRIM(INDEX(PASTE_ALL,31,10)),1+(LEFT(TRIM(INDEX(PASTE_ALL,31,10)),1)="-"),999))-(RIGHT(MID(TRIM(INDEX(PASTE_ALL,31,10)),1+(LEFT(TRIM(INDEX(PASTE_ALL,31,10)),1)="-"),999),1)="%"))&lt;&gt;"",SUBSTITUTE(SUBSTITUTE(SUBSTITUTE(SUBSTITUTE(SUBSTITUTE(SUBSTITUTE(SUBSTITUTE(SUBSTITUTE(SUBSTITUTE(SUBSTITUTE(SUBSTITUTE(SUBSTITUTE(LEFT(MID(TRIM(INDEX(PASTE_ALL,31,10)),1+(LEFT(TRIM(INDEX(PASTE_ALL,31,10)),1)="-"),999),LEN(MID(TRIM(INDEX(PASTE_ALL,31,10)),1+(LEFT(TRIM(INDEX(PASTE_ALL,31,10)),1)="-"),999))-(RIGHT(MID(TRIM(INDEX(PASTE_ALL,31,10)),1+(LEFT(TRIM(INDEX(PASTE_ALL,31,10)),1)="-"),999),1)="%")),"0",""),"1",""),"2",""),"3",""),"4",""),"5",""),"6",""),"7",""),"8",""),"9",""),".",""),",","")=""),2,1))),1)</f>
        <v/>
      </c>
      <c r="AI80">
        <f>IFERROR(IF(ISNUMBER(INDEX(PASTE_ALL,31,11)),2,IF(TRIM(INDEX(PASTE_ALL,31,11))="",0,IF(AND(LEFT(MID(TRIM(INDEX(PASTE_ALL,31,11)),1+(LEFT(TRIM(INDEX(PASTE_ALL,31,11)),1)="-"),999),LEN(MID(TRIM(INDEX(PASTE_ALL,31,11)),1+(LEFT(TRIM(INDEX(PASTE_ALL,31,11)),1)="-"),999))-(RIGHT(MID(TRIM(INDEX(PASTE_ALL,31,11)),1+(LEFT(TRIM(INDEX(PASTE_ALL,31,11)),1)="-"),999),1)="%"))&lt;&gt;"",SUBSTITUTE(SUBSTITUTE(SUBSTITUTE(SUBSTITUTE(SUBSTITUTE(SUBSTITUTE(SUBSTITUTE(SUBSTITUTE(SUBSTITUTE(SUBSTITUTE(SUBSTITUTE(SUBSTITUTE(LEFT(MID(TRIM(INDEX(PASTE_ALL,31,11)),1+(LEFT(TRIM(INDEX(PASTE_ALL,31,11)),1)="-"),999),LEN(MID(TRIM(INDEX(PASTE_ALL,31,11)),1+(LEFT(TRIM(INDEX(PASTE_ALL,31,11)),1)="-"),999))-(RIGHT(MID(TRIM(INDEX(PASTE_ALL,31,11)),1+(LEFT(TRIM(INDEX(PASTE_ALL,31,11)),1)="-"),999),1)="%")),"0",""),"1",""),"2",""),"3",""),"4",""),"5",""),"6",""),"7",""),"8",""),"9",""),".",""),",","")=""),2,1))),1)</f>
        <v/>
      </c>
      <c r="AJ80">
        <f>IFERROR(IF(ISNUMBER(INDEX(PASTE_ALL,31,12)),2,IF(TRIM(INDEX(PASTE_ALL,31,12))="",0,IF(AND(LEFT(MID(TRIM(INDEX(PASTE_ALL,31,12)),1+(LEFT(TRIM(INDEX(PASTE_ALL,31,12)),1)="-"),999),LEN(MID(TRIM(INDEX(PASTE_ALL,31,12)),1+(LEFT(TRIM(INDEX(PASTE_ALL,31,12)),1)="-"),999))-(RIGHT(MID(TRIM(INDEX(PASTE_ALL,31,12)),1+(LEFT(TRIM(INDEX(PASTE_ALL,31,12)),1)="-"),999),1)="%"))&lt;&gt;"",SUBSTITUTE(SUBSTITUTE(SUBSTITUTE(SUBSTITUTE(SUBSTITUTE(SUBSTITUTE(SUBSTITUTE(SUBSTITUTE(SUBSTITUTE(SUBSTITUTE(SUBSTITUTE(SUBSTITUTE(LEFT(MID(TRIM(INDEX(PASTE_ALL,31,12)),1+(LEFT(TRIM(INDEX(PASTE_ALL,31,12)),1)="-"),999),LEN(MID(TRIM(INDEX(PASTE_ALL,31,12)),1+(LEFT(TRIM(INDEX(PASTE_ALL,31,12)),1)="-"),999))-(RIGHT(MID(TRIM(INDEX(PASTE_ALL,31,12)),1+(LEFT(TRIM(INDEX(PASTE_ALL,31,12)),1)="-"),999),1)="%")),"0",""),"1",""),"2",""),"3",""),"4",""),"5",""),"6",""),"7",""),"8",""),"9",""),".",""),",","")=""),2,1))),1)</f>
        <v/>
      </c>
      <c r="AK80">
        <f>IFERROR(IF(ISNUMBER(INDEX(PASTE_ALL,31,13)),2,IF(TRIM(INDEX(PASTE_ALL,31,13))="",0,IF(AND(LEFT(MID(TRIM(INDEX(PASTE_ALL,31,13)),1+(LEFT(TRIM(INDEX(PASTE_ALL,31,13)),1)="-"),999),LEN(MID(TRIM(INDEX(PASTE_ALL,31,13)),1+(LEFT(TRIM(INDEX(PASTE_ALL,31,13)),1)="-"),999))-(RIGHT(MID(TRIM(INDEX(PASTE_ALL,31,13)),1+(LEFT(TRIM(INDEX(PASTE_ALL,31,13)),1)="-"),999),1)="%"))&lt;&gt;"",SUBSTITUTE(SUBSTITUTE(SUBSTITUTE(SUBSTITUTE(SUBSTITUTE(SUBSTITUTE(SUBSTITUTE(SUBSTITUTE(SUBSTITUTE(SUBSTITUTE(SUBSTITUTE(SUBSTITUTE(LEFT(MID(TRIM(INDEX(PASTE_ALL,31,13)),1+(LEFT(TRIM(INDEX(PASTE_ALL,31,13)),1)="-"),999),LEN(MID(TRIM(INDEX(PASTE_ALL,31,13)),1+(LEFT(TRIM(INDEX(PASTE_ALL,31,13)),1)="-"),999))-(RIGHT(MID(TRIM(INDEX(PASTE_ALL,31,13)),1+(LEFT(TRIM(INDEX(PASTE_ALL,31,13)),1)="-"),999),1)="%")),"0",""),"1",""),"2",""),"3",""),"4",""),"5",""),"6",""),"7",""),"8",""),"9",""),".",""),",","")=""),2,1))),1)</f>
        <v/>
      </c>
      <c r="AL80">
        <f>IFERROR(IF(ISNUMBER(INDEX(PASTE_ALL,31,14)),2,IF(TRIM(INDEX(PASTE_ALL,31,14))="",0,IF(AND(LEFT(MID(TRIM(INDEX(PASTE_ALL,31,14)),1+(LEFT(TRIM(INDEX(PASTE_ALL,31,14)),1)="-"),999),LEN(MID(TRIM(INDEX(PASTE_ALL,31,14)),1+(LEFT(TRIM(INDEX(PASTE_ALL,31,14)),1)="-"),999))-(RIGHT(MID(TRIM(INDEX(PASTE_ALL,31,14)),1+(LEFT(TRIM(INDEX(PASTE_ALL,31,14)),1)="-"),999),1)="%"))&lt;&gt;"",SUBSTITUTE(SUBSTITUTE(SUBSTITUTE(SUBSTITUTE(SUBSTITUTE(SUBSTITUTE(SUBSTITUTE(SUBSTITUTE(SUBSTITUTE(SUBSTITUTE(SUBSTITUTE(SUBSTITUTE(LEFT(MID(TRIM(INDEX(PASTE_ALL,31,14)),1+(LEFT(TRIM(INDEX(PASTE_ALL,31,14)),1)="-"),999),LEN(MID(TRIM(INDEX(PASTE_ALL,31,14)),1+(LEFT(TRIM(INDEX(PASTE_ALL,31,14)),1)="-"),999))-(RIGHT(MID(TRIM(INDEX(PASTE_ALL,31,14)),1+(LEFT(TRIM(INDEX(PASTE_ALL,31,14)),1)="-"),999),1)="%")),"0",""),"1",""),"2",""),"3",""),"4",""),"5",""),"6",""),"7",""),"8",""),"9",""),".",""),",","")=""),2,1))),1)</f>
        <v/>
      </c>
      <c r="AM80">
        <f>IFERROR(IF(ISNUMBER(INDEX(PASTE_ALL,31,15)),2,IF(TRIM(INDEX(PASTE_ALL,31,15))="",0,IF(AND(LEFT(MID(TRIM(INDEX(PASTE_ALL,31,15)),1+(LEFT(TRIM(INDEX(PASTE_ALL,31,15)),1)="-"),999),LEN(MID(TRIM(INDEX(PASTE_ALL,31,15)),1+(LEFT(TRIM(INDEX(PASTE_ALL,31,15)),1)="-"),999))-(RIGHT(MID(TRIM(INDEX(PASTE_ALL,31,15)),1+(LEFT(TRIM(INDEX(PASTE_ALL,31,15)),1)="-"),999),1)="%"))&lt;&gt;"",SUBSTITUTE(SUBSTITUTE(SUBSTITUTE(SUBSTITUTE(SUBSTITUTE(SUBSTITUTE(SUBSTITUTE(SUBSTITUTE(SUBSTITUTE(SUBSTITUTE(SUBSTITUTE(SUBSTITUTE(LEFT(MID(TRIM(INDEX(PASTE_ALL,31,15)),1+(LEFT(TRIM(INDEX(PASTE_ALL,31,15)),1)="-"),999),LEN(MID(TRIM(INDEX(PASTE_ALL,31,15)),1+(LEFT(TRIM(INDEX(PASTE_ALL,31,15)),1)="-"),999))-(RIGHT(MID(TRIM(INDEX(PASTE_ALL,31,15)),1+(LEFT(TRIM(INDEX(PASTE_ALL,31,15)),1)="-"),999),1)="%")),"0",""),"1",""),"2",""),"3",""),"4",""),"5",""),"6",""),"7",""),"8",""),"9",""),".",""),",","")=""),2,1))),1)</f>
        <v/>
      </c>
      <c r="AN80">
        <f>IFERROR(IF(ISNUMBER(INDEX(PASTE_ALL,31,16)),2,IF(TRIM(INDEX(PASTE_ALL,31,16))="",0,IF(AND(LEFT(MID(TRIM(INDEX(PASTE_ALL,31,16)),1+(LEFT(TRIM(INDEX(PASTE_ALL,31,16)),1)="-"),999),LEN(MID(TRIM(INDEX(PASTE_ALL,31,16)),1+(LEFT(TRIM(INDEX(PASTE_ALL,31,16)),1)="-"),999))-(RIGHT(MID(TRIM(INDEX(PASTE_ALL,31,16)),1+(LEFT(TRIM(INDEX(PASTE_ALL,31,16)),1)="-"),999),1)="%"))&lt;&gt;"",SUBSTITUTE(SUBSTITUTE(SUBSTITUTE(SUBSTITUTE(SUBSTITUTE(SUBSTITUTE(SUBSTITUTE(SUBSTITUTE(SUBSTITUTE(SUBSTITUTE(SUBSTITUTE(SUBSTITUTE(LEFT(MID(TRIM(INDEX(PASTE_ALL,31,16)),1+(LEFT(TRIM(INDEX(PASTE_ALL,31,16)),1)="-"),999),LEN(MID(TRIM(INDEX(PASTE_ALL,31,16)),1+(LEFT(TRIM(INDEX(PASTE_ALL,31,16)),1)="-"),999))-(RIGHT(MID(TRIM(INDEX(PASTE_ALL,31,16)),1+(LEFT(TRIM(INDEX(PASTE_ALL,31,16)),1)="-"),999),1)="%")),"0",""),"1",""),"2",""),"3",""),"4",""),"5",""),"6",""),"7",""),"8",""),"9",""),".",""),",","")=""),2,1))),1)</f>
        <v/>
      </c>
      <c r="AO80">
        <f>IFERROR(IF(ISNUMBER(INDEX(PASTE_ALL,31,17)),2,IF(TRIM(INDEX(PASTE_ALL,31,17))="",0,IF(AND(LEFT(MID(TRIM(INDEX(PASTE_ALL,31,17)),1+(LEFT(TRIM(INDEX(PASTE_ALL,31,17)),1)="-"),999),LEN(MID(TRIM(INDEX(PASTE_ALL,31,17)),1+(LEFT(TRIM(INDEX(PASTE_ALL,31,17)),1)="-"),999))-(RIGHT(MID(TRIM(INDEX(PASTE_ALL,31,17)),1+(LEFT(TRIM(INDEX(PASTE_ALL,31,17)),1)="-"),999),1)="%"))&lt;&gt;"",SUBSTITUTE(SUBSTITUTE(SUBSTITUTE(SUBSTITUTE(SUBSTITUTE(SUBSTITUTE(SUBSTITUTE(SUBSTITUTE(SUBSTITUTE(SUBSTITUTE(SUBSTITUTE(SUBSTITUTE(LEFT(MID(TRIM(INDEX(PASTE_ALL,31,17)),1+(LEFT(TRIM(INDEX(PASTE_ALL,31,17)),1)="-"),999),LEN(MID(TRIM(INDEX(PASTE_ALL,31,17)),1+(LEFT(TRIM(INDEX(PASTE_ALL,31,17)),1)="-"),999))-(RIGHT(MID(TRIM(INDEX(PASTE_ALL,31,17)),1+(LEFT(TRIM(INDEX(PASTE_ALL,31,17)),1)="-"),999),1)="%")),"0",""),"1",""),"2",""),"3",""),"4",""),"5",""),"6",""),"7",""),"8",""),"9",""),".",""),",","")=""),2,1))),1)</f>
        <v/>
      </c>
      <c r="AP80">
        <f>IFERROR(IF(ISNUMBER(INDEX(PASTE_ALL,31,18)),2,IF(TRIM(INDEX(PASTE_ALL,31,18))="",0,IF(AND(LEFT(MID(TRIM(INDEX(PASTE_ALL,31,18)),1+(LEFT(TRIM(INDEX(PASTE_ALL,31,18)),1)="-"),999),LEN(MID(TRIM(INDEX(PASTE_ALL,31,18)),1+(LEFT(TRIM(INDEX(PASTE_ALL,31,18)),1)="-"),999))-(RIGHT(MID(TRIM(INDEX(PASTE_ALL,31,18)),1+(LEFT(TRIM(INDEX(PASTE_ALL,31,18)),1)="-"),999),1)="%"))&lt;&gt;"",SUBSTITUTE(SUBSTITUTE(SUBSTITUTE(SUBSTITUTE(SUBSTITUTE(SUBSTITUTE(SUBSTITUTE(SUBSTITUTE(SUBSTITUTE(SUBSTITUTE(SUBSTITUTE(SUBSTITUTE(LEFT(MID(TRIM(INDEX(PASTE_ALL,31,18)),1+(LEFT(TRIM(INDEX(PASTE_ALL,31,18)),1)="-"),999),LEN(MID(TRIM(INDEX(PASTE_ALL,31,18)),1+(LEFT(TRIM(INDEX(PASTE_ALL,31,18)),1)="-"),999))-(RIGHT(MID(TRIM(INDEX(PASTE_ALL,31,18)),1+(LEFT(TRIM(INDEX(PASTE_ALL,31,18)),1)="-"),999),1)="%")),"0",""),"1",""),"2",""),"3",""),"4",""),"5",""),"6",""),"7",""),"8",""),"9",""),".",""),",","")=""),2,1))),1)</f>
        <v/>
      </c>
      <c r="AQ80">
        <f>IFERROR(IF(ISNUMBER(INDEX(PASTE_ALL,31,19)),2,IF(TRIM(INDEX(PASTE_ALL,31,19))="",0,IF(AND(LEFT(MID(TRIM(INDEX(PASTE_ALL,31,19)),1+(LEFT(TRIM(INDEX(PASTE_ALL,31,19)),1)="-"),999),LEN(MID(TRIM(INDEX(PASTE_ALL,31,19)),1+(LEFT(TRIM(INDEX(PASTE_ALL,31,19)),1)="-"),999))-(RIGHT(MID(TRIM(INDEX(PASTE_ALL,31,19)),1+(LEFT(TRIM(INDEX(PASTE_ALL,31,19)),1)="-"),999),1)="%"))&lt;&gt;"",SUBSTITUTE(SUBSTITUTE(SUBSTITUTE(SUBSTITUTE(SUBSTITUTE(SUBSTITUTE(SUBSTITUTE(SUBSTITUTE(SUBSTITUTE(SUBSTITUTE(SUBSTITUTE(SUBSTITUTE(LEFT(MID(TRIM(INDEX(PASTE_ALL,31,19)),1+(LEFT(TRIM(INDEX(PASTE_ALL,31,19)),1)="-"),999),LEN(MID(TRIM(INDEX(PASTE_ALL,31,19)),1+(LEFT(TRIM(INDEX(PASTE_ALL,31,19)),1)="-"),999))-(RIGHT(MID(TRIM(INDEX(PASTE_ALL,31,19)),1+(LEFT(TRIM(INDEX(PASTE_ALL,31,19)),1)="-"),999),1)="%")),"0",""),"1",""),"2",""),"3",""),"4",""),"5",""),"6",""),"7",""),"8",""),"9",""),".",""),",","")=""),2,1))),1)</f>
        <v/>
      </c>
      <c r="AR80">
        <f>IFERROR(IF(ISNUMBER(INDEX(PASTE_ALL,31,20)),2,IF(TRIM(INDEX(PASTE_ALL,31,20))="",0,IF(AND(LEFT(MID(TRIM(INDEX(PASTE_ALL,31,20)),1+(LEFT(TRIM(INDEX(PASTE_ALL,31,20)),1)="-"),999),LEN(MID(TRIM(INDEX(PASTE_ALL,31,20)),1+(LEFT(TRIM(INDEX(PASTE_ALL,31,20)),1)="-"),999))-(RIGHT(MID(TRIM(INDEX(PASTE_ALL,31,20)),1+(LEFT(TRIM(INDEX(PASTE_ALL,31,20)),1)="-"),999),1)="%"))&lt;&gt;"",SUBSTITUTE(SUBSTITUTE(SUBSTITUTE(SUBSTITUTE(SUBSTITUTE(SUBSTITUTE(SUBSTITUTE(SUBSTITUTE(SUBSTITUTE(SUBSTITUTE(SUBSTITUTE(SUBSTITUTE(LEFT(MID(TRIM(INDEX(PASTE_ALL,31,20)),1+(LEFT(TRIM(INDEX(PASTE_ALL,31,20)),1)="-"),999),LEN(MID(TRIM(INDEX(PASTE_ALL,31,20)),1+(LEFT(TRIM(INDEX(PASTE_ALL,31,20)),1)="-"),999))-(RIGHT(MID(TRIM(INDEX(PASTE_ALL,31,20)),1+(LEFT(TRIM(INDEX(PASTE_ALL,31,20)),1)="-"),999),1)="%")),"0",""),"1",""),"2",""),"3",""),"4",""),"5",""),"6",""),"7",""),"8",""),"9",""),".",""),",","")=""),2,1))),1)</f>
        <v/>
      </c>
      <c r="AS80">
        <f>IFERROR(IF(ISNUMBER(INDEX(PASTE_ALL,31,21)),2,IF(TRIM(INDEX(PASTE_ALL,31,21))="",0,IF(AND(LEFT(MID(TRIM(INDEX(PASTE_ALL,31,21)),1+(LEFT(TRIM(INDEX(PASTE_ALL,31,21)),1)="-"),999),LEN(MID(TRIM(INDEX(PASTE_ALL,31,21)),1+(LEFT(TRIM(INDEX(PASTE_ALL,31,21)),1)="-"),999))-(RIGHT(MID(TRIM(INDEX(PASTE_ALL,31,21)),1+(LEFT(TRIM(INDEX(PASTE_ALL,31,21)),1)="-"),999),1)="%"))&lt;&gt;"",SUBSTITUTE(SUBSTITUTE(SUBSTITUTE(SUBSTITUTE(SUBSTITUTE(SUBSTITUTE(SUBSTITUTE(SUBSTITUTE(SUBSTITUTE(SUBSTITUTE(SUBSTITUTE(SUBSTITUTE(LEFT(MID(TRIM(INDEX(PASTE_ALL,31,21)),1+(LEFT(TRIM(INDEX(PASTE_ALL,31,21)),1)="-"),999),LEN(MID(TRIM(INDEX(PASTE_ALL,31,21)),1+(LEFT(TRIM(INDEX(PASTE_ALL,31,21)),1)="-"),999))-(RIGHT(MID(TRIM(INDEX(PASTE_ALL,31,21)),1+(LEFT(TRIM(INDEX(PASTE_ALL,31,21)),1)="-"),999),1)="%")),"0",""),"1",""),"2",""),"3",""),"4",""),"5",""),"6",""),"7",""),"8",""),"9",""),".",""),",","")=""),2,1))),1)</f>
        <v/>
      </c>
      <c r="AT80">
        <f>IFERROR(IF(ISNUMBER(INDEX(PASTE_ALL,31,22)),2,IF(TRIM(INDEX(PASTE_ALL,31,22))="",0,IF(AND(LEFT(MID(TRIM(INDEX(PASTE_ALL,31,22)),1+(LEFT(TRIM(INDEX(PASTE_ALL,31,22)),1)="-"),999),LEN(MID(TRIM(INDEX(PASTE_ALL,31,22)),1+(LEFT(TRIM(INDEX(PASTE_ALL,31,22)),1)="-"),999))-(RIGHT(MID(TRIM(INDEX(PASTE_ALL,31,22)),1+(LEFT(TRIM(INDEX(PASTE_ALL,31,22)),1)="-"),999),1)="%"))&lt;&gt;"",SUBSTITUTE(SUBSTITUTE(SUBSTITUTE(SUBSTITUTE(SUBSTITUTE(SUBSTITUTE(SUBSTITUTE(SUBSTITUTE(SUBSTITUTE(SUBSTITUTE(SUBSTITUTE(SUBSTITUTE(LEFT(MID(TRIM(INDEX(PASTE_ALL,31,22)),1+(LEFT(TRIM(INDEX(PASTE_ALL,31,22)),1)="-"),999),LEN(MID(TRIM(INDEX(PASTE_ALL,31,22)),1+(LEFT(TRIM(INDEX(PASTE_ALL,31,22)),1)="-"),999))-(RIGHT(MID(TRIM(INDEX(PASTE_ALL,31,22)),1+(LEFT(TRIM(INDEX(PASTE_ALL,31,22)),1)="-"),999),1)="%")),"0",""),"1",""),"2",""),"3",""),"4",""),"5",""),"6",""),"7",""),"8",""),"9",""),".",""),",","")=""),2,1))),1)</f>
        <v/>
      </c>
      <c r="AU80">
        <f>IFERROR(IF(ISNUMBER(INDEX(PASTE_ALL,31,23)),2,IF(TRIM(INDEX(PASTE_ALL,31,23))="",0,IF(AND(LEFT(MID(TRIM(INDEX(PASTE_ALL,31,23)),1+(LEFT(TRIM(INDEX(PASTE_ALL,31,23)),1)="-"),999),LEN(MID(TRIM(INDEX(PASTE_ALL,31,23)),1+(LEFT(TRIM(INDEX(PASTE_ALL,31,23)),1)="-"),999))-(RIGHT(MID(TRIM(INDEX(PASTE_ALL,31,23)),1+(LEFT(TRIM(INDEX(PASTE_ALL,31,23)),1)="-"),999),1)="%"))&lt;&gt;"",SUBSTITUTE(SUBSTITUTE(SUBSTITUTE(SUBSTITUTE(SUBSTITUTE(SUBSTITUTE(SUBSTITUTE(SUBSTITUTE(SUBSTITUTE(SUBSTITUTE(SUBSTITUTE(SUBSTITUTE(LEFT(MID(TRIM(INDEX(PASTE_ALL,31,23)),1+(LEFT(TRIM(INDEX(PASTE_ALL,31,23)),1)="-"),999),LEN(MID(TRIM(INDEX(PASTE_ALL,31,23)),1+(LEFT(TRIM(INDEX(PASTE_ALL,31,23)),1)="-"),999))-(RIGHT(MID(TRIM(INDEX(PASTE_ALL,31,23)),1+(LEFT(TRIM(INDEX(PASTE_ALL,31,23)),1)="-"),999),1)="%")),"0",""),"1",""),"2",""),"3",""),"4",""),"5",""),"6",""),"7",""),"8",""),"9",""),".",""),",","")=""),2,1))),1)</f>
        <v/>
      </c>
      <c r="AV80">
        <f>IFERROR(IF(ISNUMBER(INDEX(PASTE_ALL,31,24)),2,IF(TRIM(INDEX(PASTE_ALL,31,24))="",0,IF(AND(LEFT(MID(TRIM(INDEX(PASTE_ALL,31,24)),1+(LEFT(TRIM(INDEX(PASTE_ALL,31,24)),1)="-"),999),LEN(MID(TRIM(INDEX(PASTE_ALL,31,24)),1+(LEFT(TRIM(INDEX(PASTE_ALL,31,24)),1)="-"),999))-(RIGHT(MID(TRIM(INDEX(PASTE_ALL,31,24)),1+(LEFT(TRIM(INDEX(PASTE_ALL,31,24)),1)="-"),999),1)="%"))&lt;&gt;"",SUBSTITUTE(SUBSTITUTE(SUBSTITUTE(SUBSTITUTE(SUBSTITUTE(SUBSTITUTE(SUBSTITUTE(SUBSTITUTE(SUBSTITUTE(SUBSTITUTE(SUBSTITUTE(SUBSTITUTE(LEFT(MID(TRIM(INDEX(PASTE_ALL,31,24)),1+(LEFT(TRIM(INDEX(PASTE_ALL,31,24)),1)="-"),999),LEN(MID(TRIM(INDEX(PASTE_ALL,31,24)),1+(LEFT(TRIM(INDEX(PASTE_ALL,31,24)),1)="-"),999))-(RIGHT(MID(TRIM(INDEX(PASTE_ALL,31,24)),1+(LEFT(TRIM(INDEX(PASTE_ALL,31,24)),1)="-"),999),1)="%")),"0",""),"1",""),"2",""),"3",""),"4",""),"5",""),"6",""),"7",""),"8",""),"9",""),".",""),",","")=""),2,1))),1)</f>
        <v/>
      </c>
      <c r="AW80">
        <f>IFERROR(IF(ISNUMBER(INDEX(PASTE_ALL,31,25)),2,IF(TRIM(INDEX(PASTE_ALL,31,25))="",0,IF(AND(LEFT(MID(TRIM(INDEX(PASTE_ALL,31,25)),1+(LEFT(TRIM(INDEX(PASTE_ALL,31,25)),1)="-"),999),LEN(MID(TRIM(INDEX(PASTE_ALL,31,25)),1+(LEFT(TRIM(INDEX(PASTE_ALL,31,25)),1)="-"),999))-(RIGHT(MID(TRIM(INDEX(PASTE_ALL,31,25)),1+(LEFT(TRIM(INDEX(PASTE_ALL,31,25)),1)="-"),999),1)="%"))&lt;&gt;"",SUBSTITUTE(SUBSTITUTE(SUBSTITUTE(SUBSTITUTE(SUBSTITUTE(SUBSTITUTE(SUBSTITUTE(SUBSTITUTE(SUBSTITUTE(SUBSTITUTE(SUBSTITUTE(SUBSTITUTE(LEFT(MID(TRIM(INDEX(PASTE_ALL,31,25)),1+(LEFT(TRIM(INDEX(PASTE_ALL,31,25)),1)="-"),999),LEN(MID(TRIM(INDEX(PASTE_ALL,31,25)),1+(LEFT(TRIM(INDEX(PASTE_ALL,31,25)),1)="-"),999))-(RIGHT(MID(TRIM(INDEX(PASTE_ALL,31,25)),1+(LEFT(TRIM(INDEX(PASTE_ALL,31,25)),1)="-"),999),1)="%")),"0",""),"1",""),"2",""),"3",""),"4",""),"5",""),"6",""),"7",""),"8",""),"9",""),".",""),",","")=""),2,1))),1)</f>
        <v/>
      </c>
      <c r="AX80">
        <f>IFERROR(IF(ISNUMBER(INDEX(PASTE_ALL,31,26)),2,IF(TRIM(INDEX(PASTE_ALL,31,26))="",0,IF(AND(LEFT(MID(TRIM(INDEX(PASTE_ALL,31,26)),1+(LEFT(TRIM(INDEX(PASTE_ALL,31,26)),1)="-"),999),LEN(MID(TRIM(INDEX(PASTE_ALL,31,26)),1+(LEFT(TRIM(INDEX(PASTE_ALL,31,26)),1)="-"),999))-(RIGHT(MID(TRIM(INDEX(PASTE_ALL,31,26)),1+(LEFT(TRIM(INDEX(PASTE_ALL,31,26)),1)="-"),999),1)="%"))&lt;&gt;"",SUBSTITUTE(SUBSTITUTE(SUBSTITUTE(SUBSTITUTE(SUBSTITUTE(SUBSTITUTE(SUBSTITUTE(SUBSTITUTE(SUBSTITUTE(SUBSTITUTE(SUBSTITUTE(SUBSTITUTE(LEFT(MID(TRIM(INDEX(PASTE_ALL,31,26)),1+(LEFT(TRIM(INDEX(PASTE_ALL,31,26)),1)="-"),999),LEN(MID(TRIM(INDEX(PASTE_ALL,31,26)),1+(LEFT(TRIM(INDEX(PASTE_ALL,31,26)),1)="-"),999))-(RIGHT(MID(TRIM(INDEX(PASTE_ALL,31,26)),1+(LEFT(TRIM(INDEX(PASTE_ALL,31,26)),1)="-"),999),1)="%")),"0",""),"1",""),"2",""),"3",""),"4",""),"5",""),"6",""),"7",""),"8",""),"9",""),".",""),",","")=""),2,1))),1)</f>
        <v/>
      </c>
      <c r="AY80">
        <f>IFERROR(IF(ISNUMBER(INDEX(PASTE_ALL,31,27)),2,IF(TRIM(INDEX(PASTE_ALL,31,27))="",0,IF(AND(LEFT(MID(TRIM(INDEX(PASTE_ALL,31,27)),1+(LEFT(TRIM(INDEX(PASTE_ALL,31,27)),1)="-"),999),LEN(MID(TRIM(INDEX(PASTE_ALL,31,27)),1+(LEFT(TRIM(INDEX(PASTE_ALL,31,27)),1)="-"),999))-(RIGHT(MID(TRIM(INDEX(PASTE_ALL,31,27)),1+(LEFT(TRIM(INDEX(PASTE_ALL,31,27)),1)="-"),999),1)="%"))&lt;&gt;"",SUBSTITUTE(SUBSTITUTE(SUBSTITUTE(SUBSTITUTE(SUBSTITUTE(SUBSTITUTE(SUBSTITUTE(SUBSTITUTE(SUBSTITUTE(SUBSTITUTE(SUBSTITUTE(SUBSTITUTE(LEFT(MID(TRIM(INDEX(PASTE_ALL,31,27)),1+(LEFT(TRIM(INDEX(PASTE_ALL,31,27)),1)="-"),999),LEN(MID(TRIM(INDEX(PASTE_ALL,31,27)),1+(LEFT(TRIM(INDEX(PASTE_ALL,31,27)),1)="-"),999))-(RIGHT(MID(TRIM(INDEX(PASTE_ALL,31,27)),1+(LEFT(TRIM(INDEX(PASTE_ALL,31,27)),1)="-"),999),1)="%")),"0",""),"1",""),"2",""),"3",""),"4",""),"5",""),"6",""),"7",""),"8",""),"9",""),".",""),",","")=""),2,1))),1)</f>
        <v/>
      </c>
      <c r="AZ80">
        <f>IFERROR(IF(ISNUMBER(INDEX(PASTE_ALL,31,28)),2,IF(TRIM(INDEX(PASTE_ALL,31,28))="",0,IF(AND(LEFT(MID(TRIM(INDEX(PASTE_ALL,31,28)),1+(LEFT(TRIM(INDEX(PASTE_ALL,31,28)),1)="-"),999),LEN(MID(TRIM(INDEX(PASTE_ALL,31,28)),1+(LEFT(TRIM(INDEX(PASTE_ALL,31,28)),1)="-"),999))-(RIGHT(MID(TRIM(INDEX(PASTE_ALL,31,28)),1+(LEFT(TRIM(INDEX(PASTE_ALL,31,28)),1)="-"),999),1)="%"))&lt;&gt;"",SUBSTITUTE(SUBSTITUTE(SUBSTITUTE(SUBSTITUTE(SUBSTITUTE(SUBSTITUTE(SUBSTITUTE(SUBSTITUTE(SUBSTITUTE(SUBSTITUTE(SUBSTITUTE(SUBSTITUTE(LEFT(MID(TRIM(INDEX(PASTE_ALL,31,28)),1+(LEFT(TRIM(INDEX(PASTE_ALL,31,28)),1)="-"),999),LEN(MID(TRIM(INDEX(PASTE_ALL,31,28)),1+(LEFT(TRIM(INDEX(PASTE_ALL,31,28)),1)="-"),999))-(RIGHT(MID(TRIM(INDEX(PASTE_ALL,31,28)),1+(LEFT(TRIM(INDEX(PASTE_ALL,31,28)),1)="-"),999),1)="%")),"0",""),"1",""),"2",""),"3",""),"4",""),"5",""),"6",""),"7",""),"8",""),"9",""),".",""),",","")=""),2,1))),1)</f>
        <v/>
      </c>
      <c r="BA80">
        <f>IFERROR(IF(ISNUMBER(INDEX(PASTE_ALL,31,29)),2,IF(TRIM(INDEX(PASTE_ALL,31,29))="",0,IF(AND(LEFT(MID(TRIM(INDEX(PASTE_ALL,31,29)),1+(LEFT(TRIM(INDEX(PASTE_ALL,31,29)),1)="-"),999),LEN(MID(TRIM(INDEX(PASTE_ALL,31,29)),1+(LEFT(TRIM(INDEX(PASTE_ALL,31,29)),1)="-"),999))-(RIGHT(MID(TRIM(INDEX(PASTE_ALL,31,29)),1+(LEFT(TRIM(INDEX(PASTE_ALL,31,29)),1)="-"),999),1)="%"))&lt;&gt;"",SUBSTITUTE(SUBSTITUTE(SUBSTITUTE(SUBSTITUTE(SUBSTITUTE(SUBSTITUTE(SUBSTITUTE(SUBSTITUTE(SUBSTITUTE(SUBSTITUTE(SUBSTITUTE(SUBSTITUTE(LEFT(MID(TRIM(INDEX(PASTE_ALL,31,29)),1+(LEFT(TRIM(INDEX(PASTE_ALL,31,29)),1)="-"),999),LEN(MID(TRIM(INDEX(PASTE_ALL,31,29)),1+(LEFT(TRIM(INDEX(PASTE_ALL,31,29)),1)="-"),999))-(RIGHT(MID(TRIM(INDEX(PASTE_ALL,31,29)),1+(LEFT(TRIM(INDEX(PASTE_ALL,31,29)),1)="-"),999),1)="%")),"0",""),"1",""),"2",""),"3",""),"4",""),"5",""),"6",""),"7",""),"8",""),"9",""),".",""),",","")=""),2,1))),1)</f>
        <v/>
      </c>
      <c r="BB80">
        <f>IFERROR(IF(ISNUMBER(INDEX(PASTE_ALL,31,30)),2,IF(TRIM(INDEX(PASTE_ALL,31,30))="",0,IF(AND(LEFT(MID(TRIM(INDEX(PASTE_ALL,31,30)),1+(LEFT(TRIM(INDEX(PASTE_ALL,31,30)),1)="-"),999),LEN(MID(TRIM(INDEX(PASTE_ALL,31,30)),1+(LEFT(TRIM(INDEX(PASTE_ALL,31,30)),1)="-"),999))-(RIGHT(MID(TRIM(INDEX(PASTE_ALL,31,30)),1+(LEFT(TRIM(INDEX(PASTE_ALL,31,30)),1)="-"),999),1)="%"))&lt;&gt;"",SUBSTITUTE(SUBSTITUTE(SUBSTITUTE(SUBSTITUTE(SUBSTITUTE(SUBSTITUTE(SUBSTITUTE(SUBSTITUTE(SUBSTITUTE(SUBSTITUTE(SUBSTITUTE(SUBSTITUTE(LEFT(MID(TRIM(INDEX(PASTE_ALL,31,30)),1+(LEFT(TRIM(INDEX(PASTE_ALL,31,30)),1)="-"),999),LEN(MID(TRIM(INDEX(PASTE_ALL,31,30)),1+(LEFT(TRIM(INDEX(PASTE_ALL,31,30)),1)="-"),999))-(RIGHT(MID(TRIM(INDEX(PASTE_ALL,31,30)),1+(LEFT(TRIM(INDEX(PASTE_ALL,31,30)),1)="-"),999),1)="%")),"0",""),"1",""),"2",""),"3",""),"4",""),"5",""),"6",""),"7",""),"8",""),"9",""),".",""),",","")=""),2,1))),1)</f>
        <v/>
      </c>
      <c r="BC80">
        <f>IFERROR(IF(ISNUMBER(INDEX(PASTE_ALL,31,31)),2,IF(TRIM(INDEX(PASTE_ALL,31,31))="",0,IF(AND(LEFT(MID(TRIM(INDEX(PASTE_ALL,31,31)),1+(LEFT(TRIM(INDEX(PASTE_ALL,31,31)),1)="-"),999),LEN(MID(TRIM(INDEX(PASTE_ALL,31,31)),1+(LEFT(TRIM(INDEX(PASTE_ALL,31,31)),1)="-"),999))-(RIGHT(MID(TRIM(INDEX(PASTE_ALL,31,31)),1+(LEFT(TRIM(INDEX(PASTE_ALL,31,31)),1)="-"),999),1)="%"))&lt;&gt;"",SUBSTITUTE(SUBSTITUTE(SUBSTITUTE(SUBSTITUTE(SUBSTITUTE(SUBSTITUTE(SUBSTITUTE(SUBSTITUTE(SUBSTITUTE(SUBSTITUTE(SUBSTITUTE(SUBSTITUTE(LEFT(MID(TRIM(INDEX(PASTE_ALL,31,31)),1+(LEFT(TRIM(INDEX(PASTE_ALL,31,31)),1)="-"),999),LEN(MID(TRIM(INDEX(PASTE_ALL,31,31)),1+(LEFT(TRIM(INDEX(PASTE_ALL,31,31)),1)="-"),999))-(RIGHT(MID(TRIM(INDEX(PASTE_ALL,31,31)),1+(LEFT(TRIM(INDEX(PASTE_ALL,31,31)),1)="-"),999),1)="%")),"0",""),"1",""),"2",""),"3",""),"4",""),"5",""),"6",""),"7",""),"8",""),"9",""),".",""),",","")=""),2,1))),1)</f>
        <v/>
      </c>
      <c r="BD80">
        <f>IFERROR(IF(ISNUMBER(INDEX(PASTE_ALL,31,32)),2,IF(TRIM(INDEX(PASTE_ALL,31,32))="",0,IF(AND(LEFT(MID(TRIM(INDEX(PASTE_ALL,31,32)),1+(LEFT(TRIM(INDEX(PASTE_ALL,31,32)),1)="-"),999),LEN(MID(TRIM(INDEX(PASTE_ALL,31,32)),1+(LEFT(TRIM(INDEX(PASTE_ALL,31,32)),1)="-"),999))-(RIGHT(MID(TRIM(INDEX(PASTE_ALL,31,32)),1+(LEFT(TRIM(INDEX(PASTE_ALL,31,32)),1)="-"),999),1)="%"))&lt;&gt;"",SUBSTITUTE(SUBSTITUTE(SUBSTITUTE(SUBSTITUTE(SUBSTITUTE(SUBSTITUTE(SUBSTITUTE(SUBSTITUTE(SUBSTITUTE(SUBSTITUTE(SUBSTITUTE(SUBSTITUTE(LEFT(MID(TRIM(INDEX(PASTE_ALL,31,32)),1+(LEFT(TRIM(INDEX(PASTE_ALL,31,32)),1)="-"),999),LEN(MID(TRIM(INDEX(PASTE_ALL,31,32)),1+(LEFT(TRIM(INDEX(PASTE_ALL,31,32)),1)="-"),999))-(RIGHT(MID(TRIM(INDEX(PASTE_ALL,31,32)),1+(LEFT(TRIM(INDEX(PASTE_ALL,31,32)),1)="-"),999),1)="%")),"0",""),"1",""),"2",""),"3",""),"4",""),"5",""),"6",""),"7",""),"8",""),"9",""),".",""),",","")=""),2,1))),1)</f>
        <v/>
      </c>
      <c r="BE80">
        <f>IFERROR(IF(ISNUMBER(INDEX(PASTE_ALL,31,33)),2,IF(TRIM(INDEX(PASTE_ALL,31,33))="",0,IF(AND(LEFT(MID(TRIM(INDEX(PASTE_ALL,31,33)),1+(LEFT(TRIM(INDEX(PASTE_ALL,31,33)),1)="-"),999),LEN(MID(TRIM(INDEX(PASTE_ALL,31,33)),1+(LEFT(TRIM(INDEX(PASTE_ALL,31,33)),1)="-"),999))-(RIGHT(MID(TRIM(INDEX(PASTE_ALL,31,33)),1+(LEFT(TRIM(INDEX(PASTE_ALL,31,33)),1)="-"),999),1)="%"))&lt;&gt;"",SUBSTITUTE(SUBSTITUTE(SUBSTITUTE(SUBSTITUTE(SUBSTITUTE(SUBSTITUTE(SUBSTITUTE(SUBSTITUTE(SUBSTITUTE(SUBSTITUTE(SUBSTITUTE(SUBSTITUTE(LEFT(MID(TRIM(INDEX(PASTE_ALL,31,33)),1+(LEFT(TRIM(INDEX(PASTE_ALL,31,33)),1)="-"),999),LEN(MID(TRIM(INDEX(PASTE_ALL,31,33)),1+(LEFT(TRIM(INDEX(PASTE_ALL,31,33)),1)="-"),999))-(RIGHT(MID(TRIM(INDEX(PASTE_ALL,31,33)),1+(LEFT(TRIM(INDEX(PASTE_ALL,31,33)),1)="-"),999),1)="%")),"0",""),"1",""),"2",""),"3",""),"4",""),"5",""),"6",""),"7",""),"8",""),"9",""),".",""),",","")=""),2,1))),1)</f>
        <v/>
      </c>
      <c r="BF80">
        <f>IFERROR(IF(ISNUMBER(INDEX(PASTE_ALL,31,34)),2,IF(TRIM(INDEX(PASTE_ALL,31,34))="",0,IF(AND(LEFT(MID(TRIM(INDEX(PASTE_ALL,31,34)),1+(LEFT(TRIM(INDEX(PASTE_ALL,31,34)),1)="-"),999),LEN(MID(TRIM(INDEX(PASTE_ALL,31,34)),1+(LEFT(TRIM(INDEX(PASTE_ALL,31,34)),1)="-"),999))-(RIGHT(MID(TRIM(INDEX(PASTE_ALL,31,34)),1+(LEFT(TRIM(INDEX(PASTE_ALL,31,34)),1)="-"),999),1)="%"))&lt;&gt;"",SUBSTITUTE(SUBSTITUTE(SUBSTITUTE(SUBSTITUTE(SUBSTITUTE(SUBSTITUTE(SUBSTITUTE(SUBSTITUTE(SUBSTITUTE(SUBSTITUTE(SUBSTITUTE(SUBSTITUTE(LEFT(MID(TRIM(INDEX(PASTE_ALL,31,34)),1+(LEFT(TRIM(INDEX(PASTE_ALL,31,34)),1)="-"),999),LEN(MID(TRIM(INDEX(PASTE_ALL,31,34)),1+(LEFT(TRIM(INDEX(PASTE_ALL,31,34)),1)="-"),999))-(RIGHT(MID(TRIM(INDEX(PASTE_ALL,31,34)),1+(LEFT(TRIM(INDEX(PASTE_ALL,31,34)),1)="-"),999),1)="%")),"0",""),"1",""),"2",""),"3",""),"4",""),"5",""),"6",""),"7",""),"8",""),"9",""),".",""),",","")=""),2,1))),1)</f>
        <v/>
      </c>
      <c r="BG80">
        <f>IFERROR(IF(ISNUMBER(INDEX(PASTE_ALL,31,35)),2,IF(TRIM(INDEX(PASTE_ALL,31,35))="",0,IF(AND(LEFT(MID(TRIM(INDEX(PASTE_ALL,31,35)),1+(LEFT(TRIM(INDEX(PASTE_ALL,31,35)),1)="-"),999),LEN(MID(TRIM(INDEX(PASTE_ALL,31,35)),1+(LEFT(TRIM(INDEX(PASTE_ALL,31,35)),1)="-"),999))-(RIGHT(MID(TRIM(INDEX(PASTE_ALL,31,35)),1+(LEFT(TRIM(INDEX(PASTE_ALL,31,35)),1)="-"),999),1)="%"))&lt;&gt;"",SUBSTITUTE(SUBSTITUTE(SUBSTITUTE(SUBSTITUTE(SUBSTITUTE(SUBSTITUTE(SUBSTITUTE(SUBSTITUTE(SUBSTITUTE(SUBSTITUTE(SUBSTITUTE(SUBSTITUTE(LEFT(MID(TRIM(INDEX(PASTE_ALL,31,35)),1+(LEFT(TRIM(INDEX(PASTE_ALL,31,35)),1)="-"),999),LEN(MID(TRIM(INDEX(PASTE_ALL,31,35)),1+(LEFT(TRIM(INDEX(PASTE_ALL,31,35)),1)="-"),999))-(RIGHT(MID(TRIM(INDEX(PASTE_ALL,31,35)),1+(LEFT(TRIM(INDEX(PASTE_ALL,31,35)),1)="-"),999),1)="%")),"0",""),"1",""),"2",""),"3",""),"4",""),"5",""),"6",""),"7",""),"8",""),"9",""),".",""),",","")=""),2,1))),1)</f>
        <v/>
      </c>
      <c r="BH80">
        <f>IFERROR(IF(ISNUMBER(INDEX(PASTE_ALL,31,36)),2,IF(TRIM(INDEX(PASTE_ALL,31,36))="",0,IF(AND(LEFT(MID(TRIM(INDEX(PASTE_ALL,31,36)),1+(LEFT(TRIM(INDEX(PASTE_ALL,31,36)),1)="-"),999),LEN(MID(TRIM(INDEX(PASTE_ALL,31,36)),1+(LEFT(TRIM(INDEX(PASTE_ALL,31,36)),1)="-"),999))-(RIGHT(MID(TRIM(INDEX(PASTE_ALL,31,36)),1+(LEFT(TRIM(INDEX(PASTE_ALL,31,36)),1)="-"),999),1)="%"))&lt;&gt;"",SUBSTITUTE(SUBSTITUTE(SUBSTITUTE(SUBSTITUTE(SUBSTITUTE(SUBSTITUTE(SUBSTITUTE(SUBSTITUTE(SUBSTITUTE(SUBSTITUTE(SUBSTITUTE(SUBSTITUTE(LEFT(MID(TRIM(INDEX(PASTE_ALL,31,36)),1+(LEFT(TRIM(INDEX(PASTE_ALL,31,36)),1)="-"),999),LEN(MID(TRIM(INDEX(PASTE_ALL,31,36)),1+(LEFT(TRIM(INDEX(PASTE_ALL,31,36)),1)="-"),999))-(RIGHT(MID(TRIM(INDEX(PASTE_ALL,31,36)),1+(LEFT(TRIM(INDEX(PASTE_ALL,31,36)),1)="-"),999),1)="%")),"0",""),"1",""),"2",""),"3",""),"4",""),"5",""),"6",""),"7",""),"8",""),"9",""),".",""),",","")=""),2,1))),1)</f>
        <v/>
      </c>
      <c r="BI80">
        <f>IFERROR(IF(ISNUMBER(INDEX(PASTE_ALL,31,37)),2,IF(TRIM(INDEX(PASTE_ALL,31,37))="",0,IF(AND(LEFT(MID(TRIM(INDEX(PASTE_ALL,31,37)),1+(LEFT(TRIM(INDEX(PASTE_ALL,31,37)),1)="-"),999),LEN(MID(TRIM(INDEX(PASTE_ALL,31,37)),1+(LEFT(TRIM(INDEX(PASTE_ALL,31,37)),1)="-"),999))-(RIGHT(MID(TRIM(INDEX(PASTE_ALL,31,37)),1+(LEFT(TRIM(INDEX(PASTE_ALL,31,37)),1)="-"),999),1)="%"))&lt;&gt;"",SUBSTITUTE(SUBSTITUTE(SUBSTITUTE(SUBSTITUTE(SUBSTITUTE(SUBSTITUTE(SUBSTITUTE(SUBSTITUTE(SUBSTITUTE(SUBSTITUTE(SUBSTITUTE(SUBSTITUTE(LEFT(MID(TRIM(INDEX(PASTE_ALL,31,37)),1+(LEFT(TRIM(INDEX(PASTE_ALL,31,37)),1)="-"),999),LEN(MID(TRIM(INDEX(PASTE_ALL,31,37)),1+(LEFT(TRIM(INDEX(PASTE_ALL,31,37)),1)="-"),999))-(RIGHT(MID(TRIM(INDEX(PASTE_ALL,31,37)),1+(LEFT(TRIM(INDEX(PASTE_ALL,31,37)),1)="-"),999),1)="%")),"0",""),"1",""),"2",""),"3",""),"4",""),"5",""),"6",""),"7",""),"8",""),"9",""),".",""),",","")=""),2,1))),1)</f>
        <v/>
      </c>
      <c r="BJ80">
        <f>IFERROR(IF(ISNUMBER(INDEX(PASTE_ALL,31,38)),2,IF(TRIM(INDEX(PASTE_ALL,31,38))="",0,IF(AND(LEFT(MID(TRIM(INDEX(PASTE_ALL,31,38)),1+(LEFT(TRIM(INDEX(PASTE_ALL,31,38)),1)="-"),999),LEN(MID(TRIM(INDEX(PASTE_ALL,31,38)),1+(LEFT(TRIM(INDEX(PASTE_ALL,31,38)),1)="-"),999))-(RIGHT(MID(TRIM(INDEX(PASTE_ALL,31,38)),1+(LEFT(TRIM(INDEX(PASTE_ALL,31,38)),1)="-"),999),1)="%"))&lt;&gt;"",SUBSTITUTE(SUBSTITUTE(SUBSTITUTE(SUBSTITUTE(SUBSTITUTE(SUBSTITUTE(SUBSTITUTE(SUBSTITUTE(SUBSTITUTE(SUBSTITUTE(SUBSTITUTE(SUBSTITUTE(LEFT(MID(TRIM(INDEX(PASTE_ALL,31,38)),1+(LEFT(TRIM(INDEX(PASTE_ALL,31,38)),1)="-"),999),LEN(MID(TRIM(INDEX(PASTE_ALL,31,38)),1+(LEFT(TRIM(INDEX(PASTE_ALL,31,38)),1)="-"),999))-(RIGHT(MID(TRIM(INDEX(PASTE_ALL,31,38)),1+(LEFT(TRIM(INDEX(PASTE_ALL,31,38)),1)="-"),999),1)="%")),"0",""),"1",""),"2",""),"3",""),"4",""),"5",""),"6",""),"7",""),"8",""),"9",""),".",""),",","")=""),2,1))),1)</f>
        <v/>
      </c>
      <c r="BK80">
        <f>IFERROR(IF(ISNUMBER(INDEX(PASTE_ALL,31,39)),2,IF(TRIM(INDEX(PASTE_ALL,31,39))="",0,IF(AND(LEFT(MID(TRIM(INDEX(PASTE_ALL,31,39)),1+(LEFT(TRIM(INDEX(PASTE_ALL,31,39)),1)="-"),999),LEN(MID(TRIM(INDEX(PASTE_ALL,31,39)),1+(LEFT(TRIM(INDEX(PASTE_ALL,31,39)),1)="-"),999))-(RIGHT(MID(TRIM(INDEX(PASTE_ALL,31,39)),1+(LEFT(TRIM(INDEX(PASTE_ALL,31,39)),1)="-"),999),1)="%"))&lt;&gt;"",SUBSTITUTE(SUBSTITUTE(SUBSTITUTE(SUBSTITUTE(SUBSTITUTE(SUBSTITUTE(SUBSTITUTE(SUBSTITUTE(SUBSTITUTE(SUBSTITUTE(SUBSTITUTE(SUBSTITUTE(LEFT(MID(TRIM(INDEX(PASTE_ALL,31,39)),1+(LEFT(TRIM(INDEX(PASTE_ALL,31,39)),1)="-"),999),LEN(MID(TRIM(INDEX(PASTE_ALL,31,39)),1+(LEFT(TRIM(INDEX(PASTE_ALL,31,39)),1)="-"),999))-(RIGHT(MID(TRIM(INDEX(PASTE_ALL,31,39)),1+(LEFT(TRIM(INDEX(PASTE_ALL,31,39)),1)="-"),999),1)="%")),"0",""),"1",""),"2",""),"3",""),"4",""),"5",""),"6",""),"7",""),"8",""),"9",""),".",""),",","")=""),2,1))),1)</f>
        <v/>
      </c>
      <c r="BL80">
        <f>IFERROR(IF(ISNUMBER(INDEX(PASTE_ALL,31,40)),2,IF(TRIM(INDEX(PASTE_ALL,31,40))="",0,IF(AND(LEFT(MID(TRIM(INDEX(PASTE_ALL,31,40)),1+(LEFT(TRIM(INDEX(PASTE_ALL,31,40)),1)="-"),999),LEN(MID(TRIM(INDEX(PASTE_ALL,31,40)),1+(LEFT(TRIM(INDEX(PASTE_ALL,31,40)),1)="-"),999))-(RIGHT(MID(TRIM(INDEX(PASTE_ALL,31,40)),1+(LEFT(TRIM(INDEX(PASTE_ALL,31,40)),1)="-"),999),1)="%"))&lt;&gt;"",SUBSTITUTE(SUBSTITUTE(SUBSTITUTE(SUBSTITUTE(SUBSTITUTE(SUBSTITUTE(SUBSTITUTE(SUBSTITUTE(SUBSTITUTE(SUBSTITUTE(SUBSTITUTE(SUBSTITUTE(LEFT(MID(TRIM(INDEX(PASTE_ALL,31,40)),1+(LEFT(TRIM(INDEX(PASTE_ALL,31,40)),1)="-"),999),LEN(MID(TRIM(INDEX(PASTE_ALL,31,40)),1+(LEFT(TRIM(INDEX(PASTE_ALL,31,40)),1)="-"),999))-(RIGHT(MID(TRIM(INDEX(PASTE_ALL,31,40)),1+(LEFT(TRIM(INDEX(PASTE_ALL,31,40)),1)="-"),999),1)="%")),"0",""),"1",""),"2",""),"3",""),"4",""),"5",""),"6",""),"7",""),"8",""),"9",""),".",""),",","")=""),2,1))),1)</f>
        <v/>
      </c>
      <c r="BM80">
        <f>IFERROR(IF(ISNUMBER(INDEX(PASTE_ALL,31,41)),2,IF(TRIM(INDEX(PASTE_ALL,31,41))="",0,IF(AND(LEFT(MID(TRIM(INDEX(PASTE_ALL,31,41)),1+(LEFT(TRIM(INDEX(PASTE_ALL,31,41)),1)="-"),999),LEN(MID(TRIM(INDEX(PASTE_ALL,31,41)),1+(LEFT(TRIM(INDEX(PASTE_ALL,31,41)),1)="-"),999))-(RIGHT(MID(TRIM(INDEX(PASTE_ALL,31,41)),1+(LEFT(TRIM(INDEX(PASTE_ALL,31,41)),1)="-"),999),1)="%"))&lt;&gt;"",SUBSTITUTE(SUBSTITUTE(SUBSTITUTE(SUBSTITUTE(SUBSTITUTE(SUBSTITUTE(SUBSTITUTE(SUBSTITUTE(SUBSTITUTE(SUBSTITUTE(SUBSTITUTE(SUBSTITUTE(LEFT(MID(TRIM(INDEX(PASTE_ALL,31,41)),1+(LEFT(TRIM(INDEX(PASTE_ALL,31,41)),1)="-"),999),LEN(MID(TRIM(INDEX(PASTE_ALL,31,41)),1+(LEFT(TRIM(INDEX(PASTE_ALL,31,41)),1)="-"),999))-(RIGHT(MID(TRIM(INDEX(PASTE_ALL,31,41)),1+(LEFT(TRIM(INDEX(PASTE_ALL,31,41)),1)="-"),999),1)="%")),"0",""),"1",""),"2",""),"3",""),"4",""),"5",""),"6",""),"7",""),"8",""),"9",""),".",""),",","")=""),2,1))),1)</f>
        <v/>
      </c>
      <c r="BN80">
        <f>IFERROR(IF(ISNUMBER(INDEX(PASTE_ALL,31,42)),2,IF(TRIM(INDEX(PASTE_ALL,31,42))="",0,IF(AND(LEFT(MID(TRIM(INDEX(PASTE_ALL,31,42)),1+(LEFT(TRIM(INDEX(PASTE_ALL,31,42)),1)="-"),999),LEN(MID(TRIM(INDEX(PASTE_ALL,31,42)),1+(LEFT(TRIM(INDEX(PASTE_ALL,31,42)),1)="-"),999))-(RIGHT(MID(TRIM(INDEX(PASTE_ALL,31,42)),1+(LEFT(TRIM(INDEX(PASTE_ALL,31,42)),1)="-"),999),1)="%"))&lt;&gt;"",SUBSTITUTE(SUBSTITUTE(SUBSTITUTE(SUBSTITUTE(SUBSTITUTE(SUBSTITUTE(SUBSTITUTE(SUBSTITUTE(SUBSTITUTE(SUBSTITUTE(SUBSTITUTE(SUBSTITUTE(LEFT(MID(TRIM(INDEX(PASTE_ALL,31,42)),1+(LEFT(TRIM(INDEX(PASTE_ALL,31,42)),1)="-"),999),LEN(MID(TRIM(INDEX(PASTE_ALL,31,42)),1+(LEFT(TRIM(INDEX(PASTE_ALL,31,42)),1)="-"),999))-(RIGHT(MID(TRIM(INDEX(PASTE_ALL,31,42)),1+(LEFT(TRIM(INDEX(PASTE_ALL,31,42)),1)="-"),999),1)="%")),"0",""),"1",""),"2",""),"3",""),"4",""),"5",""),"6",""),"7",""),"8",""),"9",""),".",""),",","")=""),2,1))),1)</f>
        <v/>
      </c>
      <c r="BO80">
        <f>IFERROR(IF(ISNUMBER(INDEX(PASTE_ALL,31,43)),2,IF(TRIM(INDEX(PASTE_ALL,31,43))="",0,IF(AND(LEFT(MID(TRIM(INDEX(PASTE_ALL,31,43)),1+(LEFT(TRIM(INDEX(PASTE_ALL,31,43)),1)="-"),999),LEN(MID(TRIM(INDEX(PASTE_ALL,31,43)),1+(LEFT(TRIM(INDEX(PASTE_ALL,31,43)),1)="-"),999))-(RIGHT(MID(TRIM(INDEX(PASTE_ALL,31,43)),1+(LEFT(TRIM(INDEX(PASTE_ALL,31,43)),1)="-"),999),1)="%"))&lt;&gt;"",SUBSTITUTE(SUBSTITUTE(SUBSTITUTE(SUBSTITUTE(SUBSTITUTE(SUBSTITUTE(SUBSTITUTE(SUBSTITUTE(SUBSTITUTE(SUBSTITUTE(SUBSTITUTE(SUBSTITUTE(LEFT(MID(TRIM(INDEX(PASTE_ALL,31,43)),1+(LEFT(TRIM(INDEX(PASTE_ALL,31,43)),1)="-"),999),LEN(MID(TRIM(INDEX(PASTE_ALL,31,43)),1+(LEFT(TRIM(INDEX(PASTE_ALL,31,43)),1)="-"),999))-(RIGHT(MID(TRIM(INDEX(PASTE_ALL,31,43)),1+(LEFT(TRIM(INDEX(PASTE_ALL,31,43)),1)="-"),999),1)="%")),"0",""),"1",""),"2",""),"3",""),"4",""),"5",""),"6",""),"7",""),"8",""),"9",""),".",""),",","")=""),2,1))),1)</f>
        <v/>
      </c>
      <c r="BP80">
        <f>IFERROR(IF(ISNUMBER(INDEX(PASTE_ALL,31,44)),2,IF(TRIM(INDEX(PASTE_ALL,31,44))="",0,IF(AND(LEFT(MID(TRIM(INDEX(PASTE_ALL,31,44)),1+(LEFT(TRIM(INDEX(PASTE_ALL,31,44)),1)="-"),999),LEN(MID(TRIM(INDEX(PASTE_ALL,31,44)),1+(LEFT(TRIM(INDEX(PASTE_ALL,31,44)),1)="-"),999))-(RIGHT(MID(TRIM(INDEX(PASTE_ALL,31,44)),1+(LEFT(TRIM(INDEX(PASTE_ALL,31,44)),1)="-"),999),1)="%"))&lt;&gt;"",SUBSTITUTE(SUBSTITUTE(SUBSTITUTE(SUBSTITUTE(SUBSTITUTE(SUBSTITUTE(SUBSTITUTE(SUBSTITUTE(SUBSTITUTE(SUBSTITUTE(SUBSTITUTE(SUBSTITUTE(LEFT(MID(TRIM(INDEX(PASTE_ALL,31,44)),1+(LEFT(TRIM(INDEX(PASTE_ALL,31,44)),1)="-"),999),LEN(MID(TRIM(INDEX(PASTE_ALL,31,44)),1+(LEFT(TRIM(INDEX(PASTE_ALL,31,44)),1)="-"),999))-(RIGHT(MID(TRIM(INDEX(PASTE_ALL,31,44)),1+(LEFT(TRIM(INDEX(PASTE_ALL,31,44)),1)="-"),999),1)="%")),"0",""),"1",""),"2",""),"3",""),"4",""),"5",""),"6",""),"7",""),"8",""),"9",""),".",""),",","")=""),2,1))),1)</f>
        <v/>
      </c>
      <c r="BQ80">
        <f>IFERROR(IF(ISNUMBER(INDEX(PASTE_ALL,31,45)),2,IF(TRIM(INDEX(PASTE_ALL,31,45))="",0,IF(AND(LEFT(MID(TRIM(INDEX(PASTE_ALL,31,45)),1+(LEFT(TRIM(INDEX(PASTE_ALL,31,45)),1)="-"),999),LEN(MID(TRIM(INDEX(PASTE_ALL,31,45)),1+(LEFT(TRIM(INDEX(PASTE_ALL,31,45)),1)="-"),999))-(RIGHT(MID(TRIM(INDEX(PASTE_ALL,31,45)),1+(LEFT(TRIM(INDEX(PASTE_ALL,31,45)),1)="-"),999),1)="%"))&lt;&gt;"",SUBSTITUTE(SUBSTITUTE(SUBSTITUTE(SUBSTITUTE(SUBSTITUTE(SUBSTITUTE(SUBSTITUTE(SUBSTITUTE(SUBSTITUTE(SUBSTITUTE(SUBSTITUTE(SUBSTITUTE(LEFT(MID(TRIM(INDEX(PASTE_ALL,31,45)),1+(LEFT(TRIM(INDEX(PASTE_ALL,31,45)),1)="-"),999),LEN(MID(TRIM(INDEX(PASTE_ALL,31,45)),1+(LEFT(TRIM(INDEX(PASTE_ALL,31,45)),1)="-"),999))-(RIGHT(MID(TRIM(INDEX(PASTE_ALL,31,45)),1+(LEFT(TRIM(INDEX(PASTE_ALL,31,45)),1)="-"),999),1)="%")),"0",""),"1",""),"2",""),"3",""),"4",""),"5",""),"6",""),"7",""),"8",""),"9",""),".",""),",","")=""),2,1))),1)</f>
        <v/>
      </c>
      <c r="BR80">
        <f>IFERROR(IF(ISNUMBER(INDEX(PASTE_ALL,31,46)),2,IF(TRIM(INDEX(PASTE_ALL,31,46))="",0,IF(AND(LEFT(MID(TRIM(INDEX(PASTE_ALL,31,46)),1+(LEFT(TRIM(INDEX(PASTE_ALL,31,46)),1)="-"),999),LEN(MID(TRIM(INDEX(PASTE_ALL,31,46)),1+(LEFT(TRIM(INDEX(PASTE_ALL,31,46)),1)="-"),999))-(RIGHT(MID(TRIM(INDEX(PASTE_ALL,31,46)),1+(LEFT(TRIM(INDEX(PASTE_ALL,31,46)),1)="-"),999),1)="%"))&lt;&gt;"",SUBSTITUTE(SUBSTITUTE(SUBSTITUTE(SUBSTITUTE(SUBSTITUTE(SUBSTITUTE(SUBSTITUTE(SUBSTITUTE(SUBSTITUTE(SUBSTITUTE(SUBSTITUTE(SUBSTITUTE(LEFT(MID(TRIM(INDEX(PASTE_ALL,31,46)),1+(LEFT(TRIM(INDEX(PASTE_ALL,31,46)),1)="-"),999),LEN(MID(TRIM(INDEX(PASTE_ALL,31,46)),1+(LEFT(TRIM(INDEX(PASTE_ALL,31,46)),1)="-"),999))-(RIGHT(MID(TRIM(INDEX(PASTE_ALL,31,46)),1+(LEFT(TRIM(INDEX(PASTE_ALL,31,46)),1)="-"),999),1)="%")),"0",""),"1",""),"2",""),"3",""),"4",""),"5",""),"6",""),"7",""),"8",""),"9",""),".",""),",","")=""),2,1))),1)</f>
        <v/>
      </c>
      <c r="BS80">
        <f>IFERROR(IF(ISNUMBER(INDEX(PASTE_ALL,31,47)),2,IF(TRIM(INDEX(PASTE_ALL,31,47))="",0,IF(AND(LEFT(MID(TRIM(INDEX(PASTE_ALL,31,47)),1+(LEFT(TRIM(INDEX(PASTE_ALL,31,47)),1)="-"),999),LEN(MID(TRIM(INDEX(PASTE_ALL,31,47)),1+(LEFT(TRIM(INDEX(PASTE_ALL,31,47)),1)="-"),999))-(RIGHT(MID(TRIM(INDEX(PASTE_ALL,31,47)),1+(LEFT(TRIM(INDEX(PASTE_ALL,31,47)),1)="-"),999),1)="%"))&lt;&gt;"",SUBSTITUTE(SUBSTITUTE(SUBSTITUTE(SUBSTITUTE(SUBSTITUTE(SUBSTITUTE(SUBSTITUTE(SUBSTITUTE(SUBSTITUTE(SUBSTITUTE(SUBSTITUTE(SUBSTITUTE(LEFT(MID(TRIM(INDEX(PASTE_ALL,31,47)),1+(LEFT(TRIM(INDEX(PASTE_ALL,31,47)),1)="-"),999),LEN(MID(TRIM(INDEX(PASTE_ALL,31,47)),1+(LEFT(TRIM(INDEX(PASTE_ALL,31,47)),1)="-"),999))-(RIGHT(MID(TRIM(INDEX(PASTE_ALL,31,47)),1+(LEFT(TRIM(INDEX(PASTE_ALL,31,47)),1)="-"),999),1)="%")),"0",""),"1",""),"2",""),"3",""),"4",""),"5",""),"6",""),"7",""),"8",""),"9",""),".",""),",","")=""),2,1))),1)</f>
        <v/>
      </c>
      <c r="BT80">
        <f>IFERROR(IF(ISNUMBER(INDEX(PASTE_ALL,31,48)),2,IF(TRIM(INDEX(PASTE_ALL,31,48))="",0,IF(AND(LEFT(MID(TRIM(INDEX(PASTE_ALL,31,48)),1+(LEFT(TRIM(INDEX(PASTE_ALL,31,48)),1)="-"),999),LEN(MID(TRIM(INDEX(PASTE_ALL,31,48)),1+(LEFT(TRIM(INDEX(PASTE_ALL,31,48)),1)="-"),999))-(RIGHT(MID(TRIM(INDEX(PASTE_ALL,31,48)),1+(LEFT(TRIM(INDEX(PASTE_ALL,31,48)),1)="-"),999),1)="%"))&lt;&gt;"",SUBSTITUTE(SUBSTITUTE(SUBSTITUTE(SUBSTITUTE(SUBSTITUTE(SUBSTITUTE(SUBSTITUTE(SUBSTITUTE(SUBSTITUTE(SUBSTITUTE(SUBSTITUTE(SUBSTITUTE(LEFT(MID(TRIM(INDEX(PASTE_ALL,31,48)),1+(LEFT(TRIM(INDEX(PASTE_ALL,31,48)),1)="-"),999),LEN(MID(TRIM(INDEX(PASTE_ALL,31,48)),1+(LEFT(TRIM(INDEX(PASTE_ALL,31,48)),1)="-"),999))-(RIGHT(MID(TRIM(INDEX(PASTE_ALL,31,48)),1+(LEFT(TRIM(INDEX(PASTE_ALL,31,48)),1)="-"),999),1)="%")),"0",""),"1",""),"2",""),"3",""),"4",""),"5",""),"6",""),"7",""),"8",""),"9",""),".",""),",","")=""),2,1))),1)</f>
        <v/>
      </c>
      <c r="BU80">
        <f>IFERROR(IF(ISNUMBER(INDEX(PASTE_ALL,31,49)),2,IF(TRIM(INDEX(PASTE_ALL,31,49))="",0,IF(AND(LEFT(MID(TRIM(INDEX(PASTE_ALL,31,49)),1+(LEFT(TRIM(INDEX(PASTE_ALL,31,49)),1)="-"),999),LEN(MID(TRIM(INDEX(PASTE_ALL,31,49)),1+(LEFT(TRIM(INDEX(PASTE_ALL,31,49)),1)="-"),999))-(RIGHT(MID(TRIM(INDEX(PASTE_ALL,31,49)),1+(LEFT(TRIM(INDEX(PASTE_ALL,31,49)),1)="-"),999),1)="%"))&lt;&gt;"",SUBSTITUTE(SUBSTITUTE(SUBSTITUTE(SUBSTITUTE(SUBSTITUTE(SUBSTITUTE(SUBSTITUTE(SUBSTITUTE(SUBSTITUTE(SUBSTITUTE(SUBSTITUTE(SUBSTITUTE(LEFT(MID(TRIM(INDEX(PASTE_ALL,31,49)),1+(LEFT(TRIM(INDEX(PASTE_ALL,31,49)),1)="-"),999),LEN(MID(TRIM(INDEX(PASTE_ALL,31,49)),1+(LEFT(TRIM(INDEX(PASTE_ALL,31,49)),1)="-"),999))-(RIGHT(MID(TRIM(INDEX(PASTE_ALL,31,49)),1+(LEFT(TRIM(INDEX(PASTE_ALL,31,49)),1)="-"),999),1)="%")),"0",""),"1",""),"2",""),"3",""),"4",""),"5",""),"6",""),"7",""),"8",""),"9",""),".",""),",","")=""),2,1))),1)</f>
        <v/>
      </c>
      <c r="BV80">
        <f>IFERROR(IF(ISNUMBER(INDEX(PASTE_ALL,31,50)),2,IF(TRIM(INDEX(PASTE_ALL,31,50))="",0,IF(AND(LEFT(MID(TRIM(INDEX(PASTE_ALL,31,50)),1+(LEFT(TRIM(INDEX(PASTE_ALL,31,50)),1)="-"),999),LEN(MID(TRIM(INDEX(PASTE_ALL,31,50)),1+(LEFT(TRIM(INDEX(PASTE_ALL,31,50)),1)="-"),999))-(RIGHT(MID(TRIM(INDEX(PASTE_ALL,31,50)),1+(LEFT(TRIM(INDEX(PASTE_ALL,31,50)),1)="-"),999),1)="%"))&lt;&gt;"",SUBSTITUTE(SUBSTITUTE(SUBSTITUTE(SUBSTITUTE(SUBSTITUTE(SUBSTITUTE(SUBSTITUTE(SUBSTITUTE(SUBSTITUTE(SUBSTITUTE(SUBSTITUTE(SUBSTITUTE(LEFT(MID(TRIM(INDEX(PASTE_ALL,31,50)),1+(LEFT(TRIM(INDEX(PASTE_ALL,31,50)),1)="-"),999),LEN(MID(TRIM(INDEX(PASTE_ALL,31,50)),1+(LEFT(TRIM(INDEX(PASTE_ALL,31,50)),1)="-"),999))-(RIGHT(MID(TRIM(INDEX(PASTE_ALL,31,50)),1+(LEFT(TRIM(INDEX(PASTE_ALL,31,50)),1)="-"),999),1)="%")),"0",""),"1",""),"2",""),"3",""),"4",""),"5",""),"6",""),"7",""),"8",""),"9",""),".",""),",","")=""),2,1))),1)</f>
        <v/>
      </c>
      <c r="BW80">
        <f>IFERROR(IF(ISNUMBER(INDEX(PASTE_ALL,31,51)),2,IF(TRIM(INDEX(PASTE_ALL,31,51))="",0,IF(AND(LEFT(MID(TRIM(INDEX(PASTE_ALL,31,51)),1+(LEFT(TRIM(INDEX(PASTE_ALL,31,51)),1)="-"),999),LEN(MID(TRIM(INDEX(PASTE_ALL,31,51)),1+(LEFT(TRIM(INDEX(PASTE_ALL,31,51)),1)="-"),999))-(RIGHT(MID(TRIM(INDEX(PASTE_ALL,31,51)),1+(LEFT(TRIM(INDEX(PASTE_ALL,31,51)),1)="-"),999),1)="%"))&lt;&gt;"",SUBSTITUTE(SUBSTITUTE(SUBSTITUTE(SUBSTITUTE(SUBSTITUTE(SUBSTITUTE(SUBSTITUTE(SUBSTITUTE(SUBSTITUTE(SUBSTITUTE(SUBSTITUTE(SUBSTITUTE(LEFT(MID(TRIM(INDEX(PASTE_ALL,31,51)),1+(LEFT(TRIM(INDEX(PASTE_ALL,31,51)),1)="-"),999),LEN(MID(TRIM(INDEX(PASTE_ALL,31,51)),1+(LEFT(TRIM(INDEX(PASTE_ALL,31,51)),1)="-"),999))-(RIGHT(MID(TRIM(INDEX(PASTE_ALL,31,51)),1+(LEFT(TRIM(INDEX(PASTE_ALL,31,51)),1)="-"),999),1)="%")),"0",""),"1",""),"2",""),"3",""),"4",""),"5",""),"6",""),"7",""),"8",""),"9",""),".",""),",","")=""),2,1))),1)</f>
        <v/>
      </c>
      <c r="BX80">
        <f>IFERROR(IF(ISNUMBER(INDEX(PASTE_ALL,31,52)),2,IF(TRIM(INDEX(PASTE_ALL,31,52))="",0,IF(AND(LEFT(MID(TRIM(INDEX(PASTE_ALL,31,52)),1+(LEFT(TRIM(INDEX(PASTE_ALL,31,52)),1)="-"),999),LEN(MID(TRIM(INDEX(PASTE_ALL,31,52)),1+(LEFT(TRIM(INDEX(PASTE_ALL,31,52)),1)="-"),999))-(RIGHT(MID(TRIM(INDEX(PASTE_ALL,31,52)),1+(LEFT(TRIM(INDEX(PASTE_ALL,31,52)),1)="-"),999),1)="%"))&lt;&gt;"",SUBSTITUTE(SUBSTITUTE(SUBSTITUTE(SUBSTITUTE(SUBSTITUTE(SUBSTITUTE(SUBSTITUTE(SUBSTITUTE(SUBSTITUTE(SUBSTITUTE(SUBSTITUTE(SUBSTITUTE(LEFT(MID(TRIM(INDEX(PASTE_ALL,31,52)),1+(LEFT(TRIM(INDEX(PASTE_ALL,31,52)),1)="-"),999),LEN(MID(TRIM(INDEX(PASTE_ALL,31,52)),1+(LEFT(TRIM(INDEX(PASTE_ALL,31,52)),1)="-"),999))-(RIGHT(MID(TRIM(INDEX(PASTE_ALL,31,52)),1+(LEFT(TRIM(INDEX(PASTE_ALL,31,52)),1)="-"),999),1)="%")),"0",""),"1",""),"2",""),"3",""),"4",""),"5",""),"6",""),"7",""),"8",""),"9",""),".",""),",","")=""),2,1))),1)</f>
        <v/>
      </c>
      <c r="BY80">
        <f>IFERROR(IF(ISNUMBER(INDEX(PASTE_ALL,31,53)),2,IF(TRIM(INDEX(PASTE_ALL,31,53))="",0,IF(AND(LEFT(MID(TRIM(INDEX(PASTE_ALL,31,53)),1+(LEFT(TRIM(INDEX(PASTE_ALL,31,53)),1)="-"),999),LEN(MID(TRIM(INDEX(PASTE_ALL,31,53)),1+(LEFT(TRIM(INDEX(PASTE_ALL,31,53)),1)="-"),999))-(RIGHT(MID(TRIM(INDEX(PASTE_ALL,31,53)),1+(LEFT(TRIM(INDEX(PASTE_ALL,31,53)),1)="-"),999),1)="%"))&lt;&gt;"",SUBSTITUTE(SUBSTITUTE(SUBSTITUTE(SUBSTITUTE(SUBSTITUTE(SUBSTITUTE(SUBSTITUTE(SUBSTITUTE(SUBSTITUTE(SUBSTITUTE(SUBSTITUTE(SUBSTITUTE(LEFT(MID(TRIM(INDEX(PASTE_ALL,31,53)),1+(LEFT(TRIM(INDEX(PASTE_ALL,31,53)),1)="-"),999),LEN(MID(TRIM(INDEX(PASTE_ALL,31,53)),1+(LEFT(TRIM(INDEX(PASTE_ALL,31,53)),1)="-"),999))-(RIGHT(MID(TRIM(INDEX(PASTE_ALL,31,53)),1+(LEFT(TRIM(INDEX(PASTE_ALL,31,53)),1)="-"),999),1)="%")),"0",""),"1",""),"2",""),"3",""),"4",""),"5",""),"6",""),"7",""),"8",""),"9",""),".",""),",","")=""),2,1))),1)</f>
        <v/>
      </c>
      <c r="BZ80">
        <f>IFERROR(IF(ISNUMBER(INDEX(PASTE_ALL,31,54)),2,IF(TRIM(INDEX(PASTE_ALL,31,54))="",0,IF(AND(LEFT(MID(TRIM(INDEX(PASTE_ALL,31,54)),1+(LEFT(TRIM(INDEX(PASTE_ALL,31,54)),1)="-"),999),LEN(MID(TRIM(INDEX(PASTE_ALL,31,54)),1+(LEFT(TRIM(INDEX(PASTE_ALL,31,54)),1)="-"),999))-(RIGHT(MID(TRIM(INDEX(PASTE_ALL,31,54)),1+(LEFT(TRIM(INDEX(PASTE_ALL,31,54)),1)="-"),999),1)="%"))&lt;&gt;"",SUBSTITUTE(SUBSTITUTE(SUBSTITUTE(SUBSTITUTE(SUBSTITUTE(SUBSTITUTE(SUBSTITUTE(SUBSTITUTE(SUBSTITUTE(SUBSTITUTE(SUBSTITUTE(SUBSTITUTE(LEFT(MID(TRIM(INDEX(PASTE_ALL,31,54)),1+(LEFT(TRIM(INDEX(PASTE_ALL,31,54)),1)="-"),999),LEN(MID(TRIM(INDEX(PASTE_ALL,31,54)),1+(LEFT(TRIM(INDEX(PASTE_ALL,31,54)),1)="-"),999))-(RIGHT(MID(TRIM(INDEX(PASTE_ALL,31,54)),1+(LEFT(TRIM(INDEX(PASTE_ALL,31,54)),1)="-"),999),1)="%")),"0",""),"1",""),"2",""),"3",""),"4",""),"5",""),"6",""),"7",""),"8",""),"9",""),".",""),",","")=""),2,1))),1)</f>
        <v/>
      </c>
      <c r="CA80">
        <f>IFERROR(IF(ISNUMBER(INDEX(PASTE_ALL,31,55)),2,IF(TRIM(INDEX(PASTE_ALL,31,55))="",0,IF(AND(LEFT(MID(TRIM(INDEX(PASTE_ALL,31,55)),1+(LEFT(TRIM(INDEX(PASTE_ALL,31,55)),1)="-"),999),LEN(MID(TRIM(INDEX(PASTE_ALL,31,55)),1+(LEFT(TRIM(INDEX(PASTE_ALL,31,55)),1)="-"),999))-(RIGHT(MID(TRIM(INDEX(PASTE_ALL,31,55)),1+(LEFT(TRIM(INDEX(PASTE_ALL,31,55)),1)="-"),999),1)="%"))&lt;&gt;"",SUBSTITUTE(SUBSTITUTE(SUBSTITUTE(SUBSTITUTE(SUBSTITUTE(SUBSTITUTE(SUBSTITUTE(SUBSTITUTE(SUBSTITUTE(SUBSTITUTE(SUBSTITUTE(SUBSTITUTE(LEFT(MID(TRIM(INDEX(PASTE_ALL,31,55)),1+(LEFT(TRIM(INDEX(PASTE_ALL,31,55)),1)="-"),999),LEN(MID(TRIM(INDEX(PASTE_ALL,31,55)),1+(LEFT(TRIM(INDEX(PASTE_ALL,31,55)),1)="-"),999))-(RIGHT(MID(TRIM(INDEX(PASTE_ALL,31,55)),1+(LEFT(TRIM(INDEX(PASTE_ALL,31,55)),1)="-"),999),1)="%")),"0",""),"1",""),"2",""),"3",""),"4",""),"5",""),"6",""),"7",""),"8",""),"9",""),".",""),",","")=""),2,1))),1)</f>
        <v/>
      </c>
      <c r="CB80">
        <f>IFERROR(IF(ISNUMBER(INDEX(PASTE_ALL,31,56)),2,IF(TRIM(INDEX(PASTE_ALL,31,56))="",0,IF(AND(LEFT(MID(TRIM(INDEX(PASTE_ALL,31,56)),1+(LEFT(TRIM(INDEX(PASTE_ALL,31,56)),1)="-"),999),LEN(MID(TRIM(INDEX(PASTE_ALL,31,56)),1+(LEFT(TRIM(INDEX(PASTE_ALL,31,56)),1)="-"),999))-(RIGHT(MID(TRIM(INDEX(PASTE_ALL,31,56)),1+(LEFT(TRIM(INDEX(PASTE_ALL,31,56)),1)="-"),999),1)="%"))&lt;&gt;"",SUBSTITUTE(SUBSTITUTE(SUBSTITUTE(SUBSTITUTE(SUBSTITUTE(SUBSTITUTE(SUBSTITUTE(SUBSTITUTE(SUBSTITUTE(SUBSTITUTE(SUBSTITUTE(SUBSTITUTE(LEFT(MID(TRIM(INDEX(PASTE_ALL,31,56)),1+(LEFT(TRIM(INDEX(PASTE_ALL,31,56)),1)="-"),999),LEN(MID(TRIM(INDEX(PASTE_ALL,31,56)),1+(LEFT(TRIM(INDEX(PASTE_ALL,31,56)),1)="-"),999))-(RIGHT(MID(TRIM(INDEX(PASTE_ALL,31,56)),1+(LEFT(TRIM(INDEX(PASTE_ALL,31,56)),1)="-"),999),1)="%")),"0",""),"1",""),"2",""),"3",""),"4",""),"5",""),"6",""),"7",""),"8",""),"9",""),".",""),",","")=""),2,1))),1)</f>
        <v/>
      </c>
      <c r="CC80">
        <f>IFERROR(IF(ISNUMBER(INDEX(PASTE_ALL,31,57)),2,IF(TRIM(INDEX(PASTE_ALL,31,57))="",0,IF(AND(LEFT(MID(TRIM(INDEX(PASTE_ALL,31,57)),1+(LEFT(TRIM(INDEX(PASTE_ALL,31,57)),1)="-"),999),LEN(MID(TRIM(INDEX(PASTE_ALL,31,57)),1+(LEFT(TRIM(INDEX(PASTE_ALL,31,57)),1)="-"),999))-(RIGHT(MID(TRIM(INDEX(PASTE_ALL,31,57)),1+(LEFT(TRIM(INDEX(PASTE_ALL,31,57)),1)="-"),999),1)="%"))&lt;&gt;"",SUBSTITUTE(SUBSTITUTE(SUBSTITUTE(SUBSTITUTE(SUBSTITUTE(SUBSTITUTE(SUBSTITUTE(SUBSTITUTE(SUBSTITUTE(SUBSTITUTE(SUBSTITUTE(SUBSTITUTE(LEFT(MID(TRIM(INDEX(PASTE_ALL,31,57)),1+(LEFT(TRIM(INDEX(PASTE_ALL,31,57)),1)="-"),999),LEN(MID(TRIM(INDEX(PASTE_ALL,31,57)),1+(LEFT(TRIM(INDEX(PASTE_ALL,31,57)),1)="-"),999))-(RIGHT(MID(TRIM(INDEX(PASTE_ALL,31,57)),1+(LEFT(TRIM(INDEX(PASTE_ALL,31,57)),1)="-"),999),1)="%")),"0",""),"1",""),"2",""),"3",""),"4",""),"5",""),"6",""),"7",""),"8",""),"9",""),".",""),",","")=""),2,1))),1)</f>
        <v/>
      </c>
      <c r="CD80">
        <f>IFERROR(IF(ISNUMBER(INDEX(PASTE_ALL,31,58)),2,IF(TRIM(INDEX(PASTE_ALL,31,58))="",0,IF(AND(LEFT(MID(TRIM(INDEX(PASTE_ALL,31,58)),1+(LEFT(TRIM(INDEX(PASTE_ALL,31,58)),1)="-"),999),LEN(MID(TRIM(INDEX(PASTE_ALL,31,58)),1+(LEFT(TRIM(INDEX(PASTE_ALL,31,58)),1)="-"),999))-(RIGHT(MID(TRIM(INDEX(PASTE_ALL,31,58)),1+(LEFT(TRIM(INDEX(PASTE_ALL,31,58)),1)="-"),999),1)="%"))&lt;&gt;"",SUBSTITUTE(SUBSTITUTE(SUBSTITUTE(SUBSTITUTE(SUBSTITUTE(SUBSTITUTE(SUBSTITUTE(SUBSTITUTE(SUBSTITUTE(SUBSTITUTE(SUBSTITUTE(SUBSTITUTE(LEFT(MID(TRIM(INDEX(PASTE_ALL,31,58)),1+(LEFT(TRIM(INDEX(PASTE_ALL,31,58)),1)="-"),999),LEN(MID(TRIM(INDEX(PASTE_ALL,31,58)),1+(LEFT(TRIM(INDEX(PASTE_ALL,31,58)),1)="-"),999))-(RIGHT(MID(TRIM(INDEX(PASTE_ALL,31,58)),1+(LEFT(TRIM(INDEX(PASTE_ALL,31,58)),1)="-"),999),1)="%")),"0",""),"1",""),"2",""),"3",""),"4",""),"5",""),"6",""),"7",""),"8",""),"9",""),".",""),",","")=""),2,1))),1)</f>
        <v/>
      </c>
      <c r="CE80">
        <f>IFERROR(IF(ISNUMBER(INDEX(PASTE_ALL,31,59)),2,IF(TRIM(INDEX(PASTE_ALL,31,59))="",0,IF(AND(LEFT(MID(TRIM(INDEX(PASTE_ALL,31,59)),1+(LEFT(TRIM(INDEX(PASTE_ALL,31,59)),1)="-"),999),LEN(MID(TRIM(INDEX(PASTE_ALL,31,59)),1+(LEFT(TRIM(INDEX(PASTE_ALL,31,59)),1)="-"),999))-(RIGHT(MID(TRIM(INDEX(PASTE_ALL,31,59)),1+(LEFT(TRIM(INDEX(PASTE_ALL,31,59)),1)="-"),999),1)="%"))&lt;&gt;"",SUBSTITUTE(SUBSTITUTE(SUBSTITUTE(SUBSTITUTE(SUBSTITUTE(SUBSTITUTE(SUBSTITUTE(SUBSTITUTE(SUBSTITUTE(SUBSTITUTE(SUBSTITUTE(SUBSTITUTE(LEFT(MID(TRIM(INDEX(PASTE_ALL,31,59)),1+(LEFT(TRIM(INDEX(PASTE_ALL,31,59)),1)="-"),999),LEN(MID(TRIM(INDEX(PASTE_ALL,31,59)),1+(LEFT(TRIM(INDEX(PASTE_ALL,31,59)),1)="-"),999))-(RIGHT(MID(TRIM(INDEX(PASTE_ALL,31,59)),1+(LEFT(TRIM(INDEX(PASTE_ALL,31,59)),1)="-"),999),1)="%")),"0",""),"1",""),"2",""),"3",""),"4",""),"5",""),"6",""),"7",""),"8",""),"9",""),".",""),",","")=""),2,1))),1)</f>
        <v/>
      </c>
      <c r="CF80">
        <f>IFERROR(IF(ISNUMBER(INDEX(PASTE_ALL,31,60)),2,IF(TRIM(INDEX(PASTE_ALL,31,60))="",0,IF(AND(LEFT(MID(TRIM(INDEX(PASTE_ALL,31,60)),1+(LEFT(TRIM(INDEX(PASTE_ALL,31,60)),1)="-"),999),LEN(MID(TRIM(INDEX(PASTE_ALL,31,60)),1+(LEFT(TRIM(INDEX(PASTE_ALL,31,60)),1)="-"),999))-(RIGHT(MID(TRIM(INDEX(PASTE_ALL,31,60)),1+(LEFT(TRIM(INDEX(PASTE_ALL,31,60)),1)="-"),999),1)="%"))&lt;&gt;"",SUBSTITUTE(SUBSTITUTE(SUBSTITUTE(SUBSTITUTE(SUBSTITUTE(SUBSTITUTE(SUBSTITUTE(SUBSTITUTE(SUBSTITUTE(SUBSTITUTE(SUBSTITUTE(SUBSTITUTE(LEFT(MID(TRIM(INDEX(PASTE_ALL,31,60)),1+(LEFT(TRIM(INDEX(PASTE_ALL,31,60)),1)="-"),999),LEN(MID(TRIM(INDEX(PASTE_ALL,31,60)),1+(LEFT(TRIM(INDEX(PASTE_ALL,31,60)),1)="-"),999))-(RIGHT(MID(TRIM(INDEX(PASTE_ALL,31,60)),1+(LEFT(TRIM(INDEX(PASTE_ALL,31,60)),1)="-"),999),1)="%")),"0",""),"1",""),"2",""),"3",""),"4",""),"5",""),"6",""),"7",""),"8",""),"9",""),".",""),",","")=""),2,1))),1)</f>
        <v/>
      </c>
      <c r="DA80" t="n">
        <v>76</v>
      </c>
      <c r="DB80">
        <f>IF($B$37=0,"",IFERROR(TRIM(SUBSTITUTE(SUBSTITUTE(SUBSTITUTE(SUBSTITUTE(INDEX(PASTE_ALL,76,$B$37)," "," "),CHAR(9)," "),CHAR(10)," "),CHAR(13)," ")),""))</f>
        <v/>
      </c>
      <c r="DC80">
        <f>IF(AND(76&gt;HEADER_ROW,UPPER(DB80)="LEGEND"),1,0)</f>
        <v/>
      </c>
      <c r="DE80" t="n">
        <v>76</v>
      </c>
      <c r="DF80">
        <f>HEADER_ROW+$DE80</f>
        <v/>
      </c>
      <c r="DG80">
        <f>IF(AND($DF80&lt;=1000,$DF80&lt;$B$8),1,0)</f>
        <v/>
      </c>
      <c r="DH80">
        <f>IF($DG80=1,IFERROR(INDEX($DB$5:$DB$1004,$DF80),""),"")</f>
        <v/>
      </c>
      <c r="DI80">
        <f>IF(AND($DG80=1,$DH80&lt;&gt;""),IFERROR(SUBSTITUTE(SUBSTITUTE(TRIM(SUBSTITUTE(SUBSTITUTE(SUBSTITUTE(SUBSTITUTE(IFERROR(INDEX(PASTE_ALL,$DF80,1)&amp;"","")&amp;"␟"&amp;IFERROR(INDEX(PASTE_ALL,$DF80,2)&amp;"","")&amp;"␟"&amp;IFERROR(INDEX(PASTE_ALL,$DF80,3)&amp;"","")&amp;"␟"&amp;IFERROR(INDEX(PASTE_ALL,$DF80,4)&amp;"","")&amp;"␟"&amp;IFERROR(INDEX(PASTE_ALL,$DF80,5)&amp;"","")&amp;"␟"&amp;IFERROR(INDEX(PASTE_ALL,$DF80,6)&amp;"","")&amp;"␟"&amp;IFERROR(INDEX(PASTE_ALL,$DF80,7)&amp;"","")&amp;"␟"&amp;IFERROR(INDEX(PASTE_ALL,$DF80,8)&amp;"","")&amp;"␟"&amp;IFERROR(INDEX(PASTE_ALL,$DF80,9)&amp;"","")&amp;"␟"&amp;IFERROR(INDEX(PASTE_ALL,$DF80,10)&amp;"","")&amp;"␟"&amp;IFERROR(INDEX(PASTE_ALL,$DF80,11)&amp;"","")&amp;"␟"&amp;IFERROR(INDEX(PASTE_ALL,$DF80,12)&amp;"","")&amp;"␟"&amp;IFERROR(INDEX(PASTE_ALL,$DF80,13)&amp;"","")&amp;"␟"&amp;IFERROR(INDEX(PASTE_ALL,$DF80,14)&amp;"","")&amp;"␟"&amp;IFERROR(INDEX(PASTE_ALL,$DF80,15)&amp;"","")&amp;"␟"&amp;IFERROR(INDEX(PASTE_ALL,$DF80,16)&amp;"","")&amp;"␟"&amp;IFERROR(INDEX(PASTE_ALL,$DF80,17)&amp;"","")&amp;"␟"&amp;IFERROR(INDEX(PASTE_ALL,$DF80,18)&amp;"","")&amp;"␟"&amp;IFERROR(INDEX(PASTE_ALL,$DF80,19)&amp;"","")&amp;"␟"&amp;IFERROR(INDEX(PASTE_ALL,$DF80,20)&amp;"","")&amp;"␟"&amp;IFERROR(INDEX(PASTE_ALL,$DF80,21)&amp;"","")&amp;"␟"&amp;IFERROR(INDEX(PASTE_ALL,$DF80,22)&amp;"","")&amp;"␟"&amp;IFERROR(INDEX(PASTE_ALL,$DF80,23)&amp;"","")&amp;"␟"&amp;IFERROR(INDEX(PASTE_ALL,$DF80,24)&amp;"","")&amp;"␟"&amp;IFERROR(INDEX(PASTE_ALL,$DF80,25)&amp;"","")&amp;"␟"&amp;IFERROR(INDEX(PASTE_ALL,$DF80,26)&amp;"","")&amp;"␟"&amp;IFERROR(INDEX(PASTE_ALL,$DF80,27)&amp;"","")&amp;"␟"&amp;IFERROR(INDEX(PASTE_ALL,$DF80,28)&amp;"","")&amp;"␟"&amp;IFERROR(INDEX(PASTE_ALL,$DF80,29)&amp;"","")&amp;"␟"&amp;IFERROR(INDEX(PASTE_ALL,$DF80,30)&amp;"","")&amp;"␟"&amp;IFERROR(INDEX(PASTE_ALL,$DF80,31)&amp;"","")&amp;"␟"&amp;IFERROR(INDEX(PASTE_ALL,$DF80,32)&amp;"","")&amp;"␟"&amp;IFERROR(INDEX(PASTE_ALL,$DF80,33)&amp;"","")&amp;"␟"&amp;IFERROR(INDEX(PASTE_ALL,$DF80,34)&amp;"","")&amp;"␟"&amp;IFERROR(INDEX(PASTE_ALL,$DF80,35)&amp;"","")&amp;"␟"&amp;IFERROR(INDEX(PASTE_ALL,$DF80,36)&amp;"","")&amp;"␟"&amp;IFERROR(INDEX(PASTE_ALL,$DF80,37)&amp;"","")&amp;"␟"&amp;IFERROR(INDEX(PASTE_ALL,$DF80,38)&amp;"","")&amp;"␟"&amp;IFERROR(INDEX(PASTE_ALL,$DF80,39)&amp;"","")&amp;"␟"&amp;IFERROR(INDEX(PASTE_ALL,$DF80,40)&amp;"","")&amp;"␟"&amp;IFERROR(INDEX(PASTE_ALL,$DF80,41)&amp;"","")&amp;"␟"&amp;IFERROR(INDEX(PASTE_ALL,$DF80,42)&amp;"","")&amp;"␟"&amp;IFERROR(INDEX(PASTE_ALL,$DF80,43)&amp;"","")&amp;"␟"&amp;IFERROR(INDEX(PASTE_ALL,$DF80,44)&amp;"","")&amp;"␟"&amp;IFERROR(INDEX(PASTE_ALL,$DF80,45)&amp;"","")&amp;"␟"&amp;IFERROR(INDEX(PASTE_ALL,$DF80,46)&amp;"","")&amp;"␟"&amp;IFERROR(INDEX(PASTE_ALL,$DF80,47)&amp;"","")&amp;"␟"&amp;IFERROR(INDEX(PASTE_ALL,$DF80,48)&amp;"","")&amp;"␟"&amp;IFERROR(INDEX(PASTE_ALL,$DF80,49)&amp;"","")&amp;"␟"&amp;IFERROR(INDEX(PASTE_ALL,$DF80,50)&amp;"","")&amp;"␟"&amp;IFERROR(INDEX(PASTE_ALL,$DF80,51)&amp;"","")&amp;"␟"&amp;IFERROR(INDEX(PASTE_ALL,$DF80,52)&amp;"","")&amp;"␟"&amp;IFERROR(INDEX(PASTE_ALL,$DF80,53)&amp;"","")&amp;"␟"&amp;IFERROR(INDEX(PASTE_ALL,$DF80,54)&amp;"","")&amp;"␟"&amp;IFERROR(INDEX(PASTE_ALL,$DF80,55)&amp;"","")&amp;"␟"&amp;IFERROR(INDEX(PASTE_ALL,$DF80,56)&amp;"","")&amp;"␟"&amp;IFERROR(INDEX(PASTE_ALL,$DF80,57)&amp;"","")&amp;"␟"&amp;IFERROR(INDEX(PASTE_ALL,$DF80,58)&amp;"","")&amp;"␟"&amp;IFERROR(INDEX(PASTE_ALL,$DF80,59)&amp;"","")&amp;"␟"&amp;IFERROR(INDEX(PASTE_ALL,$DF80,60)&amp;"","")," "," "),CHAR(9)," "),CHAR(10)," "),CHAR(13)," "))," ␟","␟"),"␟ ","␟"),"#"&amp;$DE80),"")</f>
        <v/>
      </c>
      <c r="DJ80">
        <f>IF($DI80="",0,IF(SUMPRODUCT(--EXACT($DI$4:DI79,$DI80))&gt;0,1,0))</f>
        <v/>
      </c>
      <c r="DK80">
        <f>IF(AND($DI80&lt;&gt;"",$DJ80=0),1,0)</f>
        <v/>
      </c>
      <c r="DL80">
        <f>DL79+$DK80</f>
        <v/>
      </c>
      <c r="DM80">
        <f>IF(AND($DK80=1,$DL80&lt;=600),1,0)</f>
        <v/>
      </c>
      <c r="DN80">
        <f>IF($DM80=0,"",IF($L$6=0,"",IFERROR(IF(ISNUMBER(INDEX(PASTE_ALL,$DF80,$L$6)),INDEX(PASTE_ALL,$DF80,$L$6),TRIM(SUBSTITUTE(SUBSTITUTE(SUBSTITUTE(SUBSTITUTE(INDEX(PASTE_ALL,$DF80,$L$6)," "," "),CHAR(9)," "),CHAR(10)," "),CHAR(13)," "))),"")))</f>
        <v/>
      </c>
      <c r="DO80">
        <f>IF($DM80=0,"",IF($L$7=0,"",IFERROR(IF(ISNUMBER(INDEX(PASTE_ALL,$DF80,$L$7)),INDEX(PASTE_ALL,$DF80,$L$7),TRIM(SUBSTITUTE(SUBSTITUTE(SUBSTITUTE(SUBSTITUTE(INDEX(PASTE_ALL,$DF80,$L$7)," "," "),CHAR(9)," "),CHAR(10)," "),CHAR(13)," "))),"")))</f>
        <v/>
      </c>
      <c r="DP80">
        <f>IF($DM80=0,"",IF($L$8=0,"",IFERROR(IF(ISNUMBER(INDEX(PASTE_ALL,$DF80,$L$8)),INDEX(PASTE_ALL,$DF80,$L$8),TRIM(SUBSTITUTE(SUBSTITUTE(SUBSTITUTE(SUBSTITUTE(INDEX(PASTE_ALL,$DF80,$L$8)," "," "),CHAR(9)," "),CHAR(10)," "),CHAR(13)," "))),"")))</f>
        <v/>
      </c>
      <c r="DQ80">
        <f>IF($DM80=0,"",IF($L$9=0,"",IFERROR(IF(ISNUMBER(INDEX(PASTE_ALL,$DF80,$L$9)),INDEX(PASTE_ALL,$DF80,$L$9),TRIM(SUBSTITUTE(SUBSTITUTE(SUBSTITUTE(SUBSTITUTE(INDEX(PASTE_ALL,$DF80,$L$9)," "," "),CHAR(9)," "),CHAR(10)," "),CHAR(13)," "))),"")))</f>
        <v/>
      </c>
      <c r="DR80">
        <f>IF($DM80=0,"",IF($L$10=0,"",IFERROR(IF(ISNUMBER(INDEX(PASTE_ALL,$DF80,$L$10)),INDEX(PASTE_ALL,$DF80,$L$10),TRIM(SUBSTITUTE(SUBSTITUTE(SUBSTITUTE(SUBSTITUTE(INDEX(PASTE_ALL,$DF80,$L$10)," "," "),CHAR(9)," "),CHAR(10)," "),CHAR(13)," "))),"")))</f>
        <v/>
      </c>
      <c r="DS80">
        <f>IF($DM80=0,"",IF($L$11=0,"",IFERROR(IF(ISNUMBER(INDEX(PASTE_ALL,$DF80,$L$11)),INDEX(PASTE_ALL,$DF80,$L$11),TRIM(SUBSTITUTE(SUBSTITUTE(SUBSTITUTE(SUBSTITUTE(INDEX(PASTE_ALL,$DF80,$L$11)," "," "),CHAR(9)," "),CHAR(10)," "),CHAR(13)," "))),"")))</f>
        <v/>
      </c>
      <c r="DT80">
        <f>IF($DM80=0,"",IF($L$12=0,"",IFERROR(IF(ISNUMBER(INDEX(PASTE_ALL,$DF80,$L$12)),INDEX(PASTE_ALL,$DF80,$L$12),TRIM(SUBSTITUTE(SUBSTITUTE(SUBSTITUTE(SUBSTITUTE(INDEX(PASTE_ALL,$DF80,$L$12)," "," "),CHAR(9)," "),CHAR(10)," "),CHAR(13)," "))),"")))</f>
        <v/>
      </c>
      <c r="DU80">
        <f>IF($DM80=0,"",IF($L$13=0,"",IFERROR(IF(ISNUMBER(INDEX(PASTE_ALL,$DF80,$L$13)),INDEX(PASTE_ALL,$DF80,$L$13),TRIM(SUBSTITUTE(SUBSTITUTE(SUBSTITUTE(SUBSTITUTE(INDEX(PASTE_ALL,$DF80,$L$13)," "," "),CHAR(9)," "),CHAR(10)," "),CHAR(13)," "))),"")))</f>
        <v/>
      </c>
      <c r="DV80">
        <f>IF($DM80=0,"",IF($L$14=0,"",IFERROR(IF(ISNUMBER(INDEX(PASTE_ALL,$DF80,$L$14)),INDEX(PASTE_ALL,$DF80,$L$14),TRIM(SUBSTITUTE(SUBSTITUTE(SUBSTITUTE(SUBSTITUTE(INDEX(PASTE_ALL,$DF80,$L$14)," "," "),CHAR(9)," "),CHAR(10)," "),CHAR(13)," "))),"")))</f>
        <v/>
      </c>
      <c r="DW80">
        <f>IF($DM80=0,"",IF($L$15=0,"",IFERROR(IF(ISNUMBER(INDEX(PASTE_ALL,$DF80,$L$15)),INDEX(PASTE_ALL,$DF80,$L$15),IF(SUMPRODUCT(--ISNUMBER(FIND({"A","B","C","D","E","F","G","H","I","J","K","L","M","N","O","P","Q","R","S","T","U","V","W","X","Y","Z","0","1","2","3","4","5","6","7","8","9"},UPPER(TRIM(SUBSTITUTE(SUBSTITUTE(SUBSTITUTE(SUBSTITUTE(INDEX(PASTE_ALL,$DF80,$L$15)," "," "),CHAR(9)," "),CHAR(10)," "),CHAR(13)," "))))))&gt;0,TRIM(SUBSTITUTE(SUBSTITUTE(SUBSTITUTE(SUBSTITUTE(INDEX(PASTE_ALL,$DF80,$L$15)," "," "),CHAR(9)," "),CHAR(10)," "),CHAR(13)," ")),"")),"")))</f>
        <v/>
      </c>
      <c r="DX80">
        <f>IF($DM80=0,"",IF($L$16=0,"",IFERROR(IF(ISNUMBER(INDEX(PASTE_ALL,$DF80,$L$16)),INDEX(PASTE_ALL,$DF80,$L$16),SUBSTITUTE(SUBSTITUTE(TRIM(SUBSTITUTE(SUBSTITUTE(SUBSTITUTE(SUBSTITUTE(INDEX(PASTE_ALL,$DF80,$L$16)," "," "),CHAR(9)," "),CHAR(10)," "),CHAR(13)," ")),",",""),"%","")),"")))</f>
        <v/>
      </c>
      <c r="DY80">
        <f>IF($DM80=0,"",IFERROR(IF(ISNUMBER($DX80),$DX80,IF($DX80="","",IF(TRIM($DX80)="",0,IF(AND(AND(SUBSTITUTE(SUBSTITUTE(SUBSTITUTE(SUBSTITUTE(SUBSTITUTE(SUBSTITUTE(SUBSTITUTE(SUBSTITUTE(SUBSTITUTE(SUBSTITUTE(SUBSTITUTE(SUBSTITUTE(SUBSTITUTE(SUBSTITUTE(UPPER(TRIM($DX80)),"0",""),"1",""),"2",""),"3",""),"4",""),"5",""),"6",""),"7",""),"8",""),"9",""),".",""),"+",""),"-",""),"E","")="",LEN(SUBSTITUTE(SUBSTITUTE(MID(UPPER(TRIM($DX80)),1+OR(LEFT(UPPER(TRIM($DX80)),1)="+",LEFT(UPPER(TRIM($DX80)),1)="-"),999),"E+","E"),"E-","E"))=LEN(SUBSTITUTE(SUBSTITUTE(SUBSTITUTE(SUBSTITUTE(MID(UPPER(TRIM($DX80)),1+OR(LEFT(UPPER(TRIM($DX80)),1)="+",LEFT(UPPER(TRIM($DX80)),1)="-"),999),"E+","E"),"E-","E"),"+",""),"-","")),LEN(UPPER(TRIM($DX80)))-LEN(SUBSTITUTE(UPPER(TRIM($DX80)),"E",""))&lt;2,LEN(UPPER(TRIM($DX80)))-LEN(SUBSTITUTE(UPPER(TRIM($DX80)),".",""))&lt;2,IFERROR(FIND(".",UPPER(TRIM($DX80))),0)&lt;IFERROR(FIND("E",UPPER(TRIM($DX80))),999)),ISNUMBER(VALUE(TRIM($DX80)))),VALUE(TRIM($DX80)),"")))),""))</f>
        <v/>
      </c>
      <c r="DZ80">
        <f>IF($DM80=0,"",IF($L$17=0,"",IFERROR(IF(ISNUMBER(INDEX(PASTE_ALL,$DF80,$L$17)),INDEX(PASTE_ALL,$DF80,$L$17),SUBSTITUTE(SUBSTITUTE(TRIM(SUBSTITUTE(SUBSTITUTE(SUBSTITUTE(SUBSTITUTE(INDEX(PASTE_ALL,$DF80,$L$17)," "," "),CHAR(9)," "),CHAR(10)," "),CHAR(13)," ")),",",""),"%","")),"")))</f>
        <v/>
      </c>
      <c r="EA80">
        <f>IF($DM80=0,"",IFERROR(IF(ISNUMBER($DZ80),$DZ80,IF($DZ80="","",IF(TRIM($DZ80)="",0,IF(AND(AND(SUBSTITUTE(SUBSTITUTE(SUBSTITUTE(SUBSTITUTE(SUBSTITUTE(SUBSTITUTE(SUBSTITUTE(SUBSTITUTE(SUBSTITUTE(SUBSTITUTE(SUBSTITUTE(SUBSTITUTE(SUBSTITUTE(SUBSTITUTE(UPPER(TRIM($DZ80)),"0",""),"1",""),"2",""),"3",""),"4",""),"5",""),"6",""),"7",""),"8",""),"9",""),".",""),"+",""),"-",""),"E","")="",LEN(SUBSTITUTE(SUBSTITUTE(MID(UPPER(TRIM($DZ80)),1+OR(LEFT(UPPER(TRIM($DZ80)),1)="+",LEFT(UPPER(TRIM($DZ80)),1)="-"),999),"E+","E"),"E-","E"))=LEN(SUBSTITUTE(SUBSTITUTE(SUBSTITUTE(SUBSTITUTE(MID(UPPER(TRIM($DZ80)),1+OR(LEFT(UPPER(TRIM($DZ80)),1)="+",LEFT(UPPER(TRIM($DZ80)),1)="-"),999),"E+","E"),"E-","E"),"+",""),"-","")),LEN(UPPER(TRIM($DZ80)))-LEN(SUBSTITUTE(UPPER(TRIM($DZ80)),"E",""))&lt;2,LEN(UPPER(TRIM($DZ80)))-LEN(SUBSTITUTE(UPPER(TRIM($DZ80)),".",""))&lt;2,IFERROR(FIND(".",UPPER(TRIM($DZ80))),0)&lt;IFERROR(FIND("E",UPPER(TRIM($DZ80))),999)),ISNUMBER(VALUE(TRIM($DZ80)))),VALUE(TRIM($DZ80)),"")))),""))</f>
        <v/>
      </c>
      <c r="EB80">
        <f>IF($DM80=0,"",IF($L$18=0,"",IFERROR(IF(UPPER(TRIM(SUBSTITUTE(SUBSTITUTE(SUBSTITUTE(SUBSTITUTE(INDEX(PASTE_ALL,$DF80,$L$18)," "," "),CHAR(9)," "),CHAR(10)," "),CHAR(13)," ")))="READY","Ready",IF(UPPER(TRIM(SUBSTITUTE(SUBSTITUTE(SUBSTITUTE(SUBSTITUTE(INDEX(PASTE_ALL,$DF80,$L$18)," "," "),CHAR(9)," "),CHAR(10)," "),CHAR(13)," ")))="PM","PM",IF(OR(UPPER(TRIM(SUBSTITUTE(SUBSTITUTE(SUBSTITUTE(SUBSTITUTE(INDEX(PASTE_ALL,$DF80,$L$18)," "," "),CHAR(9)," "),CHAR(10)," "),CHAR(13)," ")))="OT",UPPER(TRIM(SUBSTITUTE(SUBSTITUTE(SUBSTITUTE(SUBSTITUTE(INDEX(PASTE_ALL,$DF80,$L$18)," "," "),CHAR(9)," "),CHAR(10)," "),CHAR(13)," ")))="OVERTIME",UPPER(TRIM(SUBSTITUTE(SUBSTITUTE(SUBSTITUTE(SUBSTITUTE(INDEX(PASTE_ALL,$DF80,$L$18)," "," "),CHAR(9)," "),CHAR(10)," "),CHAR(13)," ")))="TRIAL"),"OT",TRIM(SUBSTITUTE(SUBSTITUTE(SUBSTITUTE(SUBSTITUTE(INDEX(PASTE_ALL,$DF80,$L$18)," "," "),CHAR(9)," "),CHAR(10)," "),CHAR(13)," "))))),"")))</f>
        <v/>
      </c>
      <c r="EC80">
        <f>IF($DM80=0,"",IF($L$19=0,"",IFERROR(IF(ISNUMBER(INDEX(PASTE_ALL,$DF80,$L$19)),INDEX(PASTE_ALL,$DF80,$L$19),TRIM(SUBSTITUTE(SUBSTITUTE(SUBSTITUTE(SUBSTITUTE(INDEX(PASTE_ALL,$DF80,$L$19)," "," "),CHAR(9)," "),CHAR(10)," "),CHAR(13)," "))),"")))</f>
        <v/>
      </c>
      <c r="ED80">
        <f>IF($DM80=0,"",MATCH(1,INDEX(EXACT($DH$5:DH80,$DH80)*$DM$5:DM80,0),0))</f>
        <v/>
      </c>
      <c r="EE80">
        <f>IF($DM80=0,0,IF($ED80=$DE80,1,0))</f>
        <v/>
      </c>
      <c r="EF80">
        <f>EF79+$EE80</f>
        <v/>
      </c>
      <c r="EG80">
        <f>IF($DM80=0,"",INDEX($EF$5:$EF$1003,$ED80))</f>
        <v/>
      </c>
      <c r="EH80">
        <f>IF($DM80=0,"",IF($DO80&lt;&gt;"","",IFERROR(LOOKUP(2,1/(($EG$4:EG79=$EG80)*($DO$4:DO79&lt;&gt;"")),$DO$4:DO79),"")))</f>
        <v/>
      </c>
      <c r="EI80">
        <f>IF($DM80=0,"",IF($DO80&lt;&gt;"",$DO80,$EH80))</f>
        <v/>
      </c>
      <c r="EJ80">
        <f>IF($DM80=0,"",IF($EI80="",0,IF(OR(ISNUMBER($EI80),AND(AND(SUBSTITUTE(SUBSTITUTE(SUBSTITUTE(SUBSTITUTE(SUBSTITUTE(SUBSTITUTE(SUBSTITUTE(SUBSTITUTE(SUBSTITUTE(SUBSTITUTE(SUBSTITUTE(SUBSTITUTE(SUBSTITUTE(SUBSTITUTE(UPPER($EI80),"0",""),"1",""),"2",""),"3",""),"4",""),"5",""),"6",""),"7",""),"8",""),"9",""),".",""),"+",""),"-",""),"E","")="",LEN(SUBSTITUTE(SUBSTITUTE(MID(UPPER($EI80),1+OR(LEFT(UPPER($EI80),1)="+",LEFT(UPPER($EI80),1)="-"),999),"E+","E"),"E-","E"))=LEN(SUBSTITUTE(SUBSTITUTE(SUBSTITUTE(SUBSTITUTE(MID(UPPER($EI80),1+OR(LEFT(UPPER($EI80),1)="+",LEFT(UPPER($EI80),1)="-"),999),"E+","E"),"E-","E"),"+",""),"-","")),LEN(UPPER($EI80))-LEN(SUBSTITUTE(UPPER($EI80),"E",""))&lt;2,LEN(UPPER($EI80))-LEN(SUBSTITUTE(UPPER($EI80),".",""))&lt;2,IFERROR(FIND(".",UPPER($EI80)),0)&lt;IFERROR(FIND("E",UPPER($EI80)),999)),ISNUMBER(VALUE($EI80)))),1,2)))</f>
        <v/>
      </c>
      <c r="EK80">
        <f>IF($DM80=0,"",IF($EJ80=1,IF(ISNUMBER($EI80),$EI80,VALUE($EI80)),IF($EJ80=2,$DE80,0)))</f>
        <v/>
      </c>
      <c r="EL80">
        <f>IF($DM80=0,"",COUNTIF($EG$5:$EG$1003,"&lt;"&amp;$EG80)+SUMPRODUCT(($EG$5:$EG$1003=$EG80)*(($EJ$5:$EJ$1003&lt;$EJ80)+($EJ$5:$EJ$1003=$EJ80)*(($EK$5:$EK$1003&lt;$EK80)+($EK$5:$EK$1003=$EK80)*($DE$5:$DE$1003&lt;$DE80))))+1)</f>
        <v/>
      </c>
      <c r="EM80">
        <f>IF($DM80=0,"",$EL80+$EG80-1)</f>
        <v/>
      </c>
      <c r="EN80">
        <f>IF($DM80=0,0,IFERROR(MATCH(1,INDEX(--(TRIM(SUBSTITUTE(SUBSTITUTE(SUBSTITUTE(SUBSTITUTE(LINES_NAME&amp;""," "," "),CHAR(9)," "),CHAR(10)," "),CHAR(13)," "))=$DH80),0),0),0))</f>
        <v/>
      </c>
      <c r="EO80">
        <f>IF($EN80=0,0,IF(OR(UPPER(TRIM(INDEX(LINES_SCHEDULED,$EN80)&amp;""))="YES",UPPER(TRIM(INDEX(LINES_SCHEDULED,$EN80)&amp;""))="Y",UPPER(TRIM(INDEX(LINES_SCHEDULED,$EN80)&amp;""))="X"),1,0))</f>
        <v/>
      </c>
      <c r="EP80">
        <f>IF($DM80=0,"",IF(COUNTIFS($EG$5:$EG$1003,$EG80,$EB$5:$EB$1003,"Ready")&gt;0,"READY",IF(COUNTIFS($EG$5:$EG$1003,$EG80,$EB$5:$EB$1003,"PM")&gt;0,"PM",IF(COUNTIFS($EG$5:$EG$1003,$EG80,$EB$5:$EB$1003,"OT")&gt;0,"OT",""))))</f>
        <v/>
      </c>
      <c r="EQ80">
        <f>IF($EN80=0,"",UPPER(TRIM(INDEX(LINES_STATUS,$EN80)&amp;"")))</f>
        <v/>
      </c>
      <c r="ER80">
        <f>IF($DM80=0,"",IF(OR($EQ80="READY",$EQ80="PM",$EQ80="OT"),$EQ80,$EP80))</f>
        <v/>
      </c>
      <c r="ES80">
        <f>IF($DM80=0,"",IF(AND($DV80&lt;&gt;"",UPPER($DV80)&lt;&gt;"N"),"allergen",IF(ISNUMBER(SEARCH("oil",$DQ80)),"oil",IF(OR(EXACT($DS80,"A662"),EXACT($DS80,"A624")),"bulk",""))))</f>
        <v/>
      </c>
      <c r="ET80">
        <f>IF($DM80=0,"",IF(OR($EA80="",$EA80=0),"",$EA80/100))</f>
        <v/>
      </c>
      <c r="EU80">
        <f>IF(OR($ET80="",$DY80=""),"",INT($DY80*(1-$ET80)+0.5))</f>
        <v/>
      </c>
      <c r="EW80" t="n">
        <v>76</v>
      </c>
      <c r="EX80">
        <f>IFERROR(MATCH($EW80,$EM$5:$EM$1003,0),0)</f>
        <v/>
      </c>
      <c r="EY80">
        <f>IF($EW80&gt;$B$12,"",IF($EX80&gt;0,"row","spacer"))</f>
        <v/>
      </c>
      <c r="EZ80">
        <f>IF(AND($EY80="row",$EY79&lt;&gt;"row"),1,0)</f>
        <v/>
      </c>
      <c r="FA80">
        <f>IF(AND($EY80="row",$EY81&lt;&gt;"row"),1,0)</f>
        <v/>
      </c>
      <c r="FB80">
        <f>IF($EZ80=1,IFERROR(IF(ISNUMBER(INDEX(PASTE_ALL,INDEX($DF$5:$DF$1003,$EX80),$B$37)),INDEX(PASTE_ALL,INDEX($DF$5:$DF$1003,$EX80),$B$37),INDEX($DH$5:$DH$1003,$EX80)),INDEX($DH$5:$DH$1003,$EX80)),"")</f>
        <v/>
      </c>
      <c r="FC80">
        <f>IF($EY80="row",INDEX($ER$5:$ER$1003,$EX80),"")</f>
        <v/>
      </c>
      <c r="FD80">
        <f>IF($EY80="row",INDEX($DN$5:$DN$1003,$EX80),"")</f>
        <v/>
      </c>
      <c r="FE80">
        <f>IF($EY80="row",INDEX($DO$5:$DO$1003,$EX80),"")</f>
        <v/>
      </c>
      <c r="FF80">
        <f>IF($EY80="row",INDEX($DP$5:$DP$1003,$EX80),"")</f>
        <v/>
      </c>
      <c r="FG80">
        <f>IF($EY80="row",INDEX($DQ$5:$DQ$1003,$EX80),"")</f>
        <v/>
      </c>
      <c r="FH80">
        <f>IF($EY80="row",INDEX($DR$5:$DR$1003,$EX80),"")</f>
        <v/>
      </c>
      <c r="FI80">
        <f>IF($EY80="row",INDEX($DS$5:$DS$1003,$EX80),"")</f>
        <v/>
      </c>
      <c r="FJ80">
        <f>IF($EY80="row",INDEX($DT$5:$DT$1003,$EX80),"")</f>
        <v/>
      </c>
      <c r="FK80">
        <f>IF($EY80="row",INDEX($DU$5:$DU$1003,$EX80),"")</f>
        <v/>
      </c>
      <c r="FL80">
        <f>IF($EY80="row",INDEX($DV$5:$DV$1003,$EX80),"")</f>
        <v/>
      </c>
      <c r="FM80">
        <f>IF($EY80="row",INDEX($DW$5:$DW$1003,$EX80),"")</f>
        <v/>
      </c>
      <c r="FN80">
        <f>IF($EY80="row",INDEX($DY$5:$DY$1003,$EX80),"")</f>
        <v/>
      </c>
      <c r="FO80">
        <f>IF($EY80="row",INDEX($EA$5:$EA$1003,$EX80),"")</f>
        <v/>
      </c>
      <c r="FP80">
        <f>IF($EY80="row",INDEX($EC$5:$EC$1003,$EX80),"")</f>
        <v/>
      </c>
      <c r="FQ80">
        <f>IF($EY80="row",INDEX($ET$5:$ET$1003,$EX80),"")</f>
        <v/>
      </c>
      <c r="FR80">
        <f>IF($EY80="row",INDEX($EU$5:$EU$1003,$EX80),"")</f>
        <v/>
      </c>
      <c r="FS80">
        <f>IF(AND($EY80="row",$EY79="row"),IF(OR(INDEX($DT$5:$DT$1003,$EX79)="",INDEX($DT$5:$DT$1003,$EX80)=""),"",IF(NOT(EXACT(INDEX($DT$5:$DT$1003,$EX79),INDEX($DT$5:$DT$1003,$EX80))),"S4",IF(NOT(EXACT(INDEX($DS$5:$DS$1003,$EX79),INDEX($DS$5:$DS$1003,$EX80))),"S3",IF(NOT(EXACT(INDEX($DR$5:$DR$1003,$EX79),INDEX($DR$5:$DR$1003,$EX80))),"S1 Count Change","S1")))),"")</f>
        <v/>
      </c>
      <c r="FT80">
        <f>IF($EY80="row",INDEX($ES$5:$ES$1003,$EX80),"")</f>
        <v/>
      </c>
      <c r="FU80">
        <f>IF($EY80="row",INDEX($EO$5:$EO$1003,$EX80),0)</f>
        <v/>
      </c>
      <c r="FV80">
        <f>IF($FS80="S1 Count Change",1,0)</f>
        <v/>
      </c>
      <c r="FX80" t="n">
        <v>76</v>
      </c>
      <c r="FY80">
        <f>IFERROR(MATCH($FX80,$EF$5:$EF$1003,0),0)</f>
        <v/>
      </c>
      <c r="FZ80">
        <f>IF($FY80=0,"",INDEX($DH$5:$DH$1003,$FY80))</f>
        <v/>
      </c>
      <c r="GA80">
        <f>IF($FY80=0,"",COUNTIF($EG$5:$EG$1003,$FX80))</f>
        <v/>
      </c>
      <c r="GB80">
        <f>IF($FY80=0,"",INDEX($ER$5:$ER$1003,$FY80))</f>
        <v/>
      </c>
      <c r="GC80">
        <f>IF($FY80=0,"",IF(INDEX($EO$5:$EO$1003,$FY80)=1,"Yes",""))</f>
        <v/>
      </c>
      <c r="GD80">
        <f>IF($FY80=0,"",IF(INDEX($EN$5:$EN$1003,$FY80)&gt;0,"","NOT IN YOUR LIST - type it in column A to tick it"))</f>
        <v/>
      </c>
      <c r="GE80">
        <f>IF(AND($FY80&gt;0,$GD80&lt;&gt;""),1,0)</f>
        <v/>
      </c>
      <c r="GF80">
        <f>GF79+$GE80</f>
        <v/>
      </c>
      <c r="GG80">
        <f>IFERROR(INDEX($FZ$5:$FZ$104,MATCH($FX80,$GF$5:$GF$104,0)),"")</f>
        <v/>
      </c>
    </row>
    <row r="81">
      <c r="V81" t="inlineStr">
        <is>
          <t>LINESTATUS</t>
        </is>
      </c>
      <c r="W81" t="n">
        <v>14</v>
      </c>
      <c r="Y81">
        <f>IFERROR(IF(ISNUMBER(INDEX(PASTE_ALL,32,1)),2,IF(TRIM(INDEX(PASTE_ALL,32,1))="",0,IF(AND(LEFT(MID(TRIM(INDEX(PASTE_ALL,32,1)),1+(LEFT(TRIM(INDEX(PASTE_ALL,32,1)),1)="-"),999),LEN(MID(TRIM(INDEX(PASTE_ALL,32,1)),1+(LEFT(TRIM(INDEX(PASTE_ALL,32,1)),1)="-"),999))-(RIGHT(MID(TRIM(INDEX(PASTE_ALL,32,1)),1+(LEFT(TRIM(INDEX(PASTE_ALL,32,1)),1)="-"),999),1)="%"))&lt;&gt;"",SUBSTITUTE(SUBSTITUTE(SUBSTITUTE(SUBSTITUTE(SUBSTITUTE(SUBSTITUTE(SUBSTITUTE(SUBSTITUTE(SUBSTITUTE(SUBSTITUTE(SUBSTITUTE(SUBSTITUTE(LEFT(MID(TRIM(INDEX(PASTE_ALL,32,1)),1+(LEFT(TRIM(INDEX(PASTE_ALL,32,1)),1)="-"),999),LEN(MID(TRIM(INDEX(PASTE_ALL,32,1)),1+(LEFT(TRIM(INDEX(PASTE_ALL,32,1)),1)="-"),999))-(RIGHT(MID(TRIM(INDEX(PASTE_ALL,32,1)),1+(LEFT(TRIM(INDEX(PASTE_ALL,32,1)),1)="-"),999),1)="%")),"0",""),"1",""),"2",""),"3",""),"4",""),"5",""),"6",""),"7",""),"8",""),"9",""),".",""),",","")=""),2,1))),1)</f>
        <v/>
      </c>
      <c r="Z81">
        <f>IFERROR(IF(ISNUMBER(INDEX(PASTE_ALL,32,2)),2,IF(TRIM(INDEX(PASTE_ALL,32,2))="",0,IF(AND(LEFT(MID(TRIM(INDEX(PASTE_ALL,32,2)),1+(LEFT(TRIM(INDEX(PASTE_ALL,32,2)),1)="-"),999),LEN(MID(TRIM(INDEX(PASTE_ALL,32,2)),1+(LEFT(TRIM(INDEX(PASTE_ALL,32,2)),1)="-"),999))-(RIGHT(MID(TRIM(INDEX(PASTE_ALL,32,2)),1+(LEFT(TRIM(INDEX(PASTE_ALL,32,2)),1)="-"),999),1)="%"))&lt;&gt;"",SUBSTITUTE(SUBSTITUTE(SUBSTITUTE(SUBSTITUTE(SUBSTITUTE(SUBSTITUTE(SUBSTITUTE(SUBSTITUTE(SUBSTITUTE(SUBSTITUTE(SUBSTITUTE(SUBSTITUTE(LEFT(MID(TRIM(INDEX(PASTE_ALL,32,2)),1+(LEFT(TRIM(INDEX(PASTE_ALL,32,2)),1)="-"),999),LEN(MID(TRIM(INDEX(PASTE_ALL,32,2)),1+(LEFT(TRIM(INDEX(PASTE_ALL,32,2)),1)="-"),999))-(RIGHT(MID(TRIM(INDEX(PASTE_ALL,32,2)),1+(LEFT(TRIM(INDEX(PASTE_ALL,32,2)),1)="-"),999),1)="%")),"0",""),"1",""),"2",""),"3",""),"4",""),"5",""),"6",""),"7",""),"8",""),"9",""),".",""),",","")=""),2,1))),1)</f>
        <v/>
      </c>
      <c r="AA81">
        <f>IFERROR(IF(ISNUMBER(INDEX(PASTE_ALL,32,3)),2,IF(TRIM(INDEX(PASTE_ALL,32,3))="",0,IF(AND(LEFT(MID(TRIM(INDEX(PASTE_ALL,32,3)),1+(LEFT(TRIM(INDEX(PASTE_ALL,32,3)),1)="-"),999),LEN(MID(TRIM(INDEX(PASTE_ALL,32,3)),1+(LEFT(TRIM(INDEX(PASTE_ALL,32,3)),1)="-"),999))-(RIGHT(MID(TRIM(INDEX(PASTE_ALL,32,3)),1+(LEFT(TRIM(INDEX(PASTE_ALL,32,3)),1)="-"),999),1)="%"))&lt;&gt;"",SUBSTITUTE(SUBSTITUTE(SUBSTITUTE(SUBSTITUTE(SUBSTITUTE(SUBSTITUTE(SUBSTITUTE(SUBSTITUTE(SUBSTITUTE(SUBSTITUTE(SUBSTITUTE(SUBSTITUTE(LEFT(MID(TRIM(INDEX(PASTE_ALL,32,3)),1+(LEFT(TRIM(INDEX(PASTE_ALL,32,3)),1)="-"),999),LEN(MID(TRIM(INDEX(PASTE_ALL,32,3)),1+(LEFT(TRIM(INDEX(PASTE_ALL,32,3)),1)="-"),999))-(RIGHT(MID(TRIM(INDEX(PASTE_ALL,32,3)),1+(LEFT(TRIM(INDEX(PASTE_ALL,32,3)),1)="-"),999),1)="%")),"0",""),"1",""),"2",""),"3",""),"4",""),"5",""),"6",""),"7",""),"8",""),"9",""),".",""),",","")=""),2,1))),1)</f>
        <v/>
      </c>
      <c r="AB81">
        <f>IFERROR(IF(ISNUMBER(INDEX(PASTE_ALL,32,4)),2,IF(TRIM(INDEX(PASTE_ALL,32,4))="",0,IF(AND(LEFT(MID(TRIM(INDEX(PASTE_ALL,32,4)),1+(LEFT(TRIM(INDEX(PASTE_ALL,32,4)),1)="-"),999),LEN(MID(TRIM(INDEX(PASTE_ALL,32,4)),1+(LEFT(TRIM(INDEX(PASTE_ALL,32,4)),1)="-"),999))-(RIGHT(MID(TRIM(INDEX(PASTE_ALL,32,4)),1+(LEFT(TRIM(INDEX(PASTE_ALL,32,4)),1)="-"),999),1)="%"))&lt;&gt;"",SUBSTITUTE(SUBSTITUTE(SUBSTITUTE(SUBSTITUTE(SUBSTITUTE(SUBSTITUTE(SUBSTITUTE(SUBSTITUTE(SUBSTITUTE(SUBSTITUTE(SUBSTITUTE(SUBSTITUTE(LEFT(MID(TRIM(INDEX(PASTE_ALL,32,4)),1+(LEFT(TRIM(INDEX(PASTE_ALL,32,4)),1)="-"),999),LEN(MID(TRIM(INDEX(PASTE_ALL,32,4)),1+(LEFT(TRIM(INDEX(PASTE_ALL,32,4)),1)="-"),999))-(RIGHT(MID(TRIM(INDEX(PASTE_ALL,32,4)),1+(LEFT(TRIM(INDEX(PASTE_ALL,32,4)),1)="-"),999),1)="%")),"0",""),"1",""),"2",""),"3",""),"4",""),"5",""),"6",""),"7",""),"8",""),"9",""),".",""),",","")=""),2,1))),1)</f>
        <v/>
      </c>
      <c r="AC81">
        <f>IFERROR(IF(ISNUMBER(INDEX(PASTE_ALL,32,5)),2,IF(TRIM(INDEX(PASTE_ALL,32,5))="",0,IF(AND(LEFT(MID(TRIM(INDEX(PASTE_ALL,32,5)),1+(LEFT(TRIM(INDEX(PASTE_ALL,32,5)),1)="-"),999),LEN(MID(TRIM(INDEX(PASTE_ALL,32,5)),1+(LEFT(TRIM(INDEX(PASTE_ALL,32,5)),1)="-"),999))-(RIGHT(MID(TRIM(INDEX(PASTE_ALL,32,5)),1+(LEFT(TRIM(INDEX(PASTE_ALL,32,5)),1)="-"),999),1)="%"))&lt;&gt;"",SUBSTITUTE(SUBSTITUTE(SUBSTITUTE(SUBSTITUTE(SUBSTITUTE(SUBSTITUTE(SUBSTITUTE(SUBSTITUTE(SUBSTITUTE(SUBSTITUTE(SUBSTITUTE(SUBSTITUTE(LEFT(MID(TRIM(INDEX(PASTE_ALL,32,5)),1+(LEFT(TRIM(INDEX(PASTE_ALL,32,5)),1)="-"),999),LEN(MID(TRIM(INDEX(PASTE_ALL,32,5)),1+(LEFT(TRIM(INDEX(PASTE_ALL,32,5)),1)="-"),999))-(RIGHT(MID(TRIM(INDEX(PASTE_ALL,32,5)),1+(LEFT(TRIM(INDEX(PASTE_ALL,32,5)),1)="-"),999),1)="%")),"0",""),"1",""),"2",""),"3",""),"4",""),"5",""),"6",""),"7",""),"8",""),"9",""),".",""),",","")=""),2,1))),1)</f>
        <v/>
      </c>
      <c r="AD81">
        <f>IFERROR(IF(ISNUMBER(INDEX(PASTE_ALL,32,6)),2,IF(TRIM(INDEX(PASTE_ALL,32,6))="",0,IF(AND(LEFT(MID(TRIM(INDEX(PASTE_ALL,32,6)),1+(LEFT(TRIM(INDEX(PASTE_ALL,32,6)),1)="-"),999),LEN(MID(TRIM(INDEX(PASTE_ALL,32,6)),1+(LEFT(TRIM(INDEX(PASTE_ALL,32,6)),1)="-"),999))-(RIGHT(MID(TRIM(INDEX(PASTE_ALL,32,6)),1+(LEFT(TRIM(INDEX(PASTE_ALL,32,6)),1)="-"),999),1)="%"))&lt;&gt;"",SUBSTITUTE(SUBSTITUTE(SUBSTITUTE(SUBSTITUTE(SUBSTITUTE(SUBSTITUTE(SUBSTITUTE(SUBSTITUTE(SUBSTITUTE(SUBSTITUTE(SUBSTITUTE(SUBSTITUTE(LEFT(MID(TRIM(INDEX(PASTE_ALL,32,6)),1+(LEFT(TRIM(INDEX(PASTE_ALL,32,6)),1)="-"),999),LEN(MID(TRIM(INDEX(PASTE_ALL,32,6)),1+(LEFT(TRIM(INDEX(PASTE_ALL,32,6)),1)="-"),999))-(RIGHT(MID(TRIM(INDEX(PASTE_ALL,32,6)),1+(LEFT(TRIM(INDEX(PASTE_ALL,32,6)),1)="-"),999),1)="%")),"0",""),"1",""),"2",""),"3",""),"4",""),"5",""),"6",""),"7",""),"8",""),"9",""),".",""),",","")=""),2,1))),1)</f>
        <v/>
      </c>
      <c r="AE81">
        <f>IFERROR(IF(ISNUMBER(INDEX(PASTE_ALL,32,7)),2,IF(TRIM(INDEX(PASTE_ALL,32,7))="",0,IF(AND(LEFT(MID(TRIM(INDEX(PASTE_ALL,32,7)),1+(LEFT(TRIM(INDEX(PASTE_ALL,32,7)),1)="-"),999),LEN(MID(TRIM(INDEX(PASTE_ALL,32,7)),1+(LEFT(TRIM(INDEX(PASTE_ALL,32,7)),1)="-"),999))-(RIGHT(MID(TRIM(INDEX(PASTE_ALL,32,7)),1+(LEFT(TRIM(INDEX(PASTE_ALL,32,7)),1)="-"),999),1)="%"))&lt;&gt;"",SUBSTITUTE(SUBSTITUTE(SUBSTITUTE(SUBSTITUTE(SUBSTITUTE(SUBSTITUTE(SUBSTITUTE(SUBSTITUTE(SUBSTITUTE(SUBSTITUTE(SUBSTITUTE(SUBSTITUTE(LEFT(MID(TRIM(INDEX(PASTE_ALL,32,7)),1+(LEFT(TRIM(INDEX(PASTE_ALL,32,7)),1)="-"),999),LEN(MID(TRIM(INDEX(PASTE_ALL,32,7)),1+(LEFT(TRIM(INDEX(PASTE_ALL,32,7)),1)="-"),999))-(RIGHT(MID(TRIM(INDEX(PASTE_ALL,32,7)),1+(LEFT(TRIM(INDEX(PASTE_ALL,32,7)),1)="-"),999),1)="%")),"0",""),"1",""),"2",""),"3",""),"4",""),"5",""),"6",""),"7",""),"8",""),"9",""),".",""),",","")=""),2,1))),1)</f>
        <v/>
      </c>
      <c r="AF81">
        <f>IFERROR(IF(ISNUMBER(INDEX(PASTE_ALL,32,8)),2,IF(TRIM(INDEX(PASTE_ALL,32,8))="",0,IF(AND(LEFT(MID(TRIM(INDEX(PASTE_ALL,32,8)),1+(LEFT(TRIM(INDEX(PASTE_ALL,32,8)),1)="-"),999),LEN(MID(TRIM(INDEX(PASTE_ALL,32,8)),1+(LEFT(TRIM(INDEX(PASTE_ALL,32,8)),1)="-"),999))-(RIGHT(MID(TRIM(INDEX(PASTE_ALL,32,8)),1+(LEFT(TRIM(INDEX(PASTE_ALL,32,8)),1)="-"),999),1)="%"))&lt;&gt;"",SUBSTITUTE(SUBSTITUTE(SUBSTITUTE(SUBSTITUTE(SUBSTITUTE(SUBSTITUTE(SUBSTITUTE(SUBSTITUTE(SUBSTITUTE(SUBSTITUTE(SUBSTITUTE(SUBSTITUTE(LEFT(MID(TRIM(INDEX(PASTE_ALL,32,8)),1+(LEFT(TRIM(INDEX(PASTE_ALL,32,8)),1)="-"),999),LEN(MID(TRIM(INDEX(PASTE_ALL,32,8)),1+(LEFT(TRIM(INDEX(PASTE_ALL,32,8)),1)="-"),999))-(RIGHT(MID(TRIM(INDEX(PASTE_ALL,32,8)),1+(LEFT(TRIM(INDEX(PASTE_ALL,32,8)),1)="-"),999),1)="%")),"0",""),"1",""),"2",""),"3",""),"4",""),"5",""),"6",""),"7",""),"8",""),"9",""),".",""),",","")=""),2,1))),1)</f>
        <v/>
      </c>
      <c r="AG81">
        <f>IFERROR(IF(ISNUMBER(INDEX(PASTE_ALL,32,9)),2,IF(TRIM(INDEX(PASTE_ALL,32,9))="",0,IF(AND(LEFT(MID(TRIM(INDEX(PASTE_ALL,32,9)),1+(LEFT(TRIM(INDEX(PASTE_ALL,32,9)),1)="-"),999),LEN(MID(TRIM(INDEX(PASTE_ALL,32,9)),1+(LEFT(TRIM(INDEX(PASTE_ALL,32,9)),1)="-"),999))-(RIGHT(MID(TRIM(INDEX(PASTE_ALL,32,9)),1+(LEFT(TRIM(INDEX(PASTE_ALL,32,9)),1)="-"),999),1)="%"))&lt;&gt;"",SUBSTITUTE(SUBSTITUTE(SUBSTITUTE(SUBSTITUTE(SUBSTITUTE(SUBSTITUTE(SUBSTITUTE(SUBSTITUTE(SUBSTITUTE(SUBSTITUTE(SUBSTITUTE(SUBSTITUTE(LEFT(MID(TRIM(INDEX(PASTE_ALL,32,9)),1+(LEFT(TRIM(INDEX(PASTE_ALL,32,9)),1)="-"),999),LEN(MID(TRIM(INDEX(PASTE_ALL,32,9)),1+(LEFT(TRIM(INDEX(PASTE_ALL,32,9)),1)="-"),999))-(RIGHT(MID(TRIM(INDEX(PASTE_ALL,32,9)),1+(LEFT(TRIM(INDEX(PASTE_ALL,32,9)),1)="-"),999),1)="%")),"0",""),"1",""),"2",""),"3",""),"4",""),"5",""),"6",""),"7",""),"8",""),"9",""),".",""),",","")=""),2,1))),1)</f>
        <v/>
      </c>
      <c r="AH81">
        <f>IFERROR(IF(ISNUMBER(INDEX(PASTE_ALL,32,10)),2,IF(TRIM(INDEX(PASTE_ALL,32,10))="",0,IF(AND(LEFT(MID(TRIM(INDEX(PASTE_ALL,32,10)),1+(LEFT(TRIM(INDEX(PASTE_ALL,32,10)),1)="-"),999),LEN(MID(TRIM(INDEX(PASTE_ALL,32,10)),1+(LEFT(TRIM(INDEX(PASTE_ALL,32,10)),1)="-"),999))-(RIGHT(MID(TRIM(INDEX(PASTE_ALL,32,10)),1+(LEFT(TRIM(INDEX(PASTE_ALL,32,10)),1)="-"),999),1)="%"))&lt;&gt;"",SUBSTITUTE(SUBSTITUTE(SUBSTITUTE(SUBSTITUTE(SUBSTITUTE(SUBSTITUTE(SUBSTITUTE(SUBSTITUTE(SUBSTITUTE(SUBSTITUTE(SUBSTITUTE(SUBSTITUTE(LEFT(MID(TRIM(INDEX(PASTE_ALL,32,10)),1+(LEFT(TRIM(INDEX(PASTE_ALL,32,10)),1)="-"),999),LEN(MID(TRIM(INDEX(PASTE_ALL,32,10)),1+(LEFT(TRIM(INDEX(PASTE_ALL,32,10)),1)="-"),999))-(RIGHT(MID(TRIM(INDEX(PASTE_ALL,32,10)),1+(LEFT(TRIM(INDEX(PASTE_ALL,32,10)),1)="-"),999),1)="%")),"0",""),"1",""),"2",""),"3",""),"4",""),"5",""),"6",""),"7",""),"8",""),"9",""),".",""),",","")=""),2,1))),1)</f>
        <v/>
      </c>
      <c r="AI81">
        <f>IFERROR(IF(ISNUMBER(INDEX(PASTE_ALL,32,11)),2,IF(TRIM(INDEX(PASTE_ALL,32,11))="",0,IF(AND(LEFT(MID(TRIM(INDEX(PASTE_ALL,32,11)),1+(LEFT(TRIM(INDEX(PASTE_ALL,32,11)),1)="-"),999),LEN(MID(TRIM(INDEX(PASTE_ALL,32,11)),1+(LEFT(TRIM(INDEX(PASTE_ALL,32,11)),1)="-"),999))-(RIGHT(MID(TRIM(INDEX(PASTE_ALL,32,11)),1+(LEFT(TRIM(INDEX(PASTE_ALL,32,11)),1)="-"),999),1)="%"))&lt;&gt;"",SUBSTITUTE(SUBSTITUTE(SUBSTITUTE(SUBSTITUTE(SUBSTITUTE(SUBSTITUTE(SUBSTITUTE(SUBSTITUTE(SUBSTITUTE(SUBSTITUTE(SUBSTITUTE(SUBSTITUTE(LEFT(MID(TRIM(INDEX(PASTE_ALL,32,11)),1+(LEFT(TRIM(INDEX(PASTE_ALL,32,11)),1)="-"),999),LEN(MID(TRIM(INDEX(PASTE_ALL,32,11)),1+(LEFT(TRIM(INDEX(PASTE_ALL,32,11)),1)="-"),999))-(RIGHT(MID(TRIM(INDEX(PASTE_ALL,32,11)),1+(LEFT(TRIM(INDEX(PASTE_ALL,32,11)),1)="-"),999),1)="%")),"0",""),"1",""),"2",""),"3",""),"4",""),"5",""),"6",""),"7",""),"8",""),"9",""),".",""),",","")=""),2,1))),1)</f>
        <v/>
      </c>
      <c r="AJ81">
        <f>IFERROR(IF(ISNUMBER(INDEX(PASTE_ALL,32,12)),2,IF(TRIM(INDEX(PASTE_ALL,32,12))="",0,IF(AND(LEFT(MID(TRIM(INDEX(PASTE_ALL,32,12)),1+(LEFT(TRIM(INDEX(PASTE_ALL,32,12)),1)="-"),999),LEN(MID(TRIM(INDEX(PASTE_ALL,32,12)),1+(LEFT(TRIM(INDEX(PASTE_ALL,32,12)),1)="-"),999))-(RIGHT(MID(TRIM(INDEX(PASTE_ALL,32,12)),1+(LEFT(TRIM(INDEX(PASTE_ALL,32,12)),1)="-"),999),1)="%"))&lt;&gt;"",SUBSTITUTE(SUBSTITUTE(SUBSTITUTE(SUBSTITUTE(SUBSTITUTE(SUBSTITUTE(SUBSTITUTE(SUBSTITUTE(SUBSTITUTE(SUBSTITUTE(SUBSTITUTE(SUBSTITUTE(LEFT(MID(TRIM(INDEX(PASTE_ALL,32,12)),1+(LEFT(TRIM(INDEX(PASTE_ALL,32,12)),1)="-"),999),LEN(MID(TRIM(INDEX(PASTE_ALL,32,12)),1+(LEFT(TRIM(INDEX(PASTE_ALL,32,12)),1)="-"),999))-(RIGHT(MID(TRIM(INDEX(PASTE_ALL,32,12)),1+(LEFT(TRIM(INDEX(PASTE_ALL,32,12)),1)="-"),999),1)="%")),"0",""),"1",""),"2",""),"3",""),"4",""),"5",""),"6",""),"7",""),"8",""),"9",""),".",""),",","")=""),2,1))),1)</f>
        <v/>
      </c>
      <c r="AK81">
        <f>IFERROR(IF(ISNUMBER(INDEX(PASTE_ALL,32,13)),2,IF(TRIM(INDEX(PASTE_ALL,32,13))="",0,IF(AND(LEFT(MID(TRIM(INDEX(PASTE_ALL,32,13)),1+(LEFT(TRIM(INDEX(PASTE_ALL,32,13)),1)="-"),999),LEN(MID(TRIM(INDEX(PASTE_ALL,32,13)),1+(LEFT(TRIM(INDEX(PASTE_ALL,32,13)),1)="-"),999))-(RIGHT(MID(TRIM(INDEX(PASTE_ALL,32,13)),1+(LEFT(TRIM(INDEX(PASTE_ALL,32,13)),1)="-"),999),1)="%"))&lt;&gt;"",SUBSTITUTE(SUBSTITUTE(SUBSTITUTE(SUBSTITUTE(SUBSTITUTE(SUBSTITUTE(SUBSTITUTE(SUBSTITUTE(SUBSTITUTE(SUBSTITUTE(SUBSTITUTE(SUBSTITUTE(LEFT(MID(TRIM(INDEX(PASTE_ALL,32,13)),1+(LEFT(TRIM(INDEX(PASTE_ALL,32,13)),1)="-"),999),LEN(MID(TRIM(INDEX(PASTE_ALL,32,13)),1+(LEFT(TRIM(INDEX(PASTE_ALL,32,13)),1)="-"),999))-(RIGHT(MID(TRIM(INDEX(PASTE_ALL,32,13)),1+(LEFT(TRIM(INDEX(PASTE_ALL,32,13)),1)="-"),999),1)="%")),"0",""),"1",""),"2",""),"3",""),"4",""),"5",""),"6",""),"7",""),"8",""),"9",""),".",""),",","")=""),2,1))),1)</f>
        <v/>
      </c>
      <c r="AL81">
        <f>IFERROR(IF(ISNUMBER(INDEX(PASTE_ALL,32,14)),2,IF(TRIM(INDEX(PASTE_ALL,32,14))="",0,IF(AND(LEFT(MID(TRIM(INDEX(PASTE_ALL,32,14)),1+(LEFT(TRIM(INDEX(PASTE_ALL,32,14)),1)="-"),999),LEN(MID(TRIM(INDEX(PASTE_ALL,32,14)),1+(LEFT(TRIM(INDEX(PASTE_ALL,32,14)),1)="-"),999))-(RIGHT(MID(TRIM(INDEX(PASTE_ALL,32,14)),1+(LEFT(TRIM(INDEX(PASTE_ALL,32,14)),1)="-"),999),1)="%"))&lt;&gt;"",SUBSTITUTE(SUBSTITUTE(SUBSTITUTE(SUBSTITUTE(SUBSTITUTE(SUBSTITUTE(SUBSTITUTE(SUBSTITUTE(SUBSTITUTE(SUBSTITUTE(SUBSTITUTE(SUBSTITUTE(LEFT(MID(TRIM(INDEX(PASTE_ALL,32,14)),1+(LEFT(TRIM(INDEX(PASTE_ALL,32,14)),1)="-"),999),LEN(MID(TRIM(INDEX(PASTE_ALL,32,14)),1+(LEFT(TRIM(INDEX(PASTE_ALL,32,14)),1)="-"),999))-(RIGHT(MID(TRIM(INDEX(PASTE_ALL,32,14)),1+(LEFT(TRIM(INDEX(PASTE_ALL,32,14)),1)="-"),999),1)="%")),"0",""),"1",""),"2",""),"3",""),"4",""),"5",""),"6",""),"7",""),"8",""),"9",""),".",""),",","")=""),2,1))),1)</f>
        <v/>
      </c>
      <c r="AM81">
        <f>IFERROR(IF(ISNUMBER(INDEX(PASTE_ALL,32,15)),2,IF(TRIM(INDEX(PASTE_ALL,32,15))="",0,IF(AND(LEFT(MID(TRIM(INDEX(PASTE_ALL,32,15)),1+(LEFT(TRIM(INDEX(PASTE_ALL,32,15)),1)="-"),999),LEN(MID(TRIM(INDEX(PASTE_ALL,32,15)),1+(LEFT(TRIM(INDEX(PASTE_ALL,32,15)),1)="-"),999))-(RIGHT(MID(TRIM(INDEX(PASTE_ALL,32,15)),1+(LEFT(TRIM(INDEX(PASTE_ALL,32,15)),1)="-"),999),1)="%"))&lt;&gt;"",SUBSTITUTE(SUBSTITUTE(SUBSTITUTE(SUBSTITUTE(SUBSTITUTE(SUBSTITUTE(SUBSTITUTE(SUBSTITUTE(SUBSTITUTE(SUBSTITUTE(SUBSTITUTE(SUBSTITUTE(LEFT(MID(TRIM(INDEX(PASTE_ALL,32,15)),1+(LEFT(TRIM(INDEX(PASTE_ALL,32,15)),1)="-"),999),LEN(MID(TRIM(INDEX(PASTE_ALL,32,15)),1+(LEFT(TRIM(INDEX(PASTE_ALL,32,15)),1)="-"),999))-(RIGHT(MID(TRIM(INDEX(PASTE_ALL,32,15)),1+(LEFT(TRIM(INDEX(PASTE_ALL,32,15)),1)="-"),999),1)="%")),"0",""),"1",""),"2",""),"3",""),"4",""),"5",""),"6",""),"7",""),"8",""),"9",""),".",""),",","")=""),2,1))),1)</f>
        <v/>
      </c>
      <c r="AN81">
        <f>IFERROR(IF(ISNUMBER(INDEX(PASTE_ALL,32,16)),2,IF(TRIM(INDEX(PASTE_ALL,32,16))="",0,IF(AND(LEFT(MID(TRIM(INDEX(PASTE_ALL,32,16)),1+(LEFT(TRIM(INDEX(PASTE_ALL,32,16)),1)="-"),999),LEN(MID(TRIM(INDEX(PASTE_ALL,32,16)),1+(LEFT(TRIM(INDEX(PASTE_ALL,32,16)),1)="-"),999))-(RIGHT(MID(TRIM(INDEX(PASTE_ALL,32,16)),1+(LEFT(TRIM(INDEX(PASTE_ALL,32,16)),1)="-"),999),1)="%"))&lt;&gt;"",SUBSTITUTE(SUBSTITUTE(SUBSTITUTE(SUBSTITUTE(SUBSTITUTE(SUBSTITUTE(SUBSTITUTE(SUBSTITUTE(SUBSTITUTE(SUBSTITUTE(SUBSTITUTE(SUBSTITUTE(LEFT(MID(TRIM(INDEX(PASTE_ALL,32,16)),1+(LEFT(TRIM(INDEX(PASTE_ALL,32,16)),1)="-"),999),LEN(MID(TRIM(INDEX(PASTE_ALL,32,16)),1+(LEFT(TRIM(INDEX(PASTE_ALL,32,16)),1)="-"),999))-(RIGHT(MID(TRIM(INDEX(PASTE_ALL,32,16)),1+(LEFT(TRIM(INDEX(PASTE_ALL,32,16)),1)="-"),999),1)="%")),"0",""),"1",""),"2",""),"3",""),"4",""),"5",""),"6",""),"7",""),"8",""),"9",""),".",""),",","")=""),2,1))),1)</f>
        <v/>
      </c>
      <c r="AO81">
        <f>IFERROR(IF(ISNUMBER(INDEX(PASTE_ALL,32,17)),2,IF(TRIM(INDEX(PASTE_ALL,32,17))="",0,IF(AND(LEFT(MID(TRIM(INDEX(PASTE_ALL,32,17)),1+(LEFT(TRIM(INDEX(PASTE_ALL,32,17)),1)="-"),999),LEN(MID(TRIM(INDEX(PASTE_ALL,32,17)),1+(LEFT(TRIM(INDEX(PASTE_ALL,32,17)),1)="-"),999))-(RIGHT(MID(TRIM(INDEX(PASTE_ALL,32,17)),1+(LEFT(TRIM(INDEX(PASTE_ALL,32,17)),1)="-"),999),1)="%"))&lt;&gt;"",SUBSTITUTE(SUBSTITUTE(SUBSTITUTE(SUBSTITUTE(SUBSTITUTE(SUBSTITUTE(SUBSTITUTE(SUBSTITUTE(SUBSTITUTE(SUBSTITUTE(SUBSTITUTE(SUBSTITUTE(LEFT(MID(TRIM(INDEX(PASTE_ALL,32,17)),1+(LEFT(TRIM(INDEX(PASTE_ALL,32,17)),1)="-"),999),LEN(MID(TRIM(INDEX(PASTE_ALL,32,17)),1+(LEFT(TRIM(INDEX(PASTE_ALL,32,17)),1)="-"),999))-(RIGHT(MID(TRIM(INDEX(PASTE_ALL,32,17)),1+(LEFT(TRIM(INDEX(PASTE_ALL,32,17)),1)="-"),999),1)="%")),"0",""),"1",""),"2",""),"3",""),"4",""),"5",""),"6",""),"7",""),"8",""),"9",""),".",""),",","")=""),2,1))),1)</f>
        <v/>
      </c>
      <c r="AP81">
        <f>IFERROR(IF(ISNUMBER(INDEX(PASTE_ALL,32,18)),2,IF(TRIM(INDEX(PASTE_ALL,32,18))="",0,IF(AND(LEFT(MID(TRIM(INDEX(PASTE_ALL,32,18)),1+(LEFT(TRIM(INDEX(PASTE_ALL,32,18)),1)="-"),999),LEN(MID(TRIM(INDEX(PASTE_ALL,32,18)),1+(LEFT(TRIM(INDEX(PASTE_ALL,32,18)),1)="-"),999))-(RIGHT(MID(TRIM(INDEX(PASTE_ALL,32,18)),1+(LEFT(TRIM(INDEX(PASTE_ALL,32,18)),1)="-"),999),1)="%"))&lt;&gt;"",SUBSTITUTE(SUBSTITUTE(SUBSTITUTE(SUBSTITUTE(SUBSTITUTE(SUBSTITUTE(SUBSTITUTE(SUBSTITUTE(SUBSTITUTE(SUBSTITUTE(SUBSTITUTE(SUBSTITUTE(LEFT(MID(TRIM(INDEX(PASTE_ALL,32,18)),1+(LEFT(TRIM(INDEX(PASTE_ALL,32,18)),1)="-"),999),LEN(MID(TRIM(INDEX(PASTE_ALL,32,18)),1+(LEFT(TRIM(INDEX(PASTE_ALL,32,18)),1)="-"),999))-(RIGHT(MID(TRIM(INDEX(PASTE_ALL,32,18)),1+(LEFT(TRIM(INDEX(PASTE_ALL,32,18)),1)="-"),999),1)="%")),"0",""),"1",""),"2",""),"3",""),"4",""),"5",""),"6",""),"7",""),"8",""),"9",""),".",""),",","")=""),2,1))),1)</f>
        <v/>
      </c>
      <c r="AQ81">
        <f>IFERROR(IF(ISNUMBER(INDEX(PASTE_ALL,32,19)),2,IF(TRIM(INDEX(PASTE_ALL,32,19))="",0,IF(AND(LEFT(MID(TRIM(INDEX(PASTE_ALL,32,19)),1+(LEFT(TRIM(INDEX(PASTE_ALL,32,19)),1)="-"),999),LEN(MID(TRIM(INDEX(PASTE_ALL,32,19)),1+(LEFT(TRIM(INDEX(PASTE_ALL,32,19)),1)="-"),999))-(RIGHT(MID(TRIM(INDEX(PASTE_ALL,32,19)),1+(LEFT(TRIM(INDEX(PASTE_ALL,32,19)),1)="-"),999),1)="%"))&lt;&gt;"",SUBSTITUTE(SUBSTITUTE(SUBSTITUTE(SUBSTITUTE(SUBSTITUTE(SUBSTITUTE(SUBSTITUTE(SUBSTITUTE(SUBSTITUTE(SUBSTITUTE(SUBSTITUTE(SUBSTITUTE(LEFT(MID(TRIM(INDEX(PASTE_ALL,32,19)),1+(LEFT(TRIM(INDEX(PASTE_ALL,32,19)),1)="-"),999),LEN(MID(TRIM(INDEX(PASTE_ALL,32,19)),1+(LEFT(TRIM(INDEX(PASTE_ALL,32,19)),1)="-"),999))-(RIGHT(MID(TRIM(INDEX(PASTE_ALL,32,19)),1+(LEFT(TRIM(INDEX(PASTE_ALL,32,19)),1)="-"),999),1)="%")),"0",""),"1",""),"2",""),"3",""),"4",""),"5",""),"6",""),"7",""),"8",""),"9",""),".",""),",","")=""),2,1))),1)</f>
        <v/>
      </c>
      <c r="AR81">
        <f>IFERROR(IF(ISNUMBER(INDEX(PASTE_ALL,32,20)),2,IF(TRIM(INDEX(PASTE_ALL,32,20))="",0,IF(AND(LEFT(MID(TRIM(INDEX(PASTE_ALL,32,20)),1+(LEFT(TRIM(INDEX(PASTE_ALL,32,20)),1)="-"),999),LEN(MID(TRIM(INDEX(PASTE_ALL,32,20)),1+(LEFT(TRIM(INDEX(PASTE_ALL,32,20)),1)="-"),999))-(RIGHT(MID(TRIM(INDEX(PASTE_ALL,32,20)),1+(LEFT(TRIM(INDEX(PASTE_ALL,32,20)),1)="-"),999),1)="%"))&lt;&gt;"",SUBSTITUTE(SUBSTITUTE(SUBSTITUTE(SUBSTITUTE(SUBSTITUTE(SUBSTITUTE(SUBSTITUTE(SUBSTITUTE(SUBSTITUTE(SUBSTITUTE(SUBSTITUTE(SUBSTITUTE(LEFT(MID(TRIM(INDEX(PASTE_ALL,32,20)),1+(LEFT(TRIM(INDEX(PASTE_ALL,32,20)),1)="-"),999),LEN(MID(TRIM(INDEX(PASTE_ALL,32,20)),1+(LEFT(TRIM(INDEX(PASTE_ALL,32,20)),1)="-"),999))-(RIGHT(MID(TRIM(INDEX(PASTE_ALL,32,20)),1+(LEFT(TRIM(INDEX(PASTE_ALL,32,20)),1)="-"),999),1)="%")),"0",""),"1",""),"2",""),"3",""),"4",""),"5",""),"6",""),"7",""),"8",""),"9",""),".",""),",","")=""),2,1))),1)</f>
        <v/>
      </c>
      <c r="AS81">
        <f>IFERROR(IF(ISNUMBER(INDEX(PASTE_ALL,32,21)),2,IF(TRIM(INDEX(PASTE_ALL,32,21))="",0,IF(AND(LEFT(MID(TRIM(INDEX(PASTE_ALL,32,21)),1+(LEFT(TRIM(INDEX(PASTE_ALL,32,21)),1)="-"),999),LEN(MID(TRIM(INDEX(PASTE_ALL,32,21)),1+(LEFT(TRIM(INDEX(PASTE_ALL,32,21)),1)="-"),999))-(RIGHT(MID(TRIM(INDEX(PASTE_ALL,32,21)),1+(LEFT(TRIM(INDEX(PASTE_ALL,32,21)),1)="-"),999),1)="%"))&lt;&gt;"",SUBSTITUTE(SUBSTITUTE(SUBSTITUTE(SUBSTITUTE(SUBSTITUTE(SUBSTITUTE(SUBSTITUTE(SUBSTITUTE(SUBSTITUTE(SUBSTITUTE(SUBSTITUTE(SUBSTITUTE(LEFT(MID(TRIM(INDEX(PASTE_ALL,32,21)),1+(LEFT(TRIM(INDEX(PASTE_ALL,32,21)),1)="-"),999),LEN(MID(TRIM(INDEX(PASTE_ALL,32,21)),1+(LEFT(TRIM(INDEX(PASTE_ALL,32,21)),1)="-"),999))-(RIGHT(MID(TRIM(INDEX(PASTE_ALL,32,21)),1+(LEFT(TRIM(INDEX(PASTE_ALL,32,21)),1)="-"),999),1)="%")),"0",""),"1",""),"2",""),"3",""),"4",""),"5",""),"6",""),"7",""),"8",""),"9",""),".",""),",","")=""),2,1))),1)</f>
        <v/>
      </c>
      <c r="AT81">
        <f>IFERROR(IF(ISNUMBER(INDEX(PASTE_ALL,32,22)),2,IF(TRIM(INDEX(PASTE_ALL,32,22))="",0,IF(AND(LEFT(MID(TRIM(INDEX(PASTE_ALL,32,22)),1+(LEFT(TRIM(INDEX(PASTE_ALL,32,22)),1)="-"),999),LEN(MID(TRIM(INDEX(PASTE_ALL,32,22)),1+(LEFT(TRIM(INDEX(PASTE_ALL,32,22)),1)="-"),999))-(RIGHT(MID(TRIM(INDEX(PASTE_ALL,32,22)),1+(LEFT(TRIM(INDEX(PASTE_ALL,32,22)),1)="-"),999),1)="%"))&lt;&gt;"",SUBSTITUTE(SUBSTITUTE(SUBSTITUTE(SUBSTITUTE(SUBSTITUTE(SUBSTITUTE(SUBSTITUTE(SUBSTITUTE(SUBSTITUTE(SUBSTITUTE(SUBSTITUTE(SUBSTITUTE(LEFT(MID(TRIM(INDEX(PASTE_ALL,32,22)),1+(LEFT(TRIM(INDEX(PASTE_ALL,32,22)),1)="-"),999),LEN(MID(TRIM(INDEX(PASTE_ALL,32,22)),1+(LEFT(TRIM(INDEX(PASTE_ALL,32,22)),1)="-"),999))-(RIGHT(MID(TRIM(INDEX(PASTE_ALL,32,22)),1+(LEFT(TRIM(INDEX(PASTE_ALL,32,22)),1)="-"),999),1)="%")),"0",""),"1",""),"2",""),"3",""),"4",""),"5",""),"6",""),"7",""),"8",""),"9",""),".",""),",","")=""),2,1))),1)</f>
        <v/>
      </c>
      <c r="AU81">
        <f>IFERROR(IF(ISNUMBER(INDEX(PASTE_ALL,32,23)),2,IF(TRIM(INDEX(PASTE_ALL,32,23))="",0,IF(AND(LEFT(MID(TRIM(INDEX(PASTE_ALL,32,23)),1+(LEFT(TRIM(INDEX(PASTE_ALL,32,23)),1)="-"),999),LEN(MID(TRIM(INDEX(PASTE_ALL,32,23)),1+(LEFT(TRIM(INDEX(PASTE_ALL,32,23)),1)="-"),999))-(RIGHT(MID(TRIM(INDEX(PASTE_ALL,32,23)),1+(LEFT(TRIM(INDEX(PASTE_ALL,32,23)),1)="-"),999),1)="%"))&lt;&gt;"",SUBSTITUTE(SUBSTITUTE(SUBSTITUTE(SUBSTITUTE(SUBSTITUTE(SUBSTITUTE(SUBSTITUTE(SUBSTITUTE(SUBSTITUTE(SUBSTITUTE(SUBSTITUTE(SUBSTITUTE(LEFT(MID(TRIM(INDEX(PASTE_ALL,32,23)),1+(LEFT(TRIM(INDEX(PASTE_ALL,32,23)),1)="-"),999),LEN(MID(TRIM(INDEX(PASTE_ALL,32,23)),1+(LEFT(TRIM(INDEX(PASTE_ALL,32,23)),1)="-"),999))-(RIGHT(MID(TRIM(INDEX(PASTE_ALL,32,23)),1+(LEFT(TRIM(INDEX(PASTE_ALL,32,23)),1)="-"),999),1)="%")),"0",""),"1",""),"2",""),"3",""),"4",""),"5",""),"6",""),"7",""),"8",""),"9",""),".",""),",","")=""),2,1))),1)</f>
        <v/>
      </c>
      <c r="AV81">
        <f>IFERROR(IF(ISNUMBER(INDEX(PASTE_ALL,32,24)),2,IF(TRIM(INDEX(PASTE_ALL,32,24))="",0,IF(AND(LEFT(MID(TRIM(INDEX(PASTE_ALL,32,24)),1+(LEFT(TRIM(INDEX(PASTE_ALL,32,24)),1)="-"),999),LEN(MID(TRIM(INDEX(PASTE_ALL,32,24)),1+(LEFT(TRIM(INDEX(PASTE_ALL,32,24)),1)="-"),999))-(RIGHT(MID(TRIM(INDEX(PASTE_ALL,32,24)),1+(LEFT(TRIM(INDEX(PASTE_ALL,32,24)),1)="-"),999),1)="%"))&lt;&gt;"",SUBSTITUTE(SUBSTITUTE(SUBSTITUTE(SUBSTITUTE(SUBSTITUTE(SUBSTITUTE(SUBSTITUTE(SUBSTITUTE(SUBSTITUTE(SUBSTITUTE(SUBSTITUTE(SUBSTITUTE(LEFT(MID(TRIM(INDEX(PASTE_ALL,32,24)),1+(LEFT(TRIM(INDEX(PASTE_ALL,32,24)),1)="-"),999),LEN(MID(TRIM(INDEX(PASTE_ALL,32,24)),1+(LEFT(TRIM(INDEX(PASTE_ALL,32,24)),1)="-"),999))-(RIGHT(MID(TRIM(INDEX(PASTE_ALL,32,24)),1+(LEFT(TRIM(INDEX(PASTE_ALL,32,24)),1)="-"),999),1)="%")),"0",""),"1",""),"2",""),"3",""),"4",""),"5",""),"6",""),"7",""),"8",""),"9",""),".",""),",","")=""),2,1))),1)</f>
        <v/>
      </c>
      <c r="AW81">
        <f>IFERROR(IF(ISNUMBER(INDEX(PASTE_ALL,32,25)),2,IF(TRIM(INDEX(PASTE_ALL,32,25))="",0,IF(AND(LEFT(MID(TRIM(INDEX(PASTE_ALL,32,25)),1+(LEFT(TRIM(INDEX(PASTE_ALL,32,25)),1)="-"),999),LEN(MID(TRIM(INDEX(PASTE_ALL,32,25)),1+(LEFT(TRIM(INDEX(PASTE_ALL,32,25)),1)="-"),999))-(RIGHT(MID(TRIM(INDEX(PASTE_ALL,32,25)),1+(LEFT(TRIM(INDEX(PASTE_ALL,32,25)),1)="-"),999),1)="%"))&lt;&gt;"",SUBSTITUTE(SUBSTITUTE(SUBSTITUTE(SUBSTITUTE(SUBSTITUTE(SUBSTITUTE(SUBSTITUTE(SUBSTITUTE(SUBSTITUTE(SUBSTITUTE(SUBSTITUTE(SUBSTITUTE(LEFT(MID(TRIM(INDEX(PASTE_ALL,32,25)),1+(LEFT(TRIM(INDEX(PASTE_ALL,32,25)),1)="-"),999),LEN(MID(TRIM(INDEX(PASTE_ALL,32,25)),1+(LEFT(TRIM(INDEX(PASTE_ALL,32,25)),1)="-"),999))-(RIGHT(MID(TRIM(INDEX(PASTE_ALL,32,25)),1+(LEFT(TRIM(INDEX(PASTE_ALL,32,25)),1)="-"),999),1)="%")),"0",""),"1",""),"2",""),"3",""),"4",""),"5",""),"6",""),"7",""),"8",""),"9",""),".",""),",","")=""),2,1))),1)</f>
        <v/>
      </c>
      <c r="AX81">
        <f>IFERROR(IF(ISNUMBER(INDEX(PASTE_ALL,32,26)),2,IF(TRIM(INDEX(PASTE_ALL,32,26))="",0,IF(AND(LEFT(MID(TRIM(INDEX(PASTE_ALL,32,26)),1+(LEFT(TRIM(INDEX(PASTE_ALL,32,26)),1)="-"),999),LEN(MID(TRIM(INDEX(PASTE_ALL,32,26)),1+(LEFT(TRIM(INDEX(PASTE_ALL,32,26)),1)="-"),999))-(RIGHT(MID(TRIM(INDEX(PASTE_ALL,32,26)),1+(LEFT(TRIM(INDEX(PASTE_ALL,32,26)),1)="-"),999),1)="%"))&lt;&gt;"",SUBSTITUTE(SUBSTITUTE(SUBSTITUTE(SUBSTITUTE(SUBSTITUTE(SUBSTITUTE(SUBSTITUTE(SUBSTITUTE(SUBSTITUTE(SUBSTITUTE(SUBSTITUTE(SUBSTITUTE(LEFT(MID(TRIM(INDEX(PASTE_ALL,32,26)),1+(LEFT(TRIM(INDEX(PASTE_ALL,32,26)),1)="-"),999),LEN(MID(TRIM(INDEX(PASTE_ALL,32,26)),1+(LEFT(TRIM(INDEX(PASTE_ALL,32,26)),1)="-"),999))-(RIGHT(MID(TRIM(INDEX(PASTE_ALL,32,26)),1+(LEFT(TRIM(INDEX(PASTE_ALL,32,26)),1)="-"),999),1)="%")),"0",""),"1",""),"2",""),"3",""),"4",""),"5",""),"6",""),"7",""),"8",""),"9",""),".",""),",","")=""),2,1))),1)</f>
        <v/>
      </c>
      <c r="AY81">
        <f>IFERROR(IF(ISNUMBER(INDEX(PASTE_ALL,32,27)),2,IF(TRIM(INDEX(PASTE_ALL,32,27))="",0,IF(AND(LEFT(MID(TRIM(INDEX(PASTE_ALL,32,27)),1+(LEFT(TRIM(INDEX(PASTE_ALL,32,27)),1)="-"),999),LEN(MID(TRIM(INDEX(PASTE_ALL,32,27)),1+(LEFT(TRIM(INDEX(PASTE_ALL,32,27)),1)="-"),999))-(RIGHT(MID(TRIM(INDEX(PASTE_ALL,32,27)),1+(LEFT(TRIM(INDEX(PASTE_ALL,32,27)),1)="-"),999),1)="%"))&lt;&gt;"",SUBSTITUTE(SUBSTITUTE(SUBSTITUTE(SUBSTITUTE(SUBSTITUTE(SUBSTITUTE(SUBSTITUTE(SUBSTITUTE(SUBSTITUTE(SUBSTITUTE(SUBSTITUTE(SUBSTITUTE(LEFT(MID(TRIM(INDEX(PASTE_ALL,32,27)),1+(LEFT(TRIM(INDEX(PASTE_ALL,32,27)),1)="-"),999),LEN(MID(TRIM(INDEX(PASTE_ALL,32,27)),1+(LEFT(TRIM(INDEX(PASTE_ALL,32,27)),1)="-"),999))-(RIGHT(MID(TRIM(INDEX(PASTE_ALL,32,27)),1+(LEFT(TRIM(INDEX(PASTE_ALL,32,27)),1)="-"),999),1)="%")),"0",""),"1",""),"2",""),"3",""),"4",""),"5",""),"6",""),"7",""),"8",""),"9",""),".",""),",","")=""),2,1))),1)</f>
        <v/>
      </c>
      <c r="AZ81">
        <f>IFERROR(IF(ISNUMBER(INDEX(PASTE_ALL,32,28)),2,IF(TRIM(INDEX(PASTE_ALL,32,28))="",0,IF(AND(LEFT(MID(TRIM(INDEX(PASTE_ALL,32,28)),1+(LEFT(TRIM(INDEX(PASTE_ALL,32,28)),1)="-"),999),LEN(MID(TRIM(INDEX(PASTE_ALL,32,28)),1+(LEFT(TRIM(INDEX(PASTE_ALL,32,28)),1)="-"),999))-(RIGHT(MID(TRIM(INDEX(PASTE_ALL,32,28)),1+(LEFT(TRIM(INDEX(PASTE_ALL,32,28)),1)="-"),999),1)="%"))&lt;&gt;"",SUBSTITUTE(SUBSTITUTE(SUBSTITUTE(SUBSTITUTE(SUBSTITUTE(SUBSTITUTE(SUBSTITUTE(SUBSTITUTE(SUBSTITUTE(SUBSTITUTE(SUBSTITUTE(SUBSTITUTE(LEFT(MID(TRIM(INDEX(PASTE_ALL,32,28)),1+(LEFT(TRIM(INDEX(PASTE_ALL,32,28)),1)="-"),999),LEN(MID(TRIM(INDEX(PASTE_ALL,32,28)),1+(LEFT(TRIM(INDEX(PASTE_ALL,32,28)),1)="-"),999))-(RIGHT(MID(TRIM(INDEX(PASTE_ALL,32,28)),1+(LEFT(TRIM(INDEX(PASTE_ALL,32,28)),1)="-"),999),1)="%")),"0",""),"1",""),"2",""),"3",""),"4",""),"5",""),"6",""),"7",""),"8",""),"9",""),".",""),",","")=""),2,1))),1)</f>
        <v/>
      </c>
      <c r="BA81">
        <f>IFERROR(IF(ISNUMBER(INDEX(PASTE_ALL,32,29)),2,IF(TRIM(INDEX(PASTE_ALL,32,29))="",0,IF(AND(LEFT(MID(TRIM(INDEX(PASTE_ALL,32,29)),1+(LEFT(TRIM(INDEX(PASTE_ALL,32,29)),1)="-"),999),LEN(MID(TRIM(INDEX(PASTE_ALL,32,29)),1+(LEFT(TRIM(INDEX(PASTE_ALL,32,29)),1)="-"),999))-(RIGHT(MID(TRIM(INDEX(PASTE_ALL,32,29)),1+(LEFT(TRIM(INDEX(PASTE_ALL,32,29)),1)="-"),999),1)="%"))&lt;&gt;"",SUBSTITUTE(SUBSTITUTE(SUBSTITUTE(SUBSTITUTE(SUBSTITUTE(SUBSTITUTE(SUBSTITUTE(SUBSTITUTE(SUBSTITUTE(SUBSTITUTE(SUBSTITUTE(SUBSTITUTE(LEFT(MID(TRIM(INDEX(PASTE_ALL,32,29)),1+(LEFT(TRIM(INDEX(PASTE_ALL,32,29)),1)="-"),999),LEN(MID(TRIM(INDEX(PASTE_ALL,32,29)),1+(LEFT(TRIM(INDEX(PASTE_ALL,32,29)),1)="-"),999))-(RIGHT(MID(TRIM(INDEX(PASTE_ALL,32,29)),1+(LEFT(TRIM(INDEX(PASTE_ALL,32,29)),1)="-"),999),1)="%")),"0",""),"1",""),"2",""),"3",""),"4",""),"5",""),"6",""),"7",""),"8",""),"9",""),".",""),",","")=""),2,1))),1)</f>
        <v/>
      </c>
      <c r="BB81">
        <f>IFERROR(IF(ISNUMBER(INDEX(PASTE_ALL,32,30)),2,IF(TRIM(INDEX(PASTE_ALL,32,30))="",0,IF(AND(LEFT(MID(TRIM(INDEX(PASTE_ALL,32,30)),1+(LEFT(TRIM(INDEX(PASTE_ALL,32,30)),1)="-"),999),LEN(MID(TRIM(INDEX(PASTE_ALL,32,30)),1+(LEFT(TRIM(INDEX(PASTE_ALL,32,30)),1)="-"),999))-(RIGHT(MID(TRIM(INDEX(PASTE_ALL,32,30)),1+(LEFT(TRIM(INDEX(PASTE_ALL,32,30)),1)="-"),999),1)="%"))&lt;&gt;"",SUBSTITUTE(SUBSTITUTE(SUBSTITUTE(SUBSTITUTE(SUBSTITUTE(SUBSTITUTE(SUBSTITUTE(SUBSTITUTE(SUBSTITUTE(SUBSTITUTE(SUBSTITUTE(SUBSTITUTE(LEFT(MID(TRIM(INDEX(PASTE_ALL,32,30)),1+(LEFT(TRIM(INDEX(PASTE_ALL,32,30)),1)="-"),999),LEN(MID(TRIM(INDEX(PASTE_ALL,32,30)),1+(LEFT(TRIM(INDEX(PASTE_ALL,32,30)),1)="-"),999))-(RIGHT(MID(TRIM(INDEX(PASTE_ALL,32,30)),1+(LEFT(TRIM(INDEX(PASTE_ALL,32,30)),1)="-"),999),1)="%")),"0",""),"1",""),"2",""),"3",""),"4",""),"5",""),"6",""),"7",""),"8",""),"9",""),".",""),",","")=""),2,1))),1)</f>
        <v/>
      </c>
      <c r="BC81">
        <f>IFERROR(IF(ISNUMBER(INDEX(PASTE_ALL,32,31)),2,IF(TRIM(INDEX(PASTE_ALL,32,31))="",0,IF(AND(LEFT(MID(TRIM(INDEX(PASTE_ALL,32,31)),1+(LEFT(TRIM(INDEX(PASTE_ALL,32,31)),1)="-"),999),LEN(MID(TRIM(INDEX(PASTE_ALL,32,31)),1+(LEFT(TRIM(INDEX(PASTE_ALL,32,31)),1)="-"),999))-(RIGHT(MID(TRIM(INDEX(PASTE_ALL,32,31)),1+(LEFT(TRIM(INDEX(PASTE_ALL,32,31)),1)="-"),999),1)="%"))&lt;&gt;"",SUBSTITUTE(SUBSTITUTE(SUBSTITUTE(SUBSTITUTE(SUBSTITUTE(SUBSTITUTE(SUBSTITUTE(SUBSTITUTE(SUBSTITUTE(SUBSTITUTE(SUBSTITUTE(SUBSTITUTE(LEFT(MID(TRIM(INDEX(PASTE_ALL,32,31)),1+(LEFT(TRIM(INDEX(PASTE_ALL,32,31)),1)="-"),999),LEN(MID(TRIM(INDEX(PASTE_ALL,32,31)),1+(LEFT(TRIM(INDEX(PASTE_ALL,32,31)),1)="-"),999))-(RIGHT(MID(TRIM(INDEX(PASTE_ALL,32,31)),1+(LEFT(TRIM(INDEX(PASTE_ALL,32,31)),1)="-"),999),1)="%")),"0",""),"1",""),"2",""),"3",""),"4",""),"5",""),"6",""),"7",""),"8",""),"9",""),".",""),",","")=""),2,1))),1)</f>
        <v/>
      </c>
      <c r="BD81">
        <f>IFERROR(IF(ISNUMBER(INDEX(PASTE_ALL,32,32)),2,IF(TRIM(INDEX(PASTE_ALL,32,32))="",0,IF(AND(LEFT(MID(TRIM(INDEX(PASTE_ALL,32,32)),1+(LEFT(TRIM(INDEX(PASTE_ALL,32,32)),1)="-"),999),LEN(MID(TRIM(INDEX(PASTE_ALL,32,32)),1+(LEFT(TRIM(INDEX(PASTE_ALL,32,32)),1)="-"),999))-(RIGHT(MID(TRIM(INDEX(PASTE_ALL,32,32)),1+(LEFT(TRIM(INDEX(PASTE_ALL,32,32)),1)="-"),999),1)="%"))&lt;&gt;"",SUBSTITUTE(SUBSTITUTE(SUBSTITUTE(SUBSTITUTE(SUBSTITUTE(SUBSTITUTE(SUBSTITUTE(SUBSTITUTE(SUBSTITUTE(SUBSTITUTE(SUBSTITUTE(SUBSTITUTE(LEFT(MID(TRIM(INDEX(PASTE_ALL,32,32)),1+(LEFT(TRIM(INDEX(PASTE_ALL,32,32)),1)="-"),999),LEN(MID(TRIM(INDEX(PASTE_ALL,32,32)),1+(LEFT(TRIM(INDEX(PASTE_ALL,32,32)),1)="-"),999))-(RIGHT(MID(TRIM(INDEX(PASTE_ALL,32,32)),1+(LEFT(TRIM(INDEX(PASTE_ALL,32,32)),1)="-"),999),1)="%")),"0",""),"1",""),"2",""),"3",""),"4",""),"5",""),"6",""),"7",""),"8",""),"9",""),".",""),",","")=""),2,1))),1)</f>
        <v/>
      </c>
      <c r="BE81">
        <f>IFERROR(IF(ISNUMBER(INDEX(PASTE_ALL,32,33)),2,IF(TRIM(INDEX(PASTE_ALL,32,33))="",0,IF(AND(LEFT(MID(TRIM(INDEX(PASTE_ALL,32,33)),1+(LEFT(TRIM(INDEX(PASTE_ALL,32,33)),1)="-"),999),LEN(MID(TRIM(INDEX(PASTE_ALL,32,33)),1+(LEFT(TRIM(INDEX(PASTE_ALL,32,33)),1)="-"),999))-(RIGHT(MID(TRIM(INDEX(PASTE_ALL,32,33)),1+(LEFT(TRIM(INDEX(PASTE_ALL,32,33)),1)="-"),999),1)="%"))&lt;&gt;"",SUBSTITUTE(SUBSTITUTE(SUBSTITUTE(SUBSTITUTE(SUBSTITUTE(SUBSTITUTE(SUBSTITUTE(SUBSTITUTE(SUBSTITUTE(SUBSTITUTE(SUBSTITUTE(SUBSTITUTE(LEFT(MID(TRIM(INDEX(PASTE_ALL,32,33)),1+(LEFT(TRIM(INDEX(PASTE_ALL,32,33)),1)="-"),999),LEN(MID(TRIM(INDEX(PASTE_ALL,32,33)),1+(LEFT(TRIM(INDEX(PASTE_ALL,32,33)),1)="-"),999))-(RIGHT(MID(TRIM(INDEX(PASTE_ALL,32,33)),1+(LEFT(TRIM(INDEX(PASTE_ALL,32,33)),1)="-"),999),1)="%")),"0",""),"1",""),"2",""),"3",""),"4",""),"5",""),"6",""),"7",""),"8",""),"9",""),".",""),",","")=""),2,1))),1)</f>
        <v/>
      </c>
      <c r="BF81">
        <f>IFERROR(IF(ISNUMBER(INDEX(PASTE_ALL,32,34)),2,IF(TRIM(INDEX(PASTE_ALL,32,34))="",0,IF(AND(LEFT(MID(TRIM(INDEX(PASTE_ALL,32,34)),1+(LEFT(TRIM(INDEX(PASTE_ALL,32,34)),1)="-"),999),LEN(MID(TRIM(INDEX(PASTE_ALL,32,34)),1+(LEFT(TRIM(INDEX(PASTE_ALL,32,34)),1)="-"),999))-(RIGHT(MID(TRIM(INDEX(PASTE_ALL,32,34)),1+(LEFT(TRIM(INDEX(PASTE_ALL,32,34)),1)="-"),999),1)="%"))&lt;&gt;"",SUBSTITUTE(SUBSTITUTE(SUBSTITUTE(SUBSTITUTE(SUBSTITUTE(SUBSTITUTE(SUBSTITUTE(SUBSTITUTE(SUBSTITUTE(SUBSTITUTE(SUBSTITUTE(SUBSTITUTE(LEFT(MID(TRIM(INDEX(PASTE_ALL,32,34)),1+(LEFT(TRIM(INDEX(PASTE_ALL,32,34)),1)="-"),999),LEN(MID(TRIM(INDEX(PASTE_ALL,32,34)),1+(LEFT(TRIM(INDEX(PASTE_ALL,32,34)),1)="-"),999))-(RIGHT(MID(TRIM(INDEX(PASTE_ALL,32,34)),1+(LEFT(TRIM(INDEX(PASTE_ALL,32,34)),1)="-"),999),1)="%")),"0",""),"1",""),"2",""),"3",""),"4",""),"5",""),"6",""),"7",""),"8",""),"9",""),".",""),",","")=""),2,1))),1)</f>
        <v/>
      </c>
      <c r="BG81">
        <f>IFERROR(IF(ISNUMBER(INDEX(PASTE_ALL,32,35)),2,IF(TRIM(INDEX(PASTE_ALL,32,35))="",0,IF(AND(LEFT(MID(TRIM(INDEX(PASTE_ALL,32,35)),1+(LEFT(TRIM(INDEX(PASTE_ALL,32,35)),1)="-"),999),LEN(MID(TRIM(INDEX(PASTE_ALL,32,35)),1+(LEFT(TRIM(INDEX(PASTE_ALL,32,35)),1)="-"),999))-(RIGHT(MID(TRIM(INDEX(PASTE_ALL,32,35)),1+(LEFT(TRIM(INDEX(PASTE_ALL,32,35)),1)="-"),999),1)="%"))&lt;&gt;"",SUBSTITUTE(SUBSTITUTE(SUBSTITUTE(SUBSTITUTE(SUBSTITUTE(SUBSTITUTE(SUBSTITUTE(SUBSTITUTE(SUBSTITUTE(SUBSTITUTE(SUBSTITUTE(SUBSTITUTE(LEFT(MID(TRIM(INDEX(PASTE_ALL,32,35)),1+(LEFT(TRIM(INDEX(PASTE_ALL,32,35)),1)="-"),999),LEN(MID(TRIM(INDEX(PASTE_ALL,32,35)),1+(LEFT(TRIM(INDEX(PASTE_ALL,32,35)),1)="-"),999))-(RIGHT(MID(TRIM(INDEX(PASTE_ALL,32,35)),1+(LEFT(TRIM(INDEX(PASTE_ALL,32,35)),1)="-"),999),1)="%")),"0",""),"1",""),"2",""),"3",""),"4",""),"5",""),"6",""),"7",""),"8",""),"9",""),".",""),",","")=""),2,1))),1)</f>
        <v/>
      </c>
      <c r="BH81">
        <f>IFERROR(IF(ISNUMBER(INDEX(PASTE_ALL,32,36)),2,IF(TRIM(INDEX(PASTE_ALL,32,36))="",0,IF(AND(LEFT(MID(TRIM(INDEX(PASTE_ALL,32,36)),1+(LEFT(TRIM(INDEX(PASTE_ALL,32,36)),1)="-"),999),LEN(MID(TRIM(INDEX(PASTE_ALL,32,36)),1+(LEFT(TRIM(INDEX(PASTE_ALL,32,36)),1)="-"),999))-(RIGHT(MID(TRIM(INDEX(PASTE_ALL,32,36)),1+(LEFT(TRIM(INDEX(PASTE_ALL,32,36)),1)="-"),999),1)="%"))&lt;&gt;"",SUBSTITUTE(SUBSTITUTE(SUBSTITUTE(SUBSTITUTE(SUBSTITUTE(SUBSTITUTE(SUBSTITUTE(SUBSTITUTE(SUBSTITUTE(SUBSTITUTE(SUBSTITUTE(SUBSTITUTE(LEFT(MID(TRIM(INDEX(PASTE_ALL,32,36)),1+(LEFT(TRIM(INDEX(PASTE_ALL,32,36)),1)="-"),999),LEN(MID(TRIM(INDEX(PASTE_ALL,32,36)),1+(LEFT(TRIM(INDEX(PASTE_ALL,32,36)),1)="-"),999))-(RIGHT(MID(TRIM(INDEX(PASTE_ALL,32,36)),1+(LEFT(TRIM(INDEX(PASTE_ALL,32,36)),1)="-"),999),1)="%")),"0",""),"1",""),"2",""),"3",""),"4",""),"5",""),"6",""),"7",""),"8",""),"9",""),".",""),",","")=""),2,1))),1)</f>
        <v/>
      </c>
      <c r="BI81">
        <f>IFERROR(IF(ISNUMBER(INDEX(PASTE_ALL,32,37)),2,IF(TRIM(INDEX(PASTE_ALL,32,37))="",0,IF(AND(LEFT(MID(TRIM(INDEX(PASTE_ALL,32,37)),1+(LEFT(TRIM(INDEX(PASTE_ALL,32,37)),1)="-"),999),LEN(MID(TRIM(INDEX(PASTE_ALL,32,37)),1+(LEFT(TRIM(INDEX(PASTE_ALL,32,37)),1)="-"),999))-(RIGHT(MID(TRIM(INDEX(PASTE_ALL,32,37)),1+(LEFT(TRIM(INDEX(PASTE_ALL,32,37)),1)="-"),999),1)="%"))&lt;&gt;"",SUBSTITUTE(SUBSTITUTE(SUBSTITUTE(SUBSTITUTE(SUBSTITUTE(SUBSTITUTE(SUBSTITUTE(SUBSTITUTE(SUBSTITUTE(SUBSTITUTE(SUBSTITUTE(SUBSTITUTE(LEFT(MID(TRIM(INDEX(PASTE_ALL,32,37)),1+(LEFT(TRIM(INDEX(PASTE_ALL,32,37)),1)="-"),999),LEN(MID(TRIM(INDEX(PASTE_ALL,32,37)),1+(LEFT(TRIM(INDEX(PASTE_ALL,32,37)),1)="-"),999))-(RIGHT(MID(TRIM(INDEX(PASTE_ALL,32,37)),1+(LEFT(TRIM(INDEX(PASTE_ALL,32,37)),1)="-"),999),1)="%")),"0",""),"1",""),"2",""),"3",""),"4",""),"5",""),"6",""),"7",""),"8",""),"9",""),".",""),",","")=""),2,1))),1)</f>
        <v/>
      </c>
      <c r="BJ81">
        <f>IFERROR(IF(ISNUMBER(INDEX(PASTE_ALL,32,38)),2,IF(TRIM(INDEX(PASTE_ALL,32,38))="",0,IF(AND(LEFT(MID(TRIM(INDEX(PASTE_ALL,32,38)),1+(LEFT(TRIM(INDEX(PASTE_ALL,32,38)),1)="-"),999),LEN(MID(TRIM(INDEX(PASTE_ALL,32,38)),1+(LEFT(TRIM(INDEX(PASTE_ALL,32,38)),1)="-"),999))-(RIGHT(MID(TRIM(INDEX(PASTE_ALL,32,38)),1+(LEFT(TRIM(INDEX(PASTE_ALL,32,38)),1)="-"),999),1)="%"))&lt;&gt;"",SUBSTITUTE(SUBSTITUTE(SUBSTITUTE(SUBSTITUTE(SUBSTITUTE(SUBSTITUTE(SUBSTITUTE(SUBSTITUTE(SUBSTITUTE(SUBSTITUTE(SUBSTITUTE(SUBSTITUTE(LEFT(MID(TRIM(INDEX(PASTE_ALL,32,38)),1+(LEFT(TRIM(INDEX(PASTE_ALL,32,38)),1)="-"),999),LEN(MID(TRIM(INDEX(PASTE_ALL,32,38)),1+(LEFT(TRIM(INDEX(PASTE_ALL,32,38)),1)="-"),999))-(RIGHT(MID(TRIM(INDEX(PASTE_ALL,32,38)),1+(LEFT(TRIM(INDEX(PASTE_ALL,32,38)),1)="-"),999),1)="%")),"0",""),"1",""),"2",""),"3",""),"4",""),"5",""),"6",""),"7",""),"8",""),"9",""),".",""),",","")=""),2,1))),1)</f>
        <v/>
      </c>
      <c r="BK81">
        <f>IFERROR(IF(ISNUMBER(INDEX(PASTE_ALL,32,39)),2,IF(TRIM(INDEX(PASTE_ALL,32,39))="",0,IF(AND(LEFT(MID(TRIM(INDEX(PASTE_ALL,32,39)),1+(LEFT(TRIM(INDEX(PASTE_ALL,32,39)),1)="-"),999),LEN(MID(TRIM(INDEX(PASTE_ALL,32,39)),1+(LEFT(TRIM(INDEX(PASTE_ALL,32,39)),1)="-"),999))-(RIGHT(MID(TRIM(INDEX(PASTE_ALL,32,39)),1+(LEFT(TRIM(INDEX(PASTE_ALL,32,39)),1)="-"),999),1)="%"))&lt;&gt;"",SUBSTITUTE(SUBSTITUTE(SUBSTITUTE(SUBSTITUTE(SUBSTITUTE(SUBSTITUTE(SUBSTITUTE(SUBSTITUTE(SUBSTITUTE(SUBSTITUTE(SUBSTITUTE(SUBSTITUTE(LEFT(MID(TRIM(INDEX(PASTE_ALL,32,39)),1+(LEFT(TRIM(INDEX(PASTE_ALL,32,39)),1)="-"),999),LEN(MID(TRIM(INDEX(PASTE_ALL,32,39)),1+(LEFT(TRIM(INDEX(PASTE_ALL,32,39)),1)="-"),999))-(RIGHT(MID(TRIM(INDEX(PASTE_ALL,32,39)),1+(LEFT(TRIM(INDEX(PASTE_ALL,32,39)),1)="-"),999),1)="%")),"0",""),"1",""),"2",""),"3",""),"4",""),"5",""),"6",""),"7",""),"8",""),"9",""),".",""),",","")=""),2,1))),1)</f>
        <v/>
      </c>
      <c r="BL81">
        <f>IFERROR(IF(ISNUMBER(INDEX(PASTE_ALL,32,40)),2,IF(TRIM(INDEX(PASTE_ALL,32,40))="",0,IF(AND(LEFT(MID(TRIM(INDEX(PASTE_ALL,32,40)),1+(LEFT(TRIM(INDEX(PASTE_ALL,32,40)),1)="-"),999),LEN(MID(TRIM(INDEX(PASTE_ALL,32,40)),1+(LEFT(TRIM(INDEX(PASTE_ALL,32,40)),1)="-"),999))-(RIGHT(MID(TRIM(INDEX(PASTE_ALL,32,40)),1+(LEFT(TRIM(INDEX(PASTE_ALL,32,40)),1)="-"),999),1)="%"))&lt;&gt;"",SUBSTITUTE(SUBSTITUTE(SUBSTITUTE(SUBSTITUTE(SUBSTITUTE(SUBSTITUTE(SUBSTITUTE(SUBSTITUTE(SUBSTITUTE(SUBSTITUTE(SUBSTITUTE(SUBSTITUTE(LEFT(MID(TRIM(INDEX(PASTE_ALL,32,40)),1+(LEFT(TRIM(INDEX(PASTE_ALL,32,40)),1)="-"),999),LEN(MID(TRIM(INDEX(PASTE_ALL,32,40)),1+(LEFT(TRIM(INDEX(PASTE_ALL,32,40)),1)="-"),999))-(RIGHT(MID(TRIM(INDEX(PASTE_ALL,32,40)),1+(LEFT(TRIM(INDEX(PASTE_ALL,32,40)),1)="-"),999),1)="%")),"0",""),"1",""),"2",""),"3",""),"4",""),"5",""),"6",""),"7",""),"8",""),"9",""),".",""),",","")=""),2,1))),1)</f>
        <v/>
      </c>
      <c r="BM81">
        <f>IFERROR(IF(ISNUMBER(INDEX(PASTE_ALL,32,41)),2,IF(TRIM(INDEX(PASTE_ALL,32,41))="",0,IF(AND(LEFT(MID(TRIM(INDEX(PASTE_ALL,32,41)),1+(LEFT(TRIM(INDEX(PASTE_ALL,32,41)),1)="-"),999),LEN(MID(TRIM(INDEX(PASTE_ALL,32,41)),1+(LEFT(TRIM(INDEX(PASTE_ALL,32,41)),1)="-"),999))-(RIGHT(MID(TRIM(INDEX(PASTE_ALL,32,41)),1+(LEFT(TRIM(INDEX(PASTE_ALL,32,41)),1)="-"),999),1)="%"))&lt;&gt;"",SUBSTITUTE(SUBSTITUTE(SUBSTITUTE(SUBSTITUTE(SUBSTITUTE(SUBSTITUTE(SUBSTITUTE(SUBSTITUTE(SUBSTITUTE(SUBSTITUTE(SUBSTITUTE(SUBSTITUTE(LEFT(MID(TRIM(INDEX(PASTE_ALL,32,41)),1+(LEFT(TRIM(INDEX(PASTE_ALL,32,41)),1)="-"),999),LEN(MID(TRIM(INDEX(PASTE_ALL,32,41)),1+(LEFT(TRIM(INDEX(PASTE_ALL,32,41)),1)="-"),999))-(RIGHT(MID(TRIM(INDEX(PASTE_ALL,32,41)),1+(LEFT(TRIM(INDEX(PASTE_ALL,32,41)),1)="-"),999),1)="%")),"0",""),"1",""),"2",""),"3",""),"4",""),"5",""),"6",""),"7",""),"8",""),"9",""),".",""),",","")=""),2,1))),1)</f>
        <v/>
      </c>
      <c r="BN81">
        <f>IFERROR(IF(ISNUMBER(INDEX(PASTE_ALL,32,42)),2,IF(TRIM(INDEX(PASTE_ALL,32,42))="",0,IF(AND(LEFT(MID(TRIM(INDEX(PASTE_ALL,32,42)),1+(LEFT(TRIM(INDEX(PASTE_ALL,32,42)),1)="-"),999),LEN(MID(TRIM(INDEX(PASTE_ALL,32,42)),1+(LEFT(TRIM(INDEX(PASTE_ALL,32,42)),1)="-"),999))-(RIGHT(MID(TRIM(INDEX(PASTE_ALL,32,42)),1+(LEFT(TRIM(INDEX(PASTE_ALL,32,42)),1)="-"),999),1)="%"))&lt;&gt;"",SUBSTITUTE(SUBSTITUTE(SUBSTITUTE(SUBSTITUTE(SUBSTITUTE(SUBSTITUTE(SUBSTITUTE(SUBSTITUTE(SUBSTITUTE(SUBSTITUTE(SUBSTITUTE(SUBSTITUTE(LEFT(MID(TRIM(INDEX(PASTE_ALL,32,42)),1+(LEFT(TRIM(INDEX(PASTE_ALL,32,42)),1)="-"),999),LEN(MID(TRIM(INDEX(PASTE_ALL,32,42)),1+(LEFT(TRIM(INDEX(PASTE_ALL,32,42)),1)="-"),999))-(RIGHT(MID(TRIM(INDEX(PASTE_ALL,32,42)),1+(LEFT(TRIM(INDEX(PASTE_ALL,32,42)),1)="-"),999),1)="%")),"0",""),"1",""),"2",""),"3",""),"4",""),"5",""),"6",""),"7",""),"8",""),"9",""),".",""),",","")=""),2,1))),1)</f>
        <v/>
      </c>
      <c r="BO81">
        <f>IFERROR(IF(ISNUMBER(INDEX(PASTE_ALL,32,43)),2,IF(TRIM(INDEX(PASTE_ALL,32,43))="",0,IF(AND(LEFT(MID(TRIM(INDEX(PASTE_ALL,32,43)),1+(LEFT(TRIM(INDEX(PASTE_ALL,32,43)),1)="-"),999),LEN(MID(TRIM(INDEX(PASTE_ALL,32,43)),1+(LEFT(TRIM(INDEX(PASTE_ALL,32,43)),1)="-"),999))-(RIGHT(MID(TRIM(INDEX(PASTE_ALL,32,43)),1+(LEFT(TRIM(INDEX(PASTE_ALL,32,43)),1)="-"),999),1)="%"))&lt;&gt;"",SUBSTITUTE(SUBSTITUTE(SUBSTITUTE(SUBSTITUTE(SUBSTITUTE(SUBSTITUTE(SUBSTITUTE(SUBSTITUTE(SUBSTITUTE(SUBSTITUTE(SUBSTITUTE(SUBSTITUTE(LEFT(MID(TRIM(INDEX(PASTE_ALL,32,43)),1+(LEFT(TRIM(INDEX(PASTE_ALL,32,43)),1)="-"),999),LEN(MID(TRIM(INDEX(PASTE_ALL,32,43)),1+(LEFT(TRIM(INDEX(PASTE_ALL,32,43)),1)="-"),999))-(RIGHT(MID(TRIM(INDEX(PASTE_ALL,32,43)),1+(LEFT(TRIM(INDEX(PASTE_ALL,32,43)),1)="-"),999),1)="%")),"0",""),"1",""),"2",""),"3",""),"4",""),"5",""),"6",""),"7",""),"8",""),"9",""),".",""),",","")=""),2,1))),1)</f>
        <v/>
      </c>
      <c r="BP81">
        <f>IFERROR(IF(ISNUMBER(INDEX(PASTE_ALL,32,44)),2,IF(TRIM(INDEX(PASTE_ALL,32,44))="",0,IF(AND(LEFT(MID(TRIM(INDEX(PASTE_ALL,32,44)),1+(LEFT(TRIM(INDEX(PASTE_ALL,32,44)),1)="-"),999),LEN(MID(TRIM(INDEX(PASTE_ALL,32,44)),1+(LEFT(TRIM(INDEX(PASTE_ALL,32,44)),1)="-"),999))-(RIGHT(MID(TRIM(INDEX(PASTE_ALL,32,44)),1+(LEFT(TRIM(INDEX(PASTE_ALL,32,44)),1)="-"),999),1)="%"))&lt;&gt;"",SUBSTITUTE(SUBSTITUTE(SUBSTITUTE(SUBSTITUTE(SUBSTITUTE(SUBSTITUTE(SUBSTITUTE(SUBSTITUTE(SUBSTITUTE(SUBSTITUTE(SUBSTITUTE(SUBSTITUTE(LEFT(MID(TRIM(INDEX(PASTE_ALL,32,44)),1+(LEFT(TRIM(INDEX(PASTE_ALL,32,44)),1)="-"),999),LEN(MID(TRIM(INDEX(PASTE_ALL,32,44)),1+(LEFT(TRIM(INDEX(PASTE_ALL,32,44)),1)="-"),999))-(RIGHT(MID(TRIM(INDEX(PASTE_ALL,32,44)),1+(LEFT(TRIM(INDEX(PASTE_ALL,32,44)),1)="-"),999),1)="%")),"0",""),"1",""),"2",""),"3",""),"4",""),"5",""),"6",""),"7",""),"8",""),"9",""),".",""),",","")=""),2,1))),1)</f>
        <v/>
      </c>
      <c r="BQ81">
        <f>IFERROR(IF(ISNUMBER(INDEX(PASTE_ALL,32,45)),2,IF(TRIM(INDEX(PASTE_ALL,32,45))="",0,IF(AND(LEFT(MID(TRIM(INDEX(PASTE_ALL,32,45)),1+(LEFT(TRIM(INDEX(PASTE_ALL,32,45)),1)="-"),999),LEN(MID(TRIM(INDEX(PASTE_ALL,32,45)),1+(LEFT(TRIM(INDEX(PASTE_ALL,32,45)),1)="-"),999))-(RIGHT(MID(TRIM(INDEX(PASTE_ALL,32,45)),1+(LEFT(TRIM(INDEX(PASTE_ALL,32,45)),1)="-"),999),1)="%"))&lt;&gt;"",SUBSTITUTE(SUBSTITUTE(SUBSTITUTE(SUBSTITUTE(SUBSTITUTE(SUBSTITUTE(SUBSTITUTE(SUBSTITUTE(SUBSTITUTE(SUBSTITUTE(SUBSTITUTE(SUBSTITUTE(LEFT(MID(TRIM(INDEX(PASTE_ALL,32,45)),1+(LEFT(TRIM(INDEX(PASTE_ALL,32,45)),1)="-"),999),LEN(MID(TRIM(INDEX(PASTE_ALL,32,45)),1+(LEFT(TRIM(INDEX(PASTE_ALL,32,45)),1)="-"),999))-(RIGHT(MID(TRIM(INDEX(PASTE_ALL,32,45)),1+(LEFT(TRIM(INDEX(PASTE_ALL,32,45)),1)="-"),999),1)="%")),"0",""),"1",""),"2",""),"3",""),"4",""),"5",""),"6",""),"7",""),"8",""),"9",""),".",""),",","")=""),2,1))),1)</f>
        <v/>
      </c>
      <c r="BR81">
        <f>IFERROR(IF(ISNUMBER(INDEX(PASTE_ALL,32,46)),2,IF(TRIM(INDEX(PASTE_ALL,32,46))="",0,IF(AND(LEFT(MID(TRIM(INDEX(PASTE_ALL,32,46)),1+(LEFT(TRIM(INDEX(PASTE_ALL,32,46)),1)="-"),999),LEN(MID(TRIM(INDEX(PASTE_ALL,32,46)),1+(LEFT(TRIM(INDEX(PASTE_ALL,32,46)),1)="-"),999))-(RIGHT(MID(TRIM(INDEX(PASTE_ALL,32,46)),1+(LEFT(TRIM(INDEX(PASTE_ALL,32,46)),1)="-"),999),1)="%"))&lt;&gt;"",SUBSTITUTE(SUBSTITUTE(SUBSTITUTE(SUBSTITUTE(SUBSTITUTE(SUBSTITUTE(SUBSTITUTE(SUBSTITUTE(SUBSTITUTE(SUBSTITUTE(SUBSTITUTE(SUBSTITUTE(LEFT(MID(TRIM(INDEX(PASTE_ALL,32,46)),1+(LEFT(TRIM(INDEX(PASTE_ALL,32,46)),1)="-"),999),LEN(MID(TRIM(INDEX(PASTE_ALL,32,46)),1+(LEFT(TRIM(INDEX(PASTE_ALL,32,46)),1)="-"),999))-(RIGHT(MID(TRIM(INDEX(PASTE_ALL,32,46)),1+(LEFT(TRIM(INDEX(PASTE_ALL,32,46)),1)="-"),999),1)="%")),"0",""),"1",""),"2",""),"3",""),"4",""),"5",""),"6",""),"7",""),"8",""),"9",""),".",""),",","")=""),2,1))),1)</f>
        <v/>
      </c>
      <c r="BS81">
        <f>IFERROR(IF(ISNUMBER(INDEX(PASTE_ALL,32,47)),2,IF(TRIM(INDEX(PASTE_ALL,32,47))="",0,IF(AND(LEFT(MID(TRIM(INDEX(PASTE_ALL,32,47)),1+(LEFT(TRIM(INDEX(PASTE_ALL,32,47)),1)="-"),999),LEN(MID(TRIM(INDEX(PASTE_ALL,32,47)),1+(LEFT(TRIM(INDEX(PASTE_ALL,32,47)),1)="-"),999))-(RIGHT(MID(TRIM(INDEX(PASTE_ALL,32,47)),1+(LEFT(TRIM(INDEX(PASTE_ALL,32,47)),1)="-"),999),1)="%"))&lt;&gt;"",SUBSTITUTE(SUBSTITUTE(SUBSTITUTE(SUBSTITUTE(SUBSTITUTE(SUBSTITUTE(SUBSTITUTE(SUBSTITUTE(SUBSTITUTE(SUBSTITUTE(SUBSTITUTE(SUBSTITUTE(LEFT(MID(TRIM(INDEX(PASTE_ALL,32,47)),1+(LEFT(TRIM(INDEX(PASTE_ALL,32,47)),1)="-"),999),LEN(MID(TRIM(INDEX(PASTE_ALL,32,47)),1+(LEFT(TRIM(INDEX(PASTE_ALL,32,47)),1)="-"),999))-(RIGHT(MID(TRIM(INDEX(PASTE_ALL,32,47)),1+(LEFT(TRIM(INDEX(PASTE_ALL,32,47)),1)="-"),999),1)="%")),"0",""),"1",""),"2",""),"3",""),"4",""),"5",""),"6",""),"7",""),"8",""),"9",""),".",""),",","")=""),2,1))),1)</f>
        <v/>
      </c>
      <c r="BT81">
        <f>IFERROR(IF(ISNUMBER(INDEX(PASTE_ALL,32,48)),2,IF(TRIM(INDEX(PASTE_ALL,32,48))="",0,IF(AND(LEFT(MID(TRIM(INDEX(PASTE_ALL,32,48)),1+(LEFT(TRIM(INDEX(PASTE_ALL,32,48)),1)="-"),999),LEN(MID(TRIM(INDEX(PASTE_ALL,32,48)),1+(LEFT(TRIM(INDEX(PASTE_ALL,32,48)),1)="-"),999))-(RIGHT(MID(TRIM(INDEX(PASTE_ALL,32,48)),1+(LEFT(TRIM(INDEX(PASTE_ALL,32,48)),1)="-"),999),1)="%"))&lt;&gt;"",SUBSTITUTE(SUBSTITUTE(SUBSTITUTE(SUBSTITUTE(SUBSTITUTE(SUBSTITUTE(SUBSTITUTE(SUBSTITUTE(SUBSTITUTE(SUBSTITUTE(SUBSTITUTE(SUBSTITUTE(LEFT(MID(TRIM(INDEX(PASTE_ALL,32,48)),1+(LEFT(TRIM(INDEX(PASTE_ALL,32,48)),1)="-"),999),LEN(MID(TRIM(INDEX(PASTE_ALL,32,48)),1+(LEFT(TRIM(INDEX(PASTE_ALL,32,48)),1)="-"),999))-(RIGHT(MID(TRIM(INDEX(PASTE_ALL,32,48)),1+(LEFT(TRIM(INDEX(PASTE_ALL,32,48)),1)="-"),999),1)="%")),"0",""),"1",""),"2",""),"3",""),"4",""),"5",""),"6",""),"7",""),"8",""),"9",""),".",""),",","")=""),2,1))),1)</f>
        <v/>
      </c>
      <c r="BU81">
        <f>IFERROR(IF(ISNUMBER(INDEX(PASTE_ALL,32,49)),2,IF(TRIM(INDEX(PASTE_ALL,32,49))="",0,IF(AND(LEFT(MID(TRIM(INDEX(PASTE_ALL,32,49)),1+(LEFT(TRIM(INDEX(PASTE_ALL,32,49)),1)="-"),999),LEN(MID(TRIM(INDEX(PASTE_ALL,32,49)),1+(LEFT(TRIM(INDEX(PASTE_ALL,32,49)),1)="-"),999))-(RIGHT(MID(TRIM(INDEX(PASTE_ALL,32,49)),1+(LEFT(TRIM(INDEX(PASTE_ALL,32,49)),1)="-"),999),1)="%"))&lt;&gt;"",SUBSTITUTE(SUBSTITUTE(SUBSTITUTE(SUBSTITUTE(SUBSTITUTE(SUBSTITUTE(SUBSTITUTE(SUBSTITUTE(SUBSTITUTE(SUBSTITUTE(SUBSTITUTE(SUBSTITUTE(LEFT(MID(TRIM(INDEX(PASTE_ALL,32,49)),1+(LEFT(TRIM(INDEX(PASTE_ALL,32,49)),1)="-"),999),LEN(MID(TRIM(INDEX(PASTE_ALL,32,49)),1+(LEFT(TRIM(INDEX(PASTE_ALL,32,49)),1)="-"),999))-(RIGHT(MID(TRIM(INDEX(PASTE_ALL,32,49)),1+(LEFT(TRIM(INDEX(PASTE_ALL,32,49)),1)="-"),999),1)="%")),"0",""),"1",""),"2",""),"3",""),"4",""),"5",""),"6",""),"7",""),"8",""),"9",""),".",""),",","")=""),2,1))),1)</f>
        <v/>
      </c>
      <c r="BV81">
        <f>IFERROR(IF(ISNUMBER(INDEX(PASTE_ALL,32,50)),2,IF(TRIM(INDEX(PASTE_ALL,32,50))="",0,IF(AND(LEFT(MID(TRIM(INDEX(PASTE_ALL,32,50)),1+(LEFT(TRIM(INDEX(PASTE_ALL,32,50)),1)="-"),999),LEN(MID(TRIM(INDEX(PASTE_ALL,32,50)),1+(LEFT(TRIM(INDEX(PASTE_ALL,32,50)),1)="-"),999))-(RIGHT(MID(TRIM(INDEX(PASTE_ALL,32,50)),1+(LEFT(TRIM(INDEX(PASTE_ALL,32,50)),1)="-"),999),1)="%"))&lt;&gt;"",SUBSTITUTE(SUBSTITUTE(SUBSTITUTE(SUBSTITUTE(SUBSTITUTE(SUBSTITUTE(SUBSTITUTE(SUBSTITUTE(SUBSTITUTE(SUBSTITUTE(SUBSTITUTE(SUBSTITUTE(LEFT(MID(TRIM(INDEX(PASTE_ALL,32,50)),1+(LEFT(TRIM(INDEX(PASTE_ALL,32,50)),1)="-"),999),LEN(MID(TRIM(INDEX(PASTE_ALL,32,50)),1+(LEFT(TRIM(INDEX(PASTE_ALL,32,50)),1)="-"),999))-(RIGHT(MID(TRIM(INDEX(PASTE_ALL,32,50)),1+(LEFT(TRIM(INDEX(PASTE_ALL,32,50)),1)="-"),999),1)="%")),"0",""),"1",""),"2",""),"3",""),"4",""),"5",""),"6",""),"7",""),"8",""),"9",""),".",""),",","")=""),2,1))),1)</f>
        <v/>
      </c>
      <c r="BW81">
        <f>IFERROR(IF(ISNUMBER(INDEX(PASTE_ALL,32,51)),2,IF(TRIM(INDEX(PASTE_ALL,32,51))="",0,IF(AND(LEFT(MID(TRIM(INDEX(PASTE_ALL,32,51)),1+(LEFT(TRIM(INDEX(PASTE_ALL,32,51)),1)="-"),999),LEN(MID(TRIM(INDEX(PASTE_ALL,32,51)),1+(LEFT(TRIM(INDEX(PASTE_ALL,32,51)),1)="-"),999))-(RIGHT(MID(TRIM(INDEX(PASTE_ALL,32,51)),1+(LEFT(TRIM(INDEX(PASTE_ALL,32,51)),1)="-"),999),1)="%"))&lt;&gt;"",SUBSTITUTE(SUBSTITUTE(SUBSTITUTE(SUBSTITUTE(SUBSTITUTE(SUBSTITUTE(SUBSTITUTE(SUBSTITUTE(SUBSTITUTE(SUBSTITUTE(SUBSTITUTE(SUBSTITUTE(LEFT(MID(TRIM(INDEX(PASTE_ALL,32,51)),1+(LEFT(TRIM(INDEX(PASTE_ALL,32,51)),1)="-"),999),LEN(MID(TRIM(INDEX(PASTE_ALL,32,51)),1+(LEFT(TRIM(INDEX(PASTE_ALL,32,51)),1)="-"),999))-(RIGHT(MID(TRIM(INDEX(PASTE_ALL,32,51)),1+(LEFT(TRIM(INDEX(PASTE_ALL,32,51)),1)="-"),999),1)="%")),"0",""),"1",""),"2",""),"3",""),"4",""),"5",""),"6",""),"7",""),"8",""),"9",""),".",""),",","")=""),2,1))),1)</f>
        <v/>
      </c>
      <c r="BX81">
        <f>IFERROR(IF(ISNUMBER(INDEX(PASTE_ALL,32,52)),2,IF(TRIM(INDEX(PASTE_ALL,32,52))="",0,IF(AND(LEFT(MID(TRIM(INDEX(PASTE_ALL,32,52)),1+(LEFT(TRIM(INDEX(PASTE_ALL,32,52)),1)="-"),999),LEN(MID(TRIM(INDEX(PASTE_ALL,32,52)),1+(LEFT(TRIM(INDEX(PASTE_ALL,32,52)),1)="-"),999))-(RIGHT(MID(TRIM(INDEX(PASTE_ALL,32,52)),1+(LEFT(TRIM(INDEX(PASTE_ALL,32,52)),1)="-"),999),1)="%"))&lt;&gt;"",SUBSTITUTE(SUBSTITUTE(SUBSTITUTE(SUBSTITUTE(SUBSTITUTE(SUBSTITUTE(SUBSTITUTE(SUBSTITUTE(SUBSTITUTE(SUBSTITUTE(SUBSTITUTE(SUBSTITUTE(LEFT(MID(TRIM(INDEX(PASTE_ALL,32,52)),1+(LEFT(TRIM(INDEX(PASTE_ALL,32,52)),1)="-"),999),LEN(MID(TRIM(INDEX(PASTE_ALL,32,52)),1+(LEFT(TRIM(INDEX(PASTE_ALL,32,52)),1)="-"),999))-(RIGHT(MID(TRIM(INDEX(PASTE_ALL,32,52)),1+(LEFT(TRIM(INDEX(PASTE_ALL,32,52)),1)="-"),999),1)="%")),"0",""),"1",""),"2",""),"3",""),"4",""),"5",""),"6",""),"7",""),"8",""),"9",""),".",""),",","")=""),2,1))),1)</f>
        <v/>
      </c>
      <c r="BY81">
        <f>IFERROR(IF(ISNUMBER(INDEX(PASTE_ALL,32,53)),2,IF(TRIM(INDEX(PASTE_ALL,32,53))="",0,IF(AND(LEFT(MID(TRIM(INDEX(PASTE_ALL,32,53)),1+(LEFT(TRIM(INDEX(PASTE_ALL,32,53)),1)="-"),999),LEN(MID(TRIM(INDEX(PASTE_ALL,32,53)),1+(LEFT(TRIM(INDEX(PASTE_ALL,32,53)),1)="-"),999))-(RIGHT(MID(TRIM(INDEX(PASTE_ALL,32,53)),1+(LEFT(TRIM(INDEX(PASTE_ALL,32,53)),1)="-"),999),1)="%"))&lt;&gt;"",SUBSTITUTE(SUBSTITUTE(SUBSTITUTE(SUBSTITUTE(SUBSTITUTE(SUBSTITUTE(SUBSTITUTE(SUBSTITUTE(SUBSTITUTE(SUBSTITUTE(SUBSTITUTE(SUBSTITUTE(LEFT(MID(TRIM(INDEX(PASTE_ALL,32,53)),1+(LEFT(TRIM(INDEX(PASTE_ALL,32,53)),1)="-"),999),LEN(MID(TRIM(INDEX(PASTE_ALL,32,53)),1+(LEFT(TRIM(INDEX(PASTE_ALL,32,53)),1)="-"),999))-(RIGHT(MID(TRIM(INDEX(PASTE_ALL,32,53)),1+(LEFT(TRIM(INDEX(PASTE_ALL,32,53)),1)="-"),999),1)="%")),"0",""),"1",""),"2",""),"3",""),"4",""),"5",""),"6",""),"7",""),"8",""),"9",""),".",""),",","")=""),2,1))),1)</f>
        <v/>
      </c>
      <c r="BZ81">
        <f>IFERROR(IF(ISNUMBER(INDEX(PASTE_ALL,32,54)),2,IF(TRIM(INDEX(PASTE_ALL,32,54))="",0,IF(AND(LEFT(MID(TRIM(INDEX(PASTE_ALL,32,54)),1+(LEFT(TRIM(INDEX(PASTE_ALL,32,54)),1)="-"),999),LEN(MID(TRIM(INDEX(PASTE_ALL,32,54)),1+(LEFT(TRIM(INDEX(PASTE_ALL,32,54)),1)="-"),999))-(RIGHT(MID(TRIM(INDEX(PASTE_ALL,32,54)),1+(LEFT(TRIM(INDEX(PASTE_ALL,32,54)),1)="-"),999),1)="%"))&lt;&gt;"",SUBSTITUTE(SUBSTITUTE(SUBSTITUTE(SUBSTITUTE(SUBSTITUTE(SUBSTITUTE(SUBSTITUTE(SUBSTITUTE(SUBSTITUTE(SUBSTITUTE(SUBSTITUTE(SUBSTITUTE(LEFT(MID(TRIM(INDEX(PASTE_ALL,32,54)),1+(LEFT(TRIM(INDEX(PASTE_ALL,32,54)),1)="-"),999),LEN(MID(TRIM(INDEX(PASTE_ALL,32,54)),1+(LEFT(TRIM(INDEX(PASTE_ALL,32,54)),1)="-"),999))-(RIGHT(MID(TRIM(INDEX(PASTE_ALL,32,54)),1+(LEFT(TRIM(INDEX(PASTE_ALL,32,54)),1)="-"),999),1)="%")),"0",""),"1",""),"2",""),"3",""),"4",""),"5",""),"6",""),"7",""),"8",""),"9",""),".",""),",","")=""),2,1))),1)</f>
        <v/>
      </c>
      <c r="CA81">
        <f>IFERROR(IF(ISNUMBER(INDEX(PASTE_ALL,32,55)),2,IF(TRIM(INDEX(PASTE_ALL,32,55))="",0,IF(AND(LEFT(MID(TRIM(INDEX(PASTE_ALL,32,55)),1+(LEFT(TRIM(INDEX(PASTE_ALL,32,55)),1)="-"),999),LEN(MID(TRIM(INDEX(PASTE_ALL,32,55)),1+(LEFT(TRIM(INDEX(PASTE_ALL,32,55)),1)="-"),999))-(RIGHT(MID(TRIM(INDEX(PASTE_ALL,32,55)),1+(LEFT(TRIM(INDEX(PASTE_ALL,32,55)),1)="-"),999),1)="%"))&lt;&gt;"",SUBSTITUTE(SUBSTITUTE(SUBSTITUTE(SUBSTITUTE(SUBSTITUTE(SUBSTITUTE(SUBSTITUTE(SUBSTITUTE(SUBSTITUTE(SUBSTITUTE(SUBSTITUTE(SUBSTITUTE(LEFT(MID(TRIM(INDEX(PASTE_ALL,32,55)),1+(LEFT(TRIM(INDEX(PASTE_ALL,32,55)),1)="-"),999),LEN(MID(TRIM(INDEX(PASTE_ALL,32,55)),1+(LEFT(TRIM(INDEX(PASTE_ALL,32,55)),1)="-"),999))-(RIGHT(MID(TRIM(INDEX(PASTE_ALL,32,55)),1+(LEFT(TRIM(INDEX(PASTE_ALL,32,55)),1)="-"),999),1)="%")),"0",""),"1",""),"2",""),"3",""),"4",""),"5",""),"6",""),"7",""),"8",""),"9",""),".",""),",","")=""),2,1))),1)</f>
        <v/>
      </c>
      <c r="CB81">
        <f>IFERROR(IF(ISNUMBER(INDEX(PASTE_ALL,32,56)),2,IF(TRIM(INDEX(PASTE_ALL,32,56))="",0,IF(AND(LEFT(MID(TRIM(INDEX(PASTE_ALL,32,56)),1+(LEFT(TRIM(INDEX(PASTE_ALL,32,56)),1)="-"),999),LEN(MID(TRIM(INDEX(PASTE_ALL,32,56)),1+(LEFT(TRIM(INDEX(PASTE_ALL,32,56)),1)="-"),999))-(RIGHT(MID(TRIM(INDEX(PASTE_ALL,32,56)),1+(LEFT(TRIM(INDEX(PASTE_ALL,32,56)),1)="-"),999),1)="%"))&lt;&gt;"",SUBSTITUTE(SUBSTITUTE(SUBSTITUTE(SUBSTITUTE(SUBSTITUTE(SUBSTITUTE(SUBSTITUTE(SUBSTITUTE(SUBSTITUTE(SUBSTITUTE(SUBSTITUTE(SUBSTITUTE(LEFT(MID(TRIM(INDEX(PASTE_ALL,32,56)),1+(LEFT(TRIM(INDEX(PASTE_ALL,32,56)),1)="-"),999),LEN(MID(TRIM(INDEX(PASTE_ALL,32,56)),1+(LEFT(TRIM(INDEX(PASTE_ALL,32,56)),1)="-"),999))-(RIGHT(MID(TRIM(INDEX(PASTE_ALL,32,56)),1+(LEFT(TRIM(INDEX(PASTE_ALL,32,56)),1)="-"),999),1)="%")),"0",""),"1",""),"2",""),"3",""),"4",""),"5",""),"6",""),"7",""),"8",""),"9",""),".",""),",","")=""),2,1))),1)</f>
        <v/>
      </c>
      <c r="CC81">
        <f>IFERROR(IF(ISNUMBER(INDEX(PASTE_ALL,32,57)),2,IF(TRIM(INDEX(PASTE_ALL,32,57))="",0,IF(AND(LEFT(MID(TRIM(INDEX(PASTE_ALL,32,57)),1+(LEFT(TRIM(INDEX(PASTE_ALL,32,57)),1)="-"),999),LEN(MID(TRIM(INDEX(PASTE_ALL,32,57)),1+(LEFT(TRIM(INDEX(PASTE_ALL,32,57)),1)="-"),999))-(RIGHT(MID(TRIM(INDEX(PASTE_ALL,32,57)),1+(LEFT(TRIM(INDEX(PASTE_ALL,32,57)),1)="-"),999),1)="%"))&lt;&gt;"",SUBSTITUTE(SUBSTITUTE(SUBSTITUTE(SUBSTITUTE(SUBSTITUTE(SUBSTITUTE(SUBSTITUTE(SUBSTITUTE(SUBSTITUTE(SUBSTITUTE(SUBSTITUTE(SUBSTITUTE(LEFT(MID(TRIM(INDEX(PASTE_ALL,32,57)),1+(LEFT(TRIM(INDEX(PASTE_ALL,32,57)),1)="-"),999),LEN(MID(TRIM(INDEX(PASTE_ALL,32,57)),1+(LEFT(TRIM(INDEX(PASTE_ALL,32,57)),1)="-"),999))-(RIGHT(MID(TRIM(INDEX(PASTE_ALL,32,57)),1+(LEFT(TRIM(INDEX(PASTE_ALL,32,57)),1)="-"),999),1)="%")),"0",""),"1",""),"2",""),"3",""),"4",""),"5",""),"6",""),"7",""),"8",""),"9",""),".",""),",","")=""),2,1))),1)</f>
        <v/>
      </c>
      <c r="CD81">
        <f>IFERROR(IF(ISNUMBER(INDEX(PASTE_ALL,32,58)),2,IF(TRIM(INDEX(PASTE_ALL,32,58))="",0,IF(AND(LEFT(MID(TRIM(INDEX(PASTE_ALL,32,58)),1+(LEFT(TRIM(INDEX(PASTE_ALL,32,58)),1)="-"),999),LEN(MID(TRIM(INDEX(PASTE_ALL,32,58)),1+(LEFT(TRIM(INDEX(PASTE_ALL,32,58)),1)="-"),999))-(RIGHT(MID(TRIM(INDEX(PASTE_ALL,32,58)),1+(LEFT(TRIM(INDEX(PASTE_ALL,32,58)),1)="-"),999),1)="%"))&lt;&gt;"",SUBSTITUTE(SUBSTITUTE(SUBSTITUTE(SUBSTITUTE(SUBSTITUTE(SUBSTITUTE(SUBSTITUTE(SUBSTITUTE(SUBSTITUTE(SUBSTITUTE(SUBSTITUTE(SUBSTITUTE(LEFT(MID(TRIM(INDEX(PASTE_ALL,32,58)),1+(LEFT(TRIM(INDEX(PASTE_ALL,32,58)),1)="-"),999),LEN(MID(TRIM(INDEX(PASTE_ALL,32,58)),1+(LEFT(TRIM(INDEX(PASTE_ALL,32,58)),1)="-"),999))-(RIGHT(MID(TRIM(INDEX(PASTE_ALL,32,58)),1+(LEFT(TRIM(INDEX(PASTE_ALL,32,58)),1)="-"),999),1)="%")),"0",""),"1",""),"2",""),"3",""),"4",""),"5",""),"6",""),"7",""),"8",""),"9",""),".",""),",","")=""),2,1))),1)</f>
        <v/>
      </c>
      <c r="CE81">
        <f>IFERROR(IF(ISNUMBER(INDEX(PASTE_ALL,32,59)),2,IF(TRIM(INDEX(PASTE_ALL,32,59))="",0,IF(AND(LEFT(MID(TRIM(INDEX(PASTE_ALL,32,59)),1+(LEFT(TRIM(INDEX(PASTE_ALL,32,59)),1)="-"),999),LEN(MID(TRIM(INDEX(PASTE_ALL,32,59)),1+(LEFT(TRIM(INDEX(PASTE_ALL,32,59)),1)="-"),999))-(RIGHT(MID(TRIM(INDEX(PASTE_ALL,32,59)),1+(LEFT(TRIM(INDEX(PASTE_ALL,32,59)),1)="-"),999),1)="%"))&lt;&gt;"",SUBSTITUTE(SUBSTITUTE(SUBSTITUTE(SUBSTITUTE(SUBSTITUTE(SUBSTITUTE(SUBSTITUTE(SUBSTITUTE(SUBSTITUTE(SUBSTITUTE(SUBSTITUTE(SUBSTITUTE(LEFT(MID(TRIM(INDEX(PASTE_ALL,32,59)),1+(LEFT(TRIM(INDEX(PASTE_ALL,32,59)),1)="-"),999),LEN(MID(TRIM(INDEX(PASTE_ALL,32,59)),1+(LEFT(TRIM(INDEX(PASTE_ALL,32,59)),1)="-"),999))-(RIGHT(MID(TRIM(INDEX(PASTE_ALL,32,59)),1+(LEFT(TRIM(INDEX(PASTE_ALL,32,59)),1)="-"),999),1)="%")),"0",""),"1",""),"2",""),"3",""),"4",""),"5",""),"6",""),"7",""),"8",""),"9",""),".",""),",","")=""),2,1))),1)</f>
        <v/>
      </c>
      <c r="CF81">
        <f>IFERROR(IF(ISNUMBER(INDEX(PASTE_ALL,32,60)),2,IF(TRIM(INDEX(PASTE_ALL,32,60))="",0,IF(AND(LEFT(MID(TRIM(INDEX(PASTE_ALL,32,60)),1+(LEFT(TRIM(INDEX(PASTE_ALL,32,60)),1)="-"),999),LEN(MID(TRIM(INDEX(PASTE_ALL,32,60)),1+(LEFT(TRIM(INDEX(PASTE_ALL,32,60)),1)="-"),999))-(RIGHT(MID(TRIM(INDEX(PASTE_ALL,32,60)),1+(LEFT(TRIM(INDEX(PASTE_ALL,32,60)),1)="-"),999),1)="%"))&lt;&gt;"",SUBSTITUTE(SUBSTITUTE(SUBSTITUTE(SUBSTITUTE(SUBSTITUTE(SUBSTITUTE(SUBSTITUTE(SUBSTITUTE(SUBSTITUTE(SUBSTITUTE(SUBSTITUTE(SUBSTITUTE(LEFT(MID(TRIM(INDEX(PASTE_ALL,32,60)),1+(LEFT(TRIM(INDEX(PASTE_ALL,32,60)),1)="-"),999),LEN(MID(TRIM(INDEX(PASTE_ALL,32,60)),1+(LEFT(TRIM(INDEX(PASTE_ALL,32,60)),1)="-"),999))-(RIGHT(MID(TRIM(INDEX(PASTE_ALL,32,60)),1+(LEFT(TRIM(INDEX(PASTE_ALL,32,60)),1)="-"),999),1)="%")),"0",""),"1",""),"2",""),"3",""),"4",""),"5",""),"6",""),"7",""),"8",""),"9",""),".",""),",","")=""),2,1))),1)</f>
        <v/>
      </c>
      <c r="DA81" t="n">
        <v>77</v>
      </c>
      <c r="DB81">
        <f>IF($B$37=0,"",IFERROR(TRIM(SUBSTITUTE(SUBSTITUTE(SUBSTITUTE(SUBSTITUTE(INDEX(PASTE_ALL,77,$B$37)," "," "),CHAR(9)," "),CHAR(10)," "),CHAR(13)," ")),""))</f>
        <v/>
      </c>
      <c r="DC81">
        <f>IF(AND(77&gt;HEADER_ROW,UPPER(DB81)="LEGEND"),1,0)</f>
        <v/>
      </c>
      <c r="DE81" t="n">
        <v>77</v>
      </c>
      <c r="DF81">
        <f>HEADER_ROW+$DE81</f>
        <v/>
      </c>
      <c r="DG81">
        <f>IF(AND($DF81&lt;=1000,$DF81&lt;$B$8),1,0)</f>
        <v/>
      </c>
      <c r="DH81">
        <f>IF($DG81=1,IFERROR(INDEX($DB$5:$DB$1004,$DF81),""),"")</f>
        <v/>
      </c>
      <c r="DI81">
        <f>IF(AND($DG81=1,$DH81&lt;&gt;""),IFERROR(SUBSTITUTE(SUBSTITUTE(TRIM(SUBSTITUTE(SUBSTITUTE(SUBSTITUTE(SUBSTITUTE(IFERROR(INDEX(PASTE_ALL,$DF81,1)&amp;"","")&amp;"␟"&amp;IFERROR(INDEX(PASTE_ALL,$DF81,2)&amp;"","")&amp;"␟"&amp;IFERROR(INDEX(PASTE_ALL,$DF81,3)&amp;"","")&amp;"␟"&amp;IFERROR(INDEX(PASTE_ALL,$DF81,4)&amp;"","")&amp;"␟"&amp;IFERROR(INDEX(PASTE_ALL,$DF81,5)&amp;"","")&amp;"␟"&amp;IFERROR(INDEX(PASTE_ALL,$DF81,6)&amp;"","")&amp;"␟"&amp;IFERROR(INDEX(PASTE_ALL,$DF81,7)&amp;"","")&amp;"␟"&amp;IFERROR(INDEX(PASTE_ALL,$DF81,8)&amp;"","")&amp;"␟"&amp;IFERROR(INDEX(PASTE_ALL,$DF81,9)&amp;"","")&amp;"␟"&amp;IFERROR(INDEX(PASTE_ALL,$DF81,10)&amp;"","")&amp;"␟"&amp;IFERROR(INDEX(PASTE_ALL,$DF81,11)&amp;"","")&amp;"␟"&amp;IFERROR(INDEX(PASTE_ALL,$DF81,12)&amp;"","")&amp;"␟"&amp;IFERROR(INDEX(PASTE_ALL,$DF81,13)&amp;"","")&amp;"␟"&amp;IFERROR(INDEX(PASTE_ALL,$DF81,14)&amp;"","")&amp;"␟"&amp;IFERROR(INDEX(PASTE_ALL,$DF81,15)&amp;"","")&amp;"␟"&amp;IFERROR(INDEX(PASTE_ALL,$DF81,16)&amp;"","")&amp;"␟"&amp;IFERROR(INDEX(PASTE_ALL,$DF81,17)&amp;"","")&amp;"␟"&amp;IFERROR(INDEX(PASTE_ALL,$DF81,18)&amp;"","")&amp;"␟"&amp;IFERROR(INDEX(PASTE_ALL,$DF81,19)&amp;"","")&amp;"␟"&amp;IFERROR(INDEX(PASTE_ALL,$DF81,20)&amp;"","")&amp;"␟"&amp;IFERROR(INDEX(PASTE_ALL,$DF81,21)&amp;"","")&amp;"␟"&amp;IFERROR(INDEX(PASTE_ALL,$DF81,22)&amp;"","")&amp;"␟"&amp;IFERROR(INDEX(PASTE_ALL,$DF81,23)&amp;"","")&amp;"␟"&amp;IFERROR(INDEX(PASTE_ALL,$DF81,24)&amp;"","")&amp;"␟"&amp;IFERROR(INDEX(PASTE_ALL,$DF81,25)&amp;"","")&amp;"␟"&amp;IFERROR(INDEX(PASTE_ALL,$DF81,26)&amp;"","")&amp;"␟"&amp;IFERROR(INDEX(PASTE_ALL,$DF81,27)&amp;"","")&amp;"␟"&amp;IFERROR(INDEX(PASTE_ALL,$DF81,28)&amp;"","")&amp;"␟"&amp;IFERROR(INDEX(PASTE_ALL,$DF81,29)&amp;"","")&amp;"␟"&amp;IFERROR(INDEX(PASTE_ALL,$DF81,30)&amp;"","")&amp;"␟"&amp;IFERROR(INDEX(PASTE_ALL,$DF81,31)&amp;"","")&amp;"␟"&amp;IFERROR(INDEX(PASTE_ALL,$DF81,32)&amp;"","")&amp;"␟"&amp;IFERROR(INDEX(PASTE_ALL,$DF81,33)&amp;"","")&amp;"␟"&amp;IFERROR(INDEX(PASTE_ALL,$DF81,34)&amp;"","")&amp;"␟"&amp;IFERROR(INDEX(PASTE_ALL,$DF81,35)&amp;"","")&amp;"␟"&amp;IFERROR(INDEX(PASTE_ALL,$DF81,36)&amp;"","")&amp;"␟"&amp;IFERROR(INDEX(PASTE_ALL,$DF81,37)&amp;"","")&amp;"␟"&amp;IFERROR(INDEX(PASTE_ALL,$DF81,38)&amp;"","")&amp;"␟"&amp;IFERROR(INDEX(PASTE_ALL,$DF81,39)&amp;"","")&amp;"␟"&amp;IFERROR(INDEX(PASTE_ALL,$DF81,40)&amp;"","")&amp;"␟"&amp;IFERROR(INDEX(PASTE_ALL,$DF81,41)&amp;"","")&amp;"␟"&amp;IFERROR(INDEX(PASTE_ALL,$DF81,42)&amp;"","")&amp;"␟"&amp;IFERROR(INDEX(PASTE_ALL,$DF81,43)&amp;"","")&amp;"␟"&amp;IFERROR(INDEX(PASTE_ALL,$DF81,44)&amp;"","")&amp;"␟"&amp;IFERROR(INDEX(PASTE_ALL,$DF81,45)&amp;"","")&amp;"␟"&amp;IFERROR(INDEX(PASTE_ALL,$DF81,46)&amp;"","")&amp;"␟"&amp;IFERROR(INDEX(PASTE_ALL,$DF81,47)&amp;"","")&amp;"␟"&amp;IFERROR(INDEX(PASTE_ALL,$DF81,48)&amp;"","")&amp;"␟"&amp;IFERROR(INDEX(PASTE_ALL,$DF81,49)&amp;"","")&amp;"␟"&amp;IFERROR(INDEX(PASTE_ALL,$DF81,50)&amp;"","")&amp;"␟"&amp;IFERROR(INDEX(PASTE_ALL,$DF81,51)&amp;"","")&amp;"␟"&amp;IFERROR(INDEX(PASTE_ALL,$DF81,52)&amp;"","")&amp;"␟"&amp;IFERROR(INDEX(PASTE_ALL,$DF81,53)&amp;"","")&amp;"␟"&amp;IFERROR(INDEX(PASTE_ALL,$DF81,54)&amp;"","")&amp;"␟"&amp;IFERROR(INDEX(PASTE_ALL,$DF81,55)&amp;"","")&amp;"␟"&amp;IFERROR(INDEX(PASTE_ALL,$DF81,56)&amp;"","")&amp;"␟"&amp;IFERROR(INDEX(PASTE_ALL,$DF81,57)&amp;"","")&amp;"␟"&amp;IFERROR(INDEX(PASTE_ALL,$DF81,58)&amp;"","")&amp;"␟"&amp;IFERROR(INDEX(PASTE_ALL,$DF81,59)&amp;"","")&amp;"␟"&amp;IFERROR(INDEX(PASTE_ALL,$DF81,60)&amp;"","")," "," "),CHAR(9)," "),CHAR(10)," "),CHAR(13)," "))," ␟","␟"),"␟ ","␟"),"#"&amp;$DE81),"")</f>
        <v/>
      </c>
      <c r="DJ81">
        <f>IF($DI81="",0,IF(SUMPRODUCT(--EXACT($DI$4:DI80,$DI81))&gt;0,1,0))</f>
        <v/>
      </c>
      <c r="DK81">
        <f>IF(AND($DI81&lt;&gt;"",$DJ81=0),1,0)</f>
        <v/>
      </c>
      <c r="DL81">
        <f>DL80+$DK81</f>
        <v/>
      </c>
      <c r="DM81">
        <f>IF(AND($DK81=1,$DL81&lt;=600),1,0)</f>
        <v/>
      </c>
      <c r="DN81">
        <f>IF($DM81=0,"",IF($L$6=0,"",IFERROR(IF(ISNUMBER(INDEX(PASTE_ALL,$DF81,$L$6)),INDEX(PASTE_ALL,$DF81,$L$6),TRIM(SUBSTITUTE(SUBSTITUTE(SUBSTITUTE(SUBSTITUTE(INDEX(PASTE_ALL,$DF81,$L$6)," "," "),CHAR(9)," "),CHAR(10)," "),CHAR(13)," "))),"")))</f>
        <v/>
      </c>
      <c r="DO81">
        <f>IF($DM81=0,"",IF($L$7=0,"",IFERROR(IF(ISNUMBER(INDEX(PASTE_ALL,$DF81,$L$7)),INDEX(PASTE_ALL,$DF81,$L$7),TRIM(SUBSTITUTE(SUBSTITUTE(SUBSTITUTE(SUBSTITUTE(INDEX(PASTE_ALL,$DF81,$L$7)," "," "),CHAR(9)," "),CHAR(10)," "),CHAR(13)," "))),"")))</f>
        <v/>
      </c>
      <c r="DP81">
        <f>IF($DM81=0,"",IF($L$8=0,"",IFERROR(IF(ISNUMBER(INDEX(PASTE_ALL,$DF81,$L$8)),INDEX(PASTE_ALL,$DF81,$L$8),TRIM(SUBSTITUTE(SUBSTITUTE(SUBSTITUTE(SUBSTITUTE(INDEX(PASTE_ALL,$DF81,$L$8)," "," "),CHAR(9)," "),CHAR(10)," "),CHAR(13)," "))),"")))</f>
        <v/>
      </c>
      <c r="DQ81">
        <f>IF($DM81=0,"",IF($L$9=0,"",IFERROR(IF(ISNUMBER(INDEX(PASTE_ALL,$DF81,$L$9)),INDEX(PASTE_ALL,$DF81,$L$9),TRIM(SUBSTITUTE(SUBSTITUTE(SUBSTITUTE(SUBSTITUTE(INDEX(PASTE_ALL,$DF81,$L$9)," "," "),CHAR(9)," "),CHAR(10)," "),CHAR(13)," "))),"")))</f>
        <v/>
      </c>
      <c r="DR81">
        <f>IF($DM81=0,"",IF($L$10=0,"",IFERROR(IF(ISNUMBER(INDEX(PASTE_ALL,$DF81,$L$10)),INDEX(PASTE_ALL,$DF81,$L$10),TRIM(SUBSTITUTE(SUBSTITUTE(SUBSTITUTE(SUBSTITUTE(INDEX(PASTE_ALL,$DF81,$L$10)," "," "),CHAR(9)," "),CHAR(10)," "),CHAR(13)," "))),"")))</f>
        <v/>
      </c>
      <c r="DS81">
        <f>IF($DM81=0,"",IF($L$11=0,"",IFERROR(IF(ISNUMBER(INDEX(PASTE_ALL,$DF81,$L$11)),INDEX(PASTE_ALL,$DF81,$L$11),TRIM(SUBSTITUTE(SUBSTITUTE(SUBSTITUTE(SUBSTITUTE(INDEX(PASTE_ALL,$DF81,$L$11)," "," "),CHAR(9)," "),CHAR(10)," "),CHAR(13)," "))),"")))</f>
        <v/>
      </c>
      <c r="DT81">
        <f>IF($DM81=0,"",IF($L$12=0,"",IFERROR(IF(ISNUMBER(INDEX(PASTE_ALL,$DF81,$L$12)),INDEX(PASTE_ALL,$DF81,$L$12),TRIM(SUBSTITUTE(SUBSTITUTE(SUBSTITUTE(SUBSTITUTE(INDEX(PASTE_ALL,$DF81,$L$12)," "," "),CHAR(9)," "),CHAR(10)," "),CHAR(13)," "))),"")))</f>
        <v/>
      </c>
      <c r="DU81">
        <f>IF($DM81=0,"",IF($L$13=0,"",IFERROR(IF(ISNUMBER(INDEX(PASTE_ALL,$DF81,$L$13)),INDEX(PASTE_ALL,$DF81,$L$13),TRIM(SUBSTITUTE(SUBSTITUTE(SUBSTITUTE(SUBSTITUTE(INDEX(PASTE_ALL,$DF81,$L$13)," "," "),CHAR(9)," "),CHAR(10)," "),CHAR(13)," "))),"")))</f>
        <v/>
      </c>
      <c r="DV81">
        <f>IF($DM81=0,"",IF($L$14=0,"",IFERROR(IF(ISNUMBER(INDEX(PASTE_ALL,$DF81,$L$14)),INDEX(PASTE_ALL,$DF81,$L$14),TRIM(SUBSTITUTE(SUBSTITUTE(SUBSTITUTE(SUBSTITUTE(INDEX(PASTE_ALL,$DF81,$L$14)," "," "),CHAR(9)," "),CHAR(10)," "),CHAR(13)," "))),"")))</f>
        <v/>
      </c>
      <c r="DW81">
        <f>IF($DM81=0,"",IF($L$15=0,"",IFERROR(IF(ISNUMBER(INDEX(PASTE_ALL,$DF81,$L$15)),INDEX(PASTE_ALL,$DF81,$L$15),IF(SUMPRODUCT(--ISNUMBER(FIND({"A","B","C","D","E","F","G","H","I","J","K","L","M","N","O","P","Q","R","S","T","U","V","W","X","Y","Z","0","1","2","3","4","5","6","7","8","9"},UPPER(TRIM(SUBSTITUTE(SUBSTITUTE(SUBSTITUTE(SUBSTITUTE(INDEX(PASTE_ALL,$DF81,$L$15)," "," "),CHAR(9)," "),CHAR(10)," "),CHAR(13)," "))))))&gt;0,TRIM(SUBSTITUTE(SUBSTITUTE(SUBSTITUTE(SUBSTITUTE(INDEX(PASTE_ALL,$DF81,$L$15)," "," "),CHAR(9)," "),CHAR(10)," "),CHAR(13)," ")),"")),"")))</f>
        <v/>
      </c>
      <c r="DX81">
        <f>IF($DM81=0,"",IF($L$16=0,"",IFERROR(IF(ISNUMBER(INDEX(PASTE_ALL,$DF81,$L$16)),INDEX(PASTE_ALL,$DF81,$L$16),SUBSTITUTE(SUBSTITUTE(TRIM(SUBSTITUTE(SUBSTITUTE(SUBSTITUTE(SUBSTITUTE(INDEX(PASTE_ALL,$DF81,$L$16)," "," "),CHAR(9)," "),CHAR(10)," "),CHAR(13)," ")),",",""),"%","")),"")))</f>
        <v/>
      </c>
      <c r="DY81">
        <f>IF($DM81=0,"",IFERROR(IF(ISNUMBER($DX81),$DX81,IF($DX81="","",IF(TRIM($DX81)="",0,IF(AND(AND(SUBSTITUTE(SUBSTITUTE(SUBSTITUTE(SUBSTITUTE(SUBSTITUTE(SUBSTITUTE(SUBSTITUTE(SUBSTITUTE(SUBSTITUTE(SUBSTITUTE(SUBSTITUTE(SUBSTITUTE(SUBSTITUTE(SUBSTITUTE(UPPER(TRIM($DX81)),"0",""),"1",""),"2",""),"3",""),"4",""),"5",""),"6",""),"7",""),"8",""),"9",""),".",""),"+",""),"-",""),"E","")="",LEN(SUBSTITUTE(SUBSTITUTE(MID(UPPER(TRIM($DX81)),1+OR(LEFT(UPPER(TRIM($DX81)),1)="+",LEFT(UPPER(TRIM($DX81)),1)="-"),999),"E+","E"),"E-","E"))=LEN(SUBSTITUTE(SUBSTITUTE(SUBSTITUTE(SUBSTITUTE(MID(UPPER(TRIM($DX81)),1+OR(LEFT(UPPER(TRIM($DX81)),1)="+",LEFT(UPPER(TRIM($DX81)),1)="-"),999),"E+","E"),"E-","E"),"+",""),"-","")),LEN(UPPER(TRIM($DX81)))-LEN(SUBSTITUTE(UPPER(TRIM($DX81)),"E",""))&lt;2,LEN(UPPER(TRIM($DX81)))-LEN(SUBSTITUTE(UPPER(TRIM($DX81)),".",""))&lt;2,IFERROR(FIND(".",UPPER(TRIM($DX81))),0)&lt;IFERROR(FIND("E",UPPER(TRIM($DX81))),999)),ISNUMBER(VALUE(TRIM($DX81)))),VALUE(TRIM($DX81)),"")))),""))</f>
        <v/>
      </c>
      <c r="DZ81">
        <f>IF($DM81=0,"",IF($L$17=0,"",IFERROR(IF(ISNUMBER(INDEX(PASTE_ALL,$DF81,$L$17)),INDEX(PASTE_ALL,$DF81,$L$17),SUBSTITUTE(SUBSTITUTE(TRIM(SUBSTITUTE(SUBSTITUTE(SUBSTITUTE(SUBSTITUTE(INDEX(PASTE_ALL,$DF81,$L$17)," "," "),CHAR(9)," "),CHAR(10)," "),CHAR(13)," ")),",",""),"%","")),"")))</f>
        <v/>
      </c>
      <c r="EA81">
        <f>IF($DM81=0,"",IFERROR(IF(ISNUMBER($DZ81),$DZ81,IF($DZ81="","",IF(TRIM($DZ81)="",0,IF(AND(AND(SUBSTITUTE(SUBSTITUTE(SUBSTITUTE(SUBSTITUTE(SUBSTITUTE(SUBSTITUTE(SUBSTITUTE(SUBSTITUTE(SUBSTITUTE(SUBSTITUTE(SUBSTITUTE(SUBSTITUTE(SUBSTITUTE(SUBSTITUTE(UPPER(TRIM($DZ81)),"0",""),"1",""),"2",""),"3",""),"4",""),"5",""),"6",""),"7",""),"8",""),"9",""),".",""),"+",""),"-",""),"E","")="",LEN(SUBSTITUTE(SUBSTITUTE(MID(UPPER(TRIM($DZ81)),1+OR(LEFT(UPPER(TRIM($DZ81)),1)="+",LEFT(UPPER(TRIM($DZ81)),1)="-"),999),"E+","E"),"E-","E"))=LEN(SUBSTITUTE(SUBSTITUTE(SUBSTITUTE(SUBSTITUTE(MID(UPPER(TRIM($DZ81)),1+OR(LEFT(UPPER(TRIM($DZ81)),1)="+",LEFT(UPPER(TRIM($DZ81)),1)="-"),999),"E+","E"),"E-","E"),"+",""),"-","")),LEN(UPPER(TRIM($DZ81)))-LEN(SUBSTITUTE(UPPER(TRIM($DZ81)),"E",""))&lt;2,LEN(UPPER(TRIM($DZ81)))-LEN(SUBSTITUTE(UPPER(TRIM($DZ81)),".",""))&lt;2,IFERROR(FIND(".",UPPER(TRIM($DZ81))),0)&lt;IFERROR(FIND("E",UPPER(TRIM($DZ81))),999)),ISNUMBER(VALUE(TRIM($DZ81)))),VALUE(TRIM($DZ81)),"")))),""))</f>
        <v/>
      </c>
      <c r="EB81">
        <f>IF($DM81=0,"",IF($L$18=0,"",IFERROR(IF(UPPER(TRIM(SUBSTITUTE(SUBSTITUTE(SUBSTITUTE(SUBSTITUTE(INDEX(PASTE_ALL,$DF81,$L$18)," "," "),CHAR(9)," "),CHAR(10)," "),CHAR(13)," ")))="READY","Ready",IF(UPPER(TRIM(SUBSTITUTE(SUBSTITUTE(SUBSTITUTE(SUBSTITUTE(INDEX(PASTE_ALL,$DF81,$L$18)," "," "),CHAR(9)," "),CHAR(10)," "),CHAR(13)," ")))="PM","PM",IF(OR(UPPER(TRIM(SUBSTITUTE(SUBSTITUTE(SUBSTITUTE(SUBSTITUTE(INDEX(PASTE_ALL,$DF81,$L$18)," "," "),CHAR(9)," "),CHAR(10)," "),CHAR(13)," ")))="OT",UPPER(TRIM(SUBSTITUTE(SUBSTITUTE(SUBSTITUTE(SUBSTITUTE(INDEX(PASTE_ALL,$DF81,$L$18)," "," "),CHAR(9)," "),CHAR(10)," "),CHAR(13)," ")))="OVERTIME",UPPER(TRIM(SUBSTITUTE(SUBSTITUTE(SUBSTITUTE(SUBSTITUTE(INDEX(PASTE_ALL,$DF81,$L$18)," "," "),CHAR(9)," "),CHAR(10)," "),CHAR(13)," ")))="TRIAL"),"OT",TRIM(SUBSTITUTE(SUBSTITUTE(SUBSTITUTE(SUBSTITUTE(INDEX(PASTE_ALL,$DF81,$L$18)," "," "),CHAR(9)," "),CHAR(10)," "),CHAR(13)," "))))),"")))</f>
        <v/>
      </c>
      <c r="EC81">
        <f>IF($DM81=0,"",IF($L$19=0,"",IFERROR(IF(ISNUMBER(INDEX(PASTE_ALL,$DF81,$L$19)),INDEX(PASTE_ALL,$DF81,$L$19),TRIM(SUBSTITUTE(SUBSTITUTE(SUBSTITUTE(SUBSTITUTE(INDEX(PASTE_ALL,$DF81,$L$19)," "," "),CHAR(9)," "),CHAR(10)," "),CHAR(13)," "))),"")))</f>
        <v/>
      </c>
      <c r="ED81">
        <f>IF($DM81=0,"",MATCH(1,INDEX(EXACT($DH$5:DH81,$DH81)*$DM$5:DM81,0),0))</f>
        <v/>
      </c>
      <c r="EE81">
        <f>IF($DM81=0,0,IF($ED81=$DE81,1,0))</f>
        <v/>
      </c>
      <c r="EF81">
        <f>EF80+$EE81</f>
        <v/>
      </c>
      <c r="EG81">
        <f>IF($DM81=0,"",INDEX($EF$5:$EF$1003,$ED81))</f>
        <v/>
      </c>
      <c r="EH81">
        <f>IF($DM81=0,"",IF($DO81&lt;&gt;"","",IFERROR(LOOKUP(2,1/(($EG$4:EG80=$EG81)*($DO$4:DO80&lt;&gt;"")),$DO$4:DO80),"")))</f>
        <v/>
      </c>
      <c r="EI81">
        <f>IF($DM81=0,"",IF($DO81&lt;&gt;"",$DO81,$EH81))</f>
        <v/>
      </c>
      <c r="EJ81">
        <f>IF($DM81=0,"",IF($EI81="",0,IF(OR(ISNUMBER($EI81),AND(AND(SUBSTITUTE(SUBSTITUTE(SUBSTITUTE(SUBSTITUTE(SUBSTITUTE(SUBSTITUTE(SUBSTITUTE(SUBSTITUTE(SUBSTITUTE(SUBSTITUTE(SUBSTITUTE(SUBSTITUTE(SUBSTITUTE(SUBSTITUTE(UPPER($EI81),"0",""),"1",""),"2",""),"3",""),"4",""),"5",""),"6",""),"7",""),"8",""),"9",""),".",""),"+",""),"-",""),"E","")="",LEN(SUBSTITUTE(SUBSTITUTE(MID(UPPER($EI81),1+OR(LEFT(UPPER($EI81),1)="+",LEFT(UPPER($EI81),1)="-"),999),"E+","E"),"E-","E"))=LEN(SUBSTITUTE(SUBSTITUTE(SUBSTITUTE(SUBSTITUTE(MID(UPPER($EI81),1+OR(LEFT(UPPER($EI81),1)="+",LEFT(UPPER($EI81),1)="-"),999),"E+","E"),"E-","E"),"+",""),"-","")),LEN(UPPER($EI81))-LEN(SUBSTITUTE(UPPER($EI81),"E",""))&lt;2,LEN(UPPER($EI81))-LEN(SUBSTITUTE(UPPER($EI81),".",""))&lt;2,IFERROR(FIND(".",UPPER($EI81)),0)&lt;IFERROR(FIND("E",UPPER($EI81)),999)),ISNUMBER(VALUE($EI81)))),1,2)))</f>
        <v/>
      </c>
      <c r="EK81">
        <f>IF($DM81=0,"",IF($EJ81=1,IF(ISNUMBER($EI81),$EI81,VALUE($EI81)),IF($EJ81=2,$DE81,0)))</f>
        <v/>
      </c>
      <c r="EL81">
        <f>IF($DM81=0,"",COUNTIF($EG$5:$EG$1003,"&lt;"&amp;$EG81)+SUMPRODUCT(($EG$5:$EG$1003=$EG81)*(($EJ$5:$EJ$1003&lt;$EJ81)+($EJ$5:$EJ$1003=$EJ81)*(($EK$5:$EK$1003&lt;$EK81)+($EK$5:$EK$1003=$EK81)*($DE$5:$DE$1003&lt;$DE81))))+1)</f>
        <v/>
      </c>
      <c r="EM81">
        <f>IF($DM81=0,"",$EL81+$EG81-1)</f>
        <v/>
      </c>
      <c r="EN81">
        <f>IF($DM81=0,0,IFERROR(MATCH(1,INDEX(--(TRIM(SUBSTITUTE(SUBSTITUTE(SUBSTITUTE(SUBSTITUTE(LINES_NAME&amp;""," "," "),CHAR(9)," "),CHAR(10)," "),CHAR(13)," "))=$DH81),0),0),0))</f>
        <v/>
      </c>
      <c r="EO81">
        <f>IF($EN81=0,0,IF(OR(UPPER(TRIM(INDEX(LINES_SCHEDULED,$EN81)&amp;""))="YES",UPPER(TRIM(INDEX(LINES_SCHEDULED,$EN81)&amp;""))="Y",UPPER(TRIM(INDEX(LINES_SCHEDULED,$EN81)&amp;""))="X"),1,0))</f>
        <v/>
      </c>
      <c r="EP81">
        <f>IF($DM81=0,"",IF(COUNTIFS($EG$5:$EG$1003,$EG81,$EB$5:$EB$1003,"Ready")&gt;0,"READY",IF(COUNTIFS($EG$5:$EG$1003,$EG81,$EB$5:$EB$1003,"PM")&gt;0,"PM",IF(COUNTIFS($EG$5:$EG$1003,$EG81,$EB$5:$EB$1003,"OT")&gt;0,"OT",""))))</f>
        <v/>
      </c>
      <c r="EQ81">
        <f>IF($EN81=0,"",UPPER(TRIM(INDEX(LINES_STATUS,$EN81)&amp;"")))</f>
        <v/>
      </c>
      <c r="ER81">
        <f>IF($DM81=0,"",IF(OR($EQ81="READY",$EQ81="PM",$EQ81="OT"),$EQ81,$EP81))</f>
        <v/>
      </c>
      <c r="ES81">
        <f>IF($DM81=0,"",IF(AND($DV81&lt;&gt;"",UPPER($DV81)&lt;&gt;"N"),"allergen",IF(ISNUMBER(SEARCH("oil",$DQ81)),"oil",IF(OR(EXACT($DS81,"A662"),EXACT($DS81,"A624")),"bulk",""))))</f>
        <v/>
      </c>
      <c r="ET81">
        <f>IF($DM81=0,"",IF(OR($EA81="",$EA81=0),"",$EA81/100))</f>
        <v/>
      </c>
      <c r="EU81">
        <f>IF(OR($ET81="",$DY81=""),"",INT($DY81*(1-$ET81)+0.5))</f>
        <v/>
      </c>
      <c r="EW81" t="n">
        <v>77</v>
      </c>
      <c r="EX81">
        <f>IFERROR(MATCH($EW81,$EM$5:$EM$1003,0),0)</f>
        <v/>
      </c>
      <c r="EY81">
        <f>IF($EW81&gt;$B$12,"",IF($EX81&gt;0,"row","spacer"))</f>
        <v/>
      </c>
      <c r="EZ81">
        <f>IF(AND($EY81="row",$EY80&lt;&gt;"row"),1,0)</f>
        <v/>
      </c>
      <c r="FA81">
        <f>IF(AND($EY81="row",$EY82&lt;&gt;"row"),1,0)</f>
        <v/>
      </c>
      <c r="FB81">
        <f>IF($EZ81=1,IFERROR(IF(ISNUMBER(INDEX(PASTE_ALL,INDEX($DF$5:$DF$1003,$EX81),$B$37)),INDEX(PASTE_ALL,INDEX($DF$5:$DF$1003,$EX81),$B$37),INDEX($DH$5:$DH$1003,$EX81)),INDEX($DH$5:$DH$1003,$EX81)),"")</f>
        <v/>
      </c>
      <c r="FC81">
        <f>IF($EY81="row",INDEX($ER$5:$ER$1003,$EX81),"")</f>
        <v/>
      </c>
      <c r="FD81">
        <f>IF($EY81="row",INDEX($DN$5:$DN$1003,$EX81),"")</f>
        <v/>
      </c>
      <c r="FE81">
        <f>IF($EY81="row",INDEX($DO$5:$DO$1003,$EX81),"")</f>
        <v/>
      </c>
      <c r="FF81">
        <f>IF($EY81="row",INDEX($DP$5:$DP$1003,$EX81),"")</f>
        <v/>
      </c>
      <c r="FG81">
        <f>IF($EY81="row",INDEX($DQ$5:$DQ$1003,$EX81),"")</f>
        <v/>
      </c>
      <c r="FH81">
        <f>IF($EY81="row",INDEX($DR$5:$DR$1003,$EX81),"")</f>
        <v/>
      </c>
      <c r="FI81">
        <f>IF($EY81="row",INDEX($DS$5:$DS$1003,$EX81),"")</f>
        <v/>
      </c>
      <c r="FJ81">
        <f>IF($EY81="row",INDEX($DT$5:$DT$1003,$EX81),"")</f>
        <v/>
      </c>
      <c r="FK81">
        <f>IF($EY81="row",INDEX($DU$5:$DU$1003,$EX81),"")</f>
        <v/>
      </c>
      <c r="FL81">
        <f>IF($EY81="row",INDEX($DV$5:$DV$1003,$EX81),"")</f>
        <v/>
      </c>
      <c r="FM81">
        <f>IF($EY81="row",INDEX($DW$5:$DW$1003,$EX81),"")</f>
        <v/>
      </c>
      <c r="FN81">
        <f>IF($EY81="row",INDEX($DY$5:$DY$1003,$EX81),"")</f>
        <v/>
      </c>
      <c r="FO81">
        <f>IF($EY81="row",INDEX($EA$5:$EA$1003,$EX81),"")</f>
        <v/>
      </c>
      <c r="FP81">
        <f>IF($EY81="row",INDEX($EC$5:$EC$1003,$EX81),"")</f>
        <v/>
      </c>
      <c r="FQ81">
        <f>IF($EY81="row",INDEX($ET$5:$ET$1003,$EX81),"")</f>
        <v/>
      </c>
      <c r="FR81">
        <f>IF($EY81="row",INDEX($EU$5:$EU$1003,$EX81),"")</f>
        <v/>
      </c>
      <c r="FS81">
        <f>IF(AND($EY81="row",$EY80="row"),IF(OR(INDEX($DT$5:$DT$1003,$EX80)="",INDEX($DT$5:$DT$1003,$EX81)=""),"",IF(NOT(EXACT(INDEX($DT$5:$DT$1003,$EX80),INDEX($DT$5:$DT$1003,$EX81))),"S4",IF(NOT(EXACT(INDEX($DS$5:$DS$1003,$EX80),INDEX($DS$5:$DS$1003,$EX81))),"S3",IF(NOT(EXACT(INDEX($DR$5:$DR$1003,$EX80),INDEX($DR$5:$DR$1003,$EX81))),"S1 Count Change","S1")))),"")</f>
        <v/>
      </c>
      <c r="FT81">
        <f>IF($EY81="row",INDEX($ES$5:$ES$1003,$EX81),"")</f>
        <v/>
      </c>
      <c r="FU81">
        <f>IF($EY81="row",INDEX($EO$5:$EO$1003,$EX81),0)</f>
        <v/>
      </c>
      <c r="FV81">
        <f>IF($FS81="S1 Count Change",1,0)</f>
        <v/>
      </c>
      <c r="FX81" t="n">
        <v>77</v>
      </c>
      <c r="FY81">
        <f>IFERROR(MATCH($FX81,$EF$5:$EF$1003,0),0)</f>
        <v/>
      </c>
      <c r="FZ81">
        <f>IF($FY81=0,"",INDEX($DH$5:$DH$1003,$FY81))</f>
        <v/>
      </c>
      <c r="GA81">
        <f>IF($FY81=0,"",COUNTIF($EG$5:$EG$1003,$FX81))</f>
        <v/>
      </c>
      <c r="GB81">
        <f>IF($FY81=0,"",INDEX($ER$5:$ER$1003,$FY81))</f>
        <v/>
      </c>
      <c r="GC81">
        <f>IF($FY81=0,"",IF(INDEX($EO$5:$EO$1003,$FY81)=1,"Yes",""))</f>
        <v/>
      </c>
      <c r="GD81">
        <f>IF($FY81=0,"",IF(INDEX($EN$5:$EN$1003,$FY81)&gt;0,"","NOT IN YOUR LIST - type it in column A to tick it"))</f>
        <v/>
      </c>
      <c r="GE81">
        <f>IF(AND($FY81&gt;0,$GD81&lt;&gt;""),1,0)</f>
        <v/>
      </c>
      <c r="GF81">
        <f>GF80+$GE81</f>
        <v/>
      </c>
      <c r="GG81">
        <f>IFERROR(INDEX($FZ$5:$FZ$104,MATCH($FX81,$GF$5:$GF$104,0)),"")</f>
        <v/>
      </c>
    </row>
    <row r="82">
      <c r="V82" t="inlineStr">
        <is>
          <t>STATUS</t>
        </is>
      </c>
      <c r="W82" t="n">
        <v>14</v>
      </c>
      <c r="Y82">
        <f>IFERROR(IF(ISNUMBER(INDEX(PASTE_ALL,33,1)),2,IF(TRIM(INDEX(PASTE_ALL,33,1))="",0,IF(AND(LEFT(MID(TRIM(INDEX(PASTE_ALL,33,1)),1+(LEFT(TRIM(INDEX(PASTE_ALL,33,1)),1)="-"),999),LEN(MID(TRIM(INDEX(PASTE_ALL,33,1)),1+(LEFT(TRIM(INDEX(PASTE_ALL,33,1)),1)="-"),999))-(RIGHT(MID(TRIM(INDEX(PASTE_ALL,33,1)),1+(LEFT(TRIM(INDEX(PASTE_ALL,33,1)),1)="-"),999),1)="%"))&lt;&gt;"",SUBSTITUTE(SUBSTITUTE(SUBSTITUTE(SUBSTITUTE(SUBSTITUTE(SUBSTITUTE(SUBSTITUTE(SUBSTITUTE(SUBSTITUTE(SUBSTITUTE(SUBSTITUTE(SUBSTITUTE(LEFT(MID(TRIM(INDEX(PASTE_ALL,33,1)),1+(LEFT(TRIM(INDEX(PASTE_ALL,33,1)),1)="-"),999),LEN(MID(TRIM(INDEX(PASTE_ALL,33,1)),1+(LEFT(TRIM(INDEX(PASTE_ALL,33,1)),1)="-"),999))-(RIGHT(MID(TRIM(INDEX(PASTE_ALL,33,1)),1+(LEFT(TRIM(INDEX(PASTE_ALL,33,1)),1)="-"),999),1)="%")),"0",""),"1",""),"2",""),"3",""),"4",""),"5",""),"6",""),"7",""),"8",""),"9",""),".",""),",","")=""),2,1))),1)</f>
        <v/>
      </c>
      <c r="Z82">
        <f>IFERROR(IF(ISNUMBER(INDEX(PASTE_ALL,33,2)),2,IF(TRIM(INDEX(PASTE_ALL,33,2))="",0,IF(AND(LEFT(MID(TRIM(INDEX(PASTE_ALL,33,2)),1+(LEFT(TRIM(INDEX(PASTE_ALL,33,2)),1)="-"),999),LEN(MID(TRIM(INDEX(PASTE_ALL,33,2)),1+(LEFT(TRIM(INDEX(PASTE_ALL,33,2)),1)="-"),999))-(RIGHT(MID(TRIM(INDEX(PASTE_ALL,33,2)),1+(LEFT(TRIM(INDEX(PASTE_ALL,33,2)),1)="-"),999),1)="%"))&lt;&gt;"",SUBSTITUTE(SUBSTITUTE(SUBSTITUTE(SUBSTITUTE(SUBSTITUTE(SUBSTITUTE(SUBSTITUTE(SUBSTITUTE(SUBSTITUTE(SUBSTITUTE(SUBSTITUTE(SUBSTITUTE(LEFT(MID(TRIM(INDEX(PASTE_ALL,33,2)),1+(LEFT(TRIM(INDEX(PASTE_ALL,33,2)),1)="-"),999),LEN(MID(TRIM(INDEX(PASTE_ALL,33,2)),1+(LEFT(TRIM(INDEX(PASTE_ALL,33,2)),1)="-"),999))-(RIGHT(MID(TRIM(INDEX(PASTE_ALL,33,2)),1+(LEFT(TRIM(INDEX(PASTE_ALL,33,2)),1)="-"),999),1)="%")),"0",""),"1",""),"2",""),"3",""),"4",""),"5",""),"6",""),"7",""),"8",""),"9",""),".",""),",","")=""),2,1))),1)</f>
        <v/>
      </c>
      <c r="AA82">
        <f>IFERROR(IF(ISNUMBER(INDEX(PASTE_ALL,33,3)),2,IF(TRIM(INDEX(PASTE_ALL,33,3))="",0,IF(AND(LEFT(MID(TRIM(INDEX(PASTE_ALL,33,3)),1+(LEFT(TRIM(INDEX(PASTE_ALL,33,3)),1)="-"),999),LEN(MID(TRIM(INDEX(PASTE_ALL,33,3)),1+(LEFT(TRIM(INDEX(PASTE_ALL,33,3)),1)="-"),999))-(RIGHT(MID(TRIM(INDEX(PASTE_ALL,33,3)),1+(LEFT(TRIM(INDEX(PASTE_ALL,33,3)),1)="-"),999),1)="%"))&lt;&gt;"",SUBSTITUTE(SUBSTITUTE(SUBSTITUTE(SUBSTITUTE(SUBSTITUTE(SUBSTITUTE(SUBSTITUTE(SUBSTITUTE(SUBSTITUTE(SUBSTITUTE(SUBSTITUTE(SUBSTITUTE(LEFT(MID(TRIM(INDEX(PASTE_ALL,33,3)),1+(LEFT(TRIM(INDEX(PASTE_ALL,33,3)),1)="-"),999),LEN(MID(TRIM(INDEX(PASTE_ALL,33,3)),1+(LEFT(TRIM(INDEX(PASTE_ALL,33,3)),1)="-"),999))-(RIGHT(MID(TRIM(INDEX(PASTE_ALL,33,3)),1+(LEFT(TRIM(INDEX(PASTE_ALL,33,3)),1)="-"),999),1)="%")),"0",""),"1",""),"2",""),"3",""),"4",""),"5",""),"6",""),"7",""),"8",""),"9",""),".",""),",","")=""),2,1))),1)</f>
        <v/>
      </c>
      <c r="AB82">
        <f>IFERROR(IF(ISNUMBER(INDEX(PASTE_ALL,33,4)),2,IF(TRIM(INDEX(PASTE_ALL,33,4))="",0,IF(AND(LEFT(MID(TRIM(INDEX(PASTE_ALL,33,4)),1+(LEFT(TRIM(INDEX(PASTE_ALL,33,4)),1)="-"),999),LEN(MID(TRIM(INDEX(PASTE_ALL,33,4)),1+(LEFT(TRIM(INDEX(PASTE_ALL,33,4)),1)="-"),999))-(RIGHT(MID(TRIM(INDEX(PASTE_ALL,33,4)),1+(LEFT(TRIM(INDEX(PASTE_ALL,33,4)),1)="-"),999),1)="%"))&lt;&gt;"",SUBSTITUTE(SUBSTITUTE(SUBSTITUTE(SUBSTITUTE(SUBSTITUTE(SUBSTITUTE(SUBSTITUTE(SUBSTITUTE(SUBSTITUTE(SUBSTITUTE(SUBSTITUTE(SUBSTITUTE(LEFT(MID(TRIM(INDEX(PASTE_ALL,33,4)),1+(LEFT(TRIM(INDEX(PASTE_ALL,33,4)),1)="-"),999),LEN(MID(TRIM(INDEX(PASTE_ALL,33,4)),1+(LEFT(TRIM(INDEX(PASTE_ALL,33,4)),1)="-"),999))-(RIGHT(MID(TRIM(INDEX(PASTE_ALL,33,4)),1+(LEFT(TRIM(INDEX(PASTE_ALL,33,4)),1)="-"),999),1)="%")),"0",""),"1",""),"2",""),"3",""),"4",""),"5",""),"6",""),"7",""),"8",""),"9",""),".",""),",","")=""),2,1))),1)</f>
        <v/>
      </c>
      <c r="AC82">
        <f>IFERROR(IF(ISNUMBER(INDEX(PASTE_ALL,33,5)),2,IF(TRIM(INDEX(PASTE_ALL,33,5))="",0,IF(AND(LEFT(MID(TRIM(INDEX(PASTE_ALL,33,5)),1+(LEFT(TRIM(INDEX(PASTE_ALL,33,5)),1)="-"),999),LEN(MID(TRIM(INDEX(PASTE_ALL,33,5)),1+(LEFT(TRIM(INDEX(PASTE_ALL,33,5)),1)="-"),999))-(RIGHT(MID(TRIM(INDEX(PASTE_ALL,33,5)),1+(LEFT(TRIM(INDEX(PASTE_ALL,33,5)),1)="-"),999),1)="%"))&lt;&gt;"",SUBSTITUTE(SUBSTITUTE(SUBSTITUTE(SUBSTITUTE(SUBSTITUTE(SUBSTITUTE(SUBSTITUTE(SUBSTITUTE(SUBSTITUTE(SUBSTITUTE(SUBSTITUTE(SUBSTITUTE(LEFT(MID(TRIM(INDEX(PASTE_ALL,33,5)),1+(LEFT(TRIM(INDEX(PASTE_ALL,33,5)),1)="-"),999),LEN(MID(TRIM(INDEX(PASTE_ALL,33,5)),1+(LEFT(TRIM(INDEX(PASTE_ALL,33,5)),1)="-"),999))-(RIGHT(MID(TRIM(INDEX(PASTE_ALL,33,5)),1+(LEFT(TRIM(INDEX(PASTE_ALL,33,5)),1)="-"),999),1)="%")),"0",""),"1",""),"2",""),"3",""),"4",""),"5",""),"6",""),"7",""),"8",""),"9",""),".",""),",","")=""),2,1))),1)</f>
        <v/>
      </c>
      <c r="AD82">
        <f>IFERROR(IF(ISNUMBER(INDEX(PASTE_ALL,33,6)),2,IF(TRIM(INDEX(PASTE_ALL,33,6))="",0,IF(AND(LEFT(MID(TRIM(INDEX(PASTE_ALL,33,6)),1+(LEFT(TRIM(INDEX(PASTE_ALL,33,6)),1)="-"),999),LEN(MID(TRIM(INDEX(PASTE_ALL,33,6)),1+(LEFT(TRIM(INDEX(PASTE_ALL,33,6)),1)="-"),999))-(RIGHT(MID(TRIM(INDEX(PASTE_ALL,33,6)),1+(LEFT(TRIM(INDEX(PASTE_ALL,33,6)),1)="-"),999),1)="%"))&lt;&gt;"",SUBSTITUTE(SUBSTITUTE(SUBSTITUTE(SUBSTITUTE(SUBSTITUTE(SUBSTITUTE(SUBSTITUTE(SUBSTITUTE(SUBSTITUTE(SUBSTITUTE(SUBSTITUTE(SUBSTITUTE(LEFT(MID(TRIM(INDEX(PASTE_ALL,33,6)),1+(LEFT(TRIM(INDEX(PASTE_ALL,33,6)),1)="-"),999),LEN(MID(TRIM(INDEX(PASTE_ALL,33,6)),1+(LEFT(TRIM(INDEX(PASTE_ALL,33,6)),1)="-"),999))-(RIGHT(MID(TRIM(INDEX(PASTE_ALL,33,6)),1+(LEFT(TRIM(INDEX(PASTE_ALL,33,6)),1)="-"),999),1)="%")),"0",""),"1",""),"2",""),"3",""),"4",""),"5",""),"6",""),"7",""),"8",""),"9",""),".",""),",","")=""),2,1))),1)</f>
        <v/>
      </c>
      <c r="AE82">
        <f>IFERROR(IF(ISNUMBER(INDEX(PASTE_ALL,33,7)),2,IF(TRIM(INDEX(PASTE_ALL,33,7))="",0,IF(AND(LEFT(MID(TRIM(INDEX(PASTE_ALL,33,7)),1+(LEFT(TRIM(INDEX(PASTE_ALL,33,7)),1)="-"),999),LEN(MID(TRIM(INDEX(PASTE_ALL,33,7)),1+(LEFT(TRIM(INDEX(PASTE_ALL,33,7)),1)="-"),999))-(RIGHT(MID(TRIM(INDEX(PASTE_ALL,33,7)),1+(LEFT(TRIM(INDEX(PASTE_ALL,33,7)),1)="-"),999),1)="%"))&lt;&gt;"",SUBSTITUTE(SUBSTITUTE(SUBSTITUTE(SUBSTITUTE(SUBSTITUTE(SUBSTITUTE(SUBSTITUTE(SUBSTITUTE(SUBSTITUTE(SUBSTITUTE(SUBSTITUTE(SUBSTITUTE(LEFT(MID(TRIM(INDEX(PASTE_ALL,33,7)),1+(LEFT(TRIM(INDEX(PASTE_ALL,33,7)),1)="-"),999),LEN(MID(TRIM(INDEX(PASTE_ALL,33,7)),1+(LEFT(TRIM(INDEX(PASTE_ALL,33,7)),1)="-"),999))-(RIGHT(MID(TRIM(INDEX(PASTE_ALL,33,7)),1+(LEFT(TRIM(INDEX(PASTE_ALL,33,7)),1)="-"),999),1)="%")),"0",""),"1",""),"2",""),"3",""),"4",""),"5",""),"6",""),"7",""),"8",""),"9",""),".",""),",","")=""),2,1))),1)</f>
        <v/>
      </c>
      <c r="AF82">
        <f>IFERROR(IF(ISNUMBER(INDEX(PASTE_ALL,33,8)),2,IF(TRIM(INDEX(PASTE_ALL,33,8))="",0,IF(AND(LEFT(MID(TRIM(INDEX(PASTE_ALL,33,8)),1+(LEFT(TRIM(INDEX(PASTE_ALL,33,8)),1)="-"),999),LEN(MID(TRIM(INDEX(PASTE_ALL,33,8)),1+(LEFT(TRIM(INDEX(PASTE_ALL,33,8)),1)="-"),999))-(RIGHT(MID(TRIM(INDEX(PASTE_ALL,33,8)),1+(LEFT(TRIM(INDEX(PASTE_ALL,33,8)),1)="-"),999),1)="%"))&lt;&gt;"",SUBSTITUTE(SUBSTITUTE(SUBSTITUTE(SUBSTITUTE(SUBSTITUTE(SUBSTITUTE(SUBSTITUTE(SUBSTITUTE(SUBSTITUTE(SUBSTITUTE(SUBSTITUTE(SUBSTITUTE(LEFT(MID(TRIM(INDEX(PASTE_ALL,33,8)),1+(LEFT(TRIM(INDEX(PASTE_ALL,33,8)),1)="-"),999),LEN(MID(TRIM(INDEX(PASTE_ALL,33,8)),1+(LEFT(TRIM(INDEX(PASTE_ALL,33,8)),1)="-"),999))-(RIGHT(MID(TRIM(INDEX(PASTE_ALL,33,8)),1+(LEFT(TRIM(INDEX(PASTE_ALL,33,8)),1)="-"),999),1)="%")),"0",""),"1",""),"2",""),"3",""),"4",""),"5",""),"6",""),"7",""),"8",""),"9",""),".",""),",","")=""),2,1))),1)</f>
        <v/>
      </c>
      <c r="AG82">
        <f>IFERROR(IF(ISNUMBER(INDEX(PASTE_ALL,33,9)),2,IF(TRIM(INDEX(PASTE_ALL,33,9))="",0,IF(AND(LEFT(MID(TRIM(INDEX(PASTE_ALL,33,9)),1+(LEFT(TRIM(INDEX(PASTE_ALL,33,9)),1)="-"),999),LEN(MID(TRIM(INDEX(PASTE_ALL,33,9)),1+(LEFT(TRIM(INDEX(PASTE_ALL,33,9)),1)="-"),999))-(RIGHT(MID(TRIM(INDEX(PASTE_ALL,33,9)),1+(LEFT(TRIM(INDEX(PASTE_ALL,33,9)),1)="-"),999),1)="%"))&lt;&gt;"",SUBSTITUTE(SUBSTITUTE(SUBSTITUTE(SUBSTITUTE(SUBSTITUTE(SUBSTITUTE(SUBSTITUTE(SUBSTITUTE(SUBSTITUTE(SUBSTITUTE(SUBSTITUTE(SUBSTITUTE(LEFT(MID(TRIM(INDEX(PASTE_ALL,33,9)),1+(LEFT(TRIM(INDEX(PASTE_ALL,33,9)),1)="-"),999),LEN(MID(TRIM(INDEX(PASTE_ALL,33,9)),1+(LEFT(TRIM(INDEX(PASTE_ALL,33,9)),1)="-"),999))-(RIGHT(MID(TRIM(INDEX(PASTE_ALL,33,9)),1+(LEFT(TRIM(INDEX(PASTE_ALL,33,9)),1)="-"),999),1)="%")),"0",""),"1",""),"2",""),"3",""),"4",""),"5",""),"6",""),"7",""),"8",""),"9",""),".",""),",","")=""),2,1))),1)</f>
        <v/>
      </c>
      <c r="AH82">
        <f>IFERROR(IF(ISNUMBER(INDEX(PASTE_ALL,33,10)),2,IF(TRIM(INDEX(PASTE_ALL,33,10))="",0,IF(AND(LEFT(MID(TRIM(INDEX(PASTE_ALL,33,10)),1+(LEFT(TRIM(INDEX(PASTE_ALL,33,10)),1)="-"),999),LEN(MID(TRIM(INDEX(PASTE_ALL,33,10)),1+(LEFT(TRIM(INDEX(PASTE_ALL,33,10)),1)="-"),999))-(RIGHT(MID(TRIM(INDEX(PASTE_ALL,33,10)),1+(LEFT(TRIM(INDEX(PASTE_ALL,33,10)),1)="-"),999),1)="%"))&lt;&gt;"",SUBSTITUTE(SUBSTITUTE(SUBSTITUTE(SUBSTITUTE(SUBSTITUTE(SUBSTITUTE(SUBSTITUTE(SUBSTITUTE(SUBSTITUTE(SUBSTITUTE(SUBSTITUTE(SUBSTITUTE(LEFT(MID(TRIM(INDEX(PASTE_ALL,33,10)),1+(LEFT(TRIM(INDEX(PASTE_ALL,33,10)),1)="-"),999),LEN(MID(TRIM(INDEX(PASTE_ALL,33,10)),1+(LEFT(TRIM(INDEX(PASTE_ALL,33,10)),1)="-"),999))-(RIGHT(MID(TRIM(INDEX(PASTE_ALL,33,10)),1+(LEFT(TRIM(INDEX(PASTE_ALL,33,10)),1)="-"),999),1)="%")),"0",""),"1",""),"2",""),"3",""),"4",""),"5",""),"6",""),"7",""),"8",""),"9",""),".",""),",","")=""),2,1))),1)</f>
        <v/>
      </c>
      <c r="AI82">
        <f>IFERROR(IF(ISNUMBER(INDEX(PASTE_ALL,33,11)),2,IF(TRIM(INDEX(PASTE_ALL,33,11))="",0,IF(AND(LEFT(MID(TRIM(INDEX(PASTE_ALL,33,11)),1+(LEFT(TRIM(INDEX(PASTE_ALL,33,11)),1)="-"),999),LEN(MID(TRIM(INDEX(PASTE_ALL,33,11)),1+(LEFT(TRIM(INDEX(PASTE_ALL,33,11)),1)="-"),999))-(RIGHT(MID(TRIM(INDEX(PASTE_ALL,33,11)),1+(LEFT(TRIM(INDEX(PASTE_ALL,33,11)),1)="-"),999),1)="%"))&lt;&gt;"",SUBSTITUTE(SUBSTITUTE(SUBSTITUTE(SUBSTITUTE(SUBSTITUTE(SUBSTITUTE(SUBSTITUTE(SUBSTITUTE(SUBSTITUTE(SUBSTITUTE(SUBSTITUTE(SUBSTITUTE(LEFT(MID(TRIM(INDEX(PASTE_ALL,33,11)),1+(LEFT(TRIM(INDEX(PASTE_ALL,33,11)),1)="-"),999),LEN(MID(TRIM(INDEX(PASTE_ALL,33,11)),1+(LEFT(TRIM(INDEX(PASTE_ALL,33,11)),1)="-"),999))-(RIGHT(MID(TRIM(INDEX(PASTE_ALL,33,11)),1+(LEFT(TRIM(INDEX(PASTE_ALL,33,11)),1)="-"),999),1)="%")),"0",""),"1",""),"2",""),"3",""),"4",""),"5",""),"6",""),"7",""),"8",""),"9",""),".",""),",","")=""),2,1))),1)</f>
        <v/>
      </c>
      <c r="AJ82">
        <f>IFERROR(IF(ISNUMBER(INDEX(PASTE_ALL,33,12)),2,IF(TRIM(INDEX(PASTE_ALL,33,12))="",0,IF(AND(LEFT(MID(TRIM(INDEX(PASTE_ALL,33,12)),1+(LEFT(TRIM(INDEX(PASTE_ALL,33,12)),1)="-"),999),LEN(MID(TRIM(INDEX(PASTE_ALL,33,12)),1+(LEFT(TRIM(INDEX(PASTE_ALL,33,12)),1)="-"),999))-(RIGHT(MID(TRIM(INDEX(PASTE_ALL,33,12)),1+(LEFT(TRIM(INDEX(PASTE_ALL,33,12)),1)="-"),999),1)="%"))&lt;&gt;"",SUBSTITUTE(SUBSTITUTE(SUBSTITUTE(SUBSTITUTE(SUBSTITUTE(SUBSTITUTE(SUBSTITUTE(SUBSTITUTE(SUBSTITUTE(SUBSTITUTE(SUBSTITUTE(SUBSTITUTE(LEFT(MID(TRIM(INDEX(PASTE_ALL,33,12)),1+(LEFT(TRIM(INDEX(PASTE_ALL,33,12)),1)="-"),999),LEN(MID(TRIM(INDEX(PASTE_ALL,33,12)),1+(LEFT(TRIM(INDEX(PASTE_ALL,33,12)),1)="-"),999))-(RIGHT(MID(TRIM(INDEX(PASTE_ALL,33,12)),1+(LEFT(TRIM(INDEX(PASTE_ALL,33,12)),1)="-"),999),1)="%")),"0",""),"1",""),"2",""),"3",""),"4",""),"5",""),"6",""),"7",""),"8",""),"9",""),".",""),",","")=""),2,1))),1)</f>
        <v/>
      </c>
      <c r="AK82">
        <f>IFERROR(IF(ISNUMBER(INDEX(PASTE_ALL,33,13)),2,IF(TRIM(INDEX(PASTE_ALL,33,13))="",0,IF(AND(LEFT(MID(TRIM(INDEX(PASTE_ALL,33,13)),1+(LEFT(TRIM(INDEX(PASTE_ALL,33,13)),1)="-"),999),LEN(MID(TRIM(INDEX(PASTE_ALL,33,13)),1+(LEFT(TRIM(INDEX(PASTE_ALL,33,13)),1)="-"),999))-(RIGHT(MID(TRIM(INDEX(PASTE_ALL,33,13)),1+(LEFT(TRIM(INDEX(PASTE_ALL,33,13)),1)="-"),999),1)="%"))&lt;&gt;"",SUBSTITUTE(SUBSTITUTE(SUBSTITUTE(SUBSTITUTE(SUBSTITUTE(SUBSTITUTE(SUBSTITUTE(SUBSTITUTE(SUBSTITUTE(SUBSTITUTE(SUBSTITUTE(SUBSTITUTE(LEFT(MID(TRIM(INDEX(PASTE_ALL,33,13)),1+(LEFT(TRIM(INDEX(PASTE_ALL,33,13)),1)="-"),999),LEN(MID(TRIM(INDEX(PASTE_ALL,33,13)),1+(LEFT(TRIM(INDEX(PASTE_ALL,33,13)),1)="-"),999))-(RIGHT(MID(TRIM(INDEX(PASTE_ALL,33,13)),1+(LEFT(TRIM(INDEX(PASTE_ALL,33,13)),1)="-"),999),1)="%")),"0",""),"1",""),"2",""),"3",""),"4",""),"5",""),"6",""),"7",""),"8",""),"9",""),".",""),",","")=""),2,1))),1)</f>
        <v/>
      </c>
      <c r="AL82">
        <f>IFERROR(IF(ISNUMBER(INDEX(PASTE_ALL,33,14)),2,IF(TRIM(INDEX(PASTE_ALL,33,14))="",0,IF(AND(LEFT(MID(TRIM(INDEX(PASTE_ALL,33,14)),1+(LEFT(TRIM(INDEX(PASTE_ALL,33,14)),1)="-"),999),LEN(MID(TRIM(INDEX(PASTE_ALL,33,14)),1+(LEFT(TRIM(INDEX(PASTE_ALL,33,14)),1)="-"),999))-(RIGHT(MID(TRIM(INDEX(PASTE_ALL,33,14)),1+(LEFT(TRIM(INDEX(PASTE_ALL,33,14)),1)="-"),999),1)="%"))&lt;&gt;"",SUBSTITUTE(SUBSTITUTE(SUBSTITUTE(SUBSTITUTE(SUBSTITUTE(SUBSTITUTE(SUBSTITUTE(SUBSTITUTE(SUBSTITUTE(SUBSTITUTE(SUBSTITUTE(SUBSTITUTE(LEFT(MID(TRIM(INDEX(PASTE_ALL,33,14)),1+(LEFT(TRIM(INDEX(PASTE_ALL,33,14)),1)="-"),999),LEN(MID(TRIM(INDEX(PASTE_ALL,33,14)),1+(LEFT(TRIM(INDEX(PASTE_ALL,33,14)),1)="-"),999))-(RIGHT(MID(TRIM(INDEX(PASTE_ALL,33,14)),1+(LEFT(TRIM(INDEX(PASTE_ALL,33,14)),1)="-"),999),1)="%")),"0",""),"1",""),"2",""),"3",""),"4",""),"5",""),"6",""),"7",""),"8",""),"9",""),".",""),",","")=""),2,1))),1)</f>
        <v/>
      </c>
      <c r="AM82">
        <f>IFERROR(IF(ISNUMBER(INDEX(PASTE_ALL,33,15)),2,IF(TRIM(INDEX(PASTE_ALL,33,15))="",0,IF(AND(LEFT(MID(TRIM(INDEX(PASTE_ALL,33,15)),1+(LEFT(TRIM(INDEX(PASTE_ALL,33,15)),1)="-"),999),LEN(MID(TRIM(INDEX(PASTE_ALL,33,15)),1+(LEFT(TRIM(INDEX(PASTE_ALL,33,15)),1)="-"),999))-(RIGHT(MID(TRIM(INDEX(PASTE_ALL,33,15)),1+(LEFT(TRIM(INDEX(PASTE_ALL,33,15)),1)="-"),999),1)="%"))&lt;&gt;"",SUBSTITUTE(SUBSTITUTE(SUBSTITUTE(SUBSTITUTE(SUBSTITUTE(SUBSTITUTE(SUBSTITUTE(SUBSTITUTE(SUBSTITUTE(SUBSTITUTE(SUBSTITUTE(SUBSTITUTE(LEFT(MID(TRIM(INDEX(PASTE_ALL,33,15)),1+(LEFT(TRIM(INDEX(PASTE_ALL,33,15)),1)="-"),999),LEN(MID(TRIM(INDEX(PASTE_ALL,33,15)),1+(LEFT(TRIM(INDEX(PASTE_ALL,33,15)),1)="-"),999))-(RIGHT(MID(TRIM(INDEX(PASTE_ALL,33,15)),1+(LEFT(TRIM(INDEX(PASTE_ALL,33,15)),1)="-"),999),1)="%")),"0",""),"1",""),"2",""),"3",""),"4",""),"5",""),"6",""),"7",""),"8",""),"9",""),".",""),",","")=""),2,1))),1)</f>
        <v/>
      </c>
      <c r="AN82">
        <f>IFERROR(IF(ISNUMBER(INDEX(PASTE_ALL,33,16)),2,IF(TRIM(INDEX(PASTE_ALL,33,16))="",0,IF(AND(LEFT(MID(TRIM(INDEX(PASTE_ALL,33,16)),1+(LEFT(TRIM(INDEX(PASTE_ALL,33,16)),1)="-"),999),LEN(MID(TRIM(INDEX(PASTE_ALL,33,16)),1+(LEFT(TRIM(INDEX(PASTE_ALL,33,16)),1)="-"),999))-(RIGHT(MID(TRIM(INDEX(PASTE_ALL,33,16)),1+(LEFT(TRIM(INDEX(PASTE_ALL,33,16)),1)="-"),999),1)="%"))&lt;&gt;"",SUBSTITUTE(SUBSTITUTE(SUBSTITUTE(SUBSTITUTE(SUBSTITUTE(SUBSTITUTE(SUBSTITUTE(SUBSTITUTE(SUBSTITUTE(SUBSTITUTE(SUBSTITUTE(SUBSTITUTE(LEFT(MID(TRIM(INDEX(PASTE_ALL,33,16)),1+(LEFT(TRIM(INDEX(PASTE_ALL,33,16)),1)="-"),999),LEN(MID(TRIM(INDEX(PASTE_ALL,33,16)),1+(LEFT(TRIM(INDEX(PASTE_ALL,33,16)),1)="-"),999))-(RIGHT(MID(TRIM(INDEX(PASTE_ALL,33,16)),1+(LEFT(TRIM(INDEX(PASTE_ALL,33,16)),1)="-"),999),1)="%")),"0",""),"1",""),"2",""),"3",""),"4",""),"5",""),"6",""),"7",""),"8",""),"9",""),".",""),",","")=""),2,1))),1)</f>
        <v/>
      </c>
      <c r="AO82">
        <f>IFERROR(IF(ISNUMBER(INDEX(PASTE_ALL,33,17)),2,IF(TRIM(INDEX(PASTE_ALL,33,17))="",0,IF(AND(LEFT(MID(TRIM(INDEX(PASTE_ALL,33,17)),1+(LEFT(TRIM(INDEX(PASTE_ALL,33,17)),1)="-"),999),LEN(MID(TRIM(INDEX(PASTE_ALL,33,17)),1+(LEFT(TRIM(INDEX(PASTE_ALL,33,17)),1)="-"),999))-(RIGHT(MID(TRIM(INDEX(PASTE_ALL,33,17)),1+(LEFT(TRIM(INDEX(PASTE_ALL,33,17)),1)="-"),999),1)="%"))&lt;&gt;"",SUBSTITUTE(SUBSTITUTE(SUBSTITUTE(SUBSTITUTE(SUBSTITUTE(SUBSTITUTE(SUBSTITUTE(SUBSTITUTE(SUBSTITUTE(SUBSTITUTE(SUBSTITUTE(SUBSTITUTE(LEFT(MID(TRIM(INDEX(PASTE_ALL,33,17)),1+(LEFT(TRIM(INDEX(PASTE_ALL,33,17)),1)="-"),999),LEN(MID(TRIM(INDEX(PASTE_ALL,33,17)),1+(LEFT(TRIM(INDEX(PASTE_ALL,33,17)),1)="-"),999))-(RIGHT(MID(TRIM(INDEX(PASTE_ALL,33,17)),1+(LEFT(TRIM(INDEX(PASTE_ALL,33,17)),1)="-"),999),1)="%")),"0",""),"1",""),"2",""),"3",""),"4",""),"5",""),"6",""),"7",""),"8",""),"9",""),".",""),",","")=""),2,1))),1)</f>
        <v/>
      </c>
      <c r="AP82">
        <f>IFERROR(IF(ISNUMBER(INDEX(PASTE_ALL,33,18)),2,IF(TRIM(INDEX(PASTE_ALL,33,18))="",0,IF(AND(LEFT(MID(TRIM(INDEX(PASTE_ALL,33,18)),1+(LEFT(TRIM(INDEX(PASTE_ALL,33,18)),1)="-"),999),LEN(MID(TRIM(INDEX(PASTE_ALL,33,18)),1+(LEFT(TRIM(INDEX(PASTE_ALL,33,18)),1)="-"),999))-(RIGHT(MID(TRIM(INDEX(PASTE_ALL,33,18)),1+(LEFT(TRIM(INDEX(PASTE_ALL,33,18)),1)="-"),999),1)="%"))&lt;&gt;"",SUBSTITUTE(SUBSTITUTE(SUBSTITUTE(SUBSTITUTE(SUBSTITUTE(SUBSTITUTE(SUBSTITUTE(SUBSTITUTE(SUBSTITUTE(SUBSTITUTE(SUBSTITUTE(SUBSTITUTE(LEFT(MID(TRIM(INDEX(PASTE_ALL,33,18)),1+(LEFT(TRIM(INDEX(PASTE_ALL,33,18)),1)="-"),999),LEN(MID(TRIM(INDEX(PASTE_ALL,33,18)),1+(LEFT(TRIM(INDEX(PASTE_ALL,33,18)),1)="-"),999))-(RIGHT(MID(TRIM(INDEX(PASTE_ALL,33,18)),1+(LEFT(TRIM(INDEX(PASTE_ALL,33,18)),1)="-"),999),1)="%")),"0",""),"1",""),"2",""),"3",""),"4",""),"5",""),"6",""),"7",""),"8",""),"9",""),".",""),",","")=""),2,1))),1)</f>
        <v/>
      </c>
      <c r="AQ82">
        <f>IFERROR(IF(ISNUMBER(INDEX(PASTE_ALL,33,19)),2,IF(TRIM(INDEX(PASTE_ALL,33,19))="",0,IF(AND(LEFT(MID(TRIM(INDEX(PASTE_ALL,33,19)),1+(LEFT(TRIM(INDEX(PASTE_ALL,33,19)),1)="-"),999),LEN(MID(TRIM(INDEX(PASTE_ALL,33,19)),1+(LEFT(TRIM(INDEX(PASTE_ALL,33,19)),1)="-"),999))-(RIGHT(MID(TRIM(INDEX(PASTE_ALL,33,19)),1+(LEFT(TRIM(INDEX(PASTE_ALL,33,19)),1)="-"),999),1)="%"))&lt;&gt;"",SUBSTITUTE(SUBSTITUTE(SUBSTITUTE(SUBSTITUTE(SUBSTITUTE(SUBSTITUTE(SUBSTITUTE(SUBSTITUTE(SUBSTITUTE(SUBSTITUTE(SUBSTITUTE(SUBSTITUTE(LEFT(MID(TRIM(INDEX(PASTE_ALL,33,19)),1+(LEFT(TRIM(INDEX(PASTE_ALL,33,19)),1)="-"),999),LEN(MID(TRIM(INDEX(PASTE_ALL,33,19)),1+(LEFT(TRIM(INDEX(PASTE_ALL,33,19)),1)="-"),999))-(RIGHT(MID(TRIM(INDEX(PASTE_ALL,33,19)),1+(LEFT(TRIM(INDEX(PASTE_ALL,33,19)),1)="-"),999),1)="%")),"0",""),"1",""),"2",""),"3",""),"4",""),"5",""),"6",""),"7",""),"8",""),"9",""),".",""),",","")=""),2,1))),1)</f>
        <v/>
      </c>
      <c r="AR82">
        <f>IFERROR(IF(ISNUMBER(INDEX(PASTE_ALL,33,20)),2,IF(TRIM(INDEX(PASTE_ALL,33,20))="",0,IF(AND(LEFT(MID(TRIM(INDEX(PASTE_ALL,33,20)),1+(LEFT(TRIM(INDEX(PASTE_ALL,33,20)),1)="-"),999),LEN(MID(TRIM(INDEX(PASTE_ALL,33,20)),1+(LEFT(TRIM(INDEX(PASTE_ALL,33,20)),1)="-"),999))-(RIGHT(MID(TRIM(INDEX(PASTE_ALL,33,20)),1+(LEFT(TRIM(INDEX(PASTE_ALL,33,20)),1)="-"),999),1)="%"))&lt;&gt;"",SUBSTITUTE(SUBSTITUTE(SUBSTITUTE(SUBSTITUTE(SUBSTITUTE(SUBSTITUTE(SUBSTITUTE(SUBSTITUTE(SUBSTITUTE(SUBSTITUTE(SUBSTITUTE(SUBSTITUTE(LEFT(MID(TRIM(INDEX(PASTE_ALL,33,20)),1+(LEFT(TRIM(INDEX(PASTE_ALL,33,20)),1)="-"),999),LEN(MID(TRIM(INDEX(PASTE_ALL,33,20)),1+(LEFT(TRIM(INDEX(PASTE_ALL,33,20)),1)="-"),999))-(RIGHT(MID(TRIM(INDEX(PASTE_ALL,33,20)),1+(LEFT(TRIM(INDEX(PASTE_ALL,33,20)),1)="-"),999),1)="%")),"0",""),"1",""),"2",""),"3",""),"4",""),"5",""),"6",""),"7",""),"8",""),"9",""),".",""),",","")=""),2,1))),1)</f>
        <v/>
      </c>
      <c r="AS82">
        <f>IFERROR(IF(ISNUMBER(INDEX(PASTE_ALL,33,21)),2,IF(TRIM(INDEX(PASTE_ALL,33,21))="",0,IF(AND(LEFT(MID(TRIM(INDEX(PASTE_ALL,33,21)),1+(LEFT(TRIM(INDEX(PASTE_ALL,33,21)),1)="-"),999),LEN(MID(TRIM(INDEX(PASTE_ALL,33,21)),1+(LEFT(TRIM(INDEX(PASTE_ALL,33,21)),1)="-"),999))-(RIGHT(MID(TRIM(INDEX(PASTE_ALL,33,21)),1+(LEFT(TRIM(INDEX(PASTE_ALL,33,21)),1)="-"),999),1)="%"))&lt;&gt;"",SUBSTITUTE(SUBSTITUTE(SUBSTITUTE(SUBSTITUTE(SUBSTITUTE(SUBSTITUTE(SUBSTITUTE(SUBSTITUTE(SUBSTITUTE(SUBSTITUTE(SUBSTITUTE(SUBSTITUTE(LEFT(MID(TRIM(INDEX(PASTE_ALL,33,21)),1+(LEFT(TRIM(INDEX(PASTE_ALL,33,21)),1)="-"),999),LEN(MID(TRIM(INDEX(PASTE_ALL,33,21)),1+(LEFT(TRIM(INDEX(PASTE_ALL,33,21)),1)="-"),999))-(RIGHT(MID(TRIM(INDEX(PASTE_ALL,33,21)),1+(LEFT(TRIM(INDEX(PASTE_ALL,33,21)),1)="-"),999),1)="%")),"0",""),"1",""),"2",""),"3",""),"4",""),"5",""),"6",""),"7",""),"8",""),"9",""),".",""),",","")=""),2,1))),1)</f>
        <v/>
      </c>
      <c r="AT82">
        <f>IFERROR(IF(ISNUMBER(INDEX(PASTE_ALL,33,22)),2,IF(TRIM(INDEX(PASTE_ALL,33,22))="",0,IF(AND(LEFT(MID(TRIM(INDEX(PASTE_ALL,33,22)),1+(LEFT(TRIM(INDEX(PASTE_ALL,33,22)),1)="-"),999),LEN(MID(TRIM(INDEX(PASTE_ALL,33,22)),1+(LEFT(TRIM(INDEX(PASTE_ALL,33,22)),1)="-"),999))-(RIGHT(MID(TRIM(INDEX(PASTE_ALL,33,22)),1+(LEFT(TRIM(INDEX(PASTE_ALL,33,22)),1)="-"),999),1)="%"))&lt;&gt;"",SUBSTITUTE(SUBSTITUTE(SUBSTITUTE(SUBSTITUTE(SUBSTITUTE(SUBSTITUTE(SUBSTITUTE(SUBSTITUTE(SUBSTITUTE(SUBSTITUTE(SUBSTITUTE(SUBSTITUTE(LEFT(MID(TRIM(INDEX(PASTE_ALL,33,22)),1+(LEFT(TRIM(INDEX(PASTE_ALL,33,22)),1)="-"),999),LEN(MID(TRIM(INDEX(PASTE_ALL,33,22)),1+(LEFT(TRIM(INDEX(PASTE_ALL,33,22)),1)="-"),999))-(RIGHT(MID(TRIM(INDEX(PASTE_ALL,33,22)),1+(LEFT(TRIM(INDEX(PASTE_ALL,33,22)),1)="-"),999),1)="%")),"0",""),"1",""),"2",""),"3",""),"4",""),"5",""),"6",""),"7",""),"8",""),"9",""),".",""),",","")=""),2,1))),1)</f>
        <v/>
      </c>
      <c r="AU82">
        <f>IFERROR(IF(ISNUMBER(INDEX(PASTE_ALL,33,23)),2,IF(TRIM(INDEX(PASTE_ALL,33,23))="",0,IF(AND(LEFT(MID(TRIM(INDEX(PASTE_ALL,33,23)),1+(LEFT(TRIM(INDEX(PASTE_ALL,33,23)),1)="-"),999),LEN(MID(TRIM(INDEX(PASTE_ALL,33,23)),1+(LEFT(TRIM(INDEX(PASTE_ALL,33,23)),1)="-"),999))-(RIGHT(MID(TRIM(INDEX(PASTE_ALL,33,23)),1+(LEFT(TRIM(INDEX(PASTE_ALL,33,23)),1)="-"),999),1)="%"))&lt;&gt;"",SUBSTITUTE(SUBSTITUTE(SUBSTITUTE(SUBSTITUTE(SUBSTITUTE(SUBSTITUTE(SUBSTITUTE(SUBSTITUTE(SUBSTITUTE(SUBSTITUTE(SUBSTITUTE(SUBSTITUTE(LEFT(MID(TRIM(INDEX(PASTE_ALL,33,23)),1+(LEFT(TRIM(INDEX(PASTE_ALL,33,23)),1)="-"),999),LEN(MID(TRIM(INDEX(PASTE_ALL,33,23)),1+(LEFT(TRIM(INDEX(PASTE_ALL,33,23)),1)="-"),999))-(RIGHT(MID(TRIM(INDEX(PASTE_ALL,33,23)),1+(LEFT(TRIM(INDEX(PASTE_ALL,33,23)),1)="-"),999),1)="%")),"0",""),"1",""),"2",""),"3",""),"4",""),"5",""),"6",""),"7",""),"8",""),"9",""),".",""),",","")=""),2,1))),1)</f>
        <v/>
      </c>
      <c r="AV82">
        <f>IFERROR(IF(ISNUMBER(INDEX(PASTE_ALL,33,24)),2,IF(TRIM(INDEX(PASTE_ALL,33,24))="",0,IF(AND(LEFT(MID(TRIM(INDEX(PASTE_ALL,33,24)),1+(LEFT(TRIM(INDEX(PASTE_ALL,33,24)),1)="-"),999),LEN(MID(TRIM(INDEX(PASTE_ALL,33,24)),1+(LEFT(TRIM(INDEX(PASTE_ALL,33,24)),1)="-"),999))-(RIGHT(MID(TRIM(INDEX(PASTE_ALL,33,24)),1+(LEFT(TRIM(INDEX(PASTE_ALL,33,24)),1)="-"),999),1)="%"))&lt;&gt;"",SUBSTITUTE(SUBSTITUTE(SUBSTITUTE(SUBSTITUTE(SUBSTITUTE(SUBSTITUTE(SUBSTITUTE(SUBSTITUTE(SUBSTITUTE(SUBSTITUTE(SUBSTITUTE(SUBSTITUTE(LEFT(MID(TRIM(INDEX(PASTE_ALL,33,24)),1+(LEFT(TRIM(INDEX(PASTE_ALL,33,24)),1)="-"),999),LEN(MID(TRIM(INDEX(PASTE_ALL,33,24)),1+(LEFT(TRIM(INDEX(PASTE_ALL,33,24)),1)="-"),999))-(RIGHT(MID(TRIM(INDEX(PASTE_ALL,33,24)),1+(LEFT(TRIM(INDEX(PASTE_ALL,33,24)),1)="-"),999),1)="%")),"0",""),"1",""),"2",""),"3",""),"4",""),"5",""),"6",""),"7",""),"8",""),"9",""),".",""),",","")=""),2,1))),1)</f>
        <v/>
      </c>
      <c r="AW82">
        <f>IFERROR(IF(ISNUMBER(INDEX(PASTE_ALL,33,25)),2,IF(TRIM(INDEX(PASTE_ALL,33,25))="",0,IF(AND(LEFT(MID(TRIM(INDEX(PASTE_ALL,33,25)),1+(LEFT(TRIM(INDEX(PASTE_ALL,33,25)),1)="-"),999),LEN(MID(TRIM(INDEX(PASTE_ALL,33,25)),1+(LEFT(TRIM(INDEX(PASTE_ALL,33,25)),1)="-"),999))-(RIGHT(MID(TRIM(INDEX(PASTE_ALL,33,25)),1+(LEFT(TRIM(INDEX(PASTE_ALL,33,25)),1)="-"),999),1)="%"))&lt;&gt;"",SUBSTITUTE(SUBSTITUTE(SUBSTITUTE(SUBSTITUTE(SUBSTITUTE(SUBSTITUTE(SUBSTITUTE(SUBSTITUTE(SUBSTITUTE(SUBSTITUTE(SUBSTITUTE(SUBSTITUTE(LEFT(MID(TRIM(INDEX(PASTE_ALL,33,25)),1+(LEFT(TRIM(INDEX(PASTE_ALL,33,25)),1)="-"),999),LEN(MID(TRIM(INDEX(PASTE_ALL,33,25)),1+(LEFT(TRIM(INDEX(PASTE_ALL,33,25)),1)="-"),999))-(RIGHT(MID(TRIM(INDEX(PASTE_ALL,33,25)),1+(LEFT(TRIM(INDEX(PASTE_ALL,33,25)),1)="-"),999),1)="%")),"0",""),"1",""),"2",""),"3",""),"4",""),"5",""),"6",""),"7",""),"8",""),"9",""),".",""),",","")=""),2,1))),1)</f>
        <v/>
      </c>
      <c r="AX82">
        <f>IFERROR(IF(ISNUMBER(INDEX(PASTE_ALL,33,26)),2,IF(TRIM(INDEX(PASTE_ALL,33,26))="",0,IF(AND(LEFT(MID(TRIM(INDEX(PASTE_ALL,33,26)),1+(LEFT(TRIM(INDEX(PASTE_ALL,33,26)),1)="-"),999),LEN(MID(TRIM(INDEX(PASTE_ALL,33,26)),1+(LEFT(TRIM(INDEX(PASTE_ALL,33,26)),1)="-"),999))-(RIGHT(MID(TRIM(INDEX(PASTE_ALL,33,26)),1+(LEFT(TRIM(INDEX(PASTE_ALL,33,26)),1)="-"),999),1)="%"))&lt;&gt;"",SUBSTITUTE(SUBSTITUTE(SUBSTITUTE(SUBSTITUTE(SUBSTITUTE(SUBSTITUTE(SUBSTITUTE(SUBSTITUTE(SUBSTITUTE(SUBSTITUTE(SUBSTITUTE(SUBSTITUTE(LEFT(MID(TRIM(INDEX(PASTE_ALL,33,26)),1+(LEFT(TRIM(INDEX(PASTE_ALL,33,26)),1)="-"),999),LEN(MID(TRIM(INDEX(PASTE_ALL,33,26)),1+(LEFT(TRIM(INDEX(PASTE_ALL,33,26)),1)="-"),999))-(RIGHT(MID(TRIM(INDEX(PASTE_ALL,33,26)),1+(LEFT(TRIM(INDEX(PASTE_ALL,33,26)),1)="-"),999),1)="%")),"0",""),"1",""),"2",""),"3",""),"4",""),"5",""),"6",""),"7",""),"8",""),"9",""),".",""),",","")=""),2,1))),1)</f>
        <v/>
      </c>
      <c r="AY82">
        <f>IFERROR(IF(ISNUMBER(INDEX(PASTE_ALL,33,27)),2,IF(TRIM(INDEX(PASTE_ALL,33,27))="",0,IF(AND(LEFT(MID(TRIM(INDEX(PASTE_ALL,33,27)),1+(LEFT(TRIM(INDEX(PASTE_ALL,33,27)),1)="-"),999),LEN(MID(TRIM(INDEX(PASTE_ALL,33,27)),1+(LEFT(TRIM(INDEX(PASTE_ALL,33,27)),1)="-"),999))-(RIGHT(MID(TRIM(INDEX(PASTE_ALL,33,27)),1+(LEFT(TRIM(INDEX(PASTE_ALL,33,27)),1)="-"),999),1)="%"))&lt;&gt;"",SUBSTITUTE(SUBSTITUTE(SUBSTITUTE(SUBSTITUTE(SUBSTITUTE(SUBSTITUTE(SUBSTITUTE(SUBSTITUTE(SUBSTITUTE(SUBSTITUTE(SUBSTITUTE(SUBSTITUTE(LEFT(MID(TRIM(INDEX(PASTE_ALL,33,27)),1+(LEFT(TRIM(INDEX(PASTE_ALL,33,27)),1)="-"),999),LEN(MID(TRIM(INDEX(PASTE_ALL,33,27)),1+(LEFT(TRIM(INDEX(PASTE_ALL,33,27)),1)="-"),999))-(RIGHT(MID(TRIM(INDEX(PASTE_ALL,33,27)),1+(LEFT(TRIM(INDEX(PASTE_ALL,33,27)),1)="-"),999),1)="%")),"0",""),"1",""),"2",""),"3",""),"4",""),"5",""),"6",""),"7",""),"8",""),"9",""),".",""),",","")=""),2,1))),1)</f>
        <v/>
      </c>
      <c r="AZ82">
        <f>IFERROR(IF(ISNUMBER(INDEX(PASTE_ALL,33,28)),2,IF(TRIM(INDEX(PASTE_ALL,33,28))="",0,IF(AND(LEFT(MID(TRIM(INDEX(PASTE_ALL,33,28)),1+(LEFT(TRIM(INDEX(PASTE_ALL,33,28)),1)="-"),999),LEN(MID(TRIM(INDEX(PASTE_ALL,33,28)),1+(LEFT(TRIM(INDEX(PASTE_ALL,33,28)),1)="-"),999))-(RIGHT(MID(TRIM(INDEX(PASTE_ALL,33,28)),1+(LEFT(TRIM(INDEX(PASTE_ALL,33,28)),1)="-"),999),1)="%"))&lt;&gt;"",SUBSTITUTE(SUBSTITUTE(SUBSTITUTE(SUBSTITUTE(SUBSTITUTE(SUBSTITUTE(SUBSTITUTE(SUBSTITUTE(SUBSTITUTE(SUBSTITUTE(SUBSTITUTE(SUBSTITUTE(LEFT(MID(TRIM(INDEX(PASTE_ALL,33,28)),1+(LEFT(TRIM(INDEX(PASTE_ALL,33,28)),1)="-"),999),LEN(MID(TRIM(INDEX(PASTE_ALL,33,28)),1+(LEFT(TRIM(INDEX(PASTE_ALL,33,28)),1)="-"),999))-(RIGHT(MID(TRIM(INDEX(PASTE_ALL,33,28)),1+(LEFT(TRIM(INDEX(PASTE_ALL,33,28)),1)="-"),999),1)="%")),"0",""),"1",""),"2",""),"3",""),"4",""),"5",""),"6",""),"7",""),"8",""),"9",""),".",""),",","")=""),2,1))),1)</f>
        <v/>
      </c>
      <c r="BA82">
        <f>IFERROR(IF(ISNUMBER(INDEX(PASTE_ALL,33,29)),2,IF(TRIM(INDEX(PASTE_ALL,33,29))="",0,IF(AND(LEFT(MID(TRIM(INDEX(PASTE_ALL,33,29)),1+(LEFT(TRIM(INDEX(PASTE_ALL,33,29)),1)="-"),999),LEN(MID(TRIM(INDEX(PASTE_ALL,33,29)),1+(LEFT(TRIM(INDEX(PASTE_ALL,33,29)),1)="-"),999))-(RIGHT(MID(TRIM(INDEX(PASTE_ALL,33,29)),1+(LEFT(TRIM(INDEX(PASTE_ALL,33,29)),1)="-"),999),1)="%"))&lt;&gt;"",SUBSTITUTE(SUBSTITUTE(SUBSTITUTE(SUBSTITUTE(SUBSTITUTE(SUBSTITUTE(SUBSTITUTE(SUBSTITUTE(SUBSTITUTE(SUBSTITUTE(SUBSTITUTE(SUBSTITUTE(LEFT(MID(TRIM(INDEX(PASTE_ALL,33,29)),1+(LEFT(TRIM(INDEX(PASTE_ALL,33,29)),1)="-"),999),LEN(MID(TRIM(INDEX(PASTE_ALL,33,29)),1+(LEFT(TRIM(INDEX(PASTE_ALL,33,29)),1)="-"),999))-(RIGHT(MID(TRIM(INDEX(PASTE_ALL,33,29)),1+(LEFT(TRIM(INDEX(PASTE_ALL,33,29)),1)="-"),999),1)="%")),"0",""),"1",""),"2",""),"3",""),"4",""),"5",""),"6",""),"7",""),"8",""),"9",""),".",""),",","")=""),2,1))),1)</f>
        <v/>
      </c>
      <c r="BB82">
        <f>IFERROR(IF(ISNUMBER(INDEX(PASTE_ALL,33,30)),2,IF(TRIM(INDEX(PASTE_ALL,33,30))="",0,IF(AND(LEFT(MID(TRIM(INDEX(PASTE_ALL,33,30)),1+(LEFT(TRIM(INDEX(PASTE_ALL,33,30)),1)="-"),999),LEN(MID(TRIM(INDEX(PASTE_ALL,33,30)),1+(LEFT(TRIM(INDEX(PASTE_ALL,33,30)),1)="-"),999))-(RIGHT(MID(TRIM(INDEX(PASTE_ALL,33,30)),1+(LEFT(TRIM(INDEX(PASTE_ALL,33,30)),1)="-"),999),1)="%"))&lt;&gt;"",SUBSTITUTE(SUBSTITUTE(SUBSTITUTE(SUBSTITUTE(SUBSTITUTE(SUBSTITUTE(SUBSTITUTE(SUBSTITUTE(SUBSTITUTE(SUBSTITUTE(SUBSTITUTE(SUBSTITUTE(LEFT(MID(TRIM(INDEX(PASTE_ALL,33,30)),1+(LEFT(TRIM(INDEX(PASTE_ALL,33,30)),1)="-"),999),LEN(MID(TRIM(INDEX(PASTE_ALL,33,30)),1+(LEFT(TRIM(INDEX(PASTE_ALL,33,30)),1)="-"),999))-(RIGHT(MID(TRIM(INDEX(PASTE_ALL,33,30)),1+(LEFT(TRIM(INDEX(PASTE_ALL,33,30)),1)="-"),999),1)="%")),"0",""),"1",""),"2",""),"3",""),"4",""),"5",""),"6",""),"7",""),"8",""),"9",""),".",""),",","")=""),2,1))),1)</f>
        <v/>
      </c>
      <c r="BC82">
        <f>IFERROR(IF(ISNUMBER(INDEX(PASTE_ALL,33,31)),2,IF(TRIM(INDEX(PASTE_ALL,33,31))="",0,IF(AND(LEFT(MID(TRIM(INDEX(PASTE_ALL,33,31)),1+(LEFT(TRIM(INDEX(PASTE_ALL,33,31)),1)="-"),999),LEN(MID(TRIM(INDEX(PASTE_ALL,33,31)),1+(LEFT(TRIM(INDEX(PASTE_ALL,33,31)),1)="-"),999))-(RIGHT(MID(TRIM(INDEX(PASTE_ALL,33,31)),1+(LEFT(TRIM(INDEX(PASTE_ALL,33,31)),1)="-"),999),1)="%"))&lt;&gt;"",SUBSTITUTE(SUBSTITUTE(SUBSTITUTE(SUBSTITUTE(SUBSTITUTE(SUBSTITUTE(SUBSTITUTE(SUBSTITUTE(SUBSTITUTE(SUBSTITUTE(SUBSTITUTE(SUBSTITUTE(LEFT(MID(TRIM(INDEX(PASTE_ALL,33,31)),1+(LEFT(TRIM(INDEX(PASTE_ALL,33,31)),1)="-"),999),LEN(MID(TRIM(INDEX(PASTE_ALL,33,31)),1+(LEFT(TRIM(INDEX(PASTE_ALL,33,31)),1)="-"),999))-(RIGHT(MID(TRIM(INDEX(PASTE_ALL,33,31)),1+(LEFT(TRIM(INDEX(PASTE_ALL,33,31)),1)="-"),999),1)="%")),"0",""),"1",""),"2",""),"3",""),"4",""),"5",""),"6",""),"7",""),"8",""),"9",""),".",""),",","")=""),2,1))),1)</f>
        <v/>
      </c>
      <c r="BD82">
        <f>IFERROR(IF(ISNUMBER(INDEX(PASTE_ALL,33,32)),2,IF(TRIM(INDEX(PASTE_ALL,33,32))="",0,IF(AND(LEFT(MID(TRIM(INDEX(PASTE_ALL,33,32)),1+(LEFT(TRIM(INDEX(PASTE_ALL,33,32)),1)="-"),999),LEN(MID(TRIM(INDEX(PASTE_ALL,33,32)),1+(LEFT(TRIM(INDEX(PASTE_ALL,33,32)),1)="-"),999))-(RIGHT(MID(TRIM(INDEX(PASTE_ALL,33,32)),1+(LEFT(TRIM(INDEX(PASTE_ALL,33,32)),1)="-"),999),1)="%"))&lt;&gt;"",SUBSTITUTE(SUBSTITUTE(SUBSTITUTE(SUBSTITUTE(SUBSTITUTE(SUBSTITUTE(SUBSTITUTE(SUBSTITUTE(SUBSTITUTE(SUBSTITUTE(SUBSTITUTE(SUBSTITUTE(LEFT(MID(TRIM(INDEX(PASTE_ALL,33,32)),1+(LEFT(TRIM(INDEX(PASTE_ALL,33,32)),1)="-"),999),LEN(MID(TRIM(INDEX(PASTE_ALL,33,32)),1+(LEFT(TRIM(INDEX(PASTE_ALL,33,32)),1)="-"),999))-(RIGHT(MID(TRIM(INDEX(PASTE_ALL,33,32)),1+(LEFT(TRIM(INDEX(PASTE_ALL,33,32)),1)="-"),999),1)="%")),"0",""),"1",""),"2",""),"3",""),"4",""),"5",""),"6",""),"7",""),"8",""),"9",""),".",""),",","")=""),2,1))),1)</f>
        <v/>
      </c>
      <c r="BE82">
        <f>IFERROR(IF(ISNUMBER(INDEX(PASTE_ALL,33,33)),2,IF(TRIM(INDEX(PASTE_ALL,33,33))="",0,IF(AND(LEFT(MID(TRIM(INDEX(PASTE_ALL,33,33)),1+(LEFT(TRIM(INDEX(PASTE_ALL,33,33)),1)="-"),999),LEN(MID(TRIM(INDEX(PASTE_ALL,33,33)),1+(LEFT(TRIM(INDEX(PASTE_ALL,33,33)),1)="-"),999))-(RIGHT(MID(TRIM(INDEX(PASTE_ALL,33,33)),1+(LEFT(TRIM(INDEX(PASTE_ALL,33,33)),1)="-"),999),1)="%"))&lt;&gt;"",SUBSTITUTE(SUBSTITUTE(SUBSTITUTE(SUBSTITUTE(SUBSTITUTE(SUBSTITUTE(SUBSTITUTE(SUBSTITUTE(SUBSTITUTE(SUBSTITUTE(SUBSTITUTE(SUBSTITUTE(LEFT(MID(TRIM(INDEX(PASTE_ALL,33,33)),1+(LEFT(TRIM(INDEX(PASTE_ALL,33,33)),1)="-"),999),LEN(MID(TRIM(INDEX(PASTE_ALL,33,33)),1+(LEFT(TRIM(INDEX(PASTE_ALL,33,33)),1)="-"),999))-(RIGHT(MID(TRIM(INDEX(PASTE_ALL,33,33)),1+(LEFT(TRIM(INDEX(PASTE_ALL,33,33)),1)="-"),999),1)="%")),"0",""),"1",""),"2",""),"3",""),"4",""),"5",""),"6",""),"7",""),"8",""),"9",""),".",""),",","")=""),2,1))),1)</f>
        <v/>
      </c>
      <c r="BF82">
        <f>IFERROR(IF(ISNUMBER(INDEX(PASTE_ALL,33,34)),2,IF(TRIM(INDEX(PASTE_ALL,33,34))="",0,IF(AND(LEFT(MID(TRIM(INDEX(PASTE_ALL,33,34)),1+(LEFT(TRIM(INDEX(PASTE_ALL,33,34)),1)="-"),999),LEN(MID(TRIM(INDEX(PASTE_ALL,33,34)),1+(LEFT(TRIM(INDEX(PASTE_ALL,33,34)),1)="-"),999))-(RIGHT(MID(TRIM(INDEX(PASTE_ALL,33,34)),1+(LEFT(TRIM(INDEX(PASTE_ALL,33,34)),1)="-"),999),1)="%"))&lt;&gt;"",SUBSTITUTE(SUBSTITUTE(SUBSTITUTE(SUBSTITUTE(SUBSTITUTE(SUBSTITUTE(SUBSTITUTE(SUBSTITUTE(SUBSTITUTE(SUBSTITUTE(SUBSTITUTE(SUBSTITUTE(LEFT(MID(TRIM(INDEX(PASTE_ALL,33,34)),1+(LEFT(TRIM(INDEX(PASTE_ALL,33,34)),1)="-"),999),LEN(MID(TRIM(INDEX(PASTE_ALL,33,34)),1+(LEFT(TRIM(INDEX(PASTE_ALL,33,34)),1)="-"),999))-(RIGHT(MID(TRIM(INDEX(PASTE_ALL,33,34)),1+(LEFT(TRIM(INDEX(PASTE_ALL,33,34)),1)="-"),999),1)="%")),"0",""),"1",""),"2",""),"3",""),"4",""),"5",""),"6",""),"7",""),"8",""),"9",""),".",""),",","")=""),2,1))),1)</f>
        <v/>
      </c>
      <c r="BG82">
        <f>IFERROR(IF(ISNUMBER(INDEX(PASTE_ALL,33,35)),2,IF(TRIM(INDEX(PASTE_ALL,33,35))="",0,IF(AND(LEFT(MID(TRIM(INDEX(PASTE_ALL,33,35)),1+(LEFT(TRIM(INDEX(PASTE_ALL,33,35)),1)="-"),999),LEN(MID(TRIM(INDEX(PASTE_ALL,33,35)),1+(LEFT(TRIM(INDEX(PASTE_ALL,33,35)),1)="-"),999))-(RIGHT(MID(TRIM(INDEX(PASTE_ALL,33,35)),1+(LEFT(TRIM(INDEX(PASTE_ALL,33,35)),1)="-"),999),1)="%"))&lt;&gt;"",SUBSTITUTE(SUBSTITUTE(SUBSTITUTE(SUBSTITUTE(SUBSTITUTE(SUBSTITUTE(SUBSTITUTE(SUBSTITUTE(SUBSTITUTE(SUBSTITUTE(SUBSTITUTE(SUBSTITUTE(LEFT(MID(TRIM(INDEX(PASTE_ALL,33,35)),1+(LEFT(TRIM(INDEX(PASTE_ALL,33,35)),1)="-"),999),LEN(MID(TRIM(INDEX(PASTE_ALL,33,35)),1+(LEFT(TRIM(INDEX(PASTE_ALL,33,35)),1)="-"),999))-(RIGHT(MID(TRIM(INDEX(PASTE_ALL,33,35)),1+(LEFT(TRIM(INDEX(PASTE_ALL,33,35)),1)="-"),999),1)="%")),"0",""),"1",""),"2",""),"3",""),"4",""),"5",""),"6",""),"7",""),"8",""),"9",""),".",""),",","")=""),2,1))),1)</f>
        <v/>
      </c>
      <c r="BH82">
        <f>IFERROR(IF(ISNUMBER(INDEX(PASTE_ALL,33,36)),2,IF(TRIM(INDEX(PASTE_ALL,33,36))="",0,IF(AND(LEFT(MID(TRIM(INDEX(PASTE_ALL,33,36)),1+(LEFT(TRIM(INDEX(PASTE_ALL,33,36)),1)="-"),999),LEN(MID(TRIM(INDEX(PASTE_ALL,33,36)),1+(LEFT(TRIM(INDEX(PASTE_ALL,33,36)),1)="-"),999))-(RIGHT(MID(TRIM(INDEX(PASTE_ALL,33,36)),1+(LEFT(TRIM(INDEX(PASTE_ALL,33,36)),1)="-"),999),1)="%"))&lt;&gt;"",SUBSTITUTE(SUBSTITUTE(SUBSTITUTE(SUBSTITUTE(SUBSTITUTE(SUBSTITUTE(SUBSTITUTE(SUBSTITUTE(SUBSTITUTE(SUBSTITUTE(SUBSTITUTE(SUBSTITUTE(LEFT(MID(TRIM(INDEX(PASTE_ALL,33,36)),1+(LEFT(TRIM(INDEX(PASTE_ALL,33,36)),1)="-"),999),LEN(MID(TRIM(INDEX(PASTE_ALL,33,36)),1+(LEFT(TRIM(INDEX(PASTE_ALL,33,36)),1)="-"),999))-(RIGHT(MID(TRIM(INDEX(PASTE_ALL,33,36)),1+(LEFT(TRIM(INDEX(PASTE_ALL,33,36)),1)="-"),999),1)="%")),"0",""),"1",""),"2",""),"3",""),"4",""),"5",""),"6",""),"7",""),"8",""),"9",""),".",""),",","")=""),2,1))),1)</f>
        <v/>
      </c>
      <c r="BI82">
        <f>IFERROR(IF(ISNUMBER(INDEX(PASTE_ALL,33,37)),2,IF(TRIM(INDEX(PASTE_ALL,33,37))="",0,IF(AND(LEFT(MID(TRIM(INDEX(PASTE_ALL,33,37)),1+(LEFT(TRIM(INDEX(PASTE_ALL,33,37)),1)="-"),999),LEN(MID(TRIM(INDEX(PASTE_ALL,33,37)),1+(LEFT(TRIM(INDEX(PASTE_ALL,33,37)),1)="-"),999))-(RIGHT(MID(TRIM(INDEX(PASTE_ALL,33,37)),1+(LEFT(TRIM(INDEX(PASTE_ALL,33,37)),1)="-"),999),1)="%"))&lt;&gt;"",SUBSTITUTE(SUBSTITUTE(SUBSTITUTE(SUBSTITUTE(SUBSTITUTE(SUBSTITUTE(SUBSTITUTE(SUBSTITUTE(SUBSTITUTE(SUBSTITUTE(SUBSTITUTE(SUBSTITUTE(LEFT(MID(TRIM(INDEX(PASTE_ALL,33,37)),1+(LEFT(TRIM(INDEX(PASTE_ALL,33,37)),1)="-"),999),LEN(MID(TRIM(INDEX(PASTE_ALL,33,37)),1+(LEFT(TRIM(INDEX(PASTE_ALL,33,37)),1)="-"),999))-(RIGHT(MID(TRIM(INDEX(PASTE_ALL,33,37)),1+(LEFT(TRIM(INDEX(PASTE_ALL,33,37)),1)="-"),999),1)="%")),"0",""),"1",""),"2",""),"3",""),"4",""),"5",""),"6",""),"7",""),"8",""),"9",""),".",""),",","")=""),2,1))),1)</f>
        <v/>
      </c>
      <c r="BJ82">
        <f>IFERROR(IF(ISNUMBER(INDEX(PASTE_ALL,33,38)),2,IF(TRIM(INDEX(PASTE_ALL,33,38))="",0,IF(AND(LEFT(MID(TRIM(INDEX(PASTE_ALL,33,38)),1+(LEFT(TRIM(INDEX(PASTE_ALL,33,38)),1)="-"),999),LEN(MID(TRIM(INDEX(PASTE_ALL,33,38)),1+(LEFT(TRIM(INDEX(PASTE_ALL,33,38)),1)="-"),999))-(RIGHT(MID(TRIM(INDEX(PASTE_ALL,33,38)),1+(LEFT(TRIM(INDEX(PASTE_ALL,33,38)),1)="-"),999),1)="%"))&lt;&gt;"",SUBSTITUTE(SUBSTITUTE(SUBSTITUTE(SUBSTITUTE(SUBSTITUTE(SUBSTITUTE(SUBSTITUTE(SUBSTITUTE(SUBSTITUTE(SUBSTITUTE(SUBSTITUTE(SUBSTITUTE(LEFT(MID(TRIM(INDEX(PASTE_ALL,33,38)),1+(LEFT(TRIM(INDEX(PASTE_ALL,33,38)),1)="-"),999),LEN(MID(TRIM(INDEX(PASTE_ALL,33,38)),1+(LEFT(TRIM(INDEX(PASTE_ALL,33,38)),1)="-"),999))-(RIGHT(MID(TRIM(INDEX(PASTE_ALL,33,38)),1+(LEFT(TRIM(INDEX(PASTE_ALL,33,38)),1)="-"),999),1)="%")),"0",""),"1",""),"2",""),"3",""),"4",""),"5",""),"6",""),"7",""),"8",""),"9",""),".",""),",","")=""),2,1))),1)</f>
        <v/>
      </c>
      <c r="BK82">
        <f>IFERROR(IF(ISNUMBER(INDEX(PASTE_ALL,33,39)),2,IF(TRIM(INDEX(PASTE_ALL,33,39))="",0,IF(AND(LEFT(MID(TRIM(INDEX(PASTE_ALL,33,39)),1+(LEFT(TRIM(INDEX(PASTE_ALL,33,39)),1)="-"),999),LEN(MID(TRIM(INDEX(PASTE_ALL,33,39)),1+(LEFT(TRIM(INDEX(PASTE_ALL,33,39)),1)="-"),999))-(RIGHT(MID(TRIM(INDEX(PASTE_ALL,33,39)),1+(LEFT(TRIM(INDEX(PASTE_ALL,33,39)),1)="-"),999),1)="%"))&lt;&gt;"",SUBSTITUTE(SUBSTITUTE(SUBSTITUTE(SUBSTITUTE(SUBSTITUTE(SUBSTITUTE(SUBSTITUTE(SUBSTITUTE(SUBSTITUTE(SUBSTITUTE(SUBSTITUTE(SUBSTITUTE(LEFT(MID(TRIM(INDEX(PASTE_ALL,33,39)),1+(LEFT(TRIM(INDEX(PASTE_ALL,33,39)),1)="-"),999),LEN(MID(TRIM(INDEX(PASTE_ALL,33,39)),1+(LEFT(TRIM(INDEX(PASTE_ALL,33,39)),1)="-"),999))-(RIGHT(MID(TRIM(INDEX(PASTE_ALL,33,39)),1+(LEFT(TRIM(INDEX(PASTE_ALL,33,39)),1)="-"),999),1)="%")),"0",""),"1",""),"2",""),"3",""),"4",""),"5",""),"6",""),"7",""),"8",""),"9",""),".",""),",","")=""),2,1))),1)</f>
        <v/>
      </c>
      <c r="BL82">
        <f>IFERROR(IF(ISNUMBER(INDEX(PASTE_ALL,33,40)),2,IF(TRIM(INDEX(PASTE_ALL,33,40))="",0,IF(AND(LEFT(MID(TRIM(INDEX(PASTE_ALL,33,40)),1+(LEFT(TRIM(INDEX(PASTE_ALL,33,40)),1)="-"),999),LEN(MID(TRIM(INDEX(PASTE_ALL,33,40)),1+(LEFT(TRIM(INDEX(PASTE_ALL,33,40)),1)="-"),999))-(RIGHT(MID(TRIM(INDEX(PASTE_ALL,33,40)),1+(LEFT(TRIM(INDEX(PASTE_ALL,33,40)),1)="-"),999),1)="%"))&lt;&gt;"",SUBSTITUTE(SUBSTITUTE(SUBSTITUTE(SUBSTITUTE(SUBSTITUTE(SUBSTITUTE(SUBSTITUTE(SUBSTITUTE(SUBSTITUTE(SUBSTITUTE(SUBSTITUTE(SUBSTITUTE(LEFT(MID(TRIM(INDEX(PASTE_ALL,33,40)),1+(LEFT(TRIM(INDEX(PASTE_ALL,33,40)),1)="-"),999),LEN(MID(TRIM(INDEX(PASTE_ALL,33,40)),1+(LEFT(TRIM(INDEX(PASTE_ALL,33,40)),1)="-"),999))-(RIGHT(MID(TRIM(INDEX(PASTE_ALL,33,40)),1+(LEFT(TRIM(INDEX(PASTE_ALL,33,40)),1)="-"),999),1)="%")),"0",""),"1",""),"2",""),"3",""),"4",""),"5",""),"6",""),"7",""),"8",""),"9",""),".",""),",","")=""),2,1))),1)</f>
        <v/>
      </c>
      <c r="BM82">
        <f>IFERROR(IF(ISNUMBER(INDEX(PASTE_ALL,33,41)),2,IF(TRIM(INDEX(PASTE_ALL,33,41))="",0,IF(AND(LEFT(MID(TRIM(INDEX(PASTE_ALL,33,41)),1+(LEFT(TRIM(INDEX(PASTE_ALL,33,41)),1)="-"),999),LEN(MID(TRIM(INDEX(PASTE_ALL,33,41)),1+(LEFT(TRIM(INDEX(PASTE_ALL,33,41)),1)="-"),999))-(RIGHT(MID(TRIM(INDEX(PASTE_ALL,33,41)),1+(LEFT(TRIM(INDEX(PASTE_ALL,33,41)),1)="-"),999),1)="%"))&lt;&gt;"",SUBSTITUTE(SUBSTITUTE(SUBSTITUTE(SUBSTITUTE(SUBSTITUTE(SUBSTITUTE(SUBSTITUTE(SUBSTITUTE(SUBSTITUTE(SUBSTITUTE(SUBSTITUTE(SUBSTITUTE(LEFT(MID(TRIM(INDEX(PASTE_ALL,33,41)),1+(LEFT(TRIM(INDEX(PASTE_ALL,33,41)),1)="-"),999),LEN(MID(TRIM(INDEX(PASTE_ALL,33,41)),1+(LEFT(TRIM(INDEX(PASTE_ALL,33,41)),1)="-"),999))-(RIGHT(MID(TRIM(INDEX(PASTE_ALL,33,41)),1+(LEFT(TRIM(INDEX(PASTE_ALL,33,41)),1)="-"),999),1)="%")),"0",""),"1",""),"2",""),"3",""),"4",""),"5",""),"6",""),"7",""),"8",""),"9",""),".",""),",","")=""),2,1))),1)</f>
        <v/>
      </c>
      <c r="BN82">
        <f>IFERROR(IF(ISNUMBER(INDEX(PASTE_ALL,33,42)),2,IF(TRIM(INDEX(PASTE_ALL,33,42))="",0,IF(AND(LEFT(MID(TRIM(INDEX(PASTE_ALL,33,42)),1+(LEFT(TRIM(INDEX(PASTE_ALL,33,42)),1)="-"),999),LEN(MID(TRIM(INDEX(PASTE_ALL,33,42)),1+(LEFT(TRIM(INDEX(PASTE_ALL,33,42)),1)="-"),999))-(RIGHT(MID(TRIM(INDEX(PASTE_ALL,33,42)),1+(LEFT(TRIM(INDEX(PASTE_ALL,33,42)),1)="-"),999),1)="%"))&lt;&gt;"",SUBSTITUTE(SUBSTITUTE(SUBSTITUTE(SUBSTITUTE(SUBSTITUTE(SUBSTITUTE(SUBSTITUTE(SUBSTITUTE(SUBSTITUTE(SUBSTITUTE(SUBSTITUTE(SUBSTITUTE(LEFT(MID(TRIM(INDEX(PASTE_ALL,33,42)),1+(LEFT(TRIM(INDEX(PASTE_ALL,33,42)),1)="-"),999),LEN(MID(TRIM(INDEX(PASTE_ALL,33,42)),1+(LEFT(TRIM(INDEX(PASTE_ALL,33,42)),1)="-"),999))-(RIGHT(MID(TRIM(INDEX(PASTE_ALL,33,42)),1+(LEFT(TRIM(INDEX(PASTE_ALL,33,42)),1)="-"),999),1)="%")),"0",""),"1",""),"2",""),"3",""),"4",""),"5",""),"6",""),"7",""),"8",""),"9",""),".",""),",","")=""),2,1))),1)</f>
        <v/>
      </c>
      <c r="BO82">
        <f>IFERROR(IF(ISNUMBER(INDEX(PASTE_ALL,33,43)),2,IF(TRIM(INDEX(PASTE_ALL,33,43))="",0,IF(AND(LEFT(MID(TRIM(INDEX(PASTE_ALL,33,43)),1+(LEFT(TRIM(INDEX(PASTE_ALL,33,43)),1)="-"),999),LEN(MID(TRIM(INDEX(PASTE_ALL,33,43)),1+(LEFT(TRIM(INDEX(PASTE_ALL,33,43)),1)="-"),999))-(RIGHT(MID(TRIM(INDEX(PASTE_ALL,33,43)),1+(LEFT(TRIM(INDEX(PASTE_ALL,33,43)),1)="-"),999),1)="%"))&lt;&gt;"",SUBSTITUTE(SUBSTITUTE(SUBSTITUTE(SUBSTITUTE(SUBSTITUTE(SUBSTITUTE(SUBSTITUTE(SUBSTITUTE(SUBSTITUTE(SUBSTITUTE(SUBSTITUTE(SUBSTITUTE(LEFT(MID(TRIM(INDEX(PASTE_ALL,33,43)),1+(LEFT(TRIM(INDEX(PASTE_ALL,33,43)),1)="-"),999),LEN(MID(TRIM(INDEX(PASTE_ALL,33,43)),1+(LEFT(TRIM(INDEX(PASTE_ALL,33,43)),1)="-"),999))-(RIGHT(MID(TRIM(INDEX(PASTE_ALL,33,43)),1+(LEFT(TRIM(INDEX(PASTE_ALL,33,43)),1)="-"),999),1)="%")),"0",""),"1",""),"2",""),"3",""),"4",""),"5",""),"6",""),"7",""),"8",""),"9",""),".",""),",","")=""),2,1))),1)</f>
        <v/>
      </c>
      <c r="BP82">
        <f>IFERROR(IF(ISNUMBER(INDEX(PASTE_ALL,33,44)),2,IF(TRIM(INDEX(PASTE_ALL,33,44))="",0,IF(AND(LEFT(MID(TRIM(INDEX(PASTE_ALL,33,44)),1+(LEFT(TRIM(INDEX(PASTE_ALL,33,44)),1)="-"),999),LEN(MID(TRIM(INDEX(PASTE_ALL,33,44)),1+(LEFT(TRIM(INDEX(PASTE_ALL,33,44)),1)="-"),999))-(RIGHT(MID(TRIM(INDEX(PASTE_ALL,33,44)),1+(LEFT(TRIM(INDEX(PASTE_ALL,33,44)),1)="-"),999),1)="%"))&lt;&gt;"",SUBSTITUTE(SUBSTITUTE(SUBSTITUTE(SUBSTITUTE(SUBSTITUTE(SUBSTITUTE(SUBSTITUTE(SUBSTITUTE(SUBSTITUTE(SUBSTITUTE(SUBSTITUTE(SUBSTITUTE(LEFT(MID(TRIM(INDEX(PASTE_ALL,33,44)),1+(LEFT(TRIM(INDEX(PASTE_ALL,33,44)),1)="-"),999),LEN(MID(TRIM(INDEX(PASTE_ALL,33,44)),1+(LEFT(TRIM(INDEX(PASTE_ALL,33,44)),1)="-"),999))-(RIGHT(MID(TRIM(INDEX(PASTE_ALL,33,44)),1+(LEFT(TRIM(INDEX(PASTE_ALL,33,44)),1)="-"),999),1)="%")),"0",""),"1",""),"2",""),"3",""),"4",""),"5",""),"6",""),"7",""),"8",""),"9",""),".",""),",","")=""),2,1))),1)</f>
        <v/>
      </c>
      <c r="BQ82">
        <f>IFERROR(IF(ISNUMBER(INDEX(PASTE_ALL,33,45)),2,IF(TRIM(INDEX(PASTE_ALL,33,45))="",0,IF(AND(LEFT(MID(TRIM(INDEX(PASTE_ALL,33,45)),1+(LEFT(TRIM(INDEX(PASTE_ALL,33,45)),1)="-"),999),LEN(MID(TRIM(INDEX(PASTE_ALL,33,45)),1+(LEFT(TRIM(INDEX(PASTE_ALL,33,45)),1)="-"),999))-(RIGHT(MID(TRIM(INDEX(PASTE_ALL,33,45)),1+(LEFT(TRIM(INDEX(PASTE_ALL,33,45)),1)="-"),999),1)="%"))&lt;&gt;"",SUBSTITUTE(SUBSTITUTE(SUBSTITUTE(SUBSTITUTE(SUBSTITUTE(SUBSTITUTE(SUBSTITUTE(SUBSTITUTE(SUBSTITUTE(SUBSTITUTE(SUBSTITUTE(SUBSTITUTE(LEFT(MID(TRIM(INDEX(PASTE_ALL,33,45)),1+(LEFT(TRIM(INDEX(PASTE_ALL,33,45)),1)="-"),999),LEN(MID(TRIM(INDEX(PASTE_ALL,33,45)),1+(LEFT(TRIM(INDEX(PASTE_ALL,33,45)),1)="-"),999))-(RIGHT(MID(TRIM(INDEX(PASTE_ALL,33,45)),1+(LEFT(TRIM(INDEX(PASTE_ALL,33,45)),1)="-"),999),1)="%")),"0",""),"1",""),"2",""),"3",""),"4",""),"5",""),"6",""),"7",""),"8",""),"9",""),".",""),",","")=""),2,1))),1)</f>
        <v/>
      </c>
      <c r="BR82">
        <f>IFERROR(IF(ISNUMBER(INDEX(PASTE_ALL,33,46)),2,IF(TRIM(INDEX(PASTE_ALL,33,46))="",0,IF(AND(LEFT(MID(TRIM(INDEX(PASTE_ALL,33,46)),1+(LEFT(TRIM(INDEX(PASTE_ALL,33,46)),1)="-"),999),LEN(MID(TRIM(INDEX(PASTE_ALL,33,46)),1+(LEFT(TRIM(INDEX(PASTE_ALL,33,46)),1)="-"),999))-(RIGHT(MID(TRIM(INDEX(PASTE_ALL,33,46)),1+(LEFT(TRIM(INDEX(PASTE_ALL,33,46)),1)="-"),999),1)="%"))&lt;&gt;"",SUBSTITUTE(SUBSTITUTE(SUBSTITUTE(SUBSTITUTE(SUBSTITUTE(SUBSTITUTE(SUBSTITUTE(SUBSTITUTE(SUBSTITUTE(SUBSTITUTE(SUBSTITUTE(SUBSTITUTE(LEFT(MID(TRIM(INDEX(PASTE_ALL,33,46)),1+(LEFT(TRIM(INDEX(PASTE_ALL,33,46)),1)="-"),999),LEN(MID(TRIM(INDEX(PASTE_ALL,33,46)),1+(LEFT(TRIM(INDEX(PASTE_ALL,33,46)),1)="-"),999))-(RIGHT(MID(TRIM(INDEX(PASTE_ALL,33,46)),1+(LEFT(TRIM(INDEX(PASTE_ALL,33,46)),1)="-"),999),1)="%")),"0",""),"1",""),"2",""),"3",""),"4",""),"5",""),"6",""),"7",""),"8",""),"9",""),".",""),",","")=""),2,1))),1)</f>
        <v/>
      </c>
      <c r="BS82">
        <f>IFERROR(IF(ISNUMBER(INDEX(PASTE_ALL,33,47)),2,IF(TRIM(INDEX(PASTE_ALL,33,47))="",0,IF(AND(LEFT(MID(TRIM(INDEX(PASTE_ALL,33,47)),1+(LEFT(TRIM(INDEX(PASTE_ALL,33,47)),1)="-"),999),LEN(MID(TRIM(INDEX(PASTE_ALL,33,47)),1+(LEFT(TRIM(INDEX(PASTE_ALL,33,47)),1)="-"),999))-(RIGHT(MID(TRIM(INDEX(PASTE_ALL,33,47)),1+(LEFT(TRIM(INDEX(PASTE_ALL,33,47)),1)="-"),999),1)="%"))&lt;&gt;"",SUBSTITUTE(SUBSTITUTE(SUBSTITUTE(SUBSTITUTE(SUBSTITUTE(SUBSTITUTE(SUBSTITUTE(SUBSTITUTE(SUBSTITUTE(SUBSTITUTE(SUBSTITUTE(SUBSTITUTE(LEFT(MID(TRIM(INDEX(PASTE_ALL,33,47)),1+(LEFT(TRIM(INDEX(PASTE_ALL,33,47)),1)="-"),999),LEN(MID(TRIM(INDEX(PASTE_ALL,33,47)),1+(LEFT(TRIM(INDEX(PASTE_ALL,33,47)),1)="-"),999))-(RIGHT(MID(TRIM(INDEX(PASTE_ALL,33,47)),1+(LEFT(TRIM(INDEX(PASTE_ALL,33,47)),1)="-"),999),1)="%")),"0",""),"1",""),"2",""),"3",""),"4",""),"5",""),"6",""),"7",""),"8",""),"9",""),".",""),",","")=""),2,1))),1)</f>
        <v/>
      </c>
      <c r="BT82">
        <f>IFERROR(IF(ISNUMBER(INDEX(PASTE_ALL,33,48)),2,IF(TRIM(INDEX(PASTE_ALL,33,48))="",0,IF(AND(LEFT(MID(TRIM(INDEX(PASTE_ALL,33,48)),1+(LEFT(TRIM(INDEX(PASTE_ALL,33,48)),1)="-"),999),LEN(MID(TRIM(INDEX(PASTE_ALL,33,48)),1+(LEFT(TRIM(INDEX(PASTE_ALL,33,48)),1)="-"),999))-(RIGHT(MID(TRIM(INDEX(PASTE_ALL,33,48)),1+(LEFT(TRIM(INDEX(PASTE_ALL,33,48)),1)="-"),999),1)="%"))&lt;&gt;"",SUBSTITUTE(SUBSTITUTE(SUBSTITUTE(SUBSTITUTE(SUBSTITUTE(SUBSTITUTE(SUBSTITUTE(SUBSTITUTE(SUBSTITUTE(SUBSTITUTE(SUBSTITUTE(SUBSTITUTE(LEFT(MID(TRIM(INDEX(PASTE_ALL,33,48)),1+(LEFT(TRIM(INDEX(PASTE_ALL,33,48)),1)="-"),999),LEN(MID(TRIM(INDEX(PASTE_ALL,33,48)),1+(LEFT(TRIM(INDEX(PASTE_ALL,33,48)),1)="-"),999))-(RIGHT(MID(TRIM(INDEX(PASTE_ALL,33,48)),1+(LEFT(TRIM(INDEX(PASTE_ALL,33,48)),1)="-"),999),1)="%")),"0",""),"1",""),"2",""),"3",""),"4",""),"5",""),"6",""),"7",""),"8",""),"9",""),".",""),",","")=""),2,1))),1)</f>
        <v/>
      </c>
      <c r="BU82">
        <f>IFERROR(IF(ISNUMBER(INDEX(PASTE_ALL,33,49)),2,IF(TRIM(INDEX(PASTE_ALL,33,49))="",0,IF(AND(LEFT(MID(TRIM(INDEX(PASTE_ALL,33,49)),1+(LEFT(TRIM(INDEX(PASTE_ALL,33,49)),1)="-"),999),LEN(MID(TRIM(INDEX(PASTE_ALL,33,49)),1+(LEFT(TRIM(INDEX(PASTE_ALL,33,49)),1)="-"),999))-(RIGHT(MID(TRIM(INDEX(PASTE_ALL,33,49)),1+(LEFT(TRIM(INDEX(PASTE_ALL,33,49)),1)="-"),999),1)="%"))&lt;&gt;"",SUBSTITUTE(SUBSTITUTE(SUBSTITUTE(SUBSTITUTE(SUBSTITUTE(SUBSTITUTE(SUBSTITUTE(SUBSTITUTE(SUBSTITUTE(SUBSTITUTE(SUBSTITUTE(SUBSTITUTE(LEFT(MID(TRIM(INDEX(PASTE_ALL,33,49)),1+(LEFT(TRIM(INDEX(PASTE_ALL,33,49)),1)="-"),999),LEN(MID(TRIM(INDEX(PASTE_ALL,33,49)),1+(LEFT(TRIM(INDEX(PASTE_ALL,33,49)),1)="-"),999))-(RIGHT(MID(TRIM(INDEX(PASTE_ALL,33,49)),1+(LEFT(TRIM(INDEX(PASTE_ALL,33,49)),1)="-"),999),1)="%")),"0",""),"1",""),"2",""),"3",""),"4",""),"5",""),"6",""),"7",""),"8",""),"9",""),".",""),",","")=""),2,1))),1)</f>
        <v/>
      </c>
      <c r="BV82">
        <f>IFERROR(IF(ISNUMBER(INDEX(PASTE_ALL,33,50)),2,IF(TRIM(INDEX(PASTE_ALL,33,50))="",0,IF(AND(LEFT(MID(TRIM(INDEX(PASTE_ALL,33,50)),1+(LEFT(TRIM(INDEX(PASTE_ALL,33,50)),1)="-"),999),LEN(MID(TRIM(INDEX(PASTE_ALL,33,50)),1+(LEFT(TRIM(INDEX(PASTE_ALL,33,50)),1)="-"),999))-(RIGHT(MID(TRIM(INDEX(PASTE_ALL,33,50)),1+(LEFT(TRIM(INDEX(PASTE_ALL,33,50)),1)="-"),999),1)="%"))&lt;&gt;"",SUBSTITUTE(SUBSTITUTE(SUBSTITUTE(SUBSTITUTE(SUBSTITUTE(SUBSTITUTE(SUBSTITUTE(SUBSTITUTE(SUBSTITUTE(SUBSTITUTE(SUBSTITUTE(SUBSTITUTE(LEFT(MID(TRIM(INDEX(PASTE_ALL,33,50)),1+(LEFT(TRIM(INDEX(PASTE_ALL,33,50)),1)="-"),999),LEN(MID(TRIM(INDEX(PASTE_ALL,33,50)),1+(LEFT(TRIM(INDEX(PASTE_ALL,33,50)),1)="-"),999))-(RIGHT(MID(TRIM(INDEX(PASTE_ALL,33,50)),1+(LEFT(TRIM(INDEX(PASTE_ALL,33,50)),1)="-"),999),1)="%")),"0",""),"1",""),"2",""),"3",""),"4",""),"5",""),"6",""),"7",""),"8",""),"9",""),".",""),",","")=""),2,1))),1)</f>
        <v/>
      </c>
      <c r="BW82">
        <f>IFERROR(IF(ISNUMBER(INDEX(PASTE_ALL,33,51)),2,IF(TRIM(INDEX(PASTE_ALL,33,51))="",0,IF(AND(LEFT(MID(TRIM(INDEX(PASTE_ALL,33,51)),1+(LEFT(TRIM(INDEX(PASTE_ALL,33,51)),1)="-"),999),LEN(MID(TRIM(INDEX(PASTE_ALL,33,51)),1+(LEFT(TRIM(INDEX(PASTE_ALL,33,51)),1)="-"),999))-(RIGHT(MID(TRIM(INDEX(PASTE_ALL,33,51)),1+(LEFT(TRIM(INDEX(PASTE_ALL,33,51)),1)="-"),999),1)="%"))&lt;&gt;"",SUBSTITUTE(SUBSTITUTE(SUBSTITUTE(SUBSTITUTE(SUBSTITUTE(SUBSTITUTE(SUBSTITUTE(SUBSTITUTE(SUBSTITUTE(SUBSTITUTE(SUBSTITUTE(SUBSTITUTE(LEFT(MID(TRIM(INDEX(PASTE_ALL,33,51)),1+(LEFT(TRIM(INDEX(PASTE_ALL,33,51)),1)="-"),999),LEN(MID(TRIM(INDEX(PASTE_ALL,33,51)),1+(LEFT(TRIM(INDEX(PASTE_ALL,33,51)),1)="-"),999))-(RIGHT(MID(TRIM(INDEX(PASTE_ALL,33,51)),1+(LEFT(TRIM(INDEX(PASTE_ALL,33,51)),1)="-"),999),1)="%")),"0",""),"1",""),"2",""),"3",""),"4",""),"5",""),"6",""),"7",""),"8",""),"9",""),".",""),",","")=""),2,1))),1)</f>
        <v/>
      </c>
      <c r="BX82">
        <f>IFERROR(IF(ISNUMBER(INDEX(PASTE_ALL,33,52)),2,IF(TRIM(INDEX(PASTE_ALL,33,52))="",0,IF(AND(LEFT(MID(TRIM(INDEX(PASTE_ALL,33,52)),1+(LEFT(TRIM(INDEX(PASTE_ALL,33,52)),1)="-"),999),LEN(MID(TRIM(INDEX(PASTE_ALL,33,52)),1+(LEFT(TRIM(INDEX(PASTE_ALL,33,52)),1)="-"),999))-(RIGHT(MID(TRIM(INDEX(PASTE_ALL,33,52)),1+(LEFT(TRIM(INDEX(PASTE_ALL,33,52)),1)="-"),999),1)="%"))&lt;&gt;"",SUBSTITUTE(SUBSTITUTE(SUBSTITUTE(SUBSTITUTE(SUBSTITUTE(SUBSTITUTE(SUBSTITUTE(SUBSTITUTE(SUBSTITUTE(SUBSTITUTE(SUBSTITUTE(SUBSTITUTE(LEFT(MID(TRIM(INDEX(PASTE_ALL,33,52)),1+(LEFT(TRIM(INDEX(PASTE_ALL,33,52)),1)="-"),999),LEN(MID(TRIM(INDEX(PASTE_ALL,33,52)),1+(LEFT(TRIM(INDEX(PASTE_ALL,33,52)),1)="-"),999))-(RIGHT(MID(TRIM(INDEX(PASTE_ALL,33,52)),1+(LEFT(TRIM(INDEX(PASTE_ALL,33,52)),1)="-"),999),1)="%")),"0",""),"1",""),"2",""),"3",""),"4",""),"5",""),"6",""),"7",""),"8",""),"9",""),".",""),",","")=""),2,1))),1)</f>
        <v/>
      </c>
      <c r="BY82">
        <f>IFERROR(IF(ISNUMBER(INDEX(PASTE_ALL,33,53)),2,IF(TRIM(INDEX(PASTE_ALL,33,53))="",0,IF(AND(LEFT(MID(TRIM(INDEX(PASTE_ALL,33,53)),1+(LEFT(TRIM(INDEX(PASTE_ALL,33,53)),1)="-"),999),LEN(MID(TRIM(INDEX(PASTE_ALL,33,53)),1+(LEFT(TRIM(INDEX(PASTE_ALL,33,53)),1)="-"),999))-(RIGHT(MID(TRIM(INDEX(PASTE_ALL,33,53)),1+(LEFT(TRIM(INDEX(PASTE_ALL,33,53)),1)="-"),999),1)="%"))&lt;&gt;"",SUBSTITUTE(SUBSTITUTE(SUBSTITUTE(SUBSTITUTE(SUBSTITUTE(SUBSTITUTE(SUBSTITUTE(SUBSTITUTE(SUBSTITUTE(SUBSTITUTE(SUBSTITUTE(SUBSTITUTE(LEFT(MID(TRIM(INDEX(PASTE_ALL,33,53)),1+(LEFT(TRIM(INDEX(PASTE_ALL,33,53)),1)="-"),999),LEN(MID(TRIM(INDEX(PASTE_ALL,33,53)),1+(LEFT(TRIM(INDEX(PASTE_ALL,33,53)),1)="-"),999))-(RIGHT(MID(TRIM(INDEX(PASTE_ALL,33,53)),1+(LEFT(TRIM(INDEX(PASTE_ALL,33,53)),1)="-"),999),1)="%")),"0",""),"1",""),"2",""),"3",""),"4",""),"5",""),"6",""),"7",""),"8",""),"9",""),".",""),",","")=""),2,1))),1)</f>
        <v/>
      </c>
      <c r="BZ82">
        <f>IFERROR(IF(ISNUMBER(INDEX(PASTE_ALL,33,54)),2,IF(TRIM(INDEX(PASTE_ALL,33,54))="",0,IF(AND(LEFT(MID(TRIM(INDEX(PASTE_ALL,33,54)),1+(LEFT(TRIM(INDEX(PASTE_ALL,33,54)),1)="-"),999),LEN(MID(TRIM(INDEX(PASTE_ALL,33,54)),1+(LEFT(TRIM(INDEX(PASTE_ALL,33,54)),1)="-"),999))-(RIGHT(MID(TRIM(INDEX(PASTE_ALL,33,54)),1+(LEFT(TRIM(INDEX(PASTE_ALL,33,54)),1)="-"),999),1)="%"))&lt;&gt;"",SUBSTITUTE(SUBSTITUTE(SUBSTITUTE(SUBSTITUTE(SUBSTITUTE(SUBSTITUTE(SUBSTITUTE(SUBSTITUTE(SUBSTITUTE(SUBSTITUTE(SUBSTITUTE(SUBSTITUTE(LEFT(MID(TRIM(INDEX(PASTE_ALL,33,54)),1+(LEFT(TRIM(INDEX(PASTE_ALL,33,54)),1)="-"),999),LEN(MID(TRIM(INDEX(PASTE_ALL,33,54)),1+(LEFT(TRIM(INDEX(PASTE_ALL,33,54)),1)="-"),999))-(RIGHT(MID(TRIM(INDEX(PASTE_ALL,33,54)),1+(LEFT(TRIM(INDEX(PASTE_ALL,33,54)),1)="-"),999),1)="%")),"0",""),"1",""),"2",""),"3",""),"4",""),"5",""),"6",""),"7",""),"8",""),"9",""),".",""),",","")=""),2,1))),1)</f>
        <v/>
      </c>
      <c r="CA82">
        <f>IFERROR(IF(ISNUMBER(INDEX(PASTE_ALL,33,55)),2,IF(TRIM(INDEX(PASTE_ALL,33,55))="",0,IF(AND(LEFT(MID(TRIM(INDEX(PASTE_ALL,33,55)),1+(LEFT(TRIM(INDEX(PASTE_ALL,33,55)),1)="-"),999),LEN(MID(TRIM(INDEX(PASTE_ALL,33,55)),1+(LEFT(TRIM(INDEX(PASTE_ALL,33,55)),1)="-"),999))-(RIGHT(MID(TRIM(INDEX(PASTE_ALL,33,55)),1+(LEFT(TRIM(INDEX(PASTE_ALL,33,55)),1)="-"),999),1)="%"))&lt;&gt;"",SUBSTITUTE(SUBSTITUTE(SUBSTITUTE(SUBSTITUTE(SUBSTITUTE(SUBSTITUTE(SUBSTITUTE(SUBSTITUTE(SUBSTITUTE(SUBSTITUTE(SUBSTITUTE(SUBSTITUTE(LEFT(MID(TRIM(INDEX(PASTE_ALL,33,55)),1+(LEFT(TRIM(INDEX(PASTE_ALL,33,55)),1)="-"),999),LEN(MID(TRIM(INDEX(PASTE_ALL,33,55)),1+(LEFT(TRIM(INDEX(PASTE_ALL,33,55)),1)="-"),999))-(RIGHT(MID(TRIM(INDEX(PASTE_ALL,33,55)),1+(LEFT(TRIM(INDEX(PASTE_ALL,33,55)),1)="-"),999),1)="%")),"0",""),"1",""),"2",""),"3",""),"4",""),"5",""),"6",""),"7",""),"8",""),"9",""),".",""),",","")=""),2,1))),1)</f>
        <v/>
      </c>
      <c r="CB82">
        <f>IFERROR(IF(ISNUMBER(INDEX(PASTE_ALL,33,56)),2,IF(TRIM(INDEX(PASTE_ALL,33,56))="",0,IF(AND(LEFT(MID(TRIM(INDEX(PASTE_ALL,33,56)),1+(LEFT(TRIM(INDEX(PASTE_ALL,33,56)),1)="-"),999),LEN(MID(TRIM(INDEX(PASTE_ALL,33,56)),1+(LEFT(TRIM(INDEX(PASTE_ALL,33,56)),1)="-"),999))-(RIGHT(MID(TRIM(INDEX(PASTE_ALL,33,56)),1+(LEFT(TRIM(INDEX(PASTE_ALL,33,56)),1)="-"),999),1)="%"))&lt;&gt;"",SUBSTITUTE(SUBSTITUTE(SUBSTITUTE(SUBSTITUTE(SUBSTITUTE(SUBSTITUTE(SUBSTITUTE(SUBSTITUTE(SUBSTITUTE(SUBSTITUTE(SUBSTITUTE(SUBSTITUTE(LEFT(MID(TRIM(INDEX(PASTE_ALL,33,56)),1+(LEFT(TRIM(INDEX(PASTE_ALL,33,56)),1)="-"),999),LEN(MID(TRIM(INDEX(PASTE_ALL,33,56)),1+(LEFT(TRIM(INDEX(PASTE_ALL,33,56)),1)="-"),999))-(RIGHT(MID(TRIM(INDEX(PASTE_ALL,33,56)),1+(LEFT(TRIM(INDEX(PASTE_ALL,33,56)),1)="-"),999),1)="%")),"0",""),"1",""),"2",""),"3",""),"4",""),"5",""),"6",""),"7",""),"8",""),"9",""),".",""),",","")=""),2,1))),1)</f>
        <v/>
      </c>
      <c r="CC82">
        <f>IFERROR(IF(ISNUMBER(INDEX(PASTE_ALL,33,57)),2,IF(TRIM(INDEX(PASTE_ALL,33,57))="",0,IF(AND(LEFT(MID(TRIM(INDEX(PASTE_ALL,33,57)),1+(LEFT(TRIM(INDEX(PASTE_ALL,33,57)),1)="-"),999),LEN(MID(TRIM(INDEX(PASTE_ALL,33,57)),1+(LEFT(TRIM(INDEX(PASTE_ALL,33,57)),1)="-"),999))-(RIGHT(MID(TRIM(INDEX(PASTE_ALL,33,57)),1+(LEFT(TRIM(INDEX(PASTE_ALL,33,57)),1)="-"),999),1)="%"))&lt;&gt;"",SUBSTITUTE(SUBSTITUTE(SUBSTITUTE(SUBSTITUTE(SUBSTITUTE(SUBSTITUTE(SUBSTITUTE(SUBSTITUTE(SUBSTITUTE(SUBSTITUTE(SUBSTITUTE(SUBSTITUTE(LEFT(MID(TRIM(INDEX(PASTE_ALL,33,57)),1+(LEFT(TRIM(INDEX(PASTE_ALL,33,57)),1)="-"),999),LEN(MID(TRIM(INDEX(PASTE_ALL,33,57)),1+(LEFT(TRIM(INDEX(PASTE_ALL,33,57)),1)="-"),999))-(RIGHT(MID(TRIM(INDEX(PASTE_ALL,33,57)),1+(LEFT(TRIM(INDEX(PASTE_ALL,33,57)),1)="-"),999),1)="%")),"0",""),"1",""),"2",""),"3",""),"4",""),"5",""),"6",""),"7",""),"8",""),"9",""),".",""),",","")=""),2,1))),1)</f>
        <v/>
      </c>
      <c r="CD82">
        <f>IFERROR(IF(ISNUMBER(INDEX(PASTE_ALL,33,58)),2,IF(TRIM(INDEX(PASTE_ALL,33,58))="",0,IF(AND(LEFT(MID(TRIM(INDEX(PASTE_ALL,33,58)),1+(LEFT(TRIM(INDEX(PASTE_ALL,33,58)),1)="-"),999),LEN(MID(TRIM(INDEX(PASTE_ALL,33,58)),1+(LEFT(TRIM(INDEX(PASTE_ALL,33,58)),1)="-"),999))-(RIGHT(MID(TRIM(INDEX(PASTE_ALL,33,58)),1+(LEFT(TRIM(INDEX(PASTE_ALL,33,58)),1)="-"),999),1)="%"))&lt;&gt;"",SUBSTITUTE(SUBSTITUTE(SUBSTITUTE(SUBSTITUTE(SUBSTITUTE(SUBSTITUTE(SUBSTITUTE(SUBSTITUTE(SUBSTITUTE(SUBSTITUTE(SUBSTITUTE(SUBSTITUTE(LEFT(MID(TRIM(INDEX(PASTE_ALL,33,58)),1+(LEFT(TRIM(INDEX(PASTE_ALL,33,58)),1)="-"),999),LEN(MID(TRIM(INDEX(PASTE_ALL,33,58)),1+(LEFT(TRIM(INDEX(PASTE_ALL,33,58)),1)="-"),999))-(RIGHT(MID(TRIM(INDEX(PASTE_ALL,33,58)),1+(LEFT(TRIM(INDEX(PASTE_ALL,33,58)),1)="-"),999),1)="%")),"0",""),"1",""),"2",""),"3",""),"4",""),"5",""),"6",""),"7",""),"8",""),"9",""),".",""),",","")=""),2,1))),1)</f>
        <v/>
      </c>
      <c r="CE82">
        <f>IFERROR(IF(ISNUMBER(INDEX(PASTE_ALL,33,59)),2,IF(TRIM(INDEX(PASTE_ALL,33,59))="",0,IF(AND(LEFT(MID(TRIM(INDEX(PASTE_ALL,33,59)),1+(LEFT(TRIM(INDEX(PASTE_ALL,33,59)),1)="-"),999),LEN(MID(TRIM(INDEX(PASTE_ALL,33,59)),1+(LEFT(TRIM(INDEX(PASTE_ALL,33,59)),1)="-"),999))-(RIGHT(MID(TRIM(INDEX(PASTE_ALL,33,59)),1+(LEFT(TRIM(INDEX(PASTE_ALL,33,59)),1)="-"),999),1)="%"))&lt;&gt;"",SUBSTITUTE(SUBSTITUTE(SUBSTITUTE(SUBSTITUTE(SUBSTITUTE(SUBSTITUTE(SUBSTITUTE(SUBSTITUTE(SUBSTITUTE(SUBSTITUTE(SUBSTITUTE(SUBSTITUTE(LEFT(MID(TRIM(INDEX(PASTE_ALL,33,59)),1+(LEFT(TRIM(INDEX(PASTE_ALL,33,59)),1)="-"),999),LEN(MID(TRIM(INDEX(PASTE_ALL,33,59)),1+(LEFT(TRIM(INDEX(PASTE_ALL,33,59)),1)="-"),999))-(RIGHT(MID(TRIM(INDEX(PASTE_ALL,33,59)),1+(LEFT(TRIM(INDEX(PASTE_ALL,33,59)),1)="-"),999),1)="%")),"0",""),"1",""),"2",""),"3",""),"4",""),"5",""),"6",""),"7",""),"8",""),"9",""),".",""),",","")=""),2,1))),1)</f>
        <v/>
      </c>
      <c r="CF82">
        <f>IFERROR(IF(ISNUMBER(INDEX(PASTE_ALL,33,60)),2,IF(TRIM(INDEX(PASTE_ALL,33,60))="",0,IF(AND(LEFT(MID(TRIM(INDEX(PASTE_ALL,33,60)),1+(LEFT(TRIM(INDEX(PASTE_ALL,33,60)),1)="-"),999),LEN(MID(TRIM(INDEX(PASTE_ALL,33,60)),1+(LEFT(TRIM(INDEX(PASTE_ALL,33,60)),1)="-"),999))-(RIGHT(MID(TRIM(INDEX(PASTE_ALL,33,60)),1+(LEFT(TRIM(INDEX(PASTE_ALL,33,60)),1)="-"),999),1)="%"))&lt;&gt;"",SUBSTITUTE(SUBSTITUTE(SUBSTITUTE(SUBSTITUTE(SUBSTITUTE(SUBSTITUTE(SUBSTITUTE(SUBSTITUTE(SUBSTITUTE(SUBSTITUTE(SUBSTITUTE(SUBSTITUTE(LEFT(MID(TRIM(INDEX(PASTE_ALL,33,60)),1+(LEFT(TRIM(INDEX(PASTE_ALL,33,60)),1)="-"),999),LEN(MID(TRIM(INDEX(PASTE_ALL,33,60)),1+(LEFT(TRIM(INDEX(PASTE_ALL,33,60)),1)="-"),999))-(RIGHT(MID(TRIM(INDEX(PASTE_ALL,33,60)),1+(LEFT(TRIM(INDEX(PASTE_ALL,33,60)),1)="-"),999),1)="%")),"0",""),"1",""),"2",""),"3",""),"4",""),"5",""),"6",""),"7",""),"8",""),"9",""),".",""),",","")=""),2,1))),1)</f>
        <v/>
      </c>
      <c r="DA82" t="n">
        <v>78</v>
      </c>
      <c r="DB82">
        <f>IF($B$37=0,"",IFERROR(TRIM(SUBSTITUTE(SUBSTITUTE(SUBSTITUTE(SUBSTITUTE(INDEX(PASTE_ALL,78,$B$37)," "," "),CHAR(9)," "),CHAR(10)," "),CHAR(13)," ")),""))</f>
        <v/>
      </c>
      <c r="DC82">
        <f>IF(AND(78&gt;HEADER_ROW,UPPER(DB82)="LEGEND"),1,0)</f>
        <v/>
      </c>
      <c r="DE82" t="n">
        <v>78</v>
      </c>
      <c r="DF82">
        <f>HEADER_ROW+$DE82</f>
        <v/>
      </c>
      <c r="DG82">
        <f>IF(AND($DF82&lt;=1000,$DF82&lt;$B$8),1,0)</f>
        <v/>
      </c>
      <c r="DH82">
        <f>IF($DG82=1,IFERROR(INDEX($DB$5:$DB$1004,$DF82),""),"")</f>
        <v/>
      </c>
      <c r="DI82">
        <f>IF(AND($DG82=1,$DH82&lt;&gt;""),IFERROR(SUBSTITUTE(SUBSTITUTE(TRIM(SUBSTITUTE(SUBSTITUTE(SUBSTITUTE(SUBSTITUTE(IFERROR(INDEX(PASTE_ALL,$DF82,1)&amp;"","")&amp;"␟"&amp;IFERROR(INDEX(PASTE_ALL,$DF82,2)&amp;"","")&amp;"␟"&amp;IFERROR(INDEX(PASTE_ALL,$DF82,3)&amp;"","")&amp;"␟"&amp;IFERROR(INDEX(PASTE_ALL,$DF82,4)&amp;"","")&amp;"␟"&amp;IFERROR(INDEX(PASTE_ALL,$DF82,5)&amp;"","")&amp;"␟"&amp;IFERROR(INDEX(PASTE_ALL,$DF82,6)&amp;"","")&amp;"␟"&amp;IFERROR(INDEX(PASTE_ALL,$DF82,7)&amp;"","")&amp;"␟"&amp;IFERROR(INDEX(PASTE_ALL,$DF82,8)&amp;"","")&amp;"␟"&amp;IFERROR(INDEX(PASTE_ALL,$DF82,9)&amp;"","")&amp;"␟"&amp;IFERROR(INDEX(PASTE_ALL,$DF82,10)&amp;"","")&amp;"␟"&amp;IFERROR(INDEX(PASTE_ALL,$DF82,11)&amp;"","")&amp;"␟"&amp;IFERROR(INDEX(PASTE_ALL,$DF82,12)&amp;"","")&amp;"␟"&amp;IFERROR(INDEX(PASTE_ALL,$DF82,13)&amp;"","")&amp;"␟"&amp;IFERROR(INDEX(PASTE_ALL,$DF82,14)&amp;"","")&amp;"␟"&amp;IFERROR(INDEX(PASTE_ALL,$DF82,15)&amp;"","")&amp;"␟"&amp;IFERROR(INDEX(PASTE_ALL,$DF82,16)&amp;"","")&amp;"␟"&amp;IFERROR(INDEX(PASTE_ALL,$DF82,17)&amp;"","")&amp;"␟"&amp;IFERROR(INDEX(PASTE_ALL,$DF82,18)&amp;"","")&amp;"␟"&amp;IFERROR(INDEX(PASTE_ALL,$DF82,19)&amp;"","")&amp;"␟"&amp;IFERROR(INDEX(PASTE_ALL,$DF82,20)&amp;"","")&amp;"␟"&amp;IFERROR(INDEX(PASTE_ALL,$DF82,21)&amp;"","")&amp;"␟"&amp;IFERROR(INDEX(PASTE_ALL,$DF82,22)&amp;"","")&amp;"␟"&amp;IFERROR(INDEX(PASTE_ALL,$DF82,23)&amp;"","")&amp;"␟"&amp;IFERROR(INDEX(PASTE_ALL,$DF82,24)&amp;"","")&amp;"␟"&amp;IFERROR(INDEX(PASTE_ALL,$DF82,25)&amp;"","")&amp;"␟"&amp;IFERROR(INDEX(PASTE_ALL,$DF82,26)&amp;"","")&amp;"␟"&amp;IFERROR(INDEX(PASTE_ALL,$DF82,27)&amp;"","")&amp;"␟"&amp;IFERROR(INDEX(PASTE_ALL,$DF82,28)&amp;"","")&amp;"␟"&amp;IFERROR(INDEX(PASTE_ALL,$DF82,29)&amp;"","")&amp;"␟"&amp;IFERROR(INDEX(PASTE_ALL,$DF82,30)&amp;"","")&amp;"␟"&amp;IFERROR(INDEX(PASTE_ALL,$DF82,31)&amp;"","")&amp;"␟"&amp;IFERROR(INDEX(PASTE_ALL,$DF82,32)&amp;"","")&amp;"␟"&amp;IFERROR(INDEX(PASTE_ALL,$DF82,33)&amp;"","")&amp;"␟"&amp;IFERROR(INDEX(PASTE_ALL,$DF82,34)&amp;"","")&amp;"␟"&amp;IFERROR(INDEX(PASTE_ALL,$DF82,35)&amp;"","")&amp;"␟"&amp;IFERROR(INDEX(PASTE_ALL,$DF82,36)&amp;"","")&amp;"␟"&amp;IFERROR(INDEX(PASTE_ALL,$DF82,37)&amp;"","")&amp;"␟"&amp;IFERROR(INDEX(PASTE_ALL,$DF82,38)&amp;"","")&amp;"␟"&amp;IFERROR(INDEX(PASTE_ALL,$DF82,39)&amp;"","")&amp;"␟"&amp;IFERROR(INDEX(PASTE_ALL,$DF82,40)&amp;"","")&amp;"␟"&amp;IFERROR(INDEX(PASTE_ALL,$DF82,41)&amp;"","")&amp;"␟"&amp;IFERROR(INDEX(PASTE_ALL,$DF82,42)&amp;"","")&amp;"␟"&amp;IFERROR(INDEX(PASTE_ALL,$DF82,43)&amp;"","")&amp;"␟"&amp;IFERROR(INDEX(PASTE_ALL,$DF82,44)&amp;"","")&amp;"␟"&amp;IFERROR(INDEX(PASTE_ALL,$DF82,45)&amp;"","")&amp;"␟"&amp;IFERROR(INDEX(PASTE_ALL,$DF82,46)&amp;"","")&amp;"␟"&amp;IFERROR(INDEX(PASTE_ALL,$DF82,47)&amp;"","")&amp;"␟"&amp;IFERROR(INDEX(PASTE_ALL,$DF82,48)&amp;"","")&amp;"␟"&amp;IFERROR(INDEX(PASTE_ALL,$DF82,49)&amp;"","")&amp;"␟"&amp;IFERROR(INDEX(PASTE_ALL,$DF82,50)&amp;"","")&amp;"␟"&amp;IFERROR(INDEX(PASTE_ALL,$DF82,51)&amp;"","")&amp;"␟"&amp;IFERROR(INDEX(PASTE_ALL,$DF82,52)&amp;"","")&amp;"␟"&amp;IFERROR(INDEX(PASTE_ALL,$DF82,53)&amp;"","")&amp;"␟"&amp;IFERROR(INDEX(PASTE_ALL,$DF82,54)&amp;"","")&amp;"␟"&amp;IFERROR(INDEX(PASTE_ALL,$DF82,55)&amp;"","")&amp;"␟"&amp;IFERROR(INDEX(PASTE_ALL,$DF82,56)&amp;"","")&amp;"␟"&amp;IFERROR(INDEX(PASTE_ALL,$DF82,57)&amp;"","")&amp;"␟"&amp;IFERROR(INDEX(PASTE_ALL,$DF82,58)&amp;"","")&amp;"␟"&amp;IFERROR(INDEX(PASTE_ALL,$DF82,59)&amp;"","")&amp;"␟"&amp;IFERROR(INDEX(PASTE_ALL,$DF82,60)&amp;"","")," "," "),CHAR(9)," "),CHAR(10)," "),CHAR(13)," "))," ␟","␟"),"␟ ","␟"),"#"&amp;$DE82),"")</f>
        <v/>
      </c>
      <c r="DJ82">
        <f>IF($DI82="",0,IF(SUMPRODUCT(--EXACT($DI$4:DI81,$DI82))&gt;0,1,0))</f>
        <v/>
      </c>
      <c r="DK82">
        <f>IF(AND($DI82&lt;&gt;"",$DJ82=0),1,0)</f>
        <v/>
      </c>
      <c r="DL82">
        <f>DL81+$DK82</f>
        <v/>
      </c>
      <c r="DM82">
        <f>IF(AND($DK82=1,$DL82&lt;=600),1,0)</f>
        <v/>
      </c>
      <c r="DN82">
        <f>IF($DM82=0,"",IF($L$6=0,"",IFERROR(IF(ISNUMBER(INDEX(PASTE_ALL,$DF82,$L$6)),INDEX(PASTE_ALL,$DF82,$L$6),TRIM(SUBSTITUTE(SUBSTITUTE(SUBSTITUTE(SUBSTITUTE(INDEX(PASTE_ALL,$DF82,$L$6)," "," "),CHAR(9)," "),CHAR(10)," "),CHAR(13)," "))),"")))</f>
        <v/>
      </c>
      <c r="DO82">
        <f>IF($DM82=0,"",IF($L$7=0,"",IFERROR(IF(ISNUMBER(INDEX(PASTE_ALL,$DF82,$L$7)),INDEX(PASTE_ALL,$DF82,$L$7),TRIM(SUBSTITUTE(SUBSTITUTE(SUBSTITUTE(SUBSTITUTE(INDEX(PASTE_ALL,$DF82,$L$7)," "," "),CHAR(9)," "),CHAR(10)," "),CHAR(13)," "))),"")))</f>
        <v/>
      </c>
      <c r="DP82">
        <f>IF($DM82=0,"",IF($L$8=0,"",IFERROR(IF(ISNUMBER(INDEX(PASTE_ALL,$DF82,$L$8)),INDEX(PASTE_ALL,$DF82,$L$8),TRIM(SUBSTITUTE(SUBSTITUTE(SUBSTITUTE(SUBSTITUTE(INDEX(PASTE_ALL,$DF82,$L$8)," "," "),CHAR(9)," "),CHAR(10)," "),CHAR(13)," "))),"")))</f>
        <v/>
      </c>
      <c r="DQ82">
        <f>IF($DM82=0,"",IF($L$9=0,"",IFERROR(IF(ISNUMBER(INDEX(PASTE_ALL,$DF82,$L$9)),INDEX(PASTE_ALL,$DF82,$L$9),TRIM(SUBSTITUTE(SUBSTITUTE(SUBSTITUTE(SUBSTITUTE(INDEX(PASTE_ALL,$DF82,$L$9)," "," "),CHAR(9)," "),CHAR(10)," "),CHAR(13)," "))),"")))</f>
        <v/>
      </c>
      <c r="DR82">
        <f>IF($DM82=0,"",IF($L$10=0,"",IFERROR(IF(ISNUMBER(INDEX(PASTE_ALL,$DF82,$L$10)),INDEX(PASTE_ALL,$DF82,$L$10),TRIM(SUBSTITUTE(SUBSTITUTE(SUBSTITUTE(SUBSTITUTE(INDEX(PASTE_ALL,$DF82,$L$10)," "," "),CHAR(9)," "),CHAR(10)," "),CHAR(13)," "))),"")))</f>
        <v/>
      </c>
      <c r="DS82">
        <f>IF($DM82=0,"",IF($L$11=0,"",IFERROR(IF(ISNUMBER(INDEX(PASTE_ALL,$DF82,$L$11)),INDEX(PASTE_ALL,$DF82,$L$11),TRIM(SUBSTITUTE(SUBSTITUTE(SUBSTITUTE(SUBSTITUTE(INDEX(PASTE_ALL,$DF82,$L$11)," "," "),CHAR(9)," "),CHAR(10)," "),CHAR(13)," "))),"")))</f>
        <v/>
      </c>
      <c r="DT82">
        <f>IF($DM82=0,"",IF($L$12=0,"",IFERROR(IF(ISNUMBER(INDEX(PASTE_ALL,$DF82,$L$12)),INDEX(PASTE_ALL,$DF82,$L$12),TRIM(SUBSTITUTE(SUBSTITUTE(SUBSTITUTE(SUBSTITUTE(INDEX(PASTE_ALL,$DF82,$L$12)," "," "),CHAR(9)," "),CHAR(10)," "),CHAR(13)," "))),"")))</f>
        <v/>
      </c>
      <c r="DU82">
        <f>IF($DM82=0,"",IF($L$13=0,"",IFERROR(IF(ISNUMBER(INDEX(PASTE_ALL,$DF82,$L$13)),INDEX(PASTE_ALL,$DF82,$L$13),TRIM(SUBSTITUTE(SUBSTITUTE(SUBSTITUTE(SUBSTITUTE(INDEX(PASTE_ALL,$DF82,$L$13)," "," "),CHAR(9)," "),CHAR(10)," "),CHAR(13)," "))),"")))</f>
        <v/>
      </c>
      <c r="DV82">
        <f>IF($DM82=0,"",IF($L$14=0,"",IFERROR(IF(ISNUMBER(INDEX(PASTE_ALL,$DF82,$L$14)),INDEX(PASTE_ALL,$DF82,$L$14),TRIM(SUBSTITUTE(SUBSTITUTE(SUBSTITUTE(SUBSTITUTE(INDEX(PASTE_ALL,$DF82,$L$14)," "," "),CHAR(9)," "),CHAR(10)," "),CHAR(13)," "))),"")))</f>
        <v/>
      </c>
      <c r="DW82">
        <f>IF($DM82=0,"",IF($L$15=0,"",IFERROR(IF(ISNUMBER(INDEX(PASTE_ALL,$DF82,$L$15)),INDEX(PASTE_ALL,$DF82,$L$15),IF(SUMPRODUCT(--ISNUMBER(FIND({"A","B","C","D","E","F","G","H","I","J","K","L","M","N","O","P","Q","R","S","T","U","V","W","X","Y","Z","0","1","2","3","4","5","6","7","8","9"},UPPER(TRIM(SUBSTITUTE(SUBSTITUTE(SUBSTITUTE(SUBSTITUTE(INDEX(PASTE_ALL,$DF82,$L$15)," "," "),CHAR(9)," "),CHAR(10)," "),CHAR(13)," "))))))&gt;0,TRIM(SUBSTITUTE(SUBSTITUTE(SUBSTITUTE(SUBSTITUTE(INDEX(PASTE_ALL,$DF82,$L$15)," "," "),CHAR(9)," "),CHAR(10)," "),CHAR(13)," ")),"")),"")))</f>
        <v/>
      </c>
      <c r="DX82">
        <f>IF($DM82=0,"",IF($L$16=0,"",IFERROR(IF(ISNUMBER(INDEX(PASTE_ALL,$DF82,$L$16)),INDEX(PASTE_ALL,$DF82,$L$16),SUBSTITUTE(SUBSTITUTE(TRIM(SUBSTITUTE(SUBSTITUTE(SUBSTITUTE(SUBSTITUTE(INDEX(PASTE_ALL,$DF82,$L$16)," "," "),CHAR(9)," "),CHAR(10)," "),CHAR(13)," ")),",",""),"%","")),"")))</f>
        <v/>
      </c>
      <c r="DY82">
        <f>IF($DM82=0,"",IFERROR(IF(ISNUMBER($DX82),$DX82,IF($DX82="","",IF(TRIM($DX82)="",0,IF(AND(AND(SUBSTITUTE(SUBSTITUTE(SUBSTITUTE(SUBSTITUTE(SUBSTITUTE(SUBSTITUTE(SUBSTITUTE(SUBSTITUTE(SUBSTITUTE(SUBSTITUTE(SUBSTITUTE(SUBSTITUTE(SUBSTITUTE(SUBSTITUTE(UPPER(TRIM($DX82)),"0",""),"1",""),"2",""),"3",""),"4",""),"5",""),"6",""),"7",""),"8",""),"9",""),".",""),"+",""),"-",""),"E","")="",LEN(SUBSTITUTE(SUBSTITUTE(MID(UPPER(TRIM($DX82)),1+OR(LEFT(UPPER(TRIM($DX82)),1)="+",LEFT(UPPER(TRIM($DX82)),1)="-"),999),"E+","E"),"E-","E"))=LEN(SUBSTITUTE(SUBSTITUTE(SUBSTITUTE(SUBSTITUTE(MID(UPPER(TRIM($DX82)),1+OR(LEFT(UPPER(TRIM($DX82)),1)="+",LEFT(UPPER(TRIM($DX82)),1)="-"),999),"E+","E"),"E-","E"),"+",""),"-","")),LEN(UPPER(TRIM($DX82)))-LEN(SUBSTITUTE(UPPER(TRIM($DX82)),"E",""))&lt;2,LEN(UPPER(TRIM($DX82)))-LEN(SUBSTITUTE(UPPER(TRIM($DX82)),".",""))&lt;2,IFERROR(FIND(".",UPPER(TRIM($DX82))),0)&lt;IFERROR(FIND("E",UPPER(TRIM($DX82))),999)),ISNUMBER(VALUE(TRIM($DX82)))),VALUE(TRIM($DX82)),"")))),""))</f>
        <v/>
      </c>
      <c r="DZ82">
        <f>IF($DM82=0,"",IF($L$17=0,"",IFERROR(IF(ISNUMBER(INDEX(PASTE_ALL,$DF82,$L$17)),INDEX(PASTE_ALL,$DF82,$L$17),SUBSTITUTE(SUBSTITUTE(TRIM(SUBSTITUTE(SUBSTITUTE(SUBSTITUTE(SUBSTITUTE(INDEX(PASTE_ALL,$DF82,$L$17)," "," "),CHAR(9)," "),CHAR(10)," "),CHAR(13)," ")),",",""),"%","")),"")))</f>
        <v/>
      </c>
      <c r="EA82">
        <f>IF($DM82=0,"",IFERROR(IF(ISNUMBER($DZ82),$DZ82,IF($DZ82="","",IF(TRIM($DZ82)="",0,IF(AND(AND(SUBSTITUTE(SUBSTITUTE(SUBSTITUTE(SUBSTITUTE(SUBSTITUTE(SUBSTITUTE(SUBSTITUTE(SUBSTITUTE(SUBSTITUTE(SUBSTITUTE(SUBSTITUTE(SUBSTITUTE(SUBSTITUTE(SUBSTITUTE(UPPER(TRIM($DZ82)),"0",""),"1",""),"2",""),"3",""),"4",""),"5",""),"6",""),"7",""),"8",""),"9",""),".",""),"+",""),"-",""),"E","")="",LEN(SUBSTITUTE(SUBSTITUTE(MID(UPPER(TRIM($DZ82)),1+OR(LEFT(UPPER(TRIM($DZ82)),1)="+",LEFT(UPPER(TRIM($DZ82)),1)="-"),999),"E+","E"),"E-","E"))=LEN(SUBSTITUTE(SUBSTITUTE(SUBSTITUTE(SUBSTITUTE(MID(UPPER(TRIM($DZ82)),1+OR(LEFT(UPPER(TRIM($DZ82)),1)="+",LEFT(UPPER(TRIM($DZ82)),1)="-"),999),"E+","E"),"E-","E"),"+",""),"-","")),LEN(UPPER(TRIM($DZ82)))-LEN(SUBSTITUTE(UPPER(TRIM($DZ82)),"E",""))&lt;2,LEN(UPPER(TRIM($DZ82)))-LEN(SUBSTITUTE(UPPER(TRIM($DZ82)),".",""))&lt;2,IFERROR(FIND(".",UPPER(TRIM($DZ82))),0)&lt;IFERROR(FIND("E",UPPER(TRIM($DZ82))),999)),ISNUMBER(VALUE(TRIM($DZ82)))),VALUE(TRIM($DZ82)),"")))),""))</f>
        <v/>
      </c>
      <c r="EB82">
        <f>IF($DM82=0,"",IF($L$18=0,"",IFERROR(IF(UPPER(TRIM(SUBSTITUTE(SUBSTITUTE(SUBSTITUTE(SUBSTITUTE(INDEX(PASTE_ALL,$DF82,$L$18)," "," "),CHAR(9)," "),CHAR(10)," "),CHAR(13)," ")))="READY","Ready",IF(UPPER(TRIM(SUBSTITUTE(SUBSTITUTE(SUBSTITUTE(SUBSTITUTE(INDEX(PASTE_ALL,$DF82,$L$18)," "," "),CHAR(9)," "),CHAR(10)," "),CHAR(13)," ")))="PM","PM",IF(OR(UPPER(TRIM(SUBSTITUTE(SUBSTITUTE(SUBSTITUTE(SUBSTITUTE(INDEX(PASTE_ALL,$DF82,$L$18)," "," "),CHAR(9)," "),CHAR(10)," "),CHAR(13)," ")))="OT",UPPER(TRIM(SUBSTITUTE(SUBSTITUTE(SUBSTITUTE(SUBSTITUTE(INDEX(PASTE_ALL,$DF82,$L$18)," "," "),CHAR(9)," "),CHAR(10)," "),CHAR(13)," ")))="OVERTIME",UPPER(TRIM(SUBSTITUTE(SUBSTITUTE(SUBSTITUTE(SUBSTITUTE(INDEX(PASTE_ALL,$DF82,$L$18)," "," "),CHAR(9)," "),CHAR(10)," "),CHAR(13)," ")))="TRIAL"),"OT",TRIM(SUBSTITUTE(SUBSTITUTE(SUBSTITUTE(SUBSTITUTE(INDEX(PASTE_ALL,$DF82,$L$18)," "," "),CHAR(9)," "),CHAR(10)," "),CHAR(13)," "))))),"")))</f>
        <v/>
      </c>
      <c r="EC82">
        <f>IF($DM82=0,"",IF($L$19=0,"",IFERROR(IF(ISNUMBER(INDEX(PASTE_ALL,$DF82,$L$19)),INDEX(PASTE_ALL,$DF82,$L$19),TRIM(SUBSTITUTE(SUBSTITUTE(SUBSTITUTE(SUBSTITUTE(INDEX(PASTE_ALL,$DF82,$L$19)," "," "),CHAR(9)," "),CHAR(10)," "),CHAR(13)," "))),"")))</f>
        <v/>
      </c>
      <c r="ED82">
        <f>IF($DM82=0,"",MATCH(1,INDEX(EXACT($DH$5:DH82,$DH82)*$DM$5:DM82,0),0))</f>
        <v/>
      </c>
      <c r="EE82">
        <f>IF($DM82=0,0,IF($ED82=$DE82,1,0))</f>
        <v/>
      </c>
      <c r="EF82">
        <f>EF81+$EE82</f>
        <v/>
      </c>
      <c r="EG82">
        <f>IF($DM82=0,"",INDEX($EF$5:$EF$1003,$ED82))</f>
        <v/>
      </c>
      <c r="EH82">
        <f>IF($DM82=0,"",IF($DO82&lt;&gt;"","",IFERROR(LOOKUP(2,1/(($EG$4:EG81=$EG82)*($DO$4:DO81&lt;&gt;"")),$DO$4:DO81),"")))</f>
        <v/>
      </c>
      <c r="EI82">
        <f>IF($DM82=0,"",IF($DO82&lt;&gt;"",$DO82,$EH82))</f>
        <v/>
      </c>
      <c r="EJ82">
        <f>IF($DM82=0,"",IF($EI82="",0,IF(OR(ISNUMBER($EI82),AND(AND(SUBSTITUTE(SUBSTITUTE(SUBSTITUTE(SUBSTITUTE(SUBSTITUTE(SUBSTITUTE(SUBSTITUTE(SUBSTITUTE(SUBSTITUTE(SUBSTITUTE(SUBSTITUTE(SUBSTITUTE(SUBSTITUTE(SUBSTITUTE(UPPER($EI82),"0",""),"1",""),"2",""),"3",""),"4",""),"5",""),"6",""),"7",""),"8",""),"9",""),".",""),"+",""),"-",""),"E","")="",LEN(SUBSTITUTE(SUBSTITUTE(MID(UPPER($EI82),1+OR(LEFT(UPPER($EI82),1)="+",LEFT(UPPER($EI82),1)="-"),999),"E+","E"),"E-","E"))=LEN(SUBSTITUTE(SUBSTITUTE(SUBSTITUTE(SUBSTITUTE(MID(UPPER($EI82),1+OR(LEFT(UPPER($EI82),1)="+",LEFT(UPPER($EI82),1)="-"),999),"E+","E"),"E-","E"),"+",""),"-","")),LEN(UPPER($EI82))-LEN(SUBSTITUTE(UPPER($EI82),"E",""))&lt;2,LEN(UPPER($EI82))-LEN(SUBSTITUTE(UPPER($EI82),".",""))&lt;2,IFERROR(FIND(".",UPPER($EI82)),0)&lt;IFERROR(FIND("E",UPPER($EI82)),999)),ISNUMBER(VALUE($EI82)))),1,2)))</f>
        <v/>
      </c>
      <c r="EK82">
        <f>IF($DM82=0,"",IF($EJ82=1,IF(ISNUMBER($EI82),$EI82,VALUE($EI82)),IF($EJ82=2,$DE82,0)))</f>
        <v/>
      </c>
      <c r="EL82">
        <f>IF($DM82=0,"",COUNTIF($EG$5:$EG$1003,"&lt;"&amp;$EG82)+SUMPRODUCT(($EG$5:$EG$1003=$EG82)*(($EJ$5:$EJ$1003&lt;$EJ82)+($EJ$5:$EJ$1003=$EJ82)*(($EK$5:$EK$1003&lt;$EK82)+($EK$5:$EK$1003=$EK82)*($DE$5:$DE$1003&lt;$DE82))))+1)</f>
        <v/>
      </c>
      <c r="EM82">
        <f>IF($DM82=0,"",$EL82+$EG82-1)</f>
        <v/>
      </c>
      <c r="EN82">
        <f>IF($DM82=0,0,IFERROR(MATCH(1,INDEX(--(TRIM(SUBSTITUTE(SUBSTITUTE(SUBSTITUTE(SUBSTITUTE(LINES_NAME&amp;""," "," "),CHAR(9)," "),CHAR(10)," "),CHAR(13)," "))=$DH82),0),0),0))</f>
        <v/>
      </c>
      <c r="EO82">
        <f>IF($EN82=0,0,IF(OR(UPPER(TRIM(INDEX(LINES_SCHEDULED,$EN82)&amp;""))="YES",UPPER(TRIM(INDEX(LINES_SCHEDULED,$EN82)&amp;""))="Y",UPPER(TRIM(INDEX(LINES_SCHEDULED,$EN82)&amp;""))="X"),1,0))</f>
        <v/>
      </c>
      <c r="EP82">
        <f>IF($DM82=0,"",IF(COUNTIFS($EG$5:$EG$1003,$EG82,$EB$5:$EB$1003,"Ready")&gt;0,"READY",IF(COUNTIFS($EG$5:$EG$1003,$EG82,$EB$5:$EB$1003,"PM")&gt;0,"PM",IF(COUNTIFS($EG$5:$EG$1003,$EG82,$EB$5:$EB$1003,"OT")&gt;0,"OT",""))))</f>
        <v/>
      </c>
      <c r="EQ82">
        <f>IF($EN82=0,"",UPPER(TRIM(INDEX(LINES_STATUS,$EN82)&amp;"")))</f>
        <v/>
      </c>
      <c r="ER82">
        <f>IF($DM82=0,"",IF(OR($EQ82="READY",$EQ82="PM",$EQ82="OT"),$EQ82,$EP82))</f>
        <v/>
      </c>
      <c r="ES82">
        <f>IF($DM82=0,"",IF(AND($DV82&lt;&gt;"",UPPER($DV82)&lt;&gt;"N"),"allergen",IF(ISNUMBER(SEARCH("oil",$DQ82)),"oil",IF(OR(EXACT($DS82,"A662"),EXACT($DS82,"A624")),"bulk",""))))</f>
        <v/>
      </c>
      <c r="ET82">
        <f>IF($DM82=0,"",IF(OR($EA82="",$EA82=0),"",$EA82/100))</f>
        <v/>
      </c>
      <c r="EU82">
        <f>IF(OR($ET82="",$DY82=""),"",INT($DY82*(1-$ET82)+0.5))</f>
        <v/>
      </c>
      <c r="EW82" t="n">
        <v>78</v>
      </c>
      <c r="EX82">
        <f>IFERROR(MATCH($EW82,$EM$5:$EM$1003,0),0)</f>
        <v/>
      </c>
      <c r="EY82">
        <f>IF($EW82&gt;$B$12,"",IF($EX82&gt;0,"row","spacer"))</f>
        <v/>
      </c>
      <c r="EZ82">
        <f>IF(AND($EY82="row",$EY81&lt;&gt;"row"),1,0)</f>
        <v/>
      </c>
      <c r="FA82">
        <f>IF(AND($EY82="row",$EY83&lt;&gt;"row"),1,0)</f>
        <v/>
      </c>
      <c r="FB82">
        <f>IF($EZ82=1,IFERROR(IF(ISNUMBER(INDEX(PASTE_ALL,INDEX($DF$5:$DF$1003,$EX82),$B$37)),INDEX(PASTE_ALL,INDEX($DF$5:$DF$1003,$EX82),$B$37),INDEX($DH$5:$DH$1003,$EX82)),INDEX($DH$5:$DH$1003,$EX82)),"")</f>
        <v/>
      </c>
      <c r="FC82">
        <f>IF($EY82="row",INDEX($ER$5:$ER$1003,$EX82),"")</f>
        <v/>
      </c>
      <c r="FD82">
        <f>IF($EY82="row",INDEX($DN$5:$DN$1003,$EX82),"")</f>
        <v/>
      </c>
      <c r="FE82">
        <f>IF($EY82="row",INDEX($DO$5:$DO$1003,$EX82),"")</f>
        <v/>
      </c>
      <c r="FF82">
        <f>IF($EY82="row",INDEX($DP$5:$DP$1003,$EX82),"")</f>
        <v/>
      </c>
      <c r="FG82">
        <f>IF($EY82="row",INDEX($DQ$5:$DQ$1003,$EX82),"")</f>
        <v/>
      </c>
      <c r="FH82">
        <f>IF($EY82="row",INDEX($DR$5:$DR$1003,$EX82),"")</f>
        <v/>
      </c>
      <c r="FI82">
        <f>IF($EY82="row",INDEX($DS$5:$DS$1003,$EX82),"")</f>
        <v/>
      </c>
      <c r="FJ82">
        <f>IF($EY82="row",INDEX($DT$5:$DT$1003,$EX82),"")</f>
        <v/>
      </c>
      <c r="FK82">
        <f>IF($EY82="row",INDEX($DU$5:$DU$1003,$EX82),"")</f>
        <v/>
      </c>
      <c r="FL82">
        <f>IF($EY82="row",INDEX($DV$5:$DV$1003,$EX82),"")</f>
        <v/>
      </c>
      <c r="FM82">
        <f>IF($EY82="row",INDEX($DW$5:$DW$1003,$EX82),"")</f>
        <v/>
      </c>
      <c r="FN82">
        <f>IF($EY82="row",INDEX($DY$5:$DY$1003,$EX82),"")</f>
        <v/>
      </c>
      <c r="FO82">
        <f>IF($EY82="row",INDEX($EA$5:$EA$1003,$EX82),"")</f>
        <v/>
      </c>
      <c r="FP82">
        <f>IF($EY82="row",INDEX($EC$5:$EC$1003,$EX82),"")</f>
        <v/>
      </c>
      <c r="FQ82">
        <f>IF($EY82="row",INDEX($ET$5:$ET$1003,$EX82),"")</f>
        <v/>
      </c>
      <c r="FR82">
        <f>IF($EY82="row",INDEX($EU$5:$EU$1003,$EX82),"")</f>
        <v/>
      </c>
      <c r="FS82">
        <f>IF(AND($EY82="row",$EY81="row"),IF(OR(INDEX($DT$5:$DT$1003,$EX81)="",INDEX($DT$5:$DT$1003,$EX82)=""),"",IF(NOT(EXACT(INDEX($DT$5:$DT$1003,$EX81),INDEX($DT$5:$DT$1003,$EX82))),"S4",IF(NOT(EXACT(INDEX($DS$5:$DS$1003,$EX81),INDEX($DS$5:$DS$1003,$EX82))),"S3",IF(NOT(EXACT(INDEX($DR$5:$DR$1003,$EX81),INDEX($DR$5:$DR$1003,$EX82))),"S1 Count Change","S1")))),"")</f>
        <v/>
      </c>
      <c r="FT82">
        <f>IF($EY82="row",INDEX($ES$5:$ES$1003,$EX82),"")</f>
        <v/>
      </c>
      <c r="FU82">
        <f>IF($EY82="row",INDEX($EO$5:$EO$1003,$EX82),0)</f>
        <v/>
      </c>
      <c r="FV82">
        <f>IF($FS82="S1 Count Change",1,0)</f>
        <v/>
      </c>
      <c r="FX82" t="n">
        <v>78</v>
      </c>
      <c r="FY82">
        <f>IFERROR(MATCH($FX82,$EF$5:$EF$1003,0),0)</f>
        <v/>
      </c>
      <c r="FZ82">
        <f>IF($FY82=0,"",INDEX($DH$5:$DH$1003,$FY82))</f>
        <v/>
      </c>
      <c r="GA82">
        <f>IF($FY82=0,"",COUNTIF($EG$5:$EG$1003,$FX82))</f>
        <v/>
      </c>
      <c r="GB82">
        <f>IF($FY82=0,"",INDEX($ER$5:$ER$1003,$FY82))</f>
        <v/>
      </c>
      <c r="GC82">
        <f>IF($FY82=0,"",IF(INDEX($EO$5:$EO$1003,$FY82)=1,"Yes",""))</f>
        <v/>
      </c>
      <c r="GD82">
        <f>IF($FY82=0,"",IF(INDEX($EN$5:$EN$1003,$FY82)&gt;0,"","NOT IN YOUR LIST - type it in column A to tick it"))</f>
        <v/>
      </c>
      <c r="GE82">
        <f>IF(AND($FY82&gt;0,$GD82&lt;&gt;""),1,0)</f>
        <v/>
      </c>
      <c r="GF82">
        <f>GF81+$GE82</f>
        <v/>
      </c>
      <c r="GG82">
        <f>IFERROR(INDEX($FZ$5:$FZ$104,MATCH($FX82,$GF$5:$GF$104,0)),"")</f>
        <v/>
      </c>
    </row>
    <row r="83">
      <c r="V83" t="inlineStr">
        <is>
          <t>DESICCANT</t>
        </is>
      </c>
      <c r="W83" t="n">
        <v>15</v>
      </c>
      <c r="Y83">
        <f>IFERROR(IF(ISNUMBER(INDEX(PASTE_ALL,34,1)),2,IF(TRIM(INDEX(PASTE_ALL,34,1))="",0,IF(AND(LEFT(MID(TRIM(INDEX(PASTE_ALL,34,1)),1+(LEFT(TRIM(INDEX(PASTE_ALL,34,1)),1)="-"),999),LEN(MID(TRIM(INDEX(PASTE_ALL,34,1)),1+(LEFT(TRIM(INDEX(PASTE_ALL,34,1)),1)="-"),999))-(RIGHT(MID(TRIM(INDEX(PASTE_ALL,34,1)),1+(LEFT(TRIM(INDEX(PASTE_ALL,34,1)),1)="-"),999),1)="%"))&lt;&gt;"",SUBSTITUTE(SUBSTITUTE(SUBSTITUTE(SUBSTITUTE(SUBSTITUTE(SUBSTITUTE(SUBSTITUTE(SUBSTITUTE(SUBSTITUTE(SUBSTITUTE(SUBSTITUTE(SUBSTITUTE(LEFT(MID(TRIM(INDEX(PASTE_ALL,34,1)),1+(LEFT(TRIM(INDEX(PASTE_ALL,34,1)),1)="-"),999),LEN(MID(TRIM(INDEX(PASTE_ALL,34,1)),1+(LEFT(TRIM(INDEX(PASTE_ALL,34,1)),1)="-"),999))-(RIGHT(MID(TRIM(INDEX(PASTE_ALL,34,1)),1+(LEFT(TRIM(INDEX(PASTE_ALL,34,1)),1)="-"),999),1)="%")),"0",""),"1",""),"2",""),"3",""),"4",""),"5",""),"6",""),"7",""),"8",""),"9",""),".",""),",","")=""),2,1))),1)</f>
        <v/>
      </c>
      <c r="Z83">
        <f>IFERROR(IF(ISNUMBER(INDEX(PASTE_ALL,34,2)),2,IF(TRIM(INDEX(PASTE_ALL,34,2))="",0,IF(AND(LEFT(MID(TRIM(INDEX(PASTE_ALL,34,2)),1+(LEFT(TRIM(INDEX(PASTE_ALL,34,2)),1)="-"),999),LEN(MID(TRIM(INDEX(PASTE_ALL,34,2)),1+(LEFT(TRIM(INDEX(PASTE_ALL,34,2)),1)="-"),999))-(RIGHT(MID(TRIM(INDEX(PASTE_ALL,34,2)),1+(LEFT(TRIM(INDEX(PASTE_ALL,34,2)),1)="-"),999),1)="%"))&lt;&gt;"",SUBSTITUTE(SUBSTITUTE(SUBSTITUTE(SUBSTITUTE(SUBSTITUTE(SUBSTITUTE(SUBSTITUTE(SUBSTITUTE(SUBSTITUTE(SUBSTITUTE(SUBSTITUTE(SUBSTITUTE(LEFT(MID(TRIM(INDEX(PASTE_ALL,34,2)),1+(LEFT(TRIM(INDEX(PASTE_ALL,34,2)),1)="-"),999),LEN(MID(TRIM(INDEX(PASTE_ALL,34,2)),1+(LEFT(TRIM(INDEX(PASTE_ALL,34,2)),1)="-"),999))-(RIGHT(MID(TRIM(INDEX(PASTE_ALL,34,2)),1+(LEFT(TRIM(INDEX(PASTE_ALL,34,2)),1)="-"),999),1)="%")),"0",""),"1",""),"2",""),"3",""),"4",""),"5",""),"6",""),"7",""),"8",""),"9",""),".",""),",","")=""),2,1))),1)</f>
        <v/>
      </c>
      <c r="AA83">
        <f>IFERROR(IF(ISNUMBER(INDEX(PASTE_ALL,34,3)),2,IF(TRIM(INDEX(PASTE_ALL,34,3))="",0,IF(AND(LEFT(MID(TRIM(INDEX(PASTE_ALL,34,3)),1+(LEFT(TRIM(INDEX(PASTE_ALL,34,3)),1)="-"),999),LEN(MID(TRIM(INDEX(PASTE_ALL,34,3)),1+(LEFT(TRIM(INDEX(PASTE_ALL,34,3)),1)="-"),999))-(RIGHT(MID(TRIM(INDEX(PASTE_ALL,34,3)),1+(LEFT(TRIM(INDEX(PASTE_ALL,34,3)),1)="-"),999),1)="%"))&lt;&gt;"",SUBSTITUTE(SUBSTITUTE(SUBSTITUTE(SUBSTITUTE(SUBSTITUTE(SUBSTITUTE(SUBSTITUTE(SUBSTITUTE(SUBSTITUTE(SUBSTITUTE(SUBSTITUTE(SUBSTITUTE(LEFT(MID(TRIM(INDEX(PASTE_ALL,34,3)),1+(LEFT(TRIM(INDEX(PASTE_ALL,34,3)),1)="-"),999),LEN(MID(TRIM(INDEX(PASTE_ALL,34,3)),1+(LEFT(TRIM(INDEX(PASTE_ALL,34,3)),1)="-"),999))-(RIGHT(MID(TRIM(INDEX(PASTE_ALL,34,3)),1+(LEFT(TRIM(INDEX(PASTE_ALL,34,3)),1)="-"),999),1)="%")),"0",""),"1",""),"2",""),"3",""),"4",""),"5",""),"6",""),"7",""),"8",""),"9",""),".",""),",","")=""),2,1))),1)</f>
        <v/>
      </c>
      <c r="AB83">
        <f>IFERROR(IF(ISNUMBER(INDEX(PASTE_ALL,34,4)),2,IF(TRIM(INDEX(PASTE_ALL,34,4))="",0,IF(AND(LEFT(MID(TRIM(INDEX(PASTE_ALL,34,4)),1+(LEFT(TRIM(INDEX(PASTE_ALL,34,4)),1)="-"),999),LEN(MID(TRIM(INDEX(PASTE_ALL,34,4)),1+(LEFT(TRIM(INDEX(PASTE_ALL,34,4)),1)="-"),999))-(RIGHT(MID(TRIM(INDEX(PASTE_ALL,34,4)),1+(LEFT(TRIM(INDEX(PASTE_ALL,34,4)),1)="-"),999),1)="%"))&lt;&gt;"",SUBSTITUTE(SUBSTITUTE(SUBSTITUTE(SUBSTITUTE(SUBSTITUTE(SUBSTITUTE(SUBSTITUTE(SUBSTITUTE(SUBSTITUTE(SUBSTITUTE(SUBSTITUTE(SUBSTITUTE(LEFT(MID(TRIM(INDEX(PASTE_ALL,34,4)),1+(LEFT(TRIM(INDEX(PASTE_ALL,34,4)),1)="-"),999),LEN(MID(TRIM(INDEX(PASTE_ALL,34,4)),1+(LEFT(TRIM(INDEX(PASTE_ALL,34,4)),1)="-"),999))-(RIGHT(MID(TRIM(INDEX(PASTE_ALL,34,4)),1+(LEFT(TRIM(INDEX(PASTE_ALL,34,4)),1)="-"),999),1)="%")),"0",""),"1",""),"2",""),"3",""),"4",""),"5",""),"6",""),"7",""),"8",""),"9",""),".",""),",","")=""),2,1))),1)</f>
        <v/>
      </c>
      <c r="AC83">
        <f>IFERROR(IF(ISNUMBER(INDEX(PASTE_ALL,34,5)),2,IF(TRIM(INDEX(PASTE_ALL,34,5))="",0,IF(AND(LEFT(MID(TRIM(INDEX(PASTE_ALL,34,5)),1+(LEFT(TRIM(INDEX(PASTE_ALL,34,5)),1)="-"),999),LEN(MID(TRIM(INDEX(PASTE_ALL,34,5)),1+(LEFT(TRIM(INDEX(PASTE_ALL,34,5)),1)="-"),999))-(RIGHT(MID(TRIM(INDEX(PASTE_ALL,34,5)),1+(LEFT(TRIM(INDEX(PASTE_ALL,34,5)),1)="-"),999),1)="%"))&lt;&gt;"",SUBSTITUTE(SUBSTITUTE(SUBSTITUTE(SUBSTITUTE(SUBSTITUTE(SUBSTITUTE(SUBSTITUTE(SUBSTITUTE(SUBSTITUTE(SUBSTITUTE(SUBSTITUTE(SUBSTITUTE(LEFT(MID(TRIM(INDEX(PASTE_ALL,34,5)),1+(LEFT(TRIM(INDEX(PASTE_ALL,34,5)),1)="-"),999),LEN(MID(TRIM(INDEX(PASTE_ALL,34,5)),1+(LEFT(TRIM(INDEX(PASTE_ALL,34,5)),1)="-"),999))-(RIGHT(MID(TRIM(INDEX(PASTE_ALL,34,5)),1+(LEFT(TRIM(INDEX(PASTE_ALL,34,5)),1)="-"),999),1)="%")),"0",""),"1",""),"2",""),"3",""),"4",""),"5",""),"6",""),"7",""),"8",""),"9",""),".",""),",","")=""),2,1))),1)</f>
        <v/>
      </c>
      <c r="AD83">
        <f>IFERROR(IF(ISNUMBER(INDEX(PASTE_ALL,34,6)),2,IF(TRIM(INDEX(PASTE_ALL,34,6))="",0,IF(AND(LEFT(MID(TRIM(INDEX(PASTE_ALL,34,6)),1+(LEFT(TRIM(INDEX(PASTE_ALL,34,6)),1)="-"),999),LEN(MID(TRIM(INDEX(PASTE_ALL,34,6)),1+(LEFT(TRIM(INDEX(PASTE_ALL,34,6)),1)="-"),999))-(RIGHT(MID(TRIM(INDEX(PASTE_ALL,34,6)),1+(LEFT(TRIM(INDEX(PASTE_ALL,34,6)),1)="-"),999),1)="%"))&lt;&gt;"",SUBSTITUTE(SUBSTITUTE(SUBSTITUTE(SUBSTITUTE(SUBSTITUTE(SUBSTITUTE(SUBSTITUTE(SUBSTITUTE(SUBSTITUTE(SUBSTITUTE(SUBSTITUTE(SUBSTITUTE(LEFT(MID(TRIM(INDEX(PASTE_ALL,34,6)),1+(LEFT(TRIM(INDEX(PASTE_ALL,34,6)),1)="-"),999),LEN(MID(TRIM(INDEX(PASTE_ALL,34,6)),1+(LEFT(TRIM(INDEX(PASTE_ALL,34,6)),1)="-"),999))-(RIGHT(MID(TRIM(INDEX(PASTE_ALL,34,6)),1+(LEFT(TRIM(INDEX(PASTE_ALL,34,6)),1)="-"),999),1)="%")),"0",""),"1",""),"2",""),"3",""),"4",""),"5",""),"6",""),"7",""),"8",""),"9",""),".",""),",","")=""),2,1))),1)</f>
        <v/>
      </c>
      <c r="AE83">
        <f>IFERROR(IF(ISNUMBER(INDEX(PASTE_ALL,34,7)),2,IF(TRIM(INDEX(PASTE_ALL,34,7))="",0,IF(AND(LEFT(MID(TRIM(INDEX(PASTE_ALL,34,7)),1+(LEFT(TRIM(INDEX(PASTE_ALL,34,7)),1)="-"),999),LEN(MID(TRIM(INDEX(PASTE_ALL,34,7)),1+(LEFT(TRIM(INDEX(PASTE_ALL,34,7)),1)="-"),999))-(RIGHT(MID(TRIM(INDEX(PASTE_ALL,34,7)),1+(LEFT(TRIM(INDEX(PASTE_ALL,34,7)),1)="-"),999),1)="%"))&lt;&gt;"",SUBSTITUTE(SUBSTITUTE(SUBSTITUTE(SUBSTITUTE(SUBSTITUTE(SUBSTITUTE(SUBSTITUTE(SUBSTITUTE(SUBSTITUTE(SUBSTITUTE(SUBSTITUTE(SUBSTITUTE(LEFT(MID(TRIM(INDEX(PASTE_ALL,34,7)),1+(LEFT(TRIM(INDEX(PASTE_ALL,34,7)),1)="-"),999),LEN(MID(TRIM(INDEX(PASTE_ALL,34,7)),1+(LEFT(TRIM(INDEX(PASTE_ALL,34,7)),1)="-"),999))-(RIGHT(MID(TRIM(INDEX(PASTE_ALL,34,7)),1+(LEFT(TRIM(INDEX(PASTE_ALL,34,7)),1)="-"),999),1)="%")),"0",""),"1",""),"2",""),"3",""),"4",""),"5",""),"6",""),"7",""),"8",""),"9",""),".",""),",","")=""),2,1))),1)</f>
        <v/>
      </c>
      <c r="AF83">
        <f>IFERROR(IF(ISNUMBER(INDEX(PASTE_ALL,34,8)),2,IF(TRIM(INDEX(PASTE_ALL,34,8))="",0,IF(AND(LEFT(MID(TRIM(INDEX(PASTE_ALL,34,8)),1+(LEFT(TRIM(INDEX(PASTE_ALL,34,8)),1)="-"),999),LEN(MID(TRIM(INDEX(PASTE_ALL,34,8)),1+(LEFT(TRIM(INDEX(PASTE_ALL,34,8)),1)="-"),999))-(RIGHT(MID(TRIM(INDEX(PASTE_ALL,34,8)),1+(LEFT(TRIM(INDEX(PASTE_ALL,34,8)),1)="-"),999),1)="%"))&lt;&gt;"",SUBSTITUTE(SUBSTITUTE(SUBSTITUTE(SUBSTITUTE(SUBSTITUTE(SUBSTITUTE(SUBSTITUTE(SUBSTITUTE(SUBSTITUTE(SUBSTITUTE(SUBSTITUTE(SUBSTITUTE(LEFT(MID(TRIM(INDEX(PASTE_ALL,34,8)),1+(LEFT(TRIM(INDEX(PASTE_ALL,34,8)),1)="-"),999),LEN(MID(TRIM(INDEX(PASTE_ALL,34,8)),1+(LEFT(TRIM(INDEX(PASTE_ALL,34,8)),1)="-"),999))-(RIGHT(MID(TRIM(INDEX(PASTE_ALL,34,8)),1+(LEFT(TRIM(INDEX(PASTE_ALL,34,8)),1)="-"),999),1)="%")),"0",""),"1",""),"2",""),"3",""),"4",""),"5",""),"6",""),"7",""),"8",""),"9",""),".",""),",","")=""),2,1))),1)</f>
        <v/>
      </c>
      <c r="AG83">
        <f>IFERROR(IF(ISNUMBER(INDEX(PASTE_ALL,34,9)),2,IF(TRIM(INDEX(PASTE_ALL,34,9))="",0,IF(AND(LEFT(MID(TRIM(INDEX(PASTE_ALL,34,9)),1+(LEFT(TRIM(INDEX(PASTE_ALL,34,9)),1)="-"),999),LEN(MID(TRIM(INDEX(PASTE_ALL,34,9)),1+(LEFT(TRIM(INDEX(PASTE_ALL,34,9)),1)="-"),999))-(RIGHT(MID(TRIM(INDEX(PASTE_ALL,34,9)),1+(LEFT(TRIM(INDEX(PASTE_ALL,34,9)),1)="-"),999),1)="%"))&lt;&gt;"",SUBSTITUTE(SUBSTITUTE(SUBSTITUTE(SUBSTITUTE(SUBSTITUTE(SUBSTITUTE(SUBSTITUTE(SUBSTITUTE(SUBSTITUTE(SUBSTITUTE(SUBSTITUTE(SUBSTITUTE(LEFT(MID(TRIM(INDEX(PASTE_ALL,34,9)),1+(LEFT(TRIM(INDEX(PASTE_ALL,34,9)),1)="-"),999),LEN(MID(TRIM(INDEX(PASTE_ALL,34,9)),1+(LEFT(TRIM(INDEX(PASTE_ALL,34,9)),1)="-"),999))-(RIGHT(MID(TRIM(INDEX(PASTE_ALL,34,9)),1+(LEFT(TRIM(INDEX(PASTE_ALL,34,9)),1)="-"),999),1)="%")),"0",""),"1",""),"2",""),"3",""),"4",""),"5",""),"6",""),"7",""),"8",""),"9",""),".",""),",","")=""),2,1))),1)</f>
        <v/>
      </c>
      <c r="AH83">
        <f>IFERROR(IF(ISNUMBER(INDEX(PASTE_ALL,34,10)),2,IF(TRIM(INDEX(PASTE_ALL,34,10))="",0,IF(AND(LEFT(MID(TRIM(INDEX(PASTE_ALL,34,10)),1+(LEFT(TRIM(INDEX(PASTE_ALL,34,10)),1)="-"),999),LEN(MID(TRIM(INDEX(PASTE_ALL,34,10)),1+(LEFT(TRIM(INDEX(PASTE_ALL,34,10)),1)="-"),999))-(RIGHT(MID(TRIM(INDEX(PASTE_ALL,34,10)),1+(LEFT(TRIM(INDEX(PASTE_ALL,34,10)),1)="-"),999),1)="%"))&lt;&gt;"",SUBSTITUTE(SUBSTITUTE(SUBSTITUTE(SUBSTITUTE(SUBSTITUTE(SUBSTITUTE(SUBSTITUTE(SUBSTITUTE(SUBSTITUTE(SUBSTITUTE(SUBSTITUTE(SUBSTITUTE(LEFT(MID(TRIM(INDEX(PASTE_ALL,34,10)),1+(LEFT(TRIM(INDEX(PASTE_ALL,34,10)),1)="-"),999),LEN(MID(TRIM(INDEX(PASTE_ALL,34,10)),1+(LEFT(TRIM(INDEX(PASTE_ALL,34,10)),1)="-"),999))-(RIGHT(MID(TRIM(INDEX(PASTE_ALL,34,10)),1+(LEFT(TRIM(INDEX(PASTE_ALL,34,10)),1)="-"),999),1)="%")),"0",""),"1",""),"2",""),"3",""),"4",""),"5",""),"6",""),"7",""),"8",""),"9",""),".",""),",","")=""),2,1))),1)</f>
        <v/>
      </c>
      <c r="AI83">
        <f>IFERROR(IF(ISNUMBER(INDEX(PASTE_ALL,34,11)),2,IF(TRIM(INDEX(PASTE_ALL,34,11))="",0,IF(AND(LEFT(MID(TRIM(INDEX(PASTE_ALL,34,11)),1+(LEFT(TRIM(INDEX(PASTE_ALL,34,11)),1)="-"),999),LEN(MID(TRIM(INDEX(PASTE_ALL,34,11)),1+(LEFT(TRIM(INDEX(PASTE_ALL,34,11)),1)="-"),999))-(RIGHT(MID(TRIM(INDEX(PASTE_ALL,34,11)),1+(LEFT(TRIM(INDEX(PASTE_ALL,34,11)),1)="-"),999),1)="%"))&lt;&gt;"",SUBSTITUTE(SUBSTITUTE(SUBSTITUTE(SUBSTITUTE(SUBSTITUTE(SUBSTITUTE(SUBSTITUTE(SUBSTITUTE(SUBSTITUTE(SUBSTITUTE(SUBSTITUTE(SUBSTITUTE(LEFT(MID(TRIM(INDEX(PASTE_ALL,34,11)),1+(LEFT(TRIM(INDEX(PASTE_ALL,34,11)),1)="-"),999),LEN(MID(TRIM(INDEX(PASTE_ALL,34,11)),1+(LEFT(TRIM(INDEX(PASTE_ALL,34,11)),1)="-"),999))-(RIGHT(MID(TRIM(INDEX(PASTE_ALL,34,11)),1+(LEFT(TRIM(INDEX(PASTE_ALL,34,11)),1)="-"),999),1)="%")),"0",""),"1",""),"2",""),"3",""),"4",""),"5",""),"6",""),"7",""),"8",""),"9",""),".",""),",","")=""),2,1))),1)</f>
        <v/>
      </c>
      <c r="AJ83">
        <f>IFERROR(IF(ISNUMBER(INDEX(PASTE_ALL,34,12)),2,IF(TRIM(INDEX(PASTE_ALL,34,12))="",0,IF(AND(LEFT(MID(TRIM(INDEX(PASTE_ALL,34,12)),1+(LEFT(TRIM(INDEX(PASTE_ALL,34,12)),1)="-"),999),LEN(MID(TRIM(INDEX(PASTE_ALL,34,12)),1+(LEFT(TRIM(INDEX(PASTE_ALL,34,12)),1)="-"),999))-(RIGHT(MID(TRIM(INDEX(PASTE_ALL,34,12)),1+(LEFT(TRIM(INDEX(PASTE_ALL,34,12)),1)="-"),999),1)="%"))&lt;&gt;"",SUBSTITUTE(SUBSTITUTE(SUBSTITUTE(SUBSTITUTE(SUBSTITUTE(SUBSTITUTE(SUBSTITUTE(SUBSTITUTE(SUBSTITUTE(SUBSTITUTE(SUBSTITUTE(SUBSTITUTE(LEFT(MID(TRIM(INDEX(PASTE_ALL,34,12)),1+(LEFT(TRIM(INDEX(PASTE_ALL,34,12)),1)="-"),999),LEN(MID(TRIM(INDEX(PASTE_ALL,34,12)),1+(LEFT(TRIM(INDEX(PASTE_ALL,34,12)),1)="-"),999))-(RIGHT(MID(TRIM(INDEX(PASTE_ALL,34,12)),1+(LEFT(TRIM(INDEX(PASTE_ALL,34,12)),1)="-"),999),1)="%")),"0",""),"1",""),"2",""),"3",""),"4",""),"5",""),"6",""),"7",""),"8",""),"9",""),".",""),",","")=""),2,1))),1)</f>
        <v/>
      </c>
      <c r="AK83">
        <f>IFERROR(IF(ISNUMBER(INDEX(PASTE_ALL,34,13)),2,IF(TRIM(INDEX(PASTE_ALL,34,13))="",0,IF(AND(LEFT(MID(TRIM(INDEX(PASTE_ALL,34,13)),1+(LEFT(TRIM(INDEX(PASTE_ALL,34,13)),1)="-"),999),LEN(MID(TRIM(INDEX(PASTE_ALL,34,13)),1+(LEFT(TRIM(INDEX(PASTE_ALL,34,13)),1)="-"),999))-(RIGHT(MID(TRIM(INDEX(PASTE_ALL,34,13)),1+(LEFT(TRIM(INDEX(PASTE_ALL,34,13)),1)="-"),999),1)="%"))&lt;&gt;"",SUBSTITUTE(SUBSTITUTE(SUBSTITUTE(SUBSTITUTE(SUBSTITUTE(SUBSTITUTE(SUBSTITUTE(SUBSTITUTE(SUBSTITUTE(SUBSTITUTE(SUBSTITUTE(SUBSTITUTE(LEFT(MID(TRIM(INDEX(PASTE_ALL,34,13)),1+(LEFT(TRIM(INDEX(PASTE_ALL,34,13)),1)="-"),999),LEN(MID(TRIM(INDEX(PASTE_ALL,34,13)),1+(LEFT(TRIM(INDEX(PASTE_ALL,34,13)),1)="-"),999))-(RIGHT(MID(TRIM(INDEX(PASTE_ALL,34,13)),1+(LEFT(TRIM(INDEX(PASTE_ALL,34,13)),1)="-"),999),1)="%")),"0",""),"1",""),"2",""),"3",""),"4",""),"5",""),"6",""),"7",""),"8",""),"9",""),".",""),",","")=""),2,1))),1)</f>
        <v/>
      </c>
      <c r="AL83">
        <f>IFERROR(IF(ISNUMBER(INDEX(PASTE_ALL,34,14)),2,IF(TRIM(INDEX(PASTE_ALL,34,14))="",0,IF(AND(LEFT(MID(TRIM(INDEX(PASTE_ALL,34,14)),1+(LEFT(TRIM(INDEX(PASTE_ALL,34,14)),1)="-"),999),LEN(MID(TRIM(INDEX(PASTE_ALL,34,14)),1+(LEFT(TRIM(INDEX(PASTE_ALL,34,14)),1)="-"),999))-(RIGHT(MID(TRIM(INDEX(PASTE_ALL,34,14)),1+(LEFT(TRIM(INDEX(PASTE_ALL,34,14)),1)="-"),999),1)="%"))&lt;&gt;"",SUBSTITUTE(SUBSTITUTE(SUBSTITUTE(SUBSTITUTE(SUBSTITUTE(SUBSTITUTE(SUBSTITUTE(SUBSTITUTE(SUBSTITUTE(SUBSTITUTE(SUBSTITUTE(SUBSTITUTE(LEFT(MID(TRIM(INDEX(PASTE_ALL,34,14)),1+(LEFT(TRIM(INDEX(PASTE_ALL,34,14)),1)="-"),999),LEN(MID(TRIM(INDEX(PASTE_ALL,34,14)),1+(LEFT(TRIM(INDEX(PASTE_ALL,34,14)),1)="-"),999))-(RIGHT(MID(TRIM(INDEX(PASTE_ALL,34,14)),1+(LEFT(TRIM(INDEX(PASTE_ALL,34,14)),1)="-"),999),1)="%")),"0",""),"1",""),"2",""),"3",""),"4",""),"5",""),"6",""),"7",""),"8",""),"9",""),".",""),",","")=""),2,1))),1)</f>
        <v/>
      </c>
      <c r="AM83">
        <f>IFERROR(IF(ISNUMBER(INDEX(PASTE_ALL,34,15)),2,IF(TRIM(INDEX(PASTE_ALL,34,15))="",0,IF(AND(LEFT(MID(TRIM(INDEX(PASTE_ALL,34,15)),1+(LEFT(TRIM(INDEX(PASTE_ALL,34,15)),1)="-"),999),LEN(MID(TRIM(INDEX(PASTE_ALL,34,15)),1+(LEFT(TRIM(INDEX(PASTE_ALL,34,15)),1)="-"),999))-(RIGHT(MID(TRIM(INDEX(PASTE_ALL,34,15)),1+(LEFT(TRIM(INDEX(PASTE_ALL,34,15)),1)="-"),999),1)="%"))&lt;&gt;"",SUBSTITUTE(SUBSTITUTE(SUBSTITUTE(SUBSTITUTE(SUBSTITUTE(SUBSTITUTE(SUBSTITUTE(SUBSTITUTE(SUBSTITUTE(SUBSTITUTE(SUBSTITUTE(SUBSTITUTE(LEFT(MID(TRIM(INDEX(PASTE_ALL,34,15)),1+(LEFT(TRIM(INDEX(PASTE_ALL,34,15)),1)="-"),999),LEN(MID(TRIM(INDEX(PASTE_ALL,34,15)),1+(LEFT(TRIM(INDEX(PASTE_ALL,34,15)),1)="-"),999))-(RIGHT(MID(TRIM(INDEX(PASTE_ALL,34,15)),1+(LEFT(TRIM(INDEX(PASTE_ALL,34,15)),1)="-"),999),1)="%")),"0",""),"1",""),"2",""),"3",""),"4",""),"5",""),"6",""),"7",""),"8",""),"9",""),".",""),",","")=""),2,1))),1)</f>
        <v/>
      </c>
      <c r="AN83">
        <f>IFERROR(IF(ISNUMBER(INDEX(PASTE_ALL,34,16)),2,IF(TRIM(INDEX(PASTE_ALL,34,16))="",0,IF(AND(LEFT(MID(TRIM(INDEX(PASTE_ALL,34,16)),1+(LEFT(TRIM(INDEX(PASTE_ALL,34,16)),1)="-"),999),LEN(MID(TRIM(INDEX(PASTE_ALL,34,16)),1+(LEFT(TRIM(INDEX(PASTE_ALL,34,16)),1)="-"),999))-(RIGHT(MID(TRIM(INDEX(PASTE_ALL,34,16)),1+(LEFT(TRIM(INDEX(PASTE_ALL,34,16)),1)="-"),999),1)="%"))&lt;&gt;"",SUBSTITUTE(SUBSTITUTE(SUBSTITUTE(SUBSTITUTE(SUBSTITUTE(SUBSTITUTE(SUBSTITUTE(SUBSTITUTE(SUBSTITUTE(SUBSTITUTE(SUBSTITUTE(SUBSTITUTE(LEFT(MID(TRIM(INDEX(PASTE_ALL,34,16)),1+(LEFT(TRIM(INDEX(PASTE_ALL,34,16)),1)="-"),999),LEN(MID(TRIM(INDEX(PASTE_ALL,34,16)),1+(LEFT(TRIM(INDEX(PASTE_ALL,34,16)),1)="-"),999))-(RIGHT(MID(TRIM(INDEX(PASTE_ALL,34,16)),1+(LEFT(TRIM(INDEX(PASTE_ALL,34,16)),1)="-"),999),1)="%")),"0",""),"1",""),"2",""),"3",""),"4",""),"5",""),"6",""),"7",""),"8",""),"9",""),".",""),",","")=""),2,1))),1)</f>
        <v/>
      </c>
      <c r="AO83">
        <f>IFERROR(IF(ISNUMBER(INDEX(PASTE_ALL,34,17)),2,IF(TRIM(INDEX(PASTE_ALL,34,17))="",0,IF(AND(LEFT(MID(TRIM(INDEX(PASTE_ALL,34,17)),1+(LEFT(TRIM(INDEX(PASTE_ALL,34,17)),1)="-"),999),LEN(MID(TRIM(INDEX(PASTE_ALL,34,17)),1+(LEFT(TRIM(INDEX(PASTE_ALL,34,17)),1)="-"),999))-(RIGHT(MID(TRIM(INDEX(PASTE_ALL,34,17)),1+(LEFT(TRIM(INDEX(PASTE_ALL,34,17)),1)="-"),999),1)="%"))&lt;&gt;"",SUBSTITUTE(SUBSTITUTE(SUBSTITUTE(SUBSTITUTE(SUBSTITUTE(SUBSTITUTE(SUBSTITUTE(SUBSTITUTE(SUBSTITUTE(SUBSTITUTE(SUBSTITUTE(SUBSTITUTE(LEFT(MID(TRIM(INDEX(PASTE_ALL,34,17)),1+(LEFT(TRIM(INDEX(PASTE_ALL,34,17)),1)="-"),999),LEN(MID(TRIM(INDEX(PASTE_ALL,34,17)),1+(LEFT(TRIM(INDEX(PASTE_ALL,34,17)),1)="-"),999))-(RIGHT(MID(TRIM(INDEX(PASTE_ALL,34,17)),1+(LEFT(TRIM(INDEX(PASTE_ALL,34,17)),1)="-"),999),1)="%")),"0",""),"1",""),"2",""),"3",""),"4",""),"5",""),"6",""),"7",""),"8",""),"9",""),".",""),",","")=""),2,1))),1)</f>
        <v/>
      </c>
      <c r="AP83">
        <f>IFERROR(IF(ISNUMBER(INDEX(PASTE_ALL,34,18)),2,IF(TRIM(INDEX(PASTE_ALL,34,18))="",0,IF(AND(LEFT(MID(TRIM(INDEX(PASTE_ALL,34,18)),1+(LEFT(TRIM(INDEX(PASTE_ALL,34,18)),1)="-"),999),LEN(MID(TRIM(INDEX(PASTE_ALL,34,18)),1+(LEFT(TRIM(INDEX(PASTE_ALL,34,18)),1)="-"),999))-(RIGHT(MID(TRIM(INDEX(PASTE_ALL,34,18)),1+(LEFT(TRIM(INDEX(PASTE_ALL,34,18)),1)="-"),999),1)="%"))&lt;&gt;"",SUBSTITUTE(SUBSTITUTE(SUBSTITUTE(SUBSTITUTE(SUBSTITUTE(SUBSTITUTE(SUBSTITUTE(SUBSTITUTE(SUBSTITUTE(SUBSTITUTE(SUBSTITUTE(SUBSTITUTE(LEFT(MID(TRIM(INDEX(PASTE_ALL,34,18)),1+(LEFT(TRIM(INDEX(PASTE_ALL,34,18)),1)="-"),999),LEN(MID(TRIM(INDEX(PASTE_ALL,34,18)),1+(LEFT(TRIM(INDEX(PASTE_ALL,34,18)),1)="-"),999))-(RIGHT(MID(TRIM(INDEX(PASTE_ALL,34,18)),1+(LEFT(TRIM(INDEX(PASTE_ALL,34,18)),1)="-"),999),1)="%")),"0",""),"1",""),"2",""),"3",""),"4",""),"5",""),"6",""),"7",""),"8",""),"9",""),".",""),",","")=""),2,1))),1)</f>
        <v/>
      </c>
      <c r="AQ83">
        <f>IFERROR(IF(ISNUMBER(INDEX(PASTE_ALL,34,19)),2,IF(TRIM(INDEX(PASTE_ALL,34,19))="",0,IF(AND(LEFT(MID(TRIM(INDEX(PASTE_ALL,34,19)),1+(LEFT(TRIM(INDEX(PASTE_ALL,34,19)),1)="-"),999),LEN(MID(TRIM(INDEX(PASTE_ALL,34,19)),1+(LEFT(TRIM(INDEX(PASTE_ALL,34,19)),1)="-"),999))-(RIGHT(MID(TRIM(INDEX(PASTE_ALL,34,19)),1+(LEFT(TRIM(INDEX(PASTE_ALL,34,19)),1)="-"),999),1)="%"))&lt;&gt;"",SUBSTITUTE(SUBSTITUTE(SUBSTITUTE(SUBSTITUTE(SUBSTITUTE(SUBSTITUTE(SUBSTITUTE(SUBSTITUTE(SUBSTITUTE(SUBSTITUTE(SUBSTITUTE(SUBSTITUTE(LEFT(MID(TRIM(INDEX(PASTE_ALL,34,19)),1+(LEFT(TRIM(INDEX(PASTE_ALL,34,19)),1)="-"),999),LEN(MID(TRIM(INDEX(PASTE_ALL,34,19)),1+(LEFT(TRIM(INDEX(PASTE_ALL,34,19)),1)="-"),999))-(RIGHT(MID(TRIM(INDEX(PASTE_ALL,34,19)),1+(LEFT(TRIM(INDEX(PASTE_ALL,34,19)),1)="-"),999),1)="%")),"0",""),"1",""),"2",""),"3",""),"4",""),"5",""),"6",""),"7",""),"8",""),"9",""),".",""),",","")=""),2,1))),1)</f>
        <v/>
      </c>
      <c r="AR83">
        <f>IFERROR(IF(ISNUMBER(INDEX(PASTE_ALL,34,20)),2,IF(TRIM(INDEX(PASTE_ALL,34,20))="",0,IF(AND(LEFT(MID(TRIM(INDEX(PASTE_ALL,34,20)),1+(LEFT(TRIM(INDEX(PASTE_ALL,34,20)),1)="-"),999),LEN(MID(TRIM(INDEX(PASTE_ALL,34,20)),1+(LEFT(TRIM(INDEX(PASTE_ALL,34,20)),1)="-"),999))-(RIGHT(MID(TRIM(INDEX(PASTE_ALL,34,20)),1+(LEFT(TRIM(INDEX(PASTE_ALL,34,20)),1)="-"),999),1)="%"))&lt;&gt;"",SUBSTITUTE(SUBSTITUTE(SUBSTITUTE(SUBSTITUTE(SUBSTITUTE(SUBSTITUTE(SUBSTITUTE(SUBSTITUTE(SUBSTITUTE(SUBSTITUTE(SUBSTITUTE(SUBSTITUTE(LEFT(MID(TRIM(INDEX(PASTE_ALL,34,20)),1+(LEFT(TRIM(INDEX(PASTE_ALL,34,20)),1)="-"),999),LEN(MID(TRIM(INDEX(PASTE_ALL,34,20)),1+(LEFT(TRIM(INDEX(PASTE_ALL,34,20)),1)="-"),999))-(RIGHT(MID(TRIM(INDEX(PASTE_ALL,34,20)),1+(LEFT(TRIM(INDEX(PASTE_ALL,34,20)),1)="-"),999),1)="%")),"0",""),"1",""),"2",""),"3",""),"4",""),"5",""),"6",""),"7",""),"8",""),"9",""),".",""),",","")=""),2,1))),1)</f>
        <v/>
      </c>
      <c r="AS83">
        <f>IFERROR(IF(ISNUMBER(INDEX(PASTE_ALL,34,21)),2,IF(TRIM(INDEX(PASTE_ALL,34,21))="",0,IF(AND(LEFT(MID(TRIM(INDEX(PASTE_ALL,34,21)),1+(LEFT(TRIM(INDEX(PASTE_ALL,34,21)),1)="-"),999),LEN(MID(TRIM(INDEX(PASTE_ALL,34,21)),1+(LEFT(TRIM(INDEX(PASTE_ALL,34,21)),1)="-"),999))-(RIGHT(MID(TRIM(INDEX(PASTE_ALL,34,21)),1+(LEFT(TRIM(INDEX(PASTE_ALL,34,21)),1)="-"),999),1)="%"))&lt;&gt;"",SUBSTITUTE(SUBSTITUTE(SUBSTITUTE(SUBSTITUTE(SUBSTITUTE(SUBSTITUTE(SUBSTITUTE(SUBSTITUTE(SUBSTITUTE(SUBSTITUTE(SUBSTITUTE(SUBSTITUTE(LEFT(MID(TRIM(INDEX(PASTE_ALL,34,21)),1+(LEFT(TRIM(INDEX(PASTE_ALL,34,21)),1)="-"),999),LEN(MID(TRIM(INDEX(PASTE_ALL,34,21)),1+(LEFT(TRIM(INDEX(PASTE_ALL,34,21)),1)="-"),999))-(RIGHT(MID(TRIM(INDEX(PASTE_ALL,34,21)),1+(LEFT(TRIM(INDEX(PASTE_ALL,34,21)),1)="-"),999),1)="%")),"0",""),"1",""),"2",""),"3",""),"4",""),"5",""),"6",""),"7",""),"8",""),"9",""),".",""),",","")=""),2,1))),1)</f>
        <v/>
      </c>
      <c r="AT83">
        <f>IFERROR(IF(ISNUMBER(INDEX(PASTE_ALL,34,22)),2,IF(TRIM(INDEX(PASTE_ALL,34,22))="",0,IF(AND(LEFT(MID(TRIM(INDEX(PASTE_ALL,34,22)),1+(LEFT(TRIM(INDEX(PASTE_ALL,34,22)),1)="-"),999),LEN(MID(TRIM(INDEX(PASTE_ALL,34,22)),1+(LEFT(TRIM(INDEX(PASTE_ALL,34,22)),1)="-"),999))-(RIGHT(MID(TRIM(INDEX(PASTE_ALL,34,22)),1+(LEFT(TRIM(INDEX(PASTE_ALL,34,22)),1)="-"),999),1)="%"))&lt;&gt;"",SUBSTITUTE(SUBSTITUTE(SUBSTITUTE(SUBSTITUTE(SUBSTITUTE(SUBSTITUTE(SUBSTITUTE(SUBSTITUTE(SUBSTITUTE(SUBSTITUTE(SUBSTITUTE(SUBSTITUTE(LEFT(MID(TRIM(INDEX(PASTE_ALL,34,22)),1+(LEFT(TRIM(INDEX(PASTE_ALL,34,22)),1)="-"),999),LEN(MID(TRIM(INDEX(PASTE_ALL,34,22)),1+(LEFT(TRIM(INDEX(PASTE_ALL,34,22)),1)="-"),999))-(RIGHT(MID(TRIM(INDEX(PASTE_ALL,34,22)),1+(LEFT(TRIM(INDEX(PASTE_ALL,34,22)),1)="-"),999),1)="%")),"0",""),"1",""),"2",""),"3",""),"4",""),"5",""),"6",""),"7",""),"8",""),"9",""),".",""),",","")=""),2,1))),1)</f>
        <v/>
      </c>
      <c r="AU83">
        <f>IFERROR(IF(ISNUMBER(INDEX(PASTE_ALL,34,23)),2,IF(TRIM(INDEX(PASTE_ALL,34,23))="",0,IF(AND(LEFT(MID(TRIM(INDEX(PASTE_ALL,34,23)),1+(LEFT(TRIM(INDEX(PASTE_ALL,34,23)),1)="-"),999),LEN(MID(TRIM(INDEX(PASTE_ALL,34,23)),1+(LEFT(TRIM(INDEX(PASTE_ALL,34,23)),1)="-"),999))-(RIGHT(MID(TRIM(INDEX(PASTE_ALL,34,23)),1+(LEFT(TRIM(INDEX(PASTE_ALL,34,23)),1)="-"),999),1)="%"))&lt;&gt;"",SUBSTITUTE(SUBSTITUTE(SUBSTITUTE(SUBSTITUTE(SUBSTITUTE(SUBSTITUTE(SUBSTITUTE(SUBSTITUTE(SUBSTITUTE(SUBSTITUTE(SUBSTITUTE(SUBSTITUTE(LEFT(MID(TRIM(INDEX(PASTE_ALL,34,23)),1+(LEFT(TRIM(INDEX(PASTE_ALL,34,23)),1)="-"),999),LEN(MID(TRIM(INDEX(PASTE_ALL,34,23)),1+(LEFT(TRIM(INDEX(PASTE_ALL,34,23)),1)="-"),999))-(RIGHT(MID(TRIM(INDEX(PASTE_ALL,34,23)),1+(LEFT(TRIM(INDEX(PASTE_ALL,34,23)),1)="-"),999),1)="%")),"0",""),"1",""),"2",""),"3",""),"4",""),"5",""),"6",""),"7",""),"8",""),"9",""),".",""),",","")=""),2,1))),1)</f>
        <v/>
      </c>
      <c r="AV83">
        <f>IFERROR(IF(ISNUMBER(INDEX(PASTE_ALL,34,24)),2,IF(TRIM(INDEX(PASTE_ALL,34,24))="",0,IF(AND(LEFT(MID(TRIM(INDEX(PASTE_ALL,34,24)),1+(LEFT(TRIM(INDEX(PASTE_ALL,34,24)),1)="-"),999),LEN(MID(TRIM(INDEX(PASTE_ALL,34,24)),1+(LEFT(TRIM(INDEX(PASTE_ALL,34,24)),1)="-"),999))-(RIGHT(MID(TRIM(INDEX(PASTE_ALL,34,24)),1+(LEFT(TRIM(INDEX(PASTE_ALL,34,24)),1)="-"),999),1)="%"))&lt;&gt;"",SUBSTITUTE(SUBSTITUTE(SUBSTITUTE(SUBSTITUTE(SUBSTITUTE(SUBSTITUTE(SUBSTITUTE(SUBSTITUTE(SUBSTITUTE(SUBSTITUTE(SUBSTITUTE(SUBSTITUTE(LEFT(MID(TRIM(INDEX(PASTE_ALL,34,24)),1+(LEFT(TRIM(INDEX(PASTE_ALL,34,24)),1)="-"),999),LEN(MID(TRIM(INDEX(PASTE_ALL,34,24)),1+(LEFT(TRIM(INDEX(PASTE_ALL,34,24)),1)="-"),999))-(RIGHT(MID(TRIM(INDEX(PASTE_ALL,34,24)),1+(LEFT(TRIM(INDEX(PASTE_ALL,34,24)),1)="-"),999),1)="%")),"0",""),"1",""),"2",""),"3",""),"4",""),"5",""),"6",""),"7",""),"8",""),"9",""),".",""),",","")=""),2,1))),1)</f>
        <v/>
      </c>
      <c r="AW83">
        <f>IFERROR(IF(ISNUMBER(INDEX(PASTE_ALL,34,25)),2,IF(TRIM(INDEX(PASTE_ALL,34,25))="",0,IF(AND(LEFT(MID(TRIM(INDEX(PASTE_ALL,34,25)),1+(LEFT(TRIM(INDEX(PASTE_ALL,34,25)),1)="-"),999),LEN(MID(TRIM(INDEX(PASTE_ALL,34,25)),1+(LEFT(TRIM(INDEX(PASTE_ALL,34,25)),1)="-"),999))-(RIGHT(MID(TRIM(INDEX(PASTE_ALL,34,25)),1+(LEFT(TRIM(INDEX(PASTE_ALL,34,25)),1)="-"),999),1)="%"))&lt;&gt;"",SUBSTITUTE(SUBSTITUTE(SUBSTITUTE(SUBSTITUTE(SUBSTITUTE(SUBSTITUTE(SUBSTITUTE(SUBSTITUTE(SUBSTITUTE(SUBSTITUTE(SUBSTITUTE(SUBSTITUTE(LEFT(MID(TRIM(INDEX(PASTE_ALL,34,25)),1+(LEFT(TRIM(INDEX(PASTE_ALL,34,25)),1)="-"),999),LEN(MID(TRIM(INDEX(PASTE_ALL,34,25)),1+(LEFT(TRIM(INDEX(PASTE_ALL,34,25)),1)="-"),999))-(RIGHT(MID(TRIM(INDEX(PASTE_ALL,34,25)),1+(LEFT(TRIM(INDEX(PASTE_ALL,34,25)),1)="-"),999),1)="%")),"0",""),"1",""),"2",""),"3",""),"4",""),"5",""),"6",""),"7",""),"8",""),"9",""),".",""),",","")=""),2,1))),1)</f>
        <v/>
      </c>
      <c r="AX83">
        <f>IFERROR(IF(ISNUMBER(INDEX(PASTE_ALL,34,26)),2,IF(TRIM(INDEX(PASTE_ALL,34,26))="",0,IF(AND(LEFT(MID(TRIM(INDEX(PASTE_ALL,34,26)),1+(LEFT(TRIM(INDEX(PASTE_ALL,34,26)),1)="-"),999),LEN(MID(TRIM(INDEX(PASTE_ALL,34,26)),1+(LEFT(TRIM(INDEX(PASTE_ALL,34,26)),1)="-"),999))-(RIGHT(MID(TRIM(INDEX(PASTE_ALL,34,26)),1+(LEFT(TRIM(INDEX(PASTE_ALL,34,26)),1)="-"),999),1)="%"))&lt;&gt;"",SUBSTITUTE(SUBSTITUTE(SUBSTITUTE(SUBSTITUTE(SUBSTITUTE(SUBSTITUTE(SUBSTITUTE(SUBSTITUTE(SUBSTITUTE(SUBSTITUTE(SUBSTITUTE(SUBSTITUTE(LEFT(MID(TRIM(INDEX(PASTE_ALL,34,26)),1+(LEFT(TRIM(INDEX(PASTE_ALL,34,26)),1)="-"),999),LEN(MID(TRIM(INDEX(PASTE_ALL,34,26)),1+(LEFT(TRIM(INDEX(PASTE_ALL,34,26)),1)="-"),999))-(RIGHT(MID(TRIM(INDEX(PASTE_ALL,34,26)),1+(LEFT(TRIM(INDEX(PASTE_ALL,34,26)),1)="-"),999),1)="%")),"0",""),"1",""),"2",""),"3",""),"4",""),"5",""),"6",""),"7",""),"8",""),"9",""),".",""),",","")=""),2,1))),1)</f>
        <v/>
      </c>
      <c r="AY83">
        <f>IFERROR(IF(ISNUMBER(INDEX(PASTE_ALL,34,27)),2,IF(TRIM(INDEX(PASTE_ALL,34,27))="",0,IF(AND(LEFT(MID(TRIM(INDEX(PASTE_ALL,34,27)),1+(LEFT(TRIM(INDEX(PASTE_ALL,34,27)),1)="-"),999),LEN(MID(TRIM(INDEX(PASTE_ALL,34,27)),1+(LEFT(TRIM(INDEX(PASTE_ALL,34,27)),1)="-"),999))-(RIGHT(MID(TRIM(INDEX(PASTE_ALL,34,27)),1+(LEFT(TRIM(INDEX(PASTE_ALL,34,27)),1)="-"),999),1)="%"))&lt;&gt;"",SUBSTITUTE(SUBSTITUTE(SUBSTITUTE(SUBSTITUTE(SUBSTITUTE(SUBSTITUTE(SUBSTITUTE(SUBSTITUTE(SUBSTITUTE(SUBSTITUTE(SUBSTITUTE(SUBSTITUTE(LEFT(MID(TRIM(INDEX(PASTE_ALL,34,27)),1+(LEFT(TRIM(INDEX(PASTE_ALL,34,27)),1)="-"),999),LEN(MID(TRIM(INDEX(PASTE_ALL,34,27)),1+(LEFT(TRIM(INDEX(PASTE_ALL,34,27)),1)="-"),999))-(RIGHT(MID(TRIM(INDEX(PASTE_ALL,34,27)),1+(LEFT(TRIM(INDEX(PASTE_ALL,34,27)),1)="-"),999),1)="%")),"0",""),"1",""),"2",""),"3",""),"4",""),"5",""),"6",""),"7",""),"8",""),"9",""),".",""),",","")=""),2,1))),1)</f>
        <v/>
      </c>
      <c r="AZ83">
        <f>IFERROR(IF(ISNUMBER(INDEX(PASTE_ALL,34,28)),2,IF(TRIM(INDEX(PASTE_ALL,34,28))="",0,IF(AND(LEFT(MID(TRIM(INDEX(PASTE_ALL,34,28)),1+(LEFT(TRIM(INDEX(PASTE_ALL,34,28)),1)="-"),999),LEN(MID(TRIM(INDEX(PASTE_ALL,34,28)),1+(LEFT(TRIM(INDEX(PASTE_ALL,34,28)),1)="-"),999))-(RIGHT(MID(TRIM(INDEX(PASTE_ALL,34,28)),1+(LEFT(TRIM(INDEX(PASTE_ALL,34,28)),1)="-"),999),1)="%"))&lt;&gt;"",SUBSTITUTE(SUBSTITUTE(SUBSTITUTE(SUBSTITUTE(SUBSTITUTE(SUBSTITUTE(SUBSTITUTE(SUBSTITUTE(SUBSTITUTE(SUBSTITUTE(SUBSTITUTE(SUBSTITUTE(LEFT(MID(TRIM(INDEX(PASTE_ALL,34,28)),1+(LEFT(TRIM(INDEX(PASTE_ALL,34,28)),1)="-"),999),LEN(MID(TRIM(INDEX(PASTE_ALL,34,28)),1+(LEFT(TRIM(INDEX(PASTE_ALL,34,28)),1)="-"),999))-(RIGHT(MID(TRIM(INDEX(PASTE_ALL,34,28)),1+(LEFT(TRIM(INDEX(PASTE_ALL,34,28)),1)="-"),999),1)="%")),"0",""),"1",""),"2",""),"3",""),"4",""),"5",""),"6",""),"7",""),"8",""),"9",""),".",""),",","")=""),2,1))),1)</f>
        <v/>
      </c>
      <c r="BA83">
        <f>IFERROR(IF(ISNUMBER(INDEX(PASTE_ALL,34,29)),2,IF(TRIM(INDEX(PASTE_ALL,34,29))="",0,IF(AND(LEFT(MID(TRIM(INDEX(PASTE_ALL,34,29)),1+(LEFT(TRIM(INDEX(PASTE_ALL,34,29)),1)="-"),999),LEN(MID(TRIM(INDEX(PASTE_ALL,34,29)),1+(LEFT(TRIM(INDEX(PASTE_ALL,34,29)),1)="-"),999))-(RIGHT(MID(TRIM(INDEX(PASTE_ALL,34,29)),1+(LEFT(TRIM(INDEX(PASTE_ALL,34,29)),1)="-"),999),1)="%"))&lt;&gt;"",SUBSTITUTE(SUBSTITUTE(SUBSTITUTE(SUBSTITUTE(SUBSTITUTE(SUBSTITUTE(SUBSTITUTE(SUBSTITUTE(SUBSTITUTE(SUBSTITUTE(SUBSTITUTE(SUBSTITUTE(LEFT(MID(TRIM(INDEX(PASTE_ALL,34,29)),1+(LEFT(TRIM(INDEX(PASTE_ALL,34,29)),1)="-"),999),LEN(MID(TRIM(INDEX(PASTE_ALL,34,29)),1+(LEFT(TRIM(INDEX(PASTE_ALL,34,29)),1)="-"),999))-(RIGHT(MID(TRIM(INDEX(PASTE_ALL,34,29)),1+(LEFT(TRIM(INDEX(PASTE_ALL,34,29)),1)="-"),999),1)="%")),"0",""),"1",""),"2",""),"3",""),"4",""),"5",""),"6",""),"7",""),"8",""),"9",""),".",""),",","")=""),2,1))),1)</f>
        <v/>
      </c>
      <c r="BB83">
        <f>IFERROR(IF(ISNUMBER(INDEX(PASTE_ALL,34,30)),2,IF(TRIM(INDEX(PASTE_ALL,34,30))="",0,IF(AND(LEFT(MID(TRIM(INDEX(PASTE_ALL,34,30)),1+(LEFT(TRIM(INDEX(PASTE_ALL,34,30)),1)="-"),999),LEN(MID(TRIM(INDEX(PASTE_ALL,34,30)),1+(LEFT(TRIM(INDEX(PASTE_ALL,34,30)),1)="-"),999))-(RIGHT(MID(TRIM(INDEX(PASTE_ALL,34,30)),1+(LEFT(TRIM(INDEX(PASTE_ALL,34,30)),1)="-"),999),1)="%"))&lt;&gt;"",SUBSTITUTE(SUBSTITUTE(SUBSTITUTE(SUBSTITUTE(SUBSTITUTE(SUBSTITUTE(SUBSTITUTE(SUBSTITUTE(SUBSTITUTE(SUBSTITUTE(SUBSTITUTE(SUBSTITUTE(LEFT(MID(TRIM(INDEX(PASTE_ALL,34,30)),1+(LEFT(TRIM(INDEX(PASTE_ALL,34,30)),1)="-"),999),LEN(MID(TRIM(INDEX(PASTE_ALL,34,30)),1+(LEFT(TRIM(INDEX(PASTE_ALL,34,30)),1)="-"),999))-(RIGHT(MID(TRIM(INDEX(PASTE_ALL,34,30)),1+(LEFT(TRIM(INDEX(PASTE_ALL,34,30)),1)="-"),999),1)="%")),"0",""),"1",""),"2",""),"3",""),"4",""),"5",""),"6",""),"7",""),"8",""),"9",""),".",""),",","")=""),2,1))),1)</f>
        <v/>
      </c>
      <c r="BC83">
        <f>IFERROR(IF(ISNUMBER(INDEX(PASTE_ALL,34,31)),2,IF(TRIM(INDEX(PASTE_ALL,34,31))="",0,IF(AND(LEFT(MID(TRIM(INDEX(PASTE_ALL,34,31)),1+(LEFT(TRIM(INDEX(PASTE_ALL,34,31)),1)="-"),999),LEN(MID(TRIM(INDEX(PASTE_ALL,34,31)),1+(LEFT(TRIM(INDEX(PASTE_ALL,34,31)),1)="-"),999))-(RIGHT(MID(TRIM(INDEX(PASTE_ALL,34,31)),1+(LEFT(TRIM(INDEX(PASTE_ALL,34,31)),1)="-"),999),1)="%"))&lt;&gt;"",SUBSTITUTE(SUBSTITUTE(SUBSTITUTE(SUBSTITUTE(SUBSTITUTE(SUBSTITUTE(SUBSTITUTE(SUBSTITUTE(SUBSTITUTE(SUBSTITUTE(SUBSTITUTE(SUBSTITUTE(LEFT(MID(TRIM(INDEX(PASTE_ALL,34,31)),1+(LEFT(TRIM(INDEX(PASTE_ALL,34,31)),1)="-"),999),LEN(MID(TRIM(INDEX(PASTE_ALL,34,31)),1+(LEFT(TRIM(INDEX(PASTE_ALL,34,31)),1)="-"),999))-(RIGHT(MID(TRIM(INDEX(PASTE_ALL,34,31)),1+(LEFT(TRIM(INDEX(PASTE_ALL,34,31)),1)="-"),999),1)="%")),"0",""),"1",""),"2",""),"3",""),"4",""),"5",""),"6",""),"7",""),"8",""),"9",""),".",""),",","")=""),2,1))),1)</f>
        <v/>
      </c>
      <c r="BD83">
        <f>IFERROR(IF(ISNUMBER(INDEX(PASTE_ALL,34,32)),2,IF(TRIM(INDEX(PASTE_ALL,34,32))="",0,IF(AND(LEFT(MID(TRIM(INDEX(PASTE_ALL,34,32)),1+(LEFT(TRIM(INDEX(PASTE_ALL,34,32)),1)="-"),999),LEN(MID(TRIM(INDEX(PASTE_ALL,34,32)),1+(LEFT(TRIM(INDEX(PASTE_ALL,34,32)),1)="-"),999))-(RIGHT(MID(TRIM(INDEX(PASTE_ALL,34,32)),1+(LEFT(TRIM(INDEX(PASTE_ALL,34,32)),1)="-"),999),1)="%"))&lt;&gt;"",SUBSTITUTE(SUBSTITUTE(SUBSTITUTE(SUBSTITUTE(SUBSTITUTE(SUBSTITUTE(SUBSTITUTE(SUBSTITUTE(SUBSTITUTE(SUBSTITUTE(SUBSTITUTE(SUBSTITUTE(LEFT(MID(TRIM(INDEX(PASTE_ALL,34,32)),1+(LEFT(TRIM(INDEX(PASTE_ALL,34,32)),1)="-"),999),LEN(MID(TRIM(INDEX(PASTE_ALL,34,32)),1+(LEFT(TRIM(INDEX(PASTE_ALL,34,32)),1)="-"),999))-(RIGHT(MID(TRIM(INDEX(PASTE_ALL,34,32)),1+(LEFT(TRIM(INDEX(PASTE_ALL,34,32)),1)="-"),999),1)="%")),"0",""),"1",""),"2",""),"3",""),"4",""),"5",""),"6",""),"7",""),"8",""),"9",""),".",""),",","")=""),2,1))),1)</f>
        <v/>
      </c>
      <c r="BE83">
        <f>IFERROR(IF(ISNUMBER(INDEX(PASTE_ALL,34,33)),2,IF(TRIM(INDEX(PASTE_ALL,34,33))="",0,IF(AND(LEFT(MID(TRIM(INDEX(PASTE_ALL,34,33)),1+(LEFT(TRIM(INDEX(PASTE_ALL,34,33)),1)="-"),999),LEN(MID(TRIM(INDEX(PASTE_ALL,34,33)),1+(LEFT(TRIM(INDEX(PASTE_ALL,34,33)),1)="-"),999))-(RIGHT(MID(TRIM(INDEX(PASTE_ALL,34,33)),1+(LEFT(TRIM(INDEX(PASTE_ALL,34,33)),1)="-"),999),1)="%"))&lt;&gt;"",SUBSTITUTE(SUBSTITUTE(SUBSTITUTE(SUBSTITUTE(SUBSTITUTE(SUBSTITUTE(SUBSTITUTE(SUBSTITUTE(SUBSTITUTE(SUBSTITUTE(SUBSTITUTE(SUBSTITUTE(LEFT(MID(TRIM(INDEX(PASTE_ALL,34,33)),1+(LEFT(TRIM(INDEX(PASTE_ALL,34,33)),1)="-"),999),LEN(MID(TRIM(INDEX(PASTE_ALL,34,33)),1+(LEFT(TRIM(INDEX(PASTE_ALL,34,33)),1)="-"),999))-(RIGHT(MID(TRIM(INDEX(PASTE_ALL,34,33)),1+(LEFT(TRIM(INDEX(PASTE_ALL,34,33)),1)="-"),999),1)="%")),"0",""),"1",""),"2",""),"3",""),"4",""),"5",""),"6",""),"7",""),"8",""),"9",""),".",""),",","")=""),2,1))),1)</f>
        <v/>
      </c>
      <c r="BF83">
        <f>IFERROR(IF(ISNUMBER(INDEX(PASTE_ALL,34,34)),2,IF(TRIM(INDEX(PASTE_ALL,34,34))="",0,IF(AND(LEFT(MID(TRIM(INDEX(PASTE_ALL,34,34)),1+(LEFT(TRIM(INDEX(PASTE_ALL,34,34)),1)="-"),999),LEN(MID(TRIM(INDEX(PASTE_ALL,34,34)),1+(LEFT(TRIM(INDEX(PASTE_ALL,34,34)),1)="-"),999))-(RIGHT(MID(TRIM(INDEX(PASTE_ALL,34,34)),1+(LEFT(TRIM(INDEX(PASTE_ALL,34,34)),1)="-"),999),1)="%"))&lt;&gt;"",SUBSTITUTE(SUBSTITUTE(SUBSTITUTE(SUBSTITUTE(SUBSTITUTE(SUBSTITUTE(SUBSTITUTE(SUBSTITUTE(SUBSTITUTE(SUBSTITUTE(SUBSTITUTE(SUBSTITUTE(LEFT(MID(TRIM(INDEX(PASTE_ALL,34,34)),1+(LEFT(TRIM(INDEX(PASTE_ALL,34,34)),1)="-"),999),LEN(MID(TRIM(INDEX(PASTE_ALL,34,34)),1+(LEFT(TRIM(INDEX(PASTE_ALL,34,34)),1)="-"),999))-(RIGHT(MID(TRIM(INDEX(PASTE_ALL,34,34)),1+(LEFT(TRIM(INDEX(PASTE_ALL,34,34)),1)="-"),999),1)="%")),"0",""),"1",""),"2",""),"3",""),"4",""),"5",""),"6",""),"7",""),"8",""),"9",""),".",""),",","")=""),2,1))),1)</f>
        <v/>
      </c>
      <c r="BG83">
        <f>IFERROR(IF(ISNUMBER(INDEX(PASTE_ALL,34,35)),2,IF(TRIM(INDEX(PASTE_ALL,34,35))="",0,IF(AND(LEFT(MID(TRIM(INDEX(PASTE_ALL,34,35)),1+(LEFT(TRIM(INDEX(PASTE_ALL,34,35)),1)="-"),999),LEN(MID(TRIM(INDEX(PASTE_ALL,34,35)),1+(LEFT(TRIM(INDEX(PASTE_ALL,34,35)),1)="-"),999))-(RIGHT(MID(TRIM(INDEX(PASTE_ALL,34,35)),1+(LEFT(TRIM(INDEX(PASTE_ALL,34,35)),1)="-"),999),1)="%"))&lt;&gt;"",SUBSTITUTE(SUBSTITUTE(SUBSTITUTE(SUBSTITUTE(SUBSTITUTE(SUBSTITUTE(SUBSTITUTE(SUBSTITUTE(SUBSTITUTE(SUBSTITUTE(SUBSTITUTE(SUBSTITUTE(LEFT(MID(TRIM(INDEX(PASTE_ALL,34,35)),1+(LEFT(TRIM(INDEX(PASTE_ALL,34,35)),1)="-"),999),LEN(MID(TRIM(INDEX(PASTE_ALL,34,35)),1+(LEFT(TRIM(INDEX(PASTE_ALL,34,35)),1)="-"),999))-(RIGHT(MID(TRIM(INDEX(PASTE_ALL,34,35)),1+(LEFT(TRIM(INDEX(PASTE_ALL,34,35)),1)="-"),999),1)="%")),"0",""),"1",""),"2",""),"3",""),"4",""),"5",""),"6",""),"7",""),"8",""),"9",""),".",""),",","")=""),2,1))),1)</f>
        <v/>
      </c>
      <c r="BH83">
        <f>IFERROR(IF(ISNUMBER(INDEX(PASTE_ALL,34,36)),2,IF(TRIM(INDEX(PASTE_ALL,34,36))="",0,IF(AND(LEFT(MID(TRIM(INDEX(PASTE_ALL,34,36)),1+(LEFT(TRIM(INDEX(PASTE_ALL,34,36)),1)="-"),999),LEN(MID(TRIM(INDEX(PASTE_ALL,34,36)),1+(LEFT(TRIM(INDEX(PASTE_ALL,34,36)),1)="-"),999))-(RIGHT(MID(TRIM(INDEX(PASTE_ALL,34,36)),1+(LEFT(TRIM(INDEX(PASTE_ALL,34,36)),1)="-"),999),1)="%"))&lt;&gt;"",SUBSTITUTE(SUBSTITUTE(SUBSTITUTE(SUBSTITUTE(SUBSTITUTE(SUBSTITUTE(SUBSTITUTE(SUBSTITUTE(SUBSTITUTE(SUBSTITUTE(SUBSTITUTE(SUBSTITUTE(LEFT(MID(TRIM(INDEX(PASTE_ALL,34,36)),1+(LEFT(TRIM(INDEX(PASTE_ALL,34,36)),1)="-"),999),LEN(MID(TRIM(INDEX(PASTE_ALL,34,36)),1+(LEFT(TRIM(INDEX(PASTE_ALL,34,36)),1)="-"),999))-(RIGHT(MID(TRIM(INDEX(PASTE_ALL,34,36)),1+(LEFT(TRIM(INDEX(PASTE_ALL,34,36)),1)="-"),999),1)="%")),"0",""),"1",""),"2",""),"3",""),"4",""),"5",""),"6",""),"7",""),"8",""),"9",""),".",""),",","")=""),2,1))),1)</f>
        <v/>
      </c>
      <c r="BI83">
        <f>IFERROR(IF(ISNUMBER(INDEX(PASTE_ALL,34,37)),2,IF(TRIM(INDEX(PASTE_ALL,34,37))="",0,IF(AND(LEFT(MID(TRIM(INDEX(PASTE_ALL,34,37)),1+(LEFT(TRIM(INDEX(PASTE_ALL,34,37)),1)="-"),999),LEN(MID(TRIM(INDEX(PASTE_ALL,34,37)),1+(LEFT(TRIM(INDEX(PASTE_ALL,34,37)),1)="-"),999))-(RIGHT(MID(TRIM(INDEX(PASTE_ALL,34,37)),1+(LEFT(TRIM(INDEX(PASTE_ALL,34,37)),1)="-"),999),1)="%"))&lt;&gt;"",SUBSTITUTE(SUBSTITUTE(SUBSTITUTE(SUBSTITUTE(SUBSTITUTE(SUBSTITUTE(SUBSTITUTE(SUBSTITUTE(SUBSTITUTE(SUBSTITUTE(SUBSTITUTE(SUBSTITUTE(LEFT(MID(TRIM(INDEX(PASTE_ALL,34,37)),1+(LEFT(TRIM(INDEX(PASTE_ALL,34,37)),1)="-"),999),LEN(MID(TRIM(INDEX(PASTE_ALL,34,37)),1+(LEFT(TRIM(INDEX(PASTE_ALL,34,37)),1)="-"),999))-(RIGHT(MID(TRIM(INDEX(PASTE_ALL,34,37)),1+(LEFT(TRIM(INDEX(PASTE_ALL,34,37)),1)="-"),999),1)="%")),"0",""),"1",""),"2",""),"3",""),"4",""),"5",""),"6",""),"7",""),"8",""),"9",""),".",""),",","")=""),2,1))),1)</f>
        <v/>
      </c>
      <c r="BJ83">
        <f>IFERROR(IF(ISNUMBER(INDEX(PASTE_ALL,34,38)),2,IF(TRIM(INDEX(PASTE_ALL,34,38))="",0,IF(AND(LEFT(MID(TRIM(INDEX(PASTE_ALL,34,38)),1+(LEFT(TRIM(INDEX(PASTE_ALL,34,38)),1)="-"),999),LEN(MID(TRIM(INDEX(PASTE_ALL,34,38)),1+(LEFT(TRIM(INDEX(PASTE_ALL,34,38)),1)="-"),999))-(RIGHT(MID(TRIM(INDEX(PASTE_ALL,34,38)),1+(LEFT(TRIM(INDEX(PASTE_ALL,34,38)),1)="-"),999),1)="%"))&lt;&gt;"",SUBSTITUTE(SUBSTITUTE(SUBSTITUTE(SUBSTITUTE(SUBSTITUTE(SUBSTITUTE(SUBSTITUTE(SUBSTITUTE(SUBSTITUTE(SUBSTITUTE(SUBSTITUTE(SUBSTITUTE(LEFT(MID(TRIM(INDEX(PASTE_ALL,34,38)),1+(LEFT(TRIM(INDEX(PASTE_ALL,34,38)),1)="-"),999),LEN(MID(TRIM(INDEX(PASTE_ALL,34,38)),1+(LEFT(TRIM(INDEX(PASTE_ALL,34,38)),1)="-"),999))-(RIGHT(MID(TRIM(INDEX(PASTE_ALL,34,38)),1+(LEFT(TRIM(INDEX(PASTE_ALL,34,38)),1)="-"),999),1)="%")),"0",""),"1",""),"2",""),"3",""),"4",""),"5",""),"6",""),"7",""),"8",""),"9",""),".",""),",","")=""),2,1))),1)</f>
        <v/>
      </c>
      <c r="BK83">
        <f>IFERROR(IF(ISNUMBER(INDEX(PASTE_ALL,34,39)),2,IF(TRIM(INDEX(PASTE_ALL,34,39))="",0,IF(AND(LEFT(MID(TRIM(INDEX(PASTE_ALL,34,39)),1+(LEFT(TRIM(INDEX(PASTE_ALL,34,39)),1)="-"),999),LEN(MID(TRIM(INDEX(PASTE_ALL,34,39)),1+(LEFT(TRIM(INDEX(PASTE_ALL,34,39)),1)="-"),999))-(RIGHT(MID(TRIM(INDEX(PASTE_ALL,34,39)),1+(LEFT(TRIM(INDEX(PASTE_ALL,34,39)),1)="-"),999),1)="%"))&lt;&gt;"",SUBSTITUTE(SUBSTITUTE(SUBSTITUTE(SUBSTITUTE(SUBSTITUTE(SUBSTITUTE(SUBSTITUTE(SUBSTITUTE(SUBSTITUTE(SUBSTITUTE(SUBSTITUTE(SUBSTITUTE(LEFT(MID(TRIM(INDEX(PASTE_ALL,34,39)),1+(LEFT(TRIM(INDEX(PASTE_ALL,34,39)),1)="-"),999),LEN(MID(TRIM(INDEX(PASTE_ALL,34,39)),1+(LEFT(TRIM(INDEX(PASTE_ALL,34,39)),1)="-"),999))-(RIGHT(MID(TRIM(INDEX(PASTE_ALL,34,39)),1+(LEFT(TRIM(INDEX(PASTE_ALL,34,39)),1)="-"),999),1)="%")),"0",""),"1",""),"2",""),"3",""),"4",""),"5",""),"6",""),"7",""),"8",""),"9",""),".",""),",","")=""),2,1))),1)</f>
        <v/>
      </c>
      <c r="BL83">
        <f>IFERROR(IF(ISNUMBER(INDEX(PASTE_ALL,34,40)),2,IF(TRIM(INDEX(PASTE_ALL,34,40))="",0,IF(AND(LEFT(MID(TRIM(INDEX(PASTE_ALL,34,40)),1+(LEFT(TRIM(INDEX(PASTE_ALL,34,40)),1)="-"),999),LEN(MID(TRIM(INDEX(PASTE_ALL,34,40)),1+(LEFT(TRIM(INDEX(PASTE_ALL,34,40)),1)="-"),999))-(RIGHT(MID(TRIM(INDEX(PASTE_ALL,34,40)),1+(LEFT(TRIM(INDEX(PASTE_ALL,34,40)),1)="-"),999),1)="%"))&lt;&gt;"",SUBSTITUTE(SUBSTITUTE(SUBSTITUTE(SUBSTITUTE(SUBSTITUTE(SUBSTITUTE(SUBSTITUTE(SUBSTITUTE(SUBSTITUTE(SUBSTITUTE(SUBSTITUTE(SUBSTITUTE(LEFT(MID(TRIM(INDEX(PASTE_ALL,34,40)),1+(LEFT(TRIM(INDEX(PASTE_ALL,34,40)),1)="-"),999),LEN(MID(TRIM(INDEX(PASTE_ALL,34,40)),1+(LEFT(TRIM(INDEX(PASTE_ALL,34,40)),1)="-"),999))-(RIGHT(MID(TRIM(INDEX(PASTE_ALL,34,40)),1+(LEFT(TRIM(INDEX(PASTE_ALL,34,40)),1)="-"),999),1)="%")),"0",""),"1",""),"2",""),"3",""),"4",""),"5",""),"6",""),"7",""),"8",""),"9",""),".",""),",","")=""),2,1))),1)</f>
        <v/>
      </c>
      <c r="BM83">
        <f>IFERROR(IF(ISNUMBER(INDEX(PASTE_ALL,34,41)),2,IF(TRIM(INDEX(PASTE_ALL,34,41))="",0,IF(AND(LEFT(MID(TRIM(INDEX(PASTE_ALL,34,41)),1+(LEFT(TRIM(INDEX(PASTE_ALL,34,41)),1)="-"),999),LEN(MID(TRIM(INDEX(PASTE_ALL,34,41)),1+(LEFT(TRIM(INDEX(PASTE_ALL,34,41)),1)="-"),999))-(RIGHT(MID(TRIM(INDEX(PASTE_ALL,34,41)),1+(LEFT(TRIM(INDEX(PASTE_ALL,34,41)),1)="-"),999),1)="%"))&lt;&gt;"",SUBSTITUTE(SUBSTITUTE(SUBSTITUTE(SUBSTITUTE(SUBSTITUTE(SUBSTITUTE(SUBSTITUTE(SUBSTITUTE(SUBSTITUTE(SUBSTITUTE(SUBSTITUTE(SUBSTITUTE(LEFT(MID(TRIM(INDEX(PASTE_ALL,34,41)),1+(LEFT(TRIM(INDEX(PASTE_ALL,34,41)),1)="-"),999),LEN(MID(TRIM(INDEX(PASTE_ALL,34,41)),1+(LEFT(TRIM(INDEX(PASTE_ALL,34,41)),1)="-"),999))-(RIGHT(MID(TRIM(INDEX(PASTE_ALL,34,41)),1+(LEFT(TRIM(INDEX(PASTE_ALL,34,41)),1)="-"),999),1)="%")),"0",""),"1",""),"2",""),"3",""),"4",""),"5",""),"6",""),"7",""),"8",""),"9",""),".",""),",","")=""),2,1))),1)</f>
        <v/>
      </c>
      <c r="BN83">
        <f>IFERROR(IF(ISNUMBER(INDEX(PASTE_ALL,34,42)),2,IF(TRIM(INDEX(PASTE_ALL,34,42))="",0,IF(AND(LEFT(MID(TRIM(INDEX(PASTE_ALL,34,42)),1+(LEFT(TRIM(INDEX(PASTE_ALL,34,42)),1)="-"),999),LEN(MID(TRIM(INDEX(PASTE_ALL,34,42)),1+(LEFT(TRIM(INDEX(PASTE_ALL,34,42)),1)="-"),999))-(RIGHT(MID(TRIM(INDEX(PASTE_ALL,34,42)),1+(LEFT(TRIM(INDEX(PASTE_ALL,34,42)),1)="-"),999),1)="%"))&lt;&gt;"",SUBSTITUTE(SUBSTITUTE(SUBSTITUTE(SUBSTITUTE(SUBSTITUTE(SUBSTITUTE(SUBSTITUTE(SUBSTITUTE(SUBSTITUTE(SUBSTITUTE(SUBSTITUTE(SUBSTITUTE(LEFT(MID(TRIM(INDEX(PASTE_ALL,34,42)),1+(LEFT(TRIM(INDEX(PASTE_ALL,34,42)),1)="-"),999),LEN(MID(TRIM(INDEX(PASTE_ALL,34,42)),1+(LEFT(TRIM(INDEX(PASTE_ALL,34,42)),1)="-"),999))-(RIGHT(MID(TRIM(INDEX(PASTE_ALL,34,42)),1+(LEFT(TRIM(INDEX(PASTE_ALL,34,42)),1)="-"),999),1)="%")),"0",""),"1",""),"2",""),"3",""),"4",""),"5",""),"6",""),"7",""),"8",""),"9",""),".",""),",","")=""),2,1))),1)</f>
        <v/>
      </c>
      <c r="BO83">
        <f>IFERROR(IF(ISNUMBER(INDEX(PASTE_ALL,34,43)),2,IF(TRIM(INDEX(PASTE_ALL,34,43))="",0,IF(AND(LEFT(MID(TRIM(INDEX(PASTE_ALL,34,43)),1+(LEFT(TRIM(INDEX(PASTE_ALL,34,43)),1)="-"),999),LEN(MID(TRIM(INDEX(PASTE_ALL,34,43)),1+(LEFT(TRIM(INDEX(PASTE_ALL,34,43)),1)="-"),999))-(RIGHT(MID(TRIM(INDEX(PASTE_ALL,34,43)),1+(LEFT(TRIM(INDEX(PASTE_ALL,34,43)),1)="-"),999),1)="%"))&lt;&gt;"",SUBSTITUTE(SUBSTITUTE(SUBSTITUTE(SUBSTITUTE(SUBSTITUTE(SUBSTITUTE(SUBSTITUTE(SUBSTITUTE(SUBSTITUTE(SUBSTITUTE(SUBSTITUTE(SUBSTITUTE(LEFT(MID(TRIM(INDEX(PASTE_ALL,34,43)),1+(LEFT(TRIM(INDEX(PASTE_ALL,34,43)),1)="-"),999),LEN(MID(TRIM(INDEX(PASTE_ALL,34,43)),1+(LEFT(TRIM(INDEX(PASTE_ALL,34,43)),1)="-"),999))-(RIGHT(MID(TRIM(INDEX(PASTE_ALL,34,43)),1+(LEFT(TRIM(INDEX(PASTE_ALL,34,43)),1)="-"),999),1)="%")),"0",""),"1",""),"2",""),"3",""),"4",""),"5",""),"6",""),"7",""),"8",""),"9",""),".",""),",","")=""),2,1))),1)</f>
        <v/>
      </c>
      <c r="BP83">
        <f>IFERROR(IF(ISNUMBER(INDEX(PASTE_ALL,34,44)),2,IF(TRIM(INDEX(PASTE_ALL,34,44))="",0,IF(AND(LEFT(MID(TRIM(INDEX(PASTE_ALL,34,44)),1+(LEFT(TRIM(INDEX(PASTE_ALL,34,44)),1)="-"),999),LEN(MID(TRIM(INDEX(PASTE_ALL,34,44)),1+(LEFT(TRIM(INDEX(PASTE_ALL,34,44)),1)="-"),999))-(RIGHT(MID(TRIM(INDEX(PASTE_ALL,34,44)),1+(LEFT(TRIM(INDEX(PASTE_ALL,34,44)),1)="-"),999),1)="%"))&lt;&gt;"",SUBSTITUTE(SUBSTITUTE(SUBSTITUTE(SUBSTITUTE(SUBSTITUTE(SUBSTITUTE(SUBSTITUTE(SUBSTITUTE(SUBSTITUTE(SUBSTITUTE(SUBSTITUTE(SUBSTITUTE(LEFT(MID(TRIM(INDEX(PASTE_ALL,34,44)),1+(LEFT(TRIM(INDEX(PASTE_ALL,34,44)),1)="-"),999),LEN(MID(TRIM(INDEX(PASTE_ALL,34,44)),1+(LEFT(TRIM(INDEX(PASTE_ALL,34,44)),1)="-"),999))-(RIGHT(MID(TRIM(INDEX(PASTE_ALL,34,44)),1+(LEFT(TRIM(INDEX(PASTE_ALL,34,44)),1)="-"),999),1)="%")),"0",""),"1",""),"2",""),"3",""),"4",""),"5",""),"6",""),"7",""),"8",""),"9",""),".",""),",","")=""),2,1))),1)</f>
        <v/>
      </c>
      <c r="BQ83">
        <f>IFERROR(IF(ISNUMBER(INDEX(PASTE_ALL,34,45)),2,IF(TRIM(INDEX(PASTE_ALL,34,45))="",0,IF(AND(LEFT(MID(TRIM(INDEX(PASTE_ALL,34,45)),1+(LEFT(TRIM(INDEX(PASTE_ALL,34,45)),1)="-"),999),LEN(MID(TRIM(INDEX(PASTE_ALL,34,45)),1+(LEFT(TRIM(INDEX(PASTE_ALL,34,45)),1)="-"),999))-(RIGHT(MID(TRIM(INDEX(PASTE_ALL,34,45)),1+(LEFT(TRIM(INDEX(PASTE_ALL,34,45)),1)="-"),999),1)="%"))&lt;&gt;"",SUBSTITUTE(SUBSTITUTE(SUBSTITUTE(SUBSTITUTE(SUBSTITUTE(SUBSTITUTE(SUBSTITUTE(SUBSTITUTE(SUBSTITUTE(SUBSTITUTE(SUBSTITUTE(SUBSTITUTE(LEFT(MID(TRIM(INDEX(PASTE_ALL,34,45)),1+(LEFT(TRIM(INDEX(PASTE_ALL,34,45)),1)="-"),999),LEN(MID(TRIM(INDEX(PASTE_ALL,34,45)),1+(LEFT(TRIM(INDEX(PASTE_ALL,34,45)),1)="-"),999))-(RIGHT(MID(TRIM(INDEX(PASTE_ALL,34,45)),1+(LEFT(TRIM(INDEX(PASTE_ALL,34,45)),1)="-"),999),1)="%")),"0",""),"1",""),"2",""),"3",""),"4",""),"5",""),"6",""),"7",""),"8",""),"9",""),".",""),",","")=""),2,1))),1)</f>
        <v/>
      </c>
      <c r="BR83">
        <f>IFERROR(IF(ISNUMBER(INDEX(PASTE_ALL,34,46)),2,IF(TRIM(INDEX(PASTE_ALL,34,46))="",0,IF(AND(LEFT(MID(TRIM(INDEX(PASTE_ALL,34,46)),1+(LEFT(TRIM(INDEX(PASTE_ALL,34,46)),1)="-"),999),LEN(MID(TRIM(INDEX(PASTE_ALL,34,46)),1+(LEFT(TRIM(INDEX(PASTE_ALL,34,46)),1)="-"),999))-(RIGHT(MID(TRIM(INDEX(PASTE_ALL,34,46)),1+(LEFT(TRIM(INDEX(PASTE_ALL,34,46)),1)="-"),999),1)="%"))&lt;&gt;"",SUBSTITUTE(SUBSTITUTE(SUBSTITUTE(SUBSTITUTE(SUBSTITUTE(SUBSTITUTE(SUBSTITUTE(SUBSTITUTE(SUBSTITUTE(SUBSTITUTE(SUBSTITUTE(SUBSTITUTE(LEFT(MID(TRIM(INDEX(PASTE_ALL,34,46)),1+(LEFT(TRIM(INDEX(PASTE_ALL,34,46)),1)="-"),999),LEN(MID(TRIM(INDEX(PASTE_ALL,34,46)),1+(LEFT(TRIM(INDEX(PASTE_ALL,34,46)),1)="-"),999))-(RIGHT(MID(TRIM(INDEX(PASTE_ALL,34,46)),1+(LEFT(TRIM(INDEX(PASTE_ALL,34,46)),1)="-"),999),1)="%")),"0",""),"1",""),"2",""),"3",""),"4",""),"5",""),"6",""),"7",""),"8",""),"9",""),".",""),",","")=""),2,1))),1)</f>
        <v/>
      </c>
      <c r="BS83">
        <f>IFERROR(IF(ISNUMBER(INDEX(PASTE_ALL,34,47)),2,IF(TRIM(INDEX(PASTE_ALL,34,47))="",0,IF(AND(LEFT(MID(TRIM(INDEX(PASTE_ALL,34,47)),1+(LEFT(TRIM(INDEX(PASTE_ALL,34,47)),1)="-"),999),LEN(MID(TRIM(INDEX(PASTE_ALL,34,47)),1+(LEFT(TRIM(INDEX(PASTE_ALL,34,47)),1)="-"),999))-(RIGHT(MID(TRIM(INDEX(PASTE_ALL,34,47)),1+(LEFT(TRIM(INDEX(PASTE_ALL,34,47)),1)="-"),999),1)="%"))&lt;&gt;"",SUBSTITUTE(SUBSTITUTE(SUBSTITUTE(SUBSTITUTE(SUBSTITUTE(SUBSTITUTE(SUBSTITUTE(SUBSTITUTE(SUBSTITUTE(SUBSTITUTE(SUBSTITUTE(SUBSTITUTE(LEFT(MID(TRIM(INDEX(PASTE_ALL,34,47)),1+(LEFT(TRIM(INDEX(PASTE_ALL,34,47)),1)="-"),999),LEN(MID(TRIM(INDEX(PASTE_ALL,34,47)),1+(LEFT(TRIM(INDEX(PASTE_ALL,34,47)),1)="-"),999))-(RIGHT(MID(TRIM(INDEX(PASTE_ALL,34,47)),1+(LEFT(TRIM(INDEX(PASTE_ALL,34,47)),1)="-"),999),1)="%")),"0",""),"1",""),"2",""),"3",""),"4",""),"5",""),"6",""),"7",""),"8",""),"9",""),".",""),",","")=""),2,1))),1)</f>
        <v/>
      </c>
      <c r="BT83">
        <f>IFERROR(IF(ISNUMBER(INDEX(PASTE_ALL,34,48)),2,IF(TRIM(INDEX(PASTE_ALL,34,48))="",0,IF(AND(LEFT(MID(TRIM(INDEX(PASTE_ALL,34,48)),1+(LEFT(TRIM(INDEX(PASTE_ALL,34,48)),1)="-"),999),LEN(MID(TRIM(INDEX(PASTE_ALL,34,48)),1+(LEFT(TRIM(INDEX(PASTE_ALL,34,48)),1)="-"),999))-(RIGHT(MID(TRIM(INDEX(PASTE_ALL,34,48)),1+(LEFT(TRIM(INDEX(PASTE_ALL,34,48)),1)="-"),999),1)="%"))&lt;&gt;"",SUBSTITUTE(SUBSTITUTE(SUBSTITUTE(SUBSTITUTE(SUBSTITUTE(SUBSTITUTE(SUBSTITUTE(SUBSTITUTE(SUBSTITUTE(SUBSTITUTE(SUBSTITUTE(SUBSTITUTE(LEFT(MID(TRIM(INDEX(PASTE_ALL,34,48)),1+(LEFT(TRIM(INDEX(PASTE_ALL,34,48)),1)="-"),999),LEN(MID(TRIM(INDEX(PASTE_ALL,34,48)),1+(LEFT(TRIM(INDEX(PASTE_ALL,34,48)),1)="-"),999))-(RIGHT(MID(TRIM(INDEX(PASTE_ALL,34,48)),1+(LEFT(TRIM(INDEX(PASTE_ALL,34,48)),1)="-"),999),1)="%")),"0",""),"1",""),"2",""),"3",""),"4",""),"5",""),"6",""),"7",""),"8",""),"9",""),".",""),",","")=""),2,1))),1)</f>
        <v/>
      </c>
      <c r="BU83">
        <f>IFERROR(IF(ISNUMBER(INDEX(PASTE_ALL,34,49)),2,IF(TRIM(INDEX(PASTE_ALL,34,49))="",0,IF(AND(LEFT(MID(TRIM(INDEX(PASTE_ALL,34,49)),1+(LEFT(TRIM(INDEX(PASTE_ALL,34,49)),1)="-"),999),LEN(MID(TRIM(INDEX(PASTE_ALL,34,49)),1+(LEFT(TRIM(INDEX(PASTE_ALL,34,49)),1)="-"),999))-(RIGHT(MID(TRIM(INDEX(PASTE_ALL,34,49)),1+(LEFT(TRIM(INDEX(PASTE_ALL,34,49)),1)="-"),999),1)="%"))&lt;&gt;"",SUBSTITUTE(SUBSTITUTE(SUBSTITUTE(SUBSTITUTE(SUBSTITUTE(SUBSTITUTE(SUBSTITUTE(SUBSTITUTE(SUBSTITUTE(SUBSTITUTE(SUBSTITUTE(SUBSTITUTE(LEFT(MID(TRIM(INDEX(PASTE_ALL,34,49)),1+(LEFT(TRIM(INDEX(PASTE_ALL,34,49)),1)="-"),999),LEN(MID(TRIM(INDEX(PASTE_ALL,34,49)),1+(LEFT(TRIM(INDEX(PASTE_ALL,34,49)),1)="-"),999))-(RIGHT(MID(TRIM(INDEX(PASTE_ALL,34,49)),1+(LEFT(TRIM(INDEX(PASTE_ALL,34,49)),1)="-"),999),1)="%")),"0",""),"1",""),"2",""),"3",""),"4",""),"5",""),"6",""),"7",""),"8",""),"9",""),".",""),",","")=""),2,1))),1)</f>
        <v/>
      </c>
      <c r="BV83">
        <f>IFERROR(IF(ISNUMBER(INDEX(PASTE_ALL,34,50)),2,IF(TRIM(INDEX(PASTE_ALL,34,50))="",0,IF(AND(LEFT(MID(TRIM(INDEX(PASTE_ALL,34,50)),1+(LEFT(TRIM(INDEX(PASTE_ALL,34,50)),1)="-"),999),LEN(MID(TRIM(INDEX(PASTE_ALL,34,50)),1+(LEFT(TRIM(INDEX(PASTE_ALL,34,50)),1)="-"),999))-(RIGHT(MID(TRIM(INDEX(PASTE_ALL,34,50)),1+(LEFT(TRIM(INDEX(PASTE_ALL,34,50)),1)="-"),999),1)="%"))&lt;&gt;"",SUBSTITUTE(SUBSTITUTE(SUBSTITUTE(SUBSTITUTE(SUBSTITUTE(SUBSTITUTE(SUBSTITUTE(SUBSTITUTE(SUBSTITUTE(SUBSTITUTE(SUBSTITUTE(SUBSTITUTE(LEFT(MID(TRIM(INDEX(PASTE_ALL,34,50)),1+(LEFT(TRIM(INDEX(PASTE_ALL,34,50)),1)="-"),999),LEN(MID(TRIM(INDEX(PASTE_ALL,34,50)),1+(LEFT(TRIM(INDEX(PASTE_ALL,34,50)),1)="-"),999))-(RIGHT(MID(TRIM(INDEX(PASTE_ALL,34,50)),1+(LEFT(TRIM(INDEX(PASTE_ALL,34,50)),1)="-"),999),1)="%")),"0",""),"1",""),"2",""),"3",""),"4",""),"5",""),"6",""),"7",""),"8",""),"9",""),".",""),",","")=""),2,1))),1)</f>
        <v/>
      </c>
      <c r="BW83">
        <f>IFERROR(IF(ISNUMBER(INDEX(PASTE_ALL,34,51)),2,IF(TRIM(INDEX(PASTE_ALL,34,51))="",0,IF(AND(LEFT(MID(TRIM(INDEX(PASTE_ALL,34,51)),1+(LEFT(TRIM(INDEX(PASTE_ALL,34,51)),1)="-"),999),LEN(MID(TRIM(INDEX(PASTE_ALL,34,51)),1+(LEFT(TRIM(INDEX(PASTE_ALL,34,51)),1)="-"),999))-(RIGHT(MID(TRIM(INDEX(PASTE_ALL,34,51)),1+(LEFT(TRIM(INDEX(PASTE_ALL,34,51)),1)="-"),999),1)="%"))&lt;&gt;"",SUBSTITUTE(SUBSTITUTE(SUBSTITUTE(SUBSTITUTE(SUBSTITUTE(SUBSTITUTE(SUBSTITUTE(SUBSTITUTE(SUBSTITUTE(SUBSTITUTE(SUBSTITUTE(SUBSTITUTE(LEFT(MID(TRIM(INDEX(PASTE_ALL,34,51)),1+(LEFT(TRIM(INDEX(PASTE_ALL,34,51)),1)="-"),999),LEN(MID(TRIM(INDEX(PASTE_ALL,34,51)),1+(LEFT(TRIM(INDEX(PASTE_ALL,34,51)),1)="-"),999))-(RIGHT(MID(TRIM(INDEX(PASTE_ALL,34,51)),1+(LEFT(TRIM(INDEX(PASTE_ALL,34,51)),1)="-"),999),1)="%")),"0",""),"1",""),"2",""),"3",""),"4",""),"5",""),"6",""),"7",""),"8",""),"9",""),".",""),",","")=""),2,1))),1)</f>
        <v/>
      </c>
      <c r="BX83">
        <f>IFERROR(IF(ISNUMBER(INDEX(PASTE_ALL,34,52)),2,IF(TRIM(INDEX(PASTE_ALL,34,52))="",0,IF(AND(LEFT(MID(TRIM(INDEX(PASTE_ALL,34,52)),1+(LEFT(TRIM(INDEX(PASTE_ALL,34,52)),1)="-"),999),LEN(MID(TRIM(INDEX(PASTE_ALL,34,52)),1+(LEFT(TRIM(INDEX(PASTE_ALL,34,52)),1)="-"),999))-(RIGHT(MID(TRIM(INDEX(PASTE_ALL,34,52)),1+(LEFT(TRIM(INDEX(PASTE_ALL,34,52)),1)="-"),999),1)="%"))&lt;&gt;"",SUBSTITUTE(SUBSTITUTE(SUBSTITUTE(SUBSTITUTE(SUBSTITUTE(SUBSTITUTE(SUBSTITUTE(SUBSTITUTE(SUBSTITUTE(SUBSTITUTE(SUBSTITUTE(SUBSTITUTE(LEFT(MID(TRIM(INDEX(PASTE_ALL,34,52)),1+(LEFT(TRIM(INDEX(PASTE_ALL,34,52)),1)="-"),999),LEN(MID(TRIM(INDEX(PASTE_ALL,34,52)),1+(LEFT(TRIM(INDEX(PASTE_ALL,34,52)),1)="-"),999))-(RIGHT(MID(TRIM(INDEX(PASTE_ALL,34,52)),1+(LEFT(TRIM(INDEX(PASTE_ALL,34,52)),1)="-"),999),1)="%")),"0",""),"1",""),"2",""),"3",""),"4",""),"5",""),"6",""),"7",""),"8",""),"9",""),".",""),",","")=""),2,1))),1)</f>
        <v/>
      </c>
      <c r="BY83">
        <f>IFERROR(IF(ISNUMBER(INDEX(PASTE_ALL,34,53)),2,IF(TRIM(INDEX(PASTE_ALL,34,53))="",0,IF(AND(LEFT(MID(TRIM(INDEX(PASTE_ALL,34,53)),1+(LEFT(TRIM(INDEX(PASTE_ALL,34,53)),1)="-"),999),LEN(MID(TRIM(INDEX(PASTE_ALL,34,53)),1+(LEFT(TRIM(INDEX(PASTE_ALL,34,53)),1)="-"),999))-(RIGHT(MID(TRIM(INDEX(PASTE_ALL,34,53)),1+(LEFT(TRIM(INDEX(PASTE_ALL,34,53)),1)="-"),999),1)="%"))&lt;&gt;"",SUBSTITUTE(SUBSTITUTE(SUBSTITUTE(SUBSTITUTE(SUBSTITUTE(SUBSTITUTE(SUBSTITUTE(SUBSTITUTE(SUBSTITUTE(SUBSTITUTE(SUBSTITUTE(SUBSTITUTE(LEFT(MID(TRIM(INDEX(PASTE_ALL,34,53)),1+(LEFT(TRIM(INDEX(PASTE_ALL,34,53)),1)="-"),999),LEN(MID(TRIM(INDEX(PASTE_ALL,34,53)),1+(LEFT(TRIM(INDEX(PASTE_ALL,34,53)),1)="-"),999))-(RIGHT(MID(TRIM(INDEX(PASTE_ALL,34,53)),1+(LEFT(TRIM(INDEX(PASTE_ALL,34,53)),1)="-"),999),1)="%")),"0",""),"1",""),"2",""),"3",""),"4",""),"5",""),"6",""),"7",""),"8",""),"9",""),".",""),",","")=""),2,1))),1)</f>
        <v/>
      </c>
      <c r="BZ83">
        <f>IFERROR(IF(ISNUMBER(INDEX(PASTE_ALL,34,54)),2,IF(TRIM(INDEX(PASTE_ALL,34,54))="",0,IF(AND(LEFT(MID(TRIM(INDEX(PASTE_ALL,34,54)),1+(LEFT(TRIM(INDEX(PASTE_ALL,34,54)),1)="-"),999),LEN(MID(TRIM(INDEX(PASTE_ALL,34,54)),1+(LEFT(TRIM(INDEX(PASTE_ALL,34,54)),1)="-"),999))-(RIGHT(MID(TRIM(INDEX(PASTE_ALL,34,54)),1+(LEFT(TRIM(INDEX(PASTE_ALL,34,54)),1)="-"),999),1)="%"))&lt;&gt;"",SUBSTITUTE(SUBSTITUTE(SUBSTITUTE(SUBSTITUTE(SUBSTITUTE(SUBSTITUTE(SUBSTITUTE(SUBSTITUTE(SUBSTITUTE(SUBSTITUTE(SUBSTITUTE(SUBSTITUTE(LEFT(MID(TRIM(INDEX(PASTE_ALL,34,54)),1+(LEFT(TRIM(INDEX(PASTE_ALL,34,54)),1)="-"),999),LEN(MID(TRIM(INDEX(PASTE_ALL,34,54)),1+(LEFT(TRIM(INDEX(PASTE_ALL,34,54)),1)="-"),999))-(RIGHT(MID(TRIM(INDEX(PASTE_ALL,34,54)),1+(LEFT(TRIM(INDEX(PASTE_ALL,34,54)),1)="-"),999),1)="%")),"0",""),"1",""),"2",""),"3",""),"4",""),"5",""),"6",""),"7",""),"8",""),"9",""),".",""),",","")=""),2,1))),1)</f>
        <v/>
      </c>
      <c r="CA83">
        <f>IFERROR(IF(ISNUMBER(INDEX(PASTE_ALL,34,55)),2,IF(TRIM(INDEX(PASTE_ALL,34,55))="",0,IF(AND(LEFT(MID(TRIM(INDEX(PASTE_ALL,34,55)),1+(LEFT(TRIM(INDEX(PASTE_ALL,34,55)),1)="-"),999),LEN(MID(TRIM(INDEX(PASTE_ALL,34,55)),1+(LEFT(TRIM(INDEX(PASTE_ALL,34,55)),1)="-"),999))-(RIGHT(MID(TRIM(INDEX(PASTE_ALL,34,55)),1+(LEFT(TRIM(INDEX(PASTE_ALL,34,55)),1)="-"),999),1)="%"))&lt;&gt;"",SUBSTITUTE(SUBSTITUTE(SUBSTITUTE(SUBSTITUTE(SUBSTITUTE(SUBSTITUTE(SUBSTITUTE(SUBSTITUTE(SUBSTITUTE(SUBSTITUTE(SUBSTITUTE(SUBSTITUTE(LEFT(MID(TRIM(INDEX(PASTE_ALL,34,55)),1+(LEFT(TRIM(INDEX(PASTE_ALL,34,55)),1)="-"),999),LEN(MID(TRIM(INDEX(PASTE_ALL,34,55)),1+(LEFT(TRIM(INDEX(PASTE_ALL,34,55)),1)="-"),999))-(RIGHT(MID(TRIM(INDEX(PASTE_ALL,34,55)),1+(LEFT(TRIM(INDEX(PASTE_ALL,34,55)),1)="-"),999),1)="%")),"0",""),"1",""),"2",""),"3",""),"4",""),"5",""),"6",""),"7",""),"8",""),"9",""),".",""),",","")=""),2,1))),1)</f>
        <v/>
      </c>
      <c r="CB83">
        <f>IFERROR(IF(ISNUMBER(INDEX(PASTE_ALL,34,56)),2,IF(TRIM(INDEX(PASTE_ALL,34,56))="",0,IF(AND(LEFT(MID(TRIM(INDEX(PASTE_ALL,34,56)),1+(LEFT(TRIM(INDEX(PASTE_ALL,34,56)),1)="-"),999),LEN(MID(TRIM(INDEX(PASTE_ALL,34,56)),1+(LEFT(TRIM(INDEX(PASTE_ALL,34,56)),1)="-"),999))-(RIGHT(MID(TRIM(INDEX(PASTE_ALL,34,56)),1+(LEFT(TRIM(INDEX(PASTE_ALL,34,56)),1)="-"),999),1)="%"))&lt;&gt;"",SUBSTITUTE(SUBSTITUTE(SUBSTITUTE(SUBSTITUTE(SUBSTITUTE(SUBSTITUTE(SUBSTITUTE(SUBSTITUTE(SUBSTITUTE(SUBSTITUTE(SUBSTITUTE(SUBSTITUTE(LEFT(MID(TRIM(INDEX(PASTE_ALL,34,56)),1+(LEFT(TRIM(INDEX(PASTE_ALL,34,56)),1)="-"),999),LEN(MID(TRIM(INDEX(PASTE_ALL,34,56)),1+(LEFT(TRIM(INDEX(PASTE_ALL,34,56)),1)="-"),999))-(RIGHT(MID(TRIM(INDEX(PASTE_ALL,34,56)),1+(LEFT(TRIM(INDEX(PASTE_ALL,34,56)),1)="-"),999),1)="%")),"0",""),"1",""),"2",""),"3",""),"4",""),"5",""),"6",""),"7",""),"8",""),"9",""),".",""),",","")=""),2,1))),1)</f>
        <v/>
      </c>
      <c r="CC83">
        <f>IFERROR(IF(ISNUMBER(INDEX(PASTE_ALL,34,57)),2,IF(TRIM(INDEX(PASTE_ALL,34,57))="",0,IF(AND(LEFT(MID(TRIM(INDEX(PASTE_ALL,34,57)),1+(LEFT(TRIM(INDEX(PASTE_ALL,34,57)),1)="-"),999),LEN(MID(TRIM(INDEX(PASTE_ALL,34,57)),1+(LEFT(TRIM(INDEX(PASTE_ALL,34,57)),1)="-"),999))-(RIGHT(MID(TRIM(INDEX(PASTE_ALL,34,57)),1+(LEFT(TRIM(INDEX(PASTE_ALL,34,57)),1)="-"),999),1)="%"))&lt;&gt;"",SUBSTITUTE(SUBSTITUTE(SUBSTITUTE(SUBSTITUTE(SUBSTITUTE(SUBSTITUTE(SUBSTITUTE(SUBSTITUTE(SUBSTITUTE(SUBSTITUTE(SUBSTITUTE(SUBSTITUTE(LEFT(MID(TRIM(INDEX(PASTE_ALL,34,57)),1+(LEFT(TRIM(INDEX(PASTE_ALL,34,57)),1)="-"),999),LEN(MID(TRIM(INDEX(PASTE_ALL,34,57)),1+(LEFT(TRIM(INDEX(PASTE_ALL,34,57)),1)="-"),999))-(RIGHT(MID(TRIM(INDEX(PASTE_ALL,34,57)),1+(LEFT(TRIM(INDEX(PASTE_ALL,34,57)),1)="-"),999),1)="%")),"0",""),"1",""),"2",""),"3",""),"4",""),"5",""),"6",""),"7",""),"8",""),"9",""),".",""),",","")=""),2,1))),1)</f>
        <v/>
      </c>
      <c r="CD83">
        <f>IFERROR(IF(ISNUMBER(INDEX(PASTE_ALL,34,58)),2,IF(TRIM(INDEX(PASTE_ALL,34,58))="",0,IF(AND(LEFT(MID(TRIM(INDEX(PASTE_ALL,34,58)),1+(LEFT(TRIM(INDEX(PASTE_ALL,34,58)),1)="-"),999),LEN(MID(TRIM(INDEX(PASTE_ALL,34,58)),1+(LEFT(TRIM(INDEX(PASTE_ALL,34,58)),1)="-"),999))-(RIGHT(MID(TRIM(INDEX(PASTE_ALL,34,58)),1+(LEFT(TRIM(INDEX(PASTE_ALL,34,58)),1)="-"),999),1)="%"))&lt;&gt;"",SUBSTITUTE(SUBSTITUTE(SUBSTITUTE(SUBSTITUTE(SUBSTITUTE(SUBSTITUTE(SUBSTITUTE(SUBSTITUTE(SUBSTITUTE(SUBSTITUTE(SUBSTITUTE(SUBSTITUTE(LEFT(MID(TRIM(INDEX(PASTE_ALL,34,58)),1+(LEFT(TRIM(INDEX(PASTE_ALL,34,58)),1)="-"),999),LEN(MID(TRIM(INDEX(PASTE_ALL,34,58)),1+(LEFT(TRIM(INDEX(PASTE_ALL,34,58)),1)="-"),999))-(RIGHT(MID(TRIM(INDEX(PASTE_ALL,34,58)),1+(LEFT(TRIM(INDEX(PASTE_ALL,34,58)),1)="-"),999),1)="%")),"0",""),"1",""),"2",""),"3",""),"4",""),"5",""),"6",""),"7",""),"8",""),"9",""),".",""),",","")=""),2,1))),1)</f>
        <v/>
      </c>
      <c r="CE83">
        <f>IFERROR(IF(ISNUMBER(INDEX(PASTE_ALL,34,59)),2,IF(TRIM(INDEX(PASTE_ALL,34,59))="",0,IF(AND(LEFT(MID(TRIM(INDEX(PASTE_ALL,34,59)),1+(LEFT(TRIM(INDEX(PASTE_ALL,34,59)),1)="-"),999),LEN(MID(TRIM(INDEX(PASTE_ALL,34,59)),1+(LEFT(TRIM(INDEX(PASTE_ALL,34,59)),1)="-"),999))-(RIGHT(MID(TRIM(INDEX(PASTE_ALL,34,59)),1+(LEFT(TRIM(INDEX(PASTE_ALL,34,59)),1)="-"),999),1)="%"))&lt;&gt;"",SUBSTITUTE(SUBSTITUTE(SUBSTITUTE(SUBSTITUTE(SUBSTITUTE(SUBSTITUTE(SUBSTITUTE(SUBSTITUTE(SUBSTITUTE(SUBSTITUTE(SUBSTITUTE(SUBSTITUTE(LEFT(MID(TRIM(INDEX(PASTE_ALL,34,59)),1+(LEFT(TRIM(INDEX(PASTE_ALL,34,59)),1)="-"),999),LEN(MID(TRIM(INDEX(PASTE_ALL,34,59)),1+(LEFT(TRIM(INDEX(PASTE_ALL,34,59)),1)="-"),999))-(RIGHT(MID(TRIM(INDEX(PASTE_ALL,34,59)),1+(LEFT(TRIM(INDEX(PASTE_ALL,34,59)),1)="-"),999),1)="%")),"0",""),"1",""),"2",""),"3",""),"4",""),"5",""),"6",""),"7",""),"8",""),"9",""),".",""),",","")=""),2,1))),1)</f>
        <v/>
      </c>
      <c r="CF83">
        <f>IFERROR(IF(ISNUMBER(INDEX(PASTE_ALL,34,60)),2,IF(TRIM(INDEX(PASTE_ALL,34,60))="",0,IF(AND(LEFT(MID(TRIM(INDEX(PASTE_ALL,34,60)),1+(LEFT(TRIM(INDEX(PASTE_ALL,34,60)),1)="-"),999),LEN(MID(TRIM(INDEX(PASTE_ALL,34,60)),1+(LEFT(TRIM(INDEX(PASTE_ALL,34,60)),1)="-"),999))-(RIGHT(MID(TRIM(INDEX(PASTE_ALL,34,60)),1+(LEFT(TRIM(INDEX(PASTE_ALL,34,60)),1)="-"),999),1)="%"))&lt;&gt;"",SUBSTITUTE(SUBSTITUTE(SUBSTITUTE(SUBSTITUTE(SUBSTITUTE(SUBSTITUTE(SUBSTITUTE(SUBSTITUTE(SUBSTITUTE(SUBSTITUTE(SUBSTITUTE(SUBSTITUTE(LEFT(MID(TRIM(INDEX(PASTE_ALL,34,60)),1+(LEFT(TRIM(INDEX(PASTE_ALL,34,60)),1)="-"),999),LEN(MID(TRIM(INDEX(PASTE_ALL,34,60)),1+(LEFT(TRIM(INDEX(PASTE_ALL,34,60)),1)="-"),999))-(RIGHT(MID(TRIM(INDEX(PASTE_ALL,34,60)),1+(LEFT(TRIM(INDEX(PASTE_ALL,34,60)),1)="-"),999),1)="%")),"0",""),"1",""),"2",""),"3",""),"4",""),"5",""),"6",""),"7",""),"8",""),"9",""),".",""),",","")=""),2,1))),1)</f>
        <v/>
      </c>
      <c r="DA83" t="n">
        <v>79</v>
      </c>
      <c r="DB83">
        <f>IF($B$37=0,"",IFERROR(TRIM(SUBSTITUTE(SUBSTITUTE(SUBSTITUTE(SUBSTITUTE(INDEX(PASTE_ALL,79,$B$37)," "," "),CHAR(9)," "),CHAR(10)," "),CHAR(13)," ")),""))</f>
        <v/>
      </c>
      <c r="DC83">
        <f>IF(AND(79&gt;HEADER_ROW,UPPER(DB83)="LEGEND"),1,0)</f>
        <v/>
      </c>
      <c r="DE83" t="n">
        <v>79</v>
      </c>
      <c r="DF83">
        <f>HEADER_ROW+$DE83</f>
        <v/>
      </c>
      <c r="DG83">
        <f>IF(AND($DF83&lt;=1000,$DF83&lt;$B$8),1,0)</f>
        <v/>
      </c>
      <c r="DH83">
        <f>IF($DG83=1,IFERROR(INDEX($DB$5:$DB$1004,$DF83),""),"")</f>
        <v/>
      </c>
      <c r="DI83">
        <f>IF(AND($DG83=1,$DH83&lt;&gt;""),IFERROR(SUBSTITUTE(SUBSTITUTE(TRIM(SUBSTITUTE(SUBSTITUTE(SUBSTITUTE(SUBSTITUTE(IFERROR(INDEX(PASTE_ALL,$DF83,1)&amp;"","")&amp;"␟"&amp;IFERROR(INDEX(PASTE_ALL,$DF83,2)&amp;"","")&amp;"␟"&amp;IFERROR(INDEX(PASTE_ALL,$DF83,3)&amp;"","")&amp;"␟"&amp;IFERROR(INDEX(PASTE_ALL,$DF83,4)&amp;"","")&amp;"␟"&amp;IFERROR(INDEX(PASTE_ALL,$DF83,5)&amp;"","")&amp;"␟"&amp;IFERROR(INDEX(PASTE_ALL,$DF83,6)&amp;"","")&amp;"␟"&amp;IFERROR(INDEX(PASTE_ALL,$DF83,7)&amp;"","")&amp;"␟"&amp;IFERROR(INDEX(PASTE_ALL,$DF83,8)&amp;"","")&amp;"␟"&amp;IFERROR(INDEX(PASTE_ALL,$DF83,9)&amp;"","")&amp;"␟"&amp;IFERROR(INDEX(PASTE_ALL,$DF83,10)&amp;"","")&amp;"␟"&amp;IFERROR(INDEX(PASTE_ALL,$DF83,11)&amp;"","")&amp;"␟"&amp;IFERROR(INDEX(PASTE_ALL,$DF83,12)&amp;"","")&amp;"␟"&amp;IFERROR(INDEX(PASTE_ALL,$DF83,13)&amp;"","")&amp;"␟"&amp;IFERROR(INDEX(PASTE_ALL,$DF83,14)&amp;"","")&amp;"␟"&amp;IFERROR(INDEX(PASTE_ALL,$DF83,15)&amp;"","")&amp;"␟"&amp;IFERROR(INDEX(PASTE_ALL,$DF83,16)&amp;"","")&amp;"␟"&amp;IFERROR(INDEX(PASTE_ALL,$DF83,17)&amp;"","")&amp;"␟"&amp;IFERROR(INDEX(PASTE_ALL,$DF83,18)&amp;"","")&amp;"␟"&amp;IFERROR(INDEX(PASTE_ALL,$DF83,19)&amp;"","")&amp;"␟"&amp;IFERROR(INDEX(PASTE_ALL,$DF83,20)&amp;"","")&amp;"␟"&amp;IFERROR(INDEX(PASTE_ALL,$DF83,21)&amp;"","")&amp;"␟"&amp;IFERROR(INDEX(PASTE_ALL,$DF83,22)&amp;"","")&amp;"␟"&amp;IFERROR(INDEX(PASTE_ALL,$DF83,23)&amp;"","")&amp;"␟"&amp;IFERROR(INDEX(PASTE_ALL,$DF83,24)&amp;"","")&amp;"␟"&amp;IFERROR(INDEX(PASTE_ALL,$DF83,25)&amp;"","")&amp;"␟"&amp;IFERROR(INDEX(PASTE_ALL,$DF83,26)&amp;"","")&amp;"␟"&amp;IFERROR(INDEX(PASTE_ALL,$DF83,27)&amp;"","")&amp;"␟"&amp;IFERROR(INDEX(PASTE_ALL,$DF83,28)&amp;"","")&amp;"␟"&amp;IFERROR(INDEX(PASTE_ALL,$DF83,29)&amp;"","")&amp;"␟"&amp;IFERROR(INDEX(PASTE_ALL,$DF83,30)&amp;"","")&amp;"␟"&amp;IFERROR(INDEX(PASTE_ALL,$DF83,31)&amp;"","")&amp;"␟"&amp;IFERROR(INDEX(PASTE_ALL,$DF83,32)&amp;"","")&amp;"␟"&amp;IFERROR(INDEX(PASTE_ALL,$DF83,33)&amp;"","")&amp;"␟"&amp;IFERROR(INDEX(PASTE_ALL,$DF83,34)&amp;"","")&amp;"␟"&amp;IFERROR(INDEX(PASTE_ALL,$DF83,35)&amp;"","")&amp;"␟"&amp;IFERROR(INDEX(PASTE_ALL,$DF83,36)&amp;"","")&amp;"␟"&amp;IFERROR(INDEX(PASTE_ALL,$DF83,37)&amp;"","")&amp;"␟"&amp;IFERROR(INDEX(PASTE_ALL,$DF83,38)&amp;"","")&amp;"␟"&amp;IFERROR(INDEX(PASTE_ALL,$DF83,39)&amp;"","")&amp;"␟"&amp;IFERROR(INDEX(PASTE_ALL,$DF83,40)&amp;"","")&amp;"␟"&amp;IFERROR(INDEX(PASTE_ALL,$DF83,41)&amp;"","")&amp;"␟"&amp;IFERROR(INDEX(PASTE_ALL,$DF83,42)&amp;"","")&amp;"␟"&amp;IFERROR(INDEX(PASTE_ALL,$DF83,43)&amp;"","")&amp;"␟"&amp;IFERROR(INDEX(PASTE_ALL,$DF83,44)&amp;"","")&amp;"␟"&amp;IFERROR(INDEX(PASTE_ALL,$DF83,45)&amp;"","")&amp;"␟"&amp;IFERROR(INDEX(PASTE_ALL,$DF83,46)&amp;"","")&amp;"␟"&amp;IFERROR(INDEX(PASTE_ALL,$DF83,47)&amp;"","")&amp;"␟"&amp;IFERROR(INDEX(PASTE_ALL,$DF83,48)&amp;"","")&amp;"␟"&amp;IFERROR(INDEX(PASTE_ALL,$DF83,49)&amp;"","")&amp;"␟"&amp;IFERROR(INDEX(PASTE_ALL,$DF83,50)&amp;"","")&amp;"␟"&amp;IFERROR(INDEX(PASTE_ALL,$DF83,51)&amp;"","")&amp;"␟"&amp;IFERROR(INDEX(PASTE_ALL,$DF83,52)&amp;"","")&amp;"␟"&amp;IFERROR(INDEX(PASTE_ALL,$DF83,53)&amp;"","")&amp;"␟"&amp;IFERROR(INDEX(PASTE_ALL,$DF83,54)&amp;"","")&amp;"␟"&amp;IFERROR(INDEX(PASTE_ALL,$DF83,55)&amp;"","")&amp;"␟"&amp;IFERROR(INDEX(PASTE_ALL,$DF83,56)&amp;"","")&amp;"␟"&amp;IFERROR(INDEX(PASTE_ALL,$DF83,57)&amp;"","")&amp;"␟"&amp;IFERROR(INDEX(PASTE_ALL,$DF83,58)&amp;"","")&amp;"␟"&amp;IFERROR(INDEX(PASTE_ALL,$DF83,59)&amp;"","")&amp;"␟"&amp;IFERROR(INDEX(PASTE_ALL,$DF83,60)&amp;"","")," "," "),CHAR(9)," "),CHAR(10)," "),CHAR(13)," "))," ␟","␟"),"␟ ","␟"),"#"&amp;$DE83),"")</f>
        <v/>
      </c>
      <c r="DJ83">
        <f>IF($DI83="",0,IF(SUMPRODUCT(--EXACT($DI$4:DI82,$DI83))&gt;0,1,0))</f>
        <v/>
      </c>
      <c r="DK83">
        <f>IF(AND($DI83&lt;&gt;"",$DJ83=0),1,0)</f>
        <v/>
      </c>
      <c r="DL83">
        <f>DL82+$DK83</f>
        <v/>
      </c>
      <c r="DM83">
        <f>IF(AND($DK83=1,$DL83&lt;=600),1,0)</f>
        <v/>
      </c>
      <c r="DN83">
        <f>IF($DM83=0,"",IF($L$6=0,"",IFERROR(IF(ISNUMBER(INDEX(PASTE_ALL,$DF83,$L$6)),INDEX(PASTE_ALL,$DF83,$L$6),TRIM(SUBSTITUTE(SUBSTITUTE(SUBSTITUTE(SUBSTITUTE(INDEX(PASTE_ALL,$DF83,$L$6)," "," "),CHAR(9)," "),CHAR(10)," "),CHAR(13)," "))),"")))</f>
        <v/>
      </c>
      <c r="DO83">
        <f>IF($DM83=0,"",IF($L$7=0,"",IFERROR(IF(ISNUMBER(INDEX(PASTE_ALL,$DF83,$L$7)),INDEX(PASTE_ALL,$DF83,$L$7),TRIM(SUBSTITUTE(SUBSTITUTE(SUBSTITUTE(SUBSTITUTE(INDEX(PASTE_ALL,$DF83,$L$7)," "," "),CHAR(9)," "),CHAR(10)," "),CHAR(13)," "))),"")))</f>
        <v/>
      </c>
      <c r="DP83">
        <f>IF($DM83=0,"",IF($L$8=0,"",IFERROR(IF(ISNUMBER(INDEX(PASTE_ALL,$DF83,$L$8)),INDEX(PASTE_ALL,$DF83,$L$8),TRIM(SUBSTITUTE(SUBSTITUTE(SUBSTITUTE(SUBSTITUTE(INDEX(PASTE_ALL,$DF83,$L$8)," "," "),CHAR(9)," "),CHAR(10)," "),CHAR(13)," "))),"")))</f>
        <v/>
      </c>
      <c r="DQ83">
        <f>IF($DM83=0,"",IF($L$9=0,"",IFERROR(IF(ISNUMBER(INDEX(PASTE_ALL,$DF83,$L$9)),INDEX(PASTE_ALL,$DF83,$L$9),TRIM(SUBSTITUTE(SUBSTITUTE(SUBSTITUTE(SUBSTITUTE(INDEX(PASTE_ALL,$DF83,$L$9)," "," "),CHAR(9)," "),CHAR(10)," "),CHAR(13)," "))),"")))</f>
        <v/>
      </c>
      <c r="DR83">
        <f>IF($DM83=0,"",IF($L$10=0,"",IFERROR(IF(ISNUMBER(INDEX(PASTE_ALL,$DF83,$L$10)),INDEX(PASTE_ALL,$DF83,$L$10),TRIM(SUBSTITUTE(SUBSTITUTE(SUBSTITUTE(SUBSTITUTE(INDEX(PASTE_ALL,$DF83,$L$10)," "," "),CHAR(9)," "),CHAR(10)," "),CHAR(13)," "))),"")))</f>
        <v/>
      </c>
      <c r="DS83">
        <f>IF($DM83=0,"",IF($L$11=0,"",IFERROR(IF(ISNUMBER(INDEX(PASTE_ALL,$DF83,$L$11)),INDEX(PASTE_ALL,$DF83,$L$11),TRIM(SUBSTITUTE(SUBSTITUTE(SUBSTITUTE(SUBSTITUTE(INDEX(PASTE_ALL,$DF83,$L$11)," "," "),CHAR(9)," "),CHAR(10)," "),CHAR(13)," "))),"")))</f>
        <v/>
      </c>
      <c r="DT83">
        <f>IF($DM83=0,"",IF($L$12=0,"",IFERROR(IF(ISNUMBER(INDEX(PASTE_ALL,$DF83,$L$12)),INDEX(PASTE_ALL,$DF83,$L$12),TRIM(SUBSTITUTE(SUBSTITUTE(SUBSTITUTE(SUBSTITUTE(INDEX(PASTE_ALL,$DF83,$L$12)," "," "),CHAR(9)," "),CHAR(10)," "),CHAR(13)," "))),"")))</f>
        <v/>
      </c>
      <c r="DU83">
        <f>IF($DM83=0,"",IF($L$13=0,"",IFERROR(IF(ISNUMBER(INDEX(PASTE_ALL,$DF83,$L$13)),INDEX(PASTE_ALL,$DF83,$L$13),TRIM(SUBSTITUTE(SUBSTITUTE(SUBSTITUTE(SUBSTITUTE(INDEX(PASTE_ALL,$DF83,$L$13)," "," "),CHAR(9)," "),CHAR(10)," "),CHAR(13)," "))),"")))</f>
        <v/>
      </c>
      <c r="DV83">
        <f>IF($DM83=0,"",IF($L$14=0,"",IFERROR(IF(ISNUMBER(INDEX(PASTE_ALL,$DF83,$L$14)),INDEX(PASTE_ALL,$DF83,$L$14),TRIM(SUBSTITUTE(SUBSTITUTE(SUBSTITUTE(SUBSTITUTE(INDEX(PASTE_ALL,$DF83,$L$14)," "," "),CHAR(9)," "),CHAR(10)," "),CHAR(13)," "))),"")))</f>
        <v/>
      </c>
      <c r="DW83">
        <f>IF($DM83=0,"",IF($L$15=0,"",IFERROR(IF(ISNUMBER(INDEX(PASTE_ALL,$DF83,$L$15)),INDEX(PASTE_ALL,$DF83,$L$15),IF(SUMPRODUCT(--ISNUMBER(FIND({"A","B","C","D","E","F","G","H","I","J","K","L","M","N","O","P","Q","R","S","T","U","V","W","X","Y","Z","0","1","2","3","4","5","6","7","8","9"},UPPER(TRIM(SUBSTITUTE(SUBSTITUTE(SUBSTITUTE(SUBSTITUTE(INDEX(PASTE_ALL,$DF83,$L$15)," "," "),CHAR(9)," "),CHAR(10)," "),CHAR(13)," "))))))&gt;0,TRIM(SUBSTITUTE(SUBSTITUTE(SUBSTITUTE(SUBSTITUTE(INDEX(PASTE_ALL,$DF83,$L$15)," "," "),CHAR(9)," "),CHAR(10)," "),CHAR(13)," ")),"")),"")))</f>
        <v/>
      </c>
      <c r="DX83">
        <f>IF($DM83=0,"",IF($L$16=0,"",IFERROR(IF(ISNUMBER(INDEX(PASTE_ALL,$DF83,$L$16)),INDEX(PASTE_ALL,$DF83,$L$16),SUBSTITUTE(SUBSTITUTE(TRIM(SUBSTITUTE(SUBSTITUTE(SUBSTITUTE(SUBSTITUTE(INDEX(PASTE_ALL,$DF83,$L$16)," "," "),CHAR(9)," "),CHAR(10)," "),CHAR(13)," ")),",",""),"%","")),"")))</f>
        <v/>
      </c>
      <c r="DY83">
        <f>IF($DM83=0,"",IFERROR(IF(ISNUMBER($DX83),$DX83,IF($DX83="","",IF(TRIM($DX83)="",0,IF(AND(AND(SUBSTITUTE(SUBSTITUTE(SUBSTITUTE(SUBSTITUTE(SUBSTITUTE(SUBSTITUTE(SUBSTITUTE(SUBSTITUTE(SUBSTITUTE(SUBSTITUTE(SUBSTITUTE(SUBSTITUTE(SUBSTITUTE(SUBSTITUTE(UPPER(TRIM($DX83)),"0",""),"1",""),"2",""),"3",""),"4",""),"5",""),"6",""),"7",""),"8",""),"9",""),".",""),"+",""),"-",""),"E","")="",LEN(SUBSTITUTE(SUBSTITUTE(MID(UPPER(TRIM($DX83)),1+OR(LEFT(UPPER(TRIM($DX83)),1)="+",LEFT(UPPER(TRIM($DX83)),1)="-"),999),"E+","E"),"E-","E"))=LEN(SUBSTITUTE(SUBSTITUTE(SUBSTITUTE(SUBSTITUTE(MID(UPPER(TRIM($DX83)),1+OR(LEFT(UPPER(TRIM($DX83)),1)="+",LEFT(UPPER(TRIM($DX83)),1)="-"),999),"E+","E"),"E-","E"),"+",""),"-","")),LEN(UPPER(TRIM($DX83)))-LEN(SUBSTITUTE(UPPER(TRIM($DX83)),"E",""))&lt;2,LEN(UPPER(TRIM($DX83)))-LEN(SUBSTITUTE(UPPER(TRIM($DX83)),".",""))&lt;2,IFERROR(FIND(".",UPPER(TRIM($DX83))),0)&lt;IFERROR(FIND("E",UPPER(TRIM($DX83))),999)),ISNUMBER(VALUE(TRIM($DX83)))),VALUE(TRIM($DX83)),"")))),""))</f>
        <v/>
      </c>
      <c r="DZ83">
        <f>IF($DM83=0,"",IF($L$17=0,"",IFERROR(IF(ISNUMBER(INDEX(PASTE_ALL,$DF83,$L$17)),INDEX(PASTE_ALL,$DF83,$L$17),SUBSTITUTE(SUBSTITUTE(TRIM(SUBSTITUTE(SUBSTITUTE(SUBSTITUTE(SUBSTITUTE(INDEX(PASTE_ALL,$DF83,$L$17)," "," "),CHAR(9)," "),CHAR(10)," "),CHAR(13)," ")),",",""),"%","")),"")))</f>
        <v/>
      </c>
      <c r="EA83">
        <f>IF($DM83=0,"",IFERROR(IF(ISNUMBER($DZ83),$DZ83,IF($DZ83="","",IF(TRIM($DZ83)="",0,IF(AND(AND(SUBSTITUTE(SUBSTITUTE(SUBSTITUTE(SUBSTITUTE(SUBSTITUTE(SUBSTITUTE(SUBSTITUTE(SUBSTITUTE(SUBSTITUTE(SUBSTITUTE(SUBSTITUTE(SUBSTITUTE(SUBSTITUTE(SUBSTITUTE(UPPER(TRIM($DZ83)),"0",""),"1",""),"2",""),"3",""),"4",""),"5",""),"6",""),"7",""),"8",""),"9",""),".",""),"+",""),"-",""),"E","")="",LEN(SUBSTITUTE(SUBSTITUTE(MID(UPPER(TRIM($DZ83)),1+OR(LEFT(UPPER(TRIM($DZ83)),1)="+",LEFT(UPPER(TRIM($DZ83)),1)="-"),999),"E+","E"),"E-","E"))=LEN(SUBSTITUTE(SUBSTITUTE(SUBSTITUTE(SUBSTITUTE(MID(UPPER(TRIM($DZ83)),1+OR(LEFT(UPPER(TRIM($DZ83)),1)="+",LEFT(UPPER(TRIM($DZ83)),1)="-"),999),"E+","E"),"E-","E"),"+",""),"-","")),LEN(UPPER(TRIM($DZ83)))-LEN(SUBSTITUTE(UPPER(TRIM($DZ83)),"E",""))&lt;2,LEN(UPPER(TRIM($DZ83)))-LEN(SUBSTITUTE(UPPER(TRIM($DZ83)),".",""))&lt;2,IFERROR(FIND(".",UPPER(TRIM($DZ83))),0)&lt;IFERROR(FIND("E",UPPER(TRIM($DZ83))),999)),ISNUMBER(VALUE(TRIM($DZ83)))),VALUE(TRIM($DZ83)),"")))),""))</f>
        <v/>
      </c>
      <c r="EB83">
        <f>IF($DM83=0,"",IF($L$18=0,"",IFERROR(IF(UPPER(TRIM(SUBSTITUTE(SUBSTITUTE(SUBSTITUTE(SUBSTITUTE(INDEX(PASTE_ALL,$DF83,$L$18)," "," "),CHAR(9)," "),CHAR(10)," "),CHAR(13)," ")))="READY","Ready",IF(UPPER(TRIM(SUBSTITUTE(SUBSTITUTE(SUBSTITUTE(SUBSTITUTE(INDEX(PASTE_ALL,$DF83,$L$18)," "," "),CHAR(9)," "),CHAR(10)," "),CHAR(13)," ")))="PM","PM",IF(OR(UPPER(TRIM(SUBSTITUTE(SUBSTITUTE(SUBSTITUTE(SUBSTITUTE(INDEX(PASTE_ALL,$DF83,$L$18)," "," "),CHAR(9)," "),CHAR(10)," "),CHAR(13)," ")))="OT",UPPER(TRIM(SUBSTITUTE(SUBSTITUTE(SUBSTITUTE(SUBSTITUTE(INDEX(PASTE_ALL,$DF83,$L$18)," "," "),CHAR(9)," "),CHAR(10)," "),CHAR(13)," ")))="OVERTIME",UPPER(TRIM(SUBSTITUTE(SUBSTITUTE(SUBSTITUTE(SUBSTITUTE(INDEX(PASTE_ALL,$DF83,$L$18)," "," "),CHAR(9)," "),CHAR(10)," "),CHAR(13)," ")))="TRIAL"),"OT",TRIM(SUBSTITUTE(SUBSTITUTE(SUBSTITUTE(SUBSTITUTE(INDEX(PASTE_ALL,$DF83,$L$18)," "," "),CHAR(9)," "),CHAR(10)," "),CHAR(13)," "))))),"")))</f>
        <v/>
      </c>
      <c r="EC83">
        <f>IF($DM83=0,"",IF($L$19=0,"",IFERROR(IF(ISNUMBER(INDEX(PASTE_ALL,$DF83,$L$19)),INDEX(PASTE_ALL,$DF83,$L$19),TRIM(SUBSTITUTE(SUBSTITUTE(SUBSTITUTE(SUBSTITUTE(INDEX(PASTE_ALL,$DF83,$L$19)," "," "),CHAR(9)," "),CHAR(10)," "),CHAR(13)," "))),"")))</f>
        <v/>
      </c>
      <c r="ED83">
        <f>IF($DM83=0,"",MATCH(1,INDEX(EXACT($DH$5:DH83,$DH83)*$DM$5:DM83,0),0))</f>
        <v/>
      </c>
      <c r="EE83">
        <f>IF($DM83=0,0,IF($ED83=$DE83,1,0))</f>
        <v/>
      </c>
      <c r="EF83">
        <f>EF82+$EE83</f>
        <v/>
      </c>
      <c r="EG83">
        <f>IF($DM83=0,"",INDEX($EF$5:$EF$1003,$ED83))</f>
        <v/>
      </c>
      <c r="EH83">
        <f>IF($DM83=0,"",IF($DO83&lt;&gt;"","",IFERROR(LOOKUP(2,1/(($EG$4:EG82=$EG83)*($DO$4:DO82&lt;&gt;"")),$DO$4:DO82),"")))</f>
        <v/>
      </c>
      <c r="EI83">
        <f>IF($DM83=0,"",IF($DO83&lt;&gt;"",$DO83,$EH83))</f>
        <v/>
      </c>
      <c r="EJ83">
        <f>IF($DM83=0,"",IF($EI83="",0,IF(OR(ISNUMBER($EI83),AND(AND(SUBSTITUTE(SUBSTITUTE(SUBSTITUTE(SUBSTITUTE(SUBSTITUTE(SUBSTITUTE(SUBSTITUTE(SUBSTITUTE(SUBSTITUTE(SUBSTITUTE(SUBSTITUTE(SUBSTITUTE(SUBSTITUTE(SUBSTITUTE(UPPER($EI83),"0",""),"1",""),"2",""),"3",""),"4",""),"5",""),"6",""),"7",""),"8",""),"9",""),".",""),"+",""),"-",""),"E","")="",LEN(SUBSTITUTE(SUBSTITUTE(MID(UPPER($EI83),1+OR(LEFT(UPPER($EI83),1)="+",LEFT(UPPER($EI83),1)="-"),999),"E+","E"),"E-","E"))=LEN(SUBSTITUTE(SUBSTITUTE(SUBSTITUTE(SUBSTITUTE(MID(UPPER($EI83),1+OR(LEFT(UPPER($EI83),1)="+",LEFT(UPPER($EI83),1)="-"),999),"E+","E"),"E-","E"),"+",""),"-","")),LEN(UPPER($EI83))-LEN(SUBSTITUTE(UPPER($EI83),"E",""))&lt;2,LEN(UPPER($EI83))-LEN(SUBSTITUTE(UPPER($EI83),".",""))&lt;2,IFERROR(FIND(".",UPPER($EI83)),0)&lt;IFERROR(FIND("E",UPPER($EI83)),999)),ISNUMBER(VALUE($EI83)))),1,2)))</f>
        <v/>
      </c>
      <c r="EK83">
        <f>IF($DM83=0,"",IF($EJ83=1,IF(ISNUMBER($EI83),$EI83,VALUE($EI83)),IF($EJ83=2,$DE83,0)))</f>
        <v/>
      </c>
      <c r="EL83">
        <f>IF($DM83=0,"",COUNTIF($EG$5:$EG$1003,"&lt;"&amp;$EG83)+SUMPRODUCT(($EG$5:$EG$1003=$EG83)*(($EJ$5:$EJ$1003&lt;$EJ83)+($EJ$5:$EJ$1003=$EJ83)*(($EK$5:$EK$1003&lt;$EK83)+($EK$5:$EK$1003=$EK83)*($DE$5:$DE$1003&lt;$DE83))))+1)</f>
        <v/>
      </c>
      <c r="EM83">
        <f>IF($DM83=0,"",$EL83+$EG83-1)</f>
        <v/>
      </c>
      <c r="EN83">
        <f>IF($DM83=0,0,IFERROR(MATCH(1,INDEX(--(TRIM(SUBSTITUTE(SUBSTITUTE(SUBSTITUTE(SUBSTITUTE(LINES_NAME&amp;""," "," "),CHAR(9)," "),CHAR(10)," "),CHAR(13)," "))=$DH83),0),0),0))</f>
        <v/>
      </c>
      <c r="EO83">
        <f>IF($EN83=0,0,IF(OR(UPPER(TRIM(INDEX(LINES_SCHEDULED,$EN83)&amp;""))="YES",UPPER(TRIM(INDEX(LINES_SCHEDULED,$EN83)&amp;""))="Y",UPPER(TRIM(INDEX(LINES_SCHEDULED,$EN83)&amp;""))="X"),1,0))</f>
        <v/>
      </c>
      <c r="EP83">
        <f>IF($DM83=0,"",IF(COUNTIFS($EG$5:$EG$1003,$EG83,$EB$5:$EB$1003,"Ready")&gt;0,"READY",IF(COUNTIFS($EG$5:$EG$1003,$EG83,$EB$5:$EB$1003,"PM")&gt;0,"PM",IF(COUNTIFS($EG$5:$EG$1003,$EG83,$EB$5:$EB$1003,"OT")&gt;0,"OT",""))))</f>
        <v/>
      </c>
      <c r="EQ83">
        <f>IF($EN83=0,"",UPPER(TRIM(INDEX(LINES_STATUS,$EN83)&amp;"")))</f>
        <v/>
      </c>
      <c r="ER83">
        <f>IF($DM83=0,"",IF(OR($EQ83="READY",$EQ83="PM",$EQ83="OT"),$EQ83,$EP83))</f>
        <v/>
      </c>
      <c r="ES83">
        <f>IF($DM83=0,"",IF(AND($DV83&lt;&gt;"",UPPER($DV83)&lt;&gt;"N"),"allergen",IF(ISNUMBER(SEARCH("oil",$DQ83)),"oil",IF(OR(EXACT($DS83,"A662"),EXACT($DS83,"A624")),"bulk",""))))</f>
        <v/>
      </c>
      <c r="ET83">
        <f>IF($DM83=0,"",IF(OR($EA83="",$EA83=0),"",$EA83/100))</f>
        <v/>
      </c>
      <c r="EU83">
        <f>IF(OR($ET83="",$DY83=""),"",INT($DY83*(1-$ET83)+0.5))</f>
        <v/>
      </c>
      <c r="EW83" t="n">
        <v>79</v>
      </c>
      <c r="EX83">
        <f>IFERROR(MATCH($EW83,$EM$5:$EM$1003,0),0)</f>
        <v/>
      </c>
      <c r="EY83">
        <f>IF($EW83&gt;$B$12,"",IF($EX83&gt;0,"row","spacer"))</f>
        <v/>
      </c>
      <c r="EZ83">
        <f>IF(AND($EY83="row",$EY82&lt;&gt;"row"),1,0)</f>
        <v/>
      </c>
      <c r="FA83">
        <f>IF(AND($EY83="row",$EY84&lt;&gt;"row"),1,0)</f>
        <v/>
      </c>
      <c r="FB83">
        <f>IF($EZ83=1,IFERROR(IF(ISNUMBER(INDEX(PASTE_ALL,INDEX($DF$5:$DF$1003,$EX83),$B$37)),INDEX(PASTE_ALL,INDEX($DF$5:$DF$1003,$EX83),$B$37),INDEX($DH$5:$DH$1003,$EX83)),INDEX($DH$5:$DH$1003,$EX83)),"")</f>
        <v/>
      </c>
      <c r="FC83">
        <f>IF($EY83="row",INDEX($ER$5:$ER$1003,$EX83),"")</f>
        <v/>
      </c>
      <c r="FD83">
        <f>IF($EY83="row",INDEX($DN$5:$DN$1003,$EX83),"")</f>
        <v/>
      </c>
      <c r="FE83">
        <f>IF($EY83="row",INDEX($DO$5:$DO$1003,$EX83),"")</f>
        <v/>
      </c>
      <c r="FF83">
        <f>IF($EY83="row",INDEX($DP$5:$DP$1003,$EX83),"")</f>
        <v/>
      </c>
      <c r="FG83">
        <f>IF($EY83="row",INDEX($DQ$5:$DQ$1003,$EX83),"")</f>
        <v/>
      </c>
      <c r="FH83">
        <f>IF($EY83="row",INDEX($DR$5:$DR$1003,$EX83),"")</f>
        <v/>
      </c>
      <c r="FI83">
        <f>IF($EY83="row",INDEX($DS$5:$DS$1003,$EX83),"")</f>
        <v/>
      </c>
      <c r="FJ83">
        <f>IF($EY83="row",INDEX($DT$5:$DT$1003,$EX83),"")</f>
        <v/>
      </c>
      <c r="FK83">
        <f>IF($EY83="row",INDEX($DU$5:$DU$1003,$EX83),"")</f>
        <v/>
      </c>
      <c r="FL83">
        <f>IF($EY83="row",INDEX($DV$5:$DV$1003,$EX83),"")</f>
        <v/>
      </c>
      <c r="FM83">
        <f>IF($EY83="row",INDEX($DW$5:$DW$1003,$EX83),"")</f>
        <v/>
      </c>
      <c r="FN83">
        <f>IF($EY83="row",INDEX($DY$5:$DY$1003,$EX83),"")</f>
        <v/>
      </c>
      <c r="FO83">
        <f>IF($EY83="row",INDEX($EA$5:$EA$1003,$EX83),"")</f>
        <v/>
      </c>
      <c r="FP83">
        <f>IF($EY83="row",INDEX($EC$5:$EC$1003,$EX83),"")</f>
        <v/>
      </c>
      <c r="FQ83">
        <f>IF($EY83="row",INDEX($ET$5:$ET$1003,$EX83),"")</f>
        <v/>
      </c>
      <c r="FR83">
        <f>IF($EY83="row",INDEX($EU$5:$EU$1003,$EX83),"")</f>
        <v/>
      </c>
      <c r="FS83">
        <f>IF(AND($EY83="row",$EY82="row"),IF(OR(INDEX($DT$5:$DT$1003,$EX82)="",INDEX($DT$5:$DT$1003,$EX83)=""),"",IF(NOT(EXACT(INDEX($DT$5:$DT$1003,$EX82),INDEX($DT$5:$DT$1003,$EX83))),"S4",IF(NOT(EXACT(INDEX($DS$5:$DS$1003,$EX82),INDEX($DS$5:$DS$1003,$EX83))),"S3",IF(NOT(EXACT(INDEX($DR$5:$DR$1003,$EX82),INDEX($DR$5:$DR$1003,$EX83))),"S1 Count Change","S1")))),"")</f>
        <v/>
      </c>
      <c r="FT83">
        <f>IF($EY83="row",INDEX($ES$5:$ES$1003,$EX83),"")</f>
        <v/>
      </c>
      <c r="FU83">
        <f>IF($EY83="row",INDEX($EO$5:$EO$1003,$EX83),0)</f>
        <v/>
      </c>
      <c r="FV83">
        <f>IF($FS83="S1 Count Change",1,0)</f>
        <v/>
      </c>
      <c r="FX83" t="n">
        <v>79</v>
      </c>
      <c r="FY83">
        <f>IFERROR(MATCH($FX83,$EF$5:$EF$1003,0),0)</f>
        <v/>
      </c>
      <c r="FZ83">
        <f>IF($FY83=0,"",INDEX($DH$5:$DH$1003,$FY83))</f>
        <v/>
      </c>
      <c r="GA83">
        <f>IF($FY83=0,"",COUNTIF($EG$5:$EG$1003,$FX83))</f>
        <v/>
      </c>
      <c r="GB83">
        <f>IF($FY83=0,"",INDEX($ER$5:$ER$1003,$FY83))</f>
        <v/>
      </c>
      <c r="GC83">
        <f>IF($FY83=0,"",IF(INDEX($EO$5:$EO$1003,$FY83)=1,"Yes",""))</f>
        <v/>
      </c>
      <c r="GD83">
        <f>IF($FY83=0,"",IF(INDEX($EN$5:$EN$1003,$FY83)&gt;0,"","NOT IN YOUR LIST - type it in column A to tick it"))</f>
        <v/>
      </c>
      <c r="GE83">
        <f>IF(AND($FY83&gt;0,$GD83&lt;&gt;""),1,0)</f>
        <v/>
      </c>
      <c r="GF83">
        <f>GF82+$GE83</f>
        <v/>
      </c>
      <c r="GG83">
        <f>IFERROR(INDEX($FZ$5:$FZ$104,MATCH($FX83,$GF$5:$GF$104,0)),"")</f>
        <v/>
      </c>
    </row>
    <row r="84">
      <c r="V84" t="inlineStr">
        <is>
          <t>DESICCANTS</t>
        </is>
      </c>
      <c r="W84" t="n">
        <v>15</v>
      </c>
      <c r="Y84">
        <f>IFERROR(IF(ISNUMBER(INDEX(PASTE_ALL,35,1)),2,IF(TRIM(INDEX(PASTE_ALL,35,1))="",0,IF(AND(LEFT(MID(TRIM(INDEX(PASTE_ALL,35,1)),1+(LEFT(TRIM(INDEX(PASTE_ALL,35,1)),1)="-"),999),LEN(MID(TRIM(INDEX(PASTE_ALL,35,1)),1+(LEFT(TRIM(INDEX(PASTE_ALL,35,1)),1)="-"),999))-(RIGHT(MID(TRIM(INDEX(PASTE_ALL,35,1)),1+(LEFT(TRIM(INDEX(PASTE_ALL,35,1)),1)="-"),999),1)="%"))&lt;&gt;"",SUBSTITUTE(SUBSTITUTE(SUBSTITUTE(SUBSTITUTE(SUBSTITUTE(SUBSTITUTE(SUBSTITUTE(SUBSTITUTE(SUBSTITUTE(SUBSTITUTE(SUBSTITUTE(SUBSTITUTE(LEFT(MID(TRIM(INDEX(PASTE_ALL,35,1)),1+(LEFT(TRIM(INDEX(PASTE_ALL,35,1)),1)="-"),999),LEN(MID(TRIM(INDEX(PASTE_ALL,35,1)),1+(LEFT(TRIM(INDEX(PASTE_ALL,35,1)),1)="-"),999))-(RIGHT(MID(TRIM(INDEX(PASTE_ALL,35,1)),1+(LEFT(TRIM(INDEX(PASTE_ALL,35,1)),1)="-"),999),1)="%")),"0",""),"1",""),"2",""),"3",""),"4",""),"5",""),"6",""),"7",""),"8",""),"9",""),".",""),",","")=""),2,1))),1)</f>
        <v/>
      </c>
      <c r="Z84">
        <f>IFERROR(IF(ISNUMBER(INDEX(PASTE_ALL,35,2)),2,IF(TRIM(INDEX(PASTE_ALL,35,2))="",0,IF(AND(LEFT(MID(TRIM(INDEX(PASTE_ALL,35,2)),1+(LEFT(TRIM(INDEX(PASTE_ALL,35,2)),1)="-"),999),LEN(MID(TRIM(INDEX(PASTE_ALL,35,2)),1+(LEFT(TRIM(INDEX(PASTE_ALL,35,2)),1)="-"),999))-(RIGHT(MID(TRIM(INDEX(PASTE_ALL,35,2)),1+(LEFT(TRIM(INDEX(PASTE_ALL,35,2)),1)="-"),999),1)="%"))&lt;&gt;"",SUBSTITUTE(SUBSTITUTE(SUBSTITUTE(SUBSTITUTE(SUBSTITUTE(SUBSTITUTE(SUBSTITUTE(SUBSTITUTE(SUBSTITUTE(SUBSTITUTE(SUBSTITUTE(SUBSTITUTE(LEFT(MID(TRIM(INDEX(PASTE_ALL,35,2)),1+(LEFT(TRIM(INDEX(PASTE_ALL,35,2)),1)="-"),999),LEN(MID(TRIM(INDEX(PASTE_ALL,35,2)),1+(LEFT(TRIM(INDEX(PASTE_ALL,35,2)),1)="-"),999))-(RIGHT(MID(TRIM(INDEX(PASTE_ALL,35,2)),1+(LEFT(TRIM(INDEX(PASTE_ALL,35,2)),1)="-"),999),1)="%")),"0",""),"1",""),"2",""),"3",""),"4",""),"5",""),"6",""),"7",""),"8",""),"9",""),".",""),",","")=""),2,1))),1)</f>
        <v/>
      </c>
      <c r="AA84">
        <f>IFERROR(IF(ISNUMBER(INDEX(PASTE_ALL,35,3)),2,IF(TRIM(INDEX(PASTE_ALL,35,3))="",0,IF(AND(LEFT(MID(TRIM(INDEX(PASTE_ALL,35,3)),1+(LEFT(TRIM(INDEX(PASTE_ALL,35,3)),1)="-"),999),LEN(MID(TRIM(INDEX(PASTE_ALL,35,3)),1+(LEFT(TRIM(INDEX(PASTE_ALL,35,3)),1)="-"),999))-(RIGHT(MID(TRIM(INDEX(PASTE_ALL,35,3)),1+(LEFT(TRIM(INDEX(PASTE_ALL,35,3)),1)="-"),999),1)="%"))&lt;&gt;"",SUBSTITUTE(SUBSTITUTE(SUBSTITUTE(SUBSTITUTE(SUBSTITUTE(SUBSTITUTE(SUBSTITUTE(SUBSTITUTE(SUBSTITUTE(SUBSTITUTE(SUBSTITUTE(SUBSTITUTE(LEFT(MID(TRIM(INDEX(PASTE_ALL,35,3)),1+(LEFT(TRIM(INDEX(PASTE_ALL,35,3)),1)="-"),999),LEN(MID(TRIM(INDEX(PASTE_ALL,35,3)),1+(LEFT(TRIM(INDEX(PASTE_ALL,35,3)),1)="-"),999))-(RIGHT(MID(TRIM(INDEX(PASTE_ALL,35,3)),1+(LEFT(TRIM(INDEX(PASTE_ALL,35,3)),1)="-"),999),1)="%")),"0",""),"1",""),"2",""),"3",""),"4",""),"5",""),"6",""),"7",""),"8",""),"9",""),".",""),",","")=""),2,1))),1)</f>
        <v/>
      </c>
      <c r="AB84">
        <f>IFERROR(IF(ISNUMBER(INDEX(PASTE_ALL,35,4)),2,IF(TRIM(INDEX(PASTE_ALL,35,4))="",0,IF(AND(LEFT(MID(TRIM(INDEX(PASTE_ALL,35,4)),1+(LEFT(TRIM(INDEX(PASTE_ALL,35,4)),1)="-"),999),LEN(MID(TRIM(INDEX(PASTE_ALL,35,4)),1+(LEFT(TRIM(INDEX(PASTE_ALL,35,4)),1)="-"),999))-(RIGHT(MID(TRIM(INDEX(PASTE_ALL,35,4)),1+(LEFT(TRIM(INDEX(PASTE_ALL,35,4)),1)="-"),999),1)="%"))&lt;&gt;"",SUBSTITUTE(SUBSTITUTE(SUBSTITUTE(SUBSTITUTE(SUBSTITUTE(SUBSTITUTE(SUBSTITUTE(SUBSTITUTE(SUBSTITUTE(SUBSTITUTE(SUBSTITUTE(SUBSTITUTE(LEFT(MID(TRIM(INDEX(PASTE_ALL,35,4)),1+(LEFT(TRIM(INDEX(PASTE_ALL,35,4)),1)="-"),999),LEN(MID(TRIM(INDEX(PASTE_ALL,35,4)),1+(LEFT(TRIM(INDEX(PASTE_ALL,35,4)),1)="-"),999))-(RIGHT(MID(TRIM(INDEX(PASTE_ALL,35,4)),1+(LEFT(TRIM(INDEX(PASTE_ALL,35,4)),1)="-"),999),1)="%")),"0",""),"1",""),"2",""),"3",""),"4",""),"5",""),"6",""),"7",""),"8",""),"9",""),".",""),",","")=""),2,1))),1)</f>
        <v/>
      </c>
      <c r="AC84">
        <f>IFERROR(IF(ISNUMBER(INDEX(PASTE_ALL,35,5)),2,IF(TRIM(INDEX(PASTE_ALL,35,5))="",0,IF(AND(LEFT(MID(TRIM(INDEX(PASTE_ALL,35,5)),1+(LEFT(TRIM(INDEX(PASTE_ALL,35,5)),1)="-"),999),LEN(MID(TRIM(INDEX(PASTE_ALL,35,5)),1+(LEFT(TRIM(INDEX(PASTE_ALL,35,5)),1)="-"),999))-(RIGHT(MID(TRIM(INDEX(PASTE_ALL,35,5)),1+(LEFT(TRIM(INDEX(PASTE_ALL,35,5)),1)="-"),999),1)="%"))&lt;&gt;"",SUBSTITUTE(SUBSTITUTE(SUBSTITUTE(SUBSTITUTE(SUBSTITUTE(SUBSTITUTE(SUBSTITUTE(SUBSTITUTE(SUBSTITUTE(SUBSTITUTE(SUBSTITUTE(SUBSTITUTE(LEFT(MID(TRIM(INDEX(PASTE_ALL,35,5)),1+(LEFT(TRIM(INDEX(PASTE_ALL,35,5)),1)="-"),999),LEN(MID(TRIM(INDEX(PASTE_ALL,35,5)),1+(LEFT(TRIM(INDEX(PASTE_ALL,35,5)),1)="-"),999))-(RIGHT(MID(TRIM(INDEX(PASTE_ALL,35,5)),1+(LEFT(TRIM(INDEX(PASTE_ALL,35,5)),1)="-"),999),1)="%")),"0",""),"1",""),"2",""),"3",""),"4",""),"5",""),"6",""),"7",""),"8",""),"9",""),".",""),",","")=""),2,1))),1)</f>
        <v/>
      </c>
      <c r="AD84">
        <f>IFERROR(IF(ISNUMBER(INDEX(PASTE_ALL,35,6)),2,IF(TRIM(INDEX(PASTE_ALL,35,6))="",0,IF(AND(LEFT(MID(TRIM(INDEX(PASTE_ALL,35,6)),1+(LEFT(TRIM(INDEX(PASTE_ALL,35,6)),1)="-"),999),LEN(MID(TRIM(INDEX(PASTE_ALL,35,6)),1+(LEFT(TRIM(INDEX(PASTE_ALL,35,6)),1)="-"),999))-(RIGHT(MID(TRIM(INDEX(PASTE_ALL,35,6)),1+(LEFT(TRIM(INDEX(PASTE_ALL,35,6)),1)="-"),999),1)="%"))&lt;&gt;"",SUBSTITUTE(SUBSTITUTE(SUBSTITUTE(SUBSTITUTE(SUBSTITUTE(SUBSTITUTE(SUBSTITUTE(SUBSTITUTE(SUBSTITUTE(SUBSTITUTE(SUBSTITUTE(SUBSTITUTE(LEFT(MID(TRIM(INDEX(PASTE_ALL,35,6)),1+(LEFT(TRIM(INDEX(PASTE_ALL,35,6)),1)="-"),999),LEN(MID(TRIM(INDEX(PASTE_ALL,35,6)),1+(LEFT(TRIM(INDEX(PASTE_ALL,35,6)),1)="-"),999))-(RIGHT(MID(TRIM(INDEX(PASTE_ALL,35,6)),1+(LEFT(TRIM(INDEX(PASTE_ALL,35,6)),1)="-"),999),1)="%")),"0",""),"1",""),"2",""),"3",""),"4",""),"5",""),"6",""),"7",""),"8",""),"9",""),".",""),",","")=""),2,1))),1)</f>
        <v/>
      </c>
      <c r="AE84">
        <f>IFERROR(IF(ISNUMBER(INDEX(PASTE_ALL,35,7)),2,IF(TRIM(INDEX(PASTE_ALL,35,7))="",0,IF(AND(LEFT(MID(TRIM(INDEX(PASTE_ALL,35,7)),1+(LEFT(TRIM(INDEX(PASTE_ALL,35,7)),1)="-"),999),LEN(MID(TRIM(INDEX(PASTE_ALL,35,7)),1+(LEFT(TRIM(INDEX(PASTE_ALL,35,7)),1)="-"),999))-(RIGHT(MID(TRIM(INDEX(PASTE_ALL,35,7)),1+(LEFT(TRIM(INDEX(PASTE_ALL,35,7)),1)="-"),999),1)="%"))&lt;&gt;"",SUBSTITUTE(SUBSTITUTE(SUBSTITUTE(SUBSTITUTE(SUBSTITUTE(SUBSTITUTE(SUBSTITUTE(SUBSTITUTE(SUBSTITUTE(SUBSTITUTE(SUBSTITUTE(SUBSTITUTE(LEFT(MID(TRIM(INDEX(PASTE_ALL,35,7)),1+(LEFT(TRIM(INDEX(PASTE_ALL,35,7)),1)="-"),999),LEN(MID(TRIM(INDEX(PASTE_ALL,35,7)),1+(LEFT(TRIM(INDEX(PASTE_ALL,35,7)),1)="-"),999))-(RIGHT(MID(TRIM(INDEX(PASTE_ALL,35,7)),1+(LEFT(TRIM(INDEX(PASTE_ALL,35,7)),1)="-"),999),1)="%")),"0",""),"1",""),"2",""),"3",""),"4",""),"5",""),"6",""),"7",""),"8",""),"9",""),".",""),",","")=""),2,1))),1)</f>
        <v/>
      </c>
      <c r="AF84">
        <f>IFERROR(IF(ISNUMBER(INDEX(PASTE_ALL,35,8)),2,IF(TRIM(INDEX(PASTE_ALL,35,8))="",0,IF(AND(LEFT(MID(TRIM(INDEX(PASTE_ALL,35,8)),1+(LEFT(TRIM(INDEX(PASTE_ALL,35,8)),1)="-"),999),LEN(MID(TRIM(INDEX(PASTE_ALL,35,8)),1+(LEFT(TRIM(INDEX(PASTE_ALL,35,8)),1)="-"),999))-(RIGHT(MID(TRIM(INDEX(PASTE_ALL,35,8)),1+(LEFT(TRIM(INDEX(PASTE_ALL,35,8)),1)="-"),999),1)="%"))&lt;&gt;"",SUBSTITUTE(SUBSTITUTE(SUBSTITUTE(SUBSTITUTE(SUBSTITUTE(SUBSTITUTE(SUBSTITUTE(SUBSTITUTE(SUBSTITUTE(SUBSTITUTE(SUBSTITUTE(SUBSTITUTE(LEFT(MID(TRIM(INDEX(PASTE_ALL,35,8)),1+(LEFT(TRIM(INDEX(PASTE_ALL,35,8)),1)="-"),999),LEN(MID(TRIM(INDEX(PASTE_ALL,35,8)),1+(LEFT(TRIM(INDEX(PASTE_ALL,35,8)),1)="-"),999))-(RIGHT(MID(TRIM(INDEX(PASTE_ALL,35,8)),1+(LEFT(TRIM(INDEX(PASTE_ALL,35,8)),1)="-"),999),1)="%")),"0",""),"1",""),"2",""),"3",""),"4",""),"5",""),"6",""),"7",""),"8",""),"9",""),".",""),",","")=""),2,1))),1)</f>
        <v/>
      </c>
      <c r="AG84">
        <f>IFERROR(IF(ISNUMBER(INDEX(PASTE_ALL,35,9)),2,IF(TRIM(INDEX(PASTE_ALL,35,9))="",0,IF(AND(LEFT(MID(TRIM(INDEX(PASTE_ALL,35,9)),1+(LEFT(TRIM(INDEX(PASTE_ALL,35,9)),1)="-"),999),LEN(MID(TRIM(INDEX(PASTE_ALL,35,9)),1+(LEFT(TRIM(INDEX(PASTE_ALL,35,9)),1)="-"),999))-(RIGHT(MID(TRIM(INDEX(PASTE_ALL,35,9)),1+(LEFT(TRIM(INDEX(PASTE_ALL,35,9)),1)="-"),999),1)="%"))&lt;&gt;"",SUBSTITUTE(SUBSTITUTE(SUBSTITUTE(SUBSTITUTE(SUBSTITUTE(SUBSTITUTE(SUBSTITUTE(SUBSTITUTE(SUBSTITUTE(SUBSTITUTE(SUBSTITUTE(SUBSTITUTE(LEFT(MID(TRIM(INDEX(PASTE_ALL,35,9)),1+(LEFT(TRIM(INDEX(PASTE_ALL,35,9)),1)="-"),999),LEN(MID(TRIM(INDEX(PASTE_ALL,35,9)),1+(LEFT(TRIM(INDEX(PASTE_ALL,35,9)),1)="-"),999))-(RIGHT(MID(TRIM(INDEX(PASTE_ALL,35,9)),1+(LEFT(TRIM(INDEX(PASTE_ALL,35,9)),1)="-"),999),1)="%")),"0",""),"1",""),"2",""),"3",""),"4",""),"5",""),"6",""),"7",""),"8",""),"9",""),".",""),",","")=""),2,1))),1)</f>
        <v/>
      </c>
      <c r="AH84">
        <f>IFERROR(IF(ISNUMBER(INDEX(PASTE_ALL,35,10)),2,IF(TRIM(INDEX(PASTE_ALL,35,10))="",0,IF(AND(LEFT(MID(TRIM(INDEX(PASTE_ALL,35,10)),1+(LEFT(TRIM(INDEX(PASTE_ALL,35,10)),1)="-"),999),LEN(MID(TRIM(INDEX(PASTE_ALL,35,10)),1+(LEFT(TRIM(INDEX(PASTE_ALL,35,10)),1)="-"),999))-(RIGHT(MID(TRIM(INDEX(PASTE_ALL,35,10)),1+(LEFT(TRIM(INDEX(PASTE_ALL,35,10)),1)="-"),999),1)="%"))&lt;&gt;"",SUBSTITUTE(SUBSTITUTE(SUBSTITUTE(SUBSTITUTE(SUBSTITUTE(SUBSTITUTE(SUBSTITUTE(SUBSTITUTE(SUBSTITUTE(SUBSTITUTE(SUBSTITUTE(SUBSTITUTE(LEFT(MID(TRIM(INDEX(PASTE_ALL,35,10)),1+(LEFT(TRIM(INDEX(PASTE_ALL,35,10)),1)="-"),999),LEN(MID(TRIM(INDEX(PASTE_ALL,35,10)),1+(LEFT(TRIM(INDEX(PASTE_ALL,35,10)),1)="-"),999))-(RIGHT(MID(TRIM(INDEX(PASTE_ALL,35,10)),1+(LEFT(TRIM(INDEX(PASTE_ALL,35,10)),1)="-"),999),1)="%")),"0",""),"1",""),"2",""),"3",""),"4",""),"5",""),"6",""),"7",""),"8",""),"9",""),".",""),",","")=""),2,1))),1)</f>
        <v/>
      </c>
      <c r="AI84">
        <f>IFERROR(IF(ISNUMBER(INDEX(PASTE_ALL,35,11)),2,IF(TRIM(INDEX(PASTE_ALL,35,11))="",0,IF(AND(LEFT(MID(TRIM(INDEX(PASTE_ALL,35,11)),1+(LEFT(TRIM(INDEX(PASTE_ALL,35,11)),1)="-"),999),LEN(MID(TRIM(INDEX(PASTE_ALL,35,11)),1+(LEFT(TRIM(INDEX(PASTE_ALL,35,11)),1)="-"),999))-(RIGHT(MID(TRIM(INDEX(PASTE_ALL,35,11)),1+(LEFT(TRIM(INDEX(PASTE_ALL,35,11)),1)="-"),999),1)="%"))&lt;&gt;"",SUBSTITUTE(SUBSTITUTE(SUBSTITUTE(SUBSTITUTE(SUBSTITUTE(SUBSTITUTE(SUBSTITUTE(SUBSTITUTE(SUBSTITUTE(SUBSTITUTE(SUBSTITUTE(SUBSTITUTE(LEFT(MID(TRIM(INDEX(PASTE_ALL,35,11)),1+(LEFT(TRIM(INDEX(PASTE_ALL,35,11)),1)="-"),999),LEN(MID(TRIM(INDEX(PASTE_ALL,35,11)),1+(LEFT(TRIM(INDEX(PASTE_ALL,35,11)),1)="-"),999))-(RIGHT(MID(TRIM(INDEX(PASTE_ALL,35,11)),1+(LEFT(TRIM(INDEX(PASTE_ALL,35,11)),1)="-"),999),1)="%")),"0",""),"1",""),"2",""),"3",""),"4",""),"5",""),"6",""),"7",""),"8",""),"9",""),".",""),",","")=""),2,1))),1)</f>
        <v/>
      </c>
      <c r="AJ84">
        <f>IFERROR(IF(ISNUMBER(INDEX(PASTE_ALL,35,12)),2,IF(TRIM(INDEX(PASTE_ALL,35,12))="",0,IF(AND(LEFT(MID(TRIM(INDEX(PASTE_ALL,35,12)),1+(LEFT(TRIM(INDEX(PASTE_ALL,35,12)),1)="-"),999),LEN(MID(TRIM(INDEX(PASTE_ALL,35,12)),1+(LEFT(TRIM(INDEX(PASTE_ALL,35,12)),1)="-"),999))-(RIGHT(MID(TRIM(INDEX(PASTE_ALL,35,12)),1+(LEFT(TRIM(INDEX(PASTE_ALL,35,12)),1)="-"),999),1)="%"))&lt;&gt;"",SUBSTITUTE(SUBSTITUTE(SUBSTITUTE(SUBSTITUTE(SUBSTITUTE(SUBSTITUTE(SUBSTITUTE(SUBSTITUTE(SUBSTITUTE(SUBSTITUTE(SUBSTITUTE(SUBSTITUTE(LEFT(MID(TRIM(INDEX(PASTE_ALL,35,12)),1+(LEFT(TRIM(INDEX(PASTE_ALL,35,12)),1)="-"),999),LEN(MID(TRIM(INDEX(PASTE_ALL,35,12)),1+(LEFT(TRIM(INDEX(PASTE_ALL,35,12)),1)="-"),999))-(RIGHT(MID(TRIM(INDEX(PASTE_ALL,35,12)),1+(LEFT(TRIM(INDEX(PASTE_ALL,35,12)),1)="-"),999),1)="%")),"0",""),"1",""),"2",""),"3",""),"4",""),"5",""),"6",""),"7",""),"8",""),"9",""),".",""),",","")=""),2,1))),1)</f>
        <v/>
      </c>
      <c r="AK84">
        <f>IFERROR(IF(ISNUMBER(INDEX(PASTE_ALL,35,13)),2,IF(TRIM(INDEX(PASTE_ALL,35,13))="",0,IF(AND(LEFT(MID(TRIM(INDEX(PASTE_ALL,35,13)),1+(LEFT(TRIM(INDEX(PASTE_ALL,35,13)),1)="-"),999),LEN(MID(TRIM(INDEX(PASTE_ALL,35,13)),1+(LEFT(TRIM(INDEX(PASTE_ALL,35,13)),1)="-"),999))-(RIGHT(MID(TRIM(INDEX(PASTE_ALL,35,13)),1+(LEFT(TRIM(INDEX(PASTE_ALL,35,13)),1)="-"),999),1)="%"))&lt;&gt;"",SUBSTITUTE(SUBSTITUTE(SUBSTITUTE(SUBSTITUTE(SUBSTITUTE(SUBSTITUTE(SUBSTITUTE(SUBSTITUTE(SUBSTITUTE(SUBSTITUTE(SUBSTITUTE(SUBSTITUTE(LEFT(MID(TRIM(INDEX(PASTE_ALL,35,13)),1+(LEFT(TRIM(INDEX(PASTE_ALL,35,13)),1)="-"),999),LEN(MID(TRIM(INDEX(PASTE_ALL,35,13)),1+(LEFT(TRIM(INDEX(PASTE_ALL,35,13)),1)="-"),999))-(RIGHT(MID(TRIM(INDEX(PASTE_ALL,35,13)),1+(LEFT(TRIM(INDEX(PASTE_ALL,35,13)),1)="-"),999),1)="%")),"0",""),"1",""),"2",""),"3",""),"4",""),"5",""),"6",""),"7",""),"8",""),"9",""),".",""),",","")=""),2,1))),1)</f>
        <v/>
      </c>
      <c r="AL84">
        <f>IFERROR(IF(ISNUMBER(INDEX(PASTE_ALL,35,14)),2,IF(TRIM(INDEX(PASTE_ALL,35,14))="",0,IF(AND(LEFT(MID(TRIM(INDEX(PASTE_ALL,35,14)),1+(LEFT(TRIM(INDEX(PASTE_ALL,35,14)),1)="-"),999),LEN(MID(TRIM(INDEX(PASTE_ALL,35,14)),1+(LEFT(TRIM(INDEX(PASTE_ALL,35,14)),1)="-"),999))-(RIGHT(MID(TRIM(INDEX(PASTE_ALL,35,14)),1+(LEFT(TRIM(INDEX(PASTE_ALL,35,14)),1)="-"),999),1)="%"))&lt;&gt;"",SUBSTITUTE(SUBSTITUTE(SUBSTITUTE(SUBSTITUTE(SUBSTITUTE(SUBSTITUTE(SUBSTITUTE(SUBSTITUTE(SUBSTITUTE(SUBSTITUTE(SUBSTITUTE(SUBSTITUTE(LEFT(MID(TRIM(INDEX(PASTE_ALL,35,14)),1+(LEFT(TRIM(INDEX(PASTE_ALL,35,14)),1)="-"),999),LEN(MID(TRIM(INDEX(PASTE_ALL,35,14)),1+(LEFT(TRIM(INDEX(PASTE_ALL,35,14)),1)="-"),999))-(RIGHT(MID(TRIM(INDEX(PASTE_ALL,35,14)),1+(LEFT(TRIM(INDEX(PASTE_ALL,35,14)),1)="-"),999),1)="%")),"0",""),"1",""),"2",""),"3",""),"4",""),"5",""),"6",""),"7",""),"8",""),"9",""),".",""),",","")=""),2,1))),1)</f>
        <v/>
      </c>
      <c r="AM84">
        <f>IFERROR(IF(ISNUMBER(INDEX(PASTE_ALL,35,15)),2,IF(TRIM(INDEX(PASTE_ALL,35,15))="",0,IF(AND(LEFT(MID(TRIM(INDEX(PASTE_ALL,35,15)),1+(LEFT(TRIM(INDEX(PASTE_ALL,35,15)),1)="-"),999),LEN(MID(TRIM(INDEX(PASTE_ALL,35,15)),1+(LEFT(TRIM(INDEX(PASTE_ALL,35,15)),1)="-"),999))-(RIGHT(MID(TRIM(INDEX(PASTE_ALL,35,15)),1+(LEFT(TRIM(INDEX(PASTE_ALL,35,15)),1)="-"),999),1)="%"))&lt;&gt;"",SUBSTITUTE(SUBSTITUTE(SUBSTITUTE(SUBSTITUTE(SUBSTITUTE(SUBSTITUTE(SUBSTITUTE(SUBSTITUTE(SUBSTITUTE(SUBSTITUTE(SUBSTITUTE(SUBSTITUTE(LEFT(MID(TRIM(INDEX(PASTE_ALL,35,15)),1+(LEFT(TRIM(INDEX(PASTE_ALL,35,15)),1)="-"),999),LEN(MID(TRIM(INDEX(PASTE_ALL,35,15)),1+(LEFT(TRIM(INDEX(PASTE_ALL,35,15)),1)="-"),999))-(RIGHT(MID(TRIM(INDEX(PASTE_ALL,35,15)),1+(LEFT(TRIM(INDEX(PASTE_ALL,35,15)),1)="-"),999),1)="%")),"0",""),"1",""),"2",""),"3",""),"4",""),"5",""),"6",""),"7",""),"8",""),"9",""),".",""),",","")=""),2,1))),1)</f>
        <v/>
      </c>
      <c r="AN84">
        <f>IFERROR(IF(ISNUMBER(INDEX(PASTE_ALL,35,16)),2,IF(TRIM(INDEX(PASTE_ALL,35,16))="",0,IF(AND(LEFT(MID(TRIM(INDEX(PASTE_ALL,35,16)),1+(LEFT(TRIM(INDEX(PASTE_ALL,35,16)),1)="-"),999),LEN(MID(TRIM(INDEX(PASTE_ALL,35,16)),1+(LEFT(TRIM(INDEX(PASTE_ALL,35,16)),1)="-"),999))-(RIGHT(MID(TRIM(INDEX(PASTE_ALL,35,16)),1+(LEFT(TRIM(INDEX(PASTE_ALL,35,16)),1)="-"),999),1)="%"))&lt;&gt;"",SUBSTITUTE(SUBSTITUTE(SUBSTITUTE(SUBSTITUTE(SUBSTITUTE(SUBSTITUTE(SUBSTITUTE(SUBSTITUTE(SUBSTITUTE(SUBSTITUTE(SUBSTITUTE(SUBSTITUTE(LEFT(MID(TRIM(INDEX(PASTE_ALL,35,16)),1+(LEFT(TRIM(INDEX(PASTE_ALL,35,16)),1)="-"),999),LEN(MID(TRIM(INDEX(PASTE_ALL,35,16)),1+(LEFT(TRIM(INDEX(PASTE_ALL,35,16)),1)="-"),999))-(RIGHT(MID(TRIM(INDEX(PASTE_ALL,35,16)),1+(LEFT(TRIM(INDEX(PASTE_ALL,35,16)),1)="-"),999),1)="%")),"0",""),"1",""),"2",""),"3",""),"4",""),"5",""),"6",""),"7",""),"8",""),"9",""),".",""),",","")=""),2,1))),1)</f>
        <v/>
      </c>
      <c r="AO84">
        <f>IFERROR(IF(ISNUMBER(INDEX(PASTE_ALL,35,17)),2,IF(TRIM(INDEX(PASTE_ALL,35,17))="",0,IF(AND(LEFT(MID(TRIM(INDEX(PASTE_ALL,35,17)),1+(LEFT(TRIM(INDEX(PASTE_ALL,35,17)),1)="-"),999),LEN(MID(TRIM(INDEX(PASTE_ALL,35,17)),1+(LEFT(TRIM(INDEX(PASTE_ALL,35,17)),1)="-"),999))-(RIGHT(MID(TRIM(INDEX(PASTE_ALL,35,17)),1+(LEFT(TRIM(INDEX(PASTE_ALL,35,17)),1)="-"),999),1)="%"))&lt;&gt;"",SUBSTITUTE(SUBSTITUTE(SUBSTITUTE(SUBSTITUTE(SUBSTITUTE(SUBSTITUTE(SUBSTITUTE(SUBSTITUTE(SUBSTITUTE(SUBSTITUTE(SUBSTITUTE(SUBSTITUTE(LEFT(MID(TRIM(INDEX(PASTE_ALL,35,17)),1+(LEFT(TRIM(INDEX(PASTE_ALL,35,17)),1)="-"),999),LEN(MID(TRIM(INDEX(PASTE_ALL,35,17)),1+(LEFT(TRIM(INDEX(PASTE_ALL,35,17)),1)="-"),999))-(RIGHT(MID(TRIM(INDEX(PASTE_ALL,35,17)),1+(LEFT(TRIM(INDEX(PASTE_ALL,35,17)),1)="-"),999),1)="%")),"0",""),"1",""),"2",""),"3",""),"4",""),"5",""),"6",""),"7",""),"8",""),"9",""),".",""),",","")=""),2,1))),1)</f>
        <v/>
      </c>
      <c r="AP84">
        <f>IFERROR(IF(ISNUMBER(INDEX(PASTE_ALL,35,18)),2,IF(TRIM(INDEX(PASTE_ALL,35,18))="",0,IF(AND(LEFT(MID(TRIM(INDEX(PASTE_ALL,35,18)),1+(LEFT(TRIM(INDEX(PASTE_ALL,35,18)),1)="-"),999),LEN(MID(TRIM(INDEX(PASTE_ALL,35,18)),1+(LEFT(TRIM(INDEX(PASTE_ALL,35,18)),1)="-"),999))-(RIGHT(MID(TRIM(INDEX(PASTE_ALL,35,18)),1+(LEFT(TRIM(INDEX(PASTE_ALL,35,18)),1)="-"),999),1)="%"))&lt;&gt;"",SUBSTITUTE(SUBSTITUTE(SUBSTITUTE(SUBSTITUTE(SUBSTITUTE(SUBSTITUTE(SUBSTITUTE(SUBSTITUTE(SUBSTITUTE(SUBSTITUTE(SUBSTITUTE(SUBSTITUTE(LEFT(MID(TRIM(INDEX(PASTE_ALL,35,18)),1+(LEFT(TRIM(INDEX(PASTE_ALL,35,18)),1)="-"),999),LEN(MID(TRIM(INDEX(PASTE_ALL,35,18)),1+(LEFT(TRIM(INDEX(PASTE_ALL,35,18)),1)="-"),999))-(RIGHT(MID(TRIM(INDEX(PASTE_ALL,35,18)),1+(LEFT(TRIM(INDEX(PASTE_ALL,35,18)),1)="-"),999),1)="%")),"0",""),"1",""),"2",""),"3",""),"4",""),"5",""),"6",""),"7",""),"8",""),"9",""),".",""),",","")=""),2,1))),1)</f>
        <v/>
      </c>
      <c r="AQ84">
        <f>IFERROR(IF(ISNUMBER(INDEX(PASTE_ALL,35,19)),2,IF(TRIM(INDEX(PASTE_ALL,35,19))="",0,IF(AND(LEFT(MID(TRIM(INDEX(PASTE_ALL,35,19)),1+(LEFT(TRIM(INDEX(PASTE_ALL,35,19)),1)="-"),999),LEN(MID(TRIM(INDEX(PASTE_ALL,35,19)),1+(LEFT(TRIM(INDEX(PASTE_ALL,35,19)),1)="-"),999))-(RIGHT(MID(TRIM(INDEX(PASTE_ALL,35,19)),1+(LEFT(TRIM(INDEX(PASTE_ALL,35,19)),1)="-"),999),1)="%"))&lt;&gt;"",SUBSTITUTE(SUBSTITUTE(SUBSTITUTE(SUBSTITUTE(SUBSTITUTE(SUBSTITUTE(SUBSTITUTE(SUBSTITUTE(SUBSTITUTE(SUBSTITUTE(SUBSTITUTE(SUBSTITUTE(LEFT(MID(TRIM(INDEX(PASTE_ALL,35,19)),1+(LEFT(TRIM(INDEX(PASTE_ALL,35,19)),1)="-"),999),LEN(MID(TRIM(INDEX(PASTE_ALL,35,19)),1+(LEFT(TRIM(INDEX(PASTE_ALL,35,19)),1)="-"),999))-(RIGHT(MID(TRIM(INDEX(PASTE_ALL,35,19)),1+(LEFT(TRIM(INDEX(PASTE_ALL,35,19)),1)="-"),999),1)="%")),"0",""),"1",""),"2",""),"3",""),"4",""),"5",""),"6",""),"7",""),"8",""),"9",""),".",""),",","")=""),2,1))),1)</f>
        <v/>
      </c>
      <c r="AR84">
        <f>IFERROR(IF(ISNUMBER(INDEX(PASTE_ALL,35,20)),2,IF(TRIM(INDEX(PASTE_ALL,35,20))="",0,IF(AND(LEFT(MID(TRIM(INDEX(PASTE_ALL,35,20)),1+(LEFT(TRIM(INDEX(PASTE_ALL,35,20)),1)="-"),999),LEN(MID(TRIM(INDEX(PASTE_ALL,35,20)),1+(LEFT(TRIM(INDEX(PASTE_ALL,35,20)),1)="-"),999))-(RIGHT(MID(TRIM(INDEX(PASTE_ALL,35,20)),1+(LEFT(TRIM(INDEX(PASTE_ALL,35,20)),1)="-"),999),1)="%"))&lt;&gt;"",SUBSTITUTE(SUBSTITUTE(SUBSTITUTE(SUBSTITUTE(SUBSTITUTE(SUBSTITUTE(SUBSTITUTE(SUBSTITUTE(SUBSTITUTE(SUBSTITUTE(SUBSTITUTE(SUBSTITUTE(LEFT(MID(TRIM(INDEX(PASTE_ALL,35,20)),1+(LEFT(TRIM(INDEX(PASTE_ALL,35,20)),1)="-"),999),LEN(MID(TRIM(INDEX(PASTE_ALL,35,20)),1+(LEFT(TRIM(INDEX(PASTE_ALL,35,20)),1)="-"),999))-(RIGHT(MID(TRIM(INDEX(PASTE_ALL,35,20)),1+(LEFT(TRIM(INDEX(PASTE_ALL,35,20)),1)="-"),999),1)="%")),"0",""),"1",""),"2",""),"3",""),"4",""),"5",""),"6",""),"7",""),"8",""),"9",""),".",""),",","")=""),2,1))),1)</f>
        <v/>
      </c>
      <c r="AS84">
        <f>IFERROR(IF(ISNUMBER(INDEX(PASTE_ALL,35,21)),2,IF(TRIM(INDEX(PASTE_ALL,35,21))="",0,IF(AND(LEFT(MID(TRIM(INDEX(PASTE_ALL,35,21)),1+(LEFT(TRIM(INDEX(PASTE_ALL,35,21)),1)="-"),999),LEN(MID(TRIM(INDEX(PASTE_ALL,35,21)),1+(LEFT(TRIM(INDEX(PASTE_ALL,35,21)),1)="-"),999))-(RIGHT(MID(TRIM(INDEX(PASTE_ALL,35,21)),1+(LEFT(TRIM(INDEX(PASTE_ALL,35,21)),1)="-"),999),1)="%"))&lt;&gt;"",SUBSTITUTE(SUBSTITUTE(SUBSTITUTE(SUBSTITUTE(SUBSTITUTE(SUBSTITUTE(SUBSTITUTE(SUBSTITUTE(SUBSTITUTE(SUBSTITUTE(SUBSTITUTE(SUBSTITUTE(LEFT(MID(TRIM(INDEX(PASTE_ALL,35,21)),1+(LEFT(TRIM(INDEX(PASTE_ALL,35,21)),1)="-"),999),LEN(MID(TRIM(INDEX(PASTE_ALL,35,21)),1+(LEFT(TRIM(INDEX(PASTE_ALL,35,21)),1)="-"),999))-(RIGHT(MID(TRIM(INDEX(PASTE_ALL,35,21)),1+(LEFT(TRIM(INDEX(PASTE_ALL,35,21)),1)="-"),999),1)="%")),"0",""),"1",""),"2",""),"3",""),"4",""),"5",""),"6",""),"7",""),"8",""),"9",""),".",""),",","")=""),2,1))),1)</f>
        <v/>
      </c>
      <c r="AT84">
        <f>IFERROR(IF(ISNUMBER(INDEX(PASTE_ALL,35,22)),2,IF(TRIM(INDEX(PASTE_ALL,35,22))="",0,IF(AND(LEFT(MID(TRIM(INDEX(PASTE_ALL,35,22)),1+(LEFT(TRIM(INDEX(PASTE_ALL,35,22)),1)="-"),999),LEN(MID(TRIM(INDEX(PASTE_ALL,35,22)),1+(LEFT(TRIM(INDEX(PASTE_ALL,35,22)),1)="-"),999))-(RIGHT(MID(TRIM(INDEX(PASTE_ALL,35,22)),1+(LEFT(TRIM(INDEX(PASTE_ALL,35,22)),1)="-"),999),1)="%"))&lt;&gt;"",SUBSTITUTE(SUBSTITUTE(SUBSTITUTE(SUBSTITUTE(SUBSTITUTE(SUBSTITUTE(SUBSTITUTE(SUBSTITUTE(SUBSTITUTE(SUBSTITUTE(SUBSTITUTE(SUBSTITUTE(LEFT(MID(TRIM(INDEX(PASTE_ALL,35,22)),1+(LEFT(TRIM(INDEX(PASTE_ALL,35,22)),1)="-"),999),LEN(MID(TRIM(INDEX(PASTE_ALL,35,22)),1+(LEFT(TRIM(INDEX(PASTE_ALL,35,22)),1)="-"),999))-(RIGHT(MID(TRIM(INDEX(PASTE_ALL,35,22)),1+(LEFT(TRIM(INDEX(PASTE_ALL,35,22)),1)="-"),999),1)="%")),"0",""),"1",""),"2",""),"3",""),"4",""),"5",""),"6",""),"7",""),"8",""),"9",""),".",""),",","")=""),2,1))),1)</f>
        <v/>
      </c>
      <c r="AU84">
        <f>IFERROR(IF(ISNUMBER(INDEX(PASTE_ALL,35,23)),2,IF(TRIM(INDEX(PASTE_ALL,35,23))="",0,IF(AND(LEFT(MID(TRIM(INDEX(PASTE_ALL,35,23)),1+(LEFT(TRIM(INDEX(PASTE_ALL,35,23)),1)="-"),999),LEN(MID(TRIM(INDEX(PASTE_ALL,35,23)),1+(LEFT(TRIM(INDEX(PASTE_ALL,35,23)),1)="-"),999))-(RIGHT(MID(TRIM(INDEX(PASTE_ALL,35,23)),1+(LEFT(TRIM(INDEX(PASTE_ALL,35,23)),1)="-"),999),1)="%"))&lt;&gt;"",SUBSTITUTE(SUBSTITUTE(SUBSTITUTE(SUBSTITUTE(SUBSTITUTE(SUBSTITUTE(SUBSTITUTE(SUBSTITUTE(SUBSTITUTE(SUBSTITUTE(SUBSTITUTE(SUBSTITUTE(LEFT(MID(TRIM(INDEX(PASTE_ALL,35,23)),1+(LEFT(TRIM(INDEX(PASTE_ALL,35,23)),1)="-"),999),LEN(MID(TRIM(INDEX(PASTE_ALL,35,23)),1+(LEFT(TRIM(INDEX(PASTE_ALL,35,23)),1)="-"),999))-(RIGHT(MID(TRIM(INDEX(PASTE_ALL,35,23)),1+(LEFT(TRIM(INDEX(PASTE_ALL,35,23)),1)="-"),999),1)="%")),"0",""),"1",""),"2",""),"3",""),"4",""),"5",""),"6",""),"7",""),"8",""),"9",""),".",""),",","")=""),2,1))),1)</f>
        <v/>
      </c>
      <c r="AV84">
        <f>IFERROR(IF(ISNUMBER(INDEX(PASTE_ALL,35,24)),2,IF(TRIM(INDEX(PASTE_ALL,35,24))="",0,IF(AND(LEFT(MID(TRIM(INDEX(PASTE_ALL,35,24)),1+(LEFT(TRIM(INDEX(PASTE_ALL,35,24)),1)="-"),999),LEN(MID(TRIM(INDEX(PASTE_ALL,35,24)),1+(LEFT(TRIM(INDEX(PASTE_ALL,35,24)),1)="-"),999))-(RIGHT(MID(TRIM(INDEX(PASTE_ALL,35,24)),1+(LEFT(TRIM(INDEX(PASTE_ALL,35,24)),1)="-"),999),1)="%"))&lt;&gt;"",SUBSTITUTE(SUBSTITUTE(SUBSTITUTE(SUBSTITUTE(SUBSTITUTE(SUBSTITUTE(SUBSTITUTE(SUBSTITUTE(SUBSTITUTE(SUBSTITUTE(SUBSTITUTE(SUBSTITUTE(LEFT(MID(TRIM(INDEX(PASTE_ALL,35,24)),1+(LEFT(TRIM(INDEX(PASTE_ALL,35,24)),1)="-"),999),LEN(MID(TRIM(INDEX(PASTE_ALL,35,24)),1+(LEFT(TRIM(INDEX(PASTE_ALL,35,24)),1)="-"),999))-(RIGHT(MID(TRIM(INDEX(PASTE_ALL,35,24)),1+(LEFT(TRIM(INDEX(PASTE_ALL,35,24)),1)="-"),999),1)="%")),"0",""),"1",""),"2",""),"3",""),"4",""),"5",""),"6",""),"7",""),"8",""),"9",""),".",""),",","")=""),2,1))),1)</f>
        <v/>
      </c>
      <c r="AW84">
        <f>IFERROR(IF(ISNUMBER(INDEX(PASTE_ALL,35,25)),2,IF(TRIM(INDEX(PASTE_ALL,35,25))="",0,IF(AND(LEFT(MID(TRIM(INDEX(PASTE_ALL,35,25)),1+(LEFT(TRIM(INDEX(PASTE_ALL,35,25)),1)="-"),999),LEN(MID(TRIM(INDEX(PASTE_ALL,35,25)),1+(LEFT(TRIM(INDEX(PASTE_ALL,35,25)),1)="-"),999))-(RIGHT(MID(TRIM(INDEX(PASTE_ALL,35,25)),1+(LEFT(TRIM(INDEX(PASTE_ALL,35,25)),1)="-"),999),1)="%"))&lt;&gt;"",SUBSTITUTE(SUBSTITUTE(SUBSTITUTE(SUBSTITUTE(SUBSTITUTE(SUBSTITUTE(SUBSTITUTE(SUBSTITUTE(SUBSTITUTE(SUBSTITUTE(SUBSTITUTE(SUBSTITUTE(LEFT(MID(TRIM(INDEX(PASTE_ALL,35,25)),1+(LEFT(TRIM(INDEX(PASTE_ALL,35,25)),1)="-"),999),LEN(MID(TRIM(INDEX(PASTE_ALL,35,25)),1+(LEFT(TRIM(INDEX(PASTE_ALL,35,25)),1)="-"),999))-(RIGHT(MID(TRIM(INDEX(PASTE_ALL,35,25)),1+(LEFT(TRIM(INDEX(PASTE_ALL,35,25)),1)="-"),999),1)="%")),"0",""),"1",""),"2",""),"3",""),"4",""),"5",""),"6",""),"7",""),"8",""),"9",""),".",""),",","")=""),2,1))),1)</f>
        <v/>
      </c>
      <c r="AX84">
        <f>IFERROR(IF(ISNUMBER(INDEX(PASTE_ALL,35,26)),2,IF(TRIM(INDEX(PASTE_ALL,35,26))="",0,IF(AND(LEFT(MID(TRIM(INDEX(PASTE_ALL,35,26)),1+(LEFT(TRIM(INDEX(PASTE_ALL,35,26)),1)="-"),999),LEN(MID(TRIM(INDEX(PASTE_ALL,35,26)),1+(LEFT(TRIM(INDEX(PASTE_ALL,35,26)),1)="-"),999))-(RIGHT(MID(TRIM(INDEX(PASTE_ALL,35,26)),1+(LEFT(TRIM(INDEX(PASTE_ALL,35,26)),1)="-"),999),1)="%"))&lt;&gt;"",SUBSTITUTE(SUBSTITUTE(SUBSTITUTE(SUBSTITUTE(SUBSTITUTE(SUBSTITUTE(SUBSTITUTE(SUBSTITUTE(SUBSTITUTE(SUBSTITUTE(SUBSTITUTE(SUBSTITUTE(LEFT(MID(TRIM(INDEX(PASTE_ALL,35,26)),1+(LEFT(TRIM(INDEX(PASTE_ALL,35,26)),1)="-"),999),LEN(MID(TRIM(INDEX(PASTE_ALL,35,26)),1+(LEFT(TRIM(INDEX(PASTE_ALL,35,26)),1)="-"),999))-(RIGHT(MID(TRIM(INDEX(PASTE_ALL,35,26)),1+(LEFT(TRIM(INDEX(PASTE_ALL,35,26)),1)="-"),999),1)="%")),"0",""),"1",""),"2",""),"3",""),"4",""),"5",""),"6",""),"7",""),"8",""),"9",""),".",""),",","")=""),2,1))),1)</f>
        <v/>
      </c>
      <c r="AY84">
        <f>IFERROR(IF(ISNUMBER(INDEX(PASTE_ALL,35,27)),2,IF(TRIM(INDEX(PASTE_ALL,35,27))="",0,IF(AND(LEFT(MID(TRIM(INDEX(PASTE_ALL,35,27)),1+(LEFT(TRIM(INDEX(PASTE_ALL,35,27)),1)="-"),999),LEN(MID(TRIM(INDEX(PASTE_ALL,35,27)),1+(LEFT(TRIM(INDEX(PASTE_ALL,35,27)),1)="-"),999))-(RIGHT(MID(TRIM(INDEX(PASTE_ALL,35,27)),1+(LEFT(TRIM(INDEX(PASTE_ALL,35,27)),1)="-"),999),1)="%"))&lt;&gt;"",SUBSTITUTE(SUBSTITUTE(SUBSTITUTE(SUBSTITUTE(SUBSTITUTE(SUBSTITUTE(SUBSTITUTE(SUBSTITUTE(SUBSTITUTE(SUBSTITUTE(SUBSTITUTE(SUBSTITUTE(LEFT(MID(TRIM(INDEX(PASTE_ALL,35,27)),1+(LEFT(TRIM(INDEX(PASTE_ALL,35,27)),1)="-"),999),LEN(MID(TRIM(INDEX(PASTE_ALL,35,27)),1+(LEFT(TRIM(INDEX(PASTE_ALL,35,27)),1)="-"),999))-(RIGHT(MID(TRIM(INDEX(PASTE_ALL,35,27)),1+(LEFT(TRIM(INDEX(PASTE_ALL,35,27)),1)="-"),999),1)="%")),"0",""),"1",""),"2",""),"3",""),"4",""),"5",""),"6",""),"7",""),"8",""),"9",""),".",""),",","")=""),2,1))),1)</f>
        <v/>
      </c>
      <c r="AZ84">
        <f>IFERROR(IF(ISNUMBER(INDEX(PASTE_ALL,35,28)),2,IF(TRIM(INDEX(PASTE_ALL,35,28))="",0,IF(AND(LEFT(MID(TRIM(INDEX(PASTE_ALL,35,28)),1+(LEFT(TRIM(INDEX(PASTE_ALL,35,28)),1)="-"),999),LEN(MID(TRIM(INDEX(PASTE_ALL,35,28)),1+(LEFT(TRIM(INDEX(PASTE_ALL,35,28)),1)="-"),999))-(RIGHT(MID(TRIM(INDEX(PASTE_ALL,35,28)),1+(LEFT(TRIM(INDEX(PASTE_ALL,35,28)),1)="-"),999),1)="%"))&lt;&gt;"",SUBSTITUTE(SUBSTITUTE(SUBSTITUTE(SUBSTITUTE(SUBSTITUTE(SUBSTITUTE(SUBSTITUTE(SUBSTITUTE(SUBSTITUTE(SUBSTITUTE(SUBSTITUTE(SUBSTITUTE(LEFT(MID(TRIM(INDEX(PASTE_ALL,35,28)),1+(LEFT(TRIM(INDEX(PASTE_ALL,35,28)),1)="-"),999),LEN(MID(TRIM(INDEX(PASTE_ALL,35,28)),1+(LEFT(TRIM(INDEX(PASTE_ALL,35,28)),1)="-"),999))-(RIGHT(MID(TRIM(INDEX(PASTE_ALL,35,28)),1+(LEFT(TRIM(INDEX(PASTE_ALL,35,28)),1)="-"),999),1)="%")),"0",""),"1",""),"2",""),"3",""),"4",""),"5",""),"6",""),"7",""),"8",""),"9",""),".",""),",","")=""),2,1))),1)</f>
        <v/>
      </c>
      <c r="BA84">
        <f>IFERROR(IF(ISNUMBER(INDEX(PASTE_ALL,35,29)),2,IF(TRIM(INDEX(PASTE_ALL,35,29))="",0,IF(AND(LEFT(MID(TRIM(INDEX(PASTE_ALL,35,29)),1+(LEFT(TRIM(INDEX(PASTE_ALL,35,29)),1)="-"),999),LEN(MID(TRIM(INDEX(PASTE_ALL,35,29)),1+(LEFT(TRIM(INDEX(PASTE_ALL,35,29)),1)="-"),999))-(RIGHT(MID(TRIM(INDEX(PASTE_ALL,35,29)),1+(LEFT(TRIM(INDEX(PASTE_ALL,35,29)),1)="-"),999),1)="%"))&lt;&gt;"",SUBSTITUTE(SUBSTITUTE(SUBSTITUTE(SUBSTITUTE(SUBSTITUTE(SUBSTITUTE(SUBSTITUTE(SUBSTITUTE(SUBSTITUTE(SUBSTITUTE(SUBSTITUTE(SUBSTITUTE(LEFT(MID(TRIM(INDEX(PASTE_ALL,35,29)),1+(LEFT(TRIM(INDEX(PASTE_ALL,35,29)),1)="-"),999),LEN(MID(TRIM(INDEX(PASTE_ALL,35,29)),1+(LEFT(TRIM(INDEX(PASTE_ALL,35,29)),1)="-"),999))-(RIGHT(MID(TRIM(INDEX(PASTE_ALL,35,29)),1+(LEFT(TRIM(INDEX(PASTE_ALL,35,29)),1)="-"),999),1)="%")),"0",""),"1",""),"2",""),"3",""),"4",""),"5",""),"6",""),"7",""),"8",""),"9",""),".",""),",","")=""),2,1))),1)</f>
        <v/>
      </c>
      <c r="BB84">
        <f>IFERROR(IF(ISNUMBER(INDEX(PASTE_ALL,35,30)),2,IF(TRIM(INDEX(PASTE_ALL,35,30))="",0,IF(AND(LEFT(MID(TRIM(INDEX(PASTE_ALL,35,30)),1+(LEFT(TRIM(INDEX(PASTE_ALL,35,30)),1)="-"),999),LEN(MID(TRIM(INDEX(PASTE_ALL,35,30)),1+(LEFT(TRIM(INDEX(PASTE_ALL,35,30)),1)="-"),999))-(RIGHT(MID(TRIM(INDEX(PASTE_ALL,35,30)),1+(LEFT(TRIM(INDEX(PASTE_ALL,35,30)),1)="-"),999),1)="%"))&lt;&gt;"",SUBSTITUTE(SUBSTITUTE(SUBSTITUTE(SUBSTITUTE(SUBSTITUTE(SUBSTITUTE(SUBSTITUTE(SUBSTITUTE(SUBSTITUTE(SUBSTITUTE(SUBSTITUTE(SUBSTITUTE(LEFT(MID(TRIM(INDEX(PASTE_ALL,35,30)),1+(LEFT(TRIM(INDEX(PASTE_ALL,35,30)),1)="-"),999),LEN(MID(TRIM(INDEX(PASTE_ALL,35,30)),1+(LEFT(TRIM(INDEX(PASTE_ALL,35,30)),1)="-"),999))-(RIGHT(MID(TRIM(INDEX(PASTE_ALL,35,30)),1+(LEFT(TRIM(INDEX(PASTE_ALL,35,30)),1)="-"),999),1)="%")),"0",""),"1",""),"2",""),"3",""),"4",""),"5",""),"6",""),"7",""),"8",""),"9",""),".",""),",","")=""),2,1))),1)</f>
        <v/>
      </c>
      <c r="BC84">
        <f>IFERROR(IF(ISNUMBER(INDEX(PASTE_ALL,35,31)),2,IF(TRIM(INDEX(PASTE_ALL,35,31))="",0,IF(AND(LEFT(MID(TRIM(INDEX(PASTE_ALL,35,31)),1+(LEFT(TRIM(INDEX(PASTE_ALL,35,31)),1)="-"),999),LEN(MID(TRIM(INDEX(PASTE_ALL,35,31)),1+(LEFT(TRIM(INDEX(PASTE_ALL,35,31)),1)="-"),999))-(RIGHT(MID(TRIM(INDEX(PASTE_ALL,35,31)),1+(LEFT(TRIM(INDEX(PASTE_ALL,35,31)),1)="-"),999),1)="%"))&lt;&gt;"",SUBSTITUTE(SUBSTITUTE(SUBSTITUTE(SUBSTITUTE(SUBSTITUTE(SUBSTITUTE(SUBSTITUTE(SUBSTITUTE(SUBSTITUTE(SUBSTITUTE(SUBSTITUTE(SUBSTITUTE(LEFT(MID(TRIM(INDEX(PASTE_ALL,35,31)),1+(LEFT(TRIM(INDEX(PASTE_ALL,35,31)),1)="-"),999),LEN(MID(TRIM(INDEX(PASTE_ALL,35,31)),1+(LEFT(TRIM(INDEX(PASTE_ALL,35,31)),1)="-"),999))-(RIGHT(MID(TRIM(INDEX(PASTE_ALL,35,31)),1+(LEFT(TRIM(INDEX(PASTE_ALL,35,31)),1)="-"),999),1)="%")),"0",""),"1",""),"2",""),"3",""),"4",""),"5",""),"6",""),"7",""),"8",""),"9",""),".",""),",","")=""),2,1))),1)</f>
        <v/>
      </c>
      <c r="BD84">
        <f>IFERROR(IF(ISNUMBER(INDEX(PASTE_ALL,35,32)),2,IF(TRIM(INDEX(PASTE_ALL,35,32))="",0,IF(AND(LEFT(MID(TRIM(INDEX(PASTE_ALL,35,32)),1+(LEFT(TRIM(INDEX(PASTE_ALL,35,32)),1)="-"),999),LEN(MID(TRIM(INDEX(PASTE_ALL,35,32)),1+(LEFT(TRIM(INDEX(PASTE_ALL,35,32)),1)="-"),999))-(RIGHT(MID(TRIM(INDEX(PASTE_ALL,35,32)),1+(LEFT(TRIM(INDEX(PASTE_ALL,35,32)),1)="-"),999),1)="%"))&lt;&gt;"",SUBSTITUTE(SUBSTITUTE(SUBSTITUTE(SUBSTITUTE(SUBSTITUTE(SUBSTITUTE(SUBSTITUTE(SUBSTITUTE(SUBSTITUTE(SUBSTITUTE(SUBSTITUTE(SUBSTITUTE(LEFT(MID(TRIM(INDEX(PASTE_ALL,35,32)),1+(LEFT(TRIM(INDEX(PASTE_ALL,35,32)),1)="-"),999),LEN(MID(TRIM(INDEX(PASTE_ALL,35,32)),1+(LEFT(TRIM(INDEX(PASTE_ALL,35,32)),1)="-"),999))-(RIGHT(MID(TRIM(INDEX(PASTE_ALL,35,32)),1+(LEFT(TRIM(INDEX(PASTE_ALL,35,32)),1)="-"),999),1)="%")),"0",""),"1",""),"2",""),"3",""),"4",""),"5",""),"6",""),"7",""),"8",""),"9",""),".",""),",","")=""),2,1))),1)</f>
        <v/>
      </c>
      <c r="BE84">
        <f>IFERROR(IF(ISNUMBER(INDEX(PASTE_ALL,35,33)),2,IF(TRIM(INDEX(PASTE_ALL,35,33))="",0,IF(AND(LEFT(MID(TRIM(INDEX(PASTE_ALL,35,33)),1+(LEFT(TRIM(INDEX(PASTE_ALL,35,33)),1)="-"),999),LEN(MID(TRIM(INDEX(PASTE_ALL,35,33)),1+(LEFT(TRIM(INDEX(PASTE_ALL,35,33)),1)="-"),999))-(RIGHT(MID(TRIM(INDEX(PASTE_ALL,35,33)),1+(LEFT(TRIM(INDEX(PASTE_ALL,35,33)),1)="-"),999),1)="%"))&lt;&gt;"",SUBSTITUTE(SUBSTITUTE(SUBSTITUTE(SUBSTITUTE(SUBSTITUTE(SUBSTITUTE(SUBSTITUTE(SUBSTITUTE(SUBSTITUTE(SUBSTITUTE(SUBSTITUTE(SUBSTITUTE(LEFT(MID(TRIM(INDEX(PASTE_ALL,35,33)),1+(LEFT(TRIM(INDEX(PASTE_ALL,35,33)),1)="-"),999),LEN(MID(TRIM(INDEX(PASTE_ALL,35,33)),1+(LEFT(TRIM(INDEX(PASTE_ALL,35,33)),1)="-"),999))-(RIGHT(MID(TRIM(INDEX(PASTE_ALL,35,33)),1+(LEFT(TRIM(INDEX(PASTE_ALL,35,33)),1)="-"),999),1)="%")),"0",""),"1",""),"2",""),"3",""),"4",""),"5",""),"6",""),"7",""),"8",""),"9",""),".",""),",","")=""),2,1))),1)</f>
        <v/>
      </c>
      <c r="BF84">
        <f>IFERROR(IF(ISNUMBER(INDEX(PASTE_ALL,35,34)),2,IF(TRIM(INDEX(PASTE_ALL,35,34))="",0,IF(AND(LEFT(MID(TRIM(INDEX(PASTE_ALL,35,34)),1+(LEFT(TRIM(INDEX(PASTE_ALL,35,34)),1)="-"),999),LEN(MID(TRIM(INDEX(PASTE_ALL,35,34)),1+(LEFT(TRIM(INDEX(PASTE_ALL,35,34)),1)="-"),999))-(RIGHT(MID(TRIM(INDEX(PASTE_ALL,35,34)),1+(LEFT(TRIM(INDEX(PASTE_ALL,35,34)),1)="-"),999),1)="%"))&lt;&gt;"",SUBSTITUTE(SUBSTITUTE(SUBSTITUTE(SUBSTITUTE(SUBSTITUTE(SUBSTITUTE(SUBSTITUTE(SUBSTITUTE(SUBSTITUTE(SUBSTITUTE(SUBSTITUTE(SUBSTITUTE(LEFT(MID(TRIM(INDEX(PASTE_ALL,35,34)),1+(LEFT(TRIM(INDEX(PASTE_ALL,35,34)),1)="-"),999),LEN(MID(TRIM(INDEX(PASTE_ALL,35,34)),1+(LEFT(TRIM(INDEX(PASTE_ALL,35,34)),1)="-"),999))-(RIGHT(MID(TRIM(INDEX(PASTE_ALL,35,34)),1+(LEFT(TRIM(INDEX(PASTE_ALL,35,34)),1)="-"),999),1)="%")),"0",""),"1",""),"2",""),"3",""),"4",""),"5",""),"6",""),"7",""),"8",""),"9",""),".",""),",","")=""),2,1))),1)</f>
        <v/>
      </c>
      <c r="BG84">
        <f>IFERROR(IF(ISNUMBER(INDEX(PASTE_ALL,35,35)),2,IF(TRIM(INDEX(PASTE_ALL,35,35))="",0,IF(AND(LEFT(MID(TRIM(INDEX(PASTE_ALL,35,35)),1+(LEFT(TRIM(INDEX(PASTE_ALL,35,35)),1)="-"),999),LEN(MID(TRIM(INDEX(PASTE_ALL,35,35)),1+(LEFT(TRIM(INDEX(PASTE_ALL,35,35)),1)="-"),999))-(RIGHT(MID(TRIM(INDEX(PASTE_ALL,35,35)),1+(LEFT(TRIM(INDEX(PASTE_ALL,35,35)),1)="-"),999),1)="%"))&lt;&gt;"",SUBSTITUTE(SUBSTITUTE(SUBSTITUTE(SUBSTITUTE(SUBSTITUTE(SUBSTITUTE(SUBSTITUTE(SUBSTITUTE(SUBSTITUTE(SUBSTITUTE(SUBSTITUTE(SUBSTITUTE(LEFT(MID(TRIM(INDEX(PASTE_ALL,35,35)),1+(LEFT(TRIM(INDEX(PASTE_ALL,35,35)),1)="-"),999),LEN(MID(TRIM(INDEX(PASTE_ALL,35,35)),1+(LEFT(TRIM(INDEX(PASTE_ALL,35,35)),1)="-"),999))-(RIGHT(MID(TRIM(INDEX(PASTE_ALL,35,35)),1+(LEFT(TRIM(INDEX(PASTE_ALL,35,35)),1)="-"),999),1)="%")),"0",""),"1",""),"2",""),"3",""),"4",""),"5",""),"6",""),"7",""),"8",""),"9",""),".",""),",","")=""),2,1))),1)</f>
        <v/>
      </c>
      <c r="BH84">
        <f>IFERROR(IF(ISNUMBER(INDEX(PASTE_ALL,35,36)),2,IF(TRIM(INDEX(PASTE_ALL,35,36))="",0,IF(AND(LEFT(MID(TRIM(INDEX(PASTE_ALL,35,36)),1+(LEFT(TRIM(INDEX(PASTE_ALL,35,36)),1)="-"),999),LEN(MID(TRIM(INDEX(PASTE_ALL,35,36)),1+(LEFT(TRIM(INDEX(PASTE_ALL,35,36)),1)="-"),999))-(RIGHT(MID(TRIM(INDEX(PASTE_ALL,35,36)),1+(LEFT(TRIM(INDEX(PASTE_ALL,35,36)),1)="-"),999),1)="%"))&lt;&gt;"",SUBSTITUTE(SUBSTITUTE(SUBSTITUTE(SUBSTITUTE(SUBSTITUTE(SUBSTITUTE(SUBSTITUTE(SUBSTITUTE(SUBSTITUTE(SUBSTITUTE(SUBSTITUTE(SUBSTITUTE(LEFT(MID(TRIM(INDEX(PASTE_ALL,35,36)),1+(LEFT(TRIM(INDEX(PASTE_ALL,35,36)),1)="-"),999),LEN(MID(TRIM(INDEX(PASTE_ALL,35,36)),1+(LEFT(TRIM(INDEX(PASTE_ALL,35,36)),1)="-"),999))-(RIGHT(MID(TRIM(INDEX(PASTE_ALL,35,36)),1+(LEFT(TRIM(INDEX(PASTE_ALL,35,36)),1)="-"),999),1)="%")),"0",""),"1",""),"2",""),"3",""),"4",""),"5",""),"6",""),"7",""),"8",""),"9",""),".",""),",","")=""),2,1))),1)</f>
        <v/>
      </c>
      <c r="BI84">
        <f>IFERROR(IF(ISNUMBER(INDEX(PASTE_ALL,35,37)),2,IF(TRIM(INDEX(PASTE_ALL,35,37))="",0,IF(AND(LEFT(MID(TRIM(INDEX(PASTE_ALL,35,37)),1+(LEFT(TRIM(INDEX(PASTE_ALL,35,37)),1)="-"),999),LEN(MID(TRIM(INDEX(PASTE_ALL,35,37)),1+(LEFT(TRIM(INDEX(PASTE_ALL,35,37)),1)="-"),999))-(RIGHT(MID(TRIM(INDEX(PASTE_ALL,35,37)),1+(LEFT(TRIM(INDEX(PASTE_ALL,35,37)),1)="-"),999),1)="%"))&lt;&gt;"",SUBSTITUTE(SUBSTITUTE(SUBSTITUTE(SUBSTITUTE(SUBSTITUTE(SUBSTITUTE(SUBSTITUTE(SUBSTITUTE(SUBSTITUTE(SUBSTITUTE(SUBSTITUTE(SUBSTITUTE(LEFT(MID(TRIM(INDEX(PASTE_ALL,35,37)),1+(LEFT(TRIM(INDEX(PASTE_ALL,35,37)),1)="-"),999),LEN(MID(TRIM(INDEX(PASTE_ALL,35,37)),1+(LEFT(TRIM(INDEX(PASTE_ALL,35,37)),1)="-"),999))-(RIGHT(MID(TRIM(INDEX(PASTE_ALL,35,37)),1+(LEFT(TRIM(INDEX(PASTE_ALL,35,37)),1)="-"),999),1)="%")),"0",""),"1",""),"2",""),"3",""),"4",""),"5",""),"6",""),"7",""),"8",""),"9",""),".",""),",","")=""),2,1))),1)</f>
        <v/>
      </c>
      <c r="BJ84">
        <f>IFERROR(IF(ISNUMBER(INDEX(PASTE_ALL,35,38)),2,IF(TRIM(INDEX(PASTE_ALL,35,38))="",0,IF(AND(LEFT(MID(TRIM(INDEX(PASTE_ALL,35,38)),1+(LEFT(TRIM(INDEX(PASTE_ALL,35,38)),1)="-"),999),LEN(MID(TRIM(INDEX(PASTE_ALL,35,38)),1+(LEFT(TRIM(INDEX(PASTE_ALL,35,38)),1)="-"),999))-(RIGHT(MID(TRIM(INDEX(PASTE_ALL,35,38)),1+(LEFT(TRIM(INDEX(PASTE_ALL,35,38)),1)="-"),999),1)="%"))&lt;&gt;"",SUBSTITUTE(SUBSTITUTE(SUBSTITUTE(SUBSTITUTE(SUBSTITUTE(SUBSTITUTE(SUBSTITUTE(SUBSTITUTE(SUBSTITUTE(SUBSTITUTE(SUBSTITUTE(SUBSTITUTE(LEFT(MID(TRIM(INDEX(PASTE_ALL,35,38)),1+(LEFT(TRIM(INDEX(PASTE_ALL,35,38)),1)="-"),999),LEN(MID(TRIM(INDEX(PASTE_ALL,35,38)),1+(LEFT(TRIM(INDEX(PASTE_ALL,35,38)),1)="-"),999))-(RIGHT(MID(TRIM(INDEX(PASTE_ALL,35,38)),1+(LEFT(TRIM(INDEX(PASTE_ALL,35,38)),1)="-"),999),1)="%")),"0",""),"1",""),"2",""),"3",""),"4",""),"5",""),"6",""),"7",""),"8",""),"9",""),".",""),",","")=""),2,1))),1)</f>
        <v/>
      </c>
      <c r="BK84">
        <f>IFERROR(IF(ISNUMBER(INDEX(PASTE_ALL,35,39)),2,IF(TRIM(INDEX(PASTE_ALL,35,39))="",0,IF(AND(LEFT(MID(TRIM(INDEX(PASTE_ALL,35,39)),1+(LEFT(TRIM(INDEX(PASTE_ALL,35,39)),1)="-"),999),LEN(MID(TRIM(INDEX(PASTE_ALL,35,39)),1+(LEFT(TRIM(INDEX(PASTE_ALL,35,39)),1)="-"),999))-(RIGHT(MID(TRIM(INDEX(PASTE_ALL,35,39)),1+(LEFT(TRIM(INDEX(PASTE_ALL,35,39)),1)="-"),999),1)="%"))&lt;&gt;"",SUBSTITUTE(SUBSTITUTE(SUBSTITUTE(SUBSTITUTE(SUBSTITUTE(SUBSTITUTE(SUBSTITUTE(SUBSTITUTE(SUBSTITUTE(SUBSTITUTE(SUBSTITUTE(SUBSTITUTE(LEFT(MID(TRIM(INDEX(PASTE_ALL,35,39)),1+(LEFT(TRIM(INDEX(PASTE_ALL,35,39)),1)="-"),999),LEN(MID(TRIM(INDEX(PASTE_ALL,35,39)),1+(LEFT(TRIM(INDEX(PASTE_ALL,35,39)),1)="-"),999))-(RIGHT(MID(TRIM(INDEX(PASTE_ALL,35,39)),1+(LEFT(TRIM(INDEX(PASTE_ALL,35,39)),1)="-"),999),1)="%")),"0",""),"1",""),"2",""),"3",""),"4",""),"5",""),"6",""),"7",""),"8",""),"9",""),".",""),",","")=""),2,1))),1)</f>
        <v/>
      </c>
      <c r="BL84">
        <f>IFERROR(IF(ISNUMBER(INDEX(PASTE_ALL,35,40)),2,IF(TRIM(INDEX(PASTE_ALL,35,40))="",0,IF(AND(LEFT(MID(TRIM(INDEX(PASTE_ALL,35,40)),1+(LEFT(TRIM(INDEX(PASTE_ALL,35,40)),1)="-"),999),LEN(MID(TRIM(INDEX(PASTE_ALL,35,40)),1+(LEFT(TRIM(INDEX(PASTE_ALL,35,40)),1)="-"),999))-(RIGHT(MID(TRIM(INDEX(PASTE_ALL,35,40)),1+(LEFT(TRIM(INDEX(PASTE_ALL,35,40)),1)="-"),999),1)="%"))&lt;&gt;"",SUBSTITUTE(SUBSTITUTE(SUBSTITUTE(SUBSTITUTE(SUBSTITUTE(SUBSTITUTE(SUBSTITUTE(SUBSTITUTE(SUBSTITUTE(SUBSTITUTE(SUBSTITUTE(SUBSTITUTE(LEFT(MID(TRIM(INDEX(PASTE_ALL,35,40)),1+(LEFT(TRIM(INDEX(PASTE_ALL,35,40)),1)="-"),999),LEN(MID(TRIM(INDEX(PASTE_ALL,35,40)),1+(LEFT(TRIM(INDEX(PASTE_ALL,35,40)),1)="-"),999))-(RIGHT(MID(TRIM(INDEX(PASTE_ALL,35,40)),1+(LEFT(TRIM(INDEX(PASTE_ALL,35,40)),1)="-"),999),1)="%")),"0",""),"1",""),"2",""),"3",""),"4",""),"5",""),"6",""),"7",""),"8",""),"9",""),".",""),",","")=""),2,1))),1)</f>
        <v/>
      </c>
      <c r="BM84">
        <f>IFERROR(IF(ISNUMBER(INDEX(PASTE_ALL,35,41)),2,IF(TRIM(INDEX(PASTE_ALL,35,41))="",0,IF(AND(LEFT(MID(TRIM(INDEX(PASTE_ALL,35,41)),1+(LEFT(TRIM(INDEX(PASTE_ALL,35,41)),1)="-"),999),LEN(MID(TRIM(INDEX(PASTE_ALL,35,41)),1+(LEFT(TRIM(INDEX(PASTE_ALL,35,41)),1)="-"),999))-(RIGHT(MID(TRIM(INDEX(PASTE_ALL,35,41)),1+(LEFT(TRIM(INDEX(PASTE_ALL,35,41)),1)="-"),999),1)="%"))&lt;&gt;"",SUBSTITUTE(SUBSTITUTE(SUBSTITUTE(SUBSTITUTE(SUBSTITUTE(SUBSTITUTE(SUBSTITUTE(SUBSTITUTE(SUBSTITUTE(SUBSTITUTE(SUBSTITUTE(SUBSTITUTE(LEFT(MID(TRIM(INDEX(PASTE_ALL,35,41)),1+(LEFT(TRIM(INDEX(PASTE_ALL,35,41)),1)="-"),999),LEN(MID(TRIM(INDEX(PASTE_ALL,35,41)),1+(LEFT(TRIM(INDEX(PASTE_ALL,35,41)),1)="-"),999))-(RIGHT(MID(TRIM(INDEX(PASTE_ALL,35,41)),1+(LEFT(TRIM(INDEX(PASTE_ALL,35,41)),1)="-"),999),1)="%")),"0",""),"1",""),"2",""),"3",""),"4",""),"5",""),"6",""),"7",""),"8",""),"9",""),".",""),",","")=""),2,1))),1)</f>
        <v/>
      </c>
      <c r="BN84">
        <f>IFERROR(IF(ISNUMBER(INDEX(PASTE_ALL,35,42)),2,IF(TRIM(INDEX(PASTE_ALL,35,42))="",0,IF(AND(LEFT(MID(TRIM(INDEX(PASTE_ALL,35,42)),1+(LEFT(TRIM(INDEX(PASTE_ALL,35,42)),1)="-"),999),LEN(MID(TRIM(INDEX(PASTE_ALL,35,42)),1+(LEFT(TRIM(INDEX(PASTE_ALL,35,42)),1)="-"),999))-(RIGHT(MID(TRIM(INDEX(PASTE_ALL,35,42)),1+(LEFT(TRIM(INDEX(PASTE_ALL,35,42)),1)="-"),999),1)="%"))&lt;&gt;"",SUBSTITUTE(SUBSTITUTE(SUBSTITUTE(SUBSTITUTE(SUBSTITUTE(SUBSTITUTE(SUBSTITUTE(SUBSTITUTE(SUBSTITUTE(SUBSTITUTE(SUBSTITUTE(SUBSTITUTE(LEFT(MID(TRIM(INDEX(PASTE_ALL,35,42)),1+(LEFT(TRIM(INDEX(PASTE_ALL,35,42)),1)="-"),999),LEN(MID(TRIM(INDEX(PASTE_ALL,35,42)),1+(LEFT(TRIM(INDEX(PASTE_ALL,35,42)),1)="-"),999))-(RIGHT(MID(TRIM(INDEX(PASTE_ALL,35,42)),1+(LEFT(TRIM(INDEX(PASTE_ALL,35,42)),1)="-"),999),1)="%")),"0",""),"1",""),"2",""),"3",""),"4",""),"5",""),"6",""),"7",""),"8",""),"9",""),".",""),",","")=""),2,1))),1)</f>
        <v/>
      </c>
      <c r="BO84">
        <f>IFERROR(IF(ISNUMBER(INDEX(PASTE_ALL,35,43)),2,IF(TRIM(INDEX(PASTE_ALL,35,43))="",0,IF(AND(LEFT(MID(TRIM(INDEX(PASTE_ALL,35,43)),1+(LEFT(TRIM(INDEX(PASTE_ALL,35,43)),1)="-"),999),LEN(MID(TRIM(INDEX(PASTE_ALL,35,43)),1+(LEFT(TRIM(INDEX(PASTE_ALL,35,43)),1)="-"),999))-(RIGHT(MID(TRIM(INDEX(PASTE_ALL,35,43)),1+(LEFT(TRIM(INDEX(PASTE_ALL,35,43)),1)="-"),999),1)="%"))&lt;&gt;"",SUBSTITUTE(SUBSTITUTE(SUBSTITUTE(SUBSTITUTE(SUBSTITUTE(SUBSTITUTE(SUBSTITUTE(SUBSTITUTE(SUBSTITUTE(SUBSTITUTE(SUBSTITUTE(SUBSTITUTE(LEFT(MID(TRIM(INDEX(PASTE_ALL,35,43)),1+(LEFT(TRIM(INDEX(PASTE_ALL,35,43)),1)="-"),999),LEN(MID(TRIM(INDEX(PASTE_ALL,35,43)),1+(LEFT(TRIM(INDEX(PASTE_ALL,35,43)),1)="-"),999))-(RIGHT(MID(TRIM(INDEX(PASTE_ALL,35,43)),1+(LEFT(TRIM(INDEX(PASTE_ALL,35,43)),1)="-"),999),1)="%")),"0",""),"1",""),"2",""),"3",""),"4",""),"5",""),"6",""),"7",""),"8",""),"9",""),".",""),",","")=""),2,1))),1)</f>
        <v/>
      </c>
      <c r="BP84">
        <f>IFERROR(IF(ISNUMBER(INDEX(PASTE_ALL,35,44)),2,IF(TRIM(INDEX(PASTE_ALL,35,44))="",0,IF(AND(LEFT(MID(TRIM(INDEX(PASTE_ALL,35,44)),1+(LEFT(TRIM(INDEX(PASTE_ALL,35,44)),1)="-"),999),LEN(MID(TRIM(INDEX(PASTE_ALL,35,44)),1+(LEFT(TRIM(INDEX(PASTE_ALL,35,44)),1)="-"),999))-(RIGHT(MID(TRIM(INDEX(PASTE_ALL,35,44)),1+(LEFT(TRIM(INDEX(PASTE_ALL,35,44)),1)="-"),999),1)="%"))&lt;&gt;"",SUBSTITUTE(SUBSTITUTE(SUBSTITUTE(SUBSTITUTE(SUBSTITUTE(SUBSTITUTE(SUBSTITUTE(SUBSTITUTE(SUBSTITUTE(SUBSTITUTE(SUBSTITUTE(SUBSTITUTE(LEFT(MID(TRIM(INDEX(PASTE_ALL,35,44)),1+(LEFT(TRIM(INDEX(PASTE_ALL,35,44)),1)="-"),999),LEN(MID(TRIM(INDEX(PASTE_ALL,35,44)),1+(LEFT(TRIM(INDEX(PASTE_ALL,35,44)),1)="-"),999))-(RIGHT(MID(TRIM(INDEX(PASTE_ALL,35,44)),1+(LEFT(TRIM(INDEX(PASTE_ALL,35,44)),1)="-"),999),1)="%")),"0",""),"1",""),"2",""),"3",""),"4",""),"5",""),"6",""),"7",""),"8",""),"9",""),".",""),",","")=""),2,1))),1)</f>
        <v/>
      </c>
      <c r="BQ84">
        <f>IFERROR(IF(ISNUMBER(INDEX(PASTE_ALL,35,45)),2,IF(TRIM(INDEX(PASTE_ALL,35,45))="",0,IF(AND(LEFT(MID(TRIM(INDEX(PASTE_ALL,35,45)),1+(LEFT(TRIM(INDEX(PASTE_ALL,35,45)),1)="-"),999),LEN(MID(TRIM(INDEX(PASTE_ALL,35,45)),1+(LEFT(TRIM(INDEX(PASTE_ALL,35,45)),1)="-"),999))-(RIGHT(MID(TRIM(INDEX(PASTE_ALL,35,45)),1+(LEFT(TRIM(INDEX(PASTE_ALL,35,45)),1)="-"),999),1)="%"))&lt;&gt;"",SUBSTITUTE(SUBSTITUTE(SUBSTITUTE(SUBSTITUTE(SUBSTITUTE(SUBSTITUTE(SUBSTITUTE(SUBSTITUTE(SUBSTITUTE(SUBSTITUTE(SUBSTITUTE(SUBSTITUTE(LEFT(MID(TRIM(INDEX(PASTE_ALL,35,45)),1+(LEFT(TRIM(INDEX(PASTE_ALL,35,45)),1)="-"),999),LEN(MID(TRIM(INDEX(PASTE_ALL,35,45)),1+(LEFT(TRIM(INDEX(PASTE_ALL,35,45)),1)="-"),999))-(RIGHT(MID(TRIM(INDEX(PASTE_ALL,35,45)),1+(LEFT(TRIM(INDEX(PASTE_ALL,35,45)),1)="-"),999),1)="%")),"0",""),"1",""),"2",""),"3",""),"4",""),"5",""),"6",""),"7",""),"8",""),"9",""),".",""),",","")=""),2,1))),1)</f>
        <v/>
      </c>
      <c r="BR84">
        <f>IFERROR(IF(ISNUMBER(INDEX(PASTE_ALL,35,46)),2,IF(TRIM(INDEX(PASTE_ALL,35,46))="",0,IF(AND(LEFT(MID(TRIM(INDEX(PASTE_ALL,35,46)),1+(LEFT(TRIM(INDEX(PASTE_ALL,35,46)),1)="-"),999),LEN(MID(TRIM(INDEX(PASTE_ALL,35,46)),1+(LEFT(TRIM(INDEX(PASTE_ALL,35,46)),1)="-"),999))-(RIGHT(MID(TRIM(INDEX(PASTE_ALL,35,46)),1+(LEFT(TRIM(INDEX(PASTE_ALL,35,46)),1)="-"),999),1)="%"))&lt;&gt;"",SUBSTITUTE(SUBSTITUTE(SUBSTITUTE(SUBSTITUTE(SUBSTITUTE(SUBSTITUTE(SUBSTITUTE(SUBSTITUTE(SUBSTITUTE(SUBSTITUTE(SUBSTITUTE(SUBSTITUTE(LEFT(MID(TRIM(INDEX(PASTE_ALL,35,46)),1+(LEFT(TRIM(INDEX(PASTE_ALL,35,46)),1)="-"),999),LEN(MID(TRIM(INDEX(PASTE_ALL,35,46)),1+(LEFT(TRIM(INDEX(PASTE_ALL,35,46)),1)="-"),999))-(RIGHT(MID(TRIM(INDEX(PASTE_ALL,35,46)),1+(LEFT(TRIM(INDEX(PASTE_ALL,35,46)),1)="-"),999),1)="%")),"0",""),"1",""),"2",""),"3",""),"4",""),"5",""),"6",""),"7",""),"8",""),"9",""),".",""),",","")=""),2,1))),1)</f>
        <v/>
      </c>
      <c r="BS84">
        <f>IFERROR(IF(ISNUMBER(INDEX(PASTE_ALL,35,47)),2,IF(TRIM(INDEX(PASTE_ALL,35,47))="",0,IF(AND(LEFT(MID(TRIM(INDEX(PASTE_ALL,35,47)),1+(LEFT(TRIM(INDEX(PASTE_ALL,35,47)),1)="-"),999),LEN(MID(TRIM(INDEX(PASTE_ALL,35,47)),1+(LEFT(TRIM(INDEX(PASTE_ALL,35,47)),1)="-"),999))-(RIGHT(MID(TRIM(INDEX(PASTE_ALL,35,47)),1+(LEFT(TRIM(INDEX(PASTE_ALL,35,47)),1)="-"),999),1)="%"))&lt;&gt;"",SUBSTITUTE(SUBSTITUTE(SUBSTITUTE(SUBSTITUTE(SUBSTITUTE(SUBSTITUTE(SUBSTITUTE(SUBSTITUTE(SUBSTITUTE(SUBSTITUTE(SUBSTITUTE(SUBSTITUTE(LEFT(MID(TRIM(INDEX(PASTE_ALL,35,47)),1+(LEFT(TRIM(INDEX(PASTE_ALL,35,47)),1)="-"),999),LEN(MID(TRIM(INDEX(PASTE_ALL,35,47)),1+(LEFT(TRIM(INDEX(PASTE_ALL,35,47)),1)="-"),999))-(RIGHT(MID(TRIM(INDEX(PASTE_ALL,35,47)),1+(LEFT(TRIM(INDEX(PASTE_ALL,35,47)),1)="-"),999),1)="%")),"0",""),"1",""),"2",""),"3",""),"4",""),"5",""),"6",""),"7",""),"8",""),"9",""),".",""),",","")=""),2,1))),1)</f>
        <v/>
      </c>
      <c r="BT84">
        <f>IFERROR(IF(ISNUMBER(INDEX(PASTE_ALL,35,48)),2,IF(TRIM(INDEX(PASTE_ALL,35,48))="",0,IF(AND(LEFT(MID(TRIM(INDEX(PASTE_ALL,35,48)),1+(LEFT(TRIM(INDEX(PASTE_ALL,35,48)),1)="-"),999),LEN(MID(TRIM(INDEX(PASTE_ALL,35,48)),1+(LEFT(TRIM(INDEX(PASTE_ALL,35,48)),1)="-"),999))-(RIGHT(MID(TRIM(INDEX(PASTE_ALL,35,48)),1+(LEFT(TRIM(INDEX(PASTE_ALL,35,48)),1)="-"),999),1)="%"))&lt;&gt;"",SUBSTITUTE(SUBSTITUTE(SUBSTITUTE(SUBSTITUTE(SUBSTITUTE(SUBSTITUTE(SUBSTITUTE(SUBSTITUTE(SUBSTITUTE(SUBSTITUTE(SUBSTITUTE(SUBSTITUTE(LEFT(MID(TRIM(INDEX(PASTE_ALL,35,48)),1+(LEFT(TRIM(INDEX(PASTE_ALL,35,48)),1)="-"),999),LEN(MID(TRIM(INDEX(PASTE_ALL,35,48)),1+(LEFT(TRIM(INDEX(PASTE_ALL,35,48)),1)="-"),999))-(RIGHT(MID(TRIM(INDEX(PASTE_ALL,35,48)),1+(LEFT(TRIM(INDEX(PASTE_ALL,35,48)),1)="-"),999),1)="%")),"0",""),"1",""),"2",""),"3",""),"4",""),"5",""),"6",""),"7",""),"8",""),"9",""),".",""),",","")=""),2,1))),1)</f>
        <v/>
      </c>
      <c r="BU84">
        <f>IFERROR(IF(ISNUMBER(INDEX(PASTE_ALL,35,49)),2,IF(TRIM(INDEX(PASTE_ALL,35,49))="",0,IF(AND(LEFT(MID(TRIM(INDEX(PASTE_ALL,35,49)),1+(LEFT(TRIM(INDEX(PASTE_ALL,35,49)),1)="-"),999),LEN(MID(TRIM(INDEX(PASTE_ALL,35,49)),1+(LEFT(TRIM(INDEX(PASTE_ALL,35,49)),1)="-"),999))-(RIGHT(MID(TRIM(INDEX(PASTE_ALL,35,49)),1+(LEFT(TRIM(INDEX(PASTE_ALL,35,49)),1)="-"),999),1)="%"))&lt;&gt;"",SUBSTITUTE(SUBSTITUTE(SUBSTITUTE(SUBSTITUTE(SUBSTITUTE(SUBSTITUTE(SUBSTITUTE(SUBSTITUTE(SUBSTITUTE(SUBSTITUTE(SUBSTITUTE(SUBSTITUTE(LEFT(MID(TRIM(INDEX(PASTE_ALL,35,49)),1+(LEFT(TRIM(INDEX(PASTE_ALL,35,49)),1)="-"),999),LEN(MID(TRIM(INDEX(PASTE_ALL,35,49)),1+(LEFT(TRIM(INDEX(PASTE_ALL,35,49)),1)="-"),999))-(RIGHT(MID(TRIM(INDEX(PASTE_ALL,35,49)),1+(LEFT(TRIM(INDEX(PASTE_ALL,35,49)),1)="-"),999),1)="%")),"0",""),"1",""),"2",""),"3",""),"4",""),"5",""),"6",""),"7",""),"8",""),"9",""),".",""),",","")=""),2,1))),1)</f>
        <v/>
      </c>
      <c r="BV84">
        <f>IFERROR(IF(ISNUMBER(INDEX(PASTE_ALL,35,50)),2,IF(TRIM(INDEX(PASTE_ALL,35,50))="",0,IF(AND(LEFT(MID(TRIM(INDEX(PASTE_ALL,35,50)),1+(LEFT(TRIM(INDEX(PASTE_ALL,35,50)),1)="-"),999),LEN(MID(TRIM(INDEX(PASTE_ALL,35,50)),1+(LEFT(TRIM(INDEX(PASTE_ALL,35,50)),1)="-"),999))-(RIGHT(MID(TRIM(INDEX(PASTE_ALL,35,50)),1+(LEFT(TRIM(INDEX(PASTE_ALL,35,50)),1)="-"),999),1)="%"))&lt;&gt;"",SUBSTITUTE(SUBSTITUTE(SUBSTITUTE(SUBSTITUTE(SUBSTITUTE(SUBSTITUTE(SUBSTITUTE(SUBSTITUTE(SUBSTITUTE(SUBSTITUTE(SUBSTITUTE(SUBSTITUTE(LEFT(MID(TRIM(INDEX(PASTE_ALL,35,50)),1+(LEFT(TRIM(INDEX(PASTE_ALL,35,50)),1)="-"),999),LEN(MID(TRIM(INDEX(PASTE_ALL,35,50)),1+(LEFT(TRIM(INDEX(PASTE_ALL,35,50)),1)="-"),999))-(RIGHT(MID(TRIM(INDEX(PASTE_ALL,35,50)),1+(LEFT(TRIM(INDEX(PASTE_ALL,35,50)),1)="-"),999),1)="%")),"0",""),"1",""),"2",""),"3",""),"4",""),"5",""),"6",""),"7",""),"8",""),"9",""),".",""),",","")=""),2,1))),1)</f>
        <v/>
      </c>
      <c r="BW84">
        <f>IFERROR(IF(ISNUMBER(INDEX(PASTE_ALL,35,51)),2,IF(TRIM(INDEX(PASTE_ALL,35,51))="",0,IF(AND(LEFT(MID(TRIM(INDEX(PASTE_ALL,35,51)),1+(LEFT(TRIM(INDEX(PASTE_ALL,35,51)),1)="-"),999),LEN(MID(TRIM(INDEX(PASTE_ALL,35,51)),1+(LEFT(TRIM(INDEX(PASTE_ALL,35,51)),1)="-"),999))-(RIGHT(MID(TRIM(INDEX(PASTE_ALL,35,51)),1+(LEFT(TRIM(INDEX(PASTE_ALL,35,51)),1)="-"),999),1)="%"))&lt;&gt;"",SUBSTITUTE(SUBSTITUTE(SUBSTITUTE(SUBSTITUTE(SUBSTITUTE(SUBSTITUTE(SUBSTITUTE(SUBSTITUTE(SUBSTITUTE(SUBSTITUTE(SUBSTITUTE(SUBSTITUTE(LEFT(MID(TRIM(INDEX(PASTE_ALL,35,51)),1+(LEFT(TRIM(INDEX(PASTE_ALL,35,51)),1)="-"),999),LEN(MID(TRIM(INDEX(PASTE_ALL,35,51)),1+(LEFT(TRIM(INDEX(PASTE_ALL,35,51)),1)="-"),999))-(RIGHT(MID(TRIM(INDEX(PASTE_ALL,35,51)),1+(LEFT(TRIM(INDEX(PASTE_ALL,35,51)),1)="-"),999),1)="%")),"0",""),"1",""),"2",""),"3",""),"4",""),"5",""),"6",""),"7",""),"8",""),"9",""),".",""),",","")=""),2,1))),1)</f>
        <v/>
      </c>
      <c r="BX84">
        <f>IFERROR(IF(ISNUMBER(INDEX(PASTE_ALL,35,52)),2,IF(TRIM(INDEX(PASTE_ALL,35,52))="",0,IF(AND(LEFT(MID(TRIM(INDEX(PASTE_ALL,35,52)),1+(LEFT(TRIM(INDEX(PASTE_ALL,35,52)),1)="-"),999),LEN(MID(TRIM(INDEX(PASTE_ALL,35,52)),1+(LEFT(TRIM(INDEX(PASTE_ALL,35,52)),1)="-"),999))-(RIGHT(MID(TRIM(INDEX(PASTE_ALL,35,52)),1+(LEFT(TRIM(INDEX(PASTE_ALL,35,52)),1)="-"),999),1)="%"))&lt;&gt;"",SUBSTITUTE(SUBSTITUTE(SUBSTITUTE(SUBSTITUTE(SUBSTITUTE(SUBSTITUTE(SUBSTITUTE(SUBSTITUTE(SUBSTITUTE(SUBSTITUTE(SUBSTITUTE(SUBSTITUTE(LEFT(MID(TRIM(INDEX(PASTE_ALL,35,52)),1+(LEFT(TRIM(INDEX(PASTE_ALL,35,52)),1)="-"),999),LEN(MID(TRIM(INDEX(PASTE_ALL,35,52)),1+(LEFT(TRIM(INDEX(PASTE_ALL,35,52)),1)="-"),999))-(RIGHT(MID(TRIM(INDEX(PASTE_ALL,35,52)),1+(LEFT(TRIM(INDEX(PASTE_ALL,35,52)),1)="-"),999),1)="%")),"0",""),"1",""),"2",""),"3",""),"4",""),"5",""),"6",""),"7",""),"8",""),"9",""),".",""),",","")=""),2,1))),1)</f>
        <v/>
      </c>
      <c r="BY84">
        <f>IFERROR(IF(ISNUMBER(INDEX(PASTE_ALL,35,53)),2,IF(TRIM(INDEX(PASTE_ALL,35,53))="",0,IF(AND(LEFT(MID(TRIM(INDEX(PASTE_ALL,35,53)),1+(LEFT(TRIM(INDEX(PASTE_ALL,35,53)),1)="-"),999),LEN(MID(TRIM(INDEX(PASTE_ALL,35,53)),1+(LEFT(TRIM(INDEX(PASTE_ALL,35,53)),1)="-"),999))-(RIGHT(MID(TRIM(INDEX(PASTE_ALL,35,53)),1+(LEFT(TRIM(INDEX(PASTE_ALL,35,53)),1)="-"),999),1)="%"))&lt;&gt;"",SUBSTITUTE(SUBSTITUTE(SUBSTITUTE(SUBSTITUTE(SUBSTITUTE(SUBSTITUTE(SUBSTITUTE(SUBSTITUTE(SUBSTITUTE(SUBSTITUTE(SUBSTITUTE(SUBSTITUTE(LEFT(MID(TRIM(INDEX(PASTE_ALL,35,53)),1+(LEFT(TRIM(INDEX(PASTE_ALL,35,53)),1)="-"),999),LEN(MID(TRIM(INDEX(PASTE_ALL,35,53)),1+(LEFT(TRIM(INDEX(PASTE_ALL,35,53)),1)="-"),999))-(RIGHT(MID(TRIM(INDEX(PASTE_ALL,35,53)),1+(LEFT(TRIM(INDEX(PASTE_ALL,35,53)),1)="-"),999),1)="%")),"0",""),"1",""),"2",""),"3",""),"4",""),"5",""),"6",""),"7",""),"8",""),"9",""),".",""),",","")=""),2,1))),1)</f>
        <v/>
      </c>
      <c r="BZ84">
        <f>IFERROR(IF(ISNUMBER(INDEX(PASTE_ALL,35,54)),2,IF(TRIM(INDEX(PASTE_ALL,35,54))="",0,IF(AND(LEFT(MID(TRIM(INDEX(PASTE_ALL,35,54)),1+(LEFT(TRIM(INDEX(PASTE_ALL,35,54)),1)="-"),999),LEN(MID(TRIM(INDEX(PASTE_ALL,35,54)),1+(LEFT(TRIM(INDEX(PASTE_ALL,35,54)),1)="-"),999))-(RIGHT(MID(TRIM(INDEX(PASTE_ALL,35,54)),1+(LEFT(TRIM(INDEX(PASTE_ALL,35,54)),1)="-"),999),1)="%"))&lt;&gt;"",SUBSTITUTE(SUBSTITUTE(SUBSTITUTE(SUBSTITUTE(SUBSTITUTE(SUBSTITUTE(SUBSTITUTE(SUBSTITUTE(SUBSTITUTE(SUBSTITUTE(SUBSTITUTE(SUBSTITUTE(LEFT(MID(TRIM(INDEX(PASTE_ALL,35,54)),1+(LEFT(TRIM(INDEX(PASTE_ALL,35,54)),1)="-"),999),LEN(MID(TRIM(INDEX(PASTE_ALL,35,54)),1+(LEFT(TRIM(INDEX(PASTE_ALL,35,54)),1)="-"),999))-(RIGHT(MID(TRIM(INDEX(PASTE_ALL,35,54)),1+(LEFT(TRIM(INDEX(PASTE_ALL,35,54)),1)="-"),999),1)="%")),"0",""),"1",""),"2",""),"3",""),"4",""),"5",""),"6",""),"7",""),"8",""),"9",""),".",""),",","")=""),2,1))),1)</f>
        <v/>
      </c>
      <c r="CA84">
        <f>IFERROR(IF(ISNUMBER(INDEX(PASTE_ALL,35,55)),2,IF(TRIM(INDEX(PASTE_ALL,35,55))="",0,IF(AND(LEFT(MID(TRIM(INDEX(PASTE_ALL,35,55)),1+(LEFT(TRIM(INDEX(PASTE_ALL,35,55)),1)="-"),999),LEN(MID(TRIM(INDEX(PASTE_ALL,35,55)),1+(LEFT(TRIM(INDEX(PASTE_ALL,35,55)),1)="-"),999))-(RIGHT(MID(TRIM(INDEX(PASTE_ALL,35,55)),1+(LEFT(TRIM(INDEX(PASTE_ALL,35,55)),1)="-"),999),1)="%"))&lt;&gt;"",SUBSTITUTE(SUBSTITUTE(SUBSTITUTE(SUBSTITUTE(SUBSTITUTE(SUBSTITUTE(SUBSTITUTE(SUBSTITUTE(SUBSTITUTE(SUBSTITUTE(SUBSTITUTE(SUBSTITUTE(LEFT(MID(TRIM(INDEX(PASTE_ALL,35,55)),1+(LEFT(TRIM(INDEX(PASTE_ALL,35,55)),1)="-"),999),LEN(MID(TRIM(INDEX(PASTE_ALL,35,55)),1+(LEFT(TRIM(INDEX(PASTE_ALL,35,55)),1)="-"),999))-(RIGHT(MID(TRIM(INDEX(PASTE_ALL,35,55)),1+(LEFT(TRIM(INDEX(PASTE_ALL,35,55)),1)="-"),999),1)="%")),"0",""),"1",""),"2",""),"3",""),"4",""),"5",""),"6",""),"7",""),"8",""),"9",""),".",""),",","")=""),2,1))),1)</f>
        <v/>
      </c>
      <c r="CB84">
        <f>IFERROR(IF(ISNUMBER(INDEX(PASTE_ALL,35,56)),2,IF(TRIM(INDEX(PASTE_ALL,35,56))="",0,IF(AND(LEFT(MID(TRIM(INDEX(PASTE_ALL,35,56)),1+(LEFT(TRIM(INDEX(PASTE_ALL,35,56)),1)="-"),999),LEN(MID(TRIM(INDEX(PASTE_ALL,35,56)),1+(LEFT(TRIM(INDEX(PASTE_ALL,35,56)),1)="-"),999))-(RIGHT(MID(TRIM(INDEX(PASTE_ALL,35,56)),1+(LEFT(TRIM(INDEX(PASTE_ALL,35,56)),1)="-"),999),1)="%"))&lt;&gt;"",SUBSTITUTE(SUBSTITUTE(SUBSTITUTE(SUBSTITUTE(SUBSTITUTE(SUBSTITUTE(SUBSTITUTE(SUBSTITUTE(SUBSTITUTE(SUBSTITUTE(SUBSTITUTE(SUBSTITUTE(LEFT(MID(TRIM(INDEX(PASTE_ALL,35,56)),1+(LEFT(TRIM(INDEX(PASTE_ALL,35,56)),1)="-"),999),LEN(MID(TRIM(INDEX(PASTE_ALL,35,56)),1+(LEFT(TRIM(INDEX(PASTE_ALL,35,56)),1)="-"),999))-(RIGHT(MID(TRIM(INDEX(PASTE_ALL,35,56)),1+(LEFT(TRIM(INDEX(PASTE_ALL,35,56)),1)="-"),999),1)="%")),"0",""),"1",""),"2",""),"3",""),"4",""),"5",""),"6",""),"7",""),"8",""),"9",""),".",""),",","")=""),2,1))),1)</f>
        <v/>
      </c>
      <c r="CC84">
        <f>IFERROR(IF(ISNUMBER(INDEX(PASTE_ALL,35,57)),2,IF(TRIM(INDEX(PASTE_ALL,35,57))="",0,IF(AND(LEFT(MID(TRIM(INDEX(PASTE_ALL,35,57)),1+(LEFT(TRIM(INDEX(PASTE_ALL,35,57)),1)="-"),999),LEN(MID(TRIM(INDEX(PASTE_ALL,35,57)),1+(LEFT(TRIM(INDEX(PASTE_ALL,35,57)),1)="-"),999))-(RIGHT(MID(TRIM(INDEX(PASTE_ALL,35,57)),1+(LEFT(TRIM(INDEX(PASTE_ALL,35,57)),1)="-"),999),1)="%"))&lt;&gt;"",SUBSTITUTE(SUBSTITUTE(SUBSTITUTE(SUBSTITUTE(SUBSTITUTE(SUBSTITUTE(SUBSTITUTE(SUBSTITUTE(SUBSTITUTE(SUBSTITUTE(SUBSTITUTE(SUBSTITUTE(LEFT(MID(TRIM(INDEX(PASTE_ALL,35,57)),1+(LEFT(TRIM(INDEX(PASTE_ALL,35,57)),1)="-"),999),LEN(MID(TRIM(INDEX(PASTE_ALL,35,57)),1+(LEFT(TRIM(INDEX(PASTE_ALL,35,57)),1)="-"),999))-(RIGHT(MID(TRIM(INDEX(PASTE_ALL,35,57)),1+(LEFT(TRIM(INDEX(PASTE_ALL,35,57)),1)="-"),999),1)="%")),"0",""),"1",""),"2",""),"3",""),"4",""),"5",""),"6",""),"7",""),"8",""),"9",""),".",""),",","")=""),2,1))),1)</f>
        <v/>
      </c>
      <c r="CD84">
        <f>IFERROR(IF(ISNUMBER(INDEX(PASTE_ALL,35,58)),2,IF(TRIM(INDEX(PASTE_ALL,35,58))="",0,IF(AND(LEFT(MID(TRIM(INDEX(PASTE_ALL,35,58)),1+(LEFT(TRIM(INDEX(PASTE_ALL,35,58)),1)="-"),999),LEN(MID(TRIM(INDEX(PASTE_ALL,35,58)),1+(LEFT(TRIM(INDEX(PASTE_ALL,35,58)),1)="-"),999))-(RIGHT(MID(TRIM(INDEX(PASTE_ALL,35,58)),1+(LEFT(TRIM(INDEX(PASTE_ALL,35,58)),1)="-"),999),1)="%"))&lt;&gt;"",SUBSTITUTE(SUBSTITUTE(SUBSTITUTE(SUBSTITUTE(SUBSTITUTE(SUBSTITUTE(SUBSTITUTE(SUBSTITUTE(SUBSTITUTE(SUBSTITUTE(SUBSTITUTE(SUBSTITUTE(LEFT(MID(TRIM(INDEX(PASTE_ALL,35,58)),1+(LEFT(TRIM(INDEX(PASTE_ALL,35,58)),1)="-"),999),LEN(MID(TRIM(INDEX(PASTE_ALL,35,58)),1+(LEFT(TRIM(INDEX(PASTE_ALL,35,58)),1)="-"),999))-(RIGHT(MID(TRIM(INDEX(PASTE_ALL,35,58)),1+(LEFT(TRIM(INDEX(PASTE_ALL,35,58)),1)="-"),999),1)="%")),"0",""),"1",""),"2",""),"3",""),"4",""),"5",""),"6",""),"7",""),"8",""),"9",""),".",""),",","")=""),2,1))),1)</f>
        <v/>
      </c>
      <c r="CE84">
        <f>IFERROR(IF(ISNUMBER(INDEX(PASTE_ALL,35,59)),2,IF(TRIM(INDEX(PASTE_ALL,35,59))="",0,IF(AND(LEFT(MID(TRIM(INDEX(PASTE_ALL,35,59)),1+(LEFT(TRIM(INDEX(PASTE_ALL,35,59)),1)="-"),999),LEN(MID(TRIM(INDEX(PASTE_ALL,35,59)),1+(LEFT(TRIM(INDEX(PASTE_ALL,35,59)),1)="-"),999))-(RIGHT(MID(TRIM(INDEX(PASTE_ALL,35,59)),1+(LEFT(TRIM(INDEX(PASTE_ALL,35,59)),1)="-"),999),1)="%"))&lt;&gt;"",SUBSTITUTE(SUBSTITUTE(SUBSTITUTE(SUBSTITUTE(SUBSTITUTE(SUBSTITUTE(SUBSTITUTE(SUBSTITUTE(SUBSTITUTE(SUBSTITUTE(SUBSTITUTE(SUBSTITUTE(LEFT(MID(TRIM(INDEX(PASTE_ALL,35,59)),1+(LEFT(TRIM(INDEX(PASTE_ALL,35,59)),1)="-"),999),LEN(MID(TRIM(INDEX(PASTE_ALL,35,59)),1+(LEFT(TRIM(INDEX(PASTE_ALL,35,59)),1)="-"),999))-(RIGHT(MID(TRIM(INDEX(PASTE_ALL,35,59)),1+(LEFT(TRIM(INDEX(PASTE_ALL,35,59)),1)="-"),999),1)="%")),"0",""),"1",""),"2",""),"3",""),"4",""),"5",""),"6",""),"7",""),"8",""),"9",""),".",""),",","")=""),2,1))),1)</f>
        <v/>
      </c>
      <c r="CF84">
        <f>IFERROR(IF(ISNUMBER(INDEX(PASTE_ALL,35,60)),2,IF(TRIM(INDEX(PASTE_ALL,35,60))="",0,IF(AND(LEFT(MID(TRIM(INDEX(PASTE_ALL,35,60)),1+(LEFT(TRIM(INDEX(PASTE_ALL,35,60)),1)="-"),999),LEN(MID(TRIM(INDEX(PASTE_ALL,35,60)),1+(LEFT(TRIM(INDEX(PASTE_ALL,35,60)),1)="-"),999))-(RIGHT(MID(TRIM(INDEX(PASTE_ALL,35,60)),1+(LEFT(TRIM(INDEX(PASTE_ALL,35,60)),1)="-"),999),1)="%"))&lt;&gt;"",SUBSTITUTE(SUBSTITUTE(SUBSTITUTE(SUBSTITUTE(SUBSTITUTE(SUBSTITUTE(SUBSTITUTE(SUBSTITUTE(SUBSTITUTE(SUBSTITUTE(SUBSTITUTE(SUBSTITUTE(LEFT(MID(TRIM(INDEX(PASTE_ALL,35,60)),1+(LEFT(TRIM(INDEX(PASTE_ALL,35,60)),1)="-"),999),LEN(MID(TRIM(INDEX(PASTE_ALL,35,60)),1+(LEFT(TRIM(INDEX(PASTE_ALL,35,60)),1)="-"),999))-(RIGHT(MID(TRIM(INDEX(PASTE_ALL,35,60)),1+(LEFT(TRIM(INDEX(PASTE_ALL,35,60)),1)="-"),999),1)="%")),"0",""),"1",""),"2",""),"3",""),"4",""),"5",""),"6",""),"7",""),"8",""),"9",""),".",""),",","")=""),2,1))),1)</f>
        <v/>
      </c>
      <c r="DA84" t="n">
        <v>80</v>
      </c>
      <c r="DB84">
        <f>IF($B$37=0,"",IFERROR(TRIM(SUBSTITUTE(SUBSTITUTE(SUBSTITUTE(SUBSTITUTE(INDEX(PASTE_ALL,80,$B$37)," "," "),CHAR(9)," "),CHAR(10)," "),CHAR(13)," ")),""))</f>
        <v/>
      </c>
      <c r="DC84">
        <f>IF(AND(80&gt;HEADER_ROW,UPPER(DB84)="LEGEND"),1,0)</f>
        <v/>
      </c>
      <c r="DE84" t="n">
        <v>80</v>
      </c>
      <c r="DF84">
        <f>HEADER_ROW+$DE84</f>
        <v/>
      </c>
      <c r="DG84">
        <f>IF(AND($DF84&lt;=1000,$DF84&lt;$B$8),1,0)</f>
        <v/>
      </c>
      <c r="DH84">
        <f>IF($DG84=1,IFERROR(INDEX($DB$5:$DB$1004,$DF84),""),"")</f>
        <v/>
      </c>
      <c r="DI84">
        <f>IF(AND($DG84=1,$DH84&lt;&gt;""),IFERROR(SUBSTITUTE(SUBSTITUTE(TRIM(SUBSTITUTE(SUBSTITUTE(SUBSTITUTE(SUBSTITUTE(IFERROR(INDEX(PASTE_ALL,$DF84,1)&amp;"","")&amp;"␟"&amp;IFERROR(INDEX(PASTE_ALL,$DF84,2)&amp;"","")&amp;"␟"&amp;IFERROR(INDEX(PASTE_ALL,$DF84,3)&amp;"","")&amp;"␟"&amp;IFERROR(INDEX(PASTE_ALL,$DF84,4)&amp;"","")&amp;"␟"&amp;IFERROR(INDEX(PASTE_ALL,$DF84,5)&amp;"","")&amp;"␟"&amp;IFERROR(INDEX(PASTE_ALL,$DF84,6)&amp;"","")&amp;"␟"&amp;IFERROR(INDEX(PASTE_ALL,$DF84,7)&amp;"","")&amp;"␟"&amp;IFERROR(INDEX(PASTE_ALL,$DF84,8)&amp;"","")&amp;"␟"&amp;IFERROR(INDEX(PASTE_ALL,$DF84,9)&amp;"","")&amp;"␟"&amp;IFERROR(INDEX(PASTE_ALL,$DF84,10)&amp;"","")&amp;"␟"&amp;IFERROR(INDEX(PASTE_ALL,$DF84,11)&amp;"","")&amp;"␟"&amp;IFERROR(INDEX(PASTE_ALL,$DF84,12)&amp;"","")&amp;"␟"&amp;IFERROR(INDEX(PASTE_ALL,$DF84,13)&amp;"","")&amp;"␟"&amp;IFERROR(INDEX(PASTE_ALL,$DF84,14)&amp;"","")&amp;"␟"&amp;IFERROR(INDEX(PASTE_ALL,$DF84,15)&amp;"","")&amp;"␟"&amp;IFERROR(INDEX(PASTE_ALL,$DF84,16)&amp;"","")&amp;"␟"&amp;IFERROR(INDEX(PASTE_ALL,$DF84,17)&amp;"","")&amp;"␟"&amp;IFERROR(INDEX(PASTE_ALL,$DF84,18)&amp;"","")&amp;"␟"&amp;IFERROR(INDEX(PASTE_ALL,$DF84,19)&amp;"","")&amp;"␟"&amp;IFERROR(INDEX(PASTE_ALL,$DF84,20)&amp;"","")&amp;"␟"&amp;IFERROR(INDEX(PASTE_ALL,$DF84,21)&amp;"","")&amp;"␟"&amp;IFERROR(INDEX(PASTE_ALL,$DF84,22)&amp;"","")&amp;"␟"&amp;IFERROR(INDEX(PASTE_ALL,$DF84,23)&amp;"","")&amp;"␟"&amp;IFERROR(INDEX(PASTE_ALL,$DF84,24)&amp;"","")&amp;"␟"&amp;IFERROR(INDEX(PASTE_ALL,$DF84,25)&amp;"","")&amp;"␟"&amp;IFERROR(INDEX(PASTE_ALL,$DF84,26)&amp;"","")&amp;"␟"&amp;IFERROR(INDEX(PASTE_ALL,$DF84,27)&amp;"","")&amp;"␟"&amp;IFERROR(INDEX(PASTE_ALL,$DF84,28)&amp;"","")&amp;"␟"&amp;IFERROR(INDEX(PASTE_ALL,$DF84,29)&amp;"","")&amp;"␟"&amp;IFERROR(INDEX(PASTE_ALL,$DF84,30)&amp;"","")&amp;"␟"&amp;IFERROR(INDEX(PASTE_ALL,$DF84,31)&amp;"","")&amp;"␟"&amp;IFERROR(INDEX(PASTE_ALL,$DF84,32)&amp;"","")&amp;"␟"&amp;IFERROR(INDEX(PASTE_ALL,$DF84,33)&amp;"","")&amp;"␟"&amp;IFERROR(INDEX(PASTE_ALL,$DF84,34)&amp;"","")&amp;"␟"&amp;IFERROR(INDEX(PASTE_ALL,$DF84,35)&amp;"","")&amp;"␟"&amp;IFERROR(INDEX(PASTE_ALL,$DF84,36)&amp;"","")&amp;"␟"&amp;IFERROR(INDEX(PASTE_ALL,$DF84,37)&amp;"","")&amp;"␟"&amp;IFERROR(INDEX(PASTE_ALL,$DF84,38)&amp;"","")&amp;"␟"&amp;IFERROR(INDEX(PASTE_ALL,$DF84,39)&amp;"","")&amp;"␟"&amp;IFERROR(INDEX(PASTE_ALL,$DF84,40)&amp;"","")&amp;"␟"&amp;IFERROR(INDEX(PASTE_ALL,$DF84,41)&amp;"","")&amp;"␟"&amp;IFERROR(INDEX(PASTE_ALL,$DF84,42)&amp;"","")&amp;"␟"&amp;IFERROR(INDEX(PASTE_ALL,$DF84,43)&amp;"","")&amp;"␟"&amp;IFERROR(INDEX(PASTE_ALL,$DF84,44)&amp;"","")&amp;"␟"&amp;IFERROR(INDEX(PASTE_ALL,$DF84,45)&amp;"","")&amp;"␟"&amp;IFERROR(INDEX(PASTE_ALL,$DF84,46)&amp;"","")&amp;"␟"&amp;IFERROR(INDEX(PASTE_ALL,$DF84,47)&amp;"","")&amp;"␟"&amp;IFERROR(INDEX(PASTE_ALL,$DF84,48)&amp;"","")&amp;"␟"&amp;IFERROR(INDEX(PASTE_ALL,$DF84,49)&amp;"","")&amp;"␟"&amp;IFERROR(INDEX(PASTE_ALL,$DF84,50)&amp;"","")&amp;"␟"&amp;IFERROR(INDEX(PASTE_ALL,$DF84,51)&amp;"","")&amp;"␟"&amp;IFERROR(INDEX(PASTE_ALL,$DF84,52)&amp;"","")&amp;"␟"&amp;IFERROR(INDEX(PASTE_ALL,$DF84,53)&amp;"","")&amp;"␟"&amp;IFERROR(INDEX(PASTE_ALL,$DF84,54)&amp;"","")&amp;"␟"&amp;IFERROR(INDEX(PASTE_ALL,$DF84,55)&amp;"","")&amp;"␟"&amp;IFERROR(INDEX(PASTE_ALL,$DF84,56)&amp;"","")&amp;"␟"&amp;IFERROR(INDEX(PASTE_ALL,$DF84,57)&amp;"","")&amp;"␟"&amp;IFERROR(INDEX(PASTE_ALL,$DF84,58)&amp;"","")&amp;"␟"&amp;IFERROR(INDEX(PASTE_ALL,$DF84,59)&amp;"","")&amp;"␟"&amp;IFERROR(INDEX(PASTE_ALL,$DF84,60)&amp;"","")," "," "),CHAR(9)," "),CHAR(10)," "),CHAR(13)," "))," ␟","␟"),"␟ ","␟"),"#"&amp;$DE84),"")</f>
        <v/>
      </c>
      <c r="DJ84">
        <f>IF($DI84="",0,IF(SUMPRODUCT(--EXACT($DI$4:DI83,$DI84))&gt;0,1,0))</f>
        <v/>
      </c>
      <c r="DK84">
        <f>IF(AND($DI84&lt;&gt;"",$DJ84=0),1,0)</f>
        <v/>
      </c>
      <c r="DL84">
        <f>DL83+$DK84</f>
        <v/>
      </c>
      <c r="DM84">
        <f>IF(AND($DK84=1,$DL84&lt;=600),1,0)</f>
        <v/>
      </c>
      <c r="DN84">
        <f>IF($DM84=0,"",IF($L$6=0,"",IFERROR(IF(ISNUMBER(INDEX(PASTE_ALL,$DF84,$L$6)),INDEX(PASTE_ALL,$DF84,$L$6),TRIM(SUBSTITUTE(SUBSTITUTE(SUBSTITUTE(SUBSTITUTE(INDEX(PASTE_ALL,$DF84,$L$6)," "," "),CHAR(9)," "),CHAR(10)," "),CHAR(13)," "))),"")))</f>
        <v/>
      </c>
      <c r="DO84">
        <f>IF($DM84=0,"",IF($L$7=0,"",IFERROR(IF(ISNUMBER(INDEX(PASTE_ALL,$DF84,$L$7)),INDEX(PASTE_ALL,$DF84,$L$7),TRIM(SUBSTITUTE(SUBSTITUTE(SUBSTITUTE(SUBSTITUTE(INDEX(PASTE_ALL,$DF84,$L$7)," "," "),CHAR(9)," "),CHAR(10)," "),CHAR(13)," "))),"")))</f>
        <v/>
      </c>
      <c r="DP84">
        <f>IF($DM84=0,"",IF($L$8=0,"",IFERROR(IF(ISNUMBER(INDEX(PASTE_ALL,$DF84,$L$8)),INDEX(PASTE_ALL,$DF84,$L$8),TRIM(SUBSTITUTE(SUBSTITUTE(SUBSTITUTE(SUBSTITUTE(INDEX(PASTE_ALL,$DF84,$L$8)," "," "),CHAR(9)," "),CHAR(10)," "),CHAR(13)," "))),"")))</f>
        <v/>
      </c>
      <c r="DQ84">
        <f>IF($DM84=0,"",IF($L$9=0,"",IFERROR(IF(ISNUMBER(INDEX(PASTE_ALL,$DF84,$L$9)),INDEX(PASTE_ALL,$DF84,$L$9),TRIM(SUBSTITUTE(SUBSTITUTE(SUBSTITUTE(SUBSTITUTE(INDEX(PASTE_ALL,$DF84,$L$9)," "," "),CHAR(9)," "),CHAR(10)," "),CHAR(13)," "))),"")))</f>
        <v/>
      </c>
      <c r="DR84">
        <f>IF($DM84=0,"",IF($L$10=0,"",IFERROR(IF(ISNUMBER(INDEX(PASTE_ALL,$DF84,$L$10)),INDEX(PASTE_ALL,$DF84,$L$10),TRIM(SUBSTITUTE(SUBSTITUTE(SUBSTITUTE(SUBSTITUTE(INDEX(PASTE_ALL,$DF84,$L$10)," "," "),CHAR(9)," "),CHAR(10)," "),CHAR(13)," "))),"")))</f>
        <v/>
      </c>
      <c r="DS84">
        <f>IF($DM84=0,"",IF($L$11=0,"",IFERROR(IF(ISNUMBER(INDEX(PASTE_ALL,$DF84,$L$11)),INDEX(PASTE_ALL,$DF84,$L$11),TRIM(SUBSTITUTE(SUBSTITUTE(SUBSTITUTE(SUBSTITUTE(INDEX(PASTE_ALL,$DF84,$L$11)," "," "),CHAR(9)," "),CHAR(10)," "),CHAR(13)," "))),"")))</f>
        <v/>
      </c>
      <c r="DT84">
        <f>IF($DM84=0,"",IF($L$12=0,"",IFERROR(IF(ISNUMBER(INDEX(PASTE_ALL,$DF84,$L$12)),INDEX(PASTE_ALL,$DF84,$L$12),TRIM(SUBSTITUTE(SUBSTITUTE(SUBSTITUTE(SUBSTITUTE(INDEX(PASTE_ALL,$DF84,$L$12)," "," "),CHAR(9)," "),CHAR(10)," "),CHAR(13)," "))),"")))</f>
        <v/>
      </c>
      <c r="DU84">
        <f>IF($DM84=0,"",IF($L$13=0,"",IFERROR(IF(ISNUMBER(INDEX(PASTE_ALL,$DF84,$L$13)),INDEX(PASTE_ALL,$DF84,$L$13),TRIM(SUBSTITUTE(SUBSTITUTE(SUBSTITUTE(SUBSTITUTE(INDEX(PASTE_ALL,$DF84,$L$13)," "," "),CHAR(9)," "),CHAR(10)," "),CHAR(13)," "))),"")))</f>
        <v/>
      </c>
      <c r="DV84">
        <f>IF($DM84=0,"",IF($L$14=0,"",IFERROR(IF(ISNUMBER(INDEX(PASTE_ALL,$DF84,$L$14)),INDEX(PASTE_ALL,$DF84,$L$14),TRIM(SUBSTITUTE(SUBSTITUTE(SUBSTITUTE(SUBSTITUTE(INDEX(PASTE_ALL,$DF84,$L$14)," "," "),CHAR(9)," "),CHAR(10)," "),CHAR(13)," "))),"")))</f>
        <v/>
      </c>
      <c r="DW84">
        <f>IF($DM84=0,"",IF($L$15=0,"",IFERROR(IF(ISNUMBER(INDEX(PASTE_ALL,$DF84,$L$15)),INDEX(PASTE_ALL,$DF84,$L$15),IF(SUMPRODUCT(--ISNUMBER(FIND({"A","B","C","D","E","F","G","H","I","J","K","L","M","N","O","P","Q","R","S","T","U","V","W","X","Y","Z","0","1","2","3","4","5","6","7","8","9"},UPPER(TRIM(SUBSTITUTE(SUBSTITUTE(SUBSTITUTE(SUBSTITUTE(INDEX(PASTE_ALL,$DF84,$L$15)," "," "),CHAR(9)," "),CHAR(10)," "),CHAR(13)," "))))))&gt;0,TRIM(SUBSTITUTE(SUBSTITUTE(SUBSTITUTE(SUBSTITUTE(INDEX(PASTE_ALL,$DF84,$L$15)," "," "),CHAR(9)," "),CHAR(10)," "),CHAR(13)," ")),"")),"")))</f>
        <v/>
      </c>
      <c r="DX84">
        <f>IF($DM84=0,"",IF($L$16=0,"",IFERROR(IF(ISNUMBER(INDEX(PASTE_ALL,$DF84,$L$16)),INDEX(PASTE_ALL,$DF84,$L$16),SUBSTITUTE(SUBSTITUTE(TRIM(SUBSTITUTE(SUBSTITUTE(SUBSTITUTE(SUBSTITUTE(INDEX(PASTE_ALL,$DF84,$L$16)," "," "),CHAR(9)," "),CHAR(10)," "),CHAR(13)," ")),",",""),"%","")),"")))</f>
        <v/>
      </c>
      <c r="DY84">
        <f>IF($DM84=0,"",IFERROR(IF(ISNUMBER($DX84),$DX84,IF($DX84="","",IF(TRIM($DX84)="",0,IF(AND(AND(SUBSTITUTE(SUBSTITUTE(SUBSTITUTE(SUBSTITUTE(SUBSTITUTE(SUBSTITUTE(SUBSTITUTE(SUBSTITUTE(SUBSTITUTE(SUBSTITUTE(SUBSTITUTE(SUBSTITUTE(SUBSTITUTE(SUBSTITUTE(UPPER(TRIM($DX84)),"0",""),"1",""),"2",""),"3",""),"4",""),"5",""),"6",""),"7",""),"8",""),"9",""),".",""),"+",""),"-",""),"E","")="",LEN(SUBSTITUTE(SUBSTITUTE(MID(UPPER(TRIM($DX84)),1+OR(LEFT(UPPER(TRIM($DX84)),1)="+",LEFT(UPPER(TRIM($DX84)),1)="-"),999),"E+","E"),"E-","E"))=LEN(SUBSTITUTE(SUBSTITUTE(SUBSTITUTE(SUBSTITUTE(MID(UPPER(TRIM($DX84)),1+OR(LEFT(UPPER(TRIM($DX84)),1)="+",LEFT(UPPER(TRIM($DX84)),1)="-"),999),"E+","E"),"E-","E"),"+",""),"-","")),LEN(UPPER(TRIM($DX84)))-LEN(SUBSTITUTE(UPPER(TRIM($DX84)),"E",""))&lt;2,LEN(UPPER(TRIM($DX84)))-LEN(SUBSTITUTE(UPPER(TRIM($DX84)),".",""))&lt;2,IFERROR(FIND(".",UPPER(TRIM($DX84))),0)&lt;IFERROR(FIND("E",UPPER(TRIM($DX84))),999)),ISNUMBER(VALUE(TRIM($DX84)))),VALUE(TRIM($DX84)),"")))),""))</f>
        <v/>
      </c>
      <c r="DZ84">
        <f>IF($DM84=0,"",IF($L$17=0,"",IFERROR(IF(ISNUMBER(INDEX(PASTE_ALL,$DF84,$L$17)),INDEX(PASTE_ALL,$DF84,$L$17),SUBSTITUTE(SUBSTITUTE(TRIM(SUBSTITUTE(SUBSTITUTE(SUBSTITUTE(SUBSTITUTE(INDEX(PASTE_ALL,$DF84,$L$17)," "," "),CHAR(9)," "),CHAR(10)," "),CHAR(13)," ")),",",""),"%","")),"")))</f>
        <v/>
      </c>
      <c r="EA84">
        <f>IF($DM84=0,"",IFERROR(IF(ISNUMBER($DZ84),$DZ84,IF($DZ84="","",IF(TRIM($DZ84)="",0,IF(AND(AND(SUBSTITUTE(SUBSTITUTE(SUBSTITUTE(SUBSTITUTE(SUBSTITUTE(SUBSTITUTE(SUBSTITUTE(SUBSTITUTE(SUBSTITUTE(SUBSTITUTE(SUBSTITUTE(SUBSTITUTE(SUBSTITUTE(SUBSTITUTE(UPPER(TRIM($DZ84)),"0",""),"1",""),"2",""),"3",""),"4",""),"5",""),"6",""),"7",""),"8",""),"9",""),".",""),"+",""),"-",""),"E","")="",LEN(SUBSTITUTE(SUBSTITUTE(MID(UPPER(TRIM($DZ84)),1+OR(LEFT(UPPER(TRIM($DZ84)),1)="+",LEFT(UPPER(TRIM($DZ84)),1)="-"),999),"E+","E"),"E-","E"))=LEN(SUBSTITUTE(SUBSTITUTE(SUBSTITUTE(SUBSTITUTE(MID(UPPER(TRIM($DZ84)),1+OR(LEFT(UPPER(TRIM($DZ84)),1)="+",LEFT(UPPER(TRIM($DZ84)),1)="-"),999),"E+","E"),"E-","E"),"+",""),"-","")),LEN(UPPER(TRIM($DZ84)))-LEN(SUBSTITUTE(UPPER(TRIM($DZ84)),"E",""))&lt;2,LEN(UPPER(TRIM($DZ84)))-LEN(SUBSTITUTE(UPPER(TRIM($DZ84)),".",""))&lt;2,IFERROR(FIND(".",UPPER(TRIM($DZ84))),0)&lt;IFERROR(FIND("E",UPPER(TRIM($DZ84))),999)),ISNUMBER(VALUE(TRIM($DZ84)))),VALUE(TRIM($DZ84)),"")))),""))</f>
        <v/>
      </c>
      <c r="EB84">
        <f>IF($DM84=0,"",IF($L$18=0,"",IFERROR(IF(UPPER(TRIM(SUBSTITUTE(SUBSTITUTE(SUBSTITUTE(SUBSTITUTE(INDEX(PASTE_ALL,$DF84,$L$18)," "," "),CHAR(9)," "),CHAR(10)," "),CHAR(13)," ")))="READY","Ready",IF(UPPER(TRIM(SUBSTITUTE(SUBSTITUTE(SUBSTITUTE(SUBSTITUTE(INDEX(PASTE_ALL,$DF84,$L$18)," "," "),CHAR(9)," "),CHAR(10)," "),CHAR(13)," ")))="PM","PM",IF(OR(UPPER(TRIM(SUBSTITUTE(SUBSTITUTE(SUBSTITUTE(SUBSTITUTE(INDEX(PASTE_ALL,$DF84,$L$18)," "," "),CHAR(9)," "),CHAR(10)," "),CHAR(13)," ")))="OT",UPPER(TRIM(SUBSTITUTE(SUBSTITUTE(SUBSTITUTE(SUBSTITUTE(INDEX(PASTE_ALL,$DF84,$L$18)," "," "),CHAR(9)," "),CHAR(10)," "),CHAR(13)," ")))="OVERTIME",UPPER(TRIM(SUBSTITUTE(SUBSTITUTE(SUBSTITUTE(SUBSTITUTE(INDEX(PASTE_ALL,$DF84,$L$18)," "," "),CHAR(9)," "),CHAR(10)," "),CHAR(13)," ")))="TRIAL"),"OT",TRIM(SUBSTITUTE(SUBSTITUTE(SUBSTITUTE(SUBSTITUTE(INDEX(PASTE_ALL,$DF84,$L$18)," "," "),CHAR(9)," "),CHAR(10)," "),CHAR(13)," "))))),"")))</f>
        <v/>
      </c>
      <c r="EC84">
        <f>IF($DM84=0,"",IF($L$19=0,"",IFERROR(IF(ISNUMBER(INDEX(PASTE_ALL,$DF84,$L$19)),INDEX(PASTE_ALL,$DF84,$L$19),TRIM(SUBSTITUTE(SUBSTITUTE(SUBSTITUTE(SUBSTITUTE(INDEX(PASTE_ALL,$DF84,$L$19)," "," "),CHAR(9)," "),CHAR(10)," "),CHAR(13)," "))),"")))</f>
        <v/>
      </c>
      <c r="ED84">
        <f>IF($DM84=0,"",MATCH(1,INDEX(EXACT($DH$5:DH84,$DH84)*$DM$5:DM84,0),0))</f>
        <v/>
      </c>
      <c r="EE84">
        <f>IF($DM84=0,0,IF($ED84=$DE84,1,0))</f>
        <v/>
      </c>
      <c r="EF84">
        <f>EF83+$EE84</f>
        <v/>
      </c>
      <c r="EG84">
        <f>IF($DM84=0,"",INDEX($EF$5:$EF$1003,$ED84))</f>
        <v/>
      </c>
      <c r="EH84">
        <f>IF($DM84=0,"",IF($DO84&lt;&gt;"","",IFERROR(LOOKUP(2,1/(($EG$4:EG83=$EG84)*($DO$4:DO83&lt;&gt;"")),$DO$4:DO83),"")))</f>
        <v/>
      </c>
      <c r="EI84">
        <f>IF($DM84=0,"",IF($DO84&lt;&gt;"",$DO84,$EH84))</f>
        <v/>
      </c>
      <c r="EJ84">
        <f>IF($DM84=0,"",IF($EI84="",0,IF(OR(ISNUMBER($EI84),AND(AND(SUBSTITUTE(SUBSTITUTE(SUBSTITUTE(SUBSTITUTE(SUBSTITUTE(SUBSTITUTE(SUBSTITUTE(SUBSTITUTE(SUBSTITUTE(SUBSTITUTE(SUBSTITUTE(SUBSTITUTE(SUBSTITUTE(SUBSTITUTE(UPPER($EI84),"0",""),"1",""),"2",""),"3",""),"4",""),"5",""),"6",""),"7",""),"8",""),"9",""),".",""),"+",""),"-",""),"E","")="",LEN(SUBSTITUTE(SUBSTITUTE(MID(UPPER($EI84),1+OR(LEFT(UPPER($EI84),1)="+",LEFT(UPPER($EI84),1)="-"),999),"E+","E"),"E-","E"))=LEN(SUBSTITUTE(SUBSTITUTE(SUBSTITUTE(SUBSTITUTE(MID(UPPER($EI84),1+OR(LEFT(UPPER($EI84),1)="+",LEFT(UPPER($EI84),1)="-"),999),"E+","E"),"E-","E"),"+",""),"-","")),LEN(UPPER($EI84))-LEN(SUBSTITUTE(UPPER($EI84),"E",""))&lt;2,LEN(UPPER($EI84))-LEN(SUBSTITUTE(UPPER($EI84),".",""))&lt;2,IFERROR(FIND(".",UPPER($EI84)),0)&lt;IFERROR(FIND("E",UPPER($EI84)),999)),ISNUMBER(VALUE($EI84)))),1,2)))</f>
        <v/>
      </c>
      <c r="EK84">
        <f>IF($DM84=0,"",IF($EJ84=1,IF(ISNUMBER($EI84),$EI84,VALUE($EI84)),IF($EJ84=2,$DE84,0)))</f>
        <v/>
      </c>
      <c r="EL84">
        <f>IF($DM84=0,"",COUNTIF($EG$5:$EG$1003,"&lt;"&amp;$EG84)+SUMPRODUCT(($EG$5:$EG$1003=$EG84)*(($EJ$5:$EJ$1003&lt;$EJ84)+($EJ$5:$EJ$1003=$EJ84)*(($EK$5:$EK$1003&lt;$EK84)+($EK$5:$EK$1003=$EK84)*($DE$5:$DE$1003&lt;$DE84))))+1)</f>
        <v/>
      </c>
      <c r="EM84">
        <f>IF($DM84=0,"",$EL84+$EG84-1)</f>
        <v/>
      </c>
      <c r="EN84">
        <f>IF($DM84=0,0,IFERROR(MATCH(1,INDEX(--(TRIM(SUBSTITUTE(SUBSTITUTE(SUBSTITUTE(SUBSTITUTE(LINES_NAME&amp;""," "," "),CHAR(9)," "),CHAR(10)," "),CHAR(13)," "))=$DH84),0),0),0))</f>
        <v/>
      </c>
      <c r="EO84">
        <f>IF($EN84=0,0,IF(OR(UPPER(TRIM(INDEX(LINES_SCHEDULED,$EN84)&amp;""))="YES",UPPER(TRIM(INDEX(LINES_SCHEDULED,$EN84)&amp;""))="Y",UPPER(TRIM(INDEX(LINES_SCHEDULED,$EN84)&amp;""))="X"),1,0))</f>
        <v/>
      </c>
      <c r="EP84">
        <f>IF($DM84=0,"",IF(COUNTIFS($EG$5:$EG$1003,$EG84,$EB$5:$EB$1003,"Ready")&gt;0,"READY",IF(COUNTIFS($EG$5:$EG$1003,$EG84,$EB$5:$EB$1003,"PM")&gt;0,"PM",IF(COUNTIFS($EG$5:$EG$1003,$EG84,$EB$5:$EB$1003,"OT")&gt;0,"OT",""))))</f>
        <v/>
      </c>
      <c r="EQ84">
        <f>IF($EN84=0,"",UPPER(TRIM(INDEX(LINES_STATUS,$EN84)&amp;"")))</f>
        <v/>
      </c>
      <c r="ER84">
        <f>IF($DM84=0,"",IF(OR($EQ84="READY",$EQ84="PM",$EQ84="OT"),$EQ84,$EP84))</f>
        <v/>
      </c>
      <c r="ES84">
        <f>IF($DM84=0,"",IF(AND($DV84&lt;&gt;"",UPPER($DV84)&lt;&gt;"N"),"allergen",IF(ISNUMBER(SEARCH("oil",$DQ84)),"oil",IF(OR(EXACT($DS84,"A662"),EXACT($DS84,"A624")),"bulk",""))))</f>
        <v/>
      </c>
      <c r="ET84">
        <f>IF($DM84=0,"",IF(OR($EA84="",$EA84=0),"",$EA84/100))</f>
        <v/>
      </c>
      <c r="EU84">
        <f>IF(OR($ET84="",$DY84=""),"",INT($DY84*(1-$ET84)+0.5))</f>
        <v/>
      </c>
      <c r="EW84" t="n">
        <v>80</v>
      </c>
      <c r="EX84">
        <f>IFERROR(MATCH($EW84,$EM$5:$EM$1003,0),0)</f>
        <v/>
      </c>
      <c r="EY84">
        <f>IF($EW84&gt;$B$12,"",IF($EX84&gt;0,"row","spacer"))</f>
        <v/>
      </c>
      <c r="EZ84">
        <f>IF(AND($EY84="row",$EY83&lt;&gt;"row"),1,0)</f>
        <v/>
      </c>
      <c r="FA84">
        <f>IF(AND($EY84="row",$EY85&lt;&gt;"row"),1,0)</f>
        <v/>
      </c>
      <c r="FB84">
        <f>IF($EZ84=1,IFERROR(IF(ISNUMBER(INDEX(PASTE_ALL,INDEX($DF$5:$DF$1003,$EX84),$B$37)),INDEX(PASTE_ALL,INDEX($DF$5:$DF$1003,$EX84),$B$37),INDEX($DH$5:$DH$1003,$EX84)),INDEX($DH$5:$DH$1003,$EX84)),"")</f>
        <v/>
      </c>
      <c r="FC84">
        <f>IF($EY84="row",INDEX($ER$5:$ER$1003,$EX84),"")</f>
        <v/>
      </c>
      <c r="FD84">
        <f>IF($EY84="row",INDEX($DN$5:$DN$1003,$EX84),"")</f>
        <v/>
      </c>
      <c r="FE84">
        <f>IF($EY84="row",INDEX($DO$5:$DO$1003,$EX84),"")</f>
        <v/>
      </c>
      <c r="FF84">
        <f>IF($EY84="row",INDEX($DP$5:$DP$1003,$EX84),"")</f>
        <v/>
      </c>
      <c r="FG84">
        <f>IF($EY84="row",INDEX($DQ$5:$DQ$1003,$EX84),"")</f>
        <v/>
      </c>
      <c r="FH84">
        <f>IF($EY84="row",INDEX($DR$5:$DR$1003,$EX84),"")</f>
        <v/>
      </c>
      <c r="FI84">
        <f>IF($EY84="row",INDEX($DS$5:$DS$1003,$EX84),"")</f>
        <v/>
      </c>
      <c r="FJ84">
        <f>IF($EY84="row",INDEX($DT$5:$DT$1003,$EX84),"")</f>
        <v/>
      </c>
      <c r="FK84">
        <f>IF($EY84="row",INDEX($DU$5:$DU$1003,$EX84),"")</f>
        <v/>
      </c>
      <c r="FL84">
        <f>IF($EY84="row",INDEX($DV$5:$DV$1003,$EX84),"")</f>
        <v/>
      </c>
      <c r="FM84">
        <f>IF($EY84="row",INDEX($DW$5:$DW$1003,$EX84),"")</f>
        <v/>
      </c>
      <c r="FN84">
        <f>IF($EY84="row",INDEX($DY$5:$DY$1003,$EX84),"")</f>
        <v/>
      </c>
      <c r="FO84">
        <f>IF($EY84="row",INDEX($EA$5:$EA$1003,$EX84),"")</f>
        <v/>
      </c>
      <c r="FP84">
        <f>IF($EY84="row",INDEX($EC$5:$EC$1003,$EX84),"")</f>
        <v/>
      </c>
      <c r="FQ84">
        <f>IF($EY84="row",INDEX($ET$5:$ET$1003,$EX84),"")</f>
        <v/>
      </c>
      <c r="FR84">
        <f>IF($EY84="row",INDEX($EU$5:$EU$1003,$EX84),"")</f>
        <v/>
      </c>
      <c r="FS84">
        <f>IF(AND($EY84="row",$EY83="row"),IF(OR(INDEX($DT$5:$DT$1003,$EX83)="",INDEX($DT$5:$DT$1003,$EX84)=""),"",IF(NOT(EXACT(INDEX($DT$5:$DT$1003,$EX83),INDEX($DT$5:$DT$1003,$EX84))),"S4",IF(NOT(EXACT(INDEX($DS$5:$DS$1003,$EX83),INDEX($DS$5:$DS$1003,$EX84))),"S3",IF(NOT(EXACT(INDEX($DR$5:$DR$1003,$EX83),INDEX($DR$5:$DR$1003,$EX84))),"S1 Count Change","S1")))),"")</f>
        <v/>
      </c>
      <c r="FT84">
        <f>IF($EY84="row",INDEX($ES$5:$ES$1003,$EX84),"")</f>
        <v/>
      </c>
      <c r="FU84">
        <f>IF($EY84="row",INDEX($EO$5:$EO$1003,$EX84),0)</f>
        <v/>
      </c>
      <c r="FV84">
        <f>IF($FS84="S1 Count Change",1,0)</f>
        <v/>
      </c>
      <c r="FX84" t="n">
        <v>80</v>
      </c>
      <c r="FY84">
        <f>IFERROR(MATCH($FX84,$EF$5:$EF$1003,0),0)</f>
        <v/>
      </c>
      <c r="FZ84">
        <f>IF($FY84=0,"",INDEX($DH$5:$DH$1003,$FY84))</f>
        <v/>
      </c>
      <c r="GA84">
        <f>IF($FY84=0,"",COUNTIF($EG$5:$EG$1003,$FX84))</f>
        <v/>
      </c>
      <c r="GB84">
        <f>IF($FY84=0,"",INDEX($ER$5:$ER$1003,$FY84))</f>
        <v/>
      </c>
      <c r="GC84">
        <f>IF($FY84=0,"",IF(INDEX($EO$5:$EO$1003,$FY84)=1,"Yes",""))</f>
        <v/>
      </c>
      <c r="GD84">
        <f>IF($FY84=0,"",IF(INDEX($EN$5:$EN$1003,$FY84)&gt;0,"","NOT IN YOUR LIST - type it in column A to tick it"))</f>
        <v/>
      </c>
      <c r="GE84">
        <f>IF(AND($FY84&gt;0,$GD84&lt;&gt;""),1,0)</f>
        <v/>
      </c>
      <c r="GF84">
        <f>GF83+$GE84</f>
        <v/>
      </c>
      <c r="GG84">
        <f>IFERROR(INDEX($FZ$5:$FZ$104,MATCH($FX84,$GF$5:$GF$104,0)),"")</f>
        <v/>
      </c>
    </row>
    <row r="85">
      <c r="V85" t="inlineStr">
        <is>
          <t>DESICCANTNUMBER</t>
        </is>
      </c>
      <c r="W85" t="n">
        <v>15</v>
      </c>
      <c r="Y85">
        <f>IFERROR(IF(ISNUMBER(INDEX(PASTE_ALL,36,1)),2,IF(TRIM(INDEX(PASTE_ALL,36,1))="",0,IF(AND(LEFT(MID(TRIM(INDEX(PASTE_ALL,36,1)),1+(LEFT(TRIM(INDEX(PASTE_ALL,36,1)),1)="-"),999),LEN(MID(TRIM(INDEX(PASTE_ALL,36,1)),1+(LEFT(TRIM(INDEX(PASTE_ALL,36,1)),1)="-"),999))-(RIGHT(MID(TRIM(INDEX(PASTE_ALL,36,1)),1+(LEFT(TRIM(INDEX(PASTE_ALL,36,1)),1)="-"),999),1)="%"))&lt;&gt;"",SUBSTITUTE(SUBSTITUTE(SUBSTITUTE(SUBSTITUTE(SUBSTITUTE(SUBSTITUTE(SUBSTITUTE(SUBSTITUTE(SUBSTITUTE(SUBSTITUTE(SUBSTITUTE(SUBSTITUTE(LEFT(MID(TRIM(INDEX(PASTE_ALL,36,1)),1+(LEFT(TRIM(INDEX(PASTE_ALL,36,1)),1)="-"),999),LEN(MID(TRIM(INDEX(PASTE_ALL,36,1)),1+(LEFT(TRIM(INDEX(PASTE_ALL,36,1)),1)="-"),999))-(RIGHT(MID(TRIM(INDEX(PASTE_ALL,36,1)),1+(LEFT(TRIM(INDEX(PASTE_ALL,36,1)),1)="-"),999),1)="%")),"0",""),"1",""),"2",""),"3",""),"4",""),"5",""),"6",""),"7",""),"8",""),"9",""),".",""),",","")=""),2,1))),1)</f>
        <v/>
      </c>
      <c r="Z85">
        <f>IFERROR(IF(ISNUMBER(INDEX(PASTE_ALL,36,2)),2,IF(TRIM(INDEX(PASTE_ALL,36,2))="",0,IF(AND(LEFT(MID(TRIM(INDEX(PASTE_ALL,36,2)),1+(LEFT(TRIM(INDEX(PASTE_ALL,36,2)),1)="-"),999),LEN(MID(TRIM(INDEX(PASTE_ALL,36,2)),1+(LEFT(TRIM(INDEX(PASTE_ALL,36,2)),1)="-"),999))-(RIGHT(MID(TRIM(INDEX(PASTE_ALL,36,2)),1+(LEFT(TRIM(INDEX(PASTE_ALL,36,2)),1)="-"),999),1)="%"))&lt;&gt;"",SUBSTITUTE(SUBSTITUTE(SUBSTITUTE(SUBSTITUTE(SUBSTITUTE(SUBSTITUTE(SUBSTITUTE(SUBSTITUTE(SUBSTITUTE(SUBSTITUTE(SUBSTITUTE(SUBSTITUTE(LEFT(MID(TRIM(INDEX(PASTE_ALL,36,2)),1+(LEFT(TRIM(INDEX(PASTE_ALL,36,2)),1)="-"),999),LEN(MID(TRIM(INDEX(PASTE_ALL,36,2)),1+(LEFT(TRIM(INDEX(PASTE_ALL,36,2)),1)="-"),999))-(RIGHT(MID(TRIM(INDEX(PASTE_ALL,36,2)),1+(LEFT(TRIM(INDEX(PASTE_ALL,36,2)),1)="-"),999),1)="%")),"0",""),"1",""),"2",""),"3",""),"4",""),"5",""),"6",""),"7",""),"8",""),"9",""),".",""),",","")=""),2,1))),1)</f>
        <v/>
      </c>
      <c r="AA85">
        <f>IFERROR(IF(ISNUMBER(INDEX(PASTE_ALL,36,3)),2,IF(TRIM(INDEX(PASTE_ALL,36,3))="",0,IF(AND(LEFT(MID(TRIM(INDEX(PASTE_ALL,36,3)),1+(LEFT(TRIM(INDEX(PASTE_ALL,36,3)),1)="-"),999),LEN(MID(TRIM(INDEX(PASTE_ALL,36,3)),1+(LEFT(TRIM(INDEX(PASTE_ALL,36,3)),1)="-"),999))-(RIGHT(MID(TRIM(INDEX(PASTE_ALL,36,3)),1+(LEFT(TRIM(INDEX(PASTE_ALL,36,3)),1)="-"),999),1)="%"))&lt;&gt;"",SUBSTITUTE(SUBSTITUTE(SUBSTITUTE(SUBSTITUTE(SUBSTITUTE(SUBSTITUTE(SUBSTITUTE(SUBSTITUTE(SUBSTITUTE(SUBSTITUTE(SUBSTITUTE(SUBSTITUTE(LEFT(MID(TRIM(INDEX(PASTE_ALL,36,3)),1+(LEFT(TRIM(INDEX(PASTE_ALL,36,3)),1)="-"),999),LEN(MID(TRIM(INDEX(PASTE_ALL,36,3)),1+(LEFT(TRIM(INDEX(PASTE_ALL,36,3)),1)="-"),999))-(RIGHT(MID(TRIM(INDEX(PASTE_ALL,36,3)),1+(LEFT(TRIM(INDEX(PASTE_ALL,36,3)),1)="-"),999),1)="%")),"0",""),"1",""),"2",""),"3",""),"4",""),"5",""),"6",""),"7",""),"8",""),"9",""),".",""),",","")=""),2,1))),1)</f>
        <v/>
      </c>
      <c r="AB85">
        <f>IFERROR(IF(ISNUMBER(INDEX(PASTE_ALL,36,4)),2,IF(TRIM(INDEX(PASTE_ALL,36,4))="",0,IF(AND(LEFT(MID(TRIM(INDEX(PASTE_ALL,36,4)),1+(LEFT(TRIM(INDEX(PASTE_ALL,36,4)),1)="-"),999),LEN(MID(TRIM(INDEX(PASTE_ALL,36,4)),1+(LEFT(TRIM(INDEX(PASTE_ALL,36,4)),1)="-"),999))-(RIGHT(MID(TRIM(INDEX(PASTE_ALL,36,4)),1+(LEFT(TRIM(INDEX(PASTE_ALL,36,4)),1)="-"),999),1)="%"))&lt;&gt;"",SUBSTITUTE(SUBSTITUTE(SUBSTITUTE(SUBSTITUTE(SUBSTITUTE(SUBSTITUTE(SUBSTITUTE(SUBSTITUTE(SUBSTITUTE(SUBSTITUTE(SUBSTITUTE(SUBSTITUTE(LEFT(MID(TRIM(INDEX(PASTE_ALL,36,4)),1+(LEFT(TRIM(INDEX(PASTE_ALL,36,4)),1)="-"),999),LEN(MID(TRIM(INDEX(PASTE_ALL,36,4)),1+(LEFT(TRIM(INDEX(PASTE_ALL,36,4)),1)="-"),999))-(RIGHT(MID(TRIM(INDEX(PASTE_ALL,36,4)),1+(LEFT(TRIM(INDEX(PASTE_ALL,36,4)),1)="-"),999),1)="%")),"0",""),"1",""),"2",""),"3",""),"4",""),"5",""),"6",""),"7",""),"8",""),"9",""),".",""),",","")=""),2,1))),1)</f>
        <v/>
      </c>
      <c r="AC85">
        <f>IFERROR(IF(ISNUMBER(INDEX(PASTE_ALL,36,5)),2,IF(TRIM(INDEX(PASTE_ALL,36,5))="",0,IF(AND(LEFT(MID(TRIM(INDEX(PASTE_ALL,36,5)),1+(LEFT(TRIM(INDEX(PASTE_ALL,36,5)),1)="-"),999),LEN(MID(TRIM(INDEX(PASTE_ALL,36,5)),1+(LEFT(TRIM(INDEX(PASTE_ALL,36,5)),1)="-"),999))-(RIGHT(MID(TRIM(INDEX(PASTE_ALL,36,5)),1+(LEFT(TRIM(INDEX(PASTE_ALL,36,5)),1)="-"),999),1)="%"))&lt;&gt;"",SUBSTITUTE(SUBSTITUTE(SUBSTITUTE(SUBSTITUTE(SUBSTITUTE(SUBSTITUTE(SUBSTITUTE(SUBSTITUTE(SUBSTITUTE(SUBSTITUTE(SUBSTITUTE(SUBSTITUTE(LEFT(MID(TRIM(INDEX(PASTE_ALL,36,5)),1+(LEFT(TRIM(INDEX(PASTE_ALL,36,5)),1)="-"),999),LEN(MID(TRIM(INDEX(PASTE_ALL,36,5)),1+(LEFT(TRIM(INDEX(PASTE_ALL,36,5)),1)="-"),999))-(RIGHT(MID(TRIM(INDEX(PASTE_ALL,36,5)),1+(LEFT(TRIM(INDEX(PASTE_ALL,36,5)),1)="-"),999),1)="%")),"0",""),"1",""),"2",""),"3",""),"4",""),"5",""),"6",""),"7",""),"8",""),"9",""),".",""),",","")=""),2,1))),1)</f>
        <v/>
      </c>
      <c r="AD85">
        <f>IFERROR(IF(ISNUMBER(INDEX(PASTE_ALL,36,6)),2,IF(TRIM(INDEX(PASTE_ALL,36,6))="",0,IF(AND(LEFT(MID(TRIM(INDEX(PASTE_ALL,36,6)),1+(LEFT(TRIM(INDEX(PASTE_ALL,36,6)),1)="-"),999),LEN(MID(TRIM(INDEX(PASTE_ALL,36,6)),1+(LEFT(TRIM(INDEX(PASTE_ALL,36,6)),1)="-"),999))-(RIGHT(MID(TRIM(INDEX(PASTE_ALL,36,6)),1+(LEFT(TRIM(INDEX(PASTE_ALL,36,6)),1)="-"),999),1)="%"))&lt;&gt;"",SUBSTITUTE(SUBSTITUTE(SUBSTITUTE(SUBSTITUTE(SUBSTITUTE(SUBSTITUTE(SUBSTITUTE(SUBSTITUTE(SUBSTITUTE(SUBSTITUTE(SUBSTITUTE(SUBSTITUTE(LEFT(MID(TRIM(INDEX(PASTE_ALL,36,6)),1+(LEFT(TRIM(INDEX(PASTE_ALL,36,6)),1)="-"),999),LEN(MID(TRIM(INDEX(PASTE_ALL,36,6)),1+(LEFT(TRIM(INDEX(PASTE_ALL,36,6)),1)="-"),999))-(RIGHT(MID(TRIM(INDEX(PASTE_ALL,36,6)),1+(LEFT(TRIM(INDEX(PASTE_ALL,36,6)),1)="-"),999),1)="%")),"0",""),"1",""),"2",""),"3",""),"4",""),"5",""),"6",""),"7",""),"8",""),"9",""),".",""),",","")=""),2,1))),1)</f>
        <v/>
      </c>
      <c r="AE85">
        <f>IFERROR(IF(ISNUMBER(INDEX(PASTE_ALL,36,7)),2,IF(TRIM(INDEX(PASTE_ALL,36,7))="",0,IF(AND(LEFT(MID(TRIM(INDEX(PASTE_ALL,36,7)),1+(LEFT(TRIM(INDEX(PASTE_ALL,36,7)),1)="-"),999),LEN(MID(TRIM(INDEX(PASTE_ALL,36,7)),1+(LEFT(TRIM(INDEX(PASTE_ALL,36,7)),1)="-"),999))-(RIGHT(MID(TRIM(INDEX(PASTE_ALL,36,7)),1+(LEFT(TRIM(INDEX(PASTE_ALL,36,7)),1)="-"),999),1)="%"))&lt;&gt;"",SUBSTITUTE(SUBSTITUTE(SUBSTITUTE(SUBSTITUTE(SUBSTITUTE(SUBSTITUTE(SUBSTITUTE(SUBSTITUTE(SUBSTITUTE(SUBSTITUTE(SUBSTITUTE(SUBSTITUTE(LEFT(MID(TRIM(INDEX(PASTE_ALL,36,7)),1+(LEFT(TRIM(INDEX(PASTE_ALL,36,7)),1)="-"),999),LEN(MID(TRIM(INDEX(PASTE_ALL,36,7)),1+(LEFT(TRIM(INDEX(PASTE_ALL,36,7)),1)="-"),999))-(RIGHT(MID(TRIM(INDEX(PASTE_ALL,36,7)),1+(LEFT(TRIM(INDEX(PASTE_ALL,36,7)),1)="-"),999),1)="%")),"0",""),"1",""),"2",""),"3",""),"4",""),"5",""),"6",""),"7",""),"8",""),"9",""),".",""),",","")=""),2,1))),1)</f>
        <v/>
      </c>
      <c r="AF85">
        <f>IFERROR(IF(ISNUMBER(INDEX(PASTE_ALL,36,8)),2,IF(TRIM(INDEX(PASTE_ALL,36,8))="",0,IF(AND(LEFT(MID(TRIM(INDEX(PASTE_ALL,36,8)),1+(LEFT(TRIM(INDEX(PASTE_ALL,36,8)),1)="-"),999),LEN(MID(TRIM(INDEX(PASTE_ALL,36,8)),1+(LEFT(TRIM(INDEX(PASTE_ALL,36,8)),1)="-"),999))-(RIGHT(MID(TRIM(INDEX(PASTE_ALL,36,8)),1+(LEFT(TRIM(INDEX(PASTE_ALL,36,8)),1)="-"),999),1)="%"))&lt;&gt;"",SUBSTITUTE(SUBSTITUTE(SUBSTITUTE(SUBSTITUTE(SUBSTITUTE(SUBSTITUTE(SUBSTITUTE(SUBSTITUTE(SUBSTITUTE(SUBSTITUTE(SUBSTITUTE(SUBSTITUTE(LEFT(MID(TRIM(INDEX(PASTE_ALL,36,8)),1+(LEFT(TRIM(INDEX(PASTE_ALL,36,8)),1)="-"),999),LEN(MID(TRIM(INDEX(PASTE_ALL,36,8)),1+(LEFT(TRIM(INDEX(PASTE_ALL,36,8)),1)="-"),999))-(RIGHT(MID(TRIM(INDEX(PASTE_ALL,36,8)),1+(LEFT(TRIM(INDEX(PASTE_ALL,36,8)),1)="-"),999),1)="%")),"0",""),"1",""),"2",""),"3",""),"4",""),"5",""),"6",""),"7",""),"8",""),"9",""),".",""),",","")=""),2,1))),1)</f>
        <v/>
      </c>
      <c r="AG85">
        <f>IFERROR(IF(ISNUMBER(INDEX(PASTE_ALL,36,9)),2,IF(TRIM(INDEX(PASTE_ALL,36,9))="",0,IF(AND(LEFT(MID(TRIM(INDEX(PASTE_ALL,36,9)),1+(LEFT(TRIM(INDEX(PASTE_ALL,36,9)),1)="-"),999),LEN(MID(TRIM(INDEX(PASTE_ALL,36,9)),1+(LEFT(TRIM(INDEX(PASTE_ALL,36,9)),1)="-"),999))-(RIGHT(MID(TRIM(INDEX(PASTE_ALL,36,9)),1+(LEFT(TRIM(INDEX(PASTE_ALL,36,9)),1)="-"),999),1)="%"))&lt;&gt;"",SUBSTITUTE(SUBSTITUTE(SUBSTITUTE(SUBSTITUTE(SUBSTITUTE(SUBSTITUTE(SUBSTITUTE(SUBSTITUTE(SUBSTITUTE(SUBSTITUTE(SUBSTITUTE(SUBSTITUTE(LEFT(MID(TRIM(INDEX(PASTE_ALL,36,9)),1+(LEFT(TRIM(INDEX(PASTE_ALL,36,9)),1)="-"),999),LEN(MID(TRIM(INDEX(PASTE_ALL,36,9)),1+(LEFT(TRIM(INDEX(PASTE_ALL,36,9)),1)="-"),999))-(RIGHT(MID(TRIM(INDEX(PASTE_ALL,36,9)),1+(LEFT(TRIM(INDEX(PASTE_ALL,36,9)),1)="-"),999),1)="%")),"0",""),"1",""),"2",""),"3",""),"4",""),"5",""),"6",""),"7",""),"8",""),"9",""),".",""),",","")=""),2,1))),1)</f>
        <v/>
      </c>
      <c r="AH85">
        <f>IFERROR(IF(ISNUMBER(INDEX(PASTE_ALL,36,10)),2,IF(TRIM(INDEX(PASTE_ALL,36,10))="",0,IF(AND(LEFT(MID(TRIM(INDEX(PASTE_ALL,36,10)),1+(LEFT(TRIM(INDEX(PASTE_ALL,36,10)),1)="-"),999),LEN(MID(TRIM(INDEX(PASTE_ALL,36,10)),1+(LEFT(TRIM(INDEX(PASTE_ALL,36,10)),1)="-"),999))-(RIGHT(MID(TRIM(INDEX(PASTE_ALL,36,10)),1+(LEFT(TRIM(INDEX(PASTE_ALL,36,10)),1)="-"),999),1)="%"))&lt;&gt;"",SUBSTITUTE(SUBSTITUTE(SUBSTITUTE(SUBSTITUTE(SUBSTITUTE(SUBSTITUTE(SUBSTITUTE(SUBSTITUTE(SUBSTITUTE(SUBSTITUTE(SUBSTITUTE(SUBSTITUTE(LEFT(MID(TRIM(INDEX(PASTE_ALL,36,10)),1+(LEFT(TRIM(INDEX(PASTE_ALL,36,10)),1)="-"),999),LEN(MID(TRIM(INDEX(PASTE_ALL,36,10)),1+(LEFT(TRIM(INDEX(PASTE_ALL,36,10)),1)="-"),999))-(RIGHT(MID(TRIM(INDEX(PASTE_ALL,36,10)),1+(LEFT(TRIM(INDEX(PASTE_ALL,36,10)),1)="-"),999),1)="%")),"0",""),"1",""),"2",""),"3",""),"4",""),"5",""),"6",""),"7",""),"8",""),"9",""),".",""),",","")=""),2,1))),1)</f>
        <v/>
      </c>
      <c r="AI85">
        <f>IFERROR(IF(ISNUMBER(INDEX(PASTE_ALL,36,11)),2,IF(TRIM(INDEX(PASTE_ALL,36,11))="",0,IF(AND(LEFT(MID(TRIM(INDEX(PASTE_ALL,36,11)),1+(LEFT(TRIM(INDEX(PASTE_ALL,36,11)),1)="-"),999),LEN(MID(TRIM(INDEX(PASTE_ALL,36,11)),1+(LEFT(TRIM(INDEX(PASTE_ALL,36,11)),1)="-"),999))-(RIGHT(MID(TRIM(INDEX(PASTE_ALL,36,11)),1+(LEFT(TRIM(INDEX(PASTE_ALL,36,11)),1)="-"),999),1)="%"))&lt;&gt;"",SUBSTITUTE(SUBSTITUTE(SUBSTITUTE(SUBSTITUTE(SUBSTITUTE(SUBSTITUTE(SUBSTITUTE(SUBSTITUTE(SUBSTITUTE(SUBSTITUTE(SUBSTITUTE(SUBSTITUTE(LEFT(MID(TRIM(INDEX(PASTE_ALL,36,11)),1+(LEFT(TRIM(INDEX(PASTE_ALL,36,11)),1)="-"),999),LEN(MID(TRIM(INDEX(PASTE_ALL,36,11)),1+(LEFT(TRIM(INDEX(PASTE_ALL,36,11)),1)="-"),999))-(RIGHT(MID(TRIM(INDEX(PASTE_ALL,36,11)),1+(LEFT(TRIM(INDEX(PASTE_ALL,36,11)),1)="-"),999),1)="%")),"0",""),"1",""),"2",""),"3",""),"4",""),"5",""),"6",""),"7",""),"8",""),"9",""),".",""),",","")=""),2,1))),1)</f>
        <v/>
      </c>
      <c r="AJ85">
        <f>IFERROR(IF(ISNUMBER(INDEX(PASTE_ALL,36,12)),2,IF(TRIM(INDEX(PASTE_ALL,36,12))="",0,IF(AND(LEFT(MID(TRIM(INDEX(PASTE_ALL,36,12)),1+(LEFT(TRIM(INDEX(PASTE_ALL,36,12)),1)="-"),999),LEN(MID(TRIM(INDEX(PASTE_ALL,36,12)),1+(LEFT(TRIM(INDEX(PASTE_ALL,36,12)),1)="-"),999))-(RIGHT(MID(TRIM(INDEX(PASTE_ALL,36,12)),1+(LEFT(TRIM(INDEX(PASTE_ALL,36,12)),1)="-"),999),1)="%"))&lt;&gt;"",SUBSTITUTE(SUBSTITUTE(SUBSTITUTE(SUBSTITUTE(SUBSTITUTE(SUBSTITUTE(SUBSTITUTE(SUBSTITUTE(SUBSTITUTE(SUBSTITUTE(SUBSTITUTE(SUBSTITUTE(LEFT(MID(TRIM(INDEX(PASTE_ALL,36,12)),1+(LEFT(TRIM(INDEX(PASTE_ALL,36,12)),1)="-"),999),LEN(MID(TRIM(INDEX(PASTE_ALL,36,12)),1+(LEFT(TRIM(INDEX(PASTE_ALL,36,12)),1)="-"),999))-(RIGHT(MID(TRIM(INDEX(PASTE_ALL,36,12)),1+(LEFT(TRIM(INDEX(PASTE_ALL,36,12)),1)="-"),999),1)="%")),"0",""),"1",""),"2",""),"3",""),"4",""),"5",""),"6",""),"7",""),"8",""),"9",""),".",""),",","")=""),2,1))),1)</f>
        <v/>
      </c>
      <c r="AK85">
        <f>IFERROR(IF(ISNUMBER(INDEX(PASTE_ALL,36,13)),2,IF(TRIM(INDEX(PASTE_ALL,36,13))="",0,IF(AND(LEFT(MID(TRIM(INDEX(PASTE_ALL,36,13)),1+(LEFT(TRIM(INDEX(PASTE_ALL,36,13)),1)="-"),999),LEN(MID(TRIM(INDEX(PASTE_ALL,36,13)),1+(LEFT(TRIM(INDEX(PASTE_ALL,36,13)),1)="-"),999))-(RIGHT(MID(TRIM(INDEX(PASTE_ALL,36,13)),1+(LEFT(TRIM(INDEX(PASTE_ALL,36,13)),1)="-"),999),1)="%"))&lt;&gt;"",SUBSTITUTE(SUBSTITUTE(SUBSTITUTE(SUBSTITUTE(SUBSTITUTE(SUBSTITUTE(SUBSTITUTE(SUBSTITUTE(SUBSTITUTE(SUBSTITUTE(SUBSTITUTE(SUBSTITUTE(LEFT(MID(TRIM(INDEX(PASTE_ALL,36,13)),1+(LEFT(TRIM(INDEX(PASTE_ALL,36,13)),1)="-"),999),LEN(MID(TRIM(INDEX(PASTE_ALL,36,13)),1+(LEFT(TRIM(INDEX(PASTE_ALL,36,13)),1)="-"),999))-(RIGHT(MID(TRIM(INDEX(PASTE_ALL,36,13)),1+(LEFT(TRIM(INDEX(PASTE_ALL,36,13)),1)="-"),999),1)="%")),"0",""),"1",""),"2",""),"3",""),"4",""),"5",""),"6",""),"7",""),"8",""),"9",""),".",""),",","")=""),2,1))),1)</f>
        <v/>
      </c>
      <c r="AL85">
        <f>IFERROR(IF(ISNUMBER(INDEX(PASTE_ALL,36,14)),2,IF(TRIM(INDEX(PASTE_ALL,36,14))="",0,IF(AND(LEFT(MID(TRIM(INDEX(PASTE_ALL,36,14)),1+(LEFT(TRIM(INDEX(PASTE_ALL,36,14)),1)="-"),999),LEN(MID(TRIM(INDEX(PASTE_ALL,36,14)),1+(LEFT(TRIM(INDEX(PASTE_ALL,36,14)),1)="-"),999))-(RIGHT(MID(TRIM(INDEX(PASTE_ALL,36,14)),1+(LEFT(TRIM(INDEX(PASTE_ALL,36,14)),1)="-"),999),1)="%"))&lt;&gt;"",SUBSTITUTE(SUBSTITUTE(SUBSTITUTE(SUBSTITUTE(SUBSTITUTE(SUBSTITUTE(SUBSTITUTE(SUBSTITUTE(SUBSTITUTE(SUBSTITUTE(SUBSTITUTE(SUBSTITUTE(LEFT(MID(TRIM(INDEX(PASTE_ALL,36,14)),1+(LEFT(TRIM(INDEX(PASTE_ALL,36,14)),1)="-"),999),LEN(MID(TRIM(INDEX(PASTE_ALL,36,14)),1+(LEFT(TRIM(INDEX(PASTE_ALL,36,14)),1)="-"),999))-(RIGHT(MID(TRIM(INDEX(PASTE_ALL,36,14)),1+(LEFT(TRIM(INDEX(PASTE_ALL,36,14)),1)="-"),999),1)="%")),"0",""),"1",""),"2",""),"3",""),"4",""),"5",""),"6",""),"7",""),"8",""),"9",""),".",""),",","")=""),2,1))),1)</f>
        <v/>
      </c>
      <c r="AM85">
        <f>IFERROR(IF(ISNUMBER(INDEX(PASTE_ALL,36,15)),2,IF(TRIM(INDEX(PASTE_ALL,36,15))="",0,IF(AND(LEFT(MID(TRIM(INDEX(PASTE_ALL,36,15)),1+(LEFT(TRIM(INDEX(PASTE_ALL,36,15)),1)="-"),999),LEN(MID(TRIM(INDEX(PASTE_ALL,36,15)),1+(LEFT(TRIM(INDEX(PASTE_ALL,36,15)),1)="-"),999))-(RIGHT(MID(TRIM(INDEX(PASTE_ALL,36,15)),1+(LEFT(TRIM(INDEX(PASTE_ALL,36,15)),1)="-"),999),1)="%"))&lt;&gt;"",SUBSTITUTE(SUBSTITUTE(SUBSTITUTE(SUBSTITUTE(SUBSTITUTE(SUBSTITUTE(SUBSTITUTE(SUBSTITUTE(SUBSTITUTE(SUBSTITUTE(SUBSTITUTE(SUBSTITUTE(LEFT(MID(TRIM(INDEX(PASTE_ALL,36,15)),1+(LEFT(TRIM(INDEX(PASTE_ALL,36,15)),1)="-"),999),LEN(MID(TRIM(INDEX(PASTE_ALL,36,15)),1+(LEFT(TRIM(INDEX(PASTE_ALL,36,15)),1)="-"),999))-(RIGHT(MID(TRIM(INDEX(PASTE_ALL,36,15)),1+(LEFT(TRIM(INDEX(PASTE_ALL,36,15)),1)="-"),999),1)="%")),"0",""),"1",""),"2",""),"3",""),"4",""),"5",""),"6",""),"7",""),"8",""),"9",""),".",""),",","")=""),2,1))),1)</f>
        <v/>
      </c>
      <c r="AN85">
        <f>IFERROR(IF(ISNUMBER(INDEX(PASTE_ALL,36,16)),2,IF(TRIM(INDEX(PASTE_ALL,36,16))="",0,IF(AND(LEFT(MID(TRIM(INDEX(PASTE_ALL,36,16)),1+(LEFT(TRIM(INDEX(PASTE_ALL,36,16)),1)="-"),999),LEN(MID(TRIM(INDEX(PASTE_ALL,36,16)),1+(LEFT(TRIM(INDEX(PASTE_ALL,36,16)),1)="-"),999))-(RIGHT(MID(TRIM(INDEX(PASTE_ALL,36,16)),1+(LEFT(TRIM(INDEX(PASTE_ALL,36,16)),1)="-"),999),1)="%"))&lt;&gt;"",SUBSTITUTE(SUBSTITUTE(SUBSTITUTE(SUBSTITUTE(SUBSTITUTE(SUBSTITUTE(SUBSTITUTE(SUBSTITUTE(SUBSTITUTE(SUBSTITUTE(SUBSTITUTE(SUBSTITUTE(LEFT(MID(TRIM(INDEX(PASTE_ALL,36,16)),1+(LEFT(TRIM(INDEX(PASTE_ALL,36,16)),1)="-"),999),LEN(MID(TRIM(INDEX(PASTE_ALL,36,16)),1+(LEFT(TRIM(INDEX(PASTE_ALL,36,16)),1)="-"),999))-(RIGHT(MID(TRIM(INDEX(PASTE_ALL,36,16)),1+(LEFT(TRIM(INDEX(PASTE_ALL,36,16)),1)="-"),999),1)="%")),"0",""),"1",""),"2",""),"3",""),"4",""),"5",""),"6",""),"7",""),"8",""),"9",""),".",""),",","")=""),2,1))),1)</f>
        <v/>
      </c>
      <c r="AO85">
        <f>IFERROR(IF(ISNUMBER(INDEX(PASTE_ALL,36,17)),2,IF(TRIM(INDEX(PASTE_ALL,36,17))="",0,IF(AND(LEFT(MID(TRIM(INDEX(PASTE_ALL,36,17)),1+(LEFT(TRIM(INDEX(PASTE_ALL,36,17)),1)="-"),999),LEN(MID(TRIM(INDEX(PASTE_ALL,36,17)),1+(LEFT(TRIM(INDEX(PASTE_ALL,36,17)),1)="-"),999))-(RIGHT(MID(TRIM(INDEX(PASTE_ALL,36,17)),1+(LEFT(TRIM(INDEX(PASTE_ALL,36,17)),1)="-"),999),1)="%"))&lt;&gt;"",SUBSTITUTE(SUBSTITUTE(SUBSTITUTE(SUBSTITUTE(SUBSTITUTE(SUBSTITUTE(SUBSTITUTE(SUBSTITUTE(SUBSTITUTE(SUBSTITUTE(SUBSTITUTE(SUBSTITUTE(LEFT(MID(TRIM(INDEX(PASTE_ALL,36,17)),1+(LEFT(TRIM(INDEX(PASTE_ALL,36,17)),1)="-"),999),LEN(MID(TRIM(INDEX(PASTE_ALL,36,17)),1+(LEFT(TRIM(INDEX(PASTE_ALL,36,17)),1)="-"),999))-(RIGHT(MID(TRIM(INDEX(PASTE_ALL,36,17)),1+(LEFT(TRIM(INDEX(PASTE_ALL,36,17)),1)="-"),999),1)="%")),"0",""),"1",""),"2",""),"3",""),"4",""),"5",""),"6",""),"7",""),"8",""),"9",""),".",""),",","")=""),2,1))),1)</f>
        <v/>
      </c>
      <c r="AP85">
        <f>IFERROR(IF(ISNUMBER(INDEX(PASTE_ALL,36,18)),2,IF(TRIM(INDEX(PASTE_ALL,36,18))="",0,IF(AND(LEFT(MID(TRIM(INDEX(PASTE_ALL,36,18)),1+(LEFT(TRIM(INDEX(PASTE_ALL,36,18)),1)="-"),999),LEN(MID(TRIM(INDEX(PASTE_ALL,36,18)),1+(LEFT(TRIM(INDEX(PASTE_ALL,36,18)),1)="-"),999))-(RIGHT(MID(TRIM(INDEX(PASTE_ALL,36,18)),1+(LEFT(TRIM(INDEX(PASTE_ALL,36,18)),1)="-"),999),1)="%"))&lt;&gt;"",SUBSTITUTE(SUBSTITUTE(SUBSTITUTE(SUBSTITUTE(SUBSTITUTE(SUBSTITUTE(SUBSTITUTE(SUBSTITUTE(SUBSTITUTE(SUBSTITUTE(SUBSTITUTE(SUBSTITUTE(LEFT(MID(TRIM(INDEX(PASTE_ALL,36,18)),1+(LEFT(TRIM(INDEX(PASTE_ALL,36,18)),1)="-"),999),LEN(MID(TRIM(INDEX(PASTE_ALL,36,18)),1+(LEFT(TRIM(INDEX(PASTE_ALL,36,18)),1)="-"),999))-(RIGHT(MID(TRIM(INDEX(PASTE_ALL,36,18)),1+(LEFT(TRIM(INDEX(PASTE_ALL,36,18)),1)="-"),999),1)="%")),"0",""),"1",""),"2",""),"3",""),"4",""),"5",""),"6",""),"7",""),"8",""),"9",""),".",""),",","")=""),2,1))),1)</f>
        <v/>
      </c>
      <c r="AQ85">
        <f>IFERROR(IF(ISNUMBER(INDEX(PASTE_ALL,36,19)),2,IF(TRIM(INDEX(PASTE_ALL,36,19))="",0,IF(AND(LEFT(MID(TRIM(INDEX(PASTE_ALL,36,19)),1+(LEFT(TRIM(INDEX(PASTE_ALL,36,19)),1)="-"),999),LEN(MID(TRIM(INDEX(PASTE_ALL,36,19)),1+(LEFT(TRIM(INDEX(PASTE_ALL,36,19)),1)="-"),999))-(RIGHT(MID(TRIM(INDEX(PASTE_ALL,36,19)),1+(LEFT(TRIM(INDEX(PASTE_ALL,36,19)),1)="-"),999),1)="%"))&lt;&gt;"",SUBSTITUTE(SUBSTITUTE(SUBSTITUTE(SUBSTITUTE(SUBSTITUTE(SUBSTITUTE(SUBSTITUTE(SUBSTITUTE(SUBSTITUTE(SUBSTITUTE(SUBSTITUTE(SUBSTITUTE(LEFT(MID(TRIM(INDEX(PASTE_ALL,36,19)),1+(LEFT(TRIM(INDEX(PASTE_ALL,36,19)),1)="-"),999),LEN(MID(TRIM(INDEX(PASTE_ALL,36,19)),1+(LEFT(TRIM(INDEX(PASTE_ALL,36,19)),1)="-"),999))-(RIGHT(MID(TRIM(INDEX(PASTE_ALL,36,19)),1+(LEFT(TRIM(INDEX(PASTE_ALL,36,19)),1)="-"),999),1)="%")),"0",""),"1",""),"2",""),"3",""),"4",""),"5",""),"6",""),"7",""),"8",""),"9",""),".",""),",","")=""),2,1))),1)</f>
        <v/>
      </c>
      <c r="AR85">
        <f>IFERROR(IF(ISNUMBER(INDEX(PASTE_ALL,36,20)),2,IF(TRIM(INDEX(PASTE_ALL,36,20))="",0,IF(AND(LEFT(MID(TRIM(INDEX(PASTE_ALL,36,20)),1+(LEFT(TRIM(INDEX(PASTE_ALL,36,20)),1)="-"),999),LEN(MID(TRIM(INDEX(PASTE_ALL,36,20)),1+(LEFT(TRIM(INDEX(PASTE_ALL,36,20)),1)="-"),999))-(RIGHT(MID(TRIM(INDEX(PASTE_ALL,36,20)),1+(LEFT(TRIM(INDEX(PASTE_ALL,36,20)),1)="-"),999),1)="%"))&lt;&gt;"",SUBSTITUTE(SUBSTITUTE(SUBSTITUTE(SUBSTITUTE(SUBSTITUTE(SUBSTITUTE(SUBSTITUTE(SUBSTITUTE(SUBSTITUTE(SUBSTITUTE(SUBSTITUTE(SUBSTITUTE(LEFT(MID(TRIM(INDEX(PASTE_ALL,36,20)),1+(LEFT(TRIM(INDEX(PASTE_ALL,36,20)),1)="-"),999),LEN(MID(TRIM(INDEX(PASTE_ALL,36,20)),1+(LEFT(TRIM(INDEX(PASTE_ALL,36,20)),1)="-"),999))-(RIGHT(MID(TRIM(INDEX(PASTE_ALL,36,20)),1+(LEFT(TRIM(INDEX(PASTE_ALL,36,20)),1)="-"),999),1)="%")),"0",""),"1",""),"2",""),"3",""),"4",""),"5",""),"6",""),"7",""),"8",""),"9",""),".",""),",","")=""),2,1))),1)</f>
        <v/>
      </c>
      <c r="AS85">
        <f>IFERROR(IF(ISNUMBER(INDEX(PASTE_ALL,36,21)),2,IF(TRIM(INDEX(PASTE_ALL,36,21))="",0,IF(AND(LEFT(MID(TRIM(INDEX(PASTE_ALL,36,21)),1+(LEFT(TRIM(INDEX(PASTE_ALL,36,21)),1)="-"),999),LEN(MID(TRIM(INDEX(PASTE_ALL,36,21)),1+(LEFT(TRIM(INDEX(PASTE_ALL,36,21)),1)="-"),999))-(RIGHT(MID(TRIM(INDEX(PASTE_ALL,36,21)),1+(LEFT(TRIM(INDEX(PASTE_ALL,36,21)),1)="-"),999),1)="%"))&lt;&gt;"",SUBSTITUTE(SUBSTITUTE(SUBSTITUTE(SUBSTITUTE(SUBSTITUTE(SUBSTITUTE(SUBSTITUTE(SUBSTITUTE(SUBSTITUTE(SUBSTITUTE(SUBSTITUTE(SUBSTITUTE(LEFT(MID(TRIM(INDEX(PASTE_ALL,36,21)),1+(LEFT(TRIM(INDEX(PASTE_ALL,36,21)),1)="-"),999),LEN(MID(TRIM(INDEX(PASTE_ALL,36,21)),1+(LEFT(TRIM(INDEX(PASTE_ALL,36,21)),1)="-"),999))-(RIGHT(MID(TRIM(INDEX(PASTE_ALL,36,21)),1+(LEFT(TRIM(INDEX(PASTE_ALL,36,21)),1)="-"),999),1)="%")),"0",""),"1",""),"2",""),"3",""),"4",""),"5",""),"6",""),"7",""),"8",""),"9",""),".",""),",","")=""),2,1))),1)</f>
        <v/>
      </c>
      <c r="AT85">
        <f>IFERROR(IF(ISNUMBER(INDEX(PASTE_ALL,36,22)),2,IF(TRIM(INDEX(PASTE_ALL,36,22))="",0,IF(AND(LEFT(MID(TRIM(INDEX(PASTE_ALL,36,22)),1+(LEFT(TRIM(INDEX(PASTE_ALL,36,22)),1)="-"),999),LEN(MID(TRIM(INDEX(PASTE_ALL,36,22)),1+(LEFT(TRIM(INDEX(PASTE_ALL,36,22)),1)="-"),999))-(RIGHT(MID(TRIM(INDEX(PASTE_ALL,36,22)),1+(LEFT(TRIM(INDEX(PASTE_ALL,36,22)),1)="-"),999),1)="%"))&lt;&gt;"",SUBSTITUTE(SUBSTITUTE(SUBSTITUTE(SUBSTITUTE(SUBSTITUTE(SUBSTITUTE(SUBSTITUTE(SUBSTITUTE(SUBSTITUTE(SUBSTITUTE(SUBSTITUTE(SUBSTITUTE(LEFT(MID(TRIM(INDEX(PASTE_ALL,36,22)),1+(LEFT(TRIM(INDEX(PASTE_ALL,36,22)),1)="-"),999),LEN(MID(TRIM(INDEX(PASTE_ALL,36,22)),1+(LEFT(TRIM(INDEX(PASTE_ALL,36,22)),1)="-"),999))-(RIGHT(MID(TRIM(INDEX(PASTE_ALL,36,22)),1+(LEFT(TRIM(INDEX(PASTE_ALL,36,22)),1)="-"),999),1)="%")),"0",""),"1",""),"2",""),"3",""),"4",""),"5",""),"6",""),"7",""),"8",""),"9",""),".",""),",","")=""),2,1))),1)</f>
        <v/>
      </c>
      <c r="AU85">
        <f>IFERROR(IF(ISNUMBER(INDEX(PASTE_ALL,36,23)),2,IF(TRIM(INDEX(PASTE_ALL,36,23))="",0,IF(AND(LEFT(MID(TRIM(INDEX(PASTE_ALL,36,23)),1+(LEFT(TRIM(INDEX(PASTE_ALL,36,23)),1)="-"),999),LEN(MID(TRIM(INDEX(PASTE_ALL,36,23)),1+(LEFT(TRIM(INDEX(PASTE_ALL,36,23)),1)="-"),999))-(RIGHT(MID(TRIM(INDEX(PASTE_ALL,36,23)),1+(LEFT(TRIM(INDEX(PASTE_ALL,36,23)),1)="-"),999),1)="%"))&lt;&gt;"",SUBSTITUTE(SUBSTITUTE(SUBSTITUTE(SUBSTITUTE(SUBSTITUTE(SUBSTITUTE(SUBSTITUTE(SUBSTITUTE(SUBSTITUTE(SUBSTITUTE(SUBSTITUTE(SUBSTITUTE(LEFT(MID(TRIM(INDEX(PASTE_ALL,36,23)),1+(LEFT(TRIM(INDEX(PASTE_ALL,36,23)),1)="-"),999),LEN(MID(TRIM(INDEX(PASTE_ALL,36,23)),1+(LEFT(TRIM(INDEX(PASTE_ALL,36,23)),1)="-"),999))-(RIGHT(MID(TRIM(INDEX(PASTE_ALL,36,23)),1+(LEFT(TRIM(INDEX(PASTE_ALL,36,23)),1)="-"),999),1)="%")),"0",""),"1",""),"2",""),"3",""),"4",""),"5",""),"6",""),"7",""),"8",""),"9",""),".",""),",","")=""),2,1))),1)</f>
        <v/>
      </c>
      <c r="AV85">
        <f>IFERROR(IF(ISNUMBER(INDEX(PASTE_ALL,36,24)),2,IF(TRIM(INDEX(PASTE_ALL,36,24))="",0,IF(AND(LEFT(MID(TRIM(INDEX(PASTE_ALL,36,24)),1+(LEFT(TRIM(INDEX(PASTE_ALL,36,24)),1)="-"),999),LEN(MID(TRIM(INDEX(PASTE_ALL,36,24)),1+(LEFT(TRIM(INDEX(PASTE_ALL,36,24)),1)="-"),999))-(RIGHT(MID(TRIM(INDEX(PASTE_ALL,36,24)),1+(LEFT(TRIM(INDEX(PASTE_ALL,36,24)),1)="-"),999),1)="%"))&lt;&gt;"",SUBSTITUTE(SUBSTITUTE(SUBSTITUTE(SUBSTITUTE(SUBSTITUTE(SUBSTITUTE(SUBSTITUTE(SUBSTITUTE(SUBSTITUTE(SUBSTITUTE(SUBSTITUTE(SUBSTITUTE(LEFT(MID(TRIM(INDEX(PASTE_ALL,36,24)),1+(LEFT(TRIM(INDEX(PASTE_ALL,36,24)),1)="-"),999),LEN(MID(TRIM(INDEX(PASTE_ALL,36,24)),1+(LEFT(TRIM(INDEX(PASTE_ALL,36,24)),1)="-"),999))-(RIGHT(MID(TRIM(INDEX(PASTE_ALL,36,24)),1+(LEFT(TRIM(INDEX(PASTE_ALL,36,24)),1)="-"),999),1)="%")),"0",""),"1",""),"2",""),"3",""),"4",""),"5",""),"6",""),"7",""),"8",""),"9",""),".",""),",","")=""),2,1))),1)</f>
        <v/>
      </c>
      <c r="AW85">
        <f>IFERROR(IF(ISNUMBER(INDEX(PASTE_ALL,36,25)),2,IF(TRIM(INDEX(PASTE_ALL,36,25))="",0,IF(AND(LEFT(MID(TRIM(INDEX(PASTE_ALL,36,25)),1+(LEFT(TRIM(INDEX(PASTE_ALL,36,25)),1)="-"),999),LEN(MID(TRIM(INDEX(PASTE_ALL,36,25)),1+(LEFT(TRIM(INDEX(PASTE_ALL,36,25)),1)="-"),999))-(RIGHT(MID(TRIM(INDEX(PASTE_ALL,36,25)),1+(LEFT(TRIM(INDEX(PASTE_ALL,36,25)),1)="-"),999),1)="%"))&lt;&gt;"",SUBSTITUTE(SUBSTITUTE(SUBSTITUTE(SUBSTITUTE(SUBSTITUTE(SUBSTITUTE(SUBSTITUTE(SUBSTITUTE(SUBSTITUTE(SUBSTITUTE(SUBSTITUTE(SUBSTITUTE(LEFT(MID(TRIM(INDEX(PASTE_ALL,36,25)),1+(LEFT(TRIM(INDEX(PASTE_ALL,36,25)),1)="-"),999),LEN(MID(TRIM(INDEX(PASTE_ALL,36,25)),1+(LEFT(TRIM(INDEX(PASTE_ALL,36,25)),1)="-"),999))-(RIGHT(MID(TRIM(INDEX(PASTE_ALL,36,25)),1+(LEFT(TRIM(INDEX(PASTE_ALL,36,25)),1)="-"),999),1)="%")),"0",""),"1",""),"2",""),"3",""),"4",""),"5",""),"6",""),"7",""),"8",""),"9",""),".",""),",","")=""),2,1))),1)</f>
        <v/>
      </c>
      <c r="AX85">
        <f>IFERROR(IF(ISNUMBER(INDEX(PASTE_ALL,36,26)),2,IF(TRIM(INDEX(PASTE_ALL,36,26))="",0,IF(AND(LEFT(MID(TRIM(INDEX(PASTE_ALL,36,26)),1+(LEFT(TRIM(INDEX(PASTE_ALL,36,26)),1)="-"),999),LEN(MID(TRIM(INDEX(PASTE_ALL,36,26)),1+(LEFT(TRIM(INDEX(PASTE_ALL,36,26)),1)="-"),999))-(RIGHT(MID(TRIM(INDEX(PASTE_ALL,36,26)),1+(LEFT(TRIM(INDEX(PASTE_ALL,36,26)),1)="-"),999),1)="%"))&lt;&gt;"",SUBSTITUTE(SUBSTITUTE(SUBSTITUTE(SUBSTITUTE(SUBSTITUTE(SUBSTITUTE(SUBSTITUTE(SUBSTITUTE(SUBSTITUTE(SUBSTITUTE(SUBSTITUTE(SUBSTITUTE(LEFT(MID(TRIM(INDEX(PASTE_ALL,36,26)),1+(LEFT(TRIM(INDEX(PASTE_ALL,36,26)),1)="-"),999),LEN(MID(TRIM(INDEX(PASTE_ALL,36,26)),1+(LEFT(TRIM(INDEX(PASTE_ALL,36,26)),1)="-"),999))-(RIGHT(MID(TRIM(INDEX(PASTE_ALL,36,26)),1+(LEFT(TRIM(INDEX(PASTE_ALL,36,26)),1)="-"),999),1)="%")),"0",""),"1",""),"2",""),"3",""),"4",""),"5",""),"6",""),"7",""),"8",""),"9",""),".",""),",","")=""),2,1))),1)</f>
        <v/>
      </c>
      <c r="AY85">
        <f>IFERROR(IF(ISNUMBER(INDEX(PASTE_ALL,36,27)),2,IF(TRIM(INDEX(PASTE_ALL,36,27))="",0,IF(AND(LEFT(MID(TRIM(INDEX(PASTE_ALL,36,27)),1+(LEFT(TRIM(INDEX(PASTE_ALL,36,27)),1)="-"),999),LEN(MID(TRIM(INDEX(PASTE_ALL,36,27)),1+(LEFT(TRIM(INDEX(PASTE_ALL,36,27)),1)="-"),999))-(RIGHT(MID(TRIM(INDEX(PASTE_ALL,36,27)),1+(LEFT(TRIM(INDEX(PASTE_ALL,36,27)),1)="-"),999),1)="%"))&lt;&gt;"",SUBSTITUTE(SUBSTITUTE(SUBSTITUTE(SUBSTITUTE(SUBSTITUTE(SUBSTITUTE(SUBSTITUTE(SUBSTITUTE(SUBSTITUTE(SUBSTITUTE(SUBSTITUTE(SUBSTITUTE(LEFT(MID(TRIM(INDEX(PASTE_ALL,36,27)),1+(LEFT(TRIM(INDEX(PASTE_ALL,36,27)),1)="-"),999),LEN(MID(TRIM(INDEX(PASTE_ALL,36,27)),1+(LEFT(TRIM(INDEX(PASTE_ALL,36,27)),1)="-"),999))-(RIGHT(MID(TRIM(INDEX(PASTE_ALL,36,27)),1+(LEFT(TRIM(INDEX(PASTE_ALL,36,27)),1)="-"),999),1)="%")),"0",""),"1",""),"2",""),"3",""),"4",""),"5",""),"6",""),"7",""),"8",""),"9",""),".",""),",","")=""),2,1))),1)</f>
        <v/>
      </c>
      <c r="AZ85">
        <f>IFERROR(IF(ISNUMBER(INDEX(PASTE_ALL,36,28)),2,IF(TRIM(INDEX(PASTE_ALL,36,28))="",0,IF(AND(LEFT(MID(TRIM(INDEX(PASTE_ALL,36,28)),1+(LEFT(TRIM(INDEX(PASTE_ALL,36,28)),1)="-"),999),LEN(MID(TRIM(INDEX(PASTE_ALL,36,28)),1+(LEFT(TRIM(INDEX(PASTE_ALL,36,28)),1)="-"),999))-(RIGHT(MID(TRIM(INDEX(PASTE_ALL,36,28)),1+(LEFT(TRIM(INDEX(PASTE_ALL,36,28)),1)="-"),999),1)="%"))&lt;&gt;"",SUBSTITUTE(SUBSTITUTE(SUBSTITUTE(SUBSTITUTE(SUBSTITUTE(SUBSTITUTE(SUBSTITUTE(SUBSTITUTE(SUBSTITUTE(SUBSTITUTE(SUBSTITUTE(SUBSTITUTE(LEFT(MID(TRIM(INDEX(PASTE_ALL,36,28)),1+(LEFT(TRIM(INDEX(PASTE_ALL,36,28)),1)="-"),999),LEN(MID(TRIM(INDEX(PASTE_ALL,36,28)),1+(LEFT(TRIM(INDEX(PASTE_ALL,36,28)),1)="-"),999))-(RIGHT(MID(TRIM(INDEX(PASTE_ALL,36,28)),1+(LEFT(TRIM(INDEX(PASTE_ALL,36,28)),1)="-"),999),1)="%")),"0",""),"1",""),"2",""),"3",""),"4",""),"5",""),"6",""),"7",""),"8",""),"9",""),".",""),",","")=""),2,1))),1)</f>
        <v/>
      </c>
      <c r="BA85">
        <f>IFERROR(IF(ISNUMBER(INDEX(PASTE_ALL,36,29)),2,IF(TRIM(INDEX(PASTE_ALL,36,29))="",0,IF(AND(LEFT(MID(TRIM(INDEX(PASTE_ALL,36,29)),1+(LEFT(TRIM(INDEX(PASTE_ALL,36,29)),1)="-"),999),LEN(MID(TRIM(INDEX(PASTE_ALL,36,29)),1+(LEFT(TRIM(INDEX(PASTE_ALL,36,29)),1)="-"),999))-(RIGHT(MID(TRIM(INDEX(PASTE_ALL,36,29)),1+(LEFT(TRIM(INDEX(PASTE_ALL,36,29)),1)="-"),999),1)="%"))&lt;&gt;"",SUBSTITUTE(SUBSTITUTE(SUBSTITUTE(SUBSTITUTE(SUBSTITUTE(SUBSTITUTE(SUBSTITUTE(SUBSTITUTE(SUBSTITUTE(SUBSTITUTE(SUBSTITUTE(SUBSTITUTE(LEFT(MID(TRIM(INDEX(PASTE_ALL,36,29)),1+(LEFT(TRIM(INDEX(PASTE_ALL,36,29)),1)="-"),999),LEN(MID(TRIM(INDEX(PASTE_ALL,36,29)),1+(LEFT(TRIM(INDEX(PASTE_ALL,36,29)),1)="-"),999))-(RIGHT(MID(TRIM(INDEX(PASTE_ALL,36,29)),1+(LEFT(TRIM(INDEX(PASTE_ALL,36,29)),1)="-"),999),1)="%")),"0",""),"1",""),"2",""),"3",""),"4",""),"5",""),"6",""),"7",""),"8",""),"9",""),".",""),",","")=""),2,1))),1)</f>
        <v/>
      </c>
      <c r="BB85">
        <f>IFERROR(IF(ISNUMBER(INDEX(PASTE_ALL,36,30)),2,IF(TRIM(INDEX(PASTE_ALL,36,30))="",0,IF(AND(LEFT(MID(TRIM(INDEX(PASTE_ALL,36,30)),1+(LEFT(TRIM(INDEX(PASTE_ALL,36,30)),1)="-"),999),LEN(MID(TRIM(INDEX(PASTE_ALL,36,30)),1+(LEFT(TRIM(INDEX(PASTE_ALL,36,30)),1)="-"),999))-(RIGHT(MID(TRIM(INDEX(PASTE_ALL,36,30)),1+(LEFT(TRIM(INDEX(PASTE_ALL,36,30)),1)="-"),999),1)="%"))&lt;&gt;"",SUBSTITUTE(SUBSTITUTE(SUBSTITUTE(SUBSTITUTE(SUBSTITUTE(SUBSTITUTE(SUBSTITUTE(SUBSTITUTE(SUBSTITUTE(SUBSTITUTE(SUBSTITUTE(SUBSTITUTE(LEFT(MID(TRIM(INDEX(PASTE_ALL,36,30)),1+(LEFT(TRIM(INDEX(PASTE_ALL,36,30)),1)="-"),999),LEN(MID(TRIM(INDEX(PASTE_ALL,36,30)),1+(LEFT(TRIM(INDEX(PASTE_ALL,36,30)),1)="-"),999))-(RIGHT(MID(TRIM(INDEX(PASTE_ALL,36,30)),1+(LEFT(TRIM(INDEX(PASTE_ALL,36,30)),1)="-"),999),1)="%")),"0",""),"1",""),"2",""),"3",""),"4",""),"5",""),"6",""),"7",""),"8",""),"9",""),".",""),",","")=""),2,1))),1)</f>
        <v/>
      </c>
      <c r="BC85">
        <f>IFERROR(IF(ISNUMBER(INDEX(PASTE_ALL,36,31)),2,IF(TRIM(INDEX(PASTE_ALL,36,31))="",0,IF(AND(LEFT(MID(TRIM(INDEX(PASTE_ALL,36,31)),1+(LEFT(TRIM(INDEX(PASTE_ALL,36,31)),1)="-"),999),LEN(MID(TRIM(INDEX(PASTE_ALL,36,31)),1+(LEFT(TRIM(INDEX(PASTE_ALL,36,31)),1)="-"),999))-(RIGHT(MID(TRIM(INDEX(PASTE_ALL,36,31)),1+(LEFT(TRIM(INDEX(PASTE_ALL,36,31)),1)="-"),999),1)="%"))&lt;&gt;"",SUBSTITUTE(SUBSTITUTE(SUBSTITUTE(SUBSTITUTE(SUBSTITUTE(SUBSTITUTE(SUBSTITUTE(SUBSTITUTE(SUBSTITUTE(SUBSTITUTE(SUBSTITUTE(SUBSTITUTE(LEFT(MID(TRIM(INDEX(PASTE_ALL,36,31)),1+(LEFT(TRIM(INDEX(PASTE_ALL,36,31)),1)="-"),999),LEN(MID(TRIM(INDEX(PASTE_ALL,36,31)),1+(LEFT(TRIM(INDEX(PASTE_ALL,36,31)),1)="-"),999))-(RIGHT(MID(TRIM(INDEX(PASTE_ALL,36,31)),1+(LEFT(TRIM(INDEX(PASTE_ALL,36,31)),1)="-"),999),1)="%")),"0",""),"1",""),"2",""),"3",""),"4",""),"5",""),"6",""),"7",""),"8",""),"9",""),".",""),",","")=""),2,1))),1)</f>
        <v/>
      </c>
      <c r="BD85">
        <f>IFERROR(IF(ISNUMBER(INDEX(PASTE_ALL,36,32)),2,IF(TRIM(INDEX(PASTE_ALL,36,32))="",0,IF(AND(LEFT(MID(TRIM(INDEX(PASTE_ALL,36,32)),1+(LEFT(TRIM(INDEX(PASTE_ALL,36,32)),1)="-"),999),LEN(MID(TRIM(INDEX(PASTE_ALL,36,32)),1+(LEFT(TRIM(INDEX(PASTE_ALL,36,32)),1)="-"),999))-(RIGHT(MID(TRIM(INDEX(PASTE_ALL,36,32)),1+(LEFT(TRIM(INDEX(PASTE_ALL,36,32)),1)="-"),999),1)="%"))&lt;&gt;"",SUBSTITUTE(SUBSTITUTE(SUBSTITUTE(SUBSTITUTE(SUBSTITUTE(SUBSTITUTE(SUBSTITUTE(SUBSTITUTE(SUBSTITUTE(SUBSTITUTE(SUBSTITUTE(SUBSTITUTE(LEFT(MID(TRIM(INDEX(PASTE_ALL,36,32)),1+(LEFT(TRIM(INDEX(PASTE_ALL,36,32)),1)="-"),999),LEN(MID(TRIM(INDEX(PASTE_ALL,36,32)),1+(LEFT(TRIM(INDEX(PASTE_ALL,36,32)),1)="-"),999))-(RIGHT(MID(TRIM(INDEX(PASTE_ALL,36,32)),1+(LEFT(TRIM(INDEX(PASTE_ALL,36,32)),1)="-"),999),1)="%")),"0",""),"1",""),"2",""),"3",""),"4",""),"5",""),"6",""),"7",""),"8",""),"9",""),".",""),",","")=""),2,1))),1)</f>
        <v/>
      </c>
      <c r="BE85">
        <f>IFERROR(IF(ISNUMBER(INDEX(PASTE_ALL,36,33)),2,IF(TRIM(INDEX(PASTE_ALL,36,33))="",0,IF(AND(LEFT(MID(TRIM(INDEX(PASTE_ALL,36,33)),1+(LEFT(TRIM(INDEX(PASTE_ALL,36,33)),1)="-"),999),LEN(MID(TRIM(INDEX(PASTE_ALL,36,33)),1+(LEFT(TRIM(INDEX(PASTE_ALL,36,33)),1)="-"),999))-(RIGHT(MID(TRIM(INDEX(PASTE_ALL,36,33)),1+(LEFT(TRIM(INDEX(PASTE_ALL,36,33)),1)="-"),999),1)="%"))&lt;&gt;"",SUBSTITUTE(SUBSTITUTE(SUBSTITUTE(SUBSTITUTE(SUBSTITUTE(SUBSTITUTE(SUBSTITUTE(SUBSTITUTE(SUBSTITUTE(SUBSTITUTE(SUBSTITUTE(SUBSTITUTE(LEFT(MID(TRIM(INDEX(PASTE_ALL,36,33)),1+(LEFT(TRIM(INDEX(PASTE_ALL,36,33)),1)="-"),999),LEN(MID(TRIM(INDEX(PASTE_ALL,36,33)),1+(LEFT(TRIM(INDEX(PASTE_ALL,36,33)),1)="-"),999))-(RIGHT(MID(TRIM(INDEX(PASTE_ALL,36,33)),1+(LEFT(TRIM(INDEX(PASTE_ALL,36,33)),1)="-"),999),1)="%")),"0",""),"1",""),"2",""),"3",""),"4",""),"5",""),"6",""),"7",""),"8",""),"9",""),".",""),",","")=""),2,1))),1)</f>
        <v/>
      </c>
      <c r="BF85">
        <f>IFERROR(IF(ISNUMBER(INDEX(PASTE_ALL,36,34)),2,IF(TRIM(INDEX(PASTE_ALL,36,34))="",0,IF(AND(LEFT(MID(TRIM(INDEX(PASTE_ALL,36,34)),1+(LEFT(TRIM(INDEX(PASTE_ALL,36,34)),1)="-"),999),LEN(MID(TRIM(INDEX(PASTE_ALL,36,34)),1+(LEFT(TRIM(INDEX(PASTE_ALL,36,34)),1)="-"),999))-(RIGHT(MID(TRIM(INDEX(PASTE_ALL,36,34)),1+(LEFT(TRIM(INDEX(PASTE_ALL,36,34)),1)="-"),999),1)="%"))&lt;&gt;"",SUBSTITUTE(SUBSTITUTE(SUBSTITUTE(SUBSTITUTE(SUBSTITUTE(SUBSTITUTE(SUBSTITUTE(SUBSTITUTE(SUBSTITUTE(SUBSTITUTE(SUBSTITUTE(SUBSTITUTE(LEFT(MID(TRIM(INDEX(PASTE_ALL,36,34)),1+(LEFT(TRIM(INDEX(PASTE_ALL,36,34)),1)="-"),999),LEN(MID(TRIM(INDEX(PASTE_ALL,36,34)),1+(LEFT(TRIM(INDEX(PASTE_ALL,36,34)),1)="-"),999))-(RIGHT(MID(TRIM(INDEX(PASTE_ALL,36,34)),1+(LEFT(TRIM(INDEX(PASTE_ALL,36,34)),1)="-"),999),1)="%")),"0",""),"1",""),"2",""),"3",""),"4",""),"5",""),"6",""),"7",""),"8",""),"9",""),".",""),",","")=""),2,1))),1)</f>
        <v/>
      </c>
      <c r="BG85">
        <f>IFERROR(IF(ISNUMBER(INDEX(PASTE_ALL,36,35)),2,IF(TRIM(INDEX(PASTE_ALL,36,35))="",0,IF(AND(LEFT(MID(TRIM(INDEX(PASTE_ALL,36,35)),1+(LEFT(TRIM(INDEX(PASTE_ALL,36,35)),1)="-"),999),LEN(MID(TRIM(INDEX(PASTE_ALL,36,35)),1+(LEFT(TRIM(INDEX(PASTE_ALL,36,35)),1)="-"),999))-(RIGHT(MID(TRIM(INDEX(PASTE_ALL,36,35)),1+(LEFT(TRIM(INDEX(PASTE_ALL,36,35)),1)="-"),999),1)="%"))&lt;&gt;"",SUBSTITUTE(SUBSTITUTE(SUBSTITUTE(SUBSTITUTE(SUBSTITUTE(SUBSTITUTE(SUBSTITUTE(SUBSTITUTE(SUBSTITUTE(SUBSTITUTE(SUBSTITUTE(SUBSTITUTE(LEFT(MID(TRIM(INDEX(PASTE_ALL,36,35)),1+(LEFT(TRIM(INDEX(PASTE_ALL,36,35)),1)="-"),999),LEN(MID(TRIM(INDEX(PASTE_ALL,36,35)),1+(LEFT(TRIM(INDEX(PASTE_ALL,36,35)),1)="-"),999))-(RIGHT(MID(TRIM(INDEX(PASTE_ALL,36,35)),1+(LEFT(TRIM(INDEX(PASTE_ALL,36,35)),1)="-"),999),1)="%")),"0",""),"1",""),"2",""),"3",""),"4",""),"5",""),"6",""),"7",""),"8",""),"9",""),".",""),",","")=""),2,1))),1)</f>
        <v/>
      </c>
      <c r="BH85">
        <f>IFERROR(IF(ISNUMBER(INDEX(PASTE_ALL,36,36)),2,IF(TRIM(INDEX(PASTE_ALL,36,36))="",0,IF(AND(LEFT(MID(TRIM(INDEX(PASTE_ALL,36,36)),1+(LEFT(TRIM(INDEX(PASTE_ALL,36,36)),1)="-"),999),LEN(MID(TRIM(INDEX(PASTE_ALL,36,36)),1+(LEFT(TRIM(INDEX(PASTE_ALL,36,36)),1)="-"),999))-(RIGHT(MID(TRIM(INDEX(PASTE_ALL,36,36)),1+(LEFT(TRIM(INDEX(PASTE_ALL,36,36)),1)="-"),999),1)="%"))&lt;&gt;"",SUBSTITUTE(SUBSTITUTE(SUBSTITUTE(SUBSTITUTE(SUBSTITUTE(SUBSTITUTE(SUBSTITUTE(SUBSTITUTE(SUBSTITUTE(SUBSTITUTE(SUBSTITUTE(SUBSTITUTE(LEFT(MID(TRIM(INDEX(PASTE_ALL,36,36)),1+(LEFT(TRIM(INDEX(PASTE_ALL,36,36)),1)="-"),999),LEN(MID(TRIM(INDEX(PASTE_ALL,36,36)),1+(LEFT(TRIM(INDEX(PASTE_ALL,36,36)),1)="-"),999))-(RIGHT(MID(TRIM(INDEX(PASTE_ALL,36,36)),1+(LEFT(TRIM(INDEX(PASTE_ALL,36,36)),1)="-"),999),1)="%")),"0",""),"1",""),"2",""),"3",""),"4",""),"5",""),"6",""),"7",""),"8",""),"9",""),".",""),",","")=""),2,1))),1)</f>
        <v/>
      </c>
      <c r="BI85">
        <f>IFERROR(IF(ISNUMBER(INDEX(PASTE_ALL,36,37)),2,IF(TRIM(INDEX(PASTE_ALL,36,37))="",0,IF(AND(LEFT(MID(TRIM(INDEX(PASTE_ALL,36,37)),1+(LEFT(TRIM(INDEX(PASTE_ALL,36,37)),1)="-"),999),LEN(MID(TRIM(INDEX(PASTE_ALL,36,37)),1+(LEFT(TRIM(INDEX(PASTE_ALL,36,37)),1)="-"),999))-(RIGHT(MID(TRIM(INDEX(PASTE_ALL,36,37)),1+(LEFT(TRIM(INDEX(PASTE_ALL,36,37)),1)="-"),999),1)="%"))&lt;&gt;"",SUBSTITUTE(SUBSTITUTE(SUBSTITUTE(SUBSTITUTE(SUBSTITUTE(SUBSTITUTE(SUBSTITUTE(SUBSTITUTE(SUBSTITUTE(SUBSTITUTE(SUBSTITUTE(SUBSTITUTE(LEFT(MID(TRIM(INDEX(PASTE_ALL,36,37)),1+(LEFT(TRIM(INDEX(PASTE_ALL,36,37)),1)="-"),999),LEN(MID(TRIM(INDEX(PASTE_ALL,36,37)),1+(LEFT(TRIM(INDEX(PASTE_ALL,36,37)),1)="-"),999))-(RIGHT(MID(TRIM(INDEX(PASTE_ALL,36,37)),1+(LEFT(TRIM(INDEX(PASTE_ALL,36,37)),1)="-"),999),1)="%")),"0",""),"1",""),"2",""),"3",""),"4",""),"5",""),"6",""),"7",""),"8",""),"9",""),".",""),",","")=""),2,1))),1)</f>
        <v/>
      </c>
      <c r="BJ85">
        <f>IFERROR(IF(ISNUMBER(INDEX(PASTE_ALL,36,38)),2,IF(TRIM(INDEX(PASTE_ALL,36,38))="",0,IF(AND(LEFT(MID(TRIM(INDEX(PASTE_ALL,36,38)),1+(LEFT(TRIM(INDEX(PASTE_ALL,36,38)),1)="-"),999),LEN(MID(TRIM(INDEX(PASTE_ALL,36,38)),1+(LEFT(TRIM(INDEX(PASTE_ALL,36,38)),1)="-"),999))-(RIGHT(MID(TRIM(INDEX(PASTE_ALL,36,38)),1+(LEFT(TRIM(INDEX(PASTE_ALL,36,38)),1)="-"),999),1)="%"))&lt;&gt;"",SUBSTITUTE(SUBSTITUTE(SUBSTITUTE(SUBSTITUTE(SUBSTITUTE(SUBSTITUTE(SUBSTITUTE(SUBSTITUTE(SUBSTITUTE(SUBSTITUTE(SUBSTITUTE(SUBSTITUTE(LEFT(MID(TRIM(INDEX(PASTE_ALL,36,38)),1+(LEFT(TRIM(INDEX(PASTE_ALL,36,38)),1)="-"),999),LEN(MID(TRIM(INDEX(PASTE_ALL,36,38)),1+(LEFT(TRIM(INDEX(PASTE_ALL,36,38)),1)="-"),999))-(RIGHT(MID(TRIM(INDEX(PASTE_ALL,36,38)),1+(LEFT(TRIM(INDEX(PASTE_ALL,36,38)),1)="-"),999),1)="%")),"0",""),"1",""),"2",""),"3",""),"4",""),"5",""),"6",""),"7",""),"8",""),"9",""),".",""),",","")=""),2,1))),1)</f>
        <v/>
      </c>
      <c r="BK85">
        <f>IFERROR(IF(ISNUMBER(INDEX(PASTE_ALL,36,39)),2,IF(TRIM(INDEX(PASTE_ALL,36,39))="",0,IF(AND(LEFT(MID(TRIM(INDEX(PASTE_ALL,36,39)),1+(LEFT(TRIM(INDEX(PASTE_ALL,36,39)),1)="-"),999),LEN(MID(TRIM(INDEX(PASTE_ALL,36,39)),1+(LEFT(TRIM(INDEX(PASTE_ALL,36,39)),1)="-"),999))-(RIGHT(MID(TRIM(INDEX(PASTE_ALL,36,39)),1+(LEFT(TRIM(INDEX(PASTE_ALL,36,39)),1)="-"),999),1)="%"))&lt;&gt;"",SUBSTITUTE(SUBSTITUTE(SUBSTITUTE(SUBSTITUTE(SUBSTITUTE(SUBSTITUTE(SUBSTITUTE(SUBSTITUTE(SUBSTITUTE(SUBSTITUTE(SUBSTITUTE(SUBSTITUTE(LEFT(MID(TRIM(INDEX(PASTE_ALL,36,39)),1+(LEFT(TRIM(INDEX(PASTE_ALL,36,39)),1)="-"),999),LEN(MID(TRIM(INDEX(PASTE_ALL,36,39)),1+(LEFT(TRIM(INDEX(PASTE_ALL,36,39)),1)="-"),999))-(RIGHT(MID(TRIM(INDEX(PASTE_ALL,36,39)),1+(LEFT(TRIM(INDEX(PASTE_ALL,36,39)),1)="-"),999),1)="%")),"0",""),"1",""),"2",""),"3",""),"4",""),"5",""),"6",""),"7",""),"8",""),"9",""),".",""),",","")=""),2,1))),1)</f>
        <v/>
      </c>
      <c r="BL85">
        <f>IFERROR(IF(ISNUMBER(INDEX(PASTE_ALL,36,40)),2,IF(TRIM(INDEX(PASTE_ALL,36,40))="",0,IF(AND(LEFT(MID(TRIM(INDEX(PASTE_ALL,36,40)),1+(LEFT(TRIM(INDEX(PASTE_ALL,36,40)),1)="-"),999),LEN(MID(TRIM(INDEX(PASTE_ALL,36,40)),1+(LEFT(TRIM(INDEX(PASTE_ALL,36,40)),1)="-"),999))-(RIGHT(MID(TRIM(INDEX(PASTE_ALL,36,40)),1+(LEFT(TRIM(INDEX(PASTE_ALL,36,40)),1)="-"),999),1)="%"))&lt;&gt;"",SUBSTITUTE(SUBSTITUTE(SUBSTITUTE(SUBSTITUTE(SUBSTITUTE(SUBSTITUTE(SUBSTITUTE(SUBSTITUTE(SUBSTITUTE(SUBSTITUTE(SUBSTITUTE(SUBSTITUTE(LEFT(MID(TRIM(INDEX(PASTE_ALL,36,40)),1+(LEFT(TRIM(INDEX(PASTE_ALL,36,40)),1)="-"),999),LEN(MID(TRIM(INDEX(PASTE_ALL,36,40)),1+(LEFT(TRIM(INDEX(PASTE_ALL,36,40)),1)="-"),999))-(RIGHT(MID(TRIM(INDEX(PASTE_ALL,36,40)),1+(LEFT(TRIM(INDEX(PASTE_ALL,36,40)),1)="-"),999),1)="%")),"0",""),"1",""),"2",""),"3",""),"4",""),"5",""),"6",""),"7",""),"8",""),"9",""),".",""),",","")=""),2,1))),1)</f>
        <v/>
      </c>
      <c r="BM85">
        <f>IFERROR(IF(ISNUMBER(INDEX(PASTE_ALL,36,41)),2,IF(TRIM(INDEX(PASTE_ALL,36,41))="",0,IF(AND(LEFT(MID(TRIM(INDEX(PASTE_ALL,36,41)),1+(LEFT(TRIM(INDEX(PASTE_ALL,36,41)),1)="-"),999),LEN(MID(TRIM(INDEX(PASTE_ALL,36,41)),1+(LEFT(TRIM(INDEX(PASTE_ALL,36,41)),1)="-"),999))-(RIGHT(MID(TRIM(INDEX(PASTE_ALL,36,41)),1+(LEFT(TRIM(INDEX(PASTE_ALL,36,41)),1)="-"),999),1)="%"))&lt;&gt;"",SUBSTITUTE(SUBSTITUTE(SUBSTITUTE(SUBSTITUTE(SUBSTITUTE(SUBSTITUTE(SUBSTITUTE(SUBSTITUTE(SUBSTITUTE(SUBSTITUTE(SUBSTITUTE(SUBSTITUTE(LEFT(MID(TRIM(INDEX(PASTE_ALL,36,41)),1+(LEFT(TRIM(INDEX(PASTE_ALL,36,41)),1)="-"),999),LEN(MID(TRIM(INDEX(PASTE_ALL,36,41)),1+(LEFT(TRIM(INDEX(PASTE_ALL,36,41)),1)="-"),999))-(RIGHT(MID(TRIM(INDEX(PASTE_ALL,36,41)),1+(LEFT(TRIM(INDEX(PASTE_ALL,36,41)),1)="-"),999),1)="%")),"0",""),"1",""),"2",""),"3",""),"4",""),"5",""),"6",""),"7",""),"8",""),"9",""),".",""),",","")=""),2,1))),1)</f>
        <v/>
      </c>
      <c r="BN85">
        <f>IFERROR(IF(ISNUMBER(INDEX(PASTE_ALL,36,42)),2,IF(TRIM(INDEX(PASTE_ALL,36,42))="",0,IF(AND(LEFT(MID(TRIM(INDEX(PASTE_ALL,36,42)),1+(LEFT(TRIM(INDEX(PASTE_ALL,36,42)),1)="-"),999),LEN(MID(TRIM(INDEX(PASTE_ALL,36,42)),1+(LEFT(TRIM(INDEX(PASTE_ALL,36,42)),1)="-"),999))-(RIGHT(MID(TRIM(INDEX(PASTE_ALL,36,42)),1+(LEFT(TRIM(INDEX(PASTE_ALL,36,42)),1)="-"),999),1)="%"))&lt;&gt;"",SUBSTITUTE(SUBSTITUTE(SUBSTITUTE(SUBSTITUTE(SUBSTITUTE(SUBSTITUTE(SUBSTITUTE(SUBSTITUTE(SUBSTITUTE(SUBSTITUTE(SUBSTITUTE(SUBSTITUTE(LEFT(MID(TRIM(INDEX(PASTE_ALL,36,42)),1+(LEFT(TRIM(INDEX(PASTE_ALL,36,42)),1)="-"),999),LEN(MID(TRIM(INDEX(PASTE_ALL,36,42)),1+(LEFT(TRIM(INDEX(PASTE_ALL,36,42)),1)="-"),999))-(RIGHT(MID(TRIM(INDEX(PASTE_ALL,36,42)),1+(LEFT(TRIM(INDEX(PASTE_ALL,36,42)),1)="-"),999),1)="%")),"0",""),"1",""),"2",""),"3",""),"4",""),"5",""),"6",""),"7",""),"8",""),"9",""),".",""),",","")=""),2,1))),1)</f>
        <v/>
      </c>
      <c r="BO85">
        <f>IFERROR(IF(ISNUMBER(INDEX(PASTE_ALL,36,43)),2,IF(TRIM(INDEX(PASTE_ALL,36,43))="",0,IF(AND(LEFT(MID(TRIM(INDEX(PASTE_ALL,36,43)),1+(LEFT(TRIM(INDEX(PASTE_ALL,36,43)),1)="-"),999),LEN(MID(TRIM(INDEX(PASTE_ALL,36,43)),1+(LEFT(TRIM(INDEX(PASTE_ALL,36,43)),1)="-"),999))-(RIGHT(MID(TRIM(INDEX(PASTE_ALL,36,43)),1+(LEFT(TRIM(INDEX(PASTE_ALL,36,43)),1)="-"),999),1)="%"))&lt;&gt;"",SUBSTITUTE(SUBSTITUTE(SUBSTITUTE(SUBSTITUTE(SUBSTITUTE(SUBSTITUTE(SUBSTITUTE(SUBSTITUTE(SUBSTITUTE(SUBSTITUTE(SUBSTITUTE(SUBSTITUTE(LEFT(MID(TRIM(INDEX(PASTE_ALL,36,43)),1+(LEFT(TRIM(INDEX(PASTE_ALL,36,43)),1)="-"),999),LEN(MID(TRIM(INDEX(PASTE_ALL,36,43)),1+(LEFT(TRIM(INDEX(PASTE_ALL,36,43)),1)="-"),999))-(RIGHT(MID(TRIM(INDEX(PASTE_ALL,36,43)),1+(LEFT(TRIM(INDEX(PASTE_ALL,36,43)),1)="-"),999),1)="%")),"0",""),"1",""),"2",""),"3",""),"4",""),"5",""),"6",""),"7",""),"8",""),"9",""),".",""),",","")=""),2,1))),1)</f>
        <v/>
      </c>
      <c r="BP85">
        <f>IFERROR(IF(ISNUMBER(INDEX(PASTE_ALL,36,44)),2,IF(TRIM(INDEX(PASTE_ALL,36,44))="",0,IF(AND(LEFT(MID(TRIM(INDEX(PASTE_ALL,36,44)),1+(LEFT(TRIM(INDEX(PASTE_ALL,36,44)),1)="-"),999),LEN(MID(TRIM(INDEX(PASTE_ALL,36,44)),1+(LEFT(TRIM(INDEX(PASTE_ALL,36,44)),1)="-"),999))-(RIGHT(MID(TRIM(INDEX(PASTE_ALL,36,44)),1+(LEFT(TRIM(INDEX(PASTE_ALL,36,44)),1)="-"),999),1)="%"))&lt;&gt;"",SUBSTITUTE(SUBSTITUTE(SUBSTITUTE(SUBSTITUTE(SUBSTITUTE(SUBSTITUTE(SUBSTITUTE(SUBSTITUTE(SUBSTITUTE(SUBSTITUTE(SUBSTITUTE(SUBSTITUTE(LEFT(MID(TRIM(INDEX(PASTE_ALL,36,44)),1+(LEFT(TRIM(INDEX(PASTE_ALL,36,44)),1)="-"),999),LEN(MID(TRIM(INDEX(PASTE_ALL,36,44)),1+(LEFT(TRIM(INDEX(PASTE_ALL,36,44)),1)="-"),999))-(RIGHT(MID(TRIM(INDEX(PASTE_ALL,36,44)),1+(LEFT(TRIM(INDEX(PASTE_ALL,36,44)),1)="-"),999),1)="%")),"0",""),"1",""),"2",""),"3",""),"4",""),"5",""),"6",""),"7",""),"8",""),"9",""),".",""),",","")=""),2,1))),1)</f>
        <v/>
      </c>
      <c r="BQ85">
        <f>IFERROR(IF(ISNUMBER(INDEX(PASTE_ALL,36,45)),2,IF(TRIM(INDEX(PASTE_ALL,36,45))="",0,IF(AND(LEFT(MID(TRIM(INDEX(PASTE_ALL,36,45)),1+(LEFT(TRIM(INDEX(PASTE_ALL,36,45)),1)="-"),999),LEN(MID(TRIM(INDEX(PASTE_ALL,36,45)),1+(LEFT(TRIM(INDEX(PASTE_ALL,36,45)),1)="-"),999))-(RIGHT(MID(TRIM(INDEX(PASTE_ALL,36,45)),1+(LEFT(TRIM(INDEX(PASTE_ALL,36,45)),1)="-"),999),1)="%"))&lt;&gt;"",SUBSTITUTE(SUBSTITUTE(SUBSTITUTE(SUBSTITUTE(SUBSTITUTE(SUBSTITUTE(SUBSTITUTE(SUBSTITUTE(SUBSTITUTE(SUBSTITUTE(SUBSTITUTE(SUBSTITUTE(LEFT(MID(TRIM(INDEX(PASTE_ALL,36,45)),1+(LEFT(TRIM(INDEX(PASTE_ALL,36,45)),1)="-"),999),LEN(MID(TRIM(INDEX(PASTE_ALL,36,45)),1+(LEFT(TRIM(INDEX(PASTE_ALL,36,45)),1)="-"),999))-(RIGHT(MID(TRIM(INDEX(PASTE_ALL,36,45)),1+(LEFT(TRIM(INDEX(PASTE_ALL,36,45)),1)="-"),999),1)="%")),"0",""),"1",""),"2",""),"3",""),"4",""),"5",""),"6",""),"7",""),"8",""),"9",""),".",""),",","")=""),2,1))),1)</f>
        <v/>
      </c>
      <c r="BR85">
        <f>IFERROR(IF(ISNUMBER(INDEX(PASTE_ALL,36,46)),2,IF(TRIM(INDEX(PASTE_ALL,36,46))="",0,IF(AND(LEFT(MID(TRIM(INDEX(PASTE_ALL,36,46)),1+(LEFT(TRIM(INDEX(PASTE_ALL,36,46)),1)="-"),999),LEN(MID(TRIM(INDEX(PASTE_ALL,36,46)),1+(LEFT(TRIM(INDEX(PASTE_ALL,36,46)),1)="-"),999))-(RIGHT(MID(TRIM(INDEX(PASTE_ALL,36,46)),1+(LEFT(TRIM(INDEX(PASTE_ALL,36,46)),1)="-"),999),1)="%"))&lt;&gt;"",SUBSTITUTE(SUBSTITUTE(SUBSTITUTE(SUBSTITUTE(SUBSTITUTE(SUBSTITUTE(SUBSTITUTE(SUBSTITUTE(SUBSTITUTE(SUBSTITUTE(SUBSTITUTE(SUBSTITUTE(LEFT(MID(TRIM(INDEX(PASTE_ALL,36,46)),1+(LEFT(TRIM(INDEX(PASTE_ALL,36,46)),1)="-"),999),LEN(MID(TRIM(INDEX(PASTE_ALL,36,46)),1+(LEFT(TRIM(INDEX(PASTE_ALL,36,46)),1)="-"),999))-(RIGHT(MID(TRIM(INDEX(PASTE_ALL,36,46)),1+(LEFT(TRIM(INDEX(PASTE_ALL,36,46)),1)="-"),999),1)="%")),"0",""),"1",""),"2",""),"3",""),"4",""),"5",""),"6",""),"7",""),"8",""),"9",""),".",""),",","")=""),2,1))),1)</f>
        <v/>
      </c>
      <c r="BS85">
        <f>IFERROR(IF(ISNUMBER(INDEX(PASTE_ALL,36,47)),2,IF(TRIM(INDEX(PASTE_ALL,36,47))="",0,IF(AND(LEFT(MID(TRIM(INDEX(PASTE_ALL,36,47)),1+(LEFT(TRIM(INDEX(PASTE_ALL,36,47)),1)="-"),999),LEN(MID(TRIM(INDEX(PASTE_ALL,36,47)),1+(LEFT(TRIM(INDEX(PASTE_ALL,36,47)),1)="-"),999))-(RIGHT(MID(TRIM(INDEX(PASTE_ALL,36,47)),1+(LEFT(TRIM(INDEX(PASTE_ALL,36,47)),1)="-"),999),1)="%"))&lt;&gt;"",SUBSTITUTE(SUBSTITUTE(SUBSTITUTE(SUBSTITUTE(SUBSTITUTE(SUBSTITUTE(SUBSTITUTE(SUBSTITUTE(SUBSTITUTE(SUBSTITUTE(SUBSTITUTE(SUBSTITUTE(LEFT(MID(TRIM(INDEX(PASTE_ALL,36,47)),1+(LEFT(TRIM(INDEX(PASTE_ALL,36,47)),1)="-"),999),LEN(MID(TRIM(INDEX(PASTE_ALL,36,47)),1+(LEFT(TRIM(INDEX(PASTE_ALL,36,47)),1)="-"),999))-(RIGHT(MID(TRIM(INDEX(PASTE_ALL,36,47)),1+(LEFT(TRIM(INDEX(PASTE_ALL,36,47)),1)="-"),999),1)="%")),"0",""),"1",""),"2",""),"3",""),"4",""),"5",""),"6",""),"7",""),"8",""),"9",""),".",""),",","")=""),2,1))),1)</f>
        <v/>
      </c>
      <c r="BT85">
        <f>IFERROR(IF(ISNUMBER(INDEX(PASTE_ALL,36,48)),2,IF(TRIM(INDEX(PASTE_ALL,36,48))="",0,IF(AND(LEFT(MID(TRIM(INDEX(PASTE_ALL,36,48)),1+(LEFT(TRIM(INDEX(PASTE_ALL,36,48)),1)="-"),999),LEN(MID(TRIM(INDEX(PASTE_ALL,36,48)),1+(LEFT(TRIM(INDEX(PASTE_ALL,36,48)),1)="-"),999))-(RIGHT(MID(TRIM(INDEX(PASTE_ALL,36,48)),1+(LEFT(TRIM(INDEX(PASTE_ALL,36,48)),1)="-"),999),1)="%"))&lt;&gt;"",SUBSTITUTE(SUBSTITUTE(SUBSTITUTE(SUBSTITUTE(SUBSTITUTE(SUBSTITUTE(SUBSTITUTE(SUBSTITUTE(SUBSTITUTE(SUBSTITUTE(SUBSTITUTE(SUBSTITUTE(LEFT(MID(TRIM(INDEX(PASTE_ALL,36,48)),1+(LEFT(TRIM(INDEX(PASTE_ALL,36,48)),1)="-"),999),LEN(MID(TRIM(INDEX(PASTE_ALL,36,48)),1+(LEFT(TRIM(INDEX(PASTE_ALL,36,48)),1)="-"),999))-(RIGHT(MID(TRIM(INDEX(PASTE_ALL,36,48)),1+(LEFT(TRIM(INDEX(PASTE_ALL,36,48)),1)="-"),999),1)="%")),"0",""),"1",""),"2",""),"3",""),"4",""),"5",""),"6",""),"7",""),"8",""),"9",""),".",""),",","")=""),2,1))),1)</f>
        <v/>
      </c>
      <c r="BU85">
        <f>IFERROR(IF(ISNUMBER(INDEX(PASTE_ALL,36,49)),2,IF(TRIM(INDEX(PASTE_ALL,36,49))="",0,IF(AND(LEFT(MID(TRIM(INDEX(PASTE_ALL,36,49)),1+(LEFT(TRIM(INDEX(PASTE_ALL,36,49)),1)="-"),999),LEN(MID(TRIM(INDEX(PASTE_ALL,36,49)),1+(LEFT(TRIM(INDEX(PASTE_ALL,36,49)),1)="-"),999))-(RIGHT(MID(TRIM(INDEX(PASTE_ALL,36,49)),1+(LEFT(TRIM(INDEX(PASTE_ALL,36,49)),1)="-"),999),1)="%"))&lt;&gt;"",SUBSTITUTE(SUBSTITUTE(SUBSTITUTE(SUBSTITUTE(SUBSTITUTE(SUBSTITUTE(SUBSTITUTE(SUBSTITUTE(SUBSTITUTE(SUBSTITUTE(SUBSTITUTE(SUBSTITUTE(LEFT(MID(TRIM(INDEX(PASTE_ALL,36,49)),1+(LEFT(TRIM(INDEX(PASTE_ALL,36,49)),1)="-"),999),LEN(MID(TRIM(INDEX(PASTE_ALL,36,49)),1+(LEFT(TRIM(INDEX(PASTE_ALL,36,49)),1)="-"),999))-(RIGHT(MID(TRIM(INDEX(PASTE_ALL,36,49)),1+(LEFT(TRIM(INDEX(PASTE_ALL,36,49)),1)="-"),999),1)="%")),"0",""),"1",""),"2",""),"3",""),"4",""),"5",""),"6",""),"7",""),"8",""),"9",""),".",""),",","")=""),2,1))),1)</f>
        <v/>
      </c>
      <c r="BV85">
        <f>IFERROR(IF(ISNUMBER(INDEX(PASTE_ALL,36,50)),2,IF(TRIM(INDEX(PASTE_ALL,36,50))="",0,IF(AND(LEFT(MID(TRIM(INDEX(PASTE_ALL,36,50)),1+(LEFT(TRIM(INDEX(PASTE_ALL,36,50)),1)="-"),999),LEN(MID(TRIM(INDEX(PASTE_ALL,36,50)),1+(LEFT(TRIM(INDEX(PASTE_ALL,36,50)),1)="-"),999))-(RIGHT(MID(TRIM(INDEX(PASTE_ALL,36,50)),1+(LEFT(TRIM(INDEX(PASTE_ALL,36,50)),1)="-"),999),1)="%"))&lt;&gt;"",SUBSTITUTE(SUBSTITUTE(SUBSTITUTE(SUBSTITUTE(SUBSTITUTE(SUBSTITUTE(SUBSTITUTE(SUBSTITUTE(SUBSTITUTE(SUBSTITUTE(SUBSTITUTE(SUBSTITUTE(LEFT(MID(TRIM(INDEX(PASTE_ALL,36,50)),1+(LEFT(TRIM(INDEX(PASTE_ALL,36,50)),1)="-"),999),LEN(MID(TRIM(INDEX(PASTE_ALL,36,50)),1+(LEFT(TRIM(INDEX(PASTE_ALL,36,50)),1)="-"),999))-(RIGHT(MID(TRIM(INDEX(PASTE_ALL,36,50)),1+(LEFT(TRIM(INDEX(PASTE_ALL,36,50)),1)="-"),999),1)="%")),"0",""),"1",""),"2",""),"3",""),"4",""),"5",""),"6",""),"7",""),"8",""),"9",""),".",""),",","")=""),2,1))),1)</f>
        <v/>
      </c>
      <c r="BW85">
        <f>IFERROR(IF(ISNUMBER(INDEX(PASTE_ALL,36,51)),2,IF(TRIM(INDEX(PASTE_ALL,36,51))="",0,IF(AND(LEFT(MID(TRIM(INDEX(PASTE_ALL,36,51)),1+(LEFT(TRIM(INDEX(PASTE_ALL,36,51)),1)="-"),999),LEN(MID(TRIM(INDEX(PASTE_ALL,36,51)),1+(LEFT(TRIM(INDEX(PASTE_ALL,36,51)),1)="-"),999))-(RIGHT(MID(TRIM(INDEX(PASTE_ALL,36,51)),1+(LEFT(TRIM(INDEX(PASTE_ALL,36,51)),1)="-"),999),1)="%"))&lt;&gt;"",SUBSTITUTE(SUBSTITUTE(SUBSTITUTE(SUBSTITUTE(SUBSTITUTE(SUBSTITUTE(SUBSTITUTE(SUBSTITUTE(SUBSTITUTE(SUBSTITUTE(SUBSTITUTE(SUBSTITUTE(LEFT(MID(TRIM(INDEX(PASTE_ALL,36,51)),1+(LEFT(TRIM(INDEX(PASTE_ALL,36,51)),1)="-"),999),LEN(MID(TRIM(INDEX(PASTE_ALL,36,51)),1+(LEFT(TRIM(INDEX(PASTE_ALL,36,51)),1)="-"),999))-(RIGHT(MID(TRIM(INDEX(PASTE_ALL,36,51)),1+(LEFT(TRIM(INDEX(PASTE_ALL,36,51)),1)="-"),999),1)="%")),"0",""),"1",""),"2",""),"3",""),"4",""),"5",""),"6",""),"7",""),"8",""),"9",""),".",""),",","")=""),2,1))),1)</f>
        <v/>
      </c>
      <c r="BX85">
        <f>IFERROR(IF(ISNUMBER(INDEX(PASTE_ALL,36,52)),2,IF(TRIM(INDEX(PASTE_ALL,36,52))="",0,IF(AND(LEFT(MID(TRIM(INDEX(PASTE_ALL,36,52)),1+(LEFT(TRIM(INDEX(PASTE_ALL,36,52)),1)="-"),999),LEN(MID(TRIM(INDEX(PASTE_ALL,36,52)),1+(LEFT(TRIM(INDEX(PASTE_ALL,36,52)),1)="-"),999))-(RIGHT(MID(TRIM(INDEX(PASTE_ALL,36,52)),1+(LEFT(TRIM(INDEX(PASTE_ALL,36,52)),1)="-"),999),1)="%"))&lt;&gt;"",SUBSTITUTE(SUBSTITUTE(SUBSTITUTE(SUBSTITUTE(SUBSTITUTE(SUBSTITUTE(SUBSTITUTE(SUBSTITUTE(SUBSTITUTE(SUBSTITUTE(SUBSTITUTE(SUBSTITUTE(LEFT(MID(TRIM(INDEX(PASTE_ALL,36,52)),1+(LEFT(TRIM(INDEX(PASTE_ALL,36,52)),1)="-"),999),LEN(MID(TRIM(INDEX(PASTE_ALL,36,52)),1+(LEFT(TRIM(INDEX(PASTE_ALL,36,52)),1)="-"),999))-(RIGHT(MID(TRIM(INDEX(PASTE_ALL,36,52)),1+(LEFT(TRIM(INDEX(PASTE_ALL,36,52)),1)="-"),999),1)="%")),"0",""),"1",""),"2",""),"3",""),"4",""),"5",""),"6",""),"7",""),"8",""),"9",""),".",""),",","")=""),2,1))),1)</f>
        <v/>
      </c>
      <c r="BY85">
        <f>IFERROR(IF(ISNUMBER(INDEX(PASTE_ALL,36,53)),2,IF(TRIM(INDEX(PASTE_ALL,36,53))="",0,IF(AND(LEFT(MID(TRIM(INDEX(PASTE_ALL,36,53)),1+(LEFT(TRIM(INDEX(PASTE_ALL,36,53)),1)="-"),999),LEN(MID(TRIM(INDEX(PASTE_ALL,36,53)),1+(LEFT(TRIM(INDEX(PASTE_ALL,36,53)),1)="-"),999))-(RIGHT(MID(TRIM(INDEX(PASTE_ALL,36,53)),1+(LEFT(TRIM(INDEX(PASTE_ALL,36,53)),1)="-"),999),1)="%"))&lt;&gt;"",SUBSTITUTE(SUBSTITUTE(SUBSTITUTE(SUBSTITUTE(SUBSTITUTE(SUBSTITUTE(SUBSTITUTE(SUBSTITUTE(SUBSTITUTE(SUBSTITUTE(SUBSTITUTE(SUBSTITUTE(LEFT(MID(TRIM(INDEX(PASTE_ALL,36,53)),1+(LEFT(TRIM(INDEX(PASTE_ALL,36,53)),1)="-"),999),LEN(MID(TRIM(INDEX(PASTE_ALL,36,53)),1+(LEFT(TRIM(INDEX(PASTE_ALL,36,53)),1)="-"),999))-(RIGHT(MID(TRIM(INDEX(PASTE_ALL,36,53)),1+(LEFT(TRIM(INDEX(PASTE_ALL,36,53)),1)="-"),999),1)="%")),"0",""),"1",""),"2",""),"3",""),"4",""),"5",""),"6",""),"7",""),"8",""),"9",""),".",""),",","")=""),2,1))),1)</f>
        <v/>
      </c>
      <c r="BZ85">
        <f>IFERROR(IF(ISNUMBER(INDEX(PASTE_ALL,36,54)),2,IF(TRIM(INDEX(PASTE_ALL,36,54))="",0,IF(AND(LEFT(MID(TRIM(INDEX(PASTE_ALL,36,54)),1+(LEFT(TRIM(INDEX(PASTE_ALL,36,54)),1)="-"),999),LEN(MID(TRIM(INDEX(PASTE_ALL,36,54)),1+(LEFT(TRIM(INDEX(PASTE_ALL,36,54)),1)="-"),999))-(RIGHT(MID(TRIM(INDEX(PASTE_ALL,36,54)),1+(LEFT(TRIM(INDEX(PASTE_ALL,36,54)),1)="-"),999),1)="%"))&lt;&gt;"",SUBSTITUTE(SUBSTITUTE(SUBSTITUTE(SUBSTITUTE(SUBSTITUTE(SUBSTITUTE(SUBSTITUTE(SUBSTITUTE(SUBSTITUTE(SUBSTITUTE(SUBSTITUTE(SUBSTITUTE(LEFT(MID(TRIM(INDEX(PASTE_ALL,36,54)),1+(LEFT(TRIM(INDEX(PASTE_ALL,36,54)),1)="-"),999),LEN(MID(TRIM(INDEX(PASTE_ALL,36,54)),1+(LEFT(TRIM(INDEX(PASTE_ALL,36,54)),1)="-"),999))-(RIGHT(MID(TRIM(INDEX(PASTE_ALL,36,54)),1+(LEFT(TRIM(INDEX(PASTE_ALL,36,54)),1)="-"),999),1)="%")),"0",""),"1",""),"2",""),"3",""),"4",""),"5",""),"6",""),"7",""),"8",""),"9",""),".",""),",","")=""),2,1))),1)</f>
        <v/>
      </c>
      <c r="CA85">
        <f>IFERROR(IF(ISNUMBER(INDEX(PASTE_ALL,36,55)),2,IF(TRIM(INDEX(PASTE_ALL,36,55))="",0,IF(AND(LEFT(MID(TRIM(INDEX(PASTE_ALL,36,55)),1+(LEFT(TRIM(INDEX(PASTE_ALL,36,55)),1)="-"),999),LEN(MID(TRIM(INDEX(PASTE_ALL,36,55)),1+(LEFT(TRIM(INDEX(PASTE_ALL,36,55)),1)="-"),999))-(RIGHT(MID(TRIM(INDEX(PASTE_ALL,36,55)),1+(LEFT(TRIM(INDEX(PASTE_ALL,36,55)),1)="-"),999),1)="%"))&lt;&gt;"",SUBSTITUTE(SUBSTITUTE(SUBSTITUTE(SUBSTITUTE(SUBSTITUTE(SUBSTITUTE(SUBSTITUTE(SUBSTITUTE(SUBSTITUTE(SUBSTITUTE(SUBSTITUTE(SUBSTITUTE(LEFT(MID(TRIM(INDEX(PASTE_ALL,36,55)),1+(LEFT(TRIM(INDEX(PASTE_ALL,36,55)),1)="-"),999),LEN(MID(TRIM(INDEX(PASTE_ALL,36,55)),1+(LEFT(TRIM(INDEX(PASTE_ALL,36,55)),1)="-"),999))-(RIGHT(MID(TRIM(INDEX(PASTE_ALL,36,55)),1+(LEFT(TRIM(INDEX(PASTE_ALL,36,55)),1)="-"),999),1)="%")),"0",""),"1",""),"2",""),"3",""),"4",""),"5",""),"6",""),"7",""),"8",""),"9",""),".",""),",","")=""),2,1))),1)</f>
        <v/>
      </c>
      <c r="CB85">
        <f>IFERROR(IF(ISNUMBER(INDEX(PASTE_ALL,36,56)),2,IF(TRIM(INDEX(PASTE_ALL,36,56))="",0,IF(AND(LEFT(MID(TRIM(INDEX(PASTE_ALL,36,56)),1+(LEFT(TRIM(INDEX(PASTE_ALL,36,56)),1)="-"),999),LEN(MID(TRIM(INDEX(PASTE_ALL,36,56)),1+(LEFT(TRIM(INDEX(PASTE_ALL,36,56)),1)="-"),999))-(RIGHT(MID(TRIM(INDEX(PASTE_ALL,36,56)),1+(LEFT(TRIM(INDEX(PASTE_ALL,36,56)),1)="-"),999),1)="%"))&lt;&gt;"",SUBSTITUTE(SUBSTITUTE(SUBSTITUTE(SUBSTITUTE(SUBSTITUTE(SUBSTITUTE(SUBSTITUTE(SUBSTITUTE(SUBSTITUTE(SUBSTITUTE(SUBSTITUTE(SUBSTITUTE(LEFT(MID(TRIM(INDEX(PASTE_ALL,36,56)),1+(LEFT(TRIM(INDEX(PASTE_ALL,36,56)),1)="-"),999),LEN(MID(TRIM(INDEX(PASTE_ALL,36,56)),1+(LEFT(TRIM(INDEX(PASTE_ALL,36,56)),1)="-"),999))-(RIGHT(MID(TRIM(INDEX(PASTE_ALL,36,56)),1+(LEFT(TRIM(INDEX(PASTE_ALL,36,56)),1)="-"),999),1)="%")),"0",""),"1",""),"2",""),"3",""),"4",""),"5",""),"6",""),"7",""),"8",""),"9",""),".",""),",","")=""),2,1))),1)</f>
        <v/>
      </c>
      <c r="CC85">
        <f>IFERROR(IF(ISNUMBER(INDEX(PASTE_ALL,36,57)),2,IF(TRIM(INDEX(PASTE_ALL,36,57))="",0,IF(AND(LEFT(MID(TRIM(INDEX(PASTE_ALL,36,57)),1+(LEFT(TRIM(INDEX(PASTE_ALL,36,57)),1)="-"),999),LEN(MID(TRIM(INDEX(PASTE_ALL,36,57)),1+(LEFT(TRIM(INDEX(PASTE_ALL,36,57)),1)="-"),999))-(RIGHT(MID(TRIM(INDEX(PASTE_ALL,36,57)),1+(LEFT(TRIM(INDEX(PASTE_ALL,36,57)),1)="-"),999),1)="%"))&lt;&gt;"",SUBSTITUTE(SUBSTITUTE(SUBSTITUTE(SUBSTITUTE(SUBSTITUTE(SUBSTITUTE(SUBSTITUTE(SUBSTITUTE(SUBSTITUTE(SUBSTITUTE(SUBSTITUTE(SUBSTITUTE(LEFT(MID(TRIM(INDEX(PASTE_ALL,36,57)),1+(LEFT(TRIM(INDEX(PASTE_ALL,36,57)),1)="-"),999),LEN(MID(TRIM(INDEX(PASTE_ALL,36,57)),1+(LEFT(TRIM(INDEX(PASTE_ALL,36,57)),1)="-"),999))-(RIGHT(MID(TRIM(INDEX(PASTE_ALL,36,57)),1+(LEFT(TRIM(INDEX(PASTE_ALL,36,57)),1)="-"),999),1)="%")),"0",""),"1",""),"2",""),"3",""),"4",""),"5",""),"6",""),"7",""),"8",""),"9",""),".",""),",","")=""),2,1))),1)</f>
        <v/>
      </c>
      <c r="CD85">
        <f>IFERROR(IF(ISNUMBER(INDEX(PASTE_ALL,36,58)),2,IF(TRIM(INDEX(PASTE_ALL,36,58))="",0,IF(AND(LEFT(MID(TRIM(INDEX(PASTE_ALL,36,58)),1+(LEFT(TRIM(INDEX(PASTE_ALL,36,58)),1)="-"),999),LEN(MID(TRIM(INDEX(PASTE_ALL,36,58)),1+(LEFT(TRIM(INDEX(PASTE_ALL,36,58)),1)="-"),999))-(RIGHT(MID(TRIM(INDEX(PASTE_ALL,36,58)),1+(LEFT(TRIM(INDEX(PASTE_ALL,36,58)),1)="-"),999),1)="%"))&lt;&gt;"",SUBSTITUTE(SUBSTITUTE(SUBSTITUTE(SUBSTITUTE(SUBSTITUTE(SUBSTITUTE(SUBSTITUTE(SUBSTITUTE(SUBSTITUTE(SUBSTITUTE(SUBSTITUTE(SUBSTITUTE(LEFT(MID(TRIM(INDEX(PASTE_ALL,36,58)),1+(LEFT(TRIM(INDEX(PASTE_ALL,36,58)),1)="-"),999),LEN(MID(TRIM(INDEX(PASTE_ALL,36,58)),1+(LEFT(TRIM(INDEX(PASTE_ALL,36,58)),1)="-"),999))-(RIGHT(MID(TRIM(INDEX(PASTE_ALL,36,58)),1+(LEFT(TRIM(INDEX(PASTE_ALL,36,58)),1)="-"),999),1)="%")),"0",""),"1",""),"2",""),"3",""),"4",""),"5",""),"6",""),"7",""),"8",""),"9",""),".",""),",","")=""),2,1))),1)</f>
        <v/>
      </c>
      <c r="CE85">
        <f>IFERROR(IF(ISNUMBER(INDEX(PASTE_ALL,36,59)),2,IF(TRIM(INDEX(PASTE_ALL,36,59))="",0,IF(AND(LEFT(MID(TRIM(INDEX(PASTE_ALL,36,59)),1+(LEFT(TRIM(INDEX(PASTE_ALL,36,59)),1)="-"),999),LEN(MID(TRIM(INDEX(PASTE_ALL,36,59)),1+(LEFT(TRIM(INDEX(PASTE_ALL,36,59)),1)="-"),999))-(RIGHT(MID(TRIM(INDEX(PASTE_ALL,36,59)),1+(LEFT(TRIM(INDEX(PASTE_ALL,36,59)),1)="-"),999),1)="%"))&lt;&gt;"",SUBSTITUTE(SUBSTITUTE(SUBSTITUTE(SUBSTITUTE(SUBSTITUTE(SUBSTITUTE(SUBSTITUTE(SUBSTITUTE(SUBSTITUTE(SUBSTITUTE(SUBSTITUTE(SUBSTITUTE(LEFT(MID(TRIM(INDEX(PASTE_ALL,36,59)),1+(LEFT(TRIM(INDEX(PASTE_ALL,36,59)),1)="-"),999),LEN(MID(TRIM(INDEX(PASTE_ALL,36,59)),1+(LEFT(TRIM(INDEX(PASTE_ALL,36,59)),1)="-"),999))-(RIGHT(MID(TRIM(INDEX(PASTE_ALL,36,59)),1+(LEFT(TRIM(INDEX(PASTE_ALL,36,59)),1)="-"),999),1)="%")),"0",""),"1",""),"2",""),"3",""),"4",""),"5",""),"6",""),"7",""),"8",""),"9",""),".",""),",","")=""),2,1))),1)</f>
        <v/>
      </c>
      <c r="CF85">
        <f>IFERROR(IF(ISNUMBER(INDEX(PASTE_ALL,36,60)),2,IF(TRIM(INDEX(PASTE_ALL,36,60))="",0,IF(AND(LEFT(MID(TRIM(INDEX(PASTE_ALL,36,60)),1+(LEFT(TRIM(INDEX(PASTE_ALL,36,60)),1)="-"),999),LEN(MID(TRIM(INDEX(PASTE_ALL,36,60)),1+(LEFT(TRIM(INDEX(PASTE_ALL,36,60)),1)="-"),999))-(RIGHT(MID(TRIM(INDEX(PASTE_ALL,36,60)),1+(LEFT(TRIM(INDEX(PASTE_ALL,36,60)),1)="-"),999),1)="%"))&lt;&gt;"",SUBSTITUTE(SUBSTITUTE(SUBSTITUTE(SUBSTITUTE(SUBSTITUTE(SUBSTITUTE(SUBSTITUTE(SUBSTITUTE(SUBSTITUTE(SUBSTITUTE(SUBSTITUTE(SUBSTITUTE(LEFT(MID(TRIM(INDEX(PASTE_ALL,36,60)),1+(LEFT(TRIM(INDEX(PASTE_ALL,36,60)),1)="-"),999),LEN(MID(TRIM(INDEX(PASTE_ALL,36,60)),1+(LEFT(TRIM(INDEX(PASTE_ALL,36,60)),1)="-"),999))-(RIGHT(MID(TRIM(INDEX(PASTE_ALL,36,60)),1+(LEFT(TRIM(INDEX(PASTE_ALL,36,60)),1)="-"),999),1)="%")),"0",""),"1",""),"2",""),"3",""),"4",""),"5",""),"6",""),"7",""),"8",""),"9",""),".",""),",","")=""),2,1))),1)</f>
        <v/>
      </c>
      <c r="DA85" t="n">
        <v>81</v>
      </c>
      <c r="DB85">
        <f>IF($B$37=0,"",IFERROR(TRIM(SUBSTITUTE(SUBSTITUTE(SUBSTITUTE(SUBSTITUTE(INDEX(PASTE_ALL,81,$B$37)," "," "),CHAR(9)," "),CHAR(10)," "),CHAR(13)," ")),""))</f>
        <v/>
      </c>
      <c r="DC85">
        <f>IF(AND(81&gt;HEADER_ROW,UPPER(DB85)="LEGEND"),1,0)</f>
        <v/>
      </c>
      <c r="DE85" t="n">
        <v>81</v>
      </c>
      <c r="DF85">
        <f>HEADER_ROW+$DE85</f>
        <v/>
      </c>
      <c r="DG85">
        <f>IF(AND($DF85&lt;=1000,$DF85&lt;$B$8),1,0)</f>
        <v/>
      </c>
      <c r="DH85">
        <f>IF($DG85=1,IFERROR(INDEX($DB$5:$DB$1004,$DF85),""),"")</f>
        <v/>
      </c>
      <c r="DI85">
        <f>IF(AND($DG85=1,$DH85&lt;&gt;""),IFERROR(SUBSTITUTE(SUBSTITUTE(TRIM(SUBSTITUTE(SUBSTITUTE(SUBSTITUTE(SUBSTITUTE(IFERROR(INDEX(PASTE_ALL,$DF85,1)&amp;"","")&amp;"␟"&amp;IFERROR(INDEX(PASTE_ALL,$DF85,2)&amp;"","")&amp;"␟"&amp;IFERROR(INDEX(PASTE_ALL,$DF85,3)&amp;"","")&amp;"␟"&amp;IFERROR(INDEX(PASTE_ALL,$DF85,4)&amp;"","")&amp;"␟"&amp;IFERROR(INDEX(PASTE_ALL,$DF85,5)&amp;"","")&amp;"␟"&amp;IFERROR(INDEX(PASTE_ALL,$DF85,6)&amp;"","")&amp;"␟"&amp;IFERROR(INDEX(PASTE_ALL,$DF85,7)&amp;"","")&amp;"␟"&amp;IFERROR(INDEX(PASTE_ALL,$DF85,8)&amp;"","")&amp;"␟"&amp;IFERROR(INDEX(PASTE_ALL,$DF85,9)&amp;"","")&amp;"␟"&amp;IFERROR(INDEX(PASTE_ALL,$DF85,10)&amp;"","")&amp;"␟"&amp;IFERROR(INDEX(PASTE_ALL,$DF85,11)&amp;"","")&amp;"␟"&amp;IFERROR(INDEX(PASTE_ALL,$DF85,12)&amp;"","")&amp;"␟"&amp;IFERROR(INDEX(PASTE_ALL,$DF85,13)&amp;"","")&amp;"␟"&amp;IFERROR(INDEX(PASTE_ALL,$DF85,14)&amp;"","")&amp;"␟"&amp;IFERROR(INDEX(PASTE_ALL,$DF85,15)&amp;"","")&amp;"␟"&amp;IFERROR(INDEX(PASTE_ALL,$DF85,16)&amp;"","")&amp;"␟"&amp;IFERROR(INDEX(PASTE_ALL,$DF85,17)&amp;"","")&amp;"␟"&amp;IFERROR(INDEX(PASTE_ALL,$DF85,18)&amp;"","")&amp;"␟"&amp;IFERROR(INDEX(PASTE_ALL,$DF85,19)&amp;"","")&amp;"␟"&amp;IFERROR(INDEX(PASTE_ALL,$DF85,20)&amp;"","")&amp;"␟"&amp;IFERROR(INDEX(PASTE_ALL,$DF85,21)&amp;"","")&amp;"␟"&amp;IFERROR(INDEX(PASTE_ALL,$DF85,22)&amp;"","")&amp;"␟"&amp;IFERROR(INDEX(PASTE_ALL,$DF85,23)&amp;"","")&amp;"␟"&amp;IFERROR(INDEX(PASTE_ALL,$DF85,24)&amp;"","")&amp;"␟"&amp;IFERROR(INDEX(PASTE_ALL,$DF85,25)&amp;"","")&amp;"␟"&amp;IFERROR(INDEX(PASTE_ALL,$DF85,26)&amp;"","")&amp;"␟"&amp;IFERROR(INDEX(PASTE_ALL,$DF85,27)&amp;"","")&amp;"␟"&amp;IFERROR(INDEX(PASTE_ALL,$DF85,28)&amp;"","")&amp;"␟"&amp;IFERROR(INDEX(PASTE_ALL,$DF85,29)&amp;"","")&amp;"␟"&amp;IFERROR(INDEX(PASTE_ALL,$DF85,30)&amp;"","")&amp;"␟"&amp;IFERROR(INDEX(PASTE_ALL,$DF85,31)&amp;"","")&amp;"␟"&amp;IFERROR(INDEX(PASTE_ALL,$DF85,32)&amp;"","")&amp;"␟"&amp;IFERROR(INDEX(PASTE_ALL,$DF85,33)&amp;"","")&amp;"␟"&amp;IFERROR(INDEX(PASTE_ALL,$DF85,34)&amp;"","")&amp;"␟"&amp;IFERROR(INDEX(PASTE_ALL,$DF85,35)&amp;"","")&amp;"␟"&amp;IFERROR(INDEX(PASTE_ALL,$DF85,36)&amp;"","")&amp;"␟"&amp;IFERROR(INDEX(PASTE_ALL,$DF85,37)&amp;"","")&amp;"␟"&amp;IFERROR(INDEX(PASTE_ALL,$DF85,38)&amp;"","")&amp;"␟"&amp;IFERROR(INDEX(PASTE_ALL,$DF85,39)&amp;"","")&amp;"␟"&amp;IFERROR(INDEX(PASTE_ALL,$DF85,40)&amp;"","")&amp;"␟"&amp;IFERROR(INDEX(PASTE_ALL,$DF85,41)&amp;"","")&amp;"␟"&amp;IFERROR(INDEX(PASTE_ALL,$DF85,42)&amp;"","")&amp;"␟"&amp;IFERROR(INDEX(PASTE_ALL,$DF85,43)&amp;"","")&amp;"␟"&amp;IFERROR(INDEX(PASTE_ALL,$DF85,44)&amp;"","")&amp;"␟"&amp;IFERROR(INDEX(PASTE_ALL,$DF85,45)&amp;"","")&amp;"␟"&amp;IFERROR(INDEX(PASTE_ALL,$DF85,46)&amp;"","")&amp;"␟"&amp;IFERROR(INDEX(PASTE_ALL,$DF85,47)&amp;"","")&amp;"␟"&amp;IFERROR(INDEX(PASTE_ALL,$DF85,48)&amp;"","")&amp;"␟"&amp;IFERROR(INDEX(PASTE_ALL,$DF85,49)&amp;"","")&amp;"␟"&amp;IFERROR(INDEX(PASTE_ALL,$DF85,50)&amp;"","")&amp;"␟"&amp;IFERROR(INDEX(PASTE_ALL,$DF85,51)&amp;"","")&amp;"␟"&amp;IFERROR(INDEX(PASTE_ALL,$DF85,52)&amp;"","")&amp;"␟"&amp;IFERROR(INDEX(PASTE_ALL,$DF85,53)&amp;"","")&amp;"␟"&amp;IFERROR(INDEX(PASTE_ALL,$DF85,54)&amp;"","")&amp;"␟"&amp;IFERROR(INDEX(PASTE_ALL,$DF85,55)&amp;"","")&amp;"␟"&amp;IFERROR(INDEX(PASTE_ALL,$DF85,56)&amp;"","")&amp;"␟"&amp;IFERROR(INDEX(PASTE_ALL,$DF85,57)&amp;"","")&amp;"␟"&amp;IFERROR(INDEX(PASTE_ALL,$DF85,58)&amp;"","")&amp;"␟"&amp;IFERROR(INDEX(PASTE_ALL,$DF85,59)&amp;"","")&amp;"␟"&amp;IFERROR(INDEX(PASTE_ALL,$DF85,60)&amp;"","")," "," "),CHAR(9)," "),CHAR(10)," "),CHAR(13)," "))," ␟","␟"),"␟ ","␟"),"#"&amp;$DE85),"")</f>
        <v/>
      </c>
      <c r="DJ85">
        <f>IF($DI85="",0,IF(SUMPRODUCT(--EXACT($DI$4:DI84,$DI85))&gt;0,1,0))</f>
        <v/>
      </c>
      <c r="DK85">
        <f>IF(AND($DI85&lt;&gt;"",$DJ85=0),1,0)</f>
        <v/>
      </c>
      <c r="DL85">
        <f>DL84+$DK85</f>
        <v/>
      </c>
      <c r="DM85">
        <f>IF(AND($DK85=1,$DL85&lt;=600),1,0)</f>
        <v/>
      </c>
      <c r="DN85">
        <f>IF($DM85=0,"",IF($L$6=0,"",IFERROR(IF(ISNUMBER(INDEX(PASTE_ALL,$DF85,$L$6)),INDEX(PASTE_ALL,$DF85,$L$6),TRIM(SUBSTITUTE(SUBSTITUTE(SUBSTITUTE(SUBSTITUTE(INDEX(PASTE_ALL,$DF85,$L$6)," "," "),CHAR(9)," "),CHAR(10)," "),CHAR(13)," "))),"")))</f>
        <v/>
      </c>
      <c r="DO85">
        <f>IF($DM85=0,"",IF($L$7=0,"",IFERROR(IF(ISNUMBER(INDEX(PASTE_ALL,$DF85,$L$7)),INDEX(PASTE_ALL,$DF85,$L$7),TRIM(SUBSTITUTE(SUBSTITUTE(SUBSTITUTE(SUBSTITUTE(INDEX(PASTE_ALL,$DF85,$L$7)," "," "),CHAR(9)," "),CHAR(10)," "),CHAR(13)," "))),"")))</f>
        <v/>
      </c>
      <c r="DP85">
        <f>IF($DM85=0,"",IF($L$8=0,"",IFERROR(IF(ISNUMBER(INDEX(PASTE_ALL,$DF85,$L$8)),INDEX(PASTE_ALL,$DF85,$L$8),TRIM(SUBSTITUTE(SUBSTITUTE(SUBSTITUTE(SUBSTITUTE(INDEX(PASTE_ALL,$DF85,$L$8)," "," "),CHAR(9)," "),CHAR(10)," "),CHAR(13)," "))),"")))</f>
        <v/>
      </c>
      <c r="DQ85">
        <f>IF($DM85=0,"",IF($L$9=0,"",IFERROR(IF(ISNUMBER(INDEX(PASTE_ALL,$DF85,$L$9)),INDEX(PASTE_ALL,$DF85,$L$9),TRIM(SUBSTITUTE(SUBSTITUTE(SUBSTITUTE(SUBSTITUTE(INDEX(PASTE_ALL,$DF85,$L$9)," "," "),CHAR(9)," "),CHAR(10)," "),CHAR(13)," "))),"")))</f>
        <v/>
      </c>
      <c r="DR85">
        <f>IF($DM85=0,"",IF($L$10=0,"",IFERROR(IF(ISNUMBER(INDEX(PASTE_ALL,$DF85,$L$10)),INDEX(PASTE_ALL,$DF85,$L$10),TRIM(SUBSTITUTE(SUBSTITUTE(SUBSTITUTE(SUBSTITUTE(INDEX(PASTE_ALL,$DF85,$L$10)," "," "),CHAR(9)," "),CHAR(10)," "),CHAR(13)," "))),"")))</f>
        <v/>
      </c>
      <c r="DS85">
        <f>IF($DM85=0,"",IF($L$11=0,"",IFERROR(IF(ISNUMBER(INDEX(PASTE_ALL,$DF85,$L$11)),INDEX(PASTE_ALL,$DF85,$L$11),TRIM(SUBSTITUTE(SUBSTITUTE(SUBSTITUTE(SUBSTITUTE(INDEX(PASTE_ALL,$DF85,$L$11)," "," "),CHAR(9)," "),CHAR(10)," "),CHAR(13)," "))),"")))</f>
        <v/>
      </c>
      <c r="DT85">
        <f>IF($DM85=0,"",IF($L$12=0,"",IFERROR(IF(ISNUMBER(INDEX(PASTE_ALL,$DF85,$L$12)),INDEX(PASTE_ALL,$DF85,$L$12),TRIM(SUBSTITUTE(SUBSTITUTE(SUBSTITUTE(SUBSTITUTE(INDEX(PASTE_ALL,$DF85,$L$12)," "," "),CHAR(9)," "),CHAR(10)," "),CHAR(13)," "))),"")))</f>
        <v/>
      </c>
      <c r="DU85">
        <f>IF($DM85=0,"",IF($L$13=0,"",IFERROR(IF(ISNUMBER(INDEX(PASTE_ALL,$DF85,$L$13)),INDEX(PASTE_ALL,$DF85,$L$13),TRIM(SUBSTITUTE(SUBSTITUTE(SUBSTITUTE(SUBSTITUTE(INDEX(PASTE_ALL,$DF85,$L$13)," "," "),CHAR(9)," "),CHAR(10)," "),CHAR(13)," "))),"")))</f>
        <v/>
      </c>
      <c r="DV85">
        <f>IF($DM85=0,"",IF($L$14=0,"",IFERROR(IF(ISNUMBER(INDEX(PASTE_ALL,$DF85,$L$14)),INDEX(PASTE_ALL,$DF85,$L$14),TRIM(SUBSTITUTE(SUBSTITUTE(SUBSTITUTE(SUBSTITUTE(INDEX(PASTE_ALL,$DF85,$L$14)," "," "),CHAR(9)," "),CHAR(10)," "),CHAR(13)," "))),"")))</f>
        <v/>
      </c>
      <c r="DW85">
        <f>IF($DM85=0,"",IF($L$15=0,"",IFERROR(IF(ISNUMBER(INDEX(PASTE_ALL,$DF85,$L$15)),INDEX(PASTE_ALL,$DF85,$L$15),IF(SUMPRODUCT(--ISNUMBER(FIND({"A","B","C","D","E","F","G","H","I","J","K","L","M","N","O","P","Q","R","S","T","U","V","W","X","Y","Z","0","1","2","3","4","5","6","7","8","9"},UPPER(TRIM(SUBSTITUTE(SUBSTITUTE(SUBSTITUTE(SUBSTITUTE(INDEX(PASTE_ALL,$DF85,$L$15)," "," "),CHAR(9)," "),CHAR(10)," "),CHAR(13)," "))))))&gt;0,TRIM(SUBSTITUTE(SUBSTITUTE(SUBSTITUTE(SUBSTITUTE(INDEX(PASTE_ALL,$DF85,$L$15)," "," "),CHAR(9)," "),CHAR(10)," "),CHAR(13)," ")),"")),"")))</f>
        <v/>
      </c>
      <c r="DX85">
        <f>IF($DM85=0,"",IF($L$16=0,"",IFERROR(IF(ISNUMBER(INDEX(PASTE_ALL,$DF85,$L$16)),INDEX(PASTE_ALL,$DF85,$L$16),SUBSTITUTE(SUBSTITUTE(TRIM(SUBSTITUTE(SUBSTITUTE(SUBSTITUTE(SUBSTITUTE(INDEX(PASTE_ALL,$DF85,$L$16)," "," "),CHAR(9)," "),CHAR(10)," "),CHAR(13)," ")),",",""),"%","")),"")))</f>
        <v/>
      </c>
      <c r="DY85">
        <f>IF($DM85=0,"",IFERROR(IF(ISNUMBER($DX85),$DX85,IF($DX85="","",IF(TRIM($DX85)="",0,IF(AND(AND(SUBSTITUTE(SUBSTITUTE(SUBSTITUTE(SUBSTITUTE(SUBSTITUTE(SUBSTITUTE(SUBSTITUTE(SUBSTITUTE(SUBSTITUTE(SUBSTITUTE(SUBSTITUTE(SUBSTITUTE(SUBSTITUTE(SUBSTITUTE(UPPER(TRIM($DX85)),"0",""),"1",""),"2",""),"3",""),"4",""),"5",""),"6",""),"7",""),"8",""),"9",""),".",""),"+",""),"-",""),"E","")="",LEN(SUBSTITUTE(SUBSTITUTE(MID(UPPER(TRIM($DX85)),1+OR(LEFT(UPPER(TRIM($DX85)),1)="+",LEFT(UPPER(TRIM($DX85)),1)="-"),999),"E+","E"),"E-","E"))=LEN(SUBSTITUTE(SUBSTITUTE(SUBSTITUTE(SUBSTITUTE(MID(UPPER(TRIM($DX85)),1+OR(LEFT(UPPER(TRIM($DX85)),1)="+",LEFT(UPPER(TRIM($DX85)),1)="-"),999),"E+","E"),"E-","E"),"+",""),"-","")),LEN(UPPER(TRIM($DX85)))-LEN(SUBSTITUTE(UPPER(TRIM($DX85)),"E",""))&lt;2,LEN(UPPER(TRIM($DX85)))-LEN(SUBSTITUTE(UPPER(TRIM($DX85)),".",""))&lt;2,IFERROR(FIND(".",UPPER(TRIM($DX85))),0)&lt;IFERROR(FIND("E",UPPER(TRIM($DX85))),999)),ISNUMBER(VALUE(TRIM($DX85)))),VALUE(TRIM($DX85)),"")))),""))</f>
        <v/>
      </c>
      <c r="DZ85">
        <f>IF($DM85=0,"",IF($L$17=0,"",IFERROR(IF(ISNUMBER(INDEX(PASTE_ALL,$DF85,$L$17)),INDEX(PASTE_ALL,$DF85,$L$17),SUBSTITUTE(SUBSTITUTE(TRIM(SUBSTITUTE(SUBSTITUTE(SUBSTITUTE(SUBSTITUTE(INDEX(PASTE_ALL,$DF85,$L$17)," "," "),CHAR(9)," "),CHAR(10)," "),CHAR(13)," ")),",",""),"%","")),"")))</f>
        <v/>
      </c>
      <c r="EA85">
        <f>IF($DM85=0,"",IFERROR(IF(ISNUMBER($DZ85),$DZ85,IF($DZ85="","",IF(TRIM($DZ85)="",0,IF(AND(AND(SUBSTITUTE(SUBSTITUTE(SUBSTITUTE(SUBSTITUTE(SUBSTITUTE(SUBSTITUTE(SUBSTITUTE(SUBSTITUTE(SUBSTITUTE(SUBSTITUTE(SUBSTITUTE(SUBSTITUTE(SUBSTITUTE(SUBSTITUTE(UPPER(TRIM($DZ85)),"0",""),"1",""),"2",""),"3",""),"4",""),"5",""),"6",""),"7",""),"8",""),"9",""),".",""),"+",""),"-",""),"E","")="",LEN(SUBSTITUTE(SUBSTITUTE(MID(UPPER(TRIM($DZ85)),1+OR(LEFT(UPPER(TRIM($DZ85)),1)="+",LEFT(UPPER(TRIM($DZ85)),1)="-"),999),"E+","E"),"E-","E"))=LEN(SUBSTITUTE(SUBSTITUTE(SUBSTITUTE(SUBSTITUTE(MID(UPPER(TRIM($DZ85)),1+OR(LEFT(UPPER(TRIM($DZ85)),1)="+",LEFT(UPPER(TRIM($DZ85)),1)="-"),999),"E+","E"),"E-","E"),"+",""),"-","")),LEN(UPPER(TRIM($DZ85)))-LEN(SUBSTITUTE(UPPER(TRIM($DZ85)),"E",""))&lt;2,LEN(UPPER(TRIM($DZ85)))-LEN(SUBSTITUTE(UPPER(TRIM($DZ85)),".",""))&lt;2,IFERROR(FIND(".",UPPER(TRIM($DZ85))),0)&lt;IFERROR(FIND("E",UPPER(TRIM($DZ85))),999)),ISNUMBER(VALUE(TRIM($DZ85)))),VALUE(TRIM($DZ85)),"")))),""))</f>
        <v/>
      </c>
      <c r="EB85">
        <f>IF($DM85=0,"",IF($L$18=0,"",IFERROR(IF(UPPER(TRIM(SUBSTITUTE(SUBSTITUTE(SUBSTITUTE(SUBSTITUTE(INDEX(PASTE_ALL,$DF85,$L$18)," "," "),CHAR(9)," "),CHAR(10)," "),CHAR(13)," ")))="READY","Ready",IF(UPPER(TRIM(SUBSTITUTE(SUBSTITUTE(SUBSTITUTE(SUBSTITUTE(INDEX(PASTE_ALL,$DF85,$L$18)," "," "),CHAR(9)," "),CHAR(10)," "),CHAR(13)," ")))="PM","PM",IF(OR(UPPER(TRIM(SUBSTITUTE(SUBSTITUTE(SUBSTITUTE(SUBSTITUTE(INDEX(PASTE_ALL,$DF85,$L$18)," "," "),CHAR(9)," "),CHAR(10)," "),CHAR(13)," ")))="OT",UPPER(TRIM(SUBSTITUTE(SUBSTITUTE(SUBSTITUTE(SUBSTITUTE(INDEX(PASTE_ALL,$DF85,$L$18)," "," "),CHAR(9)," "),CHAR(10)," "),CHAR(13)," ")))="OVERTIME",UPPER(TRIM(SUBSTITUTE(SUBSTITUTE(SUBSTITUTE(SUBSTITUTE(INDEX(PASTE_ALL,$DF85,$L$18)," "," "),CHAR(9)," "),CHAR(10)," "),CHAR(13)," ")))="TRIAL"),"OT",TRIM(SUBSTITUTE(SUBSTITUTE(SUBSTITUTE(SUBSTITUTE(INDEX(PASTE_ALL,$DF85,$L$18)," "," "),CHAR(9)," "),CHAR(10)," "),CHAR(13)," "))))),"")))</f>
        <v/>
      </c>
      <c r="EC85">
        <f>IF($DM85=0,"",IF($L$19=0,"",IFERROR(IF(ISNUMBER(INDEX(PASTE_ALL,$DF85,$L$19)),INDEX(PASTE_ALL,$DF85,$L$19),TRIM(SUBSTITUTE(SUBSTITUTE(SUBSTITUTE(SUBSTITUTE(INDEX(PASTE_ALL,$DF85,$L$19)," "," "),CHAR(9)," "),CHAR(10)," "),CHAR(13)," "))),"")))</f>
        <v/>
      </c>
      <c r="ED85">
        <f>IF($DM85=0,"",MATCH(1,INDEX(EXACT($DH$5:DH85,$DH85)*$DM$5:DM85,0),0))</f>
        <v/>
      </c>
      <c r="EE85">
        <f>IF($DM85=0,0,IF($ED85=$DE85,1,0))</f>
        <v/>
      </c>
      <c r="EF85">
        <f>EF84+$EE85</f>
        <v/>
      </c>
      <c r="EG85">
        <f>IF($DM85=0,"",INDEX($EF$5:$EF$1003,$ED85))</f>
        <v/>
      </c>
      <c r="EH85">
        <f>IF($DM85=0,"",IF($DO85&lt;&gt;"","",IFERROR(LOOKUP(2,1/(($EG$4:EG84=$EG85)*($DO$4:DO84&lt;&gt;"")),$DO$4:DO84),"")))</f>
        <v/>
      </c>
      <c r="EI85">
        <f>IF($DM85=0,"",IF($DO85&lt;&gt;"",$DO85,$EH85))</f>
        <v/>
      </c>
      <c r="EJ85">
        <f>IF($DM85=0,"",IF($EI85="",0,IF(OR(ISNUMBER($EI85),AND(AND(SUBSTITUTE(SUBSTITUTE(SUBSTITUTE(SUBSTITUTE(SUBSTITUTE(SUBSTITUTE(SUBSTITUTE(SUBSTITUTE(SUBSTITUTE(SUBSTITUTE(SUBSTITUTE(SUBSTITUTE(SUBSTITUTE(SUBSTITUTE(UPPER($EI85),"0",""),"1",""),"2",""),"3",""),"4",""),"5",""),"6",""),"7",""),"8",""),"9",""),".",""),"+",""),"-",""),"E","")="",LEN(SUBSTITUTE(SUBSTITUTE(MID(UPPER($EI85),1+OR(LEFT(UPPER($EI85),1)="+",LEFT(UPPER($EI85),1)="-"),999),"E+","E"),"E-","E"))=LEN(SUBSTITUTE(SUBSTITUTE(SUBSTITUTE(SUBSTITUTE(MID(UPPER($EI85),1+OR(LEFT(UPPER($EI85),1)="+",LEFT(UPPER($EI85),1)="-"),999),"E+","E"),"E-","E"),"+",""),"-","")),LEN(UPPER($EI85))-LEN(SUBSTITUTE(UPPER($EI85),"E",""))&lt;2,LEN(UPPER($EI85))-LEN(SUBSTITUTE(UPPER($EI85),".",""))&lt;2,IFERROR(FIND(".",UPPER($EI85)),0)&lt;IFERROR(FIND("E",UPPER($EI85)),999)),ISNUMBER(VALUE($EI85)))),1,2)))</f>
        <v/>
      </c>
      <c r="EK85">
        <f>IF($DM85=0,"",IF($EJ85=1,IF(ISNUMBER($EI85),$EI85,VALUE($EI85)),IF($EJ85=2,$DE85,0)))</f>
        <v/>
      </c>
      <c r="EL85">
        <f>IF($DM85=0,"",COUNTIF($EG$5:$EG$1003,"&lt;"&amp;$EG85)+SUMPRODUCT(($EG$5:$EG$1003=$EG85)*(($EJ$5:$EJ$1003&lt;$EJ85)+($EJ$5:$EJ$1003=$EJ85)*(($EK$5:$EK$1003&lt;$EK85)+($EK$5:$EK$1003=$EK85)*($DE$5:$DE$1003&lt;$DE85))))+1)</f>
        <v/>
      </c>
      <c r="EM85">
        <f>IF($DM85=0,"",$EL85+$EG85-1)</f>
        <v/>
      </c>
      <c r="EN85">
        <f>IF($DM85=0,0,IFERROR(MATCH(1,INDEX(--(TRIM(SUBSTITUTE(SUBSTITUTE(SUBSTITUTE(SUBSTITUTE(LINES_NAME&amp;""," "," "),CHAR(9)," "),CHAR(10)," "),CHAR(13)," "))=$DH85),0),0),0))</f>
        <v/>
      </c>
      <c r="EO85">
        <f>IF($EN85=0,0,IF(OR(UPPER(TRIM(INDEX(LINES_SCHEDULED,$EN85)&amp;""))="YES",UPPER(TRIM(INDEX(LINES_SCHEDULED,$EN85)&amp;""))="Y",UPPER(TRIM(INDEX(LINES_SCHEDULED,$EN85)&amp;""))="X"),1,0))</f>
        <v/>
      </c>
      <c r="EP85">
        <f>IF($DM85=0,"",IF(COUNTIFS($EG$5:$EG$1003,$EG85,$EB$5:$EB$1003,"Ready")&gt;0,"READY",IF(COUNTIFS($EG$5:$EG$1003,$EG85,$EB$5:$EB$1003,"PM")&gt;0,"PM",IF(COUNTIFS($EG$5:$EG$1003,$EG85,$EB$5:$EB$1003,"OT")&gt;0,"OT",""))))</f>
        <v/>
      </c>
      <c r="EQ85">
        <f>IF($EN85=0,"",UPPER(TRIM(INDEX(LINES_STATUS,$EN85)&amp;"")))</f>
        <v/>
      </c>
      <c r="ER85">
        <f>IF($DM85=0,"",IF(OR($EQ85="READY",$EQ85="PM",$EQ85="OT"),$EQ85,$EP85))</f>
        <v/>
      </c>
      <c r="ES85">
        <f>IF($DM85=0,"",IF(AND($DV85&lt;&gt;"",UPPER($DV85)&lt;&gt;"N"),"allergen",IF(ISNUMBER(SEARCH("oil",$DQ85)),"oil",IF(OR(EXACT($DS85,"A662"),EXACT($DS85,"A624")),"bulk",""))))</f>
        <v/>
      </c>
      <c r="ET85">
        <f>IF($DM85=0,"",IF(OR($EA85="",$EA85=0),"",$EA85/100))</f>
        <v/>
      </c>
      <c r="EU85">
        <f>IF(OR($ET85="",$DY85=""),"",INT($DY85*(1-$ET85)+0.5))</f>
        <v/>
      </c>
      <c r="EW85" t="n">
        <v>81</v>
      </c>
      <c r="EX85">
        <f>IFERROR(MATCH($EW85,$EM$5:$EM$1003,0),0)</f>
        <v/>
      </c>
      <c r="EY85">
        <f>IF($EW85&gt;$B$12,"",IF($EX85&gt;0,"row","spacer"))</f>
        <v/>
      </c>
      <c r="EZ85">
        <f>IF(AND($EY85="row",$EY84&lt;&gt;"row"),1,0)</f>
        <v/>
      </c>
      <c r="FA85">
        <f>IF(AND($EY85="row",$EY86&lt;&gt;"row"),1,0)</f>
        <v/>
      </c>
      <c r="FB85">
        <f>IF($EZ85=1,IFERROR(IF(ISNUMBER(INDEX(PASTE_ALL,INDEX($DF$5:$DF$1003,$EX85),$B$37)),INDEX(PASTE_ALL,INDEX($DF$5:$DF$1003,$EX85),$B$37),INDEX($DH$5:$DH$1003,$EX85)),INDEX($DH$5:$DH$1003,$EX85)),"")</f>
        <v/>
      </c>
      <c r="FC85">
        <f>IF($EY85="row",INDEX($ER$5:$ER$1003,$EX85),"")</f>
        <v/>
      </c>
      <c r="FD85">
        <f>IF($EY85="row",INDEX($DN$5:$DN$1003,$EX85),"")</f>
        <v/>
      </c>
      <c r="FE85">
        <f>IF($EY85="row",INDEX($DO$5:$DO$1003,$EX85),"")</f>
        <v/>
      </c>
      <c r="FF85">
        <f>IF($EY85="row",INDEX($DP$5:$DP$1003,$EX85),"")</f>
        <v/>
      </c>
      <c r="FG85">
        <f>IF($EY85="row",INDEX($DQ$5:$DQ$1003,$EX85),"")</f>
        <v/>
      </c>
      <c r="FH85">
        <f>IF($EY85="row",INDEX($DR$5:$DR$1003,$EX85),"")</f>
        <v/>
      </c>
      <c r="FI85">
        <f>IF($EY85="row",INDEX($DS$5:$DS$1003,$EX85),"")</f>
        <v/>
      </c>
      <c r="FJ85">
        <f>IF($EY85="row",INDEX($DT$5:$DT$1003,$EX85),"")</f>
        <v/>
      </c>
      <c r="FK85">
        <f>IF($EY85="row",INDEX($DU$5:$DU$1003,$EX85),"")</f>
        <v/>
      </c>
      <c r="FL85">
        <f>IF($EY85="row",INDEX($DV$5:$DV$1003,$EX85),"")</f>
        <v/>
      </c>
      <c r="FM85">
        <f>IF($EY85="row",INDEX($DW$5:$DW$1003,$EX85),"")</f>
        <v/>
      </c>
      <c r="FN85">
        <f>IF($EY85="row",INDEX($DY$5:$DY$1003,$EX85),"")</f>
        <v/>
      </c>
      <c r="FO85">
        <f>IF($EY85="row",INDEX($EA$5:$EA$1003,$EX85),"")</f>
        <v/>
      </c>
      <c r="FP85">
        <f>IF($EY85="row",INDEX($EC$5:$EC$1003,$EX85),"")</f>
        <v/>
      </c>
      <c r="FQ85">
        <f>IF($EY85="row",INDEX($ET$5:$ET$1003,$EX85),"")</f>
        <v/>
      </c>
      <c r="FR85">
        <f>IF($EY85="row",INDEX($EU$5:$EU$1003,$EX85),"")</f>
        <v/>
      </c>
      <c r="FS85">
        <f>IF(AND($EY85="row",$EY84="row"),IF(OR(INDEX($DT$5:$DT$1003,$EX84)="",INDEX($DT$5:$DT$1003,$EX85)=""),"",IF(NOT(EXACT(INDEX($DT$5:$DT$1003,$EX84),INDEX($DT$5:$DT$1003,$EX85))),"S4",IF(NOT(EXACT(INDEX($DS$5:$DS$1003,$EX84),INDEX($DS$5:$DS$1003,$EX85))),"S3",IF(NOT(EXACT(INDEX($DR$5:$DR$1003,$EX84),INDEX($DR$5:$DR$1003,$EX85))),"S1 Count Change","S1")))),"")</f>
        <v/>
      </c>
      <c r="FT85">
        <f>IF($EY85="row",INDEX($ES$5:$ES$1003,$EX85),"")</f>
        <v/>
      </c>
      <c r="FU85">
        <f>IF($EY85="row",INDEX($EO$5:$EO$1003,$EX85),0)</f>
        <v/>
      </c>
      <c r="FV85">
        <f>IF($FS85="S1 Count Change",1,0)</f>
        <v/>
      </c>
      <c r="FX85" t="n">
        <v>81</v>
      </c>
      <c r="FY85">
        <f>IFERROR(MATCH($FX85,$EF$5:$EF$1003,0),0)</f>
        <v/>
      </c>
      <c r="FZ85">
        <f>IF($FY85=0,"",INDEX($DH$5:$DH$1003,$FY85))</f>
        <v/>
      </c>
      <c r="GA85">
        <f>IF($FY85=0,"",COUNTIF($EG$5:$EG$1003,$FX85))</f>
        <v/>
      </c>
      <c r="GB85">
        <f>IF($FY85=0,"",INDEX($ER$5:$ER$1003,$FY85))</f>
        <v/>
      </c>
      <c r="GC85">
        <f>IF($FY85=0,"",IF(INDEX($EO$5:$EO$1003,$FY85)=1,"Yes",""))</f>
        <v/>
      </c>
      <c r="GD85">
        <f>IF($FY85=0,"",IF(INDEX($EN$5:$EN$1003,$FY85)&gt;0,"","NOT IN YOUR LIST - type it in column A to tick it"))</f>
        <v/>
      </c>
      <c r="GE85">
        <f>IF(AND($FY85&gt;0,$GD85&lt;&gt;""),1,0)</f>
        <v/>
      </c>
      <c r="GF85">
        <f>GF84+$GE85</f>
        <v/>
      </c>
      <c r="GG85">
        <f>IFERROR(INDEX($FZ$5:$FZ$104,MATCH($FX85,$GF$5:$GF$104,0)),"")</f>
        <v/>
      </c>
    </row>
    <row r="86">
      <c r="V86" t="inlineStr">
        <is>
          <t>DESICCANTSNUMBER</t>
        </is>
      </c>
      <c r="W86" t="n">
        <v>15</v>
      </c>
      <c r="Y86">
        <f>IFERROR(IF(ISNUMBER(INDEX(PASTE_ALL,37,1)),2,IF(TRIM(INDEX(PASTE_ALL,37,1))="",0,IF(AND(LEFT(MID(TRIM(INDEX(PASTE_ALL,37,1)),1+(LEFT(TRIM(INDEX(PASTE_ALL,37,1)),1)="-"),999),LEN(MID(TRIM(INDEX(PASTE_ALL,37,1)),1+(LEFT(TRIM(INDEX(PASTE_ALL,37,1)),1)="-"),999))-(RIGHT(MID(TRIM(INDEX(PASTE_ALL,37,1)),1+(LEFT(TRIM(INDEX(PASTE_ALL,37,1)),1)="-"),999),1)="%"))&lt;&gt;"",SUBSTITUTE(SUBSTITUTE(SUBSTITUTE(SUBSTITUTE(SUBSTITUTE(SUBSTITUTE(SUBSTITUTE(SUBSTITUTE(SUBSTITUTE(SUBSTITUTE(SUBSTITUTE(SUBSTITUTE(LEFT(MID(TRIM(INDEX(PASTE_ALL,37,1)),1+(LEFT(TRIM(INDEX(PASTE_ALL,37,1)),1)="-"),999),LEN(MID(TRIM(INDEX(PASTE_ALL,37,1)),1+(LEFT(TRIM(INDEX(PASTE_ALL,37,1)),1)="-"),999))-(RIGHT(MID(TRIM(INDEX(PASTE_ALL,37,1)),1+(LEFT(TRIM(INDEX(PASTE_ALL,37,1)),1)="-"),999),1)="%")),"0",""),"1",""),"2",""),"3",""),"4",""),"5",""),"6",""),"7",""),"8",""),"9",""),".",""),",","")=""),2,1))),1)</f>
        <v/>
      </c>
      <c r="Z86">
        <f>IFERROR(IF(ISNUMBER(INDEX(PASTE_ALL,37,2)),2,IF(TRIM(INDEX(PASTE_ALL,37,2))="",0,IF(AND(LEFT(MID(TRIM(INDEX(PASTE_ALL,37,2)),1+(LEFT(TRIM(INDEX(PASTE_ALL,37,2)),1)="-"),999),LEN(MID(TRIM(INDEX(PASTE_ALL,37,2)),1+(LEFT(TRIM(INDEX(PASTE_ALL,37,2)),1)="-"),999))-(RIGHT(MID(TRIM(INDEX(PASTE_ALL,37,2)),1+(LEFT(TRIM(INDEX(PASTE_ALL,37,2)),1)="-"),999),1)="%"))&lt;&gt;"",SUBSTITUTE(SUBSTITUTE(SUBSTITUTE(SUBSTITUTE(SUBSTITUTE(SUBSTITUTE(SUBSTITUTE(SUBSTITUTE(SUBSTITUTE(SUBSTITUTE(SUBSTITUTE(SUBSTITUTE(LEFT(MID(TRIM(INDEX(PASTE_ALL,37,2)),1+(LEFT(TRIM(INDEX(PASTE_ALL,37,2)),1)="-"),999),LEN(MID(TRIM(INDEX(PASTE_ALL,37,2)),1+(LEFT(TRIM(INDEX(PASTE_ALL,37,2)),1)="-"),999))-(RIGHT(MID(TRIM(INDEX(PASTE_ALL,37,2)),1+(LEFT(TRIM(INDEX(PASTE_ALL,37,2)),1)="-"),999),1)="%")),"0",""),"1",""),"2",""),"3",""),"4",""),"5",""),"6",""),"7",""),"8",""),"9",""),".",""),",","")=""),2,1))),1)</f>
        <v/>
      </c>
      <c r="AA86">
        <f>IFERROR(IF(ISNUMBER(INDEX(PASTE_ALL,37,3)),2,IF(TRIM(INDEX(PASTE_ALL,37,3))="",0,IF(AND(LEFT(MID(TRIM(INDEX(PASTE_ALL,37,3)),1+(LEFT(TRIM(INDEX(PASTE_ALL,37,3)),1)="-"),999),LEN(MID(TRIM(INDEX(PASTE_ALL,37,3)),1+(LEFT(TRIM(INDEX(PASTE_ALL,37,3)),1)="-"),999))-(RIGHT(MID(TRIM(INDEX(PASTE_ALL,37,3)),1+(LEFT(TRIM(INDEX(PASTE_ALL,37,3)),1)="-"),999),1)="%"))&lt;&gt;"",SUBSTITUTE(SUBSTITUTE(SUBSTITUTE(SUBSTITUTE(SUBSTITUTE(SUBSTITUTE(SUBSTITUTE(SUBSTITUTE(SUBSTITUTE(SUBSTITUTE(SUBSTITUTE(SUBSTITUTE(LEFT(MID(TRIM(INDEX(PASTE_ALL,37,3)),1+(LEFT(TRIM(INDEX(PASTE_ALL,37,3)),1)="-"),999),LEN(MID(TRIM(INDEX(PASTE_ALL,37,3)),1+(LEFT(TRIM(INDEX(PASTE_ALL,37,3)),1)="-"),999))-(RIGHT(MID(TRIM(INDEX(PASTE_ALL,37,3)),1+(LEFT(TRIM(INDEX(PASTE_ALL,37,3)),1)="-"),999),1)="%")),"0",""),"1",""),"2",""),"3",""),"4",""),"5",""),"6",""),"7",""),"8",""),"9",""),".",""),",","")=""),2,1))),1)</f>
        <v/>
      </c>
      <c r="AB86">
        <f>IFERROR(IF(ISNUMBER(INDEX(PASTE_ALL,37,4)),2,IF(TRIM(INDEX(PASTE_ALL,37,4))="",0,IF(AND(LEFT(MID(TRIM(INDEX(PASTE_ALL,37,4)),1+(LEFT(TRIM(INDEX(PASTE_ALL,37,4)),1)="-"),999),LEN(MID(TRIM(INDEX(PASTE_ALL,37,4)),1+(LEFT(TRIM(INDEX(PASTE_ALL,37,4)),1)="-"),999))-(RIGHT(MID(TRIM(INDEX(PASTE_ALL,37,4)),1+(LEFT(TRIM(INDEX(PASTE_ALL,37,4)),1)="-"),999),1)="%"))&lt;&gt;"",SUBSTITUTE(SUBSTITUTE(SUBSTITUTE(SUBSTITUTE(SUBSTITUTE(SUBSTITUTE(SUBSTITUTE(SUBSTITUTE(SUBSTITUTE(SUBSTITUTE(SUBSTITUTE(SUBSTITUTE(LEFT(MID(TRIM(INDEX(PASTE_ALL,37,4)),1+(LEFT(TRIM(INDEX(PASTE_ALL,37,4)),1)="-"),999),LEN(MID(TRIM(INDEX(PASTE_ALL,37,4)),1+(LEFT(TRIM(INDEX(PASTE_ALL,37,4)),1)="-"),999))-(RIGHT(MID(TRIM(INDEX(PASTE_ALL,37,4)),1+(LEFT(TRIM(INDEX(PASTE_ALL,37,4)),1)="-"),999),1)="%")),"0",""),"1",""),"2",""),"3",""),"4",""),"5",""),"6",""),"7",""),"8",""),"9",""),".",""),",","")=""),2,1))),1)</f>
        <v/>
      </c>
      <c r="AC86">
        <f>IFERROR(IF(ISNUMBER(INDEX(PASTE_ALL,37,5)),2,IF(TRIM(INDEX(PASTE_ALL,37,5))="",0,IF(AND(LEFT(MID(TRIM(INDEX(PASTE_ALL,37,5)),1+(LEFT(TRIM(INDEX(PASTE_ALL,37,5)),1)="-"),999),LEN(MID(TRIM(INDEX(PASTE_ALL,37,5)),1+(LEFT(TRIM(INDEX(PASTE_ALL,37,5)),1)="-"),999))-(RIGHT(MID(TRIM(INDEX(PASTE_ALL,37,5)),1+(LEFT(TRIM(INDEX(PASTE_ALL,37,5)),1)="-"),999),1)="%"))&lt;&gt;"",SUBSTITUTE(SUBSTITUTE(SUBSTITUTE(SUBSTITUTE(SUBSTITUTE(SUBSTITUTE(SUBSTITUTE(SUBSTITUTE(SUBSTITUTE(SUBSTITUTE(SUBSTITUTE(SUBSTITUTE(LEFT(MID(TRIM(INDEX(PASTE_ALL,37,5)),1+(LEFT(TRIM(INDEX(PASTE_ALL,37,5)),1)="-"),999),LEN(MID(TRIM(INDEX(PASTE_ALL,37,5)),1+(LEFT(TRIM(INDEX(PASTE_ALL,37,5)),1)="-"),999))-(RIGHT(MID(TRIM(INDEX(PASTE_ALL,37,5)),1+(LEFT(TRIM(INDEX(PASTE_ALL,37,5)),1)="-"),999),1)="%")),"0",""),"1",""),"2",""),"3",""),"4",""),"5",""),"6",""),"7",""),"8",""),"9",""),".",""),",","")=""),2,1))),1)</f>
        <v/>
      </c>
      <c r="AD86">
        <f>IFERROR(IF(ISNUMBER(INDEX(PASTE_ALL,37,6)),2,IF(TRIM(INDEX(PASTE_ALL,37,6))="",0,IF(AND(LEFT(MID(TRIM(INDEX(PASTE_ALL,37,6)),1+(LEFT(TRIM(INDEX(PASTE_ALL,37,6)),1)="-"),999),LEN(MID(TRIM(INDEX(PASTE_ALL,37,6)),1+(LEFT(TRIM(INDEX(PASTE_ALL,37,6)),1)="-"),999))-(RIGHT(MID(TRIM(INDEX(PASTE_ALL,37,6)),1+(LEFT(TRIM(INDEX(PASTE_ALL,37,6)),1)="-"),999),1)="%"))&lt;&gt;"",SUBSTITUTE(SUBSTITUTE(SUBSTITUTE(SUBSTITUTE(SUBSTITUTE(SUBSTITUTE(SUBSTITUTE(SUBSTITUTE(SUBSTITUTE(SUBSTITUTE(SUBSTITUTE(SUBSTITUTE(LEFT(MID(TRIM(INDEX(PASTE_ALL,37,6)),1+(LEFT(TRIM(INDEX(PASTE_ALL,37,6)),1)="-"),999),LEN(MID(TRIM(INDEX(PASTE_ALL,37,6)),1+(LEFT(TRIM(INDEX(PASTE_ALL,37,6)),1)="-"),999))-(RIGHT(MID(TRIM(INDEX(PASTE_ALL,37,6)),1+(LEFT(TRIM(INDEX(PASTE_ALL,37,6)),1)="-"),999),1)="%")),"0",""),"1",""),"2",""),"3",""),"4",""),"5",""),"6",""),"7",""),"8",""),"9",""),".",""),",","")=""),2,1))),1)</f>
        <v/>
      </c>
      <c r="AE86">
        <f>IFERROR(IF(ISNUMBER(INDEX(PASTE_ALL,37,7)),2,IF(TRIM(INDEX(PASTE_ALL,37,7))="",0,IF(AND(LEFT(MID(TRIM(INDEX(PASTE_ALL,37,7)),1+(LEFT(TRIM(INDEX(PASTE_ALL,37,7)),1)="-"),999),LEN(MID(TRIM(INDEX(PASTE_ALL,37,7)),1+(LEFT(TRIM(INDEX(PASTE_ALL,37,7)),1)="-"),999))-(RIGHT(MID(TRIM(INDEX(PASTE_ALL,37,7)),1+(LEFT(TRIM(INDEX(PASTE_ALL,37,7)),1)="-"),999),1)="%"))&lt;&gt;"",SUBSTITUTE(SUBSTITUTE(SUBSTITUTE(SUBSTITUTE(SUBSTITUTE(SUBSTITUTE(SUBSTITUTE(SUBSTITUTE(SUBSTITUTE(SUBSTITUTE(SUBSTITUTE(SUBSTITUTE(LEFT(MID(TRIM(INDEX(PASTE_ALL,37,7)),1+(LEFT(TRIM(INDEX(PASTE_ALL,37,7)),1)="-"),999),LEN(MID(TRIM(INDEX(PASTE_ALL,37,7)),1+(LEFT(TRIM(INDEX(PASTE_ALL,37,7)),1)="-"),999))-(RIGHT(MID(TRIM(INDEX(PASTE_ALL,37,7)),1+(LEFT(TRIM(INDEX(PASTE_ALL,37,7)),1)="-"),999),1)="%")),"0",""),"1",""),"2",""),"3",""),"4",""),"5",""),"6",""),"7",""),"8",""),"9",""),".",""),",","")=""),2,1))),1)</f>
        <v/>
      </c>
      <c r="AF86">
        <f>IFERROR(IF(ISNUMBER(INDEX(PASTE_ALL,37,8)),2,IF(TRIM(INDEX(PASTE_ALL,37,8))="",0,IF(AND(LEFT(MID(TRIM(INDEX(PASTE_ALL,37,8)),1+(LEFT(TRIM(INDEX(PASTE_ALL,37,8)),1)="-"),999),LEN(MID(TRIM(INDEX(PASTE_ALL,37,8)),1+(LEFT(TRIM(INDEX(PASTE_ALL,37,8)),1)="-"),999))-(RIGHT(MID(TRIM(INDEX(PASTE_ALL,37,8)),1+(LEFT(TRIM(INDEX(PASTE_ALL,37,8)),1)="-"),999),1)="%"))&lt;&gt;"",SUBSTITUTE(SUBSTITUTE(SUBSTITUTE(SUBSTITUTE(SUBSTITUTE(SUBSTITUTE(SUBSTITUTE(SUBSTITUTE(SUBSTITUTE(SUBSTITUTE(SUBSTITUTE(SUBSTITUTE(LEFT(MID(TRIM(INDEX(PASTE_ALL,37,8)),1+(LEFT(TRIM(INDEX(PASTE_ALL,37,8)),1)="-"),999),LEN(MID(TRIM(INDEX(PASTE_ALL,37,8)),1+(LEFT(TRIM(INDEX(PASTE_ALL,37,8)),1)="-"),999))-(RIGHT(MID(TRIM(INDEX(PASTE_ALL,37,8)),1+(LEFT(TRIM(INDEX(PASTE_ALL,37,8)),1)="-"),999),1)="%")),"0",""),"1",""),"2",""),"3",""),"4",""),"5",""),"6",""),"7",""),"8",""),"9",""),".",""),",","")=""),2,1))),1)</f>
        <v/>
      </c>
      <c r="AG86">
        <f>IFERROR(IF(ISNUMBER(INDEX(PASTE_ALL,37,9)),2,IF(TRIM(INDEX(PASTE_ALL,37,9))="",0,IF(AND(LEFT(MID(TRIM(INDEX(PASTE_ALL,37,9)),1+(LEFT(TRIM(INDEX(PASTE_ALL,37,9)),1)="-"),999),LEN(MID(TRIM(INDEX(PASTE_ALL,37,9)),1+(LEFT(TRIM(INDEX(PASTE_ALL,37,9)),1)="-"),999))-(RIGHT(MID(TRIM(INDEX(PASTE_ALL,37,9)),1+(LEFT(TRIM(INDEX(PASTE_ALL,37,9)),1)="-"),999),1)="%"))&lt;&gt;"",SUBSTITUTE(SUBSTITUTE(SUBSTITUTE(SUBSTITUTE(SUBSTITUTE(SUBSTITUTE(SUBSTITUTE(SUBSTITUTE(SUBSTITUTE(SUBSTITUTE(SUBSTITUTE(SUBSTITUTE(LEFT(MID(TRIM(INDEX(PASTE_ALL,37,9)),1+(LEFT(TRIM(INDEX(PASTE_ALL,37,9)),1)="-"),999),LEN(MID(TRIM(INDEX(PASTE_ALL,37,9)),1+(LEFT(TRIM(INDEX(PASTE_ALL,37,9)),1)="-"),999))-(RIGHT(MID(TRIM(INDEX(PASTE_ALL,37,9)),1+(LEFT(TRIM(INDEX(PASTE_ALL,37,9)),1)="-"),999),1)="%")),"0",""),"1",""),"2",""),"3",""),"4",""),"5",""),"6",""),"7",""),"8",""),"9",""),".",""),",","")=""),2,1))),1)</f>
        <v/>
      </c>
      <c r="AH86">
        <f>IFERROR(IF(ISNUMBER(INDEX(PASTE_ALL,37,10)),2,IF(TRIM(INDEX(PASTE_ALL,37,10))="",0,IF(AND(LEFT(MID(TRIM(INDEX(PASTE_ALL,37,10)),1+(LEFT(TRIM(INDEX(PASTE_ALL,37,10)),1)="-"),999),LEN(MID(TRIM(INDEX(PASTE_ALL,37,10)),1+(LEFT(TRIM(INDEX(PASTE_ALL,37,10)),1)="-"),999))-(RIGHT(MID(TRIM(INDEX(PASTE_ALL,37,10)),1+(LEFT(TRIM(INDEX(PASTE_ALL,37,10)),1)="-"),999),1)="%"))&lt;&gt;"",SUBSTITUTE(SUBSTITUTE(SUBSTITUTE(SUBSTITUTE(SUBSTITUTE(SUBSTITUTE(SUBSTITUTE(SUBSTITUTE(SUBSTITUTE(SUBSTITUTE(SUBSTITUTE(SUBSTITUTE(LEFT(MID(TRIM(INDEX(PASTE_ALL,37,10)),1+(LEFT(TRIM(INDEX(PASTE_ALL,37,10)),1)="-"),999),LEN(MID(TRIM(INDEX(PASTE_ALL,37,10)),1+(LEFT(TRIM(INDEX(PASTE_ALL,37,10)),1)="-"),999))-(RIGHT(MID(TRIM(INDEX(PASTE_ALL,37,10)),1+(LEFT(TRIM(INDEX(PASTE_ALL,37,10)),1)="-"),999),1)="%")),"0",""),"1",""),"2",""),"3",""),"4",""),"5",""),"6",""),"7",""),"8",""),"9",""),".",""),",","")=""),2,1))),1)</f>
        <v/>
      </c>
      <c r="AI86">
        <f>IFERROR(IF(ISNUMBER(INDEX(PASTE_ALL,37,11)),2,IF(TRIM(INDEX(PASTE_ALL,37,11))="",0,IF(AND(LEFT(MID(TRIM(INDEX(PASTE_ALL,37,11)),1+(LEFT(TRIM(INDEX(PASTE_ALL,37,11)),1)="-"),999),LEN(MID(TRIM(INDEX(PASTE_ALL,37,11)),1+(LEFT(TRIM(INDEX(PASTE_ALL,37,11)),1)="-"),999))-(RIGHT(MID(TRIM(INDEX(PASTE_ALL,37,11)),1+(LEFT(TRIM(INDEX(PASTE_ALL,37,11)),1)="-"),999),1)="%"))&lt;&gt;"",SUBSTITUTE(SUBSTITUTE(SUBSTITUTE(SUBSTITUTE(SUBSTITUTE(SUBSTITUTE(SUBSTITUTE(SUBSTITUTE(SUBSTITUTE(SUBSTITUTE(SUBSTITUTE(SUBSTITUTE(LEFT(MID(TRIM(INDEX(PASTE_ALL,37,11)),1+(LEFT(TRIM(INDEX(PASTE_ALL,37,11)),1)="-"),999),LEN(MID(TRIM(INDEX(PASTE_ALL,37,11)),1+(LEFT(TRIM(INDEX(PASTE_ALL,37,11)),1)="-"),999))-(RIGHT(MID(TRIM(INDEX(PASTE_ALL,37,11)),1+(LEFT(TRIM(INDEX(PASTE_ALL,37,11)),1)="-"),999),1)="%")),"0",""),"1",""),"2",""),"3",""),"4",""),"5",""),"6",""),"7",""),"8",""),"9",""),".",""),",","")=""),2,1))),1)</f>
        <v/>
      </c>
      <c r="AJ86">
        <f>IFERROR(IF(ISNUMBER(INDEX(PASTE_ALL,37,12)),2,IF(TRIM(INDEX(PASTE_ALL,37,12))="",0,IF(AND(LEFT(MID(TRIM(INDEX(PASTE_ALL,37,12)),1+(LEFT(TRIM(INDEX(PASTE_ALL,37,12)),1)="-"),999),LEN(MID(TRIM(INDEX(PASTE_ALL,37,12)),1+(LEFT(TRIM(INDEX(PASTE_ALL,37,12)),1)="-"),999))-(RIGHT(MID(TRIM(INDEX(PASTE_ALL,37,12)),1+(LEFT(TRIM(INDEX(PASTE_ALL,37,12)),1)="-"),999),1)="%"))&lt;&gt;"",SUBSTITUTE(SUBSTITUTE(SUBSTITUTE(SUBSTITUTE(SUBSTITUTE(SUBSTITUTE(SUBSTITUTE(SUBSTITUTE(SUBSTITUTE(SUBSTITUTE(SUBSTITUTE(SUBSTITUTE(LEFT(MID(TRIM(INDEX(PASTE_ALL,37,12)),1+(LEFT(TRIM(INDEX(PASTE_ALL,37,12)),1)="-"),999),LEN(MID(TRIM(INDEX(PASTE_ALL,37,12)),1+(LEFT(TRIM(INDEX(PASTE_ALL,37,12)),1)="-"),999))-(RIGHT(MID(TRIM(INDEX(PASTE_ALL,37,12)),1+(LEFT(TRIM(INDEX(PASTE_ALL,37,12)),1)="-"),999),1)="%")),"0",""),"1",""),"2",""),"3",""),"4",""),"5",""),"6",""),"7",""),"8",""),"9",""),".",""),",","")=""),2,1))),1)</f>
        <v/>
      </c>
      <c r="AK86">
        <f>IFERROR(IF(ISNUMBER(INDEX(PASTE_ALL,37,13)),2,IF(TRIM(INDEX(PASTE_ALL,37,13))="",0,IF(AND(LEFT(MID(TRIM(INDEX(PASTE_ALL,37,13)),1+(LEFT(TRIM(INDEX(PASTE_ALL,37,13)),1)="-"),999),LEN(MID(TRIM(INDEX(PASTE_ALL,37,13)),1+(LEFT(TRIM(INDEX(PASTE_ALL,37,13)),1)="-"),999))-(RIGHT(MID(TRIM(INDEX(PASTE_ALL,37,13)),1+(LEFT(TRIM(INDEX(PASTE_ALL,37,13)),1)="-"),999),1)="%"))&lt;&gt;"",SUBSTITUTE(SUBSTITUTE(SUBSTITUTE(SUBSTITUTE(SUBSTITUTE(SUBSTITUTE(SUBSTITUTE(SUBSTITUTE(SUBSTITUTE(SUBSTITUTE(SUBSTITUTE(SUBSTITUTE(LEFT(MID(TRIM(INDEX(PASTE_ALL,37,13)),1+(LEFT(TRIM(INDEX(PASTE_ALL,37,13)),1)="-"),999),LEN(MID(TRIM(INDEX(PASTE_ALL,37,13)),1+(LEFT(TRIM(INDEX(PASTE_ALL,37,13)),1)="-"),999))-(RIGHT(MID(TRIM(INDEX(PASTE_ALL,37,13)),1+(LEFT(TRIM(INDEX(PASTE_ALL,37,13)),1)="-"),999),1)="%")),"0",""),"1",""),"2",""),"3",""),"4",""),"5",""),"6",""),"7",""),"8",""),"9",""),".",""),",","")=""),2,1))),1)</f>
        <v/>
      </c>
      <c r="AL86">
        <f>IFERROR(IF(ISNUMBER(INDEX(PASTE_ALL,37,14)),2,IF(TRIM(INDEX(PASTE_ALL,37,14))="",0,IF(AND(LEFT(MID(TRIM(INDEX(PASTE_ALL,37,14)),1+(LEFT(TRIM(INDEX(PASTE_ALL,37,14)),1)="-"),999),LEN(MID(TRIM(INDEX(PASTE_ALL,37,14)),1+(LEFT(TRIM(INDEX(PASTE_ALL,37,14)),1)="-"),999))-(RIGHT(MID(TRIM(INDEX(PASTE_ALL,37,14)),1+(LEFT(TRIM(INDEX(PASTE_ALL,37,14)),1)="-"),999),1)="%"))&lt;&gt;"",SUBSTITUTE(SUBSTITUTE(SUBSTITUTE(SUBSTITUTE(SUBSTITUTE(SUBSTITUTE(SUBSTITUTE(SUBSTITUTE(SUBSTITUTE(SUBSTITUTE(SUBSTITUTE(SUBSTITUTE(LEFT(MID(TRIM(INDEX(PASTE_ALL,37,14)),1+(LEFT(TRIM(INDEX(PASTE_ALL,37,14)),1)="-"),999),LEN(MID(TRIM(INDEX(PASTE_ALL,37,14)),1+(LEFT(TRIM(INDEX(PASTE_ALL,37,14)),1)="-"),999))-(RIGHT(MID(TRIM(INDEX(PASTE_ALL,37,14)),1+(LEFT(TRIM(INDEX(PASTE_ALL,37,14)),1)="-"),999),1)="%")),"0",""),"1",""),"2",""),"3",""),"4",""),"5",""),"6",""),"7",""),"8",""),"9",""),".",""),",","")=""),2,1))),1)</f>
        <v/>
      </c>
      <c r="AM86">
        <f>IFERROR(IF(ISNUMBER(INDEX(PASTE_ALL,37,15)),2,IF(TRIM(INDEX(PASTE_ALL,37,15))="",0,IF(AND(LEFT(MID(TRIM(INDEX(PASTE_ALL,37,15)),1+(LEFT(TRIM(INDEX(PASTE_ALL,37,15)),1)="-"),999),LEN(MID(TRIM(INDEX(PASTE_ALL,37,15)),1+(LEFT(TRIM(INDEX(PASTE_ALL,37,15)),1)="-"),999))-(RIGHT(MID(TRIM(INDEX(PASTE_ALL,37,15)),1+(LEFT(TRIM(INDEX(PASTE_ALL,37,15)),1)="-"),999),1)="%"))&lt;&gt;"",SUBSTITUTE(SUBSTITUTE(SUBSTITUTE(SUBSTITUTE(SUBSTITUTE(SUBSTITUTE(SUBSTITUTE(SUBSTITUTE(SUBSTITUTE(SUBSTITUTE(SUBSTITUTE(SUBSTITUTE(LEFT(MID(TRIM(INDEX(PASTE_ALL,37,15)),1+(LEFT(TRIM(INDEX(PASTE_ALL,37,15)),1)="-"),999),LEN(MID(TRIM(INDEX(PASTE_ALL,37,15)),1+(LEFT(TRIM(INDEX(PASTE_ALL,37,15)),1)="-"),999))-(RIGHT(MID(TRIM(INDEX(PASTE_ALL,37,15)),1+(LEFT(TRIM(INDEX(PASTE_ALL,37,15)),1)="-"),999),1)="%")),"0",""),"1",""),"2",""),"3",""),"4",""),"5",""),"6",""),"7",""),"8",""),"9",""),".",""),",","")=""),2,1))),1)</f>
        <v/>
      </c>
      <c r="AN86">
        <f>IFERROR(IF(ISNUMBER(INDEX(PASTE_ALL,37,16)),2,IF(TRIM(INDEX(PASTE_ALL,37,16))="",0,IF(AND(LEFT(MID(TRIM(INDEX(PASTE_ALL,37,16)),1+(LEFT(TRIM(INDEX(PASTE_ALL,37,16)),1)="-"),999),LEN(MID(TRIM(INDEX(PASTE_ALL,37,16)),1+(LEFT(TRIM(INDEX(PASTE_ALL,37,16)),1)="-"),999))-(RIGHT(MID(TRIM(INDEX(PASTE_ALL,37,16)),1+(LEFT(TRIM(INDEX(PASTE_ALL,37,16)),1)="-"),999),1)="%"))&lt;&gt;"",SUBSTITUTE(SUBSTITUTE(SUBSTITUTE(SUBSTITUTE(SUBSTITUTE(SUBSTITUTE(SUBSTITUTE(SUBSTITUTE(SUBSTITUTE(SUBSTITUTE(SUBSTITUTE(SUBSTITUTE(LEFT(MID(TRIM(INDEX(PASTE_ALL,37,16)),1+(LEFT(TRIM(INDEX(PASTE_ALL,37,16)),1)="-"),999),LEN(MID(TRIM(INDEX(PASTE_ALL,37,16)),1+(LEFT(TRIM(INDEX(PASTE_ALL,37,16)),1)="-"),999))-(RIGHT(MID(TRIM(INDEX(PASTE_ALL,37,16)),1+(LEFT(TRIM(INDEX(PASTE_ALL,37,16)),1)="-"),999),1)="%")),"0",""),"1",""),"2",""),"3",""),"4",""),"5",""),"6",""),"7",""),"8",""),"9",""),".",""),",","")=""),2,1))),1)</f>
        <v/>
      </c>
      <c r="AO86">
        <f>IFERROR(IF(ISNUMBER(INDEX(PASTE_ALL,37,17)),2,IF(TRIM(INDEX(PASTE_ALL,37,17))="",0,IF(AND(LEFT(MID(TRIM(INDEX(PASTE_ALL,37,17)),1+(LEFT(TRIM(INDEX(PASTE_ALL,37,17)),1)="-"),999),LEN(MID(TRIM(INDEX(PASTE_ALL,37,17)),1+(LEFT(TRIM(INDEX(PASTE_ALL,37,17)),1)="-"),999))-(RIGHT(MID(TRIM(INDEX(PASTE_ALL,37,17)),1+(LEFT(TRIM(INDEX(PASTE_ALL,37,17)),1)="-"),999),1)="%"))&lt;&gt;"",SUBSTITUTE(SUBSTITUTE(SUBSTITUTE(SUBSTITUTE(SUBSTITUTE(SUBSTITUTE(SUBSTITUTE(SUBSTITUTE(SUBSTITUTE(SUBSTITUTE(SUBSTITUTE(SUBSTITUTE(LEFT(MID(TRIM(INDEX(PASTE_ALL,37,17)),1+(LEFT(TRIM(INDEX(PASTE_ALL,37,17)),1)="-"),999),LEN(MID(TRIM(INDEX(PASTE_ALL,37,17)),1+(LEFT(TRIM(INDEX(PASTE_ALL,37,17)),1)="-"),999))-(RIGHT(MID(TRIM(INDEX(PASTE_ALL,37,17)),1+(LEFT(TRIM(INDEX(PASTE_ALL,37,17)),1)="-"),999),1)="%")),"0",""),"1",""),"2",""),"3",""),"4",""),"5",""),"6",""),"7",""),"8",""),"9",""),".",""),",","")=""),2,1))),1)</f>
        <v/>
      </c>
      <c r="AP86">
        <f>IFERROR(IF(ISNUMBER(INDEX(PASTE_ALL,37,18)),2,IF(TRIM(INDEX(PASTE_ALL,37,18))="",0,IF(AND(LEFT(MID(TRIM(INDEX(PASTE_ALL,37,18)),1+(LEFT(TRIM(INDEX(PASTE_ALL,37,18)),1)="-"),999),LEN(MID(TRIM(INDEX(PASTE_ALL,37,18)),1+(LEFT(TRIM(INDEX(PASTE_ALL,37,18)),1)="-"),999))-(RIGHT(MID(TRIM(INDEX(PASTE_ALL,37,18)),1+(LEFT(TRIM(INDEX(PASTE_ALL,37,18)),1)="-"),999),1)="%"))&lt;&gt;"",SUBSTITUTE(SUBSTITUTE(SUBSTITUTE(SUBSTITUTE(SUBSTITUTE(SUBSTITUTE(SUBSTITUTE(SUBSTITUTE(SUBSTITUTE(SUBSTITUTE(SUBSTITUTE(SUBSTITUTE(LEFT(MID(TRIM(INDEX(PASTE_ALL,37,18)),1+(LEFT(TRIM(INDEX(PASTE_ALL,37,18)),1)="-"),999),LEN(MID(TRIM(INDEX(PASTE_ALL,37,18)),1+(LEFT(TRIM(INDEX(PASTE_ALL,37,18)),1)="-"),999))-(RIGHT(MID(TRIM(INDEX(PASTE_ALL,37,18)),1+(LEFT(TRIM(INDEX(PASTE_ALL,37,18)),1)="-"),999),1)="%")),"0",""),"1",""),"2",""),"3",""),"4",""),"5",""),"6",""),"7",""),"8",""),"9",""),".",""),",","")=""),2,1))),1)</f>
        <v/>
      </c>
      <c r="AQ86">
        <f>IFERROR(IF(ISNUMBER(INDEX(PASTE_ALL,37,19)),2,IF(TRIM(INDEX(PASTE_ALL,37,19))="",0,IF(AND(LEFT(MID(TRIM(INDEX(PASTE_ALL,37,19)),1+(LEFT(TRIM(INDEX(PASTE_ALL,37,19)),1)="-"),999),LEN(MID(TRIM(INDEX(PASTE_ALL,37,19)),1+(LEFT(TRIM(INDEX(PASTE_ALL,37,19)),1)="-"),999))-(RIGHT(MID(TRIM(INDEX(PASTE_ALL,37,19)),1+(LEFT(TRIM(INDEX(PASTE_ALL,37,19)),1)="-"),999),1)="%"))&lt;&gt;"",SUBSTITUTE(SUBSTITUTE(SUBSTITUTE(SUBSTITUTE(SUBSTITUTE(SUBSTITUTE(SUBSTITUTE(SUBSTITUTE(SUBSTITUTE(SUBSTITUTE(SUBSTITUTE(SUBSTITUTE(LEFT(MID(TRIM(INDEX(PASTE_ALL,37,19)),1+(LEFT(TRIM(INDEX(PASTE_ALL,37,19)),1)="-"),999),LEN(MID(TRIM(INDEX(PASTE_ALL,37,19)),1+(LEFT(TRIM(INDEX(PASTE_ALL,37,19)),1)="-"),999))-(RIGHT(MID(TRIM(INDEX(PASTE_ALL,37,19)),1+(LEFT(TRIM(INDEX(PASTE_ALL,37,19)),1)="-"),999),1)="%")),"0",""),"1",""),"2",""),"3",""),"4",""),"5",""),"6",""),"7",""),"8",""),"9",""),".",""),",","")=""),2,1))),1)</f>
        <v/>
      </c>
      <c r="AR86">
        <f>IFERROR(IF(ISNUMBER(INDEX(PASTE_ALL,37,20)),2,IF(TRIM(INDEX(PASTE_ALL,37,20))="",0,IF(AND(LEFT(MID(TRIM(INDEX(PASTE_ALL,37,20)),1+(LEFT(TRIM(INDEX(PASTE_ALL,37,20)),1)="-"),999),LEN(MID(TRIM(INDEX(PASTE_ALL,37,20)),1+(LEFT(TRIM(INDEX(PASTE_ALL,37,20)),1)="-"),999))-(RIGHT(MID(TRIM(INDEX(PASTE_ALL,37,20)),1+(LEFT(TRIM(INDEX(PASTE_ALL,37,20)),1)="-"),999),1)="%"))&lt;&gt;"",SUBSTITUTE(SUBSTITUTE(SUBSTITUTE(SUBSTITUTE(SUBSTITUTE(SUBSTITUTE(SUBSTITUTE(SUBSTITUTE(SUBSTITUTE(SUBSTITUTE(SUBSTITUTE(SUBSTITUTE(LEFT(MID(TRIM(INDEX(PASTE_ALL,37,20)),1+(LEFT(TRIM(INDEX(PASTE_ALL,37,20)),1)="-"),999),LEN(MID(TRIM(INDEX(PASTE_ALL,37,20)),1+(LEFT(TRIM(INDEX(PASTE_ALL,37,20)),1)="-"),999))-(RIGHT(MID(TRIM(INDEX(PASTE_ALL,37,20)),1+(LEFT(TRIM(INDEX(PASTE_ALL,37,20)),1)="-"),999),1)="%")),"0",""),"1",""),"2",""),"3",""),"4",""),"5",""),"6",""),"7",""),"8",""),"9",""),".",""),",","")=""),2,1))),1)</f>
        <v/>
      </c>
      <c r="AS86">
        <f>IFERROR(IF(ISNUMBER(INDEX(PASTE_ALL,37,21)),2,IF(TRIM(INDEX(PASTE_ALL,37,21))="",0,IF(AND(LEFT(MID(TRIM(INDEX(PASTE_ALL,37,21)),1+(LEFT(TRIM(INDEX(PASTE_ALL,37,21)),1)="-"),999),LEN(MID(TRIM(INDEX(PASTE_ALL,37,21)),1+(LEFT(TRIM(INDEX(PASTE_ALL,37,21)),1)="-"),999))-(RIGHT(MID(TRIM(INDEX(PASTE_ALL,37,21)),1+(LEFT(TRIM(INDEX(PASTE_ALL,37,21)),1)="-"),999),1)="%"))&lt;&gt;"",SUBSTITUTE(SUBSTITUTE(SUBSTITUTE(SUBSTITUTE(SUBSTITUTE(SUBSTITUTE(SUBSTITUTE(SUBSTITUTE(SUBSTITUTE(SUBSTITUTE(SUBSTITUTE(SUBSTITUTE(LEFT(MID(TRIM(INDEX(PASTE_ALL,37,21)),1+(LEFT(TRIM(INDEX(PASTE_ALL,37,21)),1)="-"),999),LEN(MID(TRIM(INDEX(PASTE_ALL,37,21)),1+(LEFT(TRIM(INDEX(PASTE_ALL,37,21)),1)="-"),999))-(RIGHT(MID(TRIM(INDEX(PASTE_ALL,37,21)),1+(LEFT(TRIM(INDEX(PASTE_ALL,37,21)),1)="-"),999),1)="%")),"0",""),"1",""),"2",""),"3",""),"4",""),"5",""),"6",""),"7",""),"8",""),"9",""),".",""),",","")=""),2,1))),1)</f>
        <v/>
      </c>
      <c r="AT86">
        <f>IFERROR(IF(ISNUMBER(INDEX(PASTE_ALL,37,22)),2,IF(TRIM(INDEX(PASTE_ALL,37,22))="",0,IF(AND(LEFT(MID(TRIM(INDEX(PASTE_ALL,37,22)),1+(LEFT(TRIM(INDEX(PASTE_ALL,37,22)),1)="-"),999),LEN(MID(TRIM(INDEX(PASTE_ALL,37,22)),1+(LEFT(TRIM(INDEX(PASTE_ALL,37,22)),1)="-"),999))-(RIGHT(MID(TRIM(INDEX(PASTE_ALL,37,22)),1+(LEFT(TRIM(INDEX(PASTE_ALL,37,22)),1)="-"),999),1)="%"))&lt;&gt;"",SUBSTITUTE(SUBSTITUTE(SUBSTITUTE(SUBSTITUTE(SUBSTITUTE(SUBSTITUTE(SUBSTITUTE(SUBSTITUTE(SUBSTITUTE(SUBSTITUTE(SUBSTITUTE(SUBSTITUTE(LEFT(MID(TRIM(INDEX(PASTE_ALL,37,22)),1+(LEFT(TRIM(INDEX(PASTE_ALL,37,22)),1)="-"),999),LEN(MID(TRIM(INDEX(PASTE_ALL,37,22)),1+(LEFT(TRIM(INDEX(PASTE_ALL,37,22)),1)="-"),999))-(RIGHT(MID(TRIM(INDEX(PASTE_ALL,37,22)),1+(LEFT(TRIM(INDEX(PASTE_ALL,37,22)),1)="-"),999),1)="%")),"0",""),"1",""),"2",""),"3",""),"4",""),"5",""),"6",""),"7",""),"8",""),"9",""),".",""),",","")=""),2,1))),1)</f>
        <v/>
      </c>
      <c r="AU86">
        <f>IFERROR(IF(ISNUMBER(INDEX(PASTE_ALL,37,23)),2,IF(TRIM(INDEX(PASTE_ALL,37,23))="",0,IF(AND(LEFT(MID(TRIM(INDEX(PASTE_ALL,37,23)),1+(LEFT(TRIM(INDEX(PASTE_ALL,37,23)),1)="-"),999),LEN(MID(TRIM(INDEX(PASTE_ALL,37,23)),1+(LEFT(TRIM(INDEX(PASTE_ALL,37,23)),1)="-"),999))-(RIGHT(MID(TRIM(INDEX(PASTE_ALL,37,23)),1+(LEFT(TRIM(INDEX(PASTE_ALL,37,23)),1)="-"),999),1)="%"))&lt;&gt;"",SUBSTITUTE(SUBSTITUTE(SUBSTITUTE(SUBSTITUTE(SUBSTITUTE(SUBSTITUTE(SUBSTITUTE(SUBSTITUTE(SUBSTITUTE(SUBSTITUTE(SUBSTITUTE(SUBSTITUTE(LEFT(MID(TRIM(INDEX(PASTE_ALL,37,23)),1+(LEFT(TRIM(INDEX(PASTE_ALL,37,23)),1)="-"),999),LEN(MID(TRIM(INDEX(PASTE_ALL,37,23)),1+(LEFT(TRIM(INDEX(PASTE_ALL,37,23)),1)="-"),999))-(RIGHT(MID(TRIM(INDEX(PASTE_ALL,37,23)),1+(LEFT(TRIM(INDEX(PASTE_ALL,37,23)),1)="-"),999),1)="%")),"0",""),"1",""),"2",""),"3",""),"4",""),"5",""),"6",""),"7",""),"8",""),"9",""),".",""),",","")=""),2,1))),1)</f>
        <v/>
      </c>
      <c r="AV86">
        <f>IFERROR(IF(ISNUMBER(INDEX(PASTE_ALL,37,24)),2,IF(TRIM(INDEX(PASTE_ALL,37,24))="",0,IF(AND(LEFT(MID(TRIM(INDEX(PASTE_ALL,37,24)),1+(LEFT(TRIM(INDEX(PASTE_ALL,37,24)),1)="-"),999),LEN(MID(TRIM(INDEX(PASTE_ALL,37,24)),1+(LEFT(TRIM(INDEX(PASTE_ALL,37,24)),1)="-"),999))-(RIGHT(MID(TRIM(INDEX(PASTE_ALL,37,24)),1+(LEFT(TRIM(INDEX(PASTE_ALL,37,24)),1)="-"),999),1)="%"))&lt;&gt;"",SUBSTITUTE(SUBSTITUTE(SUBSTITUTE(SUBSTITUTE(SUBSTITUTE(SUBSTITUTE(SUBSTITUTE(SUBSTITUTE(SUBSTITUTE(SUBSTITUTE(SUBSTITUTE(SUBSTITUTE(LEFT(MID(TRIM(INDEX(PASTE_ALL,37,24)),1+(LEFT(TRIM(INDEX(PASTE_ALL,37,24)),1)="-"),999),LEN(MID(TRIM(INDEX(PASTE_ALL,37,24)),1+(LEFT(TRIM(INDEX(PASTE_ALL,37,24)),1)="-"),999))-(RIGHT(MID(TRIM(INDEX(PASTE_ALL,37,24)),1+(LEFT(TRIM(INDEX(PASTE_ALL,37,24)),1)="-"),999),1)="%")),"0",""),"1",""),"2",""),"3",""),"4",""),"5",""),"6",""),"7",""),"8",""),"9",""),".",""),",","")=""),2,1))),1)</f>
        <v/>
      </c>
      <c r="AW86">
        <f>IFERROR(IF(ISNUMBER(INDEX(PASTE_ALL,37,25)),2,IF(TRIM(INDEX(PASTE_ALL,37,25))="",0,IF(AND(LEFT(MID(TRIM(INDEX(PASTE_ALL,37,25)),1+(LEFT(TRIM(INDEX(PASTE_ALL,37,25)),1)="-"),999),LEN(MID(TRIM(INDEX(PASTE_ALL,37,25)),1+(LEFT(TRIM(INDEX(PASTE_ALL,37,25)),1)="-"),999))-(RIGHT(MID(TRIM(INDEX(PASTE_ALL,37,25)),1+(LEFT(TRIM(INDEX(PASTE_ALL,37,25)),1)="-"),999),1)="%"))&lt;&gt;"",SUBSTITUTE(SUBSTITUTE(SUBSTITUTE(SUBSTITUTE(SUBSTITUTE(SUBSTITUTE(SUBSTITUTE(SUBSTITUTE(SUBSTITUTE(SUBSTITUTE(SUBSTITUTE(SUBSTITUTE(LEFT(MID(TRIM(INDEX(PASTE_ALL,37,25)),1+(LEFT(TRIM(INDEX(PASTE_ALL,37,25)),1)="-"),999),LEN(MID(TRIM(INDEX(PASTE_ALL,37,25)),1+(LEFT(TRIM(INDEX(PASTE_ALL,37,25)),1)="-"),999))-(RIGHT(MID(TRIM(INDEX(PASTE_ALL,37,25)),1+(LEFT(TRIM(INDEX(PASTE_ALL,37,25)),1)="-"),999),1)="%")),"0",""),"1",""),"2",""),"3",""),"4",""),"5",""),"6",""),"7",""),"8",""),"9",""),".",""),",","")=""),2,1))),1)</f>
        <v/>
      </c>
      <c r="AX86">
        <f>IFERROR(IF(ISNUMBER(INDEX(PASTE_ALL,37,26)),2,IF(TRIM(INDEX(PASTE_ALL,37,26))="",0,IF(AND(LEFT(MID(TRIM(INDEX(PASTE_ALL,37,26)),1+(LEFT(TRIM(INDEX(PASTE_ALL,37,26)),1)="-"),999),LEN(MID(TRIM(INDEX(PASTE_ALL,37,26)),1+(LEFT(TRIM(INDEX(PASTE_ALL,37,26)),1)="-"),999))-(RIGHT(MID(TRIM(INDEX(PASTE_ALL,37,26)),1+(LEFT(TRIM(INDEX(PASTE_ALL,37,26)),1)="-"),999),1)="%"))&lt;&gt;"",SUBSTITUTE(SUBSTITUTE(SUBSTITUTE(SUBSTITUTE(SUBSTITUTE(SUBSTITUTE(SUBSTITUTE(SUBSTITUTE(SUBSTITUTE(SUBSTITUTE(SUBSTITUTE(SUBSTITUTE(LEFT(MID(TRIM(INDEX(PASTE_ALL,37,26)),1+(LEFT(TRIM(INDEX(PASTE_ALL,37,26)),1)="-"),999),LEN(MID(TRIM(INDEX(PASTE_ALL,37,26)),1+(LEFT(TRIM(INDEX(PASTE_ALL,37,26)),1)="-"),999))-(RIGHT(MID(TRIM(INDEX(PASTE_ALL,37,26)),1+(LEFT(TRIM(INDEX(PASTE_ALL,37,26)),1)="-"),999),1)="%")),"0",""),"1",""),"2",""),"3",""),"4",""),"5",""),"6",""),"7",""),"8",""),"9",""),".",""),",","")=""),2,1))),1)</f>
        <v/>
      </c>
      <c r="AY86">
        <f>IFERROR(IF(ISNUMBER(INDEX(PASTE_ALL,37,27)),2,IF(TRIM(INDEX(PASTE_ALL,37,27))="",0,IF(AND(LEFT(MID(TRIM(INDEX(PASTE_ALL,37,27)),1+(LEFT(TRIM(INDEX(PASTE_ALL,37,27)),1)="-"),999),LEN(MID(TRIM(INDEX(PASTE_ALL,37,27)),1+(LEFT(TRIM(INDEX(PASTE_ALL,37,27)),1)="-"),999))-(RIGHT(MID(TRIM(INDEX(PASTE_ALL,37,27)),1+(LEFT(TRIM(INDEX(PASTE_ALL,37,27)),1)="-"),999),1)="%"))&lt;&gt;"",SUBSTITUTE(SUBSTITUTE(SUBSTITUTE(SUBSTITUTE(SUBSTITUTE(SUBSTITUTE(SUBSTITUTE(SUBSTITUTE(SUBSTITUTE(SUBSTITUTE(SUBSTITUTE(SUBSTITUTE(LEFT(MID(TRIM(INDEX(PASTE_ALL,37,27)),1+(LEFT(TRIM(INDEX(PASTE_ALL,37,27)),1)="-"),999),LEN(MID(TRIM(INDEX(PASTE_ALL,37,27)),1+(LEFT(TRIM(INDEX(PASTE_ALL,37,27)),1)="-"),999))-(RIGHT(MID(TRIM(INDEX(PASTE_ALL,37,27)),1+(LEFT(TRIM(INDEX(PASTE_ALL,37,27)),1)="-"),999),1)="%")),"0",""),"1",""),"2",""),"3",""),"4",""),"5",""),"6",""),"7",""),"8",""),"9",""),".",""),",","")=""),2,1))),1)</f>
        <v/>
      </c>
      <c r="AZ86">
        <f>IFERROR(IF(ISNUMBER(INDEX(PASTE_ALL,37,28)),2,IF(TRIM(INDEX(PASTE_ALL,37,28))="",0,IF(AND(LEFT(MID(TRIM(INDEX(PASTE_ALL,37,28)),1+(LEFT(TRIM(INDEX(PASTE_ALL,37,28)),1)="-"),999),LEN(MID(TRIM(INDEX(PASTE_ALL,37,28)),1+(LEFT(TRIM(INDEX(PASTE_ALL,37,28)),1)="-"),999))-(RIGHT(MID(TRIM(INDEX(PASTE_ALL,37,28)),1+(LEFT(TRIM(INDEX(PASTE_ALL,37,28)),1)="-"),999),1)="%"))&lt;&gt;"",SUBSTITUTE(SUBSTITUTE(SUBSTITUTE(SUBSTITUTE(SUBSTITUTE(SUBSTITUTE(SUBSTITUTE(SUBSTITUTE(SUBSTITUTE(SUBSTITUTE(SUBSTITUTE(SUBSTITUTE(LEFT(MID(TRIM(INDEX(PASTE_ALL,37,28)),1+(LEFT(TRIM(INDEX(PASTE_ALL,37,28)),1)="-"),999),LEN(MID(TRIM(INDEX(PASTE_ALL,37,28)),1+(LEFT(TRIM(INDEX(PASTE_ALL,37,28)),1)="-"),999))-(RIGHT(MID(TRIM(INDEX(PASTE_ALL,37,28)),1+(LEFT(TRIM(INDEX(PASTE_ALL,37,28)),1)="-"),999),1)="%")),"0",""),"1",""),"2",""),"3",""),"4",""),"5",""),"6",""),"7",""),"8",""),"9",""),".",""),",","")=""),2,1))),1)</f>
        <v/>
      </c>
      <c r="BA86">
        <f>IFERROR(IF(ISNUMBER(INDEX(PASTE_ALL,37,29)),2,IF(TRIM(INDEX(PASTE_ALL,37,29))="",0,IF(AND(LEFT(MID(TRIM(INDEX(PASTE_ALL,37,29)),1+(LEFT(TRIM(INDEX(PASTE_ALL,37,29)),1)="-"),999),LEN(MID(TRIM(INDEX(PASTE_ALL,37,29)),1+(LEFT(TRIM(INDEX(PASTE_ALL,37,29)),1)="-"),999))-(RIGHT(MID(TRIM(INDEX(PASTE_ALL,37,29)),1+(LEFT(TRIM(INDEX(PASTE_ALL,37,29)),1)="-"),999),1)="%"))&lt;&gt;"",SUBSTITUTE(SUBSTITUTE(SUBSTITUTE(SUBSTITUTE(SUBSTITUTE(SUBSTITUTE(SUBSTITUTE(SUBSTITUTE(SUBSTITUTE(SUBSTITUTE(SUBSTITUTE(SUBSTITUTE(LEFT(MID(TRIM(INDEX(PASTE_ALL,37,29)),1+(LEFT(TRIM(INDEX(PASTE_ALL,37,29)),1)="-"),999),LEN(MID(TRIM(INDEX(PASTE_ALL,37,29)),1+(LEFT(TRIM(INDEX(PASTE_ALL,37,29)),1)="-"),999))-(RIGHT(MID(TRIM(INDEX(PASTE_ALL,37,29)),1+(LEFT(TRIM(INDEX(PASTE_ALL,37,29)),1)="-"),999),1)="%")),"0",""),"1",""),"2",""),"3",""),"4",""),"5",""),"6",""),"7",""),"8",""),"9",""),".",""),",","")=""),2,1))),1)</f>
        <v/>
      </c>
      <c r="BB86">
        <f>IFERROR(IF(ISNUMBER(INDEX(PASTE_ALL,37,30)),2,IF(TRIM(INDEX(PASTE_ALL,37,30))="",0,IF(AND(LEFT(MID(TRIM(INDEX(PASTE_ALL,37,30)),1+(LEFT(TRIM(INDEX(PASTE_ALL,37,30)),1)="-"),999),LEN(MID(TRIM(INDEX(PASTE_ALL,37,30)),1+(LEFT(TRIM(INDEX(PASTE_ALL,37,30)),1)="-"),999))-(RIGHT(MID(TRIM(INDEX(PASTE_ALL,37,30)),1+(LEFT(TRIM(INDEX(PASTE_ALL,37,30)),1)="-"),999),1)="%"))&lt;&gt;"",SUBSTITUTE(SUBSTITUTE(SUBSTITUTE(SUBSTITUTE(SUBSTITUTE(SUBSTITUTE(SUBSTITUTE(SUBSTITUTE(SUBSTITUTE(SUBSTITUTE(SUBSTITUTE(SUBSTITUTE(LEFT(MID(TRIM(INDEX(PASTE_ALL,37,30)),1+(LEFT(TRIM(INDEX(PASTE_ALL,37,30)),1)="-"),999),LEN(MID(TRIM(INDEX(PASTE_ALL,37,30)),1+(LEFT(TRIM(INDEX(PASTE_ALL,37,30)),1)="-"),999))-(RIGHT(MID(TRIM(INDEX(PASTE_ALL,37,30)),1+(LEFT(TRIM(INDEX(PASTE_ALL,37,30)),1)="-"),999),1)="%")),"0",""),"1",""),"2",""),"3",""),"4",""),"5",""),"6",""),"7",""),"8",""),"9",""),".",""),",","")=""),2,1))),1)</f>
        <v/>
      </c>
      <c r="BC86">
        <f>IFERROR(IF(ISNUMBER(INDEX(PASTE_ALL,37,31)),2,IF(TRIM(INDEX(PASTE_ALL,37,31))="",0,IF(AND(LEFT(MID(TRIM(INDEX(PASTE_ALL,37,31)),1+(LEFT(TRIM(INDEX(PASTE_ALL,37,31)),1)="-"),999),LEN(MID(TRIM(INDEX(PASTE_ALL,37,31)),1+(LEFT(TRIM(INDEX(PASTE_ALL,37,31)),1)="-"),999))-(RIGHT(MID(TRIM(INDEX(PASTE_ALL,37,31)),1+(LEFT(TRIM(INDEX(PASTE_ALL,37,31)),1)="-"),999),1)="%"))&lt;&gt;"",SUBSTITUTE(SUBSTITUTE(SUBSTITUTE(SUBSTITUTE(SUBSTITUTE(SUBSTITUTE(SUBSTITUTE(SUBSTITUTE(SUBSTITUTE(SUBSTITUTE(SUBSTITUTE(SUBSTITUTE(LEFT(MID(TRIM(INDEX(PASTE_ALL,37,31)),1+(LEFT(TRIM(INDEX(PASTE_ALL,37,31)),1)="-"),999),LEN(MID(TRIM(INDEX(PASTE_ALL,37,31)),1+(LEFT(TRIM(INDEX(PASTE_ALL,37,31)),1)="-"),999))-(RIGHT(MID(TRIM(INDEX(PASTE_ALL,37,31)),1+(LEFT(TRIM(INDEX(PASTE_ALL,37,31)),1)="-"),999),1)="%")),"0",""),"1",""),"2",""),"3",""),"4",""),"5",""),"6",""),"7",""),"8",""),"9",""),".",""),",","")=""),2,1))),1)</f>
        <v/>
      </c>
      <c r="BD86">
        <f>IFERROR(IF(ISNUMBER(INDEX(PASTE_ALL,37,32)),2,IF(TRIM(INDEX(PASTE_ALL,37,32))="",0,IF(AND(LEFT(MID(TRIM(INDEX(PASTE_ALL,37,32)),1+(LEFT(TRIM(INDEX(PASTE_ALL,37,32)),1)="-"),999),LEN(MID(TRIM(INDEX(PASTE_ALL,37,32)),1+(LEFT(TRIM(INDEX(PASTE_ALL,37,32)),1)="-"),999))-(RIGHT(MID(TRIM(INDEX(PASTE_ALL,37,32)),1+(LEFT(TRIM(INDEX(PASTE_ALL,37,32)),1)="-"),999),1)="%"))&lt;&gt;"",SUBSTITUTE(SUBSTITUTE(SUBSTITUTE(SUBSTITUTE(SUBSTITUTE(SUBSTITUTE(SUBSTITUTE(SUBSTITUTE(SUBSTITUTE(SUBSTITUTE(SUBSTITUTE(SUBSTITUTE(LEFT(MID(TRIM(INDEX(PASTE_ALL,37,32)),1+(LEFT(TRIM(INDEX(PASTE_ALL,37,32)),1)="-"),999),LEN(MID(TRIM(INDEX(PASTE_ALL,37,32)),1+(LEFT(TRIM(INDEX(PASTE_ALL,37,32)),1)="-"),999))-(RIGHT(MID(TRIM(INDEX(PASTE_ALL,37,32)),1+(LEFT(TRIM(INDEX(PASTE_ALL,37,32)),1)="-"),999),1)="%")),"0",""),"1",""),"2",""),"3",""),"4",""),"5",""),"6",""),"7",""),"8",""),"9",""),".",""),",","")=""),2,1))),1)</f>
        <v/>
      </c>
      <c r="BE86">
        <f>IFERROR(IF(ISNUMBER(INDEX(PASTE_ALL,37,33)),2,IF(TRIM(INDEX(PASTE_ALL,37,33))="",0,IF(AND(LEFT(MID(TRIM(INDEX(PASTE_ALL,37,33)),1+(LEFT(TRIM(INDEX(PASTE_ALL,37,33)),1)="-"),999),LEN(MID(TRIM(INDEX(PASTE_ALL,37,33)),1+(LEFT(TRIM(INDEX(PASTE_ALL,37,33)),1)="-"),999))-(RIGHT(MID(TRIM(INDEX(PASTE_ALL,37,33)),1+(LEFT(TRIM(INDEX(PASTE_ALL,37,33)),1)="-"),999),1)="%"))&lt;&gt;"",SUBSTITUTE(SUBSTITUTE(SUBSTITUTE(SUBSTITUTE(SUBSTITUTE(SUBSTITUTE(SUBSTITUTE(SUBSTITUTE(SUBSTITUTE(SUBSTITUTE(SUBSTITUTE(SUBSTITUTE(LEFT(MID(TRIM(INDEX(PASTE_ALL,37,33)),1+(LEFT(TRIM(INDEX(PASTE_ALL,37,33)),1)="-"),999),LEN(MID(TRIM(INDEX(PASTE_ALL,37,33)),1+(LEFT(TRIM(INDEX(PASTE_ALL,37,33)),1)="-"),999))-(RIGHT(MID(TRIM(INDEX(PASTE_ALL,37,33)),1+(LEFT(TRIM(INDEX(PASTE_ALL,37,33)),1)="-"),999),1)="%")),"0",""),"1",""),"2",""),"3",""),"4",""),"5",""),"6",""),"7",""),"8",""),"9",""),".",""),",","")=""),2,1))),1)</f>
        <v/>
      </c>
      <c r="BF86">
        <f>IFERROR(IF(ISNUMBER(INDEX(PASTE_ALL,37,34)),2,IF(TRIM(INDEX(PASTE_ALL,37,34))="",0,IF(AND(LEFT(MID(TRIM(INDEX(PASTE_ALL,37,34)),1+(LEFT(TRIM(INDEX(PASTE_ALL,37,34)),1)="-"),999),LEN(MID(TRIM(INDEX(PASTE_ALL,37,34)),1+(LEFT(TRIM(INDEX(PASTE_ALL,37,34)),1)="-"),999))-(RIGHT(MID(TRIM(INDEX(PASTE_ALL,37,34)),1+(LEFT(TRIM(INDEX(PASTE_ALL,37,34)),1)="-"),999),1)="%"))&lt;&gt;"",SUBSTITUTE(SUBSTITUTE(SUBSTITUTE(SUBSTITUTE(SUBSTITUTE(SUBSTITUTE(SUBSTITUTE(SUBSTITUTE(SUBSTITUTE(SUBSTITUTE(SUBSTITUTE(SUBSTITUTE(LEFT(MID(TRIM(INDEX(PASTE_ALL,37,34)),1+(LEFT(TRIM(INDEX(PASTE_ALL,37,34)),1)="-"),999),LEN(MID(TRIM(INDEX(PASTE_ALL,37,34)),1+(LEFT(TRIM(INDEX(PASTE_ALL,37,34)),1)="-"),999))-(RIGHT(MID(TRIM(INDEX(PASTE_ALL,37,34)),1+(LEFT(TRIM(INDEX(PASTE_ALL,37,34)),1)="-"),999),1)="%")),"0",""),"1",""),"2",""),"3",""),"4",""),"5",""),"6",""),"7",""),"8",""),"9",""),".",""),",","")=""),2,1))),1)</f>
        <v/>
      </c>
      <c r="BG86">
        <f>IFERROR(IF(ISNUMBER(INDEX(PASTE_ALL,37,35)),2,IF(TRIM(INDEX(PASTE_ALL,37,35))="",0,IF(AND(LEFT(MID(TRIM(INDEX(PASTE_ALL,37,35)),1+(LEFT(TRIM(INDEX(PASTE_ALL,37,35)),1)="-"),999),LEN(MID(TRIM(INDEX(PASTE_ALL,37,35)),1+(LEFT(TRIM(INDEX(PASTE_ALL,37,35)),1)="-"),999))-(RIGHT(MID(TRIM(INDEX(PASTE_ALL,37,35)),1+(LEFT(TRIM(INDEX(PASTE_ALL,37,35)),1)="-"),999),1)="%"))&lt;&gt;"",SUBSTITUTE(SUBSTITUTE(SUBSTITUTE(SUBSTITUTE(SUBSTITUTE(SUBSTITUTE(SUBSTITUTE(SUBSTITUTE(SUBSTITUTE(SUBSTITUTE(SUBSTITUTE(SUBSTITUTE(LEFT(MID(TRIM(INDEX(PASTE_ALL,37,35)),1+(LEFT(TRIM(INDEX(PASTE_ALL,37,35)),1)="-"),999),LEN(MID(TRIM(INDEX(PASTE_ALL,37,35)),1+(LEFT(TRIM(INDEX(PASTE_ALL,37,35)),1)="-"),999))-(RIGHT(MID(TRIM(INDEX(PASTE_ALL,37,35)),1+(LEFT(TRIM(INDEX(PASTE_ALL,37,35)),1)="-"),999),1)="%")),"0",""),"1",""),"2",""),"3",""),"4",""),"5",""),"6",""),"7",""),"8",""),"9",""),".",""),",","")=""),2,1))),1)</f>
        <v/>
      </c>
      <c r="BH86">
        <f>IFERROR(IF(ISNUMBER(INDEX(PASTE_ALL,37,36)),2,IF(TRIM(INDEX(PASTE_ALL,37,36))="",0,IF(AND(LEFT(MID(TRIM(INDEX(PASTE_ALL,37,36)),1+(LEFT(TRIM(INDEX(PASTE_ALL,37,36)),1)="-"),999),LEN(MID(TRIM(INDEX(PASTE_ALL,37,36)),1+(LEFT(TRIM(INDEX(PASTE_ALL,37,36)),1)="-"),999))-(RIGHT(MID(TRIM(INDEX(PASTE_ALL,37,36)),1+(LEFT(TRIM(INDEX(PASTE_ALL,37,36)),1)="-"),999),1)="%"))&lt;&gt;"",SUBSTITUTE(SUBSTITUTE(SUBSTITUTE(SUBSTITUTE(SUBSTITUTE(SUBSTITUTE(SUBSTITUTE(SUBSTITUTE(SUBSTITUTE(SUBSTITUTE(SUBSTITUTE(SUBSTITUTE(LEFT(MID(TRIM(INDEX(PASTE_ALL,37,36)),1+(LEFT(TRIM(INDEX(PASTE_ALL,37,36)),1)="-"),999),LEN(MID(TRIM(INDEX(PASTE_ALL,37,36)),1+(LEFT(TRIM(INDEX(PASTE_ALL,37,36)),1)="-"),999))-(RIGHT(MID(TRIM(INDEX(PASTE_ALL,37,36)),1+(LEFT(TRIM(INDEX(PASTE_ALL,37,36)),1)="-"),999),1)="%")),"0",""),"1",""),"2",""),"3",""),"4",""),"5",""),"6",""),"7",""),"8",""),"9",""),".",""),",","")=""),2,1))),1)</f>
        <v/>
      </c>
      <c r="BI86">
        <f>IFERROR(IF(ISNUMBER(INDEX(PASTE_ALL,37,37)),2,IF(TRIM(INDEX(PASTE_ALL,37,37))="",0,IF(AND(LEFT(MID(TRIM(INDEX(PASTE_ALL,37,37)),1+(LEFT(TRIM(INDEX(PASTE_ALL,37,37)),1)="-"),999),LEN(MID(TRIM(INDEX(PASTE_ALL,37,37)),1+(LEFT(TRIM(INDEX(PASTE_ALL,37,37)),1)="-"),999))-(RIGHT(MID(TRIM(INDEX(PASTE_ALL,37,37)),1+(LEFT(TRIM(INDEX(PASTE_ALL,37,37)),1)="-"),999),1)="%"))&lt;&gt;"",SUBSTITUTE(SUBSTITUTE(SUBSTITUTE(SUBSTITUTE(SUBSTITUTE(SUBSTITUTE(SUBSTITUTE(SUBSTITUTE(SUBSTITUTE(SUBSTITUTE(SUBSTITUTE(SUBSTITUTE(LEFT(MID(TRIM(INDEX(PASTE_ALL,37,37)),1+(LEFT(TRIM(INDEX(PASTE_ALL,37,37)),1)="-"),999),LEN(MID(TRIM(INDEX(PASTE_ALL,37,37)),1+(LEFT(TRIM(INDEX(PASTE_ALL,37,37)),1)="-"),999))-(RIGHT(MID(TRIM(INDEX(PASTE_ALL,37,37)),1+(LEFT(TRIM(INDEX(PASTE_ALL,37,37)),1)="-"),999),1)="%")),"0",""),"1",""),"2",""),"3",""),"4",""),"5",""),"6",""),"7",""),"8",""),"9",""),".",""),",","")=""),2,1))),1)</f>
        <v/>
      </c>
      <c r="BJ86">
        <f>IFERROR(IF(ISNUMBER(INDEX(PASTE_ALL,37,38)),2,IF(TRIM(INDEX(PASTE_ALL,37,38))="",0,IF(AND(LEFT(MID(TRIM(INDEX(PASTE_ALL,37,38)),1+(LEFT(TRIM(INDEX(PASTE_ALL,37,38)),1)="-"),999),LEN(MID(TRIM(INDEX(PASTE_ALL,37,38)),1+(LEFT(TRIM(INDEX(PASTE_ALL,37,38)),1)="-"),999))-(RIGHT(MID(TRIM(INDEX(PASTE_ALL,37,38)),1+(LEFT(TRIM(INDEX(PASTE_ALL,37,38)),1)="-"),999),1)="%"))&lt;&gt;"",SUBSTITUTE(SUBSTITUTE(SUBSTITUTE(SUBSTITUTE(SUBSTITUTE(SUBSTITUTE(SUBSTITUTE(SUBSTITUTE(SUBSTITUTE(SUBSTITUTE(SUBSTITUTE(SUBSTITUTE(LEFT(MID(TRIM(INDEX(PASTE_ALL,37,38)),1+(LEFT(TRIM(INDEX(PASTE_ALL,37,38)),1)="-"),999),LEN(MID(TRIM(INDEX(PASTE_ALL,37,38)),1+(LEFT(TRIM(INDEX(PASTE_ALL,37,38)),1)="-"),999))-(RIGHT(MID(TRIM(INDEX(PASTE_ALL,37,38)),1+(LEFT(TRIM(INDEX(PASTE_ALL,37,38)),1)="-"),999),1)="%")),"0",""),"1",""),"2",""),"3",""),"4",""),"5",""),"6",""),"7",""),"8",""),"9",""),".",""),",","")=""),2,1))),1)</f>
        <v/>
      </c>
      <c r="BK86">
        <f>IFERROR(IF(ISNUMBER(INDEX(PASTE_ALL,37,39)),2,IF(TRIM(INDEX(PASTE_ALL,37,39))="",0,IF(AND(LEFT(MID(TRIM(INDEX(PASTE_ALL,37,39)),1+(LEFT(TRIM(INDEX(PASTE_ALL,37,39)),1)="-"),999),LEN(MID(TRIM(INDEX(PASTE_ALL,37,39)),1+(LEFT(TRIM(INDEX(PASTE_ALL,37,39)),1)="-"),999))-(RIGHT(MID(TRIM(INDEX(PASTE_ALL,37,39)),1+(LEFT(TRIM(INDEX(PASTE_ALL,37,39)),1)="-"),999),1)="%"))&lt;&gt;"",SUBSTITUTE(SUBSTITUTE(SUBSTITUTE(SUBSTITUTE(SUBSTITUTE(SUBSTITUTE(SUBSTITUTE(SUBSTITUTE(SUBSTITUTE(SUBSTITUTE(SUBSTITUTE(SUBSTITUTE(LEFT(MID(TRIM(INDEX(PASTE_ALL,37,39)),1+(LEFT(TRIM(INDEX(PASTE_ALL,37,39)),1)="-"),999),LEN(MID(TRIM(INDEX(PASTE_ALL,37,39)),1+(LEFT(TRIM(INDEX(PASTE_ALL,37,39)),1)="-"),999))-(RIGHT(MID(TRIM(INDEX(PASTE_ALL,37,39)),1+(LEFT(TRIM(INDEX(PASTE_ALL,37,39)),1)="-"),999),1)="%")),"0",""),"1",""),"2",""),"3",""),"4",""),"5",""),"6",""),"7",""),"8",""),"9",""),".",""),",","")=""),2,1))),1)</f>
        <v/>
      </c>
      <c r="BL86">
        <f>IFERROR(IF(ISNUMBER(INDEX(PASTE_ALL,37,40)),2,IF(TRIM(INDEX(PASTE_ALL,37,40))="",0,IF(AND(LEFT(MID(TRIM(INDEX(PASTE_ALL,37,40)),1+(LEFT(TRIM(INDEX(PASTE_ALL,37,40)),1)="-"),999),LEN(MID(TRIM(INDEX(PASTE_ALL,37,40)),1+(LEFT(TRIM(INDEX(PASTE_ALL,37,40)),1)="-"),999))-(RIGHT(MID(TRIM(INDEX(PASTE_ALL,37,40)),1+(LEFT(TRIM(INDEX(PASTE_ALL,37,40)),1)="-"),999),1)="%"))&lt;&gt;"",SUBSTITUTE(SUBSTITUTE(SUBSTITUTE(SUBSTITUTE(SUBSTITUTE(SUBSTITUTE(SUBSTITUTE(SUBSTITUTE(SUBSTITUTE(SUBSTITUTE(SUBSTITUTE(SUBSTITUTE(LEFT(MID(TRIM(INDEX(PASTE_ALL,37,40)),1+(LEFT(TRIM(INDEX(PASTE_ALL,37,40)),1)="-"),999),LEN(MID(TRIM(INDEX(PASTE_ALL,37,40)),1+(LEFT(TRIM(INDEX(PASTE_ALL,37,40)),1)="-"),999))-(RIGHT(MID(TRIM(INDEX(PASTE_ALL,37,40)),1+(LEFT(TRIM(INDEX(PASTE_ALL,37,40)),1)="-"),999),1)="%")),"0",""),"1",""),"2",""),"3",""),"4",""),"5",""),"6",""),"7",""),"8",""),"9",""),".",""),",","")=""),2,1))),1)</f>
        <v/>
      </c>
      <c r="BM86">
        <f>IFERROR(IF(ISNUMBER(INDEX(PASTE_ALL,37,41)),2,IF(TRIM(INDEX(PASTE_ALL,37,41))="",0,IF(AND(LEFT(MID(TRIM(INDEX(PASTE_ALL,37,41)),1+(LEFT(TRIM(INDEX(PASTE_ALL,37,41)),1)="-"),999),LEN(MID(TRIM(INDEX(PASTE_ALL,37,41)),1+(LEFT(TRIM(INDEX(PASTE_ALL,37,41)),1)="-"),999))-(RIGHT(MID(TRIM(INDEX(PASTE_ALL,37,41)),1+(LEFT(TRIM(INDEX(PASTE_ALL,37,41)),1)="-"),999),1)="%"))&lt;&gt;"",SUBSTITUTE(SUBSTITUTE(SUBSTITUTE(SUBSTITUTE(SUBSTITUTE(SUBSTITUTE(SUBSTITUTE(SUBSTITUTE(SUBSTITUTE(SUBSTITUTE(SUBSTITUTE(SUBSTITUTE(LEFT(MID(TRIM(INDEX(PASTE_ALL,37,41)),1+(LEFT(TRIM(INDEX(PASTE_ALL,37,41)),1)="-"),999),LEN(MID(TRIM(INDEX(PASTE_ALL,37,41)),1+(LEFT(TRIM(INDEX(PASTE_ALL,37,41)),1)="-"),999))-(RIGHT(MID(TRIM(INDEX(PASTE_ALL,37,41)),1+(LEFT(TRIM(INDEX(PASTE_ALL,37,41)),1)="-"),999),1)="%")),"0",""),"1",""),"2",""),"3",""),"4",""),"5",""),"6",""),"7",""),"8",""),"9",""),".",""),",","")=""),2,1))),1)</f>
        <v/>
      </c>
      <c r="BN86">
        <f>IFERROR(IF(ISNUMBER(INDEX(PASTE_ALL,37,42)),2,IF(TRIM(INDEX(PASTE_ALL,37,42))="",0,IF(AND(LEFT(MID(TRIM(INDEX(PASTE_ALL,37,42)),1+(LEFT(TRIM(INDEX(PASTE_ALL,37,42)),1)="-"),999),LEN(MID(TRIM(INDEX(PASTE_ALL,37,42)),1+(LEFT(TRIM(INDEX(PASTE_ALL,37,42)),1)="-"),999))-(RIGHT(MID(TRIM(INDEX(PASTE_ALL,37,42)),1+(LEFT(TRIM(INDEX(PASTE_ALL,37,42)),1)="-"),999),1)="%"))&lt;&gt;"",SUBSTITUTE(SUBSTITUTE(SUBSTITUTE(SUBSTITUTE(SUBSTITUTE(SUBSTITUTE(SUBSTITUTE(SUBSTITUTE(SUBSTITUTE(SUBSTITUTE(SUBSTITUTE(SUBSTITUTE(LEFT(MID(TRIM(INDEX(PASTE_ALL,37,42)),1+(LEFT(TRIM(INDEX(PASTE_ALL,37,42)),1)="-"),999),LEN(MID(TRIM(INDEX(PASTE_ALL,37,42)),1+(LEFT(TRIM(INDEX(PASTE_ALL,37,42)),1)="-"),999))-(RIGHT(MID(TRIM(INDEX(PASTE_ALL,37,42)),1+(LEFT(TRIM(INDEX(PASTE_ALL,37,42)),1)="-"),999),1)="%")),"0",""),"1",""),"2",""),"3",""),"4",""),"5",""),"6",""),"7",""),"8",""),"9",""),".",""),",","")=""),2,1))),1)</f>
        <v/>
      </c>
      <c r="BO86">
        <f>IFERROR(IF(ISNUMBER(INDEX(PASTE_ALL,37,43)),2,IF(TRIM(INDEX(PASTE_ALL,37,43))="",0,IF(AND(LEFT(MID(TRIM(INDEX(PASTE_ALL,37,43)),1+(LEFT(TRIM(INDEX(PASTE_ALL,37,43)),1)="-"),999),LEN(MID(TRIM(INDEX(PASTE_ALL,37,43)),1+(LEFT(TRIM(INDEX(PASTE_ALL,37,43)),1)="-"),999))-(RIGHT(MID(TRIM(INDEX(PASTE_ALL,37,43)),1+(LEFT(TRIM(INDEX(PASTE_ALL,37,43)),1)="-"),999),1)="%"))&lt;&gt;"",SUBSTITUTE(SUBSTITUTE(SUBSTITUTE(SUBSTITUTE(SUBSTITUTE(SUBSTITUTE(SUBSTITUTE(SUBSTITUTE(SUBSTITUTE(SUBSTITUTE(SUBSTITUTE(SUBSTITUTE(LEFT(MID(TRIM(INDEX(PASTE_ALL,37,43)),1+(LEFT(TRIM(INDEX(PASTE_ALL,37,43)),1)="-"),999),LEN(MID(TRIM(INDEX(PASTE_ALL,37,43)),1+(LEFT(TRIM(INDEX(PASTE_ALL,37,43)),1)="-"),999))-(RIGHT(MID(TRIM(INDEX(PASTE_ALL,37,43)),1+(LEFT(TRIM(INDEX(PASTE_ALL,37,43)),1)="-"),999),1)="%")),"0",""),"1",""),"2",""),"3",""),"4",""),"5",""),"6",""),"7",""),"8",""),"9",""),".",""),",","")=""),2,1))),1)</f>
        <v/>
      </c>
      <c r="BP86">
        <f>IFERROR(IF(ISNUMBER(INDEX(PASTE_ALL,37,44)),2,IF(TRIM(INDEX(PASTE_ALL,37,44))="",0,IF(AND(LEFT(MID(TRIM(INDEX(PASTE_ALL,37,44)),1+(LEFT(TRIM(INDEX(PASTE_ALL,37,44)),1)="-"),999),LEN(MID(TRIM(INDEX(PASTE_ALL,37,44)),1+(LEFT(TRIM(INDEX(PASTE_ALL,37,44)),1)="-"),999))-(RIGHT(MID(TRIM(INDEX(PASTE_ALL,37,44)),1+(LEFT(TRIM(INDEX(PASTE_ALL,37,44)),1)="-"),999),1)="%"))&lt;&gt;"",SUBSTITUTE(SUBSTITUTE(SUBSTITUTE(SUBSTITUTE(SUBSTITUTE(SUBSTITUTE(SUBSTITUTE(SUBSTITUTE(SUBSTITUTE(SUBSTITUTE(SUBSTITUTE(SUBSTITUTE(LEFT(MID(TRIM(INDEX(PASTE_ALL,37,44)),1+(LEFT(TRIM(INDEX(PASTE_ALL,37,44)),1)="-"),999),LEN(MID(TRIM(INDEX(PASTE_ALL,37,44)),1+(LEFT(TRIM(INDEX(PASTE_ALL,37,44)),1)="-"),999))-(RIGHT(MID(TRIM(INDEX(PASTE_ALL,37,44)),1+(LEFT(TRIM(INDEX(PASTE_ALL,37,44)),1)="-"),999),1)="%")),"0",""),"1",""),"2",""),"3",""),"4",""),"5",""),"6",""),"7",""),"8",""),"9",""),".",""),",","")=""),2,1))),1)</f>
        <v/>
      </c>
      <c r="BQ86">
        <f>IFERROR(IF(ISNUMBER(INDEX(PASTE_ALL,37,45)),2,IF(TRIM(INDEX(PASTE_ALL,37,45))="",0,IF(AND(LEFT(MID(TRIM(INDEX(PASTE_ALL,37,45)),1+(LEFT(TRIM(INDEX(PASTE_ALL,37,45)),1)="-"),999),LEN(MID(TRIM(INDEX(PASTE_ALL,37,45)),1+(LEFT(TRIM(INDEX(PASTE_ALL,37,45)),1)="-"),999))-(RIGHT(MID(TRIM(INDEX(PASTE_ALL,37,45)),1+(LEFT(TRIM(INDEX(PASTE_ALL,37,45)),1)="-"),999),1)="%"))&lt;&gt;"",SUBSTITUTE(SUBSTITUTE(SUBSTITUTE(SUBSTITUTE(SUBSTITUTE(SUBSTITUTE(SUBSTITUTE(SUBSTITUTE(SUBSTITUTE(SUBSTITUTE(SUBSTITUTE(SUBSTITUTE(LEFT(MID(TRIM(INDEX(PASTE_ALL,37,45)),1+(LEFT(TRIM(INDEX(PASTE_ALL,37,45)),1)="-"),999),LEN(MID(TRIM(INDEX(PASTE_ALL,37,45)),1+(LEFT(TRIM(INDEX(PASTE_ALL,37,45)),1)="-"),999))-(RIGHT(MID(TRIM(INDEX(PASTE_ALL,37,45)),1+(LEFT(TRIM(INDEX(PASTE_ALL,37,45)),1)="-"),999),1)="%")),"0",""),"1",""),"2",""),"3",""),"4",""),"5",""),"6",""),"7",""),"8",""),"9",""),".",""),",","")=""),2,1))),1)</f>
        <v/>
      </c>
      <c r="BR86">
        <f>IFERROR(IF(ISNUMBER(INDEX(PASTE_ALL,37,46)),2,IF(TRIM(INDEX(PASTE_ALL,37,46))="",0,IF(AND(LEFT(MID(TRIM(INDEX(PASTE_ALL,37,46)),1+(LEFT(TRIM(INDEX(PASTE_ALL,37,46)),1)="-"),999),LEN(MID(TRIM(INDEX(PASTE_ALL,37,46)),1+(LEFT(TRIM(INDEX(PASTE_ALL,37,46)),1)="-"),999))-(RIGHT(MID(TRIM(INDEX(PASTE_ALL,37,46)),1+(LEFT(TRIM(INDEX(PASTE_ALL,37,46)),1)="-"),999),1)="%"))&lt;&gt;"",SUBSTITUTE(SUBSTITUTE(SUBSTITUTE(SUBSTITUTE(SUBSTITUTE(SUBSTITUTE(SUBSTITUTE(SUBSTITUTE(SUBSTITUTE(SUBSTITUTE(SUBSTITUTE(SUBSTITUTE(LEFT(MID(TRIM(INDEX(PASTE_ALL,37,46)),1+(LEFT(TRIM(INDEX(PASTE_ALL,37,46)),1)="-"),999),LEN(MID(TRIM(INDEX(PASTE_ALL,37,46)),1+(LEFT(TRIM(INDEX(PASTE_ALL,37,46)),1)="-"),999))-(RIGHT(MID(TRIM(INDEX(PASTE_ALL,37,46)),1+(LEFT(TRIM(INDEX(PASTE_ALL,37,46)),1)="-"),999),1)="%")),"0",""),"1",""),"2",""),"3",""),"4",""),"5",""),"6",""),"7",""),"8",""),"9",""),".",""),",","")=""),2,1))),1)</f>
        <v/>
      </c>
      <c r="BS86">
        <f>IFERROR(IF(ISNUMBER(INDEX(PASTE_ALL,37,47)),2,IF(TRIM(INDEX(PASTE_ALL,37,47))="",0,IF(AND(LEFT(MID(TRIM(INDEX(PASTE_ALL,37,47)),1+(LEFT(TRIM(INDEX(PASTE_ALL,37,47)),1)="-"),999),LEN(MID(TRIM(INDEX(PASTE_ALL,37,47)),1+(LEFT(TRIM(INDEX(PASTE_ALL,37,47)),1)="-"),999))-(RIGHT(MID(TRIM(INDEX(PASTE_ALL,37,47)),1+(LEFT(TRIM(INDEX(PASTE_ALL,37,47)),1)="-"),999),1)="%"))&lt;&gt;"",SUBSTITUTE(SUBSTITUTE(SUBSTITUTE(SUBSTITUTE(SUBSTITUTE(SUBSTITUTE(SUBSTITUTE(SUBSTITUTE(SUBSTITUTE(SUBSTITUTE(SUBSTITUTE(SUBSTITUTE(LEFT(MID(TRIM(INDEX(PASTE_ALL,37,47)),1+(LEFT(TRIM(INDEX(PASTE_ALL,37,47)),1)="-"),999),LEN(MID(TRIM(INDEX(PASTE_ALL,37,47)),1+(LEFT(TRIM(INDEX(PASTE_ALL,37,47)),1)="-"),999))-(RIGHT(MID(TRIM(INDEX(PASTE_ALL,37,47)),1+(LEFT(TRIM(INDEX(PASTE_ALL,37,47)),1)="-"),999),1)="%")),"0",""),"1",""),"2",""),"3",""),"4",""),"5",""),"6",""),"7",""),"8",""),"9",""),".",""),",","")=""),2,1))),1)</f>
        <v/>
      </c>
      <c r="BT86">
        <f>IFERROR(IF(ISNUMBER(INDEX(PASTE_ALL,37,48)),2,IF(TRIM(INDEX(PASTE_ALL,37,48))="",0,IF(AND(LEFT(MID(TRIM(INDEX(PASTE_ALL,37,48)),1+(LEFT(TRIM(INDEX(PASTE_ALL,37,48)),1)="-"),999),LEN(MID(TRIM(INDEX(PASTE_ALL,37,48)),1+(LEFT(TRIM(INDEX(PASTE_ALL,37,48)),1)="-"),999))-(RIGHT(MID(TRIM(INDEX(PASTE_ALL,37,48)),1+(LEFT(TRIM(INDEX(PASTE_ALL,37,48)),1)="-"),999),1)="%"))&lt;&gt;"",SUBSTITUTE(SUBSTITUTE(SUBSTITUTE(SUBSTITUTE(SUBSTITUTE(SUBSTITUTE(SUBSTITUTE(SUBSTITUTE(SUBSTITUTE(SUBSTITUTE(SUBSTITUTE(SUBSTITUTE(LEFT(MID(TRIM(INDEX(PASTE_ALL,37,48)),1+(LEFT(TRIM(INDEX(PASTE_ALL,37,48)),1)="-"),999),LEN(MID(TRIM(INDEX(PASTE_ALL,37,48)),1+(LEFT(TRIM(INDEX(PASTE_ALL,37,48)),1)="-"),999))-(RIGHT(MID(TRIM(INDEX(PASTE_ALL,37,48)),1+(LEFT(TRIM(INDEX(PASTE_ALL,37,48)),1)="-"),999),1)="%")),"0",""),"1",""),"2",""),"3",""),"4",""),"5",""),"6",""),"7",""),"8",""),"9",""),".",""),",","")=""),2,1))),1)</f>
        <v/>
      </c>
      <c r="BU86">
        <f>IFERROR(IF(ISNUMBER(INDEX(PASTE_ALL,37,49)),2,IF(TRIM(INDEX(PASTE_ALL,37,49))="",0,IF(AND(LEFT(MID(TRIM(INDEX(PASTE_ALL,37,49)),1+(LEFT(TRIM(INDEX(PASTE_ALL,37,49)),1)="-"),999),LEN(MID(TRIM(INDEX(PASTE_ALL,37,49)),1+(LEFT(TRIM(INDEX(PASTE_ALL,37,49)),1)="-"),999))-(RIGHT(MID(TRIM(INDEX(PASTE_ALL,37,49)),1+(LEFT(TRIM(INDEX(PASTE_ALL,37,49)),1)="-"),999),1)="%"))&lt;&gt;"",SUBSTITUTE(SUBSTITUTE(SUBSTITUTE(SUBSTITUTE(SUBSTITUTE(SUBSTITUTE(SUBSTITUTE(SUBSTITUTE(SUBSTITUTE(SUBSTITUTE(SUBSTITUTE(SUBSTITUTE(LEFT(MID(TRIM(INDEX(PASTE_ALL,37,49)),1+(LEFT(TRIM(INDEX(PASTE_ALL,37,49)),1)="-"),999),LEN(MID(TRIM(INDEX(PASTE_ALL,37,49)),1+(LEFT(TRIM(INDEX(PASTE_ALL,37,49)),1)="-"),999))-(RIGHT(MID(TRIM(INDEX(PASTE_ALL,37,49)),1+(LEFT(TRIM(INDEX(PASTE_ALL,37,49)),1)="-"),999),1)="%")),"0",""),"1",""),"2",""),"3",""),"4",""),"5",""),"6",""),"7",""),"8",""),"9",""),".",""),",","")=""),2,1))),1)</f>
        <v/>
      </c>
      <c r="BV86">
        <f>IFERROR(IF(ISNUMBER(INDEX(PASTE_ALL,37,50)),2,IF(TRIM(INDEX(PASTE_ALL,37,50))="",0,IF(AND(LEFT(MID(TRIM(INDEX(PASTE_ALL,37,50)),1+(LEFT(TRIM(INDEX(PASTE_ALL,37,50)),1)="-"),999),LEN(MID(TRIM(INDEX(PASTE_ALL,37,50)),1+(LEFT(TRIM(INDEX(PASTE_ALL,37,50)),1)="-"),999))-(RIGHT(MID(TRIM(INDEX(PASTE_ALL,37,50)),1+(LEFT(TRIM(INDEX(PASTE_ALL,37,50)),1)="-"),999),1)="%"))&lt;&gt;"",SUBSTITUTE(SUBSTITUTE(SUBSTITUTE(SUBSTITUTE(SUBSTITUTE(SUBSTITUTE(SUBSTITUTE(SUBSTITUTE(SUBSTITUTE(SUBSTITUTE(SUBSTITUTE(SUBSTITUTE(LEFT(MID(TRIM(INDEX(PASTE_ALL,37,50)),1+(LEFT(TRIM(INDEX(PASTE_ALL,37,50)),1)="-"),999),LEN(MID(TRIM(INDEX(PASTE_ALL,37,50)),1+(LEFT(TRIM(INDEX(PASTE_ALL,37,50)),1)="-"),999))-(RIGHT(MID(TRIM(INDEX(PASTE_ALL,37,50)),1+(LEFT(TRIM(INDEX(PASTE_ALL,37,50)),1)="-"),999),1)="%")),"0",""),"1",""),"2",""),"3",""),"4",""),"5",""),"6",""),"7",""),"8",""),"9",""),".",""),",","")=""),2,1))),1)</f>
        <v/>
      </c>
      <c r="BW86">
        <f>IFERROR(IF(ISNUMBER(INDEX(PASTE_ALL,37,51)),2,IF(TRIM(INDEX(PASTE_ALL,37,51))="",0,IF(AND(LEFT(MID(TRIM(INDEX(PASTE_ALL,37,51)),1+(LEFT(TRIM(INDEX(PASTE_ALL,37,51)),1)="-"),999),LEN(MID(TRIM(INDEX(PASTE_ALL,37,51)),1+(LEFT(TRIM(INDEX(PASTE_ALL,37,51)),1)="-"),999))-(RIGHT(MID(TRIM(INDEX(PASTE_ALL,37,51)),1+(LEFT(TRIM(INDEX(PASTE_ALL,37,51)),1)="-"),999),1)="%"))&lt;&gt;"",SUBSTITUTE(SUBSTITUTE(SUBSTITUTE(SUBSTITUTE(SUBSTITUTE(SUBSTITUTE(SUBSTITUTE(SUBSTITUTE(SUBSTITUTE(SUBSTITUTE(SUBSTITUTE(SUBSTITUTE(LEFT(MID(TRIM(INDEX(PASTE_ALL,37,51)),1+(LEFT(TRIM(INDEX(PASTE_ALL,37,51)),1)="-"),999),LEN(MID(TRIM(INDEX(PASTE_ALL,37,51)),1+(LEFT(TRIM(INDEX(PASTE_ALL,37,51)),1)="-"),999))-(RIGHT(MID(TRIM(INDEX(PASTE_ALL,37,51)),1+(LEFT(TRIM(INDEX(PASTE_ALL,37,51)),1)="-"),999),1)="%")),"0",""),"1",""),"2",""),"3",""),"4",""),"5",""),"6",""),"7",""),"8",""),"9",""),".",""),",","")=""),2,1))),1)</f>
        <v/>
      </c>
      <c r="BX86">
        <f>IFERROR(IF(ISNUMBER(INDEX(PASTE_ALL,37,52)),2,IF(TRIM(INDEX(PASTE_ALL,37,52))="",0,IF(AND(LEFT(MID(TRIM(INDEX(PASTE_ALL,37,52)),1+(LEFT(TRIM(INDEX(PASTE_ALL,37,52)),1)="-"),999),LEN(MID(TRIM(INDEX(PASTE_ALL,37,52)),1+(LEFT(TRIM(INDEX(PASTE_ALL,37,52)),1)="-"),999))-(RIGHT(MID(TRIM(INDEX(PASTE_ALL,37,52)),1+(LEFT(TRIM(INDEX(PASTE_ALL,37,52)),1)="-"),999),1)="%"))&lt;&gt;"",SUBSTITUTE(SUBSTITUTE(SUBSTITUTE(SUBSTITUTE(SUBSTITUTE(SUBSTITUTE(SUBSTITUTE(SUBSTITUTE(SUBSTITUTE(SUBSTITUTE(SUBSTITUTE(SUBSTITUTE(LEFT(MID(TRIM(INDEX(PASTE_ALL,37,52)),1+(LEFT(TRIM(INDEX(PASTE_ALL,37,52)),1)="-"),999),LEN(MID(TRIM(INDEX(PASTE_ALL,37,52)),1+(LEFT(TRIM(INDEX(PASTE_ALL,37,52)),1)="-"),999))-(RIGHT(MID(TRIM(INDEX(PASTE_ALL,37,52)),1+(LEFT(TRIM(INDEX(PASTE_ALL,37,52)),1)="-"),999),1)="%")),"0",""),"1",""),"2",""),"3",""),"4",""),"5",""),"6",""),"7",""),"8",""),"9",""),".",""),",","")=""),2,1))),1)</f>
        <v/>
      </c>
      <c r="BY86">
        <f>IFERROR(IF(ISNUMBER(INDEX(PASTE_ALL,37,53)),2,IF(TRIM(INDEX(PASTE_ALL,37,53))="",0,IF(AND(LEFT(MID(TRIM(INDEX(PASTE_ALL,37,53)),1+(LEFT(TRIM(INDEX(PASTE_ALL,37,53)),1)="-"),999),LEN(MID(TRIM(INDEX(PASTE_ALL,37,53)),1+(LEFT(TRIM(INDEX(PASTE_ALL,37,53)),1)="-"),999))-(RIGHT(MID(TRIM(INDEX(PASTE_ALL,37,53)),1+(LEFT(TRIM(INDEX(PASTE_ALL,37,53)),1)="-"),999),1)="%"))&lt;&gt;"",SUBSTITUTE(SUBSTITUTE(SUBSTITUTE(SUBSTITUTE(SUBSTITUTE(SUBSTITUTE(SUBSTITUTE(SUBSTITUTE(SUBSTITUTE(SUBSTITUTE(SUBSTITUTE(SUBSTITUTE(LEFT(MID(TRIM(INDEX(PASTE_ALL,37,53)),1+(LEFT(TRIM(INDEX(PASTE_ALL,37,53)),1)="-"),999),LEN(MID(TRIM(INDEX(PASTE_ALL,37,53)),1+(LEFT(TRIM(INDEX(PASTE_ALL,37,53)),1)="-"),999))-(RIGHT(MID(TRIM(INDEX(PASTE_ALL,37,53)),1+(LEFT(TRIM(INDEX(PASTE_ALL,37,53)),1)="-"),999),1)="%")),"0",""),"1",""),"2",""),"3",""),"4",""),"5",""),"6",""),"7",""),"8",""),"9",""),".",""),",","")=""),2,1))),1)</f>
        <v/>
      </c>
      <c r="BZ86">
        <f>IFERROR(IF(ISNUMBER(INDEX(PASTE_ALL,37,54)),2,IF(TRIM(INDEX(PASTE_ALL,37,54))="",0,IF(AND(LEFT(MID(TRIM(INDEX(PASTE_ALL,37,54)),1+(LEFT(TRIM(INDEX(PASTE_ALL,37,54)),1)="-"),999),LEN(MID(TRIM(INDEX(PASTE_ALL,37,54)),1+(LEFT(TRIM(INDEX(PASTE_ALL,37,54)),1)="-"),999))-(RIGHT(MID(TRIM(INDEX(PASTE_ALL,37,54)),1+(LEFT(TRIM(INDEX(PASTE_ALL,37,54)),1)="-"),999),1)="%"))&lt;&gt;"",SUBSTITUTE(SUBSTITUTE(SUBSTITUTE(SUBSTITUTE(SUBSTITUTE(SUBSTITUTE(SUBSTITUTE(SUBSTITUTE(SUBSTITUTE(SUBSTITUTE(SUBSTITUTE(SUBSTITUTE(LEFT(MID(TRIM(INDEX(PASTE_ALL,37,54)),1+(LEFT(TRIM(INDEX(PASTE_ALL,37,54)),1)="-"),999),LEN(MID(TRIM(INDEX(PASTE_ALL,37,54)),1+(LEFT(TRIM(INDEX(PASTE_ALL,37,54)),1)="-"),999))-(RIGHT(MID(TRIM(INDEX(PASTE_ALL,37,54)),1+(LEFT(TRIM(INDEX(PASTE_ALL,37,54)),1)="-"),999),1)="%")),"0",""),"1",""),"2",""),"3",""),"4",""),"5",""),"6",""),"7",""),"8",""),"9",""),".",""),",","")=""),2,1))),1)</f>
        <v/>
      </c>
      <c r="CA86">
        <f>IFERROR(IF(ISNUMBER(INDEX(PASTE_ALL,37,55)),2,IF(TRIM(INDEX(PASTE_ALL,37,55))="",0,IF(AND(LEFT(MID(TRIM(INDEX(PASTE_ALL,37,55)),1+(LEFT(TRIM(INDEX(PASTE_ALL,37,55)),1)="-"),999),LEN(MID(TRIM(INDEX(PASTE_ALL,37,55)),1+(LEFT(TRIM(INDEX(PASTE_ALL,37,55)),1)="-"),999))-(RIGHT(MID(TRIM(INDEX(PASTE_ALL,37,55)),1+(LEFT(TRIM(INDEX(PASTE_ALL,37,55)),1)="-"),999),1)="%"))&lt;&gt;"",SUBSTITUTE(SUBSTITUTE(SUBSTITUTE(SUBSTITUTE(SUBSTITUTE(SUBSTITUTE(SUBSTITUTE(SUBSTITUTE(SUBSTITUTE(SUBSTITUTE(SUBSTITUTE(SUBSTITUTE(LEFT(MID(TRIM(INDEX(PASTE_ALL,37,55)),1+(LEFT(TRIM(INDEX(PASTE_ALL,37,55)),1)="-"),999),LEN(MID(TRIM(INDEX(PASTE_ALL,37,55)),1+(LEFT(TRIM(INDEX(PASTE_ALL,37,55)),1)="-"),999))-(RIGHT(MID(TRIM(INDEX(PASTE_ALL,37,55)),1+(LEFT(TRIM(INDEX(PASTE_ALL,37,55)),1)="-"),999),1)="%")),"0",""),"1",""),"2",""),"3",""),"4",""),"5",""),"6",""),"7",""),"8",""),"9",""),".",""),",","")=""),2,1))),1)</f>
        <v/>
      </c>
      <c r="CB86">
        <f>IFERROR(IF(ISNUMBER(INDEX(PASTE_ALL,37,56)),2,IF(TRIM(INDEX(PASTE_ALL,37,56))="",0,IF(AND(LEFT(MID(TRIM(INDEX(PASTE_ALL,37,56)),1+(LEFT(TRIM(INDEX(PASTE_ALL,37,56)),1)="-"),999),LEN(MID(TRIM(INDEX(PASTE_ALL,37,56)),1+(LEFT(TRIM(INDEX(PASTE_ALL,37,56)),1)="-"),999))-(RIGHT(MID(TRIM(INDEX(PASTE_ALL,37,56)),1+(LEFT(TRIM(INDEX(PASTE_ALL,37,56)),1)="-"),999),1)="%"))&lt;&gt;"",SUBSTITUTE(SUBSTITUTE(SUBSTITUTE(SUBSTITUTE(SUBSTITUTE(SUBSTITUTE(SUBSTITUTE(SUBSTITUTE(SUBSTITUTE(SUBSTITUTE(SUBSTITUTE(SUBSTITUTE(LEFT(MID(TRIM(INDEX(PASTE_ALL,37,56)),1+(LEFT(TRIM(INDEX(PASTE_ALL,37,56)),1)="-"),999),LEN(MID(TRIM(INDEX(PASTE_ALL,37,56)),1+(LEFT(TRIM(INDEX(PASTE_ALL,37,56)),1)="-"),999))-(RIGHT(MID(TRIM(INDEX(PASTE_ALL,37,56)),1+(LEFT(TRIM(INDEX(PASTE_ALL,37,56)),1)="-"),999),1)="%")),"0",""),"1",""),"2",""),"3",""),"4",""),"5",""),"6",""),"7",""),"8",""),"9",""),".",""),",","")=""),2,1))),1)</f>
        <v/>
      </c>
      <c r="CC86">
        <f>IFERROR(IF(ISNUMBER(INDEX(PASTE_ALL,37,57)),2,IF(TRIM(INDEX(PASTE_ALL,37,57))="",0,IF(AND(LEFT(MID(TRIM(INDEX(PASTE_ALL,37,57)),1+(LEFT(TRIM(INDEX(PASTE_ALL,37,57)),1)="-"),999),LEN(MID(TRIM(INDEX(PASTE_ALL,37,57)),1+(LEFT(TRIM(INDEX(PASTE_ALL,37,57)),1)="-"),999))-(RIGHT(MID(TRIM(INDEX(PASTE_ALL,37,57)),1+(LEFT(TRIM(INDEX(PASTE_ALL,37,57)),1)="-"),999),1)="%"))&lt;&gt;"",SUBSTITUTE(SUBSTITUTE(SUBSTITUTE(SUBSTITUTE(SUBSTITUTE(SUBSTITUTE(SUBSTITUTE(SUBSTITUTE(SUBSTITUTE(SUBSTITUTE(SUBSTITUTE(SUBSTITUTE(LEFT(MID(TRIM(INDEX(PASTE_ALL,37,57)),1+(LEFT(TRIM(INDEX(PASTE_ALL,37,57)),1)="-"),999),LEN(MID(TRIM(INDEX(PASTE_ALL,37,57)),1+(LEFT(TRIM(INDEX(PASTE_ALL,37,57)),1)="-"),999))-(RIGHT(MID(TRIM(INDEX(PASTE_ALL,37,57)),1+(LEFT(TRIM(INDEX(PASTE_ALL,37,57)),1)="-"),999),1)="%")),"0",""),"1",""),"2",""),"3",""),"4",""),"5",""),"6",""),"7",""),"8",""),"9",""),".",""),",","")=""),2,1))),1)</f>
        <v/>
      </c>
      <c r="CD86">
        <f>IFERROR(IF(ISNUMBER(INDEX(PASTE_ALL,37,58)),2,IF(TRIM(INDEX(PASTE_ALL,37,58))="",0,IF(AND(LEFT(MID(TRIM(INDEX(PASTE_ALL,37,58)),1+(LEFT(TRIM(INDEX(PASTE_ALL,37,58)),1)="-"),999),LEN(MID(TRIM(INDEX(PASTE_ALL,37,58)),1+(LEFT(TRIM(INDEX(PASTE_ALL,37,58)),1)="-"),999))-(RIGHT(MID(TRIM(INDEX(PASTE_ALL,37,58)),1+(LEFT(TRIM(INDEX(PASTE_ALL,37,58)),1)="-"),999),1)="%"))&lt;&gt;"",SUBSTITUTE(SUBSTITUTE(SUBSTITUTE(SUBSTITUTE(SUBSTITUTE(SUBSTITUTE(SUBSTITUTE(SUBSTITUTE(SUBSTITUTE(SUBSTITUTE(SUBSTITUTE(SUBSTITUTE(LEFT(MID(TRIM(INDEX(PASTE_ALL,37,58)),1+(LEFT(TRIM(INDEX(PASTE_ALL,37,58)),1)="-"),999),LEN(MID(TRIM(INDEX(PASTE_ALL,37,58)),1+(LEFT(TRIM(INDEX(PASTE_ALL,37,58)),1)="-"),999))-(RIGHT(MID(TRIM(INDEX(PASTE_ALL,37,58)),1+(LEFT(TRIM(INDEX(PASTE_ALL,37,58)),1)="-"),999),1)="%")),"0",""),"1",""),"2",""),"3",""),"4",""),"5",""),"6",""),"7",""),"8",""),"9",""),".",""),",","")=""),2,1))),1)</f>
        <v/>
      </c>
      <c r="CE86">
        <f>IFERROR(IF(ISNUMBER(INDEX(PASTE_ALL,37,59)),2,IF(TRIM(INDEX(PASTE_ALL,37,59))="",0,IF(AND(LEFT(MID(TRIM(INDEX(PASTE_ALL,37,59)),1+(LEFT(TRIM(INDEX(PASTE_ALL,37,59)),1)="-"),999),LEN(MID(TRIM(INDEX(PASTE_ALL,37,59)),1+(LEFT(TRIM(INDEX(PASTE_ALL,37,59)),1)="-"),999))-(RIGHT(MID(TRIM(INDEX(PASTE_ALL,37,59)),1+(LEFT(TRIM(INDEX(PASTE_ALL,37,59)),1)="-"),999),1)="%"))&lt;&gt;"",SUBSTITUTE(SUBSTITUTE(SUBSTITUTE(SUBSTITUTE(SUBSTITUTE(SUBSTITUTE(SUBSTITUTE(SUBSTITUTE(SUBSTITUTE(SUBSTITUTE(SUBSTITUTE(SUBSTITUTE(LEFT(MID(TRIM(INDEX(PASTE_ALL,37,59)),1+(LEFT(TRIM(INDEX(PASTE_ALL,37,59)),1)="-"),999),LEN(MID(TRIM(INDEX(PASTE_ALL,37,59)),1+(LEFT(TRIM(INDEX(PASTE_ALL,37,59)),1)="-"),999))-(RIGHT(MID(TRIM(INDEX(PASTE_ALL,37,59)),1+(LEFT(TRIM(INDEX(PASTE_ALL,37,59)),1)="-"),999),1)="%")),"0",""),"1",""),"2",""),"3",""),"4",""),"5",""),"6",""),"7",""),"8",""),"9",""),".",""),",","")=""),2,1))),1)</f>
        <v/>
      </c>
      <c r="CF86">
        <f>IFERROR(IF(ISNUMBER(INDEX(PASTE_ALL,37,60)),2,IF(TRIM(INDEX(PASTE_ALL,37,60))="",0,IF(AND(LEFT(MID(TRIM(INDEX(PASTE_ALL,37,60)),1+(LEFT(TRIM(INDEX(PASTE_ALL,37,60)),1)="-"),999),LEN(MID(TRIM(INDEX(PASTE_ALL,37,60)),1+(LEFT(TRIM(INDEX(PASTE_ALL,37,60)),1)="-"),999))-(RIGHT(MID(TRIM(INDEX(PASTE_ALL,37,60)),1+(LEFT(TRIM(INDEX(PASTE_ALL,37,60)),1)="-"),999),1)="%"))&lt;&gt;"",SUBSTITUTE(SUBSTITUTE(SUBSTITUTE(SUBSTITUTE(SUBSTITUTE(SUBSTITUTE(SUBSTITUTE(SUBSTITUTE(SUBSTITUTE(SUBSTITUTE(SUBSTITUTE(SUBSTITUTE(LEFT(MID(TRIM(INDEX(PASTE_ALL,37,60)),1+(LEFT(TRIM(INDEX(PASTE_ALL,37,60)),1)="-"),999),LEN(MID(TRIM(INDEX(PASTE_ALL,37,60)),1+(LEFT(TRIM(INDEX(PASTE_ALL,37,60)),1)="-"),999))-(RIGHT(MID(TRIM(INDEX(PASTE_ALL,37,60)),1+(LEFT(TRIM(INDEX(PASTE_ALL,37,60)),1)="-"),999),1)="%")),"0",""),"1",""),"2",""),"3",""),"4",""),"5",""),"6",""),"7",""),"8",""),"9",""),".",""),",","")=""),2,1))),1)</f>
        <v/>
      </c>
      <c r="DA86" t="n">
        <v>82</v>
      </c>
      <c r="DB86">
        <f>IF($B$37=0,"",IFERROR(TRIM(SUBSTITUTE(SUBSTITUTE(SUBSTITUTE(SUBSTITUTE(INDEX(PASTE_ALL,82,$B$37)," "," "),CHAR(9)," "),CHAR(10)," "),CHAR(13)," ")),""))</f>
        <v/>
      </c>
      <c r="DC86">
        <f>IF(AND(82&gt;HEADER_ROW,UPPER(DB86)="LEGEND"),1,0)</f>
        <v/>
      </c>
      <c r="DE86" t="n">
        <v>82</v>
      </c>
      <c r="DF86">
        <f>HEADER_ROW+$DE86</f>
        <v/>
      </c>
      <c r="DG86">
        <f>IF(AND($DF86&lt;=1000,$DF86&lt;$B$8),1,0)</f>
        <v/>
      </c>
      <c r="DH86">
        <f>IF($DG86=1,IFERROR(INDEX($DB$5:$DB$1004,$DF86),""),"")</f>
        <v/>
      </c>
      <c r="DI86">
        <f>IF(AND($DG86=1,$DH86&lt;&gt;""),IFERROR(SUBSTITUTE(SUBSTITUTE(TRIM(SUBSTITUTE(SUBSTITUTE(SUBSTITUTE(SUBSTITUTE(IFERROR(INDEX(PASTE_ALL,$DF86,1)&amp;"","")&amp;"␟"&amp;IFERROR(INDEX(PASTE_ALL,$DF86,2)&amp;"","")&amp;"␟"&amp;IFERROR(INDEX(PASTE_ALL,$DF86,3)&amp;"","")&amp;"␟"&amp;IFERROR(INDEX(PASTE_ALL,$DF86,4)&amp;"","")&amp;"␟"&amp;IFERROR(INDEX(PASTE_ALL,$DF86,5)&amp;"","")&amp;"␟"&amp;IFERROR(INDEX(PASTE_ALL,$DF86,6)&amp;"","")&amp;"␟"&amp;IFERROR(INDEX(PASTE_ALL,$DF86,7)&amp;"","")&amp;"␟"&amp;IFERROR(INDEX(PASTE_ALL,$DF86,8)&amp;"","")&amp;"␟"&amp;IFERROR(INDEX(PASTE_ALL,$DF86,9)&amp;"","")&amp;"␟"&amp;IFERROR(INDEX(PASTE_ALL,$DF86,10)&amp;"","")&amp;"␟"&amp;IFERROR(INDEX(PASTE_ALL,$DF86,11)&amp;"","")&amp;"␟"&amp;IFERROR(INDEX(PASTE_ALL,$DF86,12)&amp;"","")&amp;"␟"&amp;IFERROR(INDEX(PASTE_ALL,$DF86,13)&amp;"","")&amp;"␟"&amp;IFERROR(INDEX(PASTE_ALL,$DF86,14)&amp;"","")&amp;"␟"&amp;IFERROR(INDEX(PASTE_ALL,$DF86,15)&amp;"","")&amp;"␟"&amp;IFERROR(INDEX(PASTE_ALL,$DF86,16)&amp;"","")&amp;"␟"&amp;IFERROR(INDEX(PASTE_ALL,$DF86,17)&amp;"","")&amp;"␟"&amp;IFERROR(INDEX(PASTE_ALL,$DF86,18)&amp;"","")&amp;"␟"&amp;IFERROR(INDEX(PASTE_ALL,$DF86,19)&amp;"","")&amp;"␟"&amp;IFERROR(INDEX(PASTE_ALL,$DF86,20)&amp;"","")&amp;"␟"&amp;IFERROR(INDEX(PASTE_ALL,$DF86,21)&amp;"","")&amp;"␟"&amp;IFERROR(INDEX(PASTE_ALL,$DF86,22)&amp;"","")&amp;"␟"&amp;IFERROR(INDEX(PASTE_ALL,$DF86,23)&amp;"","")&amp;"␟"&amp;IFERROR(INDEX(PASTE_ALL,$DF86,24)&amp;"","")&amp;"␟"&amp;IFERROR(INDEX(PASTE_ALL,$DF86,25)&amp;"","")&amp;"␟"&amp;IFERROR(INDEX(PASTE_ALL,$DF86,26)&amp;"","")&amp;"␟"&amp;IFERROR(INDEX(PASTE_ALL,$DF86,27)&amp;"","")&amp;"␟"&amp;IFERROR(INDEX(PASTE_ALL,$DF86,28)&amp;"","")&amp;"␟"&amp;IFERROR(INDEX(PASTE_ALL,$DF86,29)&amp;"","")&amp;"␟"&amp;IFERROR(INDEX(PASTE_ALL,$DF86,30)&amp;"","")&amp;"␟"&amp;IFERROR(INDEX(PASTE_ALL,$DF86,31)&amp;"","")&amp;"␟"&amp;IFERROR(INDEX(PASTE_ALL,$DF86,32)&amp;"","")&amp;"␟"&amp;IFERROR(INDEX(PASTE_ALL,$DF86,33)&amp;"","")&amp;"␟"&amp;IFERROR(INDEX(PASTE_ALL,$DF86,34)&amp;"","")&amp;"␟"&amp;IFERROR(INDEX(PASTE_ALL,$DF86,35)&amp;"","")&amp;"␟"&amp;IFERROR(INDEX(PASTE_ALL,$DF86,36)&amp;"","")&amp;"␟"&amp;IFERROR(INDEX(PASTE_ALL,$DF86,37)&amp;"","")&amp;"␟"&amp;IFERROR(INDEX(PASTE_ALL,$DF86,38)&amp;"","")&amp;"␟"&amp;IFERROR(INDEX(PASTE_ALL,$DF86,39)&amp;"","")&amp;"␟"&amp;IFERROR(INDEX(PASTE_ALL,$DF86,40)&amp;"","")&amp;"␟"&amp;IFERROR(INDEX(PASTE_ALL,$DF86,41)&amp;"","")&amp;"␟"&amp;IFERROR(INDEX(PASTE_ALL,$DF86,42)&amp;"","")&amp;"␟"&amp;IFERROR(INDEX(PASTE_ALL,$DF86,43)&amp;"","")&amp;"␟"&amp;IFERROR(INDEX(PASTE_ALL,$DF86,44)&amp;"","")&amp;"␟"&amp;IFERROR(INDEX(PASTE_ALL,$DF86,45)&amp;"","")&amp;"␟"&amp;IFERROR(INDEX(PASTE_ALL,$DF86,46)&amp;"","")&amp;"␟"&amp;IFERROR(INDEX(PASTE_ALL,$DF86,47)&amp;"","")&amp;"␟"&amp;IFERROR(INDEX(PASTE_ALL,$DF86,48)&amp;"","")&amp;"␟"&amp;IFERROR(INDEX(PASTE_ALL,$DF86,49)&amp;"","")&amp;"␟"&amp;IFERROR(INDEX(PASTE_ALL,$DF86,50)&amp;"","")&amp;"␟"&amp;IFERROR(INDEX(PASTE_ALL,$DF86,51)&amp;"","")&amp;"␟"&amp;IFERROR(INDEX(PASTE_ALL,$DF86,52)&amp;"","")&amp;"␟"&amp;IFERROR(INDEX(PASTE_ALL,$DF86,53)&amp;"","")&amp;"␟"&amp;IFERROR(INDEX(PASTE_ALL,$DF86,54)&amp;"","")&amp;"␟"&amp;IFERROR(INDEX(PASTE_ALL,$DF86,55)&amp;"","")&amp;"␟"&amp;IFERROR(INDEX(PASTE_ALL,$DF86,56)&amp;"","")&amp;"␟"&amp;IFERROR(INDEX(PASTE_ALL,$DF86,57)&amp;"","")&amp;"␟"&amp;IFERROR(INDEX(PASTE_ALL,$DF86,58)&amp;"","")&amp;"␟"&amp;IFERROR(INDEX(PASTE_ALL,$DF86,59)&amp;"","")&amp;"␟"&amp;IFERROR(INDEX(PASTE_ALL,$DF86,60)&amp;"","")," "," "),CHAR(9)," "),CHAR(10)," "),CHAR(13)," "))," ␟","␟"),"␟ ","␟"),"#"&amp;$DE86),"")</f>
        <v/>
      </c>
      <c r="DJ86">
        <f>IF($DI86="",0,IF(SUMPRODUCT(--EXACT($DI$4:DI85,$DI86))&gt;0,1,0))</f>
        <v/>
      </c>
      <c r="DK86">
        <f>IF(AND($DI86&lt;&gt;"",$DJ86=0),1,0)</f>
        <v/>
      </c>
      <c r="DL86">
        <f>DL85+$DK86</f>
        <v/>
      </c>
      <c r="DM86">
        <f>IF(AND($DK86=1,$DL86&lt;=600),1,0)</f>
        <v/>
      </c>
      <c r="DN86">
        <f>IF($DM86=0,"",IF($L$6=0,"",IFERROR(IF(ISNUMBER(INDEX(PASTE_ALL,$DF86,$L$6)),INDEX(PASTE_ALL,$DF86,$L$6),TRIM(SUBSTITUTE(SUBSTITUTE(SUBSTITUTE(SUBSTITUTE(INDEX(PASTE_ALL,$DF86,$L$6)," "," "),CHAR(9)," "),CHAR(10)," "),CHAR(13)," "))),"")))</f>
        <v/>
      </c>
      <c r="DO86">
        <f>IF($DM86=0,"",IF($L$7=0,"",IFERROR(IF(ISNUMBER(INDEX(PASTE_ALL,$DF86,$L$7)),INDEX(PASTE_ALL,$DF86,$L$7),TRIM(SUBSTITUTE(SUBSTITUTE(SUBSTITUTE(SUBSTITUTE(INDEX(PASTE_ALL,$DF86,$L$7)," "," "),CHAR(9)," "),CHAR(10)," "),CHAR(13)," "))),"")))</f>
        <v/>
      </c>
      <c r="DP86">
        <f>IF($DM86=0,"",IF($L$8=0,"",IFERROR(IF(ISNUMBER(INDEX(PASTE_ALL,$DF86,$L$8)),INDEX(PASTE_ALL,$DF86,$L$8),TRIM(SUBSTITUTE(SUBSTITUTE(SUBSTITUTE(SUBSTITUTE(INDEX(PASTE_ALL,$DF86,$L$8)," "," "),CHAR(9)," "),CHAR(10)," "),CHAR(13)," "))),"")))</f>
        <v/>
      </c>
      <c r="DQ86">
        <f>IF($DM86=0,"",IF($L$9=0,"",IFERROR(IF(ISNUMBER(INDEX(PASTE_ALL,$DF86,$L$9)),INDEX(PASTE_ALL,$DF86,$L$9),TRIM(SUBSTITUTE(SUBSTITUTE(SUBSTITUTE(SUBSTITUTE(INDEX(PASTE_ALL,$DF86,$L$9)," "," "),CHAR(9)," "),CHAR(10)," "),CHAR(13)," "))),"")))</f>
        <v/>
      </c>
      <c r="DR86">
        <f>IF($DM86=0,"",IF($L$10=0,"",IFERROR(IF(ISNUMBER(INDEX(PASTE_ALL,$DF86,$L$10)),INDEX(PASTE_ALL,$DF86,$L$10),TRIM(SUBSTITUTE(SUBSTITUTE(SUBSTITUTE(SUBSTITUTE(INDEX(PASTE_ALL,$DF86,$L$10)," "," "),CHAR(9)," "),CHAR(10)," "),CHAR(13)," "))),"")))</f>
        <v/>
      </c>
      <c r="DS86">
        <f>IF($DM86=0,"",IF($L$11=0,"",IFERROR(IF(ISNUMBER(INDEX(PASTE_ALL,$DF86,$L$11)),INDEX(PASTE_ALL,$DF86,$L$11),TRIM(SUBSTITUTE(SUBSTITUTE(SUBSTITUTE(SUBSTITUTE(INDEX(PASTE_ALL,$DF86,$L$11)," "," "),CHAR(9)," "),CHAR(10)," "),CHAR(13)," "))),"")))</f>
        <v/>
      </c>
      <c r="DT86">
        <f>IF($DM86=0,"",IF($L$12=0,"",IFERROR(IF(ISNUMBER(INDEX(PASTE_ALL,$DF86,$L$12)),INDEX(PASTE_ALL,$DF86,$L$12),TRIM(SUBSTITUTE(SUBSTITUTE(SUBSTITUTE(SUBSTITUTE(INDEX(PASTE_ALL,$DF86,$L$12)," "," "),CHAR(9)," "),CHAR(10)," "),CHAR(13)," "))),"")))</f>
        <v/>
      </c>
      <c r="DU86">
        <f>IF($DM86=0,"",IF($L$13=0,"",IFERROR(IF(ISNUMBER(INDEX(PASTE_ALL,$DF86,$L$13)),INDEX(PASTE_ALL,$DF86,$L$13),TRIM(SUBSTITUTE(SUBSTITUTE(SUBSTITUTE(SUBSTITUTE(INDEX(PASTE_ALL,$DF86,$L$13)," "," "),CHAR(9)," "),CHAR(10)," "),CHAR(13)," "))),"")))</f>
        <v/>
      </c>
      <c r="DV86">
        <f>IF($DM86=0,"",IF($L$14=0,"",IFERROR(IF(ISNUMBER(INDEX(PASTE_ALL,$DF86,$L$14)),INDEX(PASTE_ALL,$DF86,$L$14),TRIM(SUBSTITUTE(SUBSTITUTE(SUBSTITUTE(SUBSTITUTE(INDEX(PASTE_ALL,$DF86,$L$14)," "," "),CHAR(9)," "),CHAR(10)," "),CHAR(13)," "))),"")))</f>
        <v/>
      </c>
      <c r="DW86">
        <f>IF($DM86=0,"",IF($L$15=0,"",IFERROR(IF(ISNUMBER(INDEX(PASTE_ALL,$DF86,$L$15)),INDEX(PASTE_ALL,$DF86,$L$15),IF(SUMPRODUCT(--ISNUMBER(FIND({"A","B","C","D","E","F","G","H","I","J","K","L","M","N","O","P","Q","R","S","T","U","V","W","X","Y","Z","0","1","2","3","4","5","6","7","8","9"},UPPER(TRIM(SUBSTITUTE(SUBSTITUTE(SUBSTITUTE(SUBSTITUTE(INDEX(PASTE_ALL,$DF86,$L$15)," "," "),CHAR(9)," "),CHAR(10)," "),CHAR(13)," "))))))&gt;0,TRIM(SUBSTITUTE(SUBSTITUTE(SUBSTITUTE(SUBSTITUTE(INDEX(PASTE_ALL,$DF86,$L$15)," "," "),CHAR(9)," "),CHAR(10)," "),CHAR(13)," ")),"")),"")))</f>
        <v/>
      </c>
      <c r="DX86">
        <f>IF($DM86=0,"",IF($L$16=0,"",IFERROR(IF(ISNUMBER(INDEX(PASTE_ALL,$DF86,$L$16)),INDEX(PASTE_ALL,$DF86,$L$16),SUBSTITUTE(SUBSTITUTE(TRIM(SUBSTITUTE(SUBSTITUTE(SUBSTITUTE(SUBSTITUTE(INDEX(PASTE_ALL,$DF86,$L$16)," "," "),CHAR(9)," "),CHAR(10)," "),CHAR(13)," ")),",",""),"%","")),"")))</f>
        <v/>
      </c>
      <c r="DY86">
        <f>IF($DM86=0,"",IFERROR(IF(ISNUMBER($DX86),$DX86,IF($DX86="","",IF(TRIM($DX86)="",0,IF(AND(AND(SUBSTITUTE(SUBSTITUTE(SUBSTITUTE(SUBSTITUTE(SUBSTITUTE(SUBSTITUTE(SUBSTITUTE(SUBSTITUTE(SUBSTITUTE(SUBSTITUTE(SUBSTITUTE(SUBSTITUTE(SUBSTITUTE(SUBSTITUTE(UPPER(TRIM($DX86)),"0",""),"1",""),"2",""),"3",""),"4",""),"5",""),"6",""),"7",""),"8",""),"9",""),".",""),"+",""),"-",""),"E","")="",LEN(SUBSTITUTE(SUBSTITUTE(MID(UPPER(TRIM($DX86)),1+OR(LEFT(UPPER(TRIM($DX86)),1)="+",LEFT(UPPER(TRIM($DX86)),1)="-"),999),"E+","E"),"E-","E"))=LEN(SUBSTITUTE(SUBSTITUTE(SUBSTITUTE(SUBSTITUTE(MID(UPPER(TRIM($DX86)),1+OR(LEFT(UPPER(TRIM($DX86)),1)="+",LEFT(UPPER(TRIM($DX86)),1)="-"),999),"E+","E"),"E-","E"),"+",""),"-","")),LEN(UPPER(TRIM($DX86)))-LEN(SUBSTITUTE(UPPER(TRIM($DX86)),"E",""))&lt;2,LEN(UPPER(TRIM($DX86)))-LEN(SUBSTITUTE(UPPER(TRIM($DX86)),".",""))&lt;2,IFERROR(FIND(".",UPPER(TRIM($DX86))),0)&lt;IFERROR(FIND("E",UPPER(TRIM($DX86))),999)),ISNUMBER(VALUE(TRIM($DX86)))),VALUE(TRIM($DX86)),"")))),""))</f>
        <v/>
      </c>
      <c r="DZ86">
        <f>IF($DM86=0,"",IF($L$17=0,"",IFERROR(IF(ISNUMBER(INDEX(PASTE_ALL,$DF86,$L$17)),INDEX(PASTE_ALL,$DF86,$L$17),SUBSTITUTE(SUBSTITUTE(TRIM(SUBSTITUTE(SUBSTITUTE(SUBSTITUTE(SUBSTITUTE(INDEX(PASTE_ALL,$DF86,$L$17)," "," "),CHAR(9)," "),CHAR(10)," "),CHAR(13)," ")),",",""),"%","")),"")))</f>
        <v/>
      </c>
      <c r="EA86">
        <f>IF($DM86=0,"",IFERROR(IF(ISNUMBER($DZ86),$DZ86,IF($DZ86="","",IF(TRIM($DZ86)="",0,IF(AND(AND(SUBSTITUTE(SUBSTITUTE(SUBSTITUTE(SUBSTITUTE(SUBSTITUTE(SUBSTITUTE(SUBSTITUTE(SUBSTITUTE(SUBSTITUTE(SUBSTITUTE(SUBSTITUTE(SUBSTITUTE(SUBSTITUTE(SUBSTITUTE(UPPER(TRIM($DZ86)),"0",""),"1",""),"2",""),"3",""),"4",""),"5",""),"6",""),"7",""),"8",""),"9",""),".",""),"+",""),"-",""),"E","")="",LEN(SUBSTITUTE(SUBSTITUTE(MID(UPPER(TRIM($DZ86)),1+OR(LEFT(UPPER(TRIM($DZ86)),1)="+",LEFT(UPPER(TRIM($DZ86)),1)="-"),999),"E+","E"),"E-","E"))=LEN(SUBSTITUTE(SUBSTITUTE(SUBSTITUTE(SUBSTITUTE(MID(UPPER(TRIM($DZ86)),1+OR(LEFT(UPPER(TRIM($DZ86)),1)="+",LEFT(UPPER(TRIM($DZ86)),1)="-"),999),"E+","E"),"E-","E"),"+",""),"-","")),LEN(UPPER(TRIM($DZ86)))-LEN(SUBSTITUTE(UPPER(TRIM($DZ86)),"E",""))&lt;2,LEN(UPPER(TRIM($DZ86)))-LEN(SUBSTITUTE(UPPER(TRIM($DZ86)),".",""))&lt;2,IFERROR(FIND(".",UPPER(TRIM($DZ86))),0)&lt;IFERROR(FIND("E",UPPER(TRIM($DZ86))),999)),ISNUMBER(VALUE(TRIM($DZ86)))),VALUE(TRIM($DZ86)),"")))),""))</f>
        <v/>
      </c>
      <c r="EB86">
        <f>IF($DM86=0,"",IF($L$18=0,"",IFERROR(IF(UPPER(TRIM(SUBSTITUTE(SUBSTITUTE(SUBSTITUTE(SUBSTITUTE(INDEX(PASTE_ALL,$DF86,$L$18)," "," "),CHAR(9)," "),CHAR(10)," "),CHAR(13)," ")))="READY","Ready",IF(UPPER(TRIM(SUBSTITUTE(SUBSTITUTE(SUBSTITUTE(SUBSTITUTE(INDEX(PASTE_ALL,$DF86,$L$18)," "," "),CHAR(9)," "),CHAR(10)," "),CHAR(13)," ")))="PM","PM",IF(OR(UPPER(TRIM(SUBSTITUTE(SUBSTITUTE(SUBSTITUTE(SUBSTITUTE(INDEX(PASTE_ALL,$DF86,$L$18)," "," "),CHAR(9)," "),CHAR(10)," "),CHAR(13)," ")))="OT",UPPER(TRIM(SUBSTITUTE(SUBSTITUTE(SUBSTITUTE(SUBSTITUTE(INDEX(PASTE_ALL,$DF86,$L$18)," "," "),CHAR(9)," "),CHAR(10)," "),CHAR(13)," ")))="OVERTIME",UPPER(TRIM(SUBSTITUTE(SUBSTITUTE(SUBSTITUTE(SUBSTITUTE(INDEX(PASTE_ALL,$DF86,$L$18)," "," "),CHAR(9)," "),CHAR(10)," "),CHAR(13)," ")))="TRIAL"),"OT",TRIM(SUBSTITUTE(SUBSTITUTE(SUBSTITUTE(SUBSTITUTE(INDEX(PASTE_ALL,$DF86,$L$18)," "," "),CHAR(9)," "),CHAR(10)," "),CHAR(13)," "))))),"")))</f>
        <v/>
      </c>
      <c r="EC86">
        <f>IF($DM86=0,"",IF($L$19=0,"",IFERROR(IF(ISNUMBER(INDEX(PASTE_ALL,$DF86,$L$19)),INDEX(PASTE_ALL,$DF86,$L$19),TRIM(SUBSTITUTE(SUBSTITUTE(SUBSTITUTE(SUBSTITUTE(INDEX(PASTE_ALL,$DF86,$L$19)," "," "),CHAR(9)," "),CHAR(10)," "),CHAR(13)," "))),"")))</f>
        <v/>
      </c>
      <c r="ED86">
        <f>IF($DM86=0,"",MATCH(1,INDEX(EXACT($DH$5:DH86,$DH86)*$DM$5:DM86,0),0))</f>
        <v/>
      </c>
      <c r="EE86">
        <f>IF($DM86=0,0,IF($ED86=$DE86,1,0))</f>
        <v/>
      </c>
      <c r="EF86">
        <f>EF85+$EE86</f>
        <v/>
      </c>
      <c r="EG86">
        <f>IF($DM86=0,"",INDEX($EF$5:$EF$1003,$ED86))</f>
        <v/>
      </c>
      <c r="EH86">
        <f>IF($DM86=0,"",IF($DO86&lt;&gt;"","",IFERROR(LOOKUP(2,1/(($EG$4:EG85=$EG86)*($DO$4:DO85&lt;&gt;"")),$DO$4:DO85),"")))</f>
        <v/>
      </c>
      <c r="EI86">
        <f>IF($DM86=0,"",IF($DO86&lt;&gt;"",$DO86,$EH86))</f>
        <v/>
      </c>
      <c r="EJ86">
        <f>IF($DM86=0,"",IF($EI86="",0,IF(OR(ISNUMBER($EI86),AND(AND(SUBSTITUTE(SUBSTITUTE(SUBSTITUTE(SUBSTITUTE(SUBSTITUTE(SUBSTITUTE(SUBSTITUTE(SUBSTITUTE(SUBSTITUTE(SUBSTITUTE(SUBSTITUTE(SUBSTITUTE(SUBSTITUTE(SUBSTITUTE(UPPER($EI86),"0",""),"1",""),"2",""),"3",""),"4",""),"5",""),"6",""),"7",""),"8",""),"9",""),".",""),"+",""),"-",""),"E","")="",LEN(SUBSTITUTE(SUBSTITUTE(MID(UPPER($EI86),1+OR(LEFT(UPPER($EI86),1)="+",LEFT(UPPER($EI86),1)="-"),999),"E+","E"),"E-","E"))=LEN(SUBSTITUTE(SUBSTITUTE(SUBSTITUTE(SUBSTITUTE(MID(UPPER($EI86),1+OR(LEFT(UPPER($EI86),1)="+",LEFT(UPPER($EI86),1)="-"),999),"E+","E"),"E-","E"),"+",""),"-","")),LEN(UPPER($EI86))-LEN(SUBSTITUTE(UPPER($EI86),"E",""))&lt;2,LEN(UPPER($EI86))-LEN(SUBSTITUTE(UPPER($EI86),".",""))&lt;2,IFERROR(FIND(".",UPPER($EI86)),0)&lt;IFERROR(FIND("E",UPPER($EI86)),999)),ISNUMBER(VALUE($EI86)))),1,2)))</f>
        <v/>
      </c>
      <c r="EK86">
        <f>IF($DM86=0,"",IF($EJ86=1,IF(ISNUMBER($EI86),$EI86,VALUE($EI86)),IF($EJ86=2,$DE86,0)))</f>
        <v/>
      </c>
      <c r="EL86">
        <f>IF($DM86=0,"",COUNTIF($EG$5:$EG$1003,"&lt;"&amp;$EG86)+SUMPRODUCT(($EG$5:$EG$1003=$EG86)*(($EJ$5:$EJ$1003&lt;$EJ86)+($EJ$5:$EJ$1003=$EJ86)*(($EK$5:$EK$1003&lt;$EK86)+($EK$5:$EK$1003=$EK86)*($DE$5:$DE$1003&lt;$DE86))))+1)</f>
        <v/>
      </c>
      <c r="EM86">
        <f>IF($DM86=0,"",$EL86+$EG86-1)</f>
        <v/>
      </c>
      <c r="EN86">
        <f>IF($DM86=0,0,IFERROR(MATCH(1,INDEX(--(TRIM(SUBSTITUTE(SUBSTITUTE(SUBSTITUTE(SUBSTITUTE(LINES_NAME&amp;""," "," "),CHAR(9)," "),CHAR(10)," "),CHAR(13)," "))=$DH86),0),0),0))</f>
        <v/>
      </c>
      <c r="EO86">
        <f>IF($EN86=0,0,IF(OR(UPPER(TRIM(INDEX(LINES_SCHEDULED,$EN86)&amp;""))="YES",UPPER(TRIM(INDEX(LINES_SCHEDULED,$EN86)&amp;""))="Y",UPPER(TRIM(INDEX(LINES_SCHEDULED,$EN86)&amp;""))="X"),1,0))</f>
        <v/>
      </c>
      <c r="EP86">
        <f>IF($DM86=0,"",IF(COUNTIFS($EG$5:$EG$1003,$EG86,$EB$5:$EB$1003,"Ready")&gt;0,"READY",IF(COUNTIFS($EG$5:$EG$1003,$EG86,$EB$5:$EB$1003,"PM")&gt;0,"PM",IF(COUNTIFS($EG$5:$EG$1003,$EG86,$EB$5:$EB$1003,"OT")&gt;0,"OT",""))))</f>
        <v/>
      </c>
      <c r="EQ86">
        <f>IF($EN86=0,"",UPPER(TRIM(INDEX(LINES_STATUS,$EN86)&amp;"")))</f>
        <v/>
      </c>
      <c r="ER86">
        <f>IF($DM86=0,"",IF(OR($EQ86="READY",$EQ86="PM",$EQ86="OT"),$EQ86,$EP86))</f>
        <v/>
      </c>
      <c r="ES86">
        <f>IF($DM86=0,"",IF(AND($DV86&lt;&gt;"",UPPER($DV86)&lt;&gt;"N"),"allergen",IF(ISNUMBER(SEARCH("oil",$DQ86)),"oil",IF(OR(EXACT($DS86,"A662"),EXACT($DS86,"A624")),"bulk",""))))</f>
        <v/>
      </c>
      <c r="ET86">
        <f>IF($DM86=0,"",IF(OR($EA86="",$EA86=0),"",$EA86/100))</f>
        <v/>
      </c>
      <c r="EU86">
        <f>IF(OR($ET86="",$DY86=""),"",INT($DY86*(1-$ET86)+0.5))</f>
        <v/>
      </c>
      <c r="EW86" t="n">
        <v>82</v>
      </c>
      <c r="EX86">
        <f>IFERROR(MATCH($EW86,$EM$5:$EM$1003,0),0)</f>
        <v/>
      </c>
      <c r="EY86">
        <f>IF($EW86&gt;$B$12,"",IF($EX86&gt;0,"row","spacer"))</f>
        <v/>
      </c>
      <c r="EZ86">
        <f>IF(AND($EY86="row",$EY85&lt;&gt;"row"),1,0)</f>
        <v/>
      </c>
      <c r="FA86">
        <f>IF(AND($EY86="row",$EY87&lt;&gt;"row"),1,0)</f>
        <v/>
      </c>
      <c r="FB86">
        <f>IF($EZ86=1,IFERROR(IF(ISNUMBER(INDEX(PASTE_ALL,INDEX($DF$5:$DF$1003,$EX86),$B$37)),INDEX(PASTE_ALL,INDEX($DF$5:$DF$1003,$EX86),$B$37),INDEX($DH$5:$DH$1003,$EX86)),INDEX($DH$5:$DH$1003,$EX86)),"")</f>
        <v/>
      </c>
      <c r="FC86">
        <f>IF($EY86="row",INDEX($ER$5:$ER$1003,$EX86),"")</f>
        <v/>
      </c>
      <c r="FD86">
        <f>IF($EY86="row",INDEX($DN$5:$DN$1003,$EX86),"")</f>
        <v/>
      </c>
      <c r="FE86">
        <f>IF($EY86="row",INDEX($DO$5:$DO$1003,$EX86),"")</f>
        <v/>
      </c>
      <c r="FF86">
        <f>IF($EY86="row",INDEX($DP$5:$DP$1003,$EX86),"")</f>
        <v/>
      </c>
      <c r="FG86">
        <f>IF($EY86="row",INDEX($DQ$5:$DQ$1003,$EX86),"")</f>
        <v/>
      </c>
      <c r="FH86">
        <f>IF($EY86="row",INDEX($DR$5:$DR$1003,$EX86),"")</f>
        <v/>
      </c>
      <c r="FI86">
        <f>IF($EY86="row",INDEX($DS$5:$DS$1003,$EX86),"")</f>
        <v/>
      </c>
      <c r="FJ86">
        <f>IF($EY86="row",INDEX($DT$5:$DT$1003,$EX86),"")</f>
        <v/>
      </c>
      <c r="FK86">
        <f>IF($EY86="row",INDEX($DU$5:$DU$1003,$EX86),"")</f>
        <v/>
      </c>
      <c r="FL86">
        <f>IF($EY86="row",INDEX($DV$5:$DV$1003,$EX86),"")</f>
        <v/>
      </c>
      <c r="FM86">
        <f>IF($EY86="row",INDEX($DW$5:$DW$1003,$EX86),"")</f>
        <v/>
      </c>
      <c r="FN86">
        <f>IF($EY86="row",INDEX($DY$5:$DY$1003,$EX86),"")</f>
        <v/>
      </c>
      <c r="FO86">
        <f>IF($EY86="row",INDEX($EA$5:$EA$1003,$EX86),"")</f>
        <v/>
      </c>
      <c r="FP86">
        <f>IF($EY86="row",INDEX($EC$5:$EC$1003,$EX86),"")</f>
        <v/>
      </c>
      <c r="FQ86">
        <f>IF($EY86="row",INDEX($ET$5:$ET$1003,$EX86),"")</f>
        <v/>
      </c>
      <c r="FR86">
        <f>IF($EY86="row",INDEX($EU$5:$EU$1003,$EX86),"")</f>
        <v/>
      </c>
      <c r="FS86">
        <f>IF(AND($EY86="row",$EY85="row"),IF(OR(INDEX($DT$5:$DT$1003,$EX85)="",INDEX($DT$5:$DT$1003,$EX86)=""),"",IF(NOT(EXACT(INDEX($DT$5:$DT$1003,$EX85),INDEX($DT$5:$DT$1003,$EX86))),"S4",IF(NOT(EXACT(INDEX($DS$5:$DS$1003,$EX85),INDEX($DS$5:$DS$1003,$EX86))),"S3",IF(NOT(EXACT(INDEX($DR$5:$DR$1003,$EX85),INDEX($DR$5:$DR$1003,$EX86))),"S1 Count Change","S1")))),"")</f>
        <v/>
      </c>
      <c r="FT86">
        <f>IF($EY86="row",INDEX($ES$5:$ES$1003,$EX86),"")</f>
        <v/>
      </c>
      <c r="FU86">
        <f>IF($EY86="row",INDEX($EO$5:$EO$1003,$EX86),0)</f>
        <v/>
      </c>
      <c r="FV86">
        <f>IF($FS86="S1 Count Change",1,0)</f>
        <v/>
      </c>
      <c r="FX86" t="n">
        <v>82</v>
      </c>
      <c r="FY86">
        <f>IFERROR(MATCH($FX86,$EF$5:$EF$1003,0),0)</f>
        <v/>
      </c>
      <c r="FZ86">
        <f>IF($FY86=0,"",INDEX($DH$5:$DH$1003,$FY86))</f>
        <v/>
      </c>
      <c r="GA86">
        <f>IF($FY86=0,"",COUNTIF($EG$5:$EG$1003,$FX86))</f>
        <v/>
      </c>
      <c r="GB86">
        <f>IF($FY86=0,"",INDEX($ER$5:$ER$1003,$FY86))</f>
        <v/>
      </c>
      <c r="GC86">
        <f>IF($FY86=0,"",IF(INDEX($EO$5:$EO$1003,$FY86)=1,"Yes",""))</f>
        <v/>
      </c>
      <c r="GD86">
        <f>IF($FY86=0,"",IF(INDEX($EN$5:$EN$1003,$FY86)&gt;0,"","NOT IN YOUR LIST - type it in column A to tick it"))</f>
        <v/>
      </c>
      <c r="GE86">
        <f>IF(AND($FY86&gt;0,$GD86&lt;&gt;""),1,0)</f>
        <v/>
      </c>
      <c r="GF86">
        <f>GF85+$GE86</f>
        <v/>
      </c>
      <c r="GG86">
        <f>IFERROR(INDEX($FZ$5:$FZ$104,MATCH($FX86,$GF$5:$GF$104,0)),"")</f>
        <v/>
      </c>
    </row>
    <row r="87">
      <c r="Y87">
        <f>IFERROR(IF(ISNUMBER(INDEX(PASTE_ALL,38,1)),2,IF(TRIM(INDEX(PASTE_ALL,38,1))="",0,IF(AND(LEFT(MID(TRIM(INDEX(PASTE_ALL,38,1)),1+(LEFT(TRIM(INDEX(PASTE_ALL,38,1)),1)="-"),999),LEN(MID(TRIM(INDEX(PASTE_ALL,38,1)),1+(LEFT(TRIM(INDEX(PASTE_ALL,38,1)),1)="-"),999))-(RIGHT(MID(TRIM(INDEX(PASTE_ALL,38,1)),1+(LEFT(TRIM(INDEX(PASTE_ALL,38,1)),1)="-"),999),1)="%"))&lt;&gt;"",SUBSTITUTE(SUBSTITUTE(SUBSTITUTE(SUBSTITUTE(SUBSTITUTE(SUBSTITUTE(SUBSTITUTE(SUBSTITUTE(SUBSTITUTE(SUBSTITUTE(SUBSTITUTE(SUBSTITUTE(LEFT(MID(TRIM(INDEX(PASTE_ALL,38,1)),1+(LEFT(TRIM(INDEX(PASTE_ALL,38,1)),1)="-"),999),LEN(MID(TRIM(INDEX(PASTE_ALL,38,1)),1+(LEFT(TRIM(INDEX(PASTE_ALL,38,1)),1)="-"),999))-(RIGHT(MID(TRIM(INDEX(PASTE_ALL,38,1)),1+(LEFT(TRIM(INDEX(PASTE_ALL,38,1)),1)="-"),999),1)="%")),"0",""),"1",""),"2",""),"3",""),"4",""),"5",""),"6",""),"7",""),"8",""),"9",""),".",""),",","")=""),2,1))),1)</f>
        <v/>
      </c>
      <c r="Z87">
        <f>IFERROR(IF(ISNUMBER(INDEX(PASTE_ALL,38,2)),2,IF(TRIM(INDEX(PASTE_ALL,38,2))="",0,IF(AND(LEFT(MID(TRIM(INDEX(PASTE_ALL,38,2)),1+(LEFT(TRIM(INDEX(PASTE_ALL,38,2)),1)="-"),999),LEN(MID(TRIM(INDEX(PASTE_ALL,38,2)),1+(LEFT(TRIM(INDEX(PASTE_ALL,38,2)),1)="-"),999))-(RIGHT(MID(TRIM(INDEX(PASTE_ALL,38,2)),1+(LEFT(TRIM(INDEX(PASTE_ALL,38,2)),1)="-"),999),1)="%"))&lt;&gt;"",SUBSTITUTE(SUBSTITUTE(SUBSTITUTE(SUBSTITUTE(SUBSTITUTE(SUBSTITUTE(SUBSTITUTE(SUBSTITUTE(SUBSTITUTE(SUBSTITUTE(SUBSTITUTE(SUBSTITUTE(LEFT(MID(TRIM(INDEX(PASTE_ALL,38,2)),1+(LEFT(TRIM(INDEX(PASTE_ALL,38,2)),1)="-"),999),LEN(MID(TRIM(INDEX(PASTE_ALL,38,2)),1+(LEFT(TRIM(INDEX(PASTE_ALL,38,2)),1)="-"),999))-(RIGHT(MID(TRIM(INDEX(PASTE_ALL,38,2)),1+(LEFT(TRIM(INDEX(PASTE_ALL,38,2)),1)="-"),999),1)="%")),"0",""),"1",""),"2",""),"3",""),"4",""),"5",""),"6",""),"7",""),"8",""),"9",""),".",""),",","")=""),2,1))),1)</f>
        <v/>
      </c>
      <c r="AA87">
        <f>IFERROR(IF(ISNUMBER(INDEX(PASTE_ALL,38,3)),2,IF(TRIM(INDEX(PASTE_ALL,38,3))="",0,IF(AND(LEFT(MID(TRIM(INDEX(PASTE_ALL,38,3)),1+(LEFT(TRIM(INDEX(PASTE_ALL,38,3)),1)="-"),999),LEN(MID(TRIM(INDEX(PASTE_ALL,38,3)),1+(LEFT(TRIM(INDEX(PASTE_ALL,38,3)),1)="-"),999))-(RIGHT(MID(TRIM(INDEX(PASTE_ALL,38,3)),1+(LEFT(TRIM(INDEX(PASTE_ALL,38,3)),1)="-"),999),1)="%"))&lt;&gt;"",SUBSTITUTE(SUBSTITUTE(SUBSTITUTE(SUBSTITUTE(SUBSTITUTE(SUBSTITUTE(SUBSTITUTE(SUBSTITUTE(SUBSTITUTE(SUBSTITUTE(SUBSTITUTE(SUBSTITUTE(LEFT(MID(TRIM(INDEX(PASTE_ALL,38,3)),1+(LEFT(TRIM(INDEX(PASTE_ALL,38,3)),1)="-"),999),LEN(MID(TRIM(INDEX(PASTE_ALL,38,3)),1+(LEFT(TRIM(INDEX(PASTE_ALL,38,3)),1)="-"),999))-(RIGHT(MID(TRIM(INDEX(PASTE_ALL,38,3)),1+(LEFT(TRIM(INDEX(PASTE_ALL,38,3)),1)="-"),999),1)="%")),"0",""),"1",""),"2",""),"3",""),"4",""),"5",""),"6",""),"7",""),"8",""),"9",""),".",""),",","")=""),2,1))),1)</f>
        <v/>
      </c>
      <c r="AB87">
        <f>IFERROR(IF(ISNUMBER(INDEX(PASTE_ALL,38,4)),2,IF(TRIM(INDEX(PASTE_ALL,38,4))="",0,IF(AND(LEFT(MID(TRIM(INDEX(PASTE_ALL,38,4)),1+(LEFT(TRIM(INDEX(PASTE_ALL,38,4)),1)="-"),999),LEN(MID(TRIM(INDEX(PASTE_ALL,38,4)),1+(LEFT(TRIM(INDEX(PASTE_ALL,38,4)),1)="-"),999))-(RIGHT(MID(TRIM(INDEX(PASTE_ALL,38,4)),1+(LEFT(TRIM(INDEX(PASTE_ALL,38,4)),1)="-"),999),1)="%"))&lt;&gt;"",SUBSTITUTE(SUBSTITUTE(SUBSTITUTE(SUBSTITUTE(SUBSTITUTE(SUBSTITUTE(SUBSTITUTE(SUBSTITUTE(SUBSTITUTE(SUBSTITUTE(SUBSTITUTE(SUBSTITUTE(LEFT(MID(TRIM(INDEX(PASTE_ALL,38,4)),1+(LEFT(TRIM(INDEX(PASTE_ALL,38,4)),1)="-"),999),LEN(MID(TRIM(INDEX(PASTE_ALL,38,4)),1+(LEFT(TRIM(INDEX(PASTE_ALL,38,4)),1)="-"),999))-(RIGHT(MID(TRIM(INDEX(PASTE_ALL,38,4)),1+(LEFT(TRIM(INDEX(PASTE_ALL,38,4)),1)="-"),999),1)="%")),"0",""),"1",""),"2",""),"3",""),"4",""),"5",""),"6",""),"7",""),"8",""),"9",""),".",""),",","")=""),2,1))),1)</f>
        <v/>
      </c>
      <c r="AC87">
        <f>IFERROR(IF(ISNUMBER(INDEX(PASTE_ALL,38,5)),2,IF(TRIM(INDEX(PASTE_ALL,38,5))="",0,IF(AND(LEFT(MID(TRIM(INDEX(PASTE_ALL,38,5)),1+(LEFT(TRIM(INDEX(PASTE_ALL,38,5)),1)="-"),999),LEN(MID(TRIM(INDEX(PASTE_ALL,38,5)),1+(LEFT(TRIM(INDEX(PASTE_ALL,38,5)),1)="-"),999))-(RIGHT(MID(TRIM(INDEX(PASTE_ALL,38,5)),1+(LEFT(TRIM(INDEX(PASTE_ALL,38,5)),1)="-"),999),1)="%"))&lt;&gt;"",SUBSTITUTE(SUBSTITUTE(SUBSTITUTE(SUBSTITUTE(SUBSTITUTE(SUBSTITUTE(SUBSTITUTE(SUBSTITUTE(SUBSTITUTE(SUBSTITUTE(SUBSTITUTE(SUBSTITUTE(LEFT(MID(TRIM(INDEX(PASTE_ALL,38,5)),1+(LEFT(TRIM(INDEX(PASTE_ALL,38,5)),1)="-"),999),LEN(MID(TRIM(INDEX(PASTE_ALL,38,5)),1+(LEFT(TRIM(INDEX(PASTE_ALL,38,5)),1)="-"),999))-(RIGHT(MID(TRIM(INDEX(PASTE_ALL,38,5)),1+(LEFT(TRIM(INDEX(PASTE_ALL,38,5)),1)="-"),999),1)="%")),"0",""),"1",""),"2",""),"3",""),"4",""),"5",""),"6",""),"7",""),"8",""),"9",""),".",""),",","")=""),2,1))),1)</f>
        <v/>
      </c>
      <c r="AD87">
        <f>IFERROR(IF(ISNUMBER(INDEX(PASTE_ALL,38,6)),2,IF(TRIM(INDEX(PASTE_ALL,38,6))="",0,IF(AND(LEFT(MID(TRIM(INDEX(PASTE_ALL,38,6)),1+(LEFT(TRIM(INDEX(PASTE_ALL,38,6)),1)="-"),999),LEN(MID(TRIM(INDEX(PASTE_ALL,38,6)),1+(LEFT(TRIM(INDEX(PASTE_ALL,38,6)),1)="-"),999))-(RIGHT(MID(TRIM(INDEX(PASTE_ALL,38,6)),1+(LEFT(TRIM(INDEX(PASTE_ALL,38,6)),1)="-"),999),1)="%"))&lt;&gt;"",SUBSTITUTE(SUBSTITUTE(SUBSTITUTE(SUBSTITUTE(SUBSTITUTE(SUBSTITUTE(SUBSTITUTE(SUBSTITUTE(SUBSTITUTE(SUBSTITUTE(SUBSTITUTE(SUBSTITUTE(LEFT(MID(TRIM(INDEX(PASTE_ALL,38,6)),1+(LEFT(TRIM(INDEX(PASTE_ALL,38,6)),1)="-"),999),LEN(MID(TRIM(INDEX(PASTE_ALL,38,6)),1+(LEFT(TRIM(INDEX(PASTE_ALL,38,6)),1)="-"),999))-(RIGHT(MID(TRIM(INDEX(PASTE_ALL,38,6)),1+(LEFT(TRIM(INDEX(PASTE_ALL,38,6)),1)="-"),999),1)="%")),"0",""),"1",""),"2",""),"3",""),"4",""),"5",""),"6",""),"7",""),"8",""),"9",""),".",""),",","")=""),2,1))),1)</f>
        <v/>
      </c>
      <c r="AE87">
        <f>IFERROR(IF(ISNUMBER(INDEX(PASTE_ALL,38,7)),2,IF(TRIM(INDEX(PASTE_ALL,38,7))="",0,IF(AND(LEFT(MID(TRIM(INDEX(PASTE_ALL,38,7)),1+(LEFT(TRIM(INDEX(PASTE_ALL,38,7)),1)="-"),999),LEN(MID(TRIM(INDEX(PASTE_ALL,38,7)),1+(LEFT(TRIM(INDEX(PASTE_ALL,38,7)),1)="-"),999))-(RIGHT(MID(TRIM(INDEX(PASTE_ALL,38,7)),1+(LEFT(TRIM(INDEX(PASTE_ALL,38,7)),1)="-"),999),1)="%"))&lt;&gt;"",SUBSTITUTE(SUBSTITUTE(SUBSTITUTE(SUBSTITUTE(SUBSTITUTE(SUBSTITUTE(SUBSTITUTE(SUBSTITUTE(SUBSTITUTE(SUBSTITUTE(SUBSTITUTE(SUBSTITUTE(LEFT(MID(TRIM(INDEX(PASTE_ALL,38,7)),1+(LEFT(TRIM(INDEX(PASTE_ALL,38,7)),1)="-"),999),LEN(MID(TRIM(INDEX(PASTE_ALL,38,7)),1+(LEFT(TRIM(INDEX(PASTE_ALL,38,7)),1)="-"),999))-(RIGHT(MID(TRIM(INDEX(PASTE_ALL,38,7)),1+(LEFT(TRIM(INDEX(PASTE_ALL,38,7)),1)="-"),999),1)="%")),"0",""),"1",""),"2",""),"3",""),"4",""),"5",""),"6",""),"7",""),"8",""),"9",""),".",""),",","")=""),2,1))),1)</f>
        <v/>
      </c>
      <c r="AF87">
        <f>IFERROR(IF(ISNUMBER(INDEX(PASTE_ALL,38,8)),2,IF(TRIM(INDEX(PASTE_ALL,38,8))="",0,IF(AND(LEFT(MID(TRIM(INDEX(PASTE_ALL,38,8)),1+(LEFT(TRIM(INDEX(PASTE_ALL,38,8)),1)="-"),999),LEN(MID(TRIM(INDEX(PASTE_ALL,38,8)),1+(LEFT(TRIM(INDEX(PASTE_ALL,38,8)),1)="-"),999))-(RIGHT(MID(TRIM(INDEX(PASTE_ALL,38,8)),1+(LEFT(TRIM(INDEX(PASTE_ALL,38,8)),1)="-"),999),1)="%"))&lt;&gt;"",SUBSTITUTE(SUBSTITUTE(SUBSTITUTE(SUBSTITUTE(SUBSTITUTE(SUBSTITUTE(SUBSTITUTE(SUBSTITUTE(SUBSTITUTE(SUBSTITUTE(SUBSTITUTE(SUBSTITUTE(LEFT(MID(TRIM(INDEX(PASTE_ALL,38,8)),1+(LEFT(TRIM(INDEX(PASTE_ALL,38,8)),1)="-"),999),LEN(MID(TRIM(INDEX(PASTE_ALL,38,8)),1+(LEFT(TRIM(INDEX(PASTE_ALL,38,8)),1)="-"),999))-(RIGHT(MID(TRIM(INDEX(PASTE_ALL,38,8)),1+(LEFT(TRIM(INDEX(PASTE_ALL,38,8)),1)="-"),999),1)="%")),"0",""),"1",""),"2",""),"3",""),"4",""),"5",""),"6",""),"7",""),"8",""),"9",""),".",""),",","")=""),2,1))),1)</f>
        <v/>
      </c>
      <c r="AG87">
        <f>IFERROR(IF(ISNUMBER(INDEX(PASTE_ALL,38,9)),2,IF(TRIM(INDEX(PASTE_ALL,38,9))="",0,IF(AND(LEFT(MID(TRIM(INDEX(PASTE_ALL,38,9)),1+(LEFT(TRIM(INDEX(PASTE_ALL,38,9)),1)="-"),999),LEN(MID(TRIM(INDEX(PASTE_ALL,38,9)),1+(LEFT(TRIM(INDEX(PASTE_ALL,38,9)),1)="-"),999))-(RIGHT(MID(TRIM(INDEX(PASTE_ALL,38,9)),1+(LEFT(TRIM(INDEX(PASTE_ALL,38,9)),1)="-"),999),1)="%"))&lt;&gt;"",SUBSTITUTE(SUBSTITUTE(SUBSTITUTE(SUBSTITUTE(SUBSTITUTE(SUBSTITUTE(SUBSTITUTE(SUBSTITUTE(SUBSTITUTE(SUBSTITUTE(SUBSTITUTE(SUBSTITUTE(LEFT(MID(TRIM(INDEX(PASTE_ALL,38,9)),1+(LEFT(TRIM(INDEX(PASTE_ALL,38,9)),1)="-"),999),LEN(MID(TRIM(INDEX(PASTE_ALL,38,9)),1+(LEFT(TRIM(INDEX(PASTE_ALL,38,9)),1)="-"),999))-(RIGHT(MID(TRIM(INDEX(PASTE_ALL,38,9)),1+(LEFT(TRIM(INDEX(PASTE_ALL,38,9)),1)="-"),999),1)="%")),"0",""),"1",""),"2",""),"3",""),"4",""),"5",""),"6",""),"7",""),"8",""),"9",""),".",""),",","")=""),2,1))),1)</f>
        <v/>
      </c>
      <c r="AH87">
        <f>IFERROR(IF(ISNUMBER(INDEX(PASTE_ALL,38,10)),2,IF(TRIM(INDEX(PASTE_ALL,38,10))="",0,IF(AND(LEFT(MID(TRIM(INDEX(PASTE_ALL,38,10)),1+(LEFT(TRIM(INDEX(PASTE_ALL,38,10)),1)="-"),999),LEN(MID(TRIM(INDEX(PASTE_ALL,38,10)),1+(LEFT(TRIM(INDEX(PASTE_ALL,38,10)),1)="-"),999))-(RIGHT(MID(TRIM(INDEX(PASTE_ALL,38,10)),1+(LEFT(TRIM(INDEX(PASTE_ALL,38,10)),1)="-"),999),1)="%"))&lt;&gt;"",SUBSTITUTE(SUBSTITUTE(SUBSTITUTE(SUBSTITUTE(SUBSTITUTE(SUBSTITUTE(SUBSTITUTE(SUBSTITUTE(SUBSTITUTE(SUBSTITUTE(SUBSTITUTE(SUBSTITUTE(LEFT(MID(TRIM(INDEX(PASTE_ALL,38,10)),1+(LEFT(TRIM(INDEX(PASTE_ALL,38,10)),1)="-"),999),LEN(MID(TRIM(INDEX(PASTE_ALL,38,10)),1+(LEFT(TRIM(INDEX(PASTE_ALL,38,10)),1)="-"),999))-(RIGHT(MID(TRIM(INDEX(PASTE_ALL,38,10)),1+(LEFT(TRIM(INDEX(PASTE_ALL,38,10)),1)="-"),999),1)="%")),"0",""),"1",""),"2",""),"3",""),"4",""),"5",""),"6",""),"7",""),"8",""),"9",""),".",""),",","")=""),2,1))),1)</f>
        <v/>
      </c>
      <c r="AI87">
        <f>IFERROR(IF(ISNUMBER(INDEX(PASTE_ALL,38,11)),2,IF(TRIM(INDEX(PASTE_ALL,38,11))="",0,IF(AND(LEFT(MID(TRIM(INDEX(PASTE_ALL,38,11)),1+(LEFT(TRIM(INDEX(PASTE_ALL,38,11)),1)="-"),999),LEN(MID(TRIM(INDEX(PASTE_ALL,38,11)),1+(LEFT(TRIM(INDEX(PASTE_ALL,38,11)),1)="-"),999))-(RIGHT(MID(TRIM(INDEX(PASTE_ALL,38,11)),1+(LEFT(TRIM(INDEX(PASTE_ALL,38,11)),1)="-"),999),1)="%"))&lt;&gt;"",SUBSTITUTE(SUBSTITUTE(SUBSTITUTE(SUBSTITUTE(SUBSTITUTE(SUBSTITUTE(SUBSTITUTE(SUBSTITUTE(SUBSTITUTE(SUBSTITUTE(SUBSTITUTE(SUBSTITUTE(LEFT(MID(TRIM(INDEX(PASTE_ALL,38,11)),1+(LEFT(TRIM(INDEX(PASTE_ALL,38,11)),1)="-"),999),LEN(MID(TRIM(INDEX(PASTE_ALL,38,11)),1+(LEFT(TRIM(INDEX(PASTE_ALL,38,11)),1)="-"),999))-(RIGHT(MID(TRIM(INDEX(PASTE_ALL,38,11)),1+(LEFT(TRIM(INDEX(PASTE_ALL,38,11)),1)="-"),999),1)="%")),"0",""),"1",""),"2",""),"3",""),"4",""),"5",""),"6",""),"7",""),"8",""),"9",""),".",""),",","")=""),2,1))),1)</f>
        <v/>
      </c>
      <c r="AJ87">
        <f>IFERROR(IF(ISNUMBER(INDEX(PASTE_ALL,38,12)),2,IF(TRIM(INDEX(PASTE_ALL,38,12))="",0,IF(AND(LEFT(MID(TRIM(INDEX(PASTE_ALL,38,12)),1+(LEFT(TRIM(INDEX(PASTE_ALL,38,12)),1)="-"),999),LEN(MID(TRIM(INDEX(PASTE_ALL,38,12)),1+(LEFT(TRIM(INDEX(PASTE_ALL,38,12)),1)="-"),999))-(RIGHT(MID(TRIM(INDEX(PASTE_ALL,38,12)),1+(LEFT(TRIM(INDEX(PASTE_ALL,38,12)),1)="-"),999),1)="%"))&lt;&gt;"",SUBSTITUTE(SUBSTITUTE(SUBSTITUTE(SUBSTITUTE(SUBSTITUTE(SUBSTITUTE(SUBSTITUTE(SUBSTITUTE(SUBSTITUTE(SUBSTITUTE(SUBSTITUTE(SUBSTITUTE(LEFT(MID(TRIM(INDEX(PASTE_ALL,38,12)),1+(LEFT(TRIM(INDEX(PASTE_ALL,38,12)),1)="-"),999),LEN(MID(TRIM(INDEX(PASTE_ALL,38,12)),1+(LEFT(TRIM(INDEX(PASTE_ALL,38,12)),1)="-"),999))-(RIGHT(MID(TRIM(INDEX(PASTE_ALL,38,12)),1+(LEFT(TRIM(INDEX(PASTE_ALL,38,12)),1)="-"),999),1)="%")),"0",""),"1",""),"2",""),"3",""),"4",""),"5",""),"6",""),"7",""),"8",""),"9",""),".",""),",","")=""),2,1))),1)</f>
        <v/>
      </c>
      <c r="AK87">
        <f>IFERROR(IF(ISNUMBER(INDEX(PASTE_ALL,38,13)),2,IF(TRIM(INDEX(PASTE_ALL,38,13))="",0,IF(AND(LEFT(MID(TRIM(INDEX(PASTE_ALL,38,13)),1+(LEFT(TRIM(INDEX(PASTE_ALL,38,13)),1)="-"),999),LEN(MID(TRIM(INDEX(PASTE_ALL,38,13)),1+(LEFT(TRIM(INDEX(PASTE_ALL,38,13)),1)="-"),999))-(RIGHT(MID(TRIM(INDEX(PASTE_ALL,38,13)),1+(LEFT(TRIM(INDEX(PASTE_ALL,38,13)),1)="-"),999),1)="%"))&lt;&gt;"",SUBSTITUTE(SUBSTITUTE(SUBSTITUTE(SUBSTITUTE(SUBSTITUTE(SUBSTITUTE(SUBSTITUTE(SUBSTITUTE(SUBSTITUTE(SUBSTITUTE(SUBSTITUTE(SUBSTITUTE(LEFT(MID(TRIM(INDEX(PASTE_ALL,38,13)),1+(LEFT(TRIM(INDEX(PASTE_ALL,38,13)),1)="-"),999),LEN(MID(TRIM(INDEX(PASTE_ALL,38,13)),1+(LEFT(TRIM(INDEX(PASTE_ALL,38,13)),1)="-"),999))-(RIGHT(MID(TRIM(INDEX(PASTE_ALL,38,13)),1+(LEFT(TRIM(INDEX(PASTE_ALL,38,13)),1)="-"),999),1)="%")),"0",""),"1",""),"2",""),"3",""),"4",""),"5",""),"6",""),"7",""),"8",""),"9",""),".",""),",","")=""),2,1))),1)</f>
        <v/>
      </c>
      <c r="AL87">
        <f>IFERROR(IF(ISNUMBER(INDEX(PASTE_ALL,38,14)),2,IF(TRIM(INDEX(PASTE_ALL,38,14))="",0,IF(AND(LEFT(MID(TRIM(INDEX(PASTE_ALL,38,14)),1+(LEFT(TRIM(INDEX(PASTE_ALL,38,14)),1)="-"),999),LEN(MID(TRIM(INDEX(PASTE_ALL,38,14)),1+(LEFT(TRIM(INDEX(PASTE_ALL,38,14)),1)="-"),999))-(RIGHT(MID(TRIM(INDEX(PASTE_ALL,38,14)),1+(LEFT(TRIM(INDEX(PASTE_ALL,38,14)),1)="-"),999),1)="%"))&lt;&gt;"",SUBSTITUTE(SUBSTITUTE(SUBSTITUTE(SUBSTITUTE(SUBSTITUTE(SUBSTITUTE(SUBSTITUTE(SUBSTITUTE(SUBSTITUTE(SUBSTITUTE(SUBSTITUTE(SUBSTITUTE(LEFT(MID(TRIM(INDEX(PASTE_ALL,38,14)),1+(LEFT(TRIM(INDEX(PASTE_ALL,38,14)),1)="-"),999),LEN(MID(TRIM(INDEX(PASTE_ALL,38,14)),1+(LEFT(TRIM(INDEX(PASTE_ALL,38,14)),1)="-"),999))-(RIGHT(MID(TRIM(INDEX(PASTE_ALL,38,14)),1+(LEFT(TRIM(INDEX(PASTE_ALL,38,14)),1)="-"),999),1)="%")),"0",""),"1",""),"2",""),"3",""),"4",""),"5",""),"6",""),"7",""),"8",""),"9",""),".",""),",","")=""),2,1))),1)</f>
        <v/>
      </c>
      <c r="AM87">
        <f>IFERROR(IF(ISNUMBER(INDEX(PASTE_ALL,38,15)),2,IF(TRIM(INDEX(PASTE_ALL,38,15))="",0,IF(AND(LEFT(MID(TRIM(INDEX(PASTE_ALL,38,15)),1+(LEFT(TRIM(INDEX(PASTE_ALL,38,15)),1)="-"),999),LEN(MID(TRIM(INDEX(PASTE_ALL,38,15)),1+(LEFT(TRIM(INDEX(PASTE_ALL,38,15)),1)="-"),999))-(RIGHT(MID(TRIM(INDEX(PASTE_ALL,38,15)),1+(LEFT(TRIM(INDEX(PASTE_ALL,38,15)),1)="-"),999),1)="%"))&lt;&gt;"",SUBSTITUTE(SUBSTITUTE(SUBSTITUTE(SUBSTITUTE(SUBSTITUTE(SUBSTITUTE(SUBSTITUTE(SUBSTITUTE(SUBSTITUTE(SUBSTITUTE(SUBSTITUTE(SUBSTITUTE(LEFT(MID(TRIM(INDEX(PASTE_ALL,38,15)),1+(LEFT(TRIM(INDEX(PASTE_ALL,38,15)),1)="-"),999),LEN(MID(TRIM(INDEX(PASTE_ALL,38,15)),1+(LEFT(TRIM(INDEX(PASTE_ALL,38,15)),1)="-"),999))-(RIGHT(MID(TRIM(INDEX(PASTE_ALL,38,15)),1+(LEFT(TRIM(INDEX(PASTE_ALL,38,15)),1)="-"),999),1)="%")),"0",""),"1",""),"2",""),"3",""),"4",""),"5",""),"6",""),"7",""),"8",""),"9",""),".",""),",","")=""),2,1))),1)</f>
        <v/>
      </c>
      <c r="AN87">
        <f>IFERROR(IF(ISNUMBER(INDEX(PASTE_ALL,38,16)),2,IF(TRIM(INDEX(PASTE_ALL,38,16))="",0,IF(AND(LEFT(MID(TRIM(INDEX(PASTE_ALL,38,16)),1+(LEFT(TRIM(INDEX(PASTE_ALL,38,16)),1)="-"),999),LEN(MID(TRIM(INDEX(PASTE_ALL,38,16)),1+(LEFT(TRIM(INDEX(PASTE_ALL,38,16)),1)="-"),999))-(RIGHT(MID(TRIM(INDEX(PASTE_ALL,38,16)),1+(LEFT(TRIM(INDEX(PASTE_ALL,38,16)),1)="-"),999),1)="%"))&lt;&gt;"",SUBSTITUTE(SUBSTITUTE(SUBSTITUTE(SUBSTITUTE(SUBSTITUTE(SUBSTITUTE(SUBSTITUTE(SUBSTITUTE(SUBSTITUTE(SUBSTITUTE(SUBSTITUTE(SUBSTITUTE(LEFT(MID(TRIM(INDEX(PASTE_ALL,38,16)),1+(LEFT(TRIM(INDEX(PASTE_ALL,38,16)),1)="-"),999),LEN(MID(TRIM(INDEX(PASTE_ALL,38,16)),1+(LEFT(TRIM(INDEX(PASTE_ALL,38,16)),1)="-"),999))-(RIGHT(MID(TRIM(INDEX(PASTE_ALL,38,16)),1+(LEFT(TRIM(INDEX(PASTE_ALL,38,16)),1)="-"),999),1)="%")),"0",""),"1",""),"2",""),"3",""),"4",""),"5",""),"6",""),"7",""),"8",""),"9",""),".",""),",","")=""),2,1))),1)</f>
        <v/>
      </c>
      <c r="AO87">
        <f>IFERROR(IF(ISNUMBER(INDEX(PASTE_ALL,38,17)),2,IF(TRIM(INDEX(PASTE_ALL,38,17))="",0,IF(AND(LEFT(MID(TRIM(INDEX(PASTE_ALL,38,17)),1+(LEFT(TRIM(INDEX(PASTE_ALL,38,17)),1)="-"),999),LEN(MID(TRIM(INDEX(PASTE_ALL,38,17)),1+(LEFT(TRIM(INDEX(PASTE_ALL,38,17)),1)="-"),999))-(RIGHT(MID(TRIM(INDEX(PASTE_ALL,38,17)),1+(LEFT(TRIM(INDEX(PASTE_ALL,38,17)),1)="-"),999),1)="%"))&lt;&gt;"",SUBSTITUTE(SUBSTITUTE(SUBSTITUTE(SUBSTITUTE(SUBSTITUTE(SUBSTITUTE(SUBSTITUTE(SUBSTITUTE(SUBSTITUTE(SUBSTITUTE(SUBSTITUTE(SUBSTITUTE(LEFT(MID(TRIM(INDEX(PASTE_ALL,38,17)),1+(LEFT(TRIM(INDEX(PASTE_ALL,38,17)),1)="-"),999),LEN(MID(TRIM(INDEX(PASTE_ALL,38,17)),1+(LEFT(TRIM(INDEX(PASTE_ALL,38,17)),1)="-"),999))-(RIGHT(MID(TRIM(INDEX(PASTE_ALL,38,17)),1+(LEFT(TRIM(INDEX(PASTE_ALL,38,17)),1)="-"),999),1)="%")),"0",""),"1",""),"2",""),"3",""),"4",""),"5",""),"6",""),"7",""),"8",""),"9",""),".",""),",","")=""),2,1))),1)</f>
        <v/>
      </c>
      <c r="AP87">
        <f>IFERROR(IF(ISNUMBER(INDEX(PASTE_ALL,38,18)),2,IF(TRIM(INDEX(PASTE_ALL,38,18))="",0,IF(AND(LEFT(MID(TRIM(INDEX(PASTE_ALL,38,18)),1+(LEFT(TRIM(INDEX(PASTE_ALL,38,18)),1)="-"),999),LEN(MID(TRIM(INDEX(PASTE_ALL,38,18)),1+(LEFT(TRIM(INDEX(PASTE_ALL,38,18)),1)="-"),999))-(RIGHT(MID(TRIM(INDEX(PASTE_ALL,38,18)),1+(LEFT(TRIM(INDEX(PASTE_ALL,38,18)),1)="-"),999),1)="%"))&lt;&gt;"",SUBSTITUTE(SUBSTITUTE(SUBSTITUTE(SUBSTITUTE(SUBSTITUTE(SUBSTITUTE(SUBSTITUTE(SUBSTITUTE(SUBSTITUTE(SUBSTITUTE(SUBSTITUTE(SUBSTITUTE(LEFT(MID(TRIM(INDEX(PASTE_ALL,38,18)),1+(LEFT(TRIM(INDEX(PASTE_ALL,38,18)),1)="-"),999),LEN(MID(TRIM(INDEX(PASTE_ALL,38,18)),1+(LEFT(TRIM(INDEX(PASTE_ALL,38,18)),1)="-"),999))-(RIGHT(MID(TRIM(INDEX(PASTE_ALL,38,18)),1+(LEFT(TRIM(INDEX(PASTE_ALL,38,18)),1)="-"),999),1)="%")),"0",""),"1",""),"2",""),"3",""),"4",""),"5",""),"6",""),"7",""),"8",""),"9",""),".",""),",","")=""),2,1))),1)</f>
        <v/>
      </c>
      <c r="AQ87">
        <f>IFERROR(IF(ISNUMBER(INDEX(PASTE_ALL,38,19)),2,IF(TRIM(INDEX(PASTE_ALL,38,19))="",0,IF(AND(LEFT(MID(TRIM(INDEX(PASTE_ALL,38,19)),1+(LEFT(TRIM(INDEX(PASTE_ALL,38,19)),1)="-"),999),LEN(MID(TRIM(INDEX(PASTE_ALL,38,19)),1+(LEFT(TRIM(INDEX(PASTE_ALL,38,19)),1)="-"),999))-(RIGHT(MID(TRIM(INDEX(PASTE_ALL,38,19)),1+(LEFT(TRIM(INDEX(PASTE_ALL,38,19)),1)="-"),999),1)="%"))&lt;&gt;"",SUBSTITUTE(SUBSTITUTE(SUBSTITUTE(SUBSTITUTE(SUBSTITUTE(SUBSTITUTE(SUBSTITUTE(SUBSTITUTE(SUBSTITUTE(SUBSTITUTE(SUBSTITUTE(SUBSTITUTE(LEFT(MID(TRIM(INDEX(PASTE_ALL,38,19)),1+(LEFT(TRIM(INDEX(PASTE_ALL,38,19)),1)="-"),999),LEN(MID(TRIM(INDEX(PASTE_ALL,38,19)),1+(LEFT(TRIM(INDEX(PASTE_ALL,38,19)),1)="-"),999))-(RIGHT(MID(TRIM(INDEX(PASTE_ALL,38,19)),1+(LEFT(TRIM(INDEX(PASTE_ALL,38,19)),1)="-"),999),1)="%")),"0",""),"1",""),"2",""),"3",""),"4",""),"5",""),"6",""),"7",""),"8",""),"9",""),".",""),",","")=""),2,1))),1)</f>
        <v/>
      </c>
      <c r="AR87">
        <f>IFERROR(IF(ISNUMBER(INDEX(PASTE_ALL,38,20)),2,IF(TRIM(INDEX(PASTE_ALL,38,20))="",0,IF(AND(LEFT(MID(TRIM(INDEX(PASTE_ALL,38,20)),1+(LEFT(TRIM(INDEX(PASTE_ALL,38,20)),1)="-"),999),LEN(MID(TRIM(INDEX(PASTE_ALL,38,20)),1+(LEFT(TRIM(INDEX(PASTE_ALL,38,20)),1)="-"),999))-(RIGHT(MID(TRIM(INDEX(PASTE_ALL,38,20)),1+(LEFT(TRIM(INDEX(PASTE_ALL,38,20)),1)="-"),999),1)="%"))&lt;&gt;"",SUBSTITUTE(SUBSTITUTE(SUBSTITUTE(SUBSTITUTE(SUBSTITUTE(SUBSTITUTE(SUBSTITUTE(SUBSTITUTE(SUBSTITUTE(SUBSTITUTE(SUBSTITUTE(SUBSTITUTE(LEFT(MID(TRIM(INDEX(PASTE_ALL,38,20)),1+(LEFT(TRIM(INDEX(PASTE_ALL,38,20)),1)="-"),999),LEN(MID(TRIM(INDEX(PASTE_ALL,38,20)),1+(LEFT(TRIM(INDEX(PASTE_ALL,38,20)),1)="-"),999))-(RIGHT(MID(TRIM(INDEX(PASTE_ALL,38,20)),1+(LEFT(TRIM(INDEX(PASTE_ALL,38,20)),1)="-"),999),1)="%")),"0",""),"1",""),"2",""),"3",""),"4",""),"5",""),"6",""),"7",""),"8",""),"9",""),".",""),",","")=""),2,1))),1)</f>
        <v/>
      </c>
      <c r="AS87">
        <f>IFERROR(IF(ISNUMBER(INDEX(PASTE_ALL,38,21)),2,IF(TRIM(INDEX(PASTE_ALL,38,21))="",0,IF(AND(LEFT(MID(TRIM(INDEX(PASTE_ALL,38,21)),1+(LEFT(TRIM(INDEX(PASTE_ALL,38,21)),1)="-"),999),LEN(MID(TRIM(INDEX(PASTE_ALL,38,21)),1+(LEFT(TRIM(INDEX(PASTE_ALL,38,21)),1)="-"),999))-(RIGHT(MID(TRIM(INDEX(PASTE_ALL,38,21)),1+(LEFT(TRIM(INDEX(PASTE_ALL,38,21)),1)="-"),999),1)="%"))&lt;&gt;"",SUBSTITUTE(SUBSTITUTE(SUBSTITUTE(SUBSTITUTE(SUBSTITUTE(SUBSTITUTE(SUBSTITUTE(SUBSTITUTE(SUBSTITUTE(SUBSTITUTE(SUBSTITUTE(SUBSTITUTE(LEFT(MID(TRIM(INDEX(PASTE_ALL,38,21)),1+(LEFT(TRIM(INDEX(PASTE_ALL,38,21)),1)="-"),999),LEN(MID(TRIM(INDEX(PASTE_ALL,38,21)),1+(LEFT(TRIM(INDEX(PASTE_ALL,38,21)),1)="-"),999))-(RIGHT(MID(TRIM(INDEX(PASTE_ALL,38,21)),1+(LEFT(TRIM(INDEX(PASTE_ALL,38,21)),1)="-"),999),1)="%")),"0",""),"1",""),"2",""),"3",""),"4",""),"5",""),"6",""),"7",""),"8",""),"9",""),".",""),",","")=""),2,1))),1)</f>
        <v/>
      </c>
      <c r="AT87">
        <f>IFERROR(IF(ISNUMBER(INDEX(PASTE_ALL,38,22)),2,IF(TRIM(INDEX(PASTE_ALL,38,22))="",0,IF(AND(LEFT(MID(TRIM(INDEX(PASTE_ALL,38,22)),1+(LEFT(TRIM(INDEX(PASTE_ALL,38,22)),1)="-"),999),LEN(MID(TRIM(INDEX(PASTE_ALL,38,22)),1+(LEFT(TRIM(INDEX(PASTE_ALL,38,22)),1)="-"),999))-(RIGHT(MID(TRIM(INDEX(PASTE_ALL,38,22)),1+(LEFT(TRIM(INDEX(PASTE_ALL,38,22)),1)="-"),999),1)="%"))&lt;&gt;"",SUBSTITUTE(SUBSTITUTE(SUBSTITUTE(SUBSTITUTE(SUBSTITUTE(SUBSTITUTE(SUBSTITUTE(SUBSTITUTE(SUBSTITUTE(SUBSTITUTE(SUBSTITUTE(SUBSTITUTE(LEFT(MID(TRIM(INDEX(PASTE_ALL,38,22)),1+(LEFT(TRIM(INDEX(PASTE_ALL,38,22)),1)="-"),999),LEN(MID(TRIM(INDEX(PASTE_ALL,38,22)),1+(LEFT(TRIM(INDEX(PASTE_ALL,38,22)),1)="-"),999))-(RIGHT(MID(TRIM(INDEX(PASTE_ALL,38,22)),1+(LEFT(TRIM(INDEX(PASTE_ALL,38,22)),1)="-"),999),1)="%")),"0",""),"1",""),"2",""),"3",""),"4",""),"5",""),"6",""),"7",""),"8",""),"9",""),".",""),",","")=""),2,1))),1)</f>
        <v/>
      </c>
      <c r="AU87">
        <f>IFERROR(IF(ISNUMBER(INDEX(PASTE_ALL,38,23)),2,IF(TRIM(INDEX(PASTE_ALL,38,23))="",0,IF(AND(LEFT(MID(TRIM(INDEX(PASTE_ALL,38,23)),1+(LEFT(TRIM(INDEX(PASTE_ALL,38,23)),1)="-"),999),LEN(MID(TRIM(INDEX(PASTE_ALL,38,23)),1+(LEFT(TRIM(INDEX(PASTE_ALL,38,23)),1)="-"),999))-(RIGHT(MID(TRIM(INDEX(PASTE_ALL,38,23)),1+(LEFT(TRIM(INDEX(PASTE_ALL,38,23)),1)="-"),999),1)="%"))&lt;&gt;"",SUBSTITUTE(SUBSTITUTE(SUBSTITUTE(SUBSTITUTE(SUBSTITUTE(SUBSTITUTE(SUBSTITUTE(SUBSTITUTE(SUBSTITUTE(SUBSTITUTE(SUBSTITUTE(SUBSTITUTE(LEFT(MID(TRIM(INDEX(PASTE_ALL,38,23)),1+(LEFT(TRIM(INDEX(PASTE_ALL,38,23)),1)="-"),999),LEN(MID(TRIM(INDEX(PASTE_ALL,38,23)),1+(LEFT(TRIM(INDEX(PASTE_ALL,38,23)),1)="-"),999))-(RIGHT(MID(TRIM(INDEX(PASTE_ALL,38,23)),1+(LEFT(TRIM(INDEX(PASTE_ALL,38,23)),1)="-"),999),1)="%")),"0",""),"1",""),"2",""),"3",""),"4",""),"5",""),"6",""),"7",""),"8",""),"9",""),".",""),",","")=""),2,1))),1)</f>
        <v/>
      </c>
      <c r="AV87">
        <f>IFERROR(IF(ISNUMBER(INDEX(PASTE_ALL,38,24)),2,IF(TRIM(INDEX(PASTE_ALL,38,24))="",0,IF(AND(LEFT(MID(TRIM(INDEX(PASTE_ALL,38,24)),1+(LEFT(TRIM(INDEX(PASTE_ALL,38,24)),1)="-"),999),LEN(MID(TRIM(INDEX(PASTE_ALL,38,24)),1+(LEFT(TRIM(INDEX(PASTE_ALL,38,24)),1)="-"),999))-(RIGHT(MID(TRIM(INDEX(PASTE_ALL,38,24)),1+(LEFT(TRIM(INDEX(PASTE_ALL,38,24)),1)="-"),999),1)="%"))&lt;&gt;"",SUBSTITUTE(SUBSTITUTE(SUBSTITUTE(SUBSTITUTE(SUBSTITUTE(SUBSTITUTE(SUBSTITUTE(SUBSTITUTE(SUBSTITUTE(SUBSTITUTE(SUBSTITUTE(SUBSTITUTE(LEFT(MID(TRIM(INDEX(PASTE_ALL,38,24)),1+(LEFT(TRIM(INDEX(PASTE_ALL,38,24)),1)="-"),999),LEN(MID(TRIM(INDEX(PASTE_ALL,38,24)),1+(LEFT(TRIM(INDEX(PASTE_ALL,38,24)),1)="-"),999))-(RIGHT(MID(TRIM(INDEX(PASTE_ALL,38,24)),1+(LEFT(TRIM(INDEX(PASTE_ALL,38,24)),1)="-"),999),1)="%")),"0",""),"1",""),"2",""),"3",""),"4",""),"5",""),"6",""),"7",""),"8",""),"9",""),".",""),",","")=""),2,1))),1)</f>
        <v/>
      </c>
      <c r="AW87">
        <f>IFERROR(IF(ISNUMBER(INDEX(PASTE_ALL,38,25)),2,IF(TRIM(INDEX(PASTE_ALL,38,25))="",0,IF(AND(LEFT(MID(TRIM(INDEX(PASTE_ALL,38,25)),1+(LEFT(TRIM(INDEX(PASTE_ALL,38,25)),1)="-"),999),LEN(MID(TRIM(INDEX(PASTE_ALL,38,25)),1+(LEFT(TRIM(INDEX(PASTE_ALL,38,25)),1)="-"),999))-(RIGHT(MID(TRIM(INDEX(PASTE_ALL,38,25)),1+(LEFT(TRIM(INDEX(PASTE_ALL,38,25)),1)="-"),999),1)="%"))&lt;&gt;"",SUBSTITUTE(SUBSTITUTE(SUBSTITUTE(SUBSTITUTE(SUBSTITUTE(SUBSTITUTE(SUBSTITUTE(SUBSTITUTE(SUBSTITUTE(SUBSTITUTE(SUBSTITUTE(SUBSTITUTE(LEFT(MID(TRIM(INDEX(PASTE_ALL,38,25)),1+(LEFT(TRIM(INDEX(PASTE_ALL,38,25)),1)="-"),999),LEN(MID(TRIM(INDEX(PASTE_ALL,38,25)),1+(LEFT(TRIM(INDEX(PASTE_ALL,38,25)),1)="-"),999))-(RIGHT(MID(TRIM(INDEX(PASTE_ALL,38,25)),1+(LEFT(TRIM(INDEX(PASTE_ALL,38,25)),1)="-"),999),1)="%")),"0",""),"1",""),"2",""),"3",""),"4",""),"5",""),"6",""),"7",""),"8",""),"9",""),".",""),",","")=""),2,1))),1)</f>
        <v/>
      </c>
      <c r="AX87">
        <f>IFERROR(IF(ISNUMBER(INDEX(PASTE_ALL,38,26)),2,IF(TRIM(INDEX(PASTE_ALL,38,26))="",0,IF(AND(LEFT(MID(TRIM(INDEX(PASTE_ALL,38,26)),1+(LEFT(TRIM(INDEX(PASTE_ALL,38,26)),1)="-"),999),LEN(MID(TRIM(INDEX(PASTE_ALL,38,26)),1+(LEFT(TRIM(INDEX(PASTE_ALL,38,26)),1)="-"),999))-(RIGHT(MID(TRIM(INDEX(PASTE_ALL,38,26)),1+(LEFT(TRIM(INDEX(PASTE_ALL,38,26)),1)="-"),999),1)="%"))&lt;&gt;"",SUBSTITUTE(SUBSTITUTE(SUBSTITUTE(SUBSTITUTE(SUBSTITUTE(SUBSTITUTE(SUBSTITUTE(SUBSTITUTE(SUBSTITUTE(SUBSTITUTE(SUBSTITUTE(SUBSTITUTE(LEFT(MID(TRIM(INDEX(PASTE_ALL,38,26)),1+(LEFT(TRIM(INDEX(PASTE_ALL,38,26)),1)="-"),999),LEN(MID(TRIM(INDEX(PASTE_ALL,38,26)),1+(LEFT(TRIM(INDEX(PASTE_ALL,38,26)),1)="-"),999))-(RIGHT(MID(TRIM(INDEX(PASTE_ALL,38,26)),1+(LEFT(TRIM(INDEX(PASTE_ALL,38,26)),1)="-"),999),1)="%")),"0",""),"1",""),"2",""),"3",""),"4",""),"5",""),"6",""),"7",""),"8",""),"9",""),".",""),",","")=""),2,1))),1)</f>
        <v/>
      </c>
      <c r="AY87">
        <f>IFERROR(IF(ISNUMBER(INDEX(PASTE_ALL,38,27)),2,IF(TRIM(INDEX(PASTE_ALL,38,27))="",0,IF(AND(LEFT(MID(TRIM(INDEX(PASTE_ALL,38,27)),1+(LEFT(TRIM(INDEX(PASTE_ALL,38,27)),1)="-"),999),LEN(MID(TRIM(INDEX(PASTE_ALL,38,27)),1+(LEFT(TRIM(INDEX(PASTE_ALL,38,27)),1)="-"),999))-(RIGHT(MID(TRIM(INDEX(PASTE_ALL,38,27)),1+(LEFT(TRIM(INDEX(PASTE_ALL,38,27)),1)="-"),999),1)="%"))&lt;&gt;"",SUBSTITUTE(SUBSTITUTE(SUBSTITUTE(SUBSTITUTE(SUBSTITUTE(SUBSTITUTE(SUBSTITUTE(SUBSTITUTE(SUBSTITUTE(SUBSTITUTE(SUBSTITUTE(SUBSTITUTE(LEFT(MID(TRIM(INDEX(PASTE_ALL,38,27)),1+(LEFT(TRIM(INDEX(PASTE_ALL,38,27)),1)="-"),999),LEN(MID(TRIM(INDEX(PASTE_ALL,38,27)),1+(LEFT(TRIM(INDEX(PASTE_ALL,38,27)),1)="-"),999))-(RIGHT(MID(TRIM(INDEX(PASTE_ALL,38,27)),1+(LEFT(TRIM(INDEX(PASTE_ALL,38,27)),1)="-"),999),1)="%")),"0",""),"1",""),"2",""),"3",""),"4",""),"5",""),"6",""),"7",""),"8",""),"9",""),".",""),",","")=""),2,1))),1)</f>
        <v/>
      </c>
      <c r="AZ87">
        <f>IFERROR(IF(ISNUMBER(INDEX(PASTE_ALL,38,28)),2,IF(TRIM(INDEX(PASTE_ALL,38,28))="",0,IF(AND(LEFT(MID(TRIM(INDEX(PASTE_ALL,38,28)),1+(LEFT(TRIM(INDEX(PASTE_ALL,38,28)),1)="-"),999),LEN(MID(TRIM(INDEX(PASTE_ALL,38,28)),1+(LEFT(TRIM(INDEX(PASTE_ALL,38,28)),1)="-"),999))-(RIGHT(MID(TRIM(INDEX(PASTE_ALL,38,28)),1+(LEFT(TRIM(INDEX(PASTE_ALL,38,28)),1)="-"),999),1)="%"))&lt;&gt;"",SUBSTITUTE(SUBSTITUTE(SUBSTITUTE(SUBSTITUTE(SUBSTITUTE(SUBSTITUTE(SUBSTITUTE(SUBSTITUTE(SUBSTITUTE(SUBSTITUTE(SUBSTITUTE(SUBSTITUTE(LEFT(MID(TRIM(INDEX(PASTE_ALL,38,28)),1+(LEFT(TRIM(INDEX(PASTE_ALL,38,28)),1)="-"),999),LEN(MID(TRIM(INDEX(PASTE_ALL,38,28)),1+(LEFT(TRIM(INDEX(PASTE_ALL,38,28)),1)="-"),999))-(RIGHT(MID(TRIM(INDEX(PASTE_ALL,38,28)),1+(LEFT(TRIM(INDEX(PASTE_ALL,38,28)),1)="-"),999),1)="%")),"0",""),"1",""),"2",""),"3",""),"4",""),"5",""),"6",""),"7",""),"8",""),"9",""),".",""),",","")=""),2,1))),1)</f>
        <v/>
      </c>
      <c r="BA87">
        <f>IFERROR(IF(ISNUMBER(INDEX(PASTE_ALL,38,29)),2,IF(TRIM(INDEX(PASTE_ALL,38,29))="",0,IF(AND(LEFT(MID(TRIM(INDEX(PASTE_ALL,38,29)),1+(LEFT(TRIM(INDEX(PASTE_ALL,38,29)),1)="-"),999),LEN(MID(TRIM(INDEX(PASTE_ALL,38,29)),1+(LEFT(TRIM(INDEX(PASTE_ALL,38,29)),1)="-"),999))-(RIGHT(MID(TRIM(INDEX(PASTE_ALL,38,29)),1+(LEFT(TRIM(INDEX(PASTE_ALL,38,29)),1)="-"),999),1)="%"))&lt;&gt;"",SUBSTITUTE(SUBSTITUTE(SUBSTITUTE(SUBSTITUTE(SUBSTITUTE(SUBSTITUTE(SUBSTITUTE(SUBSTITUTE(SUBSTITUTE(SUBSTITUTE(SUBSTITUTE(SUBSTITUTE(LEFT(MID(TRIM(INDEX(PASTE_ALL,38,29)),1+(LEFT(TRIM(INDEX(PASTE_ALL,38,29)),1)="-"),999),LEN(MID(TRIM(INDEX(PASTE_ALL,38,29)),1+(LEFT(TRIM(INDEX(PASTE_ALL,38,29)),1)="-"),999))-(RIGHT(MID(TRIM(INDEX(PASTE_ALL,38,29)),1+(LEFT(TRIM(INDEX(PASTE_ALL,38,29)),1)="-"),999),1)="%")),"0",""),"1",""),"2",""),"3",""),"4",""),"5",""),"6",""),"7",""),"8",""),"9",""),".",""),",","")=""),2,1))),1)</f>
        <v/>
      </c>
      <c r="BB87">
        <f>IFERROR(IF(ISNUMBER(INDEX(PASTE_ALL,38,30)),2,IF(TRIM(INDEX(PASTE_ALL,38,30))="",0,IF(AND(LEFT(MID(TRIM(INDEX(PASTE_ALL,38,30)),1+(LEFT(TRIM(INDEX(PASTE_ALL,38,30)),1)="-"),999),LEN(MID(TRIM(INDEX(PASTE_ALL,38,30)),1+(LEFT(TRIM(INDEX(PASTE_ALL,38,30)),1)="-"),999))-(RIGHT(MID(TRIM(INDEX(PASTE_ALL,38,30)),1+(LEFT(TRIM(INDEX(PASTE_ALL,38,30)),1)="-"),999),1)="%"))&lt;&gt;"",SUBSTITUTE(SUBSTITUTE(SUBSTITUTE(SUBSTITUTE(SUBSTITUTE(SUBSTITUTE(SUBSTITUTE(SUBSTITUTE(SUBSTITUTE(SUBSTITUTE(SUBSTITUTE(SUBSTITUTE(LEFT(MID(TRIM(INDEX(PASTE_ALL,38,30)),1+(LEFT(TRIM(INDEX(PASTE_ALL,38,30)),1)="-"),999),LEN(MID(TRIM(INDEX(PASTE_ALL,38,30)),1+(LEFT(TRIM(INDEX(PASTE_ALL,38,30)),1)="-"),999))-(RIGHT(MID(TRIM(INDEX(PASTE_ALL,38,30)),1+(LEFT(TRIM(INDEX(PASTE_ALL,38,30)),1)="-"),999),1)="%")),"0",""),"1",""),"2",""),"3",""),"4",""),"5",""),"6",""),"7",""),"8",""),"9",""),".",""),",","")=""),2,1))),1)</f>
        <v/>
      </c>
      <c r="BC87">
        <f>IFERROR(IF(ISNUMBER(INDEX(PASTE_ALL,38,31)),2,IF(TRIM(INDEX(PASTE_ALL,38,31))="",0,IF(AND(LEFT(MID(TRIM(INDEX(PASTE_ALL,38,31)),1+(LEFT(TRIM(INDEX(PASTE_ALL,38,31)),1)="-"),999),LEN(MID(TRIM(INDEX(PASTE_ALL,38,31)),1+(LEFT(TRIM(INDEX(PASTE_ALL,38,31)),1)="-"),999))-(RIGHT(MID(TRIM(INDEX(PASTE_ALL,38,31)),1+(LEFT(TRIM(INDEX(PASTE_ALL,38,31)),1)="-"),999),1)="%"))&lt;&gt;"",SUBSTITUTE(SUBSTITUTE(SUBSTITUTE(SUBSTITUTE(SUBSTITUTE(SUBSTITUTE(SUBSTITUTE(SUBSTITUTE(SUBSTITUTE(SUBSTITUTE(SUBSTITUTE(SUBSTITUTE(LEFT(MID(TRIM(INDEX(PASTE_ALL,38,31)),1+(LEFT(TRIM(INDEX(PASTE_ALL,38,31)),1)="-"),999),LEN(MID(TRIM(INDEX(PASTE_ALL,38,31)),1+(LEFT(TRIM(INDEX(PASTE_ALL,38,31)),1)="-"),999))-(RIGHT(MID(TRIM(INDEX(PASTE_ALL,38,31)),1+(LEFT(TRIM(INDEX(PASTE_ALL,38,31)),1)="-"),999),1)="%")),"0",""),"1",""),"2",""),"3",""),"4",""),"5",""),"6",""),"7",""),"8",""),"9",""),".",""),",","")=""),2,1))),1)</f>
        <v/>
      </c>
      <c r="BD87">
        <f>IFERROR(IF(ISNUMBER(INDEX(PASTE_ALL,38,32)),2,IF(TRIM(INDEX(PASTE_ALL,38,32))="",0,IF(AND(LEFT(MID(TRIM(INDEX(PASTE_ALL,38,32)),1+(LEFT(TRIM(INDEX(PASTE_ALL,38,32)),1)="-"),999),LEN(MID(TRIM(INDEX(PASTE_ALL,38,32)),1+(LEFT(TRIM(INDEX(PASTE_ALL,38,32)),1)="-"),999))-(RIGHT(MID(TRIM(INDEX(PASTE_ALL,38,32)),1+(LEFT(TRIM(INDEX(PASTE_ALL,38,32)),1)="-"),999),1)="%"))&lt;&gt;"",SUBSTITUTE(SUBSTITUTE(SUBSTITUTE(SUBSTITUTE(SUBSTITUTE(SUBSTITUTE(SUBSTITUTE(SUBSTITUTE(SUBSTITUTE(SUBSTITUTE(SUBSTITUTE(SUBSTITUTE(LEFT(MID(TRIM(INDEX(PASTE_ALL,38,32)),1+(LEFT(TRIM(INDEX(PASTE_ALL,38,32)),1)="-"),999),LEN(MID(TRIM(INDEX(PASTE_ALL,38,32)),1+(LEFT(TRIM(INDEX(PASTE_ALL,38,32)),1)="-"),999))-(RIGHT(MID(TRIM(INDEX(PASTE_ALL,38,32)),1+(LEFT(TRIM(INDEX(PASTE_ALL,38,32)),1)="-"),999),1)="%")),"0",""),"1",""),"2",""),"3",""),"4",""),"5",""),"6",""),"7",""),"8",""),"9",""),".",""),",","")=""),2,1))),1)</f>
        <v/>
      </c>
      <c r="BE87">
        <f>IFERROR(IF(ISNUMBER(INDEX(PASTE_ALL,38,33)),2,IF(TRIM(INDEX(PASTE_ALL,38,33))="",0,IF(AND(LEFT(MID(TRIM(INDEX(PASTE_ALL,38,33)),1+(LEFT(TRIM(INDEX(PASTE_ALL,38,33)),1)="-"),999),LEN(MID(TRIM(INDEX(PASTE_ALL,38,33)),1+(LEFT(TRIM(INDEX(PASTE_ALL,38,33)),1)="-"),999))-(RIGHT(MID(TRIM(INDEX(PASTE_ALL,38,33)),1+(LEFT(TRIM(INDEX(PASTE_ALL,38,33)),1)="-"),999),1)="%"))&lt;&gt;"",SUBSTITUTE(SUBSTITUTE(SUBSTITUTE(SUBSTITUTE(SUBSTITUTE(SUBSTITUTE(SUBSTITUTE(SUBSTITUTE(SUBSTITUTE(SUBSTITUTE(SUBSTITUTE(SUBSTITUTE(LEFT(MID(TRIM(INDEX(PASTE_ALL,38,33)),1+(LEFT(TRIM(INDEX(PASTE_ALL,38,33)),1)="-"),999),LEN(MID(TRIM(INDEX(PASTE_ALL,38,33)),1+(LEFT(TRIM(INDEX(PASTE_ALL,38,33)),1)="-"),999))-(RIGHT(MID(TRIM(INDEX(PASTE_ALL,38,33)),1+(LEFT(TRIM(INDEX(PASTE_ALL,38,33)),1)="-"),999),1)="%")),"0",""),"1",""),"2",""),"3",""),"4",""),"5",""),"6",""),"7",""),"8",""),"9",""),".",""),",","")=""),2,1))),1)</f>
        <v/>
      </c>
      <c r="BF87">
        <f>IFERROR(IF(ISNUMBER(INDEX(PASTE_ALL,38,34)),2,IF(TRIM(INDEX(PASTE_ALL,38,34))="",0,IF(AND(LEFT(MID(TRIM(INDEX(PASTE_ALL,38,34)),1+(LEFT(TRIM(INDEX(PASTE_ALL,38,34)),1)="-"),999),LEN(MID(TRIM(INDEX(PASTE_ALL,38,34)),1+(LEFT(TRIM(INDEX(PASTE_ALL,38,34)),1)="-"),999))-(RIGHT(MID(TRIM(INDEX(PASTE_ALL,38,34)),1+(LEFT(TRIM(INDEX(PASTE_ALL,38,34)),1)="-"),999),1)="%"))&lt;&gt;"",SUBSTITUTE(SUBSTITUTE(SUBSTITUTE(SUBSTITUTE(SUBSTITUTE(SUBSTITUTE(SUBSTITUTE(SUBSTITUTE(SUBSTITUTE(SUBSTITUTE(SUBSTITUTE(SUBSTITUTE(LEFT(MID(TRIM(INDEX(PASTE_ALL,38,34)),1+(LEFT(TRIM(INDEX(PASTE_ALL,38,34)),1)="-"),999),LEN(MID(TRIM(INDEX(PASTE_ALL,38,34)),1+(LEFT(TRIM(INDEX(PASTE_ALL,38,34)),1)="-"),999))-(RIGHT(MID(TRIM(INDEX(PASTE_ALL,38,34)),1+(LEFT(TRIM(INDEX(PASTE_ALL,38,34)),1)="-"),999),1)="%")),"0",""),"1",""),"2",""),"3",""),"4",""),"5",""),"6",""),"7",""),"8",""),"9",""),".",""),",","")=""),2,1))),1)</f>
        <v/>
      </c>
      <c r="BG87">
        <f>IFERROR(IF(ISNUMBER(INDEX(PASTE_ALL,38,35)),2,IF(TRIM(INDEX(PASTE_ALL,38,35))="",0,IF(AND(LEFT(MID(TRIM(INDEX(PASTE_ALL,38,35)),1+(LEFT(TRIM(INDEX(PASTE_ALL,38,35)),1)="-"),999),LEN(MID(TRIM(INDEX(PASTE_ALL,38,35)),1+(LEFT(TRIM(INDEX(PASTE_ALL,38,35)),1)="-"),999))-(RIGHT(MID(TRIM(INDEX(PASTE_ALL,38,35)),1+(LEFT(TRIM(INDEX(PASTE_ALL,38,35)),1)="-"),999),1)="%"))&lt;&gt;"",SUBSTITUTE(SUBSTITUTE(SUBSTITUTE(SUBSTITUTE(SUBSTITUTE(SUBSTITUTE(SUBSTITUTE(SUBSTITUTE(SUBSTITUTE(SUBSTITUTE(SUBSTITUTE(SUBSTITUTE(LEFT(MID(TRIM(INDEX(PASTE_ALL,38,35)),1+(LEFT(TRIM(INDEX(PASTE_ALL,38,35)),1)="-"),999),LEN(MID(TRIM(INDEX(PASTE_ALL,38,35)),1+(LEFT(TRIM(INDEX(PASTE_ALL,38,35)),1)="-"),999))-(RIGHT(MID(TRIM(INDEX(PASTE_ALL,38,35)),1+(LEFT(TRIM(INDEX(PASTE_ALL,38,35)),1)="-"),999),1)="%")),"0",""),"1",""),"2",""),"3",""),"4",""),"5",""),"6",""),"7",""),"8",""),"9",""),".",""),",","")=""),2,1))),1)</f>
        <v/>
      </c>
      <c r="BH87">
        <f>IFERROR(IF(ISNUMBER(INDEX(PASTE_ALL,38,36)),2,IF(TRIM(INDEX(PASTE_ALL,38,36))="",0,IF(AND(LEFT(MID(TRIM(INDEX(PASTE_ALL,38,36)),1+(LEFT(TRIM(INDEX(PASTE_ALL,38,36)),1)="-"),999),LEN(MID(TRIM(INDEX(PASTE_ALL,38,36)),1+(LEFT(TRIM(INDEX(PASTE_ALL,38,36)),1)="-"),999))-(RIGHT(MID(TRIM(INDEX(PASTE_ALL,38,36)),1+(LEFT(TRIM(INDEX(PASTE_ALL,38,36)),1)="-"),999),1)="%"))&lt;&gt;"",SUBSTITUTE(SUBSTITUTE(SUBSTITUTE(SUBSTITUTE(SUBSTITUTE(SUBSTITUTE(SUBSTITUTE(SUBSTITUTE(SUBSTITUTE(SUBSTITUTE(SUBSTITUTE(SUBSTITUTE(LEFT(MID(TRIM(INDEX(PASTE_ALL,38,36)),1+(LEFT(TRIM(INDEX(PASTE_ALL,38,36)),1)="-"),999),LEN(MID(TRIM(INDEX(PASTE_ALL,38,36)),1+(LEFT(TRIM(INDEX(PASTE_ALL,38,36)),1)="-"),999))-(RIGHT(MID(TRIM(INDEX(PASTE_ALL,38,36)),1+(LEFT(TRIM(INDEX(PASTE_ALL,38,36)),1)="-"),999),1)="%")),"0",""),"1",""),"2",""),"3",""),"4",""),"5",""),"6",""),"7",""),"8",""),"9",""),".",""),",","")=""),2,1))),1)</f>
        <v/>
      </c>
      <c r="BI87">
        <f>IFERROR(IF(ISNUMBER(INDEX(PASTE_ALL,38,37)),2,IF(TRIM(INDEX(PASTE_ALL,38,37))="",0,IF(AND(LEFT(MID(TRIM(INDEX(PASTE_ALL,38,37)),1+(LEFT(TRIM(INDEX(PASTE_ALL,38,37)),1)="-"),999),LEN(MID(TRIM(INDEX(PASTE_ALL,38,37)),1+(LEFT(TRIM(INDEX(PASTE_ALL,38,37)),1)="-"),999))-(RIGHT(MID(TRIM(INDEX(PASTE_ALL,38,37)),1+(LEFT(TRIM(INDEX(PASTE_ALL,38,37)),1)="-"),999),1)="%"))&lt;&gt;"",SUBSTITUTE(SUBSTITUTE(SUBSTITUTE(SUBSTITUTE(SUBSTITUTE(SUBSTITUTE(SUBSTITUTE(SUBSTITUTE(SUBSTITUTE(SUBSTITUTE(SUBSTITUTE(SUBSTITUTE(LEFT(MID(TRIM(INDEX(PASTE_ALL,38,37)),1+(LEFT(TRIM(INDEX(PASTE_ALL,38,37)),1)="-"),999),LEN(MID(TRIM(INDEX(PASTE_ALL,38,37)),1+(LEFT(TRIM(INDEX(PASTE_ALL,38,37)),1)="-"),999))-(RIGHT(MID(TRIM(INDEX(PASTE_ALL,38,37)),1+(LEFT(TRIM(INDEX(PASTE_ALL,38,37)),1)="-"),999),1)="%")),"0",""),"1",""),"2",""),"3",""),"4",""),"5",""),"6",""),"7",""),"8",""),"9",""),".",""),",","")=""),2,1))),1)</f>
        <v/>
      </c>
      <c r="BJ87">
        <f>IFERROR(IF(ISNUMBER(INDEX(PASTE_ALL,38,38)),2,IF(TRIM(INDEX(PASTE_ALL,38,38))="",0,IF(AND(LEFT(MID(TRIM(INDEX(PASTE_ALL,38,38)),1+(LEFT(TRIM(INDEX(PASTE_ALL,38,38)),1)="-"),999),LEN(MID(TRIM(INDEX(PASTE_ALL,38,38)),1+(LEFT(TRIM(INDEX(PASTE_ALL,38,38)),1)="-"),999))-(RIGHT(MID(TRIM(INDEX(PASTE_ALL,38,38)),1+(LEFT(TRIM(INDEX(PASTE_ALL,38,38)),1)="-"),999),1)="%"))&lt;&gt;"",SUBSTITUTE(SUBSTITUTE(SUBSTITUTE(SUBSTITUTE(SUBSTITUTE(SUBSTITUTE(SUBSTITUTE(SUBSTITUTE(SUBSTITUTE(SUBSTITUTE(SUBSTITUTE(SUBSTITUTE(LEFT(MID(TRIM(INDEX(PASTE_ALL,38,38)),1+(LEFT(TRIM(INDEX(PASTE_ALL,38,38)),1)="-"),999),LEN(MID(TRIM(INDEX(PASTE_ALL,38,38)),1+(LEFT(TRIM(INDEX(PASTE_ALL,38,38)),1)="-"),999))-(RIGHT(MID(TRIM(INDEX(PASTE_ALL,38,38)),1+(LEFT(TRIM(INDEX(PASTE_ALL,38,38)),1)="-"),999),1)="%")),"0",""),"1",""),"2",""),"3",""),"4",""),"5",""),"6",""),"7",""),"8",""),"9",""),".",""),",","")=""),2,1))),1)</f>
        <v/>
      </c>
      <c r="BK87">
        <f>IFERROR(IF(ISNUMBER(INDEX(PASTE_ALL,38,39)),2,IF(TRIM(INDEX(PASTE_ALL,38,39))="",0,IF(AND(LEFT(MID(TRIM(INDEX(PASTE_ALL,38,39)),1+(LEFT(TRIM(INDEX(PASTE_ALL,38,39)),1)="-"),999),LEN(MID(TRIM(INDEX(PASTE_ALL,38,39)),1+(LEFT(TRIM(INDEX(PASTE_ALL,38,39)),1)="-"),999))-(RIGHT(MID(TRIM(INDEX(PASTE_ALL,38,39)),1+(LEFT(TRIM(INDEX(PASTE_ALL,38,39)),1)="-"),999),1)="%"))&lt;&gt;"",SUBSTITUTE(SUBSTITUTE(SUBSTITUTE(SUBSTITUTE(SUBSTITUTE(SUBSTITUTE(SUBSTITUTE(SUBSTITUTE(SUBSTITUTE(SUBSTITUTE(SUBSTITUTE(SUBSTITUTE(LEFT(MID(TRIM(INDEX(PASTE_ALL,38,39)),1+(LEFT(TRIM(INDEX(PASTE_ALL,38,39)),1)="-"),999),LEN(MID(TRIM(INDEX(PASTE_ALL,38,39)),1+(LEFT(TRIM(INDEX(PASTE_ALL,38,39)),1)="-"),999))-(RIGHT(MID(TRIM(INDEX(PASTE_ALL,38,39)),1+(LEFT(TRIM(INDEX(PASTE_ALL,38,39)),1)="-"),999),1)="%")),"0",""),"1",""),"2",""),"3",""),"4",""),"5",""),"6",""),"7",""),"8",""),"9",""),".",""),",","")=""),2,1))),1)</f>
        <v/>
      </c>
      <c r="BL87">
        <f>IFERROR(IF(ISNUMBER(INDEX(PASTE_ALL,38,40)),2,IF(TRIM(INDEX(PASTE_ALL,38,40))="",0,IF(AND(LEFT(MID(TRIM(INDEX(PASTE_ALL,38,40)),1+(LEFT(TRIM(INDEX(PASTE_ALL,38,40)),1)="-"),999),LEN(MID(TRIM(INDEX(PASTE_ALL,38,40)),1+(LEFT(TRIM(INDEX(PASTE_ALL,38,40)),1)="-"),999))-(RIGHT(MID(TRIM(INDEX(PASTE_ALL,38,40)),1+(LEFT(TRIM(INDEX(PASTE_ALL,38,40)),1)="-"),999),1)="%"))&lt;&gt;"",SUBSTITUTE(SUBSTITUTE(SUBSTITUTE(SUBSTITUTE(SUBSTITUTE(SUBSTITUTE(SUBSTITUTE(SUBSTITUTE(SUBSTITUTE(SUBSTITUTE(SUBSTITUTE(SUBSTITUTE(LEFT(MID(TRIM(INDEX(PASTE_ALL,38,40)),1+(LEFT(TRIM(INDEX(PASTE_ALL,38,40)),1)="-"),999),LEN(MID(TRIM(INDEX(PASTE_ALL,38,40)),1+(LEFT(TRIM(INDEX(PASTE_ALL,38,40)),1)="-"),999))-(RIGHT(MID(TRIM(INDEX(PASTE_ALL,38,40)),1+(LEFT(TRIM(INDEX(PASTE_ALL,38,40)),1)="-"),999),1)="%")),"0",""),"1",""),"2",""),"3",""),"4",""),"5",""),"6",""),"7",""),"8",""),"9",""),".",""),",","")=""),2,1))),1)</f>
        <v/>
      </c>
      <c r="BM87">
        <f>IFERROR(IF(ISNUMBER(INDEX(PASTE_ALL,38,41)),2,IF(TRIM(INDEX(PASTE_ALL,38,41))="",0,IF(AND(LEFT(MID(TRIM(INDEX(PASTE_ALL,38,41)),1+(LEFT(TRIM(INDEX(PASTE_ALL,38,41)),1)="-"),999),LEN(MID(TRIM(INDEX(PASTE_ALL,38,41)),1+(LEFT(TRIM(INDEX(PASTE_ALL,38,41)),1)="-"),999))-(RIGHT(MID(TRIM(INDEX(PASTE_ALL,38,41)),1+(LEFT(TRIM(INDEX(PASTE_ALL,38,41)),1)="-"),999),1)="%"))&lt;&gt;"",SUBSTITUTE(SUBSTITUTE(SUBSTITUTE(SUBSTITUTE(SUBSTITUTE(SUBSTITUTE(SUBSTITUTE(SUBSTITUTE(SUBSTITUTE(SUBSTITUTE(SUBSTITUTE(SUBSTITUTE(LEFT(MID(TRIM(INDEX(PASTE_ALL,38,41)),1+(LEFT(TRIM(INDEX(PASTE_ALL,38,41)),1)="-"),999),LEN(MID(TRIM(INDEX(PASTE_ALL,38,41)),1+(LEFT(TRIM(INDEX(PASTE_ALL,38,41)),1)="-"),999))-(RIGHT(MID(TRIM(INDEX(PASTE_ALL,38,41)),1+(LEFT(TRIM(INDEX(PASTE_ALL,38,41)),1)="-"),999),1)="%")),"0",""),"1",""),"2",""),"3",""),"4",""),"5",""),"6",""),"7",""),"8",""),"9",""),".",""),",","")=""),2,1))),1)</f>
        <v/>
      </c>
      <c r="BN87">
        <f>IFERROR(IF(ISNUMBER(INDEX(PASTE_ALL,38,42)),2,IF(TRIM(INDEX(PASTE_ALL,38,42))="",0,IF(AND(LEFT(MID(TRIM(INDEX(PASTE_ALL,38,42)),1+(LEFT(TRIM(INDEX(PASTE_ALL,38,42)),1)="-"),999),LEN(MID(TRIM(INDEX(PASTE_ALL,38,42)),1+(LEFT(TRIM(INDEX(PASTE_ALL,38,42)),1)="-"),999))-(RIGHT(MID(TRIM(INDEX(PASTE_ALL,38,42)),1+(LEFT(TRIM(INDEX(PASTE_ALL,38,42)),1)="-"),999),1)="%"))&lt;&gt;"",SUBSTITUTE(SUBSTITUTE(SUBSTITUTE(SUBSTITUTE(SUBSTITUTE(SUBSTITUTE(SUBSTITUTE(SUBSTITUTE(SUBSTITUTE(SUBSTITUTE(SUBSTITUTE(SUBSTITUTE(LEFT(MID(TRIM(INDEX(PASTE_ALL,38,42)),1+(LEFT(TRIM(INDEX(PASTE_ALL,38,42)),1)="-"),999),LEN(MID(TRIM(INDEX(PASTE_ALL,38,42)),1+(LEFT(TRIM(INDEX(PASTE_ALL,38,42)),1)="-"),999))-(RIGHT(MID(TRIM(INDEX(PASTE_ALL,38,42)),1+(LEFT(TRIM(INDEX(PASTE_ALL,38,42)),1)="-"),999),1)="%")),"0",""),"1",""),"2",""),"3",""),"4",""),"5",""),"6",""),"7",""),"8",""),"9",""),".",""),",","")=""),2,1))),1)</f>
        <v/>
      </c>
      <c r="BO87">
        <f>IFERROR(IF(ISNUMBER(INDEX(PASTE_ALL,38,43)),2,IF(TRIM(INDEX(PASTE_ALL,38,43))="",0,IF(AND(LEFT(MID(TRIM(INDEX(PASTE_ALL,38,43)),1+(LEFT(TRIM(INDEX(PASTE_ALL,38,43)),1)="-"),999),LEN(MID(TRIM(INDEX(PASTE_ALL,38,43)),1+(LEFT(TRIM(INDEX(PASTE_ALL,38,43)),1)="-"),999))-(RIGHT(MID(TRIM(INDEX(PASTE_ALL,38,43)),1+(LEFT(TRIM(INDEX(PASTE_ALL,38,43)),1)="-"),999),1)="%"))&lt;&gt;"",SUBSTITUTE(SUBSTITUTE(SUBSTITUTE(SUBSTITUTE(SUBSTITUTE(SUBSTITUTE(SUBSTITUTE(SUBSTITUTE(SUBSTITUTE(SUBSTITUTE(SUBSTITUTE(SUBSTITUTE(LEFT(MID(TRIM(INDEX(PASTE_ALL,38,43)),1+(LEFT(TRIM(INDEX(PASTE_ALL,38,43)),1)="-"),999),LEN(MID(TRIM(INDEX(PASTE_ALL,38,43)),1+(LEFT(TRIM(INDEX(PASTE_ALL,38,43)),1)="-"),999))-(RIGHT(MID(TRIM(INDEX(PASTE_ALL,38,43)),1+(LEFT(TRIM(INDEX(PASTE_ALL,38,43)),1)="-"),999),1)="%")),"0",""),"1",""),"2",""),"3",""),"4",""),"5",""),"6",""),"7",""),"8",""),"9",""),".",""),",","")=""),2,1))),1)</f>
        <v/>
      </c>
      <c r="BP87">
        <f>IFERROR(IF(ISNUMBER(INDEX(PASTE_ALL,38,44)),2,IF(TRIM(INDEX(PASTE_ALL,38,44))="",0,IF(AND(LEFT(MID(TRIM(INDEX(PASTE_ALL,38,44)),1+(LEFT(TRIM(INDEX(PASTE_ALL,38,44)),1)="-"),999),LEN(MID(TRIM(INDEX(PASTE_ALL,38,44)),1+(LEFT(TRIM(INDEX(PASTE_ALL,38,44)),1)="-"),999))-(RIGHT(MID(TRIM(INDEX(PASTE_ALL,38,44)),1+(LEFT(TRIM(INDEX(PASTE_ALL,38,44)),1)="-"),999),1)="%"))&lt;&gt;"",SUBSTITUTE(SUBSTITUTE(SUBSTITUTE(SUBSTITUTE(SUBSTITUTE(SUBSTITUTE(SUBSTITUTE(SUBSTITUTE(SUBSTITUTE(SUBSTITUTE(SUBSTITUTE(SUBSTITUTE(LEFT(MID(TRIM(INDEX(PASTE_ALL,38,44)),1+(LEFT(TRIM(INDEX(PASTE_ALL,38,44)),1)="-"),999),LEN(MID(TRIM(INDEX(PASTE_ALL,38,44)),1+(LEFT(TRIM(INDEX(PASTE_ALL,38,44)),1)="-"),999))-(RIGHT(MID(TRIM(INDEX(PASTE_ALL,38,44)),1+(LEFT(TRIM(INDEX(PASTE_ALL,38,44)),1)="-"),999),1)="%")),"0",""),"1",""),"2",""),"3",""),"4",""),"5",""),"6",""),"7",""),"8",""),"9",""),".",""),",","")=""),2,1))),1)</f>
        <v/>
      </c>
      <c r="BQ87">
        <f>IFERROR(IF(ISNUMBER(INDEX(PASTE_ALL,38,45)),2,IF(TRIM(INDEX(PASTE_ALL,38,45))="",0,IF(AND(LEFT(MID(TRIM(INDEX(PASTE_ALL,38,45)),1+(LEFT(TRIM(INDEX(PASTE_ALL,38,45)),1)="-"),999),LEN(MID(TRIM(INDEX(PASTE_ALL,38,45)),1+(LEFT(TRIM(INDEX(PASTE_ALL,38,45)),1)="-"),999))-(RIGHT(MID(TRIM(INDEX(PASTE_ALL,38,45)),1+(LEFT(TRIM(INDEX(PASTE_ALL,38,45)),1)="-"),999),1)="%"))&lt;&gt;"",SUBSTITUTE(SUBSTITUTE(SUBSTITUTE(SUBSTITUTE(SUBSTITUTE(SUBSTITUTE(SUBSTITUTE(SUBSTITUTE(SUBSTITUTE(SUBSTITUTE(SUBSTITUTE(SUBSTITUTE(LEFT(MID(TRIM(INDEX(PASTE_ALL,38,45)),1+(LEFT(TRIM(INDEX(PASTE_ALL,38,45)),1)="-"),999),LEN(MID(TRIM(INDEX(PASTE_ALL,38,45)),1+(LEFT(TRIM(INDEX(PASTE_ALL,38,45)),1)="-"),999))-(RIGHT(MID(TRIM(INDEX(PASTE_ALL,38,45)),1+(LEFT(TRIM(INDEX(PASTE_ALL,38,45)),1)="-"),999),1)="%")),"0",""),"1",""),"2",""),"3",""),"4",""),"5",""),"6",""),"7",""),"8",""),"9",""),".",""),",","")=""),2,1))),1)</f>
        <v/>
      </c>
      <c r="BR87">
        <f>IFERROR(IF(ISNUMBER(INDEX(PASTE_ALL,38,46)),2,IF(TRIM(INDEX(PASTE_ALL,38,46))="",0,IF(AND(LEFT(MID(TRIM(INDEX(PASTE_ALL,38,46)),1+(LEFT(TRIM(INDEX(PASTE_ALL,38,46)),1)="-"),999),LEN(MID(TRIM(INDEX(PASTE_ALL,38,46)),1+(LEFT(TRIM(INDEX(PASTE_ALL,38,46)),1)="-"),999))-(RIGHT(MID(TRIM(INDEX(PASTE_ALL,38,46)),1+(LEFT(TRIM(INDEX(PASTE_ALL,38,46)),1)="-"),999),1)="%"))&lt;&gt;"",SUBSTITUTE(SUBSTITUTE(SUBSTITUTE(SUBSTITUTE(SUBSTITUTE(SUBSTITUTE(SUBSTITUTE(SUBSTITUTE(SUBSTITUTE(SUBSTITUTE(SUBSTITUTE(SUBSTITUTE(LEFT(MID(TRIM(INDEX(PASTE_ALL,38,46)),1+(LEFT(TRIM(INDEX(PASTE_ALL,38,46)),1)="-"),999),LEN(MID(TRIM(INDEX(PASTE_ALL,38,46)),1+(LEFT(TRIM(INDEX(PASTE_ALL,38,46)),1)="-"),999))-(RIGHT(MID(TRIM(INDEX(PASTE_ALL,38,46)),1+(LEFT(TRIM(INDEX(PASTE_ALL,38,46)),1)="-"),999),1)="%")),"0",""),"1",""),"2",""),"3",""),"4",""),"5",""),"6",""),"7",""),"8",""),"9",""),".",""),",","")=""),2,1))),1)</f>
        <v/>
      </c>
      <c r="BS87">
        <f>IFERROR(IF(ISNUMBER(INDEX(PASTE_ALL,38,47)),2,IF(TRIM(INDEX(PASTE_ALL,38,47))="",0,IF(AND(LEFT(MID(TRIM(INDEX(PASTE_ALL,38,47)),1+(LEFT(TRIM(INDEX(PASTE_ALL,38,47)),1)="-"),999),LEN(MID(TRIM(INDEX(PASTE_ALL,38,47)),1+(LEFT(TRIM(INDEX(PASTE_ALL,38,47)),1)="-"),999))-(RIGHT(MID(TRIM(INDEX(PASTE_ALL,38,47)),1+(LEFT(TRIM(INDEX(PASTE_ALL,38,47)),1)="-"),999),1)="%"))&lt;&gt;"",SUBSTITUTE(SUBSTITUTE(SUBSTITUTE(SUBSTITUTE(SUBSTITUTE(SUBSTITUTE(SUBSTITUTE(SUBSTITUTE(SUBSTITUTE(SUBSTITUTE(SUBSTITUTE(SUBSTITUTE(LEFT(MID(TRIM(INDEX(PASTE_ALL,38,47)),1+(LEFT(TRIM(INDEX(PASTE_ALL,38,47)),1)="-"),999),LEN(MID(TRIM(INDEX(PASTE_ALL,38,47)),1+(LEFT(TRIM(INDEX(PASTE_ALL,38,47)),1)="-"),999))-(RIGHT(MID(TRIM(INDEX(PASTE_ALL,38,47)),1+(LEFT(TRIM(INDEX(PASTE_ALL,38,47)),1)="-"),999),1)="%")),"0",""),"1",""),"2",""),"3",""),"4",""),"5",""),"6",""),"7",""),"8",""),"9",""),".",""),",","")=""),2,1))),1)</f>
        <v/>
      </c>
      <c r="BT87">
        <f>IFERROR(IF(ISNUMBER(INDEX(PASTE_ALL,38,48)),2,IF(TRIM(INDEX(PASTE_ALL,38,48))="",0,IF(AND(LEFT(MID(TRIM(INDEX(PASTE_ALL,38,48)),1+(LEFT(TRIM(INDEX(PASTE_ALL,38,48)),1)="-"),999),LEN(MID(TRIM(INDEX(PASTE_ALL,38,48)),1+(LEFT(TRIM(INDEX(PASTE_ALL,38,48)),1)="-"),999))-(RIGHT(MID(TRIM(INDEX(PASTE_ALL,38,48)),1+(LEFT(TRIM(INDEX(PASTE_ALL,38,48)),1)="-"),999),1)="%"))&lt;&gt;"",SUBSTITUTE(SUBSTITUTE(SUBSTITUTE(SUBSTITUTE(SUBSTITUTE(SUBSTITUTE(SUBSTITUTE(SUBSTITUTE(SUBSTITUTE(SUBSTITUTE(SUBSTITUTE(SUBSTITUTE(LEFT(MID(TRIM(INDEX(PASTE_ALL,38,48)),1+(LEFT(TRIM(INDEX(PASTE_ALL,38,48)),1)="-"),999),LEN(MID(TRIM(INDEX(PASTE_ALL,38,48)),1+(LEFT(TRIM(INDEX(PASTE_ALL,38,48)),1)="-"),999))-(RIGHT(MID(TRIM(INDEX(PASTE_ALL,38,48)),1+(LEFT(TRIM(INDEX(PASTE_ALL,38,48)),1)="-"),999),1)="%")),"0",""),"1",""),"2",""),"3",""),"4",""),"5",""),"6",""),"7",""),"8",""),"9",""),".",""),",","")=""),2,1))),1)</f>
        <v/>
      </c>
      <c r="BU87">
        <f>IFERROR(IF(ISNUMBER(INDEX(PASTE_ALL,38,49)),2,IF(TRIM(INDEX(PASTE_ALL,38,49))="",0,IF(AND(LEFT(MID(TRIM(INDEX(PASTE_ALL,38,49)),1+(LEFT(TRIM(INDEX(PASTE_ALL,38,49)),1)="-"),999),LEN(MID(TRIM(INDEX(PASTE_ALL,38,49)),1+(LEFT(TRIM(INDEX(PASTE_ALL,38,49)),1)="-"),999))-(RIGHT(MID(TRIM(INDEX(PASTE_ALL,38,49)),1+(LEFT(TRIM(INDEX(PASTE_ALL,38,49)),1)="-"),999),1)="%"))&lt;&gt;"",SUBSTITUTE(SUBSTITUTE(SUBSTITUTE(SUBSTITUTE(SUBSTITUTE(SUBSTITUTE(SUBSTITUTE(SUBSTITUTE(SUBSTITUTE(SUBSTITUTE(SUBSTITUTE(SUBSTITUTE(LEFT(MID(TRIM(INDEX(PASTE_ALL,38,49)),1+(LEFT(TRIM(INDEX(PASTE_ALL,38,49)),1)="-"),999),LEN(MID(TRIM(INDEX(PASTE_ALL,38,49)),1+(LEFT(TRIM(INDEX(PASTE_ALL,38,49)),1)="-"),999))-(RIGHT(MID(TRIM(INDEX(PASTE_ALL,38,49)),1+(LEFT(TRIM(INDEX(PASTE_ALL,38,49)),1)="-"),999),1)="%")),"0",""),"1",""),"2",""),"3",""),"4",""),"5",""),"6",""),"7",""),"8",""),"9",""),".",""),",","")=""),2,1))),1)</f>
        <v/>
      </c>
      <c r="BV87">
        <f>IFERROR(IF(ISNUMBER(INDEX(PASTE_ALL,38,50)),2,IF(TRIM(INDEX(PASTE_ALL,38,50))="",0,IF(AND(LEFT(MID(TRIM(INDEX(PASTE_ALL,38,50)),1+(LEFT(TRIM(INDEX(PASTE_ALL,38,50)),1)="-"),999),LEN(MID(TRIM(INDEX(PASTE_ALL,38,50)),1+(LEFT(TRIM(INDEX(PASTE_ALL,38,50)),1)="-"),999))-(RIGHT(MID(TRIM(INDEX(PASTE_ALL,38,50)),1+(LEFT(TRIM(INDEX(PASTE_ALL,38,50)),1)="-"),999),1)="%"))&lt;&gt;"",SUBSTITUTE(SUBSTITUTE(SUBSTITUTE(SUBSTITUTE(SUBSTITUTE(SUBSTITUTE(SUBSTITUTE(SUBSTITUTE(SUBSTITUTE(SUBSTITUTE(SUBSTITUTE(SUBSTITUTE(LEFT(MID(TRIM(INDEX(PASTE_ALL,38,50)),1+(LEFT(TRIM(INDEX(PASTE_ALL,38,50)),1)="-"),999),LEN(MID(TRIM(INDEX(PASTE_ALL,38,50)),1+(LEFT(TRIM(INDEX(PASTE_ALL,38,50)),1)="-"),999))-(RIGHT(MID(TRIM(INDEX(PASTE_ALL,38,50)),1+(LEFT(TRIM(INDEX(PASTE_ALL,38,50)),1)="-"),999),1)="%")),"0",""),"1",""),"2",""),"3",""),"4",""),"5",""),"6",""),"7",""),"8",""),"9",""),".",""),",","")=""),2,1))),1)</f>
        <v/>
      </c>
      <c r="BW87">
        <f>IFERROR(IF(ISNUMBER(INDEX(PASTE_ALL,38,51)),2,IF(TRIM(INDEX(PASTE_ALL,38,51))="",0,IF(AND(LEFT(MID(TRIM(INDEX(PASTE_ALL,38,51)),1+(LEFT(TRIM(INDEX(PASTE_ALL,38,51)),1)="-"),999),LEN(MID(TRIM(INDEX(PASTE_ALL,38,51)),1+(LEFT(TRIM(INDEX(PASTE_ALL,38,51)),1)="-"),999))-(RIGHT(MID(TRIM(INDEX(PASTE_ALL,38,51)),1+(LEFT(TRIM(INDEX(PASTE_ALL,38,51)),1)="-"),999),1)="%"))&lt;&gt;"",SUBSTITUTE(SUBSTITUTE(SUBSTITUTE(SUBSTITUTE(SUBSTITUTE(SUBSTITUTE(SUBSTITUTE(SUBSTITUTE(SUBSTITUTE(SUBSTITUTE(SUBSTITUTE(SUBSTITUTE(LEFT(MID(TRIM(INDEX(PASTE_ALL,38,51)),1+(LEFT(TRIM(INDEX(PASTE_ALL,38,51)),1)="-"),999),LEN(MID(TRIM(INDEX(PASTE_ALL,38,51)),1+(LEFT(TRIM(INDEX(PASTE_ALL,38,51)),1)="-"),999))-(RIGHT(MID(TRIM(INDEX(PASTE_ALL,38,51)),1+(LEFT(TRIM(INDEX(PASTE_ALL,38,51)),1)="-"),999),1)="%")),"0",""),"1",""),"2",""),"3",""),"4",""),"5",""),"6",""),"7",""),"8",""),"9",""),".",""),",","")=""),2,1))),1)</f>
        <v/>
      </c>
      <c r="BX87">
        <f>IFERROR(IF(ISNUMBER(INDEX(PASTE_ALL,38,52)),2,IF(TRIM(INDEX(PASTE_ALL,38,52))="",0,IF(AND(LEFT(MID(TRIM(INDEX(PASTE_ALL,38,52)),1+(LEFT(TRIM(INDEX(PASTE_ALL,38,52)),1)="-"),999),LEN(MID(TRIM(INDEX(PASTE_ALL,38,52)),1+(LEFT(TRIM(INDEX(PASTE_ALL,38,52)),1)="-"),999))-(RIGHT(MID(TRIM(INDEX(PASTE_ALL,38,52)),1+(LEFT(TRIM(INDEX(PASTE_ALL,38,52)),1)="-"),999),1)="%"))&lt;&gt;"",SUBSTITUTE(SUBSTITUTE(SUBSTITUTE(SUBSTITUTE(SUBSTITUTE(SUBSTITUTE(SUBSTITUTE(SUBSTITUTE(SUBSTITUTE(SUBSTITUTE(SUBSTITUTE(SUBSTITUTE(LEFT(MID(TRIM(INDEX(PASTE_ALL,38,52)),1+(LEFT(TRIM(INDEX(PASTE_ALL,38,52)),1)="-"),999),LEN(MID(TRIM(INDEX(PASTE_ALL,38,52)),1+(LEFT(TRIM(INDEX(PASTE_ALL,38,52)),1)="-"),999))-(RIGHT(MID(TRIM(INDEX(PASTE_ALL,38,52)),1+(LEFT(TRIM(INDEX(PASTE_ALL,38,52)),1)="-"),999),1)="%")),"0",""),"1",""),"2",""),"3",""),"4",""),"5",""),"6",""),"7",""),"8",""),"9",""),".",""),",","")=""),2,1))),1)</f>
        <v/>
      </c>
      <c r="BY87">
        <f>IFERROR(IF(ISNUMBER(INDEX(PASTE_ALL,38,53)),2,IF(TRIM(INDEX(PASTE_ALL,38,53))="",0,IF(AND(LEFT(MID(TRIM(INDEX(PASTE_ALL,38,53)),1+(LEFT(TRIM(INDEX(PASTE_ALL,38,53)),1)="-"),999),LEN(MID(TRIM(INDEX(PASTE_ALL,38,53)),1+(LEFT(TRIM(INDEX(PASTE_ALL,38,53)),1)="-"),999))-(RIGHT(MID(TRIM(INDEX(PASTE_ALL,38,53)),1+(LEFT(TRIM(INDEX(PASTE_ALL,38,53)),1)="-"),999),1)="%"))&lt;&gt;"",SUBSTITUTE(SUBSTITUTE(SUBSTITUTE(SUBSTITUTE(SUBSTITUTE(SUBSTITUTE(SUBSTITUTE(SUBSTITUTE(SUBSTITUTE(SUBSTITUTE(SUBSTITUTE(SUBSTITUTE(LEFT(MID(TRIM(INDEX(PASTE_ALL,38,53)),1+(LEFT(TRIM(INDEX(PASTE_ALL,38,53)),1)="-"),999),LEN(MID(TRIM(INDEX(PASTE_ALL,38,53)),1+(LEFT(TRIM(INDEX(PASTE_ALL,38,53)),1)="-"),999))-(RIGHT(MID(TRIM(INDEX(PASTE_ALL,38,53)),1+(LEFT(TRIM(INDEX(PASTE_ALL,38,53)),1)="-"),999),1)="%")),"0",""),"1",""),"2",""),"3",""),"4",""),"5",""),"6",""),"7",""),"8",""),"9",""),".",""),",","")=""),2,1))),1)</f>
        <v/>
      </c>
      <c r="BZ87">
        <f>IFERROR(IF(ISNUMBER(INDEX(PASTE_ALL,38,54)),2,IF(TRIM(INDEX(PASTE_ALL,38,54))="",0,IF(AND(LEFT(MID(TRIM(INDEX(PASTE_ALL,38,54)),1+(LEFT(TRIM(INDEX(PASTE_ALL,38,54)),1)="-"),999),LEN(MID(TRIM(INDEX(PASTE_ALL,38,54)),1+(LEFT(TRIM(INDEX(PASTE_ALL,38,54)),1)="-"),999))-(RIGHT(MID(TRIM(INDEX(PASTE_ALL,38,54)),1+(LEFT(TRIM(INDEX(PASTE_ALL,38,54)),1)="-"),999),1)="%"))&lt;&gt;"",SUBSTITUTE(SUBSTITUTE(SUBSTITUTE(SUBSTITUTE(SUBSTITUTE(SUBSTITUTE(SUBSTITUTE(SUBSTITUTE(SUBSTITUTE(SUBSTITUTE(SUBSTITUTE(SUBSTITUTE(LEFT(MID(TRIM(INDEX(PASTE_ALL,38,54)),1+(LEFT(TRIM(INDEX(PASTE_ALL,38,54)),1)="-"),999),LEN(MID(TRIM(INDEX(PASTE_ALL,38,54)),1+(LEFT(TRIM(INDEX(PASTE_ALL,38,54)),1)="-"),999))-(RIGHT(MID(TRIM(INDEX(PASTE_ALL,38,54)),1+(LEFT(TRIM(INDEX(PASTE_ALL,38,54)),1)="-"),999),1)="%")),"0",""),"1",""),"2",""),"3",""),"4",""),"5",""),"6",""),"7",""),"8",""),"9",""),".",""),",","")=""),2,1))),1)</f>
        <v/>
      </c>
      <c r="CA87">
        <f>IFERROR(IF(ISNUMBER(INDEX(PASTE_ALL,38,55)),2,IF(TRIM(INDEX(PASTE_ALL,38,55))="",0,IF(AND(LEFT(MID(TRIM(INDEX(PASTE_ALL,38,55)),1+(LEFT(TRIM(INDEX(PASTE_ALL,38,55)),1)="-"),999),LEN(MID(TRIM(INDEX(PASTE_ALL,38,55)),1+(LEFT(TRIM(INDEX(PASTE_ALL,38,55)),1)="-"),999))-(RIGHT(MID(TRIM(INDEX(PASTE_ALL,38,55)),1+(LEFT(TRIM(INDEX(PASTE_ALL,38,55)),1)="-"),999),1)="%"))&lt;&gt;"",SUBSTITUTE(SUBSTITUTE(SUBSTITUTE(SUBSTITUTE(SUBSTITUTE(SUBSTITUTE(SUBSTITUTE(SUBSTITUTE(SUBSTITUTE(SUBSTITUTE(SUBSTITUTE(SUBSTITUTE(LEFT(MID(TRIM(INDEX(PASTE_ALL,38,55)),1+(LEFT(TRIM(INDEX(PASTE_ALL,38,55)),1)="-"),999),LEN(MID(TRIM(INDEX(PASTE_ALL,38,55)),1+(LEFT(TRIM(INDEX(PASTE_ALL,38,55)),1)="-"),999))-(RIGHT(MID(TRIM(INDEX(PASTE_ALL,38,55)),1+(LEFT(TRIM(INDEX(PASTE_ALL,38,55)),1)="-"),999),1)="%")),"0",""),"1",""),"2",""),"3",""),"4",""),"5",""),"6",""),"7",""),"8",""),"9",""),".",""),",","")=""),2,1))),1)</f>
        <v/>
      </c>
      <c r="CB87">
        <f>IFERROR(IF(ISNUMBER(INDEX(PASTE_ALL,38,56)),2,IF(TRIM(INDEX(PASTE_ALL,38,56))="",0,IF(AND(LEFT(MID(TRIM(INDEX(PASTE_ALL,38,56)),1+(LEFT(TRIM(INDEX(PASTE_ALL,38,56)),1)="-"),999),LEN(MID(TRIM(INDEX(PASTE_ALL,38,56)),1+(LEFT(TRIM(INDEX(PASTE_ALL,38,56)),1)="-"),999))-(RIGHT(MID(TRIM(INDEX(PASTE_ALL,38,56)),1+(LEFT(TRIM(INDEX(PASTE_ALL,38,56)),1)="-"),999),1)="%"))&lt;&gt;"",SUBSTITUTE(SUBSTITUTE(SUBSTITUTE(SUBSTITUTE(SUBSTITUTE(SUBSTITUTE(SUBSTITUTE(SUBSTITUTE(SUBSTITUTE(SUBSTITUTE(SUBSTITUTE(SUBSTITUTE(LEFT(MID(TRIM(INDEX(PASTE_ALL,38,56)),1+(LEFT(TRIM(INDEX(PASTE_ALL,38,56)),1)="-"),999),LEN(MID(TRIM(INDEX(PASTE_ALL,38,56)),1+(LEFT(TRIM(INDEX(PASTE_ALL,38,56)),1)="-"),999))-(RIGHT(MID(TRIM(INDEX(PASTE_ALL,38,56)),1+(LEFT(TRIM(INDEX(PASTE_ALL,38,56)),1)="-"),999),1)="%")),"0",""),"1",""),"2",""),"3",""),"4",""),"5",""),"6",""),"7",""),"8",""),"9",""),".",""),",","")=""),2,1))),1)</f>
        <v/>
      </c>
      <c r="CC87">
        <f>IFERROR(IF(ISNUMBER(INDEX(PASTE_ALL,38,57)),2,IF(TRIM(INDEX(PASTE_ALL,38,57))="",0,IF(AND(LEFT(MID(TRIM(INDEX(PASTE_ALL,38,57)),1+(LEFT(TRIM(INDEX(PASTE_ALL,38,57)),1)="-"),999),LEN(MID(TRIM(INDEX(PASTE_ALL,38,57)),1+(LEFT(TRIM(INDEX(PASTE_ALL,38,57)),1)="-"),999))-(RIGHT(MID(TRIM(INDEX(PASTE_ALL,38,57)),1+(LEFT(TRIM(INDEX(PASTE_ALL,38,57)),1)="-"),999),1)="%"))&lt;&gt;"",SUBSTITUTE(SUBSTITUTE(SUBSTITUTE(SUBSTITUTE(SUBSTITUTE(SUBSTITUTE(SUBSTITUTE(SUBSTITUTE(SUBSTITUTE(SUBSTITUTE(SUBSTITUTE(SUBSTITUTE(LEFT(MID(TRIM(INDEX(PASTE_ALL,38,57)),1+(LEFT(TRIM(INDEX(PASTE_ALL,38,57)),1)="-"),999),LEN(MID(TRIM(INDEX(PASTE_ALL,38,57)),1+(LEFT(TRIM(INDEX(PASTE_ALL,38,57)),1)="-"),999))-(RIGHT(MID(TRIM(INDEX(PASTE_ALL,38,57)),1+(LEFT(TRIM(INDEX(PASTE_ALL,38,57)),1)="-"),999),1)="%")),"0",""),"1",""),"2",""),"3",""),"4",""),"5",""),"6",""),"7",""),"8",""),"9",""),".",""),",","")=""),2,1))),1)</f>
        <v/>
      </c>
      <c r="CD87">
        <f>IFERROR(IF(ISNUMBER(INDEX(PASTE_ALL,38,58)),2,IF(TRIM(INDEX(PASTE_ALL,38,58))="",0,IF(AND(LEFT(MID(TRIM(INDEX(PASTE_ALL,38,58)),1+(LEFT(TRIM(INDEX(PASTE_ALL,38,58)),1)="-"),999),LEN(MID(TRIM(INDEX(PASTE_ALL,38,58)),1+(LEFT(TRIM(INDEX(PASTE_ALL,38,58)),1)="-"),999))-(RIGHT(MID(TRIM(INDEX(PASTE_ALL,38,58)),1+(LEFT(TRIM(INDEX(PASTE_ALL,38,58)),1)="-"),999),1)="%"))&lt;&gt;"",SUBSTITUTE(SUBSTITUTE(SUBSTITUTE(SUBSTITUTE(SUBSTITUTE(SUBSTITUTE(SUBSTITUTE(SUBSTITUTE(SUBSTITUTE(SUBSTITUTE(SUBSTITUTE(SUBSTITUTE(LEFT(MID(TRIM(INDEX(PASTE_ALL,38,58)),1+(LEFT(TRIM(INDEX(PASTE_ALL,38,58)),1)="-"),999),LEN(MID(TRIM(INDEX(PASTE_ALL,38,58)),1+(LEFT(TRIM(INDEX(PASTE_ALL,38,58)),1)="-"),999))-(RIGHT(MID(TRIM(INDEX(PASTE_ALL,38,58)),1+(LEFT(TRIM(INDEX(PASTE_ALL,38,58)),1)="-"),999),1)="%")),"0",""),"1",""),"2",""),"3",""),"4",""),"5",""),"6",""),"7",""),"8",""),"9",""),".",""),",","")=""),2,1))),1)</f>
        <v/>
      </c>
      <c r="CE87">
        <f>IFERROR(IF(ISNUMBER(INDEX(PASTE_ALL,38,59)),2,IF(TRIM(INDEX(PASTE_ALL,38,59))="",0,IF(AND(LEFT(MID(TRIM(INDEX(PASTE_ALL,38,59)),1+(LEFT(TRIM(INDEX(PASTE_ALL,38,59)),1)="-"),999),LEN(MID(TRIM(INDEX(PASTE_ALL,38,59)),1+(LEFT(TRIM(INDEX(PASTE_ALL,38,59)),1)="-"),999))-(RIGHT(MID(TRIM(INDEX(PASTE_ALL,38,59)),1+(LEFT(TRIM(INDEX(PASTE_ALL,38,59)),1)="-"),999),1)="%"))&lt;&gt;"",SUBSTITUTE(SUBSTITUTE(SUBSTITUTE(SUBSTITUTE(SUBSTITUTE(SUBSTITUTE(SUBSTITUTE(SUBSTITUTE(SUBSTITUTE(SUBSTITUTE(SUBSTITUTE(SUBSTITUTE(LEFT(MID(TRIM(INDEX(PASTE_ALL,38,59)),1+(LEFT(TRIM(INDEX(PASTE_ALL,38,59)),1)="-"),999),LEN(MID(TRIM(INDEX(PASTE_ALL,38,59)),1+(LEFT(TRIM(INDEX(PASTE_ALL,38,59)),1)="-"),999))-(RIGHT(MID(TRIM(INDEX(PASTE_ALL,38,59)),1+(LEFT(TRIM(INDEX(PASTE_ALL,38,59)),1)="-"),999),1)="%")),"0",""),"1",""),"2",""),"3",""),"4",""),"5",""),"6",""),"7",""),"8",""),"9",""),".",""),",","")=""),2,1))),1)</f>
        <v/>
      </c>
      <c r="CF87">
        <f>IFERROR(IF(ISNUMBER(INDEX(PASTE_ALL,38,60)),2,IF(TRIM(INDEX(PASTE_ALL,38,60))="",0,IF(AND(LEFT(MID(TRIM(INDEX(PASTE_ALL,38,60)),1+(LEFT(TRIM(INDEX(PASTE_ALL,38,60)),1)="-"),999),LEN(MID(TRIM(INDEX(PASTE_ALL,38,60)),1+(LEFT(TRIM(INDEX(PASTE_ALL,38,60)),1)="-"),999))-(RIGHT(MID(TRIM(INDEX(PASTE_ALL,38,60)),1+(LEFT(TRIM(INDEX(PASTE_ALL,38,60)),1)="-"),999),1)="%"))&lt;&gt;"",SUBSTITUTE(SUBSTITUTE(SUBSTITUTE(SUBSTITUTE(SUBSTITUTE(SUBSTITUTE(SUBSTITUTE(SUBSTITUTE(SUBSTITUTE(SUBSTITUTE(SUBSTITUTE(SUBSTITUTE(LEFT(MID(TRIM(INDEX(PASTE_ALL,38,60)),1+(LEFT(TRIM(INDEX(PASTE_ALL,38,60)),1)="-"),999),LEN(MID(TRIM(INDEX(PASTE_ALL,38,60)),1+(LEFT(TRIM(INDEX(PASTE_ALL,38,60)),1)="-"),999))-(RIGHT(MID(TRIM(INDEX(PASTE_ALL,38,60)),1+(LEFT(TRIM(INDEX(PASTE_ALL,38,60)),1)="-"),999),1)="%")),"0",""),"1",""),"2",""),"3",""),"4",""),"5",""),"6",""),"7",""),"8",""),"9",""),".",""),",","")=""),2,1))),1)</f>
        <v/>
      </c>
      <c r="DA87" t="n">
        <v>83</v>
      </c>
      <c r="DB87">
        <f>IF($B$37=0,"",IFERROR(TRIM(SUBSTITUTE(SUBSTITUTE(SUBSTITUTE(SUBSTITUTE(INDEX(PASTE_ALL,83,$B$37)," "," "),CHAR(9)," "),CHAR(10)," "),CHAR(13)," ")),""))</f>
        <v/>
      </c>
      <c r="DC87">
        <f>IF(AND(83&gt;HEADER_ROW,UPPER(DB87)="LEGEND"),1,0)</f>
        <v/>
      </c>
      <c r="DE87" t="n">
        <v>83</v>
      </c>
      <c r="DF87">
        <f>HEADER_ROW+$DE87</f>
        <v/>
      </c>
      <c r="DG87">
        <f>IF(AND($DF87&lt;=1000,$DF87&lt;$B$8),1,0)</f>
        <v/>
      </c>
      <c r="DH87">
        <f>IF($DG87=1,IFERROR(INDEX($DB$5:$DB$1004,$DF87),""),"")</f>
        <v/>
      </c>
      <c r="DI87">
        <f>IF(AND($DG87=1,$DH87&lt;&gt;""),IFERROR(SUBSTITUTE(SUBSTITUTE(TRIM(SUBSTITUTE(SUBSTITUTE(SUBSTITUTE(SUBSTITUTE(IFERROR(INDEX(PASTE_ALL,$DF87,1)&amp;"","")&amp;"␟"&amp;IFERROR(INDEX(PASTE_ALL,$DF87,2)&amp;"","")&amp;"␟"&amp;IFERROR(INDEX(PASTE_ALL,$DF87,3)&amp;"","")&amp;"␟"&amp;IFERROR(INDEX(PASTE_ALL,$DF87,4)&amp;"","")&amp;"␟"&amp;IFERROR(INDEX(PASTE_ALL,$DF87,5)&amp;"","")&amp;"␟"&amp;IFERROR(INDEX(PASTE_ALL,$DF87,6)&amp;"","")&amp;"␟"&amp;IFERROR(INDEX(PASTE_ALL,$DF87,7)&amp;"","")&amp;"␟"&amp;IFERROR(INDEX(PASTE_ALL,$DF87,8)&amp;"","")&amp;"␟"&amp;IFERROR(INDEX(PASTE_ALL,$DF87,9)&amp;"","")&amp;"␟"&amp;IFERROR(INDEX(PASTE_ALL,$DF87,10)&amp;"","")&amp;"␟"&amp;IFERROR(INDEX(PASTE_ALL,$DF87,11)&amp;"","")&amp;"␟"&amp;IFERROR(INDEX(PASTE_ALL,$DF87,12)&amp;"","")&amp;"␟"&amp;IFERROR(INDEX(PASTE_ALL,$DF87,13)&amp;"","")&amp;"␟"&amp;IFERROR(INDEX(PASTE_ALL,$DF87,14)&amp;"","")&amp;"␟"&amp;IFERROR(INDEX(PASTE_ALL,$DF87,15)&amp;"","")&amp;"␟"&amp;IFERROR(INDEX(PASTE_ALL,$DF87,16)&amp;"","")&amp;"␟"&amp;IFERROR(INDEX(PASTE_ALL,$DF87,17)&amp;"","")&amp;"␟"&amp;IFERROR(INDEX(PASTE_ALL,$DF87,18)&amp;"","")&amp;"␟"&amp;IFERROR(INDEX(PASTE_ALL,$DF87,19)&amp;"","")&amp;"␟"&amp;IFERROR(INDEX(PASTE_ALL,$DF87,20)&amp;"","")&amp;"␟"&amp;IFERROR(INDEX(PASTE_ALL,$DF87,21)&amp;"","")&amp;"␟"&amp;IFERROR(INDEX(PASTE_ALL,$DF87,22)&amp;"","")&amp;"␟"&amp;IFERROR(INDEX(PASTE_ALL,$DF87,23)&amp;"","")&amp;"␟"&amp;IFERROR(INDEX(PASTE_ALL,$DF87,24)&amp;"","")&amp;"␟"&amp;IFERROR(INDEX(PASTE_ALL,$DF87,25)&amp;"","")&amp;"␟"&amp;IFERROR(INDEX(PASTE_ALL,$DF87,26)&amp;"","")&amp;"␟"&amp;IFERROR(INDEX(PASTE_ALL,$DF87,27)&amp;"","")&amp;"␟"&amp;IFERROR(INDEX(PASTE_ALL,$DF87,28)&amp;"","")&amp;"␟"&amp;IFERROR(INDEX(PASTE_ALL,$DF87,29)&amp;"","")&amp;"␟"&amp;IFERROR(INDEX(PASTE_ALL,$DF87,30)&amp;"","")&amp;"␟"&amp;IFERROR(INDEX(PASTE_ALL,$DF87,31)&amp;"","")&amp;"␟"&amp;IFERROR(INDEX(PASTE_ALL,$DF87,32)&amp;"","")&amp;"␟"&amp;IFERROR(INDEX(PASTE_ALL,$DF87,33)&amp;"","")&amp;"␟"&amp;IFERROR(INDEX(PASTE_ALL,$DF87,34)&amp;"","")&amp;"␟"&amp;IFERROR(INDEX(PASTE_ALL,$DF87,35)&amp;"","")&amp;"␟"&amp;IFERROR(INDEX(PASTE_ALL,$DF87,36)&amp;"","")&amp;"␟"&amp;IFERROR(INDEX(PASTE_ALL,$DF87,37)&amp;"","")&amp;"␟"&amp;IFERROR(INDEX(PASTE_ALL,$DF87,38)&amp;"","")&amp;"␟"&amp;IFERROR(INDEX(PASTE_ALL,$DF87,39)&amp;"","")&amp;"␟"&amp;IFERROR(INDEX(PASTE_ALL,$DF87,40)&amp;"","")&amp;"␟"&amp;IFERROR(INDEX(PASTE_ALL,$DF87,41)&amp;"","")&amp;"␟"&amp;IFERROR(INDEX(PASTE_ALL,$DF87,42)&amp;"","")&amp;"␟"&amp;IFERROR(INDEX(PASTE_ALL,$DF87,43)&amp;"","")&amp;"␟"&amp;IFERROR(INDEX(PASTE_ALL,$DF87,44)&amp;"","")&amp;"␟"&amp;IFERROR(INDEX(PASTE_ALL,$DF87,45)&amp;"","")&amp;"␟"&amp;IFERROR(INDEX(PASTE_ALL,$DF87,46)&amp;"","")&amp;"␟"&amp;IFERROR(INDEX(PASTE_ALL,$DF87,47)&amp;"","")&amp;"␟"&amp;IFERROR(INDEX(PASTE_ALL,$DF87,48)&amp;"","")&amp;"␟"&amp;IFERROR(INDEX(PASTE_ALL,$DF87,49)&amp;"","")&amp;"␟"&amp;IFERROR(INDEX(PASTE_ALL,$DF87,50)&amp;"","")&amp;"␟"&amp;IFERROR(INDEX(PASTE_ALL,$DF87,51)&amp;"","")&amp;"␟"&amp;IFERROR(INDEX(PASTE_ALL,$DF87,52)&amp;"","")&amp;"␟"&amp;IFERROR(INDEX(PASTE_ALL,$DF87,53)&amp;"","")&amp;"␟"&amp;IFERROR(INDEX(PASTE_ALL,$DF87,54)&amp;"","")&amp;"␟"&amp;IFERROR(INDEX(PASTE_ALL,$DF87,55)&amp;"","")&amp;"␟"&amp;IFERROR(INDEX(PASTE_ALL,$DF87,56)&amp;"","")&amp;"␟"&amp;IFERROR(INDEX(PASTE_ALL,$DF87,57)&amp;"","")&amp;"␟"&amp;IFERROR(INDEX(PASTE_ALL,$DF87,58)&amp;"","")&amp;"␟"&amp;IFERROR(INDEX(PASTE_ALL,$DF87,59)&amp;"","")&amp;"␟"&amp;IFERROR(INDEX(PASTE_ALL,$DF87,60)&amp;"","")," "," "),CHAR(9)," "),CHAR(10)," "),CHAR(13)," "))," ␟","␟"),"␟ ","␟"),"#"&amp;$DE87),"")</f>
        <v/>
      </c>
      <c r="DJ87">
        <f>IF($DI87="",0,IF(SUMPRODUCT(--EXACT($DI$4:DI86,$DI87))&gt;0,1,0))</f>
        <v/>
      </c>
      <c r="DK87">
        <f>IF(AND($DI87&lt;&gt;"",$DJ87=0),1,0)</f>
        <v/>
      </c>
      <c r="DL87">
        <f>DL86+$DK87</f>
        <v/>
      </c>
      <c r="DM87">
        <f>IF(AND($DK87=1,$DL87&lt;=600),1,0)</f>
        <v/>
      </c>
      <c r="DN87">
        <f>IF($DM87=0,"",IF($L$6=0,"",IFERROR(IF(ISNUMBER(INDEX(PASTE_ALL,$DF87,$L$6)),INDEX(PASTE_ALL,$DF87,$L$6),TRIM(SUBSTITUTE(SUBSTITUTE(SUBSTITUTE(SUBSTITUTE(INDEX(PASTE_ALL,$DF87,$L$6)," "," "),CHAR(9)," "),CHAR(10)," "),CHAR(13)," "))),"")))</f>
        <v/>
      </c>
      <c r="DO87">
        <f>IF($DM87=0,"",IF($L$7=0,"",IFERROR(IF(ISNUMBER(INDEX(PASTE_ALL,$DF87,$L$7)),INDEX(PASTE_ALL,$DF87,$L$7),TRIM(SUBSTITUTE(SUBSTITUTE(SUBSTITUTE(SUBSTITUTE(INDEX(PASTE_ALL,$DF87,$L$7)," "," "),CHAR(9)," "),CHAR(10)," "),CHAR(13)," "))),"")))</f>
        <v/>
      </c>
      <c r="DP87">
        <f>IF($DM87=0,"",IF($L$8=0,"",IFERROR(IF(ISNUMBER(INDEX(PASTE_ALL,$DF87,$L$8)),INDEX(PASTE_ALL,$DF87,$L$8),TRIM(SUBSTITUTE(SUBSTITUTE(SUBSTITUTE(SUBSTITUTE(INDEX(PASTE_ALL,$DF87,$L$8)," "," "),CHAR(9)," "),CHAR(10)," "),CHAR(13)," "))),"")))</f>
        <v/>
      </c>
      <c r="DQ87">
        <f>IF($DM87=0,"",IF($L$9=0,"",IFERROR(IF(ISNUMBER(INDEX(PASTE_ALL,$DF87,$L$9)),INDEX(PASTE_ALL,$DF87,$L$9),TRIM(SUBSTITUTE(SUBSTITUTE(SUBSTITUTE(SUBSTITUTE(INDEX(PASTE_ALL,$DF87,$L$9)," "," "),CHAR(9)," "),CHAR(10)," "),CHAR(13)," "))),"")))</f>
        <v/>
      </c>
      <c r="DR87">
        <f>IF($DM87=0,"",IF($L$10=0,"",IFERROR(IF(ISNUMBER(INDEX(PASTE_ALL,$DF87,$L$10)),INDEX(PASTE_ALL,$DF87,$L$10),TRIM(SUBSTITUTE(SUBSTITUTE(SUBSTITUTE(SUBSTITUTE(INDEX(PASTE_ALL,$DF87,$L$10)," "," "),CHAR(9)," "),CHAR(10)," "),CHAR(13)," "))),"")))</f>
        <v/>
      </c>
      <c r="DS87">
        <f>IF($DM87=0,"",IF($L$11=0,"",IFERROR(IF(ISNUMBER(INDEX(PASTE_ALL,$DF87,$L$11)),INDEX(PASTE_ALL,$DF87,$L$11),TRIM(SUBSTITUTE(SUBSTITUTE(SUBSTITUTE(SUBSTITUTE(INDEX(PASTE_ALL,$DF87,$L$11)," "," "),CHAR(9)," "),CHAR(10)," "),CHAR(13)," "))),"")))</f>
        <v/>
      </c>
      <c r="DT87">
        <f>IF($DM87=0,"",IF($L$12=0,"",IFERROR(IF(ISNUMBER(INDEX(PASTE_ALL,$DF87,$L$12)),INDEX(PASTE_ALL,$DF87,$L$12),TRIM(SUBSTITUTE(SUBSTITUTE(SUBSTITUTE(SUBSTITUTE(INDEX(PASTE_ALL,$DF87,$L$12)," "," "),CHAR(9)," "),CHAR(10)," "),CHAR(13)," "))),"")))</f>
        <v/>
      </c>
      <c r="DU87">
        <f>IF($DM87=0,"",IF($L$13=0,"",IFERROR(IF(ISNUMBER(INDEX(PASTE_ALL,$DF87,$L$13)),INDEX(PASTE_ALL,$DF87,$L$13),TRIM(SUBSTITUTE(SUBSTITUTE(SUBSTITUTE(SUBSTITUTE(INDEX(PASTE_ALL,$DF87,$L$13)," "," "),CHAR(9)," "),CHAR(10)," "),CHAR(13)," "))),"")))</f>
        <v/>
      </c>
      <c r="DV87">
        <f>IF($DM87=0,"",IF($L$14=0,"",IFERROR(IF(ISNUMBER(INDEX(PASTE_ALL,$DF87,$L$14)),INDEX(PASTE_ALL,$DF87,$L$14),TRIM(SUBSTITUTE(SUBSTITUTE(SUBSTITUTE(SUBSTITUTE(INDEX(PASTE_ALL,$DF87,$L$14)," "," "),CHAR(9)," "),CHAR(10)," "),CHAR(13)," "))),"")))</f>
        <v/>
      </c>
      <c r="DW87">
        <f>IF($DM87=0,"",IF($L$15=0,"",IFERROR(IF(ISNUMBER(INDEX(PASTE_ALL,$DF87,$L$15)),INDEX(PASTE_ALL,$DF87,$L$15),IF(SUMPRODUCT(--ISNUMBER(FIND({"A","B","C","D","E","F","G","H","I","J","K","L","M","N","O","P","Q","R","S","T","U","V","W","X","Y","Z","0","1","2","3","4","5","6","7","8","9"},UPPER(TRIM(SUBSTITUTE(SUBSTITUTE(SUBSTITUTE(SUBSTITUTE(INDEX(PASTE_ALL,$DF87,$L$15)," "," "),CHAR(9)," "),CHAR(10)," "),CHAR(13)," "))))))&gt;0,TRIM(SUBSTITUTE(SUBSTITUTE(SUBSTITUTE(SUBSTITUTE(INDEX(PASTE_ALL,$DF87,$L$15)," "," "),CHAR(9)," "),CHAR(10)," "),CHAR(13)," ")),"")),"")))</f>
        <v/>
      </c>
      <c r="DX87">
        <f>IF($DM87=0,"",IF($L$16=0,"",IFERROR(IF(ISNUMBER(INDEX(PASTE_ALL,$DF87,$L$16)),INDEX(PASTE_ALL,$DF87,$L$16),SUBSTITUTE(SUBSTITUTE(TRIM(SUBSTITUTE(SUBSTITUTE(SUBSTITUTE(SUBSTITUTE(INDEX(PASTE_ALL,$DF87,$L$16)," "," "),CHAR(9)," "),CHAR(10)," "),CHAR(13)," ")),",",""),"%","")),"")))</f>
        <v/>
      </c>
      <c r="DY87">
        <f>IF($DM87=0,"",IFERROR(IF(ISNUMBER($DX87),$DX87,IF($DX87="","",IF(TRIM($DX87)="",0,IF(AND(AND(SUBSTITUTE(SUBSTITUTE(SUBSTITUTE(SUBSTITUTE(SUBSTITUTE(SUBSTITUTE(SUBSTITUTE(SUBSTITUTE(SUBSTITUTE(SUBSTITUTE(SUBSTITUTE(SUBSTITUTE(SUBSTITUTE(SUBSTITUTE(UPPER(TRIM($DX87)),"0",""),"1",""),"2",""),"3",""),"4",""),"5",""),"6",""),"7",""),"8",""),"9",""),".",""),"+",""),"-",""),"E","")="",LEN(SUBSTITUTE(SUBSTITUTE(MID(UPPER(TRIM($DX87)),1+OR(LEFT(UPPER(TRIM($DX87)),1)="+",LEFT(UPPER(TRIM($DX87)),1)="-"),999),"E+","E"),"E-","E"))=LEN(SUBSTITUTE(SUBSTITUTE(SUBSTITUTE(SUBSTITUTE(MID(UPPER(TRIM($DX87)),1+OR(LEFT(UPPER(TRIM($DX87)),1)="+",LEFT(UPPER(TRIM($DX87)),1)="-"),999),"E+","E"),"E-","E"),"+",""),"-","")),LEN(UPPER(TRIM($DX87)))-LEN(SUBSTITUTE(UPPER(TRIM($DX87)),"E",""))&lt;2,LEN(UPPER(TRIM($DX87)))-LEN(SUBSTITUTE(UPPER(TRIM($DX87)),".",""))&lt;2,IFERROR(FIND(".",UPPER(TRIM($DX87))),0)&lt;IFERROR(FIND("E",UPPER(TRIM($DX87))),999)),ISNUMBER(VALUE(TRIM($DX87)))),VALUE(TRIM($DX87)),"")))),""))</f>
        <v/>
      </c>
      <c r="DZ87">
        <f>IF($DM87=0,"",IF($L$17=0,"",IFERROR(IF(ISNUMBER(INDEX(PASTE_ALL,$DF87,$L$17)),INDEX(PASTE_ALL,$DF87,$L$17),SUBSTITUTE(SUBSTITUTE(TRIM(SUBSTITUTE(SUBSTITUTE(SUBSTITUTE(SUBSTITUTE(INDEX(PASTE_ALL,$DF87,$L$17)," "," "),CHAR(9)," "),CHAR(10)," "),CHAR(13)," ")),",",""),"%","")),"")))</f>
        <v/>
      </c>
      <c r="EA87">
        <f>IF($DM87=0,"",IFERROR(IF(ISNUMBER($DZ87),$DZ87,IF($DZ87="","",IF(TRIM($DZ87)="",0,IF(AND(AND(SUBSTITUTE(SUBSTITUTE(SUBSTITUTE(SUBSTITUTE(SUBSTITUTE(SUBSTITUTE(SUBSTITUTE(SUBSTITUTE(SUBSTITUTE(SUBSTITUTE(SUBSTITUTE(SUBSTITUTE(SUBSTITUTE(SUBSTITUTE(UPPER(TRIM($DZ87)),"0",""),"1",""),"2",""),"3",""),"4",""),"5",""),"6",""),"7",""),"8",""),"9",""),".",""),"+",""),"-",""),"E","")="",LEN(SUBSTITUTE(SUBSTITUTE(MID(UPPER(TRIM($DZ87)),1+OR(LEFT(UPPER(TRIM($DZ87)),1)="+",LEFT(UPPER(TRIM($DZ87)),1)="-"),999),"E+","E"),"E-","E"))=LEN(SUBSTITUTE(SUBSTITUTE(SUBSTITUTE(SUBSTITUTE(MID(UPPER(TRIM($DZ87)),1+OR(LEFT(UPPER(TRIM($DZ87)),1)="+",LEFT(UPPER(TRIM($DZ87)),1)="-"),999),"E+","E"),"E-","E"),"+",""),"-","")),LEN(UPPER(TRIM($DZ87)))-LEN(SUBSTITUTE(UPPER(TRIM($DZ87)),"E",""))&lt;2,LEN(UPPER(TRIM($DZ87)))-LEN(SUBSTITUTE(UPPER(TRIM($DZ87)),".",""))&lt;2,IFERROR(FIND(".",UPPER(TRIM($DZ87))),0)&lt;IFERROR(FIND("E",UPPER(TRIM($DZ87))),999)),ISNUMBER(VALUE(TRIM($DZ87)))),VALUE(TRIM($DZ87)),"")))),""))</f>
        <v/>
      </c>
      <c r="EB87">
        <f>IF($DM87=0,"",IF($L$18=0,"",IFERROR(IF(UPPER(TRIM(SUBSTITUTE(SUBSTITUTE(SUBSTITUTE(SUBSTITUTE(INDEX(PASTE_ALL,$DF87,$L$18)," "," "),CHAR(9)," "),CHAR(10)," "),CHAR(13)," ")))="READY","Ready",IF(UPPER(TRIM(SUBSTITUTE(SUBSTITUTE(SUBSTITUTE(SUBSTITUTE(INDEX(PASTE_ALL,$DF87,$L$18)," "," "),CHAR(9)," "),CHAR(10)," "),CHAR(13)," ")))="PM","PM",IF(OR(UPPER(TRIM(SUBSTITUTE(SUBSTITUTE(SUBSTITUTE(SUBSTITUTE(INDEX(PASTE_ALL,$DF87,$L$18)," "," "),CHAR(9)," "),CHAR(10)," "),CHAR(13)," ")))="OT",UPPER(TRIM(SUBSTITUTE(SUBSTITUTE(SUBSTITUTE(SUBSTITUTE(INDEX(PASTE_ALL,$DF87,$L$18)," "," "),CHAR(9)," "),CHAR(10)," "),CHAR(13)," ")))="OVERTIME",UPPER(TRIM(SUBSTITUTE(SUBSTITUTE(SUBSTITUTE(SUBSTITUTE(INDEX(PASTE_ALL,$DF87,$L$18)," "," "),CHAR(9)," "),CHAR(10)," "),CHAR(13)," ")))="TRIAL"),"OT",TRIM(SUBSTITUTE(SUBSTITUTE(SUBSTITUTE(SUBSTITUTE(INDEX(PASTE_ALL,$DF87,$L$18)," "," "),CHAR(9)," "),CHAR(10)," "),CHAR(13)," "))))),"")))</f>
        <v/>
      </c>
      <c r="EC87">
        <f>IF($DM87=0,"",IF($L$19=0,"",IFERROR(IF(ISNUMBER(INDEX(PASTE_ALL,$DF87,$L$19)),INDEX(PASTE_ALL,$DF87,$L$19),TRIM(SUBSTITUTE(SUBSTITUTE(SUBSTITUTE(SUBSTITUTE(INDEX(PASTE_ALL,$DF87,$L$19)," "," "),CHAR(9)," "),CHAR(10)," "),CHAR(13)," "))),"")))</f>
        <v/>
      </c>
      <c r="ED87">
        <f>IF($DM87=0,"",MATCH(1,INDEX(EXACT($DH$5:DH87,$DH87)*$DM$5:DM87,0),0))</f>
        <v/>
      </c>
      <c r="EE87">
        <f>IF($DM87=0,0,IF($ED87=$DE87,1,0))</f>
        <v/>
      </c>
      <c r="EF87">
        <f>EF86+$EE87</f>
        <v/>
      </c>
      <c r="EG87">
        <f>IF($DM87=0,"",INDEX($EF$5:$EF$1003,$ED87))</f>
        <v/>
      </c>
      <c r="EH87">
        <f>IF($DM87=0,"",IF($DO87&lt;&gt;"","",IFERROR(LOOKUP(2,1/(($EG$4:EG86=$EG87)*($DO$4:DO86&lt;&gt;"")),$DO$4:DO86),"")))</f>
        <v/>
      </c>
      <c r="EI87">
        <f>IF($DM87=0,"",IF($DO87&lt;&gt;"",$DO87,$EH87))</f>
        <v/>
      </c>
      <c r="EJ87">
        <f>IF($DM87=0,"",IF($EI87="",0,IF(OR(ISNUMBER($EI87),AND(AND(SUBSTITUTE(SUBSTITUTE(SUBSTITUTE(SUBSTITUTE(SUBSTITUTE(SUBSTITUTE(SUBSTITUTE(SUBSTITUTE(SUBSTITUTE(SUBSTITUTE(SUBSTITUTE(SUBSTITUTE(SUBSTITUTE(SUBSTITUTE(UPPER($EI87),"0",""),"1",""),"2",""),"3",""),"4",""),"5",""),"6",""),"7",""),"8",""),"9",""),".",""),"+",""),"-",""),"E","")="",LEN(SUBSTITUTE(SUBSTITUTE(MID(UPPER($EI87),1+OR(LEFT(UPPER($EI87),1)="+",LEFT(UPPER($EI87),1)="-"),999),"E+","E"),"E-","E"))=LEN(SUBSTITUTE(SUBSTITUTE(SUBSTITUTE(SUBSTITUTE(MID(UPPER($EI87),1+OR(LEFT(UPPER($EI87),1)="+",LEFT(UPPER($EI87),1)="-"),999),"E+","E"),"E-","E"),"+",""),"-","")),LEN(UPPER($EI87))-LEN(SUBSTITUTE(UPPER($EI87),"E",""))&lt;2,LEN(UPPER($EI87))-LEN(SUBSTITUTE(UPPER($EI87),".",""))&lt;2,IFERROR(FIND(".",UPPER($EI87)),0)&lt;IFERROR(FIND("E",UPPER($EI87)),999)),ISNUMBER(VALUE($EI87)))),1,2)))</f>
        <v/>
      </c>
      <c r="EK87">
        <f>IF($DM87=0,"",IF($EJ87=1,IF(ISNUMBER($EI87),$EI87,VALUE($EI87)),IF($EJ87=2,$DE87,0)))</f>
        <v/>
      </c>
      <c r="EL87">
        <f>IF($DM87=0,"",COUNTIF($EG$5:$EG$1003,"&lt;"&amp;$EG87)+SUMPRODUCT(($EG$5:$EG$1003=$EG87)*(($EJ$5:$EJ$1003&lt;$EJ87)+($EJ$5:$EJ$1003=$EJ87)*(($EK$5:$EK$1003&lt;$EK87)+($EK$5:$EK$1003=$EK87)*($DE$5:$DE$1003&lt;$DE87))))+1)</f>
        <v/>
      </c>
      <c r="EM87">
        <f>IF($DM87=0,"",$EL87+$EG87-1)</f>
        <v/>
      </c>
      <c r="EN87">
        <f>IF($DM87=0,0,IFERROR(MATCH(1,INDEX(--(TRIM(SUBSTITUTE(SUBSTITUTE(SUBSTITUTE(SUBSTITUTE(LINES_NAME&amp;""," "," "),CHAR(9)," "),CHAR(10)," "),CHAR(13)," "))=$DH87),0),0),0))</f>
        <v/>
      </c>
      <c r="EO87">
        <f>IF($EN87=0,0,IF(OR(UPPER(TRIM(INDEX(LINES_SCHEDULED,$EN87)&amp;""))="YES",UPPER(TRIM(INDEX(LINES_SCHEDULED,$EN87)&amp;""))="Y",UPPER(TRIM(INDEX(LINES_SCHEDULED,$EN87)&amp;""))="X"),1,0))</f>
        <v/>
      </c>
      <c r="EP87">
        <f>IF($DM87=0,"",IF(COUNTIFS($EG$5:$EG$1003,$EG87,$EB$5:$EB$1003,"Ready")&gt;0,"READY",IF(COUNTIFS($EG$5:$EG$1003,$EG87,$EB$5:$EB$1003,"PM")&gt;0,"PM",IF(COUNTIFS($EG$5:$EG$1003,$EG87,$EB$5:$EB$1003,"OT")&gt;0,"OT",""))))</f>
        <v/>
      </c>
      <c r="EQ87">
        <f>IF($EN87=0,"",UPPER(TRIM(INDEX(LINES_STATUS,$EN87)&amp;"")))</f>
        <v/>
      </c>
      <c r="ER87">
        <f>IF($DM87=0,"",IF(OR($EQ87="READY",$EQ87="PM",$EQ87="OT"),$EQ87,$EP87))</f>
        <v/>
      </c>
      <c r="ES87">
        <f>IF($DM87=0,"",IF(AND($DV87&lt;&gt;"",UPPER($DV87)&lt;&gt;"N"),"allergen",IF(ISNUMBER(SEARCH("oil",$DQ87)),"oil",IF(OR(EXACT($DS87,"A662"),EXACT($DS87,"A624")),"bulk",""))))</f>
        <v/>
      </c>
      <c r="ET87">
        <f>IF($DM87=0,"",IF(OR($EA87="",$EA87=0),"",$EA87/100))</f>
        <v/>
      </c>
      <c r="EU87">
        <f>IF(OR($ET87="",$DY87=""),"",INT($DY87*(1-$ET87)+0.5))</f>
        <v/>
      </c>
      <c r="EW87" t="n">
        <v>83</v>
      </c>
      <c r="EX87">
        <f>IFERROR(MATCH($EW87,$EM$5:$EM$1003,0),0)</f>
        <v/>
      </c>
      <c r="EY87">
        <f>IF($EW87&gt;$B$12,"",IF($EX87&gt;0,"row","spacer"))</f>
        <v/>
      </c>
      <c r="EZ87">
        <f>IF(AND($EY87="row",$EY86&lt;&gt;"row"),1,0)</f>
        <v/>
      </c>
      <c r="FA87">
        <f>IF(AND($EY87="row",$EY88&lt;&gt;"row"),1,0)</f>
        <v/>
      </c>
      <c r="FB87">
        <f>IF($EZ87=1,IFERROR(IF(ISNUMBER(INDEX(PASTE_ALL,INDEX($DF$5:$DF$1003,$EX87),$B$37)),INDEX(PASTE_ALL,INDEX($DF$5:$DF$1003,$EX87),$B$37),INDEX($DH$5:$DH$1003,$EX87)),INDEX($DH$5:$DH$1003,$EX87)),"")</f>
        <v/>
      </c>
      <c r="FC87">
        <f>IF($EY87="row",INDEX($ER$5:$ER$1003,$EX87),"")</f>
        <v/>
      </c>
      <c r="FD87">
        <f>IF($EY87="row",INDEX($DN$5:$DN$1003,$EX87),"")</f>
        <v/>
      </c>
      <c r="FE87">
        <f>IF($EY87="row",INDEX($DO$5:$DO$1003,$EX87),"")</f>
        <v/>
      </c>
      <c r="FF87">
        <f>IF($EY87="row",INDEX($DP$5:$DP$1003,$EX87),"")</f>
        <v/>
      </c>
      <c r="FG87">
        <f>IF($EY87="row",INDEX($DQ$5:$DQ$1003,$EX87),"")</f>
        <v/>
      </c>
      <c r="FH87">
        <f>IF($EY87="row",INDEX($DR$5:$DR$1003,$EX87),"")</f>
        <v/>
      </c>
      <c r="FI87">
        <f>IF($EY87="row",INDEX($DS$5:$DS$1003,$EX87),"")</f>
        <v/>
      </c>
      <c r="FJ87">
        <f>IF($EY87="row",INDEX($DT$5:$DT$1003,$EX87),"")</f>
        <v/>
      </c>
      <c r="FK87">
        <f>IF($EY87="row",INDEX($DU$5:$DU$1003,$EX87),"")</f>
        <v/>
      </c>
      <c r="FL87">
        <f>IF($EY87="row",INDEX($DV$5:$DV$1003,$EX87),"")</f>
        <v/>
      </c>
      <c r="FM87">
        <f>IF($EY87="row",INDEX($DW$5:$DW$1003,$EX87),"")</f>
        <v/>
      </c>
      <c r="FN87">
        <f>IF($EY87="row",INDEX($DY$5:$DY$1003,$EX87),"")</f>
        <v/>
      </c>
      <c r="FO87">
        <f>IF($EY87="row",INDEX($EA$5:$EA$1003,$EX87),"")</f>
        <v/>
      </c>
      <c r="FP87">
        <f>IF($EY87="row",INDEX($EC$5:$EC$1003,$EX87),"")</f>
        <v/>
      </c>
      <c r="FQ87">
        <f>IF($EY87="row",INDEX($ET$5:$ET$1003,$EX87),"")</f>
        <v/>
      </c>
      <c r="FR87">
        <f>IF($EY87="row",INDEX($EU$5:$EU$1003,$EX87),"")</f>
        <v/>
      </c>
      <c r="FS87">
        <f>IF(AND($EY87="row",$EY86="row"),IF(OR(INDEX($DT$5:$DT$1003,$EX86)="",INDEX($DT$5:$DT$1003,$EX87)=""),"",IF(NOT(EXACT(INDEX($DT$5:$DT$1003,$EX86),INDEX($DT$5:$DT$1003,$EX87))),"S4",IF(NOT(EXACT(INDEX($DS$5:$DS$1003,$EX86),INDEX($DS$5:$DS$1003,$EX87))),"S3",IF(NOT(EXACT(INDEX($DR$5:$DR$1003,$EX86),INDEX($DR$5:$DR$1003,$EX87))),"S1 Count Change","S1")))),"")</f>
        <v/>
      </c>
      <c r="FT87">
        <f>IF($EY87="row",INDEX($ES$5:$ES$1003,$EX87),"")</f>
        <v/>
      </c>
      <c r="FU87">
        <f>IF($EY87="row",INDEX($EO$5:$EO$1003,$EX87),0)</f>
        <v/>
      </c>
      <c r="FV87">
        <f>IF($FS87="S1 Count Change",1,0)</f>
        <v/>
      </c>
      <c r="FX87" t="n">
        <v>83</v>
      </c>
      <c r="FY87">
        <f>IFERROR(MATCH($FX87,$EF$5:$EF$1003,0),0)</f>
        <v/>
      </c>
      <c r="FZ87">
        <f>IF($FY87=0,"",INDEX($DH$5:$DH$1003,$FY87))</f>
        <v/>
      </c>
      <c r="GA87">
        <f>IF($FY87=0,"",COUNTIF($EG$5:$EG$1003,$FX87))</f>
        <v/>
      </c>
      <c r="GB87">
        <f>IF($FY87=0,"",INDEX($ER$5:$ER$1003,$FY87))</f>
        <v/>
      </c>
      <c r="GC87">
        <f>IF($FY87=0,"",IF(INDEX($EO$5:$EO$1003,$FY87)=1,"Yes",""))</f>
        <v/>
      </c>
      <c r="GD87">
        <f>IF($FY87=0,"",IF(INDEX($EN$5:$EN$1003,$FY87)&gt;0,"","NOT IN YOUR LIST - type it in column A to tick it"))</f>
        <v/>
      </c>
      <c r="GE87">
        <f>IF(AND($FY87&gt;0,$GD87&lt;&gt;""),1,0)</f>
        <v/>
      </c>
      <c r="GF87">
        <f>GF86+$GE87</f>
        <v/>
      </c>
      <c r="GG87">
        <f>IFERROR(INDEX($FZ$5:$FZ$104,MATCH($FX87,$GF$5:$GF$104,0)),"")</f>
        <v/>
      </c>
    </row>
    <row r="88">
      <c r="Y88">
        <f>IFERROR(IF(ISNUMBER(INDEX(PASTE_ALL,39,1)),2,IF(TRIM(INDEX(PASTE_ALL,39,1))="",0,IF(AND(LEFT(MID(TRIM(INDEX(PASTE_ALL,39,1)),1+(LEFT(TRIM(INDEX(PASTE_ALL,39,1)),1)="-"),999),LEN(MID(TRIM(INDEX(PASTE_ALL,39,1)),1+(LEFT(TRIM(INDEX(PASTE_ALL,39,1)),1)="-"),999))-(RIGHT(MID(TRIM(INDEX(PASTE_ALL,39,1)),1+(LEFT(TRIM(INDEX(PASTE_ALL,39,1)),1)="-"),999),1)="%"))&lt;&gt;"",SUBSTITUTE(SUBSTITUTE(SUBSTITUTE(SUBSTITUTE(SUBSTITUTE(SUBSTITUTE(SUBSTITUTE(SUBSTITUTE(SUBSTITUTE(SUBSTITUTE(SUBSTITUTE(SUBSTITUTE(LEFT(MID(TRIM(INDEX(PASTE_ALL,39,1)),1+(LEFT(TRIM(INDEX(PASTE_ALL,39,1)),1)="-"),999),LEN(MID(TRIM(INDEX(PASTE_ALL,39,1)),1+(LEFT(TRIM(INDEX(PASTE_ALL,39,1)),1)="-"),999))-(RIGHT(MID(TRIM(INDEX(PASTE_ALL,39,1)),1+(LEFT(TRIM(INDEX(PASTE_ALL,39,1)),1)="-"),999),1)="%")),"0",""),"1",""),"2",""),"3",""),"4",""),"5",""),"6",""),"7",""),"8",""),"9",""),".",""),",","")=""),2,1))),1)</f>
        <v/>
      </c>
      <c r="Z88">
        <f>IFERROR(IF(ISNUMBER(INDEX(PASTE_ALL,39,2)),2,IF(TRIM(INDEX(PASTE_ALL,39,2))="",0,IF(AND(LEFT(MID(TRIM(INDEX(PASTE_ALL,39,2)),1+(LEFT(TRIM(INDEX(PASTE_ALL,39,2)),1)="-"),999),LEN(MID(TRIM(INDEX(PASTE_ALL,39,2)),1+(LEFT(TRIM(INDEX(PASTE_ALL,39,2)),1)="-"),999))-(RIGHT(MID(TRIM(INDEX(PASTE_ALL,39,2)),1+(LEFT(TRIM(INDEX(PASTE_ALL,39,2)),1)="-"),999),1)="%"))&lt;&gt;"",SUBSTITUTE(SUBSTITUTE(SUBSTITUTE(SUBSTITUTE(SUBSTITUTE(SUBSTITUTE(SUBSTITUTE(SUBSTITUTE(SUBSTITUTE(SUBSTITUTE(SUBSTITUTE(SUBSTITUTE(LEFT(MID(TRIM(INDEX(PASTE_ALL,39,2)),1+(LEFT(TRIM(INDEX(PASTE_ALL,39,2)),1)="-"),999),LEN(MID(TRIM(INDEX(PASTE_ALL,39,2)),1+(LEFT(TRIM(INDEX(PASTE_ALL,39,2)),1)="-"),999))-(RIGHT(MID(TRIM(INDEX(PASTE_ALL,39,2)),1+(LEFT(TRIM(INDEX(PASTE_ALL,39,2)),1)="-"),999),1)="%")),"0",""),"1",""),"2",""),"3",""),"4",""),"5",""),"6",""),"7",""),"8",""),"9",""),".",""),",","")=""),2,1))),1)</f>
        <v/>
      </c>
      <c r="AA88">
        <f>IFERROR(IF(ISNUMBER(INDEX(PASTE_ALL,39,3)),2,IF(TRIM(INDEX(PASTE_ALL,39,3))="",0,IF(AND(LEFT(MID(TRIM(INDEX(PASTE_ALL,39,3)),1+(LEFT(TRIM(INDEX(PASTE_ALL,39,3)),1)="-"),999),LEN(MID(TRIM(INDEX(PASTE_ALL,39,3)),1+(LEFT(TRIM(INDEX(PASTE_ALL,39,3)),1)="-"),999))-(RIGHT(MID(TRIM(INDEX(PASTE_ALL,39,3)),1+(LEFT(TRIM(INDEX(PASTE_ALL,39,3)),1)="-"),999),1)="%"))&lt;&gt;"",SUBSTITUTE(SUBSTITUTE(SUBSTITUTE(SUBSTITUTE(SUBSTITUTE(SUBSTITUTE(SUBSTITUTE(SUBSTITUTE(SUBSTITUTE(SUBSTITUTE(SUBSTITUTE(SUBSTITUTE(LEFT(MID(TRIM(INDEX(PASTE_ALL,39,3)),1+(LEFT(TRIM(INDEX(PASTE_ALL,39,3)),1)="-"),999),LEN(MID(TRIM(INDEX(PASTE_ALL,39,3)),1+(LEFT(TRIM(INDEX(PASTE_ALL,39,3)),1)="-"),999))-(RIGHT(MID(TRIM(INDEX(PASTE_ALL,39,3)),1+(LEFT(TRIM(INDEX(PASTE_ALL,39,3)),1)="-"),999),1)="%")),"0",""),"1",""),"2",""),"3",""),"4",""),"5",""),"6",""),"7",""),"8",""),"9",""),".",""),",","")=""),2,1))),1)</f>
        <v/>
      </c>
      <c r="AB88">
        <f>IFERROR(IF(ISNUMBER(INDEX(PASTE_ALL,39,4)),2,IF(TRIM(INDEX(PASTE_ALL,39,4))="",0,IF(AND(LEFT(MID(TRIM(INDEX(PASTE_ALL,39,4)),1+(LEFT(TRIM(INDEX(PASTE_ALL,39,4)),1)="-"),999),LEN(MID(TRIM(INDEX(PASTE_ALL,39,4)),1+(LEFT(TRIM(INDEX(PASTE_ALL,39,4)),1)="-"),999))-(RIGHT(MID(TRIM(INDEX(PASTE_ALL,39,4)),1+(LEFT(TRIM(INDEX(PASTE_ALL,39,4)),1)="-"),999),1)="%"))&lt;&gt;"",SUBSTITUTE(SUBSTITUTE(SUBSTITUTE(SUBSTITUTE(SUBSTITUTE(SUBSTITUTE(SUBSTITUTE(SUBSTITUTE(SUBSTITUTE(SUBSTITUTE(SUBSTITUTE(SUBSTITUTE(LEFT(MID(TRIM(INDEX(PASTE_ALL,39,4)),1+(LEFT(TRIM(INDEX(PASTE_ALL,39,4)),1)="-"),999),LEN(MID(TRIM(INDEX(PASTE_ALL,39,4)),1+(LEFT(TRIM(INDEX(PASTE_ALL,39,4)),1)="-"),999))-(RIGHT(MID(TRIM(INDEX(PASTE_ALL,39,4)),1+(LEFT(TRIM(INDEX(PASTE_ALL,39,4)),1)="-"),999),1)="%")),"0",""),"1",""),"2",""),"3",""),"4",""),"5",""),"6",""),"7",""),"8",""),"9",""),".",""),",","")=""),2,1))),1)</f>
        <v/>
      </c>
      <c r="AC88">
        <f>IFERROR(IF(ISNUMBER(INDEX(PASTE_ALL,39,5)),2,IF(TRIM(INDEX(PASTE_ALL,39,5))="",0,IF(AND(LEFT(MID(TRIM(INDEX(PASTE_ALL,39,5)),1+(LEFT(TRIM(INDEX(PASTE_ALL,39,5)),1)="-"),999),LEN(MID(TRIM(INDEX(PASTE_ALL,39,5)),1+(LEFT(TRIM(INDEX(PASTE_ALL,39,5)),1)="-"),999))-(RIGHT(MID(TRIM(INDEX(PASTE_ALL,39,5)),1+(LEFT(TRIM(INDEX(PASTE_ALL,39,5)),1)="-"),999),1)="%"))&lt;&gt;"",SUBSTITUTE(SUBSTITUTE(SUBSTITUTE(SUBSTITUTE(SUBSTITUTE(SUBSTITUTE(SUBSTITUTE(SUBSTITUTE(SUBSTITUTE(SUBSTITUTE(SUBSTITUTE(SUBSTITUTE(LEFT(MID(TRIM(INDEX(PASTE_ALL,39,5)),1+(LEFT(TRIM(INDEX(PASTE_ALL,39,5)),1)="-"),999),LEN(MID(TRIM(INDEX(PASTE_ALL,39,5)),1+(LEFT(TRIM(INDEX(PASTE_ALL,39,5)),1)="-"),999))-(RIGHT(MID(TRIM(INDEX(PASTE_ALL,39,5)),1+(LEFT(TRIM(INDEX(PASTE_ALL,39,5)),1)="-"),999),1)="%")),"0",""),"1",""),"2",""),"3",""),"4",""),"5",""),"6",""),"7",""),"8",""),"9",""),".",""),",","")=""),2,1))),1)</f>
        <v/>
      </c>
      <c r="AD88">
        <f>IFERROR(IF(ISNUMBER(INDEX(PASTE_ALL,39,6)),2,IF(TRIM(INDEX(PASTE_ALL,39,6))="",0,IF(AND(LEFT(MID(TRIM(INDEX(PASTE_ALL,39,6)),1+(LEFT(TRIM(INDEX(PASTE_ALL,39,6)),1)="-"),999),LEN(MID(TRIM(INDEX(PASTE_ALL,39,6)),1+(LEFT(TRIM(INDEX(PASTE_ALL,39,6)),1)="-"),999))-(RIGHT(MID(TRIM(INDEX(PASTE_ALL,39,6)),1+(LEFT(TRIM(INDEX(PASTE_ALL,39,6)),1)="-"),999),1)="%"))&lt;&gt;"",SUBSTITUTE(SUBSTITUTE(SUBSTITUTE(SUBSTITUTE(SUBSTITUTE(SUBSTITUTE(SUBSTITUTE(SUBSTITUTE(SUBSTITUTE(SUBSTITUTE(SUBSTITUTE(SUBSTITUTE(LEFT(MID(TRIM(INDEX(PASTE_ALL,39,6)),1+(LEFT(TRIM(INDEX(PASTE_ALL,39,6)),1)="-"),999),LEN(MID(TRIM(INDEX(PASTE_ALL,39,6)),1+(LEFT(TRIM(INDEX(PASTE_ALL,39,6)),1)="-"),999))-(RIGHT(MID(TRIM(INDEX(PASTE_ALL,39,6)),1+(LEFT(TRIM(INDEX(PASTE_ALL,39,6)),1)="-"),999),1)="%")),"0",""),"1",""),"2",""),"3",""),"4",""),"5",""),"6",""),"7",""),"8",""),"9",""),".",""),",","")=""),2,1))),1)</f>
        <v/>
      </c>
      <c r="AE88">
        <f>IFERROR(IF(ISNUMBER(INDEX(PASTE_ALL,39,7)),2,IF(TRIM(INDEX(PASTE_ALL,39,7))="",0,IF(AND(LEFT(MID(TRIM(INDEX(PASTE_ALL,39,7)),1+(LEFT(TRIM(INDEX(PASTE_ALL,39,7)),1)="-"),999),LEN(MID(TRIM(INDEX(PASTE_ALL,39,7)),1+(LEFT(TRIM(INDEX(PASTE_ALL,39,7)),1)="-"),999))-(RIGHT(MID(TRIM(INDEX(PASTE_ALL,39,7)),1+(LEFT(TRIM(INDEX(PASTE_ALL,39,7)),1)="-"),999),1)="%"))&lt;&gt;"",SUBSTITUTE(SUBSTITUTE(SUBSTITUTE(SUBSTITUTE(SUBSTITUTE(SUBSTITUTE(SUBSTITUTE(SUBSTITUTE(SUBSTITUTE(SUBSTITUTE(SUBSTITUTE(SUBSTITUTE(LEFT(MID(TRIM(INDEX(PASTE_ALL,39,7)),1+(LEFT(TRIM(INDEX(PASTE_ALL,39,7)),1)="-"),999),LEN(MID(TRIM(INDEX(PASTE_ALL,39,7)),1+(LEFT(TRIM(INDEX(PASTE_ALL,39,7)),1)="-"),999))-(RIGHT(MID(TRIM(INDEX(PASTE_ALL,39,7)),1+(LEFT(TRIM(INDEX(PASTE_ALL,39,7)),1)="-"),999),1)="%")),"0",""),"1",""),"2",""),"3",""),"4",""),"5",""),"6",""),"7",""),"8",""),"9",""),".",""),",","")=""),2,1))),1)</f>
        <v/>
      </c>
      <c r="AF88">
        <f>IFERROR(IF(ISNUMBER(INDEX(PASTE_ALL,39,8)),2,IF(TRIM(INDEX(PASTE_ALL,39,8))="",0,IF(AND(LEFT(MID(TRIM(INDEX(PASTE_ALL,39,8)),1+(LEFT(TRIM(INDEX(PASTE_ALL,39,8)),1)="-"),999),LEN(MID(TRIM(INDEX(PASTE_ALL,39,8)),1+(LEFT(TRIM(INDEX(PASTE_ALL,39,8)),1)="-"),999))-(RIGHT(MID(TRIM(INDEX(PASTE_ALL,39,8)),1+(LEFT(TRIM(INDEX(PASTE_ALL,39,8)),1)="-"),999),1)="%"))&lt;&gt;"",SUBSTITUTE(SUBSTITUTE(SUBSTITUTE(SUBSTITUTE(SUBSTITUTE(SUBSTITUTE(SUBSTITUTE(SUBSTITUTE(SUBSTITUTE(SUBSTITUTE(SUBSTITUTE(SUBSTITUTE(LEFT(MID(TRIM(INDEX(PASTE_ALL,39,8)),1+(LEFT(TRIM(INDEX(PASTE_ALL,39,8)),1)="-"),999),LEN(MID(TRIM(INDEX(PASTE_ALL,39,8)),1+(LEFT(TRIM(INDEX(PASTE_ALL,39,8)),1)="-"),999))-(RIGHT(MID(TRIM(INDEX(PASTE_ALL,39,8)),1+(LEFT(TRIM(INDEX(PASTE_ALL,39,8)),1)="-"),999),1)="%")),"0",""),"1",""),"2",""),"3",""),"4",""),"5",""),"6",""),"7",""),"8",""),"9",""),".",""),",","")=""),2,1))),1)</f>
        <v/>
      </c>
      <c r="AG88">
        <f>IFERROR(IF(ISNUMBER(INDEX(PASTE_ALL,39,9)),2,IF(TRIM(INDEX(PASTE_ALL,39,9))="",0,IF(AND(LEFT(MID(TRIM(INDEX(PASTE_ALL,39,9)),1+(LEFT(TRIM(INDEX(PASTE_ALL,39,9)),1)="-"),999),LEN(MID(TRIM(INDEX(PASTE_ALL,39,9)),1+(LEFT(TRIM(INDEX(PASTE_ALL,39,9)),1)="-"),999))-(RIGHT(MID(TRIM(INDEX(PASTE_ALL,39,9)),1+(LEFT(TRIM(INDEX(PASTE_ALL,39,9)),1)="-"),999),1)="%"))&lt;&gt;"",SUBSTITUTE(SUBSTITUTE(SUBSTITUTE(SUBSTITUTE(SUBSTITUTE(SUBSTITUTE(SUBSTITUTE(SUBSTITUTE(SUBSTITUTE(SUBSTITUTE(SUBSTITUTE(SUBSTITUTE(LEFT(MID(TRIM(INDEX(PASTE_ALL,39,9)),1+(LEFT(TRIM(INDEX(PASTE_ALL,39,9)),1)="-"),999),LEN(MID(TRIM(INDEX(PASTE_ALL,39,9)),1+(LEFT(TRIM(INDEX(PASTE_ALL,39,9)),1)="-"),999))-(RIGHT(MID(TRIM(INDEX(PASTE_ALL,39,9)),1+(LEFT(TRIM(INDEX(PASTE_ALL,39,9)),1)="-"),999),1)="%")),"0",""),"1",""),"2",""),"3",""),"4",""),"5",""),"6",""),"7",""),"8",""),"9",""),".",""),",","")=""),2,1))),1)</f>
        <v/>
      </c>
      <c r="AH88">
        <f>IFERROR(IF(ISNUMBER(INDEX(PASTE_ALL,39,10)),2,IF(TRIM(INDEX(PASTE_ALL,39,10))="",0,IF(AND(LEFT(MID(TRIM(INDEX(PASTE_ALL,39,10)),1+(LEFT(TRIM(INDEX(PASTE_ALL,39,10)),1)="-"),999),LEN(MID(TRIM(INDEX(PASTE_ALL,39,10)),1+(LEFT(TRIM(INDEX(PASTE_ALL,39,10)),1)="-"),999))-(RIGHT(MID(TRIM(INDEX(PASTE_ALL,39,10)),1+(LEFT(TRIM(INDEX(PASTE_ALL,39,10)),1)="-"),999),1)="%"))&lt;&gt;"",SUBSTITUTE(SUBSTITUTE(SUBSTITUTE(SUBSTITUTE(SUBSTITUTE(SUBSTITUTE(SUBSTITUTE(SUBSTITUTE(SUBSTITUTE(SUBSTITUTE(SUBSTITUTE(SUBSTITUTE(LEFT(MID(TRIM(INDEX(PASTE_ALL,39,10)),1+(LEFT(TRIM(INDEX(PASTE_ALL,39,10)),1)="-"),999),LEN(MID(TRIM(INDEX(PASTE_ALL,39,10)),1+(LEFT(TRIM(INDEX(PASTE_ALL,39,10)),1)="-"),999))-(RIGHT(MID(TRIM(INDEX(PASTE_ALL,39,10)),1+(LEFT(TRIM(INDEX(PASTE_ALL,39,10)),1)="-"),999),1)="%")),"0",""),"1",""),"2",""),"3",""),"4",""),"5",""),"6",""),"7",""),"8",""),"9",""),".",""),",","")=""),2,1))),1)</f>
        <v/>
      </c>
      <c r="AI88">
        <f>IFERROR(IF(ISNUMBER(INDEX(PASTE_ALL,39,11)),2,IF(TRIM(INDEX(PASTE_ALL,39,11))="",0,IF(AND(LEFT(MID(TRIM(INDEX(PASTE_ALL,39,11)),1+(LEFT(TRIM(INDEX(PASTE_ALL,39,11)),1)="-"),999),LEN(MID(TRIM(INDEX(PASTE_ALL,39,11)),1+(LEFT(TRIM(INDEX(PASTE_ALL,39,11)),1)="-"),999))-(RIGHT(MID(TRIM(INDEX(PASTE_ALL,39,11)),1+(LEFT(TRIM(INDEX(PASTE_ALL,39,11)),1)="-"),999),1)="%"))&lt;&gt;"",SUBSTITUTE(SUBSTITUTE(SUBSTITUTE(SUBSTITUTE(SUBSTITUTE(SUBSTITUTE(SUBSTITUTE(SUBSTITUTE(SUBSTITUTE(SUBSTITUTE(SUBSTITUTE(SUBSTITUTE(LEFT(MID(TRIM(INDEX(PASTE_ALL,39,11)),1+(LEFT(TRIM(INDEX(PASTE_ALL,39,11)),1)="-"),999),LEN(MID(TRIM(INDEX(PASTE_ALL,39,11)),1+(LEFT(TRIM(INDEX(PASTE_ALL,39,11)),1)="-"),999))-(RIGHT(MID(TRIM(INDEX(PASTE_ALL,39,11)),1+(LEFT(TRIM(INDEX(PASTE_ALL,39,11)),1)="-"),999),1)="%")),"0",""),"1",""),"2",""),"3",""),"4",""),"5",""),"6",""),"7",""),"8",""),"9",""),".",""),",","")=""),2,1))),1)</f>
        <v/>
      </c>
      <c r="AJ88">
        <f>IFERROR(IF(ISNUMBER(INDEX(PASTE_ALL,39,12)),2,IF(TRIM(INDEX(PASTE_ALL,39,12))="",0,IF(AND(LEFT(MID(TRIM(INDEX(PASTE_ALL,39,12)),1+(LEFT(TRIM(INDEX(PASTE_ALL,39,12)),1)="-"),999),LEN(MID(TRIM(INDEX(PASTE_ALL,39,12)),1+(LEFT(TRIM(INDEX(PASTE_ALL,39,12)),1)="-"),999))-(RIGHT(MID(TRIM(INDEX(PASTE_ALL,39,12)),1+(LEFT(TRIM(INDEX(PASTE_ALL,39,12)),1)="-"),999),1)="%"))&lt;&gt;"",SUBSTITUTE(SUBSTITUTE(SUBSTITUTE(SUBSTITUTE(SUBSTITUTE(SUBSTITUTE(SUBSTITUTE(SUBSTITUTE(SUBSTITUTE(SUBSTITUTE(SUBSTITUTE(SUBSTITUTE(LEFT(MID(TRIM(INDEX(PASTE_ALL,39,12)),1+(LEFT(TRIM(INDEX(PASTE_ALL,39,12)),1)="-"),999),LEN(MID(TRIM(INDEX(PASTE_ALL,39,12)),1+(LEFT(TRIM(INDEX(PASTE_ALL,39,12)),1)="-"),999))-(RIGHT(MID(TRIM(INDEX(PASTE_ALL,39,12)),1+(LEFT(TRIM(INDEX(PASTE_ALL,39,12)),1)="-"),999),1)="%")),"0",""),"1",""),"2",""),"3",""),"4",""),"5",""),"6",""),"7",""),"8",""),"9",""),".",""),",","")=""),2,1))),1)</f>
        <v/>
      </c>
      <c r="AK88">
        <f>IFERROR(IF(ISNUMBER(INDEX(PASTE_ALL,39,13)),2,IF(TRIM(INDEX(PASTE_ALL,39,13))="",0,IF(AND(LEFT(MID(TRIM(INDEX(PASTE_ALL,39,13)),1+(LEFT(TRIM(INDEX(PASTE_ALL,39,13)),1)="-"),999),LEN(MID(TRIM(INDEX(PASTE_ALL,39,13)),1+(LEFT(TRIM(INDEX(PASTE_ALL,39,13)),1)="-"),999))-(RIGHT(MID(TRIM(INDEX(PASTE_ALL,39,13)),1+(LEFT(TRIM(INDEX(PASTE_ALL,39,13)),1)="-"),999),1)="%"))&lt;&gt;"",SUBSTITUTE(SUBSTITUTE(SUBSTITUTE(SUBSTITUTE(SUBSTITUTE(SUBSTITUTE(SUBSTITUTE(SUBSTITUTE(SUBSTITUTE(SUBSTITUTE(SUBSTITUTE(SUBSTITUTE(LEFT(MID(TRIM(INDEX(PASTE_ALL,39,13)),1+(LEFT(TRIM(INDEX(PASTE_ALL,39,13)),1)="-"),999),LEN(MID(TRIM(INDEX(PASTE_ALL,39,13)),1+(LEFT(TRIM(INDEX(PASTE_ALL,39,13)),1)="-"),999))-(RIGHT(MID(TRIM(INDEX(PASTE_ALL,39,13)),1+(LEFT(TRIM(INDEX(PASTE_ALL,39,13)),1)="-"),999),1)="%")),"0",""),"1",""),"2",""),"3",""),"4",""),"5",""),"6",""),"7",""),"8",""),"9",""),".",""),",","")=""),2,1))),1)</f>
        <v/>
      </c>
      <c r="AL88">
        <f>IFERROR(IF(ISNUMBER(INDEX(PASTE_ALL,39,14)),2,IF(TRIM(INDEX(PASTE_ALL,39,14))="",0,IF(AND(LEFT(MID(TRIM(INDEX(PASTE_ALL,39,14)),1+(LEFT(TRIM(INDEX(PASTE_ALL,39,14)),1)="-"),999),LEN(MID(TRIM(INDEX(PASTE_ALL,39,14)),1+(LEFT(TRIM(INDEX(PASTE_ALL,39,14)),1)="-"),999))-(RIGHT(MID(TRIM(INDEX(PASTE_ALL,39,14)),1+(LEFT(TRIM(INDEX(PASTE_ALL,39,14)),1)="-"),999),1)="%"))&lt;&gt;"",SUBSTITUTE(SUBSTITUTE(SUBSTITUTE(SUBSTITUTE(SUBSTITUTE(SUBSTITUTE(SUBSTITUTE(SUBSTITUTE(SUBSTITUTE(SUBSTITUTE(SUBSTITUTE(SUBSTITUTE(LEFT(MID(TRIM(INDEX(PASTE_ALL,39,14)),1+(LEFT(TRIM(INDEX(PASTE_ALL,39,14)),1)="-"),999),LEN(MID(TRIM(INDEX(PASTE_ALL,39,14)),1+(LEFT(TRIM(INDEX(PASTE_ALL,39,14)),1)="-"),999))-(RIGHT(MID(TRIM(INDEX(PASTE_ALL,39,14)),1+(LEFT(TRIM(INDEX(PASTE_ALL,39,14)),1)="-"),999),1)="%")),"0",""),"1",""),"2",""),"3",""),"4",""),"5",""),"6",""),"7",""),"8",""),"9",""),".",""),",","")=""),2,1))),1)</f>
        <v/>
      </c>
      <c r="AM88">
        <f>IFERROR(IF(ISNUMBER(INDEX(PASTE_ALL,39,15)),2,IF(TRIM(INDEX(PASTE_ALL,39,15))="",0,IF(AND(LEFT(MID(TRIM(INDEX(PASTE_ALL,39,15)),1+(LEFT(TRIM(INDEX(PASTE_ALL,39,15)),1)="-"),999),LEN(MID(TRIM(INDEX(PASTE_ALL,39,15)),1+(LEFT(TRIM(INDEX(PASTE_ALL,39,15)),1)="-"),999))-(RIGHT(MID(TRIM(INDEX(PASTE_ALL,39,15)),1+(LEFT(TRIM(INDEX(PASTE_ALL,39,15)),1)="-"),999),1)="%"))&lt;&gt;"",SUBSTITUTE(SUBSTITUTE(SUBSTITUTE(SUBSTITUTE(SUBSTITUTE(SUBSTITUTE(SUBSTITUTE(SUBSTITUTE(SUBSTITUTE(SUBSTITUTE(SUBSTITUTE(SUBSTITUTE(LEFT(MID(TRIM(INDEX(PASTE_ALL,39,15)),1+(LEFT(TRIM(INDEX(PASTE_ALL,39,15)),1)="-"),999),LEN(MID(TRIM(INDEX(PASTE_ALL,39,15)),1+(LEFT(TRIM(INDEX(PASTE_ALL,39,15)),1)="-"),999))-(RIGHT(MID(TRIM(INDEX(PASTE_ALL,39,15)),1+(LEFT(TRIM(INDEX(PASTE_ALL,39,15)),1)="-"),999),1)="%")),"0",""),"1",""),"2",""),"3",""),"4",""),"5",""),"6",""),"7",""),"8",""),"9",""),".",""),",","")=""),2,1))),1)</f>
        <v/>
      </c>
      <c r="AN88">
        <f>IFERROR(IF(ISNUMBER(INDEX(PASTE_ALL,39,16)),2,IF(TRIM(INDEX(PASTE_ALL,39,16))="",0,IF(AND(LEFT(MID(TRIM(INDEX(PASTE_ALL,39,16)),1+(LEFT(TRIM(INDEX(PASTE_ALL,39,16)),1)="-"),999),LEN(MID(TRIM(INDEX(PASTE_ALL,39,16)),1+(LEFT(TRIM(INDEX(PASTE_ALL,39,16)),1)="-"),999))-(RIGHT(MID(TRIM(INDEX(PASTE_ALL,39,16)),1+(LEFT(TRIM(INDEX(PASTE_ALL,39,16)),1)="-"),999),1)="%"))&lt;&gt;"",SUBSTITUTE(SUBSTITUTE(SUBSTITUTE(SUBSTITUTE(SUBSTITUTE(SUBSTITUTE(SUBSTITUTE(SUBSTITUTE(SUBSTITUTE(SUBSTITUTE(SUBSTITUTE(SUBSTITUTE(LEFT(MID(TRIM(INDEX(PASTE_ALL,39,16)),1+(LEFT(TRIM(INDEX(PASTE_ALL,39,16)),1)="-"),999),LEN(MID(TRIM(INDEX(PASTE_ALL,39,16)),1+(LEFT(TRIM(INDEX(PASTE_ALL,39,16)),1)="-"),999))-(RIGHT(MID(TRIM(INDEX(PASTE_ALL,39,16)),1+(LEFT(TRIM(INDEX(PASTE_ALL,39,16)),1)="-"),999),1)="%")),"0",""),"1",""),"2",""),"3",""),"4",""),"5",""),"6",""),"7",""),"8",""),"9",""),".",""),",","")=""),2,1))),1)</f>
        <v/>
      </c>
      <c r="AO88">
        <f>IFERROR(IF(ISNUMBER(INDEX(PASTE_ALL,39,17)),2,IF(TRIM(INDEX(PASTE_ALL,39,17))="",0,IF(AND(LEFT(MID(TRIM(INDEX(PASTE_ALL,39,17)),1+(LEFT(TRIM(INDEX(PASTE_ALL,39,17)),1)="-"),999),LEN(MID(TRIM(INDEX(PASTE_ALL,39,17)),1+(LEFT(TRIM(INDEX(PASTE_ALL,39,17)),1)="-"),999))-(RIGHT(MID(TRIM(INDEX(PASTE_ALL,39,17)),1+(LEFT(TRIM(INDEX(PASTE_ALL,39,17)),1)="-"),999),1)="%"))&lt;&gt;"",SUBSTITUTE(SUBSTITUTE(SUBSTITUTE(SUBSTITUTE(SUBSTITUTE(SUBSTITUTE(SUBSTITUTE(SUBSTITUTE(SUBSTITUTE(SUBSTITUTE(SUBSTITUTE(SUBSTITUTE(LEFT(MID(TRIM(INDEX(PASTE_ALL,39,17)),1+(LEFT(TRIM(INDEX(PASTE_ALL,39,17)),1)="-"),999),LEN(MID(TRIM(INDEX(PASTE_ALL,39,17)),1+(LEFT(TRIM(INDEX(PASTE_ALL,39,17)),1)="-"),999))-(RIGHT(MID(TRIM(INDEX(PASTE_ALL,39,17)),1+(LEFT(TRIM(INDEX(PASTE_ALL,39,17)),1)="-"),999),1)="%")),"0",""),"1",""),"2",""),"3",""),"4",""),"5",""),"6",""),"7",""),"8",""),"9",""),".",""),",","")=""),2,1))),1)</f>
        <v/>
      </c>
      <c r="AP88">
        <f>IFERROR(IF(ISNUMBER(INDEX(PASTE_ALL,39,18)),2,IF(TRIM(INDEX(PASTE_ALL,39,18))="",0,IF(AND(LEFT(MID(TRIM(INDEX(PASTE_ALL,39,18)),1+(LEFT(TRIM(INDEX(PASTE_ALL,39,18)),1)="-"),999),LEN(MID(TRIM(INDEX(PASTE_ALL,39,18)),1+(LEFT(TRIM(INDEX(PASTE_ALL,39,18)),1)="-"),999))-(RIGHT(MID(TRIM(INDEX(PASTE_ALL,39,18)),1+(LEFT(TRIM(INDEX(PASTE_ALL,39,18)),1)="-"),999),1)="%"))&lt;&gt;"",SUBSTITUTE(SUBSTITUTE(SUBSTITUTE(SUBSTITUTE(SUBSTITUTE(SUBSTITUTE(SUBSTITUTE(SUBSTITUTE(SUBSTITUTE(SUBSTITUTE(SUBSTITUTE(SUBSTITUTE(LEFT(MID(TRIM(INDEX(PASTE_ALL,39,18)),1+(LEFT(TRIM(INDEX(PASTE_ALL,39,18)),1)="-"),999),LEN(MID(TRIM(INDEX(PASTE_ALL,39,18)),1+(LEFT(TRIM(INDEX(PASTE_ALL,39,18)),1)="-"),999))-(RIGHT(MID(TRIM(INDEX(PASTE_ALL,39,18)),1+(LEFT(TRIM(INDEX(PASTE_ALL,39,18)),1)="-"),999),1)="%")),"0",""),"1",""),"2",""),"3",""),"4",""),"5",""),"6",""),"7",""),"8",""),"9",""),".",""),",","")=""),2,1))),1)</f>
        <v/>
      </c>
      <c r="AQ88">
        <f>IFERROR(IF(ISNUMBER(INDEX(PASTE_ALL,39,19)),2,IF(TRIM(INDEX(PASTE_ALL,39,19))="",0,IF(AND(LEFT(MID(TRIM(INDEX(PASTE_ALL,39,19)),1+(LEFT(TRIM(INDEX(PASTE_ALL,39,19)),1)="-"),999),LEN(MID(TRIM(INDEX(PASTE_ALL,39,19)),1+(LEFT(TRIM(INDEX(PASTE_ALL,39,19)),1)="-"),999))-(RIGHT(MID(TRIM(INDEX(PASTE_ALL,39,19)),1+(LEFT(TRIM(INDEX(PASTE_ALL,39,19)),1)="-"),999),1)="%"))&lt;&gt;"",SUBSTITUTE(SUBSTITUTE(SUBSTITUTE(SUBSTITUTE(SUBSTITUTE(SUBSTITUTE(SUBSTITUTE(SUBSTITUTE(SUBSTITUTE(SUBSTITUTE(SUBSTITUTE(SUBSTITUTE(LEFT(MID(TRIM(INDEX(PASTE_ALL,39,19)),1+(LEFT(TRIM(INDEX(PASTE_ALL,39,19)),1)="-"),999),LEN(MID(TRIM(INDEX(PASTE_ALL,39,19)),1+(LEFT(TRIM(INDEX(PASTE_ALL,39,19)),1)="-"),999))-(RIGHT(MID(TRIM(INDEX(PASTE_ALL,39,19)),1+(LEFT(TRIM(INDEX(PASTE_ALL,39,19)),1)="-"),999),1)="%")),"0",""),"1",""),"2",""),"3",""),"4",""),"5",""),"6",""),"7",""),"8",""),"9",""),".",""),",","")=""),2,1))),1)</f>
        <v/>
      </c>
      <c r="AR88">
        <f>IFERROR(IF(ISNUMBER(INDEX(PASTE_ALL,39,20)),2,IF(TRIM(INDEX(PASTE_ALL,39,20))="",0,IF(AND(LEFT(MID(TRIM(INDEX(PASTE_ALL,39,20)),1+(LEFT(TRIM(INDEX(PASTE_ALL,39,20)),1)="-"),999),LEN(MID(TRIM(INDEX(PASTE_ALL,39,20)),1+(LEFT(TRIM(INDEX(PASTE_ALL,39,20)),1)="-"),999))-(RIGHT(MID(TRIM(INDEX(PASTE_ALL,39,20)),1+(LEFT(TRIM(INDEX(PASTE_ALL,39,20)),1)="-"),999),1)="%"))&lt;&gt;"",SUBSTITUTE(SUBSTITUTE(SUBSTITUTE(SUBSTITUTE(SUBSTITUTE(SUBSTITUTE(SUBSTITUTE(SUBSTITUTE(SUBSTITUTE(SUBSTITUTE(SUBSTITUTE(SUBSTITUTE(LEFT(MID(TRIM(INDEX(PASTE_ALL,39,20)),1+(LEFT(TRIM(INDEX(PASTE_ALL,39,20)),1)="-"),999),LEN(MID(TRIM(INDEX(PASTE_ALL,39,20)),1+(LEFT(TRIM(INDEX(PASTE_ALL,39,20)),1)="-"),999))-(RIGHT(MID(TRIM(INDEX(PASTE_ALL,39,20)),1+(LEFT(TRIM(INDEX(PASTE_ALL,39,20)),1)="-"),999),1)="%")),"0",""),"1",""),"2",""),"3",""),"4",""),"5",""),"6",""),"7",""),"8",""),"9",""),".",""),",","")=""),2,1))),1)</f>
        <v/>
      </c>
      <c r="AS88">
        <f>IFERROR(IF(ISNUMBER(INDEX(PASTE_ALL,39,21)),2,IF(TRIM(INDEX(PASTE_ALL,39,21))="",0,IF(AND(LEFT(MID(TRIM(INDEX(PASTE_ALL,39,21)),1+(LEFT(TRIM(INDEX(PASTE_ALL,39,21)),1)="-"),999),LEN(MID(TRIM(INDEX(PASTE_ALL,39,21)),1+(LEFT(TRIM(INDEX(PASTE_ALL,39,21)),1)="-"),999))-(RIGHT(MID(TRIM(INDEX(PASTE_ALL,39,21)),1+(LEFT(TRIM(INDEX(PASTE_ALL,39,21)),1)="-"),999),1)="%"))&lt;&gt;"",SUBSTITUTE(SUBSTITUTE(SUBSTITUTE(SUBSTITUTE(SUBSTITUTE(SUBSTITUTE(SUBSTITUTE(SUBSTITUTE(SUBSTITUTE(SUBSTITUTE(SUBSTITUTE(SUBSTITUTE(LEFT(MID(TRIM(INDEX(PASTE_ALL,39,21)),1+(LEFT(TRIM(INDEX(PASTE_ALL,39,21)),1)="-"),999),LEN(MID(TRIM(INDEX(PASTE_ALL,39,21)),1+(LEFT(TRIM(INDEX(PASTE_ALL,39,21)),1)="-"),999))-(RIGHT(MID(TRIM(INDEX(PASTE_ALL,39,21)),1+(LEFT(TRIM(INDEX(PASTE_ALL,39,21)),1)="-"),999),1)="%")),"0",""),"1",""),"2",""),"3",""),"4",""),"5",""),"6",""),"7",""),"8",""),"9",""),".",""),",","")=""),2,1))),1)</f>
        <v/>
      </c>
      <c r="AT88">
        <f>IFERROR(IF(ISNUMBER(INDEX(PASTE_ALL,39,22)),2,IF(TRIM(INDEX(PASTE_ALL,39,22))="",0,IF(AND(LEFT(MID(TRIM(INDEX(PASTE_ALL,39,22)),1+(LEFT(TRIM(INDEX(PASTE_ALL,39,22)),1)="-"),999),LEN(MID(TRIM(INDEX(PASTE_ALL,39,22)),1+(LEFT(TRIM(INDEX(PASTE_ALL,39,22)),1)="-"),999))-(RIGHT(MID(TRIM(INDEX(PASTE_ALL,39,22)),1+(LEFT(TRIM(INDEX(PASTE_ALL,39,22)),1)="-"),999),1)="%"))&lt;&gt;"",SUBSTITUTE(SUBSTITUTE(SUBSTITUTE(SUBSTITUTE(SUBSTITUTE(SUBSTITUTE(SUBSTITUTE(SUBSTITUTE(SUBSTITUTE(SUBSTITUTE(SUBSTITUTE(SUBSTITUTE(LEFT(MID(TRIM(INDEX(PASTE_ALL,39,22)),1+(LEFT(TRIM(INDEX(PASTE_ALL,39,22)),1)="-"),999),LEN(MID(TRIM(INDEX(PASTE_ALL,39,22)),1+(LEFT(TRIM(INDEX(PASTE_ALL,39,22)),1)="-"),999))-(RIGHT(MID(TRIM(INDEX(PASTE_ALL,39,22)),1+(LEFT(TRIM(INDEX(PASTE_ALL,39,22)),1)="-"),999),1)="%")),"0",""),"1",""),"2",""),"3",""),"4",""),"5",""),"6",""),"7",""),"8",""),"9",""),".",""),",","")=""),2,1))),1)</f>
        <v/>
      </c>
      <c r="AU88">
        <f>IFERROR(IF(ISNUMBER(INDEX(PASTE_ALL,39,23)),2,IF(TRIM(INDEX(PASTE_ALL,39,23))="",0,IF(AND(LEFT(MID(TRIM(INDEX(PASTE_ALL,39,23)),1+(LEFT(TRIM(INDEX(PASTE_ALL,39,23)),1)="-"),999),LEN(MID(TRIM(INDEX(PASTE_ALL,39,23)),1+(LEFT(TRIM(INDEX(PASTE_ALL,39,23)),1)="-"),999))-(RIGHT(MID(TRIM(INDEX(PASTE_ALL,39,23)),1+(LEFT(TRIM(INDEX(PASTE_ALL,39,23)),1)="-"),999),1)="%"))&lt;&gt;"",SUBSTITUTE(SUBSTITUTE(SUBSTITUTE(SUBSTITUTE(SUBSTITUTE(SUBSTITUTE(SUBSTITUTE(SUBSTITUTE(SUBSTITUTE(SUBSTITUTE(SUBSTITUTE(SUBSTITUTE(LEFT(MID(TRIM(INDEX(PASTE_ALL,39,23)),1+(LEFT(TRIM(INDEX(PASTE_ALL,39,23)),1)="-"),999),LEN(MID(TRIM(INDEX(PASTE_ALL,39,23)),1+(LEFT(TRIM(INDEX(PASTE_ALL,39,23)),1)="-"),999))-(RIGHT(MID(TRIM(INDEX(PASTE_ALL,39,23)),1+(LEFT(TRIM(INDEX(PASTE_ALL,39,23)),1)="-"),999),1)="%")),"0",""),"1",""),"2",""),"3",""),"4",""),"5",""),"6",""),"7",""),"8",""),"9",""),".",""),",","")=""),2,1))),1)</f>
        <v/>
      </c>
      <c r="AV88">
        <f>IFERROR(IF(ISNUMBER(INDEX(PASTE_ALL,39,24)),2,IF(TRIM(INDEX(PASTE_ALL,39,24))="",0,IF(AND(LEFT(MID(TRIM(INDEX(PASTE_ALL,39,24)),1+(LEFT(TRIM(INDEX(PASTE_ALL,39,24)),1)="-"),999),LEN(MID(TRIM(INDEX(PASTE_ALL,39,24)),1+(LEFT(TRIM(INDEX(PASTE_ALL,39,24)),1)="-"),999))-(RIGHT(MID(TRIM(INDEX(PASTE_ALL,39,24)),1+(LEFT(TRIM(INDEX(PASTE_ALL,39,24)),1)="-"),999),1)="%"))&lt;&gt;"",SUBSTITUTE(SUBSTITUTE(SUBSTITUTE(SUBSTITUTE(SUBSTITUTE(SUBSTITUTE(SUBSTITUTE(SUBSTITUTE(SUBSTITUTE(SUBSTITUTE(SUBSTITUTE(SUBSTITUTE(LEFT(MID(TRIM(INDEX(PASTE_ALL,39,24)),1+(LEFT(TRIM(INDEX(PASTE_ALL,39,24)),1)="-"),999),LEN(MID(TRIM(INDEX(PASTE_ALL,39,24)),1+(LEFT(TRIM(INDEX(PASTE_ALL,39,24)),1)="-"),999))-(RIGHT(MID(TRIM(INDEX(PASTE_ALL,39,24)),1+(LEFT(TRIM(INDEX(PASTE_ALL,39,24)),1)="-"),999),1)="%")),"0",""),"1",""),"2",""),"3",""),"4",""),"5",""),"6",""),"7",""),"8",""),"9",""),".",""),",","")=""),2,1))),1)</f>
        <v/>
      </c>
      <c r="AW88">
        <f>IFERROR(IF(ISNUMBER(INDEX(PASTE_ALL,39,25)),2,IF(TRIM(INDEX(PASTE_ALL,39,25))="",0,IF(AND(LEFT(MID(TRIM(INDEX(PASTE_ALL,39,25)),1+(LEFT(TRIM(INDEX(PASTE_ALL,39,25)),1)="-"),999),LEN(MID(TRIM(INDEX(PASTE_ALL,39,25)),1+(LEFT(TRIM(INDEX(PASTE_ALL,39,25)),1)="-"),999))-(RIGHT(MID(TRIM(INDEX(PASTE_ALL,39,25)),1+(LEFT(TRIM(INDEX(PASTE_ALL,39,25)),1)="-"),999),1)="%"))&lt;&gt;"",SUBSTITUTE(SUBSTITUTE(SUBSTITUTE(SUBSTITUTE(SUBSTITUTE(SUBSTITUTE(SUBSTITUTE(SUBSTITUTE(SUBSTITUTE(SUBSTITUTE(SUBSTITUTE(SUBSTITUTE(LEFT(MID(TRIM(INDEX(PASTE_ALL,39,25)),1+(LEFT(TRIM(INDEX(PASTE_ALL,39,25)),1)="-"),999),LEN(MID(TRIM(INDEX(PASTE_ALL,39,25)),1+(LEFT(TRIM(INDEX(PASTE_ALL,39,25)),1)="-"),999))-(RIGHT(MID(TRIM(INDEX(PASTE_ALL,39,25)),1+(LEFT(TRIM(INDEX(PASTE_ALL,39,25)),1)="-"),999),1)="%")),"0",""),"1",""),"2",""),"3",""),"4",""),"5",""),"6",""),"7",""),"8",""),"9",""),".",""),",","")=""),2,1))),1)</f>
        <v/>
      </c>
      <c r="AX88">
        <f>IFERROR(IF(ISNUMBER(INDEX(PASTE_ALL,39,26)),2,IF(TRIM(INDEX(PASTE_ALL,39,26))="",0,IF(AND(LEFT(MID(TRIM(INDEX(PASTE_ALL,39,26)),1+(LEFT(TRIM(INDEX(PASTE_ALL,39,26)),1)="-"),999),LEN(MID(TRIM(INDEX(PASTE_ALL,39,26)),1+(LEFT(TRIM(INDEX(PASTE_ALL,39,26)),1)="-"),999))-(RIGHT(MID(TRIM(INDEX(PASTE_ALL,39,26)),1+(LEFT(TRIM(INDEX(PASTE_ALL,39,26)),1)="-"),999),1)="%"))&lt;&gt;"",SUBSTITUTE(SUBSTITUTE(SUBSTITUTE(SUBSTITUTE(SUBSTITUTE(SUBSTITUTE(SUBSTITUTE(SUBSTITUTE(SUBSTITUTE(SUBSTITUTE(SUBSTITUTE(SUBSTITUTE(LEFT(MID(TRIM(INDEX(PASTE_ALL,39,26)),1+(LEFT(TRIM(INDEX(PASTE_ALL,39,26)),1)="-"),999),LEN(MID(TRIM(INDEX(PASTE_ALL,39,26)),1+(LEFT(TRIM(INDEX(PASTE_ALL,39,26)),1)="-"),999))-(RIGHT(MID(TRIM(INDEX(PASTE_ALL,39,26)),1+(LEFT(TRIM(INDEX(PASTE_ALL,39,26)),1)="-"),999),1)="%")),"0",""),"1",""),"2",""),"3",""),"4",""),"5",""),"6",""),"7",""),"8",""),"9",""),".",""),",","")=""),2,1))),1)</f>
        <v/>
      </c>
      <c r="AY88">
        <f>IFERROR(IF(ISNUMBER(INDEX(PASTE_ALL,39,27)),2,IF(TRIM(INDEX(PASTE_ALL,39,27))="",0,IF(AND(LEFT(MID(TRIM(INDEX(PASTE_ALL,39,27)),1+(LEFT(TRIM(INDEX(PASTE_ALL,39,27)),1)="-"),999),LEN(MID(TRIM(INDEX(PASTE_ALL,39,27)),1+(LEFT(TRIM(INDEX(PASTE_ALL,39,27)),1)="-"),999))-(RIGHT(MID(TRIM(INDEX(PASTE_ALL,39,27)),1+(LEFT(TRIM(INDEX(PASTE_ALL,39,27)),1)="-"),999),1)="%"))&lt;&gt;"",SUBSTITUTE(SUBSTITUTE(SUBSTITUTE(SUBSTITUTE(SUBSTITUTE(SUBSTITUTE(SUBSTITUTE(SUBSTITUTE(SUBSTITUTE(SUBSTITUTE(SUBSTITUTE(SUBSTITUTE(LEFT(MID(TRIM(INDEX(PASTE_ALL,39,27)),1+(LEFT(TRIM(INDEX(PASTE_ALL,39,27)),1)="-"),999),LEN(MID(TRIM(INDEX(PASTE_ALL,39,27)),1+(LEFT(TRIM(INDEX(PASTE_ALL,39,27)),1)="-"),999))-(RIGHT(MID(TRIM(INDEX(PASTE_ALL,39,27)),1+(LEFT(TRIM(INDEX(PASTE_ALL,39,27)),1)="-"),999),1)="%")),"0",""),"1",""),"2",""),"3",""),"4",""),"5",""),"6",""),"7",""),"8",""),"9",""),".",""),",","")=""),2,1))),1)</f>
        <v/>
      </c>
      <c r="AZ88">
        <f>IFERROR(IF(ISNUMBER(INDEX(PASTE_ALL,39,28)),2,IF(TRIM(INDEX(PASTE_ALL,39,28))="",0,IF(AND(LEFT(MID(TRIM(INDEX(PASTE_ALL,39,28)),1+(LEFT(TRIM(INDEX(PASTE_ALL,39,28)),1)="-"),999),LEN(MID(TRIM(INDEX(PASTE_ALL,39,28)),1+(LEFT(TRIM(INDEX(PASTE_ALL,39,28)),1)="-"),999))-(RIGHT(MID(TRIM(INDEX(PASTE_ALL,39,28)),1+(LEFT(TRIM(INDEX(PASTE_ALL,39,28)),1)="-"),999),1)="%"))&lt;&gt;"",SUBSTITUTE(SUBSTITUTE(SUBSTITUTE(SUBSTITUTE(SUBSTITUTE(SUBSTITUTE(SUBSTITUTE(SUBSTITUTE(SUBSTITUTE(SUBSTITUTE(SUBSTITUTE(SUBSTITUTE(LEFT(MID(TRIM(INDEX(PASTE_ALL,39,28)),1+(LEFT(TRIM(INDEX(PASTE_ALL,39,28)),1)="-"),999),LEN(MID(TRIM(INDEX(PASTE_ALL,39,28)),1+(LEFT(TRIM(INDEX(PASTE_ALL,39,28)),1)="-"),999))-(RIGHT(MID(TRIM(INDEX(PASTE_ALL,39,28)),1+(LEFT(TRIM(INDEX(PASTE_ALL,39,28)),1)="-"),999),1)="%")),"0",""),"1",""),"2",""),"3",""),"4",""),"5",""),"6",""),"7",""),"8",""),"9",""),".",""),",","")=""),2,1))),1)</f>
        <v/>
      </c>
      <c r="BA88">
        <f>IFERROR(IF(ISNUMBER(INDEX(PASTE_ALL,39,29)),2,IF(TRIM(INDEX(PASTE_ALL,39,29))="",0,IF(AND(LEFT(MID(TRIM(INDEX(PASTE_ALL,39,29)),1+(LEFT(TRIM(INDEX(PASTE_ALL,39,29)),1)="-"),999),LEN(MID(TRIM(INDEX(PASTE_ALL,39,29)),1+(LEFT(TRIM(INDEX(PASTE_ALL,39,29)),1)="-"),999))-(RIGHT(MID(TRIM(INDEX(PASTE_ALL,39,29)),1+(LEFT(TRIM(INDEX(PASTE_ALL,39,29)),1)="-"),999),1)="%"))&lt;&gt;"",SUBSTITUTE(SUBSTITUTE(SUBSTITUTE(SUBSTITUTE(SUBSTITUTE(SUBSTITUTE(SUBSTITUTE(SUBSTITUTE(SUBSTITUTE(SUBSTITUTE(SUBSTITUTE(SUBSTITUTE(LEFT(MID(TRIM(INDEX(PASTE_ALL,39,29)),1+(LEFT(TRIM(INDEX(PASTE_ALL,39,29)),1)="-"),999),LEN(MID(TRIM(INDEX(PASTE_ALL,39,29)),1+(LEFT(TRIM(INDEX(PASTE_ALL,39,29)),1)="-"),999))-(RIGHT(MID(TRIM(INDEX(PASTE_ALL,39,29)),1+(LEFT(TRIM(INDEX(PASTE_ALL,39,29)),1)="-"),999),1)="%")),"0",""),"1",""),"2",""),"3",""),"4",""),"5",""),"6",""),"7",""),"8",""),"9",""),".",""),",","")=""),2,1))),1)</f>
        <v/>
      </c>
      <c r="BB88">
        <f>IFERROR(IF(ISNUMBER(INDEX(PASTE_ALL,39,30)),2,IF(TRIM(INDEX(PASTE_ALL,39,30))="",0,IF(AND(LEFT(MID(TRIM(INDEX(PASTE_ALL,39,30)),1+(LEFT(TRIM(INDEX(PASTE_ALL,39,30)),1)="-"),999),LEN(MID(TRIM(INDEX(PASTE_ALL,39,30)),1+(LEFT(TRIM(INDEX(PASTE_ALL,39,30)),1)="-"),999))-(RIGHT(MID(TRIM(INDEX(PASTE_ALL,39,30)),1+(LEFT(TRIM(INDEX(PASTE_ALL,39,30)),1)="-"),999),1)="%"))&lt;&gt;"",SUBSTITUTE(SUBSTITUTE(SUBSTITUTE(SUBSTITUTE(SUBSTITUTE(SUBSTITUTE(SUBSTITUTE(SUBSTITUTE(SUBSTITUTE(SUBSTITUTE(SUBSTITUTE(SUBSTITUTE(LEFT(MID(TRIM(INDEX(PASTE_ALL,39,30)),1+(LEFT(TRIM(INDEX(PASTE_ALL,39,30)),1)="-"),999),LEN(MID(TRIM(INDEX(PASTE_ALL,39,30)),1+(LEFT(TRIM(INDEX(PASTE_ALL,39,30)),1)="-"),999))-(RIGHT(MID(TRIM(INDEX(PASTE_ALL,39,30)),1+(LEFT(TRIM(INDEX(PASTE_ALL,39,30)),1)="-"),999),1)="%")),"0",""),"1",""),"2",""),"3",""),"4",""),"5",""),"6",""),"7",""),"8",""),"9",""),".",""),",","")=""),2,1))),1)</f>
        <v/>
      </c>
      <c r="BC88">
        <f>IFERROR(IF(ISNUMBER(INDEX(PASTE_ALL,39,31)),2,IF(TRIM(INDEX(PASTE_ALL,39,31))="",0,IF(AND(LEFT(MID(TRIM(INDEX(PASTE_ALL,39,31)),1+(LEFT(TRIM(INDEX(PASTE_ALL,39,31)),1)="-"),999),LEN(MID(TRIM(INDEX(PASTE_ALL,39,31)),1+(LEFT(TRIM(INDEX(PASTE_ALL,39,31)),1)="-"),999))-(RIGHT(MID(TRIM(INDEX(PASTE_ALL,39,31)),1+(LEFT(TRIM(INDEX(PASTE_ALL,39,31)),1)="-"),999),1)="%"))&lt;&gt;"",SUBSTITUTE(SUBSTITUTE(SUBSTITUTE(SUBSTITUTE(SUBSTITUTE(SUBSTITUTE(SUBSTITUTE(SUBSTITUTE(SUBSTITUTE(SUBSTITUTE(SUBSTITUTE(SUBSTITUTE(LEFT(MID(TRIM(INDEX(PASTE_ALL,39,31)),1+(LEFT(TRIM(INDEX(PASTE_ALL,39,31)),1)="-"),999),LEN(MID(TRIM(INDEX(PASTE_ALL,39,31)),1+(LEFT(TRIM(INDEX(PASTE_ALL,39,31)),1)="-"),999))-(RIGHT(MID(TRIM(INDEX(PASTE_ALL,39,31)),1+(LEFT(TRIM(INDEX(PASTE_ALL,39,31)),1)="-"),999),1)="%")),"0",""),"1",""),"2",""),"3",""),"4",""),"5",""),"6",""),"7",""),"8",""),"9",""),".",""),",","")=""),2,1))),1)</f>
        <v/>
      </c>
      <c r="BD88">
        <f>IFERROR(IF(ISNUMBER(INDEX(PASTE_ALL,39,32)),2,IF(TRIM(INDEX(PASTE_ALL,39,32))="",0,IF(AND(LEFT(MID(TRIM(INDEX(PASTE_ALL,39,32)),1+(LEFT(TRIM(INDEX(PASTE_ALL,39,32)),1)="-"),999),LEN(MID(TRIM(INDEX(PASTE_ALL,39,32)),1+(LEFT(TRIM(INDEX(PASTE_ALL,39,32)),1)="-"),999))-(RIGHT(MID(TRIM(INDEX(PASTE_ALL,39,32)),1+(LEFT(TRIM(INDEX(PASTE_ALL,39,32)),1)="-"),999),1)="%"))&lt;&gt;"",SUBSTITUTE(SUBSTITUTE(SUBSTITUTE(SUBSTITUTE(SUBSTITUTE(SUBSTITUTE(SUBSTITUTE(SUBSTITUTE(SUBSTITUTE(SUBSTITUTE(SUBSTITUTE(SUBSTITUTE(LEFT(MID(TRIM(INDEX(PASTE_ALL,39,32)),1+(LEFT(TRIM(INDEX(PASTE_ALL,39,32)),1)="-"),999),LEN(MID(TRIM(INDEX(PASTE_ALL,39,32)),1+(LEFT(TRIM(INDEX(PASTE_ALL,39,32)),1)="-"),999))-(RIGHT(MID(TRIM(INDEX(PASTE_ALL,39,32)),1+(LEFT(TRIM(INDEX(PASTE_ALL,39,32)),1)="-"),999),1)="%")),"0",""),"1",""),"2",""),"3",""),"4",""),"5",""),"6",""),"7",""),"8",""),"9",""),".",""),",","")=""),2,1))),1)</f>
        <v/>
      </c>
      <c r="BE88">
        <f>IFERROR(IF(ISNUMBER(INDEX(PASTE_ALL,39,33)),2,IF(TRIM(INDEX(PASTE_ALL,39,33))="",0,IF(AND(LEFT(MID(TRIM(INDEX(PASTE_ALL,39,33)),1+(LEFT(TRIM(INDEX(PASTE_ALL,39,33)),1)="-"),999),LEN(MID(TRIM(INDEX(PASTE_ALL,39,33)),1+(LEFT(TRIM(INDEX(PASTE_ALL,39,33)),1)="-"),999))-(RIGHT(MID(TRIM(INDEX(PASTE_ALL,39,33)),1+(LEFT(TRIM(INDEX(PASTE_ALL,39,33)),1)="-"),999),1)="%"))&lt;&gt;"",SUBSTITUTE(SUBSTITUTE(SUBSTITUTE(SUBSTITUTE(SUBSTITUTE(SUBSTITUTE(SUBSTITUTE(SUBSTITUTE(SUBSTITUTE(SUBSTITUTE(SUBSTITUTE(SUBSTITUTE(LEFT(MID(TRIM(INDEX(PASTE_ALL,39,33)),1+(LEFT(TRIM(INDEX(PASTE_ALL,39,33)),1)="-"),999),LEN(MID(TRIM(INDEX(PASTE_ALL,39,33)),1+(LEFT(TRIM(INDEX(PASTE_ALL,39,33)),1)="-"),999))-(RIGHT(MID(TRIM(INDEX(PASTE_ALL,39,33)),1+(LEFT(TRIM(INDEX(PASTE_ALL,39,33)),1)="-"),999),1)="%")),"0",""),"1",""),"2",""),"3",""),"4",""),"5",""),"6",""),"7",""),"8",""),"9",""),".",""),",","")=""),2,1))),1)</f>
        <v/>
      </c>
      <c r="BF88">
        <f>IFERROR(IF(ISNUMBER(INDEX(PASTE_ALL,39,34)),2,IF(TRIM(INDEX(PASTE_ALL,39,34))="",0,IF(AND(LEFT(MID(TRIM(INDEX(PASTE_ALL,39,34)),1+(LEFT(TRIM(INDEX(PASTE_ALL,39,34)),1)="-"),999),LEN(MID(TRIM(INDEX(PASTE_ALL,39,34)),1+(LEFT(TRIM(INDEX(PASTE_ALL,39,34)),1)="-"),999))-(RIGHT(MID(TRIM(INDEX(PASTE_ALL,39,34)),1+(LEFT(TRIM(INDEX(PASTE_ALL,39,34)),1)="-"),999),1)="%"))&lt;&gt;"",SUBSTITUTE(SUBSTITUTE(SUBSTITUTE(SUBSTITUTE(SUBSTITUTE(SUBSTITUTE(SUBSTITUTE(SUBSTITUTE(SUBSTITUTE(SUBSTITUTE(SUBSTITUTE(SUBSTITUTE(LEFT(MID(TRIM(INDEX(PASTE_ALL,39,34)),1+(LEFT(TRIM(INDEX(PASTE_ALL,39,34)),1)="-"),999),LEN(MID(TRIM(INDEX(PASTE_ALL,39,34)),1+(LEFT(TRIM(INDEX(PASTE_ALL,39,34)),1)="-"),999))-(RIGHT(MID(TRIM(INDEX(PASTE_ALL,39,34)),1+(LEFT(TRIM(INDEX(PASTE_ALL,39,34)),1)="-"),999),1)="%")),"0",""),"1",""),"2",""),"3",""),"4",""),"5",""),"6",""),"7",""),"8",""),"9",""),".",""),",","")=""),2,1))),1)</f>
        <v/>
      </c>
      <c r="BG88">
        <f>IFERROR(IF(ISNUMBER(INDEX(PASTE_ALL,39,35)),2,IF(TRIM(INDEX(PASTE_ALL,39,35))="",0,IF(AND(LEFT(MID(TRIM(INDEX(PASTE_ALL,39,35)),1+(LEFT(TRIM(INDEX(PASTE_ALL,39,35)),1)="-"),999),LEN(MID(TRIM(INDEX(PASTE_ALL,39,35)),1+(LEFT(TRIM(INDEX(PASTE_ALL,39,35)),1)="-"),999))-(RIGHT(MID(TRIM(INDEX(PASTE_ALL,39,35)),1+(LEFT(TRIM(INDEX(PASTE_ALL,39,35)),1)="-"),999),1)="%"))&lt;&gt;"",SUBSTITUTE(SUBSTITUTE(SUBSTITUTE(SUBSTITUTE(SUBSTITUTE(SUBSTITUTE(SUBSTITUTE(SUBSTITUTE(SUBSTITUTE(SUBSTITUTE(SUBSTITUTE(SUBSTITUTE(LEFT(MID(TRIM(INDEX(PASTE_ALL,39,35)),1+(LEFT(TRIM(INDEX(PASTE_ALL,39,35)),1)="-"),999),LEN(MID(TRIM(INDEX(PASTE_ALL,39,35)),1+(LEFT(TRIM(INDEX(PASTE_ALL,39,35)),1)="-"),999))-(RIGHT(MID(TRIM(INDEX(PASTE_ALL,39,35)),1+(LEFT(TRIM(INDEX(PASTE_ALL,39,35)),1)="-"),999),1)="%")),"0",""),"1",""),"2",""),"3",""),"4",""),"5",""),"6",""),"7",""),"8",""),"9",""),".",""),",","")=""),2,1))),1)</f>
        <v/>
      </c>
      <c r="BH88">
        <f>IFERROR(IF(ISNUMBER(INDEX(PASTE_ALL,39,36)),2,IF(TRIM(INDEX(PASTE_ALL,39,36))="",0,IF(AND(LEFT(MID(TRIM(INDEX(PASTE_ALL,39,36)),1+(LEFT(TRIM(INDEX(PASTE_ALL,39,36)),1)="-"),999),LEN(MID(TRIM(INDEX(PASTE_ALL,39,36)),1+(LEFT(TRIM(INDEX(PASTE_ALL,39,36)),1)="-"),999))-(RIGHT(MID(TRIM(INDEX(PASTE_ALL,39,36)),1+(LEFT(TRIM(INDEX(PASTE_ALL,39,36)),1)="-"),999),1)="%"))&lt;&gt;"",SUBSTITUTE(SUBSTITUTE(SUBSTITUTE(SUBSTITUTE(SUBSTITUTE(SUBSTITUTE(SUBSTITUTE(SUBSTITUTE(SUBSTITUTE(SUBSTITUTE(SUBSTITUTE(SUBSTITUTE(LEFT(MID(TRIM(INDEX(PASTE_ALL,39,36)),1+(LEFT(TRIM(INDEX(PASTE_ALL,39,36)),1)="-"),999),LEN(MID(TRIM(INDEX(PASTE_ALL,39,36)),1+(LEFT(TRIM(INDEX(PASTE_ALL,39,36)),1)="-"),999))-(RIGHT(MID(TRIM(INDEX(PASTE_ALL,39,36)),1+(LEFT(TRIM(INDEX(PASTE_ALL,39,36)),1)="-"),999),1)="%")),"0",""),"1",""),"2",""),"3",""),"4",""),"5",""),"6",""),"7",""),"8",""),"9",""),".",""),",","")=""),2,1))),1)</f>
        <v/>
      </c>
      <c r="BI88">
        <f>IFERROR(IF(ISNUMBER(INDEX(PASTE_ALL,39,37)),2,IF(TRIM(INDEX(PASTE_ALL,39,37))="",0,IF(AND(LEFT(MID(TRIM(INDEX(PASTE_ALL,39,37)),1+(LEFT(TRIM(INDEX(PASTE_ALL,39,37)),1)="-"),999),LEN(MID(TRIM(INDEX(PASTE_ALL,39,37)),1+(LEFT(TRIM(INDEX(PASTE_ALL,39,37)),1)="-"),999))-(RIGHT(MID(TRIM(INDEX(PASTE_ALL,39,37)),1+(LEFT(TRIM(INDEX(PASTE_ALL,39,37)),1)="-"),999),1)="%"))&lt;&gt;"",SUBSTITUTE(SUBSTITUTE(SUBSTITUTE(SUBSTITUTE(SUBSTITUTE(SUBSTITUTE(SUBSTITUTE(SUBSTITUTE(SUBSTITUTE(SUBSTITUTE(SUBSTITUTE(SUBSTITUTE(LEFT(MID(TRIM(INDEX(PASTE_ALL,39,37)),1+(LEFT(TRIM(INDEX(PASTE_ALL,39,37)),1)="-"),999),LEN(MID(TRIM(INDEX(PASTE_ALL,39,37)),1+(LEFT(TRIM(INDEX(PASTE_ALL,39,37)),1)="-"),999))-(RIGHT(MID(TRIM(INDEX(PASTE_ALL,39,37)),1+(LEFT(TRIM(INDEX(PASTE_ALL,39,37)),1)="-"),999),1)="%")),"0",""),"1",""),"2",""),"3",""),"4",""),"5",""),"6",""),"7",""),"8",""),"9",""),".",""),",","")=""),2,1))),1)</f>
        <v/>
      </c>
      <c r="BJ88">
        <f>IFERROR(IF(ISNUMBER(INDEX(PASTE_ALL,39,38)),2,IF(TRIM(INDEX(PASTE_ALL,39,38))="",0,IF(AND(LEFT(MID(TRIM(INDEX(PASTE_ALL,39,38)),1+(LEFT(TRIM(INDEX(PASTE_ALL,39,38)),1)="-"),999),LEN(MID(TRIM(INDEX(PASTE_ALL,39,38)),1+(LEFT(TRIM(INDEX(PASTE_ALL,39,38)),1)="-"),999))-(RIGHT(MID(TRIM(INDEX(PASTE_ALL,39,38)),1+(LEFT(TRIM(INDEX(PASTE_ALL,39,38)),1)="-"),999),1)="%"))&lt;&gt;"",SUBSTITUTE(SUBSTITUTE(SUBSTITUTE(SUBSTITUTE(SUBSTITUTE(SUBSTITUTE(SUBSTITUTE(SUBSTITUTE(SUBSTITUTE(SUBSTITUTE(SUBSTITUTE(SUBSTITUTE(LEFT(MID(TRIM(INDEX(PASTE_ALL,39,38)),1+(LEFT(TRIM(INDEX(PASTE_ALL,39,38)),1)="-"),999),LEN(MID(TRIM(INDEX(PASTE_ALL,39,38)),1+(LEFT(TRIM(INDEX(PASTE_ALL,39,38)),1)="-"),999))-(RIGHT(MID(TRIM(INDEX(PASTE_ALL,39,38)),1+(LEFT(TRIM(INDEX(PASTE_ALL,39,38)),1)="-"),999),1)="%")),"0",""),"1",""),"2",""),"3",""),"4",""),"5",""),"6",""),"7",""),"8",""),"9",""),".",""),",","")=""),2,1))),1)</f>
        <v/>
      </c>
      <c r="BK88">
        <f>IFERROR(IF(ISNUMBER(INDEX(PASTE_ALL,39,39)),2,IF(TRIM(INDEX(PASTE_ALL,39,39))="",0,IF(AND(LEFT(MID(TRIM(INDEX(PASTE_ALL,39,39)),1+(LEFT(TRIM(INDEX(PASTE_ALL,39,39)),1)="-"),999),LEN(MID(TRIM(INDEX(PASTE_ALL,39,39)),1+(LEFT(TRIM(INDEX(PASTE_ALL,39,39)),1)="-"),999))-(RIGHT(MID(TRIM(INDEX(PASTE_ALL,39,39)),1+(LEFT(TRIM(INDEX(PASTE_ALL,39,39)),1)="-"),999),1)="%"))&lt;&gt;"",SUBSTITUTE(SUBSTITUTE(SUBSTITUTE(SUBSTITUTE(SUBSTITUTE(SUBSTITUTE(SUBSTITUTE(SUBSTITUTE(SUBSTITUTE(SUBSTITUTE(SUBSTITUTE(SUBSTITUTE(LEFT(MID(TRIM(INDEX(PASTE_ALL,39,39)),1+(LEFT(TRIM(INDEX(PASTE_ALL,39,39)),1)="-"),999),LEN(MID(TRIM(INDEX(PASTE_ALL,39,39)),1+(LEFT(TRIM(INDEX(PASTE_ALL,39,39)),1)="-"),999))-(RIGHT(MID(TRIM(INDEX(PASTE_ALL,39,39)),1+(LEFT(TRIM(INDEX(PASTE_ALL,39,39)),1)="-"),999),1)="%")),"0",""),"1",""),"2",""),"3",""),"4",""),"5",""),"6",""),"7",""),"8",""),"9",""),".",""),",","")=""),2,1))),1)</f>
        <v/>
      </c>
      <c r="BL88">
        <f>IFERROR(IF(ISNUMBER(INDEX(PASTE_ALL,39,40)),2,IF(TRIM(INDEX(PASTE_ALL,39,40))="",0,IF(AND(LEFT(MID(TRIM(INDEX(PASTE_ALL,39,40)),1+(LEFT(TRIM(INDEX(PASTE_ALL,39,40)),1)="-"),999),LEN(MID(TRIM(INDEX(PASTE_ALL,39,40)),1+(LEFT(TRIM(INDEX(PASTE_ALL,39,40)),1)="-"),999))-(RIGHT(MID(TRIM(INDEX(PASTE_ALL,39,40)),1+(LEFT(TRIM(INDEX(PASTE_ALL,39,40)),1)="-"),999),1)="%"))&lt;&gt;"",SUBSTITUTE(SUBSTITUTE(SUBSTITUTE(SUBSTITUTE(SUBSTITUTE(SUBSTITUTE(SUBSTITUTE(SUBSTITUTE(SUBSTITUTE(SUBSTITUTE(SUBSTITUTE(SUBSTITUTE(LEFT(MID(TRIM(INDEX(PASTE_ALL,39,40)),1+(LEFT(TRIM(INDEX(PASTE_ALL,39,40)),1)="-"),999),LEN(MID(TRIM(INDEX(PASTE_ALL,39,40)),1+(LEFT(TRIM(INDEX(PASTE_ALL,39,40)),1)="-"),999))-(RIGHT(MID(TRIM(INDEX(PASTE_ALL,39,40)),1+(LEFT(TRIM(INDEX(PASTE_ALL,39,40)),1)="-"),999),1)="%")),"0",""),"1",""),"2",""),"3",""),"4",""),"5",""),"6",""),"7",""),"8",""),"9",""),".",""),",","")=""),2,1))),1)</f>
        <v/>
      </c>
      <c r="BM88">
        <f>IFERROR(IF(ISNUMBER(INDEX(PASTE_ALL,39,41)),2,IF(TRIM(INDEX(PASTE_ALL,39,41))="",0,IF(AND(LEFT(MID(TRIM(INDEX(PASTE_ALL,39,41)),1+(LEFT(TRIM(INDEX(PASTE_ALL,39,41)),1)="-"),999),LEN(MID(TRIM(INDEX(PASTE_ALL,39,41)),1+(LEFT(TRIM(INDEX(PASTE_ALL,39,41)),1)="-"),999))-(RIGHT(MID(TRIM(INDEX(PASTE_ALL,39,41)),1+(LEFT(TRIM(INDEX(PASTE_ALL,39,41)),1)="-"),999),1)="%"))&lt;&gt;"",SUBSTITUTE(SUBSTITUTE(SUBSTITUTE(SUBSTITUTE(SUBSTITUTE(SUBSTITUTE(SUBSTITUTE(SUBSTITUTE(SUBSTITUTE(SUBSTITUTE(SUBSTITUTE(SUBSTITUTE(LEFT(MID(TRIM(INDEX(PASTE_ALL,39,41)),1+(LEFT(TRIM(INDEX(PASTE_ALL,39,41)),1)="-"),999),LEN(MID(TRIM(INDEX(PASTE_ALL,39,41)),1+(LEFT(TRIM(INDEX(PASTE_ALL,39,41)),1)="-"),999))-(RIGHT(MID(TRIM(INDEX(PASTE_ALL,39,41)),1+(LEFT(TRIM(INDEX(PASTE_ALL,39,41)),1)="-"),999),1)="%")),"0",""),"1",""),"2",""),"3",""),"4",""),"5",""),"6",""),"7",""),"8",""),"9",""),".",""),",","")=""),2,1))),1)</f>
        <v/>
      </c>
      <c r="BN88">
        <f>IFERROR(IF(ISNUMBER(INDEX(PASTE_ALL,39,42)),2,IF(TRIM(INDEX(PASTE_ALL,39,42))="",0,IF(AND(LEFT(MID(TRIM(INDEX(PASTE_ALL,39,42)),1+(LEFT(TRIM(INDEX(PASTE_ALL,39,42)),1)="-"),999),LEN(MID(TRIM(INDEX(PASTE_ALL,39,42)),1+(LEFT(TRIM(INDEX(PASTE_ALL,39,42)),1)="-"),999))-(RIGHT(MID(TRIM(INDEX(PASTE_ALL,39,42)),1+(LEFT(TRIM(INDEX(PASTE_ALL,39,42)),1)="-"),999),1)="%"))&lt;&gt;"",SUBSTITUTE(SUBSTITUTE(SUBSTITUTE(SUBSTITUTE(SUBSTITUTE(SUBSTITUTE(SUBSTITUTE(SUBSTITUTE(SUBSTITUTE(SUBSTITUTE(SUBSTITUTE(SUBSTITUTE(LEFT(MID(TRIM(INDEX(PASTE_ALL,39,42)),1+(LEFT(TRIM(INDEX(PASTE_ALL,39,42)),1)="-"),999),LEN(MID(TRIM(INDEX(PASTE_ALL,39,42)),1+(LEFT(TRIM(INDEX(PASTE_ALL,39,42)),1)="-"),999))-(RIGHT(MID(TRIM(INDEX(PASTE_ALL,39,42)),1+(LEFT(TRIM(INDEX(PASTE_ALL,39,42)),1)="-"),999),1)="%")),"0",""),"1",""),"2",""),"3",""),"4",""),"5",""),"6",""),"7",""),"8",""),"9",""),".",""),",","")=""),2,1))),1)</f>
        <v/>
      </c>
      <c r="BO88">
        <f>IFERROR(IF(ISNUMBER(INDEX(PASTE_ALL,39,43)),2,IF(TRIM(INDEX(PASTE_ALL,39,43))="",0,IF(AND(LEFT(MID(TRIM(INDEX(PASTE_ALL,39,43)),1+(LEFT(TRIM(INDEX(PASTE_ALL,39,43)),1)="-"),999),LEN(MID(TRIM(INDEX(PASTE_ALL,39,43)),1+(LEFT(TRIM(INDEX(PASTE_ALL,39,43)),1)="-"),999))-(RIGHT(MID(TRIM(INDEX(PASTE_ALL,39,43)),1+(LEFT(TRIM(INDEX(PASTE_ALL,39,43)),1)="-"),999),1)="%"))&lt;&gt;"",SUBSTITUTE(SUBSTITUTE(SUBSTITUTE(SUBSTITUTE(SUBSTITUTE(SUBSTITUTE(SUBSTITUTE(SUBSTITUTE(SUBSTITUTE(SUBSTITUTE(SUBSTITUTE(SUBSTITUTE(LEFT(MID(TRIM(INDEX(PASTE_ALL,39,43)),1+(LEFT(TRIM(INDEX(PASTE_ALL,39,43)),1)="-"),999),LEN(MID(TRIM(INDEX(PASTE_ALL,39,43)),1+(LEFT(TRIM(INDEX(PASTE_ALL,39,43)),1)="-"),999))-(RIGHT(MID(TRIM(INDEX(PASTE_ALL,39,43)),1+(LEFT(TRIM(INDEX(PASTE_ALL,39,43)),1)="-"),999),1)="%")),"0",""),"1",""),"2",""),"3",""),"4",""),"5",""),"6",""),"7",""),"8",""),"9",""),".",""),",","")=""),2,1))),1)</f>
        <v/>
      </c>
      <c r="BP88">
        <f>IFERROR(IF(ISNUMBER(INDEX(PASTE_ALL,39,44)),2,IF(TRIM(INDEX(PASTE_ALL,39,44))="",0,IF(AND(LEFT(MID(TRIM(INDEX(PASTE_ALL,39,44)),1+(LEFT(TRIM(INDEX(PASTE_ALL,39,44)),1)="-"),999),LEN(MID(TRIM(INDEX(PASTE_ALL,39,44)),1+(LEFT(TRIM(INDEX(PASTE_ALL,39,44)),1)="-"),999))-(RIGHT(MID(TRIM(INDEX(PASTE_ALL,39,44)),1+(LEFT(TRIM(INDEX(PASTE_ALL,39,44)),1)="-"),999),1)="%"))&lt;&gt;"",SUBSTITUTE(SUBSTITUTE(SUBSTITUTE(SUBSTITUTE(SUBSTITUTE(SUBSTITUTE(SUBSTITUTE(SUBSTITUTE(SUBSTITUTE(SUBSTITUTE(SUBSTITUTE(SUBSTITUTE(LEFT(MID(TRIM(INDEX(PASTE_ALL,39,44)),1+(LEFT(TRIM(INDEX(PASTE_ALL,39,44)),1)="-"),999),LEN(MID(TRIM(INDEX(PASTE_ALL,39,44)),1+(LEFT(TRIM(INDEX(PASTE_ALL,39,44)),1)="-"),999))-(RIGHT(MID(TRIM(INDEX(PASTE_ALL,39,44)),1+(LEFT(TRIM(INDEX(PASTE_ALL,39,44)),1)="-"),999),1)="%")),"0",""),"1",""),"2",""),"3",""),"4",""),"5",""),"6",""),"7",""),"8",""),"9",""),".",""),",","")=""),2,1))),1)</f>
        <v/>
      </c>
      <c r="BQ88">
        <f>IFERROR(IF(ISNUMBER(INDEX(PASTE_ALL,39,45)),2,IF(TRIM(INDEX(PASTE_ALL,39,45))="",0,IF(AND(LEFT(MID(TRIM(INDEX(PASTE_ALL,39,45)),1+(LEFT(TRIM(INDEX(PASTE_ALL,39,45)),1)="-"),999),LEN(MID(TRIM(INDEX(PASTE_ALL,39,45)),1+(LEFT(TRIM(INDEX(PASTE_ALL,39,45)),1)="-"),999))-(RIGHT(MID(TRIM(INDEX(PASTE_ALL,39,45)),1+(LEFT(TRIM(INDEX(PASTE_ALL,39,45)),1)="-"),999),1)="%"))&lt;&gt;"",SUBSTITUTE(SUBSTITUTE(SUBSTITUTE(SUBSTITUTE(SUBSTITUTE(SUBSTITUTE(SUBSTITUTE(SUBSTITUTE(SUBSTITUTE(SUBSTITUTE(SUBSTITUTE(SUBSTITUTE(LEFT(MID(TRIM(INDEX(PASTE_ALL,39,45)),1+(LEFT(TRIM(INDEX(PASTE_ALL,39,45)),1)="-"),999),LEN(MID(TRIM(INDEX(PASTE_ALL,39,45)),1+(LEFT(TRIM(INDEX(PASTE_ALL,39,45)),1)="-"),999))-(RIGHT(MID(TRIM(INDEX(PASTE_ALL,39,45)),1+(LEFT(TRIM(INDEX(PASTE_ALL,39,45)),1)="-"),999),1)="%")),"0",""),"1",""),"2",""),"3",""),"4",""),"5",""),"6",""),"7",""),"8",""),"9",""),".",""),",","")=""),2,1))),1)</f>
        <v/>
      </c>
      <c r="BR88">
        <f>IFERROR(IF(ISNUMBER(INDEX(PASTE_ALL,39,46)),2,IF(TRIM(INDEX(PASTE_ALL,39,46))="",0,IF(AND(LEFT(MID(TRIM(INDEX(PASTE_ALL,39,46)),1+(LEFT(TRIM(INDEX(PASTE_ALL,39,46)),1)="-"),999),LEN(MID(TRIM(INDEX(PASTE_ALL,39,46)),1+(LEFT(TRIM(INDEX(PASTE_ALL,39,46)),1)="-"),999))-(RIGHT(MID(TRIM(INDEX(PASTE_ALL,39,46)),1+(LEFT(TRIM(INDEX(PASTE_ALL,39,46)),1)="-"),999),1)="%"))&lt;&gt;"",SUBSTITUTE(SUBSTITUTE(SUBSTITUTE(SUBSTITUTE(SUBSTITUTE(SUBSTITUTE(SUBSTITUTE(SUBSTITUTE(SUBSTITUTE(SUBSTITUTE(SUBSTITUTE(SUBSTITUTE(LEFT(MID(TRIM(INDEX(PASTE_ALL,39,46)),1+(LEFT(TRIM(INDEX(PASTE_ALL,39,46)),1)="-"),999),LEN(MID(TRIM(INDEX(PASTE_ALL,39,46)),1+(LEFT(TRIM(INDEX(PASTE_ALL,39,46)),1)="-"),999))-(RIGHT(MID(TRIM(INDEX(PASTE_ALL,39,46)),1+(LEFT(TRIM(INDEX(PASTE_ALL,39,46)),1)="-"),999),1)="%")),"0",""),"1",""),"2",""),"3",""),"4",""),"5",""),"6",""),"7",""),"8",""),"9",""),".",""),",","")=""),2,1))),1)</f>
        <v/>
      </c>
      <c r="BS88">
        <f>IFERROR(IF(ISNUMBER(INDEX(PASTE_ALL,39,47)),2,IF(TRIM(INDEX(PASTE_ALL,39,47))="",0,IF(AND(LEFT(MID(TRIM(INDEX(PASTE_ALL,39,47)),1+(LEFT(TRIM(INDEX(PASTE_ALL,39,47)),1)="-"),999),LEN(MID(TRIM(INDEX(PASTE_ALL,39,47)),1+(LEFT(TRIM(INDEX(PASTE_ALL,39,47)),1)="-"),999))-(RIGHT(MID(TRIM(INDEX(PASTE_ALL,39,47)),1+(LEFT(TRIM(INDEX(PASTE_ALL,39,47)),1)="-"),999),1)="%"))&lt;&gt;"",SUBSTITUTE(SUBSTITUTE(SUBSTITUTE(SUBSTITUTE(SUBSTITUTE(SUBSTITUTE(SUBSTITUTE(SUBSTITUTE(SUBSTITUTE(SUBSTITUTE(SUBSTITUTE(SUBSTITUTE(LEFT(MID(TRIM(INDEX(PASTE_ALL,39,47)),1+(LEFT(TRIM(INDEX(PASTE_ALL,39,47)),1)="-"),999),LEN(MID(TRIM(INDEX(PASTE_ALL,39,47)),1+(LEFT(TRIM(INDEX(PASTE_ALL,39,47)),1)="-"),999))-(RIGHT(MID(TRIM(INDEX(PASTE_ALL,39,47)),1+(LEFT(TRIM(INDEX(PASTE_ALL,39,47)),1)="-"),999),1)="%")),"0",""),"1",""),"2",""),"3",""),"4",""),"5",""),"6",""),"7",""),"8",""),"9",""),".",""),",","")=""),2,1))),1)</f>
        <v/>
      </c>
      <c r="BT88">
        <f>IFERROR(IF(ISNUMBER(INDEX(PASTE_ALL,39,48)),2,IF(TRIM(INDEX(PASTE_ALL,39,48))="",0,IF(AND(LEFT(MID(TRIM(INDEX(PASTE_ALL,39,48)),1+(LEFT(TRIM(INDEX(PASTE_ALL,39,48)),1)="-"),999),LEN(MID(TRIM(INDEX(PASTE_ALL,39,48)),1+(LEFT(TRIM(INDEX(PASTE_ALL,39,48)),1)="-"),999))-(RIGHT(MID(TRIM(INDEX(PASTE_ALL,39,48)),1+(LEFT(TRIM(INDEX(PASTE_ALL,39,48)),1)="-"),999),1)="%"))&lt;&gt;"",SUBSTITUTE(SUBSTITUTE(SUBSTITUTE(SUBSTITUTE(SUBSTITUTE(SUBSTITUTE(SUBSTITUTE(SUBSTITUTE(SUBSTITUTE(SUBSTITUTE(SUBSTITUTE(SUBSTITUTE(LEFT(MID(TRIM(INDEX(PASTE_ALL,39,48)),1+(LEFT(TRIM(INDEX(PASTE_ALL,39,48)),1)="-"),999),LEN(MID(TRIM(INDEX(PASTE_ALL,39,48)),1+(LEFT(TRIM(INDEX(PASTE_ALL,39,48)),1)="-"),999))-(RIGHT(MID(TRIM(INDEX(PASTE_ALL,39,48)),1+(LEFT(TRIM(INDEX(PASTE_ALL,39,48)),1)="-"),999),1)="%")),"0",""),"1",""),"2",""),"3",""),"4",""),"5",""),"6",""),"7",""),"8",""),"9",""),".",""),",","")=""),2,1))),1)</f>
        <v/>
      </c>
      <c r="BU88">
        <f>IFERROR(IF(ISNUMBER(INDEX(PASTE_ALL,39,49)),2,IF(TRIM(INDEX(PASTE_ALL,39,49))="",0,IF(AND(LEFT(MID(TRIM(INDEX(PASTE_ALL,39,49)),1+(LEFT(TRIM(INDEX(PASTE_ALL,39,49)),1)="-"),999),LEN(MID(TRIM(INDEX(PASTE_ALL,39,49)),1+(LEFT(TRIM(INDEX(PASTE_ALL,39,49)),1)="-"),999))-(RIGHT(MID(TRIM(INDEX(PASTE_ALL,39,49)),1+(LEFT(TRIM(INDEX(PASTE_ALL,39,49)),1)="-"),999),1)="%"))&lt;&gt;"",SUBSTITUTE(SUBSTITUTE(SUBSTITUTE(SUBSTITUTE(SUBSTITUTE(SUBSTITUTE(SUBSTITUTE(SUBSTITUTE(SUBSTITUTE(SUBSTITUTE(SUBSTITUTE(SUBSTITUTE(LEFT(MID(TRIM(INDEX(PASTE_ALL,39,49)),1+(LEFT(TRIM(INDEX(PASTE_ALL,39,49)),1)="-"),999),LEN(MID(TRIM(INDEX(PASTE_ALL,39,49)),1+(LEFT(TRIM(INDEX(PASTE_ALL,39,49)),1)="-"),999))-(RIGHT(MID(TRIM(INDEX(PASTE_ALL,39,49)),1+(LEFT(TRIM(INDEX(PASTE_ALL,39,49)),1)="-"),999),1)="%")),"0",""),"1",""),"2",""),"3",""),"4",""),"5",""),"6",""),"7",""),"8",""),"9",""),".",""),",","")=""),2,1))),1)</f>
        <v/>
      </c>
      <c r="BV88">
        <f>IFERROR(IF(ISNUMBER(INDEX(PASTE_ALL,39,50)),2,IF(TRIM(INDEX(PASTE_ALL,39,50))="",0,IF(AND(LEFT(MID(TRIM(INDEX(PASTE_ALL,39,50)),1+(LEFT(TRIM(INDEX(PASTE_ALL,39,50)),1)="-"),999),LEN(MID(TRIM(INDEX(PASTE_ALL,39,50)),1+(LEFT(TRIM(INDEX(PASTE_ALL,39,50)),1)="-"),999))-(RIGHT(MID(TRIM(INDEX(PASTE_ALL,39,50)),1+(LEFT(TRIM(INDEX(PASTE_ALL,39,50)),1)="-"),999),1)="%"))&lt;&gt;"",SUBSTITUTE(SUBSTITUTE(SUBSTITUTE(SUBSTITUTE(SUBSTITUTE(SUBSTITUTE(SUBSTITUTE(SUBSTITUTE(SUBSTITUTE(SUBSTITUTE(SUBSTITUTE(SUBSTITUTE(LEFT(MID(TRIM(INDEX(PASTE_ALL,39,50)),1+(LEFT(TRIM(INDEX(PASTE_ALL,39,50)),1)="-"),999),LEN(MID(TRIM(INDEX(PASTE_ALL,39,50)),1+(LEFT(TRIM(INDEX(PASTE_ALL,39,50)),1)="-"),999))-(RIGHT(MID(TRIM(INDEX(PASTE_ALL,39,50)),1+(LEFT(TRIM(INDEX(PASTE_ALL,39,50)),1)="-"),999),1)="%")),"0",""),"1",""),"2",""),"3",""),"4",""),"5",""),"6",""),"7",""),"8",""),"9",""),".",""),",","")=""),2,1))),1)</f>
        <v/>
      </c>
      <c r="BW88">
        <f>IFERROR(IF(ISNUMBER(INDEX(PASTE_ALL,39,51)),2,IF(TRIM(INDEX(PASTE_ALL,39,51))="",0,IF(AND(LEFT(MID(TRIM(INDEX(PASTE_ALL,39,51)),1+(LEFT(TRIM(INDEX(PASTE_ALL,39,51)),1)="-"),999),LEN(MID(TRIM(INDEX(PASTE_ALL,39,51)),1+(LEFT(TRIM(INDEX(PASTE_ALL,39,51)),1)="-"),999))-(RIGHT(MID(TRIM(INDEX(PASTE_ALL,39,51)),1+(LEFT(TRIM(INDEX(PASTE_ALL,39,51)),1)="-"),999),1)="%"))&lt;&gt;"",SUBSTITUTE(SUBSTITUTE(SUBSTITUTE(SUBSTITUTE(SUBSTITUTE(SUBSTITUTE(SUBSTITUTE(SUBSTITUTE(SUBSTITUTE(SUBSTITUTE(SUBSTITUTE(SUBSTITUTE(LEFT(MID(TRIM(INDEX(PASTE_ALL,39,51)),1+(LEFT(TRIM(INDEX(PASTE_ALL,39,51)),1)="-"),999),LEN(MID(TRIM(INDEX(PASTE_ALL,39,51)),1+(LEFT(TRIM(INDEX(PASTE_ALL,39,51)),1)="-"),999))-(RIGHT(MID(TRIM(INDEX(PASTE_ALL,39,51)),1+(LEFT(TRIM(INDEX(PASTE_ALL,39,51)),1)="-"),999),1)="%")),"0",""),"1",""),"2",""),"3",""),"4",""),"5",""),"6",""),"7",""),"8",""),"9",""),".",""),",","")=""),2,1))),1)</f>
        <v/>
      </c>
      <c r="BX88">
        <f>IFERROR(IF(ISNUMBER(INDEX(PASTE_ALL,39,52)),2,IF(TRIM(INDEX(PASTE_ALL,39,52))="",0,IF(AND(LEFT(MID(TRIM(INDEX(PASTE_ALL,39,52)),1+(LEFT(TRIM(INDEX(PASTE_ALL,39,52)),1)="-"),999),LEN(MID(TRIM(INDEX(PASTE_ALL,39,52)),1+(LEFT(TRIM(INDEX(PASTE_ALL,39,52)),1)="-"),999))-(RIGHT(MID(TRIM(INDEX(PASTE_ALL,39,52)),1+(LEFT(TRIM(INDEX(PASTE_ALL,39,52)),1)="-"),999),1)="%"))&lt;&gt;"",SUBSTITUTE(SUBSTITUTE(SUBSTITUTE(SUBSTITUTE(SUBSTITUTE(SUBSTITUTE(SUBSTITUTE(SUBSTITUTE(SUBSTITUTE(SUBSTITUTE(SUBSTITUTE(SUBSTITUTE(LEFT(MID(TRIM(INDEX(PASTE_ALL,39,52)),1+(LEFT(TRIM(INDEX(PASTE_ALL,39,52)),1)="-"),999),LEN(MID(TRIM(INDEX(PASTE_ALL,39,52)),1+(LEFT(TRIM(INDEX(PASTE_ALL,39,52)),1)="-"),999))-(RIGHT(MID(TRIM(INDEX(PASTE_ALL,39,52)),1+(LEFT(TRIM(INDEX(PASTE_ALL,39,52)),1)="-"),999),1)="%")),"0",""),"1",""),"2",""),"3",""),"4",""),"5",""),"6",""),"7",""),"8",""),"9",""),".",""),",","")=""),2,1))),1)</f>
        <v/>
      </c>
      <c r="BY88">
        <f>IFERROR(IF(ISNUMBER(INDEX(PASTE_ALL,39,53)),2,IF(TRIM(INDEX(PASTE_ALL,39,53))="",0,IF(AND(LEFT(MID(TRIM(INDEX(PASTE_ALL,39,53)),1+(LEFT(TRIM(INDEX(PASTE_ALL,39,53)),1)="-"),999),LEN(MID(TRIM(INDEX(PASTE_ALL,39,53)),1+(LEFT(TRIM(INDEX(PASTE_ALL,39,53)),1)="-"),999))-(RIGHT(MID(TRIM(INDEX(PASTE_ALL,39,53)),1+(LEFT(TRIM(INDEX(PASTE_ALL,39,53)),1)="-"),999),1)="%"))&lt;&gt;"",SUBSTITUTE(SUBSTITUTE(SUBSTITUTE(SUBSTITUTE(SUBSTITUTE(SUBSTITUTE(SUBSTITUTE(SUBSTITUTE(SUBSTITUTE(SUBSTITUTE(SUBSTITUTE(SUBSTITUTE(LEFT(MID(TRIM(INDEX(PASTE_ALL,39,53)),1+(LEFT(TRIM(INDEX(PASTE_ALL,39,53)),1)="-"),999),LEN(MID(TRIM(INDEX(PASTE_ALL,39,53)),1+(LEFT(TRIM(INDEX(PASTE_ALL,39,53)),1)="-"),999))-(RIGHT(MID(TRIM(INDEX(PASTE_ALL,39,53)),1+(LEFT(TRIM(INDEX(PASTE_ALL,39,53)),1)="-"),999),1)="%")),"0",""),"1",""),"2",""),"3",""),"4",""),"5",""),"6",""),"7",""),"8",""),"9",""),".",""),",","")=""),2,1))),1)</f>
        <v/>
      </c>
      <c r="BZ88">
        <f>IFERROR(IF(ISNUMBER(INDEX(PASTE_ALL,39,54)),2,IF(TRIM(INDEX(PASTE_ALL,39,54))="",0,IF(AND(LEFT(MID(TRIM(INDEX(PASTE_ALL,39,54)),1+(LEFT(TRIM(INDEX(PASTE_ALL,39,54)),1)="-"),999),LEN(MID(TRIM(INDEX(PASTE_ALL,39,54)),1+(LEFT(TRIM(INDEX(PASTE_ALL,39,54)),1)="-"),999))-(RIGHT(MID(TRIM(INDEX(PASTE_ALL,39,54)),1+(LEFT(TRIM(INDEX(PASTE_ALL,39,54)),1)="-"),999),1)="%"))&lt;&gt;"",SUBSTITUTE(SUBSTITUTE(SUBSTITUTE(SUBSTITUTE(SUBSTITUTE(SUBSTITUTE(SUBSTITUTE(SUBSTITUTE(SUBSTITUTE(SUBSTITUTE(SUBSTITUTE(SUBSTITUTE(LEFT(MID(TRIM(INDEX(PASTE_ALL,39,54)),1+(LEFT(TRIM(INDEX(PASTE_ALL,39,54)),1)="-"),999),LEN(MID(TRIM(INDEX(PASTE_ALL,39,54)),1+(LEFT(TRIM(INDEX(PASTE_ALL,39,54)),1)="-"),999))-(RIGHT(MID(TRIM(INDEX(PASTE_ALL,39,54)),1+(LEFT(TRIM(INDEX(PASTE_ALL,39,54)),1)="-"),999),1)="%")),"0",""),"1",""),"2",""),"3",""),"4",""),"5",""),"6",""),"7",""),"8",""),"9",""),".",""),",","")=""),2,1))),1)</f>
        <v/>
      </c>
      <c r="CA88">
        <f>IFERROR(IF(ISNUMBER(INDEX(PASTE_ALL,39,55)),2,IF(TRIM(INDEX(PASTE_ALL,39,55))="",0,IF(AND(LEFT(MID(TRIM(INDEX(PASTE_ALL,39,55)),1+(LEFT(TRIM(INDEX(PASTE_ALL,39,55)),1)="-"),999),LEN(MID(TRIM(INDEX(PASTE_ALL,39,55)),1+(LEFT(TRIM(INDEX(PASTE_ALL,39,55)),1)="-"),999))-(RIGHT(MID(TRIM(INDEX(PASTE_ALL,39,55)),1+(LEFT(TRIM(INDEX(PASTE_ALL,39,55)),1)="-"),999),1)="%"))&lt;&gt;"",SUBSTITUTE(SUBSTITUTE(SUBSTITUTE(SUBSTITUTE(SUBSTITUTE(SUBSTITUTE(SUBSTITUTE(SUBSTITUTE(SUBSTITUTE(SUBSTITUTE(SUBSTITUTE(SUBSTITUTE(LEFT(MID(TRIM(INDEX(PASTE_ALL,39,55)),1+(LEFT(TRIM(INDEX(PASTE_ALL,39,55)),1)="-"),999),LEN(MID(TRIM(INDEX(PASTE_ALL,39,55)),1+(LEFT(TRIM(INDEX(PASTE_ALL,39,55)),1)="-"),999))-(RIGHT(MID(TRIM(INDEX(PASTE_ALL,39,55)),1+(LEFT(TRIM(INDEX(PASTE_ALL,39,55)),1)="-"),999),1)="%")),"0",""),"1",""),"2",""),"3",""),"4",""),"5",""),"6",""),"7",""),"8",""),"9",""),".",""),",","")=""),2,1))),1)</f>
        <v/>
      </c>
      <c r="CB88">
        <f>IFERROR(IF(ISNUMBER(INDEX(PASTE_ALL,39,56)),2,IF(TRIM(INDEX(PASTE_ALL,39,56))="",0,IF(AND(LEFT(MID(TRIM(INDEX(PASTE_ALL,39,56)),1+(LEFT(TRIM(INDEX(PASTE_ALL,39,56)),1)="-"),999),LEN(MID(TRIM(INDEX(PASTE_ALL,39,56)),1+(LEFT(TRIM(INDEX(PASTE_ALL,39,56)),1)="-"),999))-(RIGHT(MID(TRIM(INDEX(PASTE_ALL,39,56)),1+(LEFT(TRIM(INDEX(PASTE_ALL,39,56)),1)="-"),999),1)="%"))&lt;&gt;"",SUBSTITUTE(SUBSTITUTE(SUBSTITUTE(SUBSTITUTE(SUBSTITUTE(SUBSTITUTE(SUBSTITUTE(SUBSTITUTE(SUBSTITUTE(SUBSTITUTE(SUBSTITUTE(SUBSTITUTE(LEFT(MID(TRIM(INDEX(PASTE_ALL,39,56)),1+(LEFT(TRIM(INDEX(PASTE_ALL,39,56)),1)="-"),999),LEN(MID(TRIM(INDEX(PASTE_ALL,39,56)),1+(LEFT(TRIM(INDEX(PASTE_ALL,39,56)),1)="-"),999))-(RIGHT(MID(TRIM(INDEX(PASTE_ALL,39,56)),1+(LEFT(TRIM(INDEX(PASTE_ALL,39,56)),1)="-"),999),1)="%")),"0",""),"1",""),"2",""),"3",""),"4",""),"5",""),"6",""),"7",""),"8",""),"9",""),".",""),",","")=""),2,1))),1)</f>
        <v/>
      </c>
      <c r="CC88">
        <f>IFERROR(IF(ISNUMBER(INDEX(PASTE_ALL,39,57)),2,IF(TRIM(INDEX(PASTE_ALL,39,57))="",0,IF(AND(LEFT(MID(TRIM(INDEX(PASTE_ALL,39,57)),1+(LEFT(TRIM(INDEX(PASTE_ALL,39,57)),1)="-"),999),LEN(MID(TRIM(INDEX(PASTE_ALL,39,57)),1+(LEFT(TRIM(INDEX(PASTE_ALL,39,57)),1)="-"),999))-(RIGHT(MID(TRIM(INDEX(PASTE_ALL,39,57)),1+(LEFT(TRIM(INDEX(PASTE_ALL,39,57)),1)="-"),999),1)="%"))&lt;&gt;"",SUBSTITUTE(SUBSTITUTE(SUBSTITUTE(SUBSTITUTE(SUBSTITUTE(SUBSTITUTE(SUBSTITUTE(SUBSTITUTE(SUBSTITUTE(SUBSTITUTE(SUBSTITUTE(SUBSTITUTE(LEFT(MID(TRIM(INDEX(PASTE_ALL,39,57)),1+(LEFT(TRIM(INDEX(PASTE_ALL,39,57)),1)="-"),999),LEN(MID(TRIM(INDEX(PASTE_ALL,39,57)),1+(LEFT(TRIM(INDEX(PASTE_ALL,39,57)),1)="-"),999))-(RIGHT(MID(TRIM(INDEX(PASTE_ALL,39,57)),1+(LEFT(TRIM(INDEX(PASTE_ALL,39,57)),1)="-"),999),1)="%")),"0",""),"1",""),"2",""),"3",""),"4",""),"5",""),"6",""),"7",""),"8",""),"9",""),".",""),",","")=""),2,1))),1)</f>
        <v/>
      </c>
      <c r="CD88">
        <f>IFERROR(IF(ISNUMBER(INDEX(PASTE_ALL,39,58)),2,IF(TRIM(INDEX(PASTE_ALL,39,58))="",0,IF(AND(LEFT(MID(TRIM(INDEX(PASTE_ALL,39,58)),1+(LEFT(TRIM(INDEX(PASTE_ALL,39,58)),1)="-"),999),LEN(MID(TRIM(INDEX(PASTE_ALL,39,58)),1+(LEFT(TRIM(INDEX(PASTE_ALL,39,58)),1)="-"),999))-(RIGHT(MID(TRIM(INDEX(PASTE_ALL,39,58)),1+(LEFT(TRIM(INDEX(PASTE_ALL,39,58)),1)="-"),999),1)="%"))&lt;&gt;"",SUBSTITUTE(SUBSTITUTE(SUBSTITUTE(SUBSTITUTE(SUBSTITUTE(SUBSTITUTE(SUBSTITUTE(SUBSTITUTE(SUBSTITUTE(SUBSTITUTE(SUBSTITUTE(SUBSTITUTE(LEFT(MID(TRIM(INDEX(PASTE_ALL,39,58)),1+(LEFT(TRIM(INDEX(PASTE_ALL,39,58)),1)="-"),999),LEN(MID(TRIM(INDEX(PASTE_ALL,39,58)),1+(LEFT(TRIM(INDEX(PASTE_ALL,39,58)),1)="-"),999))-(RIGHT(MID(TRIM(INDEX(PASTE_ALL,39,58)),1+(LEFT(TRIM(INDEX(PASTE_ALL,39,58)),1)="-"),999),1)="%")),"0",""),"1",""),"2",""),"3",""),"4",""),"5",""),"6",""),"7",""),"8",""),"9",""),".",""),",","")=""),2,1))),1)</f>
        <v/>
      </c>
      <c r="CE88">
        <f>IFERROR(IF(ISNUMBER(INDEX(PASTE_ALL,39,59)),2,IF(TRIM(INDEX(PASTE_ALL,39,59))="",0,IF(AND(LEFT(MID(TRIM(INDEX(PASTE_ALL,39,59)),1+(LEFT(TRIM(INDEX(PASTE_ALL,39,59)),1)="-"),999),LEN(MID(TRIM(INDEX(PASTE_ALL,39,59)),1+(LEFT(TRIM(INDEX(PASTE_ALL,39,59)),1)="-"),999))-(RIGHT(MID(TRIM(INDEX(PASTE_ALL,39,59)),1+(LEFT(TRIM(INDEX(PASTE_ALL,39,59)),1)="-"),999),1)="%"))&lt;&gt;"",SUBSTITUTE(SUBSTITUTE(SUBSTITUTE(SUBSTITUTE(SUBSTITUTE(SUBSTITUTE(SUBSTITUTE(SUBSTITUTE(SUBSTITUTE(SUBSTITUTE(SUBSTITUTE(SUBSTITUTE(LEFT(MID(TRIM(INDEX(PASTE_ALL,39,59)),1+(LEFT(TRIM(INDEX(PASTE_ALL,39,59)),1)="-"),999),LEN(MID(TRIM(INDEX(PASTE_ALL,39,59)),1+(LEFT(TRIM(INDEX(PASTE_ALL,39,59)),1)="-"),999))-(RIGHT(MID(TRIM(INDEX(PASTE_ALL,39,59)),1+(LEFT(TRIM(INDEX(PASTE_ALL,39,59)),1)="-"),999),1)="%")),"0",""),"1",""),"2",""),"3",""),"4",""),"5",""),"6",""),"7",""),"8",""),"9",""),".",""),",","")=""),2,1))),1)</f>
        <v/>
      </c>
      <c r="CF88">
        <f>IFERROR(IF(ISNUMBER(INDEX(PASTE_ALL,39,60)),2,IF(TRIM(INDEX(PASTE_ALL,39,60))="",0,IF(AND(LEFT(MID(TRIM(INDEX(PASTE_ALL,39,60)),1+(LEFT(TRIM(INDEX(PASTE_ALL,39,60)),1)="-"),999),LEN(MID(TRIM(INDEX(PASTE_ALL,39,60)),1+(LEFT(TRIM(INDEX(PASTE_ALL,39,60)),1)="-"),999))-(RIGHT(MID(TRIM(INDEX(PASTE_ALL,39,60)),1+(LEFT(TRIM(INDEX(PASTE_ALL,39,60)),1)="-"),999),1)="%"))&lt;&gt;"",SUBSTITUTE(SUBSTITUTE(SUBSTITUTE(SUBSTITUTE(SUBSTITUTE(SUBSTITUTE(SUBSTITUTE(SUBSTITUTE(SUBSTITUTE(SUBSTITUTE(SUBSTITUTE(SUBSTITUTE(LEFT(MID(TRIM(INDEX(PASTE_ALL,39,60)),1+(LEFT(TRIM(INDEX(PASTE_ALL,39,60)),1)="-"),999),LEN(MID(TRIM(INDEX(PASTE_ALL,39,60)),1+(LEFT(TRIM(INDEX(PASTE_ALL,39,60)),1)="-"),999))-(RIGHT(MID(TRIM(INDEX(PASTE_ALL,39,60)),1+(LEFT(TRIM(INDEX(PASTE_ALL,39,60)),1)="-"),999),1)="%")),"0",""),"1",""),"2",""),"3",""),"4",""),"5",""),"6",""),"7",""),"8",""),"9",""),".",""),",","")=""),2,1))),1)</f>
        <v/>
      </c>
      <c r="DA88" t="n">
        <v>84</v>
      </c>
      <c r="DB88">
        <f>IF($B$37=0,"",IFERROR(TRIM(SUBSTITUTE(SUBSTITUTE(SUBSTITUTE(SUBSTITUTE(INDEX(PASTE_ALL,84,$B$37)," "," "),CHAR(9)," "),CHAR(10)," "),CHAR(13)," ")),""))</f>
        <v/>
      </c>
      <c r="DC88">
        <f>IF(AND(84&gt;HEADER_ROW,UPPER(DB88)="LEGEND"),1,0)</f>
        <v/>
      </c>
      <c r="DE88" t="n">
        <v>84</v>
      </c>
      <c r="DF88">
        <f>HEADER_ROW+$DE88</f>
        <v/>
      </c>
      <c r="DG88">
        <f>IF(AND($DF88&lt;=1000,$DF88&lt;$B$8),1,0)</f>
        <v/>
      </c>
      <c r="DH88">
        <f>IF($DG88=1,IFERROR(INDEX($DB$5:$DB$1004,$DF88),""),"")</f>
        <v/>
      </c>
      <c r="DI88">
        <f>IF(AND($DG88=1,$DH88&lt;&gt;""),IFERROR(SUBSTITUTE(SUBSTITUTE(TRIM(SUBSTITUTE(SUBSTITUTE(SUBSTITUTE(SUBSTITUTE(IFERROR(INDEX(PASTE_ALL,$DF88,1)&amp;"","")&amp;"␟"&amp;IFERROR(INDEX(PASTE_ALL,$DF88,2)&amp;"","")&amp;"␟"&amp;IFERROR(INDEX(PASTE_ALL,$DF88,3)&amp;"","")&amp;"␟"&amp;IFERROR(INDEX(PASTE_ALL,$DF88,4)&amp;"","")&amp;"␟"&amp;IFERROR(INDEX(PASTE_ALL,$DF88,5)&amp;"","")&amp;"␟"&amp;IFERROR(INDEX(PASTE_ALL,$DF88,6)&amp;"","")&amp;"␟"&amp;IFERROR(INDEX(PASTE_ALL,$DF88,7)&amp;"","")&amp;"␟"&amp;IFERROR(INDEX(PASTE_ALL,$DF88,8)&amp;"","")&amp;"␟"&amp;IFERROR(INDEX(PASTE_ALL,$DF88,9)&amp;"","")&amp;"␟"&amp;IFERROR(INDEX(PASTE_ALL,$DF88,10)&amp;"","")&amp;"␟"&amp;IFERROR(INDEX(PASTE_ALL,$DF88,11)&amp;"","")&amp;"␟"&amp;IFERROR(INDEX(PASTE_ALL,$DF88,12)&amp;"","")&amp;"␟"&amp;IFERROR(INDEX(PASTE_ALL,$DF88,13)&amp;"","")&amp;"␟"&amp;IFERROR(INDEX(PASTE_ALL,$DF88,14)&amp;"","")&amp;"␟"&amp;IFERROR(INDEX(PASTE_ALL,$DF88,15)&amp;"","")&amp;"␟"&amp;IFERROR(INDEX(PASTE_ALL,$DF88,16)&amp;"","")&amp;"␟"&amp;IFERROR(INDEX(PASTE_ALL,$DF88,17)&amp;"","")&amp;"␟"&amp;IFERROR(INDEX(PASTE_ALL,$DF88,18)&amp;"","")&amp;"␟"&amp;IFERROR(INDEX(PASTE_ALL,$DF88,19)&amp;"","")&amp;"␟"&amp;IFERROR(INDEX(PASTE_ALL,$DF88,20)&amp;"","")&amp;"␟"&amp;IFERROR(INDEX(PASTE_ALL,$DF88,21)&amp;"","")&amp;"␟"&amp;IFERROR(INDEX(PASTE_ALL,$DF88,22)&amp;"","")&amp;"␟"&amp;IFERROR(INDEX(PASTE_ALL,$DF88,23)&amp;"","")&amp;"␟"&amp;IFERROR(INDEX(PASTE_ALL,$DF88,24)&amp;"","")&amp;"␟"&amp;IFERROR(INDEX(PASTE_ALL,$DF88,25)&amp;"","")&amp;"␟"&amp;IFERROR(INDEX(PASTE_ALL,$DF88,26)&amp;"","")&amp;"␟"&amp;IFERROR(INDEX(PASTE_ALL,$DF88,27)&amp;"","")&amp;"␟"&amp;IFERROR(INDEX(PASTE_ALL,$DF88,28)&amp;"","")&amp;"␟"&amp;IFERROR(INDEX(PASTE_ALL,$DF88,29)&amp;"","")&amp;"␟"&amp;IFERROR(INDEX(PASTE_ALL,$DF88,30)&amp;"","")&amp;"␟"&amp;IFERROR(INDEX(PASTE_ALL,$DF88,31)&amp;"","")&amp;"␟"&amp;IFERROR(INDEX(PASTE_ALL,$DF88,32)&amp;"","")&amp;"␟"&amp;IFERROR(INDEX(PASTE_ALL,$DF88,33)&amp;"","")&amp;"␟"&amp;IFERROR(INDEX(PASTE_ALL,$DF88,34)&amp;"","")&amp;"␟"&amp;IFERROR(INDEX(PASTE_ALL,$DF88,35)&amp;"","")&amp;"␟"&amp;IFERROR(INDEX(PASTE_ALL,$DF88,36)&amp;"","")&amp;"␟"&amp;IFERROR(INDEX(PASTE_ALL,$DF88,37)&amp;"","")&amp;"␟"&amp;IFERROR(INDEX(PASTE_ALL,$DF88,38)&amp;"","")&amp;"␟"&amp;IFERROR(INDEX(PASTE_ALL,$DF88,39)&amp;"","")&amp;"␟"&amp;IFERROR(INDEX(PASTE_ALL,$DF88,40)&amp;"","")&amp;"␟"&amp;IFERROR(INDEX(PASTE_ALL,$DF88,41)&amp;"","")&amp;"␟"&amp;IFERROR(INDEX(PASTE_ALL,$DF88,42)&amp;"","")&amp;"␟"&amp;IFERROR(INDEX(PASTE_ALL,$DF88,43)&amp;"","")&amp;"␟"&amp;IFERROR(INDEX(PASTE_ALL,$DF88,44)&amp;"","")&amp;"␟"&amp;IFERROR(INDEX(PASTE_ALL,$DF88,45)&amp;"","")&amp;"␟"&amp;IFERROR(INDEX(PASTE_ALL,$DF88,46)&amp;"","")&amp;"␟"&amp;IFERROR(INDEX(PASTE_ALL,$DF88,47)&amp;"","")&amp;"␟"&amp;IFERROR(INDEX(PASTE_ALL,$DF88,48)&amp;"","")&amp;"␟"&amp;IFERROR(INDEX(PASTE_ALL,$DF88,49)&amp;"","")&amp;"␟"&amp;IFERROR(INDEX(PASTE_ALL,$DF88,50)&amp;"","")&amp;"␟"&amp;IFERROR(INDEX(PASTE_ALL,$DF88,51)&amp;"","")&amp;"␟"&amp;IFERROR(INDEX(PASTE_ALL,$DF88,52)&amp;"","")&amp;"␟"&amp;IFERROR(INDEX(PASTE_ALL,$DF88,53)&amp;"","")&amp;"␟"&amp;IFERROR(INDEX(PASTE_ALL,$DF88,54)&amp;"","")&amp;"␟"&amp;IFERROR(INDEX(PASTE_ALL,$DF88,55)&amp;"","")&amp;"␟"&amp;IFERROR(INDEX(PASTE_ALL,$DF88,56)&amp;"","")&amp;"␟"&amp;IFERROR(INDEX(PASTE_ALL,$DF88,57)&amp;"","")&amp;"␟"&amp;IFERROR(INDEX(PASTE_ALL,$DF88,58)&amp;"","")&amp;"␟"&amp;IFERROR(INDEX(PASTE_ALL,$DF88,59)&amp;"","")&amp;"␟"&amp;IFERROR(INDEX(PASTE_ALL,$DF88,60)&amp;"","")," "," "),CHAR(9)," "),CHAR(10)," "),CHAR(13)," "))," ␟","␟"),"␟ ","␟"),"#"&amp;$DE88),"")</f>
        <v/>
      </c>
      <c r="DJ88">
        <f>IF($DI88="",0,IF(SUMPRODUCT(--EXACT($DI$4:DI87,$DI88))&gt;0,1,0))</f>
        <v/>
      </c>
      <c r="DK88">
        <f>IF(AND($DI88&lt;&gt;"",$DJ88=0),1,0)</f>
        <v/>
      </c>
      <c r="DL88">
        <f>DL87+$DK88</f>
        <v/>
      </c>
      <c r="DM88">
        <f>IF(AND($DK88=1,$DL88&lt;=600),1,0)</f>
        <v/>
      </c>
      <c r="DN88">
        <f>IF($DM88=0,"",IF($L$6=0,"",IFERROR(IF(ISNUMBER(INDEX(PASTE_ALL,$DF88,$L$6)),INDEX(PASTE_ALL,$DF88,$L$6),TRIM(SUBSTITUTE(SUBSTITUTE(SUBSTITUTE(SUBSTITUTE(INDEX(PASTE_ALL,$DF88,$L$6)," "," "),CHAR(9)," "),CHAR(10)," "),CHAR(13)," "))),"")))</f>
        <v/>
      </c>
      <c r="DO88">
        <f>IF($DM88=0,"",IF($L$7=0,"",IFERROR(IF(ISNUMBER(INDEX(PASTE_ALL,$DF88,$L$7)),INDEX(PASTE_ALL,$DF88,$L$7),TRIM(SUBSTITUTE(SUBSTITUTE(SUBSTITUTE(SUBSTITUTE(INDEX(PASTE_ALL,$DF88,$L$7)," "," "),CHAR(9)," "),CHAR(10)," "),CHAR(13)," "))),"")))</f>
        <v/>
      </c>
      <c r="DP88">
        <f>IF($DM88=0,"",IF($L$8=0,"",IFERROR(IF(ISNUMBER(INDEX(PASTE_ALL,$DF88,$L$8)),INDEX(PASTE_ALL,$DF88,$L$8),TRIM(SUBSTITUTE(SUBSTITUTE(SUBSTITUTE(SUBSTITUTE(INDEX(PASTE_ALL,$DF88,$L$8)," "," "),CHAR(9)," "),CHAR(10)," "),CHAR(13)," "))),"")))</f>
        <v/>
      </c>
      <c r="DQ88">
        <f>IF($DM88=0,"",IF($L$9=0,"",IFERROR(IF(ISNUMBER(INDEX(PASTE_ALL,$DF88,$L$9)),INDEX(PASTE_ALL,$DF88,$L$9),TRIM(SUBSTITUTE(SUBSTITUTE(SUBSTITUTE(SUBSTITUTE(INDEX(PASTE_ALL,$DF88,$L$9)," "," "),CHAR(9)," "),CHAR(10)," "),CHAR(13)," "))),"")))</f>
        <v/>
      </c>
      <c r="DR88">
        <f>IF($DM88=0,"",IF($L$10=0,"",IFERROR(IF(ISNUMBER(INDEX(PASTE_ALL,$DF88,$L$10)),INDEX(PASTE_ALL,$DF88,$L$10),TRIM(SUBSTITUTE(SUBSTITUTE(SUBSTITUTE(SUBSTITUTE(INDEX(PASTE_ALL,$DF88,$L$10)," "," "),CHAR(9)," "),CHAR(10)," "),CHAR(13)," "))),"")))</f>
        <v/>
      </c>
      <c r="DS88">
        <f>IF($DM88=0,"",IF($L$11=0,"",IFERROR(IF(ISNUMBER(INDEX(PASTE_ALL,$DF88,$L$11)),INDEX(PASTE_ALL,$DF88,$L$11),TRIM(SUBSTITUTE(SUBSTITUTE(SUBSTITUTE(SUBSTITUTE(INDEX(PASTE_ALL,$DF88,$L$11)," "," "),CHAR(9)," "),CHAR(10)," "),CHAR(13)," "))),"")))</f>
        <v/>
      </c>
      <c r="DT88">
        <f>IF($DM88=0,"",IF($L$12=0,"",IFERROR(IF(ISNUMBER(INDEX(PASTE_ALL,$DF88,$L$12)),INDEX(PASTE_ALL,$DF88,$L$12),TRIM(SUBSTITUTE(SUBSTITUTE(SUBSTITUTE(SUBSTITUTE(INDEX(PASTE_ALL,$DF88,$L$12)," "," "),CHAR(9)," "),CHAR(10)," "),CHAR(13)," "))),"")))</f>
        <v/>
      </c>
      <c r="DU88">
        <f>IF($DM88=0,"",IF($L$13=0,"",IFERROR(IF(ISNUMBER(INDEX(PASTE_ALL,$DF88,$L$13)),INDEX(PASTE_ALL,$DF88,$L$13),TRIM(SUBSTITUTE(SUBSTITUTE(SUBSTITUTE(SUBSTITUTE(INDEX(PASTE_ALL,$DF88,$L$13)," "," "),CHAR(9)," "),CHAR(10)," "),CHAR(13)," "))),"")))</f>
        <v/>
      </c>
      <c r="DV88">
        <f>IF($DM88=0,"",IF($L$14=0,"",IFERROR(IF(ISNUMBER(INDEX(PASTE_ALL,$DF88,$L$14)),INDEX(PASTE_ALL,$DF88,$L$14),TRIM(SUBSTITUTE(SUBSTITUTE(SUBSTITUTE(SUBSTITUTE(INDEX(PASTE_ALL,$DF88,$L$14)," "," "),CHAR(9)," "),CHAR(10)," "),CHAR(13)," "))),"")))</f>
        <v/>
      </c>
      <c r="DW88">
        <f>IF($DM88=0,"",IF($L$15=0,"",IFERROR(IF(ISNUMBER(INDEX(PASTE_ALL,$DF88,$L$15)),INDEX(PASTE_ALL,$DF88,$L$15),IF(SUMPRODUCT(--ISNUMBER(FIND({"A","B","C","D","E","F","G","H","I","J","K","L","M","N","O","P","Q","R","S","T","U","V","W","X","Y","Z","0","1","2","3","4","5","6","7","8","9"},UPPER(TRIM(SUBSTITUTE(SUBSTITUTE(SUBSTITUTE(SUBSTITUTE(INDEX(PASTE_ALL,$DF88,$L$15)," "," "),CHAR(9)," "),CHAR(10)," "),CHAR(13)," "))))))&gt;0,TRIM(SUBSTITUTE(SUBSTITUTE(SUBSTITUTE(SUBSTITUTE(INDEX(PASTE_ALL,$DF88,$L$15)," "," "),CHAR(9)," "),CHAR(10)," "),CHAR(13)," ")),"")),"")))</f>
        <v/>
      </c>
      <c r="DX88">
        <f>IF($DM88=0,"",IF($L$16=0,"",IFERROR(IF(ISNUMBER(INDEX(PASTE_ALL,$DF88,$L$16)),INDEX(PASTE_ALL,$DF88,$L$16),SUBSTITUTE(SUBSTITUTE(TRIM(SUBSTITUTE(SUBSTITUTE(SUBSTITUTE(SUBSTITUTE(INDEX(PASTE_ALL,$DF88,$L$16)," "," "),CHAR(9)," "),CHAR(10)," "),CHAR(13)," ")),",",""),"%","")),"")))</f>
        <v/>
      </c>
      <c r="DY88">
        <f>IF($DM88=0,"",IFERROR(IF(ISNUMBER($DX88),$DX88,IF($DX88="","",IF(TRIM($DX88)="",0,IF(AND(AND(SUBSTITUTE(SUBSTITUTE(SUBSTITUTE(SUBSTITUTE(SUBSTITUTE(SUBSTITUTE(SUBSTITUTE(SUBSTITUTE(SUBSTITUTE(SUBSTITUTE(SUBSTITUTE(SUBSTITUTE(SUBSTITUTE(SUBSTITUTE(UPPER(TRIM($DX88)),"0",""),"1",""),"2",""),"3",""),"4",""),"5",""),"6",""),"7",""),"8",""),"9",""),".",""),"+",""),"-",""),"E","")="",LEN(SUBSTITUTE(SUBSTITUTE(MID(UPPER(TRIM($DX88)),1+OR(LEFT(UPPER(TRIM($DX88)),1)="+",LEFT(UPPER(TRIM($DX88)),1)="-"),999),"E+","E"),"E-","E"))=LEN(SUBSTITUTE(SUBSTITUTE(SUBSTITUTE(SUBSTITUTE(MID(UPPER(TRIM($DX88)),1+OR(LEFT(UPPER(TRIM($DX88)),1)="+",LEFT(UPPER(TRIM($DX88)),1)="-"),999),"E+","E"),"E-","E"),"+",""),"-","")),LEN(UPPER(TRIM($DX88)))-LEN(SUBSTITUTE(UPPER(TRIM($DX88)),"E",""))&lt;2,LEN(UPPER(TRIM($DX88)))-LEN(SUBSTITUTE(UPPER(TRIM($DX88)),".",""))&lt;2,IFERROR(FIND(".",UPPER(TRIM($DX88))),0)&lt;IFERROR(FIND("E",UPPER(TRIM($DX88))),999)),ISNUMBER(VALUE(TRIM($DX88)))),VALUE(TRIM($DX88)),"")))),""))</f>
        <v/>
      </c>
      <c r="DZ88">
        <f>IF($DM88=0,"",IF($L$17=0,"",IFERROR(IF(ISNUMBER(INDEX(PASTE_ALL,$DF88,$L$17)),INDEX(PASTE_ALL,$DF88,$L$17),SUBSTITUTE(SUBSTITUTE(TRIM(SUBSTITUTE(SUBSTITUTE(SUBSTITUTE(SUBSTITUTE(INDEX(PASTE_ALL,$DF88,$L$17)," "," "),CHAR(9)," "),CHAR(10)," "),CHAR(13)," ")),",",""),"%","")),"")))</f>
        <v/>
      </c>
      <c r="EA88">
        <f>IF($DM88=0,"",IFERROR(IF(ISNUMBER($DZ88),$DZ88,IF($DZ88="","",IF(TRIM($DZ88)="",0,IF(AND(AND(SUBSTITUTE(SUBSTITUTE(SUBSTITUTE(SUBSTITUTE(SUBSTITUTE(SUBSTITUTE(SUBSTITUTE(SUBSTITUTE(SUBSTITUTE(SUBSTITUTE(SUBSTITUTE(SUBSTITUTE(SUBSTITUTE(SUBSTITUTE(UPPER(TRIM($DZ88)),"0",""),"1",""),"2",""),"3",""),"4",""),"5",""),"6",""),"7",""),"8",""),"9",""),".",""),"+",""),"-",""),"E","")="",LEN(SUBSTITUTE(SUBSTITUTE(MID(UPPER(TRIM($DZ88)),1+OR(LEFT(UPPER(TRIM($DZ88)),1)="+",LEFT(UPPER(TRIM($DZ88)),1)="-"),999),"E+","E"),"E-","E"))=LEN(SUBSTITUTE(SUBSTITUTE(SUBSTITUTE(SUBSTITUTE(MID(UPPER(TRIM($DZ88)),1+OR(LEFT(UPPER(TRIM($DZ88)),1)="+",LEFT(UPPER(TRIM($DZ88)),1)="-"),999),"E+","E"),"E-","E"),"+",""),"-","")),LEN(UPPER(TRIM($DZ88)))-LEN(SUBSTITUTE(UPPER(TRIM($DZ88)),"E",""))&lt;2,LEN(UPPER(TRIM($DZ88)))-LEN(SUBSTITUTE(UPPER(TRIM($DZ88)),".",""))&lt;2,IFERROR(FIND(".",UPPER(TRIM($DZ88))),0)&lt;IFERROR(FIND("E",UPPER(TRIM($DZ88))),999)),ISNUMBER(VALUE(TRIM($DZ88)))),VALUE(TRIM($DZ88)),"")))),""))</f>
        <v/>
      </c>
      <c r="EB88">
        <f>IF($DM88=0,"",IF($L$18=0,"",IFERROR(IF(UPPER(TRIM(SUBSTITUTE(SUBSTITUTE(SUBSTITUTE(SUBSTITUTE(INDEX(PASTE_ALL,$DF88,$L$18)," "," "),CHAR(9)," "),CHAR(10)," "),CHAR(13)," ")))="READY","Ready",IF(UPPER(TRIM(SUBSTITUTE(SUBSTITUTE(SUBSTITUTE(SUBSTITUTE(INDEX(PASTE_ALL,$DF88,$L$18)," "," "),CHAR(9)," "),CHAR(10)," "),CHAR(13)," ")))="PM","PM",IF(OR(UPPER(TRIM(SUBSTITUTE(SUBSTITUTE(SUBSTITUTE(SUBSTITUTE(INDEX(PASTE_ALL,$DF88,$L$18)," "," "),CHAR(9)," "),CHAR(10)," "),CHAR(13)," ")))="OT",UPPER(TRIM(SUBSTITUTE(SUBSTITUTE(SUBSTITUTE(SUBSTITUTE(INDEX(PASTE_ALL,$DF88,$L$18)," "," "),CHAR(9)," "),CHAR(10)," "),CHAR(13)," ")))="OVERTIME",UPPER(TRIM(SUBSTITUTE(SUBSTITUTE(SUBSTITUTE(SUBSTITUTE(INDEX(PASTE_ALL,$DF88,$L$18)," "," "),CHAR(9)," "),CHAR(10)," "),CHAR(13)," ")))="TRIAL"),"OT",TRIM(SUBSTITUTE(SUBSTITUTE(SUBSTITUTE(SUBSTITUTE(INDEX(PASTE_ALL,$DF88,$L$18)," "," "),CHAR(9)," "),CHAR(10)," "),CHAR(13)," "))))),"")))</f>
        <v/>
      </c>
      <c r="EC88">
        <f>IF($DM88=0,"",IF($L$19=0,"",IFERROR(IF(ISNUMBER(INDEX(PASTE_ALL,$DF88,$L$19)),INDEX(PASTE_ALL,$DF88,$L$19),TRIM(SUBSTITUTE(SUBSTITUTE(SUBSTITUTE(SUBSTITUTE(INDEX(PASTE_ALL,$DF88,$L$19)," "," "),CHAR(9)," "),CHAR(10)," "),CHAR(13)," "))),"")))</f>
        <v/>
      </c>
      <c r="ED88">
        <f>IF($DM88=0,"",MATCH(1,INDEX(EXACT($DH$5:DH88,$DH88)*$DM$5:DM88,0),0))</f>
        <v/>
      </c>
      <c r="EE88">
        <f>IF($DM88=0,0,IF($ED88=$DE88,1,0))</f>
        <v/>
      </c>
      <c r="EF88">
        <f>EF87+$EE88</f>
        <v/>
      </c>
      <c r="EG88">
        <f>IF($DM88=0,"",INDEX($EF$5:$EF$1003,$ED88))</f>
        <v/>
      </c>
      <c r="EH88">
        <f>IF($DM88=0,"",IF($DO88&lt;&gt;"","",IFERROR(LOOKUP(2,1/(($EG$4:EG87=$EG88)*($DO$4:DO87&lt;&gt;"")),$DO$4:DO87),"")))</f>
        <v/>
      </c>
      <c r="EI88">
        <f>IF($DM88=0,"",IF($DO88&lt;&gt;"",$DO88,$EH88))</f>
        <v/>
      </c>
      <c r="EJ88">
        <f>IF($DM88=0,"",IF($EI88="",0,IF(OR(ISNUMBER($EI88),AND(AND(SUBSTITUTE(SUBSTITUTE(SUBSTITUTE(SUBSTITUTE(SUBSTITUTE(SUBSTITUTE(SUBSTITUTE(SUBSTITUTE(SUBSTITUTE(SUBSTITUTE(SUBSTITUTE(SUBSTITUTE(SUBSTITUTE(SUBSTITUTE(UPPER($EI88),"0",""),"1",""),"2",""),"3",""),"4",""),"5",""),"6",""),"7",""),"8",""),"9",""),".",""),"+",""),"-",""),"E","")="",LEN(SUBSTITUTE(SUBSTITUTE(MID(UPPER($EI88),1+OR(LEFT(UPPER($EI88),1)="+",LEFT(UPPER($EI88),1)="-"),999),"E+","E"),"E-","E"))=LEN(SUBSTITUTE(SUBSTITUTE(SUBSTITUTE(SUBSTITUTE(MID(UPPER($EI88),1+OR(LEFT(UPPER($EI88),1)="+",LEFT(UPPER($EI88),1)="-"),999),"E+","E"),"E-","E"),"+",""),"-","")),LEN(UPPER($EI88))-LEN(SUBSTITUTE(UPPER($EI88),"E",""))&lt;2,LEN(UPPER($EI88))-LEN(SUBSTITUTE(UPPER($EI88),".",""))&lt;2,IFERROR(FIND(".",UPPER($EI88)),0)&lt;IFERROR(FIND("E",UPPER($EI88)),999)),ISNUMBER(VALUE($EI88)))),1,2)))</f>
        <v/>
      </c>
      <c r="EK88">
        <f>IF($DM88=0,"",IF($EJ88=1,IF(ISNUMBER($EI88),$EI88,VALUE($EI88)),IF($EJ88=2,$DE88,0)))</f>
        <v/>
      </c>
      <c r="EL88">
        <f>IF($DM88=0,"",COUNTIF($EG$5:$EG$1003,"&lt;"&amp;$EG88)+SUMPRODUCT(($EG$5:$EG$1003=$EG88)*(($EJ$5:$EJ$1003&lt;$EJ88)+($EJ$5:$EJ$1003=$EJ88)*(($EK$5:$EK$1003&lt;$EK88)+($EK$5:$EK$1003=$EK88)*($DE$5:$DE$1003&lt;$DE88))))+1)</f>
        <v/>
      </c>
      <c r="EM88">
        <f>IF($DM88=0,"",$EL88+$EG88-1)</f>
        <v/>
      </c>
      <c r="EN88">
        <f>IF($DM88=0,0,IFERROR(MATCH(1,INDEX(--(TRIM(SUBSTITUTE(SUBSTITUTE(SUBSTITUTE(SUBSTITUTE(LINES_NAME&amp;""," "," "),CHAR(9)," "),CHAR(10)," "),CHAR(13)," "))=$DH88),0),0),0))</f>
        <v/>
      </c>
      <c r="EO88">
        <f>IF($EN88=0,0,IF(OR(UPPER(TRIM(INDEX(LINES_SCHEDULED,$EN88)&amp;""))="YES",UPPER(TRIM(INDEX(LINES_SCHEDULED,$EN88)&amp;""))="Y",UPPER(TRIM(INDEX(LINES_SCHEDULED,$EN88)&amp;""))="X"),1,0))</f>
        <v/>
      </c>
      <c r="EP88">
        <f>IF($DM88=0,"",IF(COUNTIFS($EG$5:$EG$1003,$EG88,$EB$5:$EB$1003,"Ready")&gt;0,"READY",IF(COUNTIFS($EG$5:$EG$1003,$EG88,$EB$5:$EB$1003,"PM")&gt;0,"PM",IF(COUNTIFS($EG$5:$EG$1003,$EG88,$EB$5:$EB$1003,"OT")&gt;0,"OT",""))))</f>
        <v/>
      </c>
      <c r="EQ88">
        <f>IF($EN88=0,"",UPPER(TRIM(INDEX(LINES_STATUS,$EN88)&amp;"")))</f>
        <v/>
      </c>
      <c r="ER88">
        <f>IF($DM88=0,"",IF(OR($EQ88="READY",$EQ88="PM",$EQ88="OT"),$EQ88,$EP88))</f>
        <v/>
      </c>
      <c r="ES88">
        <f>IF($DM88=0,"",IF(AND($DV88&lt;&gt;"",UPPER($DV88)&lt;&gt;"N"),"allergen",IF(ISNUMBER(SEARCH("oil",$DQ88)),"oil",IF(OR(EXACT($DS88,"A662"),EXACT($DS88,"A624")),"bulk",""))))</f>
        <v/>
      </c>
      <c r="ET88">
        <f>IF($DM88=0,"",IF(OR($EA88="",$EA88=0),"",$EA88/100))</f>
        <v/>
      </c>
      <c r="EU88">
        <f>IF(OR($ET88="",$DY88=""),"",INT($DY88*(1-$ET88)+0.5))</f>
        <v/>
      </c>
      <c r="EW88" t="n">
        <v>84</v>
      </c>
      <c r="EX88">
        <f>IFERROR(MATCH($EW88,$EM$5:$EM$1003,0),0)</f>
        <v/>
      </c>
      <c r="EY88">
        <f>IF($EW88&gt;$B$12,"",IF($EX88&gt;0,"row","spacer"))</f>
        <v/>
      </c>
      <c r="EZ88">
        <f>IF(AND($EY88="row",$EY87&lt;&gt;"row"),1,0)</f>
        <v/>
      </c>
      <c r="FA88">
        <f>IF(AND($EY88="row",$EY89&lt;&gt;"row"),1,0)</f>
        <v/>
      </c>
      <c r="FB88">
        <f>IF($EZ88=1,IFERROR(IF(ISNUMBER(INDEX(PASTE_ALL,INDEX($DF$5:$DF$1003,$EX88),$B$37)),INDEX(PASTE_ALL,INDEX($DF$5:$DF$1003,$EX88),$B$37),INDEX($DH$5:$DH$1003,$EX88)),INDEX($DH$5:$DH$1003,$EX88)),"")</f>
        <v/>
      </c>
      <c r="FC88">
        <f>IF($EY88="row",INDEX($ER$5:$ER$1003,$EX88),"")</f>
        <v/>
      </c>
      <c r="FD88">
        <f>IF($EY88="row",INDEX($DN$5:$DN$1003,$EX88),"")</f>
        <v/>
      </c>
      <c r="FE88">
        <f>IF($EY88="row",INDEX($DO$5:$DO$1003,$EX88),"")</f>
        <v/>
      </c>
      <c r="FF88">
        <f>IF($EY88="row",INDEX($DP$5:$DP$1003,$EX88),"")</f>
        <v/>
      </c>
      <c r="FG88">
        <f>IF($EY88="row",INDEX($DQ$5:$DQ$1003,$EX88),"")</f>
        <v/>
      </c>
      <c r="FH88">
        <f>IF($EY88="row",INDEX($DR$5:$DR$1003,$EX88),"")</f>
        <v/>
      </c>
      <c r="FI88">
        <f>IF($EY88="row",INDEX($DS$5:$DS$1003,$EX88),"")</f>
        <v/>
      </c>
      <c r="FJ88">
        <f>IF($EY88="row",INDEX($DT$5:$DT$1003,$EX88),"")</f>
        <v/>
      </c>
      <c r="FK88">
        <f>IF($EY88="row",INDEX($DU$5:$DU$1003,$EX88),"")</f>
        <v/>
      </c>
      <c r="FL88">
        <f>IF($EY88="row",INDEX($DV$5:$DV$1003,$EX88),"")</f>
        <v/>
      </c>
      <c r="FM88">
        <f>IF($EY88="row",INDEX($DW$5:$DW$1003,$EX88),"")</f>
        <v/>
      </c>
      <c r="FN88">
        <f>IF($EY88="row",INDEX($DY$5:$DY$1003,$EX88),"")</f>
        <v/>
      </c>
      <c r="FO88">
        <f>IF($EY88="row",INDEX($EA$5:$EA$1003,$EX88),"")</f>
        <v/>
      </c>
      <c r="FP88">
        <f>IF($EY88="row",INDEX($EC$5:$EC$1003,$EX88),"")</f>
        <v/>
      </c>
      <c r="FQ88">
        <f>IF($EY88="row",INDEX($ET$5:$ET$1003,$EX88),"")</f>
        <v/>
      </c>
      <c r="FR88">
        <f>IF($EY88="row",INDEX($EU$5:$EU$1003,$EX88),"")</f>
        <v/>
      </c>
      <c r="FS88">
        <f>IF(AND($EY88="row",$EY87="row"),IF(OR(INDEX($DT$5:$DT$1003,$EX87)="",INDEX($DT$5:$DT$1003,$EX88)=""),"",IF(NOT(EXACT(INDEX($DT$5:$DT$1003,$EX87),INDEX($DT$5:$DT$1003,$EX88))),"S4",IF(NOT(EXACT(INDEX($DS$5:$DS$1003,$EX87),INDEX($DS$5:$DS$1003,$EX88))),"S3",IF(NOT(EXACT(INDEX($DR$5:$DR$1003,$EX87),INDEX($DR$5:$DR$1003,$EX88))),"S1 Count Change","S1")))),"")</f>
        <v/>
      </c>
      <c r="FT88">
        <f>IF($EY88="row",INDEX($ES$5:$ES$1003,$EX88),"")</f>
        <v/>
      </c>
      <c r="FU88">
        <f>IF($EY88="row",INDEX($EO$5:$EO$1003,$EX88),0)</f>
        <v/>
      </c>
      <c r="FV88">
        <f>IF($FS88="S1 Count Change",1,0)</f>
        <v/>
      </c>
      <c r="FX88" t="n">
        <v>84</v>
      </c>
      <c r="FY88">
        <f>IFERROR(MATCH($FX88,$EF$5:$EF$1003,0),0)</f>
        <v/>
      </c>
      <c r="FZ88">
        <f>IF($FY88=0,"",INDEX($DH$5:$DH$1003,$FY88))</f>
        <v/>
      </c>
      <c r="GA88">
        <f>IF($FY88=0,"",COUNTIF($EG$5:$EG$1003,$FX88))</f>
        <v/>
      </c>
      <c r="GB88">
        <f>IF($FY88=0,"",INDEX($ER$5:$ER$1003,$FY88))</f>
        <v/>
      </c>
      <c r="GC88">
        <f>IF($FY88=0,"",IF(INDEX($EO$5:$EO$1003,$FY88)=1,"Yes",""))</f>
        <v/>
      </c>
      <c r="GD88">
        <f>IF($FY88=0,"",IF(INDEX($EN$5:$EN$1003,$FY88)&gt;0,"","NOT IN YOUR LIST - type it in column A to tick it"))</f>
        <v/>
      </c>
      <c r="GE88">
        <f>IF(AND($FY88&gt;0,$GD88&lt;&gt;""),1,0)</f>
        <v/>
      </c>
      <c r="GF88">
        <f>GF87+$GE88</f>
        <v/>
      </c>
      <c r="GG88">
        <f>IFERROR(INDEX($FZ$5:$FZ$104,MATCH($FX88,$GF$5:$GF$104,0)),"")</f>
        <v/>
      </c>
    </row>
    <row r="89">
      <c r="Y89">
        <f>IFERROR(IF(ISNUMBER(INDEX(PASTE_ALL,40,1)),2,IF(TRIM(INDEX(PASTE_ALL,40,1))="",0,IF(AND(LEFT(MID(TRIM(INDEX(PASTE_ALL,40,1)),1+(LEFT(TRIM(INDEX(PASTE_ALL,40,1)),1)="-"),999),LEN(MID(TRIM(INDEX(PASTE_ALL,40,1)),1+(LEFT(TRIM(INDEX(PASTE_ALL,40,1)),1)="-"),999))-(RIGHT(MID(TRIM(INDEX(PASTE_ALL,40,1)),1+(LEFT(TRIM(INDEX(PASTE_ALL,40,1)),1)="-"),999),1)="%"))&lt;&gt;"",SUBSTITUTE(SUBSTITUTE(SUBSTITUTE(SUBSTITUTE(SUBSTITUTE(SUBSTITUTE(SUBSTITUTE(SUBSTITUTE(SUBSTITUTE(SUBSTITUTE(SUBSTITUTE(SUBSTITUTE(LEFT(MID(TRIM(INDEX(PASTE_ALL,40,1)),1+(LEFT(TRIM(INDEX(PASTE_ALL,40,1)),1)="-"),999),LEN(MID(TRIM(INDEX(PASTE_ALL,40,1)),1+(LEFT(TRIM(INDEX(PASTE_ALL,40,1)),1)="-"),999))-(RIGHT(MID(TRIM(INDEX(PASTE_ALL,40,1)),1+(LEFT(TRIM(INDEX(PASTE_ALL,40,1)),1)="-"),999),1)="%")),"0",""),"1",""),"2",""),"3",""),"4",""),"5",""),"6",""),"7",""),"8",""),"9",""),".",""),",","")=""),2,1))),1)</f>
        <v/>
      </c>
      <c r="Z89">
        <f>IFERROR(IF(ISNUMBER(INDEX(PASTE_ALL,40,2)),2,IF(TRIM(INDEX(PASTE_ALL,40,2))="",0,IF(AND(LEFT(MID(TRIM(INDEX(PASTE_ALL,40,2)),1+(LEFT(TRIM(INDEX(PASTE_ALL,40,2)),1)="-"),999),LEN(MID(TRIM(INDEX(PASTE_ALL,40,2)),1+(LEFT(TRIM(INDEX(PASTE_ALL,40,2)),1)="-"),999))-(RIGHT(MID(TRIM(INDEX(PASTE_ALL,40,2)),1+(LEFT(TRIM(INDEX(PASTE_ALL,40,2)),1)="-"),999),1)="%"))&lt;&gt;"",SUBSTITUTE(SUBSTITUTE(SUBSTITUTE(SUBSTITUTE(SUBSTITUTE(SUBSTITUTE(SUBSTITUTE(SUBSTITUTE(SUBSTITUTE(SUBSTITUTE(SUBSTITUTE(SUBSTITUTE(LEFT(MID(TRIM(INDEX(PASTE_ALL,40,2)),1+(LEFT(TRIM(INDEX(PASTE_ALL,40,2)),1)="-"),999),LEN(MID(TRIM(INDEX(PASTE_ALL,40,2)),1+(LEFT(TRIM(INDEX(PASTE_ALL,40,2)),1)="-"),999))-(RIGHT(MID(TRIM(INDEX(PASTE_ALL,40,2)),1+(LEFT(TRIM(INDEX(PASTE_ALL,40,2)),1)="-"),999),1)="%")),"0",""),"1",""),"2",""),"3",""),"4",""),"5",""),"6",""),"7",""),"8",""),"9",""),".",""),",","")=""),2,1))),1)</f>
        <v/>
      </c>
      <c r="AA89">
        <f>IFERROR(IF(ISNUMBER(INDEX(PASTE_ALL,40,3)),2,IF(TRIM(INDEX(PASTE_ALL,40,3))="",0,IF(AND(LEFT(MID(TRIM(INDEX(PASTE_ALL,40,3)),1+(LEFT(TRIM(INDEX(PASTE_ALL,40,3)),1)="-"),999),LEN(MID(TRIM(INDEX(PASTE_ALL,40,3)),1+(LEFT(TRIM(INDEX(PASTE_ALL,40,3)),1)="-"),999))-(RIGHT(MID(TRIM(INDEX(PASTE_ALL,40,3)),1+(LEFT(TRIM(INDEX(PASTE_ALL,40,3)),1)="-"),999),1)="%"))&lt;&gt;"",SUBSTITUTE(SUBSTITUTE(SUBSTITUTE(SUBSTITUTE(SUBSTITUTE(SUBSTITUTE(SUBSTITUTE(SUBSTITUTE(SUBSTITUTE(SUBSTITUTE(SUBSTITUTE(SUBSTITUTE(LEFT(MID(TRIM(INDEX(PASTE_ALL,40,3)),1+(LEFT(TRIM(INDEX(PASTE_ALL,40,3)),1)="-"),999),LEN(MID(TRIM(INDEX(PASTE_ALL,40,3)),1+(LEFT(TRIM(INDEX(PASTE_ALL,40,3)),1)="-"),999))-(RIGHT(MID(TRIM(INDEX(PASTE_ALL,40,3)),1+(LEFT(TRIM(INDEX(PASTE_ALL,40,3)),1)="-"),999),1)="%")),"0",""),"1",""),"2",""),"3",""),"4",""),"5",""),"6",""),"7",""),"8",""),"9",""),".",""),",","")=""),2,1))),1)</f>
        <v/>
      </c>
      <c r="AB89">
        <f>IFERROR(IF(ISNUMBER(INDEX(PASTE_ALL,40,4)),2,IF(TRIM(INDEX(PASTE_ALL,40,4))="",0,IF(AND(LEFT(MID(TRIM(INDEX(PASTE_ALL,40,4)),1+(LEFT(TRIM(INDEX(PASTE_ALL,40,4)),1)="-"),999),LEN(MID(TRIM(INDEX(PASTE_ALL,40,4)),1+(LEFT(TRIM(INDEX(PASTE_ALL,40,4)),1)="-"),999))-(RIGHT(MID(TRIM(INDEX(PASTE_ALL,40,4)),1+(LEFT(TRIM(INDEX(PASTE_ALL,40,4)),1)="-"),999),1)="%"))&lt;&gt;"",SUBSTITUTE(SUBSTITUTE(SUBSTITUTE(SUBSTITUTE(SUBSTITUTE(SUBSTITUTE(SUBSTITUTE(SUBSTITUTE(SUBSTITUTE(SUBSTITUTE(SUBSTITUTE(SUBSTITUTE(LEFT(MID(TRIM(INDEX(PASTE_ALL,40,4)),1+(LEFT(TRIM(INDEX(PASTE_ALL,40,4)),1)="-"),999),LEN(MID(TRIM(INDEX(PASTE_ALL,40,4)),1+(LEFT(TRIM(INDEX(PASTE_ALL,40,4)),1)="-"),999))-(RIGHT(MID(TRIM(INDEX(PASTE_ALL,40,4)),1+(LEFT(TRIM(INDEX(PASTE_ALL,40,4)),1)="-"),999),1)="%")),"0",""),"1",""),"2",""),"3",""),"4",""),"5",""),"6",""),"7",""),"8",""),"9",""),".",""),",","")=""),2,1))),1)</f>
        <v/>
      </c>
      <c r="AC89">
        <f>IFERROR(IF(ISNUMBER(INDEX(PASTE_ALL,40,5)),2,IF(TRIM(INDEX(PASTE_ALL,40,5))="",0,IF(AND(LEFT(MID(TRIM(INDEX(PASTE_ALL,40,5)),1+(LEFT(TRIM(INDEX(PASTE_ALL,40,5)),1)="-"),999),LEN(MID(TRIM(INDEX(PASTE_ALL,40,5)),1+(LEFT(TRIM(INDEX(PASTE_ALL,40,5)),1)="-"),999))-(RIGHT(MID(TRIM(INDEX(PASTE_ALL,40,5)),1+(LEFT(TRIM(INDEX(PASTE_ALL,40,5)),1)="-"),999),1)="%"))&lt;&gt;"",SUBSTITUTE(SUBSTITUTE(SUBSTITUTE(SUBSTITUTE(SUBSTITUTE(SUBSTITUTE(SUBSTITUTE(SUBSTITUTE(SUBSTITUTE(SUBSTITUTE(SUBSTITUTE(SUBSTITUTE(LEFT(MID(TRIM(INDEX(PASTE_ALL,40,5)),1+(LEFT(TRIM(INDEX(PASTE_ALL,40,5)),1)="-"),999),LEN(MID(TRIM(INDEX(PASTE_ALL,40,5)),1+(LEFT(TRIM(INDEX(PASTE_ALL,40,5)),1)="-"),999))-(RIGHT(MID(TRIM(INDEX(PASTE_ALL,40,5)),1+(LEFT(TRIM(INDEX(PASTE_ALL,40,5)),1)="-"),999),1)="%")),"0",""),"1",""),"2",""),"3",""),"4",""),"5",""),"6",""),"7",""),"8",""),"9",""),".",""),",","")=""),2,1))),1)</f>
        <v/>
      </c>
      <c r="AD89">
        <f>IFERROR(IF(ISNUMBER(INDEX(PASTE_ALL,40,6)),2,IF(TRIM(INDEX(PASTE_ALL,40,6))="",0,IF(AND(LEFT(MID(TRIM(INDEX(PASTE_ALL,40,6)),1+(LEFT(TRIM(INDEX(PASTE_ALL,40,6)),1)="-"),999),LEN(MID(TRIM(INDEX(PASTE_ALL,40,6)),1+(LEFT(TRIM(INDEX(PASTE_ALL,40,6)),1)="-"),999))-(RIGHT(MID(TRIM(INDEX(PASTE_ALL,40,6)),1+(LEFT(TRIM(INDEX(PASTE_ALL,40,6)),1)="-"),999),1)="%"))&lt;&gt;"",SUBSTITUTE(SUBSTITUTE(SUBSTITUTE(SUBSTITUTE(SUBSTITUTE(SUBSTITUTE(SUBSTITUTE(SUBSTITUTE(SUBSTITUTE(SUBSTITUTE(SUBSTITUTE(SUBSTITUTE(LEFT(MID(TRIM(INDEX(PASTE_ALL,40,6)),1+(LEFT(TRIM(INDEX(PASTE_ALL,40,6)),1)="-"),999),LEN(MID(TRIM(INDEX(PASTE_ALL,40,6)),1+(LEFT(TRIM(INDEX(PASTE_ALL,40,6)),1)="-"),999))-(RIGHT(MID(TRIM(INDEX(PASTE_ALL,40,6)),1+(LEFT(TRIM(INDEX(PASTE_ALL,40,6)),1)="-"),999),1)="%")),"0",""),"1",""),"2",""),"3",""),"4",""),"5",""),"6",""),"7",""),"8",""),"9",""),".",""),",","")=""),2,1))),1)</f>
        <v/>
      </c>
      <c r="AE89">
        <f>IFERROR(IF(ISNUMBER(INDEX(PASTE_ALL,40,7)),2,IF(TRIM(INDEX(PASTE_ALL,40,7))="",0,IF(AND(LEFT(MID(TRIM(INDEX(PASTE_ALL,40,7)),1+(LEFT(TRIM(INDEX(PASTE_ALL,40,7)),1)="-"),999),LEN(MID(TRIM(INDEX(PASTE_ALL,40,7)),1+(LEFT(TRIM(INDEX(PASTE_ALL,40,7)),1)="-"),999))-(RIGHT(MID(TRIM(INDEX(PASTE_ALL,40,7)),1+(LEFT(TRIM(INDEX(PASTE_ALL,40,7)),1)="-"),999),1)="%"))&lt;&gt;"",SUBSTITUTE(SUBSTITUTE(SUBSTITUTE(SUBSTITUTE(SUBSTITUTE(SUBSTITUTE(SUBSTITUTE(SUBSTITUTE(SUBSTITUTE(SUBSTITUTE(SUBSTITUTE(SUBSTITUTE(LEFT(MID(TRIM(INDEX(PASTE_ALL,40,7)),1+(LEFT(TRIM(INDEX(PASTE_ALL,40,7)),1)="-"),999),LEN(MID(TRIM(INDEX(PASTE_ALL,40,7)),1+(LEFT(TRIM(INDEX(PASTE_ALL,40,7)),1)="-"),999))-(RIGHT(MID(TRIM(INDEX(PASTE_ALL,40,7)),1+(LEFT(TRIM(INDEX(PASTE_ALL,40,7)),1)="-"),999),1)="%")),"0",""),"1",""),"2",""),"3",""),"4",""),"5",""),"6",""),"7",""),"8",""),"9",""),".",""),",","")=""),2,1))),1)</f>
        <v/>
      </c>
      <c r="AF89">
        <f>IFERROR(IF(ISNUMBER(INDEX(PASTE_ALL,40,8)),2,IF(TRIM(INDEX(PASTE_ALL,40,8))="",0,IF(AND(LEFT(MID(TRIM(INDEX(PASTE_ALL,40,8)),1+(LEFT(TRIM(INDEX(PASTE_ALL,40,8)),1)="-"),999),LEN(MID(TRIM(INDEX(PASTE_ALL,40,8)),1+(LEFT(TRIM(INDEX(PASTE_ALL,40,8)),1)="-"),999))-(RIGHT(MID(TRIM(INDEX(PASTE_ALL,40,8)),1+(LEFT(TRIM(INDEX(PASTE_ALL,40,8)),1)="-"),999),1)="%"))&lt;&gt;"",SUBSTITUTE(SUBSTITUTE(SUBSTITUTE(SUBSTITUTE(SUBSTITUTE(SUBSTITUTE(SUBSTITUTE(SUBSTITUTE(SUBSTITUTE(SUBSTITUTE(SUBSTITUTE(SUBSTITUTE(LEFT(MID(TRIM(INDEX(PASTE_ALL,40,8)),1+(LEFT(TRIM(INDEX(PASTE_ALL,40,8)),1)="-"),999),LEN(MID(TRIM(INDEX(PASTE_ALL,40,8)),1+(LEFT(TRIM(INDEX(PASTE_ALL,40,8)),1)="-"),999))-(RIGHT(MID(TRIM(INDEX(PASTE_ALL,40,8)),1+(LEFT(TRIM(INDEX(PASTE_ALL,40,8)),1)="-"),999),1)="%")),"0",""),"1",""),"2",""),"3",""),"4",""),"5",""),"6",""),"7",""),"8",""),"9",""),".",""),",","")=""),2,1))),1)</f>
        <v/>
      </c>
      <c r="AG89">
        <f>IFERROR(IF(ISNUMBER(INDEX(PASTE_ALL,40,9)),2,IF(TRIM(INDEX(PASTE_ALL,40,9))="",0,IF(AND(LEFT(MID(TRIM(INDEX(PASTE_ALL,40,9)),1+(LEFT(TRIM(INDEX(PASTE_ALL,40,9)),1)="-"),999),LEN(MID(TRIM(INDEX(PASTE_ALL,40,9)),1+(LEFT(TRIM(INDEX(PASTE_ALL,40,9)),1)="-"),999))-(RIGHT(MID(TRIM(INDEX(PASTE_ALL,40,9)),1+(LEFT(TRIM(INDEX(PASTE_ALL,40,9)),1)="-"),999),1)="%"))&lt;&gt;"",SUBSTITUTE(SUBSTITUTE(SUBSTITUTE(SUBSTITUTE(SUBSTITUTE(SUBSTITUTE(SUBSTITUTE(SUBSTITUTE(SUBSTITUTE(SUBSTITUTE(SUBSTITUTE(SUBSTITUTE(LEFT(MID(TRIM(INDEX(PASTE_ALL,40,9)),1+(LEFT(TRIM(INDEX(PASTE_ALL,40,9)),1)="-"),999),LEN(MID(TRIM(INDEX(PASTE_ALL,40,9)),1+(LEFT(TRIM(INDEX(PASTE_ALL,40,9)),1)="-"),999))-(RIGHT(MID(TRIM(INDEX(PASTE_ALL,40,9)),1+(LEFT(TRIM(INDEX(PASTE_ALL,40,9)),1)="-"),999),1)="%")),"0",""),"1",""),"2",""),"3",""),"4",""),"5",""),"6",""),"7",""),"8",""),"9",""),".",""),",","")=""),2,1))),1)</f>
        <v/>
      </c>
      <c r="AH89">
        <f>IFERROR(IF(ISNUMBER(INDEX(PASTE_ALL,40,10)),2,IF(TRIM(INDEX(PASTE_ALL,40,10))="",0,IF(AND(LEFT(MID(TRIM(INDEX(PASTE_ALL,40,10)),1+(LEFT(TRIM(INDEX(PASTE_ALL,40,10)),1)="-"),999),LEN(MID(TRIM(INDEX(PASTE_ALL,40,10)),1+(LEFT(TRIM(INDEX(PASTE_ALL,40,10)),1)="-"),999))-(RIGHT(MID(TRIM(INDEX(PASTE_ALL,40,10)),1+(LEFT(TRIM(INDEX(PASTE_ALL,40,10)),1)="-"),999),1)="%"))&lt;&gt;"",SUBSTITUTE(SUBSTITUTE(SUBSTITUTE(SUBSTITUTE(SUBSTITUTE(SUBSTITUTE(SUBSTITUTE(SUBSTITUTE(SUBSTITUTE(SUBSTITUTE(SUBSTITUTE(SUBSTITUTE(LEFT(MID(TRIM(INDEX(PASTE_ALL,40,10)),1+(LEFT(TRIM(INDEX(PASTE_ALL,40,10)),1)="-"),999),LEN(MID(TRIM(INDEX(PASTE_ALL,40,10)),1+(LEFT(TRIM(INDEX(PASTE_ALL,40,10)),1)="-"),999))-(RIGHT(MID(TRIM(INDEX(PASTE_ALL,40,10)),1+(LEFT(TRIM(INDEX(PASTE_ALL,40,10)),1)="-"),999),1)="%")),"0",""),"1",""),"2",""),"3",""),"4",""),"5",""),"6",""),"7",""),"8",""),"9",""),".",""),",","")=""),2,1))),1)</f>
        <v/>
      </c>
      <c r="AI89">
        <f>IFERROR(IF(ISNUMBER(INDEX(PASTE_ALL,40,11)),2,IF(TRIM(INDEX(PASTE_ALL,40,11))="",0,IF(AND(LEFT(MID(TRIM(INDEX(PASTE_ALL,40,11)),1+(LEFT(TRIM(INDEX(PASTE_ALL,40,11)),1)="-"),999),LEN(MID(TRIM(INDEX(PASTE_ALL,40,11)),1+(LEFT(TRIM(INDEX(PASTE_ALL,40,11)),1)="-"),999))-(RIGHT(MID(TRIM(INDEX(PASTE_ALL,40,11)),1+(LEFT(TRIM(INDEX(PASTE_ALL,40,11)),1)="-"),999),1)="%"))&lt;&gt;"",SUBSTITUTE(SUBSTITUTE(SUBSTITUTE(SUBSTITUTE(SUBSTITUTE(SUBSTITUTE(SUBSTITUTE(SUBSTITUTE(SUBSTITUTE(SUBSTITUTE(SUBSTITUTE(SUBSTITUTE(LEFT(MID(TRIM(INDEX(PASTE_ALL,40,11)),1+(LEFT(TRIM(INDEX(PASTE_ALL,40,11)),1)="-"),999),LEN(MID(TRIM(INDEX(PASTE_ALL,40,11)),1+(LEFT(TRIM(INDEX(PASTE_ALL,40,11)),1)="-"),999))-(RIGHT(MID(TRIM(INDEX(PASTE_ALL,40,11)),1+(LEFT(TRIM(INDEX(PASTE_ALL,40,11)),1)="-"),999),1)="%")),"0",""),"1",""),"2",""),"3",""),"4",""),"5",""),"6",""),"7",""),"8",""),"9",""),".",""),",","")=""),2,1))),1)</f>
        <v/>
      </c>
      <c r="AJ89">
        <f>IFERROR(IF(ISNUMBER(INDEX(PASTE_ALL,40,12)),2,IF(TRIM(INDEX(PASTE_ALL,40,12))="",0,IF(AND(LEFT(MID(TRIM(INDEX(PASTE_ALL,40,12)),1+(LEFT(TRIM(INDEX(PASTE_ALL,40,12)),1)="-"),999),LEN(MID(TRIM(INDEX(PASTE_ALL,40,12)),1+(LEFT(TRIM(INDEX(PASTE_ALL,40,12)),1)="-"),999))-(RIGHT(MID(TRIM(INDEX(PASTE_ALL,40,12)),1+(LEFT(TRIM(INDEX(PASTE_ALL,40,12)),1)="-"),999),1)="%"))&lt;&gt;"",SUBSTITUTE(SUBSTITUTE(SUBSTITUTE(SUBSTITUTE(SUBSTITUTE(SUBSTITUTE(SUBSTITUTE(SUBSTITUTE(SUBSTITUTE(SUBSTITUTE(SUBSTITUTE(SUBSTITUTE(LEFT(MID(TRIM(INDEX(PASTE_ALL,40,12)),1+(LEFT(TRIM(INDEX(PASTE_ALL,40,12)),1)="-"),999),LEN(MID(TRIM(INDEX(PASTE_ALL,40,12)),1+(LEFT(TRIM(INDEX(PASTE_ALL,40,12)),1)="-"),999))-(RIGHT(MID(TRIM(INDEX(PASTE_ALL,40,12)),1+(LEFT(TRIM(INDEX(PASTE_ALL,40,12)),1)="-"),999),1)="%")),"0",""),"1",""),"2",""),"3",""),"4",""),"5",""),"6",""),"7",""),"8",""),"9",""),".",""),",","")=""),2,1))),1)</f>
        <v/>
      </c>
      <c r="AK89">
        <f>IFERROR(IF(ISNUMBER(INDEX(PASTE_ALL,40,13)),2,IF(TRIM(INDEX(PASTE_ALL,40,13))="",0,IF(AND(LEFT(MID(TRIM(INDEX(PASTE_ALL,40,13)),1+(LEFT(TRIM(INDEX(PASTE_ALL,40,13)),1)="-"),999),LEN(MID(TRIM(INDEX(PASTE_ALL,40,13)),1+(LEFT(TRIM(INDEX(PASTE_ALL,40,13)),1)="-"),999))-(RIGHT(MID(TRIM(INDEX(PASTE_ALL,40,13)),1+(LEFT(TRIM(INDEX(PASTE_ALL,40,13)),1)="-"),999),1)="%"))&lt;&gt;"",SUBSTITUTE(SUBSTITUTE(SUBSTITUTE(SUBSTITUTE(SUBSTITUTE(SUBSTITUTE(SUBSTITUTE(SUBSTITUTE(SUBSTITUTE(SUBSTITUTE(SUBSTITUTE(SUBSTITUTE(LEFT(MID(TRIM(INDEX(PASTE_ALL,40,13)),1+(LEFT(TRIM(INDEX(PASTE_ALL,40,13)),1)="-"),999),LEN(MID(TRIM(INDEX(PASTE_ALL,40,13)),1+(LEFT(TRIM(INDEX(PASTE_ALL,40,13)),1)="-"),999))-(RIGHT(MID(TRIM(INDEX(PASTE_ALL,40,13)),1+(LEFT(TRIM(INDEX(PASTE_ALL,40,13)),1)="-"),999),1)="%")),"0",""),"1",""),"2",""),"3",""),"4",""),"5",""),"6",""),"7",""),"8",""),"9",""),".",""),",","")=""),2,1))),1)</f>
        <v/>
      </c>
      <c r="AL89">
        <f>IFERROR(IF(ISNUMBER(INDEX(PASTE_ALL,40,14)),2,IF(TRIM(INDEX(PASTE_ALL,40,14))="",0,IF(AND(LEFT(MID(TRIM(INDEX(PASTE_ALL,40,14)),1+(LEFT(TRIM(INDEX(PASTE_ALL,40,14)),1)="-"),999),LEN(MID(TRIM(INDEX(PASTE_ALL,40,14)),1+(LEFT(TRIM(INDEX(PASTE_ALL,40,14)),1)="-"),999))-(RIGHT(MID(TRIM(INDEX(PASTE_ALL,40,14)),1+(LEFT(TRIM(INDEX(PASTE_ALL,40,14)),1)="-"),999),1)="%"))&lt;&gt;"",SUBSTITUTE(SUBSTITUTE(SUBSTITUTE(SUBSTITUTE(SUBSTITUTE(SUBSTITUTE(SUBSTITUTE(SUBSTITUTE(SUBSTITUTE(SUBSTITUTE(SUBSTITUTE(SUBSTITUTE(LEFT(MID(TRIM(INDEX(PASTE_ALL,40,14)),1+(LEFT(TRIM(INDEX(PASTE_ALL,40,14)),1)="-"),999),LEN(MID(TRIM(INDEX(PASTE_ALL,40,14)),1+(LEFT(TRIM(INDEX(PASTE_ALL,40,14)),1)="-"),999))-(RIGHT(MID(TRIM(INDEX(PASTE_ALL,40,14)),1+(LEFT(TRIM(INDEX(PASTE_ALL,40,14)),1)="-"),999),1)="%")),"0",""),"1",""),"2",""),"3",""),"4",""),"5",""),"6",""),"7",""),"8",""),"9",""),".",""),",","")=""),2,1))),1)</f>
        <v/>
      </c>
      <c r="AM89">
        <f>IFERROR(IF(ISNUMBER(INDEX(PASTE_ALL,40,15)),2,IF(TRIM(INDEX(PASTE_ALL,40,15))="",0,IF(AND(LEFT(MID(TRIM(INDEX(PASTE_ALL,40,15)),1+(LEFT(TRIM(INDEX(PASTE_ALL,40,15)),1)="-"),999),LEN(MID(TRIM(INDEX(PASTE_ALL,40,15)),1+(LEFT(TRIM(INDEX(PASTE_ALL,40,15)),1)="-"),999))-(RIGHT(MID(TRIM(INDEX(PASTE_ALL,40,15)),1+(LEFT(TRIM(INDEX(PASTE_ALL,40,15)),1)="-"),999),1)="%"))&lt;&gt;"",SUBSTITUTE(SUBSTITUTE(SUBSTITUTE(SUBSTITUTE(SUBSTITUTE(SUBSTITUTE(SUBSTITUTE(SUBSTITUTE(SUBSTITUTE(SUBSTITUTE(SUBSTITUTE(SUBSTITUTE(LEFT(MID(TRIM(INDEX(PASTE_ALL,40,15)),1+(LEFT(TRIM(INDEX(PASTE_ALL,40,15)),1)="-"),999),LEN(MID(TRIM(INDEX(PASTE_ALL,40,15)),1+(LEFT(TRIM(INDEX(PASTE_ALL,40,15)),1)="-"),999))-(RIGHT(MID(TRIM(INDEX(PASTE_ALL,40,15)),1+(LEFT(TRIM(INDEX(PASTE_ALL,40,15)),1)="-"),999),1)="%")),"0",""),"1",""),"2",""),"3",""),"4",""),"5",""),"6",""),"7",""),"8",""),"9",""),".",""),",","")=""),2,1))),1)</f>
        <v/>
      </c>
      <c r="AN89">
        <f>IFERROR(IF(ISNUMBER(INDEX(PASTE_ALL,40,16)),2,IF(TRIM(INDEX(PASTE_ALL,40,16))="",0,IF(AND(LEFT(MID(TRIM(INDEX(PASTE_ALL,40,16)),1+(LEFT(TRIM(INDEX(PASTE_ALL,40,16)),1)="-"),999),LEN(MID(TRIM(INDEX(PASTE_ALL,40,16)),1+(LEFT(TRIM(INDEX(PASTE_ALL,40,16)),1)="-"),999))-(RIGHT(MID(TRIM(INDEX(PASTE_ALL,40,16)),1+(LEFT(TRIM(INDEX(PASTE_ALL,40,16)),1)="-"),999),1)="%"))&lt;&gt;"",SUBSTITUTE(SUBSTITUTE(SUBSTITUTE(SUBSTITUTE(SUBSTITUTE(SUBSTITUTE(SUBSTITUTE(SUBSTITUTE(SUBSTITUTE(SUBSTITUTE(SUBSTITUTE(SUBSTITUTE(LEFT(MID(TRIM(INDEX(PASTE_ALL,40,16)),1+(LEFT(TRIM(INDEX(PASTE_ALL,40,16)),1)="-"),999),LEN(MID(TRIM(INDEX(PASTE_ALL,40,16)),1+(LEFT(TRIM(INDEX(PASTE_ALL,40,16)),1)="-"),999))-(RIGHT(MID(TRIM(INDEX(PASTE_ALL,40,16)),1+(LEFT(TRIM(INDEX(PASTE_ALL,40,16)),1)="-"),999),1)="%")),"0",""),"1",""),"2",""),"3",""),"4",""),"5",""),"6",""),"7",""),"8",""),"9",""),".",""),",","")=""),2,1))),1)</f>
        <v/>
      </c>
      <c r="AO89">
        <f>IFERROR(IF(ISNUMBER(INDEX(PASTE_ALL,40,17)),2,IF(TRIM(INDEX(PASTE_ALL,40,17))="",0,IF(AND(LEFT(MID(TRIM(INDEX(PASTE_ALL,40,17)),1+(LEFT(TRIM(INDEX(PASTE_ALL,40,17)),1)="-"),999),LEN(MID(TRIM(INDEX(PASTE_ALL,40,17)),1+(LEFT(TRIM(INDEX(PASTE_ALL,40,17)),1)="-"),999))-(RIGHT(MID(TRIM(INDEX(PASTE_ALL,40,17)),1+(LEFT(TRIM(INDEX(PASTE_ALL,40,17)),1)="-"),999),1)="%"))&lt;&gt;"",SUBSTITUTE(SUBSTITUTE(SUBSTITUTE(SUBSTITUTE(SUBSTITUTE(SUBSTITUTE(SUBSTITUTE(SUBSTITUTE(SUBSTITUTE(SUBSTITUTE(SUBSTITUTE(SUBSTITUTE(LEFT(MID(TRIM(INDEX(PASTE_ALL,40,17)),1+(LEFT(TRIM(INDEX(PASTE_ALL,40,17)),1)="-"),999),LEN(MID(TRIM(INDEX(PASTE_ALL,40,17)),1+(LEFT(TRIM(INDEX(PASTE_ALL,40,17)),1)="-"),999))-(RIGHT(MID(TRIM(INDEX(PASTE_ALL,40,17)),1+(LEFT(TRIM(INDEX(PASTE_ALL,40,17)),1)="-"),999),1)="%")),"0",""),"1",""),"2",""),"3",""),"4",""),"5",""),"6",""),"7",""),"8",""),"9",""),".",""),",","")=""),2,1))),1)</f>
        <v/>
      </c>
      <c r="AP89">
        <f>IFERROR(IF(ISNUMBER(INDEX(PASTE_ALL,40,18)),2,IF(TRIM(INDEX(PASTE_ALL,40,18))="",0,IF(AND(LEFT(MID(TRIM(INDEX(PASTE_ALL,40,18)),1+(LEFT(TRIM(INDEX(PASTE_ALL,40,18)),1)="-"),999),LEN(MID(TRIM(INDEX(PASTE_ALL,40,18)),1+(LEFT(TRIM(INDEX(PASTE_ALL,40,18)),1)="-"),999))-(RIGHT(MID(TRIM(INDEX(PASTE_ALL,40,18)),1+(LEFT(TRIM(INDEX(PASTE_ALL,40,18)),1)="-"),999),1)="%"))&lt;&gt;"",SUBSTITUTE(SUBSTITUTE(SUBSTITUTE(SUBSTITUTE(SUBSTITUTE(SUBSTITUTE(SUBSTITUTE(SUBSTITUTE(SUBSTITUTE(SUBSTITUTE(SUBSTITUTE(SUBSTITUTE(LEFT(MID(TRIM(INDEX(PASTE_ALL,40,18)),1+(LEFT(TRIM(INDEX(PASTE_ALL,40,18)),1)="-"),999),LEN(MID(TRIM(INDEX(PASTE_ALL,40,18)),1+(LEFT(TRIM(INDEX(PASTE_ALL,40,18)),1)="-"),999))-(RIGHT(MID(TRIM(INDEX(PASTE_ALL,40,18)),1+(LEFT(TRIM(INDEX(PASTE_ALL,40,18)),1)="-"),999),1)="%")),"0",""),"1",""),"2",""),"3",""),"4",""),"5",""),"6",""),"7",""),"8",""),"9",""),".",""),",","")=""),2,1))),1)</f>
        <v/>
      </c>
      <c r="AQ89">
        <f>IFERROR(IF(ISNUMBER(INDEX(PASTE_ALL,40,19)),2,IF(TRIM(INDEX(PASTE_ALL,40,19))="",0,IF(AND(LEFT(MID(TRIM(INDEX(PASTE_ALL,40,19)),1+(LEFT(TRIM(INDEX(PASTE_ALL,40,19)),1)="-"),999),LEN(MID(TRIM(INDEX(PASTE_ALL,40,19)),1+(LEFT(TRIM(INDEX(PASTE_ALL,40,19)),1)="-"),999))-(RIGHT(MID(TRIM(INDEX(PASTE_ALL,40,19)),1+(LEFT(TRIM(INDEX(PASTE_ALL,40,19)),1)="-"),999),1)="%"))&lt;&gt;"",SUBSTITUTE(SUBSTITUTE(SUBSTITUTE(SUBSTITUTE(SUBSTITUTE(SUBSTITUTE(SUBSTITUTE(SUBSTITUTE(SUBSTITUTE(SUBSTITUTE(SUBSTITUTE(SUBSTITUTE(LEFT(MID(TRIM(INDEX(PASTE_ALL,40,19)),1+(LEFT(TRIM(INDEX(PASTE_ALL,40,19)),1)="-"),999),LEN(MID(TRIM(INDEX(PASTE_ALL,40,19)),1+(LEFT(TRIM(INDEX(PASTE_ALL,40,19)),1)="-"),999))-(RIGHT(MID(TRIM(INDEX(PASTE_ALL,40,19)),1+(LEFT(TRIM(INDEX(PASTE_ALL,40,19)),1)="-"),999),1)="%")),"0",""),"1",""),"2",""),"3",""),"4",""),"5",""),"6",""),"7",""),"8",""),"9",""),".",""),",","")=""),2,1))),1)</f>
        <v/>
      </c>
      <c r="AR89">
        <f>IFERROR(IF(ISNUMBER(INDEX(PASTE_ALL,40,20)),2,IF(TRIM(INDEX(PASTE_ALL,40,20))="",0,IF(AND(LEFT(MID(TRIM(INDEX(PASTE_ALL,40,20)),1+(LEFT(TRIM(INDEX(PASTE_ALL,40,20)),1)="-"),999),LEN(MID(TRIM(INDEX(PASTE_ALL,40,20)),1+(LEFT(TRIM(INDEX(PASTE_ALL,40,20)),1)="-"),999))-(RIGHT(MID(TRIM(INDEX(PASTE_ALL,40,20)),1+(LEFT(TRIM(INDEX(PASTE_ALL,40,20)),1)="-"),999),1)="%"))&lt;&gt;"",SUBSTITUTE(SUBSTITUTE(SUBSTITUTE(SUBSTITUTE(SUBSTITUTE(SUBSTITUTE(SUBSTITUTE(SUBSTITUTE(SUBSTITUTE(SUBSTITUTE(SUBSTITUTE(SUBSTITUTE(LEFT(MID(TRIM(INDEX(PASTE_ALL,40,20)),1+(LEFT(TRIM(INDEX(PASTE_ALL,40,20)),1)="-"),999),LEN(MID(TRIM(INDEX(PASTE_ALL,40,20)),1+(LEFT(TRIM(INDEX(PASTE_ALL,40,20)),1)="-"),999))-(RIGHT(MID(TRIM(INDEX(PASTE_ALL,40,20)),1+(LEFT(TRIM(INDEX(PASTE_ALL,40,20)),1)="-"),999),1)="%")),"0",""),"1",""),"2",""),"3",""),"4",""),"5",""),"6",""),"7",""),"8",""),"9",""),".",""),",","")=""),2,1))),1)</f>
        <v/>
      </c>
      <c r="AS89">
        <f>IFERROR(IF(ISNUMBER(INDEX(PASTE_ALL,40,21)),2,IF(TRIM(INDEX(PASTE_ALL,40,21))="",0,IF(AND(LEFT(MID(TRIM(INDEX(PASTE_ALL,40,21)),1+(LEFT(TRIM(INDEX(PASTE_ALL,40,21)),1)="-"),999),LEN(MID(TRIM(INDEX(PASTE_ALL,40,21)),1+(LEFT(TRIM(INDEX(PASTE_ALL,40,21)),1)="-"),999))-(RIGHT(MID(TRIM(INDEX(PASTE_ALL,40,21)),1+(LEFT(TRIM(INDEX(PASTE_ALL,40,21)),1)="-"),999),1)="%"))&lt;&gt;"",SUBSTITUTE(SUBSTITUTE(SUBSTITUTE(SUBSTITUTE(SUBSTITUTE(SUBSTITUTE(SUBSTITUTE(SUBSTITUTE(SUBSTITUTE(SUBSTITUTE(SUBSTITUTE(SUBSTITUTE(LEFT(MID(TRIM(INDEX(PASTE_ALL,40,21)),1+(LEFT(TRIM(INDEX(PASTE_ALL,40,21)),1)="-"),999),LEN(MID(TRIM(INDEX(PASTE_ALL,40,21)),1+(LEFT(TRIM(INDEX(PASTE_ALL,40,21)),1)="-"),999))-(RIGHT(MID(TRIM(INDEX(PASTE_ALL,40,21)),1+(LEFT(TRIM(INDEX(PASTE_ALL,40,21)),1)="-"),999),1)="%")),"0",""),"1",""),"2",""),"3",""),"4",""),"5",""),"6",""),"7",""),"8",""),"9",""),".",""),",","")=""),2,1))),1)</f>
        <v/>
      </c>
      <c r="AT89">
        <f>IFERROR(IF(ISNUMBER(INDEX(PASTE_ALL,40,22)),2,IF(TRIM(INDEX(PASTE_ALL,40,22))="",0,IF(AND(LEFT(MID(TRIM(INDEX(PASTE_ALL,40,22)),1+(LEFT(TRIM(INDEX(PASTE_ALL,40,22)),1)="-"),999),LEN(MID(TRIM(INDEX(PASTE_ALL,40,22)),1+(LEFT(TRIM(INDEX(PASTE_ALL,40,22)),1)="-"),999))-(RIGHT(MID(TRIM(INDEX(PASTE_ALL,40,22)),1+(LEFT(TRIM(INDEX(PASTE_ALL,40,22)),1)="-"),999),1)="%"))&lt;&gt;"",SUBSTITUTE(SUBSTITUTE(SUBSTITUTE(SUBSTITUTE(SUBSTITUTE(SUBSTITUTE(SUBSTITUTE(SUBSTITUTE(SUBSTITUTE(SUBSTITUTE(SUBSTITUTE(SUBSTITUTE(LEFT(MID(TRIM(INDEX(PASTE_ALL,40,22)),1+(LEFT(TRIM(INDEX(PASTE_ALL,40,22)),1)="-"),999),LEN(MID(TRIM(INDEX(PASTE_ALL,40,22)),1+(LEFT(TRIM(INDEX(PASTE_ALL,40,22)),1)="-"),999))-(RIGHT(MID(TRIM(INDEX(PASTE_ALL,40,22)),1+(LEFT(TRIM(INDEX(PASTE_ALL,40,22)),1)="-"),999),1)="%")),"0",""),"1",""),"2",""),"3",""),"4",""),"5",""),"6",""),"7",""),"8",""),"9",""),".",""),",","")=""),2,1))),1)</f>
        <v/>
      </c>
      <c r="AU89">
        <f>IFERROR(IF(ISNUMBER(INDEX(PASTE_ALL,40,23)),2,IF(TRIM(INDEX(PASTE_ALL,40,23))="",0,IF(AND(LEFT(MID(TRIM(INDEX(PASTE_ALL,40,23)),1+(LEFT(TRIM(INDEX(PASTE_ALL,40,23)),1)="-"),999),LEN(MID(TRIM(INDEX(PASTE_ALL,40,23)),1+(LEFT(TRIM(INDEX(PASTE_ALL,40,23)),1)="-"),999))-(RIGHT(MID(TRIM(INDEX(PASTE_ALL,40,23)),1+(LEFT(TRIM(INDEX(PASTE_ALL,40,23)),1)="-"),999),1)="%"))&lt;&gt;"",SUBSTITUTE(SUBSTITUTE(SUBSTITUTE(SUBSTITUTE(SUBSTITUTE(SUBSTITUTE(SUBSTITUTE(SUBSTITUTE(SUBSTITUTE(SUBSTITUTE(SUBSTITUTE(SUBSTITUTE(LEFT(MID(TRIM(INDEX(PASTE_ALL,40,23)),1+(LEFT(TRIM(INDEX(PASTE_ALL,40,23)),1)="-"),999),LEN(MID(TRIM(INDEX(PASTE_ALL,40,23)),1+(LEFT(TRIM(INDEX(PASTE_ALL,40,23)),1)="-"),999))-(RIGHT(MID(TRIM(INDEX(PASTE_ALL,40,23)),1+(LEFT(TRIM(INDEX(PASTE_ALL,40,23)),1)="-"),999),1)="%")),"0",""),"1",""),"2",""),"3",""),"4",""),"5",""),"6",""),"7",""),"8",""),"9",""),".",""),",","")=""),2,1))),1)</f>
        <v/>
      </c>
      <c r="AV89">
        <f>IFERROR(IF(ISNUMBER(INDEX(PASTE_ALL,40,24)),2,IF(TRIM(INDEX(PASTE_ALL,40,24))="",0,IF(AND(LEFT(MID(TRIM(INDEX(PASTE_ALL,40,24)),1+(LEFT(TRIM(INDEX(PASTE_ALL,40,24)),1)="-"),999),LEN(MID(TRIM(INDEX(PASTE_ALL,40,24)),1+(LEFT(TRIM(INDEX(PASTE_ALL,40,24)),1)="-"),999))-(RIGHT(MID(TRIM(INDEX(PASTE_ALL,40,24)),1+(LEFT(TRIM(INDEX(PASTE_ALL,40,24)),1)="-"),999),1)="%"))&lt;&gt;"",SUBSTITUTE(SUBSTITUTE(SUBSTITUTE(SUBSTITUTE(SUBSTITUTE(SUBSTITUTE(SUBSTITUTE(SUBSTITUTE(SUBSTITUTE(SUBSTITUTE(SUBSTITUTE(SUBSTITUTE(LEFT(MID(TRIM(INDEX(PASTE_ALL,40,24)),1+(LEFT(TRIM(INDEX(PASTE_ALL,40,24)),1)="-"),999),LEN(MID(TRIM(INDEX(PASTE_ALL,40,24)),1+(LEFT(TRIM(INDEX(PASTE_ALL,40,24)),1)="-"),999))-(RIGHT(MID(TRIM(INDEX(PASTE_ALL,40,24)),1+(LEFT(TRIM(INDEX(PASTE_ALL,40,24)),1)="-"),999),1)="%")),"0",""),"1",""),"2",""),"3",""),"4",""),"5",""),"6",""),"7",""),"8",""),"9",""),".",""),",","")=""),2,1))),1)</f>
        <v/>
      </c>
      <c r="AW89">
        <f>IFERROR(IF(ISNUMBER(INDEX(PASTE_ALL,40,25)),2,IF(TRIM(INDEX(PASTE_ALL,40,25))="",0,IF(AND(LEFT(MID(TRIM(INDEX(PASTE_ALL,40,25)),1+(LEFT(TRIM(INDEX(PASTE_ALL,40,25)),1)="-"),999),LEN(MID(TRIM(INDEX(PASTE_ALL,40,25)),1+(LEFT(TRIM(INDEX(PASTE_ALL,40,25)),1)="-"),999))-(RIGHT(MID(TRIM(INDEX(PASTE_ALL,40,25)),1+(LEFT(TRIM(INDEX(PASTE_ALL,40,25)),1)="-"),999),1)="%"))&lt;&gt;"",SUBSTITUTE(SUBSTITUTE(SUBSTITUTE(SUBSTITUTE(SUBSTITUTE(SUBSTITUTE(SUBSTITUTE(SUBSTITUTE(SUBSTITUTE(SUBSTITUTE(SUBSTITUTE(SUBSTITUTE(LEFT(MID(TRIM(INDEX(PASTE_ALL,40,25)),1+(LEFT(TRIM(INDEX(PASTE_ALL,40,25)),1)="-"),999),LEN(MID(TRIM(INDEX(PASTE_ALL,40,25)),1+(LEFT(TRIM(INDEX(PASTE_ALL,40,25)),1)="-"),999))-(RIGHT(MID(TRIM(INDEX(PASTE_ALL,40,25)),1+(LEFT(TRIM(INDEX(PASTE_ALL,40,25)),1)="-"),999),1)="%")),"0",""),"1",""),"2",""),"3",""),"4",""),"5",""),"6",""),"7",""),"8",""),"9",""),".",""),",","")=""),2,1))),1)</f>
        <v/>
      </c>
      <c r="AX89">
        <f>IFERROR(IF(ISNUMBER(INDEX(PASTE_ALL,40,26)),2,IF(TRIM(INDEX(PASTE_ALL,40,26))="",0,IF(AND(LEFT(MID(TRIM(INDEX(PASTE_ALL,40,26)),1+(LEFT(TRIM(INDEX(PASTE_ALL,40,26)),1)="-"),999),LEN(MID(TRIM(INDEX(PASTE_ALL,40,26)),1+(LEFT(TRIM(INDEX(PASTE_ALL,40,26)),1)="-"),999))-(RIGHT(MID(TRIM(INDEX(PASTE_ALL,40,26)),1+(LEFT(TRIM(INDEX(PASTE_ALL,40,26)),1)="-"),999),1)="%"))&lt;&gt;"",SUBSTITUTE(SUBSTITUTE(SUBSTITUTE(SUBSTITUTE(SUBSTITUTE(SUBSTITUTE(SUBSTITUTE(SUBSTITUTE(SUBSTITUTE(SUBSTITUTE(SUBSTITUTE(SUBSTITUTE(LEFT(MID(TRIM(INDEX(PASTE_ALL,40,26)),1+(LEFT(TRIM(INDEX(PASTE_ALL,40,26)),1)="-"),999),LEN(MID(TRIM(INDEX(PASTE_ALL,40,26)),1+(LEFT(TRIM(INDEX(PASTE_ALL,40,26)),1)="-"),999))-(RIGHT(MID(TRIM(INDEX(PASTE_ALL,40,26)),1+(LEFT(TRIM(INDEX(PASTE_ALL,40,26)),1)="-"),999),1)="%")),"0",""),"1",""),"2",""),"3",""),"4",""),"5",""),"6",""),"7",""),"8",""),"9",""),".",""),",","")=""),2,1))),1)</f>
        <v/>
      </c>
      <c r="AY89">
        <f>IFERROR(IF(ISNUMBER(INDEX(PASTE_ALL,40,27)),2,IF(TRIM(INDEX(PASTE_ALL,40,27))="",0,IF(AND(LEFT(MID(TRIM(INDEX(PASTE_ALL,40,27)),1+(LEFT(TRIM(INDEX(PASTE_ALL,40,27)),1)="-"),999),LEN(MID(TRIM(INDEX(PASTE_ALL,40,27)),1+(LEFT(TRIM(INDEX(PASTE_ALL,40,27)),1)="-"),999))-(RIGHT(MID(TRIM(INDEX(PASTE_ALL,40,27)),1+(LEFT(TRIM(INDEX(PASTE_ALL,40,27)),1)="-"),999),1)="%"))&lt;&gt;"",SUBSTITUTE(SUBSTITUTE(SUBSTITUTE(SUBSTITUTE(SUBSTITUTE(SUBSTITUTE(SUBSTITUTE(SUBSTITUTE(SUBSTITUTE(SUBSTITUTE(SUBSTITUTE(SUBSTITUTE(LEFT(MID(TRIM(INDEX(PASTE_ALL,40,27)),1+(LEFT(TRIM(INDEX(PASTE_ALL,40,27)),1)="-"),999),LEN(MID(TRIM(INDEX(PASTE_ALL,40,27)),1+(LEFT(TRIM(INDEX(PASTE_ALL,40,27)),1)="-"),999))-(RIGHT(MID(TRIM(INDEX(PASTE_ALL,40,27)),1+(LEFT(TRIM(INDEX(PASTE_ALL,40,27)),1)="-"),999),1)="%")),"0",""),"1",""),"2",""),"3",""),"4",""),"5",""),"6",""),"7",""),"8",""),"9",""),".",""),",","")=""),2,1))),1)</f>
        <v/>
      </c>
      <c r="AZ89">
        <f>IFERROR(IF(ISNUMBER(INDEX(PASTE_ALL,40,28)),2,IF(TRIM(INDEX(PASTE_ALL,40,28))="",0,IF(AND(LEFT(MID(TRIM(INDEX(PASTE_ALL,40,28)),1+(LEFT(TRIM(INDEX(PASTE_ALL,40,28)),1)="-"),999),LEN(MID(TRIM(INDEX(PASTE_ALL,40,28)),1+(LEFT(TRIM(INDEX(PASTE_ALL,40,28)),1)="-"),999))-(RIGHT(MID(TRIM(INDEX(PASTE_ALL,40,28)),1+(LEFT(TRIM(INDEX(PASTE_ALL,40,28)),1)="-"),999),1)="%"))&lt;&gt;"",SUBSTITUTE(SUBSTITUTE(SUBSTITUTE(SUBSTITUTE(SUBSTITUTE(SUBSTITUTE(SUBSTITUTE(SUBSTITUTE(SUBSTITUTE(SUBSTITUTE(SUBSTITUTE(SUBSTITUTE(LEFT(MID(TRIM(INDEX(PASTE_ALL,40,28)),1+(LEFT(TRIM(INDEX(PASTE_ALL,40,28)),1)="-"),999),LEN(MID(TRIM(INDEX(PASTE_ALL,40,28)),1+(LEFT(TRIM(INDEX(PASTE_ALL,40,28)),1)="-"),999))-(RIGHT(MID(TRIM(INDEX(PASTE_ALL,40,28)),1+(LEFT(TRIM(INDEX(PASTE_ALL,40,28)),1)="-"),999),1)="%")),"0",""),"1",""),"2",""),"3",""),"4",""),"5",""),"6",""),"7",""),"8",""),"9",""),".",""),",","")=""),2,1))),1)</f>
        <v/>
      </c>
      <c r="BA89">
        <f>IFERROR(IF(ISNUMBER(INDEX(PASTE_ALL,40,29)),2,IF(TRIM(INDEX(PASTE_ALL,40,29))="",0,IF(AND(LEFT(MID(TRIM(INDEX(PASTE_ALL,40,29)),1+(LEFT(TRIM(INDEX(PASTE_ALL,40,29)),1)="-"),999),LEN(MID(TRIM(INDEX(PASTE_ALL,40,29)),1+(LEFT(TRIM(INDEX(PASTE_ALL,40,29)),1)="-"),999))-(RIGHT(MID(TRIM(INDEX(PASTE_ALL,40,29)),1+(LEFT(TRIM(INDEX(PASTE_ALL,40,29)),1)="-"),999),1)="%"))&lt;&gt;"",SUBSTITUTE(SUBSTITUTE(SUBSTITUTE(SUBSTITUTE(SUBSTITUTE(SUBSTITUTE(SUBSTITUTE(SUBSTITUTE(SUBSTITUTE(SUBSTITUTE(SUBSTITUTE(SUBSTITUTE(LEFT(MID(TRIM(INDEX(PASTE_ALL,40,29)),1+(LEFT(TRIM(INDEX(PASTE_ALL,40,29)),1)="-"),999),LEN(MID(TRIM(INDEX(PASTE_ALL,40,29)),1+(LEFT(TRIM(INDEX(PASTE_ALL,40,29)),1)="-"),999))-(RIGHT(MID(TRIM(INDEX(PASTE_ALL,40,29)),1+(LEFT(TRIM(INDEX(PASTE_ALL,40,29)),1)="-"),999),1)="%")),"0",""),"1",""),"2",""),"3",""),"4",""),"5",""),"6",""),"7",""),"8",""),"9",""),".",""),",","")=""),2,1))),1)</f>
        <v/>
      </c>
      <c r="BB89">
        <f>IFERROR(IF(ISNUMBER(INDEX(PASTE_ALL,40,30)),2,IF(TRIM(INDEX(PASTE_ALL,40,30))="",0,IF(AND(LEFT(MID(TRIM(INDEX(PASTE_ALL,40,30)),1+(LEFT(TRIM(INDEX(PASTE_ALL,40,30)),1)="-"),999),LEN(MID(TRIM(INDEX(PASTE_ALL,40,30)),1+(LEFT(TRIM(INDEX(PASTE_ALL,40,30)),1)="-"),999))-(RIGHT(MID(TRIM(INDEX(PASTE_ALL,40,30)),1+(LEFT(TRIM(INDEX(PASTE_ALL,40,30)),1)="-"),999),1)="%"))&lt;&gt;"",SUBSTITUTE(SUBSTITUTE(SUBSTITUTE(SUBSTITUTE(SUBSTITUTE(SUBSTITUTE(SUBSTITUTE(SUBSTITUTE(SUBSTITUTE(SUBSTITUTE(SUBSTITUTE(SUBSTITUTE(LEFT(MID(TRIM(INDEX(PASTE_ALL,40,30)),1+(LEFT(TRIM(INDEX(PASTE_ALL,40,30)),1)="-"),999),LEN(MID(TRIM(INDEX(PASTE_ALL,40,30)),1+(LEFT(TRIM(INDEX(PASTE_ALL,40,30)),1)="-"),999))-(RIGHT(MID(TRIM(INDEX(PASTE_ALL,40,30)),1+(LEFT(TRIM(INDEX(PASTE_ALL,40,30)),1)="-"),999),1)="%")),"0",""),"1",""),"2",""),"3",""),"4",""),"5",""),"6",""),"7",""),"8",""),"9",""),".",""),",","")=""),2,1))),1)</f>
        <v/>
      </c>
      <c r="BC89">
        <f>IFERROR(IF(ISNUMBER(INDEX(PASTE_ALL,40,31)),2,IF(TRIM(INDEX(PASTE_ALL,40,31))="",0,IF(AND(LEFT(MID(TRIM(INDEX(PASTE_ALL,40,31)),1+(LEFT(TRIM(INDEX(PASTE_ALL,40,31)),1)="-"),999),LEN(MID(TRIM(INDEX(PASTE_ALL,40,31)),1+(LEFT(TRIM(INDEX(PASTE_ALL,40,31)),1)="-"),999))-(RIGHT(MID(TRIM(INDEX(PASTE_ALL,40,31)),1+(LEFT(TRIM(INDEX(PASTE_ALL,40,31)),1)="-"),999),1)="%"))&lt;&gt;"",SUBSTITUTE(SUBSTITUTE(SUBSTITUTE(SUBSTITUTE(SUBSTITUTE(SUBSTITUTE(SUBSTITUTE(SUBSTITUTE(SUBSTITUTE(SUBSTITUTE(SUBSTITUTE(SUBSTITUTE(LEFT(MID(TRIM(INDEX(PASTE_ALL,40,31)),1+(LEFT(TRIM(INDEX(PASTE_ALL,40,31)),1)="-"),999),LEN(MID(TRIM(INDEX(PASTE_ALL,40,31)),1+(LEFT(TRIM(INDEX(PASTE_ALL,40,31)),1)="-"),999))-(RIGHT(MID(TRIM(INDEX(PASTE_ALL,40,31)),1+(LEFT(TRIM(INDEX(PASTE_ALL,40,31)),1)="-"),999),1)="%")),"0",""),"1",""),"2",""),"3",""),"4",""),"5",""),"6",""),"7",""),"8",""),"9",""),".",""),",","")=""),2,1))),1)</f>
        <v/>
      </c>
      <c r="BD89">
        <f>IFERROR(IF(ISNUMBER(INDEX(PASTE_ALL,40,32)),2,IF(TRIM(INDEX(PASTE_ALL,40,32))="",0,IF(AND(LEFT(MID(TRIM(INDEX(PASTE_ALL,40,32)),1+(LEFT(TRIM(INDEX(PASTE_ALL,40,32)),1)="-"),999),LEN(MID(TRIM(INDEX(PASTE_ALL,40,32)),1+(LEFT(TRIM(INDEX(PASTE_ALL,40,32)),1)="-"),999))-(RIGHT(MID(TRIM(INDEX(PASTE_ALL,40,32)),1+(LEFT(TRIM(INDEX(PASTE_ALL,40,32)),1)="-"),999),1)="%"))&lt;&gt;"",SUBSTITUTE(SUBSTITUTE(SUBSTITUTE(SUBSTITUTE(SUBSTITUTE(SUBSTITUTE(SUBSTITUTE(SUBSTITUTE(SUBSTITUTE(SUBSTITUTE(SUBSTITUTE(SUBSTITUTE(LEFT(MID(TRIM(INDEX(PASTE_ALL,40,32)),1+(LEFT(TRIM(INDEX(PASTE_ALL,40,32)),1)="-"),999),LEN(MID(TRIM(INDEX(PASTE_ALL,40,32)),1+(LEFT(TRIM(INDEX(PASTE_ALL,40,32)),1)="-"),999))-(RIGHT(MID(TRIM(INDEX(PASTE_ALL,40,32)),1+(LEFT(TRIM(INDEX(PASTE_ALL,40,32)),1)="-"),999),1)="%")),"0",""),"1",""),"2",""),"3",""),"4",""),"5",""),"6",""),"7",""),"8",""),"9",""),".",""),",","")=""),2,1))),1)</f>
        <v/>
      </c>
      <c r="BE89">
        <f>IFERROR(IF(ISNUMBER(INDEX(PASTE_ALL,40,33)),2,IF(TRIM(INDEX(PASTE_ALL,40,33))="",0,IF(AND(LEFT(MID(TRIM(INDEX(PASTE_ALL,40,33)),1+(LEFT(TRIM(INDEX(PASTE_ALL,40,33)),1)="-"),999),LEN(MID(TRIM(INDEX(PASTE_ALL,40,33)),1+(LEFT(TRIM(INDEX(PASTE_ALL,40,33)),1)="-"),999))-(RIGHT(MID(TRIM(INDEX(PASTE_ALL,40,33)),1+(LEFT(TRIM(INDEX(PASTE_ALL,40,33)),1)="-"),999),1)="%"))&lt;&gt;"",SUBSTITUTE(SUBSTITUTE(SUBSTITUTE(SUBSTITUTE(SUBSTITUTE(SUBSTITUTE(SUBSTITUTE(SUBSTITUTE(SUBSTITUTE(SUBSTITUTE(SUBSTITUTE(SUBSTITUTE(LEFT(MID(TRIM(INDEX(PASTE_ALL,40,33)),1+(LEFT(TRIM(INDEX(PASTE_ALL,40,33)),1)="-"),999),LEN(MID(TRIM(INDEX(PASTE_ALL,40,33)),1+(LEFT(TRIM(INDEX(PASTE_ALL,40,33)),1)="-"),999))-(RIGHT(MID(TRIM(INDEX(PASTE_ALL,40,33)),1+(LEFT(TRIM(INDEX(PASTE_ALL,40,33)),1)="-"),999),1)="%")),"0",""),"1",""),"2",""),"3",""),"4",""),"5",""),"6",""),"7",""),"8",""),"9",""),".",""),",","")=""),2,1))),1)</f>
        <v/>
      </c>
      <c r="BF89">
        <f>IFERROR(IF(ISNUMBER(INDEX(PASTE_ALL,40,34)),2,IF(TRIM(INDEX(PASTE_ALL,40,34))="",0,IF(AND(LEFT(MID(TRIM(INDEX(PASTE_ALL,40,34)),1+(LEFT(TRIM(INDEX(PASTE_ALL,40,34)),1)="-"),999),LEN(MID(TRIM(INDEX(PASTE_ALL,40,34)),1+(LEFT(TRIM(INDEX(PASTE_ALL,40,34)),1)="-"),999))-(RIGHT(MID(TRIM(INDEX(PASTE_ALL,40,34)),1+(LEFT(TRIM(INDEX(PASTE_ALL,40,34)),1)="-"),999),1)="%"))&lt;&gt;"",SUBSTITUTE(SUBSTITUTE(SUBSTITUTE(SUBSTITUTE(SUBSTITUTE(SUBSTITUTE(SUBSTITUTE(SUBSTITUTE(SUBSTITUTE(SUBSTITUTE(SUBSTITUTE(SUBSTITUTE(LEFT(MID(TRIM(INDEX(PASTE_ALL,40,34)),1+(LEFT(TRIM(INDEX(PASTE_ALL,40,34)),1)="-"),999),LEN(MID(TRIM(INDEX(PASTE_ALL,40,34)),1+(LEFT(TRIM(INDEX(PASTE_ALL,40,34)),1)="-"),999))-(RIGHT(MID(TRIM(INDEX(PASTE_ALL,40,34)),1+(LEFT(TRIM(INDEX(PASTE_ALL,40,34)),1)="-"),999),1)="%")),"0",""),"1",""),"2",""),"3",""),"4",""),"5",""),"6",""),"7",""),"8",""),"9",""),".",""),",","")=""),2,1))),1)</f>
        <v/>
      </c>
      <c r="BG89">
        <f>IFERROR(IF(ISNUMBER(INDEX(PASTE_ALL,40,35)),2,IF(TRIM(INDEX(PASTE_ALL,40,35))="",0,IF(AND(LEFT(MID(TRIM(INDEX(PASTE_ALL,40,35)),1+(LEFT(TRIM(INDEX(PASTE_ALL,40,35)),1)="-"),999),LEN(MID(TRIM(INDEX(PASTE_ALL,40,35)),1+(LEFT(TRIM(INDEX(PASTE_ALL,40,35)),1)="-"),999))-(RIGHT(MID(TRIM(INDEX(PASTE_ALL,40,35)),1+(LEFT(TRIM(INDEX(PASTE_ALL,40,35)),1)="-"),999),1)="%"))&lt;&gt;"",SUBSTITUTE(SUBSTITUTE(SUBSTITUTE(SUBSTITUTE(SUBSTITUTE(SUBSTITUTE(SUBSTITUTE(SUBSTITUTE(SUBSTITUTE(SUBSTITUTE(SUBSTITUTE(SUBSTITUTE(LEFT(MID(TRIM(INDEX(PASTE_ALL,40,35)),1+(LEFT(TRIM(INDEX(PASTE_ALL,40,35)),1)="-"),999),LEN(MID(TRIM(INDEX(PASTE_ALL,40,35)),1+(LEFT(TRIM(INDEX(PASTE_ALL,40,35)),1)="-"),999))-(RIGHT(MID(TRIM(INDEX(PASTE_ALL,40,35)),1+(LEFT(TRIM(INDEX(PASTE_ALL,40,35)),1)="-"),999),1)="%")),"0",""),"1",""),"2",""),"3",""),"4",""),"5",""),"6",""),"7",""),"8",""),"9",""),".",""),",","")=""),2,1))),1)</f>
        <v/>
      </c>
      <c r="BH89">
        <f>IFERROR(IF(ISNUMBER(INDEX(PASTE_ALL,40,36)),2,IF(TRIM(INDEX(PASTE_ALL,40,36))="",0,IF(AND(LEFT(MID(TRIM(INDEX(PASTE_ALL,40,36)),1+(LEFT(TRIM(INDEX(PASTE_ALL,40,36)),1)="-"),999),LEN(MID(TRIM(INDEX(PASTE_ALL,40,36)),1+(LEFT(TRIM(INDEX(PASTE_ALL,40,36)),1)="-"),999))-(RIGHT(MID(TRIM(INDEX(PASTE_ALL,40,36)),1+(LEFT(TRIM(INDEX(PASTE_ALL,40,36)),1)="-"),999),1)="%"))&lt;&gt;"",SUBSTITUTE(SUBSTITUTE(SUBSTITUTE(SUBSTITUTE(SUBSTITUTE(SUBSTITUTE(SUBSTITUTE(SUBSTITUTE(SUBSTITUTE(SUBSTITUTE(SUBSTITUTE(SUBSTITUTE(LEFT(MID(TRIM(INDEX(PASTE_ALL,40,36)),1+(LEFT(TRIM(INDEX(PASTE_ALL,40,36)),1)="-"),999),LEN(MID(TRIM(INDEX(PASTE_ALL,40,36)),1+(LEFT(TRIM(INDEX(PASTE_ALL,40,36)),1)="-"),999))-(RIGHT(MID(TRIM(INDEX(PASTE_ALL,40,36)),1+(LEFT(TRIM(INDEX(PASTE_ALL,40,36)),1)="-"),999),1)="%")),"0",""),"1",""),"2",""),"3",""),"4",""),"5",""),"6",""),"7",""),"8",""),"9",""),".",""),",","")=""),2,1))),1)</f>
        <v/>
      </c>
      <c r="BI89">
        <f>IFERROR(IF(ISNUMBER(INDEX(PASTE_ALL,40,37)),2,IF(TRIM(INDEX(PASTE_ALL,40,37))="",0,IF(AND(LEFT(MID(TRIM(INDEX(PASTE_ALL,40,37)),1+(LEFT(TRIM(INDEX(PASTE_ALL,40,37)),1)="-"),999),LEN(MID(TRIM(INDEX(PASTE_ALL,40,37)),1+(LEFT(TRIM(INDEX(PASTE_ALL,40,37)),1)="-"),999))-(RIGHT(MID(TRIM(INDEX(PASTE_ALL,40,37)),1+(LEFT(TRIM(INDEX(PASTE_ALL,40,37)),1)="-"),999),1)="%"))&lt;&gt;"",SUBSTITUTE(SUBSTITUTE(SUBSTITUTE(SUBSTITUTE(SUBSTITUTE(SUBSTITUTE(SUBSTITUTE(SUBSTITUTE(SUBSTITUTE(SUBSTITUTE(SUBSTITUTE(SUBSTITUTE(LEFT(MID(TRIM(INDEX(PASTE_ALL,40,37)),1+(LEFT(TRIM(INDEX(PASTE_ALL,40,37)),1)="-"),999),LEN(MID(TRIM(INDEX(PASTE_ALL,40,37)),1+(LEFT(TRIM(INDEX(PASTE_ALL,40,37)),1)="-"),999))-(RIGHT(MID(TRIM(INDEX(PASTE_ALL,40,37)),1+(LEFT(TRIM(INDEX(PASTE_ALL,40,37)),1)="-"),999),1)="%")),"0",""),"1",""),"2",""),"3",""),"4",""),"5",""),"6",""),"7",""),"8",""),"9",""),".",""),",","")=""),2,1))),1)</f>
        <v/>
      </c>
      <c r="BJ89">
        <f>IFERROR(IF(ISNUMBER(INDEX(PASTE_ALL,40,38)),2,IF(TRIM(INDEX(PASTE_ALL,40,38))="",0,IF(AND(LEFT(MID(TRIM(INDEX(PASTE_ALL,40,38)),1+(LEFT(TRIM(INDEX(PASTE_ALL,40,38)),1)="-"),999),LEN(MID(TRIM(INDEX(PASTE_ALL,40,38)),1+(LEFT(TRIM(INDEX(PASTE_ALL,40,38)),1)="-"),999))-(RIGHT(MID(TRIM(INDEX(PASTE_ALL,40,38)),1+(LEFT(TRIM(INDEX(PASTE_ALL,40,38)),1)="-"),999),1)="%"))&lt;&gt;"",SUBSTITUTE(SUBSTITUTE(SUBSTITUTE(SUBSTITUTE(SUBSTITUTE(SUBSTITUTE(SUBSTITUTE(SUBSTITUTE(SUBSTITUTE(SUBSTITUTE(SUBSTITUTE(SUBSTITUTE(LEFT(MID(TRIM(INDEX(PASTE_ALL,40,38)),1+(LEFT(TRIM(INDEX(PASTE_ALL,40,38)),1)="-"),999),LEN(MID(TRIM(INDEX(PASTE_ALL,40,38)),1+(LEFT(TRIM(INDEX(PASTE_ALL,40,38)),1)="-"),999))-(RIGHT(MID(TRIM(INDEX(PASTE_ALL,40,38)),1+(LEFT(TRIM(INDEX(PASTE_ALL,40,38)),1)="-"),999),1)="%")),"0",""),"1",""),"2",""),"3",""),"4",""),"5",""),"6",""),"7",""),"8",""),"9",""),".",""),",","")=""),2,1))),1)</f>
        <v/>
      </c>
      <c r="BK89">
        <f>IFERROR(IF(ISNUMBER(INDEX(PASTE_ALL,40,39)),2,IF(TRIM(INDEX(PASTE_ALL,40,39))="",0,IF(AND(LEFT(MID(TRIM(INDEX(PASTE_ALL,40,39)),1+(LEFT(TRIM(INDEX(PASTE_ALL,40,39)),1)="-"),999),LEN(MID(TRIM(INDEX(PASTE_ALL,40,39)),1+(LEFT(TRIM(INDEX(PASTE_ALL,40,39)),1)="-"),999))-(RIGHT(MID(TRIM(INDEX(PASTE_ALL,40,39)),1+(LEFT(TRIM(INDEX(PASTE_ALL,40,39)),1)="-"),999),1)="%"))&lt;&gt;"",SUBSTITUTE(SUBSTITUTE(SUBSTITUTE(SUBSTITUTE(SUBSTITUTE(SUBSTITUTE(SUBSTITUTE(SUBSTITUTE(SUBSTITUTE(SUBSTITUTE(SUBSTITUTE(SUBSTITUTE(LEFT(MID(TRIM(INDEX(PASTE_ALL,40,39)),1+(LEFT(TRIM(INDEX(PASTE_ALL,40,39)),1)="-"),999),LEN(MID(TRIM(INDEX(PASTE_ALL,40,39)),1+(LEFT(TRIM(INDEX(PASTE_ALL,40,39)),1)="-"),999))-(RIGHT(MID(TRIM(INDEX(PASTE_ALL,40,39)),1+(LEFT(TRIM(INDEX(PASTE_ALL,40,39)),1)="-"),999),1)="%")),"0",""),"1",""),"2",""),"3",""),"4",""),"5",""),"6",""),"7",""),"8",""),"9",""),".",""),",","")=""),2,1))),1)</f>
        <v/>
      </c>
      <c r="BL89">
        <f>IFERROR(IF(ISNUMBER(INDEX(PASTE_ALL,40,40)),2,IF(TRIM(INDEX(PASTE_ALL,40,40))="",0,IF(AND(LEFT(MID(TRIM(INDEX(PASTE_ALL,40,40)),1+(LEFT(TRIM(INDEX(PASTE_ALL,40,40)),1)="-"),999),LEN(MID(TRIM(INDEX(PASTE_ALL,40,40)),1+(LEFT(TRIM(INDEX(PASTE_ALL,40,40)),1)="-"),999))-(RIGHT(MID(TRIM(INDEX(PASTE_ALL,40,40)),1+(LEFT(TRIM(INDEX(PASTE_ALL,40,40)),1)="-"),999),1)="%"))&lt;&gt;"",SUBSTITUTE(SUBSTITUTE(SUBSTITUTE(SUBSTITUTE(SUBSTITUTE(SUBSTITUTE(SUBSTITUTE(SUBSTITUTE(SUBSTITUTE(SUBSTITUTE(SUBSTITUTE(SUBSTITUTE(LEFT(MID(TRIM(INDEX(PASTE_ALL,40,40)),1+(LEFT(TRIM(INDEX(PASTE_ALL,40,40)),1)="-"),999),LEN(MID(TRIM(INDEX(PASTE_ALL,40,40)),1+(LEFT(TRIM(INDEX(PASTE_ALL,40,40)),1)="-"),999))-(RIGHT(MID(TRIM(INDEX(PASTE_ALL,40,40)),1+(LEFT(TRIM(INDEX(PASTE_ALL,40,40)),1)="-"),999),1)="%")),"0",""),"1",""),"2",""),"3",""),"4",""),"5",""),"6",""),"7",""),"8",""),"9",""),".",""),",","")=""),2,1))),1)</f>
        <v/>
      </c>
      <c r="BM89">
        <f>IFERROR(IF(ISNUMBER(INDEX(PASTE_ALL,40,41)),2,IF(TRIM(INDEX(PASTE_ALL,40,41))="",0,IF(AND(LEFT(MID(TRIM(INDEX(PASTE_ALL,40,41)),1+(LEFT(TRIM(INDEX(PASTE_ALL,40,41)),1)="-"),999),LEN(MID(TRIM(INDEX(PASTE_ALL,40,41)),1+(LEFT(TRIM(INDEX(PASTE_ALL,40,41)),1)="-"),999))-(RIGHT(MID(TRIM(INDEX(PASTE_ALL,40,41)),1+(LEFT(TRIM(INDEX(PASTE_ALL,40,41)),1)="-"),999),1)="%"))&lt;&gt;"",SUBSTITUTE(SUBSTITUTE(SUBSTITUTE(SUBSTITUTE(SUBSTITUTE(SUBSTITUTE(SUBSTITUTE(SUBSTITUTE(SUBSTITUTE(SUBSTITUTE(SUBSTITUTE(SUBSTITUTE(LEFT(MID(TRIM(INDEX(PASTE_ALL,40,41)),1+(LEFT(TRIM(INDEX(PASTE_ALL,40,41)),1)="-"),999),LEN(MID(TRIM(INDEX(PASTE_ALL,40,41)),1+(LEFT(TRIM(INDEX(PASTE_ALL,40,41)),1)="-"),999))-(RIGHT(MID(TRIM(INDEX(PASTE_ALL,40,41)),1+(LEFT(TRIM(INDEX(PASTE_ALL,40,41)),1)="-"),999),1)="%")),"0",""),"1",""),"2",""),"3",""),"4",""),"5",""),"6",""),"7",""),"8",""),"9",""),".",""),",","")=""),2,1))),1)</f>
        <v/>
      </c>
      <c r="BN89">
        <f>IFERROR(IF(ISNUMBER(INDEX(PASTE_ALL,40,42)),2,IF(TRIM(INDEX(PASTE_ALL,40,42))="",0,IF(AND(LEFT(MID(TRIM(INDEX(PASTE_ALL,40,42)),1+(LEFT(TRIM(INDEX(PASTE_ALL,40,42)),1)="-"),999),LEN(MID(TRIM(INDEX(PASTE_ALL,40,42)),1+(LEFT(TRIM(INDEX(PASTE_ALL,40,42)),1)="-"),999))-(RIGHT(MID(TRIM(INDEX(PASTE_ALL,40,42)),1+(LEFT(TRIM(INDEX(PASTE_ALL,40,42)),1)="-"),999),1)="%"))&lt;&gt;"",SUBSTITUTE(SUBSTITUTE(SUBSTITUTE(SUBSTITUTE(SUBSTITUTE(SUBSTITUTE(SUBSTITUTE(SUBSTITUTE(SUBSTITUTE(SUBSTITUTE(SUBSTITUTE(SUBSTITUTE(LEFT(MID(TRIM(INDEX(PASTE_ALL,40,42)),1+(LEFT(TRIM(INDEX(PASTE_ALL,40,42)),1)="-"),999),LEN(MID(TRIM(INDEX(PASTE_ALL,40,42)),1+(LEFT(TRIM(INDEX(PASTE_ALL,40,42)),1)="-"),999))-(RIGHT(MID(TRIM(INDEX(PASTE_ALL,40,42)),1+(LEFT(TRIM(INDEX(PASTE_ALL,40,42)),1)="-"),999),1)="%")),"0",""),"1",""),"2",""),"3",""),"4",""),"5",""),"6",""),"7",""),"8",""),"9",""),".",""),",","")=""),2,1))),1)</f>
        <v/>
      </c>
      <c r="BO89">
        <f>IFERROR(IF(ISNUMBER(INDEX(PASTE_ALL,40,43)),2,IF(TRIM(INDEX(PASTE_ALL,40,43))="",0,IF(AND(LEFT(MID(TRIM(INDEX(PASTE_ALL,40,43)),1+(LEFT(TRIM(INDEX(PASTE_ALL,40,43)),1)="-"),999),LEN(MID(TRIM(INDEX(PASTE_ALL,40,43)),1+(LEFT(TRIM(INDEX(PASTE_ALL,40,43)),1)="-"),999))-(RIGHT(MID(TRIM(INDEX(PASTE_ALL,40,43)),1+(LEFT(TRIM(INDEX(PASTE_ALL,40,43)),1)="-"),999),1)="%"))&lt;&gt;"",SUBSTITUTE(SUBSTITUTE(SUBSTITUTE(SUBSTITUTE(SUBSTITUTE(SUBSTITUTE(SUBSTITUTE(SUBSTITUTE(SUBSTITUTE(SUBSTITUTE(SUBSTITUTE(SUBSTITUTE(LEFT(MID(TRIM(INDEX(PASTE_ALL,40,43)),1+(LEFT(TRIM(INDEX(PASTE_ALL,40,43)),1)="-"),999),LEN(MID(TRIM(INDEX(PASTE_ALL,40,43)),1+(LEFT(TRIM(INDEX(PASTE_ALL,40,43)),1)="-"),999))-(RIGHT(MID(TRIM(INDEX(PASTE_ALL,40,43)),1+(LEFT(TRIM(INDEX(PASTE_ALL,40,43)),1)="-"),999),1)="%")),"0",""),"1",""),"2",""),"3",""),"4",""),"5",""),"6",""),"7",""),"8",""),"9",""),".",""),",","")=""),2,1))),1)</f>
        <v/>
      </c>
      <c r="BP89">
        <f>IFERROR(IF(ISNUMBER(INDEX(PASTE_ALL,40,44)),2,IF(TRIM(INDEX(PASTE_ALL,40,44))="",0,IF(AND(LEFT(MID(TRIM(INDEX(PASTE_ALL,40,44)),1+(LEFT(TRIM(INDEX(PASTE_ALL,40,44)),1)="-"),999),LEN(MID(TRIM(INDEX(PASTE_ALL,40,44)),1+(LEFT(TRIM(INDEX(PASTE_ALL,40,44)),1)="-"),999))-(RIGHT(MID(TRIM(INDEX(PASTE_ALL,40,44)),1+(LEFT(TRIM(INDEX(PASTE_ALL,40,44)),1)="-"),999),1)="%"))&lt;&gt;"",SUBSTITUTE(SUBSTITUTE(SUBSTITUTE(SUBSTITUTE(SUBSTITUTE(SUBSTITUTE(SUBSTITUTE(SUBSTITUTE(SUBSTITUTE(SUBSTITUTE(SUBSTITUTE(SUBSTITUTE(LEFT(MID(TRIM(INDEX(PASTE_ALL,40,44)),1+(LEFT(TRIM(INDEX(PASTE_ALL,40,44)),1)="-"),999),LEN(MID(TRIM(INDEX(PASTE_ALL,40,44)),1+(LEFT(TRIM(INDEX(PASTE_ALL,40,44)),1)="-"),999))-(RIGHT(MID(TRIM(INDEX(PASTE_ALL,40,44)),1+(LEFT(TRIM(INDEX(PASTE_ALL,40,44)),1)="-"),999),1)="%")),"0",""),"1",""),"2",""),"3",""),"4",""),"5",""),"6",""),"7",""),"8",""),"9",""),".",""),",","")=""),2,1))),1)</f>
        <v/>
      </c>
      <c r="BQ89">
        <f>IFERROR(IF(ISNUMBER(INDEX(PASTE_ALL,40,45)),2,IF(TRIM(INDEX(PASTE_ALL,40,45))="",0,IF(AND(LEFT(MID(TRIM(INDEX(PASTE_ALL,40,45)),1+(LEFT(TRIM(INDEX(PASTE_ALL,40,45)),1)="-"),999),LEN(MID(TRIM(INDEX(PASTE_ALL,40,45)),1+(LEFT(TRIM(INDEX(PASTE_ALL,40,45)),1)="-"),999))-(RIGHT(MID(TRIM(INDEX(PASTE_ALL,40,45)),1+(LEFT(TRIM(INDEX(PASTE_ALL,40,45)),1)="-"),999),1)="%"))&lt;&gt;"",SUBSTITUTE(SUBSTITUTE(SUBSTITUTE(SUBSTITUTE(SUBSTITUTE(SUBSTITUTE(SUBSTITUTE(SUBSTITUTE(SUBSTITUTE(SUBSTITUTE(SUBSTITUTE(SUBSTITUTE(LEFT(MID(TRIM(INDEX(PASTE_ALL,40,45)),1+(LEFT(TRIM(INDEX(PASTE_ALL,40,45)),1)="-"),999),LEN(MID(TRIM(INDEX(PASTE_ALL,40,45)),1+(LEFT(TRIM(INDEX(PASTE_ALL,40,45)),1)="-"),999))-(RIGHT(MID(TRIM(INDEX(PASTE_ALL,40,45)),1+(LEFT(TRIM(INDEX(PASTE_ALL,40,45)),1)="-"),999),1)="%")),"0",""),"1",""),"2",""),"3",""),"4",""),"5",""),"6",""),"7",""),"8",""),"9",""),".",""),",","")=""),2,1))),1)</f>
        <v/>
      </c>
      <c r="BR89">
        <f>IFERROR(IF(ISNUMBER(INDEX(PASTE_ALL,40,46)),2,IF(TRIM(INDEX(PASTE_ALL,40,46))="",0,IF(AND(LEFT(MID(TRIM(INDEX(PASTE_ALL,40,46)),1+(LEFT(TRIM(INDEX(PASTE_ALL,40,46)),1)="-"),999),LEN(MID(TRIM(INDEX(PASTE_ALL,40,46)),1+(LEFT(TRIM(INDEX(PASTE_ALL,40,46)),1)="-"),999))-(RIGHT(MID(TRIM(INDEX(PASTE_ALL,40,46)),1+(LEFT(TRIM(INDEX(PASTE_ALL,40,46)),1)="-"),999),1)="%"))&lt;&gt;"",SUBSTITUTE(SUBSTITUTE(SUBSTITUTE(SUBSTITUTE(SUBSTITUTE(SUBSTITUTE(SUBSTITUTE(SUBSTITUTE(SUBSTITUTE(SUBSTITUTE(SUBSTITUTE(SUBSTITUTE(LEFT(MID(TRIM(INDEX(PASTE_ALL,40,46)),1+(LEFT(TRIM(INDEX(PASTE_ALL,40,46)),1)="-"),999),LEN(MID(TRIM(INDEX(PASTE_ALL,40,46)),1+(LEFT(TRIM(INDEX(PASTE_ALL,40,46)),1)="-"),999))-(RIGHT(MID(TRIM(INDEX(PASTE_ALL,40,46)),1+(LEFT(TRIM(INDEX(PASTE_ALL,40,46)),1)="-"),999),1)="%")),"0",""),"1",""),"2",""),"3",""),"4",""),"5",""),"6",""),"7",""),"8",""),"9",""),".",""),",","")=""),2,1))),1)</f>
        <v/>
      </c>
      <c r="BS89">
        <f>IFERROR(IF(ISNUMBER(INDEX(PASTE_ALL,40,47)),2,IF(TRIM(INDEX(PASTE_ALL,40,47))="",0,IF(AND(LEFT(MID(TRIM(INDEX(PASTE_ALL,40,47)),1+(LEFT(TRIM(INDEX(PASTE_ALL,40,47)),1)="-"),999),LEN(MID(TRIM(INDEX(PASTE_ALL,40,47)),1+(LEFT(TRIM(INDEX(PASTE_ALL,40,47)),1)="-"),999))-(RIGHT(MID(TRIM(INDEX(PASTE_ALL,40,47)),1+(LEFT(TRIM(INDEX(PASTE_ALL,40,47)),1)="-"),999),1)="%"))&lt;&gt;"",SUBSTITUTE(SUBSTITUTE(SUBSTITUTE(SUBSTITUTE(SUBSTITUTE(SUBSTITUTE(SUBSTITUTE(SUBSTITUTE(SUBSTITUTE(SUBSTITUTE(SUBSTITUTE(SUBSTITUTE(LEFT(MID(TRIM(INDEX(PASTE_ALL,40,47)),1+(LEFT(TRIM(INDEX(PASTE_ALL,40,47)),1)="-"),999),LEN(MID(TRIM(INDEX(PASTE_ALL,40,47)),1+(LEFT(TRIM(INDEX(PASTE_ALL,40,47)),1)="-"),999))-(RIGHT(MID(TRIM(INDEX(PASTE_ALL,40,47)),1+(LEFT(TRIM(INDEX(PASTE_ALL,40,47)),1)="-"),999),1)="%")),"0",""),"1",""),"2",""),"3",""),"4",""),"5",""),"6",""),"7",""),"8",""),"9",""),".",""),",","")=""),2,1))),1)</f>
        <v/>
      </c>
      <c r="BT89">
        <f>IFERROR(IF(ISNUMBER(INDEX(PASTE_ALL,40,48)),2,IF(TRIM(INDEX(PASTE_ALL,40,48))="",0,IF(AND(LEFT(MID(TRIM(INDEX(PASTE_ALL,40,48)),1+(LEFT(TRIM(INDEX(PASTE_ALL,40,48)),1)="-"),999),LEN(MID(TRIM(INDEX(PASTE_ALL,40,48)),1+(LEFT(TRIM(INDEX(PASTE_ALL,40,48)),1)="-"),999))-(RIGHT(MID(TRIM(INDEX(PASTE_ALL,40,48)),1+(LEFT(TRIM(INDEX(PASTE_ALL,40,48)),1)="-"),999),1)="%"))&lt;&gt;"",SUBSTITUTE(SUBSTITUTE(SUBSTITUTE(SUBSTITUTE(SUBSTITUTE(SUBSTITUTE(SUBSTITUTE(SUBSTITUTE(SUBSTITUTE(SUBSTITUTE(SUBSTITUTE(SUBSTITUTE(LEFT(MID(TRIM(INDEX(PASTE_ALL,40,48)),1+(LEFT(TRIM(INDEX(PASTE_ALL,40,48)),1)="-"),999),LEN(MID(TRIM(INDEX(PASTE_ALL,40,48)),1+(LEFT(TRIM(INDEX(PASTE_ALL,40,48)),1)="-"),999))-(RIGHT(MID(TRIM(INDEX(PASTE_ALL,40,48)),1+(LEFT(TRIM(INDEX(PASTE_ALL,40,48)),1)="-"),999),1)="%")),"0",""),"1",""),"2",""),"3",""),"4",""),"5",""),"6",""),"7",""),"8",""),"9",""),".",""),",","")=""),2,1))),1)</f>
        <v/>
      </c>
      <c r="BU89">
        <f>IFERROR(IF(ISNUMBER(INDEX(PASTE_ALL,40,49)),2,IF(TRIM(INDEX(PASTE_ALL,40,49))="",0,IF(AND(LEFT(MID(TRIM(INDEX(PASTE_ALL,40,49)),1+(LEFT(TRIM(INDEX(PASTE_ALL,40,49)),1)="-"),999),LEN(MID(TRIM(INDEX(PASTE_ALL,40,49)),1+(LEFT(TRIM(INDEX(PASTE_ALL,40,49)),1)="-"),999))-(RIGHT(MID(TRIM(INDEX(PASTE_ALL,40,49)),1+(LEFT(TRIM(INDEX(PASTE_ALL,40,49)),1)="-"),999),1)="%"))&lt;&gt;"",SUBSTITUTE(SUBSTITUTE(SUBSTITUTE(SUBSTITUTE(SUBSTITUTE(SUBSTITUTE(SUBSTITUTE(SUBSTITUTE(SUBSTITUTE(SUBSTITUTE(SUBSTITUTE(SUBSTITUTE(LEFT(MID(TRIM(INDEX(PASTE_ALL,40,49)),1+(LEFT(TRIM(INDEX(PASTE_ALL,40,49)),1)="-"),999),LEN(MID(TRIM(INDEX(PASTE_ALL,40,49)),1+(LEFT(TRIM(INDEX(PASTE_ALL,40,49)),1)="-"),999))-(RIGHT(MID(TRIM(INDEX(PASTE_ALL,40,49)),1+(LEFT(TRIM(INDEX(PASTE_ALL,40,49)),1)="-"),999),1)="%")),"0",""),"1",""),"2",""),"3",""),"4",""),"5",""),"6",""),"7",""),"8",""),"9",""),".",""),",","")=""),2,1))),1)</f>
        <v/>
      </c>
      <c r="BV89">
        <f>IFERROR(IF(ISNUMBER(INDEX(PASTE_ALL,40,50)),2,IF(TRIM(INDEX(PASTE_ALL,40,50))="",0,IF(AND(LEFT(MID(TRIM(INDEX(PASTE_ALL,40,50)),1+(LEFT(TRIM(INDEX(PASTE_ALL,40,50)),1)="-"),999),LEN(MID(TRIM(INDEX(PASTE_ALL,40,50)),1+(LEFT(TRIM(INDEX(PASTE_ALL,40,50)),1)="-"),999))-(RIGHT(MID(TRIM(INDEX(PASTE_ALL,40,50)),1+(LEFT(TRIM(INDEX(PASTE_ALL,40,50)),1)="-"),999),1)="%"))&lt;&gt;"",SUBSTITUTE(SUBSTITUTE(SUBSTITUTE(SUBSTITUTE(SUBSTITUTE(SUBSTITUTE(SUBSTITUTE(SUBSTITUTE(SUBSTITUTE(SUBSTITUTE(SUBSTITUTE(SUBSTITUTE(LEFT(MID(TRIM(INDEX(PASTE_ALL,40,50)),1+(LEFT(TRIM(INDEX(PASTE_ALL,40,50)),1)="-"),999),LEN(MID(TRIM(INDEX(PASTE_ALL,40,50)),1+(LEFT(TRIM(INDEX(PASTE_ALL,40,50)),1)="-"),999))-(RIGHT(MID(TRIM(INDEX(PASTE_ALL,40,50)),1+(LEFT(TRIM(INDEX(PASTE_ALL,40,50)),1)="-"),999),1)="%")),"0",""),"1",""),"2",""),"3",""),"4",""),"5",""),"6",""),"7",""),"8",""),"9",""),".",""),",","")=""),2,1))),1)</f>
        <v/>
      </c>
      <c r="BW89">
        <f>IFERROR(IF(ISNUMBER(INDEX(PASTE_ALL,40,51)),2,IF(TRIM(INDEX(PASTE_ALL,40,51))="",0,IF(AND(LEFT(MID(TRIM(INDEX(PASTE_ALL,40,51)),1+(LEFT(TRIM(INDEX(PASTE_ALL,40,51)),1)="-"),999),LEN(MID(TRIM(INDEX(PASTE_ALL,40,51)),1+(LEFT(TRIM(INDEX(PASTE_ALL,40,51)),1)="-"),999))-(RIGHT(MID(TRIM(INDEX(PASTE_ALL,40,51)),1+(LEFT(TRIM(INDEX(PASTE_ALL,40,51)),1)="-"),999),1)="%"))&lt;&gt;"",SUBSTITUTE(SUBSTITUTE(SUBSTITUTE(SUBSTITUTE(SUBSTITUTE(SUBSTITUTE(SUBSTITUTE(SUBSTITUTE(SUBSTITUTE(SUBSTITUTE(SUBSTITUTE(SUBSTITUTE(LEFT(MID(TRIM(INDEX(PASTE_ALL,40,51)),1+(LEFT(TRIM(INDEX(PASTE_ALL,40,51)),1)="-"),999),LEN(MID(TRIM(INDEX(PASTE_ALL,40,51)),1+(LEFT(TRIM(INDEX(PASTE_ALL,40,51)),1)="-"),999))-(RIGHT(MID(TRIM(INDEX(PASTE_ALL,40,51)),1+(LEFT(TRIM(INDEX(PASTE_ALL,40,51)),1)="-"),999),1)="%")),"0",""),"1",""),"2",""),"3",""),"4",""),"5",""),"6",""),"7",""),"8",""),"9",""),".",""),",","")=""),2,1))),1)</f>
        <v/>
      </c>
      <c r="BX89">
        <f>IFERROR(IF(ISNUMBER(INDEX(PASTE_ALL,40,52)),2,IF(TRIM(INDEX(PASTE_ALL,40,52))="",0,IF(AND(LEFT(MID(TRIM(INDEX(PASTE_ALL,40,52)),1+(LEFT(TRIM(INDEX(PASTE_ALL,40,52)),1)="-"),999),LEN(MID(TRIM(INDEX(PASTE_ALL,40,52)),1+(LEFT(TRIM(INDEX(PASTE_ALL,40,52)),1)="-"),999))-(RIGHT(MID(TRIM(INDEX(PASTE_ALL,40,52)),1+(LEFT(TRIM(INDEX(PASTE_ALL,40,52)),1)="-"),999),1)="%"))&lt;&gt;"",SUBSTITUTE(SUBSTITUTE(SUBSTITUTE(SUBSTITUTE(SUBSTITUTE(SUBSTITUTE(SUBSTITUTE(SUBSTITUTE(SUBSTITUTE(SUBSTITUTE(SUBSTITUTE(SUBSTITUTE(LEFT(MID(TRIM(INDEX(PASTE_ALL,40,52)),1+(LEFT(TRIM(INDEX(PASTE_ALL,40,52)),1)="-"),999),LEN(MID(TRIM(INDEX(PASTE_ALL,40,52)),1+(LEFT(TRIM(INDEX(PASTE_ALL,40,52)),1)="-"),999))-(RIGHT(MID(TRIM(INDEX(PASTE_ALL,40,52)),1+(LEFT(TRIM(INDEX(PASTE_ALL,40,52)),1)="-"),999),1)="%")),"0",""),"1",""),"2",""),"3",""),"4",""),"5",""),"6",""),"7",""),"8",""),"9",""),".",""),",","")=""),2,1))),1)</f>
        <v/>
      </c>
      <c r="BY89">
        <f>IFERROR(IF(ISNUMBER(INDEX(PASTE_ALL,40,53)),2,IF(TRIM(INDEX(PASTE_ALL,40,53))="",0,IF(AND(LEFT(MID(TRIM(INDEX(PASTE_ALL,40,53)),1+(LEFT(TRIM(INDEX(PASTE_ALL,40,53)),1)="-"),999),LEN(MID(TRIM(INDEX(PASTE_ALL,40,53)),1+(LEFT(TRIM(INDEX(PASTE_ALL,40,53)),1)="-"),999))-(RIGHT(MID(TRIM(INDEX(PASTE_ALL,40,53)),1+(LEFT(TRIM(INDEX(PASTE_ALL,40,53)),1)="-"),999),1)="%"))&lt;&gt;"",SUBSTITUTE(SUBSTITUTE(SUBSTITUTE(SUBSTITUTE(SUBSTITUTE(SUBSTITUTE(SUBSTITUTE(SUBSTITUTE(SUBSTITUTE(SUBSTITUTE(SUBSTITUTE(SUBSTITUTE(LEFT(MID(TRIM(INDEX(PASTE_ALL,40,53)),1+(LEFT(TRIM(INDEX(PASTE_ALL,40,53)),1)="-"),999),LEN(MID(TRIM(INDEX(PASTE_ALL,40,53)),1+(LEFT(TRIM(INDEX(PASTE_ALL,40,53)),1)="-"),999))-(RIGHT(MID(TRIM(INDEX(PASTE_ALL,40,53)),1+(LEFT(TRIM(INDEX(PASTE_ALL,40,53)),1)="-"),999),1)="%")),"0",""),"1",""),"2",""),"3",""),"4",""),"5",""),"6",""),"7",""),"8",""),"9",""),".",""),",","")=""),2,1))),1)</f>
        <v/>
      </c>
      <c r="BZ89">
        <f>IFERROR(IF(ISNUMBER(INDEX(PASTE_ALL,40,54)),2,IF(TRIM(INDEX(PASTE_ALL,40,54))="",0,IF(AND(LEFT(MID(TRIM(INDEX(PASTE_ALL,40,54)),1+(LEFT(TRIM(INDEX(PASTE_ALL,40,54)),1)="-"),999),LEN(MID(TRIM(INDEX(PASTE_ALL,40,54)),1+(LEFT(TRIM(INDEX(PASTE_ALL,40,54)),1)="-"),999))-(RIGHT(MID(TRIM(INDEX(PASTE_ALL,40,54)),1+(LEFT(TRIM(INDEX(PASTE_ALL,40,54)),1)="-"),999),1)="%"))&lt;&gt;"",SUBSTITUTE(SUBSTITUTE(SUBSTITUTE(SUBSTITUTE(SUBSTITUTE(SUBSTITUTE(SUBSTITUTE(SUBSTITUTE(SUBSTITUTE(SUBSTITUTE(SUBSTITUTE(SUBSTITUTE(LEFT(MID(TRIM(INDEX(PASTE_ALL,40,54)),1+(LEFT(TRIM(INDEX(PASTE_ALL,40,54)),1)="-"),999),LEN(MID(TRIM(INDEX(PASTE_ALL,40,54)),1+(LEFT(TRIM(INDEX(PASTE_ALL,40,54)),1)="-"),999))-(RIGHT(MID(TRIM(INDEX(PASTE_ALL,40,54)),1+(LEFT(TRIM(INDEX(PASTE_ALL,40,54)),1)="-"),999),1)="%")),"0",""),"1",""),"2",""),"3",""),"4",""),"5",""),"6",""),"7",""),"8",""),"9",""),".",""),",","")=""),2,1))),1)</f>
        <v/>
      </c>
      <c r="CA89">
        <f>IFERROR(IF(ISNUMBER(INDEX(PASTE_ALL,40,55)),2,IF(TRIM(INDEX(PASTE_ALL,40,55))="",0,IF(AND(LEFT(MID(TRIM(INDEX(PASTE_ALL,40,55)),1+(LEFT(TRIM(INDEX(PASTE_ALL,40,55)),1)="-"),999),LEN(MID(TRIM(INDEX(PASTE_ALL,40,55)),1+(LEFT(TRIM(INDEX(PASTE_ALL,40,55)),1)="-"),999))-(RIGHT(MID(TRIM(INDEX(PASTE_ALL,40,55)),1+(LEFT(TRIM(INDEX(PASTE_ALL,40,55)),1)="-"),999),1)="%"))&lt;&gt;"",SUBSTITUTE(SUBSTITUTE(SUBSTITUTE(SUBSTITUTE(SUBSTITUTE(SUBSTITUTE(SUBSTITUTE(SUBSTITUTE(SUBSTITUTE(SUBSTITUTE(SUBSTITUTE(SUBSTITUTE(LEFT(MID(TRIM(INDEX(PASTE_ALL,40,55)),1+(LEFT(TRIM(INDEX(PASTE_ALL,40,55)),1)="-"),999),LEN(MID(TRIM(INDEX(PASTE_ALL,40,55)),1+(LEFT(TRIM(INDEX(PASTE_ALL,40,55)),1)="-"),999))-(RIGHT(MID(TRIM(INDEX(PASTE_ALL,40,55)),1+(LEFT(TRIM(INDEX(PASTE_ALL,40,55)),1)="-"),999),1)="%")),"0",""),"1",""),"2",""),"3",""),"4",""),"5",""),"6",""),"7",""),"8",""),"9",""),".",""),",","")=""),2,1))),1)</f>
        <v/>
      </c>
      <c r="CB89">
        <f>IFERROR(IF(ISNUMBER(INDEX(PASTE_ALL,40,56)),2,IF(TRIM(INDEX(PASTE_ALL,40,56))="",0,IF(AND(LEFT(MID(TRIM(INDEX(PASTE_ALL,40,56)),1+(LEFT(TRIM(INDEX(PASTE_ALL,40,56)),1)="-"),999),LEN(MID(TRIM(INDEX(PASTE_ALL,40,56)),1+(LEFT(TRIM(INDEX(PASTE_ALL,40,56)),1)="-"),999))-(RIGHT(MID(TRIM(INDEX(PASTE_ALL,40,56)),1+(LEFT(TRIM(INDEX(PASTE_ALL,40,56)),1)="-"),999),1)="%"))&lt;&gt;"",SUBSTITUTE(SUBSTITUTE(SUBSTITUTE(SUBSTITUTE(SUBSTITUTE(SUBSTITUTE(SUBSTITUTE(SUBSTITUTE(SUBSTITUTE(SUBSTITUTE(SUBSTITUTE(SUBSTITUTE(LEFT(MID(TRIM(INDEX(PASTE_ALL,40,56)),1+(LEFT(TRIM(INDEX(PASTE_ALL,40,56)),1)="-"),999),LEN(MID(TRIM(INDEX(PASTE_ALL,40,56)),1+(LEFT(TRIM(INDEX(PASTE_ALL,40,56)),1)="-"),999))-(RIGHT(MID(TRIM(INDEX(PASTE_ALL,40,56)),1+(LEFT(TRIM(INDEX(PASTE_ALL,40,56)),1)="-"),999),1)="%")),"0",""),"1",""),"2",""),"3",""),"4",""),"5",""),"6",""),"7",""),"8",""),"9",""),".",""),",","")=""),2,1))),1)</f>
        <v/>
      </c>
      <c r="CC89">
        <f>IFERROR(IF(ISNUMBER(INDEX(PASTE_ALL,40,57)),2,IF(TRIM(INDEX(PASTE_ALL,40,57))="",0,IF(AND(LEFT(MID(TRIM(INDEX(PASTE_ALL,40,57)),1+(LEFT(TRIM(INDEX(PASTE_ALL,40,57)),1)="-"),999),LEN(MID(TRIM(INDEX(PASTE_ALL,40,57)),1+(LEFT(TRIM(INDEX(PASTE_ALL,40,57)),1)="-"),999))-(RIGHT(MID(TRIM(INDEX(PASTE_ALL,40,57)),1+(LEFT(TRIM(INDEX(PASTE_ALL,40,57)),1)="-"),999),1)="%"))&lt;&gt;"",SUBSTITUTE(SUBSTITUTE(SUBSTITUTE(SUBSTITUTE(SUBSTITUTE(SUBSTITUTE(SUBSTITUTE(SUBSTITUTE(SUBSTITUTE(SUBSTITUTE(SUBSTITUTE(SUBSTITUTE(LEFT(MID(TRIM(INDEX(PASTE_ALL,40,57)),1+(LEFT(TRIM(INDEX(PASTE_ALL,40,57)),1)="-"),999),LEN(MID(TRIM(INDEX(PASTE_ALL,40,57)),1+(LEFT(TRIM(INDEX(PASTE_ALL,40,57)),1)="-"),999))-(RIGHT(MID(TRIM(INDEX(PASTE_ALL,40,57)),1+(LEFT(TRIM(INDEX(PASTE_ALL,40,57)),1)="-"),999),1)="%")),"0",""),"1",""),"2",""),"3",""),"4",""),"5",""),"6",""),"7",""),"8",""),"9",""),".",""),",","")=""),2,1))),1)</f>
        <v/>
      </c>
      <c r="CD89">
        <f>IFERROR(IF(ISNUMBER(INDEX(PASTE_ALL,40,58)),2,IF(TRIM(INDEX(PASTE_ALL,40,58))="",0,IF(AND(LEFT(MID(TRIM(INDEX(PASTE_ALL,40,58)),1+(LEFT(TRIM(INDEX(PASTE_ALL,40,58)),1)="-"),999),LEN(MID(TRIM(INDEX(PASTE_ALL,40,58)),1+(LEFT(TRIM(INDEX(PASTE_ALL,40,58)),1)="-"),999))-(RIGHT(MID(TRIM(INDEX(PASTE_ALL,40,58)),1+(LEFT(TRIM(INDEX(PASTE_ALL,40,58)),1)="-"),999),1)="%"))&lt;&gt;"",SUBSTITUTE(SUBSTITUTE(SUBSTITUTE(SUBSTITUTE(SUBSTITUTE(SUBSTITUTE(SUBSTITUTE(SUBSTITUTE(SUBSTITUTE(SUBSTITUTE(SUBSTITUTE(SUBSTITUTE(LEFT(MID(TRIM(INDEX(PASTE_ALL,40,58)),1+(LEFT(TRIM(INDEX(PASTE_ALL,40,58)),1)="-"),999),LEN(MID(TRIM(INDEX(PASTE_ALL,40,58)),1+(LEFT(TRIM(INDEX(PASTE_ALL,40,58)),1)="-"),999))-(RIGHT(MID(TRIM(INDEX(PASTE_ALL,40,58)),1+(LEFT(TRIM(INDEX(PASTE_ALL,40,58)),1)="-"),999),1)="%")),"0",""),"1",""),"2",""),"3",""),"4",""),"5",""),"6",""),"7",""),"8",""),"9",""),".",""),",","")=""),2,1))),1)</f>
        <v/>
      </c>
      <c r="CE89">
        <f>IFERROR(IF(ISNUMBER(INDEX(PASTE_ALL,40,59)),2,IF(TRIM(INDEX(PASTE_ALL,40,59))="",0,IF(AND(LEFT(MID(TRIM(INDEX(PASTE_ALL,40,59)),1+(LEFT(TRIM(INDEX(PASTE_ALL,40,59)),1)="-"),999),LEN(MID(TRIM(INDEX(PASTE_ALL,40,59)),1+(LEFT(TRIM(INDEX(PASTE_ALL,40,59)),1)="-"),999))-(RIGHT(MID(TRIM(INDEX(PASTE_ALL,40,59)),1+(LEFT(TRIM(INDEX(PASTE_ALL,40,59)),1)="-"),999),1)="%"))&lt;&gt;"",SUBSTITUTE(SUBSTITUTE(SUBSTITUTE(SUBSTITUTE(SUBSTITUTE(SUBSTITUTE(SUBSTITUTE(SUBSTITUTE(SUBSTITUTE(SUBSTITUTE(SUBSTITUTE(SUBSTITUTE(LEFT(MID(TRIM(INDEX(PASTE_ALL,40,59)),1+(LEFT(TRIM(INDEX(PASTE_ALL,40,59)),1)="-"),999),LEN(MID(TRIM(INDEX(PASTE_ALL,40,59)),1+(LEFT(TRIM(INDEX(PASTE_ALL,40,59)),1)="-"),999))-(RIGHT(MID(TRIM(INDEX(PASTE_ALL,40,59)),1+(LEFT(TRIM(INDEX(PASTE_ALL,40,59)),1)="-"),999),1)="%")),"0",""),"1",""),"2",""),"3",""),"4",""),"5",""),"6",""),"7",""),"8",""),"9",""),".",""),",","")=""),2,1))),1)</f>
        <v/>
      </c>
      <c r="CF89">
        <f>IFERROR(IF(ISNUMBER(INDEX(PASTE_ALL,40,60)),2,IF(TRIM(INDEX(PASTE_ALL,40,60))="",0,IF(AND(LEFT(MID(TRIM(INDEX(PASTE_ALL,40,60)),1+(LEFT(TRIM(INDEX(PASTE_ALL,40,60)),1)="-"),999),LEN(MID(TRIM(INDEX(PASTE_ALL,40,60)),1+(LEFT(TRIM(INDEX(PASTE_ALL,40,60)),1)="-"),999))-(RIGHT(MID(TRIM(INDEX(PASTE_ALL,40,60)),1+(LEFT(TRIM(INDEX(PASTE_ALL,40,60)),1)="-"),999),1)="%"))&lt;&gt;"",SUBSTITUTE(SUBSTITUTE(SUBSTITUTE(SUBSTITUTE(SUBSTITUTE(SUBSTITUTE(SUBSTITUTE(SUBSTITUTE(SUBSTITUTE(SUBSTITUTE(SUBSTITUTE(SUBSTITUTE(LEFT(MID(TRIM(INDEX(PASTE_ALL,40,60)),1+(LEFT(TRIM(INDEX(PASTE_ALL,40,60)),1)="-"),999),LEN(MID(TRIM(INDEX(PASTE_ALL,40,60)),1+(LEFT(TRIM(INDEX(PASTE_ALL,40,60)),1)="-"),999))-(RIGHT(MID(TRIM(INDEX(PASTE_ALL,40,60)),1+(LEFT(TRIM(INDEX(PASTE_ALL,40,60)),1)="-"),999),1)="%")),"0",""),"1",""),"2",""),"3",""),"4",""),"5",""),"6",""),"7",""),"8",""),"9",""),".",""),",","")=""),2,1))),1)</f>
        <v/>
      </c>
      <c r="DA89" t="n">
        <v>85</v>
      </c>
      <c r="DB89">
        <f>IF($B$37=0,"",IFERROR(TRIM(SUBSTITUTE(SUBSTITUTE(SUBSTITUTE(SUBSTITUTE(INDEX(PASTE_ALL,85,$B$37)," "," "),CHAR(9)," "),CHAR(10)," "),CHAR(13)," ")),""))</f>
        <v/>
      </c>
      <c r="DC89">
        <f>IF(AND(85&gt;HEADER_ROW,UPPER(DB89)="LEGEND"),1,0)</f>
        <v/>
      </c>
      <c r="DE89" t="n">
        <v>85</v>
      </c>
      <c r="DF89">
        <f>HEADER_ROW+$DE89</f>
        <v/>
      </c>
      <c r="DG89">
        <f>IF(AND($DF89&lt;=1000,$DF89&lt;$B$8),1,0)</f>
        <v/>
      </c>
      <c r="DH89">
        <f>IF($DG89=1,IFERROR(INDEX($DB$5:$DB$1004,$DF89),""),"")</f>
        <v/>
      </c>
      <c r="DI89">
        <f>IF(AND($DG89=1,$DH89&lt;&gt;""),IFERROR(SUBSTITUTE(SUBSTITUTE(TRIM(SUBSTITUTE(SUBSTITUTE(SUBSTITUTE(SUBSTITUTE(IFERROR(INDEX(PASTE_ALL,$DF89,1)&amp;"","")&amp;"␟"&amp;IFERROR(INDEX(PASTE_ALL,$DF89,2)&amp;"","")&amp;"␟"&amp;IFERROR(INDEX(PASTE_ALL,$DF89,3)&amp;"","")&amp;"␟"&amp;IFERROR(INDEX(PASTE_ALL,$DF89,4)&amp;"","")&amp;"␟"&amp;IFERROR(INDEX(PASTE_ALL,$DF89,5)&amp;"","")&amp;"␟"&amp;IFERROR(INDEX(PASTE_ALL,$DF89,6)&amp;"","")&amp;"␟"&amp;IFERROR(INDEX(PASTE_ALL,$DF89,7)&amp;"","")&amp;"␟"&amp;IFERROR(INDEX(PASTE_ALL,$DF89,8)&amp;"","")&amp;"␟"&amp;IFERROR(INDEX(PASTE_ALL,$DF89,9)&amp;"","")&amp;"␟"&amp;IFERROR(INDEX(PASTE_ALL,$DF89,10)&amp;"","")&amp;"␟"&amp;IFERROR(INDEX(PASTE_ALL,$DF89,11)&amp;"","")&amp;"␟"&amp;IFERROR(INDEX(PASTE_ALL,$DF89,12)&amp;"","")&amp;"␟"&amp;IFERROR(INDEX(PASTE_ALL,$DF89,13)&amp;"","")&amp;"␟"&amp;IFERROR(INDEX(PASTE_ALL,$DF89,14)&amp;"","")&amp;"␟"&amp;IFERROR(INDEX(PASTE_ALL,$DF89,15)&amp;"","")&amp;"␟"&amp;IFERROR(INDEX(PASTE_ALL,$DF89,16)&amp;"","")&amp;"␟"&amp;IFERROR(INDEX(PASTE_ALL,$DF89,17)&amp;"","")&amp;"␟"&amp;IFERROR(INDEX(PASTE_ALL,$DF89,18)&amp;"","")&amp;"␟"&amp;IFERROR(INDEX(PASTE_ALL,$DF89,19)&amp;"","")&amp;"␟"&amp;IFERROR(INDEX(PASTE_ALL,$DF89,20)&amp;"","")&amp;"␟"&amp;IFERROR(INDEX(PASTE_ALL,$DF89,21)&amp;"","")&amp;"␟"&amp;IFERROR(INDEX(PASTE_ALL,$DF89,22)&amp;"","")&amp;"␟"&amp;IFERROR(INDEX(PASTE_ALL,$DF89,23)&amp;"","")&amp;"␟"&amp;IFERROR(INDEX(PASTE_ALL,$DF89,24)&amp;"","")&amp;"␟"&amp;IFERROR(INDEX(PASTE_ALL,$DF89,25)&amp;"","")&amp;"␟"&amp;IFERROR(INDEX(PASTE_ALL,$DF89,26)&amp;"","")&amp;"␟"&amp;IFERROR(INDEX(PASTE_ALL,$DF89,27)&amp;"","")&amp;"␟"&amp;IFERROR(INDEX(PASTE_ALL,$DF89,28)&amp;"","")&amp;"␟"&amp;IFERROR(INDEX(PASTE_ALL,$DF89,29)&amp;"","")&amp;"␟"&amp;IFERROR(INDEX(PASTE_ALL,$DF89,30)&amp;"","")&amp;"␟"&amp;IFERROR(INDEX(PASTE_ALL,$DF89,31)&amp;"","")&amp;"␟"&amp;IFERROR(INDEX(PASTE_ALL,$DF89,32)&amp;"","")&amp;"␟"&amp;IFERROR(INDEX(PASTE_ALL,$DF89,33)&amp;"","")&amp;"␟"&amp;IFERROR(INDEX(PASTE_ALL,$DF89,34)&amp;"","")&amp;"␟"&amp;IFERROR(INDEX(PASTE_ALL,$DF89,35)&amp;"","")&amp;"␟"&amp;IFERROR(INDEX(PASTE_ALL,$DF89,36)&amp;"","")&amp;"␟"&amp;IFERROR(INDEX(PASTE_ALL,$DF89,37)&amp;"","")&amp;"␟"&amp;IFERROR(INDEX(PASTE_ALL,$DF89,38)&amp;"","")&amp;"␟"&amp;IFERROR(INDEX(PASTE_ALL,$DF89,39)&amp;"","")&amp;"␟"&amp;IFERROR(INDEX(PASTE_ALL,$DF89,40)&amp;"","")&amp;"␟"&amp;IFERROR(INDEX(PASTE_ALL,$DF89,41)&amp;"","")&amp;"␟"&amp;IFERROR(INDEX(PASTE_ALL,$DF89,42)&amp;"","")&amp;"␟"&amp;IFERROR(INDEX(PASTE_ALL,$DF89,43)&amp;"","")&amp;"␟"&amp;IFERROR(INDEX(PASTE_ALL,$DF89,44)&amp;"","")&amp;"␟"&amp;IFERROR(INDEX(PASTE_ALL,$DF89,45)&amp;"","")&amp;"␟"&amp;IFERROR(INDEX(PASTE_ALL,$DF89,46)&amp;"","")&amp;"␟"&amp;IFERROR(INDEX(PASTE_ALL,$DF89,47)&amp;"","")&amp;"␟"&amp;IFERROR(INDEX(PASTE_ALL,$DF89,48)&amp;"","")&amp;"␟"&amp;IFERROR(INDEX(PASTE_ALL,$DF89,49)&amp;"","")&amp;"␟"&amp;IFERROR(INDEX(PASTE_ALL,$DF89,50)&amp;"","")&amp;"␟"&amp;IFERROR(INDEX(PASTE_ALL,$DF89,51)&amp;"","")&amp;"␟"&amp;IFERROR(INDEX(PASTE_ALL,$DF89,52)&amp;"","")&amp;"␟"&amp;IFERROR(INDEX(PASTE_ALL,$DF89,53)&amp;"","")&amp;"␟"&amp;IFERROR(INDEX(PASTE_ALL,$DF89,54)&amp;"","")&amp;"␟"&amp;IFERROR(INDEX(PASTE_ALL,$DF89,55)&amp;"","")&amp;"␟"&amp;IFERROR(INDEX(PASTE_ALL,$DF89,56)&amp;"","")&amp;"␟"&amp;IFERROR(INDEX(PASTE_ALL,$DF89,57)&amp;"","")&amp;"␟"&amp;IFERROR(INDEX(PASTE_ALL,$DF89,58)&amp;"","")&amp;"␟"&amp;IFERROR(INDEX(PASTE_ALL,$DF89,59)&amp;"","")&amp;"␟"&amp;IFERROR(INDEX(PASTE_ALL,$DF89,60)&amp;"","")," "," "),CHAR(9)," "),CHAR(10)," "),CHAR(13)," "))," ␟","␟"),"␟ ","␟"),"#"&amp;$DE89),"")</f>
        <v/>
      </c>
      <c r="DJ89">
        <f>IF($DI89="",0,IF(SUMPRODUCT(--EXACT($DI$4:DI88,$DI89))&gt;0,1,0))</f>
        <v/>
      </c>
      <c r="DK89">
        <f>IF(AND($DI89&lt;&gt;"",$DJ89=0),1,0)</f>
        <v/>
      </c>
      <c r="DL89">
        <f>DL88+$DK89</f>
        <v/>
      </c>
      <c r="DM89">
        <f>IF(AND($DK89=1,$DL89&lt;=600),1,0)</f>
        <v/>
      </c>
      <c r="DN89">
        <f>IF($DM89=0,"",IF($L$6=0,"",IFERROR(IF(ISNUMBER(INDEX(PASTE_ALL,$DF89,$L$6)),INDEX(PASTE_ALL,$DF89,$L$6),TRIM(SUBSTITUTE(SUBSTITUTE(SUBSTITUTE(SUBSTITUTE(INDEX(PASTE_ALL,$DF89,$L$6)," "," "),CHAR(9)," "),CHAR(10)," "),CHAR(13)," "))),"")))</f>
        <v/>
      </c>
      <c r="DO89">
        <f>IF($DM89=0,"",IF($L$7=0,"",IFERROR(IF(ISNUMBER(INDEX(PASTE_ALL,$DF89,$L$7)),INDEX(PASTE_ALL,$DF89,$L$7),TRIM(SUBSTITUTE(SUBSTITUTE(SUBSTITUTE(SUBSTITUTE(INDEX(PASTE_ALL,$DF89,$L$7)," "," "),CHAR(9)," "),CHAR(10)," "),CHAR(13)," "))),"")))</f>
        <v/>
      </c>
      <c r="DP89">
        <f>IF($DM89=0,"",IF($L$8=0,"",IFERROR(IF(ISNUMBER(INDEX(PASTE_ALL,$DF89,$L$8)),INDEX(PASTE_ALL,$DF89,$L$8),TRIM(SUBSTITUTE(SUBSTITUTE(SUBSTITUTE(SUBSTITUTE(INDEX(PASTE_ALL,$DF89,$L$8)," "," "),CHAR(9)," "),CHAR(10)," "),CHAR(13)," "))),"")))</f>
        <v/>
      </c>
      <c r="DQ89">
        <f>IF($DM89=0,"",IF($L$9=0,"",IFERROR(IF(ISNUMBER(INDEX(PASTE_ALL,$DF89,$L$9)),INDEX(PASTE_ALL,$DF89,$L$9),TRIM(SUBSTITUTE(SUBSTITUTE(SUBSTITUTE(SUBSTITUTE(INDEX(PASTE_ALL,$DF89,$L$9)," "," "),CHAR(9)," "),CHAR(10)," "),CHAR(13)," "))),"")))</f>
        <v/>
      </c>
      <c r="DR89">
        <f>IF($DM89=0,"",IF($L$10=0,"",IFERROR(IF(ISNUMBER(INDEX(PASTE_ALL,$DF89,$L$10)),INDEX(PASTE_ALL,$DF89,$L$10),TRIM(SUBSTITUTE(SUBSTITUTE(SUBSTITUTE(SUBSTITUTE(INDEX(PASTE_ALL,$DF89,$L$10)," "," "),CHAR(9)," "),CHAR(10)," "),CHAR(13)," "))),"")))</f>
        <v/>
      </c>
      <c r="DS89">
        <f>IF($DM89=0,"",IF($L$11=0,"",IFERROR(IF(ISNUMBER(INDEX(PASTE_ALL,$DF89,$L$11)),INDEX(PASTE_ALL,$DF89,$L$11),TRIM(SUBSTITUTE(SUBSTITUTE(SUBSTITUTE(SUBSTITUTE(INDEX(PASTE_ALL,$DF89,$L$11)," "," "),CHAR(9)," "),CHAR(10)," "),CHAR(13)," "))),"")))</f>
        <v/>
      </c>
      <c r="DT89">
        <f>IF($DM89=0,"",IF($L$12=0,"",IFERROR(IF(ISNUMBER(INDEX(PASTE_ALL,$DF89,$L$12)),INDEX(PASTE_ALL,$DF89,$L$12),TRIM(SUBSTITUTE(SUBSTITUTE(SUBSTITUTE(SUBSTITUTE(INDEX(PASTE_ALL,$DF89,$L$12)," "," "),CHAR(9)," "),CHAR(10)," "),CHAR(13)," "))),"")))</f>
        <v/>
      </c>
      <c r="DU89">
        <f>IF($DM89=0,"",IF($L$13=0,"",IFERROR(IF(ISNUMBER(INDEX(PASTE_ALL,$DF89,$L$13)),INDEX(PASTE_ALL,$DF89,$L$13),TRIM(SUBSTITUTE(SUBSTITUTE(SUBSTITUTE(SUBSTITUTE(INDEX(PASTE_ALL,$DF89,$L$13)," "," "),CHAR(9)," "),CHAR(10)," "),CHAR(13)," "))),"")))</f>
        <v/>
      </c>
      <c r="DV89">
        <f>IF($DM89=0,"",IF($L$14=0,"",IFERROR(IF(ISNUMBER(INDEX(PASTE_ALL,$DF89,$L$14)),INDEX(PASTE_ALL,$DF89,$L$14),TRIM(SUBSTITUTE(SUBSTITUTE(SUBSTITUTE(SUBSTITUTE(INDEX(PASTE_ALL,$DF89,$L$14)," "," "),CHAR(9)," "),CHAR(10)," "),CHAR(13)," "))),"")))</f>
        <v/>
      </c>
      <c r="DW89">
        <f>IF($DM89=0,"",IF($L$15=0,"",IFERROR(IF(ISNUMBER(INDEX(PASTE_ALL,$DF89,$L$15)),INDEX(PASTE_ALL,$DF89,$L$15),IF(SUMPRODUCT(--ISNUMBER(FIND({"A","B","C","D","E","F","G","H","I","J","K","L","M","N","O","P","Q","R","S","T","U","V","W","X","Y","Z","0","1","2","3","4","5","6","7","8","9"},UPPER(TRIM(SUBSTITUTE(SUBSTITUTE(SUBSTITUTE(SUBSTITUTE(INDEX(PASTE_ALL,$DF89,$L$15)," "," "),CHAR(9)," "),CHAR(10)," "),CHAR(13)," "))))))&gt;0,TRIM(SUBSTITUTE(SUBSTITUTE(SUBSTITUTE(SUBSTITUTE(INDEX(PASTE_ALL,$DF89,$L$15)," "," "),CHAR(9)," "),CHAR(10)," "),CHAR(13)," ")),"")),"")))</f>
        <v/>
      </c>
      <c r="DX89">
        <f>IF($DM89=0,"",IF($L$16=0,"",IFERROR(IF(ISNUMBER(INDEX(PASTE_ALL,$DF89,$L$16)),INDEX(PASTE_ALL,$DF89,$L$16),SUBSTITUTE(SUBSTITUTE(TRIM(SUBSTITUTE(SUBSTITUTE(SUBSTITUTE(SUBSTITUTE(INDEX(PASTE_ALL,$DF89,$L$16)," "," "),CHAR(9)," "),CHAR(10)," "),CHAR(13)," ")),",",""),"%","")),"")))</f>
        <v/>
      </c>
      <c r="DY89">
        <f>IF($DM89=0,"",IFERROR(IF(ISNUMBER($DX89),$DX89,IF($DX89="","",IF(TRIM($DX89)="",0,IF(AND(AND(SUBSTITUTE(SUBSTITUTE(SUBSTITUTE(SUBSTITUTE(SUBSTITUTE(SUBSTITUTE(SUBSTITUTE(SUBSTITUTE(SUBSTITUTE(SUBSTITUTE(SUBSTITUTE(SUBSTITUTE(SUBSTITUTE(SUBSTITUTE(UPPER(TRIM($DX89)),"0",""),"1",""),"2",""),"3",""),"4",""),"5",""),"6",""),"7",""),"8",""),"9",""),".",""),"+",""),"-",""),"E","")="",LEN(SUBSTITUTE(SUBSTITUTE(MID(UPPER(TRIM($DX89)),1+OR(LEFT(UPPER(TRIM($DX89)),1)="+",LEFT(UPPER(TRIM($DX89)),1)="-"),999),"E+","E"),"E-","E"))=LEN(SUBSTITUTE(SUBSTITUTE(SUBSTITUTE(SUBSTITUTE(MID(UPPER(TRIM($DX89)),1+OR(LEFT(UPPER(TRIM($DX89)),1)="+",LEFT(UPPER(TRIM($DX89)),1)="-"),999),"E+","E"),"E-","E"),"+",""),"-","")),LEN(UPPER(TRIM($DX89)))-LEN(SUBSTITUTE(UPPER(TRIM($DX89)),"E",""))&lt;2,LEN(UPPER(TRIM($DX89)))-LEN(SUBSTITUTE(UPPER(TRIM($DX89)),".",""))&lt;2,IFERROR(FIND(".",UPPER(TRIM($DX89))),0)&lt;IFERROR(FIND("E",UPPER(TRIM($DX89))),999)),ISNUMBER(VALUE(TRIM($DX89)))),VALUE(TRIM($DX89)),"")))),""))</f>
        <v/>
      </c>
      <c r="DZ89">
        <f>IF($DM89=0,"",IF($L$17=0,"",IFERROR(IF(ISNUMBER(INDEX(PASTE_ALL,$DF89,$L$17)),INDEX(PASTE_ALL,$DF89,$L$17),SUBSTITUTE(SUBSTITUTE(TRIM(SUBSTITUTE(SUBSTITUTE(SUBSTITUTE(SUBSTITUTE(INDEX(PASTE_ALL,$DF89,$L$17)," "," "),CHAR(9)," "),CHAR(10)," "),CHAR(13)," ")),",",""),"%","")),"")))</f>
        <v/>
      </c>
      <c r="EA89">
        <f>IF($DM89=0,"",IFERROR(IF(ISNUMBER($DZ89),$DZ89,IF($DZ89="","",IF(TRIM($DZ89)="",0,IF(AND(AND(SUBSTITUTE(SUBSTITUTE(SUBSTITUTE(SUBSTITUTE(SUBSTITUTE(SUBSTITUTE(SUBSTITUTE(SUBSTITUTE(SUBSTITUTE(SUBSTITUTE(SUBSTITUTE(SUBSTITUTE(SUBSTITUTE(SUBSTITUTE(UPPER(TRIM($DZ89)),"0",""),"1",""),"2",""),"3",""),"4",""),"5",""),"6",""),"7",""),"8",""),"9",""),".",""),"+",""),"-",""),"E","")="",LEN(SUBSTITUTE(SUBSTITUTE(MID(UPPER(TRIM($DZ89)),1+OR(LEFT(UPPER(TRIM($DZ89)),1)="+",LEFT(UPPER(TRIM($DZ89)),1)="-"),999),"E+","E"),"E-","E"))=LEN(SUBSTITUTE(SUBSTITUTE(SUBSTITUTE(SUBSTITUTE(MID(UPPER(TRIM($DZ89)),1+OR(LEFT(UPPER(TRIM($DZ89)),1)="+",LEFT(UPPER(TRIM($DZ89)),1)="-"),999),"E+","E"),"E-","E"),"+",""),"-","")),LEN(UPPER(TRIM($DZ89)))-LEN(SUBSTITUTE(UPPER(TRIM($DZ89)),"E",""))&lt;2,LEN(UPPER(TRIM($DZ89)))-LEN(SUBSTITUTE(UPPER(TRIM($DZ89)),".",""))&lt;2,IFERROR(FIND(".",UPPER(TRIM($DZ89))),0)&lt;IFERROR(FIND("E",UPPER(TRIM($DZ89))),999)),ISNUMBER(VALUE(TRIM($DZ89)))),VALUE(TRIM($DZ89)),"")))),""))</f>
        <v/>
      </c>
      <c r="EB89">
        <f>IF($DM89=0,"",IF($L$18=0,"",IFERROR(IF(UPPER(TRIM(SUBSTITUTE(SUBSTITUTE(SUBSTITUTE(SUBSTITUTE(INDEX(PASTE_ALL,$DF89,$L$18)," "," "),CHAR(9)," "),CHAR(10)," "),CHAR(13)," ")))="READY","Ready",IF(UPPER(TRIM(SUBSTITUTE(SUBSTITUTE(SUBSTITUTE(SUBSTITUTE(INDEX(PASTE_ALL,$DF89,$L$18)," "," "),CHAR(9)," "),CHAR(10)," "),CHAR(13)," ")))="PM","PM",IF(OR(UPPER(TRIM(SUBSTITUTE(SUBSTITUTE(SUBSTITUTE(SUBSTITUTE(INDEX(PASTE_ALL,$DF89,$L$18)," "," "),CHAR(9)," "),CHAR(10)," "),CHAR(13)," ")))="OT",UPPER(TRIM(SUBSTITUTE(SUBSTITUTE(SUBSTITUTE(SUBSTITUTE(INDEX(PASTE_ALL,$DF89,$L$18)," "," "),CHAR(9)," "),CHAR(10)," "),CHAR(13)," ")))="OVERTIME",UPPER(TRIM(SUBSTITUTE(SUBSTITUTE(SUBSTITUTE(SUBSTITUTE(INDEX(PASTE_ALL,$DF89,$L$18)," "," "),CHAR(9)," "),CHAR(10)," "),CHAR(13)," ")))="TRIAL"),"OT",TRIM(SUBSTITUTE(SUBSTITUTE(SUBSTITUTE(SUBSTITUTE(INDEX(PASTE_ALL,$DF89,$L$18)," "," "),CHAR(9)," "),CHAR(10)," "),CHAR(13)," "))))),"")))</f>
        <v/>
      </c>
      <c r="EC89">
        <f>IF($DM89=0,"",IF($L$19=0,"",IFERROR(IF(ISNUMBER(INDEX(PASTE_ALL,$DF89,$L$19)),INDEX(PASTE_ALL,$DF89,$L$19),TRIM(SUBSTITUTE(SUBSTITUTE(SUBSTITUTE(SUBSTITUTE(INDEX(PASTE_ALL,$DF89,$L$19)," "," "),CHAR(9)," "),CHAR(10)," "),CHAR(13)," "))),"")))</f>
        <v/>
      </c>
      <c r="ED89">
        <f>IF($DM89=0,"",MATCH(1,INDEX(EXACT($DH$5:DH89,$DH89)*$DM$5:DM89,0),0))</f>
        <v/>
      </c>
      <c r="EE89">
        <f>IF($DM89=0,0,IF($ED89=$DE89,1,0))</f>
        <v/>
      </c>
      <c r="EF89">
        <f>EF88+$EE89</f>
        <v/>
      </c>
      <c r="EG89">
        <f>IF($DM89=0,"",INDEX($EF$5:$EF$1003,$ED89))</f>
        <v/>
      </c>
      <c r="EH89">
        <f>IF($DM89=0,"",IF($DO89&lt;&gt;"","",IFERROR(LOOKUP(2,1/(($EG$4:EG88=$EG89)*($DO$4:DO88&lt;&gt;"")),$DO$4:DO88),"")))</f>
        <v/>
      </c>
      <c r="EI89">
        <f>IF($DM89=0,"",IF($DO89&lt;&gt;"",$DO89,$EH89))</f>
        <v/>
      </c>
      <c r="EJ89">
        <f>IF($DM89=0,"",IF($EI89="",0,IF(OR(ISNUMBER($EI89),AND(AND(SUBSTITUTE(SUBSTITUTE(SUBSTITUTE(SUBSTITUTE(SUBSTITUTE(SUBSTITUTE(SUBSTITUTE(SUBSTITUTE(SUBSTITUTE(SUBSTITUTE(SUBSTITUTE(SUBSTITUTE(SUBSTITUTE(SUBSTITUTE(UPPER($EI89),"0",""),"1",""),"2",""),"3",""),"4",""),"5",""),"6",""),"7",""),"8",""),"9",""),".",""),"+",""),"-",""),"E","")="",LEN(SUBSTITUTE(SUBSTITUTE(MID(UPPER($EI89),1+OR(LEFT(UPPER($EI89),1)="+",LEFT(UPPER($EI89),1)="-"),999),"E+","E"),"E-","E"))=LEN(SUBSTITUTE(SUBSTITUTE(SUBSTITUTE(SUBSTITUTE(MID(UPPER($EI89),1+OR(LEFT(UPPER($EI89),1)="+",LEFT(UPPER($EI89),1)="-"),999),"E+","E"),"E-","E"),"+",""),"-","")),LEN(UPPER($EI89))-LEN(SUBSTITUTE(UPPER($EI89),"E",""))&lt;2,LEN(UPPER($EI89))-LEN(SUBSTITUTE(UPPER($EI89),".",""))&lt;2,IFERROR(FIND(".",UPPER($EI89)),0)&lt;IFERROR(FIND("E",UPPER($EI89)),999)),ISNUMBER(VALUE($EI89)))),1,2)))</f>
        <v/>
      </c>
      <c r="EK89">
        <f>IF($DM89=0,"",IF($EJ89=1,IF(ISNUMBER($EI89),$EI89,VALUE($EI89)),IF($EJ89=2,$DE89,0)))</f>
        <v/>
      </c>
      <c r="EL89">
        <f>IF($DM89=0,"",COUNTIF($EG$5:$EG$1003,"&lt;"&amp;$EG89)+SUMPRODUCT(($EG$5:$EG$1003=$EG89)*(($EJ$5:$EJ$1003&lt;$EJ89)+($EJ$5:$EJ$1003=$EJ89)*(($EK$5:$EK$1003&lt;$EK89)+($EK$5:$EK$1003=$EK89)*($DE$5:$DE$1003&lt;$DE89))))+1)</f>
        <v/>
      </c>
      <c r="EM89">
        <f>IF($DM89=0,"",$EL89+$EG89-1)</f>
        <v/>
      </c>
      <c r="EN89">
        <f>IF($DM89=0,0,IFERROR(MATCH(1,INDEX(--(TRIM(SUBSTITUTE(SUBSTITUTE(SUBSTITUTE(SUBSTITUTE(LINES_NAME&amp;""," "," "),CHAR(9)," "),CHAR(10)," "),CHAR(13)," "))=$DH89),0),0),0))</f>
        <v/>
      </c>
      <c r="EO89">
        <f>IF($EN89=0,0,IF(OR(UPPER(TRIM(INDEX(LINES_SCHEDULED,$EN89)&amp;""))="YES",UPPER(TRIM(INDEX(LINES_SCHEDULED,$EN89)&amp;""))="Y",UPPER(TRIM(INDEX(LINES_SCHEDULED,$EN89)&amp;""))="X"),1,0))</f>
        <v/>
      </c>
      <c r="EP89">
        <f>IF($DM89=0,"",IF(COUNTIFS($EG$5:$EG$1003,$EG89,$EB$5:$EB$1003,"Ready")&gt;0,"READY",IF(COUNTIFS($EG$5:$EG$1003,$EG89,$EB$5:$EB$1003,"PM")&gt;0,"PM",IF(COUNTIFS($EG$5:$EG$1003,$EG89,$EB$5:$EB$1003,"OT")&gt;0,"OT",""))))</f>
        <v/>
      </c>
      <c r="EQ89">
        <f>IF($EN89=0,"",UPPER(TRIM(INDEX(LINES_STATUS,$EN89)&amp;"")))</f>
        <v/>
      </c>
      <c r="ER89">
        <f>IF($DM89=0,"",IF(OR($EQ89="READY",$EQ89="PM",$EQ89="OT"),$EQ89,$EP89))</f>
        <v/>
      </c>
      <c r="ES89">
        <f>IF($DM89=0,"",IF(AND($DV89&lt;&gt;"",UPPER($DV89)&lt;&gt;"N"),"allergen",IF(ISNUMBER(SEARCH("oil",$DQ89)),"oil",IF(OR(EXACT($DS89,"A662"),EXACT($DS89,"A624")),"bulk",""))))</f>
        <v/>
      </c>
      <c r="ET89">
        <f>IF($DM89=0,"",IF(OR($EA89="",$EA89=0),"",$EA89/100))</f>
        <v/>
      </c>
      <c r="EU89">
        <f>IF(OR($ET89="",$DY89=""),"",INT($DY89*(1-$ET89)+0.5))</f>
        <v/>
      </c>
      <c r="EW89" t="n">
        <v>85</v>
      </c>
      <c r="EX89">
        <f>IFERROR(MATCH($EW89,$EM$5:$EM$1003,0),0)</f>
        <v/>
      </c>
      <c r="EY89">
        <f>IF($EW89&gt;$B$12,"",IF($EX89&gt;0,"row","spacer"))</f>
        <v/>
      </c>
      <c r="EZ89">
        <f>IF(AND($EY89="row",$EY88&lt;&gt;"row"),1,0)</f>
        <v/>
      </c>
      <c r="FA89">
        <f>IF(AND($EY89="row",$EY90&lt;&gt;"row"),1,0)</f>
        <v/>
      </c>
      <c r="FB89">
        <f>IF($EZ89=1,IFERROR(IF(ISNUMBER(INDEX(PASTE_ALL,INDEX($DF$5:$DF$1003,$EX89),$B$37)),INDEX(PASTE_ALL,INDEX($DF$5:$DF$1003,$EX89),$B$37),INDEX($DH$5:$DH$1003,$EX89)),INDEX($DH$5:$DH$1003,$EX89)),"")</f>
        <v/>
      </c>
      <c r="FC89">
        <f>IF($EY89="row",INDEX($ER$5:$ER$1003,$EX89),"")</f>
        <v/>
      </c>
      <c r="FD89">
        <f>IF($EY89="row",INDEX($DN$5:$DN$1003,$EX89),"")</f>
        <v/>
      </c>
      <c r="FE89">
        <f>IF($EY89="row",INDEX($DO$5:$DO$1003,$EX89),"")</f>
        <v/>
      </c>
      <c r="FF89">
        <f>IF($EY89="row",INDEX($DP$5:$DP$1003,$EX89),"")</f>
        <v/>
      </c>
      <c r="FG89">
        <f>IF($EY89="row",INDEX($DQ$5:$DQ$1003,$EX89),"")</f>
        <v/>
      </c>
      <c r="FH89">
        <f>IF($EY89="row",INDEX($DR$5:$DR$1003,$EX89),"")</f>
        <v/>
      </c>
      <c r="FI89">
        <f>IF($EY89="row",INDEX($DS$5:$DS$1003,$EX89),"")</f>
        <v/>
      </c>
      <c r="FJ89">
        <f>IF($EY89="row",INDEX($DT$5:$DT$1003,$EX89),"")</f>
        <v/>
      </c>
      <c r="FK89">
        <f>IF($EY89="row",INDEX($DU$5:$DU$1003,$EX89),"")</f>
        <v/>
      </c>
      <c r="FL89">
        <f>IF($EY89="row",INDEX($DV$5:$DV$1003,$EX89),"")</f>
        <v/>
      </c>
      <c r="FM89">
        <f>IF($EY89="row",INDEX($DW$5:$DW$1003,$EX89),"")</f>
        <v/>
      </c>
      <c r="FN89">
        <f>IF($EY89="row",INDEX($DY$5:$DY$1003,$EX89),"")</f>
        <v/>
      </c>
      <c r="FO89">
        <f>IF($EY89="row",INDEX($EA$5:$EA$1003,$EX89),"")</f>
        <v/>
      </c>
      <c r="FP89">
        <f>IF($EY89="row",INDEX($EC$5:$EC$1003,$EX89),"")</f>
        <v/>
      </c>
      <c r="FQ89">
        <f>IF($EY89="row",INDEX($ET$5:$ET$1003,$EX89),"")</f>
        <v/>
      </c>
      <c r="FR89">
        <f>IF($EY89="row",INDEX($EU$5:$EU$1003,$EX89),"")</f>
        <v/>
      </c>
      <c r="FS89">
        <f>IF(AND($EY89="row",$EY88="row"),IF(OR(INDEX($DT$5:$DT$1003,$EX88)="",INDEX($DT$5:$DT$1003,$EX89)=""),"",IF(NOT(EXACT(INDEX($DT$5:$DT$1003,$EX88),INDEX($DT$5:$DT$1003,$EX89))),"S4",IF(NOT(EXACT(INDEX($DS$5:$DS$1003,$EX88),INDEX($DS$5:$DS$1003,$EX89))),"S3",IF(NOT(EXACT(INDEX($DR$5:$DR$1003,$EX88),INDEX($DR$5:$DR$1003,$EX89))),"S1 Count Change","S1")))),"")</f>
        <v/>
      </c>
      <c r="FT89">
        <f>IF($EY89="row",INDEX($ES$5:$ES$1003,$EX89),"")</f>
        <v/>
      </c>
      <c r="FU89">
        <f>IF($EY89="row",INDEX($EO$5:$EO$1003,$EX89),0)</f>
        <v/>
      </c>
      <c r="FV89">
        <f>IF($FS89="S1 Count Change",1,0)</f>
        <v/>
      </c>
      <c r="FX89" t="n">
        <v>85</v>
      </c>
      <c r="FY89">
        <f>IFERROR(MATCH($FX89,$EF$5:$EF$1003,0),0)</f>
        <v/>
      </c>
      <c r="FZ89">
        <f>IF($FY89=0,"",INDEX($DH$5:$DH$1003,$FY89))</f>
        <v/>
      </c>
      <c r="GA89">
        <f>IF($FY89=0,"",COUNTIF($EG$5:$EG$1003,$FX89))</f>
        <v/>
      </c>
      <c r="GB89">
        <f>IF($FY89=0,"",INDEX($ER$5:$ER$1003,$FY89))</f>
        <v/>
      </c>
      <c r="GC89">
        <f>IF($FY89=0,"",IF(INDEX($EO$5:$EO$1003,$FY89)=1,"Yes",""))</f>
        <v/>
      </c>
      <c r="GD89">
        <f>IF($FY89=0,"",IF(INDEX($EN$5:$EN$1003,$FY89)&gt;0,"","NOT IN YOUR LIST - type it in column A to tick it"))</f>
        <v/>
      </c>
      <c r="GE89">
        <f>IF(AND($FY89&gt;0,$GD89&lt;&gt;""),1,0)</f>
        <v/>
      </c>
      <c r="GF89">
        <f>GF88+$GE89</f>
        <v/>
      </c>
      <c r="GG89">
        <f>IFERROR(INDEX($FZ$5:$FZ$104,MATCH($FX89,$GF$5:$GF$104,0)),"")</f>
        <v/>
      </c>
    </row>
    <row r="90">
      <c r="DA90" t="n">
        <v>86</v>
      </c>
      <c r="DB90">
        <f>IF($B$37=0,"",IFERROR(TRIM(SUBSTITUTE(SUBSTITUTE(SUBSTITUTE(SUBSTITUTE(INDEX(PASTE_ALL,86,$B$37)," "," "),CHAR(9)," "),CHAR(10)," "),CHAR(13)," ")),""))</f>
        <v/>
      </c>
      <c r="DC90">
        <f>IF(AND(86&gt;HEADER_ROW,UPPER(DB90)="LEGEND"),1,0)</f>
        <v/>
      </c>
      <c r="DE90" t="n">
        <v>86</v>
      </c>
      <c r="DF90">
        <f>HEADER_ROW+$DE90</f>
        <v/>
      </c>
      <c r="DG90">
        <f>IF(AND($DF90&lt;=1000,$DF90&lt;$B$8),1,0)</f>
        <v/>
      </c>
      <c r="DH90">
        <f>IF($DG90=1,IFERROR(INDEX($DB$5:$DB$1004,$DF90),""),"")</f>
        <v/>
      </c>
      <c r="DI90">
        <f>IF(AND($DG90=1,$DH90&lt;&gt;""),IFERROR(SUBSTITUTE(SUBSTITUTE(TRIM(SUBSTITUTE(SUBSTITUTE(SUBSTITUTE(SUBSTITUTE(IFERROR(INDEX(PASTE_ALL,$DF90,1)&amp;"","")&amp;"␟"&amp;IFERROR(INDEX(PASTE_ALL,$DF90,2)&amp;"","")&amp;"␟"&amp;IFERROR(INDEX(PASTE_ALL,$DF90,3)&amp;"","")&amp;"␟"&amp;IFERROR(INDEX(PASTE_ALL,$DF90,4)&amp;"","")&amp;"␟"&amp;IFERROR(INDEX(PASTE_ALL,$DF90,5)&amp;"","")&amp;"␟"&amp;IFERROR(INDEX(PASTE_ALL,$DF90,6)&amp;"","")&amp;"␟"&amp;IFERROR(INDEX(PASTE_ALL,$DF90,7)&amp;"","")&amp;"␟"&amp;IFERROR(INDEX(PASTE_ALL,$DF90,8)&amp;"","")&amp;"␟"&amp;IFERROR(INDEX(PASTE_ALL,$DF90,9)&amp;"","")&amp;"␟"&amp;IFERROR(INDEX(PASTE_ALL,$DF90,10)&amp;"","")&amp;"␟"&amp;IFERROR(INDEX(PASTE_ALL,$DF90,11)&amp;"","")&amp;"␟"&amp;IFERROR(INDEX(PASTE_ALL,$DF90,12)&amp;"","")&amp;"␟"&amp;IFERROR(INDEX(PASTE_ALL,$DF90,13)&amp;"","")&amp;"␟"&amp;IFERROR(INDEX(PASTE_ALL,$DF90,14)&amp;"","")&amp;"␟"&amp;IFERROR(INDEX(PASTE_ALL,$DF90,15)&amp;"","")&amp;"␟"&amp;IFERROR(INDEX(PASTE_ALL,$DF90,16)&amp;"","")&amp;"␟"&amp;IFERROR(INDEX(PASTE_ALL,$DF90,17)&amp;"","")&amp;"␟"&amp;IFERROR(INDEX(PASTE_ALL,$DF90,18)&amp;"","")&amp;"␟"&amp;IFERROR(INDEX(PASTE_ALL,$DF90,19)&amp;"","")&amp;"␟"&amp;IFERROR(INDEX(PASTE_ALL,$DF90,20)&amp;"","")&amp;"␟"&amp;IFERROR(INDEX(PASTE_ALL,$DF90,21)&amp;"","")&amp;"␟"&amp;IFERROR(INDEX(PASTE_ALL,$DF90,22)&amp;"","")&amp;"␟"&amp;IFERROR(INDEX(PASTE_ALL,$DF90,23)&amp;"","")&amp;"␟"&amp;IFERROR(INDEX(PASTE_ALL,$DF90,24)&amp;"","")&amp;"␟"&amp;IFERROR(INDEX(PASTE_ALL,$DF90,25)&amp;"","")&amp;"␟"&amp;IFERROR(INDEX(PASTE_ALL,$DF90,26)&amp;"","")&amp;"␟"&amp;IFERROR(INDEX(PASTE_ALL,$DF90,27)&amp;"","")&amp;"␟"&amp;IFERROR(INDEX(PASTE_ALL,$DF90,28)&amp;"","")&amp;"␟"&amp;IFERROR(INDEX(PASTE_ALL,$DF90,29)&amp;"","")&amp;"␟"&amp;IFERROR(INDEX(PASTE_ALL,$DF90,30)&amp;"","")&amp;"␟"&amp;IFERROR(INDEX(PASTE_ALL,$DF90,31)&amp;"","")&amp;"␟"&amp;IFERROR(INDEX(PASTE_ALL,$DF90,32)&amp;"","")&amp;"␟"&amp;IFERROR(INDEX(PASTE_ALL,$DF90,33)&amp;"","")&amp;"␟"&amp;IFERROR(INDEX(PASTE_ALL,$DF90,34)&amp;"","")&amp;"␟"&amp;IFERROR(INDEX(PASTE_ALL,$DF90,35)&amp;"","")&amp;"␟"&amp;IFERROR(INDEX(PASTE_ALL,$DF90,36)&amp;"","")&amp;"␟"&amp;IFERROR(INDEX(PASTE_ALL,$DF90,37)&amp;"","")&amp;"␟"&amp;IFERROR(INDEX(PASTE_ALL,$DF90,38)&amp;"","")&amp;"␟"&amp;IFERROR(INDEX(PASTE_ALL,$DF90,39)&amp;"","")&amp;"␟"&amp;IFERROR(INDEX(PASTE_ALL,$DF90,40)&amp;"","")&amp;"␟"&amp;IFERROR(INDEX(PASTE_ALL,$DF90,41)&amp;"","")&amp;"␟"&amp;IFERROR(INDEX(PASTE_ALL,$DF90,42)&amp;"","")&amp;"␟"&amp;IFERROR(INDEX(PASTE_ALL,$DF90,43)&amp;"","")&amp;"␟"&amp;IFERROR(INDEX(PASTE_ALL,$DF90,44)&amp;"","")&amp;"␟"&amp;IFERROR(INDEX(PASTE_ALL,$DF90,45)&amp;"","")&amp;"␟"&amp;IFERROR(INDEX(PASTE_ALL,$DF90,46)&amp;"","")&amp;"␟"&amp;IFERROR(INDEX(PASTE_ALL,$DF90,47)&amp;"","")&amp;"␟"&amp;IFERROR(INDEX(PASTE_ALL,$DF90,48)&amp;"","")&amp;"␟"&amp;IFERROR(INDEX(PASTE_ALL,$DF90,49)&amp;"","")&amp;"␟"&amp;IFERROR(INDEX(PASTE_ALL,$DF90,50)&amp;"","")&amp;"␟"&amp;IFERROR(INDEX(PASTE_ALL,$DF90,51)&amp;"","")&amp;"␟"&amp;IFERROR(INDEX(PASTE_ALL,$DF90,52)&amp;"","")&amp;"␟"&amp;IFERROR(INDEX(PASTE_ALL,$DF90,53)&amp;"","")&amp;"␟"&amp;IFERROR(INDEX(PASTE_ALL,$DF90,54)&amp;"","")&amp;"␟"&amp;IFERROR(INDEX(PASTE_ALL,$DF90,55)&amp;"","")&amp;"␟"&amp;IFERROR(INDEX(PASTE_ALL,$DF90,56)&amp;"","")&amp;"␟"&amp;IFERROR(INDEX(PASTE_ALL,$DF90,57)&amp;"","")&amp;"␟"&amp;IFERROR(INDEX(PASTE_ALL,$DF90,58)&amp;"","")&amp;"␟"&amp;IFERROR(INDEX(PASTE_ALL,$DF90,59)&amp;"","")&amp;"␟"&amp;IFERROR(INDEX(PASTE_ALL,$DF90,60)&amp;"","")," "," "),CHAR(9)," "),CHAR(10)," "),CHAR(13)," "))," ␟","␟"),"␟ ","␟"),"#"&amp;$DE90),"")</f>
        <v/>
      </c>
      <c r="DJ90">
        <f>IF($DI90="",0,IF(SUMPRODUCT(--EXACT($DI$4:DI89,$DI90))&gt;0,1,0))</f>
        <v/>
      </c>
      <c r="DK90">
        <f>IF(AND($DI90&lt;&gt;"",$DJ90=0),1,0)</f>
        <v/>
      </c>
      <c r="DL90">
        <f>DL89+$DK90</f>
        <v/>
      </c>
      <c r="DM90">
        <f>IF(AND($DK90=1,$DL90&lt;=600),1,0)</f>
        <v/>
      </c>
      <c r="DN90">
        <f>IF($DM90=0,"",IF($L$6=0,"",IFERROR(IF(ISNUMBER(INDEX(PASTE_ALL,$DF90,$L$6)),INDEX(PASTE_ALL,$DF90,$L$6),TRIM(SUBSTITUTE(SUBSTITUTE(SUBSTITUTE(SUBSTITUTE(INDEX(PASTE_ALL,$DF90,$L$6)," "," "),CHAR(9)," "),CHAR(10)," "),CHAR(13)," "))),"")))</f>
        <v/>
      </c>
      <c r="DO90">
        <f>IF($DM90=0,"",IF($L$7=0,"",IFERROR(IF(ISNUMBER(INDEX(PASTE_ALL,$DF90,$L$7)),INDEX(PASTE_ALL,$DF90,$L$7),TRIM(SUBSTITUTE(SUBSTITUTE(SUBSTITUTE(SUBSTITUTE(INDEX(PASTE_ALL,$DF90,$L$7)," "," "),CHAR(9)," "),CHAR(10)," "),CHAR(13)," "))),"")))</f>
        <v/>
      </c>
      <c r="DP90">
        <f>IF($DM90=0,"",IF($L$8=0,"",IFERROR(IF(ISNUMBER(INDEX(PASTE_ALL,$DF90,$L$8)),INDEX(PASTE_ALL,$DF90,$L$8),TRIM(SUBSTITUTE(SUBSTITUTE(SUBSTITUTE(SUBSTITUTE(INDEX(PASTE_ALL,$DF90,$L$8)," "," "),CHAR(9)," "),CHAR(10)," "),CHAR(13)," "))),"")))</f>
        <v/>
      </c>
      <c r="DQ90">
        <f>IF($DM90=0,"",IF($L$9=0,"",IFERROR(IF(ISNUMBER(INDEX(PASTE_ALL,$DF90,$L$9)),INDEX(PASTE_ALL,$DF90,$L$9),TRIM(SUBSTITUTE(SUBSTITUTE(SUBSTITUTE(SUBSTITUTE(INDEX(PASTE_ALL,$DF90,$L$9)," "," "),CHAR(9)," "),CHAR(10)," "),CHAR(13)," "))),"")))</f>
        <v/>
      </c>
      <c r="DR90">
        <f>IF($DM90=0,"",IF($L$10=0,"",IFERROR(IF(ISNUMBER(INDEX(PASTE_ALL,$DF90,$L$10)),INDEX(PASTE_ALL,$DF90,$L$10),TRIM(SUBSTITUTE(SUBSTITUTE(SUBSTITUTE(SUBSTITUTE(INDEX(PASTE_ALL,$DF90,$L$10)," "," "),CHAR(9)," "),CHAR(10)," "),CHAR(13)," "))),"")))</f>
        <v/>
      </c>
      <c r="DS90">
        <f>IF($DM90=0,"",IF($L$11=0,"",IFERROR(IF(ISNUMBER(INDEX(PASTE_ALL,$DF90,$L$11)),INDEX(PASTE_ALL,$DF90,$L$11),TRIM(SUBSTITUTE(SUBSTITUTE(SUBSTITUTE(SUBSTITUTE(INDEX(PASTE_ALL,$DF90,$L$11)," "," "),CHAR(9)," "),CHAR(10)," "),CHAR(13)," "))),"")))</f>
        <v/>
      </c>
      <c r="DT90">
        <f>IF($DM90=0,"",IF($L$12=0,"",IFERROR(IF(ISNUMBER(INDEX(PASTE_ALL,$DF90,$L$12)),INDEX(PASTE_ALL,$DF90,$L$12),TRIM(SUBSTITUTE(SUBSTITUTE(SUBSTITUTE(SUBSTITUTE(INDEX(PASTE_ALL,$DF90,$L$12)," "," "),CHAR(9)," "),CHAR(10)," "),CHAR(13)," "))),"")))</f>
        <v/>
      </c>
      <c r="DU90">
        <f>IF($DM90=0,"",IF($L$13=0,"",IFERROR(IF(ISNUMBER(INDEX(PASTE_ALL,$DF90,$L$13)),INDEX(PASTE_ALL,$DF90,$L$13),TRIM(SUBSTITUTE(SUBSTITUTE(SUBSTITUTE(SUBSTITUTE(INDEX(PASTE_ALL,$DF90,$L$13)," "," "),CHAR(9)," "),CHAR(10)," "),CHAR(13)," "))),"")))</f>
        <v/>
      </c>
      <c r="DV90">
        <f>IF($DM90=0,"",IF($L$14=0,"",IFERROR(IF(ISNUMBER(INDEX(PASTE_ALL,$DF90,$L$14)),INDEX(PASTE_ALL,$DF90,$L$14),TRIM(SUBSTITUTE(SUBSTITUTE(SUBSTITUTE(SUBSTITUTE(INDEX(PASTE_ALL,$DF90,$L$14)," "," "),CHAR(9)," "),CHAR(10)," "),CHAR(13)," "))),"")))</f>
        <v/>
      </c>
      <c r="DW90">
        <f>IF($DM90=0,"",IF($L$15=0,"",IFERROR(IF(ISNUMBER(INDEX(PASTE_ALL,$DF90,$L$15)),INDEX(PASTE_ALL,$DF90,$L$15),IF(SUMPRODUCT(--ISNUMBER(FIND({"A","B","C","D","E","F","G","H","I","J","K","L","M","N","O","P","Q","R","S","T","U","V","W","X","Y","Z","0","1","2","3","4","5","6","7","8","9"},UPPER(TRIM(SUBSTITUTE(SUBSTITUTE(SUBSTITUTE(SUBSTITUTE(INDEX(PASTE_ALL,$DF90,$L$15)," "," "),CHAR(9)," "),CHAR(10)," "),CHAR(13)," "))))))&gt;0,TRIM(SUBSTITUTE(SUBSTITUTE(SUBSTITUTE(SUBSTITUTE(INDEX(PASTE_ALL,$DF90,$L$15)," "," "),CHAR(9)," "),CHAR(10)," "),CHAR(13)," ")),"")),"")))</f>
        <v/>
      </c>
      <c r="DX90">
        <f>IF($DM90=0,"",IF($L$16=0,"",IFERROR(IF(ISNUMBER(INDEX(PASTE_ALL,$DF90,$L$16)),INDEX(PASTE_ALL,$DF90,$L$16),SUBSTITUTE(SUBSTITUTE(TRIM(SUBSTITUTE(SUBSTITUTE(SUBSTITUTE(SUBSTITUTE(INDEX(PASTE_ALL,$DF90,$L$16)," "," "),CHAR(9)," "),CHAR(10)," "),CHAR(13)," ")),",",""),"%","")),"")))</f>
        <v/>
      </c>
      <c r="DY90">
        <f>IF($DM90=0,"",IFERROR(IF(ISNUMBER($DX90),$DX90,IF($DX90="","",IF(TRIM($DX90)="",0,IF(AND(AND(SUBSTITUTE(SUBSTITUTE(SUBSTITUTE(SUBSTITUTE(SUBSTITUTE(SUBSTITUTE(SUBSTITUTE(SUBSTITUTE(SUBSTITUTE(SUBSTITUTE(SUBSTITUTE(SUBSTITUTE(SUBSTITUTE(SUBSTITUTE(UPPER(TRIM($DX90)),"0",""),"1",""),"2",""),"3",""),"4",""),"5",""),"6",""),"7",""),"8",""),"9",""),".",""),"+",""),"-",""),"E","")="",LEN(SUBSTITUTE(SUBSTITUTE(MID(UPPER(TRIM($DX90)),1+OR(LEFT(UPPER(TRIM($DX90)),1)="+",LEFT(UPPER(TRIM($DX90)),1)="-"),999),"E+","E"),"E-","E"))=LEN(SUBSTITUTE(SUBSTITUTE(SUBSTITUTE(SUBSTITUTE(MID(UPPER(TRIM($DX90)),1+OR(LEFT(UPPER(TRIM($DX90)),1)="+",LEFT(UPPER(TRIM($DX90)),1)="-"),999),"E+","E"),"E-","E"),"+",""),"-","")),LEN(UPPER(TRIM($DX90)))-LEN(SUBSTITUTE(UPPER(TRIM($DX90)),"E",""))&lt;2,LEN(UPPER(TRIM($DX90)))-LEN(SUBSTITUTE(UPPER(TRIM($DX90)),".",""))&lt;2,IFERROR(FIND(".",UPPER(TRIM($DX90))),0)&lt;IFERROR(FIND("E",UPPER(TRIM($DX90))),999)),ISNUMBER(VALUE(TRIM($DX90)))),VALUE(TRIM($DX90)),"")))),""))</f>
        <v/>
      </c>
      <c r="DZ90">
        <f>IF($DM90=0,"",IF($L$17=0,"",IFERROR(IF(ISNUMBER(INDEX(PASTE_ALL,$DF90,$L$17)),INDEX(PASTE_ALL,$DF90,$L$17),SUBSTITUTE(SUBSTITUTE(TRIM(SUBSTITUTE(SUBSTITUTE(SUBSTITUTE(SUBSTITUTE(INDEX(PASTE_ALL,$DF90,$L$17)," "," "),CHAR(9)," "),CHAR(10)," "),CHAR(13)," ")),",",""),"%","")),"")))</f>
        <v/>
      </c>
      <c r="EA90">
        <f>IF($DM90=0,"",IFERROR(IF(ISNUMBER($DZ90),$DZ90,IF($DZ90="","",IF(TRIM($DZ90)="",0,IF(AND(AND(SUBSTITUTE(SUBSTITUTE(SUBSTITUTE(SUBSTITUTE(SUBSTITUTE(SUBSTITUTE(SUBSTITUTE(SUBSTITUTE(SUBSTITUTE(SUBSTITUTE(SUBSTITUTE(SUBSTITUTE(SUBSTITUTE(SUBSTITUTE(UPPER(TRIM($DZ90)),"0",""),"1",""),"2",""),"3",""),"4",""),"5",""),"6",""),"7",""),"8",""),"9",""),".",""),"+",""),"-",""),"E","")="",LEN(SUBSTITUTE(SUBSTITUTE(MID(UPPER(TRIM($DZ90)),1+OR(LEFT(UPPER(TRIM($DZ90)),1)="+",LEFT(UPPER(TRIM($DZ90)),1)="-"),999),"E+","E"),"E-","E"))=LEN(SUBSTITUTE(SUBSTITUTE(SUBSTITUTE(SUBSTITUTE(MID(UPPER(TRIM($DZ90)),1+OR(LEFT(UPPER(TRIM($DZ90)),1)="+",LEFT(UPPER(TRIM($DZ90)),1)="-"),999),"E+","E"),"E-","E"),"+",""),"-","")),LEN(UPPER(TRIM($DZ90)))-LEN(SUBSTITUTE(UPPER(TRIM($DZ90)),"E",""))&lt;2,LEN(UPPER(TRIM($DZ90)))-LEN(SUBSTITUTE(UPPER(TRIM($DZ90)),".",""))&lt;2,IFERROR(FIND(".",UPPER(TRIM($DZ90))),0)&lt;IFERROR(FIND("E",UPPER(TRIM($DZ90))),999)),ISNUMBER(VALUE(TRIM($DZ90)))),VALUE(TRIM($DZ90)),"")))),""))</f>
        <v/>
      </c>
      <c r="EB90">
        <f>IF($DM90=0,"",IF($L$18=0,"",IFERROR(IF(UPPER(TRIM(SUBSTITUTE(SUBSTITUTE(SUBSTITUTE(SUBSTITUTE(INDEX(PASTE_ALL,$DF90,$L$18)," "," "),CHAR(9)," "),CHAR(10)," "),CHAR(13)," ")))="READY","Ready",IF(UPPER(TRIM(SUBSTITUTE(SUBSTITUTE(SUBSTITUTE(SUBSTITUTE(INDEX(PASTE_ALL,$DF90,$L$18)," "," "),CHAR(9)," "),CHAR(10)," "),CHAR(13)," ")))="PM","PM",IF(OR(UPPER(TRIM(SUBSTITUTE(SUBSTITUTE(SUBSTITUTE(SUBSTITUTE(INDEX(PASTE_ALL,$DF90,$L$18)," "," "),CHAR(9)," "),CHAR(10)," "),CHAR(13)," ")))="OT",UPPER(TRIM(SUBSTITUTE(SUBSTITUTE(SUBSTITUTE(SUBSTITUTE(INDEX(PASTE_ALL,$DF90,$L$18)," "," "),CHAR(9)," "),CHAR(10)," "),CHAR(13)," ")))="OVERTIME",UPPER(TRIM(SUBSTITUTE(SUBSTITUTE(SUBSTITUTE(SUBSTITUTE(INDEX(PASTE_ALL,$DF90,$L$18)," "," "),CHAR(9)," "),CHAR(10)," "),CHAR(13)," ")))="TRIAL"),"OT",TRIM(SUBSTITUTE(SUBSTITUTE(SUBSTITUTE(SUBSTITUTE(INDEX(PASTE_ALL,$DF90,$L$18)," "," "),CHAR(9)," "),CHAR(10)," "),CHAR(13)," "))))),"")))</f>
        <v/>
      </c>
      <c r="EC90">
        <f>IF($DM90=0,"",IF($L$19=0,"",IFERROR(IF(ISNUMBER(INDEX(PASTE_ALL,$DF90,$L$19)),INDEX(PASTE_ALL,$DF90,$L$19),TRIM(SUBSTITUTE(SUBSTITUTE(SUBSTITUTE(SUBSTITUTE(INDEX(PASTE_ALL,$DF90,$L$19)," "," "),CHAR(9)," "),CHAR(10)," "),CHAR(13)," "))),"")))</f>
        <v/>
      </c>
      <c r="ED90">
        <f>IF($DM90=0,"",MATCH(1,INDEX(EXACT($DH$5:DH90,$DH90)*$DM$5:DM90,0),0))</f>
        <v/>
      </c>
      <c r="EE90">
        <f>IF($DM90=0,0,IF($ED90=$DE90,1,0))</f>
        <v/>
      </c>
      <c r="EF90">
        <f>EF89+$EE90</f>
        <v/>
      </c>
      <c r="EG90">
        <f>IF($DM90=0,"",INDEX($EF$5:$EF$1003,$ED90))</f>
        <v/>
      </c>
      <c r="EH90">
        <f>IF($DM90=0,"",IF($DO90&lt;&gt;"","",IFERROR(LOOKUP(2,1/(($EG$4:EG89=$EG90)*($DO$4:DO89&lt;&gt;"")),$DO$4:DO89),"")))</f>
        <v/>
      </c>
      <c r="EI90">
        <f>IF($DM90=0,"",IF($DO90&lt;&gt;"",$DO90,$EH90))</f>
        <v/>
      </c>
      <c r="EJ90">
        <f>IF($DM90=0,"",IF($EI90="",0,IF(OR(ISNUMBER($EI90),AND(AND(SUBSTITUTE(SUBSTITUTE(SUBSTITUTE(SUBSTITUTE(SUBSTITUTE(SUBSTITUTE(SUBSTITUTE(SUBSTITUTE(SUBSTITUTE(SUBSTITUTE(SUBSTITUTE(SUBSTITUTE(SUBSTITUTE(SUBSTITUTE(UPPER($EI90),"0",""),"1",""),"2",""),"3",""),"4",""),"5",""),"6",""),"7",""),"8",""),"9",""),".",""),"+",""),"-",""),"E","")="",LEN(SUBSTITUTE(SUBSTITUTE(MID(UPPER($EI90),1+OR(LEFT(UPPER($EI90),1)="+",LEFT(UPPER($EI90),1)="-"),999),"E+","E"),"E-","E"))=LEN(SUBSTITUTE(SUBSTITUTE(SUBSTITUTE(SUBSTITUTE(MID(UPPER($EI90),1+OR(LEFT(UPPER($EI90),1)="+",LEFT(UPPER($EI90),1)="-"),999),"E+","E"),"E-","E"),"+",""),"-","")),LEN(UPPER($EI90))-LEN(SUBSTITUTE(UPPER($EI90),"E",""))&lt;2,LEN(UPPER($EI90))-LEN(SUBSTITUTE(UPPER($EI90),".",""))&lt;2,IFERROR(FIND(".",UPPER($EI90)),0)&lt;IFERROR(FIND("E",UPPER($EI90)),999)),ISNUMBER(VALUE($EI90)))),1,2)))</f>
        <v/>
      </c>
      <c r="EK90">
        <f>IF($DM90=0,"",IF($EJ90=1,IF(ISNUMBER($EI90),$EI90,VALUE($EI90)),IF($EJ90=2,$DE90,0)))</f>
        <v/>
      </c>
      <c r="EL90">
        <f>IF($DM90=0,"",COUNTIF($EG$5:$EG$1003,"&lt;"&amp;$EG90)+SUMPRODUCT(($EG$5:$EG$1003=$EG90)*(($EJ$5:$EJ$1003&lt;$EJ90)+($EJ$5:$EJ$1003=$EJ90)*(($EK$5:$EK$1003&lt;$EK90)+($EK$5:$EK$1003=$EK90)*($DE$5:$DE$1003&lt;$DE90))))+1)</f>
        <v/>
      </c>
      <c r="EM90">
        <f>IF($DM90=0,"",$EL90+$EG90-1)</f>
        <v/>
      </c>
      <c r="EN90">
        <f>IF($DM90=0,0,IFERROR(MATCH(1,INDEX(--(TRIM(SUBSTITUTE(SUBSTITUTE(SUBSTITUTE(SUBSTITUTE(LINES_NAME&amp;""," "," "),CHAR(9)," "),CHAR(10)," "),CHAR(13)," "))=$DH90),0),0),0))</f>
        <v/>
      </c>
      <c r="EO90">
        <f>IF($EN90=0,0,IF(OR(UPPER(TRIM(INDEX(LINES_SCHEDULED,$EN90)&amp;""))="YES",UPPER(TRIM(INDEX(LINES_SCHEDULED,$EN90)&amp;""))="Y",UPPER(TRIM(INDEX(LINES_SCHEDULED,$EN90)&amp;""))="X"),1,0))</f>
        <v/>
      </c>
      <c r="EP90">
        <f>IF($DM90=0,"",IF(COUNTIFS($EG$5:$EG$1003,$EG90,$EB$5:$EB$1003,"Ready")&gt;0,"READY",IF(COUNTIFS($EG$5:$EG$1003,$EG90,$EB$5:$EB$1003,"PM")&gt;0,"PM",IF(COUNTIFS($EG$5:$EG$1003,$EG90,$EB$5:$EB$1003,"OT")&gt;0,"OT",""))))</f>
        <v/>
      </c>
      <c r="EQ90">
        <f>IF($EN90=0,"",UPPER(TRIM(INDEX(LINES_STATUS,$EN90)&amp;"")))</f>
        <v/>
      </c>
      <c r="ER90">
        <f>IF($DM90=0,"",IF(OR($EQ90="READY",$EQ90="PM",$EQ90="OT"),$EQ90,$EP90))</f>
        <v/>
      </c>
      <c r="ES90">
        <f>IF($DM90=0,"",IF(AND($DV90&lt;&gt;"",UPPER($DV90)&lt;&gt;"N"),"allergen",IF(ISNUMBER(SEARCH("oil",$DQ90)),"oil",IF(OR(EXACT($DS90,"A662"),EXACT($DS90,"A624")),"bulk",""))))</f>
        <v/>
      </c>
      <c r="ET90">
        <f>IF($DM90=0,"",IF(OR($EA90="",$EA90=0),"",$EA90/100))</f>
        <v/>
      </c>
      <c r="EU90">
        <f>IF(OR($ET90="",$DY90=""),"",INT($DY90*(1-$ET90)+0.5))</f>
        <v/>
      </c>
      <c r="EW90" t="n">
        <v>86</v>
      </c>
      <c r="EX90">
        <f>IFERROR(MATCH($EW90,$EM$5:$EM$1003,0),0)</f>
        <v/>
      </c>
      <c r="EY90">
        <f>IF($EW90&gt;$B$12,"",IF($EX90&gt;0,"row","spacer"))</f>
        <v/>
      </c>
      <c r="EZ90">
        <f>IF(AND($EY90="row",$EY89&lt;&gt;"row"),1,0)</f>
        <v/>
      </c>
      <c r="FA90">
        <f>IF(AND($EY90="row",$EY91&lt;&gt;"row"),1,0)</f>
        <v/>
      </c>
      <c r="FB90">
        <f>IF($EZ90=1,IFERROR(IF(ISNUMBER(INDEX(PASTE_ALL,INDEX($DF$5:$DF$1003,$EX90),$B$37)),INDEX(PASTE_ALL,INDEX($DF$5:$DF$1003,$EX90),$B$37),INDEX($DH$5:$DH$1003,$EX90)),INDEX($DH$5:$DH$1003,$EX90)),"")</f>
        <v/>
      </c>
      <c r="FC90">
        <f>IF($EY90="row",INDEX($ER$5:$ER$1003,$EX90),"")</f>
        <v/>
      </c>
      <c r="FD90">
        <f>IF($EY90="row",INDEX($DN$5:$DN$1003,$EX90),"")</f>
        <v/>
      </c>
      <c r="FE90">
        <f>IF($EY90="row",INDEX($DO$5:$DO$1003,$EX90),"")</f>
        <v/>
      </c>
      <c r="FF90">
        <f>IF($EY90="row",INDEX($DP$5:$DP$1003,$EX90),"")</f>
        <v/>
      </c>
      <c r="FG90">
        <f>IF($EY90="row",INDEX($DQ$5:$DQ$1003,$EX90),"")</f>
        <v/>
      </c>
      <c r="FH90">
        <f>IF($EY90="row",INDEX($DR$5:$DR$1003,$EX90),"")</f>
        <v/>
      </c>
      <c r="FI90">
        <f>IF($EY90="row",INDEX($DS$5:$DS$1003,$EX90),"")</f>
        <v/>
      </c>
      <c r="FJ90">
        <f>IF($EY90="row",INDEX($DT$5:$DT$1003,$EX90),"")</f>
        <v/>
      </c>
      <c r="FK90">
        <f>IF($EY90="row",INDEX($DU$5:$DU$1003,$EX90),"")</f>
        <v/>
      </c>
      <c r="FL90">
        <f>IF($EY90="row",INDEX($DV$5:$DV$1003,$EX90),"")</f>
        <v/>
      </c>
      <c r="FM90">
        <f>IF($EY90="row",INDEX($DW$5:$DW$1003,$EX90),"")</f>
        <v/>
      </c>
      <c r="FN90">
        <f>IF($EY90="row",INDEX($DY$5:$DY$1003,$EX90),"")</f>
        <v/>
      </c>
      <c r="FO90">
        <f>IF($EY90="row",INDEX($EA$5:$EA$1003,$EX90),"")</f>
        <v/>
      </c>
      <c r="FP90">
        <f>IF($EY90="row",INDEX($EC$5:$EC$1003,$EX90),"")</f>
        <v/>
      </c>
      <c r="FQ90">
        <f>IF($EY90="row",INDEX($ET$5:$ET$1003,$EX90),"")</f>
        <v/>
      </c>
      <c r="FR90">
        <f>IF($EY90="row",INDEX($EU$5:$EU$1003,$EX90),"")</f>
        <v/>
      </c>
      <c r="FS90">
        <f>IF(AND($EY90="row",$EY89="row"),IF(OR(INDEX($DT$5:$DT$1003,$EX89)="",INDEX($DT$5:$DT$1003,$EX90)=""),"",IF(NOT(EXACT(INDEX($DT$5:$DT$1003,$EX89),INDEX($DT$5:$DT$1003,$EX90))),"S4",IF(NOT(EXACT(INDEX($DS$5:$DS$1003,$EX89),INDEX($DS$5:$DS$1003,$EX90))),"S3",IF(NOT(EXACT(INDEX($DR$5:$DR$1003,$EX89),INDEX($DR$5:$DR$1003,$EX90))),"S1 Count Change","S1")))),"")</f>
        <v/>
      </c>
      <c r="FT90">
        <f>IF($EY90="row",INDEX($ES$5:$ES$1003,$EX90),"")</f>
        <v/>
      </c>
      <c r="FU90">
        <f>IF($EY90="row",INDEX($EO$5:$EO$1003,$EX90),0)</f>
        <v/>
      </c>
      <c r="FV90">
        <f>IF($FS90="S1 Count Change",1,0)</f>
        <v/>
      </c>
      <c r="FX90" t="n">
        <v>86</v>
      </c>
      <c r="FY90">
        <f>IFERROR(MATCH($FX90,$EF$5:$EF$1003,0),0)</f>
        <v/>
      </c>
      <c r="FZ90">
        <f>IF($FY90=0,"",INDEX($DH$5:$DH$1003,$FY90))</f>
        <v/>
      </c>
      <c r="GA90">
        <f>IF($FY90=0,"",COUNTIF($EG$5:$EG$1003,$FX90))</f>
        <v/>
      </c>
      <c r="GB90">
        <f>IF($FY90=0,"",INDEX($ER$5:$ER$1003,$FY90))</f>
        <v/>
      </c>
      <c r="GC90">
        <f>IF($FY90=0,"",IF(INDEX($EO$5:$EO$1003,$FY90)=1,"Yes",""))</f>
        <v/>
      </c>
      <c r="GD90">
        <f>IF($FY90=0,"",IF(INDEX($EN$5:$EN$1003,$FY90)&gt;0,"","NOT IN YOUR LIST - type it in column A to tick it"))</f>
        <v/>
      </c>
      <c r="GE90">
        <f>IF(AND($FY90&gt;0,$GD90&lt;&gt;""),1,0)</f>
        <v/>
      </c>
      <c r="GF90">
        <f>GF89+$GE90</f>
        <v/>
      </c>
      <c r="GG90">
        <f>IFERROR(INDEX($FZ$5:$FZ$104,MATCH($FX90,$GF$5:$GF$104,0)),"")</f>
        <v/>
      </c>
    </row>
    <row r="91">
      <c r="DA91" t="n">
        <v>87</v>
      </c>
      <c r="DB91">
        <f>IF($B$37=0,"",IFERROR(TRIM(SUBSTITUTE(SUBSTITUTE(SUBSTITUTE(SUBSTITUTE(INDEX(PASTE_ALL,87,$B$37)," "," "),CHAR(9)," "),CHAR(10)," "),CHAR(13)," ")),""))</f>
        <v/>
      </c>
      <c r="DC91">
        <f>IF(AND(87&gt;HEADER_ROW,UPPER(DB91)="LEGEND"),1,0)</f>
        <v/>
      </c>
      <c r="DE91" t="n">
        <v>87</v>
      </c>
      <c r="DF91">
        <f>HEADER_ROW+$DE91</f>
        <v/>
      </c>
      <c r="DG91">
        <f>IF(AND($DF91&lt;=1000,$DF91&lt;$B$8),1,0)</f>
        <v/>
      </c>
      <c r="DH91">
        <f>IF($DG91=1,IFERROR(INDEX($DB$5:$DB$1004,$DF91),""),"")</f>
        <v/>
      </c>
      <c r="DI91">
        <f>IF(AND($DG91=1,$DH91&lt;&gt;""),IFERROR(SUBSTITUTE(SUBSTITUTE(TRIM(SUBSTITUTE(SUBSTITUTE(SUBSTITUTE(SUBSTITUTE(IFERROR(INDEX(PASTE_ALL,$DF91,1)&amp;"","")&amp;"␟"&amp;IFERROR(INDEX(PASTE_ALL,$DF91,2)&amp;"","")&amp;"␟"&amp;IFERROR(INDEX(PASTE_ALL,$DF91,3)&amp;"","")&amp;"␟"&amp;IFERROR(INDEX(PASTE_ALL,$DF91,4)&amp;"","")&amp;"␟"&amp;IFERROR(INDEX(PASTE_ALL,$DF91,5)&amp;"","")&amp;"␟"&amp;IFERROR(INDEX(PASTE_ALL,$DF91,6)&amp;"","")&amp;"␟"&amp;IFERROR(INDEX(PASTE_ALL,$DF91,7)&amp;"","")&amp;"␟"&amp;IFERROR(INDEX(PASTE_ALL,$DF91,8)&amp;"","")&amp;"␟"&amp;IFERROR(INDEX(PASTE_ALL,$DF91,9)&amp;"","")&amp;"␟"&amp;IFERROR(INDEX(PASTE_ALL,$DF91,10)&amp;"","")&amp;"␟"&amp;IFERROR(INDEX(PASTE_ALL,$DF91,11)&amp;"","")&amp;"␟"&amp;IFERROR(INDEX(PASTE_ALL,$DF91,12)&amp;"","")&amp;"␟"&amp;IFERROR(INDEX(PASTE_ALL,$DF91,13)&amp;"","")&amp;"␟"&amp;IFERROR(INDEX(PASTE_ALL,$DF91,14)&amp;"","")&amp;"␟"&amp;IFERROR(INDEX(PASTE_ALL,$DF91,15)&amp;"","")&amp;"␟"&amp;IFERROR(INDEX(PASTE_ALL,$DF91,16)&amp;"","")&amp;"␟"&amp;IFERROR(INDEX(PASTE_ALL,$DF91,17)&amp;"","")&amp;"␟"&amp;IFERROR(INDEX(PASTE_ALL,$DF91,18)&amp;"","")&amp;"␟"&amp;IFERROR(INDEX(PASTE_ALL,$DF91,19)&amp;"","")&amp;"␟"&amp;IFERROR(INDEX(PASTE_ALL,$DF91,20)&amp;"","")&amp;"␟"&amp;IFERROR(INDEX(PASTE_ALL,$DF91,21)&amp;"","")&amp;"␟"&amp;IFERROR(INDEX(PASTE_ALL,$DF91,22)&amp;"","")&amp;"␟"&amp;IFERROR(INDEX(PASTE_ALL,$DF91,23)&amp;"","")&amp;"␟"&amp;IFERROR(INDEX(PASTE_ALL,$DF91,24)&amp;"","")&amp;"␟"&amp;IFERROR(INDEX(PASTE_ALL,$DF91,25)&amp;"","")&amp;"␟"&amp;IFERROR(INDEX(PASTE_ALL,$DF91,26)&amp;"","")&amp;"␟"&amp;IFERROR(INDEX(PASTE_ALL,$DF91,27)&amp;"","")&amp;"␟"&amp;IFERROR(INDEX(PASTE_ALL,$DF91,28)&amp;"","")&amp;"␟"&amp;IFERROR(INDEX(PASTE_ALL,$DF91,29)&amp;"","")&amp;"␟"&amp;IFERROR(INDEX(PASTE_ALL,$DF91,30)&amp;"","")&amp;"␟"&amp;IFERROR(INDEX(PASTE_ALL,$DF91,31)&amp;"","")&amp;"␟"&amp;IFERROR(INDEX(PASTE_ALL,$DF91,32)&amp;"","")&amp;"␟"&amp;IFERROR(INDEX(PASTE_ALL,$DF91,33)&amp;"","")&amp;"␟"&amp;IFERROR(INDEX(PASTE_ALL,$DF91,34)&amp;"","")&amp;"␟"&amp;IFERROR(INDEX(PASTE_ALL,$DF91,35)&amp;"","")&amp;"␟"&amp;IFERROR(INDEX(PASTE_ALL,$DF91,36)&amp;"","")&amp;"␟"&amp;IFERROR(INDEX(PASTE_ALL,$DF91,37)&amp;"","")&amp;"␟"&amp;IFERROR(INDEX(PASTE_ALL,$DF91,38)&amp;"","")&amp;"␟"&amp;IFERROR(INDEX(PASTE_ALL,$DF91,39)&amp;"","")&amp;"␟"&amp;IFERROR(INDEX(PASTE_ALL,$DF91,40)&amp;"","")&amp;"␟"&amp;IFERROR(INDEX(PASTE_ALL,$DF91,41)&amp;"","")&amp;"␟"&amp;IFERROR(INDEX(PASTE_ALL,$DF91,42)&amp;"","")&amp;"␟"&amp;IFERROR(INDEX(PASTE_ALL,$DF91,43)&amp;"","")&amp;"␟"&amp;IFERROR(INDEX(PASTE_ALL,$DF91,44)&amp;"","")&amp;"␟"&amp;IFERROR(INDEX(PASTE_ALL,$DF91,45)&amp;"","")&amp;"␟"&amp;IFERROR(INDEX(PASTE_ALL,$DF91,46)&amp;"","")&amp;"␟"&amp;IFERROR(INDEX(PASTE_ALL,$DF91,47)&amp;"","")&amp;"␟"&amp;IFERROR(INDEX(PASTE_ALL,$DF91,48)&amp;"","")&amp;"␟"&amp;IFERROR(INDEX(PASTE_ALL,$DF91,49)&amp;"","")&amp;"␟"&amp;IFERROR(INDEX(PASTE_ALL,$DF91,50)&amp;"","")&amp;"␟"&amp;IFERROR(INDEX(PASTE_ALL,$DF91,51)&amp;"","")&amp;"␟"&amp;IFERROR(INDEX(PASTE_ALL,$DF91,52)&amp;"","")&amp;"␟"&amp;IFERROR(INDEX(PASTE_ALL,$DF91,53)&amp;"","")&amp;"␟"&amp;IFERROR(INDEX(PASTE_ALL,$DF91,54)&amp;"","")&amp;"␟"&amp;IFERROR(INDEX(PASTE_ALL,$DF91,55)&amp;"","")&amp;"␟"&amp;IFERROR(INDEX(PASTE_ALL,$DF91,56)&amp;"","")&amp;"␟"&amp;IFERROR(INDEX(PASTE_ALL,$DF91,57)&amp;"","")&amp;"␟"&amp;IFERROR(INDEX(PASTE_ALL,$DF91,58)&amp;"","")&amp;"␟"&amp;IFERROR(INDEX(PASTE_ALL,$DF91,59)&amp;"","")&amp;"␟"&amp;IFERROR(INDEX(PASTE_ALL,$DF91,60)&amp;"","")," "," "),CHAR(9)," "),CHAR(10)," "),CHAR(13)," "))," ␟","␟"),"␟ ","␟"),"#"&amp;$DE91),"")</f>
        <v/>
      </c>
      <c r="DJ91">
        <f>IF($DI91="",0,IF(SUMPRODUCT(--EXACT($DI$4:DI90,$DI91))&gt;0,1,0))</f>
        <v/>
      </c>
      <c r="DK91">
        <f>IF(AND($DI91&lt;&gt;"",$DJ91=0),1,0)</f>
        <v/>
      </c>
      <c r="DL91">
        <f>DL90+$DK91</f>
        <v/>
      </c>
      <c r="DM91">
        <f>IF(AND($DK91=1,$DL91&lt;=600),1,0)</f>
        <v/>
      </c>
      <c r="DN91">
        <f>IF($DM91=0,"",IF($L$6=0,"",IFERROR(IF(ISNUMBER(INDEX(PASTE_ALL,$DF91,$L$6)),INDEX(PASTE_ALL,$DF91,$L$6),TRIM(SUBSTITUTE(SUBSTITUTE(SUBSTITUTE(SUBSTITUTE(INDEX(PASTE_ALL,$DF91,$L$6)," "," "),CHAR(9)," "),CHAR(10)," "),CHAR(13)," "))),"")))</f>
        <v/>
      </c>
      <c r="DO91">
        <f>IF($DM91=0,"",IF($L$7=0,"",IFERROR(IF(ISNUMBER(INDEX(PASTE_ALL,$DF91,$L$7)),INDEX(PASTE_ALL,$DF91,$L$7),TRIM(SUBSTITUTE(SUBSTITUTE(SUBSTITUTE(SUBSTITUTE(INDEX(PASTE_ALL,$DF91,$L$7)," "," "),CHAR(9)," "),CHAR(10)," "),CHAR(13)," "))),"")))</f>
        <v/>
      </c>
      <c r="DP91">
        <f>IF($DM91=0,"",IF($L$8=0,"",IFERROR(IF(ISNUMBER(INDEX(PASTE_ALL,$DF91,$L$8)),INDEX(PASTE_ALL,$DF91,$L$8),TRIM(SUBSTITUTE(SUBSTITUTE(SUBSTITUTE(SUBSTITUTE(INDEX(PASTE_ALL,$DF91,$L$8)," "," "),CHAR(9)," "),CHAR(10)," "),CHAR(13)," "))),"")))</f>
        <v/>
      </c>
      <c r="DQ91">
        <f>IF($DM91=0,"",IF($L$9=0,"",IFERROR(IF(ISNUMBER(INDEX(PASTE_ALL,$DF91,$L$9)),INDEX(PASTE_ALL,$DF91,$L$9),TRIM(SUBSTITUTE(SUBSTITUTE(SUBSTITUTE(SUBSTITUTE(INDEX(PASTE_ALL,$DF91,$L$9)," "," "),CHAR(9)," "),CHAR(10)," "),CHAR(13)," "))),"")))</f>
        <v/>
      </c>
      <c r="DR91">
        <f>IF($DM91=0,"",IF($L$10=0,"",IFERROR(IF(ISNUMBER(INDEX(PASTE_ALL,$DF91,$L$10)),INDEX(PASTE_ALL,$DF91,$L$10),TRIM(SUBSTITUTE(SUBSTITUTE(SUBSTITUTE(SUBSTITUTE(INDEX(PASTE_ALL,$DF91,$L$10)," "," "),CHAR(9)," "),CHAR(10)," "),CHAR(13)," "))),"")))</f>
        <v/>
      </c>
      <c r="DS91">
        <f>IF($DM91=0,"",IF($L$11=0,"",IFERROR(IF(ISNUMBER(INDEX(PASTE_ALL,$DF91,$L$11)),INDEX(PASTE_ALL,$DF91,$L$11),TRIM(SUBSTITUTE(SUBSTITUTE(SUBSTITUTE(SUBSTITUTE(INDEX(PASTE_ALL,$DF91,$L$11)," "," "),CHAR(9)," "),CHAR(10)," "),CHAR(13)," "))),"")))</f>
        <v/>
      </c>
      <c r="DT91">
        <f>IF($DM91=0,"",IF($L$12=0,"",IFERROR(IF(ISNUMBER(INDEX(PASTE_ALL,$DF91,$L$12)),INDEX(PASTE_ALL,$DF91,$L$12),TRIM(SUBSTITUTE(SUBSTITUTE(SUBSTITUTE(SUBSTITUTE(INDEX(PASTE_ALL,$DF91,$L$12)," "," "),CHAR(9)," "),CHAR(10)," "),CHAR(13)," "))),"")))</f>
        <v/>
      </c>
      <c r="DU91">
        <f>IF($DM91=0,"",IF($L$13=0,"",IFERROR(IF(ISNUMBER(INDEX(PASTE_ALL,$DF91,$L$13)),INDEX(PASTE_ALL,$DF91,$L$13),TRIM(SUBSTITUTE(SUBSTITUTE(SUBSTITUTE(SUBSTITUTE(INDEX(PASTE_ALL,$DF91,$L$13)," "," "),CHAR(9)," "),CHAR(10)," "),CHAR(13)," "))),"")))</f>
        <v/>
      </c>
      <c r="DV91">
        <f>IF($DM91=0,"",IF($L$14=0,"",IFERROR(IF(ISNUMBER(INDEX(PASTE_ALL,$DF91,$L$14)),INDEX(PASTE_ALL,$DF91,$L$14),TRIM(SUBSTITUTE(SUBSTITUTE(SUBSTITUTE(SUBSTITUTE(INDEX(PASTE_ALL,$DF91,$L$14)," "," "),CHAR(9)," "),CHAR(10)," "),CHAR(13)," "))),"")))</f>
        <v/>
      </c>
      <c r="DW91">
        <f>IF($DM91=0,"",IF($L$15=0,"",IFERROR(IF(ISNUMBER(INDEX(PASTE_ALL,$DF91,$L$15)),INDEX(PASTE_ALL,$DF91,$L$15),IF(SUMPRODUCT(--ISNUMBER(FIND({"A","B","C","D","E","F","G","H","I","J","K","L","M","N","O","P","Q","R","S","T","U","V","W","X","Y","Z","0","1","2","3","4","5","6","7","8","9"},UPPER(TRIM(SUBSTITUTE(SUBSTITUTE(SUBSTITUTE(SUBSTITUTE(INDEX(PASTE_ALL,$DF91,$L$15)," "," "),CHAR(9)," "),CHAR(10)," "),CHAR(13)," "))))))&gt;0,TRIM(SUBSTITUTE(SUBSTITUTE(SUBSTITUTE(SUBSTITUTE(INDEX(PASTE_ALL,$DF91,$L$15)," "," "),CHAR(9)," "),CHAR(10)," "),CHAR(13)," ")),"")),"")))</f>
        <v/>
      </c>
      <c r="DX91">
        <f>IF($DM91=0,"",IF($L$16=0,"",IFERROR(IF(ISNUMBER(INDEX(PASTE_ALL,$DF91,$L$16)),INDEX(PASTE_ALL,$DF91,$L$16),SUBSTITUTE(SUBSTITUTE(TRIM(SUBSTITUTE(SUBSTITUTE(SUBSTITUTE(SUBSTITUTE(INDEX(PASTE_ALL,$DF91,$L$16)," "," "),CHAR(9)," "),CHAR(10)," "),CHAR(13)," ")),",",""),"%","")),"")))</f>
        <v/>
      </c>
      <c r="DY91">
        <f>IF($DM91=0,"",IFERROR(IF(ISNUMBER($DX91),$DX91,IF($DX91="","",IF(TRIM($DX91)="",0,IF(AND(AND(SUBSTITUTE(SUBSTITUTE(SUBSTITUTE(SUBSTITUTE(SUBSTITUTE(SUBSTITUTE(SUBSTITUTE(SUBSTITUTE(SUBSTITUTE(SUBSTITUTE(SUBSTITUTE(SUBSTITUTE(SUBSTITUTE(SUBSTITUTE(UPPER(TRIM($DX91)),"0",""),"1",""),"2",""),"3",""),"4",""),"5",""),"6",""),"7",""),"8",""),"9",""),".",""),"+",""),"-",""),"E","")="",LEN(SUBSTITUTE(SUBSTITUTE(MID(UPPER(TRIM($DX91)),1+OR(LEFT(UPPER(TRIM($DX91)),1)="+",LEFT(UPPER(TRIM($DX91)),1)="-"),999),"E+","E"),"E-","E"))=LEN(SUBSTITUTE(SUBSTITUTE(SUBSTITUTE(SUBSTITUTE(MID(UPPER(TRIM($DX91)),1+OR(LEFT(UPPER(TRIM($DX91)),1)="+",LEFT(UPPER(TRIM($DX91)),1)="-"),999),"E+","E"),"E-","E"),"+",""),"-","")),LEN(UPPER(TRIM($DX91)))-LEN(SUBSTITUTE(UPPER(TRIM($DX91)),"E",""))&lt;2,LEN(UPPER(TRIM($DX91)))-LEN(SUBSTITUTE(UPPER(TRIM($DX91)),".",""))&lt;2,IFERROR(FIND(".",UPPER(TRIM($DX91))),0)&lt;IFERROR(FIND("E",UPPER(TRIM($DX91))),999)),ISNUMBER(VALUE(TRIM($DX91)))),VALUE(TRIM($DX91)),"")))),""))</f>
        <v/>
      </c>
      <c r="DZ91">
        <f>IF($DM91=0,"",IF($L$17=0,"",IFERROR(IF(ISNUMBER(INDEX(PASTE_ALL,$DF91,$L$17)),INDEX(PASTE_ALL,$DF91,$L$17),SUBSTITUTE(SUBSTITUTE(TRIM(SUBSTITUTE(SUBSTITUTE(SUBSTITUTE(SUBSTITUTE(INDEX(PASTE_ALL,$DF91,$L$17)," "," "),CHAR(9)," "),CHAR(10)," "),CHAR(13)," ")),",",""),"%","")),"")))</f>
        <v/>
      </c>
      <c r="EA91">
        <f>IF($DM91=0,"",IFERROR(IF(ISNUMBER($DZ91),$DZ91,IF($DZ91="","",IF(TRIM($DZ91)="",0,IF(AND(AND(SUBSTITUTE(SUBSTITUTE(SUBSTITUTE(SUBSTITUTE(SUBSTITUTE(SUBSTITUTE(SUBSTITUTE(SUBSTITUTE(SUBSTITUTE(SUBSTITUTE(SUBSTITUTE(SUBSTITUTE(SUBSTITUTE(SUBSTITUTE(UPPER(TRIM($DZ91)),"0",""),"1",""),"2",""),"3",""),"4",""),"5",""),"6",""),"7",""),"8",""),"9",""),".",""),"+",""),"-",""),"E","")="",LEN(SUBSTITUTE(SUBSTITUTE(MID(UPPER(TRIM($DZ91)),1+OR(LEFT(UPPER(TRIM($DZ91)),1)="+",LEFT(UPPER(TRIM($DZ91)),1)="-"),999),"E+","E"),"E-","E"))=LEN(SUBSTITUTE(SUBSTITUTE(SUBSTITUTE(SUBSTITUTE(MID(UPPER(TRIM($DZ91)),1+OR(LEFT(UPPER(TRIM($DZ91)),1)="+",LEFT(UPPER(TRIM($DZ91)),1)="-"),999),"E+","E"),"E-","E"),"+",""),"-","")),LEN(UPPER(TRIM($DZ91)))-LEN(SUBSTITUTE(UPPER(TRIM($DZ91)),"E",""))&lt;2,LEN(UPPER(TRIM($DZ91)))-LEN(SUBSTITUTE(UPPER(TRIM($DZ91)),".",""))&lt;2,IFERROR(FIND(".",UPPER(TRIM($DZ91))),0)&lt;IFERROR(FIND("E",UPPER(TRIM($DZ91))),999)),ISNUMBER(VALUE(TRIM($DZ91)))),VALUE(TRIM($DZ91)),"")))),""))</f>
        <v/>
      </c>
      <c r="EB91">
        <f>IF($DM91=0,"",IF($L$18=0,"",IFERROR(IF(UPPER(TRIM(SUBSTITUTE(SUBSTITUTE(SUBSTITUTE(SUBSTITUTE(INDEX(PASTE_ALL,$DF91,$L$18)," "," "),CHAR(9)," "),CHAR(10)," "),CHAR(13)," ")))="READY","Ready",IF(UPPER(TRIM(SUBSTITUTE(SUBSTITUTE(SUBSTITUTE(SUBSTITUTE(INDEX(PASTE_ALL,$DF91,$L$18)," "," "),CHAR(9)," "),CHAR(10)," "),CHAR(13)," ")))="PM","PM",IF(OR(UPPER(TRIM(SUBSTITUTE(SUBSTITUTE(SUBSTITUTE(SUBSTITUTE(INDEX(PASTE_ALL,$DF91,$L$18)," "," "),CHAR(9)," "),CHAR(10)," "),CHAR(13)," ")))="OT",UPPER(TRIM(SUBSTITUTE(SUBSTITUTE(SUBSTITUTE(SUBSTITUTE(INDEX(PASTE_ALL,$DF91,$L$18)," "," "),CHAR(9)," "),CHAR(10)," "),CHAR(13)," ")))="OVERTIME",UPPER(TRIM(SUBSTITUTE(SUBSTITUTE(SUBSTITUTE(SUBSTITUTE(INDEX(PASTE_ALL,$DF91,$L$18)," "," "),CHAR(9)," "),CHAR(10)," "),CHAR(13)," ")))="TRIAL"),"OT",TRIM(SUBSTITUTE(SUBSTITUTE(SUBSTITUTE(SUBSTITUTE(INDEX(PASTE_ALL,$DF91,$L$18)," "," "),CHAR(9)," "),CHAR(10)," "),CHAR(13)," "))))),"")))</f>
        <v/>
      </c>
      <c r="EC91">
        <f>IF($DM91=0,"",IF($L$19=0,"",IFERROR(IF(ISNUMBER(INDEX(PASTE_ALL,$DF91,$L$19)),INDEX(PASTE_ALL,$DF91,$L$19),TRIM(SUBSTITUTE(SUBSTITUTE(SUBSTITUTE(SUBSTITUTE(INDEX(PASTE_ALL,$DF91,$L$19)," "," "),CHAR(9)," "),CHAR(10)," "),CHAR(13)," "))),"")))</f>
        <v/>
      </c>
      <c r="ED91">
        <f>IF($DM91=0,"",MATCH(1,INDEX(EXACT($DH$5:DH91,$DH91)*$DM$5:DM91,0),0))</f>
        <v/>
      </c>
      <c r="EE91">
        <f>IF($DM91=0,0,IF($ED91=$DE91,1,0))</f>
        <v/>
      </c>
      <c r="EF91">
        <f>EF90+$EE91</f>
        <v/>
      </c>
      <c r="EG91">
        <f>IF($DM91=0,"",INDEX($EF$5:$EF$1003,$ED91))</f>
        <v/>
      </c>
      <c r="EH91">
        <f>IF($DM91=0,"",IF($DO91&lt;&gt;"","",IFERROR(LOOKUP(2,1/(($EG$4:EG90=$EG91)*($DO$4:DO90&lt;&gt;"")),$DO$4:DO90),"")))</f>
        <v/>
      </c>
      <c r="EI91">
        <f>IF($DM91=0,"",IF($DO91&lt;&gt;"",$DO91,$EH91))</f>
        <v/>
      </c>
      <c r="EJ91">
        <f>IF($DM91=0,"",IF($EI91="",0,IF(OR(ISNUMBER($EI91),AND(AND(SUBSTITUTE(SUBSTITUTE(SUBSTITUTE(SUBSTITUTE(SUBSTITUTE(SUBSTITUTE(SUBSTITUTE(SUBSTITUTE(SUBSTITUTE(SUBSTITUTE(SUBSTITUTE(SUBSTITUTE(SUBSTITUTE(SUBSTITUTE(UPPER($EI91),"0",""),"1",""),"2",""),"3",""),"4",""),"5",""),"6",""),"7",""),"8",""),"9",""),".",""),"+",""),"-",""),"E","")="",LEN(SUBSTITUTE(SUBSTITUTE(MID(UPPER($EI91),1+OR(LEFT(UPPER($EI91),1)="+",LEFT(UPPER($EI91),1)="-"),999),"E+","E"),"E-","E"))=LEN(SUBSTITUTE(SUBSTITUTE(SUBSTITUTE(SUBSTITUTE(MID(UPPER($EI91),1+OR(LEFT(UPPER($EI91),1)="+",LEFT(UPPER($EI91),1)="-"),999),"E+","E"),"E-","E"),"+",""),"-","")),LEN(UPPER($EI91))-LEN(SUBSTITUTE(UPPER($EI91),"E",""))&lt;2,LEN(UPPER($EI91))-LEN(SUBSTITUTE(UPPER($EI91),".",""))&lt;2,IFERROR(FIND(".",UPPER($EI91)),0)&lt;IFERROR(FIND("E",UPPER($EI91)),999)),ISNUMBER(VALUE($EI91)))),1,2)))</f>
        <v/>
      </c>
      <c r="EK91">
        <f>IF($DM91=0,"",IF($EJ91=1,IF(ISNUMBER($EI91),$EI91,VALUE($EI91)),IF($EJ91=2,$DE91,0)))</f>
        <v/>
      </c>
      <c r="EL91">
        <f>IF($DM91=0,"",COUNTIF($EG$5:$EG$1003,"&lt;"&amp;$EG91)+SUMPRODUCT(($EG$5:$EG$1003=$EG91)*(($EJ$5:$EJ$1003&lt;$EJ91)+($EJ$5:$EJ$1003=$EJ91)*(($EK$5:$EK$1003&lt;$EK91)+($EK$5:$EK$1003=$EK91)*($DE$5:$DE$1003&lt;$DE91))))+1)</f>
        <v/>
      </c>
      <c r="EM91">
        <f>IF($DM91=0,"",$EL91+$EG91-1)</f>
        <v/>
      </c>
      <c r="EN91">
        <f>IF($DM91=0,0,IFERROR(MATCH(1,INDEX(--(TRIM(SUBSTITUTE(SUBSTITUTE(SUBSTITUTE(SUBSTITUTE(LINES_NAME&amp;""," "," "),CHAR(9)," "),CHAR(10)," "),CHAR(13)," "))=$DH91),0),0),0))</f>
        <v/>
      </c>
      <c r="EO91">
        <f>IF($EN91=0,0,IF(OR(UPPER(TRIM(INDEX(LINES_SCHEDULED,$EN91)&amp;""))="YES",UPPER(TRIM(INDEX(LINES_SCHEDULED,$EN91)&amp;""))="Y",UPPER(TRIM(INDEX(LINES_SCHEDULED,$EN91)&amp;""))="X"),1,0))</f>
        <v/>
      </c>
      <c r="EP91">
        <f>IF($DM91=0,"",IF(COUNTIFS($EG$5:$EG$1003,$EG91,$EB$5:$EB$1003,"Ready")&gt;0,"READY",IF(COUNTIFS($EG$5:$EG$1003,$EG91,$EB$5:$EB$1003,"PM")&gt;0,"PM",IF(COUNTIFS($EG$5:$EG$1003,$EG91,$EB$5:$EB$1003,"OT")&gt;0,"OT",""))))</f>
        <v/>
      </c>
      <c r="EQ91">
        <f>IF($EN91=0,"",UPPER(TRIM(INDEX(LINES_STATUS,$EN91)&amp;"")))</f>
        <v/>
      </c>
      <c r="ER91">
        <f>IF($DM91=0,"",IF(OR($EQ91="READY",$EQ91="PM",$EQ91="OT"),$EQ91,$EP91))</f>
        <v/>
      </c>
      <c r="ES91">
        <f>IF($DM91=0,"",IF(AND($DV91&lt;&gt;"",UPPER($DV91)&lt;&gt;"N"),"allergen",IF(ISNUMBER(SEARCH("oil",$DQ91)),"oil",IF(OR(EXACT($DS91,"A662"),EXACT($DS91,"A624")),"bulk",""))))</f>
        <v/>
      </c>
      <c r="ET91">
        <f>IF($DM91=0,"",IF(OR($EA91="",$EA91=0),"",$EA91/100))</f>
        <v/>
      </c>
      <c r="EU91">
        <f>IF(OR($ET91="",$DY91=""),"",INT($DY91*(1-$ET91)+0.5))</f>
        <v/>
      </c>
      <c r="EW91" t="n">
        <v>87</v>
      </c>
      <c r="EX91">
        <f>IFERROR(MATCH($EW91,$EM$5:$EM$1003,0),0)</f>
        <v/>
      </c>
      <c r="EY91">
        <f>IF($EW91&gt;$B$12,"",IF($EX91&gt;0,"row","spacer"))</f>
        <v/>
      </c>
      <c r="EZ91">
        <f>IF(AND($EY91="row",$EY90&lt;&gt;"row"),1,0)</f>
        <v/>
      </c>
      <c r="FA91">
        <f>IF(AND($EY91="row",$EY92&lt;&gt;"row"),1,0)</f>
        <v/>
      </c>
      <c r="FB91">
        <f>IF($EZ91=1,IFERROR(IF(ISNUMBER(INDEX(PASTE_ALL,INDEX($DF$5:$DF$1003,$EX91),$B$37)),INDEX(PASTE_ALL,INDEX($DF$5:$DF$1003,$EX91),$B$37),INDEX($DH$5:$DH$1003,$EX91)),INDEX($DH$5:$DH$1003,$EX91)),"")</f>
        <v/>
      </c>
      <c r="FC91">
        <f>IF($EY91="row",INDEX($ER$5:$ER$1003,$EX91),"")</f>
        <v/>
      </c>
      <c r="FD91">
        <f>IF($EY91="row",INDEX($DN$5:$DN$1003,$EX91),"")</f>
        <v/>
      </c>
      <c r="FE91">
        <f>IF($EY91="row",INDEX($DO$5:$DO$1003,$EX91),"")</f>
        <v/>
      </c>
      <c r="FF91">
        <f>IF($EY91="row",INDEX($DP$5:$DP$1003,$EX91),"")</f>
        <v/>
      </c>
      <c r="FG91">
        <f>IF($EY91="row",INDEX($DQ$5:$DQ$1003,$EX91),"")</f>
        <v/>
      </c>
      <c r="FH91">
        <f>IF($EY91="row",INDEX($DR$5:$DR$1003,$EX91),"")</f>
        <v/>
      </c>
      <c r="FI91">
        <f>IF($EY91="row",INDEX($DS$5:$DS$1003,$EX91),"")</f>
        <v/>
      </c>
      <c r="FJ91">
        <f>IF($EY91="row",INDEX($DT$5:$DT$1003,$EX91),"")</f>
        <v/>
      </c>
      <c r="FK91">
        <f>IF($EY91="row",INDEX($DU$5:$DU$1003,$EX91),"")</f>
        <v/>
      </c>
      <c r="FL91">
        <f>IF($EY91="row",INDEX($DV$5:$DV$1003,$EX91),"")</f>
        <v/>
      </c>
      <c r="FM91">
        <f>IF($EY91="row",INDEX($DW$5:$DW$1003,$EX91),"")</f>
        <v/>
      </c>
      <c r="FN91">
        <f>IF($EY91="row",INDEX($DY$5:$DY$1003,$EX91),"")</f>
        <v/>
      </c>
      <c r="FO91">
        <f>IF($EY91="row",INDEX($EA$5:$EA$1003,$EX91),"")</f>
        <v/>
      </c>
      <c r="FP91">
        <f>IF($EY91="row",INDEX($EC$5:$EC$1003,$EX91),"")</f>
        <v/>
      </c>
      <c r="FQ91">
        <f>IF($EY91="row",INDEX($ET$5:$ET$1003,$EX91),"")</f>
        <v/>
      </c>
      <c r="FR91">
        <f>IF($EY91="row",INDEX($EU$5:$EU$1003,$EX91),"")</f>
        <v/>
      </c>
      <c r="FS91">
        <f>IF(AND($EY91="row",$EY90="row"),IF(OR(INDEX($DT$5:$DT$1003,$EX90)="",INDEX($DT$5:$DT$1003,$EX91)=""),"",IF(NOT(EXACT(INDEX($DT$5:$DT$1003,$EX90),INDEX($DT$5:$DT$1003,$EX91))),"S4",IF(NOT(EXACT(INDEX($DS$5:$DS$1003,$EX90),INDEX($DS$5:$DS$1003,$EX91))),"S3",IF(NOT(EXACT(INDEX($DR$5:$DR$1003,$EX90),INDEX($DR$5:$DR$1003,$EX91))),"S1 Count Change","S1")))),"")</f>
        <v/>
      </c>
      <c r="FT91">
        <f>IF($EY91="row",INDEX($ES$5:$ES$1003,$EX91),"")</f>
        <v/>
      </c>
      <c r="FU91">
        <f>IF($EY91="row",INDEX($EO$5:$EO$1003,$EX91),0)</f>
        <v/>
      </c>
      <c r="FV91">
        <f>IF($FS91="S1 Count Change",1,0)</f>
        <v/>
      </c>
      <c r="FX91" t="n">
        <v>87</v>
      </c>
      <c r="FY91">
        <f>IFERROR(MATCH($FX91,$EF$5:$EF$1003,0),0)</f>
        <v/>
      </c>
      <c r="FZ91">
        <f>IF($FY91=0,"",INDEX($DH$5:$DH$1003,$FY91))</f>
        <v/>
      </c>
      <c r="GA91">
        <f>IF($FY91=0,"",COUNTIF($EG$5:$EG$1003,$FX91))</f>
        <v/>
      </c>
      <c r="GB91">
        <f>IF($FY91=0,"",INDEX($ER$5:$ER$1003,$FY91))</f>
        <v/>
      </c>
      <c r="GC91">
        <f>IF($FY91=0,"",IF(INDEX($EO$5:$EO$1003,$FY91)=1,"Yes",""))</f>
        <v/>
      </c>
      <c r="GD91">
        <f>IF($FY91=0,"",IF(INDEX($EN$5:$EN$1003,$FY91)&gt;0,"","NOT IN YOUR LIST - type it in column A to tick it"))</f>
        <v/>
      </c>
      <c r="GE91">
        <f>IF(AND($FY91&gt;0,$GD91&lt;&gt;""),1,0)</f>
        <v/>
      </c>
      <c r="GF91">
        <f>GF90+$GE91</f>
        <v/>
      </c>
      <c r="GG91">
        <f>IFERROR(INDEX($FZ$5:$FZ$104,MATCH($FX91,$GF$5:$GF$104,0)),"")</f>
        <v/>
      </c>
    </row>
    <row r="92">
      <c r="DA92" t="n">
        <v>88</v>
      </c>
      <c r="DB92">
        <f>IF($B$37=0,"",IFERROR(TRIM(SUBSTITUTE(SUBSTITUTE(SUBSTITUTE(SUBSTITUTE(INDEX(PASTE_ALL,88,$B$37)," "," "),CHAR(9)," "),CHAR(10)," "),CHAR(13)," ")),""))</f>
        <v/>
      </c>
      <c r="DC92">
        <f>IF(AND(88&gt;HEADER_ROW,UPPER(DB92)="LEGEND"),1,0)</f>
        <v/>
      </c>
      <c r="DE92" t="n">
        <v>88</v>
      </c>
      <c r="DF92">
        <f>HEADER_ROW+$DE92</f>
        <v/>
      </c>
      <c r="DG92">
        <f>IF(AND($DF92&lt;=1000,$DF92&lt;$B$8),1,0)</f>
        <v/>
      </c>
      <c r="DH92">
        <f>IF($DG92=1,IFERROR(INDEX($DB$5:$DB$1004,$DF92),""),"")</f>
        <v/>
      </c>
      <c r="DI92">
        <f>IF(AND($DG92=1,$DH92&lt;&gt;""),IFERROR(SUBSTITUTE(SUBSTITUTE(TRIM(SUBSTITUTE(SUBSTITUTE(SUBSTITUTE(SUBSTITUTE(IFERROR(INDEX(PASTE_ALL,$DF92,1)&amp;"","")&amp;"␟"&amp;IFERROR(INDEX(PASTE_ALL,$DF92,2)&amp;"","")&amp;"␟"&amp;IFERROR(INDEX(PASTE_ALL,$DF92,3)&amp;"","")&amp;"␟"&amp;IFERROR(INDEX(PASTE_ALL,$DF92,4)&amp;"","")&amp;"␟"&amp;IFERROR(INDEX(PASTE_ALL,$DF92,5)&amp;"","")&amp;"␟"&amp;IFERROR(INDEX(PASTE_ALL,$DF92,6)&amp;"","")&amp;"␟"&amp;IFERROR(INDEX(PASTE_ALL,$DF92,7)&amp;"","")&amp;"␟"&amp;IFERROR(INDEX(PASTE_ALL,$DF92,8)&amp;"","")&amp;"␟"&amp;IFERROR(INDEX(PASTE_ALL,$DF92,9)&amp;"","")&amp;"␟"&amp;IFERROR(INDEX(PASTE_ALL,$DF92,10)&amp;"","")&amp;"␟"&amp;IFERROR(INDEX(PASTE_ALL,$DF92,11)&amp;"","")&amp;"␟"&amp;IFERROR(INDEX(PASTE_ALL,$DF92,12)&amp;"","")&amp;"␟"&amp;IFERROR(INDEX(PASTE_ALL,$DF92,13)&amp;"","")&amp;"␟"&amp;IFERROR(INDEX(PASTE_ALL,$DF92,14)&amp;"","")&amp;"␟"&amp;IFERROR(INDEX(PASTE_ALL,$DF92,15)&amp;"","")&amp;"␟"&amp;IFERROR(INDEX(PASTE_ALL,$DF92,16)&amp;"","")&amp;"␟"&amp;IFERROR(INDEX(PASTE_ALL,$DF92,17)&amp;"","")&amp;"␟"&amp;IFERROR(INDEX(PASTE_ALL,$DF92,18)&amp;"","")&amp;"␟"&amp;IFERROR(INDEX(PASTE_ALL,$DF92,19)&amp;"","")&amp;"␟"&amp;IFERROR(INDEX(PASTE_ALL,$DF92,20)&amp;"","")&amp;"␟"&amp;IFERROR(INDEX(PASTE_ALL,$DF92,21)&amp;"","")&amp;"␟"&amp;IFERROR(INDEX(PASTE_ALL,$DF92,22)&amp;"","")&amp;"␟"&amp;IFERROR(INDEX(PASTE_ALL,$DF92,23)&amp;"","")&amp;"␟"&amp;IFERROR(INDEX(PASTE_ALL,$DF92,24)&amp;"","")&amp;"␟"&amp;IFERROR(INDEX(PASTE_ALL,$DF92,25)&amp;"","")&amp;"␟"&amp;IFERROR(INDEX(PASTE_ALL,$DF92,26)&amp;"","")&amp;"␟"&amp;IFERROR(INDEX(PASTE_ALL,$DF92,27)&amp;"","")&amp;"␟"&amp;IFERROR(INDEX(PASTE_ALL,$DF92,28)&amp;"","")&amp;"␟"&amp;IFERROR(INDEX(PASTE_ALL,$DF92,29)&amp;"","")&amp;"␟"&amp;IFERROR(INDEX(PASTE_ALL,$DF92,30)&amp;"","")&amp;"␟"&amp;IFERROR(INDEX(PASTE_ALL,$DF92,31)&amp;"","")&amp;"␟"&amp;IFERROR(INDEX(PASTE_ALL,$DF92,32)&amp;"","")&amp;"␟"&amp;IFERROR(INDEX(PASTE_ALL,$DF92,33)&amp;"","")&amp;"␟"&amp;IFERROR(INDEX(PASTE_ALL,$DF92,34)&amp;"","")&amp;"␟"&amp;IFERROR(INDEX(PASTE_ALL,$DF92,35)&amp;"","")&amp;"␟"&amp;IFERROR(INDEX(PASTE_ALL,$DF92,36)&amp;"","")&amp;"␟"&amp;IFERROR(INDEX(PASTE_ALL,$DF92,37)&amp;"","")&amp;"␟"&amp;IFERROR(INDEX(PASTE_ALL,$DF92,38)&amp;"","")&amp;"␟"&amp;IFERROR(INDEX(PASTE_ALL,$DF92,39)&amp;"","")&amp;"␟"&amp;IFERROR(INDEX(PASTE_ALL,$DF92,40)&amp;"","")&amp;"␟"&amp;IFERROR(INDEX(PASTE_ALL,$DF92,41)&amp;"","")&amp;"␟"&amp;IFERROR(INDEX(PASTE_ALL,$DF92,42)&amp;"","")&amp;"␟"&amp;IFERROR(INDEX(PASTE_ALL,$DF92,43)&amp;"","")&amp;"␟"&amp;IFERROR(INDEX(PASTE_ALL,$DF92,44)&amp;"","")&amp;"␟"&amp;IFERROR(INDEX(PASTE_ALL,$DF92,45)&amp;"","")&amp;"␟"&amp;IFERROR(INDEX(PASTE_ALL,$DF92,46)&amp;"","")&amp;"␟"&amp;IFERROR(INDEX(PASTE_ALL,$DF92,47)&amp;"","")&amp;"␟"&amp;IFERROR(INDEX(PASTE_ALL,$DF92,48)&amp;"","")&amp;"␟"&amp;IFERROR(INDEX(PASTE_ALL,$DF92,49)&amp;"","")&amp;"␟"&amp;IFERROR(INDEX(PASTE_ALL,$DF92,50)&amp;"","")&amp;"␟"&amp;IFERROR(INDEX(PASTE_ALL,$DF92,51)&amp;"","")&amp;"␟"&amp;IFERROR(INDEX(PASTE_ALL,$DF92,52)&amp;"","")&amp;"␟"&amp;IFERROR(INDEX(PASTE_ALL,$DF92,53)&amp;"","")&amp;"␟"&amp;IFERROR(INDEX(PASTE_ALL,$DF92,54)&amp;"","")&amp;"␟"&amp;IFERROR(INDEX(PASTE_ALL,$DF92,55)&amp;"","")&amp;"␟"&amp;IFERROR(INDEX(PASTE_ALL,$DF92,56)&amp;"","")&amp;"␟"&amp;IFERROR(INDEX(PASTE_ALL,$DF92,57)&amp;"","")&amp;"␟"&amp;IFERROR(INDEX(PASTE_ALL,$DF92,58)&amp;"","")&amp;"␟"&amp;IFERROR(INDEX(PASTE_ALL,$DF92,59)&amp;"","")&amp;"␟"&amp;IFERROR(INDEX(PASTE_ALL,$DF92,60)&amp;"","")," "," "),CHAR(9)," "),CHAR(10)," "),CHAR(13)," "))," ␟","␟"),"␟ ","␟"),"#"&amp;$DE92),"")</f>
        <v/>
      </c>
      <c r="DJ92">
        <f>IF($DI92="",0,IF(SUMPRODUCT(--EXACT($DI$4:DI91,$DI92))&gt;0,1,0))</f>
        <v/>
      </c>
      <c r="DK92">
        <f>IF(AND($DI92&lt;&gt;"",$DJ92=0),1,0)</f>
        <v/>
      </c>
      <c r="DL92">
        <f>DL91+$DK92</f>
        <v/>
      </c>
      <c r="DM92">
        <f>IF(AND($DK92=1,$DL92&lt;=600),1,0)</f>
        <v/>
      </c>
      <c r="DN92">
        <f>IF($DM92=0,"",IF($L$6=0,"",IFERROR(IF(ISNUMBER(INDEX(PASTE_ALL,$DF92,$L$6)),INDEX(PASTE_ALL,$DF92,$L$6),TRIM(SUBSTITUTE(SUBSTITUTE(SUBSTITUTE(SUBSTITUTE(INDEX(PASTE_ALL,$DF92,$L$6)," "," "),CHAR(9)," "),CHAR(10)," "),CHAR(13)," "))),"")))</f>
        <v/>
      </c>
      <c r="DO92">
        <f>IF($DM92=0,"",IF($L$7=0,"",IFERROR(IF(ISNUMBER(INDEX(PASTE_ALL,$DF92,$L$7)),INDEX(PASTE_ALL,$DF92,$L$7),TRIM(SUBSTITUTE(SUBSTITUTE(SUBSTITUTE(SUBSTITUTE(INDEX(PASTE_ALL,$DF92,$L$7)," "," "),CHAR(9)," "),CHAR(10)," "),CHAR(13)," "))),"")))</f>
        <v/>
      </c>
      <c r="DP92">
        <f>IF($DM92=0,"",IF($L$8=0,"",IFERROR(IF(ISNUMBER(INDEX(PASTE_ALL,$DF92,$L$8)),INDEX(PASTE_ALL,$DF92,$L$8),TRIM(SUBSTITUTE(SUBSTITUTE(SUBSTITUTE(SUBSTITUTE(INDEX(PASTE_ALL,$DF92,$L$8)," "," "),CHAR(9)," "),CHAR(10)," "),CHAR(13)," "))),"")))</f>
        <v/>
      </c>
      <c r="DQ92">
        <f>IF($DM92=0,"",IF($L$9=0,"",IFERROR(IF(ISNUMBER(INDEX(PASTE_ALL,$DF92,$L$9)),INDEX(PASTE_ALL,$DF92,$L$9),TRIM(SUBSTITUTE(SUBSTITUTE(SUBSTITUTE(SUBSTITUTE(INDEX(PASTE_ALL,$DF92,$L$9)," "," "),CHAR(9)," "),CHAR(10)," "),CHAR(13)," "))),"")))</f>
        <v/>
      </c>
      <c r="DR92">
        <f>IF($DM92=0,"",IF($L$10=0,"",IFERROR(IF(ISNUMBER(INDEX(PASTE_ALL,$DF92,$L$10)),INDEX(PASTE_ALL,$DF92,$L$10),TRIM(SUBSTITUTE(SUBSTITUTE(SUBSTITUTE(SUBSTITUTE(INDEX(PASTE_ALL,$DF92,$L$10)," "," "),CHAR(9)," "),CHAR(10)," "),CHAR(13)," "))),"")))</f>
        <v/>
      </c>
      <c r="DS92">
        <f>IF($DM92=0,"",IF($L$11=0,"",IFERROR(IF(ISNUMBER(INDEX(PASTE_ALL,$DF92,$L$11)),INDEX(PASTE_ALL,$DF92,$L$11),TRIM(SUBSTITUTE(SUBSTITUTE(SUBSTITUTE(SUBSTITUTE(INDEX(PASTE_ALL,$DF92,$L$11)," "," "),CHAR(9)," "),CHAR(10)," "),CHAR(13)," "))),"")))</f>
        <v/>
      </c>
      <c r="DT92">
        <f>IF($DM92=0,"",IF($L$12=0,"",IFERROR(IF(ISNUMBER(INDEX(PASTE_ALL,$DF92,$L$12)),INDEX(PASTE_ALL,$DF92,$L$12),TRIM(SUBSTITUTE(SUBSTITUTE(SUBSTITUTE(SUBSTITUTE(INDEX(PASTE_ALL,$DF92,$L$12)," "," "),CHAR(9)," "),CHAR(10)," "),CHAR(13)," "))),"")))</f>
        <v/>
      </c>
      <c r="DU92">
        <f>IF($DM92=0,"",IF($L$13=0,"",IFERROR(IF(ISNUMBER(INDEX(PASTE_ALL,$DF92,$L$13)),INDEX(PASTE_ALL,$DF92,$L$13),TRIM(SUBSTITUTE(SUBSTITUTE(SUBSTITUTE(SUBSTITUTE(INDEX(PASTE_ALL,$DF92,$L$13)," "," "),CHAR(9)," "),CHAR(10)," "),CHAR(13)," "))),"")))</f>
        <v/>
      </c>
      <c r="DV92">
        <f>IF($DM92=0,"",IF($L$14=0,"",IFERROR(IF(ISNUMBER(INDEX(PASTE_ALL,$DF92,$L$14)),INDEX(PASTE_ALL,$DF92,$L$14),TRIM(SUBSTITUTE(SUBSTITUTE(SUBSTITUTE(SUBSTITUTE(INDEX(PASTE_ALL,$DF92,$L$14)," "," "),CHAR(9)," "),CHAR(10)," "),CHAR(13)," "))),"")))</f>
        <v/>
      </c>
      <c r="DW92">
        <f>IF($DM92=0,"",IF($L$15=0,"",IFERROR(IF(ISNUMBER(INDEX(PASTE_ALL,$DF92,$L$15)),INDEX(PASTE_ALL,$DF92,$L$15),IF(SUMPRODUCT(--ISNUMBER(FIND({"A","B","C","D","E","F","G","H","I","J","K","L","M","N","O","P","Q","R","S","T","U","V","W","X","Y","Z","0","1","2","3","4","5","6","7","8","9"},UPPER(TRIM(SUBSTITUTE(SUBSTITUTE(SUBSTITUTE(SUBSTITUTE(INDEX(PASTE_ALL,$DF92,$L$15)," "," "),CHAR(9)," "),CHAR(10)," "),CHAR(13)," "))))))&gt;0,TRIM(SUBSTITUTE(SUBSTITUTE(SUBSTITUTE(SUBSTITUTE(INDEX(PASTE_ALL,$DF92,$L$15)," "," "),CHAR(9)," "),CHAR(10)," "),CHAR(13)," ")),"")),"")))</f>
        <v/>
      </c>
      <c r="DX92">
        <f>IF($DM92=0,"",IF($L$16=0,"",IFERROR(IF(ISNUMBER(INDEX(PASTE_ALL,$DF92,$L$16)),INDEX(PASTE_ALL,$DF92,$L$16),SUBSTITUTE(SUBSTITUTE(TRIM(SUBSTITUTE(SUBSTITUTE(SUBSTITUTE(SUBSTITUTE(INDEX(PASTE_ALL,$DF92,$L$16)," "," "),CHAR(9)," "),CHAR(10)," "),CHAR(13)," ")),",",""),"%","")),"")))</f>
        <v/>
      </c>
      <c r="DY92">
        <f>IF($DM92=0,"",IFERROR(IF(ISNUMBER($DX92),$DX92,IF($DX92="","",IF(TRIM($DX92)="",0,IF(AND(AND(SUBSTITUTE(SUBSTITUTE(SUBSTITUTE(SUBSTITUTE(SUBSTITUTE(SUBSTITUTE(SUBSTITUTE(SUBSTITUTE(SUBSTITUTE(SUBSTITUTE(SUBSTITUTE(SUBSTITUTE(SUBSTITUTE(SUBSTITUTE(UPPER(TRIM($DX92)),"0",""),"1",""),"2",""),"3",""),"4",""),"5",""),"6",""),"7",""),"8",""),"9",""),".",""),"+",""),"-",""),"E","")="",LEN(SUBSTITUTE(SUBSTITUTE(MID(UPPER(TRIM($DX92)),1+OR(LEFT(UPPER(TRIM($DX92)),1)="+",LEFT(UPPER(TRIM($DX92)),1)="-"),999),"E+","E"),"E-","E"))=LEN(SUBSTITUTE(SUBSTITUTE(SUBSTITUTE(SUBSTITUTE(MID(UPPER(TRIM($DX92)),1+OR(LEFT(UPPER(TRIM($DX92)),1)="+",LEFT(UPPER(TRIM($DX92)),1)="-"),999),"E+","E"),"E-","E"),"+",""),"-","")),LEN(UPPER(TRIM($DX92)))-LEN(SUBSTITUTE(UPPER(TRIM($DX92)),"E",""))&lt;2,LEN(UPPER(TRIM($DX92)))-LEN(SUBSTITUTE(UPPER(TRIM($DX92)),".",""))&lt;2,IFERROR(FIND(".",UPPER(TRIM($DX92))),0)&lt;IFERROR(FIND("E",UPPER(TRIM($DX92))),999)),ISNUMBER(VALUE(TRIM($DX92)))),VALUE(TRIM($DX92)),"")))),""))</f>
        <v/>
      </c>
      <c r="DZ92">
        <f>IF($DM92=0,"",IF($L$17=0,"",IFERROR(IF(ISNUMBER(INDEX(PASTE_ALL,$DF92,$L$17)),INDEX(PASTE_ALL,$DF92,$L$17),SUBSTITUTE(SUBSTITUTE(TRIM(SUBSTITUTE(SUBSTITUTE(SUBSTITUTE(SUBSTITUTE(INDEX(PASTE_ALL,$DF92,$L$17)," "," "),CHAR(9)," "),CHAR(10)," "),CHAR(13)," ")),",",""),"%","")),"")))</f>
        <v/>
      </c>
      <c r="EA92">
        <f>IF($DM92=0,"",IFERROR(IF(ISNUMBER($DZ92),$DZ92,IF($DZ92="","",IF(TRIM($DZ92)="",0,IF(AND(AND(SUBSTITUTE(SUBSTITUTE(SUBSTITUTE(SUBSTITUTE(SUBSTITUTE(SUBSTITUTE(SUBSTITUTE(SUBSTITUTE(SUBSTITUTE(SUBSTITUTE(SUBSTITUTE(SUBSTITUTE(SUBSTITUTE(SUBSTITUTE(UPPER(TRIM($DZ92)),"0",""),"1",""),"2",""),"3",""),"4",""),"5",""),"6",""),"7",""),"8",""),"9",""),".",""),"+",""),"-",""),"E","")="",LEN(SUBSTITUTE(SUBSTITUTE(MID(UPPER(TRIM($DZ92)),1+OR(LEFT(UPPER(TRIM($DZ92)),1)="+",LEFT(UPPER(TRIM($DZ92)),1)="-"),999),"E+","E"),"E-","E"))=LEN(SUBSTITUTE(SUBSTITUTE(SUBSTITUTE(SUBSTITUTE(MID(UPPER(TRIM($DZ92)),1+OR(LEFT(UPPER(TRIM($DZ92)),1)="+",LEFT(UPPER(TRIM($DZ92)),1)="-"),999),"E+","E"),"E-","E"),"+",""),"-","")),LEN(UPPER(TRIM($DZ92)))-LEN(SUBSTITUTE(UPPER(TRIM($DZ92)),"E",""))&lt;2,LEN(UPPER(TRIM($DZ92)))-LEN(SUBSTITUTE(UPPER(TRIM($DZ92)),".",""))&lt;2,IFERROR(FIND(".",UPPER(TRIM($DZ92))),0)&lt;IFERROR(FIND("E",UPPER(TRIM($DZ92))),999)),ISNUMBER(VALUE(TRIM($DZ92)))),VALUE(TRIM($DZ92)),"")))),""))</f>
        <v/>
      </c>
      <c r="EB92">
        <f>IF($DM92=0,"",IF($L$18=0,"",IFERROR(IF(UPPER(TRIM(SUBSTITUTE(SUBSTITUTE(SUBSTITUTE(SUBSTITUTE(INDEX(PASTE_ALL,$DF92,$L$18)," "," "),CHAR(9)," "),CHAR(10)," "),CHAR(13)," ")))="READY","Ready",IF(UPPER(TRIM(SUBSTITUTE(SUBSTITUTE(SUBSTITUTE(SUBSTITUTE(INDEX(PASTE_ALL,$DF92,$L$18)," "," "),CHAR(9)," "),CHAR(10)," "),CHAR(13)," ")))="PM","PM",IF(OR(UPPER(TRIM(SUBSTITUTE(SUBSTITUTE(SUBSTITUTE(SUBSTITUTE(INDEX(PASTE_ALL,$DF92,$L$18)," "," "),CHAR(9)," "),CHAR(10)," "),CHAR(13)," ")))="OT",UPPER(TRIM(SUBSTITUTE(SUBSTITUTE(SUBSTITUTE(SUBSTITUTE(INDEX(PASTE_ALL,$DF92,$L$18)," "," "),CHAR(9)," "),CHAR(10)," "),CHAR(13)," ")))="OVERTIME",UPPER(TRIM(SUBSTITUTE(SUBSTITUTE(SUBSTITUTE(SUBSTITUTE(INDEX(PASTE_ALL,$DF92,$L$18)," "," "),CHAR(9)," "),CHAR(10)," "),CHAR(13)," ")))="TRIAL"),"OT",TRIM(SUBSTITUTE(SUBSTITUTE(SUBSTITUTE(SUBSTITUTE(INDEX(PASTE_ALL,$DF92,$L$18)," "," "),CHAR(9)," "),CHAR(10)," "),CHAR(13)," "))))),"")))</f>
        <v/>
      </c>
      <c r="EC92">
        <f>IF($DM92=0,"",IF($L$19=0,"",IFERROR(IF(ISNUMBER(INDEX(PASTE_ALL,$DF92,$L$19)),INDEX(PASTE_ALL,$DF92,$L$19),TRIM(SUBSTITUTE(SUBSTITUTE(SUBSTITUTE(SUBSTITUTE(INDEX(PASTE_ALL,$DF92,$L$19)," "," "),CHAR(9)," "),CHAR(10)," "),CHAR(13)," "))),"")))</f>
        <v/>
      </c>
      <c r="ED92">
        <f>IF($DM92=0,"",MATCH(1,INDEX(EXACT($DH$5:DH92,$DH92)*$DM$5:DM92,0),0))</f>
        <v/>
      </c>
      <c r="EE92">
        <f>IF($DM92=0,0,IF($ED92=$DE92,1,0))</f>
        <v/>
      </c>
      <c r="EF92">
        <f>EF91+$EE92</f>
        <v/>
      </c>
      <c r="EG92">
        <f>IF($DM92=0,"",INDEX($EF$5:$EF$1003,$ED92))</f>
        <v/>
      </c>
      <c r="EH92">
        <f>IF($DM92=0,"",IF($DO92&lt;&gt;"","",IFERROR(LOOKUP(2,1/(($EG$4:EG91=$EG92)*($DO$4:DO91&lt;&gt;"")),$DO$4:DO91),"")))</f>
        <v/>
      </c>
      <c r="EI92">
        <f>IF($DM92=0,"",IF($DO92&lt;&gt;"",$DO92,$EH92))</f>
        <v/>
      </c>
      <c r="EJ92">
        <f>IF($DM92=0,"",IF($EI92="",0,IF(OR(ISNUMBER($EI92),AND(AND(SUBSTITUTE(SUBSTITUTE(SUBSTITUTE(SUBSTITUTE(SUBSTITUTE(SUBSTITUTE(SUBSTITUTE(SUBSTITUTE(SUBSTITUTE(SUBSTITUTE(SUBSTITUTE(SUBSTITUTE(SUBSTITUTE(SUBSTITUTE(UPPER($EI92),"0",""),"1",""),"2",""),"3",""),"4",""),"5",""),"6",""),"7",""),"8",""),"9",""),".",""),"+",""),"-",""),"E","")="",LEN(SUBSTITUTE(SUBSTITUTE(MID(UPPER($EI92),1+OR(LEFT(UPPER($EI92),1)="+",LEFT(UPPER($EI92),1)="-"),999),"E+","E"),"E-","E"))=LEN(SUBSTITUTE(SUBSTITUTE(SUBSTITUTE(SUBSTITUTE(MID(UPPER($EI92),1+OR(LEFT(UPPER($EI92),1)="+",LEFT(UPPER($EI92),1)="-"),999),"E+","E"),"E-","E"),"+",""),"-","")),LEN(UPPER($EI92))-LEN(SUBSTITUTE(UPPER($EI92),"E",""))&lt;2,LEN(UPPER($EI92))-LEN(SUBSTITUTE(UPPER($EI92),".",""))&lt;2,IFERROR(FIND(".",UPPER($EI92)),0)&lt;IFERROR(FIND("E",UPPER($EI92)),999)),ISNUMBER(VALUE($EI92)))),1,2)))</f>
        <v/>
      </c>
      <c r="EK92">
        <f>IF($DM92=0,"",IF($EJ92=1,IF(ISNUMBER($EI92),$EI92,VALUE($EI92)),IF($EJ92=2,$DE92,0)))</f>
        <v/>
      </c>
      <c r="EL92">
        <f>IF($DM92=0,"",COUNTIF($EG$5:$EG$1003,"&lt;"&amp;$EG92)+SUMPRODUCT(($EG$5:$EG$1003=$EG92)*(($EJ$5:$EJ$1003&lt;$EJ92)+($EJ$5:$EJ$1003=$EJ92)*(($EK$5:$EK$1003&lt;$EK92)+($EK$5:$EK$1003=$EK92)*($DE$5:$DE$1003&lt;$DE92))))+1)</f>
        <v/>
      </c>
      <c r="EM92">
        <f>IF($DM92=0,"",$EL92+$EG92-1)</f>
        <v/>
      </c>
      <c r="EN92">
        <f>IF($DM92=0,0,IFERROR(MATCH(1,INDEX(--(TRIM(SUBSTITUTE(SUBSTITUTE(SUBSTITUTE(SUBSTITUTE(LINES_NAME&amp;""," "," "),CHAR(9)," "),CHAR(10)," "),CHAR(13)," "))=$DH92),0),0),0))</f>
        <v/>
      </c>
      <c r="EO92">
        <f>IF($EN92=0,0,IF(OR(UPPER(TRIM(INDEX(LINES_SCHEDULED,$EN92)&amp;""))="YES",UPPER(TRIM(INDEX(LINES_SCHEDULED,$EN92)&amp;""))="Y",UPPER(TRIM(INDEX(LINES_SCHEDULED,$EN92)&amp;""))="X"),1,0))</f>
        <v/>
      </c>
      <c r="EP92">
        <f>IF($DM92=0,"",IF(COUNTIFS($EG$5:$EG$1003,$EG92,$EB$5:$EB$1003,"Ready")&gt;0,"READY",IF(COUNTIFS($EG$5:$EG$1003,$EG92,$EB$5:$EB$1003,"PM")&gt;0,"PM",IF(COUNTIFS($EG$5:$EG$1003,$EG92,$EB$5:$EB$1003,"OT")&gt;0,"OT",""))))</f>
        <v/>
      </c>
      <c r="EQ92">
        <f>IF($EN92=0,"",UPPER(TRIM(INDEX(LINES_STATUS,$EN92)&amp;"")))</f>
        <v/>
      </c>
      <c r="ER92">
        <f>IF($DM92=0,"",IF(OR($EQ92="READY",$EQ92="PM",$EQ92="OT"),$EQ92,$EP92))</f>
        <v/>
      </c>
      <c r="ES92">
        <f>IF($DM92=0,"",IF(AND($DV92&lt;&gt;"",UPPER($DV92)&lt;&gt;"N"),"allergen",IF(ISNUMBER(SEARCH("oil",$DQ92)),"oil",IF(OR(EXACT($DS92,"A662"),EXACT($DS92,"A624")),"bulk",""))))</f>
        <v/>
      </c>
      <c r="ET92">
        <f>IF($DM92=0,"",IF(OR($EA92="",$EA92=0),"",$EA92/100))</f>
        <v/>
      </c>
      <c r="EU92">
        <f>IF(OR($ET92="",$DY92=""),"",INT($DY92*(1-$ET92)+0.5))</f>
        <v/>
      </c>
      <c r="EW92" t="n">
        <v>88</v>
      </c>
      <c r="EX92">
        <f>IFERROR(MATCH($EW92,$EM$5:$EM$1003,0),0)</f>
        <v/>
      </c>
      <c r="EY92">
        <f>IF($EW92&gt;$B$12,"",IF($EX92&gt;0,"row","spacer"))</f>
        <v/>
      </c>
      <c r="EZ92">
        <f>IF(AND($EY92="row",$EY91&lt;&gt;"row"),1,0)</f>
        <v/>
      </c>
      <c r="FA92">
        <f>IF(AND($EY92="row",$EY93&lt;&gt;"row"),1,0)</f>
        <v/>
      </c>
      <c r="FB92">
        <f>IF($EZ92=1,IFERROR(IF(ISNUMBER(INDEX(PASTE_ALL,INDEX($DF$5:$DF$1003,$EX92),$B$37)),INDEX(PASTE_ALL,INDEX($DF$5:$DF$1003,$EX92),$B$37),INDEX($DH$5:$DH$1003,$EX92)),INDEX($DH$5:$DH$1003,$EX92)),"")</f>
        <v/>
      </c>
      <c r="FC92">
        <f>IF($EY92="row",INDEX($ER$5:$ER$1003,$EX92),"")</f>
        <v/>
      </c>
      <c r="FD92">
        <f>IF($EY92="row",INDEX($DN$5:$DN$1003,$EX92),"")</f>
        <v/>
      </c>
      <c r="FE92">
        <f>IF($EY92="row",INDEX($DO$5:$DO$1003,$EX92),"")</f>
        <v/>
      </c>
      <c r="FF92">
        <f>IF($EY92="row",INDEX($DP$5:$DP$1003,$EX92),"")</f>
        <v/>
      </c>
      <c r="FG92">
        <f>IF($EY92="row",INDEX($DQ$5:$DQ$1003,$EX92),"")</f>
        <v/>
      </c>
      <c r="FH92">
        <f>IF($EY92="row",INDEX($DR$5:$DR$1003,$EX92),"")</f>
        <v/>
      </c>
      <c r="FI92">
        <f>IF($EY92="row",INDEX($DS$5:$DS$1003,$EX92),"")</f>
        <v/>
      </c>
      <c r="FJ92">
        <f>IF($EY92="row",INDEX($DT$5:$DT$1003,$EX92),"")</f>
        <v/>
      </c>
      <c r="FK92">
        <f>IF($EY92="row",INDEX($DU$5:$DU$1003,$EX92),"")</f>
        <v/>
      </c>
      <c r="FL92">
        <f>IF($EY92="row",INDEX($DV$5:$DV$1003,$EX92),"")</f>
        <v/>
      </c>
      <c r="FM92">
        <f>IF($EY92="row",INDEX($DW$5:$DW$1003,$EX92),"")</f>
        <v/>
      </c>
      <c r="FN92">
        <f>IF($EY92="row",INDEX($DY$5:$DY$1003,$EX92),"")</f>
        <v/>
      </c>
      <c r="FO92">
        <f>IF($EY92="row",INDEX($EA$5:$EA$1003,$EX92),"")</f>
        <v/>
      </c>
      <c r="FP92">
        <f>IF($EY92="row",INDEX($EC$5:$EC$1003,$EX92),"")</f>
        <v/>
      </c>
      <c r="FQ92">
        <f>IF($EY92="row",INDEX($ET$5:$ET$1003,$EX92),"")</f>
        <v/>
      </c>
      <c r="FR92">
        <f>IF($EY92="row",INDEX($EU$5:$EU$1003,$EX92),"")</f>
        <v/>
      </c>
      <c r="FS92">
        <f>IF(AND($EY92="row",$EY91="row"),IF(OR(INDEX($DT$5:$DT$1003,$EX91)="",INDEX($DT$5:$DT$1003,$EX92)=""),"",IF(NOT(EXACT(INDEX($DT$5:$DT$1003,$EX91),INDEX($DT$5:$DT$1003,$EX92))),"S4",IF(NOT(EXACT(INDEX($DS$5:$DS$1003,$EX91),INDEX($DS$5:$DS$1003,$EX92))),"S3",IF(NOT(EXACT(INDEX($DR$5:$DR$1003,$EX91),INDEX($DR$5:$DR$1003,$EX92))),"S1 Count Change","S1")))),"")</f>
        <v/>
      </c>
      <c r="FT92">
        <f>IF($EY92="row",INDEX($ES$5:$ES$1003,$EX92),"")</f>
        <v/>
      </c>
      <c r="FU92">
        <f>IF($EY92="row",INDEX($EO$5:$EO$1003,$EX92),0)</f>
        <v/>
      </c>
      <c r="FV92">
        <f>IF($FS92="S1 Count Change",1,0)</f>
        <v/>
      </c>
      <c r="FX92" t="n">
        <v>88</v>
      </c>
      <c r="FY92">
        <f>IFERROR(MATCH($FX92,$EF$5:$EF$1003,0),0)</f>
        <v/>
      </c>
      <c r="FZ92">
        <f>IF($FY92=0,"",INDEX($DH$5:$DH$1003,$FY92))</f>
        <v/>
      </c>
      <c r="GA92">
        <f>IF($FY92=0,"",COUNTIF($EG$5:$EG$1003,$FX92))</f>
        <v/>
      </c>
      <c r="GB92">
        <f>IF($FY92=0,"",INDEX($ER$5:$ER$1003,$FY92))</f>
        <v/>
      </c>
      <c r="GC92">
        <f>IF($FY92=0,"",IF(INDEX($EO$5:$EO$1003,$FY92)=1,"Yes",""))</f>
        <v/>
      </c>
      <c r="GD92">
        <f>IF($FY92=0,"",IF(INDEX($EN$5:$EN$1003,$FY92)&gt;0,"","NOT IN YOUR LIST - type it in column A to tick it"))</f>
        <v/>
      </c>
      <c r="GE92">
        <f>IF(AND($FY92&gt;0,$GD92&lt;&gt;""),1,0)</f>
        <v/>
      </c>
      <c r="GF92">
        <f>GF91+$GE92</f>
        <v/>
      </c>
      <c r="GG92">
        <f>IFERROR(INDEX($FZ$5:$FZ$104,MATCH($FX92,$GF$5:$GF$104,0)),"")</f>
        <v/>
      </c>
    </row>
    <row r="93">
      <c r="DA93" t="n">
        <v>89</v>
      </c>
      <c r="DB93">
        <f>IF($B$37=0,"",IFERROR(TRIM(SUBSTITUTE(SUBSTITUTE(SUBSTITUTE(SUBSTITUTE(INDEX(PASTE_ALL,89,$B$37)," "," "),CHAR(9)," "),CHAR(10)," "),CHAR(13)," ")),""))</f>
        <v/>
      </c>
      <c r="DC93">
        <f>IF(AND(89&gt;HEADER_ROW,UPPER(DB93)="LEGEND"),1,0)</f>
        <v/>
      </c>
      <c r="DE93" t="n">
        <v>89</v>
      </c>
      <c r="DF93">
        <f>HEADER_ROW+$DE93</f>
        <v/>
      </c>
      <c r="DG93">
        <f>IF(AND($DF93&lt;=1000,$DF93&lt;$B$8),1,0)</f>
        <v/>
      </c>
      <c r="DH93">
        <f>IF($DG93=1,IFERROR(INDEX($DB$5:$DB$1004,$DF93),""),"")</f>
        <v/>
      </c>
      <c r="DI93">
        <f>IF(AND($DG93=1,$DH93&lt;&gt;""),IFERROR(SUBSTITUTE(SUBSTITUTE(TRIM(SUBSTITUTE(SUBSTITUTE(SUBSTITUTE(SUBSTITUTE(IFERROR(INDEX(PASTE_ALL,$DF93,1)&amp;"","")&amp;"␟"&amp;IFERROR(INDEX(PASTE_ALL,$DF93,2)&amp;"","")&amp;"␟"&amp;IFERROR(INDEX(PASTE_ALL,$DF93,3)&amp;"","")&amp;"␟"&amp;IFERROR(INDEX(PASTE_ALL,$DF93,4)&amp;"","")&amp;"␟"&amp;IFERROR(INDEX(PASTE_ALL,$DF93,5)&amp;"","")&amp;"␟"&amp;IFERROR(INDEX(PASTE_ALL,$DF93,6)&amp;"","")&amp;"␟"&amp;IFERROR(INDEX(PASTE_ALL,$DF93,7)&amp;"","")&amp;"␟"&amp;IFERROR(INDEX(PASTE_ALL,$DF93,8)&amp;"","")&amp;"␟"&amp;IFERROR(INDEX(PASTE_ALL,$DF93,9)&amp;"","")&amp;"␟"&amp;IFERROR(INDEX(PASTE_ALL,$DF93,10)&amp;"","")&amp;"␟"&amp;IFERROR(INDEX(PASTE_ALL,$DF93,11)&amp;"","")&amp;"␟"&amp;IFERROR(INDEX(PASTE_ALL,$DF93,12)&amp;"","")&amp;"␟"&amp;IFERROR(INDEX(PASTE_ALL,$DF93,13)&amp;"","")&amp;"␟"&amp;IFERROR(INDEX(PASTE_ALL,$DF93,14)&amp;"","")&amp;"␟"&amp;IFERROR(INDEX(PASTE_ALL,$DF93,15)&amp;"","")&amp;"␟"&amp;IFERROR(INDEX(PASTE_ALL,$DF93,16)&amp;"","")&amp;"␟"&amp;IFERROR(INDEX(PASTE_ALL,$DF93,17)&amp;"","")&amp;"␟"&amp;IFERROR(INDEX(PASTE_ALL,$DF93,18)&amp;"","")&amp;"␟"&amp;IFERROR(INDEX(PASTE_ALL,$DF93,19)&amp;"","")&amp;"␟"&amp;IFERROR(INDEX(PASTE_ALL,$DF93,20)&amp;"","")&amp;"␟"&amp;IFERROR(INDEX(PASTE_ALL,$DF93,21)&amp;"","")&amp;"␟"&amp;IFERROR(INDEX(PASTE_ALL,$DF93,22)&amp;"","")&amp;"␟"&amp;IFERROR(INDEX(PASTE_ALL,$DF93,23)&amp;"","")&amp;"␟"&amp;IFERROR(INDEX(PASTE_ALL,$DF93,24)&amp;"","")&amp;"␟"&amp;IFERROR(INDEX(PASTE_ALL,$DF93,25)&amp;"","")&amp;"␟"&amp;IFERROR(INDEX(PASTE_ALL,$DF93,26)&amp;"","")&amp;"␟"&amp;IFERROR(INDEX(PASTE_ALL,$DF93,27)&amp;"","")&amp;"␟"&amp;IFERROR(INDEX(PASTE_ALL,$DF93,28)&amp;"","")&amp;"␟"&amp;IFERROR(INDEX(PASTE_ALL,$DF93,29)&amp;"","")&amp;"␟"&amp;IFERROR(INDEX(PASTE_ALL,$DF93,30)&amp;"","")&amp;"␟"&amp;IFERROR(INDEX(PASTE_ALL,$DF93,31)&amp;"","")&amp;"␟"&amp;IFERROR(INDEX(PASTE_ALL,$DF93,32)&amp;"","")&amp;"␟"&amp;IFERROR(INDEX(PASTE_ALL,$DF93,33)&amp;"","")&amp;"␟"&amp;IFERROR(INDEX(PASTE_ALL,$DF93,34)&amp;"","")&amp;"␟"&amp;IFERROR(INDEX(PASTE_ALL,$DF93,35)&amp;"","")&amp;"␟"&amp;IFERROR(INDEX(PASTE_ALL,$DF93,36)&amp;"","")&amp;"␟"&amp;IFERROR(INDEX(PASTE_ALL,$DF93,37)&amp;"","")&amp;"␟"&amp;IFERROR(INDEX(PASTE_ALL,$DF93,38)&amp;"","")&amp;"␟"&amp;IFERROR(INDEX(PASTE_ALL,$DF93,39)&amp;"","")&amp;"␟"&amp;IFERROR(INDEX(PASTE_ALL,$DF93,40)&amp;"","")&amp;"␟"&amp;IFERROR(INDEX(PASTE_ALL,$DF93,41)&amp;"","")&amp;"␟"&amp;IFERROR(INDEX(PASTE_ALL,$DF93,42)&amp;"","")&amp;"␟"&amp;IFERROR(INDEX(PASTE_ALL,$DF93,43)&amp;"","")&amp;"␟"&amp;IFERROR(INDEX(PASTE_ALL,$DF93,44)&amp;"","")&amp;"␟"&amp;IFERROR(INDEX(PASTE_ALL,$DF93,45)&amp;"","")&amp;"␟"&amp;IFERROR(INDEX(PASTE_ALL,$DF93,46)&amp;"","")&amp;"␟"&amp;IFERROR(INDEX(PASTE_ALL,$DF93,47)&amp;"","")&amp;"␟"&amp;IFERROR(INDEX(PASTE_ALL,$DF93,48)&amp;"","")&amp;"␟"&amp;IFERROR(INDEX(PASTE_ALL,$DF93,49)&amp;"","")&amp;"␟"&amp;IFERROR(INDEX(PASTE_ALL,$DF93,50)&amp;"","")&amp;"␟"&amp;IFERROR(INDEX(PASTE_ALL,$DF93,51)&amp;"","")&amp;"␟"&amp;IFERROR(INDEX(PASTE_ALL,$DF93,52)&amp;"","")&amp;"␟"&amp;IFERROR(INDEX(PASTE_ALL,$DF93,53)&amp;"","")&amp;"␟"&amp;IFERROR(INDEX(PASTE_ALL,$DF93,54)&amp;"","")&amp;"␟"&amp;IFERROR(INDEX(PASTE_ALL,$DF93,55)&amp;"","")&amp;"␟"&amp;IFERROR(INDEX(PASTE_ALL,$DF93,56)&amp;"","")&amp;"␟"&amp;IFERROR(INDEX(PASTE_ALL,$DF93,57)&amp;"","")&amp;"␟"&amp;IFERROR(INDEX(PASTE_ALL,$DF93,58)&amp;"","")&amp;"␟"&amp;IFERROR(INDEX(PASTE_ALL,$DF93,59)&amp;"","")&amp;"␟"&amp;IFERROR(INDEX(PASTE_ALL,$DF93,60)&amp;"","")," "," "),CHAR(9)," "),CHAR(10)," "),CHAR(13)," "))," ␟","␟"),"␟ ","␟"),"#"&amp;$DE93),"")</f>
        <v/>
      </c>
      <c r="DJ93">
        <f>IF($DI93="",0,IF(SUMPRODUCT(--EXACT($DI$4:DI92,$DI93))&gt;0,1,0))</f>
        <v/>
      </c>
      <c r="DK93">
        <f>IF(AND($DI93&lt;&gt;"",$DJ93=0),1,0)</f>
        <v/>
      </c>
      <c r="DL93">
        <f>DL92+$DK93</f>
        <v/>
      </c>
      <c r="DM93">
        <f>IF(AND($DK93=1,$DL93&lt;=600),1,0)</f>
        <v/>
      </c>
      <c r="DN93">
        <f>IF($DM93=0,"",IF($L$6=0,"",IFERROR(IF(ISNUMBER(INDEX(PASTE_ALL,$DF93,$L$6)),INDEX(PASTE_ALL,$DF93,$L$6),TRIM(SUBSTITUTE(SUBSTITUTE(SUBSTITUTE(SUBSTITUTE(INDEX(PASTE_ALL,$DF93,$L$6)," "," "),CHAR(9)," "),CHAR(10)," "),CHAR(13)," "))),"")))</f>
        <v/>
      </c>
      <c r="DO93">
        <f>IF($DM93=0,"",IF($L$7=0,"",IFERROR(IF(ISNUMBER(INDEX(PASTE_ALL,$DF93,$L$7)),INDEX(PASTE_ALL,$DF93,$L$7),TRIM(SUBSTITUTE(SUBSTITUTE(SUBSTITUTE(SUBSTITUTE(INDEX(PASTE_ALL,$DF93,$L$7)," "," "),CHAR(9)," "),CHAR(10)," "),CHAR(13)," "))),"")))</f>
        <v/>
      </c>
      <c r="DP93">
        <f>IF($DM93=0,"",IF($L$8=0,"",IFERROR(IF(ISNUMBER(INDEX(PASTE_ALL,$DF93,$L$8)),INDEX(PASTE_ALL,$DF93,$L$8),TRIM(SUBSTITUTE(SUBSTITUTE(SUBSTITUTE(SUBSTITUTE(INDEX(PASTE_ALL,$DF93,$L$8)," "," "),CHAR(9)," "),CHAR(10)," "),CHAR(13)," "))),"")))</f>
        <v/>
      </c>
      <c r="DQ93">
        <f>IF($DM93=0,"",IF($L$9=0,"",IFERROR(IF(ISNUMBER(INDEX(PASTE_ALL,$DF93,$L$9)),INDEX(PASTE_ALL,$DF93,$L$9),TRIM(SUBSTITUTE(SUBSTITUTE(SUBSTITUTE(SUBSTITUTE(INDEX(PASTE_ALL,$DF93,$L$9)," "," "),CHAR(9)," "),CHAR(10)," "),CHAR(13)," "))),"")))</f>
        <v/>
      </c>
      <c r="DR93">
        <f>IF($DM93=0,"",IF($L$10=0,"",IFERROR(IF(ISNUMBER(INDEX(PASTE_ALL,$DF93,$L$10)),INDEX(PASTE_ALL,$DF93,$L$10),TRIM(SUBSTITUTE(SUBSTITUTE(SUBSTITUTE(SUBSTITUTE(INDEX(PASTE_ALL,$DF93,$L$10)," "," "),CHAR(9)," "),CHAR(10)," "),CHAR(13)," "))),"")))</f>
        <v/>
      </c>
      <c r="DS93">
        <f>IF($DM93=0,"",IF($L$11=0,"",IFERROR(IF(ISNUMBER(INDEX(PASTE_ALL,$DF93,$L$11)),INDEX(PASTE_ALL,$DF93,$L$11),TRIM(SUBSTITUTE(SUBSTITUTE(SUBSTITUTE(SUBSTITUTE(INDEX(PASTE_ALL,$DF93,$L$11)," "," "),CHAR(9)," "),CHAR(10)," "),CHAR(13)," "))),"")))</f>
        <v/>
      </c>
      <c r="DT93">
        <f>IF($DM93=0,"",IF($L$12=0,"",IFERROR(IF(ISNUMBER(INDEX(PASTE_ALL,$DF93,$L$12)),INDEX(PASTE_ALL,$DF93,$L$12),TRIM(SUBSTITUTE(SUBSTITUTE(SUBSTITUTE(SUBSTITUTE(INDEX(PASTE_ALL,$DF93,$L$12)," "," "),CHAR(9)," "),CHAR(10)," "),CHAR(13)," "))),"")))</f>
        <v/>
      </c>
      <c r="DU93">
        <f>IF($DM93=0,"",IF($L$13=0,"",IFERROR(IF(ISNUMBER(INDEX(PASTE_ALL,$DF93,$L$13)),INDEX(PASTE_ALL,$DF93,$L$13),TRIM(SUBSTITUTE(SUBSTITUTE(SUBSTITUTE(SUBSTITUTE(INDEX(PASTE_ALL,$DF93,$L$13)," "," "),CHAR(9)," "),CHAR(10)," "),CHAR(13)," "))),"")))</f>
        <v/>
      </c>
      <c r="DV93">
        <f>IF($DM93=0,"",IF($L$14=0,"",IFERROR(IF(ISNUMBER(INDEX(PASTE_ALL,$DF93,$L$14)),INDEX(PASTE_ALL,$DF93,$L$14),TRIM(SUBSTITUTE(SUBSTITUTE(SUBSTITUTE(SUBSTITUTE(INDEX(PASTE_ALL,$DF93,$L$14)," "," "),CHAR(9)," "),CHAR(10)," "),CHAR(13)," "))),"")))</f>
        <v/>
      </c>
      <c r="DW93">
        <f>IF($DM93=0,"",IF($L$15=0,"",IFERROR(IF(ISNUMBER(INDEX(PASTE_ALL,$DF93,$L$15)),INDEX(PASTE_ALL,$DF93,$L$15),IF(SUMPRODUCT(--ISNUMBER(FIND({"A","B","C","D","E","F","G","H","I","J","K","L","M","N","O","P","Q","R","S","T","U","V","W","X","Y","Z","0","1","2","3","4","5","6","7","8","9"},UPPER(TRIM(SUBSTITUTE(SUBSTITUTE(SUBSTITUTE(SUBSTITUTE(INDEX(PASTE_ALL,$DF93,$L$15)," "," "),CHAR(9)," "),CHAR(10)," "),CHAR(13)," "))))))&gt;0,TRIM(SUBSTITUTE(SUBSTITUTE(SUBSTITUTE(SUBSTITUTE(INDEX(PASTE_ALL,$DF93,$L$15)," "," "),CHAR(9)," "),CHAR(10)," "),CHAR(13)," ")),"")),"")))</f>
        <v/>
      </c>
      <c r="DX93">
        <f>IF($DM93=0,"",IF($L$16=0,"",IFERROR(IF(ISNUMBER(INDEX(PASTE_ALL,$DF93,$L$16)),INDEX(PASTE_ALL,$DF93,$L$16),SUBSTITUTE(SUBSTITUTE(TRIM(SUBSTITUTE(SUBSTITUTE(SUBSTITUTE(SUBSTITUTE(INDEX(PASTE_ALL,$DF93,$L$16)," "," "),CHAR(9)," "),CHAR(10)," "),CHAR(13)," ")),",",""),"%","")),"")))</f>
        <v/>
      </c>
      <c r="DY93">
        <f>IF($DM93=0,"",IFERROR(IF(ISNUMBER($DX93),$DX93,IF($DX93="","",IF(TRIM($DX93)="",0,IF(AND(AND(SUBSTITUTE(SUBSTITUTE(SUBSTITUTE(SUBSTITUTE(SUBSTITUTE(SUBSTITUTE(SUBSTITUTE(SUBSTITUTE(SUBSTITUTE(SUBSTITUTE(SUBSTITUTE(SUBSTITUTE(SUBSTITUTE(SUBSTITUTE(UPPER(TRIM($DX93)),"0",""),"1",""),"2",""),"3",""),"4",""),"5",""),"6",""),"7",""),"8",""),"9",""),".",""),"+",""),"-",""),"E","")="",LEN(SUBSTITUTE(SUBSTITUTE(MID(UPPER(TRIM($DX93)),1+OR(LEFT(UPPER(TRIM($DX93)),1)="+",LEFT(UPPER(TRIM($DX93)),1)="-"),999),"E+","E"),"E-","E"))=LEN(SUBSTITUTE(SUBSTITUTE(SUBSTITUTE(SUBSTITUTE(MID(UPPER(TRIM($DX93)),1+OR(LEFT(UPPER(TRIM($DX93)),1)="+",LEFT(UPPER(TRIM($DX93)),1)="-"),999),"E+","E"),"E-","E"),"+",""),"-","")),LEN(UPPER(TRIM($DX93)))-LEN(SUBSTITUTE(UPPER(TRIM($DX93)),"E",""))&lt;2,LEN(UPPER(TRIM($DX93)))-LEN(SUBSTITUTE(UPPER(TRIM($DX93)),".",""))&lt;2,IFERROR(FIND(".",UPPER(TRIM($DX93))),0)&lt;IFERROR(FIND("E",UPPER(TRIM($DX93))),999)),ISNUMBER(VALUE(TRIM($DX93)))),VALUE(TRIM($DX93)),"")))),""))</f>
        <v/>
      </c>
      <c r="DZ93">
        <f>IF($DM93=0,"",IF($L$17=0,"",IFERROR(IF(ISNUMBER(INDEX(PASTE_ALL,$DF93,$L$17)),INDEX(PASTE_ALL,$DF93,$L$17),SUBSTITUTE(SUBSTITUTE(TRIM(SUBSTITUTE(SUBSTITUTE(SUBSTITUTE(SUBSTITUTE(INDEX(PASTE_ALL,$DF93,$L$17)," "," "),CHAR(9)," "),CHAR(10)," "),CHAR(13)," ")),",",""),"%","")),"")))</f>
        <v/>
      </c>
      <c r="EA93">
        <f>IF($DM93=0,"",IFERROR(IF(ISNUMBER($DZ93),$DZ93,IF($DZ93="","",IF(TRIM($DZ93)="",0,IF(AND(AND(SUBSTITUTE(SUBSTITUTE(SUBSTITUTE(SUBSTITUTE(SUBSTITUTE(SUBSTITUTE(SUBSTITUTE(SUBSTITUTE(SUBSTITUTE(SUBSTITUTE(SUBSTITUTE(SUBSTITUTE(SUBSTITUTE(SUBSTITUTE(UPPER(TRIM($DZ93)),"0",""),"1",""),"2",""),"3",""),"4",""),"5",""),"6",""),"7",""),"8",""),"9",""),".",""),"+",""),"-",""),"E","")="",LEN(SUBSTITUTE(SUBSTITUTE(MID(UPPER(TRIM($DZ93)),1+OR(LEFT(UPPER(TRIM($DZ93)),1)="+",LEFT(UPPER(TRIM($DZ93)),1)="-"),999),"E+","E"),"E-","E"))=LEN(SUBSTITUTE(SUBSTITUTE(SUBSTITUTE(SUBSTITUTE(MID(UPPER(TRIM($DZ93)),1+OR(LEFT(UPPER(TRIM($DZ93)),1)="+",LEFT(UPPER(TRIM($DZ93)),1)="-"),999),"E+","E"),"E-","E"),"+",""),"-","")),LEN(UPPER(TRIM($DZ93)))-LEN(SUBSTITUTE(UPPER(TRIM($DZ93)),"E",""))&lt;2,LEN(UPPER(TRIM($DZ93)))-LEN(SUBSTITUTE(UPPER(TRIM($DZ93)),".",""))&lt;2,IFERROR(FIND(".",UPPER(TRIM($DZ93))),0)&lt;IFERROR(FIND("E",UPPER(TRIM($DZ93))),999)),ISNUMBER(VALUE(TRIM($DZ93)))),VALUE(TRIM($DZ93)),"")))),""))</f>
        <v/>
      </c>
      <c r="EB93">
        <f>IF($DM93=0,"",IF($L$18=0,"",IFERROR(IF(UPPER(TRIM(SUBSTITUTE(SUBSTITUTE(SUBSTITUTE(SUBSTITUTE(INDEX(PASTE_ALL,$DF93,$L$18)," "," "),CHAR(9)," "),CHAR(10)," "),CHAR(13)," ")))="READY","Ready",IF(UPPER(TRIM(SUBSTITUTE(SUBSTITUTE(SUBSTITUTE(SUBSTITUTE(INDEX(PASTE_ALL,$DF93,$L$18)," "," "),CHAR(9)," "),CHAR(10)," "),CHAR(13)," ")))="PM","PM",IF(OR(UPPER(TRIM(SUBSTITUTE(SUBSTITUTE(SUBSTITUTE(SUBSTITUTE(INDEX(PASTE_ALL,$DF93,$L$18)," "," "),CHAR(9)," "),CHAR(10)," "),CHAR(13)," ")))="OT",UPPER(TRIM(SUBSTITUTE(SUBSTITUTE(SUBSTITUTE(SUBSTITUTE(INDEX(PASTE_ALL,$DF93,$L$18)," "," "),CHAR(9)," "),CHAR(10)," "),CHAR(13)," ")))="OVERTIME",UPPER(TRIM(SUBSTITUTE(SUBSTITUTE(SUBSTITUTE(SUBSTITUTE(INDEX(PASTE_ALL,$DF93,$L$18)," "," "),CHAR(9)," "),CHAR(10)," "),CHAR(13)," ")))="TRIAL"),"OT",TRIM(SUBSTITUTE(SUBSTITUTE(SUBSTITUTE(SUBSTITUTE(INDEX(PASTE_ALL,$DF93,$L$18)," "," "),CHAR(9)," "),CHAR(10)," "),CHAR(13)," "))))),"")))</f>
        <v/>
      </c>
      <c r="EC93">
        <f>IF($DM93=0,"",IF($L$19=0,"",IFERROR(IF(ISNUMBER(INDEX(PASTE_ALL,$DF93,$L$19)),INDEX(PASTE_ALL,$DF93,$L$19),TRIM(SUBSTITUTE(SUBSTITUTE(SUBSTITUTE(SUBSTITUTE(INDEX(PASTE_ALL,$DF93,$L$19)," "," "),CHAR(9)," "),CHAR(10)," "),CHAR(13)," "))),"")))</f>
        <v/>
      </c>
      <c r="ED93">
        <f>IF($DM93=0,"",MATCH(1,INDEX(EXACT($DH$5:DH93,$DH93)*$DM$5:DM93,0),0))</f>
        <v/>
      </c>
      <c r="EE93">
        <f>IF($DM93=0,0,IF($ED93=$DE93,1,0))</f>
        <v/>
      </c>
      <c r="EF93">
        <f>EF92+$EE93</f>
        <v/>
      </c>
      <c r="EG93">
        <f>IF($DM93=0,"",INDEX($EF$5:$EF$1003,$ED93))</f>
        <v/>
      </c>
      <c r="EH93">
        <f>IF($DM93=0,"",IF($DO93&lt;&gt;"","",IFERROR(LOOKUP(2,1/(($EG$4:EG92=$EG93)*($DO$4:DO92&lt;&gt;"")),$DO$4:DO92),"")))</f>
        <v/>
      </c>
      <c r="EI93">
        <f>IF($DM93=0,"",IF($DO93&lt;&gt;"",$DO93,$EH93))</f>
        <v/>
      </c>
      <c r="EJ93">
        <f>IF($DM93=0,"",IF($EI93="",0,IF(OR(ISNUMBER($EI93),AND(AND(SUBSTITUTE(SUBSTITUTE(SUBSTITUTE(SUBSTITUTE(SUBSTITUTE(SUBSTITUTE(SUBSTITUTE(SUBSTITUTE(SUBSTITUTE(SUBSTITUTE(SUBSTITUTE(SUBSTITUTE(SUBSTITUTE(SUBSTITUTE(UPPER($EI93),"0",""),"1",""),"2",""),"3",""),"4",""),"5",""),"6",""),"7",""),"8",""),"9",""),".",""),"+",""),"-",""),"E","")="",LEN(SUBSTITUTE(SUBSTITUTE(MID(UPPER($EI93),1+OR(LEFT(UPPER($EI93),1)="+",LEFT(UPPER($EI93),1)="-"),999),"E+","E"),"E-","E"))=LEN(SUBSTITUTE(SUBSTITUTE(SUBSTITUTE(SUBSTITUTE(MID(UPPER($EI93),1+OR(LEFT(UPPER($EI93),1)="+",LEFT(UPPER($EI93),1)="-"),999),"E+","E"),"E-","E"),"+",""),"-","")),LEN(UPPER($EI93))-LEN(SUBSTITUTE(UPPER($EI93),"E",""))&lt;2,LEN(UPPER($EI93))-LEN(SUBSTITUTE(UPPER($EI93),".",""))&lt;2,IFERROR(FIND(".",UPPER($EI93)),0)&lt;IFERROR(FIND("E",UPPER($EI93)),999)),ISNUMBER(VALUE($EI93)))),1,2)))</f>
        <v/>
      </c>
      <c r="EK93">
        <f>IF($DM93=0,"",IF($EJ93=1,IF(ISNUMBER($EI93),$EI93,VALUE($EI93)),IF($EJ93=2,$DE93,0)))</f>
        <v/>
      </c>
      <c r="EL93">
        <f>IF($DM93=0,"",COUNTIF($EG$5:$EG$1003,"&lt;"&amp;$EG93)+SUMPRODUCT(($EG$5:$EG$1003=$EG93)*(($EJ$5:$EJ$1003&lt;$EJ93)+($EJ$5:$EJ$1003=$EJ93)*(($EK$5:$EK$1003&lt;$EK93)+($EK$5:$EK$1003=$EK93)*($DE$5:$DE$1003&lt;$DE93))))+1)</f>
        <v/>
      </c>
      <c r="EM93">
        <f>IF($DM93=0,"",$EL93+$EG93-1)</f>
        <v/>
      </c>
      <c r="EN93">
        <f>IF($DM93=0,0,IFERROR(MATCH(1,INDEX(--(TRIM(SUBSTITUTE(SUBSTITUTE(SUBSTITUTE(SUBSTITUTE(LINES_NAME&amp;""," "," "),CHAR(9)," "),CHAR(10)," "),CHAR(13)," "))=$DH93),0),0),0))</f>
        <v/>
      </c>
      <c r="EO93">
        <f>IF($EN93=0,0,IF(OR(UPPER(TRIM(INDEX(LINES_SCHEDULED,$EN93)&amp;""))="YES",UPPER(TRIM(INDEX(LINES_SCHEDULED,$EN93)&amp;""))="Y",UPPER(TRIM(INDEX(LINES_SCHEDULED,$EN93)&amp;""))="X"),1,0))</f>
        <v/>
      </c>
      <c r="EP93">
        <f>IF($DM93=0,"",IF(COUNTIFS($EG$5:$EG$1003,$EG93,$EB$5:$EB$1003,"Ready")&gt;0,"READY",IF(COUNTIFS($EG$5:$EG$1003,$EG93,$EB$5:$EB$1003,"PM")&gt;0,"PM",IF(COUNTIFS($EG$5:$EG$1003,$EG93,$EB$5:$EB$1003,"OT")&gt;0,"OT",""))))</f>
        <v/>
      </c>
      <c r="EQ93">
        <f>IF($EN93=0,"",UPPER(TRIM(INDEX(LINES_STATUS,$EN93)&amp;"")))</f>
        <v/>
      </c>
      <c r="ER93">
        <f>IF($DM93=0,"",IF(OR($EQ93="READY",$EQ93="PM",$EQ93="OT"),$EQ93,$EP93))</f>
        <v/>
      </c>
      <c r="ES93">
        <f>IF($DM93=0,"",IF(AND($DV93&lt;&gt;"",UPPER($DV93)&lt;&gt;"N"),"allergen",IF(ISNUMBER(SEARCH("oil",$DQ93)),"oil",IF(OR(EXACT($DS93,"A662"),EXACT($DS93,"A624")),"bulk",""))))</f>
        <v/>
      </c>
      <c r="ET93">
        <f>IF($DM93=0,"",IF(OR($EA93="",$EA93=0),"",$EA93/100))</f>
        <v/>
      </c>
      <c r="EU93">
        <f>IF(OR($ET93="",$DY93=""),"",INT($DY93*(1-$ET93)+0.5))</f>
        <v/>
      </c>
      <c r="EW93" t="n">
        <v>89</v>
      </c>
      <c r="EX93">
        <f>IFERROR(MATCH($EW93,$EM$5:$EM$1003,0),0)</f>
        <v/>
      </c>
      <c r="EY93">
        <f>IF($EW93&gt;$B$12,"",IF($EX93&gt;0,"row","spacer"))</f>
        <v/>
      </c>
      <c r="EZ93">
        <f>IF(AND($EY93="row",$EY92&lt;&gt;"row"),1,0)</f>
        <v/>
      </c>
      <c r="FA93">
        <f>IF(AND($EY93="row",$EY94&lt;&gt;"row"),1,0)</f>
        <v/>
      </c>
      <c r="FB93">
        <f>IF($EZ93=1,IFERROR(IF(ISNUMBER(INDEX(PASTE_ALL,INDEX($DF$5:$DF$1003,$EX93),$B$37)),INDEX(PASTE_ALL,INDEX($DF$5:$DF$1003,$EX93),$B$37),INDEX($DH$5:$DH$1003,$EX93)),INDEX($DH$5:$DH$1003,$EX93)),"")</f>
        <v/>
      </c>
      <c r="FC93">
        <f>IF($EY93="row",INDEX($ER$5:$ER$1003,$EX93),"")</f>
        <v/>
      </c>
      <c r="FD93">
        <f>IF($EY93="row",INDEX($DN$5:$DN$1003,$EX93),"")</f>
        <v/>
      </c>
      <c r="FE93">
        <f>IF($EY93="row",INDEX($DO$5:$DO$1003,$EX93),"")</f>
        <v/>
      </c>
      <c r="FF93">
        <f>IF($EY93="row",INDEX($DP$5:$DP$1003,$EX93),"")</f>
        <v/>
      </c>
      <c r="FG93">
        <f>IF($EY93="row",INDEX($DQ$5:$DQ$1003,$EX93),"")</f>
        <v/>
      </c>
      <c r="FH93">
        <f>IF($EY93="row",INDEX($DR$5:$DR$1003,$EX93),"")</f>
        <v/>
      </c>
      <c r="FI93">
        <f>IF($EY93="row",INDEX($DS$5:$DS$1003,$EX93),"")</f>
        <v/>
      </c>
      <c r="FJ93">
        <f>IF($EY93="row",INDEX($DT$5:$DT$1003,$EX93),"")</f>
        <v/>
      </c>
      <c r="FK93">
        <f>IF($EY93="row",INDEX($DU$5:$DU$1003,$EX93),"")</f>
        <v/>
      </c>
      <c r="FL93">
        <f>IF($EY93="row",INDEX($DV$5:$DV$1003,$EX93),"")</f>
        <v/>
      </c>
      <c r="FM93">
        <f>IF($EY93="row",INDEX($DW$5:$DW$1003,$EX93),"")</f>
        <v/>
      </c>
      <c r="FN93">
        <f>IF($EY93="row",INDEX($DY$5:$DY$1003,$EX93),"")</f>
        <v/>
      </c>
      <c r="FO93">
        <f>IF($EY93="row",INDEX($EA$5:$EA$1003,$EX93),"")</f>
        <v/>
      </c>
      <c r="FP93">
        <f>IF($EY93="row",INDEX($EC$5:$EC$1003,$EX93),"")</f>
        <v/>
      </c>
      <c r="FQ93">
        <f>IF($EY93="row",INDEX($ET$5:$ET$1003,$EX93),"")</f>
        <v/>
      </c>
      <c r="FR93">
        <f>IF($EY93="row",INDEX($EU$5:$EU$1003,$EX93),"")</f>
        <v/>
      </c>
      <c r="FS93">
        <f>IF(AND($EY93="row",$EY92="row"),IF(OR(INDEX($DT$5:$DT$1003,$EX92)="",INDEX($DT$5:$DT$1003,$EX93)=""),"",IF(NOT(EXACT(INDEX($DT$5:$DT$1003,$EX92),INDEX($DT$5:$DT$1003,$EX93))),"S4",IF(NOT(EXACT(INDEX($DS$5:$DS$1003,$EX92),INDEX($DS$5:$DS$1003,$EX93))),"S3",IF(NOT(EXACT(INDEX($DR$5:$DR$1003,$EX92),INDEX($DR$5:$DR$1003,$EX93))),"S1 Count Change","S1")))),"")</f>
        <v/>
      </c>
      <c r="FT93">
        <f>IF($EY93="row",INDEX($ES$5:$ES$1003,$EX93),"")</f>
        <v/>
      </c>
      <c r="FU93">
        <f>IF($EY93="row",INDEX($EO$5:$EO$1003,$EX93),0)</f>
        <v/>
      </c>
      <c r="FV93">
        <f>IF($FS93="S1 Count Change",1,0)</f>
        <v/>
      </c>
      <c r="FX93" t="n">
        <v>89</v>
      </c>
      <c r="FY93">
        <f>IFERROR(MATCH($FX93,$EF$5:$EF$1003,0),0)</f>
        <v/>
      </c>
      <c r="FZ93">
        <f>IF($FY93=0,"",INDEX($DH$5:$DH$1003,$FY93))</f>
        <v/>
      </c>
      <c r="GA93">
        <f>IF($FY93=0,"",COUNTIF($EG$5:$EG$1003,$FX93))</f>
        <v/>
      </c>
      <c r="GB93">
        <f>IF($FY93=0,"",INDEX($ER$5:$ER$1003,$FY93))</f>
        <v/>
      </c>
      <c r="GC93">
        <f>IF($FY93=0,"",IF(INDEX($EO$5:$EO$1003,$FY93)=1,"Yes",""))</f>
        <v/>
      </c>
      <c r="GD93">
        <f>IF($FY93=0,"",IF(INDEX($EN$5:$EN$1003,$FY93)&gt;0,"","NOT IN YOUR LIST - type it in column A to tick it"))</f>
        <v/>
      </c>
      <c r="GE93">
        <f>IF(AND($FY93&gt;0,$GD93&lt;&gt;""),1,0)</f>
        <v/>
      </c>
      <c r="GF93">
        <f>GF92+$GE93</f>
        <v/>
      </c>
      <c r="GG93">
        <f>IFERROR(INDEX($FZ$5:$FZ$104,MATCH($FX93,$GF$5:$GF$104,0)),"")</f>
        <v/>
      </c>
    </row>
    <row r="94">
      <c r="DA94" t="n">
        <v>90</v>
      </c>
      <c r="DB94">
        <f>IF($B$37=0,"",IFERROR(TRIM(SUBSTITUTE(SUBSTITUTE(SUBSTITUTE(SUBSTITUTE(INDEX(PASTE_ALL,90,$B$37)," "," "),CHAR(9)," "),CHAR(10)," "),CHAR(13)," ")),""))</f>
        <v/>
      </c>
      <c r="DC94">
        <f>IF(AND(90&gt;HEADER_ROW,UPPER(DB94)="LEGEND"),1,0)</f>
        <v/>
      </c>
      <c r="DE94" t="n">
        <v>90</v>
      </c>
      <c r="DF94">
        <f>HEADER_ROW+$DE94</f>
        <v/>
      </c>
      <c r="DG94">
        <f>IF(AND($DF94&lt;=1000,$DF94&lt;$B$8),1,0)</f>
        <v/>
      </c>
      <c r="DH94">
        <f>IF($DG94=1,IFERROR(INDEX($DB$5:$DB$1004,$DF94),""),"")</f>
        <v/>
      </c>
      <c r="DI94">
        <f>IF(AND($DG94=1,$DH94&lt;&gt;""),IFERROR(SUBSTITUTE(SUBSTITUTE(TRIM(SUBSTITUTE(SUBSTITUTE(SUBSTITUTE(SUBSTITUTE(IFERROR(INDEX(PASTE_ALL,$DF94,1)&amp;"","")&amp;"␟"&amp;IFERROR(INDEX(PASTE_ALL,$DF94,2)&amp;"","")&amp;"␟"&amp;IFERROR(INDEX(PASTE_ALL,$DF94,3)&amp;"","")&amp;"␟"&amp;IFERROR(INDEX(PASTE_ALL,$DF94,4)&amp;"","")&amp;"␟"&amp;IFERROR(INDEX(PASTE_ALL,$DF94,5)&amp;"","")&amp;"␟"&amp;IFERROR(INDEX(PASTE_ALL,$DF94,6)&amp;"","")&amp;"␟"&amp;IFERROR(INDEX(PASTE_ALL,$DF94,7)&amp;"","")&amp;"␟"&amp;IFERROR(INDEX(PASTE_ALL,$DF94,8)&amp;"","")&amp;"␟"&amp;IFERROR(INDEX(PASTE_ALL,$DF94,9)&amp;"","")&amp;"␟"&amp;IFERROR(INDEX(PASTE_ALL,$DF94,10)&amp;"","")&amp;"␟"&amp;IFERROR(INDEX(PASTE_ALL,$DF94,11)&amp;"","")&amp;"␟"&amp;IFERROR(INDEX(PASTE_ALL,$DF94,12)&amp;"","")&amp;"␟"&amp;IFERROR(INDEX(PASTE_ALL,$DF94,13)&amp;"","")&amp;"␟"&amp;IFERROR(INDEX(PASTE_ALL,$DF94,14)&amp;"","")&amp;"␟"&amp;IFERROR(INDEX(PASTE_ALL,$DF94,15)&amp;"","")&amp;"␟"&amp;IFERROR(INDEX(PASTE_ALL,$DF94,16)&amp;"","")&amp;"␟"&amp;IFERROR(INDEX(PASTE_ALL,$DF94,17)&amp;"","")&amp;"␟"&amp;IFERROR(INDEX(PASTE_ALL,$DF94,18)&amp;"","")&amp;"␟"&amp;IFERROR(INDEX(PASTE_ALL,$DF94,19)&amp;"","")&amp;"␟"&amp;IFERROR(INDEX(PASTE_ALL,$DF94,20)&amp;"","")&amp;"␟"&amp;IFERROR(INDEX(PASTE_ALL,$DF94,21)&amp;"","")&amp;"␟"&amp;IFERROR(INDEX(PASTE_ALL,$DF94,22)&amp;"","")&amp;"␟"&amp;IFERROR(INDEX(PASTE_ALL,$DF94,23)&amp;"","")&amp;"␟"&amp;IFERROR(INDEX(PASTE_ALL,$DF94,24)&amp;"","")&amp;"␟"&amp;IFERROR(INDEX(PASTE_ALL,$DF94,25)&amp;"","")&amp;"␟"&amp;IFERROR(INDEX(PASTE_ALL,$DF94,26)&amp;"","")&amp;"␟"&amp;IFERROR(INDEX(PASTE_ALL,$DF94,27)&amp;"","")&amp;"␟"&amp;IFERROR(INDEX(PASTE_ALL,$DF94,28)&amp;"","")&amp;"␟"&amp;IFERROR(INDEX(PASTE_ALL,$DF94,29)&amp;"","")&amp;"␟"&amp;IFERROR(INDEX(PASTE_ALL,$DF94,30)&amp;"","")&amp;"␟"&amp;IFERROR(INDEX(PASTE_ALL,$DF94,31)&amp;"","")&amp;"␟"&amp;IFERROR(INDEX(PASTE_ALL,$DF94,32)&amp;"","")&amp;"␟"&amp;IFERROR(INDEX(PASTE_ALL,$DF94,33)&amp;"","")&amp;"␟"&amp;IFERROR(INDEX(PASTE_ALL,$DF94,34)&amp;"","")&amp;"␟"&amp;IFERROR(INDEX(PASTE_ALL,$DF94,35)&amp;"","")&amp;"␟"&amp;IFERROR(INDEX(PASTE_ALL,$DF94,36)&amp;"","")&amp;"␟"&amp;IFERROR(INDEX(PASTE_ALL,$DF94,37)&amp;"","")&amp;"␟"&amp;IFERROR(INDEX(PASTE_ALL,$DF94,38)&amp;"","")&amp;"␟"&amp;IFERROR(INDEX(PASTE_ALL,$DF94,39)&amp;"","")&amp;"␟"&amp;IFERROR(INDEX(PASTE_ALL,$DF94,40)&amp;"","")&amp;"␟"&amp;IFERROR(INDEX(PASTE_ALL,$DF94,41)&amp;"","")&amp;"␟"&amp;IFERROR(INDEX(PASTE_ALL,$DF94,42)&amp;"","")&amp;"␟"&amp;IFERROR(INDEX(PASTE_ALL,$DF94,43)&amp;"","")&amp;"␟"&amp;IFERROR(INDEX(PASTE_ALL,$DF94,44)&amp;"","")&amp;"␟"&amp;IFERROR(INDEX(PASTE_ALL,$DF94,45)&amp;"","")&amp;"␟"&amp;IFERROR(INDEX(PASTE_ALL,$DF94,46)&amp;"","")&amp;"␟"&amp;IFERROR(INDEX(PASTE_ALL,$DF94,47)&amp;"","")&amp;"␟"&amp;IFERROR(INDEX(PASTE_ALL,$DF94,48)&amp;"","")&amp;"␟"&amp;IFERROR(INDEX(PASTE_ALL,$DF94,49)&amp;"","")&amp;"␟"&amp;IFERROR(INDEX(PASTE_ALL,$DF94,50)&amp;"","")&amp;"␟"&amp;IFERROR(INDEX(PASTE_ALL,$DF94,51)&amp;"","")&amp;"␟"&amp;IFERROR(INDEX(PASTE_ALL,$DF94,52)&amp;"","")&amp;"␟"&amp;IFERROR(INDEX(PASTE_ALL,$DF94,53)&amp;"","")&amp;"␟"&amp;IFERROR(INDEX(PASTE_ALL,$DF94,54)&amp;"","")&amp;"␟"&amp;IFERROR(INDEX(PASTE_ALL,$DF94,55)&amp;"","")&amp;"␟"&amp;IFERROR(INDEX(PASTE_ALL,$DF94,56)&amp;"","")&amp;"␟"&amp;IFERROR(INDEX(PASTE_ALL,$DF94,57)&amp;"","")&amp;"␟"&amp;IFERROR(INDEX(PASTE_ALL,$DF94,58)&amp;"","")&amp;"␟"&amp;IFERROR(INDEX(PASTE_ALL,$DF94,59)&amp;"","")&amp;"␟"&amp;IFERROR(INDEX(PASTE_ALL,$DF94,60)&amp;"","")," "," "),CHAR(9)," "),CHAR(10)," "),CHAR(13)," "))," ␟","␟"),"␟ ","␟"),"#"&amp;$DE94),"")</f>
        <v/>
      </c>
      <c r="DJ94">
        <f>IF($DI94="",0,IF(SUMPRODUCT(--EXACT($DI$4:DI93,$DI94))&gt;0,1,0))</f>
        <v/>
      </c>
      <c r="DK94">
        <f>IF(AND($DI94&lt;&gt;"",$DJ94=0),1,0)</f>
        <v/>
      </c>
      <c r="DL94">
        <f>DL93+$DK94</f>
        <v/>
      </c>
      <c r="DM94">
        <f>IF(AND($DK94=1,$DL94&lt;=600),1,0)</f>
        <v/>
      </c>
      <c r="DN94">
        <f>IF($DM94=0,"",IF($L$6=0,"",IFERROR(IF(ISNUMBER(INDEX(PASTE_ALL,$DF94,$L$6)),INDEX(PASTE_ALL,$DF94,$L$6),TRIM(SUBSTITUTE(SUBSTITUTE(SUBSTITUTE(SUBSTITUTE(INDEX(PASTE_ALL,$DF94,$L$6)," "," "),CHAR(9)," "),CHAR(10)," "),CHAR(13)," "))),"")))</f>
        <v/>
      </c>
      <c r="DO94">
        <f>IF($DM94=0,"",IF($L$7=0,"",IFERROR(IF(ISNUMBER(INDEX(PASTE_ALL,$DF94,$L$7)),INDEX(PASTE_ALL,$DF94,$L$7),TRIM(SUBSTITUTE(SUBSTITUTE(SUBSTITUTE(SUBSTITUTE(INDEX(PASTE_ALL,$DF94,$L$7)," "," "),CHAR(9)," "),CHAR(10)," "),CHAR(13)," "))),"")))</f>
        <v/>
      </c>
      <c r="DP94">
        <f>IF($DM94=0,"",IF($L$8=0,"",IFERROR(IF(ISNUMBER(INDEX(PASTE_ALL,$DF94,$L$8)),INDEX(PASTE_ALL,$DF94,$L$8),TRIM(SUBSTITUTE(SUBSTITUTE(SUBSTITUTE(SUBSTITUTE(INDEX(PASTE_ALL,$DF94,$L$8)," "," "),CHAR(9)," "),CHAR(10)," "),CHAR(13)," "))),"")))</f>
        <v/>
      </c>
      <c r="DQ94">
        <f>IF($DM94=0,"",IF($L$9=0,"",IFERROR(IF(ISNUMBER(INDEX(PASTE_ALL,$DF94,$L$9)),INDEX(PASTE_ALL,$DF94,$L$9),TRIM(SUBSTITUTE(SUBSTITUTE(SUBSTITUTE(SUBSTITUTE(INDEX(PASTE_ALL,$DF94,$L$9)," "," "),CHAR(9)," "),CHAR(10)," "),CHAR(13)," "))),"")))</f>
        <v/>
      </c>
      <c r="DR94">
        <f>IF($DM94=0,"",IF($L$10=0,"",IFERROR(IF(ISNUMBER(INDEX(PASTE_ALL,$DF94,$L$10)),INDEX(PASTE_ALL,$DF94,$L$10),TRIM(SUBSTITUTE(SUBSTITUTE(SUBSTITUTE(SUBSTITUTE(INDEX(PASTE_ALL,$DF94,$L$10)," "," "),CHAR(9)," "),CHAR(10)," "),CHAR(13)," "))),"")))</f>
        <v/>
      </c>
      <c r="DS94">
        <f>IF($DM94=0,"",IF($L$11=0,"",IFERROR(IF(ISNUMBER(INDEX(PASTE_ALL,$DF94,$L$11)),INDEX(PASTE_ALL,$DF94,$L$11),TRIM(SUBSTITUTE(SUBSTITUTE(SUBSTITUTE(SUBSTITUTE(INDEX(PASTE_ALL,$DF94,$L$11)," "," "),CHAR(9)," "),CHAR(10)," "),CHAR(13)," "))),"")))</f>
        <v/>
      </c>
      <c r="DT94">
        <f>IF($DM94=0,"",IF($L$12=0,"",IFERROR(IF(ISNUMBER(INDEX(PASTE_ALL,$DF94,$L$12)),INDEX(PASTE_ALL,$DF94,$L$12),TRIM(SUBSTITUTE(SUBSTITUTE(SUBSTITUTE(SUBSTITUTE(INDEX(PASTE_ALL,$DF94,$L$12)," "," "),CHAR(9)," "),CHAR(10)," "),CHAR(13)," "))),"")))</f>
        <v/>
      </c>
      <c r="DU94">
        <f>IF($DM94=0,"",IF($L$13=0,"",IFERROR(IF(ISNUMBER(INDEX(PASTE_ALL,$DF94,$L$13)),INDEX(PASTE_ALL,$DF94,$L$13),TRIM(SUBSTITUTE(SUBSTITUTE(SUBSTITUTE(SUBSTITUTE(INDEX(PASTE_ALL,$DF94,$L$13)," "," "),CHAR(9)," "),CHAR(10)," "),CHAR(13)," "))),"")))</f>
        <v/>
      </c>
      <c r="DV94">
        <f>IF($DM94=0,"",IF($L$14=0,"",IFERROR(IF(ISNUMBER(INDEX(PASTE_ALL,$DF94,$L$14)),INDEX(PASTE_ALL,$DF94,$L$14),TRIM(SUBSTITUTE(SUBSTITUTE(SUBSTITUTE(SUBSTITUTE(INDEX(PASTE_ALL,$DF94,$L$14)," "," "),CHAR(9)," "),CHAR(10)," "),CHAR(13)," "))),"")))</f>
        <v/>
      </c>
      <c r="DW94">
        <f>IF($DM94=0,"",IF($L$15=0,"",IFERROR(IF(ISNUMBER(INDEX(PASTE_ALL,$DF94,$L$15)),INDEX(PASTE_ALL,$DF94,$L$15),IF(SUMPRODUCT(--ISNUMBER(FIND({"A","B","C","D","E","F","G","H","I","J","K","L","M","N","O","P","Q","R","S","T","U","V","W","X","Y","Z","0","1","2","3","4","5","6","7","8","9"},UPPER(TRIM(SUBSTITUTE(SUBSTITUTE(SUBSTITUTE(SUBSTITUTE(INDEX(PASTE_ALL,$DF94,$L$15)," "," "),CHAR(9)," "),CHAR(10)," "),CHAR(13)," "))))))&gt;0,TRIM(SUBSTITUTE(SUBSTITUTE(SUBSTITUTE(SUBSTITUTE(INDEX(PASTE_ALL,$DF94,$L$15)," "," "),CHAR(9)," "),CHAR(10)," "),CHAR(13)," ")),"")),"")))</f>
        <v/>
      </c>
      <c r="DX94">
        <f>IF($DM94=0,"",IF($L$16=0,"",IFERROR(IF(ISNUMBER(INDEX(PASTE_ALL,$DF94,$L$16)),INDEX(PASTE_ALL,$DF94,$L$16),SUBSTITUTE(SUBSTITUTE(TRIM(SUBSTITUTE(SUBSTITUTE(SUBSTITUTE(SUBSTITUTE(INDEX(PASTE_ALL,$DF94,$L$16)," "," "),CHAR(9)," "),CHAR(10)," "),CHAR(13)," ")),",",""),"%","")),"")))</f>
        <v/>
      </c>
      <c r="DY94">
        <f>IF($DM94=0,"",IFERROR(IF(ISNUMBER($DX94),$DX94,IF($DX94="","",IF(TRIM($DX94)="",0,IF(AND(AND(SUBSTITUTE(SUBSTITUTE(SUBSTITUTE(SUBSTITUTE(SUBSTITUTE(SUBSTITUTE(SUBSTITUTE(SUBSTITUTE(SUBSTITUTE(SUBSTITUTE(SUBSTITUTE(SUBSTITUTE(SUBSTITUTE(SUBSTITUTE(UPPER(TRIM($DX94)),"0",""),"1",""),"2",""),"3",""),"4",""),"5",""),"6",""),"7",""),"8",""),"9",""),".",""),"+",""),"-",""),"E","")="",LEN(SUBSTITUTE(SUBSTITUTE(MID(UPPER(TRIM($DX94)),1+OR(LEFT(UPPER(TRIM($DX94)),1)="+",LEFT(UPPER(TRIM($DX94)),1)="-"),999),"E+","E"),"E-","E"))=LEN(SUBSTITUTE(SUBSTITUTE(SUBSTITUTE(SUBSTITUTE(MID(UPPER(TRIM($DX94)),1+OR(LEFT(UPPER(TRIM($DX94)),1)="+",LEFT(UPPER(TRIM($DX94)),1)="-"),999),"E+","E"),"E-","E"),"+",""),"-","")),LEN(UPPER(TRIM($DX94)))-LEN(SUBSTITUTE(UPPER(TRIM($DX94)),"E",""))&lt;2,LEN(UPPER(TRIM($DX94)))-LEN(SUBSTITUTE(UPPER(TRIM($DX94)),".",""))&lt;2,IFERROR(FIND(".",UPPER(TRIM($DX94))),0)&lt;IFERROR(FIND("E",UPPER(TRIM($DX94))),999)),ISNUMBER(VALUE(TRIM($DX94)))),VALUE(TRIM($DX94)),"")))),""))</f>
        <v/>
      </c>
      <c r="DZ94">
        <f>IF($DM94=0,"",IF($L$17=0,"",IFERROR(IF(ISNUMBER(INDEX(PASTE_ALL,$DF94,$L$17)),INDEX(PASTE_ALL,$DF94,$L$17),SUBSTITUTE(SUBSTITUTE(TRIM(SUBSTITUTE(SUBSTITUTE(SUBSTITUTE(SUBSTITUTE(INDEX(PASTE_ALL,$DF94,$L$17)," "," "),CHAR(9)," "),CHAR(10)," "),CHAR(13)," ")),",",""),"%","")),"")))</f>
        <v/>
      </c>
      <c r="EA94">
        <f>IF($DM94=0,"",IFERROR(IF(ISNUMBER($DZ94),$DZ94,IF($DZ94="","",IF(TRIM($DZ94)="",0,IF(AND(AND(SUBSTITUTE(SUBSTITUTE(SUBSTITUTE(SUBSTITUTE(SUBSTITUTE(SUBSTITUTE(SUBSTITUTE(SUBSTITUTE(SUBSTITUTE(SUBSTITUTE(SUBSTITUTE(SUBSTITUTE(SUBSTITUTE(SUBSTITUTE(UPPER(TRIM($DZ94)),"0",""),"1",""),"2",""),"3",""),"4",""),"5",""),"6",""),"7",""),"8",""),"9",""),".",""),"+",""),"-",""),"E","")="",LEN(SUBSTITUTE(SUBSTITUTE(MID(UPPER(TRIM($DZ94)),1+OR(LEFT(UPPER(TRIM($DZ94)),1)="+",LEFT(UPPER(TRIM($DZ94)),1)="-"),999),"E+","E"),"E-","E"))=LEN(SUBSTITUTE(SUBSTITUTE(SUBSTITUTE(SUBSTITUTE(MID(UPPER(TRIM($DZ94)),1+OR(LEFT(UPPER(TRIM($DZ94)),1)="+",LEFT(UPPER(TRIM($DZ94)),1)="-"),999),"E+","E"),"E-","E"),"+",""),"-","")),LEN(UPPER(TRIM($DZ94)))-LEN(SUBSTITUTE(UPPER(TRIM($DZ94)),"E",""))&lt;2,LEN(UPPER(TRIM($DZ94)))-LEN(SUBSTITUTE(UPPER(TRIM($DZ94)),".",""))&lt;2,IFERROR(FIND(".",UPPER(TRIM($DZ94))),0)&lt;IFERROR(FIND("E",UPPER(TRIM($DZ94))),999)),ISNUMBER(VALUE(TRIM($DZ94)))),VALUE(TRIM($DZ94)),"")))),""))</f>
        <v/>
      </c>
      <c r="EB94">
        <f>IF($DM94=0,"",IF($L$18=0,"",IFERROR(IF(UPPER(TRIM(SUBSTITUTE(SUBSTITUTE(SUBSTITUTE(SUBSTITUTE(INDEX(PASTE_ALL,$DF94,$L$18)," "," "),CHAR(9)," "),CHAR(10)," "),CHAR(13)," ")))="READY","Ready",IF(UPPER(TRIM(SUBSTITUTE(SUBSTITUTE(SUBSTITUTE(SUBSTITUTE(INDEX(PASTE_ALL,$DF94,$L$18)," "," "),CHAR(9)," "),CHAR(10)," "),CHAR(13)," ")))="PM","PM",IF(OR(UPPER(TRIM(SUBSTITUTE(SUBSTITUTE(SUBSTITUTE(SUBSTITUTE(INDEX(PASTE_ALL,$DF94,$L$18)," "," "),CHAR(9)," "),CHAR(10)," "),CHAR(13)," ")))="OT",UPPER(TRIM(SUBSTITUTE(SUBSTITUTE(SUBSTITUTE(SUBSTITUTE(INDEX(PASTE_ALL,$DF94,$L$18)," "," "),CHAR(9)," "),CHAR(10)," "),CHAR(13)," ")))="OVERTIME",UPPER(TRIM(SUBSTITUTE(SUBSTITUTE(SUBSTITUTE(SUBSTITUTE(INDEX(PASTE_ALL,$DF94,$L$18)," "," "),CHAR(9)," "),CHAR(10)," "),CHAR(13)," ")))="TRIAL"),"OT",TRIM(SUBSTITUTE(SUBSTITUTE(SUBSTITUTE(SUBSTITUTE(INDEX(PASTE_ALL,$DF94,$L$18)," "," "),CHAR(9)," "),CHAR(10)," "),CHAR(13)," "))))),"")))</f>
        <v/>
      </c>
      <c r="EC94">
        <f>IF($DM94=0,"",IF($L$19=0,"",IFERROR(IF(ISNUMBER(INDEX(PASTE_ALL,$DF94,$L$19)),INDEX(PASTE_ALL,$DF94,$L$19),TRIM(SUBSTITUTE(SUBSTITUTE(SUBSTITUTE(SUBSTITUTE(INDEX(PASTE_ALL,$DF94,$L$19)," "," "),CHAR(9)," "),CHAR(10)," "),CHAR(13)," "))),"")))</f>
        <v/>
      </c>
      <c r="ED94">
        <f>IF($DM94=0,"",MATCH(1,INDEX(EXACT($DH$5:DH94,$DH94)*$DM$5:DM94,0),0))</f>
        <v/>
      </c>
      <c r="EE94">
        <f>IF($DM94=0,0,IF($ED94=$DE94,1,0))</f>
        <v/>
      </c>
      <c r="EF94">
        <f>EF93+$EE94</f>
        <v/>
      </c>
      <c r="EG94">
        <f>IF($DM94=0,"",INDEX($EF$5:$EF$1003,$ED94))</f>
        <v/>
      </c>
      <c r="EH94">
        <f>IF($DM94=0,"",IF($DO94&lt;&gt;"","",IFERROR(LOOKUP(2,1/(($EG$4:EG93=$EG94)*($DO$4:DO93&lt;&gt;"")),$DO$4:DO93),"")))</f>
        <v/>
      </c>
      <c r="EI94">
        <f>IF($DM94=0,"",IF($DO94&lt;&gt;"",$DO94,$EH94))</f>
        <v/>
      </c>
      <c r="EJ94">
        <f>IF($DM94=0,"",IF($EI94="",0,IF(OR(ISNUMBER($EI94),AND(AND(SUBSTITUTE(SUBSTITUTE(SUBSTITUTE(SUBSTITUTE(SUBSTITUTE(SUBSTITUTE(SUBSTITUTE(SUBSTITUTE(SUBSTITUTE(SUBSTITUTE(SUBSTITUTE(SUBSTITUTE(SUBSTITUTE(SUBSTITUTE(UPPER($EI94),"0",""),"1",""),"2",""),"3",""),"4",""),"5",""),"6",""),"7",""),"8",""),"9",""),".",""),"+",""),"-",""),"E","")="",LEN(SUBSTITUTE(SUBSTITUTE(MID(UPPER($EI94),1+OR(LEFT(UPPER($EI94),1)="+",LEFT(UPPER($EI94),1)="-"),999),"E+","E"),"E-","E"))=LEN(SUBSTITUTE(SUBSTITUTE(SUBSTITUTE(SUBSTITUTE(MID(UPPER($EI94),1+OR(LEFT(UPPER($EI94),1)="+",LEFT(UPPER($EI94),1)="-"),999),"E+","E"),"E-","E"),"+",""),"-","")),LEN(UPPER($EI94))-LEN(SUBSTITUTE(UPPER($EI94),"E",""))&lt;2,LEN(UPPER($EI94))-LEN(SUBSTITUTE(UPPER($EI94),".",""))&lt;2,IFERROR(FIND(".",UPPER($EI94)),0)&lt;IFERROR(FIND("E",UPPER($EI94)),999)),ISNUMBER(VALUE($EI94)))),1,2)))</f>
        <v/>
      </c>
      <c r="EK94">
        <f>IF($DM94=0,"",IF($EJ94=1,IF(ISNUMBER($EI94),$EI94,VALUE($EI94)),IF($EJ94=2,$DE94,0)))</f>
        <v/>
      </c>
      <c r="EL94">
        <f>IF($DM94=0,"",COUNTIF($EG$5:$EG$1003,"&lt;"&amp;$EG94)+SUMPRODUCT(($EG$5:$EG$1003=$EG94)*(($EJ$5:$EJ$1003&lt;$EJ94)+($EJ$5:$EJ$1003=$EJ94)*(($EK$5:$EK$1003&lt;$EK94)+($EK$5:$EK$1003=$EK94)*($DE$5:$DE$1003&lt;$DE94))))+1)</f>
        <v/>
      </c>
      <c r="EM94">
        <f>IF($DM94=0,"",$EL94+$EG94-1)</f>
        <v/>
      </c>
      <c r="EN94">
        <f>IF($DM94=0,0,IFERROR(MATCH(1,INDEX(--(TRIM(SUBSTITUTE(SUBSTITUTE(SUBSTITUTE(SUBSTITUTE(LINES_NAME&amp;""," "," "),CHAR(9)," "),CHAR(10)," "),CHAR(13)," "))=$DH94),0),0),0))</f>
        <v/>
      </c>
      <c r="EO94">
        <f>IF($EN94=0,0,IF(OR(UPPER(TRIM(INDEX(LINES_SCHEDULED,$EN94)&amp;""))="YES",UPPER(TRIM(INDEX(LINES_SCHEDULED,$EN94)&amp;""))="Y",UPPER(TRIM(INDEX(LINES_SCHEDULED,$EN94)&amp;""))="X"),1,0))</f>
        <v/>
      </c>
      <c r="EP94">
        <f>IF($DM94=0,"",IF(COUNTIFS($EG$5:$EG$1003,$EG94,$EB$5:$EB$1003,"Ready")&gt;0,"READY",IF(COUNTIFS($EG$5:$EG$1003,$EG94,$EB$5:$EB$1003,"PM")&gt;0,"PM",IF(COUNTIFS($EG$5:$EG$1003,$EG94,$EB$5:$EB$1003,"OT")&gt;0,"OT",""))))</f>
        <v/>
      </c>
      <c r="EQ94">
        <f>IF($EN94=0,"",UPPER(TRIM(INDEX(LINES_STATUS,$EN94)&amp;"")))</f>
        <v/>
      </c>
      <c r="ER94">
        <f>IF($DM94=0,"",IF(OR($EQ94="READY",$EQ94="PM",$EQ94="OT"),$EQ94,$EP94))</f>
        <v/>
      </c>
      <c r="ES94">
        <f>IF($DM94=0,"",IF(AND($DV94&lt;&gt;"",UPPER($DV94)&lt;&gt;"N"),"allergen",IF(ISNUMBER(SEARCH("oil",$DQ94)),"oil",IF(OR(EXACT($DS94,"A662"),EXACT($DS94,"A624")),"bulk",""))))</f>
        <v/>
      </c>
      <c r="ET94">
        <f>IF($DM94=0,"",IF(OR($EA94="",$EA94=0),"",$EA94/100))</f>
        <v/>
      </c>
      <c r="EU94">
        <f>IF(OR($ET94="",$DY94=""),"",INT($DY94*(1-$ET94)+0.5))</f>
        <v/>
      </c>
      <c r="EW94" t="n">
        <v>90</v>
      </c>
      <c r="EX94">
        <f>IFERROR(MATCH($EW94,$EM$5:$EM$1003,0),0)</f>
        <v/>
      </c>
      <c r="EY94">
        <f>IF($EW94&gt;$B$12,"",IF($EX94&gt;0,"row","spacer"))</f>
        <v/>
      </c>
      <c r="EZ94">
        <f>IF(AND($EY94="row",$EY93&lt;&gt;"row"),1,0)</f>
        <v/>
      </c>
      <c r="FA94">
        <f>IF(AND($EY94="row",$EY95&lt;&gt;"row"),1,0)</f>
        <v/>
      </c>
      <c r="FB94">
        <f>IF($EZ94=1,IFERROR(IF(ISNUMBER(INDEX(PASTE_ALL,INDEX($DF$5:$DF$1003,$EX94),$B$37)),INDEX(PASTE_ALL,INDEX($DF$5:$DF$1003,$EX94),$B$37),INDEX($DH$5:$DH$1003,$EX94)),INDEX($DH$5:$DH$1003,$EX94)),"")</f>
        <v/>
      </c>
      <c r="FC94">
        <f>IF($EY94="row",INDEX($ER$5:$ER$1003,$EX94),"")</f>
        <v/>
      </c>
      <c r="FD94">
        <f>IF($EY94="row",INDEX($DN$5:$DN$1003,$EX94),"")</f>
        <v/>
      </c>
      <c r="FE94">
        <f>IF($EY94="row",INDEX($DO$5:$DO$1003,$EX94),"")</f>
        <v/>
      </c>
      <c r="FF94">
        <f>IF($EY94="row",INDEX($DP$5:$DP$1003,$EX94),"")</f>
        <v/>
      </c>
      <c r="FG94">
        <f>IF($EY94="row",INDEX($DQ$5:$DQ$1003,$EX94),"")</f>
        <v/>
      </c>
      <c r="FH94">
        <f>IF($EY94="row",INDEX($DR$5:$DR$1003,$EX94),"")</f>
        <v/>
      </c>
      <c r="FI94">
        <f>IF($EY94="row",INDEX($DS$5:$DS$1003,$EX94),"")</f>
        <v/>
      </c>
      <c r="FJ94">
        <f>IF($EY94="row",INDEX($DT$5:$DT$1003,$EX94),"")</f>
        <v/>
      </c>
      <c r="FK94">
        <f>IF($EY94="row",INDEX($DU$5:$DU$1003,$EX94),"")</f>
        <v/>
      </c>
      <c r="FL94">
        <f>IF($EY94="row",INDEX($DV$5:$DV$1003,$EX94),"")</f>
        <v/>
      </c>
      <c r="FM94">
        <f>IF($EY94="row",INDEX($DW$5:$DW$1003,$EX94),"")</f>
        <v/>
      </c>
      <c r="FN94">
        <f>IF($EY94="row",INDEX($DY$5:$DY$1003,$EX94),"")</f>
        <v/>
      </c>
      <c r="FO94">
        <f>IF($EY94="row",INDEX($EA$5:$EA$1003,$EX94),"")</f>
        <v/>
      </c>
      <c r="FP94">
        <f>IF($EY94="row",INDEX($EC$5:$EC$1003,$EX94),"")</f>
        <v/>
      </c>
      <c r="FQ94">
        <f>IF($EY94="row",INDEX($ET$5:$ET$1003,$EX94),"")</f>
        <v/>
      </c>
      <c r="FR94">
        <f>IF($EY94="row",INDEX($EU$5:$EU$1003,$EX94),"")</f>
        <v/>
      </c>
      <c r="FS94">
        <f>IF(AND($EY94="row",$EY93="row"),IF(OR(INDEX($DT$5:$DT$1003,$EX93)="",INDEX($DT$5:$DT$1003,$EX94)=""),"",IF(NOT(EXACT(INDEX($DT$5:$DT$1003,$EX93),INDEX($DT$5:$DT$1003,$EX94))),"S4",IF(NOT(EXACT(INDEX($DS$5:$DS$1003,$EX93),INDEX($DS$5:$DS$1003,$EX94))),"S3",IF(NOT(EXACT(INDEX($DR$5:$DR$1003,$EX93),INDEX($DR$5:$DR$1003,$EX94))),"S1 Count Change","S1")))),"")</f>
        <v/>
      </c>
      <c r="FT94">
        <f>IF($EY94="row",INDEX($ES$5:$ES$1003,$EX94),"")</f>
        <v/>
      </c>
      <c r="FU94">
        <f>IF($EY94="row",INDEX($EO$5:$EO$1003,$EX94),0)</f>
        <v/>
      </c>
      <c r="FV94">
        <f>IF($FS94="S1 Count Change",1,0)</f>
        <v/>
      </c>
      <c r="FX94" t="n">
        <v>90</v>
      </c>
      <c r="FY94">
        <f>IFERROR(MATCH($FX94,$EF$5:$EF$1003,0),0)</f>
        <v/>
      </c>
      <c r="FZ94">
        <f>IF($FY94=0,"",INDEX($DH$5:$DH$1003,$FY94))</f>
        <v/>
      </c>
      <c r="GA94">
        <f>IF($FY94=0,"",COUNTIF($EG$5:$EG$1003,$FX94))</f>
        <v/>
      </c>
      <c r="GB94">
        <f>IF($FY94=0,"",INDEX($ER$5:$ER$1003,$FY94))</f>
        <v/>
      </c>
      <c r="GC94">
        <f>IF($FY94=0,"",IF(INDEX($EO$5:$EO$1003,$FY94)=1,"Yes",""))</f>
        <v/>
      </c>
      <c r="GD94">
        <f>IF($FY94=0,"",IF(INDEX($EN$5:$EN$1003,$FY94)&gt;0,"","NOT IN YOUR LIST - type it in column A to tick it"))</f>
        <v/>
      </c>
      <c r="GE94">
        <f>IF(AND($FY94&gt;0,$GD94&lt;&gt;""),1,0)</f>
        <v/>
      </c>
      <c r="GF94">
        <f>GF93+$GE94</f>
        <v/>
      </c>
      <c r="GG94">
        <f>IFERROR(INDEX($FZ$5:$FZ$104,MATCH($FX94,$GF$5:$GF$104,0)),"")</f>
        <v/>
      </c>
    </row>
    <row r="95">
      <c r="X95" s="69" t="inlineStr">
        <is>
          <t>EXACT field</t>
        </is>
      </c>
      <c r="Y95">
        <f>IF(Y5="",0,IFERROR(INDEX($W$5:$W$86,MATCH(Y5,$V$5:$V$86,0)),0))</f>
        <v/>
      </c>
      <c r="Z95">
        <f>IF(Z5="",0,IFERROR(INDEX($W$5:$W$86,MATCH(Z5,$V$5:$V$86,0)),0))</f>
        <v/>
      </c>
      <c r="AA95">
        <f>IF(AA5="",0,IFERROR(INDEX($W$5:$W$86,MATCH(AA5,$V$5:$V$86,0)),0))</f>
        <v/>
      </c>
      <c r="AB95">
        <f>IF(AB5="",0,IFERROR(INDEX($W$5:$W$86,MATCH(AB5,$V$5:$V$86,0)),0))</f>
        <v/>
      </c>
      <c r="AC95">
        <f>IF(AC5="",0,IFERROR(INDEX($W$5:$W$86,MATCH(AC5,$V$5:$V$86,0)),0))</f>
        <v/>
      </c>
      <c r="AD95">
        <f>IF(AD5="",0,IFERROR(INDEX($W$5:$W$86,MATCH(AD5,$V$5:$V$86,0)),0))</f>
        <v/>
      </c>
      <c r="AE95">
        <f>IF(AE5="",0,IFERROR(INDEX($W$5:$W$86,MATCH(AE5,$V$5:$V$86,0)),0))</f>
        <v/>
      </c>
      <c r="AF95">
        <f>IF(AF5="",0,IFERROR(INDEX($W$5:$W$86,MATCH(AF5,$V$5:$V$86,0)),0))</f>
        <v/>
      </c>
      <c r="AG95">
        <f>IF(AG5="",0,IFERROR(INDEX($W$5:$W$86,MATCH(AG5,$V$5:$V$86,0)),0))</f>
        <v/>
      </c>
      <c r="AH95">
        <f>IF(AH5="",0,IFERROR(INDEX($W$5:$W$86,MATCH(AH5,$V$5:$V$86,0)),0))</f>
        <v/>
      </c>
      <c r="AI95">
        <f>IF(AI5="",0,IFERROR(INDEX($W$5:$W$86,MATCH(AI5,$V$5:$V$86,0)),0))</f>
        <v/>
      </c>
      <c r="AJ95">
        <f>IF(AJ5="",0,IFERROR(INDEX($W$5:$W$86,MATCH(AJ5,$V$5:$V$86,0)),0))</f>
        <v/>
      </c>
      <c r="AK95">
        <f>IF(AK5="",0,IFERROR(INDEX($W$5:$W$86,MATCH(AK5,$V$5:$V$86,0)),0))</f>
        <v/>
      </c>
      <c r="AL95">
        <f>IF(AL5="",0,IFERROR(INDEX($W$5:$W$86,MATCH(AL5,$V$5:$V$86,0)),0))</f>
        <v/>
      </c>
      <c r="AM95">
        <f>IF(AM5="",0,IFERROR(INDEX($W$5:$W$86,MATCH(AM5,$V$5:$V$86,0)),0))</f>
        <v/>
      </c>
      <c r="AN95">
        <f>IF(AN5="",0,IFERROR(INDEX($W$5:$W$86,MATCH(AN5,$V$5:$V$86,0)),0))</f>
        <v/>
      </c>
      <c r="AO95">
        <f>IF(AO5="",0,IFERROR(INDEX($W$5:$W$86,MATCH(AO5,$V$5:$V$86,0)),0))</f>
        <v/>
      </c>
      <c r="AP95">
        <f>IF(AP5="",0,IFERROR(INDEX($W$5:$W$86,MATCH(AP5,$V$5:$V$86,0)),0))</f>
        <v/>
      </c>
      <c r="AQ95">
        <f>IF(AQ5="",0,IFERROR(INDEX($W$5:$W$86,MATCH(AQ5,$V$5:$V$86,0)),0))</f>
        <v/>
      </c>
      <c r="AR95">
        <f>IF(AR5="",0,IFERROR(INDEX($W$5:$W$86,MATCH(AR5,$V$5:$V$86,0)),0))</f>
        <v/>
      </c>
      <c r="AS95">
        <f>IF(AS5="",0,IFERROR(INDEX($W$5:$W$86,MATCH(AS5,$V$5:$V$86,0)),0))</f>
        <v/>
      </c>
      <c r="AT95">
        <f>IF(AT5="",0,IFERROR(INDEX($W$5:$W$86,MATCH(AT5,$V$5:$V$86,0)),0))</f>
        <v/>
      </c>
      <c r="AU95">
        <f>IF(AU5="",0,IFERROR(INDEX($W$5:$W$86,MATCH(AU5,$V$5:$V$86,0)),0))</f>
        <v/>
      </c>
      <c r="AV95">
        <f>IF(AV5="",0,IFERROR(INDEX($W$5:$W$86,MATCH(AV5,$V$5:$V$86,0)),0))</f>
        <v/>
      </c>
      <c r="AW95">
        <f>IF(AW5="",0,IFERROR(INDEX($W$5:$W$86,MATCH(AW5,$V$5:$V$86,0)),0))</f>
        <v/>
      </c>
      <c r="AX95">
        <f>IF(AX5="",0,IFERROR(INDEX($W$5:$W$86,MATCH(AX5,$V$5:$V$86,0)),0))</f>
        <v/>
      </c>
      <c r="AY95">
        <f>IF(AY5="",0,IFERROR(INDEX($W$5:$W$86,MATCH(AY5,$V$5:$V$86,0)),0))</f>
        <v/>
      </c>
      <c r="AZ95">
        <f>IF(AZ5="",0,IFERROR(INDEX($W$5:$W$86,MATCH(AZ5,$V$5:$V$86,0)),0))</f>
        <v/>
      </c>
      <c r="BA95">
        <f>IF(BA5="",0,IFERROR(INDEX($W$5:$W$86,MATCH(BA5,$V$5:$V$86,0)),0))</f>
        <v/>
      </c>
      <c r="BB95">
        <f>IF(BB5="",0,IFERROR(INDEX($W$5:$W$86,MATCH(BB5,$V$5:$V$86,0)),0))</f>
        <v/>
      </c>
      <c r="BC95">
        <f>IF(BC5="",0,IFERROR(INDEX($W$5:$W$86,MATCH(BC5,$V$5:$V$86,0)),0))</f>
        <v/>
      </c>
      <c r="BD95">
        <f>IF(BD5="",0,IFERROR(INDEX($W$5:$W$86,MATCH(BD5,$V$5:$V$86,0)),0))</f>
        <v/>
      </c>
      <c r="BE95">
        <f>IF(BE5="",0,IFERROR(INDEX($W$5:$W$86,MATCH(BE5,$V$5:$V$86,0)),0))</f>
        <v/>
      </c>
      <c r="BF95">
        <f>IF(BF5="",0,IFERROR(INDEX($W$5:$W$86,MATCH(BF5,$V$5:$V$86,0)),0))</f>
        <v/>
      </c>
      <c r="BG95">
        <f>IF(BG5="",0,IFERROR(INDEX($W$5:$W$86,MATCH(BG5,$V$5:$V$86,0)),0))</f>
        <v/>
      </c>
      <c r="BH95">
        <f>IF(BH5="",0,IFERROR(INDEX($W$5:$W$86,MATCH(BH5,$V$5:$V$86,0)),0))</f>
        <v/>
      </c>
      <c r="BI95">
        <f>IF(BI5="",0,IFERROR(INDEX($W$5:$W$86,MATCH(BI5,$V$5:$V$86,0)),0))</f>
        <v/>
      </c>
      <c r="BJ95">
        <f>IF(BJ5="",0,IFERROR(INDEX($W$5:$W$86,MATCH(BJ5,$V$5:$V$86,0)),0))</f>
        <v/>
      </c>
      <c r="BK95">
        <f>IF(BK5="",0,IFERROR(INDEX($W$5:$W$86,MATCH(BK5,$V$5:$V$86,0)),0))</f>
        <v/>
      </c>
      <c r="BL95">
        <f>IF(BL5="",0,IFERROR(INDEX($W$5:$W$86,MATCH(BL5,$V$5:$V$86,0)),0))</f>
        <v/>
      </c>
      <c r="BM95">
        <f>IF(BM5="",0,IFERROR(INDEX($W$5:$W$86,MATCH(BM5,$V$5:$V$86,0)),0))</f>
        <v/>
      </c>
      <c r="BN95">
        <f>IF(BN5="",0,IFERROR(INDEX($W$5:$W$86,MATCH(BN5,$V$5:$V$86,0)),0))</f>
        <v/>
      </c>
      <c r="BO95">
        <f>IF(BO5="",0,IFERROR(INDEX($W$5:$W$86,MATCH(BO5,$V$5:$V$86,0)),0))</f>
        <v/>
      </c>
      <c r="BP95">
        <f>IF(BP5="",0,IFERROR(INDEX($W$5:$W$86,MATCH(BP5,$V$5:$V$86,0)),0))</f>
        <v/>
      </c>
      <c r="BQ95">
        <f>IF(BQ5="",0,IFERROR(INDEX($W$5:$W$86,MATCH(BQ5,$V$5:$V$86,0)),0))</f>
        <v/>
      </c>
      <c r="BR95">
        <f>IF(BR5="",0,IFERROR(INDEX($W$5:$W$86,MATCH(BR5,$V$5:$V$86,0)),0))</f>
        <v/>
      </c>
      <c r="BS95">
        <f>IF(BS5="",0,IFERROR(INDEX($W$5:$W$86,MATCH(BS5,$V$5:$V$86,0)),0))</f>
        <v/>
      </c>
      <c r="BT95">
        <f>IF(BT5="",0,IFERROR(INDEX($W$5:$W$86,MATCH(BT5,$V$5:$V$86,0)),0))</f>
        <v/>
      </c>
      <c r="BU95">
        <f>IF(BU5="",0,IFERROR(INDEX($W$5:$W$86,MATCH(BU5,$V$5:$V$86,0)),0))</f>
        <v/>
      </c>
      <c r="BV95">
        <f>IF(BV5="",0,IFERROR(INDEX($W$5:$W$86,MATCH(BV5,$V$5:$V$86,0)),0))</f>
        <v/>
      </c>
      <c r="BW95">
        <f>IF(BW5="",0,IFERROR(INDEX($W$5:$W$86,MATCH(BW5,$V$5:$V$86,0)),0))</f>
        <v/>
      </c>
      <c r="BX95">
        <f>IF(BX5="",0,IFERROR(INDEX($W$5:$W$86,MATCH(BX5,$V$5:$V$86,0)),0))</f>
        <v/>
      </c>
      <c r="BY95">
        <f>IF(BY5="",0,IFERROR(INDEX($W$5:$W$86,MATCH(BY5,$V$5:$V$86,0)),0))</f>
        <v/>
      </c>
      <c r="BZ95">
        <f>IF(BZ5="",0,IFERROR(INDEX($W$5:$W$86,MATCH(BZ5,$V$5:$V$86,0)),0))</f>
        <v/>
      </c>
      <c r="CA95">
        <f>IF(CA5="",0,IFERROR(INDEX($W$5:$W$86,MATCH(CA5,$V$5:$V$86,0)),0))</f>
        <v/>
      </c>
      <c r="CB95">
        <f>IF(CB5="",0,IFERROR(INDEX($W$5:$W$86,MATCH(CB5,$V$5:$V$86,0)),0))</f>
        <v/>
      </c>
      <c r="CC95">
        <f>IF(CC5="",0,IFERROR(INDEX($W$5:$W$86,MATCH(CC5,$V$5:$V$86,0)),0))</f>
        <v/>
      </c>
      <c r="CD95">
        <f>IF(CD5="",0,IFERROR(INDEX($W$5:$W$86,MATCH(CD5,$V$5:$V$86,0)),0))</f>
        <v/>
      </c>
      <c r="CE95">
        <f>IF(CE5="",0,IFERROR(INDEX($W$5:$W$86,MATCH(CE5,$V$5:$V$86,0)),0))</f>
        <v/>
      </c>
      <c r="CF95">
        <f>IF(CF5="",0,IFERROR(INDEX($W$5:$W$86,MATCH(CF5,$V$5:$V$86,0)),0))</f>
        <v/>
      </c>
      <c r="DA95" t="n">
        <v>91</v>
      </c>
      <c r="DB95">
        <f>IF($B$37=0,"",IFERROR(TRIM(SUBSTITUTE(SUBSTITUTE(SUBSTITUTE(SUBSTITUTE(INDEX(PASTE_ALL,91,$B$37)," "," "),CHAR(9)," "),CHAR(10)," "),CHAR(13)," ")),""))</f>
        <v/>
      </c>
      <c r="DC95">
        <f>IF(AND(91&gt;HEADER_ROW,UPPER(DB95)="LEGEND"),1,0)</f>
        <v/>
      </c>
      <c r="DE95" t="n">
        <v>91</v>
      </c>
      <c r="DF95">
        <f>HEADER_ROW+$DE95</f>
        <v/>
      </c>
      <c r="DG95">
        <f>IF(AND($DF95&lt;=1000,$DF95&lt;$B$8),1,0)</f>
        <v/>
      </c>
      <c r="DH95">
        <f>IF($DG95=1,IFERROR(INDEX($DB$5:$DB$1004,$DF95),""),"")</f>
        <v/>
      </c>
      <c r="DI95">
        <f>IF(AND($DG95=1,$DH95&lt;&gt;""),IFERROR(SUBSTITUTE(SUBSTITUTE(TRIM(SUBSTITUTE(SUBSTITUTE(SUBSTITUTE(SUBSTITUTE(IFERROR(INDEX(PASTE_ALL,$DF95,1)&amp;"","")&amp;"␟"&amp;IFERROR(INDEX(PASTE_ALL,$DF95,2)&amp;"","")&amp;"␟"&amp;IFERROR(INDEX(PASTE_ALL,$DF95,3)&amp;"","")&amp;"␟"&amp;IFERROR(INDEX(PASTE_ALL,$DF95,4)&amp;"","")&amp;"␟"&amp;IFERROR(INDEX(PASTE_ALL,$DF95,5)&amp;"","")&amp;"␟"&amp;IFERROR(INDEX(PASTE_ALL,$DF95,6)&amp;"","")&amp;"␟"&amp;IFERROR(INDEX(PASTE_ALL,$DF95,7)&amp;"","")&amp;"␟"&amp;IFERROR(INDEX(PASTE_ALL,$DF95,8)&amp;"","")&amp;"␟"&amp;IFERROR(INDEX(PASTE_ALL,$DF95,9)&amp;"","")&amp;"␟"&amp;IFERROR(INDEX(PASTE_ALL,$DF95,10)&amp;"","")&amp;"␟"&amp;IFERROR(INDEX(PASTE_ALL,$DF95,11)&amp;"","")&amp;"␟"&amp;IFERROR(INDEX(PASTE_ALL,$DF95,12)&amp;"","")&amp;"␟"&amp;IFERROR(INDEX(PASTE_ALL,$DF95,13)&amp;"","")&amp;"␟"&amp;IFERROR(INDEX(PASTE_ALL,$DF95,14)&amp;"","")&amp;"␟"&amp;IFERROR(INDEX(PASTE_ALL,$DF95,15)&amp;"","")&amp;"␟"&amp;IFERROR(INDEX(PASTE_ALL,$DF95,16)&amp;"","")&amp;"␟"&amp;IFERROR(INDEX(PASTE_ALL,$DF95,17)&amp;"","")&amp;"␟"&amp;IFERROR(INDEX(PASTE_ALL,$DF95,18)&amp;"","")&amp;"␟"&amp;IFERROR(INDEX(PASTE_ALL,$DF95,19)&amp;"","")&amp;"␟"&amp;IFERROR(INDEX(PASTE_ALL,$DF95,20)&amp;"","")&amp;"␟"&amp;IFERROR(INDEX(PASTE_ALL,$DF95,21)&amp;"","")&amp;"␟"&amp;IFERROR(INDEX(PASTE_ALL,$DF95,22)&amp;"","")&amp;"␟"&amp;IFERROR(INDEX(PASTE_ALL,$DF95,23)&amp;"","")&amp;"␟"&amp;IFERROR(INDEX(PASTE_ALL,$DF95,24)&amp;"","")&amp;"␟"&amp;IFERROR(INDEX(PASTE_ALL,$DF95,25)&amp;"","")&amp;"␟"&amp;IFERROR(INDEX(PASTE_ALL,$DF95,26)&amp;"","")&amp;"␟"&amp;IFERROR(INDEX(PASTE_ALL,$DF95,27)&amp;"","")&amp;"␟"&amp;IFERROR(INDEX(PASTE_ALL,$DF95,28)&amp;"","")&amp;"␟"&amp;IFERROR(INDEX(PASTE_ALL,$DF95,29)&amp;"","")&amp;"␟"&amp;IFERROR(INDEX(PASTE_ALL,$DF95,30)&amp;"","")&amp;"␟"&amp;IFERROR(INDEX(PASTE_ALL,$DF95,31)&amp;"","")&amp;"␟"&amp;IFERROR(INDEX(PASTE_ALL,$DF95,32)&amp;"","")&amp;"␟"&amp;IFERROR(INDEX(PASTE_ALL,$DF95,33)&amp;"","")&amp;"␟"&amp;IFERROR(INDEX(PASTE_ALL,$DF95,34)&amp;"","")&amp;"␟"&amp;IFERROR(INDEX(PASTE_ALL,$DF95,35)&amp;"","")&amp;"␟"&amp;IFERROR(INDEX(PASTE_ALL,$DF95,36)&amp;"","")&amp;"␟"&amp;IFERROR(INDEX(PASTE_ALL,$DF95,37)&amp;"","")&amp;"␟"&amp;IFERROR(INDEX(PASTE_ALL,$DF95,38)&amp;"","")&amp;"␟"&amp;IFERROR(INDEX(PASTE_ALL,$DF95,39)&amp;"","")&amp;"␟"&amp;IFERROR(INDEX(PASTE_ALL,$DF95,40)&amp;"","")&amp;"␟"&amp;IFERROR(INDEX(PASTE_ALL,$DF95,41)&amp;"","")&amp;"␟"&amp;IFERROR(INDEX(PASTE_ALL,$DF95,42)&amp;"","")&amp;"␟"&amp;IFERROR(INDEX(PASTE_ALL,$DF95,43)&amp;"","")&amp;"␟"&amp;IFERROR(INDEX(PASTE_ALL,$DF95,44)&amp;"","")&amp;"␟"&amp;IFERROR(INDEX(PASTE_ALL,$DF95,45)&amp;"","")&amp;"␟"&amp;IFERROR(INDEX(PASTE_ALL,$DF95,46)&amp;"","")&amp;"␟"&amp;IFERROR(INDEX(PASTE_ALL,$DF95,47)&amp;"","")&amp;"␟"&amp;IFERROR(INDEX(PASTE_ALL,$DF95,48)&amp;"","")&amp;"␟"&amp;IFERROR(INDEX(PASTE_ALL,$DF95,49)&amp;"","")&amp;"␟"&amp;IFERROR(INDEX(PASTE_ALL,$DF95,50)&amp;"","")&amp;"␟"&amp;IFERROR(INDEX(PASTE_ALL,$DF95,51)&amp;"","")&amp;"␟"&amp;IFERROR(INDEX(PASTE_ALL,$DF95,52)&amp;"","")&amp;"␟"&amp;IFERROR(INDEX(PASTE_ALL,$DF95,53)&amp;"","")&amp;"␟"&amp;IFERROR(INDEX(PASTE_ALL,$DF95,54)&amp;"","")&amp;"␟"&amp;IFERROR(INDEX(PASTE_ALL,$DF95,55)&amp;"","")&amp;"␟"&amp;IFERROR(INDEX(PASTE_ALL,$DF95,56)&amp;"","")&amp;"␟"&amp;IFERROR(INDEX(PASTE_ALL,$DF95,57)&amp;"","")&amp;"␟"&amp;IFERROR(INDEX(PASTE_ALL,$DF95,58)&amp;"","")&amp;"␟"&amp;IFERROR(INDEX(PASTE_ALL,$DF95,59)&amp;"","")&amp;"␟"&amp;IFERROR(INDEX(PASTE_ALL,$DF95,60)&amp;"","")," "," "),CHAR(9)," "),CHAR(10)," "),CHAR(13)," "))," ␟","␟"),"␟ ","␟"),"#"&amp;$DE95),"")</f>
        <v/>
      </c>
      <c r="DJ95">
        <f>IF($DI95="",0,IF(SUMPRODUCT(--EXACT($DI$4:DI94,$DI95))&gt;0,1,0))</f>
        <v/>
      </c>
      <c r="DK95">
        <f>IF(AND($DI95&lt;&gt;"",$DJ95=0),1,0)</f>
        <v/>
      </c>
      <c r="DL95">
        <f>DL94+$DK95</f>
        <v/>
      </c>
      <c r="DM95">
        <f>IF(AND($DK95=1,$DL95&lt;=600),1,0)</f>
        <v/>
      </c>
      <c r="DN95">
        <f>IF($DM95=0,"",IF($L$6=0,"",IFERROR(IF(ISNUMBER(INDEX(PASTE_ALL,$DF95,$L$6)),INDEX(PASTE_ALL,$DF95,$L$6),TRIM(SUBSTITUTE(SUBSTITUTE(SUBSTITUTE(SUBSTITUTE(INDEX(PASTE_ALL,$DF95,$L$6)," "," "),CHAR(9)," "),CHAR(10)," "),CHAR(13)," "))),"")))</f>
        <v/>
      </c>
      <c r="DO95">
        <f>IF($DM95=0,"",IF($L$7=0,"",IFERROR(IF(ISNUMBER(INDEX(PASTE_ALL,$DF95,$L$7)),INDEX(PASTE_ALL,$DF95,$L$7),TRIM(SUBSTITUTE(SUBSTITUTE(SUBSTITUTE(SUBSTITUTE(INDEX(PASTE_ALL,$DF95,$L$7)," "," "),CHAR(9)," "),CHAR(10)," "),CHAR(13)," "))),"")))</f>
        <v/>
      </c>
      <c r="DP95">
        <f>IF($DM95=0,"",IF($L$8=0,"",IFERROR(IF(ISNUMBER(INDEX(PASTE_ALL,$DF95,$L$8)),INDEX(PASTE_ALL,$DF95,$L$8),TRIM(SUBSTITUTE(SUBSTITUTE(SUBSTITUTE(SUBSTITUTE(INDEX(PASTE_ALL,$DF95,$L$8)," "," "),CHAR(9)," "),CHAR(10)," "),CHAR(13)," "))),"")))</f>
        <v/>
      </c>
      <c r="DQ95">
        <f>IF($DM95=0,"",IF($L$9=0,"",IFERROR(IF(ISNUMBER(INDEX(PASTE_ALL,$DF95,$L$9)),INDEX(PASTE_ALL,$DF95,$L$9),TRIM(SUBSTITUTE(SUBSTITUTE(SUBSTITUTE(SUBSTITUTE(INDEX(PASTE_ALL,$DF95,$L$9)," "," "),CHAR(9)," "),CHAR(10)," "),CHAR(13)," "))),"")))</f>
        <v/>
      </c>
      <c r="DR95">
        <f>IF($DM95=0,"",IF($L$10=0,"",IFERROR(IF(ISNUMBER(INDEX(PASTE_ALL,$DF95,$L$10)),INDEX(PASTE_ALL,$DF95,$L$10),TRIM(SUBSTITUTE(SUBSTITUTE(SUBSTITUTE(SUBSTITUTE(INDEX(PASTE_ALL,$DF95,$L$10)," "," "),CHAR(9)," "),CHAR(10)," "),CHAR(13)," "))),"")))</f>
        <v/>
      </c>
      <c r="DS95">
        <f>IF($DM95=0,"",IF($L$11=0,"",IFERROR(IF(ISNUMBER(INDEX(PASTE_ALL,$DF95,$L$11)),INDEX(PASTE_ALL,$DF95,$L$11),TRIM(SUBSTITUTE(SUBSTITUTE(SUBSTITUTE(SUBSTITUTE(INDEX(PASTE_ALL,$DF95,$L$11)," "," "),CHAR(9)," "),CHAR(10)," "),CHAR(13)," "))),"")))</f>
        <v/>
      </c>
      <c r="DT95">
        <f>IF($DM95=0,"",IF($L$12=0,"",IFERROR(IF(ISNUMBER(INDEX(PASTE_ALL,$DF95,$L$12)),INDEX(PASTE_ALL,$DF95,$L$12),TRIM(SUBSTITUTE(SUBSTITUTE(SUBSTITUTE(SUBSTITUTE(INDEX(PASTE_ALL,$DF95,$L$12)," "," "),CHAR(9)," "),CHAR(10)," "),CHAR(13)," "))),"")))</f>
        <v/>
      </c>
      <c r="DU95">
        <f>IF($DM95=0,"",IF($L$13=0,"",IFERROR(IF(ISNUMBER(INDEX(PASTE_ALL,$DF95,$L$13)),INDEX(PASTE_ALL,$DF95,$L$13),TRIM(SUBSTITUTE(SUBSTITUTE(SUBSTITUTE(SUBSTITUTE(INDEX(PASTE_ALL,$DF95,$L$13)," "," "),CHAR(9)," "),CHAR(10)," "),CHAR(13)," "))),"")))</f>
        <v/>
      </c>
      <c r="DV95">
        <f>IF($DM95=0,"",IF($L$14=0,"",IFERROR(IF(ISNUMBER(INDEX(PASTE_ALL,$DF95,$L$14)),INDEX(PASTE_ALL,$DF95,$L$14),TRIM(SUBSTITUTE(SUBSTITUTE(SUBSTITUTE(SUBSTITUTE(INDEX(PASTE_ALL,$DF95,$L$14)," "," "),CHAR(9)," "),CHAR(10)," "),CHAR(13)," "))),"")))</f>
        <v/>
      </c>
      <c r="DW95">
        <f>IF($DM95=0,"",IF($L$15=0,"",IFERROR(IF(ISNUMBER(INDEX(PASTE_ALL,$DF95,$L$15)),INDEX(PASTE_ALL,$DF95,$L$15),IF(SUMPRODUCT(--ISNUMBER(FIND({"A","B","C","D","E","F","G","H","I","J","K","L","M","N","O","P","Q","R","S","T","U","V","W","X","Y","Z","0","1","2","3","4","5","6","7","8","9"},UPPER(TRIM(SUBSTITUTE(SUBSTITUTE(SUBSTITUTE(SUBSTITUTE(INDEX(PASTE_ALL,$DF95,$L$15)," "," "),CHAR(9)," "),CHAR(10)," "),CHAR(13)," "))))))&gt;0,TRIM(SUBSTITUTE(SUBSTITUTE(SUBSTITUTE(SUBSTITUTE(INDEX(PASTE_ALL,$DF95,$L$15)," "," "),CHAR(9)," "),CHAR(10)," "),CHAR(13)," ")),"")),"")))</f>
        <v/>
      </c>
      <c r="DX95">
        <f>IF($DM95=0,"",IF($L$16=0,"",IFERROR(IF(ISNUMBER(INDEX(PASTE_ALL,$DF95,$L$16)),INDEX(PASTE_ALL,$DF95,$L$16),SUBSTITUTE(SUBSTITUTE(TRIM(SUBSTITUTE(SUBSTITUTE(SUBSTITUTE(SUBSTITUTE(INDEX(PASTE_ALL,$DF95,$L$16)," "," "),CHAR(9)," "),CHAR(10)," "),CHAR(13)," ")),",",""),"%","")),"")))</f>
        <v/>
      </c>
      <c r="DY95">
        <f>IF($DM95=0,"",IFERROR(IF(ISNUMBER($DX95),$DX95,IF($DX95="","",IF(TRIM($DX95)="",0,IF(AND(AND(SUBSTITUTE(SUBSTITUTE(SUBSTITUTE(SUBSTITUTE(SUBSTITUTE(SUBSTITUTE(SUBSTITUTE(SUBSTITUTE(SUBSTITUTE(SUBSTITUTE(SUBSTITUTE(SUBSTITUTE(SUBSTITUTE(SUBSTITUTE(UPPER(TRIM($DX95)),"0",""),"1",""),"2",""),"3",""),"4",""),"5",""),"6",""),"7",""),"8",""),"9",""),".",""),"+",""),"-",""),"E","")="",LEN(SUBSTITUTE(SUBSTITUTE(MID(UPPER(TRIM($DX95)),1+OR(LEFT(UPPER(TRIM($DX95)),1)="+",LEFT(UPPER(TRIM($DX95)),1)="-"),999),"E+","E"),"E-","E"))=LEN(SUBSTITUTE(SUBSTITUTE(SUBSTITUTE(SUBSTITUTE(MID(UPPER(TRIM($DX95)),1+OR(LEFT(UPPER(TRIM($DX95)),1)="+",LEFT(UPPER(TRIM($DX95)),1)="-"),999),"E+","E"),"E-","E"),"+",""),"-","")),LEN(UPPER(TRIM($DX95)))-LEN(SUBSTITUTE(UPPER(TRIM($DX95)),"E",""))&lt;2,LEN(UPPER(TRIM($DX95)))-LEN(SUBSTITUTE(UPPER(TRIM($DX95)),".",""))&lt;2,IFERROR(FIND(".",UPPER(TRIM($DX95))),0)&lt;IFERROR(FIND("E",UPPER(TRIM($DX95))),999)),ISNUMBER(VALUE(TRIM($DX95)))),VALUE(TRIM($DX95)),"")))),""))</f>
        <v/>
      </c>
      <c r="DZ95">
        <f>IF($DM95=0,"",IF($L$17=0,"",IFERROR(IF(ISNUMBER(INDEX(PASTE_ALL,$DF95,$L$17)),INDEX(PASTE_ALL,$DF95,$L$17),SUBSTITUTE(SUBSTITUTE(TRIM(SUBSTITUTE(SUBSTITUTE(SUBSTITUTE(SUBSTITUTE(INDEX(PASTE_ALL,$DF95,$L$17)," "," "),CHAR(9)," "),CHAR(10)," "),CHAR(13)," ")),",",""),"%","")),"")))</f>
        <v/>
      </c>
      <c r="EA95">
        <f>IF($DM95=0,"",IFERROR(IF(ISNUMBER($DZ95),$DZ95,IF($DZ95="","",IF(TRIM($DZ95)="",0,IF(AND(AND(SUBSTITUTE(SUBSTITUTE(SUBSTITUTE(SUBSTITUTE(SUBSTITUTE(SUBSTITUTE(SUBSTITUTE(SUBSTITUTE(SUBSTITUTE(SUBSTITUTE(SUBSTITUTE(SUBSTITUTE(SUBSTITUTE(SUBSTITUTE(UPPER(TRIM($DZ95)),"0",""),"1",""),"2",""),"3",""),"4",""),"5",""),"6",""),"7",""),"8",""),"9",""),".",""),"+",""),"-",""),"E","")="",LEN(SUBSTITUTE(SUBSTITUTE(MID(UPPER(TRIM($DZ95)),1+OR(LEFT(UPPER(TRIM($DZ95)),1)="+",LEFT(UPPER(TRIM($DZ95)),1)="-"),999),"E+","E"),"E-","E"))=LEN(SUBSTITUTE(SUBSTITUTE(SUBSTITUTE(SUBSTITUTE(MID(UPPER(TRIM($DZ95)),1+OR(LEFT(UPPER(TRIM($DZ95)),1)="+",LEFT(UPPER(TRIM($DZ95)),1)="-"),999),"E+","E"),"E-","E"),"+",""),"-","")),LEN(UPPER(TRIM($DZ95)))-LEN(SUBSTITUTE(UPPER(TRIM($DZ95)),"E",""))&lt;2,LEN(UPPER(TRIM($DZ95)))-LEN(SUBSTITUTE(UPPER(TRIM($DZ95)),".",""))&lt;2,IFERROR(FIND(".",UPPER(TRIM($DZ95))),0)&lt;IFERROR(FIND("E",UPPER(TRIM($DZ95))),999)),ISNUMBER(VALUE(TRIM($DZ95)))),VALUE(TRIM($DZ95)),"")))),""))</f>
        <v/>
      </c>
      <c r="EB95">
        <f>IF($DM95=0,"",IF($L$18=0,"",IFERROR(IF(UPPER(TRIM(SUBSTITUTE(SUBSTITUTE(SUBSTITUTE(SUBSTITUTE(INDEX(PASTE_ALL,$DF95,$L$18)," "," "),CHAR(9)," "),CHAR(10)," "),CHAR(13)," ")))="READY","Ready",IF(UPPER(TRIM(SUBSTITUTE(SUBSTITUTE(SUBSTITUTE(SUBSTITUTE(INDEX(PASTE_ALL,$DF95,$L$18)," "," "),CHAR(9)," "),CHAR(10)," "),CHAR(13)," ")))="PM","PM",IF(OR(UPPER(TRIM(SUBSTITUTE(SUBSTITUTE(SUBSTITUTE(SUBSTITUTE(INDEX(PASTE_ALL,$DF95,$L$18)," "," "),CHAR(9)," "),CHAR(10)," "),CHAR(13)," ")))="OT",UPPER(TRIM(SUBSTITUTE(SUBSTITUTE(SUBSTITUTE(SUBSTITUTE(INDEX(PASTE_ALL,$DF95,$L$18)," "," "),CHAR(9)," "),CHAR(10)," "),CHAR(13)," ")))="OVERTIME",UPPER(TRIM(SUBSTITUTE(SUBSTITUTE(SUBSTITUTE(SUBSTITUTE(INDEX(PASTE_ALL,$DF95,$L$18)," "," "),CHAR(9)," "),CHAR(10)," "),CHAR(13)," ")))="TRIAL"),"OT",TRIM(SUBSTITUTE(SUBSTITUTE(SUBSTITUTE(SUBSTITUTE(INDEX(PASTE_ALL,$DF95,$L$18)," "," "),CHAR(9)," "),CHAR(10)," "),CHAR(13)," "))))),"")))</f>
        <v/>
      </c>
      <c r="EC95">
        <f>IF($DM95=0,"",IF($L$19=0,"",IFERROR(IF(ISNUMBER(INDEX(PASTE_ALL,$DF95,$L$19)),INDEX(PASTE_ALL,$DF95,$L$19),TRIM(SUBSTITUTE(SUBSTITUTE(SUBSTITUTE(SUBSTITUTE(INDEX(PASTE_ALL,$DF95,$L$19)," "," "),CHAR(9)," "),CHAR(10)," "),CHAR(13)," "))),"")))</f>
        <v/>
      </c>
      <c r="ED95">
        <f>IF($DM95=0,"",MATCH(1,INDEX(EXACT($DH$5:DH95,$DH95)*$DM$5:DM95,0),0))</f>
        <v/>
      </c>
      <c r="EE95">
        <f>IF($DM95=0,0,IF($ED95=$DE95,1,0))</f>
        <v/>
      </c>
      <c r="EF95">
        <f>EF94+$EE95</f>
        <v/>
      </c>
      <c r="EG95">
        <f>IF($DM95=0,"",INDEX($EF$5:$EF$1003,$ED95))</f>
        <v/>
      </c>
      <c r="EH95">
        <f>IF($DM95=0,"",IF($DO95&lt;&gt;"","",IFERROR(LOOKUP(2,1/(($EG$4:EG94=$EG95)*($DO$4:DO94&lt;&gt;"")),$DO$4:DO94),"")))</f>
        <v/>
      </c>
      <c r="EI95">
        <f>IF($DM95=0,"",IF($DO95&lt;&gt;"",$DO95,$EH95))</f>
        <v/>
      </c>
      <c r="EJ95">
        <f>IF($DM95=0,"",IF($EI95="",0,IF(OR(ISNUMBER($EI95),AND(AND(SUBSTITUTE(SUBSTITUTE(SUBSTITUTE(SUBSTITUTE(SUBSTITUTE(SUBSTITUTE(SUBSTITUTE(SUBSTITUTE(SUBSTITUTE(SUBSTITUTE(SUBSTITUTE(SUBSTITUTE(SUBSTITUTE(SUBSTITUTE(UPPER($EI95),"0",""),"1",""),"2",""),"3",""),"4",""),"5",""),"6",""),"7",""),"8",""),"9",""),".",""),"+",""),"-",""),"E","")="",LEN(SUBSTITUTE(SUBSTITUTE(MID(UPPER($EI95),1+OR(LEFT(UPPER($EI95),1)="+",LEFT(UPPER($EI95),1)="-"),999),"E+","E"),"E-","E"))=LEN(SUBSTITUTE(SUBSTITUTE(SUBSTITUTE(SUBSTITUTE(MID(UPPER($EI95),1+OR(LEFT(UPPER($EI95),1)="+",LEFT(UPPER($EI95),1)="-"),999),"E+","E"),"E-","E"),"+",""),"-","")),LEN(UPPER($EI95))-LEN(SUBSTITUTE(UPPER($EI95),"E",""))&lt;2,LEN(UPPER($EI95))-LEN(SUBSTITUTE(UPPER($EI95),".",""))&lt;2,IFERROR(FIND(".",UPPER($EI95)),0)&lt;IFERROR(FIND("E",UPPER($EI95)),999)),ISNUMBER(VALUE($EI95)))),1,2)))</f>
        <v/>
      </c>
      <c r="EK95">
        <f>IF($DM95=0,"",IF($EJ95=1,IF(ISNUMBER($EI95),$EI95,VALUE($EI95)),IF($EJ95=2,$DE95,0)))</f>
        <v/>
      </c>
      <c r="EL95">
        <f>IF($DM95=0,"",COUNTIF($EG$5:$EG$1003,"&lt;"&amp;$EG95)+SUMPRODUCT(($EG$5:$EG$1003=$EG95)*(($EJ$5:$EJ$1003&lt;$EJ95)+($EJ$5:$EJ$1003=$EJ95)*(($EK$5:$EK$1003&lt;$EK95)+($EK$5:$EK$1003=$EK95)*($DE$5:$DE$1003&lt;$DE95))))+1)</f>
        <v/>
      </c>
      <c r="EM95">
        <f>IF($DM95=0,"",$EL95+$EG95-1)</f>
        <v/>
      </c>
      <c r="EN95">
        <f>IF($DM95=0,0,IFERROR(MATCH(1,INDEX(--(TRIM(SUBSTITUTE(SUBSTITUTE(SUBSTITUTE(SUBSTITUTE(LINES_NAME&amp;""," "," "),CHAR(9)," "),CHAR(10)," "),CHAR(13)," "))=$DH95),0),0),0))</f>
        <v/>
      </c>
      <c r="EO95">
        <f>IF($EN95=0,0,IF(OR(UPPER(TRIM(INDEX(LINES_SCHEDULED,$EN95)&amp;""))="YES",UPPER(TRIM(INDEX(LINES_SCHEDULED,$EN95)&amp;""))="Y",UPPER(TRIM(INDEX(LINES_SCHEDULED,$EN95)&amp;""))="X"),1,0))</f>
        <v/>
      </c>
      <c r="EP95">
        <f>IF($DM95=0,"",IF(COUNTIFS($EG$5:$EG$1003,$EG95,$EB$5:$EB$1003,"Ready")&gt;0,"READY",IF(COUNTIFS($EG$5:$EG$1003,$EG95,$EB$5:$EB$1003,"PM")&gt;0,"PM",IF(COUNTIFS($EG$5:$EG$1003,$EG95,$EB$5:$EB$1003,"OT")&gt;0,"OT",""))))</f>
        <v/>
      </c>
      <c r="EQ95">
        <f>IF($EN95=0,"",UPPER(TRIM(INDEX(LINES_STATUS,$EN95)&amp;"")))</f>
        <v/>
      </c>
      <c r="ER95">
        <f>IF($DM95=0,"",IF(OR($EQ95="READY",$EQ95="PM",$EQ95="OT"),$EQ95,$EP95))</f>
        <v/>
      </c>
      <c r="ES95">
        <f>IF($DM95=0,"",IF(AND($DV95&lt;&gt;"",UPPER($DV95)&lt;&gt;"N"),"allergen",IF(ISNUMBER(SEARCH("oil",$DQ95)),"oil",IF(OR(EXACT($DS95,"A662"),EXACT($DS95,"A624")),"bulk",""))))</f>
        <v/>
      </c>
      <c r="ET95">
        <f>IF($DM95=0,"",IF(OR($EA95="",$EA95=0),"",$EA95/100))</f>
        <v/>
      </c>
      <c r="EU95">
        <f>IF(OR($ET95="",$DY95=""),"",INT($DY95*(1-$ET95)+0.5))</f>
        <v/>
      </c>
      <c r="EW95" t="n">
        <v>91</v>
      </c>
      <c r="EX95">
        <f>IFERROR(MATCH($EW95,$EM$5:$EM$1003,0),0)</f>
        <v/>
      </c>
      <c r="EY95">
        <f>IF($EW95&gt;$B$12,"",IF($EX95&gt;0,"row","spacer"))</f>
        <v/>
      </c>
      <c r="EZ95">
        <f>IF(AND($EY95="row",$EY94&lt;&gt;"row"),1,0)</f>
        <v/>
      </c>
      <c r="FA95">
        <f>IF(AND($EY95="row",$EY96&lt;&gt;"row"),1,0)</f>
        <v/>
      </c>
      <c r="FB95">
        <f>IF($EZ95=1,IFERROR(IF(ISNUMBER(INDEX(PASTE_ALL,INDEX($DF$5:$DF$1003,$EX95),$B$37)),INDEX(PASTE_ALL,INDEX($DF$5:$DF$1003,$EX95),$B$37),INDEX($DH$5:$DH$1003,$EX95)),INDEX($DH$5:$DH$1003,$EX95)),"")</f>
        <v/>
      </c>
      <c r="FC95">
        <f>IF($EY95="row",INDEX($ER$5:$ER$1003,$EX95),"")</f>
        <v/>
      </c>
      <c r="FD95">
        <f>IF($EY95="row",INDEX($DN$5:$DN$1003,$EX95),"")</f>
        <v/>
      </c>
      <c r="FE95">
        <f>IF($EY95="row",INDEX($DO$5:$DO$1003,$EX95),"")</f>
        <v/>
      </c>
      <c r="FF95">
        <f>IF($EY95="row",INDEX($DP$5:$DP$1003,$EX95),"")</f>
        <v/>
      </c>
      <c r="FG95">
        <f>IF($EY95="row",INDEX($DQ$5:$DQ$1003,$EX95),"")</f>
        <v/>
      </c>
      <c r="FH95">
        <f>IF($EY95="row",INDEX($DR$5:$DR$1003,$EX95),"")</f>
        <v/>
      </c>
      <c r="FI95">
        <f>IF($EY95="row",INDEX($DS$5:$DS$1003,$EX95),"")</f>
        <v/>
      </c>
      <c r="FJ95">
        <f>IF($EY95="row",INDEX($DT$5:$DT$1003,$EX95),"")</f>
        <v/>
      </c>
      <c r="FK95">
        <f>IF($EY95="row",INDEX($DU$5:$DU$1003,$EX95),"")</f>
        <v/>
      </c>
      <c r="FL95">
        <f>IF($EY95="row",INDEX($DV$5:$DV$1003,$EX95),"")</f>
        <v/>
      </c>
      <c r="FM95">
        <f>IF($EY95="row",INDEX($DW$5:$DW$1003,$EX95),"")</f>
        <v/>
      </c>
      <c r="FN95">
        <f>IF($EY95="row",INDEX($DY$5:$DY$1003,$EX95),"")</f>
        <v/>
      </c>
      <c r="FO95">
        <f>IF($EY95="row",INDEX($EA$5:$EA$1003,$EX95),"")</f>
        <v/>
      </c>
      <c r="FP95">
        <f>IF($EY95="row",INDEX($EC$5:$EC$1003,$EX95),"")</f>
        <v/>
      </c>
      <c r="FQ95">
        <f>IF($EY95="row",INDEX($ET$5:$ET$1003,$EX95),"")</f>
        <v/>
      </c>
      <c r="FR95">
        <f>IF($EY95="row",INDEX($EU$5:$EU$1003,$EX95),"")</f>
        <v/>
      </c>
      <c r="FS95">
        <f>IF(AND($EY95="row",$EY94="row"),IF(OR(INDEX($DT$5:$DT$1003,$EX94)="",INDEX($DT$5:$DT$1003,$EX95)=""),"",IF(NOT(EXACT(INDEX($DT$5:$DT$1003,$EX94),INDEX($DT$5:$DT$1003,$EX95))),"S4",IF(NOT(EXACT(INDEX($DS$5:$DS$1003,$EX94),INDEX($DS$5:$DS$1003,$EX95))),"S3",IF(NOT(EXACT(INDEX($DR$5:$DR$1003,$EX94),INDEX($DR$5:$DR$1003,$EX95))),"S1 Count Change","S1")))),"")</f>
        <v/>
      </c>
      <c r="FT95">
        <f>IF($EY95="row",INDEX($ES$5:$ES$1003,$EX95),"")</f>
        <v/>
      </c>
      <c r="FU95">
        <f>IF($EY95="row",INDEX($EO$5:$EO$1003,$EX95),0)</f>
        <v/>
      </c>
      <c r="FV95">
        <f>IF($FS95="S1 Count Change",1,0)</f>
        <v/>
      </c>
      <c r="FX95" t="n">
        <v>91</v>
      </c>
      <c r="FY95">
        <f>IFERROR(MATCH($FX95,$EF$5:$EF$1003,0),0)</f>
        <v/>
      </c>
      <c r="FZ95">
        <f>IF($FY95=0,"",INDEX($DH$5:$DH$1003,$FY95))</f>
        <v/>
      </c>
      <c r="GA95">
        <f>IF($FY95=0,"",COUNTIF($EG$5:$EG$1003,$FX95))</f>
        <v/>
      </c>
      <c r="GB95">
        <f>IF($FY95=0,"",INDEX($ER$5:$ER$1003,$FY95))</f>
        <v/>
      </c>
      <c r="GC95">
        <f>IF($FY95=0,"",IF(INDEX($EO$5:$EO$1003,$FY95)=1,"Yes",""))</f>
        <v/>
      </c>
      <c r="GD95">
        <f>IF($FY95=0,"",IF(INDEX($EN$5:$EN$1003,$FY95)&gt;0,"","NOT IN YOUR LIST - type it in column A to tick it"))</f>
        <v/>
      </c>
      <c r="GE95">
        <f>IF(AND($FY95&gt;0,$GD95&lt;&gt;""),1,0)</f>
        <v/>
      </c>
      <c r="GF95">
        <f>GF94+$GE95</f>
        <v/>
      </c>
      <c r="GG95">
        <f>IFERROR(INDEX($FZ$5:$FZ$104,MATCH($FX95,$GF$5:$GF$104,0)),"")</f>
        <v/>
      </c>
    </row>
    <row r="96">
      <c r="Y96">
        <f>IF(Y6="",0,IFERROR(INDEX($W$5:$W$86,MATCH(Y6,$V$5:$V$86,0)),0))</f>
        <v/>
      </c>
      <c r="Z96">
        <f>IF(Z6="",0,IFERROR(INDEX($W$5:$W$86,MATCH(Z6,$V$5:$V$86,0)),0))</f>
        <v/>
      </c>
      <c r="AA96">
        <f>IF(AA6="",0,IFERROR(INDEX($W$5:$W$86,MATCH(AA6,$V$5:$V$86,0)),0))</f>
        <v/>
      </c>
      <c r="AB96">
        <f>IF(AB6="",0,IFERROR(INDEX($W$5:$W$86,MATCH(AB6,$V$5:$V$86,0)),0))</f>
        <v/>
      </c>
      <c r="AC96">
        <f>IF(AC6="",0,IFERROR(INDEX($W$5:$W$86,MATCH(AC6,$V$5:$V$86,0)),0))</f>
        <v/>
      </c>
      <c r="AD96">
        <f>IF(AD6="",0,IFERROR(INDEX($W$5:$W$86,MATCH(AD6,$V$5:$V$86,0)),0))</f>
        <v/>
      </c>
      <c r="AE96">
        <f>IF(AE6="",0,IFERROR(INDEX($W$5:$W$86,MATCH(AE6,$V$5:$V$86,0)),0))</f>
        <v/>
      </c>
      <c r="AF96">
        <f>IF(AF6="",0,IFERROR(INDEX($W$5:$W$86,MATCH(AF6,$V$5:$V$86,0)),0))</f>
        <v/>
      </c>
      <c r="AG96">
        <f>IF(AG6="",0,IFERROR(INDEX($W$5:$W$86,MATCH(AG6,$V$5:$V$86,0)),0))</f>
        <v/>
      </c>
      <c r="AH96">
        <f>IF(AH6="",0,IFERROR(INDEX($W$5:$W$86,MATCH(AH6,$V$5:$V$86,0)),0))</f>
        <v/>
      </c>
      <c r="AI96">
        <f>IF(AI6="",0,IFERROR(INDEX($W$5:$W$86,MATCH(AI6,$V$5:$V$86,0)),0))</f>
        <v/>
      </c>
      <c r="AJ96">
        <f>IF(AJ6="",0,IFERROR(INDEX($W$5:$W$86,MATCH(AJ6,$V$5:$V$86,0)),0))</f>
        <v/>
      </c>
      <c r="AK96">
        <f>IF(AK6="",0,IFERROR(INDEX($W$5:$W$86,MATCH(AK6,$V$5:$V$86,0)),0))</f>
        <v/>
      </c>
      <c r="AL96">
        <f>IF(AL6="",0,IFERROR(INDEX($W$5:$W$86,MATCH(AL6,$V$5:$V$86,0)),0))</f>
        <v/>
      </c>
      <c r="AM96">
        <f>IF(AM6="",0,IFERROR(INDEX($W$5:$W$86,MATCH(AM6,$V$5:$V$86,0)),0))</f>
        <v/>
      </c>
      <c r="AN96">
        <f>IF(AN6="",0,IFERROR(INDEX($W$5:$W$86,MATCH(AN6,$V$5:$V$86,0)),0))</f>
        <v/>
      </c>
      <c r="AO96">
        <f>IF(AO6="",0,IFERROR(INDEX($W$5:$W$86,MATCH(AO6,$V$5:$V$86,0)),0))</f>
        <v/>
      </c>
      <c r="AP96">
        <f>IF(AP6="",0,IFERROR(INDEX($W$5:$W$86,MATCH(AP6,$V$5:$V$86,0)),0))</f>
        <v/>
      </c>
      <c r="AQ96">
        <f>IF(AQ6="",0,IFERROR(INDEX($W$5:$W$86,MATCH(AQ6,$V$5:$V$86,0)),0))</f>
        <v/>
      </c>
      <c r="AR96">
        <f>IF(AR6="",0,IFERROR(INDEX($W$5:$W$86,MATCH(AR6,$V$5:$V$86,0)),0))</f>
        <v/>
      </c>
      <c r="AS96">
        <f>IF(AS6="",0,IFERROR(INDEX($W$5:$W$86,MATCH(AS6,$V$5:$V$86,0)),0))</f>
        <v/>
      </c>
      <c r="AT96">
        <f>IF(AT6="",0,IFERROR(INDEX($W$5:$W$86,MATCH(AT6,$V$5:$V$86,0)),0))</f>
        <v/>
      </c>
      <c r="AU96">
        <f>IF(AU6="",0,IFERROR(INDEX($W$5:$W$86,MATCH(AU6,$V$5:$V$86,0)),0))</f>
        <v/>
      </c>
      <c r="AV96">
        <f>IF(AV6="",0,IFERROR(INDEX($W$5:$W$86,MATCH(AV6,$V$5:$V$86,0)),0))</f>
        <v/>
      </c>
      <c r="AW96">
        <f>IF(AW6="",0,IFERROR(INDEX($W$5:$W$86,MATCH(AW6,$V$5:$V$86,0)),0))</f>
        <v/>
      </c>
      <c r="AX96">
        <f>IF(AX6="",0,IFERROR(INDEX($W$5:$W$86,MATCH(AX6,$V$5:$V$86,0)),0))</f>
        <v/>
      </c>
      <c r="AY96">
        <f>IF(AY6="",0,IFERROR(INDEX($W$5:$W$86,MATCH(AY6,$V$5:$V$86,0)),0))</f>
        <v/>
      </c>
      <c r="AZ96">
        <f>IF(AZ6="",0,IFERROR(INDEX($W$5:$W$86,MATCH(AZ6,$V$5:$V$86,0)),0))</f>
        <v/>
      </c>
      <c r="BA96">
        <f>IF(BA6="",0,IFERROR(INDEX($W$5:$W$86,MATCH(BA6,$V$5:$V$86,0)),0))</f>
        <v/>
      </c>
      <c r="BB96">
        <f>IF(BB6="",0,IFERROR(INDEX($W$5:$W$86,MATCH(BB6,$V$5:$V$86,0)),0))</f>
        <v/>
      </c>
      <c r="BC96">
        <f>IF(BC6="",0,IFERROR(INDEX($W$5:$W$86,MATCH(BC6,$V$5:$V$86,0)),0))</f>
        <v/>
      </c>
      <c r="BD96">
        <f>IF(BD6="",0,IFERROR(INDEX($W$5:$W$86,MATCH(BD6,$V$5:$V$86,0)),0))</f>
        <v/>
      </c>
      <c r="BE96">
        <f>IF(BE6="",0,IFERROR(INDEX($W$5:$W$86,MATCH(BE6,$V$5:$V$86,0)),0))</f>
        <v/>
      </c>
      <c r="BF96">
        <f>IF(BF6="",0,IFERROR(INDEX($W$5:$W$86,MATCH(BF6,$V$5:$V$86,0)),0))</f>
        <v/>
      </c>
      <c r="BG96">
        <f>IF(BG6="",0,IFERROR(INDEX($W$5:$W$86,MATCH(BG6,$V$5:$V$86,0)),0))</f>
        <v/>
      </c>
      <c r="BH96">
        <f>IF(BH6="",0,IFERROR(INDEX($W$5:$W$86,MATCH(BH6,$V$5:$V$86,0)),0))</f>
        <v/>
      </c>
      <c r="BI96">
        <f>IF(BI6="",0,IFERROR(INDEX($W$5:$W$86,MATCH(BI6,$V$5:$V$86,0)),0))</f>
        <v/>
      </c>
      <c r="BJ96">
        <f>IF(BJ6="",0,IFERROR(INDEX($W$5:$W$86,MATCH(BJ6,$V$5:$V$86,0)),0))</f>
        <v/>
      </c>
      <c r="BK96">
        <f>IF(BK6="",0,IFERROR(INDEX($W$5:$W$86,MATCH(BK6,$V$5:$V$86,0)),0))</f>
        <v/>
      </c>
      <c r="BL96">
        <f>IF(BL6="",0,IFERROR(INDEX($W$5:$W$86,MATCH(BL6,$V$5:$V$86,0)),0))</f>
        <v/>
      </c>
      <c r="BM96">
        <f>IF(BM6="",0,IFERROR(INDEX($W$5:$W$86,MATCH(BM6,$V$5:$V$86,0)),0))</f>
        <v/>
      </c>
      <c r="BN96">
        <f>IF(BN6="",0,IFERROR(INDEX($W$5:$W$86,MATCH(BN6,$V$5:$V$86,0)),0))</f>
        <v/>
      </c>
      <c r="BO96">
        <f>IF(BO6="",0,IFERROR(INDEX($W$5:$W$86,MATCH(BO6,$V$5:$V$86,0)),0))</f>
        <v/>
      </c>
      <c r="BP96">
        <f>IF(BP6="",0,IFERROR(INDEX($W$5:$W$86,MATCH(BP6,$V$5:$V$86,0)),0))</f>
        <v/>
      </c>
      <c r="BQ96">
        <f>IF(BQ6="",0,IFERROR(INDEX($W$5:$W$86,MATCH(BQ6,$V$5:$V$86,0)),0))</f>
        <v/>
      </c>
      <c r="BR96">
        <f>IF(BR6="",0,IFERROR(INDEX($W$5:$W$86,MATCH(BR6,$V$5:$V$86,0)),0))</f>
        <v/>
      </c>
      <c r="BS96">
        <f>IF(BS6="",0,IFERROR(INDEX($W$5:$W$86,MATCH(BS6,$V$5:$V$86,0)),0))</f>
        <v/>
      </c>
      <c r="BT96">
        <f>IF(BT6="",0,IFERROR(INDEX($W$5:$W$86,MATCH(BT6,$V$5:$V$86,0)),0))</f>
        <v/>
      </c>
      <c r="BU96">
        <f>IF(BU6="",0,IFERROR(INDEX($W$5:$W$86,MATCH(BU6,$V$5:$V$86,0)),0))</f>
        <v/>
      </c>
      <c r="BV96">
        <f>IF(BV6="",0,IFERROR(INDEX($W$5:$W$86,MATCH(BV6,$V$5:$V$86,0)),0))</f>
        <v/>
      </c>
      <c r="BW96">
        <f>IF(BW6="",0,IFERROR(INDEX($W$5:$W$86,MATCH(BW6,$V$5:$V$86,0)),0))</f>
        <v/>
      </c>
      <c r="BX96">
        <f>IF(BX6="",0,IFERROR(INDEX($W$5:$W$86,MATCH(BX6,$V$5:$V$86,0)),0))</f>
        <v/>
      </c>
      <c r="BY96">
        <f>IF(BY6="",0,IFERROR(INDEX($W$5:$W$86,MATCH(BY6,$V$5:$V$86,0)),0))</f>
        <v/>
      </c>
      <c r="BZ96">
        <f>IF(BZ6="",0,IFERROR(INDEX($W$5:$W$86,MATCH(BZ6,$V$5:$V$86,0)),0))</f>
        <v/>
      </c>
      <c r="CA96">
        <f>IF(CA6="",0,IFERROR(INDEX($W$5:$W$86,MATCH(CA6,$V$5:$V$86,0)),0))</f>
        <v/>
      </c>
      <c r="CB96">
        <f>IF(CB6="",0,IFERROR(INDEX($W$5:$W$86,MATCH(CB6,$V$5:$V$86,0)),0))</f>
        <v/>
      </c>
      <c r="CC96">
        <f>IF(CC6="",0,IFERROR(INDEX($W$5:$W$86,MATCH(CC6,$V$5:$V$86,0)),0))</f>
        <v/>
      </c>
      <c r="CD96">
        <f>IF(CD6="",0,IFERROR(INDEX($W$5:$W$86,MATCH(CD6,$V$5:$V$86,0)),0))</f>
        <v/>
      </c>
      <c r="CE96">
        <f>IF(CE6="",0,IFERROR(INDEX($W$5:$W$86,MATCH(CE6,$V$5:$V$86,0)),0))</f>
        <v/>
      </c>
      <c r="CF96">
        <f>IF(CF6="",0,IFERROR(INDEX($W$5:$W$86,MATCH(CF6,$V$5:$V$86,0)),0))</f>
        <v/>
      </c>
      <c r="DA96" t="n">
        <v>92</v>
      </c>
      <c r="DB96">
        <f>IF($B$37=0,"",IFERROR(TRIM(SUBSTITUTE(SUBSTITUTE(SUBSTITUTE(SUBSTITUTE(INDEX(PASTE_ALL,92,$B$37)," "," "),CHAR(9)," "),CHAR(10)," "),CHAR(13)," ")),""))</f>
        <v/>
      </c>
      <c r="DC96">
        <f>IF(AND(92&gt;HEADER_ROW,UPPER(DB96)="LEGEND"),1,0)</f>
        <v/>
      </c>
      <c r="DE96" t="n">
        <v>92</v>
      </c>
      <c r="DF96">
        <f>HEADER_ROW+$DE96</f>
        <v/>
      </c>
      <c r="DG96">
        <f>IF(AND($DF96&lt;=1000,$DF96&lt;$B$8),1,0)</f>
        <v/>
      </c>
      <c r="DH96">
        <f>IF($DG96=1,IFERROR(INDEX($DB$5:$DB$1004,$DF96),""),"")</f>
        <v/>
      </c>
      <c r="DI96">
        <f>IF(AND($DG96=1,$DH96&lt;&gt;""),IFERROR(SUBSTITUTE(SUBSTITUTE(TRIM(SUBSTITUTE(SUBSTITUTE(SUBSTITUTE(SUBSTITUTE(IFERROR(INDEX(PASTE_ALL,$DF96,1)&amp;"","")&amp;"␟"&amp;IFERROR(INDEX(PASTE_ALL,$DF96,2)&amp;"","")&amp;"␟"&amp;IFERROR(INDEX(PASTE_ALL,$DF96,3)&amp;"","")&amp;"␟"&amp;IFERROR(INDEX(PASTE_ALL,$DF96,4)&amp;"","")&amp;"␟"&amp;IFERROR(INDEX(PASTE_ALL,$DF96,5)&amp;"","")&amp;"␟"&amp;IFERROR(INDEX(PASTE_ALL,$DF96,6)&amp;"","")&amp;"␟"&amp;IFERROR(INDEX(PASTE_ALL,$DF96,7)&amp;"","")&amp;"␟"&amp;IFERROR(INDEX(PASTE_ALL,$DF96,8)&amp;"","")&amp;"␟"&amp;IFERROR(INDEX(PASTE_ALL,$DF96,9)&amp;"","")&amp;"␟"&amp;IFERROR(INDEX(PASTE_ALL,$DF96,10)&amp;"","")&amp;"␟"&amp;IFERROR(INDEX(PASTE_ALL,$DF96,11)&amp;"","")&amp;"␟"&amp;IFERROR(INDEX(PASTE_ALL,$DF96,12)&amp;"","")&amp;"␟"&amp;IFERROR(INDEX(PASTE_ALL,$DF96,13)&amp;"","")&amp;"␟"&amp;IFERROR(INDEX(PASTE_ALL,$DF96,14)&amp;"","")&amp;"␟"&amp;IFERROR(INDEX(PASTE_ALL,$DF96,15)&amp;"","")&amp;"␟"&amp;IFERROR(INDEX(PASTE_ALL,$DF96,16)&amp;"","")&amp;"␟"&amp;IFERROR(INDEX(PASTE_ALL,$DF96,17)&amp;"","")&amp;"␟"&amp;IFERROR(INDEX(PASTE_ALL,$DF96,18)&amp;"","")&amp;"␟"&amp;IFERROR(INDEX(PASTE_ALL,$DF96,19)&amp;"","")&amp;"␟"&amp;IFERROR(INDEX(PASTE_ALL,$DF96,20)&amp;"","")&amp;"␟"&amp;IFERROR(INDEX(PASTE_ALL,$DF96,21)&amp;"","")&amp;"␟"&amp;IFERROR(INDEX(PASTE_ALL,$DF96,22)&amp;"","")&amp;"␟"&amp;IFERROR(INDEX(PASTE_ALL,$DF96,23)&amp;"","")&amp;"␟"&amp;IFERROR(INDEX(PASTE_ALL,$DF96,24)&amp;"","")&amp;"␟"&amp;IFERROR(INDEX(PASTE_ALL,$DF96,25)&amp;"","")&amp;"␟"&amp;IFERROR(INDEX(PASTE_ALL,$DF96,26)&amp;"","")&amp;"␟"&amp;IFERROR(INDEX(PASTE_ALL,$DF96,27)&amp;"","")&amp;"␟"&amp;IFERROR(INDEX(PASTE_ALL,$DF96,28)&amp;"","")&amp;"␟"&amp;IFERROR(INDEX(PASTE_ALL,$DF96,29)&amp;"","")&amp;"␟"&amp;IFERROR(INDEX(PASTE_ALL,$DF96,30)&amp;"","")&amp;"␟"&amp;IFERROR(INDEX(PASTE_ALL,$DF96,31)&amp;"","")&amp;"␟"&amp;IFERROR(INDEX(PASTE_ALL,$DF96,32)&amp;"","")&amp;"␟"&amp;IFERROR(INDEX(PASTE_ALL,$DF96,33)&amp;"","")&amp;"␟"&amp;IFERROR(INDEX(PASTE_ALL,$DF96,34)&amp;"","")&amp;"␟"&amp;IFERROR(INDEX(PASTE_ALL,$DF96,35)&amp;"","")&amp;"␟"&amp;IFERROR(INDEX(PASTE_ALL,$DF96,36)&amp;"","")&amp;"␟"&amp;IFERROR(INDEX(PASTE_ALL,$DF96,37)&amp;"","")&amp;"␟"&amp;IFERROR(INDEX(PASTE_ALL,$DF96,38)&amp;"","")&amp;"␟"&amp;IFERROR(INDEX(PASTE_ALL,$DF96,39)&amp;"","")&amp;"␟"&amp;IFERROR(INDEX(PASTE_ALL,$DF96,40)&amp;"","")&amp;"␟"&amp;IFERROR(INDEX(PASTE_ALL,$DF96,41)&amp;"","")&amp;"␟"&amp;IFERROR(INDEX(PASTE_ALL,$DF96,42)&amp;"","")&amp;"␟"&amp;IFERROR(INDEX(PASTE_ALL,$DF96,43)&amp;"","")&amp;"␟"&amp;IFERROR(INDEX(PASTE_ALL,$DF96,44)&amp;"","")&amp;"␟"&amp;IFERROR(INDEX(PASTE_ALL,$DF96,45)&amp;"","")&amp;"␟"&amp;IFERROR(INDEX(PASTE_ALL,$DF96,46)&amp;"","")&amp;"␟"&amp;IFERROR(INDEX(PASTE_ALL,$DF96,47)&amp;"","")&amp;"␟"&amp;IFERROR(INDEX(PASTE_ALL,$DF96,48)&amp;"","")&amp;"␟"&amp;IFERROR(INDEX(PASTE_ALL,$DF96,49)&amp;"","")&amp;"␟"&amp;IFERROR(INDEX(PASTE_ALL,$DF96,50)&amp;"","")&amp;"␟"&amp;IFERROR(INDEX(PASTE_ALL,$DF96,51)&amp;"","")&amp;"␟"&amp;IFERROR(INDEX(PASTE_ALL,$DF96,52)&amp;"","")&amp;"␟"&amp;IFERROR(INDEX(PASTE_ALL,$DF96,53)&amp;"","")&amp;"␟"&amp;IFERROR(INDEX(PASTE_ALL,$DF96,54)&amp;"","")&amp;"␟"&amp;IFERROR(INDEX(PASTE_ALL,$DF96,55)&amp;"","")&amp;"␟"&amp;IFERROR(INDEX(PASTE_ALL,$DF96,56)&amp;"","")&amp;"␟"&amp;IFERROR(INDEX(PASTE_ALL,$DF96,57)&amp;"","")&amp;"␟"&amp;IFERROR(INDEX(PASTE_ALL,$DF96,58)&amp;"","")&amp;"␟"&amp;IFERROR(INDEX(PASTE_ALL,$DF96,59)&amp;"","")&amp;"␟"&amp;IFERROR(INDEX(PASTE_ALL,$DF96,60)&amp;"","")," "," "),CHAR(9)," "),CHAR(10)," "),CHAR(13)," "))," ␟","␟"),"␟ ","␟"),"#"&amp;$DE96),"")</f>
        <v/>
      </c>
      <c r="DJ96">
        <f>IF($DI96="",0,IF(SUMPRODUCT(--EXACT($DI$4:DI95,$DI96))&gt;0,1,0))</f>
        <v/>
      </c>
      <c r="DK96">
        <f>IF(AND($DI96&lt;&gt;"",$DJ96=0),1,0)</f>
        <v/>
      </c>
      <c r="DL96">
        <f>DL95+$DK96</f>
        <v/>
      </c>
      <c r="DM96">
        <f>IF(AND($DK96=1,$DL96&lt;=600),1,0)</f>
        <v/>
      </c>
      <c r="DN96">
        <f>IF($DM96=0,"",IF($L$6=0,"",IFERROR(IF(ISNUMBER(INDEX(PASTE_ALL,$DF96,$L$6)),INDEX(PASTE_ALL,$DF96,$L$6),TRIM(SUBSTITUTE(SUBSTITUTE(SUBSTITUTE(SUBSTITUTE(INDEX(PASTE_ALL,$DF96,$L$6)," "," "),CHAR(9)," "),CHAR(10)," "),CHAR(13)," "))),"")))</f>
        <v/>
      </c>
      <c r="DO96">
        <f>IF($DM96=0,"",IF($L$7=0,"",IFERROR(IF(ISNUMBER(INDEX(PASTE_ALL,$DF96,$L$7)),INDEX(PASTE_ALL,$DF96,$L$7),TRIM(SUBSTITUTE(SUBSTITUTE(SUBSTITUTE(SUBSTITUTE(INDEX(PASTE_ALL,$DF96,$L$7)," "," "),CHAR(9)," "),CHAR(10)," "),CHAR(13)," "))),"")))</f>
        <v/>
      </c>
      <c r="DP96">
        <f>IF($DM96=0,"",IF($L$8=0,"",IFERROR(IF(ISNUMBER(INDEX(PASTE_ALL,$DF96,$L$8)),INDEX(PASTE_ALL,$DF96,$L$8),TRIM(SUBSTITUTE(SUBSTITUTE(SUBSTITUTE(SUBSTITUTE(INDEX(PASTE_ALL,$DF96,$L$8)," "," "),CHAR(9)," "),CHAR(10)," "),CHAR(13)," "))),"")))</f>
        <v/>
      </c>
      <c r="DQ96">
        <f>IF($DM96=0,"",IF($L$9=0,"",IFERROR(IF(ISNUMBER(INDEX(PASTE_ALL,$DF96,$L$9)),INDEX(PASTE_ALL,$DF96,$L$9),TRIM(SUBSTITUTE(SUBSTITUTE(SUBSTITUTE(SUBSTITUTE(INDEX(PASTE_ALL,$DF96,$L$9)," "," "),CHAR(9)," "),CHAR(10)," "),CHAR(13)," "))),"")))</f>
        <v/>
      </c>
      <c r="DR96">
        <f>IF($DM96=0,"",IF($L$10=0,"",IFERROR(IF(ISNUMBER(INDEX(PASTE_ALL,$DF96,$L$10)),INDEX(PASTE_ALL,$DF96,$L$10),TRIM(SUBSTITUTE(SUBSTITUTE(SUBSTITUTE(SUBSTITUTE(INDEX(PASTE_ALL,$DF96,$L$10)," "," "),CHAR(9)," "),CHAR(10)," "),CHAR(13)," "))),"")))</f>
        <v/>
      </c>
      <c r="DS96">
        <f>IF($DM96=0,"",IF($L$11=0,"",IFERROR(IF(ISNUMBER(INDEX(PASTE_ALL,$DF96,$L$11)),INDEX(PASTE_ALL,$DF96,$L$11),TRIM(SUBSTITUTE(SUBSTITUTE(SUBSTITUTE(SUBSTITUTE(INDEX(PASTE_ALL,$DF96,$L$11)," "," "),CHAR(9)," "),CHAR(10)," "),CHAR(13)," "))),"")))</f>
        <v/>
      </c>
      <c r="DT96">
        <f>IF($DM96=0,"",IF($L$12=0,"",IFERROR(IF(ISNUMBER(INDEX(PASTE_ALL,$DF96,$L$12)),INDEX(PASTE_ALL,$DF96,$L$12),TRIM(SUBSTITUTE(SUBSTITUTE(SUBSTITUTE(SUBSTITUTE(INDEX(PASTE_ALL,$DF96,$L$12)," "," "),CHAR(9)," "),CHAR(10)," "),CHAR(13)," "))),"")))</f>
        <v/>
      </c>
      <c r="DU96">
        <f>IF($DM96=0,"",IF($L$13=0,"",IFERROR(IF(ISNUMBER(INDEX(PASTE_ALL,$DF96,$L$13)),INDEX(PASTE_ALL,$DF96,$L$13),TRIM(SUBSTITUTE(SUBSTITUTE(SUBSTITUTE(SUBSTITUTE(INDEX(PASTE_ALL,$DF96,$L$13)," "," "),CHAR(9)," "),CHAR(10)," "),CHAR(13)," "))),"")))</f>
        <v/>
      </c>
      <c r="DV96">
        <f>IF($DM96=0,"",IF($L$14=0,"",IFERROR(IF(ISNUMBER(INDEX(PASTE_ALL,$DF96,$L$14)),INDEX(PASTE_ALL,$DF96,$L$14),TRIM(SUBSTITUTE(SUBSTITUTE(SUBSTITUTE(SUBSTITUTE(INDEX(PASTE_ALL,$DF96,$L$14)," "," "),CHAR(9)," "),CHAR(10)," "),CHAR(13)," "))),"")))</f>
        <v/>
      </c>
      <c r="DW96">
        <f>IF($DM96=0,"",IF($L$15=0,"",IFERROR(IF(ISNUMBER(INDEX(PASTE_ALL,$DF96,$L$15)),INDEX(PASTE_ALL,$DF96,$L$15),IF(SUMPRODUCT(--ISNUMBER(FIND({"A","B","C","D","E","F","G","H","I","J","K","L","M","N","O","P","Q","R","S","T","U","V","W","X","Y","Z","0","1","2","3","4","5","6","7","8","9"},UPPER(TRIM(SUBSTITUTE(SUBSTITUTE(SUBSTITUTE(SUBSTITUTE(INDEX(PASTE_ALL,$DF96,$L$15)," "," "),CHAR(9)," "),CHAR(10)," "),CHAR(13)," "))))))&gt;0,TRIM(SUBSTITUTE(SUBSTITUTE(SUBSTITUTE(SUBSTITUTE(INDEX(PASTE_ALL,$DF96,$L$15)," "," "),CHAR(9)," "),CHAR(10)," "),CHAR(13)," ")),"")),"")))</f>
        <v/>
      </c>
      <c r="DX96">
        <f>IF($DM96=0,"",IF($L$16=0,"",IFERROR(IF(ISNUMBER(INDEX(PASTE_ALL,$DF96,$L$16)),INDEX(PASTE_ALL,$DF96,$L$16),SUBSTITUTE(SUBSTITUTE(TRIM(SUBSTITUTE(SUBSTITUTE(SUBSTITUTE(SUBSTITUTE(INDEX(PASTE_ALL,$DF96,$L$16)," "," "),CHAR(9)," "),CHAR(10)," "),CHAR(13)," ")),",",""),"%","")),"")))</f>
        <v/>
      </c>
      <c r="DY96">
        <f>IF($DM96=0,"",IFERROR(IF(ISNUMBER($DX96),$DX96,IF($DX96="","",IF(TRIM($DX96)="",0,IF(AND(AND(SUBSTITUTE(SUBSTITUTE(SUBSTITUTE(SUBSTITUTE(SUBSTITUTE(SUBSTITUTE(SUBSTITUTE(SUBSTITUTE(SUBSTITUTE(SUBSTITUTE(SUBSTITUTE(SUBSTITUTE(SUBSTITUTE(SUBSTITUTE(UPPER(TRIM($DX96)),"0",""),"1",""),"2",""),"3",""),"4",""),"5",""),"6",""),"7",""),"8",""),"9",""),".",""),"+",""),"-",""),"E","")="",LEN(SUBSTITUTE(SUBSTITUTE(MID(UPPER(TRIM($DX96)),1+OR(LEFT(UPPER(TRIM($DX96)),1)="+",LEFT(UPPER(TRIM($DX96)),1)="-"),999),"E+","E"),"E-","E"))=LEN(SUBSTITUTE(SUBSTITUTE(SUBSTITUTE(SUBSTITUTE(MID(UPPER(TRIM($DX96)),1+OR(LEFT(UPPER(TRIM($DX96)),1)="+",LEFT(UPPER(TRIM($DX96)),1)="-"),999),"E+","E"),"E-","E"),"+",""),"-","")),LEN(UPPER(TRIM($DX96)))-LEN(SUBSTITUTE(UPPER(TRIM($DX96)),"E",""))&lt;2,LEN(UPPER(TRIM($DX96)))-LEN(SUBSTITUTE(UPPER(TRIM($DX96)),".",""))&lt;2,IFERROR(FIND(".",UPPER(TRIM($DX96))),0)&lt;IFERROR(FIND("E",UPPER(TRIM($DX96))),999)),ISNUMBER(VALUE(TRIM($DX96)))),VALUE(TRIM($DX96)),"")))),""))</f>
        <v/>
      </c>
      <c r="DZ96">
        <f>IF($DM96=0,"",IF($L$17=0,"",IFERROR(IF(ISNUMBER(INDEX(PASTE_ALL,$DF96,$L$17)),INDEX(PASTE_ALL,$DF96,$L$17),SUBSTITUTE(SUBSTITUTE(TRIM(SUBSTITUTE(SUBSTITUTE(SUBSTITUTE(SUBSTITUTE(INDEX(PASTE_ALL,$DF96,$L$17)," "," "),CHAR(9)," "),CHAR(10)," "),CHAR(13)," ")),",",""),"%","")),"")))</f>
        <v/>
      </c>
      <c r="EA96">
        <f>IF($DM96=0,"",IFERROR(IF(ISNUMBER($DZ96),$DZ96,IF($DZ96="","",IF(TRIM($DZ96)="",0,IF(AND(AND(SUBSTITUTE(SUBSTITUTE(SUBSTITUTE(SUBSTITUTE(SUBSTITUTE(SUBSTITUTE(SUBSTITUTE(SUBSTITUTE(SUBSTITUTE(SUBSTITUTE(SUBSTITUTE(SUBSTITUTE(SUBSTITUTE(SUBSTITUTE(UPPER(TRIM($DZ96)),"0",""),"1",""),"2",""),"3",""),"4",""),"5",""),"6",""),"7",""),"8",""),"9",""),".",""),"+",""),"-",""),"E","")="",LEN(SUBSTITUTE(SUBSTITUTE(MID(UPPER(TRIM($DZ96)),1+OR(LEFT(UPPER(TRIM($DZ96)),1)="+",LEFT(UPPER(TRIM($DZ96)),1)="-"),999),"E+","E"),"E-","E"))=LEN(SUBSTITUTE(SUBSTITUTE(SUBSTITUTE(SUBSTITUTE(MID(UPPER(TRIM($DZ96)),1+OR(LEFT(UPPER(TRIM($DZ96)),1)="+",LEFT(UPPER(TRIM($DZ96)),1)="-"),999),"E+","E"),"E-","E"),"+",""),"-","")),LEN(UPPER(TRIM($DZ96)))-LEN(SUBSTITUTE(UPPER(TRIM($DZ96)),"E",""))&lt;2,LEN(UPPER(TRIM($DZ96)))-LEN(SUBSTITUTE(UPPER(TRIM($DZ96)),".",""))&lt;2,IFERROR(FIND(".",UPPER(TRIM($DZ96))),0)&lt;IFERROR(FIND("E",UPPER(TRIM($DZ96))),999)),ISNUMBER(VALUE(TRIM($DZ96)))),VALUE(TRIM($DZ96)),"")))),""))</f>
        <v/>
      </c>
      <c r="EB96">
        <f>IF($DM96=0,"",IF($L$18=0,"",IFERROR(IF(UPPER(TRIM(SUBSTITUTE(SUBSTITUTE(SUBSTITUTE(SUBSTITUTE(INDEX(PASTE_ALL,$DF96,$L$18)," "," "),CHAR(9)," "),CHAR(10)," "),CHAR(13)," ")))="READY","Ready",IF(UPPER(TRIM(SUBSTITUTE(SUBSTITUTE(SUBSTITUTE(SUBSTITUTE(INDEX(PASTE_ALL,$DF96,$L$18)," "," "),CHAR(9)," "),CHAR(10)," "),CHAR(13)," ")))="PM","PM",IF(OR(UPPER(TRIM(SUBSTITUTE(SUBSTITUTE(SUBSTITUTE(SUBSTITUTE(INDEX(PASTE_ALL,$DF96,$L$18)," "," "),CHAR(9)," "),CHAR(10)," "),CHAR(13)," ")))="OT",UPPER(TRIM(SUBSTITUTE(SUBSTITUTE(SUBSTITUTE(SUBSTITUTE(INDEX(PASTE_ALL,$DF96,$L$18)," "," "),CHAR(9)," "),CHAR(10)," "),CHAR(13)," ")))="OVERTIME",UPPER(TRIM(SUBSTITUTE(SUBSTITUTE(SUBSTITUTE(SUBSTITUTE(INDEX(PASTE_ALL,$DF96,$L$18)," "," "),CHAR(9)," "),CHAR(10)," "),CHAR(13)," ")))="TRIAL"),"OT",TRIM(SUBSTITUTE(SUBSTITUTE(SUBSTITUTE(SUBSTITUTE(INDEX(PASTE_ALL,$DF96,$L$18)," "," "),CHAR(9)," "),CHAR(10)," "),CHAR(13)," "))))),"")))</f>
        <v/>
      </c>
      <c r="EC96">
        <f>IF($DM96=0,"",IF($L$19=0,"",IFERROR(IF(ISNUMBER(INDEX(PASTE_ALL,$DF96,$L$19)),INDEX(PASTE_ALL,$DF96,$L$19),TRIM(SUBSTITUTE(SUBSTITUTE(SUBSTITUTE(SUBSTITUTE(INDEX(PASTE_ALL,$DF96,$L$19)," "," "),CHAR(9)," "),CHAR(10)," "),CHAR(13)," "))),"")))</f>
        <v/>
      </c>
      <c r="ED96">
        <f>IF($DM96=0,"",MATCH(1,INDEX(EXACT($DH$5:DH96,$DH96)*$DM$5:DM96,0),0))</f>
        <v/>
      </c>
      <c r="EE96">
        <f>IF($DM96=0,0,IF($ED96=$DE96,1,0))</f>
        <v/>
      </c>
      <c r="EF96">
        <f>EF95+$EE96</f>
        <v/>
      </c>
      <c r="EG96">
        <f>IF($DM96=0,"",INDEX($EF$5:$EF$1003,$ED96))</f>
        <v/>
      </c>
      <c r="EH96">
        <f>IF($DM96=0,"",IF($DO96&lt;&gt;"","",IFERROR(LOOKUP(2,1/(($EG$4:EG95=$EG96)*($DO$4:DO95&lt;&gt;"")),$DO$4:DO95),"")))</f>
        <v/>
      </c>
      <c r="EI96">
        <f>IF($DM96=0,"",IF($DO96&lt;&gt;"",$DO96,$EH96))</f>
        <v/>
      </c>
      <c r="EJ96">
        <f>IF($DM96=0,"",IF($EI96="",0,IF(OR(ISNUMBER($EI96),AND(AND(SUBSTITUTE(SUBSTITUTE(SUBSTITUTE(SUBSTITUTE(SUBSTITUTE(SUBSTITUTE(SUBSTITUTE(SUBSTITUTE(SUBSTITUTE(SUBSTITUTE(SUBSTITUTE(SUBSTITUTE(SUBSTITUTE(SUBSTITUTE(UPPER($EI96),"0",""),"1",""),"2",""),"3",""),"4",""),"5",""),"6",""),"7",""),"8",""),"9",""),".",""),"+",""),"-",""),"E","")="",LEN(SUBSTITUTE(SUBSTITUTE(MID(UPPER($EI96),1+OR(LEFT(UPPER($EI96),1)="+",LEFT(UPPER($EI96),1)="-"),999),"E+","E"),"E-","E"))=LEN(SUBSTITUTE(SUBSTITUTE(SUBSTITUTE(SUBSTITUTE(MID(UPPER($EI96),1+OR(LEFT(UPPER($EI96),1)="+",LEFT(UPPER($EI96),1)="-"),999),"E+","E"),"E-","E"),"+",""),"-","")),LEN(UPPER($EI96))-LEN(SUBSTITUTE(UPPER($EI96),"E",""))&lt;2,LEN(UPPER($EI96))-LEN(SUBSTITUTE(UPPER($EI96),".",""))&lt;2,IFERROR(FIND(".",UPPER($EI96)),0)&lt;IFERROR(FIND("E",UPPER($EI96)),999)),ISNUMBER(VALUE($EI96)))),1,2)))</f>
        <v/>
      </c>
      <c r="EK96">
        <f>IF($DM96=0,"",IF($EJ96=1,IF(ISNUMBER($EI96),$EI96,VALUE($EI96)),IF($EJ96=2,$DE96,0)))</f>
        <v/>
      </c>
      <c r="EL96">
        <f>IF($DM96=0,"",COUNTIF($EG$5:$EG$1003,"&lt;"&amp;$EG96)+SUMPRODUCT(($EG$5:$EG$1003=$EG96)*(($EJ$5:$EJ$1003&lt;$EJ96)+($EJ$5:$EJ$1003=$EJ96)*(($EK$5:$EK$1003&lt;$EK96)+($EK$5:$EK$1003=$EK96)*($DE$5:$DE$1003&lt;$DE96))))+1)</f>
        <v/>
      </c>
      <c r="EM96">
        <f>IF($DM96=0,"",$EL96+$EG96-1)</f>
        <v/>
      </c>
      <c r="EN96">
        <f>IF($DM96=0,0,IFERROR(MATCH(1,INDEX(--(TRIM(SUBSTITUTE(SUBSTITUTE(SUBSTITUTE(SUBSTITUTE(LINES_NAME&amp;""," "," "),CHAR(9)," "),CHAR(10)," "),CHAR(13)," "))=$DH96),0),0),0))</f>
        <v/>
      </c>
      <c r="EO96">
        <f>IF($EN96=0,0,IF(OR(UPPER(TRIM(INDEX(LINES_SCHEDULED,$EN96)&amp;""))="YES",UPPER(TRIM(INDEX(LINES_SCHEDULED,$EN96)&amp;""))="Y",UPPER(TRIM(INDEX(LINES_SCHEDULED,$EN96)&amp;""))="X"),1,0))</f>
        <v/>
      </c>
      <c r="EP96">
        <f>IF($DM96=0,"",IF(COUNTIFS($EG$5:$EG$1003,$EG96,$EB$5:$EB$1003,"Ready")&gt;0,"READY",IF(COUNTIFS($EG$5:$EG$1003,$EG96,$EB$5:$EB$1003,"PM")&gt;0,"PM",IF(COUNTIFS($EG$5:$EG$1003,$EG96,$EB$5:$EB$1003,"OT")&gt;0,"OT",""))))</f>
        <v/>
      </c>
      <c r="EQ96">
        <f>IF($EN96=0,"",UPPER(TRIM(INDEX(LINES_STATUS,$EN96)&amp;"")))</f>
        <v/>
      </c>
      <c r="ER96">
        <f>IF($DM96=0,"",IF(OR($EQ96="READY",$EQ96="PM",$EQ96="OT"),$EQ96,$EP96))</f>
        <v/>
      </c>
      <c r="ES96">
        <f>IF($DM96=0,"",IF(AND($DV96&lt;&gt;"",UPPER($DV96)&lt;&gt;"N"),"allergen",IF(ISNUMBER(SEARCH("oil",$DQ96)),"oil",IF(OR(EXACT($DS96,"A662"),EXACT($DS96,"A624")),"bulk",""))))</f>
        <v/>
      </c>
      <c r="ET96">
        <f>IF($DM96=0,"",IF(OR($EA96="",$EA96=0),"",$EA96/100))</f>
        <v/>
      </c>
      <c r="EU96">
        <f>IF(OR($ET96="",$DY96=""),"",INT($DY96*(1-$ET96)+0.5))</f>
        <v/>
      </c>
      <c r="EW96" t="n">
        <v>92</v>
      </c>
      <c r="EX96">
        <f>IFERROR(MATCH($EW96,$EM$5:$EM$1003,0),0)</f>
        <v/>
      </c>
      <c r="EY96">
        <f>IF($EW96&gt;$B$12,"",IF($EX96&gt;0,"row","spacer"))</f>
        <v/>
      </c>
      <c r="EZ96">
        <f>IF(AND($EY96="row",$EY95&lt;&gt;"row"),1,0)</f>
        <v/>
      </c>
      <c r="FA96">
        <f>IF(AND($EY96="row",$EY97&lt;&gt;"row"),1,0)</f>
        <v/>
      </c>
      <c r="FB96">
        <f>IF($EZ96=1,IFERROR(IF(ISNUMBER(INDEX(PASTE_ALL,INDEX($DF$5:$DF$1003,$EX96),$B$37)),INDEX(PASTE_ALL,INDEX($DF$5:$DF$1003,$EX96),$B$37),INDEX($DH$5:$DH$1003,$EX96)),INDEX($DH$5:$DH$1003,$EX96)),"")</f>
        <v/>
      </c>
      <c r="FC96">
        <f>IF($EY96="row",INDEX($ER$5:$ER$1003,$EX96),"")</f>
        <v/>
      </c>
      <c r="FD96">
        <f>IF($EY96="row",INDEX($DN$5:$DN$1003,$EX96),"")</f>
        <v/>
      </c>
      <c r="FE96">
        <f>IF($EY96="row",INDEX($DO$5:$DO$1003,$EX96),"")</f>
        <v/>
      </c>
      <c r="FF96">
        <f>IF($EY96="row",INDEX($DP$5:$DP$1003,$EX96),"")</f>
        <v/>
      </c>
      <c r="FG96">
        <f>IF($EY96="row",INDEX($DQ$5:$DQ$1003,$EX96),"")</f>
        <v/>
      </c>
      <c r="FH96">
        <f>IF($EY96="row",INDEX($DR$5:$DR$1003,$EX96),"")</f>
        <v/>
      </c>
      <c r="FI96">
        <f>IF($EY96="row",INDEX($DS$5:$DS$1003,$EX96),"")</f>
        <v/>
      </c>
      <c r="FJ96">
        <f>IF($EY96="row",INDEX($DT$5:$DT$1003,$EX96),"")</f>
        <v/>
      </c>
      <c r="FK96">
        <f>IF($EY96="row",INDEX($DU$5:$DU$1003,$EX96),"")</f>
        <v/>
      </c>
      <c r="FL96">
        <f>IF($EY96="row",INDEX($DV$5:$DV$1003,$EX96),"")</f>
        <v/>
      </c>
      <c r="FM96">
        <f>IF($EY96="row",INDEX($DW$5:$DW$1003,$EX96),"")</f>
        <v/>
      </c>
      <c r="FN96">
        <f>IF($EY96="row",INDEX($DY$5:$DY$1003,$EX96),"")</f>
        <v/>
      </c>
      <c r="FO96">
        <f>IF($EY96="row",INDEX($EA$5:$EA$1003,$EX96),"")</f>
        <v/>
      </c>
      <c r="FP96">
        <f>IF($EY96="row",INDEX($EC$5:$EC$1003,$EX96),"")</f>
        <v/>
      </c>
      <c r="FQ96">
        <f>IF($EY96="row",INDEX($ET$5:$ET$1003,$EX96),"")</f>
        <v/>
      </c>
      <c r="FR96">
        <f>IF($EY96="row",INDEX($EU$5:$EU$1003,$EX96),"")</f>
        <v/>
      </c>
      <c r="FS96">
        <f>IF(AND($EY96="row",$EY95="row"),IF(OR(INDEX($DT$5:$DT$1003,$EX95)="",INDEX($DT$5:$DT$1003,$EX96)=""),"",IF(NOT(EXACT(INDEX($DT$5:$DT$1003,$EX95),INDEX($DT$5:$DT$1003,$EX96))),"S4",IF(NOT(EXACT(INDEX($DS$5:$DS$1003,$EX95),INDEX($DS$5:$DS$1003,$EX96))),"S3",IF(NOT(EXACT(INDEX($DR$5:$DR$1003,$EX95),INDEX($DR$5:$DR$1003,$EX96))),"S1 Count Change","S1")))),"")</f>
        <v/>
      </c>
      <c r="FT96">
        <f>IF($EY96="row",INDEX($ES$5:$ES$1003,$EX96),"")</f>
        <v/>
      </c>
      <c r="FU96">
        <f>IF($EY96="row",INDEX($EO$5:$EO$1003,$EX96),0)</f>
        <v/>
      </c>
      <c r="FV96">
        <f>IF($FS96="S1 Count Change",1,0)</f>
        <v/>
      </c>
      <c r="FX96" t="n">
        <v>92</v>
      </c>
      <c r="FY96">
        <f>IFERROR(MATCH($FX96,$EF$5:$EF$1003,0),0)</f>
        <v/>
      </c>
      <c r="FZ96">
        <f>IF($FY96=0,"",INDEX($DH$5:$DH$1003,$FY96))</f>
        <v/>
      </c>
      <c r="GA96">
        <f>IF($FY96=0,"",COUNTIF($EG$5:$EG$1003,$FX96))</f>
        <v/>
      </c>
      <c r="GB96">
        <f>IF($FY96=0,"",INDEX($ER$5:$ER$1003,$FY96))</f>
        <v/>
      </c>
      <c r="GC96">
        <f>IF($FY96=0,"",IF(INDEX($EO$5:$EO$1003,$FY96)=1,"Yes",""))</f>
        <v/>
      </c>
      <c r="GD96">
        <f>IF($FY96=0,"",IF(INDEX($EN$5:$EN$1003,$FY96)&gt;0,"","NOT IN YOUR LIST - type it in column A to tick it"))</f>
        <v/>
      </c>
      <c r="GE96">
        <f>IF(AND($FY96&gt;0,$GD96&lt;&gt;""),1,0)</f>
        <v/>
      </c>
      <c r="GF96">
        <f>GF95+$GE96</f>
        <v/>
      </c>
      <c r="GG96">
        <f>IFERROR(INDEX($FZ$5:$FZ$104,MATCH($FX96,$GF$5:$GF$104,0)),"")</f>
        <v/>
      </c>
    </row>
    <row r="97">
      <c r="Y97">
        <f>IF(Y7="",0,IFERROR(INDEX($W$5:$W$86,MATCH(Y7,$V$5:$V$86,0)),0))</f>
        <v/>
      </c>
      <c r="Z97">
        <f>IF(Z7="",0,IFERROR(INDEX($W$5:$W$86,MATCH(Z7,$V$5:$V$86,0)),0))</f>
        <v/>
      </c>
      <c r="AA97">
        <f>IF(AA7="",0,IFERROR(INDEX($W$5:$W$86,MATCH(AA7,$V$5:$V$86,0)),0))</f>
        <v/>
      </c>
      <c r="AB97">
        <f>IF(AB7="",0,IFERROR(INDEX($W$5:$W$86,MATCH(AB7,$V$5:$V$86,0)),0))</f>
        <v/>
      </c>
      <c r="AC97">
        <f>IF(AC7="",0,IFERROR(INDEX($W$5:$W$86,MATCH(AC7,$V$5:$V$86,0)),0))</f>
        <v/>
      </c>
      <c r="AD97">
        <f>IF(AD7="",0,IFERROR(INDEX($W$5:$W$86,MATCH(AD7,$V$5:$V$86,0)),0))</f>
        <v/>
      </c>
      <c r="AE97">
        <f>IF(AE7="",0,IFERROR(INDEX($W$5:$W$86,MATCH(AE7,$V$5:$V$86,0)),0))</f>
        <v/>
      </c>
      <c r="AF97">
        <f>IF(AF7="",0,IFERROR(INDEX($W$5:$W$86,MATCH(AF7,$V$5:$V$86,0)),0))</f>
        <v/>
      </c>
      <c r="AG97">
        <f>IF(AG7="",0,IFERROR(INDEX($W$5:$W$86,MATCH(AG7,$V$5:$V$86,0)),0))</f>
        <v/>
      </c>
      <c r="AH97">
        <f>IF(AH7="",0,IFERROR(INDEX($W$5:$W$86,MATCH(AH7,$V$5:$V$86,0)),0))</f>
        <v/>
      </c>
      <c r="AI97">
        <f>IF(AI7="",0,IFERROR(INDEX($W$5:$W$86,MATCH(AI7,$V$5:$V$86,0)),0))</f>
        <v/>
      </c>
      <c r="AJ97">
        <f>IF(AJ7="",0,IFERROR(INDEX($W$5:$W$86,MATCH(AJ7,$V$5:$V$86,0)),0))</f>
        <v/>
      </c>
      <c r="AK97">
        <f>IF(AK7="",0,IFERROR(INDEX($W$5:$W$86,MATCH(AK7,$V$5:$V$86,0)),0))</f>
        <v/>
      </c>
      <c r="AL97">
        <f>IF(AL7="",0,IFERROR(INDEX($W$5:$W$86,MATCH(AL7,$V$5:$V$86,0)),0))</f>
        <v/>
      </c>
      <c r="AM97">
        <f>IF(AM7="",0,IFERROR(INDEX($W$5:$W$86,MATCH(AM7,$V$5:$V$86,0)),0))</f>
        <v/>
      </c>
      <c r="AN97">
        <f>IF(AN7="",0,IFERROR(INDEX($W$5:$W$86,MATCH(AN7,$V$5:$V$86,0)),0))</f>
        <v/>
      </c>
      <c r="AO97">
        <f>IF(AO7="",0,IFERROR(INDEX($W$5:$W$86,MATCH(AO7,$V$5:$V$86,0)),0))</f>
        <v/>
      </c>
      <c r="AP97">
        <f>IF(AP7="",0,IFERROR(INDEX($W$5:$W$86,MATCH(AP7,$V$5:$V$86,0)),0))</f>
        <v/>
      </c>
      <c r="AQ97">
        <f>IF(AQ7="",0,IFERROR(INDEX($W$5:$W$86,MATCH(AQ7,$V$5:$V$86,0)),0))</f>
        <v/>
      </c>
      <c r="AR97">
        <f>IF(AR7="",0,IFERROR(INDEX($W$5:$W$86,MATCH(AR7,$V$5:$V$86,0)),0))</f>
        <v/>
      </c>
      <c r="AS97">
        <f>IF(AS7="",0,IFERROR(INDEX($W$5:$W$86,MATCH(AS7,$V$5:$V$86,0)),0))</f>
        <v/>
      </c>
      <c r="AT97">
        <f>IF(AT7="",0,IFERROR(INDEX($W$5:$W$86,MATCH(AT7,$V$5:$V$86,0)),0))</f>
        <v/>
      </c>
      <c r="AU97">
        <f>IF(AU7="",0,IFERROR(INDEX($W$5:$W$86,MATCH(AU7,$V$5:$V$86,0)),0))</f>
        <v/>
      </c>
      <c r="AV97">
        <f>IF(AV7="",0,IFERROR(INDEX($W$5:$W$86,MATCH(AV7,$V$5:$V$86,0)),0))</f>
        <v/>
      </c>
      <c r="AW97">
        <f>IF(AW7="",0,IFERROR(INDEX($W$5:$W$86,MATCH(AW7,$V$5:$V$86,0)),0))</f>
        <v/>
      </c>
      <c r="AX97">
        <f>IF(AX7="",0,IFERROR(INDEX($W$5:$W$86,MATCH(AX7,$V$5:$V$86,0)),0))</f>
        <v/>
      </c>
      <c r="AY97">
        <f>IF(AY7="",0,IFERROR(INDEX($W$5:$W$86,MATCH(AY7,$V$5:$V$86,0)),0))</f>
        <v/>
      </c>
      <c r="AZ97">
        <f>IF(AZ7="",0,IFERROR(INDEX($W$5:$W$86,MATCH(AZ7,$V$5:$V$86,0)),0))</f>
        <v/>
      </c>
      <c r="BA97">
        <f>IF(BA7="",0,IFERROR(INDEX($W$5:$W$86,MATCH(BA7,$V$5:$V$86,0)),0))</f>
        <v/>
      </c>
      <c r="BB97">
        <f>IF(BB7="",0,IFERROR(INDEX($W$5:$W$86,MATCH(BB7,$V$5:$V$86,0)),0))</f>
        <v/>
      </c>
      <c r="BC97">
        <f>IF(BC7="",0,IFERROR(INDEX($W$5:$W$86,MATCH(BC7,$V$5:$V$86,0)),0))</f>
        <v/>
      </c>
      <c r="BD97">
        <f>IF(BD7="",0,IFERROR(INDEX($W$5:$W$86,MATCH(BD7,$V$5:$V$86,0)),0))</f>
        <v/>
      </c>
      <c r="BE97">
        <f>IF(BE7="",0,IFERROR(INDEX($W$5:$W$86,MATCH(BE7,$V$5:$V$86,0)),0))</f>
        <v/>
      </c>
      <c r="BF97">
        <f>IF(BF7="",0,IFERROR(INDEX($W$5:$W$86,MATCH(BF7,$V$5:$V$86,0)),0))</f>
        <v/>
      </c>
      <c r="BG97">
        <f>IF(BG7="",0,IFERROR(INDEX($W$5:$W$86,MATCH(BG7,$V$5:$V$86,0)),0))</f>
        <v/>
      </c>
      <c r="BH97">
        <f>IF(BH7="",0,IFERROR(INDEX($W$5:$W$86,MATCH(BH7,$V$5:$V$86,0)),0))</f>
        <v/>
      </c>
      <c r="BI97">
        <f>IF(BI7="",0,IFERROR(INDEX($W$5:$W$86,MATCH(BI7,$V$5:$V$86,0)),0))</f>
        <v/>
      </c>
      <c r="BJ97">
        <f>IF(BJ7="",0,IFERROR(INDEX($W$5:$W$86,MATCH(BJ7,$V$5:$V$86,0)),0))</f>
        <v/>
      </c>
      <c r="BK97">
        <f>IF(BK7="",0,IFERROR(INDEX($W$5:$W$86,MATCH(BK7,$V$5:$V$86,0)),0))</f>
        <v/>
      </c>
      <c r="BL97">
        <f>IF(BL7="",0,IFERROR(INDEX($W$5:$W$86,MATCH(BL7,$V$5:$V$86,0)),0))</f>
        <v/>
      </c>
      <c r="BM97">
        <f>IF(BM7="",0,IFERROR(INDEX($W$5:$W$86,MATCH(BM7,$V$5:$V$86,0)),0))</f>
        <v/>
      </c>
      <c r="BN97">
        <f>IF(BN7="",0,IFERROR(INDEX($W$5:$W$86,MATCH(BN7,$V$5:$V$86,0)),0))</f>
        <v/>
      </c>
      <c r="BO97">
        <f>IF(BO7="",0,IFERROR(INDEX($W$5:$W$86,MATCH(BO7,$V$5:$V$86,0)),0))</f>
        <v/>
      </c>
      <c r="BP97">
        <f>IF(BP7="",0,IFERROR(INDEX($W$5:$W$86,MATCH(BP7,$V$5:$V$86,0)),0))</f>
        <v/>
      </c>
      <c r="BQ97">
        <f>IF(BQ7="",0,IFERROR(INDEX($W$5:$W$86,MATCH(BQ7,$V$5:$V$86,0)),0))</f>
        <v/>
      </c>
      <c r="BR97">
        <f>IF(BR7="",0,IFERROR(INDEX($W$5:$W$86,MATCH(BR7,$V$5:$V$86,0)),0))</f>
        <v/>
      </c>
      <c r="BS97">
        <f>IF(BS7="",0,IFERROR(INDEX($W$5:$W$86,MATCH(BS7,$V$5:$V$86,0)),0))</f>
        <v/>
      </c>
      <c r="BT97">
        <f>IF(BT7="",0,IFERROR(INDEX($W$5:$W$86,MATCH(BT7,$V$5:$V$86,0)),0))</f>
        <v/>
      </c>
      <c r="BU97">
        <f>IF(BU7="",0,IFERROR(INDEX($W$5:$W$86,MATCH(BU7,$V$5:$V$86,0)),0))</f>
        <v/>
      </c>
      <c r="BV97">
        <f>IF(BV7="",0,IFERROR(INDEX($W$5:$W$86,MATCH(BV7,$V$5:$V$86,0)),0))</f>
        <v/>
      </c>
      <c r="BW97">
        <f>IF(BW7="",0,IFERROR(INDEX($W$5:$W$86,MATCH(BW7,$V$5:$V$86,0)),0))</f>
        <v/>
      </c>
      <c r="BX97">
        <f>IF(BX7="",0,IFERROR(INDEX($W$5:$W$86,MATCH(BX7,$V$5:$V$86,0)),0))</f>
        <v/>
      </c>
      <c r="BY97">
        <f>IF(BY7="",0,IFERROR(INDEX($W$5:$W$86,MATCH(BY7,$V$5:$V$86,0)),0))</f>
        <v/>
      </c>
      <c r="BZ97">
        <f>IF(BZ7="",0,IFERROR(INDEX($W$5:$W$86,MATCH(BZ7,$V$5:$V$86,0)),0))</f>
        <v/>
      </c>
      <c r="CA97">
        <f>IF(CA7="",0,IFERROR(INDEX($W$5:$W$86,MATCH(CA7,$V$5:$V$86,0)),0))</f>
        <v/>
      </c>
      <c r="CB97">
        <f>IF(CB7="",0,IFERROR(INDEX($W$5:$W$86,MATCH(CB7,$V$5:$V$86,0)),0))</f>
        <v/>
      </c>
      <c r="CC97">
        <f>IF(CC7="",0,IFERROR(INDEX($W$5:$W$86,MATCH(CC7,$V$5:$V$86,0)),0))</f>
        <v/>
      </c>
      <c r="CD97">
        <f>IF(CD7="",0,IFERROR(INDEX($W$5:$W$86,MATCH(CD7,$V$5:$V$86,0)),0))</f>
        <v/>
      </c>
      <c r="CE97">
        <f>IF(CE7="",0,IFERROR(INDEX($W$5:$W$86,MATCH(CE7,$V$5:$V$86,0)),0))</f>
        <v/>
      </c>
      <c r="CF97">
        <f>IF(CF7="",0,IFERROR(INDEX($W$5:$W$86,MATCH(CF7,$V$5:$V$86,0)),0))</f>
        <v/>
      </c>
      <c r="DA97" t="n">
        <v>93</v>
      </c>
      <c r="DB97">
        <f>IF($B$37=0,"",IFERROR(TRIM(SUBSTITUTE(SUBSTITUTE(SUBSTITUTE(SUBSTITUTE(INDEX(PASTE_ALL,93,$B$37)," "," "),CHAR(9)," "),CHAR(10)," "),CHAR(13)," ")),""))</f>
        <v/>
      </c>
      <c r="DC97">
        <f>IF(AND(93&gt;HEADER_ROW,UPPER(DB97)="LEGEND"),1,0)</f>
        <v/>
      </c>
      <c r="DE97" t="n">
        <v>93</v>
      </c>
      <c r="DF97">
        <f>HEADER_ROW+$DE97</f>
        <v/>
      </c>
      <c r="DG97">
        <f>IF(AND($DF97&lt;=1000,$DF97&lt;$B$8),1,0)</f>
        <v/>
      </c>
      <c r="DH97">
        <f>IF($DG97=1,IFERROR(INDEX($DB$5:$DB$1004,$DF97),""),"")</f>
        <v/>
      </c>
      <c r="DI97">
        <f>IF(AND($DG97=1,$DH97&lt;&gt;""),IFERROR(SUBSTITUTE(SUBSTITUTE(TRIM(SUBSTITUTE(SUBSTITUTE(SUBSTITUTE(SUBSTITUTE(IFERROR(INDEX(PASTE_ALL,$DF97,1)&amp;"","")&amp;"␟"&amp;IFERROR(INDEX(PASTE_ALL,$DF97,2)&amp;"","")&amp;"␟"&amp;IFERROR(INDEX(PASTE_ALL,$DF97,3)&amp;"","")&amp;"␟"&amp;IFERROR(INDEX(PASTE_ALL,$DF97,4)&amp;"","")&amp;"␟"&amp;IFERROR(INDEX(PASTE_ALL,$DF97,5)&amp;"","")&amp;"␟"&amp;IFERROR(INDEX(PASTE_ALL,$DF97,6)&amp;"","")&amp;"␟"&amp;IFERROR(INDEX(PASTE_ALL,$DF97,7)&amp;"","")&amp;"␟"&amp;IFERROR(INDEX(PASTE_ALL,$DF97,8)&amp;"","")&amp;"␟"&amp;IFERROR(INDEX(PASTE_ALL,$DF97,9)&amp;"","")&amp;"␟"&amp;IFERROR(INDEX(PASTE_ALL,$DF97,10)&amp;"","")&amp;"␟"&amp;IFERROR(INDEX(PASTE_ALL,$DF97,11)&amp;"","")&amp;"␟"&amp;IFERROR(INDEX(PASTE_ALL,$DF97,12)&amp;"","")&amp;"␟"&amp;IFERROR(INDEX(PASTE_ALL,$DF97,13)&amp;"","")&amp;"␟"&amp;IFERROR(INDEX(PASTE_ALL,$DF97,14)&amp;"","")&amp;"␟"&amp;IFERROR(INDEX(PASTE_ALL,$DF97,15)&amp;"","")&amp;"␟"&amp;IFERROR(INDEX(PASTE_ALL,$DF97,16)&amp;"","")&amp;"␟"&amp;IFERROR(INDEX(PASTE_ALL,$DF97,17)&amp;"","")&amp;"␟"&amp;IFERROR(INDEX(PASTE_ALL,$DF97,18)&amp;"","")&amp;"␟"&amp;IFERROR(INDEX(PASTE_ALL,$DF97,19)&amp;"","")&amp;"␟"&amp;IFERROR(INDEX(PASTE_ALL,$DF97,20)&amp;"","")&amp;"␟"&amp;IFERROR(INDEX(PASTE_ALL,$DF97,21)&amp;"","")&amp;"␟"&amp;IFERROR(INDEX(PASTE_ALL,$DF97,22)&amp;"","")&amp;"␟"&amp;IFERROR(INDEX(PASTE_ALL,$DF97,23)&amp;"","")&amp;"␟"&amp;IFERROR(INDEX(PASTE_ALL,$DF97,24)&amp;"","")&amp;"␟"&amp;IFERROR(INDEX(PASTE_ALL,$DF97,25)&amp;"","")&amp;"␟"&amp;IFERROR(INDEX(PASTE_ALL,$DF97,26)&amp;"","")&amp;"␟"&amp;IFERROR(INDEX(PASTE_ALL,$DF97,27)&amp;"","")&amp;"␟"&amp;IFERROR(INDEX(PASTE_ALL,$DF97,28)&amp;"","")&amp;"␟"&amp;IFERROR(INDEX(PASTE_ALL,$DF97,29)&amp;"","")&amp;"␟"&amp;IFERROR(INDEX(PASTE_ALL,$DF97,30)&amp;"","")&amp;"␟"&amp;IFERROR(INDEX(PASTE_ALL,$DF97,31)&amp;"","")&amp;"␟"&amp;IFERROR(INDEX(PASTE_ALL,$DF97,32)&amp;"","")&amp;"␟"&amp;IFERROR(INDEX(PASTE_ALL,$DF97,33)&amp;"","")&amp;"␟"&amp;IFERROR(INDEX(PASTE_ALL,$DF97,34)&amp;"","")&amp;"␟"&amp;IFERROR(INDEX(PASTE_ALL,$DF97,35)&amp;"","")&amp;"␟"&amp;IFERROR(INDEX(PASTE_ALL,$DF97,36)&amp;"","")&amp;"␟"&amp;IFERROR(INDEX(PASTE_ALL,$DF97,37)&amp;"","")&amp;"␟"&amp;IFERROR(INDEX(PASTE_ALL,$DF97,38)&amp;"","")&amp;"␟"&amp;IFERROR(INDEX(PASTE_ALL,$DF97,39)&amp;"","")&amp;"␟"&amp;IFERROR(INDEX(PASTE_ALL,$DF97,40)&amp;"","")&amp;"␟"&amp;IFERROR(INDEX(PASTE_ALL,$DF97,41)&amp;"","")&amp;"␟"&amp;IFERROR(INDEX(PASTE_ALL,$DF97,42)&amp;"","")&amp;"␟"&amp;IFERROR(INDEX(PASTE_ALL,$DF97,43)&amp;"","")&amp;"␟"&amp;IFERROR(INDEX(PASTE_ALL,$DF97,44)&amp;"","")&amp;"␟"&amp;IFERROR(INDEX(PASTE_ALL,$DF97,45)&amp;"","")&amp;"␟"&amp;IFERROR(INDEX(PASTE_ALL,$DF97,46)&amp;"","")&amp;"␟"&amp;IFERROR(INDEX(PASTE_ALL,$DF97,47)&amp;"","")&amp;"␟"&amp;IFERROR(INDEX(PASTE_ALL,$DF97,48)&amp;"","")&amp;"␟"&amp;IFERROR(INDEX(PASTE_ALL,$DF97,49)&amp;"","")&amp;"␟"&amp;IFERROR(INDEX(PASTE_ALL,$DF97,50)&amp;"","")&amp;"␟"&amp;IFERROR(INDEX(PASTE_ALL,$DF97,51)&amp;"","")&amp;"␟"&amp;IFERROR(INDEX(PASTE_ALL,$DF97,52)&amp;"","")&amp;"␟"&amp;IFERROR(INDEX(PASTE_ALL,$DF97,53)&amp;"","")&amp;"␟"&amp;IFERROR(INDEX(PASTE_ALL,$DF97,54)&amp;"","")&amp;"␟"&amp;IFERROR(INDEX(PASTE_ALL,$DF97,55)&amp;"","")&amp;"␟"&amp;IFERROR(INDEX(PASTE_ALL,$DF97,56)&amp;"","")&amp;"␟"&amp;IFERROR(INDEX(PASTE_ALL,$DF97,57)&amp;"","")&amp;"␟"&amp;IFERROR(INDEX(PASTE_ALL,$DF97,58)&amp;"","")&amp;"␟"&amp;IFERROR(INDEX(PASTE_ALL,$DF97,59)&amp;"","")&amp;"␟"&amp;IFERROR(INDEX(PASTE_ALL,$DF97,60)&amp;"","")," "," "),CHAR(9)," "),CHAR(10)," "),CHAR(13)," "))," ␟","␟"),"␟ ","␟"),"#"&amp;$DE97),"")</f>
        <v/>
      </c>
      <c r="DJ97">
        <f>IF($DI97="",0,IF(SUMPRODUCT(--EXACT($DI$4:DI96,$DI97))&gt;0,1,0))</f>
        <v/>
      </c>
      <c r="DK97">
        <f>IF(AND($DI97&lt;&gt;"",$DJ97=0),1,0)</f>
        <v/>
      </c>
      <c r="DL97">
        <f>DL96+$DK97</f>
        <v/>
      </c>
      <c r="DM97">
        <f>IF(AND($DK97=1,$DL97&lt;=600),1,0)</f>
        <v/>
      </c>
      <c r="DN97">
        <f>IF($DM97=0,"",IF($L$6=0,"",IFERROR(IF(ISNUMBER(INDEX(PASTE_ALL,$DF97,$L$6)),INDEX(PASTE_ALL,$DF97,$L$6),TRIM(SUBSTITUTE(SUBSTITUTE(SUBSTITUTE(SUBSTITUTE(INDEX(PASTE_ALL,$DF97,$L$6)," "," "),CHAR(9)," "),CHAR(10)," "),CHAR(13)," "))),"")))</f>
        <v/>
      </c>
      <c r="DO97">
        <f>IF($DM97=0,"",IF($L$7=0,"",IFERROR(IF(ISNUMBER(INDEX(PASTE_ALL,$DF97,$L$7)),INDEX(PASTE_ALL,$DF97,$L$7),TRIM(SUBSTITUTE(SUBSTITUTE(SUBSTITUTE(SUBSTITUTE(INDEX(PASTE_ALL,$DF97,$L$7)," "," "),CHAR(9)," "),CHAR(10)," "),CHAR(13)," "))),"")))</f>
        <v/>
      </c>
      <c r="DP97">
        <f>IF($DM97=0,"",IF($L$8=0,"",IFERROR(IF(ISNUMBER(INDEX(PASTE_ALL,$DF97,$L$8)),INDEX(PASTE_ALL,$DF97,$L$8),TRIM(SUBSTITUTE(SUBSTITUTE(SUBSTITUTE(SUBSTITUTE(INDEX(PASTE_ALL,$DF97,$L$8)," "," "),CHAR(9)," "),CHAR(10)," "),CHAR(13)," "))),"")))</f>
        <v/>
      </c>
      <c r="DQ97">
        <f>IF($DM97=0,"",IF($L$9=0,"",IFERROR(IF(ISNUMBER(INDEX(PASTE_ALL,$DF97,$L$9)),INDEX(PASTE_ALL,$DF97,$L$9),TRIM(SUBSTITUTE(SUBSTITUTE(SUBSTITUTE(SUBSTITUTE(INDEX(PASTE_ALL,$DF97,$L$9)," "," "),CHAR(9)," "),CHAR(10)," "),CHAR(13)," "))),"")))</f>
        <v/>
      </c>
      <c r="DR97">
        <f>IF($DM97=0,"",IF($L$10=0,"",IFERROR(IF(ISNUMBER(INDEX(PASTE_ALL,$DF97,$L$10)),INDEX(PASTE_ALL,$DF97,$L$10),TRIM(SUBSTITUTE(SUBSTITUTE(SUBSTITUTE(SUBSTITUTE(INDEX(PASTE_ALL,$DF97,$L$10)," "," "),CHAR(9)," "),CHAR(10)," "),CHAR(13)," "))),"")))</f>
        <v/>
      </c>
      <c r="DS97">
        <f>IF($DM97=0,"",IF($L$11=0,"",IFERROR(IF(ISNUMBER(INDEX(PASTE_ALL,$DF97,$L$11)),INDEX(PASTE_ALL,$DF97,$L$11),TRIM(SUBSTITUTE(SUBSTITUTE(SUBSTITUTE(SUBSTITUTE(INDEX(PASTE_ALL,$DF97,$L$11)," "," "),CHAR(9)," "),CHAR(10)," "),CHAR(13)," "))),"")))</f>
        <v/>
      </c>
      <c r="DT97">
        <f>IF($DM97=0,"",IF($L$12=0,"",IFERROR(IF(ISNUMBER(INDEX(PASTE_ALL,$DF97,$L$12)),INDEX(PASTE_ALL,$DF97,$L$12),TRIM(SUBSTITUTE(SUBSTITUTE(SUBSTITUTE(SUBSTITUTE(INDEX(PASTE_ALL,$DF97,$L$12)," "," "),CHAR(9)," "),CHAR(10)," "),CHAR(13)," "))),"")))</f>
        <v/>
      </c>
      <c r="DU97">
        <f>IF($DM97=0,"",IF($L$13=0,"",IFERROR(IF(ISNUMBER(INDEX(PASTE_ALL,$DF97,$L$13)),INDEX(PASTE_ALL,$DF97,$L$13),TRIM(SUBSTITUTE(SUBSTITUTE(SUBSTITUTE(SUBSTITUTE(INDEX(PASTE_ALL,$DF97,$L$13)," "," "),CHAR(9)," "),CHAR(10)," "),CHAR(13)," "))),"")))</f>
        <v/>
      </c>
      <c r="DV97">
        <f>IF($DM97=0,"",IF($L$14=0,"",IFERROR(IF(ISNUMBER(INDEX(PASTE_ALL,$DF97,$L$14)),INDEX(PASTE_ALL,$DF97,$L$14),TRIM(SUBSTITUTE(SUBSTITUTE(SUBSTITUTE(SUBSTITUTE(INDEX(PASTE_ALL,$DF97,$L$14)," "," "),CHAR(9)," "),CHAR(10)," "),CHAR(13)," "))),"")))</f>
        <v/>
      </c>
      <c r="DW97">
        <f>IF($DM97=0,"",IF($L$15=0,"",IFERROR(IF(ISNUMBER(INDEX(PASTE_ALL,$DF97,$L$15)),INDEX(PASTE_ALL,$DF97,$L$15),IF(SUMPRODUCT(--ISNUMBER(FIND({"A","B","C","D","E","F","G","H","I","J","K","L","M","N","O","P","Q","R","S","T","U","V","W","X","Y","Z","0","1","2","3","4","5","6","7","8","9"},UPPER(TRIM(SUBSTITUTE(SUBSTITUTE(SUBSTITUTE(SUBSTITUTE(INDEX(PASTE_ALL,$DF97,$L$15)," "," "),CHAR(9)," "),CHAR(10)," "),CHAR(13)," "))))))&gt;0,TRIM(SUBSTITUTE(SUBSTITUTE(SUBSTITUTE(SUBSTITUTE(INDEX(PASTE_ALL,$DF97,$L$15)," "," "),CHAR(9)," "),CHAR(10)," "),CHAR(13)," ")),"")),"")))</f>
        <v/>
      </c>
      <c r="DX97">
        <f>IF($DM97=0,"",IF($L$16=0,"",IFERROR(IF(ISNUMBER(INDEX(PASTE_ALL,$DF97,$L$16)),INDEX(PASTE_ALL,$DF97,$L$16),SUBSTITUTE(SUBSTITUTE(TRIM(SUBSTITUTE(SUBSTITUTE(SUBSTITUTE(SUBSTITUTE(INDEX(PASTE_ALL,$DF97,$L$16)," "," "),CHAR(9)," "),CHAR(10)," "),CHAR(13)," ")),",",""),"%","")),"")))</f>
        <v/>
      </c>
      <c r="DY97">
        <f>IF($DM97=0,"",IFERROR(IF(ISNUMBER($DX97),$DX97,IF($DX97="","",IF(TRIM($DX97)="",0,IF(AND(AND(SUBSTITUTE(SUBSTITUTE(SUBSTITUTE(SUBSTITUTE(SUBSTITUTE(SUBSTITUTE(SUBSTITUTE(SUBSTITUTE(SUBSTITUTE(SUBSTITUTE(SUBSTITUTE(SUBSTITUTE(SUBSTITUTE(SUBSTITUTE(UPPER(TRIM($DX97)),"0",""),"1",""),"2",""),"3",""),"4",""),"5",""),"6",""),"7",""),"8",""),"9",""),".",""),"+",""),"-",""),"E","")="",LEN(SUBSTITUTE(SUBSTITUTE(MID(UPPER(TRIM($DX97)),1+OR(LEFT(UPPER(TRIM($DX97)),1)="+",LEFT(UPPER(TRIM($DX97)),1)="-"),999),"E+","E"),"E-","E"))=LEN(SUBSTITUTE(SUBSTITUTE(SUBSTITUTE(SUBSTITUTE(MID(UPPER(TRIM($DX97)),1+OR(LEFT(UPPER(TRIM($DX97)),1)="+",LEFT(UPPER(TRIM($DX97)),1)="-"),999),"E+","E"),"E-","E"),"+",""),"-","")),LEN(UPPER(TRIM($DX97)))-LEN(SUBSTITUTE(UPPER(TRIM($DX97)),"E",""))&lt;2,LEN(UPPER(TRIM($DX97)))-LEN(SUBSTITUTE(UPPER(TRIM($DX97)),".",""))&lt;2,IFERROR(FIND(".",UPPER(TRIM($DX97))),0)&lt;IFERROR(FIND("E",UPPER(TRIM($DX97))),999)),ISNUMBER(VALUE(TRIM($DX97)))),VALUE(TRIM($DX97)),"")))),""))</f>
        <v/>
      </c>
      <c r="DZ97">
        <f>IF($DM97=0,"",IF($L$17=0,"",IFERROR(IF(ISNUMBER(INDEX(PASTE_ALL,$DF97,$L$17)),INDEX(PASTE_ALL,$DF97,$L$17),SUBSTITUTE(SUBSTITUTE(TRIM(SUBSTITUTE(SUBSTITUTE(SUBSTITUTE(SUBSTITUTE(INDEX(PASTE_ALL,$DF97,$L$17)," "," "),CHAR(9)," "),CHAR(10)," "),CHAR(13)," ")),",",""),"%","")),"")))</f>
        <v/>
      </c>
      <c r="EA97">
        <f>IF($DM97=0,"",IFERROR(IF(ISNUMBER($DZ97),$DZ97,IF($DZ97="","",IF(TRIM($DZ97)="",0,IF(AND(AND(SUBSTITUTE(SUBSTITUTE(SUBSTITUTE(SUBSTITUTE(SUBSTITUTE(SUBSTITUTE(SUBSTITUTE(SUBSTITUTE(SUBSTITUTE(SUBSTITUTE(SUBSTITUTE(SUBSTITUTE(SUBSTITUTE(SUBSTITUTE(UPPER(TRIM($DZ97)),"0",""),"1",""),"2",""),"3",""),"4",""),"5",""),"6",""),"7",""),"8",""),"9",""),".",""),"+",""),"-",""),"E","")="",LEN(SUBSTITUTE(SUBSTITUTE(MID(UPPER(TRIM($DZ97)),1+OR(LEFT(UPPER(TRIM($DZ97)),1)="+",LEFT(UPPER(TRIM($DZ97)),1)="-"),999),"E+","E"),"E-","E"))=LEN(SUBSTITUTE(SUBSTITUTE(SUBSTITUTE(SUBSTITUTE(MID(UPPER(TRIM($DZ97)),1+OR(LEFT(UPPER(TRIM($DZ97)),1)="+",LEFT(UPPER(TRIM($DZ97)),1)="-"),999),"E+","E"),"E-","E"),"+",""),"-","")),LEN(UPPER(TRIM($DZ97)))-LEN(SUBSTITUTE(UPPER(TRIM($DZ97)),"E",""))&lt;2,LEN(UPPER(TRIM($DZ97)))-LEN(SUBSTITUTE(UPPER(TRIM($DZ97)),".",""))&lt;2,IFERROR(FIND(".",UPPER(TRIM($DZ97))),0)&lt;IFERROR(FIND("E",UPPER(TRIM($DZ97))),999)),ISNUMBER(VALUE(TRIM($DZ97)))),VALUE(TRIM($DZ97)),"")))),""))</f>
        <v/>
      </c>
      <c r="EB97">
        <f>IF($DM97=0,"",IF($L$18=0,"",IFERROR(IF(UPPER(TRIM(SUBSTITUTE(SUBSTITUTE(SUBSTITUTE(SUBSTITUTE(INDEX(PASTE_ALL,$DF97,$L$18)," "," "),CHAR(9)," "),CHAR(10)," "),CHAR(13)," ")))="READY","Ready",IF(UPPER(TRIM(SUBSTITUTE(SUBSTITUTE(SUBSTITUTE(SUBSTITUTE(INDEX(PASTE_ALL,$DF97,$L$18)," "," "),CHAR(9)," "),CHAR(10)," "),CHAR(13)," ")))="PM","PM",IF(OR(UPPER(TRIM(SUBSTITUTE(SUBSTITUTE(SUBSTITUTE(SUBSTITUTE(INDEX(PASTE_ALL,$DF97,$L$18)," "," "),CHAR(9)," "),CHAR(10)," "),CHAR(13)," ")))="OT",UPPER(TRIM(SUBSTITUTE(SUBSTITUTE(SUBSTITUTE(SUBSTITUTE(INDEX(PASTE_ALL,$DF97,$L$18)," "," "),CHAR(9)," "),CHAR(10)," "),CHAR(13)," ")))="OVERTIME",UPPER(TRIM(SUBSTITUTE(SUBSTITUTE(SUBSTITUTE(SUBSTITUTE(INDEX(PASTE_ALL,$DF97,$L$18)," "," "),CHAR(9)," "),CHAR(10)," "),CHAR(13)," ")))="TRIAL"),"OT",TRIM(SUBSTITUTE(SUBSTITUTE(SUBSTITUTE(SUBSTITUTE(INDEX(PASTE_ALL,$DF97,$L$18)," "," "),CHAR(9)," "),CHAR(10)," "),CHAR(13)," "))))),"")))</f>
        <v/>
      </c>
      <c r="EC97">
        <f>IF($DM97=0,"",IF($L$19=0,"",IFERROR(IF(ISNUMBER(INDEX(PASTE_ALL,$DF97,$L$19)),INDEX(PASTE_ALL,$DF97,$L$19),TRIM(SUBSTITUTE(SUBSTITUTE(SUBSTITUTE(SUBSTITUTE(INDEX(PASTE_ALL,$DF97,$L$19)," "," "),CHAR(9)," "),CHAR(10)," "),CHAR(13)," "))),"")))</f>
        <v/>
      </c>
      <c r="ED97">
        <f>IF($DM97=0,"",MATCH(1,INDEX(EXACT($DH$5:DH97,$DH97)*$DM$5:DM97,0),0))</f>
        <v/>
      </c>
      <c r="EE97">
        <f>IF($DM97=0,0,IF($ED97=$DE97,1,0))</f>
        <v/>
      </c>
      <c r="EF97">
        <f>EF96+$EE97</f>
        <v/>
      </c>
      <c r="EG97">
        <f>IF($DM97=0,"",INDEX($EF$5:$EF$1003,$ED97))</f>
        <v/>
      </c>
      <c r="EH97">
        <f>IF($DM97=0,"",IF($DO97&lt;&gt;"","",IFERROR(LOOKUP(2,1/(($EG$4:EG96=$EG97)*($DO$4:DO96&lt;&gt;"")),$DO$4:DO96),"")))</f>
        <v/>
      </c>
      <c r="EI97">
        <f>IF($DM97=0,"",IF($DO97&lt;&gt;"",$DO97,$EH97))</f>
        <v/>
      </c>
      <c r="EJ97">
        <f>IF($DM97=0,"",IF($EI97="",0,IF(OR(ISNUMBER($EI97),AND(AND(SUBSTITUTE(SUBSTITUTE(SUBSTITUTE(SUBSTITUTE(SUBSTITUTE(SUBSTITUTE(SUBSTITUTE(SUBSTITUTE(SUBSTITUTE(SUBSTITUTE(SUBSTITUTE(SUBSTITUTE(SUBSTITUTE(SUBSTITUTE(UPPER($EI97),"0",""),"1",""),"2",""),"3",""),"4",""),"5",""),"6",""),"7",""),"8",""),"9",""),".",""),"+",""),"-",""),"E","")="",LEN(SUBSTITUTE(SUBSTITUTE(MID(UPPER($EI97),1+OR(LEFT(UPPER($EI97),1)="+",LEFT(UPPER($EI97),1)="-"),999),"E+","E"),"E-","E"))=LEN(SUBSTITUTE(SUBSTITUTE(SUBSTITUTE(SUBSTITUTE(MID(UPPER($EI97),1+OR(LEFT(UPPER($EI97),1)="+",LEFT(UPPER($EI97),1)="-"),999),"E+","E"),"E-","E"),"+",""),"-","")),LEN(UPPER($EI97))-LEN(SUBSTITUTE(UPPER($EI97),"E",""))&lt;2,LEN(UPPER($EI97))-LEN(SUBSTITUTE(UPPER($EI97),".",""))&lt;2,IFERROR(FIND(".",UPPER($EI97)),0)&lt;IFERROR(FIND("E",UPPER($EI97)),999)),ISNUMBER(VALUE($EI97)))),1,2)))</f>
        <v/>
      </c>
      <c r="EK97">
        <f>IF($DM97=0,"",IF($EJ97=1,IF(ISNUMBER($EI97),$EI97,VALUE($EI97)),IF($EJ97=2,$DE97,0)))</f>
        <v/>
      </c>
      <c r="EL97">
        <f>IF($DM97=0,"",COUNTIF($EG$5:$EG$1003,"&lt;"&amp;$EG97)+SUMPRODUCT(($EG$5:$EG$1003=$EG97)*(($EJ$5:$EJ$1003&lt;$EJ97)+($EJ$5:$EJ$1003=$EJ97)*(($EK$5:$EK$1003&lt;$EK97)+($EK$5:$EK$1003=$EK97)*($DE$5:$DE$1003&lt;$DE97))))+1)</f>
        <v/>
      </c>
      <c r="EM97">
        <f>IF($DM97=0,"",$EL97+$EG97-1)</f>
        <v/>
      </c>
      <c r="EN97">
        <f>IF($DM97=0,0,IFERROR(MATCH(1,INDEX(--(TRIM(SUBSTITUTE(SUBSTITUTE(SUBSTITUTE(SUBSTITUTE(LINES_NAME&amp;""," "," "),CHAR(9)," "),CHAR(10)," "),CHAR(13)," "))=$DH97),0),0),0))</f>
        <v/>
      </c>
      <c r="EO97">
        <f>IF($EN97=0,0,IF(OR(UPPER(TRIM(INDEX(LINES_SCHEDULED,$EN97)&amp;""))="YES",UPPER(TRIM(INDEX(LINES_SCHEDULED,$EN97)&amp;""))="Y",UPPER(TRIM(INDEX(LINES_SCHEDULED,$EN97)&amp;""))="X"),1,0))</f>
        <v/>
      </c>
      <c r="EP97">
        <f>IF($DM97=0,"",IF(COUNTIFS($EG$5:$EG$1003,$EG97,$EB$5:$EB$1003,"Ready")&gt;0,"READY",IF(COUNTIFS($EG$5:$EG$1003,$EG97,$EB$5:$EB$1003,"PM")&gt;0,"PM",IF(COUNTIFS($EG$5:$EG$1003,$EG97,$EB$5:$EB$1003,"OT")&gt;0,"OT",""))))</f>
        <v/>
      </c>
      <c r="EQ97">
        <f>IF($EN97=0,"",UPPER(TRIM(INDEX(LINES_STATUS,$EN97)&amp;"")))</f>
        <v/>
      </c>
      <c r="ER97">
        <f>IF($DM97=0,"",IF(OR($EQ97="READY",$EQ97="PM",$EQ97="OT"),$EQ97,$EP97))</f>
        <v/>
      </c>
      <c r="ES97">
        <f>IF($DM97=0,"",IF(AND($DV97&lt;&gt;"",UPPER($DV97)&lt;&gt;"N"),"allergen",IF(ISNUMBER(SEARCH("oil",$DQ97)),"oil",IF(OR(EXACT($DS97,"A662"),EXACT($DS97,"A624")),"bulk",""))))</f>
        <v/>
      </c>
      <c r="ET97">
        <f>IF($DM97=0,"",IF(OR($EA97="",$EA97=0),"",$EA97/100))</f>
        <v/>
      </c>
      <c r="EU97">
        <f>IF(OR($ET97="",$DY97=""),"",INT($DY97*(1-$ET97)+0.5))</f>
        <v/>
      </c>
      <c r="EW97" t="n">
        <v>93</v>
      </c>
      <c r="EX97">
        <f>IFERROR(MATCH($EW97,$EM$5:$EM$1003,0),0)</f>
        <v/>
      </c>
      <c r="EY97">
        <f>IF($EW97&gt;$B$12,"",IF($EX97&gt;0,"row","spacer"))</f>
        <v/>
      </c>
      <c r="EZ97">
        <f>IF(AND($EY97="row",$EY96&lt;&gt;"row"),1,0)</f>
        <v/>
      </c>
      <c r="FA97">
        <f>IF(AND($EY97="row",$EY98&lt;&gt;"row"),1,0)</f>
        <v/>
      </c>
      <c r="FB97">
        <f>IF($EZ97=1,IFERROR(IF(ISNUMBER(INDEX(PASTE_ALL,INDEX($DF$5:$DF$1003,$EX97),$B$37)),INDEX(PASTE_ALL,INDEX($DF$5:$DF$1003,$EX97),$B$37),INDEX($DH$5:$DH$1003,$EX97)),INDEX($DH$5:$DH$1003,$EX97)),"")</f>
        <v/>
      </c>
      <c r="FC97">
        <f>IF($EY97="row",INDEX($ER$5:$ER$1003,$EX97),"")</f>
        <v/>
      </c>
      <c r="FD97">
        <f>IF($EY97="row",INDEX($DN$5:$DN$1003,$EX97),"")</f>
        <v/>
      </c>
      <c r="FE97">
        <f>IF($EY97="row",INDEX($DO$5:$DO$1003,$EX97),"")</f>
        <v/>
      </c>
      <c r="FF97">
        <f>IF($EY97="row",INDEX($DP$5:$DP$1003,$EX97),"")</f>
        <v/>
      </c>
      <c r="FG97">
        <f>IF($EY97="row",INDEX($DQ$5:$DQ$1003,$EX97),"")</f>
        <v/>
      </c>
      <c r="FH97">
        <f>IF($EY97="row",INDEX($DR$5:$DR$1003,$EX97),"")</f>
        <v/>
      </c>
      <c r="FI97">
        <f>IF($EY97="row",INDEX($DS$5:$DS$1003,$EX97),"")</f>
        <v/>
      </c>
      <c r="FJ97">
        <f>IF($EY97="row",INDEX($DT$5:$DT$1003,$EX97),"")</f>
        <v/>
      </c>
      <c r="FK97">
        <f>IF($EY97="row",INDEX($DU$5:$DU$1003,$EX97),"")</f>
        <v/>
      </c>
      <c r="FL97">
        <f>IF($EY97="row",INDEX($DV$5:$DV$1003,$EX97),"")</f>
        <v/>
      </c>
      <c r="FM97">
        <f>IF($EY97="row",INDEX($DW$5:$DW$1003,$EX97),"")</f>
        <v/>
      </c>
      <c r="FN97">
        <f>IF($EY97="row",INDEX($DY$5:$DY$1003,$EX97),"")</f>
        <v/>
      </c>
      <c r="FO97">
        <f>IF($EY97="row",INDEX($EA$5:$EA$1003,$EX97),"")</f>
        <v/>
      </c>
      <c r="FP97">
        <f>IF($EY97="row",INDEX($EC$5:$EC$1003,$EX97),"")</f>
        <v/>
      </c>
      <c r="FQ97">
        <f>IF($EY97="row",INDEX($ET$5:$ET$1003,$EX97),"")</f>
        <v/>
      </c>
      <c r="FR97">
        <f>IF($EY97="row",INDEX($EU$5:$EU$1003,$EX97),"")</f>
        <v/>
      </c>
      <c r="FS97">
        <f>IF(AND($EY97="row",$EY96="row"),IF(OR(INDEX($DT$5:$DT$1003,$EX96)="",INDEX($DT$5:$DT$1003,$EX97)=""),"",IF(NOT(EXACT(INDEX($DT$5:$DT$1003,$EX96),INDEX($DT$5:$DT$1003,$EX97))),"S4",IF(NOT(EXACT(INDEX($DS$5:$DS$1003,$EX96),INDEX($DS$5:$DS$1003,$EX97))),"S3",IF(NOT(EXACT(INDEX($DR$5:$DR$1003,$EX96),INDEX($DR$5:$DR$1003,$EX97))),"S1 Count Change","S1")))),"")</f>
        <v/>
      </c>
      <c r="FT97">
        <f>IF($EY97="row",INDEX($ES$5:$ES$1003,$EX97),"")</f>
        <v/>
      </c>
      <c r="FU97">
        <f>IF($EY97="row",INDEX($EO$5:$EO$1003,$EX97),0)</f>
        <v/>
      </c>
      <c r="FV97">
        <f>IF($FS97="S1 Count Change",1,0)</f>
        <v/>
      </c>
      <c r="FX97" t="n">
        <v>93</v>
      </c>
      <c r="FY97">
        <f>IFERROR(MATCH($FX97,$EF$5:$EF$1003,0),0)</f>
        <v/>
      </c>
      <c r="FZ97">
        <f>IF($FY97=0,"",INDEX($DH$5:$DH$1003,$FY97))</f>
        <v/>
      </c>
      <c r="GA97">
        <f>IF($FY97=0,"",COUNTIF($EG$5:$EG$1003,$FX97))</f>
        <v/>
      </c>
      <c r="GB97">
        <f>IF($FY97=0,"",INDEX($ER$5:$ER$1003,$FY97))</f>
        <v/>
      </c>
      <c r="GC97">
        <f>IF($FY97=0,"",IF(INDEX($EO$5:$EO$1003,$FY97)=1,"Yes",""))</f>
        <v/>
      </c>
      <c r="GD97">
        <f>IF($FY97=0,"",IF(INDEX($EN$5:$EN$1003,$FY97)&gt;0,"","NOT IN YOUR LIST - type it in column A to tick it"))</f>
        <v/>
      </c>
      <c r="GE97">
        <f>IF(AND($FY97&gt;0,$GD97&lt;&gt;""),1,0)</f>
        <v/>
      </c>
      <c r="GF97">
        <f>GF96+$GE97</f>
        <v/>
      </c>
      <c r="GG97">
        <f>IFERROR(INDEX($FZ$5:$FZ$104,MATCH($FX97,$GF$5:$GF$104,0)),"")</f>
        <v/>
      </c>
    </row>
    <row r="98">
      <c r="Y98">
        <f>IF(Y8="",0,IFERROR(INDEX($W$5:$W$86,MATCH(Y8,$V$5:$V$86,0)),0))</f>
        <v/>
      </c>
      <c r="Z98">
        <f>IF(Z8="",0,IFERROR(INDEX($W$5:$W$86,MATCH(Z8,$V$5:$V$86,0)),0))</f>
        <v/>
      </c>
      <c r="AA98">
        <f>IF(AA8="",0,IFERROR(INDEX($W$5:$W$86,MATCH(AA8,$V$5:$V$86,0)),0))</f>
        <v/>
      </c>
      <c r="AB98">
        <f>IF(AB8="",0,IFERROR(INDEX($W$5:$W$86,MATCH(AB8,$V$5:$V$86,0)),0))</f>
        <v/>
      </c>
      <c r="AC98">
        <f>IF(AC8="",0,IFERROR(INDEX($W$5:$W$86,MATCH(AC8,$V$5:$V$86,0)),0))</f>
        <v/>
      </c>
      <c r="AD98">
        <f>IF(AD8="",0,IFERROR(INDEX($W$5:$W$86,MATCH(AD8,$V$5:$V$86,0)),0))</f>
        <v/>
      </c>
      <c r="AE98">
        <f>IF(AE8="",0,IFERROR(INDEX($W$5:$W$86,MATCH(AE8,$V$5:$V$86,0)),0))</f>
        <v/>
      </c>
      <c r="AF98">
        <f>IF(AF8="",0,IFERROR(INDEX($W$5:$W$86,MATCH(AF8,$V$5:$V$86,0)),0))</f>
        <v/>
      </c>
      <c r="AG98">
        <f>IF(AG8="",0,IFERROR(INDEX($W$5:$W$86,MATCH(AG8,$V$5:$V$86,0)),0))</f>
        <v/>
      </c>
      <c r="AH98">
        <f>IF(AH8="",0,IFERROR(INDEX($W$5:$W$86,MATCH(AH8,$V$5:$V$86,0)),0))</f>
        <v/>
      </c>
      <c r="AI98">
        <f>IF(AI8="",0,IFERROR(INDEX($W$5:$W$86,MATCH(AI8,$V$5:$V$86,0)),0))</f>
        <v/>
      </c>
      <c r="AJ98">
        <f>IF(AJ8="",0,IFERROR(INDEX($W$5:$W$86,MATCH(AJ8,$V$5:$V$86,0)),0))</f>
        <v/>
      </c>
      <c r="AK98">
        <f>IF(AK8="",0,IFERROR(INDEX($W$5:$W$86,MATCH(AK8,$V$5:$V$86,0)),0))</f>
        <v/>
      </c>
      <c r="AL98">
        <f>IF(AL8="",0,IFERROR(INDEX($W$5:$W$86,MATCH(AL8,$V$5:$V$86,0)),0))</f>
        <v/>
      </c>
      <c r="AM98">
        <f>IF(AM8="",0,IFERROR(INDEX($W$5:$W$86,MATCH(AM8,$V$5:$V$86,0)),0))</f>
        <v/>
      </c>
      <c r="AN98">
        <f>IF(AN8="",0,IFERROR(INDEX($W$5:$W$86,MATCH(AN8,$V$5:$V$86,0)),0))</f>
        <v/>
      </c>
      <c r="AO98">
        <f>IF(AO8="",0,IFERROR(INDEX($W$5:$W$86,MATCH(AO8,$V$5:$V$86,0)),0))</f>
        <v/>
      </c>
      <c r="AP98">
        <f>IF(AP8="",0,IFERROR(INDEX($W$5:$W$86,MATCH(AP8,$V$5:$V$86,0)),0))</f>
        <v/>
      </c>
      <c r="AQ98">
        <f>IF(AQ8="",0,IFERROR(INDEX($W$5:$W$86,MATCH(AQ8,$V$5:$V$86,0)),0))</f>
        <v/>
      </c>
      <c r="AR98">
        <f>IF(AR8="",0,IFERROR(INDEX($W$5:$W$86,MATCH(AR8,$V$5:$V$86,0)),0))</f>
        <v/>
      </c>
      <c r="AS98">
        <f>IF(AS8="",0,IFERROR(INDEX($W$5:$W$86,MATCH(AS8,$V$5:$V$86,0)),0))</f>
        <v/>
      </c>
      <c r="AT98">
        <f>IF(AT8="",0,IFERROR(INDEX($W$5:$W$86,MATCH(AT8,$V$5:$V$86,0)),0))</f>
        <v/>
      </c>
      <c r="AU98">
        <f>IF(AU8="",0,IFERROR(INDEX($W$5:$W$86,MATCH(AU8,$V$5:$V$86,0)),0))</f>
        <v/>
      </c>
      <c r="AV98">
        <f>IF(AV8="",0,IFERROR(INDEX($W$5:$W$86,MATCH(AV8,$V$5:$V$86,0)),0))</f>
        <v/>
      </c>
      <c r="AW98">
        <f>IF(AW8="",0,IFERROR(INDEX($W$5:$W$86,MATCH(AW8,$V$5:$V$86,0)),0))</f>
        <v/>
      </c>
      <c r="AX98">
        <f>IF(AX8="",0,IFERROR(INDEX($W$5:$W$86,MATCH(AX8,$V$5:$V$86,0)),0))</f>
        <v/>
      </c>
      <c r="AY98">
        <f>IF(AY8="",0,IFERROR(INDEX($W$5:$W$86,MATCH(AY8,$V$5:$V$86,0)),0))</f>
        <v/>
      </c>
      <c r="AZ98">
        <f>IF(AZ8="",0,IFERROR(INDEX($W$5:$W$86,MATCH(AZ8,$V$5:$V$86,0)),0))</f>
        <v/>
      </c>
      <c r="BA98">
        <f>IF(BA8="",0,IFERROR(INDEX($W$5:$W$86,MATCH(BA8,$V$5:$V$86,0)),0))</f>
        <v/>
      </c>
      <c r="BB98">
        <f>IF(BB8="",0,IFERROR(INDEX($W$5:$W$86,MATCH(BB8,$V$5:$V$86,0)),0))</f>
        <v/>
      </c>
      <c r="BC98">
        <f>IF(BC8="",0,IFERROR(INDEX($W$5:$W$86,MATCH(BC8,$V$5:$V$86,0)),0))</f>
        <v/>
      </c>
      <c r="BD98">
        <f>IF(BD8="",0,IFERROR(INDEX($W$5:$W$86,MATCH(BD8,$V$5:$V$86,0)),0))</f>
        <v/>
      </c>
      <c r="BE98">
        <f>IF(BE8="",0,IFERROR(INDEX($W$5:$W$86,MATCH(BE8,$V$5:$V$86,0)),0))</f>
        <v/>
      </c>
      <c r="BF98">
        <f>IF(BF8="",0,IFERROR(INDEX($W$5:$W$86,MATCH(BF8,$V$5:$V$86,0)),0))</f>
        <v/>
      </c>
      <c r="BG98">
        <f>IF(BG8="",0,IFERROR(INDEX($W$5:$W$86,MATCH(BG8,$V$5:$V$86,0)),0))</f>
        <v/>
      </c>
      <c r="BH98">
        <f>IF(BH8="",0,IFERROR(INDEX($W$5:$W$86,MATCH(BH8,$V$5:$V$86,0)),0))</f>
        <v/>
      </c>
      <c r="BI98">
        <f>IF(BI8="",0,IFERROR(INDEX($W$5:$W$86,MATCH(BI8,$V$5:$V$86,0)),0))</f>
        <v/>
      </c>
      <c r="BJ98">
        <f>IF(BJ8="",0,IFERROR(INDEX($W$5:$W$86,MATCH(BJ8,$V$5:$V$86,0)),0))</f>
        <v/>
      </c>
      <c r="BK98">
        <f>IF(BK8="",0,IFERROR(INDEX($W$5:$W$86,MATCH(BK8,$V$5:$V$86,0)),0))</f>
        <v/>
      </c>
      <c r="BL98">
        <f>IF(BL8="",0,IFERROR(INDEX($W$5:$W$86,MATCH(BL8,$V$5:$V$86,0)),0))</f>
        <v/>
      </c>
      <c r="BM98">
        <f>IF(BM8="",0,IFERROR(INDEX($W$5:$W$86,MATCH(BM8,$V$5:$V$86,0)),0))</f>
        <v/>
      </c>
      <c r="BN98">
        <f>IF(BN8="",0,IFERROR(INDEX($W$5:$W$86,MATCH(BN8,$V$5:$V$86,0)),0))</f>
        <v/>
      </c>
      <c r="BO98">
        <f>IF(BO8="",0,IFERROR(INDEX($W$5:$W$86,MATCH(BO8,$V$5:$V$86,0)),0))</f>
        <v/>
      </c>
      <c r="BP98">
        <f>IF(BP8="",0,IFERROR(INDEX($W$5:$W$86,MATCH(BP8,$V$5:$V$86,0)),0))</f>
        <v/>
      </c>
      <c r="BQ98">
        <f>IF(BQ8="",0,IFERROR(INDEX($W$5:$W$86,MATCH(BQ8,$V$5:$V$86,0)),0))</f>
        <v/>
      </c>
      <c r="BR98">
        <f>IF(BR8="",0,IFERROR(INDEX($W$5:$W$86,MATCH(BR8,$V$5:$V$86,0)),0))</f>
        <v/>
      </c>
      <c r="BS98">
        <f>IF(BS8="",0,IFERROR(INDEX($W$5:$W$86,MATCH(BS8,$V$5:$V$86,0)),0))</f>
        <v/>
      </c>
      <c r="BT98">
        <f>IF(BT8="",0,IFERROR(INDEX($W$5:$W$86,MATCH(BT8,$V$5:$V$86,0)),0))</f>
        <v/>
      </c>
      <c r="BU98">
        <f>IF(BU8="",0,IFERROR(INDEX($W$5:$W$86,MATCH(BU8,$V$5:$V$86,0)),0))</f>
        <v/>
      </c>
      <c r="BV98">
        <f>IF(BV8="",0,IFERROR(INDEX($W$5:$W$86,MATCH(BV8,$V$5:$V$86,0)),0))</f>
        <v/>
      </c>
      <c r="BW98">
        <f>IF(BW8="",0,IFERROR(INDEX($W$5:$W$86,MATCH(BW8,$V$5:$V$86,0)),0))</f>
        <v/>
      </c>
      <c r="BX98">
        <f>IF(BX8="",0,IFERROR(INDEX($W$5:$W$86,MATCH(BX8,$V$5:$V$86,0)),0))</f>
        <v/>
      </c>
      <c r="BY98">
        <f>IF(BY8="",0,IFERROR(INDEX($W$5:$W$86,MATCH(BY8,$V$5:$V$86,0)),0))</f>
        <v/>
      </c>
      <c r="BZ98">
        <f>IF(BZ8="",0,IFERROR(INDEX($W$5:$W$86,MATCH(BZ8,$V$5:$V$86,0)),0))</f>
        <v/>
      </c>
      <c r="CA98">
        <f>IF(CA8="",0,IFERROR(INDEX($W$5:$W$86,MATCH(CA8,$V$5:$V$86,0)),0))</f>
        <v/>
      </c>
      <c r="CB98">
        <f>IF(CB8="",0,IFERROR(INDEX($W$5:$W$86,MATCH(CB8,$V$5:$V$86,0)),0))</f>
        <v/>
      </c>
      <c r="CC98">
        <f>IF(CC8="",0,IFERROR(INDEX($W$5:$W$86,MATCH(CC8,$V$5:$V$86,0)),0))</f>
        <v/>
      </c>
      <c r="CD98">
        <f>IF(CD8="",0,IFERROR(INDEX($W$5:$W$86,MATCH(CD8,$V$5:$V$86,0)),0))</f>
        <v/>
      </c>
      <c r="CE98">
        <f>IF(CE8="",0,IFERROR(INDEX($W$5:$W$86,MATCH(CE8,$V$5:$V$86,0)),0))</f>
        <v/>
      </c>
      <c r="CF98">
        <f>IF(CF8="",0,IFERROR(INDEX($W$5:$W$86,MATCH(CF8,$V$5:$V$86,0)),0))</f>
        <v/>
      </c>
      <c r="DA98" t="n">
        <v>94</v>
      </c>
      <c r="DB98">
        <f>IF($B$37=0,"",IFERROR(TRIM(SUBSTITUTE(SUBSTITUTE(SUBSTITUTE(SUBSTITUTE(INDEX(PASTE_ALL,94,$B$37)," "," "),CHAR(9)," "),CHAR(10)," "),CHAR(13)," ")),""))</f>
        <v/>
      </c>
      <c r="DC98">
        <f>IF(AND(94&gt;HEADER_ROW,UPPER(DB98)="LEGEND"),1,0)</f>
        <v/>
      </c>
      <c r="DE98" t="n">
        <v>94</v>
      </c>
      <c r="DF98">
        <f>HEADER_ROW+$DE98</f>
        <v/>
      </c>
      <c r="DG98">
        <f>IF(AND($DF98&lt;=1000,$DF98&lt;$B$8),1,0)</f>
        <v/>
      </c>
      <c r="DH98">
        <f>IF($DG98=1,IFERROR(INDEX($DB$5:$DB$1004,$DF98),""),"")</f>
        <v/>
      </c>
      <c r="DI98">
        <f>IF(AND($DG98=1,$DH98&lt;&gt;""),IFERROR(SUBSTITUTE(SUBSTITUTE(TRIM(SUBSTITUTE(SUBSTITUTE(SUBSTITUTE(SUBSTITUTE(IFERROR(INDEX(PASTE_ALL,$DF98,1)&amp;"","")&amp;"␟"&amp;IFERROR(INDEX(PASTE_ALL,$DF98,2)&amp;"","")&amp;"␟"&amp;IFERROR(INDEX(PASTE_ALL,$DF98,3)&amp;"","")&amp;"␟"&amp;IFERROR(INDEX(PASTE_ALL,$DF98,4)&amp;"","")&amp;"␟"&amp;IFERROR(INDEX(PASTE_ALL,$DF98,5)&amp;"","")&amp;"␟"&amp;IFERROR(INDEX(PASTE_ALL,$DF98,6)&amp;"","")&amp;"␟"&amp;IFERROR(INDEX(PASTE_ALL,$DF98,7)&amp;"","")&amp;"␟"&amp;IFERROR(INDEX(PASTE_ALL,$DF98,8)&amp;"","")&amp;"␟"&amp;IFERROR(INDEX(PASTE_ALL,$DF98,9)&amp;"","")&amp;"␟"&amp;IFERROR(INDEX(PASTE_ALL,$DF98,10)&amp;"","")&amp;"␟"&amp;IFERROR(INDEX(PASTE_ALL,$DF98,11)&amp;"","")&amp;"␟"&amp;IFERROR(INDEX(PASTE_ALL,$DF98,12)&amp;"","")&amp;"␟"&amp;IFERROR(INDEX(PASTE_ALL,$DF98,13)&amp;"","")&amp;"␟"&amp;IFERROR(INDEX(PASTE_ALL,$DF98,14)&amp;"","")&amp;"␟"&amp;IFERROR(INDEX(PASTE_ALL,$DF98,15)&amp;"","")&amp;"␟"&amp;IFERROR(INDEX(PASTE_ALL,$DF98,16)&amp;"","")&amp;"␟"&amp;IFERROR(INDEX(PASTE_ALL,$DF98,17)&amp;"","")&amp;"␟"&amp;IFERROR(INDEX(PASTE_ALL,$DF98,18)&amp;"","")&amp;"␟"&amp;IFERROR(INDEX(PASTE_ALL,$DF98,19)&amp;"","")&amp;"␟"&amp;IFERROR(INDEX(PASTE_ALL,$DF98,20)&amp;"","")&amp;"␟"&amp;IFERROR(INDEX(PASTE_ALL,$DF98,21)&amp;"","")&amp;"␟"&amp;IFERROR(INDEX(PASTE_ALL,$DF98,22)&amp;"","")&amp;"␟"&amp;IFERROR(INDEX(PASTE_ALL,$DF98,23)&amp;"","")&amp;"␟"&amp;IFERROR(INDEX(PASTE_ALL,$DF98,24)&amp;"","")&amp;"␟"&amp;IFERROR(INDEX(PASTE_ALL,$DF98,25)&amp;"","")&amp;"␟"&amp;IFERROR(INDEX(PASTE_ALL,$DF98,26)&amp;"","")&amp;"␟"&amp;IFERROR(INDEX(PASTE_ALL,$DF98,27)&amp;"","")&amp;"␟"&amp;IFERROR(INDEX(PASTE_ALL,$DF98,28)&amp;"","")&amp;"␟"&amp;IFERROR(INDEX(PASTE_ALL,$DF98,29)&amp;"","")&amp;"␟"&amp;IFERROR(INDEX(PASTE_ALL,$DF98,30)&amp;"","")&amp;"␟"&amp;IFERROR(INDEX(PASTE_ALL,$DF98,31)&amp;"","")&amp;"␟"&amp;IFERROR(INDEX(PASTE_ALL,$DF98,32)&amp;"","")&amp;"␟"&amp;IFERROR(INDEX(PASTE_ALL,$DF98,33)&amp;"","")&amp;"␟"&amp;IFERROR(INDEX(PASTE_ALL,$DF98,34)&amp;"","")&amp;"␟"&amp;IFERROR(INDEX(PASTE_ALL,$DF98,35)&amp;"","")&amp;"␟"&amp;IFERROR(INDEX(PASTE_ALL,$DF98,36)&amp;"","")&amp;"␟"&amp;IFERROR(INDEX(PASTE_ALL,$DF98,37)&amp;"","")&amp;"␟"&amp;IFERROR(INDEX(PASTE_ALL,$DF98,38)&amp;"","")&amp;"␟"&amp;IFERROR(INDEX(PASTE_ALL,$DF98,39)&amp;"","")&amp;"␟"&amp;IFERROR(INDEX(PASTE_ALL,$DF98,40)&amp;"","")&amp;"␟"&amp;IFERROR(INDEX(PASTE_ALL,$DF98,41)&amp;"","")&amp;"␟"&amp;IFERROR(INDEX(PASTE_ALL,$DF98,42)&amp;"","")&amp;"␟"&amp;IFERROR(INDEX(PASTE_ALL,$DF98,43)&amp;"","")&amp;"␟"&amp;IFERROR(INDEX(PASTE_ALL,$DF98,44)&amp;"","")&amp;"␟"&amp;IFERROR(INDEX(PASTE_ALL,$DF98,45)&amp;"","")&amp;"␟"&amp;IFERROR(INDEX(PASTE_ALL,$DF98,46)&amp;"","")&amp;"␟"&amp;IFERROR(INDEX(PASTE_ALL,$DF98,47)&amp;"","")&amp;"␟"&amp;IFERROR(INDEX(PASTE_ALL,$DF98,48)&amp;"","")&amp;"␟"&amp;IFERROR(INDEX(PASTE_ALL,$DF98,49)&amp;"","")&amp;"␟"&amp;IFERROR(INDEX(PASTE_ALL,$DF98,50)&amp;"","")&amp;"␟"&amp;IFERROR(INDEX(PASTE_ALL,$DF98,51)&amp;"","")&amp;"␟"&amp;IFERROR(INDEX(PASTE_ALL,$DF98,52)&amp;"","")&amp;"␟"&amp;IFERROR(INDEX(PASTE_ALL,$DF98,53)&amp;"","")&amp;"␟"&amp;IFERROR(INDEX(PASTE_ALL,$DF98,54)&amp;"","")&amp;"␟"&amp;IFERROR(INDEX(PASTE_ALL,$DF98,55)&amp;"","")&amp;"␟"&amp;IFERROR(INDEX(PASTE_ALL,$DF98,56)&amp;"","")&amp;"␟"&amp;IFERROR(INDEX(PASTE_ALL,$DF98,57)&amp;"","")&amp;"␟"&amp;IFERROR(INDEX(PASTE_ALL,$DF98,58)&amp;"","")&amp;"␟"&amp;IFERROR(INDEX(PASTE_ALL,$DF98,59)&amp;"","")&amp;"␟"&amp;IFERROR(INDEX(PASTE_ALL,$DF98,60)&amp;"","")," "," "),CHAR(9)," "),CHAR(10)," "),CHAR(13)," "))," ␟","␟"),"␟ ","␟"),"#"&amp;$DE98),"")</f>
        <v/>
      </c>
      <c r="DJ98">
        <f>IF($DI98="",0,IF(SUMPRODUCT(--EXACT($DI$4:DI97,$DI98))&gt;0,1,0))</f>
        <v/>
      </c>
      <c r="DK98">
        <f>IF(AND($DI98&lt;&gt;"",$DJ98=0),1,0)</f>
        <v/>
      </c>
      <c r="DL98">
        <f>DL97+$DK98</f>
        <v/>
      </c>
      <c r="DM98">
        <f>IF(AND($DK98=1,$DL98&lt;=600),1,0)</f>
        <v/>
      </c>
      <c r="DN98">
        <f>IF($DM98=0,"",IF($L$6=0,"",IFERROR(IF(ISNUMBER(INDEX(PASTE_ALL,$DF98,$L$6)),INDEX(PASTE_ALL,$DF98,$L$6),TRIM(SUBSTITUTE(SUBSTITUTE(SUBSTITUTE(SUBSTITUTE(INDEX(PASTE_ALL,$DF98,$L$6)," "," "),CHAR(9)," "),CHAR(10)," "),CHAR(13)," "))),"")))</f>
        <v/>
      </c>
      <c r="DO98">
        <f>IF($DM98=0,"",IF($L$7=0,"",IFERROR(IF(ISNUMBER(INDEX(PASTE_ALL,$DF98,$L$7)),INDEX(PASTE_ALL,$DF98,$L$7),TRIM(SUBSTITUTE(SUBSTITUTE(SUBSTITUTE(SUBSTITUTE(INDEX(PASTE_ALL,$DF98,$L$7)," "," "),CHAR(9)," "),CHAR(10)," "),CHAR(13)," "))),"")))</f>
        <v/>
      </c>
      <c r="DP98">
        <f>IF($DM98=0,"",IF($L$8=0,"",IFERROR(IF(ISNUMBER(INDEX(PASTE_ALL,$DF98,$L$8)),INDEX(PASTE_ALL,$DF98,$L$8),TRIM(SUBSTITUTE(SUBSTITUTE(SUBSTITUTE(SUBSTITUTE(INDEX(PASTE_ALL,$DF98,$L$8)," "," "),CHAR(9)," "),CHAR(10)," "),CHAR(13)," "))),"")))</f>
        <v/>
      </c>
      <c r="DQ98">
        <f>IF($DM98=0,"",IF($L$9=0,"",IFERROR(IF(ISNUMBER(INDEX(PASTE_ALL,$DF98,$L$9)),INDEX(PASTE_ALL,$DF98,$L$9),TRIM(SUBSTITUTE(SUBSTITUTE(SUBSTITUTE(SUBSTITUTE(INDEX(PASTE_ALL,$DF98,$L$9)," "," "),CHAR(9)," "),CHAR(10)," "),CHAR(13)," "))),"")))</f>
        <v/>
      </c>
      <c r="DR98">
        <f>IF($DM98=0,"",IF($L$10=0,"",IFERROR(IF(ISNUMBER(INDEX(PASTE_ALL,$DF98,$L$10)),INDEX(PASTE_ALL,$DF98,$L$10),TRIM(SUBSTITUTE(SUBSTITUTE(SUBSTITUTE(SUBSTITUTE(INDEX(PASTE_ALL,$DF98,$L$10)," "," "),CHAR(9)," "),CHAR(10)," "),CHAR(13)," "))),"")))</f>
        <v/>
      </c>
      <c r="DS98">
        <f>IF($DM98=0,"",IF($L$11=0,"",IFERROR(IF(ISNUMBER(INDEX(PASTE_ALL,$DF98,$L$11)),INDEX(PASTE_ALL,$DF98,$L$11),TRIM(SUBSTITUTE(SUBSTITUTE(SUBSTITUTE(SUBSTITUTE(INDEX(PASTE_ALL,$DF98,$L$11)," "," "),CHAR(9)," "),CHAR(10)," "),CHAR(13)," "))),"")))</f>
        <v/>
      </c>
      <c r="DT98">
        <f>IF($DM98=0,"",IF($L$12=0,"",IFERROR(IF(ISNUMBER(INDEX(PASTE_ALL,$DF98,$L$12)),INDEX(PASTE_ALL,$DF98,$L$12),TRIM(SUBSTITUTE(SUBSTITUTE(SUBSTITUTE(SUBSTITUTE(INDEX(PASTE_ALL,$DF98,$L$12)," "," "),CHAR(9)," "),CHAR(10)," "),CHAR(13)," "))),"")))</f>
        <v/>
      </c>
      <c r="DU98">
        <f>IF($DM98=0,"",IF($L$13=0,"",IFERROR(IF(ISNUMBER(INDEX(PASTE_ALL,$DF98,$L$13)),INDEX(PASTE_ALL,$DF98,$L$13),TRIM(SUBSTITUTE(SUBSTITUTE(SUBSTITUTE(SUBSTITUTE(INDEX(PASTE_ALL,$DF98,$L$13)," "," "),CHAR(9)," "),CHAR(10)," "),CHAR(13)," "))),"")))</f>
        <v/>
      </c>
      <c r="DV98">
        <f>IF($DM98=0,"",IF($L$14=0,"",IFERROR(IF(ISNUMBER(INDEX(PASTE_ALL,$DF98,$L$14)),INDEX(PASTE_ALL,$DF98,$L$14),TRIM(SUBSTITUTE(SUBSTITUTE(SUBSTITUTE(SUBSTITUTE(INDEX(PASTE_ALL,$DF98,$L$14)," "," "),CHAR(9)," "),CHAR(10)," "),CHAR(13)," "))),"")))</f>
        <v/>
      </c>
      <c r="DW98">
        <f>IF($DM98=0,"",IF($L$15=0,"",IFERROR(IF(ISNUMBER(INDEX(PASTE_ALL,$DF98,$L$15)),INDEX(PASTE_ALL,$DF98,$L$15),IF(SUMPRODUCT(--ISNUMBER(FIND({"A","B","C","D","E","F","G","H","I","J","K","L","M","N","O","P","Q","R","S","T","U","V","W","X","Y","Z","0","1","2","3","4","5","6","7","8","9"},UPPER(TRIM(SUBSTITUTE(SUBSTITUTE(SUBSTITUTE(SUBSTITUTE(INDEX(PASTE_ALL,$DF98,$L$15)," "," "),CHAR(9)," "),CHAR(10)," "),CHAR(13)," "))))))&gt;0,TRIM(SUBSTITUTE(SUBSTITUTE(SUBSTITUTE(SUBSTITUTE(INDEX(PASTE_ALL,$DF98,$L$15)," "," "),CHAR(9)," "),CHAR(10)," "),CHAR(13)," ")),"")),"")))</f>
        <v/>
      </c>
      <c r="DX98">
        <f>IF($DM98=0,"",IF($L$16=0,"",IFERROR(IF(ISNUMBER(INDEX(PASTE_ALL,$DF98,$L$16)),INDEX(PASTE_ALL,$DF98,$L$16),SUBSTITUTE(SUBSTITUTE(TRIM(SUBSTITUTE(SUBSTITUTE(SUBSTITUTE(SUBSTITUTE(INDEX(PASTE_ALL,$DF98,$L$16)," "," "),CHAR(9)," "),CHAR(10)," "),CHAR(13)," ")),",",""),"%","")),"")))</f>
        <v/>
      </c>
      <c r="DY98">
        <f>IF($DM98=0,"",IFERROR(IF(ISNUMBER($DX98),$DX98,IF($DX98="","",IF(TRIM($DX98)="",0,IF(AND(AND(SUBSTITUTE(SUBSTITUTE(SUBSTITUTE(SUBSTITUTE(SUBSTITUTE(SUBSTITUTE(SUBSTITUTE(SUBSTITUTE(SUBSTITUTE(SUBSTITUTE(SUBSTITUTE(SUBSTITUTE(SUBSTITUTE(SUBSTITUTE(UPPER(TRIM($DX98)),"0",""),"1",""),"2",""),"3",""),"4",""),"5",""),"6",""),"7",""),"8",""),"9",""),".",""),"+",""),"-",""),"E","")="",LEN(SUBSTITUTE(SUBSTITUTE(MID(UPPER(TRIM($DX98)),1+OR(LEFT(UPPER(TRIM($DX98)),1)="+",LEFT(UPPER(TRIM($DX98)),1)="-"),999),"E+","E"),"E-","E"))=LEN(SUBSTITUTE(SUBSTITUTE(SUBSTITUTE(SUBSTITUTE(MID(UPPER(TRIM($DX98)),1+OR(LEFT(UPPER(TRIM($DX98)),1)="+",LEFT(UPPER(TRIM($DX98)),1)="-"),999),"E+","E"),"E-","E"),"+",""),"-","")),LEN(UPPER(TRIM($DX98)))-LEN(SUBSTITUTE(UPPER(TRIM($DX98)),"E",""))&lt;2,LEN(UPPER(TRIM($DX98)))-LEN(SUBSTITUTE(UPPER(TRIM($DX98)),".",""))&lt;2,IFERROR(FIND(".",UPPER(TRIM($DX98))),0)&lt;IFERROR(FIND("E",UPPER(TRIM($DX98))),999)),ISNUMBER(VALUE(TRIM($DX98)))),VALUE(TRIM($DX98)),"")))),""))</f>
        <v/>
      </c>
      <c r="DZ98">
        <f>IF($DM98=0,"",IF($L$17=0,"",IFERROR(IF(ISNUMBER(INDEX(PASTE_ALL,$DF98,$L$17)),INDEX(PASTE_ALL,$DF98,$L$17),SUBSTITUTE(SUBSTITUTE(TRIM(SUBSTITUTE(SUBSTITUTE(SUBSTITUTE(SUBSTITUTE(INDEX(PASTE_ALL,$DF98,$L$17)," "," "),CHAR(9)," "),CHAR(10)," "),CHAR(13)," ")),",",""),"%","")),"")))</f>
        <v/>
      </c>
      <c r="EA98">
        <f>IF($DM98=0,"",IFERROR(IF(ISNUMBER($DZ98),$DZ98,IF($DZ98="","",IF(TRIM($DZ98)="",0,IF(AND(AND(SUBSTITUTE(SUBSTITUTE(SUBSTITUTE(SUBSTITUTE(SUBSTITUTE(SUBSTITUTE(SUBSTITUTE(SUBSTITUTE(SUBSTITUTE(SUBSTITUTE(SUBSTITUTE(SUBSTITUTE(SUBSTITUTE(SUBSTITUTE(UPPER(TRIM($DZ98)),"0",""),"1",""),"2",""),"3",""),"4",""),"5",""),"6",""),"7",""),"8",""),"9",""),".",""),"+",""),"-",""),"E","")="",LEN(SUBSTITUTE(SUBSTITUTE(MID(UPPER(TRIM($DZ98)),1+OR(LEFT(UPPER(TRIM($DZ98)),1)="+",LEFT(UPPER(TRIM($DZ98)),1)="-"),999),"E+","E"),"E-","E"))=LEN(SUBSTITUTE(SUBSTITUTE(SUBSTITUTE(SUBSTITUTE(MID(UPPER(TRIM($DZ98)),1+OR(LEFT(UPPER(TRIM($DZ98)),1)="+",LEFT(UPPER(TRIM($DZ98)),1)="-"),999),"E+","E"),"E-","E"),"+",""),"-","")),LEN(UPPER(TRIM($DZ98)))-LEN(SUBSTITUTE(UPPER(TRIM($DZ98)),"E",""))&lt;2,LEN(UPPER(TRIM($DZ98)))-LEN(SUBSTITUTE(UPPER(TRIM($DZ98)),".",""))&lt;2,IFERROR(FIND(".",UPPER(TRIM($DZ98))),0)&lt;IFERROR(FIND("E",UPPER(TRIM($DZ98))),999)),ISNUMBER(VALUE(TRIM($DZ98)))),VALUE(TRIM($DZ98)),"")))),""))</f>
        <v/>
      </c>
      <c r="EB98">
        <f>IF($DM98=0,"",IF($L$18=0,"",IFERROR(IF(UPPER(TRIM(SUBSTITUTE(SUBSTITUTE(SUBSTITUTE(SUBSTITUTE(INDEX(PASTE_ALL,$DF98,$L$18)," "," "),CHAR(9)," "),CHAR(10)," "),CHAR(13)," ")))="READY","Ready",IF(UPPER(TRIM(SUBSTITUTE(SUBSTITUTE(SUBSTITUTE(SUBSTITUTE(INDEX(PASTE_ALL,$DF98,$L$18)," "," "),CHAR(9)," "),CHAR(10)," "),CHAR(13)," ")))="PM","PM",IF(OR(UPPER(TRIM(SUBSTITUTE(SUBSTITUTE(SUBSTITUTE(SUBSTITUTE(INDEX(PASTE_ALL,$DF98,$L$18)," "," "),CHAR(9)," "),CHAR(10)," "),CHAR(13)," ")))="OT",UPPER(TRIM(SUBSTITUTE(SUBSTITUTE(SUBSTITUTE(SUBSTITUTE(INDEX(PASTE_ALL,$DF98,$L$18)," "," "),CHAR(9)," "),CHAR(10)," "),CHAR(13)," ")))="OVERTIME",UPPER(TRIM(SUBSTITUTE(SUBSTITUTE(SUBSTITUTE(SUBSTITUTE(INDEX(PASTE_ALL,$DF98,$L$18)," "," "),CHAR(9)," "),CHAR(10)," "),CHAR(13)," ")))="TRIAL"),"OT",TRIM(SUBSTITUTE(SUBSTITUTE(SUBSTITUTE(SUBSTITUTE(INDEX(PASTE_ALL,$DF98,$L$18)," "," "),CHAR(9)," "),CHAR(10)," "),CHAR(13)," "))))),"")))</f>
        <v/>
      </c>
      <c r="EC98">
        <f>IF($DM98=0,"",IF($L$19=0,"",IFERROR(IF(ISNUMBER(INDEX(PASTE_ALL,$DF98,$L$19)),INDEX(PASTE_ALL,$DF98,$L$19),TRIM(SUBSTITUTE(SUBSTITUTE(SUBSTITUTE(SUBSTITUTE(INDEX(PASTE_ALL,$DF98,$L$19)," "," "),CHAR(9)," "),CHAR(10)," "),CHAR(13)," "))),"")))</f>
        <v/>
      </c>
      <c r="ED98">
        <f>IF($DM98=0,"",MATCH(1,INDEX(EXACT($DH$5:DH98,$DH98)*$DM$5:DM98,0),0))</f>
        <v/>
      </c>
      <c r="EE98">
        <f>IF($DM98=0,0,IF($ED98=$DE98,1,0))</f>
        <v/>
      </c>
      <c r="EF98">
        <f>EF97+$EE98</f>
        <v/>
      </c>
      <c r="EG98">
        <f>IF($DM98=0,"",INDEX($EF$5:$EF$1003,$ED98))</f>
        <v/>
      </c>
      <c r="EH98">
        <f>IF($DM98=0,"",IF($DO98&lt;&gt;"","",IFERROR(LOOKUP(2,1/(($EG$4:EG97=$EG98)*($DO$4:DO97&lt;&gt;"")),$DO$4:DO97),"")))</f>
        <v/>
      </c>
      <c r="EI98">
        <f>IF($DM98=0,"",IF($DO98&lt;&gt;"",$DO98,$EH98))</f>
        <v/>
      </c>
      <c r="EJ98">
        <f>IF($DM98=0,"",IF($EI98="",0,IF(OR(ISNUMBER($EI98),AND(AND(SUBSTITUTE(SUBSTITUTE(SUBSTITUTE(SUBSTITUTE(SUBSTITUTE(SUBSTITUTE(SUBSTITUTE(SUBSTITUTE(SUBSTITUTE(SUBSTITUTE(SUBSTITUTE(SUBSTITUTE(SUBSTITUTE(SUBSTITUTE(UPPER($EI98),"0",""),"1",""),"2",""),"3",""),"4",""),"5",""),"6",""),"7",""),"8",""),"9",""),".",""),"+",""),"-",""),"E","")="",LEN(SUBSTITUTE(SUBSTITUTE(MID(UPPER($EI98),1+OR(LEFT(UPPER($EI98),1)="+",LEFT(UPPER($EI98),1)="-"),999),"E+","E"),"E-","E"))=LEN(SUBSTITUTE(SUBSTITUTE(SUBSTITUTE(SUBSTITUTE(MID(UPPER($EI98),1+OR(LEFT(UPPER($EI98),1)="+",LEFT(UPPER($EI98),1)="-"),999),"E+","E"),"E-","E"),"+",""),"-","")),LEN(UPPER($EI98))-LEN(SUBSTITUTE(UPPER($EI98),"E",""))&lt;2,LEN(UPPER($EI98))-LEN(SUBSTITUTE(UPPER($EI98),".",""))&lt;2,IFERROR(FIND(".",UPPER($EI98)),0)&lt;IFERROR(FIND("E",UPPER($EI98)),999)),ISNUMBER(VALUE($EI98)))),1,2)))</f>
        <v/>
      </c>
      <c r="EK98">
        <f>IF($DM98=0,"",IF($EJ98=1,IF(ISNUMBER($EI98),$EI98,VALUE($EI98)),IF($EJ98=2,$DE98,0)))</f>
        <v/>
      </c>
      <c r="EL98">
        <f>IF($DM98=0,"",COUNTIF($EG$5:$EG$1003,"&lt;"&amp;$EG98)+SUMPRODUCT(($EG$5:$EG$1003=$EG98)*(($EJ$5:$EJ$1003&lt;$EJ98)+($EJ$5:$EJ$1003=$EJ98)*(($EK$5:$EK$1003&lt;$EK98)+($EK$5:$EK$1003=$EK98)*($DE$5:$DE$1003&lt;$DE98))))+1)</f>
        <v/>
      </c>
      <c r="EM98">
        <f>IF($DM98=0,"",$EL98+$EG98-1)</f>
        <v/>
      </c>
      <c r="EN98">
        <f>IF($DM98=0,0,IFERROR(MATCH(1,INDEX(--(TRIM(SUBSTITUTE(SUBSTITUTE(SUBSTITUTE(SUBSTITUTE(LINES_NAME&amp;""," "," "),CHAR(9)," "),CHAR(10)," "),CHAR(13)," "))=$DH98),0),0),0))</f>
        <v/>
      </c>
      <c r="EO98">
        <f>IF($EN98=0,0,IF(OR(UPPER(TRIM(INDEX(LINES_SCHEDULED,$EN98)&amp;""))="YES",UPPER(TRIM(INDEX(LINES_SCHEDULED,$EN98)&amp;""))="Y",UPPER(TRIM(INDEX(LINES_SCHEDULED,$EN98)&amp;""))="X"),1,0))</f>
        <v/>
      </c>
      <c r="EP98">
        <f>IF($DM98=0,"",IF(COUNTIFS($EG$5:$EG$1003,$EG98,$EB$5:$EB$1003,"Ready")&gt;0,"READY",IF(COUNTIFS($EG$5:$EG$1003,$EG98,$EB$5:$EB$1003,"PM")&gt;0,"PM",IF(COUNTIFS($EG$5:$EG$1003,$EG98,$EB$5:$EB$1003,"OT")&gt;0,"OT",""))))</f>
        <v/>
      </c>
      <c r="EQ98">
        <f>IF($EN98=0,"",UPPER(TRIM(INDEX(LINES_STATUS,$EN98)&amp;"")))</f>
        <v/>
      </c>
      <c r="ER98">
        <f>IF($DM98=0,"",IF(OR($EQ98="READY",$EQ98="PM",$EQ98="OT"),$EQ98,$EP98))</f>
        <v/>
      </c>
      <c r="ES98">
        <f>IF($DM98=0,"",IF(AND($DV98&lt;&gt;"",UPPER($DV98)&lt;&gt;"N"),"allergen",IF(ISNUMBER(SEARCH("oil",$DQ98)),"oil",IF(OR(EXACT($DS98,"A662"),EXACT($DS98,"A624")),"bulk",""))))</f>
        <v/>
      </c>
      <c r="ET98">
        <f>IF($DM98=0,"",IF(OR($EA98="",$EA98=0),"",$EA98/100))</f>
        <v/>
      </c>
      <c r="EU98">
        <f>IF(OR($ET98="",$DY98=""),"",INT($DY98*(1-$ET98)+0.5))</f>
        <v/>
      </c>
      <c r="EW98" t="n">
        <v>94</v>
      </c>
      <c r="EX98">
        <f>IFERROR(MATCH($EW98,$EM$5:$EM$1003,0),0)</f>
        <v/>
      </c>
      <c r="EY98">
        <f>IF($EW98&gt;$B$12,"",IF($EX98&gt;0,"row","spacer"))</f>
        <v/>
      </c>
      <c r="EZ98">
        <f>IF(AND($EY98="row",$EY97&lt;&gt;"row"),1,0)</f>
        <v/>
      </c>
      <c r="FA98">
        <f>IF(AND($EY98="row",$EY99&lt;&gt;"row"),1,0)</f>
        <v/>
      </c>
      <c r="FB98">
        <f>IF($EZ98=1,IFERROR(IF(ISNUMBER(INDEX(PASTE_ALL,INDEX($DF$5:$DF$1003,$EX98),$B$37)),INDEX(PASTE_ALL,INDEX($DF$5:$DF$1003,$EX98),$B$37),INDEX($DH$5:$DH$1003,$EX98)),INDEX($DH$5:$DH$1003,$EX98)),"")</f>
        <v/>
      </c>
      <c r="FC98">
        <f>IF($EY98="row",INDEX($ER$5:$ER$1003,$EX98),"")</f>
        <v/>
      </c>
      <c r="FD98">
        <f>IF($EY98="row",INDEX($DN$5:$DN$1003,$EX98),"")</f>
        <v/>
      </c>
      <c r="FE98">
        <f>IF($EY98="row",INDEX($DO$5:$DO$1003,$EX98),"")</f>
        <v/>
      </c>
      <c r="FF98">
        <f>IF($EY98="row",INDEX($DP$5:$DP$1003,$EX98),"")</f>
        <v/>
      </c>
      <c r="FG98">
        <f>IF($EY98="row",INDEX($DQ$5:$DQ$1003,$EX98),"")</f>
        <v/>
      </c>
      <c r="FH98">
        <f>IF($EY98="row",INDEX($DR$5:$DR$1003,$EX98),"")</f>
        <v/>
      </c>
      <c r="FI98">
        <f>IF($EY98="row",INDEX($DS$5:$DS$1003,$EX98),"")</f>
        <v/>
      </c>
      <c r="FJ98">
        <f>IF($EY98="row",INDEX($DT$5:$DT$1003,$EX98),"")</f>
        <v/>
      </c>
      <c r="FK98">
        <f>IF($EY98="row",INDEX($DU$5:$DU$1003,$EX98),"")</f>
        <v/>
      </c>
      <c r="FL98">
        <f>IF($EY98="row",INDEX($DV$5:$DV$1003,$EX98),"")</f>
        <v/>
      </c>
      <c r="FM98">
        <f>IF($EY98="row",INDEX($DW$5:$DW$1003,$EX98),"")</f>
        <v/>
      </c>
      <c r="FN98">
        <f>IF($EY98="row",INDEX($DY$5:$DY$1003,$EX98),"")</f>
        <v/>
      </c>
      <c r="FO98">
        <f>IF($EY98="row",INDEX($EA$5:$EA$1003,$EX98),"")</f>
        <v/>
      </c>
      <c r="FP98">
        <f>IF($EY98="row",INDEX($EC$5:$EC$1003,$EX98),"")</f>
        <v/>
      </c>
      <c r="FQ98">
        <f>IF($EY98="row",INDEX($ET$5:$ET$1003,$EX98),"")</f>
        <v/>
      </c>
      <c r="FR98">
        <f>IF($EY98="row",INDEX($EU$5:$EU$1003,$EX98),"")</f>
        <v/>
      </c>
      <c r="FS98">
        <f>IF(AND($EY98="row",$EY97="row"),IF(OR(INDEX($DT$5:$DT$1003,$EX97)="",INDEX($DT$5:$DT$1003,$EX98)=""),"",IF(NOT(EXACT(INDEX($DT$5:$DT$1003,$EX97),INDEX($DT$5:$DT$1003,$EX98))),"S4",IF(NOT(EXACT(INDEX($DS$5:$DS$1003,$EX97),INDEX($DS$5:$DS$1003,$EX98))),"S3",IF(NOT(EXACT(INDEX($DR$5:$DR$1003,$EX97),INDEX($DR$5:$DR$1003,$EX98))),"S1 Count Change","S1")))),"")</f>
        <v/>
      </c>
      <c r="FT98">
        <f>IF($EY98="row",INDEX($ES$5:$ES$1003,$EX98),"")</f>
        <v/>
      </c>
      <c r="FU98">
        <f>IF($EY98="row",INDEX($EO$5:$EO$1003,$EX98),0)</f>
        <v/>
      </c>
      <c r="FV98">
        <f>IF($FS98="S1 Count Change",1,0)</f>
        <v/>
      </c>
      <c r="FX98" t="n">
        <v>94</v>
      </c>
      <c r="FY98">
        <f>IFERROR(MATCH($FX98,$EF$5:$EF$1003,0),0)</f>
        <v/>
      </c>
      <c r="FZ98">
        <f>IF($FY98=0,"",INDEX($DH$5:$DH$1003,$FY98))</f>
        <v/>
      </c>
      <c r="GA98">
        <f>IF($FY98=0,"",COUNTIF($EG$5:$EG$1003,$FX98))</f>
        <v/>
      </c>
      <c r="GB98">
        <f>IF($FY98=0,"",INDEX($ER$5:$ER$1003,$FY98))</f>
        <v/>
      </c>
      <c r="GC98">
        <f>IF($FY98=0,"",IF(INDEX($EO$5:$EO$1003,$FY98)=1,"Yes",""))</f>
        <v/>
      </c>
      <c r="GD98">
        <f>IF($FY98=0,"",IF(INDEX($EN$5:$EN$1003,$FY98)&gt;0,"","NOT IN YOUR LIST - type it in column A to tick it"))</f>
        <v/>
      </c>
      <c r="GE98">
        <f>IF(AND($FY98&gt;0,$GD98&lt;&gt;""),1,0)</f>
        <v/>
      </c>
      <c r="GF98">
        <f>GF97+$GE98</f>
        <v/>
      </c>
      <c r="GG98">
        <f>IFERROR(INDEX($FZ$5:$FZ$104,MATCH($FX98,$GF$5:$GF$104,0)),"")</f>
        <v/>
      </c>
    </row>
    <row r="99">
      <c r="Y99">
        <f>IF(Y9="",0,IFERROR(INDEX($W$5:$W$86,MATCH(Y9,$V$5:$V$86,0)),0))</f>
        <v/>
      </c>
      <c r="Z99">
        <f>IF(Z9="",0,IFERROR(INDEX($W$5:$W$86,MATCH(Z9,$V$5:$V$86,0)),0))</f>
        <v/>
      </c>
      <c r="AA99">
        <f>IF(AA9="",0,IFERROR(INDEX($W$5:$W$86,MATCH(AA9,$V$5:$V$86,0)),0))</f>
        <v/>
      </c>
      <c r="AB99">
        <f>IF(AB9="",0,IFERROR(INDEX($W$5:$W$86,MATCH(AB9,$V$5:$V$86,0)),0))</f>
        <v/>
      </c>
      <c r="AC99">
        <f>IF(AC9="",0,IFERROR(INDEX($W$5:$W$86,MATCH(AC9,$V$5:$V$86,0)),0))</f>
        <v/>
      </c>
      <c r="AD99">
        <f>IF(AD9="",0,IFERROR(INDEX($W$5:$W$86,MATCH(AD9,$V$5:$V$86,0)),0))</f>
        <v/>
      </c>
      <c r="AE99">
        <f>IF(AE9="",0,IFERROR(INDEX($W$5:$W$86,MATCH(AE9,$V$5:$V$86,0)),0))</f>
        <v/>
      </c>
      <c r="AF99">
        <f>IF(AF9="",0,IFERROR(INDEX($W$5:$W$86,MATCH(AF9,$V$5:$V$86,0)),0))</f>
        <v/>
      </c>
      <c r="AG99">
        <f>IF(AG9="",0,IFERROR(INDEX($W$5:$W$86,MATCH(AG9,$V$5:$V$86,0)),0))</f>
        <v/>
      </c>
      <c r="AH99">
        <f>IF(AH9="",0,IFERROR(INDEX($W$5:$W$86,MATCH(AH9,$V$5:$V$86,0)),0))</f>
        <v/>
      </c>
      <c r="AI99">
        <f>IF(AI9="",0,IFERROR(INDEX($W$5:$W$86,MATCH(AI9,$V$5:$V$86,0)),0))</f>
        <v/>
      </c>
      <c r="AJ99">
        <f>IF(AJ9="",0,IFERROR(INDEX($W$5:$W$86,MATCH(AJ9,$V$5:$V$86,0)),0))</f>
        <v/>
      </c>
      <c r="AK99">
        <f>IF(AK9="",0,IFERROR(INDEX($W$5:$W$86,MATCH(AK9,$V$5:$V$86,0)),0))</f>
        <v/>
      </c>
      <c r="AL99">
        <f>IF(AL9="",0,IFERROR(INDEX($W$5:$W$86,MATCH(AL9,$V$5:$V$86,0)),0))</f>
        <v/>
      </c>
      <c r="AM99">
        <f>IF(AM9="",0,IFERROR(INDEX($W$5:$W$86,MATCH(AM9,$V$5:$V$86,0)),0))</f>
        <v/>
      </c>
      <c r="AN99">
        <f>IF(AN9="",0,IFERROR(INDEX($W$5:$W$86,MATCH(AN9,$V$5:$V$86,0)),0))</f>
        <v/>
      </c>
      <c r="AO99">
        <f>IF(AO9="",0,IFERROR(INDEX($W$5:$W$86,MATCH(AO9,$V$5:$V$86,0)),0))</f>
        <v/>
      </c>
      <c r="AP99">
        <f>IF(AP9="",0,IFERROR(INDEX($W$5:$W$86,MATCH(AP9,$V$5:$V$86,0)),0))</f>
        <v/>
      </c>
      <c r="AQ99">
        <f>IF(AQ9="",0,IFERROR(INDEX($W$5:$W$86,MATCH(AQ9,$V$5:$V$86,0)),0))</f>
        <v/>
      </c>
      <c r="AR99">
        <f>IF(AR9="",0,IFERROR(INDEX($W$5:$W$86,MATCH(AR9,$V$5:$V$86,0)),0))</f>
        <v/>
      </c>
      <c r="AS99">
        <f>IF(AS9="",0,IFERROR(INDEX($W$5:$W$86,MATCH(AS9,$V$5:$V$86,0)),0))</f>
        <v/>
      </c>
      <c r="AT99">
        <f>IF(AT9="",0,IFERROR(INDEX($W$5:$W$86,MATCH(AT9,$V$5:$V$86,0)),0))</f>
        <v/>
      </c>
      <c r="AU99">
        <f>IF(AU9="",0,IFERROR(INDEX($W$5:$W$86,MATCH(AU9,$V$5:$V$86,0)),0))</f>
        <v/>
      </c>
      <c r="AV99">
        <f>IF(AV9="",0,IFERROR(INDEX($W$5:$W$86,MATCH(AV9,$V$5:$V$86,0)),0))</f>
        <v/>
      </c>
      <c r="AW99">
        <f>IF(AW9="",0,IFERROR(INDEX($W$5:$W$86,MATCH(AW9,$V$5:$V$86,0)),0))</f>
        <v/>
      </c>
      <c r="AX99">
        <f>IF(AX9="",0,IFERROR(INDEX($W$5:$W$86,MATCH(AX9,$V$5:$V$86,0)),0))</f>
        <v/>
      </c>
      <c r="AY99">
        <f>IF(AY9="",0,IFERROR(INDEX($W$5:$W$86,MATCH(AY9,$V$5:$V$86,0)),0))</f>
        <v/>
      </c>
      <c r="AZ99">
        <f>IF(AZ9="",0,IFERROR(INDEX($W$5:$W$86,MATCH(AZ9,$V$5:$V$86,0)),0))</f>
        <v/>
      </c>
      <c r="BA99">
        <f>IF(BA9="",0,IFERROR(INDEX($W$5:$W$86,MATCH(BA9,$V$5:$V$86,0)),0))</f>
        <v/>
      </c>
      <c r="BB99">
        <f>IF(BB9="",0,IFERROR(INDEX($W$5:$W$86,MATCH(BB9,$V$5:$V$86,0)),0))</f>
        <v/>
      </c>
      <c r="BC99">
        <f>IF(BC9="",0,IFERROR(INDEX($W$5:$W$86,MATCH(BC9,$V$5:$V$86,0)),0))</f>
        <v/>
      </c>
      <c r="BD99">
        <f>IF(BD9="",0,IFERROR(INDEX($W$5:$W$86,MATCH(BD9,$V$5:$V$86,0)),0))</f>
        <v/>
      </c>
      <c r="BE99">
        <f>IF(BE9="",0,IFERROR(INDEX($W$5:$W$86,MATCH(BE9,$V$5:$V$86,0)),0))</f>
        <v/>
      </c>
      <c r="BF99">
        <f>IF(BF9="",0,IFERROR(INDEX($W$5:$W$86,MATCH(BF9,$V$5:$V$86,0)),0))</f>
        <v/>
      </c>
      <c r="BG99">
        <f>IF(BG9="",0,IFERROR(INDEX($W$5:$W$86,MATCH(BG9,$V$5:$V$86,0)),0))</f>
        <v/>
      </c>
      <c r="BH99">
        <f>IF(BH9="",0,IFERROR(INDEX($W$5:$W$86,MATCH(BH9,$V$5:$V$86,0)),0))</f>
        <v/>
      </c>
      <c r="BI99">
        <f>IF(BI9="",0,IFERROR(INDEX($W$5:$W$86,MATCH(BI9,$V$5:$V$86,0)),0))</f>
        <v/>
      </c>
      <c r="BJ99">
        <f>IF(BJ9="",0,IFERROR(INDEX($W$5:$W$86,MATCH(BJ9,$V$5:$V$86,0)),0))</f>
        <v/>
      </c>
      <c r="BK99">
        <f>IF(BK9="",0,IFERROR(INDEX($W$5:$W$86,MATCH(BK9,$V$5:$V$86,0)),0))</f>
        <v/>
      </c>
      <c r="BL99">
        <f>IF(BL9="",0,IFERROR(INDEX($W$5:$W$86,MATCH(BL9,$V$5:$V$86,0)),0))</f>
        <v/>
      </c>
      <c r="BM99">
        <f>IF(BM9="",0,IFERROR(INDEX($W$5:$W$86,MATCH(BM9,$V$5:$V$86,0)),0))</f>
        <v/>
      </c>
      <c r="BN99">
        <f>IF(BN9="",0,IFERROR(INDEX($W$5:$W$86,MATCH(BN9,$V$5:$V$86,0)),0))</f>
        <v/>
      </c>
      <c r="BO99">
        <f>IF(BO9="",0,IFERROR(INDEX($W$5:$W$86,MATCH(BO9,$V$5:$V$86,0)),0))</f>
        <v/>
      </c>
      <c r="BP99">
        <f>IF(BP9="",0,IFERROR(INDEX($W$5:$W$86,MATCH(BP9,$V$5:$V$86,0)),0))</f>
        <v/>
      </c>
      <c r="BQ99">
        <f>IF(BQ9="",0,IFERROR(INDEX($W$5:$W$86,MATCH(BQ9,$V$5:$V$86,0)),0))</f>
        <v/>
      </c>
      <c r="BR99">
        <f>IF(BR9="",0,IFERROR(INDEX($W$5:$W$86,MATCH(BR9,$V$5:$V$86,0)),0))</f>
        <v/>
      </c>
      <c r="BS99">
        <f>IF(BS9="",0,IFERROR(INDEX($W$5:$W$86,MATCH(BS9,$V$5:$V$86,0)),0))</f>
        <v/>
      </c>
      <c r="BT99">
        <f>IF(BT9="",0,IFERROR(INDEX($W$5:$W$86,MATCH(BT9,$V$5:$V$86,0)),0))</f>
        <v/>
      </c>
      <c r="BU99">
        <f>IF(BU9="",0,IFERROR(INDEX($W$5:$W$86,MATCH(BU9,$V$5:$V$86,0)),0))</f>
        <v/>
      </c>
      <c r="BV99">
        <f>IF(BV9="",0,IFERROR(INDEX($W$5:$W$86,MATCH(BV9,$V$5:$V$86,0)),0))</f>
        <v/>
      </c>
      <c r="BW99">
        <f>IF(BW9="",0,IFERROR(INDEX($W$5:$W$86,MATCH(BW9,$V$5:$V$86,0)),0))</f>
        <v/>
      </c>
      <c r="BX99">
        <f>IF(BX9="",0,IFERROR(INDEX($W$5:$W$86,MATCH(BX9,$V$5:$V$86,0)),0))</f>
        <v/>
      </c>
      <c r="BY99">
        <f>IF(BY9="",0,IFERROR(INDEX($W$5:$W$86,MATCH(BY9,$V$5:$V$86,0)),0))</f>
        <v/>
      </c>
      <c r="BZ99">
        <f>IF(BZ9="",0,IFERROR(INDEX($W$5:$W$86,MATCH(BZ9,$V$5:$V$86,0)),0))</f>
        <v/>
      </c>
      <c r="CA99">
        <f>IF(CA9="",0,IFERROR(INDEX($W$5:$W$86,MATCH(CA9,$V$5:$V$86,0)),0))</f>
        <v/>
      </c>
      <c r="CB99">
        <f>IF(CB9="",0,IFERROR(INDEX($W$5:$W$86,MATCH(CB9,$V$5:$V$86,0)),0))</f>
        <v/>
      </c>
      <c r="CC99">
        <f>IF(CC9="",0,IFERROR(INDEX($W$5:$W$86,MATCH(CC9,$V$5:$V$86,0)),0))</f>
        <v/>
      </c>
      <c r="CD99">
        <f>IF(CD9="",0,IFERROR(INDEX($W$5:$W$86,MATCH(CD9,$V$5:$V$86,0)),0))</f>
        <v/>
      </c>
      <c r="CE99">
        <f>IF(CE9="",0,IFERROR(INDEX($W$5:$W$86,MATCH(CE9,$V$5:$V$86,0)),0))</f>
        <v/>
      </c>
      <c r="CF99">
        <f>IF(CF9="",0,IFERROR(INDEX($W$5:$W$86,MATCH(CF9,$V$5:$V$86,0)),0))</f>
        <v/>
      </c>
      <c r="DA99" t="n">
        <v>95</v>
      </c>
      <c r="DB99">
        <f>IF($B$37=0,"",IFERROR(TRIM(SUBSTITUTE(SUBSTITUTE(SUBSTITUTE(SUBSTITUTE(INDEX(PASTE_ALL,95,$B$37)," "," "),CHAR(9)," "),CHAR(10)," "),CHAR(13)," ")),""))</f>
        <v/>
      </c>
      <c r="DC99">
        <f>IF(AND(95&gt;HEADER_ROW,UPPER(DB99)="LEGEND"),1,0)</f>
        <v/>
      </c>
      <c r="DE99" t="n">
        <v>95</v>
      </c>
      <c r="DF99">
        <f>HEADER_ROW+$DE99</f>
        <v/>
      </c>
      <c r="DG99">
        <f>IF(AND($DF99&lt;=1000,$DF99&lt;$B$8),1,0)</f>
        <v/>
      </c>
      <c r="DH99">
        <f>IF($DG99=1,IFERROR(INDEX($DB$5:$DB$1004,$DF99),""),"")</f>
        <v/>
      </c>
      <c r="DI99">
        <f>IF(AND($DG99=1,$DH99&lt;&gt;""),IFERROR(SUBSTITUTE(SUBSTITUTE(TRIM(SUBSTITUTE(SUBSTITUTE(SUBSTITUTE(SUBSTITUTE(IFERROR(INDEX(PASTE_ALL,$DF99,1)&amp;"","")&amp;"␟"&amp;IFERROR(INDEX(PASTE_ALL,$DF99,2)&amp;"","")&amp;"␟"&amp;IFERROR(INDEX(PASTE_ALL,$DF99,3)&amp;"","")&amp;"␟"&amp;IFERROR(INDEX(PASTE_ALL,$DF99,4)&amp;"","")&amp;"␟"&amp;IFERROR(INDEX(PASTE_ALL,$DF99,5)&amp;"","")&amp;"␟"&amp;IFERROR(INDEX(PASTE_ALL,$DF99,6)&amp;"","")&amp;"␟"&amp;IFERROR(INDEX(PASTE_ALL,$DF99,7)&amp;"","")&amp;"␟"&amp;IFERROR(INDEX(PASTE_ALL,$DF99,8)&amp;"","")&amp;"␟"&amp;IFERROR(INDEX(PASTE_ALL,$DF99,9)&amp;"","")&amp;"␟"&amp;IFERROR(INDEX(PASTE_ALL,$DF99,10)&amp;"","")&amp;"␟"&amp;IFERROR(INDEX(PASTE_ALL,$DF99,11)&amp;"","")&amp;"␟"&amp;IFERROR(INDEX(PASTE_ALL,$DF99,12)&amp;"","")&amp;"␟"&amp;IFERROR(INDEX(PASTE_ALL,$DF99,13)&amp;"","")&amp;"␟"&amp;IFERROR(INDEX(PASTE_ALL,$DF99,14)&amp;"","")&amp;"␟"&amp;IFERROR(INDEX(PASTE_ALL,$DF99,15)&amp;"","")&amp;"␟"&amp;IFERROR(INDEX(PASTE_ALL,$DF99,16)&amp;"","")&amp;"␟"&amp;IFERROR(INDEX(PASTE_ALL,$DF99,17)&amp;"","")&amp;"␟"&amp;IFERROR(INDEX(PASTE_ALL,$DF99,18)&amp;"","")&amp;"␟"&amp;IFERROR(INDEX(PASTE_ALL,$DF99,19)&amp;"","")&amp;"␟"&amp;IFERROR(INDEX(PASTE_ALL,$DF99,20)&amp;"","")&amp;"␟"&amp;IFERROR(INDEX(PASTE_ALL,$DF99,21)&amp;"","")&amp;"␟"&amp;IFERROR(INDEX(PASTE_ALL,$DF99,22)&amp;"","")&amp;"␟"&amp;IFERROR(INDEX(PASTE_ALL,$DF99,23)&amp;"","")&amp;"␟"&amp;IFERROR(INDEX(PASTE_ALL,$DF99,24)&amp;"","")&amp;"␟"&amp;IFERROR(INDEX(PASTE_ALL,$DF99,25)&amp;"","")&amp;"␟"&amp;IFERROR(INDEX(PASTE_ALL,$DF99,26)&amp;"","")&amp;"␟"&amp;IFERROR(INDEX(PASTE_ALL,$DF99,27)&amp;"","")&amp;"␟"&amp;IFERROR(INDEX(PASTE_ALL,$DF99,28)&amp;"","")&amp;"␟"&amp;IFERROR(INDEX(PASTE_ALL,$DF99,29)&amp;"","")&amp;"␟"&amp;IFERROR(INDEX(PASTE_ALL,$DF99,30)&amp;"","")&amp;"␟"&amp;IFERROR(INDEX(PASTE_ALL,$DF99,31)&amp;"","")&amp;"␟"&amp;IFERROR(INDEX(PASTE_ALL,$DF99,32)&amp;"","")&amp;"␟"&amp;IFERROR(INDEX(PASTE_ALL,$DF99,33)&amp;"","")&amp;"␟"&amp;IFERROR(INDEX(PASTE_ALL,$DF99,34)&amp;"","")&amp;"␟"&amp;IFERROR(INDEX(PASTE_ALL,$DF99,35)&amp;"","")&amp;"␟"&amp;IFERROR(INDEX(PASTE_ALL,$DF99,36)&amp;"","")&amp;"␟"&amp;IFERROR(INDEX(PASTE_ALL,$DF99,37)&amp;"","")&amp;"␟"&amp;IFERROR(INDEX(PASTE_ALL,$DF99,38)&amp;"","")&amp;"␟"&amp;IFERROR(INDEX(PASTE_ALL,$DF99,39)&amp;"","")&amp;"␟"&amp;IFERROR(INDEX(PASTE_ALL,$DF99,40)&amp;"","")&amp;"␟"&amp;IFERROR(INDEX(PASTE_ALL,$DF99,41)&amp;"","")&amp;"␟"&amp;IFERROR(INDEX(PASTE_ALL,$DF99,42)&amp;"","")&amp;"␟"&amp;IFERROR(INDEX(PASTE_ALL,$DF99,43)&amp;"","")&amp;"␟"&amp;IFERROR(INDEX(PASTE_ALL,$DF99,44)&amp;"","")&amp;"␟"&amp;IFERROR(INDEX(PASTE_ALL,$DF99,45)&amp;"","")&amp;"␟"&amp;IFERROR(INDEX(PASTE_ALL,$DF99,46)&amp;"","")&amp;"␟"&amp;IFERROR(INDEX(PASTE_ALL,$DF99,47)&amp;"","")&amp;"␟"&amp;IFERROR(INDEX(PASTE_ALL,$DF99,48)&amp;"","")&amp;"␟"&amp;IFERROR(INDEX(PASTE_ALL,$DF99,49)&amp;"","")&amp;"␟"&amp;IFERROR(INDEX(PASTE_ALL,$DF99,50)&amp;"","")&amp;"␟"&amp;IFERROR(INDEX(PASTE_ALL,$DF99,51)&amp;"","")&amp;"␟"&amp;IFERROR(INDEX(PASTE_ALL,$DF99,52)&amp;"","")&amp;"␟"&amp;IFERROR(INDEX(PASTE_ALL,$DF99,53)&amp;"","")&amp;"␟"&amp;IFERROR(INDEX(PASTE_ALL,$DF99,54)&amp;"","")&amp;"␟"&amp;IFERROR(INDEX(PASTE_ALL,$DF99,55)&amp;"","")&amp;"␟"&amp;IFERROR(INDEX(PASTE_ALL,$DF99,56)&amp;"","")&amp;"␟"&amp;IFERROR(INDEX(PASTE_ALL,$DF99,57)&amp;"","")&amp;"␟"&amp;IFERROR(INDEX(PASTE_ALL,$DF99,58)&amp;"","")&amp;"␟"&amp;IFERROR(INDEX(PASTE_ALL,$DF99,59)&amp;"","")&amp;"␟"&amp;IFERROR(INDEX(PASTE_ALL,$DF99,60)&amp;"","")," "," "),CHAR(9)," "),CHAR(10)," "),CHAR(13)," "))," ␟","␟"),"␟ ","␟"),"#"&amp;$DE99),"")</f>
        <v/>
      </c>
      <c r="DJ99">
        <f>IF($DI99="",0,IF(SUMPRODUCT(--EXACT($DI$4:DI98,$DI99))&gt;0,1,0))</f>
        <v/>
      </c>
      <c r="DK99">
        <f>IF(AND($DI99&lt;&gt;"",$DJ99=0),1,0)</f>
        <v/>
      </c>
      <c r="DL99">
        <f>DL98+$DK99</f>
        <v/>
      </c>
      <c r="DM99">
        <f>IF(AND($DK99=1,$DL99&lt;=600),1,0)</f>
        <v/>
      </c>
      <c r="DN99">
        <f>IF($DM99=0,"",IF($L$6=0,"",IFERROR(IF(ISNUMBER(INDEX(PASTE_ALL,$DF99,$L$6)),INDEX(PASTE_ALL,$DF99,$L$6),TRIM(SUBSTITUTE(SUBSTITUTE(SUBSTITUTE(SUBSTITUTE(INDEX(PASTE_ALL,$DF99,$L$6)," "," "),CHAR(9)," "),CHAR(10)," "),CHAR(13)," "))),"")))</f>
        <v/>
      </c>
      <c r="DO99">
        <f>IF($DM99=0,"",IF($L$7=0,"",IFERROR(IF(ISNUMBER(INDEX(PASTE_ALL,$DF99,$L$7)),INDEX(PASTE_ALL,$DF99,$L$7),TRIM(SUBSTITUTE(SUBSTITUTE(SUBSTITUTE(SUBSTITUTE(INDEX(PASTE_ALL,$DF99,$L$7)," "," "),CHAR(9)," "),CHAR(10)," "),CHAR(13)," "))),"")))</f>
        <v/>
      </c>
      <c r="DP99">
        <f>IF($DM99=0,"",IF($L$8=0,"",IFERROR(IF(ISNUMBER(INDEX(PASTE_ALL,$DF99,$L$8)),INDEX(PASTE_ALL,$DF99,$L$8),TRIM(SUBSTITUTE(SUBSTITUTE(SUBSTITUTE(SUBSTITUTE(INDEX(PASTE_ALL,$DF99,$L$8)," "," "),CHAR(9)," "),CHAR(10)," "),CHAR(13)," "))),"")))</f>
        <v/>
      </c>
      <c r="DQ99">
        <f>IF($DM99=0,"",IF($L$9=0,"",IFERROR(IF(ISNUMBER(INDEX(PASTE_ALL,$DF99,$L$9)),INDEX(PASTE_ALL,$DF99,$L$9),TRIM(SUBSTITUTE(SUBSTITUTE(SUBSTITUTE(SUBSTITUTE(INDEX(PASTE_ALL,$DF99,$L$9)," "," "),CHAR(9)," "),CHAR(10)," "),CHAR(13)," "))),"")))</f>
        <v/>
      </c>
      <c r="DR99">
        <f>IF($DM99=0,"",IF($L$10=0,"",IFERROR(IF(ISNUMBER(INDEX(PASTE_ALL,$DF99,$L$10)),INDEX(PASTE_ALL,$DF99,$L$10),TRIM(SUBSTITUTE(SUBSTITUTE(SUBSTITUTE(SUBSTITUTE(INDEX(PASTE_ALL,$DF99,$L$10)," "," "),CHAR(9)," "),CHAR(10)," "),CHAR(13)," "))),"")))</f>
        <v/>
      </c>
      <c r="DS99">
        <f>IF($DM99=0,"",IF($L$11=0,"",IFERROR(IF(ISNUMBER(INDEX(PASTE_ALL,$DF99,$L$11)),INDEX(PASTE_ALL,$DF99,$L$11),TRIM(SUBSTITUTE(SUBSTITUTE(SUBSTITUTE(SUBSTITUTE(INDEX(PASTE_ALL,$DF99,$L$11)," "," "),CHAR(9)," "),CHAR(10)," "),CHAR(13)," "))),"")))</f>
        <v/>
      </c>
      <c r="DT99">
        <f>IF($DM99=0,"",IF($L$12=0,"",IFERROR(IF(ISNUMBER(INDEX(PASTE_ALL,$DF99,$L$12)),INDEX(PASTE_ALL,$DF99,$L$12),TRIM(SUBSTITUTE(SUBSTITUTE(SUBSTITUTE(SUBSTITUTE(INDEX(PASTE_ALL,$DF99,$L$12)," "," "),CHAR(9)," "),CHAR(10)," "),CHAR(13)," "))),"")))</f>
        <v/>
      </c>
      <c r="DU99">
        <f>IF($DM99=0,"",IF($L$13=0,"",IFERROR(IF(ISNUMBER(INDEX(PASTE_ALL,$DF99,$L$13)),INDEX(PASTE_ALL,$DF99,$L$13),TRIM(SUBSTITUTE(SUBSTITUTE(SUBSTITUTE(SUBSTITUTE(INDEX(PASTE_ALL,$DF99,$L$13)," "," "),CHAR(9)," "),CHAR(10)," "),CHAR(13)," "))),"")))</f>
        <v/>
      </c>
      <c r="DV99">
        <f>IF($DM99=0,"",IF($L$14=0,"",IFERROR(IF(ISNUMBER(INDEX(PASTE_ALL,$DF99,$L$14)),INDEX(PASTE_ALL,$DF99,$L$14),TRIM(SUBSTITUTE(SUBSTITUTE(SUBSTITUTE(SUBSTITUTE(INDEX(PASTE_ALL,$DF99,$L$14)," "," "),CHAR(9)," "),CHAR(10)," "),CHAR(13)," "))),"")))</f>
        <v/>
      </c>
      <c r="DW99">
        <f>IF($DM99=0,"",IF($L$15=0,"",IFERROR(IF(ISNUMBER(INDEX(PASTE_ALL,$DF99,$L$15)),INDEX(PASTE_ALL,$DF99,$L$15),IF(SUMPRODUCT(--ISNUMBER(FIND({"A","B","C","D","E","F","G","H","I","J","K","L","M","N","O","P","Q","R","S","T","U","V","W","X","Y","Z","0","1","2","3","4","5","6","7","8","9"},UPPER(TRIM(SUBSTITUTE(SUBSTITUTE(SUBSTITUTE(SUBSTITUTE(INDEX(PASTE_ALL,$DF99,$L$15)," "," "),CHAR(9)," "),CHAR(10)," "),CHAR(13)," "))))))&gt;0,TRIM(SUBSTITUTE(SUBSTITUTE(SUBSTITUTE(SUBSTITUTE(INDEX(PASTE_ALL,$DF99,$L$15)," "," "),CHAR(9)," "),CHAR(10)," "),CHAR(13)," ")),"")),"")))</f>
        <v/>
      </c>
      <c r="DX99">
        <f>IF($DM99=0,"",IF($L$16=0,"",IFERROR(IF(ISNUMBER(INDEX(PASTE_ALL,$DF99,$L$16)),INDEX(PASTE_ALL,$DF99,$L$16),SUBSTITUTE(SUBSTITUTE(TRIM(SUBSTITUTE(SUBSTITUTE(SUBSTITUTE(SUBSTITUTE(INDEX(PASTE_ALL,$DF99,$L$16)," "," "),CHAR(9)," "),CHAR(10)," "),CHAR(13)," ")),",",""),"%","")),"")))</f>
        <v/>
      </c>
      <c r="DY99">
        <f>IF($DM99=0,"",IFERROR(IF(ISNUMBER($DX99),$DX99,IF($DX99="","",IF(TRIM($DX99)="",0,IF(AND(AND(SUBSTITUTE(SUBSTITUTE(SUBSTITUTE(SUBSTITUTE(SUBSTITUTE(SUBSTITUTE(SUBSTITUTE(SUBSTITUTE(SUBSTITUTE(SUBSTITUTE(SUBSTITUTE(SUBSTITUTE(SUBSTITUTE(SUBSTITUTE(UPPER(TRIM($DX99)),"0",""),"1",""),"2",""),"3",""),"4",""),"5",""),"6",""),"7",""),"8",""),"9",""),".",""),"+",""),"-",""),"E","")="",LEN(SUBSTITUTE(SUBSTITUTE(MID(UPPER(TRIM($DX99)),1+OR(LEFT(UPPER(TRIM($DX99)),1)="+",LEFT(UPPER(TRIM($DX99)),1)="-"),999),"E+","E"),"E-","E"))=LEN(SUBSTITUTE(SUBSTITUTE(SUBSTITUTE(SUBSTITUTE(MID(UPPER(TRIM($DX99)),1+OR(LEFT(UPPER(TRIM($DX99)),1)="+",LEFT(UPPER(TRIM($DX99)),1)="-"),999),"E+","E"),"E-","E"),"+",""),"-","")),LEN(UPPER(TRIM($DX99)))-LEN(SUBSTITUTE(UPPER(TRIM($DX99)),"E",""))&lt;2,LEN(UPPER(TRIM($DX99)))-LEN(SUBSTITUTE(UPPER(TRIM($DX99)),".",""))&lt;2,IFERROR(FIND(".",UPPER(TRIM($DX99))),0)&lt;IFERROR(FIND("E",UPPER(TRIM($DX99))),999)),ISNUMBER(VALUE(TRIM($DX99)))),VALUE(TRIM($DX99)),"")))),""))</f>
        <v/>
      </c>
      <c r="DZ99">
        <f>IF($DM99=0,"",IF($L$17=0,"",IFERROR(IF(ISNUMBER(INDEX(PASTE_ALL,$DF99,$L$17)),INDEX(PASTE_ALL,$DF99,$L$17),SUBSTITUTE(SUBSTITUTE(TRIM(SUBSTITUTE(SUBSTITUTE(SUBSTITUTE(SUBSTITUTE(INDEX(PASTE_ALL,$DF99,$L$17)," "," "),CHAR(9)," "),CHAR(10)," "),CHAR(13)," ")),",",""),"%","")),"")))</f>
        <v/>
      </c>
      <c r="EA99">
        <f>IF($DM99=0,"",IFERROR(IF(ISNUMBER($DZ99),$DZ99,IF($DZ99="","",IF(TRIM($DZ99)="",0,IF(AND(AND(SUBSTITUTE(SUBSTITUTE(SUBSTITUTE(SUBSTITUTE(SUBSTITUTE(SUBSTITUTE(SUBSTITUTE(SUBSTITUTE(SUBSTITUTE(SUBSTITUTE(SUBSTITUTE(SUBSTITUTE(SUBSTITUTE(SUBSTITUTE(UPPER(TRIM($DZ99)),"0",""),"1",""),"2",""),"3",""),"4",""),"5",""),"6",""),"7",""),"8",""),"9",""),".",""),"+",""),"-",""),"E","")="",LEN(SUBSTITUTE(SUBSTITUTE(MID(UPPER(TRIM($DZ99)),1+OR(LEFT(UPPER(TRIM($DZ99)),1)="+",LEFT(UPPER(TRIM($DZ99)),1)="-"),999),"E+","E"),"E-","E"))=LEN(SUBSTITUTE(SUBSTITUTE(SUBSTITUTE(SUBSTITUTE(MID(UPPER(TRIM($DZ99)),1+OR(LEFT(UPPER(TRIM($DZ99)),1)="+",LEFT(UPPER(TRIM($DZ99)),1)="-"),999),"E+","E"),"E-","E"),"+",""),"-","")),LEN(UPPER(TRIM($DZ99)))-LEN(SUBSTITUTE(UPPER(TRIM($DZ99)),"E",""))&lt;2,LEN(UPPER(TRIM($DZ99)))-LEN(SUBSTITUTE(UPPER(TRIM($DZ99)),".",""))&lt;2,IFERROR(FIND(".",UPPER(TRIM($DZ99))),0)&lt;IFERROR(FIND("E",UPPER(TRIM($DZ99))),999)),ISNUMBER(VALUE(TRIM($DZ99)))),VALUE(TRIM($DZ99)),"")))),""))</f>
        <v/>
      </c>
      <c r="EB99">
        <f>IF($DM99=0,"",IF($L$18=0,"",IFERROR(IF(UPPER(TRIM(SUBSTITUTE(SUBSTITUTE(SUBSTITUTE(SUBSTITUTE(INDEX(PASTE_ALL,$DF99,$L$18)," "," "),CHAR(9)," "),CHAR(10)," "),CHAR(13)," ")))="READY","Ready",IF(UPPER(TRIM(SUBSTITUTE(SUBSTITUTE(SUBSTITUTE(SUBSTITUTE(INDEX(PASTE_ALL,$DF99,$L$18)," "," "),CHAR(9)," "),CHAR(10)," "),CHAR(13)," ")))="PM","PM",IF(OR(UPPER(TRIM(SUBSTITUTE(SUBSTITUTE(SUBSTITUTE(SUBSTITUTE(INDEX(PASTE_ALL,$DF99,$L$18)," "," "),CHAR(9)," "),CHAR(10)," "),CHAR(13)," ")))="OT",UPPER(TRIM(SUBSTITUTE(SUBSTITUTE(SUBSTITUTE(SUBSTITUTE(INDEX(PASTE_ALL,$DF99,$L$18)," "," "),CHAR(9)," "),CHAR(10)," "),CHAR(13)," ")))="OVERTIME",UPPER(TRIM(SUBSTITUTE(SUBSTITUTE(SUBSTITUTE(SUBSTITUTE(INDEX(PASTE_ALL,$DF99,$L$18)," "," "),CHAR(9)," "),CHAR(10)," "),CHAR(13)," ")))="TRIAL"),"OT",TRIM(SUBSTITUTE(SUBSTITUTE(SUBSTITUTE(SUBSTITUTE(INDEX(PASTE_ALL,$DF99,$L$18)," "," "),CHAR(9)," "),CHAR(10)," "),CHAR(13)," "))))),"")))</f>
        <v/>
      </c>
      <c r="EC99">
        <f>IF($DM99=0,"",IF($L$19=0,"",IFERROR(IF(ISNUMBER(INDEX(PASTE_ALL,$DF99,$L$19)),INDEX(PASTE_ALL,$DF99,$L$19),TRIM(SUBSTITUTE(SUBSTITUTE(SUBSTITUTE(SUBSTITUTE(INDEX(PASTE_ALL,$DF99,$L$19)," "," "),CHAR(9)," "),CHAR(10)," "),CHAR(13)," "))),"")))</f>
        <v/>
      </c>
      <c r="ED99">
        <f>IF($DM99=0,"",MATCH(1,INDEX(EXACT($DH$5:DH99,$DH99)*$DM$5:DM99,0),0))</f>
        <v/>
      </c>
      <c r="EE99">
        <f>IF($DM99=0,0,IF($ED99=$DE99,1,0))</f>
        <v/>
      </c>
      <c r="EF99">
        <f>EF98+$EE99</f>
        <v/>
      </c>
      <c r="EG99">
        <f>IF($DM99=0,"",INDEX($EF$5:$EF$1003,$ED99))</f>
        <v/>
      </c>
      <c r="EH99">
        <f>IF($DM99=0,"",IF($DO99&lt;&gt;"","",IFERROR(LOOKUP(2,1/(($EG$4:EG98=$EG99)*($DO$4:DO98&lt;&gt;"")),$DO$4:DO98),"")))</f>
        <v/>
      </c>
      <c r="EI99">
        <f>IF($DM99=0,"",IF($DO99&lt;&gt;"",$DO99,$EH99))</f>
        <v/>
      </c>
      <c r="EJ99">
        <f>IF($DM99=0,"",IF($EI99="",0,IF(OR(ISNUMBER($EI99),AND(AND(SUBSTITUTE(SUBSTITUTE(SUBSTITUTE(SUBSTITUTE(SUBSTITUTE(SUBSTITUTE(SUBSTITUTE(SUBSTITUTE(SUBSTITUTE(SUBSTITUTE(SUBSTITUTE(SUBSTITUTE(SUBSTITUTE(SUBSTITUTE(UPPER($EI99),"0",""),"1",""),"2",""),"3",""),"4",""),"5",""),"6",""),"7",""),"8",""),"9",""),".",""),"+",""),"-",""),"E","")="",LEN(SUBSTITUTE(SUBSTITUTE(MID(UPPER($EI99),1+OR(LEFT(UPPER($EI99),1)="+",LEFT(UPPER($EI99),1)="-"),999),"E+","E"),"E-","E"))=LEN(SUBSTITUTE(SUBSTITUTE(SUBSTITUTE(SUBSTITUTE(MID(UPPER($EI99),1+OR(LEFT(UPPER($EI99),1)="+",LEFT(UPPER($EI99),1)="-"),999),"E+","E"),"E-","E"),"+",""),"-","")),LEN(UPPER($EI99))-LEN(SUBSTITUTE(UPPER($EI99),"E",""))&lt;2,LEN(UPPER($EI99))-LEN(SUBSTITUTE(UPPER($EI99),".",""))&lt;2,IFERROR(FIND(".",UPPER($EI99)),0)&lt;IFERROR(FIND("E",UPPER($EI99)),999)),ISNUMBER(VALUE($EI99)))),1,2)))</f>
        <v/>
      </c>
      <c r="EK99">
        <f>IF($DM99=0,"",IF($EJ99=1,IF(ISNUMBER($EI99),$EI99,VALUE($EI99)),IF($EJ99=2,$DE99,0)))</f>
        <v/>
      </c>
      <c r="EL99">
        <f>IF($DM99=0,"",COUNTIF($EG$5:$EG$1003,"&lt;"&amp;$EG99)+SUMPRODUCT(($EG$5:$EG$1003=$EG99)*(($EJ$5:$EJ$1003&lt;$EJ99)+($EJ$5:$EJ$1003=$EJ99)*(($EK$5:$EK$1003&lt;$EK99)+($EK$5:$EK$1003=$EK99)*($DE$5:$DE$1003&lt;$DE99))))+1)</f>
        <v/>
      </c>
      <c r="EM99">
        <f>IF($DM99=0,"",$EL99+$EG99-1)</f>
        <v/>
      </c>
      <c r="EN99">
        <f>IF($DM99=0,0,IFERROR(MATCH(1,INDEX(--(TRIM(SUBSTITUTE(SUBSTITUTE(SUBSTITUTE(SUBSTITUTE(LINES_NAME&amp;""," "," "),CHAR(9)," "),CHAR(10)," "),CHAR(13)," "))=$DH99),0),0),0))</f>
        <v/>
      </c>
      <c r="EO99">
        <f>IF($EN99=0,0,IF(OR(UPPER(TRIM(INDEX(LINES_SCHEDULED,$EN99)&amp;""))="YES",UPPER(TRIM(INDEX(LINES_SCHEDULED,$EN99)&amp;""))="Y",UPPER(TRIM(INDEX(LINES_SCHEDULED,$EN99)&amp;""))="X"),1,0))</f>
        <v/>
      </c>
      <c r="EP99">
        <f>IF($DM99=0,"",IF(COUNTIFS($EG$5:$EG$1003,$EG99,$EB$5:$EB$1003,"Ready")&gt;0,"READY",IF(COUNTIFS($EG$5:$EG$1003,$EG99,$EB$5:$EB$1003,"PM")&gt;0,"PM",IF(COUNTIFS($EG$5:$EG$1003,$EG99,$EB$5:$EB$1003,"OT")&gt;0,"OT",""))))</f>
        <v/>
      </c>
      <c r="EQ99">
        <f>IF($EN99=0,"",UPPER(TRIM(INDEX(LINES_STATUS,$EN99)&amp;"")))</f>
        <v/>
      </c>
      <c r="ER99">
        <f>IF($DM99=0,"",IF(OR($EQ99="READY",$EQ99="PM",$EQ99="OT"),$EQ99,$EP99))</f>
        <v/>
      </c>
      <c r="ES99">
        <f>IF($DM99=0,"",IF(AND($DV99&lt;&gt;"",UPPER($DV99)&lt;&gt;"N"),"allergen",IF(ISNUMBER(SEARCH("oil",$DQ99)),"oil",IF(OR(EXACT($DS99,"A662"),EXACT($DS99,"A624")),"bulk",""))))</f>
        <v/>
      </c>
      <c r="ET99">
        <f>IF($DM99=0,"",IF(OR($EA99="",$EA99=0),"",$EA99/100))</f>
        <v/>
      </c>
      <c r="EU99">
        <f>IF(OR($ET99="",$DY99=""),"",INT($DY99*(1-$ET99)+0.5))</f>
        <v/>
      </c>
      <c r="EW99" t="n">
        <v>95</v>
      </c>
      <c r="EX99">
        <f>IFERROR(MATCH($EW99,$EM$5:$EM$1003,0),0)</f>
        <v/>
      </c>
      <c r="EY99">
        <f>IF($EW99&gt;$B$12,"",IF($EX99&gt;0,"row","spacer"))</f>
        <v/>
      </c>
      <c r="EZ99">
        <f>IF(AND($EY99="row",$EY98&lt;&gt;"row"),1,0)</f>
        <v/>
      </c>
      <c r="FA99">
        <f>IF(AND($EY99="row",$EY100&lt;&gt;"row"),1,0)</f>
        <v/>
      </c>
      <c r="FB99">
        <f>IF($EZ99=1,IFERROR(IF(ISNUMBER(INDEX(PASTE_ALL,INDEX($DF$5:$DF$1003,$EX99),$B$37)),INDEX(PASTE_ALL,INDEX($DF$5:$DF$1003,$EX99),$B$37),INDEX($DH$5:$DH$1003,$EX99)),INDEX($DH$5:$DH$1003,$EX99)),"")</f>
        <v/>
      </c>
      <c r="FC99">
        <f>IF($EY99="row",INDEX($ER$5:$ER$1003,$EX99),"")</f>
        <v/>
      </c>
      <c r="FD99">
        <f>IF($EY99="row",INDEX($DN$5:$DN$1003,$EX99),"")</f>
        <v/>
      </c>
      <c r="FE99">
        <f>IF($EY99="row",INDEX($DO$5:$DO$1003,$EX99),"")</f>
        <v/>
      </c>
      <c r="FF99">
        <f>IF($EY99="row",INDEX($DP$5:$DP$1003,$EX99),"")</f>
        <v/>
      </c>
      <c r="FG99">
        <f>IF($EY99="row",INDEX($DQ$5:$DQ$1003,$EX99),"")</f>
        <v/>
      </c>
      <c r="FH99">
        <f>IF($EY99="row",INDEX($DR$5:$DR$1003,$EX99),"")</f>
        <v/>
      </c>
      <c r="FI99">
        <f>IF($EY99="row",INDEX($DS$5:$DS$1003,$EX99),"")</f>
        <v/>
      </c>
      <c r="FJ99">
        <f>IF($EY99="row",INDEX($DT$5:$DT$1003,$EX99),"")</f>
        <v/>
      </c>
      <c r="FK99">
        <f>IF($EY99="row",INDEX($DU$5:$DU$1003,$EX99),"")</f>
        <v/>
      </c>
      <c r="FL99">
        <f>IF($EY99="row",INDEX($DV$5:$DV$1003,$EX99),"")</f>
        <v/>
      </c>
      <c r="FM99">
        <f>IF($EY99="row",INDEX($DW$5:$DW$1003,$EX99),"")</f>
        <v/>
      </c>
      <c r="FN99">
        <f>IF($EY99="row",INDEX($DY$5:$DY$1003,$EX99),"")</f>
        <v/>
      </c>
      <c r="FO99">
        <f>IF($EY99="row",INDEX($EA$5:$EA$1003,$EX99),"")</f>
        <v/>
      </c>
      <c r="FP99">
        <f>IF($EY99="row",INDEX($EC$5:$EC$1003,$EX99),"")</f>
        <v/>
      </c>
      <c r="FQ99">
        <f>IF($EY99="row",INDEX($ET$5:$ET$1003,$EX99),"")</f>
        <v/>
      </c>
      <c r="FR99">
        <f>IF($EY99="row",INDEX($EU$5:$EU$1003,$EX99),"")</f>
        <v/>
      </c>
      <c r="FS99">
        <f>IF(AND($EY99="row",$EY98="row"),IF(OR(INDEX($DT$5:$DT$1003,$EX98)="",INDEX($DT$5:$DT$1003,$EX99)=""),"",IF(NOT(EXACT(INDEX($DT$5:$DT$1003,$EX98),INDEX($DT$5:$DT$1003,$EX99))),"S4",IF(NOT(EXACT(INDEX($DS$5:$DS$1003,$EX98),INDEX($DS$5:$DS$1003,$EX99))),"S3",IF(NOT(EXACT(INDEX($DR$5:$DR$1003,$EX98),INDEX($DR$5:$DR$1003,$EX99))),"S1 Count Change","S1")))),"")</f>
        <v/>
      </c>
      <c r="FT99">
        <f>IF($EY99="row",INDEX($ES$5:$ES$1003,$EX99),"")</f>
        <v/>
      </c>
      <c r="FU99">
        <f>IF($EY99="row",INDEX($EO$5:$EO$1003,$EX99),0)</f>
        <v/>
      </c>
      <c r="FV99">
        <f>IF($FS99="S1 Count Change",1,0)</f>
        <v/>
      </c>
      <c r="FX99" t="n">
        <v>95</v>
      </c>
      <c r="FY99">
        <f>IFERROR(MATCH($FX99,$EF$5:$EF$1003,0),0)</f>
        <v/>
      </c>
      <c r="FZ99">
        <f>IF($FY99=0,"",INDEX($DH$5:$DH$1003,$FY99))</f>
        <v/>
      </c>
      <c r="GA99">
        <f>IF($FY99=0,"",COUNTIF($EG$5:$EG$1003,$FX99))</f>
        <v/>
      </c>
      <c r="GB99">
        <f>IF($FY99=0,"",INDEX($ER$5:$ER$1003,$FY99))</f>
        <v/>
      </c>
      <c r="GC99">
        <f>IF($FY99=0,"",IF(INDEX($EO$5:$EO$1003,$FY99)=1,"Yes",""))</f>
        <v/>
      </c>
      <c r="GD99">
        <f>IF($FY99=0,"",IF(INDEX($EN$5:$EN$1003,$FY99)&gt;0,"","NOT IN YOUR LIST - type it in column A to tick it"))</f>
        <v/>
      </c>
      <c r="GE99">
        <f>IF(AND($FY99&gt;0,$GD99&lt;&gt;""),1,0)</f>
        <v/>
      </c>
      <c r="GF99">
        <f>GF98+$GE99</f>
        <v/>
      </c>
      <c r="GG99">
        <f>IFERROR(INDEX($FZ$5:$FZ$104,MATCH($FX99,$GF$5:$GF$104,0)),"")</f>
        <v/>
      </c>
    </row>
    <row r="100">
      <c r="Y100">
        <f>IF(Y10="",0,IFERROR(INDEX($W$5:$W$86,MATCH(Y10,$V$5:$V$86,0)),0))</f>
        <v/>
      </c>
      <c r="Z100">
        <f>IF(Z10="",0,IFERROR(INDEX($W$5:$W$86,MATCH(Z10,$V$5:$V$86,0)),0))</f>
        <v/>
      </c>
      <c r="AA100">
        <f>IF(AA10="",0,IFERROR(INDEX($W$5:$W$86,MATCH(AA10,$V$5:$V$86,0)),0))</f>
        <v/>
      </c>
      <c r="AB100">
        <f>IF(AB10="",0,IFERROR(INDEX($W$5:$W$86,MATCH(AB10,$V$5:$V$86,0)),0))</f>
        <v/>
      </c>
      <c r="AC100">
        <f>IF(AC10="",0,IFERROR(INDEX($W$5:$W$86,MATCH(AC10,$V$5:$V$86,0)),0))</f>
        <v/>
      </c>
      <c r="AD100">
        <f>IF(AD10="",0,IFERROR(INDEX($W$5:$W$86,MATCH(AD10,$V$5:$V$86,0)),0))</f>
        <v/>
      </c>
      <c r="AE100">
        <f>IF(AE10="",0,IFERROR(INDEX($W$5:$W$86,MATCH(AE10,$V$5:$V$86,0)),0))</f>
        <v/>
      </c>
      <c r="AF100">
        <f>IF(AF10="",0,IFERROR(INDEX($W$5:$W$86,MATCH(AF10,$V$5:$V$86,0)),0))</f>
        <v/>
      </c>
      <c r="AG100">
        <f>IF(AG10="",0,IFERROR(INDEX($W$5:$W$86,MATCH(AG10,$V$5:$V$86,0)),0))</f>
        <v/>
      </c>
      <c r="AH100">
        <f>IF(AH10="",0,IFERROR(INDEX($W$5:$W$86,MATCH(AH10,$V$5:$V$86,0)),0))</f>
        <v/>
      </c>
      <c r="AI100">
        <f>IF(AI10="",0,IFERROR(INDEX($W$5:$W$86,MATCH(AI10,$V$5:$V$86,0)),0))</f>
        <v/>
      </c>
      <c r="AJ100">
        <f>IF(AJ10="",0,IFERROR(INDEX($W$5:$W$86,MATCH(AJ10,$V$5:$V$86,0)),0))</f>
        <v/>
      </c>
      <c r="AK100">
        <f>IF(AK10="",0,IFERROR(INDEX($W$5:$W$86,MATCH(AK10,$V$5:$V$86,0)),0))</f>
        <v/>
      </c>
      <c r="AL100">
        <f>IF(AL10="",0,IFERROR(INDEX($W$5:$W$86,MATCH(AL10,$V$5:$V$86,0)),0))</f>
        <v/>
      </c>
      <c r="AM100">
        <f>IF(AM10="",0,IFERROR(INDEX($W$5:$W$86,MATCH(AM10,$V$5:$V$86,0)),0))</f>
        <v/>
      </c>
      <c r="AN100">
        <f>IF(AN10="",0,IFERROR(INDEX($W$5:$W$86,MATCH(AN10,$V$5:$V$86,0)),0))</f>
        <v/>
      </c>
      <c r="AO100">
        <f>IF(AO10="",0,IFERROR(INDEX($W$5:$W$86,MATCH(AO10,$V$5:$V$86,0)),0))</f>
        <v/>
      </c>
      <c r="AP100">
        <f>IF(AP10="",0,IFERROR(INDEX($W$5:$W$86,MATCH(AP10,$V$5:$V$86,0)),0))</f>
        <v/>
      </c>
      <c r="AQ100">
        <f>IF(AQ10="",0,IFERROR(INDEX($W$5:$W$86,MATCH(AQ10,$V$5:$V$86,0)),0))</f>
        <v/>
      </c>
      <c r="AR100">
        <f>IF(AR10="",0,IFERROR(INDEX($W$5:$W$86,MATCH(AR10,$V$5:$V$86,0)),0))</f>
        <v/>
      </c>
      <c r="AS100">
        <f>IF(AS10="",0,IFERROR(INDEX($W$5:$W$86,MATCH(AS10,$V$5:$V$86,0)),0))</f>
        <v/>
      </c>
      <c r="AT100">
        <f>IF(AT10="",0,IFERROR(INDEX($W$5:$W$86,MATCH(AT10,$V$5:$V$86,0)),0))</f>
        <v/>
      </c>
      <c r="AU100">
        <f>IF(AU10="",0,IFERROR(INDEX($W$5:$W$86,MATCH(AU10,$V$5:$V$86,0)),0))</f>
        <v/>
      </c>
      <c r="AV100">
        <f>IF(AV10="",0,IFERROR(INDEX($W$5:$W$86,MATCH(AV10,$V$5:$V$86,0)),0))</f>
        <v/>
      </c>
      <c r="AW100">
        <f>IF(AW10="",0,IFERROR(INDEX($W$5:$W$86,MATCH(AW10,$V$5:$V$86,0)),0))</f>
        <v/>
      </c>
      <c r="AX100">
        <f>IF(AX10="",0,IFERROR(INDEX($W$5:$W$86,MATCH(AX10,$V$5:$V$86,0)),0))</f>
        <v/>
      </c>
      <c r="AY100">
        <f>IF(AY10="",0,IFERROR(INDEX($W$5:$W$86,MATCH(AY10,$V$5:$V$86,0)),0))</f>
        <v/>
      </c>
      <c r="AZ100">
        <f>IF(AZ10="",0,IFERROR(INDEX($W$5:$W$86,MATCH(AZ10,$V$5:$V$86,0)),0))</f>
        <v/>
      </c>
      <c r="BA100">
        <f>IF(BA10="",0,IFERROR(INDEX($W$5:$W$86,MATCH(BA10,$V$5:$V$86,0)),0))</f>
        <v/>
      </c>
      <c r="BB100">
        <f>IF(BB10="",0,IFERROR(INDEX($W$5:$W$86,MATCH(BB10,$V$5:$V$86,0)),0))</f>
        <v/>
      </c>
      <c r="BC100">
        <f>IF(BC10="",0,IFERROR(INDEX($W$5:$W$86,MATCH(BC10,$V$5:$V$86,0)),0))</f>
        <v/>
      </c>
      <c r="BD100">
        <f>IF(BD10="",0,IFERROR(INDEX($W$5:$W$86,MATCH(BD10,$V$5:$V$86,0)),0))</f>
        <v/>
      </c>
      <c r="BE100">
        <f>IF(BE10="",0,IFERROR(INDEX($W$5:$W$86,MATCH(BE10,$V$5:$V$86,0)),0))</f>
        <v/>
      </c>
      <c r="BF100">
        <f>IF(BF10="",0,IFERROR(INDEX($W$5:$W$86,MATCH(BF10,$V$5:$V$86,0)),0))</f>
        <v/>
      </c>
      <c r="BG100">
        <f>IF(BG10="",0,IFERROR(INDEX($W$5:$W$86,MATCH(BG10,$V$5:$V$86,0)),0))</f>
        <v/>
      </c>
      <c r="BH100">
        <f>IF(BH10="",0,IFERROR(INDEX($W$5:$W$86,MATCH(BH10,$V$5:$V$86,0)),0))</f>
        <v/>
      </c>
      <c r="BI100">
        <f>IF(BI10="",0,IFERROR(INDEX($W$5:$W$86,MATCH(BI10,$V$5:$V$86,0)),0))</f>
        <v/>
      </c>
      <c r="BJ100">
        <f>IF(BJ10="",0,IFERROR(INDEX($W$5:$W$86,MATCH(BJ10,$V$5:$V$86,0)),0))</f>
        <v/>
      </c>
      <c r="BK100">
        <f>IF(BK10="",0,IFERROR(INDEX($W$5:$W$86,MATCH(BK10,$V$5:$V$86,0)),0))</f>
        <v/>
      </c>
      <c r="BL100">
        <f>IF(BL10="",0,IFERROR(INDEX($W$5:$W$86,MATCH(BL10,$V$5:$V$86,0)),0))</f>
        <v/>
      </c>
      <c r="BM100">
        <f>IF(BM10="",0,IFERROR(INDEX($W$5:$W$86,MATCH(BM10,$V$5:$V$86,0)),0))</f>
        <v/>
      </c>
      <c r="BN100">
        <f>IF(BN10="",0,IFERROR(INDEX($W$5:$W$86,MATCH(BN10,$V$5:$V$86,0)),0))</f>
        <v/>
      </c>
      <c r="BO100">
        <f>IF(BO10="",0,IFERROR(INDEX($W$5:$W$86,MATCH(BO10,$V$5:$V$86,0)),0))</f>
        <v/>
      </c>
      <c r="BP100">
        <f>IF(BP10="",0,IFERROR(INDEX($W$5:$W$86,MATCH(BP10,$V$5:$V$86,0)),0))</f>
        <v/>
      </c>
      <c r="BQ100">
        <f>IF(BQ10="",0,IFERROR(INDEX($W$5:$W$86,MATCH(BQ10,$V$5:$V$86,0)),0))</f>
        <v/>
      </c>
      <c r="BR100">
        <f>IF(BR10="",0,IFERROR(INDEX($W$5:$W$86,MATCH(BR10,$V$5:$V$86,0)),0))</f>
        <v/>
      </c>
      <c r="BS100">
        <f>IF(BS10="",0,IFERROR(INDEX($W$5:$W$86,MATCH(BS10,$V$5:$V$86,0)),0))</f>
        <v/>
      </c>
      <c r="BT100">
        <f>IF(BT10="",0,IFERROR(INDEX($W$5:$W$86,MATCH(BT10,$V$5:$V$86,0)),0))</f>
        <v/>
      </c>
      <c r="BU100">
        <f>IF(BU10="",0,IFERROR(INDEX($W$5:$W$86,MATCH(BU10,$V$5:$V$86,0)),0))</f>
        <v/>
      </c>
      <c r="BV100">
        <f>IF(BV10="",0,IFERROR(INDEX($W$5:$W$86,MATCH(BV10,$V$5:$V$86,0)),0))</f>
        <v/>
      </c>
      <c r="BW100">
        <f>IF(BW10="",0,IFERROR(INDEX($W$5:$W$86,MATCH(BW10,$V$5:$V$86,0)),0))</f>
        <v/>
      </c>
      <c r="BX100">
        <f>IF(BX10="",0,IFERROR(INDEX($W$5:$W$86,MATCH(BX10,$V$5:$V$86,0)),0))</f>
        <v/>
      </c>
      <c r="BY100">
        <f>IF(BY10="",0,IFERROR(INDEX($W$5:$W$86,MATCH(BY10,$V$5:$V$86,0)),0))</f>
        <v/>
      </c>
      <c r="BZ100">
        <f>IF(BZ10="",0,IFERROR(INDEX($W$5:$W$86,MATCH(BZ10,$V$5:$V$86,0)),0))</f>
        <v/>
      </c>
      <c r="CA100">
        <f>IF(CA10="",0,IFERROR(INDEX($W$5:$W$86,MATCH(CA10,$V$5:$V$86,0)),0))</f>
        <v/>
      </c>
      <c r="CB100">
        <f>IF(CB10="",0,IFERROR(INDEX($W$5:$W$86,MATCH(CB10,$V$5:$V$86,0)),0))</f>
        <v/>
      </c>
      <c r="CC100">
        <f>IF(CC10="",0,IFERROR(INDEX($W$5:$W$86,MATCH(CC10,$V$5:$V$86,0)),0))</f>
        <v/>
      </c>
      <c r="CD100">
        <f>IF(CD10="",0,IFERROR(INDEX($W$5:$W$86,MATCH(CD10,$V$5:$V$86,0)),0))</f>
        <v/>
      </c>
      <c r="CE100">
        <f>IF(CE10="",0,IFERROR(INDEX($W$5:$W$86,MATCH(CE10,$V$5:$V$86,0)),0))</f>
        <v/>
      </c>
      <c r="CF100">
        <f>IF(CF10="",0,IFERROR(INDEX($W$5:$W$86,MATCH(CF10,$V$5:$V$86,0)),0))</f>
        <v/>
      </c>
      <c r="DA100" t="n">
        <v>96</v>
      </c>
      <c r="DB100">
        <f>IF($B$37=0,"",IFERROR(TRIM(SUBSTITUTE(SUBSTITUTE(SUBSTITUTE(SUBSTITUTE(INDEX(PASTE_ALL,96,$B$37)," "," "),CHAR(9)," "),CHAR(10)," "),CHAR(13)," ")),""))</f>
        <v/>
      </c>
      <c r="DC100">
        <f>IF(AND(96&gt;HEADER_ROW,UPPER(DB100)="LEGEND"),1,0)</f>
        <v/>
      </c>
      <c r="DE100" t="n">
        <v>96</v>
      </c>
      <c r="DF100">
        <f>HEADER_ROW+$DE100</f>
        <v/>
      </c>
      <c r="DG100">
        <f>IF(AND($DF100&lt;=1000,$DF100&lt;$B$8),1,0)</f>
        <v/>
      </c>
      <c r="DH100">
        <f>IF($DG100=1,IFERROR(INDEX($DB$5:$DB$1004,$DF100),""),"")</f>
        <v/>
      </c>
      <c r="DI100">
        <f>IF(AND($DG100=1,$DH100&lt;&gt;""),IFERROR(SUBSTITUTE(SUBSTITUTE(TRIM(SUBSTITUTE(SUBSTITUTE(SUBSTITUTE(SUBSTITUTE(IFERROR(INDEX(PASTE_ALL,$DF100,1)&amp;"","")&amp;"␟"&amp;IFERROR(INDEX(PASTE_ALL,$DF100,2)&amp;"","")&amp;"␟"&amp;IFERROR(INDEX(PASTE_ALL,$DF100,3)&amp;"","")&amp;"␟"&amp;IFERROR(INDEX(PASTE_ALL,$DF100,4)&amp;"","")&amp;"␟"&amp;IFERROR(INDEX(PASTE_ALL,$DF100,5)&amp;"","")&amp;"␟"&amp;IFERROR(INDEX(PASTE_ALL,$DF100,6)&amp;"","")&amp;"␟"&amp;IFERROR(INDEX(PASTE_ALL,$DF100,7)&amp;"","")&amp;"␟"&amp;IFERROR(INDEX(PASTE_ALL,$DF100,8)&amp;"","")&amp;"␟"&amp;IFERROR(INDEX(PASTE_ALL,$DF100,9)&amp;"","")&amp;"␟"&amp;IFERROR(INDEX(PASTE_ALL,$DF100,10)&amp;"","")&amp;"␟"&amp;IFERROR(INDEX(PASTE_ALL,$DF100,11)&amp;"","")&amp;"␟"&amp;IFERROR(INDEX(PASTE_ALL,$DF100,12)&amp;"","")&amp;"␟"&amp;IFERROR(INDEX(PASTE_ALL,$DF100,13)&amp;"","")&amp;"␟"&amp;IFERROR(INDEX(PASTE_ALL,$DF100,14)&amp;"","")&amp;"␟"&amp;IFERROR(INDEX(PASTE_ALL,$DF100,15)&amp;"","")&amp;"␟"&amp;IFERROR(INDEX(PASTE_ALL,$DF100,16)&amp;"","")&amp;"␟"&amp;IFERROR(INDEX(PASTE_ALL,$DF100,17)&amp;"","")&amp;"␟"&amp;IFERROR(INDEX(PASTE_ALL,$DF100,18)&amp;"","")&amp;"␟"&amp;IFERROR(INDEX(PASTE_ALL,$DF100,19)&amp;"","")&amp;"␟"&amp;IFERROR(INDEX(PASTE_ALL,$DF100,20)&amp;"","")&amp;"␟"&amp;IFERROR(INDEX(PASTE_ALL,$DF100,21)&amp;"","")&amp;"␟"&amp;IFERROR(INDEX(PASTE_ALL,$DF100,22)&amp;"","")&amp;"␟"&amp;IFERROR(INDEX(PASTE_ALL,$DF100,23)&amp;"","")&amp;"␟"&amp;IFERROR(INDEX(PASTE_ALL,$DF100,24)&amp;"","")&amp;"␟"&amp;IFERROR(INDEX(PASTE_ALL,$DF100,25)&amp;"","")&amp;"␟"&amp;IFERROR(INDEX(PASTE_ALL,$DF100,26)&amp;"","")&amp;"␟"&amp;IFERROR(INDEX(PASTE_ALL,$DF100,27)&amp;"","")&amp;"␟"&amp;IFERROR(INDEX(PASTE_ALL,$DF100,28)&amp;"","")&amp;"␟"&amp;IFERROR(INDEX(PASTE_ALL,$DF100,29)&amp;"","")&amp;"␟"&amp;IFERROR(INDEX(PASTE_ALL,$DF100,30)&amp;"","")&amp;"␟"&amp;IFERROR(INDEX(PASTE_ALL,$DF100,31)&amp;"","")&amp;"␟"&amp;IFERROR(INDEX(PASTE_ALL,$DF100,32)&amp;"","")&amp;"␟"&amp;IFERROR(INDEX(PASTE_ALL,$DF100,33)&amp;"","")&amp;"␟"&amp;IFERROR(INDEX(PASTE_ALL,$DF100,34)&amp;"","")&amp;"␟"&amp;IFERROR(INDEX(PASTE_ALL,$DF100,35)&amp;"","")&amp;"␟"&amp;IFERROR(INDEX(PASTE_ALL,$DF100,36)&amp;"","")&amp;"␟"&amp;IFERROR(INDEX(PASTE_ALL,$DF100,37)&amp;"","")&amp;"␟"&amp;IFERROR(INDEX(PASTE_ALL,$DF100,38)&amp;"","")&amp;"␟"&amp;IFERROR(INDEX(PASTE_ALL,$DF100,39)&amp;"","")&amp;"␟"&amp;IFERROR(INDEX(PASTE_ALL,$DF100,40)&amp;"","")&amp;"␟"&amp;IFERROR(INDEX(PASTE_ALL,$DF100,41)&amp;"","")&amp;"␟"&amp;IFERROR(INDEX(PASTE_ALL,$DF100,42)&amp;"","")&amp;"␟"&amp;IFERROR(INDEX(PASTE_ALL,$DF100,43)&amp;"","")&amp;"␟"&amp;IFERROR(INDEX(PASTE_ALL,$DF100,44)&amp;"","")&amp;"␟"&amp;IFERROR(INDEX(PASTE_ALL,$DF100,45)&amp;"","")&amp;"␟"&amp;IFERROR(INDEX(PASTE_ALL,$DF100,46)&amp;"","")&amp;"␟"&amp;IFERROR(INDEX(PASTE_ALL,$DF100,47)&amp;"","")&amp;"␟"&amp;IFERROR(INDEX(PASTE_ALL,$DF100,48)&amp;"","")&amp;"␟"&amp;IFERROR(INDEX(PASTE_ALL,$DF100,49)&amp;"","")&amp;"␟"&amp;IFERROR(INDEX(PASTE_ALL,$DF100,50)&amp;"","")&amp;"␟"&amp;IFERROR(INDEX(PASTE_ALL,$DF100,51)&amp;"","")&amp;"␟"&amp;IFERROR(INDEX(PASTE_ALL,$DF100,52)&amp;"","")&amp;"␟"&amp;IFERROR(INDEX(PASTE_ALL,$DF100,53)&amp;"","")&amp;"␟"&amp;IFERROR(INDEX(PASTE_ALL,$DF100,54)&amp;"","")&amp;"␟"&amp;IFERROR(INDEX(PASTE_ALL,$DF100,55)&amp;"","")&amp;"␟"&amp;IFERROR(INDEX(PASTE_ALL,$DF100,56)&amp;"","")&amp;"␟"&amp;IFERROR(INDEX(PASTE_ALL,$DF100,57)&amp;"","")&amp;"␟"&amp;IFERROR(INDEX(PASTE_ALL,$DF100,58)&amp;"","")&amp;"␟"&amp;IFERROR(INDEX(PASTE_ALL,$DF100,59)&amp;"","")&amp;"␟"&amp;IFERROR(INDEX(PASTE_ALL,$DF100,60)&amp;"","")," "," "),CHAR(9)," "),CHAR(10)," "),CHAR(13)," "))," ␟","␟"),"␟ ","␟"),"#"&amp;$DE100),"")</f>
        <v/>
      </c>
      <c r="DJ100">
        <f>IF($DI100="",0,IF(SUMPRODUCT(--EXACT($DI$4:DI99,$DI100))&gt;0,1,0))</f>
        <v/>
      </c>
      <c r="DK100">
        <f>IF(AND($DI100&lt;&gt;"",$DJ100=0),1,0)</f>
        <v/>
      </c>
      <c r="DL100">
        <f>DL99+$DK100</f>
        <v/>
      </c>
      <c r="DM100">
        <f>IF(AND($DK100=1,$DL100&lt;=600),1,0)</f>
        <v/>
      </c>
      <c r="DN100">
        <f>IF($DM100=0,"",IF($L$6=0,"",IFERROR(IF(ISNUMBER(INDEX(PASTE_ALL,$DF100,$L$6)),INDEX(PASTE_ALL,$DF100,$L$6),TRIM(SUBSTITUTE(SUBSTITUTE(SUBSTITUTE(SUBSTITUTE(INDEX(PASTE_ALL,$DF100,$L$6)," "," "),CHAR(9)," "),CHAR(10)," "),CHAR(13)," "))),"")))</f>
        <v/>
      </c>
      <c r="DO100">
        <f>IF($DM100=0,"",IF($L$7=0,"",IFERROR(IF(ISNUMBER(INDEX(PASTE_ALL,$DF100,$L$7)),INDEX(PASTE_ALL,$DF100,$L$7),TRIM(SUBSTITUTE(SUBSTITUTE(SUBSTITUTE(SUBSTITUTE(INDEX(PASTE_ALL,$DF100,$L$7)," "," "),CHAR(9)," "),CHAR(10)," "),CHAR(13)," "))),"")))</f>
        <v/>
      </c>
      <c r="DP100">
        <f>IF($DM100=0,"",IF($L$8=0,"",IFERROR(IF(ISNUMBER(INDEX(PASTE_ALL,$DF100,$L$8)),INDEX(PASTE_ALL,$DF100,$L$8),TRIM(SUBSTITUTE(SUBSTITUTE(SUBSTITUTE(SUBSTITUTE(INDEX(PASTE_ALL,$DF100,$L$8)," "," "),CHAR(9)," "),CHAR(10)," "),CHAR(13)," "))),"")))</f>
        <v/>
      </c>
      <c r="DQ100">
        <f>IF($DM100=0,"",IF($L$9=0,"",IFERROR(IF(ISNUMBER(INDEX(PASTE_ALL,$DF100,$L$9)),INDEX(PASTE_ALL,$DF100,$L$9),TRIM(SUBSTITUTE(SUBSTITUTE(SUBSTITUTE(SUBSTITUTE(INDEX(PASTE_ALL,$DF100,$L$9)," "," "),CHAR(9)," "),CHAR(10)," "),CHAR(13)," "))),"")))</f>
        <v/>
      </c>
      <c r="DR100">
        <f>IF($DM100=0,"",IF($L$10=0,"",IFERROR(IF(ISNUMBER(INDEX(PASTE_ALL,$DF100,$L$10)),INDEX(PASTE_ALL,$DF100,$L$10),TRIM(SUBSTITUTE(SUBSTITUTE(SUBSTITUTE(SUBSTITUTE(INDEX(PASTE_ALL,$DF100,$L$10)," "," "),CHAR(9)," "),CHAR(10)," "),CHAR(13)," "))),"")))</f>
        <v/>
      </c>
      <c r="DS100">
        <f>IF($DM100=0,"",IF($L$11=0,"",IFERROR(IF(ISNUMBER(INDEX(PASTE_ALL,$DF100,$L$11)),INDEX(PASTE_ALL,$DF100,$L$11),TRIM(SUBSTITUTE(SUBSTITUTE(SUBSTITUTE(SUBSTITUTE(INDEX(PASTE_ALL,$DF100,$L$11)," "," "),CHAR(9)," "),CHAR(10)," "),CHAR(13)," "))),"")))</f>
        <v/>
      </c>
      <c r="DT100">
        <f>IF($DM100=0,"",IF($L$12=0,"",IFERROR(IF(ISNUMBER(INDEX(PASTE_ALL,$DF100,$L$12)),INDEX(PASTE_ALL,$DF100,$L$12),TRIM(SUBSTITUTE(SUBSTITUTE(SUBSTITUTE(SUBSTITUTE(INDEX(PASTE_ALL,$DF100,$L$12)," "," "),CHAR(9)," "),CHAR(10)," "),CHAR(13)," "))),"")))</f>
        <v/>
      </c>
      <c r="DU100">
        <f>IF($DM100=0,"",IF($L$13=0,"",IFERROR(IF(ISNUMBER(INDEX(PASTE_ALL,$DF100,$L$13)),INDEX(PASTE_ALL,$DF100,$L$13),TRIM(SUBSTITUTE(SUBSTITUTE(SUBSTITUTE(SUBSTITUTE(INDEX(PASTE_ALL,$DF100,$L$13)," "," "),CHAR(9)," "),CHAR(10)," "),CHAR(13)," "))),"")))</f>
        <v/>
      </c>
      <c r="DV100">
        <f>IF($DM100=0,"",IF($L$14=0,"",IFERROR(IF(ISNUMBER(INDEX(PASTE_ALL,$DF100,$L$14)),INDEX(PASTE_ALL,$DF100,$L$14),TRIM(SUBSTITUTE(SUBSTITUTE(SUBSTITUTE(SUBSTITUTE(INDEX(PASTE_ALL,$DF100,$L$14)," "," "),CHAR(9)," "),CHAR(10)," "),CHAR(13)," "))),"")))</f>
        <v/>
      </c>
      <c r="DW100">
        <f>IF($DM100=0,"",IF($L$15=0,"",IFERROR(IF(ISNUMBER(INDEX(PASTE_ALL,$DF100,$L$15)),INDEX(PASTE_ALL,$DF100,$L$15),IF(SUMPRODUCT(--ISNUMBER(FIND({"A","B","C","D","E","F","G","H","I","J","K","L","M","N","O","P","Q","R","S","T","U","V","W","X","Y","Z","0","1","2","3","4","5","6","7","8","9"},UPPER(TRIM(SUBSTITUTE(SUBSTITUTE(SUBSTITUTE(SUBSTITUTE(INDEX(PASTE_ALL,$DF100,$L$15)," "," "),CHAR(9)," "),CHAR(10)," "),CHAR(13)," "))))))&gt;0,TRIM(SUBSTITUTE(SUBSTITUTE(SUBSTITUTE(SUBSTITUTE(INDEX(PASTE_ALL,$DF100,$L$15)," "," "),CHAR(9)," "),CHAR(10)," "),CHAR(13)," ")),"")),"")))</f>
        <v/>
      </c>
      <c r="DX100">
        <f>IF($DM100=0,"",IF($L$16=0,"",IFERROR(IF(ISNUMBER(INDEX(PASTE_ALL,$DF100,$L$16)),INDEX(PASTE_ALL,$DF100,$L$16),SUBSTITUTE(SUBSTITUTE(TRIM(SUBSTITUTE(SUBSTITUTE(SUBSTITUTE(SUBSTITUTE(INDEX(PASTE_ALL,$DF100,$L$16)," "," "),CHAR(9)," "),CHAR(10)," "),CHAR(13)," ")),",",""),"%","")),"")))</f>
        <v/>
      </c>
      <c r="DY100">
        <f>IF($DM100=0,"",IFERROR(IF(ISNUMBER($DX100),$DX100,IF($DX100="","",IF(TRIM($DX100)="",0,IF(AND(AND(SUBSTITUTE(SUBSTITUTE(SUBSTITUTE(SUBSTITUTE(SUBSTITUTE(SUBSTITUTE(SUBSTITUTE(SUBSTITUTE(SUBSTITUTE(SUBSTITUTE(SUBSTITUTE(SUBSTITUTE(SUBSTITUTE(SUBSTITUTE(UPPER(TRIM($DX100)),"0",""),"1",""),"2",""),"3",""),"4",""),"5",""),"6",""),"7",""),"8",""),"9",""),".",""),"+",""),"-",""),"E","")="",LEN(SUBSTITUTE(SUBSTITUTE(MID(UPPER(TRIM($DX100)),1+OR(LEFT(UPPER(TRIM($DX100)),1)="+",LEFT(UPPER(TRIM($DX100)),1)="-"),999),"E+","E"),"E-","E"))=LEN(SUBSTITUTE(SUBSTITUTE(SUBSTITUTE(SUBSTITUTE(MID(UPPER(TRIM($DX100)),1+OR(LEFT(UPPER(TRIM($DX100)),1)="+",LEFT(UPPER(TRIM($DX100)),1)="-"),999),"E+","E"),"E-","E"),"+",""),"-","")),LEN(UPPER(TRIM($DX100)))-LEN(SUBSTITUTE(UPPER(TRIM($DX100)),"E",""))&lt;2,LEN(UPPER(TRIM($DX100)))-LEN(SUBSTITUTE(UPPER(TRIM($DX100)),".",""))&lt;2,IFERROR(FIND(".",UPPER(TRIM($DX100))),0)&lt;IFERROR(FIND("E",UPPER(TRIM($DX100))),999)),ISNUMBER(VALUE(TRIM($DX100)))),VALUE(TRIM($DX100)),"")))),""))</f>
        <v/>
      </c>
      <c r="DZ100">
        <f>IF($DM100=0,"",IF($L$17=0,"",IFERROR(IF(ISNUMBER(INDEX(PASTE_ALL,$DF100,$L$17)),INDEX(PASTE_ALL,$DF100,$L$17),SUBSTITUTE(SUBSTITUTE(TRIM(SUBSTITUTE(SUBSTITUTE(SUBSTITUTE(SUBSTITUTE(INDEX(PASTE_ALL,$DF100,$L$17)," "," "),CHAR(9)," "),CHAR(10)," "),CHAR(13)," ")),",",""),"%","")),"")))</f>
        <v/>
      </c>
      <c r="EA100">
        <f>IF($DM100=0,"",IFERROR(IF(ISNUMBER($DZ100),$DZ100,IF($DZ100="","",IF(TRIM($DZ100)="",0,IF(AND(AND(SUBSTITUTE(SUBSTITUTE(SUBSTITUTE(SUBSTITUTE(SUBSTITUTE(SUBSTITUTE(SUBSTITUTE(SUBSTITUTE(SUBSTITUTE(SUBSTITUTE(SUBSTITUTE(SUBSTITUTE(SUBSTITUTE(SUBSTITUTE(UPPER(TRIM($DZ100)),"0",""),"1",""),"2",""),"3",""),"4",""),"5",""),"6",""),"7",""),"8",""),"9",""),".",""),"+",""),"-",""),"E","")="",LEN(SUBSTITUTE(SUBSTITUTE(MID(UPPER(TRIM($DZ100)),1+OR(LEFT(UPPER(TRIM($DZ100)),1)="+",LEFT(UPPER(TRIM($DZ100)),1)="-"),999),"E+","E"),"E-","E"))=LEN(SUBSTITUTE(SUBSTITUTE(SUBSTITUTE(SUBSTITUTE(MID(UPPER(TRIM($DZ100)),1+OR(LEFT(UPPER(TRIM($DZ100)),1)="+",LEFT(UPPER(TRIM($DZ100)),1)="-"),999),"E+","E"),"E-","E"),"+",""),"-","")),LEN(UPPER(TRIM($DZ100)))-LEN(SUBSTITUTE(UPPER(TRIM($DZ100)),"E",""))&lt;2,LEN(UPPER(TRIM($DZ100)))-LEN(SUBSTITUTE(UPPER(TRIM($DZ100)),".",""))&lt;2,IFERROR(FIND(".",UPPER(TRIM($DZ100))),0)&lt;IFERROR(FIND("E",UPPER(TRIM($DZ100))),999)),ISNUMBER(VALUE(TRIM($DZ100)))),VALUE(TRIM($DZ100)),"")))),""))</f>
        <v/>
      </c>
      <c r="EB100">
        <f>IF($DM100=0,"",IF($L$18=0,"",IFERROR(IF(UPPER(TRIM(SUBSTITUTE(SUBSTITUTE(SUBSTITUTE(SUBSTITUTE(INDEX(PASTE_ALL,$DF100,$L$18)," "," "),CHAR(9)," "),CHAR(10)," "),CHAR(13)," ")))="READY","Ready",IF(UPPER(TRIM(SUBSTITUTE(SUBSTITUTE(SUBSTITUTE(SUBSTITUTE(INDEX(PASTE_ALL,$DF100,$L$18)," "," "),CHAR(9)," "),CHAR(10)," "),CHAR(13)," ")))="PM","PM",IF(OR(UPPER(TRIM(SUBSTITUTE(SUBSTITUTE(SUBSTITUTE(SUBSTITUTE(INDEX(PASTE_ALL,$DF100,$L$18)," "," "),CHAR(9)," "),CHAR(10)," "),CHAR(13)," ")))="OT",UPPER(TRIM(SUBSTITUTE(SUBSTITUTE(SUBSTITUTE(SUBSTITUTE(INDEX(PASTE_ALL,$DF100,$L$18)," "," "),CHAR(9)," "),CHAR(10)," "),CHAR(13)," ")))="OVERTIME",UPPER(TRIM(SUBSTITUTE(SUBSTITUTE(SUBSTITUTE(SUBSTITUTE(INDEX(PASTE_ALL,$DF100,$L$18)," "," "),CHAR(9)," "),CHAR(10)," "),CHAR(13)," ")))="TRIAL"),"OT",TRIM(SUBSTITUTE(SUBSTITUTE(SUBSTITUTE(SUBSTITUTE(INDEX(PASTE_ALL,$DF100,$L$18)," "," "),CHAR(9)," "),CHAR(10)," "),CHAR(13)," "))))),"")))</f>
        <v/>
      </c>
      <c r="EC100">
        <f>IF($DM100=0,"",IF($L$19=0,"",IFERROR(IF(ISNUMBER(INDEX(PASTE_ALL,$DF100,$L$19)),INDEX(PASTE_ALL,$DF100,$L$19),TRIM(SUBSTITUTE(SUBSTITUTE(SUBSTITUTE(SUBSTITUTE(INDEX(PASTE_ALL,$DF100,$L$19)," "," "),CHAR(9)," "),CHAR(10)," "),CHAR(13)," "))),"")))</f>
        <v/>
      </c>
      <c r="ED100">
        <f>IF($DM100=0,"",MATCH(1,INDEX(EXACT($DH$5:DH100,$DH100)*$DM$5:DM100,0),0))</f>
        <v/>
      </c>
      <c r="EE100">
        <f>IF($DM100=0,0,IF($ED100=$DE100,1,0))</f>
        <v/>
      </c>
      <c r="EF100">
        <f>EF99+$EE100</f>
        <v/>
      </c>
      <c r="EG100">
        <f>IF($DM100=0,"",INDEX($EF$5:$EF$1003,$ED100))</f>
        <v/>
      </c>
      <c r="EH100">
        <f>IF($DM100=0,"",IF($DO100&lt;&gt;"","",IFERROR(LOOKUP(2,1/(($EG$4:EG99=$EG100)*($DO$4:DO99&lt;&gt;"")),$DO$4:DO99),"")))</f>
        <v/>
      </c>
      <c r="EI100">
        <f>IF($DM100=0,"",IF($DO100&lt;&gt;"",$DO100,$EH100))</f>
        <v/>
      </c>
      <c r="EJ100">
        <f>IF($DM100=0,"",IF($EI100="",0,IF(OR(ISNUMBER($EI100),AND(AND(SUBSTITUTE(SUBSTITUTE(SUBSTITUTE(SUBSTITUTE(SUBSTITUTE(SUBSTITUTE(SUBSTITUTE(SUBSTITUTE(SUBSTITUTE(SUBSTITUTE(SUBSTITUTE(SUBSTITUTE(SUBSTITUTE(SUBSTITUTE(UPPER($EI100),"0",""),"1",""),"2",""),"3",""),"4",""),"5",""),"6",""),"7",""),"8",""),"9",""),".",""),"+",""),"-",""),"E","")="",LEN(SUBSTITUTE(SUBSTITUTE(MID(UPPER($EI100),1+OR(LEFT(UPPER($EI100),1)="+",LEFT(UPPER($EI100),1)="-"),999),"E+","E"),"E-","E"))=LEN(SUBSTITUTE(SUBSTITUTE(SUBSTITUTE(SUBSTITUTE(MID(UPPER($EI100),1+OR(LEFT(UPPER($EI100),1)="+",LEFT(UPPER($EI100),1)="-"),999),"E+","E"),"E-","E"),"+",""),"-","")),LEN(UPPER($EI100))-LEN(SUBSTITUTE(UPPER($EI100),"E",""))&lt;2,LEN(UPPER($EI100))-LEN(SUBSTITUTE(UPPER($EI100),".",""))&lt;2,IFERROR(FIND(".",UPPER($EI100)),0)&lt;IFERROR(FIND("E",UPPER($EI100)),999)),ISNUMBER(VALUE($EI100)))),1,2)))</f>
        <v/>
      </c>
      <c r="EK100">
        <f>IF($DM100=0,"",IF($EJ100=1,IF(ISNUMBER($EI100),$EI100,VALUE($EI100)),IF($EJ100=2,$DE100,0)))</f>
        <v/>
      </c>
      <c r="EL100">
        <f>IF($DM100=0,"",COUNTIF($EG$5:$EG$1003,"&lt;"&amp;$EG100)+SUMPRODUCT(($EG$5:$EG$1003=$EG100)*(($EJ$5:$EJ$1003&lt;$EJ100)+($EJ$5:$EJ$1003=$EJ100)*(($EK$5:$EK$1003&lt;$EK100)+($EK$5:$EK$1003=$EK100)*($DE$5:$DE$1003&lt;$DE100))))+1)</f>
        <v/>
      </c>
      <c r="EM100">
        <f>IF($DM100=0,"",$EL100+$EG100-1)</f>
        <v/>
      </c>
      <c r="EN100">
        <f>IF($DM100=0,0,IFERROR(MATCH(1,INDEX(--(TRIM(SUBSTITUTE(SUBSTITUTE(SUBSTITUTE(SUBSTITUTE(LINES_NAME&amp;""," "," "),CHAR(9)," "),CHAR(10)," "),CHAR(13)," "))=$DH100),0),0),0))</f>
        <v/>
      </c>
      <c r="EO100">
        <f>IF($EN100=0,0,IF(OR(UPPER(TRIM(INDEX(LINES_SCHEDULED,$EN100)&amp;""))="YES",UPPER(TRIM(INDEX(LINES_SCHEDULED,$EN100)&amp;""))="Y",UPPER(TRIM(INDEX(LINES_SCHEDULED,$EN100)&amp;""))="X"),1,0))</f>
        <v/>
      </c>
      <c r="EP100">
        <f>IF($DM100=0,"",IF(COUNTIFS($EG$5:$EG$1003,$EG100,$EB$5:$EB$1003,"Ready")&gt;0,"READY",IF(COUNTIFS($EG$5:$EG$1003,$EG100,$EB$5:$EB$1003,"PM")&gt;0,"PM",IF(COUNTIFS($EG$5:$EG$1003,$EG100,$EB$5:$EB$1003,"OT")&gt;0,"OT",""))))</f>
        <v/>
      </c>
      <c r="EQ100">
        <f>IF($EN100=0,"",UPPER(TRIM(INDEX(LINES_STATUS,$EN100)&amp;"")))</f>
        <v/>
      </c>
      <c r="ER100">
        <f>IF($DM100=0,"",IF(OR($EQ100="READY",$EQ100="PM",$EQ100="OT"),$EQ100,$EP100))</f>
        <v/>
      </c>
      <c r="ES100">
        <f>IF($DM100=0,"",IF(AND($DV100&lt;&gt;"",UPPER($DV100)&lt;&gt;"N"),"allergen",IF(ISNUMBER(SEARCH("oil",$DQ100)),"oil",IF(OR(EXACT($DS100,"A662"),EXACT($DS100,"A624")),"bulk",""))))</f>
        <v/>
      </c>
      <c r="ET100">
        <f>IF($DM100=0,"",IF(OR($EA100="",$EA100=0),"",$EA100/100))</f>
        <v/>
      </c>
      <c r="EU100">
        <f>IF(OR($ET100="",$DY100=""),"",INT($DY100*(1-$ET100)+0.5))</f>
        <v/>
      </c>
      <c r="EW100" t="n">
        <v>96</v>
      </c>
      <c r="EX100">
        <f>IFERROR(MATCH($EW100,$EM$5:$EM$1003,0),0)</f>
        <v/>
      </c>
      <c r="EY100">
        <f>IF($EW100&gt;$B$12,"",IF($EX100&gt;0,"row","spacer"))</f>
        <v/>
      </c>
      <c r="EZ100">
        <f>IF(AND($EY100="row",$EY99&lt;&gt;"row"),1,0)</f>
        <v/>
      </c>
      <c r="FA100">
        <f>IF(AND($EY100="row",$EY101&lt;&gt;"row"),1,0)</f>
        <v/>
      </c>
      <c r="FB100">
        <f>IF($EZ100=1,IFERROR(IF(ISNUMBER(INDEX(PASTE_ALL,INDEX($DF$5:$DF$1003,$EX100),$B$37)),INDEX(PASTE_ALL,INDEX($DF$5:$DF$1003,$EX100),$B$37),INDEX($DH$5:$DH$1003,$EX100)),INDEX($DH$5:$DH$1003,$EX100)),"")</f>
        <v/>
      </c>
      <c r="FC100">
        <f>IF($EY100="row",INDEX($ER$5:$ER$1003,$EX100),"")</f>
        <v/>
      </c>
      <c r="FD100">
        <f>IF($EY100="row",INDEX($DN$5:$DN$1003,$EX100),"")</f>
        <v/>
      </c>
      <c r="FE100">
        <f>IF($EY100="row",INDEX($DO$5:$DO$1003,$EX100),"")</f>
        <v/>
      </c>
      <c r="FF100">
        <f>IF($EY100="row",INDEX($DP$5:$DP$1003,$EX100),"")</f>
        <v/>
      </c>
      <c r="FG100">
        <f>IF($EY100="row",INDEX($DQ$5:$DQ$1003,$EX100),"")</f>
        <v/>
      </c>
      <c r="FH100">
        <f>IF($EY100="row",INDEX($DR$5:$DR$1003,$EX100),"")</f>
        <v/>
      </c>
      <c r="FI100">
        <f>IF($EY100="row",INDEX($DS$5:$DS$1003,$EX100),"")</f>
        <v/>
      </c>
      <c r="FJ100">
        <f>IF($EY100="row",INDEX($DT$5:$DT$1003,$EX100),"")</f>
        <v/>
      </c>
      <c r="FK100">
        <f>IF($EY100="row",INDEX($DU$5:$DU$1003,$EX100),"")</f>
        <v/>
      </c>
      <c r="FL100">
        <f>IF($EY100="row",INDEX($DV$5:$DV$1003,$EX100),"")</f>
        <v/>
      </c>
      <c r="FM100">
        <f>IF($EY100="row",INDEX($DW$5:$DW$1003,$EX100),"")</f>
        <v/>
      </c>
      <c r="FN100">
        <f>IF($EY100="row",INDEX($DY$5:$DY$1003,$EX100),"")</f>
        <v/>
      </c>
      <c r="FO100">
        <f>IF($EY100="row",INDEX($EA$5:$EA$1003,$EX100),"")</f>
        <v/>
      </c>
      <c r="FP100">
        <f>IF($EY100="row",INDEX($EC$5:$EC$1003,$EX100),"")</f>
        <v/>
      </c>
      <c r="FQ100">
        <f>IF($EY100="row",INDEX($ET$5:$ET$1003,$EX100),"")</f>
        <v/>
      </c>
      <c r="FR100">
        <f>IF($EY100="row",INDEX($EU$5:$EU$1003,$EX100),"")</f>
        <v/>
      </c>
      <c r="FS100">
        <f>IF(AND($EY100="row",$EY99="row"),IF(OR(INDEX($DT$5:$DT$1003,$EX99)="",INDEX($DT$5:$DT$1003,$EX100)=""),"",IF(NOT(EXACT(INDEX($DT$5:$DT$1003,$EX99),INDEX($DT$5:$DT$1003,$EX100))),"S4",IF(NOT(EXACT(INDEX($DS$5:$DS$1003,$EX99),INDEX($DS$5:$DS$1003,$EX100))),"S3",IF(NOT(EXACT(INDEX($DR$5:$DR$1003,$EX99),INDEX($DR$5:$DR$1003,$EX100))),"S1 Count Change","S1")))),"")</f>
        <v/>
      </c>
      <c r="FT100">
        <f>IF($EY100="row",INDEX($ES$5:$ES$1003,$EX100),"")</f>
        <v/>
      </c>
      <c r="FU100">
        <f>IF($EY100="row",INDEX($EO$5:$EO$1003,$EX100),0)</f>
        <v/>
      </c>
      <c r="FV100">
        <f>IF($FS100="S1 Count Change",1,0)</f>
        <v/>
      </c>
      <c r="FX100" t="n">
        <v>96</v>
      </c>
      <c r="FY100">
        <f>IFERROR(MATCH($FX100,$EF$5:$EF$1003,0),0)</f>
        <v/>
      </c>
      <c r="FZ100">
        <f>IF($FY100=0,"",INDEX($DH$5:$DH$1003,$FY100))</f>
        <v/>
      </c>
      <c r="GA100">
        <f>IF($FY100=0,"",COUNTIF($EG$5:$EG$1003,$FX100))</f>
        <v/>
      </c>
      <c r="GB100">
        <f>IF($FY100=0,"",INDEX($ER$5:$ER$1003,$FY100))</f>
        <v/>
      </c>
      <c r="GC100">
        <f>IF($FY100=0,"",IF(INDEX($EO$5:$EO$1003,$FY100)=1,"Yes",""))</f>
        <v/>
      </c>
      <c r="GD100">
        <f>IF($FY100=0,"",IF(INDEX($EN$5:$EN$1003,$FY100)&gt;0,"","NOT IN YOUR LIST - type it in column A to tick it"))</f>
        <v/>
      </c>
      <c r="GE100">
        <f>IF(AND($FY100&gt;0,$GD100&lt;&gt;""),1,0)</f>
        <v/>
      </c>
      <c r="GF100">
        <f>GF99+$GE100</f>
        <v/>
      </c>
      <c r="GG100">
        <f>IFERROR(INDEX($FZ$5:$FZ$104,MATCH($FX100,$GF$5:$GF$104,0)),"")</f>
        <v/>
      </c>
    </row>
    <row r="101">
      <c r="Y101">
        <f>IF(Y11="",0,IFERROR(INDEX($W$5:$W$86,MATCH(Y11,$V$5:$V$86,0)),0))</f>
        <v/>
      </c>
      <c r="Z101">
        <f>IF(Z11="",0,IFERROR(INDEX($W$5:$W$86,MATCH(Z11,$V$5:$V$86,0)),0))</f>
        <v/>
      </c>
      <c r="AA101">
        <f>IF(AA11="",0,IFERROR(INDEX($W$5:$W$86,MATCH(AA11,$V$5:$V$86,0)),0))</f>
        <v/>
      </c>
      <c r="AB101">
        <f>IF(AB11="",0,IFERROR(INDEX($W$5:$W$86,MATCH(AB11,$V$5:$V$86,0)),0))</f>
        <v/>
      </c>
      <c r="AC101">
        <f>IF(AC11="",0,IFERROR(INDEX($W$5:$W$86,MATCH(AC11,$V$5:$V$86,0)),0))</f>
        <v/>
      </c>
      <c r="AD101">
        <f>IF(AD11="",0,IFERROR(INDEX($W$5:$W$86,MATCH(AD11,$V$5:$V$86,0)),0))</f>
        <v/>
      </c>
      <c r="AE101">
        <f>IF(AE11="",0,IFERROR(INDEX($W$5:$W$86,MATCH(AE11,$V$5:$V$86,0)),0))</f>
        <v/>
      </c>
      <c r="AF101">
        <f>IF(AF11="",0,IFERROR(INDEX($W$5:$W$86,MATCH(AF11,$V$5:$V$86,0)),0))</f>
        <v/>
      </c>
      <c r="AG101">
        <f>IF(AG11="",0,IFERROR(INDEX($W$5:$W$86,MATCH(AG11,$V$5:$V$86,0)),0))</f>
        <v/>
      </c>
      <c r="AH101">
        <f>IF(AH11="",0,IFERROR(INDEX($W$5:$W$86,MATCH(AH11,$V$5:$V$86,0)),0))</f>
        <v/>
      </c>
      <c r="AI101">
        <f>IF(AI11="",0,IFERROR(INDEX($W$5:$W$86,MATCH(AI11,$V$5:$V$86,0)),0))</f>
        <v/>
      </c>
      <c r="AJ101">
        <f>IF(AJ11="",0,IFERROR(INDEX($W$5:$W$86,MATCH(AJ11,$V$5:$V$86,0)),0))</f>
        <v/>
      </c>
      <c r="AK101">
        <f>IF(AK11="",0,IFERROR(INDEX($W$5:$W$86,MATCH(AK11,$V$5:$V$86,0)),0))</f>
        <v/>
      </c>
      <c r="AL101">
        <f>IF(AL11="",0,IFERROR(INDEX($W$5:$W$86,MATCH(AL11,$V$5:$V$86,0)),0))</f>
        <v/>
      </c>
      <c r="AM101">
        <f>IF(AM11="",0,IFERROR(INDEX($W$5:$W$86,MATCH(AM11,$V$5:$V$86,0)),0))</f>
        <v/>
      </c>
      <c r="AN101">
        <f>IF(AN11="",0,IFERROR(INDEX($W$5:$W$86,MATCH(AN11,$V$5:$V$86,0)),0))</f>
        <v/>
      </c>
      <c r="AO101">
        <f>IF(AO11="",0,IFERROR(INDEX($W$5:$W$86,MATCH(AO11,$V$5:$V$86,0)),0))</f>
        <v/>
      </c>
      <c r="AP101">
        <f>IF(AP11="",0,IFERROR(INDEX($W$5:$W$86,MATCH(AP11,$V$5:$V$86,0)),0))</f>
        <v/>
      </c>
      <c r="AQ101">
        <f>IF(AQ11="",0,IFERROR(INDEX($W$5:$W$86,MATCH(AQ11,$V$5:$V$86,0)),0))</f>
        <v/>
      </c>
      <c r="AR101">
        <f>IF(AR11="",0,IFERROR(INDEX($W$5:$W$86,MATCH(AR11,$V$5:$V$86,0)),0))</f>
        <v/>
      </c>
      <c r="AS101">
        <f>IF(AS11="",0,IFERROR(INDEX($W$5:$W$86,MATCH(AS11,$V$5:$V$86,0)),0))</f>
        <v/>
      </c>
      <c r="AT101">
        <f>IF(AT11="",0,IFERROR(INDEX($W$5:$W$86,MATCH(AT11,$V$5:$V$86,0)),0))</f>
        <v/>
      </c>
      <c r="AU101">
        <f>IF(AU11="",0,IFERROR(INDEX($W$5:$W$86,MATCH(AU11,$V$5:$V$86,0)),0))</f>
        <v/>
      </c>
      <c r="AV101">
        <f>IF(AV11="",0,IFERROR(INDEX($W$5:$W$86,MATCH(AV11,$V$5:$V$86,0)),0))</f>
        <v/>
      </c>
      <c r="AW101">
        <f>IF(AW11="",0,IFERROR(INDEX($W$5:$W$86,MATCH(AW11,$V$5:$V$86,0)),0))</f>
        <v/>
      </c>
      <c r="AX101">
        <f>IF(AX11="",0,IFERROR(INDEX($W$5:$W$86,MATCH(AX11,$V$5:$V$86,0)),0))</f>
        <v/>
      </c>
      <c r="AY101">
        <f>IF(AY11="",0,IFERROR(INDEX($W$5:$W$86,MATCH(AY11,$V$5:$V$86,0)),0))</f>
        <v/>
      </c>
      <c r="AZ101">
        <f>IF(AZ11="",0,IFERROR(INDEX($W$5:$W$86,MATCH(AZ11,$V$5:$V$86,0)),0))</f>
        <v/>
      </c>
      <c r="BA101">
        <f>IF(BA11="",0,IFERROR(INDEX($W$5:$W$86,MATCH(BA11,$V$5:$V$86,0)),0))</f>
        <v/>
      </c>
      <c r="BB101">
        <f>IF(BB11="",0,IFERROR(INDEX($W$5:$W$86,MATCH(BB11,$V$5:$V$86,0)),0))</f>
        <v/>
      </c>
      <c r="BC101">
        <f>IF(BC11="",0,IFERROR(INDEX($W$5:$W$86,MATCH(BC11,$V$5:$V$86,0)),0))</f>
        <v/>
      </c>
      <c r="BD101">
        <f>IF(BD11="",0,IFERROR(INDEX($W$5:$W$86,MATCH(BD11,$V$5:$V$86,0)),0))</f>
        <v/>
      </c>
      <c r="BE101">
        <f>IF(BE11="",0,IFERROR(INDEX($W$5:$W$86,MATCH(BE11,$V$5:$V$86,0)),0))</f>
        <v/>
      </c>
      <c r="BF101">
        <f>IF(BF11="",0,IFERROR(INDEX($W$5:$W$86,MATCH(BF11,$V$5:$V$86,0)),0))</f>
        <v/>
      </c>
      <c r="BG101">
        <f>IF(BG11="",0,IFERROR(INDEX($W$5:$W$86,MATCH(BG11,$V$5:$V$86,0)),0))</f>
        <v/>
      </c>
      <c r="BH101">
        <f>IF(BH11="",0,IFERROR(INDEX($W$5:$W$86,MATCH(BH11,$V$5:$V$86,0)),0))</f>
        <v/>
      </c>
      <c r="BI101">
        <f>IF(BI11="",0,IFERROR(INDEX($W$5:$W$86,MATCH(BI11,$V$5:$V$86,0)),0))</f>
        <v/>
      </c>
      <c r="BJ101">
        <f>IF(BJ11="",0,IFERROR(INDEX($W$5:$W$86,MATCH(BJ11,$V$5:$V$86,0)),0))</f>
        <v/>
      </c>
      <c r="BK101">
        <f>IF(BK11="",0,IFERROR(INDEX($W$5:$W$86,MATCH(BK11,$V$5:$V$86,0)),0))</f>
        <v/>
      </c>
      <c r="BL101">
        <f>IF(BL11="",0,IFERROR(INDEX($W$5:$W$86,MATCH(BL11,$V$5:$V$86,0)),0))</f>
        <v/>
      </c>
      <c r="BM101">
        <f>IF(BM11="",0,IFERROR(INDEX($W$5:$W$86,MATCH(BM11,$V$5:$V$86,0)),0))</f>
        <v/>
      </c>
      <c r="BN101">
        <f>IF(BN11="",0,IFERROR(INDEX($W$5:$W$86,MATCH(BN11,$V$5:$V$86,0)),0))</f>
        <v/>
      </c>
      <c r="BO101">
        <f>IF(BO11="",0,IFERROR(INDEX($W$5:$W$86,MATCH(BO11,$V$5:$V$86,0)),0))</f>
        <v/>
      </c>
      <c r="BP101">
        <f>IF(BP11="",0,IFERROR(INDEX($W$5:$W$86,MATCH(BP11,$V$5:$V$86,0)),0))</f>
        <v/>
      </c>
      <c r="BQ101">
        <f>IF(BQ11="",0,IFERROR(INDEX($W$5:$W$86,MATCH(BQ11,$V$5:$V$86,0)),0))</f>
        <v/>
      </c>
      <c r="BR101">
        <f>IF(BR11="",0,IFERROR(INDEX($W$5:$W$86,MATCH(BR11,$V$5:$V$86,0)),0))</f>
        <v/>
      </c>
      <c r="BS101">
        <f>IF(BS11="",0,IFERROR(INDEX($W$5:$W$86,MATCH(BS11,$V$5:$V$86,0)),0))</f>
        <v/>
      </c>
      <c r="BT101">
        <f>IF(BT11="",0,IFERROR(INDEX($W$5:$W$86,MATCH(BT11,$V$5:$V$86,0)),0))</f>
        <v/>
      </c>
      <c r="BU101">
        <f>IF(BU11="",0,IFERROR(INDEX($W$5:$W$86,MATCH(BU11,$V$5:$V$86,0)),0))</f>
        <v/>
      </c>
      <c r="BV101">
        <f>IF(BV11="",0,IFERROR(INDEX($W$5:$W$86,MATCH(BV11,$V$5:$V$86,0)),0))</f>
        <v/>
      </c>
      <c r="BW101">
        <f>IF(BW11="",0,IFERROR(INDEX($W$5:$W$86,MATCH(BW11,$V$5:$V$86,0)),0))</f>
        <v/>
      </c>
      <c r="BX101">
        <f>IF(BX11="",0,IFERROR(INDEX($W$5:$W$86,MATCH(BX11,$V$5:$V$86,0)),0))</f>
        <v/>
      </c>
      <c r="BY101">
        <f>IF(BY11="",0,IFERROR(INDEX($W$5:$W$86,MATCH(BY11,$V$5:$V$86,0)),0))</f>
        <v/>
      </c>
      <c r="BZ101">
        <f>IF(BZ11="",0,IFERROR(INDEX($W$5:$W$86,MATCH(BZ11,$V$5:$V$86,0)),0))</f>
        <v/>
      </c>
      <c r="CA101">
        <f>IF(CA11="",0,IFERROR(INDEX($W$5:$W$86,MATCH(CA11,$V$5:$V$86,0)),0))</f>
        <v/>
      </c>
      <c r="CB101">
        <f>IF(CB11="",0,IFERROR(INDEX($W$5:$W$86,MATCH(CB11,$V$5:$V$86,0)),0))</f>
        <v/>
      </c>
      <c r="CC101">
        <f>IF(CC11="",0,IFERROR(INDEX($W$5:$W$86,MATCH(CC11,$V$5:$V$86,0)),0))</f>
        <v/>
      </c>
      <c r="CD101">
        <f>IF(CD11="",0,IFERROR(INDEX($W$5:$W$86,MATCH(CD11,$V$5:$V$86,0)),0))</f>
        <v/>
      </c>
      <c r="CE101">
        <f>IF(CE11="",0,IFERROR(INDEX($W$5:$W$86,MATCH(CE11,$V$5:$V$86,0)),0))</f>
        <v/>
      </c>
      <c r="CF101">
        <f>IF(CF11="",0,IFERROR(INDEX($W$5:$W$86,MATCH(CF11,$V$5:$V$86,0)),0))</f>
        <v/>
      </c>
      <c r="DA101" t="n">
        <v>97</v>
      </c>
      <c r="DB101">
        <f>IF($B$37=0,"",IFERROR(TRIM(SUBSTITUTE(SUBSTITUTE(SUBSTITUTE(SUBSTITUTE(INDEX(PASTE_ALL,97,$B$37)," "," "),CHAR(9)," "),CHAR(10)," "),CHAR(13)," ")),""))</f>
        <v/>
      </c>
      <c r="DC101">
        <f>IF(AND(97&gt;HEADER_ROW,UPPER(DB101)="LEGEND"),1,0)</f>
        <v/>
      </c>
      <c r="DE101" t="n">
        <v>97</v>
      </c>
      <c r="DF101">
        <f>HEADER_ROW+$DE101</f>
        <v/>
      </c>
      <c r="DG101">
        <f>IF(AND($DF101&lt;=1000,$DF101&lt;$B$8),1,0)</f>
        <v/>
      </c>
      <c r="DH101">
        <f>IF($DG101=1,IFERROR(INDEX($DB$5:$DB$1004,$DF101),""),"")</f>
        <v/>
      </c>
      <c r="DI101">
        <f>IF(AND($DG101=1,$DH101&lt;&gt;""),IFERROR(SUBSTITUTE(SUBSTITUTE(TRIM(SUBSTITUTE(SUBSTITUTE(SUBSTITUTE(SUBSTITUTE(IFERROR(INDEX(PASTE_ALL,$DF101,1)&amp;"","")&amp;"␟"&amp;IFERROR(INDEX(PASTE_ALL,$DF101,2)&amp;"","")&amp;"␟"&amp;IFERROR(INDEX(PASTE_ALL,$DF101,3)&amp;"","")&amp;"␟"&amp;IFERROR(INDEX(PASTE_ALL,$DF101,4)&amp;"","")&amp;"␟"&amp;IFERROR(INDEX(PASTE_ALL,$DF101,5)&amp;"","")&amp;"␟"&amp;IFERROR(INDEX(PASTE_ALL,$DF101,6)&amp;"","")&amp;"␟"&amp;IFERROR(INDEX(PASTE_ALL,$DF101,7)&amp;"","")&amp;"␟"&amp;IFERROR(INDEX(PASTE_ALL,$DF101,8)&amp;"","")&amp;"␟"&amp;IFERROR(INDEX(PASTE_ALL,$DF101,9)&amp;"","")&amp;"␟"&amp;IFERROR(INDEX(PASTE_ALL,$DF101,10)&amp;"","")&amp;"␟"&amp;IFERROR(INDEX(PASTE_ALL,$DF101,11)&amp;"","")&amp;"␟"&amp;IFERROR(INDEX(PASTE_ALL,$DF101,12)&amp;"","")&amp;"␟"&amp;IFERROR(INDEX(PASTE_ALL,$DF101,13)&amp;"","")&amp;"␟"&amp;IFERROR(INDEX(PASTE_ALL,$DF101,14)&amp;"","")&amp;"␟"&amp;IFERROR(INDEX(PASTE_ALL,$DF101,15)&amp;"","")&amp;"␟"&amp;IFERROR(INDEX(PASTE_ALL,$DF101,16)&amp;"","")&amp;"␟"&amp;IFERROR(INDEX(PASTE_ALL,$DF101,17)&amp;"","")&amp;"␟"&amp;IFERROR(INDEX(PASTE_ALL,$DF101,18)&amp;"","")&amp;"␟"&amp;IFERROR(INDEX(PASTE_ALL,$DF101,19)&amp;"","")&amp;"␟"&amp;IFERROR(INDEX(PASTE_ALL,$DF101,20)&amp;"","")&amp;"␟"&amp;IFERROR(INDEX(PASTE_ALL,$DF101,21)&amp;"","")&amp;"␟"&amp;IFERROR(INDEX(PASTE_ALL,$DF101,22)&amp;"","")&amp;"␟"&amp;IFERROR(INDEX(PASTE_ALL,$DF101,23)&amp;"","")&amp;"␟"&amp;IFERROR(INDEX(PASTE_ALL,$DF101,24)&amp;"","")&amp;"␟"&amp;IFERROR(INDEX(PASTE_ALL,$DF101,25)&amp;"","")&amp;"␟"&amp;IFERROR(INDEX(PASTE_ALL,$DF101,26)&amp;"","")&amp;"␟"&amp;IFERROR(INDEX(PASTE_ALL,$DF101,27)&amp;"","")&amp;"␟"&amp;IFERROR(INDEX(PASTE_ALL,$DF101,28)&amp;"","")&amp;"␟"&amp;IFERROR(INDEX(PASTE_ALL,$DF101,29)&amp;"","")&amp;"␟"&amp;IFERROR(INDEX(PASTE_ALL,$DF101,30)&amp;"","")&amp;"␟"&amp;IFERROR(INDEX(PASTE_ALL,$DF101,31)&amp;"","")&amp;"␟"&amp;IFERROR(INDEX(PASTE_ALL,$DF101,32)&amp;"","")&amp;"␟"&amp;IFERROR(INDEX(PASTE_ALL,$DF101,33)&amp;"","")&amp;"␟"&amp;IFERROR(INDEX(PASTE_ALL,$DF101,34)&amp;"","")&amp;"␟"&amp;IFERROR(INDEX(PASTE_ALL,$DF101,35)&amp;"","")&amp;"␟"&amp;IFERROR(INDEX(PASTE_ALL,$DF101,36)&amp;"","")&amp;"␟"&amp;IFERROR(INDEX(PASTE_ALL,$DF101,37)&amp;"","")&amp;"␟"&amp;IFERROR(INDEX(PASTE_ALL,$DF101,38)&amp;"","")&amp;"␟"&amp;IFERROR(INDEX(PASTE_ALL,$DF101,39)&amp;"","")&amp;"␟"&amp;IFERROR(INDEX(PASTE_ALL,$DF101,40)&amp;"","")&amp;"␟"&amp;IFERROR(INDEX(PASTE_ALL,$DF101,41)&amp;"","")&amp;"␟"&amp;IFERROR(INDEX(PASTE_ALL,$DF101,42)&amp;"","")&amp;"␟"&amp;IFERROR(INDEX(PASTE_ALL,$DF101,43)&amp;"","")&amp;"␟"&amp;IFERROR(INDEX(PASTE_ALL,$DF101,44)&amp;"","")&amp;"␟"&amp;IFERROR(INDEX(PASTE_ALL,$DF101,45)&amp;"","")&amp;"␟"&amp;IFERROR(INDEX(PASTE_ALL,$DF101,46)&amp;"","")&amp;"␟"&amp;IFERROR(INDEX(PASTE_ALL,$DF101,47)&amp;"","")&amp;"␟"&amp;IFERROR(INDEX(PASTE_ALL,$DF101,48)&amp;"","")&amp;"␟"&amp;IFERROR(INDEX(PASTE_ALL,$DF101,49)&amp;"","")&amp;"␟"&amp;IFERROR(INDEX(PASTE_ALL,$DF101,50)&amp;"","")&amp;"␟"&amp;IFERROR(INDEX(PASTE_ALL,$DF101,51)&amp;"","")&amp;"␟"&amp;IFERROR(INDEX(PASTE_ALL,$DF101,52)&amp;"","")&amp;"␟"&amp;IFERROR(INDEX(PASTE_ALL,$DF101,53)&amp;"","")&amp;"␟"&amp;IFERROR(INDEX(PASTE_ALL,$DF101,54)&amp;"","")&amp;"␟"&amp;IFERROR(INDEX(PASTE_ALL,$DF101,55)&amp;"","")&amp;"␟"&amp;IFERROR(INDEX(PASTE_ALL,$DF101,56)&amp;"","")&amp;"␟"&amp;IFERROR(INDEX(PASTE_ALL,$DF101,57)&amp;"","")&amp;"␟"&amp;IFERROR(INDEX(PASTE_ALL,$DF101,58)&amp;"","")&amp;"␟"&amp;IFERROR(INDEX(PASTE_ALL,$DF101,59)&amp;"","")&amp;"␟"&amp;IFERROR(INDEX(PASTE_ALL,$DF101,60)&amp;"","")," "," "),CHAR(9)," "),CHAR(10)," "),CHAR(13)," "))," ␟","␟"),"␟ ","␟"),"#"&amp;$DE101),"")</f>
        <v/>
      </c>
      <c r="DJ101">
        <f>IF($DI101="",0,IF(SUMPRODUCT(--EXACT($DI$4:DI100,$DI101))&gt;0,1,0))</f>
        <v/>
      </c>
      <c r="DK101">
        <f>IF(AND($DI101&lt;&gt;"",$DJ101=0),1,0)</f>
        <v/>
      </c>
      <c r="DL101">
        <f>DL100+$DK101</f>
        <v/>
      </c>
      <c r="DM101">
        <f>IF(AND($DK101=1,$DL101&lt;=600),1,0)</f>
        <v/>
      </c>
      <c r="DN101">
        <f>IF($DM101=0,"",IF($L$6=0,"",IFERROR(IF(ISNUMBER(INDEX(PASTE_ALL,$DF101,$L$6)),INDEX(PASTE_ALL,$DF101,$L$6),TRIM(SUBSTITUTE(SUBSTITUTE(SUBSTITUTE(SUBSTITUTE(INDEX(PASTE_ALL,$DF101,$L$6)," "," "),CHAR(9)," "),CHAR(10)," "),CHAR(13)," "))),"")))</f>
        <v/>
      </c>
      <c r="DO101">
        <f>IF($DM101=0,"",IF($L$7=0,"",IFERROR(IF(ISNUMBER(INDEX(PASTE_ALL,$DF101,$L$7)),INDEX(PASTE_ALL,$DF101,$L$7),TRIM(SUBSTITUTE(SUBSTITUTE(SUBSTITUTE(SUBSTITUTE(INDEX(PASTE_ALL,$DF101,$L$7)," "," "),CHAR(9)," "),CHAR(10)," "),CHAR(13)," "))),"")))</f>
        <v/>
      </c>
      <c r="DP101">
        <f>IF($DM101=0,"",IF($L$8=0,"",IFERROR(IF(ISNUMBER(INDEX(PASTE_ALL,$DF101,$L$8)),INDEX(PASTE_ALL,$DF101,$L$8),TRIM(SUBSTITUTE(SUBSTITUTE(SUBSTITUTE(SUBSTITUTE(INDEX(PASTE_ALL,$DF101,$L$8)," "," "),CHAR(9)," "),CHAR(10)," "),CHAR(13)," "))),"")))</f>
        <v/>
      </c>
      <c r="DQ101">
        <f>IF($DM101=0,"",IF($L$9=0,"",IFERROR(IF(ISNUMBER(INDEX(PASTE_ALL,$DF101,$L$9)),INDEX(PASTE_ALL,$DF101,$L$9),TRIM(SUBSTITUTE(SUBSTITUTE(SUBSTITUTE(SUBSTITUTE(INDEX(PASTE_ALL,$DF101,$L$9)," "," "),CHAR(9)," "),CHAR(10)," "),CHAR(13)," "))),"")))</f>
        <v/>
      </c>
      <c r="DR101">
        <f>IF($DM101=0,"",IF($L$10=0,"",IFERROR(IF(ISNUMBER(INDEX(PASTE_ALL,$DF101,$L$10)),INDEX(PASTE_ALL,$DF101,$L$10),TRIM(SUBSTITUTE(SUBSTITUTE(SUBSTITUTE(SUBSTITUTE(INDEX(PASTE_ALL,$DF101,$L$10)," "," "),CHAR(9)," "),CHAR(10)," "),CHAR(13)," "))),"")))</f>
        <v/>
      </c>
      <c r="DS101">
        <f>IF($DM101=0,"",IF($L$11=0,"",IFERROR(IF(ISNUMBER(INDEX(PASTE_ALL,$DF101,$L$11)),INDEX(PASTE_ALL,$DF101,$L$11),TRIM(SUBSTITUTE(SUBSTITUTE(SUBSTITUTE(SUBSTITUTE(INDEX(PASTE_ALL,$DF101,$L$11)," "," "),CHAR(9)," "),CHAR(10)," "),CHAR(13)," "))),"")))</f>
        <v/>
      </c>
      <c r="DT101">
        <f>IF($DM101=0,"",IF($L$12=0,"",IFERROR(IF(ISNUMBER(INDEX(PASTE_ALL,$DF101,$L$12)),INDEX(PASTE_ALL,$DF101,$L$12),TRIM(SUBSTITUTE(SUBSTITUTE(SUBSTITUTE(SUBSTITUTE(INDEX(PASTE_ALL,$DF101,$L$12)," "," "),CHAR(9)," "),CHAR(10)," "),CHAR(13)," "))),"")))</f>
        <v/>
      </c>
      <c r="DU101">
        <f>IF($DM101=0,"",IF($L$13=0,"",IFERROR(IF(ISNUMBER(INDEX(PASTE_ALL,$DF101,$L$13)),INDEX(PASTE_ALL,$DF101,$L$13),TRIM(SUBSTITUTE(SUBSTITUTE(SUBSTITUTE(SUBSTITUTE(INDEX(PASTE_ALL,$DF101,$L$13)," "," "),CHAR(9)," "),CHAR(10)," "),CHAR(13)," "))),"")))</f>
        <v/>
      </c>
      <c r="DV101">
        <f>IF($DM101=0,"",IF($L$14=0,"",IFERROR(IF(ISNUMBER(INDEX(PASTE_ALL,$DF101,$L$14)),INDEX(PASTE_ALL,$DF101,$L$14),TRIM(SUBSTITUTE(SUBSTITUTE(SUBSTITUTE(SUBSTITUTE(INDEX(PASTE_ALL,$DF101,$L$14)," "," "),CHAR(9)," "),CHAR(10)," "),CHAR(13)," "))),"")))</f>
        <v/>
      </c>
      <c r="DW101">
        <f>IF($DM101=0,"",IF($L$15=0,"",IFERROR(IF(ISNUMBER(INDEX(PASTE_ALL,$DF101,$L$15)),INDEX(PASTE_ALL,$DF101,$L$15),IF(SUMPRODUCT(--ISNUMBER(FIND({"A","B","C","D","E","F","G","H","I","J","K","L","M","N","O","P","Q","R","S","T","U","V","W","X","Y","Z","0","1","2","3","4","5","6","7","8","9"},UPPER(TRIM(SUBSTITUTE(SUBSTITUTE(SUBSTITUTE(SUBSTITUTE(INDEX(PASTE_ALL,$DF101,$L$15)," "," "),CHAR(9)," "),CHAR(10)," "),CHAR(13)," "))))))&gt;0,TRIM(SUBSTITUTE(SUBSTITUTE(SUBSTITUTE(SUBSTITUTE(INDEX(PASTE_ALL,$DF101,$L$15)," "," "),CHAR(9)," "),CHAR(10)," "),CHAR(13)," ")),"")),"")))</f>
        <v/>
      </c>
      <c r="DX101">
        <f>IF($DM101=0,"",IF($L$16=0,"",IFERROR(IF(ISNUMBER(INDEX(PASTE_ALL,$DF101,$L$16)),INDEX(PASTE_ALL,$DF101,$L$16),SUBSTITUTE(SUBSTITUTE(TRIM(SUBSTITUTE(SUBSTITUTE(SUBSTITUTE(SUBSTITUTE(INDEX(PASTE_ALL,$DF101,$L$16)," "," "),CHAR(9)," "),CHAR(10)," "),CHAR(13)," ")),",",""),"%","")),"")))</f>
        <v/>
      </c>
      <c r="DY101">
        <f>IF($DM101=0,"",IFERROR(IF(ISNUMBER($DX101),$DX101,IF($DX101="","",IF(TRIM($DX101)="",0,IF(AND(AND(SUBSTITUTE(SUBSTITUTE(SUBSTITUTE(SUBSTITUTE(SUBSTITUTE(SUBSTITUTE(SUBSTITUTE(SUBSTITUTE(SUBSTITUTE(SUBSTITUTE(SUBSTITUTE(SUBSTITUTE(SUBSTITUTE(SUBSTITUTE(UPPER(TRIM($DX101)),"0",""),"1",""),"2",""),"3",""),"4",""),"5",""),"6",""),"7",""),"8",""),"9",""),".",""),"+",""),"-",""),"E","")="",LEN(SUBSTITUTE(SUBSTITUTE(MID(UPPER(TRIM($DX101)),1+OR(LEFT(UPPER(TRIM($DX101)),1)="+",LEFT(UPPER(TRIM($DX101)),1)="-"),999),"E+","E"),"E-","E"))=LEN(SUBSTITUTE(SUBSTITUTE(SUBSTITUTE(SUBSTITUTE(MID(UPPER(TRIM($DX101)),1+OR(LEFT(UPPER(TRIM($DX101)),1)="+",LEFT(UPPER(TRIM($DX101)),1)="-"),999),"E+","E"),"E-","E"),"+",""),"-","")),LEN(UPPER(TRIM($DX101)))-LEN(SUBSTITUTE(UPPER(TRIM($DX101)),"E",""))&lt;2,LEN(UPPER(TRIM($DX101)))-LEN(SUBSTITUTE(UPPER(TRIM($DX101)),".",""))&lt;2,IFERROR(FIND(".",UPPER(TRIM($DX101))),0)&lt;IFERROR(FIND("E",UPPER(TRIM($DX101))),999)),ISNUMBER(VALUE(TRIM($DX101)))),VALUE(TRIM($DX101)),"")))),""))</f>
        <v/>
      </c>
      <c r="DZ101">
        <f>IF($DM101=0,"",IF($L$17=0,"",IFERROR(IF(ISNUMBER(INDEX(PASTE_ALL,$DF101,$L$17)),INDEX(PASTE_ALL,$DF101,$L$17),SUBSTITUTE(SUBSTITUTE(TRIM(SUBSTITUTE(SUBSTITUTE(SUBSTITUTE(SUBSTITUTE(INDEX(PASTE_ALL,$DF101,$L$17)," "," "),CHAR(9)," "),CHAR(10)," "),CHAR(13)," ")),",",""),"%","")),"")))</f>
        <v/>
      </c>
      <c r="EA101">
        <f>IF($DM101=0,"",IFERROR(IF(ISNUMBER($DZ101),$DZ101,IF($DZ101="","",IF(TRIM($DZ101)="",0,IF(AND(AND(SUBSTITUTE(SUBSTITUTE(SUBSTITUTE(SUBSTITUTE(SUBSTITUTE(SUBSTITUTE(SUBSTITUTE(SUBSTITUTE(SUBSTITUTE(SUBSTITUTE(SUBSTITUTE(SUBSTITUTE(SUBSTITUTE(SUBSTITUTE(UPPER(TRIM($DZ101)),"0",""),"1",""),"2",""),"3",""),"4",""),"5",""),"6",""),"7",""),"8",""),"9",""),".",""),"+",""),"-",""),"E","")="",LEN(SUBSTITUTE(SUBSTITUTE(MID(UPPER(TRIM($DZ101)),1+OR(LEFT(UPPER(TRIM($DZ101)),1)="+",LEFT(UPPER(TRIM($DZ101)),1)="-"),999),"E+","E"),"E-","E"))=LEN(SUBSTITUTE(SUBSTITUTE(SUBSTITUTE(SUBSTITUTE(MID(UPPER(TRIM($DZ101)),1+OR(LEFT(UPPER(TRIM($DZ101)),1)="+",LEFT(UPPER(TRIM($DZ101)),1)="-"),999),"E+","E"),"E-","E"),"+",""),"-","")),LEN(UPPER(TRIM($DZ101)))-LEN(SUBSTITUTE(UPPER(TRIM($DZ101)),"E",""))&lt;2,LEN(UPPER(TRIM($DZ101)))-LEN(SUBSTITUTE(UPPER(TRIM($DZ101)),".",""))&lt;2,IFERROR(FIND(".",UPPER(TRIM($DZ101))),0)&lt;IFERROR(FIND("E",UPPER(TRIM($DZ101))),999)),ISNUMBER(VALUE(TRIM($DZ101)))),VALUE(TRIM($DZ101)),"")))),""))</f>
        <v/>
      </c>
      <c r="EB101">
        <f>IF($DM101=0,"",IF($L$18=0,"",IFERROR(IF(UPPER(TRIM(SUBSTITUTE(SUBSTITUTE(SUBSTITUTE(SUBSTITUTE(INDEX(PASTE_ALL,$DF101,$L$18)," "," "),CHAR(9)," "),CHAR(10)," "),CHAR(13)," ")))="READY","Ready",IF(UPPER(TRIM(SUBSTITUTE(SUBSTITUTE(SUBSTITUTE(SUBSTITUTE(INDEX(PASTE_ALL,$DF101,$L$18)," "," "),CHAR(9)," "),CHAR(10)," "),CHAR(13)," ")))="PM","PM",IF(OR(UPPER(TRIM(SUBSTITUTE(SUBSTITUTE(SUBSTITUTE(SUBSTITUTE(INDEX(PASTE_ALL,$DF101,$L$18)," "," "),CHAR(9)," "),CHAR(10)," "),CHAR(13)," ")))="OT",UPPER(TRIM(SUBSTITUTE(SUBSTITUTE(SUBSTITUTE(SUBSTITUTE(INDEX(PASTE_ALL,$DF101,$L$18)," "," "),CHAR(9)," "),CHAR(10)," "),CHAR(13)," ")))="OVERTIME",UPPER(TRIM(SUBSTITUTE(SUBSTITUTE(SUBSTITUTE(SUBSTITUTE(INDEX(PASTE_ALL,$DF101,$L$18)," "," "),CHAR(9)," "),CHAR(10)," "),CHAR(13)," ")))="TRIAL"),"OT",TRIM(SUBSTITUTE(SUBSTITUTE(SUBSTITUTE(SUBSTITUTE(INDEX(PASTE_ALL,$DF101,$L$18)," "," "),CHAR(9)," "),CHAR(10)," "),CHAR(13)," "))))),"")))</f>
        <v/>
      </c>
      <c r="EC101">
        <f>IF($DM101=0,"",IF($L$19=0,"",IFERROR(IF(ISNUMBER(INDEX(PASTE_ALL,$DF101,$L$19)),INDEX(PASTE_ALL,$DF101,$L$19),TRIM(SUBSTITUTE(SUBSTITUTE(SUBSTITUTE(SUBSTITUTE(INDEX(PASTE_ALL,$DF101,$L$19)," "," "),CHAR(9)," "),CHAR(10)," "),CHAR(13)," "))),"")))</f>
        <v/>
      </c>
      <c r="ED101">
        <f>IF($DM101=0,"",MATCH(1,INDEX(EXACT($DH$5:DH101,$DH101)*$DM$5:DM101,0),0))</f>
        <v/>
      </c>
      <c r="EE101">
        <f>IF($DM101=0,0,IF($ED101=$DE101,1,0))</f>
        <v/>
      </c>
      <c r="EF101">
        <f>EF100+$EE101</f>
        <v/>
      </c>
      <c r="EG101">
        <f>IF($DM101=0,"",INDEX($EF$5:$EF$1003,$ED101))</f>
        <v/>
      </c>
      <c r="EH101">
        <f>IF($DM101=0,"",IF($DO101&lt;&gt;"","",IFERROR(LOOKUP(2,1/(($EG$4:EG100=$EG101)*($DO$4:DO100&lt;&gt;"")),$DO$4:DO100),"")))</f>
        <v/>
      </c>
      <c r="EI101">
        <f>IF($DM101=0,"",IF($DO101&lt;&gt;"",$DO101,$EH101))</f>
        <v/>
      </c>
      <c r="EJ101">
        <f>IF($DM101=0,"",IF($EI101="",0,IF(OR(ISNUMBER($EI101),AND(AND(SUBSTITUTE(SUBSTITUTE(SUBSTITUTE(SUBSTITUTE(SUBSTITUTE(SUBSTITUTE(SUBSTITUTE(SUBSTITUTE(SUBSTITUTE(SUBSTITUTE(SUBSTITUTE(SUBSTITUTE(SUBSTITUTE(SUBSTITUTE(UPPER($EI101),"0",""),"1",""),"2",""),"3",""),"4",""),"5",""),"6",""),"7",""),"8",""),"9",""),".",""),"+",""),"-",""),"E","")="",LEN(SUBSTITUTE(SUBSTITUTE(MID(UPPER($EI101),1+OR(LEFT(UPPER($EI101),1)="+",LEFT(UPPER($EI101),1)="-"),999),"E+","E"),"E-","E"))=LEN(SUBSTITUTE(SUBSTITUTE(SUBSTITUTE(SUBSTITUTE(MID(UPPER($EI101),1+OR(LEFT(UPPER($EI101),1)="+",LEFT(UPPER($EI101),1)="-"),999),"E+","E"),"E-","E"),"+",""),"-","")),LEN(UPPER($EI101))-LEN(SUBSTITUTE(UPPER($EI101),"E",""))&lt;2,LEN(UPPER($EI101))-LEN(SUBSTITUTE(UPPER($EI101),".",""))&lt;2,IFERROR(FIND(".",UPPER($EI101)),0)&lt;IFERROR(FIND("E",UPPER($EI101)),999)),ISNUMBER(VALUE($EI101)))),1,2)))</f>
        <v/>
      </c>
      <c r="EK101">
        <f>IF($DM101=0,"",IF($EJ101=1,IF(ISNUMBER($EI101),$EI101,VALUE($EI101)),IF($EJ101=2,$DE101,0)))</f>
        <v/>
      </c>
      <c r="EL101">
        <f>IF($DM101=0,"",COUNTIF($EG$5:$EG$1003,"&lt;"&amp;$EG101)+SUMPRODUCT(($EG$5:$EG$1003=$EG101)*(($EJ$5:$EJ$1003&lt;$EJ101)+($EJ$5:$EJ$1003=$EJ101)*(($EK$5:$EK$1003&lt;$EK101)+($EK$5:$EK$1003=$EK101)*($DE$5:$DE$1003&lt;$DE101))))+1)</f>
        <v/>
      </c>
      <c r="EM101">
        <f>IF($DM101=0,"",$EL101+$EG101-1)</f>
        <v/>
      </c>
      <c r="EN101">
        <f>IF($DM101=0,0,IFERROR(MATCH(1,INDEX(--(TRIM(SUBSTITUTE(SUBSTITUTE(SUBSTITUTE(SUBSTITUTE(LINES_NAME&amp;""," "," "),CHAR(9)," "),CHAR(10)," "),CHAR(13)," "))=$DH101),0),0),0))</f>
        <v/>
      </c>
      <c r="EO101">
        <f>IF($EN101=0,0,IF(OR(UPPER(TRIM(INDEX(LINES_SCHEDULED,$EN101)&amp;""))="YES",UPPER(TRIM(INDEX(LINES_SCHEDULED,$EN101)&amp;""))="Y",UPPER(TRIM(INDEX(LINES_SCHEDULED,$EN101)&amp;""))="X"),1,0))</f>
        <v/>
      </c>
      <c r="EP101">
        <f>IF($DM101=0,"",IF(COUNTIFS($EG$5:$EG$1003,$EG101,$EB$5:$EB$1003,"Ready")&gt;0,"READY",IF(COUNTIFS($EG$5:$EG$1003,$EG101,$EB$5:$EB$1003,"PM")&gt;0,"PM",IF(COUNTIFS($EG$5:$EG$1003,$EG101,$EB$5:$EB$1003,"OT")&gt;0,"OT",""))))</f>
        <v/>
      </c>
      <c r="EQ101">
        <f>IF($EN101=0,"",UPPER(TRIM(INDEX(LINES_STATUS,$EN101)&amp;"")))</f>
        <v/>
      </c>
      <c r="ER101">
        <f>IF($DM101=0,"",IF(OR($EQ101="READY",$EQ101="PM",$EQ101="OT"),$EQ101,$EP101))</f>
        <v/>
      </c>
      <c r="ES101">
        <f>IF($DM101=0,"",IF(AND($DV101&lt;&gt;"",UPPER($DV101)&lt;&gt;"N"),"allergen",IF(ISNUMBER(SEARCH("oil",$DQ101)),"oil",IF(OR(EXACT($DS101,"A662"),EXACT($DS101,"A624")),"bulk",""))))</f>
        <v/>
      </c>
      <c r="ET101">
        <f>IF($DM101=0,"",IF(OR($EA101="",$EA101=0),"",$EA101/100))</f>
        <v/>
      </c>
      <c r="EU101">
        <f>IF(OR($ET101="",$DY101=""),"",INT($DY101*(1-$ET101)+0.5))</f>
        <v/>
      </c>
      <c r="EW101" t="n">
        <v>97</v>
      </c>
      <c r="EX101">
        <f>IFERROR(MATCH($EW101,$EM$5:$EM$1003,0),0)</f>
        <v/>
      </c>
      <c r="EY101">
        <f>IF($EW101&gt;$B$12,"",IF($EX101&gt;0,"row","spacer"))</f>
        <v/>
      </c>
      <c r="EZ101">
        <f>IF(AND($EY101="row",$EY100&lt;&gt;"row"),1,0)</f>
        <v/>
      </c>
      <c r="FA101">
        <f>IF(AND($EY101="row",$EY102&lt;&gt;"row"),1,0)</f>
        <v/>
      </c>
      <c r="FB101">
        <f>IF($EZ101=1,IFERROR(IF(ISNUMBER(INDEX(PASTE_ALL,INDEX($DF$5:$DF$1003,$EX101),$B$37)),INDEX(PASTE_ALL,INDEX($DF$5:$DF$1003,$EX101),$B$37),INDEX($DH$5:$DH$1003,$EX101)),INDEX($DH$5:$DH$1003,$EX101)),"")</f>
        <v/>
      </c>
      <c r="FC101">
        <f>IF($EY101="row",INDEX($ER$5:$ER$1003,$EX101),"")</f>
        <v/>
      </c>
      <c r="FD101">
        <f>IF($EY101="row",INDEX($DN$5:$DN$1003,$EX101),"")</f>
        <v/>
      </c>
      <c r="FE101">
        <f>IF($EY101="row",INDEX($DO$5:$DO$1003,$EX101),"")</f>
        <v/>
      </c>
      <c r="FF101">
        <f>IF($EY101="row",INDEX($DP$5:$DP$1003,$EX101),"")</f>
        <v/>
      </c>
      <c r="FG101">
        <f>IF($EY101="row",INDEX($DQ$5:$DQ$1003,$EX101),"")</f>
        <v/>
      </c>
      <c r="FH101">
        <f>IF($EY101="row",INDEX($DR$5:$DR$1003,$EX101),"")</f>
        <v/>
      </c>
      <c r="FI101">
        <f>IF($EY101="row",INDEX($DS$5:$DS$1003,$EX101),"")</f>
        <v/>
      </c>
      <c r="FJ101">
        <f>IF($EY101="row",INDEX($DT$5:$DT$1003,$EX101),"")</f>
        <v/>
      </c>
      <c r="FK101">
        <f>IF($EY101="row",INDEX($DU$5:$DU$1003,$EX101),"")</f>
        <v/>
      </c>
      <c r="FL101">
        <f>IF($EY101="row",INDEX($DV$5:$DV$1003,$EX101),"")</f>
        <v/>
      </c>
      <c r="FM101">
        <f>IF($EY101="row",INDEX($DW$5:$DW$1003,$EX101),"")</f>
        <v/>
      </c>
      <c r="FN101">
        <f>IF($EY101="row",INDEX($DY$5:$DY$1003,$EX101),"")</f>
        <v/>
      </c>
      <c r="FO101">
        <f>IF($EY101="row",INDEX($EA$5:$EA$1003,$EX101),"")</f>
        <v/>
      </c>
      <c r="FP101">
        <f>IF($EY101="row",INDEX($EC$5:$EC$1003,$EX101),"")</f>
        <v/>
      </c>
      <c r="FQ101">
        <f>IF($EY101="row",INDEX($ET$5:$ET$1003,$EX101),"")</f>
        <v/>
      </c>
      <c r="FR101">
        <f>IF($EY101="row",INDEX($EU$5:$EU$1003,$EX101),"")</f>
        <v/>
      </c>
      <c r="FS101">
        <f>IF(AND($EY101="row",$EY100="row"),IF(OR(INDEX($DT$5:$DT$1003,$EX100)="",INDEX($DT$5:$DT$1003,$EX101)=""),"",IF(NOT(EXACT(INDEX($DT$5:$DT$1003,$EX100),INDEX($DT$5:$DT$1003,$EX101))),"S4",IF(NOT(EXACT(INDEX($DS$5:$DS$1003,$EX100),INDEX($DS$5:$DS$1003,$EX101))),"S3",IF(NOT(EXACT(INDEX($DR$5:$DR$1003,$EX100),INDEX($DR$5:$DR$1003,$EX101))),"S1 Count Change","S1")))),"")</f>
        <v/>
      </c>
      <c r="FT101">
        <f>IF($EY101="row",INDEX($ES$5:$ES$1003,$EX101),"")</f>
        <v/>
      </c>
      <c r="FU101">
        <f>IF($EY101="row",INDEX($EO$5:$EO$1003,$EX101),0)</f>
        <v/>
      </c>
      <c r="FV101">
        <f>IF($FS101="S1 Count Change",1,0)</f>
        <v/>
      </c>
      <c r="FX101" t="n">
        <v>97</v>
      </c>
      <c r="FY101">
        <f>IFERROR(MATCH($FX101,$EF$5:$EF$1003,0),0)</f>
        <v/>
      </c>
      <c r="FZ101">
        <f>IF($FY101=0,"",INDEX($DH$5:$DH$1003,$FY101))</f>
        <v/>
      </c>
      <c r="GA101">
        <f>IF($FY101=0,"",COUNTIF($EG$5:$EG$1003,$FX101))</f>
        <v/>
      </c>
      <c r="GB101">
        <f>IF($FY101=0,"",INDEX($ER$5:$ER$1003,$FY101))</f>
        <v/>
      </c>
      <c r="GC101">
        <f>IF($FY101=0,"",IF(INDEX($EO$5:$EO$1003,$FY101)=1,"Yes",""))</f>
        <v/>
      </c>
      <c r="GD101">
        <f>IF($FY101=0,"",IF(INDEX($EN$5:$EN$1003,$FY101)&gt;0,"","NOT IN YOUR LIST - type it in column A to tick it"))</f>
        <v/>
      </c>
      <c r="GE101">
        <f>IF(AND($FY101&gt;0,$GD101&lt;&gt;""),1,0)</f>
        <v/>
      </c>
      <c r="GF101">
        <f>GF100+$GE101</f>
        <v/>
      </c>
      <c r="GG101">
        <f>IFERROR(INDEX($FZ$5:$FZ$104,MATCH($FX101,$GF$5:$GF$104,0)),"")</f>
        <v/>
      </c>
    </row>
    <row r="102">
      <c r="Y102">
        <f>IF(Y12="",0,IFERROR(INDEX($W$5:$W$86,MATCH(Y12,$V$5:$V$86,0)),0))</f>
        <v/>
      </c>
      <c r="Z102">
        <f>IF(Z12="",0,IFERROR(INDEX($W$5:$W$86,MATCH(Z12,$V$5:$V$86,0)),0))</f>
        <v/>
      </c>
      <c r="AA102">
        <f>IF(AA12="",0,IFERROR(INDEX($W$5:$W$86,MATCH(AA12,$V$5:$V$86,0)),0))</f>
        <v/>
      </c>
      <c r="AB102">
        <f>IF(AB12="",0,IFERROR(INDEX($W$5:$W$86,MATCH(AB12,$V$5:$V$86,0)),0))</f>
        <v/>
      </c>
      <c r="AC102">
        <f>IF(AC12="",0,IFERROR(INDEX($W$5:$W$86,MATCH(AC12,$V$5:$V$86,0)),0))</f>
        <v/>
      </c>
      <c r="AD102">
        <f>IF(AD12="",0,IFERROR(INDEX($W$5:$W$86,MATCH(AD12,$V$5:$V$86,0)),0))</f>
        <v/>
      </c>
      <c r="AE102">
        <f>IF(AE12="",0,IFERROR(INDEX($W$5:$W$86,MATCH(AE12,$V$5:$V$86,0)),0))</f>
        <v/>
      </c>
      <c r="AF102">
        <f>IF(AF12="",0,IFERROR(INDEX($W$5:$W$86,MATCH(AF12,$V$5:$V$86,0)),0))</f>
        <v/>
      </c>
      <c r="AG102">
        <f>IF(AG12="",0,IFERROR(INDEX($W$5:$W$86,MATCH(AG12,$V$5:$V$86,0)),0))</f>
        <v/>
      </c>
      <c r="AH102">
        <f>IF(AH12="",0,IFERROR(INDEX($W$5:$W$86,MATCH(AH12,$V$5:$V$86,0)),0))</f>
        <v/>
      </c>
      <c r="AI102">
        <f>IF(AI12="",0,IFERROR(INDEX($W$5:$W$86,MATCH(AI12,$V$5:$V$86,0)),0))</f>
        <v/>
      </c>
      <c r="AJ102">
        <f>IF(AJ12="",0,IFERROR(INDEX($W$5:$W$86,MATCH(AJ12,$V$5:$V$86,0)),0))</f>
        <v/>
      </c>
      <c r="AK102">
        <f>IF(AK12="",0,IFERROR(INDEX($W$5:$W$86,MATCH(AK12,$V$5:$V$86,0)),0))</f>
        <v/>
      </c>
      <c r="AL102">
        <f>IF(AL12="",0,IFERROR(INDEX($W$5:$W$86,MATCH(AL12,$V$5:$V$86,0)),0))</f>
        <v/>
      </c>
      <c r="AM102">
        <f>IF(AM12="",0,IFERROR(INDEX($W$5:$W$86,MATCH(AM12,$V$5:$V$86,0)),0))</f>
        <v/>
      </c>
      <c r="AN102">
        <f>IF(AN12="",0,IFERROR(INDEX($W$5:$W$86,MATCH(AN12,$V$5:$V$86,0)),0))</f>
        <v/>
      </c>
      <c r="AO102">
        <f>IF(AO12="",0,IFERROR(INDEX($W$5:$W$86,MATCH(AO12,$V$5:$V$86,0)),0))</f>
        <v/>
      </c>
      <c r="AP102">
        <f>IF(AP12="",0,IFERROR(INDEX($W$5:$W$86,MATCH(AP12,$V$5:$V$86,0)),0))</f>
        <v/>
      </c>
      <c r="AQ102">
        <f>IF(AQ12="",0,IFERROR(INDEX($W$5:$W$86,MATCH(AQ12,$V$5:$V$86,0)),0))</f>
        <v/>
      </c>
      <c r="AR102">
        <f>IF(AR12="",0,IFERROR(INDEX($W$5:$W$86,MATCH(AR12,$V$5:$V$86,0)),0))</f>
        <v/>
      </c>
      <c r="AS102">
        <f>IF(AS12="",0,IFERROR(INDEX($W$5:$W$86,MATCH(AS12,$V$5:$V$86,0)),0))</f>
        <v/>
      </c>
      <c r="AT102">
        <f>IF(AT12="",0,IFERROR(INDEX($W$5:$W$86,MATCH(AT12,$V$5:$V$86,0)),0))</f>
        <v/>
      </c>
      <c r="AU102">
        <f>IF(AU12="",0,IFERROR(INDEX($W$5:$W$86,MATCH(AU12,$V$5:$V$86,0)),0))</f>
        <v/>
      </c>
      <c r="AV102">
        <f>IF(AV12="",0,IFERROR(INDEX($W$5:$W$86,MATCH(AV12,$V$5:$V$86,0)),0))</f>
        <v/>
      </c>
      <c r="AW102">
        <f>IF(AW12="",0,IFERROR(INDEX($W$5:$W$86,MATCH(AW12,$V$5:$V$86,0)),0))</f>
        <v/>
      </c>
      <c r="AX102">
        <f>IF(AX12="",0,IFERROR(INDEX($W$5:$W$86,MATCH(AX12,$V$5:$V$86,0)),0))</f>
        <v/>
      </c>
      <c r="AY102">
        <f>IF(AY12="",0,IFERROR(INDEX($W$5:$W$86,MATCH(AY12,$V$5:$V$86,0)),0))</f>
        <v/>
      </c>
      <c r="AZ102">
        <f>IF(AZ12="",0,IFERROR(INDEX($W$5:$W$86,MATCH(AZ12,$V$5:$V$86,0)),0))</f>
        <v/>
      </c>
      <c r="BA102">
        <f>IF(BA12="",0,IFERROR(INDEX($W$5:$W$86,MATCH(BA12,$V$5:$V$86,0)),0))</f>
        <v/>
      </c>
      <c r="BB102">
        <f>IF(BB12="",0,IFERROR(INDEX($W$5:$W$86,MATCH(BB12,$V$5:$V$86,0)),0))</f>
        <v/>
      </c>
      <c r="BC102">
        <f>IF(BC12="",0,IFERROR(INDEX($W$5:$W$86,MATCH(BC12,$V$5:$V$86,0)),0))</f>
        <v/>
      </c>
      <c r="BD102">
        <f>IF(BD12="",0,IFERROR(INDEX($W$5:$W$86,MATCH(BD12,$V$5:$V$86,0)),0))</f>
        <v/>
      </c>
      <c r="BE102">
        <f>IF(BE12="",0,IFERROR(INDEX($W$5:$W$86,MATCH(BE12,$V$5:$V$86,0)),0))</f>
        <v/>
      </c>
      <c r="BF102">
        <f>IF(BF12="",0,IFERROR(INDEX($W$5:$W$86,MATCH(BF12,$V$5:$V$86,0)),0))</f>
        <v/>
      </c>
      <c r="BG102">
        <f>IF(BG12="",0,IFERROR(INDEX($W$5:$W$86,MATCH(BG12,$V$5:$V$86,0)),0))</f>
        <v/>
      </c>
      <c r="BH102">
        <f>IF(BH12="",0,IFERROR(INDEX($W$5:$W$86,MATCH(BH12,$V$5:$V$86,0)),0))</f>
        <v/>
      </c>
      <c r="BI102">
        <f>IF(BI12="",0,IFERROR(INDEX($W$5:$W$86,MATCH(BI12,$V$5:$V$86,0)),0))</f>
        <v/>
      </c>
      <c r="BJ102">
        <f>IF(BJ12="",0,IFERROR(INDEX($W$5:$W$86,MATCH(BJ12,$V$5:$V$86,0)),0))</f>
        <v/>
      </c>
      <c r="BK102">
        <f>IF(BK12="",0,IFERROR(INDEX($W$5:$W$86,MATCH(BK12,$V$5:$V$86,0)),0))</f>
        <v/>
      </c>
      <c r="BL102">
        <f>IF(BL12="",0,IFERROR(INDEX($W$5:$W$86,MATCH(BL12,$V$5:$V$86,0)),0))</f>
        <v/>
      </c>
      <c r="BM102">
        <f>IF(BM12="",0,IFERROR(INDEX($W$5:$W$86,MATCH(BM12,$V$5:$V$86,0)),0))</f>
        <v/>
      </c>
      <c r="BN102">
        <f>IF(BN12="",0,IFERROR(INDEX($W$5:$W$86,MATCH(BN12,$V$5:$V$86,0)),0))</f>
        <v/>
      </c>
      <c r="BO102">
        <f>IF(BO12="",0,IFERROR(INDEX($W$5:$W$86,MATCH(BO12,$V$5:$V$86,0)),0))</f>
        <v/>
      </c>
      <c r="BP102">
        <f>IF(BP12="",0,IFERROR(INDEX($W$5:$W$86,MATCH(BP12,$V$5:$V$86,0)),0))</f>
        <v/>
      </c>
      <c r="BQ102">
        <f>IF(BQ12="",0,IFERROR(INDEX($W$5:$W$86,MATCH(BQ12,$V$5:$V$86,0)),0))</f>
        <v/>
      </c>
      <c r="BR102">
        <f>IF(BR12="",0,IFERROR(INDEX($W$5:$W$86,MATCH(BR12,$V$5:$V$86,0)),0))</f>
        <v/>
      </c>
      <c r="BS102">
        <f>IF(BS12="",0,IFERROR(INDEX($W$5:$W$86,MATCH(BS12,$V$5:$V$86,0)),0))</f>
        <v/>
      </c>
      <c r="BT102">
        <f>IF(BT12="",0,IFERROR(INDEX($W$5:$W$86,MATCH(BT12,$V$5:$V$86,0)),0))</f>
        <v/>
      </c>
      <c r="BU102">
        <f>IF(BU12="",0,IFERROR(INDEX($W$5:$W$86,MATCH(BU12,$V$5:$V$86,0)),0))</f>
        <v/>
      </c>
      <c r="BV102">
        <f>IF(BV12="",0,IFERROR(INDEX($W$5:$W$86,MATCH(BV12,$V$5:$V$86,0)),0))</f>
        <v/>
      </c>
      <c r="BW102">
        <f>IF(BW12="",0,IFERROR(INDEX($W$5:$W$86,MATCH(BW12,$V$5:$V$86,0)),0))</f>
        <v/>
      </c>
      <c r="BX102">
        <f>IF(BX12="",0,IFERROR(INDEX($W$5:$W$86,MATCH(BX12,$V$5:$V$86,0)),0))</f>
        <v/>
      </c>
      <c r="BY102">
        <f>IF(BY12="",0,IFERROR(INDEX($W$5:$W$86,MATCH(BY12,$V$5:$V$86,0)),0))</f>
        <v/>
      </c>
      <c r="BZ102">
        <f>IF(BZ12="",0,IFERROR(INDEX($W$5:$W$86,MATCH(BZ12,$V$5:$V$86,0)),0))</f>
        <v/>
      </c>
      <c r="CA102">
        <f>IF(CA12="",0,IFERROR(INDEX($W$5:$W$86,MATCH(CA12,$V$5:$V$86,0)),0))</f>
        <v/>
      </c>
      <c r="CB102">
        <f>IF(CB12="",0,IFERROR(INDEX($W$5:$W$86,MATCH(CB12,$V$5:$V$86,0)),0))</f>
        <v/>
      </c>
      <c r="CC102">
        <f>IF(CC12="",0,IFERROR(INDEX($W$5:$W$86,MATCH(CC12,$V$5:$V$86,0)),0))</f>
        <v/>
      </c>
      <c r="CD102">
        <f>IF(CD12="",0,IFERROR(INDEX($W$5:$W$86,MATCH(CD12,$V$5:$V$86,0)),0))</f>
        <v/>
      </c>
      <c r="CE102">
        <f>IF(CE12="",0,IFERROR(INDEX($W$5:$W$86,MATCH(CE12,$V$5:$V$86,0)),0))</f>
        <v/>
      </c>
      <c r="CF102">
        <f>IF(CF12="",0,IFERROR(INDEX($W$5:$W$86,MATCH(CF12,$V$5:$V$86,0)),0))</f>
        <v/>
      </c>
      <c r="DA102" t="n">
        <v>98</v>
      </c>
      <c r="DB102">
        <f>IF($B$37=0,"",IFERROR(TRIM(SUBSTITUTE(SUBSTITUTE(SUBSTITUTE(SUBSTITUTE(INDEX(PASTE_ALL,98,$B$37)," "," "),CHAR(9)," "),CHAR(10)," "),CHAR(13)," ")),""))</f>
        <v/>
      </c>
      <c r="DC102">
        <f>IF(AND(98&gt;HEADER_ROW,UPPER(DB102)="LEGEND"),1,0)</f>
        <v/>
      </c>
      <c r="DE102" t="n">
        <v>98</v>
      </c>
      <c r="DF102">
        <f>HEADER_ROW+$DE102</f>
        <v/>
      </c>
      <c r="DG102">
        <f>IF(AND($DF102&lt;=1000,$DF102&lt;$B$8),1,0)</f>
        <v/>
      </c>
      <c r="DH102">
        <f>IF($DG102=1,IFERROR(INDEX($DB$5:$DB$1004,$DF102),""),"")</f>
        <v/>
      </c>
      <c r="DI102">
        <f>IF(AND($DG102=1,$DH102&lt;&gt;""),IFERROR(SUBSTITUTE(SUBSTITUTE(TRIM(SUBSTITUTE(SUBSTITUTE(SUBSTITUTE(SUBSTITUTE(IFERROR(INDEX(PASTE_ALL,$DF102,1)&amp;"","")&amp;"␟"&amp;IFERROR(INDEX(PASTE_ALL,$DF102,2)&amp;"","")&amp;"␟"&amp;IFERROR(INDEX(PASTE_ALL,$DF102,3)&amp;"","")&amp;"␟"&amp;IFERROR(INDEX(PASTE_ALL,$DF102,4)&amp;"","")&amp;"␟"&amp;IFERROR(INDEX(PASTE_ALL,$DF102,5)&amp;"","")&amp;"␟"&amp;IFERROR(INDEX(PASTE_ALL,$DF102,6)&amp;"","")&amp;"␟"&amp;IFERROR(INDEX(PASTE_ALL,$DF102,7)&amp;"","")&amp;"␟"&amp;IFERROR(INDEX(PASTE_ALL,$DF102,8)&amp;"","")&amp;"␟"&amp;IFERROR(INDEX(PASTE_ALL,$DF102,9)&amp;"","")&amp;"␟"&amp;IFERROR(INDEX(PASTE_ALL,$DF102,10)&amp;"","")&amp;"␟"&amp;IFERROR(INDEX(PASTE_ALL,$DF102,11)&amp;"","")&amp;"␟"&amp;IFERROR(INDEX(PASTE_ALL,$DF102,12)&amp;"","")&amp;"␟"&amp;IFERROR(INDEX(PASTE_ALL,$DF102,13)&amp;"","")&amp;"␟"&amp;IFERROR(INDEX(PASTE_ALL,$DF102,14)&amp;"","")&amp;"␟"&amp;IFERROR(INDEX(PASTE_ALL,$DF102,15)&amp;"","")&amp;"␟"&amp;IFERROR(INDEX(PASTE_ALL,$DF102,16)&amp;"","")&amp;"␟"&amp;IFERROR(INDEX(PASTE_ALL,$DF102,17)&amp;"","")&amp;"␟"&amp;IFERROR(INDEX(PASTE_ALL,$DF102,18)&amp;"","")&amp;"␟"&amp;IFERROR(INDEX(PASTE_ALL,$DF102,19)&amp;"","")&amp;"␟"&amp;IFERROR(INDEX(PASTE_ALL,$DF102,20)&amp;"","")&amp;"␟"&amp;IFERROR(INDEX(PASTE_ALL,$DF102,21)&amp;"","")&amp;"␟"&amp;IFERROR(INDEX(PASTE_ALL,$DF102,22)&amp;"","")&amp;"␟"&amp;IFERROR(INDEX(PASTE_ALL,$DF102,23)&amp;"","")&amp;"␟"&amp;IFERROR(INDEX(PASTE_ALL,$DF102,24)&amp;"","")&amp;"␟"&amp;IFERROR(INDEX(PASTE_ALL,$DF102,25)&amp;"","")&amp;"␟"&amp;IFERROR(INDEX(PASTE_ALL,$DF102,26)&amp;"","")&amp;"␟"&amp;IFERROR(INDEX(PASTE_ALL,$DF102,27)&amp;"","")&amp;"␟"&amp;IFERROR(INDEX(PASTE_ALL,$DF102,28)&amp;"","")&amp;"␟"&amp;IFERROR(INDEX(PASTE_ALL,$DF102,29)&amp;"","")&amp;"␟"&amp;IFERROR(INDEX(PASTE_ALL,$DF102,30)&amp;"","")&amp;"␟"&amp;IFERROR(INDEX(PASTE_ALL,$DF102,31)&amp;"","")&amp;"␟"&amp;IFERROR(INDEX(PASTE_ALL,$DF102,32)&amp;"","")&amp;"␟"&amp;IFERROR(INDEX(PASTE_ALL,$DF102,33)&amp;"","")&amp;"␟"&amp;IFERROR(INDEX(PASTE_ALL,$DF102,34)&amp;"","")&amp;"␟"&amp;IFERROR(INDEX(PASTE_ALL,$DF102,35)&amp;"","")&amp;"␟"&amp;IFERROR(INDEX(PASTE_ALL,$DF102,36)&amp;"","")&amp;"␟"&amp;IFERROR(INDEX(PASTE_ALL,$DF102,37)&amp;"","")&amp;"␟"&amp;IFERROR(INDEX(PASTE_ALL,$DF102,38)&amp;"","")&amp;"␟"&amp;IFERROR(INDEX(PASTE_ALL,$DF102,39)&amp;"","")&amp;"␟"&amp;IFERROR(INDEX(PASTE_ALL,$DF102,40)&amp;"","")&amp;"␟"&amp;IFERROR(INDEX(PASTE_ALL,$DF102,41)&amp;"","")&amp;"␟"&amp;IFERROR(INDEX(PASTE_ALL,$DF102,42)&amp;"","")&amp;"␟"&amp;IFERROR(INDEX(PASTE_ALL,$DF102,43)&amp;"","")&amp;"␟"&amp;IFERROR(INDEX(PASTE_ALL,$DF102,44)&amp;"","")&amp;"␟"&amp;IFERROR(INDEX(PASTE_ALL,$DF102,45)&amp;"","")&amp;"␟"&amp;IFERROR(INDEX(PASTE_ALL,$DF102,46)&amp;"","")&amp;"␟"&amp;IFERROR(INDEX(PASTE_ALL,$DF102,47)&amp;"","")&amp;"␟"&amp;IFERROR(INDEX(PASTE_ALL,$DF102,48)&amp;"","")&amp;"␟"&amp;IFERROR(INDEX(PASTE_ALL,$DF102,49)&amp;"","")&amp;"␟"&amp;IFERROR(INDEX(PASTE_ALL,$DF102,50)&amp;"","")&amp;"␟"&amp;IFERROR(INDEX(PASTE_ALL,$DF102,51)&amp;"","")&amp;"␟"&amp;IFERROR(INDEX(PASTE_ALL,$DF102,52)&amp;"","")&amp;"␟"&amp;IFERROR(INDEX(PASTE_ALL,$DF102,53)&amp;"","")&amp;"␟"&amp;IFERROR(INDEX(PASTE_ALL,$DF102,54)&amp;"","")&amp;"␟"&amp;IFERROR(INDEX(PASTE_ALL,$DF102,55)&amp;"","")&amp;"␟"&amp;IFERROR(INDEX(PASTE_ALL,$DF102,56)&amp;"","")&amp;"␟"&amp;IFERROR(INDEX(PASTE_ALL,$DF102,57)&amp;"","")&amp;"␟"&amp;IFERROR(INDEX(PASTE_ALL,$DF102,58)&amp;"","")&amp;"␟"&amp;IFERROR(INDEX(PASTE_ALL,$DF102,59)&amp;"","")&amp;"␟"&amp;IFERROR(INDEX(PASTE_ALL,$DF102,60)&amp;"","")," "," "),CHAR(9)," "),CHAR(10)," "),CHAR(13)," "))," ␟","␟"),"␟ ","␟"),"#"&amp;$DE102),"")</f>
        <v/>
      </c>
      <c r="DJ102">
        <f>IF($DI102="",0,IF(SUMPRODUCT(--EXACT($DI$4:DI101,$DI102))&gt;0,1,0))</f>
        <v/>
      </c>
      <c r="DK102">
        <f>IF(AND($DI102&lt;&gt;"",$DJ102=0),1,0)</f>
        <v/>
      </c>
      <c r="DL102">
        <f>DL101+$DK102</f>
        <v/>
      </c>
      <c r="DM102">
        <f>IF(AND($DK102=1,$DL102&lt;=600),1,0)</f>
        <v/>
      </c>
      <c r="DN102">
        <f>IF($DM102=0,"",IF($L$6=0,"",IFERROR(IF(ISNUMBER(INDEX(PASTE_ALL,$DF102,$L$6)),INDEX(PASTE_ALL,$DF102,$L$6),TRIM(SUBSTITUTE(SUBSTITUTE(SUBSTITUTE(SUBSTITUTE(INDEX(PASTE_ALL,$DF102,$L$6)," "," "),CHAR(9)," "),CHAR(10)," "),CHAR(13)," "))),"")))</f>
        <v/>
      </c>
      <c r="DO102">
        <f>IF($DM102=0,"",IF($L$7=0,"",IFERROR(IF(ISNUMBER(INDEX(PASTE_ALL,$DF102,$L$7)),INDEX(PASTE_ALL,$DF102,$L$7),TRIM(SUBSTITUTE(SUBSTITUTE(SUBSTITUTE(SUBSTITUTE(INDEX(PASTE_ALL,$DF102,$L$7)," "," "),CHAR(9)," "),CHAR(10)," "),CHAR(13)," "))),"")))</f>
        <v/>
      </c>
      <c r="DP102">
        <f>IF($DM102=0,"",IF($L$8=0,"",IFERROR(IF(ISNUMBER(INDEX(PASTE_ALL,$DF102,$L$8)),INDEX(PASTE_ALL,$DF102,$L$8),TRIM(SUBSTITUTE(SUBSTITUTE(SUBSTITUTE(SUBSTITUTE(INDEX(PASTE_ALL,$DF102,$L$8)," "," "),CHAR(9)," "),CHAR(10)," "),CHAR(13)," "))),"")))</f>
        <v/>
      </c>
      <c r="DQ102">
        <f>IF($DM102=0,"",IF($L$9=0,"",IFERROR(IF(ISNUMBER(INDEX(PASTE_ALL,$DF102,$L$9)),INDEX(PASTE_ALL,$DF102,$L$9),TRIM(SUBSTITUTE(SUBSTITUTE(SUBSTITUTE(SUBSTITUTE(INDEX(PASTE_ALL,$DF102,$L$9)," "," "),CHAR(9)," "),CHAR(10)," "),CHAR(13)," "))),"")))</f>
        <v/>
      </c>
      <c r="DR102">
        <f>IF($DM102=0,"",IF($L$10=0,"",IFERROR(IF(ISNUMBER(INDEX(PASTE_ALL,$DF102,$L$10)),INDEX(PASTE_ALL,$DF102,$L$10),TRIM(SUBSTITUTE(SUBSTITUTE(SUBSTITUTE(SUBSTITUTE(INDEX(PASTE_ALL,$DF102,$L$10)," "," "),CHAR(9)," "),CHAR(10)," "),CHAR(13)," "))),"")))</f>
        <v/>
      </c>
      <c r="DS102">
        <f>IF($DM102=0,"",IF($L$11=0,"",IFERROR(IF(ISNUMBER(INDEX(PASTE_ALL,$DF102,$L$11)),INDEX(PASTE_ALL,$DF102,$L$11),TRIM(SUBSTITUTE(SUBSTITUTE(SUBSTITUTE(SUBSTITUTE(INDEX(PASTE_ALL,$DF102,$L$11)," "," "),CHAR(9)," "),CHAR(10)," "),CHAR(13)," "))),"")))</f>
        <v/>
      </c>
      <c r="DT102">
        <f>IF($DM102=0,"",IF($L$12=0,"",IFERROR(IF(ISNUMBER(INDEX(PASTE_ALL,$DF102,$L$12)),INDEX(PASTE_ALL,$DF102,$L$12),TRIM(SUBSTITUTE(SUBSTITUTE(SUBSTITUTE(SUBSTITUTE(INDEX(PASTE_ALL,$DF102,$L$12)," "," "),CHAR(9)," "),CHAR(10)," "),CHAR(13)," "))),"")))</f>
        <v/>
      </c>
      <c r="DU102">
        <f>IF($DM102=0,"",IF($L$13=0,"",IFERROR(IF(ISNUMBER(INDEX(PASTE_ALL,$DF102,$L$13)),INDEX(PASTE_ALL,$DF102,$L$13),TRIM(SUBSTITUTE(SUBSTITUTE(SUBSTITUTE(SUBSTITUTE(INDEX(PASTE_ALL,$DF102,$L$13)," "," "),CHAR(9)," "),CHAR(10)," "),CHAR(13)," "))),"")))</f>
        <v/>
      </c>
      <c r="DV102">
        <f>IF($DM102=0,"",IF($L$14=0,"",IFERROR(IF(ISNUMBER(INDEX(PASTE_ALL,$DF102,$L$14)),INDEX(PASTE_ALL,$DF102,$L$14),TRIM(SUBSTITUTE(SUBSTITUTE(SUBSTITUTE(SUBSTITUTE(INDEX(PASTE_ALL,$DF102,$L$14)," "," "),CHAR(9)," "),CHAR(10)," "),CHAR(13)," "))),"")))</f>
        <v/>
      </c>
      <c r="DW102">
        <f>IF($DM102=0,"",IF($L$15=0,"",IFERROR(IF(ISNUMBER(INDEX(PASTE_ALL,$DF102,$L$15)),INDEX(PASTE_ALL,$DF102,$L$15),IF(SUMPRODUCT(--ISNUMBER(FIND({"A","B","C","D","E","F","G","H","I","J","K","L","M","N","O","P","Q","R","S","T","U","V","W","X","Y","Z","0","1","2","3","4","5","6","7","8","9"},UPPER(TRIM(SUBSTITUTE(SUBSTITUTE(SUBSTITUTE(SUBSTITUTE(INDEX(PASTE_ALL,$DF102,$L$15)," "," "),CHAR(9)," "),CHAR(10)," "),CHAR(13)," "))))))&gt;0,TRIM(SUBSTITUTE(SUBSTITUTE(SUBSTITUTE(SUBSTITUTE(INDEX(PASTE_ALL,$DF102,$L$15)," "," "),CHAR(9)," "),CHAR(10)," "),CHAR(13)," ")),"")),"")))</f>
        <v/>
      </c>
      <c r="DX102">
        <f>IF($DM102=0,"",IF($L$16=0,"",IFERROR(IF(ISNUMBER(INDEX(PASTE_ALL,$DF102,$L$16)),INDEX(PASTE_ALL,$DF102,$L$16),SUBSTITUTE(SUBSTITUTE(TRIM(SUBSTITUTE(SUBSTITUTE(SUBSTITUTE(SUBSTITUTE(INDEX(PASTE_ALL,$DF102,$L$16)," "," "),CHAR(9)," "),CHAR(10)," "),CHAR(13)," ")),",",""),"%","")),"")))</f>
        <v/>
      </c>
      <c r="DY102">
        <f>IF($DM102=0,"",IFERROR(IF(ISNUMBER($DX102),$DX102,IF($DX102="","",IF(TRIM($DX102)="",0,IF(AND(AND(SUBSTITUTE(SUBSTITUTE(SUBSTITUTE(SUBSTITUTE(SUBSTITUTE(SUBSTITUTE(SUBSTITUTE(SUBSTITUTE(SUBSTITUTE(SUBSTITUTE(SUBSTITUTE(SUBSTITUTE(SUBSTITUTE(SUBSTITUTE(UPPER(TRIM($DX102)),"0",""),"1",""),"2",""),"3",""),"4",""),"5",""),"6",""),"7",""),"8",""),"9",""),".",""),"+",""),"-",""),"E","")="",LEN(SUBSTITUTE(SUBSTITUTE(MID(UPPER(TRIM($DX102)),1+OR(LEFT(UPPER(TRIM($DX102)),1)="+",LEFT(UPPER(TRIM($DX102)),1)="-"),999),"E+","E"),"E-","E"))=LEN(SUBSTITUTE(SUBSTITUTE(SUBSTITUTE(SUBSTITUTE(MID(UPPER(TRIM($DX102)),1+OR(LEFT(UPPER(TRIM($DX102)),1)="+",LEFT(UPPER(TRIM($DX102)),1)="-"),999),"E+","E"),"E-","E"),"+",""),"-","")),LEN(UPPER(TRIM($DX102)))-LEN(SUBSTITUTE(UPPER(TRIM($DX102)),"E",""))&lt;2,LEN(UPPER(TRIM($DX102)))-LEN(SUBSTITUTE(UPPER(TRIM($DX102)),".",""))&lt;2,IFERROR(FIND(".",UPPER(TRIM($DX102))),0)&lt;IFERROR(FIND("E",UPPER(TRIM($DX102))),999)),ISNUMBER(VALUE(TRIM($DX102)))),VALUE(TRIM($DX102)),"")))),""))</f>
        <v/>
      </c>
      <c r="DZ102">
        <f>IF($DM102=0,"",IF($L$17=0,"",IFERROR(IF(ISNUMBER(INDEX(PASTE_ALL,$DF102,$L$17)),INDEX(PASTE_ALL,$DF102,$L$17),SUBSTITUTE(SUBSTITUTE(TRIM(SUBSTITUTE(SUBSTITUTE(SUBSTITUTE(SUBSTITUTE(INDEX(PASTE_ALL,$DF102,$L$17)," "," "),CHAR(9)," "),CHAR(10)," "),CHAR(13)," ")),",",""),"%","")),"")))</f>
        <v/>
      </c>
      <c r="EA102">
        <f>IF($DM102=0,"",IFERROR(IF(ISNUMBER($DZ102),$DZ102,IF($DZ102="","",IF(TRIM($DZ102)="",0,IF(AND(AND(SUBSTITUTE(SUBSTITUTE(SUBSTITUTE(SUBSTITUTE(SUBSTITUTE(SUBSTITUTE(SUBSTITUTE(SUBSTITUTE(SUBSTITUTE(SUBSTITUTE(SUBSTITUTE(SUBSTITUTE(SUBSTITUTE(SUBSTITUTE(UPPER(TRIM($DZ102)),"0",""),"1",""),"2",""),"3",""),"4",""),"5",""),"6",""),"7",""),"8",""),"9",""),".",""),"+",""),"-",""),"E","")="",LEN(SUBSTITUTE(SUBSTITUTE(MID(UPPER(TRIM($DZ102)),1+OR(LEFT(UPPER(TRIM($DZ102)),1)="+",LEFT(UPPER(TRIM($DZ102)),1)="-"),999),"E+","E"),"E-","E"))=LEN(SUBSTITUTE(SUBSTITUTE(SUBSTITUTE(SUBSTITUTE(MID(UPPER(TRIM($DZ102)),1+OR(LEFT(UPPER(TRIM($DZ102)),1)="+",LEFT(UPPER(TRIM($DZ102)),1)="-"),999),"E+","E"),"E-","E"),"+",""),"-","")),LEN(UPPER(TRIM($DZ102)))-LEN(SUBSTITUTE(UPPER(TRIM($DZ102)),"E",""))&lt;2,LEN(UPPER(TRIM($DZ102)))-LEN(SUBSTITUTE(UPPER(TRIM($DZ102)),".",""))&lt;2,IFERROR(FIND(".",UPPER(TRIM($DZ102))),0)&lt;IFERROR(FIND("E",UPPER(TRIM($DZ102))),999)),ISNUMBER(VALUE(TRIM($DZ102)))),VALUE(TRIM($DZ102)),"")))),""))</f>
        <v/>
      </c>
      <c r="EB102">
        <f>IF($DM102=0,"",IF($L$18=0,"",IFERROR(IF(UPPER(TRIM(SUBSTITUTE(SUBSTITUTE(SUBSTITUTE(SUBSTITUTE(INDEX(PASTE_ALL,$DF102,$L$18)," "," "),CHAR(9)," "),CHAR(10)," "),CHAR(13)," ")))="READY","Ready",IF(UPPER(TRIM(SUBSTITUTE(SUBSTITUTE(SUBSTITUTE(SUBSTITUTE(INDEX(PASTE_ALL,$DF102,$L$18)," "," "),CHAR(9)," "),CHAR(10)," "),CHAR(13)," ")))="PM","PM",IF(OR(UPPER(TRIM(SUBSTITUTE(SUBSTITUTE(SUBSTITUTE(SUBSTITUTE(INDEX(PASTE_ALL,$DF102,$L$18)," "," "),CHAR(9)," "),CHAR(10)," "),CHAR(13)," ")))="OT",UPPER(TRIM(SUBSTITUTE(SUBSTITUTE(SUBSTITUTE(SUBSTITUTE(INDEX(PASTE_ALL,$DF102,$L$18)," "," "),CHAR(9)," "),CHAR(10)," "),CHAR(13)," ")))="OVERTIME",UPPER(TRIM(SUBSTITUTE(SUBSTITUTE(SUBSTITUTE(SUBSTITUTE(INDEX(PASTE_ALL,$DF102,$L$18)," "," "),CHAR(9)," "),CHAR(10)," "),CHAR(13)," ")))="TRIAL"),"OT",TRIM(SUBSTITUTE(SUBSTITUTE(SUBSTITUTE(SUBSTITUTE(INDEX(PASTE_ALL,$DF102,$L$18)," "," "),CHAR(9)," "),CHAR(10)," "),CHAR(13)," "))))),"")))</f>
        <v/>
      </c>
      <c r="EC102">
        <f>IF($DM102=0,"",IF($L$19=0,"",IFERROR(IF(ISNUMBER(INDEX(PASTE_ALL,$DF102,$L$19)),INDEX(PASTE_ALL,$DF102,$L$19),TRIM(SUBSTITUTE(SUBSTITUTE(SUBSTITUTE(SUBSTITUTE(INDEX(PASTE_ALL,$DF102,$L$19)," "," "),CHAR(9)," "),CHAR(10)," "),CHAR(13)," "))),"")))</f>
        <v/>
      </c>
      <c r="ED102">
        <f>IF($DM102=0,"",MATCH(1,INDEX(EXACT($DH$5:DH102,$DH102)*$DM$5:DM102,0),0))</f>
        <v/>
      </c>
      <c r="EE102">
        <f>IF($DM102=0,0,IF($ED102=$DE102,1,0))</f>
        <v/>
      </c>
      <c r="EF102">
        <f>EF101+$EE102</f>
        <v/>
      </c>
      <c r="EG102">
        <f>IF($DM102=0,"",INDEX($EF$5:$EF$1003,$ED102))</f>
        <v/>
      </c>
      <c r="EH102">
        <f>IF($DM102=0,"",IF($DO102&lt;&gt;"","",IFERROR(LOOKUP(2,1/(($EG$4:EG101=$EG102)*($DO$4:DO101&lt;&gt;"")),$DO$4:DO101),"")))</f>
        <v/>
      </c>
      <c r="EI102">
        <f>IF($DM102=0,"",IF($DO102&lt;&gt;"",$DO102,$EH102))</f>
        <v/>
      </c>
      <c r="EJ102">
        <f>IF($DM102=0,"",IF($EI102="",0,IF(OR(ISNUMBER($EI102),AND(AND(SUBSTITUTE(SUBSTITUTE(SUBSTITUTE(SUBSTITUTE(SUBSTITUTE(SUBSTITUTE(SUBSTITUTE(SUBSTITUTE(SUBSTITUTE(SUBSTITUTE(SUBSTITUTE(SUBSTITUTE(SUBSTITUTE(SUBSTITUTE(UPPER($EI102),"0",""),"1",""),"2",""),"3",""),"4",""),"5",""),"6",""),"7",""),"8",""),"9",""),".",""),"+",""),"-",""),"E","")="",LEN(SUBSTITUTE(SUBSTITUTE(MID(UPPER($EI102),1+OR(LEFT(UPPER($EI102),1)="+",LEFT(UPPER($EI102),1)="-"),999),"E+","E"),"E-","E"))=LEN(SUBSTITUTE(SUBSTITUTE(SUBSTITUTE(SUBSTITUTE(MID(UPPER($EI102),1+OR(LEFT(UPPER($EI102),1)="+",LEFT(UPPER($EI102),1)="-"),999),"E+","E"),"E-","E"),"+",""),"-","")),LEN(UPPER($EI102))-LEN(SUBSTITUTE(UPPER($EI102),"E",""))&lt;2,LEN(UPPER($EI102))-LEN(SUBSTITUTE(UPPER($EI102),".",""))&lt;2,IFERROR(FIND(".",UPPER($EI102)),0)&lt;IFERROR(FIND("E",UPPER($EI102)),999)),ISNUMBER(VALUE($EI102)))),1,2)))</f>
        <v/>
      </c>
      <c r="EK102">
        <f>IF($DM102=0,"",IF($EJ102=1,IF(ISNUMBER($EI102),$EI102,VALUE($EI102)),IF($EJ102=2,$DE102,0)))</f>
        <v/>
      </c>
      <c r="EL102">
        <f>IF($DM102=0,"",COUNTIF($EG$5:$EG$1003,"&lt;"&amp;$EG102)+SUMPRODUCT(($EG$5:$EG$1003=$EG102)*(($EJ$5:$EJ$1003&lt;$EJ102)+($EJ$5:$EJ$1003=$EJ102)*(($EK$5:$EK$1003&lt;$EK102)+($EK$5:$EK$1003=$EK102)*($DE$5:$DE$1003&lt;$DE102))))+1)</f>
        <v/>
      </c>
      <c r="EM102">
        <f>IF($DM102=0,"",$EL102+$EG102-1)</f>
        <v/>
      </c>
      <c r="EN102">
        <f>IF($DM102=0,0,IFERROR(MATCH(1,INDEX(--(TRIM(SUBSTITUTE(SUBSTITUTE(SUBSTITUTE(SUBSTITUTE(LINES_NAME&amp;""," "," "),CHAR(9)," "),CHAR(10)," "),CHAR(13)," "))=$DH102),0),0),0))</f>
        <v/>
      </c>
      <c r="EO102">
        <f>IF($EN102=0,0,IF(OR(UPPER(TRIM(INDEX(LINES_SCHEDULED,$EN102)&amp;""))="YES",UPPER(TRIM(INDEX(LINES_SCHEDULED,$EN102)&amp;""))="Y",UPPER(TRIM(INDEX(LINES_SCHEDULED,$EN102)&amp;""))="X"),1,0))</f>
        <v/>
      </c>
      <c r="EP102">
        <f>IF($DM102=0,"",IF(COUNTIFS($EG$5:$EG$1003,$EG102,$EB$5:$EB$1003,"Ready")&gt;0,"READY",IF(COUNTIFS($EG$5:$EG$1003,$EG102,$EB$5:$EB$1003,"PM")&gt;0,"PM",IF(COUNTIFS($EG$5:$EG$1003,$EG102,$EB$5:$EB$1003,"OT")&gt;0,"OT",""))))</f>
        <v/>
      </c>
      <c r="EQ102">
        <f>IF($EN102=0,"",UPPER(TRIM(INDEX(LINES_STATUS,$EN102)&amp;"")))</f>
        <v/>
      </c>
      <c r="ER102">
        <f>IF($DM102=0,"",IF(OR($EQ102="READY",$EQ102="PM",$EQ102="OT"),$EQ102,$EP102))</f>
        <v/>
      </c>
      <c r="ES102">
        <f>IF($DM102=0,"",IF(AND($DV102&lt;&gt;"",UPPER($DV102)&lt;&gt;"N"),"allergen",IF(ISNUMBER(SEARCH("oil",$DQ102)),"oil",IF(OR(EXACT($DS102,"A662"),EXACT($DS102,"A624")),"bulk",""))))</f>
        <v/>
      </c>
      <c r="ET102">
        <f>IF($DM102=0,"",IF(OR($EA102="",$EA102=0),"",$EA102/100))</f>
        <v/>
      </c>
      <c r="EU102">
        <f>IF(OR($ET102="",$DY102=""),"",INT($DY102*(1-$ET102)+0.5))</f>
        <v/>
      </c>
      <c r="EW102" t="n">
        <v>98</v>
      </c>
      <c r="EX102">
        <f>IFERROR(MATCH($EW102,$EM$5:$EM$1003,0),0)</f>
        <v/>
      </c>
      <c r="EY102">
        <f>IF($EW102&gt;$B$12,"",IF($EX102&gt;0,"row","spacer"))</f>
        <v/>
      </c>
      <c r="EZ102">
        <f>IF(AND($EY102="row",$EY101&lt;&gt;"row"),1,0)</f>
        <v/>
      </c>
      <c r="FA102">
        <f>IF(AND($EY102="row",$EY103&lt;&gt;"row"),1,0)</f>
        <v/>
      </c>
      <c r="FB102">
        <f>IF($EZ102=1,IFERROR(IF(ISNUMBER(INDEX(PASTE_ALL,INDEX($DF$5:$DF$1003,$EX102),$B$37)),INDEX(PASTE_ALL,INDEX($DF$5:$DF$1003,$EX102),$B$37),INDEX($DH$5:$DH$1003,$EX102)),INDEX($DH$5:$DH$1003,$EX102)),"")</f>
        <v/>
      </c>
      <c r="FC102">
        <f>IF($EY102="row",INDEX($ER$5:$ER$1003,$EX102),"")</f>
        <v/>
      </c>
      <c r="FD102">
        <f>IF($EY102="row",INDEX($DN$5:$DN$1003,$EX102),"")</f>
        <v/>
      </c>
      <c r="FE102">
        <f>IF($EY102="row",INDEX($DO$5:$DO$1003,$EX102),"")</f>
        <v/>
      </c>
      <c r="FF102">
        <f>IF($EY102="row",INDEX($DP$5:$DP$1003,$EX102),"")</f>
        <v/>
      </c>
      <c r="FG102">
        <f>IF($EY102="row",INDEX($DQ$5:$DQ$1003,$EX102),"")</f>
        <v/>
      </c>
      <c r="FH102">
        <f>IF($EY102="row",INDEX($DR$5:$DR$1003,$EX102),"")</f>
        <v/>
      </c>
      <c r="FI102">
        <f>IF($EY102="row",INDEX($DS$5:$DS$1003,$EX102),"")</f>
        <v/>
      </c>
      <c r="FJ102">
        <f>IF($EY102="row",INDEX($DT$5:$DT$1003,$EX102),"")</f>
        <v/>
      </c>
      <c r="FK102">
        <f>IF($EY102="row",INDEX($DU$5:$DU$1003,$EX102),"")</f>
        <v/>
      </c>
      <c r="FL102">
        <f>IF($EY102="row",INDEX($DV$5:$DV$1003,$EX102),"")</f>
        <v/>
      </c>
      <c r="FM102">
        <f>IF($EY102="row",INDEX($DW$5:$DW$1003,$EX102),"")</f>
        <v/>
      </c>
      <c r="FN102">
        <f>IF($EY102="row",INDEX($DY$5:$DY$1003,$EX102),"")</f>
        <v/>
      </c>
      <c r="FO102">
        <f>IF($EY102="row",INDEX($EA$5:$EA$1003,$EX102),"")</f>
        <v/>
      </c>
      <c r="FP102">
        <f>IF($EY102="row",INDEX($EC$5:$EC$1003,$EX102),"")</f>
        <v/>
      </c>
      <c r="FQ102">
        <f>IF($EY102="row",INDEX($ET$5:$ET$1003,$EX102),"")</f>
        <v/>
      </c>
      <c r="FR102">
        <f>IF($EY102="row",INDEX($EU$5:$EU$1003,$EX102),"")</f>
        <v/>
      </c>
      <c r="FS102">
        <f>IF(AND($EY102="row",$EY101="row"),IF(OR(INDEX($DT$5:$DT$1003,$EX101)="",INDEX($DT$5:$DT$1003,$EX102)=""),"",IF(NOT(EXACT(INDEX($DT$5:$DT$1003,$EX101),INDEX($DT$5:$DT$1003,$EX102))),"S4",IF(NOT(EXACT(INDEX($DS$5:$DS$1003,$EX101),INDEX($DS$5:$DS$1003,$EX102))),"S3",IF(NOT(EXACT(INDEX($DR$5:$DR$1003,$EX101),INDEX($DR$5:$DR$1003,$EX102))),"S1 Count Change","S1")))),"")</f>
        <v/>
      </c>
      <c r="FT102">
        <f>IF($EY102="row",INDEX($ES$5:$ES$1003,$EX102),"")</f>
        <v/>
      </c>
      <c r="FU102">
        <f>IF($EY102="row",INDEX($EO$5:$EO$1003,$EX102),0)</f>
        <v/>
      </c>
      <c r="FV102">
        <f>IF($FS102="S1 Count Change",1,0)</f>
        <v/>
      </c>
      <c r="FX102" t="n">
        <v>98</v>
      </c>
      <c r="FY102">
        <f>IFERROR(MATCH($FX102,$EF$5:$EF$1003,0),0)</f>
        <v/>
      </c>
      <c r="FZ102">
        <f>IF($FY102=0,"",INDEX($DH$5:$DH$1003,$FY102))</f>
        <v/>
      </c>
      <c r="GA102">
        <f>IF($FY102=0,"",COUNTIF($EG$5:$EG$1003,$FX102))</f>
        <v/>
      </c>
      <c r="GB102">
        <f>IF($FY102=0,"",INDEX($ER$5:$ER$1003,$FY102))</f>
        <v/>
      </c>
      <c r="GC102">
        <f>IF($FY102=0,"",IF(INDEX($EO$5:$EO$1003,$FY102)=1,"Yes",""))</f>
        <v/>
      </c>
      <c r="GD102">
        <f>IF($FY102=0,"",IF(INDEX($EN$5:$EN$1003,$FY102)&gt;0,"","NOT IN YOUR LIST - type it in column A to tick it"))</f>
        <v/>
      </c>
      <c r="GE102">
        <f>IF(AND($FY102&gt;0,$GD102&lt;&gt;""),1,0)</f>
        <v/>
      </c>
      <c r="GF102">
        <f>GF101+$GE102</f>
        <v/>
      </c>
      <c r="GG102">
        <f>IFERROR(INDEX($FZ$5:$FZ$104,MATCH($FX102,$GF$5:$GF$104,0)),"")</f>
        <v/>
      </c>
    </row>
    <row r="103">
      <c r="Y103">
        <f>IF(Y13="",0,IFERROR(INDEX($W$5:$W$86,MATCH(Y13,$V$5:$V$86,0)),0))</f>
        <v/>
      </c>
      <c r="Z103">
        <f>IF(Z13="",0,IFERROR(INDEX($W$5:$W$86,MATCH(Z13,$V$5:$V$86,0)),0))</f>
        <v/>
      </c>
      <c r="AA103">
        <f>IF(AA13="",0,IFERROR(INDEX($W$5:$W$86,MATCH(AA13,$V$5:$V$86,0)),0))</f>
        <v/>
      </c>
      <c r="AB103">
        <f>IF(AB13="",0,IFERROR(INDEX($W$5:$W$86,MATCH(AB13,$V$5:$V$86,0)),0))</f>
        <v/>
      </c>
      <c r="AC103">
        <f>IF(AC13="",0,IFERROR(INDEX($W$5:$W$86,MATCH(AC13,$V$5:$V$86,0)),0))</f>
        <v/>
      </c>
      <c r="AD103">
        <f>IF(AD13="",0,IFERROR(INDEX($W$5:$W$86,MATCH(AD13,$V$5:$V$86,0)),0))</f>
        <v/>
      </c>
      <c r="AE103">
        <f>IF(AE13="",0,IFERROR(INDEX($W$5:$W$86,MATCH(AE13,$V$5:$V$86,0)),0))</f>
        <v/>
      </c>
      <c r="AF103">
        <f>IF(AF13="",0,IFERROR(INDEX($W$5:$W$86,MATCH(AF13,$V$5:$V$86,0)),0))</f>
        <v/>
      </c>
      <c r="AG103">
        <f>IF(AG13="",0,IFERROR(INDEX($W$5:$W$86,MATCH(AG13,$V$5:$V$86,0)),0))</f>
        <v/>
      </c>
      <c r="AH103">
        <f>IF(AH13="",0,IFERROR(INDEX($W$5:$W$86,MATCH(AH13,$V$5:$V$86,0)),0))</f>
        <v/>
      </c>
      <c r="AI103">
        <f>IF(AI13="",0,IFERROR(INDEX($W$5:$W$86,MATCH(AI13,$V$5:$V$86,0)),0))</f>
        <v/>
      </c>
      <c r="AJ103">
        <f>IF(AJ13="",0,IFERROR(INDEX($W$5:$W$86,MATCH(AJ13,$V$5:$V$86,0)),0))</f>
        <v/>
      </c>
      <c r="AK103">
        <f>IF(AK13="",0,IFERROR(INDEX($W$5:$W$86,MATCH(AK13,$V$5:$V$86,0)),0))</f>
        <v/>
      </c>
      <c r="AL103">
        <f>IF(AL13="",0,IFERROR(INDEX($W$5:$W$86,MATCH(AL13,$V$5:$V$86,0)),0))</f>
        <v/>
      </c>
      <c r="AM103">
        <f>IF(AM13="",0,IFERROR(INDEX($W$5:$W$86,MATCH(AM13,$V$5:$V$86,0)),0))</f>
        <v/>
      </c>
      <c r="AN103">
        <f>IF(AN13="",0,IFERROR(INDEX($W$5:$W$86,MATCH(AN13,$V$5:$V$86,0)),0))</f>
        <v/>
      </c>
      <c r="AO103">
        <f>IF(AO13="",0,IFERROR(INDEX($W$5:$W$86,MATCH(AO13,$V$5:$V$86,0)),0))</f>
        <v/>
      </c>
      <c r="AP103">
        <f>IF(AP13="",0,IFERROR(INDEX($W$5:$W$86,MATCH(AP13,$V$5:$V$86,0)),0))</f>
        <v/>
      </c>
      <c r="AQ103">
        <f>IF(AQ13="",0,IFERROR(INDEX($W$5:$W$86,MATCH(AQ13,$V$5:$V$86,0)),0))</f>
        <v/>
      </c>
      <c r="AR103">
        <f>IF(AR13="",0,IFERROR(INDEX($W$5:$W$86,MATCH(AR13,$V$5:$V$86,0)),0))</f>
        <v/>
      </c>
      <c r="AS103">
        <f>IF(AS13="",0,IFERROR(INDEX($W$5:$W$86,MATCH(AS13,$V$5:$V$86,0)),0))</f>
        <v/>
      </c>
      <c r="AT103">
        <f>IF(AT13="",0,IFERROR(INDEX($W$5:$W$86,MATCH(AT13,$V$5:$V$86,0)),0))</f>
        <v/>
      </c>
      <c r="AU103">
        <f>IF(AU13="",0,IFERROR(INDEX($W$5:$W$86,MATCH(AU13,$V$5:$V$86,0)),0))</f>
        <v/>
      </c>
      <c r="AV103">
        <f>IF(AV13="",0,IFERROR(INDEX($W$5:$W$86,MATCH(AV13,$V$5:$V$86,0)),0))</f>
        <v/>
      </c>
      <c r="AW103">
        <f>IF(AW13="",0,IFERROR(INDEX($W$5:$W$86,MATCH(AW13,$V$5:$V$86,0)),0))</f>
        <v/>
      </c>
      <c r="AX103">
        <f>IF(AX13="",0,IFERROR(INDEX($W$5:$W$86,MATCH(AX13,$V$5:$V$86,0)),0))</f>
        <v/>
      </c>
      <c r="AY103">
        <f>IF(AY13="",0,IFERROR(INDEX($W$5:$W$86,MATCH(AY13,$V$5:$V$86,0)),0))</f>
        <v/>
      </c>
      <c r="AZ103">
        <f>IF(AZ13="",0,IFERROR(INDEX($W$5:$W$86,MATCH(AZ13,$V$5:$V$86,0)),0))</f>
        <v/>
      </c>
      <c r="BA103">
        <f>IF(BA13="",0,IFERROR(INDEX($W$5:$W$86,MATCH(BA13,$V$5:$V$86,0)),0))</f>
        <v/>
      </c>
      <c r="BB103">
        <f>IF(BB13="",0,IFERROR(INDEX($W$5:$W$86,MATCH(BB13,$V$5:$V$86,0)),0))</f>
        <v/>
      </c>
      <c r="BC103">
        <f>IF(BC13="",0,IFERROR(INDEX($W$5:$W$86,MATCH(BC13,$V$5:$V$86,0)),0))</f>
        <v/>
      </c>
      <c r="BD103">
        <f>IF(BD13="",0,IFERROR(INDEX($W$5:$W$86,MATCH(BD13,$V$5:$V$86,0)),0))</f>
        <v/>
      </c>
      <c r="BE103">
        <f>IF(BE13="",0,IFERROR(INDEX($W$5:$W$86,MATCH(BE13,$V$5:$V$86,0)),0))</f>
        <v/>
      </c>
      <c r="BF103">
        <f>IF(BF13="",0,IFERROR(INDEX($W$5:$W$86,MATCH(BF13,$V$5:$V$86,0)),0))</f>
        <v/>
      </c>
      <c r="BG103">
        <f>IF(BG13="",0,IFERROR(INDEX($W$5:$W$86,MATCH(BG13,$V$5:$V$86,0)),0))</f>
        <v/>
      </c>
      <c r="BH103">
        <f>IF(BH13="",0,IFERROR(INDEX($W$5:$W$86,MATCH(BH13,$V$5:$V$86,0)),0))</f>
        <v/>
      </c>
      <c r="BI103">
        <f>IF(BI13="",0,IFERROR(INDEX($W$5:$W$86,MATCH(BI13,$V$5:$V$86,0)),0))</f>
        <v/>
      </c>
      <c r="BJ103">
        <f>IF(BJ13="",0,IFERROR(INDEX($W$5:$W$86,MATCH(BJ13,$V$5:$V$86,0)),0))</f>
        <v/>
      </c>
      <c r="BK103">
        <f>IF(BK13="",0,IFERROR(INDEX($W$5:$W$86,MATCH(BK13,$V$5:$V$86,0)),0))</f>
        <v/>
      </c>
      <c r="BL103">
        <f>IF(BL13="",0,IFERROR(INDEX($W$5:$W$86,MATCH(BL13,$V$5:$V$86,0)),0))</f>
        <v/>
      </c>
      <c r="BM103">
        <f>IF(BM13="",0,IFERROR(INDEX($W$5:$W$86,MATCH(BM13,$V$5:$V$86,0)),0))</f>
        <v/>
      </c>
      <c r="BN103">
        <f>IF(BN13="",0,IFERROR(INDEX($W$5:$W$86,MATCH(BN13,$V$5:$V$86,0)),0))</f>
        <v/>
      </c>
      <c r="BO103">
        <f>IF(BO13="",0,IFERROR(INDEX($W$5:$W$86,MATCH(BO13,$V$5:$V$86,0)),0))</f>
        <v/>
      </c>
      <c r="BP103">
        <f>IF(BP13="",0,IFERROR(INDEX($W$5:$W$86,MATCH(BP13,$V$5:$V$86,0)),0))</f>
        <v/>
      </c>
      <c r="BQ103">
        <f>IF(BQ13="",0,IFERROR(INDEX($W$5:$W$86,MATCH(BQ13,$V$5:$V$86,0)),0))</f>
        <v/>
      </c>
      <c r="BR103">
        <f>IF(BR13="",0,IFERROR(INDEX($W$5:$W$86,MATCH(BR13,$V$5:$V$86,0)),0))</f>
        <v/>
      </c>
      <c r="BS103">
        <f>IF(BS13="",0,IFERROR(INDEX($W$5:$W$86,MATCH(BS13,$V$5:$V$86,0)),0))</f>
        <v/>
      </c>
      <c r="BT103">
        <f>IF(BT13="",0,IFERROR(INDEX($W$5:$W$86,MATCH(BT13,$V$5:$V$86,0)),0))</f>
        <v/>
      </c>
      <c r="BU103">
        <f>IF(BU13="",0,IFERROR(INDEX($W$5:$W$86,MATCH(BU13,$V$5:$V$86,0)),0))</f>
        <v/>
      </c>
      <c r="BV103">
        <f>IF(BV13="",0,IFERROR(INDEX($W$5:$W$86,MATCH(BV13,$V$5:$V$86,0)),0))</f>
        <v/>
      </c>
      <c r="BW103">
        <f>IF(BW13="",0,IFERROR(INDEX($W$5:$W$86,MATCH(BW13,$V$5:$V$86,0)),0))</f>
        <v/>
      </c>
      <c r="BX103">
        <f>IF(BX13="",0,IFERROR(INDEX($W$5:$W$86,MATCH(BX13,$V$5:$V$86,0)),0))</f>
        <v/>
      </c>
      <c r="BY103">
        <f>IF(BY13="",0,IFERROR(INDEX($W$5:$W$86,MATCH(BY13,$V$5:$V$86,0)),0))</f>
        <v/>
      </c>
      <c r="BZ103">
        <f>IF(BZ13="",0,IFERROR(INDEX($W$5:$W$86,MATCH(BZ13,$V$5:$V$86,0)),0))</f>
        <v/>
      </c>
      <c r="CA103">
        <f>IF(CA13="",0,IFERROR(INDEX($W$5:$W$86,MATCH(CA13,$V$5:$V$86,0)),0))</f>
        <v/>
      </c>
      <c r="CB103">
        <f>IF(CB13="",0,IFERROR(INDEX($W$5:$W$86,MATCH(CB13,$V$5:$V$86,0)),0))</f>
        <v/>
      </c>
      <c r="CC103">
        <f>IF(CC13="",0,IFERROR(INDEX($W$5:$W$86,MATCH(CC13,$V$5:$V$86,0)),0))</f>
        <v/>
      </c>
      <c r="CD103">
        <f>IF(CD13="",0,IFERROR(INDEX($W$5:$W$86,MATCH(CD13,$V$5:$V$86,0)),0))</f>
        <v/>
      </c>
      <c r="CE103">
        <f>IF(CE13="",0,IFERROR(INDEX($W$5:$W$86,MATCH(CE13,$V$5:$V$86,0)),0))</f>
        <v/>
      </c>
      <c r="CF103">
        <f>IF(CF13="",0,IFERROR(INDEX($W$5:$W$86,MATCH(CF13,$V$5:$V$86,0)),0))</f>
        <v/>
      </c>
      <c r="DA103" t="n">
        <v>99</v>
      </c>
      <c r="DB103">
        <f>IF($B$37=0,"",IFERROR(TRIM(SUBSTITUTE(SUBSTITUTE(SUBSTITUTE(SUBSTITUTE(INDEX(PASTE_ALL,99,$B$37)," "," "),CHAR(9)," "),CHAR(10)," "),CHAR(13)," ")),""))</f>
        <v/>
      </c>
      <c r="DC103">
        <f>IF(AND(99&gt;HEADER_ROW,UPPER(DB103)="LEGEND"),1,0)</f>
        <v/>
      </c>
      <c r="DE103" t="n">
        <v>99</v>
      </c>
      <c r="DF103">
        <f>HEADER_ROW+$DE103</f>
        <v/>
      </c>
      <c r="DG103">
        <f>IF(AND($DF103&lt;=1000,$DF103&lt;$B$8),1,0)</f>
        <v/>
      </c>
      <c r="DH103">
        <f>IF($DG103=1,IFERROR(INDEX($DB$5:$DB$1004,$DF103),""),"")</f>
        <v/>
      </c>
      <c r="DI103">
        <f>IF(AND($DG103=1,$DH103&lt;&gt;""),IFERROR(SUBSTITUTE(SUBSTITUTE(TRIM(SUBSTITUTE(SUBSTITUTE(SUBSTITUTE(SUBSTITUTE(IFERROR(INDEX(PASTE_ALL,$DF103,1)&amp;"","")&amp;"␟"&amp;IFERROR(INDEX(PASTE_ALL,$DF103,2)&amp;"","")&amp;"␟"&amp;IFERROR(INDEX(PASTE_ALL,$DF103,3)&amp;"","")&amp;"␟"&amp;IFERROR(INDEX(PASTE_ALL,$DF103,4)&amp;"","")&amp;"␟"&amp;IFERROR(INDEX(PASTE_ALL,$DF103,5)&amp;"","")&amp;"␟"&amp;IFERROR(INDEX(PASTE_ALL,$DF103,6)&amp;"","")&amp;"␟"&amp;IFERROR(INDEX(PASTE_ALL,$DF103,7)&amp;"","")&amp;"␟"&amp;IFERROR(INDEX(PASTE_ALL,$DF103,8)&amp;"","")&amp;"␟"&amp;IFERROR(INDEX(PASTE_ALL,$DF103,9)&amp;"","")&amp;"␟"&amp;IFERROR(INDEX(PASTE_ALL,$DF103,10)&amp;"","")&amp;"␟"&amp;IFERROR(INDEX(PASTE_ALL,$DF103,11)&amp;"","")&amp;"␟"&amp;IFERROR(INDEX(PASTE_ALL,$DF103,12)&amp;"","")&amp;"␟"&amp;IFERROR(INDEX(PASTE_ALL,$DF103,13)&amp;"","")&amp;"␟"&amp;IFERROR(INDEX(PASTE_ALL,$DF103,14)&amp;"","")&amp;"␟"&amp;IFERROR(INDEX(PASTE_ALL,$DF103,15)&amp;"","")&amp;"␟"&amp;IFERROR(INDEX(PASTE_ALL,$DF103,16)&amp;"","")&amp;"␟"&amp;IFERROR(INDEX(PASTE_ALL,$DF103,17)&amp;"","")&amp;"␟"&amp;IFERROR(INDEX(PASTE_ALL,$DF103,18)&amp;"","")&amp;"␟"&amp;IFERROR(INDEX(PASTE_ALL,$DF103,19)&amp;"","")&amp;"␟"&amp;IFERROR(INDEX(PASTE_ALL,$DF103,20)&amp;"","")&amp;"␟"&amp;IFERROR(INDEX(PASTE_ALL,$DF103,21)&amp;"","")&amp;"␟"&amp;IFERROR(INDEX(PASTE_ALL,$DF103,22)&amp;"","")&amp;"␟"&amp;IFERROR(INDEX(PASTE_ALL,$DF103,23)&amp;"","")&amp;"␟"&amp;IFERROR(INDEX(PASTE_ALL,$DF103,24)&amp;"","")&amp;"␟"&amp;IFERROR(INDEX(PASTE_ALL,$DF103,25)&amp;"","")&amp;"␟"&amp;IFERROR(INDEX(PASTE_ALL,$DF103,26)&amp;"","")&amp;"␟"&amp;IFERROR(INDEX(PASTE_ALL,$DF103,27)&amp;"","")&amp;"␟"&amp;IFERROR(INDEX(PASTE_ALL,$DF103,28)&amp;"","")&amp;"␟"&amp;IFERROR(INDEX(PASTE_ALL,$DF103,29)&amp;"","")&amp;"␟"&amp;IFERROR(INDEX(PASTE_ALL,$DF103,30)&amp;"","")&amp;"␟"&amp;IFERROR(INDEX(PASTE_ALL,$DF103,31)&amp;"","")&amp;"␟"&amp;IFERROR(INDEX(PASTE_ALL,$DF103,32)&amp;"","")&amp;"␟"&amp;IFERROR(INDEX(PASTE_ALL,$DF103,33)&amp;"","")&amp;"␟"&amp;IFERROR(INDEX(PASTE_ALL,$DF103,34)&amp;"","")&amp;"␟"&amp;IFERROR(INDEX(PASTE_ALL,$DF103,35)&amp;"","")&amp;"␟"&amp;IFERROR(INDEX(PASTE_ALL,$DF103,36)&amp;"","")&amp;"␟"&amp;IFERROR(INDEX(PASTE_ALL,$DF103,37)&amp;"","")&amp;"␟"&amp;IFERROR(INDEX(PASTE_ALL,$DF103,38)&amp;"","")&amp;"␟"&amp;IFERROR(INDEX(PASTE_ALL,$DF103,39)&amp;"","")&amp;"␟"&amp;IFERROR(INDEX(PASTE_ALL,$DF103,40)&amp;"","")&amp;"␟"&amp;IFERROR(INDEX(PASTE_ALL,$DF103,41)&amp;"","")&amp;"␟"&amp;IFERROR(INDEX(PASTE_ALL,$DF103,42)&amp;"","")&amp;"␟"&amp;IFERROR(INDEX(PASTE_ALL,$DF103,43)&amp;"","")&amp;"␟"&amp;IFERROR(INDEX(PASTE_ALL,$DF103,44)&amp;"","")&amp;"␟"&amp;IFERROR(INDEX(PASTE_ALL,$DF103,45)&amp;"","")&amp;"␟"&amp;IFERROR(INDEX(PASTE_ALL,$DF103,46)&amp;"","")&amp;"␟"&amp;IFERROR(INDEX(PASTE_ALL,$DF103,47)&amp;"","")&amp;"␟"&amp;IFERROR(INDEX(PASTE_ALL,$DF103,48)&amp;"","")&amp;"␟"&amp;IFERROR(INDEX(PASTE_ALL,$DF103,49)&amp;"","")&amp;"␟"&amp;IFERROR(INDEX(PASTE_ALL,$DF103,50)&amp;"","")&amp;"␟"&amp;IFERROR(INDEX(PASTE_ALL,$DF103,51)&amp;"","")&amp;"␟"&amp;IFERROR(INDEX(PASTE_ALL,$DF103,52)&amp;"","")&amp;"␟"&amp;IFERROR(INDEX(PASTE_ALL,$DF103,53)&amp;"","")&amp;"␟"&amp;IFERROR(INDEX(PASTE_ALL,$DF103,54)&amp;"","")&amp;"␟"&amp;IFERROR(INDEX(PASTE_ALL,$DF103,55)&amp;"","")&amp;"␟"&amp;IFERROR(INDEX(PASTE_ALL,$DF103,56)&amp;"","")&amp;"␟"&amp;IFERROR(INDEX(PASTE_ALL,$DF103,57)&amp;"","")&amp;"␟"&amp;IFERROR(INDEX(PASTE_ALL,$DF103,58)&amp;"","")&amp;"␟"&amp;IFERROR(INDEX(PASTE_ALL,$DF103,59)&amp;"","")&amp;"␟"&amp;IFERROR(INDEX(PASTE_ALL,$DF103,60)&amp;"","")," "," "),CHAR(9)," "),CHAR(10)," "),CHAR(13)," "))," ␟","␟"),"␟ ","␟"),"#"&amp;$DE103),"")</f>
        <v/>
      </c>
      <c r="DJ103">
        <f>IF($DI103="",0,IF(SUMPRODUCT(--EXACT($DI$4:DI102,$DI103))&gt;0,1,0))</f>
        <v/>
      </c>
      <c r="DK103">
        <f>IF(AND($DI103&lt;&gt;"",$DJ103=0),1,0)</f>
        <v/>
      </c>
      <c r="DL103">
        <f>DL102+$DK103</f>
        <v/>
      </c>
      <c r="DM103">
        <f>IF(AND($DK103=1,$DL103&lt;=600),1,0)</f>
        <v/>
      </c>
      <c r="DN103">
        <f>IF($DM103=0,"",IF($L$6=0,"",IFERROR(IF(ISNUMBER(INDEX(PASTE_ALL,$DF103,$L$6)),INDEX(PASTE_ALL,$DF103,$L$6),TRIM(SUBSTITUTE(SUBSTITUTE(SUBSTITUTE(SUBSTITUTE(INDEX(PASTE_ALL,$DF103,$L$6)," "," "),CHAR(9)," "),CHAR(10)," "),CHAR(13)," "))),"")))</f>
        <v/>
      </c>
      <c r="DO103">
        <f>IF($DM103=0,"",IF($L$7=0,"",IFERROR(IF(ISNUMBER(INDEX(PASTE_ALL,$DF103,$L$7)),INDEX(PASTE_ALL,$DF103,$L$7),TRIM(SUBSTITUTE(SUBSTITUTE(SUBSTITUTE(SUBSTITUTE(INDEX(PASTE_ALL,$DF103,$L$7)," "," "),CHAR(9)," "),CHAR(10)," "),CHAR(13)," "))),"")))</f>
        <v/>
      </c>
      <c r="DP103">
        <f>IF($DM103=0,"",IF($L$8=0,"",IFERROR(IF(ISNUMBER(INDEX(PASTE_ALL,$DF103,$L$8)),INDEX(PASTE_ALL,$DF103,$L$8),TRIM(SUBSTITUTE(SUBSTITUTE(SUBSTITUTE(SUBSTITUTE(INDEX(PASTE_ALL,$DF103,$L$8)," "," "),CHAR(9)," "),CHAR(10)," "),CHAR(13)," "))),"")))</f>
        <v/>
      </c>
      <c r="DQ103">
        <f>IF($DM103=0,"",IF($L$9=0,"",IFERROR(IF(ISNUMBER(INDEX(PASTE_ALL,$DF103,$L$9)),INDEX(PASTE_ALL,$DF103,$L$9),TRIM(SUBSTITUTE(SUBSTITUTE(SUBSTITUTE(SUBSTITUTE(INDEX(PASTE_ALL,$DF103,$L$9)," "," "),CHAR(9)," "),CHAR(10)," "),CHAR(13)," "))),"")))</f>
        <v/>
      </c>
      <c r="DR103">
        <f>IF($DM103=0,"",IF($L$10=0,"",IFERROR(IF(ISNUMBER(INDEX(PASTE_ALL,$DF103,$L$10)),INDEX(PASTE_ALL,$DF103,$L$10),TRIM(SUBSTITUTE(SUBSTITUTE(SUBSTITUTE(SUBSTITUTE(INDEX(PASTE_ALL,$DF103,$L$10)," "," "),CHAR(9)," "),CHAR(10)," "),CHAR(13)," "))),"")))</f>
        <v/>
      </c>
      <c r="DS103">
        <f>IF($DM103=0,"",IF($L$11=0,"",IFERROR(IF(ISNUMBER(INDEX(PASTE_ALL,$DF103,$L$11)),INDEX(PASTE_ALL,$DF103,$L$11),TRIM(SUBSTITUTE(SUBSTITUTE(SUBSTITUTE(SUBSTITUTE(INDEX(PASTE_ALL,$DF103,$L$11)," "," "),CHAR(9)," "),CHAR(10)," "),CHAR(13)," "))),"")))</f>
        <v/>
      </c>
      <c r="DT103">
        <f>IF($DM103=0,"",IF($L$12=0,"",IFERROR(IF(ISNUMBER(INDEX(PASTE_ALL,$DF103,$L$12)),INDEX(PASTE_ALL,$DF103,$L$12),TRIM(SUBSTITUTE(SUBSTITUTE(SUBSTITUTE(SUBSTITUTE(INDEX(PASTE_ALL,$DF103,$L$12)," "," "),CHAR(9)," "),CHAR(10)," "),CHAR(13)," "))),"")))</f>
        <v/>
      </c>
      <c r="DU103">
        <f>IF($DM103=0,"",IF($L$13=0,"",IFERROR(IF(ISNUMBER(INDEX(PASTE_ALL,$DF103,$L$13)),INDEX(PASTE_ALL,$DF103,$L$13),TRIM(SUBSTITUTE(SUBSTITUTE(SUBSTITUTE(SUBSTITUTE(INDEX(PASTE_ALL,$DF103,$L$13)," "," "),CHAR(9)," "),CHAR(10)," "),CHAR(13)," "))),"")))</f>
        <v/>
      </c>
      <c r="DV103">
        <f>IF($DM103=0,"",IF($L$14=0,"",IFERROR(IF(ISNUMBER(INDEX(PASTE_ALL,$DF103,$L$14)),INDEX(PASTE_ALL,$DF103,$L$14),TRIM(SUBSTITUTE(SUBSTITUTE(SUBSTITUTE(SUBSTITUTE(INDEX(PASTE_ALL,$DF103,$L$14)," "," "),CHAR(9)," "),CHAR(10)," "),CHAR(13)," "))),"")))</f>
        <v/>
      </c>
      <c r="DW103">
        <f>IF($DM103=0,"",IF($L$15=0,"",IFERROR(IF(ISNUMBER(INDEX(PASTE_ALL,$DF103,$L$15)),INDEX(PASTE_ALL,$DF103,$L$15),IF(SUMPRODUCT(--ISNUMBER(FIND({"A","B","C","D","E","F","G","H","I","J","K","L","M","N","O","P","Q","R","S","T","U","V","W","X","Y","Z","0","1","2","3","4","5","6","7","8","9"},UPPER(TRIM(SUBSTITUTE(SUBSTITUTE(SUBSTITUTE(SUBSTITUTE(INDEX(PASTE_ALL,$DF103,$L$15)," "," "),CHAR(9)," "),CHAR(10)," "),CHAR(13)," "))))))&gt;0,TRIM(SUBSTITUTE(SUBSTITUTE(SUBSTITUTE(SUBSTITUTE(INDEX(PASTE_ALL,$DF103,$L$15)," "," "),CHAR(9)," "),CHAR(10)," "),CHAR(13)," ")),"")),"")))</f>
        <v/>
      </c>
      <c r="DX103">
        <f>IF($DM103=0,"",IF($L$16=0,"",IFERROR(IF(ISNUMBER(INDEX(PASTE_ALL,$DF103,$L$16)),INDEX(PASTE_ALL,$DF103,$L$16),SUBSTITUTE(SUBSTITUTE(TRIM(SUBSTITUTE(SUBSTITUTE(SUBSTITUTE(SUBSTITUTE(INDEX(PASTE_ALL,$DF103,$L$16)," "," "),CHAR(9)," "),CHAR(10)," "),CHAR(13)," ")),",",""),"%","")),"")))</f>
        <v/>
      </c>
      <c r="DY103">
        <f>IF($DM103=0,"",IFERROR(IF(ISNUMBER($DX103),$DX103,IF($DX103="","",IF(TRIM($DX103)="",0,IF(AND(AND(SUBSTITUTE(SUBSTITUTE(SUBSTITUTE(SUBSTITUTE(SUBSTITUTE(SUBSTITUTE(SUBSTITUTE(SUBSTITUTE(SUBSTITUTE(SUBSTITUTE(SUBSTITUTE(SUBSTITUTE(SUBSTITUTE(SUBSTITUTE(UPPER(TRIM($DX103)),"0",""),"1",""),"2",""),"3",""),"4",""),"5",""),"6",""),"7",""),"8",""),"9",""),".",""),"+",""),"-",""),"E","")="",LEN(SUBSTITUTE(SUBSTITUTE(MID(UPPER(TRIM($DX103)),1+OR(LEFT(UPPER(TRIM($DX103)),1)="+",LEFT(UPPER(TRIM($DX103)),1)="-"),999),"E+","E"),"E-","E"))=LEN(SUBSTITUTE(SUBSTITUTE(SUBSTITUTE(SUBSTITUTE(MID(UPPER(TRIM($DX103)),1+OR(LEFT(UPPER(TRIM($DX103)),1)="+",LEFT(UPPER(TRIM($DX103)),1)="-"),999),"E+","E"),"E-","E"),"+",""),"-","")),LEN(UPPER(TRIM($DX103)))-LEN(SUBSTITUTE(UPPER(TRIM($DX103)),"E",""))&lt;2,LEN(UPPER(TRIM($DX103)))-LEN(SUBSTITUTE(UPPER(TRIM($DX103)),".",""))&lt;2,IFERROR(FIND(".",UPPER(TRIM($DX103))),0)&lt;IFERROR(FIND("E",UPPER(TRIM($DX103))),999)),ISNUMBER(VALUE(TRIM($DX103)))),VALUE(TRIM($DX103)),"")))),""))</f>
        <v/>
      </c>
      <c r="DZ103">
        <f>IF($DM103=0,"",IF($L$17=0,"",IFERROR(IF(ISNUMBER(INDEX(PASTE_ALL,$DF103,$L$17)),INDEX(PASTE_ALL,$DF103,$L$17),SUBSTITUTE(SUBSTITUTE(TRIM(SUBSTITUTE(SUBSTITUTE(SUBSTITUTE(SUBSTITUTE(INDEX(PASTE_ALL,$DF103,$L$17)," "," "),CHAR(9)," "),CHAR(10)," "),CHAR(13)," ")),",",""),"%","")),"")))</f>
        <v/>
      </c>
      <c r="EA103">
        <f>IF($DM103=0,"",IFERROR(IF(ISNUMBER($DZ103),$DZ103,IF($DZ103="","",IF(TRIM($DZ103)="",0,IF(AND(AND(SUBSTITUTE(SUBSTITUTE(SUBSTITUTE(SUBSTITUTE(SUBSTITUTE(SUBSTITUTE(SUBSTITUTE(SUBSTITUTE(SUBSTITUTE(SUBSTITUTE(SUBSTITUTE(SUBSTITUTE(SUBSTITUTE(SUBSTITUTE(UPPER(TRIM($DZ103)),"0",""),"1",""),"2",""),"3",""),"4",""),"5",""),"6",""),"7",""),"8",""),"9",""),".",""),"+",""),"-",""),"E","")="",LEN(SUBSTITUTE(SUBSTITUTE(MID(UPPER(TRIM($DZ103)),1+OR(LEFT(UPPER(TRIM($DZ103)),1)="+",LEFT(UPPER(TRIM($DZ103)),1)="-"),999),"E+","E"),"E-","E"))=LEN(SUBSTITUTE(SUBSTITUTE(SUBSTITUTE(SUBSTITUTE(MID(UPPER(TRIM($DZ103)),1+OR(LEFT(UPPER(TRIM($DZ103)),1)="+",LEFT(UPPER(TRIM($DZ103)),1)="-"),999),"E+","E"),"E-","E"),"+",""),"-","")),LEN(UPPER(TRIM($DZ103)))-LEN(SUBSTITUTE(UPPER(TRIM($DZ103)),"E",""))&lt;2,LEN(UPPER(TRIM($DZ103)))-LEN(SUBSTITUTE(UPPER(TRIM($DZ103)),".",""))&lt;2,IFERROR(FIND(".",UPPER(TRIM($DZ103))),0)&lt;IFERROR(FIND("E",UPPER(TRIM($DZ103))),999)),ISNUMBER(VALUE(TRIM($DZ103)))),VALUE(TRIM($DZ103)),"")))),""))</f>
        <v/>
      </c>
      <c r="EB103">
        <f>IF($DM103=0,"",IF($L$18=0,"",IFERROR(IF(UPPER(TRIM(SUBSTITUTE(SUBSTITUTE(SUBSTITUTE(SUBSTITUTE(INDEX(PASTE_ALL,$DF103,$L$18)," "," "),CHAR(9)," "),CHAR(10)," "),CHAR(13)," ")))="READY","Ready",IF(UPPER(TRIM(SUBSTITUTE(SUBSTITUTE(SUBSTITUTE(SUBSTITUTE(INDEX(PASTE_ALL,$DF103,$L$18)," "," "),CHAR(9)," "),CHAR(10)," "),CHAR(13)," ")))="PM","PM",IF(OR(UPPER(TRIM(SUBSTITUTE(SUBSTITUTE(SUBSTITUTE(SUBSTITUTE(INDEX(PASTE_ALL,$DF103,$L$18)," "," "),CHAR(9)," "),CHAR(10)," "),CHAR(13)," ")))="OT",UPPER(TRIM(SUBSTITUTE(SUBSTITUTE(SUBSTITUTE(SUBSTITUTE(INDEX(PASTE_ALL,$DF103,$L$18)," "," "),CHAR(9)," "),CHAR(10)," "),CHAR(13)," ")))="OVERTIME",UPPER(TRIM(SUBSTITUTE(SUBSTITUTE(SUBSTITUTE(SUBSTITUTE(INDEX(PASTE_ALL,$DF103,$L$18)," "," "),CHAR(9)," "),CHAR(10)," "),CHAR(13)," ")))="TRIAL"),"OT",TRIM(SUBSTITUTE(SUBSTITUTE(SUBSTITUTE(SUBSTITUTE(INDEX(PASTE_ALL,$DF103,$L$18)," "," "),CHAR(9)," "),CHAR(10)," "),CHAR(13)," "))))),"")))</f>
        <v/>
      </c>
      <c r="EC103">
        <f>IF($DM103=0,"",IF($L$19=0,"",IFERROR(IF(ISNUMBER(INDEX(PASTE_ALL,$DF103,$L$19)),INDEX(PASTE_ALL,$DF103,$L$19),TRIM(SUBSTITUTE(SUBSTITUTE(SUBSTITUTE(SUBSTITUTE(INDEX(PASTE_ALL,$DF103,$L$19)," "," "),CHAR(9)," "),CHAR(10)," "),CHAR(13)," "))),"")))</f>
        <v/>
      </c>
      <c r="ED103">
        <f>IF($DM103=0,"",MATCH(1,INDEX(EXACT($DH$5:DH103,$DH103)*$DM$5:DM103,0),0))</f>
        <v/>
      </c>
      <c r="EE103">
        <f>IF($DM103=0,0,IF($ED103=$DE103,1,0))</f>
        <v/>
      </c>
      <c r="EF103">
        <f>EF102+$EE103</f>
        <v/>
      </c>
      <c r="EG103">
        <f>IF($DM103=0,"",INDEX($EF$5:$EF$1003,$ED103))</f>
        <v/>
      </c>
      <c r="EH103">
        <f>IF($DM103=0,"",IF($DO103&lt;&gt;"","",IFERROR(LOOKUP(2,1/(($EG$4:EG102=$EG103)*($DO$4:DO102&lt;&gt;"")),$DO$4:DO102),"")))</f>
        <v/>
      </c>
      <c r="EI103">
        <f>IF($DM103=0,"",IF($DO103&lt;&gt;"",$DO103,$EH103))</f>
        <v/>
      </c>
      <c r="EJ103">
        <f>IF($DM103=0,"",IF($EI103="",0,IF(OR(ISNUMBER($EI103),AND(AND(SUBSTITUTE(SUBSTITUTE(SUBSTITUTE(SUBSTITUTE(SUBSTITUTE(SUBSTITUTE(SUBSTITUTE(SUBSTITUTE(SUBSTITUTE(SUBSTITUTE(SUBSTITUTE(SUBSTITUTE(SUBSTITUTE(SUBSTITUTE(UPPER($EI103),"0",""),"1",""),"2",""),"3",""),"4",""),"5",""),"6",""),"7",""),"8",""),"9",""),".",""),"+",""),"-",""),"E","")="",LEN(SUBSTITUTE(SUBSTITUTE(MID(UPPER($EI103),1+OR(LEFT(UPPER($EI103),1)="+",LEFT(UPPER($EI103),1)="-"),999),"E+","E"),"E-","E"))=LEN(SUBSTITUTE(SUBSTITUTE(SUBSTITUTE(SUBSTITUTE(MID(UPPER($EI103),1+OR(LEFT(UPPER($EI103),1)="+",LEFT(UPPER($EI103),1)="-"),999),"E+","E"),"E-","E"),"+",""),"-","")),LEN(UPPER($EI103))-LEN(SUBSTITUTE(UPPER($EI103),"E",""))&lt;2,LEN(UPPER($EI103))-LEN(SUBSTITUTE(UPPER($EI103),".",""))&lt;2,IFERROR(FIND(".",UPPER($EI103)),0)&lt;IFERROR(FIND("E",UPPER($EI103)),999)),ISNUMBER(VALUE($EI103)))),1,2)))</f>
        <v/>
      </c>
      <c r="EK103">
        <f>IF($DM103=0,"",IF($EJ103=1,IF(ISNUMBER($EI103),$EI103,VALUE($EI103)),IF($EJ103=2,$DE103,0)))</f>
        <v/>
      </c>
      <c r="EL103">
        <f>IF($DM103=0,"",COUNTIF($EG$5:$EG$1003,"&lt;"&amp;$EG103)+SUMPRODUCT(($EG$5:$EG$1003=$EG103)*(($EJ$5:$EJ$1003&lt;$EJ103)+($EJ$5:$EJ$1003=$EJ103)*(($EK$5:$EK$1003&lt;$EK103)+($EK$5:$EK$1003=$EK103)*($DE$5:$DE$1003&lt;$DE103))))+1)</f>
        <v/>
      </c>
      <c r="EM103">
        <f>IF($DM103=0,"",$EL103+$EG103-1)</f>
        <v/>
      </c>
      <c r="EN103">
        <f>IF($DM103=0,0,IFERROR(MATCH(1,INDEX(--(TRIM(SUBSTITUTE(SUBSTITUTE(SUBSTITUTE(SUBSTITUTE(LINES_NAME&amp;""," "," "),CHAR(9)," "),CHAR(10)," "),CHAR(13)," "))=$DH103),0),0),0))</f>
        <v/>
      </c>
      <c r="EO103">
        <f>IF($EN103=0,0,IF(OR(UPPER(TRIM(INDEX(LINES_SCHEDULED,$EN103)&amp;""))="YES",UPPER(TRIM(INDEX(LINES_SCHEDULED,$EN103)&amp;""))="Y",UPPER(TRIM(INDEX(LINES_SCHEDULED,$EN103)&amp;""))="X"),1,0))</f>
        <v/>
      </c>
      <c r="EP103">
        <f>IF($DM103=0,"",IF(COUNTIFS($EG$5:$EG$1003,$EG103,$EB$5:$EB$1003,"Ready")&gt;0,"READY",IF(COUNTIFS($EG$5:$EG$1003,$EG103,$EB$5:$EB$1003,"PM")&gt;0,"PM",IF(COUNTIFS($EG$5:$EG$1003,$EG103,$EB$5:$EB$1003,"OT")&gt;0,"OT",""))))</f>
        <v/>
      </c>
      <c r="EQ103">
        <f>IF($EN103=0,"",UPPER(TRIM(INDEX(LINES_STATUS,$EN103)&amp;"")))</f>
        <v/>
      </c>
      <c r="ER103">
        <f>IF($DM103=0,"",IF(OR($EQ103="READY",$EQ103="PM",$EQ103="OT"),$EQ103,$EP103))</f>
        <v/>
      </c>
      <c r="ES103">
        <f>IF($DM103=0,"",IF(AND($DV103&lt;&gt;"",UPPER($DV103)&lt;&gt;"N"),"allergen",IF(ISNUMBER(SEARCH("oil",$DQ103)),"oil",IF(OR(EXACT($DS103,"A662"),EXACT($DS103,"A624")),"bulk",""))))</f>
        <v/>
      </c>
      <c r="ET103">
        <f>IF($DM103=0,"",IF(OR($EA103="",$EA103=0),"",$EA103/100))</f>
        <v/>
      </c>
      <c r="EU103">
        <f>IF(OR($ET103="",$DY103=""),"",INT($DY103*(1-$ET103)+0.5))</f>
        <v/>
      </c>
      <c r="EW103" t="n">
        <v>99</v>
      </c>
      <c r="EX103">
        <f>IFERROR(MATCH($EW103,$EM$5:$EM$1003,0),0)</f>
        <v/>
      </c>
      <c r="EY103">
        <f>IF($EW103&gt;$B$12,"",IF($EX103&gt;0,"row","spacer"))</f>
        <v/>
      </c>
      <c r="EZ103">
        <f>IF(AND($EY103="row",$EY102&lt;&gt;"row"),1,0)</f>
        <v/>
      </c>
      <c r="FA103">
        <f>IF(AND($EY103="row",$EY104&lt;&gt;"row"),1,0)</f>
        <v/>
      </c>
      <c r="FB103">
        <f>IF($EZ103=1,IFERROR(IF(ISNUMBER(INDEX(PASTE_ALL,INDEX($DF$5:$DF$1003,$EX103),$B$37)),INDEX(PASTE_ALL,INDEX($DF$5:$DF$1003,$EX103),$B$37),INDEX($DH$5:$DH$1003,$EX103)),INDEX($DH$5:$DH$1003,$EX103)),"")</f>
        <v/>
      </c>
      <c r="FC103">
        <f>IF($EY103="row",INDEX($ER$5:$ER$1003,$EX103),"")</f>
        <v/>
      </c>
      <c r="FD103">
        <f>IF($EY103="row",INDEX($DN$5:$DN$1003,$EX103),"")</f>
        <v/>
      </c>
      <c r="FE103">
        <f>IF($EY103="row",INDEX($DO$5:$DO$1003,$EX103),"")</f>
        <v/>
      </c>
      <c r="FF103">
        <f>IF($EY103="row",INDEX($DP$5:$DP$1003,$EX103),"")</f>
        <v/>
      </c>
      <c r="FG103">
        <f>IF($EY103="row",INDEX($DQ$5:$DQ$1003,$EX103),"")</f>
        <v/>
      </c>
      <c r="FH103">
        <f>IF($EY103="row",INDEX($DR$5:$DR$1003,$EX103),"")</f>
        <v/>
      </c>
      <c r="FI103">
        <f>IF($EY103="row",INDEX($DS$5:$DS$1003,$EX103),"")</f>
        <v/>
      </c>
      <c r="FJ103">
        <f>IF($EY103="row",INDEX($DT$5:$DT$1003,$EX103),"")</f>
        <v/>
      </c>
      <c r="FK103">
        <f>IF($EY103="row",INDEX($DU$5:$DU$1003,$EX103),"")</f>
        <v/>
      </c>
      <c r="FL103">
        <f>IF($EY103="row",INDEX($DV$5:$DV$1003,$EX103),"")</f>
        <v/>
      </c>
      <c r="FM103">
        <f>IF($EY103="row",INDEX($DW$5:$DW$1003,$EX103),"")</f>
        <v/>
      </c>
      <c r="FN103">
        <f>IF($EY103="row",INDEX($DY$5:$DY$1003,$EX103),"")</f>
        <v/>
      </c>
      <c r="FO103">
        <f>IF($EY103="row",INDEX($EA$5:$EA$1003,$EX103),"")</f>
        <v/>
      </c>
      <c r="FP103">
        <f>IF($EY103="row",INDEX($EC$5:$EC$1003,$EX103),"")</f>
        <v/>
      </c>
      <c r="FQ103">
        <f>IF($EY103="row",INDEX($ET$5:$ET$1003,$EX103),"")</f>
        <v/>
      </c>
      <c r="FR103">
        <f>IF($EY103="row",INDEX($EU$5:$EU$1003,$EX103),"")</f>
        <v/>
      </c>
      <c r="FS103">
        <f>IF(AND($EY103="row",$EY102="row"),IF(OR(INDEX($DT$5:$DT$1003,$EX102)="",INDEX($DT$5:$DT$1003,$EX103)=""),"",IF(NOT(EXACT(INDEX($DT$5:$DT$1003,$EX102),INDEX($DT$5:$DT$1003,$EX103))),"S4",IF(NOT(EXACT(INDEX($DS$5:$DS$1003,$EX102),INDEX($DS$5:$DS$1003,$EX103))),"S3",IF(NOT(EXACT(INDEX($DR$5:$DR$1003,$EX102),INDEX($DR$5:$DR$1003,$EX103))),"S1 Count Change","S1")))),"")</f>
        <v/>
      </c>
      <c r="FT103">
        <f>IF($EY103="row",INDEX($ES$5:$ES$1003,$EX103),"")</f>
        <v/>
      </c>
      <c r="FU103">
        <f>IF($EY103="row",INDEX($EO$5:$EO$1003,$EX103),0)</f>
        <v/>
      </c>
      <c r="FV103">
        <f>IF($FS103="S1 Count Change",1,0)</f>
        <v/>
      </c>
      <c r="FX103" t="n">
        <v>99</v>
      </c>
      <c r="FY103">
        <f>IFERROR(MATCH($FX103,$EF$5:$EF$1003,0),0)</f>
        <v/>
      </c>
      <c r="FZ103">
        <f>IF($FY103=0,"",INDEX($DH$5:$DH$1003,$FY103))</f>
        <v/>
      </c>
      <c r="GA103">
        <f>IF($FY103=0,"",COUNTIF($EG$5:$EG$1003,$FX103))</f>
        <v/>
      </c>
      <c r="GB103">
        <f>IF($FY103=0,"",INDEX($ER$5:$ER$1003,$FY103))</f>
        <v/>
      </c>
      <c r="GC103">
        <f>IF($FY103=0,"",IF(INDEX($EO$5:$EO$1003,$FY103)=1,"Yes",""))</f>
        <v/>
      </c>
      <c r="GD103">
        <f>IF($FY103=0,"",IF(INDEX($EN$5:$EN$1003,$FY103)&gt;0,"","NOT IN YOUR LIST - type it in column A to tick it"))</f>
        <v/>
      </c>
      <c r="GE103">
        <f>IF(AND($FY103&gt;0,$GD103&lt;&gt;""),1,0)</f>
        <v/>
      </c>
      <c r="GF103">
        <f>GF102+$GE103</f>
        <v/>
      </c>
      <c r="GG103">
        <f>IFERROR(INDEX($FZ$5:$FZ$104,MATCH($FX103,$GF$5:$GF$104,0)),"")</f>
        <v/>
      </c>
    </row>
    <row r="104">
      <c r="Y104">
        <f>IF(Y14="",0,IFERROR(INDEX($W$5:$W$86,MATCH(Y14,$V$5:$V$86,0)),0))</f>
        <v/>
      </c>
      <c r="Z104">
        <f>IF(Z14="",0,IFERROR(INDEX($W$5:$W$86,MATCH(Z14,$V$5:$V$86,0)),0))</f>
        <v/>
      </c>
      <c r="AA104">
        <f>IF(AA14="",0,IFERROR(INDEX($W$5:$W$86,MATCH(AA14,$V$5:$V$86,0)),0))</f>
        <v/>
      </c>
      <c r="AB104">
        <f>IF(AB14="",0,IFERROR(INDEX($W$5:$W$86,MATCH(AB14,$V$5:$V$86,0)),0))</f>
        <v/>
      </c>
      <c r="AC104">
        <f>IF(AC14="",0,IFERROR(INDEX($W$5:$W$86,MATCH(AC14,$V$5:$V$86,0)),0))</f>
        <v/>
      </c>
      <c r="AD104">
        <f>IF(AD14="",0,IFERROR(INDEX($W$5:$W$86,MATCH(AD14,$V$5:$V$86,0)),0))</f>
        <v/>
      </c>
      <c r="AE104">
        <f>IF(AE14="",0,IFERROR(INDEX($W$5:$W$86,MATCH(AE14,$V$5:$V$86,0)),0))</f>
        <v/>
      </c>
      <c r="AF104">
        <f>IF(AF14="",0,IFERROR(INDEX($W$5:$W$86,MATCH(AF14,$V$5:$V$86,0)),0))</f>
        <v/>
      </c>
      <c r="AG104">
        <f>IF(AG14="",0,IFERROR(INDEX($W$5:$W$86,MATCH(AG14,$V$5:$V$86,0)),0))</f>
        <v/>
      </c>
      <c r="AH104">
        <f>IF(AH14="",0,IFERROR(INDEX($W$5:$W$86,MATCH(AH14,$V$5:$V$86,0)),0))</f>
        <v/>
      </c>
      <c r="AI104">
        <f>IF(AI14="",0,IFERROR(INDEX($W$5:$W$86,MATCH(AI14,$V$5:$V$86,0)),0))</f>
        <v/>
      </c>
      <c r="AJ104">
        <f>IF(AJ14="",0,IFERROR(INDEX($W$5:$W$86,MATCH(AJ14,$V$5:$V$86,0)),0))</f>
        <v/>
      </c>
      <c r="AK104">
        <f>IF(AK14="",0,IFERROR(INDEX($W$5:$W$86,MATCH(AK14,$V$5:$V$86,0)),0))</f>
        <v/>
      </c>
      <c r="AL104">
        <f>IF(AL14="",0,IFERROR(INDEX($W$5:$W$86,MATCH(AL14,$V$5:$V$86,0)),0))</f>
        <v/>
      </c>
      <c r="AM104">
        <f>IF(AM14="",0,IFERROR(INDEX($W$5:$W$86,MATCH(AM14,$V$5:$V$86,0)),0))</f>
        <v/>
      </c>
      <c r="AN104">
        <f>IF(AN14="",0,IFERROR(INDEX($W$5:$W$86,MATCH(AN14,$V$5:$V$86,0)),0))</f>
        <v/>
      </c>
      <c r="AO104">
        <f>IF(AO14="",0,IFERROR(INDEX($W$5:$W$86,MATCH(AO14,$V$5:$V$86,0)),0))</f>
        <v/>
      </c>
      <c r="AP104">
        <f>IF(AP14="",0,IFERROR(INDEX($W$5:$W$86,MATCH(AP14,$V$5:$V$86,0)),0))</f>
        <v/>
      </c>
      <c r="AQ104">
        <f>IF(AQ14="",0,IFERROR(INDEX($W$5:$W$86,MATCH(AQ14,$V$5:$V$86,0)),0))</f>
        <v/>
      </c>
      <c r="AR104">
        <f>IF(AR14="",0,IFERROR(INDEX($W$5:$W$86,MATCH(AR14,$V$5:$V$86,0)),0))</f>
        <v/>
      </c>
      <c r="AS104">
        <f>IF(AS14="",0,IFERROR(INDEX($W$5:$W$86,MATCH(AS14,$V$5:$V$86,0)),0))</f>
        <v/>
      </c>
      <c r="AT104">
        <f>IF(AT14="",0,IFERROR(INDEX($W$5:$W$86,MATCH(AT14,$V$5:$V$86,0)),0))</f>
        <v/>
      </c>
      <c r="AU104">
        <f>IF(AU14="",0,IFERROR(INDEX($W$5:$W$86,MATCH(AU14,$V$5:$V$86,0)),0))</f>
        <v/>
      </c>
      <c r="AV104">
        <f>IF(AV14="",0,IFERROR(INDEX($W$5:$W$86,MATCH(AV14,$V$5:$V$86,0)),0))</f>
        <v/>
      </c>
      <c r="AW104">
        <f>IF(AW14="",0,IFERROR(INDEX($W$5:$W$86,MATCH(AW14,$V$5:$V$86,0)),0))</f>
        <v/>
      </c>
      <c r="AX104">
        <f>IF(AX14="",0,IFERROR(INDEX($W$5:$W$86,MATCH(AX14,$V$5:$V$86,0)),0))</f>
        <v/>
      </c>
      <c r="AY104">
        <f>IF(AY14="",0,IFERROR(INDEX($W$5:$W$86,MATCH(AY14,$V$5:$V$86,0)),0))</f>
        <v/>
      </c>
      <c r="AZ104">
        <f>IF(AZ14="",0,IFERROR(INDEX($W$5:$W$86,MATCH(AZ14,$V$5:$V$86,0)),0))</f>
        <v/>
      </c>
      <c r="BA104">
        <f>IF(BA14="",0,IFERROR(INDEX($W$5:$W$86,MATCH(BA14,$V$5:$V$86,0)),0))</f>
        <v/>
      </c>
      <c r="BB104">
        <f>IF(BB14="",0,IFERROR(INDEX($W$5:$W$86,MATCH(BB14,$V$5:$V$86,0)),0))</f>
        <v/>
      </c>
      <c r="BC104">
        <f>IF(BC14="",0,IFERROR(INDEX($W$5:$W$86,MATCH(BC14,$V$5:$V$86,0)),0))</f>
        <v/>
      </c>
      <c r="BD104">
        <f>IF(BD14="",0,IFERROR(INDEX($W$5:$W$86,MATCH(BD14,$V$5:$V$86,0)),0))</f>
        <v/>
      </c>
      <c r="BE104">
        <f>IF(BE14="",0,IFERROR(INDEX($W$5:$W$86,MATCH(BE14,$V$5:$V$86,0)),0))</f>
        <v/>
      </c>
      <c r="BF104">
        <f>IF(BF14="",0,IFERROR(INDEX($W$5:$W$86,MATCH(BF14,$V$5:$V$86,0)),0))</f>
        <v/>
      </c>
      <c r="BG104">
        <f>IF(BG14="",0,IFERROR(INDEX($W$5:$W$86,MATCH(BG14,$V$5:$V$86,0)),0))</f>
        <v/>
      </c>
      <c r="BH104">
        <f>IF(BH14="",0,IFERROR(INDEX($W$5:$W$86,MATCH(BH14,$V$5:$V$86,0)),0))</f>
        <v/>
      </c>
      <c r="BI104">
        <f>IF(BI14="",0,IFERROR(INDEX($W$5:$W$86,MATCH(BI14,$V$5:$V$86,0)),0))</f>
        <v/>
      </c>
      <c r="BJ104">
        <f>IF(BJ14="",0,IFERROR(INDEX($W$5:$W$86,MATCH(BJ14,$V$5:$V$86,0)),0))</f>
        <v/>
      </c>
      <c r="BK104">
        <f>IF(BK14="",0,IFERROR(INDEX($W$5:$W$86,MATCH(BK14,$V$5:$V$86,0)),0))</f>
        <v/>
      </c>
      <c r="BL104">
        <f>IF(BL14="",0,IFERROR(INDEX($W$5:$W$86,MATCH(BL14,$V$5:$V$86,0)),0))</f>
        <v/>
      </c>
      <c r="BM104">
        <f>IF(BM14="",0,IFERROR(INDEX($W$5:$W$86,MATCH(BM14,$V$5:$V$86,0)),0))</f>
        <v/>
      </c>
      <c r="BN104">
        <f>IF(BN14="",0,IFERROR(INDEX($W$5:$W$86,MATCH(BN14,$V$5:$V$86,0)),0))</f>
        <v/>
      </c>
      <c r="BO104">
        <f>IF(BO14="",0,IFERROR(INDEX($W$5:$W$86,MATCH(BO14,$V$5:$V$86,0)),0))</f>
        <v/>
      </c>
      <c r="BP104">
        <f>IF(BP14="",0,IFERROR(INDEX($W$5:$W$86,MATCH(BP14,$V$5:$V$86,0)),0))</f>
        <v/>
      </c>
      <c r="BQ104">
        <f>IF(BQ14="",0,IFERROR(INDEX($W$5:$W$86,MATCH(BQ14,$V$5:$V$86,0)),0))</f>
        <v/>
      </c>
      <c r="BR104">
        <f>IF(BR14="",0,IFERROR(INDEX($W$5:$W$86,MATCH(BR14,$V$5:$V$86,0)),0))</f>
        <v/>
      </c>
      <c r="BS104">
        <f>IF(BS14="",0,IFERROR(INDEX($W$5:$W$86,MATCH(BS14,$V$5:$V$86,0)),0))</f>
        <v/>
      </c>
      <c r="BT104">
        <f>IF(BT14="",0,IFERROR(INDEX($W$5:$W$86,MATCH(BT14,$V$5:$V$86,0)),0))</f>
        <v/>
      </c>
      <c r="BU104">
        <f>IF(BU14="",0,IFERROR(INDEX($W$5:$W$86,MATCH(BU14,$V$5:$V$86,0)),0))</f>
        <v/>
      </c>
      <c r="BV104">
        <f>IF(BV14="",0,IFERROR(INDEX($W$5:$W$86,MATCH(BV14,$V$5:$V$86,0)),0))</f>
        <v/>
      </c>
      <c r="BW104">
        <f>IF(BW14="",0,IFERROR(INDEX($W$5:$W$86,MATCH(BW14,$V$5:$V$86,0)),0))</f>
        <v/>
      </c>
      <c r="BX104">
        <f>IF(BX14="",0,IFERROR(INDEX($W$5:$W$86,MATCH(BX14,$V$5:$V$86,0)),0))</f>
        <v/>
      </c>
      <c r="BY104">
        <f>IF(BY14="",0,IFERROR(INDEX($W$5:$W$86,MATCH(BY14,$V$5:$V$86,0)),0))</f>
        <v/>
      </c>
      <c r="BZ104">
        <f>IF(BZ14="",0,IFERROR(INDEX($W$5:$W$86,MATCH(BZ14,$V$5:$V$86,0)),0))</f>
        <v/>
      </c>
      <c r="CA104">
        <f>IF(CA14="",0,IFERROR(INDEX($W$5:$W$86,MATCH(CA14,$V$5:$V$86,0)),0))</f>
        <v/>
      </c>
      <c r="CB104">
        <f>IF(CB14="",0,IFERROR(INDEX($W$5:$W$86,MATCH(CB14,$V$5:$V$86,0)),0))</f>
        <v/>
      </c>
      <c r="CC104">
        <f>IF(CC14="",0,IFERROR(INDEX($W$5:$W$86,MATCH(CC14,$V$5:$V$86,0)),0))</f>
        <v/>
      </c>
      <c r="CD104">
        <f>IF(CD14="",0,IFERROR(INDEX($W$5:$W$86,MATCH(CD14,$V$5:$V$86,0)),0))</f>
        <v/>
      </c>
      <c r="CE104">
        <f>IF(CE14="",0,IFERROR(INDEX($W$5:$W$86,MATCH(CE14,$V$5:$V$86,0)),0))</f>
        <v/>
      </c>
      <c r="CF104">
        <f>IF(CF14="",0,IFERROR(INDEX($W$5:$W$86,MATCH(CF14,$V$5:$V$86,0)),0))</f>
        <v/>
      </c>
      <c r="DA104" t="n">
        <v>100</v>
      </c>
      <c r="DB104">
        <f>IF($B$37=0,"",IFERROR(TRIM(SUBSTITUTE(SUBSTITUTE(SUBSTITUTE(SUBSTITUTE(INDEX(PASTE_ALL,100,$B$37)," "," "),CHAR(9)," "),CHAR(10)," "),CHAR(13)," ")),""))</f>
        <v/>
      </c>
      <c r="DC104">
        <f>IF(AND(100&gt;HEADER_ROW,UPPER(DB104)="LEGEND"),1,0)</f>
        <v/>
      </c>
      <c r="DE104" t="n">
        <v>100</v>
      </c>
      <c r="DF104">
        <f>HEADER_ROW+$DE104</f>
        <v/>
      </c>
      <c r="DG104">
        <f>IF(AND($DF104&lt;=1000,$DF104&lt;$B$8),1,0)</f>
        <v/>
      </c>
      <c r="DH104">
        <f>IF($DG104=1,IFERROR(INDEX($DB$5:$DB$1004,$DF104),""),"")</f>
        <v/>
      </c>
      <c r="DI104">
        <f>IF(AND($DG104=1,$DH104&lt;&gt;""),IFERROR(SUBSTITUTE(SUBSTITUTE(TRIM(SUBSTITUTE(SUBSTITUTE(SUBSTITUTE(SUBSTITUTE(IFERROR(INDEX(PASTE_ALL,$DF104,1)&amp;"","")&amp;"␟"&amp;IFERROR(INDEX(PASTE_ALL,$DF104,2)&amp;"","")&amp;"␟"&amp;IFERROR(INDEX(PASTE_ALL,$DF104,3)&amp;"","")&amp;"␟"&amp;IFERROR(INDEX(PASTE_ALL,$DF104,4)&amp;"","")&amp;"␟"&amp;IFERROR(INDEX(PASTE_ALL,$DF104,5)&amp;"","")&amp;"␟"&amp;IFERROR(INDEX(PASTE_ALL,$DF104,6)&amp;"","")&amp;"␟"&amp;IFERROR(INDEX(PASTE_ALL,$DF104,7)&amp;"","")&amp;"␟"&amp;IFERROR(INDEX(PASTE_ALL,$DF104,8)&amp;"","")&amp;"␟"&amp;IFERROR(INDEX(PASTE_ALL,$DF104,9)&amp;"","")&amp;"␟"&amp;IFERROR(INDEX(PASTE_ALL,$DF104,10)&amp;"","")&amp;"␟"&amp;IFERROR(INDEX(PASTE_ALL,$DF104,11)&amp;"","")&amp;"␟"&amp;IFERROR(INDEX(PASTE_ALL,$DF104,12)&amp;"","")&amp;"␟"&amp;IFERROR(INDEX(PASTE_ALL,$DF104,13)&amp;"","")&amp;"␟"&amp;IFERROR(INDEX(PASTE_ALL,$DF104,14)&amp;"","")&amp;"␟"&amp;IFERROR(INDEX(PASTE_ALL,$DF104,15)&amp;"","")&amp;"␟"&amp;IFERROR(INDEX(PASTE_ALL,$DF104,16)&amp;"","")&amp;"␟"&amp;IFERROR(INDEX(PASTE_ALL,$DF104,17)&amp;"","")&amp;"␟"&amp;IFERROR(INDEX(PASTE_ALL,$DF104,18)&amp;"","")&amp;"␟"&amp;IFERROR(INDEX(PASTE_ALL,$DF104,19)&amp;"","")&amp;"␟"&amp;IFERROR(INDEX(PASTE_ALL,$DF104,20)&amp;"","")&amp;"␟"&amp;IFERROR(INDEX(PASTE_ALL,$DF104,21)&amp;"","")&amp;"␟"&amp;IFERROR(INDEX(PASTE_ALL,$DF104,22)&amp;"","")&amp;"␟"&amp;IFERROR(INDEX(PASTE_ALL,$DF104,23)&amp;"","")&amp;"␟"&amp;IFERROR(INDEX(PASTE_ALL,$DF104,24)&amp;"","")&amp;"␟"&amp;IFERROR(INDEX(PASTE_ALL,$DF104,25)&amp;"","")&amp;"␟"&amp;IFERROR(INDEX(PASTE_ALL,$DF104,26)&amp;"","")&amp;"␟"&amp;IFERROR(INDEX(PASTE_ALL,$DF104,27)&amp;"","")&amp;"␟"&amp;IFERROR(INDEX(PASTE_ALL,$DF104,28)&amp;"","")&amp;"␟"&amp;IFERROR(INDEX(PASTE_ALL,$DF104,29)&amp;"","")&amp;"␟"&amp;IFERROR(INDEX(PASTE_ALL,$DF104,30)&amp;"","")&amp;"␟"&amp;IFERROR(INDEX(PASTE_ALL,$DF104,31)&amp;"","")&amp;"␟"&amp;IFERROR(INDEX(PASTE_ALL,$DF104,32)&amp;"","")&amp;"␟"&amp;IFERROR(INDEX(PASTE_ALL,$DF104,33)&amp;"","")&amp;"␟"&amp;IFERROR(INDEX(PASTE_ALL,$DF104,34)&amp;"","")&amp;"␟"&amp;IFERROR(INDEX(PASTE_ALL,$DF104,35)&amp;"","")&amp;"␟"&amp;IFERROR(INDEX(PASTE_ALL,$DF104,36)&amp;"","")&amp;"␟"&amp;IFERROR(INDEX(PASTE_ALL,$DF104,37)&amp;"","")&amp;"␟"&amp;IFERROR(INDEX(PASTE_ALL,$DF104,38)&amp;"","")&amp;"␟"&amp;IFERROR(INDEX(PASTE_ALL,$DF104,39)&amp;"","")&amp;"␟"&amp;IFERROR(INDEX(PASTE_ALL,$DF104,40)&amp;"","")&amp;"␟"&amp;IFERROR(INDEX(PASTE_ALL,$DF104,41)&amp;"","")&amp;"␟"&amp;IFERROR(INDEX(PASTE_ALL,$DF104,42)&amp;"","")&amp;"␟"&amp;IFERROR(INDEX(PASTE_ALL,$DF104,43)&amp;"","")&amp;"␟"&amp;IFERROR(INDEX(PASTE_ALL,$DF104,44)&amp;"","")&amp;"␟"&amp;IFERROR(INDEX(PASTE_ALL,$DF104,45)&amp;"","")&amp;"␟"&amp;IFERROR(INDEX(PASTE_ALL,$DF104,46)&amp;"","")&amp;"␟"&amp;IFERROR(INDEX(PASTE_ALL,$DF104,47)&amp;"","")&amp;"␟"&amp;IFERROR(INDEX(PASTE_ALL,$DF104,48)&amp;"","")&amp;"␟"&amp;IFERROR(INDEX(PASTE_ALL,$DF104,49)&amp;"","")&amp;"␟"&amp;IFERROR(INDEX(PASTE_ALL,$DF104,50)&amp;"","")&amp;"␟"&amp;IFERROR(INDEX(PASTE_ALL,$DF104,51)&amp;"","")&amp;"␟"&amp;IFERROR(INDEX(PASTE_ALL,$DF104,52)&amp;"","")&amp;"␟"&amp;IFERROR(INDEX(PASTE_ALL,$DF104,53)&amp;"","")&amp;"␟"&amp;IFERROR(INDEX(PASTE_ALL,$DF104,54)&amp;"","")&amp;"␟"&amp;IFERROR(INDEX(PASTE_ALL,$DF104,55)&amp;"","")&amp;"␟"&amp;IFERROR(INDEX(PASTE_ALL,$DF104,56)&amp;"","")&amp;"␟"&amp;IFERROR(INDEX(PASTE_ALL,$DF104,57)&amp;"","")&amp;"␟"&amp;IFERROR(INDEX(PASTE_ALL,$DF104,58)&amp;"","")&amp;"␟"&amp;IFERROR(INDEX(PASTE_ALL,$DF104,59)&amp;"","")&amp;"␟"&amp;IFERROR(INDEX(PASTE_ALL,$DF104,60)&amp;"","")," "," "),CHAR(9)," "),CHAR(10)," "),CHAR(13)," "))," ␟","␟"),"␟ ","␟"),"#"&amp;$DE104),"")</f>
        <v/>
      </c>
      <c r="DJ104">
        <f>IF($DI104="",0,IF(SUMPRODUCT(--EXACT($DI$4:DI103,$DI104))&gt;0,1,0))</f>
        <v/>
      </c>
      <c r="DK104">
        <f>IF(AND($DI104&lt;&gt;"",$DJ104=0),1,0)</f>
        <v/>
      </c>
      <c r="DL104">
        <f>DL103+$DK104</f>
        <v/>
      </c>
      <c r="DM104">
        <f>IF(AND($DK104=1,$DL104&lt;=600),1,0)</f>
        <v/>
      </c>
      <c r="DN104">
        <f>IF($DM104=0,"",IF($L$6=0,"",IFERROR(IF(ISNUMBER(INDEX(PASTE_ALL,$DF104,$L$6)),INDEX(PASTE_ALL,$DF104,$L$6),TRIM(SUBSTITUTE(SUBSTITUTE(SUBSTITUTE(SUBSTITUTE(INDEX(PASTE_ALL,$DF104,$L$6)," "," "),CHAR(9)," "),CHAR(10)," "),CHAR(13)," "))),"")))</f>
        <v/>
      </c>
      <c r="DO104">
        <f>IF($DM104=0,"",IF($L$7=0,"",IFERROR(IF(ISNUMBER(INDEX(PASTE_ALL,$DF104,$L$7)),INDEX(PASTE_ALL,$DF104,$L$7),TRIM(SUBSTITUTE(SUBSTITUTE(SUBSTITUTE(SUBSTITUTE(INDEX(PASTE_ALL,$DF104,$L$7)," "," "),CHAR(9)," "),CHAR(10)," "),CHAR(13)," "))),"")))</f>
        <v/>
      </c>
      <c r="DP104">
        <f>IF($DM104=0,"",IF($L$8=0,"",IFERROR(IF(ISNUMBER(INDEX(PASTE_ALL,$DF104,$L$8)),INDEX(PASTE_ALL,$DF104,$L$8),TRIM(SUBSTITUTE(SUBSTITUTE(SUBSTITUTE(SUBSTITUTE(INDEX(PASTE_ALL,$DF104,$L$8)," "," "),CHAR(9)," "),CHAR(10)," "),CHAR(13)," "))),"")))</f>
        <v/>
      </c>
      <c r="DQ104">
        <f>IF($DM104=0,"",IF($L$9=0,"",IFERROR(IF(ISNUMBER(INDEX(PASTE_ALL,$DF104,$L$9)),INDEX(PASTE_ALL,$DF104,$L$9),TRIM(SUBSTITUTE(SUBSTITUTE(SUBSTITUTE(SUBSTITUTE(INDEX(PASTE_ALL,$DF104,$L$9)," "," "),CHAR(9)," "),CHAR(10)," "),CHAR(13)," "))),"")))</f>
        <v/>
      </c>
      <c r="DR104">
        <f>IF($DM104=0,"",IF($L$10=0,"",IFERROR(IF(ISNUMBER(INDEX(PASTE_ALL,$DF104,$L$10)),INDEX(PASTE_ALL,$DF104,$L$10),TRIM(SUBSTITUTE(SUBSTITUTE(SUBSTITUTE(SUBSTITUTE(INDEX(PASTE_ALL,$DF104,$L$10)," "," "),CHAR(9)," "),CHAR(10)," "),CHAR(13)," "))),"")))</f>
        <v/>
      </c>
      <c r="DS104">
        <f>IF($DM104=0,"",IF($L$11=0,"",IFERROR(IF(ISNUMBER(INDEX(PASTE_ALL,$DF104,$L$11)),INDEX(PASTE_ALL,$DF104,$L$11),TRIM(SUBSTITUTE(SUBSTITUTE(SUBSTITUTE(SUBSTITUTE(INDEX(PASTE_ALL,$DF104,$L$11)," "," "),CHAR(9)," "),CHAR(10)," "),CHAR(13)," "))),"")))</f>
        <v/>
      </c>
      <c r="DT104">
        <f>IF($DM104=0,"",IF($L$12=0,"",IFERROR(IF(ISNUMBER(INDEX(PASTE_ALL,$DF104,$L$12)),INDEX(PASTE_ALL,$DF104,$L$12),TRIM(SUBSTITUTE(SUBSTITUTE(SUBSTITUTE(SUBSTITUTE(INDEX(PASTE_ALL,$DF104,$L$12)," "," "),CHAR(9)," "),CHAR(10)," "),CHAR(13)," "))),"")))</f>
        <v/>
      </c>
      <c r="DU104">
        <f>IF($DM104=0,"",IF($L$13=0,"",IFERROR(IF(ISNUMBER(INDEX(PASTE_ALL,$DF104,$L$13)),INDEX(PASTE_ALL,$DF104,$L$13),TRIM(SUBSTITUTE(SUBSTITUTE(SUBSTITUTE(SUBSTITUTE(INDEX(PASTE_ALL,$DF104,$L$13)," "," "),CHAR(9)," "),CHAR(10)," "),CHAR(13)," "))),"")))</f>
        <v/>
      </c>
      <c r="DV104">
        <f>IF($DM104=0,"",IF($L$14=0,"",IFERROR(IF(ISNUMBER(INDEX(PASTE_ALL,$DF104,$L$14)),INDEX(PASTE_ALL,$DF104,$L$14),TRIM(SUBSTITUTE(SUBSTITUTE(SUBSTITUTE(SUBSTITUTE(INDEX(PASTE_ALL,$DF104,$L$14)," "," "),CHAR(9)," "),CHAR(10)," "),CHAR(13)," "))),"")))</f>
        <v/>
      </c>
      <c r="DW104">
        <f>IF($DM104=0,"",IF($L$15=0,"",IFERROR(IF(ISNUMBER(INDEX(PASTE_ALL,$DF104,$L$15)),INDEX(PASTE_ALL,$DF104,$L$15),IF(SUMPRODUCT(--ISNUMBER(FIND({"A","B","C","D","E","F","G","H","I","J","K","L","M","N","O","P","Q","R","S","T","U","V","W","X","Y","Z","0","1","2","3","4","5","6","7","8","9"},UPPER(TRIM(SUBSTITUTE(SUBSTITUTE(SUBSTITUTE(SUBSTITUTE(INDEX(PASTE_ALL,$DF104,$L$15)," "," "),CHAR(9)," "),CHAR(10)," "),CHAR(13)," "))))))&gt;0,TRIM(SUBSTITUTE(SUBSTITUTE(SUBSTITUTE(SUBSTITUTE(INDEX(PASTE_ALL,$DF104,$L$15)," "," "),CHAR(9)," "),CHAR(10)," "),CHAR(13)," ")),"")),"")))</f>
        <v/>
      </c>
      <c r="DX104">
        <f>IF($DM104=0,"",IF($L$16=0,"",IFERROR(IF(ISNUMBER(INDEX(PASTE_ALL,$DF104,$L$16)),INDEX(PASTE_ALL,$DF104,$L$16),SUBSTITUTE(SUBSTITUTE(TRIM(SUBSTITUTE(SUBSTITUTE(SUBSTITUTE(SUBSTITUTE(INDEX(PASTE_ALL,$DF104,$L$16)," "," "),CHAR(9)," "),CHAR(10)," "),CHAR(13)," ")),",",""),"%","")),"")))</f>
        <v/>
      </c>
      <c r="DY104">
        <f>IF($DM104=0,"",IFERROR(IF(ISNUMBER($DX104),$DX104,IF($DX104="","",IF(TRIM($DX104)="",0,IF(AND(AND(SUBSTITUTE(SUBSTITUTE(SUBSTITUTE(SUBSTITUTE(SUBSTITUTE(SUBSTITUTE(SUBSTITUTE(SUBSTITUTE(SUBSTITUTE(SUBSTITUTE(SUBSTITUTE(SUBSTITUTE(SUBSTITUTE(SUBSTITUTE(UPPER(TRIM($DX104)),"0",""),"1",""),"2",""),"3",""),"4",""),"5",""),"6",""),"7",""),"8",""),"9",""),".",""),"+",""),"-",""),"E","")="",LEN(SUBSTITUTE(SUBSTITUTE(MID(UPPER(TRIM($DX104)),1+OR(LEFT(UPPER(TRIM($DX104)),1)="+",LEFT(UPPER(TRIM($DX104)),1)="-"),999),"E+","E"),"E-","E"))=LEN(SUBSTITUTE(SUBSTITUTE(SUBSTITUTE(SUBSTITUTE(MID(UPPER(TRIM($DX104)),1+OR(LEFT(UPPER(TRIM($DX104)),1)="+",LEFT(UPPER(TRIM($DX104)),1)="-"),999),"E+","E"),"E-","E"),"+",""),"-","")),LEN(UPPER(TRIM($DX104)))-LEN(SUBSTITUTE(UPPER(TRIM($DX104)),"E",""))&lt;2,LEN(UPPER(TRIM($DX104)))-LEN(SUBSTITUTE(UPPER(TRIM($DX104)),".",""))&lt;2,IFERROR(FIND(".",UPPER(TRIM($DX104))),0)&lt;IFERROR(FIND("E",UPPER(TRIM($DX104))),999)),ISNUMBER(VALUE(TRIM($DX104)))),VALUE(TRIM($DX104)),"")))),""))</f>
        <v/>
      </c>
      <c r="DZ104">
        <f>IF($DM104=0,"",IF($L$17=0,"",IFERROR(IF(ISNUMBER(INDEX(PASTE_ALL,$DF104,$L$17)),INDEX(PASTE_ALL,$DF104,$L$17),SUBSTITUTE(SUBSTITUTE(TRIM(SUBSTITUTE(SUBSTITUTE(SUBSTITUTE(SUBSTITUTE(INDEX(PASTE_ALL,$DF104,$L$17)," "," "),CHAR(9)," "),CHAR(10)," "),CHAR(13)," ")),",",""),"%","")),"")))</f>
        <v/>
      </c>
      <c r="EA104">
        <f>IF($DM104=0,"",IFERROR(IF(ISNUMBER($DZ104),$DZ104,IF($DZ104="","",IF(TRIM($DZ104)="",0,IF(AND(AND(SUBSTITUTE(SUBSTITUTE(SUBSTITUTE(SUBSTITUTE(SUBSTITUTE(SUBSTITUTE(SUBSTITUTE(SUBSTITUTE(SUBSTITUTE(SUBSTITUTE(SUBSTITUTE(SUBSTITUTE(SUBSTITUTE(SUBSTITUTE(UPPER(TRIM($DZ104)),"0",""),"1",""),"2",""),"3",""),"4",""),"5",""),"6",""),"7",""),"8",""),"9",""),".",""),"+",""),"-",""),"E","")="",LEN(SUBSTITUTE(SUBSTITUTE(MID(UPPER(TRIM($DZ104)),1+OR(LEFT(UPPER(TRIM($DZ104)),1)="+",LEFT(UPPER(TRIM($DZ104)),1)="-"),999),"E+","E"),"E-","E"))=LEN(SUBSTITUTE(SUBSTITUTE(SUBSTITUTE(SUBSTITUTE(MID(UPPER(TRIM($DZ104)),1+OR(LEFT(UPPER(TRIM($DZ104)),1)="+",LEFT(UPPER(TRIM($DZ104)),1)="-"),999),"E+","E"),"E-","E"),"+",""),"-","")),LEN(UPPER(TRIM($DZ104)))-LEN(SUBSTITUTE(UPPER(TRIM($DZ104)),"E",""))&lt;2,LEN(UPPER(TRIM($DZ104)))-LEN(SUBSTITUTE(UPPER(TRIM($DZ104)),".",""))&lt;2,IFERROR(FIND(".",UPPER(TRIM($DZ104))),0)&lt;IFERROR(FIND("E",UPPER(TRIM($DZ104))),999)),ISNUMBER(VALUE(TRIM($DZ104)))),VALUE(TRIM($DZ104)),"")))),""))</f>
        <v/>
      </c>
      <c r="EB104">
        <f>IF($DM104=0,"",IF($L$18=0,"",IFERROR(IF(UPPER(TRIM(SUBSTITUTE(SUBSTITUTE(SUBSTITUTE(SUBSTITUTE(INDEX(PASTE_ALL,$DF104,$L$18)," "," "),CHAR(9)," "),CHAR(10)," "),CHAR(13)," ")))="READY","Ready",IF(UPPER(TRIM(SUBSTITUTE(SUBSTITUTE(SUBSTITUTE(SUBSTITUTE(INDEX(PASTE_ALL,$DF104,$L$18)," "," "),CHAR(9)," "),CHAR(10)," "),CHAR(13)," ")))="PM","PM",IF(OR(UPPER(TRIM(SUBSTITUTE(SUBSTITUTE(SUBSTITUTE(SUBSTITUTE(INDEX(PASTE_ALL,$DF104,$L$18)," "," "),CHAR(9)," "),CHAR(10)," "),CHAR(13)," ")))="OT",UPPER(TRIM(SUBSTITUTE(SUBSTITUTE(SUBSTITUTE(SUBSTITUTE(INDEX(PASTE_ALL,$DF104,$L$18)," "," "),CHAR(9)," "),CHAR(10)," "),CHAR(13)," ")))="OVERTIME",UPPER(TRIM(SUBSTITUTE(SUBSTITUTE(SUBSTITUTE(SUBSTITUTE(INDEX(PASTE_ALL,$DF104,$L$18)," "," "),CHAR(9)," "),CHAR(10)," "),CHAR(13)," ")))="TRIAL"),"OT",TRIM(SUBSTITUTE(SUBSTITUTE(SUBSTITUTE(SUBSTITUTE(INDEX(PASTE_ALL,$DF104,$L$18)," "," "),CHAR(9)," "),CHAR(10)," "),CHAR(13)," "))))),"")))</f>
        <v/>
      </c>
      <c r="EC104">
        <f>IF($DM104=0,"",IF($L$19=0,"",IFERROR(IF(ISNUMBER(INDEX(PASTE_ALL,$DF104,$L$19)),INDEX(PASTE_ALL,$DF104,$L$19),TRIM(SUBSTITUTE(SUBSTITUTE(SUBSTITUTE(SUBSTITUTE(INDEX(PASTE_ALL,$DF104,$L$19)," "," "),CHAR(9)," "),CHAR(10)," "),CHAR(13)," "))),"")))</f>
        <v/>
      </c>
      <c r="ED104">
        <f>IF($DM104=0,"",MATCH(1,INDEX(EXACT($DH$5:DH104,$DH104)*$DM$5:DM104,0),0))</f>
        <v/>
      </c>
      <c r="EE104">
        <f>IF($DM104=0,0,IF($ED104=$DE104,1,0))</f>
        <v/>
      </c>
      <c r="EF104">
        <f>EF103+$EE104</f>
        <v/>
      </c>
      <c r="EG104">
        <f>IF($DM104=0,"",INDEX($EF$5:$EF$1003,$ED104))</f>
        <v/>
      </c>
      <c r="EH104">
        <f>IF($DM104=0,"",IF($DO104&lt;&gt;"","",IFERROR(LOOKUP(2,1/(($EG$4:EG103=$EG104)*($DO$4:DO103&lt;&gt;"")),$DO$4:DO103),"")))</f>
        <v/>
      </c>
      <c r="EI104">
        <f>IF($DM104=0,"",IF($DO104&lt;&gt;"",$DO104,$EH104))</f>
        <v/>
      </c>
      <c r="EJ104">
        <f>IF($DM104=0,"",IF($EI104="",0,IF(OR(ISNUMBER($EI104),AND(AND(SUBSTITUTE(SUBSTITUTE(SUBSTITUTE(SUBSTITUTE(SUBSTITUTE(SUBSTITUTE(SUBSTITUTE(SUBSTITUTE(SUBSTITUTE(SUBSTITUTE(SUBSTITUTE(SUBSTITUTE(SUBSTITUTE(SUBSTITUTE(UPPER($EI104),"0",""),"1",""),"2",""),"3",""),"4",""),"5",""),"6",""),"7",""),"8",""),"9",""),".",""),"+",""),"-",""),"E","")="",LEN(SUBSTITUTE(SUBSTITUTE(MID(UPPER($EI104),1+OR(LEFT(UPPER($EI104),1)="+",LEFT(UPPER($EI104),1)="-"),999),"E+","E"),"E-","E"))=LEN(SUBSTITUTE(SUBSTITUTE(SUBSTITUTE(SUBSTITUTE(MID(UPPER($EI104),1+OR(LEFT(UPPER($EI104),1)="+",LEFT(UPPER($EI104),1)="-"),999),"E+","E"),"E-","E"),"+",""),"-","")),LEN(UPPER($EI104))-LEN(SUBSTITUTE(UPPER($EI104),"E",""))&lt;2,LEN(UPPER($EI104))-LEN(SUBSTITUTE(UPPER($EI104),".",""))&lt;2,IFERROR(FIND(".",UPPER($EI104)),0)&lt;IFERROR(FIND("E",UPPER($EI104)),999)),ISNUMBER(VALUE($EI104)))),1,2)))</f>
        <v/>
      </c>
      <c r="EK104">
        <f>IF($DM104=0,"",IF($EJ104=1,IF(ISNUMBER($EI104),$EI104,VALUE($EI104)),IF($EJ104=2,$DE104,0)))</f>
        <v/>
      </c>
      <c r="EL104">
        <f>IF($DM104=0,"",COUNTIF($EG$5:$EG$1003,"&lt;"&amp;$EG104)+SUMPRODUCT(($EG$5:$EG$1003=$EG104)*(($EJ$5:$EJ$1003&lt;$EJ104)+($EJ$5:$EJ$1003=$EJ104)*(($EK$5:$EK$1003&lt;$EK104)+($EK$5:$EK$1003=$EK104)*($DE$5:$DE$1003&lt;$DE104))))+1)</f>
        <v/>
      </c>
      <c r="EM104">
        <f>IF($DM104=0,"",$EL104+$EG104-1)</f>
        <v/>
      </c>
      <c r="EN104">
        <f>IF($DM104=0,0,IFERROR(MATCH(1,INDEX(--(TRIM(SUBSTITUTE(SUBSTITUTE(SUBSTITUTE(SUBSTITUTE(LINES_NAME&amp;""," "," "),CHAR(9)," "),CHAR(10)," "),CHAR(13)," "))=$DH104),0),0),0))</f>
        <v/>
      </c>
      <c r="EO104">
        <f>IF($EN104=0,0,IF(OR(UPPER(TRIM(INDEX(LINES_SCHEDULED,$EN104)&amp;""))="YES",UPPER(TRIM(INDEX(LINES_SCHEDULED,$EN104)&amp;""))="Y",UPPER(TRIM(INDEX(LINES_SCHEDULED,$EN104)&amp;""))="X"),1,0))</f>
        <v/>
      </c>
      <c r="EP104">
        <f>IF($DM104=0,"",IF(COUNTIFS($EG$5:$EG$1003,$EG104,$EB$5:$EB$1003,"Ready")&gt;0,"READY",IF(COUNTIFS($EG$5:$EG$1003,$EG104,$EB$5:$EB$1003,"PM")&gt;0,"PM",IF(COUNTIFS($EG$5:$EG$1003,$EG104,$EB$5:$EB$1003,"OT")&gt;0,"OT",""))))</f>
        <v/>
      </c>
      <c r="EQ104">
        <f>IF($EN104=0,"",UPPER(TRIM(INDEX(LINES_STATUS,$EN104)&amp;"")))</f>
        <v/>
      </c>
      <c r="ER104">
        <f>IF($DM104=0,"",IF(OR($EQ104="READY",$EQ104="PM",$EQ104="OT"),$EQ104,$EP104))</f>
        <v/>
      </c>
      <c r="ES104">
        <f>IF($DM104=0,"",IF(AND($DV104&lt;&gt;"",UPPER($DV104)&lt;&gt;"N"),"allergen",IF(ISNUMBER(SEARCH("oil",$DQ104)),"oil",IF(OR(EXACT($DS104,"A662"),EXACT($DS104,"A624")),"bulk",""))))</f>
        <v/>
      </c>
      <c r="ET104">
        <f>IF($DM104=0,"",IF(OR($EA104="",$EA104=0),"",$EA104/100))</f>
        <v/>
      </c>
      <c r="EU104">
        <f>IF(OR($ET104="",$DY104=""),"",INT($DY104*(1-$ET104)+0.5))</f>
        <v/>
      </c>
      <c r="EW104" t="n">
        <v>100</v>
      </c>
      <c r="EX104">
        <f>IFERROR(MATCH($EW104,$EM$5:$EM$1003,0),0)</f>
        <v/>
      </c>
      <c r="EY104">
        <f>IF($EW104&gt;$B$12,"",IF($EX104&gt;0,"row","spacer"))</f>
        <v/>
      </c>
      <c r="EZ104">
        <f>IF(AND($EY104="row",$EY103&lt;&gt;"row"),1,0)</f>
        <v/>
      </c>
      <c r="FA104">
        <f>IF(AND($EY104="row",$EY105&lt;&gt;"row"),1,0)</f>
        <v/>
      </c>
      <c r="FB104">
        <f>IF($EZ104=1,IFERROR(IF(ISNUMBER(INDEX(PASTE_ALL,INDEX($DF$5:$DF$1003,$EX104),$B$37)),INDEX(PASTE_ALL,INDEX($DF$5:$DF$1003,$EX104),$B$37),INDEX($DH$5:$DH$1003,$EX104)),INDEX($DH$5:$DH$1003,$EX104)),"")</f>
        <v/>
      </c>
      <c r="FC104">
        <f>IF($EY104="row",INDEX($ER$5:$ER$1003,$EX104),"")</f>
        <v/>
      </c>
      <c r="FD104">
        <f>IF($EY104="row",INDEX($DN$5:$DN$1003,$EX104),"")</f>
        <v/>
      </c>
      <c r="FE104">
        <f>IF($EY104="row",INDEX($DO$5:$DO$1003,$EX104),"")</f>
        <v/>
      </c>
      <c r="FF104">
        <f>IF($EY104="row",INDEX($DP$5:$DP$1003,$EX104),"")</f>
        <v/>
      </c>
      <c r="FG104">
        <f>IF($EY104="row",INDEX($DQ$5:$DQ$1003,$EX104),"")</f>
        <v/>
      </c>
      <c r="FH104">
        <f>IF($EY104="row",INDEX($DR$5:$DR$1003,$EX104),"")</f>
        <v/>
      </c>
      <c r="FI104">
        <f>IF($EY104="row",INDEX($DS$5:$DS$1003,$EX104),"")</f>
        <v/>
      </c>
      <c r="FJ104">
        <f>IF($EY104="row",INDEX($DT$5:$DT$1003,$EX104),"")</f>
        <v/>
      </c>
      <c r="FK104">
        <f>IF($EY104="row",INDEX($DU$5:$DU$1003,$EX104),"")</f>
        <v/>
      </c>
      <c r="FL104">
        <f>IF($EY104="row",INDEX($DV$5:$DV$1003,$EX104),"")</f>
        <v/>
      </c>
      <c r="FM104">
        <f>IF($EY104="row",INDEX($DW$5:$DW$1003,$EX104),"")</f>
        <v/>
      </c>
      <c r="FN104">
        <f>IF($EY104="row",INDEX($DY$5:$DY$1003,$EX104),"")</f>
        <v/>
      </c>
      <c r="FO104">
        <f>IF($EY104="row",INDEX($EA$5:$EA$1003,$EX104),"")</f>
        <v/>
      </c>
      <c r="FP104">
        <f>IF($EY104="row",INDEX($EC$5:$EC$1003,$EX104),"")</f>
        <v/>
      </c>
      <c r="FQ104">
        <f>IF($EY104="row",INDEX($ET$5:$ET$1003,$EX104),"")</f>
        <v/>
      </c>
      <c r="FR104">
        <f>IF($EY104="row",INDEX($EU$5:$EU$1003,$EX104),"")</f>
        <v/>
      </c>
      <c r="FS104">
        <f>IF(AND($EY104="row",$EY103="row"),IF(OR(INDEX($DT$5:$DT$1003,$EX103)="",INDEX($DT$5:$DT$1003,$EX104)=""),"",IF(NOT(EXACT(INDEX($DT$5:$DT$1003,$EX103),INDEX($DT$5:$DT$1003,$EX104))),"S4",IF(NOT(EXACT(INDEX($DS$5:$DS$1003,$EX103),INDEX($DS$5:$DS$1003,$EX104))),"S3",IF(NOT(EXACT(INDEX($DR$5:$DR$1003,$EX103),INDEX($DR$5:$DR$1003,$EX104))),"S1 Count Change","S1")))),"")</f>
        <v/>
      </c>
      <c r="FT104">
        <f>IF($EY104="row",INDEX($ES$5:$ES$1003,$EX104),"")</f>
        <v/>
      </c>
      <c r="FU104">
        <f>IF($EY104="row",INDEX($EO$5:$EO$1003,$EX104),0)</f>
        <v/>
      </c>
      <c r="FV104">
        <f>IF($FS104="S1 Count Change",1,0)</f>
        <v/>
      </c>
      <c r="FX104" t="n">
        <v>100</v>
      </c>
      <c r="FY104">
        <f>IFERROR(MATCH($FX104,$EF$5:$EF$1003,0),0)</f>
        <v/>
      </c>
      <c r="FZ104">
        <f>IF($FY104=0,"",INDEX($DH$5:$DH$1003,$FY104))</f>
        <v/>
      </c>
      <c r="GA104">
        <f>IF($FY104=0,"",COUNTIF($EG$5:$EG$1003,$FX104))</f>
        <v/>
      </c>
      <c r="GB104">
        <f>IF($FY104=0,"",INDEX($ER$5:$ER$1003,$FY104))</f>
        <v/>
      </c>
      <c r="GC104">
        <f>IF($FY104=0,"",IF(INDEX($EO$5:$EO$1003,$FY104)=1,"Yes",""))</f>
        <v/>
      </c>
      <c r="GD104">
        <f>IF($FY104=0,"",IF(INDEX($EN$5:$EN$1003,$FY104)&gt;0,"","NOT IN YOUR LIST - type it in column A to tick it"))</f>
        <v/>
      </c>
      <c r="GE104">
        <f>IF(AND($FY104&gt;0,$GD104&lt;&gt;""),1,0)</f>
        <v/>
      </c>
      <c r="GF104">
        <f>GF103+$GE104</f>
        <v/>
      </c>
      <c r="GG104">
        <f>IFERROR(INDEX($FZ$5:$FZ$104,MATCH($FX104,$GF$5:$GF$104,0)),"")</f>
        <v/>
      </c>
    </row>
    <row r="105">
      <c r="Y105">
        <f>IF(Y15="",0,IFERROR(INDEX($W$5:$W$86,MATCH(Y15,$V$5:$V$86,0)),0))</f>
        <v/>
      </c>
      <c r="Z105">
        <f>IF(Z15="",0,IFERROR(INDEX($W$5:$W$86,MATCH(Z15,$V$5:$V$86,0)),0))</f>
        <v/>
      </c>
      <c r="AA105">
        <f>IF(AA15="",0,IFERROR(INDEX($W$5:$W$86,MATCH(AA15,$V$5:$V$86,0)),0))</f>
        <v/>
      </c>
      <c r="AB105">
        <f>IF(AB15="",0,IFERROR(INDEX($W$5:$W$86,MATCH(AB15,$V$5:$V$86,0)),0))</f>
        <v/>
      </c>
      <c r="AC105">
        <f>IF(AC15="",0,IFERROR(INDEX($W$5:$W$86,MATCH(AC15,$V$5:$V$86,0)),0))</f>
        <v/>
      </c>
      <c r="AD105">
        <f>IF(AD15="",0,IFERROR(INDEX($W$5:$W$86,MATCH(AD15,$V$5:$V$86,0)),0))</f>
        <v/>
      </c>
      <c r="AE105">
        <f>IF(AE15="",0,IFERROR(INDEX($W$5:$W$86,MATCH(AE15,$V$5:$V$86,0)),0))</f>
        <v/>
      </c>
      <c r="AF105">
        <f>IF(AF15="",0,IFERROR(INDEX($W$5:$W$86,MATCH(AF15,$V$5:$V$86,0)),0))</f>
        <v/>
      </c>
      <c r="AG105">
        <f>IF(AG15="",0,IFERROR(INDEX($W$5:$W$86,MATCH(AG15,$V$5:$V$86,0)),0))</f>
        <v/>
      </c>
      <c r="AH105">
        <f>IF(AH15="",0,IFERROR(INDEX($W$5:$W$86,MATCH(AH15,$V$5:$V$86,0)),0))</f>
        <v/>
      </c>
      <c r="AI105">
        <f>IF(AI15="",0,IFERROR(INDEX($W$5:$W$86,MATCH(AI15,$V$5:$V$86,0)),0))</f>
        <v/>
      </c>
      <c r="AJ105">
        <f>IF(AJ15="",0,IFERROR(INDEX($W$5:$W$86,MATCH(AJ15,$V$5:$V$86,0)),0))</f>
        <v/>
      </c>
      <c r="AK105">
        <f>IF(AK15="",0,IFERROR(INDEX($W$5:$W$86,MATCH(AK15,$V$5:$V$86,0)),0))</f>
        <v/>
      </c>
      <c r="AL105">
        <f>IF(AL15="",0,IFERROR(INDEX($W$5:$W$86,MATCH(AL15,$V$5:$V$86,0)),0))</f>
        <v/>
      </c>
      <c r="AM105">
        <f>IF(AM15="",0,IFERROR(INDEX($W$5:$W$86,MATCH(AM15,$V$5:$V$86,0)),0))</f>
        <v/>
      </c>
      <c r="AN105">
        <f>IF(AN15="",0,IFERROR(INDEX($W$5:$W$86,MATCH(AN15,$V$5:$V$86,0)),0))</f>
        <v/>
      </c>
      <c r="AO105">
        <f>IF(AO15="",0,IFERROR(INDEX($W$5:$W$86,MATCH(AO15,$V$5:$V$86,0)),0))</f>
        <v/>
      </c>
      <c r="AP105">
        <f>IF(AP15="",0,IFERROR(INDEX($W$5:$W$86,MATCH(AP15,$V$5:$V$86,0)),0))</f>
        <v/>
      </c>
      <c r="AQ105">
        <f>IF(AQ15="",0,IFERROR(INDEX($W$5:$W$86,MATCH(AQ15,$V$5:$V$86,0)),0))</f>
        <v/>
      </c>
      <c r="AR105">
        <f>IF(AR15="",0,IFERROR(INDEX($W$5:$W$86,MATCH(AR15,$V$5:$V$86,0)),0))</f>
        <v/>
      </c>
      <c r="AS105">
        <f>IF(AS15="",0,IFERROR(INDEX($W$5:$W$86,MATCH(AS15,$V$5:$V$86,0)),0))</f>
        <v/>
      </c>
      <c r="AT105">
        <f>IF(AT15="",0,IFERROR(INDEX($W$5:$W$86,MATCH(AT15,$V$5:$V$86,0)),0))</f>
        <v/>
      </c>
      <c r="AU105">
        <f>IF(AU15="",0,IFERROR(INDEX($W$5:$W$86,MATCH(AU15,$V$5:$V$86,0)),0))</f>
        <v/>
      </c>
      <c r="AV105">
        <f>IF(AV15="",0,IFERROR(INDEX($W$5:$W$86,MATCH(AV15,$V$5:$V$86,0)),0))</f>
        <v/>
      </c>
      <c r="AW105">
        <f>IF(AW15="",0,IFERROR(INDEX($W$5:$W$86,MATCH(AW15,$V$5:$V$86,0)),0))</f>
        <v/>
      </c>
      <c r="AX105">
        <f>IF(AX15="",0,IFERROR(INDEX($W$5:$W$86,MATCH(AX15,$V$5:$V$86,0)),0))</f>
        <v/>
      </c>
      <c r="AY105">
        <f>IF(AY15="",0,IFERROR(INDEX($W$5:$W$86,MATCH(AY15,$V$5:$V$86,0)),0))</f>
        <v/>
      </c>
      <c r="AZ105">
        <f>IF(AZ15="",0,IFERROR(INDEX($W$5:$W$86,MATCH(AZ15,$V$5:$V$86,0)),0))</f>
        <v/>
      </c>
      <c r="BA105">
        <f>IF(BA15="",0,IFERROR(INDEX($W$5:$W$86,MATCH(BA15,$V$5:$V$86,0)),0))</f>
        <v/>
      </c>
      <c r="BB105">
        <f>IF(BB15="",0,IFERROR(INDEX($W$5:$W$86,MATCH(BB15,$V$5:$V$86,0)),0))</f>
        <v/>
      </c>
      <c r="BC105">
        <f>IF(BC15="",0,IFERROR(INDEX($W$5:$W$86,MATCH(BC15,$V$5:$V$86,0)),0))</f>
        <v/>
      </c>
      <c r="BD105">
        <f>IF(BD15="",0,IFERROR(INDEX($W$5:$W$86,MATCH(BD15,$V$5:$V$86,0)),0))</f>
        <v/>
      </c>
      <c r="BE105">
        <f>IF(BE15="",0,IFERROR(INDEX($W$5:$W$86,MATCH(BE15,$V$5:$V$86,0)),0))</f>
        <v/>
      </c>
      <c r="BF105">
        <f>IF(BF15="",0,IFERROR(INDEX($W$5:$W$86,MATCH(BF15,$V$5:$V$86,0)),0))</f>
        <v/>
      </c>
      <c r="BG105">
        <f>IF(BG15="",0,IFERROR(INDEX($W$5:$W$86,MATCH(BG15,$V$5:$V$86,0)),0))</f>
        <v/>
      </c>
      <c r="BH105">
        <f>IF(BH15="",0,IFERROR(INDEX($W$5:$W$86,MATCH(BH15,$V$5:$V$86,0)),0))</f>
        <v/>
      </c>
      <c r="BI105">
        <f>IF(BI15="",0,IFERROR(INDEX($W$5:$W$86,MATCH(BI15,$V$5:$V$86,0)),0))</f>
        <v/>
      </c>
      <c r="BJ105">
        <f>IF(BJ15="",0,IFERROR(INDEX($W$5:$W$86,MATCH(BJ15,$V$5:$V$86,0)),0))</f>
        <v/>
      </c>
      <c r="BK105">
        <f>IF(BK15="",0,IFERROR(INDEX($W$5:$W$86,MATCH(BK15,$V$5:$V$86,0)),0))</f>
        <v/>
      </c>
      <c r="BL105">
        <f>IF(BL15="",0,IFERROR(INDEX($W$5:$W$86,MATCH(BL15,$V$5:$V$86,0)),0))</f>
        <v/>
      </c>
      <c r="BM105">
        <f>IF(BM15="",0,IFERROR(INDEX($W$5:$W$86,MATCH(BM15,$V$5:$V$86,0)),0))</f>
        <v/>
      </c>
      <c r="BN105">
        <f>IF(BN15="",0,IFERROR(INDEX($W$5:$W$86,MATCH(BN15,$V$5:$V$86,0)),0))</f>
        <v/>
      </c>
      <c r="BO105">
        <f>IF(BO15="",0,IFERROR(INDEX($W$5:$W$86,MATCH(BO15,$V$5:$V$86,0)),0))</f>
        <v/>
      </c>
      <c r="BP105">
        <f>IF(BP15="",0,IFERROR(INDEX($W$5:$W$86,MATCH(BP15,$V$5:$V$86,0)),0))</f>
        <v/>
      </c>
      <c r="BQ105">
        <f>IF(BQ15="",0,IFERROR(INDEX($W$5:$W$86,MATCH(BQ15,$V$5:$V$86,0)),0))</f>
        <v/>
      </c>
      <c r="BR105">
        <f>IF(BR15="",0,IFERROR(INDEX($W$5:$W$86,MATCH(BR15,$V$5:$V$86,0)),0))</f>
        <v/>
      </c>
      <c r="BS105">
        <f>IF(BS15="",0,IFERROR(INDEX($W$5:$W$86,MATCH(BS15,$V$5:$V$86,0)),0))</f>
        <v/>
      </c>
      <c r="BT105">
        <f>IF(BT15="",0,IFERROR(INDEX($W$5:$W$86,MATCH(BT15,$V$5:$V$86,0)),0))</f>
        <v/>
      </c>
      <c r="BU105">
        <f>IF(BU15="",0,IFERROR(INDEX($W$5:$W$86,MATCH(BU15,$V$5:$V$86,0)),0))</f>
        <v/>
      </c>
      <c r="BV105">
        <f>IF(BV15="",0,IFERROR(INDEX($W$5:$W$86,MATCH(BV15,$V$5:$V$86,0)),0))</f>
        <v/>
      </c>
      <c r="BW105">
        <f>IF(BW15="",0,IFERROR(INDEX($W$5:$W$86,MATCH(BW15,$V$5:$V$86,0)),0))</f>
        <v/>
      </c>
      <c r="BX105">
        <f>IF(BX15="",0,IFERROR(INDEX($W$5:$W$86,MATCH(BX15,$V$5:$V$86,0)),0))</f>
        <v/>
      </c>
      <c r="BY105">
        <f>IF(BY15="",0,IFERROR(INDEX($W$5:$W$86,MATCH(BY15,$V$5:$V$86,0)),0))</f>
        <v/>
      </c>
      <c r="BZ105">
        <f>IF(BZ15="",0,IFERROR(INDEX($W$5:$W$86,MATCH(BZ15,$V$5:$V$86,0)),0))</f>
        <v/>
      </c>
      <c r="CA105">
        <f>IF(CA15="",0,IFERROR(INDEX($W$5:$W$86,MATCH(CA15,$V$5:$V$86,0)),0))</f>
        <v/>
      </c>
      <c r="CB105">
        <f>IF(CB15="",0,IFERROR(INDEX($W$5:$W$86,MATCH(CB15,$V$5:$V$86,0)),0))</f>
        <v/>
      </c>
      <c r="CC105">
        <f>IF(CC15="",0,IFERROR(INDEX($W$5:$W$86,MATCH(CC15,$V$5:$V$86,0)),0))</f>
        <v/>
      </c>
      <c r="CD105">
        <f>IF(CD15="",0,IFERROR(INDEX($W$5:$W$86,MATCH(CD15,$V$5:$V$86,0)),0))</f>
        <v/>
      </c>
      <c r="CE105">
        <f>IF(CE15="",0,IFERROR(INDEX($W$5:$W$86,MATCH(CE15,$V$5:$V$86,0)),0))</f>
        <v/>
      </c>
      <c r="CF105">
        <f>IF(CF15="",0,IFERROR(INDEX($W$5:$W$86,MATCH(CF15,$V$5:$V$86,0)),0))</f>
        <v/>
      </c>
      <c r="DA105" t="n">
        <v>101</v>
      </c>
      <c r="DB105">
        <f>IF($B$37=0,"",IFERROR(TRIM(SUBSTITUTE(SUBSTITUTE(SUBSTITUTE(SUBSTITUTE(INDEX(PASTE_ALL,101,$B$37)," "," "),CHAR(9)," "),CHAR(10)," "),CHAR(13)," ")),""))</f>
        <v/>
      </c>
      <c r="DC105">
        <f>IF(AND(101&gt;HEADER_ROW,UPPER(DB105)="LEGEND"),1,0)</f>
        <v/>
      </c>
      <c r="DE105" t="n">
        <v>101</v>
      </c>
      <c r="DF105">
        <f>HEADER_ROW+$DE105</f>
        <v/>
      </c>
      <c r="DG105">
        <f>IF(AND($DF105&lt;=1000,$DF105&lt;$B$8),1,0)</f>
        <v/>
      </c>
      <c r="DH105">
        <f>IF($DG105=1,IFERROR(INDEX($DB$5:$DB$1004,$DF105),""),"")</f>
        <v/>
      </c>
      <c r="DI105">
        <f>IF(AND($DG105=1,$DH105&lt;&gt;""),IFERROR(SUBSTITUTE(SUBSTITUTE(TRIM(SUBSTITUTE(SUBSTITUTE(SUBSTITUTE(SUBSTITUTE(IFERROR(INDEX(PASTE_ALL,$DF105,1)&amp;"","")&amp;"␟"&amp;IFERROR(INDEX(PASTE_ALL,$DF105,2)&amp;"","")&amp;"␟"&amp;IFERROR(INDEX(PASTE_ALL,$DF105,3)&amp;"","")&amp;"␟"&amp;IFERROR(INDEX(PASTE_ALL,$DF105,4)&amp;"","")&amp;"␟"&amp;IFERROR(INDEX(PASTE_ALL,$DF105,5)&amp;"","")&amp;"␟"&amp;IFERROR(INDEX(PASTE_ALL,$DF105,6)&amp;"","")&amp;"␟"&amp;IFERROR(INDEX(PASTE_ALL,$DF105,7)&amp;"","")&amp;"␟"&amp;IFERROR(INDEX(PASTE_ALL,$DF105,8)&amp;"","")&amp;"␟"&amp;IFERROR(INDEX(PASTE_ALL,$DF105,9)&amp;"","")&amp;"␟"&amp;IFERROR(INDEX(PASTE_ALL,$DF105,10)&amp;"","")&amp;"␟"&amp;IFERROR(INDEX(PASTE_ALL,$DF105,11)&amp;"","")&amp;"␟"&amp;IFERROR(INDEX(PASTE_ALL,$DF105,12)&amp;"","")&amp;"␟"&amp;IFERROR(INDEX(PASTE_ALL,$DF105,13)&amp;"","")&amp;"␟"&amp;IFERROR(INDEX(PASTE_ALL,$DF105,14)&amp;"","")&amp;"␟"&amp;IFERROR(INDEX(PASTE_ALL,$DF105,15)&amp;"","")&amp;"␟"&amp;IFERROR(INDEX(PASTE_ALL,$DF105,16)&amp;"","")&amp;"␟"&amp;IFERROR(INDEX(PASTE_ALL,$DF105,17)&amp;"","")&amp;"␟"&amp;IFERROR(INDEX(PASTE_ALL,$DF105,18)&amp;"","")&amp;"␟"&amp;IFERROR(INDEX(PASTE_ALL,$DF105,19)&amp;"","")&amp;"␟"&amp;IFERROR(INDEX(PASTE_ALL,$DF105,20)&amp;"","")&amp;"␟"&amp;IFERROR(INDEX(PASTE_ALL,$DF105,21)&amp;"","")&amp;"␟"&amp;IFERROR(INDEX(PASTE_ALL,$DF105,22)&amp;"","")&amp;"␟"&amp;IFERROR(INDEX(PASTE_ALL,$DF105,23)&amp;"","")&amp;"␟"&amp;IFERROR(INDEX(PASTE_ALL,$DF105,24)&amp;"","")&amp;"␟"&amp;IFERROR(INDEX(PASTE_ALL,$DF105,25)&amp;"","")&amp;"␟"&amp;IFERROR(INDEX(PASTE_ALL,$DF105,26)&amp;"","")&amp;"␟"&amp;IFERROR(INDEX(PASTE_ALL,$DF105,27)&amp;"","")&amp;"␟"&amp;IFERROR(INDEX(PASTE_ALL,$DF105,28)&amp;"","")&amp;"␟"&amp;IFERROR(INDEX(PASTE_ALL,$DF105,29)&amp;"","")&amp;"␟"&amp;IFERROR(INDEX(PASTE_ALL,$DF105,30)&amp;"","")&amp;"␟"&amp;IFERROR(INDEX(PASTE_ALL,$DF105,31)&amp;"","")&amp;"␟"&amp;IFERROR(INDEX(PASTE_ALL,$DF105,32)&amp;"","")&amp;"␟"&amp;IFERROR(INDEX(PASTE_ALL,$DF105,33)&amp;"","")&amp;"␟"&amp;IFERROR(INDEX(PASTE_ALL,$DF105,34)&amp;"","")&amp;"␟"&amp;IFERROR(INDEX(PASTE_ALL,$DF105,35)&amp;"","")&amp;"␟"&amp;IFERROR(INDEX(PASTE_ALL,$DF105,36)&amp;"","")&amp;"␟"&amp;IFERROR(INDEX(PASTE_ALL,$DF105,37)&amp;"","")&amp;"␟"&amp;IFERROR(INDEX(PASTE_ALL,$DF105,38)&amp;"","")&amp;"␟"&amp;IFERROR(INDEX(PASTE_ALL,$DF105,39)&amp;"","")&amp;"␟"&amp;IFERROR(INDEX(PASTE_ALL,$DF105,40)&amp;"","")&amp;"␟"&amp;IFERROR(INDEX(PASTE_ALL,$DF105,41)&amp;"","")&amp;"␟"&amp;IFERROR(INDEX(PASTE_ALL,$DF105,42)&amp;"","")&amp;"␟"&amp;IFERROR(INDEX(PASTE_ALL,$DF105,43)&amp;"","")&amp;"␟"&amp;IFERROR(INDEX(PASTE_ALL,$DF105,44)&amp;"","")&amp;"␟"&amp;IFERROR(INDEX(PASTE_ALL,$DF105,45)&amp;"","")&amp;"␟"&amp;IFERROR(INDEX(PASTE_ALL,$DF105,46)&amp;"","")&amp;"␟"&amp;IFERROR(INDEX(PASTE_ALL,$DF105,47)&amp;"","")&amp;"␟"&amp;IFERROR(INDEX(PASTE_ALL,$DF105,48)&amp;"","")&amp;"␟"&amp;IFERROR(INDEX(PASTE_ALL,$DF105,49)&amp;"","")&amp;"␟"&amp;IFERROR(INDEX(PASTE_ALL,$DF105,50)&amp;"","")&amp;"␟"&amp;IFERROR(INDEX(PASTE_ALL,$DF105,51)&amp;"","")&amp;"␟"&amp;IFERROR(INDEX(PASTE_ALL,$DF105,52)&amp;"","")&amp;"␟"&amp;IFERROR(INDEX(PASTE_ALL,$DF105,53)&amp;"","")&amp;"␟"&amp;IFERROR(INDEX(PASTE_ALL,$DF105,54)&amp;"","")&amp;"␟"&amp;IFERROR(INDEX(PASTE_ALL,$DF105,55)&amp;"","")&amp;"␟"&amp;IFERROR(INDEX(PASTE_ALL,$DF105,56)&amp;"","")&amp;"␟"&amp;IFERROR(INDEX(PASTE_ALL,$DF105,57)&amp;"","")&amp;"␟"&amp;IFERROR(INDEX(PASTE_ALL,$DF105,58)&amp;"","")&amp;"␟"&amp;IFERROR(INDEX(PASTE_ALL,$DF105,59)&amp;"","")&amp;"␟"&amp;IFERROR(INDEX(PASTE_ALL,$DF105,60)&amp;"","")," "," "),CHAR(9)," "),CHAR(10)," "),CHAR(13)," "))," ␟","␟"),"␟ ","␟"),"#"&amp;$DE105),"")</f>
        <v/>
      </c>
      <c r="DJ105">
        <f>IF($DI105="",0,IF(SUMPRODUCT(--EXACT($DI$4:DI104,$DI105))&gt;0,1,0))</f>
        <v/>
      </c>
      <c r="DK105">
        <f>IF(AND($DI105&lt;&gt;"",$DJ105=0),1,0)</f>
        <v/>
      </c>
      <c r="DL105">
        <f>DL104+$DK105</f>
        <v/>
      </c>
      <c r="DM105">
        <f>IF(AND($DK105=1,$DL105&lt;=600),1,0)</f>
        <v/>
      </c>
      <c r="DN105">
        <f>IF($DM105=0,"",IF($L$6=0,"",IFERROR(IF(ISNUMBER(INDEX(PASTE_ALL,$DF105,$L$6)),INDEX(PASTE_ALL,$DF105,$L$6),TRIM(SUBSTITUTE(SUBSTITUTE(SUBSTITUTE(SUBSTITUTE(INDEX(PASTE_ALL,$DF105,$L$6)," "," "),CHAR(9)," "),CHAR(10)," "),CHAR(13)," "))),"")))</f>
        <v/>
      </c>
      <c r="DO105">
        <f>IF($DM105=0,"",IF($L$7=0,"",IFERROR(IF(ISNUMBER(INDEX(PASTE_ALL,$DF105,$L$7)),INDEX(PASTE_ALL,$DF105,$L$7),TRIM(SUBSTITUTE(SUBSTITUTE(SUBSTITUTE(SUBSTITUTE(INDEX(PASTE_ALL,$DF105,$L$7)," "," "),CHAR(9)," "),CHAR(10)," "),CHAR(13)," "))),"")))</f>
        <v/>
      </c>
      <c r="DP105">
        <f>IF($DM105=0,"",IF($L$8=0,"",IFERROR(IF(ISNUMBER(INDEX(PASTE_ALL,$DF105,$L$8)),INDEX(PASTE_ALL,$DF105,$L$8),TRIM(SUBSTITUTE(SUBSTITUTE(SUBSTITUTE(SUBSTITUTE(INDEX(PASTE_ALL,$DF105,$L$8)," "," "),CHAR(9)," "),CHAR(10)," "),CHAR(13)," "))),"")))</f>
        <v/>
      </c>
      <c r="DQ105">
        <f>IF($DM105=0,"",IF($L$9=0,"",IFERROR(IF(ISNUMBER(INDEX(PASTE_ALL,$DF105,$L$9)),INDEX(PASTE_ALL,$DF105,$L$9),TRIM(SUBSTITUTE(SUBSTITUTE(SUBSTITUTE(SUBSTITUTE(INDEX(PASTE_ALL,$DF105,$L$9)," "," "),CHAR(9)," "),CHAR(10)," "),CHAR(13)," "))),"")))</f>
        <v/>
      </c>
      <c r="DR105">
        <f>IF($DM105=0,"",IF($L$10=0,"",IFERROR(IF(ISNUMBER(INDEX(PASTE_ALL,$DF105,$L$10)),INDEX(PASTE_ALL,$DF105,$L$10),TRIM(SUBSTITUTE(SUBSTITUTE(SUBSTITUTE(SUBSTITUTE(INDEX(PASTE_ALL,$DF105,$L$10)," "," "),CHAR(9)," "),CHAR(10)," "),CHAR(13)," "))),"")))</f>
        <v/>
      </c>
      <c r="DS105">
        <f>IF($DM105=0,"",IF($L$11=0,"",IFERROR(IF(ISNUMBER(INDEX(PASTE_ALL,$DF105,$L$11)),INDEX(PASTE_ALL,$DF105,$L$11),TRIM(SUBSTITUTE(SUBSTITUTE(SUBSTITUTE(SUBSTITUTE(INDEX(PASTE_ALL,$DF105,$L$11)," "," "),CHAR(9)," "),CHAR(10)," "),CHAR(13)," "))),"")))</f>
        <v/>
      </c>
      <c r="DT105">
        <f>IF($DM105=0,"",IF($L$12=0,"",IFERROR(IF(ISNUMBER(INDEX(PASTE_ALL,$DF105,$L$12)),INDEX(PASTE_ALL,$DF105,$L$12),TRIM(SUBSTITUTE(SUBSTITUTE(SUBSTITUTE(SUBSTITUTE(INDEX(PASTE_ALL,$DF105,$L$12)," "," "),CHAR(9)," "),CHAR(10)," "),CHAR(13)," "))),"")))</f>
        <v/>
      </c>
      <c r="DU105">
        <f>IF($DM105=0,"",IF($L$13=0,"",IFERROR(IF(ISNUMBER(INDEX(PASTE_ALL,$DF105,$L$13)),INDEX(PASTE_ALL,$DF105,$L$13),TRIM(SUBSTITUTE(SUBSTITUTE(SUBSTITUTE(SUBSTITUTE(INDEX(PASTE_ALL,$DF105,$L$13)," "," "),CHAR(9)," "),CHAR(10)," "),CHAR(13)," "))),"")))</f>
        <v/>
      </c>
      <c r="DV105">
        <f>IF($DM105=0,"",IF($L$14=0,"",IFERROR(IF(ISNUMBER(INDEX(PASTE_ALL,$DF105,$L$14)),INDEX(PASTE_ALL,$DF105,$L$14),TRIM(SUBSTITUTE(SUBSTITUTE(SUBSTITUTE(SUBSTITUTE(INDEX(PASTE_ALL,$DF105,$L$14)," "," "),CHAR(9)," "),CHAR(10)," "),CHAR(13)," "))),"")))</f>
        <v/>
      </c>
      <c r="DW105">
        <f>IF($DM105=0,"",IF($L$15=0,"",IFERROR(IF(ISNUMBER(INDEX(PASTE_ALL,$DF105,$L$15)),INDEX(PASTE_ALL,$DF105,$L$15),IF(SUMPRODUCT(--ISNUMBER(FIND({"A","B","C","D","E","F","G","H","I","J","K","L","M","N","O","P","Q","R","S","T","U","V","W","X","Y","Z","0","1","2","3","4","5","6","7","8","9"},UPPER(TRIM(SUBSTITUTE(SUBSTITUTE(SUBSTITUTE(SUBSTITUTE(INDEX(PASTE_ALL,$DF105,$L$15)," "," "),CHAR(9)," "),CHAR(10)," "),CHAR(13)," "))))))&gt;0,TRIM(SUBSTITUTE(SUBSTITUTE(SUBSTITUTE(SUBSTITUTE(INDEX(PASTE_ALL,$DF105,$L$15)," "," "),CHAR(9)," "),CHAR(10)," "),CHAR(13)," ")),"")),"")))</f>
        <v/>
      </c>
      <c r="DX105">
        <f>IF($DM105=0,"",IF($L$16=0,"",IFERROR(IF(ISNUMBER(INDEX(PASTE_ALL,$DF105,$L$16)),INDEX(PASTE_ALL,$DF105,$L$16),SUBSTITUTE(SUBSTITUTE(TRIM(SUBSTITUTE(SUBSTITUTE(SUBSTITUTE(SUBSTITUTE(INDEX(PASTE_ALL,$DF105,$L$16)," "," "),CHAR(9)," "),CHAR(10)," "),CHAR(13)," ")),",",""),"%","")),"")))</f>
        <v/>
      </c>
      <c r="DY105">
        <f>IF($DM105=0,"",IFERROR(IF(ISNUMBER($DX105),$DX105,IF($DX105="","",IF(TRIM($DX105)="",0,IF(AND(AND(SUBSTITUTE(SUBSTITUTE(SUBSTITUTE(SUBSTITUTE(SUBSTITUTE(SUBSTITUTE(SUBSTITUTE(SUBSTITUTE(SUBSTITUTE(SUBSTITUTE(SUBSTITUTE(SUBSTITUTE(SUBSTITUTE(SUBSTITUTE(UPPER(TRIM($DX105)),"0",""),"1",""),"2",""),"3",""),"4",""),"5",""),"6",""),"7",""),"8",""),"9",""),".",""),"+",""),"-",""),"E","")="",LEN(SUBSTITUTE(SUBSTITUTE(MID(UPPER(TRIM($DX105)),1+OR(LEFT(UPPER(TRIM($DX105)),1)="+",LEFT(UPPER(TRIM($DX105)),1)="-"),999),"E+","E"),"E-","E"))=LEN(SUBSTITUTE(SUBSTITUTE(SUBSTITUTE(SUBSTITUTE(MID(UPPER(TRIM($DX105)),1+OR(LEFT(UPPER(TRIM($DX105)),1)="+",LEFT(UPPER(TRIM($DX105)),1)="-"),999),"E+","E"),"E-","E"),"+",""),"-","")),LEN(UPPER(TRIM($DX105)))-LEN(SUBSTITUTE(UPPER(TRIM($DX105)),"E",""))&lt;2,LEN(UPPER(TRIM($DX105)))-LEN(SUBSTITUTE(UPPER(TRIM($DX105)),".",""))&lt;2,IFERROR(FIND(".",UPPER(TRIM($DX105))),0)&lt;IFERROR(FIND("E",UPPER(TRIM($DX105))),999)),ISNUMBER(VALUE(TRIM($DX105)))),VALUE(TRIM($DX105)),"")))),""))</f>
        <v/>
      </c>
      <c r="DZ105">
        <f>IF($DM105=0,"",IF($L$17=0,"",IFERROR(IF(ISNUMBER(INDEX(PASTE_ALL,$DF105,$L$17)),INDEX(PASTE_ALL,$DF105,$L$17),SUBSTITUTE(SUBSTITUTE(TRIM(SUBSTITUTE(SUBSTITUTE(SUBSTITUTE(SUBSTITUTE(INDEX(PASTE_ALL,$DF105,$L$17)," "," "),CHAR(9)," "),CHAR(10)," "),CHAR(13)," ")),",",""),"%","")),"")))</f>
        <v/>
      </c>
      <c r="EA105">
        <f>IF($DM105=0,"",IFERROR(IF(ISNUMBER($DZ105),$DZ105,IF($DZ105="","",IF(TRIM($DZ105)="",0,IF(AND(AND(SUBSTITUTE(SUBSTITUTE(SUBSTITUTE(SUBSTITUTE(SUBSTITUTE(SUBSTITUTE(SUBSTITUTE(SUBSTITUTE(SUBSTITUTE(SUBSTITUTE(SUBSTITUTE(SUBSTITUTE(SUBSTITUTE(SUBSTITUTE(UPPER(TRIM($DZ105)),"0",""),"1",""),"2",""),"3",""),"4",""),"5",""),"6",""),"7",""),"8",""),"9",""),".",""),"+",""),"-",""),"E","")="",LEN(SUBSTITUTE(SUBSTITUTE(MID(UPPER(TRIM($DZ105)),1+OR(LEFT(UPPER(TRIM($DZ105)),1)="+",LEFT(UPPER(TRIM($DZ105)),1)="-"),999),"E+","E"),"E-","E"))=LEN(SUBSTITUTE(SUBSTITUTE(SUBSTITUTE(SUBSTITUTE(MID(UPPER(TRIM($DZ105)),1+OR(LEFT(UPPER(TRIM($DZ105)),1)="+",LEFT(UPPER(TRIM($DZ105)),1)="-"),999),"E+","E"),"E-","E"),"+",""),"-","")),LEN(UPPER(TRIM($DZ105)))-LEN(SUBSTITUTE(UPPER(TRIM($DZ105)),"E",""))&lt;2,LEN(UPPER(TRIM($DZ105)))-LEN(SUBSTITUTE(UPPER(TRIM($DZ105)),".",""))&lt;2,IFERROR(FIND(".",UPPER(TRIM($DZ105))),0)&lt;IFERROR(FIND("E",UPPER(TRIM($DZ105))),999)),ISNUMBER(VALUE(TRIM($DZ105)))),VALUE(TRIM($DZ105)),"")))),""))</f>
        <v/>
      </c>
      <c r="EB105">
        <f>IF($DM105=0,"",IF($L$18=0,"",IFERROR(IF(UPPER(TRIM(SUBSTITUTE(SUBSTITUTE(SUBSTITUTE(SUBSTITUTE(INDEX(PASTE_ALL,$DF105,$L$18)," "," "),CHAR(9)," "),CHAR(10)," "),CHAR(13)," ")))="READY","Ready",IF(UPPER(TRIM(SUBSTITUTE(SUBSTITUTE(SUBSTITUTE(SUBSTITUTE(INDEX(PASTE_ALL,$DF105,$L$18)," "," "),CHAR(9)," "),CHAR(10)," "),CHAR(13)," ")))="PM","PM",IF(OR(UPPER(TRIM(SUBSTITUTE(SUBSTITUTE(SUBSTITUTE(SUBSTITUTE(INDEX(PASTE_ALL,$DF105,$L$18)," "," "),CHAR(9)," "),CHAR(10)," "),CHAR(13)," ")))="OT",UPPER(TRIM(SUBSTITUTE(SUBSTITUTE(SUBSTITUTE(SUBSTITUTE(INDEX(PASTE_ALL,$DF105,$L$18)," "," "),CHAR(9)," "),CHAR(10)," "),CHAR(13)," ")))="OVERTIME",UPPER(TRIM(SUBSTITUTE(SUBSTITUTE(SUBSTITUTE(SUBSTITUTE(INDEX(PASTE_ALL,$DF105,$L$18)," "," "),CHAR(9)," "),CHAR(10)," "),CHAR(13)," ")))="TRIAL"),"OT",TRIM(SUBSTITUTE(SUBSTITUTE(SUBSTITUTE(SUBSTITUTE(INDEX(PASTE_ALL,$DF105,$L$18)," "," "),CHAR(9)," "),CHAR(10)," "),CHAR(13)," "))))),"")))</f>
        <v/>
      </c>
      <c r="EC105">
        <f>IF($DM105=0,"",IF($L$19=0,"",IFERROR(IF(ISNUMBER(INDEX(PASTE_ALL,$DF105,$L$19)),INDEX(PASTE_ALL,$DF105,$L$19),TRIM(SUBSTITUTE(SUBSTITUTE(SUBSTITUTE(SUBSTITUTE(INDEX(PASTE_ALL,$DF105,$L$19)," "," "),CHAR(9)," "),CHAR(10)," "),CHAR(13)," "))),"")))</f>
        <v/>
      </c>
      <c r="ED105">
        <f>IF($DM105=0,"",MATCH(1,INDEX(EXACT($DH$5:DH105,$DH105)*$DM$5:DM105,0),0))</f>
        <v/>
      </c>
      <c r="EE105">
        <f>IF($DM105=0,0,IF($ED105=$DE105,1,0))</f>
        <v/>
      </c>
      <c r="EF105">
        <f>EF104+$EE105</f>
        <v/>
      </c>
      <c r="EG105">
        <f>IF($DM105=0,"",INDEX($EF$5:$EF$1003,$ED105))</f>
        <v/>
      </c>
      <c r="EH105">
        <f>IF($DM105=0,"",IF($DO105&lt;&gt;"","",IFERROR(LOOKUP(2,1/(($EG$4:EG104=$EG105)*($DO$4:DO104&lt;&gt;"")),$DO$4:DO104),"")))</f>
        <v/>
      </c>
      <c r="EI105">
        <f>IF($DM105=0,"",IF($DO105&lt;&gt;"",$DO105,$EH105))</f>
        <v/>
      </c>
      <c r="EJ105">
        <f>IF($DM105=0,"",IF($EI105="",0,IF(OR(ISNUMBER($EI105),AND(AND(SUBSTITUTE(SUBSTITUTE(SUBSTITUTE(SUBSTITUTE(SUBSTITUTE(SUBSTITUTE(SUBSTITUTE(SUBSTITUTE(SUBSTITUTE(SUBSTITUTE(SUBSTITUTE(SUBSTITUTE(SUBSTITUTE(SUBSTITUTE(UPPER($EI105),"0",""),"1",""),"2",""),"3",""),"4",""),"5",""),"6",""),"7",""),"8",""),"9",""),".",""),"+",""),"-",""),"E","")="",LEN(SUBSTITUTE(SUBSTITUTE(MID(UPPER($EI105),1+OR(LEFT(UPPER($EI105),1)="+",LEFT(UPPER($EI105),1)="-"),999),"E+","E"),"E-","E"))=LEN(SUBSTITUTE(SUBSTITUTE(SUBSTITUTE(SUBSTITUTE(MID(UPPER($EI105),1+OR(LEFT(UPPER($EI105),1)="+",LEFT(UPPER($EI105),1)="-"),999),"E+","E"),"E-","E"),"+",""),"-","")),LEN(UPPER($EI105))-LEN(SUBSTITUTE(UPPER($EI105),"E",""))&lt;2,LEN(UPPER($EI105))-LEN(SUBSTITUTE(UPPER($EI105),".",""))&lt;2,IFERROR(FIND(".",UPPER($EI105)),0)&lt;IFERROR(FIND("E",UPPER($EI105)),999)),ISNUMBER(VALUE($EI105)))),1,2)))</f>
        <v/>
      </c>
      <c r="EK105">
        <f>IF($DM105=0,"",IF($EJ105=1,IF(ISNUMBER($EI105),$EI105,VALUE($EI105)),IF($EJ105=2,$DE105,0)))</f>
        <v/>
      </c>
      <c r="EL105">
        <f>IF($DM105=0,"",COUNTIF($EG$5:$EG$1003,"&lt;"&amp;$EG105)+SUMPRODUCT(($EG$5:$EG$1003=$EG105)*(($EJ$5:$EJ$1003&lt;$EJ105)+($EJ$5:$EJ$1003=$EJ105)*(($EK$5:$EK$1003&lt;$EK105)+($EK$5:$EK$1003=$EK105)*($DE$5:$DE$1003&lt;$DE105))))+1)</f>
        <v/>
      </c>
      <c r="EM105">
        <f>IF($DM105=0,"",$EL105+$EG105-1)</f>
        <v/>
      </c>
      <c r="EN105">
        <f>IF($DM105=0,0,IFERROR(MATCH(1,INDEX(--(TRIM(SUBSTITUTE(SUBSTITUTE(SUBSTITUTE(SUBSTITUTE(LINES_NAME&amp;""," "," "),CHAR(9)," "),CHAR(10)," "),CHAR(13)," "))=$DH105),0),0),0))</f>
        <v/>
      </c>
      <c r="EO105">
        <f>IF($EN105=0,0,IF(OR(UPPER(TRIM(INDEX(LINES_SCHEDULED,$EN105)&amp;""))="YES",UPPER(TRIM(INDEX(LINES_SCHEDULED,$EN105)&amp;""))="Y",UPPER(TRIM(INDEX(LINES_SCHEDULED,$EN105)&amp;""))="X"),1,0))</f>
        <v/>
      </c>
      <c r="EP105">
        <f>IF($DM105=0,"",IF(COUNTIFS($EG$5:$EG$1003,$EG105,$EB$5:$EB$1003,"Ready")&gt;0,"READY",IF(COUNTIFS($EG$5:$EG$1003,$EG105,$EB$5:$EB$1003,"PM")&gt;0,"PM",IF(COUNTIFS($EG$5:$EG$1003,$EG105,$EB$5:$EB$1003,"OT")&gt;0,"OT",""))))</f>
        <v/>
      </c>
      <c r="EQ105">
        <f>IF($EN105=0,"",UPPER(TRIM(INDEX(LINES_STATUS,$EN105)&amp;"")))</f>
        <v/>
      </c>
      <c r="ER105">
        <f>IF($DM105=0,"",IF(OR($EQ105="READY",$EQ105="PM",$EQ105="OT"),$EQ105,$EP105))</f>
        <v/>
      </c>
      <c r="ES105">
        <f>IF($DM105=0,"",IF(AND($DV105&lt;&gt;"",UPPER($DV105)&lt;&gt;"N"),"allergen",IF(ISNUMBER(SEARCH("oil",$DQ105)),"oil",IF(OR(EXACT($DS105,"A662"),EXACT($DS105,"A624")),"bulk",""))))</f>
        <v/>
      </c>
      <c r="ET105">
        <f>IF($DM105=0,"",IF(OR($EA105="",$EA105=0),"",$EA105/100))</f>
        <v/>
      </c>
      <c r="EU105">
        <f>IF(OR($ET105="",$DY105=""),"",INT($DY105*(1-$ET105)+0.5))</f>
        <v/>
      </c>
      <c r="EW105" t="n">
        <v>101</v>
      </c>
      <c r="EX105">
        <f>IFERROR(MATCH($EW105,$EM$5:$EM$1003,0),0)</f>
        <v/>
      </c>
      <c r="EY105">
        <f>IF($EW105&gt;$B$12,"",IF($EX105&gt;0,"row","spacer"))</f>
        <v/>
      </c>
      <c r="EZ105">
        <f>IF(AND($EY105="row",$EY104&lt;&gt;"row"),1,0)</f>
        <v/>
      </c>
      <c r="FA105">
        <f>IF(AND($EY105="row",$EY106&lt;&gt;"row"),1,0)</f>
        <v/>
      </c>
      <c r="FB105">
        <f>IF($EZ105=1,IFERROR(IF(ISNUMBER(INDEX(PASTE_ALL,INDEX($DF$5:$DF$1003,$EX105),$B$37)),INDEX(PASTE_ALL,INDEX($DF$5:$DF$1003,$EX105),$B$37),INDEX($DH$5:$DH$1003,$EX105)),INDEX($DH$5:$DH$1003,$EX105)),"")</f>
        <v/>
      </c>
      <c r="FC105">
        <f>IF($EY105="row",INDEX($ER$5:$ER$1003,$EX105),"")</f>
        <v/>
      </c>
      <c r="FD105">
        <f>IF($EY105="row",INDEX($DN$5:$DN$1003,$EX105),"")</f>
        <v/>
      </c>
      <c r="FE105">
        <f>IF($EY105="row",INDEX($DO$5:$DO$1003,$EX105),"")</f>
        <v/>
      </c>
      <c r="FF105">
        <f>IF($EY105="row",INDEX($DP$5:$DP$1003,$EX105),"")</f>
        <v/>
      </c>
      <c r="FG105">
        <f>IF($EY105="row",INDEX($DQ$5:$DQ$1003,$EX105),"")</f>
        <v/>
      </c>
      <c r="FH105">
        <f>IF($EY105="row",INDEX($DR$5:$DR$1003,$EX105),"")</f>
        <v/>
      </c>
      <c r="FI105">
        <f>IF($EY105="row",INDEX($DS$5:$DS$1003,$EX105),"")</f>
        <v/>
      </c>
      <c r="FJ105">
        <f>IF($EY105="row",INDEX($DT$5:$DT$1003,$EX105),"")</f>
        <v/>
      </c>
      <c r="FK105">
        <f>IF($EY105="row",INDEX($DU$5:$DU$1003,$EX105),"")</f>
        <v/>
      </c>
      <c r="FL105">
        <f>IF($EY105="row",INDEX($DV$5:$DV$1003,$EX105),"")</f>
        <v/>
      </c>
      <c r="FM105">
        <f>IF($EY105="row",INDEX($DW$5:$DW$1003,$EX105),"")</f>
        <v/>
      </c>
      <c r="FN105">
        <f>IF($EY105="row",INDEX($DY$5:$DY$1003,$EX105),"")</f>
        <v/>
      </c>
      <c r="FO105">
        <f>IF($EY105="row",INDEX($EA$5:$EA$1003,$EX105),"")</f>
        <v/>
      </c>
      <c r="FP105">
        <f>IF($EY105="row",INDEX($EC$5:$EC$1003,$EX105),"")</f>
        <v/>
      </c>
      <c r="FQ105">
        <f>IF($EY105="row",INDEX($ET$5:$ET$1003,$EX105),"")</f>
        <v/>
      </c>
      <c r="FR105">
        <f>IF($EY105="row",INDEX($EU$5:$EU$1003,$EX105),"")</f>
        <v/>
      </c>
      <c r="FS105">
        <f>IF(AND($EY105="row",$EY104="row"),IF(OR(INDEX($DT$5:$DT$1003,$EX104)="",INDEX($DT$5:$DT$1003,$EX105)=""),"",IF(NOT(EXACT(INDEX($DT$5:$DT$1003,$EX104),INDEX($DT$5:$DT$1003,$EX105))),"S4",IF(NOT(EXACT(INDEX($DS$5:$DS$1003,$EX104),INDEX($DS$5:$DS$1003,$EX105))),"S3",IF(NOT(EXACT(INDEX($DR$5:$DR$1003,$EX104),INDEX($DR$5:$DR$1003,$EX105))),"S1 Count Change","S1")))),"")</f>
        <v/>
      </c>
      <c r="FT105">
        <f>IF($EY105="row",INDEX($ES$5:$ES$1003,$EX105),"")</f>
        <v/>
      </c>
      <c r="FU105">
        <f>IF($EY105="row",INDEX($EO$5:$EO$1003,$EX105),0)</f>
        <v/>
      </c>
      <c r="FV105">
        <f>IF($FS105="S1 Count Change",1,0)</f>
        <v/>
      </c>
    </row>
    <row r="106">
      <c r="Y106">
        <f>IF(Y16="",0,IFERROR(INDEX($W$5:$W$86,MATCH(Y16,$V$5:$V$86,0)),0))</f>
        <v/>
      </c>
      <c r="Z106">
        <f>IF(Z16="",0,IFERROR(INDEX($W$5:$W$86,MATCH(Z16,$V$5:$V$86,0)),0))</f>
        <v/>
      </c>
      <c r="AA106">
        <f>IF(AA16="",0,IFERROR(INDEX($W$5:$W$86,MATCH(AA16,$V$5:$V$86,0)),0))</f>
        <v/>
      </c>
      <c r="AB106">
        <f>IF(AB16="",0,IFERROR(INDEX($W$5:$W$86,MATCH(AB16,$V$5:$V$86,0)),0))</f>
        <v/>
      </c>
      <c r="AC106">
        <f>IF(AC16="",0,IFERROR(INDEX($W$5:$W$86,MATCH(AC16,$V$5:$V$86,0)),0))</f>
        <v/>
      </c>
      <c r="AD106">
        <f>IF(AD16="",0,IFERROR(INDEX($W$5:$W$86,MATCH(AD16,$V$5:$V$86,0)),0))</f>
        <v/>
      </c>
      <c r="AE106">
        <f>IF(AE16="",0,IFERROR(INDEX($W$5:$W$86,MATCH(AE16,$V$5:$V$86,0)),0))</f>
        <v/>
      </c>
      <c r="AF106">
        <f>IF(AF16="",0,IFERROR(INDEX($W$5:$W$86,MATCH(AF16,$V$5:$V$86,0)),0))</f>
        <v/>
      </c>
      <c r="AG106">
        <f>IF(AG16="",0,IFERROR(INDEX($W$5:$W$86,MATCH(AG16,$V$5:$V$86,0)),0))</f>
        <v/>
      </c>
      <c r="AH106">
        <f>IF(AH16="",0,IFERROR(INDEX($W$5:$W$86,MATCH(AH16,$V$5:$V$86,0)),0))</f>
        <v/>
      </c>
      <c r="AI106">
        <f>IF(AI16="",0,IFERROR(INDEX($W$5:$W$86,MATCH(AI16,$V$5:$V$86,0)),0))</f>
        <v/>
      </c>
      <c r="AJ106">
        <f>IF(AJ16="",0,IFERROR(INDEX($W$5:$W$86,MATCH(AJ16,$V$5:$V$86,0)),0))</f>
        <v/>
      </c>
      <c r="AK106">
        <f>IF(AK16="",0,IFERROR(INDEX($W$5:$W$86,MATCH(AK16,$V$5:$V$86,0)),0))</f>
        <v/>
      </c>
      <c r="AL106">
        <f>IF(AL16="",0,IFERROR(INDEX($W$5:$W$86,MATCH(AL16,$V$5:$V$86,0)),0))</f>
        <v/>
      </c>
      <c r="AM106">
        <f>IF(AM16="",0,IFERROR(INDEX($W$5:$W$86,MATCH(AM16,$V$5:$V$86,0)),0))</f>
        <v/>
      </c>
      <c r="AN106">
        <f>IF(AN16="",0,IFERROR(INDEX($W$5:$W$86,MATCH(AN16,$V$5:$V$86,0)),0))</f>
        <v/>
      </c>
      <c r="AO106">
        <f>IF(AO16="",0,IFERROR(INDEX($W$5:$W$86,MATCH(AO16,$V$5:$V$86,0)),0))</f>
        <v/>
      </c>
      <c r="AP106">
        <f>IF(AP16="",0,IFERROR(INDEX($W$5:$W$86,MATCH(AP16,$V$5:$V$86,0)),0))</f>
        <v/>
      </c>
      <c r="AQ106">
        <f>IF(AQ16="",0,IFERROR(INDEX($W$5:$W$86,MATCH(AQ16,$V$5:$V$86,0)),0))</f>
        <v/>
      </c>
      <c r="AR106">
        <f>IF(AR16="",0,IFERROR(INDEX($W$5:$W$86,MATCH(AR16,$V$5:$V$86,0)),0))</f>
        <v/>
      </c>
      <c r="AS106">
        <f>IF(AS16="",0,IFERROR(INDEX($W$5:$W$86,MATCH(AS16,$V$5:$V$86,0)),0))</f>
        <v/>
      </c>
      <c r="AT106">
        <f>IF(AT16="",0,IFERROR(INDEX($W$5:$W$86,MATCH(AT16,$V$5:$V$86,0)),0))</f>
        <v/>
      </c>
      <c r="AU106">
        <f>IF(AU16="",0,IFERROR(INDEX($W$5:$W$86,MATCH(AU16,$V$5:$V$86,0)),0))</f>
        <v/>
      </c>
      <c r="AV106">
        <f>IF(AV16="",0,IFERROR(INDEX($W$5:$W$86,MATCH(AV16,$V$5:$V$86,0)),0))</f>
        <v/>
      </c>
      <c r="AW106">
        <f>IF(AW16="",0,IFERROR(INDEX($W$5:$W$86,MATCH(AW16,$V$5:$V$86,0)),0))</f>
        <v/>
      </c>
      <c r="AX106">
        <f>IF(AX16="",0,IFERROR(INDEX($W$5:$W$86,MATCH(AX16,$V$5:$V$86,0)),0))</f>
        <v/>
      </c>
      <c r="AY106">
        <f>IF(AY16="",0,IFERROR(INDEX($W$5:$W$86,MATCH(AY16,$V$5:$V$86,0)),0))</f>
        <v/>
      </c>
      <c r="AZ106">
        <f>IF(AZ16="",0,IFERROR(INDEX($W$5:$W$86,MATCH(AZ16,$V$5:$V$86,0)),0))</f>
        <v/>
      </c>
      <c r="BA106">
        <f>IF(BA16="",0,IFERROR(INDEX($W$5:$W$86,MATCH(BA16,$V$5:$V$86,0)),0))</f>
        <v/>
      </c>
      <c r="BB106">
        <f>IF(BB16="",0,IFERROR(INDEX($W$5:$W$86,MATCH(BB16,$V$5:$V$86,0)),0))</f>
        <v/>
      </c>
      <c r="BC106">
        <f>IF(BC16="",0,IFERROR(INDEX($W$5:$W$86,MATCH(BC16,$V$5:$V$86,0)),0))</f>
        <v/>
      </c>
      <c r="BD106">
        <f>IF(BD16="",0,IFERROR(INDEX($W$5:$W$86,MATCH(BD16,$V$5:$V$86,0)),0))</f>
        <v/>
      </c>
      <c r="BE106">
        <f>IF(BE16="",0,IFERROR(INDEX($W$5:$W$86,MATCH(BE16,$V$5:$V$86,0)),0))</f>
        <v/>
      </c>
      <c r="BF106">
        <f>IF(BF16="",0,IFERROR(INDEX($W$5:$W$86,MATCH(BF16,$V$5:$V$86,0)),0))</f>
        <v/>
      </c>
      <c r="BG106">
        <f>IF(BG16="",0,IFERROR(INDEX($W$5:$W$86,MATCH(BG16,$V$5:$V$86,0)),0))</f>
        <v/>
      </c>
      <c r="BH106">
        <f>IF(BH16="",0,IFERROR(INDEX($W$5:$W$86,MATCH(BH16,$V$5:$V$86,0)),0))</f>
        <v/>
      </c>
      <c r="BI106">
        <f>IF(BI16="",0,IFERROR(INDEX($W$5:$W$86,MATCH(BI16,$V$5:$V$86,0)),0))</f>
        <v/>
      </c>
      <c r="BJ106">
        <f>IF(BJ16="",0,IFERROR(INDEX($W$5:$W$86,MATCH(BJ16,$V$5:$V$86,0)),0))</f>
        <v/>
      </c>
      <c r="BK106">
        <f>IF(BK16="",0,IFERROR(INDEX($W$5:$W$86,MATCH(BK16,$V$5:$V$86,0)),0))</f>
        <v/>
      </c>
      <c r="BL106">
        <f>IF(BL16="",0,IFERROR(INDEX($W$5:$W$86,MATCH(BL16,$V$5:$V$86,0)),0))</f>
        <v/>
      </c>
      <c r="BM106">
        <f>IF(BM16="",0,IFERROR(INDEX($W$5:$W$86,MATCH(BM16,$V$5:$V$86,0)),0))</f>
        <v/>
      </c>
      <c r="BN106">
        <f>IF(BN16="",0,IFERROR(INDEX($W$5:$W$86,MATCH(BN16,$V$5:$V$86,0)),0))</f>
        <v/>
      </c>
      <c r="BO106">
        <f>IF(BO16="",0,IFERROR(INDEX($W$5:$W$86,MATCH(BO16,$V$5:$V$86,0)),0))</f>
        <v/>
      </c>
      <c r="BP106">
        <f>IF(BP16="",0,IFERROR(INDEX($W$5:$W$86,MATCH(BP16,$V$5:$V$86,0)),0))</f>
        <v/>
      </c>
      <c r="BQ106">
        <f>IF(BQ16="",0,IFERROR(INDEX($W$5:$W$86,MATCH(BQ16,$V$5:$V$86,0)),0))</f>
        <v/>
      </c>
      <c r="BR106">
        <f>IF(BR16="",0,IFERROR(INDEX($W$5:$W$86,MATCH(BR16,$V$5:$V$86,0)),0))</f>
        <v/>
      </c>
      <c r="BS106">
        <f>IF(BS16="",0,IFERROR(INDEX($W$5:$W$86,MATCH(BS16,$V$5:$V$86,0)),0))</f>
        <v/>
      </c>
      <c r="BT106">
        <f>IF(BT16="",0,IFERROR(INDEX($W$5:$W$86,MATCH(BT16,$V$5:$V$86,0)),0))</f>
        <v/>
      </c>
      <c r="BU106">
        <f>IF(BU16="",0,IFERROR(INDEX($W$5:$W$86,MATCH(BU16,$V$5:$V$86,0)),0))</f>
        <v/>
      </c>
      <c r="BV106">
        <f>IF(BV16="",0,IFERROR(INDEX($W$5:$W$86,MATCH(BV16,$V$5:$V$86,0)),0))</f>
        <v/>
      </c>
      <c r="BW106">
        <f>IF(BW16="",0,IFERROR(INDEX($W$5:$W$86,MATCH(BW16,$V$5:$V$86,0)),0))</f>
        <v/>
      </c>
      <c r="BX106">
        <f>IF(BX16="",0,IFERROR(INDEX($W$5:$W$86,MATCH(BX16,$V$5:$V$86,0)),0))</f>
        <v/>
      </c>
      <c r="BY106">
        <f>IF(BY16="",0,IFERROR(INDEX($W$5:$W$86,MATCH(BY16,$V$5:$V$86,0)),0))</f>
        <v/>
      </c>
      <c r="BZ106">
        <f>IF(BZ16="",0,IFERROR(INDEX($W$5:$W$86,MATCH(BZ16,$V$5:$V$86,0)),0))</f>
        <v/>
      </c>
      <c r="CA106">
        <f>IF(CA16="",0,IFERROR(INDEX($W$5:$W$86,MATCH(CA16,$V$5:$V$86,0)),0))</f>
        <v/>
      </c>
      <c r="CB106">
        <f>IF(CB16="",0,IFERROR(INDEX($W$5:$W$86,MATCH(CB16,$V$5:$V$86,0)),0))</f>
        <v/>
      </c>
      <c r="CC106">
        <f>IF(CC16="",0,IFERROR(INDEX($W$5:$W$86,MATCH(CC16,$V$5:$V$86,0)),0))</f>
        <v/>
      </c>
      <c r="CD106">
        <f>IF(CD16="",0,IFERROR(INDEX($W$5:$W$86,MATCH(CD16,$V$5:$V$86,0)),0))</f>
        <v/>
      </c>
      <c r="CE106">
        <f>IF(CE16="",0,IFERROR(INDEX($W$5:$W$86,MATCH(CE16,$V$5:$V$86,0)),0))</f>
        <v/>
      </c>
      <c r="CF106">
        <f>IF(CF16="",0,IFERROR(INDEX($W$5:$W$86,MATCH(CF16,$V$5:$V$86,0)),0))</f>
        <v/>
      </c>
      <c r="DA106" t="n">
        <v>102</v>
      </c>
      <c r="DB106">
        <f>IF($B$37=0,"",IFERROR(TRIM(SUBSTITUTE(SUBSTITUTE(SUBSTITUTE(SUBSTITUTE(INDEX(PASTE_ALL,102,$B$37)," "," "),CHAR(9)," "),CHAR(10)," "),CHAR(13)," ")),""))</f>
        <v/>
      </c>
      <c r="DC106">
        <f>IF(AND(102&gt;HEADER_ROW,UPPER(DB106)="LEGEND"),1,0)</f>
        <v/>
      </c>
      <c r="DE106" t="n">
        <v>102</v>
      </c>
      <c r="DF106">
        <f>HEADER_ROW+$DE106</f>
        <v/>
      </c>
      <c r="DG106">
        <f>IF(AND($DF106&lt;=1000,$DF106&lt;$B$8),1,0)</f>
        <v/>
      </c>
      <c r="DH106">
        <f>IF($DG106=1,IFERROR(INDEX($DB$5:$DB$1004,$DF106),""),"")</f>
        <v/>
      </c>
      <c r="DI106">
        <f>IF(AND($DG106=1,$DH106&lt;&gt;""),IFERROR(SUBSTITUTE(SUBSTITUTE(TRIM(SUBSTITUTE(SUBSTITUTE(SUBSTITUTE(SUBSTITUTE(IFERROR(INDEX(PASTE_ALL,$DF106,1)&amp;"","")&amp;"␟"&amp;IFERROR(INDEX(PASTE_ALL,$DF106,2)&amp;"","")&amp;"␟"&amp;IFERROR(INDEX(PASTE_ALL,$DF106,3)&amp;"","")&amp;"␟"&amp;IFERROR(INDEX(PASTE_ALL,$DF106,4)&amp;"","")&amp;"␟"&amp;IFERROR(INDEX(PASTE_ALL,$DF106,5)&amp;"","")&amp;"␟"&amp;IFERROR(INDEX(PASTE_ALL,$DF106,6)&amp;"","")&amp;"␟"&amp;IFERROR(INDEX(PASTE_ALL,$DF106,7)&amp;"","")&amp;"␟"&amp;IFERROR(INDEX(PASTE_ALL,$DF106,8)&amp;"","")&amp;"␟"&amp;IFERROR(INDEX(PASTE_ALL,$DF106,9)&amp;"","")&amp;"␟"&amp;IFERROR(INDEX(PASTE_ALL,$DF106,10)&amp;"","")&amp;"␟"&amp;IFERROR(INDEX(PASTE_ALL,$DF106,11)&amp;"","")&amp;"␟"&amp;IFERROR(INDEX(PASTE_ALL,$DF106,12)&amp;"","")&amp;"␟"&amp;IFERROR(INDEX(PASTE_ALL,$DF106,13)&amp;"","")&amp;"␟"&amp;IFERROR(INDEX(PASTE_ALL,$DF106,14)&amp;"","")&amp;"␟"&amp;IFERROR(INDEX(PASTE_ALL,$DF106,15)&amp;"","")&amp;"␟"&amp;IFERROR(INDEX(PASTE_ALL,$DF106,16)&amp;"","")&amp;"␟"&amp;IFERROR(INDEX(PASTE_ALL,$DF106,17)&amp;"","")&amp;"␟"&amp;IFERROR(INDEX(PASTE_ALL,$DF106,18)&amp;"","")&amp;"␟"&amp;IFERROR(INDEX(PASTE_ALL,$DF106,19)&amp;"","")&amp;"␟"&amp;IFERROR(INDEX(PASTE_ALL,$DF106,20)&amp;"","")&amp;"␟"&amp;IFERROR(INDEX(PASTE_ALL,$DF106,21)&amp;"","")&amp;"␟"&amp;IFERROR(INDEX(PASTE_ALL,$DF106,22)&amp;"","")&amp;"␟"&amp;IFERROR(INDEX(PASTE_ALL,$DF106,23)&amp;"","")&amp;"␟"&amp;IFERROR(INDEX(PASTE_ALL,$DF106,24)&amp;"","")&amp;"␟"&amp;IFERROR(INDEX(PASTE_ALL,$DF106,25)&amp;"","")&amp;"␟"&amp;IFERROR(INDEX(PASTE_ALL,$DF106,26)&amp;"","")&amp;"␟"&amp;IFERROR(INDEX(PASTE_ALL,$DF106,27)&amp;"","")&amp;"␟"&amp;IFERROR(INDEX(PASTE_ALL,$DF106,28)&amp;"","")&amp;"␟"&amp;IFERROR(INDEX(PASTE_ALL,$DF106,29)&amp;"","")&amp;"␟"&amp;IFERROR(INDEX(PASTE_ALL,$DF106,30)&amp;"","")&amp;"␟"&amp;IFERROR(INDEX(PASTE_ALL,$DF106,31)&amp;"","")&amp;"␟"&amp;IFERROR(INDEX(PASTE_ALL,$DF106,32)&amp;"","")&amp;"␟"&amp;IFERROR(INDEX(PASTE_ALL,$DF106,33)&amp;"","")&amp;"␟"&amp;IFERROR(INDEX(PASTE_ALL,$DF106,34)&amp;"","")&amp;"␟"&amp;IFERROR(INDEX(PASTE_ALL,$DF106,35)&amp;"","")&amp;"␟"&amp;IFERROR(INDEX(PASTE_ALL,$DF106,36)&amp;"","")&amp;"␟"&amp;IFERROR(INDEX(PASTE_ALL,$DF106,37)&amp;"","")&amp;"␟"&amp;IFERROR(INDEX(PASTE_ALL,$DF106,38)&amp;"","")&amp;"␟"&amp;IFERROR(INDEX(PASTE_ALL,$DF106,39)&amp;"","")&amp;"␟"&amp;IFERROR(INDEX(PASTE_ALL,$DF106,40)&amp;"","")&amp;"␟"&amp;IFERROR(INDEX(PASTE_ALL,$DF106,41)&amp;"","")&amp;"␟"&amp;IFERROR(INDEX(PASTE_ALL,$DF106,42)&amp;"","")&amp;"␟"&amp;IFERROR(INDEX(PASTE_ALL,$DF106,43)&amp;"","")&amp;"␟"&amp;IFERROR(INDEX(PASTE_ALL,$DF106,44)&amp;"","")&amp;"␟"&amp;IFERROR(INDEX(PASTE_ALL,$DF106,45)&amp;"","")&amp;"␟"&amp;IFERROR(INDEX(PASTE_ALL,$DF106,46)&amp;"","")&amp;"␟"&amp;IFERROR(INDEX(PASTE_ALL,$DF106,47)&amp;"","")&amp;"␟"&amp;IFERROR(INDEX(PASTE_ALL,$DF106,48)&amp;"","")&amp;"␟"&amp;IFERROR(INDEX(PASTE_ALL,$DF106,49)&amp;"","")&amp;"␟"&amp;IFERROR(INDEX(PASTE_ALL,$DF106,50)&amp;"","")&amp;"␟"&amp;IFERROR(INDEX(PASTE_ALL,$DF106,51)&amp;"","")&amp;"␟"&amp;IFERROR(INDEX(PASTE_ALL,$DF106,52)&amp;"","")&amp;"␟"&amp;IFERROR(INDEX(PASTE_ALL,$DF106,53)&amp;"","")&amp;"␟"&amp;IFERROR(INDEX(PASTE_ALL,$DF106,54)&amp;"","")&amp;"␟"&amp;IFERROR(INDEX(PASTE_ALL,$DF106,55)&amp;"","")&amp;"␟"&amp;IFERROR(INDEX(PASTE_ALL,$DF106,56)&amp;"","")&amp;"␟"&amp;IFERROR(INDEX(PASTE_ALL,$DF106,57)&amp;"","")&amp;"␟"&amp;IFERROR(INDEX(PASTE_ALL,$DF106,58)&amp;"","")&amp;"␟"&amp;IFERROR(INDEX(PASTE_ALL,$DF106,59)&amp;"","")&amp;"␟"&amp;IFERROR(INDEX(PASTE_ALL,$DF106,60)&amp;"","")," "," "),CHAR(9)," "),CHAR(10)," "),CHAR(13)," "))," ␟","␟"),"␟ ","␟"),"#"&amp;$DE106),"")</f>
        <v/>
      </c>
      <c r="DJ106">
        <f>IF($DI106="",0,IF(SUMPRODUCT(--EXACT($DI$4:DI105,$DI106))&gt;0,1,0))</f>
        <v/>
      </c>
      <c r="DK106">
        <f>IF(AND($DI106&lt;&gt;"",$DJ106=0),1,0)</f>
        <v/>
      </c>
      <c r="DL106">
        <f>DL105+$DK106</f>
        <v/>
      </c>
      <c r="DM106">
        <f>IF(AND($DK106=1,$DL106&lt;=600),1,0)</f>
        <v/>
      </c>
      <c r="DN106">
        <f>IF($DM106=0,"",IF($L$6=0,"",IFERROR(IF(ISNUMBER(INDEX(PASTE_ALL,$DF106,$L$6)),INDEX(PASTE_ALL,$DF106,$L$6),TRIM(SUBSTITUTE(SUBSTITUTE(SUBSTITUTE(SUBSTITUTE(INDEX(PASTE_ALL,$DF106,$L$6)," "," "),CHAR(9)," "),CHAR(10)," "),CHAR(13)," "))),"")))</f>
        <v/>
      </c>
      <c r="DO106">
        <f>IF($DM106=0,"",IF($L$7=0,"",IFERROR(IF(ISNUMBER(INDEX(PASTE_ALL,$DF106,$L$7)),INDEX(PASTE_ALL,$DF106,$L$7),TRIM(SUBSTITUTE(SUBSTITUTE(SUBSTITUTE(SUBSTITUTE(INDEX(PASTE_ALL,$DF106,$L$7)," "," "),CHAR(9)," "),CHAR(10)," "),CHAR(13)," "))),"")))</f>
        <v/>
      </c>
      <c r="DP106">
        <f>IF($DM106=0,"",IF($L$8=0,"",IFERROR(IF(ISNUMBER(INDEX(PASTE_ALL,$DF106,$L$8)),INDEX(PASTE_ALL,$DF106,$L$8),TRIM(SUBSTITUTE(SUBSTITUTE(SUBSTITUTE(SUBSTITUTE(INDEX(PASTE_ALL,$DF106,$L$8)," "," "),CHAR(9)," "),CHAR(10)," "),CHAR(13)," "))),"")))</f>
        <v/>
      </c>
      <c r="DQ106">
        <f>IF($DM106=0,"",IF($L$9=0,"",IFERROR(IF(ISNUMBER(INDEX(PASTE_ALL,$DF106,$L$9)),INDEX(PASTE_ALL,$DF106,$L$9),TRIM(SUBSTITUTE(SUBSTITUTE(SUBSTITUTE(SUBSTITUTE(INDEX(PASTE_ALL,$DF106,$L$9)," "," "),CHAR(9)," "),CHAR(10)," "),CHAR(13)," "))),"")))</f>
        <v/>
      </c>
      <c r="DR106">
        <f>IF($DM106=0,"",IF($L$10=0,"",IFERROR(IF(ISNUMBER(INDEX(PASTE_ALL,$DF106,$L$10)),INDEX(PASTE_ALL,$DF106,$L$10),TRIM(SUBSTITUTE(SUBSTITUTE(SUBSTITUTE(SUBSTITUTE(INDEX(PASTE_ALL,$DF106,$L$10)," "," "),CHAR(9)," "),CHAR(10)," "),CHAR(13)," "))),"")))</f>
        <v/>
      </c>
      <c r="DS106">
        <f>IF($DM106=0,"",IF($L$11=0,"",IFERROR(IF(ISNUMBER(INDEX(PASTE_ALL,$DF106,$L$11)),INDEX(PASTE_ALL,$DF106,$L$11),TRIM(SUBSTITUTE(SUBSTITUTE(SUBSTITUTE(SUBSTITUTE(INDEX(PASTE_ALL,$DF106,$L$11)," "," "),CHAR(9)," "),CHAR(10)," "),CHAR(13)," "))),"")))</f>
        <v/>
      </c>
      <c r="DT106">
        <f>IF($DM106=0,"",IF($L$12=0,"",IFERROR(IF(ISNUMBER(INDEX(PASTE_ALL,$DF106,$L$12)),INDEX(PASTE_ALL,$DF106,$L$12),TRIM(SUBSTITUTE(SUBSTITUTE(SUBSTITUTE(SUBSTITUTE(INDEX(PASTE_ALL,$DF106,$L$12)," "," "),CHAR(9)," "),CHAR(10)," "),CHAR(13)," "))),"")))</f>
        <v/>
      </c>
      <c r="DU106">
        <f>IF($DM106=0,"",IF($L$13=0,"",IFERROR(IF(ISNUMBER(INDEX(PASTE_ALL,$DF106,$L$13)),INDEX(PASTE_ALL,$DF106,$L$13),TRIM(SUBSTITUTE(SUBSTITUTE(SUBSTITUTE(SUBSTITUTE(INDEX(PASTE_ALL,$DF106,$L$13)," "," "),CHAR(9)," "),CHAR(10)," "),CHAR(13)," "))),"")))</f>
        <v/>
      </c>
      <c r="DV106">
        <f>IF($DM106=0,"",IF($L$14=0,"",IFERROR(IF(ISNUMBER(INDEX(PASTE_ALL,$DF106,$L$14)),INDEX(PASTE_ALL,$DF106,$L$14),TRIM(SUBSTITUTE(SUBSTITUTE(SUBSTITUTE(SUBSTITUTE(INDEX(PASTE_ALL,$DF106,$L$14)," "," "),CHAR(9)," "),CHAR(10)," "),CHAR(13)," "))),"")))</f>
        <v/>
      </c>
      <c r="DW106">
        <f>IF($DM106=0,"",IF($L$15=0,"",IFERROR(IF(ISNUMBER(INDEX(PASTE_ALL,$DF106,$L$15)),INDEX(PASTE_ALL,$DF106,$L$15),IF(SUMPRODUCT(--ISNUMBER(FIND({"A","B","C","D","E","F","G","H","I","J","K","L","M","N","O","P","Q","R","S","T","U","V","W","X","Y","Z","0","1","2","3","4","5","6","7","8","9"},UPPER(TRIM(SUBSTITUTE(SUBSTITUTE(SUBSTITUTE(SUBSTITUTE(INDEX(PASTE_ALL,$DF106,$L$15)," "," "),CHAR(9)," "),CHAR(10)," "),CHAR(13)," "))))))&gt;0,TRIM(SUBSTITUTE(SUBSTITUTE(SUBSTITUTE(SUBSTITUTE(INDEX(PASTE_ALL,$DF106,$L$15)," "," "),CHAR(9)," "),CHAR(10)," "),CHAR(13)," ")),"")),"")))</f>
        <v/>
      </c>
      <c r="DX106">
        <f>IF($DM106=0,"",IF($L$16=0,"",IFERROR(IF(ISNUMBER(INDEX(PASTE_ALL,$DF106,$L$16)),INDEX(PASTE_ALL,$DF106,$L$16),SUBSTITUTE(SUBSTITUTE(TRIM(SUBSTITUTE(SUBSTITUTE(SUBSTITUTE(SUBSTITUTE(INDEX(PASTE_ALL,$DF106,$L$16)," "," "),CHAR(9)," "),CHAR(10)," "),CHAR(13)," ")),",",""),"%","")),"")))</f>
        <v/>
      </c>
      <c r="DY106">
        <f>IF($DM106=0,"",IFERROR(IF(ISNUMBER($DX106),$DX106,IF($DX106="","",IF(TRIM($DX106)="",0,IF(AND(AND(SUBSTITUTE(SUBSTITUTE(SUBSTITUTE(SUBSTITUTE(SUBSTITUTE(SUBSTITUTE(SUBSTITUTE(SUBSTITUTE(SUBSTITUTE(SUBSTITUTE(SUBSTITUTE(SUBSTITUTE(SUBSTITUTE(SUBSTITUTE(UPPER(TRIM($DX106)),"0",""),"1",""),"2",""),"3",""),"4",""),"5",""),"6",""),"7",""),"8",""),"9",""),".",""),"+",""),"-",""),"E","")="",LEN(SUBSTITUTE(SUBSTITUTE(MID(UPPER(TRIM($DX106)),1+OR(LEFT(UPPER(TRIM($DX106)),1)="+",LEFT(UPPER(TRIM($DX106)),1)="-"),999),"E+","E"),"E-","E"))=LEN(SUBSTITUTE(SUBSTITUTE(SUBSTITUTE(SUBSTITUTE(MID(UPPER(TRIM($DX106)),1+OR(LEFT(UPPER(TRIM($DX106)),1)="+",LEFT(UPPER(TRIM($DX106)),1)="-"),999),"E+","E"),"E-","E"),"+",""),"-","")),LEN(UPPER(TRIM($DX106)))-LEN(SUBSTITUTE(UPPER(TRIM($DX106)),"E",""))&lt;2,LEN(UPPER(TRIM($DX106)))-LEN(SUBSTITUTE(UPPER(TRIM($DX106)),".",""))&lt;2,IFERROR(FIND(".",UPPER(TRIM($DX106))),0)&lt;IFERROR(FIND("E",UPPER(TRIM($DX106))),999)),ISNUMBER(VALUE(TRIM($DX106)))),VALUE(TRIM($DX106)),"")))),""))</f>
        <v/>
      </c>
      <c r="DZ106">
        <f>IF($DM106=0,"",IF($L$17=0,"",IFERROR(IF(ISNUMBER(INDEX(PASTE_ALL,$DF106,$L$17)),INDEX(PASTE_ALL,$DF106,$L$17),SUBSTITUTE(SUBSTITUTE(TRIM(SUBSTITUTE(SUBSTITUTE(SUBSTITUTE(SUBSTITUTE(INDEX(PASTE_ALL,$DF106,$L$17)," "," "),CHAR(9)," "),CHAR(10)," "),CHAR(13)," ")),",",""),"%","")),"")))</f>
        <v/>
      </c>
      <c r="EA106">
        <f>IF($DM106=0,"",IFERROR(IF(ISNUMBER($DZ106),$DZ106,IF($DZ106="","",IF(TRIM($DZ106)="",0,IF(AND(AND(SUBSTITUTE(SUBSTITUTE(SUBSTITUTE(SUBSTITUTE(SUBSTITUTE(SUBSTITUTE(SUBSTITUTE(SUBSTITUTE(SUBSTITUTE(SUBSTITUTE(SUBSTITUTE(SUBSTITUTE(SUBSTITUTE(SUBSTITUTE(UPPER(TRIM($DZ106)),"0",""),"1",""),"2",""),"3",""),"4",""),"5",""),"6",""),"7",""),"8",""),"9",""),".",""),"+",""),"-",""),"E","")="",LEN(SUBSTITUTE(SUBSTITUTE(MID(UPPER(TRIM($DZ106)),1+OR(LEFT(UPPER(TRIM($DZ106)),1)="+",LEFT(UPPER(TRIM($DZ106)),1)="-"),999),"E+","E"),"E-","E"))=LEN(SUBSTITUTE(SUBSTITUTE(SUBSTITUTE(SUBSTITUTE(MID(UPPER(TRIM($DZ106)),1+OR(LEFT(UPPER(TRIM($DZ106)),1)="+",LEFT(UPPER(TRIM($DZ106)),1)="-"),999),"E+","E"),"E-","E"),"+",""),"-","")),LEN(UPPER(TRIM($DZ106)))-LEN(SUBSTITUTE(UPPER(TRIM($DZ106)),"E",""))&lt;2,LEN(UPPER(TRIM($DZ106)))-LEN(SUBSTITUTE(UPPER(TRIM($DZ106)),".",""))&lt;2,IFERROR(FIND(".",UPPER(TRIM($DZ106))),0)&lt;IFERROR(FIND("E",UPPER(TRIM($DZ106))),999)),ISNUMBER(VALUE(TRIM($DZ106)))),VALUE(TRIM($DZ106)),"")))),""))</f>
        <v/>
      </c>
      <c r="EB106">
        <f>IF($DM106=0,"",IF($L$18=0,"",IFERROR(IF(UPPER(TRIM(SUBSTITUTE(SUBSTITUTE(SUBSTITUTE(SUBSTITUTE(INDEX(PASTE_ALL,$DF106,$L$18)," "," "),CHAR(9)," "),CHAR(10)," "),CHAR(13)," ")))="READY","Ready",IF(UPPER(TRIM(SUBSTITUTE(SUBSTITUTE(SUBSTITUTE(SUBSTITUTE(INDEX(PASTE_ALL,$DF106,$L$18)," "," "),CHAR(9)," "),CHAR(10)," "),CHAR(13)," ")))="PM","PM",IF(OR(UPPER(TRIM(SUBSTITUTE(SUBSTITUTE(SUBSTITUTE(SUBSTITUTE(INDEX(PASTE_ALL,$DF106,$L$18)," "," "),CHAR(9)," "),CHAR(10)," "),CHAR(13)," ")))="OT",UPPER(TRIM(SUBSTITUTE(SUBSTITUTE(SUBSTITUTE(SUBSTITUTE(INDEX(PASTE_ALL,$DF106,$L$18)," "," "),CHAR(9)," "),CHAR(10)," "),CHAR(13)," ")))="OVERTIME",UPPER(TRIM(SUBSTITUTE(SUBSTITUTE(SUBSTITUTE(SUBSTITUTE(INDEX(PASTE_ALL,$DF106,$L$18)," "," "),CHAR(9)," "),CHAR(10)," "),CHAR(13)," ")))="TRIAL"),"OT",TRIM(SUBSTITUTE(SUBSTITUTE(SUBSTITUTE(SUBSTITUTE(INDEX(PASTE_ALL,$DF106,$L$18)," "," "),CHAR(9)," "),CHAR(10)," "),CHAR(13)," "))))),"")))</f>
        <v/>
      </c>
      <c r="EC106">
        <f>IF($DM106=0,"",IF($L$19=0,"",IFERROR(IF(ISNUMBER(INDEX(PASTE_ALL,$DF106,$L$19)),INDEX(PASTE_ALL,$DF106,$L$19),TRIM(SUBSTITUTE(SUBSTITUTE(SUBSTITUTE(SUBSTITUTE(INDEX(PASTE_ALL,$DF106,$L$19)," "," "),CHAR(9)," "),CHAR(10)," "),CHAR(13)," "))),"")))</f>
        <v/>
      </c>
      <c r="ED106">
        <f>IF($DM106=0,"",MATCH(1,INDEX(EXACT($DH$5:DH106,$DH106)*$DM$5:DM106,0),0))</f>
        <v/>
      </c>
      <c r="EE106">
        <f>IF($DM106=0,0,IF($ED106=$DE106,1,0))</f>
        <v/>
      </c>
      <c r="EF106">
        <f>EF105+$EE106</f>
        <v/>
      </c>
      <c r="EG106">
        <f>IF($DM106=0,"",INDEX($EF$5:$EF$1003,$ED106))</f>
        <v/>
      </c>
      <c r="EH106">
        <f>IF($DM106=0,"",IF($DO106&lt;&gt;"","",IFERROR(LOOKUP(2,1/(($EG$4:EG105=$EG106)*($DO$4:DO105&lt;&gt;"")),$DO$4:DO105),"")))</f>
        <v/>
      </c>
      <c r="EI106">
        <f>IF($DM106=0,"",IF($DO106&lt;&gt;"",$DO106,$EH106))</f>
        <v/>
      </c>
      <c r="EJ106">
        <f>IF($DM106=0,"",IF($EI106="",0,IF(OR(ISNUMBER($EI106),AND(AND(SUBSTITUTE(SUBSTITUTE(SUBSTITUTE(SUBSTITUTE(SUBSTITUTE(SUBSTITUTE(SUBSTITUTE(SUBSTITUTE(SUBSTITUTE(SUBSTITUTE(SUBSTITUTE(SUBSTITUTE(SUBSTITUTE(SUBSTITUTE(UPPER($EI106),"0",""),"1",""),"2",""),"3",""),"4",""),"5",""),"6",""),"7",""),"8",""),"9",""),".",""),"+",""),"-",""),"E","")="",LEN(SUBSTITUTE(SUBSTITUTE(MID(UPPER($EI106),1+OR(LEFT(UPPER($EI106),1)="+",LEFT(UPPER($EI106),1)="-"),999),"E+","E"),"E-","E"))=LEN(SUBSTITUTE(SUBSTITUTE(SUBSTITUTE(SUBSTITUTE(MID(UPPER($EI106),1+OR(LEFT(UPPER($EI106),1)="+",LEFT(UPPER($EI106),1)="-"),999),"E+","E"),"E-","E"),"+",""),"-","")),LEN(UPPER($EI106))-LEN(SUBSTITUTE(UPPER($EI106),"E",""))&lt;2,LEN(UPPER($EI106))-LEN(SUBSTITUTE(UPPER($EI106),".",""))&lt;2,IFERROR(FIND(".",UPPER($EI106)),0)&lt;IFERROR(FIND("E",UPPER($EI106)),999)),ISNUMBER(VALUE($EI106)))),1,2)))</f>
        <v/>
      </c>
      <c r="EK106">
        <f>IF($DM106=0,"",IF($EJ106=1,IF(ISNUMBER($EI106),$EI106,VALUE($EI106)),IF($EJ106=2,$DE106,0)))</f>
        <v/>
      </c>
      <c r="EL106">
        <f>IF($DM106=0,"",COUNTIF($EG$5:$EG$1003,"&lt;"&amp;$EG106)+SUMPRODUCT(($EG$5:$EG$1003=$EG106)*(($EJ$5:$EJ$1003&lt;$EJ106)+($EJ$5:$EJ$1003=$EJ106)*(($EK$5:$EK$1003&lt;$EK106)+($EK$5:$EK$1003=$EK106)*($DE$5:$DE$1003&lt;$DE106))))+1)</f>
        <v/>
      </c>
      <c r="EM106">
        <f>IF($DM106=0,"",$EL106+$EG106-1)</f>
        <v/>
      </c>
      <c r="EN106">
        <f>IF($DM106=0,0,IFERROR(MATCH(1,INDEX(--(TRIM(SUBSTITUTE(SUBSTITUTE(SUBSTITUTE(SUBSTITUTE(LINES_NAME&amp;""," "," "),CHAR(9)," "),CHAR(10)," "),CHAR(13)," "))=$DH106),0),0),0))</f>
        <v/>
      </c>
      <c r="EO106">
        <f>IF($EN106=0,0,IF(OR(UPPER(TRIM(INDEX(LINES_SCHEDULED,$EN106)&amp;""))="YES",UPPER(TRIM(INDEX(LINES_SCHEDULED,$EN106)&amp;""))="Y",UPPER(TRIM(INDEX(LINES_SCHEDULED,$EN106)&amp;""))="X"),1,0))</f>
        <v/>
      </c>
      <c r="EP106">
        <f>IF($DM106=0,"",IF(COUNTIFS($EG$5:$EG$1003,$EG106,$EB$5:$EB$1003,"Ready")&gt;0,"READY",IF(COUNTIFS($EG$5:$EG$1003,$EG106,$EB$5:$EB$1003,"PM")&gt;0,"PM",IF(COUNTIFS($EG$5:$EG$1003,$EG106,$EB$5:$EB$1003,"OT")&gt;0,"OT",""))))</f>
        <v/>
      </c>
      <c r="EQ106">
        <f>IF($EN106=0,"",UPPER(TRIM(INDEX(LINES_STATUS,$EN106)&amp;"")))</f>
        <v/>
      </c>
      <c r="ER106">
        <f>IF($DM106=0,"",IF(OR($EQ106="READY",$EQ106="PM",$EQ106="OT"),$EQ106,$EP106))</f>
        <v/>
      </c>
      <c r="ES106">
        <f>IF($DM106=0,"",IF(AND($DV106&lt;&gt;"",UPPER($DV106)&lt;&gt;"N"),"allergen",IF(ISNUMBER(SEARCH("oil",$DQ106)),"oil",IF(OR(EXACT($DS106,"A662"),EXACT($DS106,"A624")),"bulk",""))))</f>
        <v/>
      </c>
      <c r="ET106">
        <f>IF($DM106=0,"",IF(OR($EA106="",$EA106=0),"",$EA106/100))</f>
        <v/>
      </c>
      <c r="EU106">
        <f>IF(OR($ET106="",$DY106=""),"",INT($DY106*(1-$ET106)+0.5))</f>
        <v/>
      </c>
      <c r="EW106" t="n">
        <v>102</v>
      </c>
      <c r="EX106">
        <f>IFERROR(MATCH($EW106,$EM$5:$EM$1003,0),0)</f>
        <v/>
      </c>
      <c r="EY106">
        <f>IF($EW106&gt;$B$12,"",IF($EX106&gt;0,"row","spacer"))</f>
        <v/>
      </c>
      <c r="EZ106">
        <f>IF(AND($EY106="row",$EY105&lt;&gt;"row"),1,0)</f>
        <v/>
      </c>
      <c r="FA106">
        <f>IF(AND($EY106="row",$EY107&lt;&gt;"row"),1,0)</f>
        <v/>
      </c>
      <c r="FB106">
        <f>IF($EZ106=1,IFERROR(IF(ISNUMBER(INDEX(PASTE_ALL,INDEX($DF$5:$DF$1003,$EX106),$B$37)),INDEX(PASTE_ALL,INDEX($DF$5:$DF$1003,$EX106),$B$37),INDEX($DH$5:$DH$1003,$EX106)),INDEX($DH$5:$DH$1003,$EX106)),"")</f>
        <v/>
      </c>
      <c r="FC106">
        <f>IF($EY106="row",INDEX($ER$5:$ER$1003,$EX106),"")</f>
        <v/>
      </c>
      <c r="FD106">
        <f>IF($EY106="row",INDEX($DN$5:$DN$1003,$EX106),"")</f>
        <v/>
      </c>
      <c r="FE106">
        <f>IF($EY106="row",INDEX($DO$5:$DO$1003,$EX106),"")</f>
        <v/>
      </c>
      <c r="FF106">
        <f>IF($EY106="row",INDEX($DP$5:$DP$1003,$EX106),"")</f>
        <v/>
      </c>
      <c r="FG106">
        <f>IF($EY106="row",INDEX($DQ$5:$DQ$1003,$EX106),"")</f>
        <v/>
      </c>
      <c r="FH106">
        <f>IF($EY106="row",INDEX($DR$5:$DR$1003,$EX106),"")</f>
        <v/>
      </c>
      <c r="FI106">
        <f>IF($EY106="row",INDEX($DS$5:$DS$1003,$EX106),"")</f>
        <v/>
      </c>
      <c r="FJ106">
        <f>IF($EY106="row",INDEX($DT$5:$DT$1003,$EX106),"")</f>
        <v/>
      </c>
      <c r="FK106">
        <f>IF($EY106="row",INDEX($DU$5:$DU$1003,$EX106),"")</f>
        <v/>
      </c>
      <c r="FL106">
        <f>IF($EY106="row",INDEX($DV$5:$DV$1003,$EX106),"")</f>
        <v/>
      </c>
      <c r="FM106">
        <f>IF($EY106="row",INDEX($DW$5:$DW$1003,$EX106),"")</f>
        <v/>
      </c>
      <c r="FN106">
        <f>IF($EY106="row",INDEX($DY$5:$DY$1003,$EX106),"")</f>
        <v/>
      </c>
      <c r="FO106">
        <f>IF($EY106="row",INDEX($EA$5:$EA$1003,$EX106),"")</f>
        <v/>
      </c>
      <c r="FP106">
        <f>IF($EY106="row",INDEX($EC$5:$EC$1003,$EX106),"")</f>
        <v/>
      </c>
      <c r="FQ106">
        <f>IF($EY106="row",INDEX($ET$5:$ET$1003,$EX106),"")</f>
        <v/>
      </c>
      <c r="FR106">
        <f>IF($EY106="row",INDEX($EU$5:$EU$1003,$EX106),"")</f>
        <v/>
      </c>
      <c r="FS106">
        <f>IF(AND($EY106="row",$EY105="row"),IF(OR(INDEX($DT$5:$DT$1003,$EX105)="",INDEX($DT$5:$DT$1003,$EX106)=""),"",IF(NOT(EXACT(INDEX($DT$5:$DT$1003,$EX105),INDEX($DT$5:$DT$1003,$EX106))),"S4",IF(NOT(EXACT(INDEX($DS$5:$DS$1003,$EX105),INDEX($DS$5:$DS$1003,$EX106))),"S3",IF(NOT(EXACT(INDEX($DR$5:$DR$1003,$EX105),INDEX($DR$5:$DR$1003,$EX106))),"S1 Count Change","S1")))),"")</f>
        <v/>
      </c>
      <c r="FT106">
        <f>IF($EY106="row",INDEX($ES$5:$ES$1003,$EX106),"")</f>
        <v/>
      </c>
      <c r="FU106">
        <f>IF($EY106="row",INDEX($EO$5:$EO$1003,$EX106),0)</f>
        <v/>
      </c>
      <c r="FV106">
        <f>IF($FS106="S1 Count Change",1,0)</f>
        <v/>
      </c>
    </row>
    <row r="107">
      <c r="Y107">
        <f>IF(Y17="",0,IFERROR(INDEX($W$5:$W$86,MATCH(Y17,$V$5:$V$86,0)),0))</f>
        <v/>
      </c>
      <c r="Z107">
        <f>IF(Z17="",0,IFERROR(INDEX($W$5:$W$86,MATCH(Z17,$V$5:$V$86,0)),0))</f>
        <v/>
      </c>
      <c r="AA107">
        <f>IF(AA17="",0,IFERROR(INDEX($W$5:$W$86,MATCH(AA17,$V$5:$V$86,0)),0))</f>
        <v/>
      </c>
      <c r="AB107">
        <f>IF(AB17="",0,IFERROR(INDEX($W$5:$W$86,MATCH(AB17,$V$5:$V$86,0)),0))</f>
        <v/>
      </c>
      <c r="AC107">
        <f>IF(AC17="",0,IFERROR(INDEX($W$5:$W$86,MATCH(AC17,$V$5:$V$86,0)),0))</f>
        <v/>
      </c>
      <c r="AD107">
        <f>IF(AD17="",0,IFERROR(INDEX($W$5:$W$86,MATCH(AD17,$V$5:$V$86,0)),0))</f>
        <v/>
      </c>
      <c r="AE107">
        <f>IF(AE17="",0,IFERROR(INDEX($W$5:$W$86,MATCH(AE17,$V$5:$V$86,0)),0))</f>
        <v/>
      </c>
      <c r="AF107">
        <f>IF(AF17="",0,IFERROR(INDEX($W$5:$W$86,MATCH(AF17,$V$5:$V$86,0)),0))</f>
        <v/>
      </c>
      <c r="AG107">
        <f>IF(AG17="",0,IFERROR(INDEX($W$5:$W$86,MATCH(AG17,$V$5:$V$86,0)),0))</f>
        <v/>
      </c>
      <c r="AH107">
        <f>IF(AH17="",0,IFERROR(INDEX($W$5:$W$86,MATCH(AH17,$V$5:$V$86,0)),0))</f>
        <v/>
      </c>
      <c r="AI107">
        <f>IF(AI17="",0,IFERROR(INDEX($W$5:$W$86,MATCH(AI17,$V$5:$V$86,0)),0))</f>
        <v/>
      </c>
      <c r="AJ107">
        <f>IF(AJ17="",0,IFERROR(INDEX($W$5:$W$86,MATCH(AJ17,$V$5:$V$86,0)),0))</f>
        <v/>
      </c>
      <c r="AK107">
        <f>IF(AK17="",0,IFERROR(INDEX($W$5:$W$86,MATCH(AK17,$V$5:$V$86,0)),0))</f>
        <v/>
      </c>
      <c r="AL107">
        <f>IF(AL17="",0,IFERROR(INDEX($W$5:$W$86,MATCH(AL17,$V$5:$V$86,0)),0))</f>
        <v/>
      </c>
      <c r="AM107">
        <f>IF(AM17="",0,IFERROR(INDEX($W$5:$W$86,MATCH(AM17,$V$5:$V$86,0)),0))</f>
        <v/>
      </c>
      <c r="AN107">
        <f>IF(AN17="",0,IFERROR(INDEX($W$5:$W$86,MATCH(AN17,$V$5:$V$86,0)),0))</f>
        <v/>
      </c>
      <c r="AO107">
        <f>IF(AO17="",0,IFERROR(INDEX($W$5:$W$86,MATCH(AO17,$V$5:$V$86,0)),0))</f>
        <v/>
      </c>
      <c r="AP107">
        <f>IF(AP17="",0,IFERROR(INDEX($W$5:$W$86,MATCH(AP17,$V$5:$V$86,0)),0))</f>
        <v/>
      </c>
      <c r="AQ107">
        <f>IF(AQ17="",0,IFERROR(INDEX($W$5:$W$86,MATCH(AQ17,$V$5:$V$86,0)),0))</f>
        <v/>
      </c>
      <c r="AR107">
        <f>IF(AR17="",0,IFERROR(INDEX($W$5:$W$86,MATCH(AR17,$V$5:$V$86,0)),0))</f>
        <v/>
      </c>
      <c r="AS107">
        <f>IF(AS17="",0,IFERROR(INDEX($W$5:$W$86,MATCH(AS17,$V$5:$V$86,0)),0))</f>
        <v/>
      </c>
      <c r="AT107">
        <f>IF(AT17="",0,IFERROR(INDEX($W$5:$W$86,MATCH(AT17,$V$5:$V$86,0)),0))</f>
        <v/>
      </c>
      <c r="AU107">
        <f>IF(AU17="",0,IFERROR(INDEX($W$5:$W$86,MATCH(AU17,$V$5:$V$86,0)),0))</f>
        <v/>
      </c>
      <c r="AV107">
        <f>IF(AV17="",0,IFERROR(INDEX($W$5:$W$86,MATCH(AV17,$V$5:$V$86,0)),0))</f>
        <v/>
      </c>
      <c r="AW107">
        <f>IF(AW17="",0,IFERROR(INDEX($W$5:$W$86,MATCH(AW17,$V$5:$V$86,0)),0))</f>
        <v/>
      </c>
      <c r="AX107">
        <f>IF(AX17="",0,IFERROR(INDEX($W$5:$W$86,MATCH(AX17,$V$5:$V$86,0)),0))</f>
        <v/>
      </c>
      <c r="AY107">
        <f>IF(AY17="",0,IFERROR(INDEX($W$5:$W$86,MATCH(AY17,$V$5:$V$86,0)),0))</f>
        <v/>
      </c>
      <c r="AZ107">
        <f>IF(AZ17="",0,IFERROR(INDEX($W$5:$W$86,MATCH(AZ17,$V$5:$V$86,0)),0))</f>
        <v/>
      </c>
      <c r="BA107">
        <f>IF(BA17="",0,IFERROR(INDEX($W$5:$W$86,MATCH(BA17,$V$5:$V$86,0)),0))</f>
        <v/>
      </c>
      <c r="BB107">
        <f>IF(BB17="",0,IFERROR(INDEX($W$5:$W$86,MATCH(BB17,$V$5:$V$86,0)),0))</f>
        <v/>
      </c>
      <c r="BC107">
        <f>IF(BC17="",0,IFERROR(INDEX($W$5:$W$86,MATCH(BC17,$V$5:$V$86,0)),0))</f>
        <v/>
      </c>
      <c r="BD107">
        <f>IF(BD17="",0,IFERROR(INDEX($W$5:$W$86,MATCH(BD17,$V$5:$V$86,0)),0))</f>
        <v/>
      </c>
      <c r="BE107">
        <f>IF(BE17="",0,IFERROR(INDEX($W$5:$W$86,MATCH(BE17,$V$5:$V$86,0)),0))</f>
        <v/>
      </c>
      <c r="BF107">
        <f>IF(BF17="",0,IFERROR(INDEX($W$5:$W$86,MATCH(BF17,$V$5:$V$86,0)),0))</f>
        <v/>
      </c>
      <c r="BG107">
        <f>IF(BG17="",0,IFERROR(INDEX($W$5:$W$86,MATCH(BG17,$V$5:$V$86,0)),0))</f>
        <v/>
      </c>
      <c r="BH107">
        <f>IF(BH17="",0,IFERROR(INDEX($W$5:$W$86,MATCH(BH17,$V$5:$V$86,0)),0))</f>
        <v/>
      </c>
      <c r="BI107">
        <f>IF(BI17="",0,IFERROR(INDEX($W$5:$W$86,MATCH(BI17,$V$5:$V$86,0)),0))</f>
        <v/>
      </c>
      <c r="BJ107">
        <f>IF(BJ17="",0,IFERROR(INDEX($W$5:$W$86,MATCH(BJ17,$V$5:$V$86,0)),0))</f>
        <v/>
      </c>
      <c r="BK107">
        <f>IF(BK17="",0,IFERROR(INDEX($W$5:$W$86,MATCH(BK17,$V$5:$V$86,0)),0))</f>
        <v/>
      </c>
      <c r="BL107">
        <f>IF(BL17="",0,IFERROR(INDEX($W$5:$W$86,MATCH(BL17,$V$5:$V$86,0)),0))</f>
        <v/>
      </c>
      <c r="BM107">
        <f>IF(BM17="",0,IFERROR(INDEX($W$5:$W$86,MATCH(BM17,$V$5:$V$86,0)),0))</f>
        <v/>
      </c>
      <c r="BN107">
        <f>IF(BN17="",0,IFERROR(INDEX($W$5:$W$86,MATCH(BN17,$V$5:$V$86,0)),0))</f>
        <v/>
      </c>
      <c r="BO107">
        <f>IF(BO17="",0,IFERROR(INDEX($W$5:$W$86,MATCH(BO17,$V$5:$V$86,0)),0))</f>
        <v/>
      </c>
      <c r="BP107">
        <f>IF(BP17="",0,IFERROR(INDEX($W$5:$W$86,MATCH(BP17,$V$5:$V$86,0)),0))</f>
        <v/>
      </c>
      <c r="BQ107">
        <f>IF(BQ17="",0,IFERROR(INDEX($W$5:$W$86,MATCH(BQ17,$V$5:$V$86,0)),0))</f>
        <v/>
      </c>
      <c r="BR107">
        <f>IF(BR17="",0,IFERROR(INDEX($W$5:$W$86,MATCH(BR17,$V$5:$V$86,0)),0))</f>
        <v/>
      </c>
      <c r="BS107">
        <f>IF(BS17="",0,IFERROR(INDEX($W$5:$W$86,MATCH(BS17,$V$5:$V$86,0)),0))</f>
        <v/>
      </c>
      <c r="BT107">
        <f>IF(BT17="",0,IFERROR(INDEX($W$5:$W$86,MATCH(BT17,$V$5:$V$86,0)),0))</f>
        <v/>
      </c>
      <c r="BU107">
        <f>IF(BU17="",0,IFERROR(INDEX($W$5:$W$86,MATCH(BU17,$V$5:$V$86,0)),0))</f>
        <v/>
      </c>
      <c r="BV107">
        <f>IF(BV17="",0,IFERROR(INDEX($W$5:$W$86,MATCH(BV17,$V$5:$V$86,0)),0))</f>
        <v/>
      </c>
      <c r="BW107">
        <f>IF(BW17="",0,IFERROR(INDEX($W$5:$W$86,MATCH(BW17,$V$5:$V$86,0)),0))</f>
        <v/>
      </c>
      <c r="BX107">
        <f>IF(BX17="",0,IFERROR(INDEX($W$5:$W$86,MATCH(BX17,$V$5:$V$86,0)),0))</f>
        <v/>
      </c>
      <c r="BY107">
        <f>IF(BY17="",0,IFERROR(INDEX($W$5:$W$86,MATCH(BY17,$V$5:$V$86,0)),0))</f>
        <v/>
      </c>
      <c r="BZ107">
        <f>IF(BZ17="",0,IFERROR(INDEX($W$5:$W$86,MATCH(BZ17,$V$5:$V$86,0)),0))</f>
        <v/>
      </c>
      <c r="CA107">
        <f>IF(CA17="",0,IFERROR(INDEX($W$5:$W$86,MATCH(CA17,$V$5:$V$86,0)),0))</f>
        <v/>
      </c>
      <c r="CB107">
        <f>IF(CB17="",0,IFERROR(INDEX($W$5:$W$86,MATCH(CB17,$V$5:$V$86,0)),0))</f>
        <v/>
      </c>
      <c r="CC107">
        <f>IF(CC17="",0,IFERROR(INDEX($W$5:$W$86,MATCH(CC17,$V$5:$V$86,0)),0))</f>
        <v/>
      </c>
      <c r="CD107">
        <f>IF(CD17="",0,IFERROR(INDEX($W$5:$W$86,MATCH(CD17,$V$5:$V$86,0)),0))</f>
        <v/>
      </c>
      <c r="CE107">
        <f>IF(CE17="",0,IFERROR(INDEX($W$5:$W$86,MATCH(CE17,$V$5:$V$86,0)),0))</f>
        <v/>
      </c>
      <c r="CF107">
        <f>IF(CF17="",0,IFERROR(INDEX($W$5:$W$86,MATCH(CF17,$V$5:$V$86,0)),0))</f>
        <v/>
      </c>
      <c r="DA107" t="n">
        <v>103</v>
      </c>
      <c r="DB107">
        <f>IF($B$37=0,"",IFERROR(TRIM(SUBSTITUTE(SUBSTITUTE(SUBSTITUTE(SUBSTITUTE(INDEX(PASTE_ALL,103,$B$37)," "," "),CHAR(9)," "),CHAR(10)," "),CHAR(13)," ")),""))</f>
        <v/>
      </c>
      <c r="DC107">
        <f>IF(AND(103&gt;HEADER_ROW,UPPER(DB107)="LEGEND"),1,0)</f>
        <v/>
      </c>
      <c r="DE107" t="n">
        <v>103</v>
      </c>
      <c r="DF107">
        <f>HEADER_ROW+$DE107</f>
        <v/>
      </c>
      <c r="DG107">
        <f>IF(AND($DF107&lt;=1000,$DF107&lt;$B$8),1,0)</f>
        <v/>
      </c>
      <c r="DH107">
        <f>IF($DG107=1,IFERROR(INDEX($DB$5:$DB$1004,$DF107),""),"")</f>
        <v/>
      </c>
      <c r="DI107">
        <f>IF(AND($DG107=1,$DH107&lt;&gt;""),IFERROR(SUBSTITUTE(SUBSTITUTE(TRIM(SUBSTITUTE(SUBSTITUTE(SUBSTITUTE(SUBSTITUTE(IFERROR(INDEX(PASTE_ALL,$DF107,1)&amp;"","")&amp;"␟"&amp;IFERROR(INDEX(PASTE_ALL,$DF107,2)&amp;"","")&amp;"␟"&amp;IFERROR(INDEX(PASTE_ALL,$DF107,3)&amp;"","")&amp;"␟"&amp;IFERROR(INDEX(PASTE_ALL,$DF107,4)&amp;"","")&amp;"␟"&amp;IFERROR(INDEX(PASTE_ALL,$DF107,5)&amp;"","")&amp;"␟"&amp;IFERROR(INDEX(PASTE_ALL,$DF107,6)&amp;"","")&amp;"␟"&amp;IFERROR(INDEX(PASTE_ALL,$DF107,7)&amp;"","")&amp;"␟"&amp;IFERROR(INDEX(PASTE_ALL,$DF107,8)&amp;"","")&amp;"␟"&amp;IFERROR(INDEX(PASTE_ALL,$DF107,9)&amp;"","")&amp;"␟"&amp;IFERROR(INDEX(PASTE_ALL,$DF107,10)&amp;"","")&amp;"␟"&amp;IFERROR(INDEX(PASTE_ALL,$DF107,11)&amp;"","")&amp;"␟"&amp;IFERROR(INDEX(PASTE_ALL,$DF107,12)&amp;"","")&amp;"␟"&amp;IFERROR(INDEX(PASTE_ALL,$DF107,13)&amp;"","")&amp;"␟"&amp;IFERROR(INDEX(PASTE_ALL,$DF107,14)&amp;"","")&amp;"␟"&amp;IFERROR(INDEX(PASTE_ALL,$DF107,15)&amp;"","")&amp;"␟"&amp;IFERROR(INDEX(PASTE_ALL,$DF107,16)&amp;"","")&amp;"␟"&amp;IFERROR(INDEX(PASTE_ALL,$DF107,17)&amp;"","")&amp;"␟"&amp;IFERROR(INDEX(PASTE_ALL,$DF107,18)&amp;"","")&amp;"␟"&amp;IFERROR(INDEX(PASTE_ALL,$DF107,19)&amp;"","")&amp;"␟"&amp;IFERROR(INDEX(PASTE_ALL,$DF107,20)&amp;"","")&amp;"␟"&amp;IFERROR(INDEX(PASTE_ALL,$DF107,21)&amp;"","")&amp;"␟"&amp;IFERROR(INDEX(PASTE_ALL,$DF107,22)&amp;"","")&amp;"␟"&amp;IFERROR(INDEX(PASTE_ALL,$DF107,23)&amp;"","")&amp;"␟"&amp;IFERROR(INDEX(PASTE_ALL,$DF107,24)&amp;"","")&amp;"␟"&amp;IFERROR(INDEX(PASTE_ALL,$DF107,25)&amp;"","")&amp;"␟"&amp;IFERROR(INDEX(PASTE_ALL,$DF107,26)&amp;"","")&amp;"␟"&amp;IFERROR(INDEX(PASTE_ALL,$DF107,27)&amp;"","")&amp;"␟"&amp;IFERROR(INDEX(PASTE_ALL,$DF107,28)&amp;"","")&amp;"␟"&amp;IFERROR(INDEX(PASTE_ALL,$DF107,29)&amp;"","")&amp;"␟"&amp;IFERROR(INDEX(PASTE_ALL,$DF107,30)&amp;"","")&amp;"␟"&amp;IFERROR(INDEX(PASTE_ALL,$DF107,31)&amp;"","")&amp;"␟"&amp;IFERROR(INDEX(PASTE_ALL,$DF107,32)&amp;"","")&amp;"␟"&amp;IFERROR(INDEX(PASTE_ALL,$DF107,33)&amp;"","")&amp;"␟"&amp;IFERROR(INDEX(PASTE_ALL,$DF107,34)&amp;"","")&amp;"␟"&amp;IFERROR(INDEX(PASTE_ALL,$DF107,35)&amp;"","")&amp;"␟"&amp;IFERROR(INDEX(PASTE_ALL,$DF107,36)&amp;"","")&amp;"␟"&amp;IFERROR(INDEX(PASTE_ALL,$DF107,37)&amp;"","")&amp;"␟"&amp;IFERROR(INDEX(PASTE_ALL,$DF107,38)&amp;"","")&amp;"␟"&amp;IFERROR(INDEX(PASTE_ALL,$DF107,39)&amp;"","")&amp;"␟"&amp;IFERROR(INDEX(PASTE_ALL,$DF107,40)&amp;"","")&amp;"␟"&amp;IFERROR(INDEX(PASTE_ALL,$DF107,41)&amp;"","")&amp;"␟"&amp;IFERROR(INDEX(PASTE_ALL,$DF107,42)&amp;"","")&amp;"␟"&amp;IFERROR(INDEX(PASTE_ALL,$DF107,43)&amp;"","")&amp;"␟"&amp;IFERROR(INDEX(PASTE_ALL,$DF107,44)&amp;"","")&amp;"␟"&amp;IFERROR(INDEX(PASTE_ALL,$DF107,45)&amp;"","")&amp;"␟"&amp;IFERROR(INDEX(PASTE_ALL,$DF107,46)&amp;"","")&amp;"␟"&amp;IFERROR(INDEX(PASTE_ALL,$DF107,47)&amp;"","")&amp;"␟"&amp;IFERROR(INDEX(PASTE_ALL,$DF107,48)&amp;"","")&amp;"␟"&amp;IFERROR(INDEX(PASTE_ALL,$DF107,49)&amp;"","")&amp;"␟"&amp;IFERROR(INDEX(PASTE_ALL,$DF107,50)&amp;"","")&amp;"␟"&amp;IFERROR(INDEX(PASTE_ALL,$DF107,51)&amp;"","")&amp;"␟"&amp;IFERROR(INDEX(PASTE_ALL,$DF107,52)&amp;"","")&amp;"␟"&amp;IFERROR(INDEX(PASTE_ALL,$DF107,53)&amp;"","")&amp;"␟"&amp;IFERROR(INDEX(PASTE_ALL,$DF107,54)&amp;"","")&amp;"␟"&amp;IFERROR(INDEX(PASTE_ALL,$DF107,55)&amp;"","")&amp;"␟"&amp;IFERROR(INDEX(PASTE_ALL,$DF107,56)&amp;"","")&amp;"␟"&amp;IFERROR(INDEX(PASTE_ALL,$DF107,57)&amp;"","")&amp;"␟"&amp;IFERROR(INDEX(PASTE_ALL,$DF107,58)&amp;"","")&amp;"␟"&amp;IFERROR(INDEX(PASTE_ALL,$DF107,59)&amp;"","")&amp;"␟"&amp;IFERROR(INDEX(PASTE_ALL,$DF107,60)&amp;"","")," "," "),CHAR(9)," "),CHAR(10)," "),CHAR(13)," "))," ␟","␟"),"␟ ","␟"),"#"&amp;$DE107),"")</f>
        <v/>
      </c>
      <c r="DJ107">
        <f>IF($DI107="",0,IF(SUMPRODUCT(--EXACT($DI$4:DI106,$DI107))&gt;0,1,0))</f>
        <v/>
      </c>
      <c r="DK107">
        <f>IF(AND($DI107&lt;&gt;"",$DJ107=0),1,0)</f>
        <v/>
      </c>
      <c r="DL107">
        <f>DL106+$DK107</f>
        <v/>
      </c>
      <c r="DM107">
        <f>IF(AND($DK107=1,$DL107&lt;=600),1,0)</f>
        <v/>
      </c>
      <c r="DN107">
        <f>IF($DM107=0,"",IF($L$6=0,"",IFERROR(IF(ISNUMBER(INDEX(PASTE_ALL,$DF107,$L$6)),INDEX(PASTE_ALL,$DF107,$L$6),TRIM(SUBSTITUTE(SUBSTITUTE(SUBSTITUTE(SUBSTITUTE(INDEX(PASTE_ALL,$DF107,$L$6)," "," "),CHAR(9)," "),CHAR(10)," "),CHAR(13)," "))),"")))</f>
        <v/>
      </c>
      <c r="DO107">
        <f>IF($DM107=0,"",IF($L$7=0,"",IFERROR(IF(ISNUMBER(INDEX(PASTE_ALL,$DF107,$L$7)),INDEX(PASTE_ALL,$DF107,$L$7),TRIM(SUBSTITUTE(SUBSTITUTE(SUBSTITUTE(SUBSTITUTE(INDEX(PASTE_ALL,$DF107,$L$7)," "," "),CHAR(9)," "),CHAR(10)," "),CHAR(13)," "))),"")))</f>
        <v/>
      </c>
      <c r="DP107">
        <f>IF($DM107=0,"",IF($L$8=0,"",IFERROR(IF(ISNUMBER(INDEX(PASTE_ALL,$DF107,$L$8)),INDEX(PASTE_ALL,$DF107,$L$8),TRIM(SUBSTITUTE(SUBSTITUTE(SUBSTITUTE(SUBSTITUTE(INDEX(PASTE_ALL,$DF107,$L$8)," "," "),CHAR(9)," "),CHAR(10)," "),CHAR(13)," "))),"")))</f>
        <v/>
      </c>
      <c r="DQ107">
        <f>IF($DM107=0,"",IF($L$9=0,"",IFERROR(IF(ISNUMBER(INDEX(PASTE_ALL,$DF107,$L$9)),INDEX(PASTE_ALL,$DF107,$L$9),TRIM(SUBSTITUTE(SUBSTITUTE(SUBSTITUTE(SUBSTITUTE(INDEX(PASTE_ALL,$DF107,$L$9)," "," "),CHAR(9)," "),CHAR(10)," "),CHAR(13)," "))),"")))</f>
        <v/>
      </c>
      <c r="DR107">
        <f>IF($DM107=0,"",IF($L$10=0,"",IFERROR(IF(ISNUMBER(INDEX(PASTE_ALL,$DF107,$L$10)),INDEX(PASTE_ALL,$DF107,$L$10),TRIM(SUBSTITUTE(SUBSTITUTE(SUBSTITUTE(SUBSTITUTE(INDEX(PASTE_ALL,$DF107,$L$10)," "," "),CHAR(9)," "),CHAR(10)," "),CHAR(13)," "))),"")))</f>
        <v/>
      </c>
      <c r="DS107">
        <f>IF($DM107=0,"",IF($L$11=0,"",IFERROR(IF(ISNUMBER(INDEX(PASTE_ALL,$DF107,$L$11)),INDEX(PASTE_ALL,$DF107,$L$11),TRIM(SUBSTITUTE(SUBSTITUTE(SUBSTITUTE(SUBSTITUTE(INDEX(PASTE_ALL,$DF107,$L$11)," "," "),CHAR(9)," "),CHAR(10)," "),CHAR(13)," "))),"")))</f>
        <v/>
      </c>
      <c r="DT107">
        <f>IF($DM107=0,"",IF($L$12=0,"",IFERROR(IF(ISNUMBER(INDEX(PASTE_ALL,$DF107,$L$12)),INDEX(PASTE_ALL,$DF107,$L$12),TRIM(SUBSTITUTE(SUBSTITUTE(SUBSTITUTE(SUBSTITUTE(INDEX(PASTE_ALL,$DF107,$L$12)," "," "),CHAR(9)," "),CHAR(10)," "),CHAR(13)," "))),"")))</f>
        <v/>
      </c>
      <c r="DU107">
        <f>IF($DM107=0,"",IF($L$13=0,"",IFERROR(IF(ISNUMBER(INDEX(PASTE_ALL,$DF107,$L$13)),INDEX(PASTE_ALL,$DF107,$L$13),TRIM(SUBSTITUTE(SUBSTITUTE(SUBSTITUTE(SUBSTITUTE(INDEX(PASTE_ALL,$DF107,$L$13)," "," "),CHAR(9)," "),CHAR(10)," "),CHAR(13)," "))),"")))</f>
        <v/>
      </c>
      <c r="DV107">
        <f>IF($DM107=0,"",IF($L$14=0,"",IFERROR(IF(ISNUMBER(INDEX(PASTE_ALL,$DF107,$L$14)),INDEX(PASTE_ALL,$DF107,$L$14),TRIM(SUBSTITUTE(SUBSTITUTE(SUBSTITUTE(SUBSTITUTE(INDEX(PASTE_ALL,$DF107,$L$14)," "," "),CHAR(9)," "),CHAR(10)," "),CHAR(13)," "))),"")))</f>
        <v/>
      </c>
      <c r="DW107">
        <f>IF($DM107=0,"",IF($L$15=0,"",IFERROR(IF(ISNUMBER(INDEX(PASTE_ALL,$DF107,$L$15)),INDEX(PASTE_ALL,$DF107,$L$15),IF(SUMPRODUCT(--ISNUMBER(FIND({"A","B","C","D","E","F","G","H","I","J","K","L","M","N","O","P","Q","R","S","T","U","V","W","X","Y","Z","0","1","2","3","4","5","6","7","8","9"},UPPER(TRIM(SUBSTITUTE(SUBSTITUTE(SUBSTITUTE(SUBSTITUTE(INDEX(PASTE_ALL,$DF107,$L$15)," "," "),CHAR(9)," "),CHAR(10)," "),CHAR(13)," "))))))&gt;0,TRIM(SUBSTITUTE(SUBSTITUTE(SUBSTITUTE(SUBSTITUTE(INDEX(PASTE_ALL,$DF107,$L$15)," "," "),CHAR(9)," "),CHAR(10)," "),CHAR(13)," ")),"")),"")))</f>
        <v/>
      </c>
      <c r="DX107">
        <f>IF($DM107=0,"",IF($L$16=0,"",IFERROR(IF(ISNUMBER(INDEX(PASTE_ALL,$DF107,$L$16)),INDEX(PASTE_ALL,$DF107,$L$16),SUBSTITUTE(SUBSTITUTE(TRIM(SUBSTITUTE(SUBSTITUTE(SUBSTITUTE(SUBSTITUTE(INDEX(PASTE_ALL,$DF107,$L$16)," "," "),CHAR(9)," "),CHAR(10)," "),CHAR(13)," ")),",",""),"%","")),"")))</f>
        <v/>
      </c>
      <c r="DY107">
        <f>IF($DM107=0,"",IFERROR(IF(ISNUMBER($DX107),$DX107,IF($DX107="","",IF(TRIM($DX107)="",0,IF(AND(AND(SUBSTITUTE(SUBSTITUTE(SUBSTITUTE(SUBSTITUTE(SUBSTITUTE(SUBSTITUTE(SUBSTITUTE(SUBSTITUTE(SUBSTITUTE(SUBSTITUTE(SUBSTITUTE(SUBSTITUTE(SUBSTITUTE(SUBSTITUTE(UPPER(TRIM($DX107)),"0",""),"1",""),"2",""),"3",""),"4",""),"5",""),"6",""),"7",""),"8",""),"9",""),".",""),"+",""),"-",""),"E","")="",LEN(SUBSTITUTE(SUBSTITUTE(MID(UPPER(TRIM($DX107)),1+OR(LEFT(UPPER(TRIM($DX107)),1)="+",LEFT(UPPER(TRIM($DX107)),1)="-"),999),"E+","E"),"E-","E"))=LEN(SUBSTITUTE(SUBSTITUTE(SUBSTITUTE(SUBSTITUTE(MID(UPPER(TRIM($DX107)),1+OR(LEFT(UPPER(TRIM($DX107)),1)="+",LEFT(UPPER(TRIM($DX107)),1)="-"),999),"E+","E"),"E-","E"),"+",""),"-","")),LEN(UPPER(TRIM($DX107)))-LEN(SUBSTITUTE(UPPER(TRIM($DX107)),"E",""))&lt;2,LEN(UPPER(TRIM($DX107)))-LEN(SUBSTITUTE(UPPER(TRIM($DX107)),".",""))&lt;2,IFERROR(FIND(".",UPPER(TRIM($DX107))),0)&lt;IFERROR(FIND("E",UPPER(TRIM($DX107))),999)),ISNUMBER(VALUE(TRIM($DX107)))),VALUE(TRIM($DX107)),"")))),""))</f>
        <v/>
      </c>
      <c r="DZ107">
        <f>IF($DM107=0,"",IF($L$17=0,"",IFERROR(IF(ISNUMBER(INDEX(PASTE_ALL,$DF107,$L$17)),INDEX(PASTE_ALL,$DF107,$L$17),SUBSTITUTE(SUBSTITUTE(TRIM(SUBSTITUTE(SUBSTITUTE(SUBSTITUTE(SUBSTITUTE(INDEX(PASTE_ALL,$DF107,$L$17)," "," "),CHAR(9)," "),CHAR(10)," "),CHAR(13)," ")),",",""),"%","")),"")))</f>
        <v/>
      </c>
      <c r="EA107">
        <f>IF($DM107=0,"",IFERROR(IF(ISNUMBER($DZ107),$DZ107,IF($DZ107="","",IF(TRIM($DZ107)="",0,IF(AND(AND(SUBSTITUTE(SUBSTITUTE(SUBSTITUTE(SUBSTITUTE(SUBSTITUTE(SUBSTITUTE(SUBSTITUTE(SUBSTITUTE(SUBSTITUTE(SUBSTITUTE(SUBSTITUTE(SUBSTITUTE(SUBSTITUTE(SUBSTITUTE(UPPER(TRIM($DZ107)),"0",""),"1",""),"2",""),"3",""),"4",""),"5",""),"6",""),"7",""),"8",""),"9",""),".",""),"+",""),"-",""),"E","")="",LEN(SUBSTITUTE(SUBSTITUTE(MID(UPPER(TRIM($DZ107)),1+OR(LEFT(UPPER(TRIM($DZ107)),1)="+",LEFT(UPPER(TRIM($DZ107)),1)="-"),999),"E+","E"),"E-","E"))=LEN(SUBSTITUTE(SUBSTITUTE(SUBSTITUTE(SUBSTITUTE(MID(UPPER(TRIM($DZ107)),1+OR(LEFT(UPPER(TRIM($DZ107)),1)="+",LEFT(UPPER(TRIM($DZ107)),1)="-"),999),"E+","E"),"E-","E"),"+",""),"-","")),LEN(UPPER(TRIM($DZ107)))-LEN(SUBSTITUTE(UPPER(TRIM($DZ107)),"E",""))&lt;2,LEN(UPPER(TRIM($DZ107)))-LEN(SUBSTITUTE(UPPER(TRIM($DZ107)),".",""))&lt;2,IFERROR(FIND(".",UPPER(TRIM($DZ107))),0)&lt;IFERROR(FIND("E",UPPER(TRIM($DZ107))),999)),ISNUMBER(VALUE(TRIM($DZ107)))),VALUE(TRIM($DZ107)),"")))),""))</f>
        <v/>
      </c>
      <c r="EB107">
        <f>IF($DM107=0,"",IF($L$18=0,"",IFERROR(IF(UPPER(TRIM(SUBSTITUTE(SUBSTITUTE(SUBSTITUTE(SUBSTITUTE(INDEX(PASTE_ALL,$DF107,$L$18)," "," "),CHAR(9)," "),CHAR(10)," "),CHAR(13)," ")))="READY","Ready",IF(UPPER(TRIM(SUBSTITUTE(SUBSTITUTE(SUBSTITUTE(SUBSTITUTE(INDEX(PASTE_ALL,$DF107,$L$18)," "," "),CHAR(9)," "),CHAR(10)," "),CHAR(13)," ")))="PM","PM",IF(OR(UPPER(TRIM(SUBSTITUTE(SUBSTITUTE(SUBSTITUTE(SUBSTITUTE(INDEX(PASTE_ALL,$DF107,$L$18)," "," "),CHAR(9)," "),CHAR(10)," "),CHAR(13)," ")))="OT",UPPER(TRIM(SUBSTITUTE(SUBSTITUTE(SUBSTITUTE(SUBSTITUTE(INDEX(PASTE_ALL,$DF107,$L$18)," "," "),CHAR(9)," "),CHAR(10)," "),CHAR(13)," ")))="OVERTIME",UPPER(TRIM(SUBSTITUTE(SUBSTITUTE(SUBSTITUTE(SUBSTITUTE(INDEX(PASTE_ALL,$DF107,$L$18)," "," "),CHAR(9)," "),CHAR(10)," "),CHAR(13)," ")))="TRIAL"),"OT",TRIM(SUBSTITUTE(SUBSTITUTE(SUBSTITUTE(SUBSTITUTE(INDEX(PASTE_ALL,$DF107,$L$18)," "," "),CHAR(9)," "),CHAR(10)," "),CHAR(13)," "))))),"")))</f>
        <v/>
      </c>
      <c r="EC107">
        <f>IF($DM107=0,"",IF($L$19=0,"",IFERROR(IF(ISNUMBER(INDEX(PASTE_ALL,$DF107,$L$19)),INDEX(PASTE_ALL,$DF107,$L$19),TRIM(SUBSTITUTE(SUBSTITUTE(SUBSTITUTE(SUBSTITUTE(INDEX(PASTE_ALL,$DF107,$L$19)," "," "),CHAR(9)," "),CHAR(10)," "),CHAR(13)," "))),"")))</f>
        <v/>
      </c>
      <c r="ED107">
        <f>IF($DM107=0,"",MATCH(1,INDEX(EXACT($DH$5:DH107,$DH107)*$DM$5:DM107,0),0))</f>
        <v/>
      </c>
      <c r="EE107">
        <f>IF($DM107=0,0,IF($ED107=$DE107,1,0))</f>
        <v/>
      </c>
      <c r="EF107">
        <f>EF106+$EE107</f>
        <v/>
      </c>
      <c r="EG107">
        <f>IF($DM107=0,"",INDEX($EF$5:$EF$1003,$ED107))</f>
        <v/>
      </c>
      <c r="EH107">
        <f>IF($DM107=0,"",IF($DO107&lt;&gt;"","",IFERROR(LOOKUP(2,1/(($EG$4:EG106=$EG107)*($DO$4:DO106&lt;&gt;"")),$DO$4:DO106),"")))</f>
        <v/>
      </c>
      <c r="EI107">
        <f>IF($DM107=0,"",IF($DO107&lt;&gt;"",$DO107,$EH107))</f>
        <v/>
      </c>
      <c r="EJ107">
        <f>IF($DM107=0,"",IF($EI107="",0,IF(OR(ISNUMBER($EI107),AND(AND(SUBSTITUTE(SUBSTITUTE(SUBSTITUTE(SUBSTITUTE(SUBSTITUTE(SUBSTITUTE(SUBSTITUTE(SUBSTITUTE(SUBSTITUTE(SUBSTITUTE(SUBSTITUTE(SUBSTITUTE(SUBSTITUTE(SUBSTITUTE(UPPER($EI107),"0",""),"1",""),"2",""),"3",""),"4",""),"5",""),"6",""),"7",""),"8",""),"9",""),".",""),"+",""),"-",""),"E","")="",LEN(SUBSTITUTE(SUBSTITUTE(MID(UPPER($EI107),1+OR(LEFT(UPPER($EI107),1)="+",LEFT(UPPER($EI107),1)="-"),999),"E+","E"),"E-","E"))=LEN(SUBSTITUTE(SUBSTITUTE(SUBSTITUTE(SUBSTITUTE(MID(UPPER($EI107),1+OR(LEFT(UPPER($EI107),1)="+",LEFT(UPPER($EI107),1)="-"),999),"E+","E"),"E-","E"),"+",""),"-","")),LEN(UPPER($EI107))-LEN(SUBSTITUTE(UPPER($EI107),"E",""))&lt;2,LEN(UPPER($EI107))-LEN(SUBSTITUTE(UPPER($EI107),".",""))&lt;2,IFERROR(FIND(".",UPPER($EI107)),0)&lt;IFERROR(FIND("E",UPPER($EI107)),999)),ISNUMBER(VALUE($EI107)))),1,2)))</f>
        <v/>
      </c>
      <c r="EK107">
        <f>IF($DM107=0,"",IF($EJ107=1,IF(ISNUMBER($EI107),$EI107,VALUE($EI107)),IF($EJ107=2,$DE107,0)))</f>
        <v/>
      </c>
      <c r="EL107">
        <f>IF($DM107=0,"",COUNTIF($EG$5:$EG$1003,"&lt;"&amp;$EG107)+SUMPRODUCT(($EG$5:$EG$1003=$EG107)*(($EJ$5:$EJ$1003&lt;$EJ107)+($EJ$5:$EJ$1003=$EJ107)*(($EK$5:$EK$1003&lt;$EK107)+($EK$5:$EK$1003=$EK107)*($DE$5:$DE$1003&lt;$DE107))))+1)</f>
        <v/>
      </c>
      <c r="EM107">
        <f>IF($DM107=0,"",$EL107+$EG107-1)</f>
        <v/>
      </c>
      <c r="EN107">
        <f>IF($DM107=0,0,IFERROR(MATCH(1,INDEX(--(TRIM(SUBSTITUTE(SUBSTITUTE(SUBSTITUTE(SUBSTITUTE(LINES_NAME&amp;""," "," "),CHAR(9)," "),CHAR(10)," "),CHAR(13)," "))=$DH107),0),0),0))</f>
        <v/>
      </c>
      <c r="EO107">
        <f>IF($EN107=0,0,IF(OR(UPPER(TRIM(INDEX(LINES_SCHEDULED,$EN107)&amp;""))="YES",UPPER(TRIM(INDEX(LINES_SCHEDULED,$EN107)&amp;""))="Y",UPPER(TRIM(INDEX(LINES_SCHEDULED,$EN107)&amp;""))="X"),1,0))</f>
        <v/>
      </c>
      <c r="EP107">
        <f>IF($DM107=0,"",IF(COUNTIFS($EG$5:$EG$1003,$EG107,$EB$5:$EB$1003,"Ready")&gt;0,"READY",IF(COUNTIFS($EG$5:$EG$1003,$EG107,$EB$5:$EB$1003,"PM")&gt;0,"PM",IF(COUNTIFS($EG$5:$EG$1003,$EG107,$EB$5:$EB$1003,"OT")&gt;0,"OT",""))))</f>
        <v/>
      </c>
      <c r="EQ107">
        <f>IF($EN107=0,"",UPPER(TRIM(INDEX(LINES_STATUS,$EN107)&amp;"")))</f>
        <v/>
      </c>
      <c r="ER107">
        <f>IF($DM107=0,"",IF(OR($EQ107="READY",$EQ107="PM",$EQ107="OT"),$EQ107,$EP107))</f>
        <v/>
      </c>
      <c r="ES107">
        <f>IF($DM107=0,"",IF(AND($DV107&lt;&gt;"",UPPER($DV107)&lt;&gt;"N"),"allergen",IF(ISNUMBER(SEARCH("oil",$DQ107)),"oil",IF(OR(EXACT($DS107,"A662"),EXACT($DS107,"A624")),"bulk",""))))</f>
        <v/>
      </c>
      <c r="ET107">
        <f>IF($DM107=0,"",IF(OR($EA107="",$EA107=0),"",$EA107/100))</f>
        <v/>
      </c>
      <c r="EU107">
        <f>IF(OR($ET107="",$DY107=""),"",INT($DY107*(1-$ET107)+0.5))</f>
        <v/>
      </c>
      <c r="EW107" t="n">
        <v>103</v>
      </c>
      <c r="EX107">
        <f>IFERROR(MATCH($EW107,$EM$5:$EM$1003,0),0)</f>
        <v/>
      </c>
      <c r="EY107">
        <f>IF($EW107&gt;$B$12,"",IF($EX107&gt;0,"row","spacer"))</f>
        <v/>
      </c>
      <c r="EZ107">
        <f>IF(AND($EY107="row",$EY106&lt;&gt;"row"),1,0)</f>
        <v/>
      </c>
      <c r="FA107">
        <f>IF(AND($EY107="row",$EY108&lt;&gt;"row"),1,0)</f>
        <v/>
      </c>
      <c r="FB107">
        <f>IF($EZ107=1,IFERROR(IF(ISNUMBER(INDEX(PASTE_ALL,INDEX($DF$5:$DF$1003,$EX107),$B$37)),INDEX(PASTE_ALL,INDEX($DF$5:$DF$1003,$EX107),$B$37),INDEX($DH$5:$DH$1003,$EX107)),INDEX($DH$5:$DH$1003,$EX107)),"")</f>
        <v/>
      </c>
      <c r="FC107">
        <f>IF($EY107="row",INDEX($ER$5:$ER$1003,$EX107),"")</f>
        <v/>
      </c>
      <c r="FD107">
        <f>IF($EY107="row",INDEX($DN$5:$DN$1003,$EX107),"")</f>
        <v/>
      </c>
      <c r="FE107">
        <f>IF($EY107="row",INDEX($DO$5:$DO$1003,$EX107),"")</f>
        <v/>
      </c>
      <c r="FF107">
        <f>IF($EY107="row",INDEX($DP$5:$DP$1003,$EX107),"")</f>
        <v/>
      </c>
      <c r="FG107">
        <f>IF($EY107="row",INDEX($DQ$5:$DQ$1003,$EX107),"")</f>
        <v/>
      </c>
      <c r="FH107">
        <f>IF($EY107="row",INDEX($DR$5:$DR$1003,$EX107),"")</f>
        <v/>
      </c>
      <c r="FI107">
        <f>IF($EY107="row",INDEX($DS$5:$DS$1003,$EX107),"")</f>
        <v/>
      </c>
      <c r="FJ107">
        <f>IF($EY107="row",INDEX($DT$5:$DT$1003,$EX107),"")</f>
        <v/>
      </c>
      <c r="FK107">
        <f>IF($EY107="row",INDEX($DU$5:$DU$1003,$EX107),"")</f>
        <v/>
      </c>
      <c r="FL107">
        <f>IF($EY107="row",INDEX($DV$5:$DV$1003,$EX107),"")</f>
        <v/>
      </c>
      <c r="FM107">
        <f>IF($EY107="row",INDEX($DW$5:$DW$1003,$EX107),"")</f>
        <v/>
      </c>
      <c r="FN107">
        <f>IF($EY107="row",INDEX($DY$5:$DY$1003,$EX107),"")</f>
        <v/>
      </c>
      <c r="FO107">
        <f>IF($EY107="row",INDEX($EA$5:$EA$1003,$EX107),"")</f>
        <v/>
      </c>
      <c r="FP107">
        <f>IF($EY107="row",INDEX($EC$5:$EC$1003,$EX107),"")</f>
        <v/>
      </c>
      <c r="FQ107">
        <f>IF($EY107="row",INDEX($ET$5:$ET$1003,$EX107),"")</f>
        <v/>
      </c>
      <c r="FR107">
        <f>IF($EY107="row",INDEX($EU$5:$EU$1003,$EX107),"")</f>
        <v/>
      </c>
      <c r="FS107">
        <f>IF(AND($EY107="row",$EY106="row"),IF(OR(INDEX($DT$5:$DT$1003,$EX106)="",INDEX($DT$5:$DT$1003,$EX107)=""),"",IF(NOT(EXACT(INDEX($DT$5:$DT$1003,$EX106),INDEX($DT$5:$DT$1003,$EX107))),"S4",IF(NOT(EXACT(INDEX($DS$5:$DS$1003,$EX106),INDEX($DS$5:$DS$1003,$EX107))),"S3",IF(NOT(EXACT(INDEX($DR$5:$DR$1003,$EX106),INDEX($DR$5:$DR$1003,$EX107))),"S1 Count Change","S1")))),"")</f>
        <v/>
      </c>
      <c r="FT107">
        <f>IF($EY107="row",INDEX($ES$5:$ES$1003,$EX107),"")</f>
        <v/>
      </c>
      <c r="FU107">
        <f>IF($EY107="row",INDEX($EO$5:$EO$1003,$EX107),0)</f>
        <v/>
      </c>
      <c r="FV107">
        <f>IF($FS107="S1 Count Change",1,0)</f>
        <v/>
      </c>
    </row>
    <row r="108">
      <c r="Y108">
        <f>IF(Y18="",0,IFERROR(INDEX($W$5:$W$86,MATCH(Y18,$V$5:$V$86,0)),0))</f>
        <v/>
      </c>
      <c r="Z108">
        <f>IF(Z18="",0,IFERROR(INDEX($W$5:$W$86,MATCH(Z18,$V$5:$V$86,0)),0))</f>
        <v/>
      </c>
      <c r="AA108">
        <f>IF(AA18="",0,IFERROR(INDEX($W$5:$W$86,MATCH(AA18,$V$5:$V$86,0)),0))</f>
        <v/>
      </c>
      <c r="AB108">
        <f>IF(AB18="",0,IFERROR(INDEX($W$5:$W$86,MATCH(AB18,$V$5:$V$86,0)),0))</f>
        <v/>
      </c>
      <c r="AC108">
        <f>IF(AC18="",0,IFERROR(INDEX($W$5:$W$86,MATCH(AC18,$V$5:$V$86,0)),0))</f>
        <v/>
      </c>
      <c r="AD108">
        <f>IF(AD18="",0,IFERROR(INDEX($W$5:$W$86,MATCH(AD18,$V$5:$V$86,0)),0))</f>
        <v/>
      </c>
      <c r="AE108">
        <f>IF(AE18="",0,IFERROR(INDEX($W$5:$W$86,MATCH(AE18,$V$5:$V$86,0)),0))</f>
        <v/>
      </c>
      <c r="AF108">
        <f>IF(AF18="",0,IFERROR(INDEX($W$5:$W$86,MATCH(AF18,$V$5:$V$86,0)),0))</f>
        <v/>
      </c>
      <c r="AG108">
        <f>IF(AG18="",0,IFERROR(INDEX($W$5:$W$86,MATCH(AG18,$V$5:$V$86,0)),0))</f>
        <v/>
      </c>
      <c r="AH108">
        <f>IF(AH18="",0,IFERROR(INDEX($W$5:$W$86,MATCH(AH18,$V$5:$V$86,0)),0))</f>
        <v/>
      </c>
      <c r="AI108">
        <f>IF(AI18="",0,IFERROR(INDEX($W$5:$W$86,MATCH(AI18,$V$5:$V$86,0)),0))</f>
        <v/>
      </c>
      <c r="AJ108">
        <f>IF(AJ18="",0,IFERROR(INDEX($W$5:$W$86,MATCH(AJ18,$V$5:$V$86,0)),0))</f>
        <v/>
      </c>
      <c r="AK108">
        <f>IF(AK18="",0,IFERROR(INDEX($W$5:$W$86,MATCH(AK18,$V$5:$V$86,0)),0))</f>
        <v/>
      </c>
      <c r="AL108">
        <f>IF(AL18="",0,IFERROR(INDEX($W$5:$W$86,MATCH(AL18,$V$5:$V$86,0)),0))</f>
        <v/>
      </c>
      <c r="AM108">
        <f>IF(AM18="",0,IFERROR(INDEX($W$5:$W$86,MATCH(AM18,$V$5:$V$86,0)),0))</f>
        <v/>
      </c>
      <c r="AN108">
        <f>IF(AN18="",0,IFERROR(INDEX($W$5:$W$86,MATCH(AN18,$V$5:$V$86,0)),0))</f>
        <v/>
      </c>
      <c r="AO108">
        <f>IF(AO18="",0,IFERROR(INDEX($W$5:$W$86,MATCH(AO18,$V$5:$V$86,0)),0))</f>
        <v/>
      </c>
      <c r="AP108">
        <f>IF(AP18="",0,IFERROR(INDEX($W$5:$W$86,MATCH(AP18,$V$5:$V$86,0)),0))</f>
        <v/>
      </c>
      <c r="AQ108">
        <f>IF(AQ18="",0,IFERROR(INDEX($W$5:$W$86,MATCH(AQ18,$V$5:$V$86,0)),0))</f>
        <v/>
      </c>
      <c r="AR108">
        <f>IF(AR18="",0,IFERROR(INDEX($W$5:$W$86,MATCH(AR18,$V$5:$V$86,0)),0))</f>
        <v/>
      </c>
      <c r="AS108">
        <f>IF(AS18="",0,IFERROR(INDEX($W$5:$W$86,MATCH(AS18,$V$5:$V$86,0)),0))</f>
        <v/>
      </c>
      <c r="AT108">
        <f>IF(AT18="",0,IFERROR(INDEX($W$5:$W$86,MATCH(AT18,$V$5:$V$86,0)),0))</f>
        <v/>
      </c>
      <c r="AU108">
        <f>IF(AU18="",0,IFERROR(INDEX($W$5:$W$86,MATCH(AU18,$V$5:$V$86,0)),0))</f>
        <v/>
      </c>
      <c r="AV108">
        <f>IF(AV18="",0,IFERROR(INDEX($W$5:$W$86,MATCH(AV18,$V$5:$V$86,0)),0))</f>
        <v/>
      </c>
      <c r="AW108">
        <f>IF(AW18="",0,IFERROR(INDEX($W$5:$W$86,MATCH(AW18,$V$5:$V$86,0)),0))</f>
        <v/>
      </c>
      <c r="AX108">
        <f>IF(AX18="",0,IFERROR(INDEX($W$5:$W$86,MATCH(AX18,$V$5:$V$86,0)),0))</f>
        <v/>
      </c>
      <c r="AY108">
        <f>IF(AY18="",0,IFERROR(INDEX($W$5:$W$86,MATCH(AY18,$V$5:$V$86,0)),0))</f>
        <v/>
      </c>
      <c r="AZ108">
        <f>IF(AZ18="",0,IFERROR(INDEX($W$5:$W$86,MATCH(AZ18,$V$5:$V$86,0)),0))</f>
        <v/>
      </c>
      <c r="BA108">
        <f>IF(BA18="",0,IFERROR(INDEX($W$5:$W$86,MATCH(BA18,$V$5:$V$86,0)),0))</f>
        <v/>
      </c>
      <c r="BB108">
        <f>IF(BB18="",0,IFERROR(INDEX($W$5:$W$86,MATCH(BB18,$V$5:$V$86,0)),0))</f>
        <v/>
      </c>
      <c r="BC108">
        <f>IF(BC18="",0,IFERROR(INDEX($W$5:$W$86,MATCH(BC18,$V$5:$V$86,0)),0))</f>
        <v/>
      </c>
      <c r="BD108">
        <f>IF(BD18="",0,IFERROR(INDEX($W$5:$W$86,MATCH(BD18,$V$5:$V$86,0)),0))</f>
        <v/>
      </c>
      <c r="BE108">
        <f>IF(BE18="",0,IFERROR(INDEX($W$5:$W$86,MATCH(BE18,$V$5:$V$86,0)),0))</f>
        <v/>
      </c>
      <c r="BF108">
        <f>IF(BF18="",0,IFERROR(INDEX($W$5:$W$86,MATCH(BF18,$V$5:$V$86,0)),0))</f>
        <v/>
      </c>
      <c r="BG108">
        <f>IF(BG18="",0,IFERROR(INDEX($W$5:$W$86,MATCH(BG18,$V$5:$V$86,0)),0))</f>
        <v/>
      </c>
      <c r="BH108">
        <f>IF(BH18="",0,IFERROR(INDEX($W$5:$W$86,MATCH(BH18,$V$5:$V$86,0)),0))</f>
        <v/>
      </c>
      <c r="BI108">
        <f>IF(BI18="",0,IFERROR(INDEX($W$5:$W$86,MATCH(BI18,$V$5:$V$86,0)),0))</f>
        <v/>
      </c>
      <c r="BJ108">
        <f>IF(BJ18="",0,IFERROR(INDEX($W$5:$W$86,MATCH(BJ18,$V$5:$V$86,0)),0))</f>
        <v/>
      </c>
      <c r="BK108">
        <f>IF(BK18="",0,IFERROR(INDEX($W$5:$W$86,MATCH(BK18,$V$5:$V$86,0)),0))</f>
        <v/>
      </c>
      <c r="BL108">
        <f>IF(BL18="",0,IFERROR(INDEX($W$5:$W$86,MATCH(BL18,$V$5:$V$86,0)),0))</f>
        <v/>
      </c>
      <c r="BM108">
        <f>IF(BM18="",0,IFERROR(INDEX($W$5:$W$86,MATCH(BM18,$V$5:$V$86,0)),0))</f>
        <v/>
      </c>
      <c r="BN108">
        <f>IF(BN18="",0,IFERROR(INDEX($W$5:$W$86,MATCH(BN18,$V$5:$V$86,0)),0))</f>
        <v/>
      </c>
      <c r="BO108">
        <f>IF(BO18="",0,IFERROR(INDEX($W$5:$W$86,MATCH(BO18,$V$5:$V$86,0)),0))</f>
        <v/>
      </c>
      <c r="BP108">
        <f>IF(BP18="",0,IFERROR(INDEX($W$5:$W$86,MATCH(BP18,$V$5:$V$86,0)),0))</f>
        <v/>
      </c>
      <c r="BQ108">
        <f>IF(BQ18="",0,IFERROR(INDEX($W$5:$W$86,MATCH(BQ18,$V$5:$V$86,0)),0))</f>
        <v/>
      </c>
      <c r="BR108">
        <f>IF(BR18="",0,IFERROR(INDEX($W$5:$W$86,MATCH(BR18,$V$5:$V$86,0)),0))</f>
        <v/>
      </c>
      <c r="BS108">
        <f>IF(BS18="",0,IFERROR(INDEX($W$5:$W$86,MATCH(BS18,$V$5:$V$86,0)),0))</f>
        <v/>
      </c>
      <c r="BT108">
        <f>IF(BT18="",0,IFERROR(INDEX($W$5:$W$86,MATCH(BT18,$V$5:$V$86,0)),0))</f>
        <v/>
      </c>
      <c r="BU108">
        <f>IF(BU18="",0,IFERROR(INDEX($W$5:$W$86,MATCH(BU18,$V$5:$V$86,0)),0))</f>
        <v/>
      </c>
      <c r="BV108">
        <f>IF(BV18="",0,IFERROR(INDEX($W$5:$W$86,MATCH(BV18,$V$5:$V$86,0)),0))</f>
        <v/>
      </c>
      <c r="BW108">
        <f>IF(BW18="",0,IFERROR(INDEX($W$5:$W$86,MATCH(BW18,$V$5:$V$86,0)),0))</f>
        <v/>
      </c>
      <c r="BX108">
        <f>IF(BX18="",0,IFERROR(INDEX($W$5:$W$86,MATCH(BX18,$V$5:$V$86,0)),0))</f>
        <v/>
      </c>
      <c r="BY108">
        <f>IF(BY18="",0,IFERROR(INDEX($W$5:$W$86,MATCH(BY18,$V$5:$V$86,0)),0))</f>
        <v/>
      </c>
      <c r="BZ108">
        <f>IF(BZ18="",0,IFERROR(INDEX($W$5:$W$86,MATCH(BZ18,$V$5:$V$86,0)),0))</f>
        <v/>
      </c>
      <c r="CA108">
        <f>IF(CA18="",0,IFERROR(INDEX($W$5:$W$86,MATCH(CA18,$V$5:$V$86,0)),0))</f>
        <v/>
      </c>
      <c r="CB108">
        <f>IF(CB18="",0,IFERROR(INDEX($W$5:$W$86,MATCH(CB18,$V$5:$V$86,0)),0))</f>
        <v/>
      </c>
      <c r="CC108">
        <f>IF(CC18="",0,IFERROR(INDEX($W$5:$W$86,MATCH(CC18,$V$5:$V$86,0)),0))</f>
        <v/>
      </c>
      <c r="CD108">
        <f>IF(CD18="",0,IFERROR(INDEX($W$5:$W$86,MATCH(CD18,$V$5:$V$86,0)),0))</f>
        <v/>
      </c>
      <c r="CE108">
        <f>IF(CE18="",0,IFERROR(INDEX($W$5:$W$86,MATCH(CE18,$V$5:$V$86,0)),0))</f>
        <v/>
      </c>
      <c r="CF108">
        <f>IF(CF18="",0,IFERROR(INDEX($W$5:$W$86,MATCH(CF18,$V$5:$V$86,0)),0))</f>
        <v/>
      </c>
      <c r="DA108" t="n">
        <v>104</v>
      </c>
      <c r="DB108">
        <f>IF($B$37=0,"",IFERROR(TRIM(SUBSTITUTE(SUBSTITUTE(SUBSTITUTE(SUBSTITUTE(INDEX(PASTE_ALL,104,$B$37)," "," "),CHAR(9)," "),CHAR(10)," "),CHAR(13)," ")),""))</f>
        <v/>
      </c>
      <c r="DC108">
        <f>IF(AND(104&gt;HEADER_ROW,UPPER(DB108)="LEGEND"),1,0)</f>
        <v/>
      </c>
      <c r="DE108" t="n">
        <v>104</v>
      </c>
      <c r="DF108">
        <f>HEADER_ROW+$DE108</f>
        <v/>
      </c>
      <c r="DG108">
        <f>IF(AND($DF108&lt;=1000,$DF108&lt;$B$8),1,0)</f>
        <v/>
      </c>
      <c r="DH108">
        <f>IF($DG108=1,IFERROR(INDEX($DB$5:$DB$1004,$DF108),""),"")</f>
        <v/>
      </c>
      <c r="DI108">
        <f>IF(AND($DG108=1,$DH108&lt;&gt;""),IFERROR(SUBSTITUTE(SUBSTITUTE(TRIM(SUBSTITUTE(SUBSTITUTE(SUBSTITUTE(SUBSTITUTE(IFERROR(INDEX(PASTE_ALL,$DF108,1)&amp;"","")&amp;"␟"&amp;IFERROR(INDEX(PASTE_ALL,$DF108,2)&amp;"","")&amp;"␟"&amp;IFERROR(INDEX(PASTE_ALL,$DF108,3)&amp;"","")&amp;"␟"&amp;IFERROR(INDEX(PASTE_ALL,$DF108,4)&amp;"","")&amp;"␟"&amp;IFERROR(INDEX(PASTE_ALL,$DF108,5)&amp;"","")&amp;"␟"&amp;IFERROR(INDEX(PASTE_ALL,$DF108,6)&amp;"","")&amp;"␟"&amp;IFERROR(INDEX(PASTE_ALL,$DF108,7)&amp;"","")&amp;"␟"&amp;IFERROR(INDEX(PASTE_ALL,$DF108,8)&amp;"","")&amp;"␟"&amp;IFERROR(INDEX(PASTE_ALL,$DF108,9)&amp;"","")&amp;"␟"&amp;IFERROR(INDEX(PASTE_ALL,$DF108,10)&amp;"","")&amp;"␟"&amp;IFERROR(INDEX(PASTE_ALL,$DF108,11)&amp;"","")&amp;"␟"&amp;IFERROR(INDEX(PASTE_ALL,$DF108,12)&amp;"","")&amp;"␟"&amp;IFERROR(INDEX(PASTE_ALL,$DF108,13)&amp;"","")&amp;"␟"&amp;IFERROR(INDEX(PASTE_ALL,$DF108,14)&amp;"","")&amp;"␟"&amp;IFERROR(INDEX(PASTE_ALL,$DF108,15)&amp;"","")&amp;"␟"&amp;IFERROR(INDEX(PASTE_ALL,$DF108,16)&amp;"","")&amp;"␟"&amp;IFERROR(INDEX(PASTE_ALL,$DF108,17)&amp;"","")&amp;"␟"&amp;IFERROR(INDEX(PASTE_ALL,$DF108,18)&amp;"","")&amp;"␟"&amp;IFERROR(INDEX(PASTE_ALL,$DF108,19)&amp;"","")&amp;"␟"&amp;IFERROR(INDEX(PASTE_ALL,$DF108,20)&amp;"","")&amp;"␟"&amp;IFERROR(INDEX(PASTE_ALL,$DF108,21)&amp;"","")&amp;"␟"&amp;IFERROR(INDEX(PASTE_ALL,$DF108,22)&amp;"","")&amp;"␟"&amp;IFERROR(INDEX(PASTE_ALL,$DF108,23)&amp;"","")&amp;"␟"&amp;IFERROR(INDEX(PASTE_ALL,$DF108,24)&amp;"","")&amp;"␟"&amp;IFERROR(INDEX(PASTE_ALL,$DF108,25)&amp;"","")&amp;"␟"&amp;IFERROR(INDEX(PASTE_ALL,$DF108,26)&amp;"","")&amp;"␟"&amp;IFERROR(INDEX(PASTE_ALL,$DF108,27)&amp;"","")&amp;"␟"&amp;IFERROR(INDEX(PASTE_ALL,$DF108,28)&amp;"","")&amp;"␟"&amp;IFERROR(INDEX(PASTE_ALL,$DF108,29)&amp;"","")&amp;"␟"&amp;IFERROR(INDEX(PASTE_ALL,$DF108,30)&amp;"","")&amp;"␟"&amp;IFERROR(INDEX(PASTE_ALL,$DF108,31)&amp;"","")&amp;"␟"&amp;IFERROR(INDEX(PASTE_ALL,$DF108,32)&amp;"","")&amp;"␟"&amp;IFERROR(INDEX(PASTE_ALL,$DF108,33)&amp;"","")&amp;"␟"&amp;IFERROR(INDEX(PASTE_ALL,$DF108,34)&amp;"","")&amp;"␟"&amp;IFERROR(INDEX(PASTE_ALL,$DF108,35)&amp;"","")&amp;"␟"&amp;IFERROR(INDEX(PASTE_ALL,$DF108,36)&amp;"","")&amp;"␟"&amp;IFERROR(INDEX(PASTE_ALL,$DF108,37)&amp;"","")&amp;"␟"&amp;IFERROR(INDEX(PASTE_ALL,$DF108,38)&amp;"","")&amp;"␟"&amp;IFERROR(INDEX(PASTE_ALL,$DF108,39)&amp;"","")&amp;"␟"&amp;IFERROR(INDEX(PASTE_ALL,$DF108,40)&amp;"","")&amp;"␟"&amp;IFERROR(INDEX(PASTE_ALL,$DF108,41)&amp;"","")&amp;"␟"&amp;IFERROR(INDEX(PASTE_ALL,$DF108,42)&amp;"","")&amp;"␟"&amp;IFERROR(INDEX(PASTE_ALL,$DF108,43)&amp;"","")&amp;"␟"&amp;IFERROR(INDEX(PASTE_ALL,$DF108,44)&amp;"","")&amp;"␟"&amp;IFERROR(INDEX(PASTE_ALL,$DF108,45)&amp;"","")&amp;"␟"&amp;IFERROR(INDEX(PASTE_ALL,$DF108,46)&amp;"","")&amp;"␟"&amp;IFERROR(INDEX(PASTE_ALL,$DF108,47)&amp;"","")&amp;"␟"&amp;IFERROR(INDEX(PASTE_ALL,$DF108,48)&amp;"","")&amp;"␟"&amp;IFERROR(INDEX(PASTE_ALL,$DF108,49)&amp;"","")&amp;"␟"&amp;IFERROR(INDEX(PASTE_ALL,$DF108,50)&amp;"","")&amp;"␟"&amp;IFERROR(INDEX(PASTE_ALL,$DF108,51)&amp;"","")&amp;"␟"&amp;IFERROR(INDEX(PASTE_ALL,$DF108,52)&amp;"","")&amp;"␟"&amp;IFERROR(INDEX(PASTE_ALL,$DF108,53)&amp;"","")&amp;"␟"&amp;IFERROR(INDEX(PASTE_ALL,$DF108,54)&amp;"","")&amp;"␟"&amp;IFERROR(INDEX(PASTE_ALL,$DF108,55)&amp;"","")&amp;"␟"&amp;IFERROR(INDEX(PASTE_ALL,$DF108,56)&amp;"","")&amp;"␟"&amp;IFERROR(INDEX(PASTE_ALL,$DF108,57)&amp;"","")&amp;"␟"&amp;IFERROR(INDEX(PASTE_ALL,$DF108,58)&amp;"","")&amp;"␟"&amp;IFERROR(INDEX(PASTE_ALL,$DF108,59)&amp;"","")&amp;"␟"&amp;IFERROR(INDEX(PASTE_ALL,$DF108,60)&amp;"","")," "," "),CHAR(9)," "),CHAR(10)," "),CHAR(13)," "))," ␟","␟"),"␟ ","␟"),"#"&amp;$DE108),"")</f>
        <v/>
      </c>
      <c r="DJ108">
        <f>IF($DI108="",0,IF(SUMPRODUCT(--EXACT($DI$4:DI107,$DI108))&gt;0,1,0))</f>
        <v/>
      </c>
      <c r="DK108">
        <f>IF(AND($DI108&lt;&gt;"",$DJ108=0),1,0)</f>
        <v/>
      </c>
      <c r="DL108">
        <f>DL107+$DK108</f>
        <v/>
      </c>
      <c r="DM108">
        <f>IF(AND($DK108=1,$DL108&lt;=600),1,0)</f>
        <v/>
      </c>
      <c r="DN108">
        <f>IF($DM108=0,"",IF($L$6=0,"",IFERROR(IF(ISNUMBER(INDEX(PASTE_ALL,$DF108,$L$6)),INDEX(PASTE_ALL,$DF108,$L$6),TRIM(SUBSTITUTE(SUBSTITUTE(SUBSTITUTE(SUBSTITUTE(INDEX(PASTE_ALL,$DF108,$L$6)," "," "),CHAR(9)," "),CHAR(10)," "),CHAR(13)," "))),"")))</f>
        <v/>
      </c>
      <c r="DO108">
        <f>IF($DM108=0,"",IF($L$7=0,"",IFERROR(IF(ISNUMBER(INDEX(PASTE_ALL,$DF108,$L$7)),INDEX(PASTE_ALL,$DF108,$L$7),TRIM(SUBSTITUTE(SUBSTITUTE(SUBSTITUTE(SUBSTITUTE(INDEX(PASTE_ALL,$DF108,$L$7)," "," "),CHAR(9)," "),CHAR(10)," "),CHAR(13)," "))),"")))</f>
        <v/>
      </c>
      <c r="DP108">
        <f>IF($DM108=0,"",IF($L$8=0,"",IFERROR(IF(ISNUMBER(INDEX(PASTE_ALL,$DF108,$L$8)),INDEX(PASTE_ALL,$DF108,$L$8),TRIM(SUBSTITUTE(SUBSTITUTE(SUBSTITUTE(SUBSTITUTE(INDEX(PASTE_ALL,$DF108,$L$8)," "," "),CHAR(9)," "),CHAR(10)," "),CHAR(13)," "))),"")))</f>
        <v/>
      </c>
      <c r="DQ108">
        <f>IF($DM108=0,"",IF($L$9=0,"",IFERROR(IF(ISNUMBER(INDEX(PASTE_ALL,$DF108,$L$9)),INDEX(PASTE_ALL,$DF108,$L$9),TRIM(SUBSTITUTE(SUBSTITUTE(SUBSTITUTE(SUBSTITUTE(INDEX(PASTE_ALL,$DF108,$L$9)," "," "),CHAR(9)," "),CHAR(10)," "),CHAR(13)," "))),"")))</f>
        <v/>
      </c>
      <c r="DR108">
        <f>IF($DM108=0,"",IF($L$10=0,"",IFERROR(IF(ISNUMBER(INDEX(PASTE_ALL,$DF108,$L$10)),INDEX(PASTE_ALL,$DF108,$L$10),TRIM(SUBSTITUTE(SUBSTITUTE(SUBSTITUTE(SUBSTITUTE(INDEX(PASTE_ALL,$DF108,$L$10)," "," "),CHAR(9)," "),CHAR(10)," "),CHAR(13)," "))),"")))</f>
        <v/>
      </c>
      <c r="DS108">
        <f>IF($DM108=0,"",IF($L$11=0,"",IFERROR(IF(ISNUMBER(INDEX(PASTE_ALL,$DF108,$L$11)),INDEX(PASTE_ALL,$DF108,$L$11),TRIM(SUBSTITUTE(SUBSTITUTE(SUBSTITUTE(SUBSTITUTE(INDEX(PASTE_ALL,$DF108,$L$11)," "," "),CHAR(9)," "),CHAR(10)," "),CHAR(13)," "))),"")))</f>
        <v/>
      </c>
      <c r="DT108">
        <f>IF($DM108=0,"",IF($L$12=0,"",IFERROR(IF(ISNUMBER(INDEX(PASTE_ALL,$DF108,$L$12)),INDEX(PASTE_ALL,$DF108,$L$12),TRIM(SUBSTITUTE(SUBSTITUTE(SUBSTITUTE(SUBSTITUTE(INDEX(PASTE_ALL,$DF108,$L$12)," "," "),CHAR(9)," "),CHAR(10)," "),CHAR(13)," "))),"")))</f>
        <v/>
      </c>
      <c r="DU108">
        <f>IF($DM108=0,"",IF($L$13=0,"",IFERROR(IF(ISNUMBER(INDEX(PASTE_ALL,$DF108,$L$13)),INDEX(PASTE_ALL,$DF108,$L$13),TRIM(SUBSTITUTE(SUBSTITUTE(SUBSTITUTE(SUBSTITUTE(INDEX(PASTE_ALL,$DF108,$L$13)," "," "),CHAR(9)," "),CHAR(10)," "),CHAR(13)," "))),"")))</f>
        <v/>
      </c>
      <c r="DV108">
        <f>IF($DM108=0,"",IF($L$14=0,"",IFERROR(IF(ISNUMBER(INDEX(PASTE_ALL,$DF108,$L$14)),INDEX(PASTE_ALL,$DF108,$L$14),TRIM(SUBSTITUTE(SUBSTITUTE(SUBSTITUTE(SUBSTITUTE(INDEX(PASTE_ALL,$DF108,$L$14)," "," "),CHAR(9)," "),CHAR(10)," "),CHAR(13)," "))),"")))</f>
        <v/>
      </c>
      <c r="DW108">
        <f>IF($DM108=0,"",IF($L$15=0,"",IFERROR(IF(ISNUMBER(INDEX(PASTE_ALL,$DF108,$L$15)),INDEX(PASTE_ALL,$DF108,$L$15),IF(SUMPRODUCT(--ISNUMBER(FIND({"A","B","C","D","E","F","G","H","I","J","K","L","M","N","O","P","Q","R","S","T","U","V","W","X","Y","Z","0","1","2","3","4","5","6","7","8","9"},UPPER(TRIM(SUBSTITUTE(SUBSTITUTE(SUBSTITUTE(SUBSTITUTE(INDEX(PASTE_ALL,$DF108,$L$15)," "," "),CHAR(9)," "),CHAR(10)," "),CHAR(13)," "))))))&gt;0,TRIM(SUBSTITUTE(SUBSTITUTE(SUBSTITUTE(SUBSTITUTE(INDEX(PASTE_ALL,$DF108,$L$15)," "," "),CHAR(9)," "),CHAR(10)," "),CHAR(13)," ")),"")),"")))</f>
        <v/>
      </c>
      <c r="DX108">
        <f>IF($DM108=0,"",IF($L$16=0,"",IFERROR(IF(ISNUMBER(INDEX(PASTE_ALL,$DF108,$L$16)),INDEX(PASTE_ALL,$DF108,$L$16),SUBSTITUTE(SUBSTITUTE(TRIM(SUBSTITUTE(SUBSTITUTE(SUBSTITUTE(SUBSTITUTE(INDEX(PASTE_ALL,$DF108,$L$16)," "," "),CHAR(9)," "),CHAR(10)," "),CHAR(13)," ")),",",""),"%","")),"")))</f>
        <v/>
      </c>
      <c r="DY108">
        <f>IF($DM108=0,"",IFERROR(IF(ISNUMBER($DX108),$DX108,IF($DX108="","",IF(TRIM($DX108)="",0,IF(AND(AND(SUBSTITUTE(SUBSTITUTE(SUBSTITUTE(SUBSTITUTE(SUBSTITUTE(SUBSTITUTE(SUBSTITUTE(SUBSTITUTE(SUBSTITUTE(SUBSTITUTE(SUBSTITUTE(SUBSTITUTE(SUBSTITUTE(SUBSTITUTE(UPPER(TRIM($DX108)),"0",""),"1",""),"2",""),"3",""),"4",""),"5",""),"6",""),"7",""),"8",""),"9",""),".",""),"+",""),"-",""),"E","")="",LEN(SUBSTITUTE(SUBSTITUTE(MID(UPPER(TRIM($DX108)),1+OR(LEFT(UPPER(TRIM($DX108)),1)="+",LEFT(UPPER(TRIM($DX108)),1)="-"),999),"E+","E"),"E-","E"))=LEN(SUBSTITUTE(SUBSTITUTE(SUBSTITUTE(SUBSTITUTE(MID(UPPER(TRIM($DX108)),1+OR(LEFT(UPPER(TRIM($DX108)),1)="+",LEFT(UPPER(TRIM($DX108)),1)="-"),999),"E+","E"),"E-","E"),"+",""),"-","")),LEN(UPPER(TRIM($DX108)))-LEN(SUBSTITUTE(UPPER(TRIM($DX108)),"E",""))&lt;2,LEN(UPPER(TRIM($DX108)))-LEN(SUBSTITUTE(UPPER(TRIM($DX108)),".",""))&lt;2,IFERROR(FIND(".",UPPER(TRIM($DX108))),0)&lt;IFERROR(FIND("E",UPPER(TRIM($DX108))),999)),ISNUMBER(VALUE(TRIM($DX108)))),VALUE(TRIM($DX108)),"")))),""))</f>
        <v/>
      </c>
      <c r="DZ108">
        <f>IF($DM108=0,"",IF($L$17=0,"",IFERROR(IF(ISNUMBER(INDEX(PASTE_ALL,$DF108,$L$17)),INDEX(PASTE_ALL,$DF108,$L$17),SUBSTITUTE(SUBSTITUTE(TRIM(SUBSTITUTE(SUBSTITUTE(SUBSTITUTE(SUBSTITUTE(INDEX(PASTE_ALL,$DF108,$L$17)," "," "),CHAR(9)," "),CHAR(10)," "),CHAR(13)," ")),",",""),"%","")),"")))</f>
        <v/>
      </c>
      <c r="EA108">
        <f>IF($DM108=0,"",IFERROR(IF(ISNUMBER($DZ108),$DZ108,IF($DZ108="","",IF(TRIM($DZ108)="",0,IF(AND(AND(SUBSTITUTE(SUBSTITUTE(SUBSTITUTE(SUBSTITUTE(SUBSTITUTE(SUBSTITUTE(SUBSTITUTE(SUBSTITUTE(SUBSTITUTE(SUBSTITUTE(SUBSTITUTE(SUBSTITUTE(SUBSTITUTE(SUBSTITUTE(UPPER(TRIM($DZ108)),"0",""),"1",""),"2",""),"3",""),"4",""),"5",""),"6",""),"7",""),"8",""),"9",""),".",""),"+",""),"-",""),"E","")="",LEN(SUBSTITUTE(SUBSTITUTE(MID(UPPER(TRIM($DZ108)),1+OR(LEFT(UPPER(TRIM($DZ108)),1)="+",LEFT(UPPER(TRIM($DZ108)),1)="-"),999),"E+","E"),"E-","E"))=LEN(SUBSTITUTE(SUBSTITUTE(SUBSTITUTE(SUBSTITUTE(MID(UPPER(TRIM($DZ108)),1+OR(LEFT(UPPER(TRIM($DZ108)),1)="+",LEFT(UPPER(TRIM($DZ108)),1)="-"),999),"E+","E"),"E-","E"),"+",""),"-","")),LEN(UPPER(TRIM($DZ108)))-LEN(SUBSTITUTE(UPPER(TRIM($DZ108)),"E",""))&lt;2,LEN(UPPER(TRIM($DZ108)))-LEN(SUBSTITUTE(UPPER(TRIM($DZ108)),".",""))&lt;2,IFERROR(FIND(".",UPPER(TRIM($DZ108))),0)&lt;IFERROR(FIND("E",UPPER(TRIM($DZ108))),999)),ISNUMBER(VALUE(TRIM($DZ108)))),VALUE(TRIM($DZ108)),"")))),""))</f>
        <v/>
      </c>
      <c r="EB108">
        <f>IF($DM108=0,"",IF($L$18=0,"",IFERROR(IF(UPPER(TRIM(SUBSTITUTE(SUBSTITUTE(SUBSTITUTE(SUBSTITUTE(INDEX(PASTE_ALL,$DF108,$L$18)," "," "),CHAR(9)," "),CHAR(10)," "),CHAR(13)," ")))="READY","Ready",IF(UPPER(TRIM(SUBSTITUTE(SUBSTITUTE(SUBSTITUTE(SUBSTITUTE(INDEX(PASTE_ALL,$DF108,$L$18)," "," "),CHAR(9)," "),CHAR(10)," "),CHAR(13)," ")))="PM","PM",IF(OR(UPPER(TRIM(SUBSTITUTE(SUBSTITUTE(SUBSTITUTE(SUBSTITUTE(INDEX(PASTE_ALL,$DF108,$L$18)," "," "),CHAR(9)," "),CHAR(10)," "),CHAR(13)," ")))="OT",UPPER(TRIM(SUBSTITUTE(SUBSTITUTE(SUBSTITUTE(SUBSTITUTE(INDEX(PASTE_ALL,$DF108,$L$18)," "," "),CHAR(9)," "),CHAR(10)," "),CHAR(13)," ")))="OVERTIME",UPPER(TRIM(SUBSTITUTE(SUBSTITUTE(SUBSTITUTE(SUBSTITUTE(INDEX(PASTE_ALL,$DF108,$L$18)," "," "),CHAR(9)," "),CHAR(10)," "),CHAR(13)," ")))="TRIAL"),"OT",TRIM(SUBSTITUTE(SUBSTITUTE(SUBSTITUTE(SUBSTITUTE(INDEX(PASTE_ALL,$DF108,$L$18)," "," "),CHAR(9)," "),CHAR(10)," "),CHAR(13)," "))))),"")))</f>
        <v/>
      </c>
      <c r="EC108">
        <f>IF($DM108=0,"",IF($L$19=0,"",IFERROR(IF(ISNUMBER(INDEX(PASTE_ALL,$DF108,$L$19)),INDEX(PASTE_ALL,$DF108,$L$19),TRIM(SUBSTITUTE(SUBSTITUTE(SUBSTITUTE(SUBSTITUTE(INDEX(PASTE_ALL,$DF108,$L$19)," "," "),CHAR(9)," "),CHAR(10)," "),CHAR(13)," "))),"")))</f>
        <v/>
      </c>
      <c r="ED108">
        <f>IF($DM108=0,"",MATCH(1,INDEX(EXACT($DH$5:DH108,$DH108)*$DM$5:DM108,0),0))</f>
        <v/>
      </c>
      <c r="EE108">
        <f>IF($DM108=0,0,IF($ED108=$DE108,1,0))</f>
        <v/>
      </c>
      <c r="EF108">
        <f>EF107+$EE108</f>
        <v/>
      </c>
      <c r="EG108">
        <f>IF($DM108=0,"",INDEX($EF$5:$EF$1003,$ED108))</f>
        <v/>
      </c>
      <c r="EH108">
        <f>IF($DM108=0,"",IF($DO108&lt;&gt;"","",IFERROR(LOOKUP(2,1/(($EG$4:EG107=$EG108)*($DO$4:DO107&lt;&gt;"")),$DO$4:DO107),"")))</f>
        <v/>
      </c>
      <c r="EI108">
        <f>IF($DM108=0,"",IF($DO108&lt;&gt;"",$DO108,$EH108))</f>
        <v/>
      </c>
      <c r="EJ108">
        <f>IF($DM108=0,"",IF($EI108="",0,IF(OR(ISNUMBER($EI108),AND(AND(SUBSTITUTE(SUBSTITUTE(SUBSTITUTE(SUBSTITUTE(SUBSTITUTE(SUBSTITUTE(SUBSTITUTE(SUBSTITUTE(SUBSTITUTE(SUBSTITUTE(SUBSTITUTE(SUBSTITUTE(SUBSTITUTE(SUBSTITUTE(UPPER($EI108),"0",""),"1",""),"2",""),"3",""),"4",""),"5",""),"6",""),"7",""),"8",""),"9",""),".",""),"+",""),"-",""),"E","")="",LEN(SUBSTITUTE(SUBSTITUTE(MID(UPPER($EI108),1+OR(LEFT(UPPER($EI108),1)="+",LEFT(UPPER($EI108),1)="-"),999),"E+","E"),"E-","E"))=LEN(SUBSTITUTE(SUBSTITUTE(SUBSTITUTE(SUBSTITUTE(MID(UPPER($EI108),1+OR(LEFT(UPPER($EI108),1)="+",LEFT(UPPER($EI108),1)="-"),999),"E+","E"),"E-","E"),"+",""),"-","")),LEN(UPPER($EI108))-LEN(SUBSTITUTE(UPPER($EI108),"E",""))&lt;2,LEN(UPPER($EI108))-LEN(SUBSTITUTE(UPPER($EI108),".",""))&lt;2,IFERROR(FIND(".",UPPER($EI108)),0)&lt;IFERROR(FIND("E",UPPER($EI108)),999)),ISNUMBER(VALUE($EI108)))),1,2)))</f>
        <v/>
      </c>
      <c r="EK108">
        <f>IF($DM108=0,"",IF($EJ108=1,IF(ISNUMBER($EI108),$EI108,VALUE($EI108)),IF($EJ108=2,$DE108,0)))</f>
        <v/>
      </c>
      <c r="EL108">
        <f>IF($DM108=0,"",COUNTIF($EG$5:$EG$1003,"&lt;"&amp;$EG108)+SUMPRODUCT(($EG$5:$EG$1003=$EG108)*(($EJ$5:$EJ$1003&lt;$EJ108)+($EJ$5:$EJ$1003=$EJ108)*(($EK$5:$EK$1003&lt;$EK108)+($EK$5:$EK$1003=$EK108)*($DE$5:$DE$1003&lt;$DE108))))+1)</f>
        <v/>
      </c>
      <c r="EM108">
        <f>IF($DM108=0,"",$EL108+$EG108-1)</f>
        <v/>
      </c>
      <c r="EN108">
        <f>IF($DM108=0,0,IFERROR(MATCH(1,INDEX(--(TRIM(SUBSTITUTE(SUBSTITUTE(SUBSTITUTE(SUBSTITUTE(LINES_NAME&amp;""," "," "),CHAR(9)," "),CHAR(10)," "),CHAR(13)," "))=$DH108),0),0),0))</f>
        <v/>
      </c>
      <c r="EO108">
        <f>IF($EN108=0,0,IF(OR(UPPER(TRIM(INDEX(LINES_SCHEDULED,$EN108)&amp;""))="YES",UPPER(TRIM(INDEX(LINES_SCHEDULED,$EN108)&amp;""))="Y",UPPER(TRIM(INDEX(LINES_SCHEDULED,$EN108)&amp;""))="X"),1,0))</f>
        <v/>
      </c>
      <c r="EP108">
        <f>IF($DM108=0,"",IF(COUNTIFS($EG$5:$EG$1003,$EG108,$EB$5:$EB$1003,"Ready")&gt;0,"READY",IF(COUNTIFS($EG$5:$EG$1003,$EG108,$EB$5:$EB$1003,"PM")&gt;0,"PM",IF(COUNTIFS($EG$5:$EG$1003,$EG108,$EB$5:$EB$1003,"OT")&gt;0,"OT",""))))</f>
        <v/>
      </c>
      <c r="EQ108">
        <f>IF($EN108=0,"",UPPER(TRIM(INDEX(LINES_STATUS,$EN108)&amp;"")))</f>
        <v/>
      </c>
      <c r="ER108">
        <f>IF($DM108=0,"",IF(OR($EQ108="READY",$EQ108="PM",$EQ108="OT"),$EQ108,$EP108))</f>
        <v/>
      </c>
      <c r="ES108">
        <f>IF($DM108=0,"",IF(AND($DV108&lt;&gt;"",UPPER($DV108)&lt;&gt;"N"),"allergen",IF(ISNUMBER(SEARCH("oil",$DQ108)),"oil",IF(OR(EXACT($DS108,"A662"),EXACT($DS108,"A624")),"bulk",""))))</f>
        <v/>
      </c>
      <c r="ET108">
        <f>IF($DM108=0,"",IF(OR($EA108="",$EA108=0),"",$EA108/100))</f>
        <v/>
      </c>
      <c r="EU108">
        <f>IF(OR($ET108="",$DY108=""),"",INT($DY108*(1-$ET108)+0.5))</f>
        <v/>
      </c>
      <c r="EW108" t="n">
        <v>104</v>
      </c>
      <c r="EX108">
        <f>IFERROR(MATCH($EW108,$EM$5:$EM$1003,0),0)</f>
        <v/>
      </c>
      <c r="EY108">
        <f>IF($EW108&gt;$B$12,"",IF($EX108&gt;0,"row","spacer"))</f>
        <v/>
      </c>
      <c r="EZ108">
        <f>IF(AND($EY108="row",$EY107&lt;&gt;"row"),1,0)</f>
        <v/>
      </c>
      <c r="FA108">
        <f>IF(AND($EY108="row",$EY109&lt;&gt;"row"),1,0)</f>
        <v/>
      </c>
      <c r="FB108">
        <f>IF($EZ108=1,IFERROR(IF(ISNUMBER(INDEX(PASTE_ALL,INDEX($DF$5:$DF$1003,$EX108),$B$37)),INDEX(PASTE_ALL,INDEX($DF$5:$DF$1003,$EX108),$B$37),INDEX($DH$5:$DH$1003,$EX108)),INDEX($DH$5:$DH$1003,$EX108)),"")</f>
        <v/>
      </c>
      <c r="FC108">
        <f>IF($EY108="row",INDEX($ER$5:$ER$1003,$EX108),"")</f>
        <v/>
      </c>
      <c r="FD108">
        <f>IF($EY108="row",INDEX($DN$5:$DN$1003,$EX108),"")</f>
        <v/>
      </c>
      <c r="FE108">
        <f>IF($EY108="row",INDEX($DO$5:$DO$1003,$EX108),"")</f>
        <v/>
      </c>
      <c r="FF108">
        <f>IF($EY108="row",INDEX($DP$5:$DP$1003,$EX108),"")</f>
        <v/>
      </c>
      <c r="FG108">
        <f>IF($EY108="row",INDEX($DQ$5:$DQ$1003,$EX108),"")</f>
        <v/>
      </c>
      <c r="FH108">
        <f>IF($EY108="row",INDEX($DR$5:$DR$1003,$EX108),"")</f>
        <v/>
      </c>
      <c r="FI108">
        <f>IF($EY108="row",INDEX($DS$5:$DS$1003,$EX108),"")</f>
        <v/>
      </c>
      <c r="FJ108">
        <f>IF($EY108="row",INDEX($DT$5:$DT$1003,$EX108),"")</f>
        <v/>
      </c>
      <c r="FK108">
        <f>IF($EY108="row",INDEX($DU$5:$DU$1003,$EX108),"")</f>
        <v/>
      </c>
      <c r="FL108">
        <f>IF($EY108="row",INDEX($DV$5:$DV$1003,$EX108),"")</f>
        <v/>
      </c>
      <c r="FM108">
        <f>IF($EY108="row",INDEX($DW$5:$DW$1003,$EX108),"")</f>
        <v/>
      </c>
      <c r="FN108">
        <f>IF($EY108="row",INDEX($DY$5:$DY$1003,$EX108),"")</f>
        <v/>
      </c>
      <c r="FO108">
        <f>IF($EY108="row",INDEX($EA$5:$EA$1003,$EX108),"")</f>
        <v/>
      </c>
      <c r="FP108">
        <f>IF($EY108="row",INDEX($EC$5:$EC$1003,$EX108),"")</f>
        <v/>
      </c>
      <c r="FQ108">
        <f>IF($EY108="row",INDEX($ET$5:$ET$1003,$EX108),"")</f>
        <v/>
      </c>
      <c r="FR108">
        <f>IF($EY108="row",INDEX($EU$5:$EU$1003,$EX108),"")</f>
        <v/>
      </c>
      <c r="FS108">
        <f>IF(AND($EY108="row",$EY107="row"),IF(OR(INDEX($DT$5:$DT$1003,$EX107)="",INDEX($DT$5:$DT$1003,$EX108)=""),"",IF(NOT(EXACT(INDEX($DT$5:$DT$1003,$EX107),INDEX($DT$5:$DT$1003,$EX108))),"S4",IF(NOT(EXACT(INDEX($DS$5:$DS$1003,$EX107),INDEX($DS$5:$DS$1003,$EX108))),"S3",IF(NOT(EXACT(INDEX($DR$5:$DR$1003,$EX107),INDEX($DR$5:$DR$1003,$EX108))),"S1 Count Change","S1")))),"")</f>
        <v/>
      </c>
      <c r="FT108">
        <f>IF($EY108="row",INDEX($ES$5:$ES$1003,$EX108),"")</f>
        <v/>
      </c>
      <c r="FU108">
        <f>IF($EY108="row",INDEX($EO$5:$EO$1003,$EX108),0)</f>
        <v/>
      </c>
      <c r="FV108">
        <f>IF($FS108="S1 Count Change",1,0)</f>
        <v/>
      </c>
    </row>
    <row r="109">
      <c r="Y109">
        <f>IF(Y19="",0,IFERROR(INDEX($W$5:$W$86,MATCH(Y19,$V$5:$V$86,0)),0))</f>
        <v/>
      </c>
      <c r="Z109">
        <f>IF(Z19="",0,IFERROR(INDEX($W$5:$W$86,MATCH(Z19,$V$5:$V$86,0)),0))</f>
        <v/>
      </c>
      <c r="AA109">
        <f>IF(AA19="",0,IFERROR(INDEX($W$5:$W$86,MATCH(AA19,$V$5:$V$86,0)),0))</f>
        <v/>
      </c>
      <c r="AB109">
        <f>IF(AB19="",0,IFERROR(INDEX($W$5:$W$86,MATCH(AB19,$V$5:$V$86,0)),0))</f>
        <v/>
      </c>
      <c r="AC109">
        <f>IF(AC19="",0,IFERROR(INDEX($W$5:$W$86,MATCH(AC19,$V$5:$V$86,0)),0))</f>
        <v/>
      </c>
      <c r="AD109">
        <f>IF(AD19="",0,IFERROR(INDEX($W$5:$W$86,MATCH(AD19,$V$5:$V$86,0)),0))</f>
        <v/>
      </c>
      <c r="AE109">
        <f>IF(AE19="",0,IFERROR(INDEX($W$5:$W$86,MATCH(AE19,$V$5:$V$86,0)),0))</f>
        <v/>
      </c>
      <c r="AF109">
        <f>IF(AF19="",0,IFERROR(INDEX($W$5:$W$86,MATCH(AF19,$V$5:$V$86,0)),0))</f>
        <v/>
      </c>
      <c r="AG109">
        <f>IF(AG19="",0,IFERROR(INDEX($W$5:$W$86,MATCH(AG19,$V$5:$V$86,0)),0))</f>
        <v/>
      </c>
      <c r="AH109">
        <f>IF(AH19="",0,IFERROR(INDEX($W$5:$W$86,MATCH(AH19,$V$5:$V$86,0)),0))</f>
        <v/>
      </c>
      <c r="AI109">
        <f>IF(AI19="",0,IFERROR(INDEX($W$5:$W$86,MATCH(AI19,$V$5:$V$86,0)),0))</f>
        <v/>
      </c>
      <c r="AJ109">
        <f>IF(AJ19="",0,IFERROR(INDEX($W$5:$W$86,MATCH(AJ19,$V$5:$V$86,0)),0))</f>
        <v/>
      </c>
      <c r="AK109">
        <f>IF(AK19="",0,IFERROR(INDEX($W$5:$W$86,MATCH(AK19,$V$5:$V$86,0)),0))</f>
        <v/>
      </c>
      <c r="AL109">
        <f>IF(AL19="",0,IFERROR(INDEX($W$5:$W$86,MATCH(AL19,$V$5:$V$86,0)),0))</f>
        <v/>
      </c>
      <c r="AM109">
        <f>IF(AM19="",0,IFERROR(INDEX($W$5:$W$86,MATCH(AM19,$V$5:$V$86,0)),0))</f>
        <v/>
      </c>
      <c r="AN109">
        <f>IF(AN19="",0,IFERROR(INDEX($W$5:$W$86,MATCH(AN19,$V$5:$V$86,0)),0))</f>
        <v/>
      </c>
      <c r="AO109">
        <f>IF(AO19="",0,IFERROR(INDEX($W$5:$W$86,MATCH(AO19,$V$5:$V$86,0)),0))</f>
        <v/>
      </c>
      <c r="AP109">
        <f>IF(AP19="",0,IFERROR(INDEX($W$5:$W$86,MATCH(AP19,$V$5:$V$86,0)),0))</f>
        <v/>
      </c>
      <c r="AQ109">
        <f>IF(AQ19="",0,IFERROR(INDEX($W$5:$W$86,MATCH(AQ19,$V$5:$V$86,0)),0))</f>
        <v/>
      </c>
      <c r="AR109">
        <f>IF(AR19="",0,IFERROR(INDEX($W$5:$W$86,MATCH(AR19,$V$5:$V$86,0)),0))</f>
        <v/>
      </c>
      <c r="AS109">
        <f>IF(AS19="",0,IFERROR(INDEX($W$5:$W$86,MATCH(AS19,$V$5:$V$86,0)),0))</f>
        <v/>
      </c>
      <c r="AT109">
        <f>IF(AT19="",0,IFERROR(INDEX($W$5:$W$86,MATCH(AT19,$V$5:$V$86,0)),0))</f>
        <v/>
      </c>
      <c r="AU109">
        <f>IF(AU19="",0,IFERROR(INDEX($W$5:$W$86,MATCH(AU19,$V$5:$V$86,0)),0))</f>
        <v/>
      </c>
      <c r="AV109">
        <f>IF(AV19="",0,IFERROR(INDEX($W$5:$W$86,MATCH(AV19,$V$5:$V$86,0)),0))</f>
        <v/>
      </c>
      <c r="AW109">
        <f>IF(AW19="",0,IFERROR(INDEX($W$5:$W$86,MATCH(AW19,$V$5:$V$86,0)),0))</f>
        <v/>
      </c>
      <c r="AX109">
        <f>IF(AX19="",0,IFERROR(INDEX($W$5:$W$86,MATCH(AX19,$V$5:$V$86,0)),0))</f>
        <v/>
      </c>
      <c r="AY109">
        <f>IF(AY19="",0,IFERROR(INDEX($W$5:$W$86,MATCH(AY19,$V$5:$V$86,0)),0))</f>
        <v/>
      </c>
      <c r="AZ109">
        <f>IF(AZ19="",0,IFERROR(INDEX($W$5:$W$86,MATCH(AZ19,$V$5:$V$86,0)),0))</f>
        <v/>
      </c>
      <c r="BA109">
        <f>IF(BA19="",0,IFERROR(INDEX($W$5:$W$86,MATCH(BA19,$V$5:$V$86,0)),0))</f>
        <v/>
      </c>
      <c r="BB109">
        <f>IF(BB19="",0,IFERROR(INDEX($W$5:$W$86,MATCH(BB19,$V$5:$V$86,0)),0))</f>
        <v/>
      </c>
      <c r="BC109">
        <f>IF(BC19="",0,IFERROR(INDEX($W$5:$W$86,MATCH(BC19,$V$5:$V$86,0)),0))</f>
        <v/>
      </c>
      <c r="BD109">
        <f>IF(BD19="",0,IFERROR(INDEX($W$5:$W$86,MATCH(BD19,$V$5:$V$86,0)),0))</f>
        <v/>
      </c>
      <c r="BE109">
        <f>IF(BE19="",0,IFERROR(INDEX($W$5:$W$86,MATCH(BE19,$V$5:$V$86,0)),0))</f>
        <v/>
      </c>
      <c r="BF109">
        <f>IF(BF19="",0,IFERROR(INDEX($W$5:$W$86,MATCH(BF19,$V$5:$V$86,0)),0))</f>
        <v/>
      </c>
      <c r="BG109">
        <f>IF(BG19="",0,IFERROR(INDEX($W$5:$W$86,MATCH(BG19,$V$5:$V$86,0)),0))</f>
        <v/>
      </c>
      <c r="BH109">
        <f>IF(BH19="",0,IFERROR(INDEX($W$5:$W$86,MATCH(BH19,$V$5:$V$86,0)),0))</f>
        <v/>
      </c>
      <c r="BI109">
        <f>IF(BI19="",0,IFERROR(INDEX($W$5:$W$86,MATCH(BI19,$V$5:$V$86,0)),0))</f>
        <v/>
      </c>
      <c r="BJ109">
        <f>IF(BJ19="",0,IFERROR(INDEX($W$5:$W$86,MATCH(BJ19,$V$5:$V$86,0)),0))</f>
        <v/>
      </c>
      <c r="BK109">
        <f>IF(BK19="",0,IFERROR(INDEX($W$5:$W$86,MATCH(BK19,$V$5:$V$86,0)),0))</f>
        <v/>
      </c>
      <c r="BL109">
        <f>IF(BL19="",0,IFERROR(INDEX($W$5:$W$86,MATCH(BL19,$V$5:$V$86,0)),0))</f>
        <v/>
      </c>
      <c r="BM109">
        <f>IF(BM19="",0,IFERROR(INDEX($W$5:$W$86,MATCH(BM19,$V$5:$V$86,0)),0))</f>
        <v/>
      </c>
      <c r="BN109">
        <f>IF(BN19="",0,IFERROR(INDEX($W$5:$W$86,MATCH(BN19,$V$5:$V$86,0)),0))</f>
        <v/>
      </c>
      <c r="BO109">
        <f>IF(BO19="",0,IFERROR(INDEX($W$5:$W$86,MATCH(BO19,$V$5:$V$86,0)),0))</f>
        <v/>
      </c>
      <c r="BP109">
        <f>IF(BP19="",0,IFERROR(INDEX($W$5:$W$86,MATCH(BP19,$V$5:$V$86,0)),0))</f>
        <v/>
      </c>
      <c r="BQ109">
        <f>IF(BQ19="",0,IFERROR(INDEX($W$5:$W$86,MATCH(BQ19,$V$5:$V$86,0)),0))</f>
        <v/>
      </c>
      <c r="BR109">
        <f>IF(BR19="",0,IFERROR(INDEX($W$5:$W$86,MATCH(BR19,$V$5:$V$86,0)),0))</f>
        <v/>
      </c>
      <c r="BS109">
        <f>IF(BS19="",0,IFERROR(INDEX($W$5:$W$86,MATCH(BS19,$V$5:$V$86,0)),0))</f>
        <v/>
      </c>
      <c r="BT109">
        <f>IF(BT19="",0,IFERROR(INDEX($W$5:$W$86,MATCH(BT19,$V$5:$V$86,0)),0))</f>
        <v/>
      </c>
      <c r="BU109">
        <f>IF(BU19="",0,IFERROR(INDEX($W$5:$W$86,MATCH(BU19,$V$5:$V$86,0)),0))</f>
        <v/>
      </c>
      <c r="BV109">
        <f>IF(BV19="",0,IFERROR(INDEX($W$5:$W$86,MATCH(BV19,$V$5:$V$86,0)),0))</f>
        <v/>
      </c>
      <c r="BW109">
        <f>IF(BW19="",0,IFERROR(INDEX($W$5:$W$86,MATCH(BW19,$V$5:$V$86,0)),0))</f>
        <v/>
      </c>
      <c r="BX109">
        <f>IF(BX19="",0,IFERROR(INDEX($W$5:$W$86,MATCH(BX19,$V$5:$V$86,0)),0))</f>
        <v/>
      </c>
      <c r="BY109">
        <f>IF(BY19="",0,IFERROR(INDEX($W$5:$W$86,MATCH(BY19,$V$5:$V$86,0)),0))</f>
        <v/>
      </c>
      <c r="BZ109">
        <f>IF(BZ19="",0,IFERROR(INDEX($W$5:$W$86,MATCH(BZ19,$V$5:$V$86,0)),0))</f>
        <v/>
      </c>
      <c r="CA109">
        <f>IF(CA19="",0,IFERROR(INDEX($W$5:$W$86,MATCH(CA19,$V$5:$V$86,0)),0))</f>
        <v/>
      </c>
      <c r="CB109">
        <f>IF(CB19="",0,IFERROR(INDEX($W$5:$W$86,MATCH(CB19,$V$5:$V$86,0)),0))</f>
        <v/>
      </c>
      <c r="CC109">
        <f>IF(CC19="",0,IFERROR(INDEX($W$5:$W$86,MATCH(CC19,$V$5:$V$86,0)),0))</f>
        <v/>
      </c>
      <c r="CD109">
        <f>IF(CD19="",0,IFERROR(INDEX($W$5:$W$86,MATCH(CD19,$V$5:$V$86,0)),0))</f>
        <v/>
      </c>
      <c r="CE109">
        <f>IF(CE19="",0,IFERROR(INDEX($W$5:$W$86,MATCH(CE19,$V$5:$V$86,0)),0))</f>
        <v/>
      </c>
      <c r="CF109">
        <f>IF(CF19="",0,IFERROR(INDEX($W$5:$W$86,MATCH(CF19,$V$5:$V$86,0)),0))</f>
        <v/>
      </c>
      <c r="DA109" t="n">
        <v>105</v>
      </c>
      <c r="DB109">
        <f>IF($B$37=0,"",IFERROR(TRIM(SUBSTITUTE(SUBSTITUTE(SUBSTITUTE(SUBSTITUTE(INDEX(PASTE_ALL,105,$B$37)," "," "),CHAR(9)," "),CHAR(10)," "),CHAR(13)," ")),""))</f>
        <v/>
      </c>
      <c r="DC109">
        <f>IF(AND(105&gt;HEADER_ROW,UPPER(DB109)="LEGEND"),1,0)</f>
        <v/>
      </c>
      <c r="DE109" t="n">
        <v>105</v>
      </c>
      <c r="DF109">
        <f>HEADER_ROW+$DE109</f>
        <v/>
      </c>
      <c r="DG109">
        <f>IF(AND($DF109&lt;=1000,$DF109&lt;$B$8),1,0)</f>
        <v/>
      </c>
      <c r="DH109">
        <f>IF($DG109=1,IFERROR(INDEX($DB$5:$DB$1004,$DF109),""),"")</f>
        <v/>
      </c>
      <c r="DI109">
        <f>IF(AND($DG109=1,$DH109&lt;&gt;""),IFERROR(SUBSTITUTE(SUBSTITUTE(TRIM(SUBSTITUTE(SUBSTITUTE(SUBSTITUTE(SUBSTITUTE(IFERROR(INDEX(PASTE_ALL,$DF109,1)&amp;"","")&amp;"␟"&amp;IFERROR(INDEX(PASTE_ALL,$DF109,2)&amp;"","")&amp;"␟"&amp;IFERROR(INDEX(PASTE_ALL,$DF109,3)&amp;"","")&amp;"␟"&amp;IFERROR(INDEX(PASTE_ALL,$DF109,4)&amp;"","")&amp;"␟"&amp;IFERROR(INDEX(PASTE_ALL,$DF109,5)&amp;"","")&amp;"␟"&amp;IFERROR(INDEX(PASTE_ALL,$DF109,6)&amp;"","")&amp;"␟"&amp;IFERROR(INDEX(PASTE_ALL,$DF109,7)&amp;"","")&amp;"␟"&amp;IFERROR(INDEX(PASTE_ALL,$DF109,8)&amp;"","")&amp;"␟"&amp;IFERROR(INDEX(PASTE_ALL,$DF109,9)&amp;"","")&amp;"␟"&amp;IFERROR(INDEX(PASTE_ALL,$DF109,10)&amp;"","")&amp;"␟"&amp;IFERROR(INDEX(PASTE_ALL,$DF109,11)&amp;"","")&amp;"␟"&amp;IFERROR(INDEX(PASTE_ALL,$DF109,12)&amp;"","")&amp;"␟"&amp;IFERROR(INDEX(PASTE_ALL,$DF109,13)&amp;"","")&amp;"␟"&amp;IFERROR(INDEX(PASTE_ALL,$DF109,14)&amp;"","")&amp;"␟"&amp;IFERROR(INDEX(PASTE_ALL,$DF109,15)&amp;"","")&amp;"␟"&amp;IFERROR(INDEX(PASTE_ALL,$DF109,16)&amp;"","")&amp;"␟"&amp;IFERROR(INDEX(PASTE_ALL,$DF109,17)&amp;"","")&amp;"␟"&amp;IFERROR(INDEX(PASTE_ALL,$DF109,18)&amp;"","")&amp;"␟"&amp;IFERROR(INDEX(PASTE_ALL,$DF109,19)&amp;"","")&amp;"␟"&amp;IFERROR(INDEX(PASTE_ALL,$DF109,20)&amp;"","")&amp;"␟"&amp;IFERROR(INDEX(PASTE_ALL,$DF109,21)&amp;"","")&amp;"␟"&amp;IFERROR(INDEX(PASTE_ALL,$DF109,22)&amp;"","")&amp;"␟"&amp;IFERROR(INDEX(PASTE_ALL,$DF109,23)&amp;"","")&amp;"␟"&amp;IFERROR(INDEX(PASTE_ALL,$DF109,24)&amp;"","")&amp;"␟"&amp;IFERROR(INDEX(PASTE_ALL,$DF109,25)&amp;"","")&amp;"␟"&amp;IFERROR(INDEX(PASTE_ALL,$DF109,26)&amp;"","")&amp;"␟"&amp;IFERROR(INDEX(PASTE_ALL,$DF109,27)&amp;"","")&amp;"␟"&amp;IFERROR(INDEX(PASTE_ALL,$DF109,28)&amp;"","")&amp;"␟"&amp;IFERROR(INDEX(PASTE_ALL,$DF109,29)&amp;"","")&amp;"␟"&amp;IFERROR(INDEX(PASTE_ALL,$DF109,30)&amp;"","")&amp;"␟"&amp;IFERROR(INDEX(PASTE_ALL,$DF109,31)&amp;"","")&amp;"␟"&amp;IFERROR(INDEX(PASTE_ALL,$DF109,32)&amp;"","")&amp;"␟"&amp;IFERROR(INDEX(PASTE_ALL,$DF109,33)&amp;"","")&amp;"␟"&amp;IFERROR(INDEX(PASTE_ALL,$DF109,34)&amp;"","")&amp;"␟"&amp;IFERROR(INDEX(PASTE_ALL,$DF109,35)&amp;"","")&amp;"␟"&amp;IFERROR(INDEX(PASTE_ALL,$DF109,36)&amp;"","")&amp;"␟"&amp;IFERROR(INDEX(PASTE_ALL,$DF109,37)&amp;"","")&amp;"␟"&amp;IFERROR(INDEX(PASTE_ALL,$DF109,38)&amp;"","")&amp;"␟"&amp;IFERROR(INDEX(PASTE_ALL,$DF109,39)&amp;"","")&amp;"␟"&amp;IFERROR(INDEX(PASTE_ALL,$DF109,40)&amp;"","")&amp;"␟"&amp;IFERROR(INDEX(PASTE_ALL,$DF109,41)&amp;"","")&amp;"␟"&amp;IFERROR(INDEX(PASTE_ALL,$DF109,42)&amp;"","")&amp;"␟"&amp;IFERROR(INDEX(PASTE_ALL,$DF109,43)&amp;"","")&amp;"␟"&amp;IFERROR(INDEX(PASTE_ALL,$DF109,44)&amp;"","")&amp;"␟"&amp;IFERROR(INDEX(PASTE_ALL,$DF109,45)&amp;"","")&amp;"␟"&amp;IFERROR(INDEX(PASTE_ALL,$DF109,46)&amp;"","")&amp;"␟"&amp;IFERROR(INDEX(PASTE_ALL,$DF109,47)&amp;"","")&amp;"␟"&amp;IFERROR(INDEX(PASTE_ALL,$DF109,48)&amp;"","")&amp;"␟"&amp;IFERROR(INDEX(PASTE_ALL,$DF109,49)&amp;"","")&amp;"␟"&amp;IFERROR(INDEX(PASTE_ALL,$DF109,50)&amp;"","")&amp;"␟"&amp;IFERROR(INDEX(PASTE_ALL,$DF109,51)&amp;"","")&amp;"␟"&amp;IFERROR(INDEX(PASTE_ALL,$DF109,52)&amp;"","")&amp;"␟"&amp;IFERROR(INDEX(PASTE_ALL,$DF109,53)&amp;"","")&amp;"␟"&amp;IFERROR(INDEX(PASTE_ALL,$DF109,54)&amp;"","")&amp;"␟"&amp;IFERROR(INDEX(PASTE_ALL,$DF109,55)&amp;"","")&amp;"␟"&amp;IFERROR(INDEX(PASTE_ALL,$DF109,56)&amp;"","")&amp;"␟"&amp;IFERROR(INDEX(PASTE_ALL,$DF109,57)&amp;"","")&amp;"␟"&amp;IFERROR(INDEX(PASTE_ALL,$DF109,58)&amp;"","")&amp;"␟"&amp;IFERROR(INDEX(PASTE_ALL,$DF109,59)&amp;"","")&amp;"␟"&amp;IFERROR(INDEX(PASTE_ALL,$DF109,60)&amp;"","")," "," "),CHAR(9)," "),CHAR(10)," "),CHAR(13)," "))," ␟","␟"),"␟ ","␟"),"#"&amp;$DE109),"")</f>
        <v/>
      </c>
      <c r="DJ109">
        <f>IF($DI109="",0,IF(SUMPRODUCT(--EXACT($DI$4:DI108,$DI109))&gt;0,1,0))</f>
        <v/>
      </c>
      <c r="DK109">
        <f>IF(AND($DI109&lt;&gt;"",$DJ109=0),1,0)</f>
        <v/>
      </c>
      <c r="DL109">
        <f>DL108+$DK109</f>
        <v/>
      </c>
      <c r="DM109">
        <f>IF(AND($DK109=1,$DL109&lt;=600),1,0)</f>
        <v/>
      </c>
      <c r="DN109">
        <f>IF($DM109=0,"",IF($L$6=0,"",IFERROR(IF(ISNUMBER(INDEX(PASTE_ALL,$DF109,$L$6)),INDEX(PASTE_ALL,$DF109,$L$6),TRIM(SUBSTITUTE(SUBSTITUTE(SUBSTITUTE(SUBSTITUTE(INDEX(PASTE_ALL,$DF109,$L$6)," "," "),CHAR(9)," "),CHAR(10)," "),CHAR(13)," "))),"")))</f>
        <v/>
      </c>
      <c r="DO109">
        <f>IF($DM109=0,"",IF($L$7=0,"",IFERROR(IF(ISNUMBER(INDEX(PASTE_ALL,$DF109,$L$7)),INDEX(PASTE_ALL,$DF109,$L$7),TRIM(SUBSTITUTE(SUBSTITUTE(SUBSTITUTE(SUBSTITUTE(INDEX(PASTE_ALL,$DF109,$L$7)," "," "),CHAR(9)," "),CHAR(10)," "),CHAR(13)," "))),"")))</f>
        <v/>
      </c>
      <c r="DP109">
        <f>IF($DM109=0,"",IF($L$8=0,"",IFERROR(IF(ISNUMBER(INDEX(PASTE_ALL,$DF109,$L$8)),INDEX(PASTE_ALL,$DF109,$L$8),TRIM(SUBSTITUTE(SUBSTITUTE(SUBSTITUTE(SUBSTITUTE(INDEX(PASTE_ALL,$DF109,$L$8)," "," "),CHAR(9)," "),CHAR(10)," "),CHAR(13)," "))),"")))</f>
        <v/>
      </c>
      <c r="DQ109">
        <f>IF($DM109=0,"",IF($L$9=0,"",IFERROR(IF(ISNUMBER(INDEX(PASTE_ALL,$DF109,$L$9)),INDEX(PASTE_ALL,$DF109,$L$9),TRIM(SUBSTITUTE(SUBSTITUTE(SUBSTITUTE(SUBSTITUTE(INDEX(PASTE_ALL,$DF109,$L$9)," "," "),CHAR(9)," "),CHAR(10)," "),CHAR(13)," "))),"")))</f>
        <v/>
      </c>
      <c r="DR109">
        <f>IF($DM109=0,"",IF($L$10=0,"",IFERROR(IF(ISNUMBER(INDEX(PASTE_ALL,$DF109,$L$10)),INDEX(PASTE_ALL,$DF109,$L$10),TRIM(SUBSTITUTE(SUBSTITUTE(SUBSTITUTE(SUBSTITUTE(INDEX(PASTE_ALL,$DF109,$L$10)," "," "),CHAR(9)," "),CHAR(10)," "),CHAR(13)," "))),"")))</f>
        <v/>
      </c>
      <c r="DS109">
        <f>IF($DM109=0,"",IF($L$11=0,"",IFERROR(IF(ISNUMBER(INDEX(PASTE_ALL,$DF109,$L$11)),INDEX(PASTE_ALL,$DF109,$L$11),TRIM(SUBSTITUTE(SUBSTITUTE(SUBSTITUTE(SUBSTITUTE(INDEX(PASTE_ALL,$DF109,$L$11)," "," "),CHAR(9)," "),CHAR(10)," "),CHAR(13)," "))),"")))</f>
        <v/>
      </c>
      <c r="DT109">
        <f>IF($DM109=0,"",IF($L$12=0,"",IFERROR(IF(ISNUMBER(INDEX(PASTE_ALL,$DF109,$L$12)),INDEX(PASTE_ALL,$DF109,$L$12),TRIM(SUBSTITUTE(SUBSTITUTE(SUBSTITUTE(SUBSTITUTE(INDEX(PASTE_ALL,$DF109,$L$12)," "," "),CHAR(9)," "),CHAR(10)," "),CHAR(13)," "))),"")))</f>
        <v/>
      </c>
      <c r="DU109">
        <f>IF($DM109=0,"",IF($L$13=0,"",IFERROR(IF(ISNUMBER(INDEX(PASTE_ALL,$DF109,$L$13)),INDEX(PASTE_ALL,$DF109,$L$13),TRIM(SUBSTITUTE(SUBSTITUTE(SUBSTITUTE(SUBSTITUTE(INDEX(PASTE_ALL,$DF109,$L$13)," "," "),CHAR(9)," "),CHAR(10)," "),CHAR(13)," "))),"")))</f>
        <v/>
      </c>
      <c r="DV109">
        <f>IF($DM109=0,"",IF($L$14=0,"",IFERROR(IF(ISNUMBER(INDEX(PASTE_ALL,$DF109,$L$14)),INDEX(PASTE_ALL,$DF109,$L$14),TRIM(SUBSTITUTE(SUBSTITUTE(SUBSTITUTE(SUBSTITUTE(INDEX(PASTE_ALL,$DF109,$L$14)," "," "),CHAR(9)," "),CHAR(10)," "),CHAR(13)," "))),"")))</f>
        <v/>
      </c>
      <c r="DW109">
        <f>IF($DM109=0,"",IF($L$15=0,"",IFERROR(IF(ISNUMBER(INDEX(PASTE_ALL,$DF109,$L$15)),INDEX(PASTE_ALL,$DF109,$L$15),IF(SUMPRODUCT(--ISNUMBER(FIND({"A","B","C","D","E","F","G","H","I","J","K","L","M","N","O","P","Q","R","S","T","U","V","W","X","Y","Z","0","1","2","3","4","5","6","7","8","9"},UPPER(TRIM(SUBSTITUTE(SUBSTITUTE(SUBSTITUTE(SUBSTITUTE(INDEX(PASTE_ALL,$DF109,$L$15)," "," "),CHAR(9)," "),CHAR(10)," "),CHAR(13)," "))))))&gt;0,TRIM(SUBSTITUTE(SUBSTITUTE(SUBSTITUTE(SUBSTITUTE(INDEX(PASTE_ALL,$DF109,$L$15)," "," "),CHAR(9)," "),CHAR(10)," "),CHAR(13)," ")),"")),"")))</f>
        <v/>
      </c>
      <c r="DX109">
        <f>IF($DM109=0,"",IF($L$16=0,"",IFERROR(IF(ISNUMBER(INDEX(PASTE_ALL,$DF109,$L$16)),INDEX(PASTE_ALL,$DF109,$L$16),SUBSTITUTE(SUBSTITUTE(TRIM(SUBSTITUTE(SUBSTITUTE(SUBSTITUTE(SUBSTITUTE(INDEX(PASTE_ALL,$DF109,$L$16)," "," "),CHAR(9)," "),CHAR(10)," "),CHAR(13)," ")),",",""),"%","")),"")))</f>
        <v/>
      </c>
      <c r="DY109">
        <f>IF($DM109=0,"",IFERROR(IF(ISNUMBER($DX109),$DX109,IF($DX109="","",IF(TRIM($DX109)="",0,IF(AND(AND(SUBSTITUTE(SUBSTITUTE(SUBSTITUTE(SUBSTITUTE(SUBSTITUTE(SUBSTITUTE(SUBSTITUTE(SUBSTITUTE(SUBSTITUTE(SUBSTITUTE(SUBSTITUTE(SUBSTITUTE(SUBSTITUTE(SUBSTITUTE(UPPER(TRIM($DX109)),"0",""),"1",""),"2",""),"3",""),"4",""),"5",""),"6",""),"7",""),"8",""),"9",""),".",""),"+",""),"-",""),"E","")="",LEN(SUBSTITUTE(SUBSTITUTE(MID(UPPER(TRIM($DX109)),1+OR(LEFT(UPPER(TRIM($DX109)),1)="+",LEFT(UPPER(TRIM($DX109)),1)="-"),999),"E+","E"),"E-","E"))=LEN(SUBSTITUTE(SUBSTITUTE(SUBSTITUTE(SUBSTITUTE(MID(UPPER(TRIM($DX109)),1+OR(LEFT(UPPER(TRIM($DX109)),1)="+",LEFT(UPPER(TRIM($DX109)),1)="-"),999),"E+","E"),"E-","E"),"+",""),"-","")),LEN(UPPER(TRIM($DX109)))-LEN(SUBSTITUTE(UPPER(TRIM($DX109)),"E",""))&lt;2,LEN(UPPER(TRIM($DX109)))-LEN(SUBSTITUTE(UPPER(TRIM($DX109)),".",""))&lt;2,IFERROR(FIND(".",UPPER(TRIM($DX109))),0)&lt;IFERROR(FIND("E",UPPER(TRIM($DX109))),999)),ISNUMBER(VALUE(TRIM($DX109)))),VALUE(TRIM($DX109)),"")))),""))</f>
        <v/>
      </c>
      <c r="DZ109">
        <f>IF($DM109=0,"",IF($L$17=0,"",IFERROR(IF(ISNUMBER(INDEX(PASTE_ALL,$DF109,$L$17)),INDEX(PASTE_ALL,$DF109,$L$17),SUBSTITUTE(SUBSTITUTE(TRIM(SUBSTITUTE(SUBSTITUTE(SUBSTITUTE(SUBSTITUTE(INDEX(PASTE_ALL,$DF109,$L$17)," "," "),CHAR(9)," "),CHAR(10)," "),CHAR(13)," ")),",",""),"%","")),"")))</f>
        <v/>
      </c>
      <c r="EA109">
        <f>IF($DM109=0,"",IFERROR(IF(ISNUMBER($DZ109),$DZ109,IF($DZ109="","",IF(TRIM($DZ109)="",0,IF(AND(AND(SUBSTITUTE(SUBSTITUTE(SUBSTITUTE(SUBSTITUTE(SUBSTITUTE(SUBSTITUTE(SUBSTITUTE(SUBSTITUTE(SUBSTITUTE(SUBSTITUTE(SUBSTITUTE(SUBSTITUTE(SUBSTITUTE(SUBSTITUTE(UPPER(TRIM($DZ109)),"0",""),"1",""),"2",""),"3",""),"4",""),"5",""),"6",""),"7",""),"8",""),"9",""),".",""),"+",""),"-",""),"E","")="",LEN(SUBSTITUTE(SUBSTITUTE(MID(UPPER(TRIM($DZ109)),1+OR(LEFT(UPPER(TRIM($DZ109)),1)="+",LEFT(UPPER(TRIM($DZ109)),1)="-"),999),"E+","E"),"E-","E"))=LEN(SUBSTITUTE(SUBSTITUTE(SUBSTITUTE(SUBSTITUTE(MID(UPPER(TRIM($DZ109)),1+OR(LEFT(UPPER(TRIM($DZ109)),1)="+",LEFT(UPPER(TRIM($DZ109)),1)="-"),999),"E+","E"),"E-","E"),"+",""),"-","")),LEN(UPPER(TRIM($DZ109)))-LEN(SUBSTITUTE(UPPER(TRIM($DZ109)),"E",""))&lt;2,LEN(UPPER(TRIM($DZ109)))-LEN(SUBSTITUTE(UPPER(TRIM($DZ109)),".",""))&lt;2,IFERROR(FIND(".",UPPER(TRIM($DZ109))),0)&lt;IFERROR(FIND("E",UPPER(TRIM($DZ109))),999)),ISNUMBER(VALUE(TRIM($DZ109)))),VALUE(TRIM($DZ109)),"")))),""))</f>
        <v/>
      </c>
      <c r="EB109">
        <f>IF($DM109=0,"",IF($L$18=0,"",IFERROR(IF(UPPER(TRIM(SUBSTITUTE(SUBSTITUTE(SUBSTITUTE(SUBSTITUTE(INDEX(PASTE_ALL,$DF109,$L$18)," "," "),CHAR(9)," "),CHAR(10)," "),CHAR(13)," ")))="READY","Ready",IF(UPPER(TRIM(SUBSTITUTE(SUBSTITUTE(SUBSTITUTE(SUBSTITUTE(INDEX(PASTE_ALL,$DF109,$L$18)," "," "),CHAR(9)," "),CHAR(10)," "),CHAR(13)," ")))="PM","PM",IF(OR(UPPER(TRIM(SUBSTITUTE(SUBSTITUTE(SUBSTITUTE(SUBSTITUTE(INDEX(PASTE_ALL,$DF109,$L$18)," "," "),CHAR(9)," "),CHAR(10)," "),CHAR(13)," ")))="OT",UPPER(TRIM(SUBSTITUTE(SUBSTITUTE(SUBSTITUTE(SUBSTITUTE(INDEX(PASTE_ALL,$DF109,$L$18)," "," "),CHAR(9)," "),CHAR(10)," "),CHAR(13)," ")))="OVERTIME",UPPER(TRIM(SUBSTITUTE(SUBSTITUTE(SUBSTITUTE(SUBSTITUTE(INDEX(PASTE_ALL,$DF109,$L$18)," "," "),CHAR(9)," "),CHAR(10)," "),CHAR(13)," ")))="TRIAL"),"OT",TRIM(SUBSTITUTE(SUBSTITUTE(SUBSTITUTE(SUBSTITUTE(INDEX(PASTE_ALL,$DF109,$L$18)," "," "),CHAR(9)," "),CHAR(10)," "),CHAR(13)," "))))),"")))</f>
        <v/>
      </c>
      <c r="EC109">
        <f>IF($DM109=0,"",IF($L$19=0,"",IFERROR(IF(ISNUMBER(INDEX(PASTE_ALL,$DF109,$L$19)),INDEX(PASTE_ALL,$DF109,$L$19),TRIM(SUBSTITUTE(SUBSTITUTE(SUBSTITUTE(SUBSTITUTE(INDEX(PASTE_ALL,$DF109,$L$19)," "," "),CHAR(9)," "),CHAR(10)," "),CHAR(13)," "))),"")))</f>
        <v/>
      </c>
      <c r="ED109">
        <f>IF($DM109=0,"",MATCH(1,INDEX(EXACT($DH$5:DH109,$DH109)*$DM$5:DM109,0),0))</f>
        <v/>
      </c>
      <c r="EE109">
        <f>IF($DM109=0,0,IF($ED109=$DE109,1,0))</f>
        <v/>
      </c>
      <c r="EF109">
        <f>EF108+$EE109</f>
        <v/>
      </c>
      <c r="EG109">
        <f>IF($DM109=0,"",INDEX($EF$5:$EF$1003,$ED109))</f>
        <v/>
      </c>
      <c r="EH109">
        <f>IF($DM109=0,"",IF($DO109&lt;&gt;"","",IFERROR(LOOKUP(2,1/(($EG$4:EG108=$EG109)*($DO$4:DO108&lt;&gt;"")),$DO$4:DO108),"")))</f>
        <v/>
      </c>
      <c r="EI109">
        <f>IF($DM109=0,"",IF($DO109&lt;&gt;"",$DO109,$EH109))</f>
        <v/>
      </c>
      <c r="EJ109">
        <f>IF($DM109=0,"",IF($EI109="",0,IF(OR(ISNUMBER($EI109),AND(AND(SUBSTITUTE(SUBSTITUTE(SUBSTITUTE(SUBSTITUTE(SUBSTITUTE(SUBSTITUTE(SUBSTITUTE(SUBSTITUTE(SUBSTITUTE(SUBSTITUTE(SUBSTITUTE(SUBSTITUTE(SUBSTITUTE(SUBSTITUTE(UPPER($EI109),"0",""),"1",""),"2",""),"3",""),"4",""),"5",""),"6",""),"7",""),"8",""),"9",""),".",""),"+",""),"-",""),"E","")="",LEN(SUBSTITUTE(SUBSTITUTE(MID(UPPER($EI109),1+OR(LEFT(UPPER($EI109),1)="+",LEFT(UPPER($EI109),1)="-"),999),"E+","E"),"E-","E"))=LEN(SUBSTITUTE(SUBSTITUTE(SUBSTITUTE(SUBSTITUTE(MID(UPPER($EI109),1+OR(LEFT(UPPER($EI109),1)="+",LEFT(UPPER($EI109),1)="-"),999),"E+","E"),"E-","E"),"+",""),"-","")),LEN(UPPER($EI109))-LEN(SUBSTITUTE(UPPER($EI109),"E",""))&lt;2,LEN(UPPER($EI109))-LEN(SUBSTITUTE(UPPER($EI109),".",""))&lt;2,IFERROR(FIND(".",UPPER($EI109)),0)&lt;IFERROR(FIND("E",UPPER($EI109)),999)),ISNUMBER(VALUE($EI109)))),1,2)))</f>
        <v/>
      </c>
      <c r="EK109">
        <f>IF($DM109=0,"",IF($EJ109=1,IF(ISNUMBER($EI109),$EI109,VALUE($EI109)),IF($EJ109=2,$DE109,0)))</f>
        <v/>
      </c>
      <c r="EL109">
        <f>IF($DM109=0,"",COUNTIF($EG$5:$EG$1003,"&lt;"&amp;$EG109)+SUMPRODUCT(($EG$5:$EG$1003=$EG109)*(($EJ$5:$EJ$1003&lt;$EJ109)+($EJ$5:$EJ$1003=$EJ109)*(($EK$5:$EK$1003&lt;$EK109)+($EK$5:$EK$1003=$EK109)*($DE$5:$DE$1003&lt;$DE109))))+1)</f>
        <v/>
      </c>
      <c r="EM109">
        <f>IF($DM109=0,"",$EL109+$EG109-1)</f>
        <v/>
      </c>
      <c r="EN109">
        <f>IF($DM109=0,0,IFERROR(MATCH(1,INDEX(--(TRIM(SUBSTITUTE(SUBSTITUTE(SUBSTITUTE(SUBSTITUTE(LINES_NAME&amp;""," "," "),CHAR(9)," "),CHAR(10)," "),CHAR(13)," "))=$DH109),0),0),0))</f>
        <v/>
      </c>
      <c r="EO109">
        <f>IF($EN109=0,0,IF(OR(UPPER(TRIM(INDEX(LINES_SCHEDULED,$EN109)&amp;""))="YES",UPPER(TRIM(INDEX(LINES_SCHEDULED,$EN109)&amp;""))="Y",UPPER(TRIM(INDEX(LINES_SCHEDULED,$EN109)&amp;""))="X"),1,0))</f>
        <v/>
      </c>
      <c r="EP109">
        <f>IF($DM109=0,"",IF(COUNTIFS($EG$5:$EG$1003,$EG109,$EB$5:$EB$1003,"Ready")&gt;0,"READY",IF(COUNTIFS($EG$5:$EG$1003,$EG109,$EB$5:$EB$1003,"PM")&gt;0,"PM",IF(COUNTIFS($EG$5:$EG$1003,$EG109,$EB$5:$EB$1003,"OT")&gt;0,"OT",""))))</f>
        <v/>
      </c>
      <c r="EQ109">
        <f>IF($EN109=0,"",UPPER(TRIM(INDEX(LINES_STATUS,$EN109)&amp;"")))</f>
        <v/>
      </c>
      <c r="ER109">
        <f>IF($DM109=0,"",IF(OR($EQ109="READY",$EQ109="PM",$EQ109="OT"),$EQ109,$EP109))</f>
        <v/>
      </c>
      <c r="ES109">
        <f>IF($DM109=0,"",IF(AND($DV109&lt;&gt;"",UPPER($DV109)&lt;&gt;"N"),"allergen",IF(ISNUMBER(SEARCH("oil",$DQ109)),"oil",IF(OR(EXACT($DS109,"A662"),EXACT($DS109,"A624")),"bulk",""))))</f>
        <v/>
      </c>
      <c r="ET109">
        <f>IF($DM109=0,"",IF(OR($EA109="",$EA109=0),"",$EA109/100))</f>
        <v/>
      </c>
      <c r="EU109">
        <f>IF(OR($ET109="",$DY109=""),"",INT($DY109*(1-$ET109)+0.5))</f>
        <v/>
      </c>
      <c r="EW109" t="n">
        <v>105</v>
      </c>
      <c r="EX109">
        <f>IFERROR(MATCH($EW109,$EM$5:$EM$1003,0),0)</f>
        <v/>
      </c>
      <c r="EY109">
        <f>IF($EW109&gt;$B$12,"",IF($EX109&gt;0,"row","spacer"))</f>
        <v/>
      </c>
      <c r="EZ109">
        <f>IF(AND($EY109="row",$EY108&lt;&gt;"row"),1,0)</f>
        <v/>
      </c>
      <c r="FA109">
        <f>IF(AND($EY109="row",$EY110&lt;&gt;"row"),1,0)</f>
        <v/>
      </c>
      <c r="FB109">
        <f>IF($EZ109=1,IFERROR(IF(ISNUMBER(INDEX(PASTE_ALL,INDEX($DF$5:$DF$1003,$EX109),$B$37)),INDEX(PASTE_ALL,INDEX($DF$5:$DF$1003,$EX109),$B$37),INDEX($DH$5:$DH$1003,$EX109)),INDEX($DH$5:$DH$1003,$EX109)),"")</f>
        <v/>
      </c>
      <c r="FC109">
        <f>IF($EY109="row",INDEX($ER$5:$ER$1003,$EX109),"")</f>
        <v/>
      </c>
      <c r="FD109">
        <f>IF($EY109="row",INDEX($DN$5:$DN$1003,$EX109),"")</f>
        <v/>
      </c>
      <c r="FE109">
        <f>IF($EY109="row",INDEX($DO$5:$DO$1003,$EX109),"")</f>
        <v/>
      </c>
      <c r="FF109">
        <f>IF($EY109="row",INDEX($DP$5:$DP$1003,$EX109),"")</f>
        <v/>
      </c>
      <c r="FG109">
        <f>IF($EY109="row",INDEX($DQ$5:$DQ$1003,$EX109),"")</f>
        <v/>
      </c>
      <c r="FH109">
        <f>IF($EY109="row",INDEX($DR$5:$DR$1003,$EX109),"")</f>
        <v/>
      </c>
      <c r="FI109">
        <f>IF($EY109="row",INDEX($DS$5:$DS$1003,$EX109),"")</f>
        <v/>
      </c>
      <c r="FJ109">
        <f>IF($EY109="row",INDEX($DT$5:$DT$1003,$EX109),"")</f>
        <v/>
      </c>
      <c r="FK109">
        <f>IF($EY109="row",INDEX($DU$5:$DU$1003,$EX109),"")</f>
        <v/>
      </c>
      <c r="FL109">
        <f>IF($EY109="row",INDEX($DV$5:$DV$1003,$EX109),"")</f>
        <v/>
      </c>
      <c r="FM109">
        <f>IF($EY109="row",INDEX($DW$5:$DW$1003,$EX109),"")</f>
        <v/>
      </c>
      <c r="FN109">
        <f>IF($EY109="row",INDEX($DY$5:$DY$1003,$EX109),"")</f>
        <v/>
      </c>
      <c r="FO109">
        <f>IF($EY109="row",INDEX($EA$5:$EA$1003,$EX109),"")</f>
        <v/>
      </c>
      <c r="FP109">
        <f>IF($EY109="row",INDEX($EC$5:$EC$1003,$EX109),"")</f>
        <v/>
      </c>
      <c r="FQ109">
        <f>IF($EY109="row",INDEX($ET$5:$ET$1003,$EX109),"")</f>
        <v/>
      </c>
      <c r="FR109">
        <f>IF($EY109="row",INDEX($EU$5:$EU$1003,$EX109),"")</f>
        <v/>
      </c>
      <c r="FS109">
        <f>IF(AND($EY109="row",$EY108="row"),IF(OR(INDEX($DT$5:$DT$1003,$EX108)="",INDEX($DT$5:$DT$1003,$EX109)=""),"",IF(NOT(EXACT(INDEX($DT$5:$DT$1003,$EX108),INDEX($DT$5:$DT$1003,$EX109))),"S4",IF(NOT(EXACT(INDEX($DS$5:$DS$1003,$EX108),INDEX($DS$5:$DS$1003,$EX109))),"S3",IF(NOT(EXACT(INDEX($DR$5:$DR$1003,$EX108),INDEX($DR$5:$DR$1003,$EX109))),"S1 Count Change","S1")))),"")</f>
        <v/>
      </c>
      <c r="FT109">
        <f>IF($EY109="row",INDEX($ES$5:$ES$1003,$EX109),"")</f>
        <v/>
      </c>
      <c r="FU109">
        <f>IF($EY109="row",INDEX($EO$5:$EO$1003,$EX109),0)</f>
        <v/>
      </c>
      <c r="FV109">
        <f>IF($FS109="S1 Count Change",1,0)</f>
        <v/>
      </c>
    </row>
    <row r="110">
      <c r="Y110">
        <f>IF(Y20="",0,IFERROR(INDEX($W$5:$W$86,MATCH(Y20,$V$5:$V$86,0)),0))</f>
        <v/>
      </c>
      <c r="Z110">
        <f>IF(Z20="",0,IFERROR(INDEX($W$5:$W$86,MATCH(Z20,$V$5:$V$86,0)),0))</f>
        <v/>
      </c>
      <c r="AA110">
        <f>IF(AA20="",0,IFERROR(INDEX($W$5:$W$86,MATCH(AA20,$V$5:$V$86,0)),0))</f>
        <v/>
      </c>
      <c r="AB110">
        <f>IF(AB20="",0,IFERROR(INDEX($W$5:$W$86,MATCH(AB20,$V$5:$V$86,0)),0))</f>
        <v/>
      </c>
      <c r="AC110">
        <f>IF(AC20="",0,IFERROR(INDEX($W$5:$W$86,MATCH(AC20,$V$5:$V$86,0)),0))</f>
        <v/>
      </c>
      <c r="AD110">
        <f>IF(AD20="",0,IFERROR(INDEX($W$5:$W$86,MATCH(AD20,$V$5:$V$86,0)),0))</f>
        <v/>
      </c>
      <c r="AE110">
        <f>IF(AE20="",0,IFERROR(INDEX($W$5:$W$86,MATCH(AE20,$V$5:$V$86,0)),0))</f>
        <v/>
      </c>
      <c r="AF110">
        <f>IF(AF20="",0,IFERROR(INDEX($W$5:$W$86,MATCH(AF20,$V$5:$V$86,0)),0))</f>
        <v/>
      </c>
      <c r="AG110">
        <f>IF(AG20="",0,IFERROR(INDEX($W$5:$W$86,MATCH(AG20,$V$5:$V$86,0)),0))</f>
        <v/>
      </c>
      <c r="AH110">
        <f>IF(AH20="",0,IFERROR(INDEX($W$5:$W$86,MATCH(AH20,$V$5:$V$86,0)),0))</f>
        <v/>
      </c>
      <c r="AI110">
        <f>IF(AI20="",0,IFERROR(INDEX($W$5:$W$86,MATCH(AI20,$V$5:$V$86,0)),0))</f>
        <v/>
      </c>
      <c r="AJ110">
        <f>IF(AJ20="",0,IFERROR(INDEX($W$5:$W$86,MATCH(AJ20,$V$5:$V$86,0)),0))</f>
        <v/>
      </c>
      <c r="AK110">
        <f>IF(AK20="",0,IFERROR(INDEX($W$5:$W$86,MATCH(AK20,$V$5:$V$86,0)),0))</f>
        <v/>
      </c>
      <c r="AL110">
        <f>IF(AL20="",0,IFERROR(INDEX($W$5:$W$86,MATCH(AL20,$V$5:$V$86,0)),0))</f>
        <v/>
      </c>
      <c r="AM110">
        <f>IF(AM20="",0,IFERROR(INDEX($W$5:$W$86,MATCH(AM20,$V$5:$V$86,0)),0))</f>
        <v/>
      </c>
      <c r="AN110">
        <f>IF(AN20="",0,IFERROR(INDEX($W$5:$W$86,MATCH(AN20,$V$5:$V$86,0)),0))</f>
        <v/>
      </c>
      <c r="AO110">
        <f>IF(AO20="",0,IFERROR(INDEX($W$5:$W$86,MATCH(AO20,$V$5:$V$86,0)),0))</f>
        <v/>
      </c>
      <c r="AP110">
        <f>IF(AP20="",0,IFERROR(INDEX($W$5:$W$86,MATCH(AP20,$V$5:$V$86,0)),0))</f>
        <v/>
      </c>
      <c r="AQ110">
        <f>IF(AQ20="",0,IFERROR(INDEX($W$5:$W$86,MATCH(AQ20,$V$5:$V$86,0)),0))</f>
        <v/>
      </c>
      <c r="AR110">
        <f>IF(AR20="",0,IFERROR(INDEX($W$5:$W$86,MATCH(AR20,$V$5:$V$86,0)),0))</f>
        <v/>
      </c>
      <c r="AS110">
        <f>IF(AS20="",0,IFERROR(INDEX($W$5:$W$86,MATCH(AS20,$V$5:$V$86,0)),0))</f>
        <v/>
      </c>
      <c r="AT110">
        <f>IF(AT20="",0,IFERROR(INDEX($W$5:$W$86,MATCH(AT20,$V$5:$V$86,0)),0))</f>
        <v/>
      </c>
      <c r="AU110">
        <f>IF(AU20="",0,IFERROR(INDEX($W$5:$W$86,MATCH(AU20,$V$5:$V$86,0)),0))</f>
        <v/>
      </c>
      <c r="AV110">
        <f>IF(AV20="",0,IFERROR(INDEX($W$5:$W$86,MATCH(AV20,$V$5:$V$86,0)),0))</f>
        <v/>
      </c>
      <c r="AW110">
        <f>IF(AW20="",0,IFERROR(INDEX($W$5:$W$86,MATCH(AW20,$V$5:$V$86,0)),0))</f>
        <v/>
      </c>
      <c r="AX110">
        <f>IF(AX20="",0,IFERROR(INDEX($W$5:$W$86,MATCH(AX20,$V$5:$V$86,0)),0))</f>
        <v/>
      </c>
      <c r="AY110">
        <f>IF(AY20="",0,IFERROR(INDEX($W$5:$W$86,MATCH(AY20,$V$5:$V$86,0)),0))</f>
        <v/>
      </c>
      <c r="AZ110">
        <f>IF(AZ20="",0,IFERROR(INDEX($W$5:$W$86,MATCH(AZ20,$V$5:$V$86,0)),0))</f>
        <v/>
      </c>
      <c r="BA110">
        <f>IF(BA20="",0,IFERROR(INDEX($W$5:$W$86,MATCH(BA20,$V$5:$V$86,0)),0))</f>
        <v/>
      </c>
      <c r="BB110">
        <f>IF(BB20="",0,IFERROR(INDEX($W$5:$W$86,MATCH(BB20,$V$5:$V$86,0)),0))</f>
        <v/>
      </c>
      <c r="BC110">
        <f>IF(BC20="",0,IFERROR(INDEX($W$5:$W$86,MATCH(BC20,$V$5:$V$86,0)),0))</f>
        <v/>
      </c>
      <c r="BD110">
        <f>IF(BD20="",0,IFERROR(INDEX($W$5:$W$86,MATCH(BD20,$V$5:$V$86,0)),0))</f>
        <v/>
      </c>
      <c r="BE110">
        <f>IF(BE20="",0,IFERROR(INDEX($W$5:$W$86,MATCH(BE20,$V$5:$V$86,0)),0))</f>
        <v/>
      </c>
      <c r="BF110">
        <f>IF(BF20="",0,IFERROR(INDEX($W$5:$W$86,MATCH(BF20,$V$5:$V$86,0)),0))</f>
        <v/>
      </c>
      <c r="BG110">
        <f>IF(BG20="",0,IFERROR(INDEX($W$5:$W$86,MATCH(BG20,$V$5:$V$86,0)),0))</f>
        <v/>
      </c>
      <c r="BH110">
        <f>IF(BH20="",0,IFERROR(INDEX($W$5:$W$86,MATCH(BH20,$V$5:$V$86,0)),0))</f>
        <v/>
      </c>
      <c r="BI110">
        <f>IF(BI20="",0,IFERROR(INDEX($W$5:$W$86,MATCH(BI20,$V$5:$V$86,0)),0))</f>
        <v/>
      </c>
      <c r="BJ110">
        <f>IF(BJ20="",0,IFERROR(INDEX($W$5:$W$86,MATCH(BJ20,$V$5:$V$86,0)),0))</f>
        <v/>
      </c>
      <c r="BK110">
        <f>IF(BK20="",0,IFERROR(INDEX($W$5:$W$86,MATCH(BK20,$V$5:$V$86,0)),0))</f>
        <v/>
      </c>
      <c r="BL110">
        <f>IF(BL20="",0,IFERROR(INDEX($W$5:$W$86,MATCH(BL20,$V$5:$V$86,0)),0))</f>
        <v/>
      </c>
      <c r="BM110">
        <f>IF(BM20="",0,IFERROR(INDEX($W$5:$W$86,MATCH(BM20,$V$5:$V$86,0)),0))</f>
        <v/>
      </c>
      <c r="BN110">
        <f>IF(BN20="",0,IFERROR(INDEX($W$5:$W$86,MATCH(BN20,$V$5:$V$86,0)),0))</f>
        <v/>
      </c>
      <c r="BO110">
        <f>IF(BO20="",0,IFERROR(INDEX($W$5:$W$86,MATCH(BO20,$V$5:$V$86,0)),0))</f>
        <v/>
      </c>
      <c r="BP110">
        <f>IF(BP20="",0,IFERROR(INDEX($W$5:$W$86,MATCH(BP20,$V$5:$V$86,0)),0))</f>
        <v/>
      </c>
      <c r="BQ110">
        <f>IF(BQ20="",0,IFERROR(INDEX($W$5:$W$86,MATCH(BQ20,$V$5:$V$86,0)),0))</f>
        <v/>
      </c>
      <c r="BR110">
        <f>IF(BR20="",0,IFERROR(INDEX($W$5:$W$86,MATCH(BR20,$V$5:$V$86,0)),0))</f>
        <v/>
      </c>
      <c r="BS110">
        <f>IF(BS20="",0,IFERROR(INDEX($W$5:$W$86,MATCH(BS20,$V$5:$V$86,0)),0))</f>
        <v/>
      </c>
      <c r="BT110">
        <f>IF(BT20="",0,IFERROR(INDEX($W$5:$W$86,MATCH(BT20,$V$5:$V$86,0)),0))</f>
        <v/>
      </c>
      <c r="BU110">
        <f>IF(BU20="",0,IFERROR(INDEX($W$5:$W$86,MATCH(BU20,$V$5:$V$86,0)),0))</f>
        <v/>
      </c>
      <c r="BV110">
        <f>IF(BV20="",0,IFERROR(INDEX($W$5:$W$86,MATCH(BV20,$V$5:$V$86,0)),0))</f>
        <v/>
      </c>
      <c r="BW110">
        <f>IF(BW20="",0,IFERROR(INDEX($W$5:$W$86,MATCH(BW20,$V$5:$V$86,0)),0))</f>
        <v/>
      </c>
      <c r="BX110">
        <f>IF(BX20="",0,IFERROR(INDEX($W$5:$W$86,MATCH(BX20,$V$5:$V$86,0)),0))</f>
        <v/>
      </c>
      <c r="BY110">
        <f>IF(BY20="",0,IFERROR(INDEX($W$5:$W$86,MATCH(BY20,$V$5:$V$86,0)),0))</f>
        <v/>
      </c>
      <c r="BZ110">
        <f>IF(BZ20="",0,IFERROR(INDEX($W$5:$W$86,MATCH(BZ20,$V$5:$V$86,0)),0))</f>
        <v/>
      </c>
      <c r="CA110">
        <f>IF(CA20="",0,IFERROR(INDEX($W$5:$W$86,MATCH(CA20,$V$5:$V$86,0)),0))</f>
        <v/>
      </c>
      <c r="CB110">
        <f>IF(CB20="",0,IFERROR(INDEX($W$5:$W$86,MATCH(CB20,$V$5:$V$86,0)),0))</f>
        <v/>
      </c>
      <c r="CC110">
        <f>IF(CC20="",0,IFERROR(INDEX($W$5:$W$86,MATCH(CC20,$V$5:$V$86,0)),0))</f>
        <v/>
      </c>
      <c r="CD110">
        <f>IF(CD20="",0,IFERROR(INDEX($W$5:$W$86,MATCH(CD20,$V$5:$V$86,0)),0))</f>
        <v/>
      </c>
      <c r="CE110">
        <f>IF(CE20="",0,IFERROR(INDEX($W$5:$W$86,MATCH(CE20,$V$5:$V$86,0)),0))</f>
        <v/>
      </c>
      <c r="CF110">
        <f>IF(CF20="",0,IFERROR(INDEX($W$5:$W$86,MATCH(CF20,$V$5:$V$86,0)),0))</f>
        <v/>
      </c>
      <c r="DA110" t="n">
        <v>106</v>
      </c>
      <c r="DB110">
        <f>IF($B$37=0,"",IFERROR(TRIM(SUBSTITUTE(SUBSTITUTE(SUBSTITUTE(SUBSTITUTE(INDEX(PASTE_ALL,106,$B$37)," "," "),CHAR(9)," "),CHAR(10)," "),CHAR(13)," ")),""))</f>
        <v/>
      </c>
      <c r="DC110">
        <f>IF(AND(106&gt;HEADER_ROW,UPPER(DB110)="LEGEND"),1,0)</f>
        <v/>
      </c>
      <c r="DE110" t="n">
        <v>106</v>
      </c>
      <c r="DF110">
        <f>HEADER_ROW+$DE110</f>
        <v/>
      </c>
      <c r="DG110">
        <f>IF(AND($DF110&lt;=1000,$DF110&lt;$B$8),1,0)</f>
        <v/>
      </c>
      <c r="DH110">
        <f>IF($DG110=1,IFERROR(INDEX($DB$5:$DB$1004,$DF110),""),"")</f>
        <v/>
      </c>
      <c r="DI110">
        <f>IF(AND($DG110=1,$DH110&lt;&gt;""),IFERROR(SUBSTITUTE(SUBSTITUTE(TRIM(SUBSTITUTE(SUBSTITUTE(SUBSTITUTE(SUBSTITUTE(IFERROR(INDEX(PASTE_ALL,$DF110,1)&amp;"","")&amp;"␟"&amp;IFERROR(INDEX(PASTE_ALL,$DF110,2)&amp;"","")&amp;"␟"&amp;IFERROR(INDEX(PASTE_ALL,$DF110,3)&amp;"","")&amp;"␟"&amp;IFERROR(INDEX(PASTE_ALL,$DF110,4)&amp;"","")&amp;"␟"&amp;IFERROR(INDEX(PASTE_ALL,$DF110,5)&amp;"","")&amp;"␟"&amp;IFERROR(INDEX(PASTE_ALL,$DF110,6)&amp;"","")&amp;"␟"&amp;IFERROR(INDEX(PASTE_ALL,$DF110,7)&amp;"","")&amp;"␟"&amp;IFERROR(INDEX(PASTE_ALL,$DF110,8)&amp;"","")&amp;"␟"&amp;IFERROR(INDEX(PASTE_ALL,$DF110,9)&amp;"","")&amp;"␟"&amp;IFERROR(INDEX(PASTE_ALL,$DF110,10)&amp;"","")&amp;"␟"&amp;IFERROR(INDEX(PASTE_ALL,$DF110,11)&amp;"","")&amp;"␟"&amp;IFERROR(INDEX(PASTE_ALL,$DF110,12)&amp;"","")&amp;"␟"&amp;IFERROR(INDEX(PASTE_ALL,$DF110,13)&amp;"","")&amp;"␟"&amp;IFERROR(INDEX(PASTE_ALL,$DF110,14)&amp;"","")&amp;"␟"&amp;IFERROR(INDEX(PASTE_ALL,$DF110,15)&amp;"","")&amp;"␟"&amp;IFERROR(INDEX(PASTE_ALL,$DF110,16)&amp;"","")&amp;"␟"&amp;IFERROR(INDEX(PASTE_ALL,$DF110,17)&amp;"","")&amp;"␟"&amp;IFERROR(INDEX(PASTE_ALL,$DF110,18)&amp;"","")&amp;"␟"&amp;IFERROR(INDEX(PASTE_ALL,$DF110,19)&amp;"","")&amp;"␟"&amp;IFERROR(INDEX(PASTE_ALL,$DF110,20)&amp;"","")&amp;"␟"&amp;IFERROR(INDEX(PASTE_ALL,$DF110,21)&amp;"","")&amp;"␟"&amp;IFERROR(INDEX(PASTE_ALL,$DF110,22)&amp;"","")&amp;"␟"&amp;IFERROR(INDEX(PASTE_ALL,$DF110,23)&amp;"","")&amp;"␟"&amp;IFERROR(INDEX(PASTE_ALL,$DF110,24)&amp;"","")&amp;"␟"&amp;IFERROR(INDEX(PASTE_ALL,$DF110,25)&amp;"","")&amp;"␟"&amp;IFERROR(INDEX(PASTE_ALL,$DF110,26)&amp;"","")&amp;"␟"&amp;IFERROR(INDEX(PASTE_ALL,$DF110,27)&amp;"","")&amp;"␟"&amp;IFERROR(INDEX(PASTE_ALL,$DF110,28)&amp;"","")&amp;"␟"&amp;IFERROR(INDEX(PASTE_ALL,$DF110,29)&amp;"","")&amp;"␟"&amp;IFERROR(INDEX(PASTE_ALL,$DF110,30)&amp;"","")&amp;"␟"&amp;IFERROR(INDEX(PASTE_ALL,$DF110,31)&amp;"","")&amp;"␟"&amp;IFERROR(INDEX(PASTE_ALL,$DF110,32)&amp;"","")&amp;"␟"&amp;IFERROR(INDEX(PASTE_ALL,$DF110,33)&amp;"","")&amp;"␟"&amp;IFERROR(INDEX(PASTE_ALL,$DF110,34)&amp;"","")&amp;"␟"&amp;IFERROR(INDEX(PASTE_ALL,$DF110,35)&amp;"","")&amp;"␟"&amp;IFERROR(INDEX(PASTE_ALL,$DF110,36)&amp;"","")&amp;"␟"&amp;IFERROR(INDEX(PASTE_ALL,$DF110,37)&amp;"","")&amp;"␟"&amp;IFERROR(INDEX(PASTE_ALL,$DF110,38)&amp;"","")&amp;"␟"&amp;IFERROR(INDEX(PASTE_ALL,$DF110,39)&amp;"","")&amp;"␟"&amp;IFERROR(INDEX(PASTE_ALL,$DF110,40)&amp;"","")&amp;"␟"&amp;IFERROR(INDEX(PASTE_ALL,$DF110,41)&amp;"","")&amp;"␟"&amp;IFERROR(INDEX(PASTE_ALL,$DF110,42)&amp;"","")&amp;"␟"&amp;IFERROR(INDEX(PASTE_ALL,$DF110,43)&amp;"","")&amp;"␟"&amp;IFERROR(INDEX(PASTE_ALL,$DF110,44)&amp;"","")&amp;"␟"&amp;IFERROR(INDEX(PASTE_ALL,$DF110,45)&amp;"","")&amp;"␟"&amp;IFERROR(INDEX(PASTE_ALL,$DF110,46)&amp;"","")&amp;"␟"&amp;IFERROR(INDEX(PASTE_ALL,$DF110,47)&amp;"","")&amp;"␟"&amp;IFERROR(INDEX(PASTE_ALL,$DF110,48)&amp;"","")&amp;"␟"&amp;IFERROR(INDEX(PASTE_ALL,$DF110,49)&amp;"","")&amp;"␟"&amp;IFERROR(INDEX(PASTE_ALL,$DF110,50)&amp;"","")&amp;"␟"&amp;IFERROR(INDEX(PASTE_ALL,$DF110,51)&amp;"","")&amp;"␟"&amp;IFERROR(INDEX(PASTE_ALL,$DF110,52)&amp;"","")&amp;"␟"&amp;IFERROR(INDEX(PASTE_ALL,$DF110,53)&amp;"","")&amp;"␟"&amp;IFERROR(INDEX(PASTE_ALL,$DF110,54)&amp;"","")&amp;"␟"&amp;IFERROR(INDEX(PASTE_ALL,$DF110,55)&amp;"","")&amp;"␟"&amp;IFERROR(INDEX(PASTE_ALL,$DF110,56)&amp;"","")&amp;"␟"&amp;IFERROR(INDEX(PASTE_ALL,$DF110,57)&amp;"","")&amp;"␟"&amp;IFERROR(INDEX(PASTE_ALL,$DF110,58)&amp;"","")&amp;"␟"&amp;IFERROR(INDEX(PASTE_ALL,$DF110,59)&amp;"","")&amp;"␟"&amp;IFERROR(INDEX(PASTE_ALL,$DF110,60)&amp;"","")," "," "),CHAR(9)," "),CHAR(10)," "),CHAR(13)," "))," ␟","␟"),"␟ ","␟"),"#"&amp;$DE110),"")</f>
        <v/>
      </c>
      <c r="DJ110">
        <f>IF($DI110="",0,IF(SUMPRODUCT(--EXACT($DI$4:DI109,$DI110))&gt;0,1,0))</f>
        <v/>
      </c>
      <c r="DK110">
        <f>IF(AND($DI110&lt;&gt;"",$DJ110=0),1,0)</f>
        <v/>
      </c>
      <c r="DL110">
        <f>DL109+$DK110</f>
        <v/>
      </c>
      <c r="DM110">
        <f>IF(AND($DK110=1,$DL110&lt;=600),1,0)</f>
        <v/>
      </c>
      <c r="DN110">
        <f>IF($DM110=0,"",IF($L$6=0,"",IFERROR(IF(ISNUMBER(INDEX(PASTE_ALL,$DF110,$L$6)),INDEX(PASTE_ALL,$DF110,$L$6),TRIM(SUBSTITUTE(SUBSTITUTE(SUBSTITUTE(SUBSTITUTE(INDEX(PASTE_ALL,$DF110,$L$6)," "," "),CHAR(9)," "),CHAR(10)," "),CHAR(13)," "))),"")))</f>
        <v/>
      </c>
      <c r="DO110">
        <f>IF($DM110=0,"",IF($L$7=0,"",IFERROR(IF(ISNUMBER(INDEX(PASTE_ALL,$DF110,$L$7)),INDEX(PASTE_ALL,$DF110,$L$7),TRIM(SUBSTITUTE(SUBSTITUTE(SUBSTITUTE(SUBSTITUTE(INDEX(PASTE_ALL,$DF110,$L$7)," "," "),CHAR(9)," "),CHAR(10)," "),CHAR(13)," "))),"")))</f>
        <v/>
      </c>
      <c r="DP110">
        <f>IF($DM110=0,"",IF($L$8=0,"",IFERROR(IF(ISNUMBER(INDEX(PASTE_ALL,$DF110,$L$8)),INDEX(PASTE_ALL,$DF110,$L$8),TRIM(SUBSTITUTE(SUBSTITUTE(SUBSTITUTE(SUBSTITUTE(INDEX(PASTE_ALL,$DF110,$L$8)," "," "),CHAR(9)," "),CHAR(10)," "),CHAR(13)," "))),"")))</f>
        <v/>
      </c>
      <c r="DQ110">
        <f>IF($DM110=0,"",IF($L$9=0,"",IFERROR(IF(ISNUMBER(INDEX(PASTE_ALL,$DF110,$L$9)),INDEX(PASTE_ALL,$DF110,$L$9),TRIM(SUBSTITUTE(SUBSTITUTE(SUBSTITUTE(SUBSTITUTE(INDEX(PASTE_ALL,$DF110,$L$9)," "," "),CHAR(9)," "),CHAR(10)," "),CHAR(13)," "))),"")))</f>
        <v/>
      </c>
      <c r="DR110">
        <f>IF($DM110=0,"",IF($L$10=0,"",IFERROR(IF(ISNUMBER(INDEX(PASTE_ALL,$DF110,$L$10)),INDEX(PASTE_ALL,$DF110,$L$10),TRIM(SUBSTITUTE(SUBSTITUTE(SUBSTITUTE(SUBSTITUTE(INDEX(PASTE_ALL,$DF110,$L$10)," "," "),CHAR(9)," "),CHAR(10)," "),CHAR(13)," "))),"")))</f>
        <v/>
      </c>
      <c r="DS110">
        <f>IF($DM110=0,"",IF($L$11=0,"",IFERROR(IF(ISNUMBER(INDEX(PASTE_ALL,$DF110,$L$11)),INDEX(PASTE_ALL,$DF110,$L$11),TRIM(SUBSTITUTE(SUBSTITUTE(SUBSTITUTE(SUBSTITUTE(INDEX(PASTE_ALL,$DF110,$L$11)," "," "),CHAR(9)," "),CHAR(10)," "),CHAR(13)," "))),"")))</f>
        <v/>
      </c>
      <c r="DT110">
        <f>IF($DM110=0,"",IF($L$12=0,"",IFERROR(IF(ISNUMBER(INDEX(PASTE_ALL,$DF110,$L$12)),INDEX(PASTE_ALL,$DF110,$L$12),TRIM(SUBSTITUTE(SUBSTITUTE(SUBSTITUTE(SUBSTITUTE(INDEX(PASTE_ALL,$DF110,$L$12)," "," "),CHAR(9)," "),CHAR(10)," "),CHAR(13)," "))),"")))</f>
        <v/>
      </c>
      <c r="DU110">
        <f>IF($DM110=0,"",IF($L$13=0,"",IFERROR(IF(ISNUMBER(INDEX(PASTE_ALL,$DF110,$L$13)),INDEX(PASTE_ALL,$DF110,$L$13),TRIM(SUBSTITUTE(SUBSTITUTE(SUBSTITUTE(SUBSTITUTE(INDEX(PASTE_ALL,$DF110,$L$13)," "," "),CHAR(9)," "),CHAR(10)," "),CHAR(13)," "))),"")))</f>
        <v/>
      </c>
      <c r="DV110">
        <f>IF($DM110=0,"",IF($L$14=0,"",IFERROR(IF(ISNUMBER(INDEX(PASTE_ALL,$DF110,$L$14)),INDEX(PASTE_ALL,$DF110,$L$14),TRIM(SUBSTITUTE(SUBSTITUTE(SUBSTITUTE(SUBSTITUTE(INDEX(PASTE_ALL,$DF110,$L$14)," "," "),CHAR(9)," "),CHAR(10)," "),CHAR(13)," "))),"")))</f>
        <v/>
      </c>
      <c r="DW110">
        <f>IF($DM110=0,"",IF($L$15=0,"",IFERROR(IF(ISNUMBER(INDEX(PASTE_ALL,$DF110,$L$15)),INDEX(PASTE_ALL,$DF110,$L$15),IF(SUMPRODUCT(--ISNUMBER(FIND({"A","B","C","D","E","F","G","H","I","J","K","L","M","N","O","P","Q","R","S","T","U","V","W","X","Y","Z","0","1","2","3","4","5","6","7","8","9"},UPPER(TRIM(SUBSTITUTE(SUBSTITUTE(SUBSTITUTE(SUBSTITUTE(INDEX(PASTE_ALL,$DF110,$L$15)," "," "),CHAR(9)," "),CHAR(10)," "),CHAR(13)," "))))))&gt;0,TRIM(SUBSTITUTE(SUBSTITUTE(SUBSTITUTE(SUBSTITUTE(INDEX(PASTE_ALL,$DF110,$L$15)," "," "),CHAR(9)," "),CHAR(10)," "),CHAR(13)," ")),"")),"")))</f>
        <v/>
      </c>
      <c r="DX110">
        <f>IF($DM110=0,"",IF($L$16=0,"",IFERROR(IF(ISNUMBER(INDEX(PASTE_ALL,$DF110,$L$16)),INDEX(PASTE_ALL,$DF110,$L$16),SUBSTITUTE(SUBSTITUTE(TRIM(SUBSTITUTE(SUBSTITUTE(SUBSTITUTE(SUBSTITUTE(INDEX(PASTE_ALL,$DF110,$L$16)," "," "),CHAR(9)," "),CHAR(10)," "),CHAR(13)," ")),",",""),"%","")),"")))</f>
        <v/>
      </c>
      <c r="DY110">
        <f>IF($DM110=0,"",IFERROR(IF(ISNUMBER($DX110),$DX110,IF($DX110="","",IF(TRIM($DX110)="",0,IF(AND(AND(SUBSTITUTE(SUBSTITUTE(SUBSTITUTE(SUBSTITUTE(SUBSTITUTE(SUBSTITUTE(SUBSTITUTE(SUBSTITUTE(SUBSTITUTE(SUBSTITUTE(SUBSTITUTE(SUBSTITUTE(SUBSTITUTE(SUBSTITUTE(UPPER(TRIM($DX110)),"0",""),"1",""),"2",""),"3",""),"4",""),"5",""),"6",""),"7",""),"8",""),"9",""),".",""),"+",""),"-",""),"E","")="",LEN(SUBSTITUTE(SUBSTITUTE(MID(UPPER(TRIM($DX110)),1+OR(LEFT(UPPER(TRIM($DX110)),1)="+",LEFT(UPPER(TRIM($DX110)),1)="-"),999),"E+","E"),"E-","E"))=LEN(SUBSTITUTE(SUBSTITUTE(SUBSTITUTE(SUBSTITUTE(MID(UPPER(TRIM($DX110)),1+OR(LEFT(UPPER(TRIM($DX110)),1)="+",LEFT(UPPER(TRIM($DX110)),1)="-"),999),"E+","E"),"E-","E"),"+",""),"-","")),LEN(UPPER(TRIM($DX110)))-LEN(SUBSTITUTE(UPPER(TRIM($DX110)),"E",""))&lt;2,LEN(UPPER(TRIM($DX110)))-LEN(SUBSTITUTE(UPPER(TRIM($DX110)),".",""))&lt;2,IFERROR(FIND(".",UPPER(TRIM($DX110))),0)&lt;IFERROR(FIND("E",UPPER(TRIM($DX110))),999)),ISNUMBER(VALUE(TRIM($DX110)))),VALUE(TRIM($DX110)),"")))),""))</f>
        <v/>
      </c>
      <c r="DZ110">
        <f>IF($DM110=0,"",IF($L$17=0,"",IFERROR(IF(ISNUMBER(INDEX(PASTE_ALL,$DF110,$L$17)),INDEX(PASTE_ALL,$DF110,$L$17),SUBSTITUTE(SUBSTITUTE(TRIM(SUBSTITUTE(SUBSTITUTE(SUBSTITUTE(SUBSTITUTE(INDEX(PASTE_ALL,$DF110,$L$17)," "," "),CHAR(9)," "),CHAR(10)," "),CHAR(13)," ")),",",""),"%","")),"")))</f>
        <v/>
      </c>
      <c r="EA110">
        <f>IF($DM110=0,"",IFERROR(IF(ISNUMBER($DZ110),$DZ110,IF($DZ110="","",IF(TRIM($DZ110)="",0,IF(AND(AND(SUBSTITUTE(SUBSTITUTE(SUBSTITUTE(SUBSTITUTE(SUBSTITUTE(SUBSTITUTE(SUBSTITUTE(SUBSTITUTE(SUBSTITUTE(SUBSTITUTE(SUBSTITUTE(SUBSTITUTE(SUBSTITUTE(SUBSTITUTE(UPPER(TRIM($DZ110)),"0",""),"1",""),"2",""),"3",""),"4",""),"5",""),"6",""),"7",""),"8",""),"9",""),".",""),"+",""),"-",""),"E","")="",LEN(SUBSTITUTE(SUBSTITUTE(MID(UPPER(TRIM($DZ110)),1+OR(LEFT(UPPER(TRIM($DZ110)),1)="+",LEFT(UPPER(TRIM($DZ110)),1)="-"),999),"E+","E"),"E-","E"))=LEN(SUBSTITUTE(SUBSTITUTE(SUBSTITUTE(SUBSTITUTE(MID(UPPER(TRIM($DZ110)),1+OR(LEFT(UPPER(TRIM($DZ110)),1)="+",LEFT(UPPER(TRIM($DZ110)),1)="-"),999),"E+","E"),"E-","E"),"+",""),"-","")),LEN(UPPER(TRIM($DZ110)))-LEN(SUBSTITUTE(UPPER(TRIM($DZ110)),"E",""))&lt;2,LEN(UPPER(TRIM($DZ110)))-LEN(SUBSTITUTE(UPPER(TRIM($DZ110)),".",""))&lt;2,IFERROR(FIND(".",UPPER(TRIM($DZ110))),0)&lt;IFERROR(FIND("E",UPPER(TRIM($DZ110))),999)),ISNUMBER(VALUE(TRIM($DZ110)))),VALUE(TRIM($DZ110)),"")))),""))</f>
        <v/>
      </c>
      <c r="EB110">
        <f>IF($DM110=0,"",IF($L$18=0,"",IFERROR(IF(UPPER(TRIM(SUBSTITUTE(SUBSTITUTE(SUBSTITUTE(SUBSTITUTE(INDEX(PASTE_ALL,$DF110,$L$18)," "," "),CHAR(9)," "),CHAR(10)," "),CHAR(13)," ")))="READY","Ready",IF(UPPER(TRIM(SUBSTITUTE(SUBSTITUTE(SUBSTITUTE(SUBSTITUTE(INDEX(PASTE_ALL,$DF110,$L$18)," "," "),CHAR(9)," "),CHAR(10)," "),CHAR(13)," ")))="PM","PM",IF(OR(UPPER(TRIM(SUBSTITUTE(SUBSTITUTE(SUBSTITUTE(SUBSTITUTE(INDEX(PASTE_ALL,$DF110,$L$18)," "," "),CHAR(9)," "),CHAR(10)," "),CHAR(13)," ")))="OT",UPPER(TRIM(SUBSTITUTE(SUBSTITUTE(SUBSTITUTE(SUBSTITUTE(INDEX(PASTE_ALL,$DF110,$L$18)," "," "),CHAR(9)," "),CHAR(10)," "),CHAR(13)," ")))="OVERTIME",UPPER(TRIM(SUBSTITUTE(SUBSTITUTE(SUBSTITUTE(SUBSTITUTE(INDEX(PASTE_ALL,$DF110,$L$18)," "," "),CHAR(9)," "),CHAR(10)," "),CHAR(13)," ")))="TRIAL"),"OT",TRIM(SUBSTITUTE(SUBSTITUTE(SUBSTITUTE(SUBSTITUTE(INDEX(PASTE_ALL,$DF110,$L$18)," "," "),CHAR(9)," "),CHAR(10)," "),CHAR(13)," "))))),"")))</f>
        <v/>
      </c>
      <c r="EC110">
        <f>IF($DM110=0,"",IF($L$19=0,"",IFERROR(IF(ISNUMBER(INDEX(PASTE_ALL,$DF110,$L$19)),INDEX(PASTE_ALL,$DF110,$L$19),TRIM(SUBSTITUTE(SUBSTITUTE(SUBSTITUTE(SUBSTITUTE(INDEX(PASTE_ALL,$DF110,$L$19)," "," "),CHAR(9)," "),CHAR(10)," "),CHAR(13)," "))),"")))</f>
        <v/>
      </c>
      <c r="ED110">
        <f>IF($DM110=0,"",MATCH(1,INDEX(EXACT($DH$5:DH110,$DH110)*$DM$5:DM110,0),0))</f>
        <v/>
      </c>
      <c r="EE110">
        <f>IF($DM110=0,0,IF($ED110=$DE110,1,0))</f>
        <v/>
      </c>
      <c r="EF110">
        <f>EF109+$EE110</f>
        <v/>
      </c>
      <c r="EG110">
        <f>IF($DM110=0,"",INDEX($EF$5:$EF$1003,$ED110))</f>
        <v/>
      </c>
      <c r="EH110">
        <f>IF($DM110=0,"",IF($DO110&lt;&gt;"","",IFERROR(LOOKUP(2,1/(($EG$4:EG109=$EG110)*($DO$4:DO109&lt;&gt;"")),$DO$4:DO109),"")))</f>
        <v/>
      </c>
      <c r="EI110">
        <f>IF($DM110=0,"",IF($DO110&lt;&gt;"",$DO110,$EH110))</f>
        <v/>
      </c>
      <c r="EJ110">
        <f>IF($DM110=0,"",IF($EI110="",0,IF(OR(ISNUMBER($EI110),AND(AND(SUBSTITUTE(SUBSTITUTE(SUBSTITUTE(SUBSTITUTE(SUBSTITUTE(SUBSTITUTE(SUBSTITUTE(SUBSTITUTE(SUBSTITUTE(SUBSTITUTE(SUBSTITUTE(SUBSTITUTE(SUBSTITUTE(SUBSTITUTE(UPPER($EI110),"0",""),"1",""),"2",""),"3",""),"4",""),"5",""),"6",""),"7",""),"8",""),"9",""),".",""),"+",""),"-",""),"E","")="",LEN(SUBSTITUTE(SUBSTITUTE(MID(UPPER($EI110),1+OR(LEFT(UPPER($EI110),1)="+",LEFT(UPPER($EI110),1)="-"),999),"E+","E"),"E-","E"))=LEN(SUBSTITUTE(SUBSTITUTE(SUBSTITUTE(SUBSTITUTE(MID(UPPER($EI110),1+OR(LEFT(UPPER($EI110),1)="+",LEFT(UPPER($EI110),1)="-"),999),"E+","E"),"E-","E"),"+",""),"-","")),LEN(UPPER($EI110))-LEN(SUBSTITUTE(UPPER($EI110),"E",""))&lt;2,LEN(UPPER($EI110))-LEN(SUBSTITUTE(UPPER($EI110),".",""))&lt;2,IFERROR(FIND(".",UPPER($EI110)),0)&lt;IFERROR(FIND("E",UPPER($EI110)),999)),ISNUMBER(VALUE($EI110)))),1,2)))</f>
        <v/>
      </c>
      <c r="EK110">
        <f>IF($DM110=0,"",IF($EJ110=1,IF(ISNUMBER($EI110),$EI110,VALUE($EI110)),IF($EJ110=2,$DE110,0)))</f>
        <v/>
      </c>
      <c r="EL110">
        <f>IF($DM110=0,"",COUNTIF($EG$5:$EG$1003,"&lt;"&amp;$EG110)+SUMPRODUCT(($EG$5:$EG$1003=$EG110)*(($EJ$5:$EJ$1003&lt;$EJ110)+($EJ$5:$EJ$1003=$EJ110)*(($EK$5:$EK$1003&lt;$EK110)+($EK$5:$EK$1003=$EK110)*($DE$5:$DE$1003&lt;$DE110))))+1)</f>
        <v/>
      </c>
      <c r="EM110">
        <f>IF($DM110=0,"",$EL110+$EG110-1)</f>
        <v/>
      </c>
      <c r="EN110">
        <f>IF($DM110=0,0,IFERROR(MATCH(1,INDEX(--(TRIM(SUBSTITUTE(SUBSTITUTE(SUBSTITUTE(SUBSTITUTE(LINES_NAME&amp;""," "," "),CHAR(9)," "),CHAR(10)," "),CHAR(13)," "))=$DH110),0),0),0))</f>
        <v/>
      </c>
      <c r="EO110">
        <f>IF($EN110=0,0,IF(OR(UPPER(TRIM(INDEX(LINES_SCHEDULED,$EN110)&amp;""))="YES",UPPER(TRIM(INDEX(LINES_SCHEDULED,$EN110)&amp;""))="Y",UPPER(TRIM(INDEX(LINES_SCHEDULED,$EN110)&amp;""))="X"),1,0))</f>
        <v/>
      </c>
      <c r="EP110">
        <f>IF($DM110=0,"",IF(COUNTIFS($EG$5:$EG$1003,$EG110,$EB$5:$EB$1003,"Ready")&gt;0,"READY",IF(COUNTIFS($EG$5:$EG$1003,$EG110,$EB$5:$EB$1003,"PM")&gt;0,"PM",IF(COUNTIFS($EG$5:$EG$1003,$EG110,$EB$5:$EB$1003,"OT")&gt;0,"OT",""))))</f>
        <v/>
      </c>
      <c r="EQ110">
        <f>IF($EN110=0,"",UPPER(TRIM(INDEX(LINES_STATUS,$EN110)&amp;"")))</f>
        <v/>
      </c>
      <c r="ER110">
        <f>IF($DM110=0,"",IF(OR($EQ110="READY",$EQ110="PM",$EQ110="OT"),$EQ110,$EP110))</f>
        <v/>
      </c>
      <c r="ES110">
        <f>IF($DM110=0,"",IF(AND($DV110&lt;&gt;"",UPPER($DV110)&lt;&gt;"N"),"allergen",IF(ISNUMBER(SEARCH("oil",$DQ110)),"oil",IF(OR(EXACT($DS110,"A662"),EXACT($DS110,"A624")),"bulk",""))))</f>
        <v/>
      </c>
      <c r="ET110">
        <f>IF($DM110=0,"",IF(OR($EA110="",$EA110=0),"",$EA110/100))</f>
        <v/>
      </c>
      <c r="EU110">
        <f>IF(OR($ET110="",$DY110=""),"",INT($DY110*(1-$ET110)+0.5))</f>
        <v/>
      </c>
      <c r="EW110" t="n">
        <v>106</v>
      </c>
      <c r="EX110">
        <f>IFERROR(MATCH($EW110,$EM$5:$EM$1003,0),0)</f>
        <v/>
      </c>
      <c r="EY110">
        <f>IF($EW110&gt;$B$12,"",IF($EX110&gt;0,"row","spacer"))</f>
        <v/>
      </c>
      <c r="EZ110">
        <f>IF(AND($EY110="row",$EY109&lt;&gt;"row"),1,0)</f>
        <v/>
      </c>
      <c r="FA110">
        <f>IF(AND($EY110="row",$EY111&lt;&gt;"row"),1,0)</f>
        <v/>
      </c>
      <c r="FB110">
        <f>IF($EZ110=1,IFERROR(IF(ISNUMBER(INDEX(PASTE_ALL,INDEX($DF$5:$DF$1003,$EX110),$B$37)),INDEX(PASTE_ALL,INDEX($DF$5:$DF$1003,$EX110),$B$37),INDEX($DH$5:$DH$1003,$EX110)),INDEX($DH$5:$DH$1003,$EX110)),"")</f>
        <v/>
      </c>
      <c r="FC110">
        <f>IF($EY110="row",INDEX($ER$5:$ER$1003,$EX110),"")</f>
        <v/>
      </c>
      <c r="FD110">
        <f>IF($EY110="row",INDEX($DN$5:$DN$1003,$EX110),"")</f>
        <v/>
      </c>
      <c r="FE110">
        <f>IF($EY110="row",INDEX($DO$5:$DO$1003,$EX110),"")</f>
        <v/>
      </c>
      <c r="FF110">
        <f>IF($EY110="row",INDEX($DP$5:$DP$1003,$EX110),"")</f>
        <v/>
      </c>
      <c r="FG110">
        <f>IF($EY110="row",INDEX($DQ$5:$DQ$1003,$EX110),"")</f>
        <v/>
      </c>
      <c r="FH110">
        <f>IF($EY110="row",INDEX($DR$5:$DR$1003,$EX110),"")</f>
        <v/>
      </c>
      <c r="FI110">
        <f>IF($EY110="row",INDEX($DS$5:$DS$1003,$EX110),"")</f>
        <v/>
      </c>
      <c r="FJ110">
        <f>IF($EY110="row",INDEX($DT$5:$DT$1003,$EX110),"")</f>
        <v/>
      </c>
      <c r="FK110">
        <f>IF($EY110="row",INDEX($DU$5:$DU$1003,$EX110),"")</f>
        <v/>
      </c>
      <c r="FL110">
        <f>IF($EY110="row",INDEX($DV$5:$DV$1003,$EX110),"")</f>
        <v/>
      </c>
      <c r="FM110">
        <f>IF($EY110="row",INDEX($DW$5:$DW$1003,$EX110),"")</f>
        <v/>
      </c>
      <c r="FN110">
        <f>IF($EY110="row",INDEX($DY$5:$DY$1003,$EX110),"")</f>
        <v/>
      </c>
      <c r="FO110">
        <f>IF($EY110="row",INDEX($EA$5:$EA$1003,$EX110),"")</f>
        <v/>
      </c>
      <c r="FP110">
        <f>IF($EY110="row",INDEX($EC$5:$EC$1003,$EX110),"")</f>
        <v/>
      </c>
      <c r="FQ110">
        <f>IF($EY110="row",INDEX($ET$5:$ET$1003,$EX110),"")</f>
        <v/>
      </c>
      <c r="FR110">
        <f>IF($EY110="row",INDEX($EU$5:$EU$1003,$EX110),"")</f>
        <v/>
      </c>
      <c r="FS110">
        <f>IF(AND($EY110="row",$EY109="row"),IF(OR(INDEX($DT$5:$DT$1003,$EX109)="",INDEX($DT$5:$DT$1003,$EX110)=""),"",IF(NOT(EXACT(INDEX($DT$5:$DT$1003,$EX109),INDEX($DT$5:$DT$1003,$EX110))),"S4",IF(NOT(EXACT(INDEX($DS$5:$DS$1003,$EX109),INDEX($DS$5:$DS$1003,$EX110))),"S3",IF(NOT(EXACT(INDEX($DR$5:$DR$1003,$EX109),INDEX($DR$5:$DR$1003,$EX110))),"S1 Count Change","S1")))),"")</f>
        <v/>
      </c>
      <c r="FT110">
        <f>IF($EY110="row",INDEX($ES$5:$ES$1003,$EX110),"")</f>
        <v/>
      </c>
      <c r="FU110">
        <f>IF($EY110="row",INDEX($EO$5:$EO$1003,$EX110),0)</f>
        <v/>
      </c>
      <c r="FV110">
        <f>IF($FS110="S1 Count Change",1,0)</f>
        <v/>
      </c>
    </row>
    <row r="111">
      <c r="Y111">
        <f>IF(Y21="",0,IFERROR(INDEX($W$5:$W$86,MATCH(Y21,$V$5:$V$86,0)),0))</f>
        <v/>
      </c>
      <c r="Z111">
        <f>IF(Z21="",0,IFERROR(INDEX($W$5:$W$86,MATCH(Z21,$V$5:$V$86,0)),0))</f>
        <v/>
      </c>
      <c r="AA111">
        <f>IF(AA21="",0,IFERROR(INDEX($W$5:$W$86,MATCH(AA21,$V$5:$V$86,0)),0))</f>
        <v/>
      </c>
      <c r="AB111">
        <f>IF(AB21="",0,IFERROR(INDEX($W$5:$W$86,MATCH(AB21,$V$5:$V$86,0)),0))</f>
        <v/>
      </c>
      <c r="AC111">
        <f>IF(AC21="",0,IFERROR(INDEX($W$5:$W$86,MATCH(AC21,$V$5:$V$86,0)),0))</f>
        <v/>
      </c>
      <c r="AD111">
        <f>IF(AD21="",0,IFERROR(INDEX($W$5:$W$86,MATCH(AD21,$V$5:$V$86,0)),0))</f>
        <v/>
      </c>
      <c r="AE111">
        <f>IF(AE21="",0,IFERROR(INDEX($W$5:$W$86,MATCH(AE21,$V$5:$V$86,0)),0))</f>
        <v/>
      </c>
      <c r="AF111">
        <f>IF(AF21="",0,IFERROR(INDEX($W$5:$W$86,MATCH(AF21,$V$5:$V$86,0)),0))</f>
        <v/>
      </c>
      <c r="AG111">
        <f>IF(AG21="",0,IFERROR(INDEX($W$5:$W$86,MATCH(AG21,$V$5:$V$86,0)),0))</f>
        <v/>
      </c>
      <c r="AH111">
        <f>IF(AH21="",0,IFERROR(INDEX($W$5:$W$86,MATCH(AH21,$V$5:$V$86,0)),0))</f>
        <v/>
      </c>
      <c r="AI111">
        <f>IF(AI21="",0,IFERROR(INDEX($W$5:$W$86,MATCH(AI21,$V$5:$V$86,0)),0))</f>
        <v/>
      </c>
      <c r="AJ111">
        <f>IF(AJ21="",0,IFERROR(INDEX($W$5:$W$86,MATCH(AJ21,$V$5:$V$86,0)),0))</f>
        <v/>
      </c>
      <c r="AK111">
        <f>IF(AK21="",0,IFERROR(INDEX($W$5:$W$86,MATCH(AK21,$V$5:$V$86,0)),0))</f>
        <v/>
      </c>
      <c r="AL111">
        <f>IF(AL21="",0,IFERROR(INDEX($W$5:$W$86,MATCH(AL21,$V$5:$V$86,0)),0))</f>
        <v/>
      </c>
      <c r="AM111">
        <f>IF(AM21="",0,IFERROR(INDEX($W$5:$W$86,MATCH(AM21,$V$5:$V$86,0)),0))</f>
        <v/>
      </c>
      <c r="AN111">
        <f>IF(AN21="",0,IFERROR(INDEX($W$5:$W$86,MATCH(AN21,$V$5:$V$86,0)),0))</f>
        <v/>
      </c>
      <c r="AO111">
        <f>IF(AO21="",0,IFERROR(INDEX($W$5:$W$86,MATCH(AO21,$V$5:$V$86,0)),0))</f>
        <v/>
      </c>
      <c r="AP111">
        <f>IF(AP21="",0,IFERROR(INDEX($W$5:$W$86,MATCH(AP21,$V$5:$V$86,0)),0))</f>
        <v/>
      </c>
      <c r="AQ111">
        <f>IF(AQ21="",0,IFERROR(INDEX($W$5:$W$86,MATCH(AQ21,$V$5:$V$86,0)),0))</f>
        <v/>
      </c>
      <c r="AR111">
        <f>IF(AR21="",0,IFERROR(INDEX($W$5:$W$86,MATCH(AR21,$V$5:$V$86,0)),0))</f>
        <v/>
      </c>
      <c r="AS111">
        <f>IF(AS21="",0,IFERROR(INDEX($W$5:$W$86,MATCH(AS21,$V$5:$V$86,0)),0))</f>
        <v/>
      </c>
      <c r="AT111">
        <f>IF(AT21="",0,IFERROR(INDEX($W$5:$W$86,MATCH(AT21,$V$5:$V$86,0)),0))</f>
        <v/>
      </c>
      <c r="AU111">
        <f>IF(AU21="",0,IFERROR(INDEX($W$5:$W$86,MATCH(AU21,$V$5:$V$86,0)),0))</f>
        <v/>
      </c>
      <c r="AV111">
        <f>IF(AV21="",0,IFERROR(INDEX($W$5:$W$86,MATCH(AV21,$V$5:$V$86,0)),0))</f>
        <v/>
      </c>
      <c r="AW111">
        <f>IF(AW21="",0,IFERROR(INDEX($W$5:$W$86,MATCH(AW21,$V$5:$V$86,0)),0))</f>
        <v/>
      </c>
      <c r="AX111">
        <f>IF(AX21="",0,IFERROR(INDEX($W$5:$W$86,MATCH(AX21,$V$5:$V$86,0)),0))</f>
        <v/>
      </c>
      <c r="AY111">
        <f>IF(AY21="",0,IFERROR(INDEX($W$5:$W$86,MATCH(AY21,$V$5:$V$86,0)),0))</f>
        <v/>
      </c>
      <c r="AZ111">
        <f>IF(AZ21="",0,IFERROR(INDEX($W$5:$W$86,MATCH(AZ21,$V$5:$V$86,0)),0))</f>
        <v/>
      </c>
      <c r="BA111">
        <f>IF(BA21="",0,IFERROR(INDEX($W$5:$W$86,MATCH(BA21,$V$5:$V$86,0)),0))</f>
        <v/>
      </c>
      <c r="BB111">
        <f>IF(BB21="",0,IFERROR(INDEX($W$5:$W$86,MATCH(BB21,$V$5:$V$86,0)),0))</f>
        <v/>
      </c>
      <c r="BC111">
        <f>IF(BC21="",0,IFERROR(INDEX($W$5:$W$86,MATCH(BC21,$V$5:$V$86,0)),0))</f>
        <v/>
      </c>
      <c r="BD111">
        <f>IF(BD21="",0,IFERROR(INDEX($W$5:$W$86,MATCH(BD21,$V$5:$V$86,0)),0))</f>
        <v/>
      </c>
      <c r="BE111">
        <f>IF(BE21="",0,IFERROR(INDEX($W$5:$W$86,MATCH(BE21,$V$5:$V$86,0)),0))</f>
        <v/>
      </c>
      <c r="BF111">
        <f>IF(BF21="",0,IFERROR(INDEX($W$5:$W$86,MATCH(BF21,$V$5:$V$86,0)),0))</f>
        <v/>
      </c>
      <c r="BG111">
        <f>IF(BG21="",0,IFERROR(INDEX($W$5:$W$86,MATCH(BG21,$V$5:$V$86,0)),0))</f>
        <v/>
      </c>
      <c r="BH111">
        <f>IF(BH21="",0,IFERROR(INDEX($W$5:$W$86,MATCH(BH21,$V$5:$V$86,0)),0))</f>
        <v/>
      </c>
      <c r="BI111">
        <f>IF(BI21="",0,IFERROR(INDEX($W$5:$W$86,MATCH(BI21,$V$5:$V$86,0)),0))</f>
        <v/>
      </c>
      <c r="BJ111">
        <f>IF(BJ21="",0,IFERROR(INDEX($W$5:$W$86,MATCH(BJ21,$V$5:$V$86,0)),0))</f>
        <v/>
      </c>
      <c r="BK111">
        <f>IF(BK21="",0,IFERROR(INDEX($W$5:$W$86,MATCH(BK21,$V$5:$V$86,0)),0))</f>
        <v/>
      </c>
      <c r="BL111">
        <f>IF(BL21="",0,IFERROR(INDEX($W$5:$W$86,MATCH(BL21,$V$5:$V$86,0)),0))</f>
        <v/>
      </c>
      <c r="BM111">
        <f>IF(BM21="",0,IFERROR(INDEX($W$5:$W$86,MATCH(BM21,$V$5:$V$86,0)),0))</f>
        <v/>
      </c>
      <c r="BN111">
        <f>IF(BN21="",0,IFERROR(INDEX($W$5:$W$86,MATCH(BN21,$V$5:$V$86,0)),0))</f>
        <v/>
      </c>
      <c r="BO111">
        <f>IF(BO21="",0,IFERROR(INDEX($W$5:$W$86,MATCH(BO21,$V$5:$V$86,0)),0))</f>
        <v/>
      </c>
      <c r="BP111">
        <f>IF(BP21="",0,IFERROR(INDEX($W$5:$W$86,MATCH(BP21,$V$5:$V$86,0)),0))</f>
        <v/>
      </c>
      <c r="BQ111">
        <f>IF(BQ21="",0,IFERROR(INDEX($W$5:$W$86,MATCH(BQ21,$V$5:$V$86,0)),0))</f>
        <v/>
      </c>
      <c r="BR111">
        <f>IF(BR21="",0,IFERROR(INDEX($W$5:$W$86,MATCH(BR21,$V$5:$V$86,0)),0))</f>
        <v/>
      </c>
      <c r="BS111">
        <f>IF(BS21="",0,IFERROR(INDEX($W$5:$W$86,MATCH(BS21,$V$5:$V$86,0)),0))</f>
        <v/>
      </c>
      <c r="BT111">
        <f>IF(BT21="",0,IFERROR(INDEX($W$5:$W$86,MATCH(BT21,$V$5:$V$86,0)),0))</f>
        <v/>
      </c>
      <c r="BU111">
        <f>IF(BU21="",0,IFERROR(INDEX($W$5:$W$86,MATCH(BU21,$V$5:$V$86,0)),0))</f>
        <v/>
      </c>
      <c r="BV111">
        <f>IF(BV21="",0,IFERROR(INDEX($W$5:$W$86,MATCH(BV21,$V$5:$V$86,0)),0))</f>
        <v/>
      </c>
      <c r="BW111">
        <f>IF(BW21="",0,IFERROR(INDEX($W$5:$W$86,MATCH(BW21,$V$5:$V$86,0)),0))</f>
        <v/>
      </c>
      <c r="BX111">
        <f>IF(BX21="",0,IFERROR(INDEX($W$5:$W$86,MATCH(BX21,$V$5:$V$86,0)),0))</f>
        <v/>
      </c>
      <c r="BY111">
        <f>IF(BY21="",0,IFERROR(INDEX($W$5:$W$86,MATCH(BY21,$V$5:$V$86,0)),0))</f>
        <v/>
      </c>
      <c r="BZ111">
        <f>IF(BZ21="",0,IFERROR(INDEX($W$5:$W$86,MATCH(BZ21,$V$5:$V$86,0)),0))</f>
        <v/>
      </c>
      <c r="CA111">
        <f>IF(CA21="",0,IFERROR(INDEX($W$5:$W$86,MATCH(CA21,$V$5:$V$86,0)),0))</f>
        <v/>
      </c>
      <c r="CB111">
        <f>IF(CB21="",0,IFERROR(INDEX($W$5:$W$86,MATCH(CB21,$V$5:$V$86,0)),0))</f>
        <v/>
      </c>
      <c r="CC111">
        <f>IF(CC21="",0,IFERROR(INDEX($W$5:$W$86,MATCH(CC21,$V$5:$V$86,0)),0))</f>
        <v/>
      </c>
      <c r="CD111">
        <f>IF(CD21="",0,IFERROR(INDEX($W$5:$W$86,MATCH(CD21,$V$5:$V$86,0)),0))</f>
        <v/>
      </c>
      <c r="CE111">
        <f>IF(CE21="",0,IFERROR(INDEX($W$5:$W$86,MATCH(CE21,$V$5:$V$86,0)),0))</f>
        <v/>
      </c>
      <c r="CF111">
        <f>IF(CF21="",0,IFERROR(INDEX($W$5:$W$86,MATCH(CF21,$V$5:$V$86,0)),0))</f>
        <v/>
      </c>
      <c r="DA111" t="n">
        <v>107</v>
      </c>
      <c r="DB111">
        <f>IF($B$37=0,"",IFERROR(TRIM(SUBSTITUTE(SUBSTITUTE(SUBSTITUTE(SUBSTITUTE(INDEX(PASTE_ALL,107,$B$37)," "," "),CHAR(9)," "),CHAR(10)," "),CHAR(13)," ")),""))</f>
        <v/>
      </c>
      <c r="DC111">
        <f>IF(AND(107&gt;HEADER_ROW,UPPER(DB111)="LEGEND"),1,0)</f>
        <v/>
      </c>
      <c r="DE111" t="n">
        <v>107</v>
      </c>
      <c r="DF111">
        <f>HEADER_ROW+$DE111</f>
        <v/>
      </c>
      <c r="DG111">
        <f>IF(AND($DF111&lt;=1000,$DF111&lt;$B$8),1,0)</f>
        <v/>
      </c>
      <c r="DH111">
        <f>IF($DG111=1,IFERROR(INDEX($DB$5:$DB$1004,$DF111),""),"")</f>
        <v/>
      </c>
      <c r="DI111">
        <f>IF(AND($DG111=1,$DH111&lt;&gt;""),IFERROR(SUBSTITUTE(SUBSTITUTE(TRIM(SUBSTITUTE(SUBSTITUTE(SUBSTITUTE(SUBSTITUTE(IFERROR(INDEX(PASTE_ALL,$DF111,1)&amp;"","")&amp;"␟"&amp;IFERROR(INDEX(PASTE_ALL,$DF111,2)&amp;"","")&amp;"␟"&amp;IFERROR(INDEX(PASTE_ALL,$DF111,3)&amp;"","")&amp;"␟"&amp;IFERROR(INDEX(PASTE_ALL,$DF111,4)&amp;"","")&amp;"␟"&amp;IFERROR(INDEX(PASTE_ALL,$DF111,5)&amp;"","")&amp;"␟"&amp;IFERROR(INDEX(PASTE_ALL,$DF111,6)&amp;"","")&amp;"␟"&amp;IFERROR(INDEX(PASTE_ALL,$DF111,7)&amp;"","")&amp;"␟"&amp;IFERROR(INDEX(PASTE_ALL,$DF111,8)&amp;"","")&amp;"␟"&amp;IFERROR(INDEX(PASTE_ALL,$DF111,9)&amp;"","")&amp;"␟"&amp;IFERROR(INDEX(PASTE_ALL,$DF111,10)&amp;"","")&amp;"␟"&amp;IFERROR(INDEX(PASTE_ALL,$DF111,11)&amp;"","")&amp;"␟"&amp;IFERROR(INDEX(PASTE_ALL,$DF111,12)&amp;"","")&amp;"␟"&amp;IFERROR(INDEX(PASTE_ALL,$DF111,13)&amp;"","")&amp;"␟"&amp;IFERROR(INDEX(PASTE_ALL,$DF111,14)&amp;"","")&amp;"␟"&amp;IFERROR(INDEX(PASTE_ALL,$DF111,15)&amp;"","")&amp;"␟"&amp;IFERROR(INDEX(PASTE_ALL,$DF111,16)&amp;"","")&amp;"␟"&amp;IFERROR(INDEX(PASTE_ALL,$DF111,17)&amp;"","")&amp;"␟"&amp;IFERROR(INDEX(PASTE_ALL,$DF111,18)&amp;"","")&amp;"␟"&amp;IFERROR(INDEX(PASTE_ALL,$DF111,19)&amp;"","")&amp;"␟"&amp;IFERROR(INDEX(PASTE_ALL,$DF111,20)&amp;"","")&amp;"␟"&amp;IFERROR(INDEX(PASTE_ALL,$DF111,21)&amp;"","")&amp;"␟"&amp;IFERROR(INDEX(PASTE_ALL,$DF111,22)&amp;"","")&amp;"␟"&amp;IFERROR(INDEX(PASTE_ALL,$DF111,23)&amp;"","")&amp;"␟"&amp;IFERROR(INDEX(PASTE_ALL,$DF111,24)&amp;"","")&amp;"␟"&amp;IFERROR(INDEX(PASTE_ALL,$DF111,25)&amp;"","")&amp;"␟"&amp;IFERROR(INDEX(PASTE_ALL,$DF111,26)&amp;"","")&amp;"␟"&amp;IFERROR(INDEX(PASTE_ALL,$DF111,27)&amp;"","")&amp;"␟"&amp;IFERROR(INDEX(PASTE_ALL,$DF111,28)&amp;"","")&amp;"␟"&amp;IFERROR(INDEX(PASTE_ALL,$DF111,29)&amp;"","")&amp;"␟"&amp;IFERROR(INDEX(PASTE_ALL,$DF111,30)&amp;"","")&amp;"␟"&amp;IFERROR(INDEX(PASTE_ALL,$DF111,31)&amp;"","")&amp;"␟"&amp;IFERROR(INDEX(PASTE_ALL,$DF111,32)&amp;"","")&amp;"␟"&amp;IFERROR(INDEX(PASTE_ALL,$DF111,33)&amp;"","")&amp;"␟"&amp;IFERROR(INDEX(PASTE_ALL,$DF111,34)&amp;"","")&amp;"␟"&amp;IFERROR(INDEX(PASTE_ALL,$DF111,35)&amp;"","")&amp;"␟"&amp;IFERROR(INDEX(PASTE_ALL,$DF111,36)&amp;"","")&amp;"␟"&amp;IFERROR(INDEX(PASTE_ALL,$DF111,37)&amp;"","")&amp;"␟"&amp;IFERROR(INDEX(PASTE_ALL,$DF111,38)&amp;"","")&amp;"␟"&amp;IFERROR(INDEX(PASTE_ALL,$DF111,39)&amp;"","")&amp;"␟"&amp;IFERROR(INDEX(PASTE_ALL,$DF111,40)&amp;"","")&amp;"␟"&amp;IFERROR(INDEX(PASTE_ALL,$DF111,41)&amp;"","")&amp;"␟"&amp;IFERROR(INDEX(PASTE_ALL,$DF111,42)&amp;"","")&amp;"␟"&amp;IFERROR(INDEX(PASTE_ALL,$DF111,43)&amp;"","")&amp;"␟"&amp;IFERROR(INDEX(PASTE_ALL,$DF111,44)&amp;"","")&amp;"␟"&amp;IFERROR(INDEX(PASTE_ALL,$DF111,45)&amp;"","")&amp;"␟"&amp;IFERROR(INDEX(PASTE_ALL,$DF111,46)&amp;"","")&amp;"␟"&amp;IFERROR(INDEX(PASTE_ALL,$DF111,47)&amp;"","")&amp;"␟"&amp;IFERROR(INDEX(PASTE_ALL,$DF111,48)&amp;"","")&amp;"␟"&amp;IFERROR(INDEX(PASTE_ALL,$DF111,49)&amp;"","")&amp;"␟"&amp;IFERROR(INDEX(PASTE_ALL,$DF111,50)&amp;"","")&amp;"␟"&amp;IFERROR(INDEX(PASTE_ALL,$DF111,51)&amp;"","")&amp;"␟"&amp;IFERROR(INDEX(PASTE_ALL,$DF111,52)&amp;"","")&amp;"␟"&amp;IFERROR(INDEX(PASTE_ALL,$DF111,53)&amp;"","")&amp;"␟"&amp;IFERROR(INDEX(PASTE_ALL,$DF111,54)&amp;"","")&amp;"␟"&amp;IFERROR(INDEX(PASTE_ALL,$DF111,55)&amp;"","")&amp;"␟"&amp;IFERROR(INDEX(PASTE_ALL,$DF111,56)&amp;"","")&amp;"␟"&amp;IFERROR(INDEX(PASTE_ALL,$DF111,57)&amp;"","")&amp;"␟"&amp;IFERROR(INDEX(PASTE_ALL,$DF111,58)&amp;"","")&amp;"␟"&amp;IFERROR(INDEX(PASTE_ALL,$DF111,59)&amp;"","")&amp;"␟"&amp;IFERROR(INDEX(PASTE_ALL,$DF111,60)&amp;"","")," "," "),CHAR(9)," "),CHAR(10)," "),CHAR(13)," "))," ␟","␟"),"␟ ","␟"),"#"&amp;$DE111),"")</f>
        <v/>
      </c>
      <c r="DJ111">
        <f>IF($DI111="",0,IF(SUMPRODUCT(--EXACT($DI$4:DI110,$DI111))&gt;0,1,0))</f>
        <v/>
      </c>
      <c r="DK111">
        <f>IF(AND($DI111&lt;&gt;"",$DJ111=0),1,0)</f>
        <v/>
      </c>
      <c r="DL111">
        <f>DL110+$DK111</f>
        <v/>
      </c>
      <c r="DM111">
        <f>IF(AND($DK111=1,$DL111&lt;=600),1,0)</f>
        <v/>
      </c>
      <c r="DN111">
        <f>IF($DM111=0,"",IF($L$6=0,"",IFERROR(IF(ISNUMBER(INDEX(PASTE_ALL,$DF111,$L$6)),INDEX(PASTE_ALL,$DF111,$L$6),TRIM(SUBSTITUTE(SUBSTITUTE(SUBSTITUTE(SUBSTITUTE(INDEX(PASTE_ALL,$DF111,$L$6)," "," "),CHAR(9)," "),CHAR(10)," "),CHAR(13)," "))),"")))</f>
        <v/>
      </c>
      <c r="DO111">
        <f>IF($DM111=0,"",IF($L$7=0,"",IFERROR(IF(ISNUMBER(INDEX(PASTE_ALL,$DF111,$L$7)),INDEX(PASTE_ALL,$DF111,$L$7),TRIM(SUBSTITUTE(SUBSTITUTE(SUBSTITUTE(SUBSTITUTE(INDEX(PASTE_ALL,$DF111,$L$7)," "," "),CHAR(9)," "),CHAR(10)," "),CHAR(13)," "))),"")))</f>
        <v/>
      </c>
      <c r="DP111">
        <f>IF($DM111=0,"",IF($L$8=0,"",IFERROR(IF(ISNUMBER(INDEX(PASTE_ALL,$DF111,$L$8)),INDEX(PASTE_ALL,$DF111,$L$8),TRIM(SUBSTITUTE(SUBSTITUTE(SUBSTITUTE(SUBSTITUTE(INDEX(PASTE_ALL,$DF111,$L$8)," "," "),CHAR(9)," "),CHAR(10)," "),CHAR(13)," "))),"")))</f>
        <v/>
      </c>
      <c r="DQ111">
        <f>IF($DM111=0,"",IF($L$9=0,"",IFERROR(IF(ISNUMBER(INDEX(PASTE_ALL,$DF111,$L$9)),INDEX(PASTE_ALL,$DF111,$L$9),TRIM(SUBSTITUTE(SUBSTITUTE(SUBSTITUTE(SUBSTITUTE(INDEX(PASTE_ALL,$DF111,$L$9)," "," "),CHAR(9)," "),CHAR(10)," "),CHAR(13)," "))),"")))</f>
        <v/>
      </c>
      <c r="DR111">
        <f>IF($DM111=0,"",IF($L$10=0,"",IFERROR(IF(ISNUMBER(INDEX(PASTE_ALL,$DF111,$L$10)),INDEX(PASTE_ALL,$DF111,$L$10),TRIM(SUBSTITUTE(SUBSTITUTE(SUBSTITUTE(SUBSTITUTE(INDEX(PASTE_ALL,$DF111,$L$10)," "," "),CHAR(9)," "),CHAR(10)," "),CHAR(13)," "))),"")))</f>
        <v/>
      </c>
      <c r="DS111">
        <f>IF($DM111=0,"",IF($L$11=0,"",IFERROR(IF(ISNUMBER(INDEX(PASTE_ALL,$DF111,$L$11)),INDEX(PASTE_ALL,$DF111,$L$11),TRIM(SUBSTITUTE(SUBSTITUTE(SUBSTITUTE(SUBSTITUTE(INDEX(PASTE_ALL,$DF111,$L$11)," "," "),CHAR(9)," "),CHAR(10)," "),CHAR(13)," "))),"")))</f>
        <v/>
      </c>
      <c r="DT111">
        <f>IF($DM111=0,"",IF($L$12=0,"",IFERROR(IF(ISNUMBER(INDEX(PASTE_ALL,$DF111,$L$12)),INDEX(PASTE_ALL,$DF111,$L$12),TRIM(SUBSTITUTE(SUBSTITUTE(SUBSTITUTE(SUBSTITUTE(INDEX(PASTE_ALL,$DF111,$L$12)," "," "),CHAR(9)," "),CHAR(10)," "),CHAR(13)," "))),"")))</f>
        <v/>
      </c>
      <c r="DU111">
        <f>IF($DM111=0,"",IF($L$13=0,"",IFERROR(IF(ISNUMBER(INDEX(PASTE_ALL,$DF111,$L$13)),INDEX(PASTE_ALL,$DF111,$L$13),TRIM(SUBSTITUTE(SUBSTITUTE(SUBSTITUTE(SUBSTITUTE(INDEX(PASTE_ALL,$DF111,$L$13)," "," "),CHAR(9)," "),CHAR(10)," "),CHAR(13)," "))),"")))</f>
        <v/>
      </c>
      <c r="DV111">
        <f>IF($DM111=0,"",IF($L$14=0,"",IFERROR(IF(ISNUMBER(INDEX(PASTE_ALL,$DF111,$L$14)),INDEX(PASTE_ALL,$DF111,$L$14),TRIM(SUBSTITUTE(SUBSTITUTE(SUBSTITUTE(SUBSTITUTE(INDEX(PASTE_ALL,$DF111,$L$14)," "," "),CHAR(9)," "),CHAR(10)," "),CHAR(13)," "))),"")))</f>
        <v/>
      </c>
      <c r="DW111">
        <f>IF($DM111=0,"",IF($L$15=0,"",IFERROR(IF(ISNUMBER(INDEX(PASTE_ALL,$DF111,$L$15)),INDEX(PASTE_ALL,$DF111,$L$15),IF(SUMPRODUCT(--ISNUMBER(FIND({"A","B","C","D","E","F","G","H","I","J","K","L","M","N","O","P","Q","R","S","T","U","V","W","X","Y","Z","0","1","2","3","4","5","6","7","8","9"},UPPER(TRIM(SUBSTITUTE(SUBSTITUTE(SUBSTITUTE(SUBSTITUTE(INDEX(PASTE_ALL,$DF111,$L$15)," "," "),CHAR(9)," "),CHAR(10)," "),CHAR(13)," "))))))&gt;0,TRIM(SUBSTITUTE(SUBSTITUTE(SUBSTITUTE(SUBSTITUTE(INDEX(PASTE_ALL,$DF111,$L$15)," "," "),CHAR(9)," "),CHAR(10)," "),CHAR(13)," ")),"")),"")))</f>
        <v/>
      </c>
      <c r="DX111">
        <f>IF($DM111=0,"",IF($L$16=0,"",IFERROR(IF(ISNUMBER(INDEX(PASTE_ALL,$DF111,$L$16)),INDEX(PASTE_ALL,$DF111,$L$16),SUBSTITUTE(SUBSTITUTE(TRIM(SUBSTITUTE(SUBSTITUTE(SUBSTITUTE(SUBSTITUTE(INDEX(PASTE_ALL,$DF111,$L$16)," "," "),CHAR(9)," "),CHAR(10)," "),CHAR(13)," ")),",",""),"%","")),"")))</f>
        <v/>
      </c>
      <c r="DY111">
        <f>IF($DM111=0,"",IFERROR(IF(ISNUMBER($DX111),$DX111,IF($DX111="","",IF(TRIM($DX111)="",0,IF(AND(AND(SUBSTITUTE(SUBSTITUTE(SUBSTITUTE(SUBSTITUTE(SUBSTITUTE(SUBSTITUTE(SUBSTITUTE(SUBSTITUTE(SUBSTITUTE(SUBSTITUTE(SUBSTITUTE(SUBSTITUTE(SUBSTITUTE(SUBSTITUTE(UPPER(TRIM($DX111)),"0",""),"1",""),"2",""),"3",""),"4",""),"5",""),"6",""),"7",""),"8",""),"9",""),".",""),"+",""),"-",""),"E","")="",LEN(SUBSTITUTE(SUBSTITUTE(MID(UPPER(TRIM($DX111)),1+OR(LEFT(UPPER(TRIM($DX111)),1)="+",LEFT(UPPER(TRIM($DX111)),1)="-"),999),"E+","E"),"E-","E"))=LEN(SUBSTITUTE(SUBSTITUTE(SUBSTITUTE(SUBSTITUTE(MID(UPPER(TRIM($DX111)),1+OR(LEFT(UPPER(TRIM($DX111)),1)="+",LEFT(UPPER(TRIM($DX111)),1)="-"),999),"E+","E"),"E-","E"),"+",""),"-","")),LEN(UPPER(TRIM($DX111)))-LEN(SUBSTITUTE(UPPER(TRIM($DX111)),"E",""))&lt;2,LEN(UPPER(TRIM($DX111)))-LEN(SUBSTITUTE(UPPER(TRIM($DX111)),".",""))&lt;2,IFERROR(FIND(".",UPPER(TRIM($DX111))),0)&lt;IFERROR(FIND("E",UPPER(TRIM($DX111))),999)),ISNUMBER(VALUE(TRIM($DX111)))),VALUE(TRIM($DX111)),"")))),""))</f>
        <v/>
      </c>
      <c r="DZ111">
        <f>IF($DM111=0,"",IF($L$17=0,"",IFERROR(IF(ISNUMBER(INDEX(PASTE_ALL,$DF111,$L$17)),INDEX(PASTE_ALL,$DF111,$L$17),SUBSTITUTE(SUBSTITUTE(TRIM(SUBSTITUTE(SUBSTITUTE(SUBSTITUTE(SUBSTITUTE(INDEX(PASTE_ALL,$DF111,$L$17)," "," "),CHAR(9)," "),CHAR(10)," "),CHAR(13)," ")),",",""),"%","")),"")))</f>
        <v/>
      </c>
      <c r="EA111">
        <f>IF($DM111=0,"",IFERROR(IF(ISNUMBER($DZ111),$DZ111,IF($DZ111="","",IF(TRIM($DZ111)="",0,IF(AND(AND(SUBSTITUTE(SUBSTITUTE(SUBSTITUTE(SUBSTITUTE(SUBSTITUTE(SUBSTITUTE(SUBSTITUTE(SUBSTITUTE(SUBSTITUTE(SUBSTITUTE(SUBSTITUTE(SUBSTITUTE(SUBSTITUTE(SUBSTITUTE(UPPER(TRIM($DZ111)),"0",""),"1",""),"2",""),"3",""),"4",""),"5",""),"6",""),"7",""),"8",""),"9",""),".",""),"+",""),"-",""),"E","")="",LEN(SUBSTITUTE(SUBSTITUTE(MID(UPPER(TRIM($DZ111)),1+OR(LEFT(UPPER(TRIM($DZ111)),1)="+",LEFT(UPPER(TRIM($DZ111)),1)="-"),999),"E+","E"),"E-","E"))=LEN(SUBSTITUTE(SUBSTITUTE(SUBSTITUTE(SUBSTITUTE(MID(UPPER(TRIM($DZ111)),1+OR(LEFT(UPPER(TRIM($DZ111)),1)="+",LEFT(UPPER(TRIM($DZ111)),1)="-"),999),"E+","E"),"E-","E"),"+",""),"-","")),LEN(UPPER(TRIM($DZ111)))-LEN(SUBSTITUTE(UPPER(TRIM($DZ111)),"E",""))&lt;2,LEN(UPPER(TRIM($DZ111)))-LEN(SUBSTITUTE(UPPER(TRIM($DZ111)),".",""))&lt;2,IFERROR(FIND(".",UPPER(TRIM($DZ111))),0)&lt;IFERROR(FIND("E",UPPER(TRIM($DZ111))),999)),ISNUMBER(VALUE(TRIM($DZ111)))),VALUE(TRIM($DZ111)),"")))),""))</f>
        <v/>
      </c>
      <c r="EB111">
        <f>IF($DM111=0,"",IF($L$18=0,"",IFERROR(IF(UPPER(TRIM(SUBSTITUTE(SUBSTITUTE(SUBSTITUTE(SUBSTITUTE(INDEX(PASTE_ALL,$DF111,$L$18)," "," "),CHAR(9)," "),CHAR(10)," "),CHAR(13)," ")))="READY","Ready",IF(UPPER(TRIM(SUBSTITUTE(SUBSTITUTE(SUBSTITUTE(SUBSTITUTE(INDEX(PASTE_ALL,$DF111,$L$18)," "," "),CHAR(9)," "),CHAR(10)," "),CHAR(13)," ")))="PM","PM",IF(OR(UPPER(TRIM(SUBSTITUTE(SUBSTITUTE(SUBSTITUTE(SUBSTITUTE(INDEX(PASTE_ALL,$DF111,$L$18)," "," "),CHAR(9)," "),CHAR(10)," "),CHAR(13)," ")))="OT",UPPER(TRIM(SUBSTITUTE(SUBSTITUTE(SUBSTITUTE(SUBSTITUTE(INDEX(PASTE_ALL,$DF111,$L$18)," "," "),CHAR(9)," "),CHAR(10)," "),CHAR(13)," ")))="OVERTIME",UPPER(TRIM(SUBSTITUTE(SUBSTITUTE(SUBSTITUTE(SUBSTITUTE(INDEX(PASTE_ALL,$DF111,$L$18)," "," "),CHAR(9)," "),CHAR(10)," "),CHAR(13)," ")))="TRIAL"),"OT",TRIM(SUBSTITUTE(SUBSTITUTE(SUBSTITUTE(SUBSTITUTE(INDEX(PASTE_ALL,$DF111,$L$18)," "," "),CHAR(9)," "),CHAR(10)," "),CHAR(13)," "))))),"")))</f>
        <v/>
      </c>
      <c r="EC111">
        <f>IF($DM111=0,"",IF($L$19=0,"",IFERROR(IF(ISNUMBER(INDEX(PASTE_ALL,$DF111,$L$19)),INDEX(PASTE_ALL,$DF111,$L$19),TRIM(SUBSTITUTE(SUBSTITUTE(SUBSTITUTE(SUBSTITUTE(INDEX(PASTE_ALL,$DF111,$L$19)," "," "),CHAR(9)," "),CHAR(10)," "),CHAR(13)," "))),"")))</f>
        <v/>
      </c>
      <c r="ED111">
        <f>IF($DM111=0,"",MATCH(1,INDEX(EXACT($DH$5:DH111,$DH111)*$DM$5:DM111,0),0))</f>
        <v/>
      </c>
      <c r="EE111">
        <f>IF($DM111=0,0,IF($ED111=$DE111,1,0))</f>
        <v/>
      </c>
      <c r="EF111">
        <f>EF110+$EE111</f>
        <v/>
      </c>
      <c r="EG111">
        <f>IF($DM111=0,"",INDEX($EF$5:$EF$1003,$ED111))</f>
        <v/>
      </c>
      <c r="EH111">
        <f>IF($DM111=0,"",IF($DO111&lt;&gt;"","",IFERROR(LOOKUP(2,1/(($EG$4:EG110=$EG111)*($DO$4:DO110&lt;&gt;"")),$DO$4:DO110),"")))</f>
        <v/>
      </c>
      <c r="EI111">
        <f>IF($DM111=0,"",IF($DO111&lt;&gt;"",$DO111,$EH111))</f>
        <v/>
      </c>
      <c r="EJ111">
        <f>IF($DM111=0,"",IF($EI111="",0,IF(OR(ISNUMBER($EI111),AND(AND(SUBSTITUTE(SUBSTITUTE(SUBSTITUTE(SUBSTITUTE(SUBSTITUTE(SUBSTITUTE(SUBSTITUTE(SUBSTITUTE(SUBSTITUTE(SUBSTITUTE(SUBSTITUTE(SUBSTITUTE(SUBSTITUTE(SUBSTITUTE(UPPER($EI111),"0",""),"1",""),"2",""),"3",""),"4",""),"5",""),"6",""),"7",""),"8",""),"9",""),".",""),"+",""),"-",""),"E","")="",LEN(SUBSTITUTE(SUBSTITUTE(MID(UPPER($EI111),1+OR(LEFT(UPPER($EI111),1)="+",LEFT(UPPER($EI111),1)="-"),999),"E+","E"),"E-","E"))=LEN(SUBSTITUTE(SUBSTITUTE(SUBSTITUTE(SUBSTITUTE(MID(UPPER($EI111),1+OR(LEFT(UPPER($EI111),1)="+",LEFT(UPPER($EI111),1)="-"),999),"E+","E"),"E-","E"),"+",""),"-","")),LEN(UPPER($EI111))-LEN(SUBSTITUTE(UPPER($EI111),"E",""))&lt;2,LEN(UPPER($EI111))-LEN(SUBSTITUTE(UPPER($EI111),".",""))&lt;2,IFERROR(FIND(".",UPPER($EI111)),0)&lt;IFERROR(FIND("E",UPPER($EI111)),999)),ISNUMBER(VALUE($EI111)))),1,2)))</f>
        <v/>
      </c>
      <c r="EK111">
        <f>IF($DM111=0,"",IF($EJ111=1,IF(ISNUMBER($EI111),$EI111,VALUE($EI111)),IF($EJ111=2,$DE111,0)))</f>
        <v/>
      </c>
      <c r="EL111">
        <f>IF($DM111=0,"",COUNTIF($EG$5:$EG$1003,"&lt;"&amp;$EG111)+SUMPRODUCT(($EG$5:$EG$1003=$EG111)*(($EJ$5:$EJ$1003&lt;$EJ111)+($EJ$5:$EJ$1003=$EJ111)*(($EK$5:$EK$1003&lt;$EK111)+($EK$5:$EK$1003=$EK111)*($DE$5:$DE$1003&lt;$DE111))))+1)</f>
        <v/>
      </c>
      <c r="EM111">
        <f>IF($DM111=0,"",$EL111+$EG111-1)</f>
        <v/>
      </c>
      <c r="EN111">
        <f>IF($DM111=0,0,IFERROR(MATCH(1,INDEX(--(TRIM(SUBSTITUTE(SUBSTITUTE(SUBSTITUTE(SUBSTITUTE(LINES_NAME&amp;""," "," "),CHAR(9)," "),CHAR(10)," "),CHAR(13)," "))=$DH111),0),0),0))</f>
        <v/>
      </c>
      <c r="EO111">
        <f>IF($EN111=0,0,IF(OR(UPPER(TRIM(INDEX(LINES_SCHEDULED,$EN111)&amp;""))="YES",UPPER(TRIM(INDEX(LINES_SCHEDULED,$EN111)&amp;""))="Y",UPPER(TRIM(INDEX(LINES_SCHEDULED,$EN111)&amp;""))="X"),1,0))</f>
        <v/>
      </c>
      <c r="EP111">
        <f>IF($DM111=0,"",IF(COUNTIFS($EG$5:$EG$1003,$EG111,$EB$5:$EB$1003,"Ready")&gt;0,"READY",IF(COUNTIFS($EG$5:$EG$1003,$EG111,$EB$5:$EB$1003,"PM")&gt;0,"PM",IF(COUNTIFS($EG$5:$EG$1003,$EG111,$EB$5:$EB$1003,"OT")&gt;0,"OT",""))))</f>
        <v/>
      </c>
      <c r="EQ111">
        <f>IF($EN111=0,"",UPPER(TRIM(INDEX(LINES_STATUS,$EN111)&amp;"")))</f>
        <v/>
      </c>
      <c r="ER111">
        <f>IF($DM111=0,"",IF(OR($EQ111="READY",$EQ111="PM",$EQ111="OT"),$EQ111,$EP111))</f>
        <v/>
      </c>
      <c r="ES111">
        <f>IF($DM111=0,"",IF(AND($DV111&lt;&gt;"",UPPER($DV111)&lt;&gt;"N"),"allergen",IF(ISNUMBER(SEARCH("oil",$DQ111)),"oil",IF(OR(EXACT($DS111,"A662"),EXACT($DS111,"A624")),"bulk",""))))</f>
        <v/>
      </c>
      <c r="ET111">
        <f>IF($DM111=0,"",IF(OR($EA111="",$EA111=0),"",$EA111/100))</f>
        <v/>
      </c>
      <c r="EU111">
        <f>IF(OR($ET111="",$DY111=""),"",INT($DY111*(1-$ET111)+0.5))</f>
        <v/>
      </c>
      <c r="EW111" t="n">
        <v>107</v>
      </c>
      <c r="EX111">
        <f>IFERROR(MATCH($EW111,$EM$5:$EM$1003,0),0)</f>
        <v/>
      </c>
      <c r="EY111">
        <f>IF($EW111&gt;$B$12,"",IF($EX111&gt;0,"row","spacer"))</f>
        <v/>
      </c>
      <c r="EZ111">
        <f>IF(AND($EY111="row",$EY110&lt;&gt;"row"),1,0)</f>
        <v/>
      </c>
      <c r="FA111">
        <f>IF(AND($EY111="row",$EY112&lt;&gt;"row"),1,0)</f>
        <v/>
      </c>
      <c r="FB111">
        <f>IF($EZ111=1,IFERROR(IF(ISNUMBER(INDEX(PASTE_ALL,INDEX($DF$5:$DF$1003,$EX111),$B$37)),INDEX(PASTE_ALL,INDEX($DF$5:$DF$1003,$EX111),$B$37),INDEX($DH$5:$DH$1003,$EX111)),INDEX($DH$5:$DH$1003,$EX111)),"")</f>
        <v/>
      </c>
      <c r="FC111">
        <f>IF($EY111="row",INDEX($ER$5:$ER$1003,$EX111),"")</f>
        <v/>
      </c>
      <c r="FD111">
        <f>IF($EY111="row",INDEX($DN$5:$DN$1003,$EX111),"")</f>
        <v/>
      </c>
      <c r="FE111">
        <f>IF($EY111="row",INDEX($DO$5:$DO$1003,$EX111),"")</f>
        <v/>
      </c>
      <c r="FF111">
        <f>IF($EY111="row",INDEX($DP$5:$DP$1003,$EX111),"")</f>
        <v/>
      </c>
      <c r="FG111">
        <f>IF($EY111="row",INDEX($DQ$5:$DQ$1003,$EX111),"")</f>
        <v/>
      </c>
      <c r="FH111">
        <f>IF($EY111="row",INDEX($DR$5:$DR$1003,$EX111),"")</f>
        <v/>
      </c>
      <c r="FI111">
        <f>IF($EY111="row",INDEX($DS$5:$DS$1003,$EX111),"")</f>
        <v/>
      </c>
      <c r="FJ111">
        <f>IF($EY111="row",INDEX($DT$5:$DT$1003,$EX111),"")</f>
        <v/>
      </c>
      <c r="FK111">
        <f>IF($EY111="row",INDEX($DU$5:$DU$1003,$EX111),"")</f>
        <v/>
      </c>
      <c r="FL111">
        <f>IF($EY111="row",INDEX($DV$5:$DV$1003,$EX111),"")</f>
        <v/>
      </c>
      <c r="FM111">
        <f>IF($EY111="row",INDEX($DW$5:$DW$1003,$EX111),"")</f>
        <v/>
      </c>
      <c r="FN111">
        <f>IF($EY111="row",INDEX($DY$5:$DY$1003,$EX111),"")</f>
        <v/>
      </c>
      <c r="FO111">
        <f>IF($EY111="row",INDEX($EA$5:$EA$1003,$EX111),"")</f>
        <v/>
      </c>
      <c r="FP111">
        <f>IF($EY111="row",INDEX($EC$5:$EC$1003,$EX111),"")</f>
        <v/>
      </c>
      <c r="FQ111">
        <f>IF($EY111="row",INDEX($ET$5:$ET$1003,$EX111),"")</f>
        <v/>
      </c>
      <c r="FR111">
        <f>IF($EY111="row",INDEX($EU$5:$EU$1003,$EX111),"")</f>
        <v/>
      </c>
      <c r="FS111">
        <f>IF(AND($EY111="row",$EY110="row"),IF(OR(INDEX($DT$5:$DT$1003,$EX110)="",INDEX($DT$5:$DT$1003,$EX111)=""),"",IF(NOT(EXACT(INDEX($DT$5:$DT$1003,$EX110),INDEX($DT$5:$DT$1003,$EX111))),"S4",IF(NOT(EXACT(INDEX($DS$5:$DS$1003,$EX110),INDEX($DS$5:$DS$1003,$EX111))),"S3",IF(NOT(EXACT(INDEX($DR$5:$DR$1003,$EX110),INDEX($DR$5:$DR$1003,$EX111))),"S1 Count Change","S1")))),"")</f>
        <v/>
      </c>
      <c r="FT111">
        <f>IF($EY111="row",INDEX($ES$5:$ES$1003,$EX111),"")</f>
        <v/>
      </c>
      <c r="FU111">
        <f>IF($EY111="row",INDEX($EO$5:$EO$1003,$EX111),0)</f>
        <v/>
      </c>
      <c r="FV111">
        <f>IF($FS111="S1 Count Change",1,0)</f>
        <v/>
      </c>
    </row>
    <row r="112">
      <c r="Y112">
        <f>IF(Y22="",0,IFERROR(INDEX($W$5:$W$86,MATCH(Y22,$V$5:$V$86,0)),0))</f>
        <v/>
      </c>
      <c r="Z112">
        <f>IF(Z22="",0,IFERROR(INDEX($W$5:$W$86,MATCH(Z22,$V$5:$V$86,0)),0))</f>
        <v/>
      </c>
      <c r="AA112">
        <f>IF(AA22="",0,IFERROR(INDEX($W$5:$W$86,MATCH(AA22,$V$5:$V$86,0)),0))</f>
        <v/>
      </c>
      <c r="AB112">
        <f>IF(AB22="",0,IFERROR(INDEX($W$5:$W$86,MATCH(AB22,$V$5:$V$86,0)),0))</f>
        <v/>
      </c>
      <c r="AC112">
        <f>IF(AC22="",0,IFERROR(INDEX($W$5:$W$86,MATCH(AC22,$V$5:$V$86,0)),0))</f>
        <v/>
      </c>
      <c r="AD112">
        <f>IF(AD22="",0,IFERROR(INDEX($W$5:$W$86,MATCH(AD22,$V$5:$V$86,0)),0))</f>
        <v/>
      </c>
      <c r="AE112">
        <f>IF(AE22="",0,IFERROR(INDEX($W$5:$W$86,MATCH(AE22,$V$5:$V$86,0)),0))</f>
        <v/>
      </c>
      <c r="AF112">
        <f>IF(AF22="",0,IFERROR(INDEX($W$5:$W$86,MATCH(AF22,$V$5:$V$86,0)),0))</f>
        <v/>
      </c>
      <c r="AG112">
        <f>IF(AG22="",0,IFERROR(INDEX($W$5:$W$86,MATCH(AG22,$V$5:$V$86,0)),0))</f>
        <v/>
      </c>
      <c r="AH112">
        <f>IF(AH22="",0,IFERROR(INDEX($W$5:$W$86,MATCH(AH22,$V$5:$V$86,0)),0))</f>
        <v/>
      </c>
      <c r="AI112">
        <f>IF(AI22="",0,IFERROR(INDEX($W$5:$W$86,MATCH(AI22,$V$5:$V$86,0)),0))</f>
        <v/>
      </c>
      <c r="AJ112">
        <f>IF(AJ22="",0,IFERROR(INDEX($W$5:$W$86,MATCH(AJ22,$V$5:$V$86,0)),0))</f>
        <v/>
      </c>
      <c r="AK112">
        <f>IF(AK22="",0,IFERROR(INDEX($W$5:$W$86,MATCH(AK22,$V$5:$V$86,0)),0))</f>
        <v/>
      </c>
      <c r="AL112">
        <f>IF(AL22="",0,IFERROR(INDEX($W$5:$W$86,MATCH(AL22,$V$5:$V$86,0)),0))</f>
        <v/>
      </c>
      <c r="AM112">
        <f>IF(AM22="",0,IFERROR(INDEX($W$5:$W$86,MATCH(AM22,$V$5:$V$86,0)),0))</f>
        <v/>
      </c>
      <c r="AN112">
        <f>IF(AN22="",0,IFERROR(INDEX($W$5:$W$86,MATCH(AN22,$V$5:$V$86,0)),0))</f>
        <v/>
      </c>
      <c r="AO112">
        <f>IF(AO22="",0,IFERROR(INDEX($W$5:$W$86,MATCH(AO22,$V$5:$V$86,0)),0))</f>
        <v/>
      </c>
      <c r="AP112">
        <f>IF(AP22="",0,IFERROR(INDEX($W$5:$W$86,MATCH(AP22,$V$5:$V$86,0)),0))</f>
        <v/>
      </c>
      <c r="AQ112">
        <f>IF(AQ22="",0,IFERROR(INDEX($W$5:$W$86,MATCH(AQ22,$V$5:$V$86,0)),0))</f>
        <v/>
      </c>
      <c r="AR112">
        <f>IF(AR22="",0,IFERROR(INDEX($W$5:$W$86,MATCH(AR22,$V$5:$V$86,0)),0))</f>
        <v/>
      </c>
      <c r="AS112">
        <f>IF(AS22="",0,IFERROR(INDEX($W$5:$W$86,MATCH(AS22,$V$5:$V$86,0)),0))</f>
        <v/>
      </c>
      <c r="AT112">
        <f>IF(AT22="",0,IFERROR(INDEX($W$5:$W$86,MATCH(AT22,$V$5:$V$86,0)),0))</f>
        <v/>
      </c>
      <c r="AU112">
        <f>IF(AU22="",0,IFERROR(INDEX($W$5:$W$86,MATCH(AU22,$V$5:$V$86,0)),0))</f>
        <v/>
      </c>
      <c r="AV112">
        <f>IF(AV22="",0,IFERROR(INDEX($W$5:$W$86,MATCH(AV22,$V$5:$V$86,0)),0))</f>
        <v/>
      </c>
      <c r="AW112">
        <f>IF(AW22="",0,IFERROR(INDEX($W$5:$W$86,MATCH(AW22,$V$5:$V$86,0)),0))</f>
        <v/>
      </c>
      <c r="AX112">
        <f>IF(AX22="",0,IFERROR(INDEX($W$5:$W$86,MATCH(AX22,$V$5:$V$86,0)),0))</f>
        <v/>
      </c>
      <c r="AY112">
        <f>IF(AY22="",0,IFERROR(INDEX($W$5:$W$86,MATCH(AY22,$V$5:$V$86,0)),0))</f>
        <v/>
      </c>
      <c r="AZ112">
        <f>IF(AZ22="",0,IFERROR(INDEX($W$5:$W$86,MATCH(AZ22,$V$5:$V$86,0)),0))</f>
        <v/>
      </c>
      <c r="BA112">
        <f>IF(BA22="",0,IFERROR(INDEX($W$5:$W$86,MATCH(BA22,$V$5:$V$86,0)),0))</f>
        <v/>
      </c>
      <c r="BB112">
        <f>IF(BB22="",0,IFERROR(INDEX($W$5:$W$86,MATCH(BB22,$V$5:$V$86,0)),0))</f>
        <v/>
      </c>
      <c r="BC112">
        <f>IF(BC22="",0,IFERROR(INDEX($W$5:$W$86,MATCH(BC22,$V$5:$V$86,0)),0))</f>
        <v/>
      </c>
      <c r="BD112">
        <f>IF(BD22="",0,IFERROR(INDEX($W$5:$W$86,MATCH(BD22,$V$5:$V$86,0)),0))</f>
        <v/>
      </c>
      <c r="BE112">
        <f>IF(BE22="",0,IFERROR(INDEX($W$5:$W$86,MATCH(BE22,$V$5:$V$86,0)),0))</f>
        <v/>
      </c>
      <c r="BF112">
        <f>IF(BF22="",0,IFERROR(INDEX($W$5:$W$86,MATCH(BF22,$V$5:$V$86,0)),0))</f>
        <v/>
      </c>
      <c r="BG112">
        <f>IF(BG22="",0,IFERROR(INDEX($W$5:$W$86,MATCH(BG22,$V$5:$V$86,0)),0))</f>
        <v/>
      </c>
      <c r="BH112">
        <f>IF(BH22="",0,IFERROR(INDEX($W$5:$W$86,MATCH(BH22,$V$5:$V$86,0)),0))</f>
        <v/>
      </c>
      <c r="BI112">
        <f>IF(BI22="",0,IFERROR(INDEX($W$5:$W$86,MATCH(BI22,$V$5:$V$86,0)),0))</f>
        <v/>
      </c>
      <c r="BJ112">
        <f>IF(BJ22="",0,IFERROR(INDEX($W$5:$W$86,MATCH(BJ22,$V$5:$V$86,0)),0))</f>
        <v/>
      </c>
      <c r="BK112">
        <f>IF(BK22="",0,IFERROR(INDEX($W$5:$W$86,MATCH(BK22,$V$5:$V$86,0)),0))</f>
        <v/>
      </c>
      <c r="BL112">
        <f>IF(BL22="",0,IFERROR(INDEX($W$5:$W$86,MATCH(BL22,$V$5:$V$86,0)),0))</f>
        <v/>
      </c>
      <c r="BM112">
        <f>IF(BM22="",0,IFERROR(INDEX($W$5:$W$86,MATCH(BM22,$V$5:$V$86,0)),0))</f>
        <v/>
      </c>
      <c r="BN112">
        <f>IF(BN22="",0,IFERROR(INDEX($W$5:$W$86,MATCH(BN22,$V$5:$V$86,0)),0))</f>
        <v/>
      </c>
      <c r="BO112">
        <f>IF(BO22="",0,IFERROR(INDEX($W$5:$W$86,MATCH(BO22,$V$5:$V$86,0)),0))</f>
        <v/>
      </c>
      <c r="BP112">
        <f>IF(BP22="",0,IFERROR(INDEX($W$5:$W$86,MATCH(BP22,$V$5:$V$86,0)),0))</f>
        <v/>
      </c>
      <c r="BQ112">
        <f>IF(BQ22="",0,IFERROR(INDEX($W$5:$W$86,MATCH(BQ22,$V$5:$V$86,0)),0))</f>
        <v/>
      </c>
      <c r="BR112">
        <f>IF(BR22="",0,IFERROR(INDEX($W$5:$W$86,MATCH(BR22,$V$5:$V$86,0)),0))</f>
        <v/>
      </c>
      <c r="BS112">
        <f>IF(BS22="",0,IFERROR(INDEX($W$5:$W$86,MATCH(BS22,$V$5:$V$86,0)),0))</f>
        <v/>
      </c>
      <c r="BT112">
        <f>IF(BT22="",0,IFERROR(INDEX($W$5:$W$86,MATCH(BT22,$V$5:$V$86,0)),0))</f>
        <v/>
      </c>
      <c r="BU112">
        <f>IF(BU22="",0,IFERROR(INDEX($W$5:$W$86,MATCH(BU22,$V$5:$V$86,0)),0))</f>
        <v/>
      </c>
      <c r="BV112">
        <f>IF(BV22="",0,IFERROR(INDEX($W$5:$W$86,MATCH(BV22,$V$5:$V$86,0)),0))</f>
        <v/>
      </c>
      <c r="BW112">
        <f>IF(BW22="",0,IFERROR(INDEX($W$5:$W$86,MATCH(BW22,$V$5:$V$86,0)),0))</f>
        <v/>
      </c>
      <c r="BX112">
        <f>IF(BX22="",0,IFERROR(INDEX($W$5:$W$86,MATCH(BX22,$V$5:$V$86,0)),0))</f>
        <v/>
      </c>
      <c r="BY112">
        <f>IF(BY22="",0,IFERROR(INDEX($W$5:$W$86,MATCH(BY22,$V$5:$V$86,0)),0))</f>
        <v/>
      </c>
      <c r="BZ112">
        <f>IF(BZ22="",0,IFERROR(INDEX($W$5:$W$86,MATCH(BZ22,$V$5:$V$86,0)),0))</f>
        <v/>
      </c>
      <c r="CA112">
        <f>IF(CA22="",0,IFERROR(INDEX($W$5:$W$86,MATCH(CA22,$V$5:$V$86,0)),0))</f>
        <v/>
      </c>
      <c r="CB112">
        <f>IF(CB22="",0,IFERROR(INDEX($W$5:$W$86,MATCH(CB22,$V$5:$V$86,0)),0))</f>
        <v/>
      </c>
      <c r="CC112">
        <f>IF(CC22="",0,IFERROR(INDEX($W$5:$W$86,MATCH(CC22,$V$5:$V$86,0)),0))</f>
        <v/>
      </c>
      <c r="CD112">
        <f>IF(CD22="",0,IFERROR(INDEX($W$5:$W$86,MATCH(CD22,$V$5:$V$86,0)),0))</f>
        <v/>
      </c>
      <c r="CE112">
        <f>IF(CE22="",0,IFERROR(INDEX($W$5:$W$86,MATCH(CE22,$V$5:$V$86,0)),0))</f>
        <v/>
      </c>
      <c r="CF112">
        <f>IF(CF22="",0,IFERROR(INDEX($W$5:$W$86,MATCH(CF22,$V$5:$V$86,0)),0))</f>
        <v/>
      </c>
      <c r="DA112" t="n">
        <v>108</v>
      </c>
      <c r="DB112">
        <f>IF($B$37=0,"",IFERROR(TRIM(SUBSTITUTE(SUBSTITUTE(SUBSTITUTE(SUBSTITUTE(INDEX(PASTE_ALL,108,$B$37)," "," "),CHAR(9)," "),CHAR(10)," "),CHAR(13)," ")),""))</f>
        <v/>
      </c>
      <c r="DC112">
        <f>IF(AND(108&gt;HEADER_ROW,UPPER(DB112)="LEGEND"),1,0)</f>
        <v/>
      </c>
      <c r="DE112" t="n">
        <v>108</v>
      </c>
      <c r="DF112">
        <f>HEADER_ROW+$DE112</f>
        <v/>
      </c>
      <c r="DG112">
        <f>IF(AND($DF112&lt;=1000,$DF112&lt;$B$8),1,0)</f>
        <v/>
      </c>
      <c r="DH112">
        <f>IF($DG112=1,IFERROR(INDEX($DB$5:$DB$1004,$DF112),""),"")</f>
        <v/>
      </c>
      <c r="DI112">
        <f>IF(AND($DG112=1,$DH112&lt;&gt;""),IFERROR(SUBSTITUTE(SUBSTITUTE(TRIM(SUBSTITUTE(SUBSTITUTE(SUBSTITUTE(SUBSTITUTE(IFERROR(INDEX(PASTE_ALL,$DF112,1)&amp;"","")&amp;"␟"&amp;IFERROR(INDEX(PASTE_ALL,$DF112,2)&amp;"","")&amp;"␟"&amp;IFERROR(INDEX(PASTE_ALL,$DF112,3)&amp;"","")&amp;"␟"&amp;IFERROR(INDEX(PASTE_ALL,$DF112,4)&amp;"","")&amp;"␟"&amp;IFERROR(INDEX(PASTE_ALL,$DF112,5)&amp;"","")&amp;"␟"&amp;IFERROR(INDEX(PASTE_ALL,$DF112,6)&amp;"","")&amp;"␟"&amp;IFERROR(INDEX(PASTE_ALL,$DF112,7)&amp;"","")&amp;"␟"&amp;IFERROR(INDEX(PASTE_ALL,$DF112,8)&amp;"","")&amp;"␟"&amp;IFERROR(INDEX(PASTE_ALL,$DF112,9)&amp;"","")&amp;"␟"&amp;IFERROR(INDEX(PASTE_ALL,$DF112,10)&amp;"","")&amp;"␟"&amp;IFERROR(INDEX(PASTE_ALL,$DF112,11)&amp;"","")&amp;"␟"&amp;IFERROR(INDEX(PASTE_ALL,$DF112,12)&amp;"","")&amp;"␟"&amp;IFERROR(INDEX(PASTE_ALL,$DF112,13)&amp;"","")&amp;"␟"&amp;IFERROR(INDEX(PASTE_ALL,$DF112,14)&amp;"","")&amp;"␟"&amp;IFERROR(INDEX(PASTE_ALL,$DF112,15)&amp;"","")&amp;"␟"&amp;IFERROR(INDEX(PASTE_ALL,$DF112,16)&amp;"","")&amp;"␟"&amp;IFERROR(INDEX(PASTE_ALL,$DF112,17)&amp;"","")&amp;"␟"&amp;IFERROR(INDEX(PASTE_ALL,$DF112,18)&amp;"","")&amp;"␟"&amp;IFERROR(INDEX(PASTE_ALL,$DF112,19)&amp;"","")&amp;"␟"&amp;IFERROR(INDEX(PASTE_ALL,$DF112,20)&amp;"","")&amp;"␟"&amp;IFERROR(INDEX(PASTE_ALL,$DF112,21)&amp;"","")&amp;"␟"&amp;IFERROR(INDEX(PASTE_ALL,$DF112,22)&amp;"","")&amp;"␟"&amp;IFERROR(INDEX(PASTE_ALL,$DF112,23)&amp;"","")&amp;"␟"&amp;IFERROR(INDEX(PASTE_ALL,$DF112,24)&amp;"","")&amp;"␟"&amp;IFERROR(INDEX(PASTE_ALL,$DF112,25)&amp;"","")&amp;"␟"&amp;IFERROR(INDEX(PASTE_ALL,$DF112,26)&amp;"","")&amp;"␟"&amp;IFERROR(INDEX(PASTE_ALL,$DF112,27)&amp;"","")&amp;"␟"&amp;IFERROR(INDEX(PASTE_ALL,$DF112,28)&amp;"","")&amp;"␟"&amp;IFERROR(INDEX(PASTE_ALL,$DF112,29)&amp;"","")&amp;"␟"&amp;IFERROR(INDEX(PASTE_ALL,$DF112,30)&amp;"","")&amp;"␟"&amp;IFERROR(INDEX(PASTE_ALL,$DF112,31)&amp;"","")&amp;"␟"&amp;IFERROR(INDEX(PASTE_ALL,$DF112,32)&amp;"","")&amp;"␟"&amp;IFERROR(INDEX(PASTE_ALL,$DF112,33)&amp;"","")&amp;"␟"&amp;IFERROR(INDEX(PASTE_ALL,$DF112,34)&amp;"","")&amp;"␟"&amp;IFERROR(INDEX(PASTE_ALL,$DF112,35)&amp;"","")&amp;"␟"&amp;IFERROR(INDEX(PASTE_ALL,$DF112,36)&amp;"","")&amp;"␟"&amp;IFERROR(INDEX(PASTE_ALL,$DF112,37)&amp;"","")&amp;"␟"&amp;IFERROR(INDEX(PASTE_ALL,$DF112,38)&amp;"","")&amp;"␟"&amp;IFERROR(INDEX(PASTE_ALL,$DF112,39)&amp;"","")&amp;"␟"&amp;IFERROR(INDEX(PASTE_ALL,$DF112,40)&amp;"","")&amp;"␟"&amp;IFERROR(INDEX(PASTE_ALL,$DF112,41)&amp;"","")&amp;"␟"&amp;IFERROR(INDEX(PASTE_ALL,$DF112,42)&amp;"","")&amp;"␟"&amp;IFERROR(INDEX(PASTE_ALL,$DF112,43)&amp;"","")&amp;"␟"&amp;IFERROR(INDEX(PASTE_ALL,$DF112,44)&amp;"","")&amp;"␟"&amp;IFERROR(INDEX(PASTE_ALL,$DF112,45)&amp;"","")&amp;"␟"&amp;IFERROR(INDEX(PASTE_ALL,$DF112,46)&amp;"","")&amp;"␟"&amp;IFERROR(INDEX(PASTE_ALL,$DF112,47)&amp;"","")&amp;"␟"&amp;IFERROR(INDEX(PASTE_ALL,$DF112,48)&amp;"","")&amp;"␟"&amp;IFERROR(INDEX(PASTE_ALL,$DF112,49)&amp;"","")&amp;"␟"&amp;IFERROR(INDEX(PASTE_ALL,$DF112,50)&amp;"","")&amp;"␟"&amp;IFERROR(INDEX(PASTE_ALL,$DF112,51)&amp;"","")&amp;"␟"&amp;IFERROR(INDEX(PASTE_ALL,$DF112,52)&amp;"","")&amp;"␟"&amp;IFERROR(INDEX(PASTE_ALL,$DF112,53)&amp;"","")&amp;"␟"&amp;IFERROR(INDEX(PASTE_ALL,$DF112,54)&amp;"","")&amp;"␟"&amp;IFERROR(INDEX(PASTE_ALL,$DF112,55)&amp;"","")&amp;"␟"&amp;IFERROR(INDEX(PASTE_ALL,$DF112,56)&amp;"","")&amp;"␟"&amp;IFERROR(INDEX(PASTE_ALL,$DF112,57)&amp;"","")&amp;"␟"&amp;IFERROR(INDEX(PASTE_ALL,$DF112,58)&amp;"","")&amp;"␟"&amp;IFERROR(INDEX(PASTE_ALL,$DF112,59)&amp;"","")&amp;"␟"&amp;IFERROR(INDEX(PASTE_ALL,$DF112,60)&amp;"","")," "," "),CHAR(9)," "),CHAR(10)," "),CHAR(13)," "))," ␟","␟"),"␟ ","␟"),"#"&amp;$DE112),"")</f>
        <v/>
      </c>
      <c r="DJ112">
        <f>IF($DI112="",0,IF(SUMPRODUCT(--EXACT($DI$4:DI111,$DI112))&gt;0,1,0))</f>
        <v/>
      </c>
      <c r="DK112">
        <f>IF(AND($DI112&lt;&gt;"",$DJ112=0),1,0)</f>
        <v/>
      </c>
      <c r="DL112">
        <f>DL111+$DK112</f>
        <v/>
      </c>
      <c r="DM112">
        <f>IF(AND($DK112=1,$DL112&lt;=600),1,0)</f>
        <v/>
      </c>
      <c r="DN112">
        <f>IF($DM112=0,"",IF($L$6=0,"",IFERROR(IF(ISNUMBER(INDEX(PASTE_ALL,$DF112,$L$6)),INDEX(PASTE_ALL,$DF112,$L$6),TRIM(SUBSTITUTE(SUBSTITUTE(SUBSTITUTE(SUBSTITUTE(INDEX(PASTE_ALL,$DF112,$L$6)," "," "),CHAR(9)," "),CHAR(10)," "),CHAR(13)," "))),"")))</f>
        <v/>
      </c>
      <c r="DO112">
        <f>IF($DM112=0,"",IF($L$7=0,"",IFERROR(IF(ISNUMBER(INDEX(PASTE_ALL,$DF112,$L$7)),INDEX(PASTE_ALL,$DF112,$L$7),TRIM(SUBSTITUTE(SUBSTITUTE(SUBSTITUTE(SUBSTITUTE(INDEX(PASTE_ALL,$DF112,$L$7)," "," "),CHAR(9)," "),CHAR(10)," "),CHAR(13)," "))),"")))</f>
        <v/>
      </c>
      <c r="DP112">
        <f>IF($DM112=0,"",IF($L$8=0,"",IFERROR(IF(ISNUMBER(INDEX(PASTE_ALL,$DF112,$L$8)),INDEX(PASTE_ALL,$DF112,$L$8),TRIM(SUBSTITUTE(SUBSTITUTE(SUBSTITUTE(SUBSTITUTE(INDEX(PASTE_ALL,$DF112,$L$8)," "," "),CHAR(9)," "),CHAR(10)," "),CHAR(13)," "))),"")))</f>
        <v/>
      </c>
      <c r="DQ112">
        <f>IF($DM112=0,"",IF($L$9=0,"",IFERROR(IF(ISNUMBER(INDEX(PASTE_ALL,$DF112,$L$9)),INDEX(PASTE_ALL,$DF112,$L$9),TRIM(SUBSTITUTE(SUBSTITUTE(SUBSTITUTE(SUBSTITUTE(INDEX(PASTE_ALL,$DF112,$L$9)," "," "),CHAR(9)," "),CHAR(10)," "),CHAR(13)," "))),"")))</f>
        <v/>
      </c>
      <c r="DR112">
        <f>IF($DM112=0,"",IF($L$10=0,"",IFERROR(IF(ISNUMBER(INDEX(PASTE_ALL,$DF112,$L$10)),INDEX(PASTE_ALL,$DF112,$L$10),TRIM(SUBSTITUTE(SUBSTITUTE(SUBSTITUTE(SUBSTITUTE(INDEX(PASTE_ALL,$DF112,$L$10)," "," "),CHAR(9)," "),CHAR(10)," "),CHAR(13)," "))),"")))</f>
        <v/>
      </c>
      <c r="DS112">
        <f>IF($DM112=0,"",IF($L$11=0,"",IFERROR(IF(ISNUMBER(INDEX(PASTE_ALL,$DF112,$L$11)),INDEX(PASTE_ALL,$DF112,$L$11),TRIM(SUBSTITUTE(SUBSTITUTE(SUBSTITUTE(SUBSTITUTE(INDEX(PASTE_ALL,$DF112,$L$11)," "," "),CHAR(9)," "),CHAR(10)," "),CHAR(13)," "))),"")))</f>
        <v/>
      </c>
      <c r="DT112">
        <f>IF($DM112=0,"",IF($L$12=0,"",IFERROR(IF(ISNUMBER(INDEX(PASTE_ALL,$DF112,$L$12)),INDEX(PASTE_ALL,$DF112,$L$12),TRIM(SUBSTITUTE(SUBSTITUTE(SUBSTITUTE(SUBSTITUTE(INDEX(PASTE_ALL,$DF112,$L$12)," "," "),CHAR(9)," "),CHAR(10)," "),CHAR(13)," "))),"")))</f>
        <v/>
      </c>
      <c r="DU112">
        <f>IF($DM112=0,"",IF($L$13=0,"",IFERROR(IF(ISNUMBER(INDEX(PASTE_ALL,$DF112,$L$13)),INDEX(PASTE_ALL,$DF112,$L$13),TRIM(SUBSTITUTE(SUBSTITUTE(SUBSTITUTE(SUBSTITUTE(INDEX(PASTE_ALL,$DF112,$L$13)," "," "),CHAR(9)," "),CHAR(10)," "),CHAR(13)," "))),"")))</f>
        <v/>
      </c>
      <c r="DV112">
        <f>IF($DM112=0,"",IF($L$14=0,"",IFERROR(IF(ISNUMBER(INDEX(PASTE_ALL,$DF112,$L$14)),INDEX(PASTE_ALL,$DF112,$L$14),TRIM(SUBSTITUTE(SUBSTITUTE(SUBSTITUTE(SUBSTITUTE(INDEX(PASTE_ALL,$DF112,$L$14)," "," "),CHAR(9)," "),CHAR(10)," "),CHAR(13)," "))),"")))</f>
        <v/>
      </c>
      <c r="DW112">
        <f>IF($DM112=0,"",IF($L$15=0,"",IFERROR(IF(ISNUMBER(INDEX(PASTE_ALL,$DF112,$L$15)),INDEX(PASTE_ALL,$DF112,$L$15),IF(SUMPRODUCT(--ISNUMBER(FIND({"A","B","C","D","E","F","G","H","I","J","K","L","M","N","O","P","Q","R","S","T","U","V","W","X","Y","Z","0","1","2","3","4","5","6","7","8","9"},UPPER(TRIM(SUBSTITUTE(SUBSTITUTE(SUBSTITUTE(SUBSTITUTE(INDEX(PASTE_ALL,$DF112,$L$15)," "," "),CHAR(9)," "),CHAR(10)," "),CHAR(13)," "))))))&gt;0,TRIM(SUBSTITUTE(SUBSTITUTE(SUBSTITUTE(SUBSTITUTE(INDEX(PASTE_ALL,$DF112,$L$15)," "," "),CHAR(9)," "),CHAR(10)," "),CHAR(13)," ")),"")),"")))</f>
        <v/>
      </c>
      <c r="DX112">
        <f>IF($DM112=0,"",IF($L$16=0,"",IFERROR(IF(ISNUMBER(INDEX(PASTE_ALL,$DF112,$L$16)),INDEX(PASTE_ALL,$DF112,$L$16),SUBSTITUTE(SUBSTITUTE(TRIM(SUBSTITUTE(SUBSTITUTE(SUBSTITUTE(SUBSTITUTE(INDEX(PASTE_ALL,$DF112,$L$16)," "," "),CHAR(9)," "),CHAR(10)," "),CHAR(13)," ")),",",""),"%","")),"")))</f>
        <v/>
      </c>
      <c r="DY112">
        <f>IF($DM112=0,"",IFERROR(IF(ISNUMBER($DX112),$DX112,IF($DX112="","",IF(TRIM($DX112)="",0,IF(AND(AND(SUBSTITUTE(SUBSTITUTE(SUBSTITUTE(SUBSTITUTE(SUBSTITUTE(SUBSTITUTE(SUBSTITUTE(SUBSTITUTE(SUBSTITUTE(SUBSTITUTE(SUBSTITUTE(SUBSTITUTE(SUBSTITUTE(SUBSTITUTE(UPPER(TRIM($DX112)),"0",""),"1",""),"2",""),"3",""),"4",""),"5",""),"6",""),"7",""),"8",""),"9",""),".",""),"+",""),"-",""),"E","")="",LEN(SUBSTITUTE(SUBSTITUTE(MID(UPPER(TRIM($DX112)),1+OR(LEFT(UPPER(TRIM($DX112)),1)="+",LEFT(UPPER(TRIM($DX112)),1)="-"),999),"E+","E"),"E-","E"))=LEN(SUBSTITUTE(SUBSTITUTE(SUBSTITUTE(SUBSTITUTE(MID(UPPER(TRIM($DX112)),1+OR(LEFT(UPPER(TRIM($DX112)),1)="+",LEFT(UPPER(TRIM($DX112)),1)="-"),999),"E+","E"),"E-","E"),"+",""),"-","")),LEN(UPPER(TRIM($DX112)))-LEN(SUBSTITUTE(UPPER(TRIM($DX112)),"E",""))&lt;2,LEN(UPPER(TRIM($DX112)))-LEN(SUBSTITUTE(UPPER(TRIM($DX112)),".",""))&lt;2,IFERROR(FIND(".",UPPER(TRIM($DX112))),0)&lt;IFERROR(FIND("E",UPPER(TRIM($DX112))),999)),ISNUMBER(VALUE(TRIM($DX112)))),VALUE(TRIM($DX112)),"")))),""))</f>
        <v/>
      </c>
      <c r="DZ112">
        <f>IF($DM112=0,"",IF($L$17=0,"",IFERROR(IF(ISNUMBER(INDEX(PASTE_ALL,$DF112,$L$17)),INDEX(PASTE_ALL,$DF112,$L$17),SUBSTITUTE(SUBSTITUTE(TRIM(SUBSTITUTE(SUBSTITUTE(SUBSTITUTE(SUBSTITUTE(INDEX(PASTE_ALL,$DF112,$L$17)," "," "),CHAR(9)," "),CHAR(10)," "),CHAR(13)," ")),",",""),"%","")),"")))</f>
        <v/>
      </c>
      <c r="EA112">
        <f>IF($DM112=0,"",IFERROR(IF(ISNUMBER($DZ112),$DZ112,IF($DZ112="","",IF(TRIM($DZ112)="",0,IF(AND(AND(SUBSTITUTE(SUBSTITUTE(SUBSTITUTE(SUBSTITUTE(SUBSTITUTE(SUBSTITUTE(SUBSTITUTE(SUBSTITUTE(SUBSTITUTE(SUBSTITUTE(SUBSTITUTE(SUBSTITUTE(SUBSTITUTE(SUBSTITUTE(UPPER(TRIM($DZ112)),"0",""),"1",""),"2",""),"3",""),"4",""),"5",""),"6",""),"7",""),"8",""),"9",""),".",""),"+",""),"-",""),"E","")="",LEN(SUBSTITUTE(SUBSTITUTE(MID(UPPER(TRIM($DZ112)),1+OR(LEFT(UPPER(TRIM($DZ112)),1)="+",LEFT(UPPER(TRIM($DZ112)),1)="-"),999),"E+","E"),"E-","E"))=LEN(SUBSTITUTE(SUBSTITUTE(SUBSTITUTE(SUBSTITUTE(MID(UPPER(TRIM($DZ112)),1+OR(LEFT(UPPER(TRIM($DZ112)),1)="+",LEFT(UPPER(TRIM($DZ112)),1)="-"),999),"E+","E"),"E-","E"),"+",""),"-","")),LEN(UPPER(TRIM($DZ112)))-LEN(SUBSTITUTE(UPPER(TRIM($DZ112)),"E",""))&lt;2,LEN(UPPER(TRIM($DZ112)))-LEN(SUBSTITUTE(UPPER(TRIM($DZ112)),".",""))&lt;2,IFERROR(FIND(".",UPPER(TRIM($DZ112))),0)&lt;IFERROR(FIND("E",UPPER(TRIM($DZ112))),999)),ISNUMBER(VALUE(TRIM($DZ112)))),VALUE(TRIM($DZ112)),"")))),""))</f>
        <v/>
      </c>
      <c r="EB112">
        <f>IF($DM112=0,"",IF($L$18=0,"",IFERROR(IF(UPPER(TRIM(SUBSTITUTE(SUBSTITUTE(SUBSTITUTE(SUBSTITUTE(INDEX(PASTE_ALL,$DF112,$L$18)," "," "),CHAR(9)," "),CHAR(10)," "),CHAR(13)," ")))="READY","Ready",IF(UPPER(TRIM(SUBSTITUTE(SUBSTITUTE(SUBSTITUTE(SUBSTITUTE(INDEX(PASTE_ALL,$DF112,$L$18)," "," "),CHAR(9)," "),CHAR(10)," "),CHAR(13)," ")))="PM","PM",IF(OR(UPPER(TRIM(SUBSTITUTE(SUBSTITUTE(SUBSTITUTE(SUBSTITUTE(INDEX(PASTE_ALL,$DF112,$L$18)," "," "),CHAR(9)," "),CHAR(10)," "),CHAR(13)," ")))="OT",UPPER(TRIM(SUBSTITUTE(SUBSTITUTE(SUBSTITUTE(SUBSTITUTE(INDEX(PASTE_ALL,$DF112,$L$18)," "," "),CHAR(9)," "),CHAR(10)," "),CHAR(13)," ")))="OVERTIME",UPPER(TRIM(SUBSTITUTE(SUBSTITUTE(SUBSTITUTE(SUBSTITUTE(INDEX(PASTE_ALL,$DF112,$L$18)," "," "),CHAR(9)," "),CHAR(10)," "),CHAR(13)," ")))="TRIAL"),"OT",TRIM(SUBSTITUTE(SUBSTITUTE(SUBSTITUTE(SUBSTITUTE(INDEX(PASTE_ALL,$DF112,$L$18)," "," "),CHAR(9)," "),CHAR(10)," "),CHAR(13)," "))))),"")))</f>
        <v/>
      </c>
      <c r="EC112">
        <f>IF($DM112=0,"",IF($L$19=0,"",IFERROR(IF(ISNUMBER(INDEX(PASTE_ALL,$DF112,$L$19)),INDEX(PASTE_ALL,$DF112,$L$19),TRIM(SUBSTITUTE(SUBSTITUTE(SUBSTITUTE(SUBSTITUTE(INDEX(PASTE_ALL,$DF112,$L$19)," "," "),CHAR(9)," "),CHAR(10)," "),CHAR(13)," "))),"")))</f>
        <v/>
      </c>
      <c r="ED112">
        <f>IF($DM112=0,"",MATCH(1,INDEX(EXACT($DH$5:DH112,$DH112)*$DM$5:DM112,0),0))</f>
        <v/>
      </c>
      <c r="EE112">
        <f>IF($DM112=0,0,IF($ED112=$DE112,1,0))</f>
        <v/>
      </c>
      <c r="EF112">
        <f>EF111+$EE112</f>
        <v/>
      </c>
      <c r="EG112">
        <f>IF($DM112=0,"",INDEX($EF$5:$EF$1003,$ED112))</f>
        <v/>
      </c>
      <c r="EH112">
        <f>IF($DM112=0,"",IF($DO112&lt;&gt;"","",IFERROR(LOOKUP(2,1/(($EG$4:EG111=$EG112)*($DO$4:DO111&lt;&gt;"")),$DO$4:DO111),"")))</f>
        <v/>
      </c>
      <c r="EI112">
        <f>IF($DM112=0,"",IF($DO112&lt;&gt;"",$DO112,$EH112))</f>
        <v/>
      </c>
      <c r="EJ112">
        <f>IF($DM112=0,"",IF($EI112="",0,IF(OR(ISNUMBER($EI112),AND(AND(SUBSTITUTE(SUBSTITUTE(SUBSTITUTE(SUBSTITUTE(SUBSTITUTE(SUBSTITUTE(SUBSTITUTE(SUBSTITUTE(SUBSTITUTE(SUBSTITUTE(SUBSTITUTE(SUBSTITUTE(SUBSTITUTE(SUBSTITUTE(UPPER($EI112),"0",""),"1",""),"2",""),"3",""),"4",""),"5",""),"6",""),"7",""),"8",""),"9",""),".",""),"+",""),"-",""),"E","")="",LEN(SUBSTITUTE(SUBSTITUTE(MID(UPPER($EI112),1+OR(LEFT(UPPER($EI112),1)="+",LEFT(UPPER($EI112),1)="-"),999),"E+","E"),"E-","E"))=LEN(SUBSTITUTE(SUBSTITUTE(SUBSTITUTE(SUBSTITUTE(MID(UPPER($EI112),1+OR(LEFT(UPPER($EI112),1)="+",LEFT(UPPER($EI112),1)="-"),999),"E+","E"),"E-","E"),"+",""),"-","")),LEN(UPPER($EI112))-LEN(SUBSTITUTE(UPPER($EI112),"E",""))&lt;2,LEN(UPPER($EI112))-LEN(SUBSTITUTE(UPPER($EI112),".",""))&lt;2,IFERROR(FIND(".",UPPER($EI112)),0)&lt;IFERROR(FIND("E",UPPER($EI112)),999)),ISNUMBER(VALUE($EI112)))),1,2)))</f>
        <v/>
      </c>
      <c r="EK112">
        <f>IF($DM112=0,"",IF($EJ112=1,IF(ISNUMBER($EI112),$EI112,VALUE($EI112)),IF($EJ112=2,$DE112,0)))</f>
        <v/>
      </c>
      <c r="EL112">
        <f>IF($DM112=0,"",COUNTIF($EG$5:$EG$1003,"&lt;"&amp;$EG112)+SUMPRODUCT(($EG$5:$EG$1003=$EG112)*(($EJ$5:$EJ$1003&lt;$EJ112)+($EJ$5:$EJ$1003=$EJ112)*(($EK$5:$EK$1003&lt;$EK112)+($EK$5:$EK$1003=$EK112)*($DE$5:$DE$1003&lt;$DE112))))+1)</f>
        <v/>
      </c>
      <c r="EM112">
        <f>IF($DM112=0,"",$EL112+$EG112-1)</f>
        <v/>
      </c>
      <c r="EN112">
        <f>IF($DM112=0,0,IFERROR(MATCH(1,INDEX(--(TRIM(SUBSTITUTE(SUBSTITUTE(SUBSTITUTE(SUBSTITUTE(LINES_NAME&amp;""," "," "),CHAR(9)," "),CHAR(10)," "),CHAR(13)," "))=$DH112),0),0),0))</f>
        <v/>
      </c>
      <c r="EO112">
        <f>IF($EN112=0,0,IF(OR(UPPER(TRIM(INDEX(LINES_SCHEDULED,$EN112)&amp;""))="YES",UPPER(TRIM(INDEX(LINES_SCHEDULED,$EN112)&amp;""))="Y",UPPER(TRIM(INDEX(LINES_SCHEDULED,$EN112)&amp;""))="X"),1,0))</f>
        <v/>
      </c>
      <c r="EP112">
        <f>IF($DM112=0,"",IF(COUNTIFS($EG$5:$EG$1003,$EG112,$EB$5:$EB$1003,"Ready")&gt;0,"READY",IF(COUNTIFS($EG$5:$EG$1003,$EG112,$EB$5:$EB$1003,"PM")&gt;0,"PM",IF(COUNTIFS($EG$5:$EG$1003,$EG112,$EB$5:$EB$1003,"OT")&gt;0,"OT",""))))</f>
        <v/>
      </c>
      <c r="EQ112">
        <f>IF($EN112=0,"",UPPER(TRIM(INDEX(LINES_STATUS,$EN112)&amp;"")))</f>
        <v/>
      </c>
      <c r="ER112">
        <f>IF($DM112=0,"",IF(OR($EQ112="READY",$EQ112="PM",$EQ112="OT"),$EQ112,$EP112))</f>
        <v/>
      </c>
      <c r="ES112">
        <f>IF($DM112=0,"",IF(AND($DV112&lt;&gt;"",UPPER($DV112)&lt;&gt;"N"),"allergen",IF(ISNUMBER(SEARCH("oil",$DQ112)),"oil",IF(OR(EXACT($DS112,"A662"),EXACT($DS112,"A624")),"bulk",""))))</f>
        <v/>
      </c>
      <c r="ET112">
        <f>IF($DM112=0,"",IF(OR($EA112="",$EA112=0),"",$EA112/100))</f>
        <v/>
      </c>
      <c r="EU112">
        <f>IF(OR($ET112="",$DY112=""),"",INT($DY112*(1-$ET112)+0.5))</f>
        <v/>
      </c>
      <c r="EW112" t="n">
        <v>108</v>
      </c>
      <c r="EX112">
        <f>IFERROR(MATCH($EW112,$EM$5:$EM$1003,0),0)</f>
        <v/>
      </c>
      <c r="EY112">
        <f>IF($EW112&gt;$B$12,"",IF($EX112&gt;0,"row","spacer"))</f>
        <v/>
      </c>
      <c r="EZ112">
        <f>IF(AND($EY112="row",$EY111&lt;&gt;"row"),1,0)</f>
        <v/>
      </c>
      <c r="FA112">
        <f>IF(AND($EY112="row",$EY113&lt;&gt;"row"),1,0)</f>
        <v/>
      </c>
      <c r="FB112">
        <f>IF($EZ112=1,IFERROR(IF(ISNUMBER(INDEX(PASTE_ALL,INDEX($DF$5:$DF$1003,$EX112),$B$37)),INDEX(PASTE_ALL,INDEX($DF$5:$DF$1003,$EX112),$B$37),INDEX($DH$5:$DH$1003,$EX112)),INDEX($DH$5:$DH$1003,$EX112)),"")</f>
        <v/>
      </c>
      <c r="FC112">
        <f>IF($EY112="row",INDEX($ER$5:$ER$1003,$EX112),"")</f>
        <v/>
      </c>
      <c r="FD112">
        <f>IF($EY112="row",INDEX($DN$5:$DN$1003,$EX112),"")</f>
        <v/>
      </c>
      <c r="FE112">
        <f>IF($EY112="row",INDEX($DO$5:$DO$1003,$EX112),"")</f>
        <v/>
      </c>
      <c r="FF112">
        <f>IF($EY112="row",INDEX($DP$5:$DP$1003,$EX112),"")</f>
        <v/>
      </c>
      <c r="FG112">
        <f>IF($EY112="row",INDEX($DQ$5:$DQ$1003,$EX112),"")</f>
        <v/>
      </c>
      <c r="FH112">
        <f>IF($EY112="row",INDEX($DR$5:$DR$1003,$EX112),"")</f>
        <v/>
      </c>
      <c r="FI112">
        <f>IF($EY112="row",INDEX($DS$5:$DS$1003,$EX112),"")</f>
        <v/>
      </c>
      <c r="FJ112">
        <f>IF($EY112="row",INDEX($DT$5:$DT$1003,$EX112),"")</f>
        <v/>
      </c>
      <c r="FK112">
        <f>IF($EY112="row",INDEX($DU$5:$DU$1003,$EX112),"")</f>
        <v/>
      </c>
      <c r="FL112">
        <f>IF($EY112="row",INDEX($DV$5:$DV$1003,$EX112),"")</f>
        <v/>
      </c>
      <c r="FM112">
        <f>IF($EY112="row",INDEX($DW$5:$DW$1003,$EX112),"")</f>
        <v/>
      </c>
      <c r="FN112">
        <f>IF($EY112="row",INDEX($DY$5:$DY$1003,$EX112),"")</f>
        <v/>
      </c>
      <c r="FO112">
        <f>IF($EY112="row",INDEX($EA$5:$EA$1003,$EX112),"")</f>
        <v/>
      </c>
      <c r="FP112">
        <f>IF($EY112="row",INDEX($EC$5:$EC$1003,$EX112),"")</f>
        <v/>
      </c>
      <c r="FQ112">
        <f>IF($EY112="row",INDEX($ET$5:$ET$1003,$EX112),"")</f>
        <v/>
      </c>
      <c r="FR112">
        <f>IF($EY112="row",INDEX($EU$5:$EU$1003,$EX112),"")</f>
        <v/>
      </c>
      <c r="FS112">
        <f>IF(AND($EY112="row",$EY111="row"),IF(OR(INDEX($DT$5:$DT$1003,$EX111)="",INDEX($DT$5:$DT$1003,$EX112)=""),"",IF(NOT(EXACT(INDEX($DT$5:$DT$1003,$EX111),INDEX($DT$5:$DT$1003,$EX112))),"S4",IF(NOT(EXACT(INDEX($DS$5:$DS$1003,$EX111),INDEX($DS$5:$DS$1003,$EX112))),"S3",IF(NOT(EXACT(INDEX($DR$5:$DR$1003,$EX111),INDEX($DR$5:$DR$1003,$EX112))),"S1 Count Change","S1")))),"")</f>
        <v/>
      </c>
      <c r="FT112">
        <f>IF($EY112="row",INDEX($ES$5:$ES$1003,$EX112),"")</f>
        <v/>
      </c>
      <c r="FU112">
        <f>IF($EY112="row",INDEX($EO$5:$EO$1003,$EX112),0)</f>
        <v/>
      </c>
      <c r="FV112">
        <f>IF($FS112="S1 Count Change",1,0)</f>
        <v/>
      </c>
    </row>
    <row r="113">
      <c r="Y113">
        <f>IF(Y23="",0,IFERROR(INDEX($W$5:$W$86,MATCH(Y23,$V$5:$V$86,0)),0))</f>
        <v/>
      </c>
      <c r="Z113">
        <f>IF(Z23="",0,IFERROR(INDEX($W$5:$W$86,MATCH(Z23,$V$5:$V$86,0)),0))</f>
        <v/>
      </c>
      <c r="AA113">
        <f>IF(AA23="",0,IFERROR(INDEX($W$5:$W$86,MATCH(AA23,$V$5:$V$86,0)),0))</f>
        <v/>
      </c>
      <c r="AB113">
        <f>IF(AB23="",0,IFERROR(INDEX($W$5:$W$86,MATCH(AB23,$V$5:$V$86,0)),0))</f>
        <v/>
      </c>
      <c r="AC113">
        <f>IF(AC23="",0,IFERROR(INDEX($W$5:$W$86,MATCH(AC23,$V$5:$V$86,0)),0))</f>
        <v/>
      </c>
      <c r="AD113">
        <f>IF(AD23="",0,IFERROR(INDEX($W$5:$W$86,MATCH(AD23,$V$5:$V$86,0)),0))</f>
        <v/>
      </c>
      <c r="AE113">
        <f>IF(AE23="",0,IFERROR(INDEX($W$5:$W$86,MATCH(AE23,$V$5:$V$86,0)),0))</f>
        <v/>
      </c>
      <c r="AF113">
        <f>IF(AF23="",0,IFERROR(INDEX($W$5:$W$86,MATCH(AF23,$V$5:$V$86,0)),0))</f>
        <v/>
      </c>
      <c r="AG113">
        <f>IF(AG23="",0,IFERROR(INDEX($W$5:$W$86,MATCH(AG23,$V$5:$V$86,0)),0))</f>
        <v/>
      </c>
      <c r="AH113">
        <f>IF(AH23="",0,IFERROR(INDEX($W$5:$W$86,MATCH(AH23,$V$5:$V$86,0)),0))</f>
        <v/>
      </c>
      <c r="AI113">
        <f>IF(AI23="",0,IFERROR(INDEX($W$5:$W$86,MATCH(AI23,$V$5:$V$86,0)),0))</f>
        <v/>
      </c>
      <c r="AJ113">
        <f>IF(AJ23="",0,IFERROR(INDEX($W$5:$W$86,MATCH(AJ23,$V$5:$V$86,0)),0))</f>
        <v/>
      </c>
      <c r="AK113">
        <f>IF(AK23="",0,IFERROR(INDEX($W$5:$W$86,MATCH(AK23,$V$5:$V$86,0)),0))</f>
        <v/>
      </c>
      <c r="AL113">
        <f>IF(AL23="",0,IFERROR(INDEX($W$5:$W$86,MATCH(AL23,$V$5:$V$86,0)),0))</f>
        <v/>
      </c>
      <c r="AM113">
        <f>IF(AM23="",0,IFERROR(INDEX($W$5:$W$86,MATCH(AM23,$V$5:$V$86,0)),0))</f>
        <v/>
      </c>
      <c r="AN113">
        <f>IF(AN23="",0,IFERROR(INDEX($W$5:$W$86,MATCH(AN23,$V$5:$V$86,0)),0))</f>
        <v/>
      </c>
      <c r="AO113">
        <f>IF(AO23="",0,IFERROR(INDEX($W$5:$W$86,MATCH(AO23,$V$5:$V$86,0)),0))</f>
        <v/>
      </c>
      <c r="AP113">
        <f>IF(AP23="",0,IFERROR(INDEX($W$5:$W$86,MATCH(AP23,$V$5:$V$86,0)),0))</f>
        <v/>
      </c>
      <c r="AQ113">
        <f>IF(AQ23="",0,IFERROR(INDEX($W$5:$W$86,MATCH(AQ23,$V$5:$V$86,0)),0))</f>
        <v/>
      </c>
      <c r="AR113">
        <f>IF(AR23="",0,IFERROR(INDEX($W$5:$W$86,MATCH(AR23,$V$5:$V$86,0)),0))</f>
        <v/>
      </c>
      <c r="AS113">
        <f>IF(AS23="",0,IFERROR(INDEX($W$5:$W$86,MATCH(AS23,$V$5:$V$86,0)),0))</f>
        <v/>
      </c>
      <c r="AT113">
        <f>IF(AT23="",0,IFERROR(INDEX($W$5:$W$86,MATCH(AT23,$V$5:$V$86,0)),0))</f>
        <v/>
      </c>
      <c r="AU113">
        <f>IF(AU23="",0,IFERROR(INDEX($W$5:$W$86,MATCH(AU23,$V$5:$V$86,0)),0))</f>
        <v/>
      </c>
      <c r="AV113">
        <f>IF(AV23="",0,IFERROR(INDEX($W$5:$W$86,MATCH(AV23,$V$5:$V$86,0)),0))</f>
        <v/>
      </c>
      <c r="AW113">
        <f>IF(AW23="",0,IFERROR(INDEX($W$5:$W$86,MATCH(AW23,$V$5:$V$86,0)),0))</f>
        <v/>
      </c>
      <c r="AX113">
        <f>IF(AX23="",0,IFERROR(INDEX($W$5:$W$86,MATCH(AX23,$V$5:$V$86,0)),0))</f>
        <v/>
      </c>
      <c r="AY113">
        <f>IF(AY23="",0,IFERROR(INDEX($W$5:$W$86,MATCH(AY23,$V$5:$V$86,0)),0))</f>
        <v/>
      </c>
      <c r="AZ113">
        <f>IF(AZ23="",0,IFERROR(INDEX($W$5:$W$86,MATCH(AZ23,$V$5:$V$86,0)),0))</f>
        <v/>
      </c>
      <c r="BA113">
        <f>IF(BA23="",0,IFERROR(INDEX($W$5:$W$86,MATCH(BA23,$V$5:$V$86,0)),0))</f>
        <v/>
      </c>
      <c r="BB113">
        <f>IF(BB23="",0,IFERROR(INDEX($W$5:$W$86,MATCH(BB23,$V$5:$V$86,0)),0))</f>
        <v/>
      </c>
      <c r="BC113">
        <f>IF(BC23="",0,IFERROR(INDEX($W$5:$W$86,MATCH(BC23,$V$5:$V$86,0)),0))</f>
        <v/>
      </c>
      <c r="BD113">
        <f>IF(BD23="",0,IFERROR(INDEX($W$5:$W$86,MATCH(BD23,$V$5:$V$86,0)),0))</f>
        <v/>
      </c>
      <c r="BE113">
        <f>IF(BE23="",0,IFERROR(INDEX($W$5:$W$86,MATCH(BE23,$V$5:$V$86,0)),0))</f>
        <v/>
      </c>
      <c r="BF113">
        <f>IF(BF23="",0,IFERROR(INDEX($W$5:$W$86,MATCH(BF23,$V$5:$V$86,0)),0))</f>
        <v/>
      </c>
      <c r="BG113">
        <f>IF(BG23="",0,IFERROR(INDEX($W$5:$W$86,MATCH(BG23,$V$5:$V$86,0)),0))</f>
        <v/>
      </c>
      <c r="BH113">
        <f>IF(BH23="",0,IFERROR(INDEX($W$5:$W$86,MATCH(BH23,$V$5:$V$86,0)),0))</f>
        <v/>
      </c>
      <c r="BI113">
        <f>IF(BI23="",0,IFERROR(INDEX($W$5:$W$86,MATCH(BI23,$V$5:$V$86,0)),0))</f>
        <v/>
      </c>
      <c r="BJ113">
        <f>IF(BJ23="",0,IFERROR(INDEX($W$5:$W$86,MATCH(BJ23,$V$5:$V$86,0)),0))</f>
        <v/>
      </c>
      <c r="BK113">
        <f>IF(BK23="",0,IFERROR(INDEX($W$5:$W$86,MATCH(BK23,$V$5:$V$86,0)),0))</f>
        <v/>
      </c>
      <c r="BL113">
        <f>IF(BL23="",0,IFERROR(INDEX($W$5:$W$86,MATCH(BL23,$V$5:$V$86,0)),0))</f>
        <v/>
      </c>
      <c r="BM113">
        <f>IF(BM23="",0,IFERROR(INDEX($W$5:$W$86,MATCH(BM23,$V$5:$V$86,0)),0))</f>
        <v/>
      </c>
      <c r="BN113">
        <f>IF(BN23="",0,IFERROR(INDEX($W$5:$W$86,MATCH(BN23,$V$5:$V$86,0)),0))</f>
        <v/>
      </c>
      <c r="BO113">
        <f>IF(BO23="",0,IFERROR(INDEX($W$5:$W$86,MATCH(BO23,$V$5:$V$86,0)),0))</f>
        <v/>
      </c>
      <c r="BP113">
        <f>IF(BP23="",0,IFERROR(INDEX($W$5:$W$86,MATCH(BP23,$V$5:$V$86,0)),0))</f>
        <v/>
      </c>
      <c r="BQ113">
        <f>IF(BQ23="",0,IFERROR(INDEX($W$5:$W$86,MATCH(BQ23,$V$5:$V$86,0)),0))</f>
        <v/>
      </c>
      <c r="BR113">
        <f>IF(BR23="",0,IFERROR(INDEX($W$5:$W$86,MATCH(BR23,$V$5:$V$86,0)),0))</f>
        <v/>
      </c>
      <c r="BS113">
        <f>IF(BS23="",0,IFERROR(INDEX($W$5:$W$86,MATCH(BS23,$V$5:$V$86,0)),0))</f>
        <v/>
      </c>
      <c r="BT113">
        <f>IF(BT23="",0,IFERROR(INDEX($W$5:$W$86,MATCH(BT23,$V$5:$V$86,0)),0))</f>
        <v/>
      </c>
      <c r="BU113">
        <f>IF(BU23="",0,IFERROR(INDEX($W$5:$W$86,MATCH(BU23,$V$5:$V$86,0)),0))</f>
        <v/>
      </c>
      <c r="BV113">
        <f>IF(BV23="",0,IFERROR(INDEX($W$5:$W$86,MATCH(BV23,$V$5:$V$86,0)),0))</f>
        <v/>
      </c>
      <c r="BW113">
        <f>IF(BW23="",0,IFERROR(INDEX($W$5:$W$86,MATCH(BW23,$V$5:$V$86,0)),0))</f>
        <v/>
      </c>
      <c r="BX113">
        <f>IF(BX23="",0,IFERROR(INDEX($W$5:$W$86,MATCH(BX23,$V$5:$V$86,0)),0))</f>
        <v/>
      </c>
      <c r="BY113">
        <f>IF(BY23="",0,IFERROR(INDEX($W$5:$W$86,MATCH(BY23,$V$5:$V$86,0)),0))</f>
        <v/>
      </c>
      <c r="BZ113">
        <f>IF(BZ23="",0,IFERROR(INDEX($W$5:$W$86,MATCH(BZ23,$V$5:$V$86,0)),0))</f>
        <v/>
      </c>
      <c r="CA113">
        <f>IF(CA23="",0,IFERROR(INDEX($W$5:$W$86,MATCH(CA23,$V$5:$V$86,0)),0))</f>
        <v/>
      </c>
      <c r="CB113">
        <f>IF(CB23="",0,IFERROR(INDEX($W$5:$W$86,MATCH(CB23,$V$5:$V$86,0)),0))</f>
        <v/>
      </c>
      <c r="CC113">
        <f>IF(CC23="",0,IFERROR(INDEX($W$5:$W$86,MATCH(CC23,$V$5:$V$86,0)),0))</f>
        <v/>
      </c>
      <c r="CD113">
        <f>IF(CD23="",0,IFERROR(INDEX($W$5:$W$86,MATCH(CD23,$V$5:$V$86,0)),0))</f>
        <v/>
      </c>
      <c r="CE113">
        <f>IF(CE23="",0,IFERROR(INDEX($W$5:$W$86,MATCH(CE23,$V$5:$V$86,0)),0))</f>
        <v/>
      </c>
      <c r="CF113">
        <f>IF(CF23="",0,IFERROR(INDEX($W$5:$W$86,MATCH(CF23,$V$5:$V$86,0)),0))</f>
        <v/>
      </c>
      <c r="DA113" t="n">
        <v>109</v>
      </c>
      <c r="DB113">
        <f>IF($B$37=0,"",IFERROR(TRIM(SUBSTITUTE(SUBSTITUTE(SUBSTITUTE(SUBSTITUTE(INDEX(PASTE_ALL,109,$B$37)," "," "),CHAR(9)," "),CHAR(10)," "),CHAR(13)," ")),""))</f>
        <v/>
      </c>
      <c r="DC113">
        <f>IF(AND(109&gt;HEADER_ROW,UPPER(DB113)="LEGEND"),1,0)</f>
        <v/>
      </c>
      <c r="DE113" t="n">
        <v>109</v>
      </c>
      <c r="DF113">
        <f>HEADER_ROW+$DE113</f>
        <v/>
      </c>
      <c r="DG113">
        <f>IF(AND($DF113&lt;=1000,$DF113&lt;$B$8),1,0)</f>
        <v/>
      </c>
      <c r="DH113">
        <f>IF($DG113=1,IFERROR(INDEX($DB$5:$DB$1004,$DF113),""),"")</f>
        <v/>
      </c>
      <c r="DI113">
        <f>IF(AND($DG113=1,$DH113&lt;&gt;""),IFERROR(SUBSTITUTE(SUBSTITUTE(TRIM(SUBSTITUTE(SUBSTITUTE(SUBSTITUTE(SUBSTITUTE(IFERROR(INDEX(PASTE_ALL,$DF113,1)&amp;"","")&amp;"␟"&amp;IFERROR(INDEX(PASTE_ALL,$DF113,2)&amp;"","")&amp;"␟"&amp;IFERROR(INDEX(PASTE_ALL,$DF113,3)&amp;"","")&amp;"␟"&amp;IFERROR(INDEX(PASTE_ALL,$DF113,4)&amp;"","")&amp;"␟"&amp;IFERROR(INDEX(PASTE_ALL,$DF113,5)&amp;"","")&amp;"␟"&amp;IFERROR(INDEX(PASTE_ALL,$DF113,6)&amp;"","")&amp;"␟"&amp;IFERROR(INDEX(PASTE_ALL,$DF113,7)&amp;"","")&amp;"␟"&amp;IFERROR(INDEX(PASTE_ALL,$DF113,8)&amp;"","")&amp;"␟"&amp;IFERROR(INDEX(PASTE_ALL,$DF113,9)&amp;"","")&amp;"␟"&amp;IFERROR(INDEX(PASTE_ALL,$DF113,10)&amp;"","")&amp;"␟"&amp;IFERROR(INDEX(PASTE_ALL,$DF113,11)&amp;"","")&amp;"␟"&amp;IFERROR(INDEX(PASTE_ALL,$DF113,12)&amp;"","")&amp;"␟"&amp;IFERROR(INDEX(PASTE_ALL,$DF113,13)&amp;"","")&amp;"␟"&amp;IFERROR(INDEX(PASTE_ALL,$DF113,14)&amp;"","")&amp;"␟"&amp;IFERROR(INDEX(PASTE_ALL,$DF113,15)&amp;"","")&amp;"␟"&amp;IFERROR(INDEX(PASTE_ALL,$DF113,16)&amp;"","")&amp;"␟"&amp;IFERROR(INDEX(PASTE_ALL,$DF113,17)&amp;"","")&amp;"␟"&amp;IFERROR(INDEX(PASTE_ALL,$DF113,18)&amp;"","")&amp;"␟"&amp;IFERROR(INDEX(PASTE_ALL,$DF113,19)&amp;"","")&amp;"␟"&amp;IFERROR(INDEX(PASTE_ALL,$DF113,20)&amp;"","")&amp;"␟"&amp;IFERROR(INDEX(PASTE_ALL,$DF113,21)&amp;"","")&amp;"␟"&amp;IFERROR(INDEX(PASTE_ALL,$DF113,22)&amp;"","")&amp;"␟"&amp;IFERROR(INDEX(PASTE_ALL,$DF113,23)&amp;"","")&amp;"␟"&amp;IFERROR(INDEX(PASTE_ALL,$DF113,24)&amp;"","")&amp;"␟"&amp;IFERROR(INDEX(PASTE_ALL,$DF113,25)&amp;"","")&amp;"␟"&amp;IFERROR(INDEX(PASTE_ALL,$DF113,26)&amp;"","")&amp;"␟"&amp;IFERROR(INDEX(PASTE_ALL,$DF113,27)&amp;"","")&amp;"␟"&amp;IFERROR(INDEX(PASTE_ALL,$DF113,28)&amp;"","")&amp;"␟"&amp;IFERROR(INDEX(PASTE_ALL,$DF113,29)&amp;"","")&amp;"␟"&amp;IFERROR(INDEX(PASTE_ALL,$DF113,30)&amp;"","")&amp;"␟"&amp;IFERROR(INDEX(PASTE_ALL,$DF113,31)&amp;"","")&amp;"␟"&amp;IFERROR(INDEX(PASTE_ALL,$DF113,32)&amp;"","")&amp;"␟"&amp;IFERROR(INDEX(PASTE_ALL,$DF113,33)&amp;"","")&amp;"␟"&amp;IFERROR(INDEX(PASTE_ALL,$DF113,34)&amp;"","")&amp;"␟"&amp;IFERROR(INDEX(PASTE_ALL,$DF113,35)&amp;"","")&amp;"␟"&amp;IFERROR(INDEX(PASTE_ALL,$DF113,36)&amp;"","")&amp;"␟"&amp;IFERROR(INDEX(PASTE_ALL,$DF113,37)&amp;"","")&amp;"␟"&amp;IFERROR(INDEX(PASTE_ALL,$DF113,38)&amp;"","")&amp;"␟"&amp;IFERROR(INDEX(PASTE_ALL,$DF113,39)&amp;"","")&amp;"␟"&amp;IFERROR(INDEX(PASTE_ALL,$DF113,40)&amp;"","")&amp;"␟"&amp;IFERROR(INDEX(PASTE_ALL,$DF113,41)&amp;"","")&amp;"␟"&amp;IFERROR(INDEX(PASTE_ALL,$DF113,42)&amp;"","")&amp;"␟"&amp;IFERROR(INDEX(PASTE_ALL,$DF113,43)&amp;"","")&amp;"␟"&amp;IFERROR(INDEX(PASTE_ALL,$DF113,44)&amp;"","")&amp;"␟"&amp;IFERROR(INDEX(PASTE_ALL,$DF113,45)&amp;"","")&amp;"␟"&amp;IFERROR(INDEX(PASTE_ALL,$DF113,46)&amp;"","")&amp;"␟"&amp;IFERROR(INDEX(PASTE_ALL,$DF113,47)&amp;"","")&amp;"␟"&amp;IFERROR(INDEX(PASTE_ALL,$DF113,48)&amp;"","")&amp;"␟"&amp;IFERROR(INDEX(PASTE_ALL,$DF113,49)&amp;"","")&amp;"␟"&amp;IFERROR(INDEX(PASTE_ALL,$DF113,50)&amp;"","")&amp;"␟"&amp;IFERROR(INDEX(PASTE_ALL,$DF113,51)&amp;"","")&amp;"␟"&amp;IFERROR(INDEX(PASTE_ALL,$DF113,52)&amp;"","")&amp;"␟"&amp;IFERROR(INDEX(PASTE_ALL,$DF113,53)&amp;"","")&amp;"␟"&amp;IFERROR(INDEX(PASTE_ALL,$DF113,54)&amp;"","")&amp;"␟"&amp;IFERROR(INDEX(PASTE_ALL,$DF113,55)&amp;"","")&amp;"␟"&amp;IFERROR(INDEX(PASTE_ALL,$DF113,56)&amp;"","")&amp;"␟"&amp;IFERROR(INDEX(PASTE_ALL,$DF113,57)&amp;"","")&amp;"␟"&amp;IFERROR(INDEX(PASTE_ALL,$DF113,58)&amp;"","")&amp;"␟"&amp;IFERROR(INDEX(PASTE_ALL,$DF113,59)&amp;"","")&amp;"␟"&amp;IFERROR(INDEX(PASTE_ALL,$DF113,60)&amp;"","")," "," "),CHAR(9)," "),CHAR(10)," "),CHAR(13)," "))," ␟","␟"),"␟ ","␟"),"#"&amp;$DE113),"")</f>
        <v/>
      </c>
      <c r="DJ113">
        <f>IF($DI113="",0,IF(SUMPRODUCT(--EXACT($DI$4:DI112,$DI113))&gt;0,1,0))</f>
        <v/>
      </c>
      <c r="DK113">
        <f>IF(AND($DI113&lt;&gt;"",$DJ113=0),1,0)</f>
        <v/>
      </c>
      <c r="DL113">
        <f>DL112+$DK113</f>
        <v/>
      </c>
      <c r="DM113">
        <f>IF(AND($DK113=1,$DL113&lt;=600),1,0)</f>
        <v/>
      </c>
      <c r="DN113">
        <f>IF($DM113=0,"",IF($L$6=0,"",IFERROR(IF(ISNUMBER(INDEX(PASTE_ALL,$DF113,$L$6)),INDEX(PASTE_ALL,$DF113,$L$6),TRIM(SUBSTITUTE(SUBSTITUTE(SUBSTITUTE(SUBSTITUTE(INDEX(PASTE_ALL,$DF113,$L$6)," "," "),CHAR(9)," "),CHAR(10)," "),CHAR(13)," "))),"")))</f>
        <v/>
      </c>
      <c r="DO113">
        <f>IF($DM113=0,"",IF($L$7=0,"",IFERROR(IF(ISNUMBER(INDEX(PASTE_ALL,$DF113,$L$7)),INDEX(PASTE_ALL,$DF113,$L$7),TRIM(SUBSTITUTE(SUBSTITUTE(SUBSTITUTE(SUBSTITUTE(INDEX(PASTE_ALL,$DF113,$L$7)," "," "),CHAR(9)," "),CHAR(10)," "),CHAR(13)," "))),"")))</f>
        <v/>
      </c>
      <c r="DP113">
        <f>IF($DM113=0,"",IF($L$8=0,"",IFERROR(IF(ISNUMBER(INDEX(PASTE_ALL,$DF113,$L$8)),INDEX(PASTE_ALL,$DF113,$L$8),TRIM(SUBSTITUTE(SUBSTITUTE(SUBSTITUTE(SUBSTITUTE(INDEX(PASTE_ALL,$DF113,$L$8)," "," "),CHAR(9)," "),CHAR(10)," "),CHAR(13)," "))),"")))</f>
        <v/>
      </c>
      <c r="DQ113">
        <f>IF($DM113=0,"",IF($L$9=0,"",IFERROR(IF(ISNUMBER(INDEX(PASTE_ALL,$DF113,$L$9)),INDEX(PASTE_ALL,$DF113,$L$9),TRIM(SUBSTITUTE(SUBSTITUTE(SUBSTITUTE(SUBSTITUTE(INDEX(PASTE_ALL,$DF113,$L$9)," "," "),CHAR(9)," "),CHAR(10)," "),CHAR(13)," "))),"")))</f>
        <v/>
      </c>
      <c r="DR113">
        <f>IF($DM113=0,"",IF($L$10=0,"",IFERROR(IF(ISNUMBER(INDEX(PASTE_ALL,$DF113,$L$10)),INDEX(PASTE_ALL,$DF113,$L$10),TRIM(SUBSTITUTE(SUBSTITUTE(SUBSTITUTE(SUBSTITUTE(INDEX(PASTE_ALL,$DF113,$L$10)," "," "),CHAR(9)," "),CHAR(10)," "),CHAR(13)," "))),"")))</f>
        <v/>
      </c>
      <c r="DS113">
        <f>IF($DM113=0,"",IF($L$11=0,"",IFERROR(IF(ISNUMBER(INDEX(PASTE_ALL,$DF113,$L$11)),INDEX(PASTE_ALL,$DF113,$L$11),TRIM(SUBSTITUTE(SUBSTITUTE(SUBSTITUTE(SUBSTITUTE(INDEX(PASTE_ALL,$DF113,$L$11)," "," "),CHAR(9)," "),CHAR(10)," "),CHAR(13)," "))),"")))</f>
        <v/>
      </c>
      <c r="DT113">
        <f>IF($DM113=0,"",IF($L$12=0,"",IFERROR(IF(ISNUMBER(INDEX(PASTE_ALL,$DF113,$L$12)),INDEX(PASTE_ALL,$DF113,$L$12),TRIM(SUBSTITUTE(SUBSTITUTE(SUBSTITUTE(SUBSTITUTE(INDEX(PASTE_ALL,$DF113,$L$12)," "," "),CHAR(9)," "),CHAR(10)," "),CHAR(13)," "))),"")))</f>
        <v/>
      </c>
      <c r="DU113">
        <f>IF($DM113=0,"",IF($L$13=0,"",IFERROR(IF(ISNUMBER(INDEX(PASTE_ALL,$DF113,$L$13)),INDEX(PASTE_ALL,$DF113,$L$13),TRIM(SUBSTITUTE(SUBSTITUTE(SUBSTITUTE(SUBSTITUTE(INDEX(PASTE_ALL,$DF113,$L$13)," "," "),CHAR(9)," "),CHAR(10)," "),CHAR(13)," "))),"")))</f>
        <v/>
      </c>
      <c r="DV113">
        <f>IF($DM113=0,"",IF($L$14=0,"",IFERROR(IF(ISNUMBER(INDEX(PASTE_ALL,$DF113,$L$14)),INDEX(PASTE_ALL,$DF113,$L$14),TRIM(SUBSTITUTE(SUBSTITUTE(SUBSTITUTE(SUBSTITUTE(INDEX(PASTE_ALL,$DF113,$L$14)," "," "),CHAR(9)," "),CHAR(10)," "),CHAR(13)," "))),"")))</f>
        <v/>
      </c>
      <c r="DW113">
        <f>IF($DM113=0,"",IF($L$15=0,"",IFERROR(IF(ISNUMBER(INDEX(PASTE_ALL,$DF113,$L$15)),INDEX(PASTE_ALL,$DF113,$L$15),IF(SUMPRODUCT(--ISNUMBER(FIND({"A","B","C","D","E","F","G","H","I","J","K","L","M","N","O","P","Q","R","S","T","U","V","W","X","Y","Z","0","1","2","3","4","5","6","7","8","9"},UPPER(TRIM(SUBSTITUTE(SUBSTITUTE(SUBSTITUTE(SUBSTITUTE(INDEX(PASTE_ALL,$DF113,$L$15)," "," "),CHAR(9)," "),CHAR(10)," "),CHAR(13)," "))))))&gt;0,TRIM(SUBSTITUTE(SUBSTITUTE(SUBSTITUTE(SUBSTITUTE(INDEX(PASTE_ALL,$DF113,$L$15)," "," "),CHAR(9)," "),CHAR(10)," "),CHAR(13)," ")),"")),"")))</f>
        <v/>
      </c>
      <c r="DX113">
        <f>IF($DM113=0,"",IF($L$16=0,"",IFERROR(IF(ISNUMBER(INDEX(PASTE_ALL,$DF113,$L$16)),INDEX(PASTE_ALL,$DF113,$L$16),SUBSTITUTE(SUBSTITUTE(TRIM(SUBSTITUTE(SUBSTITUTE(SUBSTITUTE(SUBSTITUTE(INDEX(PASTE_ALL,$DF113,$L$16)," "," "),CHAR(9)," "),CHAR(10)," "),CHAR(13)," ")),",",""),"%","")),"")))</f>
        <v/>
      </c>
      <c r="DY113">
        <f>IF($DM113=0,"",IFERROR(IF(ISNUMBER($DX113),$DX113,IF($DX113="","",IF(TRIM($DX113)="",0,IF(AND(AND(SUBSTITUTE(SUBSTITUTE(SUBSTITUTE(SUBSTITUTE(SUBSTITUTE(SUBSTITUTE(SUBSTITUTE(SUBSTITUTE(SUBSTITUTE(SUBSTITUTE(SUBSTITUTE(SUBSTITUTE(SUBSTITUTE(SUBSTITUTE(UPPER(TRIM($DX113)),"0",""),"1",""),"2",""),"3",""),"4",""),"5",""),"6",""),"7",""),"8",""),"9",""),".",""),"+",""),"-",""),"E","")="",LEN(SUBSTITUTE(SUBSTITUTE(MID(UPPER(TRIM($DX113)),1+OR(LEFT(UPPER(TRIM($DX113)),1)="+",LEFT(UPPER(TRIM($DX113)),1)="-"),999),"E+","E"),"E-","E"))=LEN(SUBSTITUTE(SUBSTITUTE(SUBSTITUTE(SUBSTITUTE(MID(UPPER(TRIM($DX113)),1+OR(LEFT(UPPER(TRIM($DX113)),1)="+",LEFT(UPPER(TRIM($DX113)),1)="-"),999),"E+","E"),"E-","E"),"+",""),"-","")),LEN(UPPER(TRIM($DX113)))-LEN(SUBSTITUTE(UPPER(TRIM($DX113)),"E",""))&lt;2,LEN(UPPER(TRIM($DX113)))-LEN(SUBSTITUTE(UPPER(TRIM($DX113)),".",""))&lt;2,IFERROR(FIND(".",UPPER(TRIM($DX113))),0)&lt;IFERROR(FIND("E",UPPER(TRIM($DX113))),999)),ISNUMBER(VALUE(TRIM($DX113)))),VALUE(TRIM($DX113)),"")))),""))</f>
        <v/>
      </c>
      <c r="DZ113">
        <f>IF($DM113=0,"",IF($L$17=0,"",IFERROR(IF(ISNUMBER(INDEX(PASTE_ALL,$DF113,$L$17)),INDEX(PASTE_ALL,$DF113,$L$17),SUBSTITUTE(SUBSTITUTE(TRIM(SUBSTITUTE(SUBSTITUTE(SUBSTITUTE(SUBSTITUTE(INDEX(PASTE_ALL,$DF113,$L$17)," "," "),CHAR(9)," "),CHAR(10)," "),CHAR(13)," ")),",",""),"%","")),"")))</f>
        <v/>
      </c>
      <c r="EA113">
        <f>IF($DM113=0,"",IFERROR(IF(ISNUMBER($DZ113),$DZ113,IF($DZ113="","",IF(TRIM($DZ113)="",0,IF(AND(AND(SUBSTITUTE(SUBSTITUTE(SUBSTITUTE(SUBSTITUTE(SUBSTITUTE(SUBSTITUTE(SUBSTITUTE(SUBSTITUTE(SUBSTITUTE(SUBSTITUTE(SUBSTITUTE(SUBSTITUTE(SUBSTITUTE(SUBSTITUTE(UPPER(TRIM($DZ113)),"0",""),"1",""),"2",""),"3",""),"4",""),"5",""),"6",""),"7",""),"8",""),"9",""),".",""),"+",""),"-",""),"E","")="",LEN(SUBSTITUTE(SUBSTITUTE(MID(UPPER(TRIM($DZ113)),1+OR(LEFT(UPPER(TRIM($DZ113)),1)="+",LEFT(UPPER(TRIM($DZ113)),1)="-"),999),"E+","E"),"E-","E"))=LEN(SUBSTITUTE(SUBSTITUTE(SUBSTITUTE(SUBSTITUTE(MID(UPPER(TRIM($DZ113)),1+OR(LEFT(UPPER(TRIM($DZ113)),1)="+",LEFT(UPPER(TRIM($DZ113)),1)="-"),999),"E+","E"),"E-","E"),"+",""),"-","")),LEN(UPPER(TRIM($DZ113)))-LEN(SUBSTITUTE(UPPER(TRIM($DZ113)),"E",""))&lt;2,LEN(UPPER(TRIM($DZ113)))-LEN(SUBSTITUTE(UPPER(TRIM($DZ113)),".",""))&lt;2,IFERROR(FIND(".",UPPER(TRIM($DZ113))),0)&lt;IFERROR(FIND("E",UPPER(TRIM($DZ113))),999)),ISNUMBER(VALUE(TRIM($DZ113)))),VALUE(TRIM($DZ113)),"")))),""))</f>
        <v/>
      </c>
      <c r="EB113">
        <f>IF($DM113=0,"",IF($L$18=0,"",IFERROR(IF(UPPER(TRIM(SUBSTITUTE(SUBSTITUTE(SUBSTITUTE(SUBSTITUTE(INDEX(PASTE_ALL,$DF113,$L$18)," "," "),CHAR(9)," "),CHAR(10)," "),CHAR(13)," ")))="READY","Ready",IF(UPPER(TRIM(SUBSTITUTE(SUBSTITUTE(SUBSTITUTE(SUBSTITUTE(INDEX(PASTE_ALL,$DF113,$L$18)," "," "),CHAR(9)," "),CHAR(10)," "),CHAR(13)," ")))="PM","PM",IF(OR(UPPER(TRIM(SUBSTITUTE(SUBSTITUTE(SUBSTITUTE(SUBSTITUTE(INDEX(PASTE_ALL,$DF113,$L$18)," "," "),CHAR(9)," "),CHAR(10)," "),CHAR(13)," ")))="OT",UPPER(TRIM(SUBSTITUTE(SUBSTITUTE(SUBSTITUTE(SUBSTITUTE(INDEX(PASTE_ALL,$DF113,$L$18)," "," "),CHAR(9)," "),CHAR(10)," "),CHAR(13)," ")))="OVERTIME",UPPER(TRIM(SUBSTITUTE(SUBSTITUTE(SUBSTITUTE(SUBSTITUTE(INDEX(PASTE_ALL,$DF113,$L$18)," "," "),CHAR(9)," "),CHAR(10)," "),CHAR(13)," ")))="TRIAL"),"OT",TRIM(SUBSTITUTE(SUBSTITUTE(SUBSTITUTE(SUBSTITUTE(INDEX(PASTE_ALL,$DF113,$L$18)," "," "),CHAR(9)," "),CHAR(10)," "),CHAR(13)," "))))),"")))</f>
        <v/>
      </c>
      <c r="EC113">
        <f>IF($DM113=0,"",IF($L$19=0,"",IFERROR(IF(ISNUMBER(INDEX(PASTE_ALL,$DF113,$L$19)),INDEX(PASTE_ALL,$DF113,$L$19),TRIM(SUBSTITUTE(SUBSTITUTE(SUBSTITUTE(SUBSTITUTE(INDEX(PASTE_ALL,$DF113,$L$19)," "," "),CHAR(9)," "),CHAR(10)," "),CHAR(13)," "))),"")))</f>
        <v/>
      </c>
      <c r="ED113">
        <f>IF($DM113=0,"",MATCH(1,INDEX(EXACT($DH$5:DH113,$DH113)*$DM$5:DM113,0),0))</f>
        <v/>
      </c>
      <c r="EE113">
        <f>IF($DM113=0,0,IF($ED113=$DE113,1,0))</f>
        <v/>
      </c>
      <c r="EF113">
        <f>EF112+$EE113</f>
        <v/>
      </c>
      <c r="EG113">
        <f>IF($DM113=0,"",INDEX($EF$5:$EF$1003,$ED113))</f>
        <v/>
      </c>
      <c r="EH113">
        <f>IF($DM113=0,"",IF($DO113&lt;&gt;"","",IFERROR(LOOKUP(2,1/(($EG$4:EG112=$EG113)*($DO$4:DO112&lt;&gt;"")),$DO$4:DO112),"")))</f>
        <v/>
      </c>
      <c r="EI113">
        <f>IF($DM113=0,"",IF($DO113&lt;&gt;"",$DO113,$EH113))</f>
        <v/>
      </c>
      <c r="EJ113">
        <f>IF($DM113=0,"",IF($EI113="",0,IF(OR(ISNUMBER($EI113),AND(AND(SUBSTITUTE(SUBSTITUTE(SUBSTITUTE(SUBSTITUTE(SUBSTITUTE(SUBSTITUTE(SUBSTITUTE(SUBSTITUTE(SUBSTITUTE(SUBSTITUTE(SUBSTITUTE(SUBSTITUTE(SUBSTITUTE(SUBSTITUTE(UPPER($EI113),"0",""),"1",""),"2",""),"3",""),"4",""),"5",""),"6",""),"7",""),"8",""),"9",""),".",""),"+",""),"-",""),"E","")="",LEN(SUBSTITUTE(SUBSTITUTE(MID(UPPER($EI113),1+OR(LEFT(UPPER($EI113),1)="+",LEFT(UPPER($EI113),1)="-"),999),"E+","E"),"E-","E"))=LEN(SUBSTITUTE(SUBSTITUTE(SUBSTITUTE(SUBSTITUTE(MID(UPPER($EI113),1+OR(LEFT(UPPER($EI113),1)="+",LEFT(UPPER($EI113),1)="-"),999),"E+","E"),"E-","E"),"+",""),"-","")),LEN(UPPER($EI113))-LEN(SUBSTITUTE(UPPER($EI113),"E",""))&lt;2,LEN(UPPER($EI113))-LEN(SUBSTITUTE(UPPER($EI113),".",""))&lt;2,IFERROR(FIND(".",UPPER($EI113)),0)&lt;IFERROR(FIND("E",UPPER($EI113)),999)),ISNUMBER(VALUE($EI113)))),1,2)))</f>
        <v/>
      </c>
      <c r="EK113">
        <f>IF($DM113=0,"",IF($EJ113=1,IF(ISNUMBER($EI113),$EI113,VALUE($EI113)),IF($EJ113=2,$DE113,0)))</f>
        <v/>
      </c>
      <c r="EL113">
        <f>IF($DM113=0,"",COUNTIF($EG$5:$EG$1003,"&lt;"&amp;$EG113)+SUMPRODUCT(($EG$5:$EG$1003=$EG113)*(($EJ$5:$EJ$1003&lt;$EJ113)+($EJ$5:$EJ$1003=$EJ113)*(($EK$5:$EK$1003&lt;$EK113)+($EK$5:$EK$1003=$EK113)*($DE$5:$DE$1003&lt;$DE113))))+1)</f>
        <v/>
      </c>
      <c r="EM113">
        <f>IF($DM113=0,"",$EL113+$EG113-1)</f>
        <v/>
      </c>
      <c r="EN113">
        <f>IF($DM113=0,0,IFERROR(MATCH(1,INDEX(--(TRIM(SUBSTITUTE(SUBSTITUTE(SUBSTITUTE(SUBSTITUTE(LINES_NAME&amp;""," "," "),CHAR(9)," "),CHAR(10)," "),CHAR(13)," "))=$DH113),0),0),0))</f>
        <v/>
      </c>
      <c r="EO113">
        <f>IF($EN113=0,0,IF(OR(UPPER(TRIM(INDEX(LINES_SCHEDULED,$EN113)&amp;""))="YES",UPPER(TRIM(INDEX(LINES_SCHEDULED,$EN113)&amp;""))="Y",UPPER(TRIM(INDEX(LINES_SCHEDULED,$EN113)&amp;""))="X"),1,0))</f>
        <v/>
      </c>
      <c r="EP113">
        <f>IF($DM113=0,"",IF(COUNTIFS($EG$5:$EG$1003,$EG113,$EB$5:$EB$1003,"Ready")&gt;0,"READY",IF(COUNTIFS($EG$5:$EG$1003,$EG113,$EB$5:$EB$1003,"PM")&gt;0,"PM",IF(COUNTIFS($EG$5:$EG$1003,$EG113,$EB$5:$EB$1003,"OT")&gt;0,"OT",""))))</f>
        <v/>
      </c>
      <c r="EQ113">
        <f>IF($EN113=0,"",UPPER(TRIM(INDEX(LINES_STATUS,$EN113)&amp;"")))</f>
        <v/>
      </c>
      <c r="ER113">
        <f>IF($DM113=0,"",IF(OR($EQ113="READY",$EQ113="PM",$EQ113="OT"),$EQ113,$EP113))</f>
        <v/>
      </c>
      <c r="ES113">
        <f>IF($DM113=0,"",IF(AND($DV113&lt;&gt;"",UPPER($DV113)&lt;&gt;"N"),"allergen",IF(ISNUMBER(SEARCH("oil",$DQ113)),"oil",IF(OR(EXACT($DS113,"A662"),EXACT($DS113,"A624")),"bulk",""))))</f>
        <v/>
      </c>
      <c r="ET113">
        <f>IF($DM113=0,"",IF(OR($EA113="",$EA113=0),"",$EA113/100))</f>
        <v/>
      </c>
      <c r="EU113">
        <f>IF(OR($ET113="",$DY113=""),"",INT($DY113*(1-$ET113)+0.5))</f>
        <v/>
      </c>
      <c r="EW113" t="n">
        <v>109</v>
      </c>
      <c r="EX113">
        <f>IFERROR(MATCH($EW113,$EM$5:$EM$1003,0),0)</f>
        <v/>
      </c>
      <c r="EY113">
        <f>IF($EW113&gt;$B$12,"",IF($EX113&gt;0,"row","spacer"))</f>
        <v/>
      </c>
      <c r="EZ113">
        <f>IF(AND($EY113="row",$EY112&lt;&gt;"row"),1,0)</f>
        <v/>
      </c>
      <c r="FA113">
        <f>IF(AND($EY113="row",$EY114&lt;&gt;"row"),1,0)</f>
        <v/>
      </c>
      <c r="FB113">
        <f>IF($EZ113=1,IFERROR(IF(ISNUMBER(INDEX(PASTE_ALL,INDEX($DF$5:$DF$1003,$EX113),$B$37)),INDEX(PASTE_ALL,INDEX($DF$5:$DF$1003,$EX113),$B$37),INDEX($DH$5:$DH$1003,$EX113)),INDEX($DH$5:$DH$1003,$EX113)),"")</f>
        <v/>
      </c>
      <c r="FC113">
        <f>IF($EY113="row",INDEX($ER$5:$ER$1003,$EX113),"")</f>
        <v/>
      </c>
      <c r="FD113">
        <f>IF($EY113="row",INDEX($DN$5:$DN$1003,$EX113),"")</f>
        <v/>
      </c>
      <c r="FE113">
        <f>IF($EY113="row",INDEX($DO$5:$DO$1003,$EX113),"")</f>
        <v/>
      </c>
      <c r="FF113">
        <f>IF($EY113="row",INDEX($DP$5:$DP$1003,$EX113),"")</f>
        <v/>
      </c>
      <c r="FG113">
        <f>IF($EY113="row",INDEX($DQ$5:$DQ$1003,$EX113),"")</f>
        <v/>
      </c>
      <c r="FH113">
        <f>IF($EY113="row",INDEX($DR$5:$DR$1003,$EX113),"")</f>
        <v/>
      </c>
      <c r="FI113">
        <f>IF($EY113="row",INDEX($DS$5:$DS$1003,$EX113),"")</f>
        <v/>
      </c>
      <c r="FJ113">
        <f>IF($EY113="row",INDEX($DT$5:$DT$1003,$EX113),"")</f>
        <v/>
      </c>
      <c r="FK113">
        <f>IF($EY113="row",INDEX($DU$5:$DU$1003,$EX113),"")</f>
        <v/>
      </c>
      <c r="FL113">
        <f>IF($EY113="row",INDEX($DV$5:$DV$1003,$EX113),"")</f>
        <v/>
      </c>
      <c r="FM113">
        <f>IF($EY113="row",INDEX($DW$5:$DW$1003,$EX113),"")</f>
        <v/>
      </c>
      <c r="FN113">
        <f>IF($EY113="row",INDEX($DY$5:$DY$1003,$EX113),"")</f>
        <v/>
      </c>
      <c r="FO113">
        <f>IF($EY113="row",INDEX($EA$5:$EA$1003,$EX113),"")</f>
        <v/>
      </c>
      <c r="FP113">
        <f>IF($EY113="row",INDEX($EC$5:$EC$1003,$EX113),"")</f>
        <v/>
      </c>
      <c r="FQ113">
        <f>IF($EY113="row",INDEX($ET$5:$ET$1003,$EX113),"")</f>
        <v/>
      </c>
      <c r="FR113">
        <f>IF($EY113="row",INDEX($EU$5:$EU$1003,$EX113),"")</f>
        <v/>
      </c>
      <c r="FS113">
        <f>IF(AND($EY113="row",$EY112="row"),IF(OR(INDEX($DT$5:$DT$1003,$EX112)="",INDEX($DT$5:$DT$1003,$EX113)=""),"",IF(NOT(EXACT(INDEX($DT$5:$DT$1003,$EX112),INDEX($DT$5:$DT$1003,$EX113))),"S4",IF(NOT(EXACT(INDEX($DS$5:$DS$1003,$EX112),INDEX($DS$5:$DS$1003,$EX113))),"S3",IF(NOT(EXACT(INDEX($DR$5:$DR$1003,$EX112),INDEX($DR$5:$DR$1003,$EX113))),"S1 Count Change","S1")))),"")</f>
        <v/>
      </c>
      <c r="FT113">
        <f>IF($EY113="row",INDEX($ES$5:$ES$1003,$EX113),"")</f>
        <v/>
      </c>
      <c r="FU113">
        <f>IF($EY113="row",INDEX($EO$5:$EO$1003,$EX113),0)</f>
        <v/>
      </c>
      <c r="FV113">
        <f>IF($FS113="S1 Count Change",1,0)</f>
        <v/>
      </c>
    </row>
    <row r="114">
      <c r="Y114">
        <f>IF(Y24="",0,IFERROR(INDEX($W$5:$W$86,MATCH(Y24,$V$5:$V$86,0)),0))</f>
        <v/>
      </c>
      <c r="Z114">
        <f>IF(Z24="",0,IFERROR(INDEX($W$5:$W$86,MATCH(Z24,$V$5:$V$86,0)),0))</f>
        <v/>
      </c>
      <c r="AA114">
        <f>IF(AA24="",0,IFERROR(INDEX($W$5:$W$86,MATCH(AA24,$V$5:$V$86,0)),0))</f>
        <v/>
      </c>
      <c r="AB114">
        <f>IF(AB24="",0,IFERROR(INDEX($W$5:$W$86,MATCH(AB24,$V$5:$V$86,0)),0))</f>
        <v/>
      </c>
      <c r="AC114">
        <f>IF(AC24="",0,IFERROR(INDEX($W$5:$W$86,MATCH(AC24,$V$5:$V$86,0)),0))</f>
        <v/>
      </c>
      <c r="AD114">
        <f>IF(AD24="",0,IFERROR(INDEX($W$5:$W$86,MATCH(AD24,$V$5:$V$86,0)),0))</f>
        <v/>
      </c>
      <c r="AE114">
        <f>IF(AE24="",0,IFERROR(INDEX($W$5:$W$86,MATCH(AE24,$V$5:$V$86,0)),0))</f>
        <v/>
      </c>
      <c r="AF114">
        <f>IF(AF24="",0,IFERROR(INDEX($W$5:$W$86,MATCH(AF24,$V$5:$V$86,0)),0))</f>
        <v/>
      </c>
      <c r="AG114">
        <f>IF(AG24="",0,IFERROR(INDEX($W$5:$W$86,MATCH(AG24,$V$5:$V$86,0)),0))</f>
        <v/>
      </c>
      <c r="AH114">
        <f>IF(AH24="",0,IFERROR(INDEX($W$5:$W$86,MATCH(AH24,$V$5:$V$86,0)),0))</f>
        <v/>
      </c>
      <c r="AI114">
        <f>IF(AI24="",0,IFERROR(INDEX($W$5:$W$86,MATCH(AI24,$V$5:$V$86,0)),0))</f>
        <v/>
      </c>
      <c r="AJ114">
        <f>IF(AJ24="",0,IFERROR(INDEX($W$5:$W$86,MATCH(AJ24,$V$5:$V$86,0)),0))</f>
        <v/>
      </c>
      <c r="AK114">
        <f>IF(AK24="",0,IFERROR(INDEX($W$5:$W$86,MATCH(AK24,$V$5:$V$86,0)),0))</f>
        <v/>
      </c>
      <c r="AL114">
        <f>IF(AL24="",0,IFERROR(INDEX($W$5:$W$86,MATCH(AL24,$V$5:$V$86,0)),0))</f>
        <v/>
      </c>
      <c r="AM114">
        <f>IF(AM24="",0,IFERROR(INDEX($W$5:$W$86,MATCH(AM24,$V$5:$V$86,0)),0))</f>
        <v/>
      </c>
      <c r="AN114">
        <f>IF(AN24="",0,IFERROR(INDEX($W$5:$W$86,MATCH(AN24,$V$5:$V$86,0)),0))</f>
        <v/>
      </c>
      <c r="AO114">
        <f>IF(AO24="",0,IFERROR(INDEX($W$5:$W$86,MATCH(AO24,$V$5:$V$86,0)),0))</f>
        <v/>
      </c>
      <c r="AP114">
        <f>IF(AP24="",0,IFERROR(INDEX($W$5:$W$86,MATCH(AP24,$V$5:$V$86,0)),0))</f>
        <v/>
      </c>
      <c r="AQ114">
        <f>IF(AQ24="",0,IFERROR(INDEX($W$5:$W$86,MATCH(AQ24,$V$5:$V$86,0)),0))</f>
        <v/>
      </c>
      <c r="AR114">
        <f>IF(AR24="",0,IFERROR(INDEX($W$5:$W$86,MATCH(AR24,$V$5:$V$86,0)),0))</f>
        <v/>
      </c>
      <c r="AS114">
        <f>IF(AS24="",0,IFERROR(INDEX($W$5:$W$86,MATCH(AS24,$V$5:$V$86,0)),0))</f>
        <v/>
      </c>
      <c r="AT114">
        <f>IF(AT24="",0,IFERROR(INDEX($W$5:$W$86,MATCH(AT24,$V$5:$V$86,0)),0))</f>
        <v/>
      </c>
      <c r="AU114">
        <f>IF(AU24="",0,IFERROR(INDEX($W$5:$W$86,MATCH(AU24,$V$5:$V$86,0)),0))</f>
        <v/>
      </c>
      <c r="AV114">
        <f>IF(AV24="",0,IFERROR(INDEX($W$5:$W$86,MATCH(AV24,$V$5:$V$86,0)),0))</f>
        <v/>
      </c>
      <c r="AW114">
        <f>IF(AW24="",0,IFERROR(INDEX($W$5:$W$86,MATCH(AW24,$V$5:$V$86,0)),0))</f>
        <v/>
      </c>
      <c r="AX114">
        <f>IF(AX24="",0,IFERROR(INDEX($W$5:$W$86,MATCH(AX24,$V$5:$V$86,0)),0))</f>
        <v/>
      </c>
      <c r="AY114">
        <f>IF(AY24="",0,IFERROR(INDEX($W$5:$W$86,MATCH(AY24,$V$5:$V$86,0)),0))</f>
        <v/>
      </c>
      <c r="AZ114">
        <f>IF(AZ24="",0,IFERROR(INDEX($W$5:$W$86,MATCH(AZ24,$V$5:$V$86,0)),0))</f>
        <v/>
      </c>
      <c r="BA114">
        <f>IF(BA24="",0,IFERROR(INDEX($W$5:$W$86,MATCH(BA24,$V$5:$V$86,0)),0))</f>
        <v/>
      </c>
      <c r="BB114">
        <f>IF(BB24="",0,IFERROR(INDEX($W$5:$W$86,MATCH(BB24,$V$5:$V$86,0)),0))</f>
        <v/>
      </c>
      <c r="BC114">
        <f>IF(BC24="",0,IFERROR(INDEX($W$5:$W$86,MATCH(BC24,$V$5:$V$86,0)),0))</f>
        <v/>
      </c>
      <c r="BD114">
        <f>IF(BD24="",0,IFERROR(INDEX($W$5:$W$86,MATCH(BD24,$V$5:$V$86,0)),0))</f>
        <v/>
      </c>
      <c r="BE114">
        <f>IF(BE24="",0,IFERROR(INDEX($W$5:$W$86,MATCH(BE24,$V$5:$V$86,0)),0))</f>
        <v/>
      </c>
      <c r="BF114">
        <f>IF(BF24="",0,IFERROR(INDEX($W$5:$W$86,MATCH(BF24,$V$5:$V$86,0)),0))</f>
        <v/>
      </c>
      <c r="BG114">
        <f>IF(BG24="",0,IFERROR(INDEX($W$5:$W$86,MATCH(BG24,$V$5:$V$86,0)),0))</f>
        <v/>
      </c>
      <c r="BH114">
        <f>IF(BH24="",0,IFERROR(INDEX($W$5:$W$86,MATCH(BH24,$V$5:$V$86,0)),0))</f>
        <v/>
      </c>
      <c r="BI114">
        <f>IF(BI24="",0,IFERROR(INDEX($W$5:$W$86,MATCH(BI24,$V$5:$V$86,0)),0))</f>
        <v/>
      </c>
      <c r="BJ114">
        <f>IF(BJ24="",0,IFERROR(INDEX($W$5:$W$86,MATCH(BJ24,$V$5:$V$86,0)),0))</f>
        <v/>
      </c>
      <c r="BK114">
        <f>IF(BK24="",0,IFERROR(INDEX($W$5:$W$86,MATCH(BK24,$V$5:$V$86,0)),0))</f>
        <v/>
      </c>
      <c r="BL114">
        <f>IF(BL24="",0,IFERROR(INDEX($W$5:$W$86,MATCH(BL24,$V$5:$V$86,0)),0))</f>
        <v/>
      </c>
      <c r="BM114">
        <f>IF(BM24="",0,IFERROR(INDEX($W$5:$W$86,MATCH(BM24,$V$5:$V$86,0)),0))</f>
        <v/>
      </c>
      <c r="BN114">
        <f>IF(BN24="",0,IFERROR(INDEX($W$5:$W$86,MATCH(BN24,$V$5:$V$86,0)),0))</f>
        <v/>
      </c>
      <c r="BO114">
        <f>IF(BO24="",0,IFERROR(INDEX($W$5:$W$86,MATCH(BO24,$V$5:$V$86,0)),0))</f>
        <v/>
      </c>
      <c r="BP114">
        <f>IF(BP24="",0,IFERROR(INDEX($W$5:$W$86,MATCH(BP24,$V$5:$V$86,0)),0))</f>
        <v/>
      </c>
      <c r="BQ114">
        <f>IF(BQ24="",0,IFERROR(INDEX($W$5:$W$86,MATCH(BQ24,$V$5:$V$86,0)),0))</f>
        <v/>
      </c>
      <c r="BR114">
        <f>IF(BR24="",0,IFERROR(INDEX($W$5:$W$86,MATCH(BR24,$V$5:$V$86,0)),0))</f>
        <v/>
      </c>
      <c r="BS114">
        <f>IF(BS24="",0,IFERROR(INDEX($W$5:$W$86,MATCH(BS24,$V$5:$V$86,0)),0))</f>
        <v/>
      </c>
      <c r="BT114">
        <f>IF(BT24="",0,IFERROR(INDEX($W$5:$W$86,MATCH(BT24,$V$5:$V$86,0)),0))</f>
        <v/>
      </c>
      <c r="BU114">
        <f>IF(BU24="",0,IFERROR(INDEX($W$5:$W$86,MATCH(BU24,$V$5:$V$86,0)),0))</f>
        <v/>
      </c>
      <c r="BV114">
        <f>IF(BV24="",0,IFERROR(INDEX($W$5:$W$86,MATCH(BV24,$V$5:$V$86,0)),0))</f>
        <v/>
      </c>
      <c r="BW114">
        <f>IF(BW24="",0,IFERROR(INDEX($W$5:$W$86,MATCH(BW24,$V$5:$V$86,0)),0))</f>
        <v/>
      </c>
      <c r="BX114">
        <f>IF(BX24="",0,IFERROR(INDEX($W$5:$W$86,MATCH(BX24,$V$5:$V$86,0)),0))</f>
        <v/>
      </c>
      <c r="BY114">
        <f>IF(BY24="",0,IFERROR(INDEX($W$5:$W$86,MATCH(BY24,$V$5:$V$86,0)),0))</f>
        <v/>
      </c>
      <c r="BZ114">
        <f>IF(BZ24="",0,IFERROR(INDEX($W$5:$W$86,MATCH(BZ24,$V$5:$V$86,0)),0))</f>
        <v/>
      </c>
      <c r="CA114">
        <f>IF(CA24="",0,IFERROR(INDEX($W$5:$W$86,MATCH(CA24,$V$5:$V$86,0)),0))</f>
        <v/>
      </c>
      <c r="CB114">
        <f>IF(CB24="",0,IFERROR(INDEX($W$5:$W$86,MATCH(CB24,$V$5:$V$86,0)),0))</f>
        <v/>
      </c>
      <c r="CC114">
        <f>IF(CC24="",0,IFERROR(INDEX($W$5:$W$86,MATCH(CC24,$V$5:$V$86,0)),0))</f>
        <v/>
      </c>
      <c r="CD114">
        <f>IF(CD24="",0,IFERROR(INDEX($W$5:$W$86,MATCH(CD24,$V$5:$V$86,0)),0))</f>
        <v/>
      </c>
      <c r="CE114">
        <f>IF(CE24="",0,IFERROR(INDEX($W$5:$W$86,MATCH(CE24,$V$5:$V$86,0)),0))</f>
        <v/>
      </c>
      <c r="CF114">
        <f>IF(CF24="",0,IFERROR(INDEX($W$5:$W$86,MATCH(CF24,$V$5:$V$86,0)),0))</f>
        <v/>
      </c>
      <c r="DA114" t="n">
        <v>110</v>
      </c>
      <c r="DB114">
        <f>IF($B$37=0,"",IFERROR(TRIM(SUBSTITUTE(SUBSTITUTE(SUBSTITUTE(SUBSTITUTE(INDEX(PASTE_ALL,110,$B$37)," "," "),CHAR(9)," "),CHAR(10)," "),CHAR(13)," ")),""))</f>
        <v/>
      </c>
      <c r="DC114">
        <f>IF(AND(110&gt;HEADER_ROW,UPPER(DB114)="LEGEND"),1,0)</f>
        <v/>
      </c>
      <c r="DE114" t="n">
        <v>110</v>
      </c>
      <c r="DF114">
        <f>HEADER_ROW+$DE114</f>
        <v/>
      </c>
      <c r="DG114">
        <f>IF(AND($DF114&lt;=1000,$DF114&lt;$B$8),1,0)</f>
        <v/>
      </c>
      <c r="DH114">
        <f>IF($DG114=1,IFERROR(INDEX($DB$5:$DB$1004,$DF114),""),"")</f>
        <v/>
      </c>
      <c r="DI114">
        <f>IF(AND($DG114=1,$DH114&lt;&gt;""),IFERROR(SUBSTITUTE(SUBSTITUTE(TRIM(SUBSTITUTE(SUBSTITUTE(SUBSTITUTE(SUBSTITUTE(IFERROR(INDEX(PASTE_ALL,$DF114,1)&amp;"","")&amp;"␟"&amp;IFERROR(INDEX(PASTE_ALL,$DF114,2)&amp;"","")&amp;"␟"&amp;IFERROR(INDEX(PASTE_ALL,$DF114,3)&amp;"","")&amp;"␟"&amp;IFERROR(INDEX(PASTE_ALL,$DF114,4)&amp;"","")&amp;"␟"&amp;IFERROR(INDEX(PASTE_ALL,$DF114,5)&amp;"","")&amp;"␟"&amp;IFERROR(INDEX(PASTE_ALL,$DF114,6)&amp;"","")&amp;"␟"&amp;IFERROR(INDEX(PASTE_ALL,$DF114,7)&amp;"","")&amp;"␟"&amp;IFERROR(INDEX(PASTE_ALL,$DF114,8)&amp;"","")&amp;"␟"&amp;IFERROR(INDEX(PASTE_ALL,$DF114,9)&amp;"","")&amp;"␟"&amp;IFERROR(INDEX(PASTE_ALL,$DF114,10)&amp;"","")&amp;"␟"&amp;IFERROR(INDEX(PASTE_ALL,$DF114,11)&amp;"","")&amp;"␟"&amp;IFERROR(INDEX(PASTE_ALL,$DF114,12)&amp;"","")&amp;"␟"&amp;IFERROR(INDEX(PASTE_ALL,$DF114,13)&amp;"","")&amp;"␟"&amp;IFERROR(INDEX(PASTE_ALL,$DF114,14)&amp;"","")&amp;"␟"&amp;IFERROR(INDEX(PASTE_ALL,$DF114,15)&amp;"","")&amp;"␟"&amp;IFERROR(INDEX(PASTE_ALL,$DF114,16)&amp;"","")&amp;"␟"&amp;IFERROR(INDEX(PASTE_ALL,$DF114,17)&amp;"","")&amp;"␟"&amp;IFERROR(INDEX(PASTE_ALL,$DF114,18)&amp;"","")&amp;"␟"&amp;IFERROR(INDEX(PASTE_ALL,$DF114,19)&amp;"","")&amp;"␟"&amp;IFERROR(INDEX(PASTE_ALL,$DF114,20)&amp;"","")&amp;"␟"&amp;IFERROR(INDEX(PASTE_ALL,$DF114,21)&amp;"","")&amp;"␟"&amp;IFERROR(INDEX(PASTE_ALL,$DF114,22)&amp;"","")&amp;"␟"&amp;IFERROR(INDEX(PASTE_ALL,$DF114,23)&amp;"","")&amp;"␟"&amp;IFERROR(INDEX(PASTE_ALL,$DF114,24)&amp;"","")&amp;"␟"&amp;IFERROR(INDEX(PASTE_ALL,$DF114,25)&amp;"","")&amp;"␟"&amp;IFERROR(INDEX(PASTE_ALL,$DF114,26)&amp;"","")&amp;"␟"&amp;IFERROR(INDEX(PASTE_ALL,$DF114,27)&amp;"","")&amp;"␟"&amp;IFERROR(INDEX(PASTE_ALL,$DF114,28)&amp;"","")&amp;"␟"&amp;IFERROR(INDEX(PASTE_ALL,$DF114,29)&amp;"","")&amp;"␟"&amp;IFERROR(INDEX(PASTE_ALL,$DF114,30)&amp;"","")&amp;"␟"&amp;IFERROR(INDEX(PASTE_ALL,$DF114,31)&amp;"","")&amp;"␟"&amp;IFERROR(INDEX(PASTE_ALL,$DF114,32)&amp;"","")&amp;"␟"&amp;IFERROR(INDEX(PASTE_ALL,$DF114,33)&amp;"","")&amp;"␟"&amp;IFERROR(INDEX(PASTE_ALL,$DF114,34)&amp;"","")&amp;"␟"&amp;IFERROR(INDEX(PASTE_ALL,$DF114,35)&amp;"","")&amp;"␟"&amp;IFERROR(INDEX(PASTE_ALL,$DF114,36)&amp;"","")&amp;"␟"&amp;IFERROR(INDEX(PASTE_ALL,$DF114,37)&amp;"","")&amp;"␟"&amp;IFERROR(INDEX(PASTE_ALL,$DF114,38)&amp;"","")&amp;"␟"&amp;IFERROR(INDEX(PASTE_ALL,$DF114,39)&amp;"","")&amp;"␟"&amp;IFERROR(INDEX(PASTE_ALL,$DF114,40)&amp;"","")&amp;"␟"&amp;IFERROR(INDEX(PASTE_ALL,$DF114,41)&amp;"","")&amp;"␟"&amp;IFERROR(INDEX(PASTE_ALL,$DF114,42)&amp;"","")&amp;"␟"&amp;IFERROR(INDEX(PASTE_ALL,$DF114,43)&amp;"","")&amp;"␟"&amp;IFERROR(INDEX(PASTE_ALL,$DF114,44)&amp;"","")&amp;"␟"&amp;IFERROR(INDEX(PASTE_ALL,$DF114,45)&amp;"","")&amp;"␟"&amp;IFERROR(INDEX(PASTE_ALL,$DF114,46)&amp;"","")&amp;"␟"&amp;IFERROR(INDEX(PASTE_ALL,$DF114,47)&amp;"","")&amp;"␟"&amp;IFERROR(INDEX(PASTE_ALL,$DF114,48)&amp;"","")&amp;"␟"&amp;IFERROR(INDEX(PASTE_ALL,$DF114,49)&amp;"","")&amp;"␟"&amp;IFERROR(INDEX(PASTE_ALL,$DF114,50)&amp;"","")&amp;"␟"&amp;IFERROR(INDEX(PASTE_ALL,$DF114,51)&amp;"","")&amp;"␟"&amp;IFERROR(INDEX(PASTE_ALL,$DF114,52)&amp;"","")&amp;"␟"&amp;IFERROR(INDEX(PASTE_ALL,$DF114,53)&amp;"","")&amp;"␟"&amp;IFERROR(INDEX(PASTE_ALL,$DF114,54)&amp;"","")&amp;"␟"&amp;IFERROR(INDEX(PASTE_ALL,$DF114,55)&amp;"","")&amp;"␟"&amp;IFERROR(INDEX(PASTE_ALL,$DF114,56)&amp;"","")&amp;"␟"&amp;IFERROR(INDEX(PASTE_ALL,$DF114,57)&amp;"","")&amp;"␟"&amp;IFERROR(INDEX(PASTE_ALL,$DF114,58)&amp;"","")&amp;"␟"&amp;IFERROR(INDEX(PASTE_ALL,$DF114,59)&amp;"","")&amp;"␟"&amp;IFERROR(INDEX(PASTE_ALL,$DF114,60)&amp;"","")," "," "),CHAR(9)," "),CHAR(10)," "),CHAR(13)," "))," ␟","␟"),"␟ ","␟"),"#"&amp;$DE114),"")</f>
        <v/>
      </c>
      <c r="DJ114">
        <f>IF($DI114="",0,IF(SUMPRODUCT(--EXACT($DI$4:DI113,$DI114))&gt;0,1,0))</f>
        <v/>
      </c>
      <c r="DK114">
        <f>IF(AND($DI114&lt;&gt;"",$DJ114=0),1,0)</f>
        <v/>
      </c>
      <c r="DL114">
        <f>DL113+$DK114</f>
        <v/>
      </c>
      <c r="DM114">
        <f>IF(AND($DK114=1,$DL114&lt;=600),1,0)</f>
        <v/>
      </c>
      <c r="DN114">
        <f>IF($DM114=0,"",IF($L$6=0,"",IFERROR(IF(ISNUMBER(INDEX(PASTE_ALL,$DF114,$L$6)),INDEX(PASTE_ALL,$DF114,$L$6),TRIM(SUBSTITUTE(SUBSTITUTE(SUBSTITUTE(SUBSTITUTE(INDEX(PASTE_ALL,$DF114,$L$6)," "," "),CHAR(9)," "),CHAR(10)," "),CHAR(13)," "))),"")))</f>
        <v/>
      </c>
      <c r="DO114">
        <f>IF($DM114=0,"",IF($L$7=0,"",IFERROR(IF(ISNUMBER(INDEX(PASTE_ALL,$DF114,$L$7)),INDEX(PASTE_ALL,$DF114,$L$7),TRIM(SUBSTITUTE(SUBSTITUTE(SUBSTITUTE(SUBSTITUTE(INDEX(PASTE_ALL,$DF114,$L$7)," "," "),CHAR(9)," "),CHAR(10)," "),CHAR(13)," "))),"")))</f>
        <v/>
      </c>
      <c r="DP114">
        <f>IF($DM114=0,"",IF($L$8=0,"",IFERROR(IF(ISNUMBER(INDEX(PASTE_ALL,$DF114,$L$8)),INDEX(PASTE_ALL,$DF114,$L$8),TRIM(SUBSTITUTE(SUBSTITUTE(SUBSTITUTE(SUBSTITUTE(INDEX(PASTE_ALL,$DF114,$L$8)," "," "),CHAR(9)," "),CHAR(10)," "),CHAR(13)," "))),"")))</f>
        <v/>
      </c>
      <c r="DQ114">
        <f>IF($DM114=0,"",IF($L$9=0,"",IFERROR(IF(ISNUMBER(INDEX(PASTE_ALL,$DF114,$L$9)),INDEX(PASTE_ALL,$DF114,$L$9),TRIM(SUBSTITUTE(SUBSTITUTE(SUBSTITUTE(SUBSTITUTE(INDEX(PASTE_ALL,$DF114,$L$9)," "," "),CHAR(9)," "),CHAR(10)," "),CHAR(13)," "))),"")))</f>
        <v/>
      </c>
      <c r="DR114">
        <f>IF($DM114=0,"",IF($L$10=0,"",IFERROR(IF(ISNUMBER(INDEX(PASTE_ALL,$DF114,$L$10)),INDEX(PASTE_ALL,$DF114,$L$10),TRIM(SUBSTITUTE(SUBSTITUTE(SUBSTITUTE(SUBSTITUTE(INDEX(PASTE_ALL,$DF114,$L$10)," "," "),CHAR(9)," "),CHAR(10)," "),CHAR(13)," "))),"")))</f>
        <v/>
      </c>
      <c r="DS114">
        <f>IF($DM114=0,"",IF($L$11=0,"",IFERROR(IF(ISNUMBER(INDEX(PASTE_ALL,$DF114,$L$11)),INDEX(PASTE_ALL,$DF114,$L$11),TRIM(SUBSTITUTE(SUBSTITUTE(SUBSTITUTE(SUBSTITUTE(INDEX(PASTE_ALL,$DF114,$L$11)," "," "),CHAR(9)," "),CHAR(10)," "),CHAR(13)," "))),"")))</f>
        <v/>
      </c>
      <c r="DT114">
        <f>IF($DM114=0,"",IF($L$12=0,"",IFERROR(IF(ISNUMBER(INDEX(PASTE_ALL,$DF114,$L$12)),INDEX(PASTE_ALL,$DF114,$L$12),TRIM(SUBSTITUTE(SUBSTITUTE(SUBSTITUTE(SUBSTITUTE(INDEX(PASTE_ALL,$DF114,$L$12)," "," "),CHAR(9)," "),CHAR(10)," "),CHAR(13)," "))),"")))</f>
        <v/>
      </c>
      <c r="DU114">
        <f>IF($DM114=0,"",IF($L$13=0,"",IFERROR(IF(ISNUMBER(INDEX(PASTE_ALL,$DF114,$L$13)),INDEX(PASTE_ALL,$DF114,$L$13),TRIM(SUBSTITUTE(SUBSTITUTE(SUBSTITUTE(SUBSTITUTE(INDEX(PASTE_ALL,$DF114,$L$13)," "," "),CHAR(9)," "),CHAR(10)," "),CHAR(13)," "))),"")))</f>
        <v/>
      </c>
      <c r="DV114">
        <f>IF($DM114=0,"",IF($L$14=0,"",IFERROR(IF(ISNUMBER(INDEX(PASTE_ALL,$DF114,$L$14)),INDEX(PASTE_ALL,$DF114,$L$14),TRIM(SUBSTITUTE(SUBSTITUTE(SUBSTITUTE(SUBSTITUTE(INDEX(PASTE_ALL,$DF114,$L$14)," "," "),CHAR(9)," "),CHAR(10)," "),CHAR(13)," "))),"")))</f>
        <v/>
      </c>
      <c r="DW114">
        <f>IF($DM114=0,"",IF($L$15=0,"",IFERROR(IF(ISNUMBER(INDEX(PASTE_ALL,$DF114,$L$15)),INDEX(PASTE_ALL,$DF114,$L$15),IF(SUMPRODUCT(--ISNUMBER(FIND({"A","B","C","D","E","F","G","H","I","J","K","L","M","N","O","P","Q","R","S","T","U","V","W","X","Y","Z","0","1","2","3","4","5","6","7","8","9"},UPPER(TRIM(SUBSTITUTE(SUBSTITUTE(SUBSTITUTE(SUBSTITUTE(INDEX(PASTE_ALL,$DF114,$L$15)," "," "),CHAR(9)," "),CHAR(10)," "),CHAR(13)," "))))))&gt;0,TRIM(SUBSTITUTE(SUBSTITUTE(SUBSTITUTE(SUBSTITUTE(INDEX(PASTE_ALL,$DF114,$L$15)," "," "),CHAR(9)," "),CHAR(10)," "),CHAR(13)," ")),"")),"")))</f>
        <v/>
      </c>
      <c r="DX114">
        <f>IF($DM114=0,"",IF($L$16=0,"",IFERROR(IF(ISNUMBER(INDEX(PASTE_ALL,$DF114,$L$16)),INDEX(PASTE_ALL,$DF114,$L$16),SUBSTITUTE(SUBSTITUTE(TRIM(SUBSTITUTE(SUBSTITUTE(SUBSTITUTE(SUBSTITUTE(INDEX(PASTE_ALL,$DF114,$L$16)," "," "),CHAR(9)," "),CHAR(10)," "),CHAR(13)," ")),",",""),"%","")),"")))</f>
        <v/>
      </c>
      <c r="DY114">
        <f>IF($DM114=0,"",IFERROR(IF(ISNUMBER($DX114),$DX114,IF($DX114="","",IF(TRIM($DX114)="",0,IF(AND(AND(SUBSTITUTE(SUBSTITUTE(SUBSTITUTE(SUBSTITUTE(SUBSTITUTE(SUBSTITUTE(SUBSTITUTE(SUBSTITUTE(SUBSTITUTE(SUBSTITUTE(SUBSTITUTE(SUBSTITUTE(SUBSTITUTE(SUBSTITUTE(UPPER(TRIM($DX114)),"0",""),"1",""),"2",""),"3",""),"4",""),"5",""),"6",""),"7",""),"8",""),"9",""),".",""),"+",""),"-",""),"E","")="",LEN(SUBSTITUTE(SUBSTITUTE(MID(UPPER(TRIM($DX114)),1+OR(LEFT(UPPER(TRIM($DX114)),1)="+",LEFT(UPPER(TRIM($DX114)),1)="-"),999),"E+","E"),"E-","E"))=LEN(SUBSTITUTE(SUBSTITUTE(SUBSTITUTE(SUBSTITUTE(MID(UPPER(TRIM($DX114)),1+OR(LEFT(UPPER(TRIM($DX114)),1)="+",LEFT(UPPER(TRIM($DX114)),1)="-"),999),"E+","E"),"E-","E"),"+",""),"-","")),LEN(UPPER(TRIM($DX114)))-LEN(SUBSTITUTE(UPPER(TRIM($DX114)),"E",""))&lt;2,LEN(UPPER(TRIM($DX114)))-LEN(SUBSTITUTE(UPPER(TRIM($DX114)),".",""))&lt;2,IFERROR(FIND(".",UPPER(TRIM($DX114))),0)&lt;IFERROR(FIND("E",UPPER(TRIM($DX114))),999)),ISNUMBER(VALUE(TRIM($DX114)))),VALUE(TRIM($DX114)),"")))),""))</f>
        <v/>
      </c>
      <c r="DZ114">
        <f>IF($DM114=0,"",IF($L$17=0,"",IFERROR(IF(ISNUMBER(INDEX(PASTE_ALL,$DF114,$L$17)),INDEX(PASTE_ALL,$DF114,$L$17),SUBSTITUTE(SUBSTITUTE(TRIM(SUBSTITUTE(SUBSTITUTE(SUBSTITUTE(SUBSTITUTE(INDEX(PASTE_ALL,$DF114,$L$17)," "," "),CHAR(9)," "),CHAR(10)," "),CHAR(13)," ")),",",""),"%","")),"")))</f>
        <v/>
      </c>
      <c r="EA114">
        <f>IF($DM114=0,"",IFERROR(IF(ISNUMBER($DZ114),$DZ114,IF($DZ114="","",IF(TRIM($DZ114)="",0,IF(AND(AND(SUBSTITUTE(SUBSTITUTE(SUBSTITUTE(SUBSTITUTE(SUBSTITUTE(SUBSTITUTE(SUBSTITUTE(SUBSTITUTE(SUBSTITUTE(SUBSTITUTE(SUBSTITUTE(SUBSTITUTE(SUBSTITUTE(SUBSTITUTE(UPPER(TRIM($DZ114)),"0",""),"1",""),"2",""),"3",""),"4",""),"5",""),"6",""),"7",""),"8",""),"9",""),".",""),"+",""),"-",""),"E","")="",LEN(SUBSTITUTE(SUBSTITUTE(MID(UPPER(TRIM($DZ114)),1+OR(LEFT(UPPER(TRIM($DZ114)),1)="+",LEFT(UPPER(TRIM($DZ114)),1)="-"),999),"E+","E"),"E-","E"))=LEN(SUBSTITUTE(SUBSTITUTE(SUBSTITUTE(SUBSTITUTE(MID(UPPER(TRIM($DZ114)),1+OR(LEFT(UPPER(TRIM($DZ114)),1)="+",LEFT(UPPER(TRIM($DZ114)),1)="-"),999),"E+","E"),"E-","E"),"+",""),"-","")),LEN(UPPER(TRIM($DZ114)))-LEN(SUBSTITUTE(UPPER(TRIM($DZ114)),"E",""))&lt;2,LEN(UPPER(TRIM($DZ114)))-LEN(SUBSTITUTE(UPPER(TRIM($DZ114)),".",""))&lt;2,IFERROR(FIND(".",UPPER(TRIM($DZ114))),0)&lt;IFERROR(FIND("E",UPPER(TRIM($DZ114))),999)),ISNUMBER(VALUE(TRIM($DZ114)))),VALUE(TRIM($DZ114)),"")))),""))</f>
        <v/>
      </c>
      <c r="EB114">
        <f>IF($DM114=0,"",IF($L$18=0,"",IFERROR(IF(UPPER(TRIM(SUBSTITUTE(SUBSTITUTE(SUBSTITUTE(SUBSTITUTE(INDEX(PASTE_ALL,$DF114,$L$18)," "," "),CHAR(9)," "),CHAR(10)," "),CHAR(13)," ")))="READY","Ready",IF(UPPER(TRIM(SUBSTITUTE(SUBSTITUTE(SUBSTITUTE(SUBSTITUTE(INDEX(PASTE_ALL,$DF114,$L$18)," "," "),CHAR(9)," "),CHAR(10)," "),CHAR(13)," ")))="PM","PM",IF(OR(UPPER(TRIM(SUBSTITUTE(SUBSTITUTE(SUBSTITUTE(SUBSTITUTE(INDEX(PASTE_ALL,$DF114,$L$18)," "," "),CHAR(9)," "),CHAR(10)," "),CHAR(13)," ")))="OT",UPPER(TRIM(SUBSTITUTE(SUBSTITUTE(SUBSTITUTE(SUBSTITUTE(INDEX(PASTE_ALL,$DF114,$L$18)," "," "),CHAR(9)," "),CHAR(10)," "),CHAR(13)," ")))="OVERTIME",UPPER(TRIM(SUBSTITUTE(SUBSTITUTE(SUBSTITUTE(SUBSTITUTE(INDEX(PASTE_ALL,$DF114,$L$18)," "," "),CHAR(9)," "),CHAR(10)," "),CHAR(13)," ")))="TRIAL"),"OT",TRIM(SUBSTITUTE(SUBSTITUTE(SUBSTITUTE(SUBSTITUTE(INDEX(PASTE_ALL,$DF114,$L$18)," "," "),CHAR(9)," "),CHAR(10)," "),CHAR(13)," "))))),"")))</f>
        <v/>
      </c>
      <c r="EC114">
        <f>IF($DM114=0,"",IF($L$19=0,"",IFERROR(IF(ISNUMBER(INDEX(PASTE_ALL,$DF114,$L$19)),INDEX(PASTE_ALL,$DF114,$L$19),TRIM(SUBSTITUTE(SUBSTITUTE(SUBSTITUTE(SUBSTITUTE(INDEX(PASTE_ALL,$DF114,$L$19)," "," "),CHAR(9)," "),CHAR(10)," "),CHAR(13)," "))),"")))</f>
        <v/>
      </c>
      <c r="ED114">
        <f>IF($DM114=0,"",MATCH(1,INDEX(EXACT($DH$5:DH114,$DH114)*$DM$5:DM114,0),0))</f>
        <v/>
      </c>
      <c r="EE114">
        <f>IF($DM114=0,0,IF($ED114=$DE114,1,0))</f>
        <v/>
      </c>
      <c r="EF114">
        <f>EF113+$EE114</f>
        <v/>
      </c>
      <c r="EG114">
        <f>IF($DM114=0,"",INDEX($EF$5:$EF$1003,$ED114))</f>
        <v/>
      </c>
      <c r="EH114">
        <f>IF($DM114=0,"",IF($DO114&lt;&gt;"","",IFERROR(LOOKUP(2,1/(($EG$4:EG113=$EG114)*($DO$4:DO113&lt;&gt;"")),$DO$4:DO113),"")))</f>
        <v/>
      </c>
      <c r="EI114">
        <f>IF($DM114=0,"",IF($DO114&lt;&gt;"",$DO114,$EH114))</f>
        <v/>
      </c>
      <c r="EJ114">
        <f>IF($DM114=0,"",IF($EI114="",0,IF(OR(ISNUMBER($EI114),AND(AND(SUBSTITUTE(SUBSTITUTE(SUBSTITUTE(SUBSTITUTE(SUBSTITUTE(SUBSTITUTE(SUBSTITUTE(SUBSTITUTE(SUBSTITUTE(SUBSTITUTE(SUBSTITUTE(SUBSTITUTE(SUBSTITUTE(SUBSTITUTE(UPPER($EI114),"0",""),"1",""),"2",""),"3",""),"4",""),"5",""),"6",""),"7",""),"8",""),"9",""),".",""),"+",""),"-",""),"E","")="",LEN(SUBSTITUTE(SUBSTITUTE(MID(UPPER($EI114),1+OR(LEFT(UPPER($EI114),1)="+",LEFT(UPPER($EI114),1)="-"),999),"E+","E"),"E-","E"))=LEN(SUBSTITUTE(SUBSTITUTE(SUBSTITUTE(SUBSTITUTE(MID(UPPER($EI114),1+OR(LEFT(UPPER($EI114),1)="+",LEFT(UPPER($EI114),1)="-"),999),"E+","E"),"E-","E"),"+",""),"-","")),LEN(UPPER($EI114))-LEN(SUBSTITUTE(UPPER($EI114),"E",""))&lt;2,LEN(UPPER($EI114))-LEN(SUBSTITUTE(UPPER($EI114),".",""))&lt;2,IFERROR(FIND(".",UPPER($EI114)),0)&lt;IFERROR(FIND("E",UPPER($EI114)),999)),ISNUMBER(VALUE($EI114)))),1,2)))</f>
        <v/>
      </c>
      <c r="EK114">
        <f>IF($DM114=0,"",IF($EJ114=1,IF(ISNUMBER($EI114),$EI114,VALUE($EI114)),IF($EJ114=2,$DE114,0)))</f>
        <v/>
      </c>
      <c r="EL114">
        <f>IF($DM114=0,"",COUNTIF($EG$5:$EG$1003,"&lt;"&amp;$EG114)+SUMPRODUCT(($EG$5:$EG$1003=$EG114)*(($EJ$5:$EJ$1003&lt;$EJ114)+($EJ$5:$EJ$1003=$EJ114)*(($EK$5:$EK$1003&lt;$EK114)+($EK$5:$EK$1003=$EK114)*($DE$5:$DE$1003&lt;$DE114))))+1)</f>
        <v/>
      </c>
      <c r="EM114">
        <f>IF($DM114=0,"",$EL114+$EG114-1)</f>
        <v/>
      </c>
      <c r="EN114">
        <f>IF($DM114=0,0,IFERROR(MATCH(1,INDEX(--(TRIM(SUBSTITUTE(SUBSTITUTE(SUBSTITUTE(SUBSTITUTE(LINES_NAME&amp;""," "," "),CHAR(9)," "),CHAR(10)," "),CHAR(13)," "))=$DH114),0),0),0))</f>
        <v/>
      </c>
      <c r="EO114">
        <f>IF($EN114=0,0,IF(OR(UPPER(TRIM(INDEX(LINES_SCHEDULED,$EN114)&amp;""))="YES",UPPER(TRIM(INDEX(LINES_SCHEDULED,$EN114)&amp;""))="Y",UPPER(TRIM(INDEX(LINES_SCHEDULED,$EN114)&amp;""))="X"),1,0))</f>
        <v/>
      </c>
      <c r="EP114">
        <f>IF($DM114=0,"",IF(COUNTIFS($EG$5:$EG$1003,$EG114,$EB$5:$EB$1003,"Ready")&gt;0,"READY",IF(COUNTIFS($EG$5:$EG$1003,$EG114,$EB$5:$EB$1003,"PM")&gt;0,"PM",IF(COUNTIFS($EG$5:$EG$1003,$EG114,$EB$5:$EB$1003,"OT")&gt;0,"OT",""))))</f>
        <v/>
      </c>
      <c r="EQ114">
        <f>IF($EN114=0,"",UPPER(TRIM(INDEX(LINES_STATUS,$EN114)&amp;"")))</f>
        <v/>
      </c>
      <c r="ER114">
        <f>IF($DM114=0,"",IF(OR($EQ114="READY",$EQ114="PM",$EQ114="OT"),$EQ114,$EP114))</f>
        <v/>
      </c>
      <c r="ES114">
        <f>IF($DM114=0,"",IF(AND($DV114&lt;&gt;"",UPPER($DV114)&lt;&gt;"N"),"allergen",IF(ISNUMBER(SEARCH("oil",$DQ114)),"oil",IF(OR(EXACT($DS114,"A662"),EXACT($DS114,"A624")),"bulk",""))))</f>
        <v/>
      </c>
      <c r="ET114">
        <f>IF($DM114=0,"",IF(OR($EA114="",$EA114=0),"",$EA114/100))</f>
        <v/>
      </c>
      <c r="EU114">
        <f>IF(OR($ET114="",$DY114=""),"",INT($DY114*(1-$ET114)+0.5))</f>
        <v/>
      </c>
      <c r="EW114" t="n">
        <v>110</v>
      </c>
      <c r="EX114">
        <f>IFERROR(MATCH($EW114,$EM$5:$EM$1003,0),0)</f>
        <v/>
      </c>
      <c r="EY114">
        <f>IF($EW114&gt;$B$12,"",IF($EX114&gt;0,"row","spacer"))</f>
        <v/>
      </c>
      <c r="EZ114">
        <f>IF(AND($EY114="row",$EY113&lt;&gt;"row"),1,0)</f>
        <v/>
      </c>
      <c r="FA114">
        <f>IF(AND($EY114="row",$EY115&lt;&gt;"row"),1,0)</f>
        <v/>
      </c>
      <c r="FB114">
        <f>IF($EZ114=1,IFERROR(IF(ISNUMBER(INDEX(PASTE_ALL,INDEX($DF$5:$DF$1003,$EX114),$B$37)),INDEX(PASTE_ALL,INDEX($DF$5:$DF$1003,$EX114),$B$37),INDEX($DH$5:$DH$1003,$EX114)),INDEX($DH$5:$DH$1003,$EX114)),"")</f>
        <v/>
      </c>
      <c r="FC114">
        <f>IF($EY114="row",INDEX($ER$5:$ER$1003,$EX114),"")</f>
        <v/>
      </c>
      <c r="FD114">
        <f>IF($EY114="row",INDEX($DN$5:$DN$1003,$EX114),"")</f>
        <v/>
      </c>
      <c r="FE114">
        <f>IF($EY114="row",INDEX($DO$5:$DO$1003,$EX114),"")</f>
        <v/>
      </c>
      <c r="FF114">
        <f>IF($EY114="row",INDEX($DP$5:$DP$1003,$EX114),"")</f>
        <v/>
      </c>
      <c r="FG114">
        <f>IF($EY114="row",INDEX($DQ$5:$DQ$1003,$EX114),"")</f>
        <v/>
      </c>
      <c r="FH114">
        <f>IF($EY114="row",INDEX($DR$5:$DR$1003,$EX114),"")</f>
        <v/>
      </c>
      <c r="FI114">
        <f>IF($EY114="row",INDEX($DS$5:$DS$1003,$EX114),"")</f>
        <v/>
      </c>
      <c r="FJ114">
        <f>IF($EY114="row",INDEX($DT$5:$DT$1003,$EX114),"")</f>
        <v/>
      </c>
      <c r="FK114">
        <f>IF($EY114="row",INDEX($DU$5:$DU$1003,$EX114),"")</f>
        <v/>
      </c>
      <c r="FL114">
        <f>IF($EY114="row",INDEX($DV$5:$DV$1003,$EX114),"")</f>
        <v/>
      </c>
      <c r="FM114">
        <f>IF($EY114="row",INDEX($DW$5:$DW$1003,$EX114),"")</f>
        <v/>
      </c>
      <c r="FN114">
        <f>IF($EY114="row",INDEX($DY$5:$DY$1003,$EX114),"")</f>
        <v/>
      </c>
      <c r="FO114">
        <f>IF($EY114="row",INDEX($EA$5:$EA$1003,$EX114),"")</f>
        <v/>
      </c>
      <c r="FP114">
        <f>IF($EY114="row",INDEX($EC$5:$EC$1003,$EX114),"")</f>
        <v/>
      </c>
      <c r="FQ114">
        <f>IF($EY114="row",INDEX($ET$5:$ET$1003,$EX114),"")</f>
        <v/>
      </c>
      <c r="FR114">
        <f>IF($EY114="row",INDEX($EU$5:$EU$1003,$EX114),"")</f>
        <v/>
      </c>
      <c r="FS114">
        <f>IF(AND($EY114="row",$EY113="row"),IF(OR(INDEX($DT$5:$DT$1003,$EX113)="",INDEX($DT$5:$DT$1003,$EX114)=""),"",IF(NOT(EXACT(INDEX($DT$5:$DT$1003,$EX113),INDEX($DT$5:$DT$1003,$EX114))),"S4",IF(NOT(EXACT(INDEX($DS$5:$DS$1003,$EX113),INDEX($DS$5:$DS$1003,$EX114))),"S3",IF(NOT(EXACT(INDEX($DR$5:$DR$1003,$EX113),INDEX($DR$5:$DR$1003,$EX114))),"S1 Count Change","S1")))),"")</f>
        <v/>
      </c>
      <c r="FT114">
        <f>IF($EY114="row",INDEX($ES$5:$ES$1003,$EX114),"")</f>
        <v/>
      </c>
      <c r="FU114">
        <f>IF($EY114="row",INDEX($EO$5:$EO$1003,$EX114),0)</f>
        <v/>
      </c>
      <c r="FV114">
        <f>IF($FS114="S1 Count Change",1,0)</f>
        <v/>
      </c>
    </row>
    <row r="115">
      <c r="Y115">
        <f>IF(Y25="",0,IFERROR(INDEX($W$5:$W$86,MATCH(Y25,$V$5:$V$86,0)),0))</f>
        <v/>
      </c>
      <c r="Z115">
        <f>IF(Z25="",0,IFERROR(INDEX($W$5:$W$86,MATCH(Z25,$V$5:$V$86,0)),0))</f>
        <v/>
      </c>
      <c r="AA115">
        <f>IF(AA25="",0,IFERROR(INDEX($W$5:$W$86,MATCH(AA25,$V$5:$V$86,0)),0))</f>
        <v/>
      </c>
      <c r="AB115">
        <f>IF(AB25="",0,IFERROR(INDEX($W$5:$W$86,MATCH(AB25,$V$5:$V$86,0)),0))</f>
        <v/>
      </c>
      <c r="AC115">
        <f>IF(AC25="",0,IFERROR(INDEX($W$5:$W$86,MATCH(AC25,$V$5:$V$86,0)),0))</f>
        <v/>
      </c>
      <c r="AD115">
        <f>IF(AD25="",0,IFERROR(INDEX($W$5:$W$86,MATCH(AD25,$V$5:$V$86,0)),0))</f>
        <v/>
      </c>
      <c r="AE115">
        <f>IF(AE25="",0,IFERROR(INDEX($W$5:$W$86,MATCH(AE25,$V$5:$V$86,0)),0))</f>
        <v/>
      </c>
      <c r="AF115">
        <f>IF(AF25="",0,IFERROR(INDEX($W$5:$W$86,MATCH(AF25,$V$5:$V$86,0)),0))</f>
        <v/>
      </c>
      <c r="AG115">
        <f>IF(AG25="",0,IFERROR(INDEX($W$5:$W$86,MATCH(AG25,$V$5:$V$86,0)),0))</f>
        <v/>
      </c>
      <c r="AH115">
        <f>IF(AH25="",0,IFERROR(INDEX($W$5:$W$86,MATCH(AH25,$V$5:$V$86,0)),0))</f>
        <v/>
      </c>
      <c r="AI115">
        <f>IF(AI25="",0,IFERROR(INDEX($W$5:$W$86,MATCH(AI25,$V$5:$V$86,0)),0))</f>
        <v/>
      </c>
      <c r="AJ115">
        <f>IF(AJ25="",0,IFERROR(INDEX($W$5:$W$86,MATCH(AJ25,$V$5:$V$86,0)),0))</f>
        <v/>
      </c>
      <c r="AK115">
        <f>IF(AK25="",0,IFERROR(INDEX($W$5:$W$86,MATCH(AK25,$V$5:$V$86,0)),0))</f>
        <v/>
      </c>
      <c r="AL115">
        <f>IF(AL25="",0,IFERROR(INDEX($W$5:$W$86,MATCH(AL25,$V$5:$V$86,0)),0))</f>
        <v/>
      </c>
      <c r="AM115">
        <f>IF(AM25="",0,IFERROR(INDEX($W$5:$W$86,MATCH(AM25,$V$5:$V$86,0)),0))</f>
        <v/>
      </c>
      <c r="AN115">
        <f>IF(AN25="",0,IFERROR(INDEX($W$5:$W$86,MATCH(AN25,$V$5:$V$86,0)),0))</f>
        <v/>
      </c>
      <c r="AO115">
        <f>IF(AO25="",0,IFERROR(INDEX($W$5:$W$86,MATCH(AO25,$V$5:$V$86,0)),0))</f>
        <v/>
      </c>
      <c r="AP115">
        <f>IF(AP25="",0,IFERROR(INDEX($W$5:$W$86,MATCH(AP25,$V$5:$V$86,0)),0))</f>
        <v/>
      </c>
      <c r="AQ115">
        <f>IF(AQ25="",0,IFERROR(INDEX($W$5:$W$86,MATCH(AQ25,$V$5:$V$86,0)),0))</f>
        <v/>
      </c>
      <c r="AR115">
        <f>IF(AR25="",0,IFERROR(INDEX($W$5:$W$86,MATCH(AR25,$V$5:$V$86,0)),0))</f>
        <v/>
      </c>
      <c r="AS115">
        <f>IF(AS25="",0,IFERROR(INDEX($W$5:$W$86,MATCH(AS25,$V$5:$V$86,0)),0))</f>
        <v/>
      </c>
      <c r="AT115">
        <f>IF(AT25="",0,IFERROR(INDEX($W$5:$W$86,MATCH(AT25,$V$5:$V$86,0)),0))</f>
        <v/>
      </c>
      <c r="AU115">
        <f>IF(AU25="",0,IFERROR(INDEX($W$5:$W$86,MATCH(AU25,$V$5:$V$86,0)),0))</f>
        <v/>
      </c>
      <c r="AV115">
        <f>IF(AV25="",0,IFERROR(INDEX($W$5:$W$86,MATCH(AV25,$V$5:$V$86,0)),0))</f>
        <v/>
      </c>
      <c r="AW115">
        <f>IF(AW25="",0,IFERROR(INDEX($W$5:$W$86,MATCH(AW25,$V$5:$V$86,0)),0))</f>
        <v/>
      </c>
      <c r="AX115">
        <f>IF(AX25="",0,IFERROR(INDEX($W$5:$W$86,MATCH(AX25,$V$5:$V$86,0)),0))</f>
        <v/>
      </c>
      <c r="AY115">
        <f>IF(AY25="",0,IFERROR(INDEX($W$5:$W$86,MATCH(AY25,$V$5:$V$86,0)),0))</f>
        <v/>
      </c>
      <c r="AZ115">
        <f>IF(AZ25="",0,IFERROR(INDEX($W$5:$W$86,MATCH(AZ25,$V$5:$V$86,0)),0))</f>
        <v/>
      </c>
      <c r="BA115">
        <f>IF(BA25="",0,IFERROR(INDEX($W$5:$W$86,MATCH(BA25,$V$5:$V$86,0)),0))</f>
        <v/>
      </c>
      <c r="BB115">
        <f>IF(BB25="",0,IFERROR(INDEX($W$5:$W$86,MATCH(BB25,$V$5:$V$86,0)),0))</f>
        <v/>
      </c>
      <c r="BC115">
        <f>IF(BC25="",0,IFERROR(INDEX($W$5:$W$86,MATCH(BC25,$V$5:$V$86,0)),0))</f>
        <v/>
      </c>
      <c r="BD115">
        <f>IF(BD25="",0,IFERROR(INDEX($W$5:$W$86,MATCH(BD25,$V$5:$V$86,0)),0))</f>
        <v/>
      </c>
      <c r="BE115">
        <f>IF(BE25="",0,IFERROR(INDEX($W$5:$W$86,MATCH(BE25,$V$5:$V$86,0)),0))</f>
        <v/>
      </c>
      <c r="BF115">
        <f>IF(BF25="",0,IFERROR(INDEX($W$5:$W$86,MATCH(BF25,$V$5:$V$86,0)),0))</f>
        <v/>
      </c>
      <c r="BG115">
        <f>IF(BG25="",0,IFERROR(INDEX($W$5:$W$86,MATCH(BG25,$V$5:$V$86,0)),0))</f>
        <v/>
      </c>
      <c r="BH115">
        <f>IF(BH25="",0,IFERROR(INDEX($W$5:$W$86,MATCH(BH25,$V$5:$V$86,0)),0))</f>
        <v/>
      </c>
      <c r="BI115">
        <f>IF(BI25="",0,IFERROR(INDEX($W$5:$W$86,MATCH(BI25,$V$5:$V$86,0)),0))</f>
        <v/>
      </c>
      <c r="BJ115">
        <f>IF(BJ25="",0,IFERROR(INDEX($W$5:$W$86,MATCH(BJ25,$V$5:$V$86,0)),0))</f>
        <v/>
      </c>
      <c r="BK115">
        <f>IF(BK25="",0,IFERROR(INDEX($W$5:$W$86,MATCH(BK25,$V$5:$V$86,0)),0))</f>
        <v/>
      </c>
      <c r="BL115">
        <f>IF(BL25="",0,IFERROR(INDEX($W$5:$W$86,MATCH(BL25,$V$5:$V$86,0)),0))</f>
        <v/>
      </c>
      <c r="BM115">
        <f>IF(BM25="",0,IFERROR(INDEX($W$5:$W$86,MATCH(BM25,$V$5:$V$86,0)),0))</f>
        <v/>
      </c>
      <c r="BN115">
        <f>IF(BN25="",0,IFERROR(INDEX($W$5:$W$86,MATCH(BN25,$V$5:$V$86,0)),0))</f>
        <v/>
      </c>
      <c r="BO115">
        <f>IF(BO25="",0,IFERROR(INDEX($W$5:$W$86,MATCH(BO25,$V$5:$V$86,0)),0))</f>
        <v/>
      </c>
      <c r="BP115">
        <f>IF(BP25="",0,IFERROR(INDEX($W$5:$W$86,MATCH(BP25,$V$5:$V$86,0)),0))</f>
        <v/>
      </c>
      <c r="BQ115">
        <f>IF(BQ25="",0,IFERROR(INDEX($W$5:$W$86,MATCH(BQ25,$V$5:$V$86,0)),0))</f>
        <v/>
      </c>
      <c r="BR115">
        <f>IF(BR25="",0,IFERROR(INDEX($W$5:$W$86,MATCH(BR25,$V$5:$V$86,0)),0))</f>
        <v/>
      </c>
      <c r="BS115">
        <f>IF(BS25="",0,IFERROR(INDEX($W$5:$W$86,MATCH(BS25,$V$5:$V$86,0)),0))</f>
        <v/>
      </c>
      <c r="BT115">
        <f>IF(BT25="",0,IFERROR(INDEX($W$5:$W$86,MATCH(BT25,$V$5:$V$86,0)),0))</f>
        <v/>
      </c>
      <c r="BU115">
        <f>IF(BU25="",0,IFERROR(INDEX($W$5:$W$86,MATCH(BU25,$V$5:$V$86,0)),0))</f>
        <v/>
      </c>
      <c r="BV115">
        <f>IF(BV25="",0,IFERROR(INDEX($W$5:$W$86,MATCH(BV25,$V$5:$V$86,0)),0))</f>
        <v/>
      </c>
      <c r="BW115">
        <f>IF(BW25="",0,IFERROR(INDEX($W$5:$W$86,MATCH(BW25,$V$5:$V$86,0)),0))</f>
        <v/>
      </c>
      <c r="BX115">
        <f>IF(BX25="",0,IFERROR(INDEX($W$5:$W$86,MATCH(BX25,$V$5:$V$86,0)),0))</f>
        <v/>
      </c>
      <c r="BY115">
        <f>IF(BY25="",0,IFERROR(INDEX($W$5:$W$86,MATCH(BY25,$V$5:$V$86,0)),0))</f>
        <v/>
      </c>
      <c r="BZ115">
        <f>IF(BZ25="",0,IFERROR(INDEX($W$5:$W$86,MATCH(BZ25,$V$5:$V$86,0)),0))</f>
        <v/>
      </c>
      <c r="CA115">
        <f>IF(CA25="",0,IFERROR(INDEX($W$5:$W$86,MATCH(CA25,$V$5:$V$86,0)),0))</f>
        <v/>
      </c>
      <c r="CB115">
        <f>IF(CB25="",0,IFERROR(INDEX($W$5:$W$86,MATCH(CB25,$V$5:$V$86,0)),0))</f>
        <v/>
      </c>
      <c r="CC115">
        <f>IF(CC25="",0,IFERROR(INDEX($W$5:$W$86,MATCH(CC25,$V$5:$V$86,0)),0))</f>
        <v/>
      </c>
      <c r="CD115">
        <f>IF(CD25="",0,IFERROR(INDEX($W$5:$W$86,MATCH(CD25,$V$5:$V$86,0)),0))</f>
        <v/>
      </c>
      <c r="CE115">
        <f>IF(CE25="",0,IFERROR(INDEX($W$5:$W$86,MATCH(CE25,$V$5:$V$86,0)),0))</f>
        <v/>
      </c>
      <c r="CF115">
        <f>IF(CF25="",0,IFERROR(INDEX($W$5:$W$86,MATCH(CF25,$V$5:$V$86,0)),0))</f>
        <v/>
      </c>
      <c r="DA115" t="n">
        <v>111</v>
      </c>
      <c r="DB115">
        <f>IF($B$37=0,"",IFERROR(TRIM(SUBSTITUTE(SUBSTITUTE(SUBSTITUTE(SUBSTITUTE(INDEX(PASTE_ALL,111,$B$37)," "," "),CHAR(9)," "),CHAR(10)," "),CHAR(13)," ")),""))</f>
        <v/>
      </c>
      <c r="DC115">
        <f>IF(AND(111&gt;HEADER_ROW,UPPER(DB115)="LEGEND"),1,0)</f>
        <v/>
      </c>
      <c r="DE115" t="n">
        <v>111</v>
      </c>
      <c r="DF115">
        <f>HEADER_ROW+$DE115</f>
        <v/>
      </c>
      <c r="DG115">
        <f>IF(AND($DF115&lt;=1000,$DF115&lt;$B$8),1,0)</f>
        <v/>
      </c>
      <c r="DH115">
        <f>IF($DG115=1,IFERROR(INDEX($DB$5:$DB$1004,$DF115),""),"")</f>
        <v/>
      </c>
      <c r="DI115">
        <f>IF(AND($DG115=1,$DH115&lt;&gt;""),IFERROR(SUBSTITUTE(SUBSTITUTE(TRIM(SUBSTITUTE(SUBSTITUTE(SUBSTITUTE(SUBSTITUTE(IFERROR(INDEX(PASTE_ALL,$DF115,1)&amp;"","")&amp;"␟"&amp;IFERROR(INDEX(PASTE_ALL,$DF115,2)&amp;"","")&amp;"␟"&amp;IFERROR(INDEX(PASTE_ALL,$DF115,3)&amp;"","")&amp;"␟"&amp;IFERROR(INDEX(PASTE_ALL,$DF115,4)&amp;"","")&amp;"␟"&amp;IFERROR(INDEX(PASTE_ALL,$DF115,5)&amp;"","")&amp;"␟"&amp;IFERROR(INDEX(PASTE_ALL,$DF115,6)&amp;"","")&amp;"␟"&amp;IFERROR(INDEX(PASTE_ALL,$DF115,7)&amp;"","")&amp;"␟"&amp;IFERROR(INDEX(PASTE_ALL,$DF115,8)&amp;"","")&amp;"␟"&amp;IFERROR(INDEX(PASTE_ALL,$DF115,9)&amp;"","")&amp;"␟"&amp;IFERROR(INDEX(PASTE_ALL,$DF115,10)&amp;"","")&amp;"␟"&amp;IFERROR(INDEX(PASTE_ALL,$DF115,11)&amp;"","")&amp;"␟"&amp;IFERROR(INDEX(PASTE_ALL,$DF115,12)&amp;"","")&amp;"␟"&amp;IFERROR(INDEX(PASTE_ALL,$DF115,13)&amp;"","")&amp;"␟"&amp;IFERROR(INDEX(PASTE_ALL,$DF115,14)&amp;"","")&amp;"␟"&amp;IFERROR(INDEX(PASTE_ALL,$DF115,15)&amp;"","")&amp;"␟"&amp;IFERROR(INDEX(PASTE_ALL,$DF115,16)&amp;"","")&amp;"␟"&amp;IFERROR(INDEX(PASTE_ALL,$DF115,17)&amp;"","")&amp;"␟"&amp;IFERROR(INDEX(PASTE_ALL,$DF115,18)&amp;"","")&amp;"␟"&amp;IFERROR(INDEX(PASTE_ALL,$DF115,19)&amp;"","")&amp;"␟"&amp;IFERROR(INDEX(PASTE_ALL,$DF115,20)&amp;"","")&amp;"␟"&amp;IFERROR(INDEX(PASTE_ALL,$DF115,21)&amp;"","")&amp;"␟"&amp;IFERROR(INDEX(PASTE_ALL,$DF115,22)&amp;"","")&amp;"␟"&amp;IFERROR(INDEX(PASTE_ALL,$DF115,23)&amp;"","")&amp;"␟"&amp;IFERROR(INDEX(PASTE_ALL,$DF115,24)&amp;"","")&amp;"␟"&amp;IFERROR(INDEX(PASTE_ALL,$DF115,25)&amp;"","")&amp;"␟"&amp;IFERROR(INDEX(PASTE_ALL,$DF115,26)&amp;"","")&amp;"␟"&amp;IFERROR(INDEX(PASTE_ALL,$DF115,27)&amp;"","")&amp;"␟"&amp;IFERROR(INDEX(PASTE_ALL,$DF115,28)&amp;"","")&amp;"␟"&amp;IFERROR(INDEX(PASTE_ALL,$DF115,29)&amp;"","")&amp;"␟"&amp;IFERROR(INDEX(PASTE_ALL,$DF115,30)&amp;"","")&amp;"␟"&amp;IFERROR(INDEX(PASTE_ALL,$DF115,31)&amp;"","")&amp;"␟"&amp;IFERROR(INDEX(PASTE_ALL,$DF115,32)&amp;"","")&amp;"␟"&amp;IFERROR(INDEX(PASTE_ALL,$DF115,33)&amp;"","")&amp;"␟"&amp;IFERROR(INDEX(PASTE_ALL,$DF115,34)&amp;"","")&amp;"␟"&amp;IFERROR(INDEX(PASTE_ALL,$DF115,35)&amp;"","")&amp;"␟"&amp;IFERROR(INDEX(PASTE_ALL,$DF115,36)&amp;"","")&amp;"␟"&amp;IFERROR(INDEX(PASTE_ALL,$DF115,37)&amp;"","")&amp;"␟"&amp;IFERROR(INDEX(PASTE_ALL,$DF115,38)&amp;"","")&amp;"␟"&amp;IFERROR(INDEX(PASTE_ALL,$DF115,39)&amp;"","")&amp;"␟"&amp;IFERROR(INDEX(PASTE_ALL,$DF115,40)&amp;"","")&amp;"␟"&amp;IFERROR(INDEX(PASTE_ALL,$DF115,41)&amp;"","")&amp;"␟"&amp;IFERROR(INDEX(PASTE_ALL,$DF115,42)&amp;"","")&amp;"␟"&amp;IFERROR(INDEX(PASTE_ALL,$DF115,43)&amp;"","")&amp;"␟"&amp;IFERROR(INDEX(PASTE_ALL,$DF115,44)&amp;"","")&amp;"␟"&amp;IFERROR(INDEX(PASTE_ALL,$DF115,45)&amp;"","")&amp;"␟"&amp;IFERROR(INDEX(PASTE_ALL,$DF115,46)&amp;"","")&amp;"␟"&amp;IFERROR(INDEX(PASTE_ALL,$DF115,47)&amp;"","")&amp;"␟"&amp;IFERROR(INDEX(PASTE_ALL,$DF115,48)&amp;"","")&amp;"␟"&amp;IFERROR(INDEX(PASTE_ALL,$DF115,49)&amp;"","")&amp;"␟"&amp;IFERROR(INDEX(PASTE_ALL,$DF115,50)&amp;"","")&amp;"␟"&amp;IFERROR(INDEX(PASTE_ALL,$DF115,51)&amp;"","")&amp;"␟"&amp;IFERROR(INDEX(PASTE_ALL,$DF115,52)&amp;"","")&amp;"␟"&amp;IFERROR(INDEX(PASTE_ALL,$DF115,53)&amp;"","")&amp;"␟"&amp;IFERROR(INDEX(PASTE_ALL,$DF115,54)&amp;"","")&amp;"␟"&amp;IFERROR(INDEX(PASTE_ALL,$DF115,55)&amp;"","")&amp;"␟"&amp;IFERROR(INDEX(PASTE_ALL,$DF115,56)&amp;"","")&amp;"␟"&amp;IFERROR(INDEX(PASTE_ALL,$DF115,57)&amp;"","")&amp;"␟"&amp;IFERROR(INDEX(PASTE_ALL,$DF115,58)&amp;"","")&amp;"␟"&amp;IFERROR(INDEX(PASTE_ALL,$DF115,59)&amp;"","")&amp;"␟"&amp;IFERROR(INDEX(PASTE_ALL,$DF115,60)&amp;"","")," "," "),CHAR(9)," "),CHAR(10)," "),CHAR(13)," "))," ␟","␟"),"␟ ","␟"),"#"&amp;$DE115),"")</f>
        <v/>
      </c>
      <c r="DJ115">
        <f>IF($DI115="",0,IF(SUMPRODUCT(--EXACT($DI$4:DI114,$DI115))&gt;0,1,0))</f>
        <v/>
      </c>
      <c r="DK115">
        <f>IF(AND($DI115&lt;&gt;"",$DJ115=0),1,0)</f>
        <v/>
      </c>
      <c r="DL115">
        <f>DL114+$DK115</f>
        <v/>
      </c>
      <c r="DM115">
        <f>IF(AND($DK115=1,$DL115&lt;=600),1,0)</f>
        <v/>
      </c>
      <c r="DN115">
        <f>IF($DM115=0,"",IF($L$6=0,"",IFERROR(IF(ISNUMBER(INDEX(PASTE_ALL,$DF115,$L$6)),INDEX(PASTE_ALL,$DF115,$L$6),TRIM(SUBSTITUTE(SUBSTITUTE(SUBSTITUTE(SUBSTITUTE(INDEX(PASTE_ALL,$DF115,$L$6)," "," "),CHAR(9)," "),CHAR(10)," "),CHAR(13)," "))),"")))</f>
        <v/>
      </c>
      <c r="DO115">
        <f>IF($DM115=0,"",IF($L$7=0,"",IFERROR(IF(ISNUMBER(INDEX(PASTE_ALL,$DF115,$L$7)),INDEX(PASTE_ALL,$DF115,$L$7),TRIM(SUBSTITUTE(SUBSTITUTE(SUBSTITUTE(SUBSTITUTE(INDEX(PASTE_ALL,$DF115,$L$7)," "," "),CHAR(9)," "),CHAR(10)," "),CHAR(13)," "))),"")))</f>
        <v/>
      </c>
      <c r="DP115">
        <f>IF($DM115=0,"",IF($L$8=0,"",IFERROR(IF(ISNUMBER(INDEX(PASTE_ALL,$DF115,$L$8)),INDEX(PASTE_ALL,$DF115,$L$8),TRIM(SUBSTITUTE(SUBSTITUTE(SUBSTITUTE(SUBSTITUTE(INDEX(PASTE_ALL,$DF115,$L$8)," "," "),CHAR(9)," "),CHAR(10)," "),CHAR(13)," "))),"")))</f>
        <v/>
      </c>
      <c r="DQ115">
        <f>IF($DM115=0,"",IF($L$9=0,"",IFERROR(IF(ISNUMBER(INDEX(PASTE_ALL,$DF115,$L$9)),INDEX(PASTE_ALL,$DF115,$L$9),TRIM(SUBSTITUTE(SUBSTITUTE(SUBSTITUTE(SUBSTITUTE(INDEX(PASTE_ALL,$DF115,$L$9)," "," "),CHAR(9)," "),CHAR(10)," "),CHAR(13)," "))),"")))</f>
        <v/>
      </c>
      <c r="DR115">
        <f>IF($DM115=0,"",IF($L$10=0,"",IFERROR(IF(ISNUMBER(INDEX(PASTE_ALL,$DF115,$L$10)),INDEX(PASTE_ALL,$DF115,$L$10),TRIM(SUBSTITUTE(SUBSTITUTE(SUBSTITUTE(SUBSTITUTE(INDEX(PASTE_ALL,$DF115,$L$10)," "," "),CHAR(9)," "),CHAR(10)," "),CHAR(13)," "))),"")))</f>
        <v/>
      </c>
      <c r="DS115">
        <f>IF($DM115=0,"",IF($L$11=0,"",IFERROR(IF(ISNUMBER(INDEX(PASTE_ALL,$DF115,$L$11)),INDEX(PASTE_ALL,$DF115,$L$11),TRIM(SUBSTITUTE(SUBSTITUTE(SUBSTITUTE(SUBSTITUTE(INDEX(PASTE_ALL,$DF115,$L$11)," "," "),CHAR(9)," "),CHAR(10)," "),CHAR(13)," "))),"")))</f>
        <v/>
      </c>
      <c r="DT115">
        <f>IF($DM115=0,"",IF($L$12=0,"",IFERROR(IF(ISNUMBER(INDEX(PASTE_ALL,$DF115,$L$12)),INDEX(PASTE_ALL,$DF115,$L$12),TRIM(SUBSTITUTE(SUBSTITUTE(SUBSTITUTE(SUBSTITUTE(INDEX(PASTE_ALL,$DF115,$L$12)," "," "),CHAR(9)," "),CHAR(10)," "),CHAR(13)," "))),"")))</f>
        <v/>
      </c>
      <c r="DU115">
        <f>IF($DM115=0,"",IF($L$13=0,"",IFERROR(IF(ISNUMBER(INDEX(PASTE_ALL,$DF115,$L$13)),INDEX(PASTE_ALL,$DF115,$L$13),TRIM(SUBSTITUTE(SUBSTITUTE(SUBSTITUTE(SUBSTITUTE(INDEX(PASTE_ALL,$DF115,$L$13)," "," "),CHAR(9)," "),CHAR(10)," "),CHAR(13)," "))),"")))</f>
        <v/>
      </c>
      <c r="DV115">
        <f>IF($DM115=0,"",IF($L$14=0,"",IFERROR(IF(ISNUMBER(INDEX(PASTE_ALL,$DF115,$L$14)),INDEX(PASTE_ALL,$DF115,$L$14),TRIM(SUBSTITUTE(SUBSTITUTE(SUBSTITUTE(SUBSTITUTE(INDEX(PASTE_ALL,$DF115,$L$14)," "," "),CHAR(9)," "),CHAR(10)," "),CHAR(13)," "))),"")))</f>
        <v/>
      </c>
      <c r="DW115">
        <f>IF($DM115=0,"",IF($L$15=0,"",IFERROR(IF(ISNUMBER(INDEX(PASTE_ALL,$DF115,$L$15)),INDEX(PASTE_ALL,$DF115,$L$15),IF(SUMPRODUCT(--ISNUMBER(FIND({"A","B","C","D","E","F","G","H","I","J","K","L","M","N","O","P","Q","R","S","T","U","V","W","X","Y","Z","0","1","2","3","4","5","6","7","8","9"},UPPER(TRIM(SUBSTITUTE(SUBSTITUTE(SUBSTITUTE(SUBSTITUTE(INDEX(PASTE_ALL,$DF115,$L$15)," "," "),CHAR(9)," "),CHAR(10)," "),CHAR(13)," "))))))&gt;0,TRIM(SUBSTITUTE(SUBSTITUTE(SUBSTITUTE(SUBSTITUTE(INDEX(PASTE_ALL,$DF115,$L$15)," "," "),CHAR(9)," "),CHAR(10)," "),CHAR(13)," ")),"")),"")))</f>
        <v/>
      </c>
      <c r="DX115">
        <f>IF($DM115=0,"",IF($L$16=0,"",IFERROR(IF(ISNUMBER(INDEX(PASTE_ALL,$DF115,$L$16)),INDEX(PASTE_ALL,$DF115,$L$16),SUBSTITUTE(SUBSTITUTE(TRIM(SUBSTITUTE(SUBSTITUTE(SUBSTITUTE(SUBSTITUTE(INDEX(PASTE_ALL,$DF115,$L$16)," "," "),CHAR(9)," "),CHAR(10)," "),CHAR(13)," ")),",",""),"%","")),"")))</f>
        <v/>
      </c>
      <c r="DY115">
        <f>IF($DM115=0,"",IFERROR(IF(ISNUMBER($DX115),$DX115,IF($DX115="","",IF(TRIM($DX115)="",0,IF(AND(AND(SUBSTITUTE(SUBSTITUTE(SUBSTITUTE(SUBSTITUTE(SUBSTITUTE(SUBSTITUTE(SUBSTITUTE(SUBSTITUTE(SUBSTITUTE(SUBSTITUTE(SUBSTITUTE(SUBSTITUTE(SUBSTITUTE(SUBSTITUTE(UPPER(TRIM($DX115)),"0",""),"1",""),"2",""),"3",""),"4",""),"5",""),"6",""),"7",""),"8",""),"9",""),".",""),"+",""),"-",""),"E","")="",LEN(SUBSTITUTE(SUBSTITUTE(MID(UPPER(TRIM($DX115)),1+OR(LEFT(UPPER(TRIM($DX115)),1)="+",LEFT(UPPER(TRIM($DX115)),1)="-"),999),"E+","E"),"E-","E"))=LEN(SUBSTITUTE(SUBSTITUTE(SUBSTITUTE(SUBSTITUTE(MID(UPPER(TRIM($DX115)),1+OR(LEFT(UPPER(TRIM($DX115)),1)="+",LEFT(UPPER(TRIM($DX115)),1)="-"),999),"E+","E"),"E-","E"),"+",""),"-","")),LEN(UPPER(TRIM($DX115)))-LEN(SUBSTITUTE(UPPER(TRIM($DX115)),"E",""))&lt;2,LEN(UPPER(TRIM($DX115)))-LEN(SUBSTITUTE(UPPER(TRIM($DX115)),".",""))&lt;2,IFERROR(FIND(".",UPPER(TRIM($DX115))),0)&lt;IFERROR(FIND("E",UPPER(TRIM($DX115))),999)),ISNUMBER(VALUE(TRIM($DX115)))),VALUE(TRIM($DX115)),"")))),""))</f>
        <v/>
      </c>
      <c r="DZ115">
        <f>IF($DM115=0,"",IF($L$17=0,"",IFERROR(IF(ISNUMBER(INDEX(PASTE_ALL,$DF115,$L$17)),INDEX(PASTE_ALL,$DF115,$L$17),SUBSTITUTE(SUBSTITUTE(TRIM(SUBSTITUTE(SUBSTITUTE(SUBSTITUTE(SUBSTITUTE(INDEX(PASTE_ALL,$DF115,$L$17)," "," "),CHAR(9)," "),CHAR(10)," "),CHAR(13)," ")),",",""),"%","")),"")))</f>
        <v/>
      </c>
      <c r="EA115">
        <f>IF($DM115=0,"",IFERROR(IF(ISNUMBER($DZ115),$DZ115,IF($DZ115="","",IF(TRIM($DZ115)="",0,IF(AND(AND(SUBSTITUTE(SUBSTITUTE(SUBSTITUTE(SUBSTITUTE(SUBSTITUTE(SUBSTITUTE(SUBSTITUTE(SUBSTITUTE(SUBSTITUTE(SUBSTITUTE(SUBSTITUTE(SUBSTITUTE(SUBSTITUTE(SUBSTITUTE(UPPER(TRIM($DZ115)),"0",""),"1",""),"2",""),"3",""),"4",""),"5",""),"6",""),"7",""),"8",""),"9",""),".",""),"+",""),"-",""),"E","")="",LEN(SUBSTITUTE(SUBSTITUTE(MID(UPPER(TRIM($DZ115)),1+OR(LEFT(UPPER(TRIM($DZ115)),1)="+",LEFT(UPPER(TRIM($DZ115)),1)="-"),999),"E+","E"),"E-","E"))=LEN(SUBSTITUTE(SUBSTITUTE(SUBSTITUTE(SUBSTITUTE(MID(UPPER(TRIM($DZ115)),1+OR(LEFT(UPPER(TRIM($DZ115)),1)="+",LEFT(UPPER(TRIM($DZ115)),1)="-"),999),"E+","E"),"E-","E"),"+",""),"-","")),LEN(UPPER(TRIM($DZ115)))-LEN(SUBSTITUTE(UPPER(TRIM($DZ115)),"E",""))&lt;2,LEN(UPPER(TRIM($DZ115)))-LEN(SUBSTITUTE(UPPER(TRIM($DZ115)),".",""))&lt;2,IFERROR(FIND(".",UPPER(TRIM($DZ115))),0)&lt;IFERROR(FIND("E",UPPER(TRIM($DZ115))),999)),ISNUMBER(VALUE(TRIM($DZ115)))),VALUE(TRIM($DZ115)),"")))),""))</f>
        <v/>
      </c>
      <c r="EB115">
        <f>IF($DM115=0,"",IF($L$18=0,"",IFERROR(IF(UPPER(TRIM(SUBSTITUTE(SUBSTITUTE(SUBSTITUTE(SUBSTITUTE(INDEX(PASTE_ALL,$DF115,$L$18)," "," "),CHAR(9)," "),CHAR(10)," "),CHAR(13)," ")))="READY","Ready",IF(UPPER(TRIM(SUBSTITUTE(SUBSTITUTE(SUBSTITUTE(SUBSTITUTE(INDEX(PASTE_ALL,$DF115,$L$18)," "," "),CHAR(9)," "),CHAR(10)," "),CHAR(13)," ")))="PM","PM",IF(OR(UPPER(TRIM(SUBSTITUTE(SUBSTITUTE(SUBSTITUTE(SUBSTITUTE(INDEX(PASTE_ALL,$DF115,$L$18)," "," "),CHAR(9)," "),CHAR(10)," "),CHAR(13)," ")))="OT",UPPER(TRIM(SUBSTITUTE(SUBSTITUTE(SUBSTITUTE(SUBSTITUTE(INDEX(PASTE_ALL,$DF115,$L$18)," "," "),CHAR(9)," "),CHAR(10)," "),CHAR(13)," ")))="OVERTIME",UPPER(TRIM(SUBSTITUTE(SUBSTITUTE(SUBSTITUTE(SUBSTITUTE(INDEX(PASTE_ALL,$DF115,$L$18)," "," "),CHAR(9)," "),CHAR(10)," "),CHAR(13)," ")))="TRIAL"),"OT",TRIM(SUBSTITUTE(SUBSTITUTE(SUBSTITUTE(SUBSTITUTE(INDEX(PASTE_ALL,$DF115,$L$18)," "," "),CHAR(9)," "),CHAR(10)," "),CHAR(13)," "))))),"")))</f>
        <v/>
      </c>
      <c r="EC115">
        <f>IF($DM115=0,"",IF($L$19=0,"",IFERROR(IF(ISNUMBER(INDEX(PASTE_ALL,$DF115,$L$19)),INDEX(PASTE_ALL,$DF115,$L$19),TRIM(SUBSTITUTE(SUBSTITUTE(SUBSTITUTE(SUBSTITUTE(INDEX(PASTE_ALL,$DF115,$L$19)," "," "),CHAR(9)," "),CHAR(10)," "),CHAR(13)," "))),"")))</f>
        <v/>
      </c>
      <c r="ED115">
        <f>IF($DM115=0,"",MATCH(1,INDEX(EXACT($DH$5:DH115,$DH115)*$DM$5:DM115,0),0))</f>
        <v/>
      </c>
      <c r="EE115">
        <f>IF($DM115=0,0,IF($ED115=$DE115,1,0))</f>
        <v/>
      </c>
      <c r="EF115">
        <f>EF114+$EE115</f>
        <v/>
      </c>
      <c r="EG115">
        <f>IF($DM115=0,"",INDEX($EF$5:$EF$1003,$ED115))</f>
        <v/>
      </c>
      <c r="EH115">
        <f>IF($DM115=0,"",IF($DO115&lt;&gt;"","",IFERROR(LOOKUP(2,1/(($EG$4:EG114=$EG115)*($DO$4:DO114&lt;&gt;"")),$DO$4:DO114),"")))</f>
        <v/>
      </c>
      <c r="EI115">
        <f>IF($DM115=0,"",IF($DO115&lt;&gt;"",$DO115,$EH115))</f>
        <v/>
      </c>
      <c r="EJ115">
        <f>IF($DM115=0,"",IF($EI115="",0,IF(OR(ISNUMBER($EI115),AND(AND(SUBSTITUTE(SUBSTITUTE(SUBSTITUTE(SUBSTITUTE(SUBSTITUTE(SUBSTITUTE(SUBSTITUTE(SUBSTITUTE(SUBSTITUTE(SUBSTITUTE(SUBSTITUTE(SUBSTITUTE(SUBSTITUTE(SUBSTITUTE(UPPER($EI115),"0",""),"1",""),"2",""),"3",""),"4",""),"5",""),"6",""),"7",""),"8",""),"9",""),".",""),"+",""),"-",""),"E","")="",LEN(SUBSTITUTE(SUBSTITUTE(MID(UPPER($EI115),1+OR(LEFT(UPPER($EI115),1)="+",LEFT(UPPER($EI115),1)="-"),999),"E+","E"),"E-","E"))=LEN(SUBSTITUTE(SUBSTITUTE(SUBSTITUTE(SUBSTITUTE(MID(UPPER($EI115),1+OR(LEFT(UPPER($EI115),1)="+",LEFT(UPPER($EI115),1)="-"),999),"E+","E"),"E-","E"),"+",""),"-","")),LEN(UPPER($EI115))-LEN(SUBSTITUTE(UPPER($EI115),"E",""))&lt;2,LEN(UPPER($EI115))-LEN(SUBSTITUTE(UPPER($EI115),".",""))&lt;2,IFERROR(FIND(".",UPPER($EI115)),0)&lt;IFERROR(FIND("E",UPPER($EI115)),999)),ISNUMBER(VALUE($EI115)))),1,2)))</f>
        <v/>
      </c>
      <c r="EK115">
        <f>IF($DM115=0,"",IF($EJ115=1,IF(ISNUMBER($EI115),$EI115,VALUE($EI115)),IF($EJ115=2,$DE115,0)))</f>
        <v/>
      </c>
      <c r="EL115">
        <f>IF($DM115=0,"",COUNTIF($EG$5:$EG$1003,"&lt;"&amp;$EG115)+SUMPRODUCT(($EG$5:$EG$1003=$EG115)*(($EJ$5:$EJ$1003&lt;$EJ115)+($EJ$5:$EJ$1003=$EJ115)*(($EK$5:$EK$1003&lt;$EK115)+($EK$5:$EK$1003=$EK115)*($DE$5:$DE$1003&lt;$DE115))))+1)</f>
        <v/>
      </c>
      <c r="EM115">
        <f>IF($DM115=0,"",$EL115+$EG115-1)</f>
        <v/>
      </c>
      <c r="EN115">
        <f>IF($DM115=0,0,IFERROR(MATCH(1,INDEX(--(TRIM(SUBSTITUTE(SUBSTITUTE(SUBSTITUTE(SUBSTITUTE(LINES_NAME&amp;""," "," "),CHAR(9)," "),CHAR(10)," "),CHAR(13)," "))=$DH115),0),0),0))</f>
        <v/>
      </c>
      <c r="EO115">
        <f>IF($EN115=0,0,IF(OR(UPPER(TRIM(INDEX(LINES_SCHEDULED,$EN115)&amp;""))="YES",UPPER(TRIM(INDEX(LINES_SCHEDULED,$EN115)&amp;""))="Y",UPPER(TRIM(INDEX(LINES_SCHEDULED,$EN115)&amp;""))="X"),1,0))</f>
        <v/>
      </c>
      <c r="EP115">
        <f>IF($DM115=0,"",IF(COUNTIFS($EG$5:$EG$1003,$EG115,$EB$5:$EB$1003,"Ready")&gt;0,"READY",IF(COUNTIFS($EG$5:$EG$1003,$EG115,$EB$5:$EB$1003,"PM")&gt;0,"PM",IF(COUNTIFS($EG$5:$EG$1003,$EG115,$EB$5:$EB$1003,"OT")&gt;0,"OT",""))))</f>
        <v/>
      </c>
      <c r="EQ115">
        <f>IF($EN115=0,"",UPPER(TRIM(INDEX(LINES_STATUS,$EN115)&amp;"")))</f>
        <v/>
      </c>
      <c r="ER115">
        <f>IF($DM115=0,"",IF(OR($EQ115="READY",$EQ115="PM",$EQ115="OT"),$EQ115,$EP115))</f>
        <v/>
      </c>
      <c r="ES115">
        <f>IF($DM115=0,"",IF(AND($DV115&lt;&gt;"",UPPER($DV115)&lt;&gt;"N"),"allergen",IF(ISNUMBER(SEARCH("oil",$DQ115)),"oil",IF(OR(EXACT($DS115,"A662"),EXACT($DS115,"A624")),"bulk",""))))</f>
        <v/>
      </c>
      <c r="ET115">
        <f>IF($DM115=0,"",IF(OR($EA115="",$EA115=0),"",$EA115/100))</f>
        <v/>
      </c>
      <c r="EU115">
        <f>IF(OR($ET115="",$DY115=""),"",INT($DY115*(1-$ET115)+0.5))</f>
        <v/>
      </c>
      <c r="EW115" t="n">
        <v>111</v>
      </c>
      <c r="EX115">
        <f>IFERROR(MATCH($EW115,$EM$5:$EM$1003,0),0)</f>
        <v/>
      </c>
      <c r="EY115">
        <f>IF($EW115&gt;$B$12,"",IF($EX115&gt;0,"row","spacer"))</f>
        <v/>
      </c>
      <c r="EZ115">
        <f>IF(AND($EY115="row",$EY114&lt;&gt;"row"),1,0)</f>
        <v/>
      </c>
      <c r="FA115">
        <f>IF(AND($EY115="row",$EY116&lt;&gt;"row"),1,0)</f>
        <v/>
      </c>
      <c r="FB115">
        <f>IF($EZ115=1,IFERROR(IF(ISNUMBER(INDEX(PASTE_ALL,INDEX($DF$5:$DF$1003,$EX115),$B$37)),INDEX(PASTE_ALL,INDEX($DF$5:$DF$1003,$EX115),$B$37),INDEX($DH$5:$DH$1003,$EX115)),INDEX($DH$5:$DH$1003,$EX115)),"")</f>
        <v/>
      </c>
      <c r="FC115">
        <f>IF($EY115="row",INDEX($ER$5:$ER$1003,$EX115),"")</f>
        <v/>
      </c>
      <c r="FD115">
        <f>IF($EY115="row",INDEX($DN$5:$DN$1003,$EX115),"")</f>
        <v/>
      </c>
      <c r="FE115">
        <f>IF($EY115="row",INDEX($DO$5:$DO$1003,$EX115),"")</f>
        <v/>
      </c>
      <c r="FF115">
        <f>IF($EY115="row",INDEX($DP$5:$DP$1003,$EX115),"")</f>
        <v/>
      </c>
      <c r="FG115">
        <f>IF($EY115="row",INDEX($DQ$5:$DQ$1003,$EX115),"")</f>
        <v/>
      </c>
      <c r="FH115">
        <f>IF($EY115="row",INDEX($DR$5:$DR$1003,$EX115),"")</f>
        <v/>
      </c>
      <c r="FI115">
        <f>IF($EY115="row",INDEX($DS$5:$DS$1003,$EX115),"")</f>
        <v/>
      </c>
      <c r="FJ115">
        <f>IF($EY115="row",INDEX($DT$5:$DT$1003,$EX115),"")</f>
        <v/>
      </c>
      <c r="FK115">
        <f>IF($EY115="row",INDEX($DU$5:$DU$1003,$EX115),"")</f>
        <v/>
      </c>
      <c r="FL115">
        <f>IF($EY115="row",INDEX($DV$5:$DV$1003,$EX115),"")</f>
        <v/>
      </c>
      <c r="FM115">
        <f>IF($EY115="row",INDEX($DW$5:$DW$1003,$EX115),"")</f>
        <v/>
      </c>
      <c r="FN115">
        <f>IF($EY115="row",INDEX($DY$5:$DY$1003,$EX115),"")</f>
        <v/>
      </c>
      <c r="FO115">
        <f>IF($EY115="row",INDEX($EA$5:$EA$1003,$EX115),"")</f>
        <v/>
      </c>
      <c r="FP115">
        <f>IF($EY115="row",INDEX($EC$5:$EC$1003,$EX115),"")</f>
        <v/>
      </c>
      <c r="FQ115">
        <f>IF($EY115="row",INDEX($ET$5:$ET$1003,$EX115),"")</f>
        <v/>
      </c>
      <c r="FR115">
        <f>IF($EY115="row",INDEX($EU$5:$EU$1003,$EX115),"")</f>
        <v/>
      </c>
      <c r="FS115">
        <f>IF(AND($EY115="row",$EY114="row"),IF(OR(INDEX($DT$5:$DT$1003,$EX114)="",INDEX($DT$5:$DT$1003,$EX115)=""),"",IF(NOT(EXACT(INDEX($DT$5:$DT$1003,$EX114),INDEX($DT$5:$DT$1003,$EX115))),"S4",IF(NOT(EXACT(INDEX($DS$5:$DS$1003,$EX114),INDEX($DS$5:$DS$1003,$EX115))),"S3",IF(NOT(EXACT(INDEX($DR$5:$DR$1003,$EX114),INDEX($DR$5:$DR$1003,$EX115))),"S1 Count Change","S1")))),"")</f>
        <v/>
      </c>
      <c r="FT115">
        <f>IF($EY115="row",INDEX($ES$5:$ES$1003,$EX115),"")</f>
        <v/>
      </c>
      <c r="FU115">
        <f>IF($EY115="row",INDEX($EO$5:$EO$1003,$EX115),0)</f>
        <v/>
      </c>
      <c r="FV115">
        <f>IF($FS115="S1 Count Change",1,0)</f>
        <v/>
      </c>
    </row>
    <row r="116">
      <c r="Y116">
        <f>IF(Y26="",0,IFERROR(INDEX($W$5:$W$86,MATCH(Y26,$V$5:$V$86,0)),0))</f>
        <v/>
      </c>
      <c r="Z116">
        <f>IF(Z26="",0,IFERROR(INDEX($W$5:$W$86,MATCH(Z26,$V$5:$V$86,0)),0))</f>
        <v/>
      </c>
      <c r="AA116">
        <f>IF(AA26="",0,IFERROR(INDEX($W$5:$W$86,MATCH(AA26,$V$5:$V$86,0)),0))</f>
        <v/>
      </c>
      <c r="AB116">
        <f>IF(AB26="",0,IFERROR(INDEX($W$5:$W$86,MATCH(AB26,$V$5:$V$86,0)),0))</f>
        <v/>
      </c>
      <c r="AC116">
        <f>IF(AC26="",0,IFERROR(INDEX($W$5:$W$86,MATCH(AC26,$V$5:$V$86,0)),0))</f>
        <v/>
      </c>
      <c r="AD116">
        <f>IF(AD26="",0,IFERROR(INDEX($W$5:$W$86,MATCH(AD26,$V$5:$V$86,0)),0))</f>
        <v/>
      </c>
      <c r="AE116">
        <f>IF(AE26="",0,IFERROR(INDEX($W$5:$W$86,MATCH(AE26,$V$5:$V$86,0)),0))</f>
        <v/>
      </c>
      <c r="AF116">
        <f>IF(AF26="",0,IFERROR(INDEX($W$5:$W$86,MATCH(AF26,$V$5:$V$86,0)),0))</f>
        <v/>
      </c>
      <c r="AG116">
        <f>IF(AG26="",0,IFERROR(INDEX($W$5:$W$86,MATCH(AG26,$V$5:$V$86,0)),0))</f>
        <v/>
      </c>
      <c r="AH116">
        <f>IF(AH26="",0,IFERROR(INDEX($W$5:$W$86,MATCH(AH26,$V$5:$V$86,0)),0))</f>
        <v/>
      </c>
      <c r="AI116">
        <f>IF(AI26="",0,IFERROR(INDEX($W$5:$W$86,MATCH(AI26,$V$5:$V$86,0)),0))</f>
        <v/>
      </c>
      <c r="AJ116">
        <f>IF(AJ26="",0,IFERROR(INDEX($W$5:$W$86,MATCH(AJ26,$V$5:$V$86,0)),0))</f>
        <v/>
      </c>
      <c r="AK116">
        <f>IF(AK26="",0,IFERROR(INDEX($W$5:$W$86,MATCH(AK26,$V$5:$V$86,0)),0))</f>
        <v/>
      </c>
      <c r="AL116">
        <f>IF(AL26="",0,IFERROR(INDEX($W$5:$W$86,MATCH(AL26,$V$5:$V$86,0)),0))</f>
        <v/>
      </c>
      <c r="AM116">
        <f>IF(AM26="",0,IFERROR(INDEX($W$5:$W$86,MATCH(AM26,$V$5:$V$86,0)),0))</f>
        <v/>
      </c>
      <c r="AN116">
        <f>IF(AN26="",0,IFERROR(INDEX($W$5:$W$86,MATCH(AN26,$V$5:$V$86,0)),0))</f>
        <v/>
      </c>
      <c r="AO116">
        <f>IF(AO26="",0,IFERROR(INDEX($W$5:$W$86,MATCH(AO26,$V$5:$V$86,0)),0))</f>
        <v/>
      </c>
      <c r="AP116">
        <f>IF(AP26="",0,IFERROR(INDEX($W$5:$W$86,MATCH(AP26,$V$5:$V$86,0)),0))</f>
        <v/>
      </c>
      <c r="AQ116">
        <f>IF(AQ26="",0,IFERROR(INDEX($W$5:$W$86,MATCH(AQ26,$V$5:$V$86,0)),0))</f>
        <v/>
      </c>
      <c r="AR116">
        <f>IF(AR26="",0,IFERROR(INDEX($W$5:$W$86,MATCH(AR26,$V$5:$V$86,0)),0))</f>
        <v/>
      </c>
      <c r="AS116">
        <f>IF(AS26="",0,IFERROR(INDEX($W$5:$W$86,MATCH(AS26,$V$5:$V$86,0)),0))</f>
        <v/>
      </c>
      <c r="AT116">
        <f>IF(AT26="",0,IFERROR(INDEX($W$5:$W$86,MATCH(AT26,$V$5:$V$86,0)),0))</f>
        <v/>
      </c>
      <c r="AU116">
        <f>IF(AU26="",0,IFERROR(INDEX($W$5:$W$86,MATCH(AU26,$V$5:$V$86,0)),0))</f>
        <v/>
      </c>
      <c r="AV116">
        <f>IF(AV26="",0,IFERROR(INDEX($W$5:$W$86,MATCH(AV26,$V$5:$V$86,0)),0))</f>
        <v/>
      </c>
      <c r="AW116">
        <f>IF(AW26="",0,IFERROR(INDEX($W$5:$W$86,MATCH(AW26,$V$5:$V$86,0)),0))</f>
        <v/>
      </c>
      <c r="AX116">
        <f>IF(AX26="",0,IFERROR(INDEX($W$5:$W$86,MATCH(AX26,$V$5:$V$86,0)),0))</f>
        <v/>
      </c>
      <c r="AY116">
        <f>IF(AY26="",0,IFERROR(INDEX($W$5:$W$86,MATCH(AY26,$V$5:$V$86,0)),0))</f>
        <v/>
      </c>
      <c r="AZ116">
        <f>IF(AZ26="",0,IFERROR(INDEX($W$5:$W$86,MATCH(AZ26,$V$5:$V$86,0)),0))</f>
        <v/>
      </c>
      <c r="BA116">
        <f>IF(BA26="",0,IFERROR(INDEX($W$5:$W$86,MATCH(BA26,$V$5:$V$86,0)),0))</f>
        <v/>
      </c>
      <c r="BB116">
        <f>IF(BB26="",0,IFERROR(INDEX($W$5:$W$86,MATCH(BB26,$V$5:$V$86,0)),0))</f>
        <v/>
      </c>
      <c r="BC116">
        <f>IF(BC26="",0,IFERROR(INDEX($W$5:$W$86,MATCH(BC26,$V$5:$V$86,0)),0))</f>
        <v/>
      </c>
      <c r="BD116">
        <f>IF(BD26="",0,IFERROR(INDEX($W$5:$W$86,MATCH(BD26,$V$5:$V$86,0)),0))</f>
        <v/>
      </c>
      <c r="BE116">
        <f>IF(BE26="",0,IFERROR(INDEX($W$5:$W$86,MATCH(BE26,$V$5:$V$86,0)),0))</f>
        <v/>
      </c>
      <c r="BF116">
        <f>IF(BF26="",0,IFERROR(INDEX($W$5:$W$86,MATCH(BF26,$V$5:$V$86,0)),0))</f>
        <v/>
      </c>
      <c r="BG116">
        <f>IF(BG26="",0,IFERROR(INDEX($W$5:$W$86,MATCH(BG26,$V$5:$V$86,0)),0))</f>
        <v/>
      </c>
      <c r="BH116">
        <f>IF(BH26="",0,IFERROR(INDEX($W$5:$W$86,MATCH(BH26,$V$5:$V$86,0)),0))</f>
        <v/>
      </c>
      <c r="BI116">
        <f>IF(BI26="",0,IFERROR(INDEX($W$5:$W$86,MATCH(BI26,$V$5:$V$86,0)),0))</f>
        <v/>
      </c>
      <c r="BJ116">
        <f>IF(BJ26="",0,IFERROR(INDEX($W$5:$W$86,MATCH(BJ26,$V$5:$V$86,0)),0))</f>
        <v/>
      </c>
      <c r="BK116">
        <f>IF(BK26="",0,IFERROR(INDEX($W$5:$W$86,MATCH(BK26,$V$5:$V$86,0)),0))</f>
        <v/>
      </c>
      <c r="BL116">
        <f>IF(BL26="",0,IFERROR(INDEX($W$5:$W$86,MATCH(BL26,$V$5:$V$86,0)),0))</f>
        <v/>
      </c>
      <c r="BM116">
        <f>IF(BM26="",0,IFERROR(INDEX($W$5:$W$86,MATCH(BM26,$V$5:$V$86,0)),0))</f>
        <v/>
      </c>
      <c r="BN116">
        <f>IF(BN26="",0,IFERROR(INDEX($W$5:$W$86,MATCH(BN26,$V$5:$V$86,0)),0))</f>
        <v/>
      </c>
      <c r="BO116">
        <f>IF(BO26="",0,IFERROR(INDEX($W$5:$W$86,MATCH(BO26,$V$5:$V$86,0)),0))</f>
        <v/>
      </c>
      <c r="BP116">
        <f>IF(BP26="",0,IFERROR(INDEX($W$5:$W$86,MATCH(BP26,$V$5:$V$86,0)),0))</f>
        <v/>
      </c>
      <c r="BQ116">
        <f>IF(BQ26="",0,IFERROR(INDEX($W$5:$W$86,MATCH(BQ26,$V$5:$V$86,0)),0))</f>
        <v/>
      </c>
      <c r="BR116">
        <f>IF(BR26="",0,IFERROR(INDEX($W$5:$W$86,MATCH(BR26,$V$5:$V$86,0)),0))</f>
        <v/>
      </c>
      <c r="BS116">
        <f>IF(BS26="",0,IFERROR(INDEX($W$5:$W$86,MATCH(BS26,$V$5:$V$86,0)),0))</f>
        <v/>
      </c>
      <c r="BT116">
        <f>IF(BT26="",0,IFERROR(INDEX($W$5:$W$86,MATCH(BT26,$V$5:$V$86,0)),0))</f>
        <v/>
      </c>
      <c r="BU116">
        <f>IF(BU26="",0,IFERROR(INDEX($W$5:$W$86,MATCH(BU26,$V$5:$V$86,0)),0))</f>
        <v/>
      </c>
      <c r="BV116">
        <f>IF(BV26="",0,IFERROR(INDEX($W$5:$W$86,MATCH(BV26,$V$5:$V$86,0)),0))</f>
        <v/>
      </c>
      <c r="BW116">
        <f>IF(BW26="",0,IFERROR(INDEX($W$5:$W$86,MATCH(BW26,$V$5:$V$86,0)),0))</f>
        <v/>
      </c>
      <c r="BX116">
        <f>IF(BX26="",0,IFERROR(INDEX($W$5:$W$86,MATCH(BX26,$V$5:$V$86,0)),0))</f>
        <v/>
      </c>
      <c r="BY116">
        <f>IF(BY26="",0,IFERROR(INDEX($W$5:$W$86,MATCH(BY26,$V$5:$V$86,0)),0))</f>
        <v/>
      </c>
      <c r="BZ116">
        <f>IF(BZ26="",0,IFERROR(INDEX($W$5:$W$86,MATCH(BZ26,$V$5:$V$86,0)),0))</f>
        <v/>
      </c>
      <c r="CA116">
        <f>IF(CA26="",0,IFERROR(INDEX($W$5:$W$86,MATCH(CA26,$V$5:$V$86,0)),0))</f>
        <v/>
      </c>
      <c r="CB116">
        <f>IF(CB26="",0,IFERROR(INDEX($W$5:$W$86,MATCH(CB26,$V$5:$V$86,0)),0))</f>
        <v/>
      </c>
      <c r="CC116">
        <f>IF(CC26="",0,IFERROR(INDEX($W$5:$W$86,MATCH(CC26,$V$5:$V$86,0)),0))</f>
        <v/>
      </c>
      <c r="CD116">
        <f>IF(CD26="",0,IFERROR(INDEX($W$5:$W$86,MATCH(CD26,$V$5:$V$86,0)),0))</f>
        <v/>
      </c>
      <c r="CE116">
        <f>IF(CE26="",0,IFERROR(INDEX($W$5:$W$86,MATCH(CE26,$V$5:$V$86,0)),0))</f>
        <v/>
      </c>
      <c r="CF116">
        <f>IF(CF26="",0,IFERROR(INDEX($W$5:$W$86,MATCH(CF26,$V$5:$V$86,0)),0))</f>
        <v/>
      </c>
      <c r="DA116" t="n">
        <v>112</v>
      </c>
      <c r="DB116">
        <f>IF($B$37=0,"",IFERROR(TRIM(SUBSTITUTE(SUBSTITUTE(SUBSTITUTE(SUBSTITUTE(INDEX(PASTE_ALL,112,$B$37)," "," "),CHAR(9)," "),CHAR(10)," "),CHAR(13)," ")),""))</f>
        <v/>
      </c>
      <c r="DC116">
        <f>IF(AND(112&gt;HEADER_ROW,UPPER(DB116)="LEGEND"),1,0)</f>
        <v/>
      </c>
      <c r="DE116" t="n">
        <v>112</v>
      </c>
      <c r="DF116">
        <f>HEADER_ROW+$DE116</f>
        <v/>
      </c>
      <c r="DG116">
        <f>IF(AND($DF116&lt;=1000,$DF116&lt;$B$8),1,0)</f>
        <v/>
      </c>
      <c r="DH116">
        <f>IF($DG116=1,IFERROR(INDEX($DB$5:$DB$1004,$DF116),""),"")</f>
        <v/>
      </c>
      <c r="DI116">
        <f>IF(AND($DG116=1,$DH116&lt;&gt;""),IFERROR(SUBSTITUTE(SUBSTITUTE(TRIM(SUBSTITUTE(SUBSTITUTE(SUBSTITUTE(SUBSTITUTE(IFERROR(INDEX(PASTE_ALL,$DF116,1)&amp;"","")&amp;"␟"&amp;IFERROR(INDEX(PASTE_ALL,$DF116,2)&amp;"","")&amp;"␟"&amp;IFERROR(INDEX(PASTE_ALL,$DF116,3)&amp;"","")&amp;"␟"&amp;IFERROR(INDEX(PASTE_ALL,$DF116,4)&amp;"","")&amp;"␟"&amp;IFERROR(INDEX(PASTE_ALL,$DF116,5)&amp;"","")&amp;"␟"&amp;IFERROR(INDEX(PASTE_ALL,$DF116,6)&amp;"","")&amp;"␟"&amp;IFERROR(INDEX(PASTE_ALL,$DF116,7)&amp;"","")&amp;"␟"&amp;IFERROR(INDEX(PASTE_ALL,$DF116,8)&amp;"","")&amp;"␟"&amp;IFERROR(INDEX(PASTE_ALL,$DF116,9)&amp;"","")&amp;"␟"&amp;IFERROR(INDEX(PASTE_ALL,$DF116,10)&amp;"","")&amp;"␟"&amp;IFERROR(INDEX(PASTE_ALL,$DF116,11)&amp;"","")&amp;"␟"&amp;IFERROR(INDEX(PASTE_ALL,$DF116,12)&amp;"","")&amp;"␟"&amp;IFERROR(INDEX(PASTE_ALL,$DF116,13)&amp;"","")&amp;"␟"&amp;IFERROR(INDEX(PASTE_ALL,$DF116,14)&amp;"","")&amp;"␟"&amp;IFERROR(INDEX(PASTE_ALL,$DF116,15)&amp;"","")&amp;"␟"&amp;IFERROR(INDEX(PASTE_ALL,$DF116,16)&amp;"","")&amp;"␟"&amp;IFERROR(INDEX(PASTE_ALL,$DF116,17)&amp;"","")&amp;"␟"&amp;IFERROR(INDEX(PASTE_ALL,$DF116,18)&amp;"","")&amp;"␟"&amp;IFERROR(INDEX(PASTE_ALL,$DF116,19)&amp;"","")&amp;"␟"&amp;IFERROR(INDEX(PASTE_ALL,$DF116,20)&amp;"","")&amp;"␟"&amp;IFERROR(INDEX(PASTE_ALL,$DF116,21)&amp;"","")&amp;"␟"&amp;IFERROR(INDEX(PASTE_ALL,$DF116,22)&amp;"","")&amp;"␟"&amp;IFERROR(INDEX(PASTE_ALL,$DF116,23)&amp;"","")&amp;"␟"&amp;IFERROR(INDEX(PASTE_ALL,$DF116,24)&amp;"","")&amp;"␟"&amp;IFERROR(INDEX(PASTE_ALL,$DF116,25)&amp;"","")&amp;"␟"&amp;IFERROR(INDEX(PASTE_ALL,$DF116,26)&amp;"","")&amp;"␟"&amp;IFERROR(INDEX(PASTE_ALL,$DF116,27)&amp;"","")&amp;"␟"&amp;IFERROR(INDEX(PASTE_ALL,$DF116,28)&amp;"","")&amp;"␟"&amp;IFERROR(INDEX(PASTE_ALL,$DF116,29)&amp;"","")&amp;"␟"&amp;IFERROR(INDEX(PASTE_ALL,$DF116,30)&amp;"","")&amp;"␟"&amp;IFERROR(INDEX(PASTE_ALL,$DF116,31)&amp;"","")&amp;"␟"&amp;IFERROR(INDEX(PASTE_ALL,$DF116,32)&amp;"","")&amp;"␟"&amp;IFERROR(INDEX(PASTE_ALL,$DF116,33)&amp;"","")&amp;"␟"&amp;IFERROR(INDEX(PASTE_ALL,$DF116,34)&amp;"","")&amp;"␟"&amp;IFERROR(INDEX(PASTE_ALL,$DF116,35)&amp;"","")&amp;"␟"&amp;IFERROR(INDEX(PASTE_ALL,$DF116,36)&amp;"","")&amp;"␟"&amp;IFERROR(INDEX(PASTE_ALL,$DF116,37)&amp;"","")&amp;"␟"&amp;IFERROR(INDEX(PASTE_ALL,$DF116,38)&amp;"","")&amp;"␟"&amp;IFERROR(INDEX(PASTE_ALL,$DF116,39)&amp;"","")&amp;"␟"&amp;IFERROR(INDEX(PASTE_ALL,$DF116,40)&amp;"","")&amp;"␟"&amp;IFERROR(INDEX(PASTE_ALL,$DF116,41)&amp;"","")&amp;"␟"&amp;IFERROR(INDEX(PASTE_ALL,$DF116,42)&amp;"","")&amp;"␟"&amp;IFERROR(INDEX(PASTE_ALL,$DF116,43)&amp;"","")&amp;"␟"&amp;IFERROR(INDEX(PASTE_ALL,$DF116,44)&amp;"","")&amp;"␟"&amp;IFERROR(INDEX(PASTE_ALL,$DF116,45)&amp;"","")&amp;"␟"&amp;IFERROR(INDEX(PASTE_ALL,$DF116,46)&amp;"","")&amp;"␟"&amp;IFERROR(INDEX(PASTE_ALL,$DF116,47)&amp;"","")&amp;"␟"&amp;IFERROR(INDEX(PASTE_ALL,$DF116,48)&amp;"","")&amp;"␟"&amp;IFERROR(INDEX(PASTE_ALL,$DF116,49)&amp;"","")&amp;"␟"&amp;IFERROR(INDEX(PASTE_ALL,$DF116,50)&amp;"","")&amp;"␟"&amp;IFERROR(INDEX(PASTE_ALL,$DF116,51)&amp;"","")&amp;"␟"&amp;IFERROR(INDEX(PASTE_ALL,$DF116,52)&amp;"","")&amp;"␟"&amp;IFERROR(INDEX(PASTE_ALL,$DF116,53)&amp;"","")&amp;"␟"&amp;IFERROR(INDEX(PASTE_ALL,$DF116,54)&amp;"","")&amp;"␟"&amp;IFERROR(INDEX(PASTE_ALL,$DF116,55)&amp;"","")&amp;"␟"&amp;IFERROR(INDEX(PASTE_ALL,$DF116,56)&amp;"","")&amp;"␟"&amp;IFERROR(INDEX(PASTE_ALL,$DF116,57)&amp;"","")&amp;"␟"&amp;IFERROR(INDEX(PASTE_ALL,$DF116,58)&amp;"","")&amp;"␟"&amp;IFERROR(INDEX(PASTE_ALL,$DF116,59)&amp;"","")&amp;"␟"&amp;IFERROR(INDEX(PASTE_ALL,$DF116,60)&amp;"","")," "," "),CHAR(9)," "),CHAR(10)," "),CHAR(13)," "))," ␟","␟"),"␟ ","␟"),"#"&amp;$DE116),"")</f>
        <v/>
      </c>
      <c r="DJ116">
        <f>IF($DI116="",0,IF(SUMPRODUCT(--EXACT($DI$4:DI115,$DI116))&gt;0,1,0))</f>
        <v/>
      </c>
      <c r="DK116">
        <f>IF(AND($DI116&lt;&gt;"",$DJ116=0),1,0)</f>
        <v/>
      </c>
      <c r="DL116">
        <f>DL115+$DK116</f>
        <v/>
      </c>
      <c r="DM116">
        <f>IF(AND($DK116=1,$DL116&lt;=600),1,0)</f>
        <v/>
      </c>
      <c r="DN116">
        <f>IF($DM116=0,"",IF($L$6=0,"",IFERROR(IF(ISNUMBER(INDEX(PASTE_ALL,$DF116,$L$6)),INDEX(PASTE_ALL,$DF116,$L$6),TRIM(SUBSTITUTE(SUBSTITUTE(SUBSTITUTE(SUBSTITUTE(INDEX(PASTE_ALL,$DF116,$L$6)," "," "),CHAR(9)," "),CHAR(10)," "),CHAR(13)," "))),"")))</f>
        <v/>
      </c>
      <c r="DO116">
        <f>IF($DM116=0,"",IF($L$7=0,"",IFERROR(IF(ISNUMBER(INDEX(PASTE_ALL,$DF116,$L$7)),INDEX(PASTE_ALL,$DF116,$L$7),TRIM(SUBSTITUTE(SUBSTITUTE(SUBSTITUTE(SUBSTITUTE(INDEX(PASTE_ALL,$DF116,$L$7)," "," "),CHAR(9)," "),CHAR(10)," "),CHAR(13)," "))),"")))</f>
        <v/>
      </c>
      <c r="DP116">
        <f>IF($DM116=0,"",IF($L$8=0,"",IFERROR(IF(ISNUMBER(INDEX(PASTE_ALL,$DF116,$L$8)),INDEX(PASTE_ALL,$DF116,$L$8),TRIM(SUBSTITUTE(SUBSTITUTE(SUBSTITUTE(SUBSTITUTE(INDEX(PASTE_ALL,$DF116,$L$8)," "," "),CHAR(9)," "),CHAR(10)," "),CHAR(13)," "))),"")))</f>
        <v/>
      </c>
      <c r="DQ116">
        <f>IF($DM116=0,"",IF($L$9=0,"",IFERROR(IF(ISNUMBER(INDEX(PASTE_ALL,$DF116,$L$9)),INDEX(PASTE_ALL,$DF116,$L$9),TRIM(SUBSTITUTE(SUBSTITUTE(SUBSTITUTE(SUBSTITUTE(INDEX(PASTE_ALL,$DF116,$L$9)," "," "),CHAR(9)," "),CHAR(10)," "),CHAR(13)," "))),"")))</f>
        <v/>
      </c>
      <c r="DR116">
        <f>IF($DM116=0,"",IF($L$10=0,"",IFERROR(IF(ISNUMBER(INDEX(PASTE_ALL,$DF116,$L$10)),INDEX(PASTE_ALL,$DF116,$L$10),TRIM(SUBSTITUTE(SUBSTITUTE(SUBSTITUTE(SUBSTITUTE(INDEX(PASTE_ALL,$DF116,$L$10)," "," "),CHAR(9)," "),CHAR(10)," "),CHAR(13)," "))),"")))</f>
        <v/>
      </c>
      <c r="DS116">
        <f>IF($DM116=0,"",IF($L$11=0,"",IFERROR(IF(ISNUMBER(INDEX(PASTE_ALL,$DF116,$L$11)),INDEX(PASTE_ALL,$DF116,$L$11),TRIM(SUBSTITUTE(SUBSTITUTE(SUBSTITUTE(SUBSTITUTE(INDEX(PASTE_ALL,$DF116,$L$11)," "," "),CHAR(9)," "),CHAR(10)," "),CHAR(13)," "))),"")))</f>
        <v/>
      </c>
      <c r="DT116">
        <f>IF($DM116=0,"",IF($L$12=0,"",IFERROR(IF(ISNUMBER(INDEX(PASTE_ALL,$DF116,$L$12)),INDEX(PASTE_ALL,$DF116,$L$12),TRIM(SUBSTITUTE(SUBSTITUTE(SUBSTITUTE(SUBSTITUTE(INDEX(PASTE_ALL,$DF116,$L$12)," "," "),CHAR(9)," "),CHAR(10)," "),CHAR(13)," "))),"")))</f>
        <v/>
      </c>
      <c r="DU116">
        <f>IF($DM116=0,"",IF($L$13=0,"",IFERROR(IF(ISNUMBER(INDEX(PASTE_ALL,$DF116,$L$13)),INDEX(PASTE_ALL,$DF116,$L$13),TRIM(SUBSTITUTE(SUBSTITUTE(SUBSTITUTE(SUBSTITUTE(INDEX(PASTE_ALL,$DF116,$L$13)," "," "),CHAR(9)," "),CHAR(10)," "),CHAR(13)," "))),"")))</f>
        <v/>
      </c>
      <c r="DV116">
        <f>IF($DM116=0,"",IF($L$14=0,"",IFERROR(IF(ISNUMBER(INDEX(PASTE_ALL,$DF116,$L$14)),INDEX(PASTE_ALL,$DF116,$L$14),TRIM(SUBSTITUTE(SUBSTITUTE(SUBSTITUTE(SUBSTITUTE(INDEX(PASTE_ALL,$DF116,$L$14)," "," "),CHAR(9)," "),CHAR(10)," "),CHAR(13)," "))),"")))</f>
        <v/>
      </c>
      <c r="DW116">
        <f>IF($DM116=0,"",IF($L$15=0,"",IFERROR(IF(ISNUMBER(INDEX(PASTE_ALL,$DF116,$L$15)),INDEX(PASTE_ALL,$DF116,$L$15),IF(SUMPRODUCT(--ISNUMBER(FIND({"A","B","C","D","E","F","G","H","I","J","K","L","M","N","O","P","Q","R","S","T","U","V","W","X","Y","Z","0","1","2","3","4","5","6","7","8","9"},UPPER(TRIM(SUBSTITUTE(SUBSTITUTE(SUBSTITUTE(SUBSTITUTE(INDEX(PASTE_ALL,$DF116,$L$15)," "," "),CHAR(9)," "),CHAR(10)," "),CHAR(13)," "))))))&gt;0,TRIM(SUBSTITUTE(SUBSTITUTE(SUBSTITUTE(SUBSTITUTE(INDEX(PASTE_ALL,$DF116,$L$15)," "," "),CHAR(9)," "),CHAR(10)," "),CHAR(13)," ")),"")),"")))</f>
        <v/>
      </c>
      <c r="DX116">
        <f>IF($DM116=0,"",IF($L$16=0,"",IFERROR(IF(ISNUMBER(INDEX(PASTE_ALL,$DF116,$L$16)),INDEX(PASTE_ALL,$DF116,$L$16),SUBSTITUTE(SUBSTITUTE(TRIM(SUBSTITUTE(SUBSTITUTE(SUBSTITUTE(SUBSTITUTE(INDEX(PASTE_ALL,$DF116,$L$16)," "," "),CHAR(9)," "),CHAR(10)," "),CHAR(13)," ")),",",""),"%","")),"")))</f>
        <v/>
      </c>
      <c r="DY116">
        <f>IF($DM116=0,"",IFERROR(IF(ISNUMBER($DX116),$DX116,IF($DX116="","",IF(TRIM($DX116)="",0,IF(AND(AND(SUBSTITUTE(SUBSTITUTE(SUBSTITUTE(SUBSTITUTE(SUBSTITUTE(SUBSTITUTE(SUBSTITUTE(SUBSTITUTE(SUBSTITUTE(SUBSTITUTE(SUBSTITUTE(SUBSTITUTE(SUBSTITUTE(SUBSTITUTE(UPPER(TRIM($DX116)),"0",""),"1",""),"2",""),"3",""),"4",""),"5",""),"6",""),"7",""),"8",""),"9",""),".",""),"+",""),"-",""),"E","")="",LEN(SUBSTITUTE(SUBSTITUTE(MID(UPPER(TRIM($DX116)),1+OR(LEFT(UPPER(TRIM($DX116)),1)="+",LEFT(UPPER(TRIM($DX116)),1)="-"),999),"E+","E"),"E-","E"))=LEN(SUBSTITUTE(SUBSTITUTE(SUBSTITUTE(SUBSTITUTE(MID(UPPER(TRIM($DX116)),1+OR(LEFT(UPPER(TRIM($DX116)),1)="+",LEFT(UPPER(TRIM($DX116)),1)="-"),999),"E+","E"),"E-","E"),"+",""),"-","")),LEN(UPPER(TRIM($DX116)))-LEN(SUBSTITUTE(UPPER(TRIM($DX116)),"E",""))&lt;2,LEN(UPPER(TRIM($DX116)))-LEN(SUBSTITUTE(UPPER(TRIM($DX116)),".",""))&lt;2,IFERROR(FIND(".",UPPER(TRIM($DX116))),0)&lt;IFERROR(FIND("E",UPPER(TRIM($DX116))),999)),ISNUMBER(VALUE(TRIM($DX116)))),VALUE(TRIM($DX116)),"")))),""))</f>
        <v/>
      </c>
      <c r="DZ116">
        <f>IF($DM116=0,"",IF($L$17=0,"",IFERROR(IF(ISNUMBER(INDEX(PASTE_ALL,$DF116,$L$17)),INDEX(PASTE_ALL,$DF116,$L$17),SUBSTITUTE(SUBSTITUTE(TRIM(SUBSTITUTE(SUBSTITUTE(SUBSTITUTE(SUBSTITUTE(INDEX(PASTE_ALL,$DF116,$L$17)," "," "),CHAR(9)," "),CHAR(10)," "),CHAR(13)," ")),",",""),"%","")),"")))</f>
        <v/>
      </c>
      <c r="EA116">
        <f>IF($DM116=0,"",IFERROR(IF(ISNUMBER($DZ116),$DZ116,IF($DZ116="","",IF(TRIM($DZ116)="",0,IF(AND(AND(SUBSTITUTE(SUBSTITUTE(SUBSTITUTE(SUBSTITUTE(SUBSTITUTE(SUBSTITUTE(SUBSTITUTE(SUBSTITUTE(SUBSTITUTE(SUBSTITUTE(SUBSTITUTE(SUBSTITUTE(SUBSTITUTE(SUBSTITUTE(UPPER(TRIM($DZ116)),"0",""),"1",""),"2",""),"3",""),"4",""),"5",""),"6",""),"7",""),"8",""),"9",""),".",""),"+",""),"-",""),"E","")="",LEN(SUBSTITUTE(SUBSTITUTE(MID(UPPER(TRIM($DZ116)),1+OR(LEFT(UPPER(TRIM($DZ116)),1)="+",LEFT(UPPER(TRIM($DZ116)),1)="-"),999),"E+","E"),"E-","E"))=LEN(SUBSTITUTE(SUBSTITUTE(SUBSTITUTE(SUBSTITUTE(MID(UPPER(TRIM($DZ116)),1+OR(LEFT(UPPER(TRIM($DZ116)),1)="+",LEFT(UPPER(TRIM($DZ116)),1)="-"),999),"E+","E"),"E-","E"),"+",""),"-","")),LEN(UPPER(TRIM($DZ116)))-LEN(SUBSTITUTE(UPPER(TRIM($DZ116)),"E",""))&lt;2,LEN(UPPER(TRIM($DZ116)))-LEN(SUBSTITUTE(UPPER(TRIM($DZ116)),".",""))&lt;2,IFERROR(FIND(".",UPPER(TRIM($DZ116))),0)&lt;IFERROR(FIND("E",UPPER(TRIM($DZ116))),999)),ISNUMBER(VALUE(TRIM($DZ116)))),VALUE(TRIM($DZ116)),"")))),""))</f>
        <v/>
      </c>
      <c r="EB116">
        <f>IF($DM116=0,"",IF($L$18=0,"",IFERROR(IF(UPPER(TRIM(SUBSTITUTE(SUBSTITUTE(SUBSTITUTE(SUBSTITUTE(INDEX(PASTE_ALL,$DF116,$L$18)," "," "),CHAR(9)," "),CHAR(10)," "),CHAR(13)," ")))="READY","Ready",IF(UPPER(TRIM(SUBSTITUTE(SUBSTITUTE(SUBSTITUTE(SUBSTITUTE(INDEX(PASTE_ALL,$DF116,$L$18)," "," "),CHAR(9)," "),CHAR(10)," "),CHAR(13)," ")))="PM","PM",IF(OR(UPPER(TRIM(SUBSTITUTE(SUBSTITUTE(SUBSTITUTE(SUBSTITUTE(INDEX(PASTE_ALL,$DF116,$L$18)," "," "),CHAR(9)," "),CHAR(10)," "),CHAR(13)," ")))="OT",UPPER(TRIM(SUBSTITUTE(SUBSTITUTE(SUBSTITUTE(SUBSTITUTE(INDEX(PASTE_ALL,$DF116,$L$18)," "," "),CHAR(9)," "),CHAR(10)," "),CHAR(13)," ")))="OVERTIME",UPPER(TRIM(SUBSTITUTE(SUBSTITUTE(SUBSTITUTE(SUBSTITUTE(INDEX(PASTE_ALL,$DF116,$L$18)," "," "),CHAR(9)," "),CHAR(10)," "),CHAR(13)," ")))="TRIAL"),"OT",TRIM(SUBSTITUTE(SUBSTITUTE(SUBSTITUTE(SUBSTITUTE(INDEX(PASTE_ALL,$DF116,$L$18)," "," "),CHAR(9)," "),CHAR(10)," "),CHAR(13)," "))))),"")))</f>
        <v/>
      </c>
      <c r="EC116">
        <f>IF($DM116=0,"",IF($L$19=0,"",IFERROR(IF(ISNUMBER(INDEX(PASTE_ALL,$DF116,$L$19)),INDEX(PASTE_ALL,$DF116,$L$19),TRIM(SUBSTITUTE(SUBSTITUTE(SUBSTITUTE(SUBSTITUTE(INDEX(PASTE_ALL,$DF116,$L$19)," "," "),CHAR(9)," "),CHAR(10)," "),CHAR(13)," "))),"")))</f>
        <v/>
      </c>
      <c r="ED116">
        <f>IF($DM116=0,"",MATCH(1,INDEX(EXACT($DH$5:DH116,$DH116)*$DM$5:DM116,0),0))</f>
        <v/>
      </c>
      <c r="EE116">
        <f>IF($DM116=0,0,IF($ED116=$DE116,1,0))</f>
        <v/>
      </c>
      <c r="EF116">
        <f>EF115+$EE116</f>
        <v/>
      </c>
      <c r="EG116">
        <f>IF($DM116=0,"",INDEX($EF$5:$EF$1003,$ED116))</f>
        <v/>
      </c>
      <c r="EH116">
        <f>IF($DM116=0,"",IF($DO116&lt;&gt;"","",IFERROR(LOOKUP(2,1/(($EG$4:EG115=$EG116)*($DO$4:DO115&lt;&gt;"")),$DO$4:DO115),"")))</f>
        <v/>
      </c>
      <c r="EI116">
        <f>IF($DM116=0,"",IF($DO116&lt;&gt;"",$DO116,$EH116))</f>
        <v/>
      </c>
      <c r="EJ116">
        <f>IF($DM116=0,"",IF($EI116="",0,IF(OR(ISNUMBER($EI116),AND(AND(SUBSTITUTE(SUBSTITUTE(SUBSTITUTE(SUBSTITUTE(SUBSTITUTE(SUBSTITUTE(SUBSTITUTE(SUBSTITUTE(SUBSTITUTE(SUBSTITUTE(SUBSTITUTE(SUBSTITUTE(SUBSTITUTE(SUBSTITUTE(UPPER($EI116),"0",""),"1",""),"2",""),"3",""),"4",""),"5",""),"6",""),"7",""),"8",""),"9",""),".",""),"+",""),"-",""),"E","")="",LEN(SUBSTITUTE(SUBSTITUTE(MID(UPPER($EI116),1+OR(LEFT(UPPER($EI116),1)="+",LEFT(UPPER($EI116),1)="-"),999),"E+","E"),"E-","E"))=LEN(SUBSTITUTE(SUBSTITUTE(SUBSTITUTE(SUBSTITUTE(MID(UPPER($EI116),1+OR(LEFT(UPPER($EI116),1)="+",LEFT(UPPER($EI116),1)="-"),999),"E+","E"),"E-","E"),"+",""),"-","")),LEN(UPPER($EI116))-LEN(SUBSTITUTE(UPPER($EI116),"E",""))&lt;2,LEN(UPPER($EI116))-LEN(SUBSTITUTE(UPPER($EI116),".",""))&lt;2,IFERROR(FIND(".",UPPER($EI116)),0)&lt;IFERROR(FIND("E",UPPER($EI116)),999)),ISNUMBER(VALUE($EI116)))),1,2)))</f>
        <v/>
      </c>
      <c r="EK116">
        <f>IF($DM116=0,"",IF($EJ116=1,IF(ISNUMBER($EI116),$EI116,VALUE($EI116)),IF($EJ116=2,$DE116,0)))</f>
        <v/>
      </c>
      <c r="EL116">
        <f>IF($DM116=0,"",COUNTIF($EG$5:$EG$1003,"&lt;"&amp;$EG116)+SUMPRODUCT(($EG$5:$EG$1003=$EG116)*(($EJ$5:$EJ$1003&lt;$EJ116)+($EJ$5:$EJ$1003=$EJ116)*(($EK$5:$EK$1003&lt;$EK116)+($EK$5:$EK$1003=$EK116)*($DE$5:$DE$1003&lt;$DE116))))+1)</f>
        <v/>
      </c>
      <c r="EM116">
        <f>IF($DM116=0,"",$EL116+$EG116-1)</f>
        <v/>
      </c>
      <c r="EN116">
        <f>IF($DM116=0,0,IFERROR(MATCH(1,INDEX(--(TRIM(SUBSTITUTE(SUBSTITUTE(SUBSTITUTE(SUBSTITUTE(LINES_NAME&amp;""," "," "),CHAR(9)," "),CHAR(10)," "),CHAR(13)," "))=$DH116),0),0),0))</f>
        <v/>
      </c>
      <c r="EO116">
        <f>IF($EN116=0,0,IF(OR(UPPER(TRIM(INDEX(LINES_SCHEDULED,$EN116)&amp;""))="YES",UPPER(TRIM(INDEX(LINES_SCHEDULED,$EN116)&amp;""))="Y",UPPER(TRIM(INDEX(LINES_SCHEDULED,$EN116)&amp;""))="X"),1,0))</f>
        <v/>
      </c>
      <c r="EP116">
        <f>IF($DM116=0,"",IF(COUNTIFS($EG$5:$EG$1003,$EG116,$EB$5:$EB$1003,"Ready")&gt;0,"READY",IF(COUNTIFS($EG$5:$EG$1003,$EG116,$EB$5:$EB$1003,"PM")&gt;0,"PM",IF(COUNTIFS($EG$5:$EG$1003,$EG116,$EB$5:$EB$1003,"OT")&gt;0,"OT",""))))</f>
        <v/>
      </c>
      <c r="EQ116">
        <f>IF($EN116=0,"",UPPER(TRIM(INDEX(LINES_STATUS,$EN116)&amp;"")))</f>
        <v/>
      </c>
      <c r="ER116">
        <f>IF($DM116=0,"",IF(OR($EQ116="READY",$EQ116="PM",$EQ116="OT"),$EQ116,$EP116))</f>
        <v/>
      </c>
      <c r="ES116">
        <f>IF($DM116=0,"",IF(AND($DV116&lt;&gt;"",UPPER($DV116)&lt;&gt;"N"),"allergen",IF(ISNUMBER(SEARCH("oil",$DQ116)),"oil",IF(OR(EXACT($DS116,"A662"),EXACT($DS116,"A624")),"bulk",""))))</f>
        <v/>
      </c>
      <c r="ET116">
        <f>IF($DM116=0,"",IF(OR($EA116="",$EA116=0),"",$EA116/100))</f>
        <v/>
      </c>
      <c r="EU116">
        <f>IF(OR($ET116="",$DY116=""),"",INT($DY116*(1-$ET116)+0.5))</f>
        <v/>
      </c>
      <c r="EW116" t="n">
        <v>112</v>
      </c>
      <c r="EX116">
        <f>IFERROR(MATCH($EW116,$EM$5:$EM$1003,0),0)</f>
        <v/>
      </c>
      <c r="EY116">
        <f>IF($EW116&gt;$B$12,"",IF($EX116&gt;0,"row","spacer"))</f>
        <v/>
      </c>
      <c r="EZ116">
        <f>IF(AND($EY116="row",$EY115&lt;&gt;"row"),1,0)</f>
        <v/>
      </c>
      <c r="FA116">
        <f>IF(AND($EY116="row",$EY117&lt;&gt;"row"),1,0)</f>
        <v/>
      </c>
      <c r="FB116">
        <f>IF($EZ116=1,IFERROR(IF(ISNUMBER(INDEX(PASTE_ALL,INDEX($DF$5:$DF$1003,$EX116),$B$37)),INDEX(PASTE_ALL,INDEX($DF$5:$DF$1003,$EX116),$B$37),INDEX($DH$5:$DH$1003,$EX116)),INDEX($DH$5:$DH$1003,$EX116)),"")</f>
        <v/>
      </c>
      <c r="FC116">
        <f>IF($EY116="row",INDEX($ER$5:$ER$1003,$EX116),"")</f>
        <v/>
      </c>
      <c r="FD116">
        <f>IF($EY116="row",INDEX($DN$5:$DN$1003,$EX116),"")</f>
        <v/>
      </c>
      <c r="FE116">
        <f>IF($EY116="row",INDEX($DO$5:$DO$1003,$EX116),"")</f>
        <v/>
      </c>
      <c r="FF116">
        <f>IF($EY116="row",INDEX($DP$5:$DP$1003,$EX116),"")</f>
        <v/>
      </c>
      <c r="FG116">
        <f>IF($EY116="row",INDEX($DQ$5:$DQ$1003,$EX116),"")</f>
        <v/>
      </c>
      <c r="FH116">
        <f>IF($EY116="row",INDEX($DR$5:$DR$1003,$EX116),"")</f>
        <v/>
      </c>
      <c r="FI116">
        <f>IF($EY116="row",INDEX($DS$5:$DS$1003,$EX116),"")</f>
        <v/>
      </c>
      <c r="FJ116">
        <f>IF($EY116="row",INDEX($DT$5:$DT$1003,$EX116),"")</f>
        <v/>
      </c>
      <c r="FK116">
        <f>IF($EY116="row",INDEX($DU$5:$DU$1003,$EX116),"")</f>
        <v/>
      </c>
      <c r="FL116">
        <f>IF($EY116="row",INDEX($DV$5:$DV$1003,$EX116),"")</f>
        <v/>
      </c>
      <c r="FM116">
        <f>IF($EY116="row",INDEX($DW$5:$DW$1003,$EX116),"")</f>
        <v/>
      </c>
      <c r="FN116">
        <f>IF($EY116="row",INDEX($DY$5:$DY$1003,$EX116),"")</f>
        <v/>
      </c>
      <c r="FO116">
        <f>IF($EY116="row",INDEX($EA$5:$EA$1003,$EX116),"")</f>
        <v/>
      </c>
      <c r="FP116">
        <f>IF($EY116="row",INDEX($EC$5:$EC$1003,$EX116),"")</f>
        <v/>
      </c>
      <c r="FQ116">
        <f>IF($EY116="row",INDEX($ET$5:$ET$1003,$EX116),"")</f>
        <v/>
      </c>
      <c r="FR116">
        <f>IF($EY116="row",INDEX($EU$5:$EU$1003,$EX116),"")</f>
        <v/>
      </c>
      <c r="FS116">
        <f>IF(AND($EY116="row",$EY115="row"),IF(OR(INDEX($DT$5:$DT$1003,$EX115)="",INDEX($DT$5:$DT$1003,$EX116)=""),"",IF(NOT(EXACT(INDEX($DT$5:$DT$1003,$EX115),INDEX($DT$5:$DT$1003,$EX116))),"S4",IF(NOT(EXACT(INDEX($DS$5:$DS$1003,$EX115),INDEX($DS$5:$DS$1003,$EX116))),"S3",IF(NOT(EXACT(INDEX($DR$5:$DR$1003,$EX115),INDEX($DR$5:$DR$1003,$EX116))),"S1 Count Change","S1")))),"")</f>
        <v/>
      </c>
      <c r="FT116">
        <f>IF($EY116="row",INDEX($ES$5:$ES$1003,$EX116),"")</f>
        <v/>
      </c>
      <c r="FU116">
        <f>IF($EY116="row",INDEX($EO$5:$EO$1003,$EX116),0)</f>
        <v/>
      </c>
      <c r="FV116">
        <f>IF($FS116="S1 Count Change",1,0)</f>
        <v/>
      </c>
    </row>
    <row r="117">
      <c r="Y117">
        <f>IF(Y27="",0,IFERROR(INDEX($W$5:$W$86,MATCH(Y27,$V$5:$V$86,0)),0))</f>
        <v/>
      </c>
      <c r="Z117">
        <f>IF(Z27="",0,IFERROR(INDEX($W$5:$W$86,MATCH(Z27,$V$5:$V$86,0)),0))</f>
        <v/>
      </c>
      <c r="AA117">
        <f>IF(AA27="",0,IFERROR(INDEX($W$5:$W$86,MATCH(AA27,$V$5:$V$86,0)),0))</f>
        <v/>
      </c>
      <c r="AB117">
        <f>IF(AB27="",0,IFERROR(INDEX($W$5:$W$86,MATCH(AB27,$V$5:$V$86,0)),0))</f>
        <v/>
      </c>
      <c r="AC117">
        <f>IF(AC27="",0,IFERROR(INDEX($W$5:$W$86,MATCH(AC27,$V$5:$V$86,0)),0))</f>
        <v/>
      </c>
      <c r="AD117">
        <f>IF(AD27="",0,IFERROR(INDEX($W$5:$W$86,MATCH(AD27,$V$5:$V$86,0)),0))</f>
        <v/>
      </c>
      <c r="AE117">
        <f>IF(AE27="",0,IFERROR(INDEX($W$5:$W$86,MATCH(AE27,$V$5:$V$86,0)),0))</f>
        <v/>
      </c>
      <c r="AF117">
        <f>IF(AF27="",0,IFERROR(INDEX($W$5:$W$86,MATCH(AF27,$V$5:$V$86,0)),0))</f>
        <v/>
      </c>
      <c r="AG117">
        <f>IF(AG27="",0,IFERROR(INDEX($W$5:$W$86,MATCH(AG27,$V$5:$V$86,0)),0))</f>
        <v/>
      </c>
      <c r="AH117">
        <f>IF(AH27="",0,IFERROR(INDEX($W$5:$W$86,MATCH(AH27,$V$5:$V$86,0)),0))</f>
        <v/>
      </c>
      <c r="AI117">
        <f>IF(AI27="",0,IFERROR(INDEX($W$5:$W$86,MATCH(AI27,$V$5:$V$86,0)),0))</f>
        <v/>
      </c>
      <c r="AJ117">
        <f>IF(AJ27="",0,IFERROR(INDEX($W$5:$W$86,MATCH(AJ27,$V$5:$V$86,0)),0))</f>
        <v/>
      </c>
      <c r="AK117">
        <f>IF(AK27="",0,IFERROR(INDEX($W$5:$W$86,MATCH(AK27,$V$5:$V$86,0)),0))</f>
        <v/>
      </c>
      <c r="AL117">
        <f>IF(AL27="",0,IFERROR(INDEX($W$5:$W$86,MATCH(AL27,$V$5:$V$86,0)),0))</f>
        <v/>
      </c>
      <c r="AM117">
        <f>IF(AM27="",0,IFERROR(INDEX($W$5:$W$86,MATCH(AM27,$V$5:$V$86,0)),0))</f>
        <v/>
      </c>
      <c r="AN117">
        <f>IF(AN27="",0,IFERROR(INDEX($W$5:$W$86,MATCH(AN27,$V$5:$V$86,0)),0))</f>
        <v/>
      </c>
      <c r="AO117">
        <f>IF(AO27="",0,IFERROR(INDEX($W$5:$W$86,MATCH(AO27,$V$5:$V$86,0)),0))</f>
        <v/>
      </c>
      <c r="AP117">
        <f>IF(AP27="",0,IFERROR(INDEX($W$5:$W$86,MATCH(AP27,$V$5:$V$86,0)),0))</f>
        <v/>
      </c>
      <c r="AQ117">
        <f>IF(AQ27="",0,IFERROR(INDEX($W$5:$W$86,MATCH(AQ27,$V$5:$V$86,0)),0))</f>
        <v/>
      </c>
      <c r="AR117">
        <f>IF(AR27="",0,IFERROR(INDEX($W$5:$W$86,MATCH(AR27,$V$5:$V$86,0)),0))</f>
        <v/>
      </c>
      <c r="AS117">
        <f>IF(AS27="",0,IFERROR(INDEX($W$5:$W$86,MATCH(AS27,$V$5:$V$86,0)),0))</f>
        <v/>
      </c>
      <c r="AT117">
        <f>IF(AT27="",0,IFERROR(INDEX($W$5:$W$86,MATCH(AT27,$V$5:$V$86,0)),0))</f>
        <v/>
      </c>
      <c r="AU117">
        <f>IF(AU27="",0,IFERROR(INDEX($W$5:$W$86,MATCH(AU27,$V$5:$V$86,0)),0))</f>
        <v/>
      </c>
      <c r="AV117">
        <f>IF(AV27="",0,IFERROR(INDEX($W$5:$W$86,MATCH(AV27,$V$5:$V$86,0)),0))</f>
        <v/>
      </c>
      <c r="AW117">
        <f>IF(AW27="",0,IFERROR(INDEX($W$5:$W$86,MATCH(AW27,$V$5:$V$86,0)),0))</f>
        <v/>
      </c>
      <c r="AX117">
        <f>IF(AX27="",0,IFERROR(INDEX($W$5:$W$86,MATCH(AX27,$V$5:$V$86,0)),0))</f>
        <v/>
      </c>
      <c r="AY117">
        <f>IF(AY27="",0,IFERROR(INDEX($W$5:$W$86,MATCH(AY27,$V$5:$V$86,0)),0))</f>
        <v/>
      </c>
      <c r="AZ117">
        <f>IF(AZ27="",0,IFERROR(INDEX($W$5:$W$86,MATCH(AZ27,$V$5:$V$86,0)),0))</f>
        <v/>
      </c>
      <c r="BA117">
        <f>IF(BA27="",0,IFERROR(INDEX($W$5:$W$86,MATCH(BA27,$V$5:$V$86,0)),0))</f>
        <v/>
      </c>
      <c r="BB117">
        <f>IF(BB27="",0,IFERROR(INDEX($W$5:$W$86,MATCH(BB27,$V$5:$V$86,0)),0))</f>
        <v/>
      </c>
      <c r="BC117">
        <f>IF(BC27="",0,IFERROR(INDEX($W$5:$W$86,MATCH(BC27,$V$5:$V$86,0)),0))</f>
        <v/>
      </c>
      <c r="BD117">
        <f>IF(BD27="",0,IFERROR(INDEX($W$5:$W$86,MATCH(BD27,$V$5:$V$86,0)),0))</f>
        <v/>
      </c>
      <c r="BE117">
        <f>IF(BE27="",0,IFERROR(INDEX($W$5:$W$86,MATCH(BE27,$V$5:$V$86,0)),0))</f>
        <v/>
      </c>
      <c r="BF117">
        <f>IF(BF27="",0,IFERROR(INDEX($W$5:$W$86,MATCH(BF27,$V$5:$V$86,0)),0))</f>
        <v/>
      </c>
      <c r="BG117">
        <f>IF(BG27="",0,IFERROR(INDEX($W$5:$W$86,MATCH(BG27,$V$5:$V$86,0)),0))</f>
        <v/>
      </c>
      <c r="BH117">
        <f>IF(BH27="",0,IFERROR(INDEX($W$5:$W$86,MATCH(BH27,$V$5:$V$86,0)),0))</f>
        <v/>
      </c>
      <c r="BI117">
        <f>IF(BI27="",0,IFERROR(INDEX($W$5:$W$86,MATCH(BI27,$V$5:$V$86,0)),0))</f>
        <v/>
      </c>
      <c r="BJ117">
        <f>IF(BJ27="",0,IFERROR(INDEX($W$5:$W$86,MATCH(BJ27,$V$5:$V$86,0)),0))</f>
        <v/>
      </c>
      <c r="BK117">
        <f>IF(BK27="",0,IFERROR(INDEX($W$5:$W$86,MATCH(BK27,$V$5:$V$86,0)),0))</f>
        <v/>
      </c>
      <c r="BL117">
        <f>IF(BL27="",0,IFERROR(INDEX($W$5:$W$86,MATCH(BL27,$V$5:$V$86,0)),0))</f>
        <v/>
      </c>
      <c r="BM117">
        <f>IF(BM27="",0,IFERROR(INDEX($W$5:$W$86,MATCH(BM27,$V$5:$V$86,0)),0))</f>
        <v/>
      </c>
      <c r="BN117">
        <f>IF(BN27="",0,IFERROR(INDEX($W$5:$W$86,MATCH(BN27,$V$5:$V$86,0)),0))</f>
        <v/>
      </c>
      <c r="BO117">
        <f>IF(BO27="",0,IFERROR(INDEX($W$5:$W$86,MATCH(BO27,$V$5:$V$86,0)),0))</f>
        <v/>
      </c>
      <c r="BP117">
        <f>IF(BP27="",0,IFERROR(INDEX($W$5:$W$86,MATCH(BP27,$V$5:$V$86,0)),0))</f>
        <v/>
      </c>
      <c r="BQ117">
        <f>IF(BQ27="",0,IFERROR(INDEX($W$5:$W$86,MATCH(BQ27,$V$5:$V$86,0)),0))</f>
        <v/>
      </c>
      <c r="BR117">
        <f>IF(BR27="",0,IFERROR(INDEX($W$5:$W$86,MATCH(BR27,$V$5:$V$86,0)),0))</f>
        <v/>
      </c>
      <c r="BS117">
        <f>IF(BS27="",0,IFERROR(INDEX($W$5:$W$86,MATCH(BS27,$V$5:$V$86,0)),0))</f>
        <v/>
      </c>
      <c r="BT117">
        <f>IF(BT27="",0,IFERROR(INDEX($W$5:$W$86,MATCH(BT27,$V$5:$V$86,0)),0))</f>
        <v/>
      </c>
      <c r="BU117">
        <f>IF(BU27="",0,IFERROR(INDEX($W$5:$W$86,MATCH(BU27,$V$5:$V$86,0)),0))</f>
        <v/>
      </c>
      <c r="BV117">
        <f>IF(BV27="",0,IFERROR(INDEX($W$5:$W$86,MATCH(BV27,$V$5:$V$86,0)),0))</f>
        <v/>
      </c>
      <c r="BW117">
        <f>IF(BW27="",0,IFERROR(INDEX($W$5:$W$86,MATCH(BW27,$V$5:$V$86,0)),0))</f>
        <v/>
      </c>
      <c r="BX117">
        <f>IF(BX27="",0,IFERROR(INDEX($W$5:$W$86,MATCH(BX27,$V$5:$V$86,0)),0))</f>
        <v/>
      </c>
      <c r="BY117">
        <f>IF(BY27="",0,IFERROR(INDEX($W$5:$W$86,MATCH(BY27,$V$5:$V$86,0)),0))</f>
        <v/>
      </c>
      <c r="BZ117">
        <f>IF(BZ27="",0,IFERROR(INDEX($W$5:$W$86,MATCH(BZ27,$V$5:$V$86,0)),0))</f>
        <v/>
      </c>
      <c r="CA117">
        <f>IF(CA27="",0,IFERROR(INDEX($W$5:$W$86,MATCH(CA27,$V$5:$V$86,0)),0))</f>
        <v/>
      </c>
      <c r="CB117">
        <f>IF(CB27="",0,IFERROR(INDEX($W$5:$W$86,MATCH(CB27,$V$5:$V$86,0)),0))</f>
        <v/>
      </c>
      <c r="CC117">
        <f>IF(CC27="",0,IFERROR(INDEX($W$5:$W$86,MATCH(CC27,$V$5:$V$86,0)),0))</f>
        <v/>
      </c>
      <c r="CD117">
        <f>IF(CD27="",0,IFERROR(INDEX($W$5:$W$86,MATCH(CD27,$V$5:$V$86,0)),0))</f>
        <v/>
      </c>
      <c r="CE117">
        <f>IF(CE27="",0,IFERROR(INDEX($W$5:$W$86,MATCH(CE27,$V$5:$V$86,0)),0))</f>
        <v/>
      </c>
      <c r="CF117">
        <f>IF(CF27="",0,IFERROR(INDEX($W$5:$W$86,MATCH(CF27,$V$5:$V$86,0)),0))</f>
        <v/>
      </c>
      <c r="DA117" t="n">
        <v>113</v>
      </c>
      <c r="DB117">
        <f>IF($B$37=0,"",IFERROR(TRIM(SUBSTITUTE(SUBSTITUTE(SUBSTITUTE(SUBSTITUTE(INDEX(PASTE_ALL,113,$B$37)," "," "),CHAR(9)," "),CHAR(10)," "),CHAR(13)," ")),""))</f>
        <v/>
      </c>
      <c r="DC117">
        <f>IF(AND(113&gt;HEADER_ROW,UPPER(DB117)="LEGEND"),1,0)</f>
        <v/>
      </c>
      <c r="DE117" t="n">
        <v>113</v>
      </c>
      <c r="DF117">
        <f>HEADER_ROW+$DE117</f>
        <v/>
      </c>
      <c r="DG117">
        <f>IF(AND($DF117&lt;=1000,$DF117&lt;$B$8),1,0)</f>
        <v/>
      </c>
      <c r="DH117">
        <f>IF($DG117=1,IFERROR(INDEX($DB$5:$DB$1004,$DF117),""),"")</f>
        <v/>
      </c>
      <c r="DI117">
        <f>IF(AND($DG117=1,$DH117&lt;&gt;""),IFERROR(SUBSTITUTE(SUBSTITUTE(TRIM(SUBSTITUTE(SUBSTITUTE(SUBSTITUTE(SUBSTITUTE(IFERROR(INDEX(PASTE_ALL,$DF117,1)&amp;"","")&amp;"␟"&amp;IFERROR(INDEX(PASTE_ALL,$DF117,2)&amp;"","")&amp;"␟"&amp;IFERROR(INDEX(PASTE_ALL,$DF117,3)&amp;"","")&amp;"␟"&amp;IFERROR(INDEX(PASTE_ALL,$DF117,4)&amp;"","")&amp;"␟"&amp;IFERROR(INDEX(PASTE_ALL,$DF117,5)&amp;"","")&amp;"␟"&amp;IFERROR(INDEX(PASTE_ALL,$DF117,6)&amp;"","")&amp;"␟"&amp;IFERROR(INDEX(PASTE_ALL,$DF117,7)&amp;"","")&amp;"␟"&amp;IFERROR(INDEX(PASTE_ALL,$DF117,8)&amp;"","")&amp;"␟"&amp;IFERROR(INDEX(PASTE_ALL,$DF117,9)&amp;"","")&amp;"␟"&amp;IFERROR(INDEX(PASTE_ALL,$DF117,10)&amp;"","")&amp;"␟"&amp;IFERROR(INDEX(PASTE_ALL,$DF117,11)&amp;"","")&amp;"␟"&amp;IFERROR(INDEX(PASTE_ALL,$DF117,12)&amp;"","")&amp;"␟"&amp;IFERROR(INDEX(PASTE_ALL,$DF117,13)&amp;"","")&amp;"␟"&amp;IFERROR(INDEX(PASTE_ALL,$DF117,14)&amp;"","")&amp;"␟"&amp;IFERROR(INDEX(PASTE_ALL,$DF117,15)&amp;"","")&amp;"␟"&amp;IFERROR(INDEX(PASTE_ALL,$DF117,16)&amp;"","")&amp;"␟"&amp;IFERROR(INDEX(PASTE_ALL,$DF117,17)&amp;"","")&amp;"␟"&amp;IFERROR(INDEX(PASTE_ALL,$DF117,18)&amp;"","")&amp;"␟"&amp;IFERROR(INDEX(PASTE_ALL,$DF117,19)&amp;"","")&amp;"␟"&amp;IFERROR(INDEX(PASTE_ALL,$DF117,20)&amp;"","")&amp;"␟"&amp;IFERROR(INDEX(PASTE_ALL,$DF117,21)&amp;"","")&amp;"␟"&amp;IFERROR(INDEX(PASTE_ALL,$DF117,22)&amp;"","")&amp;"␟"&amp;IFERROR(INDEX(PASTE_ALL,$DF117,23)&amp;"","")&amp;"␟"&amp;IFERROR(INDEX(PASTE_ALL,$DF117,24)&amp;"","")&amp;"␟"&amp;IFERROR(INDEX(PASTE_ALL,$DF117,25)&amp;"","")&amp;"␟"&amp;IFERROR(INDEX(PASTE_ALL,$DF117,26)&amp;"","")&amp;"␟"&amp;IFERROR(INDEX(PASTE_ALL,$DF117,27)&amp;"","")&amp;"␟"&amp;IFERROR(INDEX(PASTE_ALL,$DF117,28)&amp;"","")&amp;"␟"&amp;IFERROR(INDEX(PASTE_ALL,$DF117,29)&amp;"","")&amp;"␟"&amp;IFERROR(INDEX(PASTE_ALL,$DF117,30)&amp;"","")&amp;"␟"&amp;IFERROR(INDEX(PASTE_ALL,$DF117,31)&amp;"","")&amp;"␟"&amp;IFERROR(INDEX(PASTE_ALL,$DF117,32)&amp;"","")&amp;"␟"&amp;IFERROR(INDEX(PASTE_ALL,$DF117,33)&amp;"","")&amp;"␟"&amp;IFERROR(INDEX(PASTE_ALL,$DF117,34)&amp;"","")&amp;"␟"&amp;IFERROR(INDEX(PASTE_ALL,$DF117,35)&amp;"","")&amp;"␟"&amp;IFERROR(INDEX(PASTE_ALL,$DF117,36)&amp;"","")&amp;"␟"&amp;IFERROR(INDEX(PASTE_ALL,$DF117,37)&amp;"","")&amp;"␟"&amp;IFERROR(INDEX(PASTE_ALL,$DF117,38)&amp;"","")&amp;"␟"&amp;IFERROR(INDEX(PASTE_ALL,$DF117,39)&amp;"","")&amp;"␟"&amp;IFERROR(INDEX(PASTE_ALL,$DF117,40)&amp;"","")&amp;"␟"&amp;IFERROR(INDEX(PASTE_ALL,$DF117,41)&amp;"","")&amp;"␟"&amp;IFERROR(INDEX(PASTE_ALL,$DF117,42)&amp;"","")&amp;"␟"&amp;IFERROR(INDEX(PASTE_ALL,$DF117,43)&amp;"","")&amp;"␟"&amp;IFERROR(INDEX(PASTE_ALL,$DF117,44)&amp;"","")&amp;"␟"&amp;IFERROR(INDEX(PASTE_ALL,$DF117,45)&amp;"","")&amp;"␟"&amp;IFERROR(INDEX(PASTE_ALL,$DF117,46)&amp;"","")&amp;"␟"&amp;IFERROR(INDEX(PASTE_ALL,$DF117,47)&amp;"","")&amp;"␟"&amp;IFERROR(INDEX(PASTE_ALL,$DF117,48)&amp;"","")&amp;"␟"&amp;IFERROR(INDEX(PASTE_ALL,$DF117,49)&amp;"","")&amp;"␟"&amp;IFERROR(INDEX(PASTE_ALL,$DF117,50)&amp;"","")&amp;"␟"&amp;IFERROR(INDEX(PASTE_ALL,$DF117,51)&amp;"","")&amp;"␟"&amp;IFERROR(INDEX(PASTE_ALL,$DF117,52)&amp;"","")&amp;"␟"&amp;IFERROR(INDEX(PASTE_ALL,$DF117,53)&amp;"","")&amp;"␟"&amp;IFERROR(INDEX(PASTE_ALL,$DF117,54)&amp;"","")&amp;"␟"&amp;IFERROR(INDEX(PASTE_ALL,$DF117,55)&amp;"","")&amp;"␟"&amp;IFERROR(INDEX(PASTE_ALL,$DF117,56)&amp;"","")&amp;"␟"&amp;IFERROR(INDEX(PASTE_ALL,$DF117,57)&amp;"","")&amp;"␟"&amp;IFERROR(INDEX(PASTE_ALL,$DF117,58)&amp;"","")&amp;"␟"&amp;IFERROR(INDEX(PASTE_ALL,$DF117,59)&amp;"","")&amp;"␟"&amp;IFERROR(INDEX(PASTE_ALL,$DF117,60)&amp;"","")," "," "),CHAR(9)," "),CHAR(10)," "),CHAR(13)," "))," ␟","␟"),"␟ ","␟"),"#"&amp;$DE117),"")</f>
        <v/>
      </c>
      <c r="DJ117">
        <f>IF($DI117="",0,IF(SUMPRODUCT(--EXACT($DI$4:DI116,$DI117))&gt;0,1,0))</f>
        <v/>
      </c>
      <c r="DK117">
        <f>IF(AND($DI117&lt;&gt;"",$DJ117=0),1,0)</f>
        <v/>
      </c>
      <c r="DL117">
        <f>DL116+$DK117</f>
        <v/>
      </c>
      <c r="DM117">
        <f>IF(AND($DK117=1,$DL117&lt;=600),1,0)</f>
        <v/>
      </c>
      <c r="DN117">
        <f>IF($DM117=0,"",IF($L$6=0,"",IFERROR(IF(ISNUMBER(INDEX(PASTE_ALL,$DF117,$L$6)),INDEX(PASTE_ALL,$DF117,$L$6),TRIM(SUBSTITUTE(SUBSTITUTE(SUBSTITUTE(SUBSTITUTE(INDEX(PASTE_ALL,$DF117,$L$6)," "," "),CHAR(9)," "),CHAR(10)," "),CHAR(13)," "))),"")))</f>
        <v/>
      </c>
      <c r="DO117">
        <f>IF($DM117=0,"",IF($L$7=0,"",IFERROR(IF(ISNUMBER(INDEX(PASTE_ALL,$DF117,$L$7)),INDEX(PASTE_ALL,$DF117,$L$7),TRIM(SUBSTITUTE(SUBSTITUTE(SUBSTITUTE(SUBSTITUTE(INDEX(PASTE_ALL,$DF117,$L$7)," "," "),CHAR(9)," "),CHAR(10)," "),CHAR(13)," "))),"")))</f>
        <v/>
      </c>
      <c r="DP117">
        <f>IF($DM117=0,"",IF($L$8=0,"",IFERROR(IF(ISNUMBER(INDEX(PASTE_ALL,$DF117,$L$8)),INDEX(PASTE_ALL,$DF117,$L$8),TRIM(SUBSTITUTE(SUBSTITUTE(SUBSTITUTE(SUBSTITUTE(INDEX(PASTE_ALL,$DF117,$L$8)," "," "),CHAR(9)," "),CHAR(10)," "),CHAR(13)," "))),"")))</f>
        <v/>
      </c>
      <c r="DQ117">
        <f>IF($DM117=0,"",IF($L$9=0,"",IFERROR(IF(ISNUMBER(INDEX(PASTE_ALL,$DF117,$L$9)),INDEX(PASTE_ALL,$DF117,$L$9),TRIM(SUBSTITUTE(SUBSTITUTE(SUBSTITUTE(SUBSTITUTE(INDEX(PASTE_ALL,$DF117,$L$9)," "," "),CHAR(9)," "),CHAR(10)," "),CHAR(13)," "))),"")))</f>
        <v/>
      </c>
      <c r="DR117">
        <f>IF($DM117=0,"",IF($L$10=0,"",IFERROR(IF(ISNUMBER(INDEX(PASTE_ALL,$DF117,$L$10)),INDEX(PASTE_ALL,$DF117,$L$10),TRIM(SUBSTITUTE(SUBSTITUTE(SUBSTITUTE(SUBSTITUTE(INDEX(PASTE_ALL,$DF117,$L$10)," "," "),CHAR(9)," "),CHAR(10)," "),CHAR(13)," "))),"")))</f>
        <v/>
      </c>
      <c r="DS117">
        <f>IF($DM117=0,"",IF($L$11=0,"",IFERROR(IF(ISNUMBER(INDEX(PASTE_ALL,$DF117,$L$11)),INDEX(PASTE_ALL,$DF117,$L$11),TRIM(SUBSTITUTE(SUBSTITUTE(SUBSTITUTE(SUBSTITUTE(INDEX(PASTE_ALL,$DF117,$L$11)," "," "),CHAR(9)," "),CHAR(10)," "),CHAR(13)," "))),"")))</f>
        <v/>
      </c>
      <c r="DT117">
        <f>IF($DM117=0,"",IF($L$12=0,"",IFERROR(IF(ISNUMBER(INDEX(PASTE_ALL,$DF117,$L$12)),INDEX(PASTE_ALL,$DF117,$L$12),TRIM(SUBSTITUTE(SUBSTITUTE(SUBSTITUTE(SUBSTITUTE(INDEX(PASTE_ALL,$DF117,$L$12)," "," "),CHAR(9)," "),CHAR(10)," "),CHAR(13)," "))),"")))</f>
        <v/>
      </c>
      <c r="DU117">
        <f>IF($DM117=0,"",IF($L$13=0,"",IFERROR(IF(ISNUMBER(INDEX(PASTE_ALL,$DF117,$L$13)),INDEX(PASTE_ALL,$DF117,$L$13),TRIM(SUBSTITUTE(SUBSTITUTE(SUBSTITUTE(SUBSTITUTE(INDEX(PASTE_ALL,$DF117,$L$13)," "," "),CHAR(9)," "),CHAR(10)," "),CHAR(13)," "))),"")))</f>
        <v/>
      </c>
      <c r="DV117">
        <f>IF($DM117=0,"",IF($L$14=0,"",IFERROR(IF(ISNUMBER(INDEX(PASTE_ALL,$DF117,$L$14)),INDEX(PASTE_ALL,$DF117,$L$14),TRIM(SUBSTITUTE(SUBSTITUTE(SUBSTITUTE(SUBSTITUTE(INDEX(PASTE_ALL,$DF117,$L$14)," "," "),CHAR(9)," "),CHAR(10)," "),CHAR(13)," "))),"")))</f>
        <v/>
      </c>
      <c r="DW117">
        <f>IF($DM117=0,"",IF($L$15=0,"",IFERROR(IF(ISNUMBER(INDEX(PASTE_ALL,$DF117,$L$15)),INDEX(PASTE_ALL,$DF117,$L$15),IF(SUMPRODUCT(--ISNUMBER(FIND({"A","B","C","D","E","F","G","H","I","J","K","L","M","N","O","P","Q","R","S","T","U","V","W","X","Y","Z","0","1","2","3","4","5","6","7","8","9"},UPPER(TRIM(SUBSTITUTE(SUBSTITUTE(SUBSTITUTE(SUBSTITUTE(INDEX(PASTE_ALL,$DF117,$L$15)," "," "),CHAR(9)," "),CHAR(10)," "),CHAR(13)," "))))))&gt;0,TRIM(SUBSTITUTE(SUBSTITUTE(SUBSTITUTE(SUBSTITUTE(INDEX(PASTE_ALL,$DF117,$L$15)," "," "),CHAR(9)," "),CHAR(10)," "),CHAR(13)," ")),"")),"")))</f>
        <v/>
      </c>
      <c r="DX117">
        <f>IF($DM117=0,"",IF($L$16=0,"",IFERROR(IF(ISNUMBER(INDEX(PASTE_ALL,$DF117,$L$16)),INDEX(PASTE_ALL,$DF117,$L$16),SUBSTITUTE(SUBSTITUTE(TRIM(SUBSTITUTE(SUBSTITUTE(SUBSTITUTE(SUBSTITUTE(INDEX(PASTE_ALL,$DF117,$L$16)," "," "),CHAR(9)," "),CHAR(10)," "),CHAR(13)," ")),",",""),"%","")),"")))</f>
        <v/>
      </c>
      <c r="DY117">
        <f>IF($DM117=0,"",IFERROR(IF(ISNUMBER($DX117),$DX117,IF($DX117="","",IF(TRIM($DX117)="",0,IF(AND(AND(SUBSTITUTE(SUBSTITUTE(SUBSTITUTE(SUBSTITUTE(SUBSTITUTE(SUBSTITUTE(SUBSTITUTE(SUBSTITUTE(SUBSTITUTE(SUBSTITUTE(SUBSTITUTE(SUBSTITUTE(SUBSTITUTE(SUBSTITUTE(UPPER(TRIM($DX117)),"0",""),"1",""),"2",""),"3",""),"4",""),"5",""),"6",""),"7",""),"8",""),"9",""),".",""),"+",""),"-",""),"E","")="",LEN(SUBSTITUTE(SUBSTITUTE(MID(UPPER(TRIM($DX117)),1+OR(LEFT(UPPER(TRIM($DX117)),1)="+",LEFT(UPPER(TRIM($DX117)),1)="-"),999),"E+","E"),"E-","E"))=LEN(SUBSTITUTE(SUBSTITUTE(SUBSTITUTE(SUBSTITUTE(MID(UPPER(TRIM($DX117)),1+OR(LEFT(UPPER(TRIM($DX117)),1)="+",LEFT(UPPER(TRIM($DX117)),1)="-"),999),"E+","E"),"E-","E"),"+",""),"-","")),LEN(UPPER(TRIM($DX117)))-LEN(SUBSTITUTE(UPPER(TRIM($DX117)),"E",""))&lt;2,LEN(UPPER(TRIM($DX117)))-LEN(SUBSTITUTE(UPPER(TRIM($DX117)),".",""))&lt;2,IFERROR(FIND(".",UPPER(TRIM($DX117))),0)&lt;IFERROR(FIND("E",UPPER(TRIM($DX117))),999)),ISNUMBER(VALUE(TRIM($DX117)))),VALUE(TRIM($DX117)),"")))),""))</f>
        <v/>
      </c>
      <c r="DZ117">
        <f>IF($DM117=0,"",IF($L$17=0,"",IFERROR(IF(ISNUMBER(INDEX(PASTE_ALL,$DF117,$L$17)),INDEX(PASTE_ALL,$DF117,$L$17),SUBSTITUTE(SUBSTITUTE(TRIM(SUBSTITUTE(SUBSTITUTE(SUBSTITUTE(SUBSTITUTE(INDEX(PASTE_ALL,$DF117,$L$17)," "," "),CHAR(9)," "),CHAR(10)," "),CHAR(13)," ")),",",""),"%","")),"")))</f>
        <v/>
      </c>
      <c r="EA117">
        <f>IF($DM117=0,"",IFERROR(IF(ISNUMBER($DZ117),$DZ117,IF($DZ117="","",IF(TRIM($DZ117)="",0,IF(AND(AND(SUBSTITUTE(SUBSTITUTE(SUBSTITUTE(SUBSTITUTE(SUBSTITUTE(SUBSTITUTE(SUBSTITUTE(SUBSTITUTE(SUBSTITUTE(SUBSTITUTE(SUBSTITUTE(SUBSTITUTE(SUBSTITUTE(SUBSTITUTE(UPPER(TRIM($DZ117)),"0",""),"1",""),"2",""),"3",""),"4",""),"5",""),"6",""),"7",""),"8",""),"9",""),".",""),"+",""),"-",""),"E","")="",LEN(SUBSTITUTE(SUBSTITUTE(MID(UPPER(TRIM($DZ117)),1+OR(LEFT(UPPER(TRIM($DZ117)),1)="+",LEFT(UPPER(TRIM($DZ117)),1)="-"),999),"E+","E"),"E-","E"))=LEN(SUBSTITUTE(SUBSTITUTE(SUBSTITUTE(SUBSTITUTE(MID(UPPER(TRIM($DZ117)),1+OR(LEFT(UPPER(TRIM($DZ117)),1)="+",LEFT(UPPER(TRIM($DZ117)),1)="-"),999),"E+","E"),"E-","E"),"+",""),"-","")),LEN(UPPER(TRIM($DZ117)))-LEN(SUBSTITUTE(UPPER(TRIM($DZ117)),"E",""))&lt;2,LEN(UPPER(TRIM($DZ117)))-LEN(SUBSTITUTE(UPPER(TRIM($DZ117)),".",""))&lt;2,IFERROR(FIND(".",UPPER(TRIM($DZ117))),0)&lt;IFERROR(FIND("E",UPPER(TRIM($DZ117))),999)),ISNUMBER(VALUE(TRIM($DZ117)))),VALUE(TRIM($DZ117)),"")))),""))</f>
        <v/>
      </c>
      <c r="EB117">
        <f>IF($DM117=0,"",IF($L$18=0,"",IFERROR(IF(UPPER(TRIM(SUBSTITUTE(SUBSTITUTE(SUBSTITUTE(SUBSTITUTE(INDEX(PASTE_ALL,$DF117,$L$18)," "," "),CHAR(9)," "),CHAR(10)," "),CHAR(13)," ")))="READY","Ready",IF(UPPER(TRIM(SUBSTITUTE(SUBSTITUTE(SUBSTITUTE(SUBSTITUTE(INDEX(PASTE_ALL,$DF117,$L$18)," "," "),CHAR(9)," "),CHAR(10)," "),CHAR(13)," ")))="PM","PM",IF(OR(UPPER(TRIM(SUBSTITUTE(SUBSTITUTE(SUBSTITUTE(SUBSTITUTE(INDEX(PASTE_ALL,$DF117,$L$18)," "," "),CHAR(9)," "),CHAR(10)," "),CHAR(13)," ")))="OT",UPPER(TRIM(SUBSTITUTE(SUBSTITUTE(SUBSTITUTE(SUBSTITUTE(INDEX(PASTE_ALL,$DF117,$L$18)," "," "),CHAR(9)," "),CHAR(10)," "),CHAR(13)," ")))="OVERTIME",UPPER(TRIM(SUBSTITUTE(SUBSTITUTE(SUBSTITUTE(SUBSTITUTE(INDEX(PASTE_ALL,$DF117,$L$18)," "," "),CHAR(9)," "),CHAR(10)," "),CHAR(13)," ")))="TRIAL"),"OT",TRIM(SUBSTITUTE(SUBSTITUTE(SUBSTITUTE(SUBSTITUTE(INDEX(PASTE_ALL,$DF117,$L$18)," "," "),CHAR(9)," "),CHAR(10)," "),CHAR(13)," "))))),"")))</f>
        <v/>
      </c>
      <c r="EC117">
        <f>IF($DM117=0,"",IF($L$19=0,"",IFERROR(IF(ISNUMBER(INDEX(PASTE_ALL,$DF117,$L$19)),INDEX(PASTE_ALL,$DF117,$L$19),TRIM(SUBSTITUTE(SUBSTITUTE(SUBSTITUTE(SUBSTITUTE(INDEX(PASTE_ALL,$DF117,$L$19)," "," "),CHAR(9)," "),CHAR(10)," "),CHAR(13)," "))),"")))</f>
        <v/>
      </c>
      <c r="ED117">
        <f>IF($DM117=0,"",MATCH(1,INDEX(EXACT($DH$5:DH117,$DH117)*$DM$5:DM117,0),0))</f>
        <v/>
      </c>
      <c r="EE117">
        <f>IF($DM117=0,0,IF($ED117=$DE117,1,0))</f>
        <v/>
      </c>
      <c r="EF117">
        <f>EF116+$EE117</f>
        <v/>
      </c>
      <c r="EG117">
        <f>IF($DM117=0,"",INDEX($EF$5:$EF$1003,$ED117))</f>
        <v/>
      </c>
      <c r="EH117">
        <f>IF($DM117=0,"",IF($DO117&lt;&gt;"","",IFERROR(LOOKUP(2,1/(($EG$4:EG116=$EG117)*($DO$4:DO116&lt;&gt;"")),$DO$4:DO116),"")))</f>
        <v/>
      </c>
      <c r="EI117">
        <f>IF($DM117=0,"",IF($DO117&lt;&gt;"",$DO117,$EH117))</f>
        <v/>
      </c>
      <c r="EJ117">
        <f>IF($DM117=0,"",IF($EI117="",0,IF(OR(ISNUMBER($EI117),AND(AND(SUBSTITUTE(SUBSTITUTE(SUBSTITUTE(SUBSTITUTE(SUBSTITUTE(SUBSTITUTE(SUBSTITUTE(SUBSTITUTE(SUBSTITUTE(SUBSTITUTE(SUBSTITUTE(SUBSTITUTE(SUBSTITUTE(SUBSTITUTE(UPPER($EI117),"0",""),"1",""),"2",""),"3",""),"4",""),"5",""),"6",""),"7",""),"8",""),"9",""),".",""),"+",""),"-",""),"E","")="",LEN(SUBSTITUTE(SUBSTITUTE(MID(UPPER($EI117),1+OR(LEFT(UPPER($EI117),1)="+",LEFT(UPPER($EI117),1)="-"),999),"E+","E"),"E-","E"))=LEN(SUBSTITUTE(SUBSTITUTE(SUBSTITUTE(SUBSTITUTE(MID(UPPER($EI117),1+OR(LEFT(UPPER($EI117),1)="+",LEFT(UPPER($EI117),1)="-"),999),"E+","E"),"E-","E"),"+",""),"-","")),LEN(UPPER($EI117))-LEN(SUBSTITUTE(UPPER($EI117),"E",""))&lt;2,LEN(UPPER($EI117))-LEN(SUBSTITUTE(UPPER($EI117),".",""))&lt;2,IFERROR(FIND(".",UPPER($EI117)),0)&lt;IFERROR(FIND("E",UPPER($EI117)),999)),ISNUMBER(VALUE($EI117)))),1,2)))</f>
        <v/>
      </c>
      <c r="EK117">
        <f>IF($DM117=0,"",IF($EJ117=1,IF(ISNUMBER($EI117),$EI117,VALUE($EI117)),IF($EJ117=2,$DE117,0)))</f>
        <v/>
      </c>
      <c r="EL117">
        <f>IF($DM117=0,"",COUNTIF($EG$5:$EG$1003,"&lt;"&amp;$EG117)+SUMPRODUCT(($EG$5:$EG$1003=$EG117)*(($EJ$5:$EJ$1003&lt;$EJ117)+($EJ$5:$EJ$1003=$EJ117)*(($EK$5:$EK$1003&lt;$EK117)+($EK$5:$EK$1003=$EK117)*($DE$5:$DE$1003&lt;$DE117))))+1)</f>
        <v/>
      </c>
      <c r="EM117">
        <f>IF($DM117=0,"",$EL117+$EG117-1)</f>
        <v/>
      </c>
      <c r="EN117">
        <f>IF($DM117=0,0,IFERROR(MATCH(1,INDEX(--(TRIM(SUBSTITUTE(SUBSTITUTE(SUBSTITUTE(SUBSTITUTE(LINES_NAME&amp;""," "," "),CHAR(9)," "),CHAR(10)," "),CHAR(13)," "))=$DH117),0),0),0))</f>
        <v/>
      </c>
      <c r="EO117">
        <f>IF($EN117=0,0,IF(OR(UPPER(TRIM(INDEX(LINES_SCHEDULED,$EN117)&amp;""))="YES",UPPER(TRIM(INDEX(LINES_SCHEDULED,$EN117)&amp;""))="Y",UPPER(TRIM(INDEX(LINES_SCHEDULED,$EN117)&amp;""))="X"),1,0))</f>
        <v/>
      </c>
      <c r="EP117">
        <f>IF($DM117=0,"",IF(COUNTIFS($EG$5:$EG$1003,$EG117,$EB$5:$EB$1003,"Ready")&gt;0,"READY",IF(COUNTIFS($EG$5:$EG$1003,$EG117,$EB$5:$EB$1003,"PM")&gt;0,"PM",IF(COUNTIFS($EG$5:$EG$1003,$EG117,$EB$5:$EB$1003,"OT")&gt;0,"OT",""))))</f>
        <v/>
      </c>
      <c r="EQ117">
        <f>IF($EN117=0,"",UPPER(TRIM(INDEX(LINES_STATUS,$EN117)&amp;"")))</f>
        <v/>
      </c>
      <c r="ER117">
        <f>IF($DM117=0,"",IF(OR($EQ117="READY",$EQ117="PM",$EQ117="OT"),$EQ117,$EP117))</f>
        <v/>
      </c>
      <c r="ES117">
        <f>IF($DM117=0,"",IF(AND($DV117&lt;&gt;"",UPPER($DV117)&lt;&gt;"N"),"allergen",IF(ISNUMBER(SEARCH("oil",$DQ117)),"oil",IF(OR(EXACT($DS117,"A662"),EXACT($DS117,"A624")),"bulk",""))))</f>
        <v/>
      </c>
      <c r="ET117">
        <f>IF($DM117=0,"",IF(OR($EA117="",$EA117=0),"",$EA117/100))</f>
        <v/>
      </c>
      <c r="EU117">
        <f>IF(OR($ET117="",$DY117=""),"",INT($DY117*(1-$ET117)+0.5))</f>
        <v/>
      </c>
      <c r="EW117" t="n">
        <v>113</v>
      </c>
      <c r="EX117">
        <f>IFERROR(MATCH($EW117,$EM$5:$EM$1003,0),0)</f>
        <v/>
      </c>
      <c r="EY117">
        <f>IF($EW117&gt;$B$12,"",IF($EX117&gt;0,"row","spacer"))</f>
        <v/>
      </c>
      <c r="EZ117">
        <f>IF(AND($EY117="row",$EY116&lt;&gt;"row"),1,0)</f>
        <v/>
      </c>
      <c r="FA117">
        <f>IF(AND($EY117="row",$EY118&lt;&gt;"row"),1,0)</f>
        <v/>
      </c>
      <c r="FB117">
        <f>IF($EZ117=1,IFERROR(IF(ISNUMBER(INDEX(PASTE_ALL,INDEX($DF$5:$DF$1003,$EX117),$B$37)),INDEX(PASTE_ALL,INDEX($DF$5:$DF$1003,$EX117),$B$37),INDEX($DH$5:$DH$1003,$EX117)),INDEX($DH$5:$DH$1003,$EX117)),"")</f>
        <v/>
      </c>
      <c r="FC117">
        <f>IF($EY117="row",INDEX($ER$5:$ER$1003,$EX117),"")</f>
        <v/>
      </c>
      <c r="FD117">
        <f>IF($EY117="row",INDEX($DN$5:$DN$1003,$EX117),"")</f>
        <v/>
      </c>
      <c r="FE117">
        <f>IF($EY117="row",INDEX($DO$5:$DO$1003,$EX117),"")</f>
        <v/>
      </c>
      <c r="FF117">
        <f>IF($EY117="row",INDEX($DP$5:$DP$1003,$EX117),"")</f>
        <v/>
      </c>
      <c r="FG117">
        <f>IF($EY117="row",INDEX($DQ$5:$DQ$1003,$EX117),"")</f>
        <v/>
      </c>
      <c r="FH117">
        <f>IF($EY117="row",INDEX($DR$5:$DR$1003,$EX117),"")</f>
        <v/>
      </c>
      <c r="FI117">
        <f>IF($EY117="row",INDEX($DS$5:$DS$1003,$EX117),"")</f>
        <v/>
      </c>
      <c r="FJ117">
        <f>IF($EY117="row",INDEX($DT$5:$DT$1003,$EX117),"")</f>
        <v/>
      </c>
      <c r="FK117">
        <f>IF($EY117="row",INDEX($DU$5:$DU$1003,$EX117),"")</f>
        <v/>
      </c>
      <c r="FL117">
        <f>IF($EY117="row",INDEX($DV$5:$DV$1003,$EX117),"")</f>
        <v/>
      </c>
      <c r="FM117">
        <f>IF($EY117="row",INDEX($DW$5:$DW$1003,$EX117),"")</f>
        <v/>
      </c>
      <c r="FN117">
        <f>IF($EY117="row",INDEX($DY$5:$DY$1003,$EX117),"")</f>
        <v/>
      </c>
      <c r="FO117">
        <f>IF($EY117="row",INDEX($EA$5:$EA$1003,$EX117),"")</f>
        <v/>
      </c>
      <c r="FP117">
        <f>IF($EY117="row",INDEX($EC$5:$EC$1003,$EX117),"")</f>
        <v/>
      </c>
      <c r="FQ117">
        <f>IF($EY117="row",INDEX($ET$5:$ET$1003,$EX117),"")</f>
        <v/>
      </c>
      <c r="FR117">
        <f>IF($EY117="row",INDEX($EU$5:$EU$1003,$EX117),"")</f>
        <v/>
      </c>
      <c r="FS117">
        <f>IF(AND($EY117="row",$EY116="row"),IF(OR(INDEX($DT$5:$DT$1003,$EX116)="",INDEX($DT$5:$DT$1003,$EX117)=""),"",IF(NOT(EXACT(INDEX($DT$5:$DT$1003,$EX116),INDEX($DT$5:$DT$1003,$EX117))),"S4",IF(NOT(EXACT(INDEX($DS$5:$DS$1003,$EX116),INDEX($DS$5:$DS$1003,$EX117))),"S3",IF(NOT(EXACT(INDEX($DR$5:$DR$1003,$EX116),INDEX($DR$5:$DR$1003,$EX117))),"S1 Count Change","S1")))),"")</f>
        <v/>
      </c>
      <c r="FT117">
        <f>IF($EY117="row",INDEX($ES$5:$ES$1003,$EX117),"")</f>
        <v/>
      </c>
      <c r="FU117">
        <f>IF($EY117="row",INDEX($EO$5:$EO$1003,$EX117),0)</f>
        <v/>
      </c>
      <c r="FV117">
        <f>IF($FS117="S1 Count Change",1,0)</f>
        <v/>
      </c>
    </row>
    <row r="118">
      <c r="Y118">
        <f>IF(Y28="",0,IFERROR(INDEX($W$5:$W$86,MATCH(Y28,$V$5:$V$86,0)),0))</f>
        <v/>
      </c>
      <c r="Z118">
        <f>IF(Z28="",0,IFERROR(INDEX($W$5:$W$86,MATCH(Z28,$V$5:$V$86,0)),0))</f>
        <v/>
      </c>
      <c r="AA118">
        <f>IF(AA28="",0,IFERROR(INDEX($W$5:$W$86,MATCH(AA28,$V$5:$V$86,0)),0))</f>
        <v/>
      </c>
      <c r="AB118">
        <f>IF(AB28="",0,IFERROR(INDEX($W$5:$W$86,MATCH(AB28,$V$5:$V$86,0)),0))</f>
        <v/>
      </c>
      <c r="AC118">
        <f>IF(AC28="",0,IFERROR(INDEX($W$5:$W$86,MATCH(AC28,$V$5:$V$86,0)),0))</f>
        <v/>
      </c>
      <c r="AD118">
        <f>IF(AD28="",0,IFERROR(INDEX($W$5:$W$86,MATCH(AD28,$V$5:$V$86,0)),0))</f>
        <v/>
      </c>
      <c r="AE118">
        <f>IF(AE28="",0,IFERROR(INDEX($W$5:$W$86,MATCH(AE28,$V$5:$V$86,0)),0))</f>
        <v/>
      </c>
      <c r="AF118">
        <f>IF(AF28="",0,IFERROR(INDEX($W$5:$W$86,MATCH(AF28,$V$5:$V$86,0)),0))</f>
        <v/>
      </c>
      <c r="AG118">
        <f>IF(AG28="",0,IFERROR(INDEX($W$5:$W$86,MATCH(AG28,$V$5:$V$86,0)),0))</f>
        <v/>
      </c>
      <c r="AH118">
        <f>IF(AH28="",0,IFERROR(INDEX($W$5:$W$86,MATCH(AH28,$V$5:$V$86,0)),0))</f>
        <v/>
      </c>
      <c r="AI118">
        <f>IF(AI28="",0,IFERROR(INDEX($W$5:$W$86,MATCH(AI28,$V$5:$V$86,0)),0))</f>
        <v/>
      </c>
      <c r="AJ118">
        <f>IF(AJ28="",0,IFERROR(INDEX($W$5:$W$86,MATCH(AJ28,$V$5:$V$86,0)),0))</f>
        <v/>
      </c>
      <c r="AK118">
        <f>IF(AK28="",0,IFERROR(INDEX($W$5:$W$86,MATCH(AK28,$V$5:$V$86,0)),0))</f>
        <v/>
      </c>
      <c r="AL118">
        <f>IF(AL28="",0,IFERROR(INDEX($W$5:$W$86,MATCH(AL28,$V$5:$V$86,0)),0))</f>
        <v/>
      </c>
      <c r="AM118">
        <f>IF(AM28="",0,IFERROR(INDEX($W$5:$W$86,MATCH(AM28,$V$5:$V$86,0)),0))</f>
        <v/>
      </c>
      <c r="AN118">
        <f>IF(AN28="",0,IFERROR(INDEX($W$5:$W$86,MATCH(AN28,$V$5:$V$86,0)),0))</f>
        <v/>
      </c>
      <c r="AO118">
        <f>IF(AO28="",0,IFERROR(INDEX($W$5:$W$86,MATCH(AO28,$V$5:$V$86,0)),0))</f>
        <v/>
      </c>
      <c r="AP118">
        <f>IF(AP28="",0,IFERROR(INDEX($W$5:$W$86,MATCH(AP28,$V$5:$V$86,0)),0))</f>
        <v/>
      </c>
      <c r="AQ118">
        <f>IF(AQ28="",0,IFERROR(INDEX($W$5:$W$86,MATCH(AQ28,$V$5:$V$86,0)),0))</f>
        <v/>
      </c>
      <c r="AR118">
        <f>IF(AR28="",0,IFERROR(INDEX($W$5:$W$86,MATCH(AR28,$V$5:$V$86,0)),0))</f>
        <v/>
      </c>
      <c r="AS118">
        <f>IF(AS28="",0,IFERROR(INDEX($W$5:$W$86,MATCH(AS28,$V$5:$V$86,0)),0))</f>
        <v/>
      </c>
      <c r="AT118">
        <f>IF(AT28="",0,IFERROR(INDEX($W$5:$W$86,MATCH(AT28,$V$5:$V$86,0)),0))</f>
        <v/>
      </c>
      <c r="AU118">
        <f>IF(AU28="",0,IFERROR(INDEX($W$5:$W$86,MATCH(AU28,$V$5:$V$86,0)),0))</f>
        <v/>
      </c>
      <c r="AV118">
        <f>IF(AV28="",0,IFERROR(INDEX($W$5:$W$86,MATCH(AV28,$V$5:$V$86,0)),0))</f>
        <v/>
      </c>
      <c r="AW118">
        <f>IF(AW28="",0,IFERROR(INDEX($W$5:$W$86,MATCH(AW28,$V$5:$V$86,0)),0))</f>
        <v/>
      </c>
      <c r="AX118">
        <f>IF(AX28="",0,IFERROR(INDEX($W$5:$W$86,MATCH(AX28,$V$5:$V$86,0)),0))</f>
        <v/>
      </c>
      <c r="AY118">
        <f>IF(AY28="",0,IFERROR(INDEX($W$5:$W$86,MATCH(AY28,$V$5:$V$86,0)),0))</f>
        <v/>
      </c>
      <c r="AZ118">
        <f>IF(AZ28="",0,IFERROR(INDEX($W$5:$W$86,MATCH(AZ28,$V$5:$V$86,0)),0))</f>
        <v/>
      </c>
      <c r="BA118">
        <f>IF(BA28="",0,IFERROR(INDEX($W$5:$W$86,MATCH(BA28,$V$5:$V$86,0)),0))</f>
        <v/>
      </c>
      <c r="BB118">
        <f>IF(BB28="",0,IFERROR(INDEX($W$5:$W$86,MATCH(BB28,$V$5:$V$86,0)),0))</f>
        <v/>
      </c>
      <c r="BC118">
        <f>IF(BC28="",0,IFERROR(INDEX($W$5:$W$86,MATCH(BC28,$V$5:$V$86,0)),0))</f>
        <v/>
      </c>
      <c r="BD118">
        <f>IF(BD28="",0,IFERROR(INDEX($W$5:$W$86,MATCH(BD28,$V$5:$V$86,0)),0))</f>
        <v/>
      </c>
      <c r="BE118">
        <f>IF(BE28="",0,IFERROR(INDEX($W$5:$W$86,MATCH(BE28,$V$5:$V$86,0)),0))</f>
        <v/>
      </c>
      <c r="BF118">
        <f>IF(BF28="",0,IFERROR(INDEX($W$5:$W$86,MATCH(BF28,$V$5:$V$86,0)),0))</f>
        <v/>
      </c>
      <c r="BG118">
        <f>IF(BG28="",0,IFERROR(INDEX($W$5:$W$86,MATCH(BG28,$V$5:$V$86,0)),0))</f>
        <v/>
      </c>
      <c r="BH118">
        <f>IF(BH28="",0,IFERROR(INDEX($W$5:$W$86,MATCH(BH28,$V$5:$V$86,0)),0))</f>
        <v/>
      </c>
      <c r="BI118">
        <f>IF(BI28="",0,IFERROR(INDEX($W$5:$W$86,MATCH(BI28,$V$5:$V$86,0)),0))</f>
        <v/>
      </c>
      <c r="BJ118">
        <f>IF(BJ28="",0,IFERROR(INDEX($W$5:$W$86,MATCH(BJ28,$V$5:$V$86,0)),0))</f>
        <v/>
      </c>
      <c r="BK118">
        <f>IF(BK28="",0,IFERROR(INDEX($W$5:$W$86,MATCH(BK28,$V$5:$V$86,0)),0))</f>
        <v/>
      </c>
      <c r="BL118">
        <f>IF(BL28="",0,IFERROR(INDEX($W$5:$W$86,MATCH(BL28,$V$5:$V$86,0)),0))</f>
        <v/>
      </c>
      <c r="BM118">
        <f>IF(BM28="",0,IFERROR(INDEX($W$5:$W$86,MATCH(BM28,$V$5:$V$86,0)),0))</f>
        <v/>
      </c>
      <c r="BN118">
        <f>IF(BN28="",0,IFERROR(INDEX($W$5:$W$86,MATCH(BN28,$V$5:$V$86,0)),0))</f>
        <v/>
      </c>
      <c r="BO118">
        <f>IF(BO28="",0,IFERROR(INDEX($W$5:$W$86,MATCH(BO28,$V$5:$V$86,0)),0))</f>
        <v/>
      </c>
      <c r="BP118">
        <f>IF(BP28="",0,IFERROR(INDEX($W$5:$W$86,MATCH(BP28,$V$5:$V$86,0)),0))</f>
        <v/>
      </c>
      <c r="BQ118">
        <f>IF(BQ28="",0,IFERROR(INDEX($W$5:$W$86,MATCH(BQ28,$V$5:$V$86,0)),0))</f>
        <v/>
      </c>
      <c r="BR118">
        <f>IF(BR28="",0,IFERROR(INDEX($W$5:$W$86,MATCH(BR28,$V$5:$V$86,0)),0))</f>
        <v/>
      </c>
      <c r="BS118">
        <f>IF(BS28="",0,IFERROR(INDEX($W$5:$W$86,MATCH(BS28,$V$5:$V$86,0)),0))</f>
        <v/>
      </c>
      <c r="BT118">
        <f>IF(BT28="",0,IFERROR(INDEX($W$5:$W$86,MATCH(BT28,$V$5:$V$86,0)),0))</f>
        <v/>
      </c>
      <c r="BU118">
        <f>IF(BU28="",0,IFERROR(INDEX($W$5:$W$86,MATCH(BU28,$V$5:$V$86,0)),0))</f>
        <v/>
      </c>
      <c r="BV118">
        <f>IF(BV28="",0,IFERROR(INDEX($W$5:$W$86,MATCH(BV28,$V$5:$V$86,0)),0))</f>
        <v/>
      </c>
      <c r="BW118">
        <f>IF(BW28="",0,IFERROR(INDEX($W$5:$W$86,MATCH(BW28,$V$5:$V$86,0)),0))</f>
        <v/>
      </c>
      <c r="BX118">
        <f>IF(BX28="",0,IFERROR(INDEX($W$5:$W$86,MATCH(BX28,$V$5:$V$86,0)),0))</f>
        <v/>
      </c>
      <c r="BY118">
        <f>IF(BY28="",0,IFERROR(INDEX($W$5:$W$86,MATCH(BY28,$V$5:$V$86,0)),0))</f>
        <v/>
      </c>
      <c r="BZ118">
        <f>IF(BZ28="",0,IFERROR(INDEX($W$5:$W$86,MATCH(BZ28,$V$5:$V$86,0)),0))</f>
        <v/>
      </c>
      <c r="CA118">
        <f>IF(CA28="",0,IFERROR(INDEX($W$5:$W$86,MATCH(CA28,$V$5:$V$86,0)),0))</f>
        <v/>
      </c>
      <c r="CB118">
        <f>IF(CB28="",0,IFERROR(INDEX($W$5:$W$86,MATCH(CB28,$V$5:$V$86,0)),0))</f>
        <v/>
      </c>
      <c r="CC118">
        <f>IF(CC28="",0,IFERROR(INDEX($W$5:$W$86,MATCH(CC28,$V$5:$V$86,0)),0))</f>
        <v/>
      </c>
      <c r="CD118">
        <f>IF(CD28="",0,IFERROR(INDEX($W$5:$W$86,MATCH(CD28,$V$5:$V$86,0)),0))</f>
        <v/>
      </c>
      <c r="CE118">
        <f>IF(CE28="",0,IFERROR(INDEX($W$5:$W$86,MATCH(CE28,$V$5:$V$86,0)),0))</f>
        <v/>
      </c>
      <c r="CF118">
        <f>IF(CF28="",0,IFERROR(INDEX($W$5:$W$86,MATCH(CF28,$V$5:$V$86,0)),0))</f>
        <v/>
      </c>
      <c r="DA118" t="n">
        <v>114</v>
      </c>
      <c r="DB118">
        <f>IF($B$37=0,"",IFERROR(TRIM(SUBSTITUTE(SUBSTITUTE(SUBSTITUTE(SUBSTITUTE(INDEX(PASTE_ALL,114,$B$37)," "," "),CHAR(9)," "),CHAR(10)," "),CHAR(13)," ")),""))</f>
        <v/>
      </c>
      <c r="DC118">
        <f>IF(AND(114&gt;HEADER_ROW,UPPER(DB118)="LEGEND"),1,0)</f>
        <v/>
      </c>
      <c r="DE118" t="n">
        <v>114</v>
      </c>
      <c r="DF118">
        <f>HEADER_ROW+$DE118</f>
        <v/>
      </c>
      <c r="DG118">
        <f>IF(AND($DF118&lt;=1000,$DF118&lt;$B$8),1,0)</f>
        <v/>
      </c>
      <c r="DH118">
        <f>IF($DG118=1,IFERROR(INDEX($DB$5:$DB$1004,$DF118),""),"")</f>
        <v/>
      </c>
      <c r="DI118">
        <f>IF(AND($DG118=1,$DH118&lt;&gt;""),IFERROR(SUBSTITUTE(SUBSTITUTE(TRIM(SUBSTITUTE(SUBSTITUTE(SUBSTITUTE(SUBSTITUTE(IFERROR(INDEX(PASTE_ALL,$DF118,1)&amp;"","")&amp;"␟"&amp;IFERROR(INDEX(PASTE_ALL,$DF118,2)&amp;"","")&amp;"␟"&amp;IFERROR(INDEX(PASTE_ALL,$DF118,3)&amp;"","")&amp;"␟"&amp;IFERROR(INDEX(PASTE_ALL,$DF118,4)&amp;"","")&amp;"␟"&amp;IFERROR(INDEX(PASTE_ALL,$DF118,5)&amp;"","")&amp;"␟"&amp;IFERROR(INDEX(PASTE_ALL,$DF118,6)&amp;"","")&amp;"␟"&amp;IFERROR(INDEX(PASTE_ALL,$DF118,7)&amp;"","")&amp;"␟"&amp;IFERROR(INDEX(PASTE_ALL,$DF118,8)&amp;"","")&amp;"␟"&amp;IFERROR(INDEX(PASTE_ALL,$DF118,9)&amp;"","")&amp;"␟"&amp;IFERROR(INDEX(PASTE_ALL,$DF118,10)&amp;"","")&amp;"␟"&amp;IFERROR(INDEX(PASTE_ALL,$DF118,11)&amp;"","")&amp;"␟"&amp;IFERROR(INDEX(PASTE_ALL,$DF118,12)&amp;"","")&amp;"␟"&amp;IFERROR(INDEX(PASTE_ALL,$DF118,13)&amp;"","")&amp;"␟"&amp;IFERROR(INDEX(PASTE_ALL,$DF118,14)&amp;"","")&amp;"␟"&amp;IFERROR(INDEX(PASTE_ALL,$DF118,15)&amp;"","")&amp;"␟"&amp;IFERROR(INDEX(PASTE_ALL,$DF118,16)&amp;"","")&amp;"␟"&amp;IFERROR(INDEX(PASTE_ALL,$DF118,17)&amp;"","")&amp;"␟"&amp;IFERROR(INDEX(PASTE_ALL,$DF118,18)&amp;"","")&amp;"␟"&amp;IFERROR(INDEX(PASTE_ALL,$DF118,19)&amp;"","")&amp;"␟"&amp;IFERROR(INDEX(PASTE_ALL,$DF118,20)&amp;"","")&amp;"␟"&amp;IFERROR(INDEX(PASTE_ALL,$DF118,21)&amp;"","")&amp;"␟"&amp;IFERROR(INDEX(PASTE_ALL,$DF118,22)&amp;"","")&amp;"␟"&amp;IFERROR(INDEX(PASTE_ALL,$DF118,23)&amp;"","")&amp;"␟"&amp;IFERROR(INDEX(PASTE_ALL,$DF118,24)&amp;"","")&amp;"␟"&amp;IFERROR(INDEX(PASTE_ALL,$DF118,25)&amp;"","")&amp;"␟"&amp;IFERROR(INDEX(PASTE_ALL,$DF118,26)&amp;"","")&amp;"␟"&amp;IFERROR(INDEX(PASTE_ALL,$DF118,27)&amp;"","")&amp;"␟"&amp;IFERROR(INDEX(PASTE_ALL,$DF118,28)&amp;"","")&amp;"␟"&amp;IFERROR(INDEX(PASTE_ALL,$DF118,29)&amp;"","")&amp;"␟"&amp;IFERROR(INDEX(PASTE_ALL,$DF118,30)&amp;"","")&amp;"␟"&amp;IFERROR(INDEX(PASTE_ALL,$DF118,31)&amp;"","")&amp;"␟"&amp;IFERROR(INDEX(PASTE_ALL,$DF118,32)&amp;"","")&amp;"␟"&amp;IFERROR(INDEX(PASTE_ALL,$DF118,33)&amp;"","")&amp;"␟"&amp;IFERROR(INDEX(PASTE_ALL,$DF118,34)&amp;"","")&amp;"␟"&amp;IFERROR(INDEX(PASTE_ALL,$DF118,35)&amp;"","")&amp;"␟"&amp;IFERROR(INDEX(PASTE_ALL,$DF118,36)&amp;"","")&amp;"␟"&amp;IFERROR(INDEX(PASTE_ALL,$DF118,37)&amp;"","")&amp;"␟"&amp;IFERROR(INDEX(PASTE_ALL,$DF118,38)&amp;"","")&amp;"␟"&amp;IFERROR(INDEX(PASTE_ALL,$DF118,39)&amp;"","")&amp;"␟"&amp;IFERROR(INDEX(PASTE_ALL,$DF118,40)&amp;"","")&amp;"␟"&amp;IFERROR(INDEX(PASTE_ALL,$DF118,41)&amp;"","")&amp;"␟"&amp;IFERROR(INDEX(PASTE_ALL,$DF118,42)&amp;"","")&amp;"␟"&amp;IFERROR(INDEX(PASTE_ALL,$DF118,43)&amp;"","")&amp;"␟"&amp;IFERROR(INDEX(PASTE_ALL,$DF118,44)&amp;"","")&amp;"␟"&amp;IFERROR(INDEX(PASTE_ALL,$DF118,45)&amp;"","")&amp;"␟"&amp;IFERROR(INDEX(PASTE_ALL,$DF118,46)&amp;"","")&amp;"␟"&amp;IFERROR(INDEX(PASTE_ALL,$DF118,47)&amp;"","")&amp;"␟"&amp;IFERROR(INDEX(PASTE_ALL,$DF118,48)&amp;"","")&amp;"␟"&amp;IFERROR(INDEX(PASTE_ALL,$DF118,49)&amp;"","")&amp;"␟"&amp;IFERROR(INDEX(PASTE_ALL,$DF118,50)&amp;"","")&amp;"␟"&amp;IFERROR(INDEX(PASTE_ALL,$DF118,51)&amp;"","")&amp;"␟"&amp;IFERROR(INDEX(PASTE_ALL,$DF118,52)&amp;"","")&amp;"␟"&amp;IFERROR(INDEX(PASTE_ALL,$DF118,53)&amp;"","")&amp;"␟"&amp;IFERROR(INDEX(PASTE_ALL,$DF118,54)&amp;"","")&amp;"␟"&amp;IFERROR(INDEX(PASTE_ALL,$DF118,55)&amp;"","")&amp;"␟"&amp;IFERROR(INDEX(PASTE_ALL,$DF118,56)&amp;"","")&amp;"␟"&amp;IFERROR(INDEX(PASTE_ALL,$DF118,57)&amp;"","")&amp;"␟"&amp;IFERROR(INDEX(PASTE_ALL,$DF118,58)&amp;"","")&amp;"␟"&amp;IFERROR(INDEX(PASTE_ALL,$DF118,59)&amp;"","")&amp;"␟"&amp;IFERROR(INDEX(PASTE_ALL,$DF118,60)&amp;"","")," "," "),CHAR(9)," "),CHAR(10)," "),CHAR(13)," "))," ␟","␟"),"␟ ","␟"),"#"&amp;$DE118),"")</f>
        <v/>
      </c>
      <c r="DJ118">
        <f>IF($DI118="",0,IF(SUMPRODUCT(--EXACT($DI$4:DI117,$DI118))&gt;0,1,0))</f>
        <v/>
      </c>
      <c r="DK118">
        <f>IF(AND($DI118&lt;&gt;"",$DJ118=0),1,0)</f>
        <v/>
      </c>
      <c r="DL118">
        <f>DL117+$DK118</f>
        <v/>
      </c>
      <c r="DM118">
        <f>IF(AND($DK118=1,$DL118&lt;=600),1,0)</f>
        <v/>
      </c>
      <c r="DN118">
        <f>IF($DM118=0,"",IF($L$6=0,"",IFERROR(IF(ISNUMBER(INDEX(PASTE_ALL,$DF118,$L$6)),INDEX(PASTE_ALL,$DF118,$L$6),TRIM(SUBSTITUTE(SUBSTITUTE(SUBSTITUTE(SUBSTITUTE(INDEX(PASTE_ALL,$DF118,$L$6)," "," "),CHAR(9)," "),CHAR(10)," "),CHAR(13)," "))),"")))</f>
        <v/>
      </c>
      <c r="DO118">
        <f>IF($DM118=0,"",IF($L$7=0,"",IFERROR(IF(ISNUMBER(INDEX(PASTE_ALL,$DF118,$L$7)),INDEX(PASTE_ALL,$DF118,$L$7),TRIM(SUBSTITUTE(SUBSTITUTE(SUBSTITUTE(SUBSTITUTE(INDEX(PASTE_ALL,$DF118,$L$7)," "," "),CHAR(9)," "),CHAR(10)," "),CHAR(13)," "))),"")))</f>
        <v/>
      </c>
      <c r="DP118">
        <f>IF($DM118=0,"",IF($L$8=0,"",IFERROR(IF(ISNUMBER(INDEX(PASTE_ALL,$DF118,$L$8)),INDEX(PASTE_ALL,$DF118,$L$8),TRIM(SUBSTITUTE(SUBSTITUTE(SUBSTITUTE(SUBSTITUTE(INDEX(PASTE_ALL,$DF118,$L$8)," "," "),CHAR(9)," "),CHAR(10)," "),CHAR(13)," "))),"")))</f>
        <v/>
      </c>
      <c r="DQ118">
        <f>IF($DM118=0,"",IF($L$9=0,"",IFERROR(IF(ISNUMBER(INDEX(PASTE_ALL,$DF118,$L$9)),INDEX(PASTE_ALL,$DF118,$L$9),TRIM(SUBSTITUTE(SUBSTITUTE(SUBSTITUTE(SUBSTITUTE(INDEX(PASTE_ALL,$DF118,$L$9)," "," "),CHAR(9)," "),CHAR(10)," "),CHAR(13)," "))),"")))</f>
        <v/>
      </c>
      <c r="DR118">
        <f>IF($DM118=0,"",IF($L$10=0,"",IFERROR(IF(ISNUMBER(INDEX(PASTE_ALL,$DF118,$L$10)),INDEX(PASTE_ALL,$DF118,$L$10),TRIM(SUBSTITUTE(SUBSTITUTE(SUBSTITUTE(SUBSTITUTE(INDEX(PASTE_ALL,$DF118,$L$10)," "," "),CHAR(9)," "),CHAR(10)," "),CHAR(13)," "))),"")))</f>
        <v/>
      </c>
      <c r="DS118">
        <f>IF($DM118=0,"",IF($L$11=0,"",IFERROR(IF(ISNUMBER(INDEX(PASTE_ALL,$DF118,$L$11)),INDEX(PASTE_ALL,$DF118,$L$11),TRIM(SUBSTITUTE(SUBSTITUTE(SUBSTITUTE(SUBSTITUTE(INDEX(PASTE_ALL,$DF118,$L$11)," "," "),CHAR(9)," "),CHAR(10)," "),CHAR(13)," "))),"")))</f>
        <v/>
      </c>
      <c r="DT118">
        <f>IF($DM118=0,"",IF($L$12=0,"",IFERROR(IF(ISNUMBER(INDEX(PASTE_ALL,$DF118,$L$12)),INDEX(PASTE_ALL,$DF118,$L$12),TRIM(SUBSTITUTE(SUBSTITUTE(SUBSTITUTE(SUBSTITUTE(INDEX(PASTE_ALL,$DF118,$L$12)," "," "),CHAR(9)," "),CHAR(10)," "),CHAR(13)," "))),"")))</f>
        <v/>
      </c>
      <c r="DU118">
        <f>IF($DM118=0,"",IF($L$13=0,"",IFERROR(IF(ISNUMBER(INDEX(PASTE_ALL,$DF118,$L$13)),INDEX(PASTE_ALL,$DF118,$L$13),TRIM(SUBSTITUTE(SUBSTITUTE(SUBSTITUTE(SUBSTITUTE(INDEX(PASTE_ALL,$DF118,$L$13)," "," "),CHAR(9)," "),CHAR(10)," "),CHAR(13)," "))),"")))</f>
        <v/>
      </c>
      <c r="DV118">
        <f>IF($DM118=0,"",IF($L$14=0,"",IFERROR(IF(ISNUMBER(INDEX(PASTE_ALL,$DF118,$L$14)),INDEX(PASTE_ALL,$DF118,$L$14),TRIM(SUBSTITUTE(SUBSTITUTE(SUBSTITUTE(SUBSTITUTE(INDEX(PASTE_ALL,$DF118,$L$14)," "," "),CHAR(9)," "),CHAR(10)," "),CHAR(13)," "))),"")))</f>
        <v/>
      </c>
      <c r="DW118">
        <f>IF($DM118=0,"",IF($L$15=0,"",IFERROR(IF(ISNUMBER(INDEX(PASTE_ALL,$DF118,$L$15)),INDEX(PASTE_ALL,$DF118,$L$15),IF(SUMPRODUCT(--ISNUMBER(FIND({"A","B","C","D","E","F","G","H","I","J","K","L","M","N","O","P","Q","R","S","T","U","V","W","X","Y","Z","0","1","2","3","4","5","6","7","8","9"},UPPER(TRIM(SUBSTITUTE(SUBSTITUTE(SUBSTITUTE(SUBSTITUTE(INDEX(PASTE_ALL,$DF118,$L$15)," "," "),CHAR(9)," "),CHAR(10)," "),CHAR(13)," "))))))&gt;0,TRIM(SUBSTITUTE(SUBSTITUTE(SUBSTITUTE(SUBSTITUTE(INDEX(PASTE_ALL,$DF118,$L$15)," "," "),CHAR(9)," "),CHAR(10)," "),CHAR(13)," ")),"")),"")))</f>
        <v/>
      </c>
      <c r="DX118">
        <f>IF($DM118=0,"",IF($L$16=0,"",IFERROR(IF(ISNUMBER(INDEX(PASTE_ALL,$DF118,$L$16)),INDEX(PASTE_ALL,$DF118,$L$16),SUBSTITUTE(SUBSTITUTE(TRIM(SUBSTITUTE(SUBSTITUTE(SUBSTITUTE(SUBSTITUTE(INDEX(PASTE_ALL,$DF118,$L$16)," "," "),CHAR(9)," "),CHAR(10)," "),CHAR(13)," ")),",",""),"%","")),"")))</f>
        <v/>
      </c>
      <c r="DY118">
        <f>IF($DM118=0,"",IFERROR(IF(ISNUMBER($DX118),$DX118,IF($DX118="","",IF(TRIM($DX118)="",0,IF(AND(AND(SUBSTITUTE(SUBSTITUTE(SUBSTITUTE(SUBSTITUTE(SUBSTITUTE(SUBSTITUTE(SUBSTITUTE(SUBSTITUTE(SUBSTITUTE(SUBSTITUTE(SUBSTITUTE(SUBSTITUTE(SUBSTITUTE(SUBSTITUTE(UPPER(TRIM($DX118)),"0",""),"1",""),"2",""),"3",""),"4",""),"5",""),"6",""),"7",""),"8",""),"9",""),".",""),"+",""),"-",""),"E","")="",LEN(SUBSTITUTE(SUBSTITUTE(MID(UPPER(TRIM($DX118)),1+OR(LEFT(UPPER(TRIM($DX118)),1)="+",LEFT(UPPER(TRIM($DX118)),1)="-"),999),"E+","E"),"E-","E"))=LEN(SUBSTITUTE(SUBSTITUTE(SUBSTITUTE(SUBSTITUTE(MID(UPPER(TRIM($DX118)),1+OR(LEFT(UPPER(TRIM($DX118)),1)="+",LEFT(UPPER(TRIM($DX118)),1)="-"),999),"E+","E"),"E-","E"),"+",""),"-","")),LEN(UPPER(TRIM($DX118)))-LEN(SUBSTITUTE(UPPER(TRIM($DX118)),"E",""))&lt;2,LEN(UPPER(TRIM($DX118)))-LEN(SUBSTITUTE(UPPER(TRIM($DX118)),".",""))&lt;2,IFERROR(FIND(".",UPPER(TRIM($DX118))),0)&lt;IFERROR(FIND("E",UPPER(TRIM($DX118))),999)),ISNUMBER(VALUE(TRIM($DX118)))),VALUE(TRIM($DX118)),"")))),""))</f>
        <v/>
      </c>
      <c r="DZ118">
        <f>IF($DM118=0,"",IF($L$17=0,"",IFERROR(IF(ISNUMBER(INDEX(PASTE_ALL,$DF118,$L$17)),INDEX(PASTE_ALL,$DF118,$L$17),SUBSTITUTE(SUBSTITUTE(TRIM(SUBSTITUTE(SUBSTITUTE(SUBSTITUTE(SUBSTITUTE(INDEX(PASTE_ALL,$DF118,$L$17)," "," "),CHAR(9)," "),CHAR(10)," "),CHAR(13)," ")),",",""),"%","")),"")))</f>
        <v/>
      </c>
      <c r="EA118">
        <f>IF($DM118=0,"",IFERROR(IF(ISNUMBER($DZ118),$DZ118,IF($DZ118="","",IF(TRIM($DZ118)="",0,IF(AND(AND(SUBSTITUTE(SUBSTITUTE(SUBSTITUTE(SUBSTITUTE(SUBSTITUTE(SUBSTITUTE(SUBSTITUTE(SUBSTITUTE(SUBSTITUTE(SUBSTITUTE(SUBSTITUTE(SUBSTITUTE(SUBSTITUTE(SUBSTITUTE(UPPER(TRIM($DZ118)),"0",""),"1",""),"2",""),"3",""),"4",""),"5",""),"6",""),"7",""),"8",""),"9",""),".",""),"+",""),"-",""),"E","")="",LEN(SUBSTITUTE(SUBSTITUTE(MID(UPPER(TRIM($DZ118)),1+OR(LEFT(UPPER(TRIM($DZ118)),1)="+",LEFT(UPPER(TRIM($DZ118)),1)="-"),999),"E+","E"),"E-","E"))=LEN(SUBSTITUTE(SUBSTITUTE(SUBSTITUTE(SUBSTITUTE(MID(UPPER(TRIM($DZ118)),1+OR(LEFT(UPPER(TRIM($DZ118)),1)="+",LEFT(UPPER(TRIM($DZ118)),1)="-"),999),"E+","E"),"E-","E"),"+",""),"-","")),LEN(UPPER(TRIM($DZ118)))-LEN(SUBSTITUTE(UPPER(TRIM($DZ118)),"E",""))&lt;2,LEN(UPPER(TRIM($DZ118)))-LEN(SUBSTITUTE(UPPER(TRIM($DZ118)),".",""))&lt;2,IFERROR(FIND(".",UPPER(TRIM($DZ118))),0)&lt;IFERROR(FIND("E",UPPER(TRIM($DZ118))),999)),ISNUMBER(VALUE(TRIM($DZ118)))),VALUE(TRIM($DZ118)),"")))),""))</f>
        <v/>
      </c>
      <c r="EB118">
        <f>IF($DM118=0,"",IF($L$18=0,"",IFERROR(IF(UPPER(TRIM(SUBSTITUTE(SUBSTITUTE(SUBSTITUTE(SUBSTITUTE(INDEX(PASTE_ALL,$DF118,$L$18)," "," "),CHAR(9)," "),CHAR(10)," "),CHAR(13)," ")))="READY","Ready",IF(UPPER(TRIM(SUBSTITUTE(SUBSTITUTE(SUBSTITUTE(SUBSTITUTE(INDEX(PASTE_ALL,$DF118,$L$18)," "," "),CHAR(9)," "),CHAR(10)," "),CHAR(13)," ")))="PM","PM",IF(OR(UPPER(TRIM(SUBSTITUTE(SUBSTITUTE(SUBSTITUTE(SUBSTITUTE(INDEX(PASTE_ALL,$DF118,$L$18)," "," "),CHAR(9)," "),CHAR(10)," "),CHAR(13)," ")))="OT",UPPER(TRIM(SUBSTITUTE(SUBSTITUTE(SUBSTITUTE(SUBSTITUTE(INDEX(PASTE_ALL,$DF118,$L$18)," "," "),CHAR(9)," "),CHAR(10)," "),CHAR(13)," ")))="OVERTIME",UPPER(TRIM(SUBSTITUTE(SUBSTITUTE(SUBSTITUTE(SUBSTITUTE(INDEX(PASTE_ALL,$DF118,$L$18)," "," "),CHAR(9)," "),CHAR(10)," "),CHAR(13)," ")))="TRIAL"),"OT",TRIM(SUBSTITUTE(SUBSTITUTE(SUBSTITUTE(SUBSTITUTE(INDEX(PASTE_ALL,$DF118,$L$18)," "," "),CHAR(9)," "),CHAR(10)," "),CHAR(13)," "))))),"")))</f>
        <v/>
      </c>
      <c r="EC118">
        <f>IF($DM118=0,"",IF($L$19=0,"",IFERROR(IF(ISNUMBER(INDEX(PASTE_ALL,$DF118,$L$19)),INDEX(PASTE_ALL,$DF118,$L$19),TRIM(SUBSTITUTE(SUBSTITUTE(SUBSTITUTE(SUBSTITUTE(INDEX(PASTE_ALL,$DF118,$L$19)," "," "),CHAR(9)," "),CHAR(10)," "),CHAR(13)," "))),"")))</f>
        <v/>
      </c>
      <c r="ED118">
        <f>IF($DM118=0,"",MATCH(1,INDEX(EXACT($DH$5:DH118,$DH118)*$DM$5:DM118,0),0))</f>
        <v/>
      </c>
      <c r="EE118">
        <f>IF($DM118=0,0,IF($ED118=$DE118,1,0))</f>
        <v/>
      </c>
      <c r="EF118">
        <f>EF117+$EE118</f>
        <v/>
      </c>
      <c r="EG118">
        <f>IF($DM118=0,"",INDEX($EF$5:$EF$1003,$ED118))</f>
        <v/>
      </c>
      <c r="EH118">
        <f>IF($DM118=0,"",IF($DO118&lt;&gt;"","",IFERROR(LOOKUP(2,1/(($EG$4:EG117=$EG118)*($DO$4:DO117&lt;&gt;"")),$DO$4:DO117),"")))</f>
        <v/>
      </c>
      <c r="EI118">
        <f>IF($DM118=0,"",IF($DO118&lt;&gt;"",$DO118,$EH118))</f>
        <v/>
      </c>
      <c r="EJ118">
        <f>IF($DM118=0,"",IF($EI118="",0,IF(OR(ISNUMBER($EI118),AND(AND(SUBSTITUTE(SUBSTITUTE(SUBSTITUTE(SUBSTITUTE(SUBSTITUTE(SUBSTITUTE(SUBSTITUTE(SUBSTITUTE(SUBSTITUTE(SUBSTITUTE(SUBSTITUTE(SUBSTITUTE(SUBSTITUTE(SUBSTITUTE(UPPER($EI118),"0",""),"1",""),"2",""),"3",""),"4",""),"5",""),"6",""),"7",""),"8",""),"9",""),".",""),"+",""),"-",""),"E","")="",LEN(SUBSTITUTE(SUBSTITUTE(MID(UPPER($EI118),1+OR(LEFT(UPPER($EI118),1)="+",LEFT(UPPER($EI118),1)="-"),999),"E+","E"),"E-","E"))=LEN(SUBSTITUTE(SUBSTITUTE(SUBSTITUTE(SUBSTITUTE(MID(UPPER($EI118),1+OR(LEFT(UPPER($EI118),1)="+",LEFT(UPPER($EI118),1)="-"),999),"E+","E"),"E-","E"),"+",""),"-","")),LEN(UPPER($EI118))-LEN(SUBSTITUTE(UPPER($EI118),"E",""))&lt;2,LEN(UPPER($EI118))-LEN(SUBSTITUTE(UPPER($EI118),".",""))&lt;2,IFERROR(FIND(".",UPPER($EI118)),0)&lt;IFERROR(FIND("E",UPPER($EI118)),999)),ISNUMBER(VALUE($EI118)))),1,2)))</f>
        <v/>
      </c>
      <c r="EK118">
        <f>IF($DM118=0,"",IF($EJ118=1,IF(ISNUMBER($EI118),$EI118,VALUE($EI118)),IF($EJ118=2,$DE118,0)))</f>
        <v/>
      </c>
      <c r="EL118">
        <f>IF($DM118=0,"",COUNTIF($EG$5:$EG$1003,"&lt;"&amp;$EG118)+SUMPRODUCT(($EG$5:$EG$1003=$EG118)*(($EJ$5:$EJ$1003&lt;$EJ118)+($EJ$5:$EJ$1003=$EJ118)*(($EK$5:$EK$1003&lt;$EK118)+($EK$5:$EK$1003=$EK118)*($DE$5:$DE$1003&lt;$DE118))))+1)</f>
        <v/>
      </c>
      <c r="EM118">
        <f>IF($DM118=0,"",$EL118+$EG118-1)</f>
        <v/>
      </c>
      <c r="EN118">
        <f>IF($DM118=0,0,IFERROR(MATCH(1,INDEX(--(TRIM(SUBSTITUTE(SUBSTITUTE(SUBSTITUTE(SUBSTITUTE(LINES_NAME&amp;""," "," "),CHAR(9)," "),CHAR(10)," "),CHAR(13)," "))=$DH118),0),0),0))</f>
        <v/>
      </c>
      <c r="EO118">
        <f>IF($EN118=0,0,IF(OR(UPPER(TRIM(INDEX(LINES_SCHEDULED,$EN118)&amp;""))="YES",UPPER(TRIM(INDEX(LINES_SCHEDULED,$EN118)&amp;""))="Y",UPPER(TRIM(INDEX(LINES_SCHEDULED,$EN118)&amp;""))="X"),1,0))</f>
        <v/>
      </c>
      <c r="EP118">
        <f>IF($DM118=0,"",IF(COUNTIFS($EG$5:$EG$1003,$EG118,$EB$5:$EB$1003,"Ready")&gt;0,"READY",IF(COUNTIFS($EG$5:$EG$1003,$EG118,$EB$5:$EB$1003,"PM")&gt;0,"PM",IF(COUNTIFS($EG$5:$EG$1003,$EG118,$EB$5:$EB$1003,"OT")&gt;0,"OT",""))))</f>
        <v/>
      </c>
      <c r="EQ118">
        <f>IF($EN118=0,"",UPPER(TRIM(INDEX(LINES_STATUS,$EN118)&amp;"")))</f>
        <v/>
      </c>
      <c r="ER118">
        <f>IF($DM118=0,"",IF(OR($EQ118="READY",$EQ118="PM",$EQ118="OT"),$EQ118,$EP118))</f>
        <v/>
      </c>
      <c r="ES118">
        <f>IF($DM118=0,"",IF(AND($DV118&lt;&gt;"",UPPER($DV118)&lt;&gt;"N"),"allergen",IF(ISNUMBER(SEARCH("oil",$DQ118)),"oil",IF(OR(EXACT($DS118,"A662"),EXACT($DS118,"A624")),"bulk",""))))</f>
        <v/>
      </c>
      <c r="ET118">
        <f>IF($DM118=0,"",IF(OR($EA118="",$EA118=0),"",$EA118/100))</f>
        <v/>
      </c>
      <c r="EU118">
        <f>IF(OR($ET118="",$DY118=""),"",INT($DY118*(1-$ET118)+0.5))</f>
        <v/>
      </c>
      <c r="EW118" t="n">
        <v>114</v>
      </c>
      <c r="EX118">
        <f>IFERROR(MATCH($EW118,$EM$5:$EM$1003,0),0)</f>
        <v/>
      </c>
      <c r="EY118">
        <f>IF($EW118&gt;$B$12,"",IF($EX118&gt;0,"row","spacer"))</f>
        <v/>
      </c>
      <c r="EZ118">
        <f>IF(AND($EY118="row",$EY117&lt;&gt;"row"),1,0)</f>
        <v/>
      </c>
      <c r="FA118">
        <f>IF(AND($EY118="row",$EY119&lt;&gt;"row"),1,0)</f>
        <v/>
      </c>
      <c r="FB118">
        <f>IF($EZ118=1,IFERROR(IF(ISNUMBER(INDEX(PASTE_ALL,INDEX($DF$5:$DF$1003,$EX118),$B$37)),INDEX(PASTE_ALL,INDEX($DF$5:$DF$1003,$EX118),$B$37),INDEX($DH$5:$DH$1003,$EX118)),INDEX($DH$5:$DH$1003,$EX118)),"")</f>
        <v/>
      </c>
      <c r="FC118">
        <f>IF($EY118="row",INDEX($ER$5:$ER$1003,$EX118),"")</f>
        <v/>
      </c>
      <c r="FD118">
        <f>IF($EY118="row",INDEX($DN$5:$DN$1003,$EX118),"")</f>
        <v/>
      </c>
      <c r="FE118">
        <f>IF($EY118="row",INDEX($DO$5:$DO$1003,$EX118),"")</f>
        <v/>
      </c>
      <c r="FF118">
        <f>IF($EY118="row",INDEX($DP$5:$DP$1003,$EX118),"")</f>
        <v/>
      </c>
      <c r="FG118">
        <f>IF($EY118="row",INDEX($DQ$5:$DQ$1003,$EX118),"")</f>
        <v/>
      </c>
      <c r="FH118">
        <f>IF($EY118="row",INDEX($DR$5:$DR$1003,$EX118),"")</f>
        <v/>
      </c>
      <c r="FI118">
        <f>IF($EY118="row",INDEX($DS$5:$DS$1003,$EX118),"")</f>
        <v/>
      </c>
      <c r="FJ118">
        <f>IF($EY118="row",INDEX($DT$5:$DT$1003,$EX118),"")</f>
        <v/>
      </c>
      <c r="FK118">
        <f>IF($EY118="row",INDEX($DU$5:$DU$1003,$EX118),"")</f>
        <v/>
      </c>
      <c r="FL118">
        <f>IF($EY118="row",INDEX($DV$5:$DV$1003,$EX118),"")</f>
        <v/>
      </c>
      <c r="FM118">
        <f>IF($EY118="row",INDEX($DW$5:$DW$1003,$EX118),"")</f>
        <v/>
      </c>
      <c r="FN118">
        <f>IF($EY118="row",INDEX($DY$5:$DY$1003,$EX118),"")</f>
        <v/>
      </c>
      <c r="FO118">
        <f>IF($EY118="row",INDEX($EA$5:$EA$1003,$EX118),"")</f>
        <v/>
      </c>
      <c r="FP118">
        <f>IF($EY118="row",INDEX($EC$5:$EC$1003,$EX118),"")</f>
        <v/>
      </c>
      <c r="FQ118">
        <f>IF($EY118="row",INDEX($ET$5:$ET$1003,$EX118),"")</f>
        <v/>
      </c>
      <c r="FR118">
        <f>IF($EY118="row",INDEX($EU$5:$EU$1003,$EX118),"")</f>
        <v/>
      </c>
      <c r="FS118">
        <f>IF(AND($EY118="row",$EY117="row"),IF(OR(INDEX($DT$5:$DT$1003,$EX117)="",INDEX($DT$5:$DT$1003,$EX118)=""),"",IF(NOT(EXACT(INDEX($DT$5:$DT$1003,$EX117),INDEX($DT$5:$DT$1003,$EX118))),"S4",IF(NOT(EXACT(INDEX($DS$5:$DS$1003,$EX117),INDEX($DS$5:$DS$1003,$EX118))),"S3",IF(NOT(EXACT(INDEX($DR$5:$DR$1003,$EX117),INDEX($DR$5:$DR$1003,$EX118))),"S1 Count Change","S1")))),"")</f>
        <v/>
      </c>
      <c r="FT118">
        <f>IF($EY118="row",INDEX($ES$5:$ES$1003,$EX118),"")</f>
        <v/>
      </c>
      <c r="FU118">
        <f>IF($EY118="row",INDEX($EO$5:$EO$1003,$EX118),0)</f>
        <v/>
      </c>
      <c r="FV118">
        <f>IF($FS118="S1 Count Change",1,0)</f>
        <v/>
      </c>
    </row>
    <row r="119">
      <c r="Y119">
        <f>IF(Y29="",0,IFERROR(INDEX($W$5:$W$86,MATCH(Y29,$V$5:$V$86,0)),0))</f>
        <v/>
      </c>
      <c r="Z119">
        <f>IF(Z29="",0,IFERROR(INDEX($W$5:$W$86,MATCH(Z29,$V$5:$V$86,0)),0))</f>
        <v/>
      </c>
      <c r="AA119">
        <f>IF(AA29="",0,IFERROR(INDEX($W$5:$W$86,MATCH(AA29,$V$5:$V$86,0)),0))</f>
        <v/>
      </c>
      <c r="AB119">
        <f>IF(AB29="",0,IFERROR(INDEX($W$5:$W$86,MATCH(AB29,$V$5:$V$86,0)),0))</f>
        <v/>
      </c>
      <c r="AC119">
        <f>IF(AC29="",0,IFERROR(INDEX($W$5:$W$86,MATCH(AC29,$V$5:$V$86,0)),0))</f>
        <v/>
      </c>
      <c r="AD119">
        <f>IF(AD29="",0,IFERROR(INDEX($W$5:$W$86,MATCH(AD29,$V$5:$V$86,0)),0))</f>
        <v/>
      </c>
      <c r="AE119">
        <f>IF(AE29="",0,IFERROR(INDEX($W$5:$W$86,MATCH(AE29,$V$5:$V$86,0)),0))</f>
        <v/>
      </c>
      <c r="AF119">
        <f>IF(AF29="",0,IFERROR(INDEX($W$5:$W$86,MATCH(AF29,$V$5:$V$86,0)),0))</f>
        <v/>
      </c>
      <c r="AG119">
        <f>IF(AG29="",0,IFERROR(INDEX($W$5:$W$86,MATCH(AG29,$V$5:$V$86,0)),0))</f>
        <v/>
      </c>
      <c r="AH119">
        <f>IF(AH29="",0,IFERROR(INDEX($W$5:$W$86,MATCH(AH29,$V$5:$V$86,0)),0))</f>
        <v/>
      </c>
      <c r="AI119">
        <f>IF(AI29="",0,IFERROR(INDEX($W$5:$W$86,MATCH(AI29,$V$5:$V$86,0)),0))</f>
        <v/>
      </c>
      <c r="AJ119">
        <f>IF(AJ29="",0,IFERROR(INDEX($W$5:$W$86,MATCH(AJ29,$V$5:$V$86,0)),0))</f>
        <v/>
      </c>
      <c r="AK119">
        <f>IF(AK29="",0,IFERROR(INDEX($W$5:$W$86,MATCH(AK29,$V$5:$V$86,0)),0))</f>
        <v/>
      </c>
      <c r="AL119">
        <f>IF(AL29="",0,IFERROR(INDEX($W$5:$W$86,MATCH(AL29,$V$5:$V$86,0)),0))</f>
        <v/>
      </c>
      <c r="AM119">
        <f>IF(AM29="",0,IFERROR(INDEX($W$5:$W$86,MATCH(AM29,$V$5:$V$86,0)),0))</f>
        <v/>
      </c>
      <c r="AN119">
        <f>IF(AN29="",0,IFERROR(INDEX($W$5:$W$86,MATCH(AN29,$V$5:$V$86,0)),0))</f>
        <v/>
      </c>
      <c r="AO119">
        <f>IF(AO29="",0,IFERROR(INDEX($W$5:$W$86,MATCH(AO29,$V$5:$V$86,0)),0))</f>
        <v/>
      </c>
      <c r="AP119">
        <f>IF(AP29="",0,IFERROR(INDEX($W$5:$W$86,MATCH(AP29,$V$5:$V$86,0)),0))</f>
        <v/>
      </c>
      <c r="AQ119">
        <f>IF(AQ29="",0,IFERROR(INDEX($W$5:$W$86,MATCH(AQ29,$V$5:$V$86,0)),0))</f>
        <v/>
      </c>
      <c r="AR119">
        <f>IF(AR29="",0,IFERROR(INDEX($W$5:$W$86,MATCH(AR29,$V$5:$V$86,0)),0))</f>
        <v/>
      </c>
      <c r="AS119">
        <f>IF(AS29="",0,IFERROR(INDEX($W$5:$W$86,MATCH(AS29,$V$5:$V$86,0)),0))</f>
        <v/>
      </c>
      <c r="AT119">
        <f>IF(AT29="",0,IFERROR(INDEX($W$5:$W$86,MATCH(AT29,$V$5:$V$86,0)),0))</f>
        <v/>
      </c>
      <c r="AU119">
        <f>IF(AU29="",0,IFERROR(INDEX($W$5:$W$86,MATCH(AU29,$V$5:$V$86,0)),0))</f>
        <v/>
      </c>
      <c r="AV119">
        <f>IF(AV29="",0,IFERROR(INDEX($W$5:$W$86,MATCH(AV29,$V$5:$V$86,0)),0))</f>
        <v/>
      </c>
      <c r="AW119">
        <f>IF(AW29="",0,IFERROR(INDEX($W$5:$W$86,MATCH(AW29,$V$5:$V$86,0)),0))</f>
        <v/>
      </c>
      <c r="AX119">
        <f>IF(AX29="",0,IFERROR(INDEX($W$5:$W$86,MATCH(AX29,$V$5:$V$86,0)),0))</f>
        <v/>
      </c>
      <c r="AY119">
        <f>IF(AY29="",0,IFERROR(INDEX($W$5:$W$86,MATCH(AY29,$V$5:$V$86,0)),0))</f>
        <v/>
      </c>
      <c r="AZ119">
        <f>IF(AZ29="",0,IFERROR(INDEX($W$5:$W$86,MATCH(AZ29,$V$5:$V$86,0)),0))</f>
        <v/>
      </c>
      <c r="BA119">
        <f>IF(BA29="",0,IFERROR(INDEX($W$5:$W$86,MATCH(BA29,$V$5:$V$86,0)),0))</f>
        <v/>
      </c>
      <c r="BB119">
        <f>IF(BB29="",0,IFERROR(INDEX($W$5:$W$86,MATCH(BB29,$V$5:$V$86,0)),0))</f>
        <v/>
      </c>
      <c r="BC119">
        <f>IF(BC29="",0,IFERROR(INDEX($W$5:$W$86,MATCH(BC29,$V$5:$V$86,0)),0))</f>
        <v/>
      </c>
      <c r="BD119">
        <f>IF(BD29="",0,IFERROR(INDEX($W$5:$W$86,MATCH(BD29,$V$5:$V$86,0)),0))</f>
        <v/>
      </c>
      <c r="BE119">
        <f>IF(BE29="",0,IFERROR(INDEX($W$5:$W$86,MATCH(BE29,$V$5:$V$86,0)),0))</f>
        <v/>
      </c>
      <c r="BF119">
        <f>IF(BF29="",0,IFERROR(INDEX($W$5:$W$86,MATCH(BF29,$V$5:$V$86,0)),0))</f>
        <v/>
      </c>
      <c r="BG119">
        <f>IF(BG29="",0,IFERROR(INDEX($W$5:$W$86,MATCH(BG29,$V$5:$V$86,0)),0))</f>
        <v/>
      </c>
      <c r="BH119">
        <f>IF(BH29="",0,IFERROR(INDEX($W$5:$W$86,MATCH(BH29,$V$5:$V$86,0)),0))</f>
        <v/>
      </c>
      <c r="BI119">
        <f>IF(BI29="",0,IFERROR(INDEX($W$5:$W$86,MATCH(BI29,$V$5:$V$86,0)),0))</f>
        <v/>
      </c>
      <c r="BJ119">
        <f>IF(BJ29="",0,IFERROR(INDEX($W$5:$W$86,MATCH(BJ29,$V$5:$V$86,0)),0))</f>
        <v/>
      </c>
      <c r="BK119">
        <f>IF(BK29="",0,IFERROR(INDEX($W$5:$W$86,MATCH(BK29,$V$5:$V$86,0)),0))</f>
        <v/>
      </c>
      <c r="BL119">
        <f>IF(BL29="",0,IFERROR(INDEX($W$5:$W$86,MATCH(BL29,$V$5:$V$86,0)),0))</f>
        <v/>
      </c>
      <c r="BM119">
        <f>IF(BM29="",0,IFERROR(INDEX($W$5:$W$86,MATCH(BM29,$V$5:$V$86,0)),0))</f>
        <v/>
      </c>
      <c r="BN119">
        <f>IF(BN29="",0,IFERROR(INDEX($W$5:$W$86,MATCH(BN29,$V$5:$V$86,0)),0))</f>
        <v/>
      </c>
      <c r="BO119">
        <f>IF(BO29="",0,IFERROR(INDEX($W$5:$W$86,MATCH(BO29,$V$5:$V$86,0)),0))</f>
        <v/>
      </c>
      <c r="BP119">
        <f>IF(BP29="",0,IFERROR(INDEX($W$5:$W$86,MATCH(BP29,$V$5:$V$86,0)),0))</f>
        <v/>
      </c>
      <c r="BQ119">
        <f>IF(BQ29="",0,IFERROR(INDEX($W$5:$W$86,MATCH(BQ29,$V$5:$V$86,0)),0))</f>
        <v/>
      </c>
      <c r="BR119">
        <f>IF(BR29="",0,IFERROR(INDEX($W$5:$W$86,MATCH(BR29,$V$5:$V$86,0)),0))</f>
        <v/>
      </c>
      <c r="BS119">
        <f>IF(BS29="",0,IFERROR(INDEX($W$5:$W$86,MATCH(BS29,$V$5:$V$86,0)),0))</f>
        <v/>
      </c>
      <c r="BT119">
        <f>IF(BT29="",0,IFERROR(INDEX($W$5:$W$86,MATCH(BT29,$V$5:$V$86,0)),0))</f>
        <v/>
      </c>
      <c r="BU119">
        <f>IF(BU29="",0,IFERROR(INDEX($W$5:$W$86,MATCH(BU29,$V$5:$V$86,0)),0))</f>
        <v/>
      </c>
      <c r="BV119">
        <f>IF(BV29="",0,IFERROR(INDEX($W$5:$W$86,MATCH(BV29,$V$5:$V$86,0)),0))</f>
        <v/>
      </c>
      <c r="BW119">
        <f>IF(BW29="",0,IFERROR(INDEX($W$5:$W$86,MATCH(BW29,$V$5:$V$86,0)),0))</f>
        <v/>
      </c>
      <c r="BX119">
        <f>IF(BX29="",0,IFERROR(INDEX($W$5:$W$86,MATCH(BX29,$V$5:$V$86,0)),0))</f>
        <v/>
      </c>
      <c r="BY119">
        <f>IF(BY29="",0,IFERROR(INDEX($W$5:$W$86,MATCH(BY29,$V$5:$V$86,0)),0))</f>
        <v/>
      </c>
      <c r="BZ119">
        <f>IF(BZ29="",0,IFERROR(INDEX($W$5:$W$86,MATCH(BZ29,$V$5:$V$86,0)),0))</f>
        <v/>
      </c>
      <c r="CA119">
        <f>IF(CA29="",0,IFERROR(INDEX($W$5:$W$86,MATCH(CA29,$V$5:$V$86,0)),0))</f>
        <v/>
      </c>
      <c r="CB119">
        <f>IF(CB29="",0,IFERROR(INDEX($W$5:$W$86,MATCH(CB29,$V$5:$V$86,0)),0))</f>
        <v/>
      </c>
      <c r="CC119">
        <f>IF(CC29="",0,IFERROR(INDEX($W$5:$W$86,MATCH(CC29,$V$5:$V$86,0)),0))</f>
        <v/>
      </c>
      <c r="CD119">
        <f>IF(CD29="",0,IFERROR(INDEX($W$5:$W$86,MATCH(CD29,$V$5:$V$86,0)),0))</f>
        <v/>
      </c>
      <c r="CE119">
        <f>IF(CE29="",0,IFERROR(INDEX($W$5:$W$86,MATCH(CE29,$V$5:$V$86,0)),0))</f>
        <v/>
      </c>
      <c r="CF119">
        <f>IF(CF29="",0,IFERROR(INDEX($W$5:$W$86,MATCH(CF29,$V$5:$V$86,0)),0))</f>
        <v/>
      </c>
      <c r="DA119" t="n">
        <v>115</v>
      </c>
      <c r="DB119">
        <f>IF($B$37=0,"",IFERROR(TRIM(SUBSTITUTE(SUBSTITUTE(SUBSTITUTE(SUBSTITUTE(INDEX(PASTE_ALL,115,$B$37)," "," "),CHAR(9)," "),CHAR(10)," "),CHAR(13)," ")),""))</f>
        <v/>
      </c>
      <c r="DC119">
        <f>IF(AND(115&gt;HEADER_ROW,UPPER(DB119)="LEGEND"),1,0)</f>
        <v/>
      </c>
      <c r="DE119" t="n">
        <v>115</v>
      </c>
      <c r="DF119">
        <f>HEADER_ROW+$DE119</f>
        <v/>
      </c>
      <c r="DG119">
        <f>IF(AND($DF119&lt;=1000,$DF119&lt;$B$8),1,0)</f>
        <v/>
      </c>
      <c r="DH119">
        <f>IF($DG119=1,IFERROR(INDEX($DB$5:$DB$1004,$DF119),""),"")</f>
        <v/>
      </c>
      <c r="DI119">
        <f>IF(AND($DG119=1,$DH119&lt;&gt;""),IFERROR(SUBSTITUTE(SUBSTITUTE(TRIM(SUBSTITUTE(SUBSTITUTE(SUBSTITUTE(SUBSTITUTE(IFERROR(INDEX(PASTE_ALL,$DF119,1)&amp;"","")&amp;"␟"&amp;IFERROR(INDEX(PASTE_ALL,$DF119,2)&amp;"","")&amp;"␟"&amp;IFERROR(INDEX(PASTE_ALL,$DF119,3)&amp;"","")&amp;"␟"&amp;IFERROR(INDEX(PASTE_ALL,$DF119,4)&amp;"","")&amp;"␟"&amp;IFERROR(INDEX(PASTE_ALL,$DF119,5)&amp;"","")&amp;"␟"&amp;IFERROR(INDEX(PASTE_ALL,$DF119,6)&amp;"","")&amp;"␟"&amp;IFERROR(INDEX(PASTE_ALL,$DF119,7)&amp;"","")&amp;"␟"&amp;IFERROR(INDEX(PASTE_ALL,$DF119,8)&amp;"","")&amp;"␟"&amp;IFERROR(INDEX(PASTE_ALL,$DF119,9)&amp;"","")&amp;"␟"&amp;IFERROR(INDEX(PASTE_ALL,$DF119,10)&amp;"","")&amp;"␟"&amp;IFERROR(INDEX(PASTE_ALL,$DF119,11)&amp;"","")&amp;"␟"&amp;IFERROR(INDEX(PASTE_ALL,$DF119,12)&amp;"","")&amp;"␟"&amp;IFERROR(INDEX(PASTE_ALL,$DF119,13)&amp;"","")&amp;"␟"&amp;IFERROR(INDEX(PASTE_ALL,$DF119,14)&amp;"","")&amp;"␟"&amp;IFERROR(INDEX(PASTE_ALL,$DF119,15)&amp;"","")&amp;"␟"&amp;IFERROR(INDEX(PASTE_ALL,$DF119,16)&amp;"","")&amp;"␟"&amp;IFERROR(INDEX(PASTE_ALL,$DF119,17)&amp;"","")&amp;"␟"&amp;IFERROR(INDEX(PASTE_ALL,$DF119,18)&amp;"","")&amp;"␟"&amp;IFERROR(INDEX(PASTE_ALL,$DF119,19)&amp;"","")&amp;"␟"&amp;IFERROR(INDEX(PASTE_ALL,$DF119,20)&amp;"","")&amp;"␟"&amp;IFERROR(INDEX(PASTE_ALL,$DF119,21)&amp;"","")&amp;"␟"&amp;IFERROR(INDEX(PASTE_ALL,$DF119,22)&amp;"","")&amp;"␟"&amp;IFERROR(INDEX(PASTE_ALL,$DF119,23)&amp;"","")&amp;"␟"&amp;IFERROR(INDEX(PASTE_ALL,$DF119,24)&amp;"","")&amp;"␟"&amp;IFERROR(INDEX(PASTE_ALL,$DF119,25)&amp;"","")&amp;"␟"&amp;IFERROR(INDEX(PASTE_ALL,$DF119,26)&amp;"","")&amp;"␟"&amp;IFERROR(INDEX(PASTE_ALL,$DF119,27)&amp;"","")&amp;"␟"&amp;IFERROR(INDEX(PASTE_ALL,$DF119,28)&amp;"","")&amp;"␟"&amp;IFERROR(INDEX(PASTE_ALL,$DF119,29)&amp;"","")&amp;"␟"&amp;IFERROR(INDEX(PASTE_ALL,$DF119,30)&amp;"","")&amp;"␟"&amp;IFERROR(INDEX(PASTE_ALL,$DF119,31)&amp;"","")&amp;"␟"&amp;IFERROR(INDEX(PASTE_ALL,$DF119,32)&amp;"","")&amp;"␟"&amp;IFERROR(INDEX(PASTE_ALL,$DF119,33)&amp;"","")&amp;"␟"&amp;IFERROR(INDEX(PASTE_ALL,$DF119,34)&amp;"","")&amp;"␟"&amp;IFERROR(INDEX(PASTE_ALL,$DF119,35)&amp;"","")&amp;"␟"&amp;IFERROR(INDEX(PASTE_ALL,$DF119,36)&amp;"","")&amp;"␟"&amp;IFERROR(INDEX(PASTE_ALL,$DF119,37)&amp;"","")&amp;"␟"&amp;IFERROR(INDEX(PASTE_ALL,$DF119,38)&amp;"","")&amp;"␟"&amp;IFERROR(INDEX(PASTE_ALL,$DF119,39)&amp;"","")&amp;"␟"&amp;IFERROR(INDEX(PASTE_ALL,$DF119,40)&amp;"","")&amp;"␟"&amp;IFERROR(INDEX(PASTE_ALL,$DF119,41)&amp;"","")&amp;"␟"&amp;IFERROR(INDEX(PASTE_ALL,$DF119,42)&amp;"","")&amp;"␟"&amp;IFERROR(INDEX(PASTE_ALL,$DF119,43)&amp;"","")&amp;"␟"&amp;IFERROR(INDEX(PASTE_ALL,$DF119,44)&amp;"","")&amp;"␟"&amp;IFERROR(INDEX(PASTE_ALL,$DF119,45)&amp;"","")&amp;"␟"&amp;IFERROR(INDEX(PASTE_ALL,$DF119,46)&amp;"","")&amp;"␟"&amp;IFERROR(INDEX(PASTE_ALL,$DF119,47)&amp;"","")&amp;"␟"&amp;IFERROR(INDEX(PASTE_ALL,$DF119,48)&amp;"","")&amp;"␟"&amp;IFERROR(INDEX(PASTE_ALL,$DF119,49)&amp;"","")&amp;"␟"&amp;IFERROR(INDEX(PASTE_ALL,$DF119,50)&amp;"","")&amp;"␟"&amp;IFERROR(INDEX(PASTE_ALL,$DF119,51)&amp;"","")&amp;"␟"&amp;IFERROR(INDEX(PASTE_ALL,$DF119,52)&amp;"","")&amp;"␟"&amp;IFERROR(INDEX(PASTE_ALL,$DF119,53)&amp;"","")&amp;"␟"&amp;IFERROR(INDEX(PASTE_ALL,$DF119,54)&amp;"","")&amp;"␟"&amp;IFERROR(INDEX(PASTE_ALL,$DF119,55)&amp;"","")&amp;"␟"&amp;IFERROR(INDEX(PASTE_ALL,$DF119,56)&amp;"","")&amp;"␟"&amp;IFERROR(INDEX(PASTE_ALL,$DF119,57)&amp;"","")&amp;"␟"&amp;IFERROR(INDEX(PASTE_ALL,$DF119,58)&amp;"","")&amp;"␟"&amp;IFERROR(INDEX(PASTE_ALL,$DF119,59)&amp;"","")&amp;"␟"&amp;IFERROR(INDEX(PASTE_ALL,$DF119,60)&amp;"","")," "," "),CHAR(9)," "),CHAR(10)," "),CHAR(13)," "))," ␟","␟"),"␟ ","␟"),"#"&amp;$DE119),"")</f>
        <v/>
      </c>
      <c r="DJ119">
        <f>IF($DI119="",0,IF(SUMPRODUCT(--EXACT($DI$4:DI118,$DI119))&gt;0,1,0))</f>
        <v/>
      </c>
      <c r="DK119">
        <f>IF(AND($DI119&lt;&gt;"",$DJ119=0),1,0)</f>
        <v/>
      </c>
      <c r="DL119">
        <f>DL118+$DK119</f>
        <v/>
      </c>
      <c r="DM119">
        <f>IF(AND($DK119=1,$DL119&lt;=600),1,0)</f>
        <v/>
      </c>
      <c r="DN119">
        <f>IF($DM119=0,"",IF($L$6=0,"",IFERROR(IF(ISNUMBER(INDEX(PASTE_ALL,$DF119,$L$6)),INDEX(PASTE_ALL,$DF119,$L$6),TRIM(SUBSTITUTE(SUBSTITUTE(SUBSTITUTE(SUBSTITUTE(INDEX(PASTE_ALL,$DF119,$L$6)," "," "),CHAR(9)," "),CHAR(10)," "),CHAR(13)," "))),"")))</f>
        <v/>
      </c>
      <c r="DO119">
        <f>IF($DM119=0,"",IF($L$7=0,"",IFERROR(IF(ISNUMBER(INDEX(PASTE_ALL,$DF119,$L$7)),INDEX(PASTE_ALL,$DF119,$L$7),TRIM(SUBSTITUTE(SUBSTITUTE(SUBSTITUTE(SUBSTITUTE(INDEX(PASTE_ALL,$DF119,$L$7)," "," "),CHAR(9)," "),CHAR(10)," "),CHAR(13)," "))),"")))</f>
        <v/>
      </c>
      <c r="DP119">
        <f>IF($DM119=0,"",IF($L$8=0,"",IFERROR(IF(ISNUMBER(INDEX(PASTE_ALL,$DF119,$L$8)),INDEX(PASTE_ALL,$DF119,$L$8),TRIM(SUBSTITUTE(SUBSTITUTE(SUBSTITUTE(SUBSTITUTE(INDEX(PASTE_ALL,$DF119,$L$8)," "," "),CHAR(9)," "),CHAR(10)," "),CHAR(13)," "))),"")))</f>
        <v/>
      </c>
      <c r="DQ119">
        <f>IF($DM119=0,"",IF($L$9=0,"",IFERROR(IF(ISNUMBER(INDEX(PASTE_ALL,$DF119,$L$9)),INDEX(PASTE_ALL,$DF119,$L$9),TRIM(SUBSTITUTE(SUBSTITUTE(SUBSTITUTE(SUBSTITUTE(INDEX(PASTE_ALL,$DF119,$L$9)," "," "),CHAR(9)," "),CHAR(10)," "),CHAR(13)," "))),"")))</f>
        <v/>
      </c>
      <c r="DR119">
        <f>IF($DM119=0,"",IF($L$10=0,"",IFERROR(IF(ISNUMBER(INDEX(PASTE_ALL,$DF119,$L$10)),INDEX(PASTE_ALL,$DF119,$L$10),TRIM(SUBSTITUTE(SUBSTITUTE(SUBSTITUTE(SUBSTITUTE(INDEX(PASTE_ALL,$DF119,$L$10)," "," "),CHAR(9)," "),CHAR(10)," "),CHAR(13)," "))),"")))</f>
        <v/>
      </c>
      <c r="DS119">
        <f>IF($DM119=0,"",IF($L$11=0,"",IFERROR(IF(ISNUMBER(INDEX(PASTE_ALL,$DF119,$L$11)),INDEX(PASTE_ALL,$DF119,$L$11),TRIM(SUBSTITUTE(SUBSTITUTE(SUBSTITUTE(SUBSTITUTE(INDEX(PASTE_ALL,$DF119,$L$11)," "," "),CHAR(9)," "),CHAR(10)," "),CHAR(13)," "))),"")))</f>
        <v/>
      </c>
      <c r="DT119">
        <f>IF($DM119=0,"",IF($L$12=0,"",IFERROR(IF(ISNUMBER(INDEX(PASTE_ALL,$DF119,$L$12)),INDEX(PASTE_ALL,$DF119,$L$12),TRIM(SUBSTITUTE(SUBSTITUTE(SUBSTITUTE(SUBSTITUTE(INDEX(PASTE_ALL,$DF119,$L$12)," "," "),CHAR(9)," "),CHAR(10)," "),CHAR(13)," "))),"")))</f>
        <v/>
      </c>
      <c r="DU119">
        <f>IF($DM119=0,"",IF($L$13=0,"",IFERROR(IF(ISNUMBER(INDEX(PASTE_ALL,$DF119,$L$13)),INDEX(PASTE_ALL,$DF119,$L$13),TRIM(SUBSTITUTE(SUBSTITUTE(SUBSTITUTE(SUBSTITUTE(INDEX(PASTE_ALL,$DF119,$L$13)," "," "),CHAR(9)," "),CHAR(10)," "),CHAR(13)," "))),"")))</f>
        <v/>
      </c>
      <c r="DV119">
        <f>IF($DM119=0,"",IF($L$14=0,"",IFERROR(IF(ISNUMBER(INDEX(PASTE_ALL,$DF119,$L$14)),INDEX(PASTE_ALL,$DF119,$L$14),TRIM(SUBSTITUTE(SUBSTITUTE(SUBSTITUTE(SUBSTITUTE(INDEX(PASTE_ALL,$DF119,$L$14)," "," "),CHAR(9)," "),CHAR(10)," "),CHAR(13)," "))),"")))</f>
        <v/>
      </c>
      <c r="DW119">
        <f>IF($DM119=0,"",IF($L$15=0,"",IFERROR(IF(ISNUMBER(INDEX(PASTE_ALL,$DF119,$L$15)),INDEX(PASTE_ALL,$DF119,$L$15),IF(SUMPRODUCT(--ISNUMBER(FIND({"A","B","C","D","E","F","G","H","I","J","K","L","M","N","O","P","Q","R","S","T","U","V","W","X","Y","Z","0","1","2","3","4","5","6","7","8","9"},UPPER(TRIM(SUBSTITUTE(SUBSTITUTE(SUBSTITUTE(SUBSTITUTE(INDEX(PASTE_ALL,$DF119,$L$15)," "," "),CHAR(9)," "),CHAR(10)," "),CHAR(13)," "))))))&gt;0,TRIM(SUBSTITUTE(SUBSTITUTE(SUBSTITUTE(SUBSTITUTE(INDEX(PASTE_ALL,$DF119,$L$15)," "," "),CHAR(9)," "),CHAR(10)," "),CHAR(13)," ")),"")),"")))</f>
        <v/>
      </c>
      <c r="DX119">
        <f>IF($DM119=0,"",IF($L$16=0,"",IFERROR(IF(ISNUMBER(INDEX(PASTE_ALL,$DF119,$L$16)),INDEX(PASTE_ALL,$DF119,$L$16),SUBSTITUTE(SUBSTITUTE(TRIM(SUBSTITUTE(SUBSTITUTE(SUBSTITUTE(SUBSTITUTE(INDEX(PASTE_ALL,$DF119,$L$16)," "," "),CHAR(9)," "),CHAR(10)," "),CHAR(13)," ")),",",""),"%","")),"")))</f>
        <v/>
      </c>
      <c r="DY119">
        <f>IF($DM119=0,"",IFERROR(IF(ISNUMBER($DX119),$DX119,IF($DX119="","",IF(TRIM($DX119)="",0,IF(AND(AND(SUBSTITUTE(SUBSTITUTE(SUBSTITUTE(SUBSTITUTE(SUBSTITUTE(SUBSTITUTE(SUBSTITUTE(SUBSTITUTE(SUBSTITUTE(SUBSTITUTE(SUBSTITUTE(SUBSTITUTE(SUBSTITUTE(SUBSTITUTE(UPPER(TRIM($DX119)),"0",""),"1",""),"2",""),"3",""),"4",""),"5",""),"6",""),"7",""),"8",""),"9",""),".",""),"+",""),"-",""),"E","")="",LEN(SUBSTITUTE(SUBSTITUTE(MID(UPPER(TRIM($DX119)),1+OR(LEFT(UPPER(TRIM($DX119)),1)="+",LEFT(UPPER(TRIM($DX119)),1)="-"),999),"E+","E"),"E-","E"))=LEN(SUBSTITUTE(SUBSTITUTE(SUBSTITUTE(SUBSTITUTE(MID(UPPER(TRIM($DX119)),1+OR(LEFT(UPPER(TRIM($DX119)),1)="+",LEFT(UPPER(TRIM($DX119)),1)="-"),999),"E+","E"),"E-","E"),"+",""),"-","")),LEN(UPPER(TRIM($DX119)))-LEN(SUBSTITUTE(UPPER(TRIM($DX119)),"E",""))&lt;2,LEN(UPPER(TRIM($DX119)))-LEN(SUBSTITUTE(UPPER(TRIM($DX119)),".",""))&lt;2,IFERROR(FIND(".",UPPER(TRIM($DX119))),0)&lt;IFERROR(FIND("E",UPPER(TRIM($DX119))),999)),ISNUMBER(VALUE(TRIM($DX119)))),VALUE(TRIM($DX119)),"")))),""))</f>
        <v/>
      </c>
      <c r="DZ119">
        <f>IF($DM119=0,"",IF($L$17=0,"",IFERROR(IF(ISNUMBER(INDEX(PASTE_ALL,$DF119,$L$17)),INDEX(PASTE_ALL,$DF119,$L$17),SUBSTITUTE(SUBSTITUTE(TRIM(SUBSTITUTE(SUBSTITUTE(SUBSTITUTE(SUBSTITUTE(INDEX(PASTE_ALL,$DF119,$L$17)," "," "),CHAR(9)," "),CHAR(10)," "),CHAR(13)," ")),",",""),"%","")),"")))</f>
        <v/>
      </c>
      <c r="EA119">
        <f>IF($DM119=0,"",IFERROR(IF(ISNUMBER($DZ119),$DZ119,IF($DZ119="","",IF(TRIM($DZ119)="",0,IF(AND(AND(SUBSTITUTE(SUBSTITUTE(SUBSTITUTE(SUBSTITUTE(SUBSTITUTE(SUBSTITUTE(SUBSTITUTE(SUBSTITUTE(SUBSTITUTE(SUBSTITUTE(SUBSTITUTE(SUBSTITUTE(SUBSTITUTE(SUBSTITUTE(UPPER(TRIM($DZ119)),"0",""),"1",""),"2",""),"3",""),"4",""),"5",""),"6",""),"7",""),"8",""),"9",""),".",""),"+",""),"-",""),"E","")="",LEN(SUBSTITUTE(SUBSTITUTE(MID(UPPER(TRIM($DZ119)),1+OR(LEFT(UPPER(TRIM($DZ119)),1)="+",LEFT(UPPER(TRIM($DZ119)),1)="-"),999),"E+","E"),"E-","E"))=LEN(SUBSTITUTE(SUBSTITUTE(SUBSTITUTE(SUBSTITUTE(MID(UPPER(TRIM($DZ119)),1+OR(LEFT(UPPER(TRIM($DZ119)),1)="+",LEFT(UPPER(TRIM($DZ119)),1)="-"),999),"E+","E"),"E-","E"),"+",""),"-","")),LEN(UPPER(TRIM($DZ119)))-LEN(SUBSTITUTE(UPPER(TRIM($DZ119)),"E",""))&lt;2,LEN(UPPER(TRIM($DZ119)))-LEN(SUBSTITUTE(UPPER(TRIM($DZ119)),".",""))&lt;2,IFERROR(FIND(".",UPPER(TRIM($DZ119))),0)&lt;IFERROR(FIND("E",UPPER(TRIM($DZ119))),999)),ISNUMBER(VALUE(TRIM($DZ119)))),VALUE(TRIM($DZ119)),"")))),""))</f>
        <v/>
      </c>
      <c r="EB119">
        <f>IF($DM119=0,"",IF($L$18=0,"",IFERROR(IF(UPPER(TRIM(SUBSTITUTE(SUBSTITUTE(SUBSTITUTE(SUBSTITUTE(INDEX(PASTE_ALL,$DF119,$L$18)," "," "),CHAR(9)," "),CHAR(10)," "),CHAR(13)," ")))="READY","Ready",IF(UPPER(TRIM(SUBSTITUTE(SUBSTITUTE(SUBSTITUTE(SUBSTITUTE(INDEX(PASTE_ALL,$DF119,$L$18)," "," "),CHAR(9)," "),CHAR(10)," "),CHAR(13)," ")))="PM","PM",IF(OR(UPPER(TRIM(SUBSTITUTE(SUBSTITUTE(SUBSTITUTE(SUBSTITUTE(INDEX(PASTE_ALL,$DF119,$L$18)," "," "),CHAR(9)," "),CHAR(10)," "),CHAR(13)," ")))="OT",UPPER(TRIM(SUBSTITUTE(SUBSTITUTE(SUBSTITUTE(SUBSTITUTE(INDEX(PASTE_ALL,$DF119,$L$18)," "," "),CHAR(9)," "),CHAR(10)," "),CHAR(13)," ")))="OVERTIME",UPPER(TRIM(SUBSTITUTE(SUBSTITUTE(SUBSTITUTE(SUBSTITUTE(INDEX(PASTE_ALL,$DF119,$L$18)," "," "),CHAR(9)," "),CHAR(10)," "),CHAR(13)," ")))="TRIAL"),"OT",TRIM(SUBSTITUTE(SUBSTITUTE(SUBSTITUTE(SUBSTITUTE(INDEX(PASTE_ALL,$DF119,$L$18)," "," "),CHAR(9)," "),CHAR(10)," "),CHAR(13)," "))))),"")))</f>
        <v/>
      </c>
      <c r="EC119">
        <f>IF($DM119=0,"",IF($L$19=0,"",IFERROR(IF(ISNUMBER(INDEX(PASTE_ALL,$DF119,$L$19)),INDEX(PASTE_ALL,$DF119,$L$19),TRIM(SUBSTITUTE(SUBSTITUTE(SUBSTITUTE(SUBSTITUTE(INDEX(PASTE_ALL,$DF119,$L$19)," "," "),CHAR(9)," "),CHAR(10)," "),CHAR(13)," "))),"")))</f>
        <v/>
      </c>
      <c r="ED119">
        <f>IF($DM119=0,"",MATCH(1,INDEX(EXACT($DH$5:DH119,$DH119)*$DM$5:DM119,0),0))</f>
        <v/>
      </c>
      <c r="EE119">
        <f>IF($DM119=0,0,IF($ED119=$DE119,1,0))</f>
        <v/>
      </c>
      <c r="EF119">
        <f>EF118+$EE119</f>
        <v/>
      </c>
      <c r="EG119">
        <f>IF($DM119=0,"",INDEX($EF$5:$EF$1003,$ED119))</f>
        <v/>
      </c>
      <c r="EH119">
        <f>IF($DM119=0,"",IF($DO119&lt;&gt;"","",IFERROR(LOOKUP(2,1/(($EG$4:EG118=$EG119)*($DO$4:DO118&lt;&gt;"")),$DO$4:DO118),"")))</f>
        <v/>
      </c>
      <c r="EI119">
        <f>IF($DM119=0,"",IF($DO119&lt;&gt;"",$DO119,$EH119))</f>
        <v/>
      </c>
      <c r="EJ119">
        <f>IF($DM119=0,"",IF($EI119="",0,IF(OR(ISNUMBER($EI119),AND(AND(SUBSTITUTE(SUBSTITUTE(SUBSTITUTE(SUBSTITUTE(SUBSTITUTE(SUBSTITUTE(SUBSTITUTE(SUBSTITUTE(SUBSTITUTE(SUBSTITUTE(SUBSTITUTE(SUBSTITUTE(SUBSTITUTE(SUBSTITUTE(UPPER($EI119),"0",""),"1",""),"2",""),"3",""),"4",""),"5",""),"6",""),"7",""),"8",""),"9",""),".",""),"+",""),"-",""),"E","")="",LEN(SUBSTITUTE(SUBSTITUTE(MID(UPPER($EI119),1+OR(LEFT(UPPER($EI119),1)="+",LEFT(UPPER($EI119),1)="-"),999),"E+","E"),"E-","E"))=LEN(SUBSTITUTE(SUBSTITUTE(SUBSTITUTE(SUBSTITUTE(MID(UPPER($EI119),1+OR(LEFT(UPPER($EI119),1)="+",LEFT(UPPER($EI119),1)="-"),999),"E+","E"),"E-","E"),"+",""),"-","")),LEN(UPPER($EI119))-LEN(SUBSTITUTE(UPPER($EI119),"E",""))&lt;2,LEN(UPPER($EI119))-LEN(SUBSTITUTE(UPPER($EI119),".",""))&lt;2,IFERROR(FIND(".",UPPER($EI119)),0)&lt;IFERROR(FIND("E",UPPER($EI119)),999)),ISNUMBER(VALUE($EI119)))),1,2)))</f>
        <v/>
      </c>
      <c r="EK119">
        <f>IF($DM119=0,"",IF($EJ119=1,IF(ISNUMBER($EI119),$EI119,VALUE($EI119)),IF($EJ119=2,$DE119,0)))</f>
        <v/>
      </c>
      <c r="EL119">
        <f>IF($DM119=0,"",COUNTIF($EG$5:$EG$1003,"&lt;"&amp;$EG119)+SUMPRODUCT(($EG$5:$EG$1003=$EG119)*(($EJ$5:$EJ$1003&lt;$EJ119)+($EJ$5:$EJ$1003=$EJ119)*(($EK$5:$EK$1003&lt;$EK119)+($EK$5:$EK$1003=$EK119)*($DE$5:$DE$1003&lt;$DE119))))+1)</f>
        <v/>
      </c>
      <c r="EM119">
        <f>IF($DM119=0,"",$EL119+$EG119-1)</f>
        <v/>
      </c>
      <c r="EN119">
        <f>IF($DM119=0,0,IFERROR(MATCH(1,INDEX(--(TRIM(SUBSTITUTE(SUBSTITUTE(SUBSTITUTE(SUBSTITUTE(LINES_NAME&amp;""," "," "),CHAR(9)," "),CHAR(10)," "),CHAR(13)," "))=$DH119),0),0),0))</f>
        <v/>
      </c>
      <c r="EO119">
        <f>IF($EN119=0,0,IF(OR(UPPER(TRIM(INDEX(LINES_SCHEDULED,$EN119)&amp;""))="YES",UPPER(TRIM(INDEX(LINES_SCHEDULED,$EN119)&amp;""))="Y",UPPER(TRIM(INDEX(LINES_SCHEDULED,$EN119)&amp;""))="X"),1,0))</f>
        <v/>
      </c>
      <c r="EP119">
        <f>IF($DM119=0,"",IF(COUNTIFS($EG$5:$EG$1003,$EG119,$EB$5:$EB$1003,"Ready")&gt;0,"READY",IF(COUNTIFS($EG$5:$EG$1003,$EG119,$EB$5:$EB$1003,"PM")&gt;0,"PM",IF(COUNTIFS($EG$5:$EG$1003,$EG119,$EB$5:$EB$1003,"OT")&gt;0,"OT",""))))</f>
        <v/>
      </c>
      <c r="EQ119">
        <f>IF($EN119=0,"",UPPER(TRIM(INDEX(LINES_STATUS,$EN119)&amp;"")))</f>
        <v/>
      </c>
      <c r="ER119">
        <f>IF($DM119=0,"",IF(OR($EQ119="READY",$EQ119="PM",$EQ119="OT"),$EQ119,$EP119))</f>
        <v/>
      </c>
      <c r="ES119">
        <f>IF($DM119=0,"",IF(AND($DV119&lt;&gt;"",UPPER($DV119)&lt;&gt;"N"),"allergen",IF(ISNUMBER(SEARCH("oil",$DQ119)),"oil",IF(OR(EXACT($DS119,"A662"),EXACT($DS119,"A624")),"bulk",""))))</f>
        <v/>
      </c>
      <c r="ET119">
        <f>IF($DM119=0,"",IF(OR($EA119="",$EA119=0),"",$EA119/100))</f>
        <v/>
      </c>
      <c r="EU119">
        <f>IF(OR($ET119="",$DY119=""),"",INT($DY119*(1-$ET119)+0.5))</f>
        <v/>
      </c>
      <c r="EW119" t="n">
        <v>115</v>
      </c>
      <c r="EX119">
        <f>IFERROR(MATCH($EW119,$EM$5:$EM$1003,0),0)</f>
        <v/>
      </c>
      <c r="EY119">
        <f>IF($EW119&gt;$B$12,"",IF($EX119&gt;0,"row","spacer"))</f>
        <v/>
      </c>
      <c r="EZ119">
        <f>IF(AND($EY119="row",$EY118&lt;&gt;"row"),1,0)</f>
        <v/>
      </c>
      <c r="FA119">
        <f>IF(AND($EY119="row",$EY120&lt;&gt;"row"),1,0)</f>
        <v/>
      </c>
      <c r="FB119">
        <f>IF($EZ119=1,IFERROR(IF(ISNUMBER(INDEX(PASTE_ALL,INDEX($DF$5:$DF$1003,$EX119),$B$37)),INDEX(PASTE_ALL,INDEX($DF$5:$DF$1003,$EX119),$B$37),INDEX($DH$5:$DH$1003,$EX119)),INDEX($DH$5:$DH$1003,$EX119)),"")</f>
        <v/>
      </c>
      <c r="FC119">
        <f>IF($EY119="row",INDEX($ER$5:$ER$1003,$EX119),"")</f>
        <v/>
      </c>
      <c r="FD119">
        <f>IF($EY119="row",INDEX($DN$5:$DN$1003,$EX119),"")</f>
        <v/>
      </c>
      <c r="FE119">
        <f>IF($EY119="row",INDEX($DO$5:$DO$1003,$EX119),"")</f>
        <v/>
      </c>
      <c r="FF119">
        <f>IF($EY119="row",INDEX($DP$5:$DP$1003,$EX119),"")</f>
        <v/>
      </c>
      <c r="FG119">
        <f>IF($EY119="row",INDEX($DQ$5:$DQ$1003,$EX119),"")</f>
        <v/>
      </c>
      <c r="FH119">
        <f>IF($EY119="row",INDEX($DR$5:$DR$1003,$EX119),"")</f>
        <v/>
      </c>
      <c r="FI119">
        <f>IF($EY119="row",INDEX($DS$5:$DS$1003,$EX119),"")</f>
        <v/>
      </c>
      <c r="FJ119">
        <f>IF($EY119="row",INDEX($DT$5:$DT$1003,$EX119),"")</f>
        <v/>
      </c>
      <c r="FK119">
        <f>IF($EY119="row",INDEX($DU$5:$DU$1003,$EX119),"")</f>
        <v/>
      </c>
      <c r="FL119">
        <f>IF($EY119="row",INDEX($DV$5:$DV$1003,$EX119),"")</f>
        <v/>
      </c>
      <c r="FM119">
        <f>IF($EY119="row",INDEX($DW$5:$DW$1003,$EX119),"")</f>
        <v/>
      </c>
      <c r="FN119">
        <f>IF($EY119="row",INDEX($DY$5:$DY$1003,$EX119),"")</f>
        <v/>
      </c>
      <c r="FO119">
        <f>IF($EY119="row",INDEX($EA$5:$EA$1003,$EX119),"")</f>
        <v/>
      </c>
      <c r="FP119">
        <f>IF($EY119="row",INDEX($EC$5:$EC$1003,$EX119),"")</f>
        <v/>
      </c>
      <c r="FQ119">
        <f>IF($EY119="row",INDEX($ET$5:$ET$1003,$EX119),"")</f>
        <v/>
      </c>
      <c r="FR119">
        <f>IF($EY119="row",INDEX($EU$5:$EU$1003,$EX119),"")</f>
        <v/>
      </c>
      <c r="FS119">
        <f>IF(AND($EY119="row",$EY118="row"),IF(OR(INDEX($DT$5:$DT$1003,$EX118)="",INDEX($DT$5:$DT$1003,$EX119)=""),"",IF(NOT(EXACT(INDEX($DT$5:$DT$1003,$EX118),INDEX($DT$5:$DT$1003,$EX119))),"S4",IF(NOT(EXACT(INDEX($DS$5:$DS$1003,$EX118),INDEX($DS$5:$DS$1003,$EX119))),"S3",IF(NOT(EXACT(INDEX($DR$5:$DR$1003,$EX118),INDEX($DR$5:$DR$1003,$EX119))),"S1 Count Change","S1")))),"")</f>
        <v/>
      </c>
      <c r="FT119">
        <f>IF($EY119="row",INDEX($ES$5:$ES$1003,$EX119),"")</f>
        <v/>
      </c>
      <c r="FU119">
        <f>IF($EY119="row",INDEX($EO$5:$EO$1003,$EX119),0)</f>
        <v/>
      </c>
      <c r="FV119">
        <f>IF($FS119="S1 Count Change",1,0)</f>
        <v/>
      </c>
    </row>
    <row r="120">
      <c r="Y120">
        <f>IF(Y30="",0,IFERROR(INDEX($W$5:$W$86,MATCH(Y30,$V$5:$V$86,0)),0))</f>
        <v/>
      </c>
      <c r="Z120">
        <f>IF(Z30="",0,IFERROR(INDEX($W$5:$W$86,MATCH(Z30,$V$5:$V$86,0)),0))</f>
        <v/>
      </c>
      <c r="AA120">
        <f>IF(AA30="",0,IFERROR(INDEX($W$5:$W$86,MATCH(AA30,$V$5:$V$86,0)),0))</f>
        <v/>
      </c>
      <c r="AB120">
        <f>IF(AB30="",0,IFERROR(INDEX($W$5:$W$86,MATCH(AB30,$V$5:$V$86,0)),0))</f>
        <v/>
      </c>
      <c r="AC120">
        <f>IF(AC30="",0,IFERROR(INDEX($W$5:$W$86,MATCH(AC30,$V$5:$V$86,0)),0))</f>
        <v/>
      </c>
      <c r="AD120">
        <f>IF(AD30="",0,IFERROR(INDEX($W$5:$W$86,MATCH(AD30,$V$5:$V$86,0)),0))</f>
        <v/>
      </c>
      <c r="AE120">
        <f>IF(AE30="",0,IFERROR(INDEX($W$5:$W$86,MATCH(AE30,$V$5:$V$86,0)),0))</f>
        <v/>
      </c>
      <c r="AF120">
        <f>IF(AF30="",0,IFERROR(INDEX($W$5:$W$86,MATCH(AF30,$V$5:$V$86,0)),0))</f>
        <v/>
      </c>
      <c r="AG120">
        <f>IF(AG30="",0,IFERROR(INDEX($W$5:$W$86,MATCH(AG30,$V$5:$V$86,0)),0))</f>
        <v/>
      </c>
      <c r="AH120">
        <f>IF(AH30="",0,IFERROR(INDEX($W$5:$W$86,MATCH(AH30,$V$5:$V$86,0)),0))</f>
        <v/>
      </c>
      <c r="AI120">
        <f>IF(AI30="",0,IFERROR(INDEX($W$5:$W$86,MATCH(AI30,$V$5:$V$86,0)),0))</f>
        <v/>
      </c>
      <c r="AJ120">
        <f>IF(AJ30="",0,IFERROR(INDEX($W$5:$W$86,MATCH(AJ30,$V$5:$V$86,0)),0))</f>
        <v/>
      </c>
      <c r="AK120">
        <f>IF(AK30="",0,IFERROR(INDEX($W$5:$W$86,MATCH(AK30,$V$5:$V$86,0)),0))</f>
        <v/>
      </c>
      <c r="AL120">
        <f>IF(AL30="",0,IFERROR(INDEX($W$5:$W$86,MATCH(AL30,$V$5:$V$86,0)),0))</f>
        <v/>
      </c>
      <c r="AM120">
        <f>IF(AM30="",0,IFERROR(INDEX($W$5:$W$86,MATCH(AM30,$V$5:$V$86,0)),0))</f>
        <v/>
      </c>
      <c r="AN120">
        <f>IF(AN30="",0,IFERROR(INDEX($W$5:$W$86,MATCH(AN30,$V$5:$V$86,0)),0))</f>
        <v/>
      </c>
      <c r="AO120">
        <f>IF(AO30="",0,IFERROR(INDEX($W$5:$W$86,MATCH(AO30,$V$5:$V$86,0)),0))</f>
        <v/>
      </c>
      <c r="AP120">
        <f>IF(AP30="",0,IFERROR(INDEX($W$5:$W$86,MATCH(AP30,$V$5:$V$86,0)),0))</f>
        <v/>
      </c>
      <c r="AQ120">
        <f>IF(AQ30="",0,IFERROR(INDEX($W$5:$W$86,MATCH(AQ30,$V$5:$V$86,0)),0))</f>
        <v/>
      </c>
      <c r="AR120">
        <f>IF(AR30="",0,IFERROR(INDEX($W$5:$W$86,MATCH(AR30,$V$5:$V$86,0)),0))</f>
        <v/>
      </c>
      <c r="AS120">
        <f>IF(AS30="",0,IFERROR(INDEX($W$5:$W$86,MATCH(AS30,$V$5:$V$86,0)),0))</f>
        <v/>
      </c>
      <c r="AT120">
        <f>IF(AT30="",0,IFERROR(INDEX($W$5:$W$86,MATCH(AT30,$V$5:$V$86,0)),0))</f>
        <v/>
      </c>
      <c r="AU120">
        <f>IF(AU30="",0,IFERROR(INDEX($W$5:$W$86,MATCH(AU30,$V$5:$V$86,0)),0))</f>
        <v/>
      </c>
      <c r="AV120">
        <f>IF(AV30="",0,IFERROR(INDEX($W$5:$W$86,MATCH(AV30,$V$5:$V$86,0)),0))</f>
        <v/>
      </c>
      <c r="AW120">
        <f>IF(AW30="",0,IFERROR(INDEX($W$5:$W$86,MATCH(AW30,$V$5:$V$86,0)),0))</f>
        <v/>
      </c>
      <c r="AX120">
        <f>IF(AX30="",0,IFERROR(INDEX($W$5:$W$86,MATCH(AX30,$V$5:$V$86,0)),0))</f>
        <v/>
      </c>
      <c r="AY120">
        <f>IF(AY30="",0,IFERROR(INDEX($W$5:$W$86,MATCH(AY30,$V$5:$V$86,0)),0))</f>
        <v/>
      </c>
      <c r="AZ120">
        <f>IF(AZ30="",0,IFERROR(INDEX($W$5:$W$86,MATCH(AZ30,$V$5:$V$86,0)),0))</f>
        <v/>
      </c>
      <c r="BA120">
        <f>IF(BA30="",0,IFERROR(INDEX($W$5:$W$86,MATCH(BA30,$V$5:$V$86,0)),0))</f>
        <v/>
      </c>
      <c r="BB120">
        <f>IF(BB30="",0,IFERROR(INDEX($W$5:$W$86,MATCH(BB30,$V$5:$V$86,0)),0))</f>
        <v/>
      </c>
      <c r="BC120">
        <f>IF(BC30="",0,IFERROR(INDEX($W$5:$W$86,MATCH(BC30,$V$5:$V$86,0)),0))</f>
        <v/>
      </c>
      <c r="BD120">
        <f>IF(BD30="",0,IFERROR(INDEX($W$5:$W$86,MATCH(BD30,$V$5:$V$86,0)),0))</f>
        <v/>
      </c>
      <c r="BE120">
        <f>IF(BE30="",0,IFERROR(INDEX($W$5:$W$86,MATCH(BE30,$V$5:$V$86,0)),0))</f>
        <v/>
      </c>
      <c r="BF120">
        <f>IF(BF30="",0,IFERROR(INDEX($W$5:$W$86,MATCH(BF30,$V$5:$V$86,0)),0))</f>
        <v/>
      </c>
      <c r="BG120">
        <f>IF(BG30="",0,IFERROR(INDEX($W$5:$W$86,MATCH(BG30,$V$5:$V$86,0)),0))</f>
        <v/>
      </c>
      <c r="BH120">
        <f>IF(BH30="",0,IFERROR(INDEX($W$5:$W$86,MATCH(BH30,$V$5:$V$86,0)),0))</f>
        <v/>
      </c>
      <c r="BI120">
        <f>IF(BI30="",0,IFERROR(INDEX($W$5:$W$86,MATCH(BI30,$V$5:$V$86,0)),0))</f>
        <v/>
      </c>
      <c r="BJ120">
        <f>IF(BJ30="",0,IFERROR(INDEX($W$5:$W$86,MATCH(BJ30,$V$5:$V$86,0)),0))</f>
        <v/>
      </c>
      <c r="BK120">
        <f>IF(BK30="",0,IFERROR(INDEX($W$5:$W$86,MATCH(BK30,$V$5:$V$86,0)),0))</f>
        <v/>
      </c>
      <c r="BL120">
        <f>IF(BL30="",0,IFERROR(INDEX($W$5:$W$86,MATCH(BL30,$V$5:$V$86,0)),0))</f>
        <v/>
      </c>
      <c r="BM120">
        <f>IF(BM30="",0,IFERROR(INDEX($W$5:$W$86,MATCH(BM30,$V$5:$V$86,0)),0))</f>
        <v/>
      </c>
      <c r="BN120">
        <f>IF(BN30="",0,IFERROR(INDEX($W$5:$W$86,MATCH(BN30,$V$5:$V$86,0)),0))</f>
        <v/>
      </c>
      <c r="BO120">
        <f>IF(BO30="",0,IFERROR(INDEX($W$5:$W$86,MATCH(BO30,$V$5:$V$86,0)),0))</f>
        <v/>
      </c>
      <c r="BP120">
        <f>IF(BP30="",0,IFERROR(INDEX($W$5:$W$86,MATCH(BP30,$V$5:$V$86,0)),0))</f>
        <v/>
      </c>
      <c r="BQ120">
        <f>IF(BQ30="",0,IFERROR(INDEX($W$5:$W$86,MATCH(BQ30,$V$5:$V$86,0)),0))</f>
        <v/>
      </c>
      <c r="BR120">
        <f>IF(BR30="",0,IFERROR(INDEX($W$5:$W$86,MATCH(BR30,$V$5:$V$86,0)),0))</f>
        <v/>
      </c>
      <c r="BS120">
        <f>IF(BS30="",0,IFERROR(INDEX($W$5:$W$86,MATCH(BS30,$V$5:$V$86,0)),0))</f>
        <v/>
      </c>
      <c r="BT120">
        <f>IF(BT30="",0,IFERROR(INDEX($W$5:$W$86,MATCH(BT30,$V$5:$V$86,0)),0))</f>
        <v/>
      </c>
      <c r="BU120">
        <f>IF(BU30="",0,IFERROR(INDEX($W$5:$W$86,MATCH(BU30,$V$5:$V$86,0)),0))</f>
        <v/>
      </c>
      <c r="BV120">
        <f>IF(BV30="",0,IFERROR(INDEX($W$5:$W$86,MATCH(BV30,$V$5:$V$86,0)),0))</f>
        <v/>
      </c>
      <c r="BW120">
        <f>IF(BW30="",0,IFERROR(INDEX($W$5:$W$86,MATCH(BW30,$V$5:$V$86,0)),0))</f>
        <v/>
      </c>
      <c r="BX120">
        <f>IF(BX30="",0,IFERROR(INDEX($W$5:$W$86,MATCH(BX30,$V$5:$V$86,0)),0))</f>
        <v/>
      </c>
      <c r="BY120">
        <f>IF(BY30="",0,IFERROR(INDEX($W$5:$W$86,MATCH(BY30,$V$5:$V$86,0)),0))</f>
        <v/>
      </c>
      <c r="BZ120">
        <f>IF(BZ30="",0,IFERROR(INDEX($W$5:$W$86,MATCH(BZ30,$V$5:$V$86,0)),0))</f>
        <v/>
      </c>
      <c r="CA120">
        <f>IF(CA30="",0,IFERROR(INDEX($W$5:$W$86,MATCH(CA30,$V$5:$V$86,0)),0))</f>
        <v/>
      </c>
      <c r="CB120">
        <f>IF(CB30="",0,IFERROR(INDEX($W$5:$W$86,MATCH(CB30,$V$5:$V$86,0)),0))</f>
        <v/>
      </c>
      <c r="CC120">
        <f>IF(CC30="",0,IFERROR(INDEX($W$5:$W$86,MATCH(CC30,$V$5:$V$86,0)),0))</f>
        <v/>
      </c>
      <c r="CD120">
        <f>IF(CD30="",0,IFERROR(INDEX($W$5:$W$86,MATCH(CD30,$V$5:$V$86,0)),0))</f>
        <v/>
      </c>
      <c r="CE120">
        <f>IF(CE30="",0,IFERROR(INDEX($W$5:$W$86,MATCH(CE30,$V$5:$V$86,0)),0))</f>
        <v/>
      </c>
      <c r="CF120">
        <f>IF(CF30="",0,IFERROR(INDEX($W$5:$W$86,MATCH(CF30,$V$5:$V$86,0)),0))</f>
        <v/>
      </c>
      <c r="DA120" t="n">
        <v>116</v>
      </c>
      <c r="DB120">
        <f>IF($B$37=0,"",IFERROR(TRIM(SUBSTITUTE(SUBSTITUTE(SUBSTITUTE(SUBSTITUTE(INDEX(PASTE_ALL,116,$B$37)," "," "),CHAR(9)," "),CHAR(10)," "),CHAR(13)," ")),""))</f>
        <v/>
      </c>
      <c r="DC120">
        <f>IF(AND(116&gt;HEADER_ROW,UPPER(DB120)="LEGEND"),1,0)</f>
        <v/>
      </c>
      <c r="DE120" t="n">
        <v>116</v>
      </c>
      <c r="DF120">
        <f>HEADER_ROW+$DE120</f>
        <v/>
      </c>
      <c r="DG120">
        <f>IF(AND($DF120&lt;=1000,$DF120&lt;$B$8),1,0)</f>
        <v/>
      </c>
      <c r="DH120">
        <f>IF($DG120=1,IFERROR(INDEX($DB$5:$DB$1004,$DF120),""),"")</f>
        <v/>
      </c>
      <c r="DI120">
        <f>IF(AND($DG120=1,$DH120&lt;&gt;""),IFERROR(SUBSTITUTE(SUBSTITUTE(TRIM(SUBSTITUTE(SUBSTITUTE(SUBSTITUTE(SUBSTITUTE(IFERROR(INDEX(PASTE_ALL,$DF120,1)&amp;"","")&amp;"␟"&amp;IFERROR(INDEX(PASTE_ALL,$DF120,2)&amp;"","")&amp;"␟"&amp;IFERROR(INDEX(PASTE_ALL,$DF120,3)&amp;"","")&amp;"␟"&amp;IFERROR(INDEX(PASTE_ALL,$DF120,4)&amp;"","")&amp;"␟"&amp;IFERROR(INDEX(PASTE_ALL,$DF120,5)&amp;"","")&amp;"␟"&amp;IFERROR(INDEX(PASTE_ALL,$DF120,6)&amp;"","")&amp;"␟"&amp;IFERROR(INDEX(PASTE_ALL,$DF120,7)&amp;"","")&amp;"␟"&amp;IFERROR(INDEX(PASTE_ALL,$DF120,8)&amp;"","")&amp;"␟"&amp;IFERROR(INDEX(PASTE_ALL,$DF120,9)&amp;"","")&amp;"␟"&amp;IFERROR(INDEX(PASTE_ALL,$DF120,10)&amp;"","")&amp;"␟"&amp;IFERROR(INDEX(PASTE_ALL,$DF120,11)&amp;"","")&amp;"␟"&amp;IFERROR(INDEX(PASTE_ALL,$DF120,12)&amp;"","")&amp;"␟"&amp;IFERROR(INDEX(PASTE_ALL,$DF120,13)&amp;"","")&amp;"␟"&amp;IFERROR(INDEX(PASTE_ALL,$DF120,14)&amp;"","")&amp;"␟"&amp;IFERROR(INDEX(PASTE_ALL,$DF120,15)&amp;"","")&amp;"␟"&amp;IFERROR(INDEX(PASTE_ALL,$DF120,16)&amp;"","")&amp;"␟"&amp;IFERROR(INDEX(PASTE_ALL,$DF120,17)&amp;"","")&amp;"␟"&amp;IFERROR(INDEX(PASTE_ALL,$DF120,18)&amp;"","")&amp;"␟"&amp;IFERROR(INDEX(PASTE_ALL,$DF120,19)&amp;"","")&amp;"␟"&amp;IFERROR(INDEX(PASTE_ALL,$DF120,20)&amp;"","")&amp;"␟"&amp;IFERROR(INDEX(PASTE_ALL,$DF120,21)&amp;"","")&amp;"␟"&amp;IFERROR(INDEX(PASTE_ALL,$DF120,22)&amp;"","")&amp;"␟"&amp;IFERROR(INDEX(PASTE_ALL,$DF120,23)&amp;"","")&amp;"␟"&amp;IFERROR(INDEX(PASTE_ALL,$DF120,24)&amp;"","")&amp;"␟"&amp;IFERROR(INDEX(PASTE_ALL,$DF120,25)&amp;"","")&amp;"␟"&amp;IFERROR(INDEX(PASTE_ALL,$DF120,26)&amp;"","")&amp;"␟"&amp;IFERROR(INDEX(PASTE_ALL,$DF120,27)&amp;"","")&amp;"␟"&amp;IFERROR(INDEX(PASTE_ALL,$DF120,28)&amp;"","")&amp;"␟"&amp;IFERROR(INDEX(PASTE_ALL,$DF120,29)&amp;"","")&amp;"␟"&amp;IFERROR(INDEX(PASTE_ALL,$DF120,30)&amp;"","")&amp;"␟"&amp;IFERROR(INDEX(PASTE_ALL,$DF120,31)&amp;"","")&amp;"␟"&amp;IFERROR(INDEX(PASTE_ALL,$DF120,32)&amp;"","")&amp;"␟"&amp;IFERROR(INDEX(PASTE_ALL,$DF120,33)&amp;"","")&amp;"␟"&amp;IFERROR(INDEX(PASTE_ALL,$DF120,34)&amp;"","")&amp;"␟"&amp;IFERROR(INDEX(PASTE_ALL,$DF120,35)&amp;"","")&amp;"␟"&amp;IFERROR(INDEX(PASTE_ALL,$DF120,36)&amp;"","")&amp;"␟"&amp;IFERROR(INDEX(PASTE_ALL,$DF120,37)&amp;"","")&amp;"␟"&amp;IFERROR(INDEX(PASTE_ALL,$DF120,38)&amp;"","")&amp;"␟"&amp;IFERROR(INDEX(PASTE_ALL,$DF120,39)&amp;"","")&amp;"␟"&amp;IFERROR(INDEX(PASTE_ALL,$DF120,40)&amp;"","")&amp;"␟"&amp;IFERROR(INDEX(PASTE_ALL,$DF120,41)&amp;"","")&amp;"␟"&amp;IFERROR(INDEX(PASTE_ALL,$DF120,42)&amp;"","")&amp;"␟"&amp;IFERROR(INDEX(PASTE_ALL,$DF120,43)&amp;"","")&amp;"␟"&amp;IFERROR(INDEX(PASTE_ALL,$DF120,44)&amp;"","")&amp;"␟"&amp;IFERROR(INDEX(PASTE_ALL,$DF120,45)&amp;"","")&amp;"␟"&amp;IFERROR(INDEX(PASTE_ALL,$DF120,46)&amp;"","")&amp;"␟"&amp;IFERROR(INDEX(PASTE_ALL,$DF120,47)&amp;"","")&amp;"␟"&amp;IFERROR(INDEX(PASTE_ALL,$DF120,48)&amp;"","")&amp;"␟"&amp;IFERROR(INDEX(PASTE_ALL,$DF120,49)&amp;"","")&amp;"␟"&amp;IFERROR(INDEX(PASTE_ALL,$DF120,50)&amp;"","")&amp;"␟"&amp;IFERROR(INDEX(PASTE_ALL,$DF120,51)&amp;"","")&amp;"␟"&amp;IFERROR(INDEX(PASTE_ALL,$DF120,52)&amp;"","")&amp;"␟"&amp;IFERROR(INDEX(PASTE_ALL,$DF120,53)&amp;"","")&amp;"␟"&amp;IFERROR(INDEX(PASTE_ALL,$DF120,54)&amp;"","")&amp;"␟"&amp;IFERROR(INDEX(PASTE_ALL,$DF120,55)&amp;"","")&amp;"␟"&amp;IFERROR(INDEX(PASTE_ALL,$DF120,56)&amp;"","")&amp;"␟"&amp;IFERROR(INDEX(PASTE_ALL,$DF120,57)&amp;"","")&amp;"␟"&amp;IFERROR(INDEX(PASTE_ALL,$DF120,58)&amp;"","")&amp;"␟"&amp;IFERROR(INDEX(PASTE_ALL,$DF120,59)&amp;"","")&amp;"␟"&amp;IFERROR(INDEX(PASTE_ALL,$DF120,60)&amp;"","")," "," "),CHAR(9)," "),CHAR(10)," "),CHAR(13)," "))," ␟","␟"),"␟ ","␟"),"#"&amp;$DE120),"")</f>
        <v/>
      </c>
      <c r="DJ120">
        <f>IF($DI120="",0,IF(SUMPRODUCT(--EXACT($DI$4:DI119,$DI120))&gt;0,1,0))</f>
        <v/>
      </c>
      <c r="DK120">
        <f>IF(AND($DI120&lt;&gt;"",$DJ120=0),1,0)</f>
        <v/>
      </c>
      <c r="DL120">
        <f>DL119+$DK120</f>
        <v/>
      </c>
      <c r="DM120">
        <f>IF(AND($DK120=1,$DL120&lt;=600),1,0)</f>
        <v/>
      </c>
      <c r="DN120">
        <f>IF($DM120=0,"",IF($L$6=0,"",IFERROR(IF(ISNUMBER(INDEX(PASTE_ALL,$DF120,$L$6)),INDEX(PASTE_ALL,$DF120,$L$6),TRIM(SUBSTITUTE(SUBSTITUTE(SUBSTITUTE(SUBSTITUTE(INDEX(PASTE_ALL,$DF120,$L$6)," "," "),CHAR(9)," "),CHAR(10)," "),CHAR(13)," "))),"")))</f>
        <v/>
      </c>
      <c r="DO120">
        <f>IF($DM120=0,"",IF($L$7=0,"",IFERROR(IF(ISNUMBER(INDEX(PASTE_ALL,$DF120,$L$7)),INDEX(PASTE_ALL,$DF120,$L$7),TRIM(SUBSTITUTE(SUBSTITUTE(SUBSTITUTE(SUBSTITUTE(INDEX(PASTE_ALL,$DF120,$L$7)," "," "),CHAR(9)," "),CHAR(10)," "),CHAR(13)," "))),"")))</f>
        <v/>
      </c>
      <c r="DP120">
        <f>IF($DM120=0,"",IF($L$8=0,"",IFERROR(IF(ISNUMBER(INDEX(PASTE_ALL,$DF120,$L$8)),INDEX(PASTE_ALL,$DF120,$L$8),TRIM(SUBSTITUTE(SUBSTITUTE(SUBSTITUTE(SUBSTITUTE(INDEX(PASTE_ALL,$DF120,$L$8)," "," "),CHAR(9)," "),CHAR(10)," "),CHAR(13)," "))),"")))</f>
        <v/>
      </c>
      <c r="DQ120">
        <f>IF($DM120=0,"",IF($L$9=0,"",IFERROR(IF(ISNUMBER(INDEX(PASTE_ALL,$DF120,$L$9)),INDEX(PASTE_ALL,$DF120,$L$9),TRIM(SUBSTITUTE(SUBSTITUTE(SUBSTITUTE(SUBSTITUTE(INDEX(PASTE_ALL,$DF120,$L$9)," "," "),CHAR(9)," "),CHAR(10)," "),CHAR(13)," "))),"")))</f>
        <v/>
      </c>
      <c r="DR120">
        <f>IF($DM120=0,"",IF($L$10=0,"",IFERROR(IF(ISNUMBER(INDEX(PASTE_ALL,$DF120,$L$10)),INDEX(PASTE_ALL,$DF120,$L$10),TRIM(SUBSTITUTE(SUBSTITUTE(SUBSTITUTE(SUBSTITUTE(INDEX(PASTE_ALL,$DF120,$L$10)," "," "),CHAR(9)," "),CHAR(10)," "),CHAR(13)," "))),"")))</f>
        <v/>
      </c>
      <c r="DS120">
        <f>IF($DM120=0,"",IF($L$11=0,"",IFERROR(IF(ISNUMBER(INDEX(PASTE_ALL,$DF120,$L$11)),INDEX(PASTE_ALL,$DF120,$L$11),TRIM(SUBSTITUTE(SUBSTITUTE(SUBSTITUTE(SUBSTITUTE(INDEX(PASTE_ALL,$DF120,$L$11)," "," "),CHAR(9)," "),CHAR(10)," "),CHAR(13)," "))),"")))</f>
        <v/>
      </c>
      <c r="DT120">
        <f>IF($DM120=0,"",IF($L$12=0,"",IFERROR(IF(ISNUMBER(INDEX(PASTE_ALL,$DF120,$L$12)),INDEX(PASTE_ALL,$DF120,$L$12),TRIM(SUBSTITUTE(SUBSTITUTE(SUBSTITUTE(SUBSTITUTE(INDEX(PASTE_ALL,$DF120,$L$12)," "," "),CHAR(9)," "),CHAR(10)," "),CHAR(13)," "))),"")))</f>
        <v/>
      </c>
      <c r="DU120">
        <f>IF($DM120=0,"",IF($L$13=0,"",IFERROR(IF(ISNUMBER(INDEX(PASTE_ALL,$DF120,$L$13)),INDEX(PASTE_ALL,$DF120,$L$13),TRIM(SUBSTITUTE(SUBSTITUTE(SUBSTITUTE(SUBSTITUTE(INDEX(PASTE_ALL,$DF120,$L$13)," "," "),CHAR(9)," "),CHAR(10)," "),CHAR(13)," "))),"")))</f>
        <v/>
      </c>
      <c r="DV120">
        <f>IF($DM120=0,"",IF($L$14=0,"",IFERROR(IF(ISNUMBER(INDEX(PASTE_ALL,$DF120,$L$14)),INDEX(PASTE_ALL,$DF120,$L$14),TRIM(SUBSTITUTE(SUBSTITUTE(SUBSTITUTE(SUBSTITUTE(INDEX(PASTE_ALL,$DF120,$L$14)," "," "),CHAR(9)," "),CHAR(10)," "),CHAR(13)," "))),"")))</f>
        <v/>
      </c>
      <c r="DW120">
        <f>IF($DM120=0,"",IF($L$15=0,"",IFERROR(IF(ISNUMBER(INDEX(PASTE_ALL,$DF120,$L$15)),INDEX(PASTE_ALL,$DF120,$L$15),IF(SUMPRODUCT(--ISNUMBER(FIND({"A","B","C","D","E","F","G","H","I","J","K","L","M","N","O","P","Q","R","S","T","U","V","W","X","Y","Z","0","1","2","3","4","5","6","7","8","9"},UPPER(TRIM(SUBSTITUTE(SUBSTITUTE(SUBSTITUTE(SUBSTITUTE(INDEX(PASTE_ALL,$DF120,$L$15)," "," "),CHAR(9)," "),CHAR(10)," "),CHAR(13)," "))))))&gt;0,TRIM(SUBSTITUTE(SUBSTITUTE(SUBSTITUTE(SUBSTITUTE(INDEX(PASTE_ALL,$DF120,$L$15)," "," "),CHAR(9)," "),CHAR(10)," "),CHAR(13)," ")),"")),"")))</f>
        <v/>
      </c>
      <c r="DX120">
        <f>IF($DM120=0,"",IF($L$16=0,"",IFERROR(IF(ISNUMBER(INDEX(PASTE_ALL,$DF120,$L$16)),INDEX(PASTE_ALL,$DF120,$L$16),SUBSTITUTE(SUBSTITUTE(TRIM(SUBSTITUTE(SUBSTITUTE(SUBSTITUTE(SUBSTITUTE(INDEX(PASTE_ALL,$DF120,$L$16)," "," "),CHAR(9)," "),CHAR(10)," "),CHAR(13)," ")),",",""),"%","")),"")))</f>
        <v/>
      </c>
      <c r="DY120">
        <f>IF($DM120=0,"",IFERROR(IF(ISNUMBER($DX120),$DX120,IF($DX120="","",IF(TRIM($DX120)="",0,IF(AND(AND(SUBSTITUTE(SUBSTITUTE(SUBSTITUTE(SUBSTITUTE(SUBSTITUTE(SUBSTITUTE(SUBSTITUTE(SUBSTITUTE(SUBSTITUTE(SUBSTITUTE(SUBSTITUTE(SUBSTITUTE(SUBSTITUTE(SUBSTITUTE(UPPER(TRIM($DX120)),"0",""),"1",""),"2",""),"3",""),"4",""),"5",""),"6",""),"7",""),"8",""),"9",""),".",""),"+",""),"-",""),"E","")="",LEN(SUBSTITUTE(SUBSTITUTE(MID(UPPER(TRIM($DX120)),1+OR(LEFT(UPPER(TRIM($DX120)),1)="+",LEFT(UPPER(TRIM($DX120)),1)="-"),999),"E+","E"),"E-","E"))=LEN(SUBSTITUTE(SUBSTITUTE(SUBSTITUTE(SUBSTITUTE(MID(UPPER(TRIM($DX120)),1+OR(LEFT(UPPER(TRIM($DX120)),1)="+",LEFT(UPPER(TRIM($DX120)),1)="-"),999),"E+","E"),"E-","E"),"+",""),"-","")),LEN(UPPER(TRIM($DX120)))-LEN(SUBSTITUTE(UPPER(TRIM($DX120)),"E",""))&lt;2,LEN(UPPER(TRIM($DX120)))-LEN(SUBSTITUTE(UPPER(TRIM($DX120)),".",""))&lt;2,IFERROR(FIND(".",UPPER(TRIM($DX120))),0)&lt;IFERROR(FIND("E",UPPER(TRIM($DX120))),999)),ISNUMBER(VALUE(TRIM($DX120)))),VALUE(TRIM($DX120)),"")))),""))</f>
        <v/>
      </c>
      <c r="DZ120">
        <f>IF($DM120=0,"",IF($L$17=0,"",IFERROR(IF(ISNUMBER(INDEX(PASTE_ALL,$DF120,$L$17)),INDEX(PASTE_ALL,$DF120,$L$17),SUBSTITUTE(SUBSTITUTE(TRIM(SUBSTITUTE(SUBSTITUTE(SUBSTITUTE(SUBSTITUTE(INDEX(PASTE_ALL,$DF120,$L$17)," "," "),CHAR(9)," "),CHAR(10)," "),CHAR(13)," ")),",",""),"%","")),"")))</f>
        <v/>
      </c>
      <c r="EA120">
        <f>IF($DM120=0,"",IFERROR(IF(ISNUMBER($DZ120),$DZ120,IF($DZ120="","",IF(TRIM($DZ120)="",0,IF(AND(AND(SUBSTITUTE(SUBSTITUTE(SUBSTITUTE(SUBSTITUTE(SUBSTITUTE(SUBSTITUTE(SUBSTITUTE(SUBSTITUTE(SUBSTITUTE(SUBSTITUTE(SUBSTITUTE(SUBSTITUTE(SUBSTITUTE(SUBSTITUTE(UPPER(TRIM($DZ120)),"0",""),"1",""),"2",""),"3",""),"4",""),"5",""),"6",""),"7",""),"8",""),"9",""),".",""),"+",""),"-",""),"E","")="",LEN(SUBSTITUTE(SUBSTITUTE(MID(UPPER(TRIM($DZ120)),1+OR(LEFT(UPPER(TRIM($DZ120)),1)="+",LEFT(UPPER(TRIM($DZ120)),1)="-"),999),"E+","E"),"E-","E"))=LEN(SUBSTITUTE(SUBSTITUTE(SUBSTITUTE(SUBSTITUTE(MID(UPPER(TRIM($DZ120)),1+OR(LEFT(UPPER(TRIM($DZ120)),1)="+",LEFT(UPPER(TRIM($DZ120)),1)="-"),999),"E+","E"),"E-","E"),"+",""),"-","")),LEN(UPPER(TRIM($DZ120)))-LEN(SUBSTITUTE(UPPER(TRIM($DZ120)),"E",""))&lt;2,LEN(UPPER(TRIM($DZ120)))-LEN(SUBSTITUTE(UPPER(TRIM($DZ120)),".",""))&lt;2,IFERROR(FIND(".",UPPER(TRIM($DZ120))),0)&lt;IFERROR(FIND("E",UPPER(TRIM($DZ120))),999)),ISNUMBER(VALUE(TRIM($DZ120)))),VALUE(TRIM($DZ120)),"")))),""))</f>
        <v/>
      </c>
      <c r="EB120">
        <f>IF($DM120=0,"",IF($L$18=0,"",IFERROR(IF(UPPER(TRIM(SUBSTITUTE(SUBSTITUTE(SUBSTITUTE(SUBSTITUTE(INDEX(PASTE_ALL,$DF120,$L$18)," "," "),CHAR(9)," "),CHAR(10)," "),CHAR(13)," ")))="READY","Ready",IF(UPPER(TRIM(SUBSTITUTE(SUBSTITUTE(SUBSTITUTE(SUBSTITUTE(INDEX(PASTE_ALL,$DF120,$L$18)," "," "),CHAR(9)," "),CHAR(10)," "),CHAR(13)," ")))="PM","PM",IF(OR(UPPER(TRIM(SUBSTITUTE(SUBSTITUTE(SUBSTITUTE(SUBSTITUTE(INDEX(PASTE_ALL,$DF120,$L$18)," "," "),CHAR(9)," "),CHAR(10)," "),CHAR(13)," ")))="OT",UPPER(TRIM(SUBSTITUTE(SUBSTITUTE(SUBSTITUTE(SUBSTITUTE(INDEX(PASTE_ALL,$DF120,$L$18)," "," "),CHAR(9)," "),CHAR(10)," "),CHAR(13)," ")))="OVERTIME",UPPER(TRIM(SUBSTITUTE(SUBSTITUTE(SUBSTITUTE(SUBSTITUTE(INDEX(PASTE_ALL,$DF120,$L$18)," "," "),CHAR(9)," "),CHAR(10)," "),CHAR(13)," ")))="TRIAL"),"OT",TRIM(SUBSTITUTE(SUBSTITUTE(SUBSTITUTE(SUBSTITUTE(INDEX(PASTE_ALL,$DF120,$L$18)," "," "),CHAR(9)," "),CHAR(10)," "),CHAR(13)," "))))),"")))</f>
        <v/>
      </c>
      <c r="EC120">
        <f>IF($DM120=0,"",IF($L$19=0,"",IFERROR(IF(ISNUMBER(INDEX(PASTE_ALL,$DF120,$L$19)),INDEX(PASTE_ALL,$DF120,$L$19),TRIM(SUBSTITUTE(SUBSTITUTE(SUBSTITUTE(SUBSTITUTE(INDEX(PASTE_ALL,$DF120,$L$19)," "," "),CHAR(9)," "),CHAR(10)," "),CHAR(13)," "))),"")))</f>
        <v/>
      </c>
      <c r="ED120">
        <f>IF($DM120=0,"",MATCH(1,INDEX(EXACT($DH$5:DH120,$DH120)*$DM$5:DM120,0),0))</f>
        <v/>
      </c>
      <c r="EE120">
        <f>IF($DM120=0,0,IF($ED120=$DE120,1,0))</f>
        <v/>
      </c>
      <c r="EF120">
        <f>EF119+$EE120</f>
        <v/>
      </c>
      <c r="EG120">
        <f>IF($DM120=0,"",INDEX($EF$5:$EF$1003,$ED120))</f>
        <v/>
      </c>
      <c r="EH120">
        <f>IF($DM120=0,"",IF($DO120&lt;&gt;"","",IFERROR(LOOKUP(2,1/(($EG$4:EG119=$EG120)*($DO$4:DO119&lt;&gt;"")),$DO$4:DO119),"")))</f>
        <v/>
      </c>
      <c r="EI120">
        <f>IF($DM120=0,"",IF($DO120&lt;&gt;"",$DO120,$EH120))</f>
        <v/>
      </c>
      <c r="EJ120">
        <f>IF($DM120=0,"",IF($EI120="",0,IF(OR(ISNUMBER($EI120),AND(AND(SUBSTITUTE(SUBSTITUTE(SUBSTITUTE(SUBSTITUTE(SUBSTITUTE(SUBSTITUTE(SUBSTITUTE(SUBSTITUTE(SUBSTITUTE(SUBSTITUTE(SUBSTITUTE(SUBSTITUTE(SUBSTITUTE(SUBSTITUTE(UPPER($EI120),"0",""),"1",""),"2",""),"3",""),"4",""),"5",""),"6",""),"7",""),"8",""),"9",""),".",""),"+",""),"-",""),"E","")="",LEN(SUBSTITUTE(SUBSTITUTE(MID(UPPER($EI120),1+OR(LEFT(UPPER($EI120),1)="+",LEFT(UPPER($EI120),1)="-"),999),"E+","E"),"E-","E"))=LEN(SUBSTITUTE(SUBSTITUTE(SUBSTITUTE(SUBSTITUTE(MID(UPPER($EI120),1+OR(LEFT(UPPER($EI120),1)="+",LEFT(UPPER($EI120),1)="-"),999),"E+","E"),"E-","E"),"+",""),"-","")),LEN(UPPER($EI120))-LEN(SUBSTITUTE(UPPER($EI120),"E",""))&lt;2,LEN(UPPER($EI120))-LEN(SUBSTITUTE(UPPER($EI120),".",""))&lt;2,IFERROR(FIND(".",UPPER($EI120)),0)&lt;IFERROR(FIND("E",UPPER($EI120)),999)),ISNUMBER(VALUE($EI120)))),1,2)))</f>
        <v/>
      </c>
      <c r="EK120">
        <f>IF($DM120=0,"",IF($EJ120=1,IF(ISNUMBER($EI120),$EI120,VALUE($EI120)),IF($EJ120=2,$DE120,0)))</f>
        <v/>
      </c>
      <c r="EL120">
        <f>IF($DM120=0,"",COUNTIF($EG$5:$EG$1003,"&lt;"&amp;$EG120)+SUMPRODUCT(($EG$5:$EG$1003=$EG120)*(($EJ$5:$EJ$1003&lt;$EJ120)+($EJ$5:$EJ$1003=$EJ120)*(($EK$5:$EK$1003&lt;$EK120)+($EK$5:$EK$1003=$EK120)*($DE$5:$DE$1003&lt;$DE120))))+1)</f>
        <v/>
      </c>
      <c r="EM120">
        <f>IF($DM120=0,"",$EL120+$EG120-1)</f>
        <v/>
      </c>
      <c r="EN120">
        <f>IF($DM120=0,0,IFERROR(MATCH(1,INDEX(--(TRIM(SUBSTITUTE(SUBSTITUTE(SUBSTITUTE(SUBSTITUTE(LINES_NAME&amp;""," "," "),CHAR(9)," "),CHAR(10)," "),CHAR(13)," "))=$DH120),0),0),0))</f>
        <v/>
      </c>
      <c r="EO120">
        <f>IF($EN120=0,0,IF(OR(UPPER(TRIM(INDEX(LINES_SCHEDULED,$EN120)&amp;""))="YES",UPPER(TRIM(INDEX(LINES_SCHEDULED,$EN120)&amp;""))="Y",UPPER(TRIM(INDEX(LINES_SCHEDULED,$EN120)&amp;""))="X"),1,0))</f>
        <v/>
      </c>
      <c r="EP120">
        <f>IF($DM120=0,"",IF(COUNTIFS($EG$5:$EG$1003,$EG120,$EB$5:$EB$1003,"Ready")&gt;0,"READY",IF(COUNTIFS($EG$5:$EG$1003,$EG120,$EB$5:$EB$1003,"PM")&gt;0,"PM",IF(COUNTIFS($EG$5:$EG$1003,$EG120,$EB$5:$EB$1003,"OT")&gt;0,"OT",""))))</f>
        <v/>
      </c>
      <c r="EQ120">
        <f>IF($EN120=0,"",UPPER(TRIM(INDEX(LINES_STATUS,$EN120)&amp;"")))</f>
        <v/>
      </c>
      <c r="ER120">
        <f>IF($DM120=0,"",IF(OR($EQ120="READY",$EQ120="PM",$EQ120="OT"),$EQ120,$EP120))</f>
        <v/>
      </c>
      <c r="ES120">
        <f>IF($DM120=0,"",IF(AND($DV120&lt;&gt;"",UPPER($DV120)&lt;&gt;"N"),"allergen",IF(ISNUMBER(SEARCH("oil",$DQ120)),"oil",IF(OR(EXACT($DS120,"A662"),EXACT($DS120,"A624")),"bulk",""))))</f>
        <v/>
      </c>
      <c r="ET120">
        <f>IF($DM120=0,"",IF(OR($EA120="",$EA120=0),"",$EA120/100))</f>
        <v/>
      </c>
      <c r="EU120">
        <f>IF(OR($ET120="",$DY120=""),"",INT($DY120*(1-$ET120)+0.5))</f>
        <v/>
      </c>
      <c r="EW120" t="n">
        <v>116</v>
      </c>
      <c r="EX120">
        <f>IFERROR(MATCH($EW120,$EM$5:$EM$1003,0),0)</f>
        <v/>
      </c>
      <c r="EY120">
        <f>IF($EW120&gt;$B$12,"",IF($EX120&gt;0,"row","spacer"))</f>
        <v/>
      </c>
      <c r="EZ120">
        <f>IF(AND($EY120="row",$EY119&lt;&gt;"row"),1,0)</f>
        <v/>
      </c>
      <c r="FA120">
        <f>IF(AND($EY120="row",$EY121&lt;&gt;"row"),1,0)</f>
        <v/>
      </c>
      <c r="FB120">
        <f>IF($EZ120=1,IFERROR(IF(ISNUMBER(INDEX(PASTE_ALL,INDEX($DF$5:$DF$1003,$EX120),$B$37)),INDEX(PASTE_ALL,INDEX($DF$5:$DF$1003,$EX120),$B$37),INDEX($DH$5:$DH$1003,$EX120)),INDEX($DH$5:$DH$1003,$EX120)),"")</f>
        <v/>
      </c>
      <c r="FC120">
        <f>IF($EY120="row",INDEX($ER$5:$ER$1003,$EX120),"")</f>
        <v/>
      </c>
      <c r="FD120">
        <f>IF($EY120="row",INDEX($DN$5:$DN$1003,$EX120),"")</f>
        <v/>
      </c>
      <c r="FE120">
        <f>IF($EY120="row",INDEX($DO$5:$DO$1003,$EX120),"")</f>
        <v/>
      </c>
      <c r="FF120">
        <f>IF($EY120="row",INDEX($DP$5:$DP$1003,$EX120),"")</f>
        <v/>
      </c>
      <c r="FG120">
        <f>IF($EY120="row",INDEX($DQ$5:$DQ$1003,$EX120),"")</f>
        <v/>
      </c>
      <c r="FH120">
        <f>IF($EY120="row",INDEX($DR$5:$DR$1003,$EX120),"")</f>
        <v/>
      </c>
      <c r="FI120">
        <f>IF($EY120="row",INDEX($DS$5:$DS$1003,$EX120),"")</f>
        <v/>
      </c>
      <c r="FJ120">
        <f>IF($EY120="row",INDEX($DT$5:$DT$1003,$EX120),"")</f>
        <v/>
      </c>
      <c r="FK120">
        <f>IF($EY120="row",INDEX($DU$5:$DU$1003,$EX120),"")</f>
        <v/>
      </c>
      <c r="FL120">
        <f>IF($EY120="row",INDEX($DV$5:$DV$1003,$EX120),"")</f>
        <v/>
      </c>
      <c r="FM120">
        <f>IF($EY120="row",INDEX($DW$5:$DW$1003,$EX120),"")</f>
        <v/>
      </c>
      <c r="FN120">
        <f>IF($EY120="row",INDEX($DY$5:$DY$1003,$EX120),"")</f>
        <v/>
      </c>
      <c r="FO120">
        <f>IF($EY120="row",INDEX($EA$5:$EA$1003,$EX120),"")</f>
        <v/>
      </c>
      <c r="FP120">
        <f>IF($EY120="row",INDEX($EC$5:$EC$1003,$EX120),"")</f>
        <v/>
      </c>
      <c r="FQ120">
        <f>IF($EY120="row",INDEX($ET$5:$ET$1003,$EX120),"")</f>
        <v/>
      </c>
      <c r="FR120">
        <f>IF($EY120="row",INDEX($EU$5:$EU$1003,$EX120),"")</f>
        <v/>
      </c>
      <c r="FS120">
        <f>IF(AND($EY120="row",$EY119="row"),IF(OR(INDEX($DT$5:$DT$1003,$EX119)="",INDEX($DT$5:$DT$1003,$EX120)=""),"",IF(NOT(EXACT(INDEX($DT$5:$DT$1003,$EX119),INDEX($DT$5:$DT$1003,$EX120))),"S4",IF(NOT(EXACT(INDEX($DS$5:$DS$1003,$EX119),INDEX($DS$5:$DS$1003,$EX120))),"S3",IF(NOT(EXACT(INDEX($DR$5:$DR$1003,$EX119),INDEX($DR$5:$DR$1003,$EX120))),"S1 Count Change","S1")))),"")</f>
        <v/>
      </c>
      <c r="FT120">
        <f>IF($EY120="row",INDEX($ES$5:$ES$1003,$EX120),"")</f>
        <v/>
      </c>
      <c r="FU120">
        <f>IF($EY120="row",INDEX($EO$5:$EO$1003,$EX120),0)</f>
        <v/>
      </c>
      <c r="FV120">
        <f>IF($FS120="S1 Count Change",1,0)</f>
        <v/>
      </c>
    </row>
    <row r="121">
      <c r="Y121">
        <f>IF(Y31="",0,IFERROR(INDEX($W$5:$W$86,MATCH(Y31,$V$5:$V$86,0)),0))</f>
        <v/>
      </c>
      <c r="Z121">
        <f>IF(Z31="",0,IFERROR(INDEX($W$5:$W$86,MATCH(Z31,$V$5:$V$86,0)),0))</f>
        <v/>
      </c>
      <c r="AA121">
        <f>IF(AA31="",0,IFERROR(INDEX($W$5:$W$86,MATCH(AA31,$V$5:$V$86,0)),0))</f>
        <v/>
      </c>
      <c r="AB121">
        <f>IF(AB31="",0,IFERROR(INDEX($W$5:$W$86,MATCH(AB31,$V$5:$V$86,0)),0))</f>
        <v/>
      </c>
      <c r="AC121">
        <f>IF(AC31="",0,IFERROR(INDEX($W$5:$W$86,MATCH(AC31,$V$5:$V$86,0)),0))</f>
        <v/>
      </c>
      <c r="AD121">
        <f>IF(AD31="",0,IFERROR(INDEX($W$5:$W$86,MATCH(AD31,$V$5:$V$86,0)),0))</f>
        <v/>
      </c>
      <c r="AE121">
        <f>IF(AE31="",0,IFERROR(INDEX($W$5:$W$86,MATCH(AE31,$V$5:$V$86,0)),0))</f>
        <v/>
      </c>
      <c r="AF121">
        <f>IF(AF31="",0,IFERROR(INDEX($W$5:$W$86,MATCH(AF31,$V$5:$V$86,0)),0))</f>
        <v/>
      </c>
      <c r="AG121">
        <f>IF(AG31="",0,IFERROR(INDEX($W$5:$W$86,MATCH(AG31,$V$5:$V$86,0)),0))</f>
        <v/>
      </c>
      <c r="AH121">
        <f>IF(AH31="",0,IFERROR(INDEX($W$5:$W$86,MATCH(AH31,$V$5:$V$86,0)),0))</f>
        <v/>
      </c>
      <c r="AI121">
        <f>IF(AI31="",0,IFERROR(INDEX($W$5:$W$86,MATCH(AI31,$V$5:$V$86,0)),0))</f>
        <v/>
      </c>
      <c r="AJ121">
        <f>IF(AJ31="",0,IFERROR(INDEX($W$5:$W$86,MATCH(AJ31,$V$5:$V$86,0)),0))</f>
        <v/>
      </c>
      <c r="AK121">
        <f>IF(AK31="",0,IFERROR(INDEX($W$5:$W$86,MATCH(AK31,$V$5:$V$86,0)),0))</f>
        <v/>
      </c>
      <c r="AL121">
        <f>IF(AL31="",0,IFERROR(INDEX($W$5:$W$86,MATCH(AL31,$V$5:$V$86,0)),0))</f>
        <v/>
      </c>
      <c r="AM121">
        <f>IF(AM31="",0,IFERROR(INDEX($W$5:$W$86,MATCH(AM31,$V$5:$V$86,0)),0))</f>
        <v/>
      </c>
      <c r="AN121">
        <f>IF(AN31="",0,IFERROR(INDEX($W$5:$W$86,MATCH(AN31,$V$5:$V$86,0)),0))</f>
        <v/>
      </c>
      <c r="AO121">
        <f>IF(AO31="",0,IFERROR(INDEX($W$5:$W$86,MATCH(AO31,$V$5:$V$86,0)),0))</f>
        <v/>
      </c>
      <c r="AP121">
        <f>IF(AP31="",0,IFERROR(INDEX($W$5:$W$86,MATCH(AP31,$V$5:$V$86,0)),0))</f>
        <v/>
      </c>
      <c r="AQ121">
        <f>IF(AQ31="",0,IFERROR(INDEX($W$5:$W$86,MATCH(AQ31,$V$5:$V$86,0)),0))</f>
        <v/>
      </c>
      <c r="AR121">
        <f>IF(AR31="",0,IFERROR(INDEX($W$5:$W$86,MATCH(AR31,$V$5:$V$86,0)),0))</f>
        <v/>
      </c>
      <c r="AS121">
        <f>IF(AS31="",0,IFERROR(INDEX($W$5:$W$86,MATCH(AS31,$V$5:$V$86,0)),0))</f>
        <v/>
      </c>
      <c r="AT121">
        <f>IF(AT31="",0,IFERROR(INDEX($W$5:$W$86,MATCH(AT31,$V$5:$V$86,0)),0))</f>
        <v/>
      </c>
      <c r="AU121">
        <f>IF(AU31="",0,IFERROR(INDEX($W$5:$W$86,MATCH(AU31,$V$5:$V$86,0)),0))</f>
        <v/>
      </c>
      <c r="AV121">
        <f>IF(AV31="",0,IFERROR(INDEX($W$5:$W$86,MATCH(AV31,$V$5:$V$86,0)),0))</f>
        <v/>
      </c>
      <c r="AW121">
        <f>IF(AW31="",0,IFERROR(INDEX($W$5:$W$86,MATCH(AW31,$V$5:$V$86,0)),0))</f>
        <v/>
      </c>
      <c r="AX121">
        <f>IF(AX31="",0,IFERROR(INDEX($W$5:$W$86,MATCH(AX31,$V$5:$V$86,0)),0))</f>
        <v/>
      </c>
      <c r="AY121">
        <f>IF(AY31="",0,IFERROR(INDEX($W$5:$W$86,MATCH(AY31,$V$5:$V$86,0)),0))</f>
        <v/>
      </c>
      <c r="AZ121">
        <f>IF(AZ31="",0,IFERROR(INDEX($W$5:$W$86,MATCH(AZ31,$V$5:$V$86,0)),0))</f>
        <v/>
      </c>
      <c r="BA121">
        <f>IF(BA31="",0,IFERROR(INDEX($W$5:$W$86,MATCH(BA31,$V$5:$V$86,0)),0))</f>
        <v/>
      </c>
      <c r="BB121">
        <f>IF(BB31="",0,IFERROR(INDEX($W$5:$W$86,MATCH(BB31,$V$5:$V$86,0)),0))</f>
        <v/>
      </c>
      <c r="BC121">
        <f>IF(BC31="",0,IFERROR(INDEX($W$5:$W$86,MATCH(BC31,$V$5:$V$86,0)),0))</f>
        <v/>
      </c>
      <c r="BD121">
        <f>IF(BD31="",0,IFERROR(INDEX($W$5:$W$86,MATCH(BD31,$V$5:$V$86,0)),0))</f>
        <v/>
      </c>
      <c r="BE121">
        <f>IF(BE31="",0,IFERROR(INDEX($W$5:$W$86,MATCH(BE31,$V$5:$V$86,0)),0))</f>
        <v/>
      </c>
      <c r="BF121">
        <f>IF(BF31="",0,IFERROR(INDEX($W$5:$W$86,MATCH(BF31,$V$5:$V$86,0)),0))</f>
        <v/>
      </c>
      <c r="BG121">
        <f>IF(BG31="",0,IFERROR(INDEX($W$5:$W$86,MATCH(BG31,$V$5:$V$86,0)),0))</f>
        <v/>
      </c>
      <c r="BH121">
        <f>IF(BH31="",0,IFERROR(INDEX($W$5:$W$86,MATCH(BH31,$V$5:$V$86,0)),0))</f>
        <v/>
      </c>
      <c r="BI121">
        <f>IF(BI31="",0,IFERROR(INDEX($W$5:$W$86,MATCH(BI31,$V$5:$V$86,0)),0))</f>
        <v/>
      </c>
      <c r="BJ121">
        <f>IF(BJ31="",0,IFERROR(INDEX($W$5:$W$86,MATCH(BJ31,$V$5:$V$86,0)),0))</f>
        <v/>
      </c>
      <c r="BK121">
        <f>IF(BK31="",0,IFERROR(INDEX($W$5:$W$86,MATCH(BK31,$V$5:$V$86,0)),0))</f>
        <v/>
      </c>
      <c r="BL121">
        <f>IF(BL31="",0,IFERROR(INDEX($W$5:$W$86,MATCH(BL31,$V$5:$V$86,0)),0))</f>
        <v/>
      </c>
      <c r="BM121">
        <f>IF(BM31="",0,IFERROR(INDEX($W$5:$W$86,MATCH(BM31,$V$5:$V$86,0)),0))</f>
        <v/>
      </c>
      <c r="BN121">
        <f>IF(BN31="",0,IFERROR(INDEX($W$5:$W$86,MATCH(BN31,$V$5:$V$86,0)),0))</f>
        <v/>
      </c>
      <c r="BO121">
        <f>IF(BO31="",0,IFERROR(INDEX($W$5:$W$86,MATCH(BO31,$V$5:$V$86,0)),0))</f>
        <v/>
      </c>
      <c r="BP121">
        <f>IF(BP31="",0,IFERROR(INDEX($W$5:$W$86,MATCH(BP31,$V$5:$V$86,0)),0))</f>
        <v/>
      </c>
      <c r="BQ121">
        <f>IF(BQ31="",0,IFERROR(INDEX($W$5:$W$86,MATCH(BQ31,$V$5:$V$86,0)),0))</f>
        <v/>
      </c>
      <c r="BR121">
        <f>IF(BR31="",0,IFERROR(INDEX($W$5:$W$86,MATCH(BR31,$V$5:$V$86,0)),0))</f>
        <v/>
      </c>
      <c r="BS121">
        <f>IF(BS31="",0,IFERROR(INDEX($W$5:$W$86,MATCH(BS31,$V$5:$V$86,0)),0))</f>
        <v/>
      </c>
      <c r="BT121">
        <f>IF(BT31="",0,IFERROR(INDEX($W$5:$W$86,MATCH(BT31,$V$5:$V$86,0)),0))</f>
        <v/>
      </c>
      <c r="BU121">
        <f>IF(BU31="",0,IFERROR(INDEX($W$5:$W$86,MATCH(BU31,$V$5:$V$86,0)),0))</f>
        <v/>
      </c>
      <c r="BV121">
        <f>IF(BV31="",0,IFERROR(INDEX($W$5:$W$86,MATCH(BV31,$V$5:$V$86,0)),0))</f>
        <v/>
      </c>
      <c r="BW121">
        <f>IF(BW31="",0,IFERROR(INDEX($W$5:$W$86,MATCH(BW31,$V$5:$V$86,0)),0))</f>
        <v/>
      </c>
      <c r="BX121">
        <f>IF(BX31="",0,IFERROR(INDEX($W$5:$W$86,MATCH(BX31,$V$5:$V$86,0)),0))</f>
        <v/>
      </c>
      <c r="BY121">
        <f>IF(BY31="",0,IFERROR(INDEX($W$5:$W$86,MATCH(BY31,$V$5:$V$86,0)),0))</f>
        <v/>
      </c>
      <c r="BZ121">
        <f>IF(BZ31="",0,IFERROR(INDEX($W$5:$W$86,MATCH(BZ31,$V$5:$V$86,0)),0))</f>
        <v/>
      </c>
      <c r="CA121">
        <f>IF(CA31="",0,IFERROR(INDEX($W$5:$W$86,MATCH(CA31,$V$5:$V$86,0)),0))</f>
        <v/>
      </c>
      <c r="CB121">
        <f>IF(CB31="",0,IFERROR(INDEX($W$5:$W$86,MATCH(CB31,$V$5:$V$86,0)),0))</f>
        <v/>
      </c>
      <c r="CC121">
        <f>IF(CC31="",0,IFERROR(INDEX($W$5:$W$86,MATCH(CC31,$V$5:$V$86,0)),0))</f>
        <v/>
      </c>
      <c r="CD121">
        <f>IF(CD31="",0,IFERROR(INDEX($W$5:$W$86,MATCH(CD31,$V$5:$V$86,0)),0))</f>
        <v/>
      </c>
      <c r="CE121">
        <f>IF(CE31="",0,IFERROR(INDEX($W$5:$W$86,MATCH(CE31,$V$5:$V$86,0)),0))</f>
        <v/>
      </c>
      <c r="CF121">
        <f>IF(CF31="",0,IFERROR(INDEX($W$5:$W$86,MATCH(CF31,$V$5:$V$86,0)),0))</f>
        <v/>
      </c>
      <c r="DA121" t="n">
        <v>117</v>
      </c>
      <c r="DB121">
        <f>IF($B$37=0,"",IFERROR(TRIM(SUBSTITUTE(SUBSTITUTE(SUBSTITUTE(SUBSTITUTE(INDEX(PASTE_ALL,117,$B$37)," "," "),CHAR(9)," "),CHAR(10)," "),CHAR(13)," ")),""))</f>
        <v/>
      </c>
      <c r="DC121">
        <f>IF(AND(117&gt;HEADER_ROW,UPPER(DB121)="LEGEND"),1,0)</f>
        <v/>
      </c>
      <c r="DE121" t="n">
        <v>117</v>
      </c>
      <c r="DF121">
        <f>HEADER_ROW+$DE121</f>
        <v/>
      </c>
      <c r="DG121">
        <f>IF(AND($DF121&lt;=1000,$DF121&lt;$B$8),1,0)</f>
        <v/>
      </c>
      <c r="DH121">
        <f>IF($DG121=1,IFERROR(INDEX($DB$5:$DB$1004,$DF121),""),"")</f>
        <v/>
      </c>
      <c r="DI121">
        <f>IF(AND($DG121=1,$DH121&lt;&gt;""),IFERROR(SUBSTITUTE(SUBSTITUTE(TRIM(SUBSTITUTE(SUBSTITUTE(SUBSTITUTE(SUBSTITUTE(IFERROR(INDEX(PASTE_ALL,$DF121,1)&amp;"","")&amp;"␟"&amp;IFERROR(INDEX(PASTE_ALL,$DF121,2)&amp;"","")&amp;"␟"&amp;IFERROR(INDEX(PASTE_ALL,$DF121,3)&amp;"","")&amp;"␟"&amp;IFERROR(INDEX(PASTE_ALL,$DF121,4)&amp;"","")&amp;"␟"&amp;IFERROR(INDEX(PASTE_ALL,$DF121,5)&amp;"","")&amp;"␟"&amp;IFERROR(INDEX(PASTE_ALL,$DF121,6)&amp;"","")&amp;"␟"&amp;IFERROR(INDEX(PASTE_ALL,$DF121,7)&amp;"","")&amp;"␟"&amp;IFERROR(INDEX(PASTE_ALL,$DF121,8)&amp;"","")&amp;"␟"&amp;IFERROR(INDEX(PASTE_ALL,$DF121,9)&amp;"","")&amp;"␟"&amp;IFERROR(INDEX(PASTE_ALL,$DF121,10)&amp;"","")&amp;"␟"&amp;IFERROR(INDEX(PASTE_ALL,$DF121,11)&amp;"","")&amp;"␟"&amp;IFERROR(INDEX(PASTE_ALL,$DF121,12)&amp;"","")&amp;"␟"&amp;IFERROR(INDEX(PASTE_ALL,$DF121,13)&amp;"","")&amp;"␟"&amp;IFERROR(INDEX(PASTE_ALL,$DF121,14)&amp;"","")&amp;"␟"&amp;IFERROR(INDEX(PASTE_ALL,$DF121,15)&amp;"","")&amp;"␟"&amp;IFERROR(INDEX(PASTE_ALL,$DF121,16)&amp;"","")&amp;"␟"&amp;IFERROR(INDEX(PASTE_ALL,$DF121,17)&amp;"","")&amp;"␟"&amp;IFERROR(INDEX(PASTE_ALL,$DF121,18)&amp;"","")&amp;"␟"&amp;IFERROR(INDEX(PASTE_ALL,$DF121,19)&amp;"","")&amp;"␟"&amp;IFERROR(INDEX(PASTE_ALL,$DF121,20)&amp;"","")&amp;"␟"&amp;IFERROR(INDEX(PASTE_ALL,$DF121,21)&amp;"","")&amp;"␟"&amp;IFERROR(INDEX(PASTE_ALL,$DF121,22)&amp;"","")&amp;"␟"&amp;IFERROR(INDEX(PASTE_ALL,$DF121,23)&amp;"","")&amp;"␟"&amp;IFERROR(INDEX(PASTE_ALL,$DF121,24)&amp;"","")&amp;"␟"&amp;IFERROR(INDEX(PASTE_ALL,$DF121,25)&amp;"","")&amp;"␟"&amp;IFERROR(INDEX(PASTE_ALL,$DF121,26)&amp;"","")&amp;"␟"&amp;IFERROR(INDEX(PASTE_ALL,$DF121,27)&amp;"","")&amp;"␟"&amp;IFERROR(INDEX(PASTE_ALL,$DF121,28)&amp;"","")&amp;"␟"&amp;IFERROR(INDEX(PASTE_ALL,$DF121,29)&amp;"","")&amp;"␟"&amp;IFERROR(INDEX(PASTE_ALL,$DF121,30)&amp;"","")&amp;"␟"&amp;IFERROR(INDEX(PASTE_ALL,$DF121,31)&amp;"","")&amp;"␟"&amp;IFERROR(INDEX(PASTE_ALL,$DF121,32)&amp;"","")&amp;"␟"&amp;IFERROR(INDEX(PASTE_ALL,$DF121,33)&amp;"","")&amp;"␟"&amp;IFERROR(INDEX(PASTE_ALL,$DF121,34)&amp;"","")&amp;"␟"&amp;IFERROR(INDEX(PASTE_ALL,$DF121,35)&amp;"","")&amp;"␟"&amp;IFERROR(INDEX(PASTE_ALL,$DF121,36)&amp;"","")&amp;"␟"&amp;IFERROR(INDEX(PASTE_ALL,$DF121,37)&amp;"","")&amp;"␟"&amp;IFERROR(INDEX(PASTE_ALL,$DF121,38)&amp;"","")&amp;"␟"&amp;IFERROR(INDEX(PASTE_ALL,$DF121,39)&amp;"","")&amp;"␟"&amp;IFERROR(INDEX(PASTE_ALL,$DF121,40)&amp;"","")&amp;"␟"&amp;IFERROR(INDEX(PASTE_ALL,$DF121,41)&amp;"","")&amp;"␟"&amp;IFERROR(INDEX(PASTE_ALL,$DF121,42)&amp;"","")&amp;"␟"&amp;IFERROR(INDEX(PASTE_ALL,$DF121,43)&amp;"","")&amp;"␟"&amp;IFERROR(INDEX(PASTE_ALL,$DF121,44)&amp;"","")&amp;"␟"&amp;IFERROR(INDEX(PASTE_ALL,$DF121,45)&amp;"","")&amp;"␟"&amp;IFERROR(INDEX(PASTE_ALL,$DF121,46)&amp;"","")&amp;"␟"&amp;IFERROR(INDEX(PASTE_ALL,$DF121,47)&amp;"","")&amp;"␟"&amp;IFERROR(INDEX(PASTE_ALL,$DF121,48)&amp;"","")&amp;"␟"&amp;IFERROR(INDEX(PASTE_ALL,$DF121,49)&amp;"","")&amp;"␟"&amp;IFERROR(INDEX(PASTE_ALL,$DF121,50)&amp;"","")&amp;"␟"&amp;IFERROR(INDEX(PASTE_ALL,$DF121,51)&amp;"","")&amp;"␟"&amp;IFERROR(INDEX(PASTE_ALL,$DF121,52)&amp;"","")&amp;"␟"&amp;IFERROR(INDEX(PASTE_ALL,$DF121,53)&amp;"","")&amp;"␟"&amp;IFERROR(INDEX(PASTE_ALL,$DF121,54)&amp;"","")&amp;"␟"&amp;IFERROR(INDEX(PASTE_ALL,$DF121,55)&amp;"","")&amp;"␟"&amp;IFERROR(INDEX(PASTE_ALL,$DF121,56)&amp;"","")&amp;"␟"&amp;IFERROR(INDEX(PASTE_ALL,$DF121,57)&amp;"","")&amp;"␟"&amp;IFERROR(INDEX(PASTE_ALL,$DF121,58)&amp;"","")&amp;"␟"&amp;IFERROR(INDEX(PASTE_ALL,$DF121,59)&amp;"","")&amp;"␟"&amp;IFERROR(INDEX(PASTE_ALL,$DF121,60)&amp;"","")," "," "),CHAR(9)," "),CHAR(10)," "),CHAR(13)," "))," ␟","␟"),"␟ ","␟"),"#"&amp;$DE121),"")</f>
        <v/>
      </c>
      <c r="DJ121">
        <f>IF($DI121="",0,IF(SUMPRODUCT(--EXACT($DI$4:DI120,$DI121))&gt;0,1,0))</f>
        <v/>
      </c>
      <c r="DK121">
        <f>IF(AND($DI121&lt;&gt;"",$DJ121=0),1,0)</f>
        <v/>
      </c>
      <c r="DL121">
        <f>DL120+$DK121</f>
        <v/>
      </c>
      <c r="DM121">
        <f>IF(AND($DK121=1,$DL121&lt;=600),1,0)</f>
        <v/>
      </c>
      <c r="DN121">
        <f>IF($DM121=0,"",IF($L$6=0,"",IFERROR(IF(ISNUMBER(INDEX(PASTE_ALL,$DF121,$L$6)),INDEX(PASTE_ALL,$DF121,$L$6),TRIM(SUBSTITUTE(SUBSTITUTE(SUBSTITUTE(SUBSTITUTE(INDEX(PASTE_ALL,$DF121,$L$6)," "," "),CHAR(9)," "),CHAR(10)," "),CHAR(13)," "))),"")))</f>
        <v/>
      </c>
      <c r="DO121">
        <f>IF($DM121=0,"",IF($L$7=0,"",IFERROR(IF(ISNUMBER(INDEX(PASTE_ALL,$DF121,$L$7)),INDEX(PASTE_ALL,$DF121,$L$7),TRIM(SUBSTITUTE(SUBSTITUTE(SUBSTITUTE(SUBSTITUTE(INDEX(PASTE_ALL,$DF121,$L$7)," "," "),CHAR(9)," "),CHAR(10)," "),CHAR(13)," "))),"")))</f>
        <v/>
      </c>
      <c r="DP121">
        <f>IF($DM121=0,"",IF($L$8=0,"",IFERROR(IF(ISNUMBER(INDEX(PASTE_ALL,$DF121,$L$8)),INDEX(PASTE_ALL,$DF121,$L$8),TRIM(SUBSTITUTE(SUBSTITUTE(SUBSTITUTE(SUBSTITUTE(INDEX(PASTE_ALL,$DF121,$L$8)," "," "),CHAR(9)," "),CHAR(10)," "),CHAR(13)," "))),"")))</f>
        <v/>
      </c>
      <c r="DQ121">
        <f>IF($DM121=0,"",IF($L$9=0,"",IFERROR(IF(ISNUMBER(INDEX(PASTE_ALL,$DF121,$L$9)),INDEX(PASTE_ALL,$DF121,$L$9),TRIM(SUBSTITUTE(SUBSTITUTE(SUBSTITUTE(SUBSTITUTE(INDEX(PASTE_ALL,$DF121,$L$9)," "," "),CHAR(9)," "),CHAR(10)," "),CHAR(13)," "))),"")))</f>
        <v/>
      </c>
      <c r="DR121">
        <f>IF($DM121=0,"",IF($L$10=0,"",IFERROR(IF(ISNUMBER(INDEX(PASTE_ALL,$DF121,$L$10)),INDEX(PASTE_ALL,$DF121,$L$10),TRIM(SUBSTITUTE(SUBSTITUTE(SUBSTITUTE(SUBSTITUTE(INDEX(PASTE_ALL,$DF121,$L$10)," "," "),CHAR(9)," "),CHAR(10)," "),CHAR(13)," "))),"")))</f>
        <v/>
      </c>
      <c r="DS121">
        <f>IF($DM121=0,"",IF($L$11=0,"",IFERROR(IF(ISNUMBER(INDEX(PASTE_ALL,$DF121,$L$11)),INDEX(PASTE_ALL,$DF121,$L$11),TRIM(SUBSTITUTE(SUBSTITUTE(SUBSTITUTE(SUBSTITUTE(INDEX(PASTE_ALL,$DF121,$L$11)," "," "),CHAR(9)," "),CHAR(10)," "),CHAR(13)," "))),"")))</f>
        <v/>
      </c>
      <c r="DT121">
        <f>IF($DM121=0,"",IF($L$12=0,"",IFERROR(IF(ISNUMBER(INDEX(PASTE_ALL,$DF121,$L$12)),INDEX(PASTE_ALL,$DF121,$L$12),TRIM(SUBSTITUTE(SUBSTITUTE(SUBSTITUTE(SUBSTITUTE(INDEX(PASTE_ALL,$DF121,$L$12)," "," "),CHAR(9)," "),CHAR(10)," "),CHAR(13)," "))),"")))</f>
        <v/>
      </c>
      <c r="DU121">
        <f>IF($DM121=0,"",IF($L$13=0,"",IFERROR(IF(ISNUMBER(INDEX(PASTE_ALL,$DF121,$L$13)),INDEX(PASTE_ALL,$DF121,$L$13),TRIM(SUBSTITUTE(SUBSTITUTE(SUBSTITUTE(SUBSTITUTE(INDEX(PASTE_ALL,$DF121,$L$13)," "," "),CHAR(9)," "),CHAR(10)," "),CHAR(13)," "))),"")))</f>
        <v/>
      </c>
      <c r="DV121">
        <f>IF($DM121=0,"",IF($L$14=0,"",IFERROR(IF(ISNUMBER(INDEX(PASTE_ALL,$DF121,$L$14)),INDEX(PASTE_ALL,$DF121,$L$14),TRIM(SUBSTITUTE(SUBSTITUTE(SUBSTITUTE(SUBSTITUTE(INDEX(PASTE_ALL,$DF121,$L$14)," "," "),CHAR(9)," "),CHAR(10)," "),CHAR(13)," "))),"")))</f>
        <v/>
      </c>
      <c r="DW121">
        <f>IF($DM121=0,"",IF($L$15=0,"",IFERROR(IF(ISNUMBER(INDEX(PASTE_ALL,$DF121,$L$15)),INDEX(PASTE_ALL,$DF121,$L$15),IF(SUMPRODUCT(--ISNUMBER(FIND({"A","B","C","D","E","F","G","H","I","J","K","L","M","N","O","P","Q","R","S","T","U","V","W","X","Y","Z","0","1","2","3","4","5","6","7","8","9"},UPPER(TRIM(SUBSTITUTE(SUBSTITUTE(SUBSTITUTE(SUBSTITUTE(INDEX(PASTE_ALL,$DF121,$L$15)," "," "),CHAR(9)," "),CHAR(10)," "),CHAR(13)," "))))))&gt;0,TRIM(SUBSTITUTE(SUBSTITUTE(SUBSTITUTE(SUBSTITUTE(INDEX(PASTE_ALL,$DF121,$L$15)," "," "),CHAR(9)," "),CHAR(10)," "),CHAR(13)," ")),"")),"")))</f>
        <v/>
      </c>
      <c r="DX121">
        <f>IF($DM121=0,"",IF($L$16=0,"",IFERROR(IF(ISNUMBER(INDEX(PASTE_ALL,$DF121,$L$16)),INDEX(PASTE_ALL,$DF121,$L$16),SUBSTITUTE(SUBSTITUTE(TRIM(SUBSTITUTE(SUBSTITUTE(SUBSTITUTE(SUBSTITUTE(INDEX(PASTE_ALL,$DF121,$L$16)," "," "),CHAR(9)," "),CHAR(10)," "),CHAR(13)," ")),",",""),"%","")),"")))</f>
        <v/>
      </c>
      <c r="DY121">
        <f>IF($DM121=0,"",IFERROR(IF(ISNUMBER($DX121),$DX121,IF($DX121="","",IF(TRIM($DX121)="",0,IF(AND(AND(SUBSTITUTE(SUBSTITUTE(SUBSTITUTE(SUBSTITUTE(SUBSTITUTE(SUBSTITUTE(SUBSTITUTE(SUBSTITUTE(SUBSTITUTE(SUBSTITUTE(SUBSTITUTE(SUBSTITUTE(SUBSTITUTE(SUBSTITUTE(UPPER(TRIM($DX121)),"0",""),"1",""),"2",""),"3",""),"4",""),"5",""),"6",""),"7",""),"8",""),"9",""),".",""),"+",""),"-",""),"E","")="",LEN(SUBSTITUTE(SUBSTITUTE(MID(UPPER(TRIM($DX121)),1+OR(LEFT(UPPER(TRIM($DX121)),1)="+",LEFT(UPPER(TRIM($DX121)),1)="-"),999),"E+","E"),"E-","E"))=LEN(SUBSTITUTE(SUBSTITUTE(SUBSTITUTE(SUBSTITUTE(MID(UPPER(TRIM($DX121)),1+OR(LEFT(UPPER(TRIM($DX121)),1)="+",LEFT(UPPER(TRIM($DX121)),1)="-"),999),"E+","E"),"E-","E"),"+",""),"-","")),LEN(UPPER(TRIM($DX121)))-LEN(SUBSTITUTE(UPPER(TRIM($DX121)),"E",""))&lt;2,LEN(UPPER(TRIM($DX121)))-LEN(SUBSTITUTE(UPPER(TRIM($DX121)),".",""))&lt;2,IFERROR(FIND(".",UPPER(TRIM($DX121))),0)&lt;IFERROR(FIND("E",UPPER(TRIM($DX121))),999)),ISNUMBER(VALUE(TRIM($DX121)))),VALUE(TRIM($DX121)),"")))),""))</f>
        <v/>
      </c>
      <c r="DZ121">
        <f>IF($DM121=0,"",IF($L$17=0,"",IFERROR(IF(ISNUMBER(INDEX(PASTE_ALL,$DF121,$L$17)),INDEX(PASTE_ALL,$DF121,$L$17),SUBSTITUTE(SUBSTITUTE(TRIM(SUBSTITUTE(SUBSTITUTE(SUBSTITUTE(SUBSTITUTE(INDEX(PASTE_ALL,$DF121,$L$17)," "," "),CHAR(9)," "),CHAR(10)," "),CHAR(13)," ")),",",""),"%","")),"")))</f>
        <v/>
      </c>
      <c r="EA121">
        <f>IF($DM121=0,"",IFERROR(IF(ISNUMBER($DZ121),$DZ121,IF($DZ121="","",IF(TRIM($DZ121)="",0,IF(AND(AND(SUBSTITUTE(SUBSTITUTE(SUBSTITUTE(SUBSTITUTE(SUBSTITUTE(SUBSTITUTE(SUBSTITUTE(SUBSTITUTE(SUBSTITUTE(SUBSTITUTE(SUBSTITUTE(SUBSTITUTE(SUBSTITUTE(SUBSTITUTE(UPPER(TRIM($DZ121)),"0",""),"1",""),"2",""),"3",""),"4",""),"5",""),"6",""),"7",""),"8",""),"9",""),".",""),"+",""),"-",""),"E","")="",LEN(SUBSTITUTE(SUBSTITUTE(MID(UPPER(TRIM($DZ121)),1+OR(LEFT(UPPER(TRIM($DZ121)),1)="+",LEFT(UPPER(TRIM($DZ121)),1)="-"),999),"E+","E"),"E-","E"))=LEN(SUBSTITUTE(SUBSTITUTE(SUBSTITUTE(SUBSTITUTE(MID(UPPER(TRIM($DZ121)),1+OR(LEFT(UPPER(TRIM($DZ121)),1)="+",LEFT(UPPER(TRIM($DZ121)),1)="-"),999),"E+","E"),"E-","E"),"+",""),"-","")),LEN(UPPER(TRIM($DZ121)))-LEN(SUBSTITUTE(UPPER(TRIM($DZ121)),"E",""))&lt;2,LEN(UPPER(TRIM($DZ121)))-LEN(SUBSTITUTE(UPPER(TRIM($DZ121)),".",""))&lt;2,IFERROR(FIND(".",UPPER(TRIM($DZ121))),0)&lt;IFERROR(FIND("E",UPPER(TRIM($DZ121))),999)),ISNUMBER(VALUE(TRIM($DZ121)))),VALUE(TRIM($DZ121)),"")))),""))</f>
        <v/>
      </c>
      <c r="EB121">
        <f>IF($DM121=0,"",IF($L$18=0,"",IFERROR(IF(UPPER(TRIM(SUBSTITUTE(SUBSTITUTE(SUBSTITUTE(SUBSTITUTE(INDEX(PASTE_ALL,$DF121,$L$18)," "," "),CHAR(9)," "),CHAR(10)," "),CHAR(13)," ")))="READY","Ready",IF(UPPER(TRIM(SUBSTITUTE(SUBSTITUTE(SUBSTITUTE(SUBSTITUTE(INDEX(PASTE_ALL,$DF121,$L$18)," "," "),CHAR(9)," "),CHAR(10)," "),CHAR(13)," ")))="PM","PM",IF(OR(UPPER(TRIM(SUBSTITUTE(SUBSTITUTE(SUBSTITUTE(SUBSTITUTE(INDEX(PASTE_ALL,$DF121,$L$18)," "," "),CHAR(9)," "),CHAR(10)," "),CHAR(13)," ")))="OT",UPPER(TRIM(SUBSTITUTE(SUBSTITUTE(SUBSTITUTE(SUBSTITUTE(INDEX(PASTE_ALL,$DF121,$L$18)," "," "),CHAR(9)," "),CHAR(10)," "),CHAR(13)," ")))="OVERTIME",UPPER(TRIM(SUBSTITUTE(SUBSTITUTE(SUBSTITUTE(SUBSTITUTE(INDEX(PASTE_ALL,$DF121,$L$18)," "," "),CHAR(9)," "),CHAR(10)," "),CHAR(13)," ")))="TRIAL"),"OT",TRIM(SUBSTITUTE(SUBSTITUTE(SUBSTITUTE(SUBSTITUTE(INDEX(PASTE_ALL,$DF121,$L$18)," "," "),CHAR(9)," "),CHAR(10)," "),CHAR(13)," "))))),"")))</f>
        <v/>
      </c>
      <c r="EC121">
        <f>IF($DM121=0,"",IF($L$19=0,"",IFERROR(IF(ISNUMBER(INDEX(PASTE_ALL,$DF121,$L$19)),INDEX(PASTE_ALL,$DF121,$L$19),TRIM(SUBSTITUTE(SUBSTITUTE(SUBSTITUTE(SUBSTITUTE(INDEX(PASTE_ALL,$DF121,$L$19)," "," "),CHAR(9)," "),CHAR(10)," "),CHAR(13)," "))),"")))</f>
        <v/>
      </c>
      <c r="ED121">
        <f>IF($DM121=0,"",MATCH(1,INDEX(EXACT($DH$5:DH121,$DH121)*$DM$5:DM121,0),0))</f>
        <v/>
      </c>
      <c r="EE121">
        <f>IF($DM121=0,0,IF($ED121=$DE121,1,0))</f>
        <v/>
      </c>
      <c r="EF121">
        <f>EF120+$EE121</f>
        <v/>
      </c>
      <c r="EG121">
        <f>IF($DM121=0,"",INDEX($EF$5:$EF$1003,$ED121))</f>
        <v/>
      </c>
      <c r="EH121">
        <f>IF($DM121=0,"",IF($DO121&lt;&gt;"","",IFERROR(LOOKUP(2,1/(($EG$4:EG120=$EG121)*($DO$4:DO120&lt;&gt;"")),$DO$4:DO120),"")))</f>
        <v/>
      </c>
      <c r="EI121">
        <f>IF($DM121=0,"",IF($DO121&lt;&gt;"",$DO121,$EH121))</f>
        <v/>
      </c>
      <c r="EJ121">
        <f>IF($DM121=0,"",IF($EI121="",0,IF(OR(ISNUMBER($EI121),AND(AND(SUBSTITUTE(SUBSTITUTE(SUBSTITUTE(SUBSTITUTE(SUBSTITUTE(SUBSTITUTE(SUBSTITUTE(SUBSTITUTE(SUBSTITUTE(SUBSTITUTE(SUBSTITUTE(SUBSTITUTE(SUBSTITUTE(SUBSTITUTE(UPPER($EI121),"0",""),"1",""),"2",""),"3",""),"4",""),"5",""),"6",""),"7",""),"8",""),"9",""),".",""),"+",""),"-",""),"E","")="",LEN(SUBSTITUTE(SUBSTITUTE(MID(UPPER($EI121),1+OR(LEFT(UPPER($EI121),1)="+",LEFT(UPPER($EI121),1)="-"),999),"E+","E"),"E-","E"))=LEN(SUBSTITUTE(SUBSTITUTE(SUBSTITUTE(SUBSTITUTE(MID(UPPER($EI121),1+OR(LEFT(UPPER($EI121),1)="+",LEFT(UPPER($EI121),1)="-"),999),"E+","E"),"E-","E"),"+",""),"-","")),LEN(UPPER($EI121))-LEN(SUBSTITUTE(UPPER($EI121),"E",""))&lt;2,LEN(UPPER($EI121))-LEN(SUBSTITUTE(UPPER($EI121),".",""))&lt;2,IFERROR(FIND(".",UPPER($EI121)),0)&lt;IFERROR(FIND("E",UPPER($EI121)),999)),ISNUMBER(VALUE($EI121)))),1,2)))</f>
        <v/>
      </c>
      <c r="EK121">
        <f>IF($DM121=0,"",IF($EJ121=1,IF(ISNUMBER($EI121),$EI121,VALUE($EI121)),IF($EJ121=2,$DE121,0)))</f>
        <v/>
      </c>
      <c r="EL121">
        <f>IF($DM121=0,"",COUNTIF($EG$5:$EG$1003,"&lt;"&amp;$EG121)+SUMPRODUCT(($EG$5:$EG$1003=$EG121)*(($EJ$5:$EJ$1003&lt;$EJ121)+($EJ$5:$EJ$1003=$EJ121)*(($EK$5:$EK$1003&lt;$EK121)+($EK$5:$EK$1003=$EK121)*($DE$5:$DE$1003&lt;$DE121))))+1)</f>
        <v/>
      </c>
      <c r="EM121">
        <f>IF($DM121=0,"",$EL121+$EG121-1)</f>
        <v/>
      </c>
      <c r="EN121">
        <f>IF($DM121=0,0,IFERROR(MATCH(1,INDEX(--(TRIM(SUBSTITUTE(SUBSTITUTE(SUBSTITUTE(SUBSTITUTE(LINES_NAME&amp;""," "," "),CHAR(9)," "),CHAR(10)," "),CHAR(13)," "))=$DH121),0),0),0))</f>
        <v/>
      </c>
      <c r="EO121">
        <f>IF($EN121=0,0,IF(OR(UPPER(TRIM(INDEX(LINES_SCHEDULED,$EN121)&amp;""))="YES",UPPER(TRIM(INDEX(LINES_SCHEDULED,$EN121)&amp;""))="Y",UPPER(TRIM(INDEX(LINES_SCHEDULED,$EN121)&amp;""))="X"),1,0))</f>
        <v/>
      </c>
      <c r="EP121">
        <f>IF($DM121=0,"",IF(COUNTIFS($EG$5:$EG$1003,$EG121,$EB$5:$EB$1003,"Ready")&gt;0,"READY",IF(COUNTIFS($EG$5:$EG$1003,$EG121,$EB$5:$EB$1003,"PM")&gt;0,"PM",IF(COUNTIFS($EG$5:$EG$1003,$EG121,$EB$5:$EB$1003,"OT")&gt;0,"OT",""))))</f>
        <v/>
      </c>
      <c r="EQ121">
        <f>IF($EN121=0,"",UPPER(TRIM(INDEX(LINES_STATUS,$EN121)&amp;"")))</f>
        <v/>
      </c>
      <c r="ER121">
        <f>IF($DM121=0,"",IF(OR($EQ121="READY",$EQ121="PM",$EQ121="OT"),$EQ121,$EP121))</f>
        <v/>
      </c>
      <c r="ES121">
        <f>IF($DM121=0,"",IF(AND($DV121&lt;&gt;"",UPPER($DV121)&lt;&gt;"N"),"allergen",IF(ISNUMBER(SEARCH("oil",$DQ121)),"oil",IF(OR(EXACT($DS121,"A662"),EXACT($DS121,"A624")),"bulk",""))))</f>
        <v/>
      </c>
      <c r="ET121">
        <f>IF($DM121=0,"",IF(OR($EA121="",$EA121=0),"",$EA121/100))</f>
        <v/>
      </c>
      <c r="EU121">
        <f>IF(OR($ET121="",$DY121=""),"",INT($DY121*(1-$ET121)+0.5))</f>
        <v/>
      </c>
      <c r="EW121" t="n">
        <v>117</v>
      </c>
      <c r="EX121">
        <f>IFERROR(MATCH($EW121,$EM$5:$EM$1003,0),0)</f>
        <v/>
      </c>
      <c r="EY121">
        <f>IF($EW121&gt;$B$12,"",IF($EX121&gt;0,"row","spacer"))</f>
        <v/>
      </c>
      <c r="EZ121">
        <f>IF(AND($EY121="row",$EY120&lt;&gt;"row"),1,0)</f>
        <v/>
      </c>
      <c r="FA121">
        <f>IF(AND($EY121="row",$EY122&lt;&gt;"row"),1,0)</f>
        <v/>
      </c>
      <c r="FB121">
        <f>IF($EZ121=1,IFERROR(IF(ISNUMBER(INDEX(PASTE_ALL,INDEX($DF$5:$DF$1003,$EX121),$B$37)),INDEX(PASTE_ALL,INDEX($DF$5:$DF$1003,$EX121),$B$37),INDEX($DH$5:$DH$1003,$EX121)),INDEX($DH$5:$DH$1003,$EX121)),"")</f>
        <v/>
      </c>
      <c r="FC121">
        <f>IF($EY121="row",INDEX($ER$5:$ER$1003,$EX121),"")</f>
        <v/>
      </c>
      <c r="FD121">
        <f>IF($EY121="row",INDEX($DN$5:$DN$1003,$EX121),"")</f>
        <v/>
      </c>
      <c r="FE121">
        <f>IF($EY121="row",INDEX($DO$5:$DO$1003,$EX121),"")</f>
        <v/>
      </c>
      <c r="FF121">
        <f>IF($EY121="row",INDEX($DP$5:$DP$1003,$EX121),"")</f>
        <v/>
      </c>
      <c r="FG121">
        <f>IF($EY121="row",INDEX($DQ$5:$DQ$1003,$EX121),"")</f>
        <v/>
      </c>
      <c r="FH121">
        <f>IF($EY121="row",INDEX($DR$5:$DR$1003,$EX121),"")</f>
        <v/>
      </c>
      <c r="FI121">
        <f>IF($EY121="row",INDEX($DS$5:$DS$1003,$EX121),"")</f>
        <v/>
      </c>
      <c r="FJ121">
        <f>IF($EY121="row",INDEX($DT$5:$DT$1003,$EX121),"")</f>
        <v/>
      </c>
      <c r="FK121">
        <f>IF($EY121="row",INDEX($DU$5:$DU$1003,$EX121),"")</f>
        <v/>
      </c>
      <c r="FL121">
        <f>IF($EY121="row",INDEX($DV$5:$DV$1003,$EX121),"")</f>
        <v/>
      </c>
      <c r="FM121">
        <f>IF($EY121="row",INDEX($DW$5:$DW$1003,$EX121),"")</f>
        <v/>
      </c>
      <c r="FN121">
        <f>IF($EY121="row",INDEX($DY$5:$DY$1003,$EX121),"")</f>
        <v/>
      </c>
      <c r="FO121">
        <f>IF($EY121="row",INDEX($EA$5:$EA$1003,$EX121),"")</f>
        <v/>
      </c>
      <c r="FP121">
        <f>IF($EY121="row",INDEX($EC$5:$EC$1003,$EX121),"")</f>
        <v/>
      </c>
      <c r="FQ121">
        <f>IF($EY121="row",INDEX($ET$5:$ET$1003,$EX121),"")</f>
        <v/>
      </c>
      <c r="FR121">
        <f>IF($EY121="row",INDEX($EU$5:$EU$1003,$EX121),"")</f>
        <v/>
      </c>
      <c r="FS121">
        <f>IF(AND($EY121="row",$EY120="row"),IF(OR(INDEX($DT$5:$DT$1003,$EX120)="",INDEX($DT$5:$DT$1003,$EX121)=""),"",IF(NOT(EXACT(INDEX($DT$5:$DT$1003,$EX120),INDEX($DT$5:$DT$1003,$EX121))),"S4",IF(NOT(EXACT(INDEX($DS$5:$DS$1003,$EX120),INDEX($DS$5:$DS$1003,$EX121))),"S3",IF(NOT(EXACT(INDEX($DR$5:$DR$1003,$EX120),INDEX($DR$5:$DR$1003,$EX121))),"S1 Count Change","S1")))),"")</f>
        <v/>
      </c>
      <c r="FT121">
        <f>IF($EY121="row",INDEX($ES$5:$ES$1003,$EX121),"")</f>
        <v/>
      </c>
      <c r="FU121">
        <f>IF($EY121="row",INDEX($EO$5:$EO$1003,$EX121),0)</f>
        <v/>
      </c>
      <c r="FV121">
        <f>IF($FS121="S1 Count Change",1,0)</f>
        <v/>
      </c>
    </row>
    <row r="122">
      <c r="Y122">
        <f>IF(Y32="",0,IFERROR(INDEX($W$5:$W$86,MATCH(Y32,$V$5:$V$86,0)),0))</f>
        <v/>
      </c>
      <c r="Z122">
        <f>IF(Z32="",0,IFERROR(INDEX($W$5:$W$86,MATCH(Z32,$V$5:$V$86,0)),0))</f>
        <v/>
      </c>
      <c r="AA122">
        <f>IF(AA32="",0,IFERROR(INDEX($W$5:$W$86,MATCH(AA32,$V$5:$V$86,0)),0))</f>
        <v/>
      </c>
      <c r="AB122">
        <f>IF(AB32="",0,IFERROR(INDEX($W$5:$W$86,MATCH(AB32,$V$5:$V$86,0)),0))</f>
        <v/>
      </c>
      <c r="AC122">
        <f>IF(AC32="",0,IFERROR(INDEX($W$5:$W$86,MATCH(AC32,$V$5:$V$86,0)),0))</f>
        <v/>
      </c>
      <c r="AD122">
        <f>IF(AD32="",0,IFERROR(INDEX($W$5:$W$86,MATCH(AD32,$V$5:$V$86,0)),0))</f>
        <v/>
      </c>
      <c r="AE122">
        <f>IF(AE32="",0,IFERROR(INDEX($W$5:$W$86,MATCH(AE32,$V$5:$V$86,0)),0))</f>
        <v/>
      </c>
      <c r="AF122">
        <f>IF(AF32="",0,IFERROR(INDEX($W$5:$W$86,MATCH(AF32,$V$5:$V$86,0)),0))</f>
        <v/>
      </c>
      <c r="AG122">
        <f>IF(AG32="",0,IFERROR(INDEX($W$5:$W$86,MATCH(AG32,$V$5:$V$86,0)),0))</f>
        <v/>
      </c>
      <c r="AH122">
        <f>IF(AH32="",0,IFERROR(INDEX($W$5:$W$86,MATCH(AH32,$V$5:$V$86,0)),0))</f>
        <v/>
      </c>
      <c r="AI122">
        <f>IF(AI32="",0,IFERROR(INDEX($W$5:$W$86,MATCH(AI32,$V$5:$V$86,0)),0))</f>
        <v/>
      </c>
      <c r="AJ122">
        <f>IF(AJ32="",0,IFERROR(INDEX($W$5:$W$86,MATCH(AJ32,$V$5:$V$86,0)),0))</f>
        <v/>
      </c>
      <c r="AK122">
        <f>IF(AK32="",0,IFERROR(INDEX($W$5:$W$86,MATCH(AK32,$V$5:$V$86,0)),0))</f>
        <v/>
      </c>
      <c r="AL122">
        <f>IF(AL32="",0,IFERROR(INDEX($W$5:$W$86,MATCH(AL32,$V$5:$V$86,0)),0))</f>
        <v/>
      </c>
      <c r="AM122">
        <f>IF(AM32="",0,IFERROR(INDEX($W$5:$W$86,MATCH(AM32,$V$5:$V$86,0)),0))</f>
        <v/>
      </c>
      <c r="AN122">
        <f>IF(AN32="",0,IFERROR(INDEX($W$5:$W$86,MATCH(AN32,$V$5:$V$86,0)),0))</f>
        <v/>
      </c>
      <c r="AO122">
        <f>IF(AO32="",0,IFERROR(INDEX($W$5:$W$86,MATCH(AO32,$V$5:$V$86,0)),0))</f>
        <v/>
      </c>
      <c r="AP122">
        <f>IF(AP32="",0,IFERROR(INDEX($W$5:$W$86,MATCH(AP32,$V$5:$V$86,0)),0))</f>
        <v/>
      </c>
      <c r="AQ122">
        <f>IF(AQ32="",0,IFERROR(INDEX($W$5:$W$86,MATCH(AQ32,$V$5:$V$86,0)),0))</f>
        <v/>
      </c>
      <c r="AR122">
        <f>IF(AR32="",0,IFERROR(INDEX($W$5:$W$86,MATCH(AR32,$V$5:$V$86,0)),0))</f>
        <v/>
      </c>
      <c r="AS122">
        <f>IF(AS32="",0,IFERROR(INDEX($W$5:$W$86,MATCH(AS32,$V$5:$V$86,0)),0))</f>
        <v/>
      </c>
      <c r="AT122">
        <f>IF(AT32="",0,IFERROR(INDEX($W$5:$W$86,MATCH(AT32,$V$5:$V$86,0)),0))</f>
        <v/>
      </c>
      <c r="AU122">
        <f>IF(AU32="",0,IFERROR(INDEX($W$5:$W$86,MATCH(AU32,$V$5:$V$86,0)),0))</f>
        <v/>
      </c>
      <c r="AV122">
        <f>IF(AV32="",0,IFERROR(INDEX($W$5:$W$86,MATCH(AV32,$V$5:$V$86,0)),0))</f>
        <v/>
      </c>
      <c r="AW122">
        <f>IF(AW32="",0,IFERROR(INDEX($W$5:$W$86,MATCH(AW32,$V$5:$V$86,0)),0))</f>
        <v/>
      </c>
      <c r="AX122">
        <f>IF(AX32="",0,IFERROR(INDEX($W$5:$W$86,MATCH(AX32,$V$5:$V$86,0)),0))</f>
        <v/>
      </c>
      <c r="AY122">
        <f>IF(AY32="",0,IFERROR(INDEX($W$5:$W$86,MATCH(AY32,$V$5:$V$86,0)),0))</f>
        <v/>
      </c>
      <c r="AZ122">
        <f>IF(AZ32="",0,IFERROR(INDEX($W$5:$W$86,MATCH(AZ32,$V$5:$V$86,0)),0))</f>
        <v/>
      </c>
      <c r="BA122">
        <f>IF(BA32="",0,IFERROR(INDEX($W$5:$W$86,MATCH(BA32,$V$5:$V$86,0)),0))</f>
        <v/>
      </c>
      <c r="BB122">
        <f>IF(BB32="",0,IFERROR(INDEX($W$5:$W$86,MATCH(BB32,$V$5:$V$86,0)),0))</f>
        <v/>
      </c>
      <c r="BC122">
        <f>IF(BC32="",0,IFERROR(INDEX($W$5:$W$86,MATCH(BC32,$V$5:$V$86,0)),0))</f>
        <v/>
      </c>
      <c r="BD122">
        <f>IF(BD32="",0,IFERROR(INDEX($W$5:$W$86,MATCH(BD32,$V$5:$V$86,0)),0))</f>
        <v/>
      </c>
      <c r="BE122">
        <f>IF(BE32="",0,IFERROR(INDEX($W$5:$W$86,MATCH(BE32,$V$5:$V$86,0)),0))</f>
        <v/>
      </c>
      <c r="BF122">
        <f>IF(BF32="",0,IFERROR(INDEX($W$5:$W$86,MATCH(BF32,$V$5:$V$86,0)),0))</f>
        <v/>
      </c>
      <c r="BG122">
        <f>IF(BG32="",0,IFERROR(INDEX($W$5:$W$86,MATCH(BG32,$V$5:$V$86,0)),0))</f>
        <v/>
      </c>
      <c r="BH122">
        <f>IF(BH32="",0,IFERROR(INDEX($W$5:$W$86,MATCH(BH32,$V$5:$V$86,0)),0))</f>
        <v/>
      </c>
      <c r="BI122">
        <f>IF(BI32="",0,IFERROR(INDEX($W$5:$W$86,MATCH(BI32,$V$5:$V$86,0)),0))</f>
        <v/>
      </c>
      <c r="BJ122">
        <f>IF(BJ32="",0,IFERROR(INDEX($W$5:$W$86,MATCH(BJ32,$V$5:$V$86,0)),0))</f>
        <v/>
      </c>
      <c r="BK122">
        <f>IF(BK32="",0,IFERROR(INDEX($W$5:$W$86,MATCH(BK32,$V$5:$V$86,0)),0))</f>
        <v/>
      </c>
      <c r="BL122">
        <f>IF(BL32="",0,IFERROR(INDEX($W$5:$W$86,MATCH(BL32,$V$5:$V$86,0)),0))</f>
        <v/>
      </c>
      <c r="BM122">
        <f>IF(BM32="",0,IFERROR(INDEX($W$5:$W$86,MATCH(BM32,$V$5:$V$86,0)),0))</f>
        <v/>
      </c>
      <c r="BN122">
        <f>IF(BN32="",0,IFERROR(INDEX($W$5:$W$86,MATCH(BN32,$V$5:$V$86,0)),0))</f>
        <v/>
      </c>
      <c r="BO122">
        <f>IF(BO32="",0,IFERROR(INDEX($W$5:$W$86,MATCH(BO32,$V$5:$V$86,0)),0))</f>
        <v/>
      </c>
      <c r="BP122">
        <f>IF(BP32="",0,IFERROR(INDEX($W$5:$W$86,MATCH(BP32,$V$5:$V$86,0)),0))</f>
        <v/>
      </c>
      <c r="BQ122">
        <f>IF(BQ32="",0,IFERROR(INDEX($W$5:$W$86,MATCH(BQ32,$V$5:$V$86,0)),0))</f>
        <v/>
      </c>
      <c r="BR122">
        <f>IF(BR32="",0,IFERROR(INDEX($W$5:$W$86,MATCH(BR32,$V$5:$V$86,0)),0))</f>
        <v/>
      </c>
      <c r="BS122">
        <f>IF(BS32="",0,IFERROR(INDEX($W$5:$W$86,MATCH(BS32,$V$5:$V$86,0)),0))</f>
        <v/>
      </c>
      <c r="BT122">
        <f>IF(BT32="",0,IFERROR(INDEX($W$5:$W$86,MATCH(BT32,$V$5:$V$86,0)),0))</f>
        <v/>
      </c>
      <c r="BU122">
        <f>IF(BU32="",0,IFERROR(INDEX($W$5:$W$86,MATCH(BU32,$V$5:$V$86,0)),0))</f>
        <v/>
      </c>
      <c r="BV122">
        <f>IF(BV32="",0,IFERROR(INDEX($W$5:$W$86,MATCH(BV32,$V$5:$V$86,0)),0))</f>
        <v/>
      </c>
      <c r="BW122">
        <f>IF(BW32="",0,IFERROR(INDEX($W$5:$W$86,MATCH(BW32,$V$5:$V$86,0)),0))</f>
        <v/>
      </c>
      <c r="BX122">
        <f>IF(BX32="",0,IFERROR(INDEX($W$5:$W$86,MATCH(BX32,$V$5:$V$86,0)),0))</f>
        <v/>
      </c>
      <c r="BY122">
        <f>IF(BY32="",0,IFERROR(INDEX($W$5:$W$86,MATCH(BY32,$V$5:$V$86,0)),0))</f>
        <v/>
      </c>
      <c r="BZ122">
        <f>IF(BZ32="",0,IFERROR(INDEX($W$5:$W$86,MATCH(BZ32,$V$5:$V$86,0)),0))</f>
        <v/>
      </c>
      <c r="CA122">
        <f>IF(CA32="",0,IFERROR(INDEX($W$5:$W$86,MATCH(CA32,$V$5:$V$86,0)),0))</f>
        <v/>
      </c>
      <c r="CB122">
        <f>IF(CB32="",0,IFERROR(INDEX($W$5:$W$86,MATCH(CB32,$V$5:$V$86,0)),0))</f>
        <v/>
      </c>
      <c r="CC122">
        <f>IF(CC32="",0,IFERROR(INDEX($W$5:$W$86,MATCH(CC32,$V$5:$V$86,0)),0))</f>
        <v/>
      </c>
      <c r="CD122">
        <f>IF(CD32="",0,IFERROR(INDEX($W$5:$W$86,MATCH(CD32,$V$5:$V$86,0)),0))</f>
        <v/>
      </c>
      <c r="CE122">
        <f>IF(CE32="",0,IFERROR(INDEX($W$5:$W$86,MATCH(CE32,$V$5:$V$86,0)),0))</f>
        <v/>
      </c>
      <c r="CF122">
        <f>IF(CF32="",0,IFERROR(INDEX($W$5:$W$86,MATCH(CF32,$V$5:$V$86,0)),0))</f>
        <v/>
      </c>
      <c r="DA122" t="n">
        <v>118</v>
      </c>
      <c r="DB122">
        <f>IF($B$37=0,"",IFERROR(TRIM(SUBSTITUTE(SUBSTITUTE(SUBSTITUTE(SUBSTITUTE(INDEX(PASTE_ALL,118,$B$37)," "," "),CHAR(9)," "),CHAR(10)," "),CHAR(13)," ")),""))</f>
        <v/>
      </c>
      <c r="DC122">
        <f>IF(AND(118&gt;HEADER_ROW,UPPER(DB122)="LEGEND"),1,0)</f>
        <v/>
      </c>
      <c r="DE122" t="n">
        <v>118</v>
      </c>
      <c r="DF122">
        <f>HEADER_ROW+$DE122</f>
        <v/>
      </c>
      <c r="DG122">
        <f>IF(AND($DF122&lt;=1000,$DF122&lt;$B$8),1,0)</f>
        <v/>
      </c>
      <c r="DH122">
        <f>IF($DG122=1,IFERROR(INDEX($DB$5:$DB$1004,$DF122),""),"")</f>
        <v/>
      </c>
      <c r="DI122">
        <f>IF(AND($DG122=1,$DH122&lt;&gt;""),IFERROR(SUBSTITUTE(SUBSTITUTE(TRIM(SUBSTITUTE(SUBSTITUTE(SUBSTITUTE(SUBSTITUTE(IFERROR(INDEX(PASTE_ALL,$DF122,1)&amp;"","")&amp;"␟"&amp;IFERROR(INDEX(PASTE_ALL,$DF122,2)&amp;"","")&amp;"␟"&amp;IFERROR(INDEX(PASTE_ALL,$DF122,3)&amp;"","")&amp;"␟"&amp;IFERROR(INDEX(PASTE_ALL,$DF122,4)&amp;"","")&amp;"␟"&amp;IFERROR(INDEX(PASTE_ALL,$DF122,5)&amp;"","")&amp;"␟"&amp;IFERROR(INDEX(PASTE_ALL,$DF122,6)&amp;"","")&amp;"␟"&amp;IFERROR(INDEX(PASTE_ALL,$DF122,7)&amp;"","")&amp;"␟"&amp;IFERROR(INDEX(PASTE_ALL,$DF122,8)&amp;"","")&amp;"␟"&amp;IFERROR(INDEX(PASTE_ALL,$DF122,9)&amp;"","")&amp;"␟"&amp;IFERROR(INDEX(PASTE_ALL,$DF122,10)&amp;"","")&amp;"␟"&amp;IFERROR(INDEX(PASTE_ALL,$DF122,11)&amp;"","")&amp;"␟"&amp;IFERROR(INDEX(PASTE_ALL,$DF122,12)&amp;"","")&amp;"␟"&amp;IFERROR(INDEX(PASTE_ALL,$DF122,13)&amp;"","")&amp;"␟"&amp;IFERROR(INDEX(PASTE_ALL,$DF122,14)&amp;"","")&amp;"␟"&amp;IFERROR(INDEX(PASTE_ALL,$DF122,15)&amp;"","")&amp;"␟"&amp;IFERROR(INDEX(PASTE_ALL,$DF122,16)&amp;"","")&amp;"␟"&amp;IFERROR(INDEX(PASTE_ALL,$DF122,17)&amp;"","")&amp;"␟"&amp;IFERROR(INDEX(PASTE_ALL,$DF122,18)&amp;"","")&amp;"␟"&amp;IFERROR(INDEX(PASTE_ALL,$DF122,19)&amp;"","")&amp;"␟"&amp;IFERROR(INDEX(PASTE_ALL,$DF122,20)&amp;"","")&amp;"␟"&amp;IFERROR(INDEX(PASTE_ALL,$DF122,21)&amp;"","")&amp;"␟"&amp;IFERROR(INDEX(PASTE_ALL,$DF122,22)&amp;"","")&amp;"␟"&amp;IFERROR(INDEX(PASTE_ALL,$DF122,23)&amp;"","")&amp;"␟"&amp;IFERROR(INDEX(PASTE_ALL,$DF122,24)&amp;"","")&amp;"␟"&amp;IFERROR(INDEX(PASTE_ALL,$DF122,25)&amp;"","")&amp;"␟"&amp;IFERROR(INDEX(PASTE_ALL,$DF122,26)&amp;"","")&amp;"␟"&amp;IFERROR(INDEX(PASTE_ALL,$DF122,27)&amp;"","")&amp;"␟"&amp;IFERROR(INDEX(PASTE_ALL,$DF122,28)&amp;"","")&amp;"␟"&amp;IFERROR(INDEX(PASTE_ALL,$DF122,29)&amp;"","")&amp;"␟"&amp;IFERROR(INDEX(PASTE_ALL,$DF122,30)&amp;"","")&amp;"␟"&amp;IFERROR(INDEX(PASTE_ALL,$DF122,31)&amp;"","")&amp;"␟"&amp;IFERROR(INDEX(PASTE_ALL,$DF122,32)&amp;"","")&amp;"␟"&amp;IFERROR(INDEX(PASTE_ALL,$DF122,33)&amp;"","")&amp;"␟"&amp;IFERROR(INDEX(PASTE_ALL,$DF122,34)&amp;"","")&amp;"␟"&amp;IFERROR(INDEX(PASTE_ALL,$DF122,35)&amp;"","")&amp;"␟"&amp;IFERROR(INDEX(PASTE_ALL,$DF122,36)&amp;"","")&amp;"␟"&amp;IFERROR(INDEX(PASTE_ALL,$DF122,37)&amp;"","")&amp;"␟"&amp;IFERROR(INDEX(PASTE_ALL,$DF122,38)&amp;"","")&amp;"␟"&amp;IFERROR(INDEX(PASTE_ALL,$DF122,39)&amp;"","")&amp;"␟"&amp;IFERROR(INDEX(PASTE_ALL,$DF122,40)&amp;"","")&amp;"␟"&amp;IFERROR(INDEX(PASTE_ALL,$DF122,41)&amp;"","")&amp;"␟"&amp;IFERROR(INDEX(PASTE_ALL,$DF122,42)&amp;"","")&amp;"␟"&amp;IFERROR(INDEX(PASTE_ALL,$DF122,43)&amp;"","")&amp;"␟"&amp;IFERROR(INDEX(PASTE_ALL,$DF122,44)&amp;"","")&amp;"␟"&amp;IFERROR(INDEX(PASTE_ALL,$DF122,45)&amp;"","")&amp;"␟"&amp;IFERROR(INDEX(PASTE_ALL,$DF122,46)&amp;"","")&amp;"␟"&amp;IFERROR(INDEX(PASTE_ALL,$DF122,47)&amp;"","")&amp;"␟"&amp;IFERROR(INDEX(PASTE_ALL,$DF122,48)&amp;"","")&amp;"␟"&amp;IFERROR(INDEX(PASTE_ALL,$DF122,49)&amp;"","")&amp;"␟"&amp;IFERROR(INDEX(PASTE_ALL,$DF122,50)&amp;"","")&amp;"␟"&amp;IFERROR(INDEX(PASTE_ALL,$DF122,51)&amp;"","")&amp;"␟"&amp;IFERROR(INDEX(PASTE_ALL,$DF122,52)&amp;"","")&amp;"␟"&amp;IFERROR(INDEX(PASTE_ALL,$DF122,53)&amp;"","")&amp;"␟"&amp;IFERROR(INDEX(PASTE_ALL,$DF122,54)&amp;"","")&amp;"␟"&amp;IFERROR(INDEX(PASTE_ALL,$DF122,55)&amp;"","")&amp;"␟"&amp;IFERROR(INDEX(PASTE_ALL,$DF122,56)&amp;"","")&amp;"␟"&amp;IFERROR(INDEX(PASTE_ALL,$DF122,57)&amp;"","")&amp;"␟"&amp;IFERROR(INDEX(PASTE_ALL,$DF122,58)&amp;"","")&amp;"␟"&amp;IFERROR(INDEX(PASTE_ALL,$DF122,59)&amp;"","")&amp;"␟"&amp;IFERROR(INDEX(PASTE_ALL,$DF122,60)&amp;"","")," "," "),CHAR(9)," "),CHAR(10)," "),CHAR(13)," "))," ␟","␟"),"␟ ","␟"),"#"&amp;$DE122),"")</f>
        <v/>
      </c>
      <c r="DJ122">
        <f>IF($DI122="",0,IF(SUMPRODUCT(--EXACT($DI$4:DI121,$DI122))&gt;0,1,0))</f>
        <v/>
      </c>
      <c r="DK122">
        <f>IF(AND($DI122&lt;&gt;"",$DJ122=0),1,0)</f>
        <v/>
      </c>
      <c r="DL122">
        <f>DL121+$DK122</f>
        <v/>
      </c>
      <c r="DM122">
        <f>IF(AND($DK122=1,$DL122&lt;=600),1,0)</f>
        <v/>
      </c>
      <c r="DN122">
        <f>IF($DM122=0,"",IF($L$6=0,"",IFERROR(IF(ISNUMBER(INDEX(PASTE_ALL,$DF122,$L$6)),INDEX(PASTE_ALL,$DF122,$L$6),TRIM(SUBSTITUTE(SUBSTITUTE(SUBSTITUTE(SUBSTITUTE(INDEX(PASTE_ALL,$DF122,$L$6)," "," "),CHAR(9)," "),CHAR(10)," "),CHAR(13)," "))),"")))</f>
        <v/>
      </c>
      <c r="DO122">
        <f>IF($DM122=0,"",IF($L$7=0,"",IFERROR(IF(ISNUMBER(INDEX(PASTE_ALL,$DF122,$L$7)),INDEX(PASTE_ALL,$DF122,$L$7),TRIM(SUBSTITUTE(SUBSTITUTE(SUBSTITUTE(SUBSTITUTE(INDEX(PASTE_ALL,$DF122,$L$7)," "," "),CHAR(9)," "),CHAR(10)," "),CHAR(13)," "))),"")))</f>
        <v/>
      </c>
      <c r="DP122">
        <f>IF($DM122=0,"",IF($L$8=0,"",IFERROR(IF(ISNUMBER(INDEX(PASTE_ALL,$DF122,$L$8)),INDEX(PASTE_ALL,$DF122,$L$8),TRIM(SUBSTITUTE(SUBSTITUTE(SUBSTITUTE(SUBSTITUTE(INDEX(PASTE_ALL,$DF122,$L$8)," "," "),CHAR(9)," "),CHAR(10)," "),CHAR(13)," "))),"")))</f>
        <v/>
      </c>
      <c r="DQ122">
        <f>IF($DM122=0,"",IF($L$9=0,"",IFERROR(IF(ISNUMBER(INDEX(PASTE_ALL,$DF122,$L$9)),INDEX(PASTE_ALL,$DF122,$L$9),TRIM(SUBSTITUTE(SUBSTITUTE(SUBSTITUTE(SUBSTITUTE(INDEX(PASTE_ALL,$DF122,$L$9)," "," "),CHAR(9)," "),CHAR(10)," "),CHAR(13)," "))),"")))</f>
        <v/>
      </c>
      <c r="DR122">
        <f>IF($DM122=0,"",IF($L$10=0,"",IFERROR(IF(ISNUMBER(INDEX(PASTE_ALL,$DF122,$L$10)),INDEX(PASTE_ALL,$DF122,$L$10),TRIM(SUBSTITUTE(SUBSTITUTE(SUBSTITUTE(SUBSTITUTE(INDEX(PASTE_ALL,$DF122,$L$10)," "," "),CHAR(9)," "),CHAR(10)," "),CHAR(13)," "))),"")))</f>
        <v/>
      </c>
      <c r="DS122">
        <f>IF($DM122=0,"",IF($L$11=0,"",IFERROR(IF(ISNUMBER(INDEX(PASTE_ALL,$DF122,$L$11)),INDEX(PASTE_ALL,$DF122,$L$11),TRIM(SUBSTITUTE(SUBSTITUTE(SUBSTITUTE(SUBSTITUTE(INDEX(PASTE_ALL,$DF122,$L$11)," "," "),CHAR(9)," "),CHAR(10)," "),CHAR(13)," "))),"")))</f>
        <v/>
      </c>
      <c r="DT122">
        <f>IF($DM122=0,"",IF($L$12=0,"",IFERROR(IF(ISNUMBER(INDEX(PASTE_ALL,$DF122,$L$12)),INDEX(PASTE_ALL,$DF122,$L$12),TRIM(SUBSTITUTE(SUBSTITUTE(SUBSTITUTE(SUBSTITUTE(INDEX(PASTE_ALL,$DF122,$L$12)," "," "),CHAR(9)," "),CHAR(10)," "),CHAR(13)," "))),"")))</f>
        <v/>
      </c>
      <c r="DU122">
        <f>IF($DM122=0,"",IF($L$13=0,"",IFERROR(IF(ISNUMBER(INDEX(PASTE_ALL,$DF122,$L$13)),INDEX(PASTE_ALL,$DF122,$L$13),TRIM(SUBSTITUTE(SUBSTITUTE(SUBSTITUTE(SUBSTITUTE(INDEX(PASTE_ALL,$DF122,$L$13)," "," "),CHAR(9)," "),CHAR(10)," "),CHAR(13)," "))),"")))</f>
        <v/>
      </c>
      <c r="DV122">
        <f>IF($DM122=0,"",IF($L$14=0,"",IFERROR(IF(ISNUMBER(INDEX(PASTE_ALL,$DF122,$L$14)),INDEX(PASTE_ALL,$DF122,$L$14),TRIM(SUBSTITUTE(SUBSTITUTE(SUBSTITUTE(SUBSTITUTE(INDEX(PASTE_ALL,$DF122,$L$14)," "," "),CHAR(9)," "),CHAR(10)," "),CHAR(13)," "))),"")))</f>
        <v/>
      </c>
      <c r="DW122">
        <f>IF($DM122=0,"",IF($L$15=0,"",IFERROR(IF(ISNUMBER(INDEX(PASTE_ALL,$DF122,$L$15)),INDEX(PASTE_ALL,$DF122,$L$15),IF(SUMPRODUCT(--ISNUMBER(FIND({"A","B","C","D","E","F","G","H","I","J","K","L","M","N","O","P","Q","R","S","T","U","V","W","X","Y","Z","0","1","2","3","4","5","6","7","8","9"},UPPER(TRIM(SUBSTITUTE(SUBSTITUTE(SUBSTITUTE(SUBSTITUTE(INDEX(PASTE_ALL,$DF122,$L$15)," "," "),CHAR(9)," "),CHAR(10)," "),CHAR(13)," "))))))&gt;0,TRIM(SUBSTITUTE(SUBSTITUTE(SUBSTITUTE(SUBSTITUTE(INDEX(PASTE_ALL,$DF122,$L$15)," "," "),CHAR(9)," "),CHAR(10)," "),CHAR(13)," ")),"")),"")))</f>
        <v/>
      </c>
      <c r="DX122">
        <f>IF($DM122=0,"",IF($L$16=0,"",IFERROR(IF(ISNUMBER(INDEX(PASTE_ALL,$DF122,$L$16)),INDEX(PASTE_ALL,$DF122,$L$16),SUBSTITUTE(SUBSTITUTE(TRIM(SUBSTITUTE(SUBSTITUTE(SUBSTITUTE(SUBSTITUTE(INDEX(PASTE_ALL,$DF122,$L$16)," "," "),CHAR(9)," "),CHAR(10)," "),CHAR(13)," ")),",",""),"%","")),"")))</f>
        <v/>
      </c>
      <c r="DY122">
        <f>IF($DM122=0,"",IFERROR(IF(ISNUMBER($DX122),$DX122,IF($DX122="","",IF(TRIM($DX122)="",0,IF(AND(AND(SUBSTITUTE(SUBSTITUTE(SUBSTITUTE(SUBSTITUTE(SUBSTITUTE(SUBSTITUTE(SUBSTITUTE(SUBSTITUTE(SUBSTITUTE(SUBSTITUTE(SUBSTITUTE(SUBSTITUTE(SUBSTITUTE(SUBSTITUTE(UPPER(TRIM($DX122)),"0",""),"1",""),"2",""),"3",""),"4",""),"5",""),"6",""),"7",""),"8",""),"9",""),".",""),"+",""),"-",""),"E","")="",LEN(SUBSTITUTE(SUBSTITUTE(MID(UPPER(TRIM($DX122)),1+OR(LEFT(UPPER(TRIM($DX122)),1)="+",LEFT(UPPER(TRIM($DX122)),1)="-"),999),"E+","E"),"E-","E"))=LEN(SUBSTITUTE(SUBSTITUTE(SUBSTITUTE(SUBSTITUTE(MID(UPPER(TRIM($DX122)),1+OR(LEFT(UPPER(TRIM($DX122)),1)="+",LEFT(UPPER(TRIM($DX122)),1)="-"),999),"E+","E"),"E-","E"),"+",""),"-","")),LEN(UPPER(TRIM($DX122)))-LEN(SUBSTITUTE(UPPER(TRIM($DX122)),"E",""))&lt;2,LEN(UPPER(TRIM($DX122)))-LEN(SUBSTITUTE(UPPER(TRIM($DX122)),".",""))&lt;2,IFERROR(FIND(".",UPPER(TRIM($DX122))),0)&lt;IFERROR(FIND("E",UPPER(TRIM($DX122))),999)),ISNUMBER(VALUE(TRIM($DX122)))),VALUE(TRIM($DX122)),"")))),""))</f>
        <v/>
      </c>
      <c r="DZ122">
        <f>IF($DM122=0,"",IF($L$17=0,"",IFERROR(IF(ISNUMBER(INDEX(PASTE_ALL,$DF122,$L$17)),INDEX(PASTE_ALL,$DF122,$L$17),SUBSTITUTE(SUBSTITUTE(TRIM(SUBSTITUTE(SUBSTITUTE(SUBSTITUTE(SUBSTITUTE(INDEX(PASTE_ALL,$DF122,$L$17)," "," "),CHAR(9)," "),CHAR(10)," "),CHAR(13)," ")),",",""),"%","")),"")))</f>
        <v/>
      </c>
      <c r="EA122">
        <f>IF($DM122=0,"",IFERROR(IF(ISNUMBER($DZ122),$DZ122,IF($DZ122="","",IF(TRIM($DZ122)="",0,IF(AND(AND(SUBSTITUTE(SUBSTITUTE(SUBSTITUTE(SUBSTITUTE(SUBSTITUTE(SUBSTITUTE(SUBSTITUTE(SUBSTITUTE(SUBSTITUTE(SUBSTITUTE(SUBSTITUTE(SUBSTITUTE(SUBSTITUTE(SUBSTITUTE(UPPER(TRIM($DZ122)),"0",""),"1",""),"2",""),"3",""),"4",""),"5",""),"6",""),"7",""),"8",""),"9",""),".",""),"+",""),"-",""),"E","")="",LEN(SUBSTITUTE(SUBSTITUTE(MID(UPPER(TRIM($DZ122)),1+OR(LEFT(UPPER(TRIM($DZ122)),1)="+",LEFT(UPPER(TRIM($DZ122)),1)="-"),999),"E+","E"),"E-","E"))=LEN(SUBSTITUTE(SUBSTITUTE(SUBSTITUTE(SUBSTITUTE(MID(UPPER(TRIM($DZ122)),1+OR(LEFT(UPPER(TRIM($DZ122)),1)="+",LEFT(UPPER(TRIM($DZ122)),1)="-"),999),"E+","E"),"E-","E"),"+",""),"-","")),LEN(UPPER(TRIM($DZ122)))-LEN(SUBSTITUTE(UPPER(TRIM($DZ122)),"E",""))&lt;2,LEN(UPPER(TRIM($DZ122)))-LEN(SUBSTITUTE(UPPER(TRIM($DZ122)),".",""))&lt;2,IFERROR(FIND(".",UPPER(TRIM($DZ122))),0)&lt;IFERROR(FIND("E",UPPER(TRIM($DZ122))),999)),ISNUMBER(VALUE(TRIM($DZ122)))),VALUE(TRIM($DZ122)),"")))),""))</f>
        <v/>
      </c>
      <c r="EB122">
        <f>IF($DM122=0,"",IF($L$18=0,"",IFERROR(IF(UPPER(TRIM(SUBSTITUTE(SUBSTITUTE(SUBSTITUTE(SUBSTITUTE(INDEX(PASTE_ALL,$DF122,$L$18)," "," "),CHAR(9)," "),CHAR(10)," "),CHAR(13)," ")))="READY","Ready",IF(UPPER(TRIM(SUBSTITUTE(SUBSTITUTE(SUBSTITUTE(SUBSTITUTE(INDEX(PASTE_ALL,$DF122,$L$18)," "," "),CHAR(9)," "),CHAR(10)," "),CHAR(13)," ")))="PM","PM",IF(OR(UPPER(TRIM(SUBSTITUTE(SUBSTITUTE(SUBSTITUTE(SUBSTITUTE(INDEX(PASTE_ALL,$DF122,$L$18)," "," "),CHAR(9)," "),CHAR(10)," "),CHAR(13)," ")))="OT",UPPER(TRIM(SUBSTITUTE(SUBSTITUTE(SUBSTITUTE(SUBSTITUTE(INDEX(PASTE_ALL,$DF122,$L$18)," "," "),CHAR(9)," "),CHAR(10)," "),CHAR(13)," ")))="OVERTIME",UPPER(TRIM(SUBSTITUTE(SUBSTITUTE(SUBSTITUTE(SUBSTITUTE(INDEX(PASTE_ALL,$DF122,$L$18)," "," "),CHAR(9)," "),CHAR(10)," "),CHAR(13)," ")))="TRIAL"),"OT",TRIM(SUBSTITUTE(SUBSTITUTE(SUBSTITUTE(SUBSTITUTE(INDEX(PASTE_ALL,$DF122,$L$18)," "," "),CHAR(9)," "),CHAR(10)," "),CHAR(13)," "))))),"")))</f>
        <v/>
      </c>
      <c r="EC122">
        <f>IF($DM122=0,"",IF($L$19=0,"",IFERROR(IF(ISNUMBER(INDEX(PASTE_ALL,$DF122,$L$19)),INDEX(PASTE_ALL,$DF122,$L$19),TRIM(SUBSTITUTE(SUBSTITUTE(SUBSTITUTE(SUBSTITUTE(INDEX(PASTE_ALL,$DF122,$L$19)," "," "),CHAR(9)," "),CHAR(10)," "),CHAR(13)," "))),"")))</f>
        <v/>
      </c>
      <c r="ED122">
        <f>IF($DM122=0,"",MATCH(1,INDEX(EXACT($DH$5:DH122,$DH122)*$DM$5:DM122,0),0))</f>
        <v/>
      </c>
      <c r="EE122">
        <f>IF($DM122=0,0,IF($ED122=$DE122,1,0))</f>
        <v/>
      </c>
      <c r="EF122">
        <f>EF121+$EE122</f>
        <v/>
      </c>
      <c r="EG122">
        <f>IF($DM122=0,"",INDEX($EF$5:$EF$1003,$ED122))</f>
        <v/>
      </c>
      <c r="EH122">
        <f>IF($DM122=0,"",IF($DO122&lt;&gt;"","",IFERROR(LOOKUP(2,1/(($EG$4:EG121=$EG122)*($DO$4:DO121&lt;&gt;"")),$DO$4:DO121),"")))</f>
        <v/>
      </c>
      <c r="EI122">
        <f>IF($DM122=0,"",IF($DO122&lt;&gt;"",$DO122,$EH122))</f>
        <v/>
      </c>
      <c r="EJ122">
        <f>IF($DM122=0,"",IF($EI122="",0,IF(OR(ISNUMBER($EI122),AND(AND(SUBSTITUTE(SUBSTITUTE(SUBSTITUTE(SUBSTITUTE(SUBSTITUTE(SUBSTITUTE(SUBSTITUTE(SUBSTITUTE(SUBSTITUTE(SUBSTITUTE(SUBSTITUTE(SUBSTITUTE(SUBSTITUTE(SUBSTITUTE(UPPER($EI122),"0",""),"1",""),"2",""),"3",""),"4",""),"5",""),"6",""),"7",""),"8",""),"9",""),".",""),"+",""),"-",""),"E","")="",LEN(SUBSTITUTE(SUBSTITUTE(MID(UPPER($EI122),1+OR(LEFT(UPPER($EI122),1)="+",LEFT(UPPER($EI122),1)="-"),999),"E+","E"),"E-","E"))=LEN(SUBSTITUTE(SUBSTITUTE(SUBSTITUTE(SUBSTITUTE(MID(UPPER($EI122),1+OR(LEFT(UPPER($EI122),1)="+",LEFT(UPPER($EI122),1)="-"),999),"E+","E"),"E-","E"),"+",""),"-","")),LEN(UPPER($EI122))-LEN(SUBSTITUTE(UPPER($EI122),"E",""))&lt;2,LEN(UPPER($EI122))-LEN(SUBSTITUTE(UPPER($EI122),".",""))&lt;2,IFERROR(FIND(".",UPPER($EI122)),0)&lt;IFERROR(FIND("E",UPPER($EI122)),999)),ISNUMBER(VALUE($EI122)))),1,2)))</f>
        <v/>
      </c>
      <c r="EK122">
        <f>IF($DM122=0,"",IF($EJ122=1,IF(ISNUMBER($EI122),$EI122,VALUE($EI122)),IF($EJ122=2,$DE122,0)))</f>
        <v/>
      </c>
      <c r="EL122">
        <f>IF($DM122=0,"",COUNTIF($EG$5:$EG$1003,"&lt;"&amp;$EG122)+SUMPRODUCT(($EG$5:$EG$1003=$EG122)*(($EJ$5:$EJ$1003&lt;$EJ122)+($EJ$5:$EJ$1003=$EJ122)*(($EK$5:$EK$1003&lt;$EK122)+($EK$5:$EK$1003=$EK122)*($DE$5:$DE$1003&lt;$DE122))))+1)</f>
        <v/>
      </c>
      <c r="EM122">
        <f>IF($DM122=0,"",$EL122+$EG122-1)</f>
        <v/>
      </c>
      <c r="EN122">
        <f>IF($DM122=0,0,IFERROR(MATCH(1,INDEX(--(TRIM(SUBSTITUTE(SUBSTITUTE(SUBSTITUTE(SUBSTITUTE(LINES_NAME&amp;""," "," "),CHAR(9)," "),CHAR(10)," "),CHAR(13)," "))=$DH122),0),0),0))</f>
        <v/>
      </c>
      <c r="EO122">
        <f>IF($EN122=0,0,IF(OR(UPPER(TRIM(INDEX(LINES_SCHEDULED,$EN122)&amp;""))="YES",UPPER(TRIM(INDEX(LINES_SCHEDULED,$EN122)&amp;""))="Y",UPPER(TRIM(INDEX(LINES_SCHEDULED,$EN122)&amp;""))="X"),1,0))</f>
        <v/>
      </c>
      <c r="EP122">
        <f>IF($DM122=0,"",IF(COUNTIFS($EG$5:$EG$1003,$EG122,$EB$5:$EB$1003,"Ready")&gt;0,"READY",IF(COUNTIFS($EG$5:$EG$1003,$EG122,$EB$5:$EB$1003,"PM")&gt;0,"PM",IF(COUNTIFS($EG$5:$EG$1003,$EG122,$EB$5:$EB$1003,"OT")&gt;0,"OT",""))))</f>
        <v/>
      </c>
      <c r="EQ122">
        <f>IF($EN122=0,"",UPPER(TRIM(INDEX(LINES_STATUS,$EN122)&amp;"")))</f>
        <v/>
      </c>
      <c r="ER122">
        <f>IF($DM122=0,"",IF(OR($EQ122="READY",$EQ122="PM",$EQ122="OT"),$EQ122,$EP122))</f>
        <v/>
      </c>
      <c r="ES122">
        <f>IF($DM122=0,"",IF(AND($DV122&lt;&gt;"",UPPER($DV122)&lt;&gt;"N"),"allergen",IF(ISNUMBER(SEARCH("oil",$DQ122)),"oil",IF(OR(EXACT($DS122,"A662"),EXACT($DS122,"A624")),"bulk",""))))</f>
        <v/>
      </c>
      <c r="ET122">
        <f>IF($DM122=0,"",IF(OR($EA122="",$EA122=0),"",$EA122/100))</f>
        <v/>
      </c>
      <c r="EU122">
        <f>IF(OR($ET122="",$DY122=""),"",INT($DY122*(1-$ET122)+0.5))</f>
        <v/>
      </c>
      <c r="EW122" t="n">
        <v>118</v>
      </c>
      <c r="EX122">
        <f>IFERROR(MATCH($EW122,$EM$5:$EM$1003,0),0)</f>
        <v/>
      </c>
      <c r="EY122">
        <f>IF($EW122&gt;$B$12,"",IF($EX122&gt;0,"row","spacer"))</f>
        <v/>
      </c>
      <c r="EZ122">
        <f>IF(AND($EY122="row",$EY121&lt;&gt;"row"),1,0)</f>
        <v/>
      </c>
      <c r="FA122">
        <f>IF(AND($EY122="row",$EY123&lt;&gt;"row"),1,0)</f>
        <v/>
      </c>
      <c r="FB122">
        <f>IF($EZ122=1,IFERROR(IF(ISNUMBER(INDEX(PASTE_ALL,INDEX($DF$5:$DF$1003,$EX122),$B$37)),INDEX(PASTE_ALL,INDEX($DF$5:$DF$1003,$EX122),$B$37),INDEX($DH$5:$DH$1003,$EX122)),INDEX($DH$5:$DH$1003,$EX122)),"")</f>
        <v/>
      </c>
      <c r="FC122">
        <f>IF($EY122="row",INDEX($ER$5:$ER$1003,$EX122),"")</f>
        <v/>
      </c>
      <c r="FD122">
        <f>IF($EY122="row",INDEX($DN$5:$DN$1003,$EX122),"")</f>
        <v/>
      </c>
      <c r="FE122">
        <f>IF($EY122="row",INDEX($DO$5:$DO$1003,$EX122),"")</f>
        <v/>
      </c>
      <c r="FF122">
        <f>IF($EY122="row",INDEX($DP$5:$DP$1003,$EX122),"")</f>
        <v/>
      </c>
      <c r="FG122">
        <f>IF($EY122="row",INDEX($DQ$5:$DQ$1003,$EX122),"")</f>
        <v/>
      </c>
      <c r="FH122">
        <f>IF($EY122="row",INDEX($DR$5:$DR$1003,$EX122),"")</f>
        <v/>
      </c>
      <c r="FI122">
        <f>IF($EY122="row",INDEX($DS$5:$DS$1003,$EX122),"")</f>
        <v/>
      </c>
      <c r="FJ122">
        <f>IF($EY122="row",INDEX($DT$5:$DT$1003,$EX122),"")</f>
        <v/>
      </c>
      <c r="FK122">
        <f>IF($EY122="row",INDEX($DU$5:$DU$1003,$EX122),"")</f>
        <v/>
      </c>
      <c r="FL122">
        <f>IF($EY122="row",INDEX($DV$5:$DV$1003,$EX122),"")</f>
        <v/>
      </c>
      <c r="FM122">
        <f>IF($EY122="row",INDEX($DW$5:$DW$1003,$EX122),"")</f>
        <v/>
      </c>
      <c r="FN122">
        <f>IF($EY122="row",INDEX($DY$5:$DY$1003,$EX122),"")</f>
        <v/>
      </c>
      <c r="FO122">
        <f>IF($EY122="row",INDEX($EA$5:$EA$1003,$EX122),"")</f>
        <v/>
      </c>
      <c r="FP122">
        <f>IF($EY122="row",INDEX($EC$5:$EC$1003,$EX122),"")</f>
        <v/>
      </c>
      <c r="FQ122">
        <f>IF($EY122="row",INDEX($ET$5:$ET$1003,$EX122),"")</f>
        <v/>
      </c>
      <c r="FR122">
        <f>IF($EY122="row",INDEX($EU$5:$EU$1003,$EX122),"")</f>
        <v/>
      </c>
      <c r="FS122">
        <f>IF(AND($EY122="row",$EY121="row"),IF(OR(INDEX($DT$5:$DT$1003,$EX121)="",INDEX($DT$5:$DT$1003,$EX122)=""),"",IF(NOT(EXACT(INDEX($DT$5:$DT$1003,$EX121),INDEX($DT$5:$DT$1003,$EX122))),"S4",IF(NOT(EXACT(INDEX($DS$5:$DS$1003,$EX121),INDEX($DS$5:$DS$1003,$EX122))),"S3",IF(NOT(EXACT(INDEX($DR$5:$DR$1003,$EX121),INDEX($DR$5:$DR$1003,$EX122))),"S1 Count Change","S1")))),"")</f>
        <v/>
      </c>
      <c r="FT122">
        <f>IF($EY122="row",INDEX($ES$5:$ES$1003,$EX122),"")</f>
        <v/>
      </c>
      <c r="FU122">
        <f>IF($EY122="row",INDEX($EO$5:$EO$1003,$EX122),0)</f>
        <v/>
      </c>
      <c r="FV122">
        <f>IF($FS122="S1 Count Change",1,0)</f>
        <v/>
      </c>
    </row>
    <row r="123">
      <c r="Y123">
        <f>IF(Y33="",0,IFERROR(INDEX($W$5:$W$86,MATCH(Y33,$V$5:$V$86,0)),0))</f>
        <v/>
      </c>
      <c r="Z123">
        <f>IF(Z33="",0,IFERROR(INDEX($W$5:$W$86,MATCH(Z33,$V$5:$V$86,0)),0))</f>
        <v/>
      </c>
      <c r="AA123">
        <f>IF(AA33="",0,IFERROR(INDEX($W$5:$W$86,MATCH(AA33,$V$5:$V$86,0)),0))</f>
        <v/>
      </c>
      <c r="AB123">
        <f>IF(AB33="",0,IFERROR(INDEX($W$5:$W$86,MATCH(AB33,$V$5:$V$86,0)),0))</f>
        <v/>
      </c>
      <c r="AC123">
        <f>IF(AC33="",0,IFERROR(INDEX($W$5:$W$86,MATCH(AC33,$V$5:$V$86,0)),0))</f>
        <v/>
      </c>
      <c r="AD123">
        <f>IF(AD33="",0,IFERROR(INDEX($W$5:$W$86,MATCH(AD33,$V$5:$V$86,0)),0))</f>
        <v/>
      </c>
      <c r="AE123">
        <f>IF(AE33="",0,IFERROR(INDEX($W$5:$W$86,MATCH(AE33,$V$5:$V$86,0)),0))</f>
        <v/>
      </c>
      <c r="AF123">
        <f>IF(AF33="",0,IFERROR(INDEX($W$5:$W$86,MATCH(AF33,$V$5:$V$86,0)),0))</f>
        <v/>
      </c>
      <c r="AG123">
        <f>IF(AG33="",0,IFERROR(INDEX($W$5:$W$86,MATCH(AG33,$V$5:$V$86,0)),0))</f>
        <v/>
      </c>
      <c r="AH123">
        <f>IF(AH33="",0,IFERROR(INDEX($W$5:$W$86,MATCH(AH33,$V$5:$V$86,0)),0))</f>
        <v/>
      </c>
      <c r="AI123">
        <f>IF(AI33="",0,IFERROR(INDEX($W$5:$W$86,MATCH(AI33,$V$5:$V$86,0)),0))</f>
        <v/>
      </c>
      <c r="AJ123">
        <f>IF(AJ33="",0,IFERROR(INDEX($W$5:$W$86,MATCH(AJ33,$V$5:$V$86,0)),0))</f>
        <v/>
      </c>
      <c r="AK123">
        <f>IF(AK33="",0,IFERROR(INDEX($W$5:$W$86,MATCH(AK33,$V$5:$V$86,0)),0))</f>
        <v/>
      </c>
      <c r="AL123">
        <f>IF(AL33="",0,IFERROR(INDEX($W$5:$W$86,MATCH(AL33,$V$5:$V$86,0)),0))</f>
        <v/>
      </c>
      <c r="AM123">
        <f>IF(AM33="",0,IFERROR(INDEX($W$5:$W$86,MATCH(AM33,$V$5:$V$86,0)),0))</f>
        <v/>
      </c>
      <c r="AN123">
        <f>IF(AN33="",0,IFERROR(INDEX($W$5:$W$86,MATCH(AN33,$V$5:$V$86,0)),0))</f>
        <v/>
      </c>
      <c r="AO123">
        <f>IF(AO33="",0,IFERROR(INDEX($W$5:$W$86,MATCH(AO33,$V$5:$V$86,0)),0))</f>
        <v/>
      </c>
      <c r="AP123">
        <f>IF(AP33="",0,IFERROR(INDEX($W$5:$W$86,MATCH(AP33,$V$5:$V$86,0)),0))</f>
        <v/>
      </c>
      <c r="AQ123">
        <f>IF(AQ33="",0,IFERROR(INDEX($W$5:$W$86,MATCH(AQ33,$V$5:$V$86,0)),0))</f>
        <v/>
      </c>
      <c r="AR123">
        <f>IF(AR33="",0,IFERROR(INDEX($W$5:$W$86,MATCH(AR33,$V$5:$V$86,0)),0))</f>
        <v/>
      </c>
      <c r="AS123">
        <f>IF(AS33="",0,IFERROR(INDEX($W$5:$W$86,MATCH(AS33,$V$5:$V$86,0)),0))</f>
        <v/>
      </c>
      <c r="AT123">
        <f>IF(AT33="",0,IFERROR(INDEX($W$5:$W$86,MATCH(AT33,$V$5:$V$86,0)),0))</f>
        <v/>
      </c>
      <c r="AU123">
        <f>IF(AU33="",0,IFERROR(INDEX($W$5:$W$86,MATCH(AU33,$V$5:$V$86,0)),0))</f>
        <v/>
      </c>
      <c r="AV123">
        <f>IF(AV33="",0,IFERROR(INDEX($W$5:$W$86,MATCH(AV33,$V$5:$V$86,0)),0))</f>
        <v/>
      </c>
      <c r="AW123">
        <f>IF(AW33="",0,IFERROR(INDEX($W$5:$W$86,MATCH(AW33,$V$5:$V$86,0)),0))</f>
        <v/>
      </c>
      <c r="AX123">
        <f>IF(AX33="",0,IFERROR(INDEX($W$5:$W$86,MATCH(AX33,$V$5:$V$86,0)),0))</f>
        <v/>
      </c>
      <c r="AY123">
        <f>IF(AY33="",0,IFERROR(INDEX($W$5:$W$86,MATCH(AY33,$V$5:$V$86,0)),0))</f>
        <v/>
      </c>
      <c r="AZ123">
        <f>IF(AZ33="",0,IFERROR(INDEX($W$5:$W$86,MATCH(AZ33,$V$5:$V$86,0)),0))</f>
        <v/>
      </c>
      <c r="BA123">
        <f>IF(BA33="",0,IFERROR(INDEX($W$5:$W$86,MATCH(BA33,$V$5:$V$86,0)),0))</f>
        <v/>
      </c>
      <c r="BB123">
        <f>IF(BB33="",0,IFERROR(INDEX($W$5:$W$86,MATCH(BB33,$V$5:$V$86,0)),0))</f>
        <v/>
      </c>
      <c r="BC123">
        <f>IF(BC33="",0,IFERROR(INDEX($W$5:$W$86,MATCH(BC33,$V$5:$V$86,0)),0))</f>
        <v/>
      </c>
      <c r="BD123">
        <f>IF(BD33="",0,IFERROR(INDEX($W$5:$W$86,MATCH(BD33,$V$5:$V$86,0)),0))</f>
        <v/>
      </c>
      <c r="BE123">
        <f>IF(BE33="",0,IFERROR(INDEX($W$5:$W$86,MATCH(BE33,$V$5:$V$86,0)),0))</f>
        <v/>
      </c>
      <c r="BF123">
        <f>IF(BF33="",0,IFERROR(INDEX($W$5:$W$86,MATCH(BF33,$V$5:$V$86,0)),0))</f>
        <v/>
      </c>
      <c r="BG123">
        <f>IF(BG33="",0,IFERROR(INDEX($W$5:$W$86,MATCH(BG33,$V$5:$V$86,0)),0))</f>
        <v/>
      </c>
      <c r="BH123">
        <f>IF(BH33="",0,IFERROR(INDEX($W$5:$W$86,MATCH(BH33,$V$5:$V$86,0)),0))</f>
        <v/>
      </c>
      <c r="BI123">
        <f>IF(BI33="",0,IFERROR(INDEX($W$5:$W$86,MATCH(BI33,$V$5:$V$86,0)),0))</f>
        <v/>
      </c>
      <c r="BJ123">
        <f>IF(BJ33="",0,IFERROR(INDEX($W$5:$W$86,MATCH(BJ33,$V$5:$V$86,0)),0))</f>
        <v/>
      </c>
      <c r="BK123">
        <f>IF(BK33="",0,IFERROR(INDEX($W$5:$W$86,MATCH(BK33,$V$5:$V$86,0)),0))</f>
        <v/>
      </c>
      <c r="BL123">
        <f>IF(BL33="",0,IFERROR(INDEX($W$5:$W$86,MATCH(BL33,$V$5:$V$86,0)),0))</f>
        <v/>
      </c>
      <c r="BM123">
        <f>IF(BM33="",0,IFERROR(INDEX($W$5:$W$86,MATCH(BM33,$V$5:$V$86,0)),0))</f>
        <v/>
      </c>
      <c r="BN123">
        <f>IF(BN33="",0,IFERROR(INDEX($W$5:$W$86,MATCH(BN33,$V$5:$V$86,0)),0))</f>
        <v/>
      </c>
      <c r="BO123">
        <f>IF(BO33="",0,IFERROR(INDEX($W$5:$W$86,MATCH(BO33,$V$5:$V$86,0)),0))</f>
        <v/>
      </c>
      <c r="BP123">
        <f>IF(BP33="",0,IFERROR(INDEX($W$5:$W$86,MATCH(BP33,$V$5:$V$86,0)),0))</f>
        <v/>
      </c>
      <c r="BQ123">
        <f>IF(BQ33="",0,IFERROR(INDEX($W$5:$W$86,MATCH(BQ33,$V$5:$V$86,0)),0))</f>
        <v/>
      </c>
      <c r="BR123">
        <f>IF(BR33="",0,IFERROR(INDEX($W$5:$W$86,MATCH(BR33,$V$5:$V$86,0)),0))</f>
        <v/>
      </c>
      <c r="BS123">
        <f>IF(BS33="",0,IFERROR(INDEX($W$5:$W$86,MATCH(BS33,$V$5:$V$86,0)),0))</f>
        <v/>
      </c>
      <c r="BT123">
        <f>IF(BT33="",0,IFERROR(INDEX($W$5:$W$86,MATCH(BT33,$V$5:$V$86,0)),0))</f>
        <v/>
      </c>
      <c r="BU123">
        <f>IF(BU33="",0,IFERROR(INDEX($W$5:$W$86,MATCH(BU33,$V$5:$V$86,0)),0))</f>
        <v/>
      </c>
      <c r="BV123">
        <f>IF(BV33="",0,IFERROR(INDEX($W$5:$W$86,MATCH(BV33,$V$5:$V$86,0)),0))</f>
        <v/>
      </c>
      <c r="BW123">
        <f>IF(BW33="",0,IFERROR(INDEX($W$5:$W$86,MATCH(BW33,$V$5:$V$86,0)),0))</f>
        <v/>
      </c>
      <c r="BX123">
        <f>IF(BX33="",0,IFERROR(INDEX($W$5:$W$86,MATCH(BX33,$V$5:$V$86,0)),0))</f>
        <v/>
      </c>
      <c r="BY123">
        <f>IF(BY33="",0,IFERROR(INDEX($W$5:$W$86,MATCH(BY33,$V$5:$V$86,0)),0))</f>
        <v/>
      </c>
      <c r="BZ123">
        <f>IF(BZ33="",0,IFERROR(INDEX($W$5:$W$86,MATCH(BZ33,$V$5:$V$86,0)),0))</f>
        <v/>
      </c>
      <c r="CA123">
        <f>IF(CA33="",0,IFERROR(INDEX($W$5:$W$86,MATCH(CA33,$V$5:$V$86,0)),0))</f>
        <v/>
      </c>
      <c r="CB123">
        <f>IF(CB33="",0,IFERROR(INDEX($W$5:$W$86,MATCH(CB33,$V$5:$V$86,0)),0))</f>
        <v/>
      </c>
      <c r="CC123">
        <f>IF(CC33="",0,IFERROR(INDEX($W$5:$W$86,MATCH(CC33,$V$5:$V$86,0)),0))</f>
        <v/>
      </c>
      <c r="CD123">
        <f>IF(CD33="",0,IFERROR(INDEX($W$5:$W$86,MATCH(CD33,$V$5:$V$86,0)),0))</f>
        <v/>
      </c>
      <c r="CE123">
        <f>IF(CE33="",0,IFERROR(INDEX($W$5:$W$86,MATCH(CE33,$V$5:$V$86,0)),0))</f>
        <v/>
      </c>
      <c r="CF123">
        <f>IF(CF33="",0,IFERROR(INDEX($W$5:$W$86,MATCH(CF33,$V$5:$V$86,0)),0))</f>
        <v/>
      </c>
      <c r="DA123" t="n">
        <v>119</v>
      </c>
      <c r="DB123">
        <f>IF($B$37=0,"",IFERROR(TRIM(SUBSTITUTE(SUBSTITUTE(SUBSTITUTE(SUBSTITUTE(INDEX(PASTE_ALL,119,$B$37)," "," "),CHAR(9)," "),CHAR(10)," "),CHAR(13)," ")),""))</f>
        <v/>
      </c>
      <c r="DC123">
        <f>IF(AND(119&gt;HEADER_ROW,UPPER(DB123)="LEGEND"),1,0)</f>
        <v/>
      </c>
      <c r="DE123" t="n">
        <v>119</v>
      </c>
      <c r="DF123">
        <f>HEADER_ROW+$DE123</f>
        <v/>
      </c>
      <c r="DG123">
        <f>IF(AND($DF123&lt;=1000,$DF123&lt;$B$8),1,0)</f>
        <v/>
      </c>
      <c r="DH123">
        <f>IF($DG123=1,IFERROR(INDEX($DB$5:$DB$1004,$DF123),""),"")</f>
        <v/>
      </c>
      <c r="DI123">
        <f>IF(AND($DG123=1,$DH123&lt;&gt;""),IFERROR(SUBSTITUTE(SUBSTITUTE(TRIM(SUBSTITUTE(SUBSTITUTE(SUBSTITUTE(SUBSTITUTE(IFERROR(INDEX(PASTE_ALL,$DF123,1)&amp;"","")&amp;"␟"&amp;IFERROR(INDEX(PASTE_ALL,$DF123,2)&amp;"","")&amp;"␟"&amp;IFERROR(INDEX(PASTE_ALL,$DF123,3)&amp;"","")&amp;"␟"&amp;IFERROR(INDEX(PASTE_ALL,$DF123,4)&amp;"","")&amp;"␟"&amp;IFERROR(INDEX(PASTE_ALL,$DF123,5)&amp;"","")&amp;"␟"&amp;IFERROR(INDEX(PASTE_ALL,$DF123,6)&amp;"","")&amp;"␟"&amp;IFERROR(INDEX(PASTE_ALL,$DF123,7)&amp;"","")&amp;"␟"&amp;IFERROR(INDEX(PASTE_ALL,$DF123,8)&amp;"","")&amp;"␟"&amp;IFERROR(INDEX(PASTE_ALL,$DF123,9)&amp;"","")&amp;"␟"&amp;IFERROR(INDEX(PASTE_ALL,$DF123,10)&amp;"","")&amp;"␟"&amp;IFERROR(INDEX(PASTE_ALL,$DF123,11)&amp;"","")&amp;"␟"&amp;IFERROR(INDEX(PASTE_ALL,$DF123,12)&amp;"","")&amp;"␟"&amp;IFERROR(INDEX(PASTE_ALL,$DF123,13)&amp;"","")&amp;"␟"&amp;IFERROR(INDEX(PASTE_ALL,$DF123,14)&amp;"","")&amp;"␟"&amp;IFERROR(INDEX(PASTE_ALL,$DF123,15)&amp;"","")&amp;"␟"&amp;IFERROR(INDEX(PASTE_ALL,$DF123,16)&amp;"","")&amp;"␟"&amp;IFERROR(INDEX(PASTE_ALL,$DF123,17)&amp;"","")&amp;"␟"&amp;IFERROR(INDEX(PASTE_ALL,$DF123,18)&amp;"","")&amp;"␟"&amp;IFERROR(INDEX(PASTE_ALL,$DF123,19)&amp;"","")&amp;"␟"&amp;IFERROR(INDEX(PASTE_ALL,$DF123,20)&amp;"","")&amp;"␟"&amp;IFERROR(INDEX(PASTE_ALL,$DF123,21)&amp;"","")&amp;"␟"&amp;IFERROR(INDEX(PASTE_ALL,$DF123,22)&amp;"","")&amp;"␟"&amp;IFERROR(INDEX(PASTE_ALL,$DF123,23)&amp;"","")&amp;"␟"&amp;IFERROR(INDEX(PASTE_ALL,$DF123,24)&amp;"","")&amp;"␟"&amp;IFERROR(INDEX(PASTE_ALL,$DF123,25)&amp;"","")&amp;"␟"&amp;IFERROR(INDEX(PASTE_ALL,$DF123,26)&amp;"","")&amp;"␟"&amp;IFERROR(INDEX(PASTE_ALL,$DF123,27)&amp;"","")&amp;"␟"&amp;IFERROR(INDEX(PASTE_ALL,$DF123,28)&amp;"","")&amp;"␟"&amp;IFERROR(INDEX(PASTE_ALL,$DF123,29)&amp;"","")&amp;"␟"&amp;IFERROR(INDEX(PASTE_ALL,$DF123,30)&amp;"","")&amp;"␟"&amp;IFERROR(INDEX(PASTE_ALL,$DF123,31)&amp;"","")&amp;"␟"&amp;IFERROR(INDEX(PASTE_ALL,$DF123,32)&amp;"","")&amp;"␟"&amp;IFERROR(INDEX(PASTE_ALL,$DF123,33)&amp;"","")&amp;"␟"&amp;IFERROR(INDEX(PASTE_ALL,$DF123,34)&amp;"","")&amp;"␟"&amp;IFERROR(INDEX(PASTE_ALL,$DF123,35)&amp;"","")&amp;"␟"&amp;IFERROR(INDEX(PASTE_ALL,$DF123,36)&amp;"","")&amp;"␟"&amp;IFERROR(INDEX(PASTE_ALL,$DF123,37)&amp;"","")&amp;"␟"&amp;IFERROR(INDEX(PASTE_ALL,$DF123,38)&amp;"","")&amp;"␟"&amp;IFERROR(INDEX(PASTE_ALL,$DF123,39)&amp;"","")&amp;"␟"&amp;IFERROR(INDEX(PASTE_ALL,$DF123,40)&amp;"","")&amp;"␟"&amp;IFERROR(INDEX(PASTE_ALL,$DF123,41)&amp;"","")&amp;"␟"&amp;IFERROR(INDEX(PASTE_ALL,$DF123,42)&amp;"","")&amp;"␟"&amp;IFERROR(INDEX(PASTE_ALL,$DF123,43)&amp;"","")&amp;"␟"&amp;IFERROR(INDEX(PASTE_ALL,$DF123,44)&amp;"","")&amp;"␟"&amp;IFERROR(INDEX(PASTE_ALL,$DF123,45)&amp;"","")&amp;"␟"&amp;IFERROR(INDEX(PASTE_ALL,$DF123,46)&amp;"","")&amp;"␟"&amp;IFERROR(INDEX(PASTE_ALL,$DF123,47)&amp;"","")&amp;"␟"&amp;IFERROR(INDEX(PASTE_ALL,$DF123,48)&amp;"","")&amp;"␟"&amp;IFERROR(INDEX(PASTE_ALL,$DF123,49)&amp;"","")&amp;"␟"&amp;IFERROR(INDEX(PASTE_ALL,$DF123,50)&amp;"","")&amp;"␟"&amp;IFERROR(INDEX(PASTE_ALL,$DF123,51)&amp;"","")&amp;"␟"&amp;IFERROR(INDEX(PASTE_ALL,$DF123,52)&amp;"","")&amp;"␟"&amp;IFERROR(INDEX(PASTE_ALL,$DF123,53)&amp;"","")&amp;"␟"&amp;IFERROR(INDEX(PASTE_ALL,$DF123,54)&amp;"","")&amp;"␟"&amp;IFERROR(INDEX(PASTE_ALL,$DF123,55)&amp;"","")&amp;"␟"&amp;IFERROR(INDEX(PASTE_ALL,$DF123,56)&amp;"","")&amp;"␟"&amp;IFERROR(INDEX(PASTE_ALL,$DF123,57)&amp;"","")&amp;"␟"&amp;IFERROR(INDEX(PASTE_ALL,$DF123,58)&amp;"","")&amp;"␟"&amp;IFERROR(INDEX(PASTE_ALL,$DF123,59)&amp;"","")&amp;"␟"&amp;IFERROR(INDEX(PASTE_ALL,$DF123,60)&amp;"","")," "," "),CHAR(9)," "),CHAR(10)," "),CHAR(13)," "))," ␟","␟"),"␟ ","␟"),"#"&amp;$DE123),"")</f>
        <v/>
      </c>
      <c r="DJ123">
        <f>IF($DI123="",0,IF(SUMPRODUCT(--EXACT($DI$4:DI122,$DI123))&gt;0,1,0))</f>
        <v/>
      </c>
      <c r="DK123">
        <f>IF(AND($DI123&lt;&gt;"",$DJ123=0),1,0)</f>
        <v/>
      </c>
      <c r="DL123">
        <f>DL122+$DK123</f>
        <v/>
      </c>
      <c r="DM123">
        <f>IF(AND($DK123=1,$DL123&lt;=600),1,0)</f>
        <v/>
      </c>
      <c r="DN123">
        <f>IF($DM123=0,"",IF($L$6=0,"",IFERROR(IF(ISNUMBER(INDEX(PASTE_ALL,$DF123,$L$6)),INDEX(PASTE_ALL,$DF123,$L$6),TRIM(SUBSTITUTE(SUBSTITUTE(SUBSTITUTE(SUBSTITUTE(INDEX(PASTE_ALL,$DF123,$L$6)," "," "),CHAR(9)," "),CHAR(10)," "),CHAR(13)," "))),"")))</f>
        <v/>
      </c>
      <c r="DO123">
        <f>IF($DM123=0,"",IF($L$7=0,"",IFERROR(IF(ISNUMBER(INDEX(PASTE_ALL,$DF123,$L$7)),INDEX(PASTE_ALL,$DF123,$L$7),TRIM(SUBSTITUTE(SUBSTITUTE(SUBSTITUTE(SUBSTITUTE(INDEX(PASTE_ALL,$DF123,$L$7)," "," "),CHAR(9)," "),CHAR(10)," "),CHAR(13)," "))),"")))</f>
        <v/>
      </c>
      <c r="DP123">
        <f>IF($DM123=0,"",IF($L$8=0,"",IFERROR(IF(ISNUMBER(INDEX(PASTE_ALL,$DF123,$L$8)),INDEX(PASTE_ALL,$DF123,$L$8),TRIM(SUBSTITUTE(SUBSTITUTE(SUBSTITUTE(SUBSTITUTE(INDEX(PASTE_ALL,$DF123,$L$8)," "," "),CHAR(9)," "),CHAR(10)," "),CHAR(13)," "))),"")))</f>
        <v/>
      </c>
      <c r="DQ123">
        <f>IF($DM123=0,"",IF($L$9=0,"",IFERROR(IF(ISNUMBER(INDEX(PASTE_ALL,$DF123,$L$9)),INDEX(PASTE_ALL,$DF123,$L$9),TRIM(SUBSTITUTE(SUBSTITUTE(SUBSTITUTE(SUBSTITUTE(INDEX(PASTE_ALL,$DF123,$L$9)," "," "),CHAR(9)," "),CHAR(10)," "),CHAR(13)," "))),"")))</f>
        <v/>
      </c>
      <c r="DR123">
        <f>IF($DM123=0,"",IF($L$10=0,"",IFERROR(IF(ISNUMBER(INDEX(PASTE_ALL,$DF123,$L$10)),INDEX(PASTE_ALL,$DF123,$L$10),TRIM(SUBSTITUTE(SUBSTITUTE(SUBSTITUTE(SUBSTITUTE(INDEX(PASTE_ALL,$DF123,$L$10)," "," "),CHAR(9)," "),CHAR(10)," "),CHAR(13)," "))),"")))</f>
        <v/>
      </c>
      <c r="DS123">
        <f>IF($DM123=0,"",IF($L$11=0,"",IFERROR(IF(ISNUMBER(INDEX(PASTE_ALL,$DF123,$L$11)),INDEX(PASTE_ALL,$DF123,$L$11),TRIM(SUBSTITUTE(SUBSTITUTE(SUBSTITUTE(SUBSTITUTE(INDEX(PASTE_ALL,$DF123,$L$11)," "," "),CHAR(9)," "),CHAR(10)," "),CHAR(13)," "))),"")))</f>
        <v/>
      </c>
      <c r="DT123">
        <f>IF($DM123=0,"",IF($L$12=0,"",IFERROR(IF(ISNUMBER(INDEX(PASTE_ALL,$DF123,$L$12)),INDEX(PASTE_ALL,$DF123,$L$12),TRIM(SUBSTITUTE(SUBSTITUTE(SUBSTITUTE(SUBSTITUTE(INDEX(PASTE_ALL,$DF123,$L$12)," "," "),CHAR(9)," "),CHAR(10)," "),CHAR(13)," "))),"")))</f>
        <v/>
      </c>
      <c r="DU123">
        <f>IF($DM123=0,"",IF($L$13=0,"",IFERROR(IF(ISNUMBER(INDEX(PASTE_ALL,$DF123,$L$13)),INDEX(PASTE_ALL,$DF123,$L$13),TRIM(SUBSTITUTE(SUBSTITUTE(SUBSTITUTE(SUBSTITUTE(INDEX(PASTE_ALL,$DF123,$L$13)," "," "),CHAR(9)," "),CHAR(10)," "),CHAR(13)," "))),"")))</f>
        <v/>
      </c>
      <c r="DV123">
        <f>IF($DM123=0,"",IF($L$14=0,"",IFERROR(IF(ISNUMBER(INDEX(PASTE_ALL,$DF123,$L$14)),INDEX(PASTE_ALL,$DF123,$L$14),TRIM(SUBSTITUTE(SUBSTITUTE(SUBSTITUTE(SUBSTITUTE(INDEX(PASTE_ALL,$DF123,$L$14)," "," "),CHAR(9)," "),CHAR(10)," "),CHAR(13)," "))),"")))</f>
        <v/>
      </c>
      <c r="DW123">
        <f>IF($DM123=0,"",IF($L$15=0,"",IFERROR(IF(ISNUMBER(INDEX(PASTE_ALL,$DF123,$L$15)),INDEX(PASTE_ALL,$DF123,$L$15),IF(SUMPRODUCT(--ISNUMBER(FIND({"A","B","C","D","E","F","G","H","I","J","K","L","M","N","O","P","Q","R","S","T","U","V","W","X","Y","Z","0","1","2","3","4","5","6","7","8","9"},UPPER(TRIM(SUBSTITUTE(SUBSTITUTE(SUBSTITUTE(SUBSTITUTE(INDEX(PASTE_ALL,$DF123,$L$15)," "," "),CHAR(9)," "),CHAR(10)," "),CHAR(13)," "))))))&gt;0,TRIM(SUBSTITUTE(SUBSTITUTE(SUBSTITUTE(SUBSTITUTE(INDEX(PASTE_ALL,$DF123,$L$15)," "," "),CHAR(9)," "),CHAR(10)," "),CHAR(13)," ")),"")),"")))</f>
        <v/>
      </c>
      <c r="DX123">
        <f>IF($DM123=0,"",IF($L$16=0,"",IFERROR(IF(ISNUMBER(INDEX(PASTE_ALL,$DF123,$L$16)),INDEX(PASTE_ALL,$DF123,$L$16),SUBSTITUTE(SUBSTITUTE(TRIM(SUBSTITUTE(SUBSTITUTE(SUBSTITUTE(SUBSTITUTE(INDEX(PASTE_ALL,$DF123,$L$16)," "," "),CHAR(9)," "),CHAR(10)," "),CHAR(13)," ")),",",""),"%","")),"")))</f>
        <v/>
      </c>
      <c r="DY123">
        <f>IF($DM123=0,"",IFERROR(IF(ISNUMBER($DX123),$DX123,IF($DX123="","",IF(TRIM($DX123)="",0,IF(AND(AND(SUBSTITUTE(SUBSTITUTE(SUBSTITUTE(SUBSTITUTE(SUBSTITUTE(SUBSTITUTE(SUBSTITUTE(SUBSTITUTE(SUBSTITUTE(SUBSTITUTE(SUBSTITUTE(SUBSTITUTE(SUBSTITUTE(SUBSTITUTE(UPPER(TRIM($DX123)),"0",""),"1",""),"2",""),"3",""),"4",""),"5",""),"6",""),"7",""),"8",""),"9",""),".",""),"+",""),"-",""),"E","")="",LEN(SUBSTITUTE(SUBSTITUTE(MID(UPPER(TRIM($DX123)),1+OR(LEFT(UPPER(TRIM($DX123)),1)="+",LEFT(UPPER(TRIM($DX123)),1)="-"),999),"E+","E"),"E-","E"))=LEN(SUBSTITUTE(SUBSTITUTE(SUBSTITUTE(SUBSTITUTE(MID(UPPER(TRIM($DX123)),1+OR(LEFT(UPPER(TRIM($DX123)),1)="+",LEFT(UPPER(TRIM($DX123)),1)="-"),999),"E+","E"),"E-","E"),"+",""),"-","")),LEN(UPPER(TRIM($DX123)))-LEN(SUBSTITUTE(UPPER(TRIM($DX123)),"E",""))&lt;2,LEN(UPPER(TRIM($DX123)))-LEN(SUBSTITUTE(UPPER(TRIM($DX123)),".",""))&lt;2,IFERROR(FIND(".",UPPER(TRIM($DX123))),0)&lt;IFERROR(FIND("E",UPPER(TRIM($DX123))),999)),ISNUMBER(VALUE(TRIM($DX123)))),VALUE(TRIM($DX123)),"")))),""))</f>
        <v/>
      </c>
      <c r="DZ123">
        <f>IF($DM123=0,"",IF($L$17=0,"",IFERROR(IF(ISNUMBER(INDEX(PASTE_ALL,$DF123,$L$17)),INDEX(PASTE_ALL,$DF123,$L$17),SUBSTITUTE(SUBSTITUTE(TRIM(SUBSTITUTE(SUBSTITUTE(SUBSTITUTE(SUBSTITUTE(INDEX(PASTE_ALL,$DF123,$L$17)," "," "),CHAR(9)," "),CHAR(10)," "),CHAR(13)," ")),",",""),"%","")),"")))</f>
        <v/>
      </c>
      <c r="EA123">
        <f>IF($DM123=0,"",IFERROR(IF(ISNUMBER($DZ123),$DZ123,IF($DZ123="","",IF(TRIM($DZ123)="",0,IF(AND(AND(SUBSTITUTE(SUBSTITUTE(SUBSTITUTE(SUBSTITUTE(SUBSTITUTE(SUBSTITUTE(SUBSTITUTE(SUBSTITUTE(SUBSTITUTE(SUBSTITUTE(SUBSTITUTE(SUBSTITUTE(SUBSTITUTE(SUBSTITUTE(UPPER(TRIM($DZ123)),"0",""),"1",""),"2",""),"3",""),"4",""),"5",""),"6",""),"7",""),"8",""),"9",""),".",""),"+",""),"-",""),"E","")="",LEN(SUBSTITUTE(SUBSTITUTE(MID(UPPER(TRIM($DZ123)),1+OR(LEFT(UPPER(TRIM($DZ123)),1)="+",LEFT(UPPER(TRIM($DZ123)),1)="-"),999),"E+","E"),"E-","E"))=LEN(SUBSTITUTE(SUBSTITUTE(SUBSTITUTE(SUBSTITUTE(MID(UPPER(TRIM($DZ123)),1+OR(LEFT(UPPER(TRIM($DZ123)),1)="+",LEFT(UPPER(TRIM($DZ123)),1)="-"),999),"E+","E"),"E-","E"),"+",""),"-","")),LEN(UPPER(TRIM($DZ123)))-LEN(SUBSTITUTE(UPPER(TRIM($DZ123)),"E",""))&lt;2,LEN(UPPER(TRIM($DZ123)))-LEN(SUBSTITUTE(UPPER(TRIM($DZ123)),".",""))&lt;2,IFERROR(FIND(".",UPPER(TRIM($DZ123))),0)&lt;IFERROR(FIND("E",UPPER(TRIM($DZ123))),999)),ISNUMBER(VALUE(TRIM($DZ123)))),VALUE(TRIM($DZ123)),"")))),""))</f>
        <v/>
      </c>
      <c r="EB123">
        <f>IF($DM123=0,"",IF($L$18=0,"",IFERROR(IF(UPPER(TRIM(SUBSTITUTE(SUBSTITUTE(SUBSTITUTE(SUBSTITUTE(INDEX(PASTE_ALL,$DF123,$L$18)," "," "),CHAR(9)," "),CHAR(10)," "),CHAR(13)," ")))="READY","Ready",IF(UPPER(TRIM(SUBSTITUTE(SUBSTITUTE(SUBSTITUTE(SUBSTITUTE(INDEX(PASTE_ALL,$DF123,$L$18)," "," "),CHAR(9)," "),CHAR(10)," "),CHAR(13)," ")))="PM","PM",IF(OR(UPPER(TRIM(SUBSTITUTE(SUBSTITUTE(SUBSTITUTE(SUBSTITUTE(INDEX(PASTE_ALL,$DF123,$L$18)," "," "),CHAR(9)," "),CHAR(10)," "),CHAR(13)," ")))="OT",UPPER(TRIM(SUBSTITUTE(SUBSTITUTE(SUBSTITUTE(SUBSTITUTE(INDEX(PASTE_ALL,$DF123,$L$18)," "," "),CHAR(9)," "),CHAR(10)," "),CHAR(13)," ")))="OVERTIME",UPPER(TRIM(SUBSTITUTE(SUBSTITUTE(SUBSTITUTE(SUBSTITUTE(INDEX(PASTE_ALL,$DF123,$L$18)," "," "),CHAR(9)," "),CHAR(10)," "),CHAR(13)," ")))="TRIAL"),"OT",TRIM(SUBSTITUTE(SUBSTITUTE(SUBSTITUTE(SUBSTITUTE(INDEX(PASTE_ALL,$DF123,$L$18)," "," "),CHAR(9)," "),CHAR(10)," "),CHAR(13)," "))))),"")))</f>
        <v/>
      </c>
      <c r="EC123">
        <f>IF($DM123=0,"",IF($L$19=0,"",IFERROR(IF(ISNUMBER(INDEX(PASTE_ALL,$DF123,$L$19)),INDEX(PASTE_ALL,$DF123,$L$19),TRIM(SUBSTITUTE(SUBSTITUTE(SUBSTITUTE(SUBSTITUTE(INDEX(PASTE_ALL,$DF123,$L$19)," "," "),CHAR(9)," "),CHAR(10)," "),CHAR(13)," "))),"")))</f>
        <v/>
      </c>
      <c r="ED123">
        <f>IF($DM123=0,"",MATCH(1,INDEX(EXACT($DH$5:DH123,$DH123)*$DM$5:DM123,0),0))</f>
        <v/>
      </c>
      <c r="EE123">
        <f>IF($DM123=0,0,IF($ED123=$DE123,1,0))</f>
        <v/>
      </c>
      <c r="EF123">
        <f>EF122+$EE123</f>
        <v/>
      </c>
      <c r="EG123">
        <f>IF($DM123=0,"",INDEX($EF$5:$EF$1003,$ED123))</f>
        <v/>
      </c>
      <c r="EH123">
        <f>IF($DM123=0,"",IF($DO123&lt;&gt;"","",IFERROR(LOOKUP(2,1/(($EG$4:EG122=$EG123)*($DO$4:DO122&lt;&gt;"")),$DO$4:DO122),"")))</f>
        <v/>
      </c>
      <c r="EI123">
        <f>IF($DM123=0,"",IF($DO123&lt;&gt;"",$DO123,$EH123))</f>
        <v/>
      </c>
      <c r="EJ123">
        <f>IF($DM123=0,"",IF($EI123="",0,IF(OR(ISNUMBER($EI123),AND(AND(SUBSTITUTE(SUBSTITUTE(SUBSTITUTE(SUBSTITUTE(SUBSTITUTE(SUBSTITUTE(SUBSTITUTE(SUBSTITUTE(SUBSTITUTE(SUBSTITUTE(SUBSTITUTE(SUBSTITUTE(SUBSTITUTE(SUBSTITUTE(UPPER($EI123),"0",""),"1",""),"2",""),"3",""),"4",""),"5",""),"6",""),"7",""),"8",""),"9",""),".",""),"+",""),"-",""),"E","")="",LEN(SUBSTITUTE(SUBSTITUTE(MID(UPPER($EI123),1+OR(LEFT(UPPER($EI123),1)="+",LEFT(UPPER($EI123),1)="-"),999),"E+","E"),"E-","E"))=LEN(SUBSTITUTE(SUBSTITUTE(SUBSTITUTE(SUBSTITUTE(MID(UPPER($EI123),1+OR(LEFT(UPPER($EI123),1)="+",LEFT(UPPER($EI123),1)="-"),999),"E+","E"),"E-","E"),"+",""),"-","")),LEN(UPPER($EI123))-LEN(SUBSTITUTE(UPPER($EI123),"E",""))&lt;2,LEN(UPPER($EI123))-LEN(SUBSTITUTE(UPPER($EI123),".",""))&lt;2,IFERROR(FIND(".",UPPER($EI123)),0)&lt;IFERROR(FIND("E",UPPER($EI123)),999)),ISNUMBER(VALUE($EI123)))),1,2)))</f>
        <v/>
      </c>
      <c r="EK123">
        <f>IF($DM123=0,"",IF($EJ123=1,IF(ISNUMBER($EI123),$EI123,VALUE($EI123)),IF($EJ123=2,$DE123,0)))</f>
        <v/>
      </c>
      <c r="EL123">
        <f>IF($DM123=0,"",COUNTIF($EG$5:$EG$1003,"&lt;"&amp;$EG123)+SUMPRODUCT(($EG$5:$EG$1003=$EG123)*(($EJ$5:$EJ$1003&lt;$EJ123)+($EJ$5:$EJ$1003=$EJ123)*(($EK$5:$EK$1003&lt;$EK123)+($EK$5:$EK$1003=$EK123)*($DE$5:$DE$1003&lt;$DE123))))+1)</f>
        <v/>
      </c>
      <c r="EM123">
        <f>IF($DM123=0,"",$EL123+$EG123-1)</f>
        <v/>
      </c>
      <c r="EN123">
        <f>IF($DM123=0,0,IFERROR(MATCH(1,INDEX(--(TRIM(SUBSTITUTE(SUBSTITUTE(SUBSTITUTE(SUBSTITUTE(LINES_NAME&amp;""," "," "),CHAR(9)," "),CHAR(10)," "),CHAR(13)," "))=$DH123),0),0),0))</f>
        <v/>
      </c>
      <c r="EO123">
        <f>IF($EN123=0,0,IF(OR(UPPER(TRIM(INDEX(LINES_SCHEDULED,$EN123)&amp;""))="YES",UPPER(TRIM(INDEX(LINES_SCHEDULED,$EN123)&amp;""))="Y",UPPER(TRIM(INDEX(LINES_SCHEDULED,$EN123)&amp;""))="X"),1,0))</f>
        <v/>
      </c>
      <c r="EP123">
        <f>IF($DM123=0,"",IF(COUNTIFS($EG$5:$EG$1003,$EG123,$EB$5:$EB$1003,"Ready")&gt;0,"READY",IF(COUNTIFS($EG$5:$EG$1003,$EG123,$EB$5:$EB$1003,"PM")&gt;0,"PM",IF(COUNTIFS($EG$5:$EG$1003,$EG123,$EB$5:$EB$1003,"OT")&gt;0,"OT",""))))</f>
        <v/>
      </c>
      <c r="EQ123">
        <f>IF($EN123=0,"",UPPER(TRIM(INDEX(LINES_STATUS,$EN123)&amp;"")))</f>
        <v/>
      </c>
      <c r="ER123">
        <f>IF($DM123=0,"",IF(OR($EQ123="READY",$EQ123="PM",$EQ123="OT"),$EQ123,$EP123))</f>
        <v/>
      </c>
      <c r="ES123">
        <f>IF($DM123=0,"",IF(AND($DV123&lt;&gt;"",UPPER($DV123)&lt;&gt;"N"),"allergen",IF(ISNUMBER(SEARCH("oil",$DQ123)),"oil",IF(OR(EXACT($DS123,"A662"),EXACT($DS123,"A624")),"bulk",""))))</f>
        <v/>
      </c>
      <c r="ET123">
        <f>IF($DM123=0,"",IF(OR($EA123="",$EA123=0),"",$EA123/100))</f>
        <v/>
      </c>
      <c r="EU123">
        <f>IF(OR($ET123="",$DY123=""),"",INT($DY123*(1-$ET123)+0.5))</f>
        <v/>
      </c>
      <c r="EW123" t="n">
        <v>119</v>
      </c>
      <c r="EX123">
        <f>IFERROR(MATCH($EW123,$EM$5:$EM$1003,0),0)</f>
        <v/>
      </c>
      <c r="EY123">
        <f>IF($EW123&gt;$B$12,"",IF($EX123&gt;0,"row","spacer"))</f>
        <v/>
      </c>
      <c r="EZ123">
        <f>IF(AND($EY123="row",$EY122&lt;&gt;"row"),1,0)</f>
        <v/>
      </c>
      <c r="FA123">
        <f>IF(AND($EY123="row",$EY124&lt;&gt;"row"),1,0)</f>
        <v/>
      </c>
      <c r="FB123">
        <f>IF($EZ123=1,IFERROR(IF(ISNUMBER(INDEX(PASTE_ALL,INDEX($DF$5:$DF$1003,$EX123),$B$37)),INDEX(PASTE_ALL,INDEX($DF$5:$DF$1003,$EX123),$B$37),INDEX($DH$5:$DH$1003,$EX123)),INDEX($DH$5:$DH$1003,$EX123)),"")</f>
        <v/>
      </c>
      <c r="FC123">
        <f>IF($EY123="row",INDEX($ER$5:$ER$1003,$EX123),"")</f>
        <v/>
      </c>
      <c r="FD123">
        <f>IF($EY123="row",INDEX($DN$5:$DN$1003,$EX123),"")</f>
        <v/>
      </c>
      <c r="FE123">
        <f>IF($EY123="row",INDEX($DO$5:$DO$1003,$EX123),"")</f>
        <v/>
      </c>
      <c r="FF123">
        <f>IF($EY123="row",INDEX($DP$5:$DP$1003,$EX123),"")</f>
        <v/>
      </c>
      <c r="FG123">
        <f>IF($EY123="row",INDEX($DQ$5:$DQ$1003,$EX123),"")</f>
        <v/>
      </c>
      <c r="FH123">
        <f>IF($EY123="row",INDEX($DR$5:$DR$1003,$EX123),"")</f>
        <v/>
      </c>
      <c r="FI123">
        <f>IF($EY123="row",INDEX($DS$5:$DS$1003,$EX123),"")</f>
        <v/>
      </c>
      <c r="FJ123">
        <f>IF($EY123="row",INDEX($DT$5:$DT$1003,$EX123),"")</f>
        <v/>
      </c>
      <c r="FK123">
        <f>IF($EY123="row",INDEX($DU$5:$DU$1003,$EX123),"")</f>
        <v/>
      </c>
      <c r="FL123">
        <f>IF($EY123="row",INDEX($DV$5:$DV$1003,$EX123),"")</f>
        <v/>
      </c>
      <c r="FM123">
        <f>IF($EY123="row",INDEX($DW$5:$DW$1003,$EX123),"")</f>
        <v/>
      </c>
      <c r="FN123">
        <f>IF($EY123="row",INDEX($DY$5:$DY$1003,$EX123),"")</f>
        <v/>
      </c>
      <c r="FO123">
        <f>IF($EY123="row",INDEX($EA$5:$EA$1003,$EX123),"")</f>
        <v/>
      </c>
      <c r="FP123">
        <f>IF($EY123="row",INDEX($EC$5:$EC$1003,$EX123),"")</f>
        <v/>
      </c>
      <c r="FQ123">
        <f>IF($EY123="row",INDEX($ET$5:$ET$1003,$EX123),"")</f>
        <v/>
      </c>
      <c r="FR123">
        <f>IF($EY123="row",INDEX($EU$5:$EU$1003,$EX123),"")</f>
        <v/>
      </c>
      <c r="FS123">
        <f>IF(AND($EY123="row",$EY122="row"),IF(OR(INDEX($DT$5:$DT$1003,$EX122)="",INDEX($DT$5:$DT$1003,$EX123)=""),"",IF(NOT(EXACT(INDEX($DT$5:$DT$1003,$EX122),INDEX($DT$5:$DT$1003,$EX123))),"S4",IF(NOT(EXACT(INDEX($DS$5:$DS$1003,$EX122),INDEX($DS$5:$DS$1003,$EX123))),"S3",IF(NOT(EXACT(INDEX($DR$5:$DR$1003,$EX122),INDEX($DR$5:$DR$1003,$EX123))),"S1 Count Change","S1")))),"")</f>
        <v/>
      </c>
      <c r="FT123">
        <f>IF($EY123="row",INDEX($ES$5:$ES$1003,$EX123),"")</f>
        <v/>
      </c>
      <c r="FU123">
        <f>IF($EY123="row",INDEX($EO$5:$EO$1003,$EX123),0)</f>
        <v/>
      </c>
      <c r="FV123">
        <f>IF($FS123="S1 Count Change",1,0)</f>
        <v/>
      </c>
    </row>
    <row r="124">
      <c r="Y124">
        <f>IF(Y34="",0,IFERROR(INDEX($W$5:$W$86,MATCH(Y34,$V$5:$V$86,0)),0))</f>
        <v/>
      </c>
      <c r="Z124">
        <f>IF(Z34="",0,IFERROR(INDEX($W$5:$W$86,MATCH(Z34,$V$5:$V$86,0)),0))</f>
        <v/>
      </c>
      <c r="AA124">
        <f>IF(AA34="",0,IFERROR(INDEX($W$5:$W$86,MATCH(AA34,$V$5:$V$86,0)),0))</f>
        <v/>
      </c>
      <c r="AB124">
        <f>IF(AB34="",0,IFERROR(INDEX($W$5:$W$86,MATCH(AB34,$V$5:$V$86,0)),0))</f>
        <v/>
      </c>
      <c r="AC124">
        <f>IF(AC34="",0,IFERROR(INDEX($W$5:$W$86,MATCH(AC34,$V$5:$V$86,0)),0))</f>
        <v/>
      </c>
      <c r="AD124">
        <f>IF(AD34="",0,IFERROR(INDEX($W$5:$W$86,MATCH(AD34,$V$5:$V$86,0)),0))</f>
        <v/>
      </c>
      <c r="AE124">
        <f>IF(AE34="",0,IFERROR(INDEX($W$5:$W$86,MATCH(AE34,$V$5:$V$86,0)),0))</f>
        <v/>
      </c>
      <c r="AF124">
        <f>IF(AF34="",0,IFERROR(INDEX($W$5:$W$86,MATCH(AF34,$V$5:$V$86,0)),0))</f>
        <v/>
      </c>
      <c r="AG124">
        <f>IF(AG34="",0,IFERROR(INDEX($W$5:$W$86,MATCH(AG34,$V$5:$V$86,0)),0))</f>
        <v/>
      </c>
      <c r="AH124">
        <f>IF(AH34="",0,IFERROR(INDEX($W$5:$W$86,MATCH(AH34,$V$5:$V$86,0)),0))</f>
        <v/>
      </c>
      <c r="AI124">
        <f>IF(AI34="",0,IFERROR(INDEX($W$5:$W$86,MATCH(AI34,$V$5:$V$86,0)),0))</f>
        <v/>
      </c>
      <c r="AJ124">
        <f>IF(AJ34="",0,IFERROR(INDEX($W$5:$W$86,MATCH(AJ34,$V$5:$V$86,0)),0))</f>
        <v/>
      </c>
      <c r="AK124">
        <f>IF(AK34="",0,IFERROR(INDEX($W$5:$W$86,MATCH(AK34,$V$5:$V$86,0)),0))</f>
        <v/>
      </c>
      <c r="AL124">
        <f>IF(AL34="",0,IFERROR(INDEX($W$5:$W$86,MATCH(AL34,$V$5:$V$86,0)),0))</f>
        <v/>
      </c>
      <c r="AM124">
        <f>IF(AM34="",0,IFERROR(INDEX($W$5:$W$86,MATCH(AM34,$V$5:$V$86,0)),0))</f>
        <v/>
      </c>
      <c r="AN124">
        <f>IF(AN34="",0,IFERROR(INDEX($W$5:$W$86,MATCH(AN34,$V$5:$V$86,0)),0))</f>
        <v/>
      </c>
      <c r="AO124">
        <f>IF(AO34="",0,IFERROR(INDEX($W$5:$W$86,MATCH(AO34,$V$5:$V$86,0)),0))</f>
        <v/>
      </c>
      <c r="AP124">
        <f>IF(AP34="",0,IFERROR(INDEX($W$5:$W$86,MATCH(AP34,$V$5:$V$86,0)),0))</f>
        <v/>
      </c>
      <c r="AQ124">
        <f>IF(AQ34="",0,IFERROR(INDEX($W$5:$W$86,MATCH(AQ34,$V$5:$V$86,0)),0))</f>
        <v/>
      </c>
      <c r="AR124">
        <f>IF(AR34="",0,IFERROR(INDEX($W$5:$W$86,MATCH(AR34,$V$5:$V$86,0)),0))</f>
        <v/>
      </c>
      <c r="AS124">
        <f>IF(AS34="",0,IFERROR(INDEX($W$5:$W$86,MATCH(AS34,$V$5:$V$86,0)),0))</f>
        <v/>
      </c>
      <c r="AT124">
        <f>IF(AT34="",0,IFERROR(INDEX($W$5:$W$86,MATCH(AT34,$V$5:$V$86,0)),0))</f>
        <v/>
      </c>
      <c r="AU124">
        <f>IF(AU34="",0,IFERROR(INDEX($W$5:$W$86,MATCH(AU34,$V$5:$V$86,0)),0))</f>
        <v/>
      </c>
      <c r="AV124">
        <f>IF(AV34="",0,IFERROR(INDEX($W$5:$W$86,MATCH(AV34,$V$5:$V$86,0)),0))</f>
        <v/>
      </c>
      <c r="AW124">
        <f>IF(AW34="",0,IFERROR(INDEX($W$5:$W$86,MATCH(AW34,$V$5:$V$86,0)),0))</f>
        <v/>
      </c>
      <c r="AX124">
        <f>IF(AX34="",0,IFERROR(INDEX($W$5:$W$86,MATCH(AX34,$V$5:$V$86,0)),0))</f>
        <v/>
      </c>
      <c r="AY124">
        <f>IF(AY34="",0,IFERROR(INDEX($W$5:$W$86,MATCH(AY34,$V$5:$V$86,0)),0))</f>
        <v/>
      </c>
      <c r="AZ124">
        <f>IF(AZ34="",0,IFERROR(INDEX($W$5:$W$86,MATCH(AZ34,$V$5:$V$86,0)),0))</f>
        <v/>
      </c>
      <c r="BA124">
        <f>IF(BA34="",0,IFERROR(INDEX($W$5:$W$86,MATCH(BA34,$V$5:$V$86,0)),0))</f>
        <v/>
      </c>
      <c r="BB124">
        <f>IF(BB34="",0,IFERROR(INDEX($W$5:$W$86,MATCH(BB34,$V$5:$V$86,0)),0))</f>
        <v/>
      </c>
      <c r="BC124">
        <f>IF(BC34="",0,IFERROR(INDEX($W$5:$W$86,MATCH(BC34,$V$5:$V$86,0)),0))</f>
        <v/>
      </c>
      <c r="BD124">
        <f>IF(BD34="",0,IFERROR(INDEX($W$5:$W$86,MATCH(BD34,$V$5:$V$86,0)),0))</f>
        <v/>
      </c>
      <c r="BE124">
        <f>IF(BE34="",0,IFERROR(INDEX($W$5:$W$86,MATCH(BE34,$V$5:$V$86,0)),0))</f>
        <v/>
      </c>
      <c r="BF124">
        <f>IF(BF34="",0,IFERROR(INDEX($W$5:$W$86,MATCH(BF34,$V$5:$V$86,0)),0))</f>
        <v/>
      </c>
      <c r="BG124">
        <f>IF(BG34="",0,IFERROR(INDEX($W$5:$W$86,MATCH(BG34,$V$5:$V$86,0)),0))</f>
        <v/>
      </c>
      <c r="BH124">
        <f>IF(BH34="",0,IFERROR(INDEX($W$5:$W$86,MATCH(BH34,$V$5:$V$86,0)),0))</f>
        <v/>
      </c>
      <c r="BI124">
        <f>IF(BI34="",0,IFERROR(INDEX($W$5:$W$86,MATCH(BI34,$V$5:$V$86,0)),0))</f>
        <v/>
      </c>
      <c r="BJ124">
        <f>IF(BJ34="",0,IFERROR(INDEX($W$5:$W$86,MATCH(BJ34,$V$5:$V$86,0)),0))</f>
        <v/>
      </c>
      <c r="BK124">
        <f>IF(BK34="",0,IFERROR(INDEX($W$5:$W$86,MATCH(BK34,$V$5:$V$86,0)),0))</f>
        <v/>
      </c>
      <c r="BL124">
        <f>IF(BL34="",0,IFERROR(INDEX($W$5:$W$86,MATCH(BL34,$V$5:$V$86,0)),0))</f>
        <v/>
      </c>
      <c r="BM124">
        <f>IF(BM34="",0,IFERROR(INDEX($W$5:$W$86,MATCH(BM34,$V$5:$V$86,0)),0))</f>
        <v/>
      </c>
      <c r="BN124">
        <f>IF(BN34="",0,IFERROR(INDEX($W$5:$W$86,MATCH(BN34,$V$5:$V$86,0)),0))</f>
        <v/>
      </c>
      <c r="BO124">
        <f>IF(BO34="",0,IFERROR(INDEX($W$5:$W$86,MATCH(BO34,$V$5:$V$86,0)),0))</f>
        <v/>
      </c>
      <c r="BP124">
        <f>IF(BP34="",0,IFERROR(INDEX($W$5:$W$86,MATCH(BP34,$V$5:$V$86,0)),0))</f>
        <v/>
      </c>
      <c r="BQ124">
        <f>IF(BQ34="",0,IFERROR(INDEX($W$5:$W$86,MATCH(BQ34,$V$5:$V$86,0)),0))</f>
        <v/>
      </c>
      <c r="BR124">
        <f>IF(BR34="",0,IFERROR(INDEX($W$5:$W$86,MATCH(BR34,$V$5:$V$86,0)),0))</f>
        <v/>
      </c>
      <c r="BS124">
        <f>IF(BS34="",0,IFERROR(INDEX($W$5:$W$86,MATCH(BS34,$V$5:$V$86,0)),0))</f>
        <v/>
      </c>
      <c r="BT124">
        <f>IF(BT34="",0,IFERROR(INDEX($W$5:$W$86,MATCH(BT34,$V$5:$V$86,0)),0))</f>
        <v/>
      </c>
      <c r="BU124">
        <f>IF(BU34="",0,IFERROR(INDEX($W$5:$W$86,MATCH(BU34,$V$5:$V$86,0)),0))</f>
        <v/>
      </c>
      <c r="BV124">
        <f>IF(BV34="",0,IFERROR(INDEX($W$5:$W$86,MATCH(BV34,$V$5:$V$86,0)),0))</f>
        <v/>
      </c>
      <c r="BW124">
        <f>IF(BW34="",0,IFERROR(INDEX($W$5:$W$86,MATCH(BW34,$V$5:$V$86,0)),0))</f>
        <v/>
      </c>
      <c r="BX124">
        <f>IF(BX34="",0,IFERROR(INDEX($W$5:$W$86,MATCH(BX34,$V$5:$V$86,0)),0))</f>
        <v/>
      </c>
      <c r="BY124">
        <f>IF(BY34="",0,IFERROR(INDEX($W$5:$W$86,MATCH(BY34,$V$5:$V$86,0)),0))</f>
        <v/>
      </c>
      <c r="BZ124">
        <f>IF(BZ34="",0,IFERROR(INDEX($W$5:$W$86,MATCH(BZ34,$V$5:$V$86,0)),0))</f>
        <v/>
      </c>
      <c r="CA124">
        <f>IF(CA34="",0,IFERROR(INDEX($W$5:$W$86,MATCH(CA34,$V$5:$V$86,0)),0))</f>
        <v/>
      </c>
      <c r="CB124">
        <f>IF(CB34="",0,IFERROR(INDEX($W$5:$W$86,MATCH(CB34,$V$5:$V$86,0)),0))</f>
        <v/>
      </c>
      <c r="CC124">
        <f>IF(CC34="",0,IFERROR(INDEX($W$5:$W$86,MATCH(CC34,$V$5:$V$86,0)),0))</f>
        <v/>
      </c>
      <c r="CD124">
        <f>IF(CD34="",0,IFERROR(INDEX($W$5:$W$86,MATCH(CD34,$V$5:$V$86,0)),0))</f>
        <v/>
      </c>
      <c r="CE124">
        <f>IF(CE34="",0,IFERROR(INDEX($W$5:$W$86,MATCH(CE34,$V$5:$V$86,0)),0))</f>
        <v/>
      </c>
      <c r="CF124">
        <f>IF(CF34="",0,IFERROR(INDEX($W$5:$W$86,MATCH(CF34,$V$5:$V$86,0)),0))</f>
        <v/>
      </c>
      <c r="DA124" t="n">
        <v>120</v>
      </c>
      <c r="DB124">
        <f>IF($B$37=0,"",IFERROR(TRIM(SUBSTITUTE(SUBSTITUTE(SUBSTITUTE(SUBSTITUTE(INDEX(PASTE_ALL,120,$B$37)," "," "),CHAR(9)," "),CHAR(10)," "),CHAR(13)," ")),""))</f>
        <v/>
      </c>
      <c r="DC124">
        <f>IF(AND(120&gt;HEADER_ROW,UPPER(DB124)="LEGEND"),1,0)</f>
        <v/>
      </c>
      <c r="DE124" t="n">
        <v>120</v>
      </c>
      <c r="DF124">
        <f>HEADER_ROW+$DE124</f>
        <v/>
      </c>
      <c r="DG124">
        <f>IF(AND($DF124&lt;=1000,$DF124&lt;$B$8),1,0)</f>
        <v/>
      </c>
      <c r="DH124">
        <f>IF($DG124=1,IFERROR(INDEX($DB$5:$DB$1004,$DF124),""),"")</f>
        <v/>
      </c>
      <c r="DI124">
        <f>IF(AND($DG124=1,$DH124&lt;&gt;""),IFERROR(SUBSTITUTE(SUBSTITUTE(TRIM(SUBSTITUTE(SUBSTITUTE(SUBSTITUTE(SUBSTITUTE(IFERROR(INDEX(PASTE_ALL,$DF124,1)&amp;"","")&amp;"␟"&amp;IFERROR(INDEX(PASTE_ALL,$DF124,2)&amp;"","")&amp;"␟"&amp;IFERROR(INDEX(PASTE_ALL,$DF124,3)&amp;"","")&amp;"␟"&amp;IFERROR(INDEX(PASTE_ALL,$DF124,4)&amp;"","")&amp;"␟"&amp;IFERROR(INDEX(PASTE_ALL,$DF124,5)&amp;"","")&amp;"␟"&amp;IFERROR(INDEX(PASTE_ALL,$DF124,6)&amp;"","")&amp;"␟"&amp;IFERROR(INDEX(PASTE_ALL,$DF124,7)&amp;"","")&amp;"␟"&amp;IFERROR(INDEX(PASTE_ALL,$DF124,8)&amp;"","")&amp;"␟"&amp;IFERROR(INDEX(PASTE_ALL,$DF124,9)&amp;"","")&amp;"␟"&amp;IFERROR(INDEX(PASTE_ALL,$DF124,10)&amp;"","")&amp;"␟"&amp;IFERROR(INDEX(PASTE_ALL,$DF124,11)&amp;"","")&amp;"␟"&amp;IFERROR(INDEX(PASTE_ALL,$DF124,12)&amp;"","")&amp;"␟"&amp;IFERROR(INDEX(PASTE_ALL,$DF124,13)&amp;"","")&amp;"␟"&amp;IFERROR(INDEX(PASTE_ALL,$DF124,14)&amp;"","")&amp;"␟"&amp;IFERROR(INDEX(PASTE_ALL,$DF124,15)&amp;"","")&amp;"␟"&amp;IFERROR(INDEX(PASTE_ALL,$DF124,16)&amp;"","")&amp;"␟"&amp;IFERROR(INDEX(PASTE_ALL,$DF124,17)&amp;"","")&amp;"␟"&amp;IFERROR(INDEX(PASTE_ALL,$DF124,18)&amp;"","")&amp;"␟"&amp;IFERROR(INDEX(PASTE_ALL,$DF124,19)&amp;"","")&amp;"␟"&amp;IFERROR(INDEX(PASTE_ALL,$DF124,20)&amp;"","")&amp;"␟"&amp;IFERROR(INDEX(PASTE_ALL,$DF124,21)&amp;"","")&amp;"␟"&amp;IFERROR(INDEX(PASTE_ALL,$DF124,22)&amp;"","")&amp;"␟"&amp;IFERROR(INDEX(PASTE_ALL,$DF124,23)&amp;"","")&amp;"␟"&amp;IFERROR(INDEX(PASTE_ALL,$DF124,24)&amp;"","")&amp;"␟"&amp;IFERROR(INDEX(PASTE_ALL,$DF124,25)&amp;"","")&amp;"␟"&amp;IFERROR(INDEX(PASTE_ALL,$DF124,26)&amp;"","")&amp;"␟"&amp;IFERROR(INDEX(PASTE_ALL,$DF124,27)&amp;"","")&amp;"␟"&amp;IFERROR(INDEX(PASTE_ALL,$DF124,28)&amp;"","")&amp;"␟"&amp;IFERROR(INDEX(PASTE_ALL,$DF124,29)&amp;"","")&amp;"␟"&amp;IFERROR(INDEX(PASTE_ALL,$DF124,30)&amp;"","")&amp;"␟"&amp;IFERROR(INDEX(PASTE_ALL,$DF124,31)&amp;"","")&amp;"␟"&amp;IFERROR(INDEX(PASTE_ALL,$DF124,32)&amp;"","")&amp;"␟"&amp;IFERROR(INDEX(PASTE_ALL,$DF124,33)&amp;"","")&amp;"␟"&amp;IFERROR(INDEX(PASTE_ALL,$DF124,34)&amp;"","")&amp;"␟"&amp;IFERROR(INDEX(PASTE_ALL,$DF124,35)&amp;"","")&amp;"␟"&amp;IFERROR(INDEX(PASTE_ALL,$DF124,36)&amp;"","")&amp;"␟"&amp;IFERROR(INDEX(PASTE_ALL,$DF124,37)&amp;"","")&amp;"␟"&amp;IFERROR(INDEX(PASTE_ALL,$DF124,38)&amp;"","")&amp;"␟"&amp;IFERROR(INDEX(PASTE_ALL,$DF124,39)&amp;"","")&amp;"␟"&amp;IFERROR(INDEX(PASTE_ALL,$DF124,40)&amp;"","")&amp;"␟"&amp;IFERROR(INDEX(PASTE_ALL,$DF124,41)&amp;"","")&amp;"␟"&amp;IFERROR(INDEX(PASTE_ALL,$DF124,42)&amp;"","")&amp;"␟"&amp;IFERROR(INDEX(PASTE_ALL,$DF124,43)&amp;"","")&amp;"␟"&amp;IFERROR(INDEX(PASTE_ALL,$DF124,44)&amp;"","")&amp;"␟"&amp;IFERROR(INDEX(PASTE_ALL,$DF124,45)&amp;"","")&amp;"␟"&amp;IFERROR(INDEX(PASTE_ALL,$DF124,46)&amp;"","")&amp;"␟"&amp;IFERROR(INDEX(PASTE_ALL,$DF124,47)&amp;"","")&amp;"␟"&amp;IFERROR(INDEX(PASTE_ALL,$DF124,48)&amp;"","")&amp;"␟"&amp;IFERROR(INDEX(PASTE_ALL,$DF124,49)&amp;"","")&amp;"␟"&amp;IFERROR(INDEX(PASTE_ALL,$DF124,50)&amp;"","")&amp;"␟"&amp;IFERROR(INDEX(PASTE_ALL,$DF124,51)&amp;"","")&amp;"␟"&amp;IFERROR(INDEX(PASTE_ALL,$DF124,52)&amp;"","")&amp;"␟"&amp;IFERROR(INDEX(PASTE_ALL,$DF124,53)&amp;"","")&amp;"␟"&amp;IFERROR(INDEX(PASTE_ALL,$DF124,54)&amp;"","")&amp;"␟"&amp;IFERROR(INDEX(PASTE_ALL,$DF124,55)&amp;"","")&amp;"␟"&amp;IFERROR(INDEX(PASTE_ALL,$DF124,56)&amp;"","")&amp;"␟"&amp;IFERROR(INDEX(PASTE_ALL,$DF124,57)&amp;"","")&amp;"␟"&amp;IFERROR(INDEX(PASTE_ALL,$DF124,58)&amp;"","")&amp;"␟"&amp;IFERROR(INDEX(PASTE_ALL,$DF124,59)&amp;"","")&amp;"␟"&amp;IFERROR(INDEX(PASTE_ALL,$DF124,60)&amp;"","")," "," "),CHAR(9)," "),CHAR(10)," "),CHAR(13)," "))," ␟","␟"),"␟ ","␟"),"#"&amp;$DE124),"")</f>
        <v/>
      </c>
      <c r="DJ124">
        <f>IF($DI124="",0,IF(SUMPRODUCT(--EXACT($DI$4:DI123,$DI124))&gt;0,1,0))</f>
        <v/>
      </c>
      <c r="DK124">
        <f>IF(AND($DI124&lt;&gt;"",$DJ124=0),1,0)</f>
        <v/>
      </c>
      <c r="DL124">
        <f>DL123+$DK124</f>
        <v/>
      </c>
      <c r="DM124">
        <f>IF(AND($DK124=1,$DL124&lt;=600),1,0)</f>
        <v/>
      </c>
      <c r="DN124">
        <f>IF($DM124=0,"",IF($L$6=0,"",IFERROR(IF(ISNUMBER(INDEX(PASTE_ALL,$DF124,$L$6)),INDEX(PASTE_ALL,$DF124,$L$6),TRIM(SUBSTITUTE(SUBSTITUTE(SUBSTITUTE(SUBSTITUTE(INDEX(PASTE_ALL,$DF124,$L$6)," "," "),CHAR(9)," "),CHAR(10)," "),CHAR(13)," "))),"")))</f>
        <v/>
      </c>
      <c r="DO124">
        <f>IF($DM124=0,"",IF($L$7=0,"",IFERROR(IF(ISNUMBER(INDEX(PASTE_ALL,$DF124,$L$7)),INDEX(PASTE_ALL,$DF124,$L$7),TRIM(SUBSTITUTE(SUBSTITUTE(SUBSTITUTE(SUBSTITUTE(INDEX(PASTE_ALL,$DF124,$L$7)," "," "),CHAR(9)," "),CHAR(10)," "),CHAR(13)," "))),"")))</f>
        <v/>
      </c>
      <c r="DP124">
        <f>IF($DM124=0,"",IF($L$8=0,"",IFERROR(IF(ISNUMBER(INDEX(PASTE_ALL,$DF124,$L$8)),INDEX(PASTE_ALL,$DF124,$L$8),TRIM(SUBSTITUTE(SUBSTITUTE(SUBSTITUTE(SUBSTITUTE(INDEX(PASTE_ALL,$DF124,$L$8)," "," "),CHAR(9)," "),CHAR(10)," "),CHAR(13)," "))),"")))</f>
        <v/>
      </c>
      <c r="DQ124">
        <f>IF($DM124=0,"",IF($L$9=0,"",IFERROR(IF(ISNUMBER(INDEX(PASTE_ALL,$DF124,$L$9)),INDEX(PASTE_ALL,$DF124,$L$9),TRIM(SUBSTITUTE(SUBSTITUTE(SUBSTITUTE(SUBSTITUTE(INDEX(PASTE_ALL,$DF124,$L$9)," "," "),CHAR(9)," "),CHAR(10)," "),CHAR(13)," "))),"")))</f>
        <v/>
      </c>
      <c r="DR124">
        <f>IF($DM124=0,"",IF($L$10=0,"",IFERROR(IF(ISNUMBER(INDEX(PASTE_ALL,$DF124,$L$10)),INDEX(PASTE_ALL,$DF124,$L$10),TRIM(SUBSTITUTE(SUBSTITUTE(SUBSTITUTE(SUBSTITUTE(INDEX(PASTE_ALL,$DF124,$L$10)," "," "),CHAR(9)," "),CHAR(10)," "),CHAR(13)," "))),"")))</f>
        <v/>
      </c>
      <c r="DS124">
        <f>IF($DM124=0,"",IF($L$11=0,"",IFERROR(IF(ISNUMBER(INDEX(PASTE_ALL,$DF124,$L$11)),INDEX(PASTE_ALL,$DF124,$L$11),TRIM(SUBSTITUTE(SUBSTITUTE(SUBSTITUTE(SUBSTITUTE(INDEX(PASTE_ALL,$DF124,$L$11)," "," "),CHAR(9)," "),CHAR(10)," "),CHAR(13)," "))),"")))</f>
        <v/>
      </c>
      <c r="DT124">
        <f>IF($DM124=0,"",IF($L$12=0,"",IFERROR(IF(ISNUMBER(INDEX(PASTE_ALL,$DF124,$L$12)),INDEX(PASTE_ALL,$DF124,$L$12),TRIM(SUBSTITUTE(SUBSTITUTE(SUBSTITUTE(SUBSTITUTE(INDEX(PASTE_ALL,$DF124,$L$12)," "," "),CHAR(9)," "),CHAR(10)," "),CHAR(13)," "))),"")))</f>
        <v/>
      </c>
      <c r="DU124">
        <f>IF($DM124=0,"",IF($L$13=0,"",IFERROR(IF(ISNUMBER(INDEX(PASTE_ALL,$DF124,$L$13)),INDEX(PASTE_ALL,$DF124,$L$13),TRIM(SUBSTITUTE(SUBSTITUTE(SUBSTITUTE(SUBSTITUTE(INDEX(PASTE_ALL,$DF124,$L$13)," "," "),CHAR(9)," "),CHAR(10)," "),CHAR(13)," "))),"")))</f>
        <v/>
      </c>
      <c r="DV124">
        <f>IF($DM124=0,"",IF($L$14=0,"",IFERROR(IF(ISNUMBER(INDEX(PASTE_ALL,$DF124,$L$14)),INDEX(PASTE_ALL,$DF124,$L$14),TRIM(SUBSTITUTE(SUBSTITUTE(SUBSTITUTE(SUBSTITUTE(INDEX(PASTE_ALL,$DF124,$L$14)," "," "),CHAR(9)," "),CHAR(10)," "),CHAR(13)," "))),"")))</f>
        <v/>
      </c>
      <c r="DW124">
        <f>IF($DM124=0,"",IF($L$15=0,"",IFERROR(IF(ISNUMBER(INDEX(PASTE_ALL,$DF124,$L$15)),INDEX(PASTE_ALL,$DF124,$L$15),IF(SUMPRODUCT(--ISNUMBER(FIND({"A","B","C","D","E","F","G","H","I","J","K","L","M","N","O","P","Q","R","S","T","U","V","W","X","Y","Z","0","1","2","3","4","5","6","7","8","9"},UPPER(TRIM(SUBSTITUTE(SUBSTITUTE(SUBSTITUTE(SUBSTITUTE(INDEX(PASTE_ALL,$DF124,$L$15)," "," "),CHAR(9)," "),CHAR(10)," "),CHAR(13)," "))))))&gt;0,TRIM(SUBSTITUTE(SUBSTITUTE(SUBSTITUTE(SUBSTITUTE(INDEX(PASTE_ALL,$DF124,$L$15)," "," "),CHAR(9)," "),CHAR(10)," "),CHAR(13)," ")),"")),"")))</f>
        <v/>
      </c>
      <c r="DX124">
        <f>IF($DM124=0,"",IF($L$16=0,"",IFERROR(IF(ISNUMBER(INDEX(PASTE_ALL,$DF124,$L$16)),INDEX(PASTE_ALL,$DF124,$L$16),SUBSTITUTE(SUBSTITUTE(TRIM(SUBSTITUTE(SUBSTITUTE(SUBSTITUTE(SUBSTITUTE(INDEX(PASTE_ALL,$DF124,$L$16)," "," "),CHAR(9)," "),CHAR(10)," "),CHAR(13)," ")),",",""),"%","")),"")))</f>
        <v/>
      </c>
      <c r="DY124">
        <f>IF($DM124=0,"",IFERROR(IF(ISNUMBER($DX124),$DX124,IF($DX124="","",IF(TRIM($DX124)="",0,IF(AND(AND(SUBSTITUTE(SUBSTITUTE(SUBSTITUTE(SUBSTITUTE(SUBSTITUTE(SUBSTITUTE(SUBSTITUTE(SUBSTITUTE(SUBSTITUTE(SUBSTITUTE(SUBSTITUTE(SUBSTITUTE(SUBSTITUTE(SUBSTITUTE(UPPER(TRIM($DX124)),"0",""),"1",""),"2",""),"3",""),"4",""),"5",""),"6",""),"7",""),"8",""),"9",""),".",""),"+",""),"-",""),"E","")="",LEN(SUBSTITUTE(SUBSTITUTE(MID(UPPER(TRIM($DX124)),1+OR(LEFT(UPPER(TRIM($DX124)),1)="+",LEFT(UPPER(TRIM($DX124)),1)="-"),999),"E+","E"),"E-","E"))=LEN(SUBSTITUTE(SUBSTITUTE(SUBSTITUTE(SUBSTITUTE(MID(UPPER(TRIM($DX124)),1+OR(LEFT(UPPER(TRIM($DX124)),1)="+",LEFT(UPPER(TRIM($DX124)),1)="-"),999),"E+","E"),"E-","E"),"+",""),"-","")),LEN(UPPER(TRIM($DX124)))-LEN(SUBSTITUTE(UPPER(TRIM($DX124)),"E",""))&lt;2,LEN(UPPER(TRIM($DX124)))-LEN(SUBSTITUTE(UPPER(TRIM($DX124)),".",""))&lt;2,IFERROR(FIND(".",UPPER(TRIM($DX124))),0)&lt;IFERROR(FIND("E",UPPER(TRIM($DX124))),999)),ISNUMBER(VALUE(TRIM($DX124)))),VALUE(TRIM($DX124)),"")))),""))</f>
        <v/>
      </c>
      <c r="DZ124">
        <f>IF($DM124=0,"",IF($L$17=0,"",IFERROR(IF(ISNUMBER(INDEX(PASTE_ALL,$DF124,$L$17)),INDEX(PASTE_ALL,$DF124,$L$17),SUBSTITUTE(SUBSTITUTE(TRIM(SUBSTITUTE(SUBSTITUTE(SUBSTITUTE(SUBSTITUTE(INDEX(PASTE_ALL,$DF124,$L$17)," "," "),CHAR(9)," "),CHAR(10)," "),CHAR(13)," ")),",",""),"%","")),"")))</f>
        <v/>
      </c>
      <c r="EA124">
        <f>IF($DM124=0,"",IFERROR(IF(ISNUMBER($DZ124),$DZ124,IF($DZ124="","",IF(TRIM($DZ124)="",0,IF(AND(AND(SUBSTITUTE(SUBSTITUTE(SUBSTITUTE(SUBSTITUTE(SUBSTITUTE(SUBSTITUTE(SUBSTITUTE(SUBSTITUTE(SUBSTITUTE(SUBSTITUTE(SUBSTITUTE(SUBSTITUTE(SUBSTITUTE(SUBSTITUTE(UPPER(TRIM($DZ124)),"0",""),"1",""),"2",""),"3",""),"4",""),"5",""),"6",""),"7",""),"8",""),"9",""),".",""),"+",""),"-",""),"E","")="",LEN(SUBSTITUTE(SUBSTITUTE(MID(UPPER(TRIM($DZ124)),1+OR(LEFT(UPPER(TRIM($DZ124)),1)="+",LEFT(UPPER(TRIM($DZ124)),1)="-"),999),"E+","E"),"E-","E"))=LEN(SUBSTITUTE(SUBSTITUTE(SUBSTITUTE(SUBSTITUTE(MID(UPPER(TRIM($DZ124)),1+OR(LEFT(UPPER(TRIM($DZ124)),1)="+",LEFT(UPPER(TRIM($DZ124)),1)="-"),999),"E+","E"),"E-","E"),"+",""),"-","")),LEN(UPPER(TRIM($DZ124)))-LEN(SUBSTITUTE(UPPER(TRIM($DZ124)),"E",""))&lt;2,LEN(UPPER(TRIM($DZ124)))-LEN(SUBSTITUTE(UPPER(TRIM($DZ124)),".",""))&lt;2,IFERROR(FIND(".",UPPER(TRIM($DZ124))),0)&lt;IFERROR(FIND("E",UPPER(TRIM($DZ124))),999)),ISNUMBER(VALUE(TRIM($DZ124)))),VALUE(TRIM($DZ124)),"")))),""))</f>
        <v/>
      </c>
      <c r="EB124">
        <f>IF($DM124=0,"",IF($L$18=0,"",IFERROR(IF(UPPER(TRIM(SUBSTITUTE(SUBSTITUTE(SUBSTITUTE(SUBSTITUTE(INDEX(PASTE_ALL,$DF124,$L$18)," "," "),CHAR(9)," "),CHAR(10)," "),CHAR(13)," ")))="READY","Ready",IF(UPPER(TRIM(SUBSTITUTE(SUBSTITUTE(SUBSTITUTE(SUBSTITUTE(INDEX(PASTE_ALL,$DF124,$L$18)," "," "),CHAR(9)," "),CHAR(10)," "),CHAR(13)," ")))="PM","PM",IF(OR(UPPER(TRIM(SUBSTITUTE(SUBSTITUTE(SUBSTITUTE(SUBSTITUTE(INDEX(PASTE_ALL,$DF124,$L$18)," "," "),CHAR(9)," "),CHAR(10)," "),CHAR(13)," ")))="OT",UPPER(TRIM(SUBSTITUTE(SUBSTITUTE(SUBSTITUTE(SUBSTITUTE(INDEX(PASTE_ALL,$DF124,$L$18)," "," "),CHAR(9)," "),CHAR(10)," "),CHAR(13)," ")))="OVERTIME",UPPER(TRIM(SUBSTITUTE(SUBSTITUTE(SUBSTITUTE(SUBSTITUTE(INDEX(PASTE_ALL,$DF124,$L$18)," "," "),CHAR(9)," "),CHAR(10)," "),CHAR(13)," ")))="TRIAL"),"OT",TRIM(SUBSTITUTE(SUBSTITUTE(SUBSTITUTE(SUBSTITUTE(INDEX(PASTE_ALL,$DF124,$L$18)," "," "),CHAR(9)," "),CHAR(10)," "),CHAR(13)," "))))),"")))</f>
        <v/>
      </c>
      <c r="EC124">
        <f>IF($DM124=0,"",IF($L$19=0,"",IFERROR(IF(ISNUMBER(INDEX(PASTE_ALL,$DF124,$L$19)),INDEX(PASTE_ALL,$DF124,$L$19),TRIM(SUBSTITUTE(SUBSTITUTE(SUBSTITUTE(SUBSTITUTE(INDEX(PASTE_ALL,$DF124,$L$19)," "," "),CHAR(9)," "),CHAR(10)," "),CHAR(13)," "))),"")))</f>
        <v/>
      </c>
      <c r="ED124">
        <f>IF($DM124=0,"",MATCH(1,INDEX(EXACT($DH$5:DH124,$DH124)*$DM$5:DM124,0),0))</f>
        <v/>
      </c>
      <c r="EE124">
        <f>IF($DM124=0,0,IF($ED124=$DE124,1,0))</f>
        <v/>
      </c>
      <c r="EF124">
        <f>EF123+$EE124</f>
        <v/>
      </c>
      <c r="EG124">
        <f>IF($DM124=0,"",INDEX($EF$5:$EF$1003,$ED124))</f>
        <v/>
      </c>
      <c r="EH124">
        <f>IF($DM124=0,"",IF($DO124&lt;&gt;"","",IFERROR(LOOKUP(2,1/(($EG$4:EG123=$EG124)*($DO$4:DO123&lt;&gt;"")),$DO$4:DO123),"")))</f>
        <v/>
      </c>
      <c r="EI124">
        <f>IF($DM124=0,"",IF($DO124&lt;&gt;"",$DO124,$EH124))</f>
        <v/>
      </c>
      <c r="EJ124">
        <f>IF($DM124=0,"",IF($EI124="",0,IF(OR(ISNUMBER($EI124),AND(AND(SUBSTITUTE(SUBSTITUTE(SUBSTITUTE(SUBSTITUTE(SUBSTITUTE(SUBSTITUTE(SUBSTITUTE(SUBSTITUTE(SUBSTITUTE(SUBSTITUTE(SUBSTITUTE(SUBSTITUTE(SUBSTITUTE(SUBSTITUTE(UPPER($EI124),"0",""),"1",""),"2",""),"3",""),"4",""),"5",""),"6",""),"7",""),"8",""),"9",""),".",""),"+",""),"-",""),"E","")="",LEN(SUBSTITUTE(SUBSTITUTE(MID(UPPER($EI124),1+OR(LEFT(UPPER($EI124),1)="+",LEFT(UPPER($EI124),1)="-"),999),"E+","E"),"E-","E"))=LEN(SUBSTITUTE(SUBSTITUTE(SUBSTITUTE(SUBSTITUTE(MID(UPPER($EI124),1+OR(LEFT(UPPER($EI124),1)="+",LEFT(UPPER($EI124),1)="-"),999),"E+","E"),"E-","E"),"+",""),"-","")),LEN(UPPER($EI124))-LEN(SUBSTITUTE(UPPER($EI124),"E",""))&lt;2,LEN(UPPER($EI124))-LEN(SUBSTITUTE(UPPER($EI124),".",""))&lt;2,IFERROR(FIND(".",UPPER($EI124)),0)&lt;IFERROR(FIND("E",UPPER($EI124)),999)),ISNUMBER(VALUE($EI124)))),1,2)))</f>
        <v/>
      </c>
      <c r="EK124">
        <f>IF($DM124=0,"",IF($EJ124=1,IF(ISNUMBER($EI124),$EI124,VALUE($EI124)),IF($EJ124=2,$DE124,0)))</f>
        <v/>
      </c>
      <c r="EL124">
        <f>IF($DM124=0,"",COUNTIF($EG$5:$EG$1003,"&lt;"&amp;$EG124)+SUMPRODUCT(($EG$5:$EG$1003=$EG124)*(($EJ$5:$EJ$1003&lt;$EJ124)+($EJ$5:$EJ$1003=$EJ124)*(($EK$5:$EK$1003&lt;$EK124)+($EK$5:$EK$1003=$EK124)*($DE$5:$DE$1003&lt;$DE124))))+1)</f>
        <v/>
      </c>
      <c r="EM124">
        <f>IF($DM124=0,"",$EL124+$EG124-1)</f>
        <v/>
      </c>
      <c r="EN124">
        <f>IF($DM124=0,0,IFERROR(MATCH(1,INDEX(--(TRIM(SUBSTITUTE(SUBSTITUTE(SUBSTITUTE(SUBSTITUTE(LINES_NAME&amp;""," "," "),CHAR(9)," "),CHAR(10)," "),CHAR(13)," "))=$DH124),0),0),0))</f>
        <v/>
      </c>
      <c r="EO124">
        <f>IF($EN124=0,0,IF(OR(UPPER(TRIM(INDEX(LINES_SCHEDULED,$EN124)&amp;""))="YES",UPPER(TRIM(INDEX(LINES_SCHEDULED,$EN124)&amp;""))="Y",UPPER(TRIM(INDEX(LINES_SCHEDULED,$EN124)&amp;""))="X"),1,0))</f>
        <v/>
      </c>
      <c r="EP124">
        <f>IF($DM124=0,"",IF(COUNTIFS($EG$5:$EG$1003,$EG124,$EB$5:$EB$1003,"Ready")&gt;0,"READY",IF(COUNTIFS($EG$5:$EG$1003,$EG124,$EB$5:$EB$1003,"PM")&gt;0,"PM",IF(COUNTIFS($EG$5:$EG$1003,$EG124,$EB$5:$EB$1003,"OT")&gt;0,"OT",""))))</f>
        <v/>
      </c>
      <c r="EQ124">
        <f>IF($EN124=0,"",UPPER(TRIM(INDEX(LINES_STATUS,$EN124)&amp;"")))</f>
        <v/>
      </c>
      <c r="ER124">
        <f>IF($DM124=0,"",IF(OR($EQ124="READY",$EQ124="PM",$EQ124="OT"),$EQ124,$EP124))</f>
        <v/>
      </c>
      <c r="ES124">
        <f>IF($DM124=0,"",IF(AND($DV124&lt;&gt;"",UPPER($DV124)&lt;&gt;"N"),"allergen",IF(ISNUMBER(SEARCH("oil",$DQ124)),"oil",IF(OR(EXACT($DS124,"A662"),EXACT($DS124,"A624")),"bulk",""))))</f>
        <v/>
      </c>
      <c r="ET124">
        <f>IF($DM124=0,"",IF(OR($EA124="",$EA124=0),"",$EA124/100))</f>
        <v/>
      </c>
      <c r="EU124">
        <f>IF(OR($ET124="",$DY124=""),"",INT($DY124*(1-$ET124)+0.5))</f>
        <v/>
      </c>
      <c r="EW124" t="n">
        <v>120</v>
      </c>
      <c r="EX124">
        <f>IFERROR(MATCH($EW124,$EM$5:$EM$1003,0),0)</f>
        <v/>
      </c>
      <c r="EY124">
        <f>IF($EW124&gt;$B$12,"",IF($EX124&gt;0,"row","spacer"))</f>
        <v/>
      </c>
      <c r="EZ124">
        <f>IF(AND($EY124="row",$EY123&lt;&gt;"row"),1,0)</f>
        <v/>
      </c>
      <c r="FA124">
        <f>IF(AND($EY124="row",$EY125&lt;&gt;"row"),1,0)</f>
        <v/>
      </c>
      <c r="FB124">
        <f>IF($EZ124=1,IFERROR(IF(ISNUMBER(INDEX(PASTE_ALL,INDEX($DF$5:$DF$1003,$EX124),$B$37)),INDEX(PASTE_ALL,INDEX($DF$5:$DF$1003,$EX124),$B$37),INDEX($DH$5:$DH$1003,$EX124)),INDEX($DH$5:$DH$1003,$EX124)),"")</f>
        <v/>
      </c>
      <c r="FC124">
        <f>IF($EY124="row",INDEX($ER$5:$ER$1003,$EX124),"")</f>
        <v/>
      </c>
      <c r="FD124">
        <f>IF($EY124="row",INDEX($DN$5:$DN$1003,$EX124),"")</f>
        <v/>
      </c>
      <c r="FE124">
        <f>IF($EY124="row",INDEX($DO$5:$DO$1003,$EX124),"")</f>
        <v/>
      </c>
      <c r="FF124">
        <f>IF($EY124="row",INDEX($DP$5:$DP$1003,$EX124),"")</f>
        <v/>
      </c>
      <c r="FG124">
        <f>IF($EY124="row",INDEX($DQ$5:$DQ$1003,$EX124),"")</f>
        <v/>
      </c>
      <c r="FH124">
        <f>IF($EY124="row",INDEX($DR$5:$DR$1003,$EX124),"")</f>
        <v/>
      </c>
      <c r="FI124">
        <f>IF($EY124="row",INDEX($DS$5:$DS$1003,$EX124),"")</f>
        <v/>
      </c>
      <c r="FJ124">
        <f>IF($EY124="row",INDEX($DT$5:$DT$1003,$EX124),"")</f>
        <v/>
      </c>
      <c r="FK124">
        <f>IF($EY124="row",INDEX($DU$5:$DU$1003,$EX124),"")</f>
        <v/>
      </c>
      <c r="FL124">
        <f>IF($EY124="row",INDEX($DV$5:$DV$1003,$EX124),"")</f>
        <v/>
      </c>
      <c r="FM124">
        <f>IF($EY124="row",INDEX($DW$5:$DW$1003,$EX124),"")</f>
        <v/>
      </c>
      <c r="FN124">
        <f>IF($EY124="row",INDEX($DY$5:$DY$1003,$EX124),"")</f>
        <v/>
      </c>
      <c r="FO124">
        <f>IF($EY124="row",INDEX($EA$5:$EA$1003,$EX124),"")</f>
        <v/>
      </c>
      <c r="FP124">
        <f>IF($EY124="row",INDEX($EC$5:$EC$1003,$EX124),"")</f>
        <v/>
      </c>
      <c r="FQ124">
        <f>IF($EY124="row",INDEX($ET$5:$ET$1003,$EX124),"")</f>
        <v/>
      </c>
      <c r="FR124">
        <f>IF($EY124="row",INDEX($EU$5:$EU$1003,$EX124),"")</f>
        <v/>
      </c>
      <c r="FS124">
        <f>IF(AND($EY124="row",$EY123="row"),IF(OR(INDEX($DT$5:$DT$1003,$EX123)="",INDEX($DT$5:$DT$1003,$EX124)=""),"",IF(NOT(EXACT(INDEX($DT$5:$DT$1003,$EX123),INDEX($DT$5:$DT$1003,$EX124))),"S4",IF(NOT(EXACT(INDEX($DS$5:$DS$1003,$EX123),INDEX($DS$5:$DS$1003,$EX124))),"S3",IF(NOT(EXACT(INDEX($DR$5:$DR$1003,$EX123),INDEX($DR$5:$DR$1003,$EX124))),"S1 Count Change","S1")))),"")</f>
        <v/>
      </c>
      <c r="FT124">
        <f>IF($EY124="row",INDEX($ES$5:$ES$1003,$EX124),"")</f>
        <v/>
      </c>
      <c r="FU124">
        <f>IF($EY124="row",INDEX($EO$5:$EO$1003,$EX124),0)</f>
        <v/>
      </c>
      <c r="FV124">
        <f>IF($FS124="S1 Count Change",1,0)</f>
        <v/>
      </c>
    </row>
    <row r="125">
      <c r="Y125">
        <f>IF(Y35="",0,IFERROR(INDEX($W$5:$W$86,MATCH(Y35,$V$5:$V$86,0)),0))</f>
        <v/>
      </c>
      <c r="Z125">
        <f>IF(Z35="",0,IFERROR(INDEX($W$5:$W$86,MATCH(Z35,$V$5:$V$86,0)),0))</f>
        <v/>
      </c>
      <c r="AA125">
        <f>IF(AA35="",0,IFERROR(INDEX($W$5:$W$86,MATCH(AA35,$V$5:$V$86,0)),0))</f>
        <v/>
      </c>
      <c r="AB125">
        <f>IF(AB35="",0,IFERROR(INDEX($W$5:$W$86,MATCH(AB35,$V$5:$V$86,0)),0))</f>
        <v/>
      </c>
      <c r="AC125">
        <f>IF(AC35="",0,IFERROR(INDEX($W$5:$W$86,MATCH(AC35,$V$5:$V$86,0)),0))</f>
        <v/>
      </c>
      <c r="AD125">
        <f>IF(AD35="",0,IFERROR(INDEX($W$5:$W$86,MATCH(AD35,$V$5:$V$86,0)),0))</f>
        <v/>
      </c>
      <c r="AE125">
        <f>IF(AE35="",0,IFERROR(INDEX($W$5:$W$86,MATCH(AE35,$V$5:$V$86,0)),0))</f>
        <v/>
      </c>
      <c r="AF125">
        <f>IF(AF35="",0,IFERROR(INDEX($W$5:$W$86,MATCH(AF35,$V$5:$V$86,0)),0))</f>
        <v/>
      </c>
      <c r="AG125">
        <f>IF(AG35="",0,IFERROR(INDEX($W$5:$W$86,MATCH(AG35,$V$5:$V$86,0)),0))</f>
        <v/>
      </c>
      <c r="AH125">
        <f>IF(AH35="",0,IFERROR(INDEX($W$5:$W$86,MATCH(AH35,$V$5:$V$86,0)),0))</f>
        <v/>
      </c>
      <c r="AI125">
        <f>IF(AI35="",0,IFERROR(INDEX($W$5:$W$86,MATCH(AI35,$V$5:$V$86,0)),0))</f>
        <v/>
      </c>
      <c r="AJ125">
        <f>IF(AJ35="",0,IFERROR(INDEX($W$5:$W$86,MATCH(AJ35,$V$5:$V$86,0)),0))</f>
        <v/>
      </c>
      <c r="AK125">
        <f>IF(AK35="",0,IFERROR(INDEX($W$5:$W$86,MATCH(AK35,$V$5:$V$86,0)),0))</f>
        <v/>
      </c>
      <c r="AL125">
        <f>IF(AL35="",0,IFERROR(INDEX($W$5:$W$86,MATCH(AL35,$V$5:$V$86,0)),0))</f>
        <v/>
      </c>
      <c r="AM125">
        <f>IF(AM35="",0,IFERROR(INDEX($W$5:$W$86,MATCH(AM35,$V$5:$V$86,0)),0))</f>
        <v/>
      </c>
      <c r="AN125">
        <f>IF(AN35="",0,IFERROR(INDEX($W$5:$W$86,MATCH(AN35,$V$5:$V$86,0)),0))</f>
        <v/>
      </c>
      <c r="AO125">
        <f>IF(AO35="",0,IFERROR(INDEX($W$5:$W$86,MATCH(AO35,$V$5:$V$86,0)),0))</f>
        <v/>
      </c>
      <c r="AP125">
        <f>IF(AP35="",0,IFERROR(INDEX($W$5:$W$86,MATCH(AP35,$V$5:$V$86,0)),0))</f>
        <v/>
      </c>
      <c r="AQ125">
        <f>IF(AQ35="",0,IFERROR(INDEX($W$5:$W$86,MATCH(AQ35,$V$5:$V$86,0)),0))</f>
        <v/>
      </c>
      <c r="AR125">
        <f>IF(AR35="",0,IFERROR(INDEX($W$5:$W$86,MATCH(AR35,$V$5:$V$86,0)),0))</f>
        <v/>
      </c>
      <c r="AS125">
        <f>IF(AS35="",0,IFERROR(INDEX($W$5:$W$86,MATCH(AS35,$V$5:$V$86,0)),0))</f>
        <v/>
      </c>
      <c r="AT125">
        <f>IF(AT35="",0,IFERROR(INDEX($W$5:$W$86,MATCH(AT35,$V$5:$V$86,0)),0))</f>
        <v/>
      </c>
      <c r="AU125">
        <f>IF(AU35="",0,IFERROR(INDEX($W$5:$W$86,MATCH(AU35,$V$5:$V$86,0)),0))</f>
        <v/>
      </c>
      <c r="AV125">
        <f>IF(AV35="",0,IFERROR(INDEX($W$5:$W$86,MATCH(AV35,$V$5:$V$86,0)),0))</f>
        <v/>
      </c>
      <c r="AW125">
        <f>IF(AW35="",0,IFERROR(INDEX($W$5:$W$86,MATCH(AW35,$V$5:$V$86,0)),0))</f>
        <v/>
      </c>
      <c r="AX125">
        <f>IF(AX35="",0,IFERROR(INDEX($W$5:$W$86,MATCH(AX35,$V$5:$V$86,0)),0))</f>
        <v/>
      </c>
      <c r="AY125">
        <f>IF(AY35="",0,IFERROR(INDEX($W$5:$W$86,MATCH(AY35,$V$5:$V$86,0)),0))</f>
        <v/>
      </c>
      <c r="AZ125">
        <f>IF(AZ35="",0,IFERROR(INDEX($W$5:$W$86,MATCH(AZ35,$V$5:$V$86,0)),0))</f>
        <v/>
      </c>
      <c r="BA125">
        <f>IF(BA35="",0,IFERROR(INDEX($W$5:$W$86,MATCH(BA35,$V$5:$V$86,0)),0))</f>
        <v/>
      </c>
      <c r="BB125">
        <f>IF(BB35="",0,IFERROR(INDEX($W$5:$W$86,MATCH(BB35,$V$5:$V$86,0)),0))</f>
        <v/>
      </c>
      <c r="BC125">
        <f>IF(BC35="",0,IFERROR(INDEX($W$5:$W$86,MATCH(BC35,$V$5:$V$86,0)),0))</f>
        <v/>
      </c>
      <c r="BD125">
        <f>IF(BD35="",0,IFERROR(INDEX($W$5:$W$86,MATCH(BD35,$V$5:$V$86,0)),0))</f>
        <v/>
      </c>
      <c r="BE125">
        <f>IF(BE35="",0,IFERROR(INDEX($W$5:$W$86,MATCH(BE35,$V$5:$V$86,0)),0))</f>
        <v/>
      </c>
      <c r="BF125">
        <f>IF(BF35="",0,IFERROR(INDEX($W$5:$W$86,MATCH(BF35,$V$5:$V$86,0)),0))</f>
        <v/>
      </c>
      <c r="BG125">
        <f>IF(BG35="",0,IFERROR(INDEX($W$5:$W$86,MATCH(BG35,$V$5:$V$86,0)),0))</f>
        <v/>
      </c>
      <c r="BH125">
        <f>IF(BH35="",0,IFERROR(INDEX($W$5:$W$86,MATCH(BH35,$V$5:$V$86,0)),0))</f>
        <v/>
      </c>
      <c r="BI125">
        <f>IF(BI35="",0,IFERROR(INDEX($W$5:$W$86,MATCH(BI35,$V$5:$V$86,0)),0))</f>
        <v/>
      </c>
      <c r="BJ125">
        <f>IF(BJ35="",0,IFERROR(INDEX($W$5:$W$86,MATCH(BJ35,$V$5:$V$86,0)),0))</f>
        <v/>
      </c>
      <c r="BK125">
        <f>IF(BK35="",0,IFERROR(INDEX($W$5:$W$86,MATCH(BK35,$V$5:$V$86,0)),0))</f>
        <v/>
      </c>
      <c r="BL125">
        <f>IF(BL35="",0,IFERROR(INDEX($W$5:$W$86,MATCH(BL35,$V$5:$V$86,0)),0))</f>
        <v/>
      </c>
      <c r="BM125">
        <f>IF(BM35="",0,IFERROR(INDEX($W$5:$W$86,MATCH(BM35,$V$5:$V$86,0)),0))</f>
        <v/>
      </c>
      <c r="BN125">
        <f>IF(BN35="",0,IFERROR(INDEX($W$5:$W$86,MATCH(BN35,$V$5:$V$86,0)),0))</f>
        <v/>
      </c>
      <c r="BO125">
        <f>IF(BO35="",0,IFERROR(INDEX($W$5:$W$86,MATCH(BO35,$V$5:$V$86,0)),0))</f>
        <v/>
      </c>
      <c r="BP125">
        <f>IF(BP35="",0,IFERROR(INDEX($W$5:$W$86,MATCH(BP35,$V$5:$V$86,0)),0))</f>
        <v/>
      </c>
      <c r="BQ125">
        <f>IF(BQ35="",0,IFERROR(INDEX($W$5:$W$86,MATCH(BQ35,$V$5:$V$86,0)),0))</f>
        <v/>
      </c>
      <c r="BR125">
        <f>IF(BR35="",0,IFERROR(INDEX($W$5:$W$86,MATCH(BR35,$V$5:$V$86,0)),0))</f>
        <v/>
      </c>
      <c r="BS125">
        <f>IF(BS35="",0,IFERROR(INDEX($W$5:$W$86,MATCH(BS35,$V$5:$V$86,0)),0))</f>
        <v/>
      </c>
      <c r="BT125">
        <f>IF(BT35="",0,IFERROR(INDEX($W$5:$W$86,MATCH(BT35,$V$5:$V$86,0)),0))</f>
        <v/>
      </c>
      <c r="BU125">
        <f>IF(BU35="",0,IFERROR(INDEX($W$5:$W$86,MATCH(BU35,$V$5:$V$86,0)),0))</f>
        <v/>
      </c>
      <c r="BV125">
        <f>IF(BV35="",0,IFERROR(INDEX($W$5:$W$86,MATCH(BV35,$V$5:$V$86,0)),0))</f>
        <v/>
      </c>
      <c r="BW125">
        <f>IF(BW35="",0,IFERROR(INDEX($W$5:$W$86,MATCH(BW35,$V$5:$V$86,0)),0))</f>
        <v/>
      </c>
      <c r="BX125">
        <f>IF(BX35="",0,IFERROR(INDEX($W$5:$W$86,MATCH(BX35,$V$5:$V$86,0)),0))</f>
        <v/>
      </c>
      <c r="BY125">
        <f>IF(BY35="",0,IFERROR(INDEX($W$5:$W$86,MATCH(BY35,$V$5:$V$86,0)),0))</f>
        <v/>
      </c>
      <c r="BZ125">
        <f>IF(BZ35="",0,IFERROR(INDEX($W$5:$W$86,MATCH(BZ35,$V$5:$V$86,0)),0))</f>
        <v/>
      </c>
      <c r="CA125">
        <f>IF(CA35="",0,IFERROR(INDEX($W$5:$W$86,MATCH(CA35,$V$5:$V$86,0)),0))</f>
        <v/>
      </c>
      <c r="CB125">
        <f>IF(CB35="",0,IFERROR(INDEX($W$5:$W$86,MATCH(CB35,$V$5:$V$86,0)),0))</f>
        <v/>
      </c>
      <c r="CC125">
        <f>IF(CC35="",0,IFERROR(INDEX($W$5:$W$86,MATCH(CC35,$V$5:$V$86,0)),0))</f>
        <v/>
      </c>
      <c r="CD125">
        <f>IF(CD35="",0,IFERROR(INDEX($W$5:$W$86,MATCH(CD35,$V$5:$V$86,0)),0))</f>
        <v/>
      </c>
      <c r="CE125">
        <f>IF(CE35="",0,IFERROR(INDEX($W$5:$W$86,MATCH(CE35,$V$5:$V$86,0)),0))</f>
        <v/>
      </c>
      <c r="CF125">
        <f>IF(CF35="",0,IFERROR(INDEX($W$5:$W$86,MATCH(CF35,$V$5:$V$86,0)),0))</f>
        <v/>
      </c>
      <c r="DA125" t="n">
        <v>121</v>
      </c>
      <c r="DB125">
        <f>IF($B$37=0,"",IFERROR(TRIM(SUBSTITUTE(SUBSTITUTE(SUBSTITUTE(SUBSTITUTE(INDEX(PASTE_ALL,121,$B$37)," "," "),CHAR(9)," "),CHAR(10)," "),CHAR(13)," ")),""))</f>
        <v/>
      </c>
      <c r="DC125">
        <f>IF(AND(121&gt;HEADER_ROW,UPPER(DB125)="LEGEND"),1,0)</f>
        <v/>
      </c>
      <c r="DE125" t="n">
        <v>121</v>
      </c>
      <c r="DF125">
        <f>HEADER_ROW+$DE125</f>
        <v/>
      </c>
      <c r="DG125">
        <f>IF(AND($DF125&lt;=1000,$DF125&lt;$B$8),1,0)</f>
        <v/>
      </c>
      <c r="DH125">
        <f>IF($DG125=1,IFERROR(INDEX($DB$5:$DB$1004,$DF125),""),"")</f>
        <v/>
      </c>
      <c r="DI125">
        <f>IF(AND($DG125=1,$DH125&lt;&gt;""),IFERROR(SUBSTITUTE(SUBSTITUTE(TRIM(SUBSTITUTE(SUBSTITUTE(SUBSTITUTE(SUBSTITUTE(IFERROR(INDEX(PASTE_ALL,$DF125,1)&amp;"","")&amp;"␟"&amp;IFERROR(INDEX(PASTE_ALL,$DF125,2)&amp;"","")&amp;"␟"&amp;IFERROR(INDEX(PASTE_ALL,$DF125,3)&amp;"","")&amp;"␟"&amp;IFERROR(INDEX(PASTE_ALL,$DF125,4)&amp;"","")&amp;"␟"&amp;IFERROR(INDEX(PASTE_ALL,$DF125,5)&amp;"","")&amp;"␟"&amp;IFERROR(INDEX(PASTE_ALL,$DF125,6)&amp;"","")&amp;"␟"&amp;IFERROR(INDEX(PASTE_ALL,$DF125,7)&amp;"","")&amp;"␟"&amp;IFERROR(INDEX(PASTE_ALL,$DF125,8)&amp;"","")&amp;"␟"&amp;IFERROR(INDEX(PASTE_ALL,$DF125,9)&amp;"","")&amp;"␟"&amp;IFERROR(INDEX(PASTE_ALL,$DF125,10)&amp;"","")&amp;"␟"&amp;IFERROR(INDEX(PASTE_ALL,$DF125,11)&amp;"","")&amp;"␟"&amp;IFERROR(INDEX(PASTE_ALL,$DF125,12)&amp;"","")&amp;"␟"&amp;IFERROR(INDEX(PASTE_ALL,$DF125,13)&amp;"","")&amp;"␟"&amp;IFERROR(INDEX(PASTE_ALL,$DF125,14)&amp;"","")&amp;"␟"&amp;IFERROR(INDEX(PASTE_ALL,$DF125,15)&amp;"","")&amp;"␟"&amp;IFERROR(INDEX(PASTE_ALL,$DF125,16)&amp;"","")&amp;"␟"&amp;IFERROR(INDEX(PASTE_ALL,$DF125,17)&amp;"","")&amp;"␟"&amp;IFERROR(INDEX(PASTE_ALL,$DF125,18)&amp;"","")&amp;"␟"&amp;IFERROR(INDEX(PASTE_ALL,$DF125,19)&amp;"","")&amp;"␟"&amp;IFERROR(INDEX(PASTE_ALL,$DF125,20)&amp;"","")&amp;"␟"&amp;IFERROR(INDEX(PASTE_ALL,$DF125,21)&amp;"","")&amp;"␟"&amp;IFERROR(INDEX(PASTE_ALL,$DF125,22)&amp;"","")&amp;"␟"&amp;IFERROR(INDEX(PASTE_ALL,$DF125,23)&amp;"","")&amp;"␟"&amp;IFERROR(INDEX(PASTE_ALL,$DF125,24)&amp;"","")&amp;"␟"&amp;IFERROR(INDEX(PASTE_ALL,$DF125,25)&amp;"","")&amp;"␟"&amp;IFERROR(INDEX(PASTE_ALL,$DF125,26)&amp;"","")&amp;"␟"&amp;IFERROR(INDEX(PASTE_ALL,$DF125,27)&amp;"","")&amp;"␟"&amp;IFERROR(INDEX(PASTE_ALL,$DF125,28)&amp;"","")&amp;"␟"&amp;IFERROR(INDEX(PASTE_ALL,$DF125,29)&amp;"","")&amp;"␟"&amp;IFERROR(INDEX(PASTE_ALL,$DF125,30)&amp;"","")&amp;"␟"&amp;IFERROR(INDEX(PASTE_ALL,$DF125,31)&amp;"","")&amp;"␟"&amp;IFERROR(INDEX(PASTE_ALL,$DF125,32)&amp;"","")&amp;"␟"&amp;IFERROR(INDEX(PASTE_ALL,$DF125,33)&amp;"","")&amp;"␟"&amp;IFERROR(INDEX(PASTE_ALL,$DF125,34)&amp;"","")&amp;"␟"&amp;IFERROR(INDEX(PASTE_ALL,$DF125,35)&amp;"","")&amp;"␟"&amp;IFERROR(INDEX(PASTE_ALL,$DF125,36)&amp;"","")&amp;"␟"&amp;IFERROR(INDEX(PASTE_ALL,$DF125,37)&amp;"","")&amp;"␟"&amp;IFERROR(INDEX(PASTE_ALL,$DF125,38)&amp;"","")&amp;"␟"&amp;IFERROR(INDEX(PASTE_ALL,$DF125,39)&amp;"","")&amp;"␟"&amp;IFERROR(INDEX(PASTE_ALL,$DF125,40)&amp;"","")&amp;"␟"&amp;IFERROR(INDEX(PASTE_ALL,$DF125,41)&amp;"","")&amp;"␟"&amp;IFERROR(INDEX(PASTE_ALL,$DF125,42)&amp;"","")&amp;"␟"&amp;IFERROR(INDEX(PASTE_ALL,$DF125,43)&amp;"","")&amp;"␟"&amp;IFERROR(INDEX(PASTE_ALL,$DF125,44)&amp;"","")&amp;"␟"&amp;IFERROR(INDEX(PASTE_ALL,$DF125,45)&amp;"","")&amp;"␟"&amp;IFERROR(INDEX(PASTE_ALL,$DF125,46)&amp;"","")&amp;"␟"&amp;IFERROR(INDEX(PASTE_ALL,$DF125,47)&amp;"","")&amp;"␟"&amp;IFERROR(INDEX(PASTE_ALL,$DF125,48)&amp;"","")&amp;"␟"&amp;IFERROR(INDEX(PASTE_ALL,$DF125,49)&amp;"","")&amp;"␟"&amp;IFERROR(INDEX(PASTE_ALL,$DF125,50)&amp;"","")&amp;"␟"&amp;IFERROR(INDEX(PASTE_ALL,$DF125,51)&amp;"","")&amp;"␟"&amp;IFERROR(INDEX(PASTE_ALL,$DF125,52)&amp;"","")&amp;"␟"&amp;IFERROR(INDEX(PASTE_ALL,$DF125,53)&amp;"","")&amp;"␟"&amp;IFERROR(INDEX(PASTE_ALL,$DF125,54)&amp;"","")&amp;"␟"&amp;IFERROR(INDEX(PASTE_ALL,$DF125,55)&amp;"","")&amp;"␟"&amp;IFERROR(INDEX(PASTE_ALL,$DF125,56)&amp;"","")&amp;"␟"&amp;IFERROR(INDEX(PASTE_ALL,$DF125,57)&amp;"","")&amp;"␟"&amp;IFERROR(INDEX(PASTE_ALL,$DF125,58)&amp;"","")&amp;"␟"&amp;IFERROR(INDEX(PASTE_ALL,$DF125,59)&amp;"","")&amp;"␟"&amp;IFERROR(INDEX(PASTE_ALL,$DF125,60)&amp;"","")," "," "),CHAR(9)," "),CHAR(10)," "),CHAR(13)," "))," ␟","␟"),"␟ ","␟"),"#"&amp;$DE125),"")</f>
        <v/>
      </c>
      <c r="DJ125">
        <f>IF($DI125="",0,IF(SUMPRODUCT(--EXACT($DI$4:DI124,$DI125))&gt;0,1,0))</f>
        <v/>
      </c>
      <c r="DK125">
        <f>IF(AND($DI125&lt;&gt;"",$DJ125=0),1,0)</f>
        <v/>
      </c>
      <c r="DL125">
        <f>DL124+$DK125</f>
        <v/>
      </c>
      <c r="DM125">
        <f>IF(AND($DK125=1,$DL125&lt;=600),1,0)</f>
        <v/>
      </c>
      <c r="DN125">
        <f>IF($DM125=0,"",IF($L$6=0,"",IFERROR(IF(ISNUMBER(INDEX(PASTE_ALL,$DF125,$L$6)),INDEX(PASTE_ALL,$DF125,$L$6),TRIM(SUBSTITUTE(SUBSTITUTE(SUBSTITUTE(SUBSTITUTE(INDEX(PASTE_ALL,$DF125,$L$6)," "," "),CHAR(9)," "),CHAR(10)," "),CHAR(13)," "))),"")))</f>
        <v/>
      </c>
      <c r="DO125">
        <f>IF($DM125=0,"",IF($L$7=0,"",IFERROR(IF(ISNUMBER(INDEX(PASTE_ALL,$DF125,$L$7)),INDEX(PASTE_ALL,$DF125,$L$7),TRIM(SUBSTITUTE(SUBSTITUTE(SUBSTITUTE(SUBSTITUTE(INDEX(PASTE_ALL,$DF125,$L$7)," "," "),CHAR(9)," "),CHAR(10)," "),CHAR(13)," "))),"")))</f>
        <v/>
      </c>
      <c r="DP125">
        <f>IF($DM125=0,"",IF($L$8=0,"",IFERROR(IF(ISNUMBER(INDEX(PASTE_ALL,$DF125,$L$8)),INDEX(PASTE_ALL,$DF125,$L$8),TRIM(SUBSTITUTE(SUBSTITUTE(SUBSTITUTE(SUBSTITUTE(INDEX(PASTE_ALL,$DF125,$L$8)," "," "),CHAR(9)," "),CHAR(10)," "),CHAR(13)," "))),"")))</f>
        <v/>
      </c>
      <c r="DQ125">
        <f>IF($DM125=0,"",IF($L$9=0,"",IFERROR(IF(ISNUMBER(INDEX(PASTE_ALL,$DF125,$L$9)),INDEX(PASTE_ALL,$DF125,$L$9),TRIM(SUBSTITUTE(SUBSTITUTE(SUBSTITUTE(SUBSTITUTE(INDEX(PASTE_ALL,$DF125,$L$9)," "," "),CHAR(9)," "),CHAR(10)," "),CHAR(13)," "))),"")))</f>
        <v/>
      </c>
      <c r="DR125">
        <f>IF($DM125=0,"",IF($L$10=0,"",IFERROR(IF(ISNUMBER(INDEX(PASTE_ALL,$DF125,$L$10)),INDEX(PASTE_ALL,$DF125,$L$10),TRIM(SUBSTITUTE(SUBSTITUTE(SUBSTITUTE(SUBSTITUTE(INDEX(PASTE_ALL,$DF125,$L$10)," "," "),CHAR(9)," "),CHAR(10)," "),CHAR(13)," "))),"")))</f>
        <v/>
      </c>
      <c r="DS125">
        <f>IF($DM125=0,"",IF($L$11=0,"",IFERROR(IF(ISNUMBER(INDEX(PASTE_ALL,$DF125,$L$11)),INDEX(PASTE_ALL,$DF125,$L$11),TRIM(SUBSTITUTE(SUBSTITUTE(SUBSTITUTE(SUBSTITUTE(INDEX(PASTE_ALL,$DF125,$L$11)," "," "),CHAR(9)," "),CHAR(10)," "),CHAR(13)," "))),"")))</f>
        <v/>
      </c>
      <c r="DT125">
        <f>IF($DM125=0,"",IF($L$12=0,"",IFERROR(IF(ISNUMBER(INDEX(PASTE_ALL,$DF125,$L$12)),INDEX(PASTE_ALL,$DF125,$L$12),TRIM(SUBSTITUTE(SUBSTITUTE(SUBSTITUTE(SUBSTITUTE(INDEX(PASTE_ALL,$DF125,$L$12)," "," "),CHAR(9)," "),CHAR(10)," "),CHAR(13)," "))),"")))</f>
        <v/>
      </c>
      <c r="DU125">
        <f>IF($DM125=0,"",IF($L$13=0,"",IFERROR(IF(ISNUMBER(INDEX(PASTE_ALL,$DF125,$L$13)),INDEX(PASTE_ALL,$DF125,$L$13),TRIM(SUBSTITUTE(SUBSTITUTE(SUBSTITUTE(SUBSTITUTE(INDEX(PASTE_ALL,$DF125,$L$13)," "," "),CHAR(9)," "),CHAR(10)," "),CHAR(13)," "))),"")))</f>
        <v/>
      </c>
      <c r="DV125">
        <f>IF($DM125=0,"",IF($L$14=0,"",IFERROR(IF(ISNUMBER(INDEX(PASTE_ALL,$DF125,$L$14)),INDEX(PASTE_ALL,$DF125,$L$14),TRIM(SUBSTITUTE(SUBSTITUTE(SUBSTITUTE(SUBSTITUTE(INDEX(PASTE_ALL,$DF125,$L$14)," "," "),CHAR(9)," "),CHAR(10)," "),CHAR(13)," "))),"")))</f>
        <v/>
      </c>
      <c r="DW125">
        <f>IF($DM125=0,"",IF($L$15=0,"",IFERROR(IF(ISNUMBER(INDEX(PASTE_ALL,$DF125,$L$15)),INDEX(PASTE_ALL,$DF125,$L$15),IF(SUMPRODUCT(--ISNUMBER(FIND({"A","B","C","D","E","F","G","H","I","J","K","L","M","N","O","P","Q","R","S","T","U","V","W","X","Y","Z","0","1","2","3","4","5","6","7","8","9"},UPPER(TRIM(SUBSTITUTE(SUBSTITUTE(SUBSTITUTE(SUBSTITUTE(INDEX(PASTE_ALL,$DF125,$L$15)," "," "),CHAR(9)," "),CHAR(10)," "),CHAR(13)," "))))))&gt;0,TRIM(SUBSTITUTE(SUBSTITUTE(SUBSTITUTE(SUBSTITUTE(INDEX(PASTE_ALL,$DF125,$L$15)," "," "),CHAR(9)," "),CHAR(10)," "),CHAR(13)," ")),"")),"")))</f>
        <v/>
      </c>
      <c r="DX125">
        <f>IF($DM125=0,"",IF($L$16=0,"",IFERROR(IF(ISNUMBER(INDEX(PASTE_ALL,$DF125,$L$16)),INDEX(PASTE_ALL,$DF125,$L$16),SUBSTITUTE(SUBSTITUTE(TRIM(SUBSTITUTE(SUBSTITUTE(SUBSTITUTE(SUBSTITUTE(INDEX(PASTE_ALL,$DF125,$L$16)," "," "),CHAR(9)," "),CHAR(10)," "),CHAR(13)," ")),",",""),"%","")),"")))</f>
        <v/>
      </c>
      <c r="DY125">
        <f>IF($DM125=0,"",IFERROR(IF(ISNUMBER($DX125),$DX125,IF($DX125="","",IF(TRIM($DX125)="",0,IF(AND(AND(SUBSTITUTE(SUBSTITUTE(SUBSTITUTE(SUBSTITUTE(SUBSTITUTE(SUBSTITUTE(SUBSTITUTE(SUBSTITUTE(SUBSTITUTE(SUBSTITUTE(SUBSTITUTE(SUBSTITUTE(SUBSTITUTE(SUBSTITUTE(UPPER(TRIM($DX125)),"0",""),"1",""),"2",""),"3",""),"4",""),"5",""),"6",""),"7",""),"8",""),"9",""),".",""),"+",""),"-",""),"E","")="",LEN(SUBSTITUTE(SUBSTITUTE(MID(UPPER(TRIM($DX125)),1+OR(LEFT(UPPER(TRIM($DX125)),1)="+",LEFT(UPPER(TRIM($DX125)),1)="-"),999),"E+","E"),"E-","E"))=LEN(SUBSTITUTE(SUBSTITUTE(SUBSTITUTE(SUBSTITUTE(MID(UPPER(TRIM($DX125)),1+OR(LEFT(UPPER(TRIM($DX125)),1)="+",LEFT(UPPER(TRIM($DX125)),1)="-"),999),"E+","E"),"E-","E"),"+",""),"-","")),LEN(UPPER(TRIM($DX125)))-LEN(SUBSTITUTE(UPPER(TRIM($DX125)),"E",""))&lt;2,LEN(UPPER(TRIM($DX125)))-LEN(SUBSTITUTE(UPPER(TRIM($DX125)),".",""))&lt;2,IFERROR(FIND(".",UPPER(TRIM($DX125))),0)&lt;IFERROR(FIND("E",UPPER(TRIM($DX125))),999)),ISNUMBER(VALUE(TRIM($DX125)))),VALUE(TRIM($DX125)),"")))),""))</f>
        <v/>
      </c>
      <c r="DZ125">
        <f>IF($DM125=0,"",IF($L$17=0,"",IFERROR(IF(ISNUMBER(INDEX(PASTE_ALL,$DF125,$L$17)),INDEX(PASTE_ALL,$DF125,$L$17),SUBSTITUTE(SUBSTITUTE(TRIM(SUBSTITUTE(SUBSTITUTE(SUBSTITUTE(SUBSTITUTE(INDEX(PASTE_ALL,$DF125,$L$17)," "," "),CHAR(9)," "),CHAR(10)," "),CHAR(13)," ")),",",""),"%","")),"")))</f>
        <v/>
      </c>
      <c r="EA125">
        <f>IF($DM125=0,"",IFERROR(IF(ISNUMBER($DZ125),$DZ125,IF($DZ125="","",IF(TRIM($DZ125)="",0,IF(AND(AND(SUBSTITUTE(SUBSTITUTE(SUBSTITUTE(SUBSTITUTE(SUBSTITUTE(SUBSTITUTE(SUBSTITUTE(SUBSTITUTE(SUBSTITUTE(SUBSTITUTE(SUBSTITUTE(SUBSTITUTE(SUBSTITUTE(SUBSTITUTE(UPPER(TRIM($DZ125)),"0",""),"1",""),"2",""),"3",""),"4",""),"5",""),"6",""),"7",""),"8",""),"9",""),".",""),"+",""),"-",""),"E","")="",LEN(SUBSTITUTE(SUBSTITUTE(MID(UPPER(TRIM($DZ125)),1+OR(LEFT(UPPER(TRIM($DZ125)),1)="+",LEFT(UPPER(TRIM($DZ125)),1)="-"),999),"E+","E"),"E-","E"))=LEN(SUBSTITUTE(SUBSTITUTE(SUBSTITUTE(SUBSTITUTE(MID(UPPER(TRIM($DZ125)),1+OR(LEFT(UPPER(TRIM($DZ125)),1)="+",LEFT(UPPER(TRIM($DZ125)),1)="-"),999),"E+","E"),"E-","E"),"+",""),"-","")),LEN(UPPER(TRIM($DZ125)))-LEN(SUBSTITUTE(UPPER(TRIM($DZ125)),"E",""))&lt;2,LEN(UPPER(TRIM($DZ125)))-LEN(SUBSTITUTE(UPPER(TRIM($DZ125)),".",""))&lt;2,IFERROR(FIND(".",UPPER(TRIM($DZ125))),0)&lt;IFERROR(FIND("E",UPPER(TRIM($DZ125))),999)),ISNUMBER(VALUE(TRIM($DZ125)))),VALUE(TRIM($DZ125)),"")))),""))</f>
        <v/>
      </c>
      <c r="EB125">
        <f>IF($DM125=0,"",IF($L$18=0,"",IFERROR(IF(UPPER(TRIM(SUBSTITUTE(SUBSTITUTE(SUBSTITUTE(SUBSTITUTE(INDEX(PASTE_ALL,$DF125,$L$18)," "," "),CHAR(9)," "),CHAR(10)," "),CHAR(13)," ")))="READY","Ready",IF(UPPER(TRIM(SUBSTITUTE(SUBSTITUTE(SUBSTITUTE(SUBSTITUTE(INDEX(PASTE_ALL,$DF125,$L$18)," "," "),CHAR(9)," "),CHAR(10)," "),CHAR(13)," ")))="PM","PM",IF(OR(UPPER(TRIM(SUBSTITUTE(SUBSTITUTE(SUBSTITUTE(SUBSTITUTE(INDEX(PASTE_ALL,$DF125,$L$18)," "," "),CHAR(9)," "),CHAR(10)," "),CHAR(13)," ")))="OT",UPPER(TRIM(SUBSTITUTE(SUBSTITUTE(SUBSTITUTE(SUBSTITUTE(INDEX(PASTE_ALL,$DF125,$L$18)," "," "),CHAR(9)," "),CHAR(10)," "),CHAR(13)," ")))="OVERTIME",UPPER(TRIM(SUBSTITUTE(SUBSTITUTE(SUBSTITUTE(SUBSTITUTE(INDEX(PASTE_ALL,$DF125,$L$18)," "," "),CHAR(9)," "),CHAR(10)," "),CHAR(13)," ")))="TRIAL"),"OT",TRIM(SUBSTITUTE(SUBSTITUTE(SUBSTITUTE(SUBSTITUTE(INDEX(PASTE_ALL,$DF125,$L$18)," "," "),CHAR(9)," "),CHAR(10)," "),CHAR(13)," "))))),"")))</f>
        <v/>
      </c>
      <c r="EC125">
        <f>IF($DM125=0,"",IF($L$19=0,"",IFERROR(IF(ISNUMBER(INDEX(PASTE_ALL,$DF125,$L$19)),INDEX(PASTE_ALL,$DF125,$L$19),TRIM(SUBSTITUTE(SUBSTITUTE(SUBSTITUTE(SUBSTITUTE(INDEX(PASTE_ALL,$DF125,$L$19)," "," "),CHAR(9)," "),CHAR(10)," "),CHAR(13)," "))),"")))</f>
        <v/>
      </c>
      <c r="ED125">
        <f>IF($DM125=0,"",MATCH(1,INDEX(EXACT($DH$5:DH125,$DH125)*$DM$5:DM125,0),0))</f>
        <v/>
      </c>
      <c r="EE125">
        <f>IF($DM125=0,0,IF($ED125=$DE125,1,0))</f>
        <v/>
      </c>
      <c r="EF125">
        <f>EF124+$EE125</f>
        <v/>
      </c>
      <c r="EG125">
        <f>IF($DM125=0,"",INDEX($EF$5:$EF$1003,$ED125))</f>
        <v/>
      </c>
      <c r="EH125">
        <f>IF($DM125=0,"",IF($DO125&lt;&gt;"","",IFERROR(LOOKUP(2,1/(($EG$4:EG124=$EG125)*($DO$4:DO124&lt;&gt;"")),$DO$4:DO124),"")))</f>
        <v/>
      </c>
      <c r="EI125">
        <f>IF($DM125=0,"",IF($DO125&lt;&gt;"",$DO125,$EH125))</f>
        <v/>
      </c>
      <c r="EJ125">
        <f>IF($DM125=0,"",IF($EI125="",0,IF(OR(ISNUMBER($EI125),AND(AND(SUBSTITUTE(SUBSTITUTE(SUBSTITUTE(SUBSTITUTE(SUBSTITUTE(SUBSTITUTE(SUBSTITUTE(SUBSTITUTE(SUBSTITUTE(SUBSTITUTE(SUBSTITUTE(SUBSTITUTE(SUBSTITUTE(SUBSTITUTE(UPPER($EI125),"0",""),"1",""),"2",""),"3",""),"4",""),"5",""),"6",""),"7",""),"8",""),"9",""),".",""),"+",""),"-",""),"E","")="",LEN(SUBSTITUTE(SUBSTITUTE(MID(UPPER($EI125),1+OR(LEFT(UPPER($EI125),1)="+",LEFT(UPPER($EI125),1)="-"),999),"E+","E"),"E-","E"))=LEN(SUBSTITUTE(SUBSTITUTE(SUBSTITUTE(SUBSTITUTE(MID(UPPER($EI125),1+OR(LEFT(UPPER($EI125),1)="+",LEFT(UPPER($EI125),1)="-"),999),"E+","E"),"E-","E"),"+",""),"-","")),LEN(UPPER($EI125))-LEN(SUBSTITUTE(UPPER($EI125),"E",""))&lt;2,LEN(UPPER($EI125))-LEN(SUBSTITUTE(UPPER($EI125),".",""))&lt;2,IFERROR(FIND(".",UPPER($EI125)),0)&lt;IFERROR(FIND("E",UPPER($EI125)),999)),ISNUMBER(VALUE($EI125)))),1,2)))</f>
        <v/>
      </c>
      <c r="EK125">
        <f>IF($DM125=0,"",IF($EJ125=1,IF(ISNUMBER($EI125),$EI125,VALUE($EI125)),IF($EJ125=2,$DE125,0)))</f>
        <v/>
      </c>
      <c r="EL125">
        <f>IF($DM125=0,"",COUNTIF($EG$5:$EG$1003,"&lt;"&amp;$EG125)+SUMPRODUCT(($EG$5:$EG$1003=$EG125)*(($EJ$5:$EJ$1003&lt;$EJ125)+($EJ$5:$EJ$1003=$EJ125)*(($EK$5:$EK$1003&lt;$EK125)+($EK$5:$EK$1003=$EK125)*($DE$5:$DE$1003&lt;$DE125))))+1)</f>
        <v/>
      </c>
      <c r="EM125">
        <f>IF($DM125=0,"",$EL125+$EG125-1)</f>
        <v/>
      </c>
      <c r="EN125">
        <f>IF($DM125=0,0,IFERROR(MATCH(1,INDEX(--(TRIM(SUBSTITUTE(SUBSTITUTE(SUBSTITUTE(SUBSTITUTE(LINES_NAME&amp;""," "," "),CHAR(9)," "),CHAR(10)," "),CHAR(13)," "))=$DH125),0),0),0))</f>
        <v/>
      </c>
      <c r="EO125">
        <f>IF($EN125=0,0,IF(OR(UPPER(TRIM(INDEX(LINES_SCHEDULED,$EN125)&amp;""))="YES",UPPER(TRIM(INDEX(LINES_SCHEDULED,$EN125)&amp;""))="Y",UPPER(TRIM(INDEX(LINES_SCHEDULED,$EN125)&amp;""))="X"),1,0))</f>
        <v/>
      </c>
      <c r="EP125">
        <f>IF($DM125=0,"",IF(COUNTIFS($EG$5:$EG$1003,$EG125,$EB$5:$EB$1003,"Ready")&gt;0,"READY",IF(COUNTIFS($EG$5:$EG$1003,$EG125,$EB$5:$EB$1003,"PM")&gt;0,"PM",IF(COUNTIFS($EG$5:$EG$1003,$EG125,$EB$5:$EB$1003,"OT")&gt;0,"OT",""))))</f>
        <v/>
      </c>
      <c r="EQ125">
        <f>IF($EN125=0,"",UPPER(TRIM(INDEX(LINES_STATUS,$EN125)&amp;"")))</f>
        <v/>
      </c>
      <c r="ER125">
        <f>IF($DM125=0,"",IF(OR($EQ125="READY",$EQ125="PM",$EQ125="OT"),$EQ125,$EP125))</f>
        <v/>
      </c>
      <c r="ES125">
        <f>IF($DM125=0,"",IF(AND($DV125&lt;&gt;"",UPPER($DV125)&lt;&gt;"N"),"allergen",IF(ISNUMBER(SEARCH("oil",$DQ125)),"oil",IF(OR(EXACT($DS125,"A662"),EXACT($DS125,"A624")),"bulk",""))))</f>
        <v/>
      </c>
      <c r="ET125">
        <f>IF($DM125=0,"",IF(OR($EA125="",$EA125=0),"",$EA125/100))</f>
        <v/>
      </c>
      <c r="EU125">
        <f>IF(OR($ET125="",$DY125=""),"",INT($DY125*(1-$ET125)+0.5))</f>
        <v/>
      </c>
      <c r="EW125" t="n">
        <v>121</v>
      </c>
      <c r="EX125">
        <f>IFERROR(MATCH($EW125,$EM$5:$EM$1003,0),0)</f>
        <v/>
      </c>
      <c r="EY125">
        <f>IF($EW125&gt;$B$12,"",IF($EX125&gt;0,"row","spacer"))</f>
        <v/>
      </c>
      <c r="EZ125">
        <f>IF(AND($EY125="row",$EY124&lt;&gt;"row"),1,0)</f>
        <v/>
      </c>
      <c r="FA125">
        <f>IF(AND($EY125="row",$EY126&lt;&gt;"row"),1,0)</f>
        <v/>
      </c>
      <c r="FB125">
        <f>IF($EZ125=1,IFERROR(IF(ISNUMBER(INDEX(PASTE_ALL,INDEX($DF$5:$DF$1003,$EX125),$B$37)),INDEX(PASTE_ALL,INDEX($DF$5:$DF$1003,$EX125),$B$37),INDEX($DH$5:$DH$1003,$EX125)),INDEX($DH$5:$DH$1003,$EX125)),"")</f>
        <v/>
      </c>
      <c r="FC125">
        <f>IF($EY125="row",INDEX($ER$5:$ER$1003,$EX125),"")</f>
        <v/>
      </c>
      <c r="FD125">
        <f>IF($EY125="row",INDEX($DN$5:$DN$1003,$EX125),"")</f>
        <v/>
      </c>
      <c r="FE125">
        <f>IF($EY125="row",INDEX($DO$5:$DO$1003,$EX125),"")</f>
        <v/>
      </c>
      <c r="FF125">
        <f>IF($EY125="row",INDEX($DP$5:$DP$1003,$EX125),"")</f>
        <v/>
      </c>
      <c r="FG125">
        <f>IF($EY125="row",INDEX($DQ$5:$DQ$1003,$EX125),"")</f>
        <v/>
      </c>
      <c r="FH125">
        <f>IF($EY125="row",INDEX($DR$5:$DR$1003,$EX125),"")</f>
        <v/>
      </c>
      <c r="FI125">
        <f>IF($EY125="row",INDEX($DS$5:$DS$1003,$EX125),"")</f>
        <v/>
      </c>
      <c r="FJ125">
        <f>IF($EY125="row",INDEX($DT$5:$DT$1003,$EX125),"")</f>
        <v/>
      </c>
      <c r="FK125">
        <f>IF($EY125="row",INDEX($DU$5:$DU$1003,$EX125),"")</f>
        <v/>
      </c>
      <c r="FL125">
        <f>IF($EY125="row",INDEX($DV$5:$DV$1003,$EX125),"")</f>
        <v/>
      </c>
      <c r="FM125">
        <f>IF($EY125="row",INDEX($DW$5:$DW$1003,$EX125),"")</f>
        <v/>
      </c>
      <c r="FN125">
        <f>IF($EY125="row",INDEX($DY$5:$DY$1003,$EX125),"")</f>
        <v/>
      </c>
      <c r="FO125">
        <f>IF($EY125="row",INDEX($EA$5:$EA$1003,$EX125),"")</f>
        <v/>
      </c>
      <c r="FP125">
        <f>IF($EY125="row",INDEX($EC$5:$EC$1003,$EX125),"")</f>
        <v/>
      </c>
      <c r="FQ125">
        <f>IF($EY125="row",INDEX($ET$5:$ET$1003,$EX125),"")</f>
        <v/>
      </c>
      <c r="FR125">
        <f>IF($EY125="row",INDEX($EU$5:$EU$1003,$EX125),"")</f>
        <v/>
      </c>
      <c r="FS125">
        <f>IF(AND($EY125="row",$EY124="row"),IF(OR(INDEX($DT$5:$DT$1003,$EX124)="",INDEX($DT$5:$DT$1003,$EX125)=""),"",IF(NOT(EXACT(INDEX($DT$5:$DT$1003,$EX124),INDEX($DT$5:$DT$1003,$EX125))),"S4",IF(NOT(EXACT(INDEX($DS$5:$DS$1003,$EX124),INDEX($DS$5:$DS$1003,$EX125))),"S3",IF(NOT(EXACT(INDEX($DR$5:$DR$1003,$EX124),INDEX($DR$5:$DR$1003,$EX125))),"S1 Count Change","S1")))),"")</f>
        <v/>
      </c>
      <c r="FT125">
        <f>IF($EY125="row",INDEX($ES$5:$ES$1003,$EX125),"")</f>
        <v/>
      </c>
      <c r="FU125">
        <f>IF($EY125="row",INDEX($EO$5:$EO$1003,$EX125),0)</f>
        <v/>
      </c>
      <c r="FV125">
        <f>IF($FS125="S1 Count Change",1,0)</f>
        <v/>
      </c>
    </row>
    <row r="126">
      <c r="Y126">
        <f>IF(Y36="",0,IFERROR(INDEX($W$5:$W$86,MATCH(Y36,$V$5:$V$86,0)),0))</f>
        <v/>
      </c>
      <c r="Z126">
        <f>IF(Z36="",0,IFERROR(INDEX($W$5:$W$86,MATCH(Z36,$V$5:$V$86,0)),0))</f>
        <v/>
      </c>
      <c r="AA126">
        <f>IF(AA36="",0,IFERROR(INDEX($W$5:$W$86,MATCH(AA36,$V$5:$V$86,0)),0))</f>
        <v/>
      </c>
      <c r="AB126">
        <f>IF(AB36="",0,IFERROR(INDEX($W$5:$W$86,MATCH(AB36,$V$5:$V$86,0)),0))</f>
        <v/>
      </c>
      <c r="AC126">
        <f>IF(AC36="",0,IFERROR(INDEX($W$5:$W$86,MATCH(AC36,$V$5:$V$86,0)),0))</f>
        <v/>
      </c>
      <c r="AD126">
        <f>IF(AD36="",0,IFERROR(INDEX($W$5:$W$86,MATCH(AD36,$V$5:$V$86,0)),0))</f>
        <v/>
      </c>
      <c r="AE126">
        <f>IF(AE36="",0,IFERROR(INDEX($W$5:$W$86,MATCH(AE36,$V$5:$V$86,0)),0))</f>
        <v/>
      </c>
      <c r="AF126">
        <f>IF(AF36="",0,IFERROR(INDEX($W$5:$W$86,MATCH(AF36,$V$5:$V$86,0)),0))</f>
        <v/>
      </c>
      <c r="AG126">
        <f>IF(AG36="",0,IFERROR(INDEX($W$5:$W$86,MATCH(AG36,$V$5:$V$86,0)),0))</f>
        <v/>
      </c>
      <c r="AH126">
        <f>IF(AH36="",0,IFERROR(INDEX($W$5:$W$86,MATCH(AH36,$V$5:$V$86,0)),0))</f>
        <v/>
      </c>
      <c r="AI126">
        <f>IF(AI36="",0,IFERROR(INDEX($W$5:$W$86,MATCH(AI36,$V$5:$V$86,0)),0))</f>
        <v/>
      </c>
      <c r="AJ126">
        <f>IF(AJ36="",0,IFERROR(INDEX($W$5:$W$86,MATCH(AJ36,$V$5:$V$86,0)),0))</f>
        <v/>
      </c>
      <c r="AK126">
        <f>IF(AK36="",0,IFERROR(INDEX($W$5:$W$86,MATCH(AK36,$V$5:$V$86,0)),0))</f>
        <v/>
      </c>
      <c r="AL126">
        <f>IF(AL36="",0,IFERROR(INDEX($W$5:$W$86,MATCH(AL36,$V$5:$V$86,0)),0))</f>
        <v/>
      </c>
      <c r="AM126">
        <f>IF(AM36="",0,IFERROR(INDEX($W$5:$W$86,MATCH(AM36,$V$5:$V$86,0)),0))</f>
        <v/>
      </c>
      <c r="AN126">
        <f>IF(AN36="",0,IFERROR(INDEX($W$5:$W$86,MATCH(AN36,$V$5:$V$86,0)),0))</f>
        <v/>
      </c>
      <c r="AO126">
        <f>IF(AO36="",0,IFERROR(INDEX($W$5:$W$86,MATCH(AO36,$V$5:$V$86,0)),0))</f>
        <v/>
      </c>
      <c r="AP126">
        <f>IF(AP36="",0,IFERROR(INDEX($W$5:$W$86,MATCH(AP36,$V$5:$V$86,0)),0))</f>
        <v/>
      </c>
      <c r="AQ126">
        <f>IF(AQ36="",0,IFERROR(INDEX($W$5:$W$86,MATCH(AQ36,$V$5:$V$86,0)),0))</f>
        <v/>
      </c>
      <c r="AR126">
        <f>IF(AR36="",0,IFERROR(INDEX($W$5:$W$86,MATCH(AR36,$V$5:$V$86,0)),0))</f>
        <v/>
      </c>
      <c r="AS126">
        <f>IF(AS36="",0,IFERROR(INDEX($W$5:$W$86,MATCH(AS36,$V$5:$V$86,0)),0))</f>
        <v/>
      </c>
      <c r="AT126">
        <f>IF(AT36="",0,IFERROR(INDEX($W$5:$W$86,MATCH(AT36,$V$5:$V$86,0)),0))</f>
        <v/>
      </c>
      <c r="AU126">
        <f>IF(AU36="",0,IFERROR(INDEX($W$5:$W$86,MATCH(AU36,$V$5:$V$86,0)),0))</f>
        <v/>
      </c>
      <c r="AV126">
        <f>IF(AV36="",0,IFERROR(INDEX($W$5:$W$86,MATCH(AV36,$V$5:$V$86,0)),0))</f>
        <v/>
      </c>
      <c r="AW126">
        <f>IF(AW36="",0,IFERROR(INDEX($W$5:$W$86,MATCH(AW36,$V$5:$V$86,0)),0))</f>
        <v/>
      </c>
      <c r="AX126">
        <f>IF(AX36="",0,IFERROR(INDEX($W$5:$W$86,MATCH(AX36,$V$5:$V$86,0)),0))</f>
        <v/>
      </c>
      <c r="AY126">
        <f>IF(AY36="",0,IFERROR(INDEX($W$5:$W$86,MATCH(AY36,$V$5:$V$86,0)),0))</f>
        <v/>
      </c>
      <c r="AZ126">
        <f>IF(AZ36="",0,IFERROR(INDEX($W$5:$W$86,MATCH(AZ36,$V$5:$V$86,0)),0))</f>
        <v/>
      </c>
      <c r="BA126">
        <f>IF(BA36="",0,IFERROR(INDEX($W$5:$W$86,MATCH(BA36,$V$5:$V$86,0)),0))</f>
        <v/>
      </c>
      <c r="BB126">
        <f>IF(BB36="",0,IFERROR(INDEX($W$5:$W$86,MATCH(BB36,$V$5:$V$86,0)),0))</f>
        <v/>
      </c>
      <c r="BC126">
        <f>IF(BC36="",0,IFERROR(INDEX($W$5:$W$86,MATCH(BC36,$V$5:$V$86,0)),0))</f>
        <v/>
      </c>
      <c r="BD126">
        <f>IF(BD36="",0,IFERROR(INDEX($W$5:$W$86,MATCH(BD36,$V$5:$V$86,0)),0))</f>
        <v/>
      </c>
      <c r="BE126">
        <f>IF(BE36="",0,IFERROR(INDEX($W$5:$W$86,MATCH(BE36,$V$5:$V$86,0)),0))</f>
        <v/>
      </c>
      <c r="BF126">
        <f>IF(BF36="",0,IFERROR(INDEX($W$5:$W$86,MATCH(BF36,$V$5:$V$86,0)),0))</f>
        <v/>
      </c>
      <c r="BG126">
        <f>IF(BG36="",0,IFERROR(INDEX($W$5:$W$86,MATCH(BG36,$V$5:$V$86,0)),0))</f>
        <v/>
      </c>
      <c r="BH126">
        <f>IF(BH36="",0,IFERROR(INDEX($W$5:$W$86,MATCH(BH36,$V$5:$V$86,0)),0))</f>
        <v/>
      </c>
      <c r="BI126">
        <f>IF(BI36="",0,IFERROR(INDEX($W$5:$W$86,MATCH(BI36,$V$5:$V$86,0)),0))</f>
        <v/>
      </c>
      <c r="BJ126">
        <f>IF(BJ36="",0,IFERROR(INDEX($W$5:$W$86,MATCH(BJ36,$V$5:$V$86,0)),0))</f>
        <v/>
      </c>
      <c r="BK126">
        <f>IF(BK36="",0,IFERROR(INDEX($W$5:$W$86,MATCH(BK36,$V$5:$V$86,0)),0))</f>
        <v/>
      </c>
      <c r="BL126">
        <f>IF(BL36="",0,IFERROR(INDEX($W$5:$W$86,MATCH(BL36,$V$5:$V$86,0)),0))</f>
        <v/>
      </c>
      <c r="BM126">
        <f>IF(BM36="",0,IFERROR(INDEX($W$5:$W$86,MATCH(BM36,$V$5:$V$86,0)),0))</f>
        <v/>
      </c>
      <c r="BN126">
        <f>IF(BN36="",0,IFERROR(INDEX($W$5:$W$86,MATCH(BN36,$V$5:$V$86,0)),0))</f>
        <v/>
      </c>
      <c r="BO126">
        <f>IF(BO36="",0,IFERROR(INDEX($W$5:$W$86,MATCH(BO36,$V$5:$V$86,0)),0))</f>
        <v/>
      </c>
      <c r="BP126">
        <f>IF(BP36="",0,IFERROR(INDEX($W$5:$W$86,MATCH(BP36,$V$5:$V$86,0)),0))</f>
        <v/>
      </c>
      <c r="BQ126">
        <f>IF(BQ36="",0,IFERROR(INDEX($W$5:$W$86,MATCH(BQ36,$V$5:$V$86,0)),0))</f>
        <v/>
      </c>
      <c r="BR126">
        <f>IF(BR36="",0,IFERROR(INDEX($W$5:$W$86,MATCH(BR36,$V$5:$V$86,0)),0))</f>
        <v/>
      </c>
      <c r="BS126">
        <f>IF(BS36="",0,IFERROR(INDEX($W$5:$W$86,MATCH(BS36,$V$5:$V$86,0)),0))</f>
        <v/>
      </c>
      <c r="BT126">
        <f>IF(BT36="",0,IFERROR(INDEX($W$5:$W$86,MATCH(BT36,$V$5:$V$86,0)),0))</f>
        <v/>
      </c>
      <c r="BU126">
        <f>IF(BU36="",0,IFERROR(INDEX($W$5:$W$86,MATCH(BU36,$V$5:$V$86,0)),0))</f>
        <v/>
      </c>
      <c r="BV126">
        <f>IF(BV36="",0,IFERROR(INDEX($W$5:$W$86,MATCH(BV36,$V$5:$V$86,0)),0))</f>
        <v/>
      </c>
      <c r="BW126">
        <f>IF(BW36="",0,IFERROR(INDEX($W$5:$W$86,MATCH(BW36,$V$5:$V$86,0)),0))</f>
        <v/>
      </c>
      <c r="BX126">
        <f>IF(BX36="",0,IFERROR(INDEX($W$5:$W$86,MATCH(BX36,$V$5:$V$86,0)),0))</f>
        <v/>
      </c>
      <c r="BY126">
        <f>IF(BY36="",0,IFERROR(INDEX($W$5:$W$86,MATCH(BY36,$V$5:$V$86,0)),0))</f>
        <v/>
      </c>
      <c r="BZ126">
        <f>IF(BZ36="",0,IFERROR(INDEX($W$5:$W$86,MATCH(BZ36,$V$5:$V$86,0)),0))</f>
        <v/>
      </c>
      <c r="CA126">
        <f>IF(CA36="",0,IFERROR(INDEX($W$5:$W$86,MATCH(CA36,$V$5:$V$86,0)),0))</f>
        <v/>
      </c>
      <c r="CB126">
        <f>IF(CB36="",0,IFERROR(INDEX($W$5:$W$86,MATCH(CB36,$V$5:$V$86,0)),0))</f>
        <v/>
      </c>
      <c r="CC126">
        <f>IF(CC36="",0,IFERROR(INDEX($W$5:$W$86,MATCH(CC36,$V$5:$V$86,0)),0))</f>
        <v/>
      </c>
      <c r="CD126">
        <f>IF(CD36="",0,IFERROR(INDEX($W$5:$W$86,MATCH(CD36,$V$5:$V$86,0)),0))</f>
        <v/>
      </c>
      <c r="CE126">
        <f>IF(CE36="",0,IFERROR(INDEX($W$5:$W$86,MATCH(CE36,$V$5:$V$86,0)),0))</f>
        <v/>
      </c>
      <c r="CF126">
        <f>IF(CF36="",0,IFERROR(INDEX($W$5:$W$86,MATCH(CF36,$V$5:$V$86,0)),0))</f>
        <v/>
      </c>
      <c r="DA126" t="n">
        <v>122</v>
      </c>
      <c r="DB126">
        <f>IF($B$37=0,"",IFERROR(TRIM(SUBSTITUTE(SUBSTITUTE(SUBSTITUTE(SUBSTITUTE(INDEX(PASTE_ALL,122,$B$37)," "," "),CHAR(9)," "),CHAR(10)," "),CHAR(13)," ")),""))</f>
        <v/>
      </c>
      <c r="DC126">
        <f>IF(AND(122&gt;HEADER_ROW,UPPER(DB126)="LEGEND"),1,0)</f>
        <v/>
      </c>
      <c r="DE126" t="n">
        <v>122</v>
      </c>
      <c r="DF126">
        <f>HEADER_ROW+$DE126</f>
        <v/>
      </c>
      <c r="DG126">
        <f>IF(AND($DF126&lt;=1000,$DF126&lt;$B$8),1,0)</f>
        <v/>
      </c>
      <c r="DH126">
        <f>IF($DG126=1,IFERROR(INDEX($DB$5:$DB$1004,$DF126),""),"")</f>
        <v/>
      </c>
      <c r="DI126">
        <f>IF(AND($DG126=1,$DH126&lt;&gt;""),IFERROR(SUBSTITUTE(SUBSTITUTE(TRIM(SUBSTITUTE(SUBSTITUTE(SUBSTITUTE(SUBSTITUTE(IFERROR(INDEX(PASTE_ALL,$DF126,1)&amp;"","")&amp;"␟"&amp;IFERROR(INDEX(PASTE_ALL,$DF126,2)&amp;"","")&amp;"␟"&amp;IFERROR(INDEX(PASTE_ALL,$DF126,3)&amp;"","")&amp;"␟"&amp;IFERROR(INDEX(PASTE_ALL,$DF126,4)&amp;"","")&amp;"␟"&amp;IFERROR(INDEX(PASTE_ALL,$DF126,5)&amp;"","")&amp;"␟"&amp;IFERROR(INDEX(PASTE_ALL,$DF126,6)&amp;"","")&amp;"␟"&amp;IFERROR(INDEX(PASTE_ALL,$DF126,7)&amp;"","")&amp;"␟"&amp;IFERROR(INDEX(PASTE_ALL,$DF126,8)&amp;"","")&amp;"␟"&amp;IFERROR(INDEX(PASTE_ALL,$DF126,9)&amp;"","")&amp;"␟"&amp;IFERROR(INDEX(PASTE_ALL,$DF126,10)&amp;"","")&amp;"␟"&amp;IFERROR(INDEX(PASTE_ALL,$DF126,11)&amp;"","")&amp;"␟"&amp;IFERROR(INDEX(PASTE_ALL,$DF126,12)&amp;"","")&amp;"␟"&amp;IFERROR(INDEX(PASTE_ALL,$DF126,13)&amp;"","")&amp;"␟"&amp;IFERROR(INDEX(PASTE_ALL,$DF126,14)&amp;"","")&amp;"␟"&amp;IFERROR(INDEX(PASTE_ALL,$DF126,15)&amp;"","")&amp;"␟"&amp;IFERROR(INDEX(PASTE_ALL,$DF126,16)&amp;"","")&amp;"␟"&amp;IFERROR(INDEX(PASTE_ALL,$DF126,17)&amp;"","")&amp;"␟"&amp;IFERROR(INDEX(PASTE_ALL,$DF126,18)&amp;"","")&amp;"␟"&amp;IFERROR(INDEX(PASTE_ALL,$DF126,19)&amp;"","")&amp;"␟"&amp;IFERROR(INDEX(PASTE_ALL,$DF126,20)&amp;"","")&amp;"␟"&amp;IFERROR(INDEX(PASTE_ALL,$DF126,21)&amp;"","")&amp;"␟"&amp;IFERROR(INDEX(PASTE_ALL,$DF126,22)&amp;"","")&amp;"␟"&amp;IFERROR(INDEX(PASTE_ALL,$DF126,23)&amp;"","")&amp;"␟"&amp;IFERROR(INDEX(PASTE_ALL,$DF126,24)&amp;"","")&amp;"␟"&amp;IFERROR(INDEX(PASTE_ALL,$DF126,25)&amp;"","")&amp;"␟"&amp;IFERROR(INDEX(PASTE_ALL,$DF126,26)&amp;"","")&amp;"␟"&amp;IFERROR(INDEX(PASTE_ALL,$DF126,27)&amp;"","")&amp;"␟"&amp;IFERROR(INDEX(PASTE_ALL,$DF126,28)&amp;"","")&amp;"␟"&amp;IFERROR(INDEX(PASTE_ALL,$DF126,29)&amp;"","")&amp;"␟"&amp;IFERROR(INDEX(PASTE_ALL,$DF126,30)&amp;"","")&amp;"␟"&amp;IFERROR(INDEX(PASTE_ALL,$DF126,31)&amp;"","")&amp;"␟"&amp;IFERROR(INDEX(PASTE_ALL,$DF126,32)&amp;"","")&amp;"␟"&amp;IFERROR(INDEX(PASTE_ALL,$DF126,33)&amp;"","")&amp;"␟"&amp;IFERROR(INDEX(PASTE_ALL,$DF126,34)&amp;"","")&amp;"␟"&amp;IFERROR(INDEX(PASTE_ALL,$DF126,35)&amp;"","")&amp;"␟"&amp;IFERROR(INDEX(PASTE_ALL,$DF126,36)&amp;"","")&amp;"␟"&amp;IFERROR(INDEX(PASTE_ALL,$DF126,37)&amp;"","")&amp;"␟"&amp;IFERROR(INDEX(PASTE_ALL,$DF126,38)&amp;"","")&amp;"␟"&amp;IFERROR(INDEX(PASTE_ALL,$DF126,39)&amp;"","")&amp;"␟"&amp;IFERROR(INDEX(PASTE_ALL,$DF126,40)&amp;"","")&amp;"␟"&amp;IFERROR(INDEX(PASTE_ALL,$DF126,41)&amp;"","")&amp;"␟"&amp;IFERROR(INDEX(PASTE_ALL,$DF126,42)&amp;"","")&amp;"␟"&amp;IFERROR(INDEX(PASTE_ALL,$DF126,43)&amp;"","")&amp;"␟"&amp;IFERROR(INDEX(PASTE_ALL,$DF126,44)&amp;"","")&amp;"␟"&amp;IFERROR(INDEX(PASTE_ALL,$DF126,45)&amp;"","")&amp;"␟"&amp;IFERROR(INDEX(PASTE_ALL,$DF126,46)&amp;"","")&amp;"␟"&amp;IFERROR(INDEX(PASTE_ALL,$DF126,47)&amp;"","")&amp;"␟"&amp;IFERROR(INDEX(PASTE_ALL,$DF126,48)&amp;"","")&amp;"␟"&amp;IFERROR(INDEX(PASTE_ALL,$DF126,49)&amp;"","")&amp;"␟"&amp;IFERROR(INDEX(PASTE_ALL,$DF126,50)&amp;"","")&amp;"␟"&amp;IFERROR(INDEX(PASTE_ALL,$DF126,51)&amp;"","")&amp;"␟"&amp;IFERROR(INDEX(PASTE_ALL,$DF126,52)&amp;"","")&amp;"␟"&amp;IFERROR(INDEX(PASTE_ALL,$DF126,53)&amp;"","")&amp;"␟"&amp;IFERROR(INDEX(PASTE_ALL,$DF126,54)&amp;"","")&amp;"␟"&amp;IFERROR(INDEX(PASTE_ALL,$DF126,55)&amp;"","")&amp;"␟"&amp;IFERROR(INDEX(PASTE_ALL,$DF126,56)&amp;"","")&amp;"␟"&amp;IFERROR(INDEX(PASTE_ALL,$DF126,57)&amp;"","")&amp;"␟"&amp;IFERROR(INDEX(PASTE_ALL,$DF126,58)&amp;"","")&amp;"␟"&amp;IFERROR(INDEX(PASTE_ALL,$DF126,59)&amp;"","")&amp;"␟"&amp;IFERROR(INDEX(PASTE_ALL,$DF126,60)&amp;"","")," "," "),CHAR(9)," "),CHAR(10)," "),CHAR(13)," "))," ␟","␟"),"␟ ","␟"),"#"&amp;$DE126),"")</f>
        <v/>
      </c>
      <c r="DJ126">
        <f>IF($DI126="",0,IF(SUMPRODUCT(--EXACT($DI$4:DI125,$DI126))&gt;0,1,0))</f>
        <v/>
      </c>
      <c r="DK126">
        <f>IF(AND($DI126&lt;&gt;"",$DJ126=0),1,0)</f>
        <v/>
      </c>
      <c r="DL126">
        <f>DL125+$DK126</f>
        <v/>
      </c>
      <c r="DM126">
        <f>IF(AND($DK126=1,$DL126&lt;=600),1,0)</f>
        <v/>
      </c>
      <c r="DN126">
        <f>IF($DM126=0,"",IF($L$6=0,"",IFERROR(IF(ISNUMBER(INDEX(PASTE_ALL,$DF126,$L$6)),INDEX(PASTE_ALL,$DF126,$L$6),TRIM(SUBSTITUTE(SUBSTITUTE(SUBSTITUTE(SUBSTITUTE(INDEX(PASTE_ALL,$DF126,$L$6)," "," "),CHAR(9)," "),CHAR(10)," "),CHAR(13)," "))),"")))</f>
        <v/>
      </c>
      <c r="DO126">
        <f>IF($DM126=0,"",IF($L$7=0,"",IFERROR(IF(ISNUMBER(INDEX(PASTE_ALL,$DF126,$L$7)),INDEX(PASTE_ALL,$DF126,$L$7),TRIM(SUBSTITUTE(SUBSTITUTE(SUBSTITUTE(SUBSTITUTE(INDEX(PASTE_ALL,$DF126,$L$7)," "," "),CHAR(9)," "),CHAR(10)," "),CHAR(13)," "))),"")))</f>
        <v/>
      </c>
      <c r="DP126">
        <f>IF($DM126=0,"",IF($L$8=0,"",IFERROR(IF(ISNUMBER(INDEX(PASTE_ALL,$DF126,$L$8)),INDEX(PASTE_ALL,$DF126,$L$8),TRIM(SUBSTITUTE(SUBSTITUTE(SUBSTITUTE(SUBSTITUTE(INDEX(PASTE_ALL,$DF126,$L$8)," "," "),CHAR(9)," "),CHAR(10)," "),CHAR(13)," "))),"")))</f>
        <v/>
      </c>
      <c r="DQ126">
        <f>IF($DM126=0,"",IF($L$9=0,"",IFERROR(IF(ISNUMBER(INDEX(PASTE_ALL,$DF126,$L$9)),INDEX(PASTE_ALL,$DF126,$L$9),TRIM(SUBSTITUTE(SUBSTITUTE(SUBSTITUTE(SUBSTITUTE(INDEX(PASTE_ALL,$DF126,$L$9)," "," "),CHAR(9)," "),CHAR(10)," "),CHAR(13)," "))),"")))</f>
        <v/>
      </c>
      <c r="DR126">
        <f>IF($DM126=0,"",IF($L$10=0,"",IFERROR(IF(ISNUMBER(INDEX(PASTE_ALL,$DF126,$L$10)),INDEX(PASTE_ALL,$DF126,$L$10),TRIM(SUBSTITUTE(SUBSTITUTE(SUBSTITUTE(SUBSTITUTE(INDEX(PASTE_ALL,$DF126,$L$10)," "," "),CHAR(9)," "),CHAR(10)," "),CHAR(13)," "))),"")))</f>
        <v/>
      </c>
      <c r="DS126">
        <f>IF($DM126=0,"",IF($L$11=0,"",IFERROR(IF(ISNUMBER(INDEX(PASTE_ALL,$DF126,$L$11)),INDEX(PASTE_ALL,$DF126,$L$11),TRIM(SUBSTITUTE(SUBSTITUTE(SUBSTITUTE(SUBSTITUTE(INDEX(PASTE_ALL,$DF126,$L$11)," "," "),CHAR(9)," "),CHAR(10)," "),CHAR(13)," "))),"")))</f>
        <v/>
      </c>
      <c r="DT126">
        <f>IF($DM126=0,"",IF($L$12=0,"",IFERROR(IF(ISNUMBER(INDEX(PASTE_ALL,$DF126,$L$12)),INDEX(PASTE_ALL,$DF126,$L$12),TRIM(SUBSTITUTE(SUBSTITUTE(SUBSTITUTE(SUBSTITUTE(INDEX(PASTE_ALL,$DF126,$L$12)," "," "),CHAR(9)," "),CHAR(10)," "),CHAR(13)," "))),"")))</f>
        <v/>
      </c>
      <c r="DU126">
        <f>IF($DM126=0,"",IF($L$13=0,"",IFERROR(IF(ISNUMBER(INDEX(PASTE_ALL,$DF126,$L$13)),INDEX(PASTE_ALL,$DF126,$L$13),TRIM(SUBSTITUTE(SUBSTITUTE(SUBSTITUTE(SUBSTITUTE(INDEX(PASTE_ALL,$DF126,$L$13)," "," "),CHAR(9)," "),CHAR(10)," "),CHAR(13)," "))),"")))</f>
        <v/>
      </c>
      <c r="DV126">
        <f>IF($DM126=0,"",IF($L$14=0,"",IFERROR(IF(ISNUMBER(INDEX(PASTE_ALL,$DF126,$L$14)),INDEX(PASTE_ALL,$DF126,$L$14),TRIM(SUBSTITUTE(SUBSTITUTE(SUBSTITUTE(SUBSTITUTE(INDEX(PASTE_ALL,$DF126,$L$14)," "," "),CHAR(9)," "),CHAR(10)," "),CHAR(13)," "))),"")))</f>
        <v/>
      </c>
      <c r="DW126">
        <f>IF($DM126=0,"",IF($L$15=0,"",IFERROR(IF(ISNUMBER(INDEX(PASTE_ALL,$DF126,$L$15)),INDEX(PASTE_ALL,$DF126,$L$15),IF(SUMPRODUCT(--ISNUMBER(FIND({"A","B","C","D","E","F","G","H","I","J","K","L","M","N","O","P","Q","R","S","T","U","V","W","X","Y","Z","0","1","2","3","4","5","6","7","8","9"},UPPER(TRIM(SUBSTITUTE(SUBSTITUTE(SUBSTITUTE(SUBSTITUTE(INDEX(PASTE_ALL,$DF126,$L$15)," "," "),CHAR(9)," "),CHAR(10)," "),CHAR(13)," "))))))&gt;0,TRIM(SUBSTITUTE(SUBSTITUTE(SUBSTITUTE(SUBSTITUTE(INDEX(PASTE_ALL,$DF126,$L$15)," "," "),CHAR(9)," "),CHAR(10)," "),CHAR(13)," ")),"")),"")))</f>
        <v/>
      </c>
      <c r="DX126">
        <f>IF($DM126=0,"",IF($L$16=0,"",IFERROR(IF(ISNUMBER(INDEX(PASTE_ALL,$DF126,$L$16)),INDEX(PASTE_ALL,$DF126,$L$16),SUBSTITUTE(SUBSTITUTE(TRIM(SUBSTITUTE(SUBSTITUTE(SUBSTITUTE(SUBSTITUTE(INDEX(PASTE_ALL,$DF126,$L$16)," "," "),CHAR(9)," "),CHAR(10)," "),CHAR(13)," ")),",",""),"%","")),"")))</f>
        <v/>
      </c>
      <c r="DY126">
        <f>IF($DM126=0,"",IFERROR(IF(ISNUMBER($DX126),$DX126,IF($DX126="","",IF(TRIM($DX126)="",0,IF(AND(AND(SUBSTITUTE(SUBSTITUTE(SUBSTITUTE(SUBSTITUTE(SUBSTITUTE(SUBSTITUTE(SUBSTITUTE(SUBSTITUTE(SUBSTITUTE(SUBSTITUTE(SUBSTITUTE(SUBSTITUTE(SUBSTITUTE(SUBSTITUTE(UPPER(TRIM($DX126)),"0",""),"1",""),"2",""),"3",""),"4",""),"5",""),"6",""),"7",""),"8",""),"9",""),".",""),"+",""),"-",""),"E","")="",LEN(SUBSTITUTE(SUBSTITUTE(MID(UPPER(TRIM($DX126)),1+OR(LEFT(UPPER(TRIM($DX126)),1)="+",LEFT(UPPER(TRIM($DX126)),1)="-"),999),"E+","E"),"E-","E"))=LEN(SUBSTITUTE(SUBSTITUTE(SUBSTITUTE(SUBSTITUTE(MID(UPPER(TRIM($DX126)),1+OR(LEFT(UPPER(TRIM($DX126)),1)="+",LEFT(UPPER(TRIM($DX126)),1)="-"),999),"E+","E"),"E-","E"),"+",""),"-","")),LEN(UPPER(TRIM($DX126)))-LEN(SUBSTITUTE(UPPER(TRIM($DX126)),"E",""))&lt;2,LEN(UPPER(TRIM($DX126)))-LEN(SUBSTITUTE(UPPER(TRIM($DX126)),".",""))&lt;2,IFERROR(FIND(".",UPPER(TRIM($DX126))),0)&lt;IFERROR(FIND("E",UPPER(TRIM($DX126))),999)),ISNUMBER(VALUE(TRIM($DX126)))),VALUE(TRIM($DX126)),"")))),""))</f>
        <v/>
      </c>
      <c r="DZ126">
        <f>IF($DM126=0,"",IF($L$17=0,"",IFERROR(IF(ISNUMBER(INDEX(PASTE_ALL,$DF126,$L$17)),INDEX(PASTE_ALL,$DF126,$L$17),SUBSTITUTE(SUBSTITUTE(TRIM(SUBSTITUTE(SUBSTITUTE(SUBSTITUTE(SUBSTITUTE(INDEX(PASTE_ALL,$DF126,$L$17)," "," "),CHAR(9)," "),CHAR(10)," "),CHAR(13)," ")),",",""),"%","")),"")))</f>
        <v/>
      </c>
      <c r="EA126">
        <f>IF($DM126=0,"",IFERROR(IF(ISNUMBER($DZ126),$DZ126,IF($DZ126="","",IF(TRIM($DZ126)="",0,IF(AND(AND(SUBSTITUTE(SUBSTITUTE(SUBSTITUTE(SUBSTITUTE(SUBSTITUTE(SUBSTITUTE(SUBSTITUTE(SUBSTITUTE(SUBSTITUTE(SUBSTITUTE(SUBSTITUTE(SUBSTITUTE(SUBSTITUTE(SUBSTITUTE(UPPER(TRIM($DZ126)),"0",""),"1",""),"2",""),"3",""),"4",""),"5",""),"6",""),"7",""),"8",""),"9",""),".",""),"+",""),"-",""),"E","")="",LEN(SUBSTITUTE(SUBSTITUTE(MID(UPPER(TRIM($DZ126)),1+OR(LEFT(UPPER(TRIM($DZ126)),1)="+",LEFT(UPPER(TRIM($DZ126)),1)="-"),999),"E+","E"),"E-","E"))=LEN(SUBSTITUTE(SUBSTITUTE(SUBSTITUTE(SUBSTITUTE(MID(UPPER(TRIM($DZ126)),1+OR(LEFT(UPPER(TRIM($DZ126)),1)="+",LEFT(UPPER(TRIM($DZ126)),1)="-"),999),"E+","E"),"E-","E"),"+",""),"-","")),LEN(UPPER(TRIM($DZ126)))-LEN(SUBSTITUTE(UPPER(TRIM($DZ126)),"E",""))&lt;2,LEN(UPPER(TRIM($DZ126)))-LEN(SUBSTITUTE(UPPER(TRIM($DZ126)),".",""))&lt;2,IFERROR(FIND(".",UPPER(TRIM($DZ126))),0)&lt;IFERROR(FIND("E",UPPER(TRIM($DZ126))),999)),ISNUMBER(VALUE(TRIM($DZ126)))),VALUE(TRIM($DZ126)),"")))),""))</f>
        <v/>
      </c>
      <c r="EB126">
        <f>IF($DM126=0,"",IF($L$18=0,"",IFERROR(IF(UPPER(TRIM(SUBSTITUTE(SUBSTITUTE(SUBSTITUTE(SUBSTITUTE(INDEX(PASTE_ALL,$DF126,$L$18)," "," "),CHAR(9)," "),CHAR(10)," "),CHAR(13)," ")))="READY","Ready",IF(UPPER(TRIM(SUBSTITUTE(SUBSTITUTE(SUBSTITUTE(SUBSTITUTE(INDEX(PASTE_ALL,$DF126,$L$18)," "," "),CHAR(9)," "),CHAR(10)," "),CHAR(13)," ")))="PM","PM",IF(OR(UPPER(TRIM(SUBSTITUTE(SUBSTITUTE(SUBSTITUTE(SUBSTITUTE(INDEX(PASTE_ALL,$DF126,$L$18)," "," "),CHAR(9)," "),CHAR(10)," "),CHAR(13)," ")))="OT",UPPER(TRIM(SUBSTITUTE(SUBSTITUTE(SUBSTITUTE(SUBSTITUTE(INDEX(PASTE_ALL,$DF126,$L$18)," "," "),CHAR(9)," "),CHAR(10)," "),CHAR(13)," ")))="OVERTIME",UPPER(TRIM(SUBSTITUTE(SUBSTITUTE(SUBSTITUTE(SUBSTITUTE(INDEX(PASTE_ALL,$DF126,$L$18)," "," "),CHAR(9)," "),CHAR(10)," "),CHAR(13)," ")))="TRIAL"),"OT",TRIM(SUBSTITUTE(SUBSTITUTE(SUBSTITUTE(SUBSTITUTE(INDEX(PASTE_ALL,$DF126,$L$18)," "," "),CHAR(9)," "),CHAR(10)," "),CHAR(13)," "))))),"")))</f>
        <v/>
      </c>
      <c r="EC126">
        <f>IF($DM126=0,"",IF($L$19=0,"",IFERROR(IF(ISNUMBER(INDEX(PASTE_ALL,$DF126,$L$19)),INDEX(PASTE_ALL,$DF126,$L$19),TRIM(SUBSTITUTE(SUBSTITUTE(SUBSTITUTE(SUBSTITUTE(INDEX(PASTE_ALL,$DF126,$L$19)," "," "),CHAR(9)," "),CHAR(10)," "),CHAR(13)," "))),"")))</f>
        <v/>
      </c>
      <c r="ED126">
        <f>IF($DM126=0,"",MATCH(1,INDEX(EXACT($DH$5:DH126,$DH126)*$DM$5:DM126,0),0))</f>
        <v/>
      </c>
      <c r="EE126">
        <f>IF($DM126=0,0,IF($ED126=$DE126,1,0))</f>
        <v/>
      </c>
      <c r="EF126">
        <f>EF125+$EE126</f>
        <v/>
      </c>
      <c r="EG126">
        <f>IF($DM126=0,"",INDEX($EF$5:$EF$1003,$ED126))</f>
        <v/>
      </c>
      <c r="EH126">
        <f>IF($DM126=0,"",IF($DO126&lt;&gt;"","",IFERROR(LOOKUP(2,1/(($EG$4:EG125=$EG126)*($DO$4:DO125&lt;&gt;"")),$DO$4:DO125),"")))</f>
        <v/>
      </c>
      <c r="EI126">
        <f>IF($DM126=0,"",IF($DO126&lt;&gt;"",$DO126,$EH126))</f>
        <v/>
      </c>
      <c r="EJ126">
        <f>IF($DM126=0,"",IF($EI126="",0,IF(OR(ISNUMBER($EI126),AND(AND(SUBSTITUTE(SUBSTITUTE(SUBSTITUTE(SUBSTITUTE(SUBSTITUTE(SUBSTITUTE(SUBSTITUTE(SUBSTITUTE(SUBSTITUTE(SUBSTITUTE(SUBSTITUTE(SUBSTITUTE(SUBSTITUTE(SUBSTITUTE(UPPER($EI126),"0",""),"1",""),"2",""),"3",""),"4",""),"5",""),"6",""),"7",""),"8",""),"9",""),".",""),"+",""),"-",""),"E","")="",LEN(SUBSTITUTE(SUBSTITUTE(MID(UPPER($EI126),1+OR(LEFT(UPPER($EI126),1)="+",LEFT(UPPER($EI126),1)="-"),999),"E+","E"),"E-","E"))=LEN(SUBSTITUTE(SUBSTITUTE(SUBSTITUTE(SUBSTITUTE(MID(UPPER($EI126),1+OR(LEFT(UPPER($EI126),1)="+",LEFT(UPPER($EI126),1)="-"),999),"E+","E"),"E-","E"),"+",""),"-","")),LEN(UPPER($EI126))-LEN(SUBSTITUTE(UPPER($EI126),"E",""))&lt;2,LEN(UPPER($EI126))-LEN(SUBSTITUTE(UPPER($EI126),".",""))&lt;2,IFERROR(FIND(".",UPPER($EI126)),0)&lt;IFERROR(FIND("E",UPPER($EI126)),999)),ISNUMBER(VALUE($EI126)))),1,2)))</f>
        <v/>
      </c>
      <c r="EK126">
        <f>IF($DM126=0,"",IF($EJ126=1,IF(ISNUMBER($EI126),$EI126,VALUE($EI126)),IF($EJ126=2,$DE126,0)))</f>
        <v/>
      </c>
      <c r="EL126">
        <f>IF($DM126=0,"",COUNTIF($EG$5:$EG$1003,"&lt;"&amp;$EG126)+SUMPRODUCT(($EG$5:$EG$1003=$EG126)*(($EJ$5:$EJ$1003&lt;$EJ126)+($EJ$5:$EJ$1003=$EJ126)*(($EK$5:$EK$1003&lt;$EK126)+($EK$5:$EK$1003=$EK126)*($DE$5:$DE$1003&lt;$DE126))))+1)</f>
        <v/>
      </c>
      <c r="EM126">
        <f>IF($DM126=0,"",$EL126+$EG126-1)</f>
        <v/>
      </c>
      <c r="EN126">
        <f>IF($DM126=0,0,IFERROR(MATCH(1,INDEX(--(TRIM(SUBSTITUTE(SUBSTITUTE(SUBSTITUTE(SUBSTITUTE(LINES_NAME&amp;""," "," "),CHAR(9)," "),CHAR(10)," "),CHAR(13)," "))=$DH126),0),0),0))</f>
        <v/>
      </c>
      <c r="EO126">
        <f>IF($EN126=0,0,IF(OR(UPPER(TRIM(INDEX(LINES_SCHEDULED,$EN126)&amp;""))="YES",UPPER(TRIM(INDEX(LINES_SCHEDULED,$EN126)&amp;""))="Y",UPPER(TRIM(INDEX(LINES_SCHEDULED,$EN126)&amp;""))="X"),1,0))</f>
        <v/>
      </c>
      <c r="EP126">
        <f>IF($DM126=0,"",IF(COUNTIFS($EG$5:$EG$1003,$EG126,$EB$5:$EB$1003,"Ready")&gt;0,"READY",IF(COUNTIFS($EG$5:$EG$1003,$EG126,$EB$5:$EB$1003,"PM")&gt;0,"PM",IF(COUNTIFS($EG$5:$EG$1003,$EG126,$EB$5:$EB$1003,"OT")&gt;0,"OT",""))))</f>
        <v/>
      </c>
      <c r="EQ126">
        <f>IF($EN126=0,"",UPPER(TRIM(INDEX(LINES_STATUS,$EN126)&amp;"")))</f>
        <v/>
      </c>
      <c r="ER126">
        <f>IF($DM126=0,"",IF(OR($EQ126="READY",$EQ126="PM",$EQ126="OT"),$EQ126,$EP126))</f>
        <v/>
      </c>
      <c r="ES126">
        <f>IF($DM126=0,"",IF(AND($DV126&lt;&gt;"",UPPER($DV126)&lt;&gt;"N"),"allergen",IF(ISNUMBER(SEARCH("oil",$DQ126)),"oil",IF(OR(EXACT($DS126,"A662"),EXACT($DS126,"A624")),"bulk",""))))</f>
        <v/>
      </c>
      <c r="ET126">
        <f>IF($DM126=0,"",IF(OR($EA126="",$EA126=0),"",$EA126/100))</f>
        <v/>
      </c>
      <c r="EU126">
        <f>IF(OR($ET126="",$DY126=""),"",INT($DY126*(1-$ET126)+0.5))</f>
        <v/>
      </c>
      <c r="EW126" t="n">
        <v>122</v>
      </c>
      <c r="EX126">
        <f>IFERROR(MATCH($EW126,$EM$5:$EM$1003,0),0)</f>
        <v/>
      </c>
      <c r="EY126">
        <f>IF($EW126&gt;$B$12,"",IF($EX126&gt;0,"row","spacer"))</f>
        <v/>
      </c>
      <c r="EZ126">
        <f>IF(AND($EY126="row",$EY125&lt;&gt;"row"),1,0)</f>
        <v/>
      </c>
      <c r="FA126">
        <f>IF(AND($EY126="row",$EY127&lt;&gt;"row"),1,0)</f>
        <v/>
      </c>
      <c r="FB126">
        <f>IF($EZ126=1,IFERROR(IF(ISNUMBER(INDEX(PASTE_ALL,INDEX($DF$5:$DF$1003,$EX126),$B$37)),INDEX(PASTE_ALL,INDEX($DF$5:$DF$1003,$EX126),$B$37),INDEX($DH$5:$DH$1003,$EX126)),INDEX($DH$5:$DH$1003,$EX126)),"")</f>
        <v/>
      </c>
      <c r="FC126">
        <f>IF($EY126="row",INDEX($ER$5:$ER$1003,$EX126),"")</f>
        <v/>
      </c>
      <c r="FD126">
        <f>IF($EY126="row",INDEX($DN$5:$DN$1003,$EX126),"")</f>
        <v/>
      </c>
      <c r="FE126">
        <f>IF($EY126="row",INDEX($DO$5:$DO$1003,$EX126),"")</f>
        <v/>
      </c>
      <c r="FF126">
        <f>IF($EY126="row",INDEX($DP$5:$DP$1003,$EX126),"")</f>
        <v/>
      </c>
      <c r="FG126">
        <f>IF($EY126="row",INDEX($DQ$5:$DQ$1003,$EX126),"")</f>
        <v/>
      </c>
      <c r="FH126">
        <f>IF($EY126="row",INDEX($DR$5:$DR$1003,$EX126),"")</f>
        <v/>
      </c>
      <c r="FI126">
        <f>IF($EY126="row",INDEX($DS$5:$DS$1003,$EX126),"")</f>
        <v/>
      </c>
      <c r="FJ126">
        <f>IF($EY126="row",INDEX($DT$5:$DT$1003,$EX126),"")</f>
        <v/>
      </c>
      <c r="FK126">
        <f>IF($EY126="row",INDEX($DU$5:$DU$1003,$EX126),"")</f>
        <v/>
      </c>
      <c r="FL126">
        <f>IF($EY126="row",INDEX($DV$5:$DV$1003,$EX126),"")</f>
        <v/>
      </c>
      <c r="FM126">
        <f>IF($EY126="row",INDEX($DW$5:$DW$1003,$EX126),"")</f>
        <v/>
      </c>
      <c r="FN126">
        <f>IF($EY126="row",INDEX($DY$5:$DY$1003,$EX126),"")</f>
        <v/>
      </c>
      <c r="FO126">
        <f>IF($EY126="row",INDEX($EA$5:$EA$1003,$EX126),"")</f>
        <v/>
      </c>
      <c r="FP126">
        <f>IF($EY126="row",INDEX($EC$5:$EC$1003,$EX126),"")</f>
        <v/>
      </c>
      <c r="FQ126">
        <f>IF($EY126="row",INDEX($ET$5:$ET$1003,$EX126),"")</f>
        <v/>
      </c>
      <c r="FR126">
        <f>IF($EY126="row",INDEX($EU$5:$EU$1003,$EX126),"")</f>
        <v/>
      </c>
      <c r="FS126">
        <f>IF(AND($EY126="row",$EY125="row"),IF(OR(INDEX($DT$5:$DT$1003,$EX125)="",INDEX($DT$5:$DT$1003,$EX126)=""),"",IF(NOT(EXACT(INDEX($DT$5:$DT$1003,$EX125),INDEX($DT$5:$DT$1003,$EX126))),"S4",IF(NOT(EXACT(INDEX($DS$5:$DS$1003,$EX125),INDEX($DS$5:$DS$1003,$EX126))),"S3",IF(NOT(EXACT(INDEX($DR$5:$DR$1003,$EX125),INDEX($DR$5:$DR$1003,$EX126))),"S1 Count Change","S1")))),"")</f>
        <v/>
      </c>
      <c r="FT126">
        <f>IF($EY126="row",INDEX($ES$5:$ES$1003,$EX126),"")</f>
        <v/>
      </c>
      <c r="FU126">
        <f>IF($EY126="row",INDEX($EO$5:$EO$1003,$EX126),0)</f>
        <v/>
      </c>
      <c r="FV126">
        <f>IF($FS126="S1 Count Change",1,0)</f>
        <v/>
      </c>
    </row>
    <row r="127">
      <c r="Y127">
        <f>IF(Y37="",0,IFERROR(INDEX($W$5:$W$86,MATCH(Y37,$V$5:$V$86,0)),0))</f>
        <v/>
      </c>
      <c r="Z127">
        <f>IF(Z37="",0,IFERROR(INDEX($W$5:$W$86,MATCH(Z37,$V$5:$V$86,0)),0))</f>
        <v/>
      </c>
      <c r="AA127">
        <f>IF(AA37="",0,IFERROR(INDEX($W$5:$W$86,MATCH(AA37,$V$5:$V$86,0)),0))</f>
        <v/>
      </c>
      <c r="AB127">
        <f>IF(AB37="",0,IFERROR(INDEX($W$5:$W$86,MATCH(AB37,$V$5:$V$86,0)),0))</f>
        <v/>
      </c>
      <c r="AC127">
        <f>IF(AC37="",0,IFERROR(INDEX($W$5:$W$86,MATCH(AC37,$V$5:$V$86,0)),0))</f>
        <v/>
      </c>
      <c r="AD127">
        <f>IF(AD37="",0,IFERROR(INDEX($W$5:$W$86,MATCH(AD37,$V$5:$V$86,0)),0))</f>
        <v/>
      </c>
      <c r="AE127">
        <f>IF(AE37="",0,IFERROR(INDEX($W$5:$W$86,MATCH(AE37,$V$5:$V$86,0)),0))</f>
        <v/>
      </c>
      <c r="AF127">
        <f>IF(AF37="",0,IFERROR(INDEX($W$5:$W$86,MATCH(AF37,$V$5:$V$86,0)),0))</f>
        <v/>
      </c>
      <c r="AG127">
        <f>IF(AG37="",0,IFERROR(INDEX($W$5:$W$86,MATCH(AG37,$V$5:$V$86,0)),0))</f>
        <v/>
      </c>
      <c r="AH127">
        <f>IF(AH37="",0,IFERROR(INDEX($W$5:$W$86,MATCH(AH37,$V$5:$V$86,0)),0))</f>
        <v/>
      </c>
      <c r="AI127">
        <f>IF(AI37="",0,IFERROR(INDEX($W$5:$W$86,MATCH(AI37,$V$5:$V$86,0)),0))</f>
        <v/>
      </c>
      <c r="AJ127">
        <f>IF(AJ37="",0,IFERROR(INDEX($W$5:$W$86,MATCH(AJ37,$V$5:$V$86,0)),0))</f>
        <v/>
      </c>
      <c r="AK127">
        <f>IF(AK37="",0,IFERROR(INDEX($W$5:$W$86,MATCH(AK37,$V$5:$V$86,0)),0))</f>
        <v/>
      </c>
      <c r="AL127">
        <f>IF(AL37="",0,IFERROR(INDEX($W$5:$W$86,MATCH(AL37,$V$5:$V$86,0)),0))</f>
        <v/>
      </c>
      <c r="AM127">
        <f>IF(AM37="",0,IFERROR(INDEX($W$5:$W$86,MATCH(AM37,$V$5:$V$86,0)),0))</f>
        <v/>
      </c>
      <c r="AN127">
        <f>IF(AN37="",0,IFERROR(INDEX($W$5:$W$86,MATCH(AN37,$V$5:$V$86,0)),0))</f>
        <v/>
      </c>
      <c r="AO127">
        <f>IF(AO37="",0,IFERROR(INDEX($W$5:$W$86,MATCH(AO37,$V$5:$V$86,0)),0))</f>
        <v/>
      </c>
      <c r="AP127">
        <f>IF(AP37="",0,IFERROR(INDEX($W$5:$W$86,MATCH(AP37,$V$5:$V$86,0)),0))</f>
        <v/>
      </c>
      <c r="AQ127">
        <f>IF(AQ37="",0,IFERROR(INDEX($W$5:$W$86,MATCH(AQ37,$V$5:$V$86,0)),0))</f>
        <v/>
      </c>
      <c r="AR127">
        <f>IF(AR37="",0,IFERROR(INDEX($W$5:$W$86,MATCH(AR37,$V$5:$V$86,0)),0))</f>
        <v/>
      </c>
      <c r="AS127">
        <f>IF(AS37="",0,IFERROR(INDEX($W$5:$W$86,MATCH(AS37,$V$5:$V$86,0)),0))</f>
        <v/>
      </c>
      <c r="AT127">
        <f>IF(AT37="",0,IFERROR(INDEX($W$5:$W$86,MATCH(AT37,$V$5:$V$86,0)),0))</f>
        <v/>
      </c>
      <c r="AU127">
        <f>IF(AU37="",0,IFERROR(INDEX($W$5:$W$86,MATCH(AU37,$V$5:$V$86,0)),0))</f>
        <v/>
      </c>
      <c r="AV127">
        <f>IF(AV37="",0,IFERROR(INDEX($W$5:$W$86,MATCH(AV37,$V$5:$V$86,0)),0))</f>
        <v/>
      </c>
      <c r="AW127">
        <f>IF(AW37="",0,IFERROR(INDEX($W$5:$W$86,MATCH(AW37,$V$5:$V$86,0)),0))</f>
        <v/>
      </c>
      <c r="AX127">
        <f>IF(AX37="",0,IFERROR(INDEX($W$5:$W$86,MATCH(AX37,$V$5:$V$86,0)),0))</f>
        <v/>
      </c>
      <c r="AY127">
        <f>IF(AY37="",0,IFERROR(INDEX($W$5:$W$86,MATCH(AY37,$V$5:$V$86,0)),0))</f>
        <v/>
      </c>
      <c r="AZ127">
        <f>IF(AZ37="",0,IFERROR(INDEX($W$5:$W$86,MATCH(AZ37,$V$5:$V$86,0)),0))</f>
        <v/>
      </c>
      <c r="BA127">
        <f>IF(BA37="",0,IFERROR(INDEX($W$5:$W$86,MATCH(BA37,$V$5:$V$86,0)),0))</f>
        <v/>
      </c>
      <c r="BB127">
        <f>IF(BB37="",0,IFERROR(INDEX($W$5:$W$86,MATCH(BB37,$V$5:$V$86,0)),0))</f>
        <v/>
      </c>
      <c r="BC127">
        <f>IF(BC37="",0,IFERROR(INDEX($W$5:$W$86,MATCH(BC37,$V$5:$V$86,0)),0))</f>
        <v/>
      </c>
      <c r="BD127">
        <f>IF(BD37="",0,IFERROR(INDEX($W$5:$W$86,MATCH(BD37,$V$5:$V$86,0)),0))</f>
        <v/>
      </c>
      <c r="BE127">
        <f>IF(BE37="",0,IFERROR(INDEX($W$5:$W$86,MATCH(BE37,$V$5:$V$86,0)),0))</f>
        <v/>
      </c>
      <c r="BF127">
        <f>IF(BF37="",0,IFERROR(INDEX($W$5:$W$86,MATCH(BF37,$V$5:$V$86,0)),0))</f>
        <v/>
      </c>
      <c r="BG127">
        <f>IF(BG37="",0,IFERROR(INDEX($W$5:$W$86,MATCH(BG37,$V$5:$V$86,0)),0))</f>
        <v/>
      </c>
      <c r="BH127">
        <f>IF(BH37="",0,IFERROR(INDEX($W$5:$W$86,MATCH(BH37,$V$5:$V$86,0)),0))</f>
        <v/>
      </c>
      <c r="BI127">
        <f>IF(BI37="",0,IFERROR(INDEX($W$5:$W$86,MATCH(BI37,$V$5:$V$86,0)),0))</f>
        <v/>
      </c>
      <c r="BJ127">
        <f>IF(BJ37="",0,IFERROR(INDEX($W$5:$W$86,MATCH(BJ37,$V$5:$V$86,0)),0))</f>
        <v/>
      </c>
      <c r="BK127">
        <f>IF(BK37="",0,IFERROR(INDEX($W$5:$W$86,MATCH(BK37,$V$5:$V$86,0)),0))</f>
        <v/>
      </c>
      <c r="BL127">
        <f>IF(BL37="",0,IFERROR(INDEX($W$5:$W$86,MATCH(BL37,$V$5:$V$86,0)),0))</f>
        <v/>
      </c>
      <c r="BM127">
        <f>IF(BM37="",0,IFERROR(INDEX($W$5:$W$86,MATCH(BM37,$V$5:$V$86,0)),0))</f>
        <v/>
      </c>
      <c r="BN127">
        <f>IF(BN37="",0,IFERROR(INDEX($W$5:$W$86,MATCH(BN37,$V$5:$V$86,0)),0))</f>
        <v/>
      </c>
      <c r="BO127">
        <f>IF(BO37="",0,IFERROR(INDEX($W$5:$W$86,MATCH(BO37,$V$5:$V$86,0)),0))</f>
        <v/>
      </c>
      <c r="BP127">
        <f>IF(BP37="",0,IFERROR(INDEX($W$5:$W$86,MATCH(BP37,$V$5:$V$86,0)),0))</f>
        <v/>
      </c>
      <c r="BQ127">
        <f>IF(BQ37="",0,IFERROR(INDEX($W$5:$W$86,MATCH(BQ37,$V$5:$V$86,0)),0))</f>
        <v/>
      </c>
      <c r="BR127">
        <f>IF(BR37="",0,IFERROR(INDEX($W$5:$W$86,MATCH(BR37,$V$5:$V$86,0)),0))</f>
        <v/>
      </c>
      <c r="BS127">
        <f>IF(BS37="",0,IFERROR(INDEX($W$5:$W$86,MATCH(BS37,$V$5:$V$86,0)),0))</f>
        <v/>
      </c>
      <c r="BT127">
        <f>IF(BT37="",0,IFERROR(INDEX($W$5:$W$86,MATCH(BT37,$V$5:$V$86,0)),0))</f>
        <v/>
      </c>
      <c r="BU127">
        <f>IF(BU37="",0,IFERROR(INDEX($W$5:$W$86,MATCH(BU37,$V$5:$V$86,0)),0))</f>
        <v/>
      </c>
      <c r="BV127">
        <f>IF(BV37="",0,IFERROR(INDEX($W$5:$W$86,MATCH(BV37,$V$5:$V$86,0)),0))</f>
        <v/>
      </c>
      <c r="BW127">
        <f>IF(BW37="",0,IFERROR(INDEX($W$5:$W$86,MATCH(BW37,$V$5:$V$86,0)),0))</f>
        <v/>
      </c>
      <c r="BX127">
        <f>IF(BX37="",0,IFERROR(INDEX($W$5:$W$86,MATCH(BX37,$V$5:$V$86,0)),0))</f>
        <v/>
      </c>
      <c r="BY127">
        <f>IF(BY37="",0,IFERROR(INDEX($W$5:$W$86,MATCH(BY37,$V$5:$V$86,0)),0))</f>
        <v/>
      </c>
      <c r="BZ127">
        <f>IF(BZ37="",0,IFERROR(INDEX($W$5:$W$86,MATCH(BZ37,$V$5:$V$86,0)),0))</f>
        <v/>
      </c>
      <c r="CA127">
        <f>IF(CA37="",0,IFERROR(INDEX($W$5:$W$86,MATCH(CA37,$V$5:$V$86,0)),0))</f>
        <v/>
      </c>
      <c r="CB127">
        <f>IF(CB37="",0,IFERROR(INDEX($W$5:$W$86,MATCH(CB37,$V$5:$V$86,0)),0))</f>
        <v/>
      </c>
      <c r="CC127">
        <f>IF(CC37="",0,IFERROR(INDEX($W$5:$W$86,MATCH(CC37,$V$5:$V$86,0)),0))</f>
        <v/>
      </c>
      <c r="CD127">
        <f>IF(CD37="",0,IFERROR(INDEX($W$5:$W$86,MATCH(CD37,$V$5:$V$86,0)),0))</f>
        <v/>
      </c>
      <c r="CE127">
        <f>IF(CE37="",0,IFERROR(INDEX($W$5:$W$86,MATCH(CE37,$V$5:$V$86,0)),0))</f>
        <v/>
      </c>
      <c r="CF127">
        <f>IF(CF37="",0,IFERROR(INDEX($W$5:$W$86,MATCH(CF37,$V$5:$V$86,0)),0))</f>
        <v/>
      </c>
      <c r="DA127" t="n">
        <v>123</v>
      </c>
      <c r="DB127">
        <f>IF($B$37=0,"",IFERROR(TRIM(SUBSTITUTE(SUBSTITUTE(SUBSTITUTE(SUBSTITUTE(INDEX(PASTE_ALL,123,$B$37)," "," "),CHAR(9)," "),CHAR(10)," "),CHAR(13)," ")),""))</f>
        <v/>
      </c>
      <c r="DC127">
        <f>IF(AND(123&gt;HEADER_ROW,UPPER(DB127)="LEGEND"),1,0)</f>
        <v/>
      </c>
      <c r="DE127" t="n">
        <v>123</v>
      </c>
      <c r="DF127">
        <f>HEADER_ROW+$DE127</f>
        <v/>
      </c>
      <c r="DG127">
        <f>IF(AND($DF127&lt;=1000,$DF127&lt;$B$8),1,0)</f>
        <v/>
      </c>
      <c r="DH127">
        <f>IF($DG127=1,IFERROR(INDEX($DB$5:$DB$1004,$DF127),""),"")</f>
        <v/>
      </c>
      <c r="DI127">
        <f>IF(AND($DG127=1,$DH127&lt;&gt;""),IFERROR(SUBSTITUTE(SUBSTITUTE(TRIM(SUBSTITUTE(SUBSTITUTE(SUBSTITUTE(SUBSTITUTE(IFERROR(INDEX(PASTE_ALL,$DF127,1)&amp;"","")&amp;"␟"&amp;IFERROR(INDEX(PASTE_ALL,$DF127,2)&amp;"","")&amp;"␟"&amp;IFERROR(INDEX(PASTE_ALL,$DF127,3)&amp;"","")&amp;"␟"&amp;IFERROR(INDEX(PASTE_ALL,$DF127,4)&amp;"","")&amp;"␟"&amp;IFERROR(INDEX(PASTE_ALL,$DF127,5)&amp;"","")&amp;"␟"&amp;IFERROR(INDEX(PASTE_ALL,$DF127,6)&amp;"","")&amp;"␟"&amp;IFERROR(INDEX(PASTE_ALL,$DF127,7)&amp;"","")&amp;"␟"&amp;IFERROR(INDEX(PASTE_ALL,$DF127,8)&amp;"","")&amp;"␟"&amp;IFERROR(INDEX(PASTE_ALL,$DF127,9)&amp;"","")&amp;"␟"&amp;IFERROR(INDEX(PASTE_ALL,$DF127,10)&amp;"","")&amp;"␟"&amp;IFERROR(INDEX(PASTE_ALL,$DF127,11)&amp;"","")&amp;"␟"&amp;IFERROR(INDEX(PASTE_ALL,$DF127,12)&amp;"","")&amp;"␟"&amp;IFERROR(INDEX(PASTE_ALL,$DF127,13)&amp;"","")&amp;"␟"&amp;IFERROR(INDEX(PASTE_ALL,$DF127,14)&amp;"","")&amp;"␟"&amp;IFERROR(INDEX(PASTE_ALL,$DF127,15)&amp;"","")&amp;"␟"&amp;IFERROR(INDEX(PASTE_ALL,$DF127,16)&amp;"","")&amp;"␟"&amp;IFERROR(INDEX(PASTE_ALL,$DF127,17)&amp;"","")&amp;"␟"&amp;IFERROR(INDEX(PASTE_ALL,$DF127,18)&amp;"","")&amp;"␟"&amp;IFERROR(INDEX(PASTE_ALL,$DF127,19)&amp;"","")&amp;"␟"&amp;IFERROR(INDEX(PASTE_ALL,$DF127,20)&amp;"","")&amp;"␟"&amp;IFERROR(INDEX(PASTE_ALL,$DF127,21)&amp;"","")&amp;"␟"&amp;IFERROR(INDEX(PASTE_ALL,$DF127,22)&amp;"","")&amp;"␟"&amp;IFERROR(INDEX(PASTE_ALL,$DF127,23)&amp;"","")&amp;"␟"&amp;IFERROR(INDEX(PASTE_ALL,$DF127,24)&amp;"","")&amp;"␟"&amp;IFERROR(INDEX(PASTE_ALL,$DF127,25)&amp;"","")&amp;"␟"&amp;IFERROR(INDEX(PASTE_ALL,$DF127,26)&amp;"","")&amp;"␟"&amp;IFERROR(INDEX(PASTE_ALL,$DF127,27)&amp;"","")&amp;"␟"&amp;IFERROR(INDEX(PASTE_ALL,$DF127,28)&amp;"","")&amp;"␟"&amp;IFERROR(INDEX(PASTE_ALL,$DF127,29)&amp;"","")&amp;"␟"&amp;IFERROR(INDEX(PASTE_ALL,$DF127,30)&amp;"","")&amp;"␟"&amp;IFERROR(INDEX(PASTE_ALL,$DF127,31)&amp;"","")&amp;"␟"&amp;IFERROR(INDEX(PASTE_ALL,$DF127,32)&amp;"","")&amp;"␟"&amp;IFERROR(INDEX(PASTE_ALL,$DF127,33)&amp;"","")&amp;"␟"&amp;IFERROR(INDEX(PASTE_ALL,$DF127,34)&amp;"","")&amp;"␟"&amp;IFERROR(INDEX(PASTE_ALL,$DF127,35)&amp;"","")&amp;"␟"&amp;IFERROR(INDEX(PASTE_ALL,$DF127,36)&amp;"","")&amp;"␟"&amp;IFERROR(INDEX(PASTE_ALL,$DF127,37)&amp;"","")&amp;"␟"&amp;IFERROR(INDEX(PASTE_ALL,$DF127,38)&amp;"","")&amp;"␟"&amp;IFERROR(INDEX(PASTE_ALL,$DF127,39)&amp;"","")&amp;"␟"&amp;IFERROR(INDEX(PASTE_ALL,$DF127,40)&amp;"","")&amp;"␟"&amp;IFERROR(INDEX(PASTE_ALL,$DF127,41)&amp;"","")&amp;"␟"&amp;IFERROR(INDEX(PASTE_ALL,$DF127,42)&amp;"","")&amp;"␟"&amp;IFERROR(INDEX(PASTE_ALL,$DF127,43)&amp;"","")&amp;"␟"&amp;IFERROR(INDEX(PASTE_ALL,$DF127,44)&amp;"","")&amp;"␟"&amp;IFERROR(INDEX(PASTE_ALL,$DF127,45)&amp;"","")&amp;"␟"&amp;IFERROR(INDEX(PASTE_ALL,$DF127,46)&amp;"","")&amp;"␟"&amp;IFERROR(INDEX(PASTE_ALL,$DF127,47)&amp;"","")&amp;"␟"&amp;IFERROR(INDEX(PASTE_ALL,$DF127,48)&amp;"","")&amp;"␟"&amp;IFERROR(INDEX(PASTE_ALL,$DF127,49)&amp;"","")&amp;"␟"&amp;IFERROR(INDEX(PASTE_ALL,$DF127,50)&amp;"","")&amp;"␟"&amp;IFERROR(INDEX(PASTE_ALL,$DF127,51)&amp;"","")&amp;"␟"&amp;IFERROR(INDEX(PASTE_ALL,$DF127,52)&amp;"","")&amp;"␟"&amp;IFERROR(INDEX(PASTE_ALL,$DF127,53)&amp;"","")&amp;"␟"&amp;IFERROR(INDEX(PASTE_ALL,$DF127,54)&amp;"","")&amp;"␟"&amp;IFERROR(INDEX(PASTE_ALL,$DF127,55)&amp;"","")&amp;"␟"&amp;IFERROR(INDEX(PASTE_ALL,$DF127,56)&amp;"","")&amp;"␟"&amp;IFERROR(INDEX(PASTE_ALL,$DF127,57)&amp;"","")&amp;"␟"&amp;IFERROR(INDEX(PASTE_ALL,$DF127,58)&amp;"","")&amp;"␟"&amp;IFERROR(INDEX(PASTE_ALL,$DF127,59)&amp;"","")&amp;"␟"&amp;IFERROR(INDEX(PASTE_ALL,$DF127,60)&amp;"","")," "," "),CHAR(9)," "),CHAR(10)," "),CHAR(13)," "))," ␟","␟"),"␟ ","␟"),"#"&amp;$DE127),"")</f>
        <v/>
      </c>
      <c r="DJ127">
        <f>IF($DI127="",0,IF(SUMPRODUCT(--EXACT($DI$4:DI126,$DI127))&gt;0,1,0))</f>
        <v/>
      </c>
      <c r="DK127">
        <f>IF(AND($DI127&lt;&gt;"",$DJ127=0),1,0)</f>
        <v/>
      </c>
      <c r="DL127">
        <f>DL126+$DK127</f>
        <v/>
      </c>
      <c r="DM127">
        <f>IF(AND($DK127=1,$DL127&lt;=600),1,0)</f>
        <v/>
      </c>
      <c r="DN127">
        <f>IF($DM127=0,"",IF($L$6=0,"",IFERROR(IF(ISNUMBER(INDEX(PASTE_ALL,$DF127,$L$6)),INDEX(PASTE_ALL,$DF127,$L$6),TRIM(SUBSTITUTE(SUBSTITUTE(SUBSTITUTE(SUBSTITUTE(INDEX(PASTE_ALL,$DF127,$L$6)," "," "),CHAR(9)," "),CHAR(10)," "),CHAR(13)," "))),"")))</f>
        <v/>
      </c>
      <c r="DO127">
        <f>IF($DM127=0,"",IF($L$7=0,"",IFERROR(IF(ISNUMBER(INDEX(PASTE_ALL,$DF127,$L$7)),INDEX(PASTE_ALL,$DF127,$L$7),TRIM(SUBSTITUTE(SUBSTITUTE(SUBSTITUTE(SUBSTITUTE(INDEX(PASTE_ALL,$DF127,$L$7)," "," "),CHAR(9)," "),CHAR(10)," "),CHAR(13)," "))),"")))</f>
        <v/>
      </c>
      <c r="DP127">
        <f>IF($DM127=0,"",IF($L$8=0,"",IFERROR(IF(ISNUMBER(INDEX(PASTE_ALL,$DF127,$L$8)),INDEX(PASTE_ALL,$DF127,$L$8),TRIM(SUBSTITUTE(SUBSTITUTE(SUBSTITUTE(SUBSTITUTE(INDEX(PASTE_ALL,$DF127,$L$8)," "," "),CHAR(9)," "),CHAR(10)," "),CHAR(13)," "))),"")))</f>
        <v/>
      </c>
      <c r="DQ127">
        <f>IF($DM127=0,"",IF($L$9=0,"",IFERROR(IF(ISNUMBER(INDEX(PASTE_ALL,$DF127,$L$9)),INDEX(PASTE_ALL,$DF127,$L$9),TRIM(SUBSTITUTE(SUBSTITUTE(SUBSTITUTE(SUBSTITUTE(INDEX(PASTE_ALL,$DF127,$L$9)," "," "),CHAR(9)," "),CHAR(10)," "),CHAR(13)," "))),"")))</f>
        <v/>
      </c>
      <c r="DR127">
        <f>IF($DM127=0,"",IF($L$10=0,"",IFERROR(IF(ISNUMBER(INDEX(PASTE_ALL,$DF127,$L$10)),INDEX(PASTE_ALL,$DF127,$L$10),TRIM(SUBSTITUTE(SUBSTITUTE(SUBSTITUTE(SUBSTITUTE(INDEX(PASTE_ALL,$DF127,$L$10)," "," "),CHAR(9)," "),CHAR(10)," "),CHAR(13)," "))),"")))</f>
        <v/>
      </c>
      <c r="DS127">
        <f>IF($DM127=0,"",IF($L$11=0,"",IFERROR(IF(ISNUMBER(INDEX(PASTE_ALL,$DF127,$L$11)),INDEX(PASTE_ALL,$DF127,$L$11),TRIM(SUBSTITUTE(SUBSTITUTE(SUBSTITUTE(SUBSTITUTE(INDEX(PASTE_ALL,$DF127,$L$11)," "," "),CHAR(9)," "),CHAR(10)," "),CHAR(13)," "))),"")))</f>
        <v/>
      </c>
      <c r="DT127">
        <f>IF($DM127=0,"",IF($L$12=0,"",IFERROR(IF(ISNUMBER(INDEX(PASTE_ALL,$DF127,$L$12)),INDEX(PASTE_ALL,$DF127,$L$12),TRIM(SUBSTITUTE(SUBSTITUTE(SUBSTITUTE(SUBSTITUTE(INDEX(PASTE_ALL,$DF127,$L$12)," "," "),CHAR(9)," "),CHAR(10)," "),CHAR(13)," "))),"")))</f>
        <v/>
      </c>
      <c r="DU127">
        <f>IF($DM127=0,"",IF($L$13=0,"",IFERROR(IF(ISNUMBER(INDEX(PASTE_ALL,$DF127,$L$13)),INDEX(PASTE_ALL,$DF127,$L$13),TRIM(SUBSTITUTE(SUBSTITUTE(SUBSTITUTE(SUBSTITUTE(INDEX(PASTE_ALL,$DF127,$L$13)," "," "),CHAR(9)," "),CHAR(10)," "),CHAR(13)," "))),"")))</f>
        <v/>
      </c>
      <c r="DV127">
        <f>IF($DM127=0,"",IF($L$14=0,"",IFERROR(IF(ISNUMBER(INDEX(PASTE_ALL,$DF127,$L$14)),INDEX(PASTE_ALL,$DF127,$L$14),TRIM(SUBSTITUTE(SUBSTITUTE(SUBSTITUTE(SUBSTITUTE(INDEX(PASTE_ALL,$DF127,$L$14)," "," "),CHAR(9)," "),CHAR(10)," "),CHAR(13)," "))),"")))</f>
        <v/>
      </c>
      <c r="DW127">
        <f>IF($DM127=0,"",IF($L$15=0,"",IFERROR(IF(ISNUMBER(INDEX(PASTE_ALL,$DF127,$L$15)),INDEX(PASTE_ALL,$DF127,$L$15),IF(SUMPRODUCT(--ISNUMBER(FIND({"A","B","C","D","E","F","G","H","I","J","K","L","M","N","O","P","Q","R","S","T","U","V","W","X","Y","Z","0","1","2","3","4","5","6","7","8","9"},UPPER(TRIM(SUBSTITUTE(SUBSTITUTE(SUBSTITUTE(SUBSTITUTE(INDEX(PASTE_ALL,$DF127,$L$15)," "," "),CHAR(9)," "),CHAR(10)," "),CHAR(13)," "))))))&gt;0,TRIM(SUBSTITUTE(SUBSTITUTE(SUBSTITUTE(SUBSTITUTE(INDEX(PASTE_ALL,$DF127,$L$15)," "," "),CHAR(9)," "),CHAR(10)," "),CHAR(13)," ")),"")),"")))</f>
        <v/>
      </c>
      <c r="DX127">
        <f>IF($DM127=0,"",IF($L$16=0,"",IFERROR(IF(ISNUMBER(INDEX(PASTE_ALL,$DF127,$L$16)),INDEX(PASTE_ALL,$DF127,$L$16),SUBSTITUTE(SUBSTITUTE(TRIM(SUBSTITUTE(SUBSTITUTE(SUBSTITUTE(SUBSTITUTE(INDEX(PASTE_ALL,$DF127,$L$16)," "," "),CHAR(9)," "),CHAR(10)," "),CHAR(13)," ")),",",""),"%","")),"")))</f>
        <v/>
      </c>
      <c r="DY127">
        <f>IF($DM127=0,"",IFERROR(IF(ISNUMBER($DX127),$DX127,IF($DX127="","",IF(TRIM($DX127)="",0,IF(AND(AND(SUBSTITUTE(SUBSTITUTE(SUBSTITUTE(SUBSTITUTE(SUBSTITUTE(SUBSTITUTE(SUBSTITUTE(SUBSTITUTE(SUBSTITUTE(SUBSTITUTE(SUBSTITUTE(SUBSTITUTE(SUBSTITUTE(SUBSTITUTE(UPPER(TRIM($DX127)),"0",""),"1",""),"2",""),"3",""),"4",""),"5",""),"6",""),"7",""),"8",""),"9",""),".",""),"+",""),"-",""),"E","")="",LEN(SUBSTITUTE(SUBSTITUTE(MID(UPPER(TRIM($DX127)),1+OR(LEFT(UPPER(TRIM($DX127)),1)="+",LEFT(UPPER(TRIM($DX127)),1)="-"),999),"E+","E"),"E-","E"))=LEN(SUBSTITUTE(SUBSTITUTE(SUBSTITUTE(SUBSTITUTE(MID(UPPER(TRIM($DX127)),1+OR(LEFT(UPPER(TRIM($DX127)),1)="+",LEFT(UPPER(TRIM($DX127)),1)="-"),999),"E+","E"),"E-","E"),"+",""),"-","")),LEN(UPPER(TRIM($DX127)))-LEN(SUBSTITUTE(UPPER(TRIM($DX127)),"E",""))&lt;2,LEN(UPPER(TRIM($DX127)))-LEN(SUBSTITUTE(UPPER(TRIM($DX127)),".",""))&lt;2,IFERROR(FIND(".",UPPER(TRIM($DX127))),0)&lt;IFERROR(FIND("E",UPPER(TRIM($DX127))),999)),ISNUMBER(VALUE(TRIM($DX127)))),VALUE(TRIM($DX127)),"")))),""))</f>
        <v/>
      </c>
      <c r="DZ127">
        <f>IF($DM127=0,"",IF($L$17=0,"",IFERROR(IF(ISNUMBER(INDEX(PASTE_ALL,$DF127,$L$17)),INDEX(PASTE_ALL,$DF127,$L$17),SUBSTITUTE(SUBSTITUTE(TRIM(SUBSTITUTE(SUBSTITUTE(SUBSTITUTE(SUBSTITUTE(INDEX(PASTE_ALL,$DF127,$L$17)," "," "),CHAR(9)," "),CHAR(10)," "),CHAR(13)," ")),",",""),"%","")),"")))</f>
        <v/>
      </c>
      <c r="EA127">
        <f>IF($DM127=0,"",IFERROR(IF(ISNUMBER($DZ127),$DZ127,IF($DZ127="","",IF(TRIM($DZ127)="",0,IF(AND(AND(SUBSTITUTE(SUBSTITUTE(SUBSTITUTE(SUBSTITUTE(SUBSTITUTE(SUBSTITUTE(SUBSTITUTE(SUBSTITUTE(SUBSTITUTE(SUBSTITUTE(SUBSTITUTE(SUBSTITUTE(SUBSTITUTE(SUBSTITUTE(UPPER(TRIM($DZ127)),"0",""),"1",""),"2",""),"3",""),"4",""),"5",""),"6",""),"7",""),"8",""),"9",""),".",""),"+",""),"-",""),"E","")="",LEN(SUBSTITUTE(SUBSTITUTE(MID(UPPER(TRIM($DZ127)),1+OR(LEFT(UPPER(TRIM($DZ127)),1)="+",LEFT(UPPER(TRIM($DZ127)),1)="-"),999),"E+","E"),"E-","E"))=LEN(SUBSTITUTE(SUBSTITUTE(SUBSTITUTE(SUBSTITUTE(MID(UPPER(TRIM($DZ127)),1+OR(LEFT(UPPER(TRIM($DZ127)),1)="+",LEFT(UPPER(TRIM($DZ127)),1)="-"),999),"E+","E"),"E-","E"),"+",""),"-","")),LEN(UPPER(TRIM($DZ127)))-LEN(SUBSTITUTE(UPPER(TRIM($DZ127)),"E",""))&lt;2,LEN(UPPER(TRIM($DZ127)))-LEN(SUBSTITUTE(UPPER(TRIM($DZ127)),".",""))&lt;2,IFERROR(FIND(".",UPPER(TRIM($DZ127))),0)&lt;IFERROR(FIND("E",UPPER(TRIM($DZ127))),999)),ISNUMBER(VALUE(TRIM($DZ127)))),VALUE(TRIM($DZ127)),"")))),""))</f>
        <v/>
      </c>
      <c r="EB127">
        <f>IF($DM127=0,"",IF($L$18=0,"",IFERROR(IF(UPPER(TRIM(SUBSTITUTE(SUBSTITUTE(SUBSTITUTE(SUBSTITUTE(INDEX(PASTE_ALL,$DF127,$L$18)," "," "),CHAR(9)," "),CHAR(10)," "),CHAR(13)," ")))="READY","Ready",IF(UPPER(TRIM(SUBSTITUTE(SUBSTITUTE(SUBSTITUTE(SUBSTITUTE(INDEX(PASTE_ALL,$DF127,$L$18)," "," "),CHAR(9)," "),CHAR(10)," "),CHAR(13)," ")))="PM","PM",IF(OR(UPPER(TRIM(SUBSTITUTE(SUBSTITUTE(SUBSTITUTE(SUBSTITUTE(INDEX(PASTE_ALL,$DF127,$L$18)," "," "),CHAR(9)," "),CHAR(10)," "),CHAR(13)," ")))="OT",UPPER(TRIM(SUBSTITUTE(SUBSTITUTE(SUBSTITUTE(SUBSTITUTE(INDEX(PASTE_ALL,$DF127,$L$18)," "," "),CHAR(9)," "),CHAR(10)," "),CHAR(13)," ")))="OVERTIME",UPPER(TRIM(SUBSTITUTE(SUBSTITUTE(SUBSTITUTE(SUBSTITUTE(INDEX(PASTE_ALL,$DF127,$L$18)," "," "),CHAR(9)," "),CHAR(10)," "),CHAR(13)," ")))="TRIAL"),"OT",TRIM(SUBSTITUTE(SUBSTITUTE(SUBSTITUTE(SUBSTITUTE(INDEX(PASTE_ALL,$DF127,$L$18)," "," "),CHAR(9)," "),CHAR(10)," "),CHAR(13)," "))))),"")))</f>
        <v/>
      </c>
      <c r="EC127">
        <f>IF($DM127=0,"",IF($L$19=0,"",IFERROR(IF(ISNUMBER(INDEX(PASTE_ALL,$DF127,$L$19)),INDEX(PASTE_ALL,$DF127,$L$19),TRIM(SUBSTITUTE(SUBSTITUTE(SUBSTITUTE(SUBSTITUTE(INDEX(PASTE_ALL,$DF127,$L$19)," "," "),CHAR(9)," "),CHAR(10)," "),CHAR(13)," "))),"")))</f>
        <v/>
      </c>
      <c r="ED127">
        <f>IF($DM127=0,"",MATCH(1,INDEX(EXACT($DH$5:DH127,$DH127)*$DM$5:DM127,0),0))</f>
        <v/>
      </c>
      <c r="EE127">
        <f>IF($DM127=0,0,IF($ED127=$DE127,1,0))</f>
        <v/>
      </c>
      <c r="EF127">
        <f>EF126+$EE127</f>
        <v/>
      </c>
      <c r="EG127">
        <f>IF($DM127=0,"",INDEX($EF$5:$EF$1003,$ED127))</f>
        <v/>
      </c>
      <c r="EH127">
        <f>IF($DM127=0,"",IF($DO127&lt;&gt;"","",IFERROR(LOOKUP(2,1/(($EG$4:EG126=$EG127)*($DO$4:DO126&lt;&gt;"")),$DO$4:DO126),"")))</f>
        <v/>
      </c>
      <c r="EI127">
        <f>IF($DM127=0,"",IF($DO127&lt;&gt;"",$DO127,$EH127))</f>
        <v/>
      </c>
      <c r="EJ127">
        <f>IF($DM127=0,"",IF($EI127="",0,IF(OR(ISNUMBER($EI127),AND(AND(SUBSTITUTE(SUBSTITUTE(SUBSTITUTE(SUBSTITUTE(SUBSTITUTE(SUBSTITUTE(SUBSTITUTE(SUBSTITUTE(SUBSTITUTE(SUBSTITUTE(SUBSTITUTE(SUBSTITUTE(SUBSTITUTE(SUBSTITUTE(UPPER($EI127),"0",""),"1",""),"2",""),"3",""),"4",""),"5",""),"6",""),"7",""),"8",""),"9",""),".",""),"+",""),"-",""),"E","")="",LEN(SUBSTITUTE(SUBSTITUTE(MID(UPPER($EI127),1+OR(LEFT(UPPER($EI127),1)="+",LEFT(UPPER($EI127),1)="-"),999),"E+","E"),"E-","E"))=LEN(SUBSTITUTE(SUBSTITUTE(SUBSTITUTE(SUBSTITUTE(MID(UPPER($EI127),1+OR(LEFT(UPPER($EI127),1)="+",LEFT(UPPER($EI127),1)="-"),999),"E+","E"),"E-","E"),"+",""),"-","")),LEN(UPPER($EI127))-LEN(SUBSTITUTE(UPPER($EI127),"E",""))&lt;2,LEN(UPPER($EI127))-LEN(SUBSTITUTE(UPPER($EI127),".",""))&lt;2,IFERROR(FIND(".",UPPER($EI127)),0)&lt;IFERROR(FIND("E",UPPER($EI127)),999)),ISNUMBER(VALUE($EI127)))),1,2)))</f>
        <v/>
      </c>
      <c r="EK127">
        <f>IF($DM127=0,"",IF($EJ127=1,IF(ISNUMBER($EI127),$EI127,VALUE($EI127)),IF($EJ127=2,$DE127,0)))</f>
        <v/>
      </c>
      <c r="EL127">
        <f>IF($DM127=0,"",COUNTIF($EG$5:$EG$1003,"&lt;"&amp;$EG127)+SUMPRODUCT(($EG$5:$EG$1003=$EG127)*(($EJ$5:$EJ$1003&lt;$EJ127)+($EJ$5:$EJ$1003=$EJ127)*(($EK$5:$EK$1003&lt;$EK127)+($EK$5:$EK$1003=$EK127)*($DE$5:$DE$1003&lt;$DE127))))+1)</f>
        <v/>
      </c>
      <c r="EM127">
        <f>IF($DM127=0,"",$EL127+$EG127-1)</f>
        <v/>
      </c>
      <c r="EN127">
        <f>IF($DM127=0,0,IFERROR(MATCH(1,INDEX(--(TRIM(SUBSTITUTE(SUBSTITUTE(SUBSTITUTE(SUBSTITUTE(LINES_NAME&amp;""," "," "),CHAR(9)," "),CHAR(10)," "),CHAR(13)," "))=$DH127),0),0),0))</f>
        <v/>
      </c>
      <c r="EO127">
        <f>IF($EN127=0,0,IF(OR(UPPER(TRIM(INDEX(LINES_SCHEDULED,$EN127)&amp;""))="YES",UPPER(TRIM(INDEX(LINES_SCHEDULED,$EN127)&amp;""))="Y",UPPER(TRIM(INDEX(LINES_SCHEDULED,$EN127)&amp;""))="X"),1,0))</f>
        <v/>
      </c>
      <c r="EP127">
        <f>IF($DM127=0,"",IF(COUNTIFS($EG$5:$EG$1003,$EG127,$EB$5:$EB$1003,"Ready")&gt;0,"READY",IF(COUNTIFS($EG$5:$EG$1003,$EG127,$EB$5:$EB$1003,"PM")&gt;0,"PM",IF(COUNTIFS($EG$5:$EG$1003,$EG127,$EB$5:$EB$1003,"OT")&gt;0,"OT",""))))</f>
        <v/>
      </c>
      <c r="EQ127">
        <f>IF($EN127=0,"",UPPER(TRIM(INDEX(LINES_STATUS,$EN127)&amp;"")))</f>
        <v/>
      </c>
      <c r="ER127">
        <f>IF($DM127=0,"",IF(OR($EQ127="READY",$EQ127="PM",$EQ127="OT"),$EQ127,$EP127))</f>
        <v/>
      </c>
      <c r="ES127">
        <f>IF($DM127=0,"",IF(AND($DV127&lt;&gt;"",UPPER($DV127)&lt;&gt;"N"),"allergen",IF(ISNUMBER(SEARCH("oil",$DQ127)),"oil",IF(OR(EXACT($DS127,"A662"),EXACT($DS127,"A624")),"bulk",""))))</f>
        <v/>
      </c>
      <c r="ET127">
        <f>IF($DM127=0,"",IF(OR($EA127="",$EA127=0),"",$EA127/100))</f>
        <v/>
      </c>
      <c r="EU127">
        <f>IF(OR($ET127="",$DY127=""),"",INT($DY127*(1-$ET127)+0.5))</f>
        <v/>
      </c>
      <c r="EW127" t="n">
        <v>123</v>
      </c>
      <c r="EX127">
        <f>IFERROR(MATCH($EW127,$EM$5:$EM$1003,0),0)</f>
        <v/>
      </c>
      <c r="EY127">
        <f>IF($EW127&gt;$B$12,"",IF($EX127&gt;0,"row","spacer"))</f>
        <v/>
      </c>
      <c r="EZ127">
        <f>IF(AND($EY127="row",$EY126&lt;&gt;"row"),1,0)</f>
        <v/>
      </c>
      <c r="FA127">
        <f>IF(AND($EY127="row",$EY128&lt;&gt;"row"),1,0)</f>
        <v/>
      </c>
      <c r="FB127">
        <f>IF($EZ127=1,IFERROR(IF(ISNUMBER(INDEX(PASTE_ALL,INDEX($DF$5:$DF$1003,$EX127),$B$37)),INDEX(PASTE_ALL,INDEX($DF$5:$DF$1003,$EX127),$B$37),INDEX($DH$5:$DH$1003,$EX127)),INDEX($DH$5:$DH$1003,$EX127)),"")</f>
        <v/>
      </c>
      <c r="FC127">
        <f>IF($EY127="row",INDEX($ER$5:$ER$1003,$EX127),"")</f>
        <v/>
      </c>
      <c r="FD127">
        <f>IF($EY127="row",INDEX($DN$5:$DN$1003,$EX127),"")</f>
        <v/>
      </c>
      <c r="FE127">
        <f>IF($EY127="row",INDEX($DO$5:$DO$1003,$EX127),"")</f>
        <v/>
      </c>
      <c r="FF127">
        <f>IF($EY127="row",INDEX($DP$5:$DP$1003,$EX127),"")</f>
        <v/>
      </c>
      <c r="FG127">
        <f>IF($EY127="row",INDEX($DQ$5:$DQ$1003,$EX127),"")</f>
        <v/>
      </c>
      <c r="FH127">
        <f>IF($EY127="row",INDEX($DR$5:$DR$1003,$EX127),"")</f>
        <v/>
      </c>
      <c r="FI127">
        <f>IF($EY127="row",INDEX($DS$5:$DS$1003,$EX127),"")</f>
        <v/>
      </c>
      <c r="FJ127">
        <f>IF($EY127="row",INDEX($DT$5:$DT$1003,$EX127),"")</f>
        <v/>
      </c>
      <c r="FK127">
        <f>IF($EY127="row",INDEX($DU$5:$DU$1003,$EX127),"")</f>
        <v/>
      </c>
      <c r="FL127">
        <f>IF($EY127="row",INDEX($DV$5:$DV$1003,$EX127),"")</f>
        <v/>
      </c>
      <c r="FM127">
        <f>IF($EY127="row",INDEX($DW$5:$DW$1003,$EX127),"")</f>
        <v/>
      </c>
      <c r="FN127">
        <f>IF($EY127="row",INDEX($DY$5:$DY$1003,$EX127),"")</f>
        <v/>
      </c>
      <c r="FO127">
        <f>IF($EY127="row",INDEX($EA$5:$EA$1003,$EX127),"")</f>
        <v/>
      </c>
      <c r="FP127">
        <f>IF($EY127="row",INDEX($EC$5:$EC$1003,$EX127),"")</f>
        <v/>
      </c>
      <c r="FQ127">
        <f>IF($EY127="row",INDEX($ET$5:$ET$1003,$EX127),"")</f>
        <v/>
      </c>
      <c r="FR127">
        <f>IF($EY127="row",INDEX($EU$5:$EU$1003,$EX127),"")</f>
        <v/>
      </c>
      <c r="FS127">
        <f>IF(AND($EY127="row",$EY126="row"),IF(OR(INDEX($DT$5:$DT$1003,$EX126)="",INDEX($DT$5:$DT$1003,$EX127)=""),"",IF(NOT(EXACT(INDEX($DT$5:$DT$1003,$EX126),INDEX($DT$5:$DT$1003,$EX127))),"S4",IF(NOT(EXACT(INDEX($DS$5:$DS$1003,$EX126),INDEX($DS$5:$DS$1003,$EX127))),"S3",IF(NOT(EXACT(INDEX($DR$5:$DR$1003,$EX126),INDEX($DR$5:$DR$1003,$EX127))),"S1 Count Change","S1")))),"")</f>
        <v/>
      </c>
      <c r="FT127">
        <f>IF($EY127="row",INDEX($ES$5:$ES$1003,$EX127),"")</f>
        <v/>
      </c>
      <c r="FU127">
        <f>IF($EY127="row",INDEX($EO$5:$EO$1003,$EX127),0)</f>
        <v/>
      </c>
      <c r="FV127">
        <f>IF($FS127="S1 Count Change",1,0)</f>
        <v/>
      </c>
    </row>
    <row r="128">
      <c r="Y128">
        <f>IF(Y38="",0,IFERROR(INDEX($W$5:$W$86,MATCH(Y38,$V$5:$V$86,0)),0))</f>
        <v/>
      </c>
      <c r="Z128">
        <f>IF(Z38="",0,IFERROR(INDEX($W$5:$W$86,MATCH(Z38,$V$5:$V$86,0)),0))</f>
        <v/>
      </c>
      <c r="AA128">
        <f>IF(AA38="",0,IFERROR(INDEX($W$5:$W$86,MATCH(AA38,$V$5:$V$86,0)),0))</f>
        <v/>
      </c>
      <c r="AB128">
        <f>IF(AB38="",0,IFERROR(INDEX($W$5:$W$86,MATCH(AB38,$V$5:$V$86,0)),0))</f>
        <v/>
      </c>
      <c r="AC128">
        <f>IF(AC38="",0,IFERROR(INDEX($W$5:$W$86,MATCH(AC38,$V$5:$V$86,0)),0))</f>
        <v/>
      </c>
      <c r="AD128">
        <f>IF(AD38="",0,IFERROR(INDEX($W$5:$W$86,MATCH(AD38,$V$5:$V$86,0)),0))</f>
        <v/>
      </c>
      <c r="AE128">
        <f>IF(AE38="",0,IFERROR(INDEX($W$5:$W$86,MATCH(AE38,$V$5:$V$86,0)),0))</f>
        <v/>
      </c>
      <c r="AF128">
        <f>IF(AF38="",0,IFERROR(INDEX($W$5:$W$86,MATCH(AF38,$V$5:$V$86,0)),0))</f>
        <v/>
      </c>
      <c r="AG128">
        <f>IF(AG38="",0,IFERROR(INDEX($W$5:$W$86,MATCH(AG38,$V$5:$V$86,0)),0))</f>
        <v/>
      </c>
      <c r="AH128">
        <f>IF(AH38="",0,IFERROR(INDEX($W$5:$W$86,MATCH(AH38,$V$5:$V$86,0)),0))</f>
        <v/>
      </c>
      <c r="AI128">
        <f>IF(AI38="",0,IFERROR(INDEX($W$5:$W$86,MATCH(AI38,$V$5:$V$86,0)),0))</f>
        <v/>
      </c>
      <c r="AJ128">
        <f>IF(AJ38="",0,IFERROR(INDEX($W$5:$W$86,MATCH(AJ38,$V$5:$V$86,0)),0))</f>
        <v/>
      </c>
      <c r="AK128">
        <f>IF(AK38="",0,IFERROR(INDEX($W$5:$W$86,MATCH(AK38,$V$5:$V$86,0)),0))</f>
        <v/>
      </c>
      <c r="AL128">
        <f>IF(AL38="",0,IFERROR(INDEX($W$5:$W$86,MATCH(AL38,$V$5:$V$86,0)),0))</f>
        <v/>
      </c>
      <c r="AM128">
        <f>IF(AM38="",0,IFERROR(INDEX($W$5:$W$86,MATCH(AM38,$V$5:$V$86,0)),0))</f>
        <v/>
      </c>
      <c r="AN128">
        <f>IF(AN38="",0,IFERROR(INDEX($W$5:$W$86,MATCH(AN38,$V$5:$V$86,0)),0))</f>
        <v/>
      </c>
      <c r="AO128">
        <f>IF(AO38="",0,IFERROR(INDEX($W$5:$W$86,MATCH(AO38,$V$5:$V$86,0)),0))</f>
        <v/>
      </c>
      <c r="AP128">
        <f>IF(AP38="",0,IFERROR(INDEX($W$5:$W$86,MATCH(AP38,$V$5:$V$86,0)),0))</f>
        <v/>
      </c>
      <c r="AQ128">
        <f>IF(AQ38="",0,IFERROR(INDEX($W$5:$W$86,MATCH(AQ38,$V$5:$V$86,0)),0))</f>
        <v/>
      </c>
      <c r="AR128">
        <f>IF(AR38="",0,IFERROR(INDEX($W$5:$W$86,MATCH(AR38,$V$5:$V$86,0)),0))</f>
        <v/>
      </c>
      <c r="AS128">
        <f>IF(AS38="",0,IFERROR(INDEX($W$5:$W$86,MATCH(AS38,$V$5:$V$86,0)),0))</f>
        <v/>
      </c>
      <c r="AT128">
        <f>IF(AT38="",0,IFERROR(INDEX($W$5:$W$86,MATCH(AT38,$V$5:$V$86,0)),0))</f>
        <v/>
      </c>
      <c r="AU128">
        <f>IF(AU38="",0,IFERROR(INDEX($W$5:$W$86,MATCH(AU38,$V$5:$V$86,0)),0))</f>
        <v/>
      </c>
      <c r="AV128">
        <f>IF(AV38="",0,IFERROR(INDEX($W$5:$W$86,MATCH(AV38,$V$5:$V$86,0)),0))</f>
        <v/>
      </c>
      <c r="AW128">
        <f>IF(AW38="",0,IFERROR(INDEX($W$5:$W$86,MATCH(AW38,$V$5:$V$86,0)),0))</f>
        <v/>
      </c>
      <c r="AX128">
        <f>IF(AX38="",0,IFERROR(INDEX($W$5:$W$86,MATCH(AX38,$V$5:$V$86,0)),0))</f>
        <v/>
      </c>
      <c r="AY128">
        <f>IF(AY38="",0,IFERROR(INDEX($W$5:$W$86,MATCH(AY38,$V$5:$V$86,0)),0))</f>
        <v/>
      </c>
      <c r="AZ128">
        <f>IF(AZ38="",0,IFERROR(INDEX($W$5:$W$86,MATCH(AZ38,$V$5:$V$86,0)),0))</f>
        <v/>
      </c>
      <c r="BA128">
        <f>IF(BA38="",0,IFERROR(INDEX($W$5:$W$86,MATCH(BA38,$V$5:$V$86,0)),0))</f>
        <v/>
      </c>
      <c r="BB128">
        <f>IF(BB38="",0,IFERROR(INDEX($W$5:$W$86,MATCH(BB38,$V$5:$V$86,0)),0))</f>
        <v/>
      </c>
      <c r="BC128">
        <f>IF(BC38="",0,IFERROR(INDEX($W$5:$W$86,MATCH(BC38,$V$5:$V$86,0)),0))</f>
        <v/>
      </c>
      <c r="BD128">
        <f>IF(BD38="",0,IFERROR(INDEX($W$5:$W$86,MATCH(BD38,$V$5:$V$86,0)),0))</f>
        <v/>
      </c>
      <c r="BE128">
        <f>IF(BE38="",0,IFERROR(INDEX($W$5:$W$86,MATCH(BE38,$V$5:$V$86,0)),0))</f>
        <v/>
      </c>
      <c r="BF128">
        <f>IF(BF38="",0,IFERROR(INDEX($W$5:$W$86,MATCH(BF38,$V$5:$V$86,0)),0))</f>
        <v/>
      </c>
      <c r="BG128">
        <f>IF(BG38="",0,IFERROR(INDEX($W$5:$W$86,MATCH(BG38,$V$5:$V$86,0)),0))</f>
        <v/>
      </c>
      <c r="BH128">
        <f>IF(BH38="",0,IFERROR(INDEX($W$5:$W$86,MATCH(BH38,$V$5:$V$86,0)),0))</f>
        <v/>
      </c>
      <c r="BI128">
        <f>IF(BI38="",0,IFERROR(INDEX($W$5:$W$86,MATCH(BI38,$V$5:$V$86,0)),0))</f>
        <v/>
      </c>
      <c r="BJ128">
        <f>IF(BJ38="",0,IFERROR(INDEX($W$5:$W$86,MATCH(BJ38,$V$5:$V$86,0)),0))</f>
        <v/>
      </c>
      <c r="BK128">
        <f>IF(BK38="",0,IFERROR(INDEX($W$5:$W$86,MATCH(BK38,$V$5:$V$86,0)),0))</f>
        <v/>
      </c>
      <c r="BL128">
        <f>IF(BL38="",0,IFERROR(INDEX($W$5:$W$86,MATCH(BL38,$V$5:$V$86,0)),0))</f>
        <v/>
      </c>
      <c r="BM128">
        <f>IF(BM38="",0,IFERROR(INDEX($W$5:$W$86,MATCH(BM38,$V$5:$V$86,0)),0))</f>
        <v/>
      </c>
      <c r="BN128">
        <f>IF(BN38="",0,IFERROR(INDEX($W$5:$W$86,MATCH(BN38,$V$5:$V$86,0)),0))</f>
        <v/>
      </c>
      <c r="BO128">
        <f>IF(BO38="",0,IFERROR(INDEX($W$5:$W$86,MATCH(BO38,$V$5:$V$86,0)),0))</f>
        <v/>
      </c>
      <c r="BP128">
        <f>IF(BP38="",0,IFERROR(INDEX($W$5:$W$86,MATCH(BP38,$V$5:$V$86,0)),0))</f>
        <v/>
      </c>
      <c r="BQ128">
        <f>IF(BQ38="",0,IFERROR(INDEX($W$5:$W$86,MATCH(BQ38,$V$5:$V$86,0)),0))</f>
        <v/>
      </c>
      <c r="BR128">
        <f>IF(BR38="",0,IFERROR(INDEX($W$5:$W$86,MATCH(BR38,$V$5:$V$86,0)),0))</f>
        <v/>
      </c>
      <c r="BS128">
        <f>IF(BS38="",0,IFERROR(INDEX($W$5:$W$86,MATCH(BS38,$V$5:$V$86,0)),0))</f>
        <v/>
      </c>
      <c r="BT128">
        <f>IF(BT38="",0,IFERROR(INDEX($W$5:$W$86,MATCH(BT38,$V$5:$V$86,0)),0))</f>
        <v/>
      </c>
      <c r="BU128">
        <f>IF(BU38="",0,IFERROR(INDEX($W$5:$W$86,MATCH(BU38,$V$5:$V$86,0)),0))</f>
        <v/>
      </c>
      <c r="BV128">
        <f>IF(BV38="",0,IFERROR(INDEX($W$5:$W$86,MATCH(BV38,$V$5:$V$86,0)),0))</f>
        <v/>
      </c>
      <c r="BW128">
        <f>IF(BW38="",0,IFERROR(INDEX($W$5:$W$86,MATCH(BW38,$V$5:$V$86,0)),0))</f>
        <v/>
      </c>
      <c r="BX128">
        <f>IF(BX38="",0,IFERROR(INDEX($W$5:$W$86,MATCH(BX38,$V$5:$V$86,0)),0))</f>
        <v/>
      </c>
      <c r="BY128">
        <f>IF(BY38="",0,IFERROR(INDEX($W$5:$W$86,MATCH(BY38,$V$5:$V$86,0)),0))</f>
        <v/>
      </c>
      <c r="BZ128">
        <f>IF(BZ38="",0,IFERROR(INDEX($W$5:$W$86,MATCH(BZ38,$V$5:$V$86,0)),0))</f>
        <v/>
      </c>
      <c r="CA128">
        <f>IF(CA38="",0,IFERROR(INDEX($W$5:$W$86,MATCH(CA38,$V$5:$V$86,0)),0))</f>
        <v/>
      </c>
      <c r="CB128">
        <f>IF(CB38="",0,IFERROR(INDEX($W$5:$W$86,MATCH(CB38,$V$5:$V$86,0)),0))</f>
        <v/>
      </c>
      <c r="CC128">
        <f>IF(CC38="",0,IFERROR(INDEX($W$5:$W$86,MATCH(CC38,$V$5:$V$86,0)),0))</f>
        <v/>
      </c>
      <c r="CD128">
        <f>IF(CD38="",0,IFERROR(INDEX($W$5:$W$86,MATCH(CD38,$V$5:$V$86,0)),0))</f>
        <v/>
      </c>
      <c r="CE128">
        <f>IF(CE38="",0,IFERROR(INDEX($W$5:$W$86,MATCH(CE38,$V$5:$V$86,0)),0))</f>
        <v/>
      </c>
      <c r="CF128">
        <f>IF(CF38="",0,IFERROR(INDEX($W$5:$W$86,MATCH(CF38,$V$5:$V$86,0)),0))</f>
        <v/>
      </c>
      <c r="DA128" t="n">
        <v>124</v>
      </c>
      <c r="DB128">
        <f>IF($B$37=0,"",IFERROR(TRIM(SUBSTITUTE(SUBSTITUTE(SUBSTITUTE(SUBSTITUTE(INDEX(PASTE_ALL,124,$B$37)," "," "),CHAR(9)," "),CHAR(10)," "),CHAR(13)," ")),""))</f>
        <v/>
      </c>
      <c r="DC128">
        <f>IF(AND(124&gt;HEADER_ROW,UPPER(DB128)="LEGEND"),1,0)</f>
        <v/>
      </c>
      <c r="DE128" t="n">
        <v>124</v>
      </c>
      <c r="DF128">
        <f>HEADER_ROW+$DE128</f>
        <v/>
      </c>
      <c r="DG128">
        <f>IF(AND($DF128&lt;=1000,$DF128&lt;$B$8),1,0)</f>
        <v/>
      </c>
      <c r="DH128">
        <f>IF($DG128=1,IFERROR(INDEX($DB$5:$DB$1004,$DF128),""),"")</f>
        <v/>
      </c>
      <c r="DI128">
        <f>IF(AND($DG128=1,$DH128&lt;&gt;""),IFERROR(SUBSTITUTE(SUBSTITUTE(TRIM(SUBSTITUTE(SUBSTITUTE(SUBSTITUTE(SUBSTITUTE(IFERROR(INDEX(PASTE_ALL,$DF128,1)&amp;"","")&amp;"␟"&amp;IFERROR(INDEX(PASTE_ALL,$DF128,2)&amp;"","")&amp;"␟"&amp;IFERROR(INDEX(PASTE_ALL,$DF128,3)&amp;"","")&amp;"␟"&amp;IFERROR(INDEX(PASTE_ALL,$DF128,4)&amp;"","")&amp;"␟"&amp;IFERROR(INDEX(PASTE_ALL,$DF128,5)&amp;"","")&amp;"␟"&amp;IFERROR(INDEX(PASTE_ALL,$DF128,6)&amp;"","")&amp;"␟"&amp;IFERROR(INDEX(PASTE_ALL,$DF128,7)&amp;"","")&amp;"␟"&amp;IFERROR(INDEX(PASTE_ALL,$DF128,8)&amp;"","")&amp;"␟"&amp;IFERROR(INDEX(PASTE_ALL,$DF128,9)&amp;"","")&amp;"␟"&amp;IFERROR(INDEX(PASTE_ALL,$DF128,10)&amp;"","")&amp;"␟"&amp;IFERROR(INDEX(PASTE_ALL,$DF128,11)&amp;"","")&amp;"␟"&amp;IFERROR(INDEX(PASTE_ALL,$DF128,12)&amp;"","")&amp;"␟"&amp;IFERROR(INDEX(PASTE_ALL,$DF128,13)&amp;"","")&amp;"␟"&amp;IFERROR(INDEX(PASTE_ALL,$DF128,14)&amp;"","")&amp;"␟"&amp;IFERROR(INDEX(PASTE_ALL,$DF128,15)&amp;"","")&amp;"␟"&amp;IFERROR(INDEX(PASTE_ALL,$DF128,16)&amp;"","")&amp;"␟"&amp;IFERROR(INDEX(PASTE_ALL,$DF128,17)&amp;"","")&amp;"␟"&amp;IFERROR(INDEX(PASTE_ALL,$DF128,18)&amp;"","")&amp;"␟"&amp;IFERROR(INDEX(PASTE_ALL,$DF128,19)&amp;"","")&amp;"␟"&amp;IFERROR(INDEX(PASTE_ALL,$DF128,20)&amp;"","")&amp;"␟"&amp;IFERROR(INDEX(PASTE_ALL,$DF128,21)&amp;"","")&amp;"␟"&amp;IFERROR(INDEX(PASTE_ALL,$DF128,22)&amp;"","")&amp;"␟"&amp;IFERROR(INDEX(PASTE_ALL,$DF128,23)&amp;"","")&amp;"␟"&amp;IFERROR(INDEX(PASTE_ALL,$DF128,24)&amp;"","")&amp;"␟"&amp;IFERROR(INDEX(PASTE_ALL,$DF128,25)&amp;"","")&amp;"␟"&amp;IFERROR(INDEX(PASTE_ALL,$DF128,26)&amp;"","")&amp;"␟"&amp;IFERROR(INDEX(PASTE_ALL,$DF128,27)&amp;"","")&amp;"␟"&amp;IFERROR(INDEX(PASTE_ALL,$DF128,28)&amp;"","")&amp;"␟"&amp;IFERROR(INDEX(PASTE_ALL,$DF128,29)&amp;"","")&amp;"␟"&amp;IFERROR(INDEX(PASTE_ALL,$DF128,30)&amp;"","")&amp;"␟"&amp;IFERROR(INDEX(PASTE_ALL,$DF128,31)&amp;"","")&amp;"␟"&amp;IFERROR(INDEX(PASTE_ALL,$DF128,32)&amp;"","")&amp;"␟"&amp;IFERROR(INDEX(PASTE_ALL,$DF128,33)&amp;"","")&amp;"␟"&amp;IFERROR(INDEX(PASTE_ALL,$DF128,34)&amp;"","")&amp;"␟"&amp;IFERROR(INDEX(PASTE_ALL,$DF128,35)&amp;"","")&amp;"␟"&amp;IFERROR(INDEX(PASTE_ALL,$DF128,36)&amp;"","")&amp;"␟"&amp;IFERROR(INDEX(PASTE_ALL,$DF128,37)&amp;"","")&amp;"␟"&amp;IFERROR(INDEX(PASTE_ALL,$DF128,38)&amp;"","")&amp;"␟"&amp;IFERROR(INDEX(PASTE_ALL,$DF128,39)&amp;"","")&amp;"␟"&amp;IFERROR(INDEX(PASTE_ALL,$DF128,40)&amp;"","")&amp;"␟"&amp;IFERROR(INDEX(PASTE_ALL,$DF128,41)&amp;"","")&amp;"␟"&amp;IFERROR(INDEX(PASTE_ALL,$DF128,42)&amp;"","")&amp;"␟"&amp;IFERROR(INDEX(PASTE_ALL,$DF128,43)&amp;"","")&amp;"␟"&amp;IFERROR(INDEX(PASTE_ALL,$DF128,44)&amp;"","")&amp;"␟"&amp;IFERROR(INDEX(PASTE_ALL,$DF128,45)&amp;"","")&amp;"␟"&amp;IFERROR(INDEX(PASTE_ALL,$DF128,46)&amp;"","")&amp;"␟"&amp;IFERROR(INDEX(PASTE_ALL,$DF128,47)&amp;"","")&amp;"␟"&amp;IFERROR(INDEX(PASTE_ALL,$DF128,48)&amp;"","")&amp;"␟"&amp;IFERROR(INDEX(PASTE_ALL,$DF128,49)&amp;"","")&amp;"␟"&amp;IFERROR(INDEX(PASTE_ALL,$DF128,50)&amp;"","")&amp;"␟"&amp;IFERROR(INDEX(PASTE_ALL,$DF128,51)&amp;"","")&amp;"␟"&amp;IFERROR(INDEX(PASTE_ALL,$DF128,52)&amp;"","")&amp;"␟"&amp;IFERROR(INDEX(PASTE_ALL,$DF128,53)&amp;"","")&amp;"␟"&amp;IFERROR(INDEX(PASTE_ALL,$DF128,54)&amp;"","")&amp;"␟"&amp;IFERROR(INDEX(PASTE_ALL,$DF128,55)&amp;"","")&amp;"␟"&amp;IFERROR(INDEX(PASTE_ALL,$DF128,56)&amp;"","")&amp;"␟"&amp;IFERROR(INDEX(PASTE_ALL,$DF128,57)&amp;"","")&amp;"␟"&amp;IFERROR(INDEX(PASTE_ALL,$DF128,58)&amp;"","")&amp;"␟"&amp;IFERROR(INDEX(PASTE_ALL,$DF128,59)&amp;"","")&amp;"␟"&amp;IFERROR(INDEX(PASTE_ALL,$DF128,60)&amp;"","")," "," "),CHAR(9)," "),CHAR(10)," "),CHAR(13)," "))," ␟","␟"),"␟ ","␟"),"#"&amp;$DE128),"")</f>
        <v/>
      </c>
      <c r="DJ128">
        <f>IF($DI128="",0,IF(SUMPRODUCT(--EXACT($DI$4:DI127,$DI128))&gt;0,1,0))</f>
        <v/>
      </c>
      <c r="DK128">
        <f>IF(AND($DI128&lt;&gt;"",$DJ128=0),1,0)</f>
        <v/>
      </c>
      <c r="DL128">
        <f>DL127+$DK128</f>
        <v/>
      </c>
      <c r="DM128">
        <f>IF(AND($DK128=1,$DL128&lt;=600),1,0)</f>
        <v/>
      </c>
      <c r="DN128">
        <f>IF($DM128=0,"",IF($L$6=0,"",IFERROR(IF(ISNUMBER(INDEX(PASTE_ALL,$DF128,$L$6)),INDEX(PASTE_ALL,$DF128,$L$6),TRIM(SUBSTITUTE(SUBSTITUTE(SUBSTITUTE(SUBSTITUTE(INDEX(PASTE_ALL,$DF128,$L$6)," "," "),CHAR(9)," "),CHAR(10)," "),CHAR(13)," "))),"")))</f>
        <v/>
      </c>
      <c r="DO128">
        <f>IF($DM128=0,"",IF($L$7=0,"",IFERROR(IF(ISNUMBER(INDEX(PASTE_ALL,$DF128,$L$7)),INDEX(PASTE_ALL,$DF128,$L$7),TRIM(SUBSTITUTE(SUBSTITUTE(SUBSTITUTE(SUBSTITUTE(INDEX(PASTE_ALL,$DF128,$L$7)," "," "),CHAR(9)," "),CHAR(10)," "),CHAR(13)," "))),"")))</f>
        <v/>
      </c>
      <c r="DP128">
        <f>IF($DM128=0,"",IF($L$8=0,"",IFERROR(IF(ISNUMBER(INDEX(PASTE_ALL,$DF128,$L$8)),INDEX(PASTE_ALL,$DF128,$L$8),TRIM(SUBSTITUTE(SUBSTITUTE(SUBSTITUTE(SUBSTITUTE(INDEX(PASTE_ALL,$DF128,$L$8)," "," "),CHAR(9)," "),CHAR(10)," "),CHAR(13)," "))),"")))</f>
        <v/>
      </c>
      <c r="DQ128">
        <f>IF($DM128=0,"",IF($L$9=0,"",IFERROR(IF(ISNUMBER(INDEX(PASTE_ALL,$DF128,$L$9)),INDEX(PASTE_ALL,$DF128,$L$9),TRIM(SUBSTITUTE(SUBSTITUTE(SUBSTITUTE(SUBSTITUTE(INDEX(PASTE_ALL,$DF128,$L$9)," "," "),CHAR(9)," "),CHAR(10)," "),CHAR(13)," "))),"")))</f>
        <v/>
      </c>
      <c r="DR128">
        <f>IF($DM128=0,"",IF($L$10=0,"",IFERROR(IF(ISNUMBER(INDEX(PASTE_ALL,$DF128,$L$10)),INDEX(PASTE_ALL,$DF128,$L$10),TRIM(SUBSTITUTE(SUBSTITUTE(SUBSTITUTE(SUBSTITUTE(INDEX(PASTE_ALL,$DF128,$L$10)," "," "),CHAR(9)," "),CHAR(10)," "),CHAR(13)," "))),"")))</f>
        <v/>
      </c>
      <c r="DS128">
        <f>IF($DM128=0,"",IF($L$11=0,"",IFERROR(IF(ISNUMBER(INDEX(PASTE_ALL,$DF128,$L$11)),INDEX(PASTE_ALL,$DF128,$L$11),TRIM(SUBSTITUTE(SUBSTITUTE(SUBSTITUTE(SUBSTITUTE(INDEX(PASTE_ALL,$DF128,$L$11)," "," "),CHAR(9)," "),CHAR(10)," "),CHAR(13)," "))),"")))</f>
        <v/>
      </c>
      <c r="DT128">
        <f>IF($DM128=0,"",IF($L$12=0,"",IFERROR(IF(ISNUMBER(INDEX(PASTE_ALL,$DF128,$L$12)),INDEX(PASTE_ALL,$DF128,$L$12),TRIM(SUBSTITUTE(SUBSTITUTE(SUBSTITUTE(SUBSTITUTE(INDEX(PASTE_ALL,$DF128,$L$12)," "," "),CHAR(9)," "),CHAR(10)," "),CHAR(13)," "))),"")))</f>
        <v/>
      </c>
      <c r="DU128">
        <f>IF($DM128=0,"",IF($L$13=0,"",IFERROR(IF(ISNUMBER(INDEX(PASTE_ALL,$DF128,$L$13)),INDEX(PASTE_ALL,$DF128,$L$13),TRIM(SUBSTITUTE(SUBSTITUTE(SUBSTITUTE(SUBSTITUTE(INDEX(PASTE_ALL,$DF128,$L$13)," "," "),CHAR(9)," "),CHAR(10)," "),CHAR(13)," "))),"")))</f>
        <v/>
      </c>
      <c r="DV128">
        <f>IF($DM128=0,"",IF($L$14=0,"",IFERROR(IF(ISNUMBER(INDEX(PASTE_ALL,$DF128,$L$14)),INDEX(PASTE_ALL,$DF128,$L$14),TRIM(SUBSTITUTE(SUBSTITUTE(SUBSTITUTE(SUBSTITUTE(INDEX(PASTE_ALL,$DF128,$L$14)," "," "),CHAR(9)," "),CHAR(10)," "),CHAR(13)," "))),"")))</f>
        <v/>
      </c>
      <c r="DW128">
        <f>IF($DM128=0,"",IF($L$15=0,"",IFERROR(IF(ISNUMBER(INDEX(PASTE_ALL,$DF128,$L$15)),INDEX(PASTE_ALL,$DF128,$L$15),IF(SUMPRODUCT(--ISNUMBER(FIND({"A","B","C","D","E","F","G","H","I","J","K","L","M","N","O","P","Q","R","S","T","U","V","W","X","Y","Z","0","1","2","3","4","5","6","7","8","9"},UPPER(TRIM(SUBSTITUTE(SUBSTITUTE(SUBSTITUTE(SUBSTITUTE(INDEX(PASTE_ALL,$DF128,$L$15)," "," "),CHAR(9)," "),CHAR(10)," "),CHAR(13)," "))))))&gt;0,TRIM(SUBSTITUTE(SUBSTITUTE(SUBSTITUTE(SUBSTITUTE(INDEX(PASTE_ALL,$DF128,$L$15)," "," "),CHAR(9)," "),CHAR(10)," "),CHAR(13)," ")),"")),"")))</f>
        <v/>
      </c>
      <c r="DX128">
        <f>IF($DM128=0,"",IF($L$16=0,"",IFERROR(IF(ISNUMBER(INDEX(PASTE_ALL,$DF128,$L$16)),INDEX(PASTE_ALL,$DF128,$L$16),SUBSTITUTE(SUBSTITUTE(TRIM(SUBSTITUTE(SUBSTITUTE(SUBSTITUTE(SUBSTITUTE(INDEX(PASTE_ALL,$DF128,$L$16)," "," "),CHAR(9)," "),CHAR(10)," "),CHAR(13)," ")),",",""),"%","")),"")))</f>
        <v/>
      </c>
      <c r="DY128">
        <f>IF($DM128=0,"",IFERROR(IF(ISNUMBER($DX128),$DX128,IF($DX128="","",IF(TRIM($DX128)="",0,IF(AND(AND(SUBSTITUTE(SUBSTITUTE(SUBSTITUTE(SUBSTITUTE(SUBSTITUTE(SUBSTITUTE(SUBSTITUTE(SUBSTITUTE(SUBSTITUTE(SUBSTITUTE(SUBSTITUTE(SUBSTITUTE(SUBSTITUTE(SUBSTITUTE(UPPER(TRIM($DX128)),"0",""),"1",""),"2",""),"3",""),"4",""),"5",""),"6",""),"7",""),"8",""),"9",""),".",""),"+",""),"-",""),"E","")="",LEN(SUBSTITUTE(SUBSTITUTE(MID(UPPER(TRIM($DX128)),1+OR(LEFT(UPPER(TRIM($DX128)),1)="+",LEFT(UPPER(TRIM($DX128)),1)="-"),999),"E+","E"),"E-","E"))=LEN(SUBSTITUTE(SUBSTITUTE(SUBSTITUTE(SUBSTITUTE(MID(UPPER(TRIM($DX128)),1+OR(LEFT(UPPER(TRIM($DX128)),1)="+",LEFT(UPPER(TRIM($DX128)),1)="-"),999),"E+","E"),"E-","E"),"+",""),"-","")),LEN(UPPER(TRIM($DX128)))-LEN(SUBSTITUTE(UPPER(TRIM($DX128)),"E",""))&lt;2,LEN(UPPER(TRIM($DX128)))-LEN(SUBSTITUTE(UPPER(TRIM($DX128)),".",""))&lt;2,IFERROR(FIND(".",UPPER(TRIM($DX128))),0)&lt;IFERROR(FIND("E",UPPER(TRIM($DX128))),999)),ISNUMBER(VALUE(TRIM($DX128)))),VALUE(TRIM($DX128)),"")))),""))</f>
        <v/>
      </c>
      <c r="DZ128">
        <f>IF($DM128=0,"",IF($L$17=0,"",IFERROR(IF(ISNUMBER(INDEX(PASTE_ALL,$DF128,$L$17)),INDEX(PASTE_ALL,$DF128,$L$17),SUBSTITUTE(SUBSTITUTE(TRIM(SUBSTITUTE(SUBSTITUTE(SUBSTITUTE(SUBSTITUTE(INDEX(PASTE_ALL,$DF128,$L$17)," "," "),CHAR(9)," "),CHAR(10)," "),CHAR(13)," ")),",",""),"%","")),"")))</f>
        <v/>
      </c>
      <c r="EA128">
        <f>IF($DM128=0,"",IFERROR(IF(ISNUMBER($DZ128),$DZ128,IF($DZ128="","",IF(TRIM($DZ128)="",0,IF(AND(AND(SUBSTITUTE(SUBSTITUTE(SUBSTITUTE(SUBSTITUTE(SUBSTITUTE(SUBSTITUTE(SUBSTITUTE(SUBSTITUTE(SUBSTITUTE(SUBSTITUTE(SUBSTITUTE(SUBSTITUTE(SUBSTITUTE(SUBSTITUTE(UPPER(TRIM($DZ128)),"0",""),"1",""),"2",""),"3",""),"4",""),"5",""),"6",""),"7",""),"8",""),"9",""),".",""),"+",""),"-",""),"E","")="",LEN(SUBSTITUTE(SUBSTITUTE(MID(UPPER(TRIM($DZ128)),1+OR(LEFT(UPPER(TRIM($DZ128)),1)="+",LEFT(UPPER(TRIM($DZ128)),1)="-"),999),"E+","E"),"E-","E"))=LEN(SUBSTITUTE(SUBSTITUTE(SUBSTITUTE(SUBSTITUTE(MID(UPPER(TRIM($DZ128)),1+OR(LEFT(UPPER(TRIM($DZ128)),1)="+",LEFT(UPPER(TRIM($DZ128)),1)="-"),999),"E+","E"),"E-","E"),"+",""),"-","")),LEN(UPPER(TRIM($DZ128)))-LEN(SUBSTITUTE(UPPER(TRIM($DZ128)),"E",""))&lt;2,LEN(UPPER(TRIM($DZ128)))-LEN(SUBSTITUTE(UPPER(TRIM($DZ128)),".",""))&lt;2,IFERROR(FIND(".",UPPER(TRIM($DZ128))),0)&lt;IFERROR(FIND("E",UPPER(TRIM($DZ128))),999)),ISNUMBER(VALUE(TRIM($DZ128)))),VALUE(TRIM($DZ128)),"")))),""))</f>
        <v/>
      </c>
      <c r="EB128">
        <f>IF($DM128=0,"",IF($L$18=0,"",IFERROR(IF(UPPER(TRIM(SUBSTITUTE(SUBSTITUTE(SUBSTITUTE(SUBSTITUTE(INDEX(PASTE_ALL,$DF128,$L$18)," "," "),CHAR(9)," "),CHAR(10)," "),CHAR(13)," ")))="READY","Ready",IF(UPPER(TRIM(SUBSTITUTE(SUBSTITUTE(SUBSTITUTE(SUBSTITUTE(INDEX(PASTE_ALL,$DF128,$L$18)," "," "),CHAR(9)," "),CHAR(10)," "),CHAR(13)," ")))="PM","PM",IF(OR(UPPER(TRIM(SUBSTITUTE(SUBSTITUTE(SUBSTITUTE(SUBSTITUTE(INDEX(PASTE_ALL,$DF128,$L$18)," "," "),CHAR(9)," "),CHAR(10)," "),CHAR(13)," ")))="OT",UPPER(TRIM(SUBSTITUTE(SUBSTITUTE(SUBSTITUTE(SUBSTITUTE(INDEX(PASTE_ALL,$DF128,$L$18)," "," "),CHAR(9)," "),CHAR(10)," "),CHAR(13)," ")))="OVERTIME",UPPER(TRIM(SUBSTITUTE(SUBSTITUTE(SUBSTITUTE(SUBSTITUTE(INDEX(PASTE_ALL,$DF128,$L$18)," "," "),CHAR(9)," "),CHAR(10)," "),CHAR(13)," ")))="TRIAL"),"OT",TRIM(SUBSTITUTE(SUBSTITUTE(SUBSTITUTE(SUBSTITUTE(INDEX(PASTE_ALL,$DF128,$L$18)," "," "),CHAR(9)," "),CHAR(10)," "),CHAR(13)," "))))),"")))</f>
        <v/>
      </c>
      <c r="EC128">
        <f>IF($DM128=0,"",IF($L$19=0,"",IFERROR(IF(ISNUMBER(INDEX(PASTE_ALL,$DF128,$L$19)),INDEX(PASTE_ALL,$DF128,$L$19),TRIM(SUBSTITUTE(SUBSTITUTE(SUBSTITUTE(SUBSTITUTE(INDEX(PASTE_ALL,$DF128,$L$19)," "," "),CHAR(9)," "),CHAR(10)," "),CHAR(13)," "))),"")))</f>
        <v/>
      </c>
      <c r="ED128">
        <f>IF($DM128=0,"",MATCH(1,INDEX(EXACT($DH$5:DH128,$DH128)*$DM$5:DM128,0),0))</f>
        <v/>
      </c>
      <c r="EE128">
        <f>IF($DM128=0,0,IF($ED128=$DE128,1,0))</f>
        <v/>
      </c>
      <c r="EF128">
        <f>EF127+$EE128</f>
        <v/>
      </c>
      <c r="EG128">
        <f>IF($DM128=0,"",INDEX($EF$5:$EF$1003,$ED128))</f>
        <v/>
      </c>
      <c r="EH128">
        <f>IF($DM128=0,"",IF($DO128&lt;&gt;"","",IFERROR(LOOKUP(2,1/(($EG$4:EG127=$EG128)*($DO$4:DO127&lt;&gt;"")),$DO$4:DO127),"")))</f>
        <v/>
      </c>
      <c r="EI128">
        <f>IF($DM128=0,"",IF($DO128&lt;&gt;"",$DO128,$EH128))</f>
        <v/>
      </c>
      <c r="EJ128">
        <f>IF($DM128=0,"",IF($EI128="",0,IF(OR(ISNUMBER($EI128),AND(AND(SUBSTITUTE(SUBSTITUTE(SUBSTITUTE(SUBSTITUTE(SUBSTITUTE(SUBSTITUTE(SUBSTITUTE(SUBSTITUTE(SUBSTITUTE(SUBSTITUTE(SUBSTITUTE(SUBSTITUTE(SUBSTITUTE(SUBSTITUTE(UPPER($EI128),"0",""),"1",""),"2",""),"3",""),"4",""),"5",""),"6",""),"7",""),"8",""),"9",""),".",""),"+",""),"-",""),"E","")="",LEN(SUBSTITUTE(SUBSTITUTE(MID(UPPER($EI128),1+OR(LEFT(UPPER($EI128),1)="+",LEFT(UPPER($EI128),1)="-"),999),"E+","E"),"E-","E"))=LEN(SUBSTITUTE(SUBSTITUTE(SUBSTITUTE(SUBSTITUTE(MID(UPPER($EI128),1+OR(LEFT(UPPER($EI128),1)="+",LEFT(UPPER($EI128),1)="-"),999),"E+","E"),"E-","E"),"+",""),"-","")),LEN(UPPER($EI128))-LEN(SUBSTITUTE(UPPER($EI128),"E",""))&lt;2,LEN(UPPER($EI128))-LEN(SUBSTITUTE(UPPER($EI128),".",""))&lt;2,IFERROR(FIND(".",UPPER($EI128)),0)&lt;IFERROR(FIND("E",UPPER($EI128)),999)),ISNUMBER(VALUE($EI128)))),1,2)))</f>
        <v/>
      </c>
      <c r="EK128">
        <f>IF($DM128=0,"",IF($EJ128=1,IF(ISNUMBER($EI128),$EI128,VALUE($EI128)),IF($EJ128=2,$DE128,0)))</f>
        <v/>
      </c>
      <c r="EL128">
        <f>IF($DM128=0,"",COUNTIF($EG$5:$EG$1003,"&lt;"&amp;$EG128)+SUMPRODUCT(($EG$5:$EG$1003=$EG128)*(($EJ$5:$EJ$1003&lt;$EJ128)+($EJ$5:$EJ$1003=$EJ128)*(($EK$5:$EK$1003&lt;$EK128)+($EK$5:$EK$1003=$EK128)*($DE$5:$DE$1003&lt;$DE128))))+1)</f>
        <v/>
      </c>
      <c r="EM128">
        <f>IF($DM128=0,"",$EL128+$EG128-1)</f>
        <v/>
      </c>
      <c r="EN128">
        <f>IF($DM128=0,0,IFERROR(MATCH(1,INDEX(--(TRIM(SUBSTITUTE(SUBSTITUTE(SUBSTITUTE(SUBSTITUTE(LINES_NAME&amp;""," "," "),CHAR(9)," "),CHAR(10)," "),CHAR(13)," "))=$DH128),0),0),0))</f>
        <v/>
      </c>
      <c r="EO128">
        <f>IF($EN128=0,0,IF(OR(UPPER(TRIM(INDEX(LINES_SCHEDULED,$EN128)&amp;""))="YES",UPPER(TRIM(INDEX(LINES_SCHEDULED,$EN128)&amp;""))="Y",UPPER(TRIM(INDEX(LINES_SCHEDULED,$EN128)&amp;""))="X"),1,0))</f>
        <v/>
      </c>
      <c r="EP128">
        <f>IF($DM128=0,"",IF(COUNTIFS($EG$5:$EG$1003,$EG128,$EB$5:$EB$1003,"Ready")&gt;0,"READY",IF(COUNTIFS($EG$5:$EG$1003,$EG128,$EB$5:$EB$1003,"PM")&gt;0,"PM",IF(COUNTIFS($EG$5:$EG$1003,$EG128,$EB$5:$EB$1003,"OT")&gt;0,"OT",""))))</f>
        <v/>
      </c>
      <c r="EQ128">
        <f>IF($EN128=0,"",UPPER(TRIM(INDEX(LINES_STATUS,$EN128)&amp;"")))</f>
        <v/>
      </c>
      <c r="ER128">
        <f>IF($DM128=0,"",IF(OR($EQ128="READY",$EQ128="PM",$EQ128="OT"),$EQ128,$EP128))</f>
        <v/>
      </c>
      <c r="ES128">
        <f>IF($DM128=0,"",IF(AND($DV128&lt;&gt;"",UPPER($DV128)&lt;&gt;"N"),"allergen",IF(ISNUMBER(SEARCH("oil",$DQ128)),"oil",IF(OR(EXACT($DS128,"A662"),EXACT($DS128,"A624")),"bulk",""))))</f>
        <v/>
      </c>
      <c r="ET128">
        <f>IF($DM128=0,"",IF(OR($EA128="",$EA128=0),"",$EA128/100))</f>
        <v/>
      </c>
      <c r="EU128">
        <f>IF(OR($ET128="",$DY128=""),"",INT($DY128*(1-$ET128)+0.5))</f>
        <v/>
      </c>
      <c r="EW128" t="n">
        <v>124</v>
      </c>
      <c r="EX128">
        <f>IFERROR(MATCH($EW128,$EM$5:$EM$1003,0),0)</f>
        <v/>
      </c>
      <c r="EY128">
        <f>IF($EW128&gt;$B$12,"",IF($EX128&gt;0,"row","spacer"))</f>
        <v/>
      </c>
      <c r="EZ128">
        <f>IF(AND($EY128="row",$EY127&lt;&gt;"row"),1,0)</f>
        <v/>
      </c>
      <c r="FA128">
        <f>IF(AND($EY128="row",$EY129&lt;&gt;"row"),1,0)</f>
        <v/>
      </c>
      <c r="FB128">
        <f>IF($EZ128=1,IFERROR(IF(ISNUMBER(INDEX(PASTE_ALL,INDEX($DF$5:$DF$1003,$EX128),$B$37)),INDEX(PASTE_ALL,INDEX($DF$5:$DF$1003,$EX128),$B$37),INDEX($DH$5:$DH$1003,$EX128)),INDEX($DH$5:$DH$1003,$EX128)),"")</f>
        <v/>
      </c>
      <c r="FC128">
        <f>IF($EY128="row",INDEX($ER$5:$ER$1003,$EX128),"")</f>
        <v/>
      </c>
      <c r="FD128">
        <f>IF($EY128="row",INDEX($DN$5:$DN$1003,$EX128),"")</f>
        <v/>
      </c>
      <c r="FE128">
        <f>IF($EY128="row",INDEX($DO$5:$DO$1003,$EX128),"")</f>
        <v/>
      </c>
      <c r="FF128">
        <f>IF($EY128="row",INDEX($DP$5:$DP$1003,$EX128),"")</f>
        <v/>
      </c>
      <c r="FG128">
        <f>IF($EY128="row",INDEX($DQ$5:$DQ$1003,$EX128),"")</f>
        <v/>
      </c>
      <c r="FH128">
        <f>IF($EY128="row",INDEX($DR$5:$DR$1003,$EX128),"")</f>
        <v/>
      </c>
      <c r="FI128">
        <f>IF($EY128="row",INDEX($DS$5:$DS$1003,$EX128),"")</f>
        <v/>
      </c>
      <c r="FJ128">
        <f>IF($EY128="row",INDEX($DT$5:$DT$1003,$EX128),"")</f>
        <v/>
      </c>
      <c r="FK128">
        <f>IF($EY128="row",INDEX($DU$5:$DU$1003,$EX128),"")</f>
        <v/>
      </c>
      <c r="FL128">
        <f>IF($EY128="row",INDEX($DV$5:$DV$1003,$EX128),"")</f>
        <v/>
      </c>
      <c r="FM128">
        <f>IF($EY128="row",INDEX($DW$5:$DW$1003,$EX128),"")</f>
        <v/>
      </c>
      <c r="FN128">
        <f>IF($EY128="row",INDEX($DY$5:$DY$1003,$EX128),"")</f>
        <v/>
      </c>
      <c r="FO128">
        <f>IF($EY128="row",INDEX($EA$5:$EA$1003,$EX128),"")</f>
        <v/>
      </c>
      <c r="FP128">
        <f>IF($EY128="row",INDEX($EC$5:$EC$1003,$EX128),"")</f>
        <v/>
      </c>
      <c r="FQ128">
        <f>IF($EY128="row",INDEX($ET$5:$ET$1003,$EX128),"")</f>
        <v/>
      </c>
      <c r="FR128">
        <f>IF($EY128="row",INDEX($EU$5:$EU$1003,$EX128),"")</f>
        <v/>
      </c>
      <c r="FS128">
        <f>IF(AND($EY128="row",$EY127="row"),IF(OR(INDEX($DT$5:$DT$1003,$EX127)="",INDEX($DT$5:$DT$1003,$EX128)=""),"",IF(NOT(EXACT(INDEX($DT$5:$DT$1003,$EX127),INDEX($DT$5:$DT$1003,$EX128))),"S4",IF(NOT(EXACT(INDEX($DS$5:$DS$1003,$EX127),INDEX($DS$5:$DS$1003,$EX128))),"S3",IF(NOT(EXACT(INDEX($DR$5:$DR$1003,$EX127),INDEX($DR$5:$DR$1003,$EX128))),"S1 Count Change","S1")))),"")</f>
        <v/>
      </c>
      <c r="FT128">
        <f>IF($EY128="row",INDEX($ES$5:$ES$1003,$EX128),"")</f>
        <v/>
      </c>
      <c r="FU128">
        <f>IF($EY128="row",INDEX($EO$5:$EO$1003,$EX128),0)</f>
        <v/>
      </c>
      <c r="FV128">
        <f>IF($FS128="S1 Count Change",1,0)</f>
        <v/>
      </c>
    </row>
    <row r="129">
      <c r="Y129">
        <f>IF(Y39="",0,IFERROR(INDEX($W$5:$W$86,MATCH(Y39,$V$5:$V$86,0)),0))</f>
        <v/>
      </c>
      <c r="Z129">
        <f>IF(Z39="",0,IFERROR(INDEX($W$5:$W$86,MATCH(Z39,$V$5:$V$86,0)),0))</f>
        <v/>
      </c>
      <c r="AA129">
        <f>IF(AA39="",0,IFERROR(INDEX($W$5:$W$86,MATCH(AA39,$V$5:$V$86,0)),0))</f>
        <v/>
      </c>
      <c r="AB129">
        <f>IF(AB39="",0,IFERROR(INDEX($W$5:$W$86,MATCH(AB39,$V$5:$V$86,0)),0))</f>
        <v/>
      </c>
      <c r="AC129">
        <f>IF(AC39="",0,IFERROR(INDEX($W$5:$W$86,MATCH(AC39,$V$5:$V$86,0)),0))</f>
        <v/>
      </c>
      <c r="AD129">
        <f>IF(AD39="",0,IFERROR(INDEX($W$5:$W$86,MATCH(AD39,$V$5:$V$86,0)),0))</f>
        <v/>
      </c>
      <c r="AE129">
        <f>IF(AE39="",0,IFERROR(INDEX($W$5:$W$86,MATCH(AE39,$V$5:$V$86,0)),0))</f>
        <v/>
      </c>
      <c r="AF129">
        <f>IF(AF39="",0,IFERROR(INDEX($W$5:$W$86,MATCH(AF39,$V$5:$V$86,0)),0))</f>
        <v/>
      </c>
      <c r="AG129">
        <f>IF(AG39="",0,IFERROR(INDEX($W$5:$W$86,MATCH(AG39,$V$5:$V$86,0)),0))</f>
        <v/>
      </c>
      <c r="AH129">
        <f>IF(AH39="",0,IFERROR(INDEX($W$5:$W$86,MATCH(AH39,$V$5:$V$86,0)),0))</f>
        <v/>
      </c>
      <c r="AI129">
        <f>IF(AI39="",0,IFERROR(INDEX($W$5:$W$86,MATCH(AI39,$V$5:$V$86,0)),0))</f>
        <v/>
      </c>
      <c r="AJ129">
        <f>IF(AJ39="",0,IFERROR(INDEX($W$5:$W$86,MATCH(AJ39,$V$5:$V$86,0)),0))</f>
        <v/>
      </c>
      <c r="AK129">
        <f>IF(AK39="",0,IFERROR(INDEX($W$5:$W$86,MATCH(AK39,$V$5:$V$86,0)),0))</f>
        <v/>
      </c>
      <c r="AL129">
        <f>IF(AL39="",0,IFERROR(INDEX($W$5:$W$86,MATCH(AL39,$V$5:$V$86,0)),0))</f>
        <v/>
      </c>
      <c r="AM129">
        <f>IF(AM39="",0,IFERROR(INDEX($W$5:$W$86,MATCH(AM39,$V$5:$V$86,0)),0))</f>
        <v/>
      </c>
      <c r="AN129">
        <f>IF(AN39="",0,IFERROR(INDEX($W$5:$W$86,MATCH(AN39,$V$5:$V$86,0)),0))</f>
        <v/>
      </c>
      <c r="AO129">
        <f>IF(AO39="",0,IFERROR(INDEX($W$5:$W$86,MATCH(AO39,$V$5:$V$86,0)),0))</f>
        <v/>
      </c>
      <c r="AP129">
        <f>IF(AP39="",0,IFERROR(INDEX($W$5:$W$86,MATCH(AP39,$V$5:$V$86,0)),0))</f>
        <v/>
      </c>
      <c r="AQ129">
        <f>IF(AQ39="",0,IFERROR(INDEX($W$5:$W$86,MATCH(AQ39,$V$5:$V$86,0)),0))</f>
        <v/>
      </c>
      <c r="AR129">
        <f>IF(AR39="",0,IFERROR(INDEX($W$5:$W$86,MATCH(AR39,$V$5:$V$86,0)),0))</f>
        <v/>
      </c>
      <c r="AS129">
        <f>IF(AS39="",0,IFERROR(INDEX($W$5:$W$86,MATCH(AS39,$V$5:$V$86,0)),0))</f>
        <v/>
      </c>
      <c r="AT129">
        <f>IF(AT39="",0,IFERROR(INDEX($W$5:$W$86,MATCH(AT39,$V$5:$V$86,0)),0))</f>
        <v/>
      </c>
      <c r="AU129">
        <f>IF(AU39="",0,IFERROR(INDEX($W$5:$W$86,MATCH(AU39,$V$5:$V$86,0)),0))</f>
        <v/>
      </c>
      <c r="AV129">
        <f>IF(AV39="",0,IFERROR(INDEX($W$5:$W$86,MATCH(AV39,$V$5:$V$86,0)),0))</f>
        <v/>
      </c>
      <c r="AW129">
        <f>IF(AW39="",0,IFERROR(INDEX($W$5:$W$86,MATCH(AW39,$V$5:$V$86,0)),0))</f>
        <v/>
      </c>
      <c r="AX129">
        <f>IF(AX39="",0,IFERROR(INDEX($W$5:$W$86,MATCH(AX39,$V$5:$V$86,0)),0))</f>
        <v/>
      </c>
      <c r="AY129">
        <f>IF(AY39="",0,IFERROR(INDEX($W$5:$W$86,MATCH(AY39,$V$5:$V$86,0)),0))</f>
        <v/>
      </c>
      <c r="AZ129">
        <f>IF(AZ39="",0,IFERROR(INDEX($W$5:$W$86,MATCH(AZ39,$V$5:$V$86,0)),0))</f>
        <v/>
      </c>
      <c r="BA129">
        <f>IF(BA39="",0,IFERROR(INDEX($W$5:$W$86,MATCH(BA39,$V$5:$V$86,0)),0))</f>
        <v/>
      </c>
      <c r="BB129">
        <f>IF(BB39="",0,IFERROR(INDEX($W$5:$W$86,MATCH(BB39,$V$5:$V$86,0)),0))</f>
        <v/>
      </c>
      <c r="BC129">
        <f>IF(BC39="",0,IFERROR(INDEX($W$5:$W$86,MATCH(BC39,$V$5:$V$86,0)),0))</f>
        <v/>
      </c>
      <c r="BD129">
        <f>IF(BD39="",0,IFERROR(INDEX($W$5:$W$86,MATCH(BD39,$V$5:$V$86,0)),0))</f>
        <v/>
      </c>
      <c r="BE129">
        <f>IF(BE39="",0,IFERROR(INDEX($W$5:$W$86,MATCH(BE39,$V$5:$V$86,0)),0))</f>
        <v/>
      </c>
      <c r="BF129">
        <f>IF(BF39="",0,IFERROR(INDEX($W$5:$W$86,MATCH(BF39,$V$5:$V$86,0)),0))</f>
        <v/>
      </c>
      <c r="BG129">
        <f>IF(BG39="",0,IFERROR(INDEX($W$5:$W$86,MATCH(BG39,$V$5:$V$86,0)),0))</f>
        <v/>
      </c>
      <c r="BH129">
        <f>IF(BH39="",0,IFERROR(INDEX($W$5:$W$86,MATCH(BH39,$V$5:$V$86,0)),0))</f>
        <v/>
      </c>
      <c r="BI129">
        <f>IF(BI39="",0,IFERROR(INDEX($W$5:$W$86,MATCH(BI39,$V$5:$V$86,0)),0))</f>
        <v/>
      </c>
      <c r="BJ129">
        <f>IF(BJ39="",0,IFERROR(INDEX($W$5:$W$86,MATCH(BJ39,$V$5:$V$86,0)),0))</f>
        <v/>
      </c>
      <c r="BK129">
        <f>IF(BK39="",0,IFERROR(INDEX($W$5:$W$86,MATCH(BK39,$V$5:$V$86,0)),0))</f>
        <v/>
      </c>
      <c r="BL129">
        <f>IF(BL39="",0,IFERROR(INDEX($W$5:$W$86,MATCH(BL39,$V$5:$V$86,0)),0))</f>
        <v/>
      </c>
      <c r="BM129">
        <f>IF(BM39="",0,IFERROR(INDEX($W$5:$W$86,MATCH(BM39,$V$5:$V$86,0)),0))</f>
        <v/>
      </c>
      <c r="BN129">
        <f>IF(BN39="",0,IFERROR(INDEX($W$5:$W$86,MATCH(BN39,$V$5:$V$86,0)),0))</f>
        <v/>
      </c>
      <c r="BO129">
        <f>IF(BO39="",0,IFERROR(INDEX($W$5:$W$86,MATCH(BO39,$V$5:$V$86,0)),0))</f>
        <v/>
      </c>
      <c r="BP129">
        <f>IF(BP39="",0,IFERROR(INDEX($W$5:$W$86,MATCH(BP39,$V$5:$V$86,0)),0))</f>
        <v/>
      </c>
      <c r="BQ129">
        <f>IF(BQ39="",0,IFERROR(INDEX($W$5:$W$86,MATCH(BQ39,$V$5:$V$86,0)),0))</f>
        <v/>
      </c>
      <c r="BR129">
        <f>IF(BR39="",0,IFERROR(INDEX($W$5:$W$86,MATCH(BR39,$V$5:$V$86,0)),0))</f>
        <v/>
      </c>
      <c r="BS129">
        <f>IF(BS39="",0,IFERROR(INDEX($W$5:$W$86,MATCH(BS39,$V$5:$V$86,0)),0))</f>
        <v/>
      </c>
      <c r="BT129">
        <f>IF(BT39="",0,IFERROR(INDEX($W$5:$W$86,MATCH(BT39,$V$5:$V$86,0)),0))</f>
        <v/>
      </c>
      <c r="BU129">
        <f>IF(BU39="",0,IFERROR(INDEX($W$5:$W$86,MATCH(BU39,$V$5:$V$86,0)),0))</f>
        <v/>
      </c>
      <c r="BV129">
        <f>IF(BV39="",0,IFERROR(INDEX($W$5:$W$86,MATCH(BV39,$V$5:$V$86,0)),0))</f>
        <v/>
      </c>
      <c r="BW129">
        <f>IF(BW39="",0,IFERROR(INDEX($W$5:$W$86,MATCH(BW39,$V$5:$V$86,0)),0))</f>
        <v/>
      </c>
      <c r="BX129">
        <f>IF(BX39="",0,IFERROR(INDEX($W$5:$W$86,MATCH(BX39,$V$5:$V$86,0)),0))</f>
        <v/>
      </c>
      <c r="BY129">
        <f>IF(BY39="",0,IFERROR(INDEX($W$5:$W$86,MATCH(BY39,$V$5:$V$86,0)),0))</f>
        <v/>
      </c>
      <c r="BZ129">
        <f>IF(BZ39="",0,IFERROR(INDEX($W$5:$W$86,MATCH(BZ39,$V$5:$V$86,0)),0))</f>
        <v/>
      </c>
      <c r="CA129">
        <f>IF(CA39="",0,IFERROR(INDEX($W$5:$W$86,MATCH(CA39,$V$5:$V$86,0)),0))</f>
        <v/>
      </c>
      <c r="CB129">
        <f>IF(CB39="",0,IFERROR(INDEX($W$5:$W$86,MATCH(CB39,$V$5:$V$86,0)),0))</f>
        <v/>
      </c>
      <c r="CC129">
        <f>IF(CC39="",0,IFERROR(INDEX($W$5:$W$86,MATCH(CC39,$V$5:$V$86,0)),0))</f>
        <v/>
      </c>
      <c r="CD129">
        <f>IF(CD39="",0,IFERROR(INDEX($W$5:$W$86,MATCH(CD39,$V$5:$V$86,0)),0))</f>
        <v/>
      </c>
      <c r="CE129">
        <f>IF(CE39="",0,IFERROR(INDEX($W$5:$W$86,MATCH(CE39,$V$5:$V$86,0)),0))</f>
        <v/>
      </c>
      <c r="CF129">
        <f>IF(CF39="",0,IFERROR(INDEX($W$5:$W$86,MATCH(CF39,$V$5:$V$86,0)),0))</f>
        <v/>
      </c>
      <c r="DA129" t="n">
        <v>125</v>
      </c>
      <c r="DB129">
        <f>IF($B$37=0,"",IFERROR(TRIM(SUBSTITUTE(SUBSTITUTE(SUBSTITUTE(SUBSTITUTE(INDEX(PASTE_ALL,125,$B$37)," "," "),CHAR(9)," "),CHAR(10)," "),CHAR(13)," ")),""))</f>
        <v/>
      </c>
      <c r="DC129">
        <f>IF(AND(125&gt;HEADER_ROW,UPPER(DB129)="LEGEND"),1,0)</f>
        <v/>
      </c>
      <c r="DE129" t="n">
        <v>125</v>
      </c>
      <c r="DF129">
        <f>HEADER_ROW+$DE129</f>
        <v/>
      </c>
      <c r="DG129">
        <f>IF(AND($DF129&lt;=1000,$DF129&lt;$B$8),1,0)</f>
        <v/>
      </c>
      <c r="DH129">
        <f>IF($DG129=1,IFERROR(INDEX($DB$5:$DB$1004,$DF129),""),"")</f>
        <v/>
      </c>
      <c r="DI129">
        <f>IF(AND($DG129=1,$DH129&lt;&gt;""),IFERROR(SUBSTITUTE(SUBSTITUTE(TRIM(SUBSTITUTE(SUBSTITUTE(SUBSTITUTE(SUBSTITUTE(IFERROR(INDEX(PASTE_ALL,$DF129,1)&amp;"","")&amp;"␟"&amp;IFERROR(INDEX(PASTE_ALL,$DF129,2)&amp;"","")&amp;"␟"&amp;IFERROR(INDEX(PASTE_ALL,$DF129,3)&amp;"","")&amp;"␟"&amp;IFERROR(INDEX(PASTE_ALL,$DF129,4)&amp;"","")&amp;"␟"&amp;IFERROR(INDEX(PASTE_ALL,$DF129,5)&amp;"","")&amp;"␟"&amp;IFERROR(INDEX(PASTE_ALL,$DF129,6)&amp;"","")&amp;"␟"&amp;IFERROR(INDEX(PASTE_ALL,$DF129,7)&amp;"","")&amp;"␟"&amp;IFERROR(INDEX(PASTE_ALL,$DF129,8)&amp;"","")&amp;"␟"&amp;IFERROR(INDEX(PASTE_ALL,$DF129,9)&amp;"","")&amp;"␟"&amp;IFERROR(INDEX(PASTE_ALL,$DF129,10)&amp;"","")&amp;"␟"&amp;IFERROR(INDEX(PASTE_ALL,$DF129,11)&amp;"","")&amp;"␟"&amp;IFERROR(INDEX(PASTE_ALL,$DF129,12)&amp;"","")&amp;"␟"&amp;IFERROR(INDEX(PASTE_ALL,$DF129,13)&amp;"","")&amp;"␟"&amp;IFERROR(INDEX(PASTE_ALL,$DF129,14)&amp;"","")&amp;"␟"&amp;IFERROR(INDEX(PASTE_ALL,$DF129,15)&amp;"","")&amp;"␟"&amp;IFERROR(INDEX(PASTE_ALL,$DF129,16)&amp;"","")&amp;"␟"&amp;IFERROR(INDEX(PASTE_ALL,$DF129,17)&amp;"","")&amp;"␟"&amp;IFERROR(INDEX(PASTE_ALL,$DF129,18)&amp;"","")&amp;"␟"&amp;IFERROR(INDEX(PASTE_ALL,$DF129,19)&amp;"","")&amp;"␟"&amp;IFERROR(INDEX(PASTE_ALL,$DF129,20)&amp;"","")&amp;"␟"&amp;IFERROR(INDEX(PASTE_ALL,$DF129,21)&amp;"","")&amp;"␟"&amp;IFERROR(INDEX(PASTE_ALL,$DF129,22)&amp;"","")&amp;"␟"&amp;IFERROR(INDEX(PASTE_ALL,$DF129,23)&amp;"","")&amp;"␟"&amp;IFERROR(INDEX(PASTE_ALL,$DF129,24)&amp;"","")&amp;"␟"&amp;IFERROR(INDEX(PASTE_ALL,$DF129,25)&amp;"","")&amp;"␟"&amp;IFERROR(INDEX(PASTE_ALL,$DF129,26)&amp;"","")&amp;"␟"&amp;IFERROR(INDEX(PASTE_ALL,$DF129,27)&amp;"","")&amp;"␟"&amp;IFERROR(INDEX(PASTE_ALL,$DF129,28)&amp;"","")&amp;"␟"&amp;IFERROR(INDEX(PASTE_ALL,$DF129,29)&amp;"","")&amp;"␟"&amp;IFERROR(INDEX(PASTE_ALL,$DF129,30)&amp;"","")&amp;"␟"&amp;IFERROR(INDEX(PASTE_ALL,$DF129,31)&amp;"","")&amp;"␟"&amp;IFERROR(INDEX(PASTE_ALL,$DF129,32)&amp;"","")&amp;"␟"&amp;IFERROR(INDEX(PASTE_ALL,$DF129,33)&amp;"","")&amp;"␟"&amp;IFERROR(INDEX(PASTE_ALL,$DF129,34)&amp;"","")&amp;"␟"&amp;IFERROR(INDEX(PASTE_ALL,$DF129,35)&amp;"","")&amp;"␟"&amp;IFERROR(INDEX(PASTE_ALL,$DF129,36)&amp;"","")&amp;"␟"&amp;IFERROR(INDEX(PASTE_ALL,$DF129,37)&amp;"","")&amp;"␟"&amp;IFERROR(INDEX(PASTE_ALL,$DF129,38)&amp;"","")&amp;"␟"&amp;IFERROR(INDEX(PASTE_ALL,$DF129,39)&amp;"","")&amp;"␟"&amp;IFERROR(INDEX(PASTE_ALL,$DF129,40)&amp;"","")&amp;"␟"&amp;IFERROR(INDEX(PASTE_ALL,$DF129,41)&amp;"","")&amp;"␟"&amp;IFERROR(INDEX(PASTE_ALL,$DF129,42)&amp;"","")&amp;"␟"&amp;IFERROR(INDEX(PASTE_ALL,$DF129,43)&amp;"","")&amp;"␟"&amp;IFERROR(INDEX(PASTE_ALL,$DF129,44)&amp;"","")&amp;"␟"&amp;IFERROR(INDEX(PASTE_ALL,$DF129,45)&amp;"","")&amp;"␟"&amp;IFERROR(INDEX(PASTE_ALL,$DF129,46)&amp;"","")&amp;"␟"&amp;IFERROR(INDEX(PASTE_ALL,$DF129,47)&amp;"","")&amp;"␟"&amp;IFERROR(INDEX(PASTE_ALL,$DF129,48)&amp;"","")&amp;"␟"&amp;IFERROR(INDEX(PASTE_ALL,$DF129,49)&amp;"","")&amp;"␟"&amp;IFERROR(INDEX(PASTE_ALL,$DF129,50)&amp;"","")&amp;"␟"&amp;IFERROR(INDEX(PASTE_ALL,$DF129,51)&amp;"","")&amp;"␟"&amp;IFERROR(INDEX(PASTE_ALL,$DF129,52)&amp;"","")&amp;"␟"&amp;IFERROR(INDEX(PASTE_ALL,$DF129,53)&amp;"","")&amp;"␟"&amp;IFERROR(INDEX(PASTE_ALL,$DF129,54)&amp;"","")&amp;"␟"&amp;IFERROR(INDEX(PASTE_ALL,$DF129,55)&amp;"","")&amp;"␟"&amp;IFERROR(INDEX(PASTE_ALL,$DF129,56)&amp;"","")&amp;"␟"&amp;IFERROR(INDEX(PASTE_ALL,$DF129,57)&amp;"","")&amp;"␟"&amp;IFERROR(INDEX(PASTE_ALL,$DF129,58)&amp;"","")&amp;"␟"&amp;IFERROR(INDEX(PASTE_ALL,$DF129,59)&amp;"","")&amp;"␟"&amp;IFERROR(INDEX(PASTE_ALL,$DF129,60)&amp;"","")," "," "),CHAR(9)," "),CHAR(10)," "),CHAR(13)," "))," ␟","␟"),"␟ ","␟"),"#"&amp;$DE129),"")</f>
        <v/>
      </c>
      <c r="DJ129">
        <f>IF($DI129="",0,IF(SUMPRODUCT(--EXACT($DI$4:DI128,$DI129))&gt;0,1,0))</f>
        <v/>
      </c>
      <c r="DK129">
        <f>IF(AND($DI129&lt;&gt;"",$DJ129=0),1,0)</f>
        <v/>
      </c>
      <c r="DL129">
        <f>DL128+$DK129</f>
        <v/>
      </c>
      <c r="DM129">
        <f>IF(AND($DK129=1,$DL129&lt;=600),1,0)</f>
        <v/>
      </c>
      <c r="DN129">
        <f>IF($DM129=0,"",IF($L$6=0,"",IFERROR(IF(ISNUMBER(INDEX(PASTE_ALL,$DF129,$L$6)),INDEX(PASTE_ALL,$DF129,$L$6),TRIM(SUBSTITUTE(SUBSTITUTE(SUBSTITUTE(SUBSTITUTE(INDEX(PASTE_ALL,$DF129,$L$6)," "," "),CHAR(9)," "),CHAR(10)," "),CHAR(13)," "))),"")))</f>
        <v/>
      </c>
      <c r="DO129">
        <f>IF($DM129=0,"",IF($L$7=0,"",IFERROR(IF(ISNUMBER(INDEX(PASTE_ALL,$DF129,$L$7)),INDEX(PASTE_ALL,$DF129,$L$7),TRIM(SUBSTITUTE(SUBSTITUTE(SUBSTITUTE(SUBSTITUTE(INDEX(PASTE_ALL,$DF129,$L$7)," "," "),CHAR(9)," "),CHAR(10)," "),CHAR(13)," "))),"")))</f>
        <v/>
      </c>
      <c r="DP129">
        <f>IF($DM129=0,"",IF($L$8=0,"",IFERROR(IF(ISNUMBER(INDEX(PASTE_ALL,$DF129,$L$8)),INDEX(PASTE_ALL,$DF129,$L$8),TRIM(SUBSTITUTE(SUBSTITUTE(SUBSTITUTE(SUBSTITUTE(INDEX(PASTE_ALL,$DF129,$L$8)," "," "),CHAR(9)," "),CHAR(10)," "),CHAR(13)," "))),"")))</f>
        <v/>
      </c>
      <c r="DQ129">
        <f>IF($DM129=0,"",IF($L$9=0,"",IFERROR(IF(ISNUMBER(INDEX(PASTE_ALL,$DF129,$L$9)),INDEX(PASTE_ALL,$DF129,$L$9),TRIM(SUBSTITUTE(SUBSTITUTE(SUBSTITUTE(SUBSTITUTE(INDEX(PASTE_ALL,$DF129,$L$9)," "," "),CHAR(9)," "),CHAR(10)," "),CHAR(13)," "))),"")))</f>
        <v/>
      </c>
      <c r="DR129">
        <f>IF($DM129=0,"",IF($L$10=0,"",IFERROR(IF(ISNUMBER(INDEX(PASTE_ALL,$DF129,$L$10)),INDEX(PASTE_ALL,$DF129,$L$10),TRIM(SUBSTITUTE(SUBSTITUTE(SUBSTITUTE(SUBSTITUTE(INDEX(PASTE_ALL,$DF129,$L$10)," "," "),CHAR(9)," "),CHAR(10)," "),CHAR(13)," "))),"")))</f>
        <v/>
      </c>
      <c r="DS129">
        <f>IF($DM129=0,"",IF($L$11=0,"",IFERROR(IF(ISNUMBER(INDEX(PASTE_ALL,$DF129,$L$11)),INDEX(PASTE_ALL,$DF129,$L$11),TRIM(SUBSTITUTE(SUBSTITUTE(SUBSTITUTE(SUBSTITUTE(INDEX(PASTE_ALL,$DF129,$L$11)," "," "),CHAR(9)," "),CHAR(10)," "),CHAR(13)," "))),"")))</f>
        <v/>
      </c>
      <c r="DT129">
        <f>IF($DM129=0,"",IF($L$12=0,"",IFERROR(IF(ISNUMBER(INDEX(PASTE_ALL,$DF129,$L$12)),INDEX(PASTE_ALL,$DF129,$L$12),TRIM(SUBSTITUTE(SUBSTITUTE(SUBSTITUTE(SUBSTITUTE(INDEX(PASTE_ALL,$DF129,$L$12)," "," "),CHAR(9)," "),CHAR(10)," "),CHAR(13)," "))),"")))</f>
        <v/>
      </c>
      <c r="DU129">
        <f>IF($DM129=0,"",IF($L$13=0,"",IFERROR(IF(ISNUMBER(INDEX(PASTE_ALL,$DF129,$L$13)),INDEX(PASTE_ALL,$DF129,$L$13),TRIM(SUBSTITUTE(SUBSTITUTE(SUBSTITUTE(SUBSTITUTE(INDEX(PASTE_ALL,$DF129,$L$13)," "," "),CHAR(9)," "),CHAR(10)," "),CHAR(13)," "))),"")))</f>
        <v/>
      </c>
      <c r="DV129">
        <f>IF($DM129=0,"",IF($L$14=0,"",IFERROR(IF(ISNUMBER(INDEX(PASTE_ALL,$DF129,$L$14)),INDEX(PASTE_ALL,$DF129,$L$14),TRIM(SUBSTITUTE(SUBSTITUTE(SUBSTITUTE(SUBSTITUTE(INDEX(PASTE_ALL,$DF129,$L$14)," "," "),CHAR(9)," "),CHAR(10)," "),CHAR(13)," "))),"")))</f>
        <v/>
      </c>
      <c r="DW129">
        <f>IF($DM129=0,"",IF($L$15=0,"",IFERROR(IF(ISNUMBER(INDEX(PASTE_ALL,$DF129,$L$15)),INDEX(PASTE_ALL,$DF129,$L$15),IF(SUMPRODUCT(--ISNUMBER(FIND({"A","B","C","D","E","F","G","H","I","J","K","L","M","N","O","P","Q","R","S","T","U","V","W","X","Y","Z","0","1","2","3","4","5","6","7","8","9"},UPPER(TRIM(SUBSTITUTE(SUBSTITUTE(SUBSTITUTE(SUBSTITUTE(INDEX(PASTE_ALL,$DF129,$L$15)," "," "),CHAR(9)," "),CHAR(10)," "),CHAR(13)," "))))))&gt;0,TRIM(SUBSTITUTE(SUBSTITUTE(SUBSTITUTE(SUBSTITUTE(INDEX(PASTE_ALL,$DF129,$L$15)," "," "),CHAR(9)," "),CHAR(10)," "),CHAR(13)," ")),"")),"")))</f>
        <v/>
      </c>
      <c r="DX129">
        <f>IF($DM129=0,"",IF($L$16=0,"",IFERROR(IF(ISNUMBER(INDEX(PASTE_ALL,$DF129,$L$16)),INDEX(PASTE_ALL,$DF129,$L$16),SUBSTITUTE(SUBSTITUTE(TRIM(SUBSTITUTE(SUBSTITUTE(SUBSTITUTE(SUBSTITUTE(INDEX(PASTE_ALL,$DF129,$L$16)," "," "),CHAR(9)," "),CHAR(10)," "),CHAR(13)," ")),",",""),"%","")),"")))</f>
        <v/>
      </c>
      <c r="DY129">
        <f>IF($DM129=0,"",IFERROR(IF(ISNUMBER($DX129),$DX129,IF($DX129="","",IF(TRIM($DX129)="",0,IF(AND(AND(SUBSTITUTE(SUBSTITUTE(SUBSTITUTE(SUBSTITUTE(SUBSTITUTE(SUBSTITUTE(SUBSTITUTE(SUBSTITUTE(SUBSTITUTE(SUBSTITUTE(SUBSTITUTE(SUBSTITUTE(SUBSTITUTE(SUBSTITUTE(UPPER(TRIM($DX129)),"0",""),"1",""),"2",""),"3",""),"4",""),"5",""),"6",""),"7",""),"8",""),"9",""),".",""),"+",""),"-",""),"E","")="",LEN(SUBSTITUTE(SUBSTITUTE(MID(UPPER(TRIM($DX129)),1+OR(LEFT(UPPER(TRIM($DX129)),1)="+",LEFT(UPPER(TRIM($DX129)),1)="-"),999),"E+","E"),"E-","E"))=LEN(SUBSTITUTE(SUBSTITUTE(SUBSTITUTE(SUBSTITUTE(MID(UPPER(TRIM($DX129)),1+OR(LEFT(UPPER(TRIM($DX129)),1)="+",LEFT(UPPER(TRIM($DX129)),1)="-"),999),"E+","E"),"E-","E"),"+",""),"-","")),LEN(UPPER(TRIM($DX129)))-LEN(SUBSTITUTE(UPPER(TRIM($DX129)),"E",""))&lt;2,LEN(UPPER(TRIM($DX129)))-LEN(SUBSTITUTE(UPPER(TRIM($DX129)),".",""))&lt;2,IFERROR(FIND(".",UPPER(TRIM($DX129))),0)&lt;IFERROR(FIND("E",UPPER(TRIM($DX129))),999)),ISNUMBER(VALUE(TRIM($DX129)))),VALUE(TRIM($DX129)),"")))),""))</f>
        <v/>
      </c>
      <c r="DZ129">
        <f>IF($DM129=0,"",IF($L$17=0,"",IFERROR(IF(ISNUMBER(INDEX(PASTE_ALL,$DF129,$L$17)),INDEX(PASTE_ALL,$DF129,$L$17),SUBSTITUTE(SUBSTITUTE(TRIM(SUBSTITUTE(SUBSTITUTE(SUBSTITUTE(SUBSTITUTE(INDEX(PASTE_ALL,$DF129,$L$17)," "," "),CHAR(9)," "),CHAR(10)," "),CHAR(13)," ")),",",""),"%","")),"")))</f>
        <v/>
      </c>
      <c r="EA129">
        <f>IF($DM129=0,"",IFERROR(IF(ISNUMBER($DZ129),$DZ129,IF($DZ129="","",IF(TRIM($DZ129)="",0,IF(AND(AND(SUBSTITUTE(SUBSTITUTE(SUBSTITUTE(SUBSTITUTE(SUBSTITUTE(SUBSTITUTE(SUBSTITUTE(SUBSTITUTE(SUBSTITUTE(SUBSTITUTE(SUBSTITUTE(SUBSTITUTE(SUBSTITUTE(SUBSTITUTE(UPPER(TRIM($DZ129)),"0",""),"1",""),"2",""),"3",""),"4",""),"5",""),"6",""),"7",""),"8",""),"9",""),".",""),"+",""),"-",""),"E","")="",LEN(SUBSTITUTE(SUBSTITUTE(MID(UPPER(TRIM($DZ129)),1+OR(LEFT(UPPER(TRIM($DZ129)),1)="+",LEFT(UPPER(TRIM($DZ129)),1)="-"),999),"E+","E"),"E-","E"))=LEN(SUBSTITUTE(SUBSTITUTE(SUBSTITUTE(SUBSTITUTE(MID(UPPER(TRIM($DZ129)),1+OR(LEFT(UPPER(TRIM($DZ129)),1)="+",LEFT(UPPER(TRIM($DZ129)),1)="-"),999),"E+","E"),"E-","E"),"+",""),"-","")),LEN(UPPER(TRIM($DZ129)))-LEN(SUBSTITUTE(UPPER(TRIM($DZ129)),"E",""))&lt;2,LEN(UPPER(TRIM($DZ129)))-LEN(SUBSTITUTE(UPPER(TRIM($DZ129)),".",""))&lt;2,IFERROR(FIND(".",UPPER(TRIM($DZ129))),0)&lt;IFERROR(FIND("E",UPPER(TRIM($DZ129))),999)),ISNUMBER(VALUE(TRIM($DZ129)))),VALUE(TRIM($DZ129)),"")))),""))</f>
        <v/>
      </c>
      <c r="EB129">
        <f>IF($DM129=0,"",IF($L$18=0,"",IFERROR(IF(UPPER(TRIM(SUBSTITUTE(SUBSTITUTE(SUBSTITUTE(SUBSTITUTE(INDEX(PASTE_ALL,$DF129,$L$18)," "," "),CHAR(9)," "),CHAR(10)," "),CHAR(13)," ")))="READY","Ready",IF(UPPER(TRIM(SUBSTITUTE(SUBSTITUTE(SUBSTITUTE(SUBSTITUTE(INDEX(PASTE_ALL,$DF129,$L$18)," "," "),CHAR(9)," "),CHAR(10)," "),CHAR(13)," ")))="PM","PM",IF(OR(UPPER(TRIM(SUBSTITUTE(SUBSTITUTE(SUBSTITUTE(SUBSTITUTE(INDEX(PASTE_ALL,$DF129,$L$18)," "," "),CHAR(9)," "),CHAR(10)," "),CHAR(13)," ")))="OT",UPPER(TRIM(SUBSTITUTE(SUBSTITUTE(SUBSTITUTE(SUBSTITUTE(INDEX(PASTE_ALL,$DF129,$L$18)," "," "),CHAR(9)," "),CHAR(10)," "),CHAR(13)," ")))="OVERTIME",UPPER(TRIM(SUBSTITUTE(SUBSTITUTE(SUBSTITUTE(SUBSTITUTE(INDEX(PASTE_ALL,$DF129,$L$18)," "," "),CHAR(9)," "),CHAR(10)," "),CHAR(13)," ")))="TRIAL"),"OT",TRIM(SUBSTITUTE(SUBSTITUTE(SUBSTITUTE(SUBSTITUTE(INDEX(PASTE_ALL,$DF129,$L$18)," "," "),CHAR(9)," "),CHAR(10)," "),CHAR(13)," "))))),"")))</f>
        <v/>
      </c>
      <c r="EC129">
        <f>IF($DM129=0,"",IF($L$19=0,"",IFERROR(IF(ISNUMBER(INDEX(PASTE_ALL,$DF129,$L$19)),INDEX(PASTE_ALL,$DF129,$L$19),TRIM(SUBSTITUTE(SUBSTITUTE(SUBSTITUTE(SUBSTITUTE(INDEX(PASTE_ALL,$DF129,$L$19)," "," "),CHAR(9)," "),CHAR(10)," "),CHAR(13)," "))),"")))</f>
        <v/>
      </c>
      <c r="ED129">
        <f>IF($DM129=0,"",MATCH(1,INDEX(EXACT($DH$5:DH129,$DH129)*$DM$5:DM129,0),0))</f>
        <v/>
      </c>
      <c r="EE129">
        <f>IF($DM129=0,0,IF($ED129=$DE129,1,0))</f>
        <v/>
      </c>
      <c r="EF129">
        <f>EF128+$EE129</f>
        <v/>
      </c>
      <c r="EG129">
        <f>IF($DM129=0,"",INDEX($EF$5:$EF$1003,$ED129))</f>
        <v/>
      </c>
      <c r="EH129">
        <f>IF($DM129=0,"",IF($DO129&lt;&gt;"","",IFERROR(LOOKUP(2,1/(($EG$4:EG128=$EG129)*($DO$4:DO128&lt;&gt;"")),$DO$4:DO128),"")))</f>
        <v/>
      </c>
      <c r="EI129">
        <f>IF($DM129=0,"",IF($DO129&lt;&gt;"",$DO129,$EH129))</f>
        <v/>
      </c>
      <c r="EJ129">
        <f>IF($DM129=0,"",IF($EI129="",0,IF(OR(ISNUMBER($EI129),AND(AND(SUBSTITUTE(SUBSTITUTE(SUBSTITUTE(SUBSTITUTE(SUBSTITUTE(SUBSTITUTE(SUBSTITUTE(SUBSTITUTE(SUBSTITUTE(SUBSTITUTE(SUBSTITUTE(SUBSTITUTE(SUBSTITUTE(SUBSTITUTE(UPPER($EI129),"0",""),"1",""),"2",""),"3",""),"4",""),"5",""),"6",""),"7",""),"8",""),"9",""),".",""),"+",""),"-",""),"E","")="",LEN(SUBSTITUTE(SUBSTITUTE(MID(UPPER($EI129),1+OR(LEFT(UPPER($EI129),1)="+",LEFT(UPPER($EI129),1)="-"),999),"E+","E"),"E-","E"))=LEN(SUBSTITUTE(SUBSTITUTE(SUBSTITUTE(SUBSTITUTE(MID(UPPER($EI129),1+OR(LEFT(UPPER($EI129),1)="+",LEFT(UPPER($EI129),1)="-"),999),"E+","E"),"E-","E"),"+",""),"-","")),LEN(UPPER($EI129))-LEN(SUBSTITUTE(UPPER($EI129),"E",""))&lt;2,LEN(UPPER($EI129))-LEN(SUBSTITUTE(UPPER($EI129),".",""))&lt;2,IFERROR(FIND(".",UPPER($EI129)),0)&lt;IFERROR(FIND("E",UPPER($EI129)),999)),ISNUMBER(VALUE($EI129)))),1,2)))</f>
        <v/>
      </c>
      <c r="EK129">
        <f>IF($DM129=0,"",IF($EJ129=1,IF(ISNUMBER($EI129),$EI129,VALUE($EI129)),IF($EJ129=2,$DE129,0)))</f>
        <v/>
      </c>
      <c r="EL129">
        <f>IF($DM129=0,"",COUNTIF($EG$5:$EG$1003,"&lt;"&amp;$EG129)+SUMPRODUCT(($EG$5:$EG$1003=$EG129)*(($EJ$5:$EJ$1003&lt;$EJ129)+($EJ$5:$EJ$1003=$EJ129)*(($EK$5:$EK$1003&lt;$EK129)+($EK$5:$EK$1003=$EK129)*($DE$5:$DE$1003&lt;$DE129))))+1)</f>
        <v/>
      </c>
      <c r="EM129">
        <f>IF($DM129=0,"",$EL129+$EG129-1)</f>
        <v/>
      </c>
      <c r="EN129">
        <f>IF($DM129=0,0,IFERROR(MATCH(1,INDEX(--(TRIM(SUBSTITUTE(SUBSTITUTE(SUBSTITUTE(SUBSTITUTE(LINES_NAME&amp;""," "," "),CHAR(9)," "),CHAR(10)," "),CHAR(13)," "))=$DH129),0),0),0))</f>
        <v/>
      </c>
      <c r="EO129">
        <f>IF($EN129=0,0,IF(OR(UPPER(TRIM(INDEX(LINES_SCHEDULED,$EN129)&amp;""))="YES",UPPER(TRIM(INDEX(LINES_SCHEDULED,$EN129)&amp;""))="Y",UPPER(TRIM(INDEX(LINES_SCHEDULED,$EN129)&amp;""))="X"),1,0))</f>
        <v/>
      </c>
      <c r="EP129">
        <f>IF($DM129=0,"",IF(COUNTIFS($EG$5:$EG$1003,$EG129,$EB$5:$EB$1003,"Ready")&gt;0,"READY",IF(COUNTIFS($EG$5:$EG$1003,$EG129,$EB$5:$EB$1003,"PM")&gt;0,"PM",IF(COUNTIFS($EG$5:$EG$1003,$EG129,$EB$5:$EB$1003,"OT")&gt;0,"OT",""))))</f>
        <v/>
      </c>
      <c r="EQ129">
        <f>IF($EN129=0,"",UPPER(TRIM(INDEX(LINES_STATUS,$EN129)&amp;"")))</f>
        <v/>
      </c>
      <c r="ER129">
        <f>IF($DM129=0,"",IF(OR($EQ129="READY",$EQ129="PM",$EQ129="OT"),$EQ129,$EP129))</f>
        <v/>
      </c>
      <c r="ES129">
        <f>IF($DM129=0,"",IF(AND($DV129&lt;&gt;"",UPPER($DV129)&lt;&gt;"N"),"allergen",IF(ISNUMBER(SEARCH("oil",$DQ129)),"oil",IF(OR(EXACT($DS129,"A662"),EXACT($DS129,"A624")),"bulk",""))))</f>
        <v/>
      </c>
      <c r="ET129">
        <f>IF($DM129=0,"",IF(OR($EA129="",$EA129=0),"",$EA129/100))</f>
        <v/>
      </c>
      <c r="EU129">
        <f>IF(OR($ET129="",$DY129=""),"",INT($DY129*(1-$ET129)+0.5))</f>
        <v/>
      </c>
      <c r="EW129" t="n">
        <v>125</v>
      </c>
      <c r="EX129">
        <f>IFERROR(MATCH($EW129,$EM$5:$EM$1003,0),0)</f>
        <v/>
      </c>
      <c r="EY129">
        <f>IF($EW129&gt;$B$12,"",IF($EX129&gt;0,"row","spacer"))</f>
        <v/>
      </c>
      <c r="EZ129">
        <f>IF(AND($EY129="row",$EY128&lt;&gt;"row"),1,0)</f>
        <v/>
      </c>
      <c r="FA129">
        <f>IF(AND($EY129="row",$EY130&lt;&gt;"row"),1,0)</f>
        <v/>
      </c>
      <c r="FB129">
        <f>IF($EZ129=1,IFERROR(IF(ISNUMBER(INDEX(PASTE_ALL,INDEX($DF$5:$DF$1003,$EX129),$B$37)),INDEX(PASTE_ALL,INDEX($DF$5:$DF$1003,$EX129),$B$37),INDEX($DH$5:$DH$1003,$EX129)),INDEX($DH$5:$DH$1003,$EX129)),"")</f>
        <v/>
      </c>
      <c r="FC129">
        <f>IF($EY129="row",INDEX($ER$5:$ER$1003,$EX129),"")</f>
        <v/>
      </c>
      <c r="FD129">
        <f>IF($EY129="row",INDEX($DN$5:$DN$1003,$EX129),"")</f>
        <v/>
      </c>
      <c r="FE129">
        <f>IF($EY129="row",INDEX($DO$5:$DO$1003,$EX129),"")</f>
        <v/>
      </c>
      <c r="FF129">
        <f>IF($EY129="row",INDEX($DP$5:$DP$1003,$EX129),"")</f>
        <v/>
      </c>
      <c r="FG129">
        <f>IF($EY129="row",INDEX($DQ$5:$DQ$1003,$EX129),"")</f>
        <v/>
      </c>
      <c r="FH129">
        <f>IF($EY129="row",INDEX($DR$5:$DR$1003,$EX129),"")</f>
        <v/>
      </c>
      <c r="FI129">
        <f>IF($EY129="row",INDEX($DS$5:$DS$1003,$EX129),"")</f>
        <v/>
      </c>
      <c r="FJ129">
        <f>IF($EY129="row",INDEX($DT$5:$DT$1003,$EX129),"")</f>
        <v/>
      </c>
      <c r="FK129">
        <f>IF($EY129="row",INDEX($DU$5:$DU$1003,$EX129),"")</f>
        <v/>
      </c>
      <c r="FL129">
        <f>IF($EY129="row",INDEX($DV$5:$DV$1003,$EX129),"")</f>
        <v/>
      </c>
      <c r="FM129">
        <f>IF($EY129="row",INDEX($DW$5:$DW$1003,$EX129),"")</f>
        <v/>
      </c>
      <c r="FN129">
        <f>IF($EY129="row",INDEX($DY$5:$DY$1003,$EX129),"")</f>
        <v/>
      </c>
      <c r="FO129">
        <f>IF($EY129="row",INDEX($EA$5:$EA$1003,$EX129),"")</f>
        <v/>
      </c>
      <c r="FP129">
        <f>IF($EY129="row",INDEX($EC$5:$EC$1003,$EX129),"")</f>
        <v/>
      </c>
      <c r="FQ129">
        <f>IF($EY129="row",INDEX($ET$5:$ET$1003,$EX129),"")</f>
        <v/>
      </c>
      <c r="FR129">
        <f>IF($EY129="row",INDEX($EU$5:$EU$1003,$EX129),"")</f>
        <v/>
      </c>
      <c r="FS129">
        <f>IF(AND($EY129="row",$EY128="row"),IF(OR(INDEX($DT$5:$DT$1003,$EX128)="",INDEX($DT$5:$DT$1003,$EX129)=""),"",IF(NOT(EXACT(INDEX($DT$5:$DT$1003,$EX128),INDEX($DT$5:$DT$1003,$EX129))),"S4",IF(NOT(EXACT(INDEX($DS$5:$DS$1003,$EX128),INDEX($DS$5:$DS$1003,$EX129))),"S3",IF(NOT(EXACT(INDEX($DR$5:$DR$1003,$EX128),INDEX($DR$5:$DR$1003,$EX129))),"S1 Count Change","S1")))),"")</f>
        <v/>
      </c>
      <c r="FT129">
        <f>IF($EY129="row",INDEX($ES$5:$ES$1003,$EX129),"")</f>
        <v/>
      </c>
      <c r="FU129">
        <f>IF($EY129="row",INDEX($EO$5:$EO$1003,$EX129),0)</f>
        <v/>
      </c>
      <c r="FV129">
        <f>IF($FS129="S1 Count Change",1,0)</f>
        <v/>
      </c>
    </row>
    <row r="130">
      <c r="Y130">
        <f>IF(Y40="",0,IFERROR(INDEX($W$5:$W$86,MATCH(Y40,$V$5:$V$86,0)),0))</f>
        <v/>
      </c>
      <c r="Z130">
        <f>IF(Z40="",0,IFERROR(INDEX($W$5:$W$86,MATCH(Z40,$V$5:$V$86,0)),0))</f>
        <v/>
      </c>
      <c r="AA130">
        <f>IF(AA40="",0,IFERROR(INDEX($W$5:$W$86,MATCH(AA40,$V$5:$V$86,0)),0))</f>
        <v/>
      </c>
      <c r="AB130">
        <f>IF(AB40="",0,IFERROR(INDEX($W$5:$W$86,MATCH(AB40,$V$5:$V$86,0)),0))</f>
        <v/>
      </c>
      <c r="AC130">
        <f>IF(AC40="",0,IFERROR(INDEX($W$5:$W$86,MATCH(AC40,$V$5:$V$86,0)),0))</f>
        <v/>
      </c>
      <c r="AD130">
        <f>IF(AD40="",0,IFERROR(INDEX($W$5:$W$86,MATCH(AD40,$V$5:$V$86,0)),0))</f>
        <v/>
      </c>
      <c r="AE130">
        <f>IF(AE40="",0,IFERROR(INDEX($W$5:$W$86,MATCH(AE40,$V$5:$V$86,0)),0))</f>
        <v/>
      </c>
      <c r="AF130">
        <f>IF(AF40="",0,IFERROR(INDEX($W$5:$W$86,MATCH(AF40,$V$5:$V$86,0)),0))</f>
        <v/>
      </c>
      <c r="AG130">
        <f>IF(AG40="",0,IFERROR(INDEX($W$5:$W$86,MATCH(AG40,$V$5:$V$86,0)),0))</f>
        <v/>
      </c>
      <c r="AH130">
        <f>IF(AH40="",0,IFERROR(INDEX($W$5:$W$86,MATCH(AH40,$V$5:$V$86,0)),0))</f>
        <v/>
      </c>
      <c r="AI130">
        <f>IF(AI40="",0,IFERROR(INDEX($W$5:$W$86,MATCH(AI40,$V$5:$V$86,0)),0))</f>
        <v/>
      </c>
      <c r="AJ130">
        <f>IF(AJ40="",0,IFERROR(INDEX($W$5:$W$86,MATCH(AJ40,$V$5:$V$86,0)),0))</f>
        <v/>
      </c>
      <c r="AK130">
        <f>IF(AK40="",0,IFERROR(INDEX($W$5:$W$86,MATCH(AK40,$V$5:$V$86,0)),0))</f>
        <v/>
      </c>
      <c r="AL130">
        <f>IF(AL40="",0,IFERROR(INDEX($W$5:$W$86,MATCH(AL40,$V$5:$V$86,0)),0))</f>
        <v/>
      </c>
      <c r="AM130">
        <f>IF(AM40="",0,IFERROR(INDEX($W$5:$W$86,MATCH(AM40,$V$5:$V$86,0)),0))</f>
        <v/>
      </c>
      <c r="AN130">
        <f>IF(AN40="",0,IFERROR(INDEX($W$5:$W$86,MATCH(AN40,$V$5:$V$86,0)),0))</f>
        <v/>
      </c>
      <c r="AO130">
        <f>IF(AO40="",0,IFERROR(INDEX($W$5:$W$86,MATCH(AO40,$V$5:$V$86,0)),0))</f>
        <v/>
      </c>
      <c r="AP130">
        <f>IF(AP40="",0,IFERROR(INDEX($W$5:$W$86,MATCH(AP40,$V$5:$V$86,0)),0))</f>
        <v/>
      </c>
      <c r="AQ130">
        <f>IF(AQ40="",0,IFERROR(INDEX($W$5:$W$86,MATCH(AQ40,$V$5:$V$86,0)),0))</f>
        <v/>
      </c>
      <c r="AR130">
        <f>IF(AR40="",0,IFERROR(INDEX($W$5:$W$86,MATCH(AR40,$V$5:$V$86,0)),0))</f>
        <v/>
      </c>
      <c r="AS130">
        <f>IF(AS40="",0,IFERROR(INDEX($W$5:$W$86,MATCH(AS40,$V$5:$V$86,0)),0))</f>
        <v/>
      </c>
      <c r="AT130">
        <f>IF(AT40="",0,IFERROR(INDEX($W$5:$W$86,MATCH(AT40,$V$5:$V$86,0)),0))</f>
        <v/>
      </c>
      <c r="AU130">
        <f>IF(AU40="",0,IFERROR(INDEX($W$5:$W$86,MATCH(AU40,$V$5:$V$86,0)),0))</f>
        <v/>
      </c>
      <c r="AV130">
        <f>IF(AV40="",0,IFERROR(INDEX($W$5:$W$86,MATCH(AV40,$V$5:$V$86,0)),0))</f>
        <v/>
      </c>
      <c r="AW130">
        <f>IF(AW40="",0,IFERROR(INDEX($W$5:$W$86,MATCH(AW40,$V$5:$V$86,0)),0))</f>
        <v/>
      </c>
      <c r="AX130">
        <f>IF(AX40="",0,IFERROR(INDEX($W$5:$W$86,MATCH(AX40,$V$5:$V$86,0)),0))</f>
        <v/>
      </c>
      <c r="AY130">
        <f>IF(AY40="",0,IFERROR(INDEX($W$5:$W$86,MATCH(AY40,$V$5:$V$86,0)),0))</f>
        <v/>
      </c>
      <c r="AZ130">
        <f>IF(AZ40="",0,IFERROR(INDEX($W$5:$W$86,MATCH(AZ40,$V$5:$V$86,0)),0))</f>
        <v/>
      </c>
      <c r="BA130">
        <f>IF(BA40="",0,IFERROR(INDEX($W$5:$W$86,MATCH(BA40,$V$5:$V$86,0)),0))</f>
        <v/>
      </c>
      <c r="BB130">
        <f>IF(BB40="",0,IFERROR(INDEX($W$5:$W$86,MATCH(BB40,$V$5:$V$86,0)),0))</f>
        <v/>
      </c>
      <c r="BC130">
        <f>IF(BC40="",0,IFERROR(INDEX($W$5:$W$86,MATCH(BC40,$V$5:$V$86,0)),0))</f>
        <v/>
      </c>
      <c r="BD130">
        <f>IF(BD40="",0,IFERROR(INDEX($W$5:$W$86,MATCH(BD40,$V$5:$V$86,0)),0))</f>
        <v/>
      </c>
      <c r="BE130">
        <f>IF(BE40="",0,IFERROR(INDEX($W$5:$W$86,MATCH(BE40,$V$5:$V$86,0)),0))</f>
        <v/>
      </c>
      <c r="BF130">
        <f>IF(BF40="",0,IFERROR(INDEX($W$5:$W$86,MATCH(BF40,$V$5:$V$86,0)),0))</f>
        <v/>
      </c>
      <c r="BG130">
        <f>IF(BG40="",0,IFERROR(INDEX($W$5:$W$86,MATCH(BG40,$V$5:$V$86,0)),0))</f>
        <v/>
      </c>
      <c r="BH130">
        <f>IF(BH40="",0,IFERROR(INDEX($W$5:$W$86,MATCH(BH40,$V$5:$V$86,0)),0))</f>
        <v/>
      </c>
      <c r="BI130">
        <f>IF(BI40="",0,IFERROR(INDEX($W$5:$W$86,MATCH(BI40,$V$5:$V$86,0)),0))</f>
        <v/>
      </c>
      <c r="BJ130">
        <f>IF(BJ40="",0,IFERROR(INDEX($W$5:$W$86,MATCH(BJ40,$V$5:$V$86,0)),0))</f>
        <v/>
      </c>
      <c r="BK130">
        <f>IF(BK40="",0,IFERROR(INDEX($W$5:$W$86,MATCH(BK40,$V$5:$V$86,0)),0))</f>
        <v/>
      </c>
      <c r="BL130">
        <f>IF(BL40="",0,IFERROR(INDEX($W$5:$W$86,MATCH(BL40,$V$5:$V$86,0)),0))</f>
        <v/>
      </c>
      <c r="BM130">
        <f>IF(BM40="",0,IFERROR(INDEX($W$5:$W$86,MATCH(BM40,$V$5:$V$86,0)),0))</f>
        <v/>
      </c>
      <c r="BN130">
        <f>IF(BN40="",0,IFERROR(INDEX($W$5:$W$86,MATCH(BN40,$V$5:$V$86,0)),0))</f>
        <v/>
      </c>
      <c r="BO130">
        <f>IF(BO40="",0,IFERROR(INDEX($W$5:$W$86,MATCH(BO40,$V$5:$V$86,0)),0))</f>
        <v/>
      </c>
      <c r="BP130">
        <f>IF(BP40="",0,IFERROR(INDEX($W$5:$W$86,MATCH(BP40,$V$5:$V$86,0)),0))</f>
        <v/>
      </c>
      <c r="BQ130">
        <f>IF(BQ40="",0,IFERROR(INDEX($W$5:$W$86,MATCH(BQ40,$V$5:$V$86,0)),0))</f>
        <v/>
      </c>
      <c r="BR130">
        <f>IF(BR40="",0,IFERROR(INDEX($W$5:$W$86,MATCH(BR40,$V$5:$V$86,0)),0))</f>
        <v/>
      </c>
      <c r="BS130">
        <f>IF(BS40="",0,IFERROR(INDEX($W$5:$W$86,MATCH(BS40,$V$5:$V$86,0)),0))</f>
        <v/>
      </c>
      <c r="BT130">
        <f>IF(BT40="",0,IFERROR(INDEX($W$5:$W$86,MATCH(BT40,$V$5:$V$86,0)),0))</f>
        <v/>
      </c>
      <c r="BU130">
        <f>IF(BU40="",0,IFERROR(INDEX($W$5:$W$86,MATCH(BU40,$V$5:$V$86,0)),0))</f>
        <v/>
      </c>
      <c r="BV130">
        <f>IF(BV40="",0,IFERROR(INDEX($W$5:$W$86,MATCH(BV40,$V$5:$V$86,0)),0))</f>
        <v/>
      </c>
      <c r="BW130">
        <f>IF(BW40="",0,IFERROR(INDEX($W$5:$W$86,MATCH(BW40,$V$5:$V$86,0)),0))</f>
        <v/>
      </c>
      <c r="BX130">
        <f>IF(BX40="",0,IFERROR(INDEX($W$5:$W$86,MATCH(BX40,$V$5:$V$86,0)),0))</f>
        <v/>
      </c>
      <c r="BY130">
        <f>IF(BY40="",0,IFERROR(INDEX($W$5:$W$86,MATCH(BY40,$V$5:$V$86,0)),0))</f>
        <v/>
      </c>
      <c r="BZ130">
        <f>IF(BZ40="",0,IFERROR(INDEX($W$5:$W$86,MATCH(BZ40,$V$5:$V$86,0)),0))</f>
        <v/>
      </c>
      <c r="CA130">
        <f>IF(CA40="",0,IFERROR(INDEX($W$5:$W$86,MATCH(CA40,$V$5:$V$86,0)),0))</f>
        <v/>
      </c>
      <c r="CB130">
        <f>IF(CB40="",0,IFERROR(INDEX($W$5:$W$86,MATCH(CB40,$V$5:$V$86,0)),0))</f>
        <v/>
      </c>
      <c r="CC130">
        <f>IF(CC40="",0,IFERROR(INDEX($W$5:$W$86,MATCH(CC40,$V$5:$V$86,0)),0))</f>
        <v/>
      </c>
      <c r="CD130">
        <f>IF(CD40="",0,IFERROR(INDEX($W$5:$W$86,MATCH(CD40,$V$5:$V$86,0)),0))</f>
        <v/>
      </c>
      <c r="CE130">
        <f>IF(CE40="",0,IFERROR(INDEX($W$5:$W$86,MATCH(CE40,$V$5:$V$86,0)),0))</f>
        <v/>
      </c>
      <c r="CF130">
        <f>IF(CF40="",0,IFERROR(INDEX($W$5:$W$86,MATCH(CF40,$V$5:$V$86,0)),0))</f>
        <v/>
      </c>
      <c r="DA130" t="n">
        <v>126</v>
      </c>
      <c r="DB130">
        <f>IF($B$37=0,"",IFERROR(TRIM(SUBSTITUTE(SUBSTITUTE(SUBSTITUTE(SUBSTITUTE(INDEX(PASTE_ALL,126,$B$37)," "," "),CHAR(9)," "),CHAR(10)," "),CHAR(13)," ")),""))</f>
        <v/>
      </c>
      <c r="DC130">
        <f>IF(AND(126&gt;HEADER_ROW,UPPER(DB130)="LEGEND"),1,0)</f>
        <v/>
      </c>
      <c r="DE130" t="n">
        <v>126</v>
      </c>
      <c r="DF130">
        <f>HEADER_ROW+$DE130</f>
        <v/>
      </c>
      <c r="DG130">
        <f>IF(AND($DF130&lt;=1000,$DF130&lt;$B$8),1,0)</f>
        <v/>
      </c>
      <c r="DH130">
        <f>IF($DG130=1,IFERROR(INDEX($DB$5:$DB$1004,$DF130),""),"")</f>
        <v/>
      </c>
      <c r="DI130">
        <f>IF(AND($DG130=1,$DH130&lt;&gt;""),IFERROR(SUBSTITUTE(SUBSTITUTE(TRIM(SUBSTITUTE(SUBSTITUTE(SUBSTITUTE(SUBSTITUTE(IFERROR(INDEX(PASTE_ALL,$DF130,1)&amp;"","")&amp;"␟"&amp;IFERROR(INDEX(PASTE_ALL,$DF130,2)&amp;"","")&amp;"␟"&amp;IFERROR(INDEX(PASTE_ALL,$DF130,3)&amp;"","")&amp;"␟"&amp;IFERROR(INDEX(PASTE_ALL,$DF130,4)&amp;"","")&amp;"␟"&amp;IFERROR(INDEX(PASTE_ALL,$DF130,5)&amp;"","")&amp;"␟"&amp;IFERROR(INDEX(PASTE_ALL,$DF130,6)&amp;"","")&amp;"␟"&amp;IFERROR(INDEX(PASTE_ALL,$DF130,7)&amp;"","")&amp;"␟"&amp;IFERROR(INDEX(PASTE_ALL,$DF130,8)&amp;"","")&amp;"␟"&amp;IFERROR(INDEX(PASTE_ALL,$DF130,9)&amp;"","")&amp;"␟"&amp;IFERROR(INDEX(PASTE_ALL,$DF130,10)&amp;"","")&amp;"␟"&amp;IFERROR(INDEX(PASTE_ALL,$DF130,11)&amp;"","")&amp;"␟"&amp;IFERROR(INDEX(PASTE_ALL,$DF130,12)&amp;"","")&amp;"␟"&amp;IFERROR(INDEX(PASTE_ALL,$DF130,13)&amp;"","")&amp;"␟"&amp;IFERROR(INDEX(PASTE_ALL,$DF130,14)&amp;"","")&amp;"␟"&amp;IFERROR(INDEX(PASTE_ALL,$DF130,15)&amp;"","")&amp;"␟"&amp;IFERROR(INDEX(PASTE_ALL,$DF130,16)&amp;"","")&amp;"␟"&amp;IFERROR(INDEX(PASTE_ALL,$DF130,17)&amp;"","")&amp;"␟"&amp;IFERROR(INDEX(PASTE_ALL,$DF130,18)&amp;"","")&amp;"␟"&amp;IFERROR(INDEX(PASTE_ALL,$DF130,19)&amp;"","")&amp;"␟"&amp;IFERROR(INDEX(PASTE_ALL,$DF130,20)&amp;"","")&amp;"␟"&amp;IFERROR(INDEX(PASTE_ALL,$DF130,21)&amp;"","")&amp;"␟"&amp;IFERROR(INDEX(PASTE_ALL,$DF130,22)&amp;"","")&amp;"␟"&amp;IFERROR(INDEX(PASTE_ALL,$DF130,23)&amp;"","")&amp;"␟"&amp;IFERROR(INDEX(PASTE_ALL,$DF130,24)&amp;"","")&amp;"␟"&amp;IFERROR(INDEX(PASTE_ALL,$DF130,25)&amp;"","")&amp;"␟"&amp;IFERROR(INDEX(PASTE_ALL,$DF130,26)&amp;"","")&amp;"␟"&amp;IFERROR(INDEX(PASTE_ALL,$DF130,27)&amp;"","")&amp;"␟"&amp;IFERROR(INDEX(PASTE_ALL,$DF130,28)&amp;"","")&amp;"␟"&amp;IFERROR(INDEX(PASTE_ALL,$DF130,29)&amp;"","")&amp;"␟"&amp;IFERROR(INDEX(PASTE_ALL,$DF130,30)&amp;"","")&amp;"␟"&amp;IFERROR(INDEX(PASTE_ALL,$DF130,31)&amp;"","")&amp;"␟"&amp;IFERROR(INDEX(PASTE_ALL,$DF130,32)&amp;"","")&amp;"␟"&amp;IFERROR(INDEX(PASTE_ALL,$DF130,33)&amp;"","")&amp;"␟"&amp;IFERROR(INDEX(PASTE_ALL,$DF130,34)&amp;"","")&amp;"␟"&amp;IFERROR(INDEX(PASTE_ALL,$DF130,35)&amp;"","")&amp;"␟"&amp;IFERROR(INDEX(PASTE_ALL,$DF130,36)&amp;"","")&amp;"␟"&amp;IFERROR(INDEX(PASTE_ALL,$DF130,37)&amp;"","")&amp;"␟"&amp;IFERROR(INDEX(PASTE_ALL,$DF130,38)&amp;"","")&amp;"␟"&amp;IFERROR(INDEX(PASTE_ALL,$DF130,39)&amp;"","")&amp;"␟"&amp;IFERROR(INDEX(PASTE_ALL,$DF130,40)&amp;"","")&amp;"␟"&amp;IFERROR(INDEX(PASTE_ALL,$DF130,41)&amp;"","")&amp;"␟"&amp;IFERROR(INDEX(PASTE_ALL,$DF130,42)&amp;"","")&amp;"␟"&amp;IFERROR(INDEX(PASTE_ALL,$DF130,43)&amp;"","")&amp;"␟"&amp;IFERROR(INDEX(PASTE_ALL,$DF130,44)&amp;"","")&amp;"␟"&amp;IFERROR(INDEX(PASTE_ALL,$DF130,45)&amp;"","")&amp;"␟"&amp;IFERROR(INDEX(PASTE_ALL,$DF130,46)&amp;"","")&amp;"␟"&amp;IFERROR(INDEX(PASTE_ALL,$DF130,47)&amp;"","")&amp;"␟"&amp;IFERROR(INDEX(PASTE_ALL,$DF130,48)&amp;"","")&amp;"␟"&amp;IFERROR(INDEX(PASTE_ALL,$DF130,49)&amp;"","")&amp;"␟"&amp;IFERROR(INDEX(PASTE_ALL,$DF130,50)&amp;"","")&amp;"␟"&amp;IFERROR(INDEX(PASTE_ALL,$DF130,51)&amp;"","")&amp;"␟"&amp;IFERROR(INDEX(PASTE_ALL,$DF130,52)&amp;"","")&amp;"␟"&amp;IFERROR(INDEX(PASTE_ALL,$DF130,53)&amp;"","")&amp;"␟"&amp;IFERROR(INDEX(PASTE_ALL,$DF130,54)&amp;"","")&amp;"␟"&amp;IFERROR(INDEX(PASTE_ALL,$DF130,55)&amp;"","")&amp;"␟"&amp;IFERROR(INDEX(PASTE_ALL,$DF130,56)&amp;"","")&amp;"␟"&amp;IFERROR(INDEX(PASTE_ALL,$DF130,57)&amp;"","")&amp;"␟"&amp;IFERROR(INDEX(PASTE_ALL,$DF130,58)&amp;"","")&amp;"␟"&amp;IFERROR(INDEX(PASTE_ALL,$DF130,59)&amp;"","")&amp;"␟"&amp;IFERROR(INDEX(PASTE_ALL,$DF130,60)&amp;"","")," "," "),CHAR(9)," "),CHAR(10)," "),CHAR(13)," "))," ␟","␟"),"␟ ","␟"),"#"&amp;$DE130),"")</f>
        <v/>
      </c>
      <c r="DJ130">
        <f>IF($DI130="",0,IF(SUMPRODUCT(--EXACT($DI$4:DI129,$DI130))&gt;0,1,0))</f>
        <v/>
      </c>
      <c r="DK130">
        <f>IF(AND($DI130&lt;&gt;"",$DJ130=0),1,0)</f>
        <v/>
      </c>
      <c r="DL130">
        <f>DL129+$DK130</f>
        <v/>
      </c>
      <c r="DM130">
        <f>IF(AND($DK130=1,$DL130&lt;=600),1,0)</f>
        <v/>
      </c>
      <c r="DN130">
        <f>IF($DM130=0,"",IF($L$6=0,"",IFERROR(IF(ISNUMBER(INDEX(PASTE_ALL,$DF130,$L$6)),INDEX(PASTE_ALL,$DF130,$L$6),TRIM(SUBSTITUTE(SUBSTITUTE(SUBSTITUTE(SUBSTITUTE(INDEX(PASTE_ALL,$DF130,$L$6)," "," "),CHAR(9)," "),CHAR(10)," "),CHAR(13)," "))),"")))</f>
        <v/>
      </c>
      <c r="DO130">
        <f>IF($DM130=0,"",IF($L$7=0,"",IFERROR(IF(ISNUMBER(INDEX(PASTE_ALL,$DF130,$L$7)),INDEX(PASTE_ALL,$DF130,$L$7),TRIM(SUBSTITUTE(SUBSTITUTE(SUBSTITUTE(SUBSTITUTE(INDEX(PASTE_ALL,$DF130,$L$7)," "," "),CHAR(9)," "),CHAR(10)," "),CHAR(13)," "))),"")))</f>
        <v/>
      </c>
      <c r="DP130">
        <f>IF($DM130=0,"",IF($L$8=0,"",IFERROR(IF(ISNUMBER(INDEX(PASTE_ALL,$DF130,$L$8)),INDEX(PASTE_ALL,$DF130,$L$8),TRIM(SUBSTITUTE(SUBSTITUTE(SUBSTITUTE(SUBSTITUTE(INDEX(PASTE_ALL,$DF130,$L$8)," "," "),CHAR(9)," "),CHAR(10)," "),CHAR(13)," "))),"")))</f>
        <v/>
      </c>
      <c r="DQ130">
        <f>IF($DM130=0,"",IF($L$9=0,"",IFERROR(IF(ISNUMBER(INDEX(PASTE_ALL,$DF130,$L$9)),INDEX(PASTE_ALL,$DF130,$L$9),TRIM(SUBSTITUTE(SUBSTITUTE(SUBSTITUTE(SUBSTITUTE(INDEX(PASTE_ALL,$DF130,$L$9)," "," "),CHAR(9)," "),CHAR(10)," "),CHAR(13)," "))),"")))</f>
        <v/>
      </c>
      <c r="DR130">
        <f>IF($DM130=0,"",IF($L$10=0,"",IFERROR(IF(ISNUMBER(INDEX(PASTE_ALL,$DF130,$L$10)),INDEX(PASTE_ALL,$DF130,$L$10),TRIM(SUBSTITUTE(SUBSTITUTE(SUBSTITUTE(SUBSTITUTE(INDEX(PASTE_ALL,$DF130,$L$10)," "," "),CHAR(9)," "),CHAR(10)," "),CHAR(13)," "))),"")))</f>
        <v/>
      </c>
      <c r="DS130">
        <f>IF($DM130=0,"",IF($L$11=0,"",IFERROR(IF(ISNUMBER(INDEX(PASTE_ALL,$DF130,$L$11)),INDEX(PASTE_ALL,$DF130,$L$11),TRIM(SUBSTITUTE(SUBSTITUTE(SUBSTITUTE(SUBSTITUTE(INDEX(PASTE_ALL,$DF130,$L$11)," "," "),CHAR(9)," "),CHAR(10)," "),CHAR(13)," "))),"")))</f>
        <v/>
      </c>
      <c r="DT130">
        <f>IF($DM130=0,"",IF($L$12=0,"",IFERROR(IF(ISNUMBER(INDEX(PASTE_ALL,$DF130,$L$12)),INDEX(PASTE_ALL,$DF130,$L$12),TRIM(SUBSTITUTE(SUBSTITUTE(SUBSTITUTE(SUBSTITUTE(INDEX(PASTE_ALL,$DF130,$L$12)," "," "),CHAR(9)," "),CHAR(10)," "),CHAR(13)," "))),"")))</f>
        <v/>
      </c>
      <c r="DU130">
        <f>IF($DM130=0,"",IF($L$13=0,"",IFERROR(IF(ISNUMBER(INDEX(PASTE_ALL,$DF130,$L$13)),INDEX(PASTE_ALL,$DF130,$L$13),TRIM(SUBSTITUTE(SUBSTITUTE(SUBSTITUTE(SUBSTITUTE(INDEX(PASTE_ALL,$DF130,$L$13)," "," "),CHAR(9)," "),CHAR(10)," "),CHAR(13)," "))),"")))</f>
        <v/>
      </c>
      <c r="DV130">
        <f>IF($DM130=0,"",IF($L$14=0,"",IFERROR(IF(ISNUMBER(INDEX(PASTE_ALL,$DF130,$L$14)),INDEX(PASTE_ALL,$DF130,$L$14),TRIM(SUBSTITUTE(SUBSTITUTE(SUBSTITUTE(SUBSTITUTE(INDEX(PASTE_ALL,$DF130,$L$14)," "," "),CHAR(9)," "),CHAR(10)," "),CHAR(13)," "))),"")))</f>
        <v/>
      </c>
      <c r="DW130">
        <f>IF($DM130=0,"",IF($L$15=0,"",IFERROR(IF(ISNUMBER(INDEX(PASTE_ALL,$DF130,$L$15)),INDEX(PASTE_ALL,$DF130,$L$15),IF(SUMPRODUCT(--ISNUMBER(FIND({"A","B","C","D","E","F","G","H","I","J","K","L","M","N","O","P","Q","R","S","T","U","V","W","X","Y","Z","0","1","2","3","4","5","6","7","8","9"},UPPER(TRIM(SUBSTITUTE(SUBSTITUTE(SUBSTITUTE(SUBSTITUTE(INDEX(PASTE_ALL,$DF130,$L$15)," "," "),CHAR(9)," "),CHAR(10)," "),CHAR(13)," "))))))&gt;0,TRIM(SUBSTITUTE(SUBSTITUTE(SUBSTITUTE(SUBSTITUTE(INDEX(PASTE_ALL,$DF130,$L$15)," "," "),CHAR(9)," "),CHAR(10)," "),CHAR(13)," ")),"")),"")))</f>
        <v/>
      </c>
      <c r="DX130">
        <f>IF($DM130=0,"",IF($L$16=0,"",IFERROR(IF(ISNUMBER(INDEX(PASTE_ALL,$DF130,$L$16)),INDEX(PASTE_ALL,$DF130,$L$16),SUBSTITUTE(SUBSTITUTE(TRIM(SUBSTITUTE(SUBSTITUTE(SUBSTITUTE(SUBSTITUTE(INDEX(PASTE_ALL,$DF130,$L$16)," "," "),CHAR(9)," "),CHAR(10)," "),CHAR(13)," ")),",",""),"%","")),"")))</f>
        <v/>
      </c>
      <c r="DY130">
        <f>IF($DM130=0,"",IFERROR(IF(ISNUMBER($DX130),$DX130,IF($DX130="","",IF(TRIM($DX130)="",0,IF(AND(AND(SUBSTITUTE(SUBSTITUTE(SUBSTITUTE(SUBSTITUTE(SUBSTITUTE(SUBSTITUTE(SUBSTITUTE(SUBSTITUTE(SUBSTITUTE(SUBSTITUTE(SUBSTITUTE(SUBSTITUTE(SUBSTITUTE(SUBSTITUTE(UPPER(TRIM($DX130)),"0",""),"1",""),"2",""),"3",""),"4",""),"5",""),"6",""),"7",""),"8",""),"9",""),".",""),"+",""),"-",""),"E","")="",LEN(SUBSTITUTE(SUBSTITUTE(MID(UPPER(TRIM($DX130)),1+OR(LEFT(UPPER(TRIM($DX130)),1)="+",LEFT(UPPER(TRIM($DX130)),1)="-"),999),"E+","E"),"E-","E"))=LEN(SUBSTITUTE(SUBSTITUTE(SUBSTITUTE(SUBSTITUTE(MID(UPPER(TRIM($DX130)),1+OR(LEFT(UPPER(TRIM($DX130)),1)="+",LEFT(UPPER(TRIM($DX130)),1)="-"),999),"E+","E"),"E-","E"),"+",""),"-","")),LEN(UPPER(TRIM($DX130)))-LEN(SUBSTITUTE(UPPER(TRIM($DX130)),"E",""))&lt;2,LEN(UPPER(TRIM($DX130)))-LEN(SUBSTITUTE(UPPER(TRIM($DX130)),".",""))&lt;2,IFERROR(FIND(".",UPPER(TRIM($DX130))),0)&lt;IFERROR(FIND("E",UPPER(TRIM($DX130))),999)),ISNUMBER(VALUE(TRIM($DX130)))),VALUE(TRIM($DX130)),"")))),""))</f>
        <v/>
      </c>
      <c r="DZ130">
        <f>IF($DM130=0,"",IF($L$17=0,"",IFERROR(IF(ISNUMBER(INDEX(PASTE_ALL,$DF130,$L$17)),INDEX(PASTE_ALL,$DF130,$L$17),SUBSTITUTE(SUBSTITUTE(TRIM(SUBSTITUTE(SUBSTITUTE(SUBSTITUTE(SUBSTITUTE(INDEX(PASTE_ALL,$DF130,$L$17)," "," "),CHAR(9)," "),CHAR(10)," "),CHAR(13)," ")),",",""),"%","")),"")))</f>
        <v/>
      </c>
      <c r="EA130">
        <f>IF($DM130=0,"",IFERROR(IF(ISNUMBER($DZ130),$DZ130,IF($DZ130="","",IF(TRIM($DZ130)="",0,IF(AND(AND(SUBSTITUTE(SUBSTITUTE(SUBSTITUTE(SUBSTITUTE(SUBSTITUTE(SUBSTITUTE(SUBSTITUTE(SUBSTITUTE(SUBSTITUTE(SUBSTITUTE(SUBSTITUTE(SUBSTITUTE(SUBSTITUTE(SUBSTITUTE(UPPER(TRIM($DZ130)),"0",""),"1",""),"2",""),"3",""),"4",""),"5",""),"6",""),"7",""),"8",""),"9",""),".",""),"+",""),"-",""),"E","")="",LEN(SUBSTITUTE(SUBSTITUTE(MID(UPPER(TRIM($DZ130)),1+OR(LEFT(UPPER(TRIM($DZ130)),1)="+",LEFT(UPPER(TRIM($DZ130)),1)="-"),999),"E+","E"),"E-","E"))=LEN(SUBSTITUTE(SUBSTITUTE(SUBSTITUTE(SUBSTITUTE(MID(UPPER(TRIM($DZ130)),1+OR(LEFT(UPPER(TRIM($DZ130)),1)="+",LEFT(UPPER(TRIM($DZ130)),1)="-"),999),"E+","E"),"E-","E"),"+",""),"-","")),LEN(UPPER(TRIM($DZ130)))-LEN(SUBSTITUTE(UPPER(TRIM($DZ130)),"E",""))&lt;2,LEN(UPPER(TRIM($DZ130)))-LEN(SUBSTITUTE(UPPER(TRIM($DZ130)),".",""))&lt;2,IFERROR(FIND(".",UPPER(TRIM($DZ130))),0)&lt;IFERROR(FIND("E",UPPER(TRIM($DZ130))),999)),ISNUMBER(VALUE(TRIM($DZ130)))),VALUE(TRIM($DZ130)),"")))),""))</f>
        <v/>
      </c>
      <c r="EB130">
        <f>IF($DM130=0,"",IF($L$18=0,"",IFERROR(IF(UPPER(TRIM(SUBSTITUTE(SUBSTITUTE(SUBSTITUTE(SUBSTITUTE(INDEX(PASTE_ALL,$DF130,$L$18)," "," "),CHAR(9)," "),CHAR(10)," "),CHAR(13)," ")))="READY","Ready",IF(UPPER(TRIM(SUBSTITUTE(SUBSTITUTE(SUBSTITUTE(SUBSTITUTE(INDEX(PASTE_ALL,$DF130,$L$18)," "," "),CHAR(9)," "),CHAR(10)," "),CHAR(13)," ")))="PM","PM",IF(OR(UPPER(TRIM(SUBSTITUTE(SUBSTITUTE(SUBSTITUTE(SUBSTITUTE(INDEX(PASTE_ALL,$DF130,$L$18)," "," "),CHAR(9)," "),CHAR(10)," "),CHAR(13)," ")))="OT",UPPER(TRIM(SUBSTITUTE(SUBSTITUTE(SUBSTITUTE(SUBSTITUTE(INDEX(PASTE_ALL,$DF130,$L$18)," "," "),CHAR(9)," "),CHAR(10)," "),CHAR(13)," ")))="OVERTIME",UPPER(TRIM(SUBSTITUTE(SUBSTITUTE(SUBSTITUTE(SUBSTITUTE(INDEX(PASTE_ALL,$DF130,$L$18)," "," "),CHAR(9)," "),CHAR(10)," "),CHAR(13)," ")))="TRIAL"),"OT",TRIM(SUBSTITUTE(SUBSTITUTE(SUBSTITUTE(SUBSTITUTE(INDEX(PASTE_ALL,$DF130,$L$18)," "," "),CHAR(9)," "),CHAR(10)," "),CHAR(13)," "))))),"")))</f>
        <v/>
      </c>
      <c r="EC130">
        <f>IF($DM130=0,"",IF($L$19=0,"",IFERROR(IF(ISNUMBER(INDEX(PASTE_ALL,$DF130,$L$19)),INDEX(PASTE_ALL,$DF130,$L$19),TRIM(SUBSTITUTE(SUBSTITUTE(SUBSTITUTE(SUBSTITUTE(INDEX(PASTE_ALL,$DF130,$L$19)," "," "),CHAR(9)," "),CHAR(10)," "),CHAR(13)," "))),"")))</f>
        <v/>
      </c>
      <c r="ED130">
        <f>IF($DM130=0,"",MATCH(1,INDEX(EXACT($DH$5:DH130,$DH130)*$DM$5:DM130,0),0))</f>
        <v/>
      </c>
      <c r="EE130">
        <f>IF($DM130=0,0,IF($ED130=$DE130,1,0))</f>
        <v/>
      </c>
      <c r="EF130">
        <f>EF129+$EE130</f>
        <v/>
      </c>
      <c r="EG130">
        <f>IF($DM130=0,"",INDEX($EF$5:$EF$1003,$ED130))</f>
        <v/>
      </c>
      <c r="EH130">
        <f>IF($DM130=0,"",IF($DO130&lt;&gt;"","",IFERROR(LOOKUP(2,1/(($EG$4:EG129=$EG130)*($DO$4:DO129&lt;&gt;"")),$DO$4:DO129),"")))</f>
        <v/>
      </c>
      <c r="EI130">
        <f>IF($DM130=0,"",IF($DO130&lt;&gt;"",$DO130,$EH130))</f>
        <v/>
      </c>
      <c r="EJ130">
        <f>IF($DM130=0,"",IF($EI130="",0,IF(OR(ISNUMBER($EI130),AND(AND(SUBSTITUTE(SUBSTITUTE(SUBSTITUTE(SUBSTITUTE(SUBSTITUTE(SUBSTITUTE(SUBSTITUTE(SUBSTITUTE(SUBSTITUTE(SUBSTITUTE(SUBSTITUTE(SUBSTITUTE(SUBSTITUTE(SUBSTITUTE(UPPER($EI130),"0",""),"1",""),"2",""),"3",""),"4",""),"5",""),"6",""),"7",""),"8",""),"9",""),".",""),"+",""),"-",""),"E","")="",LEN(SUBSTITUTE(SUBSTITUTE(MID(UPPER($EI130),1+OR(LEFT(UPPER($EI130),1)="+",LEFT(UPPER($EI130),1)="-"),999),"E+","E"),"E-","E"))=LEN(SUBSTITUTE(SUBSTITUTE(SUBSTITUTE(SUBSTITUTE(MID(UPPER($EI130),1+OR(LEFT(UPPER($EI130),1)="+",LEFT(UPPER($EI130),1)="-"),999),"E+","E"),"E-","E"),"+",""),"-","")),LEN(UPPER($EI130))-LEN(SUBSTITUTE(UPPER($EI130),"E",""))&lt;2,LEN(UPPER($EI130))-LEN(SUBSTITUTE(UPPER($EI130),".",""))&lt;2,IFERROR(FIND(".",UPPER($EI130)),0)&lt;IFERROR(FIND("E",UPPER($EI130)),999)),ISNUMBER(VALUE($EI130)))),1,2)))</f>
        <v/>
      </c>
      <c r="EK130">
        <f>IF($DM130=0,"",IF($EJ130=1,IF(ISNUMBER($EI130),$EI130,VALUE($EI130)),IF($EJ130=2,$DE130,0)))</f>
        <v/>
      </c>
      <c r="EL130">
        <f>IF($DM130=0,"",COUNTIF($EG$5:$EG$1003,"&lt;"&amp;$EG130)+SUMPRODUCT(($EG$5:$EG$1003=$EG130)*(($EJ$5:$EJ$1003&lt;$EJ130)+($EJ$5:$EJ$1003=$EJ130)*(($EK$5:$EK$1003&lt;$EK130)+($EK$5:$EK$1003=$EK130)*($DE$5:$DE$1003&lt;$DE130))))+1)</f>
        <v/>
      </c>
      <c r="EM130">
        <f>IF($DM130=0,"",$EL130+$EG130-1)</f>
        <v/>
      </c>
      <c r="EN130">
        <f>IF($DM130=0,0,IFERROR(MATCH(1,INDEX(--(TRIM(SUBSTITUTE(SUBSTITUTE(SUBSTITUTE(SUBSTITUTE(LINES_NAME&amp;""," "," "),CHAR(9)," "),CHAR(10)," "),CHAR(13)," "))=$DH130),0),0),0))</f>
        <v/>
      </c>
      <c r="EO130">
        <f>IF($EN130=0,0,IF(OR(UPPER(TRIM(INDEX(LINES_SCHEDULED,$EN130)&amp;""))="YES",UPPER(TRIM(INDEX(LINES_SCHEDULED,$EN130)&amp;""))="Y",UPPER(TRIM(INDEX(LINES_SCHEDULED,$EN130)&amp;""))="X"),1,0))</f>
        <v/>
      </c>
      <c r="EP130">
        <f>IF($DM130=0,"",IF(COUNTIFS($EG$5:$EG$1003,$EG130,$EB$5:$EB$1003,"Ready")&gt;0,"READY",IF(COUNTIFS($EG$5:$EG$1003,$EG130,$EB$5:$EB$1003,"PM")&gt;0,"PM",IF(COUNTIFS($EG$5:$EG$1003,$EG130,$EB$5:$EB$1003,"OT")&gt;0,"OT",""))))</f>
        <v/>
      </c>
      <c r="EQ130">
        <f>IF($EN130=0,"",UPPER(TRIM(INDEX(LINES_STATUS,$EN130)&amp;"")))</f>
        <v/>
      </c>
      <c r="ER130">
        <f>IF($DM130=0,"",IF(OR($EQ130="READY",$EQ130="PM",$EQ130="OT"),$EQ130,$EP130))</f>
        <v/>
      </c>
      <c r="ES130">
        <f>IF($DM130=0,"",IF(AND($DV130&lt;&gt;"",UPPER($DV130)&lt;&gt;"N"),"allergen",IF(ISNUMBER(SEARCH("oil",$DQ130)),"oil",IF(OR(EXACT($DS130,"A662"),EXACT($DS130,"A624")),"bulk",""))))</f>
        <v/>
      </c>
      <c r="ET130">
        <f>IF($DM130=0,"",IF(OR($EA130="",$EA130=0),"",$EA130/100))</f>
        <v/>
      </c>
      <c r="EU130">
        <f>IF(OR($ET130="",$DY130=""),"",INT($DY130*(1-$ET130)+0.5))</f>
        <v/>
      </c>
      <c r="EW130" t="n">
        <v>126</v>
      </c>
      <c r="EX130">
        <f>IFERROR(MATCH($EW130,$EM$5:$EM$1003,0),0)</f>
        <v/>
      </c>
      <c r="EY130">
        <f>IF($EW130&gt;$B$12,"",IF($EX130&gt;0,"row","spacer"))</f>
        <v/>
      </c>
      <c r="EZ130">
        <f>IF(AND($EY130="row",$EY129&lt;&gt;"row"),1,0)</f>
        <v/>
      </c>
      <c r="FA130">
        <f>IF(AND($EY130="row",$EY131&lt;&gt;"row"),1,0)</f>
        <v/>
      </c>
      <c r="FB130">
        <f>IF($EZ130=1,IFERROR(IF(ISNUMBER(INDEX(PASTE_ALL,INDEX($DF$5:$DF$1003,$EX130),$B$37)),INDEX(PASTE_ALL,INDEX($DF$5:$DF$1003,$EX130),$B$37),INDEX($DH$5:$DH$1003,$EX130)),INDEX($DH$5:$DH$1003,$EX130)),"")</f>
        <v/>
      </c>
      <c r="FC130">
        <f>IF($EY130="row",INDEX($ER$5:$ER$1003,$EX130),"")</f>
        <v/>
      </c>
      <c r="FD130">
        <f>IF($EY130="row",INDEX($DN$5:$DN$1003,$EX130),"")</f>
        <v/>
      </c>
      <c r="FE130">
        <f>IF($EY130="row",INDEX($DO$5:$DO$1003,$EX130),"")</f>
        <v/>
      </c>
      <c r="FF130">
        <f>IF($EY130="row",INDEX($DP$5:$DP$1003,$EX130),"")</f>
        <v/>
      </c>
      <c r="FG130">
        <f>IF($EY130="row",INDEX($DQ$5:$DQ$1003,$EX130),"")</f>
        <v/>
      </c>
      <c r="FH130">
        <f>IF($EY130="row",INDEX($DR$5:$DR$1003,$EX130),"")</f>
        <v/>
      </c>
      <c r="FI130">
        <f>IF($EY130="row",INDEX($DS$5:$DS$1003,$EX130),"")</f>
        <v/>
      </c>
      <c r="FJ130">
        <f>IF($EY130="row",INDEX($DT$5:$DT$1003,$EX130),"")</f>
        <v/>
      </c>
      <c r="FK130">
        <f>IF($EY130="row",INDEX($DU$5:$DU$1003,$EX130),"")</f>
        <v/>
      </c>
      <c r="FL130">
        <f>IF($EY130="row",INDEX($DV$5:$DV$1003,$EX130),"")</f>
        <v/>
      </c>
      <c r="FM130">
        <f>IF($EY130="row",INDEX($DW$5:$DW$1003,$EX130),"")</f>
        <v/>
      </c>
      <c r="FN130">
        <f>IF($EY130="row",INDEX($DY$5:$DY$1003,$EX130),"")</f>
        <v/>
      </c>
      <c r="FO130">
        <f>IF($EY130="row",INDEX($EA$5:$EA$1003,$EX130),"")</f>
        <v/>
      </c>
      <c r="FP130">
        <f>IF($EY130="row",INDEX($EC$5:$EC$1003,$EX130),"")</f>
        <v/>
      </c>
      <c r="FQ130">
        <f>IF($EY130="row",INDEX($ET$5:$ET$1003,$EX130),"")</f>
        <v/>
      </c>
      <c r="FR130">
        <f>IF($EY130="row",INDEX($EU$5:$EU$1003,$EX130),"")</f>
        <v/>
      </c>
      <c r="FS130">
        <f>IF(AND($EY130="row",$EY129="row"),IF(OR(INDEX($DT$5:$DT$1003,$EX129)="",INDEX($DT$5:$DT$1003,$EX130)=""),"",IF(NOT(EXACT(INDEX($DT$5:$DT$1003,$EX129),INDEX($DT$5:$DT$1003,$EX130))),"S4",IF(NOT(EXACT(INDEX($DS$5:$DS$1003,$EX129),INDEX($DS$5:$DS$1003,$EX130))),"S3",IF(NOT(EXACT(INDEX($DR$5:$DR$1003,$EX129),INDEX($DR$5:$DR$1003,$EX130))),"S1 Count Change","S1")))),"")</f>
        <v/>
      </c>
      <c r="FT130">
        <f>IF($EY130="row",INDEX($ES$5:$ES$1003,$EX130),"")</f>
        <v/>
      </c>
      <c r="FU130">
        <f>IF($EY130="row",INDEX($EO$5:$EO$1003,$EX130),0)</f>
        <v/>
      </c>
      <c r="FV130">
        <f>IF($FS130="S1 Count Change",1,0)</f>
        <v/>
      </c>
    </row>
    <row r="131">
      <c r="Y131">
        <f>IF(Y41="",0,IFERROR(INDEX($W$5:$W$86,MATCH(Y41,$V$5:$V$86,0)),0))</f>
        <v/>
      </c>
      <c r="Z131">
        <f>IF(Z41="",0,IFERROR(INDEX($W$5:$W$86,MATCH(Z41,$V$5:$V$86,0)),0))</f>
        <v/>
      </c>
      <c r="AA131">
        <f>IF(AA41="",0,IFERROR(INDEX($W$5:$W$86,MATCH(AA41,$V$5:$V$86,0)),0))</f>
        <v/>
      </c>
      <c r="AB131">
        <f>IF(AB41="",0,IFERROR(INDEX($W$5:$W$86,MATCH(AB41,$V$5:$V$86,0)),0))</f>
        <v/>
      </c>
      <c r="AC131">
        <f>IF(AC41="",0,IFERROR(INDEX($W$5:$W$86,MATCH(AC41,$V$5:$V$86,0)),0))</f>
        <v/>
      </c>
      <c r="AD131">
        <f>IF(AD41="",0,IFERROR(INDEX($W$5:$W$86,MATCH(AD41,$V$5:$V$86,0)),0))</f>
        <v/>
      </c>
      <c r="AE131">
        <f>IF(AE41="",0,IFERROR(INDEX($W$5:$W$86,MATCH(AE41,$V$5:$V$86,0)),0))</f>
        <v/>
      </c>
      <c r="AF131">
        <f>IF(AF41="",0,IFERROR(INDEX($W$5:$W$86,MATCH(AF41,$V$5:$V$86,0)),0))</f>
        <v/>
      </c>
      <c r="AG131">
        <f>IF(AG41="",0,IFERROR(INDEX($W$5:$W$86,MATCH(AG41,$V$5:$V$86,0)),0))</f>
        <v/>
      </c>
      <c r="AH131">
        <f>IF(AH41="",0,IFERROR(INDEX($W$5:$W$86,MATCH(AH41,$V$5:$V$86,0)),0))</f>
        <v/>
      </c>
      <c r="AI131">
        <f>IF(AI41="",0,IFERROR(INDEX($W$5:$W$86,MATCH(AI41,$V$5:$V$86,0)),0))</f>
        <v/>
      </c>
      <c r="AJ131">
        <f>IF(AJ41="",0,IFERROR(INDEX($W$5:$W$86,MATCH(AJ41,$V$5:$V$86,0)),0))</f>
        <v/>
      </c>
      <c r="AK131">
        <f>IF(AK41="",0,IFERROR(INDEX($W$5:$W$86,MATCH(AK41,$V$5:$V$86,0)),0))</f>
        <v/>
      </c>
      <c r="AL131">
        <f>IF(AL41="",0,IFERROR(INDEX($W$5:$W$86,MATCH(AL41,$V$5:$V$86,0)),0))</f>
        <v/>
      </c>
      <c r="AM131">
        <f>IF(AM41="",0,IFERROR(INDEX($W$5:$W$86,MATCH(AM41,$V$5:$V$86,0)),0))</f>
        <v/>
      </c>
      <c r="AN131">
        <f>IF(AN41="",0,IFERROR(INDEX($W$5:$W$86,MATCH(AN41,$V$5:$V$86,0)),0))</f>
        <v/>
      </c>
      <c r="AO131">
        <f>IF(AO41="",0,IFERROR(INDEX($W$5:$W$86,MATCH(AO41,$V$5:$V$86,0)),0))</f>
        <v/>
      </c>
      <c r="AP131">
        <f>IF(AP41="",0,IFERROR(INDEX($W$5:$W$86,MATCH(AP41,$V$5:$V$86,0)),0))</f>
        <v/>
      </c>
      <c r="AQ131">
        <f>IF(AQ41="",0,IFERROR(INDEX($W$5:$W$86,MATCH(AQ41,$V$5:$V$86,0)),0))</f>
        <v/>
      </c>
      <c r="AR131">
        <f>IF(AR41="",0,IFERROR(INDEX($W$5:$W$86,MATCH(AR41,$V$5:$V$86,0)),0))</f>
        <v/>
      </c>
      <c r="AS131">
        <f>IF(AS41="",0,IFERROR(INDEX($W$5:$W$86,MATCH(AS41,$V$5:$V$86,0)),0))</f>
        <v/>
      </c>
      <c r="AT131">
        <f>IF(AT41="",0,IFERROR(INDEX($W$5:$W$86,MATCH(AT41,$V$5:$V$86,0)),0))</f>
        <v/>
      </c>
      <c r="AU131">
        <f>IF(AU41="",0,IFERROR(INDEX($W$5:$W$86,MATCH(AU41,$V$5:$V$86,0)),0))</f>
        <v/>
      </c>
      <c r="AV131">
        <f>IF(AV41="",0,IFERROR(INDEX($W$5:$W$86,MATCH(AV41,$V$5:$V$86,0)),0))</f>
        <v/>
      </c>
      <c r="AW131">
        <f>IF(AW41="",0,IFERROR(INDEX($W$5:$W$86,MATCH(AW41,$V$5:$V$86,0)),0))</f>
        <v/>
      </c>
      <c r="AX131">
        <f>IF(AX41="",0,IFERROR(INDEX($W$5:$W$86,MATCH(AX41,$V$5:$V$86,0)),0))</f>
        <v/>
      </c>
      <c r="AY131">
        <f>IF(AY41="",0,IFERROR(INDEX($W$5:$W$86,MATCH(AY41,$V$5:$V$86,0)),0))</f>
        <v/>
      </c>
      <c r="AZ131">
        <f>IF(AZ41="",0,IFERROR(INDEX($W$5:$W$86,MATCH(AZ41,$V$5:$V$86,0)),0))</f>
        <v/>
      </c>
      <c r="BA131">
        <f>IF(BA41="",0,IFERROR(INDEX($W$5:$W$86,MATCH(BA41,$V$5:$V$86,0)),0))</f>
        <v/>
      </c>
      <c r="BB131">
        <f>IF(BB41="",0,IFERROR(INDEX($W$5:$W$86,MATCH(BB41,$V$5:$V$86,0)),0))</f>
        <v/>
      </c>
      <c r="BC131">
        <f>IF(BC41="",0,IFERROR(INDEX($W$5:$W$86,MATCH(BC41,$V$5:$V$86,0)),0))</f>
        <v/>
      </c>
      <c r="BD131">
        <f>IF(BD41="",0,IFERROR(INDEX($W$5:$W$86,MATCH(BD41,$V$5:$V$86,0)),0))</f>
        <v/>
      </c>
      <c r="BE131">
        <f>IF(BE41="",0,IFERROR(INDEX($W$5:$W$86,MATCH(BE41,$V$5:$V$86,0)),0))</f>
        <v/>
      </c>
      <c r="BF131">
        <f>IF(BF41="",0,IFERROR(INDEX($W$5:$W$86,MATCH(BF41,$V$5:$V$86,0)),0))</f>
        <v/>
      </c>
      <c r="BG131">
        <f>IF(BG41="",0,IFERROR(INDEX($W$5:$W$86,MATCH(BG41,$V$5:$V$86,0)),0))</f>
        <v/>
      </c>
      <c r="BH131">
        <f>IF(BH41="",0,IFERROR(INDEX($W$5:$W$86,MATCH(BH41,$V$5:$V$86,0)),0))</f>
        <v/>
      </c>
      <c r="BI131">
        <f>IF(BI41="",0,IFERROR(INDEX($W$5:$W$86,MATCH(BI41,$V$5:$V$86,0)),0))</f>
        <v/>
      </c>
      <c r="BJ131">
        <f>IF(BJ41="",0,IFERROR(INDEX($W$5:$W$86,MATCH(BJ41,$V$5:$V$86,0)),0))</f>
        <v/>
      </c>
      <c r="BK131">
        <f>IF(BK41="",0,IFERROR(INDEX($W$5:$W$86,MATCH(BK41,$V$5:$V$86,0)),0))</f>
        <v/>
      </c>
      <c r="BL131">
        <f>IF(BL41="",0,IFERROR(INDEX($W$5:$W$86,MATCH(BL41,$V$5:$V$86,0)),0))</f>
        <v/>
      </c>
      <c r="BM131">
        <f>IF(BM41="",0,IFERROR(INDEX($W$5:$W$86,MATCH(BM41,$V$5:$V$86,0)),0))</f>
        <v/>
      </c>
      <c r="BN131">
        <f>IF(BN41="",0,IFERROR(INDEX($W$5:$W$86,MATCH(BN41,$V$5:$V$86,0)),0))</f>
        <v/>
      </c>
      <c r="BO131">
        <f>IF(BO41="",0,IFERROR(INDEX($W$5:$W$86,MATCH(BO41,$V$5:$V$86,0)),0))</f>
        <v/>
      </c>
      <c r="BP131">
        <f>IF(BP41="",0,IFERROR(INDEX($W$5:$W$86,MATCH(BP41,$V$5:$V$86,0)),0))</f>
        <v/>
      </c>
      <c r="BQ131">
        <f>IF(BQ41="",0,IFERROR(INDEX($W$5:$W$86,MATCH(BQ41,$V$5:$V$86,0)),0))</f>
        <v/>
      </c>
      <c r="BR131">
        <f>IF(BR41="",0,IFERROR(INDEX($W$5:$W$86,MATCH(BR41,$V$5:$V$86,0)),0))</f>
        <v/>
      </c>
      <c r="BS131">
        <f>IF(BS41="",0,IFERROR(INDEX($W$5:$W$86,MATCH(BS41,$V$5:$V$86,0)),0))</f>
        <v/>
      </c>
      <c r="BT131">
        <f>IF(BT41="",0,IFERROR(INDEX($W$5:$W$86,MATCH(BT41,$V$5:$V$86,0)),0))</f>
        <v/>
      </c>
      <c r="BU131">
        <f>IF(BU41="",0,IFERROR(INDEX($W$5:$W$86,MATCH(BU41,$V$5:$V$86,0)),0))</f>
        <v/>
      </c>
      <c r="BV131">
        <f>IF(BV41="",0,IFERROR(INDEX($W$5:$W$86,MATCH(BV41,$V$5:$V$86,0)),0))</f>
        <v/>
      </c>
      <c r="BW131">
        <f>IF(BW41="",0,IFERROR(INDEX($W$5:$W$86,MATCH(BW41,$V$5:$V$86,0)),0))</f>
        <v/>
      </c>
      <c r="BX131">
        <f>IF(BX41="",0,IFERROR(INDEX($W$5:$W$86,MATCH(BX41,$V$5:$V$86,0)),0))</f>
        <v/>
      </c>
      <c r="BY131">
        <f>IF(BY41="",0,IFERROR(INDEX($W$5:$W$86,MATCH(BY41,$V$5:$V$86,0)),0))</f>
        <v/>
      </c>
      <c r="BZ131">
        <f>IF(BZ41="",0,IFERROR(INDEX($W$5:$W$86,MATCH(BZ41,$V$5:$V$86,0)),0))</f>
        <v/>
      </c>
      <c r="CA131">
        <f>IF(CA41="",0,IFERROR(INDEX($W$5:$W$86,MATCH(CA41,$V$5:$V$86,0)),0))</f>
        <v/>
      </c>
      <c r="CB131">
        <f>IF(CB41="",0,IFERROR(INDEX($W$5:$W$86,MATCH(CB41,$V$5:$V$86,0)),0))</f>
        <v/>
      </c>
      <c r="CC131">
        <f>IF(CC41="",0,IFERROR(INDEX($W$5:$W$86,MATCH(CC41,$V$5:$V$86,0)),0))</f>
        <v/>
      </c>
      <c r="CD131">
        <f>IF(CD41="",0,IFERROR(INDEX($W$5:$W$86,MATCH(CD41,$V$5:$V$86,0)),0))</f>
        <v/>
      </c>
      <c r="CE131">
        <f>IF(CE41="",0,IFERROR(INDEX($W$5:$W$86,MATCH(CE41,$V$5:$V$86,0)),0))</f>
        <v/>
      </c>
      <c r="CF131">
        <f>IF(CF41="",0,IFERROR(INDEX($W$5:$W$86,MATCH(CF41,$V$5:$V$86,0)),0))</f>
        <v/>
      </c>
      <c r="DA131" t="n">
        <v>127</v>
      </c>
      <c r="DB131">
        <f>IF($B$37=0,"",IFERROR(TRIM(SUBSTITUTE(SUBSTITUTE(SUBSTITUTE(SUBSTITUTE(INDEX(PASTE_ALL,127,$B$37)," "," "),CHAR(9)," "),CHAR(10)," "),CHAR(13)," ")),""))</f>
        <v/>
      </c>
      <c r="DC131">
        <f>IF(AND(127&gt;HEADER_ROW,UPPER(DB131)="LEGEND"),1,0)</f>
        <v/>
      </c>
      <c r="DE131" t="n">
        <v>127</v>
      </c>
      <c r="DF131">
        <f>HEADER_ROW+$DE131</f>
        <v/>
      </c>
      <c r="DG131">
        <f>IF(AND($DF131&lt;=1000,$DF131&lt;$B$8),1,0)</f>
        <v/>
      </c>
      <c r="DH131">
        <f>IF($DG131=1,IFERROR(INDEX($DB$5:$DB$1004,$DF131),""),"")</f>
        <v/>
      </c>
      <c r="DI131">
        <f>IF(AND($DG131=1,$DH131&lt;&gt;""),IFERROR(SUBSTITUTE(SUBSTITUTE(TRIM(SUBSTITUTE(SUBSTITUTE(SUBSTITUTE(SUBSTITUTE(IFERROR(INDEX(PASTE_ALL,$DF131,1)&amp;"","")&amp;"␟"&amp;IFERROR(INDEX(PASTE_ALL,$DF131,2)&amp;"","")&amp;"␟"&amp;IFERROR(INDEX(PASTE_ALL,$DF131,3)&amp;"","")&amp;"␟"&amp;IFERROR(INDEX(PASTE_ALL,$DF131,4)&amp;"","")&amp;"␟"&amp;IFERROR(INDEX(PASTE_ALL,$DF131,5)&amp;"","")&amp;"␟"&amp;IFERROR(INDEX(PASTE_ALL,$DF131,6)&amp;"","")&amp;"␟"&amp;IFERROR(INDEX(PASTE_ALL,$DF131,7)&amp;"","")&amp;"␟"&amp;IFERROR(INDEX(PASTE_ALL,$DF131,8)&amp;"","")&amp;"␟"&amp;IFERROR(INDEX(PASTE_ALL,$DF131,9)&amp;"","")&amp;"␟"&amp;IFERROR(INDEX(PASTE_ALL,$DF131,10)&amp;"","")&amp;"␟"&amp;IFERROR(INDEX(PASTE_ALL,$DF131,11)&amp;"","")&amp;"␟"&amp;IFERROR(INDEX(PASTE_ALL,$DF131,12)&amp;"","")&amp;"␟"&amp;IFERROR(INDEX(PASTE_ALL,$DF131,13)&amp;"","")&amp;"␟"&amp;IFERROR(INDEX(PASTE_ALL,$DF131,14)&amp;"","")&amp;"␟"&amp;IFERROR(INDEX(PASTE_ALL,$DF131,15)&amp;"","")&amp;"␟"&amp;IFERROR(INDEX(PASTE_ALL,$DF131,16)&amp;"","")&amp;"␟"&amp;IFERROR(INDEX(PASTE_ALL,$DF131,17)&amp;"","")&amp;"␟"&amp;IFERROR(INDEX(PASTE_ALL,$DF131,18)&amp;"","")&amp;"␟"&amp;IFERROR(INDEX(PASTE_ALL,$DF131,19)&amp;"","")&amp;"␟"&amp;IFERROR(INDEX(PASTE_ALL,$DF131,20)&amp;"","")&amp;"␟"&amp;IFERROR(INDEX(PASTE_ALL,$DF131,21)&amp;"","")&amp;"␟"&amp;IFERROR(INDEX(PASTE_ALL,$DF131,22)&amp;"","")&amp;"␟"&amp;IFERROR(INDEX(PASTE_ALL,$DF131,23)&amp;"","")&amp;"␟"&amp;IFERROR(INDEX(PASTE_ALL,$DF131,24)&amp;"","")&amp;"␟"&amp;IFERROR(INDEX(PASTE_ALL,$DF131,25)&amp;"","")&amp;"␟"&amp;IFERROR(INDEX(PASTE_ALL,$DF131,26)&amp;"","")&amp;"␟"&amp;IFERROR(INDEX(PASTE_ALL,$DF131,27)&amp;"","")&amp;"␟"&amp;IFERROR(INDEX(PASTE_ALL,$DF131,28)&amp;"","")&amp;"␟"&amp;IFERROR(INDEX(PASTE_ALL,$DF131,29)&amp;"","")&amp;"␟"&amp;IFERROR(INDEX(PASTE_ALL,$DF131,30)&amp;"","")&amp;"␟"&amp;IFERROR(INDEX(PASTE_ALL,$DF131,31)&amp;"","")&amp;"␟"&amp;IFERROR(INDEX(PASTE_ALL,$DF131,32)&amp;"","")&amp;"␟"&amp;IFERROR(INDEX(PASTE_ALL,$DF131,33)&amp;"","")&amp;"␟"&amp;IFERROR(INDEX(PASTE_ALL,$DF131,34)&amp;"","")&amp;"␟"&amp;IFERROR(INDEX(PASTE_ALL,$DF131,35)&amp;"","")&amp;"␟"&amp;IFERROR(INDEX(PASTE_ALL,$DF131,36)&amp;"","")&amp;"␟"&amp;IFERROR(INDEX(PASTE_ALL,$DF131,37)&amp;"","")&amp;"␟"&amp;IFERROR(INDEX(PASTE_ALL,$DF131,38)&amp;"","")&amp;"␟"&amp;IFERROR(INDEX(PASTE_ALL,$DF131,39)&amp;"","")&amp;"␟"&amp;IFERROR(INDEX(PASTE_ALL,$DF131,40)&amp;"","")&amp;"␟"&amp;IFERROR(INDEX(PASTE_ALL,$DF131,41)&amp;"","")&amp;"␟"&amp;IFERROR(INDEX(PASTE_ALL,$DF131,42)&amp;"","")&amp;"␟"&amp;IFERROR(INDEX(PASTE_ALL,$DF131,43)&amp;"","")&amp;"␟"&amp;IFERROR(INDEX(PASTE_ALL,$DF131,44)&amp;"","")&amp;"␟"&amp;IFERROR(INDEX(PASTE_ALL,$DF131,45)&amp;"","")&amp;"␟"&amp;IFERROR(INDEX(PASTE_ALL,$DF131,46)&amp;"","")&amp;"␟"&amp;IFERROR(INDEX(PASTE_ALL,$DF131,47)&amp;"","")&amp;"␟"&amp;IFERROR(INDEX(PASTE_ALL,$DF131,48)&amp;"","")&amp;"␟"&amp;IFERROR(INDEX(PASTE_ALL,$DF131,49)&amp;"","")&amp;"␟"&amp;IFERROR(INDEX(PASTE_ALL,$DF131,50)&amp;"","")&amp;"␟"&amp;IFERROR(INDEX(PASTE_ALL,$DF131,51)&amp;"","")&amp;"␟"&amp;IFERROR(INDEX(PASTE_ALL,$DF131,52)&amp;"","")&amp;"␟"&amp;IFERROR(INDEX(PASTE_ALL,$DF131,53)&amp;"","")&amp;"␟"&amp;IFERROR(INDEX(PASTE_ALL,$DF131,54)&amp;"","")&amp;"␟"&amp;IFERROR(INDEX(PASTE_ALL,$DF131,55)&amp;"","")&amp;"␟"&amp;IFERROR(INDEX(PASTE_ALL,$DF131,56)&amp;"","")&amp;"␟"&amp;IFERROR(INDEX(PASTE_ALL,$DF131,57)&amp;"","")&amp;"␟"&amp;IFERROR(INDEX(PASTE_ALL,$DF131,58)&amp;"","")&amp;"␟"&amp;IFERROR(INDEX(PASTE_ALL,$DF131,59)&amp;"","")&amp;"␟"&amp;IFERROR(INDEX(PASTE_ALL,$DF131,60)&amp;"","")," "," "),CHAR(9)," "),CHAR(10)," "),CHAR(13)," "))," ␟","␟"),"␟ ","␟"),"#"&amp;$DE131),"")</f>
        <v/>
      </c>
      <c r="DJ131">
        <f>IF($DI131="",0,IF(SUMPRODUCT(--EXACT($DI$4:DI130,$DI131))&gt;0,1,0))</f>
        <v/>
      </c>
      <c r="DK131">
        <f>IF(AND($DI131&lt;&gt;"",$DJ131=0),1,0)</f>
        <v/>
      </c>
      <c r="DL131">
        <f>DL130+$DK131</f>
        <v/>
      </c>
      <c r="DM131">
        <f>IF(AND($DK131=1,$DL131&lt;=600),1,0)</f>
        <v/>
      </c>
      <c r="DN131">
        <f>IF($DM131=0,"",IF($L$6=0,"",IFERROR(IF(ISNUMBER(INDEX(PASTE_ALL,$DF131,$L$6)),INDEX(PASTE_ALL,$DF131,$L$6),TRIM(SUBSTITUTE(SUBSTITUTE(SUBSTITUTE(SUBSTITUTE(INDEX(PASTE_ALL,$DF131,$L$6)," "," "),CHAR(9)," "),CHAR(10)," "),CHAR(13)," "))),"")))</f>
        <v/>
      </c>
      <c r="DO131">
        <f>IF($DM131=0,"",IF($L$7=0,"",IFERROR(IF(ISNUMBER(INDEX(PASTE_ALL,$DF131,$L$7)),INDEX(PASTE_ALL,$DF131,$L$7),TRIM(SUBSTITUTE(SUBSTITUTE(SUBSTITUTE(SUBSTITUTE(INDEX(PASTE_ALL,$DF131,$L$7)," "," "),CHAR(9)," "),CHAR(10)," "),CHAR(13)," "))),"")))</f>
        <v/>
      </c>
      <c r="DP131">
        <f>IF($DM131=0,"",IF($L$8=0,"",IFERROR(IF(ISNUMBER(INDEX(PASTE_ALL,$DF131,$L$8)),INDEX(PASTE_ALL,$DF131,$L$8),TRIM(SUBSTITUTE(SUBSTITUTE(SUBSTITUTE(SUBSTITUTE(INDEX(PASTE_ALL,$DF131,$L$8)," "," "),CHAR(9)," "),CHAR(10)," "),CHAR(13)," "))),"")))</f>
        <v/>
      </c>
      <c r="DQ131">
        <f>IF($DM131=0,"",IF($L$9=0,"",IFERROR(IF(ISNUMBER(INDEX(PASTE_ALL,$DF131,$L$9)),INDEX(PASTE_ALL,$DF131,$L$9),TRIM(SUBSTITUTE(SUBSTITUTE(SUBSTITUTE(SUBSTITUTE(INDEX(PASTE_ALL,$DF131,$L$9)," "," "),CHAR(9)," "),CHAR(10)," "),CHAR(13)," "))),"")))</f>
        <v/>
      </c>
      <c r="DR131">
        <f>IF($DM131=0,"",IF($L$10=0,"",IFERROR(IF(ISNUMBER(INDEX(PASTE_ALL,$DF131,$L$10)),INDEX(PASTE_ALL,$DF131,$L$10),TRIM(SUBSTITUTE(SUBSTITUTE(SUBSTITUTE(SUBSTITUTE(INDEX(PASTE_ALL,$DF131,$L$10)," "," "),CHAR(9)," "),CHAR(10)," "),CHAR(13)," "))),"")))</f>
        <v/>
      </c>
      <c r="DS131">
        <f>IF($DM131=0,"",IF($L$11=0,"",IFERROR(IF(ISNUMBER(INDEX(PASTE_ALL,$DF131,$L$11)),INDEX(PASTE_ALL,$DF131,$L$11),TRIM(SUBSTITUTE(SUBSTITUTE(SUBSTITUTE(SUBSTITUTE(INDEX(PASTE_ALL,$DF131,$L$11)," "," "),CHAR(9)," "),CHAR(10)," "),CHAR(13)," "))),"")))</f>
        <v/>
      </c>
      <c r="DT131">
        <f>IF($DM131=0,"",IF($L$12=0,"",IFERROR(IF(ISNUMBER(INDEX(PASTE_ALL,$DF131,$L$12)),INDEX(PASTE_ALL,$DF131,$L$12),TRIM(SUBSTITUTE(SUBSTITUTE(SUBSTITUTE(SUBSTITUTE(INDEX(PASTE_ALL,$DF131,$L$12)," "," "),CHAR(9)," "),CHAR(10)," "),CHAR(13)," "))),"")))</f>
        <v/>
      </c>
      <c r="DU131">
        <f>IF($DM131=0,"",IF($L$13=0,"",IFERROR(IF(ISNUMBER(INDEX(PASTE_ALL,$DF131,$L$13)),INDEX(PASTE_ALL,$DF131,$L$13),TRIM(SUBSTITUTE(SUBSTITUTE(SUBSTITUTE(SUBSTITUTE(INDEX(PASTE_ALL,$DF131,$L$13)," "," "),CHAR(9)," "),CHAR(10)," "),CHAR(13)," "))),"")))</f>
        <v/>
      </c>
      <c r="DV131">
        <f>IF($DM131=0,"",IF($L$14=0,"",IFERROR(IF(ISNUMBER(INDEX(PASTE_ALL,$DF131,$L$14)),INDEX(PASTE_ALL,$DF131,$L$14),TRIM(SUBSTITUTE(SUBSTITUTE(SUBSTITUTE(SUBSTITUTE(INDEX(PASTE_ALL,$DF131,$L$14)," "," "),CHAR(9)," "),CHAR(10)," "),CHAR(13)," "))),"")))</f>
        <v/>
      </c>
      <c r="DW131">
        <f>IF($DM131=0,"",IF($L$15=0,"",IFERROR(IF(ISNUMBER(INDEX(PASTE_ALL,$DF131,$L$15)),INDEX(PASTE_ALL,$DF131,$L$15),IF(SUMPRODUCT(--ISNUMBER(FIND({"A","B","C","D","E","F","G","H","I","J","K","L","M","N","O","P","Q","R","S","T","U","V","W","X","Y","Z","0","1","2","3","4","5","6","7","8","9"},UPPER(TRIM(SUBSTITUTE(SUBSTITUTE(SUBSTITUTE(SUBSTITUTE(INDEX(PASTE_ALL,$DF131,$L$15)," "," "),CHAR(9)," "),CHAR(10)," "),CHAR(13)," "))))))&gt;0,TRIM(SUBSTITUTE(SUBSTITUTE(SUBSTITUTE(SUBSTITUTE(INDEX(PASTE_ALL,$DF131,$L$15)," "," "),CHAR(9)," "),CHAR(10)," "),CHAR(13)," ")),"")),"")))</f>
        <v/>
      </c>
      <c r="DX131">
        <f>IF($DM131=0,"",IF($L$16=0,"",IFERROR(IF(ISNUMBER(INDEX(PASTE_ALL,$DF131,$L$16)),INDEX(PASTE_ALL,$DF131,$L$16),SUBSTITUTE(SUBSTITUTE(TRIM(SUBSTITUTE(SUBSTITUTE(SUBSTITUTE(SUBSTITUTE(INDEX(PASTE_ALL,$DF131,$L$16)," "," "),CHAR(9)," "),CHAR(10)," "),CHAR(13)," ")),",",""),"%","")),"")))</f>
        <v/>
      </c>
      <c r="DY131">
        <f>IF($DM131=0,"",IFERROR(IF(ISNUMBER($DX131),$DX131,IF($DX131="","",IF(TRIM($DX131)="",0,IF(AND(AND(SUBSTITUTE(SUBSTITUTE(SUBSTITUTE(SUBSTITUTE(SUBSTITUTE(SUBSTITUTE(SUBSTITUTE(SUBSTITUTE(SUBSTITUTE(SUBSTITUTE(SUBSTITUTE(SUBSTITUTE(SUBSTITUTE(SUBSTITUTE(UPPER(TRIM($DX131)),"0",""),"1",""),"2",""),"3",""),"4",""),"5",""),"6",""),"7",""),"8",""),"9",""),".",""),"+",""),"-",""),"E","")="",LEN(SUBSTITUTE(SUBSTITUTE(MID(UPPER(TRIM($DX131)),1+OR(LEFT(UPPER(TRIM($DX131)),1)="+",LEFT(UPPER(TRIM($DX131)),1)="-"),999),"E+","E"),"E-","E"))=LEN(SUBSTITUTE(SUBSTITUTE(SUBSTITUTE(SUBSTITUTE(MID(UPPER(TRIM($DX131)),1+OR(LEFT(UPPER(TRIM($DX131)),1)="+",LEFT(UPPER(TRIM($DX131)),1)="-"),999),"E+","E"),"E-","E"),"+",""),"-","")),LEN(UPPER(TRIM($DX131)))-LEN(SUBSTITUTE(UPPER(TRIM($DX131)),"E",""))&lt;2,LEN(UPPER(TRIM($DX131)))-LEN(SUBSTITUTE(UPPER(TRIM($DX131)),".",""))&lt;2,IFERROR(FIND(".",UPPER(TRIM($DX131))),0)&lt;IFERROR(FIND("E",UPPER(TRIM($DX131))),999)),ISNUMBER(VALUE(TRIM($DX131)))),VALUE(TRIM($DX131)),"")))),""))</f>
        <v/>
      </c>
      <c r="DZ131">
        <f>IF($DM131=0,"",IF($L$17=0,"",IFERROR(IF(ISNUMBER(INDEX(PASTE_ALL,$DF131,$L$17)),INDEX(PASTE_ALL,$DF131,$L$17),SUBSTITUTE(SUBSTITUTE(TRIM(SUBSTITUTE(SUBSTITUTE(SUBSTITUTE(SUBSTITUTE(INDEX(PASTE_ALL,$DF131,$L$17)," "," "),CHAR(9)," "),CHAR(10)," "),CHAR(13)," ")),",",""),"%","")),"")))</f>
        <v/>
      </c>
      <c r="EA131">
        <f>IF($DM131=0,"",IFERROR(IF(ISNUMBER($DZ131),$DZ131,IF($DZ131="","",IF(TRIM($DZ131)="",0,IF(AND(AND(SUBSTITUTE(SUBSTITUTE(SUBSTITUTE(SUBSTITUTE(SUBSTITUTE(SUBSTITUTE(SUBSTITUTE(SUBSTITUTE(SUBSTITUTE(SUBSTITUTE(SUBSTITUTE(SUBSTITUTE(SUBSTITUTE(SUBSTITUTE(UPPER(TRIM($DZ131)),"0",""),"1",""),"2",""),"3",""),"4",""),"5",""),"6",""),"7",""),"8",""),"9",""),".",""),"+",""),"-",""),"E","")="",LEN(SUBSTITUTE(SUBSTITUTE(MID(UPPER(TRIM($DZ131)),1+OR(LEFT(UPPER(TRIM($DZ131)),1)="+",LEFT(UPPER(TRIM($DZ131)),1)="-"),999),"E+","E"),"E-","E"))=LEN(SUBSTITUTE(SUBSTITUTE(SUBSTITUTE(SUBSTITUTE(MID(UPPER(TRIM($DZ131)),1+OR(LEFT(UPPER(TRIM($DZ131)),1)="+",LEFT(UPPER(TRIM($DZ131)),1)="-"),999),"E+","E"),"E-","E"),"+",""),"-","")),LEN(UPPER(TRIM($DZ131)))-LEN(SUBSTITUTE(UPPER(TRIM($DZ131)),"E",""))&lt;2,LEN(UPPER(TRIM($DZ131)))-LEN(SUBSTITUTE(UPPER(TRIM($DZ131)),".",""))&lt;2,IFERROR(FIND(".",UPPER(TRIM($DZ131))),0)&lt;IFERROR(FIND("E",UPPER(TRIM($DZ131))),999)),ISNUMBER(VALUE(TRIM($DZ131)))),VALUE(TRIM($DZ131)),"")))),""))</f>
        <v/>
      </c>
      <c r="EB131">
        <f>IF($DM131=0,"",IF($L$18=0,"",IFERROR(IF(UPPER(TRIM(SUBSTITUTE(SUBSTITUTE(SUBSTITUTE(SUBSTITUTE(INDEX(PASTE_ALL,$DF131,$L$18)," "," "),CHAR(9)," "),CHAR(10)," "),CHAR(13)," ")))="READY","Ready",IF(UPPER(TRIM(SUBSTITUTE(SUBSTITUTE(SUBSTITUTE(SUBSTITUTE(INDEX(PASTE_ALL,$DF131,$L$18)," "," "),CHAR(9)," "),CHAR(10)," "),CHAR(13)," ")))="PM","PM",IF(OR(UPPER(TRIM(SUBSTITUTE(SUBSTITUTE(SUBSTITUTE(SUBSTITUTE(INDEX(PASTE_ALL,$DF131,$L$18)," "," "),CHAR(9)," "),CHAR(10)," "),CHAR(13)," ")))="OT",UPPER(TRIM(SUBSTITUTE(SUBSTITUTE(SUBSTITUTE(SUBSTITUTE(INDEX(PASTE_ALL,$DF131,$L$18)," "," "),CHAR(9)," "),CHAR(10)," "),CHAR(13)," ")))="OVERTIME",UPPER(TRIM(SUBSTITUTE(SUBSTITUTE(SUBSTITUTE(SUBSTITUTE(INDEX(PASTE_ALL,$DF131,$L$18)," "," "),CHAR(9)," "),CHAR(10)," "),CHAR(13)," ")))="TRIAL"),"OT",TRIM(SUBSTITUTE(SUBSTITUTE(SUBSTITUTE(SUBSTITUTE(INDEX(PASTE_ALL,$DF131,$L$18)," "," "),CHAR(9)," "),CHAR(10)," "),CHAR(13)," "))))),"")))</f>
        <v/>
      </c>
      <c r="EC131">
        <f>IF($DM131=0,"",IF($L$19=0,"",IFERROR(IF(ISNUMBER(INDEX(PASTE_ALL,$DF131,$L$19)),INDEX(PASTE_ALL,$DF131,$L$19),TRIM(SUBSTITUTE(SUBSTITUTE(SUBSTITUTE(SUBSTITUTE(INDEX(PASTE_ALL,$DF131,$L$19)," "," "),CHAR(9)," "),CHAR(10)," "),CHAR(13)," "))),"")))</f>
        <v/>
      </c>
      <c r="ED131">
        <f>IF($DM131=0,"",MATCH(1,INDEX(EXACT($DH$5:DH131,$DH131)*$DM$5:DM131,0),0))</f>
        <v/>
      </c>
      <c r="EE131">
        <f>IF($DM131=0,0,IF($ED131=$DE131,1,0))</f>
        <v/>
      </c>
      <c r="EF131">
        <f>EF130+$EE131</f>
        <v/>
      </c>
      <c r="EG131">
        <f>IF($DM131=0,"",INDEX($EF$5:$EF$1003,$ED131))</f>
        <v/>
      </c>
      <c r="EH131">
        <f>IF($DM131=0,"",IF($DO131&lt;&gt;"","",IFERROR(LOOKUP(2,1/(($EG$4:EG130=$EG131)*($DO$4:DO130&lt;&gt;"")),$DO$4:DO130),"")))</f>
        <v/>
      </c>
      <c r="EI131">
        <f>IF($DM131=0,"",IF($DO131&lt;&gt;"",$DO131,$EH131))</f>
        <v/>
      </c>
      <c r="EJ131">
        <f>IF($DM131=0,"",IF($EI131="",0,IF(OR(ISNUMBER($EI131),AND(AND(SUBSTITUTE(SUBSTITUTE(SUBSTITUTE(SUBSTITUTE(SUBSTITUTE(SUBSTITUTE(SUBSTITUTE(SUBSTITUTE(SUBSTITUTE(SUBSTITUTE(SUBSTITUTE(SUBSTITUTE(SUBSTITUTE(SUBSTITUTE(UPPER($EI131),"0",""),"1",""),"2",""),"3",""),"4",""),"5",""),"6",""),"7",""),"8",""),"9",""),".",""),"+",""),"-",""),"E","")="",LEN(SUBSTITUTE(SUBSTITUTE(MID(UPPER($EI131),1+OR(LEFT(UPPER($EI131),1)="+",LEFT(UPPER($EI131),1)="-"),999),"E+","E"),"E-","E"))=LEN(SUBSTITUTE(SUBSTITUTE(SUBSTITUTE(SUBSTITUTE(MID(UPPER($EI131),1+OR(LEFT(UPPER($EI131),1)="+",LEFT(UPPER($EI131),1)="-"),999),"E+","E"),"E-","E"),"+",""),"-","")),LEN(UPPER($EI131))-LEN(SUBSTITUTE(UPPER($EI131),"E",""))&lt;2,LEN(UPPER($EI131))-LEN(SUBSTITUTE(UPPER($EI131),".",""))&lt;2,IFERROR(FIND(".",UPPER($EI131)),0)&lt;IFERROR(FIND("E",UPPER($EI131)),999)),ISNUMBER(VALUE($EI131)))),1,2)))</f>
        <v/>
      </c>
      <c r="EK131">
        <f>IF($DM131=0,"",IF($EJ131=1,IF(ISNUMBER($EI131),$EI131,VALUE($EI131)),IF($EJ131=2,$DE131,0)))</f>
        <v/>
      </c>
      <c r="EL131">
        <f>IF($DM131=0,"",COUNTIF($EG$5:$EG$1003,"&lt;"&amp;$EG131)+SUMPRODUCT(($EG$5:$EG$1003=$EG131)*(($EJ$5:$EJ$1003&lt;$EJ131)+($EJ$5:$EJ$1003=$EJ131)*(($EK$5:$EK$1003&lt;$EK131)+($EK$5:$EK$1003=$EK131)*($DE$5:$DE$1003&lt;$DE131))))+1)</f>
        <v/>
      </c>
      <c r="EM131">
        <f>IF($DM131=0,"",$EL131+$EG131-1)</f>
        <v/>
      </c>
      <c r="EN131">
        <f>IF($DM131=0,0,IFERROR(MATCH(1,INDEX(--(TRIM(SUBSTITUTE(SUBSTITUTE(SUBSTITUTE(SUBSTITUTE(LINES_NAME&amp;""," "," "),CHAR(9)," "),CHAR(10)," "),CHAR(13)," "))=$DH131),0),0),0))</f>
        <v/>
      </c>
      <c r="EO131">
        <f>IF($EN131=0,0,IF(OR(UPPER(TRIM(INDEX(LINES_SCHEDULED,$EN131)&amp;""))="YES",UPPER(TRIM(INDEX(LINES_SCHEDULED,$EN131)&amp;""))="Y",UPPER(TRIM(INDEX(LINES_SCHEDULED,$EN131)&amp;""))="X"),1,0))</f>
        <v/>
      </c>
      <c r="EP131">
        <f>IF($DM131=0,"",IF(COUNTIFS($EG$5:$EG$1003,$EG131,$EB$5:$EB$1003,"Ready")&gt;0,"READY",IF(COUNTIFS($EG$5:$EG$1003,$EG131,$EB$5:$EB$1003,"PM")&gt;0,"PM",IF(COUNTIFS($EG$5:$EG$1003,$EG131,$EB$5:$EB$1003,"OT")&gt;0,"OT",""))))</f>
        <v/>
      </c>
      <c r="EQ131">
        <f>IF($EN131=0,"",UPPER(TRIM(INDEX(LINES_STATUS,$EN131)&amp;"")))</f>
        <v/>
      </c>
      <c r="ER131">
        <f>IF($DM131=0,"",IF(OR($EQ131="READY",$EQ131="PM",$EQ131="OT"),$EQ131,$EP131))</f>
        <v/>
      </c>
      <c r="ES131">
        <f>IF($DM131=0,"",IF(AND($DV131&lt;&gt;"",UPPER($DV131)&lt;&gt;"N"),"allergen",IF(ISNUMBER(SEARCH("oil",$DQ131)),"oil",IF(OR(EXACT($DS131,"A662"),EXACT($DS131,"A624")),"bulk",""))))</f>
        <v/>
      </c>
      <c r="ET131">
        <f>IF($DM131=0,"",IF(OR($EA131="",$EA131=0),"",$EA131/100))</f>
        <v/>
      </c>
      <c r="EU131">
        <f>IF(OR($ET131="",$DY131=""),"",INT($DY131*(1-$ET131)+0.5))</f>
        <v/>
      </c>
      <c r="EW131" t="n">
        <v>127</v>
      </c>
      <c r="EX131">
        <f>IFERROR(MATCH($EW131,$EM$5:$EM$1003,0),0)</f>
        <v/>
      </c>
      <c r="EY131">
        <f>IF($EW131&gt;$B$12,"",IF($EX131&gt;0,"row","spacer"))</f>
        <v/>
      </c>
      <c r="EZ131">
        <f>IF(AND($EY131="row",$EY130&lt;&gt;"row"),1,0)</f>
        <v/>
      </c>
      <c r="FA131">
        <f>IF(AND($EY131="row",$EY132&lt;&gt;"row"),1,0)</f>
        <v/>
      </c>
      <c r="FB131">
        <f>IF($EZ131=1,IFERROR(IF(ISNUMBER(INDEX(PASTE_ALL,INDEX($DF$5:$DF$1003,$EX131),$B$37)),INDEX(PASTE_ALL,INDEX($DF$5:$DF$1003,$EX131),$B$37),INDEX($DH$5:$DH$1003,$EX131)),INDEX($DH$5:$DH$1003,$EX131)),"")</f>
        <v/>
      </c>
      <c r="FC131">
        <f>IF($EY131="row",INDEX($ER$5:$ER$1003,$EX131),"")</f>
        <v/>
      </c>
      <c r="FD131">
        <f>IF($EY131="row",INDEX($DN$5:$DN$1003,$EX131),"")</f>
        <v/>
      </c>
      <c r="FE131">
        <f>IF($EY131="row",INDEX($DO$5:$DO$1003,$EX131),"")</f>
        <v/>
      </c>
      <c r="FF131">
        <f>IF($EY131="row",INDEX($DP$5:$DP$1003,$EX131),"")</f>
        <v/>
      </c>
      <c r="FG131">
        <f>IF($EY131="row",INDEX($DQ$5:$DQ$1003,$EX131),"")</f>
        <v/>
      </c>
      <c r="FH131">
        <f>IF($EY131="row",INDEX($DR$5:$DR$1003,$EX131),"")</f>
        <v/>
      </c>
      <c r="FI131">
        <f>IF($EY131="row",INDEX($DS$5:$DS$1003,$EX131),"")</f>
        <v/>
      </c>
      <c r="FJ131">
        <f>IF($EY131="row",INDEX($DT$5:$DT$1003,$EX131),"")</f>
        <v/>
      </c>
      <c r="FK131">
        <f>IF($EY131="row",INDEX($DU$5:$DU$1003,$EX131),"")</f>
        <v/>
      </c>
      <c r="FL131">
        <f>IF($EY131="row",INDEX($DV$5:$DV$1003,$EX131),"")</f>
        <v/>
      </c>
      <c r="FM131">
        <f>IF($EY131="row",INDEX($DW$5:$DW$1003,$EX131),"")</f>
        <v/>
      </c>
      <c r="FN131">
        <f>IF($EY131="row",INDEX($DY$5:$DY$1003,$EX131),"")</f>
        <v/>
      </c>
      <c r="FO131">
        <f>IF($EY131="row",INDEX($EA$5:$EA$1003,$EX131),"")</f>
        <v/>
      </c>
      <c r="FP131">
        <f>IF($EY131="row",INDEX($EC$5:$EC$1003,$EX131),"")</f>
        <v/>
      </c>
      <c r="FQ131">
        <f>IF($EY131="row",INDEX($ET$5:$ET$1003,$EX131),"")</f>
        <v/>
      </c>
      <c r="FR131">
        <f>IF($EY131="row",INDEX($EU$5:$EU$1003,$EX131),"")</f>
        <v/>
      </c>
      <c r="FS131">
        <f>IF(AND($EY131="row",$EY130="row"),IF(OR(INDEX($DT$5:$DT$1003,$EX130)="",INDEX($DT$5:$DT$1003,$EX131)=""),"",IF(NOT(EXACT(INDEX($DT$5:$DT$1003,$EX130),INDEX($DT$5:$DT$1003,$EX131))),"S4",IF(NOT(EXACT(INDEX($DS$5:$DS$1003,$EX130),INDEX($DS$5:$DS$1003,$EX131))),"S3",IF(NOT(EXACT(INDEX($DR$5:$DR$1003,$EX130),INDEX($DR$5:$DR$1003,$EX131))),"S1 Count Change","S1")))),"")</f>
        <v/>
      </c>
      <c r="FT131">
        <f>IF($EY131="row",INDEX($ES$5:$ES$1003,$EX131),"")</f>
        <v/>
      </c>
      <c r="FU131">
        <f>IF($EY131="row",INDEX($EO$5:$EO$1003,$EX131),0)</f>
        <v/>
      </c>
      <c r="FV131">
        <f>IF($FS131="S1 Count Change",1,0)</f>
        <v/>
      </c>
    </row>
    <row r="132">
      <c r="Y132">
        <f>IF(Y42="",0,IFERROR(INDEX($W$5:$W$86,MATCH(Y42,$V$5:$V$86,0)),0))</f>
        <v/>
      </c>
      <c r="Z132">
        <f>IF(Z42="",0,IFERROR(INDEX($W$5:$W$86,MATCH(Z42,$V$5:$V$86,0)),0))</f>
        <v/>
      </c>
      <c r="AA132">
        <f>IF(AA42="",0,IFERROR(INDEX($W$5:$W$86,MATCH(AA42,$V$5:$V$86,0)),0))</f>
        <v/>
      </c>
      <c r="AB132">
        <f>IF(AB42="",0,IFERROR(INDEX($W$5:$W$86,MATCH(AB42,$V$5:$V$86,0)),0))</f>
        <v/>
      </c>
      <c r="AC132">
        <f>IF(AC42="",0,IFERROR(INDEX($W$5:$W$86,MATCH(AC42,$V$5:$V$86,0)),0))</f>
        <v/>
      </c>
      <c r="AD132">
        <f>IF(AD42="",0,IFERROR(INDEX($W$5:$W$86,MATCH(AD42,$V$5:$V$86,0)),0))</f>
        <v/>
      </c>
      <c r="AE132">
        <f>IF(AE42="",0,IFERROR(INDEX($W$5:$W$86,MATCH(AE42,$V$5:$V$86,0)),0))</f>
        <v/>
      </c>
      <c r="AF132">
        <f>IF(AF42="",0,IFERROR(INDEX($W$5:$W$86,MATCH(AF42,$V$5:$V$86,0)),0))</f>
        <v/>
      </c>
      <c r="AG132">
        <f>IF(AG42="",0,IFERROR(INDEX($W$5:$W$86,MATCH(AG42,$V$5:$V$86,0)),0))</f>
        <v/>
      </c>
      <c r="AH132">
        <f>IF(AH42="",0,IFERROR(INDEX($W$5:$W$86,MATCH(AH42,$V$5:$V$86,0)),0))</f>
        <v/>
      </c>
      <c r="AI132">
        <f>IF(AI42="",0,IFERROR(INDEX($W$5:$W$86,MATCH(AI42,$V$5:$V$86,0)),0))</f>
        <v/>
      </c>
      <c r="AJ132">
        <f>IF(AJ42="",0,IFERROR(INDEX($W$5:$W$86,MATCH(AJ42,$V$5:$V$86,0)),0))</f>
        <v/>
      </c>
      <c r="AK132">
        <f>IF(AK42="",0,IFERROR(INDEX($W$5:$W$86,MATCH(AK42,$V$5:$V$86,0)),0))</f>
        <v/>
      </c>
      <c r="AL132">
        <f>IF(AL42="",0,IFERROR(INDEX($W$5:$W$86,MATCH(AL42,$V$5:$V$86,0)),0))</f>
        <v/>
      </c>
      <c r="AM132">
        <f>IF(AM42="",0,IFERROR(INDEX($W$5:$W$86,MATCH(AM42,$V$5:$V$86,0)),0))</f>
        <v/>
      </c>
      <c r="AN132">
        <f>IF(AN42="",0,IFERROR(INDEX($W$5:$W$86,MATCH(AN42,$V$5:$V$86,0)),0))</f>
        <v/>
      </c>
      <c r="AO132">
        <f>IF(AO42="",0,IFERROR(INDEX($W$5:$W$86,MATCH(AO42,$V$5:$V$86,0)),0))</f>
        <v/>
      </c>
      <c r="AP132">
        <f>IF(AP42="",0,IFERROR(INDEX($W$5:$W$86,MATCH(AP42,$V$5:$V$86,0)),0))</f>
        <v/>
      </c>
      <c r="AQ132">
        <f>IF(AQ42="",0,IFERROR(INDEX($W$5:$W$86,MATCH(AQ42,$V$5:$V$86,0)),0))</f>
        <v/>
      </c>
      <c r="AR132">
        <f>IF(AR42="",0,IFERROR(INDEX($W$5:$W$86,MATCH(AR42,$V$5:$V$86,0)),0))</f>
        <v/>
      </c>
      <c r="AS132">
        <f>IF(AS42="",0,IFERROR(INDEX($W$5:$W$86,MATCH(AS42,$V$5:$V$86,0)),0))</f>
        <v/>
      </c>
      <c r="AT132">
        <f>IF(AT42="",0,IFERROR(INDEX($W$5:$W$86,MATCH(AT42,$V$5:$V$86,0)),0))</f>
        <v/>
      </c>
      <c r="AU132">
        <f>IF(AU42="",0,IFERROR(INDEX($W$5:$W$86,MATCH(AU42,$V$5:$V$86,0)),0))</f>
        <v/>
      </c>
      <c r="AV132">
        <f>IF(AV42="",0,IFERROR(INDEX($W$5:$W$86,MATCH(AV42,$V$5:$V$86,0)),0))</f>
        <v/>
      </c>
      <c r="AW132">
        <f>IF(AW42="",0,IFERROR(INDEX($W$5:$W$86,MATCH(AW42,$V$5:$V$86,0)),0))</f>
        <v/>
      </c>
      <c r="AX132">
        <f>IF(AX42="",0,IFERROR(INDEX($W$5:$W$86,MATCH(AX42,$V$5:$V$86,0)),0))</f>
        <v/>
      </c>
      <c r="AY132">
        <f>IF(AY42="",0,IFERROR(INDEX($W$5:$W$86,MATCH(AY42,$V$5:$V$86,0)),0))</f>
        <v/>
      </c>
      <c r="AZ132">
        <f>IF(AZ42="",0,IFERROR(INDEX($W$5:$W$86,MATCH(AZ42,$V$5:$V$86,0)),0))</f>
        <v/>
      </c>
      <c r="BA132">
        <f>IF(BA42="",0,IFERROR(INDEX($W$5:$W$86,MATCH(BA42,$V$5:$V$86,0)),0))</f>
        <v/>
      </c>
      <c r="BB132">
        <f>IF(BB42="",0,IFERROR(INDEX($W$5:$W$86,MATCH(BB42,$V$5:$V$86,0)),0))</f>
        <v/>
      </c>
      <c r="BC132">
        <f>IF(BC42="",0,IFERROR(INDEX($W$5:$W$86,MATCH(BC42,$V$5:$V$86,0)),0))</f>
        <v/>
      </c>
      <c r="BD132">
        <f>IF(BD42="",0,IFERROR(INDEX($W$5:$W$86,MATCH(BD42,$V$5:$V$86,0)),0))</f>
        <v/>
      </c>
      <c r="BE132">
        <f>IF(BE42="",0,IFERROR(INDEX($W$5:$W$86,MATCH(BE42,$V$5:$V$86,0)),0))</f>
        <v/>
      </c>
      <c r="BF132">
        <f>IF(BF42="",0,IFERROR(INDEX($W$5:$W$86,MATCH(BF42,$V$5:$V$86,0)),0))</f>
        <v/>
      </c>
      <c r="BG132">
        <f>IF(BG42="",0,IFERROR(INDEX($W$5:$W$86,MATCH(BG42,$V$5:$V$86,0)),0))</f>
        <v/>
      </c>
      <c r="BH132">
        <f>IF(BH42="",0,IFERROR(INDEX($W$5:$W$86,MATCH(BH42,$V$5:$V$86,0)),0))</f>
        <v/>
      </c>
      <c r="BI132">
        <f>IF(BI42="",0,IFERROR(INDEX($W$5:$W$86,MATCH(BI42,$V$5:$V$86,0)),0))</f>
        <v/>
      </c>
      <c r="BJ132">
        <f>IF(BJ42="",0,IFERROR(INDEX($W$5:$W$86,MATCH(BJ42,$V$5:$V$86,0)),0))</f>
        <v/>
      </c>
      <c r="BK132">
        <f>IF(BK42="",0,IFERROR(INDEX($W$5:$W$86,MATCH(BK42,$V$5:$V$86,0)),0))</f>
        <v/>
      </c>
      <c r="BL132">
        <f>IF(BL42="",0,IFERROR(INDEX($W$5:$W$86,MATCH(BL42,$V$5:$V$86,0)),0))</f>
        <v/>
      </c>
      <c r="BM132">
        <f>IF(BM42="",0,IFERROR(INDEX($W$5:$W$86,MATCH(BM42,$V$5:$V$86,0)),0))</f>
        <v/>
      </c>
      <c r="BN132">
        <f>IF(BN42="",0,IFERROR(INDEX($W$5:$W$86,MATCH(BN42,$V$5:$V$86,0)),0))</f>
        <v/>
      </c>
      <c r="BO132">
        <f>IF(BO42="",0,IFERROR(INDEX($W$5:$W$86,MATCH(BO42,$V$5:$V$86,0)),0))</f>
        <v/>
      </c>
      <c r="BP132">
        <f>IF(BP42="",0,IFERROR(INDEX($W$5:$W$86,MATCH(BP42,$V$5:$V$86,0)),0))</f>
        <v/>
      </c>
      <c r="BQ132">
        <f>IF(BQ42="",0,IFERROR(INDEX($W$5:$W$86,MATCH(BQ42,$V$5:$V$86,0)),0))</f>
        <v/>
      </c>
      <c r="BR132">
        <f>IF(BR42="",0,IFERROR(INDEX($W$5:$W$86,MATCH(BR42,$V$5:$V$86,0)),0))</f>
        <v/>
      </c>
      <c r="BS132">
        <f>IF(BS42="",0,IFERROR(INDEX($W$5:$W$86,MATCH(BS42,$V$5:$V$86,0)),0))</f>
        <v/>
      </c>
      <c r="BT132">
        <f>IF(BT42="",0,IFERROR(INDEX($W$5:$W$86,MATCH(BT42,$V$5:$V$86,0)),0))</f>
        <v/>
      </c>
      <c r="BU132">
        <f>IF(BU42="",0,IFERROR(INDEX($W$5:$W$86,MATCH(BU42,$V$5:$V$86,0)),0))</f>
        <v/>
      </c>
      <c r="BV132">
        <f>IF(BV42="",0,IFERROR(INDEX($W$5:$W$86,MATCH(BV42,$V$5:$V$86,0)),0))</f>
        <v/>
      </c>
      <c r="BW132">
        <f>IF(BW42="",0,IFERROR(INDEX($W$5:$W$86,MATCH(BW42,$V$5:$V$86,0)),0))</f>
        <v/>
      </c>
      <c r="BX132">
        <f>IF(BX42="",0,IFERROR(INDEX($W$5:$W$86,MATCH(BX42,$V$5:$V$86,0)),0))</f>
        <v/>
      </c>
      <c r="BY132">
        <f>IF(BY42="",0,IFERROR(INDEX($W$5:$W$86,MATCH(BY42,$V$5:$V$86,0)),0))</f>
        <v/>
      </c>
      <c r="BZ132">
        <f>IF(BZ42="",0,IFERROR(INDEX($W$5:$W$86,MATCH(BZ42,$V$5:$V$86,0)),0))</f>
        <v/>
      </c>
      <c r="CA132">
        <f>IF(CA42="",0,IFERROR(INDEX($W$5:$W$86,MATCH(CA42,$V$5:$V$86,0)),0))</f>
        <v/>
      </c>
      <c r="CB132">
        <f>IF(CB42="",0,IFERROR(INDEX($W$5:$W$86,MATCH(CB42,$V$5:$V$86,0)),0))</f>
        <v/>
      </c>
      <c r="CC132">
        <f>IF(CC42="",0,IFERROR(INDEX($W$5:$W$86,MATCH(CC42,$V$5:$V$86,0)),0))</f>
        <v/>
      </c>
      <c r="CD132">
        <f>IF(CD42="",0,IFERROR(INDEX($W$5:$W$86,MATCH(CD42,$V$5:$V$86,0)),0))</f>
        <v/>
      </c>
      <c r="CE132">
        <f>IF(CE42="",0,IFERROR(INDEX($W$5:$W$86,MATCH(CE42,$V$5:$V$86,0)),0))</f>
        <v/>
      </c>
      <c r="CF132">
        <f>IF(CF42="",0,IFERROR(INDEX($W$5:$W$86,MATCH(CF42,$V$5:$V$86,0)),0))</f>
        <v/>
      </c>
      <c r="DA132" t="n">
        <v>128</v>
      </c>
      <c r="DB132">
        <f>IF($B$37=0,"",IFERROR(TRIM(SUBSTITUTE(SUBSTITUTE(SUBSTITUTE(SUBSTITUTE(INDEX(PASTE_ALL,128,$B$37)," "," "),CHAR(9)," "),CHAR(10)," "),CHAR(13)," ")),""))</f>
        <v/>
      </c>
      <c r="DC132">
        <f>IF(AND(128&gt;HEADER_ROW,UPPER(DB132)="LEGEND"),1,0)</f>
        <v/>
      </c>
      <c r="DE132" t="n">
        <v>128</v>
      </c>
      <c r="DF132">
        <f>HEADER_ROW+$DE132</f>
        <v/>
      </c>
      <c r="DG132">
        <f>IF(AND($DF132&lt;=1000,$DF132&lt;$B$8),1,0)</f>
        <v/>
      </c>
      <c r="DH132">
        <f>IF($DG132=1,IFERROR(INDEX($DB$5:$DB$1004,$DF132),""),"")</f>
        <v/>
      </c>
      <c r="DI132">
        <f>IF(AND($DG132=1,$DH132&lt;&gt;""),IFERROR(SUBSTITUTE(SUBSTITUTE(TRIM(SUBSTITUTE(SUBSTITUTE(SUBSTITUTE(SUBSTITUTE(IFERROR(INDEX(PASTE_ALL,$DF132,1)&amp;"","")&amp;"␟"&amp;IFERROR(INDEX(PASTE_ALL,$DF132,2)&amp;"","")&amp;"␟"&amp;IFERROR(INDEX(PASTE_ALL,$DF132,3)&amp;"","")&amp;"␟"&amp;IFERROR(INDEX(PASTE_ALL,$DF132,4)&amp;"","")&amp;"␟"&amp;IFERROR(INDEX(PASTE_ALL,$DF132,5)&amp;"","")&amp;"␟"&amp;IFERROR(INDEX(PASTE_ALL,$DF132,6)&amp;"","")&amp;"␟"&amp;IFERROR(INDEX(PASTE_ALL,$DF132,7)&amp;"","")&amp;"␟"&amp;IFERROR(INDEX(PASTE_ALL,$DF132,8)&amp;"","")&amp;"␟"&amp;IFERROR(INDEX(PASTE_ALL,$DF132,9)&amp;"","")&amp;"␟"&amp;IFERROR(INDEX(PASTE_ALL,$DF132,10)&amp;"","")&amp;"␟"&amp;IFERROR(INDEX(PASTE_ALL,$DF132,11)&amp;"","")&amp;"␟"&amp;IFERROR(INDEX(PASTE_ALL,$DF132,12)&amp;"","")&amp;"␟"&amp;IFERROR(INDEX(PASTE_ALL,$DF132,13)&amp;"","")&amp;"␟"&amp;IFERROR(INDEX(PASTE_ALL,$DF132,14)&amp;"","")&amp;"␟"&amp;IFERROR(INDEX(PASTE_ALL,$DF132,15)&amp;"","")&amp;"␟"&amp;IFERROR(INDEX(PASTE_ALL,$DF132,16)&amp;"","")&amp;"␟"&amp;IFERROR(INDEX(PASTE_ALL,$DF132,17)&amp;"","")&amp;"␟"&amp;IFERROR(INDEX(PASTE_ALL,$DF132,18)&amp;"","")&amp;"␟"&amp;IFERROR(INDEX(PASTE_ALL,$DF132,19)&amp;"","")&amp;"␟"&amp;IFERROR(INDEX(PASTE_ALL,$DF132,20)&amp;"","")&amp;"␟"&amp;IFERROR(INDEX(PASTE_ALL,$DF132,21)&amp;"","")&amp;"␟"&amp;IFERROR(INDEX(PASTE_ALL,$DF132,22)&amp;"","")&amp;"␟"&amp;IFERROR(INDEX(PASTE_ALL,$DF132,23)&amp;"","")&amp;"␟"&amp;IFERROR(INDEX(PASTE_ALL,$DF132,24)&amp;"","")&amp;"␟"&amp;IFERROR(INDEX(PASTE_ALL,$DF132,25)&amp;"","")&amp;"␟"&amp;IFERROR(INDEX(PASTE_ALL,$DF132,26)&amp;"","")&amp;"␟"&amp;IFERROR(INDEX(PASTE_ALL,$DF132,27)&amp;"","")&amp;"␟"&amp;IFERROR(INDEX(PASTE_ALL,$DF132,28)&amp;"","")&amp;"␟"&amp;IFERROR(INDEX(PASTE_ALL,$DF132,29)&amp;"","")&amp;"␟"&amp;IFERROR(INDEX(PASTE_ALL,$DF132,30)&amp;"","")&amp;"␟"&amp;IFERROR(INDEX(PASTE_ALL,$DF132,31)&amp;"","")&amp;"␟"&amp;IFERROR(INDEX(PASTE_ALL,$DF132,32)&amp;"","")&amp;"␟"&amp;IFERROR(INDEX(PASTE_ALL,$DF132,33)&amp;"","")&amp;"␟"&amp;IFERROR(INDEX(PASTE_ALL,$DF132,34)&amp;"","")&amp;"␟"&amp;IFERROR(INDEX(PASTE_ALL,$DF132,35)&amp;"","")&amp;"␟"&amp;IFERROR(INDEX(PASTE_ALL,$DF132,36)&amp;"","")&amp;"␟"&amp;IFERROR(INDEX(PASTE_ALL,$DF132,37)&amp;"","")&amp;"␟"&amp;IFERROR(INDEX(PASTE_ALL,$DF132,38)&amp;"","")&amp;"␟"&amp;IFERROR(INDEX(PASTE_ALL,$DF132,39)&amp;"","")&amp;"␟"&amp;IFERROR(INDEX(PASTE_ALL,$DF132,40)&amp;"","")&amp;"␟"&amp;IFERROR(INDEX(PASTE_ALL,$DF132,41)&amp;"","")&amp;"␟"&amp;IFERROR(INDEX(PASTE_ALL,$DF132,42)&amp;"","")&amp;"␟"&amp;IFERROR(INDEX(PASTE_ALL,$DF132,43)&amp;"","")&amp;"␟"&amp;IFERROR(INDEX(PASTE_ALL,$DF132,44)&amp;"","")&amp;"␟"&amp;IFERROR(INDEX(PASTE_ALL,$DF132,45)&amp;"","")&amp;"␟"&amp;IFERROR(INDEX(PASTE_ALL,$DF132,46)&amp;"","")&amp;"␟"&amp;IFERROR(INDEX(PASTE_ALL,$DF132,47)&amp;"","")&amp;"␟"&amp;IFERROR(INDEX(PASTE_ALL,$DF132,48)&amp;"","")&amp;"␟"&amp;IFERROR(INDEX(PASTE_ALL,$DF132,49)&amp;"","")&amp;"␟"&amp;IFERROR(INDEX(PASTE_ALL,$DF132,50)&amp;"","")&amp;"␟"&amp;IFERROR(INDEX(PASTE_ALL,$DF132,51)&amp;"","")&amp;"␟"&amp;IFERROR(INDEX(PASTE_ALL,$DF132,52)&amp;"","")&amp;"␟"&amp;IFERROR(INDEX(PASTE_ALL,$DF132,53)&amp;"","")&amp;"␟"&amp;IFERROR(INDEX(PASTE_ALL,$DF132,54)&amp;"","")&amp;"␟"&amp;IFERROR(INDEX(PASTE_ALL,$DF132,55)&amp;"","")&amp;"␟"&amp;IFERROR(INDEX(PASTE_ALL,$DF132,56)&amp;"","")&amp;"␟"&amp;IFERROR(INDEX(PASTE_ALL,$DF132,57)&amp;"","")&amp;"␟"&amp;IFERROR(INDEX(PASTE_ALL,$DF132,58)&amp;"","")&amp;"␟"&amp;IFERROR(INDEX(PASTE_ALL,$DF132,59)&amp;"","")&amp;"␟"&amp;IFERROR(INDEX(PASTE_ALL,$DF132,60)&amp;"","")," "," "),CHAR(9)," "),CHAR(10)," "),CHAR(13)," "))," ␟","␟"),"␟ ","␟"),"#"&amp;$DE132),"")</f>
        <v/>
      </c>
      <c r="DJ132">
        <f>IF($DI132="",0,IF(SUMPRODUCT(--EXACT($DI$4:DI131,$DI132))&gt;0,1,0))</f>
        <v/>
      </c>
      <c r="DK132">
        <f>IF(AND($DI132&lt;&gt;"",$DJ132=0),1,0)</f>
        <v/>
      </c>
      <c r="DL132">
        <f>DL131+$DK132</f>
        <v/>
      </c>
      <c r="DM132">
        <f>IF(AND($DK132=1,$DL132&lt;=600),1,0)</f>
        <v/>
      </c>
      <c r="DN132">
        <f>IF($DM132=0,"",IF($L$6=0,"",IFERROR(IF(ISNUMBER(INDEX(PASTE_ALL,$DF132,$L$6)),INDEX(PASTE_ALL,$DF132,$L$6),TRIM(SUBSTITUTE(SUBSTITUTE(SUBSTITUTE(SUBSTITUTE(INDEX(PASTE_ALL,$DF132,$L$6)," "," "),CHAR(9)," "),CHAR(10)," "),CHAR(13)," "))),"")))</f>
        <v/>
      </c>
      <c r="DO132">
        <f>IF($DM132=0,"",IF($L$7=0,"",IFERROR(IF(ISNUMBER(INDEX(PASTE_ALL,$DF132,$L$7)),INDEX(PASTE_ALL,$DF132,$L$7),TRIM(SUBSTITUTE(SUBSTITUTE(SUBSTITUTE(SUBSTITUTE(INDEX(PASTE_ALL,$DF132,$L$7)," "," "),CHAR(9)," "),CHAR(10)," "),CHAR(13)," "))),"")))</f>
        <v/>
      </c>
      <c r="DP132">
        <f>IF($DM132=0,"",IF($L$8=0,"",IFERROR(IF(ISNUMBER(INDEX(PASTE_ALL,$DF132,$L$8)),INDEX(PASTE_ALL,$DF132,$L$8),TRIM(SUBSTITUTE(SUBSTITUTE(SUBSTITUTE(SUBSTITUTE(INDEX(PASTE_ALL,$DF132,$L$8)," "," "),CHAR(9)," "),CHAR(10)," "),CHAR(13)," "))),"")))</f>
        <v/>
      </c>
      <c r="DQ132">
        <f>IF($DM132=0,"",IF($L$9=0,"",IFERROR(IF(ISNUMBER(INDEX(PASTE_ALL,$DF132,$L$9)),INDEX(PASTE_ALL,$DF132,$L$9),TRIM(SUBSTITUTE(SUBSTITUTE(SUBSTITUTE(SUBSTITUTE(INDEX(PASTE_ALL,$DF132,$L$9)," "," "),CHAR(9)," "),CHAR(10)," "),CHAR(13)," "))),"")))</f>
        <v/>
      </c>
      <c r="DR132">
        <f>IF($DM132=0,"",IF($L$10=0,"",IFERROR(IF(ISNUMBER(INDEX(PASTE_ALL,$DF132,$L$10)),INDEX(PASTE_ALL,$DF132,$L$10),TRIM(SUBSTITUTE(SUBSTITUTE(SUBSTITUTE(SUBSTITUTE(INDEX(PASTE_ALL,$DF132,$L$10)," "," "),CHAR(9)," "),CHAR(10)," "),CHAR(13)," "))),"")))</f>
        <v/>
      </c>
      <c r="DS132">
        <f>IF($DM132=0,"",IF($L$11=0,"",IFERROR(IF(ISNUMBER(INDEX(PASTE_ALL,$DF132,$L$11)),INDEX(PASTE_ALL,$DF132,$L$11),TRIM(SUBSTITUTE(SUBSTITUTE(SUBSTITUTE(SUBSTITUTE(INDEX(PASTE_ALL,$DF132,$L$11)," "," "),CHAR(9)," "),CHAR(10)," "),CHAR(13)," "))),"")))</f>
        <v/>
      </c>
      <c r="DT132">
        <f>IF($DM132=0,"",IF($L$12=0,"",IFERROR(IF(ISNUMBER(INDEX(PASTE_ALL,$DF132,$L$12)),INDEX(PASTE_ALL,$DF132,$L$12),TRIM(SUBSTITUTE(SUBSTITUTE(SUBSTITUTE(SUBSTITUTE(INDEX(PASTE_ALL,$DF132,$L$12)," "," "),CHAR(9)," "),CHAR(10)," "),CHAR(13)," "))),"")))</f>
        <v/>
      </c>
      <c r="DU132">
        <f>IF($DM132=0,"",IF($L$13=0,"",IFERROR(IF(ISNUMBER(INDEX(PASTE_ALL,$DF132,$L$13)),INDEX(PASTE_ALL,$DF132,$L$13),TRIM(SUBSTITUTE(SUBSTITUTE(SUBSTITUTE(SUBSTITUTE(INDEX(PASTE_ALL,$DF132,$L$13)," "," "),CHAR(9)," "),CHAR(10)," "),CHAR(13)," "))),"")))</f>
        <v/>
      </c>
      <c r="DV132">
        <f>IF($DM132=0,"",IF($L$14=0,"",IFERROR(IF(ISNUMBER(INDEX(PASTE_ALL,$DF132,$L$14)),INDEX(PASTE_ALL,$DF132,$L$14),TRIM(SUBSTITUTE(SUBSTITUTE(SUBSTITUTE(SUBSTITUTE(INDEX(PASTE_ALL,$DF132,$L$14)," "," "),CHAR(9)," "),CHAR(10)," "),CHAR(13)," "))),"")))</f>
        <v/>
      </c>
      <c r="DW132">
        <f>IF($DM132=0,"",IF($L$15=0,"",IFERROR(IF(ISNUMBER(INDEX(PASTE_ALL,$DF132,$L$15)),INDEX(PASTE_ALL,$DF132,$L$15),IF(SUMPRODUCT(--ISNUMBER(FIND({"A","B","C","D","E","F","G","H","I","J","K","L","M","N","O","P","Q","R","S","T","U","V","W","X","Y","Z","0","1","2","3","4","5","6","7","8","9"},UPPER(TRIM(SUBSTITUTE(SUBSTITUTE(SUBSTITUTE(SUBSTITUTE(INDEX(PASTE_ALL,$DF132,$L$15)," "," "),CHAR(9)," "),CHAR(10)," "),CHAR(13)," "))))))&gt;0,TRIM(SUBSTITUTE(SUBSTITUTE(SUBSTITUTE(SUBSTITUTE(INDEX(PASTE_ALL,$DF132,$L$15)," "," "),CHAR(9)," "),CHAR(10)," "),CHAR(13)," ")),"")),"")))</f>
        <v/>
      </c>
      <c r="DX132">
        <f>IF($DM132=0,"",IF($L$16=0,"",IFERROR(IF(ISNUMBER(INDEX(PASTE_ALL,$DF132,$L$16)),INDEX(PASTE_ALL,$DF132,$L$16),SUBSTITUTE(SUBSTITUTE(TRIM(SUBSTITUTE(SUBSTITUTE(SUBSTITUTE(SUBSTITUTE(INDEX(PASTE_ALL,$DF132,$L$16)," "," "),CHAR(9)," "),CHAR(10)," "),CHAR(13)," ")),",",""),"%","")),"")))</f>
        <v/>
      </c>
      <c r="DY132">
        <f>IF($DM132=0,"",IFERROR(IF(ISNUMBER($DX132),$DX132,IF($DX132="","",IF(TRIM($DX132)="",0,IF(AND(AND(SUBSTITUTE(SUBSTITUTE(SUBSTITUTE(SUBSTITUTE(SUBSTITUTE(SUBSTITUTE(SUBSTITUTE(SUBSTITUTE(SUBSTITUTE(SUBSTITUTE(SUBSTITUTE(SUBSTITUTE(SUBSTITUTE(SUBSTITUTE(UPPER(TRIM($DX132)),"0",""),"1",""),"2",""),"3",""),"4",""),"5",""),"6",""),"7",""),"8",""),"9",""),".",""),"+",""),"-",""),"E","")="",LEN(SUBSTITUTE(SUBSTITUTE(MID(UPPER(TRIM($DX132)),1+OR(LEFT(UPPER(TRIM($DX132)),1)="+",LEFT(UPPER(TRIM($DX132)),1)="-"),999),"E+","E"),"E-","E"))=LEN(SUBSTITUTE(SUBSTITUTE(SUBSTITUTE(SUBSTITUTE(MID(UPPER(TRIM($DX132)),1+OR(LEFT(UPPER(TRIM($DX132)),1)="+",LEFT(UPPER(TRIM($DX132)),1)="-"),999),"E+","E"),"E-","E"),"+",""),"-","")),LEN(UPPER(TRIM($DX132)))-LEN(SUBSTITUTE(UPPER(TRIM($DX132)),"E",""))&lt;2,LEN(UPPER(TRIM($DX132)))-LEN(SUBSTITUTE(UPPER(TRIM($DX132)),".",""))&lt;2,IFERROR(FIND(".",UPPER(TRIM($DX132))),0)&lt;IFERROR(FIND("E",UPPER(TRIM($DX132))),999)),ISNUMBER(VALUE(TRIM($DX132)))),VALUE(TRIM($DX132)),"")))),""))</f>
        <v/>
      </c>
      <c r="DZ132">
        <f>IF($DM132=0,"",IF($L$17=0,"",IFERROR(IF(ISNUMBER(INDEX(PASTE_ALL,$DF132,$L$17)),INDEX(PASTE_ALL,$DF132,$L$17),SUBSTITUTE(SUBSTITUTE(TRIM(SUBSTITUTE(SUBSTITUTE(SUBSTITUTE(SUBSTITUTE(INDEX(PASTE_ALL,$DF132,$L$17)," "," "),CHAR(9)," "),CHAR(10)," "),CHAR(13)," ")),",",""),"%","")),"")))</f>
        <v/>
      </c>
      <c r="EA132">
        <f>IF($DM132=0,"",IFERROR(IF(ISNUMBER($DZ132),$DZ132,IF($DZ132="","",IF(TRIM($DZ132)="",0,IF(AND(AND(SUBSTITUTE(SUBSTITUTE(SUBSTITUTE(SUBSTITUTE(SUBSTITUTE(SUBSTITUTE(SUBSTITUTE(SUBSTITUTE(SUBSTITUTE(SUBSTITUTE(SUBSTITUTE(SUBSTITUTE(SUBSTITUTE(SUBSTITUTE(UPPER(TRIM($DZ132)),"0",""),"1",""),"2",""),"3",""),"4",""),"5",""),"6",""),"7",""),"8",""),"9",""),".",""),"+",""),"-",""),"E","")="",LEN(SUBSTITUTE(SUBSTITUTE(MID(UPPER(TRIM($DZ132)),1+OR(LEFT(UPPER(TRIM($DZ132)),1)="+",LEFT(UPPER(TRIM($DZ132)),1)="-"),999),"E+","E"),"E-","E"))=LEN(SUBSTITUTE(SUBSTITUTE(SUBSTITUTE(SUBSTITUTE(MID(UPPER(TRIM($DZ132)),1+OR(LEFT(UPPER(TRIM($DZ132)),1)="+",LEFT(UPPER(TRIM($DZ132)),1)="-"),999),"E+","E"),"E-","E"),"+",""),"-","")),LEN(UPPER(TRIM($DZ132)))-LEN(SUBSTITUTE(UPPER(TRIM($DZ132)),"E",""))&lt;2,LEN(UPPER(TRIM($DZ132)))-LEN(SUBSTITUTE(UPPER(TRIM($DZ132)),".",""))&lt;2,IFERROR(FIND(".",UPPER(TRIM($DZ132))),0)&lt;IFERROR(FIND("E",UPPER(TRIM($DZ132))),999)),ISNUMBER(VALUE(TRIM($DZ132)))),VALUE(TRIM($DZ132)),"")))),""))</f>
        <v/>
      </c>
      <c r="EB132">
        <f>IF($DM132=0,"",IF($L$18=0,"",IFERROR(IF(UPPER(TRIM(SUBSTITUTE(SUBSTITUTE(SUBSTITUTE(SUBSTITUTE(INDEX(PASTE_ALL,$DF132,$L$18)," "," "),CHAR(9)," "),CHAR(10)," "),CHAR(13)," ")))="READY","Ready",IF(UPPER(TRIM(SUBSTITUTE(SUBSTITUTE(SUBSTITUTE(SUBSTITUTE(INDEX(PASTE_ALL,$DF132,$L$18)," "," "),CHAR(9)," "),CHAR(10)," "),CHAR(13)," ")))="PM","PM",IF(OR(UPPER(TRIM(SUBSTITUTE(SUBSTITUTE(SUBSTITUTE(SUBSTITUTE(INDEX(PASTE_ALL,$DF132,$L$18)," "," "),CHAR(9)," "),CHAR(10)," "),CHAR(13)," ")))="OT",UPPER(TRIM(SUBSTITUTE(SUBSTITUTE(SUBSTITUTE(SUBSTITUTE(INDEX(PASTE_ALL,$DF132,$L$18)," "," "),CHAR(9)," "),CHAR(10)," "),CHAR(13)," ")))="OVERTIME",UPPER(TRIM(SUBSTITUTE(SUBSTITUTE(SUBSTITUTE(SUBSTITUTE(INDEX(PASTE_ALL,$DF132,$L$18)," "," "),CHAR(9)," "),CHAR(10)," "),CHAR(13)," ")))="TRIAL"),"OT",TRIM(SUBSTITUTE(SUBSTITUTE(SUBSTITUTE(SUBSTITUTE(INDEX(PASTE_ALL,$DF132,$L$18)," "," "),CHAR(9)," "),CHAR(10)," "),CHAR(13)," "))))),"")))</f>
        <v/>
      </c>
      <c r="EC132">
        <f>IF($DM132=0,"",IF($L$19=0,"",IFERROR(IF(ISNUMBER(INDEX(PASTE_ALL,$DF132,$L$19)),INDEX(PASTE_ALL,$DF132,$L$19),TRIM(SUBSTITUTE(SUBSTITUTE(SUBSTITUTE(SUBSTITUTE(INDEX(PASTE_ALL,$DF132,$L$19)," "," "),CHAR(9)," "),CHAR(10)," "),CHAR(13)," "))),"")))</f>
        <v/>
      </c>
      <c r="ED132">
        <f>IF($DM132=0,"",MATCH(1,INDEX(EXACT($DH$5:DH132,$DH132)*$DM$5:DM132,0),0))</f>
        <v/>
      </c>
      <c r="EE132">
        <f>IF($DM132=0,0,IF($ED132=$DE132,1,0))</f>
        <v/>
      </c>
      <c r="EF132">
        <f>EF131+$EE132</f>
        <v/>
      </c>
      <c r="EG132">
        <f>IF($DM132=0,"",INDEX($EF$5:$EF$1003,$ED132))</f>
        <v/>
      </c>
      <c r="EH132">
        <f>IF($DM132=0,"",IF($DO132&lt;&gt;"","",IFERROR(LOOKUP(2,1/(($EG$4:EG131=$EG132)*($DO$4:DO131&lt;&gt;"")),$DO$4:DO131),"")))</f>
        <v/>
      </c>
      <c r="EI132">
        <f>IF($DM132=0,"",IF($DO132&lt;&gt;"",$DO132,$EH132))</f>
        <v/>
      </c>
      <c r="EJ132">
        <f>IF($DM132=0,"",IF($EI132="",0,IF(OR(ISNUMBER($EI132),AND(AND(SUBSTITUTE(SUBSTITUTE(SUBSTITUTE(SUBSTITUTE(SUBSTITUTE(SUBSTITUTE(SUBSTITUTE(SUBSTITUTE(SUBSTITUTE(SUBSTITUTE(SUBSTITUTE(SUBSTITUTE(SUBSTITUTE(SUBSTITUTE(UPPER($EI132),"0",""),"1",""),"2",""),"3",""),"4",""),"5",""),"6",""),"7",""),"8",""),"9",""),".",""),"+",""),"-",""),"E","")="",LEN(SUBSTITUTE(SUBSTITUTE(MID(UPPER($EI132),1+OR(LEFT(UPPER($EI132),1)="+",LEFT(UPPER($EI132),1)="-"),999),"E+","E"),"E-","E"))=LEN(SUBSTITUTE(SUBSTITUTE(SUBSTITUTE(SUBSTITUTE(MID(UPPER($EI132),1+OR(LEFT(UPPER($EI132),1)="+",LEFT(UPPER($EI132),1)="-"),999),"E+","E"),"E-","E"),"+",""),"-","")),LEN(UPPER($EI132))-LEN(SUBSTITUTE(UPPER($EI132),"E",""))&lt;2,LEN(UPPER($EI132))-LEN(SUBSTITUTE(UPPER($EI132),".",""))&lt;2,IFERROR(FIND(".",UPPER($EI132)),0)&lt;IFERROR(FIND("E",UPPER($EI132)),999)),ISNUMBER(VALUE($EI132)))),1,2)))</f>
        <v/>
      </c>
      <c r="EK132">
        <f>IF($DM132=0,"",IF($EJ132=1,IF(ISNUMBER($EI132),$EI132,VALUE($EI132)),IF($EJ132=2,$DE132,0)))</f>
        <v/>
      </c>
      <c r="EL132">
        <f>IF($DM132=0,"",COUNTIF($EG$5:$EG$1003,"&lt;"&amp;$EG132)+SUMPRODUCT(($EG$5:$EG$1003=$EG132)*(($EJ$5:$EJ$1003&lt;$EJ132)+($EJ$5:$EJ$1003=$EJ132)*(($EK$5:$EK$1003&lt;$EK132)+($EK$5:$EK$1003=$EK132)*($DE$5:$DE$1003&lt;$DE132))))+1)</f>
        <v/>
      </c>
      <c r="EM132">
        <f>IF($DM132=0,"",$EL132+$EG132-1)</f>
        <v/>
      </c>
      <c r="EN132">
        <f>IF($DM132=0,0,IFERROR(MATCH(1,INDEX(--(TRIM(SUBSTITUTE(SUBSTITUTE(SUBSTITUTE(SUBSTITUTE(LINES_NAME&amp;""," "," "),CHAR(9)," "),CHAR(10)," "),CHAR(13)," "))=$DH132),0),0),0))</f>
        <v/>
      </c>
      <c r="EO132">
        <f>IF($EN132=0,0,IF(OR(UPPER(TRIM(INDEX(LINES_SCHEDULED,$EN132)&amp;""))="YES",UPPER(TRIM(INDEX(LINES_SCHEDULED,$EN132)&amp;""))="Y",UPPER(TRIM(INDEX(LINES_SCHEDULED,$EN132)&amp;""))="X"),1,0))</f>
        <v/>
      </c>
      <c r="EP132">
        <f>IF($DM132=0,"",IF(COUNTIFS($EG$5:$EG$1003,$EG132,$EB$5:$EB$1003,"Ready")&gt;0,"READY",IF(COUNTIFS($EG$5:$EG$1003,$EG132,$EB$5:$EB$1003,"PM")&gt;0,"PM",IF(COUNTIFS($EG$5:$EG$1003,$EG132,$EB$5:$EB$1003,"OT")&gt;0,"OT",""))))</f>
        <v/>
      </c>
      <c r="EQ132">
        <f>IF($EN132=0,"",UPPER(TRIM(INDEX(LINES_STATUS,$EN132)&amp;"")))</f>
        <v/>
      </c>
      <c r="ER132">
        <f>IF($DM132=0,"",IF(OR($EQ132="READY",$EQ132="PM",$EQ132="OT"),$EQ132,$EP132))</f>
        <v/>
      </c>
      <c r="ES132">
        <f>IF($DM132=0,"",IF(AND($DV132&lt;&gt;"",UPPER($DV132)&lt;&gt;"N"),"allergen",IF(ISNUMBER(SEARCH("oil",$DQ132)),"oil",IF(OR(EXACT($DS132,"A662"),EXACT($DS132,"A624")),"bulk",""))))</f>
        <v/>
      </c>
      <c r="ET132">
        <f>IF($DM132=0,"",IF(OR($EA132="",$EA132=0),"",$EA132/100))</f>
        <v/>
      </c>
      <c r="EU132">
        <f>IF(OR($ET132="",$DY132=""),"",INT($DY132*(1-$ET132)+0.5))</f>
        <v/>
      </c>
      <c r="EW132" t="n">
        <v>128</v>
      </c>
      <c r="EX132">
        <f>IFERROR(MATCH($EW132,$EM$5:$EM$1003,0),0)</f>
        <v/>
      </c>
      <c r="EY132">
        <f>IF($EW132&gt;$B$12,"",IF($EX132&gt;0,"row","spacer"))</f>
        <v/>
      </c>
      <c r="EZ132">
        <f>IF(AND($EY132="row",$EY131&lt;&gt;"row"),1,0)</f>
        <v/>
      </c>
      <c r="FA132">
        <f>IF(AND($EY132="row",$EY133&lt;&gt;"row"),1,0)</f>
        <v/>
      </c>
      <c r="FB132">
        <f>IF($EZ132=1,IFERROR(IF(ISNUMBER(INDEX(PASTE_ALL,INDEX($DF$5:$DF$1003,$EX132),$B$37)),INDEX(PASTE_ALL,INDEX($DF$5:$DF$1003,$EX132),$B$37),INDEX($DH$5:$DH$1003,$EX132)),INDEX($DH$5:$DH$1003,$EX132)),"")</f>
        <v/>
      </c>
      <c r="FC132">
        <f>IF($EY132="row",INDEX($ER$5:$ER$1003,$EX132),"")</f>
        <v/>
      </c>
      <c r="FD132">
        <f>IF($EY132="row",INDEX($DN$5:$DN$1003,$EX132),"")</f>
        <v/>
      </c>
      <c r="FE132">
        <f>IF($EY132="row",INDEX($DO$5:$DO$1003,$EX132),"")</f>
        <v/>
      </c>
      <c r="FF132">
        <f>IF($EY132="row",INDEX($DP$5:$DP$1003,$EX132),"")</f>
        <v/>
      </c>
      <c r="FG132">
        <f>IF($EY132="row",INDEX($DQ$5:$DQ$1003,$EX132),"")</f>
        <v/>
      </c>
      <c r="FH132">
        <f>IF($EY132="row",INDEX($DR$5:$DR$1003,$EX132),"")</f>
        <v/>
      </c>
      <c r="FI132">
        <f>IF($EY132="row",INDEX($DS$5:$DS$1003,$EX132),"")</f>
        <v/>
      </c>
      <c r="FJ132">
        <f>IF($EY132="row",INDEX($DT$5:$DT$1003,$EX132),"")</f>
        <v/>
      </c>
      <c r="FK132">
        <f>IF($EY132="row",INDEX($DU$5:$DU$1003,$EX132),"")</f>
        <v/>
      </c>
      <c r="FL132">
        <f>IF($EY132="row",INDEX($DV$5:$DV$1003,$EX132),"")</f>
        <v/>
      </c>
      <c r="FM132">
        <f>IF($EY132="row",INDEX($DW$5:$DW$1003,$EX132),"")</f>
        <v/>
      </c>
      <c r="FN132">
        <f>IF($EY132="row",INDEX($DY$5:$DY$1003,$EX132),"")</f>
        <v/>
      </c>
      <c r="FO132">
        <f>IF($EY132="row",INDEX($EA$5:$EA$1003,$EX132),"")</f>
        <v/>
      </c>
      <c r="FP132">
        <f>IF($EY132="row",INDEX($EC$5:$EC$1003,$EX132),"")</f>
        <v/>
      </c>
      <c r="FQ132">
        <f>IF($EY132="row",INDEX($ET$5:$ET$1003,$EX132),"")</f>
        <v/>
      </c>
      <c r="FR132">
        <f>IF($EY132="row",INDEX($EU$5:$EU$1003,$EX132),"")</f>
        <v/>
      </c>
      <c r="FS132">
        <f>IF(AND($EY132="row",$EY131="row"),IF(OR(INDEX($DT$5:$DT$1003,$EX131)="",INDEX($DT$5:$DT$1003,$EX132)=""),"",IF(NOT(EXACT(INDEX($DT$5:$DT$1003,$EX131),INDEX($DT$5:$DT$1003,$EX132))),"S4",IF(NOT(EXACT(INDEX($DS$5:$DS$1003,$EX131),INDEX($DS$5:$DS$1003,$EX132))),"S3",IF(NOT(EXACT(INDEX($DR$5:$DR$1003,$EX131),INDEX($DR$5:$DR$1003,$EX132))),"S1 Count Change","S1")))),"")</f>
        <v/>
      </c>
      <c r="FT132">
        <f>IF($EY132="row",INDEX($ES$5:$ES$1003,$EX132),"")</f>
        <v/>
      </c>
      <c r="FU132">
        <f>IF($EY132="row",INDEX($EO$5:$EO$1003,$EX132),0)</f>
        <v/>
      </c>
      <c r="FV132">
        <f>IF($FS132="S1 Count Change",1,0)</f>
        <v/>
      </c>
    </row>
    <row r="133">
      <c r="Y133">
        <f>IF(Y43="",0,IFERROR(INDEX($W$5:$W$86,MATCH(Y43,$V$5:$V$86,0)),0))</f>
        <v/>
      </c>
      <c r="Z133">
        <f>IF(Z43="",0,IFERROR(INDEX($W$5:$W$86,MATCH(Z43,$V$5:$V$86,0)),0))</f>
        <v/>
      </c>
      <c r="AA133">
        <f>IF(AA43="",0,IFERROR(INDEX($W$5:$W$86,MATCH(AA43,$V$5:$V$86,0)),0))</f>
        <v/>
      </c>
      <c r="AB133">
        <f>IF(AB43="",0,IFERROR(INDEX($W$5:$W$86,MATCH(AB43,$V$5:$V$86,0)),0))</f>
        <v/>
      </c>
      <c r="AC133">
        <f>IF(AC43="",0,IFERROR(INDEX($W$5:$W$86,MATCH(AC43,$V$5:$V$86,0)),0))</f>
        <v/>
      </c>
      <c r="AD133">
        <f>IF(AD43="",0,IFERROR(INDEX($W$5:$W$86,MATCH(AD43,$V$5:$V$86,0)),0))</f>
        <v/>
      </c>
      <c r="AE133">
        <f>IF(AE43="",0,IFERROR(INDEX($W$5:$W$86,MATCH(AE43,$V$5:$V$86,0)),0))</f>
        <v/>
      </c>
      <c r="AF133">
        <f>IF(AF43="",0,IFERROR(INDEX($W$5:$W$86,MATCH(AF43,$V$5:$V$86,0)),0))</f>
        <v/>
      </c>
      <c r="AG133">
        <f>IF(AG43="",0,IFERROR(INDEX($W$5:$W$86,MATCH(AG43,$V$5:$V$86,0)),0))</f>
        <v/>
      </c>
      <c r="AH133">
        <f>IF(AH43="",0,IFERROR(INDEX($W$5:$W$86,MATCH(AH43,$V$5:$V$86,0)),0))</f>
        <v/>
      </c>
      <c r="AI133">
        <f>IF(AI43="",0,IFERROR(INDEX($W$5:$W$86,MATCH(AI43,$V$5:$V$86,0)),0))</f>
        <v/>
      </c>
      <c r="AJ133">
        <f>IF(AJ43="",0,IFERROR(INDEX($W$5:$W$86,MATCH(AJ43,$V$5:$V$86,0)),0))</f>
        <v/>
      </c>
      <c r="AK133">
        <f>IF(AK43="",0,IFERROR(INDEX($W$5:$W$86,MATCH(AK43,$V$5:$V$86,0)),0))</f>
        <v/>
      </c>
      <c r="AL133">
        <f>IF(AL43="",0,IFERROR(INDEX($W$5:$W$86,MATCH(AL43,$V$5:$V$86,0)),0))</f>
        <v/>
      </c>
      <c r="AM133">
        <f>IF(AM43="",0,IFERROR(INDEX($W$5:$W$86,MATCH(AM43,$V$5:$V$86,0)),0))</f>
        <v/>
      </c>
      <c r="AN133">
        <f>IF(AN43="",0,IFERROR(INDEX($W$5:$W$86,MATCH(AN43,$V$5:$V$86,0)),0))</f>
        <v/>
      </c>
      <c r="AO133">
        <f>IF(AO43="",0,IFERROR(INDEX($W$5:$W$86,MATCH(AO43,$V$5:$V$86,0)),0))</f>
        <v/>
      </c>
      <c r="AP133">
        <f>IF(AP43="",0,IFERROR(INDEX($W$5:$W$86,MATCH(AP43,$V$5:$V$86,0)),0))</f>
        <v/>
      </c>
      <c r="AQ133">
        <f>IF(AQ43="",0,IFERROR(INDEX($W$5:$W$86,MATCH(AQ43,$V$5:$V$86,0)),0))</f>
        <v/>
      </c>
      <c r="AR133">
        <f>IF(AR43="",0,IFERROR(INDEX($W$5:$W$86,MATCH(AR43,$V$5:$V$86,0)),0))</f>
        <v/>
      </c>
      <c r="AS133">
        <f>IF(AS43="",0,IFERROR(INDEX($W$5:$W$86,MATCH(AS43,$V$5:$V$86,0)),0))</f>
        <v/>
      </c>
      <c r="AT133">
        <f>IF(AT43="",0,IFERROR(INDEX($W$5:$W$86,MATCH(AT43,$V$5:$V$86,0)),0))</f>
        <v/>
      </c>
      <c r="AU133">
        <f>IF(AU43="",0,IFERROR(INDEX($W$5:$W$86,MATCH(AU43,$V$5:$V$86,0)),0))</f>
        <v/>
      </c>
      <c r="AV133">
        <f>IF(AV43="",0,IFERROR(INDEX($W$5:$W$86,MATCH(AV43,$V$5:$V$86,0)),0))</f>
        <v/>
      </c>
      <c r="AW133">
        <f>IF(AW43="",0,IFERROR(INDEX($W$5:$W$86,MATCH(AW43,$V$5:$V$86,0)),0))</f>
        <v/>
      </c>
      <c r="AX133">
        <f>IF(AX43="",0,IFERROR(INDEX($W$5:$W$86,MATCH(AX43,$V$5:$V$86,0)),0))</f>
        <v/>
      </c>
      <c r="AY133">
        <f>IF(AY43="",0,IFERROR(INDEX($W$5:$W$86,MATCH(AY43,$V$5:$V$86,0)),0))</f>
        <v/>
      </c>
      <c r="AZ133">
        <f>IF(AZ43="",0,IFERROR(INDEX($W$5:$W$86,MATCH(AZ43,$V$5:$V$86,0)),0))</f>
        <v/>
      </c>
      <c r="BA133">
        <f>IF(BA43="",0,IFERROR(INDEX($W$5:$W$86,MATCH(BA43,$V$5:$V$86,0)),0))</f>
        <v/>
      </c>
      <c r="BB133">
        <f>IF(BB43="",0,IFERROR(INDEX($W$5:$W$86,MATCH(BB43,$V$5:$V$86,0)),0))</f>
        <v/>
      </c>
      <c r="BC133">
        <f>IF(BC43="",0,IFERROR(INDEX($W$5:$W$86,MATCH(BC43,$V$5:$V$86,0)),0))</f>
        <v/>
      </c>
      <c r="BD133">
        <f>IF(BD43="",0,IFERROR(INDEX($W$5:$W$86,MATCH(BD43,$V$5:$V$86,0)),0))</f>
        <v/>
      </c>
      <c r="BE133">
        <f>IF(BE43="",0,IFERROR(INDEX($W$5:$W$86,MATCH(BE43,$V$5:$V$86,0)),0))</f>
        <v/>
      </c>
      <c r="BF133">
        <f>IF(BF43="",0,IFERROR(INDEX($W$5:$W$86,MATCH(BF43,$V$5:$V$86,0)),0))</f>
        <v/>
      </c>
      <c r="BG133">
        <f>IF(BG43="",0,IFERROR(INDEX($W$5:$W$86,MATCH(BG43,$V$5:$V$86,0)),0))</f>
        <v/>
      </c>
      <c r="BH133">
        <f>IF(BH43="",0,IFERROR(INDEX($W$5:$W$86,MATCH(BH43,$V$5:$V$86,0)),0))</f>
        <v/>
      </c>
      <c r="BI133">
        <f>IF(BI43="",0,IFERROR(INDEX($W$5:$W$86,MATCH(BI43,$V$5:$V$86,0)),0))</f>
        <v/>
      </c>
      <c r="BJ133">
        <f>IF(BJ43="",0,IFERROR(INDEX($W$5:$W$86,MATCH(BJ43,$V$5:$V$86,0)),0))</f>
        <v/>
      </c>
      <c r="BK133">
        <f>IF(BK43="",0,IFERROR(INDEX($W$5:$W$86,MATCH(BK43,$V$5:$V$86,0)),0))</f>
        <v/>
      </c>
      <c r="BL133">
        <f>IF(BL43="",0,IFERROR(INDEX($W$5:$W$86,MATCH(BL43,$V$5:$V$86,0)),0))</f>
        <v/>
      </c>
      <c r="BM133">
        <f>IF(BM43="",0,IFERROR(INDEX($W$5:$W$86,MATCH(BM43,$V$5:$V$86,0)),0))</f>
        <v/>
      </c>
      <c r="BN133">
        <f>IF(BN43="",0,IFERROR(INDEX($W$5:$W$86,MATCH(BN43,$V$5:$V$86,0)),0))</f>
        <v/>
      </c>
      <c r="BO133">
        <f>IF(BO43="",0,IFERROR(INDEX($W$5:$W$86,MATCH(BO43,$V$5:$V$86,0)),0))</f>
        <v/>
      </c>
      <c r="BP133">
        <f>IF(BP43="",0,IFERROR(INDEX($W$5:$W$86,MATCH(BP43,$V$5:$V$86,0)),0))</f>
        <v/>
      </c>
      <c r="BQ133">
        <f>IF(BQ43="",0,IFERROR(INDEX($W$5:$W$86,MATCH(BQ43,$V$5:$V$86,0)),0))</f>
        <v/>
      </c>
      <c r="BR133">
        <f>IF(BR43="",0,IFERROR(INDEX($W$5:$W$86,MATCH(BR43,$V$5:$V$86,0)),0))</f>
        <v/>
      </c>
      <c r="BS133">
        <f>IF(BS43="",0,IFERROR(INDEX($W$5:$W$86,MATCH(BS43,$V$5:$V$86,0)),0))</f>
        <v/>
      </c>
      <c r="BT133">
        <f>IF(BT43="",0,IFERROR(INDEX($W$5:$W$86,MATCH(BT43,$V$5:$V$86,0)),0))</f>
        <v/>
      </c>
      <c r="BU133">
        <f>IF(BU43="",0,IFERROR(INDEX($W$5:$W$86,MATCH(BU43,$V$5:$V$86,0)),0))</f>
        <v/>
      </c>
      <c r="BV133">
        <f>IF(BV43="",0,IFERROR(INDEX($W$5:$W$86,MATCH(BV43,$V$5:$V$86,0)),0))</f>
        <v/>
      </c>
      <c r="BW133">
        <f>IF(BW43="",0,IFERROR(INDEX($W$5:$W$86,MATCH(BW43,$V$5:$V$86,0)),0))</f>
        <v/>
      </c>
      <c r="BX133">
        <f>IF(BX43="",0,IFERROR(INDEX($W$5:$W$86,MATCH(BX43,$V$5:$V$86,0)),0))</f>
        <v/>
      </c>
      <c r="BY133">
        <f>IF(BY43="",0,IFERROR(INDEX($W$5:$W$86,MATCH(BY43,$V$5:$V$86,0)),0))</f>
        <v/>
      </c>
      <c r="BZ133">
        <f>IF(BZ43="",0,IFERROR(INDEX($W$5:$W$86,MATCH(BZ43,$V$5:$V$86,0)),0))</f>
        <v/>
      </c>
      <c r="CA133">
        <f>IF(CA43="",0,IFERROR(INDEX($W$5:$W$86,MATCH(CA43,$V$5:$V$86,0)),0))</f>
        <v/>
      </c>
      <c r="CB133">
        <f>IF(CB43="",0,IFERROR(INDEX($W$5:$W$86,MATCH(CB43,$V$5:$V$86,0)),0))</f>
        <v/>
      </c>
      <c r="CC133">
        <f>IF(CC43="",0,IFERROR(INDEX($W$5:$W$86,MATCH(CC43,$V$5:$V$86,0)),0))</f>
        <v/>
      </c>
      <c r="CD133">
        <f>IF(CD43="",0,IFERROR(INDEX($W$5:$W$86,MATCH(CD43,$V$5:$V$86,0)),0))</f>
        <v/>
      </c>
      <c r="CE133">
        <f>IF(CE43="",0,IFERROR(INDEX($W$5:$W$86,MATCH(CE43,$V$5:$V$86,0)),0))</f>
        <v/>
      </c>
      <c r="CF133">
        <f>IF(CF43="",0,IFERROR(INDEX($W$5:$W$86,MATCH(CF43,$V$5:$V$86,0)),0))</f>
        <v/>
      </c>
      <c r="DA133" t="n">
        <v>129</v>
      </c>
      <c r="DB133">
        <f>IF($B$37=0,"",IFERROR(TRIM(SUBSTITUTE(SUBSTITUTE(SUBSTITUTE(SUBSTITUTE(INDEX(PASTE_ALL,129,$B$37)," "," "),CHAR(9)," "),CHAR(10)," "),CHAR(13)," ")),""))</f>
        <v/>
      </c>
      <c r="DC133">
        <f>IF(AND(129&gt;HEADER_ROW,UPPER(DB133)="LEGEND"),1,0)</f>
        <v/>
      </c>
      <c r="DE133" t="n">
        <v>129</v>
      </c>
      <c r="DF133">
        <f>HEADER_ROW+$DE133</f>
        <v/>
      </c>
      <c r="DG133">
        <f>IF(AND($DF133&lt;=1000,$DF133&lt;$B$8),1,0)</f>
        <v/>
      </c>
      <c r="DH133">
        <f>IF($DG133=1,IFERROR(INDEX($DB$5:$DB$1004,$DF133),""),"")</f>
        <v/>
      </c>
      <c r="DI133">
        <f>IF(AND($DG133=1,$DH133&lt;&gt;""),IFERROR(SUBSTITUTE(SUBSTITUTE(TRIM(SUBSTITUTE(SUBSTITUTE(SUBSTITUTE(SUBSTITUTE(IFERROR(INDEX(PASTE_ALL,$DF133,1)&amp;"","")&amp;"␟"&amp;IFERROR(INDEX(PASTE_ALL,$DF133,2)&amp;"","")&amp;"␟"&amp;IFERROR(INDEX(PASTE_ALL,$DF133,3)&amp;"","")&amp;"␟"&amp;IFERROR(INDEX(PASTE_ALL,$DF133,4)&amp;"","")&amp;"␟"&amp;IFERROR(INDEX(PASTE_ALL,$DF133,5)&amp;"","")&amp;"␟"&amp;IFERROR(INDEX(PASTE_ALL,$DF133,6)&amp;"","")&amp;"␟"&amp;IFERROR(INDEX(PASTE_ALL,$DF133,7)&amp;"","")&amp;"␟"&amp;IFERROR(INDEX(PASTE_ALL,$DF133,8)&amp;"","")&amp;"␟"&amp;IFERROR(INDEX(PASTE_ALL,$DF133,9)&amp;"","")&amp;"␟"&amp;IFERROR(INDEX(PASTE_ALL,$DF133,10)&amp;"","")&amp;"␟"&amp;IFERROR(INDEX(PASTE_ALL,$DF133,11)&amp;"","")&amp;"␟"&amp;IFERROR(INDEX(PASTE_ALL,$DF133,12)&amp;"","")&amp;"␟"&amp;IFERROR(INDEX(PASTE_ALL,$DF133,13)&amp;"","")&amp;"␟"&amp;IFERROR(INDEX(PASTE_ALL,$DF133,14)&amp;"","")&amp;"␟"&amp;IFERROR(INDEX(PASTE_ALL,$DF133,15)&amp;"","")&amp;"␟"&amp;IFERROR(INDEX(PASTE_ALL,$DF133,16)&amp;"","")&amp;"␟"&amp;IFERROR(INDEX(PASTE_ALL,$DF133,17)&amp;"","")&amp;"␟"&amp;IFERROR(INDEX(PASTE_ALL,$DF133,18)&amp;"","")&amp;"␟"&amp;IFERROR(INDEX(PASTE_ALL,$DF133,19)&amp;"","")&amp;"␟"&amp;IFERROR(INDEX(PASTE_ALL,$DF133,20)&amp;"","")&amp;"␟"&amp;IFERROR(INDEX(PASTE_ALL,$DF133,21)&amp;"","")&amp;"␟"&amp;IFERROR(INDEX(PASTE_ALL,$DF133,22)&amp;"","")&amp;"␟"&amp;IFERROR(INDEX(PASTE_ALL,$DF133,23)&amp;"","")&amp;"␟"&amp;IFERROR(INDEX(PASTE_ALL,$DF133,24)&amp;"","")&amp;"␟"&amp;IFERROR(INDEX(PASTE_ALL,$DF133,25)&amp;"","")&amp;"␟"&amp;IFERROR(INDEX(PASTE_ALL,$DF133,26)&amp;"","")&amp;"␟"&amp;IFERROR(INDEX(PASTE_ALL,$DF133,27)&amp;"","")&amp;"␟"&amp;IFERROR(INDEX(PASTE_ALL,$DF133,28)&amp;"","")&amp;"␟"&amp;IFERROR(INDEX(PASTE_ALL,$DF133,29)&amp;"","")&amp;"␟"&amp;IFERROR(INDEX(PASTE_ALL,$DF133,30)&amp;"","")&amp;"␟"&amp;IFERROR(INDEX(PASTE_ALL,$DF133,31)&amp;"","")&amp;"␟"&amp;IFERROR(INDEX(PASTE_ALL,$DF133,32)&amp;"","")&amp;"␟"&amp;IFERROR(INDEX(PASTE_ALL,$DF133,33)&amp;"","")&amp;"␟"&amp;IFERROR(INDEX(PASTE_ALL,$DF133,34)&amp;"","")&amp;"␟"&amp;IFERROR(INDEX(PASTE_ALL,$DF133,35)&amp;"","")&amp;"␟"&amp;IFERROR(INDEX(PASTE_ALL,$DF133,36)&amp;"","")&amp;"␟"&amp;IFERROR(INDEX(PASTE_ALL,$DF133,37)&amp;"","")&amp;"␟"&amp;IFERROR(INDEX(PASTE_ALL,$DF133,38)&amp;"","")&amp;"␟"&amp;IFERROR(INDEX(PASTE_ALL,$DF133,39)&amp;"","")&amp;"␟"&amp;IFERROR(INDEX(PASTE_ALL,$DF133,40)&amp;"","")&amp;"␟"&amp;IFERROR(INDEX(PASTE_ALL,$DF133,41)&amp;"","")&amp;"␟"&amp;IFERROR(INDEX(PASTE_ALL,$DF133,42)&amp;"","")&amp;"␟"&amp;IFERROR(INDEX(PASTE_ALL,$DF133,43)&amp;"","")&amp;"␟"&amp;IFERROR(INDEX(PASTE_ALL,$DF133,44)&amp;"","")&amp;"␟"&amp;IFERROR(INDEX(PASTE_ALL,$DF133,45)&amp;"","")&amp;"␟"&amp;IFERROR(INDEX(PASTE_ALL,$DF133,46)&amp;"","")&amp;"␟"&amp;IFERROR(INDEX(PASTE_ALL,$DF133,47)&amp;"","")&amp;"␟"&amp;IFERROR(INDEX(PASTE_ALL,$DF133,48)&amp;"","")&amp;"␟"&amp;IFERROR(INDEX(PASTE_ALL,$DF133,49)&amp;"","")&amp;"␟"&amp;IFERROR(INDEX(PASTE_ALL,$DF133,50)&amp;"","")&amp;"␟"&amp;IFERROR(INDEX(PASTE_ALL,$DF133,51)&amp;"","")&amp;"␟"&amp;IFERROR(INDEX(PASTE_ALL,$DF133,52)&amp;"","")&amp;"␟"&amp;IFERROR(INDEX(PASTE_ALL,$DF133,53)&amp;"","")&amp;"␟"&amp;IFERROR(INDEX(PASTE_ALL,$DF133,54)&amp;"","")&amp;"␟"&amp;IFERROR(INDEX(PASTE_ALL,$DF133,55)&amp;"","")&amp;"␟"&amp;IFERROR(INDEX(PASTE_ALL,$DF133,56)&amp;"","")&amp;"␟"&amp;IFERROR(INDEX(PASTE_ALL,$DF133,57)&amp;"","")&amp;"␟"&amp;IFERROR(INDEX(PASTE_ALL,$DF133,58)&amp;"","")&amp;"␟"&amp;IFERROR(INDEX(PASTE_ALL,$DF133,59)&amp;"","")&amp;"␟"&amp;IFERROR(INDEX(PASTE_ALL,$DF133,60)&amp;"","")," "," "),CHAR(9)," "),CHAR(10)," "),CHAR(13)," "))," ␟","␟"),"␟ ","␟"),"#"&amp;$DE133),"")</f>
        <v/>
      </c>
      <c r="DJ133">
        <f>IF($DI133="",0,IF(SUMPRODUCT(--EXACT($DI$4:DI132,$DI133))&gt;0,1,0))</f>
        <v/>
      </c>
      <c r="DK133">
        <f>IF(AND($DI133&lt;&gt;"",$DJ133=0),1,0)</f>
        <v/>
      </c>
      <c r="DL133">
        <f>DL132+$DK133</f>
        <v/>
      </c>
      <c r="DM133">
        <f>IF(AND($DK133=1,$DL133&lt;=600),1,0)</f>
        <v/>
      </c>
      <c r="DN133">
        <f>IF($DM133=0,"",IF($L$6=0,"",IFERROR(IF(ISNUMBER(INDEX(PASTE_ALL,$DF133,$L$6)),INDEX(PASTE_ALL,$DF133,$L$6),TRIM(SUBSTITUTE(SUBSTITUTE(SUBSTITUTE(SUBSTITUTE(INDEX(PASTE_ALL,$DF133,$L$6)," "," "),CHAR(9)," "),CHAR(10)," "),CHAR(13)," "))),"")))</f>
        <v/>
      </c>
      <c r="DO133">
        <f>IF($DM133=0,"",IF($L$7=0,"",IFERROR(IF(ISNUMBER(INDEX(PASTE_ALL,$DF133,$L$7)),INDEX(PASTE_ALL,$DF133,$L$7),TRIM(SUBSTITUTE(SUBSTITUTE(SUBSTITUTE(SUBSTITUTE(INDEX(PASTE_ALL,$DF133,$L$7)," "," "),CHAR(9)," "),CHAR(10)," "),CHAR(13)," "))),"")))</f>
        <v/>
      </c>
      <c r="DP133">
        <f>IF($DM133=0,"",IF($L$8=0,"",IFERROR(IF(ISNUMBER(INDEX(PASTE_ALL,$DF133,$L$8)),INDEX(PASTE_ALL,$DF133,$L$8),TRIM(SUBSTITUTE(SUBSTITUTE(SUBSTITUTE(SUBSTITUTE(INDEX(PASTE_ALL,$DF133,$L$8)," "," "),CHAR(9)," "),CHAR(10)," "),CHAR(13)," "))),"")))</f>
        <v/>
      </c>
      <c r="DQ133">
        <f>IF($DM133=0,"",IF($L$9=0,"",IFERROR(IF(ISNUMBER(INDEX(PASTE_ALL,$DF133,$L$9)),INDEX(PASTE_ALL,$DF133,$L$9),TRIM(SUBSTITUTE(SUBSTITUTE(SUBSTITUTE(SUBSTITUTE(INDEX(PASTE_ALL,$DF133,$L$9)," "," "),CHAR(9)," "),CHAR(10)," "),CHAR(13)," "))),"")))</f>
        <v/>
      </c>
      <c r="DR133">
        <f>IF($DM133=0,"",IF($L$10=0,"",IFERROR(IF(ISNUMBER(INDEX(PASTE_ALL,$DF133,$L$10)),INDEX(PASTE_ALL,$DF133,$L$10),TRIM(SUBSTITUTE(SUBSTITUTE(SUBSTITUTE(SUBSTITUTE(INDEX(PASTE_ALL,$DF133,$L$10)," "," "),CHAR(9)," "),CHAR(10)," "),CHAR(13)," "))),"")))</f>
        <v/>
      </c>
      <c r="DS133">
        <f>IF($DM133=0,"",IF($L$11=0,"",IFERROR(IF(ISNUMBER(INDEX(PASTE_ALL,$DF133,$L$11)),INDEX(PASTE_ALL,$DF133,$L$11),TRIM(SUBSTITUTE(SUBSTITUTE(SUBSTITUTE(SUBSTITUTE(INDEX(PASTE_ALL,$DF133,$L$11)," "," "),CHAR(9)," "),CHAR(10)," "),CHAR(13)," "))),"")))</f>
        <v/>
      </c>
      <c r="DT133">
        <f>IF($DM133=0,"",IF($L$12=0,"",IFERROR(IF(ISNUMBER(INDEX(PASTE_ALL,$DF133,$L$12)),INDEX(PASTE_ALL,$DF133,$L$12),TRIM(SUBSTITUTE(SUBSTITUTE(SUBSTITUTE(SUBSTITUTE(INDEX(PASTE_ALL,$DF133,$L$12)," "," "),CHAR(9)," "),CHAR(10)," "),CHAR(13)," "))),"")))</f>
        <v/>
      </c>
      <c r="DU133">
        <f>IF($DM133=0,"",IF($L$13=0,"",IFERROR(IF(ISNUMBER(INDEX(PASTE_ALL,$DF133,$L$13)),INDEX(PASTE_ALL,$DF133,$L$13),TRIM(SUBSTITUTE(SUBSTITUTE(SUBSTITUTE(SUBSTITUTE(INDEX(PASTE_ALL,$DF133,$L$13)," "," "),CHAR(9)," "),CHAR(10)," "),CHAR(13)," "))),"")))</f>
        <v/>
      </c>
      <c r="DV133">
        <f>IF($DM133=0,"",IF($L$14=0,"",IFERROR(IF(ISNUMBER(INDEX(PASTE_ALL,$DF133,$L$14)),INDEX(PASTE_ALL,$DF133,$L$14),TRIM(SUBSTITUTE(SUBSTITUTE(SUBSTITUTE(SUBSTITUTE(INDEX(PASTE_ALL,$DF133,$L$14)," "," "),CHAR(9)," "),CHAR(10)," "),CHAR(13)," "))),"")))</f>
        <v/>
      </c>
      <c r="DW133">
        <f>IF($DM133=0,"",IF($L$15=0,"",IFERROR(IF(ISNUMBER(INDEX(PASTE_ALL,$DF133,$L$15)),INDEX(PASTE_ALL,$DF133,$L$15),IF(SUMPRODUCT(--ISNUMBER(FIND({"A","B","C","D","E","F","G","H","I","J","K","L","M","N","O","P","Q","R","S","T","U","V","W","X","Y","Z","0","1","2","3","4","5","6","7","8","9"},UPPER(TRIM(SUBSTITUTE(SUBSTITUTE(SUBSTITUTE(SUBSTITUTE(INDEX(PASTE_ALL,$DF133,$L$15)," "," "),CHAR(9)," "),CHAR(10)," "),CHAR(13)," "))))))&gt;0,TRIM(SUBSTITUTE(SUBSTITUTE(SUBSTITUTE(SUBSTITUTE(INDEX(PASTE_ALL,$DF133,$L$15)," "," "),CHAR(9)," "),CHAR(10)," "),CHAR(13)," ")),"")),"")))</f>
        <v/>
      </c>
      <c r="DX133">
        <f>IF($DM133=0,"",IF($L$16=0,"",IFERROR(IF(ISNUMBER(INDEX(PASTE_ALL,$DF133,$L$16)),INDEX(PASTE_ALL,$DF133,$L$16),SUBSTITUTE(SUBSTITUTE(TRIM(SUBSTITUTE(SUBSTITUTE(SUBSTITUTE(SUBSTITUTE(INDEX(PASTE_ALL,$DF133,$L$16)," "," "),CHAR(9)," "),CHAR(10)," "),CHAR(13)," ")),",",""),"%","")),"")))</f>
        <v/>
      </c>
      <c r="DY133">
        <f>IF($DM133=0,"",IFERROR(IF(ISNUMBER($DX133),$DX133,IF($DX133="","",IF(TRIM($DX133)="",0,IF(AND(AND(SUBSTITUTE(SUBSTITUTE(SUBSTITUTE(SUBSTITUTE(SUBSTITUTE(SUBSTITUTE(SUBSTITUTE(SUBSTITUTE(SUBSTITUTE(SUBSTITUTE(SUBSTITUTE(SUBSTITUTE(SUBSTITUTE(SUBSTITUTE(UPPER(TRIM($DX133)),"0",""),"1",""),"2",""),"3",""),"4",""),"5",""),"6",""),"7",""),"8",""),"9",""),".",""),"+",""),"-",""),"E","")="",LEN(SUBSTITUTE(SUBSTITUTE(MID(UPPER(TRIM($DX133)),1+OR(LEFT(UPPER(TRIM($DX133)),1)="+",LEFT(UPPER(TRIM($DX133)),1)="-"),999),"E+","E"),"E-","E"))=LEN(SUBSTITUTE(SUBSTITUTE(SUBSTITUTE(SUBSTITUTE(MID(UPPER(TRIM($DX133)),1+OR(LEFT(UPPER(TRIM($DX133)),1)="+",LEFT(UPPER(TRIM($DX133)),1)="-"),999),"E+","E"),"E-","E"),"+",""),"-","")),LEN(UPPER(TRIM($DX133)))-LEN(SUBSTITUTE(UPPER(TRIM($DX133)),"E",""))&lt;2,LEN(UPPER(TRIM($DX133)))-LEN(SUBSTITUTE(UPPER(TRIM($DX133)),".",""))&lt;2,IFERROR(FIND(".",UPPER(TRIM($DX133))),0)&lt;IFERROR(FIND("E",UPPER(TRIM($DX133))),999)),ISNUMBER(VALUE(TRIM($DX133)))),VALUE(TRIM($DX133)),"")))),""))</f>
        <v/>
      </c>
      <c r="DZ133">
        <f>IF($DM133=0,"",IF($L$17=0,"",IFERROR(IF(ISNUMBER(INDEX(PASTE_ALL,$DF133,$L$17)),INDEX(PASTE_ALL,$DF133,$L$17),SUBSTITUTE(SUBSTITUTE(TRIM(SUBSTITUTE(SUBSTITUTE(SUBSTITUTE(SUBSTITUTE(INDEX(PASTE_ALL,$DF133,$L$17)," "," "),CHAR(9)," "),CHAR(10)," "),CHAR(13)," ")),",",""),"%","")),"")))</f>
        <v/>
      </c>
      <c r="EA133">
        <f>IF($DM133=0,"",IFERROR(IF(ISNUMBER($DZ133),$DZ133,IF($DZ133="","",IF(TRIM($DZ133)="",0,IF(AND(AND(SUBSTITUTE(SUBSTITUTE(SUBSTITUTE(SUBSTITUTE(SUBSTITUTE(SUBSTITUTE(SUBSTITUTE(SUBSTITUTE(SUBSTITUTE(SUBSTITUTE(SUBSTITUTE(SUBSTITUTE(SUBSTITUTE(SUBSTITUTE(UPPER(TRIM($DZ133)),"0",""),"1",""),"2",""),"3",""),"4",""),"5",""),"6",""),"7",""),"8",""),"9",""),".",""),"+",""),"-",""),"E","")="",LEN(SUBSTITUTE(SUBSTITUTE(MID(UPPER(TRIM($DZ133)),1+OR(LEFT(UPPER(TRIM($DZ133)),1)="+",LEFT(UPPER(TRIM($DZ133)),1)="-"),999),"E+","E"),"E-","E"))=LEN(SUBSTITUTE(SUBSTITUTE(SUBSTITUTE(SUBSTITUTE(MID(UPPER(TRIM($DZ133)),1+OR(LEFT(UPPER(TRIM($DZ133)),1)="+",LEFT(UPPER(TRIM($DZ133)),1)="-"),999),"E+","E"),"E-","E"),"+",""),"-","")),LEN(UPPER(TRIM($DZ133)))-LEN(SUBSTITUTE(UPPER(TRIM($DZ133)),"E",""))&lt;2,LEN(UPPER(TRIM($DZ133)))-LEN(SUBSTITUTE(UPPER(TRIM($DZ133)),".",""))&lt;2,IFERROR(FIND(".",UPPER(TRIM($DZ133))),0)&lt;IFERROR(FIND("E",UPPER(TRIM($DZ133))),999)),ISNUMBER(VALUE(TRIM($DZ133)))),VALUE(TRIM($DZ133)),"")))),""))</f>
        <v/>
      </c>
      <c r="EB133">
        <f>IF($DM133=0,"",IF($L$18=0,"",IFERROR(IF(UPPER(TRIM(SUBSTITUTE(SUBSTITUTE(SUBSTITUTE(SUBSTITUTE(INDEX(PASTE_ALL,$DF133,$L$18)," "," "),CHAR(9)," "),CHAR(10)," "),CHAR(13)," ")))="READY","Ready",IF(UPPER(TRIM(SUBSTITUTE(SUBSTITUTE(SUBSTITUTE(SUBSTITUTE(INDEX(PASTE_ALL,$DF133,$L$18)," "," "),CHAR(9)," "),CHAR(10)," "),CHAR(13)," ")))="PM","PM",IF(OR(UPPER(TRIM(SUBSTITUTE(SUBSTITUTE(SUBSTITUTE(SUBSTITUTE(INDEX(PASTE_ALL,$DF133,$L$18)," "," "),CHAR(9)," "),CHAR(10)," "),CHAR(13)," ")))="OT",UPPER(TRIM(SUBSTITUTE(SUBSTITUTE(SUBSTITUTE(SUBSTITUTE(INDEX(PASTE_ALL,$DF133,$L$18)," "," "),CHAR(9)," "),CHAR(10)," "),CHAR(13)," ")))="OVERTIME",UPPER(TRIM(SUBSTITUTE(SUBSTITUTE(SUBSTITUTE(SUBSTITUTE(INDEX(PASTE_ALL,$DF133,$L$18)," "," "),CHAR(9)," "),CHAR(10)," "),CHAR(13)," ")))="TRIAL"),"OT",TRIM(SUBSTITUTE(SUBSTITUTE(SUBSTITUTE(SUBSTITUTE(INDEX(PASTE_ALL,$DF133,$L$18)," "," "),CHAR(9)," "),CHAR(10)," "),CHAR(13)," "))))),"")))</f>
        <v/>
      </c>
      <c r="EC133">
        <f>IF($DM133=0,"",IF($L$19=0,"",IFERROR(IF(ISNUMBER(INDEX(PASTE_ALL,$DF133,$L$19)),INDEX(PASTE_ALL,$DF133,$L$19),TRIM(SUBSTITUTE(SUBSTITUTE(SUBSTITUTE(SUBSTITUTE(INDEX(PASTE_ALL,$DF133,$L$19)," "," "),CHAR(9)," "),CHAR(10)," "),CHAR(13)," "))),"")))</f>
        <v/>
      </c>
      <c r="ED133">
        <f>IF($DM133=0,"",MATCH(1,INDEX(EXACT($DH$5:DH133,$DH133)*$DM$5:DM133,0),0))</f>
        <v/>
      </c>
      <c r="EE133">
        <f>IF($DM133=0,0,IF($ED133=$DE133,1,0))</f>
        <v/>
      </c>
      <c r="EF133">
        <f>EF132+$EE133</f>
        <v/>
      </c>
      <c r="EG133">
        <f>IF($DM133=0,"",INDEX($EF$5:$EF$1003,$ED133))</f>
        <v/>
      </c>
      <c r="EH133">
        <f>IF($DM133=0,"",IF($DO133&lt;&gt;"","",IFERROR(LOOKUP(2,1/(($EG$4:EG132=$EG133)*($DO$4:DO132&lt;&gt;"")),$DO$4:DO132),"")))</f>
        <v/>
      </c>
      <c r="EI133">
        <f>IF($DM133=0,"",IF($DO133&lt;&gt;"",$DO133,$EH133))</f>
        <v/>
      </c>
      <c r="EJ133">
        <f>IF($DM133=0,"",IF($EI133="",0,IF(OR(ISNUMBER($EI133),AND(AND(SUBSTITUTE(SUBSTITUTE(SUBSTITUTE(SUBSTITUTE(SUBSTITUTE(SUBSTITUTE(SUBSTITUTE(SUBSTITUTE(SUBSTITUTE(SUBSTITUTE(SUBSTITUTE(SUBSTITUTE(SUBSTITUTE(SUBSTITUTE(UPPER($EI133),"0",""),"1",""),"2",""),"3",""),"4",""),"5",""),"6",""),"7",""),"8",""),"9",""),".",""),"+",""),"-",""),"E","")="",LEN(SUBSTITUTE(SUBSTITUTE(MID(UPPER($EI133),1+OR(LEFT(UPPER($EI133),1)="+",LEFT(UPPER($EI133),1)="-"),999),"E+","E"),"E-","E"))=LEN(SUBSTITUTE(SUBSTITUTE(SUBSTITUTE(SUBSTITUTE(MID(UPPER($EI133),1+OR(LEFT(UPPER($EI133),1)="+",LEFT(UPPER($EI133),1)="-"),999),"E+","E"),"E-","E"),"+",""),"-","")),LEN(UPPER($EI133))-LEN(SUBSTITUTE(UPPER($EI133),"E",""))&lt;2,LEN(UPPER($EI133))-LEN(SUBSTITUTE(UPPER($EI133),".",""))&lt;2,IFERROR(FIND(".",UPPER($EI133)),0)&lt;IFERROR(FIND("E",UPPER($EI133)),999)),ISNUMBER(VALUE($EI133)))),1,2)))</f>
        <v/>
      </c>
      <c r="EK133">
        <f>IF($DM133=0,"",IF($EJ133=1,IF(ISNUMBER($EI133),$EI133,VALUE($EI133)),IF($EJ133=2,$DE133,0)))</f>
        <v/>
      </c>
      <c r="EL133">
        <f>IF($DM133=0,"",COUNTIF($EG$5:$EG$1003,"&lt;"&amp;$EG133)+SUMPRODUCT(($EG$5:$EG$1003=$EG133)*(($EJ$5:$EJ$1003&lt;$EJ133)+($EJ$5:$EJ$1003=$EJ133)*(($EK$5:$EK$1003&lt;$EK133)+($EK$5:$EK$1003=$EK133)*($DE$5:$DE$1003&lt;$DE133))))+1)</f>
        <v/>
      </c>
      <c r="EM133">
        <f>IF($DM133=0,"",$EL133+$EG133-1)</f>
        <v/>
      </c>
      <c r="EN133">
        <f>IF($DM133=0,0,IFERROR(MATCH(1,INDEX(--(TRIM(SUBSTITUTE(SUBSTITUTE(SUBSTITUTE(SUBSTITUTE(LINES_NAME&amp;""," "," "),CHAR(9)," "),CHAR(10)," "),CHAR(13)," "))=$DH133),0),0),0))</f>
        <v/>
      </c>
      <c r="EO133">
        <f>IF($EN133=0,0,IF(OR(UPPER(TRIM(INDEX(LINES_SCHEDULED,$EN133)&amp;""))="YES",UPPER(TRIM(INDEX(LINES_SCHEDULED,$EN133)&amp;""))="Y",UPPER(TRIM(INDEX(LINES_SCHEDULED,$EN133)&amp;""))="X"),1,0))</f>
        <v/>
      </c>
      <c r="EP133">
        <f>IF($DM133=0,"",IF(COUNTIFS($EG$5:$EG$1003,$EG133,$EB$5:$EB$1003,"Ready")&gt;0,"READY",IF(COUNTIFS($EG$5:$EG$1003,$EG133,$EB$5:$EB$1003,"PM")&gt;0,"PM",IF(COUNTIFS($EG$5:$EG$1003,$EG133,$EB$5:$EB$1003,"OT")&gt;0,"OT",""))))</f>
        <v/>
      </c>
      <c r="EQ133">
        <f>IF($EN133=0,"",UPPER(TRIM(INDEX(LINES_STATUS,$EN133)&amp;"")))</f>
        <v/>
      </c>
      <c r="ER133">
        <f>IF($DM133=0,"",IF(OR($EQ133="READY",$EQ133="PM",$EQ133="OT"),$EQ133,$EP133))</f>
        <v/>
      </c>
      <c r="ES133">
        <f>IF($DM133=0,"",IF(AND($DV133&lt;&gt;"",UPPER($DV133)&lt;&gt;"N"),"allergen",IF(ISNUMBER(SEARCH("oil",$DQ133)),"oil",IF(OR(EXACT($DS133,"A662"),EXACT($DS133,"A624")),"bulk",""))))</f>
        <v/>
      </c>
      <c r="ET133">
        <f>IF($DM133=0,"",IF(OR($EA133="",$EA133=0),"",$EA133/100))</f>
        <v/>
      </c>
      <c r="EU133">
        <f>IF(OR($ET133="",$DY133=""),"",INT($DY133*(1-$ET133)+0.5))</f>
        <v/>
      </c>
      <c r="EW133" t="n">
        <v>129</v>
      </c>
      <c r="EX133">
        <f>IFERROR(MATCH($EW133,$EM$5:$EM$1003,0),0)</f>
        <v/>
      </c>
      <c r="EY133">
        <f>IF($EW133&gt;$B$12,"",IF($EX133&gt;0,"row","spacer"))</f>
        <v/>
      </c>
      <c r="EZ133">
        <f>IF(AND($EY133="row",$EY132&lt;&gt;"row"),1,0)</f>
        <v/>
      </c>
      <c r="FA133">
        <f>IF(AND($EY133="row",$EY134&lt;&gt;"row"),1,0)</f>
        <v/>
      </c>
      <c r="FB133">
        <f>IF($EZ133=1,IFERROR(IF(ISNUMBER(INDEX(PASTE_ALL,INDEX($DF$5:$DF$1003,$EX133),$B$37)),INDEX(PASTE_ALL,INDEX($DF$5:$DF$1003,$EX133),$B$37),INDEX($DH$5:$DH$1003,$EX133)),INDEX($DH$5:$DH$1003,$EX133)),"")</f>
        <v/>
      </c>
      <c r="FC133">
        <f>IF($EY133="row",INDEX($ER$5:$ER$1003,$EX133),"")</f>
        <v/>
      </c>
      <c r="FD133">
        <f>IF($EY133="row",INDEX($DN$5:$DN$1003,$EX133),"")</f>
        <v/>
      </c>
      <c r="FE133">
        <f>IF($EY133="row",INDEX($DO$5:$DO$1003,$EX133),"")</f>
        <v/>
      </c>
      <c r="FF133">
        <f>IF($EY133="row",INDEX($DP$5:$DP$1003,$EX133),"")</f>
        <v/>
      </c>
      <c r="FG133">
        <f>IF($EY133="row",INDEX($DQ$5:$DQ$1003,$EX133),"")</f>
        <v/>
      </c>
      <c r="FH133">
        <f>IF($EY133="row",INDEX($DR$5:$DR$1003,$EX133),"")</f>
        <v/>
      </c>
      <c r="FI133">
        <f>IF($EY133="row",INDEX($DS$5:$DS$1003,$EX133),"")</f>
        <v/>
      </c>
      <c r="FJ133">
        <f>IF($EY133="row",INDEX($DT$5:$DT$1003,$EX133),"")</f>
        <v/>
      </c>
      <c r="FK133">
        <f>IF($EY133="row",INDEX($DU$5:$DU$1003,$EX133),"")</f>
        <v/>
      </c>
      <c r="FL133">
        <f>IF($EY133="row",INDEX($DV$5:$DV$1003,$EX133),"")</f>
        <v/>
      </c>
      <c r="FM133">
        <f>IF($EY133="row",INDEX($DW$5:$DW$1003,$EX133),"")</f>
        <v/>
      </c>
      <c r="FN133">
        <f>IF($EY133="row",INDEX($DY$5:$DY$1003,$EX133),"")</f>
        <v/>
      </c>
      <c r="FO133">
        <f>IF($EY133="row",INDEX($EA$5:$EA$1003,$EX133),"")</f>
        <v/>
      </c>
      <c r="FP133">
        <f>IF($EY133="row",INDEX($EC$5:$EC$1003,$EX133),"")</f>
        <v/>
      </c>
      <c r="FQ133">
        <f>IF($EY133="row",INDEX($ET$5:$ET$1003,$EX133),"")</f>
        <v/>
      </c>
      <c r="FR133">
        <f>IF($EY133="row",INDEX($EU$5:$EU$1003,$EX133),"")</f>
        <v/>
      </c>
      <c r="FS133">
        <f>IF(AND($EY133="row",$EY132="row"),IF(OR(INDEX($DT$5:$DT$1003,$EX132)="",INDEX($DT$5:$DT$1003,$EX133)=""),"",IF(NOT(EXACT(INDEX($DT$5:$DT$1003,$EX132),INDEX($DT$5:$DT$1003,$EX133))),"S4",IF(NOT(EXACT(INDEX($DS$5:$DS$1003,$EX132),INDEX($DS$5:$DS$1003,$EX133))),"S3",IF(NOT(EXACT(INDEX($DR$5:$DR$1003,$EX132),INDEX($DR$5:$DR$1003,$EX133))),"S1 Count Change","S1")))),"")</f>
        <v/>
      </c>
      <c r="FT133">
        <f>IF($EY133="row",INDEX($ES$5:$ES$1003,$EX133),"")</f>
        <v/>
      </c>
      <c r="FU133">
        <f>IF($EY133="row",INDEX($EO$5:$EO$1003,$EX133),0)</f>
        <v/>
      </c>
      <c r="FV133">
        <f>IF($FS133="S1 Count Change",1,0)</f>
        <v/>
      </c>
    </row>
    <row r="134">
      <c r="Y134">
        <f>IF(Y44="",0,IFERROR(INDEX($W$5:$W$86,MATCH(Y44,$V$5:$V$86,0)),0))</f>
        <v/>
      </c>
      <c r="Z134">
        <f>IF(Z44="",0,IFERROR(INDEX($W$5:$W$86,MATCH(Z44,$V$5:$V$86,0)),0))</f>
        <v/>
      </c>
      <c r="AA134">
        <f>IF(AA44="",0,IFERROR(INDEX($W$5:$W$86,MATCH(AA44,$V$5:$V$86,0)),0))</f>
        <v/>
      </c>
      <c r="AB134">
        <f>IF(AB44="",0,IFERROR(INDEX($W$5:$W$86,MATCH(AB44,$V$5:$V$86,0)),0))</f>
        <v/>
      </c>
      <c r="AC134">
        <f>IF(AC44="",0,IFERROR(INDEX($W$5:$W$86,MATCH(AC44,$V$5:$V$86,0)),0))</f>
        <v/>
      </c>
      <c r="AD134">
        <f>IF(AD44="",0,IFERROR(INDEX($W$5:$W$86,MATCH(AD44,$V$5:$V$86,0)),0))</f>
        <v/>
      </c>
      <c r="AE134">
        <f>IF(AE44="",0,IFERROR(INDEX($W$5:$W$86,MATCH(AE44,$V$5:$V$86,0)),0))</f>
        <v/>
      </c>
      <c r="AF134">
        <f>IF(AF44="",0,IFERROR(INDEX($W$5:$W$86,MATCH(AF44,$V$5:$V$86,0)),0))</f>
        <v/>
      </c>
      <c r="AG134">
        <f>IF(AG44="",0,IFERROR(INDEX($W$5:$W$86,MATCH(AG44,$V$5:$V$86,0)),0))</f>
        <v/>
      </c>
      <c r="AH134">
        <f>IF(AH44="",0,IFERROR(INDEX($W$5:$W$86,MATCH(AH44,$V$5:$V$86,0)),0))</f>
        <v/>
      </c>
      <c r="AI134">
        <f>IF(AI44="",0,IFERROR(INDEX($W$5:$W$86,MATCH(AI44,$V$5:$V$86,0)),0))</f>
        <v/>
      </c>
      <c r="AJ134">
        <f>IF(AJ44="",0,IFERROR(INDEX($W$5:$W$86,MATCH(AJ44,$V$5:$V$86,0)),0))</f>
        <v/>
      </c>
      <c r="AK134">
        <f>IF(AK44="",0,IFERROR(INDEX($W$5:$W$86,MATCH(AK44,$V$5:$V$86,0)),0))</f>
        <v/>
      </c>
      <c r="AL134">
        <f>IF(AL44="",0,IFERROR(INDEX($W$5:$W$86,MATCH(AL44,$V$5:$V$86,0)),0))</f>
        <v/>
      </c>
      <c r="AM134">
        <f>IF(AM44="",0,IFERROR(INDEX($W$5:$W$86,MATCH(AM44,$V$5:$V$86,0)),0))</f>
        <v/>
      </c>
      <c r="AN134">
        <f>IF(AN44="",0,IFERROR(INDEX($W$5:$W$86,MATCH(AN44,$V$5:$V$86,0)),0))</f>
        <v/>
      </c>
      <c r="AO134">
        <f>IF(AO44="",0,IFERROR(INDEX($W$5:$W$86,MATCH(AO44,$V$5:$V$86,0)),0))</f>
        <v/>
      </c>
      <c r="AP134">
        <f>IF(AP44="",0,IFERROR(INDEX($W$5:$W$86,MATCH(AP44,$V$5:$V$86,0)),0))</f>
        <v/>
      </c>
      <c r="AQ134">
        <f>IF(AQ44="",0,IFERROR(INDEX($W$5:$W$86,MATCH(AQ44,$V$5:$V$86,0)),0))</f>
        <v/>
      </c>
      <c r="AR134">
        <f>IF(AR44="",0,IFERROR(INDEX($W$5:$W$86,MATCH(AR44,$V$5:$V$86,0)),0))</f>
        <v/>
      </c>
      <c r="AS134">
        <f>IF(AS44="",0,IFERROR(INDEX($W$5:$W$86,MATCH(AS44,$V$5:$V$86,0)),0))</f>
        <v/>
      </c>
      <c r="AT134">
        <f>IF(AT44="",0,IFERROR(INDEX($W$5:$W$86,MATCH(AT44,$V$5:$V$86,0)),0))</f>
        <v/>
      </c>
      <c r="AU134">
        <f>IF(AU44="",0,IFERROR(INDEX($W$5:$W$86,MATCH(AU44,$V$5:$V$86,0)),0))</f>
        <v/>
      </c>
      <c r="AV134">
        <f>IF(AV44="",0,IFERROR(INDEX($W$5:$W$86,MATCH(AV44,$V$5:$V$86,0)),0))</f>
        <v/>
      </c>
      <c r="AW134">
        <f>IF(AW44="",0,IFERROR(INDEX($W$5:$W$86,MATCH(AW44,$V$5:$V$86,0)),0))</f>
        <v/>
      </c>
      <c r="AX134">
        <f>IF(AX44="",0,IFERROR(INDEX($W$5:$W$86,MATCH(AX44,$V$5:$V$86,0)),0))</f>
        <v/>
      </c>
      <c r="AY134">
        <f>IF(AY44="",0,IFERROR(INDEX($W$5:$W$86,MATCH(AY44,$V$5:$V$86,0)),0))</f>
        <v/>
      </c>
      <c r="AZ134">
        <f>IF(AZ44="",0,IFERROR(INDEX($W$5:$W$86,MATCH(AZ44,$V$5:$V$86,0)),0))</f>
        <v/>
      </c>
      <c r="BA134">
        <f>IF(BA44="",0,IFERROR(INDEX($W$5:$W$86,MATCH(BA44,$V$5:$V$86,0)),0))</f>
        <v/>
      </c>
      <c r="BB134">
        <f>IF(BB44="",0,IFERROR(INDEX($W$5:$W$86,MATCH(BB44,$V$5:$V$86,0)),0))</f>
        <v/>
      </c>
      <c r="BC134">
        <f>IF(BC44="",0,IFERROR(INDEX($W$5:$W$86,MATCH(BC44,$V$5:$V$86,0)),0))</f>
        <v/>
      </c>
      <c r="BD134">
        <f>IF(BD44="",0,IFERROR(INDEX($W$5:$W$86,MATCH(BD44,$V$5:$V$86,0)),0))</f>
        <v/>
      </c>
      <c r="BE134">
        <f>IF(BE44="",0,IFERROR(INDEX($W$5:$W$86,MATCH(BE44,$V$5:$V$86,0)),0))</f>
        <v/>
      </c>
      <c r="BF134">
        <f>IF(BF44="",0,IFERROR(INDEX($W$5:$W$86,MATCH(BF44,$V$5:$V$86,0)),0))</f>
        <v/>
      </c>
      <c r="BG134">
        <f>IF(BG44="",0,IFERROR(INDEX($W$5:$W$86,MATCH(BG44,$V$5:$V$86,0)),0))</f>
        <v/>
      </c>
      <c r="BH134">
        <f>IF(BH44="",0,IFERROR(INDEX($W$5:$W$86,MATCH(BH44,$V$5:$V$86,0)),0))</f>
        <v/>
      </c>
      <c r="BI134">
        <f>IF(BI44="",0,IFERROR(INDEX($W$5:$W$86,MATCH(BI44,$V$5:$V$86,0)),0))</f>
        <v/>
      </c>
      <c r="BJ134">
        <f>IF(BJ44="",0,IFERROR(INDEX($W$5:$W$86,MATCH(BJ44,$V$5:$V$86,0)),0))</f>
        <v/>
      </c>
      <c r="BK134">
        <f>IF(BK44="",0,IFERROR(INDEX($W$5:$W$86,MATCH(BK44,$V$5:$V$86,0)),0))</f>
        <v/>
      </c>
      <c r="BL134">
        <f>IF(BL44="",0,IFERROR(INDEX($W$5:$W$86,MATCH(BL44,$V$5:$V$86,0)),0))</f>
        <v/>
      </c>
      <c r="BM134">
        <f>IF(BM44="",0,IFERROR(INDEX($W$5:$W$86,MATCH(BM44,$V$5:$V$86,0)),0))</f>
        <v/>
      </c>
      <c r="BN134">
        <f>IF(BN44="",0,IFERROR(INDEX($W$5:$W$86,MATCH(BN44,$V$5:$V$86,0)),0))</f>
        <v/>
      </c>
      <c r="BO134">
        <f>IF(BO44="",0,IFERROR(INDEX($W$5:$W$86,MATCH(BO44,$V$5:$V$86,0)),0))</f>
        <v/>
      </c>
      <c r="BP134">
        <f>IF(BP44="",0,IFERROR(INDEX($W$5:$W$86,MATCH(BP44,$V$5:$V$86,0)),0))</f>
        <v/>
      </c>
      <c r="BQ134">
        <f>IF(BQ44="",0,IFERROR(INDEX($W$5:$W$86,MATCH(BQ44,$V$5:$V$86,0)),0))</f>
        <v/>
      </c>
      <c r="BR134">
        <f>IF(BR44="",0,IFERROR(INDEX($W$5:$W$86,MATCH(BR44,$V$5:$V$86,0)),0))</f>
        <v/>
      </c>
      <c r="BS134">
        <f>IF(BS44="",0,IFERROR(INDEX($W$5:$W$86,MATCH(BS44,$V$5:$V$86,0)),0))</f>
        <v/>
      </c>
      <c r="BT134">
        <f>IF(BT44="",0,IFERROR(INDEX($W$5:$W$86,MATCH(BT44,$V$5:$V$86,0)),0))</f>
        <v/>
      </c>
      <c r="BU134">
        <f>IF(BU44="",0,IFERROR(INDEX($W$5:$W$86,MATCH(BU44,$V$5:$V$86,0)),0))</f>
        <v/>
      </c>
      <c r="BV134">
        <f>IF(BV44="",0,IFERROR(INDEX($W$5:$W$86,MATCH(BV44,$V$5:$V$86,0)),0))</f>
        <v/>
      </c>
      <c r="BW134">
        <f>IF(BW44="",0,IFERROR(INDEX($W$5:$W$86,MATCH(BW44,$V$5:$V$86,0)),0))</f>
        <v/>
      </c>
      <c r="BX134">
        <f>IF(BX44="",0,IFERROR(INDEX($W$5:$W$86,MATCH(BX44,$V$5:$V$86,0)),0))</f>
        <v/>
      </c>
      <c r="BY134">
        <f>IF(BY44="",0,IFERROR(INDEX($W$5:$W$86,MATCH(BY44,$V$5:$V$86,0)),0))</f>
        <v/>
      </c>
      <c r="BZ134">
        <f>IF(BZ44="",0,IFERROR(INDEX($W$5:$W$86,MATCH(BZ44,$V$5:$V$86,0)),0))</f>
        <v/>
      </c>
      <c r="CA134">
        <f>IF(CA44="",0,IFERROR(INDEX($W$5:$W$86,MATCH(CA44,$V$5:$V$86,0)),0))</f>
        <v/>
      </c>
      <c r="CB134">
        <f>IF(CB44="",0,IFERROR(INDEX($W$5:$W$86,MATCH(CB44,$V$5:$V$86,0)),0))</f>
        <v/>
      </c>
      <c r="CC134">
        <f>IF(CC44="",0,IFERROR(INDEX($W$5:$W$86,MATCH(CC44,$V$5:$V$86,0)),0))</f>
        <v/>
      </c>
      <c r="CD134">
        <f>IF(CD44="",0,IFERROR(INDEX($W$5:$W$86,MATCH(CD44,$V$5:$V$86,0)),0))</f>
        <v/>
      </c>
      <c r="CE134">
        <f>IF(CE44="",0,IFERROR(INDEX($W$5:$W$86,MATCH(CE44,$V$5:$V$86,0)),0))</f>
        <v/>
      </c>
      <c r="CF134">
        <f>IF(CF44="",0,IFERROR(INDEX($W$5:$W$86,MATCH(CF44,$V$5:$V$86,0)),0))</f>
        <v/>
      </c>
      <c r="DA134" t="n">
        <v>130</v>
      </c>
      <c r="DB134">
        <f>IF($B$37=0,"",IFERROR(TRIM(SUBSTITUTE(SUBSTITUTE(SUBSTITUTE(SUBSTITUTE(INDEX(PASTE_ALL,130,$B$37)," "," "),CHAR(9)," "),CHAR(10)," "),CHAR(13)," ")),""))</f>
        <v/>
      </c>
      <c r="DC134">
        <f>IF(AND(130&gt;HEADER_ROW,UPPER(DB134)="LEGEND"),1,0)</f>
        <v/>
      </c>
      <c r="DE134" t="n">
        <v>130</v>
      </c>
      <c r="DF134">
        <f>HEADER_ROW+$DE134</f>
        <v/>
      </c>
      <c r="DG134">
        <f>IF(AND($DF134&lt;=1000,$DF134&lt;$B$8),1,0)</f>
        <v/>
      </c>
      <c r="DH134">
        <f>IF($DG134=1,IFERROR(INDEX($DB$5:$DB$1004,$DF134),""),"")</f>
        <v/>
      </c>
      <c r="DI134">
        <f>IF(AND($DG134=1,$DH134&lt;&gt;""),IFERROR(SUBSTITUTE(SUBSTITUTE(TRIM(SUBSTITUTE(SUBSTITUTE(SUBSTITUTE(SUBSTITUTE(IFERROR(INDEX(PASTE_ALL,$DF134,1)&amp;"","")&amp;"␟"&amp;IFERROR(INDEX(PASTE_ALL,$DF134,2)&amp;"","")&amp;"␟"&amp;IFERROR(INDEX(PASTE_ALL,$DF134,3)&amp;"","")&amp;"␟"&amp;IFERROR(INDEX(PASTE_ALL,$DF134,4)&amp;"","")&amp;"␟"&amp;IFERROR(INDEX(PASTE_ALL,$DF134,5)&amp;"","")&amp;"␟"&amp;IFERROR(INDEX(PASTE_ALL,$DF134,6)&amp;"","")&amp;"␟"&amp;IFERROR(INDEX(PASTE_ALL,$DF134,7)&amp;"","")&amp;"␟"&amp;IFERROR(INDEX(PASTE_ALL,$DF134,8)&amp;"","")&amp;"␟"&amp;IFERROR(INDEX(PASTE_ALL,$DF134,9)&amp;"","")&amp;"␟"&amp;IFERROR(INDEX(PASTE_ALL,$DF134,10)&amp;"","")&amp;"␟"&amp;IFERROR(INDEX(PASTE_ALL,$DF134,11)&amp;"","")&amp;"␟"&amp;IFERROR(INDEX(PASTE_ALL,$DF134,12)&amp;"","")&amp;"␟"&amp;IFERROR(INDEX(PASTE_ALL,$DF134,13)&amp;"","")&amp;"␟"&amp;IFERROR(INDEX(PASTE_ALL,$DF134,14)&amp;"","")&amp;"␟"&amp;IFERROR(INDEX(PASTE_ALL,$DF134,15)&amp;"","")&amp;"␟"&amp;IFERROR(INDEX(PASTE_ALL,$DF134,16)&amp;"","")&amp;"␟"&amp;IFERROR(INDEX(PASTE_ALL,$DF134,17)&amp;"","")&amp;"␟"&amp;IFERROR(INDEX(PASTE_ALL,$DF134,18)&amp;"","")&amp;"␟"&amp;IFERROR(INDEX(PASTE_ALL,$DF134,19)&amp;"","")&amp;"␟"&amp;IFERROR(INDEX(PASTE_ALL,$DF134,20)&amp;"","")&amp;"␟"&amp;IFERROR(INDEX(PASTE_ALL,$DF134,21)&amp;"","")&amp;"␟"&amp;IFERROR(INDEX(PASTE_ALL,$DF134,22)&amp;"","")&amp;"␟"&amp;IFERROR(INDEX(PASTE_ALL,$DF134,23)&amp;"","")&amp;"␟"&amp;IFERROR(INDEX(PASTE_ALL,$DF134,24)&amp;"","")&amp;"␟"&amp;IFERROR(INDEX(PASTE_ALL,$DF134,25)&amp;"","")&amp;"␟"&amp;IFERROR(INDEX(PASTE_ALL,$DF134,26)&amp;"","")&amp;"␟"&amp;IFERROR(INDEX(PASTE_ALL,$DF134,27)&amp;"","")&amp;"␟"&amp;IFERROR(INDEX(PASTE_ALL,$DF134,28)&amp;"","")&amp;"␟"&amp;IFERROR(INDEX(PASTE_ALL,$DF134,29)&amp;"","")&amp;"␟"&amp;IFERROR(INDEX(PASTE_ALL,$DF134,30)&amp;"","")&amp;"␟"&amp;IFERROR(INDEX(PASTE_ALL,$DF134,31)&amp;"","")&amp;"␟"&amp;IFERROR(INDEX(PASTE_ALL,$DF134,32)&amp;"","")&amp;"␟"&amp;IFERROR(INDEX(PASTE_ALL,$DF134,33)&amp;"","")&amp;"␟"&amp;IFERROR(INDEX(PASTE_ALL,$DF134,34)&amp;"","")&amp;"␟"&amp;IFERROR(INDEX(PASTE_ALL,$DF134,35)&amp;"","")&amp;"␟"&amp;IFERROR(INDEX(PASTE_ALL,$DF134,36)&amp;"","")&amp;"␟"&amp;IFERROR(INDEX(PASTE_ALL,$DF134,37)&amp;"","")&amp;"␟"&amp;IFERROR(INDEX(PASTE_ALL,$DF134,38)&amp;"","")&amp;"␟"&amp;IFERROR(INDEX(PASTE_ALL,$DF134,39)&amp;"","")&amp;"␟"&amp;IFERROR(INDEX(PASTE_ALL,$DF134,40)&amp;"","")&amp;"␟"&amp;IFERROR(INDEX(PASTE_ALL,$DF134,41)&amp;"","")&amp;"␟"&amp;IFERROR(INDEX(PASTE_ALL,$DF134,42)&amp;"","")&amp;"␟"&amp;IFERROR(INDEX(PASTE_ALL,$DF134,43)&amp;"","")&amp;"␟"&amp;IFERROR(INDEX(PASTE_ALL,$DF134,44)&amp;"","")&amp;"␟"&amp;IFERROR(INDEX(PASTE_ALL,$DF134,45)&amp;"","")&amp;"␟"&amp;IFERROR(INDEX(PASTE_ALL,$DF134,46)&amp;"","")&amp;"␟"&amp;IFERROR(INDEX(PASTE_ALL,$DF134,47)&amp;"","")&amp;"␟"&amp;IFERROR(INDEX(PASTE_ALL,$DF134,48)&amp;"","")&amp;"␟"&amp;IFERROR(INDEX(PASTE_ALL,$DF134,49)&amp;"","")&amp;"␟"&amp;IFERROR(INDEX(PASTE_ALL,$DF134,50)&amp;"","")&amp;"␟"&amp;IFERROR(INDEX(PASTE_ALL,$DF134,51)&amp;"","")&amp;"␟"&amp;IFERROR(INDEX(PASTE_ALL,$DF134,52)&amp;"","")&amp;"␟"&amp;IFERROR(INDEX(PASTE_ALL,$DF134,53)&amp;"","")&amp;"␟"&amp;IFERROR(INDEX(PASTE_ALL,$DF134,54)&amp;"","")&amp;"␟"&amp;IFERROR(INDEX(PASTE_ALL,$DF134,55)&amp;"","")&amp;"␟"&amp;IFERROR(INDEX(PASTE_ALL,$DF134,56)&amp;"","")&amp;"␟"&amp;IFERROR(INDEX(PASTE_ALL,$DF134,57)&amp;"","")&amp;"␟"&amp;IFERROR(INDEX(PASTE_ALL,$DF134,58)&amp;"","")&amp;"␟"&amp;IFERROR(INDEX(PASTE_ALL,$DF134,59)&amp;"","")&amp;"␟"&amp;IFERROR(INDEX(PASTE_ALL,$DF134,60)&amp;"","")," "," "),CHAR(9)," "),CHAR(10)," "),CHAR(13)," "))," ␟","␟"),"␟ ","␟"),"#"&amp;$DE134),"")</f>
        <v/>
      </c>
      <c r="DJ134">
        <f>IF($DI134="",0,IF(SUMPRODUCT(--EXACT($DI$4:DI133,$DI134))&gt;0,1,0))</f>
        <v/>
      </c>
      <c r="DK134">
        <f>IF(AND($DI134&lt;&gt;"",$DJ134=0),1,0)</f>
        <v/>
      </c>
      <c r="DL134">
        <f>DL133+$DK134</f>
        <v/>
      </c>
      <c r="DM134">
        <f>IF(AND($DK134=1,$DL134&lt;=600),1,0)</f>
        <v/>
      </c>
      <c r="DN134">
        <f>IF($DM134=0,"",IF($L$6=0,"",IFERROR(IF(ISNUMBER(INDEX(PASTE_ALL,$DF134,$L$6)),INDEX(PASTE_ALL,$DF134,$L$6),TRIM(SUBSTITUTE(SUBSTITUTE(SUBSTITUTE(SUBSTITUTE(INDEX(PASTE_ALL,$DF134,$L$6)," "," "),CHAR(9)," "),CHAR(10)," "),CHAR(13)," "))),"")))</f>
        <v/>
      </c>
      <c r="DO134">
        <f>IF($DM134=0,"",IF($L$7=0,"",IFERROR(IF(ISNUMBER(INDEX(PASTE_ALL,$DF134,$L$7)),INDEX(PASTE_ALL,$DF134,$L$7),TRIM(SUBSTITUTE(SUBSTITUTE(SUBSTITUTE(SUBSTITUTE(INDEX(PASTE_ALL,$DF134,$L$7)," "," "),CHAR(9)," "),CHAR(10)," "),CHAR(13)," "))),"")))</f>
        <v/>
      </c>
      <c r="DP134">
        <f>IF($DM134=0,"",IF($L$8=0,"",IFERROR(IF(ISNUMBER(INDEX(PASTE_ALL,$DF134,$L$8)),INDEX(PASTE_ALL,$DF134,$L$8),TRIM(SUBSTITUTE(SUBSTITUTE(SUBSTITUTE(SUBSTITUTE(INDEX(PASTE_ALL,$DF134,$L$8)," "," "),CHAR(9)," "),CHAR(10)," "),CHAR(13)," "))),"")))</f>
        <v/>
      </c>
      <c r="DQ134">
        <f>IF($DM134=0,"",IF($L$9=0,"",IFERROR(IF(ISNUMBER(INDEX(PASTE_ALL,$DF134,$L$9)),INDEX(PASTE_ALL,$DF134,$L$9),TRIM(SUBSTITUTE(SUBSTITUTE(SUBSTITUTE(SUBSTITUTE(INDEX(PASTE_ALL,$DF134,$L$9)," "," "),CHAR(9)," "),CHAR(10)," "),CHAR(13)," "))),"")))</f>
        <v/>
      </c>
      <c r="DR134">
        <f>IF($DM134=0,"",IF($L$10=0,"",IFERROR(IF(ISNUMBER(INDEX(PASTE_ALL,$DF134,$L$10)),INDEX(PASTE_ALL,$DF134,$L$10),TRIM(SUBSTITUTE(SUBSTITUTE(SUBSTITUTE(SUBSTITUTE(INDEX(PASTE_ALL,$DF134,$L$10)," "," "),CHAR(9)," "),CHAR(10)," "),CHAR(13)," "))),"")))</f>
        <v/>
      </c>
      <c r="DS134">
        <f>IF($DM134=0,"",IF($L$11=0,"",IFERROR(IF(ISNUMBER(INDEX(PASTE_ALL,$DF134,$L$11)),INDEX(PASTE_ALL,$DF134,$L$11),TRIM(SUBSTITUTE(SUBSTITUTE(SUBSTITUTE(SUBSTITUTE(INDEX(PASTE_ALL,$DF134,$L$11)," "," "),CHAR(9)," "),CHAR(10)," "),CHAR(13)," "))),"")))</f>
        <v/>
      </c>
      <c r="DT134">
        <f>IF($DM134=0,"",IF($L$12=0,"",IFERROR(IF(ISNUMBER(INDEX(PASTE_ALL,$DF134,$L$12)),INDEX(PASTE_ALL,$DF134,$L$12),TRIM(SUBSTITUTE(SUBSTITUTE(SUBSTITUTE(SUBSTITUTE(INDEX(PASTE_ALL,$DF134,$L$12)," "," "),CHAR(9)," "),CHAR(10)," "),CHAR(13)," "))),"")))</f>
        <v/>
      </c>
      <c r="DU134">
        <f>IF($DM134=0,"",IF($L$13=0,"",IFERROR(IF(ISNUMBER(INDEX(PASTE_ALL,$DF134,$L$13)),INDEX(PASTE_ALL,$DF134,$L$13),TRIM(SUBSTITUTE(SUBSTITUTE(SUBSTITUTE(SUBSTITUTE(INDEX(PASTE_ALL,$DF134,$L$13)," "," "),CHAR(9)," "),CHAR(10)," "),CHAR(13)," "))),"")))</f>
        <v/>
      </c>
      <c r="DV134">
        <f>IF($DM134=0,"",IF($L$14=0,"",IFERROR(IF(ISNUMBER(INDEX(PASTE_ALL,$DF134,$L$14)),INDEX(PASTE_ALL,$DF134,$L$14),TRIM(SUBSTITUTE(SUBSTITUTE(SUBSTITUTE(SUBSTITUTE(INDEX(PASTE_ALL,$DF134,$L$14)," "," "),CHAR(9)," "),CHAR(10)," "),CHAR(13)," "))),"")))</f>
        <v/>
      </c>
      <c r="DW134">
        <f>IF($DM134=0,"",IF($L$15=0,"",IFERROR(IF(ISNUMBER(INDEX(PASTE_ALL,$DF134,$L$15)),INDEX(PASTE_ALL,$DF134,$L$15),IF(SUMPRODUCT(--ISNUMBER(FIND({"A","B","C","D","E","F","G","H","I","J","K","L","M","N","O","P","Q","R","S","T","U","V","W","X","Y","Z","0","1","2","3","4","5","6","7","8","9"},UPPER(TRIM(SUBSTITUTE(SUBSTITUTE(SUBSTITUTE(SUBSTITUTE(INDEX(PASTE_ALL,$DF134,$L$15)," "," "),CHAR(9)," "),CHAR(10)," "),CHAR(13)," "))))))&gt;0,TRIM(SUBSTITUTE(SUBSTITUTE(SUBSTITUTE(SUBSTITUTE(INDEX(PASTE_ALL,$DF134,$L$15)," "," "),CHAR(9)," "),CHAR(10)," "),CHAR(13)," ")),"")),"")))</f>
        <v/>
      </c>
      <c r="DX134">
        <f>IF($DM134=0,"",IF($L$16=0,"",IFERROR(IF(ISNUMBER(INDEX(PASTE_ALL,$DF134,$L$16)),INDEX(PASTE_ALL,$DF134,$L$16),SUBSTITUTE(SUBSTITUTE(TRIM(SUBSTITUTE(SUBSTITUTE(SUBSTITUTE(SUBSTITUTE(INDEX(PASTE_ALL,$DF134,$L$16)," "," "),CHAR(9)," "),CHAR(10)," "),CHAR(13)," ")),",",""),"%","")),"")))</f>
        <v/>
      </c>
      <c r="DY134">
        <f>IF($DM134=0,"",IFERROR(IF(ISNUMBER($DX134),$DX134,IF($DX134="","",IF(TRIM($DX134)="",0,IF(AND(AND(SUBSTITUTE(SUBSTITUTE(SUBSTITUTE(SUBSTITUTE(SUBSTITUTE(SUBSTITUTE(SUBSTITUTE(SUBSTITUTE(SUBSTITUTE(SUBSTITUTE(SUBSTITUTE(SUBSTITUTE(SUBSTITUTE(SUBSTITUTE(UPPER(TRIM($DX134)),"0",""),"1",""),"2",""),"3",""),"4",""),"5",""),"6",""),"7",""),"8",""),"9",""),".",""),"+",""),"-",""),"E","")="",LEN(SUBSTITUTE(SUBSTITUTE(MID(UPPER(TRIM($DX134)),1+OR(LEFT(UPPER(TRIM($DX134)),1)="+",LEFT(UPPER(TRIM($DX134)),1)="-"),999),"E+","E"),"E-","E"))=LEN(SUBSTITUTE(SUBSTITUTE(SUBSTITUTE(SUBSTITUTE(MID(UPPER(TRIM($DX134)),1+OR(LEFT(UPPER(TRIM($DX134)),1)="+",LEFT(UPPER(TRIM($DX134)),1)="-"),999),"E+","E"),"E-","E"),"+",""),"-","")),LEN(UPPER(TRIM($DX134)))-LEN(SUBSTITUTE(UPPER(TRIM($DX134)),"E",""))&lt;2,LEN(UPPER(TRIM($DX134)))-LEN(SUBSTITUTE(UPPER(TRIM($DX134)),".",""))&lt;2,IFERROR(FIND(".",UPPER(TRIM($DX134))),0)&lt;IFERROR(FIND("E",UPPER(TRIM($DX134))),999)),ISNUMBER(VALUE(TRIM($DX134)))),VALUE(TRIM($DX134)),"")))),""))</f>
        <v/>
      </c>
      <c r="DZ134">
        <f>IF($DM134=0,"",IF($L$17=0,"",IFERROR(IF(ISNUMBER(INDEX(PASTE_ALL,$DF134,$L$17)),INDEX(PASTE_ALL,$DF134,$L$17),SUBSTITUTE(SUBSTITUTE(TRIM(SUBSTITUTE(SUBSTITUTE(SUBSTITUTE(SUBSTITUTE(INDEX(PASTE_ALL,$DF134,$L$17)," "," "),CHAR(9)," "),CHAR(10)," "),CHAR(13)," ")),",",""),"%","")),"")))</f>
        <v/>
      </c>
      <c r="EA134">
        <f>IF($DM134=0,"",IFERROR(IF(ISNUMBER($DZ134),$DZ134,IF($DZ134="","",IF(TRIM($DZ134)="",0,IF(AND(AND(SUBSTITUTE(SUBSTITUTE(SUBSTITUTE(SUBSTITUTE(SUBSTITUTE(SUBSTITUTE(SUBSTITUTE(SUBSTITUTE(SUBSTITUTE(SUBSTITUTE(SUBSTITUTE(SUBSTITUTE(SUBSTITUTE(SUBSTITUTE(UPPER(TRIM($DZ134)),"0",""),"1",""),"2",""),"3",""),"4",""),"5",""),"6",""),"7",""),"8",""),"9",""),".",""),"+",""),"-",""),"E","")="",LEN(SUBSTITUTE(SUBSTITUTE(MID(UPPER(TRIM($DZ134)),1+OR(LEFT(UPPER(TRIM($DZ134)),1)="+",LEFT(UPPER(TRIM($DZ134)),1)="-"),999),"E+","E"),"E-","E"))=LEN(SUBSTITUTE(SUBSTITUTE(SUBSTITUTE(SUBSTITUTE(MID(UPPER(TRIM($DZ134)),1+OR(LEFT(UPPER(TRIM($DZ134)),1)="+",LEFT(UPPER(TRIM($DZ134)),1)="-"),999),"E+","E"),"E-","E"),"+",""),"-","")),LEN(UPPER(TRIM($DZ134)))-LEN(SUBSTITUTE(UPPER(TRIM($DZ134)),"E",""))&lt;2,LEN(UPPER(TRIM($DZ134)))-LEN(SUBSTITUTE(UPPER(TRIM($DZ134)),".",""))&lt;2,IFERROR(FIND(".",UPPER(TRIM($DZ134))),0)&lt;IFERROR(FIND("E",UPPER(TRIM($DZ134))),999)),ISNUMBER(VALUE(TRIM($DZ134)))),VALUE(TRIM($DZ134)),"")))),""))</f>
        <v/>
      </c>
      <c r="EB134">
        <f>IF($DM134=0,"",IF($L$18=0,"",IFERROR(IF(UPPER(TRIM(SUBSTITUTE(SUBSTITUTE(SUBSTITUTE(SUBSTITUTE(INDEX(PASTE_ALL,$DF134,$L$18)," "," "),CHAR(9)," "),CHAR(10)," "),CHAR(13)," ")))="READY","Ready",IF(UPPER(TRIM(SUBSTITUTE(SUBSTITUTE(SUBSTITUTE(SUBSTITUTE(INDEX(PASTE_ALL,$DF134,$L$18)," "," "),CHAR(9)," "),CHAR(10)," "),CHAR(13)," ")))="PM","PM",IF(OR(UPPER(TRIM(SUBSTITUTE(SUBSTITUTE(SUBSTITUTE(SUBSTITUTE(INDEX(PASTE_ALL,$DF134,$L$18)," "," "),CHAR(9)," "),CHAR(10)," "),CHAR(13)," ")))="OT",UPPER(TRIM(SUBSTITUTE(SUBSTITUTE(SUBSTITUTE(SUBSTITUTE(INDEX(PASTE_ALL,$DF134,$L$18)," "," "),CHAR(9)," "),CHAR(10)," "),CHAR(13)," ")))="OVERTIME",UPPER(TRIM(SUBSTITUTE(SUBSTITUTE(SUBSTITUTE(SUBSTITUTE(INDEX(PASTE_ALL,$DF134,$L$18)," "," "),CHAR(9)," "),CHAR(10)," "),CHAR(13)," ")))="TRIAL"),"OT",TRIM(SUBSTITUTE(SUBSTITUTE(SUBSTITUTE(SUBSTITUTE(INDEX(PASTE_ALL,$DF134,$L$18)," "," "),CHAR(9)," "),CHAR(10)," "),CHAR(13)," "))))),"")))</f>
        <v/>
      </c>
      <c r="EC134">
        <f>IF($DM134=0,"",IF($L$19=0,"",IFERROR(IF(ISNUMBER(INDEX(PASTE_ALL,$DF134,$L$19)),INDEX(PASTE_ALL,$DF134,$L$19),TRIM(SUBSTITUTE(SUBSTITUTE(SUBSTITUTE(SUBSTITUTE(INDEX(PASTE_ALL,$DF134,$L$19)," "," "),CHAR(9)," "),CHAR(10)," "),CHAR(13)," "))),"")))</f>
        <v/>
      </c>
      <c r="ED134">
        <f>IF($DM134=0,"",MATCH(1,INDEX(EXACT($DH$5:DH134,$DH134)*$DM$5:DM134,0),0))</f>
        <v/>
      </c>
      <c r="EE134">
        <f>IF($DM134=0,0,IF($ED134=$DE134,1,0))</f>
        <v/>
      </c>
      <c r="EF134">
        <f>EF133+$EE134</f>
        <v/>
      </c>
      <c r="EG134">
        <f>IF($DM134=0,"",INDEX($EF$5:$EF$1003,$ED134))</f>
        <v/>
      </c>
      <c r="EH134">
        <f>IF($DM134=0,"",IF($DO134&lt;&gt;"","",IFERROR(LOOKUP(2,1/(($EG$4:EG133=$EG134)*($DO$4:DO133&lt;&gt;"")),$DO$4:DO133),"")))</f>
        <v/>
      </c>
      <c r="EI134">
        <f>IF($DM134=0,"",IF($DO134&lt;&gt;"",$DO134,$EH134))</f>
        <v/>
      </c>
      <c r="EJ134">
        <f>IF($DM134=0,"",IF($EI134="",0,IF(OR(ISNUMBER($EI134),AND(AND(SUBSTITUTE(SUBSTITUTE(SUBSTITUTE(SUBSTITUTE(SUBSTITUTE(SUBSTITUTE(SUBSTITUTE(SUBSTITUTE(SUBSTITUTE(SUBSTITUTE(SUBSTITUTE(SUBSTITUTE(SUBSTITUTE(SUBSTITUTE(UPPER($EI134),"0",""),"1",""),"2",""),"3",""),"4",""),"5",""),"6",""),"7",""),"8",""),"9",""),".",""),"+",""),"-",""),"E","")="",LEN(SUBSTITUTE(SUBSTITUTE(MID(UPPER($EI134),1+OR(LEFT(UPPER($EI134),1)="+",LEFT(UPPER($EI134),1)="-"),999),"E+","E"),"E-","E"))=LEN(SUBSTITUTE(SUBSTITUTE(SUBSTITUTE(SUBSTITUTE(MID(UPPER($EI134),1+OR(LEFT(UPPER($EI134),1)="+",LEFT(UPPER($EI134),1)="-"),999),"E+","E"),"E-","E"),"+",""),"-","")),LEN(UPPER($EI134))-LEN(SUBSTITUTE(UPPER($EI134),"E",""))&lt;2,LEN(UPPER($EI134))-LEN(SUBSTITUTE(UPPER($EI134),".",""))&lt;2,IFERROR(FIND(".",UPPER($EI134)),0)&lt;IFERROR(FIND("E",UPPER($EI134)),999)),ISNUMBER(VALUE($EI134)))),1,2)))</f>
        <v/>
      </c>
      <c r="EK134">
        <f>IF($DM134=0,"",IF($EJ134=1,IF(ISNUMBER($EI134),$EI134,VALUE($EI134)),IF($EJ134=2,$DE134,0)))</f>
        <v/>
      </c>
      <c r="EL134">
        <f>IF($DM134=0,"",COUNTIF($EG$5:$EG$1003,"&lt;"&amp;$EG134)+SUMPRODUCT(($EG$5:$EG$1003=$EG134)*(($EJ$5:$EJ$1003&lt;$EJ134)+($EJ$5:$EJ$1003=$EJ134)*(($EK$5:$EK$1003&lt;$EK134)+($EK$5:$EK$1003=$EK134)*($DE$5:$DE$1003&lt;$DE134))))+1)</f>
        <v/>
      </c>
      <c r="EM134">
        <f>IF($DM134=0,"",$EL134+$EG134-1)</f>
        <v/>
      </c>
      <c r="EN134">
        <f>IF($DM134=0,0,IFERROR(MATCH(1,INDEX(--(TRIM(SUBSTITUTE(SUBSTITUTE(SUBSTITUTE(SUBSTITUTE(LINES_NAME&amp;""," "," "),CHAR(9)," "),CHAR(10)," "),CHAR(13)," "))=$DH134),0),0),0))</f>
        <v/>
      </c>
      <c r="EO134">
        <f>IF($EN134=0,0,IF(OR(UPPER(TRIM(INDEX(LINES_SCHEDULED,$EN134)&amp;""))="YES",UPPER(TRIM(INDEX(LINES_SCHEDULED,$EN134)&amp;""))="Y",UPPER(TRIM(INDEX(LINES_SCHEDULED,$EN134)&amp;""))="X"),1,0))</f>
        <v/>
      </c>
      <c r="EP134">
        <f>IF($DM134=0,"",IF(COUNTIFS($EG$5:$EG$1003,$EG134,$EB$5:$EB$1003,"Ready")&gt;0,"READY",IF(COUNTIFS($EG$5:$EG$1003,$EG134,$EB$5:$EB$1003,"PM")&gt;0,"PM",IF(COUNTIFS($EG$5:$EG$1003,$EG134,$EB$5:$EB$1003,"OT")&gt;0,"OT",""))))</f>
        <v/>
      </c>
      <c r="EQ134">
        <f>IF($EN134=0,"",UPPER(TRIM(INDEX(LINES_STATUS,$EN134)&amp;"")))</f>
        <v/>
      </c>
      <c r="ER134">
        <f>IF($DM134=0,"",IF(OR($EQ134="READY",$EQ134="PM",$EQ134="OT"),$EQ134,$EP134))</f>
        <v/>
      </c>
      <c r="ES134">
        <f>IF($DM134=0,"",IF(AND($DV134&lt;&gt;"",UPPER($DV134)&lt;&gt;"N"),"allergen",IF(ISNUMBER(SEARCH("oil",$DQ134)),"oil",IF(OR(EXACT($DS134,"A662"),EXACT($DS134,"A624")),"bulk",""))))</f>
        <v/>
      </c>
      <c r="ET134">
        <f>IF($DM134=0,"",IF(OR($EA134="",$EA134=0),"",$EA134/100))</f>
        <v/>
      </c>
      <c r="EU134">
        <f>IF(OR($ET134="",$DY134=""),"",INT($DY134*(1-$ET134)+0.5))</f>
        <v/>
      </c>
      <c r="EW134" t="n">
        <v>130</v>
      </c>
      <c r="EX134">
        <f>IFERROR(MATCH($EW134,$EM$5:$EM$1003,0),0)</f>
        <v/>
      </c>
      <c r="EY134">
        <f>IF($EW134&gt;$B$12,"",IF($EX134&gt;0,"row","spacer"))</f>
        <v/>
      </c>
      <c r="EZ134">
        <f>IF(AND($EY134="row",$EY133&lt;&gt;"row"),1,0)</f>
        <v/>
      </c>
      <c r="FA134">
        <f>IF(AND($EY134="row",$EY135&lt;&gt;"row"),1,0)</f>
        <v/>
      </c>
      <c r="FB134">
        <f>IF($EZ134=1,IFERROR(IF(ISNUMBER(INDEX(PASTE_ALL,INDEX($DF$5:$DF$1003,$EX134),$B$37)),INDEX(PASTE_ALL,INDEX($DF$5:$DF$1003,$EX134),$B$37),INDEX($DH$5:$DH$1003,$EX134)),INDEX($DH$5:$DH$1003,$EX134)),"")</f>
        <v/>
      </c>
      <c r="FC134">
        <f>IF($EY134="row",INDEX($ER$5:$ER$1003,$EX134),"")</f>
        <v/>
      </c>
      <c r="FD134">
        <f>IF($EY134="row",INDEX($DN$5:$DN$1003,$EX134),"")</f>
        <v/>
      </c>
      <c r="FE134">
        <f>IF($EY134="row",INDEX($DO$5:$DO$1003,$EX134),"")</f>
        <v/>
      </c>
      <c r="FF134">
        <f>IF($EY134="row",INDEX($DP$5:$DP$1003,$EX134),"")</f>
        <v/>
      </c>
      <c r="FG134">
        <f>IF($EY134="row",INDEX($DQ$5:$DQ$1003,$EX134),"")</f>
        <v/>
      </c>
      <c r="FH134">
        <f>IF($EY134="row",INDEX($DR$5:$DR$1003,$EX134),"")</f>
        <v/>
      </c>
      <c r="FI134">
        <f>IF($EY134="row",INDEX($DS$5:$DS$1003,$EX134),"")</f>
        <v/>
      </c>
      <c r="FJ134">
        <f>IF($EY134="row",INDEX($DT$5:$DT$1003,$EX134),"")</f>
        <v/>
      </c>
      <c r="FK134">
        <f>IF($EY134="row",INDEX($DU$5:$DU$1003,$EX134),"")</f>
        <v/>
      </c>
      <c r="FL134">
        <f>IF($EY134="row",INDEX($DV$5:$DV$1003,$EX134),"")</f>
        <v/>
      </c>
      <c r="FM134">
        <f>IF($EY134="row",INDEX($DW$5:$DW$1003,$EX134),"")</f>
        <v/>
      </c>
      <c r="FN134">
        <f>IF($EY134="row",INDEX($DY$5:$DY$1003,$EX134),"")</f>
        <v/>
      </c>
      <c r="FO134">
        <f>IF($EY134="row",INDEX($EA$5:$EA$1003,$EX134),"")</f>
        <v/>
      </c>
      <c r="FP134">
        <f>IF($EY134="row",INDEX($EC$5:$EC$1003,$EX134),"")</f>
        <v/>
      </c>
      <c r="FQ134">
        <f>IF($EY134="row",INDEX($ET$5:$ET$1003,$EX134),"")</f>
        <v/>
      </c>
      <c r="FR134">
        <f>IF($EY134="row",INDEX($EU$5:$EU$1003,$EX134),"")</f>
        <v/>
      </c>
      <c r="FS134">
        <f>IF(AND($EY134="row",$EY133="row"),IF(OR(INDEX($DT$5:$DT$1003,$EX133)="",INDEX($DT$5:$DT$1003,$EX134)=""),"",IF(NOT(EXACT(INDEX($DT$5:$DT$1003,$EX133),INDEX($DT$5:$DT$1003,$EX134))),"S4",IF(NOT(EXACT(INDEX($DS$5:$DS$1003,$EX133),INDEX($DS$5:$DS$1003,$EX134))),"S3",IF(NOT(EXACT(INDEX($DR$5:$DR$1003,$EX133),INDEX($DR$5:$DR$1003,$EX134))),"S1 Count Change","S1")))),"")</f>
        <v/>
      </c>
      <c r="FT134">
        <f>IF($EY134="row",INDEX($ES$5:$ES$1003,$EX134),"")</f>
        <v/>
      </c>
      <c r="FU134">
        <f>IF($EY134="row",INDEX($EO$5:$EO$1003,$EX134),0)</f>
        <v/>
      </c>
      <c r="FV134">
        <f>IF($FS134="S1 Count Change",1,0)</f>
        <v/>
      </c>
    </row>
    <row r="135">
      <c r="DA135" t="n">
        <v>131</v>
      </c>
      <c r="DB135">
        <f>IF($B$37=0,"",IFERROR(TRIM(SUBSTITUTE(SUBSTITUTE(SUBSTITUTE(SUBSTITUTE(INDEX(PASTE_ALL,131,$B$37)," "," "),CHAR(9)," "),CHAR(10)," "),CHAR(13)," ")),""))</f>
        <v/>
      </c>
      <c r="DC135">
        <f>IF(AND(131&gt;HEADER_ROW,UPPER(DB135)="LEGEND"),1,0)</f>
        <v/>
      </c>
      <c r="DE135" t="n">
        <v>131</v>
      </c>
      <c r="DF135">
        <f>HEADER_ROW+$DE135</f>
        <v/>
      </c>
      <c r="DG135">
        <f>IF(AND($DF135&lt;=1000,$DF135&lt;$B$8),1,0)</f>
        <v/>
      </c>
      <c r="DH135">
        <f>IF($DG135=1,IFERROR(INDEX($DB$5:$DB$1004,$DF135),""),"")</f>
        <v/>
      </c>
      <c r="DI135">
        <f>IF(AND($DG135=1,$DH135&lt;&gt;""),IFERROR(SUBSTITUTE(SUBSTITUTE(TRIM(SUBSTITUTE(SUBSTITUTE(SUBSTITUTE(SUBSTITUTE(IFERROR(INDEX(PASTE_ALL,$DF135,1)&amp;"","")&amp;"␟"&amp;IFERROR(INDEX(PASTE_ALL,$DF135,2)&amp;"","")&amp;"␟"&amp;IFERROR(INDEX(PASTE_ALL,$DF135,3)&amp;"","")&amp;"␟"&amp;IFERROR(INDEX(PASTE_ALL,$DF135,4)&amp;"","")&amp;"␟"&amp;IFERROR(INDEX(PASTE_ALL,$DF135,5)&amp;"","")&amp;"␟"&amp;IFERROR(INDEX(PASTE_ALL,$DF135,6)&amp;"","")&amp;"␟"&amp;IFERROR(INDEX(PASTE_ALL,$DF135,7)&amp;"","")&amp;"␟"&amp;IFERROR(INDEX(PASTE_ALL,$DF135,8)&amp;"","")&amp;"␟"&amp;IFERROR(INDEX(PASTE_ALL,$DF135,9)&amp;"","")&amp;"␟"&amp;IFERROR(INDEX(PASTE_ALL,$DF135,10)&amp;"","")&amp;"␟"&amp;IFERROR(INDEX(PASTE_ALL,$DF135,11)&amp;"","")&amp;"␟"&amp;IFERROR(INDEX(PASTE_ALL,$DF135,12)&amp;"","")&amp;"␟"&amp;IFERROR(INDEX(PASTE_ALL,$DF135,13)&amp;"","")&amp;"␟"&amp;IFERROR(INDEX(PASTE_ALL,$DF135,14)&amp;"","")&amp;"␟"&amp;IFERROR(INDEX(PASTE_ALL,$DF135,15)&amp;"","")&amp;"␟"&amp;IFERROR(INDEX(PASTE_ALL,$DF135,16)&amp;"","")&amp;"␟"&amp;IFERROR(INDEX(PASTE_ALL,$DF135,17)&amp;"","")&amp;"␟"&amp;IFERROR(INDEX(PASTE_ALL,$DF135,18)&amp;"","")&amp;"␟"&amp;IFERROR(INDEX(PASTE_ALL,$DF135,19)&amp;"","")&amp;"␟"&amp;IFERROR(INDEX(PASTE_ALL,$DF135,20)&amp;"","")&amp;"␟"&amp;IFERROR(INDEX(PASTE_ALL,$DF135,21)&amp;"","")&amp;"␟"&amp;IFERROR(INDEX(PASTE_ALL,$DF135,22)&amp;"","")&amp;"␟"&amp;IFERROR(INDEX(PASTE_ALL,$DF135,23)&amp;"","")&amp;"␟"&amp;IFERROR(INDEX(PASTE_ALL,$DF135,24)&amp;"","")&amp;"␟"&amp;IFERROR(INDEX(PASTE_ALL,$DF135,25)&amp;"","")&amp;"␟"&amp;IFERROR(INDEX(PASTE_ALL,$DF135,26)&amp;"","")&amp;"␟"&amp;IFERROR(INDEX(PASTE_ALL,$DF135,27)&amp;"","")&amp;"␟"&amp;IFERROR(INDEX(PASTE_ALL,$DF135,28)&amp;"","")&amp;"␟"&amp;IFERROR(INDEX(PASTE_ALL,$DF135,29)&amp;"","")&amp;"␟"&amp;IFERROR(INDEX(PASTE_ALL,$DF135,30)&amp;"","")&amp;"␟"&amp;IFERROR(INDEX(PASTE_ALL,$DF135,31)&amp;"","")&amp;"␟"&amp;IFERROR(INDEX(PASTE_ALL,$DF135,32)&amp;"","")&amp;"␟"&amp;IFERROR(INDEX(PASTE_ALL,$DF135,33)&amp;"","")&amp;"␟"&amp;IFERROR(INDEX(PASTE_ALL,$DF135,34)&amp;"","")&amp;"␟"&amp;IFERROR(INDEX(PASTE_ALL,$DF135,35)&amp;"","")&amp;"␟"&amp;IFERROR(INDEX(PASTE_ALL,$DF135,36)&amp;"","")&amp;"␟"&amp;IFERROR(INDEX(PASTE_ALL,$DF135,37)&amp;"","")&amp;"␟"&amp;IFERROR(INDEX(PASTE_ALL,$DF135,38)&amp;"","")&amp;"␟"&amp;IFERROR(INDEX(PASTE_ALL,$DF135,39)&amp;"","")&amp;"␟"&amp;IFERROR(INDEX(PASTE_ALL,$DF135,40)&amp;"","")&amp;"␟"&amp;IFERROR(INDEX(PASTE_ALL,$DF135,41)&amp;"","")&amp;"␟"&amp;IFERROR(INDEX(PASTE_ALL,$DF135,42)&amp;"","")&amp;"␟"&amp;IFERROR(INDEX(PASTE_ALL,$DF135,43)&amp;"","")&amp;"␟"&amp;IFERROR(INDEX(PASTE_ALL,$DF135,44)&amp;"","")&amp;"␟"&amp;IFERROR(INDEX(PASTE_ALL,$DF135,45)&amp;"","")&amp;"␟"&amp;IFERROR(INDEX(PASTE_ALL,$DF135,46)&amp;"","")&amp;"␟"&amp;IFERROR(INDEX(PASTE_ALL,$DF135,47)&amp;"","")&amp;"␟"&amp;IFERROR(INDEX(PASTE_ALL,$DF135,48)&amp;"","")&amp;"␟"&amp;IFERROR(INDEX(PASTE_ALL,$DF135,49)&amp;"","")&amp;"␟"&amp;IFERROR(INDEX(PASTE_ALL,$DF135,50)&amp;"","")&amp;"␟"&amp;IFERROR(INDEX(PASTE_ALL,$DF135,51)&amp;"","")&amp;"␟"&amp;IFERROR(INDEX(PASTE_ALL,$DF135,52)&amp;"","")&amp;"␟"&amp;IFERROR(INDEX(PASTE_ALL,$DF135,53)&amp;"","")&amp;"␟"&amp;IFERROR(INDEX(PASTE_ALL,$DF135,54)&amp;"","")&amp;"␟"&amp;IFERROR(INDEX(PASTE_ALL,$DF135,55)&amp;"","")&amp;"␟"&amp;IFERROR(INDEX(PASTE_ALL,$DF135,56)&amp;"","")&amp;"␟"&amp;IFERROR(INDEX(PASTE_ALL,$DF135,57)&amp;"","")&amp;"␟"&amp;IFERROR(INDEX(PASTE_ALL,$DF135,58)&amp;"","")&amp;"␟"&amp;IFERROR(INDEX(PASTE_ALL,$DF135,59)&amp;"","")&amp;"␟"&amp;IFERROR(INDEX(PASTE_ALL,$DF135,60)&amp;"","")," "," "),CHAR(9)," "),CHAR(10)," "),CHAR(13)," "))," ␟","␟"),"␟ ","␟"),"#"&amp;$DE135),"")</f>
        <v/>
      </c>
      <c r="DJ135">
        <f>IF($DI135="",0,IF(SUMPRODUCT(--EXACT($DI$4:DI134,$DI135))&gt;0,1,0))</f>
        <v/>
      </c>
      <c r="DK135">
        <f>IF(AND($DI135&lt;&gt;"",$DJ135=0),1,0)</f>
        <v/>
      </c>
      <c r="DL135">
        <f>DL134+$DK135</f>
        <v/>
      </c>
      <c r="DM135">
        <f>IF(AND($DK135=1,$DL135&lt;=600),1,0)</f>
        <v/>
      </c>
      <c r="DN135">
        <f>IF($DM135=0,"",IF($L$6=0,"",IFERROR(IF(ISNUMBER(INDEX(PASTE_ALL,$DF135,$L$6)),INDEX(PASTE_ALL,$DF135,$L$6),TRIM(SUBSTITUTE(SUBSTITUTE(SUBSTITUTE(SUBSTITUTE(INDEX(PASTE_ALL,$DF135,$L$6)," "," "),CHAR(9)," "),CHAR(10)," "),CHAR(13)," "))),"")))</f>
        <v/>
      </c>
      <c r="DO135">
        <f>IF($DM135=0,"",IF($L$7=0,"",IFERROR(IF(ISNUMBER(INDEX(PASTE_ALL,$DF135,$L$7)),INDEX(PASTE_ALL,$DF135,$L$7),TRIM(SUBSTITUTE(SUBSTITUTE(SUBSTITUTE(SUBSTITUTE(INDEX(PASTE_ALL,$DF135,$L$7)," "," "),CHAR(9)," "),CHAR(10)," "),CHAR(13)," "))),"")))</f>
        <v/>
      </c>
      <c r="DP135">
        <f>IF($DM135=0,"",IF($L$8=0,"",IFERROR(IF(ISNUMBER(INDEX(PASTE_ALL,$DF135,$L$8)),INDEX(PASTE_ALL,$DF135,$L$8),TRIM(SUBSTITUTE(SUBSTITUTE(SUBSTITUTE(SUBSTITUTE(INDEX(PASTE_ALL,$DF135,$L$8)," "," "),CHAR(9)," "),CHAR(10)," "),CHAR(13)," "))),"")))</f>
        <v/>
      </c>
      <c r="DQ135">
        <f>IF($DM135=0,"",IF($L$9=0,"",IFERROR(IF(ISNUMBER(INDEX(PASTE_ALL,$DF135,$L$9)),INDEX(PASTE_ALL,$DF135,$L$9),TRIM(SUBSTITUTE(SUBSTITUTE(SUBSTITUTE(SUBSTITUTE(INDEX(PASTE_ALL,$DF135,$L$9)," "," "),CHAR(9)," "),CHAR(10)," "),CHAR(13)," "))),"")))</f>
        <v/>
      </c>
      <c r="DR135">
        <f>IF($DM135=0,"",IF($L$10=0,"",IFERROR(IF(ISNUMBER(INDEX(PASTE_ALL,$DF135,$L$10)),INDEX(PASTE_ALL,$DF135,$L$10),TRIM(SUBSTITUTE(SUBSTITUTE(SUBSTITUTE(SUBSTITUTE(INDEX(PASTE_ALL,$DF135,$L$10)," "," "),CHAR(9)," "),CHAR(10)," "),CHAR(13)," "))),"")))</f>
        <v/>
      </c>
      <c r="DS135">
        <f>IF($DM135=0,"",IF($L$11=0,"",IFERROR(IF(ISNUMBER(INDEX(PASTE_ALL,$DF135,$L$11)),INDEX(PASTE_ALL,$DF135,$L$11),TRIM(SUBSTITUTE(SUBSTITUTE(SUBSTITUTE(SUBSTITUTE(INDEX(PASTE_ALL,$DF135,$L$11)," "," "),CHAR(9)," "),CHAR(10)," "),CHAR(13)," "))),"")))</f>
        <v/>
      </c>
      <c r="DT135">
        <f>IF($DM135=0,"",IF($L$12=0,"",IFERROR(IF(ISNUMBER(INDEX(PASTE_ALL,$DF135,$L$12)),INDEX(PASTE_ALL,$DF135,$L$12),TRIM(SUBSTITUTE(SUBSTITUTE(SUBSTITUTE(SUBSTITUTE(INDEX(PASTE_ALL,$DF135,$L$12)," "," "),CHAR(9)," "),CHAR(10)," "),CHAR(13)," "))),"")))</f>
        <v/>
      </c>
      <c r="DU135">
        <f>IF($DM135=0,"",IF($L$13=0,"",IFERROR(IF(ISNUMBER(INDEX(PASTE_ALL,$DF135,$L$13)),INDEX(PASTE_ALL,$DF135,$L$13),TRIM(SUBSTITUTE(SUBSTITUTE(SUBSTITUTE(SUBSTITUTE(INDEX(PASTE_ALL,$DF135,$L$13)," "," "),CHAR(9)," "),CHAR(10)," "),CHAR(13)," "))),"")))</f>
        <v/>
      </c>
      <c r="DV135">
        <f>IF($DM135=0,"",IF($L$14=0,"",IFERROR(IF(ISNUMBER(INDEX(PASTE_ALL,$DF135,$L$14)),INDEX(PASTE_ALL,$DF135,$L$14),TRIM(SUBSTITUTE(SUBSTITUTE(SUBSTITUTE(SUBSTITUTE(INDEX(PASTE_ALL,$DF135,$L$14)," "," "),CHAR(9)," "),CHAR(10)," "),CHAR(13)," "))),"")))</f>
        <v/>
      </c>
      <c r="DW135">
        <f>IF($DM135=0,"",IF($L$15=0,"",IFERROR(IF(ISNUMBER(INDEX(PASTE_ALL,$DF135,$L$15)),INDEX(PASTE_ALL,$DF135,$L$15),IF(SUMPRODUCT(--ISNUMBER(FIND({"A","B","C","D","E","F","G","H","I","J","K","L","M","N","O","P","Q","R","S","T","U","V","W","X","Y","Z","0","1","2","3","4","5","6","7","8","9"},UPPER(TRIM(SUBSTITUTE(SUBSTITUTE(SUBSTITUTE(SUBSTITUTE(INDEX(PASTE_ALL,$DF135,$L$15)," "," "),CHAR(9)," "),CHAR(10)," "),CHAR(13)," "))))))&gt;0,TRIM(SUBSTITUTE(SUBSTITUTE(SUBSTITUTE(SUBSTITUTE(INDEX(PASTE_ALL,$DF135,$L$15)," "," "),CHAR(9)," "),CHAR(10)," "),CHAR(13)," ")),"")),"")))</f>
        <v/>
      </c>
      <c r="DX135">
        <f>IF($DM135=0,"",IF($L$16=0,"",IFERROR(IF(ISNUMBER(INDEX(PASTE_ALL,$DF135,$L$16)),INDEX(PASTE_ALL,$DF135,$L$16),SUBSTITUTE(SUBSTITUTE(TRIM(SUBSTITUTE(SUBSTITUTE(SUBSTITUTE(SUBSTITUTE(INDEX(PASTE_ALL,$DF135,$L$16)," "," "),CHAR(9)," "),CHAR(10)," "),CHAR(13)," ")),",",""),"%","")),"")))</f>
        <v/>
      </c>
      <c r="DY135">
        <f>IF($DM135=0,"",IFERROR(IF(ISNUMBER($DX135),$DX135,IF($DX135="","",IF(TRIM($DX135)="",0,IF(AND(AND(SUBSTITUTE(SUBSTITUTE(SUBSTITUTE(SUBSTITUTE(SUBSTITUTE(SUBSTITUTE(SUBSTITUTE(SUBSTITUTE(SUBSTITUTE(SUBSTITUTE(SUBSTITUTE(SUBSTITUTE(SUBSTITUTE(SUBSTITUTE(UPPER(TRIM($DX135)),"0",""),"1",""),"2",""),"3",""),"4",""),"5",""),"6",""),"7",""),"8",""),"9",""),".",""),"+",""),"-",""),"E","")="",LEN(SUBSTITUTE(SUBSTITUTE(MID(UPPER(TRIM($DX135)),1+OR(LEFT(UPPER(TRIM($DX135)),1)="+",LEFT(UPPER(TRIM($DX135)),1)="-"),999),"E+","E"),"E-","E"))=LEN(SUBSTITUTE(SUBSTITUTE(SUBSTITUTE(SUBSTITUTE(MID(UPPER(TRIM($DX135)),1+OR(LEFT(UPPER(TRIM($DX135)),1)="+",LEFT(UPPER(TRIM($DX135)),1)="-"),999),"E+","E"),"E-","E"),"+",""),"-","")),LEN(UPPER(TRIM($DX135)))-LEN(SUBSTITUTE(UPPER(TRIM($DX135)),"E",""))&lt;2,LEN(UPPER(TRIM($DX135)))-LEN(SUBSTITUTE(UPPER(TRIM($DX135)),".",""))&lt;2,IFERROR(FIND(".",UPPER(TRIM($DX135))),0)&lt;IFERROR(FIND("E",UPPER(TRIM($DX135))),999)),ISNUMBER(VALUE(TRIM($DX135)))),VALUE(TRIM($DX135)),"")))),""))</f>
        <v/>
      </c>
      <c r="DZ135">
        <f>IF($DM135=0,"",IF($L$17=0,"",IFERROR(IF(ISNUMBER(INDEX(PASTE_ALL,$DF135,$L$17)),INDEX(PASTE_ALL,$DF135,$L$17),SUBSTITUTE(SUBSTITUTE(TRIM(SUBSTITUTE(SUBSTITUTE(SUBSTITUTE(SUBSTITUTE(INDEX(PASTE_ALL,$DF135,$L$17)," "," "),CHAR(9)," "),CHAR(10)," "),CHAR(13)," ")),",",""),"%","")),"")))</f>
        <v/>
      </c>
      <c r="EA135">
        <f>IF($DM135=0,"",IFERROR(IF(ISNUMBER($DZ135),$DZ135,IF($DZ135="","",IF(TRIM($DZ135)="",0,IF(AND(AND(SUBSTITUTE(SUBSTITUTE(SUBSTITUTE(SUBSTITUTE(SUBSTITUTE(SUBSTITUTE(SUBSTITUTE(SUBSTITUTE(SUBSTITUTE(SUBSTITUTE(SUBSTITUTE(SUBSTITUTE(SUBSTITUTE(SUBSTITUTE(UPPER(TRIM($DZ135)),"0",""),"1",""),"2",""),"3",""),"4",""),"5",""),"6",""),"7",""),"8",""),"9",""),".",""),"+",""),"-",""),"E","")="",LEN(SUBSTITUTE(SUBSTITUTE(MID(UPPER(TRIM($DZ135)),1+OR(LEFT(UPPER(TRIM($DZ135)),1)="+",LEFT(UPPER(TRIM($DZ135)),1)="-"),999),"E+","E"),"E-","E"))=LEN(SUBSTITUTE(SUBSTITUTE(SUBSTITUTE(SUBSTITUTE(MID(UPPER(TRIM($DZ135)),1+OR(LEFT(UPPER(TRIM($DZ135)),1)="+",LEFT(UPPER(TRIM($DZ135)),1)="-"),999),"E+","E"),"E-","E"),"+",""),"-","")),LEN(UPPER(TRIM($DZ135)))-LEN(SUBSTITUTE(UPPER(TRIM($DZ135)),"E",""))&lt;2,LEN(UPPER(TRIM($DZ135)))-LEN(SUBSTITUTE(UPPER(TRIM($DZ135)),".",""))&lt;2,IFERROR(FIND(".",UPPER(TRIM($DZ135))),0)&lt;IFERROR(FIND("E",UPPER(TRIM($DZ135))),999)),ISNUMBER(VALUE(TRIM($DZ135)))),VALUE(TRIM($DZ135)),"")))),""))</f>
        <v/>
      </c>
      <c r="EB135">
        <f>IF($DM135=0,"",IF($L$18=0,"",IFERROR(IF(UPPER(TRIM(SUBSTITUTE(SUBSTITUTE(SUBSTITUTE(SUBSTITUTE(INDEX(PASTE_ALL,$DF135,$L$18)," "," "),CHAR(9)," "),CHAR(10)," "),CHAR(13)," ")))="READY","Ready",IF(UPPER(TRIM(SUBSTITUTE(SUBSTITUTE(SUBSTITUTE(SUBSTITUTE(INDEX(PASTE_ALL,$DF135,$L$18)," "," "),CHAR(9)," "),CHAR(10)," "),CHAR(13)," ")))="PM","PM",IF(OR(UPPER(TRIM(SUBSTITUTE(SUBSTITUTE(SUBSTITUTE(SUBSTITUTE(INDEX(PASTE_ALL,$DF135,$L$18)," "," "),CHAR(9)," "),CHAR(10)," "),CHAR(13)," ")))="OT",UPPER(TRIM(SUBSTITUTE(SUBSTITUTE(SUBSTITUTE(SUBSTITUTE(INDEX(PASTE_ALL,$DF135,$L$18)," "," "),CHAR(9)," "),CHAR(10)," "),CHAR(13)," ")))="OVERTIME",UPPER(TRIM(SUBSTITUTE(SUBSTITUTE(SUBSTITUTE(SUBSTITUTE(INDEX(PASTE_ALL,$DF135,$L$18)," "," "),CHAR(9)," "),CHAR(10)," "),CHAR(13)," ")))="TRIAL"),"OT",TRIM(SUBSTITUTE(SUBSTITUTE(SUBSTITUTE(SUBSTITUTE(INDEX(PASTE_ALL,$DF135,$L$18)," "," "),CHAR(9)," "),CHAR(10)," "),CHAR(13)," "))))),"")))</f>
        <v/>
      </c>
      <c r="EC135">
        <f>IF($DM135=0,"",IF($L$19=0,"",IFERROR(IF(ISNUMBER(INDEX(PASTE_ALL,$DF135,$L$19)),INDEX(PASTE_ALL,$DF135,$L$19),TRIM(SUBSTITUTE(SUBSTITUTE(SUBSTITUTE(SUBSTITUTE(INDEX(PASTE_ALL,$DF135,$L$19)," "," "),CHAR(9)," "),CHAR(10)," "),CHAR(13)," "))),"")))</f>
        <v/>
      </c>
      <c r="ED135">
        <f>IF($DM135=0,"",MATCH(1,INDEX(EXACT($DH$5:DH135,$DH135)*$DM$5:DM135,0),0))</f>
        <v/>
      </c>
      <c r="EE135">
        <f>IF($DM135=0,0,IF($ED135=$DE135,1,0))</f>
        <v/>
      </c>
      <c r="EF135">
        <f>EF134+$EE135</f>
        <v/>
      </c>
      <c r="EG135">
        <f>IF($DM135=0,"",INDEX($EF$5:$EF$1003,$ED135))</f>
        <v/>
      </c>
      <c r="EH135">
        <f>IF($DM135=0,"",IF($DO135&lt;&gt;"","",IFERROR(LOOKUP(2,1/(($EG$4:EG134=$EG135)*($DO$4:DO134&lt;&gt;"")),$DO$4:DO134),"")))</f>
        <v/>
      </c>
      <c r="EI135">
        <f>IF($DM135=0,"",IF($DO135&lt;&gt;"",$DO135,$EH135))</f>
        <v/>
      </c>
      <c r="EJ135">
        <f>IF($DM135=0,"",IF($EI135="",0,IF(OR(ISNUMBER($EI135),AND(AND(SUBSTITUTE(SUBSTITUTE(SUBSTITUTE(SUBSTITUTE(SUBSTITUTE(SUBSTITUTE(SUBSTITUTE(SUBSTITUTE(SUBSTITUTE(SUBSTITUTE(SUBSTITUTE(SUBSTITUTE(SUBSTITUTE(SUBSTITUTE(UPPER($EI135),"0",""),"1",""),"2",""),"3",""),"4",""),"5",""),"6",""),"7",""),"8",""),"9",""),".",""),"+",""),"-",""),"E","")="",LEN(SUBSTITUTE(SUBSTITUTE(MID(UPPER($EI135),1+OR(LEFT(UPPER($EI135),1)="+",LEFT(UPPER($EI135),1)="-"),999),"E+","E"),"E-","E"))=LEN(SUBSTITUTE(SUBSTITUTE(SUBSTITUTE(SUBSTITUTE(MID(UPPER($EI135),1+OR(LEFT(UPPER($EI135),1)="+",LEFT(UPPER($EI135),1)="-"),999),"E+","E"),"E-","E"),"+",""),"-","")),LEN(UPPER($EI135))-LEN(SUBSTITUTE(UPPER($EI135),"E",""))&lt;2,LEN(UPPER($EI135))-LEN(SUBSTITUTE(UPPER($EI135),".",""))&lt;2,IFERROR(FIND(".",UPPER($EI135)),0)&lt;IFERROR(FIND("E",UPPER($EI135)),999)),ISNUMBER(VALUE($EI135)))),1,2)))</f>
        <v/>
      </c>
      <c r="EK135">
        <f>IF($DM135=0,"",IF($EJ135=1,IF(ISNUMBER($EI135),$EI135,VALUE($EI135)),IF($EJ135=2,$DE135,0)))</f>
        <v/>
      </c>
      <c r="EL135">
        <f>IF($DM135=0,"",COUNTIF($EG$5:$EG$1003,"&lt;"&amp;$EG135)+SUMPRODUCT(($EG$5:$EG$1003=$EG135)*(($EJ$5:$EJ$1003&lt;$EJ135)+($EJ$5:$EJ$1003=$EJ135)*(($EK$5:$EK$1003&lt;$EK135)+($EK$5:$EK$1003=$EK135)*($DE$5:$DE$1003&lt;$DE135))))+1)</f>
        <v/>
      </c>
      <c r="EM135">
        <f>IF($DM135=0,"",$EL135+$EG135-1)</f>
        <v/>
      </c>
      <c r="EN135">
        <f>IF($DM135=0,0,IFERROR(MATCH(1,INDEX(--(TRIM(SUBSTITUTE(SUBSTITUTE(SUBSTITUTE(SUBSTITUTE(LINES_NAME&amp;""," "," "),CHAR(9)," "),CHAR(10)," "),CHAR(13)," "))=$DH135),0),0),0))</f>
        <v/>
      </c>
      <c r="EO135">
        <f>IF($EN135=0,0,IF(OR(UPPER(TRIM(INDEX(LINES_SCHEDULED,$EN135)&amp;""))="YES",UPPER(TRIM(INDEX(LINES_SCHEDULED,$EN135)&amp;""))="Y",UPPER(TRIM(INDEX(LINES_SCHEDULED,$EN135)&amp;""))="X"),1,0))</f>
        <v/>
      </c>
      <c r="EP135">
        <f>IF($DM135=0,"",IF(COUNTIFS($EG$5:$EG$1003,$EG135,$EB$5:$EB$1003,"Ready")&gt;0,"READY",IF(COUNTIFS($EG$5:$EG$1003,$EG135,$EB$5:$EB$1003,"PM")&gt;0,"PM",IF(COUNTIFS($EG$5:$EG$1003,$EG135,$EB$5:$EB$1003,"OT")&gt;0,"OT",""))))</f>
        <v/>
      </c>
      <c r="EQ135">
        <f>IF($EN135=0,"",UPPER(TRIM(INDEX(LINES_STATUS,$EN135)&amp;"")))</f>
        <v/>
      </c>
      <c r="ER135">
        <f>IF($DM135=0,"",IF(OR($EQ135="READY",$EQ135="PM",$EQ135="OT"),$EQ135,$EP135))</f>
        <v/>
      </c>
      <c r="ES135">
        <f>IF($DM135=0,"",IF(AND($DV135&lt;&gt;"",UPPER($DV135)&lt;&gt;"N"),"allergen",IF(ISNUMBER(SEARCH("oil",$DQ135)),"oil",IF(OR(EXACT($DS135,"A662"),EXACT($DS135,"A624")),"bulk",""))))</f>
        <v/>
      </c>
      <c r="ET135">
        <f>IF($DM135=0,"",IF(OR($EA135="",$EA135=0),"",$EA135/100))</f>
        <v/>
      </c>
      <c r="EU135">
        <f>IF(OR($ET135="",$DY135=""),"",INT($DY135*(1-$ET135)+0.5))</f>
        <v/>
      </c>
      <c r="EW135" t="n">
        <v>131</v>
      </c>
      <c r="EX135">
        <f>IFERROR(MATCH($EW135,$EM$5:$EM$1003,0),0)</f>
        <v/>
      </c>
      <c r="EY135">
        <f>IF($EW135&gt;$B$12,"",IF($EX135&gt;0,"row","spacer"))</f>
        <v/>
      </c>
      <c r="EZ135">
        <f>IF(AND($EY135="row",$EY134&lt;&gt;"row"),1,0)</f>
        <v/>
      </c>
      <c r="FA135">
        <f>IF(AND($EY135="row",$EY136&lt;&gt;"row"),1,0)</f>
        <v/>
      </c>
      <c r="FB135">
        <f>IF($EZ135=1,IFERROR(IF(ISNUMBER(INDEX(PASTE_ALL,INDEX($DF$5:$DF$1003,$EX135),$B$37)),INDEX(PASTE_ALL,INDEX($DF$5:$DF$1003,$EX135),$B$37),INDEX($DH$5:$DH$1003,$EX135)),INDEX($DH$5:$DH$1003,$EX135)),"")</f>
        <v/>
      </c>
      <c r="FC135">
        <f>IF($EY135="row",INDEX($ER$5:$ER$1003,$EX135),"")</f>
        <v/>
      </c>
      <c r="FD135">
        <f>IF($EY135="row",INDEX($DN$5:$DN$1003,$EX135),"")</f>
        <v/>
      </c>
      <c r="FE135">
        <f>IF($EY135="row",INDEX($DO$5:$DO$1003,$EX135),"")</f>
        <v/>
      </c>
      <c r="FF135">
        <f>IF($EY135="row",INDEX($DP$5:$DP$1003,$EX135),"")</f>
        <v/>
      </c>
      <c r="FG135">
        <f>IF($EY135="row",INDEX($DQ$5:$DQ$1003,$EX135),"")</f>
        <v/>
      </c>
      <c r="FH135">
        <f>IF($EY135="row",INDEX($DR$5:$DR$1003,$EX135),"")</f>
        <v/>
      </c>
      <c r="FI135">
        <f>IF($EY135="row",INDEX($DS$5:$DS$1003,$EX135),"")</f>
        <v/>
      </c>
      <c r="FJ135">
        <f>IF($EY135="row",INDEX($DT$5:$DT$1003,$EX135),"")</f>
        <v/>
      </c>
      <c r="FK135">
        <f>IF($EY135="row",INDEX($DU$5:$DU$1003,$EX135),"")</f>
        <v/>
      </c>
      <c r="FL135">
        <f>IF($EY135="row",INDEX($DV$5:$DV$1003,$EX135),"")</f>
        <v/>
      </c>
      <c r="FM135">
        <f>IF($EY135="row",INDEX($DW$5:$DW$1003,$EX135),"")</f>
        <v/>
      </c>
      <c r="FN135">
        <f>IF($EY135="row",INDEX($DY$5:$DY$1003,$EX135),"")</f>
        <v/>
      </c>
      <c r="FO135">
        <f>IF($EY135="row",INDEX($EA$5:$EA$1003,$EX135),"")</f>
        <v/>
      </c>
      <c r="FP135">
        <f>IF($EY135="row",INDEX($EC$5:$EC$1003,$EX135),"")</f>
        <v/>
      </c>
      <c r="FQ135">
        <f>IF($EY135="row",INDEX($ET$5:$ET$1003,$EX135),"")</f>
        <v/>
      </c>
      <c r="FR135">
        <f>IF($EY135="row",INDEX($EU$5:$EU$1003,$EX135),"")</f>
        <v/>
      </c>
      <c r="FS135">
        <f>IF(AND($EY135="row",$EY134="row"),IF(OR(INDEX($DT$5:$DT$1003,$EX134)="",INDEX($DT$5:$DT$1003,$EX135)=""),"",IF(NOT(EXACT(INDEX($DT$5:$DT$1003,$EX134),INDEX($DT$5:$DT$1003,$EX135))),"S4",IF(NOT(EXACT(INDEX($DS$5:$DS$1003,$EX134),INDEX($DS$5:$DS$1003,$EX135))),"S3",IF(NOT(EXACT(INDEX($DR$5:$DR$1003,$EX134),INDEX($DR$5:$DR$1003,$EX135))),"S1 Count Change","S1")))),"")</f>
        <v/>
      </c>
      <c r="FT135">
        <f>IF($EY135="row",INDEX($ES$5:$ES$1003,$EX135),"")</f>
        <v/>
      </c>
      <c r="FU135">
        <f>IF($EY135="row",INDEX($EO$5:$EO$1003,$EX135),0)</f>
        <v/>
      </c>
      <c r="FV135">
        <f>IF($FS135="S1 Count Change",1,0)</f>
        <v/>
      </c>
    </row>
    <row r="136">
      <c r="DA136" t="n">
        <v>132</v>
      </c>
      <c r="DB136">
        <f>IF($B$37=0,"",IFERROR(TRIM(SUBSTITUTE(SUBSTITUTE(SUBSTITUTE(SUBSTITUTE(INDEX(PASTE_ALL,132,$B$37)," "," "),CHAR(9)," "),CHAR(10)," "),CHAR(13)," ")),""))</f>
        <v/>
      </c>
      <c r="DC136">
        <f>IF(AND(132&gt;HEADER_ROW,UPPER(DB136)="LEGEND"),1,0)</f>
        <v/>
      </c>
      <c r="DE136" t="n">
        <v>132</v>
      </c>
      <c r="DF136">
        <f>HEADER_ROW+$DE136</f>
        <v/>
      </c>
      <c r="DG136">
        <f>IF(AND($DF136&lt;=1000,$DF136&lt;$B$8),1,0)</f>
        <v/>
      </c>
      <c r="DH136">
        <f>IF($DG136=1,IFERROR(INDEX($DB$5:$DB$1004,$DF136),""),"")</f>
        <v/>
      </c>
      <c r="DI136">
        <f>IF(AND($DG136=1,$DH136&lt;&gt;""),IFERROR(SUBSTITUTE(SUBSTITUTE(TRIM(SUBSTITUTE(SUBSTITUTE(SUBSTITUTE(SUBSTITUTE(IFERROR(INDEX(PASTE_ALL,$DF136,1)&amp;"","")&amp;"␟"&amp;IFERROR(INDEX(PASTE_ALL,$DF136,2)&amp;"","")&amp;"␟"&amp;IFERROR(INDEX(PASTE_ALL,$DF136,3)&amp;"","")&amp;"␟"&amp;IFERROR(INDEX(PASTE_ALL,$DF136,4)&amp;"","")&amp;"␟"&amp;IFERROR(INDEX(PASTE_ALL,$DF136,5)&amp;"","")&amp;"␟"&amp;IFERROR(INDEX(PASTE_ALL,$DF136,6)&amp;"","")&amp;"␟"&amp;IFERROR(INDEX(PASTE_ALL,$DF136,7)&amp;"","")&amp;"␟"&amp;IFERROR(INDEX(PASTE_ALL,$DF136,8)&amp;"","")&amp;"␟"&amp;IFERROR(INDEX(PASTE_ALL,$DF136,9)&amp;"","")&amp;"␟"&amp;IFERROR(INDEX(PASTE_ALL,$DF136,10)&amp;"","")&amp;"␟"&amp;IFERROR(INDEX(PASTE_ALL,$DF136,11)&amp;"","")&amp;"␟"&amp;IFERROR(INDEX(PASTE_ALL,$DF136,12)&amp;"","")&amp;"␟"&amp;IFERROR(INDEX(PASTE_ALL,$DF136,13)&amp;"","")&amp;"␟"&amp;IFERROR(INDEX(PASTE_ALL,$DF136,14)&amp;"","")&amp;"␟"&amp;IFERROR(INDEX(PASTE_ALL,$DF136,15)&amp;"","")&amp;"␟"&amp;IFERROR(INDEX(PASTE_ALL,$DF136,16)&amp;"","")&amp;"␟"&amp;IFERROR(INDEX(PASTE_ALL,$DF136,17)&amp;"","")&amp;"␟"&amp;IFERROR(INDEX(PASTE_ALL,$DF136,18)&amp;"","")&amp;"␟"&amp;IFERROR(INDEX(PASTE_ALL,$DF136,19)&amp;"","")&amp;"␟"&amp;IFERROR(INDEX(PASTE_ALL,$DF136,20)&amp;"","")&amp;"␟"&amp;IFERROR(INDEX(PASTE_ALL,$DF136,21)&amp;"","")&amp;"␟"&amp;IFERROR(INDEX(PASTE_ALL,$DF136,22)&amp;"","")&amp;"␟"&amp;IFERROR(INDEX(PASTE_ALL,$DF136,23)&amp;"","")&amp;"␟"&amp;IFERROR(INDEX(PASTE_ALL,$DF136,24)&amp;"","")&amp;"␟"&amp;IFERROR(INDEX(PASTE_ALL,$DF136,25)&amp;"","")&amp;"␟"&amp;IFERROR(INDEX(PASTE_ALL,$DF136,26)&amp;"","")&amp;"␟"&amp;IFERROR(INDEX(PASTE_ALL,$DF136,27)&amp;"","")&amp;"␟"&amp;IFERROR(INDEX(PASTE_ALL,$DF136,28)&amp;"","")&amp;"␟"&amp;IFERROR(INDEX(PASTE_ALL,$DF136,29)&amp;"","")&amp;"␟"&amp;IFERROR(INDEX(PASTE_ALL,$DF136,30)&amp;"","")&amp;"␟"&amp;IFERROR(INDEX(PASTE_ALL,$DF136,31)&amp;"","")&amp;"␟"&amp;IFERROR(INDEX(PASTE_ALL,$DF136,32)&amp;"","")&amp;"␟"&amp;IFERROR(INDEX(PASTE_ALL,$DF136,33)&amp;"","")&amp;"␟"&amp;IFERROR(INDEX(PASTE_ALL,$DF136,34)&amp;"","")&amp;"␟"&amp;IFERROR(INDEX(PASTE_ALL,$DF136,35)&amp;"","")&amp;"␟"&amp;IFERROR(INDEX(PASTE_ALL,$DF136,36)&amp;"","")&amp;"␟"&amp;IFERROR(INDEX(PASTE_ALL,$DF136,37)&amp;"","")&amp;"␟"&amp;IFERROR(INDEX(PASTE_ALL,$DF136,38)&amp;"","")&amp;"␟"&amp;IFERROR(INDEX(PASTE_ALL,$DF136,39)&amp;"","")&amp;"␟"&amp;IFERROR(INDEX(PASTE_ALL,$DF136,40)&amp;"","")&amp;"␟"&amp;IFERROR(INDEX(PASTE_ALL,$DF136,41)&amp;"","")&amp;"␟"&amp;IFERROR(INDEX(PASTE_ALL,$DF136,42)&amp;"","")&amp;"␟"&amp;IFERROR(INDEX(PASTE_ALL,$DF136,43)&amp;"","")&amp;"␟"&amp;IFERROR(INDEX(PASTE_ALL,$DF136,44)&amp;"","")&amp;"␟"&amp;IFERROR(INDEX(PASTE_ALL,$DF136,45)&amp;"","")&amp;"␟"&amp;IFERROR(INDEX(PASTE_ALL,$DF136,46)&amp;"","")&amp;"␟"&amp;IFERROR(INDEX(PASTE_ALL,$DF136,47)&amp;"","")&amp;"␟"&amp;IFERROR(INDEX(PASTE_ALL,$DF136,48)&amp;"","")&amp;"␟"&amp;IFERROR(INDEX(PASTE_ALL,$DF136,49)&amp;"","")&amp;"␟"&amp;IFERROR(INDEX(PASTE_ALL,$DF136,50)&amp;"","")&amp;"␟"&amp;IFERROR(INDEX(PASTE_ALL,$DF136,51)&amp;"","")&amp;"␟"&amp;IFERROR(INDEX(PASTE_ALL,$DF136,52)&amp;"","")&amp;"␟"&amp;IFERROR(INDEX(PASTE_ALL,$DF136,53)&amp;"","")&amp;"␟"&amp;IFERROR(INDEX(PASTE_ALL,$DF136,54)&amp;"","")&amp;"␟"&amp;IFERROR(INDEX(PASTE_ALL,$DF136,55)&amp;"","")&amp;"␟"&amp;IFERROR(INDEX(PASTE_ALL,$DF136,56)&amp;"","")&amp;"␟"&amp;IFERROR(INDEX(PASTE_ALL,$DF136,57)&amp;"","")&amp;"␟"&amp;IFERROR(INDEX(PASTE_ALL,$DF136,58)&amp;"","")&amp;"␟"&amp;IFERROR(INDEX(PASTE_ALL,$DF136,59)&amp;"","")&amp;"␟"&amp;IFERROR(INDEX(PASTE_ALL,$DF136,60)&amp;"","")," "," "),CHAR(9)," "),CHAR(10)," "),CHAR(13)," "))," ␟","␟"),"␟ ","␟"),"#"&amp;$DE136),"")</f>
        <v/>
      </c>
      <c r="DJ136">
        <f>IF($DI136="",0,IF(SUMPRODUCT(--EXACT($DI$4:DI135,$DI136))&gt;0,1,0))</f>
        <v/>
      </c>
      <c r="DK136">
        <f>IF(AND($DI136&lt;&gt;"",$DJ136=0),1,0)</f>
        <v/>
      </c>
      <c r="DL136">
        <f>DL135+$DK136</f>
        <v/>
      </c>
      <c r="DM136">
        <f>IF(AND($DK136=1,$DL136&lt;=600),1,0)</f>
        <v/>
      </c>
      <c r="DN136">
        <f>IF($DM136=0,"",IF($L$6=0,"",IFERROR(IF(ISNUMBER(INDEX(PASTE_ALL,$DF136,$L$6)),INDEX(PASTE_ALL,$DF136,$L$6),TRIM(SUBSTITUTE(SUBSTITUTE(SUBSTITUTE(SUBSTITUTE(INDEX(PASTE_ALL,$DF136,$L$6)," "," "),CHAR(9)," "),CHAR(10)," "),CHAR(13)," "))),"")))</f>
        <v/>
      </c>
      <c r="DO136">
        <f>IF($DM136=0,"",IF($L$7=0,"",IFERROR(IF(ISNUMBER(INDEX(PASTE_ALL,$DF136,$L$7)),INDEX(PASTE_ALL,$DF136,$L$7),TRIM(SUBSTITUTE(SUBSTITUTE(SUBSTITUTE(SUBSTITUTE(INDEX(PASTE_ALL,$DF136,$L$7)," "," "),CHAR(9)," "),CHAR(10)," "),CHAR(13)," "))),"")))</f>
        <v/>
      </c>
      <c r="DP136">
        <f>IF($DM136=0,"",IF($L$8=0,"",IFERROR(IF(ISNUMBER(INDEX(PASTE_ALL,$DF136,$L$8)),INDEX(PASTE_ALL,$DF136,$L$8),TRIM(SUBSTITUTE(SUBSTITUTE(SUBSTITUTE(SUBSTITUTE(INDEX(PASTE_ALL,$DF136,$L$8)," "," "),CHAR(9)," "),CHAR(10)," "),CHAR(13)," "))),"")))</f>
        <v/>
      </c>
      <c r="DQ136">
        <f>IF($DM136=0,"",IF($L$9=0,"",IFERROR(IF(ISNUMBER(INDEX(PASTE_ALL,$DF136,$L$9)),INDEX(PASTE_ALL,$DF136,$L$9),TRIM(SUBSTITUTE(SUBSTITUTE(SUBSTITUTE(SUBSTITUTE(INDEX(PASTE_ALL,$DF136,$L$9)," "," "),CHAR(9)," "),CHAR(10)," "),CHAR(13)," "))),"")))</f>
        <v/>
      </c>
      <c r="DR136">
        <f>IF($DM136=0,"",IF($L$10=0,"",IFERROR(IF(ISNUMBER(INDEX(PASTE_ALL,$DF136,$L$10)),INDEX(PASTE_ALL,$DF136,$L$10),TRIM(SUBSTITUTE(SUBSTITUTE(SUBSTITUTE(SUBSTITUTE(INDEX(PASTE_ALL,$DF136,$L$10)," "," "),CHAR(9)," "),CHAR(10)," "),CHAR(13)," "))),"")))</f>
        <v/>
      </c>
      <c r="DS136">
        <f>IF($DM136=0,"",IF($L$11=0,"",IFERROR(IF(ISNUMBER(INDEX(PASTE_ALL,$DF136,$L$11)),INDEX(PASTE_ALL,$DF136,$L$11),TRIM(SUBSTITUTE(SUBSTITUTE(SUBSTITUTE(SUBSTITUTE(INDEX(PASTE_ALL,$DF136,$L$11)," "," "),CHAR(9)," "),CHAR(10)," "),CHAR(13)," "))),"")))</f>
        <v/>
      </c>
      <c r="DT136">
        <f>IF($DM136=0,"",IF($L$12=0,"",IFERROR(IF(ISNUMBER(INDEX(PASTE_ALL,$DF136,$L$12)),INDEX(PASTE_ALL,$DF136,$L$12),TRIM(SUBSTITUTE(SUBSTITUTE(SUBSTITUTE(SUBSTITUTE(INDEX(PASTE_ALL,$DF136,$L$12)," "," "),CHAR(9)," "),CHAR(10)," "),CHAR(13)," "))),"")))</f>
        <v/>
      </c>
      <c r="DU136">
        <f>IF($DM136=0,"",IF($L$13=0,"",IFERROR(IF(ISNUMBER(INDEX(PASTE_ALL,$DF136,$L$13)),INDEX(PASTE_ALL,$DF136,$L$13),TRIM(SUBSTITUTE(SUBSTITUTE(SUBSTITUTE(SUBSTITUTE(INDEX(PASTE_ALL,$DF136,$L$13)," "," "),CHAR(9)," "),CHAR(10)," "),CHAR(13)," "))),"")))</f>
        <v/>
      </c>
      <c r="DV136">
        <f>IF($DM136=0,"",IF($L$14=0,"",IFERROR(IF(ISNUMBER(INDEX(PASTE_ALL,$DF136,$L$14)),INDEX(PASTE_ALL,$DF136,$L$14),TRIM(SUBSTITUTE(SUBSTITUTE(SUBSTITUTE(SUBSTITUTE(INDEX(PASTE_ALL,$DF136,$L$14)," "," "),CHAR(9)," "),CHAR(10)," "),CHAR(13)," "))),"")))</f>
        <v/>
      </c>
      <c r="DW136">
        <f>IF($DM136=0,"",IF($L$15=0,"",IFERROR(IF(ISNUMBER(INDEX(PASTE_ALL,$DF136,$L$15)),INDEX(PASTE_ALL,$DF136,$L$15),IF(SUMPRODUCT(--ISNUMBER(FIND({"A","B","C","D","E","F","G","H","I","J","K","L","M","N","O","P","Q","R","S","T","U","V","W","X","Y","Z","0","1","2","3","4","5","6","7","8","9"},UPPER(TRIM(SUBSTITUTE(SUBSTITUTE(SUBSTITUTE(SUBSTITUTE(INDEX(PASTE_ALL,$DF136,$L$15)," "," "),CHAR(9)," "),CHAR(10)," "),CHAR(13)," "))))))&gt;0,TRIM(SUBSTITUTE(SUBSTITUTE(SUBSTITUTE(SUBSTITUTE(INDEX(PASTE_ALL,$DF136,$L$15)," "," "),CHAR(9)," "),CHAR(10)," "),CHAR(13)," ")),"")),"")))</f>
        <v/>
      </c>
      <c r="DX136">
        <f>IF($DM136=0,"",IF($L$16=0,"",IFERROR(IF(ISNUMBER(INDEX(PASTE_ALL,$DF136,$L$16)),INDEX(PASTE_ALL,$DF136,$L$16),SUBSTITUTE(SUBSTITUTE(TRIM(SUBSTITUTE(SUBSTITUTE(SUBSTITUTE(SUBSTITUTE(INDEX(PASTE_ALL,$DF136,$L$16)," "," "),CHAR(9)," "),CHAR(10)," "),CHAR(13)," ")),",",""),"%","")),"")))</f>
        <v/>
      </c>
      <c r="DY136">
        <f>IF($DM136=0,"",IFERROR(IF(ISNUMBER($DX136),$DX136,IF($DX136="","",IF(TRIM($DX136)="",0,IF(AND(AND(SUBSTITUTE(SUBSTITUTE(SUBSTITUTE(SUBSTITUTE(SUBSTITUTE(SUBSTITUTE(SUBSTITUTE(SUBSTITUTE(SUBSTITUTE(SUBSTITUTE(SUBSTITUTE(SUBSTITUTE(SUBSTITUTE(SUBSTITUTE(UPPER(TRIM($DX136)),"0",""),"1",""),"2",""),"3",""),"4",""),"5",""),"6",""),"7",""),"8",""),"9",""),".",""),"+",""),"-",""),"E","")="",LEN(SUBSTITUTE(SUBSTITUTE(MID(UPPER(TRIM($DX136)),1+OR(LEFT(UPPER(TRIM($DX136)),1)="+",LEFT(UPPER(TRIM($DX136)),1)="-"),999),"E+","E"),"E-","E"))=LEN(SUBSTITUTE(SUBSTITUTE(SUBSTITUTE(SUBSTITUTE(MID(UPPER(TRIM($DX136)),1+OR(LEFT(UPPER(TRIM($DX136)),1)="+",LEFT(UPPER(TRIM($DX136)),1)="-"),999),"E+","E"),"E-","E"),"+",""),"-","")),LEN(UPPER(TRIM($DX136)))-LEN(SUBSTITUTE(UPPER(TRIM($DX136)),"E",""))&lt;2,LEN(UPPER(TRIM($DX136)))-LEN(SUBSTITUTE(UPPER(TRIM($DX136)),".",""))&lt;2,IFERROR(FIND(".",UPPER(TRIM($DX136))),0)&lt;IFERROR(FIND("E",UPPER(TRIM($DX136))),999)),ISNUMBER(VALUE(TRIM($DX136)))),VALUE(TRIM($DX136)),"")))),""))</f>
        <v/>
      </c>
      <c r="DZ136">
        <f>IF($DM136=0,"",IF($L$17=0,"",IFERROR(IF(ISNUMBER(INDEX(PASTE_ALL,$DF136,$L$17)),INDEX(PASTE_ALL,$DF136,$L$17),SUBSTITUTE(SUBSTITUTE(TRIM(SUBSTITUTE(SUBSTITUTE(SUBSTITUTE(SUBSTITUTE(INDEX(PASTE_ALL,$DF136,$L$17)," "," "),CHAR(9)," "),CHAR(10)," "),CHAR(13)," ")),",",""),"%","")),"")))</f>
        <v/>
      </c>
      <c r="EA136">
        <f>IF($DM136=0,"",IFERROR(IF(ISNUMBER($DZ136),$DZ136,IF($DZ136="","",IF(TRIM($DZ136)="",0,IF(AND(AND(SUBSTITUTE(SUBSTITUTE(SUBSTITUTE(SUBSTITUTE(SUBSTITUTE(SUBSTITUTE(SUBSTITUTE(SUBSTITUTE(SUBSTITUTE(SUBSTITUTE(SUBSTITUTE(SUBSTITUTE(SUBSTITUTE(SUBSTITUTE(UPPER(TRIM($DZ136)),"0",""),"1",""),"2",""),"3",""),"4",""),"5",""),"6",""),"7",""),"8",""),"9",""),".",""),"+",""),"-",""),"E","")="",LEN(SUBSTITUTE(SUBSTITUTE(MID(UPPER(TRIM($DZ136)),1+OR(LEFT(UPPER(TRIM($DZ136)),1)="+",LEFT(UPPER(TRIM($DZ136)),1)="-"),999),"E+","E"),"E-","E"))=LEN(SUBSTITUTE(SUBSTITUTE(SUBSTITUTE(SUBSTITUTE(MID(UPPER(TRIM($DZ136)),1+OR(LEFT(UPPER(TRIM($DZ136)),1)="+",LEFT(UPPER(TRIM($DZ136)),1)="-"),999),"E+","E"),"E-","E"),"+",""),"-","")),LEN(UPPER(TRIM($DZ136)))-LEN(SUBSTITUTE(UPPER(TRIM($DZ136)),"E",""))&lt;2,LEN(UPPER(TRIM($DZ136)))-LEN(SUBSTITUTE(UPPER(TRIM($DZ136)),".",""))&lt;2,IFERROR(FIND(".",UPPER(TRIM($DZ136))),0)&lt;IFERROR(FIND("E",UPPER(TRIM($DZ136))),999)),ISNUMBER(VALUE(TRIM($DZ136)))),VALUE(TRIM($DZ136)),"")))),""))</f>
        <v/>
      </c>
      <c r="EB136">
        <f>IF($DM136=0,"",IF($L$18=0,"",IFERROR(IF(UPPER(TRIM(SUBSTITUTE(SUBSTITUTE(SUBSTITUTE(SUBSTITUTE(INDEX(PASTE_ALL,$DF136,$L$18)," "," "),CHAR(9)," "),CHAR(10)," "),CHAR(13)," ")))="READY","Ready",IF(UPPER(TRIM(SUBSTITUTE(SUBSTITUTE(SUBSTITUTE(SUBSTITUTE(INDEX(PASTE_ALL,$DF136,$L$18)," "," "),CHAR(9)," "),CHAR(10)," "),CHAR(13)," ")))="PM","PM",IF(OR(UPPER(TRIM(SUBSTITUTE(SUBSTITUTE(SUBSTITUTE(SUBSTITUTE(INDEX(PASTE_ALL,$DF136,$L$18)," "," "),CHAR(9)," "),CHAR(10)," "),CHAR(13)," ")))="OT",UPPER(TRIM(SUBSTITUTE(SUBSTITUTE(SUBSTITUTE(SUBSTITUTE(INDEX(PASTE_ALL,$DF136,$L$18)," "," "),CHAR(9)," "),CHAR(10)," "),CHAR(13)," ")))="OVERTIME",UPPER(TRIM(SUBSTITUTE(SUBSTITUTE(SUBSTITUTE(SUBSTITUTE(INDEX(PASTE_ALL,$DF136,$L$18)," "," "),CHAR(9)," "),CHAR(10)," "),CHAR(13)," ")))="TRIAL"),"OT",TRIM(SUBSTITUTE(SUBSTITUTE(SUBSTITUTE(SUBSTITUTE(INDEX(PASTE_ALL,$DF136,$L$18)," "," "),CHAR(9)," "),CHAR(10)," "),CHAR(13)," "))))),"")))</f>
        <v/>
      </c>
      <c r="EC136">
        <f>IF($DM136=0,"",IF($L$19=0,"",IFERROR(IF(ISNUMBER(INDEX(PASTE_ALL,$DF136,$L$19)),INDEX(PASTE_ALL,$DF136,$L$19),TRIM(SUBSTITUTE(SUBSTITUTE(SUBSTITUTE(SUBSTITUTE(INDEX(PASTE_ALL,$DF136,$L$19)," "," "),CHAR(9)," "),CHAR(10)," "),CHAR(13)," "))),"")))</f>
        <v/>
      </c>
      <c r="ED136">
        <f>IF($DM136=0,"",MATCH(1,INDEX(EXACT($DH$5:DH136,$DH136)*$DM$5:DM136,0),0))</f>
        <v/>
      </c>
      <c r="EE136">
        <f>IF($DM136=0,0,IF($ED136=$DE136,1,0))</f>
        <v/>
      </c>
      <c r="EF136">
        <f>EF135+$EE136</f>
        <v/>
      </c>
      <c r="EG136">
        <f>IF($DM136=0,"",INDEX($EF$5:$EF$1003,$ED136))</f>
        <v/>
      </c>
      <c r="EH136">
        <f>IF($DM136=0,"",IF($DO136&lt;&gt;"","",IFERROR(LOOKUP(2,1/(($EG$4:EG135=$EG136)*($DO$4:DO135&lt;&gt;"")),$DO$4:DO135),"")))</f>
        <v/>
      </c>
      <c r="EI136">
        <f>IF($DM136=0,"",IF($DO136&lt;&gt;"",$DO136,$EH136))</f>
        <v/>
      </c>
      <c r="EJ136">
        <f>IF($DM136=0,"",IF($EI136="",0,IF(OR(ISNUMBER($EI136),AND(AND(SUBSTITUTE(SUBSTITUTE(SUBSTITUTE(SUBSTITUTE(SUBSTITUTE(SUBSTITUTE(SUBSTITUTE(SUBSTITUTE(SUBSTITUTE(SUBSTITUTE(SUBSTITUTE(SUBSTITUTE(SUBSTITUTE(SUBSTITUTE(UPPER($EI136),"0",""),"1",""),"2",""),"3",""),"4",""),"5",""),"6",""),"7",""),"8",""),"9",""),".",""),"+",""),"-",""),"E","")="",LEN(SUBSTITUTE(SUBSTITUTE(MID(UPPER($EI136),1+OR(LEFT(UPPER($EI136),1)="+",LEFT(UPPER($EI136),1)="-"),999),"E+","E"),"E-","E"))=LEN(SUBSTITUTE(SUBSTITUTE(SUBSTITUTE(SUBSTITUTE(MID(UPPER($EI136),1+OR(LEFT(UPPER($EI136),1)="+",LEFT(UPPER($EI136),1)="-"),999),"E+","E"),"E-","E"),"+",""),"-","")),LEN(UPPER($EI136))-LEN(SUBSTITUTE(UPPER($EI136),"E",""))&lt;2,LEN(UPPER($EI136))-LEN(SUBSTITUTE(UPPER($EI136),".",""))&lt;2,IFERROR(FIND(".",UPPER($EI136)),0)&lt;IFERROR(FIND("E",UPPER($EI136)),999)),ISNUMBER(VALUE($EI136)))),1,2)))</f>
        <v/>
      </c>
      <c r="EK136">
        <f>IF($DM136=0,"",IF($EJ136=1,IF(ISNUMBER($EI136),$EI136,VALUE($EI136)),IF($EJ136=2,$DE136,0)))</f>
        <v/>
      </c>
      <c r="EL136">
        <f>IF($DM136=0,"",COUNTIF($EG$5:$EG$1003,"&lt;"&amp;$EG136)+SUMPRODUCT(($EG$5:$EG$1003=$EG136)*(($EJ$5:$EJ$1003&lt;$EJ136)+($EJ$5:$EJ$1003=$EJ136)*(($EK$5:$EK$1003&lt;$EK136)+($EK$5:$EK$1003=$EK136)*($DE$5:$DE$1003&lt;$DE136))))+1)</f>
        <v/>
      </c>
      <c r="EM136">
        <f>IF($DM136=0,"",$EL136+$EG136-1)</f>
        <v/>
      </c>
      <c r="EN136">
        <f>IF($DM136=0,0,IFERROR(MATCH(1,INDEX(--(TRIM(SUBSTITUTE(SUBSTITUTE(SUBSTITUTE(SUBSTITUTE(LINES_NAME&amp;""," "," "),CHAR(9)," "),CHAR(10)," "),CHAR(13)," "))=$DH136),0),0),0))</f>
        <v/>
      </c>
      <c r="EO136">
        <f>IF($EN136=0,0,IF(OR(UPPER(TRIM(INDEX(LINES_SCHEDULED,$EN136)&amp;""))="YES",UPPER(TRIM(INDEX(LINES_SCHEDULED,$EN136)&amp;""))="Y",UPPER(TRIM(INDEX(LINES_SCHEDULED,$EN136)&amp;""))="X"),1,0))</f>
        <v/>
      </c>
      <c r="EP136">
        <f>IF($DM136=0,"",IF(COUNTIFS($EG$5:$EG$1003,$EG136,$EB$5:$EB$1003,"Ready")&gt;0,"READY",IF(COUNTIFS($EG$5:$EG$1003,$EG136,$EB$5:$EB$1003,"PM")&gt;0,"PM",IF(COUNTIFS($EG$5:$EG$1003,$EG136,$EB$5:$EB$1003,"OT")&gt;0,"OT",""))))</f>
        <v/>
      </c>
      <c r="EQ136">
        <f>IF($EN136=0,"",UPPER(TRIM(INDEX(LINES_STATUS,$EN136)&amp;"")))</f>
        <v/>
      </c>
      <c r="ER136">
        <f>IF($DM136=0,"",IF(OR($EQ136="READY",$EQ136="PM",$EQ136="OT"),$EQ136,$EP136))</f>
        <v/>
      </c>
      <c r="ES136">
        <f>IF($DM136=0,"",IF(AND($DV136&lt;&gt;"",UPPER($DV136)&lt;&gt;"N"),"allergen",IF(ISNUMBER(SEARCH("oil",$DQ136)),"oil",IF(OR(EXACT($DS136,"A662"),EXACT($DS136,"A624")),"bulk",""))))</f>
        <v/>
      </c>
      <c r="ET136">
        <f>IF($DM136=0,"",IF(OR($EA136="",$EA136=0),"",$EA136/100))</f>
        <v/>
      </c>
      <c r="EU136">
        <f>IF(OR($ET136="",$DY136=""),"",INT($DY136*(1-$ET136)+0.5))</f>
        <v/>
      </c>
      <c r="EW136" t="n">
        <v>132</v>
      </c>
      <c r="EX136">
        <f>IFERROR(MATCH($EW136,$EM$5:$EM$1003,0),0)</f>
        <v/>
      </c>
      <c r="EY136">
        <f>IF($EW136&gt;$B$12,"",IF($EX136&gt;0,"row","spacer"))</f>
        <v/>
      </c>
      <c r="EZ136">
        <f>IF(AND($EY136="row",$EY135&lt;&gt;"row"),1,0)</f>
        <v/>
      </c>
      <c r="FA136">
        <f>IF(AND($EY136="row",$EY137&lt;&gt;"row"),1,0)</f>
        <v/>
      </c>
      <c r="FB136">
        <f>IF($EZ136=1,IFERROR(IF(ISNUMBER(INDEX(PASTE_ALL,INDEX($DF$5:$DF$1003,$EX136),$B$37)),INDEX(PASTE_ALL,INDEX($DF$5:$DF$1003,$EX136),$B$37),INDEX($DH$5:$DH$1003,$EX136)),INDEX($DH$5:$DH$1003,$EX136)),"")</f>
        <v/>
      </c>
      <c r="FC136">
        <f>IF($EY136="row",INDEX($ER$5:$ER$1003,$EX136),"")</f>
        <v/>
      </c>
      <c r="FD136">
        <f>IF($EY136="row",INDEX($DN$5:$DN$1003,$EX136),"")</f>
        <v/>
      </c>
      <c r="FE136">
        <f>IF($EY136="row",INDEX($DO$5:$DO$1003,$EX136),"")</f>
        <v/>
      </c>
      <c r="FF136">
        <f>IF($EY136="row",INDEX($DP$5:$DP$1003,$EX136),"")</f>
        <v/>
      </c>
      <c r="FG136">
        <f>IF($EY136="row",INDEX($DQ$5:$DQ$1003,$EX136),"")</f>
        <v/>
      </c>
      <c r="FH136">
        <f>IF($EY136="row",INDEX($DR$5:$DR$1003,$EX136),"")</f>
        <v/>
      </c>
      <c r="FI136">
        <f>IF($EY136="row",INDEX($DS$5:$DS$1003,$EX136),"")</f>
        <v/>
      </c>
      <c r="FJ136">
        <f>IF($EY136="row",INDEX($DT$5:$DT$1003,$EX136),"")</f>
        <v/>
      </c>
      <c r="FK136">
        <f>IF($EY136="row",INDEX($DU$5:$DU$1003,$EX136),"")</f>
        <v/>
      </c>
      <c r="FL136">
        <f>IF($EY136="row",INDEX($DV$5:$DV$1003,$EX136),"")</f>
        <v/>
      </c>
      <c r="FM136">
        <f>IF($EY136="row",INDEX($DW$5:$DW$1003,$EX136),"")</f>
        <v/>
      </c>
      <c r="FN136">
        <f>IF($EY136="row",INDEX($DY$5:$DY$1003,$EX136),"")</f>
        <v/>
      </c>
      <c r="FO136">
        <f>IF($EY136="row",INDEX($EA$5:$EA$1003,$EX136),"")</f>
        <v/>
      </c>
      <c r="FP136">
        <f>IF($EY136="row",INDEX($EC$5:$EC$1003,$EX136),"")</f>
        <v/>
      </c>
      <c r="FQ136">
        <f>IF($EY136="row",INDEX($ET$5:$ET$1003,$EX136),"")</f>
        <v/>
      </c>
      <c r="FR136">
        <f>IF($EY136="row",INDEX($EU$5:$EU$1003,$EX136),"")</f>
        <v/>
      </c>
      <c r="FS136">
        <f>IF(AND($EY136="row",$EY135="row"),IF(OR(INDEX($DT$5:$DT$1003,$EX135)="",INDEX($DT$5:$DT$1003,$EX136)=""),"",IF(NOT(EXACT(INDEX($DT$5:$DT$1003,$EX135),INDEX($DT$5:$DT$1003,$EX136))),"S4",IF(NOT(EXACT(INDEX($DS$5:$DS$1003,$EX135),INDEX($DS$5:$DS$1003,$EX136))),"S3",IF(NOT(EXACT(INDEX($DR$5:$DR$1003,$EX135),INDEX($DR$5:$DR$1003,$EX136))),"S1 Count Change","S1")))),"")</f>
        <v/>
      </c>
      <c r="FT136">
        <f>IF($EY136="row",INDEX($ES$5:$ES$1003,$EX136),"")</f>
        <v/>
      </c>
      <c r="FU136">
        <f>IF($EY136="row",INDEX($EO$5:$EO$1003,$EX136),0)</f>
        <v/>
      </c>
      <c r="FV136">
        <f>IF($FS136="S1 Count Change",1,0)</f>
        <v/>
      </c>
    </row>
    <row r="137">
      <c r="DA137" t="n">
        <v>133</v>
      </c>
      <c r="DB137">
        <f>IF($B$37=0,"",IFERROR(TRIM(SUBSTITUTE(SUBSTITUTE(SUBSTITUTE(SUBSTITUTE(INDEX(PASTE_ALL,133,$B$37)," "," "),CHAR(9)," "),CHAR(10)," "),CHAR(13)," ")),""))</f>
        <v/>
      </c>
      <c r="DC137">
        <f>IF(AND(133&gt;HEADER_ROW,UPPER(DB137)="LEGEND"),1,0)</f>
        <v/>
      </c>
      <c r="DE137" t="n">
        <v>133</v>
      </c>
      <c r="DF137">
        <f>HEADER_ROW+$DE137</f>
        <v/>
      </c>
      <c r="DG137">
        <f>IF(AND($DF137&lt;=1000,$DF137&lt;$B$8),1,0)</f>
        <v/>
      </c>
      <c r="DH137">
        <f>IF($DG137=1,IFERROR(INDEX($DB$5:$DB$1004,$DF137),""),"")</f>
        <v/>
      </c>
      <c r="DI137">
        <f>IF(AND($DG137=1,$DH137&lt;&gt;""),IFERROR(SUBSTITUTE(SUBSTITUTE(TRIM(SUBSTITUTE(SUBSTITUTE(SUBSTITUTE(SUBSTITUTE(IFERROR(INDEX(PASTE_ALL,$DF137,1)&amp;"","")&amp;"␟"&amp;IFERROR(INDEX(PASTE_ALL,$DF137,2)&amp;"","")&amp;"␟"&amp;IFERROR(INDEX(PASTE_ALL,$DF137,3)&amp;"","")&amp;"␟"&amp;IFERROR(INDEX(PASTE_ALL,$DF137,4)&amp;"","")&amp;"␟"&amp;IFERROR(INDEX(PASTE_ALL,$DF137,5)&amp;"","")&amp;"␟"&amp;IFERROR(INDEX(PASTE_ALL,$DF137,6)&amp;"","")&amp;"␟"&amp;IFERROR(INDEX(PASTE_ALL,$DF137,7)&amp;"","")&amp;"␟"&amp;IFERROR(INDEX(PASTE_ALL,$DF137,8)&amp;"","")&amp;"␟"&amp;IFERROR(INDEX(PASTE_ALL,$DF137,9)&amp;"","")&amp;"␟"&amp;IFERROR(INDEX(PASTE_ALL,$DF137,10)&amp;"","")&amp;"␟"&amp;IFERROR(INDEX(PASTE_ALL,$DF137,11)&amp;"","")&amp;"␟"&amp;IFERROR(INDEX(PASTE_ALL,$DF137,12)&amp;"","")&amp;"␟"&amp;IFERROR(INDEX(PASTE_ALL,$DF137,13)&amp;"","")&amp;"␟"&amp;IFERROR(INDEX(PASTE_ALL,$DF137,14)&amp;"","")&amp;"␟"&amp;IFERROR(INDEX(PASTE_ALL,$DF137,15)&amp;"","")&amp;"␟"&amp;IFERROR(INDEX(PASTE_ALL,$DF137,16)&amp;"","")&amp;"␟"&amp;IFERROR(INDEX(PASTE_ALL,$DF137,17)&amp;"","")&amp;"␟"&amp;IFERROR(INDEX(PASTE_ALL,$DF137,18)&amp;"","")&amp;"␟"&amp;IFERROR(INDEX(PASTE_ALL,$DF137,19)&amp;"","")&amp;"␟"&amp;IFERROR(INDEX(PASTE_ALL,$DF137,20)&amp;"","")&amp;"␟"&amp;IFERROR(INDEX(PASTE_ALL,$DF137,21)&amp;"","")&amp;"␟"&amp;IFERROR(INDEX(PASTE_ALL,$DF137,22)&amp;"","")&amp;"␟"&amp;IFERROR(INDEX(PASTE_ALL,$DF137,23)&amp;"","")&amp;"␟"&amp;IFERROR(INDEX(PASTE_ALL,$DF137,24)&amp;"","")&amp;"␟"&amp;IFERROR(INDEX(PASTE_ALL,$DF137,25)&amp;"","")&amp;"␟"&amp;IFERROR(INDEX(PASTE_ALL,$DF137,26)&amp;"","")&amp;"␟"&amp;IFERROR(INDEX(PASTE_ALL,$DF137,27)&amp;"","")&amp;"␟"&amp;IFERROR(INDEX(PASTE_ALL,$DF137,28)&amp;"","")&amp;"␟"&amp;IFERROR(INDEX(PASTE_ALL,$DF137,29)&amp;"","")&amp;"␟"&amp;IFERROR(INDEX(PASTE_ALL,$DF137,30)&amp;"","")&amp;"␟"&amp;IFERROR(INDEX(PASTE_ALL,$DF137,31)&amp;"","")&amp;"␟"&amp;IFERROR(INDEX(PASTE_ALL,$DF137,32)&amp;"","")&amp;"␟"&amp;IFERROR(INDEX(PASTE_ALL,$DF137,33)&amp;"","")&amp;"␟"&amp;IFERROR(INDEX(PASTE_ALL,$DF137,34)&amp;"","")&amp;"␟"&amp;IFERROR(INDEX(PASTE_ALL,$DF137,35)&amp;"","")&amp;"␟"&amp;IFERROR(INDEX(PASTE_ALL,$DF137,36)&amp;"","")&amp;"␟"&amp;IFERROR(INDEX(PASTE_ALL,$DF137,37)&amp;"","")&amp;"␟"&amp;IFERROR(INDEX(PASTE_ALL,$DF137,38)&amp;"","")&amp;"␟"&amp;IFERROR(INDEX(PASTE_ALL,$DF137,39)&amp;"","")&amp;"␟"&amp;IFERROR(INDEX(PASTE_ALL,$DF137,40)&amp;"","")&amp;"␟"&amp;IFERROR(INDEX(PASTE_ALL,$DF137,41)&amp;"","")&amp;"␟"&amp;IFERROR(INDEX(PASTE_ALL,$DF137,42)&amp;"","")&amp;"␟"&amp;IFERROR(INDEX(PASTE_ALL,$DF137,43)&amp;"","")&amp;"␟"&amp;IFERROR(INDEX(PASTE_ALL,$DF137,44)&amp;"","")&amp;"␟"&amp;IFERROR(INDEX(PASTE_ALL,$DF137,45)&amp;"","")&amp;"␟"&amp;IFERROR(INDEX(PASTE_ALL,$DF137,46)&amp;"","")&amp;"␟"&amp;IFERROR(INDEX(PASTE_ALL,$DF137,47)&amp;"","")&amp;"␟"&amp;IFERROR(INDEX(PASTE_ALL,$DF137,48)&amp;"","")&amp;"␟"&amp;IFERROR(INDEX(PASTE_ALL,$DF137,49)&amp;"","")&amp;"␟"&amp;IFERROR(INDEX(PASTE_ALL,$DF137,50)&amp;"","")&amp;"␟"&amp;IFERROR(INDEX(PASTE_ALL,$DF137,51)&amp;"","")&amp;"␟"&amp;IFERROR(INDEX(PASTE_ALL,$DF137,52)&amp;"","")&amp;"␟"&amp;IFERROR(INDEX(PASTE_ALL,$DF137,53)&amp;"","")&amp;"␟"&amp;IFERROR(INDEX(PASTE_ALL,$DF137,54)&amp;"","")&amp;"␟"&amp;IFERROR(INDEX(PASTE_ALL,$DF137,55)&amp;"","")&amp;"␟"&amp;IFERROR(INDEX(PASTE_ALL,$DF137,56)&amp;"","")&amp;"␟"&amp;IFERROR(INDEX(PASTE_ALL,$DF137,57)&amp;"","")&amp;"␟"&amp;IFERROR(INDEX(PASTE_ALL,$DF137,58)&amp;"","")&amp;"␟"&amp;IFERROR(INDEX(PASTE_ALL,$DF137,59)&amp;"","")&amp;"␟"&amp;IFERROR(INDEX(PASTE_ALL,$DF137,60)&amp;"","")," "," "),CHAR(9)," "),CHAR(10)," "),CHAR(13)," "))," ␟","␟"),"␟ ","␟"),"#"&amp;$DE137),"")</f>
        <v/>
      </c>
      <c r="DJ137">
        <f>IF($DI137="",0,IF(SUMPRODUCT(--EXACT($DI$4:DI136,$DI137))&gt;0,1,0))</f>
        <v/>
      </c>
      <c r="DK137">
        <f>IF(AND($DI137&lt;&gt;"",$DJ137=0),1,0)</f>
        <v/>
      </c>
      <c r="DL137">
        <f>DL136+$DK137</f>
        <v/>
      </c>
      <c r="DM137">
        <f>IF(AND($DK137=1,$DL137&lt;=600),1,0)</f>
        <v/>
      </c>
      <c r="DN137">
        <f>IF($DM137=0,"",IF($L$6=0,"",IFERROR(IF(ISNUMBER(INDEX(PASTE_ALL,$DF137,$L$6)),INDEX(PASTE_ALL,$DF137,$L$6),TRIM(SUBSTITUTE(SUBSTITUTE(SUBSTITUTE(SUBSTITUTE(INDEX(PASTE_ALL,$DF137,$L$6)," "," "),CHAR(9)," "),CHAR(10)," "),CHAR(13)," "))),"")))</f>
        <v/>
      </c>
      <c r="DO137">
        <f>IF($DM137=0,"",IF($L$7=0,"",IFERROR(IF(ISNUMBER(INDEX(PASTE_ALL,$DF137,$L$7)),INDEX(PASTE_ALL,$DF137,$L$7),TRIM(SUBSTITUTE(SUBSTITUTE(SUBSTITUTE(SUBSTITUTE(INDEX(PASTE_ALL,$DF137,$L$7)," "," "),CHAR(9)," "),CHAR(10)," "),CHAR(13)," "))),"")))</f>
        <v/>
      </c>
      <c r="DP137">
        <f>IF($DM137=0,"",IF($L$8=0,"",IFERROR(IF(ISNUMBER(INDEX(PASTE_ALL,$DF137,$L$8)),INDEX(PASTE_ALL,$DF137,$L$8),TRIM(SUBSTITUTE(SUBSTITUTE(SUBSTITUTE(SUBSTITUTE(INDEX(PASTE_ALL,$DF137,$L$8)," "," "),CHAR(9)," "),CHAR(10)," "),CHAR(13)," "))),"")))</f>
        <v/>
      </c>
      <c r="DQ137">
        <f>IF($DM137=0,"",IF($L$9=0,"",IFERROR(IF(ISNUMBER(INDEX(PASTE_ALL,$DF137,$L$9)),INDEX(PASTE_ALL,$DF137,$L$9),TRIM(SUBSTITUTE(SUBSTITUTE(SUBSTITUTE(SUBSTITUTE(INDEX(PASTE_ALL,$DF137,$L$9)," "," "),CHAR(9)," "),CHAR(10)," "),CHAR(13)," "))),"")))</f>
        <v/>
      </c>
      <c r="DR137">
        <f>IF($DM137=0,"",IF($L$10=0,"",IFERROR(IF(ISNUMBER(INDEX(PASTE_ALL,$DF137,$L$10)),INDEX(PASTE_ALL,$DF137,$L$10),TRIM(SUBSTITUTE(SUBSTITUTE(SUBSTITUTE(SUBSTITUTE(INDEX(PASTE_ALL,$DF137,$L$10)," "," "),CHAR(9)," "),CHAR(10)," "),CHAR(13)," "))),"")))</f>
        <v/>
      </c>
      <c r="DS137">
        <f>IF($DM137=0,"",IF($L$11=0,"",IFERROR(IF(ISNUMBER(INDEX(PASTE_ALL,$DF137,$L$11)),INDEX(PASTE_ALL,$DF137,$L$11),TRIM(SUBSTITUTE(SUBSTITUTE(SUBSTITUTE(SUBSTITUTE(INDEX(PASTE_ALL,$DF137,$L$11)," "," "),CHAR(9)," "),CHAR(10)," "),CHAR(13)," "))),"")))</f>
        <v/>
      </c>
      <c r="DT137">
        <f>IF($DM137=0,"",IF($L$12=0,"",IFERROR(IF(ISNUMBER(INDEX(PASTE_ALL,$DF137,$L$12)),INDEX(PASTE_ALL,$DF137,$L$12),TRIM(SUBSTITUTE(SUBSTITUTE(SUBSTITUTE(SUBSTITUTE(INDEX(PASTE_ALL,$DF137,$L$12)," "," "),CHAR(9)," "),CHAR(10)," "),CHAR(13)," "))),"")))</f>
        <v/>
      </c>
      <c r="DU137">
        <f>IF($DM137=0,"",IF($L$13=0,"",IFERROR(IF(ISNUMBER(INDEX(PASTE_ALL,$DF137,$L$13)),INDEX(PASTE_ALL,$DF137,$L$13),TRIM(SUBSTITUTE(SUBSTITUTE(SUBSTITUTE(SUBSTITUTE(INDEX(PASTE_ALL,$DF137,$L$13)," "," "),CHAR(9)," "),CHAR(10)," "),CHAR(13)," "))),"")))</f>
        <v/>
      </c>
      <c r="DV137">
        <f>IF($DM137=0,"",IF($L$14=0,"",IFERROR(IF(ISNUMBER(INDEX(PASTE_ALL,$DF137,$L$14)),INDEX(PASTE_ALL,$DF137,$L$14),TRIM(SUBSTITUTE(SUBSTITUTE(SUBSTITUTE(SUBSTITUTE(INDEX(PASTE_ALL,$DF137,$L$14)," "," "),CHAR(9)," "),CHAR(10)," "),CHAR(13)," "))),"")))</f>
        <v/>
      </c>
      <c r="DW137">
        <f>IF($DM137=0,"",IF($L$15=0,"",IFERROR(IF(ISNUMBER(INDEX(PASTE_ALL,$DF137,$L$15)),INDEX(PASTE_ALL,$DF137,$L$15),IF(SUMPRODUCT(--ISNUMBER(FIND({"A","B","C","D","E","F","G","H","I","J","K","L","M","N","O","P","Q","R","S","T","U","V","W","X","Y","Z","0","1","2","3","4","5","6","7","8","9"},UPPER(TRIM(SUBSTITUTE(SUBSTITUTE(SUBSTITUTE(SUBSTITUTE(INDEX(PASTE_ALL,$DF137,$L$15)," "," "),CHAR(9)," "),CHAR(10)," "),CHAR(13)," "))))))&gt;0,TRIM(SUBSTITUTE(SUBSTITUTE(SUBSTITUTE(SUBSTITUTE(INDEX(PASTE_ALL,$DF137,$L$15)," "," "),CHAR(9)," "),CHAR(10)," "),CHAR(13)," ")),"")),"")))</f>
        <v/>
      </c>
      <c r="DX137">
        <f>IF($DM137=0,"",IF($L$16=0,"",IFERROR(IF(ISNUMBER(INDEX(PASTE_ALL,$DF137,$L$16)),INDEX(PASTE_ALL,$DF137,$L$16),SUBSTITUTE(SUBSTITUTE(TRIM(SUBSTITUTE(SUBSTITUTE(SUBSTITUTE(SUBSTITUTE(INDEX(PASTE_ALL,$DF137,$L$16)," "," "),CHAR(9)," "),CHAR(10)," "),CHAR(13)," ")),",",""),"%","")),"")))</f>
        <v/>
      </c>
      <c r="DY137">
        <f>IF($DM137=0,"",IFERROR(IF(ISNUMBER($DX137),$DX137,IF($DX137="","",IF(TRIM($DX137)="",0,IF(AND(AND(SUBSTITUTE(SUBSTITUTE(SUBSTITUTE(SUBSTITUTE(SUBSTITUTE(SUBSTITUTE(SUBSTITUTE(SUBSTITUTE(SUBSTITUTE(SUBSTITUTE(SUBSTITUTE(SUBSTITUTE(SUBSTITUTE(SUBSTITUTE(UPPER(TRIM($DX137)),"0",""),"1",""),"2",""),"3",""),"4",""),"5",""),"6",""),"7",""),"8",""),"9",""),".",""),"+",""),"-",""),"E","")="",LEN(SUBSTITUTE(SUBSTITUTE(MID(UPPER(TRIM($DX137)),1+OR(LEFT(UPPER(TRIM($DX137)),1)="+",LEFT(UPPER(TRIM($DX137)),1)="-"),999),"E+","E"),"E-","E"))=LEN(SUBSTITUTE(SUBSTITUTE(SUBSTITUTE(SUBSTITUTE(MID(UPPER(TRIM($DX137)),1+OR(LEFT(UPPER(TRIM($DX137)),1)="+",LEFT(UPPER(TRIM($DX137)),1)="-"),999),"E+","E"),"E-","E"),"+",""),"-","")),LEN(UPPER(TRIM($DX137)))-LEN(SUBSTITUTE(UPPER(TRIM($DX137)),"E",""))&lt;2,LEN(UPPER(TRIM($DX137)))-LEN(SUBSTITUTE(UPPER(TRIM($DX137)),".",""))&lt;2,IFERROR(FIND(".",UPPER(TRIM($DX137))),0)&lt;IFERROR(FIND("E",UPPER(TRIM($DX137))),999)),ISNUMBER(VALUE(TRIM($DX137)))),VALUE(TRIM($DX137)),"")))),""))</f>
        <v/>
      </c>
      <c r="DZ137">
        <f>IF($DM137=0,"",IF($L$17=0,"",IFERROR(IF(ISNUMBER(INDEX(PASTE_ALL,$DF137,$L$17)),INDEX(PASTE_ALL,$DF137,$L$17),SUBSTITUTE(SUBSTITUTE(TRIM(SUBSTITUTE(SUBSTITUTE(SUBSTITUTE(SUBSTITUTE(INDEX(PASTE_ALL,$DF137,$L$17)," "," "),CHAR(9)," "),CHAR(10)," "),CHAR(13)," ")),",",""),"%","")),"")))</f>
        <v/>
      </c>
      <c r="EA137">
        <f>IF($DM137=0,"",IFERROR(IF(ISNUMBER($DZ137),$DZ137,IF($DZ137="","",IF(TRIM($DZ137)="",0,IF(AND(AND(SUBSTITUTE(SUBSTITUTE(SUBSTITUTE(SUBSTITUTE(SUBSTITUTE(SUBSTITUTE(SUBSTITUTE(SUBSTITUTE(SUBSTITUTE(SUBSTITUTE(SUBSTITUTE(SUBSTITUTE(SUBSTITUTE(SUBSTITUTE(UPPER(TRIM($DZ137)),"0",""),"1",""),"2",""),"3",""),"4",""),"5",""),"6",""),"7",""),"8",""),"9",""),".",""),"+",""),"-",""),"E","")="",LEN(SUBSTITUTE(SUBSTITUTE(MID(UPPER(TRIM($DZ137)),1+OR(LEFT(UPPER(TRIM($DZ137)),1)="+",LEFT(UPPER(TRIM($DZ137)),1)="-"),999),"E+","E"),"E-","E"))=LEN(SUBSTITUTE(SUBSTITUTE(SUBSTITUTE(SUBSTITUTE(MID(UPPER(TRIM($DZ137)),1+OR(LEFT(UPPER(TRIM($DZ137)),1)="+",LEFT(UPPER(TRIM($DZ137)),1)="-"),999),"E+","E"),"E-","E"),"+",""),"-","")),LEN(UPPER(TRIM($DZ137)))-LEN(SUBSTITUTE(UPPER(TRIM($DZ137)),"E",""))&lt;2,LEN(UPPER(TRIM($DZ137)))-LEN(SUBSTITUTE(UPPER(TRIM($DZ137)),".",""))&lt;2,IFERROR(FIND(".",UPPER(TRIM($DZ137))),0)&lt;IFERROR(FIND("E",UPPER(TRIM($DZ137))),999)),ISNUMBER(VALUE(TRIM($DZ137)))),VALUE(TRIM($DZ137)),"")))),""))</f>
        <v/>
      </c>
      <c r="EB137">
        <f>IF($DM137=0,"",IF($L$18=0,"",IFERROR(IF(UPPER(TRIM(SUBSTITUTE(SUBSTITUTE(SUBSTITUTE(SUBSTITUTE(INDEX(PASTE_ALL,$DF137,$L$18)," "," "),CHAR(9)," "),CHAR(10)," "),CHAR(13)," ")))="READY","Ready",IF(UPPER(TRIM(SUBSTITUTE(SUBSTITUTE(SUBSTITUTE(SUBSTITUTE(INDEX(PASTE_ALL,$DF137,$L$18)," "," "),CHAR(9)," "),CHAR(10)," "),CHAR(13)," ")))="PM","PM",IF(OR(UPPER(TRIM(SUBSTITUTE(SUBSTITUTE(SUBSTITUTE(SUBSTITUTE(INDEX(PASTE_ALL,$DF137,$L$18)," "," "),CHAR(9)," "),CHAR(10)," "),CHAR(13)," ")))="OT",UPPER(TRIM(SUBSTITUTE(SUBSTITUTE(SUBSTITUTE(SUBSTITUTE(INDEX(PASTE_ALL,$DF137,$L$18)," "," "),CHAR(9)," "),CHAR(10)," "),CHAR(13)," ")))="OVERTIME",UPPER(TRIM(SUBSTITUTE(SUBSTITUTE(SUBSTITUTE(SUBSTITUTE(INDEX(PASTE_ALL,$DF137,$L$18)," "," "),CHAR(9)," "),CHAR(10)," "),CHAR(13)," ")))="TRIAL"),"OT",TRIM(SUBSTITUTE(SUBSTITUTE(SUBSTITUTE(SUBSTITUTE(INDEX(PASTE_ALL,$DF137,$L$18)," "," "),CHAR(9)," "),CHAR(10)," "),CHAR(13)," "))))),"")))</f>
        <v/>
      </c>
      <c r="EC137">
        <f>IF($DM137=0,"",IF($L$19=0,"",IFERROR(IF(ISNUMBER(INDEX(PASTE_ALL,$DF137,$L$19)),INDEX(PASTE_ALL,$DF137,$L$19),TRIM(SUBSTITUTE(SUBSTITUTE(SUBSTITUTE(SUBSTITUTE(INDEX(PASTE_ALL,$DF137,$L$19)," "," "),CHAR(9)," "),CHAR(10)," "),CHAR(13)," "))),"")))</f>
        <v/>
      </c>
      <c r="ED137">
        <f>IF($DM137=0,"",MATCH(1,INDEX(EXACT($DH$5:DH137,$DH137)*$DM$5:DM137,0),0))</f>
        <v/>
      </c>
      <c r="EE137">
        <f>IF($DM137=0,0,IF($ED137=$DE137,1,0))</f>
        <v/>
      </c>
      <c r="EF137">
        <f>EF136+$EE137</f>
        <v/>
      </c>
      <c r="EG137">
        <f>IF($DM137=0,"",INDEX($EF$5:$EF$1003,$ED137))</f>
        <v/>
      </c>
      <c r="EH137">
        <f>IF($DM137=0,"",IF($DO137&lt;&gt;"","",IFERROR(LOOKUP(2,1/(($EG$4:EG136=$EG137)*($DO$4:DO136&lt;&gt;"")),$DO$4:DO136),"")))</f>
        <v/>
      </c>
      <c r="EI137">
        <f>IF($DM137=0,"",IF($DO137&lt;&gt;"",$DO137,$EH137))</f>
        <v/>
      </c>
      <c r="EJ137">
        <f>IF($DM137=0,"",IF($EI137="",0,IF(OR(ISNUMBER($EI137),AND(AND(SUBSTITUTE(SUBSTITUTE(SUBSTITUTE(SUBSTITUTE(SUBSTITUTE(SUBSTITUTE(SUBSTITUTE(SUBSTITUTE(SUBSTITUTE(SUBSTITUTE(SUBSTITUTE(SUBSTITUTE(SUBSTITUTE(SUBSTITUTE(UPPER($EI137),"0",""),"1",""),"2",""),"3",""),"4",""),"5",""),"6",""),"7",""),"8",""),"9",""),".",""),"+",""),"-",""),"E","")="",LEN(SUBSTITUTE(SUBSTITUTE(MID(UPPER($EI137),1+OR(LEFT(UPPER($EI137),1)="+",LEFT(UPPER($EI137),1)="-"),999),"E+","E"),"E-","E"))=LEN(SUBSTITUTE(SUBSTITUTE(SUBSTITUTE(SUBSTITUTE(MID(UPPER($EI137),1+OR(LEFT(UPPER($EI137),1)="+",LEFT(UPPER($EI137),1)="-"),999),"E+","E"),"E-","E"),"+",""),"-","")),LEN(UPPER($EI137))-LEN(SUBSTITUTE(UPPER($EI137),"E",""))&lt;2,LEN(UPPER($EI137))-LEN(SUBSTITUTE(UPPER($EI137),".",""))&lt;2,IFERROR(FIND(".",UPPER($EI137)),0)&lt;IFERROR(FIND("E",UPPER($EI137)),999)),ISNUMBER(VALUE($EI137)))),1,2)))</f>
        <v/>
      </c>
      <c r="EK137">
        <f>IF($DM137=0,"",IF($EJ137=1,IF(ISNUMBER($EI137),$EI137,VALUE($EI137)),IF($EJ137=2,$DE137,0)))</f>
        <v/>
      </c>
      <c r="EL137">
        <f>IF($DM137=0,"",COUNTIF($EG$5:$EG$1003,"&lt;"&amp;$EG137)+SUMPRODUCT(($EG$5:$EG$1003=$EG137)*(($EJ$5:$EJ$1003&lt;$EJ137)+($EJ$5:$EJ$1003=$EJ137)*(($EK$5:$EK$1003&lt;$EK137)+($EK$5:$EK$1003=$EK137)*($DE$5:$DE$1003&lt;$DE137))))+1)</f>
        <v/>
      </c>
      <c r="EM137">
        <f>IF($DM137=0,"",$EL137+$EG137-1)</f>
        <v/>
      </c>
      <c r="EN137">
        <f>IF($DM137=0,0,IFERROR(MATCH(1,INDEX(--(TRIM(SUBSTITUTE(SUBSTITUTE(SUBSTITUTE(SUBSTITUTE(LINES_NAME&amp;""," "," "),CHAR(9)," "),CHAR(10)," "),CHAR(13)," "))=$DH137),0),0),0))</f>
        <v/>
      </c>
      <c r="EO137">
        <f>IF($EN137=0,0,IF(OR(UPPER(TRIM(INDEX(LINES_SCHEDULED,$EN137)&amp;""))="YES",UPPER(TRIM(INDEX(LINES_SCHEDULED,$EN137)&amp;""))="Y",UPPER(TRIM(INDEX(LINES_SCHEDULED,$EN137)&amp;""))="X"),1,0))</f>
        <v/>
      </c>
      <c r="EP137">
        <f>IF($DM137=0,"",IF(COUNTIFS($EG$5:$EG$1003,$EG137,$EB$5:$EB$1003,"Ready")&gt;0,"READY",IF(COUNTIFS($EG$5:$EG$1003,$EG137,$EB$5:$EB$1003,"PM")&gt;0,"PM",IF(COUNTIFS($EG$5:$EG$1003,$EG137,$EB$5:$EB$1003,"OT")&gt;0,"OT",""))))</f>
        <v/>
      </c>
      <c r="EQ137">
        <f>IF($EN137=0,"",UPPER(TRIM(INDEX(LINES_STATUS,$EN137)&amp;"")))</f>
        <v/>
      </c>
      <c r="ER137">
        <f>IF($DM137=0,"",IF(OR($EQ137="READY",$EQ137="PM",$EQ137="OT"),$EQ137,$EP137))</f>
        <v/>
      </c>
      <c r="ES137">
        <f>IF($DM137=0,"",IF(AND($DV137&lt;&gt;"",UPPER($DV137)&lt;&gt;"N"),"allergen",IF(ISNUMBER(SEARCH("oil",$DQ137)),"oil",IF(OR(EXACT($DS137,"A662"),EXACT($DS137,"A624")),"bulk",""))))</f>
        <v/>
      </c>
      <c r="ET137">
        <f>IF($DM137=0,"",IF(OR($EA137="",$EA137=0),"",$EA137/100))</f>
        <v/>
      </c>
      <c r="EU137">
        <f>IF(OR($ET137="",$DY137=""),"",INT($DY137*(1-$ET137)+0.5))</f>
        <v/>
      </c>
      <c r="EW137" t="n">
        <v>133</v>
      </c>
      <c r="EX137">
        <f>IFERROR(MATCH($EW137,$EM$5:$EM$1003,0),0)</f>
        <v/>
      </c>
      <c r="EY137">
        <f>IF($EW137&gt;$B$12,"",IF($EX137&gt;0,"row","spacer"))</f>
        <v/>
      </c>
      <c r="EZ137">
        <f>IF(AND($EY137="row",$EY136&lt;&gt;"row"),1,0)</f>
        <v/>
      </c>
      <c r="FA137">
        <f>IF(AND($EY137="row",$EY138&lt;&gt;"row"),1,0)</f>
        <v/>
      </c>
      <c r="FB137">
        <f>IF($EZ137=1,IFERROR(IF(ISNUMBER(INDEX(PASTE_ALL,INDEX($DF$5:$DF$1003,$EX137),$B$37)),INDEX(PASTE_ALL,INDEX($DF$5:$DF$1003,$EX137),$B$37),INDEX($DH$5:$DH$1003,$EX137)),INDEX($DH$5:$DH$1003,$EX137)),"")</f>
        <v/>
      </c>
      <c r="FC137">
        <f>IF($EY137="row",INDEX($ER$5:$ER$1003,$EX137),"")</f>
        <v/>
      </c>
      <c r="FD137">
        <f>IF($EY137="row",INDEX($DN$5:$DN$1003,$EX137),"")</f>
        <v/>
      </c>
      <c r="FE137">
        <f>IF($EY137="row",INDEX($DO$5:$DO$1003,$EX137),"")</f>
        <v/>
      </c>
      <c r="FF137">
        <f>IF($EY137="row",INDEX($DP$5:$DP$1003,$EX137),"")</f>
        <v/>
      </c>
      <c r="FG137">
        <f>IF($EY137="row",INDEX($DQ$5:$DQ$1003,$EX137),"")</f>
        <v/>
      </c>
      <c r="FH137">
        <f>IF($EY137="row",INDEX($DR$5:$DR$1003,$EX137),"")</f>
        <v/>
      </c>
      <c r="FI137">
        <f>IF($EY137="row",INDEX($DS$5:$DS$1003,$EX137),"")</f>
        <v/>
      </c>
      <c r="FJ137">
        <f>IF($EY137="row",INDEX($DT$5:$DT$1003,$EX137),"")</f>
        <v/>
      </c>
      <c r="FK137">
        <f>IF($EY137="row",INDEX($DU$5:$DU$1003,$EX137),"")</f>
        <v/>
      </c>
      <c r="FL137">
        <f>IF($EY137="row",INDEX($DV$5:$DV$1003,$EX137),"")</f>
        <v/>
      </c>
      <c r="FM137">
        <f>IF($EY137="row",INDEX($DW$5:$DW$1003,$EX137),"")</f>
        <v/>
      </c>
      <c r="FN137">
        <f>IF($EY137="row",INDEX($DY$5:$DY$1003,$EX137),"")</f>
        <v/>
      </c>
      <c r="FO137">
        <f>IF($EY137="row",INDEX($EA$5:$EA$1003,$EX137),"")</f>
        <v/>
      </c>
      <c r="FP137">
        <f>IF($EY137="row",INDEX($EC$5:$EC$1003,$EX137),"")</f>
        <v/>
      </c>
      <c r="FQ137">
        <f>IF($EY137="row",INDEX($ET$5:$ET$1003,$EX137),"")</f>
        <v/>
      </c>
      <c r="FR137">
        <f>IF($EY137="row",INDEX($EU$5:$EU$1003,$EX137),"")</f>
        <v/>
      </c>
      <c r="FS137">
        <f>IF(AND($EY137="row",$EY136="row"),IF(OR(INDEX($DT$5:$DT$1003,$EX136)="",INDEX($DT$5:$DT$1003,$EX137)=""),"",IF(NOT(EXACT(INDEX($DT$5:$DT$1003,$EX136),INDEX($DT$5:$DT$1003,$EX137))),"S4",IF(NOT(EXACT(INDEX($DS$5:$DS$1003,$EX136),INDEX($DS$5:$DS$1003,$EX137))),"S3",IF(NOT(EXACT(INDEX($DR$5:$DR$1003,$EX136),INDEX($DR$5:$DR$1003,$EX137))),"S1 Count Change","S1")))),"")</f>
        <v/>
      </c>
      <c r="FT137">
        <f>IF($EY137="row",INDEX($ES$5:$ES$1003,$EX137),"")</f>
        <v/>
      </c>
      <c r="FU137">
        <f>IF($EY137="row",INDEX($EO$5:$EO$1003,$EX137),0)</f>
        <v/>
      </c>
      <c r="FV137">
        <f>IF($FS137="S1 Count Change",1,0)</f>
        <v/>
      </c>
    </row>
    <row r="138">
      <c r="DA138" t="n">
        <v>134</v>
      </c>
      <c r="DB138">
        <f>IF($B$37=0,"",IFERROR(TRIM(SUBSTITUTE(SUBSTITUTE(SUBSTITUTE(SUBSTITUTE(INDEX(PASTE_ALL,134,$B$37)," "," "),CHAR(9)," "),CHAR(10)," "),CHAR(13)," ")),""))</f>
        <v/>
      </c>
      <c r="DC138">
        <f>IF(AND(134&gt;HEADER_ROW,UPPER(DB138)="LEGEND"),1,0)</f>
        <v/>
      </c>
      <c r="DE138" t="n">
        <v>134</v>
      </c>
      <c r="DF138">
        <f>HEADER_ROW+$DE138</f>
        <v/>
      </c>
      <c r="DG138">
        <f>IF(AND($DF138&lt;=1000,$DF138&lt;$B$8),1,0)</f>
        <v/>
      </c>
      <c r="DH138">
        <f>IF($DG138=1,IFERROR(INDEX($DB$5:$DB$1004,$DF138),""),"")</f>
        <v/>
      </c>
      <c r="DI138">
        <f>IF(AND($DG138=1,$DH138&lt;&gt;""),IFERROR(SUBSTITUTE(SUBSTITUTE(TRIM(SUBSTITUTE(SUBSTITUTE(SUBSTITUTE(SUBSTITUTE(IFERROR(INDEX(PASTE_ALL,$DF138,1)&amp;"","")&amp;"␟"&amp;IFERROR(INDEX(PASTE_ALL,$DF138,2)&amp;"","")&amp;"␟"&amp;IFERROR(INDEX(PASTE_ALL,$DF138,3)&amp;"","")&amp;"␟"&amp;IFERROR(INDEX(PASTE_ALL,$DF138,4)&amp;"","")&amp;"␟"&amp;IFERROR(INDEX(PASTE_ALL,$DF138,5)&amp;"","")&amp;"␟"&amp;IFERROR(INDEX(PASTE_ALL,$DF138,6)&amp;"","")&amp;"␟"&amp;IFERROR(INDEX(PASTE_ALL,$DF138,7)&amp;"","")&amp;"␟"&amp;IFERROR(INDEX(PASTE_ALL,$DF138,8)&amp;"","")&amp;"␟"&amp;IFERROR(INDEX(PASTE_ALL,$DF138,9)&amp;"","")&amp;"␟"&amp;IFERROR(INDEX(PASTE_ALL,$DF138,10)&amp;"","")&amp;"␟"&amp;IFERROR(INDEX(PASTE_ALL,$DF138,11)&amp;"","")&amp;"␟"&amp;IFERROR(INDEX(PASTE_ALL,$DF138,12)&amp;"","")&amp;"␟"&amp;IFERROR(INDEX(PASTE_ALL,$DF138,13)&amp;"","")&amp;"␟"&amp;IFERROR(INDEX(PASTE_ALL,$DF138,14)&amp;"","")&amp;"␟"&amp;IFERROR(INDEX(PASTE_ALL,$DF138,15)&amp;"","")&amp;"␟"&amp;IFERROR(INDEX(PASTE_ALL,$DF138,16)&amp;"","")&amp;"␟"&amp;IFERROR(INDEX(PASTE_ALL,$DF138,17)&amp;"","")&amp;"␟"&amp;IFERROR(INDEX(PASTE_ALL,$DF138,18)&amp;"","")&amp;"␟"&amp;IFERROR(INDEX(PASTE_ALL,$DF138,19)&amp;"","")&amp;"␟"&amp;IFERROR(INDEX(PASTE_ALL,$DF138,20)&amp;"","")&amp;"␟"&amp;IFERROR(INDEX(PASTE_ALL,$DF138,21)&amp;"","")&amp;"␟"&amp;IFERROR(INDEX(PASTE_ALL,$DF138,22)&amp;"","")&amp;"␟"&amp;IFERROR(INDEX(PASTE_ALL,$DF138,23)&amp;"","")&amp;"␟"&amp;IFERROR(INDEX(PASTE_ALL,$DF138,24)&amp;"","")&amp;"␟"&amp;IFERROR(INDEX(PASTE_ALL,$DF138,25)&amp;"","")&amp;"␟"&amp;IFERROR(INDEX(PASTE_ALL,$DF138,26)&amp;"","")&amp;"␟"&amp;IFERROR(INDEX(PASTE_ALL,$DF138,27)&amp;"","")&amp;"␟"&amp;IFERROR(INDEX(PASTE_ALL,$DF138,28)&amp;"","")&amp;"␟"&amp;IFERROR(INDEX(PASTE_ALL,$DF138,29)&amp;"","")&amp;"␟"&amp;IFERROR(INDEX(PASTE_ALL,$DF138,30)&amp;"","")&amp;"␟"&amp;IFERROR(INDEX(PASTE_ALL,$DF138,31)&amp;"","")&amp;"␟"&amp;IFERROR(INDEX(PASTE_ALL,$DF138,32)&amp;"","")&amp;"␟"&amp;IFERROR(INDEX(PASTE_ALL,$DF138,33)&amp;"","")&amp;"␟"&amp;IFERROR(INDEX(PASTE_ALL,$DF138,34)&amp;"","")&amp;"␟"&amp;IFERROR(INDEX(PASTE_ALL,$DF138,35)&amp;"","")&amp;"␟"&amp;IFERROR(INDEX(PASTE_ALL,$DF138,36)&amp;"","")&amp;"␟"&amp;IFERROR(INDEX(PASTE_ALL,$DF138,37)&amp;"","")&amp;"␟"&amp;IFERROR(INDEX(PASTE_ALL,$DF138,38)&amp;"","")&amp;"␟"&amp;IFERROR(INDEX(PASTE_ALL,$DF138,39)&amp;"","")&amp;"␟"&amp;IFERROR(INDEX(PASTE_ALL,$DF138,40)&amp;"","")&amp;"␟"&amp;IFERROR(INDEX(PASTE_ALL,$DF138,41)&amp;"","")&amp;"␟"&amp;IFERROR(INDEX(PASTE_ALL,$DF138,42)&amp;"","")&amp;"␟"&amp;IFERROR(INDEX(PASTE_ALL,$DF138,43)&amp;"","")&amp;"␟"&amp;IFERROR(INDEX(PASTE_ALL,$DF138,44)&amp;"","")&amp;"␟"&amp;IFERROR(INDEX(PASTE_ALL,$DF138,45)&amp;"","")&amp;"␟"&amp;IFERROR(INDEX(PASTE_ALL,$DF138,46)&amp;"","")&amp;"␟"&amp;IFERROR(INDEX(PASTE_ALL,$DF138,47)&amp;"","")&amp;"␟"&amp;IFERROR(INDEX(PASTE_ALL,$DF138,48)&amp;"","")&amp;"␟"&amp;IFERROR(INDEX(PASTE_ALL,$DF138,49)&amp;"","")&amp;"␟"&amp;IFERROR(INDEX(PASTE_ALL,$DF138,50)&amp;"","")&amp;"␟"&amp;IFERROR(INDEX(PASTE_ALL,$DF138,51)&amp;"","")&amp;"␟"&amp;IFERROR(INDEX(PASTE_ALL,$DF138,52)&amp;"","")&amp;"␟"&amp;IFERROR(INDEX(PASTE_ALL,$DF138,53)&amp;"","")&amp;"␟"&amp;IFERROR(INDEX(PASTE_ALL,$DF138,54)&amp;"","")&amp;"␟"&amp;IFERROR(INDEX(PASTE_ALL,$DF138,55)&amp;"","")&amp;"␟"&amp;IFERROR(INDEX(PASTE_ALL,$DF138,56)&amp;"","")&amp;"␟"&amp;IFERROR(INDEX(PASTE_ALL,$DF138,57)&amp;"","")&amp;"␟"&amp;IFERROR(INDEX(PASTE_ALL,$DF138,58)&amp;"","")&amp;"␟"&amp;IFERROR(INDEX(PASTE_ALL,$DF138,59)&amp;"","")&amp;"␟"&amp;IFERROR(INDEX(PASTE_ALL,$DF138,60)&amp;"","")," "," "),CHAR(9)," "),CHAR(10)," "),CHAR(13)," "))," ␟","␟"),"␟ ","␟"),"#"&amp;$DE138),"")</f>
        <v/>
      </c>
      <c r="DJ138">
        <f>IF($DI138="",0,IF(SUMPRODUCT(--EXACT($DI$4:DI137,$DI138))&gt;0,1,0))</f>
        <v/>
      </c>
      <c r="DK138">
        <f>IF(AND($DI138&lt;&gt;"",$DJ138=0),1,0)</f>
        <v/>
      </c>
      <c r="DL138">
        <f>DL137+$DK138</f>
        <v/>
      </c>
      <c r="DM138">
        <f>IF(AND($DK138=1,$DL138&lt;=600),1,0)</f>
        <v/>
      </c>
      <c r="DN138">
        <f>IF($DM138=0,"",IF($L$6=0,"",IFERROR(IF(ISNUMBER(INDEX(PASTE_ALL,$DF138,$L$6)),INDEX(PASTE_ALL,$DF138,$L$6),TRIM(SUBSTITUTE(SUBSTITUTE(SUBSTITUTE(SUBSTITUTE(INDEX(PASTE_ALL,$DF138,$L$6)," "," "),CHAR(9)," "),CHAR(10)," "),CHAR(13)," "))),"")))</f>
        <v/>
      </c>
      <c r="DO138">
        <f>IF($DM138=0,"",IF($L$7=0,"",IFERROR(IF(ISNUMBER(INDEX(PASTE_ALL,$DF138,$L$7)),INDEX(PASTE_ALL,$DF138,$L$7),TRIM(SUBSTITUTE(SUBSTITUTE(SUBSTITUTE(SUBSTITUTE(INDEX(PASTE_ALL,$DF138,$L$7)," "," "),CHAR(9)," "),CHAR(10)," "),CHAR(13)," "))),"")))</f>
        <v/>
      </c>
      <c r="DP138">
        <f>IF($DM138=0,"",IF($L$8=0,"",IFERROR(IF(ISNUMBER(INDEX(PASTE_ALL,$DF138,$L$8)),INDEX(PASTE_ALL,$DF138,$L$8),TRIM(SUBSTITUTE(SUBSTITUTE(SUBSTITUTE(SUBSTITUTE(INDEX(PASTE_ALL,$DF138,$L$8)," "," "),CHAR(9)," "),CHAR(10)," "),CHAR(13)," "))),"")))</f>
        <v/>
      </c>
      <c r="DQ138">
        <f>IF($DM138=0,"",IF($L$9=0,"",IFERROR(IF(ISNUMBER(INDEX(PASTE_ALL,$DF138,$L$9)),INDEX(PASTE_ALL,$DF138,$L$9),TRIM(SUBSTITUTE(SUBSTITUTE(SUBSTITUTE(SUBSTITUTE(INDEX(PASTE_ALL,$DF138,$L$9)," "," "),CHAR(9)," "),CHAR(10)," "),CHAR(13)," "))),"")))</f>
        <v/>
      </c>
      <c r="DR138">
        <f>IF($DM138=0,"",IF($L$10=0,"",IFERROR(IF(ISNUMBER(INDEX(PASTE_ALL,$DF138,$L$10)),INDEX(PASTE_ALL,$DF138,$L$10),TRIM(SUBSTITUTE(SUBSTITUTE(SUBSTITUTE(SUBSTITUTE(INDEX(PASTE_ALL,$DF138,$L$10)," "," "),CHAR(9)," "),CHAR(10)," "),CHAR(13)," "))),"")))</f>
        <v/>
      </c>
      <c r="DS138">
        <f>IF($DM138=0,"",IF($L$11=0,"",IFERROR(IF(ISNUMBER(INDEX(PASTE_ALL,$DF138,$L$11)),INDEX(PASTE_ALL,$DF138,$L$11),TRIM(SUBSTITUTE(SUBSTITUTE(SUBSTITUTE(SUBSTITUTE(INDEX(PASTE_ALL,$DF138,$L$11)," "," "),CHAR(9)," "),CHAR(10)," "),CHAR(13)," "))),"")))</f>
        <v/>
      </c>
      <c r="DT138">
        <f>IF($DM138=0,"",IF($L$12=0,"",IFERROR(IF(ISNUMBER(INDEX(PASTE_ALL,$DF138,$L$12)),INDEX(PASTE_ALL,$DF138,$L$12),TRIM(SUBSTITUTE(SUBSTITUTE(SUBSTITUTE(SUBSTITUTE(INDEX(PASTE_ALL,$DF138,$L$12)," "," "),CHAR(9)," "),CHAR(10)," "),CHAR(13)," "))),"")))</f>
        <v/>
      </c>
      <c r="DU138">
        <f>IF($DM138=0,"",IF($L$13=0,"",IFERROR(IF(ISNUMBER(INDEX(PASTE_ALL,$DF138,$L$13)),INDEX(PASTE_ALL,$DF138,$L$13),TRIM(SUBSTITUTE(SUBSTITUTE(SUBSTITUTE(SUBSTITUTE(INDEX(PASTE_ALL,$DF138,$L$13)," "," "),CHAR(9)," "),CHAR(10)," "),CHAR(13)," "))),"")))</f>
        <v/>
      </c>
      <c r="DV138">
        <f>IF($DM138=0,"",IF($L$14=0,"",IFERROR(IF(ISNUMBER(INDEX(PASTE_ALL,$DF138,$L$14)),INDEX(PASTE_ALL,$DF138,$L$14),TRIM(SUBSTITUTE(SUBSTITUTE(SUBSTITUTE(SUBSTITUTE(INDEX(PASTE_ALL,$DF138,$L$14)," "," "),CHAR(9)," "),CHAR(10)," "),CHAR(13)," "))),"")))</f>
        <v/>
      </c>
      <c r="DW138">
        <f>IF($DM138=0,"",IF($L$15=0,"",IFERROR(IF(ISNUMBER(INDEX(PASTE_ALL,$DF138,$L$15)),INDEX(PASTE_ALL,$DF138,$L$15),IF(SUMPRODUCT(--ISNUMBER(FIND({"A","B","C","D","E","F","G","H","I","J","K","L","M","N","O","P","Q","R","S","T","U","V","W","X","Y","Z","0","1","2","3","4","5","6","7","8","9"},UPPER(TRIM(SUBSTITUTE(SUBSTITUTE(SUBSTITUTE(SUBSTITUTE(INDEX(PASTE_ALL,$DF138,$L$15)," "," "),CHAR(9)," "),CHAR(10)," "),CHAR(13)," "))))))&gt;0,TRIM(SUBSTITUTE(SUBSTITUTE(SUBSTITUTE(SUBSTITUTE(INDEX(PASTE_ALL,$DF138,$L$15)," "," "),CHAR(9)," "),CHAR(10)," "),CHAR(13)," ")),"")),"")))</f>
        <v/>
      </c>
      <c r="DX138">
        <f>IF($DM138=0,"",IF($L$16=0,"",IFERROR(IF(ISNUMBER(INDEX(PASTE_ALL,$DF138,$L$16)),INDEX(PASTE_ALL,$DF138,$L$16),SUBSTITUTE(SUBSTITUTE(TRIM(SUBSTITUTE(SUBSTITUTE(SUBSTITUTE(SUBSTITUTE(INDEX(PASTE_ALL,$DF138,$L$16)," "," "),CHAR(9)," "),CHAR(10)," "),CHAR(13)," ")),",",""),"%","")),"")))</f>
        <v/>
      </c>
      <c r="DY138">
        <f>IF($DM138=0,"",IFERROR(IF(ISNUMBER($DX138),$DX138,IF($DX138="","",IF(TRIM($DX138)="",0,IF(AND(AND(SUBSTITUTE(SUBSTITUTE(SUBSTITUTE(SUBSTITUTE(SUBSTITUTE(SUBSTITUTE(SUBSTITUTE(SUBSTITUTE(SUBSTITUTE(SUBSTITUTE(SUBSTITUTE(SUBSTITUTE(SUBSTITUTE(SUBSTITUTE(UPPER(TRIM($DX138)),"0",""),"1",""),"2",""),"3",""),"4",""),"5",""),"6",""),"7",""),"8",""),"9",""),".",""),"+",""),"-",""),"E","")="",LEN(SUBSTITUTE(SUBSTITUTE(MID(UPPER(TRIM($DX138)),1+OR(LEFT(UPPER(TRIM($DX138)),1)="+",LEFT(UPPER(TRIM($DX138)),1)="-"),999),"E+","E"),"E-","E"))=LEN(SUBSTITUTE(SUBSTITUTE(SUBSTITUTE(SUBSTITUTE(MID(UPPER(TRIM($DX138)),1+OR(LEFT(UPPER(TRIM($DX138)),1)="+",LEFT(UPPER(TRIM($DX138)),1)="-"),999),"E+","E"),"E-","E"),"+",""),"-","")),LEN(UPPER(TRIM($DX138)))-LEN(SUBSTITUTE(UPPER(TRIM($DX138)),"E",""))&lt;2,LEN(UPPER(TRIM($DX138)))-LEN(SUBSTITUTE(UPPER(TRIM($DX138)),".",""))&lt;2,IFERROR(FIND(".",UPPER(TRIM($DX138))),0)&lt;IFERROR(FIND("E",UPPER(TRIM($DX138))),999)),ISNUMBER(VALUE(TRIM($DX138)))),VALUE(TRIM($DX138)),"")))),""))</f>
        <v/>
      </c>
      <c r="DZ138">
        <f>IF($DM138=0,"",IF($L$17=0,"",IFERROR(IF(ISNUMBER(INDEX(PASTE_ALL,$DF138,$L$17)),INDEX(PASTE_ALL,$DF138,$L$17),SUBSTITUTE(SUBSTITUTE(TRIM(SUBSTITUTE(SUBSTITUTE(SUBSTITUTE(SUBSTITUTE(INDEX(PASTE_ALL,$DF138,$L$17)," "," "),CHAR(9)," "),CHAR(10)," "),CHAR(13)," ")),",",""),"%","")),"")))</f>
        <v/>
      </c>
      <c r="EA138">
        <f>IF($DM138=0,"",IFERROR(IF(ISNUMBER($DZ138),$DZ138,IF($DZ138="","",IF(TRIM($DZ138)="",0,IF(AND(AND(SUBSTITUTE(SUBSTITUTE(SUBSTITUTE(SUBSTITUTE(SUBSTITUTE(SUBSTITUTE(SUBSTITUTE(SUBSTITUTE(SUBSTITUTE(SUBSTITUTE(SUBSTITUTE(SUBSTITUTE(SUBSTITUTE(SUBSTITUTE(UPPER(TRIM($DZ138)),"0",""),"1",""),"2",""),"3",""),"4",""),"5",""),"6",""),"7",""),"8",""),"9",""),".",""),"+",""),"-",""),"E","")="",LEN(SUBSTITUTE(SUBSTITUTE(MID(UPPER(TRIM($DZ138)),1+OR(LEFT(UPPER(TRIM($DZ138)),1)="+",LEFT(UPPER(TRIM($DZ138)),1)="-"),999),"E+","E"),"E-","E"))=LEN(SUBSTITUTE(SUBSTITUTE(SUBSTITUTE(SUBSTITUTE(MID(UPPER(TRIM($DZ138)),1+OR(LEFT(UPPER(TRIM($DZ138)),1)="+",LEFT(UPPER(TRIM($DZ138)),1)="-"),999),"E+","E"),"E-","E"),"+",""),"-","")),LEN(UPPER(TRIM($DZ138)))-LEN(SUBSTITUTE(UPPER(TRIM($DZ138)),"E",""))&lt;2,LEN(UPPER(TRIM($DZ138)))-LEN(SUBSTITUTE(UPPER(TRIM($DZ138)),".",""))&lt;2,IFERROR(FIND(".",UPPER(TRIM($DZ138))),0)&lt;IFERROR(FIND("E",UPPER(TRIM($DZ138))),999)),ISNUMBER(VALUE(TRIM($DZ138)))),VALUE(TRIM($DZ138)),"")))),""))</f>
        <v/>
      </c>
      <c r="EB138">
        <f>IF($DM138=0,"",IF($L$18=0,"",IFERROR(IF(UPPER(TRIM(SUBSTITUTE(SUBSTITUTE(SUBSTITUTE(SUBSTITUTE(INDEX(PASTE_ALL,$DF138,$L$18)," "," "),CHAR(9)," "),CHAR(10)," "),CHAR(13)," ")))="READY","Ready",IF(UPPER(TRIM(SUBSTITUTE(SUBSTITUTE(SUBSTITUTE(SUBSTITUTE(INDEX(PASTE_ALL,$DF138,$L$18)," "," "),CHAR(9)," "),CHAR(10)," "),CHAR(13)," ")))="PM","PM",IF(OR(UPPER(TRIM(SUBSTITUTE(SUBSTITUTE(SUBSTITUTE(SUBSTITUTE(INDEX(PASTE_ALL,$DF138,$L$18)," "," "),CHAR(9)," "),CHAR(10)," "),CHAR(13)," ")))="OT",UPPER(TRIM(SUBSTITUTE(SUBSTITUTE(SUBSTITUTE(SUBSTITUTE(INDEX(PASTE_ALL,$DF138,$L$18)," "," "),CHAR(9)," "),CHAR(10)," "),CHAR(13)," ")))="OVERTIME",UPPER(TRIM(SUBSTITUTE(SUBSTITUTE(SUBSTITUTE(SUBSTITUTE(INDEX(PASTE_ALL,$DF138,$L$18)," "," "),CHAR(9)," "),CHAR(10)," "),CHAR(13)," ")))="TRIAL"),"OT",TRIM(SUBSTITUTE(SUBSTITUTE(SUBSTITUTE(SUBSTITUTE(INDEX(PASTE_ALL,$DF138,$L$18)," "," "),CHAR(9)," "),CHAR(10)," "),CHAR(13)," "))))),"")))</f>
        <v/>
      </c>
      <c r="EC138">
        <f>IF($DM138=0,"",IF($L$19=0,"",IFERROR(IF(ISNUMBER(INDEX(PASTE_ALL,$DF138,$L$19)),INDEX(PASTE_ALL,$DF138,$L$19),TRIM(SUBSTITUTE(SUBSTITUTE(SUBSTITUTE(SUBSTITUTE(INDEX(PASTE_ALL,$DF138,$L$19)," "," "),CHAR(9)," "),CHAR(10)," "),CHAR(13)," "))),"")))</f>
        <v/>
      </c>
      <c r="ED138">
        <f>IF($DM138=0,"",MATCH(1,INDEX(EXACT($DH$5:DH138,$DH138)*$DM$5:DM138,0),0))</f>
        <v/>
      </c>
      <c r="EE138">
        <f>IF($DM138=0,0,IF($ED138=$DE138,1,0))</f>
        <v/>
      </c>
      <c r="EF138">
        <f>EF137+$EE138</f>
        <v/>
      </c>
      <c r="EG138">
        <f>IF($DM138=0,"",INDEX($EF$5:$EF$1003,$ED138))</f>
        <v/>
      </c>
      <c r="EH138">
        <f>IF($DM138=0,"",IF($DO138&lt;&gt;"","",IFERROR(LOOKUP(2,1/(($EG$4:EG137=$EG138)*($DO$4:DO137&lt;&gt;"")),$DO$4:DO137),"")))</f>
        <v/>
      </c>
      <c r="EI138">
        <f>IF($DM138=0,"",IF($DO138&lt;&gt;"",$DO138,$EH138))</f>
        <v/>
      </c>
      <c r="EJ138">
        <f>IF($DM138=0,"",IF($EI138="",0,IF(OR(ISNUMBER($EI138),AND(AND(SUBSTITUTE(SUBSTITUTE(SUBSTITUTE(SUBSTITUTE(SUBSTITUTE(SUBSTITUTE(SUBSTITUTE(SUBSTITUTE(SUBSTITUTE(SUBSTITUTE(SUBSTITUTE(SUBSTITUTE(SUBSTITUTE(SUBSTITUTE(UPPER($EI138),"0",""),"1",""),"2",""),"3",""),"4",""),"5",""),"6",""),"7",""),"8",""),"9",""),".",""),"+",""),"-",""),"E","")="",LEN(SUBSTITUTE(SUBSTITUTE(MID(UPPER($EI138),1+OR(LEFT(UPPER($EI138),1)="+",LEFT(UPPER($EI138),1)="-"),999),"E+","E"),"E-","E"))=LEN(SUBSTITUTE(SUBSTITUTE(SUBSTITUTE(SUBSTITUTE(MID(UPPER($EI138),1+OR(LEFT(UPPER($EI138),1)="+",LEFT(UPPER($EI138),1)="-"),999),"E+","E"),"E-","E"),"+",""),"-","")),LEN(UPPER($EI138))-LEN(SUBSTITUTE(UPPER($EI138),"E",""))&lt;2,LEN(UPPER($EI138))-LEN(SUBSTITUTE(UPPER($EI138),".",""))&lt;2,IFERROR(FIND(".",UPPER($EI138)),0)&lt;IFERROR(FIND("E",UPPER($EI138)),999)),ISNUMBER(VALUE($EI138)))),1,2)))</f>
        <v/>
      </c>
      <c r="EK138">
        <f>IF($DM138=0,"",IF($EJ138=1,IF(ISNUMBER($EI138),$EI138,VALUE($EI138)),IF($EJ138=2,$DE138,0)))</f>
        <v/>
      </c>
      <c r="EL138">
        <f>IF($DM138=0,"",COUNTIF($EG$5:$EG$1003,"&lt;"&amp;$EG138)+SUMPRODUCT(($EG$5:$EG$1003=$EG138)*(($EJ$5:$EJ$1003&lt;$EJ138)+($EJ$5:$EJ$1003=$EJ138)*(($EK$5:$EK$1003&lt;$EK138)+($EK$5:$EK$1003=$EK138)*($DE$5:$DE$1003&lt;$DE138))))+1)</f>
        <v/>
      </c>
      <c r="EM138">
        <f>IF($DM138=0,"",$EL138+$EG138-1)</f>
        <v/>
      </c>
      <c r="EN138">
        <f>IF($DM138=0,0,IFERROR(MATCH(1,INDEX(--(TRIM(SUBSTITUTE(SUBSTITUTE(SUBSTITUTE(SUBSTITUTE(LINES_NAME&amp;""," "," "),CHAR(9)," "),CHAR(10)," "),CHAR(13)," "))=$DH138),0),0),0))</f>
        <v/>
      </c>
      <c r="EO138">
        <f>IF($EN138=0,0,IF(OR(UPPER(TRIM(INDEX(LINES_SCHEDULED,$EN138)&amp;""))="YES",UPPER(TRIM(INDEX(LINES_SCHEDULED,$EN138)&amp;""))="Y",UPPER(TRIM(INDEX(LINES_SCHEDULED,$EN138)&amp;""))="X"),1,0))</f>
        <v/>
      </c>
      <c r="EP138">
        <f>IF($DM138=0,"",IF(COUNTIFS($EG$5:$EG$1003,$EG138,$EB$5:$EB$1003,"Ready")&gt;0,"READY",IF(COUNTIFS($EG$5:$EG$1003,$EG138,$EB$5:$EB$1003,"PM")&gt;0,"PM",IF(COUNTIFS($EG$5:$EG$1003,$EG138,$EB$5:$EB$1003,"OT")&gt;0,"OT",""))))</f>
        <v/>
      </c>
      <c r="EQ138">
        <f>IF($EN138=0,"",UPPER(TRIM(INDEX(LINES_STATUS,$EN138)&amp;"")))</f>
        <v/>
      </c>
      <c r="ER138">
        <f>IF($DM138=0,"",IF(OR($EQ138="READY",$EQ138="PM",$EQ138="OT"),$EQ138,$EP138))</f>
        <v/>
      </c>
      <c r="ES138">
        <f>IF($DM138=0,"",IF(AND($DV138&lt;&gt;"",UPPER($DV138)&lt;&gt;"N"),"allergen",IF(ISNUMBER(SEARCH("oil",$DQ138)),"oil",IF(OR(EXACT($DS138,"A662"),EXACT($DS138,"A624")),"bulk",""))))</f>
        <v/>
      </c>
      <c r="ET138">
        <f>IF($DM138=0,"",IF(OR($EA138="",$EA138=0),"",$EA138/100))</f>
        <v/>
      </c>
      <c r="EU138">
        <f>IF(OR($ET138="",$DY138=""),"",INT($DY138*(1-$ET138)+0.5))</f>
        <v/>
      </c>
      <c r="EW138" t="n">
        <v>134</v>
      </c>
      <c r="EX138">
        <f>IFERROR(MATCH($EW138,$EM$5:$EM$1003,0),0)</f>
        <v/>
      </c>
      <c r="EY138">
        <f>IF($EW138&gt;$B$12,"",IF($EX138&gt;0,"row","spacer"))</f>
        <v/>
      </c>
      <c r="EZ138">
        <f>IF(AND($EY138="row",$EY137&lt;&gt;"row"),1,0)</f>
        <v/>
      </c>
      <c r="FA138">
        <f>IF(AND($EY138="row",$EY139&lt;&gt;"row"),1,0)</f>
        <v/>
      </c>
      <c r="FB138">
        <f>IF($EZ138=1,IFERROR(IF(ISNUMBER(INDEX(PASTE_ALL,INDEX($DF$5:$DF$1003,$EX138),$B$37)),INDEX(PASTE_ALL,INDEX($DF$5:$DF$1003,$EX138),$B$37),INDEX($DH$5:$DH$1003,$EX138)),INDEX($DH$5:$DH$1003,$EX138)),"")</f>
        <v/>
      </c>
      <c r="FC138">
        <f>IF($EY138="row",INDEX($ER$5:$ER$1003,$EX138),"")</f>
        <v/>
      </c>
      <c r="FD138">
        <f>IF($EY138="row",INDEX($DN$5:$DN$1003,$EX138),"")</f>
        <v/>
      </c>
      <c r="FE138">
        <f>IF($EY138="row",INDEX($DO$5:$DO$1003,$EX138),"")</f>
        <v/>
      </c>
      <c r="FF138">
        <f>IF($EY138="row",INDEX($DP$5:$DP$1003,$EX138),"")</f>
        <v/>
      </c>
      <c r="FG138">
        <f>IF($EY138="row",INDEX($DQ$5:$DQ$1003,$EX138),"")</f>
        <v/>
      </c>
      <c r="FH138">
        <f>IF($EY138="row",INDEX($DR$5:$DR$1003,$EX138),"")</f>
        <v/>
      </c>
      <c r="FI138">
        <f>IF($EY138="row",INDEX($DS$5:$DS$1003,$EX138),"")</f>
        <v/>
      </c>
      <c r="FJ138">
        <f>IF($EY138="row",INDEX($DT$5:$DT$1003,$EX138),"")</f>
        <v/>
      </c>
      <c r="FK138">
        <f>IF($EY138="row",INDEX($DU$5:$DU$1003,$EX138),"")</f>
        <v/>
      </c>
      <c r="FL138">
        <f>IF($EY138="row",INDEX($DV$5:$DV$1003,$EX138),"")</f>
        <v/>
      </c>
      <c r="FM138">
        <f>IF($EY138="row",INDEX($DW$5:$DW$1003,$EX138),"")</f>
        <v/>
      </c>
      <c r="FN138">
        <f>IF($EY138="row",INDEX($DY$5:$DY$1003,$EX138),"")</f>
        <v/>
      </c>
      <c r="FO138">
        <f>IF($EY138="row",INDEX($EA$5:$EA$1003,$EX138),"")</f>
        <v/>
      </c>
      <c r="FP138">
        <f>IF($EY138="row",INDEX($EC$5:$EC$1003,$EX138),"")</f>
        <v/>
      </c>
      <c r="FQ138">
        <f>IF($EY138="row",INDEX($ET$5:$ET$1003,$EX138),"")</f>
        <v/>
      </c>
      <c r="FR138">
        <f>IF($EY138="row",INDEX($EU$5:$EU$1003,$EX138),"")</f>
        <v/>
      </c>
      <c r="FS138">
        <f>IF(AND($EY138="row",$EY137="row"),IF(OR(INDEX($DT$5:$DT$1003,$EX137)="",INDEX($DT$5:$DT$1003,$EX138)=""),"",IF(NOT(EXACT(INDEX($DT$5:$DT$1003,$EX137),INDEX($DT$5:$DT$1003,$EX138))),"S4",IF(NOT(EXACT(INDEX($DS$5:$DS$1003,$EX137),INDEX($DS$5:$DS$1003,$EX138))),"S3",IF(NOT(EXACT(INDEX($DR$5:$DR$1003,$EX137),INDEX($DR$5:$DR$1003,$EX138))),"S1 Count Change","S1")))),"")</f>
        <v/>
      </c>
      <c r="FT138">
        <f>IF($EY138="row",INDEX($ES$5:$ES$1003,$EX138),"")</f>
        <v/>
      </c>
      <c r="FU138">
        <f>IF($EY138="row",INDEX($EO$5:$EO$1003,$EX138),0)</f>
        <v/>
      </c>
      <c r="FV138">
        <f>IF($FS138="S1 Count Change",1,0)</f>
        <v/>
      </c>
    </row>
    <row r="139">
      <c r="DA139" t="n">
        <v>135</v>
      </c>
      <c r="DB139">
        <f>IF($B$37=0,"",IFERROR(TRIM(SUBSTITUTE(SUBSTITUTE(SUBSTITUTE(SUBSTITUTE(INDEX(PASTE_ALL,135,$B$37)," "," "),CHAR(9)," "),CHAR(10)," "),CHAR(13)," ")),""))</f>
        <v/>
      </c>
      <c r="DC139">
        <f>IF(AND(135&gt;HEADER_ROW,UPPER(DB139)="LEGEND"),1,0)</f>
        <v/>
      </c>
      <c r="DE139" t="n">
        <v>135</v>
      </c>
      <c r="DF139">
        <f>HEADER_ROW+$DE139</f>
        <v/>
      </c>
      <c r="DG139">
        <f>IF(AND($DF139&lt;=1000,$DF139&lt;$B$8),1,0)</f>
        <v/>
      </c>
      <c r="DH139">
        <f>IF($DG139=1,IFERROR(INDEX($DB$5:$DB$1004,$DF139),""),"")</f>
        <v/>
      </c>
      <c r="DI139">
        <f>IF(AND($DG139=1,$DH139&lt;&gt;""),IFERROR(SUBSTITUTE(SUBSTITUTE(TRIM(SUBSTITUTE(SUBSTITUTE(SUBSTITUTE(SUBSTITUTE(IFERROR(INDEX(PASTE_ALL,$DF139,1)&amp;"","")&amp;"␟"&amp;IFERROR(INDEX(PASTE_ALL,$DF139,2)&amp;"","")&amp;"␟"&amp;IFERROR(INDEX(PASTE_ALL,$DF139,3)&amp;"","")&amp;"␟"&amp;IFERROR(INDEX(PASTE_ALL,$DF139,4)&amp;"","")&amp;"␟"&amp;IFERROR(INDEX(PASTE_ALL,$DF139,5)&amp;"","")&amp;"␟"&amp;IFERROR(INDEX(PASTE_ALL,$DF139,6)&amp;"","")&amp;"␟"&amp;IFERROR(INDEX(PASTE_ALL,$DF139,7)&amp;"","")&amp;"␟"&amp;IFERROR(INDEX(PASTE_ALL,$DF139,8)&amp;"","")&amp;"␟"&amp;IFERROR(INDEX(PASTE_ALL,$DF139,9)&amp;"","")&amp;"␟"&amp;IFERROR(INDEX(PASTE_ALL,$DF139,10)&amp;"","")&amp;"␟"&amp;IFERROR(INDEX(PASTE_ALL,$DF139,11)&amp;"","")&amp;"␟"&amp;IFERROR(INDEX(PASTE_ALL,$DF139,12)&amp;"","")&amp;"␟"&amp;IFERROR(INDEX(PASTE_ALL,$DF139,13)&amp;"","")&amp;"␟"&amp;IFERROR(INDEX(PASTE_ALL,$DF139,14)&amp;"","")&amp;"␟"&amp;IFERROR(INDEX(PASTE_ALL,$DF139,15)&amp;"","")&amp;"␟"&amp;IFERROR(INDEX(PASTE_ALL,$DF139,16)&amp;"","")&amp;"␟"&amp;IFERROR(INDEX(PASTE_ALL,$DF139,17)&amp;"","")&amp;"␟"&amp;IFERROR(INDEX(PASTE_ALL,$DF139,18)&amp;"","")&amp;"␟"&amp;IFERROR(INDEX(PASTE_ALL,$DF139,19)&amp;"","")&amp;"␟"&amp;IFERROR(INDEX(PASTE_ALL,$DF139,20)&amp;"","")&amp;"␟"&amp;IFERROR(INDEX(PASTE_ALL,$DF139,21)&amp;"","")&amp;"␟"&amp;IFERROR(INDEX(PASTE_ALL,$DF139,22)&amp;"","")&amp;"␟"&amp;IFERROR(INDEX(PASTE_ALL,$DF139,23)&amp;"","")&amp;"␟"&amp;IFERROR(INDEX(PASTE_ALL,$DF139,24)&amp;"","")&amp;"␟"&amp;IFERROR(INDEX(PASTE_ALL,$DF139,25)&amp;"","")&amp;"␟"&amp;IFERROR(INDEX(PASTE_ALL,$DF139,26)&amp;"","")&amp;"␟"&amp;IFERROR(INDEX(PASTE_ALL,$DF139,27)&amp;"","")&amp;"␟"&amp;IFERROR(INDEX(PASTE_ALL,$DF139,28)&amp;"","")&amp;"␟"&amp;IFERROR(INDEX(PASTE_ALL,$DF139,29)&amp;"","")&amp;"␟"&amp;IFERROR(INDEX(PASTE_ALL,$DF139,30)&amp;"","")&amp;"␟"&amp;IFERROR(INDEX(PASTE_ALL,$DF139,31)&amp;"","")&amp;"␟"&amp;IFERROR(INDEX(PASTE_ALL,$DF139,32)&amp;"","")&amp;"␟"&amp;IFERROR(INDEX(PASTE_ALL,$DF139,33)&amp;"","")&amp;"␟"&amp;IFERROR(INDEX(PASTE_ALL,$DF139,34)&amp;"","")&amp;"␟"&amp;IFERROR(INDEX(PASTE_ALL,$DF139,35)&amp;"","")&amp;"␟"&amp;IFERROR(INDEX(PASTE_ALL,$DF139,36)&amp;"","")&amp;"␟"&amp;IFERROR(INDEX(PASTE_ALL,$DF139,37)&amp;"","")&amp;"␟"&amp;IFERROR(INDEX(PASTE_ALL,$DF139,38)&amp;"","")&amp;"␟"&amp;IFERROR(INDEX(PASTE_ALL,$DF139,39)&amp;"","")&amp;"␟"&amp;IFERROR(INDEX(PASTE_ALL,$DF139,40)&amp;"","")&amp;"␟"&amp;IFERROR(INDEX(PASTE_ALL,$DF139,41)&amp;"","")&amp;"␟"&amp;IFERROR(INDEX(PASTE_ALL,$DF139,42)&amp;"","")&amp;"␟"&amp;IFERROR(INDEX(PASTE_ALL,$DF139,43)&amp;"","")&amp;"␟"&amp;IFERROR(INDEX(PASTE_ALL,$DF139,44)&amp;"","")&amp;"␟"&amp;IFERROR(INDEX(PASTE_ALL,$DF139,45)&amp;"","")&amp;"␟"&amp;IFERROR(INDEX(PASTE_ALL,$DF139,46)&amp;"","")&amp;"␟"&amp;IFERROR(INDEX(PASTE_ALL,$DF139,47)&amp;"","")&amp;"␟"&amp;IFERROR(INDEX(PASTE_ALL,$DF139,48)&amp;"","")&amp;"␟"&amp;IFERROR(INDEX(PASTE_ALL,$DF139,49)&amp;"","")&amp;"␟"&amp;IFERROR(INDEX(PASTE_ALL,$DF139,50)&amp;"","")&amp;"␟"&amp;IFERROR(INDEX(PASTE_ALL,$DF139,51)&amp;"","")&amp;"␟"&amp;IFERROR(INDEX(PASTE_ALL,$DF139,52)&amp;"","")&amp;"␟"&amp;IFERROR(INDEX(PASTE_ALL,$DF139,53)&amp;"","")&amp;"␟"&amp;IFERROR(INDEX(PASTE_ALL,$DF139,54)&amp;"","")&amp;"␟"&amp;IFERROR(INDEX(PASTE_ALL,$DF139,55)&amp;"","")&amp;"␟"&amp;IFERROR(INDEX(PASTE_ALL,$DF139,56)&amp;"","")&amp;"␟"&amp;IFERROR(INDEX(PASTE_ALL,$DF139,57)&amp;"","")&amp;"␟"&amp;IFERROR(INDEX(PASTE_ALL,$DF139,58)&amp;"","")&amp;"␟"&amp;IFERROR(INDEX(PASTE_ALL,$DF139,59)&amp;"","")&amp;"␟"&amp;IFERROR(INDEX(PASTE_ALL,$DF139,60)&amp;"","")," "," "),CHAR(9)," "),CHAR(10)," "),CHAR(13)," "))," ␟","␟"),"␟ ","␟"),"#"&amp;$DE139),"")</f>
        <v/>
      </c>
      <c r="DJ139">
        <f>IF($DI139="",0,IF(SUMPRODUCT(--EXACT($DI$4:DI138,$DI139))&gt;0,1,0))</f>
        <v/>
      </c>
      <c r="DK139">
        <f>IF(AND($DI139&lt;&gt;"",$DJ139=0),1,0)</f>
        <v/>
      </c>
      <c r="DL139">
        <f>DL138+$DK139</f>
        <v/>
      </c>
      <c r="DM139">
        <f>IF(AND($DK139=1,$DL139&lt;=600),1,0)</f>
        <v/>
      </c>
      <c r="DN139">
        <f>IF($DM139=0,"",IF($L$6=0,"",IFERROR(IF(ISNUMBER(INDEX(PASTE_ALL,$DF139,$L$6)),INDEX(PASTE_ALL,$DF139,$L$6),TRIM(SUBSTITUTE(SUBSTITUTE(SUBSTITUTE(SUBSTITUTE(INDEX(PASTE_ALL,$DF139,$L$6)," "," "),CHAR(9)," "),CHAR(10)," "),CHAR(13)," "))),"")))</f>
        <v/>
      </c>
      <c r="DO139">
        <f>IF($DM139=0,"",IF($L$7=0,"",IFERROR(IF(ISNUMBER(INDEX(PASTE_ALL,$DF139,$L$7)),INDEX(PASTE_ALL,$DF139,$L$7),TRIM(SUBSTITUTE(SUBSTITUTE(SUBSTITUTE(SUBSTITUTE(INDEX(PASTE_ALL,$DF139,$L$7)," "," "),CHAR(9)," "),CHAR(10)," "),CHAR(13)," "))),"")))</f>
        <v/>
      </c>
      <c r="DP139">
        <f>IF($DM139=0,"",IF($L$8=0,"",IFERROR(IF(ISNUMBER(INDEX(PASTE_ALL,$DF139,$L$8)),INDEX(PASTE_ALL,$DF139,$L$8),TRIM(SUBSTITUTE(SUBSTITUTE(SUBSTITUTE(SUBSTITUTE(INDEX(PASTE_ALL,$DF139,$L$8)," "," "),CHAR(9)," "),CHAR(10)," "),CHAR(13)," "))),"")))</f>
        <v/>
      </c>
      <c r="DQ139">
        <f>IF($DM139=0,"",IF($L$9=0,"",IFERROR(IF(ISNUMBER(INDEX(PASTE_ALL,$DF139,$L$9)),INDEX(PASTE_ALL,$DF139,$L$9),TRIM(SUBSTITUTE(SUBSTITUTE(SUBSTITUTE(SUBSTITUTE(INDEX(PASTE_ALL,$DF139,$L$9)," "," "),CHAR(9)," "),CHAR(10)," "),CHAR(13)," "))),"")))</f>
        <v/>
      </c>
      <c r="DR139">
        <f>IF($DM139=0,"",IF($L$10=0,"",IFERROR(IF(ISNUMBER(INDEX(PASTE_ALL,$DF139,$L$10)),INDEX(PASTE_ALL,$DF139,$L$10),TRIM(SUBSTITUTE(SUBSTITUTE(SUBSTITUTE(SUBSTITUTE(INDEX(PASTE_ALL,$DF139,$L$10)," "," "),CHAR(9)," "),CHAR(10)," "),CHAR(13)," "))),"")))</f>
        <v/>
      </c>
      <c r="DS139">
        <f>IF($DM139=0,"",IF($L$11=0,"",IFERROR(IF(ISNUMBER(INDEX(PASTE_ALL,$DF139,$L$11)),INDEX(PASTE_ALL,$DF139,$L$11),TRIM(SUBSTITUTE(SUBSTITUTE(SUBSTITUTE(SUBSTITUTE(INDEX(PASTE_ALL,$DF139,$L$11)," "," "),CHAR(9)," "),CHAR(10)," "),CHAR(13)," "))),"")))</f>
        <v/>
      </c>
      <c r="DT139">
        <f>IF($DM139=0,"",IF($L$12=0,"",IFERROR(IF(ISNUMBER(INDEX(PASTE_ALL,$DF139,$L$12)),INDEX(PASTE_ALL,$DF139,$L$12),TRIM(SUBSTITUTE(SUBSTITUTE(SUBSTITUTE(SUBSTITUTE(INDEX(PASTE_ALL,$DF139,$L$12)," "," "),CHAR(9)," "),CHAR(10)," "),CHAR(13)," "))),"")))</f>
        <v/>
      </c>
      <c r="DU139">
        <f>IF($DM139=0,"",IF($L$13=0,"",IFERROR(IF(ISNUMBER(INDEX(PASTE_ALL,$DF139,$L$13)),INDEX(PASTE_ALL,$DF139,$L$13),TRIM(SUBSTITUTE(SUBSTITUTE(SUBSTITUTE(SUBSTITUTE(INDEX(PASTE_ALL,$DF139,$L$13)," "," "),CHAR(9)," "),CHAR(10)," "),CHAR(13)," "))),"")))</f>
        <v/>
      </c>
      <c r="DV139">
        <f>IF($DM139=0,"",IF($L$14=0,"",IFERROR(IF(ISNUMBER(INDEX(PASTE_ALL,$DF139,$L$14)),INDEX(PASTE_ALL,$DF139,$L$14),TRIM(SUBSTITUTE(SUBSTITUTE(SUBSTITUTE(SUBSTITUTE(INDEX(PASTE_ALL,$DF139,$L$14)," "," "),CHAR(9)," "),CHAR(10)," "),CHAR(13)," "))),"")))</f>
        <v/>
      </c>
      <c r="DW139">
        <f>IF($DM139=0,"",IF($L$15=0,"",IFERROR(IF(ISNUMBER(INDEX(PASTE_ALL,$DF139,$L$15)),INDEX(PASTE_ALL,$DF139,$L$15),IF(SUMPRODUCT(--ISNUMBER(FIND({"A","B","C","D","E","F","G","H","I","J","K","L","M","N","O","P","Q","R","S","T","U","V","W","X","Y","Z","0","1","2","3","4","5","6","7","8","9"},UPPER(TRIM(SUBSTITUTE(SUBSTITUTE(SUBSTITUTE(SUBSTITUTE(INDEX(PASTE_ALL,$DF139,$L$15)," "," "),CHAR(9)," "),CHAR(10)," "),CHAR(13)," "))))))&gt;0,TRIM(SUBSTITUTE(SUBSTITUTE(SUBSTITUTE(SUBSTITUTE(INDEX(PASTE_ALL,$DF139,$L$15)," "," "),CHAR(9)," "),CHAR(10)," "),CHAR(13)," ")),"")),"")))</f>
        <v/>
      </c>
      <c r="DX139">
        <f>IF($DM139=0,"",IF($L$16=0,"",IFERROR(IF(ISNUMBER(INDEX(PASTE_ALL,$DF139,$L$16)),INDEX(PASTE_ALL,$DF139,$L$16),SUBSTITUTE(SUBSTITUTE(TRIM(SUBSTITUTE(SUBSTITUTE(SUBSTITUTE(SUBSTITUTE(INDEX(PASTE_ALL,$DF139,$L$16)," "," "),CHAR(9)," "),CHAR(10)," "),CHAR(13)," ")),",",""),"%","")),"")))</f>
        <v/>
      </c>
      <c r="DY139">
        <f>IF($DM139=0,"",IFERROR(IF(ISNUMBER($DX139),$DX139,IF($DX139="","",IF(TRIM($DX139)="",0,IF(AND(AND(SUBSTITUTE(SUBSTITUTE(SUBSTITUTE(SUBSTITUTE(SUBSTITUTE(SUBSTITUTE(SUBSTITUTE(SUBSTITUTE(SUBSTITUTE(SUBSTITUTE(SUBSTITUTE(SUBSTITUTE(SUBSTITUTE(SUBSTITUTE(UPPER(TRIM($DX139)),"0",""),"1",""),"2",""),"3",""),"4",""),"5",""),"6",""),"7",""),"8",""),"9",""),".",""),"+",""),"-",""),"E","")="",LEN(SUBSTITUTE(SUBSTITUTE(MID(UPPER(TRIM($DX139)),1+OR(LEFT(UPPER(TRIM($DX139)),1)="+",LEFT(UPPER(TRIM($DX139)),1)="-"),999),"E+","E"),"E-","E"))=LEN(SUBSTITUTE(SUBSTITUTE(SUBSTITUTE(SUBSTITUTE(MID(UPPER(TRIM($DX139)),1+OR(LEFT(UPPER(TRIM($DX139)),1)="+",LEFT(UPPER(TRIM($DX139)),1)="-"),999),"E+","E"),"E-","E"),"+",""),"-","")),LEN(UPPER(TRIM($DX139)))-LEN(SUBSTITUTE(UPPER(TRIM($DX139)),"E",""))&lt;2,LEN(UPPER(TRIM($DX139)))-LEN(SUBSTITUTE(UPPER(TRIM($DX139)),".",""))&lt;2,IFERROR(FIND(".",UPPER(TRIM($DX139))),0)&lt;IFERROR(FIND("E",UPPER(TRIM($DX139))),999)),ISNUMBER(VALUE(TRIM($DX139)))),VALUE(TRIM($DX139)),"")))),""))</f>
        <v/>
      </c>
      <c r="DZ139">
        <f>IF($DM139=0,"",IF($L$17=0,"",IFERROR(IF(ISNUMBER(INDEX(PASTE_ALL,$DF139,$L$17)),INDEX(PASTE_ALL,$DF139,$L$17),SUBSTITUTE(SUBSTITUTE(TRIM(SUBSTITUTE(SUBSTITUTE(SUBSTITUTE(SUBSTITUTE(INDEX(PASTE_ALL,$DF139,$L$17)," "," "),CHAR(9)," "),CHAR(10)," "),CHAR(13)," ")),",",""),"%","")),"")))</f>
        <v/>
      </c>
      <c r="EA139">
        <f>IF($DM139=0,"",IFERROR(IF(ISNUMBER($DZ139),$DZ139,IF($DZ139="","",IF(TRIM($DZ139)="",0,IF(AND(AND(SUBSTITUTE(SUBSTITUTE(SUBSTITUTE(SUBSTITUTE(SUBSTITUTE(SUBSTITUTE(SUBSTITUTE(SUBSTITUTE(SUBSTITUTE(SUBSTITUTE(SUBSTITUTE(SUBSTITUTE(SUBSTITUTE(SUBSTITUTE(UPPER(TRIM($DZ139)),"0",""),"1",""),"2",""),"3",""),"4",""),"5",""),"6",""),"7",""),"8",""),"9",""),".",""),"+",""),"-",""),"E","")="",LEN(SUBSTITUTE(SUBSTITUTE(MID(UPPER(TRIM($DZ139)),1+OR(LEFT(UPPER(TRIM($DZ139)),1)="+",LEFT(UPPER(TRIM($DZ139)),1)="-"),999),"E+","E"),"E-","E"))=LEN(SUBSTITUTE(SUBSTITUTE(SUBSTITUTE(SUBSTITUTE(MID(UPPER(TRIM($DZ139)),1+OR(LEFT(UPPER(TRIM($DZ139)),1)="+",LEFT(UPPER(TRIM($DZ139)),1)="-"),999),"E+","E"),"E-","E"),"+",""),"-","")),LEN(UPPER(TRIM($DZ139)))-LEN(SUBSTITUTE(UPPER(TRIM($DZ139)),"E",""))&lt;2,LEN(UPPER(TRIM($DZ139)))-LEN(SUBSTITUTE(UPPER(TRIM($DZ139)),".",""))&lt;2,IFERROR(FIND(".",UPPER(TRIM($DZ139))),0)&lt;IFERROR(FIND("E",UPPER(TRIM($DZ139))),999)),ISNUMBER(VALUE(TRIM($DZ139)))),VALUE(TRIM($DZ139)),"")))),""))</f>
        <v/>
      </c>
      <c r="EB139">
        <f>IF($DM139=0,"",IF($L$18=0,"",IFERROR(IF(UPPER(TRIM(SUBSTITUTE(SUBSTITUTE(SUBSTITUTE(SUBSTITUTE(INDEX(PASTE_ALL,$DF139,$L$18)," "," "),CHAR(9)," "),CHAR(10)," "),CHAR(13)," ")))="READY","Ready",IF(UPPER(TRIM(SUBSTITUTE(SUBSTITUTE(SUBSTITUTE(SUBSTITUTE(INDEX(PASTE_ALL,$DF139,$L$18)," "," "),CHAR(9)," "),CHAR(10)," "),CHAR(13)," ")))="PM","PM",IF(OR(UPPER(TRIM(SUBSTITUTE(SUBSTITUTE(SUBSTITUTE(SUBSTITUTE(INDEX(PASTE_ALL,$DF139,$L$18)," "," "),CHAR(9)," "),CHAR(10)," "),CHAR(13)," ")))="OT",UPPER(TRIM(SUBSTITUTE(SUBSTITUTE(SUBSTITUTE(SUBSTITUTE(INDEX(PASTE_ALL,$DF139,$L$18)," "," "),CHAR(9)," "),CHAR(10)," "),CHAR(13)," ")))="OVERTIME",UPPER(TRIM(SUBSTITUTE(SUBSTITUTE(SUBSTITUTE(SUBSTITUTE(INDEX(PASTE_ALL,$DF139,$L$18)," "," "),CHAR(9)," "),CHAR(10)," "),CHAR(13)," ")))="TRIAL"),"OT",TRIM(SUBSTITUTE(SUBSTITUTE(SUBSTITUTE(SUBSTITUTE(INDEX(PASTE_ALL,$DF139,$L$18)," "," "),CHAR(9)," "),CHAR(10)," "),CHAR(13)," "))))),"")))</f>
        <v/>
      </c>
      <c r="EC139">
        <f>IF($DM139=0,"",IF($L$19=0,"",IFERROR(IF(ISNUMBER(INDEX(PASTE_ALL,$DF139,$L$19)),INDEX(PASTE_ALL,$DF139,$L$19),TRIM(SUBSTITUTE(SUBSTITUTE(SUBSTITUTE(SUBSTITUTE(INDEX(PASTE_ALL,$DF139,$L$19)," "," "),CHAR(9)," "),CHAR(10)," "),CHAR(13)," "))),"")))</f>
        <v/>
      </c>
      <c r="ED139">
        <f>IF($DM139=0,"",MATCH(1,INDEX(EXACT($DH$5:DH139,$DH139)*$DM$5:DM139,0),0))</f>
        <v/>
      </c>
      <c r="EE139">
        <f>IF($DM139=0,0,IF($ED139=$DE139,1,0))</f>
        <v/>
      </c>
      <c r="EF139">
        <f>EF138+$EE139</f>
        <v/>
      </c>
      <c r="EG139">
        <f>IF($DM139=0,"",INDEX($EF$5:$EF$1003,$ED139))</f>
        <v/>
      </c>
      <c r="EH139">
        <f>IF($DM139=0,"",IF($DO139&lt;&gt;"","",IFERROR(LOOKUP(2,1/(($EG$4:EG138=$EG139)*($DO$4:DO138&lt;&gt;"")),$DO$4:DO138),"")))</f>
        <v/>
      </c>
      <c r="EI139">
        <f>IF($DM139=0,"",IF($DO139&lt;&gt;"",$DO139,$EH139))</f>
        <v/>
      </c>
      <c r="EJ139">
        <f>IF($DM139=0,"",IF($EI139="",0,IF(OR(ISNUMBER($EI139),AND(AND(SUBSTITUTE(SUBSTITUTE(SUBSTITUTE(SUBSTITUTE(SUBSTITUTE(SUBSTITUTE(SUBSTITUTE(SUBSTITUTE(SUBSTITUTE(SUBSTITUTE(SUBSTITUTE(SUBSTITUTE(SUBSTITUTE(SUBSTITUTE(UPPER($EI139),"0",""),"1",""),"2",""),"3",""),"4",""),"5",""),"6",""),"7",""),"8",""),"9",""),".",""),"+",""),"-",""),"E","")="",LEN(SUBSTITUTE(SUBSTITUTE(MID(UPPER($EI139),1+OR(LEFT(UPPER($EI139),1)="+",LEFT(UPPER($EI139),1)="-"),999),"E+","E"),"E-","E"))=LEN(SUBSTITUTE(SUBSTITUTE(SUBSTITUTE(SUBSTITUTE(MID(UPPER($EI139),1+OR(LEFT(UPPER($EI139),1)="+",LEFT(UPPER($EI139),1)="-"),999),"E+","E"),"E-","E"),"+",""),"-","")),LEN(UPPER($EI139))-LEN(SUBSTITUTE(UPPER($EI139),"E",""))&lt;2,LEN(UPPER($EI139))-LEN(SUBSTITUTE(UPPER($EI139),".",""))&lt;2,IFERROR(FIND(".",UPPER($EI139)),0)&lt;IFERROR(FIND("E",UPPER($EI139)),999)),ISNUMBER(VALUE($EI139)))),1,2)))</f>
        <v/>
      </c>
      <c r="EK139">
        <f>IF($DM139=0,"",IF($EJ139=1,IF(ISNUMBER($EI139),$EI139,VALUE($EI139)),IF($EJ139=2,$DE139,0)))</f>
        <v/>
      </c>
      <c r="EL139">
        <f>IF($DM139=0,"",COUNTIF($EG$5:$EG$1003,"&lt;"&amp;$EG139)+SUMPRODUCT(($EG$5:$EG$1003=$EG139)*(($EJ$5:$EJ$1003&lt;$EJ139)+($EJ$5:$EJ$1003=$EJ139)*(($EK$5:$EK$1003&lt;$EK139)+($EK$5:$EK$1003=$EK139)*($DE$5:$DE$1003&lt;$DE139))))+1)</f>
        <v/>
      </c>
      <c r="EM139">
        <f>IF($DM139=0,"",$EL139+$EG139-1)</f>
        <v/>
      </c>
      <c r="EN139">
        <f>IF($DM139=0,0,IFERROR(MATCH(1,INDEX(--(TRIM(SUBSTITUTE(SUBSTITUTE(SUBSTITUTE(SUBSTITUTE(LINES_NAME&amp;""," "," "),CHAR(9)," "),CHAR(10)," "),CHAR(13)," "))=$DH139),0),0),0))</f>
        <v/>
      </c>
      <c r="EO139">
        <f>IF($EN139=0,0,IF(OR(UPPER(TRIM(INDEX(LINES_SCHEDULED,$EN139)&amp;""))="YES",UPPER(TRIM(INDEX(LINES_SCHEDULED,$EN139)&amp;""))="Y",UPPER(TRIM(INDEX(LINES_SCHEDULED,$EN139)&amp;""))="X"),1,0))</f>
        <v/>
      </c>
      <c r="EP139">
        <f>IF($DM139=0,"",IF(COUNTIFS($EG$5:$EG$1003,$EG139,$EB$5:$EB$1003,"Ready")&gt;0,"READY",IF(COUNTIFS($EG$5:$EG$1003,$EG139,$EB$5:$EB$1003,"PM")&gt;0,"PM",IF(COUNTIFS($EG$5:$EG$1003,$EG139,$EB$5:$EB$1003,"OT")&gt;0,"OT",""))))</f>
        <v/>
      </c>
      <c r="EQ139">
        <f>IF($EN139=0,"",UPPER(TRIM(INDEX(LINES_STATUS,$EN139)&amp;"")))</f>
        <v/>
      </c>
      <c r="ER139">
        <f>IF($DM139=0,"",IF(OR($EQ139="READY",$EQ139="PM",$EQ139="OT"),$EQ139,$EP139))</f>
        <v/>
      </c>
      <c r="ES139">
        <f>IF($DM139=0,"",IF(AND($DV139&lt;&gt;"",UPPER($DV139)&lt;&gt;"N"),"allergen",IF(ISNUMBER(SEARCH("oil",$DQ139)),"oil",IF(OR(EXACT($DS139,"A662"),EXACT($DS139,"A624")),"bulk",""))))</f>
        <v/>
      </c>
      <c r="ET139">
        <f>IF($DM139=0,"",IF(OR($EA139="",$EA139=0),"",$EA139/100))</f>
        <v/>
      </c>
      <c r="EU139">
        <f>IF(OR($ET139="",$DY139=""),"",INT($DY139*(1-$ET139)+0.5))</f>
        <v/>
      </c>
      <c r="EW139" t="n">
        <v>135</v>
      </c>
      <c r="EX139">
        <f>IFERROR(MATCH($EW139,$EM$5:$EM$1003,0),0)</f>
        <v/>
      </c>
      <c r="EY139">
        <f>IF($EW139&gt;$B$12,"",IF($EX139&gt;0,"row","spacer"))</f>
        <v/>
      </c>
      <c r="EZ139">
        <f>IF(AND($EY139="row",$EY138&lt;&gt;"row"),1,0)</f>
        <v/>
      </c>
      <c r="FA139">
        <f>IF(AND($EY139="row",$EY140&lt;&gt;"row"),1,0)</f>
        <v/>
      </c>
      <c r="FB139">
        <f>IF($EZ139=1,IFERROR(IF(ISNUMBER(INDEX(PASTE_ALL,INDEX($DF$5:$DF$1003,$EX139),$B$37)),INDEX(PASTE_ALL,INDEX($DF$5:$DF$1003,$EX139),$B$37),INDEX($DH$5:$DH$1003,$EX139)),INDEX($DH$5:$DH$1003,$EX139)),"")</f>
        <v/>
      </c>
      <c r="FC139">
        <f>IF($EY139="row",INDEX($ER$5:$ER$1003,$EX139),"")</f>
        <v/>
      </c>
      <c r="FD139">
        <f>IF($EY139="row",INDEX($DN$5:$DN$1003,$EX139),"")</f>
        <v/>
      </c>
      <c r="FE139">
        <f>IF($EY139="row",INDEX($DO$5:$DO$1003,$EX139),"")</f>
        <v/>
      </c>
      <c r="FF139">
        <f>IF($EY139="row",INDEX($DP$5:$DP$1003,$EX139),"")</f>
        <v/>
      </c>
      <c r="FG139">
        <f>IF($EY139="row",INDEX($DQ$5:$DQ$1003,$EX139),"")</f>
        <v/>
      </c>
      <c r="FH139">
        <f>IF($EY139="row",INDEX($DR$5:$DR$1003,$EX139),"")</f>
        <v/>
      </c>
      <c r="FI139">
        <f>IF($EY139="row",INDEX($DS$5:$DS$1003,$EX139),"")</f>
        <v/>
      </c>
      <c r="FJ139">
        <f>IF($EY139="row",INDEX($DT$5:$DT$1003,$EX139),"")</f>
        <v/>
      </c>
      <c r="FK139">
        <f>IF($EY139="row",INDEX($DU$5:$DU$1003,$EX139),"")</f>
        <v/>
      </c>
      <c r="FL139">
        <f>IF($EY139="row",INDEX($DV$5:$DV$1003,$EX139),"")</f>
        <v/>
      </c>
      <c r="FM139">
        <f>IF($EY139="row",INDEX($DW$5:$DW$1003,$EX139),"")</f>
        <v/>
      </c>
      <c r="FN139">
        <f>IF($EY139="row",INDEX($DY$5:$DY$1003,$EX139),"")</f>
        <v/>
      </c>
      <c r="FO139">
        <f>IF($EY139="row",INDEX($EA$5:$EA$1003,$EX139),"")</f>
        <v/>
      </c>
      <c r="FP139">
        <f>IF($EY139="row",INDEX($EC$5:$EC$1003,$EX139),"")</f>
        <v/>
      </c>
      <c r="FQ139">
        <f>IF($EY139="row",INDEX($ET$5:$ET$1003,$EX139),"")</f>
        <v/>
      </c>
      <c r="FR139">
        <f>IF($EY139="row",INDEX($EU$5:$EU$1003,$EX139),"")</f>
        <v/>
      </c>
      <c r="FS139">
        <f>IF(AND($EY139="row",$EY138="row"),IF(OR(INDEX($DT$5:$DT$1003,$EX138)="",INDEX($DT$5:$DT$1003,$EX139)=""),"",IF(NOT(EXACT(INDEX($DT$5:$DT$1003,$EX138),INDEX($DT$5:$DT$1003,$EX139))),"S4",IF(NOT(EXACT(INDEX($DS$5:$DS$1003,$EX138),INDEX($DS$5:$DS$1003,$EX139))),"S3",IF(NOT(EXACT(INDEX($DR$5:$DR$1003,$EX138),INDEX($DR$5:$DR$1003,$EX139))),"S1 Count Change","S1")))),"")</f>
        <v/>
      </c>
      <c r="FT139">
        <f>IF($EY139="row",INDEX($ES$5:$ES$1003,$EX139),"")</f>
        <v/>
      </c>
      <c r="FU139">
        <f>IF($EY139="row",INDEX($EO$5:$EO$1003,$EX139),0)</f>
        <v/>
      </c>
      <c r="FV139">
        <f>IF($FS139="S1 Count Change",1,0)</f>
        <v/>
      </c>
    </row>
    <row r="140">
      <c r="X140" s="69" t="inlineStr">
        <is>
          <t>CONTAINS mask</t>
        </is>
      </c>
      <c r="Y140">
        <f>IF(Y5="",0,2*(OR(ISNUMBER(FIND("WORKCENTER",Y5)),AND(LEFT(Y5,4)="LINE",NOT(ISNUMBER(FIND("STATUS",Y5))))))+4*(OR(ISNUMBER(FIND("WORKORDER",Y5)),AND(LEFT(Y5,2)="WO",OR(ISNUMBER(FIND("NUM",Y5)),RIGHT(Y5,2)="NO"))))+8*(LEFT(Y5,3)="SEQ")+16*(AND(LEFT(Y5,4)="ITEM",NOT(ISNUMBER(FIND("DESC",Y5)))))+32*(AND(ISNUMBER(FIND("DESC",Y5)),NOT(ISNUMBER(FIND("CAP",Y5)))))+64*(OR(RIGHT(Y5,5)="COUNT",RIGHT(Y5,2)="CT"))+128*(ISNUMBER(FIND("BULK",Y5)))+256*(ISNUMBER(FIND("SIZE",Y5)))+512*(LEFT(Y5,3)="CAP")+1024*(ISNUMBER(FIND("ALLERG",Y5)))+2048*(OR(ISNUMBER(FIND("REMARK",Y5)),ISNUMBER(FIND("COMMENT",Y5))))+4096*(OR(ISNUMBER(FIND("QTY",Y5)),ISNUMBER(FIND("QUANTITY",Y5))))+8192*(AND(OR(ISNUMBER(FIND("COMPLETE",Y5)),ISNUMBER(FIND("PCT",Y5)),ISNUMBER(FIND("PERCENT",Y5))),NOT(ISNUMBER(FIND("ACTUAL",Y5))),LEN(Y5)&lt;=16))+32768*(OR(ISNUMBER(FIND("DESIC",Y5)),ISNUMBER(FIND("DESSIC",Y5)))))</f>
        <v/>
      </c>
      <c r="Z140">
        <f>IF(Z5="",0,2*(OR(ISNUMBER(FIND("WORKCENTER",Z5)),AND(LEFT(Z5,4)="LINE",NOT(ISNUMBER(FIND("STATUS",Z5))))))+4*(OR(ISNUMBER(FIND("WORKORDER",Z5)),AND(LEFT(Z5,2)="WO",OR(ISNUMBER(FIND("NUM",Z5)),RIGHT(Z5,2)="NO"))))+8*(LEFT(Z5,3)="SEQ")+16*(AND(LEFT(Z5,4)="ITEM",NOT(ISNUMBER(FIND("DESC",Z5)))))+32*(AND(ISNUMBER(FIND("DESC",Z5)),NOT(ISNUMBER(FIND("CAP",Z5)))))+64*(OR(RIGHT(Z5,5)="COUNT",RIGHT(Z5,2)="CT"))+128*(ISNUMBER(FIND("BULK",Z5)))+256*(ISNUMBER(FIND("SIZE",Z5)))+512*(LEFT(Z5,3)="CAP")+1024*(ISNUMBER(FIND("ALLERG",Z5)))+2048*(OR(ISNUMBER(FIND("REMARK",Z5)),ISNUMBER(FIND("COMMENT",Z5))))+4096*(OR(ISNUMBER(FIND("QTY",Z5)),ISNUMBER(FIND("QUANTITY",Z5))))+8192*(AND(OR(ISNUMBER(FIND("COMPLETE",Z5)),ISNUMBER(FIND("PCT",Z5)),ISNUMBER(FIND("PERCENT",Z5))),NOT(ISNUMBER(FIND("ACTUAL",Z5))),LEN(Z5)&lt;=16))+32768*(OR(ISNUMBER(FIND("DESIC",Z5)),ISNUMBER(FIND("DESSIC",Z5)))))</f>
        <v/>
      </c>
      <c r="AA140">
        <f>IF(AA5="",0,2*(OR(ISNUMBER(FIND("WORKCENTER",AA5)),AND(LEFT(AA5,4)="LINE",NOT(ISNUMBER(FIND("STATUS",AA5))))))+4*(OR(ISNUMBER(FIND("WORKORDER",AA5)),AND(LEFT(AA5,2)="WO",OR(ISNUMBER(FIND("NUM",AA5)),RIGHT(AA5,2)="NO"))))+8*(LEFT(AA5,3)="SEQ")+16*(AND(LEFT(AA5,4)="ITEM",NOT(ISNUMBER(FIND("DESC",AA5)))))+32*(AND(ISNUMBER(FIND("DESC",AA5)),NOT(ISNUMBER(FIND("CAP",AA5)))))+64*(OR(RIGHT(AA5,5)="COUNT",RIGHT(AA5,2)="CT"))+128*(ISNUMBER(FIND("BULK",AA5)))+256*(ISNUMBER(FIND("SIZE",AA5)))+512*(LEFT(AA5,3)="CAP")+1024*(ISNUMBER(FIND("ALLERG",AA5)))+2048*(OR(ISNUMBER(FIND("REMARK",AA5)),ISNUMBER(FIND("COMMENT",AA5))))+4096*(OR(ISNUMBER(FIND("QTY",AA5)),ISNUMBER(FIND("QUANTITY",AA5))))+8192*(AND(OR(ISNUMBER(FIND("COMPLETE",AA5)),ISNUMBER(FIND("PCT",AA5)),ISNUMBER(FIND("PERCENT",AA5))),NOT(ISNUMBER(FIND("ACTUAL",AA5))),LEN(AA5)&lt;=16))+32768*(OR(ISNUMBER(FIND("DESIC",AA5)),ISNUMBER(FIND("DESSIC",AA5)))))</f>
        <v/>
      </c>
      <c r="AB140">
        <f>IF(AB5="",0,2*(OR(ISNUMBER(FIND("WORKCENTER",AB5)),AND(LEFT(AB5,4)="LINE",NOT(ISNUMBER(FIND("STATUS",AB5))))))+4*(OR(ISNUMBER(FIND("WORKORDER",AB5)),AND(LEFT(AB5,2)="WO",OR(ISNUMBER(FIND("NUM",AB5)),RIGHT(AB5,2)="NO"))))+8*(LEFT(AB5,3)="SEQ")+16*(AND(LEFT(AB5,4)="ITEM",NOT(ISNUMBER(FIND("DESC",AB5)))))+32*(AND(ISNUMBER(FIND("DESC",AB5)),NOT(ISNUMBER(FIND("CAP",AB5)))))+64*(OR(RIGHT(AB5,5)="COUNT",RIGHT(AB5,2)="CT"))+128*(ISNUMBER(FIND("BULK",AB5)))+256*(ISNUMBER(FIND("SIZE",AB5)))+512*(LEFT(AB5,3)="CAP")+1024*(ISNUMBER(FIND("ALLERG",AB5)))+2048*(OR(ISNUMBER(FIND("REMARK",AB5)),ISNUMBER(FIND("COMMENT",AB5))))+4096*(OR(ISNUMBER(FIND("QTY",AB5)),ISNUMBER(FIND("QUANTITY",AB5))))+8192*(AND(OR(ISNUMBER(FIND("COMPLETE",AB5)),ISNUMBER(FIND("PCT",AB5)),ISNUMBER(FIND("PERCENT",AB5))),NOT(ISNUMBER(FIND("ACTUAL",AB5))),LEN(AB5)&lt;=16))+32768*(OR(ISNUMBER(FIND("DESIC",AB5)),ISNUMBER(FIND("DESSIC",AB5)))))</f>
        <v/>
      </c>
      <c r="AC140">
        <f>IF(AC5="",0,2*(OR(ISNUMBER(FIND("WORKCENTER",AC5)),AND(LEFT(AC5,4)="LINE",NOT(ISNUMBER(FIND("STATUS",AC5))))))+4*(OR(ISNUMBER(FIND("WORKORDER",AC5)),AND(LEFT(AC5,2)="WO",OR(ISNUMBER(FIND("NUM",AC5)),RIGHT(AC5,2)="NO"))))+8*(LEFT(AC5,3)="SEQ")+16*(AND(LEFT(AC5,4)="ITEM",NOT(ISNUMBER(FIND("DESC",AC5)))))+32*(AND(ISNUMBER(FIND("DESC",AC5)),NOT(ISNUMBER(FIND("CAP",AC5)))))+64*(OR(RIGHT(AC5,5)="COUNT",RIGHT(AC5,2)="CT"))+128*(ISNUMBER(FIND("BULK",AC5)))+256*(ISNUMBER(FIND("SIZE",AC5)))+512*(LEFT(AC5,3)="CAP")+1024*(ISNUMBER(FIND("ALLERG",AC5)))+2048*(OR(ISNUMBER(FIND("REMARK",AC5)),ISNUMBER(FIND("COMMENT",AC5))))+4096*(OR(ISNUMBER(FIND("QTY",AC5)),ISNUMBER(FIND("QUANTITY",AC5))))+8192*(AND(OR(ISNUMBER(FIND("COMPLETE",AC5)),ISNUMBER(FIND("PCT",AC5)),ISNUMBER(FIND("PERCENT",AC5))),NOT(ISNUMBER(FIND("ACTUAL",AC5))),LEN(AC5)&lt;=16))+32768*(OR(ISNUMBER(FIND("DESIC",AC5)),ISNUMBER(FIND("DESSIC",AC5)))))</f>
        <v/>
      </c>
      <c r="AD140">
        <f>IF(AD5="",0,2*(OR(ISNUMBER(FIND("WORKCENTER",AD5)),AND(LEFT(AD5,4)="LINE",NOT(ISNUMBER(FIND("STATUS",AD5))))))+4*(OR(ISNUMBER(FIND("WORKORDER",AD5)),AND(LEFT(AD5,2)="WO",OR(ISNUMBER(FIND("NUM",AD5)),RIGHT(AD5,2)="NO"))))+8*(LEFT(AD5,3)="SEQ")+16*(AND(LEFT(AD5,4)="ITEM",NOT(ISNUMBER(FIND("DESC",AD5)))))+32*(AND(ISNUMBER(FIND("DESC",AD5)),NOT(ISNUMBER(FIND("CAP",AD5)))))+64*(OR(RIGHT(AD5,5)="COUNT",RIGHT(AD5,2)="CT"))+128*(ISNUMBER(FIND("BULK",AD5)))+256*(ISNUMBER(FIND("SIZE",AD5)))+512*(LEFT(AD5,3)="CAP")+1024*(ISNUMBER(FIND("ALLERG",AD5)))+2048*(OR(ISNUMBER(FIND("REMARK",AD5)),ISNUMBER(FIND("COMMENT",AD5))))+4096*(OR(ISNUMBER(FIND("QTY",AD5)),ISNUMBER(FIND("QUANTITY",AD5))))+8192*(AND(OR(ISNUMBER(FIND("COMPLETE",AD5)),ISNUMBER(FIND("PCT",AD5)),ISNUMBER(FIND("PERCENT",AD5))),NOT(ISNUMBER(FIND("ACTUAL",AD5))),LEN(AD5)&lt;=16))+32768*(OR(ISNUMBER(FIND("DESIC",AD5)),ISNUMBER(FIND("DESSIC",AD5)))))</f>
        <v/>
      </c>
      <c r="AE140">
        <f>IF(AE5="",0,2*(OR(ISNUMBER(FIND("WORKCENTER",AE5)),AND(LEFT(AE5,4)="LINE",NOT(ISNUMBER(FIND("STATUS",AE5))))))+4*(OR(ISNUMBER(FIND("WORKORDER",AE5)),AND(LEFT(AE5,2)="WO",OR(ISNUMBER(FIND("NUM",AE5)),RIGHT(AE5,2)="NO"))))+8*(LEFT(AE5,3)="SEQ")+16*(AND(LEFT(AE5,4)="ITEM",NOT(ISNUMBER(FIND("DESC",AE5)))))+32*(AND(ISNUMBER(FIND("DESC",AE5)),NOT(ISNUMBER(FIND("CAP",AE5)))))+64*(OR(RIGHT(AE5,5)="COUNT",RIGHT(AE5,2)="CT"))+128*(ISNUMBER(FIND("BULK",AE5)))+256*(ISNUMBER(FIND("SIZE",AE5)))+512*(LEFT(AE5,3)="CAP")+1024*(ISNUMBER(FIND("ALLERG",AE5)))+2048*(OR(ISNUMBER(FIND("REMARK",AE5)),ISNUMBER(FIND("COMMENT",AE5))))+4096*(OR(ISNUMBER(FIND("QTY",AE5)),ISNUMBER(FIND("QUANTITY",AE5))))+8192*(AND(OR(ISNUMBER(FIND("COMPLETE",AE5)),ISNUMBER(FIND("PCT",AE5)),ISNUMBER(FIND("PERCENT",AE5))),NOT(ISNUMBER(FIND("ACTUAL",AE5))),LEN(AE5)&lt;=16))+32768*(OR(ISNUMBER(FIND("DESIC",AE5)),ISNUMBER(FIND("DESSIC",AE5)))))</f>
        <v/>
      </c>
      <c r="AF140">
        <f>IF(AF5="",0,2*(OR(ISNUMBER(FIND("WORKCENTER",AF5)),AND(LEFT(AF5,4)="LINE",NOT(ISNUMBER(FIND("STATUS",AF5))))))+4*(OR(ISNUMBER(FIND("WORKORDER",AF5)),AND(LEFT(AF5,2)="WO",OR(ISNUMBER(FIND("NUM",AF5)),RIGHT(AF5,2)="NO"))))+8*(LEFT(AF5,3)="SEQ")+16*(AND(LEFT(AF5,4)="ITEM",NOT(ISNUMBER(FIND("DESC",AF5)))))+32*(AND(ISNUMBER(FIND("DESC",AF5)),NOT(ISNUMBER(FIND("CAP",AF5)))))+64*(OR(RIGHT(AF5,5)="COUNT",RIGHT(AF5,2)="CT"))+128*(ISNUMBER(FIND("BULK",AF5)))+256*(ISNUMBER(FIND("SIZE",AF5)))+512*(LEFT(AF5,3)="CAP")+1024*(ISNUMBER(FIND("ALLERG",AF5)))+2048*(OR(ISNUMBER(FIND("REMARK",AF5)),ISNUMBER(FIND("COMMENT",AF5))))+4096*(OR(ISNUMBER(FIND("QTY",AF5)),ISNUMBER(FIND("QUANTITY",AF5))))+8192*(AND(OR(ISNUMBER(FIND("COMPLETE",AF5)),ISNUMBER(FIND("PCT",AF5)),ISNUMBER(FIND("PERCENT",AF5))),NOT(ISNUMBER(FIND("ACTUAL",AF5))),LEN(AF5)&lt;=16))+32768*(OR(ISNUMBER(FIND("DESIC",AF5)),ISNUMBER(FIND("DESSIC",AF5)))))</f>
        <v/>
      </c>
      <c r="AG140">
        <f>IF(AG5="",0,2*(OR(ISNUMBER(FIND("WORKCENTER",AG5)),AND(LEFT(AG5,4)="LINE",NOT(ISNUMBER(FIND("STATUS",AG5))))))+4*(OR(ISNUMBER(FIND("WORKORDER",AG5)),AND(LEFT(AG5,2)="WO",OR(ISNUMBER(FIND("NUM",AG5)),RIGHT(AG5,2)="NO"))))+8*(LEFT(AG5,3)="SEQ")+16*(AND(LEFT(AG5,4)="ITEM",NOT(ISNUMBER(FIND("DESC",AG5)))))+32*(AND(ISNUMBER(FIND("DESC",AG5)),NOT(ISNUMBER(FIND("CAP",AG5)))))+64*(OR(RIGHT(AG5,5)="COUNT",RIGHT(AG5,2)="CT"))+128*(ISNUMBER(FIND("BULK",AG5)))+256*(ISNUMBER(FIND("SIZE",AG5)))+512*(LEFT(AG5,3)="CAP")+1024*(ISNUMBER(FIND("ALLERG",AG5)))+2048*(OR(ISNUMBER(FIND("REMARK",AG5)),ISNUMBER(FIND("COMMENT",AG5))))+4096*(OR(ISNUMBER(FIND("QTY",AG5)),ISNUMBER(FIND("QUANTITY",AG5))))+8192*(AND(OR(ISNUMBER(FIND("COMPLETE",AG5)),ISNUMBER(FIND("PCT",AG5)),ISNUMBER(FIND("PERCENT",AG5))),NOT(ISNUMBER(FIND("ACTUAL",AG5))),LEN(AG5)&lt;=16))+32768*(OR(ISNUMBER(FIND("DESIC",AG5)),ISNUMBER(FIND("DESSIC",AG5)))))</f>
        <v/>
      </c>
      <c r="AH140">
        <f>IF(AH5="",0,2*(OR(ISNUMBER(FIND("WORKCENTER",AH5)),AND(LEFT(AH5,4)="LINE",NOT(ISNUMBER(FIND("STATUS",AH5))))))+4*(OR(ISNUMBER(FIND("WORKORDER",AH5)),AND(LEFT(AH5,2)="WO",OR(ISNUMBER(FIND("NUM",AH5)),RIGHT(AH5,2)="NO"))))+8*(LEFT(AH5,3)="SEQ")+16*(AND(LEFT(AH5,4)="ITEM",NOT(ISNUMBER(FIND("DESC",AH5)))))+32*(AND(ISNUMBER(FIND("DESC",AH5)),NOT(ISNUMBER(FIND("CAP",AH5)))))+64*(OR(RIGHT(AH5,5)="COUNT",RIGHT(AH5,2)="CT"))+128*(ISNUMBER(FIND("BULK",AH5)))+256*(ISNUMBER(FIND("SIZE",AH5)))+512*(LEFT(AH5,3)="CAP")+1024*(ISNUMBER(FIND("ALLERG",AH5)))+2048*(OR(ISNUMBER(FIND("REMARK",AH5)),ISNUMBER(FIND("COMMENT",AH5))))+4096*(OR(ISNUMBER(FIND("QTY",AH5)),ISNUMBER(FIND("QUANTITY",AH5))))+8192*(AND(OR(ISNUMBER(FIND("COMPLETE",AH5)),ISNUMBER(FIND("PCT",AH5)),ISNUMBER(FIND("PERCENT",AH5))),NOT(ISNUMBER(FIND("ACTUAL",AH5))),LEN(AH5)&lt;=16))+32768*(OR(ISNUMBER(FIND("DESIC",AH5)),ISNUMBER(FIND("DESSIC",AH5)))))</f>
        <v/>
      </c>
      <c r="AI140">
        <f>IF(AI5="",0,2*(OR(ISNUMBER(FIND("WORKCENTER",AI5)),AND(LEFT(AI5,4)="LINE",NOT(ISNUMBER(FIND("STATUS",AI5))))))+4*(OR(ISNUMBER(FIND("WORKORDER",AI5)),AND(LEFT(AI5,2)="WO",OR(ISNUMBER(FIND("NUM",AI5)),RIGHT(AI5,2)="NO"))))+8*(LEFT(AI5,3)="SEQ")+16*(AND(LEFT(AI5,4)="ITEM",NOT(ISNUMBER(FIND("DESC",AI5)))))+32*(AND(ISNUMBER(FIND("DESC",AI5)),NOT(ISNUMBER(FIND("CAP",AI5)))))+64*(OR(RIGHT(AI5,5)="COUNT",RIGHT(AI5,2)="CT"))+128*(ISNUMBER(FIND("BULK",AI5)))+256*(ISNUMBER(FIND("SIZE",AI5)))+512*(LEFT(AI5,3)="CAP")+1024*(ISNUMBER(FIND("ALLERG",AI5)))+2048*(OR(ISNUMBER(FIND("REMARK",AI5)),ISNUMBER(FIND("COMMENT",AI5))))+4096*(OR(ISNUMBER(FIND("QTY",AI5)),ISNUMBER(FIND("QUANTITY",AI5))))+8192*(AND(OR(ISNUMBER(FIND("COMPLETE",AI5)),ISNUMBER(FIND("PCT",AI5)),ISNUMBER(FIND("PERCENT",AI5))),NOT(ISNUMBER(FIND("ACTUAL",AI5))),LEN(AI5)&lt;=16))+32768*(OR(ISNUMBER(FIND("DESIC",AI5)),ISNUMBER(FIND("DESSIC",AI5)))))</f>
        <v/>
      </c>
      <c r="AJ140">
        <f>IF(AJ5="",0,2*(OR(ISNUMBER(FIND("WORKCENTER",AJ5)),AND(LEFT(AJ5,4)="LINE",NOT(ISNUMBER(FIND("STATUS",AJ5))))))+4*(OR(ISNUMBER(FIND("WORKORDER",AJ5)),AND(LEFT(AJ5,2)="WO",OR(ISNUMBER(FIND("NUM",AJ5)),RIGHT(AJ5,2)="NO"))))+8*(LEFT(AJ5,3)="SEQ")+16*(AND(LEFT(AJ5,4)="ITEM",NOT(ISNUMBER(FIND("DESC",AJ5)))))+32*(AND(ISNUMBER(FIND("DESC",AJ5)),NOT(ISNUMBER(FIND("CAP",AJ5)))))+64*(OR(RIGHT(AJ5,5)="COUNT",RIGHT(AJ5,2)="CT"))+128*(ISNUMBER(FIND("BULK",AJ5)))+256*(ISNUMBER(FIND("SIZE",AJ5)))+512*(LEFT(AJ5,3)="CAP")+1024*(ISNUMBER(FIND("ALLERG",AJ5)))+2048*(OR(ISNUMBER(FIND("REMARK",AJ5)),ISNUMBER(FIND("COMMENT",AJ5))))+4096*(OR(ISNUMBER(FIND("QTY",AJ5)),ISNUMBER(FIND("QUANTITY",AJ5))))+8192*(AND(OR(ISNUMBER(FIND("COMPLETE",AJ5)),ISNUMBER(FIND("PCT",AJ5)),ISNUMBER(FIND("PERCENT",AJ5))),NOT(ISNUMBER(FIND("ACTUAL",AJ5))),LEN(AJ5)&lt;=16))+32768*(OR(ISNUMBER(FIND("DESIC",AJ5)),ISNUMBER(FIND("DESSIC",AJ5)))))</f>
        <v/>
      </c>
      <c r="AK140">
        <f>IF(AK5="",0,2*(OR(ISNUMBER(FIND("WORKCENTER",AK5)),AND(LEFT(AK5,4)="LINE",NOT(ISNUMBER(FIND("STATUS",AK5))))))+4*(OR(ISNUMBER(FIND("WORKORDER",AK5)),AND(LEFT(AK5,2)="WO",OR(ISNUMBER(FIND("NUM",AK5)),RIGHT(AK5,2)="NO"))))+8*(LEFT(AK5,3)="SEQ")+16*(AND(LEFT(AK5,4)="ITEM",NOT(ISNUMBER(FIND("DESC",AK5)))))+32*(AND(ISNUMBER(FIND("DESC",AK5)),NOT(ISNUMBER(FIND("CAP",AK5)))))+64*(OR(RIGHT(AK5,5)="COUNT",RIGHT(AK5,2)="CT"))+128*(ISNUMBER(FIND("BULK",AK5)))+256*(ISNUMBER(FIND("SIZE",AK5)))+512*(LEFT(AK5,3)="CAP")+1024*(ISNUMBER(FIND("ALLERG",AK5)))+2048*(OR(ISNUMBER(FIND("REMARK",AK5)),ISNUMBER(FIND("COMMENT",AK5))))+4096*(OR(ISNUMBER(FIND("QTY",AK5)),ISNUMBER(FIND("QUANTITY",AK5))))+8192*(AND(OR(ISNUMBER(FIND("COMPLETE",AK5)),ISNUMBER(FIND("PCT",AK5)),ISNUMBER(FIND("PERCENT",AK5))),NOT(ISNUMBER(FIND("ACTUAL",AK5))),LEN(AK5)&lt;=16))+32768*(OR(ISNUMBER(FIND("DESIC",AK5)),ISNUMBER(FIND("DESSIC",AK5)))))</f>
        <v/>
      </c>
      <c r="AL140">
        <f>IF(AL5="",0,2*(OR(ISNUMBER(FIND("WORKCENTER",AL5)),AND(LEFT(AL5,4)="LINE",NOT(ISNUMBER(FIND("STATUS",AL5))))))+4*(OR(ISNUMBER(FIND("WORKORDER",AL5)),AND(LEFT(AL5,2)="WO",OR(ISNUMBER(FIND("NUM",AL5)),RIGHT(AL5,2)="NO"))))+8*(LEFT(AL5,3)="SEQ")+16*(AND(LEFT(AL5,4)="ITEM",NOT(ISNUMBER(FIND("DESC",AL5)))))+32*(AND(ISNUMBER(FIND("DESC",AL5)),NOT(ISNUMBER(FIND("CAP",AL5)))))+64*(OR(RIGHT(AL5,5)="COUNT",RIGHT(AL5,2)="CT"))+128*(ISNUMBER(FIND("BULK",AL5)))+256*(ISNUMBER(FIND("SIZE",AL5)))+512*(LEFT(AL5,3)="CAP")+1024*(ISNUMBER(FIND("ALLERG",AL5)))+2048*(OR(ISNUMBER(FIND("REMARK",AL5)),ISNUMBER(FIND("COMMENT",AL5))))+4096*(OR(ISNUMBER(FIND("QTY",AL5)),ISNUMBER(FIND("QUANTITY",AL5))))+8192*(AND(OR(ISNUMBER(FIND("COMPLETE",AL5)),ISNUMBER(FIND("PCT",AL5)),ISNUMBER(FIND("PERCENT",AL5))),NOT(ISNUMBER(FIND("ACTUAL",AL5))),LEN(AL5)&lt;=16))+32768*(OR(ISNUMBER(FIND("DESIC",AL5)),ISNUMBER(FIND("DESSIC",AL5)))))</f>
        <v/>
      </c>
      <c r="AM140">
        <f>IF(AM5="",0,2*(OR(ISNUMBER(FIND("WORKCENTER",AM5)),AND(LEFT(AM5,4)="LINE",NOT(ISNUMBER(FIND("STATUS",AM5))))))+4*(OR(ISNUMBER(FIND("WORKORDER",AM5)),AND(LEFT(AM5,2)="WO",OR(ISNUMBER(FIND("NUM",AM5)),RIGHT(AM5,2)="NO"))))+8*(LEFT(AM5,3)="SEQ")+16*(AND(LEFT(AM5,4)="ITEM",NOT(ISNUMBER(FIND("DESC",AM5)))))+32*(AND(ISNUMBER(FIND("DESC",AM5)),NOT(ISNUMBER(FIND("CAP",AM5)))))+64*(OR(RIGHT(AM5,5)="COUNT",RIGHT(AM5,2)="CT"))+128*(ISNUMBER(FIND("BULK",AM5)))+256*(ISNUMBER(FIND("SIZE",AM5)))+512*(LEFT(AM5,3)="CAP")+1024*(ISNUMBER(FIND("ALLERG",AM5)))+2048*(OR(ISNUMBER(FIND("REMARK",AM5)),ISNUMBER(FIND("COMMENT",AM5))))+4096*(OR(ISNUMBER(FIND("QTY",AM5)),ISNUMBER(FIND("QUANTITY",AM5))))+8192*(AND(OR(ISNUMBER(FIND("COMPLETE",AM5)),ISNUMBER(FIND("PCT",AM5)),ISNUMBER(FIND("PERCENT",AM5))),NOT(ISNUMBER(FIND("ACTUAL",AM5))),LEN(AM5)&lt;=16))+32768*(OR(ISNUMBER(FIND("DESIC",AM5)),ISNUMBER(FIND("DESSIC",AM5)))))</f>
        <v/>
      </c>
      <c r="AN140">
        <f>IF(AN5="",0,2*(OR(ISNUMBER(FIND("WORKCENTER",AN5)),AND(LEFT(AN5,4)="LINE",NOT(ISNUMBER(FIND("STATUS",AN5))))))+4*(OR(ISNUMBER(FIND("WORKORDER",AN5)),AND(LEFT(AN5,2)="WO",OR(ISNUMBER(FIND("NUM",AN5)),RIGHT(AN5,2)="NO"))))+8*(LEFT(AN5,3)="SEQ")+16*(AND(LEFT(AN5,4)="ITEM",NOT(ISNUMBER(FIND("DESC",AN5)))))+32*(AND(ISNUMBER(FIND("DESC",AN5)),NOT(ISNUMBER(FIND("CAP",AN5)))))+64*(OR(RIGHT(AN5,5)="COUNT",RIGHT(AN5,2)="CT"))+128*(ISNUMBER(FIND("BULK",AN5)))+256*(ISNUMBER(FIND("SIZE",AN5)))+512*(LEFT(AN5,3)="CAP")+1024*(ISNUMBER(FIND("ALLERG",AN5)))+2048*(OR(ISNUMBER(FIND("REMARK",AN5)),ISNUMBER(FIND("COMMENT",AN5))))+4096*(OR(ISNUMBER(FIND("QTY",AN5)),ISNUMBER(FIND("QUANTITY",AN5))))+8192*(AND(OR(ISNUMBER(FIND("COMPLETE",AN5)),ISNUMBER(FIND("PCT",AN5)),ISNUMBER(FIND("PERCENT",AN5))),NOT(ISNUMBER(FIND("ACTUAL",AN5))),LEN(AN5)&lt;=16))+32768*(OR(ISNUMBER(FIND("DESIC",AN5)),ISNUMBER(FIND("DESSIC",AN5)))))</f>
        <v/>
      </c>
      <c r="AO140">
        <f>IF(AO5="",0,2*(OR(ISNUMBER(FIND("WORKCENTER",AO5)),AND(LEFT(AO5,4)="LINE",NOT(ISNUMBER(FIND("STATUS",AO5))))))+4*(OR(ISNUMBER(FIND("WORKORDER",AO5)),AND(LEFT(AO5,2)="WO",OR(ISNUMBER(FIND("NUM",AO5)),RIGHT(AO5,2)="NO"))))+8*(LEFT(AO5,3)="SEQ")+16*(AND(LEFT(AO5,4)="ITEM",NOT(ISNUMBER(FIND("DESC",AO5)))))+32*(AND(ISNUMBER(FIND("DESC",AO5)),NOT(ISNUMBER(FIND("CAP",AO5)))))+64*(OR(RIGHT(AO5,5)="COUNT",RIGHT(AO5,2)="CT"))+128*(ISNUMBER(FIND("BULK",AO5)))+256*(ISNUMBER(FIND("SIZE",AO5)))+512*(LEFT(AO5,3)="CAP")+1024*(ISNUMBER(FIND("ALLERG",AO5)))+2048*(OR(ISNUMBER(FIND("REMARK",AO5)),ISNUMBER(FIND("COMMENT",AO5))))+4096*(OR(ISNUMBER(FIND("QTY",AO5)),ISNUMBER(FIND("QUANTITY",AO5))))+8192*(AND(OR(ISNUMBER(FIND("COMPLETE",AO5)),ISNUMBER(FIND("PCT",AO5)),ISNUMBER(FIND("PERCENT",AO5))),NOT(ISNUMBER(FIND("ACTUAL",AO5))),LEN(AO5)&lt;=16))+32768*(OR(ISNUMBER(FIND("DESIC",AO5)),ISNUMBER(FIND("DESSIC",AO5)))))</f>
        <v/>
      </c>
      <c r="AP140">
        <f>IF(AP5="",0,2*(OR(ISNUMBER(FIND("WORKCENTER",AP5)),AND(LEFT(AP5,4)="LINE",NOT(ISNUMBER(FIND("STATUS",AP5))))))+4*(OR(ISNUMBER(FIND("WORKORDER",AP5)),AND(LEFT(AP5,2)="WO",OR(ISNUMBER(FIND("NUM",AP5)),RIGHT(AP5,2)="NO"))))+8*(LEFT(AP5,3)="SEQ")+16*(AND(LEFT(AP5,4)="ITEM",NOT(ISNUMBER(FIND("DESC",AP5)))))+32*(AND(ISNUMBER(FIND("DESC",AP5)),NOT(ISNUMBER(FIND("CAP",AP5)))))+64*(OR(RIGHT(AP5,5)="COUNT",RIGHT(AP5,2)="CT"))+128*(ISNUMBER(FIND("BULK",AP5)))+256*(ISNUMBER(FIND("SIZE",AP5)))+512*(LEFT(AP5,3)="CAP")+1024*(ISNUMBER(FIND("ALLERG",AP5)))+2048*(OR(ISNUMBER(FIND("REMARK",AP5)),ISNUMBER(FIND("COMMENT",AP5))))+4096*(OR(ISNUMBER(FIND("QTY",AP5)),ISNUMBER(FIND("QUANTITY",AP5))))+8192*(AND(OR(ISNUMBER(FIND("COMPLETE",AP5)),ISNUMBER(FIND("PCT",AP5)),ISNUMBER(FIND("PERCENT",AP5))),NOT(ISNUMBER(FIND("ACTUAL",AP5))),LEN(AP5)&lt;=16))+32768*(OR(ISNUMBER(FIND("DESIC",AP5)),ISNUMBER(FIND("DESSIC",AP5)))))</f>
        <v/>
      </c>
      <c r="AQ140">
        <f>IF(AQ5="",0,2*(OR(ISNUMBER(FIND("WORKCENTER",AQ5)),AND(LEFT(AQ5,4)="LINE",NOT(ISNUMBER(FIND("STATUS",AQ5))))))+4*(OR(ISNUMBER(FIND("WORKORDER",AQ5)),AND(LEFT(AQ5,2)="WO",OR(ISNUMBER(FIND("NUM",AQ5)),RIGHT(AQ5,2)="NO"))))+8*(LEFT(AQ5,3)="SEQ")+16*(AND(LEFT(AQ5,4)="ITEM",NOT(ISNUMBER(FIND("DESC",AQ5)))))+32*(AND(ISNUMBER(FIND("DESC",AQ5)),NOT(ISNUMBER(FIND("CAP",AQ5)))))+64*(OR(RIGHT(AQ5,5)="COUNT",RIGHT(AQ5,2)="CT"))+128*(ISNUMBER(FIND("BULK",AQ5)))+256*(ISNUMBER(FIND("SIZE",AQ5)))+512*(LEFT(AQ5,3)="CAP")+1024*(ISNUMBER(FIND("ALLERG",AQ5)))+2048*(OR(ISNUMBER(FIND("REMARK",AQ5)),ISNUMBER(FIND("COMMENT",AQ5))))+4096*(OR(ISNUMBER(FIND("QTY",AQ5)),ISNUMBER(FIND("QUANTITY",AQ5))))+8192*(AND(OR(ISNUMBER(FIND("COMPLETE",AQ5)),ISNUMBER(FIND("PCT",AQ5)),ISNUMBER(FIND("PERCENT",AQ5))),NOT(ISNUMBER(FIND("ACTUAL",AQ5))),LEN(AQ5)&lt;=16))+32768*(OR(ISNUMBER(FIND("DESIC",AQ5)),ISNUMBER(FIND("DESSIC",AQ5)))))</f>
        <v/>
      </c>
      <c r="AR140">
        <f>IF(AR5="",0,2*(OR(ISNUMBER(FIND("WORKCENTER",AR5)),AND(LEFT(AR5,4)="LINE",NOT(ISNUMBER(FIND("STATUS",AR5))))))+4*(OR(ISNUMBER(FIND("WORKORDER",AR5)),AND(LEFT(AR5,2)="WO",OR(ISNUMBER(FIND("NUM",AR5)),RIGHT(AR5,2)="NO"))))+8*(LEFT(AR5,3)="SEQ")+16*(AND(LEFT(AR5,4)="ITEM",NOT(ISNUMBER(FIND("DESC",AR5)))))+32*(AND(ISNUMBER(FIND("DESC",AR5)),NOT(ISNUMBER(FIND("CAP",AR5)))))+64*(OR(RIGHT(AR5,5)="COUNT",RIGHT(AR5,2)="CT"))+128*(ISNUMBER(FIND("BULK",AR5)))+256*(ISNUMBER(FIND("SIZE",AR5)))+512*(LEFT(AR5,3)="CAP")+1024*(ISNUMBER(FIND("ALLERG",AR5)))+2048*(OR(ISNUMBER(FIND("REMARK",AR5)),ISNUMBER(FIND("COMMENT",AR5))))+4096*(OR(ISNUMBER(FIND("QTY",AR5)),ISNUMBER(FIND("QUANTITY",AR5))))+8192*(AND(OR(ISNUMBER(FIND("COMPLETE",AR5)),ISNUMBER(FIND("PCT",AR5)),ISNUMBER(FIND("PERCENT",AR5))),NOT(ISNUMBER(FIND("ACTUAL",AR5))),LEN(AR5)&lt;=16))+32768*(OR(ISNUMBER(FIND("DESIC",AR5)),ISNUMBER(FIND("DESSIC",AR5)))))</f>
        <v/>
      </c>
      <c r="AS140">
        <f>IF(AS5="",0,2*(OR(ISNUMBER(FIND("WORKCENTER",AS5)),AND(LEFT(AS5,4)="LINE",NOT(ISNUMBER(FIND("STATUS",AS5))))))+4*(OR(ISNUMBER(FIND("WORKORDER",AS5)),AND(LEFT(AS5,2)="WO",OR(ISNUMBER(FIND("NUM",AS5)),RIGHT(AS5,2)="NO"))))+8*(LEFT(AS5,3)="SEQ")+16*(AND(LEFT(AS5,4)="ITEM",NOT(ISNUMBER(FIND("DESC",AS5)))))+32*(AND(ISNUMBER(FIND("DESC",AS5)),NOT(ISNUMBER(FIND("CAP",AS5)))))+64*(OR(RIGHT(AS5,5)="COUNT",RIGHT(AS5,2)="CT"))+128*(ISNUMBER(FIND("BULK",AS5)))+256*(ISNUMBER(FIND("SIZE",AS5)))+512*(LEFT(AS5,3)="CAP")+1024*(ISNUMBER(FIND("ALLERG",AS5)))+2048*(OR(ISNUMBER(FIND("REMARK",AS5)),ISNUMBER(FIND("COMMENT",AS5))))+4096*(OR(ISNUMBER(FIND("QTY",AS5)),ISNUMBER(FIND("QUANTITY",AS5))))+8192*(AND(OR(ISNUMBER(FIND("COMPLETE",AS5)),ISNUMBER(FIND("PCT",AS5)),ISNUMBER(FIND("PERCENT",AS5))),NOT(ISNUMBER(FIND("ACTUAL",AS5))),LEN(AS5)&lt;=16))+32768*(OR(ISNUMBER(FIND("DESIC",AS5)),ISNUMBER(FIND("DESSIC",AS5)))))</f>
        <v/>
      </c>
      <c r="AT140">
        <f>IF(AT5="",0,2*(OR(ISNUMBER(FIND("WORKCENTER",AT5)),AND(LEFT(AT5,4)="LINE",NOT(ISNUMBER(FIND("STATUS",AT5))))))+4*(OR(ISNUMBER(FIND("WORKORDER",AT5)),AND(LEFT(AT5,2)="WO",OR(ISNUMBER(FIND("NUM",AT5)),RIGHT(AT5,2)="NO"))))+8*(LEFT(AT5,3)="SEQ")+16*(AND(LEFT(AT5,4)="ITEM",NOT(ISNUMBER(FIND("DESC",AT5)))))+32*(AND(ISNUMBER(FIND("DESC",AT5)),NOT(ISNUMBER(FIND("CAP",AT5)))))+64*(OR(RIGHT(AT5,5)="COUNT",RIGHT(AT5,2)="CT"))+128*(ISNUMBER(FIND("BULK",AT5)))+256*(ISNUMBER(FIND("SIZE",AT5)))+512*(LEFT(AT5,3)="CAP")+1024*(ISNUMBER(FIND("ALLERG",AT5)))+2048*(OR(ISNUMBER(FIND("REMARK",AT5)),ISNUMBER(FIND("COMMENT",AT5))))+4096*(OR(ISNUMBER(FIND("QTY",AT5)),ISNUMBER(FIND("QUANTITY",AT5))))+8192*(AND(OR(ISNUMBER(FIND("COMPLETE",AT5)),ISNUMBER(FIND("PCT",AT5)),ISNUMBER(FIND("PERCENT",AT5))),NOT(ISNUMBER(FIND("ACTUAL",AT5))),LEN(AT5)&lt;=16))+32768*(OR(ISNUMBER(FIND("DESIC",AT5)),ISNUMBER(FIND("DESSIC",AT5)))))</f>
        <v/>
      </c>
      <c r="AU140">
        <f>IF(AU5="",0,2*(OR(ISNUMBER(FIND("WORKCENTER",AU5)),AND(LEFT(AU5,4)="LINE",NOT(ISNUMBER(FIND("STATUS",AU5))))))+4*(OR(ISNUMBER(FIND("WORKORDER",AU5)),AND(LEFT(AU5,2)="WO",OR(ISNUMBER(FIND("NUM",AU5)),RIGHT(AU5,2)="NO"))))+8*(LEFT(AU5,3)="SEQ")+16*(AND(LEFT(AU5,4)="ITEM",NOT(ISNUMBER(FIND("DESC",AU5)))))+32*(AND(ISNUMBER(FIND("DESC",AU5)),NOT(ISNUMBER(FIND("CAP",AU5)))))+64*(OR(RIGHT(AU5,5)="COUNT",RIGHT(AU5,2)="CT"))+128*(ISNUMBER(FIND("BULK",AU5)))+256*(ISNUMBER(FIND("SIZE",AU5)))+512*(LEFT(AU5,3)="CAP")+1024*(ISNUMBER(FIND("ALLERG",AU5)))+2048*(OR(ISNUMBER(FIND("REMARK",AU5)),ISNUMBER(FIND("COMMENT",AU5))))+4096*(OR(ISNUMBER(FIND("QTY",AU5)),ISNUMBER(FIND("QUANTITY",AU5))))+8192*(AND(OR(ISNUMBER(FIND("COMPLETE",AU5)),ISNUMBER(FIND("PCT",AU5)),ISNUMBER(FIND("PERCENT",AU5))),NOT(ISNUMBER(FIND("ACTUAL",AU5))),LEN(AU5)&lt;=16))+32768*(OR(ISNUMBER(FIND("DESIC",AU5)),ISNUMBER(FIND("DESSIC",AU5)))))</f>
        <v/>
      </c>
      <c r="AV140">
        <f>IF(AV5="",0,2*(OR(ISNUMBER(FIND("WORKCENTER",AV5)),AND(LEFT(AV5,4)="LINE",NOT(ISNUMBER(FIND("STATUS",AV5))))))+4*(OR(ISNUMBER(FIND("WORKORDER",AV5)),AND(LEFT(AV5,2)="WO",OR(ISNUMBER(FIND("NUM",AV5)),RIGHT(AV5,2)="NO"))))+8*(LEFT(AV5,3)="SEQ")+16*(AND(LEFT(AV5,4)="ITEM",NOT(ISNUMBER(FIND("DESC",AV5)))))+32*(AND(ISNUMBER(FIND("DESC",AV5)),NOT(ISNUMBER(FIND("CAP",AV5)))))+64*(OR(RIGHT(AV5,5)="COUNT",RIGHT(AV5,2)="CT"))+128*(ISNUMBER(FIND("BULK",AV5)))+256*(ISNUMBER(FIND("SIZE",AV5)))+512*(LEFT(AV5,3)="CAP")+1024*(ISNUMBER(FIND("ALLERG",AV5)))+2048*(OR(ISNUMBER(FIND("REMARK",AV5)),ISNUMBER(FIND("COMMENT",AV5))))+4096*(OR(ISNUMBER(FIND("QTY",AV5)),ISNUMBER(FIND("QUANTITY",AV5))))+8192*(AND(OR(ISNUMBER(FIND("COMPLETE",AV5)),ISNUMBER(FIND("PCT",AV5)),ISNUMBER(FIND("PERCENT",AV5))),NOT(ISNUMBER(FIND("ACTUAL",AV5))),LEN(AV5)&lt;=16))+32768*(OR(ISNUMBER(FIND("DESIC",AV5)),ISNUMBER(FIND("DESSIC",AV5)))))</f>
        <v/>
      </c>
      <c r="AW140">
        <f>IF(AW5="",0,2*(OR(ISNUMBER(FIND("WORKCENTER",AW5)),AND(LEFT(AW5,4)="LINE",NOT(ISNUMBER(FIND("STATUS",AW5))))))+4*(OR(ISNUMBER(FIND("WORKORDER",AW5)),AND(LEFT(AW5,2)="WO",OR(ISNUMBER(FIND("NUM",AW5)),RIGHT(AW5,2)="NO"))))+8*(LEFT(AW5,3)="SEQ")+16*(AND(LEFT(AW5,4)="ITEM",NOT(ISNUMBER(FIND("DESC",AW5)))))+32*(AND(ISNUMBER(FIND("DESC",AW5)),NOT(ISNUMBER(FIND("CAP",AW5)))))+64*(OR(RIGHT(AW5,5)="COUNT",RIGHT(AW5,2)="CT"))+128*(ISNUMBER(FIND("BULK",AW5)))+256*(ISNUMBER(FIND("SIZE",AW5)))+512*(LEFT(AW5,3)="CAP")+1024*(ISNUMBER(FIND("ALLERG",AW5)))+2048*(OR(ISNUMBER(FIND("REMARK",AW5)),ISNUMBER(FIND("COMMENT",AW5))))+4096*(OR(ISNUMBER(FIND("QTY",AW5)),ISNUMBER(FIND("QUANTITY",AW5))))+8192*(AND(OR(ISNUMBER(FIND("COMPLETE",AW5)),ISNUMBER(FIND("PCT",AW5)),ISNUMBER(FIND("PERCENT",AW5))),NOT(ISNUMBER(FIND("ACTUAL",AW5))),LEN(AW5)&lt;=16))+32768*(OR(ISNUMBER(FIND("DESIC",AW5)),ISNUMBER(FIND("DESSIC",AW5)))))</f>
        <v/>
      </c>
      <c r="AX140">
        <f>IF(AX5="",0,2*(OR(ISNUMBER(FIND("WORKCENTER",AX5)),AND(LEFT(AX5,4)="LINE",NOT(ISNUMBER(FIND("STATUS",AX5))))))+4*(OR(ISNUMBER(FIND("WORKORDER",AX5)),AND(LEFT(AX5,2)="WO",OR(ISNUMBER(FIND("NUM",AX5)),RIGHT(AX5,2)="NO"))))+8*(LEFT(AX5,3)="SEQ")+16*(AND(LEFT(AX5,4)="ITEM",NOT(ISNUMBER(FIND("DESC",AX5)))))+32*(AND(ISNUMBER(FIND("DESC",AX5)),NOT(ISNUMBER(FIND("CAP",AX5)))))+64*(OR(RIGHT(AX5,5)="COUNT",RIGHT(AX5,2)="CT"))+128*(ISNUMBER(FIND("BULK",AX5)))+256*(ISNUMBER(FIND("SIZE",AX5)))+512*(LEFT(AX5,3)="CAP")+1024*(ISNUMBER(FIND("ALLERG",AX5)))+2048*(OR(ISNUMBER(FIND("REMARK",AX5)),ISNUMBER(FIND("COMMENT",AX5))))+4096*(OR(ISNUMBER(FIND("QTY",AX5)),ISNUMBER(FIND("QUANTITY",AX5))))+8192*(AND(OR(ISNUMBER(FIND("COMPLETE",AX5)),ISNUMBER(FIND("PCT",AX5)),ISNUMBER(FIND("PERCENT",AX5))),NOT(ISNUMBER(FIND("ACTUAL",AX5))),LEN(AX5)&lt;=16))+32768*(OR(ISNUMBER(FIND("DESIC",AX5)),ISNUMBER(FIND("DESSIC",AX5)))))</f>
        <v/>
      </c>
      <c r="AY140">
        <f>IF(AY5="",0,2*(OR(ISNUMBER(FIND("WORKCENTER",AY5)),AND(LEFT(AY5,4)="LINE",NOT(ISNUMBER(FIND("STATUS",AY5))))))+4*(OR(ISNUMBER(FIND("WORKORDER",AY5)),AND(LEFT(AY5,2)="WO",OR(ISNUMBER(FIND("NUM",AY5)),RIGHT(AY5,2)="NO"))))+8*(LEFT(AY5,3)="SEQ")+16*(AND(LEFT(AY5,4)="ITEM",NOT(ISNUMBER(FIND("DESC",AY5)))))+32*(AND(ISNUMBER(FIND("DESC",AY5)),NOT(ISNUMBER(FIND("CAP",AY5)))))+64*(OR(RIGHT(AY5,5)="COUNT",RIGHT(AY5,2)="CT"))+128*(ISNUMBER(FIND("BULK",AY5)))+256*(ISNUMBER(FIND("SIZE",AY5)))+512*(LEFT(AY5,3)="CAP")+1024*(ISNUMBER(FIND("ALLERG",AY5)))+2048*(OR(ISNUMBER(FIND("REMARK",AY5)),ISNUMBER(FIND("COMMENT",AY5))))+4096*(OR(ISNUMBER(FIND("QTY",AY5)),ISNUMBER(FIND("QUANTITY",AY5))))+8192*(AND(OR(ISNUMBER(FIND("COMPLETE",AY5)),ISNUMBER(FIND("PCT",AY5)),ISNUMBER(FIND("PERCENT",AY5))),NOT(ISNUMBER(FIND("ACTUAL",AY5))),LEN(AY5)&lt;=16))+32768*(OR(ISNUMBER(FIND("DESIC",AY5)),ISNUMBER(FIND("DESSIC",AY5)))))</f>
        <v/>
      </c>
      <c r="AZ140">
        <f>IF(AZ5="",0,2*(OR(ISNUMBER(FIND("WORKCENTER",AZ5)),AND(LEFT(AZ5,4)="LINE",NOT(ISNUMBER(FIND("STATUS",AZ5))))))+4*(OR(ISNUMBER(FIND("WORKORDER",AZ5)),AND(LEFT(AZ5,2)="WO",OR(ISNUMBER(FIND("NUM",AZ5)),RIGHT(AZ5,2)="NO"))))+8*(LEFT(AZ5,3)="SEQ")+16*(AND(LEFT(AZ5,4)="ITEM",NOT(ISNUMBER(FIND("DESC",AZ5)))))+32*(AND(ISNUMBER(FIND("DESC",AZ5)),NOT(ISNUMBER(FIND("CAP",AZ5)))))+64*(OR(RIGHT(AZ5,5)="COUNT",RIGHT(AZ5,2)="CT"))+128*(ISNUMBER(FIND("BULK",AZ5)))+256*(ISNUMBER(FIND("SIZE",AZ5)))+512*(LEFT(AZ5,3)="CAP")+1024*(ISNUMBER(FIND("ALLERG",AZ5)))+2048*(OR(ISNUMBER(FIND("REMARK",AZ5)),ISNUMBER(FIND("COMMENT",AZ5))))+4096*(OR(ISNUMBER(FIND("QTY",AZ5)),ISNUMBER(FIND("QUANTITY",AZ5))))+8192*(AND(OR(ISNUMBER(FIND("COMPLETE",AZ5)),ISNUMBER(FIND("PCT",AZ5)),ISNUMBER(FIND("PERCENT",AZ5))),NOT(ISNUMBER(FIND("ACTUAL",AZ5))),LEN(AZ5)&lt;=16))+32768*(OR(ISNUMBER(FIND("DESIC",AZ5)),ISNUMBER(FIND("DESSIC",AZ5)))))</f>
        <v/>
      </c>
      <c r="BA140">
        <f>IF(BA5="",0,2*(OR(ISNUMBER(FIND("WORKCENTER",BA5)),AND(LEFT(BA5,4)="LINE",NOT(ISNUMBER(FIND("STATUS",BA5))))))+4*(OR(ISNUMBER(FIND("WORKORDER",BA5)),AND(LEFT(BA5,2)="WO",OR(ISNUMBER(FIND("NUM",BA5)),RIGHT(BA5,2)="NO"))))+8*(LEFT(BA5,3)="SEQ")+16*(AND(LEFT(BA5,4)="ITEM",NOT(ISNUMBER(FIND("DESC",BA5)))))+32*(AND(ISNUMBER(FIND("DESC",BA5)),NOT(ISNUMBER(FIND("CAP",BA5)))))+64*(OR(RIGHT(BA5,5)="COUNT",RIGHT(BA5,2)="CT"))+128*(ISNUMBER(FIND("BULK",BA5)))+256*(ISNUMBER(FIND("SIZE",BA5)))+512*(LEFT(BA5,3)="CAP")+1024*(ISNUMBER(FIND("ALLERG",BA5)))+2048*(OR(ISNUMBER(FIND("REMARK",BA5)),ISNUMBER(FIND("COMMENT",BA5))))+4096*(OR(ISNUMBER(FIND("QTY",BA5)),ISNUMBER(FIND("QUANTITY",BA5))))+8192*(AND(OR(ISNUMBER(FIND("COMPLETE",BA5)),ISNUMBER(FIND("PCT",BA5)),ISNUMBER(FIND("PERCENT",BA5))),NOT(ISNUMBER(FIND("ACTUAL",BA5))),LEN(BA5)&lt;=16))+32768*(OR(ISNUMBER(FIND("DESIC",BA5)),ISNUMBER(FIND("DESSIC",BA5)))))</f>
        <v/>
      </c>
      <c r="BB140">
        <f>IF(BB5="",0,2*(OR(ISNUMBER(FIND("WORKCENTER",BB5)),AND(LEFT(BB5,4)="LINE",NOT(ISNUMBER(FIND("STATUS",BB5))))))+4*(OR(ISNUMBER(FIND("WORKORDER",BB5)),AND(LEFT(BB5,2)="WO",OR(ISNUMBER(FIND("NUM",BB5)),RIGHT(BB5,2)="NO"))))+8*(LEFT(BB5,3)="SEQ")+16*(AND(LEFT(BB5,4)="ITEM",NOT(ISNUMBER(FIND("DESC",BB5)))))+32*(AND(ISNUMBER(FIND("DESC",BB5)),NOT(ISNUMBER(FIND("CAP",BB5)))))+64*(OR(RIGHT(BB5,5)="COUNT",RIGHT(BB5,2)="CT"))+128*(ISNUMBER(FIND("BULK",BB5)))+256*(ISNUMBER(FIND("SIZE",BB5)))+512*(LEFT(BB5,3)="CAP")+1024*(ISNUMBER(FIND("ALLERG",BB5)))+2048*(OR(ISNUMBER(FIND("REMARK",BB5)),ISNUMBER(FIND("COMMENT",BB5))))+4096*(OR(ISNUMBER(FIND("QTY",BB5)),ISNUMBER(FIND("QUANTITY",BB5))))+8192*(AND(OR(ISNUMBER(FIND("COMPLETE",BB5)),ISNUMBER(FIND("PCT",BB5)),ISNUMBER(FIND("PERCENT",BB5))),NOT(ISNUMBER(FIND("ACTUAL",BB5))),LEN(BB5)&lt;=16))+32768*(OR(ISNUMBER(FIND("DESIC",BB5)),ISNUMBER(FIND("DESSIC",BB5)))))</f>
        <v/>
      </c>
      <c r="BC140">
        <f>IF(BC5="",0,2*(OR(ISNUMBER(FIND("WORKCENTER",BC5)),AND(LEFT(BC5,4)="LINE",NOT(ISNUMBER(FIND("STATUS",BC5))))))+4*(OR(ISNUMBER(FIND("WORKORDER",BC5)),AND(LEFT(BC5,2)="WO",OR(ISNUMBER(FIND("NUM",BC5)),RIGHT(BC5,2)="NO"))))+8*(LEFT(BC5,3)="SEQ")+16*(AND(LEFT(BC5,4)="ITEM",NOT(ISNUMBER(FIND("DESC",BC5)))))+32*(AND(ISNUMBER(FIND("DESC",BC5)),NOT(ISNUMBER(FIND("CAP",BC5)))))+64*(OR(RIGHT(BC5,5)="COUNT",RIGHT(BC5,2)="CT"))+128*(ISNUMBER(FIND("BULK",BC5)))+256*(ISNUMBER(FIND("SIZE",BC5)))+512*(LEFT(BC5,3)="CAP")+1024*(ISNUMBER(FIND("ALLERG",BC5)))+2048*(OR(ISNUMBER(FIND("REMARK",BC5)),ISNUMBER(FIND("COMMENT",BC5))))+4096*(OR(ISNUMBER(FIND("QTY",BC5)),ISNUMBER(FIND("QUANTITY",BC5))))+8192*(AND(OR(ISNUMBER(FIND("COMPLETE",BC5)),ISNUMBER(FIND("PCT",BC5)),ISNUMBER(FIND("PERCENT",BC5))),NOT(ISNUMBER(FIND("ACTUAL",BC5))),LEN(BC5)&lt;=16))+32768*(OR(ISNUMBER(FIND("DESIC",BC5)),ISNUMBER(FIND("DESSIC",BC5)))))</f>
        <v/>
      </c>
      <c r="BD140">
        <f>IF(BD5="",0,2*(OR(ISNUMBER(FIND("WORKCENTER",BD5)),AND(LEFT(BD5,4)="LINE",NOT(ISNUMBER(FIND("STATUS",BD5))))))+4*(OR(ISNUMBER(FIND("WORKORDER",BD5)),AND(LEFT(BD5,2)="WO",OR(ISNUMBER(FIND("NUM",BD5)),RIGHT(BD5,2)="NO"))))+8*(LEFT(BD5,3)="SEQ")+16*(AND(LEFT(BD5,4)="ITEM",NOT(ISNUMBER(FIND("DESC",BD5)))))+32*(AND(ISNUMBER(FIND("DESC",BD5)),NOT(ISNUMBER(FIND("CAP",BD5)))))+64*(OR(RIGHT(BD5,5)="COUNT",RIGHT(BD5,2)="CT"))+128*(ISNUMBER(FIND("BULK",BD5)))+256*(ISNUMBER(FIND("SIZE",BD5)))+512*(LEFT(BD5,3)="CAP")+1024*(ISNUMBER(FIND("ALLERG",BD5)))+2048*(OR(ISNUMBER(FIND("REMARK",BD5)),ISNUMBER(FIND("COMMENT",BD5))))+4096*(OR(ISNUMBER(FIND("QTY",BD5)),ISNUMBER(FIND("QUANTITY",BD5))))+8192*(AND(OR(ISNUMBER(FIND("COMPLETE",BD5)),ISNUMBER(FIND("PCT",BD5)),ISNUMBER(FIND("PERCENT",BD5))),NOT(ISNUMBER(FIND("ACTUAL",BD5))),LEN(BD5)&lt;=16))+32768*(OR(ISNUMBER(FIND("DESIC",BD5)),ISNUMBER(FIND("DESSIC",BD5)))))</f>
        <v/>
      </c>
      <c r="BE140">
        <f>IF(BE5="",0,2*(OR(ISNUMBER(FIND("WORKCENTER",BE5)),AND(LEFT(BE5,4)="LINE",NOT(ISNUMBER(FIND("STATUS",BE5))))))+4*(OR(ISNUMBER(FIND("WORKORDER",BE5)),AND(LEFT(BE5,2)="WO",OR(ISNUMBER(FIND("NUM",BE5)),RIGHT(BE5,2)="NO"))))+8*(LEFT(BE5,3)="SEQ")+16*(AND(LEFT(BE5,4)="ITEM",NOT(ISNUMBER(FIND("DESC",BE5)))))+32*(AND(ISNUMBER(FIND("DESC",BE5)),NOT(ISNUMBER(FIND("CAP",BE5)))))+64*(OR(RIGHT(BE5,5)="COUNT",RIGHT(BE5,2)="CT"))+128*(ISNUMBER(FIND("BULK",BE5)))+256*(ISNUMBER(FIND("SIZE",BE5)))+512*(LEFT(BE5,3)="CAP")+1024*(ISNUMBER(FIND("ALLERG",BE5)))+2048*(OR(ISNUMBER(FIND("REMARK",BE5)),ISNUMBER(FIND("COMMENT",BE5))))+4096*(OR(ISNUMBER(FIND("QTY",BE5)),ISNUMBER(FIND("QUANTITY",BE5))))+8192*(AND(OR(ISNUMBER(FIND("COMPLETE",BE5)),ISNUMBER(FIND("PCT",BE5)),ISNUMBER(FIND("PERCENT",BE5))),NOT(ISNUMBER(FIND("ACTUAL",BE5))),LEN(BE5)&lt;=16))+32768*(OR(ISNUMBER(FIND("DESIC",BE5)),ISNUMBER(FIND("DESSIC",BE5)))))</f>
        <v/>
      </c>
      <c r="BF140">
        <f>IF(BF5="",0,2*(OR(ISNUMBER(FIND("WORKCENTER",BF5)),AND(LEFT(BF5,4)="LINE",NOT(ISNUMBER(FIND("STATUS",BF5))))))+4*(OR(ISNUMBER(FIND("WORKORDER",BF5)),AND(LEFT(BF5,2)="WO",OR(ISNUMBER(FIND("NUM",BF5)),RIGHT(BF5,2)="NO"))))+8*(LEFT(BF5,3)="SEQ")+16*(AND(LEFT(BF5,4)="ITEM",NOT(ISNUMBER(FIND("DESC",BF5)))))+32*(AND(ISNUMBER(FIND("DESC",BF5)),NOT(ISNUMBER(FIND("CAP",BF5)))))+64*(OR(RIGHT(BF5,5)="COUNT",RIGHT(BF5,2)="CT"))+128*(ISNUMBER(FIND("BULK",BF5)))+256*(ISNUMBER(FIND("SIZE",BF5)))+512*(LEFT(BF5,3)="CAP")+1024*(ISNUMBER(FIND("ALLERG",BF5)))+2048*(OR(ISNUMBER(FIND("REMARK",BF5)),ISNUMBER(FIND("COMMENT",BF5))))+4096*(OR(ISNUMBER(FIND("QTY",BF5)),ISNUMBER(FIND("QUANTITY",BF5))))+8192*(AND(OR(ISNUMBER(FIND("COMPLETE",BF5)),ISNUMBER(FIND("PCT",BF5)),ISNUMBER(FIND("PERCENT",BF5))),NOT(ISNUMBER(FIND("ACTUAL",BF5))),LEN(BF5)&lt;=16))+32768*(OR(ISNUMBER(FIND("DESIC",BF5)),ISNUMBER(FIND("DESSIC",BF5)))))</f>
        <v/>
      </c>
      <c r="BG140">
        <f>IF(BG5="",0,2*(OR(ISNUMBER(FIND("WORKCENTER",BG5)),AND(LEFT(BG5,4)="LINE",NOT(ISNUMBER(FIND("STATUS",BG5))))))+4*(OR(ISNUMBER(FIND("WORKORDER",BG5)),AND(LEFT(BG5,2)="WO",OR(ISNUMBER(FIND("NUM",BG5)),RIGHT(BG5,2)="NO"))))+8*(LEFT(BG5,3)="SEQ")+16*(AND(LEFT(BG5,4)="ITEM",NOT(ISNUMBER(FIND("DESC",BG5)))))+32*(AND(ISNUMBER(FIND("DESC",BG5)),NOT(ISNUMBER(FIND("CAP",BG5)))))+64*(OR(RIGHT(BG5,5)="COUNT",RIGHT(BG5,2)="CT"))+128*(ISNUMBER(FIND("BULK",BG5)))+256*(ISNUMBER(FIND("SIZE",BG5)))+512*(LEFT(BG5,3)="CAP")+1024*(ISNUMBER(FIND("ALLERG",BG5)))+2048*(OR(ISNUMBER(FIND("REMARK",BG5)),ISNUMBER(FIND("COMMENT",BG5))))+4096*(OR(ISNUMBER(FIND("QTY",BG5)),ISNUMBER(FIND("QUANTITY",BG5))))+8192*(AND(OR(ISNUMBER(FIND("COMPLETE",BG5)),ISNUMBER(FIND("PCT",BG5)),ISNUMBER(FIND("PERCENT",BG5))),NOT(ISNUMBER(FIND("ACTUAL",BG5))),LEN(BG5)&lt;=16))+32768*(OR(ISNUMBER(FIND("DESIC",BG5)),ISNUMBER(FIND("DESSIC",BG5)))))</f>
        <v/>
      </c>
      <c r="BH140">
        <f>IF(BH5="",0,2*(OR(ISNUMBER(FIND("WORKCENTER",BH5)),AND(LEFT(BH5,4)="LINE",NOT(ISNUMBER(FIND("STATUS",BH5))))))+4*(OR(ISNUMBER(FIND("WORKORDER",BH5)),AND(LEFT(BH5,2)="WO",OR(ISNUMBER(FIND("NUM",BH5)),RIGHT(BH5,2)="NO"))))+8*(LEFT(BH5,3)="SEQ")+16*(AND(LEFT(BH5,4)="ITEM",NOT(ISNUMBER(FIND("DESC",BH5)))))+32*(AND(ISNUMBER(FIND("DESC",BH5)),NOT(ISNUMBER(FIND("CAP",BH5)))))+64*(OR(RIGHT(BH5,5)="COUNT",RIGHT(BH5,2)="CT"))+128*(ISNUMBER(FIND("BULK",BH5)))+256*(ISNUMBER(FIND("SIZE",BH5)))+512*(LEFT(BH5,3)="CAP")+1024*(ISNUMBER(FIND("ALLERG",BH5)))+2048*(OR(ISNUMBER(FIND("REMARK",BH5)),ISNUMBER(FIND("COMMENT",BH5))))+4096*(OR(ISNUMBER(FIND("QTY",BH5)),ISNUMBER(FIND("QUANTITY",BH5))))+8192*(AND(OR(ISNUMBER(FIND("COMPLETE",BH5)),ISNUMBER(FIND("PCT",BH5)),ISNUMBER(FIND("PERCENT",BH5))),NOT(ISNUMBER(FIND("ACTUAL",BH5))),LEN(BH5)&lt;=16))+32768*(OR(ISNUMBER(FIND("DESIC",BH5)),ISNUMBER(FIND("DESSIC",BH5)))))</f>
        <v/>
      </c>
      <c r="BI140">
        <f>IF(BI5="",0,2*(OR(ISNUMBER(FIND("WORKCENTER",BI5)),AND(LEFT(BI5,4)="LINE",NOT(ISNUMBER(FIND("STATUS",BI5))))))+4*(OR(ISNUMBER(FIND("WORKORDER",BI5)),AND(LEFT(BI5,2)="WO",OR(ISNUMBER(FIND("NUM",BI5)),RIGHT(BI5,2)="NO"))))+8*(LEFT(BI5,3)="SEQ")+16*(AND(LEFT(BI5,4)="ITEM",NOT(ISNUMBER(FIND("DESC",BI5)))))+32*(AND(ISNUMBER(FIND("DESC",BI5)),NOT(ISNUMBER(FIND("CAP",BI5)))))+64*(OR(RIGHT(BI5,5)="COUNT",RIGHT(BI5,2)="CT"))+128*(ISNUMBER(FIND("BULK",BI5)))+256*(ISNUMBER(FIND("SIZE",BI5)))+512*(LEFT(BI5,3)="CAP")+1024*(ISNUMBER(FIND("ALLERG",BI5)))+2048*(OR(ISNUMBER(FIND("REMARK",BI5)),ISNUMBER(FIND("COMMENT",BI5))))+4096*(OR(ISNUMBER(FIND("QTY",BI5)),ISNUMBER(FIND("QUANTITY",BI5))))+8192*(AND(OR(ISNUMBER(FIND("COMPLETE",BI5)),ISNUMBER(FIND("PCT",BI5)),ISNUMBER(FIND("PERCENT",BI5))),NOT(ISNUMBER(FIND("ACTUAL",BI5))),LEN(BI5)&lt;=16))+32768*(OR(ISNUMBER(FIND("DESIC",BI5)),ISNUMBER(FIND("DESSIC",BI5)))))</f>
        <v/>
      </c>
      <c r="BJ140">
        <f>IF(BJ5="",0,2*(OR(ISNUMBER(FIND("WORKCENTER",BJ5)),AND(LEFT(BJ5,4)="LINE",NOT(ISNUMBER(FIND("STATUS",BJ5))))))+4*(OR(ISNUMBER(FIND("WORKORDER",BJ5)),AND(LEFT(BJ5,2)="WO",OR(ISNUMBER(FIND("NUM",BJ5)),RIGHT(BJ5,2)="NO"))))+8*(LEFT(BJ5,3)="SEQ")+16*(AND(LEFT(BJ5,4)="ITEM",NOT(ISNUMBER(FIND("DESC",BJ5)))))+32*(AND(ISNUMBER(FIND("DESC",BJ5)),NOT(ISNUMBER(FIND("CAP",BJ5)))))+64*(OR(RIGHT(BJ5,5)="COUNT",RIGHT(BJ5,2)="CT"))+128*(ISNUMBER(FIND("BULK",BJ5)))+256*(ISNUMBER(FIND("SIZE",BJ5)))+512*(LEFT(BJ5,3)="CAP")+1024*(ISNUMBER(FIND("ALLERG",BJ5)))+2048*(OR(ISNUMBER(FIND("REMARK",BJ5)),ISNUMBER(FIND("COMMENT",BJ5))))+4096*(OR(ISNUMBER(FIND("QTY",BJ5)),ISNUMBER(FIND("QUANTITY",BJ5))))+8192*(AND(OR(ISNUMBER(FIND("COMPLETE",BJ5)),ISNUMBER(FIND("PCT",BJ5)),ISNUMBER(FIND("PERCENT",BJ5))),NOT(ISNUMBER(FIND("ACTUAL",BJ5))),LEN(BJ5)&lt;=16))+32768*(OR(ISNUMBER(FIND("DESIC",BJ5)),ISNUMBER(FIND("DESSIC",BJ5)))))</f>
        <v/>
      </c>
      <c r="BK140">
        <f>IF(BK5="",0,2*(OR(ISNUMBER(FIND("WORKCENTER",BK5)),AND(LEFT(BK5,4)="LINE",NOT(ISNUMBER(FIND("STATUS",BK5))))))+4*(OR(ISNUMBER(FIND("WORKORDER",BK5)),AND(LEFT(BK5,2)="WO",OR(ISNUMBER(FIND("NUM",BK5)),RIGHT(BK5,2)="NO"))))+8*(LEFT(BK5,3)="SEQ")+16*(AND(LEFT(BK5,4)="ITEM",NOT(ISNUMBER(FIND("DESC",BK5)))))+32*(AND(ISNUMBER(FIND("DESC",BK5)),NOT(ISNUMBER(FIND("CAP",BK5)))))+64*(OR(RIGHT(BK5,5)="COUNT",RIGHT(BK5,2)="CT"))+128*(ISNUMBER(FIND("BULK",BK5)))+256*(ISNUMBER(FIND("SIZE",BK5)))+512*(LEFT(BK5,3)="CAP")+1024*(ISNUMBER(FIND("ALLERG",BK5)))+2048*(OR(ISNUMBER(FIND("REMARK",BK5)),ISNUMBER(FIND("COMMENT",BK5))))+4096*(OR(ISNUMBER(FIND("QTY",BK5)),ISNUMBER(FIND("QUANTITY",BK5))))+8192*(AND(OR(ISNUMBER(FIND("COMPLETE",BK5)),ISNUMBER(FIND("PCT",BK5)),ISNUMBER(FIND("PERCENT",BK5))),NOT(ISNUMBER(FIND("ACTUAL",BK5))),LEN(BK5)&lt;=16))+32768*(OR(ISNUMBER(FIND("DESIC",BK5)),ISNUMBER(FIND("DESSIC",BK5)))))</f>
        <v/>
      </c>
      <c r="BL140">
        <f>IF(BL5="",0,2*(OR(ISNUMBER(FIND("WORKCENTER",BL5)),AND(LEFT(BL5,4)="LINE",NOT(ISNUMBER(FIND("STATUS",BL5))))))+4*(OR(ISNUMBER(FIND("WORKORDER",BL5)),AND(LEFT(BL5,2)="WO",OR(ISNUMBER(FIND("NUM",BL5)),RIGHT(BL5,2)="NO"))))+8*(LEFT(BL5,3)="SEQ")+16*(AND(LEFT(BL5,4)="ITEM",NOT(ISNUMBER(FIND("DESC",BL5)))))+32*(AND(ISNUMBER(FIND("DESC",BL5)),NOT(ISNUMBER(FIND("CAP",BL5)))))+64*(OR(RIGHT(BL5,5)="COUNT",RIGHT(BL5,2)="CT"))+128*(ISNUMBER(FIND("BULK",BL5)))+256*(ISNUMBER(FIND("SIZE",BL5)))+512*(LEFT(BL5,3)="CAP")+1024*(ISNUMBER(FIND("ALLERG",BL5)))+2048*(OR(ISNUMBER(FIND("REMARK",BL5)),ISNUMBER(FIND("COMMENT",BL5))))+4096*(OR(ISNUMBER(FIND("QTY",BL5)),ISNUMBER(FIND("QUANTITY",BL5))))+8192*(AND(OR(ISNUMBER(FIND("COMPLETE",BL5)),ISNUMBER(FIND("PCT",BL5)),ISNUMBER(FIND("PERCENT",BL5))),NOT(ISNUMBER(FIND("ACTUAL",BL5))),LEN(BL5)&lt;=16))+32768*(OR(ISNUMBER(FIND("DESIC",BL5)),ISNUMBER(FIND("DESSIC",BL5)))))</f>
        <v/>
      </c>
      <c r="BM140">
        <f>IF(BM5="",0,2*(OR(ISNUMBER(FIND("WORKCENTER",BM5)),AND(LEFT(BM5,4)="LINE",NOT(ISNUMBER(FIND("STATUS",BM5))))))+4*(OR(ISNUMBER(FIND("WORKORDER",BM5)),AND(LEFT(BM5,2)="WO",OR(ISNUMBER(FIND("NUM",BM5)),RIGHT(BM5,2)="NO"))))+8*(LEFT(BM5,3)="SEQ")+16*(AND(LEFT(BM5,4)="ITEM",NOT(ISNUMBER(FIND("DESC",BM5)))))+32*(AND(ISNUMBER(FIND("DESC",BM5)),NOT(ISNUMBER(FIND("CAP",BM5)))))+64*(OR(RIGHT(BM5,5)="COUNT",RIGHT(BM5,2)="CT"))+128*(ISNUMBER(FIND("BULK",BM5)))+256*(ISNUMBER(FIND("SIZE",BM5)))+512*(LEFT(BM5,3)="CAP")+1024*(ISNUMBER(FIND("ALLERG",BM5)))+2048*(OR(ISNUMBER(FIND("REMARK",BM5)),ISNUMBER(FIND("COMMENT",BM5))))+4096*(OR(ISNUMBER(FIND("QTY",BM5)),ISNUMBER(FIND("QUANTITY",BM5))))+8192*(AND(OR(ISNUMBER(FIND("COMPLETE",BM5)),ISNUMBER(FIND("PCT",BM5)),ISNUMBER(FIND("PERCENT",BM5))),NOT(ISNUMBER(FIND("ACTUAL",BM5))),LEN(BM5)&lt;=16))+32768*(OR(ISNUMBER(FIND("DESIC",BM5)),ISNUMBER(FIND("DESSIC",BM5)))))</f>
        <v/>
      </c>
      <c r="BN140">
        <f>IF(BN5="",0,2*(OR(ISNUMBER(FIND("WORKCENTER",BN5)),AND(LEFT(BN5,4)="LINE",NOT(ISNUMBER(FIND("STATUS",BN5))))))+4*(OR(ISNUMBER(FIND("WORKORDER",BN5)),AND(LEFT(BN5,2)="WO",OR(ISNUMBER(FIND("NUM",BN5)),RIGHT(BN5,2)="NO"))))+8*(LEFT(BN5,3)="SEQ")+16*(AND(LEFT(BN5,4)="ITEM",NOT(ISNUMBER(FIND("DESC",BN5)))))+32*(AND(ISNUMBER(FIND("DESC",BN5)),NOT(ISNUMBER(FIND("CAP",BN5)))))+64*(OR(RIGHT(BN5,5)="COUNT",RIGHT(BN5,2)="CT"))+128*(ISNUMBER(FIND("BULK",BN5)))+256*(ISNUMBER(FIND("SIZE",BN5)))+512*(LEFT(BN5,3)="CAP")+1024*(ISNUMBER(FIND("ALLERG",BN5)))+2048*(OR(ISNUMBER(FIND("REMARK",BN5)),ISNUMBER(FIND("COMMENT",BN5))))+4096*(OR(ISNUMBER(FIND("QTY",BN5)),ISNUMBER(FIND("QUANTITY",BN5))))+8192*(AND(OR(ISNUMBER(FIND("COMPLETE",BN5)),ISNUMBER(FIND("PCT",BN5)),ISNUMBER(FIND("PERCENT",BN5))),NOT(ISNUMBER(FIND("ACTUAL",BN5))),LEN(BN5)&lt;=16))+32768*(OR(ISNUMBER(FIND("DESIC",BN5)),ISNUMBER(FIND("DESSIC",BN5)))))</f>
        <v/>
      </c>
      <c r="BO140">
        <f>IF(BO5="",0,2*(OR(ISNUMBER(FIND("WORKCENTER",BO5)),AND(LEFT(BO5,4)="LINE",NOT(ISNUMBER(FIND("STATUS",BO5))))))+4*(OR(ISNUMBER(FIND("WORKORDER",BO5)),AND(LEFT(BO5,2)="WO",OR(ISNUMBER(FIND("NUM",BO5)),RIGHT(BO5,2)="NO"))))+8*(LEFT(BO5,3)="SEQ")+16*(AND(LEFT(BO5,4)="ITEM",NOT(ISNUMBER(FIND("DESC",BO5)))))+32*(AND(ISNUMBER(FIND("DESC",BO5)),NOT(ISNUMBER(FIND("CAP",BO5)))))+64*(OR(RIGHT(BO5,5)="COUNT",RIGHT(BO5,2)="CT"))+128*(ISNUMBER(FIND("BULK",BO5)))+256*(ISNUMBER(FIND("SIZE",BO5)))+512*(LEFT(BO5,3)="CAP")+1024*(ISNUMBER(FIND("ALLERG",BO5)))+2048*(OR(ISNUMBER(FIND("REMARK",BO5)),ISNUMBER(FIND("COMMENT",BO5))))+4096*(OR(ISNUMBER(FIND("QTY",BO5)),ISNUMBER(FIND("QUANTITY",BO5))))+8192*(AND(OR(ISNUMBER(FIND("COMPLETE",BO5)),ISNUMBER(FIND("PCT",BO5)),ISNUMBER(FIND("PERCENT",BO5))),NOT(ISNUMBER(FIND("ACTUAL",BO5))),LEN(BO5)&lt;=16))+32768*(OR(ISNUMBER(FIND("DESIC",BO5)),ISNUMBER(FIND("DESSIC",BO5)))))</f>
        <v/>
      </c>
      <c r="BP140">
        <f>IF(BP5="",0,2*(OR(ISNUMBER(FIND("WORKCENTER",BP5)),AND(LEFT(BP5,4)="LINE",NOT(ISNUMBER(FIND("STATUS",BP5))))))+4*(OR(ISNUMBER(FIND("WORKORDER",BP5)),AND(LEFT(BP5,2)="WO",OR(ISNUMBER(FIND("NUM",BP5)),RIGHT(BP5,2)="NO"))))+8*(LEFT(BP5,3)="SEQ")+16*(AND(LEFT(BP5,4)="ITEM",NOT(ISNUMBER(FIND("DESC",BP5)))))+32*(AND(ISNUMBER(FIND("DESC",BP5)),NOT(ISNUMBER(FIND("CAP",BP5)))))+64*(OR(RIGHT(BP5,5)="COUNT",RIGHT(BP5,2)="CT"))+128*(ISNUMBER(FIND("BULK",BP5)))+256*(ISNUMBER(FIND("SIZE",BP5)))+512*(LEFT(BP5,3)="CAP")+1024*(ISNUMBER(FIND("ALLERG",BP5)))+2048*(OR(ISNUMBER(FIND("REMARK",BP5)),ISNUMBER(FIND("COMMENT",BP5))))+4096*(OR(ISNUMBER(FIND("QTY",BP5)),ISNUMBER(FIND("QUANTITY",BP5))))+8192*(AND(OR(ISNUMBER(FIND("COMPLETE",BP5)),ISNUMBER(FIND("PCT",BP5)),ISNUMBER(FIND("PERCENT",BP5))),NOT(ISNUMBER(FIND("ACTUAL",BP5))),LEN(BP5)&lt;=16))+32768*(OR(ISNUMBER(FIND("DESIC",BP5)),ISNUMBER(FIND("DESSIC",BP5)))))</f>
        <v/>
      </c>
      <c r="BQ140">
        <f>IF(BQ5="",0,2*(OR(ISNUMBER(FIND("WORKCENTER",BQ5)),AND(LEFT(BQ5,4)="LINE",NOT(ISNUMBER(FIND("STATUS",BQ5))))))+4*(OR(ISNUMBER(FIND("WORKORDER",BQ5)),AND(LEFT(BQ5,2)="WO",OR(ISNUMBER(FIND("NUM",BQ5)),RIGHT(BQ5,2)="NO"))))+8*(LEFT(BQ5,3)="SEQ")+16*(AND(LEFT(BQ5,4)="ITEM",NOT(ISNUMBER(FIND("DESC",BQ5)))))+32*(AND(ISNUMBER(FIND("DESC",BQ5)),NOT(ISNUMBER(FIND("CAP",BQ5)))))+64*(OR(RIGHT(BQ5,5)="COUNT",RIGHT(BQ5,2)="CT"))+128*(ISNUMBER(FIND("BULK",BQ5)))+256*(ISNUMBER(FIND("SIZE",BQ5)))+512*(LEFT(BQ5,3)="CAP")+1024*(ISNUMBER(FIND("ALLERG",BQ5)))+2048*(OR(ISNUMBER(FIND("REMARK",BQ5)),ISNUMBER(FIND("COMMENT",BQ5))))+4096*(OR(ISNUMBER(FIND("QTY",BQ5)),ISNUMBER(FIND("QUANTITY",BQ5))))+8192*(AND(OR(ISNUMBER(FIND("COMPLETE",BQ5)),ISNUMBER(FIND("PCT",BQ5)),ISNUMBER(FIND("PERCENT",BQ5))),NOT(ISNUMBER(FIND("ACTUAL",BQ5))),LEN(BQ5)&lt;=16))+32768*(OR(ISNUMBER(FIND("DESIC",BQ5)),ISNUMBER(FIND("DESSIC",BQ5)))))</f>
        <v/>
      </c>
      <c r="BR140">
        <f>IF(BR5="",0,2*(OR(ISNUMBER(FIND("WORKCENTER",BR5)),AND(LEFT(BR5,4)="LINE",NOT(ISNUMBER(FIND("STATUS",BR5))))))+4*(OR(ISNUMBER(FIND("WORKORDER",BR5)),AND(LEFT(BR5,2)="WO",OR(ISNUMBER(FIND("NUM",BR5)),RIGHT(BR5,2)="NO"))))+8*(LEFT(BR5,3)="SEQ")+16*(AND(LEFT(BR5,4)="ITEM",NOT(ISNUMBER(FIND("DESC",BR5)))))+32*(AND(ISNUMBER(FIND("DESC",BR5)),NOT(ISNUMBER(FIND("CAP",BR5)))))+64*(OR(RIGHT(BR5,5)="COUNT",RIGHT(BR5,2)="CT"))+128*(ISNUMBER(FIND("BULK",BR5)))+256*(ISNUMBER(FIND("SIZE",BR5)))+512*(LEFT(BR5,3)="CAP")+1024*(ISNUMBER(FIND("ALLERG",BR5)))+2048*(OR(ISNUMBER(FIND("REMARK",BR5)),ISNUMBER(FIND("COMMENT",BR5))))+4096*(OR(ISNUMBER(FIND("QTY",BR5)),ISNUMBER(FIND("QUANTITY",BR5))))+8192*(AND(OR(ISNUMBER(FIND("COMPLETE",BR5)),ISNUMBER(FIND("PCT",BR5)),ISNUMBER(FIND("PERCENT",BR5))),NOT(ISNUMBER(FIND("ACTUAL",BR5))),LEN(BR5)&lt;=16))+32768*(OR(ISNUMBER(FIND("DESIC",BR5)),ISNUMBER(FIND("DESSIC",BR5)))))</f>
        <v/>
      </c>
      <c r="BS140">
        <f>IF(BS5="",0,2*(OR(ISNUMBER(FIND("WORKCENTER",BS5)),AND(LEFT(BS5,4)="LINE",NOT(ISNUMBER(FIND("STATUS",BS5))))))+4*(OR(ISNUMBER(FIND("WORKORDER",BS5)),AND(LEFT(BS5,2)="WO",OR(ISNUMBER(FIND("NUM",BS5)),RIGHT(BS5,2)="NO"))))+8*(LEFT(BS5,3)="SEQ")+16*(AND(LEFT(BS5,4)="ITEM",NOT(ISNUMBER(FIND("DESC",BS5)))))+32*(AND(ISNUMBER(FIND("DESC",BS5)),NOT(ISNUMBER(FIND("CAP",BS5)))))+64*(OR(RIGHT(BS5,5)="COUNT",RIGHT(BS5,2)="CT"))+128*(ISNUMBER(FIND("BULK",BS5)))+256*(ISNUMBER(FIND("SIZE",BS5)))+512*(LEFT(BS5,3)="CAP")+1024*(ISNUMBER(FIND("ALLERG",BS5)))+2048*(OR(ISNUMBER(FIND("REMARK",BS5)),ISNUMBER(FIND("COMMENT",BS5))))+4096*(OR(ISNUMBER(FIND("QTY",BS5)),ISNUMBER(FIND("QUANTITY",BS5))))+8192*(AND(OR(ISNUMBER(FIND("COMPLETE",BS5)),ISNUMBER(FIND("PCT",BS5)),ISNUMBER(FIND("PERCENT",BS5))),NOT(ISNUMBER(FIND("ACTUAL",BS5))),LEN(BS5)&lt;=16))+32768*(OR(ISNUMBER(FIND("DESIC",BS5)),ISNUMBER(FIND("DESSIC",BS5)))))</f>
        <v/>
      </c>
      <c r="BT140">
        <f>IF(BT5="",0,2*(OR(ISNUMBER(FIND("WORKCENTER",BT5)),AND(LEFT(BT5,4)="LINE",NOT(ISNUMBER(FIND("STATUS",BT5))))))+4*(OR(ISNUMBER(FIND("WORKORDER",BT5)),AND(LEFT(BT5,2)="WO",OR(ISNUMBER(FIND("NUM",BT5)),RIGHT(BT5,2)="NO"))))+8*(LEFT(BT5,3)="SEQ")+16*(AND(LEFT(BT5,4)="ITEM",NOT(ISNUMBER(FIND("DESC",BT5)))))+32*(AND(ISNUMBER(FIND("DESC",BT5)),NOT(ISNUMBER(FIND("CAP",BT5)))))+64*(OR(RIGHT(BT5,5)="COUNT",RIGHT(BT5,2)="CT"))+128*(ISNUMBER(FIND("BULK",BT5)))+256*(ISNUMBER(FIND("SIZE",BT5)))+512*(LEFT(BT5,3)="CAP")+1024*(ISNUMBER(FIND("ALLERG",BT5)))+2048*(OR(ISNUMBER(FIND("REMARK",BT5)),ISNUMBER(FIND("COMMENT",BT5))))+4096*(OR(ISNUMBER(FIND("QTY",BT5)),ISNUMBER(FIND("QUANTITY",BT5))))+8192*(AND(OR(ISNUMBER(FIND("COMPLETE",BT5)),ISNUMBER(FIND("PCT",BT5)),ISNUMBER(FIND("PERCENT",BT5))),NOT(ISNUMBER(FIND("ACTUAL",BT5))),LEN(BT5)&lt;=16))+32768*(OR(ISNUMBER(FIND("DESIC",BT5)),ISNUMBER(FIND("DESSIC",BT5)))))</f>
        <v/>
      </c>
      <c r="BU140">
        <f>IF(BU5="",0,2*(OR(ISNUMBER(FIND("WORKCENTER",BU5)),AND(LEFT(BU5,4)="LINE",NOT(ISNUMBER(FIND("STATUS",BU5))))))+4*(OR(ISNUMBER(FIND("WORKORDER",BU5)),AND(LEFT(BU5,2)="WO",OR(ISNUMBER(FIND("NUM",BU5)),RIGHT(BU5,2)="NO"))))+8*(LEFT(BU5,3)="SEQ")+16*(AND(LEFT(BU5,4)="ITEM",NOT(ISNUMBER(FIND("DESC",BU5)))))+32*(AND(ISNUMBER(FIND("DESC",BU5)),NOT(ISNUMBER(FIND("CAP",BU5)))))+64*(OR(RIGHT(BU5,5)="COUNT",RIGHT(BU5,2)="CT"))+128*(ISNUMBER(FIND("BULK",BU5)))+256*(ISNUMBER(FIND("SIZE",BU5)))+512*(LEFT(BU5,3)="CAP")+1024*(ISNUMBER(FIND("ALLERG",BU5)))+2048*(OR(ISNUMBER(FIND("REMARK",BU5)),ISNUMBER(FIND("COMMENT",BU5))))+4096*(OR(ISNUMBER(FIND("QTY",BU5)),ISNUMBER(FIND("QUANTITY",BU5))))+8192*(AND(OR(ISNUMBER(FIND("COMPLETE",BU5)),ISNUMBER(FIND("PCT",BU5)),ISNUMBER(FIND("PERCENT",BU5))),NOT(ISNUMBER(FIND("ACTUAL",BU5))),LEN(BU5)&lt;=16))+32768*(OR(ISNUMBER(FIND("DESIC",BU5)),ISNUMBER(FIND("DESSIC",BU5)))))</f>
        <v/>
      </c>
      <c r="BV140">
        <f>IF(BV5="",0,2*(OR(ISNUMBER(FIND("WORKCENTER",BV5)),AND(LEFT(BV5,4)="LINE",NOT(ISNUMBER(FIND("STATUS",BV5))))))+4*(OR(ISNUMBER(FIND("WORKORDER",BV5)),AND(LEFT(BV5,2)="WO",OR(ISNUMBER(FIND("NUM",BV5)),RIGHT(BV5,2)="NO"))))+8*(LEFT(BV5,3)="SEQ")+16*(AND(LEFT(BV5,4)="ITEM",NOT(ISNUMBER(FIND("DESC",BV5)))))+32*(AND(ISNUMBER(FIND("DESC",BV5)),NOT(ISNUMBER(FIND("CAP",BV5)))))+64*(OR(RIGHT(BV5,5)="COUNT",RIGHT(BV5,2)="CT"))+128*(ISNUMBER(FIND("BULK",BV5)))+256*(ISNUMBER(FIND("SIZE",BV5)))+512*(LEFT(BV5,3)="CAP")+1024*(ISNUMBER(FIND("ALLERG",BV5)))+2048*(OR(ISNUMBER(FIND("REMARK",BV5)),ISNUMBER(FIND("COMMENT",BV5))))+4096*(OR(ISNUMBER(FIND("QTY",BV5)),ISNUMBER(FIND("QUANTITY",BV5))))+8192*(AND(OR(ISNUMBER(FIND("COMPLETE",BV5)),ISNUMBER(FIND("PCT",BV5)),ISNUMBER(FIND("PERCENT",BV5))),NOT(ISNUMBER(FIND("ACTUAL",BV5))),LEN(BV5)&lt;=16))+32768*(OR(ISNUMBER(FIND("DESIC",BV5)),ISNUMBER(FIND("DESSIC",BV5)))))</f>
        <v/>
      </c>
      <c r="BW140">
        <f>IF(BW5="",0,2*(OR(ISNUMBER(FIND("WORKCENTER",BW5)),AND(LEFT(BW5,4)="LINE",NOT(ISNUMBER(FIND("STATUS",BW5))))))+4*(OR(ISNUMBER(FIND("WORKORDER",BW5)),AND(LEFT(BW5,2)="WO",OR(ISNUMBER(FIND("NUM",BW5)),RIGHT(BW5,2)="NO"))))+8*(LEFT(BW5,3)="SEQ")+16*(AND(LEFT(BW5,4)="ITEM",NOT(ISNUMBER(FIND("DESC",BW5)))))+32*(AND(ISNUMBER(FIND("DESC",BW5)),NOT(ISNUMBER(FIND("CAP",BW5)))))+64*(OR(RIGHT(BW5,5)="COUNT",RIGHT(BW5,2)="CT"))+128*(ISNUMBER(FIND("BULK",BW5)))+256*(ISNUMBER(FIND("SIZE",BW5)))+512*(LEFT(BW5,3)="CAP")+1024*(ISNUMBER(FIND("ALLERG",BW5)))+2048*(OR(ISNUMBER(FIND("REMARK",BW5)),ISNUMBER(FIND("COMMENT",BW5))))+4096*(OR(ISNUMBER(FIND("QTY",BW5)),ISNUMBER(FIND("QUANTITY",BW5))))+8192*(AND(OR(ISNUMBER(FIND("COMPLETE",BW5)),ISNUMBER(FIND("PCT",BW5)),ISNUMBER(FIND("PERCENT",BW5))),NOT(ISNUMBER(FIND("ACTUAL",BW5))),LEN(BW5)&lt;=16))+32768*(OR(ISNUMBER(FIND("DESIC",BW5)),ISNUMBER(FIND("DESSIC",BW5)))))</f>
        <v/>
      </c>
      <c r="BX140">
        <f>IF(BX5="",0,2*(OR(ISNUMBER(FIND("WORKCENTER",BX5)),AND(LEFT(BX5,4)="LINE",NOT(ISNUMBER(FIND("STATUS",BX5))))))+4*(OR(ISNUMBER(FIND("WORKORDER",BX5)),AND(LEFT(BX5,2)="WO",OR(ISNUMBER(FIND("NUM",BX5)),RIGHT(BX5,2)="NO"))))+8*(LEFT(BX5,3)="SEQ")+16*(AND(LEFT(BX5,4)="ITEM",NOT(ISNUMBER(FIND("DESC",BX5)))))+32*(AND(ISNUMBER(FIND("DESC",BX5)),NOT(ISNUMBER(FIND("CAP",BX5)))))+64*(OR(RIGHT(BX5,5)="COUNT",RIGHT(BX5,2)="CT"))+128*(ISNUMBER(FIND("BULK",BX5)))+256*(ISNUMBER(FIND("SIZE",BX5)))+512*(LEFT(BX5,3)="CAP")+1024*(ISNUMBER(FIND("ALLERG",BX5)))+2048*(OR(ISNUMBER(FIND("REMARK",BX5)),ISNUMBER(FIND("COMMENT",BX5))))+4096*(OR(ISNUMBER(FIND("QTY",BX5)),ISNUMBER(FIND("QUANTITY",BX5))))+8192*(AND(OR(ISNUMBER(FIND("COMPLETE",BX5)),ISNUMBER(FIND("PCT",BX5)),ISNUMBER(FIND("PERCENT",BX5))),NOT(ISNUMBER(FIND("ACTUAL",BX5))),LEN(BX5)&lt;=16))+32768*(OR(ISNUMBER(FIND("DESIC",BX5)),ISNUMBER(FIND("DESSIC",BX5)))))</f>
        <v/>
      </c>
      <c r="BY140">
        <f>IF(BY5="",0,2*(OR(ISNUMBER(FIND("WORKCENTER",BY5)),AND(LEFT(BY5,4)="LINE",NOT(ISNUMBER(FIND("STATUS",BY5))))))+4*(OR(ISNUMBER(FIND("WORKORDER",BY5)),AND(LEFT(BY5,2)="WO",OR(ISNUMBER(FIND("NUM",BY5)),RIGHT(BY5,2)="NO"))))+8*(LEFT(BY5,3)="SEQ")+16*(AND(LEFT(BY5,4)="ITEM",NOT(ISNUMBER(FIND("DESC",BY5)))))+32*(AND(ISNUMBER(FIND("DESC",BY5)),NOT(ISNUMBER(FIND("CAP",BY5)))))+64*(OR(RIGHT(BY5,5)="COUNT",RIGHT(BY5,2)="CT"))+128*(ISNUMBER(FIND("BULK",BY5)))+256*(ISNUMBER(FIND("SIZE",BY5)))+512*(LEFT(BY5,3)="CAP")+1024*(ISNUMBER(FIND("ALLERG",BY5)))+2048*(OR(ISNUMBER(FIND("REMARK",BY5)),ISNUMBER(FIND("COMMENT",BY5))))+4096*(OR(ISNUMBER(FIND("QTY",BY5)),ISNUMBER(FIND("QUANTITY",BY5))))+8192*(AND(OR(ISNUMBER(FIND("COMPLETE",BY5)),ISNUMBER(FIND("PCT",BY5)),ISNUMBER(FIND("PERCENT",BY5))),NOT(ISNUMBER(FIND("ACTUAL",BY5))),LEN(BY5)&lt;=16))+32768*(OR(ISNUMBER(FIND("DESIC",BY5)),ISNUMBER(FIND("DESSIC",BY5)))))</f>
        <v/>
      </c>
      <c r="BZ140">
        <f>IF(BZ5="",0,2*(OR(ISNUMBER(FIND("WORKCENTER",BZ5)),AND(LEFT(BZ5,4)="LINE",NOT(ISNUMBER(FIND("STATUS",BZ5))))))+4*(OR(ISNUMBER(FIND("WORKORDER",BZ5)),AND(LEFT(BZ5,2)="WO",OR(ISNUMBER(FIND("NUM",BZ5)),RIGHT(BZ5,2)="NO"))))+8*(LEFT(BZ5,3)="SEQ")+16*(AND(LEFT(BZ5,4)="ITEM",NOT(ISNUMBER(FIND("DESC",BZ5)))))+32*(AND(ISNUMBER(FIND("DESC",BZ5)),NOT(ISNUMBER(FIND("CAP",BZ5)))))+64*(OR(RIGHT(BZ5,5)="COUNT",RIGHT(BZ5,2)="CT"))+128*(ISNUMBER(FIND("BULK",BZ5)))+256*(ISNUMBER(FIND("SIZE",BZ5)))+512*(LEFT(BZ5,3)="CAP")+1024*(ISNUMBER(FIND("ALLERG",BZ5)))+2048*(OR(ISNUMBER(FIND("REMARK",BZ5)),ISNUMBER(FIND("COMMENT",BZ5))))+4096*(OR(ISNUMBER(FIND("QTY",BZ5)),ISNUMBER(FIND("QUANTITY",BZ5))))+8192*(AND(OR(ISNUMBER(FIND("COMPLETE",BZ5)),ISNUMBER(FIND("PCT",BZ5)),ISNUMBER(FIND("PERCENT",BZ5))),NOT(ISNUMBER(FIND("ACTUAL",BZ5))),LEN(BZ5)&lt;=16))+32768*(OR(ISNUMBER(FIND("DESIC",BZ5)),ISNUMBER(FIND("DESSIC",BZ5)))))</f>
        <v/>
      </c>
      <c r="CA140">
        <f>IF(CA5="",0,2*(OR(ISNUMBER(FIND("WORKCENTER",CA5)),AND(LEFT(CA5,4)="LINE",NOT(ISNUMBER(FIND("STATUS",CA5))))))+4*(OR(ISNUMBER(FIND("WORKORDER",CA5)),AND(LEFT(CA5,2)="WO",OR(ISNUMBER(FIND("NUM",CA5)),RIGHT(CA5,2)="NO"))))+8*(LEFT(CA5,3)="SEQ")+16*(AND(LEFT(CA5,4)="ITEM",NOT(ISNUMBER(FIND("DESC",CA5)))))+32*(AND(ISNUMBER(FIND("DESC",CA5)),NOT(ISNUMBER(FIND("CAP",CA5)))))+64*(OR(RIGHT(CA5,5)="COUNT",RIGHT(CA5,2)="CT"))+128*(ISNUMBER(FIND("BULK",CA5)))+256*(ISNUMBER(FIND("SIZE",CA5)))+512*(LEFT(CA5,3)="CAP")+1024*(ISNUMBER(FIND("ALLERG",CA5)))+2048*(OR(ISNUMBER(FIND("REMARK",CA5)),ISNUMBER(FIND("COMMENT",CA5))))+4096*(OR(ISNUMBER(FIND("QTY",CA5)),ISNUMBER(FIND("QUANTITY",CA5))))+8192*(AND(OR(ISNUMBER(FIND("COMPLETE",CA5)),ISNUMBER(FIND("PCT",CA5)),ISNUMBER(FIND("PERCENT",CA5))),NOT(ISNUMBER(FIND("ACTUAL",CA5))),LEN(CA5)&lt;=16))+32768*(OR(ISNUMBER(FIND("DESIC",CA5)),ISNUMBER(FIND("DESSIC",CA5)))))</f>
        <v/>
      </c>
      <c r="CB140">
        <f>IF(CB5="",0,2*(OR(ISNUMBER(FIND("WORKCENTER",CB5)),AND(LEFT(CB5,4)="LINE",NOT(ISNUMBER(FIND("STATUS",CB5))))))+4*(OR(ISNUMBER(FIND("WORKORDER",CB5)),AND(LEFT(CB5,2)="WO",OR(ISNUMBER(FIND("NUM",CB5)),RIGHT(CB5,2)="NO"))))+8*(LEFT(CB5,3)="SEQ")+16*(AND(LEFT(CB5,4)="ITEM",NOT(ISNUMBER(FIND("DESC",CB5)))))+32*(AND(ISNUMBER(FIND("DESC",CB5)),NOT(ISNUMBER(FIND("CAP",CB5)))))+64*(OR(RIGHT(CB5,5)="COUNT",RIGHT(CB5,2)="CT"))+128*(ISNUMBER(FIND("BULK",CB5)))+256*(ISNUMBER(FIND("SIZE",CB5)))+512*(LEFT(CB5,3)="CAP")+1024*(ISNUMBER(FIND("ALLERG",CB5)))+2048*(OR(ISNUMBER(FIND("REMARK",CB5)),ISNUMBER(FIND("COMMENT",CB5))))+4096*(OR(ISNUMBER(FIND("QTY",CB5)),ISNUMBER(FIND("QUANTITY",CB5))))+8192*(AND(OR(ISNUMBER(FIND("COMPLETE",CB5)),ISNUMBER(FIND("PCT",CB5)),ISNUMBER(FIND("PERCENT",CB5))),NOT(ISNUMBER(FIND("ACTUAL",CB5))),LEN(CB5)&lt;=16))+32768*(OR(ISNUMBER(FIND("DESIC",CB5)),ISNUMBER(FIND("DESSIC",CB5)))))</f>
        <v/>
      </c>
      <c r="CC140">
        <f>IF(CC5="",0,2*(OR(ISNUMBER(FIND("WORKCENTER",CC5)),AND(LEFT(CC5,4)="LINE",NOT(ISNUMBER(FIND("STATUS",CC5))))))+4*(OR(ISNUMBER(FIND("WORKORDER",CC5)),AND(LEFT(CC5,2)="WO",OR(ISNUMBER(FIND("NUM",CC5)),RIGHT(CC5,2)="NO"))))+8*(LEFT(CC5,3)="SEQ")+16*(AND(LEFT(CC5,4)="ITEM",NOT(ISNUMBER(FIND("DESC",CC5)))))+32*(AND(ISNUMBER(FIND("DESC",CC5)),NOT(ISNUMBER(FIND("CAP",CC5)))))+64*(OR(RIGHT(CC5,5)="COUNT",RIGHT(CC5,2)="CT"))+128*(ISNUMBER(FIND("BULK",CC5)))+256*(ISNUMBER(FIND("SIZE",CC5)))+512*(LEFT(CC5,3)="CAP")+1024*(ISNUMBER(FIND("ALLERG",CC5)))+2048*(OR(ISNUMBER(FIND("REMARK",CC5)),ISNUMBER(FIND("COMMENT",CC5))))+4096*(OR(ISNUMBER(FIND("QTY",CC5)),ISNUMBER(FIND("QUANTITY",CC5))))+8192*(AND(OR(ISNUMBER(FIND("COMPLETE",CC5)),ISNUMBER(FIND("PCT",CC5)),ISNUMBER(FIND("PERCENT",CC5))),NOT(ISNUMBER(FIND("ACTUAL",CC5))),LEN(CC5)&lt;=16))+32768*(OR(ISNUMBER(FIND("DESIC",CC5)),ISNUMBER(FIND("DESSIC",CC5)))))</f>
        <v/>
      </c>
      <c r="CD140">
        <f>IF(CD5="",0,2*(OR(ISNUMBER(FIND("WORKCENTER",CD5)),AND(LEFT(CD5,4)="LINE",NOT(ISNUMBER(FIND("STATUS",CD5))))))+4*(OR(ISNUMBER(FIND("WORKORDER",CD5)),AND(LEFT(CD5,2)="WO",OR(ISNUMBER(FIND("NUM",CD5)),RIGHT(CD5,2)="NO"))))+8*(LEFT(CD5,3)="SEQ")+16*(AND(LEFT(CD5,4)="ITEM",NOT(ISNUMBER(FIND("DESC",CD5)))))+32*(AND(ISNUMBER(FIND("DESC",CD5)),NOT(ISNUMBER(FIND("CAP",CD5)))))+64*(OR(RIGHT(CD5,5)="COUNT",RIGHT(CD5,2)="CT"))+128*(ISNUMBER(FIND("BULK",CD5)))+256*(ISNUMBER(FIND("SIZE",CD5)))+512*(LEFT(CD5,3)="CAP")+1024*(ISNUMBER(FIND("ALLERG",CD5)))+2048*(OR(ISNUMBER(FIND("REMARK",CD5)),ISNUMBER(FIND("COMMENT",CD5))))+4096*(OR(ISNUMBER(FIND("QTY",CD5)),ISNUMBER(FIND("QUANTITY",CD5))))+8192*(AND(OR(ISNUMBER(FIND("COMPLETE",CD5)),ISNUMBER(FIND("PCT",CD5)),ISNUMBER(FIND("PERCENT",CD5))),NOT(ISNUMBER(FIND("ACTUAL",CD5))),LEN(CD5)&lt;=16))+32768*(OR(ISNUMBER(FIND("DESIC",CD5)),ISNUMBER(FIND("DESSIC",CD5)))))</f>
        <v/>
      </c>
      <c r="CE140">
        <f>IF(CE5="",0,2*(OR(ISNUMBER(FIND("WORKCENTER",CE5)),AND(LEFT(CE5,4)="LINE",NOT(ISNUMBER(FIND("STATUS",CE5))))))+4*(OR(ISNUMBER(FIND("WORKORDER",CE5)),AND(LEFT(CE5,2)="WO",OR(ISNUMBER(FIND("NUM",CE5)),RIGHT(CE5,2)="NO"))))+8*(LEFT(CE5,3)="SEQ")+16*(AND(LEFT(CE5,4)="ITEM",NOT(ISNUMBER(FIND("DESC",CE5)))))+32*(AND(ISNUMBER(FIND("DESC",CE5)),NOT(ISNUMBER(FIND("CAP",CE5)))))+64*(OR(RIGHT(CE5,5)="COUNT",RIGHT(CE5,2)="CT"))+128*(ISNUMBER(FIND("BULK",CE5)))+256*(ISNUMBER(FIND("SIZE",CE5)))+512*(LEFT(CE5,3)="CAP")+1024*(ISNUMBER(FIND("ALLERG",CE5)))+2048*(OR(ISNUMBER(FIND("REMARK",CE5)),ISNUMBER(FIND("COMMENT",CE5))))+4096*(OR(ISNUMBER(FIND("QTY",CE5)),ISNUMBER(FIND("QUANTITY",CE5))))+8192*(AND(OR(ISNUMBER(FIND("COMPLETE",CE5)),ISNUMBER(FIND("PCT",CE5)),ISNUMBER(FIND("PERCENT",CE5))),NOT(ISNUMBER(FIND("ACTUAL",CE5))),LEN(CE5)&lt;=16))+32768*(OR(ISNUMBER(FIND("DESIC",CE5)),ISNUMBER(FIND("DESSIC",CE5)))))</f>
        <v/>
      </c>
      <c r="CF140">
        <f>IF(CF5="",0,2*(OR(ISNUMBER(FIND("WORKCENTER",CF5)),AND(LEFT(CF5,4)="LINE",NOT(ISNUMBER(FIND("STATUS",CF5))))))+4*(OR(ISNUMBER(FIND("WORKORDER",CF5)),AND(LEFT(CF5,2)="WO",OR(ISNUMBER(FIND("NUM",CF5)),RIGHT(CF5,2)="NO"))))+8*(LEFT(CF5,3)="SEQ")+16*(AND(LEFT(CF5,4)="ITEM",NOT(ISNUMBER(FIND("DESC",CF5)))))+32*(AND(ISNUMBER(FIND("DESC",CF5)),NOT(ISNUMBER(FIND("CAP",CF5)))))+64*(OR(RIGHT(CF5,5)="COUNT",RIGHT(CF5,2)="CT"))+128*(ISNUMBER(FIND("BULK",CF5)))+256*(ISNUMBER(FIND("SIZE",CF5)))+512*(LEFT(CF5,3)="CAP")+1024*(ISNUMBER(FIND("ALLERG",CF5)))+2048*(OR(ISNUMBER(FIND("REMARK",CF5)),ISNUMBER(FIND("COMMENT",CF5))))+4096*(OR(ISNUMBER(FIND("QTY",CF5)),ISNUMBER(FIND("QUANTITY",CF5))))+8192*(AND(OR(ISNUMBER(FIND("COMPLETE",CF5)),ISNUMBER(FIND("PCT",CF5)),ISNUMBER(FIND("PERCENT",CF5))),NOT(ISNUMBER(FIND("ACTUAL",CF5))),LEN(CF5)&lt;=16))+32768*(OR(ISNUMBER(FIND("DESIC",CF5)),ISNUMBER(FIND("DESSIC",CF5)))))</f>
        <v/>
      </c>
      <c r="DA140" t="n">
        <v>136</v>
      </c>
      <c r="DB140">
        <f>IF($B$37=0,"",IFERROR(TRIM(SUBSTITUTE(SUBSTITUTE(SUBSTITUTE(SUBSTITUTE(INDEX(PASTE_ALL,136,$B$37)," "," "),CHAR(9)," "),CHAR(10)," "),CHAR(13)," ")),""))</f>
        <v/>
      </c>
      <c r="DC140">
        <f>IF(AND(136&gt;HEADER_ROW,UPPER(DB140)="LEGEND"),1,0)</f>
        <v/>
      </c>
      <c r="DE140" t="n">
        <v>136</v>
      </c>
      <c r="DF140">
        <f>HEADER_ROW+$DE140</f>
        <v/>
      </c>
      <c r="DG140">
        <f>IF(AND($DF140&lt;=1000,$DF140&lt;$B$8),1,0)</f>
        <v/>
      </c>
      <c r="DH140">
        <f>IF($DG140=1,IFERROR(INDEX($DB$5:$DB$1004,$DF140),""),"")</f>
        <v/>
      </c>
      <c r="DI140">
        <f>IF(AND($DG140=1,$DH140&lt;&gt;""),IFERROR(SUBSTITUTE(SUBSTITUTE(TRIM(SUBSTITUTE(SUBSTITUTE(SUBSTITUTE(SUBSTITUTE(IFERROR(INDEX(PASTE_ALL,$DF140,1)&amp;"","")&amp;"␟"&amp;IFERROR(INDEX(PASTE_ALL,$DF140,2)&amp;"","")&amp;"␟"&amp;IFERROR(INDEX(PASTE_ALL,$DF140,3)&amp;"","")&amp;"␟"&amp;IFERROR(INDEX(PASTE_ALL,$DF140,4)&amp;"","")&amp;"␟"&amp;IFERROR(INDEX(PASTE_ALL,$DF140,5)&amp;"","")&amp;"␟"&amp;IFERROR(INDEX(PASTE_ALL,$DF140,6)&amp;"","")&amp;"␟"&amp;IFERROR(INDEX(PASTE_ALL,$DF140,7)&amp;"","")&amp;"␟"&amp;IFERROR(INDEX(PASTE_ALL,$DF140,8)&amp;"","")&amp;"␟"&amp;IFERROR(INDEX(PASTE_ALL,$DF140,9)&amp;"","")&amp;"␟"&amp;IFERROR(INDEX(PASTE_ALL,$DF140,10)&amp;"","")&amp;"␟"&amp;IFERROR(INDEX(PASTE_ALL,$DF140,11)&amp;"","")&amp;"␟"&amp;IFERROR(INDEX(PASTE_ALL,$DF140,12)&amp;"","")&amp;"␟"&amp;IFERROR(INDEX(PASTE_ALL,$DF140,13)&amp;"","")&amp;"␟"&amp;IFERROR(INDEX(PASTE_ALL,$DF140,14)&amp;"","")&amp;"␟"&amp;IFERROR(INDEX(PASTE_ALL,$DF140,15)&amp;"","")&amp;"␟"&amp;IFERROR(INDEX(PASTE_ALL,$DF140,16)&amp;"","")&amp;"␟"&amp;IFERROR(INDEX(PASTE_ALL,$DF140,17)&amp;"","")&amp;"␟"&amp;IFERROR(INDEX(PASTE_ALL,$DF140,18)&amp;"","")&amp;"␟"&amp;IFERROR(INDEX(PASTE_ALL,$DF140,19)&amp;"","")&amp;"␟"&amp;IFERROR(INDEX(PASTE_ALL,$DF140,20)&amp;"","")&amp;"␟"&amp;IFERROR(INDEX(PASTE_ALL,$DF140,21)&amp;"","")&amp;"␟"&amp;IFERROR(INDEX(PASTE_ALL,$DF140,22)&amp;"","")&amp;"␟"&amp;IFERROR(INDEX(PASTE_ALL,$DF140,23)&amp;"","")&amp;"␟"&amp;IFERROR(INDEX(PASTE_ALL,$DF140,24)&amp;"","")&amp;"␟"&amp;IFERROR(INDEX(PASTE_ALL,$DF140,25)&amp;"","")&amp;"␟"&amp;IFERROR(INDEX(PASTE_ALL,$DF140,26)&amp;"","")&amp;"␟"&amp;IFERROR(INDEX(PASTE_ALL,$DF140,27)&amp;"","")&amp;"␟"&amp;IFERROR(INDEX(PASTE_ALL,$DF140,28)&amp;"","")&amp;"␟"&amp;IFERROR(INDEX(PASTE_ALL,$DF140,29)&amp;"","")&amp;"␟"&amp;IFERROR(INDEX(PASTE_ALL,$DF140,30)&amp;"","")&amp;"␟"&amp;IFERROR(INDEX(PASTE_ALL,$DF140,31)&amp;"","")&amp;"␟"&amp;IFERROR(INDEX(PASTE_ALL,$DF140,32)&amp;"","")&amp;"␟"&amp;IFERROR(INDEX(PASTE_ALL,$DF140,33)&amp;"","")&amp;"␟"&amp;IFERROR(INDEX(PASTE_ALL,$DF140,34)&amp;"","")&amp;"␟"&amp;IFERROR(INDEX(PASTE_ALL,$DF140,35)&amp;"","")&amp;"␟"&amp;IFERROR(INDEX(PASTE_ALL,$DF140,36)&amp;"","")&amp;"␟"&amp;IFERROR(INDEX(PASTE_ALL,$DF140,37)&amp;"","")&amp;"␟"&amp;IFERROR(INDEX(PASTE_ALL,$DF140,38)&amp;"","")&amp;"␟"&amp;IFERROR(INDEX(PASTE_ALL,$DF140,39)&amp;"","")&amp;"␟"&amp;IFERROR(INDEX(PASTE_ALL,$DF140,40)&amp;"","")&amp;"␟"&amp;IFERROR(INDEX(PASTE_ALL,$DF140,41)&amp;"","")&amp;"␟"&amp;IFERROR(INDEX(PASTE_ALL,$DF140,42)&amp;"","")&amp;"␟"&amp;IFERROR(INDEX(PASTE_ALL,$DF140,43)&amp;"","")&amp;"␟"&amp;IFERROR(INDEX(PASTE_ALL,$DF140,44)&amp;"","")&amp;"␟"&amp;IFERROR(INDEX(PASTE_ALL,$DF140,45)&amp;"","")&amp;"␟"&amp;IFERROR(INDEX(PASTE_ALL,$DF140,46)&amp;"","")&amp;"␟"&amp;IFERROR(INDEX(PASTE_ALL,$DF140,47)&amp;"","")&amp;"␟"&amp;IFERROR(INDEX(PASTE_ALL,$DF140,48)&amp;"","")&amp;"␟"&amp;IFERROR(INDEX(PASTE_ALL,$DF140,49)&amp;"","")&amp;"␟"&amp;IFERROR(INDEX(PASTE_ALL,$DF140,50)&amp;"","")&amp;"␟"&amp;IFERROR(INDEX(PASTE_ALL,$DF140,51)&amp;"","")&amp;"␟"&amp;IFERROR(INDEX(PASTE_ALL,$DF140,52)&amp;"","")&amp;"␟"&amp;IFERROR(INDEX(PASTE_ALL,$DF140,53)&amp;"","")&amp;"␟"&amp;IFERROR(INDEX(PASTE_ALL,$DF140,54)&amp;"","")&amp;"␟"&amp;IFERROR(INDEX(PASTE_ALL,$DF140,55)&amp;"","")&amp;"␟"&amp;IFERROR(INDEX(PASTE_ALL,$DF140,56)&amp;"","")&amp;"␟"&amp;IFERROR(INDEX(PASTE_ALL,$DF140,57)&amp;"","")&amp;"␟"&amp;IFERROR(INDEX(PASTE_ALL,$DF140,58)&amp;"","")&amp;"␟"&amp;IFERROR(INDEX(PASTE_ALL,$DF140,59)&amp;"","")&amp;"␟"&amp;IFERROR(INDEX(PASTE_ALL,$DF140,60)&amp;"","")," "," "),CHAR(9)," "),CHAR(10)," "),CHAR(13)," "))," ␟","␟"),"␟ ","␟"),"#"&amp;$DE140),"")</f>
        <v/>
      </c>
      <c r="DJ140">
        <f>IF($DI140="",0,IF(SUMPRODUCT(--EXACT($DI$4:DI139,$DI140))&gt;0,1,0))</f>
        <v/>
      </c>
      <c r="DK140">
        <f>IF(AND($DI140&lt;&gt;"",$DJ140=0),1,0)</f>
        <v/>
      </c>
      <c r="DL140">
        <f>DL139+$DK140</f>
        <v/>
      </c>
      <c r="DM140">
        <f>IF(AND($DK140=1,$DL140&lt;=600),1,0)</f>
        <v/>
      </c>
      <c r="DN140">
        <f>IF($DM140=0,"",IF($L$6=0,"",IFERROR(IF(ISNUMBER(INDEX(PASTE_ALL,$DF140,$L$6)),INDEX(PASTE_ALL,$DF140,$L$6),TRIM(SUBSTITUTE(SUBSTITUTE(SUBSTITUTE(SUBSTITUTE(INDEX(PASTE_ALL,$DF140,$L$6)," "," "),CHAR(9)," "),CHAR(10)," "),CHAR(13)," "))),"")))</f>
        <v/>
      </c>
      <c r="DO140">
        <f>IF($DM140=0,"",IF($L$7=0,"",IFERROR(IF(ISNUMBER(INDEX(PASTE_ALL,$DF140,$L$7)),INDEX(PASTE_ALL,$DF140,$L$7),TRIM(SUBSTITUTE(SUBSTITUTE(SUBSTITUTE(SUBSTITUTE(INDEX(PASTE_ALL,$DF140,$L$7)," "," "),CHAR(9)," "),CHAR(10)," "),CHAR(13)," "))),"")))</f>
        <v/>
      </c>
      <c r="DP140">
        <f>IF($DM140=0,"",IF($L$8=0,"",IFERROR(IF(ISNUMBER(INDEX(PASTE_ALL,$DF140,$L$8)),INDEX(PASTE_ALL,$DF140,$L$8),TRIM(SUBSTITUTE(SUBSTITUTE(SUBSTITUTE(SUBSTITUTE(INDEX(PASTE_ALL,$DF140,$L$8)," "," "),CHAR(9)," "),CHAR(10)," "),CHAR(13)," "))),"")))</f>
        <v/>
      </c>
      <c r="DQ140">
        <f>IF($DM140=0,"",IF($L$9=0,"",IFERROR(IF(ISNUMBER(INDEX(PASTE_ALL,$DF140,$L$9)),INDEX(PASTE_ALL,$DF140,$L$9),TRIM(SUBSTITUTE(SUBSTITUTE(SUBSTITUTE(SUBSTITUTE(INDEX(PASTE_ALL,$DF140,$L$9)," "," "),CHAR(9)," "),CHAR(10)," "),CHAR(13)," "))),"")))</f>
        <v/>
      </c>
      <c r="DR140">
        <f>IF($DM140=0,"",IF($L$10=0,"",IFERROR(IF(ISNUMBER(INDEX(PASTE_ALL,$DF140,$L$10)),INDEX(PASTE_ALL,$DF140,$L$10),TRIM(SUBSTITUTE(SUBSTITUTE(SUBSTITUTE(SUBSTITUTE(INDEX(PASTE_ALL,$DF140,$L$10)," "," "),CHAR(9)," "),CHAR(10)," "),CHAR(13)," "))),"")))</f>
        <v/>
      </c>
      <c r="DS140">
        <f>IF($DM140=0,"",IF($L$11=0,"",IFERROR(IF(ISNUMBER(INDEX(PASTE_ALL,$DF140,$L$11)),INDEX(PASTE_ALL,$DF140,$L$11),TRIM(SUBSTITUTE(SUBSTITUTE(SUBSTITUTE(SUBSTITUTE(INDEX(PASTE_ALL,$DF140,$L$11)," "," "),CHAR(9)," "),CHAR(10)," "),CHAR(13)," "))),"")))</f>
        <v/>
      </c>
      <c r="DT140">
        <f>IF($DM140=0,"",IF($L$12=0,"",IFERROR(IF(ISNUMBER(INDEX(PASTE_ALL,$DF140,$L$12)),INDEX(PASTE_ALL,$DF140,$L$12),TRIM(SUBSTITUTE(SUBSTITUTE(SUBSTITUTE(SUBSTITUTE(INDEX(PASTE_ALL,$DF140,$L$12)," "," "),CHAR(9)," "),CHAR(10)," "),CHAR(13)," "))),"")))</f>
        <v/>
      </c>
      <c r="DU140">
        <f>IF($DM140=0,"",IF($L$13=0,"",IFERROR(IF(ISNUMBER(INDEX(PASTE_ALL,$DF140,$L$13)),INDEX(PASTE_ALL,$DF140,$L$13),TRIM(SUBSTITUTE(SUBSTITUTE(SUBSTITUTE(SUBSTITUTE(INDEX(PASTE_ALL,$DF140,$L$13)," "," "),CHAR(9)," "),CHAR(10)," "),CHAR(13)," "))),"")))</f>
        <v/>
      </c>
      <c r="DV140">
        <f>IF($DM140=0,"",IF($L$14=0,"",IFERROR(IF(ISNUMBER(INDEX(PASTE_ALL,$DF140,$L$14)),INDEX(PASTE_ALL,$DF140,$L$14),TRIM(SUBSTITUTE(SUBSTITUTE(SUBSTITUTE(SUBSTITUTE(INDEX(PASTE_ALL,$DF140,$L$14)," "," "),CHAR(9)," "),CHAR(10)," "),CHAR(13)," "))),"")))</f>
        <v/>
      </c>
      <c r="DW140">
        <f>IF($DM140=0,"",IF($L$15=0,"",IFERROR(IF(ISNUMBER(INDEX(PASTE_ALL,$DF140,$L$15)),INDEX(PASTE_ALL,$DF140,$L$15),IF(SUMPRODUCT(--ISNUMBER(FIND({"A","B","C","D","E","F","G","H","I","J","K","L","M","N","O","P","Q","R","S","T","U","V","W","X","Y","Z","0","1","2","3","4","5","6","7","8","9"},UPPER(TRIM(SUBSTITUTE(SUBSTITUTE(SUBSTITUTE(SUBSTITUTE(INDEX(PASTE_ALL,$DF140,$L$15)," "," "),CHAR(9)," "),CHAR(10)," "),CHAR(13)," "))))))&gt;0,TRIM(SUBSTITUTE(SUBSTITUTE(SUBSTITUTE(SUBSTITUTE(INDEX(PASTE_ALL,$DF140,$L$15)," "," "),CHAR(9)," "),CHAR(10)," "),CHAR(13)," ")),"")),"")))</f>
        <v/>
      </c>
      <c r="DX140">
        <f>IF($DM140=0,"",IF($L$16=0,"",IFERROR(IF(ISNUMBER(INDEX(PASTE_ALL,$DF140,$L$16)),INDEX(PASTE_ALL,$DF140,$L$16),SUBSTITUTE(SUBSTITUTE(TRIM(SUBSTITUTE(SUBSTITUTE(SUBSTITUTE(SUBSTITUTE(INDEX(PASTE_ALL,$DF140,$L$16)," "," "),CHAR(9)," "),CHAR(10)," "),CHAR(13)," ")),",",""),"%","")),"")))</f>
        <v/>
      </c>
      <c r="DY140">
        <f>IF($DM140=0,"",IFERROR(IF(ISNUMBER($DX140),$DX140,IF($DX140="","",IF(TRIM($DX140)="",0,IF(AND(AND(SUBSTITUTE(SUBSTITUTE(SUBSTITUTE(SUBSTITUTE(SUBSTITUTE(SUBSTITUTE(SUBSTITUTE(SUBSTITUTE(SUBSTITUTE(SUBSTITUTE(SUBSTITUTE(SUBSTITUTE(SUBSTITUTE(SUBSTITUTE(UPPER(TRIM($DX140)),"0",""),"1",""),"2",""),"3",""),"4",""),"5",""),"6",""),"7",""),"8",""),"9",""),".",""),"+",""),"-",""),"E","")="",LEN(SUBSTITUTE(SUBSTITUTE(MID(UPPER(TRIM($DX140)),1+OR(LEFT(UPPER(TRIM($DX140)),1)="+",LEFT(UPPER(TRIM($DX140)),1)="-"),999),"E+","E"),"E-","E"))=LEN(SUBSTITUTE(SUBSTITUTE(SUBSTITUTE(SUBSTITUTE(MID(UPPER(TRIM($DX140)),1+OR(LEFT(UPPER(TRIM($DX140)),1)="+",LEFT(UPPER(TRIM($DX140)),1)="-"),999),"E+","E"),"E-","E"),"+",""),"-","")),LEN(UPPER(TRIM($DX140)))-LEN(SUBSTITUTE(UPPER(TRIM($DX140)),"E",""))&lt;2,LEN(UPPER(TRIM($DX140)))-LEN(SUBSTITUTE(UPPER(TRIM($DX140)),".",""))&lt;2,IFERROR(FIND(".",UPPER(TRIM($DX140))),0)&lt;IFERROR(FIND("E",UPPER(TRIM($DX140))),999)),ISNUMBER(VALUE(TRIM($DX140)))),VALUE(TRIM($DX140)),"")))),""))</f>
        <v/>
      </c>
      <c r="DZ140">
        <f>IF($DM140=0,"",IF($L$17=0,"",IFERROR(IF(ISNUMBER(INDEX(PASTE_ALL,$DF140,$L$17)),INDEX(PASTE_ALL,$DF140,$L$17),SUBSTITUTE(SUBSTITUTE(TRIM(SUBSTITUTE(SUBSTITUTE(SUBSTITUTE(SUBSTITUTE(INDEX(PASTE_ALL,$DF140,$L$17)," "," "),CHAR(9)," "),CHAR(10)," "),CHAR(13)," ")),",",""),"%","")),"")))</f>
        <v/>
      </c>
      <c r="EA140">
        <f>IF($DM140=0,"",IFERROR(IF(ISNUMBER($DZ140),$DZ140,IF($DZ140="","",IF(TRIM($DZ140)="",0,IF(AND(AND(SUBSTITUTE(SUBSTITUTE(SUBSTITUTE(SUBSTITUTE(SUBSTITUTE(SUBSTITUTE(SUBSTITUTE(SUBSTITUTE(SUBSTITUTE(SUBSTITUTE(SUBSTITUTE(SUBSTITUTE(SUBSTITUTE(SUBSTITUTE(UPPER(TRIM($DZ140)),"0",""),"1",""),"2",""),"3",""),"4",""),"5",""),"6",""),"7",""),"8",""),"9",""),".",""),"+",""),"-",""),"E","")="",LEN(SUBSTITUTE(SUBSTITUTE(MID(UPPER(TRIM($DZ140)),1+OR(LEFT(UPPER(TRIM($DZ140)),1)="+",LEFT(UPPER(TRIM($DZ140)),1)="-"),999),"E+","E"),"E-","E"))=LEN(SUBSTITUTE(SUBSTITUTE(SUBSTITUTE(SUBSTITUTE(MID(UPPER(TRIM($DZ140)),1+OR(LEFT(UPPER(TRIM($DZ140)),1)="+",LEFT(UPPER(TRIM($DZ140)),1)="-"),999),"E+","E"),"E-","E"),"+",""),"-","")),LEN(UPPER(TRIM($DZ140)))-LEN(SUBSTITUTE(UPPER(TRIM($DZ140)),"E",""))&lt;2,LEN(UPPER(TRIM($DZ140)))-LEN(SUBSTITUTE(UPPER(TRIM($DZ140)),".",""))&lt;2,IFERROR(FIND(".",UPPER(TRIM($DZ140))),0)&lt;IFERROR(FIND("E",UPPER(TRIM($DZ140))),999)),ISNUMBER(VALUE(TRIM($DZ140)))),VALUE(TRIM($DZ140)),"")))),""))</f>
        <v/>
      </c>
      <c r="EB140">
        <f>IF($DM140=0,"",IF($L$18=0,"",IFERROR(IF(UPPER(TRIM(SUBSTITUTE(SUBSTITUTE(SUBSTITUTE(SUBSTITUTE(INDEX(PASTE_ALL,$DF140,$L$18)," "," "),CHAR(9)," "),CHAR(10)," "),CHAR(13)," ")))="READY","Ready",IF(UPPER(TRIM(SUBSTITUTE(SUBSTITUTE(SUBSTITUTE(SUBSTITUTE(INDEX(PASTE_ALL,$DF140,$L$18)," "," "),CHAR(9)," "),CHAR(10)," "),CHAR(13)," ")))="PM","PM",IF(OR(UPPER(TRIM(SUBSTITUTE(SUBSTITUTE(SUBSTITUTE(SUBSTITUTE(INDEX(PASTE_ALL,$DF140,$L$18)," "," "),CHAR(9)," "),CHAR(10)," "),CHAR(13)," ")))="OT",UPPER(TRIM(SUBSTITUTE(SUBSTITUTE(SUBSTITUTE(SUBSTITUTE(INDEX(PASTE_ALL,$DF140,$L$18)," "," "),CHAR(9)," "),CHAR(10)," "),CHAR(13)," ")))="OVERTIME",UPPER(TRIM(SUBSTITUTE(SUBSTITUTE(SUBSTITUTE(SUBSTITUTE(INDEX(PASTE_ALL,$DF140,$L$18)," "," "),CHAR(9)," "),CHAR(10)," "),CHAR(13)," ")))="TRIAL"),"OT",TRIM(SUBSTITUTE(SUBSTITUTE(SUBSTITUTE(SUBSTITUTE(INDEX(PASTE_ALL,$DF140,$L$18)," "," "),CHAR(9)," "),CHAR(10)," "),CHAR(13)," "))))),"")))</f>
        <v/>
      </c>
      <c r="EC140">
        <f>IF($DM140=0,"",IF($L$19=0,"",IFERROR(IF(ISNUMBER(INDEX(PASTE_ALL,$DF140,$L$19)),INDEX(PASTE_ALL,$DF140,$L$19),TRIM(SUBSTITUTE(SUBSTITUTE(SUBSTITUTE(SUBSTITUTE(INDEX(PASTE_ALL,$DF140,$L$19)," "," "),CHAR(9)," "),CHAR(10)," "),CHAR(13)," "))),"")))</f>
        <v/>
      </c>
      <c r="ED140">
        <f>IF($DM140=0,"",MATCH(1,INDEX(EXACT($DH$5:DH140,$DH140)*$DM$5:DM140,0),0))</f>
        <v/>
      </c>
      <c r="EE140">
        <f>IF($DM140=0,0,IF($ED140=$DE140,1,0))</f>
        <v/>
      </c>
      <c r="EF140">
        <f>EF139+$EE140</f>
        <v/>
      </c>
      <c r="EG140">
        <f>IF($DM140=0,"",INDEX($EF$5:$EF$1003,$ED140))</f>
        <v/>
      </c>
      <c r="EH140">
        <f>IF($DM140=0,"",IF($DO140&lt;&gt;"","",IFERROR(LOOKUP(2,1/(($EG$4:EG139=$EG140)*($DO$4:DO139&lt;&gt;"")),$DO$4:DO139),"")))</f>
        <v/>
      </c>
      <c r="EI140">
        <f>IF($DM140=0,"",IF($DO140&lt;&gt;"",$DO140,$EH140))</f>
        <v/>
      </c>
      <c r="EJ140">
        <f>IF($DM140=0,"",IF($EI140="",0,IF(OR(ISNUMBER($EI140),AND(AND(SUBSTITUTE(SUBSTITUTE(SUBSTITUTE(SUBSTITUTE(SUBSTITUTE(SUBSTITUTE(SUBSTITUTE(SUBSTITUTE(SUBSTITUTE(SUBSTITUTE(SUBSTITUTE(SUBSTITUTE(SUBSTITUTE(SUBSTITUTE(UPPER($EI140),"0",""),"1",""),"2",""),"3",""),"4",""),"5",""),"6",""),"7",""),"8",""),"9",""),".",""),"+",""),"-",""),"E","")="",LEN(SUBSTITUTE(SUBSTITUTE(MID(UPPER($EI140),1+OR(LEFT(UPPER($EI140),1)="+",LEFT(UPPER($EI140),1)="-"),999),"E+","E"),"E-","E"))=LEN(SUBSTITUTE(SUBSTITUTE(SUBSTITUTE(SUBSTITUTE(MID(UPPER($EI140),1+OR(LEFT(UPPER($EI140),1)="+",LEFT(UPPER($EI140),1)="-"),999),"E+","E"),"E-","E"),"+",""),"-","")),LEN(UPPER($EI140))-LEN(SUBSTITUTE(UPPER($EI140),"E",""))&lt;2,LEN(UPPER($EI140))-LEN(SUBSTITUTE(UPPER($EI140),".",""))&lt;2,IFERROR(FIND(".",UPPER($EI140)),0)&lt;IFERROR(FIND("E",UPPER($EI140)),999)),ISNUMBER(VALUE($EI140)))),1,2)))</f>
        <v/>
      </c>
      <c r="EK140">
        <f>IF($DM140=0,"",IF($EJ140=1,IF(ISNUMBER($EI140),$EI140,VALUE($EI140)),IF($EJ140=2,$DE140,0)))</f>
        <v/>
      </c>
      <c r="EL140">
        <f>IF($DM140=0,"",COUNTIF($EG$5:$EG$1003,"&lt;"&amp;$EG140)+SUMPRODUCT(($EG$5:$EG$1003=$EG140)*(($EJ$5:$EJ$1003&lt;$EJ140)+($EJ$5:$EJ$1003=$EJ140)*(($EK$5:$EK$1003&lt;$EK140)+($EK$5:$EK$1003=$EK140)*($DE$5:$DE$1003&lt;$DE140))))+1)</f>
        <v/>
      </c>
      <c r="EM140">
        <f>IF($DM140=0,"",$EL140+$EG140-1)</f>
        <v/>
      </c>
      <c r="EN140">
        <f>IF($DM140=0,0,IFERROR(MATCH(1,INDEX(--(TRIM(SUBSTITUTE(SUBSTITUTE(SUBSTITUTE(SUBSTITUTE(LINES_NAME&amp;""," "," "),CHAR(9)," "),CHAR(10)," "),CHAR(13)," "))=$DH140),0),0),0))</f>
        <v/>
      </c>
      <c r="EO140">
        <f>IF($EN140=0,0,IF(OR(UPPER(TRIM(INDEX(LINES_SCHEDULED,$EN140)&amp;""))="YES",UPPER(TRIM(INDEX(LINES_SCHEDULED,$EN140)&amp;""))="Y",UPPER(TRIM(INDEX(LINES_SCHEDULED,$EN140)&amp;""))="X"),1,0))</f>
        <v/>
      </c>
      <c r="EP140">
        <f>IF($DM140=0,"",IF(COUNTIFS($EG$5:$EG$1003,$EG140,$EB$5:$EB$1003,"Ready")&gt;0,"READY",IF(COUNTIFS($EG$5:$EG$1003,$EG140,$EB$5:$EB$1003,"PM")&gt;0,"PM",IF(COUNTIFS($EG$5:$EG$1003,$EG140,$EB$5:$EB$1003,"OT")&gt;0,"OT",""))))</f>
        <v/>
      </c>
      <c r="EQ140">
        <f>IF($EN140=0,"",UPPER(TRIM(INDEX(LINES_STATUS,$EN140)&amp;"")))</f>
        <v/>
      </c>
      <c r="ER140">
        <f>IF($DM140=0,"",IF(OR($EQ140="READY",$EQ140="PM",$EQ140="OT"),$EQ140,$EP140))</f>
        <v/>
      </c>
      <c r="ES140">
        <f>IF($DM140=0,"",IF(AND($DV140&lt;&gt;"",UPPER($DV140)&lt;&gt;"N"),"allergen",IF(ISNUMBER(SEARCH("oil",$DQ140)),"oil",IF(OR(EXACT($DS140,"A662"),EXACT($DS140,"A624")),"bulk",""))))</f>
        <v/>
      </c>
      <c r="ET140">
        <f>IF($DM140=0,"",IF(OR($EA140="",$EA140=0),"",$EA140/100))</f>
        <v/>
      </c>
      <c r="EU140">
        <f>IF(OR($ET140="",$DY140=""),"",INT($DY140*(1-$ET140)+0.5))</f>
        <v/>
      </c>
      <c r="EW140" t="n">
        <v>136</v>
      </c>
      <c r="EX140">
        <f>IFERROR(MATCH($EW140,$EM$5:$EM$1003,0),0)</f>
        <v/>
      </c>
      <c r="EY140">
        <f>IF($EW140&gt;$B$12,"",IF($EX140&gt;0,"row","spacer"))</f>
        <v/>
      </c>
      <c r="EZ140">
        <f>IF(AND($EY140="row",$EY139&lt;&gt;"row"),1,0)</f>
        <v/>
      </c>
      <c r="FA140">
        <f>IF(AND($EY140="row",$EY141&lt;&gt;"row"),1,0)</f>
        <v/>
      </c>
      <c r="FB140">
        <f>IF($EZ140=1,IFERROR(IF(ISNUMBER(INDEX(PASTE_ALL,INDEX($DF$5:$DF$1003,$EX140),$B$37)),INDEX(PASTE_ALL,INDEX($DF$5:$DF$1003,$EX140),$B$37),INDEX($DH$5:$DH$1003,$EX140)),INDEX($DH$5:$DH$1003,$EX140)),"")</f>
        <v/>
      </c>
      <c r="FC140">
        <f>IF($EY140="row",INDEX($ER$5:$ER$1003,$EX140),"")</f>
        <v/>
      </c>
      <c r="FD140">
        <f>IF($EY140="row",INDEX($DN$5:$DN$1003,$EX140),"")</f>
        <v/>
      </c>
      <c r="FE140">
        <f>IF($EY140="row",INDEX($DO$5:$DO$1003,$EX140),"")</f>
        <v/>
      </c>
      <c r="FF140">
        <f>IF($EY140="row",INDEX($DP$5:$DP$1003,$EX140),"")</f>
        <v/>
      </c>
      <c r="FG140">
        <f>IF($EY140="row",INDEX($DQ$5:$DQ$1003,$EX140),"")</f>
        <v/>
      </c>
      <c r="FH140">
        <f>IF($EY140="row",INDEX($DR$5:$DR$1003,$EX140),"")</f>
        <v/>
      </c>
      <c r="FI140">
        <f>IF($EY140="row",INDEX($DS$5:$DS$1003,$EX140),"")</f>
        <v/>
      </c>
      <c r="FJ140">
        <f>IF($EY140="row",INDEX($DT$5:$DT$1003,$EX140),"")</f>
        <v/>
      </c>
      <c r="FK140">
        <f>IF($EY140="row",INDEX($DU$5:$DU$1003,$EX140),"")</f>
        <v/>
      </c>
      <c r="FL140">
        <f>IF($EY140="row",INDEX($DV$5:$DV$1003,$EX140),"")</f>
        <v/>
      </c>
      <c r="FM140">
        <f>IF($EY140="row",INDEX($DW$5:$DW$1003,$EX140),"")</f>
        <v/>
      </c>
      <c r="FN140">
        <f>IF($EY140="row",INDEX($DY$5:$DY$1003,$EX140),"")</f>
        <v/>
      </c>
      <c r="FO140">
        <f>IF($EY140="row",INDEX($EA$5:$EA$1003,$EX140),"")</f>
        <v/>
      </c>
      <c r="FP140">
        <f>IF($EY140="row",INDEX($EC$5:$EC$1003,$EX140),"")</f>
        <v/>
      </c>
      <c r="FQ140">
        <f>IF($EY140="row",INDEX($ET$5:$ET$1003,$EX140),"")</f>
        <v/>
      </c>
      <c r="FR140">
        <f>IF($EY140="row",INDEX($EU$5:$EU$1003,$EX140),"")</f>
        <v/>
      </c>
      <c r="FS140">
        <f>IF(AND($EY140="row",$EY139="row"),IF(OR(INDEX($DT$5:$DT$1003,$EX139)="",INDEX($DT$5:$DT$1003,$EX140)=""),"",IF(NOT(EXACT(INDEX($DT$5:$DT$1003,$EX139),INDEX($DT$5:$DT$1003,$EX140))),"S4",IF(NOT(EXACT(INDEX($DS$5:$DS$1003,$EX139),INDEX($DS$5:$DS$1003,$EX140))),"S3",IF(NOT(EXACT(INDEX($DR$5:$DR$1003,$EX139),INDEX($DR$5:$DR$1003,$EX140))),"S1 Count Change","S1")))),"")</f>
        <v/>
      </c>
      <c r="FT140">
        <f>IF($EY140="row",INDEX($ES$5:$ES$1003,$EX140),"")</f>
        <v/>
      </c>
      <c r="FU140">
        <f>IF($EY140="row",INDEX($EO$5:$EO$1003,$EX140),0)</f>
        <v/>
      </c>
      <c r="FV140">
        <f>IF($FS140="S1 Count Change",1,0)</f>
        <v/>
      </c>
    </row>
    <row r="141">
      <c r="Y141">
        <f>IF(Y6="",0,2*(OR(ISNUMBER(FIND("WORKCENTER",Y6)),AND(LEFT(Y6,4)="LINE",NOT(ISNUMBER(FIND("STATUS",Y6))))))+4*(OR(ISNUMBER(FIND("WORKORDER",Y6)),AND(LEFT(Y6,2)="WO",OR(ISNUMBER(FIND("NUM",Y6)),RIGHT(Y6,2)="NO"))))+8*(LEFT(Y6,3)="SEQ")+16*(AND(LEFT(Y6,4)="ITEM",NOT(ISNUMBER(FIND("DESC",Y6)))))+32*(AND(ISNUMBER(FIND("DESC",Y6)),NOT(ISNUMBER(FIND("CAP",Y6)))))+64*(OR(RIGHT(Y6,5)="COUNT",RIGHT(Y6,2)="CT"))+128*(ISNUMBER(FIND("BULK",Y6)))+256*(ISNUMBER(FIND("SIZE",Y6)))+512*(LEFT(Y6,3)="CAP")+1024*(ISNUMBER(FIND("ALLERG",Y6)))+2048*(OR(ISNUMBER(FIND("REMARK",Y6)),ISNUMBER(FIND("COMMENT",Y6))))+4096*(OR(ISNUMBER(FIND("QTY",Y6)),ISNUMBER(FIND("QUANTITY",Y6))))+8192*(AND(OR(ISNUMBER(FIND("COMPLETE",Y6)),ISNUMBER(FIND("PCT",Y6)),ISNUMBER(FIND("PERCENT",Y6))),NOT(ISNUMBER(FIND("ACTUAL",Y6))),LEN(Y6)&lt;=16))+32768*(OR(ISNUMBER(FIND("DESIC",Y6)),ISNUMBER(FIND("DESSIC",Y6)))))</f>
        <v/>
      </c>
      <c r="Z141">
        <f>IF(Z6="",0,2*(OR(ISNUMBER(FIND("WORKCENTER",Z6)),AND(LEFT(Z6,4)="LINE",NOT(ISNUMBER(FIND("STATUS",Z6))))))+4*(OR(ISNUMBER(FIND("WORKORDER",Z6)),AND(LEFT(Z6,2)="WO",OR(ISNUMBER(FIND("NUM",Z6)),RIGHT(Z6,2)="NO"))))+8*(LEFT(Z6,3)="SEQ")+16*(AND(LEFT(Z6,4)="ITEM",NOT(ISNUMBER(FIND("DESC",Z6)))))+32*(AND(ISNUMBER(FIND("DESC",Z6)),NOT(ISNUMBER(FIND("CAP",Z6)))))+64*(OR(RIGHT(Z6,5)="COUNT",RIGHT(Z6,2)="CT"))+128*(ISNUMBER(FIND("BULK",Z6)))+256*(ISNUMBER(FIND("SIZE",Z6)))+512*(LEFT(Z6,3)="CAP")+1024*(ISNUMBER(FIND("ALLERG",Z6)))+2048*(OR(ISNUMBER(FIND("REMARK",Z6)),ISNUMBER(FIND("COMMENT",Z6))))+4096*(OR(ISNUMBER(FIND("QTY",Z6)),ISNUMBER(FIND("QUANTITY",Z6))))+8192*(AND(OR(ISNUMBER(FIND("COMPLETE",Z6)),ISNUMBER(FIND("PCT",Z6)),ISNUMBER(FIND("PERCENT",Z6))),NOT(ISNUMBER(FIND("ACTUAL",Z6))),LEN(Z6)&lt;=16))+32768*(OR(ISNUMBER(FIND("DESIC",Z6)),ISNUMBER(FIND("DESSIC",Z6)))))</f>
        <v/>
      </c>
      <c r="AA141">
        <f>IF(AA6="",0,2*(OR(ISNUMBER(FIND("WORKCENTER",AA6)),AND(LEFT(AA6,4)="LINE",NOT(ISNUMBER(FIND("STATUS",AA6))))))+4*(OR(ISNUMBER(FIND("WORKORDER",AA6)),AND(LEFT(AA6,2)="WO",OR(ISNUMBER(FIND("NUM",AA6)),RIGHT(AA6,2)="NO"))))+8*(LEFT(AA6,3)="SEQ")+16*(AND(LEFT(AA6,4)="ITEM",NOT(ISNUMBER(FIND("DESC",AA6)))))+32*(AND(ISNUMBER(FIND("DESC",AA6)),NOT(ISNUMBER(FIND("CAP",AA6)))))+64*(OR(RIGHT(AA6,5)="COUNT",RIGHT(AA6,2)="CT"))+128*(ISNUMBER(FIND("BULK",AA6)))+256*(ISNUMBER(FIND("SIZE",AA6)))+512*(LEFT(AA6,3)="CAP")+1024*(ISNUMBER(FIND("ALLERG",AA6)))+2048*(OR(ISNUMBER(FIND("REMARK",AA6)),ISNUMBER(FIND("COMMENT",AA6))))+4096*(OR(ISNUMBER(FIND("QTY",AA6)),ISNUMBER(FIND("QUANTITY",AA6))))+8192*(AND(OR(ISNUMBER(FIND("COMPLETE",AA6)),ISNUMBER(FIND("PCT",AA6)),ISNUMBER(FIND("PERCENT",AA6))),NOT(ISNUMBER(FIND("ACTUAL",AA6))),LEN(AA6)&lt;=16))+32768*(OR(ISNUMBER(FIND("DESIC",AA6)),ISNUMBER(FIND("DESSIC",AA6)))))</f>
        <v/>
      </c>
      <c r="AB141">
        <f>IF(AB6="",0,2*(OR(ISNUMBER(FIND("WORKCENTER",AB6)),AND(LEFT(AB6,4)="LINE",NOT(ISNUMBER(FIND("STATUS",AB6))))))+4*(OR(ISNUMBER(FIND("WORKORDER",AB6)),AND(LEFT(AB6,2)="WO",OR(ISNUMBER(FIND("NUM",AB6)),RIGHT(AB6,2)="NO"))))+8*(LEFT(AB6,3)="SEQ")+16*(AND(LEFT(AB6,4)="ITEM",NOT(ISNUMBER(FIND("DESC",AB6)))))+32*(AND(ISNUMBER(FIND("DESC",AB6)),NOT(ISNUMBER(FIND("CAP",AB6)))))+64*(OR(RIGHT(AB6,5)="COUNT",RIGHT(AB6,2)="CT"))+128*(ISNUMBER(FIND("BULK",AB6)))+256*(ISNUMBER(FIND("SIZE",AB6)))+512*(LEFT(AB6,3)="CAP")+1024*(ISNUMBER(FIND("ALLERG",AB6)))+2048*(OR(ISNUMBER(FIND("REMARK",AB6)),ISNUMBER(FIND("COMMENT",AB6))))+4096*(OR(ISNUMBER(FIND("QTY",AB6)),ISNUMBER(FIND("QUANTITY",AB6))))+8192*(AND(OR(ISNUMBER(FIND("COMPLETE",AB6)),ISNUMBER(FIND("PCT",AB6)),ISNUMBER(FIND("PERCENT",AB6))),NOT(ISNUMBER(FIND("ACTUAL",AB6))),LEN(AB6)&lt;=16))+32768*(OR(ISNUMBER(FIND("DESIC",AB6)),ISNUMBER(FIND("DESSIC",AB6)))))</f>
        <v/>
      </c>
      <c r="AC141">
        <f>IF(AC6="",0,2*(OR(ISNUMBER(FIND("WORKCENTER",AC6)),AND(LEFT(AC6,4)="LINE",NOT(ISNUMBER(FIND("STATUS",AC6))))))+4*(OR(ISNUMBER(FIND("WORKORDER",AC6)),AND(LEFT(AC6,2)="WO",OR(ISNUMBER(FIND("NUM",AC6)),RIGHT(AC6,2)="NO"))))+8*(LEFT(AC6,3)="SEQ")+16*(AND(LEFT(AC6,4)="ITEM",NOT(ISNUMBER(FIND("DESC",AC6)))))+32*(AND(ISNUMBER(FIND("DESC",AC6)),NOT(ISNUMBER(FIND("CAP",AC6)))))+64*(OR(RIGHT(AC6,5)="COUNT",RIGHT(AC6,2)="CT"))+128*(ISNUMBER(FIND("BULK",AC6)))+256*(ISNUMBER(FIND("SIZE",AC6)))+512*(LEFT(AC6,3)="CAP")+1024*(ISNUMBER(FIND("ALLERG",AC6)))+2048*(OR(ISNUMBER(FIND("REMARK",AC6)),ISNUMBER(FIND("COMMENT",AC6))))+4096*(OR(ISNUMBER(FIND("QTY",AC6)),ISNUMBER(FIND("QUANTITY",AC6))))+8192*(AND(OR(ISNUMBER(FIND("COMPLETE",AC6)),ISNUMBER(FIND("PCT",AC6)),ISNUMBER(FIND("PERCENT",AC6))),NOT(ISNUMBER(FIND("ACTUAL",AC6))),LEN(AC6)&lt;=16))+32768*(OR(ISNUMBER(FIND("DESIC",AC6)),ISNUMBER(FIND("DESSIC",AC6)))))</f>
        <v/>
      </c>
      <c r="AD141">
        <f>IF(AD6="",0,2*(OR(ISNUMBER(FIND("WORKCENTER",AD6)),AND(LEFT(AD6,4)="LINE",NOT(ISNUMBER(FIND("STATUS",AD6))))))+4*(OR(ISNUMBER(FIND("WORKORDER",AD6)),AND(LEFT(AD6,2)="WO",OR(ISNUMBER(FIND("NUM",AD6)),RIGHT(AD6,2)="NO"))))+8*(LEFT(AD6,3)="SEQ")+16*(AND(LEFT(AD6,4)="ITEM",NOT(ISNUMBER(FIND("DESC",AD6)))))+32*(AND(ISNUMBER(FIND("DESC",AD6)),NOT(ISNUMBER(FIND("CAP",AD6)))))+64*(OR(RIGHT(AD6,5)="COUNT",RIGHT(AD6,2)="CT"))+128*(ISNUMBER(FIND("BULK",AD6)))+256*(ISNUMBER(FIND("SIZE",AD6)))+512*(LEFT(AD6,3)="CAP")+1024*(ISNUMBER(FIND("ALLERG",AD6)))+2048*(OR(ISNUMBER(FIND("REMARK",AD6)),ISNUMBER(FIND("COMMENT",AD6))))+4096*(OR(ISNUMBER(FIND("QTY",AD6)),ISNUMBER(FIND("QUANTITY",AD6))))+8192*(AND(OR(ISNUMBER(FIND("COMPLETE",AD6)),ISNUMBER(FIND("PCT",AD6)),ISNUMBER(FIND("PERCENT",AD6))),NOT(ISNUMBER(FIND("ACTUAL",AD6))),LEN(AD6)&lt;=16))+32768*(OR(ISNUMBER(FIND("DESIC",AD6)),ISNUMBER(FIND("DESSIC",AD6)))))</f>
        <v/>
      </c>
      <c r="AE141">
        <f>IF(AE6="",0,2*(OR(ISNUMBER(FIND("WORKCENTER",AE6)),AND(LEFT(AE6,4)="LINE",NOT(ISNUMBER(FIND("STATUS",AE6))))))+4*(OR(ISNUMBER(FIND("WORKORDER",AE6)),AND(LEFT(AE6,2)="WO",OR(ISNUMBER(FIND("NUM",AE6)),RIGHT(AE6,2)="NO"))))+8*(LEFT(AE6,3)="SEQ")+16*(AND(LEFT(AE6,4)="ITEM",NOT(ISNUMBER(FIND("DESC",AE6)))))+32*(AND(ISNUMBER(FIND("DESC",AE6)),NOT(ISNUMBER(FIND("CAP",AE6)))))+64*(OR(RIGHT(AE6,5)="COUNT",RIGHT(AE6,2)="CT"))+128*(ISNUMBER(FIND("BULK",AE6)))+256*(ISNUMBER(FIND("SIZE",AE6)))+512*(LEFT(AE6,3)="CAP")+1024*(ISNUMBER(FIND("ALLERG",AE6)))+2048*(OR(ISNUMBER(FIND("REMARK",AE6)),ISNUMBER(FIND("COMMENT",AE6))))+4096*(OR(ISNUMBER(FIND("QTY",AE6)),ISNUMBER(FIND("QUANTITY",AE6))))+8192*(AND(OR(ISNUMBER(FIND("COMPLETE",AE6)),ISNUMBER(FIND("PCT",AE6)),ISNUMBER(FIND("PERCENT",AE6))),NOT(ISNUMBER(FIND("ACTUAL",AE6))),LEN(AE6)&lt;=16))+32768*(OR(ISNUMBER(FIND("DESIC",AE6)),ISNUMBER(FIND("DESSIC",AE6)))))</f>
        <v/>
      </c>
      <c r="AF141">
        <f>IF(AF6="",0,2*(OR(ISNUMBER(FIND("WORKCENTER",AF6)),AND(LEFT(AF6,4)="LINE",NOT(ISNUMBER(FIND("STATUS",AF6))))))+4*(OR(ISNUMBER(FIND("WORKORDER",AF6)),AND(LEFT(AF6,2)="WO",OR(ISNUMBER(FIND("NUM",AF6)),RIGHT(AF6,2)="NO"))))+8*(LEFT(AF6,3)="SEQ")+16*(AND(LEFT(AF6,4)="ITEM",NOT(ISNUMBER(FIND("DESC",AF6)))))+32*(AND(ISNUMBER(FIND("DESC",AF6)),NOT(ISNUMBER(FIND("CAP",AF6)))))+64*(OR(RIGHT(AF6,5)="COUNT",RIGHT(AF6,2)="CT"))+128*(ISNUMBER(FIND("BULK",AF6)))+256*(ISNUMBER(FIND("SIZE",AF6)))+512*(LEFT(AF6,3)="CAP")+1024*(ISNUMBER(FIND("ALLERG",AF6)))+2048*(OR(ISNUMBER(FIND("REMARK",AF6)),ISNUMBER(FIND("COMMENT",AF6))))+4096*(OR(ISNUMBER(FIND("QTY",AF6)),ISNUMBER(FIND("QUANTITY",AF6))))+8192*(AND(OR(ISNUMBER(FIND("COMPLETE",AF6)),ISNUMBER(FIND("PCT",AF6)),ISNUMBER(FIND("PERCENT",AF6))),NOT(ISNUMBER(FIND("ACTUAL",AF6))),LEN(AF6)&lt;=16))+32768*(OR(ISNUMBER(FIND("DESIC",AF6)),ISNUMBER(FIND("DESSIC",AF6)))))</f>
        <v/>
      </c>
      <c r="AG141">
        <f>IF(AG6="",0,2*(OR(ISNUMBER(FIND("WORKCENTER",AG6)),AND(LEFT(AG6,4)="LINE",NOT(ISNUMBER(FIND("STATUS",AG6))))))+4*(OR(ISNUMBER(FIND("WORKORDER",AG6)),AND(LEFT(AG6,2)="WO",OR(ISNUMBER(FIND("NUM",AG6)),RIGHT(AG6,2)="NO"))))+8*(LEFT(AG6,3)="SEQ")+16*(AND(LEFT(AG6,4)="ITEM",NOT(ISNUMBER(FIND("DESC",AG6)))))+32*(AND(ISNUMBER(FIND("DESC",AG6)),NOT(ISNUMBER(FIND("CAP",AG6)))))+64*(OR(RIGHT(AG6,5)="COUNT",RIGHT(AG6,2)="CT"))+128*(ISNUMBER(FIND("BULK",AG6)))+256*(ISNUMBER(FIND("SIZE",AG6)))+512*(LEFT(AG6,3)="CAP")+1024*(ISNUMBER(FIND("ALLERG",AG6)))+2048*(OR(ISNUMBER(FIND("REMARK",AG6)),ISNUMBER(FIND("COMMENT",AG6))))+4096*(OR(ISNUMBER(FIND("QTY",AG6)),ISNUMBER(FIND("QUANTITY",AG6))))+8192*(AND(OR(ISNUMBER(FIND("COMPLETE",AG6)),ISNUMBER(FIND("PCT",AG6)),ISNUMBER(FIND("PERCENT",AG6))),NOT(ISNUMBER(FIND("ACTUAL",AG6))),LEN(AG6)&lt;=16))+32768*(OR(ISNUMBER(FIND("DESIC",AG6)),ISNUMBER(FIND("DESSIC",AG6)))))</f>
        <v/>
      </c>
      <c r="AH141">
        <f>IF(AH6="",0,2*(OR(ISNUMBER(FIND("WORKCENTER",AH6)),AND(LEFT(AH6,4)="LINE",NOT(ISNUMBER(FIND("STATUS",AH6))))))+4*(OR(ISNUMBER(FIND("WORKORDER",AH6)),AND(LEFT(AH6,2)="WO",OR(ISNUMBER(FIND("NUM",AH6)),RIGHT(AH6,2)="NO"))))+8*(LEFT(AH6,3)="SEQ")+16*(AND(LEFT(AH6,4)="ITEM",NOT(ISNUMBER(FIND("DESC",AH6)))))+32*(AND(ISNUMBER(FIND("DESC",AH6)),NOT(ISNUMBER(FIND("CAP",AH6)))))+64*(OR(RIGHT(AH6,5)="COUNT",RIGHT(AH6,2)="CT"))+128*(ISNUMBER(FIND("BULK",AH6)))+256*(ISNUMBER(FIND("SIZE",AH6)))+512*(LEFT(AH6,3)="CAP")+1024*(ISNUMBER(FIND("ALLERG",AH6)))+2048*(OR(ISNUMBER(FIND("REMARK",AH6)),ISNUMBER(FIND("COMMENT",AH6))))+4096*(OR(ISNUMBER(FIND("QTY",AH6)),ISNUMBER(FIND("QUANTITY",AH6))))+8192*(AND(OR(ISNUMBER(FIND("COMPLETE",AH6)),ISNUMBER(FIND("PCT",AH6)),ISNUMBER(FIND("PERCENT",AH6))),NOT(ISNUMBER(FIND("ACTUAL",AH6))),LEN(AH6)&lt;=16))+32768*(OR(ISNUMBER(FIND("DESIC",AH6)),ISNUMBER(FIND("DESSIC",AH6)))))</f>
        <v/>
      </c>
      <c r="AI141">
        <f>IF(AI6="",0,2*(OR(ISNUMBER(FIND("WORKCENTER",AI6)),AND(LEFT(AI6,4)="LINE",NOT(ISNUMBER(FIND("STATUS",AI6))))))+4*(OR(ISNUMBER(FIND("WORKORDER",AI6)),AND(LEFT(AI6,2)="WO",OR(ISNUMBER(FIND("NUM",AI6)),RIGHT(AI6,2)="NO"))))+8*(LEFT(AI6,3)="SEQ")+16*(AND(LEFT(AI6,4)="ITEM",NOT(ISNUMBER(FIND("DESC",AI6)))))+32*(AND(ISNUMBER(FIND("DESC",AI6)),NOT(ISNUMBER(FIND("CAP",AI6)))))+64*(OR(RIGHT(AI6,5)="COUNT",RIGHT(AI6,2)="CT"))+128*(ISNUMBER(FIND("BULK",AI6)))+256*(ISNUMBER(FIND("SIZE",AI6)))+512*(LEFT(AI6,3)="CAP")+1024*(ISNUMBER(FIND("ALLERG",AI6)))+2048*(OR(ISNUMBER(FIND("REMARK",AI6)),ISNUMBER(FIND("COMMENT",AI6))))+4096*(OR(ISNUMBER(FIND("QTY",AI6)),ISNUMBER(FIND("QUANTITY",AI6))))+8192*(AND(OR(ISNUMBER(FIND("COMPLETE",AI6)),ISNUMBER(FIND("PCT",AI6)),ISNUMBER(FIND("PERCENT",AI6))),NOT(ISNUMBER(FIND("ACTUAL",AI6))),LEN(AI6)&lt;=16))+32768*(OR(ISNUMBER(FIND("DESIC",AI6)),ISNUMBER(FIND("DESSIC",AI6)))))</f>
        <v/>
      </c>
      <c r="AJ141">
        <f>IF(AJ6="",0,2*(OR(ISNUMBER(FIND("WORKCENTER",AJ6)),AND(LEFT(AJ6,4)="LINE",NOT(ISNUMBER(FIND("STATUS",AJ6))))))+4*(OR(ISNUMBER(FIND("WORKORDER",AJ6)),AND(LEFT(AJ6,2)="WO",OR(ISNUMBER(FIND("NUM",AJ6)),RIGHT(AJ6,2)="NO"))))+8*(LEFT(AJ6,3)="SEQ")+16*(AND(LEFT(AJ6,4)="ITEM",NOT(ISNUMBER(FIND("DESC",AJ6)))))+32*(AND(ISNUMBER(FIND("DESC",AJ6)),NOT(ISNUMBER(FIND("CAP",AJ6)))))+64*(OR(RIGHT(AJ6,5)="COUNT",RIGHT(AJ6,2)="CT"))+128*(ISNUMBER(FIND("BULK",AJ6)))+256*(ISNUMBER(FIND("SIZE",AJ6)))+512*(LEFT(AJ6,3)="CAP")+1024*(ISNUMBER(FIND("ALLERG",AJ6)))+2048*(OR(ISNUMBER(FIND("REMARK",AJ6)),ISNUMBER(FIND("COMMENT",AJ6))))+4096*(OR(ISNUMBER(FIND("QTY",AJ6)),ISNUMBER(FIND("QUANTITY",AJ6))))+8192*(AND(OR(ISNUMBER(FIND("COMPLETE",AJ6)),ISNUMBER(FIND("PCT",AJ6)),ISNUMBER(FIND("PERCENT",AJ6))),NOT(ISNUMBER(FIND("ACTUAL",AJ6))),LEN(AJ6)&lt;=16))+32768*(OR(ISNUMBER(FIND("DESIC",AJ6)),ISNUMBER(FIND("DESSIC",AJ6)))))</f>
        <v/>
      </c>
      <c r="AK141">
        <f>IF(AK6="",0,2*(OR(ISNUMBER(FIND("WORKCENTER",AK6)),AND(LEFT(AK6,4)="LINE",NOT(ISNUMBER(FIND("STATUS",AK6))))))+4*(OR(ISNUMBER(FIND("WORKORDER",AK6)),AND(LEFT(AK6,2)="WO",OR(ISNUMBER(FIND("NUM",AK6)),RIGHT(AK6,2)="NO"))))+8*(LEFT(AK6,3)="SEQ")+16*(AND(LEFT(AK6,4)="ITEM",NOT(ISNUMBER(FIND("DESC",AK6)))))+32*(AND(ISNUMBER(FIND("DESC",AK6)),NOT(ISNUMBER(FIND("CAP",AK6)))))+64*(OR(RIGHT(AK6,5)="COUNT",RIGHT(AK6,2)="CT"))+128*(ISNUMBER(FIND("BULK",AK6)))+256*(ISNUMBER(FIND("SIZE",AK6)))+512*(LEFT(AK6,3)="CAP")+1024*(ISNUMBER(FIND("ALLERG",AK6)))+2048*(OR(ISNUMBER(FIND("REMARK",AK6)),ISNUMBER(FIND("COMMENT",AK6))))+4096*(OR(ISNUMBER(FIND("QTY",AK6)),ISNUMBER(FIND("QUANTITY",AK6))))+8192*(AND(OR(ISNUMBER(FIND("COMPLETE",AK6)),ISNUMBER(FIND("PCT",AK6)),ISNUMBER(FIND("PERCENT",AK6))),NOT(ISNUMBER(FIND("ACTUAL",AK6))),LEN(AK6)&lt;=16))+32768*(OR(ISNUMBER(FIND("DESIC",AK6)),ISNUMBER(FIND("DESSIC",AK6)))))</f>
        <v/>
      </c>
      <c r="AL141">
        <f>IF(AL6="",0,2*(OR(ISNUMBER(FIND("WORKCENTER",AL6)),AND(LEFT(AL6,4)="LINE",NOT(ISNUMBER(FIND("STATUS",AL6))))))+4*(OR(ISNUMBER(FIND("WORKORDER",AL6)),AND(LEFT(AL6,2)="WO",OR(ISNUMBER(FIND("NUM",AL6)),RIGHT(AL6,2)="NO"))))+8*(LEFT(AL6,3)="SEQ")+16*(AND(LEFT(AL6,4)="ITEM",NOT(ISNUMBER(FIND("DESC",AL6)))))+32*(AND(ISNUMBER(FIND("DESC",AL6)),NOT(ISNUMBER(FIND("CAP",AL6)))))+64*(OR(RIGHT(AL6,5)="COUNT",RIGHT(AL6,2)="CT"))+128*(ISNUMBER(FIND("BULK",AL6)))+256*(ISNUMBER(FIND("SIZE",AL6)))+512*(LEFT(AL6,3)="CAP")+1024*(ISNUMBER(FIND("ALLERG",AL6)))+2048*(OR(ISNUMBER(FIND("REMARK",AL6)),ISNUMBER(FIND("COMMENT",AL6))))+4096*(OR(ISNUMBER(FIND("QTY",AL6)),ISNUMBER(FIND("QUANTITY",AL6))))+8192*(AND(OR(ISNUMBER(FIND("COMPLETE",AL6)),ISNUMBER(FIND("PCT",AL6)),ISNUMBER(FIND("PERCENT",AL6))),NOT(ISNUMBER(FIND("ACTUAL",AL6))),LEN(AL6)&lt;=16))+32768*(OR(ISNUMBER(FIND("DESIC",AL6)),ISNUMBER(FIND("DESSIC",AL6)))))</f>
        <v/>
      </c>
      <c r="AM141">
        <f>IF(AM6="",0,2*(OR(ISNUMBER(FIND("WORKCENTER",AM6)),AND(LEFT(AM6,4)="LINE",NOT(ISNUMBER(FIND("STATUS",AM6))))))+4*(OR(ISNUMBER(FIND("WORKORDER",AM6)),AND(LEFT(AM6,2)="WO",OR(ISNUMBER(FIND("NUM",AM6)),RIGHT(AM6,2)="NO"))))+8*(LEFT(AM6,3)="SEQ")+16*(AND(LEFT(AM6,4)="ITEM",NOT(ISNUMBER(FIND("DESC",AM6)))))+32*(AND(ISNUMBER(FIND("DESC",AM6)),NOT(ISNUMBER(FIND("CAP",AM6)))))+64*(OR(RIGHT(AM6,5)="COUNT",RIGHT(AM6,2)="CT"))+128*(ISNUMBER(FIND("BULK",AM6)))+256*(ISNUMBER(FIND("SIZE",AM6)))+512*(LEFT(AM6,3)="CAP")+1024*(ISNUMBER(FIND("ALLERG",AM6)))+2048*(OR(ISNUMBER(FIND("REMARK",AM6)),ISNUMBER(FIND("COMMENT",AM6))))+4096*(OR(ISNUMBER(FIND("QTY",AM6)),ISNUMBER(FIND("QUANTITY",AM6))))+8192*(AND(OR(ISNUMBER(FIND("COMPLETE",AM6)),ISNUMBER(FIND("PCT",AM6)),ISNUMBER(FIND("PERCENT",AM6))),NOT(ISNUMBER(FIND("ACTUAL",AM6))),LEN(AM6)&lt;=16))+32768*(OR(ISNUMBER(FIND("DESIC",AM6)),ISNUMBER(FIND("DESSIC",AM6)))))</f>
        <v/>
      </c>
      <c r="AN141">
        <f>IF(AN6="",0,2*(OR(ISNUMBER(FIND("WORKCENTER",AN6)),AND(LEFT(AN6,4)="LINE",NOT(ISNUMBER(FIND("STATUS",AN6))))))+4*(OR(ISNUMBER(FIND("WORKORDER",AN6)),AND(LEFT(AN6,2)="WO",OR(ISNUMBER(FIND("NUM",AN6)),RIGHT(AN6,2)="NO"))))+8*(LEFT(AN6,3)="SEQ")+16*(AND(LEFT(AN6,4)="ITEM",NOT(ISNUMBER(FIND("DESC",AN6)))))+32*(AND(ISNUMBER(FIND("DESC",AN6)),NOT(ISNUMBER(FIND("CAP",AN6)))))+64*(OR(RIGHT(AN6,5)="COUNT",RIGHT(AN6,2)="CT"))+128*(ISNUMBER(FIND("BULK",AN6)))+256*(ISNUMBER(FIND("SIZE",AN6)))+512*(LEFT(AN6,3)="CAP")+1024*(ISNUMBER(FIND("ALLERG",AN6)))+2048*(OR(ISNUMBER(FIND("REMARK",AN6)),ISNUMBER(FIND("COMMENT",AN6))))+4096*(OR(ISNUMBER(FIND("QTY",AN6)),ISNUMBER(FIND("QUANTITY",AN6))))+8192*(AND(OR(ISNUMBER(FIND("COMPLETE",AN6)),ISNUMBER(FIND("PCT",AN6)),ISNUMBER(FIND("PERCENT",AN6))),NOT(ISNUMBER(FIND("ACTUAL",AN6))),LEN(AN6)&lt;=16))+32768*(OR(ISNUMBER(FIND("DESIC",AN6)),ISNUMBER(FIND("DESSIC",AN6)))))</f>
        <v/>
      </c>
      <c r="AO141">
        <f>IF(AO6="",0,2*(OR(ISNUMBER(FIND("WORKCENTER",AO6)),AND(LEFT(AO6,4)="LINE",NOT(ISNUMBER(FIND("STATUS",AO6))))))+4*(OR(ISNUMBER(FIND("WORKORDER",AO6)),AND(LEFT(AO6,2)="WO",OR(ISNUMBER(FIND("NUM",AO6)),RIGHT(AO6,2)="NO"))))+8*(LEFT(AO6,3)="SEQ")+16*(AND(LEFT(AO6,4)="ITEM",NOT(ISNUMBER(FIND("DESC",AO6)))))+32*(AND(ISNUMBER(FIND("DESC",AO6)),NOT(ISNUMBER(FIND("CAP",AO6)))))+64*(OR(RIGHT(AO6,5)="COUNT",RIGHT(AO6,2)="CT"))+128*(ISNUMBER(FIND("BULK",AO6)))+256*(ISNUMBER(FIND("SIZE",AO6)))+512*(LEFT(AO6,3)="CAP")+1024*(ISNUMBER(FIND("ALLERG",AO6)))+2048*(OR(ISNUMBER(FIND("REMARK",AO6)),ISNUMBER(FIND("COMMENT",AO6))))+4096*(OR(ISNUMBER(FIND("QTY",AO6)),ISNUMBER(FIND("QUANTITY",AO6))))+8192*(AND(OR(ISNUMBER(FIND("COMPLETE",AO6)),ISNUMBER(FIND("PCT",AO6)),ISNUMBER(FIND("PERCENT",AO6))),NOT(ISNUMBER(FIND("ACTUAL",AO6))),LEN(AO6)&lt;=16))+32768*(OR(ISNUMBER(FIND("DESIC",AO6)),ISNUMBER(FIND("DESSIC",AO6)))))</f>
        <v/>
      </c>
      <c r="AP141">
        <f>IF(AP6="",0,2*(OR(ISNUMBER(FIND("WORKCENTER",AP6)),AND(LEFT(AP6,4)="LINE",NOT(ISNUMBER(FIND("STATUS",AP6))))))+4*(OR(ISNUMBER(FIND("WORKORDER",AP6)),AND(LEFT(AP6,2)="WO",OR(ISNUMBER(FIND("NUM",AP6)),RIGHT(AP6,2)="NO"))))+8*(LEFT(AP6,3)="SEQ")+16*(AND(LEFT(AP6,4)="ITEM",NOT(ISNUMBER(FIND("DESC",AP6)))))+32*(AND(ISNUMBER(FIND("DESC",AP6)),NOT(ISNUMBER(FIND("CAP",AP6)))))+64*(OR(RIGHT(AP6,5)="COUNT",RIGHT(AP6,2)="CT"))+128*(ISNUMBER(FIND("BULK",AP6)))+256*(ISNUMBER(FIND("SIZE",AP6)))+512*(LEFT(AP6,3)="CAP")+1024*(ISNUMBER(FIND("ALLERG",AP6)))+2048*(OR(ISNUMBER(FIND("REMARK",AP6)),ISNUMBER(FIND("COMMENT",AP6))))+4096*(OR(ISNUMBER(FIND("QTY",AP6)),ISNUMBER(FIND("QUANTITY",AP6))))+8192*(AND(OR(ISNUMBER(FIND("COMPLETE",AP6)),ISNUMBER(FIND("PCT",AP6)),ISNUMBER(FIND("PERCENT",AP6))),NOT(ISNUMBER(FIND("ACTUAL",AP6))),LEN(AP6)&lt;=16))+32768*(OR(ISNUMBER(FIND("DESIC",AP6)),ISNUMBER(FIND("DESSIC",AP6)))))</f>
        <v/>
      </c>
      <c r="AQ141">
        <f>IF(AQ6="",0,2*(OR(ISNUMBER(FIND("WORKCENTER",AQ6)),AND(LEFT(AQ6,4)="LINE",NOT(ISNUMBER(FIND("STATUS",AQ6))))))+4*(OR(ISNUMBER(FIND("WORKORDER",AQ6)),AND(LEFT(AQ6,2)="WO",OR(ISNUMBER(FIND("NUM",AQ6)),RIGHT(AQ6,2)="NO"))))+8*(LEFT(AQ6,3)="SEQ")+16*(AND(LEFT(AQ6,4)="ITEM",NOT(ISNUMBER(FIND("DESC",AQ6)))))+32*(AND(ISNUMBER(FIND("DESC",AQ6)),NOT(ISNUMBER(FIND("CAP",AQ6)))))+64*(OR(RIGHT(AQ6,5)="COUNT",RIGHT(AQ6,2)="CT"))+128*(ISNUMBER(FIND("BULK",AQ6)))+256*(ISNUMBER(FIND("SIZE",AQ6)))+512*(LEFT(AQ6,3)="CAP")+1024*(ISNUMBER(FIND("ALLERG",AQ6)))+2048*(OR(ISNUMBER(FIND("REMARK",AQ6)),ISNUMBER(FIND("COMMENT",AQ6))))+4096*(OR(ISNUMBER(FIND("QTY",AQ6)),ISNUMBER(FIND("QUANTITY",AQ6))))+8192*(AND(OR(ISNUMBER(FIND("COMPLETE",AQ6)),ISNUMBER(FIND("PCT",AQ6)),ISNUMBER(FIND("PERCENT",AQ6))),NOT(ISNUMBER(FIND("ACTUAL",AQ6))),LEN(AQ6)&lt;=16))+32768*(OR(ISNUMBER(FIND("DESIC",AQ6)),ISNUMBER(FIND("DESSIC",AQ6)))))</f>
        <v/>
      </c>
      <c r="AR141">
        <f>IF(AR6="",0,2*(OR(ISNUMBER(FIND("WORKCENTER",AR6)),AND(LEFT(AR6,4)="LINE",NOT(ISNUMBER(FIND("STATUS",AR6))))))+4*(OR(ISNUMBER(FIND("WORKORDER",AR6)),AND(LEFT(AR6,2)="WO",OR(ISNUMBER(FIND("NUM",AR6)),RIGHT(AR6,2)="NO"))))+8*(LEFT(AR6,3)="SEQ")+16*(AND(LEFT(AR6,4)="ITEM",NOT(ISNUMBER(FIND("DESC",AR6)))))+32*(AND(ISNUMBER(FIND("DESC",AR6)),NOT(ISNUMBER(FIND("CAP",AR6)))))+64*(OR(RIGHT(AR6,5)="COUNT",RIGHT(AR6,2)="CT"))+128*(ISNUMBER(FIND("BULK",AR6)))+256*(ISNUMBER(FIND("SIZE",AR6)))+512*(LEFT(AR6,3)="CAP")+1024*(ISNUMBER(FIND("ALLERG",AR6)))+2048*(OR(ISNUMBER(FIND("REMARK",AR6)),ISNUMBER(FIND("COMMENT",AR6))))+4096*(OR(ISNUMBER(FIND("QTY",AR6)),ISNUMBER(FIND("QUANTITY",AR6))))+8192*(AND(OR(ISNUMBER(FIND("COMPLETE",AR6)),ISNUMBER(FIND("PCT",AR6)),ISNUMBER(FIND("PERCENT",AR6))),NOT(ISNUMBER(FIND("ACTUAL",AR6))),LEN(AR6)&lt;=16))+32768*(OR(ISNUMBER(FIND("DESIC",AR6)),ISNUMBER(FIND("DESSIC",AR6)))))</f>
        <v/>
      </c>
      <c r="AS141">
        <f>IF(AS6="",0,2*(OR(ISNUMBER(FIND("WORKCENTER",AS6)),AND(LEFT(AS6,4)="LINE",NOT(ISNUMBER(FIND("STATUS",AS6))))))+4*(OR(ISNUMBER(FIND("WORKORDER",AS6)),AND(LEFT(AS6,2)="WO",OR(ISNUMBER(FIND("NUM",AS6)),RIGHT(AS6,2)="NO"))))+8*(LEFT(AS6,3)="SEQ")+16*(AND(LEFT(AS6,4)="ITEM",NOT(ISNUMBER(FIND("DESC",AS6)))))+32*(AND(ISNUMBER(FIND("DESC",AS6)),NOT(ISNUMBER(FIND("CAP",AS6)))))+64*(OR(RIGHT(AS6,5)="COUNT",RIGHT(AS6,2)="CT"))+128*(ISNUMBER(FIND("BULK",AS6)))+256*(ISNUMBER(FIND("SIZE",AS6)))+512*(LEFT(AS6,3)="CAP")+1024*(ISNUMBER(FIND("ALLERG",AS6)))+2048*(OR(ISNUMBER(FIND("REMARK",AS6)),ISNUMBER(FIND("COMMENT",AS6))))+4096*(OR(ISNUMBER(FIND("QTY",AS6)),ISNUMBER(FIND("QUANTITY",AS6))))+8192*(AND(OR(ISNUMBER(FIND("COMPLETE",AS6)),ISNUMBER(FIND("PCT",AS6)),ISNUMBER(FIND("PERCENT",AS6))),NOT(ISNUMBER(FIND("ACTUAL",AS6))),LEN(AS6)&lt;=16))+32768*(OR(ISNUMBER(FIND("DESIC",AS6)),ISNUMBER(FIND("DESSIC",AS6)))))</f>
        <v/>
      </c>
      <c r="AT141">
        <f>IF(AT6="",0,2*(OR(ISNUMBER(FIND("WORKCENTER",AT6)),AND(LEFT(AT6,4)="LINE",NOT(ISNUMBER(FIND("STATUS",AT6))))))+4*(OR(ISNUMBER(FIND("WORKORDER",AT6)),AND(LEFT(AT6,2)="WO",OR(ISNUMBER(FIND("NUM",AT6)),RIGHT(AT6,2)="NO"))))+8*(LEFT(AT6,3)="SEQ")+16*(AND(LEFT(AT6,4)="ITEM",NOT(ISNUMBER(FIND("DESC",AT6)))))+32*(AND(ISNUMBER(FIND("DESC",AT6)),NOT(ISNUMBER(FIND("CAP",AT6)))))+64*(OR(RIGHT(AT6,5)="COUNT",RIGHT(AT6,2)="CT"))+128*(ISNUMBER(FIND("BULK",AT6)))+256*(ISNUMBER(FIND("SIZE",AT6)))+512*(LEFT(AT6,3)="CAP")+1024*(ISNUMBER(FIND("ALLERG",AT6)))+2048*(OR(ISNUMBER(FIND("REMARK",AT6)),ISNUMBER(FIND("COMMENT",AT6))))+4096*(OR(ISNUMBER(FIND("QTY",AT6)),ISNUMBER(FIND("QUANTITY",AT6))))+8192*(AND(OR(ISNUMBER(FIND("COMPLETE",AT6)),ISNUMBER(FIND("PCT",AT6)),ISNUMBER(FIND("PERCENT",AT6))),NOT(ISNUMBER(FIND("ACTUAL",AT6))),LEN(AT6)&lt;=16))+32768*(OR(ISNUMBER(FIND("DESIC",AT6)),ISNUMBER(FIND("DESSIC",AT6)))))</f>
        <v/>
      </c>
      <c r="AU141">
        <f>IF(AU6="",0,2*(OR(ISNUMBER(FIND("WORKCENTER",AU6)),AND(LEFT(AU6,4)="LINE",NOT(ISNUMBER(FIND("STATUS",AU6))))))+4*(OR(ISNUMBER(FIND("WORKORDER",AU6)),AND(LEFT(AU6,2)="WO",OR(ISNUMBER(FIND("NUM",AU6)),RIGHT(AU6,2)="NO"))))+8*(LEFT(AU6,3)="SEQ")+16*(AND(LEFT(AU6,4)="ITEM",NOT(ISNUMBER(FIND("DESC",AU6)))))+32*(AND(ISNUMBER(FIND("DESC",AU6)),NOT(ISNUMBER(FIND("CAP",AU6)))))+64*(OR(RIGHT(AU6,5)="COUNT",RIGHT(AU6,2)="CT"))+128*(ISNUMBER(FIND("BULK",AU6)))+256*(ISNUMBER(FIND("SIZE",AU6)))+512*(LEFT(AU6,3)="CAP")+1024*(ISNUMBER(FIND("ALLERG",AU6)))+2048*(OR(ISNUMBER(FIND("REMARK",AU6)),ISNUMBER(FIND("COMMENT",AU6))))+4096*(OR(ISNUMBER(FIND("QTY",AU6)),ISNUMBER(FIND("QUANTITY",AU6))))+8192*(AND(OR(ISNUMBER(FIND("COMPLETE",AU6)),ISNUMBER(FIND("PCT",AU6)),ISNUMBER(FIND("PERCENT",AU6))),NOT(ISNUMBER(FIND("ACTUAL",AU6))),LEN(AU6)&lt;=16))+32768*(OR(ISNUMBER(FIND("DESIC",AU6)),ISNUMBER(FIND("DESSIC",AU6)))))</f>
        <v/>
      </c>
      <c r="AV141">
        <f>IF(AV6="",0,2*(OR(ISNUMBER(FIND("WORKCENTER",AV6)),AND(LEFT(AV6,4)="LINE",NOT(ISNUMBER(FIND("STATUS",AV6))))))+4*(OR(ISNUMBER(FIND("WORKORDER",AV6)),AND(LEFT(AV6,2)="WO",OR(ISNUMBER(FIND("NUM",AV6)),RIGHT(AV6,2)="NO"))))+8*(LEFT(AV6,3)="SEQ")+16*(AND(LEFT(AV6,4)="ITEM",NOT(ISNUMBER(FIND("DESC",AV6)))))+32*(AND(ISNUMBER(FIND("DESC",AV6)),NOT(ISNUMBER(FIND("CAP",AV6)))))+64*(OR(RIGHT(AV6,5)="COUNT",RIGHT(AV6,2)="CT"))+128*(ISNUMBER(FIND("BULK",AV6)))+256*(ISNUMBER(FIND("SIZE",AV6)))+512*(LEFT(AV6,3)="CAP")+1024*(ISNUMBER(FIND("ALLERG",AV6)))+2048*(OR(ISNUMBER(FIND("REMARK",AV6)),ISNUMBER(FIND("COMMENT",AV6))))+4096*(OR(ISNUMBER(FIND("QTY",AV6)),ISNUMBER(FIND("QUANTITY",AV6))))+8192*(AND(OR(ISNUMBER(FIND("COMPLETE",AV6)),ISNUMBER(FIND("PCT",AV6)),ISNUMBER(FIND("PERCENT",AV6))),NOT(ISNUMBER(FIND("ACTUAL",AV6))),LEN(AV6)&lt;=16))+32768*(OR(ISNUMBER(FIND("DESIC",AV6)),ISNUMBER(FIND("DESSIC",AV6)))))</f>
        <v/>
      </c>
      <c r="AW141">
        <f>IF(AW6="",0,2*(OR(ISNUMBER(FIND("WORKCENTER",AW6)),AND(LEFT(AW6,4)="LINE",NOT(ISNUMBER(FIND("STATUS",AW6))))))+4*(OR(ISNUMBER(FIND("WORKORDER",AW6)),AND(LEFT(AW6,2)="WO",OR(ISNUMBER(FIND("NUM",AW6)),RIGHT(AW6,2)="NO"))))+8*(LEFT(AW6,3)="SEQ")+16*(AND(LEFT(AW6,4)="ITEM",NOT(ISNUMBER(FIND("DESC",AW6)))))+32*(AND(ISNUMBER(FIND("DESC",AW6)),NOT(ISNUMBER(FIND("CAP",AW6)))))+64*(OR(RIGHT(AW6,5)="COUNT",RIGHT(AW6,2)="CT"))+128*(ISNUMBER(FIND("BULK",AW6)))+256*(ISNUMBER(FIND("SIZE",AW6)))+512*(LEFT(AW6,3)="CAP")+1024*(ISNUMBER(FIND("ALLERG",AW6)))+2048*(OR(ISNUMBER(FIND("REMARK",AW6)),ISNUMBER(FIND("COMMENT",AW6))))+4096*(OR(ISNUMBER(FIND("QTY",AW6)),ISNUMBER(FIND("QUANTITY",AW6))))+8192*(AND(OR(ISNUMBER(FIND("COMPLETE",AW6)),ISNUMBER(FIND("PCT",AW6)),ISNUMBER(FIND("PERCENT",AW6))),NOT(ISNUMBER(FIND("ACTUAL",AW6))),LEN(AW6)&lt;=16))+32768*(OR(ISNUMBER(FIND("DESIC",AW6)),ISNUMBER(FIND("DESSIC",AW6)))))</f>
        <v/>
      </c>
      <c r="AX141">
        <f>IF(AX6="",0,2*(OR(ISNUMBER(FIND("WORKCENTER",AX6)),AND(LEFT(AX6,4)="LINE",NOT(ISNUMBER(FIND("STATUS",AX6))))))+4*(OR(ISNUMBER(FIND("WORKORDER",AX6)),AND(LEFT(AX6,2)="WO",OR(ISNUMBER(FIND("NUM",AX6)),RIGHT(AX6,2)="NO"))))+8*(LEFT(AX6,3)="SEQ")+16*(AND(LEFT(AX6,4)="ITEM",NOT(ISNUMBER(FIND("DESC",AX6)))))+32*(AND(ISNUMBER(FIND("DESC",AX6)),NOT(ISNUMBER(FIND("CAP",AX6)))))+64*(OR(RIGHT(AX6,5)="COUNT",RIGHT(AX6,2)="CT"))+128*(ISNUMBER(FIND("BULK",AX6)))+256*(ISNUMBER(FIND("SIZE",AX6)))+512*(LEFT(AX6,3)="CAP")+1024*(ISNUMBER(FIND("ALLERG",AX6)))+2048*(OR(ISNUMBER(FIND("REMARK",AX6)),ISNUMBER(FIND("COMMENT",AX6))))+4096*(OR(ISNUMBER(FIND("QTY",AX6)),ISNUMBER(FIND("QUANTITY",AX6))))+8192*(AND(OR(ISNUMBER(FIND("COMPLETE",AX6)),ISNUMBER(FIND("PCT",AX6)),ISNUMBER(FIND("PERCENT",AX6))),NOT(ISNUMBER(FIND("ACTUAL",AX6))),LEN(AX6)&lt;=16))+32768*(OR(ISNUMBER(FIND("DESIC",AX6)),ISNUMBER(FIND("DESSIC",AX6)))))</f>
        <v/>
      </c>
      <c r="AY141">
        <f>IF(AY6="",0,2*(OR(ISNUMBER(FIND("WORKCENTER",AY6)),AND(LEFT(AY6,4)="LINE",NOT(ISNUMBER(FIND("STATUS",AY6))))))+4*(OR(ISNUMBER(FIND("WORKORDER",AY6)),AND(LEFT(AY6,2)="WO",OR(ISNUMBER(FIND("NUM",AY6)),RIGHT(AY6,2)="NO"))))+8*(LEFT(AY6,3)="SEQ")+16*(AND(LEFT(AY6,4)="ITEM",NOT(ISNUMBER(FIND("DESC",AY6)))))+32*(AND(ISNUMBER(FIND("DESC",AY6)),NOT(ISNUMBER(FIND("CAP",AY6)))))+64*(OR(RIGHT(AY6,5)="COUNT",RIGHT(AY6,2)="CT"))+128*(ISNUMBER(FIND("BULK",AY6)))+256*(ISNUMBER(FIND("SIZE",AY6)))+512*(LEFT(AY6,3)="CAP")+1024*(ISNUMBER(FIND("ALLERG",AY6)))+2048*(OR(ISNUMBER(FIND("REMARK",AY6)),ISNUMBER(FIND("COMMENT",AY6))))+4096*(OR(ISNUMBER(FIND("QTY",AY6)),ISNUMBER(FIND("QUANTITY",AY6))))+8192*(AND(OR(ISNUMBER(FIND("COMPLETE",AY6)),ISNUMBER(FIND("PCT",AY6)),ISNUMBER(FIND("PERCENT",AY6))),NOT(ISNUMBER(FIND("ACTUAL",AY6))),LEN(AY6)&lt;=16))+32768*(OR(ISNUMBER(FIND("DESIC",AY6)),ISNUMBER(FIND("DESSIC",AY6)))))</f>
        <v/>
      </c>
      <c r="AZ141">
        <f>IF(AZ6="",0,2*(OR(ISNUMBER(FIND("WORKCENTER",AZ6)),AND(LEFT(AZ6,4)="LINE",NOT(ISNUMBER(FIND("STATUS",AZ6))))))+4*(OR(ISNUMBER(FIND("WORKORDER",AZ6)),AND(LEFT(AZ6,2)="WO",OR(ISNUMBER(FIND("NUM",AZ6)),RIGHT(AZ6,2)="NO"))))+8*(LEFT(AZ6,3)="SEQ")+16*(AND(LEFT(AZ6,4)="ITEM",NOT(ISNUMBER(FIND("DESC",AZ6)))))+32*(AND(ISNUMBER(FIND("DESC",AZ6)),NOT(ISNUMBER(FIND("CAP",AZ6)))))+64*(OR(RIGHT(AZ6,5)="COUNT",RIGHT(AZ6,2)="CT"))+128*(ISNUMBER(FIND("BULK",AZ6)))+256*(ISNUMBER(FIND("SIZE",AZ6)))+512*(LEFT(AZ6,3)="CAP")+1024*(ISNUMBER(FIND("ALLERG",AZ6)))+2048*(OR(ISNUMBER(FIND("REMARK",AZ6)),ISNUMBER(FIND("COMMENT",AZ6))))+4096*(OR(ISNUMBER(FIND("QTY",AZ6)),ISNUMBER(FIND("QUANTITY",AZ6))))+8192*(AND(OR(ISNUMBER(FIND("COMPLETE",AZ6)),ISNUMBER(FIND("PCT",AZ6)),ISNUMBER(FIND("PERCENT",AZ6))),NOT(ISNUMBER(FIND("ACTUAL",AZ6))),LEN(AZ6)&lt;=16))+32768*(OR(ISNUMBER(FIND("DESIC",AZ6)),ISNUMBER(FIND("DESSIC",AZ6)))))</f>
        <v/>
      </c>
      <c r="BA141">
        <f>IF(BA6="",0,2*(OR(ISNUMBER(FIND("WORKCENTER",BA6)),AND(LEFT(BA6,4)="LINE",NOT(ISNUMBER(FIND("STATUS",BA6))))))+4*(OR(ISNUMBER(FIND("WORKORDER",BA6)),AND(LEFT(BA6,2)="WO",OR(ISNUMBER(FIND("NUM",BA6)),RIGHT(BA6,2)="NO"))))+8*(LEFT(BA6,3)="SEQ")+16*(AND(LEFT(BA6,4)="ITEM",NOT(ISNUMBER(FIND("DESC",BA6)))))+32*(AND(ISNUMBER(FIND("DESC",BA6)),NOT(ISNUMBER(FIND("CAP",BA6)))))+64*(OR(RIGHT(BA6,5)="COUNT",RIGHT(BA6,2)="CT"))+128*(ISNUMBER(FIND("BULK",BA6)))+256*(ISNUMBER(FIND("SIZE",BA6)))+512*(LEFT(BA6,3)="CAP")+1024*(ISNUMBER(FIND("ALLERG",BA6)))+2048*(OR(ISNUMBER(FIND("REMARK",BA6)),ISNUMBER(FIND("COMMENT",BA6))))+4096*(OR(ISNUMBER(FIND("QTY",BA6)),ISNUMBER(FIND("QUANTITY",BA6))))+8192*(AND(OR(ISNUMBER(FIND("COMPLETE",BA6)),ISNUMBER(FIND("PCT",BA6)),ISNUMBER(FIND("PERCENT",BA6))),NOT(ISNUMBER(FIND("ACTUAL",BA6))),LEN(BA6)&lt;=16))+32768*(OR(ISNUMBER(FIND("DESIC",BA6)),ISNUMBER(FIND("DESSIC",BA6)))))</f>
        <v/>
      </c>
      <c r="BB141">
        <f>IF(BB6="",0,2*(OR(ISNUMBER(FIND("WORKCENTER",BB6)),AND(LEFT(BB6,4)="LINE",NOT(ISNUMBER(FIND("STATUS",BB6))))))+4*(OR(ISNUMBER(FIND("WORKORDER",BB6)),AND(LEFT(BB6,2)="WO",OR(ISNUMBER(FIND("NUM",BB6)),RIGHT(BB6,2)="NO"))))+8*(LEFT(BB6,3)="SEQ")+16*(AND(LEFT(BB6,4)="ITEM",NOT(ISNUMBER(FIND("DESC",BB6)))))+32*(AND(ISNUMBER(FIND("DESC",BB6)),NOT(ISNUMBER(FIND("CAP",BB6)))))+64*(OR(RIGHT(BB6,5)="COUNT",RIGHT(BB6,2)="CT"))+128*(ISNUMBER(FIND("BULK",BB6)))+256*(ISNUMBER(FIND("SIZE",BB6)))+512*(LEFT(BB6,3)="CAP")+1024*(ISNUMBER(FIND("ALLERG",BB6)))+2048*(OR(ISNUMBER(FIND("REMARK",BB6)),ISNUMBER(FIND("COMMENT",BB6))))+4096*(OR(ISNUMBER(FIND("QTY",BB6)),ISNUMBER(FIND("QUANTITY",BB6))))+8192*(AND(OR(ISNUMBER(FIND("COMPLETE",BB6)),ISNUMBER(FIND("PCT",BB6)),ISNUMBER(FIND("PERCENT",BB6))),NOT(ISNUMBER(FIND("ACTUAL",BB6))),LEN(BB6)&lt;=16))+32768*(OR(ISNUMBER(FIND("DESIC",BB6)),ISNUMBER(FIND("DESSIC",BB6)))))</f>
        <v/>
      </c>
      <c r="BC141">
        <f>IF(BC6="",0,2*(OR(ISNUMBER(FIND("WORKCENTER",BC6)),AND(LEFT(BC6,4)="LINE",NOT(ISNUMBER(FIND("STATUS",BC6))))))+4*(OR(ISNUMBER(FIND("WORKORDER",BC6)),AND(LEFT(BC6,2)="WO",OR(ISNUMBER(FIND("NUM",BC6)),RIGHT(BC6,2)="NO"))))+8*(LEFT(BC6,3)="SEQ")+16*(AND(LEFT(BC6,4)="ITEM",NOT(ISNUMBER(FIND("DESC",BC6)))))+32*(AND(ISNUMBER(FIND("DESC",BC6)),NOT(ISNUMBER(FIND("CAP",BC6)))))+64*(OR(RIGHT(BC6,5)="COUNT",RIGHT(BC6,2)="CT"))+128*(ISNUMBER(FIND("BULK",BC6)))+256*(ISNUMBER(FIND("SIZE",BC6)))+512*(LEFT(BC6,3)="CAP")+1024*(ISNUMBER(FIND("ALLERG",BC6)))+2048*(OR(ISNUMBER(FIND("REMARK",BC6)),ISNUMBER(FIND("COMMENT",BC6))))+4096*(OR(ISNUMBER(FIND("QTY",BC6)),ISNUMBER(FIND("QUANTITY",BC6))))+8192*(AND(OR(ISNUMBER(FIND("COMPLETE",BC6)),ISNUMBER(FIND("PCT",BC6)),ISNUMBER(FIND("PERCENT",BC6))),NOT(ISNUMBER(FIND("ACTUAL",BC6))),LEN(BC6)&lt;=16))+32768*(OR(ISNUMBER(FIND("DESIC",BC6)),ISNUMBER(FIND("DESSIC",BC6)))))</f>
        <v/>
      </c>
      <c r="BD141">
        <f>IF(BD6="",0,2*(OR(ISNUMBER(FIND("WORKCENTER",BD6)),AND(LEFT(BD6,4)="LINE",NOT(ISNUMBER(FIND("STATUS",BD6))))))+4*(OR(ISNUMBER(FIND("WORKORDER",BD6)),AND(LEFT(BD6,2)="WO",OR(ISNUMBER(FIND("NUM",BD6)),RIGHT(BD6,2)="NO"))))+8*(LEFT(BD6,3)="SEQ")+16*(AND(LEFT(BD6,4)="ITEM",NOT(ISNUMBER(FIND("DESC",BD6)))))+32*(AND(ISNUMBER(FIND("DESC",BD6)),NOT(ISNUMBER(FIND("CAP",BD6)))))+64*(OR(RIGHT(BD6,5)="COUNT",RIGHT(BD6,2)="CT"))+128*(ISNUMBER(FIND("BULK",BD6)))+256*(ISNUMBER(FIND("SIZE",BD6)))+512*(LEFT(BD6,3)="CAP")+1024*(ISNUMBER(FIND("ALLERG",BD6)))+2048*(OR(ISNUMBER(FIND("REMARK",BD6)),ISNUMBER(FIND("COMMENT",BD6))))+4096*(OR(ISNUMBER(FIND("QTY",BD6)),ISNUMBER(FIND("QUANTITY",BD6))))+8192*(AND(OR(ISNUMBER(FIND("COMPLETE",BD6)),ISNUMBER(FIND("PCT",BD6)),ISNUMBER(FIND("PERCENT",BD6))),NOT(ISNUMBER(FIND("ACTUAL",BD6))),LEN(BD6)&lt;=16))+32768*(OR(ISNUMBER(FIND("DESIC",BD6)),ISNUMBER(FIND("DESSIC",BD6)))))</f>
        <v/>
      </c>
      <c r="BE141">
        <f>IF(BE6="",0,2*(OR(ISNUMBER(FIND("WORKCENTER",BE6)),AND(LEFT(BE6,4)="LINE",NOT(ISNUMBER(FIND("STATUS",BE6))))))+4*(OR(ISNUMBER(FIND("WORKORDER",BE6)),AND(LEFT(BE6,2)="WO",OR(ISNUMBER(FIND("NUM",BE6)),RIGHT(BE6,2)="NO"))))+8*(LEFT(BE6,3)="SEQ")+16*(AND(LEFT(BE6,4)="ITEM",NOT(ISNUMBER(FIND("DESC",BE6)))))+32*(AND(ISNUMBER(FIND("DESC",BE6)),NOT(ISNUMBER(FIND("CAP",BE6)))))+64*(OR(RIGHT(BE6,5)="COUNT",RIGHT(BE6,2)="CT"))+128*(ISNUMBER(FIND("BULK",BE6)))+256*(ISNUMBER(FIND("SIZE",BE6)))+512*(LEFT(BE6,3)="CAP")+1024*(ISNUMBER(FIND("ALLERG",BE6)))+2048*(OR(ISNUMBER(FIND("REMARK",BE6)),ISNUMBER(FIND("COMMENT",BE6))))+4096*(OR(ISNUMBER(FIND("QTY",BE6)),ISNUMBER(FIND("QUANTITY",BE6))))+8192*(AND(OR(ISNUMBER(FIND("COMPLETE",BE6)),ISNUMBER(FIND("PCT",BE6)),ISNUMBER(FIND("PERCENT",BE6))),NOT(ISNUMBER(FIND("ACTUAL",BE6))),LEN(BE6)&lt;=16))+32768*(OR(ISNUMBER(FIND("DESIC",BE6)),ISNUMBER(FIND("DESSIC",BE6)))))</f>
        <v/>
      </c>
      <c r="BF141">
        <f>IF(BF6="",0,2*(OR(ISNUMBER(FIND("WORKCENTER",BF6)),AND(LEFT(BF6,4)="LINE",NOT(ISNUMBER(FIND("STATUS",BF6))))))+4*(OR(ISNUMBER(FIND("WORKORDER",BF6)),AND(LEFT(BF6,2)="WO",OR(ISNUMBER(FIND("NUM",BF6)),RIGHT(BF6,2)="NO"))))+8*(LEFT(BF6,3)="SEQ")+16*(AND(LEFT(BF6,4)="ITEM",NOT(ISNUMBER(FIND("DESC",BF6)))))+32*(AND(ISNUMBER(FIND("DESC",BF6)),NOT(ISNUMBER(FIND("CAP",BF6)))))+64*(OR(RIGHT(BF6,5)="COUNT",RIGHT(BF6,2)="CT"))+128*(ISNUMBER(FIND("BULK",BF6)))+256*(ISNUMBER(FIND("SIZE",BF6)))+512*(LEFT(BF6,3)="CAP")+1024*(ISNUMBER(FIND("ALLERG",BF6)))+2048*(OR(ISNUMBER(FIND("REMARK",BF6)),ISNUMBER(FIND("COMMENT",BF6))))+4096*(OR(ISNUMBER(FIND("QTY",BF6)),ISNUMBER(FIND("QUANTITY",BF6))))+8192*(AND(OR(ISNUMBER(FIND("COMPLETE",BF6)),ISNUMBER(FIND("PCT",BF6)),ISNUMBER(FIND("PERCENT",BF6))),NOT(ISNUMBER(FIND("ACTUAL",BF6))),LEN(BF6)&lt;=16))+32768*(OR(ISNUMBER(FIND("DESIC",BF6)),ISNUMBER(FIND("DESSIC",BF6)))))</f>
        <v/>
      </c>
      <c r="BG141">
        <f>IF(BG6="",0,2*(OR(ISNUMBER(FIND("WORKCENTER",BG6)),AND(LEFT(BG6,4)="LINE",NOT(ISNUMBER(FIND("STATUS",BG6))))))+4*(OR(ISNUMBER(FIND("WORKORDER",BG6)),AND(LEFT(BG6,2)="WO",OR(ISNUMBER(FIND("NUM",BG6)),RIGHT(BG6,2)="NO"))))+8*(LEFT(BG6,3)="SEQ")+16*(AND(LEFT(BG6,4)="ITEM",NOT(ISNUMBER(FIND("DESC",BG6)))))+32*(AND(ISNUMBER(FIND("DESC",BG6)),NOT(ISNUMBER(FIND("CAP",BG6)))))+64*(OR(RIGHT(BG6,5)="COUNT",RIGHT(BG6,2)="CT"))+128*(ISNUMBER(FIND("BULK",BG6)))+256*(ISNUMBER(FIND("SIZE",BG6)))+512*(LEFT(BG6,3)="CAP")+1024*(ISNUMBER(FIND("ALLERG",BG6)))+2048*(OR(ISNUMBER(FIND("REMARK",BG6)),ISNUMBER(FIND("COMMENT",BG6))))+4096*(OR(ISNUMBER(FIND("QTY",BG6)),ISNUMBER(FIND("QUANTITY",BG6))))+8192*(AND(OR(ISNUMBER(FIND("COMPLETE",BG6)),ISNUMBER(FIND("PCT",BG6)),ISNUMBER(FIND("PERCENT",BG6))),NOT(ISNUMBER(FIND("ACTUAL",BG6))),LEN(BG6)&lt;=16))+32768*(OR(ISNUMBER(FIND("DESIC",BG6)),ISNUMBER(FIND("DESSIC",BG6)))))</f>
        <v/>
      </c>
      <c r="BH141">
        <f>IF(BH6="",0,2*(OR(ISNUMBER(FIND("WORKCENTER",BH6)),AND(LEFT(BH6,4)="LINE",NOT(ISNUMBER(FIND("STATUS",BH6))))))+4*(OR(ISNUMBER(FIND("WORKORDER",BH6)),AND(LEFT(BH6,2)="WO",OR(ISNUMBER(FIND("NUM",BH6)),RIGHT(BH6,2)="NO"))))+8*(LEFT(BH6,3)="SEQ")+16*(AND(LEFT(BH6,4)="ITEM",NOT(ISNUMBER(FIND("DESC",BH6)))))+32*(AND(ISNUMBER(FIND("DESC",BH6)),NOT(ISNUMBER(FIND("CAP",BH6)))))+64*(OR(RIGHT(BH6,5)="COUNT",RIGHT(BH6,2)="CT"))+128*(ISNUMBER(FIND("BULK",BH6)))+256*(ISNUMBER(FIND("SIZE",BH6)))+512*(LEFT(BH6,3)="CAP")+1024*(ISNUMBER(FIND("ALLERG",BH6)))+2048*(OR(ISNUMBER(FIND("REMARK",BH6)),ISNUMBER(FIND("COMMENT",BH6))))+4096*(OR(ISNUMBER(FIND("QTY",BH6)),ISNUMBER(FIND("QUANTITY",BH6))))+8192*(AND(OR(ISNUMBER(FIND("COMPLETE",BH6)),ISNUMBER(FIND("PCT",BH6)),ISNUMBER(FIND("PERCENT",BH6))),NOT(ISNUMBER(FIND("ACTUAL",BH6))),LEN(BH6)&lt;=16))+32768*(OR(ISNUMBER(FIND("DESIC",BH6)),ISNUMBER(FIND("DESSIC",BH6)))))</f>
        <v/>
      </c>
      <c r="BI141">
        <f>IF(BI6="",0,2*(OR(ISNUMBER(FIND("WORKCENTER",BI6)),AND(LEFT(BI6,4)="LINE",NOT(ISNUMBER(FIND("STATUS",BI6))))))+4*(OR(ISNUMBER(FIND("WORKORDER",BI6)),AND(LEFT(BI6,2)="WO",OR(ISNUMBER(FIND("NUM",BI6)),RIGHT(BI6,2)="NO"))))+8*(LEFT(BI6,3)="SEQ")+16*(AND(LEFT(BI6,4)="ITEM",NOT(ISNUMBER(FIND("DESC",BI6)))))+32*(AND(ISNUMBER(FIND("DESC",BI6)),NOT(ISNUMBER(FIND("CAP",BI6)))))+64*(OR(RIGHT(BI6,5)="COUNT",RIGHT(BI6,2)="CT"))+128*(ISNUMBER(FIND("BULK",BI6)))+256*(ISNUMBER(FIND("SIZE",BI6)))+512*(LEFT(BI6,3)="CAP")+1024*(ISNUMBER(FIND("ALLERG",BI6)))+2048*(OR(ISNUMBER(FIND("REMARK",BI6)),ISNUMBER(FIND("COMMENT",BI6))))+4096*(OR(ISNUMBER(FIND("QTY",BI6)),ISNUMBER(FIND("QUANTITY",BI6))))+8192*(AND(OR(ISNUMBER(FIND("COMPLETE",BI6)),ISNUMBER(FIND("PCT",BI6)),ISNUMBER(FIND("PERCENT",BI6))),NOT(ISNUMBER(FIND("ACTUAL",BI6))),LEN(BI6)&lt;=16))+32768*(OR(ISNUMBER(FIND("DESIC",BI6)),ISNUMBER(FIND("DESSIC",BI6)))))</f>
        <v/>
      </c>
      <c r="BJ141">
        <f>IF(BJ6="",0,2*(OR(ISNUMBER(FIND("WORKCENTER",BJ6)),AND(LEFT(BJ6,4)="LINE",NOT(ISNUMBER(FIND("STATUS",BJ6))))))+4*(OR(ISNUMBER(FIND("WORKORDER",BJ6)),AND(LEFT(BJ6,2)="WO",OR(ISNUMBER(FIND("NUM",BJ6)),RIGHT(BJ6,2)="NO"))))+8*(LEFT(BJ6,3)="SEQ")+16*(AND(LEFT(BJ6,4)="ITEM",NOT(ISNUMBER(FIND("DESC",BJ6)))))+32*(AND(ISNUMBER(FIND("DESC",BJ6)),NOT(ISNUMBER(FIND("CAP",BJ6)))))+64*(OR(RIGHT(BJ6,5)="COUNT",RIGHT(BJ6,2)="CT"))+128*(ISNUMBER(FIND("BULK",BJ6)))+256*(ISNUMBER(FIND("SIZE",BJ6)))+512*(LEFT(BJ6,3)="CAP")+1024*(ISNUMBER(FIND("ALLERG",BJ6)))+2048*(OR(ISNUMBER(FIND("REMARK",BJ6)),ISNUMBER(FIND("COMMENT",BJ6))))+4096*(OR(ISNUMBER(FIND("QTY",BJ6)),ISNUMBER(FIND("QUANTITY",BJ6))))+8192*(AND(OR(ISNUMBER(FIND("COMPLETE",BJ6)),ISNUMBER(FIND("PCT",BJ6)),ISNUMBER(FIND("PERCENT",BJ6))),NOT(ISNUMBER(FIND("ACTUAL",BJ6))),LEN(BJ6)&lt;=16))+32768*(OR(ISNUMBER(FIND("DESIC",BJ6)),ISNUMBER(FIND("DESSIC",BJ6)))))</f>
        <v/>
      </c>
      <c r="BK141">
        <f>IF(BK6="",0,2*(OR(ISNUMBER(FIND("WORKCENTER",BK6)),AND(LEFT(BK6,4)="LINE",NOT(ISNUMBER(FIND("STATUS",BK6))))))+4*(OR(ISNUMBER(FIND("WORKORDER",BK6)),AND(LEFT(BK6,2)="WO",OR(ISNUMBER(FIND("NUM",BK6)),RIGHT(BK6,2)="NO"))))+8*(LEFT(BK6,3)="SEQ")+16*(AND(LEFT(BK6,4)="ITEM",NOT(ISNUMBER(FIND("DESC",BK6)))))+32*(AND(ISNUMBER(FIND("DESC",BK6)),NOT(ISNUMBER(FIND("CAP",BK6)))))+64*(OR(RIGHT(BK6,5)="COUNT",RIGHT(BK6,2)="CT"))+128*(ISNUMBER(FIND("BULK",BK6)))+256*(ISNUMBER(FIND("SIZE",BK6)))+512*(LEFT(BK6,3)="CAP")+1024*(ISNUMBER(FIND("ALLERG",BK6)))+2048*(OR(ISNUMBER(FIND("REMARK",BK6)),ISNUMBER(FIND("COMMENT",BK6))))+4096*(OR(ISNUMBER(FIND("QTY",BK6)),ISNUMBER(FIND("QUANTITY",BK6))))+8192*(AND(OR(ISNUMBER(FIND("COMPLETE",BK6)),ISNUMBER(FIND("PCT",BK6)),ISNUMBER(FIND("PERCENT",BK6))),NOT(ISNUMBER(FIND("ACTUAL",BK6))),LEN(BK6)&lt;=16))+32768*(OR(ISNUMBER(FIND("DESIC",BK6)),ISNUMBER(FIND("DESSIC",BK6)))))</f>
        <v/>
      </c>
      <c r="BL141">
        <f>IF(BL6="",0,2*(OR(ISNUMBER(FIND("WORKCENTER",BL6)),AND(LEFT(BL6,4)="LINE",NOT(ISNUMBER(FIND("STATUS",BL6))))))+4*(OR(ISNUMBER(FIND("WORKORDER",BL6)),AND(LEFT(BL6,2)="WO",OR(ISNUMBER(FIND("NUM",BL6)),RIGHT(BL6,2)="NO"))))+8*(LEFT(BL6,3)="SEQ")+16*(AND(LEFT(BL6,4)="ITEM",NOT(ISNUMBER(FIND("DESC",BL6)))))+32*(AND(ISNUMBER(FIND("DESC",BL6)),NOT(ISNUMBER(FIND("CAP",BL6)))))+64*(OR(RIGHT(BL6,5)="COUNT",RIGHT(BL6,2)="CT"))+128*(ISNUMBER(FIND("BULK",BL6)))+256*(ISNUMBER(FIND("SIZE",BL6)))+512*(LEFT(BL6,3)="CAP")+1024*(ISNUMBER(FIND("ALLERG",BL6)))+2048*(OR(ISNUMBER(FIND("REMARK",BL6)),ISNUMBER(FIND("COMMENT",BL6))))+4096*(OR(ISNUMBER(FIND("QTY",BL6)),ISNUMBER(FIND("QUANTITY",BL6))))+8192*(AND(OR(ISNUMBER(FIND("COMPLETE",BL6)),ISNUMBER(FIND("PCT",BL6)),ISNUMBER(FIND("PERCENT",BL6))),NOT(ISNUMBER(FIND("ACTUAL",BL6))),LEN(BL6)&lt;=16))+32768*(OR(ISNUMBER(FIND("DESIC",BL6)),ISNUMBER(FIND("DESSIC",BL6)))))</f>
        <v/>
      </c>
      <c r="BM141">
        <f>IF(BM6="",0,2*(OR(ISNUMBER(FIND("WORKCENTER",BM6)),AND(LEFT(BM6,4)="LINE",NOT(ISNUMBER(FIND("STATUS",BM6))))))+4*(OR(ISNUMBER(FIND("WORKORDER",BM6)),AND(LEFT(BM6,2)="WO",OR(ISNUMBER(FIND("NUM",BM6)),RIGHT(BM6,2)="NO"))))+8*(LEFT(BM6,3)="SEQ")+16*(AND(LEFT(BM6,4)="ITEM",NOT(ISNUMBER(FIND("DESC",BM6)))))+32*(AND(ISNUMBER(FIND("DESC",BM6)),NOT(ISNUMBER(FIND("CAP",BM6)))))+64*(OR(RIGHT(BM6,5)="COUNT",RIGHT(BM6,2)="CT"))+128*(ISNUMBER(FIND("BULK",BM6)))+256*(ISNUMBER(FIND("SIZE",BM6)))+512*(LEFT(BM6,3)="CAP")+1024*(ISNUMBER(FIND("ALLERG",BM6)))+2048*(OR(ISNUMBER(FIND("REMARK",BM6)),ISNUMBER(FIND("COMMENT",BM6))))+4096*(OR(ISNUMBER(FIND("QTY",BM6)),ISNUMBER(FIND("QUANTITY",BM6))))+8192*(AND(OR(ISNUMBER(FIND("COMPLETE",BM6)),ISNUMBER(FIND("PCT",BM6)),ISNUMBER(FIND("PERCENT",BM6))),NOT(ISNUMBER(FIND("ACTUAL",BM6))),LEN(BM6)&lt;=16))+32768*(OR(ISNUMBER(FIND("DESIC",BM6)),ISNUMBER(FIND("DESSIC",BM6)))))</f>
        <v/>
      </c>
      <c r="BN141">
        <f>IF(BN6="",0,2*(OR(ISNUMBER(FIND("WORKCENTER",BN6)),AND(LEFT(BN6,4)="LINE",NOT(ISNUMBER(FIND("STATUS",BN6))))))+4*(OR(ISNUMBER(FIND("WORKORDER",BN6)),AND(LEFT(BN6,2)="WO",OR(ISNUMBER(FIND("NUM",BN6)),RIGHT(BN6,2)="NO"))))+8*(LEFT(BN6,3)="SEQ")+16*(AND(LEFT(BN6,4)="ITEM",NOT(ISNUMBER(FIND("DESC",BN6)))))+32*(AND(ISNUMBER(FIND("DESC",BN6)),NOT(ISNUMBER(FIND("CAP",BN6)))))+64*(OR(RIGHT(BN6,5)="COUNT",RIGHT(BN6,2)="CT"))+128*(ISNUMBER(FIND("BULK",BN6)))+256*(ISNUMBER(FIND("SIZE",BN6)))+512*(LEFT(BN6,3)="CAP")+1024*(ISNUMBER(FIND("ALLERG",BN6)))+2048*(OR(ISNUMBER(FIND("REMARK",BN6)),ISNUMBER(FIND("COMMENT",BN6))))+4096*(OR(ISNUMBER(FIND("QTY",BN6)),ISNUMBER(FIND("QUANTITY",BN6))))+8192*(AND(OR(ISNUMBER(FIND("COMPLETE",BN6)),ISNUMBER(FIND("PCT",BN6)),ISNUMBER(FIND("PERCENT",BN6))),NOT(ISNUMBER(FIND("ACTUAL",BN6))),LEN(BN6)&lt;=16))+32768*(OR(ISNUMBER(FIND("DESIC",BN6)),ISNUMBER(FIND("DESSIC",BN6)))))</f>
        <v/>
      </c>
      <c r="BO141">
        <f>IF(BO6="",0,2*(OR(ISNUMBER(FIND("WORKCENTER",BO6)),AND(LEFT(BO6,4)="LINE",NOT(ISNUMBER(FIND("STATUS",BO6))))))+4*(OR(ISNUMBER(FIND("WORKORDER",BO6)),AND(LEFT(BO6,2)="WO",OR(ISNUMBER(FIND("NUM",BO6)),RIGHT(BO6,2)="NO"))))+8*(LEFT(BO6,3)="SEQ")+16*(AND(LEFT(BO6,4)="ITEM",NOT(ISNUMBER(FIND("DESC",BO6)))))+32*(AND(ISNUMBER(FIND("DESC",BO6)),NOT(ISNUMBER(FIND("CAP",BO6)))))+64*(OR(RIGHT(BO6,5)="COUNT",RIGHT(BO6,2)="CT"))+128*(ISNUMBER(FIND("BULK",BO6)))+256*(ISNUMBER(FIND("SIZE",BO6)))+512*(LEFT(BO6,3)="CAP")+1024*(ISNUMBER(FIND("ALLERG",BO6)))+2048*(OR(ISNUMBER(FIND("REMARK",BO6)),ISNUMBER(FIND("COMMENT",BO6))))+4096*(OR(ISNUMBER(FIND("QTY",BO6)),ISNUMBER(FIND("QUANTITY",BO6))))+8192*(AND(OR(ISNUMBER(FIND("COMPLETE",BO6)),ISNUMBER(FIND("PCT",BO6)),ISNUMBER(FIND("PERCENT",BO6))),NOT(ISNUMBER(FIND("ACTUAL",BO6))),LEN(BO6)&lt;=16))+32768*(OR(ISNUMBER(FIND("DESIC",BO6)),ISNUMBER(FIND("DESSIC",BO6)))))</f>
        <v/>
      </c>
      <c r="BP141">
        <f>IF(BP6="",0,2*(OR(ISNUMBER(FIND("WORKCENTER",BP6)),AND(LEFT(BP6,4)="LINE",NOT(ISNUMBER(FIND("STATUS",BP6))))))+4*(OR(ISNUMBER(FIND("WORKORDER",BP6)),AND(LEFT(BP6,2)="WO",OR(ISNUMBER(FIND("NUM",BP6)),RIGHT(BP6,2)="NO"))))+8*(LEFT(BP6,3)="SEQ")+16*(AND(LEFT(BP6,4)="ITEM",NOT(ISNUMBER(FIND("DESC",BP6)))))+32*(AND(ISNUMBER(FIND("DESC",BP6)),NOT(ISNUMBER(FIND("CAP",BP6)))))+64*(OR(RIGHT(BP6,5)="COUNT",RIGHT(BP6,2)="CT"))+128*(ISNUMBER(FIND("BULK",BP6)))+256*(ISNUMBER(FIND("SIZE",BP6)))+512*(LEFT(BP6,3)="CAP")+1024*(ISNUMBER(FIND("ALLERG",BP6)))+2048*(OR(ISNUMBER(FIND("REMARK",BP6)),ISNUMBER(FIND("COMMENT",BP6))))+4096*(OR(ISNUMBER(FIND("QTY",BP6)),ISNUMBER(FIND("QUANTITY",BP6))))+8192*(AND(OR(ISNUMBER(FIND("COMPLETE",BP6)),ISNUMBER(FIND("PCT",BP6)),ISNUMBER(FIND("PERCENT",BP6))),NOT(ISNUMBER(FIND("ACTUAL",BP6))),LEN(BP6)&lt;=16))+32768*(OR(ISNUMBER(FIND("DESIC",BP6)),ISNUMBER(FIND("DESSIC",BP6)))))</f>
        <v/>
      </c>
      <c r="BQ141">
        <f>IF(BQ6="",0,2*(OR(ISNUMBER(FIND("WORKCENTER",BQ6)),AND(LEFT(BQ6,4)="LINE",NOT(ISNUMBER(FIND("STATUS",BQ6))))))+4*(OR(ISNUMBER(FIND("WORKORDER",BQ6)),AND(LEFT(BQ6,2)="WO",OR(ISNUMBER(FIND("NUM",BQ6)),RIGHT(BQ6,2)="NO"))))+8*(LEFT(BQ6,3)="SEQ")+16*(AND(LEFT(BQ6,4)="ITEM",NOT(ISNUMBER(FIND("DESC",BQ6)))))+32*(AND(ISNUMBER(FIND("DESC",BQ6)),NOT(ISNUMBER(FIND("CAP",BQ6)))))+64*(OR(RIGHT(BQ6,5)="COUNT",RIGHT(BQ6,2)="CT"))+128*(ISNUMBER(FIND("BULK",BQ6)))+256*(ISNUMBER(FIND("SIZE",BQ6)))+512*(LEFT(BQ6,3)="CAP")+1024*(ISNUMBER(FIND("ALLERG",BQ6)))+2048*(OR(ISNUMBER(FIND("REMARK",BQ6)),ISNUMBER(FIND("COMMENT",BQ6))))+4096*(OR(ISNUMBER(FIND("QTY",BQ6)),ISNUMBER(FIND("QUANTITY",BQ6))))+8192*(AND(OR(ISNUMBER(FIND("COMPLETE",BQ6)),ISNUMBER(FIND("PCT",BQ6)),ISNUMBER(FIND("PERCENT",BQ6))),NOT(ISNUMBER(FIND("ACTUAL",BQ6))),LEN(BQ6)&lt;=16))+32768*(OR(ISNUMBER(FIND("DESIC",BQ6)),ISNUMBER(FIND("DESSIC",BQ6)))))</f>
        <v/>
      </c>
      <c r="BR141">
        <f>IF(BR6="",0,2*(OR(ISNUMBER(FIND("WORKCENTER",BR6)),AND(LEFT(BR6,4)="LINE",NOT(ISNUMBER(FIND("STATUS",BR6))))))+4*(OR(ISNUMBER(FIND("WORKORDER",BR6)),AND(LEFT(BR6,2)="WO",OR(ISNUMBER(FIND("NUM",BR6)),RIGHT(BR6,2)="NO"))))+8*(LEFT(BR6,3)="SEQ")+16*(AND(LEFT(BR6,4)="ITEM",NOT(ISNUMBER(FIND("DESC",BR6)))))+32*(AND(ISNUMBER(FIND("DESC",BR6)),NOT(ISNUMBER(FIND("CAP",BR6)))))+64*(OR(RIGHT(BR6,5)="COUNT",RIGHT(BR6,2)="CT"))+128*(ISNUMBER(FIND("BULK",BR6)))+256*(ISNUMBER(FIND("SIZE",BR6)))+512*(LEFT(BR6,3)="CAP")+1024*(ISNUMBER(FIND("ALLERG",BR6)))+2048*(OR(ISNUMBER(FIND("REMARK",BR6)),ISNUMBER(FIND("COMMENT",BR6))))+4096*(OR(ISNUMBER(FIND("QTY",BR6)),ISNUMBER(FIND("QUANTITY",BR6))))+8192*(AND(OR(ISNUMBER(FIND("COMPLETE",BR6)),ISNUMBER(FIND("PCT",BR6)),ISNUMBER(FIND("PERCENT",BR6))),NOT(ISNUMBER(FIND("ACTUAL",BR6))),LEN(BR6)&lt;=16))+32768*(OR(ISNUMBER(FIND("DESIC",BR6)),ISNUMBER(FIND("DESSIC",BR6)))))</f>
        <v/>
      </c>
      <c r="BS141">
        <f>IF(BS6="",0,2*(OR(ISNUMBER(FIND("WORKCENTER",BS6)),AND(LEFT(BS6,4)="LINE",NOT(ISNUMBER(FIND("STATUS",BS6))))))+4*(OR(ISNUMBER(FIND("WORKORDER",BS6)),AND(LEFT(BS6,2)="WO",OR(ISNUMBER(FIND("NUM",BS6)),RIGHT(BS6,2)="NO"))))+8*(LEFT(BS6,3)="SEQ")+16*(AND(LEFT(BS6,4)="ITEM",NOT(ISNUMBER(FIND("DESC",BS6)))))+32*(AND(ISNUMBER(FIND("DESC",BS6)),NOT(ISNUMBER(FIND("CAP",BS6)))))+64*(OR(RIGHT(BS6,5)="COUNT",RIGHT(BS6,2)="CT"))+128*(ISNUMBER(FIND("BULK",BS6)))+256*(ISNUMBER(FIND("SIZE",BS6)))+512*(LEFT(BS6,3)="CAP")+1024*(ISNUMBER(FIND("ALLERG",BS6)))+2048*(OR(ISNUMBER(FIND("REMARK",BS6)),ISNUMBER(FIND("COMMENT",BS6))))+4096*(OR(ISNUMBER(FIND("QTY",BS6)),ISNUMBER(FIND("QUANTITY",BS6))))+8192*(AND(OR(ISNUMBER(FIND("COMPLETE",BS6)),ISNUMBER(FIND("PCT",BS6)),ISNUMBER(FIND("PERCENT",BS6))),NOT(ISNUMBER(FIND("ACTUAL",BS6))),LEN(BS6)&lt;=16))+32768*(OR(ISNUMBER(FIND("DESIC",BS6)),ISNUMBER(FIND("DESSIC",BS6)))))</f>
        <v/>
      </c>
      <c r="BT141">
        <f>IF(BT6="",0,2*(OR(ISNUMBER(FIND("WORKCENTER",BT6)),AND(LEFT(BT6,4)="LINE",NOT(ISNUMBER(FIND("STATUS",BT6))))))+4*(OR(ISNUMBER(FIND("WORKORDER",BT6)),AND(LEFT(BT6,2)="WO",OR(ISNUMBER(FIND("NUM",BT6)),RIGHT(BT6,2)="NO"))))+8*(LEFT(BT6,3)="SEQ")+16*(AND(LEFT(BT6,4)="ITEM",NOT(ISNUMBER(FIND("DESC",BT6)))))+32*(AND(ISNUMBER(FIND("DESC",BT6)),NOT(ISNUMBER(FIND("CAP",BT6)))))+64*(OR(RIGHT(BT6,5)="COUNT",RIGHT(BT6,2)="CT"))+128*(ISNUMBER(FIND("BULK",BT6)))+256*(ISNUMBER(FIND("SIZE",BT6)))+512*(LEFT(BT6,3)="CAP")+1024*(ISNUMBER(FIND("ALLERG",BT6)))+2048*(OR(ISNUMBER(FIND("REMARK",BT6)),ISNUMBER(FIND("COMMENT",BT6))))+4096*(OR(ISNUMBER(FIND("QTY",BT6)),ISNUMBER(FIND("QUANTITY",BT6))))+8192*(AND(OR(ISNUMBER(FIND("COMPLETE",BT6)),ISNUMBER(FIND("PCT",BT6)),ISNUMBER(FIND("PERCENT",BT6))),NOT(ISNUMBER(FIND("ACTUAL",BT6))),LEN(BT6)&lt;=16))+32768*(OR(ISNUMBER(FIND("DESIC",BT6)),ISNUMBER(FIND("DESSIC",BT6)))))</f>
        <v/>
      </c>
      <c r="BU141">
        <f>IF(BU6="",0,2*(OR(ISNUMBER(FIND("WORKCENTER",BU6)),AND(LEFT(BU6,4)="LINE",NOT(ISNUMBER(FIND("STATUS",BU6))))))+4*(OR(ISNUMBER(FIND("WORKORDER",BU6)),AND(LEFT(BU6,2)="WO",OR(ISNUMBER(FIND("NUM",BU6)),RIGHT(BU6,2)="NO"))))+8*(LEFT(BU6,3)="SEQ")+16*(AND(LEFT(BU6,4)="ITEM",NOT(ISNUMBER(FIND("DESC",BU6)))))+32*(AND(ISNUMBER(FIND("DESC",BU6)),NOT(ISNUMBER(FIND("CAP",BU6)))))+64*(OR(RIGHT(BU6,5)="COUNT",RIGHT(BU6,2)="CT"))+128*(ISNUMBER(FIND("BULK",BU6)))+256*(ISNUMBER(FIND("SIZE",BU6)))+512*(LEFT(BU6,3)="CAP")+1024*(ISNUMBER(FIND("ALLERG",BU6)))+2048*(OR(ISNUMBER(FIND("REMARK",BU6)),ISNUMBER(FIND("COMMENT",BU6))))+4096*(OR(ISNUMBER(FIND("QTY",BU6)),ISNUMBER(FIND("QUANTITY",BU6))))+8192*(AND(OR(ISNUMBER(FIND("COMPLETE",BU6)),ISNUMBER(FIND("PCT",BU6)),ISNUMBER(FIND("PERCENT",BU6))),NOT(ISNUMBER(FIND("ACTUAL",BU6))),LEN(BU6)&lt;=16))+32768*(OR(ISNUMBER(FIND("DESIC",BU6)),ISNUMBER(FIND("DESSIC",BU6)))))</f>
        <v/>
      </c>
      <c r="BV141">
        <f>IF(BV6="",0,2*(OR(ISNUMBER(FIND("WORKCENTER",BV6)),AND(LEFT(BV6,4)="LINE",NOT(ISNUMBER(FIND("STATUS",BV6))))))+4*(OR(ISNUMBER(FIND("WORKORDER",BV6)),AND(LEFT(BV6,2)="WO",OR(ISNUMBER(FIND("NUM",BV6)),RIGHT(BV6,2)="NO"))))+8*(LEFT(BV6,3)="SEQ")+16*(AND(LEFT(BV6,4)="ITEM",NOT(ISNUMBER(FIND("DESC",BV6)))))+32*(AND(ISNUMBER(FIND("DESC",BV6)),NOT(ISNUMBER(FIND("CAP",BV6)))))+64*(OR(RIGHT(BV6,5)="COUNT",RIGHT(BV6,2)="CT"))+128*(ISNUMBER(FIND("BULK",BV6)))+256*(ISNUMBER(FIND("SIZE",BV6)))+512*(LEFT(BV6,3)="CAP")+1024*(ISNUMBER(FIND("ALLERG",BV6)))+2048*(OR(ISNUMBER(FIND("REMARK",BV6)),ISNUMBER(FIND("COMMENT",BV6))))+4096*(OR(ISNUMBER(FIND("QTY",BV6)),ISNUMBER(FIND("QUANTITY",BV6))))+8192*(AND(OR(ISNUMBER(FIND("COMPLETE",BV6)),ISNUMBER(FIND("PCT",BV6)),ISNUMBER(FIND("PERCENT",BV6))),NOT(ISNUMBER(FIND("ACTUAL",BV6))),LEN(BV6)&lt;=16))+32768*(OR(ISNUMBER(FIND("DESIC",BV6)),ISNUMBER(FIND("DESSIC",BV6)))))</f>
        <v/>
      </c>
      <c r="BW141">
        <f>IF(BW6="",0,2*(OR(ISNUMBER(FIND("WORKCENTER",BW6)),AND(LEFT(BW6,4)="LINE",NOT(ISNUMBER(FIND("STATUS",BW6))))))+4*(OR(ISNUMBER(FIND("WORKORDER",BW6)),AND(LEFT(BW6,2)="WO",OR(ISNUMBER(FIND("NUM",BW6)),RIGHT(BW6,2)="NO"))))+8*(LEFT(BW6,3)="SEQ")+16*(AND(LEFT(BW6,4)="ITEM",NOT(ISNUMBER(FIND("DESC",BW6)))))+32*(AND(ISNUMBER(FIND("DESC",BW6)),NOT(ISNUMBER(FIND("CAP",BW6)))))+64*(OR(RIGHT(BW6,5)="COUNT",RIGHT(BW6,2)="CT"))+128*(ISNUMBER(FIND("BULK",BW6)))+256*(ISNUMBER(FIND("SIZE",BW6)))+512*(LEFT(BW6,3)="CAP")+1024*(ISNUMBER(FIND("ALLERG",BW6)))+2048*(OR(ISNUMBER(FIND("REMARK",BW6)),ISNUMBER(FIND("COMMENT",BW6))))+4096*(OR(ISNUMBER(FIND("QTY",BW6)),ISNUMBER(FIND("QUANTITY",BW6))))+8192*(AND(OR(ISNUMBER(FIND("COMPLETE",BW6)),ISNUMBER(FIND("PCT",BW6)),ISNUMBER(FIND("PERCENT",BW6))),NOT(ISNUMBER(FIND("ACTUAL",BW6))),LEN(BW6)&lt;=16))+32768*(OR(ISNUMBER(FIND("DESIC",BW6)),ISNUMBER(FIND("DESSIC",BW6)))))</f>
        <v/>
      </c>
      <c r="BX141">
        <f>IF(BX6="",0,2*(OR(ISNUMBER(FIND("WORKCENTER",BX6)),AND(LEFT(BX6,4)="LINE",NOT(ISNUMBER(FIND("STATUS",BX6))))))+4*(OR(ISNUMBER(FIND("WORKORDER",BX6)),AND(LEFT(BX6,2)="WO",OR(ISNUMBER(FIND("NUM",BX6)),RIGHT(BX6,2)="NO"))))+8*(LEFT(BX6,3)="SEQ")+16*(AND(LEFT(BX6,4)="ITEM",NOT(ISNUMBER(FIND("DESC",BX6)))))+32*(AND(ISNUMBER(FIND("DESC",BX6)),NOT(ISNUMBER(FIND("CAP",BX6)))))+64*(OR(RIGHT(BX6,5)="COUNT",RIGHT(BX6,2)="CT"))+128*(ISNUMBER(FIND("BULK",BX6)))+256*(ISNUMBER(FIND("SIZE",BX6)))+512*(LEFT(BX6,3)="CAP")+1024*(ISNUMBER(FIND("ALLERG",BX6)))+2048*(OR(ISNUMBER(FIND("REMARK",BX6)),ISNUMBER(FIND("COMMENT",BX6))))+4096*(OR(ISNUMBER(FIND("QTY",BX6)),ISNUMBER(FIND("QUANTITY",BX6))))+8192*(AND(OR(ISNUMBER(FIND("COMPLETE",BX6)),ISNUMBER(FIND("PCT",BX6)),ISNUMBER(FIND("PERCENT",BX6))),NOT(ISNUMBER(FIND("ACTUAL",BX6))),LEN(BX6)&lt;=16))+32768*(OR(ISNUMBER(FIND("DESIC",BX6)),ISNUMBER(FIND("DESSIC",BX6)))))</f>
        <v/>
      </c>
      <c r="BY141">
        <f>IF(BY6="",0,2*(OR(ISNUMBER(FIND("WORKCENTER",BY6)),AND(LEFT(BY6,4)="LINE",NOT(ISNUMBER(FIND("STATUS",BY6))))))+4*(OR(ISNUMBER(FIND("WORKORDER",BY6)),AND(LEFT(BY6,2)="WO",OR(ISNUMBER(FIND("NUM",BY6)),RIGHT(BY6,2)="NO"))))+8*(LEFT(BY6,3)="SEQ")+16*(AND(LEFT(BY6,4)="ITEM",NOT(ISNUMBER(FIND("DESC",BY6)))))+32*(AND(ISNUMBER(FIND("DESC",BY6)),NOT(ISNUMBER(FIND("CAP",BY6)))))+64*(OR(RIGHT(BY6,5)="COUNT",RIGHT(BY6,2)="CT"))+128*(ISNUMBER(FIND("BULK",BY6)))+256*(ISNUMBER(FIND("SIZE",BY6)))+512*(LEFT(BY6,3)="CAP")+1024*(ISNUMBER(FIND("ALLERG",BY6)))+2048*(OR(ISNUMBER(FIND("REMARK",BY6)),ISNUMBER(FIND("COMMENT",BY6))))+4096*(OR(ISNUMBER(FIND("QTY",BY6)),ISNUMBER(FIND("QUANTITY",BY6))))+8192*(AND(OR(ISNUMBER(FIND("COMPLETE",BY6)),ISNUMBER(FIND("PCT",BY6)),ISNUMBER(FIND("PERCENT",BY6))),NOT(ISNUMBER(FIND("ACTUAL",BY6))),LEN(BY6)&lt;=16))+32768*(OR(ISNUMBER(FIND("DESIC",BY6)),ISNUMBER(FIND("DESSIC",BY6)))))</f>
        <v/>
      </c>
      <c r="BZ141">
        <f>IF(BZ6="",0,2*(OR(ISNUMBER(FIND("WORKCENTER",BZ6)),AND(LEFT(BZ6,4)="LINE",NOT(ISNUMBER(FIND("STATUS",BZ6))))))+4*(OR(ISNUMBER(FIND("WORKORDER",BZ6)),AND(LEFT(BZ6,2)="WO",OR(ISNUMBER(FIND("NUM",BZ6)),RIGHT(BZ6,2)="NO"))))+8*(LEFT(BZ6,3)="SEQ")+16*(AND(LEFT(BZ6,4)="ITEM",NOT(ISNUMBER(FIND("DESC",BZ6)))))+32*(AND(ISNUMBER(FIND("DESC",BZ6)),NOT(ISNUMBER(FIND("CAP",BZ6)))))+64*(OR(RIGHT(BZ6,5)="COUNT",RIGHT(BZ6,2)="CT"))+128*(ISNUMBER(FIND("BULK",BZ6)))+256*(ISNUMBER(FIND("SIZE",BZ6)))+512*(LEFT(BZ6,3)="CAP")+1024*(ISNUMBER(FIND("ALLERG",BZ6)))+2048*(OR(ISNUMBER(FIND("REMARK",BZ6)),ISNUMBER(FIND("COMMENT",BZ6))))+4096*(OR(ISNUMBER(FIND("QTY",BZ6)),ISNUMBER(FIND("QUANTITY",BZ6))))+8192*(AND(OR(ISNUMBER(FIND("COMPLETE",BZ6)),ISNUMBER(FIND("PCT",BZ6)),ISNUMBER(FIND("PERCENT",BZ6))),NOT(ISNUMBER(FIND("ACTUAL",BZ6))),LEN(BZ6)&lt;=16))+32768*(OR(ISNUMBER(FIND("DESIC",BZ6)),ISNUMBER(FIND("DESSIC",BZ6)))))</f>
        <v/>
      </c>
      <c r="CA141">
        <f>IF(CA6="",0,2*(OR(ISNUMBER(FIND("WORKCENTER",CA6)),AND(LEFT(CA6,4)="LINE",NOT(ISNUMBER(FIND("STATUS",CA6))))))+4*(OR(ISNUMBER(FIND("WORKORDER",CA6)),AND(LEFT(CA6,2)="WO",OR(ISNUMBER(FIND("NUM",CA6)),RIGHT(CA6,2)="NO"))))+8*(LEFT(CA6,3)="SEQ")+16*(AND(LEFT(CA6,4)="ITEM",NOT(ISNUMBER(FIND("DESC",CA6)))))+32*(AND(ISNUMBER(FIND("DESC",CA6)),NOT(ISNUMBER(FIND("CAP",CA6)))))+64*(OR(RIGHT(CA6,5)="COUNT",RIGHT(CA6,2)="CT"))+128*(ISNUMBER(FIND("BULK",CA6)))+256*(ISNUMBER(FIND("SIZE",CA6)))+512*(LEFT(CA6,3)="CAP")+1024*(ISNUMBER(FIND("ALLERG",CA6)))+2048*(OR(ISNUMBER(FIND("REMARK",CA6)),ISNUMBER(FIND("COMMENT",CA6))))+4096*(OR(ISNUMBER(FIND("QTY",CA6)),ISNUMBER(FIND("QUANTITY",CA6))))+8192*(AND(OR(ISNUMBER(FIND("COMPLETE",CA6)),ISNUMBER(FIND("PCT",CA6)),ISNUMBER(FIND("PERCENT",CA6))),NOT(ISNUMBER(FIND("ACTUAL",CA6))),LEN(CA6)&lt;=16))+32768*(OR(ISNUMBER(FIND("DESIC",CA6)),ISNUMBER(FIND("DESSIC",CA6)))))</f>
        <v/>
      </c>
      <c r="CB141">
        <f>IF(CB6="",0,2*(OR(ISNUMBER(FIND("WORKCENTER",CB6)),AND(LEFT(CB6,4)="LINE",NOT(ISNUMBER(FIND("STATUS",CB6))))))+4*(OR(ISNUMBER(FIND("WORKORDER",CB6)),AND(LEFT(CB6,2)="WO",OR(ISNUMBER(FIND("NUM",CB6)),RIGHT(CB6,2)="NO"))))+8*(LEFT(CB6,3)="SEQ")+16*(AND(LEFT(CB6,4)="ITEM",NOT(ISNUMBER(FIND("DESC",CB6)))))+32*(AND(ISNUMBER(FIND("DESC",CB6)),NOT(ISNUMBER(FIND("CAP",CB6)))))+64*(OR(RIGHT(CB6,5)="COUNT",RIGHT(CB6,2)="CT"))+128*(ISNUMBER(FIND("BULK",CB6)))+256*(ISNUMBER(FIND("SIZE",CB6)))+512*(LEFT(CB6,3)="CAP")+1024*(ISNUMBER(FIND("ALLERG",CB6)))+2048*(OR(ISNUMBER(FIND("REMARK",CB6)),ISNUMBER(FIND("COMMENT",CB6))))+4096*(OR(ISNUMBER(FIND("QTY",CB6)),ISNUMBER(FIND("QUANTITY",CB6))))+8192*(AND(OR(ISNUMBER(FIND("COMPLETE",CB6)),ISNUMBER(FIND("PCT",CB6)),ISNUMBER(FIND("PERCENT",CB6))),NOT(ISNUMBER(FIND("ACTUAL",CB6))),LEN(CB6)&lt;=16))+32768*(OR(ISNUMBER(FIND("DESIC",CB6)),ISNUMBER(FIND("DESSIC",CB6)))))</f>
        <v/>
      </c>
      <c r="CC141">
        <f>IF(CC6="",0,2*(OR(ISNUMBER(FIND("WORKCENTER",CC6)),AND(LEFT(CC6,4)="LINE",NOT(ISNUMBER(FIND("STATUS",CC6))))))+4*(OR(ISNUMBER(FIND("WORKORDER",CC6)),AND(LEFT(CC6,2)="WO",OR(ISNUMBER(FIND("NUM",CC6)),RIGHT(CC6,2)="NO"))))+8*(LEFT(CC6,3)="SEQ")+16*(AND(LEFT(CC6,4)="ITEM",NOT(ISNUMBER(FIND("DESC",CC6)))))+32*(AND(ISNUMBER(FIND("DESC",CC6)),NOT(ISNUMBER(FIND("CAP",CC6)))))+64*(OR(RIGHT(CC6,5)="COUNT",RIGHT(CC6,2)="CT"))+128*(ISNUMBER(FIND("BULK",CC6)))+256*(ISNUMBER(FIND("SIZE",CC6)))+512*(LEFT(CC6,3)="CAP")+1024*(ISNUMBER(FIND("ALLERG",CC6)))+2048*(OR(ISNUMBER(FIND("REMARK",CC6)),ISNUMBER(FIND("COMMENT",CC6))))+4096*(OR(ISNUMBER(FIND("QTY",CC6)),ISNUMBER(FIND("QUANTITY",CC6))))+8192*(AND(OR(ISNUMBER(FIND("COMPLETE",CC6)),ISNUMBER(FIND("PCT",CC6)),ISNUMBER(FIND("PERCENT",CC6))),NOT(ISNUMBER(FIND("ACTUAL",CC6))),LEN(CC6)&lt;=16))+32768*(OR(ISNUMBER(FIND("DESIC",CC6)),ISNUMBER(FIND("DESSIC",CC6)))))</f>
        <v/>
      </c>
      <c r="CD141">
        <f>IF(CD6="",0,2*(OR(ISNUMBER(FIND("WORKCENTER",CD6)),AND(LEFT(CD6,4)="LINE",NOT(ISNUMBER(FIND("STATUS",CD6))))))+4*(OR(ISNUMBER(FIND("WORKORDER",CD6)),AND(LEFT(CD6,2)="WO",OR(ISNUMBER(FIND("NUM",CD6)),RIGHT(CD6,2)="NO"))))+8*(LEFT(CD6,3)="SEQ")+16*(AND(LEFT(CD6,4)="ITEM",NOT(ISNUMBER(FIND("DESC",CD6)))))+32*(AND(ISNUMBER(FIND("DESC",CD6)),NOT(ISNUMBER(FIND("CAP",CD6)))))+64*(OR(RIGHT(CD6,5)="COUNT",RIGHT(CD6,2)="CT"))+128*(ISNUMBER(FIND("BULK",CD6)))+256*(ISNUMBER(FIND("SIZE",CD6)))+512*(LEFT(CD6,3)="CAP")+1024*(ISNUMBER(FIND("ALLERG",CD6)))+2048*(OR(ISNUMBER(FIND("REMARK",CD6)),ISNUMBER(FIND("COMMENT",CD6))))+4096*(OR(ISNUMBER(FIND("QTY",CD6)),ISNUMBER(FIND("QUANTITY",CD6))))+8192*(AND(OR(ISNUMBER(FIND("COMPLETE",CD6)),ISNUMBER(FIND("PCT",CD6)),ISNUMBER(FIND("PERCENT",CD6))),NOT(ISNUMBER(FIND("ACTUAL",CD6))),LEN(CD6)&lt;=16))+32768*(OR(ISNUMBER(FIND("DESIC",CD6)),ISNUMBER(FIND("DESSIC",CD6)))))</f>
        <v/>
      </c>
      <c r="CE141">
        <f>IF(CE6="",0,2*(OR(ISNUMBER(FIND("WORKCENTER",CE6)),AND(LEFT(CE6,4)="LINE",NOT(ISNUMBER(FIND("STATUS",CE6))))))+4*(OR(ISNUMBER(FIND("WORKORDER",CE6)),AND(LEFT(CE6,2)="WO",OR(ISNUMBER(FIND("NUM",CE6)),RIGHT(CE6,2)="NO"))))+8*(LEFT(CE6,3)="SEQ")+16*(AND(LEFT(CE6,4)="ITEM",NOT(ISNUMBER(FIND("DESC",CE6)))))+32*(AND(ISNUMBER(FIND("DESC",CE6)),NOT(ISNUMBER(FIND("CAP",CE6)))))+64*(OR(RIGHT(CE6,5)="COUNT",RIGHT(CE6,2)="CT"))+128*(ISNUMBER(FIND("BULK",CE6)))+256*(ISNUMBER(FIND("SIZE",CE6)))+512*(LEFT(CE6,3)="CAP")+1024*(ISNUMBER(FIND("ALLERG",CE6)))+2048*(OR(ISNUMBER(FIND("REMARK",CE6)),ISNUMBER(FIND("COMMENT",CE6))))+4096*(OR(ISNUMBER(FIND("QTY",CE6)),ISNUMBER(FIND("QUANTITY",CE6))))+8192*(AND(OR(ISNUMBER(FIND("COMPLETE",CE6)),ISNUMBER(FIND("PCT",CE6)),ISNUMBER(FIND("PERCENT",CE6))),NOT(ISNUMBER(FIND("ACTUAL",CE6))),LEN(CE6)&lt;=16))+32768*(OR(ISNUMBER(FIND("DESIC",CE6)),ISNUMBER(FIND("DESSIC",CE6)))))</f>
        <v/>
      </c>
      <c r="CF141">
        <f>IF(CF6="",0,2*(OR(ISNUMBER(FIND("WORKCENTER",CF6)),AND(LEFT(CF6,4)="LINE",NOT(ISNUMBER(FIND("STATUS",CF6))))))+4*(OR(ISNUMBER(FIND("WORKORDER",CF6)),AND(LEFT(CF6,2)="WO",OR(ISNUMBER(FIND("NUM",CF6)),RIGHT(CF6,2)="NO"))))+8*(LEFT(CF6,3)="SEQ")+16*(AND(LEFT(CF6,4)="ITEM",NOT(ISNUMBER(FIND("DESC",CF6)))))+32*(AND(ISNUMBER(FIND("DESC",CF6)),NOT(ISNUMBER(FIND("CAP",CF6)))))+64*(OR(RIGHT(CF6,5)="COUNT",RIGHT(CF6,2)="CT"))+128*(ISNUMBER(FIND("BULK",CF6)))+256*(ISNUMBER(FIND("SIZE",CF6)))+512*(LEFT(CF6,3)="CAP")+1024*(ISNUMBER(FIND("ALLERG",CF6)))+2048*(OR(ISNUMBER(FIND("REMARK",CF6)),ISNUMBER(FIND("COMMENT",CF6))))+4096*(OR(ISNUMBER(FIND("QTY",CF6)),ISNUMBER(FIND("QUANTITY",CF6))))+8192*(AND(OR(ISNUMBER(FIND("COMPLETE",CF6)),ISNUMBER(FIND("PCT",CF6)),ISNUMBER(FIND("PERCENT",CF6))),NOT(ISNUMBER(FIND("ACTUAL",CF6))),LEN(CF6)&lt;=16))+32768*(OR(ISNUMBER(FIND("DESIC",CF6)),ISNUMBER(FIND("DESSIC",CF6)))))</f>
        <v/>
      </c>
      <c r="DA141" t="n">
        <v>137</v>
      </c>
      <c r="DB141">
        <f>IF($B$37=0,"",IFERROR(TRIM(SUBSTITUTE(SUBSTITUTE(SUBSTITUTE(SUBSTITUTE(INDEX(PASTE_ALL,137,$B$37)," "," "),CHAR(9)," "),CHAR(10)," "),CHAR(13)," ")),""))</f>
        <v/>
      </c>
      <c r="DC141">
        <f>IF(AND(137&gt;HEADER_ROW,UPPER(DB141)="LEGEND"),1,0)</f>
        <v/>
      </c>
      <c r="DE141" t="n">
        <v>137</v>
      </c>
      <c r="DF141">
        <f>HEADER_ROW+$DE141</f>
        <v/>
      </c>
      <c r="DG141">
        <f>IF(AND($DF141&lt;=1000,$DF141&lt;$B$8),1,0)</f>
        <v/>
      </c>
      <c r="DH141">
        <f>IF($DG141=1,IFERROR(INDEX($DB$5:$DB$1004,$DF141),""),"")</f>
        <v/>
      </c>
      <c r="DI141">
        <f>IF(AND($DG141=1,$DH141&lt;&gt;""),IFERROR(SUBSTITUTE(SUBSTITUTE(TRIM(SUBSTITUTE(SUBSTITUTE(SUBSTITUTE(SUBSTITUTE(IFERROR(INDEX(PASTE_ALL,$DF141,1)&amp;"","")&amp;"␟"&amp;IFERROR(INDEX(PASTE_ALL,$DF141,2)&amp;"","")&amp;"␟"&amp;IFERROR(INDEX(PASTE_ALL,$DF141,3)&amp;"","")&amp;"␟"&amp;IFERROR(INDEX(PASTE_ALL,$DF141,4)&amp;"","")&amp;"␟"&amp;IFERROR(INDEX(PASTE_ALL,$DF141,5)&amp;"","")&amp;"␟"&amp;IFERROR(INDEX(PASTE_ALL,$DF141,6)&amp;"","")&amp;"␟"&amp;IFERROR(INDEX(PASTE_ALL,$DF141,7)&amp;"","")&amp;"␟"&amp;IFERROR(INDEX(PASTE_ALL,$DF141,8)&amp;"","")&amp;"␟"&amp;IFERROR(INDEX(PASTE_ALL,$DF141,9)&amp;"","")&amp;"␟"&amp;IFERROR(INDEX(PASTE_ALL,$DF141,10)&amp;"","")&amp;"␟"&amp;IFERROR(INDEX(PASTE_ALL,$DF141,11)&amp;"","")&amp;"␟"&amp;IFERROR(INDEX(PASTE_ALL,$DF141,12)&amp;"","")&amp;"␟"&amp;IFERROR(INDEX(PASTE_ALL,$DF141,13)&amp;"","")&amp;"␟"&amp;IFERROR(INDEX(PASTE_ALL,$DF141,14)&amp;"","")&amp;"␟"&amp;IFERROR(INDEX(PASTE_ALL,$DF141,15)&amp;"","")&amp;"␟"&amp;IFERROR(INDEX(PASTE_ALL,$DF141,16)&amp;"","")&amp;"␟"&amp;IFERROR(INDEX(PASTE_ALL,$DF141,17)&amp;"","")&amp;"␟"&amp;IFERROR(INDEX(PASTE_ALL,$DF141,18)&amp;"","")&amp;"␟"&amp;IFERROR(INDEX(PASTE_ALL,$DF141,19)&amp;"","")&amp;"␟"&amp;IFERROR(INDEX(PASTE_ALL,$DF141,20)&amp;"","")&amp;"␟"&amp;IFERROR(INDEX(PASTE_ALL,$DF141,21)&amp;"","")&amp;"␟"&amp;IFERROR(INDEX(PASTE_ALL,$DF141,22)&amp;"","")&amp;"␟"&amp;IFERROR(INDEX(PASTE_ALL,$DF141,23)&amp;"","")&amp;"␟"&amp;IFERROR(INDEX(PASTE_ALL,$DF141,24)&amp;"","")&amp;"␟"&amp;IFERROR(INDEX(PASTE_ALL,$DF141,25)&amp;"","")&amp;"␟"&amp;IFERROR(INDEX(PASTE_ALL,$DF141,26)&amp;"","")&amp;"␟"&amp;IFERROR(INDEX(PASTE_ALL,$DF141,27)&amp;"","")&amp;"␟"&amp;IFERROR(INDEX(PASTE_ALL,$DF141,28)&amp;"","")&amp;"␟"&amp;IFERROR(INDEX(PASTE_ALL,$DF141,29)&amp;"","")&amp;"␟"&amp;IFERROR(INDEX(PASTE_ALL,$DF141,30)&amp;"","")&amp;"␟"&amp;IFERROR(INDEX(PASTE_ALL,$DF141,31)&amp;"","")&amp;"␟"&amp;IFERROR(INDEX(PASTE_ALL,$DF141,32)&amp;"","")&amp;"␟"&amp;IFERROR(INDEX(PASTE_ALL,$DF141,33)&amp;"","")&amp;"␟"&amp;IFERROR(INDEX(PASTE_ALL,$DF141,34)&amp;"","")&amp;"␟"&amp;IFERROR(INDEX(PASTE_ALL,$DF141,35)&amp;"","")&amp;"␟"&amp;IFERROR(INDEX(PASTE_ALL,$DF141,36)&amp;"","")&amp;"␟"&amp;IFERROR(INDEX(PASTE_ALL,$DF141,37)&amp;"","")&amp;"␟"&amp;IFERROR(INDEX(PASTE_ALL,$DF141,38)&amp;"","")&amp;"␟"&amp;IFERROR(INDEX(PASTE_ALL,$DF141,39)&amp;"","")&amp;"␟"&amp;IFERROR(INDEX(PASTE_ALL,$DF141,40)&amp;"","")&amp;"␟"&amp;IFERROR(INDEX(PASTE_ALL,$DF141,41)&amp;"","")&amp;"␟"&amp;IFERROR(INDEX(PASTE_ALL,$DF141,42)&amp;"","")&amp;"␟"&amp;IFERROR(INDEX(PASTE_ALL,$DF141,43)&amp;"","")&amp;"␟"&amp;IFERROR(INDEX(PASTE_ALL,$DF141,44)&amp;"","")&amp;"␟"&amp;IFERROR(INDEX(PASTE_ALL,$DF141,45)&amp;"","")&amp;"␟"&amp;IFERROR(INDEX(PASTE_ALL,$DF141,46)&amp;"","")&amp;"␟"&amp;IFERROR(INDEX(PASTE_ALL,$DF141,47)&amp;"","")&amp;"␟"&amp;IFERROR(INDEX(PASTE_ALL,$DF141,48)&amp;"","")&amp;"␟"&amp;IFERROR(INDEX(PASTE_ALL,$DF141,49)&amp;"","")&amp;"␟"&amp;IFERROR(INDEX(PASTE_ALL,$DF141,50)&amp;"","")&amp;"␟"&amp;IFERROR(INDEX(PASTE_ALL,$DF141,51)&amp;"","")&amp;"␟"&amp;IFERROR(INDEX(PASTE_ALL,$DF141,52)&amp;"","")&amp;"␟"&amp;IFERROR(INDEX(PASTE_ALL,$DF141,53)&amp;"","")&amp;"␟"&amp;IFERROR(INDEX(PASTE_ALL,$DF141,54)&amp;"","")&amp;"␟"&amp;IFERROR(INDEX(PASTE_ALL,$DF141,55)&amp;"","")&amp;"␟"&amp;IFERROR(INDEX(PASTE_ALL,$DF141,56)&amp;"","")&amp;"␟"&amp;IFERROR(INDEX(PASTE_ALL,$DF141,57)&amp;"","")&amp;"␟"&amp;IFERROR(INDEX(PASTE_ALL,$DF141,58)&amp;"","")&amp;"␟"&amp;IFERROR(INDEX(PASTE_ALL,$DF141,59)&amp;"","")&amp;"␟"&amp;IFERROR(INDEX(PASTE_ALL,$DF141,60)&amp;"","")," "," "),CHAR(9)," "),CHAR(10)," "),CHAR(13)," "))," ␟","␟"),"␟ ","␟"),"#"&amp;$DE141),"")</f>
        <v/>
      </c>
      <c r="DJ141">
        <f>IF($DI141="",0,IF(SUMPRODUCT(--EXACT($DI$4:DI140,$DI141))&gt;0,1,0))</f>
        <v/>
      </c>
      <c r="DK141">
        <f>IF(AND($DI141&lt;&gt;"",$DJ141=0),1,0)</f>
        <v/>
      </c>
      <c r="DL141">
        <f>DL140+$DK141</f>
        <v/>
      </c>
      <c r="DM141">
        <f>IF(AND($DK141=1,$DL141&lt;=600),1,0)</f>
        <v/>
      </c>
      <c r="DN141">
        <f>IF($DM141=0,"",IF($L$6=0,"",IFERROR(IF(ISNUMBER(INDEX(PASTE_ALL,$DF141,$L$6)),INDEX(PASTE_ALL,$DF141,$L$6),TRIM(SUBSTITUTE(SUBSTITUTE(SUBSTITUTE(SUBSTITUTE(INDEX(PASTE_ALL,$DF141,$L$6)," "," "),CHAR(9)," "),CHAR(10)," "),CHAR(13)," "))),"")))</f>
        <v/>
      </c>
      <c r="DO141">
        <f>IF($DM141=0,"",IF($L$7=0,"",IFERROR(IF(ISNUMBER(INDEX(PASTE_ALL,$DF141,$L$7)),INDEX(PASTE_ALL,$DF141,$L$7),TRIM(SUBSTITUTE(SUBSTITUTE(SUBSTITUTE(SUBSTITUTE(INDEX(PASTE_ALL,$DF141,$L$7)," "," "),CHAR(9)," "),CHAR(10)," "),CHAR(13)," "))),"")))</f>
        <v/>
      </c>
      <c r="DP141">
        <f>IF($DM141=0,"",IF($L$8=0,"",IFERROR(IF(ISNUMBER(INDEX(PASTE_ALL,$DF141,$L$8)),INDEX(PASTE_ALL,$DF141,$L$8),TRIM(SUBSTITUTE(SUBSTITUTE(SUBSTITUTE(SUBSTITUTE(INDEX(PASTE_ALL,$DF141,$L$8)," "," "),CHAR(9)," "),CHAR(10)," "),CHAR(13)," "))),"")))</f>
        <v/>
      </c>
      <c r="DQ141">
        <f>IF($DM141=0,"",IF($L$9=0,"",IFERROR(IF(ISNUMBER(INDEX(PASTE_ALL,$DF141,$L$9)),INDEX(PASTE_ALL,$DF141,$L$9),TRIM(SUBSTITUTE(SUBSTITUTE(SUBSTITUTE(SUBSTITUTE(INDEX(PASTE_ALL,$DF141,$L$9)," "," "),CHAR(9)," "),CHAR(10)," "),CHAR(13)," "))),"")))</f>
        <v/>
      </c>
      <c r="DR141">
        <f>IF($DM141=0,"",IF($L$10=0,"",IFERROR(IF(ISNUMBER(INDEX(PASTE_ALL,$DF141,$L$10)),INDEX(PASTE_ALL,$DF141,$L$10),TRIM(SUBSTITUTE(SUBSTITUTE(SUBSTITUTE(SUBSTITUTE(INDEX(PASTE_ALL,$DF141,$L$10)," "," "),CHAR(9)," "),CHAR(10)," "),CHAR(13)," "))),"")))</f>
        <v/>
      </c>
      <c r="DS141">
        <f>IF($DM141=0,"",IF($L$11=0,"",IFERROR(IF(ISNUMBER(INDEX(PASTE_ALL,$DF141,$L$11)),INDEX(PASTE_ALL,$DF141,$L$11),TRIM(SUBSTITUTE(SUBSTITUTE(SUBSTITUTE(SUBSTITUTE(INDEX(PASTE_ALL,$DF141,$L$11)," "," "),CHAR(9)," "),CHAR(10)," "),CHAR(13)," "))),"")))</f>
        <v/>
      </c>
      <c r="DT141">
        <f>IF($DM141=0,"",IF($L$12=0,"",IFERROR(IF(ISNUMBER(INDEX(PASTE_ALL,$DF141,$L$12)),INDEX(PASTE_ALL,$DF141,$L$12),TRIM(SUBSTITUTE(SUBSTITUTE(SUBSTITUTE(SUBSTITUTE(INDEX(PASTE_ALL,$DF141,$L$12)," "," "),CHAR(9)," "),CHAR(10)," "),CHAR(13)," "))),"")))</f>
        <v/>
      </c>
      <c r="DU141">
        <f>IF($DM141=0,"",IF($L$13=0,"",IFERROR(IF(ISNUMBER(INDEX(PASTE_ALL,$DF141,$L$13)),INDEX(PASTE_ALL,$DF141,$L$13),TRIM(SUBSTITUTE(SUBSTITUTE(SUBSTITUTE(SUBSTITUTE(INDEX(PASTE_ALL,$DF141,$L$13)," "," "),CHAR(9)," "),CHAR(10)," "),CHAR(13)," "))),"")))</f>
        <v/>
      </c>
      <c r="DV141">
        <f>IF($DM141=0,"",IF($L$14=0,"",IFERROR(IF(ISNUMBER(INDEX(PASTE_ALL,$DF141,$L$14)),INDEX(PASTE_ALL,$DF141,$L$14),TRIM(SUBSTITUTE(SUBSTITUTE(SUBSTITUTE(SUBSTITUTE(INDEX(PASTE_ALL,$DF141,$L$14)," "," "),CHAR(9)," "),CHAR(10)," "),CHAR(13)," "))),"")))</f>
        <v/>
      </c>
      <c r="DW141">
        <f>IF($DM141=0,"",IF($L$15=0,"",IFERROR(IF(ISNUMBER(INDEX(PASTE_ALL,$DF141,$L$15)),INDEX(PASTE_ALL,$DF141,$L$15),IF(SUMPRODUCT(--ISNUMBER(FIND({"A","B","C","D","E","F","G","H","I","J","K","L","M","N","O","P","Q","R","S","T","U","V","W","X","Y","Z","0","1","2","3","4","5","6","7","8","9"},UPPER(TRIM(SUBSTITUTE(SUBSTITUTE(SUBSTITUTE(SUBSTITUTE(INDEX(PASTE_ALL,$DF141,$L$15)," "," "),CHAR(9)," "),CHAR(10)," "),CHAR(13)," "))))))&gt;0,TRIM(SUBSTITUTE(SUBSTITUTE(SUBSTITUTE(SUBSTITUTE(INDEX(PASTE_ALL,$DF141,$L$15)," "," "),CHAR(9)," "),CHAR(10)," "),CHAR(13)," ")),"")),"")))</f>
        <v/>
      </c>
      <c r="DX141">
        <f>IF($DM141=0,"",IF($L$16=0,"",IFERROR(IF(ISNUMBER(INDEX(PASTE_ALL,$DF141,$L$16)),INDEX(PASTE_ALL,$DF141,$L$16),SUBSTITUTE(SUBSTITUTE(TRIM(SUBSTITUTE(SUBSTITUTE(SUBSTITUTE(SUBSTITUTE(INDEX(PASTE_ALL,$DF141,$L$16)," "," "),CHAR(9)," "),CHAR(10)," "),CHAR(13)," ")),",",""),"%","")),"")))</f>
        <v/>
      </c>
      <c r="DY141">
        <f>IF($DM141=0,"",IFERROR(IF(ISNUMBER($DX141),$DX141,IF($DX141="","",IF(TRIM($DX141)="",0,IF(AND(AND(SUBSTITUTE(SUBSTITUTE(SUBSTITUTE(SUBSTITUTE(SUBSTITUTE(SUBSTITUTE(SUBSTITUTE(SUBSTITUTE(SUBSTITUTE(SUBSTITUTE(SUBSTITUTE(SUBSTITUTE(SUBSTITUTE(SUBSTITUTE(UPPER(TRIM($DX141)),"0",""),"1",""),"2",""),"3",""),"4",""),"5",""),"6",""),"7",""),"8",""),"9",""),".",""),"+",""),"-",""),"E","")="",LEN(SUBSTITUTE(SUBSTITUTE(MID(UPPER(TRIM($DX141)),1+OR(LEFT(UPPER(TRIM($DX141)),1)="+",LEFT(UPPER(TRIM($DX141)),1)="-"),999),"E+","E"),"E-","E"))=LEN(SUBSTITUTE(SUBSTITUTE(SUBSTITUTE(SUBSTITUTE(MID(UPPER(TRIM($DX141)),1+OR(LEFT(UPPER(TRIM($DX141)),1)="+",LEFT(UPPER(TRIM($DX141)),1)="-"),999),"E+","E"),"E-","E"),"+",""),"-","")),LEN(UPPER(TRIM($DX141)))-LEN(SUBSTITUTE(UPPER(TRIM($DX141)),"E",""))&lt;2,LEN(UPPER(TRIM($DX141)))-LEN(SUBSTITUTE(UPPER(TRIM($DX141)),".",""))&lt;2,IFERROR(FIND(".",UPPER(TRIM($DX141))),0)&lt;IFERROR(FIND("E",UPPER(TRIM($DX141))),999)),ISNUMBER(VALUE(TRIM($DX141)))),VALUE(TRIM($DX141)),"")))),""))</f>
        <v/>
      </c>
      <c r="DZ141">
        <f>IF($DM141=0,"",IF($L$17=0,"",IFERROR(IF(ISNUMBER(INDEX(PASTE_ALL,$DF141,$L$17)),INDEX(PASTE_ALL,$DF141,$L$17),SUBSTITUTE(SUBSTITUTE(TRIM(SUBSTITUTE(SUBSTITUTE(SUBSTITUTE(SUBSTITUTE(INDEX(PASTE_ALL,$DF141,$L$17)," "," "),CHAR(9)," "),CHAR(10)," "),CHAR(13)," ")),",",""),"%","")),"")))</f>
        <v/>
      </c>
      <c r="EA141">
        <f>IF($DM141=0,"",IFERROR(IF(ISNUMBER($DZ141),$DZ141,IF($DZ141="","",IF(TRIM($DZ141)="",0,IF(AND(AND(SUBSTITUTE(SUBSTITUTE(SUBSTITUTE(SUBSTITUTE(SUBSTITUTE(SUBSTITUTE(SUBSTITUTE(SUBSTITUTE(SUBSTITUTE(SUBSTITUTE(SUBSTITUTE(SUBSTITUTE(SUBSTITUTE(SUBSTITUTE(UPPER(TRIM($DZ141)),"0",""),"1",""),"2",""),"3",""),"4",""),"5",""),"6",""),"7",""),"8",""),"9",""),".",""),"+",""),"-",""),"E","")="",LEN(SUBSTITUTE(SUBSTITUTE(MID(UPPER(TRIM($DZ141)),1+OR(LEFT(UPPER(TRIM($DZ141)),1)="+",LEFT(UPPER(TRIM($DZ141)),1)="-"),999),"E+","E"),"E-","E"))=LEN(SUBSTITUTE(SUBSTITUTE(SUBSTITUTE(SUBSTITUTE(MID(UPPER(TRIM($DZ141)),1+OR(LEFT(UPPER(TRIM($DZ141)),1)="+",LEFT(UPPER(TRIM($DZ141)),1)="-"),999),"E+","E"),"E-","E"),"+",""),"-","")),LEN(UPPER(TRIM($DZ141)))-LEN(SUBSTITUTE(UPPER(TRIM($DZ141)),"E",""))&lt;2,LEN(UPPER(TRIM($DZ141)))-LEN(SUBSTITUTE(UPPER(TRIM($DZ141)),".",""))&lt;2,IFERROR(FIND(".",UPPER(TRIM($DZ141))),0)&lt;IFERROR(FIND("E",UPPER(TRIM($DZ141))),999)),ISNUMBER(VALUE(TRIM($DZ141)))),VALUE(TRIM($DZ141)),"")))),""))</f>
        <v/>
      </c>
      <c r="EB141">
        <f>IF($DM141=0,"",IF($L$18=0,"",IFERROR(IF(UPPER(TRIM(SUBSTITUTE(SUBSTITUTE(SUBSTITUTE(SUBSTITUTE(INDEX(PASTE_ALL,$DF141,$L$18)," "," "),CHAR(9)," "),CHAR(10)," "),CHAR(13)," ")))="READY","Ready",IF(UPPER(TRIM(SUBSTITUTE(SUBSTITUTE(SUBSTITUTE(SUBSTITUTE(INDEX(PASTE_ALL,$DF141,$L$18)," "," "),CHAR(9)," "),CHAR(10)," "),CHAR(13)," ")))="PM","PM",IF(OR(UPPER(TRIM(SUBSTITUTE(SUBSTITUTE(SUBSTITUTE(SUBSTITUTE(INDEX(PASTE_ALL,$DF141,$L$18)," "," "),CHAR(9)," "),CHAR(10)," "),CHAR(13)," ")))="OT",UPPER(TRIM(SUBSTITUTE(SUBSTITUTE(SUBSTITUTE(SUBSTITUTE(INDEX(PASTE_ALL,$DF141,$L$18)," "," "),CHAR(9)," "),CHAR(10)," "),CHAR(13)," ")))="OVERTIME",UPPER(TRIM(SUBSTITUTE(SUBSTITUTE(SUBSTITUTE(SUBSTITUTE(INDEX(PASTE_ALL,$DF141,$L$18)," "," "),CHAR(9)," "),CHAR(10)," "),CHAR(13)," ")))="TRIAL"),"OT",TRIM(SUBSTITUTE(SUBSTITUTE(SUBSTITUTE(SUBSTITUTE(INDEX(PASTE_ALL,$DF141,$L$18)," "," "),CHAR(9)," "),CHAR(10)," "),CHAR(13)," "))))),"")))</f>
        <v/>
      </c>
      <c r="EC141">
        <f>IF($DM141=0,"",IF($L$19=0,"",IFERROR(IF(ISNUMBER(INDEX(PASTE_ALL,$DF141,$L$19)),INDEX(PASTE_ALL,$DF141,$L$19),TRIM(SUBSTITUTE(SUBSTITUTE(SUBSTITUTE(SUBSTITUTE(INDEX(PASTE_ALL,$DF141,$L$19)," "," "),CHAR(9)," "),CHAR(10)," "),CHAR(13)," "))),"")))</f>
        <v/>
      </c>
      <c r="ED141">
        <f>IF($DM141=0,"",MATCH(1,INDEX(EXACT($DH$5:DH141,$DH141)*$DM$5:DM141,0),0))</f>
        <v/>
      </c>
      <c r="EE141">
        <f>IF($DM141=0,0,IF($ED141=$DE141,1,0))</f>
        <v/>
      </c>
      <c r="EF141">
        <f>EF140+$EE141</f>
        <v/>
      </c>
      <c r="EG141">
        <f>IF($DM141=0,"",INDEX($EF$5:$EF$1003,$ED141))</f>
        <v/>
      </c>
      <c r="EH141">
        <f>IF($DM141=0,"",IF($DO141&lt;&gt;"","",IFERROR(LOOKUP(2,1/(($EG$4:EG140=$EG141)*($DO$4:DO140&lt;&gt;"")),$DO$4:DO140),"")))</f>
        <v/>
      </c>
      <c r="EI141">
        <f>IF($DM141=0,"",IF($DO141&lt;&gt;"",$DO141,$EH141))</f>
        <v/>
      </c>
      <c r="EJ141">
        <f>IF($DM141=0,"",IF($EI141="",0,IF(OR(ISNUMBER($EI141),AND(AND(SUBSTITUTE(SUBSTITUTE(SUBSTITUTE(SUBSTITUTE(SUBSTITUTE(SUBSTITUTE(SUBSTITUTE(SUBSTITUTE(SUBSTITUTE(SUBSTITUTE(SUBSTITUTE(SUBSTITUTE(SUBSTITUTE(SUBSTITUTE(UPPER($EI141),"0",""),"1",""),"2",""),"3",""),"4",""),"5",""),"6",""),"7",""),"8",""),"9",""),".",""),"+",""),"-",""),"E","")="",LEN(SUBSTITUTE(SUBSTITUTE(MID(UPPER($EI141),1+OR(LEFT(UPPER($EI141),1)="+",LEFT(UPPER($EI141),1)="-"),999),"E+","E"),"E-","E"))=LEN(SUBSTITUTE(SUBSTITUTE(SUBSTITUTE(SUBSTITUTE(MID(UPPER($EI141),1+OR(LEFT(UPPER($EI141),1)="+",LEFT(UPPER($EI141),1)="-"),999),"E+","E"),"E-","E"),"+",""),"-","")),LEN(UPPER($EI141))-LEN(SUBSTITUTE(UPPER($EI141),"E",""))&lt;2,LEN(UPPER($EI141))-LEN(SUBSTITUTE(UPPER($EI141),".",""))&lt;2,IFERROR(FIND(".",UPPER($EI141)),0)&lt;IFERROR(FIND("E",UPPER($EI141)),999)),ISNUMBER(VALUE($EI141)))),1,2)))</f>
        <v/>
      </c>
      <c r="EK141">
        <f>IF($DM141=0,"",IF($EJ141=1,IF(ISNUMBER($EI141),$EI141,VALUE($EI141)),IF($EJ141=2,$DE141,0)))</f>
        <v/>
      </c>
      <c r="EL141">
        <f>IF($DM141=0,"",COUNTIF($EG$5:$EG$1003,"&lt;"&amp;$EG141)+SUMPRODUCT(($EG$5:$EG$1003=$EG141)*(($EJ$5:$EJ$1003&lt;$EJ141)+($EJ$5:$EJ$1003=$EJ141)*(($EK$5:$EK$1003&lt;$EK141)+($EK$5:$EK$1003=$EK141)*($DE$5:$DE$1003&lt;$DE141))))+1)</f>
        <v/>
      </c>
      <c r="EM141">
        <f>IF($DM141=0,"",$EL141+$EG141-1)</f>
        <v/>
      </c>
      <c r="EN141">
        <f>IF($DM141=0,0,IFERROR(MATCH(1,INDEX(--(TRIM(SUBSTITUTE(SUBSTITUTE(SUBSTITUTE(SUBSTITUTE(LINES_NAME&amp;""," "," "),CHAR(9)," "),CHAR(10)," "),CHAR(13)," "))=$DH141),0),0),0))</f>
        <v/>
      </c>
      <c r="EO141">
        <f>IF($EN141=0,0,IF(OR(UPPER(TRIM(INDEX(LINES_SCHEDULED,$EN141)&amp;""))="YES",UPPER(TRIM(INDEX(LINES_SCHEDULED,$EN141)&amp;""))="Y",UPPER(TRIM(INDEX(LINES_SCHEDULED,$EN141)&amp;""))="X"),1,0))</f>
        <v/>
      </c>
      <c r="EP141">
        <f>IF($DM141=0,"",IF(COUNTIFS($EG$5:$EG$1003,$EG141,$EB$5:$EB$1003,"Ready")&gt;0,"READY",IF(COUNTIFS($EG$5:$EG$1003,$EG141,$EB$5:$EB$1003,"PM")&gt;0,"PM",IF(COUNTIFS($EG$5:$EG$1003,$EG141,$EB$5:$EB$1003,"OT")&gt;0,"OT",""))))</f>
        <v/>
      </c>
      <c r="EQ141">
        <f>IF($EN141=0,"",UPPER(TRIM(INDEX(LINES_STATUS,$EN141)&amp;"")))</f>
        <v/>
      </c>
      <c r="ER141">
        <f>IF($DM141=0,"",IF(OR($EQ141="READY",$EQ141="PM",$EQ141="OT"),$EQ141,$EP141))</f>
        <v/>
      </c>
      <c r="ES141">
        <f>IF($DM141=0,"",IF(AND($DV141&lt;&gt;"",UPPER($DV141)&lt;&gt;"N"),"allergen",IF(ISNUMBER(SEARCH("oil",$DQ141)),"oil",IF(OR(EXACT($DS141,"A662"),EXACT($DS141,"A624")),"bulk",""))))</f>
        <v/>
      </c>
      <c r="ET141">
        <f>IF($DM141=0,"",IF(OR($EA141="",$EA141=0),"",$EA141/100))</f>
        <v/>
      </c>
      <c r="EU141">
        <f>IF(OR($ET141="",$DY141=""),"",INT($DY141*(1-$ET141)+0.5))</f>
        <v/>
      </c>
      <c r="EW141" t="n">
        <v>137</v>
      </c>
      <c r="EX141">
        <f>IFERROR(MATCH($EW141,$EM$5:$EM$1003,0),0)</f>
        <v/>
      </c>
      <c r="EY141">
        <f>IF($EW141&gt;$B$12,"",IF($EX141&gt;0,"row","spacer"))</f>
        <v/>
      </c>
      <c r="EZ141">
        <f>IF(AND($EY141="row",$EY140&lt;&gt;"row"),1,0)</f>
        <v/>
      </c>
      <c r="FA141">
        <f>IF(AND($EY141="row",$EY142&lt;&gt;"row"),1,0)</f>
        <v/>
      </c>
      <c r="FB141">
        <f>IF($EZ141=1,IFERROR(IF(ISNUMBER(INDEX(PASTE_ALL,INDEX($DF$5:$DF$1003,$EX141),$B$37)),INDEX(PASTE_ALL,INDEX($DF$5:$DF$1003,$EX141),$B$37),INDEX($DH$5:$DH$1003,$EX141)),INDEX($DH$5:$DH$1003,$EX141)),"")</f>
        <v/>
      </c>
      <c r="FC141">
        <f>IF($EY141="row",INDEX($ER$5:$ER$1003,$EX141),"")</f>
        <v/>
      </c>
      <c r="FD141">
        <f>IF($EY141="row",INDEX($DN$5:$DN$1003,$EX141),"")</f>
        <v/>
      </c>
      <c r="FE141">
        <f>IF($EY141="row",INDEX($DO$5:$DO$1003,$EX141),"")</f>
        <v/>
      </c>
      <c r="FF141">
        <f>IF($EY141="row",INDEX($DP$5:$DP$1003,$EX141),"")</f>
        <v/>
      </c>
      <c r="FG141">
        <f>IF($EY141="row",INDEX($DQ$5:$DQ$1003,$EX141),"")</f>
        <v/>
      </c>
      <c r="FH141">
        <f>IF($EY141="row",INDEX($DR$5:$DR$1003,$EX141),"")</f>
        <v/>
      </c>
      <c r="FI141">
        <f>IF($EY141="row",INDEX($DS$5:$DS$1003,$EX141),"")</f>
        <v/>
      </c>
      <c r="FJ141">
        <f>IF($EY141="row",INDEX($DT$5:$DT$1003,$EX141),"")</f>
        <v/>
      </c>
      <c r="FK141">
        <f>IF($EY141="row",INDEX($DU$5:$DU$1003,$EX141),"")</f>
        <v/>
      </c>
      <c r="FL141">
        <f>IF($EY141="row",INDEX($DV$5:$DV$1003,$EX141),"")</f>
        <v/>
      </c>
      <c r="FM141">
        <f>IF($EY141="row",INDEX($DW$5:$DW$1003,$EX141),"")</f>
        <v/>
      </c>
      <c r="FN141">
        <f>IF($EY141="row",INDEX($DY$5:$DY$1003,$EX141),"")</f>
        <v/>
      </c>
      <c r="FO141">
        <f>IF($EY141="row",INDEX($EA$5:$EA$1003,$EX141),"")</f>
        <v/>
      </c>
      <c r="FP141">
        <f>IF($EY141="row",INDEX($EC$5:$EC$1003,$EX141),"")</f>
        <v/>
      </c>
      <c r="FQ141">
        <f>IF($EY141="row",INDEX($ET$5:$ET$1003,$EX141),"")</f>
        <v/>
      </c>
      <c r="FR141">
        <f>IF($EY141="row",INDEX($EU$5:$EU$1003,$EX141),"")</f>
        <v/>
      </c>
      <c r="FS141">
        <f>IF(AND($EY141="row",$EY140="row"),IF(OR(INDEX($DT$5:$DT$1003,$EX140)="",INDEX($DT$5:$DT$1003,$EX141)=""),"",IF(NOT(EXACT(INDEX($DT$5:$DT$1003,$EX140),INDEX($DT$5:$DT$1003,$EX141))),"S4",IF(NOT(EXACT(INDEX($DS$5:$DS$1003,$EX140),INDEX($DS$5:$DS$1003,$EX141))),"S3",IF(NOT(EXACT(INDEX($DR$5:$DR$1003,$EX140),INDEX($DR$5:$DR$1003,$EX141))),"S1 Count Change","S1")))),"")</f>
        <v/>
      </c>
      <c r="FT141">
        <f>IF($EY141="row",INDEX($ES$5:$ES$1003,$EX141),"")</f>
        <v/>
      </c>
      <c r="FU141">
        <f>IF($EY141="row",INDEX($EO$5:$EO$1003,$EX141),0)</f>
        <v/>
      </c>
      <c r="FV141">
        <f>IF($FS141="S1 Count Change",1,0)</f>
        <v/>
      </c>
    </row>
    <row r="142">
      <c r="Y142">
        <f>IF(Y7="",0,2*(OR(ISNUMBER(FIND("WORKCENTER",Y7)),AND(LEFT(Y7,4)="LINE",NOT(ISNUMBER(FIND("STATUS",Y7))))))+4*(OR(ISNUMBER(FIND("WORKORDER",Y7)),AND(LEFT(Y7,2)="WO",OR(ISNUMBER(FIND("NUM",Y7)),RIGHT(Y7,2)="NO"))))+8*(LEFT(Y7,3)="SEQ")+16*(AND(LEFT(Y7,4)="ITEM",NOT(ISNUMBER(FIND("DESC",Y7)))))+32*(AND(ISNUMBER(FIND("DESC",Y7)),NOT(ISNUMBER(FIND("CAP",Y7)))))+64*(OR(RIGHT(Y7,5)="COUNT",RIGHT(Y7,2)="CT"))+128*(ISNUMBER(FIND("BULK",Y7)))+256*(ISNUMBER(FIND("SIZE",Y7)))+512*(LEFT(Y7,3)="CAP")+1024*(ISNUMBER(FIND("ALLERG",Y7)))+2048*(OR(ISNUMBER(FIND("REMARK",Y7)),ISNUMBER(FIND("COMMENT",Y7))))+4096*(OR(ISNUMBER(FIND("QTY",Y7)),ISNUMBER(FIND("QUANTITY",Y7))))+8192*(AND(OR(ISNUMBER(FIND("COMPLETE",Y7)),ISNUMBER(FIND("PCT",Y7)),ISNUMBER(FIND("PERCENT",Y7))),NOT(ISNUMBER(FIND("ACTUAL",Y7))),LEN(Y7)&lt;=16))+32768*(OR(ISNUMBER(FIND("DESIC",Y7)),ISNUMBER(FIND("DESSIC",Y7)))))</f>
        <v/>
      </c>
      <c r="Z142">
        <f>IF(Z7="",0,2*(OR(ISNUMBER(FIND("WORKCENTER",Z7)),AND(LEFT(Z7,4)="LINE",NOT(ISNUMBER(FIND("STATUS",Z7))))))+4*(OR(ISNUMBER(FIND("WORKORDER",Z7)),AND(LEFT(Z7,2)="WO",OR(ISNUMBER(FIND("NUM",Z7)),RIGHT(Z7,2)="NO"))))+8*(LEFT(Z7,3)="SEQ")+16*(AND(LEFT(Z7,4)="ITEM",NOT(ISNUMBER(FIND("DESC",Z7)))))+32*(AND(ISNUMBER(FIND("DESC",Z7)),NOT(ISNUMBER(FIND("CAP",Z7)))))+64*(OR(RIGHT(Z7,5)="COUNT",RIGHT(Z7,2)="CT"))+128*(ISNUMBER(FIND("BULK",Z7)))+256*(ISNUMBER(FIND("SIZE",Z7)))+512*(LEFT(Z7,3)="CAP")+1024*(ISNUMBER(FIND("ALLERG",Z7)))+2048*(OR(ISNUMBER(FIND("REMARK",Z7)),ISNUMBER(FIND("COMMENT",Z7))))+4096*(OR(ISNUMBER(FIND("QTY",Z7)),ISNUMBER(FIND("QUANTITY",Z7))))+8192*(AND(OR(ISNUMBER(FIND("COMPLETE",Z7)),ISNUMBER(FIND("PCT",Z7)),ISNUMBER(FIND("PERCENT",Z7))),NOT(ISNUMBER(FIND("ACTUAL",Z7))),LEN(Z7)&lt;=16))+32768*(OR(ISNUMBER(FIND("DESIC",Z7)),ISNUMBER(FIND("DESSIC",Z7)))))</f>
        <v/>
      </c>
      <c r="AA142">
        <f>IF(AA7="",0,2*(OR(ISNUMBER(FIND("WORKCENTER",AA7)),AND(LEFT(AA7,4)="LINE",NOT(ISNUMBER(FIND("STATUS",AA7))))))+4*(OR(ISNUMBER(FIND("WORKORDER",AA7)),AND(LEFT(AA7,2)="WO",OR(ISNUMBER(FIND("NUM",AA7)),RIGHT(AA7,2)="NO"))))+8*(LEFT(AA7,3)="SEQ")+16*(AND(LEFT(AA7,4)="ITEM",NOT(ISNUMBER(FIND("DESC",AA7)))))+32*(AND(ISNUMBER(FIND("DESC",AA7)),NOT(ISNUMBER(FIND("CAP",AA7)))))+64*(OR(RIGHT(AA7,5)="COUNT",RIGHT(AA7,2)="CT"))+128*(ISNUMBER(FIND("BULK",AA7)))+256*(ISNUMBER(FIND("SIZE",AA7)))+512*(LEFT(AA7,3)="CAP")+1024*(ISNUMBER(FIND("ALLERG",AA7)))+2048*(OR(ISNUMBER(FIND("REMARK",AA7)),ISNUMBER(FIND("COMMENT",AA7))))+4096*(OR(ISNUMBER(FIND("QTY",AA7)),ISNUMBER(FIND("QUANTITY",AA7))))+8192*(AND(OR(ISNUMBER(FIND("COMPLETE",AA7)),ISNUMBER(FIND("PCT",AA7)),ISNUMBER(FIND("PERCENT",AA7))),NOT(ISNUMBER(FIND("ACTUAL",AA7))),LEN(AA7)&lt;=16))+32768*(OR(ISNUMBER(FIND("DESIC",AA7)),ISNUMBER(FIND("DESSIC",AA7)))))</f>
        <v/>
      </c>
      <c r="AB142">
        <f>IF(AB7="",0,2*(OR(ISNUMBER(FIND("WORKCENTER",AB7)),AND(LEFT(AB7,4)="LINE",NOT(ISNUMBER(FIND("STATUS",AB7))))))+4*(OR(ISNUMBER(FIND("WORKORDER",AB7)),AND(LEFT(AB7,2)="WO",OR(ISNUMBER(FIND("NUM",AB7)),RIGHT(AB7,2)="NO"))))+8*(LEFT(AB7,3)="SEQ")+16*(AND(LEFT(AB7,4)="ITEM",NOT(ISNUMBER(FIND("DESC",AB7)))))+32*(AND(ISNUMBER(FIND("DESC",AB7)),NOT(ISNUMBER(FIND("CAP",AB7)))))+64*(OR(RIGHT(AB7,5)="COUNT",RIGHT(AB7,2)="CT"))+128*(ISNUMBER(FIND("BULK",AB7)))+256*(ISNUMBER(FIND("SIZE",AB7)))+512*(LEFT(AB7,3)="CAP")+1024*(ISNUMBER(FIND("ALLERG",AB7)))+2048*(OR(ISNUMBER(FIND("REMARK",AB7)),ISNUMBER(FIND("COMMENT",AB7))))+4096*(OR(ISNUMBER(FIND("QTY",AB7)),ISNUMBER(FIND("QUANTITY",AB7))))+8192*(AND(OR(ISNUMBER(FIND("COMPLETE",AB7)),ISNUMBER(FIND("PCT",AB7)),ISNUMBER(FIND("PERCENT",AB7))),NOT(ISNUMBER(FIND("ACTUAL",AB7))),LEN(AB7)&lt;=16))+32768*(OR(ISNUMBER(FIND("DESIC",AB7)),ISNUMBER(FIND("DESSIC",AB7)))))</f>
        <v/>
      </c>
      <c r="AC142">
        <f>IF(AC7="",0,2*(OR(ISNUMBER(FIND("WORKCENTER",AC7)),AND(LEFT(AC7,4)="LINE",NOT(ISNUMBER(FIND("STATUS",AC7))))))+4*(OR(ISNUMBER(FIND("WORKORDER",AC7)),AND(LEFT(AC7,2)="WO",OR(ISNUMBER(FIND("NUM",AC7)),RIGHT(AC7,2)="NO"))))+8*(LEFT(AC7,3)="SEQ")+16*(AND(LEFT(AC7,4)="ITEM",NOT(ISNUMBER(FIND("DESC",AC7)))))+32*(AND(ISNUMBER(FIND("DESC",AC7)),NOT(ISNUMBER(FIND("CAP",AC7)))))+64*(OR(RIGHT(AC7,5)="COUNT",RIGHT(AC7,2)="CT"))+128*(ISNUMBER(FIND("BULK",AC7)))+256*(ISNUMBER(FIND("SIZE",AC7)))+512*(LEFT(AC7,3)="CAP")+1024*(ISNUMBER(FIND("ALLERG",AC7)))+2048*(OR(ISNUMBER(FIND("REMARK",AC7)),ISNUMBER(FIND("COMMENT",AC7))))+4096*(OR(ISNUMBER(FIND("QTY",AC7)),ISNUMBER(FIND("QUANTITY",AC7))))+8192*(AND(OR(ISNUMBER(FIND("COMPLETE",AC7)),ISNUMBER(FIND("PCT",AC7)),ISNUMBER(FIND("PERCENT",AC7))),NOT(ISNUMBER(FIND("ACTUAL",AC7))),LEN(AC7)&lt;=16))+32768*(OR(ISNUMBER(FIND("DESIC",AC7)),ISNUMBER(FIND("DESSIC",AC7)))))</f>
        <v/>
      </c>
      <c r="AD142">
        <f>IF(AD7="",0,2*(OR(ISNUMBER(FIND("WORKCENTER",AD7)),AND(LEFT(AD7,4)="LINE",NOT(ISNUMBER(FIND("STATUS",AD7))))))+4*(OR(ISNUMBER(FIND("WORKORDER",AD7)),AND(LEFT(AD7,2)="WO",OR(ISNUMBER(FIND("NUM",AD7)),RIGHT(AD7,2)="NO"))))+8*(LEFT(AD7,3)="SEQ")+16*(AND(LEFT(AD7,4)="ITEM",NOT(ISNUMBER(FIND("DESC",AD7)))))+32*(AND(ISNUMBER(FIND("DESC",AD7)),NOT(ISNUMBER(FIND("CAP",AD7)))))+64*(OR(RIGHT(AD7,5)="COUNT",RIGHT(AD7,2)="CT"))+128*(ISNUMBER(FIND("BULK",AD7)))+256*(ISNUMBER(FIND("SIZE",AD7)))+512*(LEFT(AD7,3)="CAP")+1024*(ISNUMBER(FIND("ALLERG",AD7)))+2048*(OR(ISNUMBER(FIND("REMARK",AD7)),ISNUMBER(FIND("COMMENT",AD7))))+4096*(OR(ISNUMBER(FIND("QTY",AD7)),ISNUMBER(FIND("QUANTITY",AD7))))+8192*(AND(OR(ISNUMBER(FIND("COMPLETE",AD7)),ISNUMBER(FIND("PCT",AD7)),ISNUMBER(FIND("PERCENT",AD7))),NOT(ISNUMBER(FIND("ACTUAL",AD7))),LEN(AD7)&lt;=16))+32768*(OR(ISNUMBER(FIND("DESIC",AD7)),ISNUMBER(FIND("DESSIC",AD7)))))</f>
        <v/>
      </c>
      <c r="AE142">
        <f>IF(AE7="",0,2*(OR(ISNUMBER(FIND("WORKCENTER",AE7)),AND(LEFT(AE7,4)="LINE",NOT(ISNUMBER(FIND("STATUS",AE7))))))+4*(OR(ISNUMBER(FIND("WORKORDER",AE7)),AND(LEFT(AE7,2)="WO",OR(ISNUMBER(FIND("NUM",AE7)),RIGHT(AE7,2)="NO"))))+8*(LEFT(AE7,3)="SEQ")+16*(AND(LEFT(AE7,4)="ITEM",NOT(ISNUMBER(FIND("DESC",AE7)))))+32*(AND(ISNUMBER(FIND("DESC",AE7)),NOT(ISNUMBER(FIND("CAP",AE7)))))+64*(OR(RIGHT(AE7,5)="COUNT",RIGHT(AE7,2)="CT"))+128*(ISNUMBER(FIND("BULK",AE7)))+256*(ISNUMBER(FIND("SIZE",AE7)))+512*(LEFT(AE7,3)="CAP")+1024*(ISNUMBER(FIND("ALLERG",AE7)))+2048*(OR(ISNUMBER(FIND("REMARK",AE7)),ISNUMBER(FIND("COMMENT",AE7))))+4096*(OR(ISNUMBER(FIND("QTY",AE7)),ISNUMBER(FIND("QUANTITY",AE7))))+8192*(AND(OR(ISNUMBER(FIND("COMPLETE",AE7)),ISNUMBER(FIND("PCT",AE7)),ISNUMBER(FIND("PERCENT",AE7))),NOT(ISNUMBER(FIND("ACTUAL",AE7))),LEN(AE7)&lt;=16))+32768*(OR(ISNUMBER(FIND("DESIC",AE7)),ISNUMBER(FIND("DESSIC",AE7)))))</f>
        <v/>
      </c>
      <c r="AF142">
        <f>IF(AF7="",0,2*(OR(ISNUMBER(FIND("WORKCENTER",AF7)),AND(LEFT(AF7,4)="LINE",NOT(ISNUMBER(FIND("STATUS",AF7))))))+4*(OR(ISNUMBER(FIND("WORKORDER",AF7)),AND(LEFT(AF7,2)="WO",OR(ISNUMBER(FIND("NUM",AF7)),RIGHT(AF7,2)="NO"))))+8*(LEFT(AF7,3)="SEQ")+16*(AND(LEFT(AF7,4)="ITEM",NOT(ISNUMBER(FIND("DESC",AF7)))))+32*(AND(ISNUMBER(FIND("DESC",AF7)),NOT(ISNUMBER(FIND("CAP",AF7)))))+64*(OR(RIGHT(AF7,5)="COUNT",RIGHT(AF7,2)="CT"))+128*(ISNUMBER(FIND("BULK",AF7)))+256*(ISNUMBER(FIND("SIZE",AF7)))+512*(LEFT(AF7,3)="CAP")+1024*(ISNUMBER(FIND("ALLERG",AF7)))+2048*(OR(ISNUMBER(FIND("REMARK",AF7)),ISNUMBER(FIND("COMMENT",AF7))))+4096*(OR(ISNUMBER(FIND("QTY",AF7)),ISNUMBER(FIND("QUANTITY",AF7))))+8192*(AND(OR(ISNUMBER(FIND("COMPLETE",AF7)),ISNUMBER(FIND("PCT",AF7)),ISNUMBER(FIND("PERCENT",AF7))),NOT(ISNUMBER(FIND("ACTUAL",AF7))),LEN(AF7)&lt;=16))+32768*(OR(ISNUMBER(FIND("DESIC",AF7)),ISNUMBER(FIND("DESSIC",AF7)))))</f>
        <v/>
      </c>
      <c r="AG142">
        <f>IF(AG7="",0,2*(OR(ISNUMBER(FIND("WORKCENTER",AG7)),AND(LEFT(AG7,4)="LINE",NOT(ISNUMBER(FIND("STATUS",AG7))))))+4*(OR(ISNUMBER(FIND("WORKORDER",AG7)),AND(LEFT(AG7,2)="WO",OR(ISNUMBER(FIND("NUM",AG7)),RIGHT(AG7,2)="NO"))))+8*(LEFT(AG7,3)="SEQ")+16*(AND(LEFT(AG7,4)="ITEM",NOT(ISNUMBER(FIND("DESC",AG7)))))+32*(AND(ISNUMBER(FIND("DESC",AG7)),NOT(ISNUMBER(FIND("CAP",AG7)))))+64*(OR(RIGHT(AG7,5)="COUNT",RIGHT(AG7,2)="CT"))+128*(ISNUMBER(FIND("BULK",AG7)))+256*(ISNUMBER(FIND("SIZE",AG7)))+512*(LEFT(AG7,3)="CAP")+1024*(ISNUMBER(FIND("ALLERG",AG7)))+2048*(OR(ISNUMBER(FIND("REMARK",AG7)),ISNUMBER(FIND("COMMENT",AG7))))+4096*(OR(ISNUMBER(FIND("QTY",AG7)),ISNUMBER(FIND("QUANTITY",AG7))))+8192*(AND(OR(ISNUMBER(FIND("COMPLETE",AG7)),ISNUMBER(FIND("PCT",AG7)),ISNUMBER(FIND("PERCENT",AG7))),NOT(ISNUMBER(FIND("ACTUAL",AG7))),LEN(AG7)&lt;=16))+32768*(OR(ISNUMBER(FIND("DESIC",AG7)),ISNUMBER(FIND("DESSIC",AG7)))))</f>
        <v/>
      </c>
      <c r="AH142">
        <f>IF(AH7="",0,2*(OR(ISNUMBER(FIND("WORKCENTER",AH7)),AND(LEFT(AH7,4)="LINE",NOT(ISNUMBER(FIND("STATUS",AH7))))))+4*(OR(ISNUMBER(FIND("WORKORDER",AH7)),AND(LEFT(AH7,2)="WO",OR(ISNUMBER(FIND("NUM",AH7)),RIGHT(AH7,2)="NO"))))+8*(LEFT(AH7,3)="SEQ")+16*(AND(LEFT(AH7,4)="ITEM",NOT(ISNUMBER(FIND("DESC",AH7)))))+32*(AND(ISNUMBER(FIND("DESC",AH7)),NOT(ISNUMBER(FIND("CAP",AH7)))))+64*(OR(RIGHT(AH7,5)="COUNT",RIGHT(AH7,2)="CT"))+128*(ISNUMBER(FIND("BULK",AH7)))+256*(ISNUMBER(FIND("SIZE",AH7)))+512*(LEFT(AH7,3)="CAP")+1024*(ISNUMBER(FIND("ALLERG",AH7)))+2048*(OR(ISNUMBER(FIND("REMARK",AH7)),ISNUMBER(FIND("COMMENT",AH7))))+4096*(OR(ISNUMBER(FIND("QTY",AH7)),ISNUMBER(FIND("QUANTITY",AH7))))+8192*(AND(OR(ISNUMBER(FIND("COMPLETE",AH7)),ISNUMBER(FIND("PCT",AH7)),ISNUMBER(FIND("PERCENT",AH7))),NOT(ISNUMBER(FIND("ACTUAL",AH7))),LEN(AH7)&lt;=16))+32768*(OR(ISNUMBER(FIND("DESIC",AH7)),ISNUMBER(FIND("DESSIC",AH7)))))</f>
        <v/>
      </c>
      <c r="AI142">
        <f>IF(AI7="",0,2*(OR(ISNUMBER(FIND("WORKCENTER",AI7)),AND(LEFT(AI7,4)="LINE",NOT(ISNUMBER(FIND("STATUS",AI7))))))+4*(OR(ISNUMBER(FIND("WORKORDER",AI7)),AND(LEFT(AI7,2)="WO",OR(ISNUMBER(FIND("NUM",AI7)),RIGHT(AI7,2)="NO"))))+8*(LEFT(AI7,3)="SEQ")+16*(AND(LEFT(AI7,4)="ITEM",NOT(ISNUMBER(FIND("DESC",AI7)))))+32*(AND(ISNUMBER(FIND("DESC",AI7)),NOT(ISNUMBER(FIND("CAP",AI7)))))+64*(OR(RIGHT(AI7,5)="COUNT",RIGHT(AI7,2)="CT"))+128*(ISNUMBER(FIND("BULK",AI7)))+256*(ISNUMBER(FIND("SIZE",AI7)))+512*(LEFT(AI7,3)="CAP")+1024*(ISNUMBER(FIND("ALLERG",AI7)))+2048*(OR(ISNUMBER(FIND("REMARK",AI7)),ISNUMBER(FIND("COMMENT",AI7))))+4096*(OR(ISNUMBER(FIND("QTY",AI7)),ISNUMBER(FIND("QUANTITY",AI7))))+8192*(AND(OR(ISNUMBER(FIND("COMPLETE",AI7)),ISNUMBER(FIND("PCT",AI7)),ISNUMBER(FIND("PERCENT",AI7))),NOT(ISNUMBER(FIND("ACTUAL",AI7))),LEN(AI7)&lt;=16))+32768*(OR(ISNUMBER(FIND("DESIC",AI7)),ISNUMBER(FIND("DESSIC",AI7)))))</f>
        <v/>
      </c>
      <c r="AJ142">
        <f>IF(AJ7="",0,2*(OR(ISNUMBER(FIND("WORKCENTER",AJ7)),AND(LEFT(AJ7,4)="LINE",NOT(ISNUMBER(FIND("STATUS",AJ7))))))+4*(OR(ISNUMBER(FIND("WORKORDER",AJ7)),AND(LEFT(AJ7,2)="WO",OR(ISNUMBER(FIND("NUM",AJ7)),RIGHT(AJ7,2)="NO"))))+8*(LEFT(AJ7,3)="SEQ")+16*(AND(LEFT(AJ7,4)="ITEM",NOT(ISNUMBER(FIND("DESC",AJ7)))))+32*(AND(ISNUMBER(FIND("DESC",AJ7)),NOT(ISNUMBER(FIND("CAP",AJ7)))))+64*(OR(RIGHT(AJ7,5)="COUNT",RIGHT(AJ7,2)="CT"))+128*(ISNUMBER(FIND("BULK",AJ7)))+256*(ISNUMBER(FIND("SIZE",AJ7)))+512*(LEFT(AJ7,3)="CAP")+1024*(ISNUMBER(FIND("ALLERG",AJ7)))+2048*(OR(ISNUMBER(FIND("REMARK",AJ7)),ISNUMBER(FIND("COMMENT",AJ7))))+4096*(OR(ISNUMBER(FIND("QTY",AJ7)),ISNUMBER(FIND("QUANTITY",AJ7))))+8192*(AND(OR(ISNUMBER(FIND("COMPLETE",AJ7)),ISNUMBER(FIND("PCT",AJ7)),ISNUMBER(FIND("PERCENT",AJ7))),NOT(ISNUMBER(FIND("ACTUAL",AJ7))),LEN(AJ7)&lt;=16))+32768*(OR(ISNUMBER(FIND("DESIC",AJ7)),ISNUMBER(FIND("DESSIC",AJ7)))))</f>
        <v/>
      </c>
      <c r="AK142">
        <f>IF(AK7="",0,2*(OR(ISNUMBER(FIND("WORKCENTER",AK7)),AND(LEFT(AK7,4)="LINE",NOT(ISNUMBER(FIND("STATUS",AK7))))))+4*(OR(ISNUMBER(FIND("WORKORDER",AK7)),AND(LEFT(AK7,2)="WO",OR(ISNUMBER(FIND("NUM",AK7)),RIGHT(AK7,2)="NO"))))+8*(LEFT(AK7,3)="SEQ")+16*(AND(LEFT(AK7,4)="ITEM",NOT(ISNUMBER(FIND("DESC",AK7)))))+32*(AND(ISNUMBER(FIND("DESC",AK7)),NOT(ISNUMBER(FIND("CAP",AK7)))))+64*(OR(RIGHT(AK7,5)="COUNT",RIGHT(AK7,2)="CT"))+128*(ISNUMBER(FIND("BULK",AK7)))+256*(ISNUMBER(FIND("SIZE",AK7)))+512*(LEFT(AK7,3)="CAP")+1024*(ISNUMBER(FIND("ALLERG",AK7)))+2048*(OR(ISNUMBER(FIND("REMARK",AK7)),ISNUMBER(FIND("COMMENT",AK7))))+4096*(OR(ISNUMBER(FIND("QTY",AK7)),ISNUMBER(FIND("QUANTITY",AK7))))+8192*(AND(OR(ISNUMBER(FIND("COMPLETE",AK7)),ISNUMBER(FIND("PCT",AK7)),ISNUMBER(FIND("PERCENT",AK7))),NOT(ISNUMBER(FIND("ACTUAL",AK7))),LEN(AK7)&lt;=16))+32768*(OR(ISNUMBER(FIND("DESIC",AK7)),ISNUMBER(FIND("DESSIC",AK7)))))</f>
        <v/>
      </c>
      <c r="AL142">
        <f>IF(AL7="",0,2*(OR(ISNUMBER(FIND("WORKCENTER",AL7)),AND(LEFT(AL7,4)="LINE",NOT(ISNUMBER(FIND("STATUS",AL7))))))+4*(OR(ISNUMBER(FIND("WORKORDER",AL7)),AND(LEFT(AL7,2)="WO",OR(ISNUMBER(FIND("NUM",AL7)),RIGHT(AL7,2)="NO"))))+8*(LEFT(AL7,3)="SEQ")+16*(AND(LEFT(AL7,4)="ITEM",NOT(ISNUMBER(FIND("DESC",AL7)))))+32*(AND(ISNUMBER(FIND("DESC",AL7)),NOT(ISNUMBER(FIND("CAP",AL7)))))+64*(OR(RIGHT(AL7,5)="COUNT",RIGHT(AL7,2)="CT"))+128*(ISNUMBER(FIND("BULK",AL7)))+256*(ISNUMBER(FIND("SIZE",AL7)))+512*(LEFT(AL7,3)="CAP")+1024*(ISNUMBER(FIND("ALLERG",AL7)))+2048*(OR(ISNUMBER(FIND("REMARK",AL7)),ISNUMBER(FIND("COMMENT",AL7))))+4096*(OR(ISNUMBER(FIND("QTY",AL7)),ISNUMBER(FIND("QUANTITY",AL7))))+8192*(AND(OR(ISNUMBER(FIND("COMPLETE",AL7)),ISNUMBER(FIND("PCT",AL7)),ISNUMBER(FIND("PERCENT",AL7))),NOT(ISNUMBER(FIND("ACTUAL",AL7))),LEN(AL7)&lt;=16))+32768*(OR(ISNUMBER(FIND("DESIC",AL7)),ISNUMBER(FIND("DESSIC",AL7)))))</f>
        <v/>
      </c>
      <c r="AM142">
        <f>IF(AM7="",0,2*(OR(ISNUMBER(FIND("WORKCENTER",AM7)),AND(LEFT(AM7,4)="LINE",NOT(ISNUMBER(FIND("STATUS",AM7))))))+4*(OR(ISNUMBER(FIND("WORKORDER",AM7)),AND(LEFT(AM7,2)="WO",OR(ISNUMBER(FIND("NUM",AM7)),RIGHT(AM7,2)="NO"))))+8*(LEFT(AM7,3)="SEQ")+16*(AND(LEFT(AM7,4)="ITEM",NOT(ISNUMBER(FIND("DESC",AM7)))))+32*(AND(ISNUMBER(FIND("DESC",AM7)),NOT(ISNUMBER(FIND("CAP",AM7)))))+64*(OR(RIGHT(AM7,5)="COUNT",RIGHT(AM7,2)="CT"))+128*(ISNUMBER(FIND("BULK",AM7)))+256*(ISNUMBER(FIND("SIZE",AM7)))+512*(LEFT(AM7,3)="CAP")+1024*(ISNUMBER(FIND("ALLERG",AM7)))+2048*(OR(ISNUMBER(FIND("REMARK",AM7)),ISNUMBER(FIND("COMMENT",AM7))))+4096*(OR(ISNUMBER(FIND("QTY",AM7)),ISNUMBER(FIND("QUANTITY",AM7))))+8192*(AND(OR(ISNUMBER(FIND("COMPLETE",AM7)),ISNUMBER(FIND("PCT",AM7)),ISNUMBER(FIND("PERCENT",AM7))),NOT(ISNUMBER(FIND("ACTUAL",AM7))),LEN(AM7)&lt;=16))+32768*(OR(ISNUMBER(FIND("DESIC",AM7)),ISNUMBER(FIND("DESSIC",AM7)))))</f>
        <v/>
      </c>
      <c r="AN142">
        <f>IF(AN7="",0,2*(OR(ISNUMBER(FIND("WORKCENTER",AN7)),AND(LEFT(AN7,4)="LINE",NOT(ISNUMBER(FIND("STATUS",AN7))))))+4*(OR(ISNUMBER(FIND("WORKORDER",AN7)),AND(LEFT(AN7,2)="WO",OR(ISNUMBER(FIND("NUM",AN7)),RIGHT(AN7,2)="NO"))))+8*(LEFT(AN7,3)="SEQ")+16*(AND(LEFT(AN7,4)="ITEM",NOT(ISNUMBER(FIND("DESC",AN7)))))+32*(AND(ISNUMBER(FIND("DESC",AN7)),NOT(ISNUMBER(FIND("CAP",AN7)))))+64*(OR(RIGHT(AN7,5)="COUNT",RIGHT(AN7,2)="CT"))+128*(ISNUMBER(FIND("BULK",AN7)))+256*(ISNUMBER(FIND("SIZE",AN7)))+512*(LEFT(AN7,3)="CAP")+1024*(ISNUMBER(FIND("ALLERG",AN7)))+2048*(OR(ISNUMBER(FIND("REMARK",AN7)),ISNUMBER(FIND("COMMENT",AN7))))+4096*(OR(ISNUMBER(FIND("QTY",AN7)),ISNUMBER(FIND("QUANTITY",AN7))))+8192*(AND(OR(ISNUMBER(FIND("COMPLETE",AN7)),ISNUMBER(FIND("PCT",AN7)),ISNUMBER(FIND("PERCENT",AN7))),NOT(ISNUMBER(FIND("ACTUAL",AN7))),LEN(AN7)&lt;=16))+32768*(OR(ISNUMBER(FIND("DESIC",AN7)),ISNUMBER(FIND("DESSIC",AN7)))))</f>
        <v/>
      </c>
      <c r="AO142">
        <f>IF(AO7="",0,2*(OR(ISNUMBER(FIND("WORKCENTER",AO7)),AND(LEFT(AO7,4)="LINE",NOT(ISNUMBER(FIND("STATUS",AO7))))))+4*(OR(ISNUMBER(FIND("WORKORDER",AO7)),AND(LEFT(AO7,2)="WO",OR(ISNUMBER(FIND("NUM",AO7)),RIGHT(AO7,2)="NO"))))+8*(LEFT(AO7,3)="SEQ")+16*(AND(LEFT(AO7,4)="ITEM",NOT(ISNUMBER(FIND("DESC",AO7)))))+32*(AND(ISNUMBER(FIND("DESC",AO7)),NOT(ISNUMBER(FIND("CAP",AO7)))))+64*(OR(RIGHT(AO7,5)="COUNT",RIGHT(AO7,2)="CT"))+128*(ISNUMBER(FIND("BULK",AO7)))+256*(ISNUMBER(FIND("SIZE",AO7)))+512*(LEFT(AO7,3)="CAP")+1024*(ISNUMBER(FIND("ALLERG",AO7)))+2048*(OR(ISNUMBER(FIND("REMARK",AO7)),ISNUMBER(FIND("COMMENT",AO7))))+4096*(OR(ISNUMBER(FIND("QTY",AO7)),ISNUMBER(FIND("QUANTITY",AO7))))+8192*(AND(OR(ISNUMBER(FIND("COMPLETE",AO7)),ISNUMBER(FIND("PCT",AO7)),ISNUMBER(FIND("PERCENT",AO7))),NOT(ISNUMBER(FIND("ACTUAL",AO7))),LEN(AO7)&lt;=16))+32768*(OR(ISNUMBER(FIND("DESIC",AO7)),ISNUMBER(FIND("DESSIC",AO7)))))</f>
        <v/>
      </c>
      <c r="AP142">
        <f>IF(AP7="",0,2*(OR(ISNUMBER(FIND("WORKCENTER",AP7)),AND(LEFT(AP7,4)="LINE",NOT(ISNUMBER(FIND("STATUS",AP7))))))+4*(OR(ISNUMBER(FIND("WORKORDER",AP7)),AND(LEFT(AP7,2)="WO",OR(ISNUMBER(FIND("NUM",AP7)),RIGHT(AP7,2)="NO"))))+8*(LEFT(AP7,3)="SEQ")+16*(AND(LEFT(AP7,4)="ITEM",NOT(ISNUMBER(FIND("DESC",AP7)))))+32*(AND(ISNUMBER(FIND("DESC",AP7)),NOT(ISNUMBER(FIND("CAP",AP7)))))+64*(OR(RIGHT(AP7,5)="COUNT",RIGHT(AP7,2)="CT"))+128*(ISNUMBER(FIND("BULK",AP7)))+256*(ISNUMBER(FIND("SIZE",AP7)))+512*(LEFT(AP7,3)="CAP")+1024*(ISNUMBER(FIND("ALLERG",AP7)))+2048*(OR(ISNUMBER(FIND("REMARK",AP7)),ISNUMBER(FIND("COMMENT",AP7))))+4096*(OR(ISNUMBER(FIND("QTY",AP7)),ISNUMBER(FIND("QUANTITY",AP7))))+8192*(AND(OR(ISNUMBER(FIND("COMPLETE",AP7)),ISNUMBER(FIND("PCT",AP7)),ISNUMBER(FIND("PERCENT",AP7))),NOT(ISNUMBER(FIND("ACTUAL",AP7))),LEN(AP7)&lt;=16))+32768*(OR(ISNUMBER(FIND("DESIC",AP7)),ISNUMBER(FIND("DESSIC",AP7)))))</f>
        <v/>
      </c>
      <c r="AQ142">
        <f>IF(AQ7="",0,2*(OR(ISNUMBER(FIND("WORKCENTER",AQ7)),AND(LEFT(AQ7,4)="LINE",NOT(ISNUMBER(FIND("STATUS",AQ7))))))+4*(OR(ISNUMBER(FIND("WORKORDER",AQ7)),AND(LEFT(AQ7,2)="WO",OR(ISNUMBER(FIND("NUM",AQ7)),RIGHT(AQ7,2)="NO"))))+8*(LEFT(AQ7,3)="SEQ")+16*(AND(LEFT(AQ7,4)="ITEM",NOT(ISNUMBER(FIND("DESC",AQ7)))))+32*(AND(ISNUMBER(FIND("DESC",AQ7)),NOT(ISNUMBER(FIND("CAP",AQ7)))))+64*(OR(RIGHT(AQ7,5)="COUNT",RIGHT(AQ7,2)="CT"))+128*(ISNUMBER(FIND("BULK",AQ7)))+256*(ISNUMBER(FIND("SIZE",AQ7)))+512*(LEFT(AQ7,3)="CAP")+1024*(ISNUMBER(FIND("ALLERG",AQ7)))+2048*(OR(ISNUMBER(FIND("REMARK",AQ7)),ISNUMBER(FIND("COMMENT",AQ7))))+4096*(OR(ISNUMBER(FIND("QTY",AQ7)),ISNUMBER(FIND("QUANTITY",AQ7))))+8192*(AND(OR(ISNUMBER(FIND("COMPLETE",AQ7)),ISNUMBER(FIND("PCT",AQ7)),ISNUMBER(FIND("PERCENT",AQ7))),NOT(ISNUMBER(FIND("ACTUAL",AQ7))),LEN(AQ7)&lt;=16))+32768*(OR(ISNUMBER(FIND("DESIC",AQ7)),ISNUMBER(FIND("DESSIC",AQ7)))))</f>
        <v/>
      </c>
      <c r="AR142">
        <f>IF(AR7="",0,2*(OR(ISNUMBER(FIND("WORKCENTER",AR7)),AND(LEFT(AR7,4)="LINE",NOT(ISNUMBER(FIND("STATUS",AR7))))))+4*(OR(ISNUMBER(FIND("WORKORDER",AR7)),AND(LEFT(AR7,2)="WO",OR(ISNUMBER(FIND("NUM",AR7)),RIGHT(AR7,2)="NO"))))+8*(LEFT(AR7,3)="SEQ")+16*(AND(LEFT(AR7,4)="ITEM",NOT(ISNUMBER(FIND("DESC",AR7)))))+32*(AND(ISNUMBER(FIND("DESC",AR7)),NOT(ISNUMBER(FIND("CAP",AR7)))))+64*(OR(RIGHT(AR7,5)="COUNT",RIGHT(AR7,2)="CT"))+128*(ISNUMBER(FIND("BULK",AR7)))+256*(ISNUMBER(FIND("SIZE",AR7)))+512*(LEFT(AR7,3)="CAP")+1024*(ISNUMBER(FIND("ALLERG",AR7)))+2048*(OR(ISNUMBER(FIND("REMARK",AR7)),ISNUMBER(FIND("COMMENT",AR7))))+4096*(OR(ISNUMBER(FIND("QTY",AR7)),ISNUMBER(FIND("QUANTITY",AR7))))+8192*(AND(OR(ISNUMBER(FIND("COMPLETE",AR7)),ISNUMBER(FIND("PCT",AR7)),ISNUMBER(FIND("PERCENT",AR7))),NOT(ISNUMBER(FIND("ACTUAL",AR7))),LEN(AR7)&lt;=16))+32768*(OR(ISNUMBER(FIND("DESIC",AR7)),ISNUMBER(FIND("DESSIC",AR7)))))</f>
        <v/>
      </c>
      <c r="AS142">
        <f>IF(AS7="",0,2*(OR(ISNUMBER(FIND("WORKCENTER",AS7)),AND(LEFT(AS7,4)="LINE",NOT(ISNUMBER(FIND("STATUS",AS7))))))+4*(OR(ISNUMBER(FIND("WORKORDER",AS7)),AND(LEFT(AS7,2)="WO",OR(ISNUMBER(FIND("NUM",AS7)),RIGHT(AS7,2)="NO"))))+8*(LEFT(AS7,3)="SEQ")+16*(AND(LEFT(AS7,4)="ITEM",NOT(ISNUMBER(FIND("DESC",AS7)))))+32*(AND(ISNUMBER(FIND("DESC",AS7)),NOT(ISNUMBER(FIND("CAP",AS7)))))+64*(OR(RIGHT(AS7,5)="COUNT",RIGHT(AS7,2)="CT"))+128*(ISNUMBER(FIND("BULK",AS7)))+256*(ISNUMBER(FIND("SIZE",AS7)))+512*(LEFT(AS7,3)="CAP")+1024*(ISNUMBER(FIND("ALLERG",AS7)))+2048*(OR(ISNUMBER(FIND("REMARK",AS7)),ISNUMBER(FIND("COMMENT",AS7))))+4096*(OR(ISNUMBER(FIND("QTY",AS7)),ISNUMBER(FIND("QUANTITY",AS7))))+8192*(AND(OR(ISNUMBER(FIND("COMPLETE",AS7)),ISNUMBER(FIND("PCT",AS7)),ISNUMBER(FIND("PERCENT",AS7))),NOT(ISNUMBER(FIND("ACTUAL",AS7))),LEN(AS7)&lt;=16))+32768*(OR(ISNUMBER(FIND("DESIC",AS7)),ISNUMBER(FIND("DESSIC",AS7)))))</f>
        <v/>
      </c>
      <c r="AT142">
        <f>IF(AT7="",0,2*(OR(ISNUMBER(FIND("WORKCENTER",AT7)),AND(LEFT(AT7,4)="LINE",NOT(ISNUMBER(FIND("STATUS",AT7))))))+4*(OR(ISNUMBER(FIND("WORKORDER",AT7)),AND(LEFT(AT7,2)="WO",OR(ISNUMBER(FIND("NUM",AT7)),RIGHT(AT7,2)="NO"))))+8*(LEFT(AT7,3)="SEQ")+16*(AND(LEFT(AT7,4)="ITEM",NOT(ISNUMBER(FIND("DESC",AT7)))))+32*(AND(ISNUMBER(FIND("DESC",AT7)),NOT(ISNUMBER(FIND("CAP",AT7)))))+64*(OR(RIGHT(AT7,5)="COUNT",RIGHT(AT7,2)="CT"))+128*(ISNUMBER(FIND("BULK",AT7)))+256*(ISNUMBER(FIND("SIZE",AT7)))+512*(LEFT(AT7,3)="CAP")+1024*(ISNUMBER(FIND("ALLERG",AT7)))+2048*(OR(ISNUMBER(FIND("REMARK",AT7)),ISNUMBER(FIND("COMMENT",AT7))))+4096*(OR(ISNUMBER(FIND("QTY",AT7)),ISNUMBER(FIND("QUANTITY",AT7))))+8192*(AND(OR(ISNUMBER(FIND("COMPLETE",AT7)),ISNUMBER(FIND("PCT",AT7)),ISNUMBER(FIND("PERCENT",AT7))),NOT(ISNUMBER(FIND("ACTUAL",AT7))),LEN(AT7)&lt;=16))+32768*(OR(ISNUMBER(FIND("DESIC",AT7)),ISNUMBER(FIND("DESSIC",AT7)))))</f>
        <v/>
      </c>
      <c r="AU142">
        <f>IF(AU7="",0,2*(OR(ISNUMBER(FIND("WORKCENTER",AU7)),AND(LEFT(AU7,4)="LINE",NOT(ISNUMBER(FIND("STATUS",AU7))))))+4*(OR(ISNUMBER(FIND("WORKORDER",AU7)),AND(LEFT(AU7,2)="WO",OR(ISNUMBER(FIND("NUM",AU7)),RIGHT(AU7,2)="NO"))))+8*(LEFT(AU7,3)="SEQ")+16*(AND(LEFT(AU7,4)="ITEM",NOT(ISNUMBER(FIND("DESC",AU7)))))+32*(AND(ISNUMBER(FIND("DESC",AU7)),NOT(ISNUMBER(FIND("CAP",AU7)))))+64*(OR(RIGHT(AU7,5)="COUNT",RIGHT(AU7,2)="CT"))+128*(ISNUMBER(FIND("BULK",AU7)))+256*(ISNUMBER(FIND("SIZE",AU7)))+512*(LEFT(AU7,3)="CAP")+1024*(ISNUMBER(FIND("ALLERG",AU7)))+2048*(OR(ISNUMBER(FIND("REMARK",AU7)),ISNUMBER(FIND("COMMENT",AU7))))+4096*(OR(ISNUMBER(FIND("QTY",AU7)),ISNUMBER(FIND("QUANTITY",AU7))))+8192*(AND(OR(ISNUMBER(FIND("COMPLETE",AU7)),ISNUMBER(FIND("PCT",AU7)),ISNUMBER(FIND("PERCENT",AU7))),NOT(ISNUMBER(FIND("ACTUAL",AU7))),LEN(AU7)&lt;=16))+32768*(OR(ISNUMBER(FIND("DESIC",AU7)),ISNUMBER(FIND("DESSIC",AU7)))))</f>
        <v/>
      </c>
      <c r="AV142">
        <f>IF(AV7="",0,2*(OR(ISNUMBER(FIND("WORKCENTER",AV7)),AND(LEFT(AV7,4)="LINE",NOT(ISNUMBER(FIND("STATUS",AV7))))))+4*(OR(ISNUMBER(FIND("WORKORDER",AV7)),AND(LEFT(AV7,2)="WO",OR(ISNUMBER(FIND("NUM",AV7)),RIGHT(AV7,2)="NO"))))+8*(LEFT(AV7,3)="SEQ")+16*(AND(LEFT(AV7,4)="ITEM",NOT(ISNUMBER(FIND("DESC",AV7)))))+32*(AND(ISNUMBER(FIND("DESC",AV7)),NOT(ISNUMBER(FIND("CAP",AV7)))))+64*(OR(RIGHT(AV7,5)="COUNT",RIGHT(AV7,2)="CT"))+128*(ISNUMBER(FIND("BULK",AV7)))+256*(ISNUMBER(FIND("SIZE",AV7)))+512*(LEFT(AV7,3)="CAP")+1024*(ISNUMBER(FIND("ALLERG",AV7)))+2048*(OR(ISNUMBER(FIND("REMARK",AV7)),ISNUMBER(FIND("COMMENT",AV7))))+4096*(OR(ISNUMBER(FIND("QTY",AV7)),ISNUMBER(FIND("QUANTITY",AV7))))+8192*(AND(OR(ISNUMBER(FIND("COMPLETE",AV7)),ISNUMBER(FIND("PCT",AV7)),ISNUMBER(FIND("PERCENT",AV7))),NOT(ISNUMBER(FIND("ACTUAL",AV7))),LEN(AV7)&lt;=16))+32768*(OR(ISNUMBER(FIND("DESIC",AV7)),ISNUMBER(FIND("DESSIC",AV7)))))</f>
        <v/>
      </c>
      <c r="AW142">
        <f>IF(AW7="",0,2*(OR(ISNUMBER(FIND("WORKCENTER",AW7)),AND(LEFT(AW7,4)="LINE",NOT(ISNUMBER(FIND("STATUS",AW7))))))+4*(OR(ISNUMBER(FIND("WORKORDER",AW7)),AND(LEFT(AW7,2)="WO",OR(ISNUMBER(FIND("NUM",AW7)),RIGHT(AW7,2)="NO"))))+8*(LEFT(AW7,3)="SEQ")+16*(AND(LEFT(AW7,4)="ITEM",NOT(ISNUMBER(FIND("DESC",AW7)))))+32*(AND(ISNUMBER(FIND("DESC",AW7)),NOT(ISNUMBER(FIND("CAP",AW7)))))+64*(OR(RIGHT(AW7,5)="COUNT",RIGHT(AW7,2)="CT"))+128*(ISNUMBER(FIND("BULK",AW7)))+256*(ISNUMBER(FIND("SIZE",AW7)))+512*(LEFT(AW7,3)="CAP")+1024*(ISNUMBER(FIND("ALLERG",AW7)))+2048*(OR(ISNUMBER(FIND("REMARK",AW7)),ISNUMBER(FIND("COMMENT",AW7))))+4096*(OR(ISNUMBER(FIND("QTY",AW7)),ISNUMBER(FIND("QUANTITY",AW7))))+8192*(AND(OR(ISNUMBER(FIND("COMPLETE",AW7)),ISNUMBER(FIND("PCT",AW7)),ISNUMBER(FIND("PERCENT",AW7))),NOT(ISNUMBER(FIND("ACTUAL",AW7))),LEN(AW7)&lt;=16))+32768*(OR(ISNUMBER(FIND("DESIC",AW7)),ISNUMBER(FIND("DESSIC",AW7)))))</f>
        <v/>
      </c>
      <c r="AX142">
        <f>IF(AX7="",0,2*(OR(ISNUMBER(FIND("WORKCENTER",AX7)),AND(LEFT(AX7,4)="LINE",NOT(ISNUMBER(FIND("STATUS",AX7))))))+4*(OR(ISNUMBER(FIND("WORKORDER",AX7)),AND(LEFT(AX7,2)="WO",OR(ISNUMBER(FIND("NUM",AX7)),RIGHT(AX7,2)="NO"))))+8*(LEFT(AX7,3)="SEQ")+16*(AND(LEFT(AX7,4)="ITEM",NOT(ISNUMBER(FIND("DESC",AX7)))))+32*(AND(ISNUMBER(FIND("DESC",AX7)),NOT(ISNUMBER(FIND("CAP",AX7)))))+64*(OR(RIGHT(AX7,5)="COUNT",RIGHT(AX7,2)="CT"))+128*(ISNUMBER(FIND("BULK",AX7)))+256*(ISNUMBER(FIND("SIZE",AX7)))+512*(LEFT(AX7,3)="CAP")+1024*(ISNUMBER(FIND("ALLERG",AX7)))+2048*(OR(ISNUMBER(FIND("REMARK",AX7)),ISNUMBER(FIND("COMMENT",AX7))))+4096*(OR(ISNUMBER(FIND("QTY",AX7)),ISNUMBER(FIND("QUANTITY",AX7))))+8192*(AND(OR(ISNUMBER(FIND("COMPLETE",AX7)),ISNUMBER(FIND("PCT",AX7)),ISNUMBER(FIND("PERCENT",AX7))),NOT(ISNUMBER(FIND("ACTUAL",AX7))),LEN(AX7)&lt;=16))+32768*(OR(ISNUMBER(FIND("DESIC",AX7)),ISNUMBER(FIND("DESSIC",AX7)))))</f>
        <v/>
      </c>
      <c r="AY142">
        <f>IF(AY7="",0,2*(OR(ISNUMBER(FIND("WORKCENTER",AY7)),AND(LEFT(AY7,4)="LINE",NOT(ISNUMBER(FIND("STATUS",AY7))))))+4*(OR(ISNUMBER(FIND("WORKORDER",AY7)),AND(LEFT(AY7,2)="WO",OR(ISNUMBER(FIND("NUM",AY7)),RIGHT(AY7,2)="NO"))))+8*(LEFT(AY7,3)="SEQ")+16*(AND(LEFT(AY7,4)="ITEM",NOT(ISNUMBER(FIND("DESC",AY7)))))+32*(AND(ISNUMBER(FIND("DESC",AY7)),NOT(ISNUMBER(FIND("CAP",AY7)))))+64*(OR(RIGHT(AY7,5)="COUNT",RIGHT(AY7,2)="CT"))+128*(ISNUMBER(FIND("BULK",AY7)))+256*(ISNUMBER(FIND("SIZE",AY7)))+512*(LEFT(AY7,3)="CAP")+1024*(ISNUMBER(FIND("ALLERG",AY7)))+2048*(OR(ISNUMBER(FIND("REMARK",AY7)),ISNUMBER(FIND("COMMENT",AY7))))+4096*(OR(ISNUMBER(FIND("QTY",AY7)),ISNUMBER(FIND("QUANTITY",AY7))))+8192*(AND(OR(ISNUMBER(FIND("COMPLETE",AY7)),ISNUMBER(FIND("PCT",AY7)),ISNUMBER(FIND("PERCENT",AY7))),NOT(ISNUMBER(FIND("ACTUAL",AY7))),LEN(AY7)&lt;=16))+32768*(OR(ISNUMBER(FIND("DESIC",AY7)),ISNUMBER(FIND("DESSIC",AY7)))))</f>
        <v/>
      </c>
      <c r="AZ142">
        <f>IF(AZ7="",0,2*(OR(ISNUMBER(FIND("WORKCENTER",AZ7)),AND(LEFT(AZ7,4)="LINE",NOT(ISNUMBER(FIND("STATUS",AZ7))))))+4*(OR(ISNUMBER(FIND("WORKORDER",AZ7)),AND(LEFT(AZ7,2)="WO",OR(ISNUMBER(FIND("NUM",AZ7)),RIGHT(AZ7,2)="NO"))))+8*(LEFT(AZ7,3)="SEQ")+16*(AND(LEFT(AZ7,4)="ITEM",NOT(ISNUMBER(FIND("DESC",AZ7)))))+32*(AND(ISNUMBER(FIND("DESC",AZ7)),NOT(ISNUMBER(FIND("CAP",AZ7)))))+64*(OR(RIGHT(AZ7,5)="COUNT",RIGHT(AZ7,2)="CT"))+128*(ISNUMBER(FIND("BULK",AZ7)))+256*(ISNUMBER(FIND("SIZE",AZ7)))+512*(LEFT(AZ7,3)="CAP")+1024*(ISNUMBER(FIND("ALLERG",AZ7)))+2048*(OR(ISNUMBER(FIND("REMARK",AZ7)),ISNUMBER(FIND("COMMENT",AZ7))))+4096*(OR(ISNUMBER(FIND("QTY",AZ7)),ISNUMBER(FIND("QUANTITY",AZ7))))+8192*(AND(OR(ISNUMBER(FIND("COMPLETE",AZ7)),ISNUMBER(FIND("PCT",AZ7)),ISNUMBER(FIND("PERCENT",AZ7))),NOT(ISNUMBER(FIND("ACTUAL",AZ7))),LEN(AZ7)&lt;=16))+32768*(OR(ISNUMBER(FIND("DESIC",AZ7)),ISNUMBER(FIND("DESSIC",AZ7)))))</f>
        <v/>
      </c>
      <c r="BA142">
        <f>IF(BA7="",0,2*(OR(ISNUMBER(FIND("WORKCENTER",BA7)),AND(LEFT(BA7,4)="LINE",NOT(ISNUMBER(FIND("STATUS",BA7))))))+4*(OR(ISNUMBER(FIND("WORKORDER",BA7)),AND(LEFT(BA7,2)="WO",OR(ISNUMBER(FIND("NUM",BA7)),RIGHT(BA7,2)="NO"))))+8*(LEFT(BA7,3)="SEQ")+16*(AND(LEFT(BA7,4)="ITEM",NOT(ISNUMBER(FIND("DESC",BA7)))))+32*(AND(ISNUMBER(FIND("DESC",BA7)),NOT(ISNUMBER(FIND("CAP",BA7)))))+64*(OR(RIGHT(BA7,5)="COUNT",RIGHT(BA7,2)="CT"))+128*(ISNUMBER(FIND("BULK",BA7)))+256*(ISNUMBER(FIND("SIZE",BA7)))+512*(LEFT(BA7,3)="CAP")+1024*(ISNUMBER(FIND("ALLERG",BA7)))+2048*(OR(ISNUMBER(FIND("REMARK",BA7)),ISNUMBER(FIND("COMMENT",BA7))))+4096*(OR(ISNUMBER(FIND("QTY",BA7)),ISNUMBER(FIND("QUANTITY",BA7))))+8192*(AND(OR(ISNUMBER(FIND("COMPLETE",BA7)),ISNUMBER(FIND("PCT",BA7)),ISNUMBER(FIND("PERCENT",BA7))),NOT(ISNUMBER(FIND("ACTUAL",BA7))),LEN(BA7)&lt;=16))+32768*(OR(ISNUMBER(FIND("DESIC",BA7)),ISNUMBER(FIND("DESSIC",BA7)))))</f>
        <v/>
      </c>
      <c r="BB142">
        <f>IF(BB7="",0,2*(OR(ISNUMBER(FIND("WORKCENTER",BB7)),AND(LEFT(BB7,4)="LINE",NOT(ISNUMBER(FIND("STATUS",BB7))))))+4*(OR(ISNUMBER(FIND("WORKORDER",BB7)),AND(LEFT(BB7,2)="WO",OR(ISNUMBER(FIND("NUM",BB7)),RIGHT(BB7,2)="NO"))))+8*(LEFT(BB7,3)="SEQ")+16*(AND(LEFT(BB7,4)="ITEM",NOT(ISNUMBER(FIND("DESC",BB7)))))+32*(AND(ISNUMBER(FIND("DESC",BB7)),NOT(ISNUMBER(FIND("CAP",BB7)))))+64*(OR(RIGHT(BB7,5)="COUNT",RIGHT(BB7,2)="CT"))+128*(ISNUMBER(FIND("BULK",BB7)))+256*(ISNUMBER(FIND("SIZE",BB7)))+512*(LEFT(BB7,3)="CAP")+1024*(ISNUMBER(FIND("ALLERG",BB7)))+2048*(OR(ISNUMBER(FIND("REMARK",BB7)),ISNUMBER(FIND("COMMENT",BB7))))+4096*(OR(ISNUMBER(FIND("QTY",BB7)),ISNUMBER(FIND("QUANTITY",BB7))))+8192*(AND(OR(ISNUMBER(FIND("COMPLETE",BB7)),ISNUMBER(FIND("PCT",BB7)),ISNUMBER(FIND("PERCENT",BB7))),NOT(ISNUMBER(FIND("ACTUAL",BB7))),LEN(BB7)&lt;=16))+32768*(OR(ISNUMBER(FIND("DESIC",BB7)),ISNUMBER(FIND("DESSIC",BB7)))))</f>
        <v/>
      </c>
      <c r="BC142">
        <f>IF(BC7="",0,2*(OR(ISNUMBER(FIND("WORKCENTER",BC7)),AND(LEFT(BC7,4)="LINE",NOT(ISNUMBER(FIND("STATUS",BC7))))))+4*(OR(ISNUMBER(FIND("WORKORDER",BC7)),AND(LEFT(BC7,2)="WO",OR(ISNUMBER(FIND("NUM",BC7)),RIGHT(BC7,2)="NO"))))+8*(LEFT(BC7,3)="SEQ")+16*(AND(LEFT(BC7,4)="ITEM",NOT(ISNUMBER(FIND("DESC",BC7)))))+32*(AND(ISNUMBER(FIND("DESC",BC7)),NOT(ISNUMBER(FIND("CAP",BC7)))))+64*(OR(RIGHT(BC7,5)="COUNT",RIGHT(BC7,2)="CT"))+128*(ISNUMBER(FIND("BULK",BC7)))+256*(ISNUMBER(FIND("SIZE",BC7)))+512*(LEFT(BC7,3)="CAP")+1024*(ISNUMBER(FIND("ALLERG",BC7)))+2048*(OR(ISNUMBER(FIND("REMARK",BC7)),ISNUMBER(FIND("COMMENT",BC7))))+4096*(OR(ISNUMBER(FIND("QTY",BC7)),ISNUMBER(FIND("QUANTITY",BC7))))+8192*(AND(OR(ISNUMBER(FIND("COMPLETE",BC7)),ISNUMBER(FIND("PCT",BC7)),ISNUMBER(FIND("PERCENT",BC7))),NOT(ISNUMBER(FIND("ACTUAL",BC7))),LEN(BC7)&lt;=16))+32768*(OR(ISNUMBER(FIND("DESIC",BC7)),ISNUMBER(FIND("DESSIC",BC7)))))</f>
        <v/>
      </c>
      <c r="BD142">
        <f>IF(BD7="",0,2*(OR(ISNUMBER(FIND("WORKCENTER",BD7)),AND(LEFT(BD7,4)="LINE",NOT(ISNUMBER(FIND("STATUS",BD7))))))+4*(OR(ISNUMBER(FIND("WORKORDER",BD7)),AND(LEFT(BD7,2)="WO",OR(ISNUMBER(FIND("NUM",BD7)),RIGHT(BD7,2)="NO"))))+8*(LEFT(BD7,3)="SEQ")+16*(AND(LEFT(BD7,4)="ITEM",NOT(ISNUMBER(FIND("DESC",BD7)))))+32*(AND(ISNUMBER(FIND("DESC",BD7)),NOT(ISNUMBER(FIND("CAP",BD7)))))+64*(OR(RIGHT(BD7,5)="COUNT",RIGHT(BD7,2)="CT"))+128*(ISNUMBER(FIND("BULK",BD7)))+256*(ISNUMBER(FIND("SIZE",BD7)))+512*(LEFT(BD7,3)="CAP")+1024*(ISNUMBER(FIND("ALLERG",BD7)))+2048*(OR(ISNUMBER(FIND("REMARK",BD7)),ISNUMBER(FIND("COMMENT",BD7))))+4096*(OR(ISNUMBER(FIND("QTY",BD7)),ISNUMBER(FIND("QUANTITY",BD7))))+8192*(AND(OR(ISNUMBER(FIND("COMPLETE",BD7)),ISNUMBER(FIND("PCT",BD7)),ISNUMBER(FIND("PERCENT",BD7))),NOT(ISNUMBER(FIND("ACTUAL",BD7))),LEN(BD7)&lt;=16))+32768*(OR(ISNUMBER(FIND("DESIC",BD7)),ISNUMBER(FIND("DESSIC",BD7)))))</f>
        <v/>
      </c>
      <c r="BE142">
        <f>IF(BE7="",0,2*(OR(ISNUMBER(FIND("WORKCENTER",BE7)),AND(LEFT(BE7,4)="LINE",NOT(ISNUMBER(FIND("STATUS",BE7))))))+4*(OR(ISNUMBER(FIND("WORKORDER",BE7)),AND(LEFT(BE7,2)="WO",OR(ISNUMBER(FIND("NUM",BE7)),RIGHT(BE7,2)="NO"))))+8*(LEFT(BE7,3)="SEQ")+16*(AND(LEFT(BE7,4)="ITEM",NOT(ISNUMBER(FIND("DESC",BE7)))))+32*(AND(ISNUMBER(FIND("DESC",BE7)),NOT(ISNUMBER(FIND("CAP",BE7)))))+64*(OR(RIGHT(BE7,5)="COUNT",RIGHT(BE7,2)="CT"))+128*(ISNUMBER(FIND("BULK",BE7)))+256*(ISNUMBER(FIND("SIZE",BE7)))+512*(LEFT(BE7,3)="CAP")+1024*(ISNUMBER(FIND("ALLERG",BE7)))+2048*(OR(ISNUMBER(FIND("REMARK",BE7)),ISNUMBER(FIND("COMMENT",BE7))))+4096*(OR(ISNUMBER(FIND("QTY",BE7)),ISNUMBER(FIND("QUANTITY",BE7))))+8192*(AND(OR(ISNUMBER(FIND("COMPLETE",BE7)),ISNUMBER(FIND("PCT",BE7)),ISNUMBER(FIND("PERCENT",BE7))),NOT(ISNUMBER(FIND("ACTUAL",BE7))),LEN(BE7)&lt;=16))+32768*(OR(ISNUMBER(FIND("DESIC",BE7)),ISNUMBER(FIND("DESSIC",BE7)))))</f>
        <v/>
      </c>
      <c r="BF142">
        <f>IF(BF7="",0,2*(OR(ISNUMBER(FIND("WORKCENTER",BF7)),AND(LEFT(BF7,4)="LINE",NOT(ISNUMBER(FIND("STATUS",BF7))))))+4*(OR(ISNUMBER(FIND("WORKORDER",BF7)),AND(LEFT(BF7,2)="WO",OR(ISNUMBER(FIND("NUM",BF7)),RIGHT(BF7,2)="NO"))))+8*(LEFT(BF7,3)="SEQ")+16*(AND(LEFT(BF7,4)="ITEM",NOT(ISNUMBER(FIND("DESC",BF7)))))+32*(AND(ISNUMBER(FIND("DESC",BF7)),NOT(ISNUMBER(FIND("CAP",BF7)))))+64*(OR(RIGHT(BF7,5)="COUNT",RIGHT(BF7,2)="CT"))+128*(ISNUMBER(FIND("BULK",BF7)))+256*(ISNUMBER(FIND("SIZE",BF7)))+512*(LEFT(BF7,3)="CAP")+1024*(ISNUMBER(FIND("ALLERG",BF7)))+2048*(OR(ISNUMBER(FIND("REMARK",BF7)),ISNUMBER(FIND("COMMENT",BF7))))+4096*(OR(ISNUMBER(FIND("QTY",BF7)),ISNUMBER(FIND("QUANTITY",BF7))))+8192*(AND(OR(ISNUMBER(FIND("COMPLETE",BF7)),ISNUMBER(FIND("PCT",BF7)),ISNUMBER(FIND("PERCENT",BF7))),NOT(ISNUMBER(FIND("ACTUAL",BF7))),LEN(BF7)&lt;=16))+32768*(OR(ISNUMBER(FIND("DESIC",BF7)),ISNUMBER(FIND("DESSIC",BF7)))))</f>
        <v/>
      </c>
      <c r="BG142">
        <f>IF(BG7="",0,2*(OR(ISNUMBER(FIND("WORKCENTER",BG7)),AND(LEFT(BG7,4)="LINE",NOT(ISNUMBER(FIND("STATUS",BG7))))))+4*(OR(ISNUMBER(FIND("WORKORDER",BG7)),AND(LEFT(BG7,2)="WO",OR(ISNUMBER(FIND("NUM",BG7)),RIGHT(BG7,2)="NO"))))+8*(LEFT(BG7,3)="SEQ")+16*(AND(LEFT(BG7,4)="ITEM",NOT(ISNUMBER(FIND("DESC",BG7)))))+32*(AND(ISNUMBER(FIND("DESC",BG7)),NOT(ISNUMBER(FIND("CAP",BG7)))))+64*(OR(RIGHT(BG7,5)="COUNT",RIGHT(BG7,2)="CT"))+128*(ISNUMBER(FIND("BULK",BG7)))+256*(ISNUMBER(FIND("SIZE",BG7)))+512*(LEFT(BG7,3)="CAP")+1024*(ISNUMBER(FIND("ALLERG",BG7)))+2048*(OR(ISNUMBER(FIND("REMARK",BG7)),ISNUMBER(FIND("COMMENT",BG7))))+4096*(OR(ISNUMBER(FIND("QTY",BG7)),ISNUMBER(FIND("QUANTITY",BG7))))+8192*(AND(OR(ISNUMBER(FIND("COMPLETE",BG7)),ISNUMBER(FIND("PCT",BG7)),ISNUMBER(FIND("PERCENT",BG7))),NOT(ISNUMBER(FIND("ACTUAL",BG7))),LEN(BG7)&lt;=16))+32768*(OR(ISNUMBER(FIND("DESIC",BG7)),ISNUMBER(FIND("DESSIC",BG7)))))</f>
        <v/>
      </c>
      <c r="BH142">
        <f>IF(BH7="",0,2*(OR(ISNUMBER(FIND("WORKCENTER",BH7)),AND(LEFT(BH7,4)="LINE",NOT(ISNUMBER(FIND("STATUS",BH7))))))+4*(OR(ISNUMBER(FIND("WORKORDER",BH7)),AND(LEFT(BH7,2)="WO",OR(ISNUMBER(FIND("NUM",BH7)),RIGHT(BH7,2)="NO"))))+8*(LEFT(BH7,3)="SEQ")+16*(AND(LEFT(BH7,4)="ITEM",NOT(ISNUMBER(FIND("DESC",BH7)))))+32*(AND(ISNUMBER(FIND("DESC",BH7)),NOT(ISNUMBER(FIND("CAP",BH7)))))+64*(OR(RIGHT(BH7,5)="COUNT",RIGHT(BH7,2)="CT"))+128*(ISNUMBER(FIND("BULK",BH7)))+256*(ISNUMBER(FIND("SIZE",BH7)))+512*(LEFT(BH7,3)="CAP")+1024*(ISNUMBER(FIND("ALLERG",BH7)))+2048*(OR(ISNUMBER(FIND("REMARK",BH7)),ISNUMBER(FIND("COMMENT",BH7))))+4096*(OR(ISNUMBER(FIND("QTY",BH7)),ISNUMBER(FIND("QUANTITY",BH7))))+8192*(AND(OR(ISNUMBER(FIND("COMPLETE",BH7)),ISNUMBER(FIND("PCT",BH7)),ISNUMBER(FIND("PERCENT",BH7))),NOT(ISNUMBER(FIND("ACTUAL",BH7))),LEN(BH7)&lt;=16))+32768*(OR(ISNUMBER(FIND("DESIC",BH7)),ISNUMBER(FIND("DESSIC",BH7)))))</f>
        <v/>
      </c>
      <c r="BI142">
        <f>IF(BI7="",0,2*(OR(ISNUMBER(FIND("WORKCENTER",BI7)),AND(LEFT(BI7,4)="LINE",NOT(ISNUMBER(FIND("STATUS",BI7))))))+4*(OR(ISNUMBER(FIND("WORKORDER",BI7)),AND(LEFT(BI7,2)="WO",OR(ISNUMBER(FIND("NUM",BI7)),RIGHT(BI7,2)="NO"))))+8*(LEFT(BI7,3)="SEQ")+16*(AND(LEFT(BI7,4)="ITEM",NOT(ISNUMBER(FIND("DESC",BI7)))))+32*(AND(ISNUMBER(FIND("DESC",BI7)),NOT(ISNUMBER(FIND("CAP",BI7)))))+64*(OR(RIGHT(BI7,5)="COUNT",RIGHT(BI7,2)="CT"))+128*(ISNUMBER(FIND("BULK",BI7)))+256*(ISNUMBER(FIND("SIZE",BI7)))+512*(LEFT(BI7,3)="CAP")+1024*(ISNUMBER(FIND("ALLERG",BI7)))+2048*(OR(ISNUMBER(FIND("REMARK",BI7)),ISNUMBER(FIND("COMMENT",BI7))))+4096*(OR(ISNUMBER(FIND("QTY",BI7)),ISNUMBER(FIND("QUANTITY",BI7))))+8192*(AND(OR(ISNUMBER(FIND("COMPLETE",BI7)),ISNUMBER(FIND("PCT",BI7)),ISNUMBER(FIND("PERCENT",BI7))),NOT(ISNUMBER(FIND("ACTUAL",BI7))),LEN(BI7)&lt;=16))+32768*(OR(ISNUMBER(FIND("DESIC",BI7)),ISNUMBER(FIND("DESSIC",BI7)))))</f>
        <v/>
      </c>
      <c r="BJ142">
        <f>IF(BJ7="",0,2*(OR(ISNUMBER(FIND("WORKCENTER",BJ7)),AND(LEFT(BJ7,4)="LINE",NOT(ISNUMBER(FIND("STATUS",BJ7))))))+4*(OR(ISNUMBER(FIND("WORKORDER",BJ7)),AND(LEFT(BJ7,2)="WO",OR(ISNUMBER(FIND("NUM",BJ7)),RIGHT(BJ7,2)="NO"))))+8*(LEFT(BJ7,3)="SEQ")+16*(AND(LEFT(BJ7,4)="ITEM",NOT(ISNUMBER(FIND("DESC",BJ7)))))+32*(AND(ISNUMBER(FIND("DESC",BJ7)),NOT(ISNUMBER(FIND("CAP",BJ7)))))+64*(OR(RIGHT(BJ7,5)="COUNT",RIGHT(BJ7,2)="CT"))+128*(ISNUMBER(FIND("BULK",BJ7)))+256*(ISNUMBER(FIND("SIZE",BJ7)))+512*(LEFT(BJ7,3)="CAP")+1024*(ISNUMBER(FIND("ALLERG",BJ7)))+2048*(OR(ISNUMBER(FIND("REMARK",BJ7)),ISNUMBER(FIND("COMMENT",BJ7))))+4096*(OR(ISNUMBER(FIND("QTY",BJ7)),ISNUMBER(FIND("QUANTITY",BJ7))))+8192*(AND(OR(ISNUMBER(FIND("COMPLETE",BJ7)),ISNUMBER(FIND("PCT",BJ7)),ISNUMBER(FIND("PERCENT",BJ7))),NOT(ISNUMBER(FIND("ACTUAL",BJ7))),LEN(BJ7)&lt;=16))+32768*(OR(ISNUMBER(FIND("DESIC",BJ7)),ISNUMBER(FIND("DESSIC",BJ7)))))</f>
        <v/>
      </c>
      <c r="BK142">
        <f>IF(BK7="",0,2*(OR(ISNUMBER(FIND("WORKCENTER",BK7)),AND(LEFT(BK7,4)="LINE",NOT(ISNUMBER(FIND("STATUS",BK7))))))+4*(OR(ISNUMBER(FIND("WORKORDER",BK7)),AND(LEFT(BK7,2)="WO",OR(ISNUMBER(FIND("NUM",BK7)),RIGHT(BK7,2)="NO"))))+8*(LEFT(BK7,3)="SEQ")+16*(AND(LEFT(BK7,4)="ITEM",NOT(ISNUMBER(FIND("DESC",BK7)))))+32*(AND(ISNUMBER(FIND("DESC",BK7)),NOT(ISNUMBER(FIND("CAP",BK7)))))+64*(OR(RIGHT(BK7,5)="COUNT",RIGHT(BK7,2)="CT"))+128*(ISNUMBER(FIND("BULK",BK7)))+256*(ISNUMBER(FIND("SIZE",BK7)))+512*(LEFT(BK7,3)="CAP")+1024*(ISNUMBER(FIND("ALLERG",BK7)))+2048*(OR(ISNUMBER(FIND("REMARK",BK7)),ISNUMBER(FIND("COMMENT",BK7))))+4096*(OR(ISNUMBER(FIND("QTY",BK7)),ISNUMBER(FIND("QUANTITY",BK7))))+8192*(AND(OR(ISNUMBER(FIND("COMPLETE",BK7)),ISNUMBER(FIND("PCT",BK7)),ISNUMBER(FIND("PERCENT",BK7))),NOT(ISNUMBER(FIND("ACTUAL",BK7))),LEN(BK7)&lt;=16))+32768*(OR(ISNUMBER(FIND("DESIC",BK7)),ISNUMBER(FIND("DESSIC",BK7)))))</f>
        <v/>
      </c>
      <c r="BL142">
        <f>IF(BL7="",0,2*(OR(ISNUMBER(FIND("WORKCENTER",BL7)),AND(LEFT(BL7,4)="LINE",NOT(ISNUMBER(FIND("STATUS",BL7))))))+4*(OR(ISNUMBER(FIND("WORKORDER",BL7)),AND(LEFT(BL7,2)="WO",OR(ISNUMBER(FIND("NUM",BL7)),RIGHT(BL7,2)="NO"))))+8*(LEFT(BL7,3)="SEQ")+16*(AND(LEFT(BL7,4)="ITEM",NOT(ISNUMBER(FIND("DESC",BL7)))))+32*(AND(ISNUMBER(FIND("DESC",BL7)),NOT(ISNUMBER(FIND("CAP",BL7)))))+64*(OR(RIGHT(BL7,5)="COUNT",RIGHT(BL7,2)="CT"))+128*(ISNUMBER(FIND("BULK",BL7)))+256*(ISNUMBER(FIND("SIZE",BL7)))+512*(LEFT(BL7,3)="CAP")+1024*(ISNUMBER(FIND("ALLERG",BL7)))+2048*(OR(ISNUMBER(FIND("REMARK",BL7)),ISNUMBER(FIND("COMMENT",BL7))))+4096*(OR(ISNUMBER(FIND("QTY",BL7)),ISNUMBER(FIND("QUANTITY",BL7))))+8192*(AND(OR(ISNUMBER(FIND("COMPLETE",BL7)),ISNUMBER(FIND("PCT",BL7)),ISNUMBER(FIND("PERCENT",BL7))),NOT(ISNUMBER(FIND("ACTUAL",BL7))),LEN(BL7)&lt;=16))+32768*(OR(ISNUMBER(FIND("DESIC",BL7)),ISNUMBER(FIND("DESSIC",BL7)))))</f>
        <v/>
      </c>
      <c r="BM142">
        <f>IF(BM7="",0,2*(OR(ISNUMBER(FIND("WORKCENTER",BM7)),AND(LEFT(BM7,4)="LINE",NOT(ISNUMBER(FIND("STATUS",BM7))))))+4*(OR(ISNUMBER(FIND("WORKORDER",BM7)),AND(LEFT(BM7,2)="WO",OR(ISNUMBER(FIND("NUM",BM7)),RIGHT(BM7,2)="NO"))))+8*(LEFT(BM7,3)="SEQ")+16*(AND(LEFT(BM7,4)="ITEM",NOT(ISNUMBER(FIND("DESC",BM7)))))+32*(AND(ISNUMBER(FIND("DESC",BM7)),NOT(ISNUMBER(FIND("CAP",BM7)))))+64*(OR(RIGHT(BM7,5)="COUNT",RIGHT(BM7,2)="CT"))+128*(ISNUMBER(FIND("BULK",BM7)))+256*(ISNUMBER(FIND("SIZE",BM7)))+512*(LEFT(BM7,3)="CAP")+1024*(ISNUMBER(FIND("ALLERG",BM7)))+2048*(OR(ISNUMBER(FIND("REMARK",BM7)),ISNUMBER(FIND("COMMENT",BM7))))+4096*(OR(ISNUMBER(FIND("QTY",BM7)),ISNUMBER(FIND("QUANTITY",BM7))))+8192*(AND(OR(ISNUMBER(FIND("COMPLETE",BM7)),ISNUMBER(FIND("PCT",BM7)),ISNUMBER(FIND("PERCENT",BM7))),NOT(ISNUMBER(FIND("ACTUAL",BM7))),LEN(BM7)&lt;=16))+32768*(OR(ISNUMBER(FIND("DESIC",BM7)),ISNUMBER(FIND("DESSIC",BM7)))))</f>
        <v/>
      </c>
      <c r="BN142">
        <f>IF(BN7="",0,2*(OR(ISNUMBER(FIND("WORKCENTER",BN7)),AND(LEFT(BN7,4)="LINE",NOT(ISNUMBER(FIND("STATUS",BN7))))))+4*(OR(ISNUMBER(FIND("WORKORDER",BN7)),AND(LEFT(BN7,2)="WO",OR(ISNUMBER(FIND("NUM",BN7)),RIGHT(BN7,2)="NO"))))+8*(LEFT(BN7,3)="SEQ")+16*(AND(LEFT(BN7,4)="ITEM",NOT(ISNUMBER(FIND("DESC",BN7)))))+32*(AND(ISNUMBER(FIND("DESC",BN7)),NOT(ISNUMBER(FIND("CAP",BN7)))))+64*(OR(RIGHT(BN7,5)="COUNT",RIGHT(BN7,2)="CT"))+128*(ISNUMBER(FIND("BULK",BN7)))+256*(ISNUMBER(FIND("SIZE",BN7)))+512*(LEFT(BN7,3)="CAP")+1024*(ISNUMBER(FIND("ALLERG",BN7)))+2048*(OR(ISNUMBER(FIND("REMARK",BN7)),ISNUMBER(FIND("COMMENT",BN7))))+4096*(OR(ISNUMBER(FIND("QTY",BN7)),ISNUMBER(FIND("QUANTITY",BN7))))+8192*(AND(OR(ISNUMBER(FIND("COMPLETE",BN7)),ISNUMBER(FIND("PCT",BN7)),ISNUMBER(FIND("PERCENT",BN7))),NOT(ISNUMBER(FIND("ACTUAL",BN7))),LEN(BN7)&lt;=16))+32768*(OR(ISNUMBER(FIND("DESIC",BN7)),ISNUMBER(FIND("DESSIC",BN7)))))</f>
        <v/>
      </c>
      <c r="BO142">
        <f>IF(BO7="",0,2*(OR(ISNUMBER(FIND("WORKCENTER",BO7)),AND(LEFT(BO7,4)="LINE",NOT(ISNUMBER(FIND("STATUS",BO7))))))+4*(OR(ISNUMBER(FIND("WORKORDER",BO7)),AND(LEFT(BO7,2)="WO",OR(ISNUMBER(FIND("NUM",BO7)),RIGHT(BO7,2)="NO"))))+8*(LEFT(BO7,3)="SEQ")+16*(AND(LEFT(BO7,4)="ITEM",NOT(ISNUMBER(FIND("DESC",BO7)))))+32*(AND(ISNUMBER(FIND("DESC",BO7)),NOT(ISNUMBER(FIND("CAP",BO7)))))+64*(OR(RIGHT(BO7,5)="COUNT",RIGHT(BO7,2)="CT"))+128*(ISNUMBER(FIND("BULK",BO7)))+256*(ISNUMBER(FIND("SIZE",BO7)))+512*(LEFT(BO7,3)="CAP")+1024*(ISNUMBER(FIND("ALLERG",BO7)))+2048*(OR(ISNUMBER(FIND("REMARK",BO7)),ISNUMBER(FIND("COMMENT",BO7))))+4096*(OR(ISNUMBER(FIND("QTY",BO7)),ISNUMBER(FIND("QUANTITY",BO7))))+8192*(AND(OR(ISNUMBER(FIND("COMPLETE",BO7)),ISNUMBER(FIND("PCT",BO7)),ISNUMBER(FIND("PERCENT",BO7))),NOT(ISNUMBER(FIND("ACTUAL",BO7))),LEN(BO7)&lt;=16))+32768*(OR(ISNUMBER(FIND("DESIC",BO7)),ISNUMBER(FIND("DESSIC",BO7)))))</f>
        <v/>
      </c>
      <c r="BP142">
        <f>IF(BP7="",0,2*(OR(ISNUMBER(FIND("WORKCENTER",BP7)),AND(LEFT(BP7,4)="LINE",NOT(ISNUMBER(FIND("STATUS",BP7))))))+4*(OR(ISNUMBER(FIND("WORKORDER",BP7)),AND(LEFT(BP7,2)="WO",OR(ISNUMBER(FIND("NUM",BP7)),RIGHT(BP7,2)="NO"))))+8*(LEFT(BP7,3)="SEQ")+16*(AND(LEFT(BP7,4)="ITEM",NOT(ISNUMBER(FIND("DESC",BP7)))))+32*(AND(ISNUMBER(FIND("DESC",BP7)),NOT(ISNUMBER(FIND("CAP",BP7)))))+64*(OR(RIGHT(BP7,5)="COUNT",RIGHT(BP7,2)="CT"))+128*(ISNUMBER(FIND("BULK",BP7)))+256*(ISNUMBER(FIND("SIZE",BP7)))+512*(LEFT(BP7,3)="CAP")+1024*(ISNUMBER(FIND("ALLERG",BP7)))+2048*(OR(ISNUMBER(FIND("REMARK",BP7)),ISNUMBER(FIND("COMMENT",BP7))))+4096*(OR(ISNUMBER(FIND("QTY",BP7)),ISNUMBER(FIND("QUANTITY",BP7))))+8192*(AND(OR(ISNUMBER(FIND("COMPLETE",BP7)),ISNUMBER(FIND("PCT",BP7)),ISNUMBER(FIND("PERCENT",BP7))),NOT(ISNUMBER(FIND("ACTUAL",BP7))),LEN(BP7)&lt;=16))+32768*(OR(ISNUMBER(FIND("DESIC",BP7)),ISNUMBER(FIND("DESSIC",BP7)))))</f>
        <v/>
      </c>
      <c r="BQ142">
        <f>IF(BQ7="",0,2*(OR(ISNUMBER(FIND("WORKCENTER",BQ7)),AND(LEFT(BQ7,4)="LINE",NOT(ISNUMBER(FIND("STATUS",BQ7))))))+4*(OR(ISNUMBER(FIND("WORKORDER",BQ7)),AND(LEFT(BQ7,2)="WO",OR(ISNUMBER(FIND("NUM",BQ7)),RIGHT(BQ7,2)="NO"))))+8*(LEFT(BQ7,3)="SEQ")+16*(AND(LEFT(BQ7,4)="ITEM",NOT(ISNUMBER(FIND("DESC",BQ7)))))+32*(AND(ISNUMBER(FIND("DESC",BQ7)),NOT(ISNUMBER(FIND("CAP",BQ7)))))+64*(OR(RIGHT(BQ7,5)="COUNT",RIGHT(BQ7,2)="CT"))+128*(ISNUMBER(FIND("BULK",BQ7)))+256*(ISNUMBER(FIND("SIZE",BQ7)))+512*(LEFT(BQ7,3)="CAP")+1024*(ISNUMBER(FIND("ALLERG",BQ7)))+2048*(OR(ISNUMBER(FIND("REMARK",BQ7)),ISNUMBER(FIND("COMMENT",BQ7))))+4096*(OR(ISNUMBER(FIND("QTY",BQ7)),ISNUMBER(FIND("QUANTITY",BQ7))))+8192*(AND(OR(ISNUMBER(FIND("COMPLETE",BQ7)),ISNUMBER(FIND("PCT",BQ7)),ISNUMBER(FIND("PERCENT",BQ7))),NOT(ISNUMBER(FIND("ACTUAL",BQ7))),LEN(BQ7)&lt;=16))+32768*(OR(ISNUMBER(FIND("DESIC",BQ7)),ISNUMBER(FIND("DESSIC",BQ7)))))</f>
        <v/>
      </c>
      <c r="BR142">
        <f>IF(BR7="",0,2*(OR(ISNUMBER(FIND("WORKCENTER",BR7)),AND(LEFT(BR7,4)="LINE",NOT(ISNUMBER(FIND("STATUS",BR7))))))+4*(OR(ISNUMBER(FIND("WORKORDER",BR7)),AND(LEFT(BR7,2)="WO",OR(ISNUMBER(FIND("NUM",BR7)),RIGHT(BR7,2)="NO"))))+8*(LEFT(BR7,3)="SEQ")+16*(AND(LEFT(BR7,4)="ITEM",NOT(ISNUMBER(FIND("DESC",BR7)))))+32*(AND(ISNUMBER(FIND("DESC",BR7)),NOT(ISNUMBER(FIND("CAP",BR7)))))+64*(OR(RIGHT(BR7,5)="COUNT",RIGHT(BR7,2)="CT"))+128*(ISNUMBER(FIND("BULK",BR7)))+256*(ISNUMBER(FIND("SIZE",BR7)))+512*(LEFT(BR7,3)="CAP")+1024*(ISNUMBER(FIND("ALLERG",BR7)))+2048*(OR(ISNUMBER(FIND("REMARK",BR7)),ISNUMBER(FIND("COMMENT",BR7))))+4096*(OR(ISNUMBER(FIND("QTY",BR7)),ISNUMBER(FIND("QUANTITY",BR7))))+8192*(AND(OR(ISNUMBER(FIND("COMPLETE",BR7)),ISNUMBER(FIND("PCT",BR7)),ISNUMBER(FIND("PERCENT",BR7))),NOT(ISNUMBER(FIND("ACTUAL",BR7))),LEN(BR7)&lt;=16))+32768*(OR(ISNUMBER(FIND("DESIC",BR7)),ISNUMBER(FIND("DESSIC",BR7)))))</f>
        <v/>
      </c>
      <c r="BS142">
        <f>IF(BS7="",0,2*(OR(ISNUMBER(FIND("WORKCENTER",BS7)),AND(LEFT(BS7,4)="LINE",NOT(ISNUMBER(FIND("STATUS",BS7))))))+4*(OR(ISNUMBER(FIND("WORKORDER",BS7)),AND(LEFT(BS7,2)="WO",OR(ISNUMBER(FIND("NUM",BS7)),RIGHT(BS7,2)="NO"))))+8*(LEFT(BS7,3)="SEQ")+16*(AND(LEFT(BS7,4)="ITEM",NOT(ISNUMBER(FIND("DESC",BS7)))))+32*(AND(ISNUMBER(FIND("DESC",BS7)),NOT(ISNUMBER(FIND("CAP",BS7)))))+64*(OR(RIGHT(BS7,5)="COUNT",RIGHT(BS7,2)="CT"))+128*(ISNUMBER(FIND("BULK",BS7)))+256*(ISNUMBER(FIND("SIZE",BS7)))+512*(LEFT(BS7,3)="CAP")+1024*(ISNUMBER(FIND("ALLERG",BS7)))+2048*(OR(ISNUMBER(FIND("REMARK",BS7)),ISNUMBER(FIND("COMMENT",BS7))))+4096*(OR(ISNUMBER(FIND("QTY",BS7)),ISNUMBER(FIND("QUANTITY",BS7))))+8192*(AND(OR(ISNUMBER(FIND("COMPLETE",BS7)),ISNUMBER(FIND("PCT",BS7)),ISNUMBER(FIND("PERCENT",BS7))),NOT(ISNUMBER(FIND("ACTUAL",BS7))),LEN(BS7)&lt;=16))+32768*(OR(ISNUMBER(FIND("DESIC",BS7)),ISNUMBER(FIND("DESSIC",BS7)))))</f>
        <v/>
      </c>
      <c r="BT142">
        <f>IF(BT7="",0,2*(OR(ISNUMBER(FIND("WORKCENTER",BT7)),AND(LEFT(BT7,4)="LINE",NOT(ISNUMBER(FIND("STATUS",BT7))))))+4*(OR(ISNUMBER(FIND("WORKORDER",BT7)),AND(LEFT(BT7,2)="WO",OR(ISNUMBER(FIND("NUM",BT7)),RIGHT(BT7,2)="NO"))))+8*(LEFT(BT7,3)="SEQ")+16*(AND(LEFT(BT7,4)="ITEM",NOT(ISNUMBER(FIND("DESC",BT7)))))+32*(AND(ISNUMBER(FIND("DESC",BT7)),NOT(ISNUMBER(FIND("CAP",BT7)))))+64*(OR(RIGHT(BT7,5)="COUNT",RIGHT(BT7,2)="CT"))+128*(ISNUMBER(FIND("BULK",BT7)))+256*(ISNUMBER(FIND("SIZE",BT7)))+512*(LEFT(BT7,3)="CAP")+1024*(ISNUMBER(FIND("ALLERG",BT7)))+2048*(OR(ISNUMBER(FIND("REMARK",BT7)),ISNUMBER(FIND("COMMENT",BT7))))+4096*(OR(ISNUMBER(FIND("QTY",BT7)),ISNUMBER(FIND("QUANTITY",BT7))))+8192*(AND(OR(ISNUMBER(FIND("COMPLETE",BT7)),ISNUMBER(FIND("PCT",BT7)),ISNUMBER(FIND("PERCENT",BT7))),NOT(ISNUMBER(FIND("ACTUAL",BT7))),LEN(BT7)&lt;=16))+32768*(OR(ISNUMBER(FIND("DESIC",BT7)),ISNUMBER(FIND("DESSIC",BT7)))))</f>
        <v/>
      </c>
      <c r="BU142">
        <f>IF(BU7="",0,2*(OR(ISNUMBER(FIND("WORKCENTER",BU7)),AND(LEFT(BU7,4)="LINE",NOT(ISNUMBER(FIND("STATUS",BU7))))))+4*(OR(ISNUMBER(FIND("WORKORDER",BU7)),AND(LEFT(BU7,2)="WO",OR(ISNUMBER(FIND("NUM",BU7)),RIGHT(BU7,2)="NO"))))+8*(LEFT(BU7,3)="SEQ")+16*(AND(LEFT(BU7,4)="ITEM",NOT(ISNUMBER(FIND("DESC",BU7)))))+32*(AND(ISNUMBER(FIND("DESC",BU7)),NOT(ISNUMBER(FIND("CAP",BU7)))))+64*(OR(RIGHT(BU7,5)="COUNT",RIGHT(BU7,2)="CT"))+128*(ISNUMBER(FIND("BULK",BU7)))+256*(ISNUMBER(FIND("SIZE",BU7)))+512*(LEFT(BU7,3)="CAP")+1024*(ISNUMBER(FIND("ALLERG",BU7)))+2048*(OR(ISNUMBER(FIND("REMARK",BU7)),ISNUMBER(FIND("COMMENT",BU7))))+4096*(OR(ISNUMBER(FIND("QTY",BU7)),ISNUMBER(FIND("QUANTITY",BU7))))+8192*(AND(OR(ISNUMBER(FIND("COMPLETE",BU7)),ISNUMBER(FIND("PCT",BU7)),ISNUMBER(FIND("PERCENT",BU7))),NOT(ISNUMBER(FIND("ACTUAL",BU7))),LEN(BU7)&lt;=16))+32768*(OR(ISNUMBER(FIND("DESIC",BU7)),ISNUMBER(FIND("DESSIC",BU7)))))</f>
        <v/>
      </c>
      <c r="BV142">
        <f>IF(BV7="",0,2*(OR(ISNUMBER(FIND("WORKCENTER",BV7)),AND(LEFT(BV7,4)="LINE",NOT(ISNUMBER(FIND("STATUS",BV7))))))+4*(OR(ISNUMBER(FIND("WORKORDER",BV7)),AND(LEFT(BV7,2)="WO",OR(ISNUMBER(FIND("NUM",BV7)),RIGHT(BV7,2)="NO"))))+8*(LEFT(BV7,3)="SEQ")+16*(AND(LEFT(BV7,4)="ITEM",NOT(ISNUMBER(FIND("DESC",BV7)))))+32*(AND(ISNUMBER(FIND("DESC",BV7)),NOT(ISNUMBER(FIND("CAP",BV7)))))+64*(OR(RIGHT(BV7,5)="COUNT",RIGHT(BV7,2)="CT"))+128*(ISNUMBER(FIND("BULK",BV7)))+256*(ISNUMBER(FIND("SIZE",BV7)))+512*(LEFT(BV7,3)="CAP")+1024*(ISNUMBER(FIND("ALLERG",BV7)))+2048*(OR(ISNUMBER(FIND("REMARK",BV7)),ISNUMBER(FIND("COMMENT",BV7))))+4096*(OR(ISNUMBER(FIND("QTY",BV7)),ISNUMBER(FIND("QUANTITY",BV7))))+8192*(AND(OR(ISNUMBER(FIND("COMPLETE",BV7)),ISNUMBER(FIND("PCT",BV7)),ISNUMBER(FIND("PERCENT",BV7))),NOT(ISNUMBER(FIND("ACTUAL",BV7))),LEN(BV7)&lt;=16))+32768*(OR(ISNUMBER(FIND("DESIC",BV7)),ISNUMBER(FIND("DESSIC",BV7)))))</f>
        <v/>
      </c>
      <c r="BW142">
        <f>IF(BW7="",0,2*(OR(ISNUMBER(FIND("WORKCENTER",BW7)),AND(LEFT(BW7,4)="LINE",NOT(ISNUMBER(FIND("STATUS",BW7))))))+4*(OR(ISNUMBER(FIND("WORKORDER",BW7)),AND(LEFT(BW7,2)="WO",OR(ISNUMBER(FIND("NUM",BW7)),RIGHT(BW7,2)="NO"))))+8*(LEFT(BW7,3)="SEQ")+16*(AND(LEFT(BW7,4)="ITEM",NOT(ISNUMBER(FIND("DESC",BW7)))))+32*(AND(ISNUMBER(FIND("DESC",BW7)),NOT(ISNUMBER(FIND("CAP",BW7)))))+64*(OR(RIGHT(BW7,5)="COUNT",RIGHT(BW7,2)="CT"))+128*(ISNUMBER(FIND("BULK",BW7)))+256*(ISNUMBER(FIND("SIZE",BW7)))+512*(LEFT(BW7,3)="CAP")+1024*(ISNUMBER(FIND("ALLERG",BW7)))+2048*(OR(ISNUMBER(FIND("REMARK",BW7)),ISNUMBER(FIND("COMMENT",BW7))))+4096*(OR(ISNUMBER(FIND("QTY",BW7)),ISNUMBER(FIND("QUANTITY",BW7))))+8192*(AND(OR(ISNUMBER(FIND("COMPLETE",BW7)),ISNUMBER(FIND("PCT",BW7)),ISNUMBER(FIND("PERCENT",BW7))),NOT(ISNUMBER(FIND("ACTUAL",BW7))),LEN(BW7)&lt;=16))+32768*(OR(ISNUMBER(FIND("DESIC",BW7)),ISNUMBER(FIND("DESSIC",BW7)))))</f>
        <v/>
      </c>
      <c r="BX142">
        <f>IF(BX7="",0,2*(OR(ISNUMBER(FIND("WORKCENTER",BX7)),AND(LEFT(BX7,4)="LINE",NOT(ISNUMBER(FIND("STATUS",BX7))))))+4*(OR(ISNUMBER(FIND("WORKORDER",BX7)),AND(LEFT(BX7,2)="WO",OR(ISNUMBER(FIND("NUM",BX7)),RIGHT(BX7,2)="NO"))))+8*(LEFT(BX7,3)="SEQ")+16*(AND(LEFT(BX7,4)="ITEM",NOT(ISNUMBER(FIND("DESC",BX7)))))+32*(AND(ISNUMBER(FIND("DESC",BX7)),NOT(ISNUMBER(FIND("CAP",BX7)))))+64*(OR(RIGHT(BX7,5)="COUNT",RIGHT(BX7,2)="CT"))+128*(ISNUMBER(FIND("BULK",BX7)))+256*(ISNUMBER(FIND("SIZE",BX7)))+512*(LEFT(BX7,3)="CAP")+1024*(ISNUMBER(FIND("ALLERG",BX7)))+2048*(OR(ISNUMBER(FIND("REMARK",BX7)),ISNUMBER(FIND("COMMENT",BX7))))+4096*(OR(ISNUMBER(FIND("QTY",BX7)),ISNUMBER(FIND("QUANTITY",BX7))))+8192*(AND(OR(ISNUMBER(FIND("COMPLETE",BX7)),ISNUMBER(FIND("PCT",BX7)),ISNUMBER(FIND("PERCENT",BX7))),NOT(ISNUMBER(FIND("ACTUAL",BX7))),LEN(BX7)&lt;=16))+32768*(OR(ISNUMBER(FIND("DESIC",BX7)),ISNUMBER(FIND("DESSIC",BX7)))))</f>
        <v/>
      </c>
      <c r="BY142">
        <f>IF(BY7="",0,2*(OR(ISNUMBER(FIND("WORKCENTER",BY7)),AND(LEFT(BY7,4)="LINE",NOT(ISNUMBER(FIND("STATUS",BY7))))))+4*(OR(ISNUMBER(FIND("WORKORDER",BY7)),AND(LEFT(BY7,2)="WO",OR(ISNUMBER(FIND("NUM",BY7)),RIGHT(BY7,2)="NO"))))+8*(LEFT(BY7,3)="SEQ")+16*(AND(LEFT(BY7,4)="ITEM",NOT(ISNUMBER(FIND("DESC",BY7)))))+32*(AND(ISNUMBER(FIND("DESC",BY7)),NOT(ISNUMBER(FIND("CAP",BY7)))))+64*(OR(RIGHT(BY7,5)="COUNT",RIGHT(BY7,2)="CT"))+128*(ISNUMBER(FIND("BULK",BY7)))+256*(ISNUMBER(FIND("SIZE",BY7)))+512*(LEFT(BY7,3)="CAP")+1024*(ISNUMBER(FIND("ALLERG",BY7)))+2048*(OR(ISNUMBER(FIND("REMARK",BY7)),ISNUMBER(FIND("COMMENT",BY7))))+4096*(OR(ISNUMBER(FIND("QTY",BY7)),ISNUMBER(FIND("QUANTITY",BY7))))+8192*(AND(OR(ISNUMBER(FIND("COMPLETE",BY7)),ISNUMBER(FIND("PCT",BY7)),ISNUMBER(FIND("PERCENT",BY7))),NOT(ISNUMBER(FIND("ACTUAL",BY7))),LEN(BY7)&lt;=16))+32768*(OR(ISNUMBER(FIND("DESIC",BY7)),ISNUMBER(FIND("DESSIC",BY7)))))</f>
        <v/>
      </c>
      <c r="BZ142">
        <f>IF(BZ7="",0,2*(OR(ISNUMBER(FIND("WORKCENTER",BZ7)),AND(LEFT(BZ7,4)="LINE",NOT(ISNUMBER(FIND("STATUS",BZ7))))))+4*(OR(ISNUMBER(FIND("WORKORDER",BZ7)),AND(LEFT(BZ7,2)="WO",OR(ISNUMBER(FIND("NUM",BZ7)),RIGHT(BZ7,2)="NO"))))+8*(LEFT(BZ7,3)="SEQ")+16*(AND(LEFT(BZ7,4)="ITEM",NOT(ISNUMBER(FIND("DESC",BZ7)))))+32*(AND(ISNUMBER(FIND("DESC",BZ7)),NOT(ISNUMBER(FIND("CAP",BZ7)))))+64*(OR(RIGHT(BZ7,5)="COUNT",RIGHT(BZ7,2)="CT"))+128*(ISNUMBER(FIND("BULK",BZ7)))+256*(ISNUMBER(FIND("SIZE",BZ7)))+512*(LEFT(BZ7,3)="CAP")+1024*(ISNUMBER(FIND("ALLERG",BZ7)))+2048*(OR(ISNUMBER(FIND("REMARK",BZ7)),ISNUMBER(FIND("COMMENT",BZ7))))+4096*(OR(ISNUMBER(FIND("QTY",BZ7)),ISNUMBER(FIND("QUANTITY",BZ7))))+8192*(AND(OR(ISNUMBER(FIND("COMPLETE",BZ7)),ISNUMBER(FIND("PCT",BZ7)),ISNUMBER(FIND("PERCENT",BZ7))),NOT(ISNUMBER(FIND("ACTUAL",BZ7))),LEN(BZ7)&lt;=16))+32768*(OR(ISNUMBER(FIND("DESIC",BZ7)),ISNUMBER(FIND("DESSIC",BZ7)))))</f>
        <v/>
      </c>
      <c r="CA142">
        <f>IF(CA7="",0,2*(OR(ISNUMBER(FIND("WORKCENTER",CA7)),AND(LEFT(CA7,4)="LINE",NOT(ISNUMBER(FIND("STATUS",CA7))))))+4*(OR(ISNUMBER(FIND("WORKORDER",CA7)),AND(LEFT(CA7,2)="WO",OR(ISNUMBER(FIND("NUM",CA7)),RIGHT(CA7,2)="NO"))))+8*(LEFT(CA7,3)="SEQ")+16*(AND(LEFT(CA7,4)="ITEM",NOT(ISNUMBER(FIND("DESC",CA7)))))+32*(AND(ISNUMBER(FIND("DESC",CA7)),NOT(ISNUMBER(FIND("CAP",CA7)))))+64*(OR(RIGHT(CA7,5)="COUNT",RIGHT(CA7,2)="CT"))+128*(ISNUMBER(FIND("BULK",CA7)))+256*(ISNUMBER(FIND("SIZE",CA7)))+512*(LEFT(CA7,3)="CAP")+1024*(ISNUMBER(FIND("ALLERG",CA7)))+2048*(OR(ISNUMBER(FIND("REMARK",CA7)),ISNUMBER(FIND("COMMENT",CA7))))+4096*(OR(ISNUMBER(FIND("QTY",CA7)),ISNUMBER(FIND("QUANTITY",CA7))))+8192*(AND(OR(ISNUMBER(FIND("COMPLETE",CA7)),ISNUMBER(FIND("PCT",CA7)),ISNUMBER(FIND("PERCENT",CA7))),NOT(ISNUMBER(FIND("ACTUAL",CA7))),LEN(CA7)&lt;=16))+32768*(OR(ISNUMBER(FIND("DESIC",CA7)),ISNUMBER(FIND("DESSIC",CA7)))))</f>
        <v/>
      </c>
      <c r="CB142">
        <f>IF(CB7="",0,2*(OR(ISNUMBER(FIND("WORKCENTER",CB7)),AND(LEFT(CB7,4)="LINE",NOT(ISNUMBER(FIND("STATUS",CB7))))))+4*(OR(ISNUMBER(FIND("WORKORDER",CB7)),AND(LEFT(CB7,2)="WO",OR(ISNUMBER(FIND("NUM",CB7)),RIGHT(CB7,2)="NO"))))+8*(LEFT(CB7,3)="SEQ")+16*(AND(LEFT(CB7,4)="ITEM",NOT(ISNUMBER(FIND("DESC",CB7)))))+32*(AND(ISNUMBER(FIND("DESC",CB7)),NOT(ISNUMBER(FIND("CAP",CB7)))))+64*(OR(RIGHT(CB7,5)="COUNT",RIGHT(CB7,2)="CT"))+128*(ISNUMBER(FIND("BULK",CB7)))+256*(ISNUMBER(FIND("SIZE",CB7)))+512*(LEFT(CB7,3)="CAP")+1024*(ISNUMBER(FIND("ALLERG",CB7)))+2048*(OR(ISNUMBER(FIND("REMARK",CB7)),ISNUMBER(FIND("COMMENT",CB7))))+4096*(OR(ISNUMBER(FIND("QTY",CB7)),ISNUMBER(FIND("QUANTITY",CB7))))+8192*(AND(OR(ISNUMBER(FIND("COMPLETE",CB7)),ISNUMBER(FIND("PCT",CB7)),ISNUMBER(FIND("PERCENT",CB7))),NOT(ISNUMBER(FIND("ACTUAL",CB7))),LEN(CB7)&lt;=16))+32768*(OR(ISNUMBER(FIND("DESIC",CB7)),ISNUMBER(FIND("DESSIC",CB7)))))</f>
        <v/>
      </c>
      <c r="CC142">
        <f>IF(CC7="",0,2*(OR(ISNUMBER(FIND("WORKCENTER",CC7)),AND(LEFT(CC7,4)="LINE",NOT(ISNUMBER(FIND("STATUS",CC7))))))+4*(OR(ISNUMBER(FIND("WORKORDER",CC7)),AND(LEFT(CC7,2)="WO",OR(ISNUMBER(FIND("NUM",CC7)),RIGHT(CC7,2)="NO"))))+8*(LEFT(CC7,3)="SEQ")+16*(AND(LEFT(CC7,4)="ITEM",NOT(ISNUMBER(FIND("DESC",CC7)))))+32*(AND(ISNUMBER(FIND("DESC",CC7)),NOT(ISNUMBER(FIND("CAP",CC7)))))+64*(OR(RIGHT(CC7,5)="COUNT",RIGHT(CC7,2)="CT"))+128*(ISNUMBER(FIND("BULK",CC7)))+256*(ISNUMBER(FIND("SIZE",CC7)))+512*(LEFT(CC7,3)="CAP")+1024*(ISNUMBER(FIND("ALLERG",CC7)))+2048*(OR(ISNUMBER(FIND("REMARK",CC7)),ISNUMBER(FIND("COMMENT",CC7))))+4096*(OR(ISNUMBER(FIND("QTY",CC7)),ISNUMBER(FIND("QUANTITY",CC7))))+8192*(AND(OR(ISNUMBER(FIND("COMPLETE",CC7)),ISNUMBER(FIND("PCT",CC7)),ISNUMBER(FIND("PERCENT",CC7))),NOT(ISNUMBER(FIND("ACTUAL",CC7))),LEN(CC7)&lt;=16))+32768*(OR(ISNUMBER(FIND("DESIC",CC7)),ISNUMBER(FIND("DESSIC",CC7)))))</f>
        <v/>
      </c>
      <c r="CD142">
        <f>IF(CD7="",0,2*(OR(ISNUMBER(FIND("WORKCENTER",CD7)),AND(LEFT(CD7,4)="LINE",NOT(ISNUMBER(FIND("STATUS",CD7))))))+4*(OR(ISNUMBER(FIND("WORKORDER",CD7)),AND(LEFT(CD7,2)="WO",OR(ISNUMBER(FIND("NUM",CD7)),RIGHT(CD7,2)="NO"))))+8*(LEFT(CD7,3)="SEQ")+16*(AND(LEFT(CD7,4)="ITEM",NOT(ISNUMBER(FIND("DESC",CD7)))))+32*(AND(ISNUMBER(FIND("DESC",CD7)),NOT(ISNUMBER(FIND("CAP",CD7)))))+64*(OR(RIGHT(CD7,5)="COUNT",RIGHT(CD7,2)="CT"))+128*(ISNUMBER(FIND("BULK",CD7)))+256*(ISNUMBER(FIND("SIZE",CD7)))+512*(LEFT(CD7,3)="CAP")+1024*(ISNUMBER(FIND("ALLERG",CD7)))+2048*(OR(ISNUMBER(FIND("REMARK",CD7)),ISNUMBER(FIND("COMMENT",CD7))))+4096*(OR(ISNUMBER(FIND("QTY",CD7)),ISNUMBER(FIND("QUANTITY",CD7))))+8192*(AND(OR(ISNUMBER(FIND("COMPLETE",CD7)),ISNUMBER(FIND("PCT",CD7)),ISNUMBER(FIND("PERCENT",CD7))),NOT(ISNUMBER(FIND("ACTUAL",CD7))),LEN(CD7)&lt;=16))+32768*(OR(ISNUMBER(FIND("DESIC",CD7)),ISNUMBER(FIND("DESSIC",CD7)))))</f>
        <v/>
      </c>
      <c r="CE142">
        <f>IF(CE7="",0,2*(OR(ISNUMBER(FIND("WORKCENTER",CE7)),AND(LEFT(CE7,4)="LINE",NOT(ISNUMBER(FIND("STATUS",CE7))))))+4*(OR(ISNUMBER(FIND("WORKORDER",CE7)),AND(LEFT(CE7,2)="WO",OR(ISNUMBER(FIND("NUM",CE7)),RIGHT(CE7,2)="NO"))))+8*(LEFT(CE7,3)="SEQ")+16*(AND(LEFT(CE7,4)="ITEM",NOT(ISNUMBER(FIND("DESC",CE7)))))+32*(AND(ISNUMBER(FIND("DESC",CE7)),NOT(ISNUMBER(FIND("CAP",CE7)))))+64*(OR(RIGHT(CE7,5)="COUNT",RIGHT(CE7,2)="CT"))+128*(ISNUMBER(FIND("BULK",CE7)))+256*(ISNUMBER(FIND("SIZE",CE7)))+512*(LEFT(CE7,3)="CAP")+1024*(ISNUMBER(FIND("ALLERG",CE7)))+2048*(OR(ISNUMBER(FIND("REMARK",CE7)),ISNUMBER(FIND("COMMENT",CE7))))+4096*(OR(ISNUMBER(FIND("QTY",CE7)),ISNUMBER(FIND("QUANTITY",CE7))))+8192*(AND(OR(ISNUMBER(FIND("COMPLETE",CE7)),ISNUMBER(FIND("PCT",CE7)),ISNUMBER(FIND("PERCENT",CE7))),NOT(ISNUMBER(FIND("ACTUAL",CE7))),LEN(CE7)&lt;=16))+32768*(OR(ISNUMBER(FIND("DESIC",CE7)),ISNUMBER(FIND("DESSIC",CE7)))))</f>
        <v/>
      </c>
      <c r="CF142">
        <f>IF(CF7="",0,2*(OR(ISNUMBER(FIND("WORKCENTER",CF7)),AND(LEFT(CF7,4)="LINE",NOT(ISNUMBER(FIND("STATUS",CF7))))))+4*(OR(ISNUMBER(FIND("WORKORDER",CF7)),AND(LEFT(CF7,2)="WO",OR(ISNUMBER(FIND("NUM",CF7)),RIGHT(CF7,2)="NO"))))+8*(LEFT(CF7,3)="SEQ")+16*(AND(LEFT(CF7,4)="ITEM",NOT(ISNUMBER(FIND("DESC",CF7)))))+32*(AND(ISNUMBER(FIND("DESC",CF7)),NOT(ISNUMBER(FIND("CAP",CF7)))))+64*(OR(RIGHT(CF7,5)="COUNT",RIGHT(CF7,2)="CT"))+128*(ISNUMBER(FIND("BULK",CF7)))+256*(ISNUMBER(FIND("SIZE",CF7)))+512*(LEFT(CF7,3)="CAP")+1024*(ISNUMBER(FIND("ALLERG",CF7)))+2048*(OR(ISNUMBER(FIND("REMARK",CF7)),ISNUMBER(FIND("COMMENT",CF7))))+4096*(OR(ISNUMBER(FIND("QTY",CF7)),ISNUMBER(FIND("QUANTITY",CF7))))+8192*(AND(OR(ISNUMBER(FIND("COMPLETE",CF7)),ISNUMBER(FIND("PCT",CF7)),ISNUMBER(FIND("PERCENT",CF7))),NOT(ISNUMBER(FIND("ACTUAL",CF7))),LEN(CF7)&lt;=16))+32768*(OR(ISNUMBER(FIND("DESIC",CF7)),ISNUMBER(FIND("DESSIC",CF7)))))</f>
        <v/>
      </c>
      <c r="DA142" t="n">
        <v>138</v>
      </c>
      <c r="DB142">
        <f>IF($B$37=0,"",IFERROR(TRIM(SUBSTITUTE(SUBSTITUTE(SUBSTITUTE(SUBSTITUTE(INDEX(PASTE_ALL,138,$B$37)," "," "),CHAR(9)," "),CHAR(10)," "),CHAR(13)," ")),""))</f>
        <v/>
      </c>
      <c r="DC142">
        <f>IF(AND(138&gt;HEADER_ROW,UPPER(DB142)="LEGEND"),1,0)</f>
        <v/>
      </c>
      <c r="DE142" t="n">
        <v>138</v>
      </c>
      <c r="DF142">
        <f>HEADER_ROW+$DE142</f>
        <v/>
      </c>
      <c r="DG142">
        <f>IF(AND($DF142&lt;=1000,$DF142&lt;$B$8),1,0)</f>
        <v/>
      </c>
      <c r="DH142">
        <f>IF($DG142=1,IFERROR(INDEX($DB$5:$DB$1004,$DF142),""),"")</f>
        <v/>
      </c>
      <c r="DI142">
        <f>IF(AND($DG142=1,$DH142&lt;&gt;""),IFERROR(SUBSTITUTE(SUBSTITUTE(TRIM(SUBSTITUTE(SUBSTITUTE(SUBSTITUTE(SUBSTITUTE(IFERROR(INDEX(PASTE_ALL,$DF142,1)&amp;"","")&amp;"␟"&amp;IFERROR(INDEX(PASTE_ALL,$DF142,2)&amp;"","")&amp;"␟"&amp;IFERROR(INDEX(PASTE_ALL,$DF142,3)&amp;"","")&amp;"␟"&amp;IFERROR(INDEX(PASTE_ALL,$DF142,4)&amp;"","")&amp;"␟"&amp;IFERROR(INDEX(PASTE_ALL,$DF142,5)&amp;"","")&amp;"␟"&amp;IFERROR(INDEX(PASTE_ALL,$DF142,6)&amp;"","")&amp;"␟"&amp;IFERROR(INDEX(PASTE_ALL,$DF142,7)&amp;"","")&amp;"␟"&amp;IFERROR(INDEX(PASTE_ALL,$DF142,8)&amp;"","")&amp;"␟"&amp;IFERROR(INDEX(PASTE_ALL,$DF142,9)&amp;"","")&amp;"␟"&amp;IFERROR(INDEX(PASTE_ALL,$DF142,10)&amp;"","")&amp;"␟"&amp;IFERROR(INDEX(PASTE_ALL,$DF142,11)&amp;"","")&amp;"␟"&amp;IFERROR(INDEX(PASTE_ALL,$DF142,12)&amp;"","")&amp;"␟"&amp;IFERROR(INDEX(PASTE_ALL,$DF142,13)&amp;"","")&amp;"␟"&amp;IFERROR(INDEX(PASTE_ALL,$DF142,14)&amp;"","")&amp;"␟"&amp;IFERROR(INDEX(PASTE_ALL,$DF142,15)&amp;"","")&amp;"␟"&amp;IFERROR(INDEX(PASTE_ALL,$DF142,16)&amp;"","")&amp;"␟"&amp;IFERROR(INDEX(PASTE_ALL,$DF142,17)&amp;"","")&amp;"␟"&amp;IFERROR(INDEX(PASTE_ALL,$DF142,18)&amp;"","")&amp;"␟"&amp;IFERROR(INDEX(PASTE_ALL,$DF142,19)&amp;"","")&amp;"␟"&amp;IFERROR(INDEX(PASTE_ALL,$DF142,20)&amp;"","")&amp;"␟"&amp;IFERROR(INDEX(PASTE_ALL,$DF142,21)&amp;"","")&amp;"␟"&amp;IFERROR(INDEX(PASTE_ALL,$DF142,22)&amp;"","")&amp;"␟"&amp;IFERROR(INDEX(PASTE_ALL,$DF142,23)&amp;"","")&amp;"␟"&amp;IFERROR(INDEX(PASTE_ALL,$DF142,24)&amp;"","")&amp;"␟"&amp;IFERROR(INDEX(PASTE_ALL,$DF142,25)&amp;"","")&amp;"␟"&amp;IFERROR(INDEX(PASTE_ALL,$DF142,26)&amp;"","")&amp;"␟"&amp;IFERROR(INDEX(PASTE_ALL,$DF142,27)&amp;"","")&amp;"␟"&amp;IFERROR(INDEX(PASTE_ALL,$DF142,28)&amp;"","")&amp;"␟"&amp;IFERROR(INDEX(PASTE_ALL,$DF142,29)&amp;"","")&amp;"␟"&amp;IFERROR(INDEX(PASTE_ALL,$DF142,30)&amp;"","")&amp;"␟"&amp;IFERROR(INDEX(PASTE_ALL,$DF142,31)&amp;"","")&amp;"␟"&amp;IFERROR(INDEX(PASTE_ALL,$DF142,32)&amp;"","")&amp;"␟"&amp;IFERROR(INDEX(PASTE_ALL,$DF142,33)&amp;"","")&amp;"␟"&amp;IFERROR(INDEX(PASTE_ALL,$DF142,34)&amp;"","")&amp;"␟"&amp;IFERROR(INDEX(PASTE_ALL,$DF142,35)&amp;"","")&amp;"␟"&amp;IFERROR(INDEX(PASTE_ALL,$DF142,36)&amp;"","")&amp;"␟"&amp;IFERROR(INDEX(PASTE_ALL,$DF142,37)&amp;"","")&amp;"␟"&amp;IFERROR(INDEX(PASTE_ALL,$DF142,38)&amp;"","")&amp;"␟"&amp;IFERROR(INDEX(PASTE_ALL,$DF142,39)&amp;"","")&amp;"␟"&amp;IFERROR(INDEX(PASTE_ALL,$DF142,40)&amp;"","")&amp;"␟"&amp;IFERROR(INDEX(PASTE_ALL,$DF142,41)&amp;"","")&amp;"␟"&amp;IFERROR(INDEX(PASTE_ALL,$DF142,42)&amp;"","")&amp;"␟"&amp;IFERROR(INDEX(PASTE_ALL,$DF142,43)&amp;"","")&amp;"␟"&amp;IFERROR(INDEX(PASTE_ALL,$DF142,44)&amp;"","")&amp;"␟"&amp;IFERROR(INDEX(PASTE_ALL,$DF142,45)&amp;"","")&amp;"␟"&amp;IFERROR(INDEX(PASTE_ALL,$DF142,46)&amp;"","")&amp;"␟"&amp;IFERROR(INDEX(PASTE_ALL,$DF142,47)&amp;"","")&amp;"␟"&amp;IFERROR(INDEX(PASTE_ALL,$DF142,48)&amp;"","")&amp;"␟"&amp;IFERROR(INDEX(PASTE_ALL,$DF142,49)&amp;"","")&amp;"␟"&amp;IFERROR(INDEX(PASTE_ALL,$DF142,50)&amp;"","")&amp;"␟"&amp;IFERROR(INDEX(PASTE_ALL,$DF142,51)&amp;"","")&amp;"␟"&amp;IFERROR(INDEX(PASTE_ALL,$DF142,52)&amp;"","")&amp;"␟"&amp;IFERROR(INDEX(PASTE_ALL,$DF142,53)&amp;"","")&amp;"␟"&amp;IFERROR(INDEX(PASTE_ALL,$DF142,54)&amp;"","")&amp;"␟"&amp;IFERROR(INDEX(PASTE_ALL,$DF142,55)&amp;"","")&amp;"␟"&amp;IFERROR(INDEX(PASTE_ALL,$DF142,56)&amp;"","")&amp;"␟"&amp;IFERROR(INDEX(PASTE_ALL,$DF142,57)&amp;"","")&amp;"␟"&amp;IFERROR(INDEX(PASTE_ALL,$DF142,58)&amp;"","")&amp;"␟"&amp;IFERROR(INDEX(PASTE_ALL,$DF142,59)&amp;"","")&amp;"␟"&amp;IFERROR(INDEX(PASTE_ALL,$DF142,60)&amp;"","")," "," "),CHAR(9)," "),CHAR(10)," "),CHAR(13)," "))," ␟","␟"),"␟ ","␟"),"#"&amp;$DE142),"")</f>
        <v/>
      </c>
      <c r="DJ142">
        <f>IF($DI142="",0,IF(SUMPRODUCT(--EXACT($DI$4:DI141,$DI142))&gt;0,1,0))</f>
        <v/>
      </c>
      <c r="DK142">
        <f>IF(AND($DI142&lt;&gt;"",$DJ142=0),1,0)</f>
        <v/>
      </c>
      <c r="DL142">
        <f>DL141+$DK142</f>
        <v/>
      </c>
      <c r="DM142">
        <f>IF(AND($DK142=1,$DL142&lt;=600),1,0)</f>
        <v/>
      </c>
      <c r="DN142">
        <f>IF($DM142=0,"",IF($L$6=0,"",IFERROR(IF(ISNUMBER(INDEX(PASTE_ALL,$DF142,$L$6)),INDEX(PASTE_ALL,$DF142,$L$6),TRIM(SUBSTITUTE(SUBSTITUTE(SUBSTITUTE(SUBSTITUTE(INDEX(PASTE_ALL,$DF142,$L$6)," "," "),CHAR(9)," "),CHAR(10)," "),CHAR(13)," "))),"")))</f>
        <v/>
      </c>
      <c r="DO142">
        <f>IF($DM142=0,"",IF($L$7=0,"",IFERROR(IF(ISNUMBER(INDEX(PASTE_ALL,$DF142,$L$7)),INDEX(PASTE_ALL,$DF142,$L$7),TRIM(SUBSTITUTE(SUBSTITUTE(SUBSTITUTE(SUBSTITUTE(INDEX(PASTE_ALL,$DF142,$L$7)," "," "),CHAR(9)," "),CHAR(10)," "),CHAR(13)," "))),"")))</f>
        <v/>
      </c>
      <c r="DP142">
        <f>IF($DM142=0,"",IF($L$8=0,"",IFERROR(IF(ISNUMBER(INDEX(PASTE_ALL,$DF142,$L$8)),INDEX(PASTE_ALL,$DF142,$L$8),TRIM(SUBSTITUTE(SUBSTITUTE(SUBSTITUTE(SUBSTITUTE(INDEX(PASTE_ALL,$DF142,$L$8)," "," "),CHAR(9)," "),CHAR(10)," "),CHAR(13)," "))),"")))</f>
        <v/>
      </c>
      <c r="DQ142">
        <f>IF($DM142=0,"",IF($L$9=0,"",IFERROR(IF(ISNUMBER(INDEX(PASTE_ALL,$DF142,$L$9)),INDEX(PASTE_ALL,$DF142,$L$9),TRIM(SUBSTITUTE(SUBSTITUTE(SUBSTITUTE(SUBSTITUTE(INDEX(PASTE_ALL,$DF142,$L$9)," "," "),CHAR(9)," "),CHAR(10)," "),CHAR(13)," "))),"")))</f>
        <v/>
      </c>
      <c r="DR142">
        <f>IF($DM142=0,"",IF($L$10=0,"",IFERROR(IF(ISNUMBER(INDEX(PASTE_ALL,$DF142,$L$10)),INDEX(PASTE_ALL,$DF142,$L$10),TRIM(SUBSTITUTE(SUBSTITUTE(SUBSTITUTE(SUBSTITUTE(INDEX(PASTE_ALL,$DF142,$L$10)," "," "),CHAR(9)," "),CHAR(10)," "),CHAR(13)," "))),"")))</f>
        <v/>
      </c>
      <c r="DS142">
        <f>IF($DM142=0,"",IF($L$11=0,"",IFERROR(IF(ISNUMBER(INDEX(PASTE_ALL,$DF142,$L$11)),INDEX(PASTE_ALL,$DF142,$L$11),TRIM(SUBSTITUTE(SUBSTITUTE(SUBSTITUTE(SUBSTITUTE(INDEX(PASTE_ALL,$DF142,$L$11)," "," "),CHAR(9)," "),CHAR(10)," "),CHAR(13)," "))),"")))</f>
        <v/>
      </c>
      <c r="DT142">
        <f>IF($DM142=0,"",IF($L$12=0,"",IFERROR(IF(ISNUMBER(INDEX(PASTE_ALL,$DF142,$L$12)),INDEX(PASTE_ALL,$DF142,$L$12),TRIM(SUBSTITUTE(SUBSTITUTE(SUBSTITUTE(SUBSTITUTE(INDEX(PASTE_ALL,$DF142,$L$12)," "," "),CHAR(9)," "),CHAR(10)," "),CHAR(13)," "))),"")))</f>
        <v/>
      </c>
      <c r="DU142">
        <f>IF($DM142=0,"",IF($L$13=0,"",IFERROR(IF(ISNUMBER(INDEX(PASTE_ALL,$DF142,$L$13)),INDEX(PASTE_ALL,$DF142,$L$13),TRIM(SUBSTITUTE(SUBSTITUTE(SUBSTITUTE(SUBSTITUTE(INDEX(PASTE_ALL,$DF142,$L$13)," "," "),CHAR(9)," "),CHAR(10)," "),CHAR(13)," "))),"")))</f>
        <v/>
      </c>
      <c r="DV142">
        <f>IF($DM142=0,"",IF($L$14=0,"",IFERROR(IF(ISNUMBER(INDEX(PASTE_ALL,$DF142,$L$14)),INDEX(PASTE_ALL,$DF142,$L$14),TRIM(SUBSTITUTE(SUBSTITUTE(SUBSTITUTE(SUBSTITUTE(INDEX(PASTE_ALL,$DF142,$L$14)," "," "),CHAR(9)," "),CHAR(10)," "),CHAR(13)," "))),"")))</f>
        <v/>
      </c>
      <c r="DW142">
        <f>IF($DM142=0,"",IF($L$15=0,"",IFERROR(IF(ISNUMBER(INDEX(PASTE_ALL,$DF142,$L$15)),INDEX(PASTE_ALL,$DF142,$L$15),IF(SUMPRODUCT(--ISNUMBER(FIND({"A","B","C","D","E","F","G","H","I","J","K","L","M","N","O","P","Q","R","S","T","U","V","W","X","Y","Z","0","1","2","3","4","5","6","7","8","9"},UPPER(TRIM(SUBSTITUTE(SUBSTITUTE(SUBSTITUTE(SUBSTITUTE(INDEX(PASTE_ALL,$DF142,$L$15)," "," "),CHAR(9)," "),CHAR(10)," "),CHAR(13)," "))))))&gt;0,TRIM(SUBSTITUTE(SUBSTITUTE(SUBSTITUTE(SUBSTITUTE(INDEX(PASTE_ALL,$DF142,$L$15)," "," "),CHAR(9)," "),CHAR(10)," "),CHAR(13)," ")),"")),"")))</f>
        <v/>
      </c>
      <c r="DX142">
        <f>IF($DM142=0,"",IF($L$16=0,"",IFERROR(IF(ISNUMBER(INDEX(PASTE_ALL,$DF142,$L$16)),INDEX(PASTE_ALL,$DF142,$L$16),SUBSTITUTE(SUBSTITUTE(TRIM(SUBSTITUTE(SUBSTITUTE(SUBSTITUTE(SUBSTITUTE(INDEX(PASTE_ALL,$DF142,$L$16)," "," "),CHAR(9)," "),CHAR(10)," "),CHAR(13)," ")),",",""),"%","")),"")))</f>
        <v/>
      </c>
      <c r="DY142">
        <f>IF($DM142=0,"",IFERROR(IF(ISNUMBER($DX142),$DX142,IF($DX142="","",IF(TRIM($DX142)="",0,IF(AND(AND(SUBSTITUTE(SUBSTITUTE(SUBSTITUTE(SUBSTITUTE(SUBSTITUTE(SUBSTITUTE(SUBSTITUTE(SUBSTITUTE(SUBSTITUTE(SUBSTITUTE(SUBSTITUTE(SUBSTITUTE(SUBSTITUTE(SUBSTITUTE(UPPER(TRIM($DX142)),"0",""),"1",""),"2",""),"3",""),"4",""),"5",""),"6",""),"7",""),"8",""),"9",""),".",""),"+",""),"-",""),"E","")="",LEN(SUBSTITUTE(SUBSTITUTE(MID(UPPER(TRIM($DX142)),1+OR(LEFT(UPPER(TRIM($DX142)),1)="+",LEFT(UPPER(TRIM($DX142)),1)="-"),999),"E+","E"),"E-","E"))=LEN(SUBSTITUTE(SUBSTITUTE(SUBSTITUTE(SUBSTITUTE(MID(UPPER(TRIM($DX142)),1+OR(LEFT(UPPER(TRIM($DX142)),1)="+",LEFT(UPPER(TRIM($DX142)),1)="-"),999),"E+","E"),"E-","E"),"+",""),"-","")),LEN(UPPER(TRIM($DX142)))-LEN(SUBSTITUTE(UPPER(TRIM($DX142)),"E",""))&lt;2,LEN(UPPER(TRIM($DX142)))-LEN(SUBSTITUTE(UPPER(TRIM($DX142)),".",""))&lt;2,IFERROR(FIND(".",UPPER(TRIM($DX142))),0)&lt;IFERROR(FIND("E",UPPER(TRIM($DX142))),999)),ISNUMBER(VALUE(TRIM($DX142)))),VALUE(TRIM($DX142)),"")))),""))</f>
        <v/>
      </c>
      <c r="DZ142">
        <f>IF($DM142=0,"",IF($L$17=0,"",IFERROR(IF(ISNUMBER(INDEX(PASTE_ALL,$DF142,$L$17)),INDEX(PASTE_ALL,$DF142,$L$17),SUBSTITUTE(SUBSTITUTE(TRIM(SUBSTITUTE(SUBSTITUTE(SUBSTITUTE(SUBSTITUTE(INDEX(PASTE_ALL,$DF142,$L$17)," "," "),CHAR(9)," "),CHAR(10)," "),CHAR(13)," ")),",",""),"%","")),"")))</f>
        <v/>
      </c>
      <c r="EA142">
        <f>IF($DM142=0,"",IFERROR(IF(ISNUMBER($DZ142),$DZ142,IF($DZ142="","",IF(TRIM($DZ142)="",0,IF(AND(AND(SUBSTITUTE(SUBSTITUTE(SUBSTITUTE(SUBSTITUTE(SUBSTITUTE(SUBSTITUTE(SUBSTITUTE(SUBSTITUTE(SUBSTITUTE(SUBSTITUTE(SUBSTITUTE(SUBSTITUTE(SUBSTITUTE(SUBSTITUTE(UPPER(TRIM($DZ142)),"0",""),"1",""),"2",""),"3",""),"4",""),"5",""),"6",""),"7",""),"8",""),"9",""),".",""),"+",""),"-",""),"E","")="",LEN(SUBSTITUTE(SUBSTITUTE(MID(UPPER(TRIM($DZ142)),1+OR(LEFT(UPPER(TRIM($DZ142)),1)="+",LEFT(UPPER(TRIM($DZ142)),1)="-"),999),"E+","E"),"E-","E"))=LEN(SUBSTITUTE(SUBSTITUTE(SUBSTITUTE(SUBSTITUTE(MID(UPPER(TRIM($DZ142)),1+OR(LEFT(UPPER(TRIM($DZ142)),1)="+",LEFT(UPPER(TRIM($DZ142)),1)="-"),999),"E+","E"),"E-","E"),"+",""),"-","")),LEN(UPPER(TRIM($DZ142)))-LEN(SUBSTITUTE(UPPER(TRIM($DZ142)),"E",""))&lt;2,LEN(UPPER(TRIM($DZ142)))-LEN(SUBSTITUTE(UPPER(TRIM($DZ142)),".",""))&lt;2,IFERROR(FIND(".",UPPER(TRIM($DZ142))),0)&lt;IFERROR(FIND("E",UPPER(TRIM($DZ142))),999)),ISNUMBER(VALUE(TRIM($DZ142)))),VALUE(TRIM($DZ142)),"")))),""))</f>
        <v/>
      </c>
      <c r="EB142">
        <f>IF($DM142=0,"",IF($L$18=0,"",IFERROR(IF(UPPER(TRIM(SUBSTITUTE(SUBSTITUTE(SUBSTITUTE(SUBSTITUTE(INDEX(PASTE_ALL,$DF142,$L$18)," "," "),CHAR(9)," "),CHAR(10)," "),CHAR(13)," ")))="READY","Ready",IF(UPPER(TRIM(SUBSTITUTE(SUBSTITUTE(SUBSTITUTE(SUBSTITUTE(INDEX(PASTE_ALL,$DF142,$L$18)," "," "),CHAR(9)," "),CHAR(10)," "),CHAR(13)," ")))="PM","PM",IF(OR(UPPER(TRIM(SUBSTITUTE(SUBSTITUTE(SUBSTITUTE(SUBSTITUTE(INDEX(PASTE_ALL,$DF142,$L$18)," "," "),CHAR(9)," "),CHAR(10)," "),CHAR(13)," ")))="OT",UPPER(TRIM(SUBSTITUTE(SUBSTITUTE(SUBSTITUTE(SUBSTITUTE(INDEX(PASTE_ALL,$DF142,$L$18)," "," "),CHAR(9)," "),CHAR(10)," "),CHAR(13)," ")))="OVERTIME",UPPER(TRIM(SUBSTITUTE(SUBSTITUTE(SUBSTITUTE(SUBSTITUTE(INDEX(PASTE_ALL,$DF142,$L$18)," "," "),CHAR(9)," "),CHAR(10)," "),CHAR(13)," ")))="TRIAL"),"OT",TRIM(SUBSTITUTE(SUBSTITUTE(SUBSTITUTE(SUBSTITUTE(INDEX(PASTE_ALL,$DF142,$L$18)," "," "),CHAR(9)," "),CHAR(10)," "),CHAR(13)," "))))),"")))</f>
        <v/>
      </c>
      <c r="EC142">
        <f>IF($DM142=0,"",IF($L$19=0,"",IFERROR(IF(ISNUMBER(INDEX(PASTE_ALL,$DF142,$L$19)),INDEX(PASTE_ALL,$DF142,$L$19),TRIM(SUBSTITUTE(SUBSTITUTE(SUBSTITUTE(SUBSTITUTE(INDEX(PASTE_ALL,$DF142,$L$19)," "," "),CHAR(9)," "),CHAR(10)," "),CHAR(13)," "))),"")))</f>
        <v/>
      </c>
      <c r="ED142">
        <f>IF($DM142=0,"",MATCH(1,INDEX(EXACT($DH$5:DH142,$DH142)*$DM$5:DM142,0),0))</f>
        <v/>
      </c>
      <c r="EE142">
        <f>IF($DM142=0,0,IF($ED142=$DE142,1,0))</f>
        <v/>
      </c>
      <c r="EF142">
        <f>EF141+$EE142</f>
        <v/>
      </c>
      <c r="EG142">
        <f>IF($DM142=0,"",INDEX($EF$5:$EF$1003,$ED142))</f>
        <v/>
      </c>
      <c r="EH142">
        <f>IF($DM142=0,"",IF($DO142&lt;&gt;"","",IFERROR(LOOKUP(2,1/(($EG$4:EG141=$EG142)*($DO$4:DO141&lt;&gt;"")),$DO$4:DO141),"")))</f>
        <v/>
      </c>
      <c r="EI142">
        <f>IF($DM142=0,"",IF($DO142&lt;&gt;"",$DO142,$EH142))</f>
        <v/>
      </c>
      <c r="EJ142">
        <f>IF($DM142=0,"",IF($EI142="",0,IF(OR(ISNUMBER($EI142),AND(AND(SUBSTITUTE(SUBSTITUTE(SUBSTITUTE(SUBSTITUTE(SUBSTITUTE(SUBSTITUTE(SUBSTITUTE(SUBSTITUTE(SUBSTITUTE(SUBSTITUTE(SUBSTITUTE(SUBSTITUTE(SUBSTITUTE(SUBSTITUTE(UPPER($EI142),"0",""),"1",""),"2",""),"3",""),"4",""),"5",""),"6",""),"7",""),"8",""),"9",""),".",""),"+",""),"-",""),"E","")="",LEN(SUBSTITUTE(SUBSTITUTE(MID(UPPER($EI142),1+OR(LEFT(UPPER($EI142),1)="+",LEFT(UPPER($EI142),1)="-"),999),"E+","E"),"E-","E"))=LEN(SUBSTITUTE(SUBSTITUTE(SUBSTITUTE(SUBSTITUTE(MID(UPPER($EI142),1+OR(LEFT(UPPER($EI142),1)="+",LEFT(UPPER($EI142),1)="-"),999),"E+","E"),"E-","E"),"+",""),"-","")),LEN(UPPER($EI142))-LEN(SUBSTITUTE(UPPER($EI142),"E",""))&lt;2,LEN(UPPER($EI142))-LEN(SUBSTITUTE(UPPER($EI142),".",""))&lt;2,IFERROR(FIND(".",UPPER($EI142)),0)&lt;IFERROR(FIND("E",UPPER($EI142)),999)),ISNUMBER(VALUE($EI142)))),1,2)))</f>
        <v/>
      </c>
      <c r="EK142">
        <f>IF($DM142=0,"",IF($EJ142=1,IF(ISNUMBER($EI142),$EI142,VALUE($EI142)),IF($EJ142=2,$DE142,0)))</f>
        <v/>
      </c>
      <c r="EL142">
        <f>IF($DM142=0,"",COUNTIF($EG$5:$EG$1003,"&lt;"&amp;$EG142)+SUMPRODUCT(($EG$5:$EG$1003=$EG142)*(($EJ$5:$EJ$1003&lt;$EJ142)+($EJ$5:$EJ$1003=$EJ142)*(($EK$5:$EK$1003&lt;$EK142)+($EK$5:$EK$1003=$EK142)*($DE$5:$DE$1003&lt;$DE142))))+1)</f>
        <v/>
      </c>
      <c r="EM142">
        <f>IF($DM142=0,"",$EL142+$EG142-1)</f>
        <v/>
      </c>
      <c r="EN142">
        <f>IF($DM142=0,0,IFERROR(MATCH(1,INDEX(--(TRIM(SUBSTITUTE(SUBSTITUTE(SUBSTITUTE(SUBSTITUTE(LINES_NAME&amp;""," "," "),CHAR(9)," "),CHAR(10)," "),CHAR(13)," "))=$DH142),0),0),0))</f>
        <v/>
      </c>
      <c r="EO142">
        <f>IF($EN142=0,0,IF(OR(UPPER(TRIM(INDEX(LINES_SCHEDULED,$EN142)&amp;""))="YES",UPPER(TRIM(INDEX(LINES_SCHEDULED,$EN142)&amp;""))="Y",UPPER(TRIM(INDEX(LINES_SCHEDULED,$EN142)&amp;""))="X"),1,0))</f>
        <v/>
      </c>
      <c r="EP142">
        <f>IF($DM142=0,"",IF(COUNTIFS($EG$5:$EG$1003,$EG142,$EB$5:$EB$1003,"Ready")&gt;0,"READY",IF(COUNTIFS($EG$5:$EG$1003,$EG142,$EB$5:$EB$1003,"PM")&gt;0,"PM",IF(COUNTIFS($EG$5:$EG$1003,$EG142,$EB$5:$EB$1003,"OT")&gt;0,"OT",""))))</f>
        <v/>
      </c>
      <c r="EQ142">
        <f>IF($EN142=0,"",UPPER(TRIM(INDEX(LINES_STATUS,$EN142)&amp;"")))</f>
        <v/>
      </c>
      <c r="ER142">
        <f>IF($DM142=0,"",IF(OR($EQ142="READY",$EQ142="PM",$EQ142="OT"),$EQ142,$EP142))</f>
        <v/>
      </c>
      <c r="ES142">
        <f>IF($DM142=0,"",IF(AND($DV142&lt;&gt;"",UPPER($DV142)&lt;&gt;"N"),"allergen",IF(ISNUMBER(SEARCH("oil",$DQ142)),"oil",IF(OR(EXACT($DS142,"A662"),EXACT($DS142,"A624")),"bulk",""))))</f>
        <v/>
      </c>
      <c r="ET142">
        <f>IF($DM142=0,"",IF(OR($EA142="",$EA142=0),"",$EA142/100))</f>
        <v/>
      </c>
      <c r="EU142">
        <f>IF(OR($ET142="",$DY142=""),"",INT($DY142*(1-$ET142)+0.5))</f>
        <v/>
      </c>
      <c r="EW142" t="n">
        <v>138</v>
      </c>
      <c r="EX142">
        <f>IFERROR(MATCH($EW142,$EM$5:$EM$1003,0),0)</f>
        <v/>
      </c>
      <c r="EY142">
        <f>IF($EW142&gt;$B$12,"",IF($EX142&gt;0,"row","spacer"))</f>
        <v/>
      </c>
      <c r="EZ142">
        <f>IF(AND($EY142="row",$EY141&lt;&gt;"row"),1,0)</f>
        <v/>
      </c>
      <c r="FA142">
        <f>IF(AND($EY142="row",$EY143&lt;&gt;"row"),1,0)</f>
        <v/>
      </c>
      <c r="FB142">
        <f>IF($EZ142=1,IFERROR(IF(ISNUMBER(INDEX(PASTE_ALL,INDEX($DF$5:$DF$1003,$EX142),$B$37)),INDEX(PASTE_ALL,INDEX($DF$5:$DF$1003,$EX142),$B$37),INDEX($DH$5:$DH$1003,$EX142)),INDEX($DH$5:$DH$1003,$EX142)),"")</f>
        <v/>
      </c>
      <c r="FC142">
        <f>IF($EY142="row",INDEX($ER$5:$ER$1003,$EX142),"")</f>
        <v/>
      </c>
      <c r="FD142">
        <f>IF($EY142="row",INDEX($DN$5:$DN$1003,$EX142),"")</f>
        <v/>
      </c>
      <c r="FE142">
        <f>IF($EY142="row",INDEX($DO$5:$DO$1003,$EX142),"")</f>
        <v/>
      </c>
      <c r="FF142">
        <f>IF($EY142="row",INDEX($DP$5:$DP$1003,$EX142),"")</f>
        <v/>
      </c>
      <c r="FG142">
        <f>IF($EY142="row",INDEX($DQ$5:$DQ$1003,$EX142),"")</f>
        <v/>
      </c>
      <c r="FH142">
        <f>IF($EY142="row",INDEX($DR$5:$DR$1003,$EX142),"")</f>
        <v/>
      </c>
      <c r="FI142">
        <f>IF($EY142="row",INDEX($DS$5:$DS$1003,$EX142),"")</f>
        <v/>
      </c>
      <c r="FJ142">
        <f>IF($EY142="row",INDEX($DT$5:$DT$1003,$EX142),"")</f>
        <v/>
      </c>
      <c r="FK142">
        <f>IF($EY142="row",INDEX($DU$5:$DU$1003,$EX142),"")</f>
        <v/>
      </c>
      <c r="FL142">
        <f>IF($EY142="row",INDEX($DV$5:$DV$1003,$EX142),"")</f>
        <v/>
      </c>
      <c r="FM142">
        <f>IF($EY142="row",INDEX($DW$5:$DW$1003,$EX142),"")</f>
        <v/>
      </c>
      <c r="FN142">
        <f>IF($EY142="row",INDEX($DY$5:$DY$1003,$EX142),"")</f>
        <v/>
      </c>
      <c r="FO142">
        <f>IF($EY142="row",INDEX($EA$5:$EA$1003,$EX142),"")</f>
        <v/>
      </c>
      <c r="FP142">
        <f>IF($EY142="row",INDEX($EC$5:$EC$1003,$EX142),"")</f>
        <v/>
      </c>
      <c r="FQ142">
        <f>IF($EY142="row",INDEX($ET$5:$ET$1003,$EX142),"")</f>
        <v/>
      </c>
      <c r="FR142">
        <f>IF($EY142="row",INDEX($EU$5:$EU$1003,$EX142),"")</f>
        <v/>
      </c>
      <c r="FS142">
        <f>IF(AND($EY142="row",$EY141="row"),IF(OR(INDEX($DT$5:$DT$1003,$EX141)="",INDEX($DT$5:$DT$1003,$EX142)=""),"",IF(NOT(EXACT(INDEX($DT$5:$DT$1003,$EX141),INDEX($DT$5:$DT$1003,$EX142))),"S4",IF(NOT(EXACT(INDEX($DS$5:$DS$1003,$EX141),INDEX($DS$5:$DS$1003,$EX142))),"S3",IF(NOT(EXACT(INDEX($DR$5:$DR$1003,$EX141),INDEX($DR$5:$DR$1003,$EX142))),"S1 Count Change","S1")))),"")</f>
        <v/>
      </c>
      <c r="FT142">
        <f>IF($EY142="row",INDEX($ES$5:$ES$1003,$EX142),"")</f>
        <v/>
      </c>
      <c r="FU142">
        <f>IF($EY142="row",INDEX($EO$5:$EO$1003,$EX142),0)</f>
        <v/>
      </c>
      <c r="FV142">
        <f>IF($FS142="S1 Count Change",1,0)</f>
        <v/>
      </c>
    </row>
    <row r="143">
      <c r="Y143">
        <f>IF(Y8="",0,2*(OR(ISNUMBER(FIND("WORKCENTER",Y8)),AND(LEFT(Y8,4)="LINE",NOT(ISNUMBER(FIND("STATUS",Y8))))))+4*(OR(ISNUMBER(FIND("WORKORDER",Y8)),AND(LEFT(Y8,2)="WO",OR(ISNUMBER(FIND("NUM",Y8)),RIGHT(Y8,2)="NO"))))+8*(LEFT(Y8,3)="SEQ")+16*(AND(LEFT(Y8,4)="ITEM",NOT(ISNUMBER(FIND("DESC",Y8)))))+32*(AND(ISNUMBER(FIND("DESC",Y8)),NOT(ISNUMBER(FIND("CAP",Y8)))))+64*(OR(RIGHT(Y8,5)="COUNT",RIGHT(Y8,2)="CT"))+128*(ISNUMBER(FIND("BULK",Y8)))+256*(ISNUMBER(FIND("SIZE",Y8)))+512*(LEFT(Y8,3)="CAP")+1024*(ISNUMBER(FIND("ALLERG",Y8)))+2048*(OR(ISNUMBER(FIND("REMARK",Y8)),ISNUMBER(FIND("COMMENT",Y8))))+4096*(OR(ISNUMBER(FIND("QTY",Y8)),ISNUMBER(FIND("QUANTITY",Y8))))+8192*(AND(OR(ISNUMBER(FIND("COMPLETE",Y8)),ISNUMBER(FIND("PCT",Y8)),ISNUMBER(FIND("PERCENT",Y8))),NOT(ISNUMBER(FIND("ACTUAL",Y8))),LEN(Y8)&lt;=16))+32768*(OR(ISNUMBER(FIND("DESIC",Y8)),ISNUMBER(FIND("DESSIC",Y8)))))</f>
        <v/>
      </c>
      <c r="Z143">
        <f>IF(Z8="",0,2*(OR(ISNUMBER(FIND("WORKCENTER",Z8)),AND(LEFT(Z8,4)="LINE",NOT(ISNUMBER(FIND("STATUS",Z8))))))+4*(OR(ISNUMBER(FIND("WORKORDER",Z8)),AND(LEFT(Z8,2)="WO",OR(ISNUMBER(FIND("NUM",Z8)),RIGHT(Z8,2)="NO"))))+8*(LEFT(Z8,3)="SEQ")+16*(AND(LEFT(Z8,4)="ITEM",NOT(ISNUMBER(FIND("DESC",Z8)))))+32*(AND(ISNUMBER(FIND("DESC",Z8)),NOT(ISNUMBER(FIND("CAP",Z8)))))+64*(OR(RIGHT(Z8,5)="COUNT",RIGHT(Z8,2)="CT"))+128*(ISNUMBER(FIND("BULK",Z8)))+256*(ISNUMBER(FIND("SIZE",Z8)))+512*(LEFT(Z8,3)="CAP")+1024*(ISNUMBER(FIND("ALLERG",Z8)))+2048*(OR(ISNUMBER(FIND("REMARK",Z8)),ISNUMBER(FIND("COMMENT",Z8))))+4096*(OR(ISNUMBER(FIND("QTY",Z8)),ISNUMBER(FIND("QUANTITY",Z8))))+8192*(AND(OR(ISNUMBER(FIND("COMPLETE",Z8)),ISNUMBER(FIND("PCT",Z8)),ISNUMBER(FIND("PERCENT",Z8))),NOT(ISNUMBER(FIND("ACTUAL",Z8))),LEN(Z8)&lt;=16))+32768*(OR(ISNUMBER(FIND("DESIC",Z8)),ISNUMBER(FIND("DESSIC",Z8)))))</f>
        <v/>
      </c>
      <c r="AA143">
        <f>IF(AA8="",0,2*(OR(ISNUMBER(FIND("WORKCENTER",AA8)),AND(LEFT(AA8,4)="LINE",NOT(ISNUMBER(FIND("STATUS",AA8))))))+4*(OR(ISNUMBER(FIND("WORKORDER",AA8)),AND(LEFT(AA8,2)="WO",OR(ISNUMBER(FIND("NUM",AA8)),RIGHT(AA8,2)="NO"))))+8*(LEFT(AA8,3)="SEQ")+16*(AND(LEFT(AA8,4)="ITEM",NOT(ISNUMBER(FIND("DESC",AA8)))))+32*(AND(ISNUMBER(FIND("DESC",AA8)),NOT(ISNUMBER(FIND("CAP",AA8)))))+64*(OR(RIGHT(AA8,5)="COUNT",RIGHT(AA8,2)="CT"))+128*(ISNUMBER(FIND("BULK",AA8)))+256*(ISNUMBER(FIND("SIZE",AA8)))+512*(LEFT(AA8,3)="CAP")+1024*(ISNUMBER(FIND("ALLERG",AA8)))+2048*(OR(ISNUMBER(FIND("REMARK",AA8)),ISNUMBER(FIND("COMMENT",AA8))))+4096*(OR(ISNUMBER(FIND("QTY",AA8)),ISNUMBER(FIND("QUANTITY",AA8))))+8192*(AND(OR(ISNUMBER(FIND("COMPLETE",AA8)),ISNUMBER(FIND("PCT",AA8)),ISNUMBER(FIND("PERCENT",AA8))),NOT(ISNUMBER(FIND("ACTUAL",AA8))),LEN(AA8)&lt;=16))+32768*(OR(ISNUMBER(FIND("DESIC",AA8)),ISNUMBER(FIND("DESSIC",AA8)))))</f>
        <v/>
      </c>
      <c r="AB143">
        <f>IF(AB8="",0,2*(OR(ISNUMBER(FIND("WORKCENTER",AB8)),AND(LEFT(AB8,4)="LINE",NOT(ISNUMBER(FIND("STATUS",AB8))))))+4*(OR(ISNUMBER(FIND("WORKORDER",AB8)),AND(LEFT(AB8,2)="WO",OR(ISNUMBER(FIND("NUM",AB8)),RIGHT(AB8,2)="NO"))))+8*(LEFT(AB8,3)="SEQ")+16*(AND(LEFT(AB8,4)="ITEM",NOT(ISNUMBER(FIND("DESC",AB8)))))+32*(AND(ISNUMBER(FIND("DESC",AB8)),NOT(ISNUMBER(FIND("CAP",AB8)))))+64*(OR(RIGHT(AB8,5)="COUNT",RIGHT(AB8,2)="CT"))+128*(ISNUMBER(FIND("BULK",AB8)))+256*(ISNUMBER(FIND("SIZE",AB8)))+512*(LEFT(AB8,3)="CAP")+1024*(ISNUMBER(FIND("ALLERG",AB8)))+2048*(OR(ISNUMBER(FIND("REMARK",AB8)),ISNUMBER(FIND("COMMENT",AB8))))+4096*(OR(ISNUMBER(FIND("QTY",AB8)),ISNUMBER(FIND("QUANTITY",AB8))))+8192*(AND(OR(ISNUMBER(FIND("COMPLETE",AB8)),ISNUMBER(FIND("PCT",AB8)),ISNUMBER(FIND("PERCENT",AB8))),NOT(ISNUMBER(FIND("ACTUAL",AB8))),LEN(AB8)&lt;=16))+32768*(OR(ISNUMBER(FIND("DESIC",AB8)),ISNUMBER(FIND("DESSIC",AB8)))))</f>
        <v/>
      </c>
      <c r="AC143">
        <f>IF(AC8="",0,2*(OR(ISNUMBER(FIND("WORKCENTER",AC8)),AND(LEFT(AC8,4)="LINE",NOT(ISNUMBER(FIND("STATUS",AC8))))))+4*(OR(ISNUMBER(FIND("WORKORDER",AC8)),AND(LEFT(AC8,2)="WO",OR(ISNUMBER(FIND("NUM",AC8)),RIGHT(AC8,2)="NO"))))+8*(LEFT(AC8,3)="SEQ")+16*(AND(LEFT(AC8,4)="ITEM",NOT(ISNUMBER(FIND("DESC",AC8)))))+32*(AND(ISNUMBER(FIND("DESC",AC8)),NOT(ISNUMBER(FIND("CAP",AC8)))))+64*(OR(RIGHT(AC8,5)="COUNT",RIGHT(AC8,2)="CT"))+128*(ISNUMBER(FIND("BULK",AC8)))+256*(ISNUMBER(FIND("SIZE",AC8)))+512*(LEFT(AC8,3)="CAP")+1024*(ISNUMBER(FIND("ALLERG",AC8)))+2048*(OR(ISNUMBER(FIND("REMARK",AC8)),ISNUMBER(FIND("COMMENT",AC8))))+4096*(OR(ISNUMBER(FIND("QTY",AC8)),ISNUMBER(FIND("QUANTITY",AC8))))+8192*(AND(OR(ISNUMBER(FIND("COMPLETE",AC8)),ISNUMBER(FIND("PCT",AC8)),ISNUMBER(FIND("PERCENT",AC8))),NOT(ISNUMBER(FIND("ACTUAL",AC8))),LEN(AC8)&lt;=16))+32768*(OR(ISNUMBER(FIND("DESIC",AC8)),ISNUMBER(FIND("DESSIC",AC8)))))</f>
        <v/>
      </c>
      <c r="AD143">
        <f>IF(AD8="",0,2*(OR(ISNUMBER(FIND("WORKCENTER",AD8)),AND(LEFT(AD8,4)="LINE",NOT(ISNUMBER(FIND("STATUS",AD8))))))+4*(OR(ISNUMBER(FIND("WORKORDER",AD8)),AND(LEFT(AD8,2)="WO",OR(ISNUMBER(FIND("NUM",AD8)),RIGHT(AD8,2)="NO"))))+8*(LEFT(AD8,3)="SEQ")+16*(AND(LEFT(AD8,4)="ITEM",NOT(ISNUMBER(FIND("DESC",AD8)))))+32*(AND(ISNUMBER(FIND("DESC",AD8)),NOT(ISNUMBER(FIND("CAP",AD8)))))+64*(OR(RIGHT(AD8,5)="COUNT",RIGHT(AD8,2)="CT"))+128*(ISNUMBER(FIND("BULK",AD8)))+256*(ISNUMBER(FIND("SIZE",AD8)))+512*(LEFT(AD8,3)="CAP")+1024*(ISNUMBER(FIND("ALLERG",AD8)))+2048*(OR(ISNUMBER(FIND("REMARK",AD8)),ISNUMBER(FIND("COMMENT",AD8))))+4096*(OR(ISNUMBER(FIND("QTY",AD8)),ISNUMBER(FIND("QUANTITY",AD8))))+8192*(AND(OR(ISNUMBER(FIND("COMPLETE",AD8)),ISNUMBER(FIND("PCT",AD8)),ISNUMBER(FIND("PERCENT",AD8))),NOT(ISNUMBER(FIND("ACTUAL",AD8))),LEN(AD8)&lt;=16))+32768*(OR(ISNUMBER(FIND("DESIC",AD8)),ISNUMBER(FIND("DESSIC",AD8)))))</f>
        <v/>
      </c>
      <c r="AE143">
        <f>IF(AE8="",0,2*(OR(ISNUMBER(FIND("WORKCENTER",AE8)),AND(LEFT(AE8,4)="LINE",NOT(ISNUMBER(FIND("STATUS",AE8))))))+4*(OR(ISNUMBER(FIND("WORKORDER",AE8)),AND(LEFT(AE8,2)="WO",OR(ISNUMBER(FIND("NUM",AE8)),RIGHT(AE8,2)="NO"))))+8*(LEFT(AE8,3)="SEQ")+16*(AND(LEFT(AE8,4)="ITEM",NOT(ISNUMBER(FIND("DESC",AE8)))))+32*(AND(ISNUMBER(FIND("DESC",AE8)),NOT(ISNUMBER(FIND("CAP",AE8)))))+64*(OR(RIGHT(AE8,5)="COUNT",RIGHT(AE8,2)="CT"))+128*(ISNUMBER(FIND("BULK",AE8)))+256*(ISNUMBER(FIND("SIZE",AE8)))+512*(LEFT(AE8,3)="CAP")+1024*(ISNUMBER(FIND("ALLERG",AE8)))+2048*(OR(ISNUMBER(FIND("REMARK",AE8)),ISNUMBER(FIND("COMMENT",AE8))))+4096*(OR(ISNUMBER(FIND("QTY",AE8)),ISNUMBER(FIND("QUANTITY",AE8))))+8192*(AND(OR(ISNUMBER(FIND("COMPLETE",AE8)),ISNUMBER(FIND("PCT",AE8)),ISNUMBER(FIND("PERCENT",AE8))),NOT(ISNUMBER(FIND("ACTUAL",AE8))),LEN(AE8)&lt;=16))+32768*(OR(ISNUMBER(FIND("DESIC",AE8)),ISNUMBER(FIND("DESSIC",AE8)))))</f>
        <v/>
      </c>
      <c r="AF143">
        <f>IF(AF8="",0,2*(OR(ISNUMBER(FIND("WORKCENTER",AF8)),AND(LEFT(AF8,4)="LINE",NOT(ISNUMBER(FIND("STATUS",AF8))))))+4*(OR(ISNUMBER(FIND("WORKORDER",AF8)),AND(LEFT(AF8,2)="WO",OR(ISNUMBER(FIND("NUM",AF8)),RIGHT(AF8,2)="NO"))))+8*(LEFT(AF8,3)="SEQ")+16*(AND(LEFT(AF8,4)="ITEM",NOT(ISNUMBER(FIND("DESC",AF8)))))+32*(AND(ISNUMBER(FIND("DESC",AF8)),NOT(ISNUMBER(FIND("CAP",AF8)))))+64*(OR(RIGHT(AF8,5)="COUNT",RIGHT(AF8,2)="CT"))+128*(ISNUMBER(FIND("BULK",AF8)))+256*(ISNUMBER(FIND("SIZE",AF8)))+512*(LEFT(AF8,3)="CAP")+1024*(ISNUMBER(FIND("ALLERG",AF8)))+2048*(OR(ISNUMBER(FIND("REMARK",AF8)),ISNUMBER(FIND("COMMENT",AF8))))+4096*(OR(ISNUMBER(FIND("QTY",AF8)),ISNUMBER(FIND("QUANTITY",AF8))))+8192*(AND(OR(ISNUMBER(FIND("COMPLETE",AF8)),ISNUMBER(FIND("PCT",AF8)),ISNUMBER(FIND("PERCENT",AF8))),NOT(ISNUMBER(FIND("ACTUAL",AF8))),LEN(AF8)&lt;=16))+32768*(OR(ISNUMBER(FIND("DESIC",AF8)),ISNUMBER(FIND("DESSIC",AF8)))))</f>
        <v/>
      </c>
      <c r="AG143">
        <f>IF(AG8="",0,2*(OR(ISNUMBER(FIND("WORKCENTER",AG8)),AND(LEFT(AG8,4)="LINE",NOT(ISNUMBER(FIND("STATUS",AG8))))))+4*(OR(ISNUMBER(FIND("WORKORDER",AG8)),AND(LEFT(AG8,2)="WO",OR(ISNUMBER(FIND("NUM",AG8)),RIGHT(AG8,2)="NO"))))+8*(LEFT(AG8,3)="SEQ")+16*(AND(LEFT(AG8,4)="ITEM",NOT(ISNUMBER(FIND("DESC",AG8)))))+32*(AND(ISNUMBER(FIND("DESC",AG8)),NOT(ISNUMBER(FIND("CAP",AG8)))))+64*(OR(RIGHT(AG8,5)="COUNT",RIGHT(AG8,2)="CT"))+128*(ISNUMBER(FIND("BULK",AG8)))+256*(ISNUMBER(FIND("SIZE",AG8)))+512*(LEFT(AG8,3)="CAP")+1024*(ISNUMBER(FIND("ALLERG",AG8)))+2048*(OR(ISNUMBER(FIND("REMARK",AG8)),ISNUMBER(FIND("COMMENT",AG8))))+4096*(OR(ISNUMBER(FIND("QTY",AG8)),ISNUMBER(FIND("QUANTITY",AG8))))+8192*(AND(OR(ISNUMBER(FIND("COMPLETE",AG8)),ISNUMBER(FIND("PCT",AG8)),ISNUMBER(FIND("PERCENT",AG8))),NOT(ISNUMBER(FIND("ACTUAL",AG8))),LEN(AG8)&lt;=16))+32768*(OR(ISNUMBER(FIND("DESIC",AG8)),ISNUMBER(FIND("DESSIC",AG8)))))</f>
        <v/>
      </c>
      <c r="AH143">
        <f>IF(AH8="",0,2*(OR(ISNUMBER(FIND("WORKCENTER",AH8)),AND(LEFT(AH8,4)="LINE",NOT(ISNUMBER(FIND("STATUS",AH8))))))+4*(OR(ISNUMBER(FIND("WORKORDER",AH8)),AND(LEFT(AH8,2)="WO",OR(ISNUMBER(FIND("NUM",AH8)),RIGHT(AH8,2)="NO"))))+8*(LEFT(AH8,3)="SEQ")+16*(AND(LEFT(AH8,4)="ITEM",NOT(ISNUMBER(FIND("DESC",AH8)))))+32*(AND(ISNUMBER(FIND("DESC",AH8)),NOT(ISNUMBER(FIND("CAP",AH8)))))+64*(OR(RIGHT(AH8,5)="COUNT",RIGHT(AH8,2)="CT"))+128*(ISNUMBER(FIND("BULK",AH8)))+256*(ISNUMBER(FIND("SIZE",AH8)))+512*(LEFT(AH8,3)="CAP")+1024*(ISNUMBER(FIND("ALLERG",AH8)))+2048*(OR(ISNUMBER(FIND("REMARK",AH8)),ISNUMBER(FIND("COMMENT",AH8))))+4096*(OR(ISNUMBER(FIND("QTY",AH8)),ISNUMBER(FIND("QUANTITY",AH8))))+8192*(AND(OR(ISNUMBER(FIND("COMPLETE",AH8)),ISNUMBER(FIND("PCT",AH8)),ISNUMBER(FIND("PERCENT",AH8))),NOT(ISNUMBER(FIND("ACTUAL",AH8))),LEN(AH8)&lt;=16))+32768*(OR(ISNUMBER(FIND("DESIC",AH8)),ISNUMBER(FIND("DESSIC",AH8)))))</f>
        <v/>
      </c>
      <c r="AI143">
        <f>IF(AI8="",0,2*(OR(ISNUMBER(FIND("WORKCENTER",AI8)),AND(LEFT(AI8,4)="LINE",NOT(ISNUMBER(FIND("STATUS",AI8))))))+4*(OR(ISNUMBER(FIND("WORKORDER",AI8)),AND(LEFT(AI8,2)="WO",OR(ISNUMBER(FIND("NUM",AI8)),RIGHT(AI8,2)="NO"))))+8*(LEFT(AI8,3)="SEQ")+16*(AND(LEFT(AI8,4)="ITEM",NOT(ISNUMBER(FIND("DESC",AI8)))))+32*(AND(ISNUMBER(FIND("DESC",AI8)),NOT(ISNUMBER(FIND("CAP",AI8)))))+64*(OR(RIGHT(AI8,5)="COUNT",RIGHT(AI8,2)="CT"))+128*(ISNUMBER(FIND("BULK",AI8)))+256*(ISNUMBER(FIND("SIZE",AI8)))+512*(LEFT(AI8,3)="CAP")+1024*(ISNUMBER(FIND("ALLERG",AI8)))+2048*(OR(ISNUMBER(FIND("REMARK",AI8)),ISNUMBER(FIND("COMMENT",AI8))))+4096*(OR(ISNUMBER(FIND("QTY",AI8)),ISNUMBER(FIND("QUANTITY",AI8))))+8192*(AND(OR(ISNUMBER(FIND("COMPLETE",AI8)),ISNUMBER(FIND("PCT",AI8)),ISNUMBER(FIND("PERCENT",AI8))),NOT(ISNUMBER(FIND("ACTUAL",AI8))),LEN(AI8)&lt;=16))+32768*(OR(ISNUMBER(FIND("DESIC",AI8)),ISNUMBER(FIND("DESSIC",AI8)))))</f>
        <v/>
      </c>
      <c r="AJ143">
        <f>IF(AJ8="",0,2*(OR(ISNUMBER(FIND("WORKCENTER",AJ8)),AND(LEFT(AJ8,4)="LINE",NOT(ISNUMBER(FIND("STATUS",AJ8))))))+4*(OR(ISNUMBER(FIND("WORKORDER",AJ8)),AND(LEFT(AJ8,2)="WO",OR(ISNUMBER(FIND("NUM",AJ8)),RIGHT(AJ8,2)="NO"))))+8*(LEFT(AJ8,3)="SEQ")+16*(AND(LEFT(AJ8,4)="ITEM",NOT(ISNUMBER(FIND("DESC",AJ8)))))+32*(AND(ISNUMBER(FIND("DESC",AJ8)),NOT(ISNUMBER(FIND("CAP",AJ8)))))+64*(OR(RIGHT(AJ8,5)="COUNT",RIGHT(AJ8,2)="CT"))+128*(ISNUMBER(FIND("BULK",AJ8)))+256*(ISNUMBER(FIND("SIZE",AJ8)))+512*(LEFT(AJ8,3)="CAP")+1024*(ISNUMBER(FIND("ALLERG",AJ8)))+2048*(OR(ISNUMBER(FIND("REMARK",AJ8)),ISNUMBER(FIND("COMMENT",AJ8))))+4096*(OR(ISNUMBER(FIND("QTY",AJ8)),ISNUMBER(FIND("QUANTITY",AJ8))))+8192*(AND(OR(ISNUMBER(FIND("COMPLETE",AJ8)),ISNUMBER(FIND("PCT",AJ8)),ISNUMBER(FIND("PERCENT",AJ8))),NOT(ISNUMBER(FIND("ACTUAL",AJ8))),LEN(AJ8)&lt;=16))+32768*(OR(ISNUMBER(FIND("DESIC",AJ8)),ISNUMBER(FIND("DESSIC",AJ8)))))</f>
        <v/>
      </c>
      <c r="AK143">
        <f>IF(AK8="",0,2*(OR(ISNUMBER(FIND("WORKCENTER",AK8)),AND(LEFT(AK8,4)="LINE",NOT(ISNUMBER(FIND("STATUS",AK8))))))+4*(OR(ISNUMBER(FIND("WORKORDER",AK8)),AND(LEFT(AK8,2)="WO",OR(ISNUMBER(FIND("NUM",AK8)),RIGHT(AK8,2)="NO"))))+8*(LEFT(AK8,3)="SEQ")+16*(AND(LEFT(AK8,4)="ITEM",NOT(ISNUMBER(FIND("DESC",AK8)))))+32*(AND(ISNUMBER(FIND("DESC",AK8)),NOT(ISNUMBER(FIND("CAP",AK8)))))+64*(OR(RIGHT(AK8,5)="COUNT",RIGHT(AK8,2)="CT"))+128*(ISNUMBER(FIND("BULK",AK8)))+256*(ISNUMBER(FIND("SIZE",AK8)))+512*(LEFT(AK8,3)="CAP")+1024*(ISNUMBER(FIND("ALLERG",AK8)))+2048*(OR(ISNUMBER(FIND("REMARK",AK8)),ISNUMBER(FIND("COMMENT",AK8))))+4096*(OR(ISNUMBER(FIND("QTY",AK8)),ISNUMBER(FIND("QUANTITY",AK8))))+8192*(AND(OR(ISNUMBER(FIND("COMPLETE",AK8)),ISNUMBER(FIND("PCT",AK8)),ISNUMBER(FIND("PERCENT",AK8))),NOT(ISNUMBER(FIND("ACTUAL",AK8))),LEN(AK8)&lt;=16))+32768*(OR(ISNUMBER(FIND("DESIC",AK8)),ISNUMBER(FIND("DESSIC",AK8)))))</f>
        <v/>
      </c>
      <c r="AL143">
        <f>IF(AL8="",0,2*(OR(ISNUMBER(FIND("WORKCENTER",AL8)),AND(LEFT(AL8,4)="LINE",NOT(ISNUMBER(FIND("STATUS",AL8))))))+4*(OR(ISNUMBER(FIND("WORKORDER",AL8)),AND(LEFT(AL8,2)="WO",OR(ISNUMBER(FIND("NUM",AL8)),RIGHT(AL8,2)="NO"))))+8*(LEFT(AL8,3)="SEQ")+16*(AND(LEFT(AL8,4)="ITEM",NOT(ISNUMBER(FIND("DESC",AL8)))))+32*(AND(ISNUMBER(FIND("DESC",AL8)),NOT(ISNUMBER(FIND("CAP",AL8)))))+64*(OR(RIGHT(AL8,5)="COUNT",RIGHT(AL8,2)="CT"))+128*(ISNUMBER(FIND("BULK",AL8)))+256*(ISNUMBER(FIND("SIZE",AL8)))+512*(LEFT(AL8,3)="CAP")+1024*(ISNUMBER(FIND("ALLERG",AL8)))+2048*(OR(ISNUMBER(FIND("REMARK",AL8)),ISNUMBER(FIND("COMMENT",AL8))))+4096*(OR(ISNUMBER(FIND("QTY",AL8)),ISNUMBER(FIND("QUANTITY",AL8))))+8192*(AND(OR(ISNUMBER(FIND("COMPLETE",AL8)),ISNUMBER(FIND("PCT",AL8)),ISNUMBER(FIND("PERCENT",AL8))),NOT(ISNUMBER(FIND("ACTUAL",AL8))),LEN(AL8)&lt;=16))+32768*(OR(ISNUMBER(FIND("DESIC",AL8)),ISNUMBER(FIND("DESSIC",AL8)))))</f>
        <v/>
      </c>
      <c r="AM143">
        <f>IF(AM8="",0,2*(OR(ISNUMBER(FIND("WORKCENTER",AM8)),AND(LEFT(AM8,4)="LINE",NOT(ISNUMBER(FIND("STATUS",AM8))))))+4*(OR(ISNUMBER(FIND("WORKORDER",AM8)),AND(LEFT(AM8,2)="WO",OR(ISNUMBER(FIND("NUM",AM8)),RIGHT(AM8,2)="NO"))))+8*(LEFT(AM8,3)="SEQ")+16*(AND(LEFT(AM8,4)="ITEM",NOT(ISNUMBER(FIND("DESC",AM8)))))+32*(AND(ISNUMBER(FIND("DESC",AM8)),NOT(ISNUMBER(FIND("CAP",AM8)))))+64*(OR(RIGHT(AM8,5)="COUNT",RIGHT(AM8,2)="CT"))+128*(ISNUMBER(FIND("BULK",AM8)))+256*(ISNUMBER(FIND("SIZE",AM8)))+512*(LEFT(AM8,3)="CAP")+1024*(ISNUMBER(FIND("ALLERG",AM8)))+2048*(OR(ISNUMBER(FIND("REMARK",AM8)),ISNUMBER(FIND("COMMENT",AM8))))+4096*(OR(ISNUMBER(FIND("QTY",AM8)),ISNUMBER(FIND("QUANTITY",AM8))))+8192*(AND(OR(ISNUMBER(FIND("COMPLETE",AM8)),ISNUMBER(FIND("PCT",AM8)),ISNUMBER(FIND("PERCENT",AM8))),NOT(ISNUMBER(FIND("ACTUAL",AM8))),LEN(AM8)&lt;=16))+32768*(OR(ISNUMBER(FIND("DESIC",AM8)),ISNUMBER(FIND("DESSIC",AM8)))))</f>
        <v/>
      </c>
      <c r="AN143">
        <f>IF(AN8="",0,2*(OR(ISNUMBER(FIND("WORKCENTER",AN8)),AND(LEFT(AN8,4)="LINE",NOT(ISNUMBER(FIND("STATUS",AN8))))))+4*(OR(ISNUMBER(FIND("WORKORDER",AN8)),AND(LEFT(AN8,2)="WO",OR(ISNUMBER(FIND("NUM",AN8)),RIGHT(AN8,2)="NO"))))+8*(LEFT(AN8,3)="SEQ")+16*(AND(LEFT(AN8,4)="ITEM",NOT(ISNUMBER(FIND("DESC",AN8)))))+32*(AND(ISNUMBER(FIND("DESC",AN8)),NOT(ISNUMBER(FIND("CAP",AN8)))))+64*(OR(RIGHT(AN8,5)="COUNT",RIGHT(AN8,2)="CT"))+128*(ISNUMBER(FIND("BULK",AN8)))+256*(ISNUMBER(FIND("SIZE",AN8)))+512*(LEFT(AN8,3)="CAP")+1024*(ISNUMBER(FIND("ALLERG",AN8)))+2048*(OR(ISNUMBER(FIND("REMARK",AN8)),ISNUMBER(FIND("COMMENT",AN8))))+4096*(OR(ISNUMBER(FIND("QTY",AN8)),ISNUMBER(FIND("QUANTITY",AN8))))+8192*(AND(OR(ISNUMBER(FIND("COMPLETE",AN8)),ISNUMBER(FIND("PCT",AN8)),ISNUMBER(FIND("PERCENT",AN8))),NOT(ISNUMBER(FIND("ACTUAL",AN8))),LEN(AN8)&lt;=16))+32768*(OR(ISNUMBER(FIND("DESIC",AN8)),ISNUMBER(FIND("DESSIC",AN8)))))</f>
        <v/>
      </c>
      <c r="AO143">
        <f>IF(AO8="",0,2*(OR(ISNUMBER(FIND("WORKCENTER",AO8)),AND(LEFT(AO8,4)="LINE",NOT(ISNUMBER(FIND("STATUS",AO8))))))+4*(OR(ISNUMBER(FIND("WORKORDER",AO8)),AND(LEFT(AO8,2)="WO",OR(ISNUMBER(FIND("NUM",AO8)),RIGHT(AO8,2)="NO"))))+8*(LEFT(AO8,3)="SEQ")+16*(AND(LEFT(AO8,4)="ITEM",NOT(ISNUMBER(FIND("DESC",AO8)))))+32*(AND(ISNUMBER(FIND("DESC",AO8)),NOT(ISNUMBER(FIND("CAP",AO8)))))+64*(OR(RIGHT(AO8,5)="COUNT",RIGHT(AO8,2)="CT"))+128*(ISNUMBER(FIND("BULK",AO8)))+256*(ISNUMBER(FIND("SIZE",AO8)))+512*(LEFT(AO8,3)="CAP")+1024*(ISNUMBER(FIND("ALLERG",AO8)))+2048*(OR(ISNUMBER(FIND("REMARK",AO8)),ISNUMBER(FIND("COMMENT",AO8))))+4096*(OR(ISNUMBER(FIND("QTY",AO8)),ISNUMBER(FIND("QUANTITY",AO8))))+8192*(AND(OR(ISNUMBER(FIND("COMPLETE",AO8)),ISNUMBER(FIND("PCT",AO8)),ISNUMBER(FIND("PERCENT",AO8))),NOT(ISNUMBER(FIND("ACTUAL",AO8))),LEN(AO8)&lt;=16))+32768*(OR(ISNUMBER(FIND("DESIC",AO8)),ISNUMBER(FIND("DESSIC",AO8)))))</f>
        <v/>
      </c>
      <c r="AP143">
        <f>IF(AP8="",0,2*(OR(ISNUMBER(FIND("WORKCENTER",AP8)),AND(LEFT(AP8,4)="LINE",NOT(ISNUMBER(FIND("STATUS",AP8))))))+4*(OR(ISNUMBER(FIND("WORKORDER",AP8)),AND(LEFT(AP8,2)="WO",OR(ISNUMBER(FIND("NUM",AP8)),RIGHT(AP8,2)="NO"))))+8*(LEFT(AP8,3)="SEQ")+16*(AND(LEFT(AP8,4)="ITEM",NOT(ISNUMBER(FIND("DESC",AP8)))))+32*(AND(ISNUMBER(FIND("DESC",AP8)),NOT(ISNUMBER(FIND("CAP",AP8)))))+64*(OR(RIGHT(AP8,5)="COUNT",RIGHT(AP8,2)="CT"))+128*(ISNUMBER(FIND("BULK",AP8)))+256*(ISNUMBER(FIND("SIZE",AP8)))+512*(LEFT(AP8,3)="CAP")+1024*(ISNUMBER(FIND("ALLERG",AP8)))+2048*(OR(ISNUMBER(FIND("REMARK",AP8)),ISNUMBER(FIND("COMMENT",AP8))))+4096*(OR(ISNUMBER(FIND("QTY",AP8)),ISNUMBER(FIND("QUANTITY",AP8))))+8192*(AND(OR(ISNUMBER(FIND("COMPLETE",AP8)),ISNUMBER(FIND("PCT",AP8)),ISNUMBER(FIND("PERCENT",AP8))),NOT(ISNUMBER(FIND("ACTUAL",AP8))),LEN(AP8)&lt;=16))+32768*(OR(ISNUMBER(FIND("DESIC",AP8)),ISNUMBER(FIND("DESSIC",AP8)))))</f>
        <v/>
      </c>
      <c r="AQ143">
        <f>IF(AQ8="",0,2*(OR(ISNUMBER(FIND("WORKCENTER",AQ8)),AND(LEFT(AQ8,4)="LINE",NOT(ISNUMBER(FIND("STATUS",AQ8))))))+4*(OR(ISNUMBER(FIND("WORKORDER",AQ8)),AND(LEFT(AQ8,2)="WO",OR(ISNUMBER(FIND("NUM",AQ8)),RIGHT(AQ8,2)="NO"))))+8*(LEFT(AQ8,3)="SEQ")+16*(AND(LEFT(AQ8,4)="ITEM",NOT(ISNUMBER(FIND("DESC",AQ8)))))+32*(AND(ISNUMBER(FIND("DESC",AQ8)),NOT(ISNUMBER(FIND("CAP",AQ8)))))+64*(OR(RIGHT(AQ8,5)="COUNT",RIGHT(AQ8,2)="CT"))+128*(ISNUMBER(FIND("BULK",AQ8)))+256*(ISNUMBER(FIND("SIZE",AQ8)))+512*(LEFT(AQ8,3)="CAP")+1024*(ISNUMBER(FIND("ALLERG",AQ8)))+2048*(OR(ISNUMBER(FIND("REMARK",AQ8)),ISNUMBER(FIND("COMMENT",AQ8))))+4096*(OR(ISNUMBER(FIND("QTY",AQ8)),ISNUMBER(FIND("QUANTITY",AQ8))))+8192*(AND(OR(ISNUMBER(FIND("COMPLETE",AQ8)),ISNUMBER(FIND("PCT",AQ8)),ISNUMBER(FIND("PERCENT",AQ8))),NOT(ISNUMBER(FIND("ACTUAL",AQ8))),LEN(AQ8)&lt;=16))+32768*(OR(ISNUMBER(FIND("DESIC",AQ8)),ISNUMBER(FIND("DESSIC",AQ8)))))</f>
        <v/>
      </c>
      <c r="AR143">
        <f>IF(AR8="",0,2*(OR(ISNUMBER(FIND("WORKCENTER",AR8)),AND(LEFT(AR8,4)="LINE",NOT(ISNUMBER(FIND("STATUS",AR8))))))+4*(OR(ISNUMBER(FIND("WORKORDER",AR8)),AND(LEFT(AR8,2)="WO",OR(ISNUMBER(FIND("NUM",AR8)),RIGHT(AR8,2)="NO"))))+8*(LEFT(AR8,3)="SEQ")+16*(AND(LEFT(AR8,4)="ITEM",NOT(ISNUMBER(FIND("DESC",AR8)))))+32*(AND(ISNUMBER(FIND("DESC",AR8)),NOT(ISNUMBER(FIND("CAP",AR8)))))+64*(OR(RIGHT(AR8,5)="COUNT",RIGHT(AR8,2)="CT"))+128*(ISNUMBER(FIND("BULK",AR8)))+256*(ISNUMBER(FIND("SIZE",AR8)))+512*(LEFT(AR8,3)="CAP")+1024*(ISNUMBER(FIND("ALLERG",AR8)))+2048*(OR(ISNUMBER(FIND("REMARK",AR8)),ISNUMBER(FIND("COMMENT",AR8))))+4096*(OR(ISNUMBER(FIND("QTY",AR8)),ISNUMBER(FIND("QUANTITY",AR8))))+8192*(AND(OR(ISNUMBER(FIND("COMPLETE",AR8)),ISNUMBER(FIND("PCT",AR8)),ISNUMBER(FIND("PERCENT",AR8))),NOT(ISNUMBER(FIND("ACTUAL",AR8))),LEN(AR8)&lt;=16))+32768*(OR(ISNUMBER(FIND("DESIC",AR8)),ISNUMBER(FIND("DESSIC",AR8)))))</f>
        <v/>
      </c>
      <c r="AS143">
        <f>IF(AS8="",0,2*(OR(ISNUMBER(FIND("WORKCENTER",AS8)),AND(LEFT(AS8,4)="LINE",NOT(ISNUMBER(FIND("STATUS",AS8))))))+4*(OR(ISNUMBER(FIND("WORKORDER",AS8)),AND(LEFT(AS8,2)="WO",OR(ISNUMBER(FIND("NUM",AS8)),RIGHT(AS8,2)="NO"))))+8*(LEFT(AS8,3)="SEQ")+16*(AND(LEFT(AS8,4)="ITEM",NOT(ISNUMBER(FIND("DESC",AS8)))))+32*(AND(ISNUMBER(FIND("DESC",AS8)),NOT(ISNUMBER(FIND("CAP",AS8)))))+64*(OR(RIGHT(AS8,5)="COUNT",RIGHT(AS8,2)="CT"))+128*(ISNUMBER(FIND("BULK",AS8)))+256*(ISNUMBER(FIND("SIZE",AS8)))+512*(LEFT(AS8,3)="CAP")+1024*(ISNUMBER(FIND("ALLERG",AS8)))+2048*(OR(ISNUMBER(FIND("REMARK",AS8)),ISNUMBER(FIND("COMMENT",AS8))))+4096*(OR(ISNUMBER(FIND("QTY",AS8)),ISNUMBER(FIND("QUANTITY",AS8))))+8192*(AND(OR(ISNUMBER(FIND("COMPLETE",AS8)),ISNUMBER(FIND("PCT",AS8)),ISNUMBER(FIND("PERCENT",AS8))),NOT(ISNUMBER(FIND("ACTUAL",AS8))),LEN(AS8)&lt;=16))+32768*(OR(ISNUMBER(FIND("DESIC",AS8)),ISNUMBER(FIND("DESSIC",AS8)))))</f>
        <v/>
      </c>
      <c r="AT143">
        <f>IF(AT8="",0,2*(OR(ISNUMBER(FIND("WORKCENTER",AT8)),AND(LEFT(AT8,4)="LINE",NOT(ISNUMBER(FIND("STATUS",AT8))))))+4*(OR(ISNUMBER(FIND("WORKORDER",AT8)),AND(LEFT(AT8,2)="WO",OR(ISNUMBER(FIND("NUM",AT8)),RIGHT(AT8,2)="NO"))))+8*(LEFT(AT8,3)="SEQ")+16*(AND(LEFT(AT8,4)="ITEM",NOT(ISNUMBER(FIND("DESC",AT8)))))+32*(AND(ISNUMBER(FIND("DESC",AT8)),NOT(ISNUMBER(FIND("CAP",AT8)))))+64*(OR(RIGHT(AT8,5)="COUNT",RIGHT(AT8,2)="CT"))+128*(ISNUMBER(FIND("BULK",AT8)))+256*(ISNUMBER(FIND("SIZE",AT8)))+512*(LEFT(AT8,3)="CAP")+1024*(ISNUMBER(FIND("ALLERG",AT8)))+2048*(OR(ISNUMBER(FIND("REMARK",AT8)),ISNUMBER(FIND("COMMENT",AT8))))+4096*(OR(ISNUMBER(FIND("QTY",AT8)),ISNUMBER(FIND("QUANTITY",AT8))))+8192*(AND(OR(ISNUMBER(FIND("COMPLETE",AT8)),ISNUMBER(FIND("PCT",AT8)),ISNUMBER(FIND("PERCENT",AT8))),NOT(ISNUMBER(FIND("ACTUAL",AT8))),LEN(AT8)&lt;=16))+32768*(OR(ISNUMBER(FIND("DESIC",AT8)),ISNUMBER(FIND("DESSIC",AT8)))))</f>
        <v/>
      </c>
      <c r="AU143">
        <f>IF(AU8="",0,2*(OR(ISNUMBER(FIND("WORKCENTER",AU8)),AND(LEFT(AU8,4)="LINE",NOT(ISNUMBER(FIND("STATUS",AU8))))))+4*(OR(ISNUMBER(FIND("WORKORDER",AU8)),AND(LEFT(AU8,2)="WO",OR(ISNUMBER(FIND("NUM",AU8)),RIGHT(AU8,2)="NO"))))+8*(LEFT(AU8,3)="SEQ")+16*(AND(LEFT(AU8,4)="ITEM",NOT(ISNUMBER(FIND("DESC",AU8)))))+32*(AND(ISNUMBER(FIND("DESC",AU8)),NOT(ISNUMBER(FIND("CAP",AU8)))))+64*(OR(RIGHT(AU8,5)="COUNT",RIGHT(AU8,2)="CT"))+128*(ISNUMBER(FIND("BULK",AU8)))+256*(ISNUMBER(FIND("SIZE",AU8)))+512*(LEFT(AU8,3)="CAP")+1024*(ISNUMBER(FIND("ALLERG",AU8)))+2048*(OR(ISNUMBER(FIND("REMARK",AU8)),ISNUMBER(FIND("COMMENT",AU8))))+4096*(OR(ISNUMBER(FIND("QTY",AU8)),ISNUMBER(FIND("QUANTITY",AU8))))+8192*(AND(OR(ISNUMBER(FIND("COMPLETE",AU8)),ISNUMBER(FIND("PCT",AU8)),ISNUMBER(FIND("PERCENT",AU8))),NOT(ISNUMBER(FIND("ACTUAL",AU8))),LEN(AU8)&lt;=16))+32768*(OR(ISNUMBER(FIND("DESIC",AU8)),ISNUMBER(FIND("DESSIC",AU8)))))</f>
        <v/>
      </c>
      <c r="AV143">
        <f>IF(AV8="",0,2*(OR(ISNUMBER(FIND("WORKCENTER",AV8)),AND(LEFT(AV8,4)="LINE",NOT(ISNUMBER(FIND("STATUS",AV8))))))+4*(OR(ISNUMBER(FIND("WORKORDER",AV8)),AND(LEFT(AV8,2)="WO",OR(ISNUMBER(FIND("NUM",AV8)),RIGHT(AV8,2)="NO"))))+8*(LEFT(AV8,3)="SEQ")+16*(AND(LEFT(AV8,4)="ITEM",NOT(ISNUMBER(FIND("DESC",AV8)))))+32*(AND(ISNUMBER(FIND("DESC",AV8)),NOT(ISNUMBER(FIND("CAP",AV8)))))+64*(OR(RIGHT(AV8,5)="COUNT",RIGHT(AV8,2)="CT"))+128*(ISNUMBER(FIND("BULK",AV8)))+256*(ISNUMBER(FIND("SIZE",AV8)))+512*(LEFT(AV8,3)="CAP")+1024*(ISNUMBER(FIND("ALLERG",AV8)))+2048*(OR(ISNUMBER(FIND("REMARK",AV8)),ISNUMBER(FIND("COMMENT",AV8))))+4096*(OR(ISNUMBER(FIND("QTY",AV8)),ISNUMBER(FIND("QUANTITY",AV8))))+8192*(AND(OR(ISNUMBER(FIND("COMPLETE",AV8)),ISNUMBER(FIND("PCT",AV8)),ISNUMBER(FIND("PERCENT",AV8))),NOT(ISNUMBER(FIND("ACTUAL",AV8))),LEN(AV8)&lt;=16))+32768*(OR(ISNUMBER(FIND("DESIC",AV8)),ISNUMBER(FIND("DESSIC",AV8)))))</f>
        <v/>
      </c>
      <c r="AW143">
        <f>IF(AW8="",0,2*(OR(ISNUMBER(FIND("WORKCENTER",AW8)),AND(LEFT(AW8,4)="LINE",NOT(ISNUMBER(FIND("STATUS",AW8))))))+4*(OR(ISNUMBER(FIND("WORKORDER",AW8)),AND(LEFT(AW8,2)="WO",OR(ISNUMBER(FIND("NUM",AW8)),RIGHT(AW8,2)="NO"))))+8*(LEFT(AW8,3)="SEQ")+16*(AND(LEFT(AW8,4)="ITEM",NOT(ISNUMBER(FIND("DESC",AW8)))))+32*(AND(ISNUMBER(FIND("DESC",AW8)),NOT(ISNUMBER(FIND("CAP",AW8)))))+64*(OR(RIGHT(AW8,5)="COUNT",RIGHT(AW8,2)="CT"))+128*(ISNUMBER(FIND("BULK",AW8)))+256*(ISNUMBER(FIND("SIZE",AW8)))+512*(LEFT(AW8,3)="CAP")+1024*(ISNUMBER(FIND("ALLERG",AW8)))+2048*(OR(ISNUMBER(FIND("REMARK",AW8)),ISNUMBER(FIND("COMMENT",AW8))))+4096*(OR(ISNUMBER(FIND("QTY",AW8)),ISNUMBER(FIND("QUANTITY",AW8))))+8192*(AND(OR(ISNUMBER(FIND("COMPLETE",AW8)),ISNUMBER(FIND("PCT",AW8)),ISNUMBER(FIND("PERCENT",AW8))),NOT(ISNUMBER(FIND("ACTUAL",AW8))),LEN(AW8)&lt;=16))+32768*(OR(ISNUMBER(FIND("DESIC",AW8)),ISNUMBER(FIND("DESSIC",AW8)))))</f>
        <v/>
      </c>
      <c r="AX143">
        <f>IF(AX8="",0,2*(OR(ISNUMBER(FIND("WORKCENTER",AX8)),AND(LEFT(AX8,4)="LINE",NOT(ISNUMBER(FIND("STATUS",AX8))))))+4*(OR(ISNUMBER(FIND("WORKORDER",AX8)),AND(LEFT(AX8,2)="WO",OR(ISNUMBER(FIND("NUM",AX8)),RIGHT(AX8,2)="NO"))))+8*(LEFT(AX8,3)="SEQ")+16*(AND(LEFT(AX8,4)="ITEM",NOT(ISNUMBER(FIND("DESC",AX8)))))+32*(AND(ISNUMBER(FIND("DESC",AX8)),NOT(ISNUMBER(FIND("CAP",AX8)))))+64*(OR(RIGHT(AX8,5)="COUNT",RIGHT(AX8,2)="CT"))+128*(ISNUMBER(FIND("BULK",AX8)))+256*(ISNUMBER(FIND("SIZE",AX8)))+512*(LEFT(AX8,3)="CAP")+1024*(ISNUMBER(FIND("ALLERG",AX8)))+2048*(OR(ISNUMBER(FIND("REMARK",AX8)),ISNUMBER(FIND("COMMENT",AX8))))+4096*(OR(ISNUMBER(FIND("QTY",AX8)),ISNUMBER(FIND("QUANTITY",AX8))))+8192*(AND(OR(ISNUMBER(FIND("COMPLETE",AX8)),ISNUMBER(FIND("PCT",AX8)),ISNUMBER(FIND("PERCENT",AX8))),NOT(ISNUMBER(FIND("ACTUAL",AX8))),LEN(AX8)&lt;=16))+32768*(OR(ISNUMBER(FIND("DESIC",AX8)),ISNUMBER(FIND("DESSIC",AX8)))))</f>
        <v/>
      </c>
      <c r="AY143">
        <f>IF(AY8="",0,2*(OR(ISNUMBER(FIND("WORKCENTER",AY8)),AND(LEFT(AY8,4)="LINE",NOT(ISNUMBER(FIND("STATUS",AY8))))))+4*(OR(ISNUMBER(FIND("WORKORDER",AY8)),AND(LEFT(AY8,2)="WO",OR(ISNUMBER(FIND("NUM",AY8)),RIGHT(AY8,2)="NO"))))+8*(LEFT(AY8,3)="SEQ")+16*(AND(LEFT(AY8,4)="ITEM",NOT(ISNUMBER(FIND("DESC",AY8)))))+32*(AND(ISNUMBER(FIND("DESC",AY8)),NOT(ISNUMBER(FIND("CAP",AY8)))))+64*(OR(RIGHT(AY8,5)="COUNT",RIGHT(AY8,2)="CT"))+128*(ISNUMBER(FIND("BULK",AY8)))+256*(ISNUMBER(FIND("SIZE",AY8)))+512*(LEFT(AY8,3)="CAP")+1024*(ISNUMBER(FIND("ALLERG",AY8)))+2048*(OR(ISNUMBER(FIND("REMARK",AY8)),ISNUMBER(FIND("COMMENT",AY8))))+4096*(OR(ISNUMBER(FIND("QTY",AY8)),ISNUMBER(FIND("QUANTITY",AY8))))+8192*(AND(OR(ISNUMBER(FIND("COMPLETE",AY8)),ISNUMBER(FIND("PCT",AY8)),ISNUMBER(FIND("PERCENT",AY8))),NOT(ISNUMBER(FIND("ACTUAL",AY8))),LEN(AY8)&lt;=16))+32768*(OR(ISNUMBER(FIND("DESIC",AY8)),ISNUMBER(FIND("DESSIC",AY8)))))</f>
        <v/>
      </c>
      <c r="AZ143">
        <f>IF(AZ8="",0,2*(OR(ISNUMBER(FIND("WORKCENTER",AZ8)),AND(LEFT(AZ8,4)="LINE",NOT(ISNUMBER(FIND("STATUS",AZ8))))))+4*(OR(ISNUMBER(FIND("WORKORDER",AZ8)),AND(LEFT(AZ8,2)="WO",OR(ISNUMBER(FIND("NUM",AZ8)),RIGHT(AZ8,2)="NO"))))+8*(LEFT(AZ8,3)="SEQ")+16*(AND(LEFT(AZ8,4)="ITEM",NOT(ISNUMBER(FIND("DESC",AZ8)))))+32*(AND(ISNUMBER(FIND("DESC",AZ8)),NOT(ISNUMBER(FIND("CAP",AZ8)))))+64*(OR(RIGHT(AZ8,5)="COUNT",RIGHT(AZ8,2)="CT"))+128*(ISNUMBER(FIND("BULK",AZ8)))+256*(ISNUMBER(FIND("SIZE",AZ8)))+512*(LEFT(AZ8,3)="CAP")+1024*(ISNUMBER(FIND("ALLERG",AZ8)))+2048*(OR(ISNUMBER(FIND("REMARK",AZ8)),ISNUMBER(FIND("COMMENT",AZ8))))+4096*(OR(ISNUMBER(FIND("QTY",AZ8)),ISNUMBER(FIND("QUANTITY",AZ8))))+8192*(AND(OR(ISNUMBER(FIND("COMPLETE",AZ8)),ISNUMBER(FIND("PCT",AZ8)),ISNUMBER(FIND("PERCENT",AZ8))),NOT(ISNUMBER(FIND("ACTUAL",AZ8))),LEN(AZ8)&lt;=16))+32768*(OR(ISNUMBER(FIND("DESIC",AZ8)),ISNUMBER(FIND("DESSIC",AZ8)))))</f>
        <v/>
      </c>
      <c r="BA143">
        <f>IF(BA8="",0,2*(OR(ISNUMBER(FIND("WORKCENTER",BA8)),AND(LEFT(BA8,4)="LINE",NOT(ISNUMBER(FIND("STATUS",BA8))))))+4*(OR(ISNUMBER(FIND("WORKORDER",BA8)),AND(LEFT(BA8,2)="WO",OR(ISNUMBER(FIND("NUM",BA8)),RIGHT(BA8,2)="NO"))))+8*(LEFT(BA8,3)="SEQ")+16*(AND(LEFT(BA8,4)="ITEM",NOT(ISNUMBER(FIND("DESC",BA8)))))+32*(AND(ISNUMBER(FIND("DESC",BA8)),NOT(ISNUMBER(FIND("CAP",BA8)))))+64*(OR(RIGHT(BA8,5)="COUNT",RIGHT(BA8,2)="CT"))+128*(ISNUMBER(FIND("BULK",BA8)))+256*(ISNUMBER(FIND("SIZE",BA8)))+512*(LEFT(BA8,3)="CAP")+1024*(ISNUMBER(FIND("ALLERG",BA8)))+2048*(OR(ISNUMBER(FIND("REMARK",BA8)),ISNUMBER(FIND("COMMENT",BA8))))+4096*(OR(ISNUMBER(FIND("QTY",BA8)),ISNUMBER(FIND("QUANTITY",BA8))))+8192*(AND(OR(ISNUMBER(FIND("COMPLETE",BA8)),ISNUMBER(FIND("PCT",BA8)),ISNUMBER(FIND("PERCENT",BA8))),NOT(ISNUMBER(FIND("ACTUAL",BA8))),LEN(BA8)&lt;=16))+32768*(OR(ISNUMBER(FIND("DESIC",BA8)),ISNUMBER(FIND("DESSIC",BA8)))))</f>
        <v/>
      </c>
      <c r="BB143">
        <f>IF(BB8="",0,2*(OR(ISNUMBER(FIND("WORKCENTER",BB8)),AND(LEFT(BB8,4)="LINE",NOT(ISNUMBER(FIND("STATUS",BB8))))))+4*(OR(ISNUMBER(FIND("WORKORDER",BB8)),AND(LEFT(BB8,2)="WO",OR(ISNUMBER(FIND("NUM",BB8)),RIGHT(BB8,2)="NO"))))+8*(LEFT(BB8,3)="SEQ")+16*(AND(LEFT(BB8,4)="ITEM",NOT(ISNUMBER(FIND("DESC",BB8)))))+32*(AND(ISNUMBER(FIND("DESC",BB8)),NOT(ISNUMBER(FIND("CAP",BB8)))))+64*(OR(RIGHT(BB8,5)="COUNT",RIGHT(BB8,2)="CT"))+128*(ISNUMBER(FIND("BULK",BB8)))+256*(ISNUMBER(FIND("SIZE",BB8)))+512*(LEFT(BB8,3)="CAP")+1024*(ISNUMBER(FIND("ALLERG",BB8)))+2048*(OR(ISNUMBER(FIND("REMARK",BB8)),ISNUMBER(FIND("COMMENT",BB8))))+4096*(OR(ISNUMBER(FIND("QTY",BB8)),ISNUMBER(FIND("QUANTITY",BB8))))+8192*(AND(OR(ISNUMBER(FIND("COMPLETE",BB8)),ISNUMBER(FIND("PCT",BB8)),ISNUMBER(FIND("PERCENT",BB8))),NOT(ISNUMBER(FIND("ACTUAL",BB8))),LEN(BB8)&lt;=16))+32768*(OR(ISNUMBER(FIND("DESIC",BB8)),ISNUMBER(FIND("DESSIC",BB8)))))</f>
        <v/>
      </c>
      <c r="BC143">
        <f>IF(BC8="",0,2*(OR(ISNUMBER(FIND("WORKCENTER",BC8)),AND(LEFT(BC8,4)="LINE",NOT(ISNUMBER(FIND("STATUS",BC8))))))+4*(OR(ISNUMBER(FIND("WORKORDER",BC8)),AND(LEFT(BC8,2)="WO",OR(ISNUMBER(FIND("NUM",BC8)),RIGHT(BC8,2)="NO"))))+8*(LEFT(BC8,3)="SEQ")+16*(AND(LEFT(BC8,4)="ITEM",NOT(ISNUMBER(FIND("DESC",BC8)))))+32*(AND(ISNUMBER(FIND("DESC",BC8)),NOT(ISNUMBER(FIND("CAP",BC8)))))+64*(OR(RIGHT(BC8,5)="COUNT",RIGHT(BC8,2)="CT"))+128*(ISNUMBER(FIND("BULK",BC8)))+256*(ISNUMBER(FIND("SIZE",BC8)))+512*(LEFT(BC8,3)="CAP")+1024*(ISNUMBER(FIND("ALLERG",BC8)))+2048*(OR(ISNUMBER(FIND("REMARK",BC8)),ISNUMBER(FIND("COMMENT",BC8))))+4096*(OR(ISNUMBER(FIND("QTY",BC8)),ISNUMBER(FIND("QUANTITY",BC8))))+8192*(AND(OR(ISNUMBER(FIND("COMPLETE",BC8)),ISNUMBER(FIND("PCT",BC8)),ISNUMBER(FIND("PERCENT",BC8))),NOT(ISNUMBER(FIND("ACTUAL",BC8))),LEN(BC8)&lt;=16))+32768*(OR(ISNUMBER(FIND("DESIC",BC8)),ISNUMBER(FIND("DESSIC",BC8)))))</f>
        <v/>
      </c>
      <c r="BD143">
        <f>IF(BD8="",0,2*(OR(ISNUMBER(FIND("WORKCENTER",BD8)),AND(LEFT(BD8,4)="LINE",NOT(ISNUMBER(FIND("STATUS",BD8))))))+4*(OR(ISNUMBER(FIND("WORKORDER",BD8)),AND(LEFT(BD8,2)="WO",OR(ISNUMBER(FIND("NUM",BD8)),RIGHT(BD8,2)="NO"))))+8*(LEFT(BD8,3)="SEQ")+16*(AND(LEFT(BD8,4)="ITEM",NOT(ISNUMBER(FIND("DESC",BD8)))))+32*(AND(ISNUMBER(FIND("DESC",BD8)),NOT(ISNUMBER(FIND("CAP",BD8)))))+64*(OR(RIGHT(BD8,5)="COUNT",RIGHT(BD8,2)="CT"))+128*(ISNUMBER(FIND("BULK",BD8)))+256*(ISNUMBER(FIND("SIZE",BD8)))+512*(LEFT(BD8,3)="CAP")+1024*(ISNUMBER(FIND("ALLERG",BD8)))+2048*(OR(ISNUMBER(FIND("REMARK",BD8)),ISNUMBER(FIND("COMMENT",BD8))))+4096*(OR(ISNUMBER(FIND("QTY",BD8)),ISNUMBER(FIND("QUANTITY",BD8))))+8192*(AND(OR(ISNUMBER(FIND("COMPLETE",BD8)),ISNUMBER(FIND("PCT",BD8)),ISNUMBER(FIND("PERCENT",BD8))),NOT(ISNUMBER(FIND("ACTUAL",BD8))),LEN(BD8)&lt;=16))+32768*(OR(ISNUMBER(FIND("DESIC",BD8)),ISNUMBER(FIND("DESSIC",BD8)))))</f>
        <v/>
      </c>
      <c r="BE143">
        <f>IF(BE8="",0,2*(OR(ISNUMBER(FIND("WORKCENTER",BE8)),AND(LEFT(BE8,4)="LINE",NOT(ISNUMBER(FIND("STATUS",BE8))))))+4*(OR(ISNUMBER(FIND("WORKORDER",BE8)),AND(LEFT(BE8,2)="WO",OR(ISNUMBER(FIND("NUM",BE8)),RIGHT(BE8,2)="NO"))))+8*(LEFT(BE8,3)="SEQ")+16*(AND(LEFT(BE8,4)="ITEM",NOT(ISNUMBER(FIND("DESC",BE8)))))+32*(AND(ISNUMBER(FIND("DESC",BE8)),NOT(ISNUMBER(FIND("CAP",BE8)))))+64*(OR(RIGHT(BE8,5)="COUNT",RIGHT(BE8,2)="CT"))+128*(ISNUMBER(FIND("BULK",BE8)))+256*(ISNUMBER(FIND("SIZE",BE8)))+512*(LEFT(BE8,3)="CAP")+1024*(ISNUMBER(FIND("ALLERG",BE8)))+2048*(OR(ISNUMBER(FIND("REMARK",BE8)),ISNUMBER(FIND("COMMENT",BE8))))+4096*(OR(ISNUMBER(FIND("QTY",BE8)),ISNUMBER(FIND("QUANTITY",BE8))))+8192*(AND(OR(ISNUMBER(FIND("COMPLETE",BE8)),ISNUMBER(FIND("PCT",BE8)),ISNUMBER(FIND("PERCENT",BE8))),NOT(ISNUMBER(FIND("ACTUAL",BE8))),LEN(BE8)&lt;=16))+32768*(OR(ISNUMBER(FIND("DESIC",BE8)),ISNUMBER(FIND("DESSIC",BE8)))))</f>
        <v/>
      </c>
      <c r="BF143">
        <f>IF(BF8="",0,2*(OR(ISNUMBER(FIND("WORKCENTER",BF8)),AND(LEFT(BF8,4)="LINE",NOT(ISNUMBER(FIND("STATUS",BF8))))))+4*(OR(ISNUMBER(FIND("WORKORDER",BF8)),AND(LEFT(BF8,2)="WO",OR(ISNUMBER(FIND("NUM",BF8)),RIGHT(BF8,2)="NO"))))+8*(LEFT(BF8,3)="SEQ")+16*(AND(LEFT(BF8,4)="ITEM",NOT(ISNUMBER(FIND("DESC",BF8)))))+32*(AND(ISNUMBER(FIND("DESC",BF8)),NOT(ISNUMBER(FIND("CAP",BF8)))))+64*(OR(RIGHT(BF8,5)="COUNT",RIGHT(BF8,2)="CT"))+128*(ISNUMBER(FIND("BULK",BF8)))+256*(ISNUMBER(FIND("SIZE",BF8)))+512*(LEFT(BF8,3)="CAP")+1024*(ISNUMBER(FIND("ALLERG",BF8)))+2048*(OR(ISNUMBER(FIND("REMARK",BF8)),ISNUMBER(FIND("COMMENT",BF8))))+4096*(OR(ISNUMBER(FIND("QTY",BF8)),ISNUMBER(FIND("QUANTITY",BF8))))+8192*(AND(OR(ISNUMBER(FIND("COMPLETE",BF8)),ISNUMBER(FIND("PCT",BF8)),ISNUMBER(FIND("PERCENT",BF8))),NOT(ISNUMBER(FIND("ACTUAL",BF8))),LEN(BF8)&lt;=16))+32768*(OR(ISNUMBER(FIND("DESIC",BF8)),ISNUMBER(FIND("DESSIC",BF8)))))</f>
        <v/>
      </c>
      <c r="BG143">
        <f>IF(BG8="",0,2*(OR(ISNUMBER(FIND("WORKCENTER",BG8)),AND(LEFT(BG8,4)="LINE",NOT(ISNUMBER(FIND("STATUS",BG8))))))+4*(OR(ISNUMBER(FIND("WORKORDER",BG8)),AND(LEFT(BG8,2)="WO",OR(ISNUMBER(FIND("NUM",BG8)),RIGHT(BG8,2)="NO"))))+8*(LEFT(BG8,3)="SEQ")+16*(AND(LEFT(BG8,4)="ITEM",NOT(ISNUMBER(FIND("DESC",BG8)))))+32*(AND(ISNUMBER(FIND("DESC",BG8)),NOT(ISNUMBER(FIND("CAP",BG8)))))+64*(OR(RIGHT(BG8,5)="COUNT",RIGHT(BG8,2)="CT"))+128*(ISNUMBER(FIND("BULK",BG8)))+256*(ISNUMBER(FIND("SIZE",BG8)))+512*(LEFT(BG8,3)="CAP")+1024*(ISNUMBER(FIND("ALLERG",BG8)))+2048*(OR(ISNUMBER(FIND("REMARK",BG8)),ISNUMBER(FIND("COMMENT",BG8))))+4096*(OR(ISNUMBER(FIND("QTY",BG8)),ISNUMBER(FIND("QUANTITY",BG8))))+8192*(AND(OR(ISNUMBER(FIND("COMPLETE",BG8)),ISNUMBER(FIND("PCT",BG8)),ISNUMBER(FIND("PERCENT",BG8))),NOT(ISNUMBER(FIND("ACTUAL",BG8))),LEN(BG8)&lt;=16))+32768*(OR(ISNUMBER(FIND("DESIC",BG8)),ISNUMBER(FIND("DESSIC",BG8)))))</f>
        <v/>
      </c>
      <c r="BH143">
        <f>IF(BH8="",0,2*(OR(ISNUMBER(FIND("WORKCENTER",BH8)),AND(LEFT(BH8,4)="LINE",NOT(ISNUMBER(FIND("STATUS",BH8))))))+4*(OR(ISNUMBER(FIND("WORKORDER",BH8)),AND(LEFT(BH8,2)="WO",OR(ISNUMBER(FIND("NUM",BH8)),RIGHT(BH8,2)="NO"))))+8*(LEFT(BH8,3)="SEQ")+16*(AND(LEFT(BH8,4)="ITEM",NOT(ISNUMBER(FIND("DESC",BH8)))))+32*(AND(ISNUMBER(FIND("DESC",BH8)),NOT(ISNUMBER(FIND("CAP",BH8)))))+64*(OR(RIGHT(BH8,5)="COUNT",RIGHT(BH8,2)="CT"))+128*(ISNUMBER(FIND("BULK",BH8)))+256*(ISNUMBER(FIND("SIZE",BH8)))+512*(LEFT(BH8,3)="CAP")+1024*(ISNUMBER(FIND("ALLERG",BH8)))+2048*(OR(ISNUMBER(FIND("REMARK",BH8)),ISNUMBER(FIND("COMMENT",BH8))))+4096*(OR(ISNUMBER(FIND("QTY",BH8)),ISNUMBER(FIND("QUANTITY",BH8))))+8192*(AND(OR(ISNUMBER(FIND("COMPLETE",BH8)),ISNUMBER(FIND("PCT",BH8)),ISNUMBER(FIND("PERCENT",BH8))),NOT(ISNUMBER(FIND("ACTUAL",BH8))),LEN(BH8)&lt;=16))+32768*(OR(ISNUMBER(FIND("DESIC",BH8)),ISNUMBER(FIND("DESSIC",BH8)))))</f>
        <v/>
      </c>
      <c r="BI143">
        <f>IF(BI8="",0,2*(OR(ISNUMBER(FIND("WORKCENTER",BI8)),AND(LEFT(BI8,4)="LINE",NOT(ISNUMBER(FIND("STATUS",BI8))))))+4*(OR(ISNUMBER(FIND("WORKORDER",BI8)),AND(LEFT(BI8,2)="WO",OR(ISNUMBER(FIND("NUM",BI8)),RIGHT(BI8,2)="NO"))))+8*(LEFT(BI8,3)="SEQ")+16*(AND(LEFT(BI8,4)="ITEM",NOT(ISNUMBER(FIND("DESC",BI8)))))+32*(AND(ISNUMBER(FIND("DESC",BI8)),NOT(ISNUMBER(FIND("CAP",BI8)))))+64*(OR(RIGHT(BI8,5)="COUNT",RIGHT(BI8,2)="CT"))+128*(ISNUMBER(FIND("BULK",BI8)))+256*(ISNUMBER(FIND("SIZE",BI8)))+512*(LEFT(BI8,3)="CAP")+1024*(ISNUMBER(FIND("ALLERG",BI8)))+2048*(OR(ISNUMBER(FIND("REMARK",BI8)),ISNUMBER(FIND("COMMENT",BI8))))+4096*(OR(ISNUMBER(FIND("QTY",BI8)),ISNUMBER(FIND("QUANTITY",BI8))))+8192*(AND(OR(ISNUMBER(FIND("COMPLETE",BI8)),ISNUMBER(FIND("PCT",BI8)),ISNUMBER(FIND("PERCENT",BI8))),NOT(ISNUMBER(FIND("ACTUAL",BI8))),LEN(BI8)&lt;=16))+32768*(OR(ISNUMBER(FIND("DESIC",BI8)),ISNUMBER(FIND("DESSIC",BI8)))))</f>
        <v/>
      </c>
      <c r="BJ143">
        <f>IF(BJ8="",0,2*(OR(ISNUMBER(FIND("WORKCENTER",BJ8)),AND(LEFT(BJ8,4)="LINE",NOT(ISNUMBER(FIND("STATUS",BJ8))))))+4*(OR(ISNUMBER(FIND("WORKORDER",BJ8)),AND(LEFT(BJ8,2)="WO",OR(ISNUMBER(FIND("NUM",BJ8)),RIGHT(BJ8,2)="NO"))))+8*(LEFT(BJ8,3)="SEQ")+16*(AND(LEFT(BJ8,4)="ITEM",NOT(ISNUMBER(FIND("DESC",BJ8)))))+32*(AND(ISNUMBER(FIND("DESC",BJ8)),NOT(ISNUMBER(FIND("CAP",BJ8)))))+64*(OR(RIGHT(BJ8,5)="COUNT",RIGHT(BJ8,2)="CT"))+128*(ISNUMBER(FIND("BULK",BJ8)))+256*(ISNUMBER(FIND("SIZE",BJ8)))+512*(LEFT(BJ8,3)="CAP")+1024*(ISNUMBER(FIND("ALLERG",BJ8)))+2048*(OR(ISNUMBER(FIND("REMARK",BJ8)),ISNUMBER(FIND("COMMENT",BJ8))))+4096*(OR(ISNUMBER(FIND("QTY",BJ8)),ISNUMBER(FIND("QUANTITY",BJ8))))+8192*(AND(OR(ISNUMBER(FIND("COMPLETE",BJ8)),ISNUMBER(FIND("PCT",BJ8)),ISNUMBER(FIND("PERCENT",BJ8))),NOT(ISNUMBER(FIND("ACTUAL",BJ8))),LEN(BJ8)&lt;=16))+32768*(OR(ISNUMBER(FIND("DESIC",BJ8)),ISNUMBER(FIND("DESSIC",BJ8)))))</f>
        <v/>
      </c>
      <c r="BK143">
        <f>IF(BK8="",0,2*(OR(ISNUMBER(FIND("WORKCENTER",BK8)),AND(LEFT(BK8,4)="LINE",NOT(ISNUMBER(FIND("STATUS",BK8))))))+4*(OR(ISNUMBER(FIND("WORKORDER",BK8)),AND(LEFT(BK8,2)="WO",OR(ISNUMBER(FIND("NUM",BK8)),RIGHT(BK8,2)="NO"))))+8*(LEFT(BK8,3)="SEQ")+16*(AND(LEFT(BK8,4)="ITEM",NOT(ISNUMBER(FIND("DESC",BK8)))))+32*(AND(ISNUMBER(FIND("DESC",BK8)),NOT(ISNUMBER(FIND("CAP",BK8)))))+64*(OR(RIGHT(BK8,5)="COUNT",RIGHT(BK8,2)="CT"))+128*(ISNUMBER(FIND("BULK",BK8)))+256*(ISNUMBER(FIND("SIZE",BK8)))+512*(LEFT(BK8,3)="CAP")+1024*(ISNUMBER(FIND("ALLERG",BK8)))+2048*(OR(ISNUMBER(FIND("REMARK",BK8)),ISNUMBER(FIND("COMMENT",BK8))))+4096*(OR(ISNUMBER(FIND("QTY",BK8)),ISNUMBER(FIND("QUANTITY",BK8))))+8192*(AND(OR(ISNUMBER(FIND("COMPLETE",BK8)),ISNUMBER(FIND("PCT",BK8)),ISNUMBER(FIND("PERCENT",BK8))),NOT(ISNUMBER(FIND("ACTUAL",BK8))),LEN(BK8)&lt;=16))+32768*(OR(ISNUMBER(FIND("DESIC",BK8)),ISNUMBER(FIND("DESSIC",BK8)))))</f>
        <v/>
      </c>
      <c r="BL143">
        <f>IF(BL8="",0,2*(OR(ISNUMBER(FIND("WORKCENTER",BL8)),AND(LEFT(BL8,4)="LINE",NOT(ISNUMBER(FIND("STATUS",BL8))))))+4*(OR(ISNUMBER(FIND("WORKORDER",BL8)),AND(LEFT(BL8,2)="WO",OR(ISNUMBER(FIND("NUM",BL8)),RIGHT(BL8,2)="NO"))))+8*(LEFT(BL8,3)="SEQ")+16*(AND(LEFT(BL8,4)="ITEM",NOT(ISNUMBER(FIND("DESC",BL8)))))+32*(AND(ISNUMBER(FIND("DESC",BL8)),NOT(ISNUMBER(FIND("CAP",BL8)))))+64*(OR(RIGHT(BL8,5)="COUNT",RIGHT(BL8,2)="CT"))+128*(ISNUMBER(FIND("BULK",BL8)))+256*(ISNUMBER(FIND("SIZE",BL8)))+512*(LEFT(BL8,3)="CAP")+1024*(ISNUMBER(FIND("ALLERG",BL8)))+2048*(OR(ISNUMBER(FIND("REMARK",BL8)),ISNUMBER(FIND("COMMENT",BL8))))+4096*(OR(ISNUMBER(FIND("QTY",BL8)),ISNUMBER(FIND("QUANTITY",BL8))))+8192*(AND(OR(ISNUMBER(FIND("COMPLETE",BL8)),ISNUMBER(FIND("PCT",BL8)),ISNUMBER(FIND("PERCENT",BL8))),NOT(ISNUMBER(FIND("ACTUAL",BL8))),LEN(BL8)&lt;=16))+32768*(OR(ISNUMBER(FIND("DESIC",BL8)),ISNUMBER(FIND("DESSIC",BL8)))))</f>
        <v/>
      </c>
      <c r="BM143">
        <f>IF(BM8="",0,2*(OR(ISNUMBER(FIND("WORKCENTER",BM8)),AND(LEFT(BM8,4)="LINE",NOT(ISNUMBER(FIND("STATUS",BM8))))))+4*(OR(ISNUMBER(FIND("WORKORDER",BM8)),AND(LEFT(BM8,2)="WO",OR(ISNUMBER(FIND("NUM",BM8)),RIGHT(BM8,2)="NO"))))+8*(LEFT(BM8,3)="SEQ")+16*(AND(LEFT(BM8,4)="ITEM",NOT(ISNUMBER(FIND("DESC",BM8)))))+32*(AND(ISNUMBER(FIND("DESC",BM8)),NOT(ISNUMBER(FIND("CAP",BM8)))))+64*(OR(RIGHT(BM8,5)="COUNT",RIGHT(BM8,2)="CT"))+128*(ISNUMBER(FIND("BULK",BM8)))+256*(ISNUMBER(FIND("SIZE",BM8)))+512*(LEFT(BM8,3)="CAP")+1024*(ISNUMBER(FIND("ALLERG",BM8)))+2048*(OR(ISNUMBER(FIND("REMARK",BM8)),ISNUMBER(FIND("COMMENT",BM8))))+4096*(OR(ISNUMBER(FIND("QTY",BM8)),ISNUMBER(FIND("QUANTITY",BM8))))+8192*(AND(OR(ISNUMBER(FIND("COMPLETE",BM8)),ISNUMBER(FIND("PCT",BM8)),ISNUMBER(FIND("PERCENT",BM8))),NOT(ISNUMBER(FIND("ACTUAL",BM8))),LEN(BM8)&lt;=16))+32768*(OR(ISNUMBER(FIND("DESIC",BM8)),ISNUMBER(FIND("DESSIC",BM8)))))</f>
        <v/>
      </c>
      <c r="BN143">
        <f>IF(BN8="",0,2*(OR(ISNUMBER(FIND("WORKCENTER",BN8)),AND(LEFT(BN8,4)="LINE",NOT(ISNUMBER(FIND("STATUS",BN8))))))+4*(OR(ISNUMBER(FIND("WORKORDER",BN8)),AND(LEFT(BN8,2)="WO",OR(ISNUMBER(FIND("NUM",BN8)),RIGHT(BN8,2)="NO"))))+8*(LEFT(BN8,3)="SEQ")+16*(AND(LEFT(BN8,4)="ITEM",NOT(ISNUMBER(FIND("DESC",BN8)))))+32*(AND(ISNUMBER(FIND("DESC",BN8)),NOT(ISNUMBER(FIND("CAP",BN8)))))+64*(OR(RIGHT(BN8,5)="COUNT",RIGHT(BN8,2)="CT"))+128*(ISNUMBER(FIND("BULK",BN8)))+256*(ISNUMBER(FIND("SIZE",BN8)))+512*(LEFT(BN8,3)="CAP")+1024*(ISNUMBER(FIND("ALLERG",BN8)))+2048*(OR(ISNUMBER(FIND("REMARK",BN8)),ISNUMBER(FIND("COMMENT",BN8))))+4096*(OR(ISNUMBER(FIND("QTY",BN8)),ISNUMBER(FIND("QUANTITY",BN8))))+8192*(AND(OR(ISNUMBER(FIND("COMPLETE",BN8)),ISNUMBER(FIND("PCT",BN8)),ISNUMBER(FIND("PERCENT",BN8))),NOT(ISNUMBER(FIND("ACTUAL",BN8))),LEN(BN8)&lt;=16))+32768*(OR(ISNUMBER(FIND("DESIC",BN8)),ISNUMBER(FIND("DESSIC",BN8)))))</f>
        <v/>
      </c>
      <c r="BO143">
        <f>IF(BO8="",0,2*(OR(ISNUMBER(FIND("WORKCENTER",BO8)),AND(LEFT(BO8,4)="LINE",NOT(ISNUMBER(FIND("STATUS",BO8))))))+4*(OR(ISNUMBER(FIND("WORKORDER",BO8)),AND(LEFT(BO8,2)="WO",OR(ISNUMBER(FIND("NUM",BO8)),RIGHT(BO8,2)="NO"))))+8*(LEFT(BO8,3)="SEQ")+16*(AND(LEFT(BO8,4)="ITEM",NOT(ISNUMBER(FIND("DESC",BO8)))))+32*(AND(ISNUMBER(FIND("DESC",BO8)),NOT(ISNUMBER(FIND("CAP",BO8)))))+64*(OR(RIGHT(BO8,5)="COUNT",RIGHT(BO8,2)="CT"))+128*(ISNUMBER(FIND("BULK",BO8)))+256*(ISNUMBER(FIND("SIZE",BO8)))+512*(LEFT(BO8,3)="CAP")+1024*(ISNUMBER(FIND("ALLERG",BO8)))+2048*(OR(ISNUMBER(FIND("REMARK",BO8)),ISNUMBER(FIND("COMMENT",BO8))))+4096*(OR(ISNUMBER(FIND("QTY",BO8)),ISNUMBER(FIND("QUANTITY",BO8))))+8192*(AND(OR(ISNUMBER(FIND("COMPLETE",BO8)),ISNUMBER(FIND("PCT",BO8)),ISNUMBER(FIND("PERCENT",BO8))),NOT(ISNUMBER(FIND("ACTUAL",BO8))),LEN(BO8)&lt;=16))+32768*(OR(ISNUMBER(FIND("DESIC",BO8)),ISNUMBER(FIND("DESSIC",BO8)))))</f>
        <v/>
      </c>
      <c r="BP143">
        <f>IF(BP8="",0,2*(OR(ISNUMBER(FIND("WORKCENTER",BP8)),AND(LEFT(BP8,4)="LINE",NOT(ISNUMBER(FIND("STATUS",BP8))))))+4*(OR(ISNUMBER(FIND("WORKORDER",BP8)),AND(LEFT(BP8,2)="WO",OR(ISNUMBER(FIND("NUM",BP8)),RIGHT(BP8,2)="NO"))))+8*(LEFT(BP8,3)="SEQ")+16*(AND(LEFT(BP8,4)="ITEM",NOT(ISNUMBER(FIND("DESC",BP8)))))+32*(AND(ISNUMBER(FIND("DESC",BP8)),NOT(ISNUMBER(FIND("CAP",BP8)))))+64*(OR(RIGHT(BP8,5)="COUNT",RIGHT(BP8,2)="CT"))+128*(ISNUMBER(FIND("BULK",BP8)))+256*(ISNUMBER(FIND("SIZE",BP8)))+512*(LEFT(BP8,3)="CAP")+1024*(ISNUMBER(FIND("ALLERG",BP8)))+2048*(OR(ISNUMBER(FIND("REMARK",BP8)),ISNUMBER(FIND("COMMENT",BP8))))+4096*(OR(ISNUMBER(FIND("QTY",BP8)),ISNUMBER(FIND("QUANTITY",BP8))))+8192*(AND(OR(ISNUMBER(FIND("COMPLETE",BP8)),ISNUMBER(FIND("PCT",BP8)),ISNUMBER(FIND("PERCENT",BP8))),NOT(ISNUMBER(FIND("ACTUAL",BP8))),LEN(BP8)&lt;=16))+32768*(OR(ISNUMBER(FIND("DESIC",BP8)),ISNUMBER(FIND("DESSIC",BP8)))))</f>
        <v/>
      </c>
      <c r="BQ143">
        <f>IF(BQ8="",0,2*(OR(ISNUMBER(FIND("WORKCENTER",BQ8)),AND(LEFT(BQ8,4)="LINE",NOT(ISNUMBER(FIND("STATUS",BQ8))))))+4*(OR(ISNUMBER(FIND("WORKORDER",BQ8)),AND(LEFT(BQ8,2)="WO",OR(ISNUMBER(FIND("NUM",BQ8)),RIGHT(BQ8,2)="NO"))))+8*(LEFT(BQ8,3)="SEQ")+16*(AND(LEFT(BQ8,4)="ITEM",NOT(ISNUMBER(FIND("DESC",BQ8)))))+32*(AND(ISNUMBER(FIND("DESC",BQ8)),NOT(ISNUMBER(FIND("CAP",BQ8)))))+64*(OR(RIGHT(BQ8,5)="COUNT",RIGHT(BQ8,2)="CT"))+128*(ISNUMBER(FIND("BULK",BQ8)))+256*(ISNUMBER(FIND("SIZE",BQ8)))+512*(LEFT(BQ8,3)="CAP")+1024*(ISNUMBER(FIND("ALLERG",BQ8)))+2048*(OR(ISNUMBER(FIND("REMARK",BQ8)),ISNUMBER(FIND("COMMENT",BQ8))))+4096*(OR(ISNUMBER(FIND("QTY",BQ8)),ISNUMBER(FIND("QUANTITY",BQ8))))+8192*(AND(OR(ISNUMBER(FIND("COMPLETE",BQ8)),ISNUMBER(FIND("PCT",BQ8)),ISNUMBER(FIND("PERCENT",BQ8))),NOT(ISNUMBER(FIND("ACTUAL",BQ8))),LEN(BQ8)&lt;=16))+32768*(OR(ISNUMBER(FIND("DESIC",BQ8)),ISNUMBER(FIND("DESSIC",BQ8)))))</f>
        <v/>
      </c>
      <c r="BR143">
        <f>IF(BR8="",0,2*(OR(ISNUMBER(FIND("WORKCENTER",BR8)),AND(LEFT(BR8,4)="LINE",NOT(ISNUMBER(FIND("STATUS",BR8))))))+4*(OR(ISNUMBER(FIND("WORKORDER",BR8)),AND(LEFT(BR8,2)="WO",OR(ISNUMBER(FIND("NUM",BR8)),RIGHT(BR8,2)="NO"))))+8*(LEFT(BR8,3)="SEQ")+16*(AND(LEFT(BR8,4)="ITEM",NOT(ISNUMBER(FIND("DESC",BR8)))))+32*(AND(ISNUMBER(FIND("DESC",BR8)),NOT(ISNUMBER(FIND("CAP",BR8)))))+64*(OR(RIGHT(BR8,5)="COUNT",RIGHT(BR8,2)="CT"))+128*(ISNUMBER(FIND("BULK",BR8)))+256*(ISNUMBER(FIND("SIZE",BR8)))+512*(LEFT(BR8,3)="CAP")+1024*(ISNUMBER(FIND("ALLERG",BR8)))+2048*(OR(ISNUMBER(FIND("REMARK",BR8)),ISNUMBER(FIND("COMMENT",BR8))))+4096*(OR(ISNUMBER(FIND("QTY",BR8)),ISNUMBER(FIND("QUANTITY",BR8))))+8192*(AND(OR(ISNUMBER(FIND("COMPLETE",BR8)),ISNUMBER(FIND("PCT",BR8)),ISNUMBER(FIND("PERCENT",BR8))),NOT(ISNUMBER(FIND("ACTUAL",BR8))),LEN(BR8)&lt;=16))+32768*(OR(ISNUMBER(FIND("DESIC",BR8)),ISNUMBER(FIND("DESSIC",BR8)))))</f>
        <v/>
      </c>
      <c r="BS143">
        <f>IF(BS8="",0,2*(OR(ISNUMBER(FIND("WORKCENTER",BS8)),AND(LEFT(BS8,4)="LINE",NOT(ISNUMBER(FIND("STATUS",BS8))))))+4*(OR(ISNUMBER(FIND("WORKORDER",BS8)),AND(LEFT(BS8,2)="WO",OR(ISNUMBER(FIND("NUM",BS8)),RIGHT(BS8,2)="NO"))))+8*(LEFT(BS8,3)="SEQ")+16*(AND(LEFT(BS8,4)="ITEM",NOT(ISNUMBER(FIND("DESC",BS8)))))+32*(AND(ISNUMBER(FIND("DESC",BS8)),NOT(ISNUMBER(FIND("CAP",BS8)))))+64*(OR(RIGHT(BS8,5)="COUNT",RIGHT(BS8,2)="CT"))+128*(ISNUMBER(FIND("BULK",BS8)))+256*(ISNUMBER(FIND("SIZE",BS8)))+512*(LEFT(BS8,3)="CAP")+1024*(ISNUMBER(FIND("ALLERG",BS8)))+2048*(OR(ISNUMBER(FIND("REMARK",BS8)),ISNUMBER(FIND("COMMENT",BS8))))+4096*(OR(ISNUMBER(FIND("QTY",BS8)),ISNUMBER(FIND("QUANTITY",BS8))))+8192*(AND(OR(ISNUMBER(FIND("COMPLETE",BS8)),ISNUMBER(FIND("PCT",BS8)),ISNUMBER(FIND("PERCENT",BS8))),NOT(ISNUMBER(FIND("ACTUAL",BS8))),LEN(BS8)&lt;=16))+32768*(OR(ISNUMBER(FIND("DESIC",BS8)),ISNUMBER(FIND("DESSIC",BS8)))))</f>
        <v/>
      </c>
      <c r="BT143">
        <f>IF(BT8="",0,2*(OR(ISNUMBER(FIND("WORKCENTER",BT8)),AND(LEFT(BT8,4)="LINE",NOT(ISNUMBER(FIND("STATUS",BT8))))))+4*(OR(ISNUMBER(FIND("WORKORDER",BT8)),AND(LEFT(BT8,2)="WO",OR(ISNUMBER(FIND("NUM",BT8)),RIGHT(BT8,2)="NO"))))+8*(LEFT(BT8,3)="SEQ")+16*(AND(LEFT(BT8,4)="ITEM",NOT(ISNUMBER(FIND("DESC",BT8)))))+32*(AND(ISNUMBER(FIND("DESC",BT8)),NOT(ISNUMBER(FIND("CAP",BT8)))))+64*(OR(RIGHT(BT8,5)="COUNT",RIGHT(BT8,2)="CT"))+128*(ISNUMBER(FIND("BULK",BT8)))+256*(ISNUMBER(FIND("SIZE",BT8)))+512*(LEFT(BT8,3)="CAP")+1024*(ISNUMBER(FIND("ALLERG",BT8)))+2048*(OR(ISNUMBER(FIND("REMARK",BT8)),ISNUMBER(FIND("COMMENT",BT8))))+4096*(OR(ISNUMBER(FIND("QTY",BT8)),ISNUMBER(FIND("QUANTITY",BT8))))+8192*(AND(OR(ISNUMBER(FIND("COMPLETE",BT8)),ISNUMBER(FIND("PCT",BT8)),ISNUMBER(FIND("PERCENT",BT8))),NOT(ISNUMBER(FIND("ACTUAL",BT8))),LEN(BT8)&lt;=16))+32768*(OR(ISNUMBER(FIND("DESIC",BT8)),ISNUMBER(FIND("DESSIC",BT8)))))</f>
        <v/>
      </c>
      <c r="BU143">
        <f>IF(BU8="",0,2*(OR(ISNUMBER(FIND("WORKCENTER",BU8)),AND(LEFT(BU8,4)="LINE",NOT(ISNUMBER(FIND("STATUS",BU8))))))+4*(OR(ISNUMBER(FIND("WORKORDER",BU8)),AND(LEFT(BU8,2)="WO",OR(ISNUMBER(FIND("NUM",BU8)),RIGHT(BU8,2)="NO"))))+8*(LEFT(BU8,3)="SEQ")+16*(AND(LEFT(BU8,4)="ITEM",NOT(ISNUMBER(FIND("DESC",BU8)))))+32*(AND(ISNUMBER(FIND("DESC",BU8)),NOT(ISNUMBER(FIND("CAP",BU8)))))+64*(OR(RIGHT(BU8,5)="COUNT",RIGHT(BU8,2)="CT"))+128*(ISNUMBER(FIND("BULK",BU8)))+256*(ISNUMBER(FIND("SIZE",BU8)))+512*(LEFT(BU8,3)="CAP")+1024*(ISNUMBER(FIND("ALLERG",BU8)))+2048*(OR(ISNUMBER(FIND("REMARK",BU8)),ISNUMBER(FIND("COMMENT",BU8))))+4096*(OR(ISNUMBER(FIND("QTY",BU8)),ISNUMBER(FIND("QUANTITY",BU8))))+8192*(AND(OR(ISNUMBER(FIND("COMPLETE",BU8)),ISNUMBER(FIND("PCT",BU8)),ISNUMBER(FIND("PERCENT",BU8))),NOT(ISNUMBER(FIND("ACTUAL",BU8))),LEN(BU8)&lt;=16))+32768*(OR(ISNUMBER(FIND("DESIC",BU8)),ISNUMBER(FIND("DESSIC",BU8)))))</f>
        <v/>
      </c>
      <c r="BV143">
        <f>IF(BV8="",0,2*(OR(ISNUMBER(FIND("WORKCENTER",BV8)),AND(LEFT(BV8,4)="LINE",NOT(ISNUMBER(FIND("STATUS",BV8))))))+4*(OR(ISNUMBER(FIND("WORKORDER",BV8)),AND(LEFT(BV8,2)="WO",OR(ISNUMBER(FIND("NUM",BV8)),RIGHT(BV8,2)="NO"))))+8*(LEFT(BV8,3)="SEQ")+16*(AND(LEFT(BV8,4)="ITEM",NOT(ISNUMBER(FIND("DESC",BV8)))))+32*(AND(ISNUMBER(FIND("DESC",BV8)),NOT(ISNUMBER(FIND("CAP",BV8)))))+64*(OR(RIGHT(BV8,5)="COUNT",RIGHT(BV8,2)="CT"))+128*(ISNUMBER(FIND("BULK",BV8)))+256*(ISNUMBER(FIND("SIZE",BV8)))+512*(LEFT(BV8,3)="CAP")+1024*(ISNUMBER(FIND("ALLERG",BV8)))+2048*(OR(ISNUMBER(FIND("REMARK",BV8)),ISNUMBER(FIND("COMMENT",BV8))))+4096*(OR(ISNUMBER(FIND("QTY",BV8)),ISNUMBER(FIND("QUANTITY",BV8))))+8192*(AND(OR(ISNUMBER(FIND("COMPLETE",BV8)),ISNUMBER(FIND("PCT",BV8)),ISNUMBER(FIND("PERCENT",BV8))),NOT(ISNUMBER(FIND("ACTUAL",BV8))),LEN(BV8)&lt;=16))+32768*(OR(ISNUMBER(FIND("DESIC",BV8)),ISNUMBER(FIND("DESSIC",BV8)))))</f>
        <v/>
      </c>
      <c r="BW143">
        <f>IF(BW8="",0,2*(OR(ISNUMBER(FIND("WORKCENTER",BW8)),AND(LEFT(BW8,4)="LINE",NOT(ISNUMBER(FIND("STATUS",BW8))))))+4*(OR(ISNUMBER(FIND("WORKORDER",BW8)),AND(LEFT(BW8,2)="WO",OR(ISNUMBER(FIND("NUM",BW8)),RIGHT(BW8,2)="NO"))))+8*(LEFT(BW8,3)="SEQ")+16*(AND(LEFT(BW8,4)="ITEM",NOT(ISNUMBER(FIND("DESC",BW8)))))+32*(AND(ISNUMBER(FIND("DESC",BW8)),NOT(ISNUMBER(FIND("CAP",BW8)))))+64*(OR(RIGHT(BW8,5)="COUNT",RIGHT(BW8,2)="CT"))+128*(ISNUMBER(FIND("BULK",BW8)))+256*(ISNUMBER(FIND("SIZE",BW8)))+512*(LEFT(BW8,3)="CAP")+1024*(ISNUMBER(FIND("ALLERG",BW8)))+2048*(OR(ISNUMBER(FIND("REMARK",BW8)),ISNUMBER(FIND("COMMENT",BW8))))+4096*(OR(ISNUMBER(FIND("QTY",BW8)),ISNUMBER(FIND("QUANTITY",BW8))))+8192*(AND(OR(ISNUMBER(FIND("COMPLETE",BW8)),ISNUMBER(FIND("PCT",BW8)),ISNUMBER(FIND("PERCENT",BW8))),NOT(ISNUMBER(FIND("ACTUAL",BW8))),LEN(BW8)&lt;=16))+32768*(OR(ISNUMBER(FIND("DESIC",BW8)),ISNUMBER(FIND("DESSIC",BW8)))))</f>
        <v/>
      </c>
      <c r="BX143">
        <f>IF(BX8="",0,2*(OR(ISNUMBER(FIND("WORKCENTER",BX8)),AND(LEFT(BX8,4)="LINE",NOT(ISNUMBER(FIND("STATUS",BX8))))))+4*(OR(ISNUMBER(FIND("WORKORDER",BX8)),AND(LEFT(BX8,2)="WO",OR(ISNUMBER(FIND("NUM",BX8)),RIGHT(BX8,2)="NO"))))+8*(LEFT(BX8,3)="SEQ")+16*(AND(LEFT(BX8,4)="ITEM",NOT(ISNUMBER(FIND("DESC",BX8)))))+32*(AND(ISNUMBER(FIND("DESC",BX8)),NOT(ISNUMBER(FIND("CAP",BX8)))))+64*(OR(RIGHT(BX8,5)="COUNT",RIGHT(BX8,2)="CT"))+128*(ISNUMBER(FIND("BULK",BX8)))+256*(ISNUMBER(FIND("SIZE",BX8)))+512*(LEFT(BX8,3)="CAP")+1024*(ISNUMBER(FIND("ALLERG",BX8)))+2048*(OR(ISNUMBER(FIND("REMARK",BX8)),ISNUMBER(FIND("COMMENT",BX8))))+4096*(OR(ISNUMBER(FIND("QTY",BX8)),ISNUMBER(FIND("QUANTITY",BX8))))+8192*(AND(OR(ISNUMBER(FIND("COMPLETE",BX8)),ISNUMBER(FIND("PCT",BX8)),ISNUMBER(FIND("PERCENT",BX8))),NOT(ISNUMBER(FIND("ACTUAL",BX8))),LEN(BX8)&lt;=16))+32768*(OR(ISNUMBER(FIND("DESIC",BX8)),ISNUMBER(FIND("DESSIC",BX8)))))</f>
        <v/>
      </c>
      <c r="BY143">
        <f>IF(BY8="",0,2*(OR(ISNUMBER(FIND("WORKCENTER",BY8)),AND(LEFT(BY8,4)="LINE",NOT(ISNUMBER(FIND("STATUS",BY8))))))+4*(OR(ISNUMBER(FIND("WORKORDER",BY8)),AND(LEFT(BY8,2)="WO",OR(ISNUMBER(FIND("NUM",BY8)),RIGHT(BY8,2)="NO"))))+8*(LEFT(BY8,3)="SEQ")+16*(AND(LEFT(BY8,4)="ITEM",NOT(ISNUMBER(FIND("DESC",BY8)))))+32*(AND(ISNUMBER(FIND("DESC",BY8)),NOT(ISNUMBER(FIND("CAP",BY8)))))+64*(OR(RIGHT(BY8,5)="COUNT",RIGHT(BY8,2)="CT"))+128*(ISNUMBER(FIND("BULK",BY8)))+256*(ISNUMBER(FIND("SIZE",BY8)))+512*(LEFT(BY8,3)="CAP")+1024*(ISNUMBER(FIND("ALLERG",BY8)))+2048*(OR(ISNUMBER(FIND("REMARK",BY8)),ISNUMBER(FIND("COMMENT",BY8))))+4096*(OR(ISNUMBER(FIND("QTY",BY8)),ISNUMBER(FIND("QUANTITY",BY8))))+8192*(AND(OR(ISNUMBER(FIND("COMPLETE",BY8)),ISNUMBER(FIND("PCT",BY8)),ISNUMBER(FIND("PERCENT",BY8))),NOT(ISNUMBER(FIND("ACTUAL",BY8))),LEN(BY8)&lt;=16))+32768*(OR(ISNUMBER(FIND("DESIC",BY8)),ISNUMBER(FIND("DESSIC",BY8)))))</f>
        <v/>
      </c>
      <c r="BZ143">
        <f>IF(BZ8="",0,2*(OR(ISNUMBER(FIND("WORKCENTER",BZ8)),AND(LEFT(BZ8,4)="LINE",NOT(ISNUMBER(FIND("STATUS",BZ8))))))+4*(OR(ISNUMBER(FIND("WORKORDER",BZ8)),AND(LEFT(BZ8,2)="WO",OR(ISNUMBER(FIND("NUM",BZ8)),RIGHT(BZ8,2)="NO"))))+8*(LEFT(BZ8,3)="SEQ")+16*(AND(LEFT(BZ8,4)="ITEM",NOT(ISNUMBER(FIND("DESC",BZ8)))))+32*(AND(ISNUMBER(FIND("DESC",BZ8)),NOT(ISNUMBER(FIND("CAP",BZ8)))))+64*(OR(RIGHT(BZ8,5)="COUNT",RIGHT(BZ8,2)="CT"))+128*(ISNUMBER(FIND("BULK",BZ8)))+256*(ISNUMBER(FIND("SIZE",BZ8)))+512*(LEFT(BZ8,3)="CAP")+1024*(ISNUMBER(FIND("ALLERG",BZ8)))+2048*(OR(ISNUMBER(FIND("REMARK",BZ8)),ISNUMBER(FIND("COMMENT",BZ8))))+4096*(OR(ISNUMBER(FIND("QTY",BZ8)),ISNUMBER(FIND("QUANTITY",BZ8))))+8192*(AND(OR(ISNUMBER(FIND("COMPLETE",BZ8)),ISNUMBER(FIND("PCT",BZ8)),ISNUMBER(FIND("PERCENT",BZ8))),NOT(ISNUMBER(FIND("ACTUAL",BZ8))),LEN(BZ8)&lt;=16))+32768*(OR(ISNUMBER(FIND("DESIC",BZ8)),ISNUMBER(FIND("DESSIC",BZ8)))))</f>
        <v/>
      </c>
      <c r="CA143">
        <f>IF(CA8="",0,2*(OR(ISNUMBER(FIND("WORKCENTER",CA8)),AND(LEFT(CA8,4)="LINE",NOT(ISNUMBER(FIND("STATUS",CA8))))))+4*(OR(ISNUMBER(FIND("WORKORDER",CA8)),AND(LEFT(CA8,2)="WO",OR(ISNUMBER(FIND("NUM",CA8)),RIGHT(CA8,2)="NO"))))+8*(LEFT(CA8,3)="SEQ")+16*(AND(LEFT(CA8,4)="ITEM",NOT(ISNUMBER(FIND("DESC",CA8)))))+32*(AND(ISNUMBER(FIND("DESC",CA8)),NOT(ISNUMBER(FIND("CAP",CA8)))))+64*(OR(RIGHT(CA8,5)="COUNT",RIGHT(CA8,2)="CT"))+128*(ISNUMBER(FIND("BULK",CA8)))+256*(ISNUMBER(FIND("SIZE",CA8)))+512*(LEFT(CA8,3)="CAP")+1024*(ISNUMBER(FIND("ALLERG",CA8)))+2048*(OR(ISNUMBER(FIND("REMARK",CA8)),ISNUMBER(FIND("COMMENT",CA8))))+4096*(OR(ISNUMBER(FIND("QTY",CA8)),ISNUMBER(FIND("QUANTITY",CA8))))+8192*(AND(OR(ISNUMBER(FIND("COMPLETE",CA8)),ISNUMBER(FIND("PCT",CA8)),ISNUMBER(FIND("PERCENT",CA8))),NOT(ISNUMBER(FIND("ACTUAL",CA8))),LEN(CA8)&lt;=16))+32768*(OR(ISNUMBER(FIND("DESIC",CA8)),ISNUMBER(FIND("DESSIC",CA8)))))</f>
        <v/>
      </c>
      <c r="CB143">
        <f>IF(CB8="",0,2*(OR(ISNUMBER(FIND("WORKCENTER",CB8)),AND(LEFT(CB8,4)="LINE",NOT(ISNUMBER(FIND("STATUS",CB8))))))+4*(OR(ISNUMBER(FIND("WORKORDER",CB8)),AND(LEFT(CB8,2)="WO",OR(ISNUMBER(FIND("NUM",CB8)),RIGHT(CB8,2)="NO"))))+8*(LEFT(CB8,3)="SEQ")+16*(AND(LEFT(CB8,4)="ITEM",NOT(ISNUMBER(FIND("DESC",CB8)))))+32*(AND(ISNUMBER(FIND("DESC",CB8)),NOT(ISNUMBER(FIND("CAP",CB8)))))+64*(OR(RIGHT(CB8,5)="COUNT",RIGHT(CB8,2)="CT"))+128*(ISNUMBER(FIND("BULK",CB8)))+256*(ISNUMBER(FIND("SIZE",CB8)))+512*(LEFT(CB8,3)="CAP")+1024*(ISNUMBER(FIND("ALLERG",CB8)))+2048*(OR(ISNUMBER(FIND("REMARK",CB8)),ISNUMBER(FIND("COMMENT",CB8))))+4096*(OR(ISNUMBER(FIND("QTY",CB8)),ISNUMBER(FIND("QUANTITY",CB8))))+8192*(AND(OR(ISNUMBER(FIND("COMPLETE",CB8)),ISNUMBER(FIND("PCT",CB8)),ISNUMBER(FIND("PERCENT",CB8))),NOT(ISNUMBER(FIND("ACTUAL",CB8))),LEN(CB8)&lt;=16))+32768*(OR(ISNUMBER(FIND("DESIC",CB8)),ISNUMBER(FIND("DESSIC",CB8)))))</f>
        <v/>
      </c>
      <c r="CC143">
        <f>IF(CC8="",0,2*(OR(ISNUMBER(FIND("WORKCENTER",CC8)),AND(LEFT(CC8,4)="LINE",NOT(ISNUMBER(FIND("STATUS",CC8))))))+4*(OR(ISNUMBER(FIND("WORKORDER",CC8)),AND(LEFT(CC8,2)="WO",OR(ISNUMBER(FIND("NUM",CC8)),RIGHT(CC8,2)="NO"))))+8*(LEFT(CC8,3)="SEQ")+16*(AND(LEFT(CC8,4)="ITEM",NOT(ISNUMBER(FIND("DESC",CC8)))))+32*(AND(ISNUMBER(FIND("DESC",CC8)),NOT(ISNUMBER(FIND("CAP",CC8)))))+64*(OR(RIGHT(CC8,5)="COUNT",RIGHT(CC8,2)="CT"))+128*(ISNUMBER(FIND("BULK",CC8)))+256*(ISNUMBER(FIND("SIZE",CC8)))+512*(LEFT(CC8,3)="CAP")+1024*(ISNUMBER(FIND("ALLERG",CC8)))+2048*(OR(ISNUMBER(FIND("REMARK",CC8)),ISNUMBER(FIND("COMMENT",CC8))))+4096*(OR(ISNUMBER(FIND("QTY",CC8)),ISNUMBER(FIND("QUANTITY",CC8))))+8192*(AND(OR(ISNUMBER(FIND("COMPLETE",CC8)),ISNUMBER(FIND("PCT",CC8)),ISNUMBER(FIND("PERCENT",CC8))),NOT(ISNUMBER(FIND("ACTUAL",CC8))),LEN(CC8)&lt;=16))+32768*(OR(ISNUMBER(FIND("DESIC",CC8)),ISNUMBER(FIND("DESSIC",CC8)))))</f>
        <v/>
      </c>
      <c r="CD143">
        <f>IF(CD8="",0,2*(OR(ISNUMBER(FIND("WORKCENTER",CD8)),AND(LEFT(CD8,4)="LINE",NOT(ISNUMBER(FIND("STATUS",CD8))))))+4*(OR(ISNUMBER(FIND("WORKORDER",CD8)),AND(LEFT(CD8,2)="WO",OR(ISNUMBER(FIND("NUM",CD8)),RIGHT(CD8,2)="NO"))))+8*(LEFT(CD8,3)="SEQ")+16*(AND(LEFT(CD8,4)="ITEM",NOT(ISNUMBER(FIND("DESC",CD8)))))+32*(AND(ISNUMBER(FIND("DESC",CD8)),NOT(ISNUMBER(FIND("CAP",CD8)))))+64*(OR(RIGHT(CD8,5)="COUNT",RIGHT(CD8,2)="CT"))+128*(ISNUMBER(FIND("BULK",CD8)))+256*(ISNUMBER(FIND("SIZE",CD8)))+512*(LEFT(CD8,3)="CAP")+1024*(ISNUMBER(FIND("ALLERG",CD8)))+2048*(OR(ISNUMBER(FIND("REMARK",CD8)),ISNUMBER(FIND("COMMENT",CD8))))+4096*(OR(ISNUMBER(FIND("QTY",CD8)),ISNUMBER(FIND("QUANTITY",CD8))))+8192*(AND(OR(ISNUMBER(FIND("COMPLETE",CD8)),ISNUMBER(FIND("PCT",CD8)),ISNUMBER(FIND("PERCENT",CD8))),NOT(ISNUMBER(FIND("ACTUAL",CD8))),LEN(CD8)&lt;=16))+32768*(OR(ISNUMBER(FIND("DESIC",CD8)),ISNUMBER(FIND("DESSIC",CD8)))))</f>
        <v/>
      </c>
      <c r="CE143">
        <f>IF(CE8="",0,2*(OR(ISNUMBER(FIND("WORKCENTER",CE8)),AND(LEFT(CE8,4)="LINE",NOT(ISNUMBER(FIND("STATUS",CE8))))))+4*(OR(ISNUMBER(FIND("WORKORDER",CE8)),AND(LEFT(CE8,2)="WO",OR(ISNUMBER(FIND("NUM",CE8)),RIGHT(CE8,2)="NO"))))+8*(LEFT(CE8,3)="SEQ")+16*(AND(LEFT(CE8,4)="ITEM",NOT(ISNUMBER(FIND("DESC",CE8)))))+32*(AND(ISNUMBER(FIND("DESC",CE8)),NOT(ISNUMBER(FIND("CAP",CE8)))))+64*(OR(RIGHT(CE8,5)="COUNT",RIGHT(CE8,2)="CT"))+128*(ISNUMBER(FIND("BULK",CE8)))+256*(ISNUMBER(FIND("SIZE",CE8)))+512*(LEFT(CE8,3)="CAP")+1024*(ISNUMBER(FIND("ALLERG",CE8)))+2048*(OR(ISNUMBER(FIND("REMARK",CE8)),ISNUMBER(FIND("COMMENT",CE8))))+4096*(OR(ISNUMBER(FIND("QTY",CE8)),ISNUMBER(FIND("QUANTITY",CE8))))+8192*(AND(OR(ISNUMBER(FIND("COMPLETE",CE8)),ISNUMBER(FIND("PCT",CE8)),ISNUMBER(FIND("PERCENT",CE8))),NOT(ISNUMBER(FIND("ACTUAL",CE8))),LEN(CE8)&lt;=16))+32768*(OR(ISNUMBER(FIND("DESIC",CE8)),ISNUMBER(FIND("DESSIC",CE8)))))</f>
        <v/>
      </c>
      <c r="CF143">
        <f>IF(CF8="",0,2*(OR(ISNUMBER(FIND("WORKCENTER",CF8)),AND(LEFT(CF8,4)="LINE",NOT(ISNUMBER(FIND("STATUS",CF8))))))+4*(OR(ISNUMBER(FIND("WORKORDER",CF8)),AND(LEFT(CF8,2)="WO",OR(ISNUMBER(FIND("NUM",CF8)),RIGHT(CF8,2)="NO"))))+8*(LEFT(CF8,3)="SEQ")+16*(AND(LEFT(CF8,4)="ITEM",NOT(ISNUMBER(FIND("DESC",CF8)))))+32*(AND(ISNUMBER(FIND("DESC",CF8)),NOT(ISNUMBER(FIND("CAP",CF8)))))+64*(OR(RIGHT(CF8,5)="COUNT",RIGHT(CF8,2)="CT"))+128*(ISNUMBER(FIND("BULK",CF8)))+256*(ISNUMBER(FIND("SIZE",CF8)))+512*(LEFT(CF8,3)="CAP")+1024*(ISNUMBER(FIND("ALLERG",CF8)))+2048*(OR(ISNUMBER(FIND("REMARK",CF8)),ISNUMBER(FIND("COMMENT",CF8))))+4096*(OR(ISNUMBER(FIND("QTY",CF8)),ISNUMBER(FIND("QUANTITY",CF8))))+8192*(AND(OR(ISNUMBER(FIND("COMPLETE",CF8)),ISNUMBER(FIND("PCT",CF8)),ISNUMBER(FIND("PERCENT",CF8))),NOT(ISNUMBER(FIND("ACTUAL",CF8))),LEN(CF8)&lt;=16))+32768*(OR(ISNUMBER(FIND("DESIC",CF8)),ISNUMBER(FIND("DESSIC",CF8)))))</f>
        <v/>
      </c>
      <c r="DA143" t="n">
        <v>139</v>
      </c>
      <c r="DB143">
        <f>IF($B$37=0,"",IFERROR(TRIM(SUBSTITUTE(SUBSTITUTE(SUBSTITUTE(SUBSTITUTE(INDEX(PASTE_ALL,139,$B$37)," "," "),CHAR(9)," "),CHAR(10)," "),CHAR(13)," ")),""))</f>
        <v/>
      </c>
      <c r="DC143">
        <f>IF(AND(139&gt;HEADER_ROW,UPPER(DB143)="LEGEND"),1,0)</f>
        <v/>
      </c>
      <c r="DE143" t="n">
        <v>139</v>
      </c>
      <c r="DF143">
        <f>HEADER_ROW+$DE143</f>
        <v/>
      </c>
      <c r="DG143">
        <f>IF(AND($DF143&lt;=1000,$DF143&lt;$B$8),1,0)</f>
        <v/>
      </c>
      <c r="DH143">
        <f>IF($DG143=1,IFERROR(INDEX($DB$5:$DB$1004,$DF143),""),"")</f>
        <v/>
      </c>
      <c r="DI143">
        <f>IF(AND($DG143=1,$DH143&lt;&gt;""),IFERROR(SUBSTITUTE(SUBSTITUTE(TRIM(SUBSTITUTE(SUBSTITUTE(SUBSTITUTE(SUBSTITUTE(IFERROR(INDEX(PASTE_ALL,$DF143,1)&amp;"","")&amp;"␟"&amp;IFERROR(INDEX(PASTE_ALL,$DF143,2)&amp;"","")&amp;"␟"&amp;IFERROR(INDEX(PASTE_ALL,$DF143,3)&amp;"","")&amp;"␟"&amp;IFERROR(INDEX(PASTE_ALL,$DF143,4)&amp;"","")&amp;"␟"&amp;IFERROR(INDEX(PASTE_ALL,$DF143,5)&amp;"","")&amp;"␟"&amp;IFERROR(INDEX(PASTE_ALL,$DF143,6)&amp;"","")&amp;"␟"&amp;IFERROR(INDEX(PASTE_ALL,$DF143,7)&amp;"","")&amp;"␟"&amp;IFERROR(INDEX(PASTE_ALL,$DF143,8)&amp;"","")&amp;"␟"&amp;IFERROR(INDEX(PASTE_ALL,$DF143,9)&amp;"","")&amp;"␟"&amp;IFERROR(INDEX(PASTE_ALL,$DF143,10)&amp;"","")&amp;"␟"&amp;IFERROR(INDEX(PASTE_ALL,$DF143,11)&amp;"","")&amp;"␟"&amp;IFERROR(INDEX(PASTE_ALL,$DF143,12)&amp;"","")&amp;"␟"&amp;IFERROR(INDEX(PASTE_ALL,$DF143,13)&amp;"","")&amp;"␟"&amp;IFERROR(INDEX(PASTE_ALL,$DF143,14)&amp;"","")&amp;"␟"&amp;IFERROR(INDEX(PASTE_ALL,$DF143,15)&amp;"","")&amp;"␟"&amp;IFERROR(INDEX(PASTE_ALL,$DF143,16)&amp;"","")&amp;"␟"&amp;IFERROR(INDEX(PASTE_ALL,$DF143,17)&amp;"","")&amp;"␟"&amp;IFERROR(INDEX(PASTE_ALL,$DF143,18)&amp;"","")&amp;"␟"&amp;IFERROR(INDEX(PASTE_ALL,$DF143,19)&amp;"","")&amp;"␟"&amp;IFERROR(INDEX(PASTE_ALL,$DF143,20)&amp;"","")&amp;"␟"&amp;IFERROR(INDEX(PASTE_ALL,$DF143,21)&amp;"","")&amp;"␟"&amp;IFERROR(INDEX(PASTE_ALL,$DF143,22)&amp;"","")&amp;"␟"&amp;IFERROR(INDEX(PASTE_ALL,$DF143,23)&amp;"","")&amp;"␟"&amp;IFERROR(INDEX(PASTE_ALL,$DF143,24)&amp;"","")&amp;"␟"&amp;IFERROR(INDEX(PASTE_ALL,$DF143,25)&amp;"","")&amp;"␟"&amp;IFERROR(INDEX(PASTE_ALL,$DF143,26)&amp;"","")&amp;"␟"&amp;IFERROR(INDEX(PASTE_ALL,$DF143,27)&amp;"","")&amp;"␟"&amp;IFERROR(INDEX(PASTE_ALL,$DF143,28)&amp;"","")&amp;"␟"&amp;IFERROR(INDEX(PASTE_ALL,$DF143,29)&amp;"","")&amp;"␟"&amp;IFERROR(INDEX(PASTE_ALL,$DF143,30)&amp;"","")&amp;"␟"&amp;IFERROR(INDEX(PASTE_ALL,$DF143,31)&amp;"","")&amp;"␟"&amp;IFERROR(INDEX(PASTE_ALL,$DF143,32)&amp;"","")&amp;"␟"&amp;IFERROR(INDEX(PASTE_ALL,$DF143,33)&amp;"","")&amp;"␟"&amp;IFERROR(INDEX(PASTE_ALL,$DF143,34)&amp;"","")&amp;"␟"&amp;IFERROR(INDEX(PASTE_ALL,$DF143,35)&amp;"","")&amp;"␟"&amp;IFERROR(INDEX(PASTE_ALL,$DF143,36)&amp;"","")&amp;"␟"&amp;IFERROR(INDEX(PASTE_ALL,$DF143,37)&amp;"","")&amp;"␟"&amp;IFERROR(INDEX(PASTE_ALL,$DF143,38)&amp;"","")&amp;"␟"&amp;IFERROR(INDEX(PASTE_ALL,$DF143,39)&amp;"","")&amp;"␟"&amp;IFERROR(INDEX(PASTE_ALL,$DF143,40)&amp;"","")&amp;"␟"&amp;IFERROR(INDEX(PASTE_ALL,$DF143,41)&amp;"","")&amp;"␟"&amp;IFERROR(INDEX(PASTE_ALL,$DF143,42)&amp;"","")&amp;"␟"&amp;IFERROR(INDEX(PASTE_ALL,$DF143,43)&amp;"","")&amp;"␟"&amp;IFERROR(INDEX(PASTE_ALL,$DF143,44)&amp;"","")&amp;"␟"&amp;IFERROR(INDEX(PASTE_ALL,$DF143,45)&amp;"","")&amp;"␟"&amp;IFERROR(INDEX(PASTE_ALL,$DF143,46)&amp;"","")&amp;"␟"&amp;IFERROR(INDEX(PASTE_ALL,$DF143,47)&amp;"","")&amp;"␟"&amp;IFERROR(INDEX(PASTE_ALL,$DF143,48)&amp;"","")&amp;"␟"&amp;IFERROR(INDEX(PASTE_ALL,$DF143,49)&amp;"","")&amp;"␟"&amp;IFERROR(INDEX(PASTE_ALL,$DF143,50)&amp;"","")&amp;"␟"&amp;IFERROR(INDEX(PASTE_ALL,$DF143,51)&amp;"","")&amp;"␟"&amp;IFERROR(INDEX(PASTE_ALL,$DF143,52)&amp;"","")&amp;"␟"&amp;IFERROR(INDEX(PASTE_ALL,$DF143,53)&amp;"","")&amp;"␟"&amp;IFERROR(INDEX(PASTE_ALL,$DF143,54)&amp;"","")&amp;"␟"&amp;IFERROR(INDEX(PASTE_ALL,$DF143,55)&amp;"","")&amp;"␟"&amp;IFERROR(INDEX(PASTE_ALL,$DF143,56)&amp;"","")&amp;"␟"&amp;IFERROR(INDEX(PASTE_ALL,$DF143,57)&amp;"","")&amp;"␟"&amp;IFERROR(INDEX(PASTE_ALL,$DF143,58)&amp;"","")&amp;"␟"&amp;IFERROR(INDEX(PASTE_ALL,$DF143,59)&amp;"","")&amp;"␟"&amp;IFERROR(INDEX(PASTE_ALL,$DF143,60)&amp;"","")," "," "),CHAR(9)," "),CHAR(10)," "),CHAR(13)," "))," ␟","␟"),"␟ ","␟"),"#"&amp;$DE143),"")</f>
        <v/>
      </c>
      <c r="DJ143">
        <f>IF($DI143="",0,IF(SUMPRODUCT(--EXACT($DI$4:DI142,$DI143))&gt;0,1,0))</f>
        <v/>
      </c>
      <c r="DK143">
        <f>IF(AND($DI143&lt;&gt;"",$DJ143=0),1,0)</f>
        <v/>
      </c>
      <c r="DL143">
        <f>DL142+$DK143</f>
        <v/>
      </c>
      <c r="DM143">
        <f>IF(AND($DK143=1,$DL143&lt;=600),1,0)</f>
        <v/>
      </c>
      <c r="DN143">
        <f>IF($DM143=0,"",IF($L$6=0,"",IFERROR(IF(ISNUMBER(INDEX(PASTE_ALL,$DF143,$L$6)),INDEX(PASTE_ALL,$DF143,$L$6),TRIM(SUBSTITUTE(SUBSTITUTE(SUBSTITUTE(SUBSTITUTE(INDEX(PASTE_ALL,$DF143,$L$6)," "," "),CHAR(9)," "),CHAR(10)," "),CHAR(13)," "))),"")))</f>
        <v/>
      </c>
      <c r="DO143">
        <f>IF($DM143=0,"",IF($L$7=0,"",IFERROR(IF(ISNUMBER(INDEX(PASTE_ALL,$DF143,$L$7)),INDEX(PASTE_ALL,$DF143,$L$7),TRIM(SUBSTITUTE(SUBSTITUTE(SUBSTITUTE(SUBSTITUTE(INDEX(PASTE_ALL,$DF143,$L$7)," "," "),CHAR(9)," "),CHAR(10)," "),CHAR(13)," "))),"")))</f>
        <v/>
      </c>
      <c r="DP143">
        <f>IF($DM143=0,"",IF($L$8=0,"",IFERROR(IF(ISNUMBER(INDEX(PASTE_ALL,$DF143,$L$8)),INDEX(PASTE_ALL,$DF143,$L$8),TRIM(SUBSTITUTE(SUBSTITUTE(SUBSTITUTE(SUBSTITUTE(INDEX(PASTE_ALL,$DF143,$L$8)," "," "),CHAR(9)," "),CHAR(10)," "),CHAR(13)," "))),"")))</f>
        <v/>
      </c>
      <c r="DQ143">
        <f>IF($DM143=0,"",IF($L$9=0,"",IFERROR(IF(ISNUMBER(INDEX(PASTE_ALL,$DF143,$L$9)),INDEX(PASTE_ALL,$DF143,$L$9),TRIM(SUBSTITUTE(SUBSTITUTE(SUBSTITUTE(SUBSTITUTE(INDEX(PASTE_ALL,$DF143,$L$9)," "," "),CHAR(9)," "),CHAR(10)," "),CHAR(13)," "))),"")))</f>
        <v/>
      </c>
      <c r="DR143">
        <f>IF($DM143=0,"",IF($L$10=0,"",IFERROR(IF(ISNUMBER(INDEX(PASTE_ALL,$DF143,$L$10)),INDEX(PASTE_ALL,$DF143,$L$10),TRIM(SUBSTITUTE(SUBSTITUTE(SUBSTITUTE(SUBSTITUTE(INDEX(PASTE_ALL,$DF143,$L$10)," "," "),CHAR(9)," "),CHAR(10)," "),CHAR(13)," "))),"")))</f>
        <v/>
      </c>
      <c r="DS143">
        <f>IF($DM143=0,"",IF($L$11=0,"",IFERROR(IF(ISNUMBER(INDEX(PASTE_ALL,$DF143,$L$11)),INDEX(PASTE_ALL,$DF143,$L$11),TRIM(SUBSTITUTE(SUBSTITUTE(SUBSTITUTE(SUBSTITUTE(INDEX(PASTE_ALL,$DF143,$L$11)," "," "),CHAR(9)," "),CHAR(10)," "),CHAR(13)," "))),"")))</f>
        <v/>
      </c>
      <c r="DT143">
        <f>IF($DM143=0,"",IF($L$12=0,"",IFERROR(IF(ISNUMBER(INDEX(PASTE_ALL,$DF143,$L$12)),INDEX(PASTE_ALL,$DF143,$L$12),TRIM(SUBSTITUTE(SUBSTITUTE(SUBSTITUTE(SUBSTITUTE(INDEX(PASTE_ALL,$DF143,$L$12)," "," "),CHAR(9)," "),CHAR(10)," "),CHAR(13)," "))),"")))</f>
        <v/>
      </c>
      <c r="DU143">
        <f>IF($DM143=0,"",IF($L$13=0,"",IFERROR(IF(ISNUMBER(INDEX(PASTE_ALL,$DF143,$L$13)),INDEX(PASTE_ALL,$DF143,$L$13),TRIM(SUBSTITUTE(SUBSTITUTE(SUBSTITUTE(SUBSTITUTE(INDEX(PASTE_ALL,$DF143,$L$13)," "," "),CHAR(9)," "),CHAR(10)," "),CHAR(13)," "))),"")))</f>
        <v/>
      </c>
      <c r="DV143">
        <f>IF($DM143=0,"",IF($L$14=0,"",IFERROR(IF(ISNUMBER(INDEX(PASTE_ALL,$DF143,$L$14)),INDEX(PASTE_ALL,$DF143,$L$14),TRIM(SUBSTITUTE(SUBSTITUTE(SUBSTITUTE(SUBSTITUTE(INDEX(PASTE_ALL,$DF143,$L$14)," "," "),CHAR(9)," "),CHAR(10)," "),CHAR(13)," "))),"")))</f>
        <v/>
      </c>
      <c r="DW143">
        <f>IF($DM143=0,"",IF($L$15=0,"",IFERROR(IF(ISNUMBER(INDEX(PASTE_ALL,$DF143,$L$15)),INDEX(PASTE_ALL,$DF143,$L$15),IF(SUMPRODUCT(--ISNUMBER(FIND({"A","B","C","D","E","F","G","H","I","J","K","L","M","N","O","P","Q","R","S","T","U","V","W","X","Y","Z","0","1","2","3","4","5","6","7","8","9"},UPPER(TRIM(SUBSTITUTE(SUBSTITUTE(SUBSTITUTE(SUBSTITUTE(INDEX(PASTE_ALL,$DF143,$L$15)," "," "),CHAR(9)," "),CHAR(10)," "),CHAR(13)," "))))))&gt;0,TRIM(SUBSTITUTE(SUBSTITUTE(SUBSTITUTE(SUBSTITUTE(INDEX(PASTE_ALL,$DF143,$L$15)," "," "),CHAR(9)," "),CHAR(10)," "),CHAR(13)," ")),"")),"")))</f>
        <v/>
      </c>
      <c r="DX143">
        <f>IF($DM143=0,"",IF($L$16=0,"",IFERROR(IF(ISNUMBER(INDEX(PASTE_ALL,$DF143,$L$16)),INDEX(PASTE_ALL,$DF143,$L$16),SUBSTITUTE(SUBSTITUTE(TRIM(SUBSTITUTE(SUBSTITUTE(SUBSTITUTE(SUBSTITUTE(INDEX(PASTE_ALL,$DF143,$L$16)," "," "),CHAR(9)," "),CHAR(10)," "),CHAR(13)," ")),",",""),"%","")),"")))</f>
        <v/>
      </c>
      <c r="DY143">
        <f>IF($DM143=0,"",IFERROR(IF(ISNUMBER($DX143),$DX143,IF($DX143="","",IF(TRIM($DX143)="",0,IF(AND(AND(SUBSTITUTE(SUBSTITUTE(SUBSTITUTE(SUBSTITUTE(SUBSTITUTE(SUBSTITUTE(SUBSTITUTE(SUBSTITUTE(SUBSTITUTE(SUBSTITUTE(SUBSTITUTE(SUBSTITUTE(SUBSTITUTE(SUBSTITUTE(UPPER(TRIM($DX143)),"0",""),"1",""),"2",""),"3",""),"4",""),"5",""),"6",""),"7",""),"8",""),"9",""),".",""),"+",""),"-",""),"E","")="",LEN(SUBSTITUTE(SUBSTITUTE(MID(UPPER(TRIM($DX143)),1+OR(LEFT(UPPER(TRIM($DX143)),1)="+",LEFT(UPPER(TRIM($DX143)),1)="-"),999),"E+","E"),"E-","E"))=LEN(SUBSTITUTE(SUBSTITUTE(SUBSTITUTE(SUBSTITUTE(MID(UPPER(TRIM($DX143)),1+OR(LEFT(UPPER(TRIM($DX143)),1)="+",LEFT(UPPER(TRIM($DX143)),1)="-"),999),"E+","E"),"E-","E"),"+",""),"-","")),LEN(UPPER(TRIM($DX143)))-LEN(SUBSTITUTE(UPPER(TRIM($DX143)),"E",""))&lt;2,LEN(UPPER(TRIM($DX143)))-LEN(SUBSTITUTE(UPPER(TRIM($DX143)),".",""))&lt;2,IFERROR(FIND(".",UPPER(TRIM($DX143))),0)&lt;IFERROR(FIND("E",UPPER(TRIM($DX143))),999)),ISNUMBER(VALUE(TRIM($DX143)))),VALUE(TRIM($DX143)),"")))),""))</f>
        <v/>
      </c>
      <c r="DZ143">
        <f>IF($DM143=0,"",IF($L$17=0,"",IFERROR(IF(ISNUMBER(INDEX(PASTE_ALL,$DF143,$L$17)),INDEX(PASTE_ALL,$DF143,$L$17),SUBSTITUTE(SUBSTITUTE(TRIM(SUBSTITUTE(SUBSTITUTE(SUBSTITUTE(SUBSTITUTE(INDEX(PASTE_ALL,$DF143,$L$17)," "," "),CHAR(9)," "),CHAR(10)," "),CHAR(13)," ")),",",""),"%","")),"")))</f>
        <v/>
      </c>
      <c r="EA143">
        <f>IF($DM143=0,"",IFERROR(IF(ISNUMBER($DZ143),$DZ143,IF($DZ143="","",IF(TRIM($DZ143)="",0,IF(AND(AND(SUBSTITUTE(SUBSTITUTE(SUBSTITUTE(SUBSTITUTE(SUBSTITUTE(SUBSTITUTE(SUBSTITUTE(SUBSTITUTE(SUBSTITUTE(SUBSTITUTE(SUBSTITUTE(SUBSTITUTE(SUBSTITUTE(SUBSTITUTE(UPPER(TRIM($DZ143)),"0",""),"1",""),"2",""),"3",""),"4",""),"5",""),"6",""),"7",""),"8",""),"9",""),".",""),"+",""),"-",""),"E","")="",LEN(SUBSTITUTE(SUBSTITUTE(MID(UPPER(TRIM($DZ143)),1+OR(LEFT(UPPER(TRIM($DZ143)),1)="+",LEFT(UPPER(TRIM($DZ143)),1)="-"),999),"E+","E"),"E-","E"))=LEN(SUBSTITUTE(SUBSTITUTE(SUBSTITUTE(SUBSTITUTE(MID(UPPER(TRIM($DZ143)),1+OR(LEFT(UPPER(TRIM($DZ143)),1)="+",LEFT(UPPER(TRIM($DZ143)),1)="-"),999),"E+","E"),"E-","E"),"+",""),"-","")),LEN(UPPER(TRIM($DZ143)))-LEN(SUBSTITUTE(UPPER(TRIM($DZ143)),"E",""))&lt;2,LEN(UPPER(TRIM($DZ143)))-LEN(SUBSTITUTE(UPPER(TRIM($DZ143)),".",""))&lt;2,IFERROR(FIND(".",UPPER(TRIM($DZ143))),0)&lt;IFERROR(FIND("E",UPPER(TRIM($DZ143))),999)),ISNUMBER(VALUE(TRIM($DZ143)))),VALUE(TRIM($DZ143)),"")))),""))</f>
        <v/>
      </c>
      <c r="EB143">
        <f>IF($DM143=0,"",IF($L$18=0,"",IFERROR(IF(UPPER(TRIM(SUBSTITUTE(SUBSTITUTE(SUBSTITUTE(SUBSTITUTE(INDEX(PASTE_ALL,$DF143,$L$18)," "," "),CHAR(9)," "),CHAR(10)," "),CHAR(13)," ")))="READY","Ready",IF(UPPER(TRIM(SUBSTITUTE(SUBSTITUTE(SUBSTITUTE(SUBSTITUTE(INDEX(PASTE_ALL,$DF143,$L$18)," "," "),CHAR(9)," "),CHAR(10)," "),CHAR(13)," ")))="PM","PM",IF(OR(UPPER(TRIM(SUBSTITUTE(SUBSTITUTE(SUBSTITUTE(SUBSTITUTE(INDEX(PASTE_ALL,$DF143,$L$18)," "," "),CHAR(9)," "),CHAR(10)," "),CHAR(13)," ")))="OT",UPPER(TRIM(SUBSTITUTE(SUBSTITUTE(SUBSTITUTE(SUBSTITUTE(INDEX(PASTE_ALL,$DF143,$L$18)," "," "),CHAR(9)," "),CHAR(10)," "),CHAR(13)," ")))="OVERTIME",UPPER(TRIM(SUBSTITUTE(SUBSTITUTE(SUBSTITUTE(SUBSTITUTE(INDEX(PASTE_ALL,$DF143,$L$18)," "," "),CHAR(9)," "),CHAR(10)," "),CHAR(13)," ")))="TRIAL"),"OT",TRIM(SUBSTITUTE(SUBSTITUTE(SUBSTITUTE(SUBSTITUTE(INDEX(PASTE_ALL,$DF143,$L$18)," "," "),CHAR(9)," "),CHAR(10)," "),CHAR(13)," "))))),"")))</f>
        <v/>
      </c>
      <c r="EC143">
        <f>IF($DM143=0,"",IF($L$19=0,"",IFERROR(IF(ISNUMBER(INDEX(PASTE_ALL,$DF143,$L$19)),INDEX(PASTE_ALL,$DF143,$L$19),TRIM(SUBSTITUTE(SUBSTITUTE(SUBSTITUTE(SUBSTITUTE(INDEX(PASTE_ALL,$DF143,$L$19)," "," "),CHAR(9)," "),CHAR(10)," "),CHAR(13)," "))),"")))</f>
        <v/>
      </c>
      <c r="ED143">
        <f>IF($DM143=0,"",MATCH(1,INDEX(EXACT($DH$5:DH143,$DH143)*$DM$5:DM143,0),0))</f>
        <v/>
      </c>
      <c r="EE143">
        <f>IF($DM143=0,0,IF($ED143=$DE143,1,0))</f>
        <v/>
      </c>
      <c r="EF143">
        <f>EF142+$EE143</f>
        <v/>
      </c>
      <c r="EG143">
        <f>IF($DM143=0,"",INDEX($EF$5:$EF$1003,$ED143))</f>
        <v/>
      </c>
      <c r="EH143">
        <f>IF($DM143=0,"",IF($DO143&lt;&gt;"","",IFERROR(LOOKUP(2,1/(($EG$4:EG142=$EG143)*($DO$4:DO142&lt;&gt;"")),$DO$4:DO142),"")))</f>
        <v/>
      </c>
      <c r="EI143">
        <f>IF($DM143=0,"",IF($DO143&lt;&gt;"",$DO143,$EH143))</f>
        <v/>
      </c>
      <c r="EJ143">
        <f>IF($DM143=0,"",IF($EI143="",0,IF(OR(ISNUMBER($EI143),AND(AND(SUBSTITUTE(SUBSTITUTE(SUBSTITUTE(SUBSTITUTE(SUBSTITUTE(SUBSTITUTE(SUBSTITUTE(SUBSTITUTE(SUBSTITUTE(SUBSTITUTE(SUBSTITUTE(SUBSTITUTE(SUBSTITUTE(SUBSTITUTE(UPPER($EI143),"0",""),"1",""),"2",""),"3",""),"4",""),"5",""),"6",""),"7",""),"8",""),"9",""),".",""),"+",""),"-",""),"E","")="",LEN(SUBSTITUTE(SUBSTITUTE(MID(UPPER($EI143),1+OR(LEFT(UPPER($EI143),1)="+",LEFT(UPPER($EI143),1)="-"),999),"E+","E"),"E-","E"))=LEN(SUBSTITUTE(SUBSTITUTE(SUBSTITUTE(SUBSTITUTE(MID(UPPER($EI143),1+OR(LEFT(UPPER($EI143),1)="+",LEFT(UPPER($EI143),1)="-"),999),"E+","E"),"E-","E"),"+",""),"-","")),LEN(UPPER($EI143))-LEN(SUBSTITUTE(UPPER($EI143),"E",""))&lt;2,LEN(UPPER($EI143))-LEN(SUBSTITUTE(UPPER($EI143),".",""))&lt;2,IFERROR(FIND(".",UPPER($EI143)),0)&lt;IFERROR(FIND("E",UPPER($EI143)),999)),ISNUMBER(VALUE($EI143)))),1,2)))</f>
        <v/>
      </c>
      <c r="EK143">
        <f>IF($DM143=0,"",IF($EJ143=1,IF(ISNUMBER($EI143),$EI143,VALUE($EI143)),IF($EJ143=2,$DE143,0)))</f>
        <v/>
      </c>
      <c r="EL143">
        <f>IF($DM143=0,"",COUNTIF($EG$5:$EG$1003,"&lt;"&amp;$EG143)+SUMPRODUCT(($EG$5:$EG$1003=$EG143)*(($EJ$5:$EJ$1003&lt;$EJ143)+($EJ$5:$EJ$1003=$EJ143)*(($EK$5:$EK$1003&lt;$EK143)+($EK$5:$EK$1003=$EK143)*($DE$5:$DE$1003&lt;$DE143))))+1)</f>
        <v/>
      </c>
      <c r="EM143">
        <f>IF($DM143=0,"",$EL143+$EG143-1)</f>
        <v/>
      </c>
      <c r="EN143">
        <f>IF($DM143=0,0,IFERROR(MATCH(1,INDEX(--(TRIM(SUBSTITUTE(SUBSTITUTE(SUBSTITUTE(SUBSTITUTE(LINES_NAME&amp;""," "," "),CHAR(9)," "),CHAR(10)," "),CHAR(13)," "))=$DH143),0),0),0))</f>
        <v/>
      </c>
      <c r="EO143">
        <f>IF($EN143=0,0,IF(OR(UPPER(TRIM(INDEX(LINES_SCHEDULED,$EN143)&amp;""))="YES",UPPER(TRIM(INDEX(LINES_SCHEDULED,$EN143)&amp;""))="Y",UPPER(TRIM(INDEX(LINES_SCHEDULED,$EN143)&amp;""))="X"),1,0))</f>
        <v/>
      </c>
      <c r="EP143">
        <f>IF($DM143=0,"",IF(COUNTIFS($EG$5:$EG$1003,$EG143,$EB$5:$EB$1003,"Ready")&gt;0,"READY",IF(COUNTIFS($EG$5:$EG$1003,$EG143,$EB$5:$EB$1003,"PM")&gt;0,"PM",IF(COUNTIFS($EG$5:$EG$1003,$EG143,$EB$5:$EB$1003,"OT")&gt;0,"OT",""))))</f>
        <v/>
      </c>
      <c r="EQ143">
        <f>IF($EN143=0,"",UPPER(TRIM(INDEX(LINES_STATUS,$EN143)&amp;"")))</f>
        <v/>
      </c>
      <c r="ER143">
        <f>IF($DM143=0,"",IF(OR($EQ143="READY",$EQ143="PM",$EQ143="OT"),$EQ143,$EP143))</f>
        <v/>
      </c>
      <c r="ES143">
        <f>IF($DM143=0,"",IF(AND($DV143&lt;&gt;"",UPPER($DV143)&lt;&gt;"N"),"allergen",IF(ISNUMBER(SEARCH("oil",$DQ143)),"oil",IF(OR(EXACT($DS143,"A662"),EXACT($DS143,"A624")),"bulk",""))))</f>
        <v/>
      </c>
      <c r="ET143">
        <f>IF($DM143=0,"",IF(OR($EA143="",$EA143=0),"",$EA143/100))</f>
        <v/>
      </c>
      <c r="EU143">
        <f>IF(OR($ET143="",$DY143=""),"",INT($DY143*(1-$ET143)+0.5))</f>
        <v/>
      </c>
      <c r="EW143" t="n">
        <v>139</v>
      </c>
      <c r="EX143">
        <f>IFERROR(MATCH($EW143,$EM$5:$EM$1003,0),0)</f>
        <v/>
      </c>
      <c r="EY143">
        <f>IF($EW143&gt;$B$12,"",IF($EX143&gt;0,"row","spacer"))</f>
        <v/>
      </c>
      <c r="EZ143">
        <f>IF(AND($EY143="row",$EY142&lt;&gt;"row"),1,0)</f>
        <v/>
      </c>
      <c r="FA143">
        <f>IF(AND($EY143="row",$EY144&lt;&gt;"row"),1,0)</f>
        <v/>
      </c>
      <c r="FB143">
        <f>IF($EZ143=1,IFERROR(IF(ISNUMBER(INDEX(PASTE_ALL,INDEX($DF$5:$DF$1003,$EX143),$B$37)),INDEX(PASTE_ALL,INDEX($DF$5:$DF$1003,$EX143),$B$37),INDEX($DH$5:$DH$1003,$EX143)),INDEX($DH$5:$DH$1003,$EX143)),"")</f>
        <v/>
      </c>
      <c r="FC143">
        <f>IF($EY143="row",INDEX($ER$5:$ER$1003,$EX143),"")</f>
        <v/>
      </c>
      <c r="FD143">
        <f>IF($EY143="row",INDEX($DN$5:$DN$1003,$EX143),"")</f>
        <v/>
      </c>
      <c r="FE143">
        <f>IF($EY143="row",INDEX($DO$5:$DO$1003,$EX143),"")</f>
        <v/>
      </c>
      <c r="FF143">
        <f>IF($EY143="row",INDEX($DP$5:$DP$1003,$EX143),"")</f>
        <v/>
      </c>
      <c r="FG143">
        <f>IF($EY143="row",INDEX($DQ$5:$DQ$1003,$EX143),"")</f>
        <v/>
      </c>
      <c r="FH143">
        <f>IF($EY143="row",INDEX($DR$5:$DR$1003,$EX143),"")</f>
        <v/>
      </c>
      <c r="FI143">
        <f>IF($EY143="row",INDEX($DS$5:$DS$1003,$EX143),"")</f>
        <v/>
      </c>
      <c r="FJ143">
        <f>IF($EY143="row",INDEX($DT$5:$DT$1003,$EX143),"")</f>
        <v/>
      </c>
      <c r="FK143">
        <f>IF($EY143="row",INDEX($DU$5:$DU$1003,$EX143),"")</f>
        <v/>
      </c>
      <c r="FL143">
        <f>IF($EY143="row",INDEX($DV$5:$DV$1003,$EX143),"")</f>
        <v/>
      </c>
      <c r="FM143">
        <f>IF($EY143="row",INDEX($DW$5:$DW$1003,$EX143),"")</f>
        <v/>
      </c>
      <c r="FN143">
        <f>IF($EY143="row",INDEX($DY$5:$DY$1003,$EX143),"")</f>
        <v/>
      </c>
      <c r="FO143">
        <f>IF($EY143="row",INDEX($EA$5:$EA$1003,$EX143),"")</f>
        <v/>
      </c>
      <c r="FP143">
        <f>IF($EY143="row",INDEX($EC$5:$EC$1003,$EX143),"")</f>
        <v/>
      </c>
      <c r="FQ143">
        <f>IF($EY143="row",INDEX($ET$5:$ET$1003,$EX143),"")</f>
        <v/>
      </c>
      <c r="FR143">
        <f>IF($EY143="row",INDEX($EU$5:$EU$1003,$EX143),"")</f>
        <v/>
      </c>
      <c r="FS143">
        <f>IF(AND($EY143="row",$EY142="row"),IF(OR(INDEX($DT$5:$DT$1003,$EX142)="",INDEX($DT$5:$DT$1003,$EX143)=""),"",IF(NOT(EXACT(INDEX($DT$5:$DT$1003,$EX142),INDEX($DT$5:$DT$1003,$EX143))),"S4",IF(NOT(EXACT(INDEX($DS$5:$DS$1003,$EX142),INDEX($DS$5:$DS$1003,$EX143))),"S3",IF(NOT(EXACT(INDEX($DR$5:$DR$1003,$EX142),INDEX($DR$5:$DR$1003,$EX143))),"S1 Count Change","S1")))),"")</f>
        <v/>
      </c>
      <c r="FT143">
        <f>IF($EY143="row",INDEX($ES$5:$ES$1003,$EX143),"")</f>
        <v/>
      </c>
      <c r="FU143">
        <f>IF($EY143="row",INDEX($EO$5:$EO$1003,$EX143),0)</f>
        <v/>
      </c>
      <c r="FV143">
        <f>IF($FS143="S1 Count Change",1,0)</f>
        <v/>
      </c>
    </row>
    <row r="144">
      <c r="Y144">
        <f>IF(Y9="",0,2*(OR(ISNUMBER(FIND("WORKCENTER",Y9)),AND(LEFT(Y9,4)="LINE",NOT(ISNUMBER(FIND("STATUS",Y9))))))+4*(OR(ISNUMBER(FIND("WORKORDER",Y9)),AND(LEFT(Y9,2)="WO",OR(ISNUMBER(FIND("NUM",Y9)),RIGHT(Y9,2)="NO"))))+8*(LEFT(Y9,3)="SEQ")+16*(AND(LEFT(Y9,4)="ITEM",NOT(ISNUMBER(FIND("DESC",Y9)))))+32*(AND(ISNUMBER(FIND("DESC",Y9)),NOT(ISNUMBER(FIND("CAP",Y9)))))+64*(OR(RIGHT(Y9,5)="COUNT",RIGHT(Y9,2)="CT"))+128*(ISNUMBER(FIND("BULK",Y9)))+256*(ISNUMBER(FIND("SIZE",Y9)))+512*(LEFT(Y9,3)="CAP")+1024*(ISNUMBER(FIND("ALLERG",Y9)))+2048*(OR(ISNUMBER(FIND("REMARK",Y9)),ISNUMBER(FIND("COMMENT",Y9))))+4096*(OR(ISNUMBER(FIND("QTY",Y9)),ISNUMBER(FIND("QUANTITY",Y9))))+8192*(AND(OR(ISNUMBER(FIND("COMPLETE",Y9)),ISNUMBER(FIND("PCT",Y9)),ISNUMBER(FIND("PERCENT",Y9))),NOT(ISNUMBER(FIND("ACTUAL",Y9))),LEN(Y9)&lt;=16))+32768*(OR(ISNUMBER(FIND("DESIC",Y9)),ISNUMBER(FIND("DESSIC",Y9)))))</f>
        <v/>
      </c>
      <c r="Z144">
        <f>IF(Z9="",0,2*(OR(ISNUMBER(FIND("WORKCENTER",Z9)),AND(LEFT(Z9,4)="LINE",NOT(ISNUMBER(FIND("STATUS",Z9))))))+4*(OR(ISNUMBER(FIND("WORKORDER",Z9)),AND(LEFT(Z9,2)="WO",OR(ISNUMBER(FIND("NUM",Z9)),RIGHT(Z9,2)="NO"))))+8*(LEFT(Z9,3)="SEQ")+16*(AND(LEFT(Z9,4)="ITEM",NOT(ISNUMBER(FIND("DESC",Z9)))))+32*(AND(ISNUMBER(FIND("DESC",Z9)),NOT(ISNUMBER(FIND("CAP",Z9)))))+64*(OR(RIGHT(Z9,5)="COUNT",RIGHT(Z9,2)="CT"))+128*(ISNUMBER(FIND("BULK",Z9)))+256*(ISNUMBER(FIND("SIZE",Z9)))+512*(LEFT(Z9,3)="CAP")+1024*(ISNUMBER(FIND("ALLERG",Z9)))+2048*(OR(ISNUMBER(FIND("REMARK",Z9)),ISNUMBER(FIND("COMMENT",Z9))))+4096*(OR(ISNUMBER(FIND("QTY",Z9)),ISNUMBER(FIND("QUANTITY",Z9))))+8192*(AND(OR(ISNUMBER(FIND("COMPLETE",Z9)),ISNUMBER(FIND("PCT",Z9)),ISNUMBER(FIND("PERCENT",Z9))),NOT(ISNUMBER(FIND("ACTUAL",Z9))),LEN(Z9)&lt;=16))+32768*(OR(ISNUMBER(FIND("DESIC",Z9)),ISNUMBER(FIND("DESSIC",Z9)))))</f>
        <v/>
      </c>
      <c r="AA144">
        <f>IF(AA9="",0,2*(OR(ISNUMBER(FIND("WORKCENTER",AA9)),AND(LEFT(AA9,4)="LINE",NOT(ISNUMBER(FIND("STATUS",AA9))))))+4*(OR(ISNUMBER(FIND("WORKORDER",AA9)),AND(LEFT(AA9,2)="WO",OR(ISNUMBER(FIND("NUM",AA9)),RIGHT(AA9,2)="NO"))))+8*(LEFT(AA9,3)="SEQ")+16*(AND(LEFT(AA9,4)="ITEM",NOT(ISNUMBER(FIND("DESC",AA9)))))+32*(AND(ISNUMBER(FIND("DESC",AA9)),NOT(ISNUMBER(FIND("CAP",AA9)))))+64*(OR(RIGHT(AA9,5)="COUNT",RIGHT(AA9,2)="CT"))+128*(ISNUMBER(FIND("BULK",AA9)))+256*(ISNUMBER(FIND("SIZE",AA9)))+512*(LEFT(AA9,3)="CAP")+1024*(ISNUMBER(FIND("ALLERG",AA9)))+2048*(OR(ISNUMBER(FIND("REMARK",AA9)),ISNUMBER(FIND("COMMENT",AA9))))+4096*(OR(ISNUMBER(FIND("QTY",AA9)),ISNUMBER(FIND("QUANTITY",AA9))))+8192*(AND(OR(ISNUMBER(FIND("COMPLETE",AA9)),ISNUMBER(FIND("PCT",AA9)),ISNUMBER(FIND("PERCENT",AA9))),NOT(ISNUMBER(FIND("ACTUAL",AA9))),LEN(AA9)&lt;=16))+32768*(OR(ISNUMBER(FIND("DESIC",AA9)),ISNUMBER(FIND("DESSIC",AA9)))))</f>
        <v/>
      </c>
      <c r="AB144">
        <f>IF(AB9="",0,2*(OR(ISNUMBER(FIND("WORKCENTER",AB9)),AND(LEFT(AB9,4)="LINE",NOT(ISNUMBER(FIND("STATUS",AB9))))))+4*(OR(ISNUMBER(FIND("WORKORDER",AB9)),AND(LEFT(AB9,2)="WO",OR(ISNUMBER(FIND("NUM",AB9)),RIGHT(AB9,2)="NO"))))+8*(LEFT(AB9,3)="SEQ")+16*(AND(LEFT(AB9,4)="ITEM",NOT(ISNUMBER(FIND("DESC",AB9)))))+32*(AND(ISNUMBER(FIND("DESC",AB9)),NOT(ISNUMBER(FIND("CAP",AB9)))))+64*(OR(RIGHT(AB9,5)="COUNT",RIGHT(AB9,2)="CT"))+128*(ISNUMBER(FIND("BULK",AB9)))+256*(ISNUMBER(FIND("SIZE",AB9)))+512*(LEFT(AB9,3)="CAP")+1024*(ISNUMBER(FIND("ALLERG",AB9)))+2048*(OR(ISNUMBER(FIND("REMARK",AB9)),ISNUMBER(FIND("COMMENT",AB9))))+4096*(OR(ISNUMBER(FIND("QTY",AB9)),ISNUMBER(FIND("QUANTITY",AB9))))+8192*(AND(OR(ISNUMBER(FIND("COMPLETE",AB9)),ISNUMBER(FIND("PCT",AB9)),ISNUMBER(FIND("PERCENT",AB9))),NOT(ISNUMBER(FIND("ACTUAL",AB9))),LEN(AB9)&lt;=16))+32768*(OR(ISNUMBER(FIND("DESIC",AB9)),ISNUMBER(FIND("DESSIC",AB9)))))</f>
        <v/>
      </c>
      <c r="AC144">
        <f>IF(AC9="",0,2*(OR(ISNUMBER(FIND("WORKCENTER",AC9)),AND(LEFT(AC9,4)="LINE",NOT(ISNUMBER(FIND("STATUS",AC9))))))+4*(OR(ISNUMBER(FIND("WORKORDER",AC9)),AND(LEFT(AC9,2)="WO",OR(ISNUMBER(FIND("NUM",AC9)),RIGHT(AC9,2)="NO"))))+8*(LEFT(AC9,3)="SEQ")+16*(AND(LEFT(AC9,4)="ITEM",NOT(ISNUMBER(FIND("DESC",AC9)))))+32*(AND(ISNUMBER(FIND("DESC",AC9)),NOT(ISNUMBER(FIND("CAP",AC9)))))+64*(OR(RIGHT(AC9,5)="COUNT",RIGHT(AC9,2)="CT"))+128*(ISNUMBER(FIND("BULK",AC9)))+256*(ISNUMBER(FIND("SIZE",AC9)))+512*(LEFT(AC9,3)="CAP")+1024*(ISNUMBER(FIND("ALLERG",AC9)))+2048*(OR(ISNUMBER(FIND("REMARK",AC9)),ISNUMBER(FIND("COMMENT",AC9))))+4096*(OR(ISNUMBER(FIND("QTY",AC9)),ISNUMBER(FIND("QUANTITY",AC9))))+8192*(AND(OR(ISNUMBER(FIND("COMPLETE",AC9)),ISNUMBER(FIND("PCT",AC9)),ISNUMBER(FIND("PERCENT",AC9))),NOT(ISNUMBER(FIND("ACTUAL",AC9))),LEN(AC9)&lt;=16))+32768*(OR(ISNUMBER(FIND("DESIC",AC9)),ISNUMBER(FIND("DESSIC",AC9)))))</f>
        <v/>
      </c>
      <c r="AD144">
        <f>IF(AD9="",0,2*(OR(ISNUMBER(FIND("WORKCENTER",AD9)),AND(LEFT(AD9,4)="LINE",NOT(ISNUMBER(FIND("STATUS",AD9))))))+4*(OR(ISNUMBER(FIND("WORKORDER",AD9)),AND(LEFT(AD9,2)="WO",OR(ISNUMBER(FIND("NUM",AD9)),RIGHT(AD9,2)="NO"))))+8*(LEFT(AD9,3)="SEQ")+16*(AND(LEFT(AD9,4)="ITEM",NOT(ISNUMBER(FIND("DESC",AD9)))))+32*(AND(ISNUMBER(FIND("DESC",AD9)),NOT(ISNUMBER(FIND("CAP",AD9)))))+64*(OR(RIGHT(AD9,5)="COUNT",RIGHT(AD9,2)="CT"))+128*(ISNUMBER(FIND("BULK",AD9)))+256*(ISNUMBER(FIND("SIZE",AD9)))+512*(LEFT(AD9,3)="CAP")+1024*(ISNUMBER(FIND("ALLERG",AD9)))+2048*(OR(ISNUMBER(FIND("REMARK",AD9)),ISNUMBER(FIND("COMMENT",AD9))))+4096*(OR(ISNUMBER(FIND("QTY",AD9)),ISNUMBER(FIND("QUANTITY",AD9))))+8192*(AND(OR(ISNUMBER(FIND("COMPLETE",AD9)),ISNUMBER(FIND("PCT",AD9)),ISNUMBER(FIND("PERCENT",AD9))),NOT(ISNUMBER(FIND("ACTUAL",AD9))),LEN(AD9)&lt;=16))+32768*(OR(ISNUMBER(FIND("DESIC",AD9)),ISNUMBER(FIND("DESSIC",AD9)))))</f>
        <v/>
      </c>
      <c r="AE144">
        <f>IF(AE9="",0,2*(OR(ISNUMBER(FIND("WORKCENTER",AE9)),AND(LEFT(AE9,4)="LINE",NOT(ISNUMBER(FIND("STATUS",AE9))))))+4*(OR(ISNUMBER(FIND("WORKORDER",AE9)),AND(LEFT(AE9,2)="WO",OR(ISNUMBER(FIND("NUM",AE9)),RIGHT(AE9,2)="NO"))))+8*(LEFT(AE9,3)="SEQ")+16*(AND(LEFT(AE9,4)="ITEM",NOT(ISNUMBER(FIND("DESC",AE9)))))+32*(AND(ISNUMBER(FIND("DESC",AE9)),NOT(ISNUMBER(FIND("CAP",AE9)))))+64*(OR(RIGHT(AE9,5)="COUNT",RIGHT(AE9,2)="CT"))+128*(ISNUMBER(FIND("BULK",AE9)))+256*(ISNUMBER(FIND("SIZE",AE9)))+512*(LEFT(AE9,3)="CAP")+1024*(ISNUMBER(FIND("ALLERG",AE9)))+2048*(OR(ISNUMBER(FIND("REMARK",AE9)),ISNUMBER(FIND("COMMENT",AE9))))+4096*(OR(ISNUMBER(FIND("QTY",AE9)),ISNUMBER(FIND("QUANTITY",AE9))))+8192*(AND(OR(ISNUMBER(FIND("COMPLETE",AE9)),ISNUMBER(FIND("PCT",AE9)),ISNUMBER(FIND("PERCENT",AE9))),NOT(ISNUMBER(FIND("ACTUAL",AE9))),LEN(AE9)&lt;=16))+32768*(OR(ISNUMBER(FIND("DESIC",AE9)),ISNUMBER(FIND("DESSIC",AE9)))))</f>
        <v/>
      </c>
      <c r="AF144">
        <f>IF(AF9="",0,2*(OR(ISNUMBER(FIND("WORKCENTER",AF9)),AND(LEFT(AF9,4)="LINE",NOT(ISNUMBER(FIND("STATUS",AF9))))))+4*(OR(ISNUMBER(FIND("WORKORDER",AF9)),AND(LEFT(AF9,2)="WO",OR(ISNUMBER(FIND("NUM",AF9)),RIGHT(AF9,2)="NO"))))+8*(LEFT(AF9,3)="SEQ")+16*(AND(LEFT(AF9,4)="ITEM",NOT(ISNUMBER(FIND("DESC",AF9)))))+32*(AND(ISNUMBER(FIND("DESC",AF9)),NOT(ISNUMBER(FIND("CAP",AF9)))))+64*(OR(RIGHT(AF9,5)="COUNT",RIGHT(AF9,2)="CT"))+128*(ISNUMBER(FIND("BULK",AF9)))+256*(ISNUMBER(FIND("SIZE",AF9)))+512*(LEFT(AF9,3)="CAP")+1024*(ISNUMBER(FIND("ALLERG",AF9)))+2048*(OR(ISNUMBER(FIND("REMARK",AF9)),ISNUMBER(FIND("COMMENT",AF9))))+4096*(OR(ISNUMBER(FIND("QTY",AF9)),ISNUMBER(FIND("QUANTITY",AF9))))+8192*(AND(OR(ISNUMBER(FIND("COMPLETE",AF9)),ISNUMBER(FIND("PCT",AF9)),ISNUMBER(FIND("PERCENT",AF9))),NOT(ISNUMBER(FIND("ACTUAL",AF9))),LEN(AF9)&lt;=16))+32768*(OR(ISNUMBER(FIND("DESIC",AF9)),ISNUMBER(FIND("DESSIC",AF9)))))</f>
        <v/>
      </c>
      <c r="AG144">
        <f>IF(AG9="",0,2*(OR(ISNUMBER(FIND("WORKCENTER",AG9)),AND(LEFT(AG9,4)="LINE",NOT(ISNUMBER(FIND("STATUS",AG9))))))+4*(OR(ISNUMBER(FIND("WORKORDER",AG9)),AND(LEFT(AG9,2)="WO",OR(ISNUMBER(FIND("NUM",AG9)),RIGHT(AG9,2)="NO"))))+8*(LEFT(AG9,3)="SEQ")+16*(AND(LEFT(AG9,4)="ITEM",NOT(ISNUMBER(FIND("DESC",AG9)))))+32*(AND(ISNUMBER(FIND("DESC",AG9)),NOT(ISNUMBER(FIND("CAP",AG9)))))+64*(OR(RIGHT(AG9,5)="COUNT",RIGHT(AG9,2)="CT"))+128*(ISNUMBER(FIND("BULK",AG9)))+256*(ISNUMBER(FIND("SIZE",AG9)))+512*(LEFT(AG9,3)="CAP")+1024*(ISNUMBER(FIND("ALLERG",AG9)))+2048*(OR(ISNUMBER(FIND("REMARK",AG9)),ISNUMBER(FIND("COMMENT",AG9))))+4096*(OR(ISNUMBER(FIND("QTY",AG9)),ISNUMBER(FIND("QUANTITY",AG9))))+8192*(AND(OR(ISNUMBER(FIND("COMPLETE",AG9)),ISNUMBER(FIND("PCT",AG9)),ISNUMBER(FIND("PERCENT",AG9))),NOT(ISNUMBER(FIND("ACTUAL",AG9))),LEN(AG9)&lt;=16))+32768*(OR(ISNUMBER(FIND("DESIC",AG9)),ISNUMBER(FIND("DESSIC",AG9)))))</f>
        <v/>
      </c>
      <c r="AH144">
        <f>IF(AH9="",0,2*(OR(ISNUMBER(FIND("WORKCENTER",AH9)),AND(LEFT(AH9,4)="LINE",NOT(ISNUMBER(FIND("STATUS",AH9))))))+4*(OR(ISNUMBER(FIND("WORKORDER",AH9)),AND(LEFT(AH9,2)="WO",OR(ISNUMBER(FIND("NUM",AH9)),RIGHT(AH9,2)="NO"))))+8*(LEFT(AH9,3)="SEQ")+16*(AND(LEFT(AH9,4)="ITEM",NOT(ISNUMBER(FIND("DESC",AH9)))))+32*(AND(ISNUMBER(FIND("DESC",AH9)),NOT(ISNUMBER(FIND("CAP",AH9)))))+64*(OR(RIGHT(AH9,5)="COUNT",RIGHT(AH9,2)="CT"))+128*(ISNUMBER(FIND("BULK",AH9)))+256*(ISNUMBER(FIND("SIZE",AH9)))+512*(LEFT(AH9,3)="CAP")+1024*(ISNUMBER(FIND("ALLERG",AH9)))+2048*(OR(ISNUMBER(FIND("REMARK",AH9)),ISNUMBER(FIND("COMMENT",AH9))))+4096*(OR(ISNUMBER(FIND("QTY",AH9)),ISNUMBER(FIND("QUANTITY",AH9))))+8192*(AND(OR(ISNUMBER(FIND("COMPLETE",AH9)),ISNUMBER(FIND("PCT",AH9)),ISNUMBER(FIND("PERCENT",AH9))),NOT(ISNUMBER(FIND("ACTUAL",AH9))),LEN(AH9)&lt;=16))+32768*(OR(ISNUMBER(FIND("DESIC",AH9)),ISNUMBER(FIND("DESSIC",AH9)))))</f>
        <v/>
      </c>
      <c r="AI144">
        <f>IF(AI9="",0,2*(OR(ISNUMBER(FIND("WORKCENTER",AI9)),AND(LEFT(AI9,4)="LINE",NOT(ISNUMBER(FIND("STATUS",AI9))))))+4*(OR(ISNUMBER(FIND("WORKORDER",AI9)),AND(LEFT(AI9,2)="WO",OR(ISNUMBER(FIND("NUM",AI9)),RIGHT(AI9,2)="NO"))))+8*(LEFT(AI9,3)="SEQ")+16*(AND(LEFT(AI9,4)="ITEM",NOT(ISNUMBER(FIND("DESC",AI9)))))+32*(AND(ISNUMBER(FIND("DESC",AI9)),NOT(ISNUMBER(FIND("CAP",AI9)))))+64*(OR(RIGHT(AI9,5)="COUNT",RIGHT(AI9,2)="CT"))+128*(ISNUMBER(FIND("BULK",AI9)))+256*(ISNUMBER(FIND("SIZE",AI9)))+512*(LEFT(AI9,3)="CAP")+1024*(ISNUMBER(FIND("ALLERG",AI9)))+2048*(OR(ISNUMBER(FIND("REMARK",AI9)),ISNUMBER(FIND("COMMENT",AI9))))+4096*(OR(ISNUMBER(FIND("QTY",AI9)),ISNUMBER(FIND("QUANTITY",AI9))))+8192*(AND(OR(ISNUMBER(FIND("COMPLETE",AI9)),ISNUMBER(FIND("PCT",AI9)),ISNUMBER(FIND("PERCENT",AI9))),NOT(ISNUMBER(FIND("ACTUAL",AI9))),LEN(AI9)&lt;=16))+32768*(OR(ISNUMBER(FIND("DESIC",AI9)),ISNUMBER(FIND("DESSIC",AI9)))))</f>
        <v/>
      </c>
      <c r="AJ144">
        <f>IF(AJ9="",0,2*(OR(ISNUMBER(FIND("WORKCENTER",AJ9)),AND(LEFT(AJ9,4)="LINE",NOT(ISNUMBER(FIND("STATUS",AJ9))))))+4*(OR(ISNUMBER(FIND("WORKORDER",AJ9)),AND(LEFT(AJ9,2)="WO",OR(ISNUMBER(FIND("NUM",AJ9)),RIGHT(AJ9,2)="NO"))))+8*(LEFT(AJ9,3)="SEQ")+16*(AND(LEFT(AJ9,4)="ITEM",NOT(ISNUMBER(FIND("DESC",AJ9)))))+32*(AND(ISNUMBER(FIND("DESC",AJ9)),NOT(ISNUMBER(FIND("CAP",AJ9)))))+64*(OR(RIGHT(AJ9,5)="COUNT",RIGHT(AJ9,2)="CT"))+128*(ISNUMBER(FIND("BULK",AJ9)))+256*(ISNUMBER(FIND("SIZE",AJ9)))+512*(LEFT(AJ9,3)="CAP")+1024*(ISNUMBER(FIND("ALLERG",AJ9)))+2048*(OR(ISNUMBER(FIND("REMARK",AJ9)),ISNUMBER(FIND("COMMENT",AJ9))))+4096*(OR(ISNUMBER(FIND("QTY",AJ9)),ISNUMBER(FIND("QUANTITY",AJ9))))+8192*(AND(OR(ISNUMBER(FIND("COMPLETE",AJ9)),ISNUMBER(FIND("PCT",AJ9)),ISNUMBER(FIND("PERCENT",AJ9))),NOT(ISNUMBER(FIND("ACTUAL",AJ9))),LEN(AJ9)&lt;=16))+32768*(OR(ISNUMBER(FIND("DESIC",AJ9)),ISNUMBER(FIND("DESSIC",AJ9)))))</f>
        <v/>
      </c>
      <c r="AK144">
        <f>IF(AK9="",0,2*(OR(ISNUMBER(FIND("WORKCENTER",AK9)),AND(LEFT(AK9,4)="LINE",NOT(ISNUMBER(FIND("STATUS",AK9))))))+4*(OR(ISNUMBER(FIND("WORKORDER",AK9)),AND(LEFT(AK9,2)="WO",OR(ISNUMBER(FIND("NUM",AK9)),RIGHT(AK9,2)="NO"))))+8*(LEFT(AK9,3)="SEQ")+16*(AND(LEFT(AK9,4)="ITEM",NOT(ISNUMBER(FIND("DESC",AK9)))))+32*(AND(ISNUMBER(FIND("DESC",AK9)),NOT(ISNUMBER(FIND("CAP",AK9)))))+64*(OR(RIGHT(AK9,5)="COUNT",RIGHT(AK9,2)="CT"))+128*(ISNUMBER(FIND("BULK",AK9)))+256*(ISNUMBER(FIND("SIZE",AK9)))+512*(LEFT(AK9,3)="CAP")+1024*(ISNUMBER(FIND("ALLERG",AK9)))+2048*(OR(ISNUMBER(FIND("REMARK",AK9)),ISNUMBER(FIND("COMMENT",AK9))))+4096*(OR(ISNUMBER(FIND("QTY",AK9)),ISNUMBER(FIND("QUANTITY",AK9))))+8192*(AND(OR(ISNUMBER(FIND("COMPLETE",AK9)),ISNUMBER(FIND("PCT",AK9)),ISNUMBER(FIND("PERCENT",AK9))),NOT(ISNUMBER(FIND("ACTUAL",AK9))),LEN(AK9)&lt;=16))+32768*(OR(ISNUMBER(FIND("DESIC",AK9)),ISNUMBER(FIND("DESSIC",AK9)))))</f>
        <v/>
      </c>
      <c r="AL144">
        <f>IF(AL9="",0,2*(OR(ISNUMBER(FIND("WORKCENTER",AL9)),AND(LEFT(AL9,4)="LINE",NOT(ISNUMBER(FIND("STATUS",AL9))))))+4*(OR(ISNUMBER(FIND("WORKORDER",AL9)),AND(LEFT(AL9,2)="WO",OR(ISNUMBER(FIND("NUM",AL9)),RIGHT(AL9,2)="NO"))))+8*(LEFT(AL9,3)="SEQ")+16*(AND(LEFT(AL9,4)="ITEM",NOT(ISNUMBER(FIND("DESC",AL9)))))+32*(AND(ISNUMBER(FIND("DESC",AL9)),NOT(ISNUMBER(FIND("CAP",AL9)))))+64*(OR(RIGHT(AL9,5)="COUNT",RIGHT(AL9,2)="CT"))+128*(ISNUMBER(FIND("BULK",AL9)))+256*(ISNUMBER(FIND("SIZE",AL9)))+512*(LEFT(AL9,3)="CAP")+1024*(ISNUMBER(FIND("ALLERG",AL9)))+2048*(OR(ISNUMBER(FIND("REMARK",AL9)),ISNUMBER(FIND("COMMENT",AL9))))+4096*(OR(ISNUMBER(FIND("QTY",AL9)),ISNUMBER(FIND("QUANTITY",AL9))))+8192*(AND(OR(ISNUMBER(FIND("COMPLETE",AL9)),ISNUMBER(FIND("PCT",AL9)),ISNUMBER(FIND("PERCENT",AL9))),NOT(ISNUMBER(FIND("ACTUAL",AL9))),LEN(AL9)&lt;=16))+32768*(OR(ISNUMBER(FIND("DESIC",AL9)),ISNUMBER(FIND("DESSIC",AL9)))))</f>
        <v/>
      </c>
      <c r="AM144">
        <f>IF(AM9="",0,2*(OR(ISNUMBER(FIND("WORKCENTER",AM9)),AND(LEFT(AM9,4)="LINE",NOT(ISNUMBER(FIND("STATUS",AM9))))))+4*(OR(ISNUMBER(FIND("WORKORDER",AM9)),AND(LEFT(AM9,2)="WO",OR(ISNUMBER(FIND("NUM",AM9)),RIGHT(AM9,2)="NO"))))+8*(LEFT(AM9,3)="SEQ")+16*(AND(LEFT(AM9,4)="ITEM",NOT(ISNUMBER(FIND("DESC",AM9)))))+32*(AND(ISNUMBER(FIND("DESC",AM9)),NOT(ISNUMBER(FIND("CAP",AM9)))))+64*(OR(RIGHT(AM9,5)="COUNT",RIGHT(AM9,2)="CT"))+128*(ISNUMBER(FIND("BULK",AM9)))+256*(ISNUMBER(FIND("SIZE",AM9)))+512*(LEFT(AM9,3)="CAP")+1024*(ISNUMBER(FIND("ALLERG",AM9)))+2048*(OR(ISNUMBER(FIND("REMARK",AM9)),ISNUMBER(FIND("COMMENT",AM9))))+4096*(OR(ISNUMBER(FIND("QTY",AM9)),ISNUMBER(FIND("QUANTITY",AM9))))+8192*(AND(OR(ISNUMBER(FIND("COMPLETE",AM9)),ISNUMBER(FIND("PCT",AM9)),ISNUMBER(FIND("PERCENT",AM9))),NOT(ISNUMBER(FIND("ACTUAL",AM9))),LEN(AM9)&lt;=16))+32768*(OR(ISNUMBER(FIND("DESIC",AM9)),ISNUMBER(FIND("DESSIC",AM9)))))</f>
        <v/>
      </c>
      <c r="AN144">
        <f>IF(AN9="",0,2*(OR(ISNUMBER(FIND("WORKCENTER",AN9)),AND(LEFT(AN9,4)="LINE",NOT(ISNUMBER(FIND("STATUS",AN9))))))+4*(OR(ISNUMBER(FIND("WORKORDER",AN9)),AND(LEFT(AN9,2)="WO",OR(ISNUMBER(FIND("NUM",AN9)),RIGHT(AN9,2)="NO"))))+8*(LEFT(AN9,3)="SEQ")+16*(AND(LEFT(AN9,4)="ITEM",NOT(ISNUMBER(FIND("DESC",AN9)))))+32*(AND(ISNUMBER(FIND("DESC",AN9)),NOT(ISNUMBER(FIND("CAP",AN9)))))+64*(OR(RIGHT(AN9,5)="COUNT",RIGHT(AN9,2)="CT"))+128*(ISNUMBER(FIND("BULK",AN9)))+256*(ISNUMBER(FIND("SIZE",AN9)))+512*(LEFT(AN9,3)="CAP")+1024*(ISNUMBER(FIND("ALLERG",AN9)))+2048*(OR(ISNUMBER(FIND("REMARK",AN9)),ISNUMBER(FIND("COMMENT",AN9))))+4096*(OR(ISNUMBER(FIND("QTY",AN9)),ISNUMBER(FIND("QUANTITY",AN9))))+8192*(AND(OR(ISNUMBER(FIND("COMPLETE",AN9)),ISNUMBER(FIND("PCT",AN9)),ISNUMBER(FIND("PERCENT",AN9))),NOT(ISNUMBER(FIND("ACTUAL",AN9))),LEN(AN9)&lt;=16))+32768*(OR(ISNUMBER(FIND("DESIC",AN9)),ISNUMBER(FIND("DESSIC",AN9)))))</f>
        <v/>
      </c>
      <c r="AO144">
        <f>IF(AO9="",0,2*(OR(ISNUMBER(FIND("WORKCENTER",AO9)),AND(LEFT(AO9,4)="LINE",NOT(ISNUMBER(FIND("STATUS",AO9))))))+4*(OR(ISNUMBER(FIND("WORKORDER",AO9)),AND(LEFT(AO9,2)="WO",OR(ISNUMBER(FIND("NUM",AO9)),RIGHT(AO9,2)="NO"))))+8*(LEFT(AO9,3)="SEQ")+16*(AND(LEFT(AO9,4)="ITEM",NOT(ISNUMBER(FIND("DESC",AO9)))))+32*(AND(ISNUMBER(FIND("DESC",AO9)),NOT(ISNUMBER(FIND("CAP",AO9)))))+64*(OR(RIGHT(AO9,5)="COUNT",RIGHT(AO9,2)="CT"))+128*(ISNUMBER(FIND("BULK",AO9)))+256*(ISNUMBER(FIND("SIZE",AO9)))+512*(LEFT(AO9,3)="CAP")+1024*(ISNUMBER(FIND("ALLERG",AO9)))+2048*(OR(ISNUMBER(FIND("REMARK",AO9)),ISNUMBER(FIND("COMMENT",AO9))))+4096*(OR(ISNUMBER(FIND("QTY",AO9)),ISNUMBER(FIND("QUANTITY",AO9))))+8192*(AND(OR(ISNUMBER(FIND("COMPLETE",AO9)),ISNUMBER(FIND("PCT",AO9)),ISNUMBER(FIND("PERCENT",AO9))),NOT(ISNUMBER(FIND("ACTUAL",AO9))),LEN(AO9)&lt;=16))+32768*(OR(ISNUMBER(FIND("DESIC",AO9)),ISNUMBER(FIND("DESSIC",AO9)))))</f>
        <v/>
      </c>
      <c r="AP144">
        <f>IF(AP9="",0,2*(OR(ISNUMBER(FIND("WORKCENTER",AP9)),AND(LEFT(AP9,4)="LINE",NOT(ISNUMBER(FIND("STATUS",AP9))))))+4*(OR(ISNUMBER(FIND("WORKORDER",AP9)),AND(LEFT(AP9,2)="WO",OR(ISNUMBER(FIND("NUM",AP9)),RIGHT(AP9,2)="NO"))))+8*(LEFT(AP9,3)="SEQ")+16*(AND(LEFT(AP9,4)="ITEM",NOT(ISNUMBER(FIND("DESC",AP9)))))+32*(AND(ISNUMBER(FIND("DESC",AP9)),NOT(ISNUMBER(FIND("CAP",AP9)))))+64*(OR(RIGHT(AP9,5)="COUNT",RIGHT(AP9,2)="CT"))+128*(ISNUMBER(FIND("BULK",AP9)))+256*(ISNUMBER(FIND("SIZE",AP9)))+512*(LEFT(AP9,3)="CAP")+1024*(ISNUMBER(FIND("ALLERG",AP9)))+2048*(OR(ISNUMBER(FIND("REMARK",AP9)),ISNUMBER(FIND("COMMENT",AP9))))+4096*(OR(ISNUMBER(FIND("QTY",AP9)),ISNUMBER(FIND("QUANTITY",AP9))))+8192*(AND(OR(ISNUMBER(FIND("COMPLETE",AP9)),ISNUMBER(FIND("PCT",AP9)),ISNUMBER(FIND("PERCENT",AP9))),NOT(ISNUMBER(FIND("ACTUAL",AP9))),LEN(AP9)&lt;=16))+32768*(OR(ISNUMBER(FIND("DESIC",AP9)),ISNUMBER(FIND("DESSIC",AP9)))))</f>
        <v/>
      </c>
      <c r="AQ144">
        <f>IF(AQ9="",0,2*(OR(ISNUMBER(FIND("WORKCENTER",AQ9)),AND(LEFT(AQ9,4)="LINE",NOT(ISNUMBER(FIND("STATUS",AQ9))))))+4*(OR(ISNUMBER(FIND("WORKORDER",AQ9)),AND(LEFT(AQ9,2)="WO",OR(ISNUMBER(FIND("NUM",AQ9)),RIGHT(AQ9,2)="NO"))))+8*(LEFT(AQ9,3)="SEQ")+16*(AND(LEFT(AQ9,4)="ITEM",NOT(ISNUMBER(FIND("DESC",AQ9)))))+32*(AND(ISNUMBER(FIND("DESC",AQ9)),NOT(ISNUMBER(FIND("CAP",AQ9)))))+64*(OR(RIGHT(AQ9,5)="COUNT",RIGHT(AQ9,2)="CT"))+128*(ISNUMBER(FIND("BULK",AQ9)))+256*(ISNUMBER(FIND("SIZE",AQ9)))+512*(LEFT(AQ9,3)="CAP")+1024*(ISNUMBER(FIND("ALLERG",AQ9)))+2048*(OR(ISNUMBER(FIND("REMARK",AQ9)),ISNUMBER(FIND("COMMENT",AQ9))))+4096*(OR(ISNUMBER(FIND("QTY",AQ9)),ISNUMBER(FIND("QUANTITY",AQ9))))+8192*(AND(OR(ISNUMBER(FIND("COMPLETE",AQ9)),ISNUMBER(FIND("PCT",AQ9)),ISNUMBER(FIND("PERCENT",AQ9))),NOT(ISNUMBER(FIND("ACTUAL",AQ9))),LEN(AQ9)&lt;=16))+32768*(OR(ISNUMBER(FIND("DESIC",AQ9)),ISNUMBER(FIND("DESSIC",AQ9)))))</f>
        <v/>
      </c>
      <c r="AR144">
        <f>IF(AR9="",0,2*(OR(ISNUMBER(FIND("WORKCENTER",AR9)),AND(LEFT(AR9,4)="LINE",NOT(ISNUMBER(FIND("STATUS",AR9))))))+4*(OR(ISNUMBER(FIND("WORKORDER",AR9)),AND(LEFT(AR9,2)="WO",OR(ISNUMBER(FIND("NUM",AR9)),RIGHT(AR9,2)="NO"))))+8*(LEFT(AR9,3)="SEQ")+16*(AND(LEFT(AR9,4)="ITEM",NOT(ISNUMBER(FIND("DESC",AR9)))))+32*(AND(ISNUMBER(FIND("DESC",AR9)),NOT(ISNUMBER(FIND("CAP",AR9)))))+64*(OR(RIGHT(AR9,5)="COUNT",RIGHT(AR9,2)="CT"))+128*(ISNUMBER(FIND("BULK",AR9)))+256*(ISNUMBER(FIND("SIZE",AR9)))+512*(LEFT(AR9,3)="CAP")+1024*(ISNUMBER(FIND("ALLERG",AR9)))+2048*(OR(ISNUMBER(FIND("REMARK",AR9)),ISNUMBER(FIND("COMMENT",AR9))))+4096*(OR(ISNUMBER(FIND("QTY",AR9)),ISNUMBER(FIND("QUANTITY",AR9))))+8192*(AND(OR(ISNUMBER(FIND("COMPLETE",AR9)),ISNUMBER(FIND("PCT",AR9)),ISNUMBER(FIND("PERCENT",AR9))),NOT(ISNUMBER(FIND("ACTUAL",AR9))),LEN(AR9)&lt;=16))+32768*(OR(ISNUMBER(FIND("DESIC",AR9)),ISNUMBER(FIND("DESSIC",AR9)))))</f>
        <v/>
      </c>
      <c r="AS144">
        <f>IF(AS9="",0,2*(OR(ISNUMBER(FIND("WORKCENTER",AS9)),AND(LEFT(AS9,4)="LINE",NOT(ISNUMBER(FIND("STATUS",AS9))))))+4*(OR(ISNUMBER(FIND("WORKORDER",AS9)),AND(LEFT(AS9,2)="WO",OR(ISNUMBER(FIND("NUM",AS9)),RIGHT(AS9,2)="NO"))))+8*(LEFT(AS9,3)="SEQ")+16*(AND(LEFT(AS9,4)="ITEM",NOT(ISNUMBER(FIND("DESC",AS9)))))+32*(AND(ISNUMBER(FIND("DESC",AS9)),NOT(ISNUMBER(FIND("CAP",AS9)))))+64*(OR(RIGHT(AS9,5)="COUNT",RIGHT(AS9,2)="CT"))+128*(ISNUMBER(FIND("BULK",AS9)))+256*(ISNUMBER(FIND("SIZE",AS9)))+512*(LEFT(AS9,3)="CAP")+1024*(ISNUMBER(FIND("ALLERG",AS9)))+2048*(OR(ISNUMBER(FIND("REMARK",AS9)),ISNUMBER(FIND("COMMENT",AS9))))+4096*(OR(ISNUMBER(FIND("QTY",AS9)),ISNUMBER(FIND("QUANTITY",AS9))))+8192*(AND(OR(ISNUMBER(FIND("COMPLETE",AS9)),ISNUMBER(FIND("PCT",AS9)),ISNUMBER(FIND("PERCENT",AS9))),NOT(ISNUMBER(FIND("ACTUAL",AS9))),LEN(AS9)&lt;=16))+32768*(OR(ISNUMBER(FIND("DESIC",AS9)),ISNUMBER(FIND("DESSIC",AS9)))))</f>
        <v/>
      </c>
      <c r="AT144">
        <f>IF(AT9="",0,2*(OR(ISNUMBER(FIND("WORKCENTER",AT9)),AND(LEFT(AT9,4)="LINE",NOT(ISNUMBER(FIND("STATUS",AT9))))))+4*(OR(ISNUMBER(FIND("WORKORDER",AT9)),AND(LEFT(AT9,2)="WO",OR(ISNUMBER(FIND("NUM",AT9)),RIGHT(AT9,2)="NO"))))+8*(LEFT(AT9,3)="SEQ")+16*(AND(LEFT(AT9,4)="ITEM",NOT(ISNUMBER(FIND("DESC",AT9)))))+32*(AND(ISNUMBER(FIND("DESC",AT9)),NOT(ISNUMBER(FIND("CAP",AT9)))))+64*(OR(RIGHT(AT9,5)="COUNT",RIGHT(AT9,2)="CT"))+128*(ISNUMBER(FIND("BULK",AT9)))+256*(ISNUMBER(FIND("SIZE",AT9)))+512*(LEFT(AT9,3)="CAP")+1024*(ISNUMBER(FIND("ALLERG",AT9)))+2048*(OR(ISNUMBER(FIND("REMARK",AT9)),ISNUMBER(FIND("COMMENT",AT9))))+4096*(OR(ISNUMBER(FIND("QTY",AT9)),ISNUMBER(FIND("QUANTITY",AT9))))+8192*(AND(OR(ISNUMBER(FIND("COMPLETE",AT9)),ISNUMBER(FIND("PCT",AT9)),ISNUMBER(FIND("PERCENT",AT9))),NOT(ISNUMBER(FIND("ACTUAL",AT9))),LEN(AT9)&lt;=16))+32768*(OR(ISNUMBER(FIND("DESIC",AT9)),ISNUMBER(FIND("DESSIC",AT9)))))</f>
        <v/>
      </c>
      <c r="AU144">
        <f>IF(AU9="",0,2*(OR(ISNUMBER(FIND("WORKCENTER",AU9)),AND(LEFT(AU9,4)="LINE",NOT(ISNUMBER(FIND("STATUS",AU9))))))+4*(OR(ISNUMBER(FIND("WORKORDER",AU9)),AND(LEFT(AU9,2)="WO",OR(ISNUMBER(FIND("NUM",AU9)),RIGHT(AU9,2)="NO"))))+8*(LEFT(AU9,3)="SEQ")+16*(AND(LEFT(AU9,4)="ITEM",NOT(ISNUMBER(FIND("DESC",AU9)))))+32*(AND(ISNUMBER(FIND("DESC",AU9)),NOT(ISNUMBER(FIND("CAP",AU9)))))+64*(OR(RIGHT(AU9,5)="COUNT",RIGHT(AU9,2)="CT"))+128*(ISNUMBER(FIND("BULK",AU9)))+256*(ISNUMBER(FIND("SIZE",AU9)))+512*(LEFT(AU9,3)="CAP")+1024*(ISNUMBER(FIND("ALLERG",AU9)))+2048*(OR(ISNUMBER(FIND("REMARK",AU9)),ISNUMBER(FIND("COMMENT",AU9))))+4096*(OR(ISNUMBER(FIND("QTY",AU9)),ISNUMBER(FIND("QUANTITY",AU9))))+8192*(AND(OR(ISNUMBER(FIND("COMPLETE",AU9)),ISNUMBER(FIND("PCT",AU9)),ISNUMBER(FIND("PERCENT",AU9))),NOT(ISNUMBER(FIND("ACTUAL",AU9))),LEN(AU9)&lt;=16))+32768*(OR(ISNUMBER(FIND("DESIC",AU9)),ISNUMBER(FIND("DESSIC",AU9)))))</f>
        <v/>
      </c>
      <c r="AV144">
        <f>IF(AV9="",0,2*(OR(ISNUMBER(FIND("WORKCENTER",AV9)),AND(LEFT(AV9,4)="LINE",NOT(ISNUMBER(FIND("STATUS",AV9))))))+4*(OR(ISNUMBER(FIND("WORKORDER",AV9)),AND(LEFT(AV9,2)="WO",OR(ISNUMBER(FIND("NUM",AV9)),RIGHT(AV9,2)="NO"))))+8*(LEFT(AV9,3)="SEQ")+16*(AND(LEFT(AV9,4)="ITEM",NOT(ISNUMBER(FIND("DESC",AV9)))))+32*(AND(ISNUMBER(FIND("DESC",AV9)),NOT(ISNUMBER(FIND("CAP",AV9)))))+64*(OR(RIGHT(AV9,5)="COUNT",RIGHT(AV9,2)="CT"))+128*(ISNUMBER(FIND("BULK",AV9)))+256*(ISNUMBER(FIND("SIZE",AV9)))+512*(LEFT(AV9,3)="CAP")+1024*(ISNUMBER(FIND("ALLERG",AV9)))+2048*(OR(ISNUMBER(FIND("REMARK",AV9)),ISNUMBER(FIND("COMMENT",AV9))))+4096*(OR(ISNUMBER(FIND("QTY",AV9)),ISNUMBER(FIND("QUANTITY",AV9))))+8192*(AND(OR(ISNUMBER(FIND("COMPLETE",AV9)),ISNUMBER(FIND("PCT",AV9)),ISNUMBER(FIND("PERCENT",AV9))),NOT(ISNUMBER(FIND("ACTUAL",AV9))),LEN(AV9)&lt;=16))+32768*(OR(ISNUMBER(FIND("DESIC",AV9)),ISNUMBER(FIND("DESSIC",AV9)))))</f>
        <v/>
      </c>
      <c r="AW144">
        <f>IF(AW9="",0,2*(OR(ISNUMBER(FIND("WORKCENTER",AW9)),AND(LEFT(AW9,4)="LINE",NOT(ISNUMBER(FIND("STATUS",AW9))))))+4*(OR(ISNUMBER(FIND("WORKORDER",AW9)),AND(LEFT(AW9,2)="WO",OR(ISNUMBER(FIND("NUM",AW9)),RIGHT(AW9,2)="NO"))))+8*(LEFT(AW9,3)="SEQ")+16*(AND(LEFT(AW9,4)="ITEM",NOT(ISNUMBER(FIND("DESC",AW9)))))+32*(AND(ISNUMBER(FIND("DESC",AW9)),NOT(ISNUMBER(FIND("CAP",AW9)))))+64*(OR(RIGHT(AW9,5)="COUNT",RIGHT(AW9,2)="CT"))+128*(ISNUMBER(FIND("BULK",AW9)))+256*(ISNUMBER(FIND("SIZE",AW9)))+512*(LEFT(AW9,3)="CAP")+1024*(ISNUMBER(FIND("ALLERG",AW9)))+2048*(OR(ISNUMBER(FIND("REMARK",AW9)),ISNUMBER(FIND("COMMENT",AW9))))+4096*(OR(ISNUMBER(FIND("QTY",AW9)),ISNUMBER(FIND("QUANTITY",AW9))))+8192*(AND(OR(ISNUMBER(FIND("COMPLETE",AW9)),ISNUMBER(FIND("PCT",AW9)),ISNUMBER(FIND("PERCENT",AW9))),NOT(ISNUMBER(FIND("ACTUAL",AW9))),LEN(AW9)&lt;=16))+32768*(OR(ISNUMBER(FIND("DESIC",AW9)),ISNUMBER(FIND("DESSIC",AW9)))))</f>
        <v/>
      </c>
      <c r="AX144">
        <f>IF(AX9="",0,2*(OR(ISNUMBER(FIND("WORKCENTER",AX9)),AND(LEFT(AX9,4)="LINE",NOT(ISNUMBER(FIND("STATUS",AX9))))))+4*(OR(ISNUMBER(FIND("WORKORDER",AX9)),AND(LEFT(AX9,2)="WO",OR(ISNUMBER(FIND("NUM",AX9)),RIGHT(AX9,2)="NO"))))+8*(LEFT(AX9,3)="SEQ")+16*(AND(LEFT(AX9,4)="ITEM",NOT(ISNUMBER(FIND("DESC",AX9)))))+32*(AND(ISNUMBER(FIND("DESC",AX9)),NOT(ISNUMBER(FIND("CAP",AX9)))))+64*(OR(RIGHT(AX9,5)="COUNT",RIGHT(AX9,2)="CT"))+128*(ISNUMBER(FIND("BULK",AX9)))+256*(ISNUMBER(FIND("SIZE",AX9)))+512*(LEFT(AX9,3)="CAP")+1024*(ISNUMBER(FIND("ALLERG",AX9)))+2048*(OR(ISNUMBER(FIND("REMARK",AX9)),ISNUMBER(FIND("COMMENT",AX9))))+4096*(OR(ISNUMBER(FIND("QTY",AX9)),ISNUMBER(FIND("QUANTITY",AX9))))+8192*(AND(OR(ISNUMBER(FIND("COMPLETE",AX9)),ISNUMBER(FIND("PCT",AX9)),ISNUMBER(FIND("PERCENT",AX9))),NOT(ISNUMBER(FIND("ACTUAL",AX9))),LEN(AX9)&lt;=16))+32768*(OR(ISNUMBER(FIND("DESIC",AX9)),ISNUMBER(FIND("DESSIC",AX9)))))</f>
        <v/>
      </c>
      <c r="AY144">
        <f>IF(AY9="",0,2*(OR(ISNUMBER(FIND("WORKCENTER",AY9)),AND(LEFT(AY9,4)="LINE",NOT(ISNUMBER(FIND("STATUS",AY9))))))+4*(OR(ISNUMBER(FIND("WORKORDER",AY9)),AND(LEFT(AY9,2)="WO",OR(ISNUMBER(FIND("NUM",AY9)),RIGHT(AY9,2)="NO"))))+8*(LEFT(AY9,3)="SEQ")+16*(AND(LEFT(AY9,4)="ITEM",NOT(ISNUMBER(FIND("DESC",AY9)))))+32*(AND(ISNUMBER(FIND("DESC",AY9)),NOT(ISNUMBER(FIND("CAP",AY9)))))+64*(OR(RIGHT(AY9,5)="COUNT",RIGHT(AY9,2)="CT"))+128*(ISNUMBER(FIND("BULK",AY9)))+256*(ISNUMBER(FIND("SIZE",AY9)))+512*(LEFT(AY9,3)="CAP")+1024*(ISNUMBER(FIND("ALLERG",AY9)))+2048*(OR(ISNUMBER(FIND("REMARK",AY9)),ISNUMBER(FIND("COMMENT",AY9))))+4096*(OR(ISNUMBER(FIND("QTY",AY9)),ISNUMBER(FIND("QUANTITY",AY9))))+8192*(AND(OR(ISNUMBER(FIND("COMPLETE",AY9)),ISNUMBER(FIND("PCT",AY9)),ISNUMBER(FIND("PERCENT",AY9))),NOT(ISNUMBER(FIND("ACTUAL",AY9))),LEN(AY9)&lt;=16))+32768*(OR(ISNUMBER(FIND("DESIC",AY9)),ISNUMBER(FIND("DESSIC",AY9)))))</f>
        <v/>
      </c>
      <c r="AZ144">
        <f>IF(AZ9="",0,2*(OR(ISNUMBER(FIND("WORKCENTER",AZ9)),AND(LEFT(AZ9,4)="LINE",NOT(ISNUMBER(FIND("STATUS",AZ9))))))+4*(OR(ISNUMBER(FIND("WORKORDER",AZ9)),AND(LEFT(AZ9,2)="WO",OR(ISNUMBER(FIND("NUM",AZ9)),RIGHT(AZ9,2)="NO"))))+8*(LEFT(AZ9,3)="SEQ")+16*(AND(LEFT(AZ9,4)="ITEM",NOT(ISNUMBER(FIND("DESC",AZ9)))))+32*(AND(ISNUMBER(FIND("DESC",AZ9)),NOT(ISNUMBER(FIND("CAP",AZ9)))))+64*(OR(RIGHT(AZ9,5)="COUNT",RIGHT(AZ9,2)="CT"))+128*(ISNUMBER(FIND("BULK",AZ9)))+256*(ISNUMBER(FIND("SIZE",AZ9)))+512*(LEFT(AZ9,3)="CAP")+1024*(ISNUMBER(FIND("ALLERG",AZ9)))+2048*(OR(ISNUMBER(FIND("REMARK",AZ9)),ISNUMBER(FIND("COMMENT",AZ9))))+4096*(OR(ISNUMBER(FIND("QTY",AZ9)),ISNUMBER(FIND("QUANTITY",AZ9))))+8192*(AND(OR(ISNUMBER(FIND("COMPLETE",AZ9)),ISNUMBER(FIND("PCT",AZ9)),ISNUMBER(FIND("PERCENT",AZ9))),NOT(ISNUMBER(FIND("ACTUAL",AZ9))),LEN(AZ9)&lt;=16))+32768*(OR(ISNUMBER(FIND("DESIC",AZ9)),ISNUMBER(FIND("DESSIC",AZ9)))))</f>
        <v/>
      </c>
      <c r="BA144">
        <f>IF(BA9="",0,2*(OR(ISNUMBER(FIND("WORKCENTER",BA9)),AND(LEFT(BA9,4)="LINE",NOT(ISNUMBER(FIND("STATUS",BA9))))))+4*(OR(ISNUMBER(FIND("WORKORDER",BA9)),AND(LEFT(BA9,2)="WO",OR(ISNUMBER(FIND("NUM",BA9)),RIGHT(BA9,2)="NO"))))+8*(LEFT(BA9,3)="SEQ")+16*(AND(LEFT(BA9,4)="ITEM",NOT(ISNUMBER(FIND("DESC",BA9)))))+32*(AND(ISNUMBER(FIND("DESC",BA9)),NOT(ISNUMBER(FIND("CAP",BA9)))))+64*(OR(RIGHT(BA9,5)="COUNT",RIGHT(BA9,2)="CT"))+128*(ISNUMBER(FIND("BULK",BA9)))+256*(ISNUMBER(FIND("SIZE",BA9)))+512*(LEFT(BA9,3)="CAP")+1024*(ISNUMBER(FIND("ALLERG",BA9)))+2048*(OR(ISNUMBER(FIND("REMARK",BA9)),ISNUMBER(FIND("COMMENT",BA9))))+4096*(OR(ISNUMBER(FIND("QTY",BA9)),ISNUMBER(FIND("QUANTITY",BA9))))+8192*(AND(OR(ISNUMBER(FIND("COMPLETE",BA9)),ISNUMBER(FIND("PCT",BA9)),ISNUMBER(FIND("PERCENT",BA9))),NOT(ISNUMBER(FIND("ACTUAL",BA9))),LEN(BA9)&lt;=16))+32768*(OR(ISNUMBER(FIND("DESIC",BA9)),ISNUMBER(FIND("DESSIC",BA9)))))</f>
        <v/>
      </c>
      <c r="BB144">
        <f>IF(BB9="",0,2*(OR(ISNUMBER(FIND("WORKCENTER",BB9)),AND(LEFT(BB9,4)="LINE",NOT(ISNUMBER(FIND("STATUS",BB9))))))+4*(OR(ISNUMBER(FIND("WORKORDER",BB9)),AND(LEFT(BB9,2)="WO",OR(ISNUMBER(FIND("NUM",BB9)),RIGHT(BB9,2)="NO"))))+8*(LEFT(BB9,3)="SEQ")+16*(AND(LEFT(BB9,4)="ITEM",NOT(ISNUMBER(FIND("DESC",BB9)))))+32*(AND(ISNUMBER(FIND("DESC",BB9)),NOT(ISNUMBER(FIND("CAP",BB9)))))+64*(OR(RIGHT(BB9,5)="COUNT",RIGHT(BB9,2)="CT"))+128*(ISNUMBER(FIND("BULK",BB9)))+256*(ISNUMBER(FIND("SIZE",BB9)))+512*(LEFT(BB9,3)="CAP")+1024*(ISNUMBER(FIND("ALLERG",BB9)))+2048*(OR(ISNUMBER(FIND("REMARK",BB9)),ISNUMBER(FIND("COMMENT",BB9))))+4096*(OR(ISNUMBER(FIND("QTY",BB9)),ISNUMBER(FIND("QUANTITY",BB9))))+8192*(AND(OR(ISNUMBER(FIND("COMPLETE",BB9)),ISNUMBER(FIND("PCT",BB9)),ISNUMBER(FIND("PERCENT",BB9))),NOT(ISNUMBER(FIND("ACTUAL",BB9))),LEN(BB9)&lt;=16))+32768*(OR(ISNUMBER(FIND("DESIC",BB9)),ISNUMBER(FIND("DESSIC",BB9)))))</f>
        <v/>
      </c>
      <c r="BC144">
        <f>IF(BC9="",0,2*(OR(ISNUMBER(FIND("WORKCENTER",BC9)),AND(LEFT(BC9,4)="LINE",NOT(ISNUMBER(FIND("STATUS",BC9))))))+4*(OR(ISNUMBER(FIND("WORKORDER",BC9)),AND(LEFT(BC9,2)="WO",OR(ISNUMBER(FIND("NUM",BC9)),RIGHT(BC9,2)="NO"))))+8*(LEFT(BC9,3)="SEQ")+16*(AND(LEFT(BC9,4)="ITEM",NOT(ISNUMBER(FIND("DESC",BC9)))))+32*(AND(ISNUMBER(FIND("DESC",BC9)),NOT(ISNUMBER(FIND("CAP",BC9)))))+64*(OR(RIGHT(BC9,5)="COUNT",RIGHT(BC9,2)="CT"))+128*(ISNUMBER(FIND("BULK",BC9)))+256*(ISNUMBER(FIND("SIZE",BC9)))+512*(LEFT(BC9,3)="CAP")+1024*(ISNUMBER(FIND("ALLERG",BC9)))+2048*(OR(ISNUMBER(FIND("REMARK",BC9)),ISNUMBER(FIND("COMMENT",BC9))))+4096*(OR(ISNUMBER(FIND("QTY",BC9)),ISNUMBER(FIND("QUANTITY",BC9))))+8192*(AND(OR(ISNUMBER(FIND("COMPLETE",BC9)),ISNUMBER(FIND("PCT",BC9)),ISNUMBER(FIND("PERCENT",BC9))),NOT(ISNUMBER(FIND("ACTUAL",BC9))),LEN(BC9)&lt;=16))+32768*(OR(ISNUMBER(FIND("DESIC",BC9)),ISNUMBER(FIND("DESSIC",BC9)))))</f>
        <v/>
      </c>
      <c r="BD144">
        <f>IF(BD9="",0,2*(OR(ISNUMBER(FIND("WORKCENTER",BD9)),AND(LEFT(BD9,4)="LINE",NOT(ISNUMBER(FIND("STATUS",BD9))))))+4*(OR(ISNUMBER(FIND("WORKORDER",BD9)),AND(LEFT(BD9,2)="WO",OR(ISNUMBER(FIND("NUM",BD9)),RIGHT(BD9,2)="NO"))))+8*(LEFT(BD9,3)="SEQ")+16*(AND(LEFT(BD9,4)="ITEM",NOT(ISNUMBER(FIND("DESC",BD9)))))+32*(AND(ISNUMBER(FIND("DESC",BD9)),NOT(ISNUMBER(FIND("CAP",BD9)))))+64*(OR(RIGHT(BD9,5)="COUNT",RIGHT(BD9,2)="CT"))+128*(ISNUMBER(FIND("BULK",BD9)))+256*(ISNUMBER(FIND("SIZE",BD9)))+512*(LEFT(BD9,3)="CAP")+1024*(ISNUMBER(FIND("ALLERG",BD9)))+2048*(OR(ISNUMBER(FIND("REMARK",BD9)),ISNUMBER(FIND("COMMENT",BD9))))+4096*(OR(ISNUMBER(FIND("QTY",BD9)),ISNUMBER(FIND("QUANTITY",BD9))))+8192*(AND(OR(ISNUMBER(FIND("COMPLETE",BD9)),ISNUMBER(FIND("PCT",BD9)),ISNUMBER(FIND("PERCENT",BD9))),NOT(ISNUMBER(FIND("ACTUAL",BD9))),LEN(BD9)&lt;=16))+32768*(OR(ISNUMBER(FIND("DESIC",BD9)),ISNUMBER(FIND("DESSIC",BD9)))))</f>
        <v/>
      </c>
      <c r="BE144">
        <f>IF(BE9="",0,2*(OR(ISNUMBER(FIND("WORKCENTER",BE9)),AND(LEFT(BE9,4)="LINE",NOT(ISNUMBER(FIND("STATUS",BE9))))))+4*(OR(ISNUMBER(FIND("WORKORDER",BE9)),AND(LEFT(BE9,2)="WO",OR(ISNUMBER(FIND("NUM",BE9)),RIGHT(BE9,2)="NO"))))+8*(LEFT(BE9,3)="SEQ")+16*(AND(LEFT(BE9,4)="ITEM",NOT(ISNUMBER(FIND("DESC",BE9)))))+32*(AND(ISNUMBER(FIND("DESC",BE9)),NOT(ISNUMBER(FIND("CAP",BE9)))))+64*(OR(RIGHT(BE9,5)="COUNT",RIGHT(BE9,2)="CT"))+128*(ISNUMBER(FIND("BULK",BE9)))+256*(ISNUMBER(FIND("SIZE",BE9)))+512*(LEFT(BE9,3)="CAP")+1024*(ISNUMBER(FIND("ALLERG",BE9)))+2048*(OR(ISNUMBER(FIND("REMARK",BE9)),ISNUMBER(FIND("COMMENT",BE9))))+4096*(OR(ISNUMBER(FIND("QTY",BE9)),ISNUMBER(FIND("QUANTITY",BE9))))+8192*(AND(OR(ISNUMBER(FIND("COMPLETE",BE9)),ISNUMBER(FIND("PCT",BE9)),ISNUMBER(FIND("PERCENT",BE9))),NOT(ISNUMBER(FIND("ACTUAL",BE9))),LEN(BE9)&lt;=16))+32768*(OR(ISNUMBER(FIND("DESIC",BE9)),ISNUMBER(FIND("DESSIC",BE9)))))</f>
        <v/>
      </c>
      <c r="BF144">
        <f>IF(BF9="",0,2*(OR(ISNUMBER(FIND("WORKCENTER",BF9)),AND(LEFT(BF9,4)="LINE",NOT(ISNUMBER(FIND("STATUS",BF9))))))+4*(OR(ISNUMBER(FIND("WORKORDER",BF9)),AND(LEFT(BF9,2)="WO",OR(ISNUMBER(FIND("NUM",BF9)),RIGHT(BF9,2)="NO"))))+8*(LEFT(BF9,3)="SEQ")+16*(AND(LEFT(BF9,4)="ITEM",NOT(ISNUMBER(FIND("DESC",BF9)))))+32*(AND(ISNUMBER(FIND("DESC",BF9)),NOT(ISNUMBER(FIND("CAP",BF9)))))+64*(OR(RIGHT(BF9,5)="COUNT",RIGHT(BF9,2)="CT"))+128*(ISNUMBER(FIND("BULK",BF9)))+256*(ISNUMBER(FIND("SIZE",BF9)))+512*(LEFT(BF9,3)="CAP")+1024*(ISNUMBER(FIND("ALLERG",BF9)))+2048*(OR(ISNUMBER(FIND("REMARK",BF9)),ISNUMBER(FIND("COMMENT",BF9))))+4096*(OR(ISNUMBER(FIND("QTY",BF9)),ISNUMBER(FIND("QUANTITY",BF9))))+8192*(AND(OR(ISNUMBER(FIND("COMPLETE",BF9)),ISNUMBER(FIND("PCT",BF9)),ISNUMBER(FIND("PERCENT",BF9))),NOT(ISNUMBER(FIND("ACTUAL",BF9))),LEN(BF9)&lt;=16))+32768*(OR(ISNUMBER(FIND("DESIC",BF9)),ISNUMBER(FIND("DESSIC",BF9)))))</f>
        <v/>
      </c>
      <c r="BG144">
        <f>IF(BG9="",0,2*(OR(ISNUMBER(FIND("WORKCENTER",BG9)),AND(LEFT(BG9,4)="LINE",NOT(ISNUMBER(FIND("STATUS",BG9))))))+4*(OR(ISNUMBER(FIND("WORKORDER",BG9)),AND(LEFT(BG9,2)="WO",OR(ISNUMBER(FIND("NUM",BG9)),RIGHT(BG9,2)="NO"))))+8*(LEFT(BG9,3)="SEQ")+16*(AND(LEFT(BG9,4)="ITEM",NOT(ISNUMBER(FIND("DESC",BG9)))))+32*(AND(ISNUMBER(FIND("DESC",BG9)),NOT(ISNUMBER(FIND("CAP",BG9)))))+64*(OR(RIGHT(BG9,5)="COUNT",RIGHT(BG9,2)="CT"))+128*(ISNUMBER(FIND("BULK",BG9)))+256*(ISNUMBER(FIND("SIZE",BG9)))+512*(LEFT(BG9,3)="CAP")+1024*(ISNUMBER(FIND("ALLERG",BG9)))+2048*(OR(ISNUMBER(FIND("REMARK",BG9)),ISNUMBER(FIND("COMMENT",BG9))))+4096*(OR(ISNUMBER(FIND("QTY",BG9)),ISNUMBER(FIND("QUANTITY",BG9))))+8192*(AND(OR(ISNUMBER(FIND("COMPLETE",BG9)),ISNUMBER(FIND("PCT",BG9)),ISNUMBER(FIND("PERCENT",BG9))),NOT(ISNUMBER(FIND("ACTUAL",BG9))),LEN(BG9)&lt;=16))+32768*(OR(ISNUMBER(FIND("DESIC",BG9)),ISNUMBER(FIND("DESSIC",BG9)))))</f>
        <v/>
      </c>
      <c r="BH144">
        <f>IF(BH9="",0,2*(OR(ISNUMBER(FIND("WORKCENTER",BH9)),AND(LEFT(BH9,4)="LINE",NOT(ISNUMBER(FIND("STATUS",BH9))))))+4*(OR(ISNUMBER(FIND("WORKORDER",BH9)),AND(LEFT(BH9,2)="WO",OR(ISNUMBER(FIND("NUM",BH9)),RIGHT(BH9,2)="NO"))))+8*(LEFT(BH9,3)="SEQ")+16*(AND(LEFT(BH9,4)="ITEM",NOT(ISNUMBER(FIND("DESC",BH9)))))+32*(AND(ISNUMBER(FIND("DESC",BH9)),NOT(ISNUMBER(FIND("CAP",BH9)))))+64*(OR(RIGHT(BH9,5)="COUNT",RIGHT(BH9,2)="CT"))+128*(ISNUMBER(FIND("BULK",BH9)))+256*(ISNUMBER(FIND("SIZE",BH9)))+512*(LEFT(BH9,3)="CAP")+1024*(ISNUMBER(FIND("ALLERG",BH9)))+2048*(OR(ISNUMBER(FIND("REMARK",BH9)),ISNUMBER(FIND("COMMENT",BH9))))+4096*(OR(ISNUMBER(FIND("QTY",BH9)),ISNUMBER(FIND("QUANTITY",BH9))))+8192*(AND(OR(ISNUMBER(FIND("COMPLETE",BH9)),ISNUMBER(FIND("PCT",BH9)),ISNUMBER(FIND("PERCENT",BH9))),NOT(ISNUMBER(FIND("ACTUAL",BH9))),LEN(BH9)&lt;=16))+32768*(OR(ISNUMBER(FIND("DESIC",BH9)),ISNUMBER(FIND("DESSIC",BH9)))))</f>
        <v/>
      </c>
      <c r="BI144">
        <f>IF(BI9="",0,2*(OR(ISNUMBER(FIND("WORKCENTER",BI9)),AND(LEFT(BI9,4)="LINE",NOT(ISNUMBER(FIND("STATUS",BI9))))))+4*(OR(ISNUMBER(FIND("WORKORDER",BI9)),AND(LEFT(BI9,2)="WO",OR(ISNUMBER(FIND("NUM",BI9)),RIGHT(BI9,2)="NO"))))+8*(LEFT(BI9,3)="SEQ")+16*(AND(LEFT(BI9,4)="ITEM",NOT(ISNUMBER(FIND("DESC",BI9)))))+32*(AND(ISNUMBER(FIND("DESC",BI9)),NOT(ISNUMBER(FIND("CAP",BI9)))))+64*(OR(RIGHT(BI9,5)="COUNT",RIGHT(BI9,2)="CT"))+128*(ISNUMBER(FIND("BULK",BI9)))+256*(ISNUMBER(FIND("SIZE",BI9)))+512*(LEFT(BI9,3)="CAP")+1024*(ISNUMBER(FIND("ALLERG",BI9)))+2048*(OR(ISNUMBER(FIND("REMARK",BI9)),ISNUMBER(FIND("COMMENT",BI9))))+4096*(OR(ISNUMBER(FIND("QTY",BI9)),ISNUMBER(FIND("QUANTITY",BI9))))+8192*(AND(OR(ISNUMBER(FIND("COMPLETE",BI9)),ISNUMBER(FIND("PCT",BI9)),ISNUMBER(FIND("PERCENT",BI9))),NOT(ISNUMBER(FIND("ACTUAL",BI9))),LEN(BI9)&lt;=16))+32768*(OR(ISNUMBER(FIND("DESIC",BI9)),ISNUMBER(FIND("DESSIC",BI9)))))</f>
        <v/>
      </c>
      <c r="BJ144">
        <f>IF(BJ9="",0,2*(OR(ISNUMBER(FIND("WORKCENTER",BJ9)),AND(LEFT(BJ9,4)="LINE",NOT(ISNUMBER(FIND("STATUS",BJ9))))))+4*(OR(ISNUMBER(FIND("WORKORDER",BJ9)),AND(LEFT(BJ9,2)="WO",OR(ISNUMBER(FIND("NUM",BJ9)),RIGHT(BJ9,2)="NO"))))+8*(LEFT(BJ9,3)="SEQ")+16*(AND(LEFT(BJ9,4)="ITEM",NOT(ISNUMBER(FIND("DESC",BJ9)))))+32*(AND(ISNUMBER(FIND("DESC",BJ9)),NOT(ISNUMBER(FIND("CAP",BJ9)))))+64*(OR(RIGHT(BJ9,5)="COUNT",RIGHT(BJ9,2)="CT"))+128*(ISNUMBER(FIND("BULK",BJ9)))+256*(ISNUMBER(FIND("SIZE",BJ9)))+512*(LEFT(BJ9,3)="CAP")+1024*(ISNUMBER(FIND("ALLERG",BJ9)))+2048*(OR(ISNUMBER(FIND("REMARK",BJ9)),ISNUMBER(FIND("COMMENT",BJ9))))+4096*(OR(ISNUMBER(FIND("QTY",BJ9)),ISNUMBER(FIND("QUANTITY",BJ9))))+8192*(AND(OR(ISNUMBER(FIND("COMPLETE",BJ9)),ISNUMBER(FIND("PCT",BJ9)),ISNUMBER(FIND("PERCENT",BJ9))),NOT(ISNUMBER(FIND("ACTUAL",BJ9))),LEN(BJ9)&lt;=16))+32768*(OR(ISNUMBER(FIND("DESIC",BJ9)),ISNUMBER(FIND("DESSIC",BJ9)))))</f>
        <v/>
      </c>
      <c r="BK144">
        <f>IF(BK9="",0,2*(OR(ISNUMBER(FIND("WORKCENTER",BK9)),AND(LEFT(BK9,4)="LINE",NOT(ISNUMBER(FIND("STATUS",BK9))))))+4*(OR(ISNUMBER(FIND("WORKORDER",BK9)),AND(LEFT(BK9,2)="WO",OR(ISNUMBER(FIND("NUM",BK9)),RIGHT(BK9,2)="NO"))))+8*(LEFT(BK9,3)="SEQ")+16*(AND(LEFT(BK9,4)="ITEM",NOT(ISNUMBER(FIND("DESC",BK9)))))+32*(AND(ISNUMBER(FIND("DESC",BK9)),NOT(ISNUMBER(FIND("CAP",BK9)))))+64*(OR(RIGHT(BK9,5)="COUNT",RIGHT(BK9,2)="CT"))+128*(ISNUMBER(FIND("BULK",BK9)))+256*(ISNUMBER(FIND("SIZE",BK9)))+512*(LEFT(BK9,3)="CAP")+1024*(ISNUMBER(FIND("ALLERG",BK9)))+2048*(OR(ISNUMBER(FIND("REMARK",BK9)),ISNUMBER(FIND("COMMENT",BK9))))+4096*(OR(ISNUMBER(FIND("QTY",BK9)),ISNUMBER(FIND("QUANTITY",BK9))))+8192*(AND(OR(ISNUMBER(FIND("COMPLETE",BK9)),ISNUMBER(FIND("PCT",BK9)),ISNUMBER(FIND("PERCENT",BK9))),NOT(ISNUMBER(FIND("ACTUAL",BK9))),LEN(BK9)&lt;=16))+32768*(OR(ISNUMBER(FIND("DESIC",BK9)),ISNUMBER(FIND("DESSIC",BK9)))))</f>
        <v/>
      </c>
      <c r="BL144">
        <f>IF(BL9="",0,2*(OR(ISNUMBER(FIND("WORKCENTER",BL9)),AND(LEFT(BL9,4)="LINE",NOT(ISNUMBER(FIND("STATUS",BL9))))))+4*(OR(ISNUMBER(FIND("WORKORDER",BL9)),AND(LEFT(BL9,2)="WO",OR(ISNUMBER(FIND("NUM",BL9)),RIGHT(BL9,2)="NO"))))+8*(LEFT(BL9,3)="SEQ")+16*(AND(LEFT(BL9,4)="ITEM",NOT(ISNUMBER(FIND("DESC",BL9)))))+32*(AND(ISNUMBER(FIND("DESC",BL9)),NOT(ISNUMBER(FIND("CAP",BL9)))))+64*(OR(RIGHT(BL9,5)="COUNT",RIGHT(BL9,2)="CT"))+128*(ISNUMBER(FIND("BULK",BL9)))+256*(ISNUMBER(FIND("SIZE",BL9)))+512*(LEFT(BL9,3)="CAP")+1024*(ISNUMBER(FIND("ALLERG",BL9)))+2048*(OR(ISNUMBER(FIND("REMARK",BL9)),ISNUMBER(FIND("COMMENT",BL9))))+4096*(OR(ISNUMBER(FIND("QTY",BL9)),ISNUMBER(FIND("QUANTITY",BL9))))+8192*(AND(OR(ISNUMBER(FIND("COMPLETE",BL9)),ISNUMBER(FIND("PCT",BL9)),ISNUMBER(FIND("PERCENT",BL9))),NOT(ISNUMBER(FIND("ACTUAL",BL9))),LEN(BL9)&lt;=16))+32768*(OR(ISNUMBER(FIND("DESIC",BL9)),ISNUMBER(FIND("DESSIC",BL9)))))</f>
        <v/>
      </c>
      <c r="BM144">
        <f>IF(BM9="",0,2*(OR(ISNUMBER(FIND("WORKCENTER",BM9)),AND(LEFT(BM9,4)="LINE",NOT(ISNUMBER(FIND("STATUS",BM9))))))+4*(OR(ISNUMBER(FIND("WORKORDER",BM9)),AND(LEFT(BM9,2)="WO",OR(ISNUMBER(FIND("NUM",BM9)),RIGHT(BM9,2)="NO"))))+8*(LEFT(BM9,3)="SEQ")+16*(AND(LEFT(BM9,4)="ITEM",NOT(ISNUMBER(FIND("DESC",BM9)))))+32*(AND(ISNUMBER(FIND("DESC",BM9)),NOT(ISNUMBER(FIND("CAP",BM9)))))+64*(OR(RIGHT(BM9,5)="COUNT",RIGHT(BM9,2)="CT"))+128*(ISNUMBER(FIND("BULK",BM9)))+256*(ISNUMBER(FIND("SIZE",BM9)))+512*(LEFT(BM9,3)="CAP")+1024*(ISNUMBER(FIND("ALLERG",BM9)))+2048*(OR(ISNUMBER(FIND("REMARK",BM9)),ISNUMBER(FIND("COMMENT",BM9))))+4096*(OR(ISNUMBER(FIND("QTY",BM9)),ISNUMBER(FIND("QUANTITY",BM9))))+8192*(AND(OR(ISNUMBER(FIND("COMPLETE",BM9)),ISNUMBER(FIND("PCT",BM9)),ISNUMBER(FIND("PERCENT",BM9))),NOT(ISNUMBER(FIND("ACTUAL",BM9))),LEN(BM9)&lt;=16))+32768*(OR(ISNUMBER(FIND("DESIC",BM9)),ISNUMBER(FIND("DESSIC",BM9)))))</f>
        <v/>
      </c>
      <c r="BN144">
        <f>IF(BN9="",0,2*(OR(ISNUMBER(FIND("WORKCENTER",BN9)),AND(LEFT(BN9,4)="LINE",NOT(ISNUMBER(FIND("STATUS",BN9))))))+4*(OR(ISNUMBER(FIND("WORKORDER",BN9)),AND(LEFT(BN9,2)="WO",OR(ISNUMBER(FIND("NUM",BN9)),RIGHT(BN9,2)="NO"))))+8*(LEFT(BN9,3)="SEQ")+16*(AND(LEFT(BN9,4)="ITEM",NOT(ISNUMBER(FIND("DESC",BN9)))))+32*(AND(ISNUMBER(FIND("DESC",BN9)),NOT(ISNUMBER(FIND("CAP",BN9)))))+64*(OR(RIGHT(BN9,5)="COUNT",RIGHT(BN9,2)="CT"))+128*(ISNUMBER(FIND("BULK",BN9)))+256*(ISNUMBER(FIND("SIZE",BN9)))+512*(LEFT(BN9,3)="CAP")+1024*(ISNUMBER(FIND("ALLERG",BN9)))+2048*(OR(ISNUMBER(FIND("REMARK",BN9)),ISNUMBER(FIND("COMMENT",BN9))))+4096*(OR(ISNUMBER(FIND("QTY",BN9)),ISNUMBER(FIND("QUANTITY",BN9))))+8192*(AND(OR(ISNUMBER(FIND("COMPLETE",BN9)),ISNUMBER(FIND("PCT",BN9)),ISNUMBER(FIND("PERCENT",BN9))),NOT(ISNUMBER(FIND("ACTUAL",BN9))),LEN(BN9)&lt;=16))+32768*(OR(ISNUMBER(FIND("DESIC",BN9)),ISNUMBER(FIND("DESSIC",BN9)))))</f>
        <v/>
      </c>
      <c r="BO144">
        <f>IF(BO9="",0,2*(OR(ISNUMBER(FIND("WORKCENTER",BO9)),AND(LEFT(BO9,4)="LINE",NOT(ISNUMBER(FIND("STATUS",BO9))))))+4*(OR(ISNUMBER(FIND("WORKORDER",BO9)),AND(LEFT(BO9,2)="WO",OR(ISNUMBER(FIND("NUM",BO9)),RIGHT(BO9,2)="NO"))))+8*(LEFT(BO9,3)="SEQ")+16*(AND(LEFT(BO9,4)="ITEM",NOT(ISNUMBER(FIND("DESC",BO9)))))+32*(AND(ISNUMBER(FIND("DESC",BO9)),NOT(ISNUMBER(FIND("CAP",BO9)))))+64*(OR(RIGHT(BO9,5)="COUNT",RIGHT(BO9,2)="CT"))+128*(ISNUMBER(FIND("BULK",BO9)))+256*(ISNUMBER(FIND("SIZE",BO9)))+512*(LEFT(BO9,3)="CAP")+1024*(ISNUMBER(FIND("ALLERG",BO9)))+2048*(OR(ISNUMBER(FIND("REMARK",BO9)),ISNUMBER(FIND("COMMENT",BO9))))+4096*(OR(ISNUMBER(FIND("QTY",BO9)),ISNUMBER(FIND("QUANTITY",BO9))))+8192*(AND(OR(ISNUMBER(FIND("COMPLETE",BO9)),ISNUMBER(FIND("PCT",BO9)),ISNUMBER(FIND("PERCENT",BO9))),NOT(ISNUMBER(FIND("ACTUAL",BO9))),LEN(BO9)&lt;=16))+32768*(OR(ISNUMBER(FIND("DESIC",BO9)),ISNUMBER(FIND("DESSIC",BO9)))))</f>
        <v/>
      </c>
      <c r="BP144">
        <f>IF(BP9="",0,2*(OR(ISNUMBER(FIND("WORKCENTER",BP9)),AND(LEFT(BP9,4)="LINE",NOT(ISNUMBER(FIND("STATUS",BP9))))))+4*(OR(ISNUMBER(FIND("WORKORDER",BP9)),AND(LEFT(BP9,2)="WO",OR(ISNUMBER(FIND("NUM",BP9)),RIGHT(BP9,2)="NO"))))+8*(LEFT(BP9,3)="SEQ")+16*(AND(LEFT(BP9,4)="ITEM",NOT(ISNUMBER(FIND("DESC",BP9)))))+32*(AND(ISNUMBER(FIND("DESC",BP9)),NOT(ISNUMBER(FIND("CAP",BP9)))))+64*(OR(RIGHT(BP9,5)="COUNT",RIGHT(BP9,2)="CT"))+128*(ISNUMBER(FIND("BULK",BP9)))+256*(ISNUMBER(FIND("SIZE",BP9)))+512*(LEFT(BP9,3)="CAP")+1024*(ISNUMBER(FIND("ALLERG",BP9)))+2048*(OR(ISNUMBER(FIND("REMARK",BP9)),ISNUMBER(FIND("COMMENT",BP9))))+4096*(OR(ISNUMBER(FIND("QTY",BP9)),ISNUMBER(FIND("QUANTITY",BP9))))+8192*(AND(OR(ISNUMBER(FIND("COMPLETE",BP9)),ISNUMBER(FIND("PCT",BP9)),ISNUMBER(FIND("PERCENT",BP9))),NOT(ISNUMBER(FIND("ACTUAL",BP9))),LEN(BP9)&lt;=16))+32768*(OR(ISNUMBER(FIND("DESIC",BP9)),ISNUMBER(FIND("DESSIC",BP9)))))</f>
        <v/>
      </c>
      <c r="BQ144">
        <f>IF(BQ9="",0,2*(OR(ISNUMBER(FIND("WORKCENTER",BQ9)),AND(LEFT(BQ9,4)="LINE",NOT(ISNUMBER(FIND("STATUS",BQ9))))))+4*(OR(ISNUMBER(FIND("WORKORDER",BQ9)),AND(LEFT(BQ9,2)="WO",OR(ISNUMBER(FIND("NUM",BQ9)),RIGHT(BQ9,2)="NO"))))+8*(LEFT(BQ9,3)="SEQ")+16*(AND(LEFT(BQ9,4)="ITEM",NOT(ISNUMBER(FIND("DESC",BQ9)))))+32*(AND(ISNUMBER(FIND("DESC",BQ9)),NOT(ISNUMBER(FIND("CAP",BQ9)))))+64*(OR(RIGHT(BQ9,5)="COUNT",RIGHT(BQ9,2)="CT"))+128*(ISNUMBER(FIND("BULK",BQ9)))+256*(ISNUMBER(FIND("SIZE",BQ9)))+512*(LEFT(BQ9,3)="CAP")+1024*(ISNUMBER(FIND("ALLERG",BQ9)))+2048*(OR(ISNUMBER(FIND("REMARK",BQ9)),ISNUMBER(FIND("COMMENT",BQ9))))+4096*(OR(ISNUMBER(FIND("QTY",BQ9)),ISNUMBER(FIND("QUANTITY",BQ9))))+8192*(AND(OR(ISNUMBER(FIND("COMPLETE",BQ9)),ISNUMBER(FIND("PCT",BQ9)),ISNUMBER(FIND("PERCENT",BQ9))),NOT(ISNUMBER(FIND("ACTUAL",BQ9))),LEN(BQ9)&lt;=16))+32768*(OR(ISNUMBER(FIND("DESIC",BQ9)),ISNUMBER(FIND("DESSIC",BQ9)))))</f>
        <v/>
      </c>
      <c r="BR144">
        <f>IF(BR9="",0,2*(OR(ISNUMBER(FIND("WORKCENTER",BR9)),AND(LEFT(BR9,4)="LINE",NOT(ISNUMBER(FIND("STATUS",BR9))))))+4*(OR(ISNUMBER(FIND("WORKORDER",BR9)),AND(LEFT(BR9,2)="WO",OR(ISNUMBER(FIND("NUM",BR9)),RIGHT(BR9,2)="NO"))))+8*(LEFT(BR9,3)="SEQ")+16*(AND(LEFT(BR9,4)="ITEM",NOT(ISNUMBER(FIND("DESC",BR9)))))+32*(AND(ISNUMBER(FIND("DESC",BR9)),NOT(ISNUMBER(FIND("CAP",BR9)))))+64*(OR(RIGHT(BR9,5)="COUNT",RIGHT(BR9,2)="CT"))+128*(ISNUMBER(FIND("BULK",BR9)))+256*(ISNUMBER(FIND("SIZE",BR9)))+512*(LEFT(BR9,3)="CAP")+1024*(ISNUMBER(FIND("ALLERG",BR9)))+2048*(OR(ISNUMBER(FIND("REMARK",BR9)),ISNUMBER(FIND("COMMENT",BR9))))+4096*(OR(ISNUMBER(FIND("QTY",BR9)),ISNUMBER(FIND("QUANTITY",BR9))))+8192*(AND(OR(ISNUMBER(FIND("COMPLETE",BR9)),ISNUMBER(FIND("PCT",BR9)),ISNUMBER(FIND("PERCENT",BR9))),NOT(ISNUMBER(FIND("ACTUAL",BR9))),LEN(BR9)&lt;=16))+32768*(OR(ISNUMBER(FIND("DESIC",BR9)),ISNUMBER(FIND("DESSIC",BR9)))))</f>
        <v/>
      </c>
      <c r="BS144">
        <f>IF(BS9="",0,2*(OR(ISNUMBER(FIND("WORKCENTER",BS9)),AND(LEFT(BS9,4)="LINE",NOT(ISNUMBER(FIND("STATUS",BS9))))))+4*(OR(ISNUMBER(FIND("WORKORDER",BS9)),AND(LEFT(BS9,2)="WO",OR(ISNUMBER(FIND("NUM",BS9)),RIGHT(BS9,2)="NO"))))+8*(LEFT(BS9,3)="SEQ")+16*(AND(LEFT(BS9,4)="ITEM",NOT(ISNUMBER(FIND("DESC",BS9)))))+32*(AND(ISNUMBER(FIND("DESC",BS9)),NOT(ISNUMBER(FIND("CAP",BS9)))))+64*(OR(RIGHT(BS9,5)="COUNT",RIGHT(BS9,2)="CT"))+128*(ISNUMBER(FIND("BULK",BS9)))+256*(ISNUMBER(FIND("SIZE",BS9)))+512*(LEFT(BS9,3)="CAP")+1024*(ISNUMBER(FIND("ALLERG",BS9)))+2048*(OR(ISNUMBER(FIND("REMARK",BS9)),ISNUMBER(FIND("COMMENT",BS9))))+4096*(OR(ISNUMBER(FIND("QTY",BS9)),ISNUMBER(FIND("QUANTITY",BS9))))+8192*(AND(OR(ISNUMBER(FIND("COMPLETE",BS9)),ISNUMBER(FIND("PCT",BS9)),ISNUMBER(FIND("PERCENT",BS9))),NOT(ISNUMBER(FIND("ACTUAL",BS9))),LEN(BS9)&lt;=16))+32768*(OR(ISNUMBER(FIND("DESIC",BS9)),ISNUMBER(FIND("DESSIC",BS9)))))</f>
        <v/>
      </c>
      <c r="BT144">
        <f>IF(BT9="",0,2*(OR(ISNUMBER(FIND("WORKCENTER",BT9)),AND(LEFT(BT9,4)="LINE",NOT(ISNUMBER(FIND("STATUS",BT9))))))+4*(OR(ISNUMBER(FIND("WORKORDER",BT9)),AND(LEFT(BT9,2)="WO",OR(ISNUMBER(FIND("NUM",BT9)),RIGHT(BT9,2)="NO"))))+8*(LEFT(BT9,3)="SEQ")+16*(AND(LEFT(BT9,4)="ITEM",NOT(ISNUMBER(FIND("DESC",BT9)))))+32*(AND(ISNUMBER(FIND("DESC",BT9)),NOT(ISNUMBER(FIND("CAP",BT9)))))+64*(OR(RIGHT(BT9,5)="COUNT",RIGHT(BT9,2)="CT"))+128*(ISNUMBER(FIND("BULK",BT9)))+256*(ISNUMBER(FIND("SIZE",BT9)))+512*(LEFT(BT9,3)="CAP")+1024*(ISNUMBER(FIND("ALLERG",BT9)))+2048*(OR(ISNUMBER(FIND("REMARK",BT9)),ISNUMBER(FIND("COMMENT",BT9))))+4096*(OR(ISNUMBER(FIND("QTY",BT9)),ISNUMBER(FIND("QUANTITY",BT9))))+8192*(AND(OR(ISNUMBER(FIND("COMPLETE",BT9)),ISNUMBER(FIND("PCT",BT9)),ISNUMBER(FIND("PERCENT",BT9))),NOT(ISNUMBER(FIND("ACTUAL",BT9))),LEN(BT9)&lt;=16))+32768*(OR(ISNUMBER(FIND("DESIC",BT9)),ISNUMBER(FIND("DESSIC",BT9)))))</f>
        <v/>
      </c>
      <c r="BU144">
        <f>IF(BU9="",0,2*(OR(ISNUMBER(FIND("WORKCENTER",BU9)),AND(LEFT(BU9,4)="LINE",NOT(ISNUMBER(FIND("STATUS",BU9))))))+4*(OR(ISNUMBER(FIND("WORKORDER",BU9)),AND(LEFT(BU9,2)="WO",OR(ISNUMBER(FIND("NUM",BU9)),RIGHT(BU9,2)="NO"))))+8*(LEFT(BU9,3)="SEQ")+16*(AND(LEFT(BU9,4)="ITEM",NOT(ISNUMBER(FIND("DESC",BU9)))))+32*(AND(ISNUMBER(FIND("DESC",BU9)),NOT(ISNUMBER(FIND("CAP",BU9)))))+64*(OR(RIGHT(BU9,5)="COUNT",RIGHT(BU9,2)="CT"))+128*(ISNUMBER(FIND("BULK",BU9)))+256*(ISNUMBER(FIND("SIZE",BU9)))+512*(LEFT(BU9,3)="CAP")+1024*(ISNUMBER(FIND("ALLERG",BU9)))+2048*(OR(ISNUMBER(FIND("REMARK",BU9)),ISNUMBER(FIND("COMMENT",BU9))))+4096*(OR(ISNUMBER(FIND("QTY",BU9)),ISNUMBER(FIND("QUANTITY",BU9))))+8192*(AND(OR(ISNUMBER(FIND("COMPLETE",BU9)),ISNUMBER(FIND("PCT",BU9)),ISNUMBER(FIND("PERCENT",BU9))),NOT(ISNUMBER(FIND("ACTUAL",BU9))),LEN(BU9)&lt;=16))+32768*(OR(ISNUMBER(FIND("DESIC",BU9)),ISNUMBER(FIND("DESSIC",BU9)))))</f>
        <v/>
      </c>
      <c r="BV144">
        <f>IF(BV9="",0,2*(OR(ISNUMBER(FIND("WORKCENTER",BV9)),AND(LEFT(BV9,4)="LINE",NOT(ISNUMBER(FIND("STATUS",BV9))))))+4*(OR(ISNUMBER(FIND("WORKORDER",BV9)),AND(LEFT(BV9,2)="WO",OR(ISNUMBER(FIND("NUM",BV9)),RIGHT(BV9,2)="NO"))))+8*(LEFT(BV9,3)="SEQ")+16*(AND(LEFT(BV9,4)="ITEM",NOT(ISNUMBER(FIND("DESC",BV9)))))+32*(AND(ISNUMBER(FIND("DESC",BV9)),NOT(ISNUMBER(FIND("CAP",BV9)))))+64*(OR(RIGHT(BV9,5)="COUNT",RIGHT(BV9,2)="CT"))+128*(ISNUMBER(FIND("BULK",BV9)))+256*(ISNUMBER(FIND("SIZE",BV9)))+512*(LEFT(BV9,3)="CAP")+1024*(ISNUMBER(FIND("ALLERG",BV9)))+2048*(OR(ISNUMBER(FIND("REMARK",BV9)),ISNUMBER(FIND("COMMENT",BV9))))+4096*(OR(ISNUMBER(FIND("QTY",BV9)),ISNUMBER(FIND("QUANTITY",BV9))))+8192*(AND(OR(ISNUMBER(FIND("COMPLETE",BV9)),ISNUMBER(FIND("PCT",BV9)),ISNUMBER(FIND("PERCENT",BV9))),NOT(ISNUMBER(FIND("ACTUAL",BV9))),LEN(BV9)&lt;=16))+32768*(OR(ISNUMBER(FIND("DESIC",BV9)),ISNUMBER(FIND("DESSIC",BV9)))))</f>
        <v/>
      </c>
      <c r="BW144">
        <f>IF(BW9="",0,2*(OR(ISNUMBER(FIND("WORKCENTER",BW9)),AND(LEFT(BW9,4)="LINE",NOT(ISNUMBER(FIND("STATUS",BW9))))))+4*(OR(ISNUMBER(FIND("WORKORDER",BW9)),AND(LEFT(BW9,2)="WO",OR(ISNUMBER(FIND("NUM",BW9)),RIGHT(BW9,2)="NO"))))+8*(LEFT(BW9,3)="SEQ")+16*(AND(LEFT(BW9,4)="ITEM",NOT(ISNUMBER(FIND("DESC",BW9)))))+32*(AND(ISNUMBER(FIND("DESC",BW9)),NOT(ISNUMBER(FIND("CAP",BW9)))))+64*(OR(RIGHT(BW9,5)="COUNT",RIGHT(BW9,2)="CT"))+128*(ISNUMBER(FIND("BULK",BW9)))+256*(ISNUMBER(FIND("SIZE",BW9)))+512*(LEFT(BW9,3)="CAP")+1024*(ISNUMBER(FIND("ALLERG",BW9)))+2048*(OR(ISNUMBER(FIND("REMARK",BW9)),ISNUMBER(FIND("COMMENT",BW9))))+4096*(OR(ISNUMBER(FIND("QTY",BW9)),ISNUMBER(FIND("QUANTITY",BW9))))+8192*(AND(OR(ISNUMBER(FIND("COMPLETE",BW9)),ISNUMBER(FIND("PCT",BW9)),ISNUMBER(FIND("PERCENT",BW9))),NOT(ISNUMBER(FIND("ACTUAL",BW9))),LEN(BW9)&lt;=16))+32768*(OR(ISNUMBER(FIND("DESIC",BW9)),ISNUMBER(FIND("DESSIC",BW9)))))</f>
        <v/>
      </c>
      <c r="BX144">
        <f>IF(BX9="",0,2*(OR(ISNUMBER(FIND("WORKCENTER",BX9)),AND(LEFT(BX9,4)="LINE",NOT(ISNUMBER(FIND("STATUS",BX9))))))+4*(OR(ISNUMBER(FIND("WORKORDER",BX9)),AND(LEFT(BX9,2)="WO",OR(ISNUMBER(FIND("NUM",BX9)),RIGHT(BX9,2)="NO"))))+8*(LEFT(BX9,3)="SEQ")+16*(AND(LEFT(BX9,4)="ITEM",NOT(ISNUMBER(FIND("DESC",BX9)))))+32*(AND(ISNUMBER(FIND("DESC",BX9)),NOT(ISNUMBER(FIND("CAP",BX9)))))+64*(OR(RIGHT(BX9,5)="COUNT",RIGHT(BX9,2)="CT"))+128*(ISNUMBER(FIND("BULK",BX9)))+256*(ISNUMBER(FIND("SIZE",BX9)))+512*(LEFT(BX9,3)="CAP")+1024*(ISNUMBER(FIND("ALLERG",BX9)))+2048*(OR(ISNUMBER(FIND("REMARK",BX9)),ISNUMBER(FIND("COMMENT",BX9))))+4096*(OR(ISNUMBER(FIND("QTY",BX9)),ISNUMBER(FIND("QUANTITY",BX9))))+8192*(AND(OR(ISNUMBER(FIND("COMPLETE",BX9)),ISNUMBER(FIND("PCT",BX9)),ISNUMBER(FIND("PERCENT",BX9))),NOT(ISNUMBER(FIND("ACTUAL",BX9))),LEN(BX9)&lt;=16))+32768*(OR(ISNUMBER(FIND("DESIC",BX9)),ISNUMBER(FIND("DESSIC",BX9)))))</f>
        <v/>
      </c>
      <c r="BY144">
        <f>IF(BY9="",0,2*(OR(ISNUMBER(FIND("WORKCENTER",BY9)),AND(LEFT(BY9,4)="LINE",NOT(ISNUMBER(FIND("STATUS",BY9))))))+4*(OR(ISNUMBER(FIND("WORKORDER",BY9)),AND(LEFT(BY9,2)="WO",OR(ISNUMBER(FIND("NUM",BY9)),RIGHT(BY9,2)="NO"))))+8*(LEFT(BY9,3)="SEQ")+16*(AND(LEFT(BY9,4)="ITEM",NOT(ISNUMBER(FIND("DESC",BY9)))))+32*(AND(ISNUMBER(FIND("DESC",BY9)),NOT(ISNUMBER(FIND("CAP",BY9)))))+64*(OR(RIGHT(BY9,5)="COUNT",RIGHT(BY9,2)="CT"))+128*(ISNUMBER(FIND("BULK",BY9)))+256*(ISNUMBER(FIND("SIZE",BY9)))+512*(LEFT(BY9,3)="CAP")+1024*(ISNUMBER(FIND("ALLERG",BY9)))+2048*(OR(ISNUMBER(FIND("REMARK",BY9)),ISNUMBER(FIND("COMMENT",BY9))))+4096*(OR(ISNUMBER(FIND("QTY",BY9)),ISNUMBER(FIND("QUANTITY",BY9))))+8192*(AND(OR(ISNUMBER(FIND("COMPLETE",BY9)),ISNUMBER(FIND("PCT",BY9)),ISNUMBER(FIND("PERCENT",BY9))),NOT(ISNUMBER(FIND("ACTUAL",BY9))),LEN(BY9)&lt;=16))+32768*(OR(ISNUMBER(FIND("DESIC",BY9)),ISNUMBER(FIND("DESSIC",BY9)))))</f>
        <v/>
      </c>
      <c r="BZ144">
        <f>IF(BZ9="",0,2*(OR(ISNUMBER(FIND("WORKCENTER",BZ9)),AND(LEFT(BZ9,4)="LINE",NOT(ISNUMBER(FIND("STATUS",BZ9))))))+4*(OR(ISNUMBER(FIND("WORKORDER",BZ9)),AND(LEFT(BZ9,2)="WO",OR(ISNUMBER(FIND("NUM",BZ9)),RIGHT(BZ9,2)="NO"))))+8*(LEFT(BZ9,3)="SEQ")+16*(AND(LEFT(BZ9,4)="ITEM",NOT(ISNUMBER(FIND("DESC",BZ9)))))+32*(AND(ISNUMBER(FIND("DESC",BZ9)),NOT(ISNUMBER(FIND("CAP",BZ9)))))+64*(OR(RIGHT(BZ9,5)="COUNT",RIGHT(BZ9,2)="CT"))+128*(ISNUMBER(FIND("BULK",BZ9)))+256*(ISNUMBER(FIND("SIZE",BZ9)))+512*(LEFT(BZ9,3)="CAP")+1024*(ISNUMBER(FIND("ALLERG",BZ9)))+2048*(OR(ISNUMBER(FIND("REMARK",BZ9)),ISNUMBER(FIND("COMMENT",BZ9))))+4096*(OR(ISNUMBER(FIND("QTY",BZ9)),ISNUMBER(FIND("QUANTITY",BZ9))))+8192*(AND(OR(ISNUMBER(FIND("COMPLETE",BZ9)),ISNUMBER(FIND("PCT",BZ9)),ISNUMBER(FIND("PERCENT",BZ9))),NOT(ISNUMBER(FIND("ACTUAL",BZ9))),LEN(BZ9)&lt;=16))+32768*(OR(ISNUMBER(FIND("DESIC",BZ9)),ISNUMBER(FIND("DESSIC",BZ9)))))</f>
        <v/>
      </c>
      <c r="CA144">
        <f>IF(CA9="",0,2*(OR(ISNUMBER(FIND("WORKCENTER",CA9)),AND(LEFT(CA9,4)="LINE",NOT(ISNUMBER(FIND("STATUS",CA9))))))+4*(OR(ISNUMBER(FIND("WORKORDER",CA9)),AND(LEFT(CA9,2)="WO",OR(ISNUMBER(FIND("NUM",CA9)),RIGHT(CA9,2)="NO"))))+8*(LEFT(CA9,3)="SEQ")+16*(AND(LEFT(CA9,4)="ITEM",NOT(ISNUMBER(FIND("DESC",CA9)))))+32*(AND(ISNUMBER(FIND("DESC",CA9)),NOT(ISNUMBER(FIND("CAP",CA9)))))+64*(OR(RIGHT(CA9,5)="COUNT",RIGHT(CA9,2)="CT"))+128*(ISNUMBER(FIND("BULK",CA9)))+256*(ISNUMBER(FIND("SIZE",CA9)))+512*(LEFT(CA9,3)="CAP")+1024*(ISNUMBER(FIND("ALLERG",CA9)))+2048*(OR(ISNUMBER(FIND("REMARK",CA9)),ISNUMBER(FIND("COMMENT",CA9))))+4096*(OR(ISNUMBER(FIND("QTY",CA9)),ISNUMBER(FIND("QUANTITY",CA9))))+8192*(AND(OR(ISNUMBER(FIND("COMPLETE",CA9)),ISNUMBER(FIND("PCT",CA9)),ISNUMBER(FIND("PERCENT",CA9))),NOT(ISNUMBER(FIND("ACTUAL",CA9))),LEN(CA9)&lt;=16))+32768*(OR(ISNUMBER(FIND("DESIC",CA9)),ISNUMBER(FIND("DESSIC",CA9)))))</f>
        <v/>
      </c>
      <c r="CB144">
        <f>IF(CB9="",0,2*(OR(ISNUMBER(FIND("WORKCENTER",CB9)),AND(LEFT(CB9,4)="LINE",NOT(ISNUMBER(FIND("STATUS",CB9))))))+4*(OR(ISNUMBER(FIND("WORKORDER",CB9)),AND(LEFT(CB9,2)="WO",OR(ISNUMBER(FIND("NUM",CB9)),RIGHT(CB9,2)="NO"))))+8*(LEFT(CB9,3)="SEQ")+16*(AND(LEFT(CB9,4)="ITEM",NOT(ISNUMBER(FIND("DESC",CB9)))))+32*(AND(ISNUMBER(FIND("DESC",CB9)),NOT(ISNUMBER(FIND("CAP",CB9)))))+64*(OR(RIGHT(CB9,5)="COUNT",RIGHT(CB9,2)="CT"))+128*(ISNUMBER(FIND("BULK",CB9)))+256*(ISNUMBER(FIND("SIZE",CB9)))+512*(LEFT(CB9,3)="CAP")+1024*(ISNUMBER(FIND("ALLERG",CB9)))+2048*(OR(ISNUMBER(FIND("REMARK",CB9)),ISNUMBER(FIND("COMMENT",CB9))))+4096*(OR(ISNUMBER(FIND("QTY",CB9)),ISNUMBER(FIND("QUANTITY",CB9))))+8192*(AND(OR(ISNUMBER(FIND("COMPLETE",CB9)),ISNUMBER(FIND("PCT",CB9)),ISNUMBER(FIND("PERCENT",CB9))),NOT(ISNUMBER(FIND("ACTUAL",CB9))),LEN(CB9)&lt;=16))+32768*(OR(ISNUMBER(FIND("DESIC",CB9)),ISNUMBER(FIND("DESSIC",CB9)))))</f>
        <v/>
      </c>
      <c r="CC144">
        <f>IF(CC9="",0,2*(OR(ISNUMBER(FIND("WORKCENTER",CC9)),AND(LEFT(CC9,4)="LINE",NOT(ISNUMBER(FIND("STATUS",CC9))))))+4*(OR(ISNUMBER(FIND("WORKORDER",CC9)),AND(LEFT(CC9,2)="WO",OR(ISNUMBER(FIND("NUM",CC9)),RIGHT(CC9,2)="NO"))))+8*(LEFT(CC9,3)="SEQ")+16*(AND(LEFT(CC9,4)="ITEM",NOT(ISNUMBER(FIND("DESC",CC9)))))+32*(AND(ISNUMBER(FIND("DESC",CC9)),NOT(ISNUMBER(FIND("CAP",CC9)))))+64*(OR(RIGHT(CC9,5)="COUNT",RIGHT(CC9,2)="CT"))+128*(ISNUMBER(FIND("BULK",CC9)))+256*(ISNUMBER(FIND("SIZE",CC9)))+512*(LEFT(CC9,3)="CAP")+1024*(ISNUMBER(FIND("ALLERG",CC9)))+2048*(OR(ISNUMBER(FIND("REMARK",CC9)),ISNUMBER(FIND("COMMENT",CC9))))+4096*(OR(ISNUMBER(FIND("QTY",CC9)),ISNUMBER(FIND("QUANTITY",CC9))))+8192*(AND(OR(ISNUMBER(FIND("COMPLETE",CC9)),ISNUMBER(FIND("PCT",CC9)),ISNUMBER(FIND("PERCENT",CC9))),NOT(ISNUMBER(FIND("ACTUAL",CC9))),LEN(CC9)&lt;=16))+32768*(OR(ISNUMBER(FIND("DESIC",CC9)),ISNUMBER(FIND("DESSIC",CC9)))))</f>
        <v/>
      </c>
      <c r="CD144">
        <f>IF(CD9="",0,2*(OR(ISNUMBER(FIND("WORKCENTER",CD9)),AND(LEFT(CD9,4)="LINE",NOT(ISNUMBER(FIND("STATUS",CD9))))))+4*(OR(ISNUMBER(FIND("WORKORDER",CD9)),AND(LEFT(CD9,2)="WO",OR(ISNUMBER(FIND("NUM",CD9)),RIGHT(CD9,2)="NO"))))+8*(LEFT(CD9,3)="SEQ")+16*(AND(LEFT(CD9,4)="ITEM",NOT(ISNUMBER(FIND("DESC",CD9)))))+32*(AND(ISNUMBER(FIND("DESC",CD9)),NOT(ISNUMBER(FIND("CAP",CD9)))))+64*(OR(RIGHT(CD9,5)="COUNT",RIGHT(CD9,2)="CT"))+128*(ISNUMBER(FIND("BULK",CD9)))+256*(ISNUMBER(FIND("SIZE",CD9)))+512*(LEFT(CD9,3)="CAP")+1024*(ISNUMBER(FIND("ALLERG",CD9)))+2048*(OR(ISNUMBER(FIND("REMARK",CD9)),ISNUMBER(FIND("COMMENT",CD9))))+4096*(OR(ISNUMBER(FIND("QTY",CD9)),ISNUMBER(FIND("QUANTITY",CD9))))+8192*(AND(OR(ISNUMBER(FIND("COMPLETE",CD9)),ISNUMBER(FIND("PCT",CD9)),ISNUMBER(FIND("PERCENT",CD9))),NOT(ISNUMBER(FIND("ACTUAL",CD9))),LEN(CD9)&lt;=16))+32768*(OR(ISNUMBER(FIND("DESIC",CD9)),ISNUMBER(FIND("DESSIC",CD9)))))</f>
        <v/>
      </c>
      <c r="CE144">
        <f>IF(CE9="",0,2*(OR(ISNUMBER(FIND("WORKCENTER",CE9)),AND(LEFT(CE9,4)="LINE",NOT(ISNUMBER(FIND("STATUS",CE9))))))+4*(OR(ISNUMBER(FIND("WORKORDER",CE9)),AND(LEFT(CE9,2)="WO",OR(ISNUMBER(FIND("NUM",CE9)),RIGHT(CE9,2)="NO"))))+8*(LEFT(CE9,3)="SEQ")+16*(AND(LEFT(CE9,4)="ITEM",NOT(ISNUMBER(FIND("DESC",CE9)))))+32*(AND(ISNUMBER(FIND("DESC",CE9)),NOT(ISNUMBER(FIND("CAP",CE9)))))+64*(OR(RIGHT(CE9,5)="COUNT",RIGHT(CE9,2)="CT"))+128*(ISNUMBER(FIND("BULK",CE9)))+256*(ISNUMBER(FIND("SIZE",CE9)))+512*(LEFT(CE9,3)="CAP")+1024*(ISNUMBER(FIND("ALLERG",CE9)))+2048*(OR(ISNUMBER(FIND("REMARK",CE9)),ISNUMBER(FIND("COMMENT",CE9))))+4096*(OR(ISNUMBER(FIND("QTY",CE9)),ISNUMBER(FIND("QUANTITY",CE9))))+8192*(AND(OR(ISNUMBER(FIND("COMPLETE",CE9)),ISNUMBER(FIND("PCT",CE9)),ISNUMBER(FIND("PERCENT",CE9))),NOT(ISNUMBER(FIND("ACTUAL",CE9))),LEN(CE9)&lt;=16))+32768*(OR(ISNUMBER(FIND("DESIC",CE9)),ISNUMBER(FIND("DESSIC",CE9)))))</f>
        <v/>
      </c>
      <c r="CF144">
        <f>IF(CF9="",0,2*(OR(ISNUMBER(FIND("WORKCENTER",CF9)),AND(LEFT(CF9,4)="LINE",NOT(ISNUMBER(FIND("STATUS",CF9))))))+4*(OR(ISNUMBER(FIND("WORKORDER",CF9)),AND(LEFT(CF9,2)="WO",OR(ISNUMBER(FIND("NUM",CF9)),RIGHT(CF9,2)="NO"))))+8*(LEFT(CF9,3)="SEQ")+16*(AND(LEFT(CF9,4)="ITEM",NOT(ISNUMBER(FIND("DESC",CF9)))))+32*(AND(ISNUMBER(FIND("DESC",CF9)),NOT(ISNUMBER(FIND("CAP",CF9)))))+64*(OR(RIGHT(CF9,5)="COUNT",RIGHT(CF9,2)="CT"))+128*(ISNUMBER(FIND("BULK",CF9)))+256*(ISNUMBER(FIND("SIZE",CF9)))+512*(LEFT(CF9,3)="CAP")+1024*(ISNUMBER(FIND("ALLERG",CF9)))+2048*(OR(ISNUMBER(FIND("REMARK",CF9)),ISNUMBER(FIND("COMMENT",CF9))))+4096*(OR(ISNUMBER(FIND("QTY",CF9)),ISNUMBER(FIND("QUANTITY",CF9))))+8192*(AND(OR(ISNUMBER(FIND("COMPLETE",CF9)),ISNUMBER(FIND("PCT",CF9)),ISNUMBER(FIND("PERCENT",CF9))),NOT(ISNUMBER(FIND("ACTUAL",CF9))),LEN(CF9)&lt;=16))+32768*(OR(ISNUMBER(FIND("DESIC",CF9)),ISNUMBER(FIND("DESSIC",CF9)))))</f>
        <v/>
      </c>
      <c r="DA144" t="n">
        <v>140</v>
      </c>
      <c r="DB144">
        <f>IF($B$37=0,"",IFERROR(TRIM(SUBSTITUTE(SUBSTITUTE(SUBSTITUTE(SUBSTITUTE(INDEX(PASTE_ALL,140,$B$37)," "," "),CHAR(9)," "),CHAR(10)," "),CHAR(13)," ")),""))</f>
        <v/>
      </c>
      <c r="DC144">
        <f>IF(AND(140&gt;HEADER_ROW,UPPER(DB144)="LEGEND"),1,0)</f>
        <v/>
      </c>
      <c r="DE144" t="n">
        <v>140</v>
      </c>
      <c r="DF144">
        <f>HEADER_ROW+$DE144</f>
        <v/>
      </c>
      <c r="DG144">
        <f>IF(AND($DF144&lt;=1000,$DF144&lt;$B$8),1,0)</f>
        <v/>
      </c>
      <c r="DH144">
        <f>IF($DG144=1,IFERROR(INDEX($DB$5:$DB$1004,$DF144),""),"")</f>
        <v/>
      </c>
      <c r="DI144">
        <f>IF(AND($DG144=1,$DH144&lt;&gt;""),IFERROR(SUBSTITUTE(SUBSTITUTE(TRIM(SUBSTITUTE(SUBSTITUTE(SUBSTITUTE(SUBSTITUTE(IFERROR(INDEX(PASTE_ALL,$DF144,1)&amp;"","")&amp;"␟"&amp;IFERROR(INDEX(PASTE_ALL,$DF144,2)&amp;"","")&amp;"␟"&amp;IFERROR(INDEX(PASTE_ALL,$DF144,3)&amp;"","")&amp;"␟"&amp;IFERROR(INDEX(PASTE_ALL,$DF144,4)&amp;"","")&amp;"␟"&amp;IFERROR(INDEX(PASTE_ALL,$DF144,5)&amp;"","")&amp;"␟"&amp;IFERROR(INDEX(PASTE_ALL,$DF144,6)&amp;"","")&amp;"␟"&amp;IFERROR(INDEX(PASTE_ALL,$DF144,7)&amp;"","")&amp;"␟"&amp;IFERROR(INDEX(PASTE_ALL,$DF144,8)&amp;"","")&amp;"␟"&amp;IFERROR(INDEX(PASTE_ALL,$DF144,9)&amp;"","")&amp;"␟"&amp;IFERROR(INDEX(PASTE_ALL,$DF144,10)&amp;"","")&amp;"␟"&amp;IFERROR(INDEX(PASTE_ALL,$DF144,11)&amp;"","")&amp;"␟"&amp;IFERROR(INDEX(PASTE_ALL,$DF144,12)&amp;"","")&amp;"␟"&amp;IFERROR(INDEX(PASTE_ALL,$DF144,13)&amp;"","")&amp;"␟"&amp;IFERROR(INDEX(PASTE_ALL,$DF144,14)&amp;"","")&amp;"␟"&amp;IFERROR(INDEX(PASTE_ALL,$DF144,15)&amp;"","")&amp;"␟"&amp;IFERROR(INDEX(PASTE_ALL,$DF144,16)&amp;"","")&amp;"␟"&amp;IFERROR(INDEX(PASTE_ALL,$DF144,17)&amp;"","")&amp;"␟"&amp;IFERROR(INDEX(PASTE_ALL,$DF144,18)&amp;"","")&amp;"␟"&amp;IFERROR(INDEX(PASTE_ALL,$DF144,19)&amp;"","")&amp;"␟"&amp;IFERROR(INDEX(PASTE_ALL,$DF144,20)&amp;"","")&amp;"␟"&amp;IFERROR(INDEX(PASTE_ALL,$DF144,21)&amp;"","")&amp;"␟"&amp;IFERROR(INDEX(PASTE_ALL,$DF144,22)&amp;"","")&amp;"␟"&amp;IFERROR(INDEX(PASTE_ALL,$DF144,23)&amp;"","")&amp;"␟"&amp;IFERROR(INDEX(PASTE_ALL,$DF144,24)&amp;"","")&amp;"␟"&amp;IFERROR(INDEX(PASTE_ALL,$DF144,25)&amp;"","")&amp;"␟"&amp;IFERROR(INDEX(PASTE_ALL,$DF144,26)&amp;"","")&amp;"␟"&amp;IFERROR(INDEX(PASTE_ALL,$DF144,27)&amp;"","")&amp;"␟"&amp;IFERROR(INDEX(PASTE_ALL,$DF144,28)&amp;"","")&amp;"␟"&amp;IFERROR(INDEX(PASTE_ALL,$DF144,29)&amp;"","")&amp;"␟"&amp;IFERROR(INDEX(PASTE_ALL,$DF144,30)&amp;"","")&amp;"␟"&amp;IFERROR(INDEX(PASTE_ALL,$DF144,31)&amp;"","")&amp;"␟"&amp;IFERROR(INDEX(PASTE_ALL,$DF144,32)&amp;"","")&amp;"␟"&amp;IFERROR(INDEX(PASTE_ALL,$DF144,33)&amp;"","")&amp;"␟"&amp;IFERROR(INDEX(PASTE_ALL,$DF144,34)&amp;"","")&amp;"␟"&amp;IFERROR(INDEX(PASTE_ALL,$DF144,35)&amp;"","")&amp;"␟"&amp;IFERROR(INDEX(PASTE_ALL,$DF144,36)&amp;"","")&amp;"␟"&amp;IFERROR(INDEX(PASTE_ALL,$DF144,37)&amp;"","")&amp;"␟"&amp;IFERROR(INDEX(PASTE_ALL,$DF144,38)&amp;"","")&amp;"␟"&amp;IFERROR(INDEX(PASTE_ALL,$DF144,39)&amp;"","")&amp;"␟"&amp;IFERROR(INDEX(PASTE_ALL,$DF144,40)&amp;"","")&amp;"␟"&amp;IFERROR(INDEX(PASTE_ALL,$DF144,41)&amp;"","")&amp;"␟"&amp;IFERROR(INDEX(PASTE_ALL,$DF144,42)&amp;"","")&amp;"␟"&amp;IFERROR(INDEX(PASTE_ALL,$DF144,43)&amp;"","")&amp;"␟"&amp;IFERROR(INDEX(PASTE_ALL,$DF144,44)&amp;"","")&amp;"␟"&amp;IFERROR(INDEX(PASTE_ALL,$DF144,45)&amp;"","")&amp;"␟"&amp;IFERROR(INDEX(PASTE_ALL,$DF144,46)&amp;"","")&amp;"␟"&amp;IFERROR(INDEX(PASTE_ALL,$DF144,47)&amp;"","")&amp;"␟"&amp;IFERROR(INDEX(PASTE_ALL,$DF144,48)&amp;"","")&amp;"␟"&amp;IFERROR(INDEX(PASTE_ALL,$DF144,49)&amp;"","")&amp;"␟"&amp;IFERROR(INDEX(PASTE_ALL,$DF144,50)&amp;"","")&amp;"␟"&amp;IFERROR(INDEX(PASTE_ALL,$DF144,51)&amp;"","")&amp;"␟"&amp;IFERROR(INDEX(PASTE_ALL,$DF144,52)&amp;"","")&amp;"␟"&amp;IFERROR(INDEX(PASTE_ALL,$DF144,53)&amp;"","")&amp;"␟"&amp;IFERROR(INDEX(PASTE_ALL,$DF144,54)&amp;"","")&amp;"␟"&amp;IFERROR(INDEX(PASTE_ALL,$DF144,55)&amp;"","")&amp;"␟"&amp;IFERROR(INDEX(PASTE_ALL,$DF144,56)&amp;"","")&amp;"␟"&amp;IFERROR(INDEX(PASTE_ALL,$DF144,57)&amp;"","")&amp;"␟"&amp;IFERROR(INDEX(PASTE_ALL,$DF144,58)&amp;"","")&amp;"␟"&amp;IFERROR(INDEX(PASTE_ALL,$DF144,59)&amp;"","")&amp;"␟"&amp;IFERROR(INDEX(PASTE_ALL,$DF144,60)&amp;"","")," "," "),CHAR(9)," "),CHAR(10)," "),CHAR(13)," "))," ␟","␟"),"␟ ","␟"),"#"&amp;$DE144),"")</f>
        <v/>
      </c>
      <c r="DJ144">
        <f>IF($DI144="",0,IF(SUMPRODUCT(--EXACT($DI$4:DI143,$DI144))&gt;0,1,0))</f>
        <v/>
      </c>
      <c r="DK144">
        <f>IF(AND($DI144&lt;&gt;"",$DJ144=0),1,0)</f>
        <v/>
      </c>
      <c r="DL144">
        <f>DL143+$DK144</f>
        <v/>
      </c>
      <c r="DM144">
        <f>IF(AND($DK144=1,$DL144&lt;=600),1,0)</f>
        <v/>
      </c>
      <c r="DN144">
        <f>IF($DM144=0,"",IF($L$6=0,"",IFERROR(IF(ISNUMBER(INDEX(PASTE_ALL,$DF144,$L$6)),INDEX(PASTE_ALL,$DF144,$L$6),TRIM(SUBSTITUTE(SUBSTITUTE(SUBSTITUTE(SUBSTITUTE(INDEX(PASTE_ALL,$DF144,$L$6)," "," "),CHAR(9)," "),CHAR(10)," "),CHAR(13)," "))),"")))</f>
        <v/>
      </c>
      <c r="DO144">
        <f>IF($DM144=0,"",IF($L$7=0,"",IFERROR(IF(ISNUMBER(INDEX(PASTE_ALL,$DF144,$L$7)),INDEX(PASTE_ALL,$DF144,$L$7),TRIM(SUBSTITUTE(SUBSTITUTE(SUBSTITUTE(SUBSTITUTE(INDEX(PASTE_ALL,$DF144,$L$7)," "," "),CHAR(9)," "),CHAR(10)," "),CHAR(13)," "))),"")))</f>
        <v/>
      </c>
      <c r="DP144">
        <f>IF($DM144=0,"",IF($L$8=0,"",IFERROR(IF(ISNUMBER(INDEX(PASTE_ALL,$DF144,$L$8)),INDEX(PASTE_ALL,$DF144,$L$8),TRIM(SUBSTITUTE(SUBSTITUTE(SUBSTITUTE(SUBSTITUTE(INDEX(PASTE_ALL,$DF144,$L$8)," "," "),CHAR(9)," "),CHAR(10)," "),CHAR(13)," "))),"")))</f>
        <v/>
      </c>
      <c r="DQ144">
        <f>IF($DM144=0,"",IF($L$9=0,"",IFERROR(IF(ISNUMBER(INDEX(PASTE_ALL,$DF144,$L$9)),INDEX(PASTE_ALL,$DF144,$L$9),TRIM(SUBSTITUTE(SUBSTITUTE(SUBSTITUTE(SUBSTITUTE(INDEX(PASTE_ALL,$DF144,$L$9)," "," "),CHAR(9)," "),CHAR(10)," "),CHAR(13)," "))),"")))</f>
        <v/>
      </c>
      <c r="DR144">
        <f>IF($DM144=0,"",IF($L$10=0,"",IFERROR(IF(ISNUMBER(INDEX(PASTE_ALL,$DF144,$L$10)),INDEX(PASTE_ALL,$DF144,$L$10),TRIM(SUBSTITUTE(SUBSTITUTE(SUBSTITUTE(SUBSTITUTE(INDEX(PASTE_ALL,$DF144,$L$10)," "," "),CHAR(9)," "),CHAR(10)," "),CHAR(13)," "))),"")))</f>
        <v/>
      </c>
      <c r="DS144">
        <f>IF($DM144=0,"",IF($L$11=0,"",IFERROR(IF(ISNUMBER(INDEX(PASTE_ALL,$DF144,$L$11)),INDEX(PASTE_ALL,$DF144,$L$11),TRIM(SUBSTITUTE(SUBSTITUTE(SUBSTITUTE(SUBSTITUTE(INDEX(PASTE_ALL,$DF144,$L$11)," "," "),CHAR(9)," "),CHAR(10)," "),CHAR(13)," "))),"")))</f>
        <v/>
      </c>
      <c r="DT144">
        <f>IF($DM144=0,"",IF($L$12=0,"",IFERROR(IF(ISNUMBER(INDEX(PASTE_ALL,$DF144,$L$12)),INDEX(PASTE_ALL,$DF144,$L$12),TRIM(SUBSTITUTE(SUBSTITUTE(SUBSTITUTE(SUBSTITUTE(INDEX(PASTE_ALL,$DF144,$L$12)," "," "),CHAR(9)," "),CHAR(10)," "),CHAR(13)," "))),"")))</f>
        <v/>
      </c>
      <c r="DU144">
        <f>IF($DM144=0,"",IF($L$13=0,"",IFERROR(IF(ISNUMBER(INDEX(PASTE_ALL,$DF144,$L$13)),INDEX(PASTE_ALL,$DF144,$L$13),TRIM(SUBSTITUTE(SUBSTITUTE(SUBSTITUTE(SUBSTITUTE(INDEX(PASTE_ALL,$DF144,$L$13)," "," "),CHAR(9)," "),CHAR(10)," "),CHAR(13)," "))),"")))</f>
        <v/>
      </c>
      <c r="DV144">
        <f>IF($DM144=0,"",IF($L$14=0,"",IFERROR(IF(ISNUMBER(INDEX(PASTE_ALL,$DF144,$L$14)),INDEX(PASTE_ALL,$DF144,$L$14),TRIM(SUBSTITUTE(SUBSTITUTE(SUBSTITUTE(SUBSTITUTE(INDEX(PASTE_ALL,$DF144,$L$14)," "," "),CHAR(9)," "),CHAR(10)," "),CHAR(13)," "))),"")))</f>
        <v/>
      </c>
      <c r="DW144">
        <f>IF($DM144=0,"",IF($L$15=0,"",IFERROR(IF(ISNUMBER(INDEX(PASTE_ALL,$DF144,$L$15)),INDEX(PASTE_ALL,$DF144,$L$15),IF(SUMPRODUCT(--ISNUMBER(FIND({"A","B","C","D","E","F","G","H","I","J","K","L","M","N","O","P","Q","R","S","T","U","V","W","X","Y","Z","0","1","2","3","4","5","6","7","8","9"},UPPER(TRIM(SUBSTITUTE(SUBSTITUTE(SUBSTITUTE(SUBSTITUTE(INDEX(PASTE_ALL,$DF144,$L$15)," "," "),CHAR(9)," "),CHAR(10)," "),CHAR(13)," "))))))&gt;0,TRIM(SUBSTITUTE(SUBSTITUTE(SUBSTITUTE(SUBSTITUTE(INDEX(PASTE_ALL,$DF144,$L$15)," "," "),CHAR(9)," "),CHAR(10)," "),CHAR(13)," ")),"")),"")))</f>
        <v/>
      </c>
      <c r="DX144">
        <f>IF($DM144=0,"",IF($L$16=0,"",IFERROR(IF(ISNUMBER(INDEX(PASTE_ALL,$DF144,$L$16)),INDEX(PASTE_ALL,$DF144,$L$16),SUBSTITUTE(SUBSTITUTE(TRIM(SUBSTITUTE(SUBSTITUTE(SUBSTITUTE(SUBSTITUTE(INDEX(PASTE_ALL,$DF144,$L$16)," "," "),CHAR(9)," "),CHAR(10)," "),CHAR(13)," ")),",",""),"%","")),"")))</f>
        <v/>
      </c>
      <c r="DY144">
        <f>IF($DM144=0,"",IFERROR(IF(ISNUMBER($DX144),$DX144,IF($DX144="","",IF(TRIM($DX144)="",0,IF(AND(AND(SUBSTITUTE(SUBSTITUTE(SUBSTITUTE(SUBSTITUTE(SUBSTITUTE(SUBSTITUTE(SUBSTITUTE(SUBSTITUTE(SUBSTITUTE(SUBSTITUTE(SUBSTITUTE(SUBSTITUTE(SUBSTITUTE(SUBSTITUTE(UPPER(TRIM($DX144)),"0",""),"1",""),"2",""),"3",""),"4",""),"5",""),"6",""),"7",""),"8",""),"9",""),".",""),"+",""),"-",""),"E","")="",LEN(SUBSTITUTE(SUBSTITUTE(MID(UPPER(TRIM($DX144)),1+OR(LEFT(UPPER(TRIM($DX144)),1)="+",LEFT(UPPER(TRIM($DX144)),1)="-"),999),"E+","E"),"E-","E"))=LEN(SUBSTITUTE(SUBSTITUTE(SUBSTITUTE(SUBSTITUTE(MID(UPPER(TRIM($DX144)),1+OR(LEFT(UPPER(TRIM($DX144)),1)="+",LEFT(UPPER(TRIM($DX144)),1)="-"),999),"E+","E"),"E-","E"),"+",""),"-","")),LEN(UPPER(TRIM($DX144)))-LEN(SUBSTITUTE(UPPER(TRIM($DX144)),"E",""))&lt;2,LEN(UPPER(TRIM($DX144)))-LEN(SUBSTITUTE(UPPER(TRIM($DX144)),".",""))&lt;2,IFERROR(FIND(".",UPPER(TRIM($DX144))),0)&lt;IFERROR(FIND("E",UPPER(TRIM($DX144))),999)),ISNUMBER(VALUE(TRIM($DX144)))),VALUE(TRIM($DX144)),"")))),""))</f>
        <v/>
      </c>
      <c r="DZ144">
        <f>IF($DM144=0,"",IF($L$17=0,"",IFERROR(IF(ISNUMBER(INDEX(PASTE_ALL,$DF144,$L$17)),INDEX(PASTE_ALL,$DF144,$L$17),SUBSTITUTE(SUBSTITUTE(TRIM(SUBSTITUTE(SUBSTITUTE(SUBSTITUTE(SUBSTITUTE(INDEX(PASTE_ALL,$DF144,$L$17)," "," "),CHAR(9)," "),CHAR(10)," "),CHAR(13)," ")),",",""),"%","")),"")))</f>
        <v/>
      </c>
      <c r="EA144">
        <f>IF($DM144=0,"",IFERROR(IF(ISNUMBER($DZ144),$DZ144,IF($DZ144="","",IF(TRIM($DZ144)="",0,IF(AND(AND(SUBSTITUTE(SUBSTITUTE(SUBSTITUTE(SUBSTITUTE(SUBSTITUTE(SUBSTITUTE(SUBSTITUTE(SUBSTITUTE(SUBSTITUTE(SUBSTITUTE(SUBSTITUTE(SUBSTITUTE(SUBSTITUTE(SUBSTITUTE(UPPER(TRIM($DZ144)),"0",""),"1",""),"2",""),"3",""),"4",""),"5",""),"6",""),"7",""),"8",""),"9",""),".",""),"+",""),"-",""),"E","")="",LEN(SUBSTITUTE(SUBSTITUTE(MID(UPPER(TRIM($DZ144)),1+OR(LEFT(UPPER(TRIM($DZ144)),1)="+",LEFT(UPPER(TRIM($DZ144)),1)="-"),999),"E+","E"),"E-","E"))=LEN(SUBSTITUTE(SUBSTITUTE(SUBSTITUTE(SUBSTITUTE(MID(UPPER(TRIM($DZ144)),1+OR(LEFT(UPPER(TRIM($DZ144)),1)="+",LEFT(UPPER(TRIM($DZ144)),1)="-"),999),"E+","E"),"E-","E"),"+",""),"-","")),LEN(UPPER(TRIM($DZ144)))-LEN(SUBSTITUTE(UPPER(TRIM($DZ144)),"E",""))&lt;2,LEN(UPPER(TRIM($DZ144)))-LEN(SUBSTITUTE(UPPER(TRIM($DZ144)),".",""))&lt;2,IFERROR(FIND(".",UPPER(TRIM($DZ144))),0)&lt;IFERROR(FIND("E",UPPER(TRIM($DZ144))),999)),ISNUMBER(VALUE(TRIM($DZ144)))),VALUE(TRIM($DZ144)),"")))),""))</f>
        <v/>
      </c>
      <c r="EB144">
        <f>IF($DM144=0,"",IF($L$18=0,"",IFERROR(IF(UPPER(TRIM(SUBSTITUTE(SUBSTITUTE(SUBSTITUTE(SUBSTITUTE(INDEX(PASTE_ALL,$DF144,$L$18)," "," "),CHAR(9)," "),CHAR(10)," "),CHAR(13)," ")))="READY","Ready",IF(UPPER(TRIM(SUBSTITUTE(SUBSTITUTE(SUBSTITUTE(SUBSTITUTE(INDEX(PASTE_ALL,$DF144,$L$18)," "," "),CHAR(9)," "),CHAR(10)," "),CHAR(13)," ")))="PM","PM",IF(OR(UPPER(TRIM(SUBSTITUTE(SUBSTITUTE(SUBSTITUTE(SUBSTITUTE(INDEX(PASTE_ALL,$DF144,$L$18)," "," "),CHAR(9)," "),CHAR(10)," "),CHAR(13)," ")))="OT",UPPER(TRIM(SUBSTITUTE(SUBSTITUTE(SUBSTITUTE(SUBSTITUTE(INDEX(PASTE_ALL,$DF144,$L$18)," "," "),CHAR(9)," "),CHAR(10)," "),CHAR(13)," ")))="OVERTIME",UPPER(TRIM(SUBSTITUTE(SUBSTITUTE(SUBSTITUTE(SUBSTITUTE(INDEX(PASTE_ALL,$DF144,$L$18)," "," "),CHAR(9)," "),CHAR(10)," "),CHAR(13)," ")))="TRIAL"),"OT",TRIM(SUBSTITUTE(SUBSTITUTE(SUBSTITUTE(SUBSTITUTE(INDEX(PASTE_ALL,$DF144,$L$18)," "," "),CHAR(9)," "),CHAR(10)," "),CHAR(13)," "))))),"")))</f>
        <v/>
      </c>
      <c r="EC144">
        <f>IF($DM144=0,"",IF($L$19=0,"",IFERROR(IF(ISNUMBER(INDEX(PASTE_ALL,$DF144,$L$19)),INDEX(PASTE_ALL,$DF144,$L$19),TRIM(SUBSTITUTE(SUBSTITUTE(SUBSTITUTE(SUBSTITUTE(INDEX(PASTE_ALL,$DF144,$L$19)," "," "),CHAR(9)," "),CHAR(10)," "),CHAR(13)," "))),"")))</f>
        <v/>
      </c>
      <c r="ED144">
        <f>IF($DM144=0,"",MATCH(1,INDEX(EXACT($DH$5:DH144,$DH144)*$DM$5:DM144,0),0))</f>
        <v/>
      </c>
      <c r="EE144">
        <f>IF($DM144=0,0,IF($ED144=$DE144,1,0))</f>
        <v/>
      </c>
      <c r="EF144">
        <f>EF143+$EE144</f>
        <v/>
      </c>
      <c r="EG144">
        <f>IF($DM144=0,"",INDEX($EF$5:$EF$1003,$ED144))</f>
        <v/>
      </c>
      <c r="EH144">
        <f>IF($DM144=0,"",IF($DO144&lt;&gt;"","",IFERROR(LOOKUP(2,1/(($EG$4:EG143=$EG144)*($DO$4:DO143&lt;&gt;"")),$DO$4:DO143),"")))</f>
        <v/>
      </c>
      <c r="EI144">
        <f>IF($DM144=0,"",IF($DO144&lt;&gt;"",$DO144,$EH144))</f>
        <v/>
      </c>
      <c r="EJ144">
        <f>IF($DM144=0,"",IF($EI144="",0,IF(OR(ISNUMBER($EI144),AND(AND(SUBSTITUTE(SUBSTITUTE(SUBSTITUTE(SUBSTITUTE(SUBSTITUTE(SUBSTITUTE(SUBSTITUTE(SUBSTITUTE(SUBSTITUTE(SUBSTITUTE(SUBSTITUTE(SUBSTITUTE(SUBSTITUTE(SUBSTITUTE(UPPER($EI144),"0",""),"1",""),"2",""),"3",""),"4",""),"5",""),"6",""),"7",""),"8",""),"9",""),".",""),"+",""),"-",""),"E","")="",LEN(SUBSTITUTE(SUBSTITUTE(MID(UPPER($EI144),1+OR(LEFT(UPPER($EI144),1)="+",LEFT(UPPER($EI144),1)="-"),999),"E+","E"),"E-","E"))=LEN(SUBSTITUTE(SUBSTITUTE(SUBSTITUTE(SUBSTITUTE(MID(UPPER($EI144),1+OR(LEFT(UPPER($EI144),1)="+",LEFT(UPPER($EI144),1)="-"),999),"E+","E"),"E-","E"),"+",""),"-","")),LEN(UPPER($EI144))-LEN(SUBSTITUTE(UPPER($EI144),"E",""))&lt;2,LEN(UPPER($EI144))-LEN(SUBSTITUTE(UPPER($EI144),".",""))&lt;2,IFERROR(FIND(".",UPPER($EI144)),0)&lt;IFERROR(FIND("E",UPPER($EI144)),999)),ISNUMBER(VALUE($EI144)))),1,2)))</f>
        <v/>
      </c>
      <c r="EK144">
        <f>IF($DM144=0,"",IF($EJ144=1,IF(ISNUMBER($EI144),$EI144,VALUE($EI144)),IF($EJ144=2,$DE144,0)))</f>
        <v/>
      </c>
      <c r="EL144">
        <f>IF($DM144=0,"",COUNTIF($EG$5:$EG$1003,"&lt;"&amp;$EG144)+SUMPRODUCT(($EG$5:$EG$1003=$EG144)*(($EJ$5:$EJ$1003&lt;$EJ144)+($EJ$5:$EJ$1003=$EJ144)*(($EK$5:$EK$1003&lt;$EK144)+($EK$5:$EK$1003=$EK144)*($DE$5:$DE$1003&lt;$DE144))))+1)</f>
        <v/>
      </c>
      <c r="EM144">
        <f>IF($DM144=0,"",$EL144+$EG144-1)</f>
        <v/>
      </c>
      <c r="EN144">
        <f>IF($DM144=0,0,IFERROR(MATCH(1,INDEX(--(TRIM(SUBSTITUTE(SUBSTITUTE(SUBSTITUTE(SUBSTITUTE(LINES_NAME&amp;""," "," "),CHAR(9)," "),CHAR(10)," "),CHAR(13)," "))=$DH144),0),0),0))</f>
        <v/>
      </c>
      <c r="EO144">
        <f>IF($EN144=0,0,IF(OR(UPPER(TRIM(INDEX(LINES_SCHEDULED,$EN144)&amp;""))="YES",UPPER(TRIM(INDEX(LINES_SCHEDULED,$EN144)&amp;""))="Y",UPPER(TRIM(INDEX(LINES_SCHEDULED,$EN144)&amp;""))="X"),1,0))</f>
        <v/>
      </c>
      <c r="EP144">
        <f>IF($DM144=0,"",IF(COUNTIFS($EG$5:$EG$1003,$EG144,$EB$5:$EB$1003,"Ready")&gt;0,"READY",IF(COUNTIFS($EG$5:$EG$1003,$EG144,$EB$5:$EB$1003,"PM")&gt;0,"PM",IF(COUNTIFS($EG$5:$EG$1003,$EG144,$EB$5:$EB$1003,"OT")&gt;0,"OT",""))))</f>
        <v/>
      </c>
      <c r="EQ144">
        <f>IF($EN144=0,"",UPPER(TRIM(INDEX(LINES_STATUS,$EN144)&amp;"")))</f>
        <v/>
      </c>
      <c r="ER144">
        <f>IF($DM144=0,"",IF(OR($EQ144="READY",$EQ144="PM",$EQ144="OT"),$EQ144,$EP144))</f>
        <v/>
      </c>
      <c r="ES144">
        <f>IF($DM144=0,"",IF(AND($DV144&lt;&gt;"",UPPER($DV144)&lt;&gt;"N"),"allergen",IF(ISNUMBER(SEARCH("oil",$DQ144)),"oil",IF(OR(EXACT($DS144,"A662"),EXACT($DS144,"A624")),"bulk",""))))</f>
        <v/>
      </c>
      <c r="ET144">
        <f>IF($DM144=0,"",IF(OR($EA144="",$EA144=0),"",$EA144/100))</f>
        <v/>
      </c>
      <c r="EU144">
        <f>IF(OR($ET144="",$DY144=""),"",INT($DY144*(1-$ET144)+0.5))</f>
        <v/>
      </c>
      <c r="EW144" t="n">
        <v>140</v>
      </c>
      <c r="EX144">
        <f>IFERROR(MATCH($EW144,$EM$5:$EM$1003,0),0)</f>
        <v/>
      </c>
      <c r="EY144">
        <f>IF($EW144&gt;$B$12,"",IF($EX144&gt;0,"row","spacer"))</f>
        <v/>
      </c>
      <c r="EZ144">
        <f>IF(AND($EY144="row",$EY143&lt;&gt;"row"),1,0)</f>
        <v/>
      </c>
      <c r="FA144">
        <f>IF(AND($EY144="row",$EY145&lt;&gt;"row"),1,0)</f>
        <v/>
      </c>
      <c r="FB144">
        <f>IF($EZ144=1,IFERROR(IF(ISNUMBER(INDEX(PASTE_ALL,INDEX($DF$5:$DF$1003,$EX144),$B$37)),INDEX(PASTE_ALL,INDEX($DF$5:$DF$1003,$EX144),$B$37),INDEX($DH$5:$DH$1003,$EX144)),INDEX($DH$5:$DH$1003,$EX144)),"")</f>
        <v/>
      </c>
      <c r="FC144">
        <f>IF($EY144="row",INDEX($ER$5:$ER$1003,$EX144),"")</f>
        <v/>
      </c>
      <c r="FD144">
        <f>IF($EY144="row",INDEX($DN$5:$DN$1003,$EX144),"")</f>
        <v/>
      </c>
      <c r="FE144">
        <f>IF($EY144="row",INDEX($DO$5:$DO$1003,$EX144),"")</f>
        <v/>
      </c>
      <c r="FF144">
        <f>IF($EY144="row",INDEX($DP$5:$DP$1003,$EX144),"")</f>
        <v/>
      </c>
      <c r="FG144">
        <f>IF($EY144="row",INDEX($DQ$5:$DQ$1003,$EX144),"")</f>
        <v/>
      </c>
      <c r="FH144">
        <f>IF($EY144="row",INDEX($DR$5:$DR$1003,$EX144),"")</f>
        <v/>
      </c>
      <c r="FI144">
        <f>IF($EY144="row",INDEX($DS$5:$DS$1003,$EX144),"")</f>
        <v/>
      </c>
      <c r="FJ144">
        <f>IF($EY144="row",INDEX($DT$5:$DT$1003,$EX144),"")</f>
        <v/>
      </c>
      <c r="FK144">
        <f>IF($EY144="row",INDEX($DU$5:$DU$1003,$EX144),"")</f>
        <v/>
      </c>
      <c r="FL144">
        <f>IF($EY144="row",INDEX($DV$5:$DV$1003,$EX144),"")</f>
        <v/>
      </c>
      <c r="FM144">
        <f>IF($EY144="row",INDEX($DW$5:$DW$1003,$EX144),"")</f>
        <v/>
      </c>
      <c r="FN144">
        <f>IF($EY144="row",INDEX($DY$5:$DY$1003,$EX144),"")</f>
        <v/>
      </c>
      <c r="FO144">
        <f>IF($EY144="row",INDEX($EA$5:$EA$1003,$EX144),"")</f>
        <v/>
      </c>
      <c r="FP144">
        <f>IF($EY144="row",INDEX($EC$5:$EC$1003,$EX144),"")</f>
        <v/>
      </c>
      <c r="FQ144">
        <f>IF($EY144="row",INDEX($ET$5:$ET$1003,$EX144),"")</f>
        <v/>
      </c>
      <c r="FR144">
        <f>IF($EY144="row",INDEX($EU$5:$EU$1003,$EX144),"")</f>
        <v/>
      </c>
      <c r="FS144">
        <f>IF(AND($EY144="row",$EY143="row"),IF(OR(INDEX($DT$5:$DT$1003,$EX143)="",INDEX($DT$5:$DT$1003,$EX144)=""),"",IF(NOT(EXACT(INDEX($DT$5:$DT$1003,$EX143),INDEX($DT$5:$DT$1003,$EX144))),"S4",IF(NOT(EXACT(INDEX($DS$5:$DS$1003,$EX143),INDEX($DS$5:$DS$1003,$EX144))),"S3",IF(NOT(EXACT(INDEX($DR$5:$DR$1003,$EX143),INDEX($DR$5:$DR$1003,$EX144))),"S1 Count Change","S1")))),"")</f>
        <v/>
      </c>
      <c r="FT144">
        <f>IF($EY144="row",INDEX($ES$5:$ES$1003,$EX144),"")</f>
        <v/>
      </c>
      <c r="FU144">
        <f>IF($EY144="row",INDEX($EO$5:$EO$1003,$EX144),0)</f>
        <v/>
      </c>
      <c r="FV144">
        <f>IF($FS144="S1 Count Change",1,0)</f>
        <v/>
      </c>
    </row>
    <row r="145">
      <c r="Y145">
        <f>IF(Y10="",0,2*(OR(ISNUMBER(FIND("WORKCENTER",Y10)),AND(LEFT(Y10,4)="LINE",NOT(ISNUMBER(FIND("STATUS",Y10))))))+4*(OR(ISNUMBER(FIND("WORKORDER",Y10)),AND(LEFT(Y10,2)="WO",OR(ISNUMBER(FIND("NUM",Y10)),RIGHT(Y10,2)="NO"))))+8*(LEFT(Y10,3)="SEQ")+16*(AND(LEFT(Y10,4)="ITEM",NOT(ISNUMBER(FIND("DESC",Y10)))))+32*(AND(ISNUMBER(FIND("DESC",Y10)),NOT(ISNUMBER(FIND("CAP",Y10)))))+64*(OR(RIGHT(Y10,5)="COUNT",RIGHT(Y10,2)="CT"))+128*(ISNUMBER(FIND("BULK",Y10)))+256*(ISNUMBER(FIND("SIZE",Y10)))+512*(LEFT(Y10,3)="CAP")+1024*(ISNUMBER(FIND("ALLERG",Y10)))+2048*(OR(ISNUMBER(FIND("REMARK",Y10)),ISNUMBER(FIND("COMMENT",Y10))))+4096*(OR(ISNUMBER(FIND("QTY",Y10)),ISNUMBER(FIND("QUANTITY",Y10))))+8192*(AND(OR(ISNUMBER(FIND("COMPLETE",Y10)),ISNUMBER(FIND("PCT",Y10)),ISNUMBER(FIND("PERCENT",Y10))),NOT(ISNUMBER(FIND("ACTUAL",Y10))),LEN(Y10)&lt;=16))+32768*(OR(ISNUMBER(FIND("DESIC",Y10)),ISNUMBER(FIND("DESSIC",Y10)))))</f>
        <v/>
      </c>
      <c r="Z145">
        <f>IF(Z10="",0,2*(OR(ISNUMBER(FIND("WORKCENTER",Z10)),AND(LEFT(Z10,4)="LINE",NOT(ISNUMBER(FIND("STATUS",Z10))))))+4*(OR(ISNUMBER(FIND("WORKORDER",Z10)),AND(LEFT(Z10,2)="WO",OR(ISNUMBER(FIND("NUM",Z10)),RIGHT(Z10,2)="NO"))))+8*(LEFT(Z10,3)="SEQ")+16*(AND(LEFT(Z10,4)="ITEM",NOT(ISNUMBER(FIND("DESC",Z10)))))+32*(AND(ISNUMBER(FIND("DESC",Z10)),NOT(ISNUMBER(FIND("CAP",Z10)))))+64*(OR(RIGHT(Z10,5)="COUNT",RIGHT(Z10,2)="CT"))+128*(ISNUMBER(FIND("BULK",Z10)))+256*(ISNUMBER(FIND("SIZE",Z10)))+512*(LEFT(Z10,3)="CAP")+1024*(ISNUMBER(FIND("ALLERG",Z10)))+2048*(OR(ISNUMBER(FIND("REMARK",Z10)),ISNUMBER(FIND("COMMENT",Z10))))+4096*(OR(ISNUMBER(FIND("QTY",Z10)),ISNUMBER(FIND("QUANTITY",Z10))))+8192*(AND(OR(ISNUMBER(FIND("COMPLETE",Z10)),ISNUMBER(FIND("PCT",Z10)),ISNUMBER(FIND("PERCENT",Z10))),NOT(ISNUMBER(FIND("ACTUAL",Z10))),LEN(Z10)&lt;=16))+32768*(OR(ISNUMBER(FIND("DESIC",Z10)),ISNUMBER(FIND("DESSIC",Z10)))))</f>
        <v/>
      </c>
      <c r="AA145">
        <f>IF(AA10="",0,2*(OR(ISNUMBER(FIND("WORKCENTER",AA10)),AND(LEFT(AA10,4)="LINE",NOT(ISNUMBER(FIND("STATUS",AA10))))))+4*(OR(ISNUMBER(FIND("WORKORDER",AA10)),AND(LEFT(AA10,2)="WO",OR(ISNUMBER(FIND("NUM",AA10)),RIGHT(AA10,2)="NO"))))+8*(LEFT(AA10,3)="SEQ")+16*(AND(LEFT(AA10,4)="ITEM",NOT(ISNUMBER(FIND("DESC",AA10)))))+32*(AND(ISNUMBER(FIND("DESC",AA10)),NOT(ISNUMBER(FIND("CAP",AA10)))))+64*(OR(RIGHT(AA10,5)="COUNT",RIGHT(AA10,2)="CT"))+128*(ISNUMBER(FIND("BULK",AA10)))+256*(ISNUMBER(FIND("SIZE",AA10)))+512*(LEFT(AA10,3)="CAP")+1024*(ISNUMBER(FIND("ALLERG",AA10)))+2048*(OR(ISNUMBER(FIND("REMARK",AA10)),ISNUMBER(FIND("COMMENT",AA10))))+4096*(OR(ISNUMBER(FIND("QTY",AA10)),ISNUMBER(FIND("QUANTITY",AA10))))+8192*(AND(OR(ISNUMBER(FIND("COMPLETE",AA10)),ISNUMBER(FIND("PCT",AA10)),ISNUMBER(FIND("PERCENT",AA10))),NOT(ISNUMBER(FIND("ACTUAL",AA10))),LEN(AA10)&lt;=16))+32768*(OR(ISNUMBER(FIND("DESIC",AA10)),ISNUMBER(FIND("DESSIC",AA10)))))</f>
        <v/>
      </c>
      <c r="AB145">
        <f>IF(AB10="",0,2*(OR(ISNUMBER(FIND("WORKCENTER",AB10)),AND(LEFT(AB10,4)="LINE",NOT(ISNUMBER(FIND("STATUS",AB10))))))+4*(OR(ISNUMBER(FIND("WORKORDER",AB10)),AND(LEFT(AB10,2)="WO",OR(ISNUMBER(FIND("NUM",AB10)),RIGHT(AB10,2)="NO"))))+8*(LEFT(AB10,3)="SEQ")+16*(AND(LEFT(AB10,4)="ITEM",NOT(ISNUMBER(FIND("DESC",AB10)))))+32*(AND(ISNUMBER(FIND("DESC",AB10)),NOT(ISNUMBER(FIND("CAP",AB10)))))+64*(OR(RIGHT(AB10,5)="COUNT",RIGHT(AB10,2)="CT"))+128*(ISNUMBER(FIND("BULK",AB10)))+256*(ISNUMBER(FIND("SIZE",AB10)))+512*(LEFT(AB10,3)="CAP")+1024*(ISNUMBER(FIND("ALLERG",AB10)))+2048*(OR(ISNUMBER(FIND("REMARK",AB10)),ISNUMBER(FIND("COMMENT",AB10))))+4096*(OR(ISNUMBER(FIND("QTY",AB10)),ISNUMBER(FIND("QUANTITY",AB10))))+8192*(AND(OR(ISNUMBER(FIND("COMPLETE",AB10)),ISNUMBER(FIND("PCT",AB10)),ISNUMBER(FIND("PERCENT",AB10))),NOT(ISNUMBER(FIND("ACTUAL",AB10))),LEN(AB10)&lt;=16))+32768*(OR(ISNUMBER(FIND("DESIC",AB10)),ISNUMBER(FIND("DESSIC",AB10)))))</f>
        <v/>
      </c>
      <c r="AC145">
        <f>IF(AC10="",0,2*(OR(ISNUMBER(FIND("WORKCENTER",AC10)),AND(LEFT(AC10,4)="LINE",NOT(ISNUMBER(FIND("STATUS",AC10))))))+4*(OR(ISNUMBER(FIND("WORKORDER",AC10)),AND(LEFT(AC10,2)="WO",OR(ISNUMBER(FIND("NUM",AC10)),RIGHT(AC10,2)="NO"))))+8*(LEFT(AC10,3)="SEQ")+16*(AND(LEFT(AC10,4)="ITEM",NOT(ISNUMBER(FIND("DESC",AC10)))))+32*(AND(ISNUMBER(FIND("DESC",AC10)),NOT(ISNUMBER(FIND("CAP",AC10)))))+64*(OR(RIGHT(AC10,5)="COUNT",RIGHT(AC10,2)="CT"))+128*(ISNUMBER(FIND("BULK",AC10)))+256*(ISNUMBER(FIND("SIZE",AC10)))+512*(LEFT(AC10,3)="CAP")+1024*(ISNUMBER(FIND("ALLERG",AC10)))+2048*(OR(ISNUMBER(FIND("REMARK",AC10)),ISNUMBER(FIND("COMMENT",AC10))))+4096*(OR(ISNUMBER(FIND("QTY",AC10)),ISNUMBER(FIND("QUANTITY",AC10))))+8192*(AND(OR(ISNUMBER(FIND("COMPLETE",AC10)),ISNUMBER(FIND("PCT",AC10)),ISNUMBER(FIND("PERCENT",AC10))),NOT(ISNUMBER(FIND("ACTUAL",AC10))),LEN(AC10)&lt;=16))+32768*(OR(ISNUMBER(FIND("DESIC",AC10)),ISNUMBER(FIND("DESSIC",AC10)))))</f>
        <v/>
      </c>
      <c r="AD145">
        <f>IF(AD10="",0,2*(OR(ISNUMBER(FIND("WORKCENTER",AD10)),AND(LEFT(AD10,4)="LINE",NOT(ISNUMBER(FIND("STATUS",AD10))))))+4*(OR(ISNUMBER(FIND("WORKORDER",AD10)),AND(LEFT(AD10,2)="WO",OR(ISNUMBER(FIND("NUM",AD10)),RIGHT(AD10,2)="NO"))))+8*(LEFT(AD10,3)="SEQ")+16*(AND(LEFT(AD10,4)="ITEM",NOT(ISNUMBER(FIND("DESC",AD10)))))+32*(AND(ISNUMBER(FIND("DESC",AD10)),NOT(ISNUMBER(FIND("CAP",AD10)))))+64*(OR(RIGHT(AD10,5)="COUNT",RIGHT(AD10,2)="CT"))+128*(ISNUMBER(FIND("BULK",AD10)))+256*(ISNUMBER(FIND("SIZE",AD10)))+512*(LEFT(AD10,3)="CAP")+1024*(ISNUMBER(FIND("ALLERG",AD10)))+2048*(OR(ISNUMBER(FIND("REMARK",AD10)),ISNUMBER(FIND("COMMENT",AD10))))+4096*(OR(ISNUMBER(FIND("QTY",AD10)),ISNUMBER(FIND("QUANTITY",AD10))))+8192*(AND(OR(ISNUMBER(FIND("COMPLETE",AD10)),ISNUMBER(FIND("PCT",AD10)),ISNUMBER(FIND("PERCENT",AD10))),NOT(ISNUMBER(FIND("ACTUAL",AD10))),LEN(AD10)&lt;=16))+32768*(OR(ISNUMBER(FIND("DESIC",AD10)),ISNUMBER(FIND("DESSIC",AD10)))))</f>
        <v/>
      </c>
      <c r="AE145">
        <f>IF(AE10="",0,2*(OR(ISNUMBER(FIND("WORKCENTER",AE10)),AND(LEFT(AE10,4)="LINE",NOT(ISNUMBER(FIND("STATUS",AE10))))))+4*(OR(ISNUMBER(FIND("WORKORDER",AE10)),AND(LEFT(AE10,2)="WO",OR(ISNUMBER(FIND("NUM",AE10)),RIGHT(AE10,2)="NO"))))+8*(LEFT(AE10,3)="SEQ")+16*(AND(LEFT(AE10,4)="ITEM",NOT(ISNUMBER(FIND("DESC",AE10)))))+32*(AND(ISNUMBER(FIND("DESC",AE10)),NOT(ISNUMBER(FIND("CAP",AE10)))))+64*(OR(RIGHT(AE10,5)="COUNT",RIGHT(AE10,2)="CT"))+128*(ISNUMBER(FIND("BULK",AE10)))+256*(ISNUMBER(FIND("SIZE",AE10)))+512*(LEFT(AE10,3)="CAP")+1024*(ISNUMBER(FIND("ALLERG",AE10)))+2048*(OR(ISNUMBER(FIND("REMARK",AE10)),ISNUMBER(FIND("COMMENT",AE10))))+4096*(OR(ISNUMBER(FIND("QTY",AE10)),ISNUMBER(FIND("QUANTITY",AE10))))+8192*(AND(OR(ISNUMBER(FIND("COMPLETE",AE10)),ISNUMBER(FIND("PCT",AE10)),ISNUMBER(FIND("PERCENT",AE10))),NOT(ISNUMBER(FIND("ACTUAL",AE10))),LEN(AE10)&lt;=16))+32768*(OR(ISNUMBER(FIND("DESIC",AE10)),ISNUMBER(FIND("DESSIC",AE10)))))</f>
        <v/>
      </c>
      <c r="AF145">
        <f>IF(AF10="",0,2*(OR(ISNUMBER(FIND("WORKCENTER",AF10)),AND(LEFT(AF10,4)="LINE",NOT(ISNUMBER(FIND("STATUS",AF10))))))+4*(OR(ISNUMBER(FIND("WORKORDER",AF10)),AND(LEFT(AF10,2)="WO",OR(ISNUMBER(FIND("NUM",AF10)),RIGHT(AF10,2)="NO"))))+8*(LEFT(AF10,3)="SEQ")+16*(AND(LEFT(AF10,4)="ITEM",NOT(ISNUMBER(FIND("DESC",AF10)))))+32*(AND(ISNUMBER(FIND("DESC",AF10)),NOT(ISNUMBER(FIND("CAP",AF10)))))+64*(OR(RIGHT(AF10,5)="COUNT",RIGHT(AF10,2)="CT"))+128*(ISNUMBER(FIND("BULK",AF10)))+256*(ISNUMBER(FIND("SIZE",AF10)))+512*(LEFT(AF10,3)="CAP")+1024*(ISNUMBER(FIND("ALLERG",AF10)))+2048*(OR(ISNUMBER(FIND("REMARK",AF10)),ISNUMBER(FIND("COMMENT",AF10))))+4096*(OR(ISNUMBER(FIND("QTY",AF10)),ISNUMBER(FIND("QUANTITY",AF10))))+8192*(AND(OR(ISNUMBER(FIND("COMPLETE",AF10)),ISNUMBER(FIND("PCT",AF10)),ISNUMBER(FIND("PERCENT",AF10))),NOT(ISNUMBER(FIND("ACTUAL",AF10))),LEN(AF10)&lt;=16))+32768*(OR(ISNUMBER(FIND("DESIC",AF10)),ISNUMBER(FIND("DESSIC",AF10)))))</f>
        <v/>
      </c>
      <c r="AG145">
        <f>IF(AG10="",0,2*(OR(ISNUMBER(FIND("WORKCENTER",AG10)),AND(LEFT(AG10,4)="LINE",NOT(ISNUMBER(FIND("STATUS",AG10))))))+4*(OR(ISNUMBER(FIND("WORKORDER",AG10)),AND(LEFT(AG10,2)="WO",OR(ISNUMBER(FIND("NUM",AG10)),RIGHT(AG10,2)="NO"))))+8*(LEFT(AG10,3)="SEQ")+16*(AND(LEFT(AG10,4)="ITEM",NOT(ISNUMBER(FIND("DESC",AG10)))))+32*(AND(ISNUMBER(FIND("DESC",AG10)),NOT(ISNUMBER(FIND("CAP",AG10)))))+64*(OR(RIGHT(AG10,5)="COUNT",RIGHT(AG10,2)="CT"))+128*(ISNUMBER(FIND("BULK",AG10)))+256*(ISNUMBER(FIND("SIZE",AG10)))+512*(LEFT(AG10,3)="CAP")+1024*(ISNUMBER(FIND("ALLERG",AG10)))+2048*(OR(ISNUMBER(FIND("REMARK",AG10)),ISNUMBER(FIND("COMMENT",AG10))))+4096*(OR(ISNUMBER(FIND("QTY",AG10)),ISNUMBER(FIND("QUANTITY",AG10))))+8192*(AND(OR(ISNUMBER(FIND("COMPLETE",AG10)),ISNUMBER(FIND("PCT",AG10)),ISNUMBER(FIND("PERCENT",AG10))),NOT(ISNUMBER(FIND("ACTUAL",AG10))),LEN(AG10)&lt;=16))+32768*(OR(ISNUMBER(FIND("DESIC",AG10)),ISNUMBER(FIND("DESSIC",AG10)))))</f>
        <v/>
      </c>
      <c r="AH145">
        <f>IF(AH10="",0,2*(OR(ISNUMBER(FIND("WORKCENTER",AH10)),AND(LEFT(AH10,4)="LINE",NOT(ISNUMBER(FIND("STATUS",AH10))))))+4*(OR(ISNUMBER(FIND("WORKORDER",AH10)),AND(LEFT(AH10,2)="WO",OR(ISNUMBER(FIND("NUM",AH10)),RIGHT(AH10,2)="NO"))))+8*(LEFT(AH10,3)="SEQ")+16*(AND(LEFT(AH10,4)="ITEM",NOT(ISNUMBER(FIND("DESC",AH10)))))+32*(AND(ISNUMBER(FIND("DESC",AH10)),NOT(ISNUMBER(FIND("CAP",AH10)))))+64*(OR(RIGHT(AH10,5)="COUNT",RIGHT(AH10,2)="CT"))+128*(ISNUMBER(FIND("BULK",AH10)))+256*(ISNUMBER(FIND("SIZE",AH10)))+512*(LEFT(AH10,3)="CAP")+1024*(ISNUMBER(FIND("ALLERG",AH10)))+2048*(OR(ISNUMBER(FIND("REMARK",AH10)),ISNUMBER(FIND("COMMENT",AH10))))+4096*(OR(ISNUMBER(FIND("QTY",AH10)),ISNUMBER(FIND("QUANTITY",AH10))))+8192*(AND(OR(ISNUMBER(FIND("COMPLETE",AH10)),ISNUMBER(FIND("PCT",AH10)),ISNUMBER(FIND("PERCENT",AH10))),NOT(ISNUMBER(FIND("ACTUAL",AH10))),LEN(AH10)&lt;=16))+32768*(OR(ISNUMBER(FIND("DESIC",AH10)),ISNUMBER(FIND("DESSIC",AH10)))))</f>
        <v/>
      </c>
      <c r="AI145">
        <f>IF(AI10="",0,2*(OR(ISNUMBER(FIND("WORKCENTER",AI10)),AND(LEFT(AI10,4)="LINE",NOT(ISNUMBER(FIND("STATUS",AI10))))))+4*(OR(ISNUMBER(FIND("WORKORDER",AI10)),AND(LEFT(AI10,2)="WO",OR(ISNUMBER(FIND("NUM",AI10)),RIGHT(AI10,2)="NO"))))+8*(LEFT(AI10,3)="SEQ")+16*(AND(LEFT(AI10,4)="ITEM",NOT(ISNUMBER(FIND("DESC",AI10)))))+32*(AND(ISNUMBER(FIND("DESC",AI10)),NOT(ISNUMBER(FIND("CAP",AI10)))))+64*(OR(RIGHT(AI10,5)="COUNT",RIGHT(AI10,2)="CT"))+128*(ISNUMBER(FIND("BULK",AI10)))+256*(ISNUMBER(FIND("SIZE",AI10)))+512*(LEFT(AI10,3)="CAP")+1024*(ISNUMBER(FIND("ALLERG",AI10)))+2048*(OR(ISNUMBER(FIND("REMARK",AI10)),ISNUMBER(FIND("COMMENT",AI10))))+4096*(OR(ISNUMBER(FIND("QTY",AI10)),ISNUMBER(FIND("QUANTITY",AI10))))+8192*(AND(OR(ISNUMBER(FIND("COMPLETE",AI10)),ISNUMBER(FIND("PCT",AI10)),ISNUMBER(FIND("PERCENT",AI10))),NOT(ISNUMBER(FIND("ACTUAL",AI10))),LEN(AI10)&lt;=16))+32768*(OR(ISNUMBER(FIND("DESIC",AI10)),ISNUMBER(FIND("DESSIC",AI10)))))</f>
        <v/>
      </c>
      <c r="AJ145">
        <f>IF(AJ10="",0,2*(OR(ISNUMBER(FIND("WORKCENTER",AJ10)),AND(LEFT(AJ10,4)="LINE",NOT(ISNUMBER(FIND("STATUS",AJ10))))))+4*(OR(ISNUMBER(FIND("WORKORDER",AJ10)),AND(LEFT(AJ10,2)="WO",OR(ISNUMBER(FIND("NUM",AJ10)),RIGHT(AJ10,2)="NO"))))+8*(LEFT(AJ10,3)="SEQ")+16*(AND(LEFT(AJ10,4)="ITEM",NOT(ISNUMBER(FIND("DESC",AJ10)))))+32*(AND(ISNUMBER(FIND("DESC",AJ10)),NOT(ISNUMBER(FIND("CAP",AJ10)))))+64*(OR(RIGHT(AJ10,5)="COUNT",RIGHT(AJ10,2)="CT"))+128*(ISNUMBER(FIND("BULK",AJ10)))+256*(ISNUMBER(FIND("SIZE",AJ10)))+512*(LEFT(AJ10,3)="CAP")+1024*(ISNUMBER(FIND("ALLERG",AJ10)))+2048*(OR(ISNUMBER(FIND("REMARK",AJ10)),ISNUMBER(FIND("COMMENT",AJ10))))+4096*(OR(ISNUMBER(FIND("QTY",AJ10)),ISNUMBER(FIND("QUANTITY",AJ10))))+8192*(AND(OR(ISNUMBER(FIND("COMPLETE",AJ10)),ISNUMBER(FIND("PCT",AJ10)),ISNUMBER(FIND("PERCENT",AJ10))),NOT(ISNUMBER(FIND("ACTUAL",AJ10))),LEN(AJ10)&lt;=16))+32768*(OR(ISNUMBER(FIND("DESIC",AJ10)),ISNUMBER(FIND("DESSIC",AJ10)))))</f>
        <v/>
      </c>
      <c r="AK145">
        <f>IF(AK10="",0,2*(OR(ISNUMBER(FIND("WORKCENTER",AK10)),AND(LEFT(AK10,4)="LINE",NOT(ISNUMBER(FIND("STATUS",AK10))))))+4*(OR(ISNUMBER(FIND("WORKORDER",AK10)),AND(LEFT(AK10,2)="WO",OR(ISNUMBER(FIND("NUM",AK10)),RIGHT(AK10,2)="NO"))))+8*(LEFT(AK10,3)="SEQ")+16*(AND(LEFT(AK10,4)="ITEM",NOT(ISNUMBER(FIND("DESC",AK10)))))+32*(AND(ISNUMBER(FIND("DESC",AK10)),NOT(ISNUMBER(FIND("CAP",AK10)))))+64*(OR(RIGHT(AK10,5)="COUNT",RIGHT(AK10,2)="CT"))+128*(ISNUMBER(FIND("BULK",AK10)))+256*(ISNUMBER(FIND("SIZE",AK10)))+512*(LEFT(AK10,3)="CAP")+1024*(ISNUMBER(FIND("ALLERG",AK10)))+2048*(OR(ISNUMBER(FIND("REMARK",AK10)),ISNUMBER(FIND("COMMENT",AK10))))+4096*(OR(ISNUMBER(FIND("QTY",AK10)),ISNUMBER(FIND("QUANTITY",AK10))))+8192*(AND(OR(ISNUMBER(FIND("COMPLETE",AK10)),ISNUMBER(FIND("PCT",AK10)),ISNUMBER(FIND("PERCENT",AK10))),NOT(ISNUMBER(FIND("ACTUAL",AK10))),LEN(AK10)&lt;=16))+32768*(OR(ISNUMBER(FIND("DESIC",AK10)),ISNUMBER(FIND("DESSIC",AK10)))))</f>
        <v/>
      </c>
      <c r="AL145">
        <f>IF(AL10="",0,2*(OR(ISNUMBER(FIND("WORKCENTER",AL10)),AND(LEFT(AL10,4)="LINE",NOT(ISNUMBER(FIND("STATUS",AL10))))))+4*(OR(ISNUMBER(FIND("WORKORDER",AL10)),AND(LEFT(AL10,2)="WO",OR(ISNUMBER(FIND("NUM",AL10)),RIGHT(AL10,2)="NO"))))+8*(LEFT(AL10,3)="SEQ")+16*(AND(LEFT(AL10,4)="ITEM",NOT(ISNUMBER(FIND("DESC",AL10)))))+32*(AND(ISNUMBER(FIND("DESC",AL10)),NOT(ISNUMBER(FIND("CAP",AL10)))))+64*(OR(RIGHT(AL10,5)="COUNT",RIGHT(AL10,2)="CT"))+128*(ISNUMBER(FIND("BULK",AL10)))+256*(ISNUMBER(FIND("SIZE",AL10)))+512*(LEFT(AL10,3)="CAP")+1024*(ISNUMBER(FIND("ALLERG",AL10)))+2048*(OR(ISNUMBER(FIND("REMARK",AL10)),ISNUMBER(FIND("COMMENT",AL10))))+4096*(OR(ISNUMBER(FIND("QTY",AL10)),ISNUMBER(FIND("QUANTITY",AL10))))+8192*(AND(OR(ISNUMBER(FIND("COMPLETE",AL10)),ISNUMBER(FIND("PCT",AL10)),ISNUMBER(FIND("PERCENT",AL10))),NOT(ISNUMBER(FIND("ACTUAL",AL10))),LEN(AL10)&lt;=16))+32768*(OR(ISNUMBER(FIND("DESIC",AL10)),ISNUMBER(FIND("DESSIC",AL10)))))</f>
        <v/>
      </c>
      <c r="AM145">
        <f>IF(AM10="",0,2*(OR(ISNUMBER(FIND("WORKCENTER",AM10)),AND(LEFT(AM10,4)="LINE",NOT(ISNUMBER(FIND("STATUS",AM10))))))+4*(OR(ISNUMBER(FIND("WORKORDER",AM10)),AND(LEFT(AM10,2)="WO",OR(ISNUMBER(FIND("NUM",AM10)),RIGHT(AM10,2)="NO"))))+8*(LEFT(AM10,3)="SEQ")+16*(AND(LEFT(AM10,4)="ITEM",NOT(ISNUMBER(FIND("DESC",AM10)))))+32*(AND(ISNUMBER(FIND("DESC",AM10)),NOT(ISNUMBER(FIND("CAP",AM10)))))+64*(OR(RIGHT(AM10,5)="COUNT",RIGHT(AM10,2)="CT"))+128*(ISNUMBER(FIND("BULK",AM10)))+256*(ISNUMBER(FIND("SIZE",AM10)))+512*(LEFT(AM10,3)="CAP")+1024*(ISNUMBER(FIND("ALLERG",AM10)))+2048*(OR(ISNUMBER(FIND("REMARK",AM10)),ISNUMBER(FIND("COMMENT",AM10))))+4096*(OR(ISNUMBER(FIND("QTY",AM10)),ISNUMBER(FIND("QUANTITY",AM10))))+8192*(AND(OR(ISNUMBER(FIND("COMPLETE",AM10)),ISNUMBER(FIND("PCT",AM10)),ISNUMBER(FIND("PERCENT",AM10))),NOT(ISNUMBER(FIND("ACTUAL",AM10))),LEN(AM10)&lt;=16))+32768*(OR(ISNUMBER(FIND("DESIC",AM10)),ISNUMBER(FIND("DESSIC",AM10)))))</f>
        <v/>
      </c>
      <c r="AN145">
        <f>IF(AN10="",0,2*(OR(ISNUMBER(FIND("WORKCENTER",AN10)),AND(LEFT(AN10,4)="LINE",NOT(ISNUMBER(FIND("STATUS",AN10))))))+4*(OR(ISNUMBER(FIND("WORKORDER",AN10)),AND(LEFT(AN10,2)="WO",OR(ISNUMBER(FIND("NUM",AN10)),RIGHT(AN10,2)="NO"))))+8*(LEFT(AN10,3)="SEQ")+16*(AND(LEFT(AN10,4)="ITEM",NOT(ISNUMBER(FIND("DESC",AN10)))))+32*(AND(ISNUMBER(FIND("DESC",AN10)),NOT(ISNUMBER(FIND("CAP",AN10)))))+64*(OR(RIGHT(AN10,5)="COUNT",RIGHT(AN10,2)="CT"))+128*(ISNUMBER(FIND("BULK",AN10)))+256*(ISNUMBER(FIND("SIZE",AN10)))+512*(LEFT(AN10,3)="CAP")+1024*(ISNUMBER(FIND("ALLERG",AN10)))+2048*(OR(ISNUMBER(FIND("REMARK",AN10)),ISNUMBER(FIND("COMMENT",AN10))))+4096*(OR(ISNUMBER(FIND("QTY",AN10)),ISNUMBER(FIND("QUANTITY",AN10))))+8192*(AND(OR(ISNUMBER(FIND("COMPLETE",AN10)),ISNUMBER(FIND("PCT",AN10)),ISNUMBER(FIND("PERCENT",AN10))),NOT(ISNUMBER(FIND("ACTUAL",AN10))),LEN(AN10)&lt;=16))+32768*(OR(ISNUMBER(FIND("DESIC",AN10)),ISNUMBER(FIND("DESSIC",AN10)))))</f>
        <v/>
      </c>
      <c r="AO145">
        <f>IF(AO10="",0,2*(OR(ISNUMBER(FIND("WORKCENTER",AO10)),AND(LEFT(AO10,4)="LINE",NOT(ISNUMBER(FIND("STATUS",AO10))))))+4*(OR(ISNUMBER(FIND("WORKORDER",AO10)),AND(LEFT(AO10,2)="WO",OR(ISNUMBER(FIND("NUM",AO10)),RIGHT(AO10,2)="NO"))))+8*(LEFT(AO10,3)="SEQ")+16*(AND(LEFT(AO10,4)="ITEM",NOT(ISNUMBER(FIND("DESC",AO10)))))+32*(AND(ISNUMBER(FIND("DESC",AO10)),NOT(ISNUMBER(FIND("CAP",AO10)))))+64*(OR(RIGHT(AO10,5)="COUNT",RIGHT(AO10,2)="CT"))+128*(ISNUMBER(FIND("BULK",AO10)))+256*(ISNUMBER(FIND("SIZE",AO10)))+512*(LEFT(AO10,3)="CAP")+1024*(ISNUMBER(FIND("ALLERG",AO10)))+2048*(OR(ISNUMBER(FIND("REMARK",AO10)),ISNUMBER(FIND("COMMENT",AO10))))+4096*(OR(ISNUMBER(FIND("QTY",AO10)),ISNUMBER(FIND("QUANTITY",AO10))))+8192*(AND(OR(ISNUMBER(FIND("COMPLETE",AO10)),ISNUMBER(FIND("PCT",AO10)),ISNUMBER(FIND("PERCENT",AO10))),NOT(ISNUMBER(FIND("ACTUAL",AO10))),LEN(AO10)&lt;=16))+32768*(OR(ISNUMBER(FIND("DESIC",AO10)),ISNUMBER(FIND("DESSIC",AO10)))))</f>
        <v/>
      </c>
      <c r="AP145">
        <f>IF(AP10="",0,2*(OR(ISNUMBER(FIND("WORKCENTER",AP10)),AND(LEFT(AP10,4)="LINE",NOT(ISNUMBER(FIND("STATUS",AP10))))))+4*(OR(ISNUMBER(FIND("WORKORDER",AP10)),AND(LEFT(AP10,2)="WO",OR(ISNUMBER(FIND("NUM",AP10)),RIGHT(AP10,2)="NO"))))+8*(LEFT(AP10,3)="SEQ")+16*(AND(LEFT(AP10,4)="ITEM",NOT(ISNUMBER(FIND("DESC",AP10)))))+32*(AND(ISNUMBER(FIND("DESC",AP10)),NOT(ISNUMBER(FIND("CAP",AP10)))))+64*(OR(RIGHT(AP10,5)="COUNT",RIGHT(AP10,2)="CT"))+128*(ISNUMBER(FIND("BULK",AP10)))+256*(ISNUMBER(FIND("SIZE",AP10)))+512*(LEFT(AP10,3)="CAP")+1024*(ISNUMBER(FIND("ALLERG",AP10)))+2048*(OR(ISNUMBER(FIND("REMARK",AP10)),ISNUMBER(FIND("COMMENT",AP10))))+4096*(OR(ISNUMBER(FIND("QTY",AP10)),ISNUMBER(FIND("QUANTITY",AP10))))+8192*(AND(OR(ISNUMBER(FIND("COMPLETE",AP10)),ISNUMBER(FIND("PCT",AP10)),ISNUMBER(FIND("PERCENT",AP10))),NOT(ISNUMBER(FIND("ACTUAL",AP10))),LEN(AP10)&lt;=16))+32768*(OR(ISNUMBER(FIND("DESIC",AP10)),ISNUMBER(FIND("DESSIC",AP10)))))</f>
        <v/>
      </c>
      <c r="AQ145">
        <f>IF(AQ10="",0,2*(OR(ISNUMBER(FIND("WORKCENTER",AQ10)),AND(LEFT(AQ10,4)="LINE",NOT(ISNUMBER(FIND("STATUS",AQ10))))))+4*(OR(ISNUMBER(FIND("WORKORDER",AQ10)),AND(LEFT(AQ10,2)="WO",OR(ISNUMBER(FIND("NUM",AQ10)),RIGHT(AQ10,2)="NO"))))+8*(LEFT(AQ10,3)="SEQ")+16*(AND(LEFT(AQ10,4)="ITEM",NOT(ISNUMBER(FIND("DESC",AQ10)))))+32*(AND(ISNUMBER(FIND("DESC",AQ10)),NOT(ISNUMBER(FIND("CAP",AQ10)))))+64*(OR(RIGHT(AQ10,5)="COUNT",RIGHT(AQ10,2)="CT"))+128*(ISNUMBER(FIND("BULK",AQ10)))+256*(ISNUMBER(FIND("SIZE",AQ10)))+512*(LEFT(AQ10,3)="CAP")+1024*(ISNUMBER(FIND("ALLERG",AQ10)))+2048*(OR(ISNUMBER(FIND("REMARK",AQ10)),ISNUMBER(FIND("COMMENT",AQ10))))+4096*(OR(ISNUMBER(FIND("QTY",AQ10)),ISNUMBER(FIND("QUANTITY",AQ10))))+8192*(AND(OR(ISNUMBER(FIND("COMPLETE",AQ10)),ISNUMBER(FIND("PCT",AQ10)),ISNUMBER(FIND("PERCENT",AQ10))),NOT(ISNUMBER(FIND("ACTUAL",AQ10))),LEN(AQ10)&lt;=16))+32768*(OR(ISNUMBER(FIND("DESIC",AQ10)),ISNUMBER(FIND("DESSIC",AQ10)))))</f>
        <v/>
      </c>
      <c r="AR145">
        <f>IF(AR10="",0,2*(OR(ISNUMBER(FIND("WORKCENTER",AR10)),AND(LEFT(AR10,4)="LINE",NOT(ISNUMBER(FIND("STATUS",AR10))))))+4*(OR(ISNUMBER(FIND("WORKORDER",AR10)),AND(LEFT(AR10,2)="WO",OR(ISNUMBER(FIND("NUM",AR10)),RIGHT(AR10,2)="NO"))))+8*(LEFT(AR10,3)="SEQ")+16*(AND(LEFT(AR10,4)="ITEM",NOT(ISNUMBER(FIND("DESC",AR10)))))+32*(AND(ISNUMBER(FIND("DESC",AR10)),NOT(ISNUMBER(FIND("CAP",AR10)))))+64*(OR(RIGHT(AR10,5)="COUNT",RIGHT(AR10,2)="CT"))+128*(ISNUMBER(FIND("BULK",AR10)))+256*(ISNUMBER(FIND("SIZE",AR10)))+512*(LEFT(AR10,3)="CAP")+1024*(ISNUMBER(FIND("ALLERG",AR10)))+2048*(OR(ISNUMBER(FIND("REMARK",AR10)),ISNUMBER(FIND("COMMENT",AR10))))+4096*(OR(ISNUMBER(FIND("QTY",AR10)),ISNUMBER(FIND("QUANTITY",AR10))))+8192*(AND(OR(ISNUMBER(FIND("COMPLETE",AR10)),ISNUMBER(FIND("PCT",AR10)),ISNUMBER(FIND("PERCENT",AR10))),NOT(ISNUMBER(FIND("ACTUAL",AR10))),LEN(AR10)&lt;=16))+32768*(OR(ISNUMBER(FIND("DESIC",AR10)),ISNUMBER(FIND("DESSIC",AR10)))))</f>
        <v/>
      </c>
      <c r="AS145">
        <f>IF(AS10="",0,2*(OR(ISNUMBER(FIND("WORKCENTER",AS10)),AND(LEFT(AS10,4)="LINE",NOT(ISNUMBER(FIND("STATUS",AS10))))))+4*(OR(ISNUMBER(FIND("WORKORDER",AS10)),AND(LEFT(AS10,2)="WO",OR(ISNUMBER(FIND("NUM",AS10)),RIGHT(AS10,2)="NO"))))+8*(LEFT(AS10,3)="SEQ")+16*(AND(LEFT(AS10,4)="ITEM",NOT(ISNUMBER(FIND("DESC",AS10)))))+32*(AND(ISNUMBER(FIND("DESC",AS10)),NOT(ISNUMBER(FIND("CAP",AS10)))))+64*(OR(RIGHT(AS10,5)="COUNT",RIGHT(AS10,2)="CT"))+128*(ISNUMBER(FIND("BULK",AS10)))+256*(ISNUMBER(FIND("SIZE",AS10)))+512*(LEFT(AS10,3)="CAP")+1024*(ISNUMBER(FIND("ALLERG",AS10)))+2048*(OR(ISNUMBER(FIND("REMARK",AS10)),ISNUMBER(FIND("COMMENT",AS10))))+4096*(OR(ISNUMBER(FIND("QTY",AS10)),ISNUMBER(FIND("QUANTITY",AS10))))+8192*(AND(OR(ISNUMBER(FIND("COMPLETE",AS10)),ISNUMBER(FIND("PCT",AS10)),ISNUMBER(FIND("PERCENT",AS10))),NOT(ISNUMBER(FIND("ACTUAL",AS10))),LEN(AS10)&lt;=16))+32768*(OR(ISNUMBER(FIND("DESIC",AS10)),ISNUMBER(FIND("DESSIC",AS10)))))</f>
        <v/>
      </c>
      <c r="AT145">
        <f>IF(AT10="",0,2*(OR(ISNUMBER(FIND("WORKCENTER",AT10)),AND(LEFT(AT10,4)="LINE",NOT(ISNUMBER(FIND("STATUS",AT10))))))+4*(OR(ISNUMBER(FIND("WORKORDER",AT10)),AND(LEFT(AT10,2)="WO",OR(ISNUMBER(FIND("NUM",AT10)),RIGHT(AT10,2)="NO"))))+8*(LEFT(AT10,3)="SEQ")+16*(AND(LEFT(AT10,4)="ITEM",NOT(ISNUMBER(FIND("DESC",AT10)))))+32*(AND(ISNUMBER(FIND("DESC",AT10)),NOT(ISNUMBER(FIND("CAP",AT10)))))+64*(OR(RIGHT(AT10,5)="COUNT",RIGHT(AT10,2)="CT"))+128*(ISNUMBER(FIND("BULK",AT10)))+256*(ISNUMBER(FIND("SIZE",AT10)))+512*(LEFT(AT10,3)="CAP")+1024*(ISNUMBER(FIND("ALLERG",AT10)))+2048*(OR(ISNUMBER(FIND("REMARK",AT10)),ISNUMBER(FIND("COMMENT",AT10))))+4096*(OR(ISNUMBER(FIND("QTY",AT10)),ISNUMBER(FIND("QUANTITY",AT10))))+8192*(AND(OR(ISNUMBER(FIND("COMPLETE",AT10)),ISNUMBER(FIND("PCT",AT10)),ISNUMBER(FIND("PERCENT",AT10))),NOT(ISNUMBER(FIND("ACTUAL",AT10))),LEN(AT10)&lt;=16))+32768*(OR(ISNUMBER(FIND("DESIC",AT10)),ISNUMBER(FIND("DESSIC",AT10)))))</f>
        <v/>
      </c>
      <c r="AU145">
        <f>IF(AU10="",0,2*(OR(ISNUMBER(FIND("WORKCENTER",AU10)),AND(LEFT(AU10,4)="LINE",NOT(ISNUMBER(FIND("STATUS",AU10))))))+4*(OR(ISNUMBER(FIND("WORKORDER",AU10)),AND(LEFT(AU10,2)="WO",OR(ISNUMBER(FIND("NUM",AU10)),RIGHT(AU10,2)="NO"))))+8*(LEFT(AU10,3)="SEQ")+16*(AND(LEFT(AU10,4)="ITEM",NOT(ISNUMBER(FIND("DESC",AU10)))))+32*(AND(ISNUMBER(FIND("DESC",AU10)),NOT(ISNUMBER(FIND("CAP",AU10)))))+64*(OR(RIGHT(AU10,5)="COUNT",RIGHT(AU10,2)="CT"))+128*(ISNUMBER(FIND("BULK",AU10)))+256*(ISNUMBER(FIND("SIZE",AU10)))+512*(LEFT(AU10,3)="CAP")+1024*(ISNUMBER(FIND("ALLERG",AU10)))+2048*(OR(ISNUMBER(FIND("REMARK",AU10)),ISNUMBER(FIND("COMMENT",AU10))))+4096*(OR(ISNUMBER(FIND("QTY",AU10)),ISNUMBER(FIND("QUANTITY",AU10))))+8192*(AND(OR(ISNUMBER(FIND("COMPLETE",AU10)),ISNUMBER(FIND("PCT",AU10)),ISNUMBER(FIND("PERCENT",AU10))),NOT(ISNUMBER(FIND("ACTUAL",AU10))),LEN(AU10)&lt;=16))+32768*(OR(ISNUMBER(FIND("DESIC",AU10)),ISNUMBER(FIND("DESSIC",AU10)))))</f>
        <v/>
      </c>
      <c r="AV145">
        <f>IF(AV10="",0,2*(OR(ISNUMBER(FIND("WORKCENTER",AV10)),AND(LEFT(AV10,4)="LINE",NOT(ISNUMBER(FIND("STATUS",AV10))))))+4*(OR(ISNUMBER(FIND("WORKORDER",AV10)),AND(LEFT(AV10,2)="WO",OR(ISNUMBER(FIND("NUM",AV10)),RIGHT(AV10,2)="NO"))))+8*(LEFT(AV10,3)="SEQ")+16*(AND(LEFT(AV10,4)="ITEM",NOT(ISNUMBER(FIND("DESC",AV10)))))+32*(AND(ISNUMBER(FIND("DESC",AV10)),NOT(ISNUMBER(FIND("CAP",AV10)))))+64*(OR(RIGHT(AV10,5)="COUNT",RIGHT(AV10,2)="CT"))+128*(ISNUMBER(FIND("BULK",AV10)))+256*(ISNUMBER(FIND("SIZE",AV10)))+512*(LEFT(AV10,3)="CAP")+1024*(ISNUMBER(FIND("ALLERG",AV10)))+2048*(OR(ISNUMBER(FIND("REMARK",AV10)),ISNUMBER(FIND("COMMENT",AV10))))+4096*(OR(ISNUMBER(FIND("QTY",AV10)),ISNUMBER(FIND("QUANTITY",AV10))))+8192*(AND(OR(ISNUMBER(FIND("COMPLETE",AV10)),ISNUMBER(FIND("PCT",AV10)),ISNUMBER(FIND("PERCENT",AV10))),NOT(ISNUMBER(FIND("ACTUAL",AV10))),LEN(AV10)&lt;=16))+32768*(OR(ISNUMBER(FIND("DESIC",AV10)),ISNUMBER(FIND("DESSIC",AV10)))))</f>
        <v/>
      </c>
      <c r="AW145">
        <f>IF(AW10="",0,2*(OR(ISNUMBER(FIND("WORKCENTER",AW10)),AND(LEFT(AW10,4)="LINE",NOT(ISNUMBER(FIND("STATUS",AW10))))))+4*(OR(ISNUMBER(FIND("WORKORDER",AW10)),AND(LEFT(AW10,2)="WO",OR(ISNUMBER(FIND("NUM",AW10)),RIGHT(AW10,2)="NO"))))+8*(LEFT(AW10,3)="SEQ")+16*(AND(LEFT(AW10,4)="ITEM",NOT(ISNUMBER(FIND("DESC",AW10)))))+32*(AND(ISNUMBER(FIND("DESC",AW10)),NOT(ISNUMBER(FIND("CAP",AW10)))))+64*(OR(RIGHT(AW10,5)="COUNT",RIGHT(AW10,2)="CT"))+128*(ISNUMBER(FIND("BULK",AW10)))+256*(ISNUMBER(FIND("SIZE",AW10)))+512*(LEFT(AW10,3)="CAP")+1024*(ISNUMBER(FIND("ALLERG",AW10)))+2048*(OR(ISNUMBER(FIND("REMARK",AW10)),ISNUMBER(FIND("COMMENT",AW10))))+4096*(OR(ISNUMBER(FIND("QTY",AW10)),ISNUMBER(FIND("QUANTITY",AW10))))+8192*(AND(OR(ISNUMBER(FIND("COMPLETE",AW10)),ISNUMBER(FIND("PCT",AW10)),ISNUMBER(FIND("PERCENT",AW10))),NOT(ISNUMBER(FIND("ACTUAL",AW10))),LEN(AW10)&lt;=16))+32768*(OR(ISNUMBER(FIND("DESIC",AW10)),ISNUMBER(FIND("DESSIC",AW10)))))</f>
        <v/>
      </c>
      <c r="AX145">
        <f>IF(AX10="",0,2*(OR(ISNUMBER(FIND("WORKCENTER",AX10)),AND(LEFT(AX10,4)="LINE",NOT(ISNUMBER(FIND("STATUS",AX10))))))+4*(OR(ISNUMBER(FIND("WORKORDER",AX10)),AND(LEFT(AX10,2)="WO",OR(ISNUMBER(FIND("NUM",AX10)),RIGHT(AX10,2)="NO"))))+8*(LEFT(AX10,3)="SEQ")+16*(AND(LEFT(AX10,4)="ITEM",NOT(ISNUMBER(FIND("DESC",AX10)))))+32*(AND(ISNUMBER(FIND("DESC",AX10)),NOT(ISNUMBER(FIND("CAP",AX10)))))+64*(OR(RIGHT(AX10,5)="COUNT",RIGHT(AX10,2)="CT"))+128*(ISNUMBER(FIND("BULK",AX10)))+256*(ISNUMBER(FIND("SIZE",AX10)))+512*(LEFT(AX10,3)="CAP")+1024*(ISNUMBER(FIND("ALLERG",AX10)))+2048*(OR(ISNUMBER(FIND("REMARK",AX10)),ISNUMBER(FIND("COMMENT",AX10))))+4096*(OR(ISNUMBER(FIND("QTY",AX10)),ISNUMBER(FIND("QUANTITY",AX10))))+8192*(AND(OR(ISNUMBER(FIND("COMPLETE",AX10)),ISNUMBER(FIND("PCT",AX10)),ISNUMBER(FIND("PERCENT",AX10))),NOT(ISNUMBER(FIND("ACTUAL",AX10))),LEN(AX10)&lt;=16))+32768*(OR(ISNUMBER(FIND("DESIC",AX10)),ISNUMBER(FIND("DESSIC",AX10)))))</f>
        <v/>
      </c>
      <c r="AY145">
        <f>IF(AY10="",0,2*(OR(ISNUMBER(FIND("WORKCENTER",AY10)),AND(LEFT(AY10,4)="LINE",NOT(ISNUMBER(FIND("STATUS",AY10))))))+4*(OR(ISNUMBER(FIND("WORKORDER",AY10)),AND(LEFT(AY10,2)="WO",OR(ISNUMBER(FIND("NUM",AY10)),RIGHT(AY10,2)="NO"))))+8*(LEFT(AY10,3)="SEQ")+16*(AND(LEFT(AY10,4)="ITEM",NOT(ISNUMBER(FIND("DESC",AY10)))))+32*(AND(ISNUMBER(FIND("DESC",AY10)),NOT(ISNUMBER(FIND("CAP",AY10)))))+64*(OR(RIGHT(AY10,5)="COUNT",RIGHT(AY10,2)="CT"))+128*(ISNUMBER(FIND("BULK",AY10)))+256*(ISNUMBER(FIND("SIZE",AY10)))+512*(LEFT(AY10,3)="CAP")+1024*(ISNUMBER(FIND("ALLERG",AY10)))+2048*(OR(ISNUMBER(FIND("REMARK",AY10)),ISNUMBER(FIND("COMMENT",AY10))))+4096*(OR(ISNUMBER(FIND("QTY",AY10)),ISNUMBER(FIND("QUANTITY",AY10))))+8192*(AND(OR(ISNUMBER(FIND("COMPLETE",AY10)),ISNUMBER(FIND("PCT",AY10)),ISNUMBER(FIND("PERCENT",AY10))),NOT(ISNUMBER(FIND("ACTUAL",AY10))),LEN(AY10)&lt;=16))+32768*(OR(ISNUMBER(FIND("DESIC",AY10)),ISNUMBER(FIND("DESSIC",AY10)))))</f>
        <v/>
      </c>
      <c r="AZ145">
        <f>IF(AZ10="",0,2*(OR(ISNUMBER(FIND("WORKCENTER",AZ10)),AND(LEFT(AZ10,4)="LINE",NOT(ISNUMBER(FIND("STATUS",AZ10))))))+4*(OR(ISNUMBER(FIND("WORKORDER",AZ10)),AND(LEFT(AZ10,2)="WO",OR(ISNUMBER(FIND("NUM",AZ10)),RIGHT(AZ10,2)="NO"))))+8*(LEFT(AZ10,3)="SEQ")+16*(AND(LEFT(AZ10,4)="ITEM",NOT(ISNUMBER(FIND("DESC",AZ10)))))+32*(AND(ISNUMBER(FIND("DESC",AZ10)),NOT(ISNUMBER(FIND("CAP",AZ10)))))+64*(OR(RIGHT(AZ10,5)="COUNT",RIGHT(AZ10,2)="CT"))+128*(ISNUMBER(FIND("BULK",AZ10)))+256*(ISNUMBER(FIND("SIZE",AZ10)))+512*(LEFT(AZ10,3)="CAP")+1024*(ISNUMBER(FIND("ALLERG",AZ10)))+2048*(OR(ISNUMBER(FIND("REMARK",AZ10)),ISNUMBER(FIND("COMMENT",AZ10))))+4096*(OR(ISNUMBER(FIND("QTY",AZ10)),ISNUMBER(FIND("QUANTITY",AZ10))))+8192*(AND(OR(ISNUMBER(FIND("COMPLETE",AZ10)),ISNUMBER(FIND("PCT",AZ10)),ISNUMBER(FIND("PERCENT",AZ10))),NOT(ISNUMBER(FIND("ACTUAL",AZ10))),LEN(AZ10)&lt;=16))+32768*(OR(ISNUMBER(FIND("DESIC",AZ10)),ISNUMBER(FIND("DESSIC",AZ10)))))</f>
        <v/>
      </c>
      <c r="BA145">
        <f>IF(BA10="",0,2*(OR(ISNUMBER(FIND("WORKCENTER",BA10)),AND(LEFT(BA10,4)="LINE",NOT(ISNUMBER(FIND("STATUS",BA10))))))+4*(OR(ISNUMBER(FIND("WORKORDER",BA10)),AND(LEFT(BA10,2)="WO",OR(ISNUMBER(FIND("NUM",BA10)),RIGHT(BA10,2)="NO"))))+8*(LEFT(BA10,3)="SEQ")+16*(AND(LEFT(BA10,4)="ITEM",NOT(ISNUMBER(FIND("DESC",BA10)))))+32*(AND(ISNUMBER(FIND("DESC",BA10)),NOT(ISNUMBER(FIND("CAP",BA10)))))+64*(OR(RIGHT(BA10,5)="COUNT",RIGHT(BA10,2)="CT"))+128*(ISNUMBER(FIND("BULK",BA10)))+256*(ISNUMBER(FIND("SIZE",BA10)))+512*(LEFT(BA10,3)="CAP")+1024*(ISNUMBER(FIND("ALLERG",BA10)))+2048*(OR(ISNUMBER(FIND("REMARK",BA10)),ISNUMBER(FIND("COMMENT",BA10))))+4096*(OR(ISNUMBER(FIND("QTY",BA10)),ISNUMBER(FIND("QUANTITY",BA10))))+8192*(AND(OR(ISNUMBER(FIND("COMPLETE",BA10)),ISNUMBER(FIND("PCT",BA10)),ISNUMBER(FIND("PERCENT",BA10))),NOT(ISNUMBER(FIND("ACTUAL",BA10))),LEN(BA10)&lt;=16))+32768*(OR(ISNUMBER(FIND("DESIC",BA10)),ISNUMBER(FIND("DESSIC",BA10)))))</f>
        <v/>
      </c>
      <c r="BB145">
        <f>IF(BB10="",0,2*(OR(ISNUMBER(FIND("WORKCENTER",BB10)),AND(LEFT(BB10,4)="LINE",NOT(ISNUMBER(FIND("STATUS",BB10))))))+4*(OR(ISNUMBER(FIND("WORKORDER",BB10)),AND(LEFT(BB10,2)="WO",OR(ISNUMBER(FIND("NUM",BB10)),RIGHT(BB10,2)="NO"))))+8*(LEFT(BB10,3)="SEQ")+16*(AND(LEFT(BB10,4)="ITEM",NOT(ISNUMBER(FIND("DESC",BB10)))))+32*(AND(ISNUMBER(FIND("DESC",BB10)),NOT(ISNUMBER(FIND("CAP",BB10)))))+64*(OR(RIGHT(BB10,5)="COUNT",RIGHT(BB10,2)="CT"))+128*(ISNUMBER(FIND("BULK",BB10)))+256*(ISNUMBER(FIND("SIZE",BB10)))+512*(LEFT(BB10,3)="CAP")+1024*(ISNUMBER(FIND("ALLERG",BB10)))+2048*(OR(ISNUMBER(FIND("REMARK",BB10)),ISNUMBER(FIND("COMMENT",BB10))))+4096*(OR(ISNUMBER(FIND("QTY",BB10)),ISNUMBER(FIND("QUANTITY",BB10))))+8192*(AND(OR(ISNUMBER(FIND("COMPLETE",BB10)),ISNUMBER(FIND("PCT",BB10)),ISNUMBER(FIND("PERCENT",BB10))),NOT(ISNUMBER(FIND("ACTUAL",BB10))),LEN(BB10)&lt;=16))+32768*(OR(ISNUMBER(FIND("DESIC",BB10)),ISNUMBER(FIND("DESSIC",BB10)))))</f>
        <v/>
      </c>
      <c r="BC145">
        <f>IF(BC10="",0,2*(OR(ISNUMBER(FIND("WORKCENTER",BC10)),AND(LEFT(BC10,4)="LINE",NOT(ISNUMBER(FIND("STATUS",BC10))))))+4*(OR(ISNUMBER(FIND("WORKORDER",BC10)),AND(LEFT(BC10,2)="WO",OR(ISNUMBER(FIND("NUM",BC10)),RIGHT(BC10,2)="NO"))))+8*(LEFT(BC10,3)="SEQ")+16*(AND(LEFT(BC10,4)="ITEM",NOT(ISNUMBER(FIND("DESC",BC10)))))+32*(AND(ISNUMBER(FIND("DESC",BC10)),NOT(ISNUMBER(FIND("CAP",BC10)))))+64*(OR(RIGHT(BC10,5)="COUNT",RIGHT(BC10,2)="CT"))+128*(ISNUMBER(FIND("BULK",BC10)))+256*(ISNUMBER(FIND("SIZE",BC10)))+512*(LEFT(BC10,3)="CAP")+1024*(ISNUMBER(FIND("ALLERG",BC10)))+2048*(OR(ISNUMBER(FIND("REMARK",BC10)),ISNUMBER(FIND("COMMENT",BC10))))+4096*(OR(ISNUMBER(FIND("QTY",BC10)),ISNUMBER(FIND("QUANTITY",BC10))))+8192*(AND(OR(ISNUMBER(FIND("COMPLETE",BC10)),ISNUMBER(FIND("PCT",BC10)),ISNUMBER(FIND("PERCENT",BC10))),NOT(ISNUMBER(FIND("ACTUAL",BC10))),LEN(BC10)&lt;=16))+32768*(OR(ISNUMBER(FIND("DESIC",BC10)),ISNUMBER(FIND("DESSIC",BC10)))))</f>
        <v/>
      </c>
      <c r="BD145">
        <f>IF(BD10="",0,2*(OR(ISNUMBER(FIND("WORKCENTER",BD10)),AND(LEFT(BD10,4)="LINE",NOT(ISNUMBER(FIND("STATUS",BD10))))))+4*(OR(ISNUMBER(FIND("WORKORDER",BD10)),AND(LEFT(BD10,2)="WO",OR(ISNUMBER(FIND("NUM",BD10)),RIGHT(BD10,2)="NO"))))+8*(LEFT(BD10,3)="SEQ")+16*(AND(LEFT(BD10,4)="ITEM",NOT(ISNUMBER(FIND("DESC",BD10)))))+32*(AND(ISNUMBER(FIND("DESC",BD10)),NOT(ISNUMBER(FIND("CAP",BD10)))))+64*(OR(RIGHT(BD10,5)="COUNT",RIGHT(BD10,2)="CT"))+128*(ISNUMBER(FIND("BULK",BD10)))+256*(ISNUMBER(FIND("SIZE",BD10)))+512*(LEFT(BD10,3)="CAP")+1024*(ISNUMBER(FIND("ALLERG",BD10)))+2048*(OR(ISNUMBER(FIND("REMARK",BD10)),ISNUMBER(FIND("COMMENT",BD10))))+4096*(OR(ISNUMBER(FIND("QTY",BD10)),ISNUMBER(FIND("QUANTITY",BD10))))+8192*(AND(OR(ISNUMBER(FIND("COMPLETE",BD10)),ISNUMBER(FIND("PCT",BD10)),ISNUMBER(FIND("PERCENT",BD10))),NOT(ISNUMBER(FIND("ACTUAL",BD10))),LEN(BD10)&lt;=16))+32768*(OR(ISNUMBER(FIND("DESIC",BD10)),ISNUMBER(FIND("DESSIC",BD10)))))</f>
        <v/>
      </c>
      <c r="BE145">
        <f>IF(BE10="",0,2*(OR(ISNUMBER(FIND("WORKCENTER",BE10)),AND(LEFT(BE10,4)="LINE",NOT(ISNUMBER(FIND("STATUS",BE10))))))+4*(OR(ISNUMBER(FIND("WORKORDER",BE10)),AND(LEFT(BE10,2)="WO",OR(ISNUMBER(FIND("NUM",BE10)),RIGHT(BE10,2)="NO"))))+8*(LEFT(BE10,3)="SEQ")+16*(AND(LEFT(BE10,4)="ITEM",NOT(ISNUMBER(FIND("DESC",BE10)))))+32*(AND(ISNUMBER(FIND("DESC",BE10)),NOT(ISNUMBER(FIND("CAP",BE10)))))+64*(OR(RIGHT(BE10,5)="COUNT",RIGHT(BE10,2)="CT"))+128*(ISNUMBER(FIND("BULK",BE10)))+256*(ISNUMBER(FIND("SIZE",BE10)))+512*(LEFT(BE10,3)="CAP")+1024*(ISNUMBER(FIND("ALLERG",BE10)))+2048*(OR(ISNUMBER(FIND("REMARK",BE10)),ISNUMBER(FIND("COMMENT",BE10))))+4096*(OR(ISNUMBER(FIND("QTY",BE10)),ISNUMBER(FIND("QUANTITY",BE10))))+8192*(AND(OR(ISNUMBER(FIND("COMPLETE",BE10)),ISNUMBER(FIND("PCT",BE10)),ISNUMBER(FIND("PERCENT",BE10))),NOT(ISNUMBER(FIND("ACTUAL",BE10))),LEN(BE10)&lt;=16))+32768*(OR(ISNUMBER(FIND("DESIC",BE10)),ISNUMBER(FIND("DESSIC",BE10)))))</f>
        <v/>
      </c>
      <c r="BF145">
        <f>IF(BF10="",0,2*(OR(ISNUMBER(FIND("WORKCENTER",BF10)),AND(LEFT(BF10,4)="LINE",NOT(ISNUMBER(FIND("STATUS",BF10))))))+4*(OR(ISNUMBER(FIND("WORKORDER",BF10)),AND(LEFT(BF10,2)="WO",OR(ISNUMBER(FIND("NUM",BF10)),RIGHT(BF10,2)="NO"))))+8*(LEFT(BF10,3)="SEQ")+16*(AND(LEFT(BF10,4)="ITEM",NOT(ISNUMBER(FIND("DESC",BF10)))))+32*(AND(ISNUMBER(FIND("DESC",BF10)),NOT(ISNUMBER(FIND("CAP",BF10)))))+64*(OR(RIGHT(BF10,5)="COUNT",RIGHT(BF10,2)="CT"))+128*(ISNUMBER(FIND("BULK",BF10)))+256*(ISNUMBER(FIND("SIZE",BF10)))+512*(LEFT(BF10,3)="CAP")+1024*(ISNUMBER(FIND("ALLERG",BF10)))+2048*(OR(ISNUMBER(FIND("REMARK",BF10)),ISNUMBER(FIND("COMMENT",BF10))))+4096*(OR(ISNUMBER(FIND("QTY",BF10)),ISNUMBER(FIND("QUANTITY",BF10))))+8192*(AND(OR(ISNUMBER(FIND("COMPLETE",BF10)),ISNUMBER(FIND("PCT",BF10)),ISNUMBER(FIND("PERCENT",BF10))),NOT(ISNUMBER(FIND("ACTUAL",BF10))),LEN(BF10)&lt;=16))+32768*(OR(ISNUMBER(FIND("DESIC",BF10)),ISNUMBER(FIND("DESSIC",BF10)))))</f>
        <v/>
      </c>
      <c r="BG145">
        <f>IF(BG10="",0,2*(OR(ISNUMBER(FIND("WORKCENTER",BG10)),AND(LEFT(BG10,4)="LINE",NOT(ISNUMBER(FIND("STATUS",BG10))))))+4*(OR(ISNUMBER(FIND("WORKORDER",BG10)),AND(LEFT(BG10,2)="WO",OR(ISNUMBER(FIND("NUM",BG10)),RIGHT(BG10,2)="NO"))))+8*(LEFT(BG10,3)="SEQ")+16*(AND(LEFT(BG10,4)="ITEM",NOT(ISNUMBER(FIND("DESC",BG10)))))+32*(AND(ISNUMBER(FIND("DESC",BG10)),NOT(ISNUMBER(FIND("CAP",BG10)))))+64*(OR(RIGHT(BG10,5)="COUNT",RIGHT(BG10,2)="CT"))+128*(ISNUMBER(FIND("BULK",BG10)))+256*(ISNUMBER(FIND("SIZE",BG10)))+512*(LEFT(BG10,3)="CAP")+1024*(ISNUMBER(FIND("ALLERG",BG10)))+2048*(OR(ISNUMBER(FIND("REMARK",BG10)),ISNUMBER(FIND("COMMENT",BG10))))+4096*(OR(ISNUMBER(FIND("QTY",BG10)),ISNUMBER(FIND("QUANTITY",BG10))))+8192*(AND(OR(ISNUMBER(FIND("COMPLETE",BG10)),ISNUMBER(FIND("PCT",BG10)),ISNUMBER(FIND("PERCENT",BG10))),NOT(ISNUMBER(FIND("ACTUAL",BG10))),LEN(BG10)&lt;=16))+32768*(OR(ISNUMBER(FIND("DESIC",BG10)),ISNUMBER(FIND("DESSIC",BG10)))))</f>
        <v/>
      </c>
      <c r="BH145">
        <f>IF(BH10="",0,2*(OR(ISNUMBER(FIND("WORKCENTER",BH10)),AND(LEFT(BH10,4)="LINE",NOT(ISNUMBER(FIND("STATUS",BH10))))))+4*(OR(ISNUMBER(FIND("WORKORDER",BH10)),AND(LEFT(BH10,2)="WO",OR(ISNUMBER(FIND("NUM",BH10)),RIGHT(BH10,2)="NO"))))+8*(LEFT(BH10,3)="SEQ")+16*(AND(LEFT(BH10,4)="ITEM",NOT(ISNUMBER(FIND("DESC",BH10)))))+32*(AND(ISNUMBER(FIND("DESC",BH10)),NOT(ISNUMBER(FIND("CAP",BH10)))))+64*(OR(RIGHT(BH10,5)="COUNT",RIGHT(BH10,2)="CT"))+128*(ISNUMBER(FIND("BULK",BH10)))+256*(ISNUMBER(FIND("SIZE",BH10)))+512*(LEFT(BH10,3)="CAP")+1024*(ISNUMBER(FIND("ALLERG",BH10)))+2048*(OR(ISNUMBER(FIND("REMARK",BH10)),ISNUMBER(FIND("COMMENT",BH10))))+4096*(OR(ISNUMBER(FIND("QTY",BH10)),ISNUMBER(FIND("QUANTITY",BH10))))+8192*(AND(OR(ISNUMBER(FIND("COMPLETE",BH10)),ISNUMBER(FIND("PCT",BH10)),ISNUMBER(FIND("PERCENT",BH10))),NOT(ISNUMBER(FIND("ACTUAL",BH10))),LEN(BH10)&lt;=16))+32768*(OR(ISNUMBER(FIND("DESIC",BH10)),ISNUMBER(FIND("DESSIC",BH10)))))</f>
        <v/>
      </c>
      <c r="BI145">
        <f>IF(BI10="",0,2*(OR(ISNUMBER(FIND("WORKCENTER",BI10)),AND(LEFT(BI10,4)="LINE",NOT(ISNUMBER(FIND("STATUS",BI10))))))+4*(OR(ISNUMBER(FIND("WORKORDER",BI10)),AND(LEFT(BI10,2)="WO",OR(ISNUMBER(FIND("NUM",BI10)),RIGHT(BI10,2)="NO"))))+8*(LEFT(BI10,3)="SEQ")+16*(AND(LEFT(BI10,4)="ITEM",NOT(ISNUMBER(FIND("DESC",BI10)))))+32*(AND(ISNUMBER(FIND("DESC",BI10)),NOT(ISNUMBER(FIND("CAP",BI10)))))+64*(OR(RIGHT(BI10,5)="COUNT",RIGHT(BI10,2)="CT"))+128*(ISNUMBER(FIND("BULK",BI10)))+256*(ISNUMBER(FIND("SIZE",BI10)))+512*(LEFT(BI10,3)="CAP")+1024*(ISNUMBER(FIND("ALLERG",BI10)))+2048*(OR(ISNUMBER(FIND("REMARK",BI10)),ISNUMBER(FIND("COMMENT",BI10))))+4096*(OR(ISNUMBER(FIND("QTY",BI10)),ISNUMBER(FIND("QUANTITY",BI10))))+8192*(AND(OR(ISNUMBER(FIND("COMPLETE",BI10)),ISNUMBER(FIND("PCT",BI10)),ISNUMBER(FIND("PERCENT",BI10))),NOT(ISNUMBER(FIND("ACTUAL",BI10))),LEN(BI10)&lt;=16))+32768*(OR(ISNUMBER(FIND("DESIC",BI10)),ISNUMBER(FIND("DESSIC",BI10)))))</f>
        <v/>
      </c>
      <c r="BJ145">
        <f>IF(BJ10="",0,2*(OR(ISNUMBER(FIND("WORKCENTER",BJ10)),AND(LEFT(BJ10,4)="LINE",NOT(ISNUMBER(FIND("STATUS",BJ10))))))+4*(OR(ISNUMBER(FIND("WORKORDER",BJ10)),AND(LEFT(BJ10,2)="WO",OR(ISNUMBER(FIND("NUM",BJ10)),RIGHT(BJ10,2)="NO"))))+8*(LEFT(BJ10,3)="SEQ")+16*(AND(LEFT(BJ10,4)="ITEM",NOT(ISNUMBER(FIND("DESC",BJ10)))))+32*(AND(ISNUMBER(FIND("DESC",BJ10)),NOT(ISNUMBER(FIND("CAP",BJ10)))))+64*(OR(RIGHT(BJ10,5)="COUNT",RIGHT(BJ10,2)="CT"))+128*(ISNUMBER(FIND("BULK",BJ10)))+256*(ISNUMBER(FIND("SIZE",BJ10)))+512*(LEFT(BJ10,3)="CAP")+1024*(ISNUMBER(FIND("ALLERG",BJ10)))+2048*(OR(ISNUMBER(FIND("REMARK",BJ10)),ISNUMBER(FIND("COMMENT",BJ10))))+4096*(OR(ISNUMBER(FIND("QTY",BJ10)),ISNUMBER(FIND("QUANTITY",BJ10))))+8192*(AND(OR(ISNUMBER(FIND("COMPLETE",BJ10)),ISNUMBER(FIND("PCT",BJ10)),ISNUMBER(FIND("PERCENT",BJ10))),NOT(ISNUMBER(FIND("ACTUAL",BJ10))),LEN(BJ10)&lt;=16))+32768*(OR(ISNUMBER(FIND("DESIC",BJ10)),ISNUMBER(FIND("DESSIC",BJ10)))))</f>
        <v/>
      </c>
      <c r="BK145">
        <f>IF(BK10="",0,2*(OR(ISNUMBER(FIND("WORKCENTER",BK10)),AND(LEFT(BK10,4)="LINE",NOT(ISNUMBER(FIND("STATUS",BK10))))))+4*(OR(ISNUMBER(FIND("WORKORDER",BK10)),AND(LEFT(BK10,2)="WO",OR(ISNUMBER(FIND("NUM",BK10)),RIGHT(BK10,2)="NO"))))+8*(LEFT(BK10,3)="SEQ")+16*(AND(LEFT(BK10,4)="ITEM",NOT(ISNUMBER(FIND("DESC",BK10)))))+32*(AND(ISNUMBER(FIND("DESC",BK10)),NOT(ISNUMBER(FIND("CAP",BK10)))))+64*(OR(RIGHT(BK10,5)="COUNT",RIGHT(BK10,2)="CT"))+128*(ISNUMBER(FIND("BULK",BK10)))+256*(ISNUMBER(FIND("SIZE",BK10)))+512*(LEFT(BK10,3)="CAP")+1024*(ISNUMBER(FIND("ALLERG",BK10)))+2048*(OR(ISNUMBER(FIND("REMARK",BK10)),ISNUMBER(FIND("COMMENT",BK10))))+4096*(OR(ISNUMBER(FIND("QTY",BK10)),ISNUMBER(FIND("QUANTITY",BK10))))+8192*(AND(OR(ISNUMBER(FIND("COMPLETE",BK10)),ISNUMBER(FIND("PCT",BK10)),ISNUMBER(FIND("PERCENT",BK10))),NOT(ISNUMBER(FIND("ACTUAL",BK10))),LEN(BK10)&lt;=16))+32768*(OR(ISNUMBER(FIND("DESIC",BK10)),ISNUMBER(FIND("DESSIC",BK10)))))</f>
        <v/>
      </c>
      <c r="BL145">
        <f>IF(BL10="",0,2*(OR(ISNUMBER(FIND("WORKCENTER",BL10)),AND(LEFT(BL10,4)="LINE",NOT(ISNUMBER(FIND("STATUS",BL10))))))+4*(OR(ISNUMBER(FIND("WORKORDER",BL10)),AND(LEFT(BL10,2)="WO",OR(ISNUMBER(FIND("NUM",BL10)),RIGHT(BL10,2)="NO"))))+8*(LEFT(BL10,3)="SEQ")+16*(AND(LEFT(BL10,4)="ITEM",NOT(ISNUMBER(FIND("DESC",BL10)))))+32*(AND(ISNUMBER(FIND("DESC",BL10)),NOT(ISNUMBER(FIND("CAP",BL10)))))+64*(OR(RIGHT(BL10,5)="COUNT",RIGHT(BL10,2)="CT"))+128*(ISNUMBER(FIND("BULK",BL10)))+256*(ISNUMBER(FIND("SIZE",BL10)))+512*(LEFT(BL10,3)="CAP")+1024*(ISNUMBER(FIND("ALLERG",BL10)))+2048*(OR(ISNUMBER(FIND("REMARK",BL10)),ISNUMBER(FIND("COMMENT",BL10))))+4096*(OR(ISNUMBER(FIND("QTY",BL10)),ISNUMBER(FIND("QUANTITY",BL10))))+8192*(AND(OR(ISNUMBER(FIND("COMPLETE",BL10)),ISNUMBER(FIND("PCT",BL10)),ISNUMBER(FIND("PERCENT",BL10))),NOT(ISNUMBER(FIND("ACTUAL",BL10))),LEN(BL10)&lt;=16))+32768*(OR(ISNUMBER(FIND("DESIC",BL10)),ISNUMBER(FIND("DESSIC",BL10)))))</f>
        <v/>
      </c>
      <c r="BM145">
        <f>IF(BM10="",0,2*(OR(ISNUMBER(FIND("WORKCENTER",BM10)),AND(LEFT(BM10,4)="LINE",NOT(ISNUMBER(FIND("STATUS",BM10))))))+4*(OR(ISNUMBER(FIND("WORKORDER",BM10)),AND(LEFT(BM10,2)="WO",OR(ISNUMBER(FIND("NUM",BM10)),RIGHT(BM10,2)="NO"))))+8*(LEFT(BM10,3)="SEQ")+16*(AND(LEFT(BM10,4)="ITEM",NOT(ISNUMBER(FIND("DESC",BM10)))))+32*(AND(ISNUMBER(FIND("DESC",BM10)),NOT(ISNUMBER(FIND("CAP",BM10)))))+64*(OR(RIGHT(BM10,5)="COUNT",RIGHT(BM10,2)="CT"))+128*(ISNUMBER(FIND("BULK",BM10)))+256*(ISNUMBER(FIND("SIZE",BM10)))+512*(LEFT(BM10,3)="CAP")+1024*(ISNUMBER(FIND("ALLERG",BM10)))+2048*(OR(ISNUMBER(FIND("REMARK",BM10)),ISNUMBER(FIND("COMMENT",BM10))))+4096*(OR(ISNUMBER(FIND("QTY",BM10)),ISNUMBER(FIND("QUANTITY",BM10))))+8192*(AND(OR(ISNUMBER(FIND("COMPLETE",BM10)),ISNUMBER(FIND("PCT",BM10)),ISNUMBER(FIND("PERCENT",BM10))),NOT(ISNUMBER(FIND("ACTUAL",BM10))),LEN(BM10)&lt;=16))+32768*(OR(ISNUMBER(FIND("DESIC",BM10)),ISNUMBER(FIND("DESSIC",BM10)))))</f>
        <v/>
      </c>
      <c r="BN145">
        <f>IF(BN10="",0,2*(OR(ISNUMBER(FIND("WORKCENTER",BN10)),AND(LEFT(BN10,4)="LINE",NOT(ISNUMBER(FIND("STATUS",BN10))))))+4*(OR(ISNUMBER(FIND("WORKORDER",BN10)),AND(LEFT(BN10,2)="WO",OR(ISNUMBER(FIND("NUM",BN10)),RIGHT(BN10,2)="NO"))))+8*(LEFT(BN10,3)="SEQ")+16*(AND(LEFT(BN10,4)="ITEM",NOT(ISNUMBER(FIND("DESC",BN10)))))+32*(AND(ISNUMBER(FIND("DESC",BN10)),NOT(ISNUMBER(FIND("CAP",BN10)))))+64*(OR(RIGHT(BN10,5)="COUNT",RIGHT(BN10,2)="CT"))+128*(ISNUMBER(FIND("BULK",BN10)))+256*(ISNUMBER(FIND("SIZE",BN10)))+512*(LEFT(BN10,3)="CAP")+1024*(ISNUMBER(FIND("ALLERG",BN10)))+2048*(OR(ISNUMBER(FIND("REMARK",BN10)),ISNUMBER(FIND("COMMENT",BN10))))+4096*(OR(ISNUMBER(FIND("QTY",BN10)),ISNUMBER(FIND("QUANTITY",BN10))))+8192*(AND(OR(ISNUMBER(FIND("COMPLETE",BN10)),ISNUMBER(FIND("PCT",BN10)),ISNUMBER(FIND("PERCENT",BN10))),NOT(ISNUMBER(FIND("ACTUAL",BN10))),LEN(BN10)&lt;=16))+32768*(OR(ISNUMBER(FIND("DESIC",BN10)),ISNUMBER(FIND("DESSIC",BN10)))))</f>
        <v/>
      </c>
      <c r="BO145">
        <f>IF(BO10="",0,2*(OR(ISNUMBER(FIND("WORKCENTER",BO10)),AND(LEFT(BO10,4)="LINE",NOT(ISNUMBER(FIND("STATUS",BO10))))))+4*(OR(ISNUMBER(FIND("WORKORDER",BO10)),AND(LEFT(BO10,2)="WO",OR(ISNUMBER(FIND("NUM",BO10)),RIGHT(BO10,2)="NO"))))+8*(LEFT(BO10,3)="SEQ")+16*(AND(LEFT(BO10,4)="ITEM",NOT(ISNUMBER(FIND("DESC",BO10)))))+32*(AND(ISNUMBER(FIND("DESC",BO10)),NOT(ISNUMBER(FIND("CAP",BO10)))))+64*(OR(RIGHT(BO10,5)="COUNT",RIGHT(BO10,2)="CT"))+128*(ISNUMBER(FIND("BULK",BO10)))+256*(ISNUMBER(FIND("SIZE",BO10)))+512*(LEFT(BO10,3)="CAP")+1024*(ISNUMBER(FIND("ALLERG",BO10)))+2048*(OR(ISNUMBER(FIND("REMARK",BO10)),ISNUMBER(FIND("COMMENT",BO10))))+4096*(OR(ISNUMBER(FIND("QTY",BO10)),ISNUMBER(FIND("QUANTITY",BO10))))+8192*(AND(OR(ISNUMBER(FIND("COMPLETE",BO10)),ISNUMBER(FIND("PCT",BO10)),ISNUMBER(FIND("PERCENT",BO10))),NOT(ISNUMBER(FIND("ACTUAL",BO10))),LEN(BO10)&lt;=16))+32768*(OR(ISNUMBER(FIND("DESIC",BO10)),ISNUMBER(FIND("DESSIC",BO10)))))</f>
        <v/>
      </c>
      <c r="BP145">
        <f>IF(BP10="",0,2*(OR(ISNUMBER(FIND("WORKCENTER",BP10)),AND(LEFT(BP10,4)="LINE",NOT(ISNUMBER(FIND("STATUS",BP10))))))+4*(OR(ISNUMBER(FIND("WORKORDER",BP10)),AND(LEFT(BP10,2)="WO",OR(ISNUMBER(FIND("NUM",BP10)),RIGHT(BP10,2)="NO"))))+8*(LEFT(BP10,3)="SEQ")+16*(AND(LEFT(BP10,4)="ITEM",NOT(ISNUMBER(FIND("DESC",BP10)))))+32*(AND(ISNUMBER(FIND("DESC",BP10)),NOT(ISNUMBER(FIND("CAP",BP10)))))+64*(OR(RIGHT(BP10,5)="COUNT",RIGHT(BP10,2)="CT"))+128*(ISNUMBER(FIND("BULK",BP10)))+256*(ISNUMBER(FIND("SIZE",BP10)))+512*(LEFT(BP10,3)="CAP")+1024*(ISNUMBER(FIND("ALLERG",BP10)))+2048*(OR(ISNUMBER(FIND("REMARK",BP10)),ISNUMBER(FIND("COMMENT",BP10))))+4096*(OR(ISNUMBER(FIND("QTY",BP10)),ISNUMBER(FIND("QUANTITY",BP10))))+8192*(AND(OR(ISNUMBER(FIND("COMPLETE",BP10)),ISNUMBER(FIND("PCT",BP10)),ISNUMBER(FIND("PERCENT",BP10))),NOT(ISNUMBER(FIND("ACTUAL",BP10))),LEN(BP10)&lt;=16))+32768*(OR(ISNUMBER(FIND("DESIC",BP10)),ISNUMBER(FIND("DESSIC",BP10)))))</f>
        <v/>
      </c>
      <c r="BQ145">
        <f>IF(BQ10="",0,2*(OR(ISNUMBER(FIND("WORKCENTER",BQ10)),AND(LEFT(BQ10,4)="LINE",NOT(ISNUMBER(FIND("STATUS",BQ10))))))+4*(OR(ISNUMBER(FIND("WORKORDER",BQ10)),AND(LEFT(BQ10,2)="WO",OR(ISNUMBER(FIND("NUM",BQ10)),RIGHT(BQ10,2)="NO"))))+8*(LEFT(BQ10,3)="SEQ")+16*(AND(LEFT(BQ10,4)="ITEM",NOT(ISNUMBER(FIND("DESC",BQ10)))))+32*(AND(ISNUMBER(FIND("DESC",BQ10)),NOT(ISNUMBER(FIND("CAP",BQ10)))))+64*(OR(RIGHT(BQ10,5)="COUNT",RIGHT(BQ10,2)="CT"))+128*(ISNUMBER(FIND("BULK",BQ10)))+256*(ISNUMBER(FIND("SIZE",BQ10)))+512*(LEFT(BQ10,3)="CAP")+1024*(ISNUMBER(FIND("ALLERG",BQ10)))+2048*(OR(ISNUMBER(FIND("REMARK",BQ10)),ISNUMBER(FIND("COMMENT",BQ10))))+4096*(OR(ISNUMBER(FIND("QTY",BQ10)),ISNUMBER(FIND("QUANTITY",BQ10))))+8192*(AND(OR(ISNUMBER(FIND("COMPLETE",BQ10)),ISNUMBER(FIND("PCT",BQ10)),ISNUMBER(FIND("PERCENT",BQ10))),NOT(ISNUMBER(FIND("ACTUAL",BQ10))),LEN(BQ10)&lt;=16))+32768*(OR(ISNUMBER(FIND("DESIC",BQ10)),ISNUMBER(FIND("DESSIC",BQ10)))))</f>
        <v/>
      </c>
      <c r="BR145">
        <f>IF(BR10="",0,2*(OR(ISNUMBER(FIND("WORKCENTER",BR10)),AND(LEFT(BR10,4)="LINE",NOT(ISNUMBER(FIND("STATUS",BR10))))))+4*(OR(ISNUMBER(FIND("WORKORDER",BR10)),AND(LEFT(BR10,2)="WO",OR(ISNUMBER(FIND("NUM",BR10)),RIGHT(BR10,2)="NO"))))+8*(LEFT(BR10,3)="SEQ")+16*(AND(LEFT(BR10,4)="ITEM",NOT(ISNUMBER(FIND("DESC",BR10)))))+32*(AND(ISNUMBER(FIND("DESC",BR10)),NOT(ISNUMBER(FIND("CAP",BR10)))))+64*(OR(RIGHT(BR10,5)="COUNT",RIGHT(BR10,2)="CT"))+128*(ISNUMBER(FIND("BULK",BR10)))+256*(ISNUMBER(FIND("SIZE",BR10)))+512*(LEFT(BR10,3)="CAP")+1024*(ISNUMBER(FIND("ALLERG",BR10)))+2048*(OR(ISNUMBER(FIND("REMARK",BR10)),ISNUMBER(FIND("COMMENT",BR10))))+4096*(OR(ISNUMBER(FIND("QTY",BR10)),ISNUMBER(FIND("QUANTITY",BR10))))+8192*(AND(OR(ISNUMBER(FIND("COMPLETE",BR10)),ISNUMBER(FIND("PCT",BR10)),ISNUMBER(FIND("PERCENT",BR10))),NOT(ISNUMBER(FIND("ACTUAL",BR10))),LEN(BR10)&lt;=16))+32768*(OR(ISNUMBER(FIND("DESIC",BR10)),ISNUMBER(FIND("DESSIC",BR10)))))</f>
        <v/>
      </c>
      <c r="BS145">
        <f>IF(BS10="",0,2*(OR(ISNUMBER(FIND("WORKCENTER",BS10)),AND(LEFT(BS10,4)="LINE",NOT(ISNUMBER(FIND("STATUS",BS10))))))+4*(OR(ISNUMBER(FIND("WORKORDER",BS10)),AND(LEFT(BS10,2)="WO",OR(ISNUMBER(FIND("NUM",BS10)),RIGHT(BS10,2)="NO"))))+8*(LEFT(BS10,3)="SEQ")+16*(AND(LEFT(BS10,4)="ITEM",NOT(ISNUMBER(FIND("DESC",BS10)))))+32*(AND(ISNUMBER(FIND("DESC",BS10)),NOT(ISNUMBER(FIND("CAP",BS10)))))+64*(OR(RIGHT(BS10,5)="COUNT",RIGHT(BS10,2)="CT"))+128*(ISNUMBER(FIND("BULK",BS10)))+256*(ISNUMBER(FIND("SIZE",BS10)))+512*(LEFT(BS10,3)="CAP")+1024*(ISNUMBER(FIND("ALLERG",BS10)))+2048*(OR(ISNUMBER(FIND("REMARK",BS10)),ISNUMBER(FIND("COMMENT",BS10))))+4096*(OR(ISNUMBER(FIND("QTY",BS10)),ISNUMBER(FIND("QUANTITY",BS10))))+8192*(AND(OR(ISNUMBER(FIND("COMPLETE",BS10)),ISNUMBER(FIND("PCT",BS10)),ISNUMBER(FIND("PERCENT",BS10))),NOT(ISNUMBER(FIND("ACTUAL",BS10))),LEN(BS10)&lt;=16))+32768*(OR(ISNUMBER(FIND("DESIC",BS10)),ISNUMBER(FIND("DESSIC",BS10)))))</f>
        <v/>
      </c>
      <c r="BT145">
        <f>IF(BT10="",0,2*(OR(ISNUMBER(FIND("WORKCENTER",BT10)),AND(LEFT(BT10,4)="LINE",NOT(ISNUMBER(FIND("STATUS",BT10))))))+4*(OR(ISNUMBER(FIND("WORKORDER",BT10)),AND(LEFT(BT10,2)="WO",OR(ISNUMBER(FIND("NUM",BT10)),RIGHT(BT10,2)="NO"))))+8*(LEFT(BT10,3)="SEQ")+16*(AND(LEFT(BT10,4)="ITEM",NOT(ISNUMBER(FIND("DESC",BT10)))))+32*(AND(ISNUMBER(FIND("DESC",BT10)),NOT(ISNUMBER(FIND("CAP",BT10)))))+64*(OR(RIGHT(BT10,5)="COUNT",RIGHT(BT10,2)="CT"))+128*(ISNUMBER(FIND("BULK",BT10)))+256*(ISNUMBER(FIND("SIZE",BT10)))+512*(LEFT(BT10,3)="CAP")+1024*(ISNUMBER(FIND("ALLERG",BT10)))+2048*(OR(ISNUMBER(FIND("REMARK",BT10)),ISNUMBER(FIND("COMMENT",BT10))))+4096*(OR(ISNUMBER(FIND("QTY",BT10)),ISNUMBER(FIND("QUANTITY",BT10))))+8192*(AND(OR(ISNUMBER(FIND("COMPLETE",BT10)),ISNUMBER(FIND("PCT",BT10)),ISNUMBER(FIND("PERCENT",BT10))),NOT(ISNUMBER(FIND("ACTUAL",BT10))),LEN(BT10)&lt;=16))+32768*(OR(ISNUMBER(FIND("DESIC",BT10)),ISNUMBER(FIND("DESSIC",BT10)))))</f>
        <v/>
      </c>
      <c r="BU145">
        <f>IF(BU10="",0,2*(OR(ISNUMBER(FIND("WORKCENTER",BU10)),AND(LEFT(BU10,4)="LINE",NOT(ISNUMBER(FIND("STATUS",BU10))))))+4*(OR(ISNUMBER(FIND("WORKORDER",BU10)),AND(LEFT(BU10,2)="WO",OR(ISNUMBER(FIND("NUM",BU10)),RIGHT(BU10,2)="NO"))))+8*(LEFT(BU10,3)="SEQ")+16*(AND(LEFT(BU10,4)="ITEM",NOT(ISNUMBER(FIND("DESC",BU10)))))+32*(AND(ISNUMBER(FIND("DESC",BU10)),NOT(ISNUMBER(FIND("CAP",BU10)))))+64*(OR(RIGHT(BU10,5)="COUNT",RIGHT(BU10,2)="CT"))+128*(ISNUMBER(FIND("BULK",BU10)))+256*(ISNUMBER(FIND("SIZE",BU10)))+512*(LEFT(BU10,3)="CAP")+1024*(ISNUMBER(FIND("ALLERG",BU10)))+2048*(OR(ISNUMBER(FIND("REMARK",BU10)),ISNUMBER(FIND("COMMENT",BU10))))+4096*(OR(ISNUMBER(FIND("QTY",BU10)),ISNUMBER(FIND("QUANTITY",BU10))))+8192*(AND(OR(ISNUMBER(FIND("COMPLETE",BU10)),ISNUMBER(FIND("PCT",BU10)),ISNUMBER(FIND("PERCENT",BU10))),NOT(ISNUMBER(FIND("ACTUAL",BU10))),LEN(BU10)&lt;=16))+32768*(OR(ISNUMBER(FIND("DESIC",BU10)),ISNUMBER(FIND("DESSIC",BU10)))))</f>
        <v/>
      </c>
      <c r="BV145">
        <f>IF(BV10="",0,2*(OR(ISNUMBER(FIND("WORKCENTER",BV10)),AND(LEFT(BV10,4)="LINE",NOT(ISNUMBER(FIND("STATUS",BV10))))))+4*(OR(ISNUMBER(FIND("WORKORDER",BV10)),AND(LEFT(BV10,2)="WO",OR(ISNUMBER(FIND("NUM",BV10)),RIGHT(BV10,2)="NO"))))+8*(LEFT(BV10,3)="SEQ")+16*(AND(LEFT(BV10,4)="ITEM",NOT(ISNUMBER(FIND("DESC",BV10)))))+32*(AND(ISNUMBER(FIND("DESC",BV10)),NOT(ISNUMBER(FIND("CAP",BV10)))))+64*(OR(RIGHT(BV10,5)="COUNT",RIGHT(BV10,2)="CT"))+128*(ISNUMBER(FIND("BULK",BV10)))+256*(ISNUMBER(FIND("SIZE",BV10)))+512*(LEFT(BV10,3)="CAP")+1024*(ISNUMBER(FIND("ALLERG",BV10)))+2048*(OR(ISNUMBER(FIND("REMARK",BV10)),ISNUMBER(FIND("COMMENT",BV10))))+4096*(OR(ISNUMBER(FIND("QTY",BV10)),ISNUMBER(FIND("QUANTITY",BV10))))+8192*(AND(OR(ISNUMBER(FIND("COMPLETE",BV10)),ISNUMBER(FIND("PCT",BV10)),ISNUMBER(FIND("PERCENT",BV10))),NOT(ISNUMBER(FIND("ACTUAL",BV10))),LEN(BV10)&lt;=16))+32768*(OR(ISNUMBER(FIND("DESIC",BV10)),ISNUMBER(FIND("DESSIC",BV10)))))</f>
        <v/>
      </c>
      <c r="BW145">
        <f>IF(BW10="",0,2*(OR(ISNUMBER(FIND("WORKCENTER",BW10)),AND(LEFT(BW10,4)="LINE",NOT(ISNUMBER(FIND("STATUS",BW10))))))+4*(OR(ISNUMBER(FIND("WORKORDER",BW10)),AND(LEFT(BW10,2)="WO",OR(ISNUMBER(FIND("NUM",BW10)),RIGHT(BW10,2)="NO"))))+8*(LEFT(BW10,3)="SEQ")+16*(AND(LEFT(BW10,4)="ITEM",NOT(ISNUMBER(FIND("DESC",BW10)))))+32*(AND(ISNUMBER(FIND("DESC",BW10)),NOT(ISNUMBER(FIND("CAP",BW10)))))+64*(OR(RIGHT(BW10,5)="COUNT",RIGHT(BW10,2)="CT"))+128*(ISNUMBER(FIND("BULK",BW10)))+256*(ISNUMBER(FIND("SIZE",BW10)))+512*(LEFT(BW10,3)="CAP")+1024*(ISNUMBER(FIND("ALLERG",BW10)))+2048*(OR(ISNUMBER(FIND("REMARK",BW10)),ISNUMBER(FIND("COMMENT",BW10))))+4096*(OR(ISNUMBER(FIND("QTY",BW10)),ISNUMBER(FIND("QUANTITY",BW10))))+8192*(AND(OR(ISNUMBER(FIND("COMPLETE",BW10)),ISNUMBER(FIND("PCT",BW10)),ISNUMBER(FIND("PERCENT",BW10))),NOT(ISNUMBER(FIND("ACTUAL",BW10))),LEN(BW10)&lt;=16))+32768*(OR(ISNUMBER(FIND("DESIC",BW10)),ISNUMBER(FIND("DESSIC",BW10)))))</f>
        <v/>
      </c>
      <c r="BX145">
        <f>IF(BX10="",0,2*(OR(ISNUMBER(FIND("WORKCENTER",BX10)),AND(LEFT(BX10,4)="LINE",NOT(ISNUMBER(FIND("STATUS",BX10))))))+4*(OR(ISNUMBER(FIND("WORKORDER",BX10)),AND(LEFT(BX10,2)="WO",OR(ISNUMBER(FIND("NUM",BX10)),RIGHT(BX10,2)="NO"))))+8*(LEFT(BX10,3)="SEQ")+16*(AND(LEFT(BX10,4)="ITEM",NOT(ISNUMBER(FIND("DESC",BX10)))))+32*(AND(ISNUMBER(FIND("DESC",BX10)),NOT(ISNUMBER(FIND("CAP",BX10)))))+64*(OR(RIGHT(BX10,5)="COUNT",RIGHT(BX10,2)="CT"))+128*(ISNUMBER(FIND("BULK",BX10)))+256*(ISNUMBER(FIND("SIZE",BX10)))+512*(LEFT(BX10,3)="CAP")+1024*(ISNUMBER(FIND("ALLERG",BX10)))+2048*(OR(ISNUMBER(FIND("REMARK",BX10)),ISNUMBER(FIND("COMMENT",BX10))))+4096*(OR(ISNUMBER(FIND("QTY",BX10)),ISNUMBER(FIND("QUANTITY",BX10))))+8192*(AND(OR(ISNUMBER(FIND("COMPLETE",BX10)),ISNUMBER(FIND("PCT",BX10)),ISNUMBER(FIND("PERCENT",BX10))),NOT(ISNUMBER(FIND("ACTUAL",BX10))),LEN(BX10)&lt;=16))+32768*(OR(ISNUMBER(FIND("DESIC",BX10)),ISNUMBER(FIND("DESSIC",BX10)))))</f>
        <v/>
      </c>
      <c r="BY145">
        <f>IF(BY10="",0,2*(OR(ISNUMBER(FIND("WORKCENTER",BY10)),AND(LEFT(BY10,4)="LINE",NOT(ISNUMBER(FIND("STATUS",BY10))))))+4*(OR(ISNUMBER(FIND("WORKORDER",BY10)),AND(LEFT(BY10,2)="WO",OR(ISNUMBER(FIND("NUM",BY10)),RIGHT(BY10,2)="NO"))))+8*(LEFT(BY10,3)="SEQ")+16*(AND(LEFT(BY10,4)="ITEM",NOT(ISNUMBER(FIND("DESC",BY10)))))+32*(AND(ISNUMBER(FIND("DESC",BY10)),NOT(ISNUMBER(FIND("CAP",BY10)))))+64*(OR(RIGHT(BY10,5)="COUNT",RIGHT(BY10,2)="CT"))+128*(ISNUMBER(FIND("BULK",BY10)))+256*(ISNUMBER(FIND("SIZE",BY10)))+512*(LEFT(BY10,3)="CAP")+1024*(ISNUMBER(FIND("ALLERG",BY10)))+2048*(OR(ISNUMBER(FIND("REMARK",BY10)),ISNUMBER(FIND("COMMENT",BY10))))+4096*(OR(ISNUMBER(FIND("QTY",BY10)),ISNUMBER(FIND("QUANTITY",BY10))))+8192*(AND(OR(ISNUMBER(FIND("COMPLETE",BY10)),ISNUMBER(FIND("PCT",BY10)),ISNUMBER(FIND("PERCENT",BY10))),NOT(ISNUMBER(FIND("ACTUAL",BY10))),LEN(BY10)&lt;=16))+32768*(OR(ISNUMBER(FIND("DESIC",BY10)),ISNUMBER(FIND("DESSIC",BY10)))))</f>
        <v/>
      </c>
      <c r="BZ145">
        <f>IF(BZ10="",0,2*(OR(ISNUMBER(FIND("WORKCENTER",BZ10)),AND(LEFT(BZ10,4)="LINE",NOT(ISNUMBER(FIND("STATUS",BZ10))))))+4*(OR(ISNUMBER(FIND("WORKORDER",BZ10)),AND(LEFT(BZ10,2)="WO",OR(ISNUMBER(FIND("NUM",BZ10)),RIGHT(BZ10,2)="NO"))))+8*(LEFT(BZ10,3)="SEQ")+16*(AND(LEFT(BZ10,4)="ITEM",NOT(ISNUMBER(FIND("DESC",BZ10)))))+32*(AND(ISNUMBER(FIND("DESC",BZ10)),NOT(ISNUMBER(FIND("CAP",BZ10)))))+64*(OR(RIGHT(BZ10,5)="COUNT",RIGHT(BZ10,2)="CT"))+128*(ISNUMBER(FIND("BULK",BZ10)))+256*(ISNUMBER(FIND("SIZE",BZ10)))+512*(LEFT(BZ10,3)="CAP")+1024*(ISNUMBER(FIND("ALLERG",BZ10)))+2048*(OR(ISNUMBER(FIND("REMARK",BZ10)),ISNUMBER(FIND("COMMENT",BZ10))))+4096*(OR(ISNUMBER(FIND("QTY",BZ10)),ISNUMBER(FIND("QUANTITY",BZ10))))+8192*(AND(OR(ISNUMBER(FIND("COMPLETE",BZ10)),ISNUMBER(FIND("PCT",BZ10)),ISNUMBER(FIND("PERCENT",BZ10))),NOT(ISNUMBER(FIND("ACTUAL",BZ10))),LEN(BZ10)&lt;=16))+32768*(OR(ISNUMBER(FIND("DESIC",BZ10)),ISNUMBER(FIND("DESSIC",BZ10)))))</f>
        <v/>
      </c>
      <c r="CA145">
        <f>IF(CA10="",0,2*(OR(ISNUMBER(FIND("WORKCENTER",CA10)),AND(LEFT(CA10,4)="LINE",NOT(ISNUMBER(FIND("STATUS",CA10))))))+4*(OR(ISNUMBER(FIND("WORKORDER",CA10)),AND(LEFT(CA10,2)="WO",OR(ISNUMBER(FIND("NUM",CA10)),RIGHT(CA10,2)="NO"))))+8*(LEFT(CA10,3)="SEQ")+16*(AND(LEFT(CA10,4)="ITEM",NOT(ISNUMBER(FIND("DESC",CA10)))))+32*(AND(ISNUMBER(FIND("DESC",CA10)),NOT(ISNUMBER(FIND("CAP",CA10)))))+64*(OR(RIGHT(CA10,5)="COUNT",RIGHT(CA10,2)="CT"))+128*(ISNUMBER(FIND("BULK",CA10)))+256*(ISNUMBER(FIND("SIZE",CA10)))+512*(LEFT(CA10,3)="CAP")+1024*(ISNUMBER(FIND("ALLERG",CA10)))+2048*(OR(ISNUMBER(FIND("REMARK",CA10)),ISNUMBER(FIND("COMMENT",CA10))))+4096*(OR(ISNUMBER(FIND("QTY",CA10)),ISNUMBER(FIND("QUANTITY",CA10))))+8192*(AND(OR(ISNUMBER(FIND("COMPLETE",CA10)),ISNUMBER(FIND("PCT",CA10)),ISNUMBER(FIND("PERCENT",CA10))),NOT(ISNUMBER(FIND("ACTUAL",CA10))),LEN(CA10)&lt;=16))+32768*(OR(ISNUMBER(FIND("DESIC",CA10)),ISNUMBER(FIND("DESSIC",CA10)))))</f>
        <v/>
      </c>
      <c r="CB145">
        <f>IF(CB10="",0,2*(OR(ISNUMBER(FIND("WORKCENTER",CB10)),AND(LEFT(CB10,4)="LINE",NOT(ISNUMBER(FIND("STATUS",CB10))))))+4*(OR(ISNUMBER(FIND("WORKORDER",CB10)),AND(LEFT(CB10,2)="WO",OR(ISNUMBER(FIND("NUM",CB10)),RIGHT(CB10,2)="NO"))))+8*(LEFT(CB10,3)="SEQ")+16*(AND(LEFT(CB10,4)="ITEM",NOT(ISNUMBER(FIND("DESC",CB10)))))+32*(AND(ISNUMBER(FIND("DESC",CB10)),NOT(ISNUMBER(FIND("CAP",CB10)))))+64*(OR(RIGHT(CB10,5)="COUNT",RIGHT(CB10,2)="CT"))+128*(ISNUMBER(FIND("BULK",CB10)))+256*(ISNUMBER(FIND("SIZE",CB10)))+512*(LEFT(CB10,3)="CAP")+1024*(ISNUMBER(FIND("ALLERG",CB10)))+2048*(OR(ISNUMBER(FIND("REMARK",CB10)),ISNUMBER(FIND("COMMENT",CB10))))+4096*(OR(ISNUMBER(FIND("QTY",CB10)),ISNUMBER(FIND("QUANTITY",CB10))))+8192*(AND(OR(ISNUMBER(FIND("COMPLETE",CB10)),ISNUMBER(FIND("PCT",CB10)),ISNUMBER(FIND("PERCENT",CB10))),NOT(ISNUMBER(FIND("ACTUAL",CB10))),LEN(CB10)&lt;=16))+32768*(OR(ISNUMBER(FIND("DESIC",CB10)),ISNUMBER(FIND("DESSIC",CB10)))))</f>
        <v/>
      </c>
      <c r="CC145">
        <f>IF(CC10="",0,2*(OR(ISNUMBER(FIND("WORKCENTER",CC10)),AND(LEFT(CC10,4)="LINE",NOT(ISNUMBER(FIND("STATUS",CC10))))))+4*(OR(ISNUMBER(FIND("WORKORDER",CC10)),AND(LEFT(CC10,2)="WO",OR(ISNUMBER(FIND("NUM",CC10)),RIGHT(CC10,2)="NO"))))+8*(LEFT(CC10,3)="SEQ")+16*(AND(LEFT(CC10,4)="ITEM",NOT(ISNUMBER(FIND("DESC",CC10)))))+32*(AND(ISNUMBER(FIND("DESC",CC10)),NOT(ISNUMBER(FIND("CAP",CC10)))))+64*(OR(RIGHT(CC10,5)="COUNT",RIGHT(CC10,2)="CT"))+128*(ISNUMBER(FIND("BULK",CC10)))+256*(ISNUMBER(FIND("SIZE",CC10)))+512*(LEFT(CC10,3)="CAP")+1024*(ISNUMBER(FIND("ALLERG",CC10)))+2048*(OR(ISNUMBER(FIND("REMARK",CC10)),ISNUMBER(FIND("COMMENT",CC10))))+4096*(OR(ISNUMBER(FIND("QTY",CC10)),ISNUMBER(FIND("QUANTITY",CC10))))+8192*(AND(OR(ISNUMBER(FIND("COMPLETE",CC10)),ISNUMBER(FIND("PCT",CC10)),ISNUMBER(FIND("PERCENT",CC10))),NOT(ISNUMBER(FIND("ACTUAL",CC10))),LEN(CC10)&lt;=16))+32768*(OR(ISNUMBER(FIND("DESIC",CC10)),ISNUMBER(FIND("DESSIC",CC10)))))</f>
        <v/>
      </c>
      <c r="CD145">
        <f>IF(CD10="",0,2*(OR(ISNUMBER(FIND("WORKCENTER",CD10)),AND(LEFT(CD10,4)="LINE",NOT(ISNUMBER(FIND("STATUS",CD10))))))+4*(OR(ISNUMBER(FIND("WORKORDER",CD10)),AND(LEFT(CD10,2)="WO",OR(ISNUMBER(FIND("NUM",CD10)),RIGHT(CD10,2)="NO"))))+8*(LEFT(CD10,3)="SEQ")+16*(AND(LEFT(CD10,4)="ITEM",NOT(ISNUMBER(FIND("DESC",CD10)))))+32*(AND(ISNUMBER(FIND("DESC",CD10)),NOT(ISNUMBER(FIND("CAP",CD10)))))+64*(OR(RIGHT(CD10,5)="COUNT",RIGHT(CD10,2)="CT"))+128*(ISNUMBER(FIND("BULK",CD10)))+256*(ISNUMBER(FIND("SIZE",CD10)))+512*(LEFT(CD10,3)="CAP")+1024*(ISNUMBER(FIND("ALLERG",CD10)))+2048*(OR(ISNUMBER(FIND("REMARK",CD10)),ISNUMBER(FIND("COMMENT",CD10))))+4096*(OR(ISNUMBER(FIND("QTY",CD10)),ISNUMBER(FIND("QUANTITY",CD10))))+8192*(AND(OR(ISNUMBER(FIND("COMPLETE",CD10)),ISNUMBER(FIND("PCT",CD10)),ISNUMBER(FIND("PERCENT",CD10))),NOT(ISNUMBER(FIND("ACTUAL",CD10))),LEN(CD10)&lt;=16))+32768*(OR(ISNUMBER(FIND("DESIC",CD10)),ISNUMBER(FIND("DESSIC",CD10)))))</f>
        <v/>
      </c>
      <c r="CE145">
        <f>IF(CE10="",0,2*(OR(ISNUMBER(FIND("WORKCENTER",CE10)),AND(LEFT(CE10,4)="LINE",NOT(ISNUMBER(FIND("STATUS",CE10))))))+4*(OR(ISNUMBER(FIND("WORKORDER",CE10)),AND(LEFT(CE10,2)="WO",OR(ISNUMBER(FIND("NUM",CE10)),RIGHT(CE10,2)="NO"))))+8*(LEFT(CE10,3)="SEQ")+16*(AND(LEFT(CE10,4)="ITEM",NOT(ISNUMBER(FIND("DESC",CE10)))))+32*(AND(ISNUMBER(FIND("DESC",CE10)),NOT(ISNUMBER(FIND("CAP",CE10)))))+64*(OR(RIGHT(CE10,5)="COUNT",RIGHT(CE10,2)="CT"))+128*(ISNUMBER(FIND("BULK",CE10)))+256*(ISNUMBER(FIND("SIZE",CE10)))+512*(LEFT(CE10,3)="CAP")+1024*(ISNUMBER(FIND("ALLERG",CE10)))+2048*(OR(ISNUMBER(FIND("REMARK",CE10)),ISNUMBER(FIND("COMMENT",CE10))))+4096*(OR(ISNUMBER(FIND("QTY",CE10)),ISNUMBER(FIND("QUANTITY",CE10))))+8192*(AND(OR(ISNUMBER(FIND("COMPLETE",CE10)),ISNUMBER(FIND("PCT",CE10)),ISNUMBER(FIND("PERCENT",CE10))),NOT(ISNUMBER(FIND("ACTUAL",CE10))),LEN(CE10)&lt;=16))+32768*(OR(ISNUMBER(FIND("DESIC",CE10)),ISNUMBER(FIND("DESSIC",CE10)))))</f>
        <v/>
      </c>
      <c r="CF145">
        <f>IF(CF10="",0,2*(OR(ISNUMBER(FIND("WORKCENTER",CF10)),AND(LEFT(CF10,4)="LINE",NOT(ISNUMBER(FIND("STATUS",CF10))))))+4*(OR(ISNUMBER(FIND("WORKORDER",CF10)),AND(LEFT(CF10,2)="WO",OR(ISNUMBER(FIND("NUM",CF10)),RIGHT(CF10,2)="NO"))))+8*(LEFT(CF10,3)="SEQ")+16*(AND(LEFT(CF10,4)="ITEM",NOT(ISNUMBER(FIND("DESC",CF10)))))+32*(AND(ISNUMBER(FIND("DESC",CF10)),NOT(ISNUMBER(FIND("CAP",CF10)))))+64*(OR(RIGHT(CF10,5)="COUNT",RIGHT(CF10,2)="CT"))+128*(ISNUMBER(FIND("BULK",CF10)))+256*(ISNUMBER(FIND("SIZE",CF10)))+512*(LEFT(CF10,3)="CAP")+1024*(ISNUMBER(FIND("ALLERG",CF10)))+2048*(OR(ISNUMBER(FIND("REMARK",CF10)),ISNUMBER(FIND("COMMENT",CF10))))+4096*(OR(ISNUMBER(FIND("QTY",CF10)),ISNUMBER(FIND("QUANTITY",CF10))))+8192*(AND(OR(ISNUMBER(FIND("COMPLETE",CF10)),ISNUMBER(FIND("PCT",CF10)),ISNUMBER(FIND("PERCENT",CF10))),NOT(ISNUMBER(FIND("ACTUAL",CF10))),LEN(CF10)&lt;=16))+32768*(OR(ISNUMBER(FIND("DESIC",CF10)),ISNUMBER(FIND("DESSIC",CF10)))))</f>
        <v/>
      </c>
      <c r="DA145" t="n">
        <v>141</v>
      </c>
      <c r="DB145">
        <f>IF($B$37=0,"",IFERROR(TRIM(SUBSTITUTE(SUBSTITUTE(SUBSTITUTE(SUBSTITUTE(INDEX(PASTE_ALL,141,$B$37)," "," "),CHAR(9)," "),CHAR(10)," "),CHAR(13)," ")),""))</f>
        <v/>
      </c>
      <c r="DC145">
        <f>IF(AND(141&gt;HEADER_ROW,UPPER(DB145)="LEGEND"),1,0)</f>
        <v/>
      </c>
      <c r="DE145" t="n">
        <v>141</v>
      </c>
      <c r="DF145">
        <f>HEADER_ROW+$DE145</f>
        <v/>
      </c>
      <c r="DG145">
        <f>IF(AND($DF145&lt;=1000,$DF145&lt;$B$8),1,0)</f>
        <v/>
      </c>
      <c r="DH145">
        <f>IF($DG145=1,IFERROR(INDEX($DB$5:$DB$1004,$DF145),""),"")</f>
        <v/>
      </c>
      <c r="DI145">
        <f>IF(AND($DG145=1,$DH145&lt;&gt;""),IFERROR(SUBSTITUTE(SUBSTITUTE(TRIM(SUBSTITUTE(SUBSTITUTE(SUBSTITUTE(SUBSTITUTE(IFERROR(INDEX(PASTE_ALL,$DF145,1)&amp;"","")&amp;"␟"&amp;IFERROR(INDEX(PASTE_ALL,$DF145,2)&amp;"","")&amp;"␟"&amp;IFERROR(INDEX(PASTE_ALL,$DF145,3)&amp;"","")&amp;"␟"&amp;IFERROR(INDEX(PASTE_ALL,$DF145,4)&amp;"","")&amp;"␟"&amp;IFERROR(INDEX(PASTE_ALL,$DF145,5)&amp;"","")&amp;"␟"&amp;IFERROR(INDEX(PASTE_ALL,$DF145,6)&amp;"","")&amp;"␟"&amp;IFERROR(INDEX(PASTE_ALL,$DF145,7)&amp;"","")&amp;"␟"&amp;IFERROR(INDEX(PASTE_ALL,$DF145,8)&amp;"","")&amp;"␟"&amp;IFERROR(INDEX(PASTE_ALL,$DF145,9)&amp;"","")&amp;"␟"&amp;IFERROR(INDEX(PASTE_ALL,$DF145,10)&amp;"","")&amp;"␟"&amp;IFERROR(INDEX(PASTE_ALL,$DF145,11)&amp;"","")&amp;"␟"&amp;IFERROR(INDEX(PASTE_ALL,$DF145,12)&amp;"","")&amp;"␟"&amp;IFERROR(INDEX(PASTE_ALL,$DF145,13)&amp;"","")&amp;"␟"&amp;IFERROR(INDEX(PASTE_ALL,$DF145,14)&amp;"","")&amp;"␟"&amp;IFERROR(INDEX(PASTE_ALL,$DF145,15)&amp;"","")&amp;"␟"&amp;IFERROR(INDEX(PASTE_ALL,$DF145,16)&amp;"","")&amp;"␟"&amp;IFERROR(INDEX(PASTE_ALL,$DF145,17)&amp;"","")&amp;"␟"&amp;IFERROR(INDEX(PASTE_ALL,$DF145,18)&amp;"","")&amp;"␟"&amp;IFERROR(INDEX(PASTE_ALL,$DF145,19)&amp;"","")&amp;"␟"&amp;IFERROR(INDEX(PASTE_ALL,$DF145,20)&amp;"","")&amp;"␟"&amp;IFERROR(INDEX(PASTE_ALL,$DF145,21)&amp;"","")&amp;"␟"&amp;IFERROR(INDEX(PASTE_ALL,$DF145,22)&amp;"","")&amp;"␟"&amp;IFERROR(INDEX(PASTE_ALL,$DF145,23)&amp;"","")&amp;"␟"&amp;IFERROR(INDEX(PASTE_ALL,$DF145,24)&amp;"","")&amp;"␟"&amp;IFERROR(INDEX(PASTE_ALL,$DF145,25)&amp;"","")&amp;"␟"&amp;IFERROR(INDEX(PASTE_ALL,$DF145,26)&amp;"","")&amp;"␟"&amp;IFERROR(INDEX(PASTE_ALL,$DF145,27)&amp;"","")&amp;"␟"&amp;IFERROR(INDEX(PASTE_ALL,$DF145,28)&amp;"","")&amp;"␟"&amp;IFERROR(INDEX(PASTE_ALL,$DF145,29)&amp;"","")&amp;"␟"&amp;IFERROR(INDEX(PASTE_ALL,$DF145,30)&amp;"","")&amp;"␟"&amp;IFERROR(INDEX(PASTE_ALL,$DF145,31)&amp;"","")&amp;"␟"&amp;IFERROR(INDEX(PASTE_ALL,$DF145,32)&amp;"","")&amp;"␟"&amp;IFERROR(INDEX(PASTE_ALL,$DF145,33)&amp;"","")&amp;"␟"&amp;IFERROR(INDEX(PASTE_ALL,$DF145,34)&amp;"","")&amp;"␟"&amp;IFERROR(INDEX(PASTE_ALL,$DF145,35)&amp;"","")&amp;"␟"&amp;IFERROR(INDEX(PASTE_ALL,$DF145,36)&amp;"","")&amp;"␟"&amp;IFERROR(INDEX(PASTE_ALL,$DF145,37)&amp;"","")&amp;"␟"&amp;IFERROR(INDEX(PASTE_ALL,$DF145,38)&amp;"","")&amp;"␟"&amp;IFERROR(INDEX(PASTE_ALL,$DF145,39)&amp;"","")&amp;"␟"&amp;IFERROR(INDEX(PASTE_ALL,$DF145,40)&amp;"","")&amp;"␟"&amp;IFERROR(INDEX(PASTE_ALL,$DF145,41)&amp;"","")&amp;"␟"&amp;IFERROR(INDEX(PASTE_ALL,$DF145,42)&amp;"","")&amp;"␟"&amp;IFERROR(INDEX(PASTE_ALL,$DF145,43)&amp;"","")&amp;"␟"&amp;IFERROR(INDEX(PASTE_ALL,$DF145,44)&amp;"","")&amp;"␟"&amp;IFERROR(INDEX(PASTE_ALL,$DF145,45)&amp;"","")&amp;"␟"&amp;IFERROR(INDEX(PASTE_ALL,$DF145,46)&amp;"","")&amp;"␟"&amp;IFERROR(INDEX(PASTE_ALL,$DF145,47)&amp;"","")&amp;"␟"&amp;IFERROR(INDEX(PASTE_ALL,$DF145,48)&amp;"","")&amp;"␟"&amp;IFERROR(INDEX(PASTE_ALL,$DF145,49)&amp;"","")&amp;"␟"&amp;IFERROR(INDEX(PASTE_ALL,$DF145,50)&amp;"","")&amp;"␟"&amp;IFERROR(INDEX(PASTE_ALL,$DF145,51)&amp;"","")&amp;"␟"&amp;IFERROR(INDEX(PASTE_ALL,$DF145,52)&amp;"","")&amp;"␟"&amp;IFERROR(INDEX(PASTE_ALL,$DF145,53)&amp;"","")&amp;"␟"&amp;IFERROR(INDEX(PASTE_ALL,$DF145,54)&amp;"","")&amp;"␟"&amp;IFERROR(INDEX(PASTE_ALL,$DF145,55)&amp;"","")&amp;"␟"&amp;IFERROR(INDEX(PASTE_ALL,$DF145,56)&amp;"","")&amp;"␟"&amp;IFERROR(INDEX(PASTE_ALL,$DF145,57)&amp;"","")&amp;"␟"&amp;IFERROR(INDEX(PASTE_ALL,$DF145,58)&amp;"","")&amp;"␟"&amp;IFERROR(INDEX(PASTE_ALL,$DF145,59)&amp;"","")&amp;"␟"&amp;IFERROR(INDEX(PASTE_ALL,$DF145,60)&amp;"","")," "," "),CHAR(9)," "),CHAR(10)," "),CHAR(13)," "))," ␟","␟"),"␟ ","␟"),"#"&amp;$DE145),"")</f>
        <v/>
      </c>
      <c r="DJ145">
        <f>IF($DI145="",0,IF(SUMPRODUCT(--EXACT($DI$4:DI144,$DI145))&gt;0,1,0))</f>
        <v/>
      </c>
      <c r="DK145">
        <f>IF(AND($DI145&lt;&gt;"",$DJ145=0),1,0)</f>
        <v/>
      </c>
      <c r="DL145">
        <f>DL144+$DK145</f>
        <v/>
      </c>
      <c r="DM145">
        <f>IF(AND($DK145=1,$DL145&lt;=600),1,0)</f>
        <v/>
      </c>
      <c r="DN145">
        <f>IF($DM145=0,"",IF($L$6=0,"",IFERROR(IF(ISNUMBER(INDEX(PASTE_ALL,$DF145,$L$6)),INDEX(PASTE_ALL,$DF145,$L$6),TRIM(SUBSTITUTE(SUBSTITUTE(SUBSTITUTE(SUBSTITUTE(INDEX(PASTE_ALL,$DF145,$L$6)," "," "),CHAR(9)," "),CHAR(10)," "),CHAR(13)," "))),"")))</f>
        <v/>
      </c>
      <c r="DO145">
        <f>IF($DM145=0,"",IF($L$7=0,"",IFERROR(IF(ISNUMBER(INDEX(PASTE_ALL,$DF145,$L$7)),INDEX(PASTE_ALL,$DF145,$L$7),TRIM(SUBSTITUTE(SUBSTITUTE(SUBSTITUTE(SUBSTITUTE(INDEX(PASTE_ALL,$DF145,$L$7)," "," "),CHAR(9)," "),CHAR(10)," "),CHAR(13)," "))),"")))</f>
        <v/>
      </c>
      <c r="DP145">
        <f>IF($DM145=0,"",IF($L$8=0,"",IFERROR(IF(ISNUMBER(INDEX(PASTE_ALL,$DF145,$L$8)),INDEX(PASTE_ALL,$DF145,$L$8),TRIM(SUBSTITUTE(SUBSTITUTE(SUBSTITUTE(SUBSTITUTE(INDEX(PASTE_ALL,$DF145,$L$8)," "," "),CHAR(9)," "),CHAR(10)," "),CHAR(13)," "))),"")))</f>
        <v/>
      </c>
      <c r="DQ145">
        <f>IF($DM145=0,"",IF($L$9=0,"",IFERROR(IF(ISNUMBER(INDEX(PASTE_ALL,$DF145,$L$9)),INDEX(PASTE_ALL,$DF145,$L$9),TRIM(SUBSTITUTE(SUBSTITUTE(SUBSTITUTE(SUBSTITUTE(INDEX(PASTE_ALL,$DF145,$L$9)," "," "),CHAR(9)," "),CHAR(10)," "),CHAR(13)," "))),"")))</f>
        <v/>
      </c>
      <c r="DR145">
        <f>IF($DM145=0,"",IF($L$10=0,"",IFERROR(IF(ISNUMBER(INDEX(PASTE_ALL,$DF145,$L$10)),INDEX(PASTE_ALL,$DF145,$L$10),TRIM(SUBSTITUTE(SUBSTITUTE(SUBSTITUTE(SUBSTITUTE(INDEX(PASTE_ALL,$DF145,$L$10)," "," "),CHAR(9)," "),CHAR(10)," "),CHAR(13)," "))),"")))</f>
        <v/>
      </c>
      <c r="DS145">
        <f>IF($DM145=0,"",IF($L$11=0,"",IFERROR(IF(ISNUMBER(INDEX(PASTE_ALL,$DF145,$L$11)),INDEX(PASTE_ALL,$DF145,$L$11),TRIM(SUBSTITUTE(SUBSTITUTE(SUBSTITUTE(SUBSTITUTE(INDEX(PASTE_ALL,$DF145,$L$11)," "," "),CHAR(9)," "),CHAR(10)," "),CHAR(13)," "))),"")))</f>
        <v/>
      </c>
      <c r="DT145">
        <f>IF($DM145=0,"",IF($L$12=0,"",IFERROR(IF(ISNUMBER(INDEX(PASTE_ALL,$DF145,$L$12)),INDEX(PASTE_ALL,$DF145,$L$12),TRIM(SUBSTITUTE(SUBSTITUTE(SUBSTITUTE(SUBSTITUTE(INDEX(PASTE_ALL,$DF145,$L$12)," "," "),CHAR(9)," "),CHAR(10)," "),CHAR(13)," "))),"")))</f>
        <v/>
      </c>
      <c r="DU145">
        <f>IF($DM145=0,"",IF($L$13=0,"",IFERROR(IF(ISNUMBER(INDEX(PASTE_ALL,$DF145,$L$13)),INDEX(PASTE_ALL,$DF145,$L$13),TRIM(SUBSTITUTE(SUBSTITUTE(SUBSTITUTE(SUBSTITUTE(INDEX(PASTE_ALL,$DF145,$L$13)," "," "),CHAR(9)," "),CHAR(10)," "),CHAR(13)," "))),"")))</f>
        <v/>
      </c>
      <c r="DV145">
        <f>IF($DM145=0,"",IF($L$14=0,"",IFERROR(IF(ISNUMBER(INDEX(PASTE_ALL,$DF145,$L$14)),INDEX(PASTE_ALL,$DF145,$L$14),TRIM(SUBSTITUTE(SUBSTITUTE(SUBSTITUTE(SUBSTITUTE(INDEX(PASTE_ALL,$DF145,$L$14)," "," "),CHAR(9)," "),CHAR(10)," "),CHAR(13)," "))),"")))</f>
        <v/>
      </c>
      <c r="DW145">
        <f>IF($DM145=0,"",IF($L$15=0,"",IFERROR(IF(ISNUMBER(INDEX(PASTE_ALL,$DF145,$L$15)),INDEX(PASTE_ALL,$DF145,$L$15),IF(SUMPRODUCT(--ISNUMBER(FIND({"A","B","C","D","E","F","G","H","I","J","K","L","M","N","O","P","Q","R","S","T","U","V","W","X","Y","Z","0","1","2","3","4","5","6","7","8","9"},UPPER(TRIM(SUBSTITUTE(SUBSTITUTE(SUBSTITUTE(SUBSTITUTE(INDEX(PASTE_ALL,$DF145,$L$15)," "," "),CHAR(9)," "),CHAR(10)," "),CHAR(13)," "))))))&gt;0,TRIM(SUBSTITUTE(SUBSTITUTE(SUBSTITUTE(SUBSTITUTE(INDEX(PASTE_ALL,$DF145,$L$15)," "," "),CHAR(9)," "),CHAR(10)," "),CHAR(13)," ")),"")),"")))</f>
        <v/>
      </c>
      <c r="DX145">
        <f>IF($DM145=0,"",IF($L$16=0,"",IFERROR(IF(ISNUMBER(INDEX(PASTE_ALL,$DF145,$L$16)),INDEX(PASTE_ALL,$DF145,$L$16),SUBSTITUTE(SUBSTITUTE(TRIM(SUBSTITUTE(SUBSTITUTE(SUBSTITUTE(SUBSTITUTE(INDEX(PASTE_ALL,$DF145,$L$16)," "," "),CHAR(9)," "),CHAR(10)," "),CHAR(13)," ")),",",""),"%","")),"")))</f>
        <v/>
      </c>
      <c r="DY145">
        <f>IF($DM145=0,"",IFERROR(IF(ISNUMBER($DX145),$DX145,IF($DX145="","",IF(TRIM($DX145)="",0,IF(AND(AND(SUBSTITUTE(SUBSTITUTE(SUBSTITUTE(SUBSTITUTE(SUBSTITUTE(SUBSTITUTE(SUBSTITUTE(SUBSTITUTE(SUBSTITUTE(SUBSTITUTE(SUBSTITUTE(SUBSTITUTE(SUBSTITUTE(SUBSTITUTE(UPPER(TRIM($DX145)),"0",""),"1",""),"2",""),"3",""),"4",""),"5",""),"6",""),"7",""),"8",""),"9",""),".",""),"+",""),"-",""),"E","")="",LEN(SUBSTITUTE(SUBSTITUTE(MID(UPPER(TRIM($DX145)),1+OR(LEFT(UPPER(TRIM($DX145)),1)="+",LEFT(UPPER(TRIM($DX145)),1)="-"),999),"E+","E"),"E-","E"))=LEN(SUBSTITUTE(SUBSTITUTE(SUBSTITUTE(SUBSTITUTE(MID(UPPER(TRIM($DX145)),1+OR(LEFT(UPPER(TRIM($DX145)),1)="+",LEFT(UPPER(TRIM($DX145)),1)="-"),999),"E+","E"),"E-","E"),"+",""),"-","")),LEN(UPPER(TRIM($DX145)))-LEN(SUBSTITUTE(UPPER(TRIM($DX145)),"E",""))&lt;2,LEN(UPPER(TRIM($DX145)))-LEN(SUBSTITUTE(UPPER(TRIM($DX145)),".",""))&lt;2,IFERROR(FIND(".",UPPER(TRIM($DX145))),0)&lt;IFERROR(FIND("E",UPPER(TRIM($DX145))),999)),ISNUMBER(VALUE(TRIM($DX145)))),VALUE(TRIM($DX145)),"")))),""))</f>
        <v/>
      </c>
      <c r="DZ145">
        <f>IF($DM145=0,"",IF($L$17=0,"",IFERROR(IF(ISNUMBER(INDEX(PASTE_ALL,$DF145,$L$17)),INDEX(PASTE_ALL,$DF145,$L$17),SUBSTITUTE(SUBSTITUTE(TRIM(SUBSTITUTE(SUBSTITUTE(SUBSTITUTE(SUBSTITUTE(INDEX(PASTE_ALL,$DF145,$L$17)," "," "),CHAR(9)," "),CHAR(10)," "),CHAR(13)," ")),",",""),"%","")),"")))</f>
        <v/>
      </c>
      <c r="EA145">
        <f>IF($DM145=0,"",IFERROR(IF(ISNUMBER($DZ145),$DZ145,IF($DZ145="","",IF(TRIM($DZ145)="",0,IF(AND(AND(SUBSTITUTE(SUBSTITUTE(SUBSTITUTE(SUBSTITUTE(SUBSTITUTE(SUBSTITUTE(SUBSTITUTE(SUBSTITUTE(SUBSTITUTE(SUBSTITUTE(SUBSTITUTE(SUBSTITUTE(SUBSTITUTE(SUBSTITUTE(UPPER(TRIM($DZ145)),"0",""),"1",""),"2",""),"3",""),"4",""),"5",""),"6",""),"7",""),"8",""),"9",""),".",""),"+",""),"-",""),"E","")="",LEN(SUBSTITUTE(SUBSTITUTE(MID(UPPER(TRIM($DZ145)),1+OR(LEFT(UPPER(TRIM($DZ145)),1)="+",LEFT(UPPER(TRIM($DZ145)),1)="-"),999),"E+","E"),"E-","E"))=LEN(SUBSTITUTE(SUBSTITUTE(SUBSTITUTE(SUBSTITUTE(MID(UPPER(TRIM($DZ145)),1+OR(LEFT(UPPER(TRIM($DZ145)),1)="+",LEFT(UPPER(TRIM($DZ145)),1)="-"),999),"E+","E"),"E-","E"),"+",""),"-","")),LEN(UPPER(TRIM($DZ145)))-LEN(SUBSTITUTE(UPPER(TRIM($DZ145)),"E",""))&lt;2,LEN(UPPER(TRIM($DZ145)))-LEN(SUBSTITUTE(UPPER(TRIM($DZ145)),".",""))&lt;2,IFERROR(FIND(".",UPPER(TRIM($DZ145))),0)&lt;IFERROR(FIND("E",UPPER(TRIM($DZ145))),999)),ISNUMBER(VALUE(TRIM($DZ145)))),VALUE(TRIM($DZ145)),"")))),""))</f>
        <v/>
      </c>
      <c r="EB145">
        <f>IF($DM145=0,"",IF($L$18=0,"",IFERROR(IF(UPPER(TRIM(SUBSTITUTE(SUBSTITUTE(SUBSTITUTE(SUBSTITUTE(INDEX(PASTE_ALL,$DF145,$L$18)," "," "),CHAR(9)," "),CHAR(10)," "),CHAR(13)," ")))="READY","Ready",IF(UPPER(TRIM(SUBSTITUTE(SUBSTITUTE(SUBSTITUTE(SUBSTITUTE(INDEX(PASTE_ALL,$DF145,$L$18)," "," "),CHAR(9)," "),CHAR(10)," "),CHAR(13)," ")))="PM","PM",IF(OR(UPPER(TRIM(SUBSTITUTE(SUBSTITUTE(SUBSTITUTE(SUBSTITUTE(INDEX(PASTE_ALL,$DF145,$L$18)," "," "),CHAR(9)," "),CHAR(10)," "),CHAR(13)," ")))="OT",UPPER(TRIM(SUBSTITUTE(SUBSTITUTE(SUBSTITUTE(SUBSTITUTE(INDEX(PASTE_ALL,$DF145,$L$18)," "," "),CHAR(9)," "),CHAR(10)," "),CHAR(13)," ")))="OVERTIME",UPPER(TRIM(SUBSTITUTE(SUBSTITUTE(SUBSTITUTE(SUBSTITUTE(INDEX(PASTE_ALL,$DF145,$L$18)," "," "),CHAR(9)," "),CHAR(10)," "),CHAR(13)," ")))="TRIAL"),"OT",TRIM(SUBSTITUTE(SUBSTITUTE(SUBSTITUTE(SUBSTITUTE(INDEX(PASTE_ALL,$DF145,$L$18)," "," "),CHAR(9)," "),CHAR(10)," "),CHAR(13)," "))))),"")))</f>
        <v/>
      </c>
      <c r="EC145">
        <f>IF($DM145=0,"",IF($L$19=0,"",IFERROR(IF(ISNUMBER(INDEX(PASTE_ALL,$DF145,$L$19)),INDEX(PASTE_ALL,$DF145,$L$19),TRIM(SUBSTITUTE(SUBSTITUTE(SUBSTITUTE(SUBSTITUTE(INDEX(PASTE_ALL,$DF145,$L$19)," "," "),CHAR(9)," "),CHAR(10)," "),CHAR(13)," "))),"")))</f>
        <v/>
      </c>
      <c r="ED145">
        <f>IF($DM145=0,"",MATCH(1,INDEX(EXACT($DH$5:DH145,$DH145)*$DM$5:DM145,0),0))</f>
        <v/>
      </c>
      <c r="EE145">
        <f>IF($DM145=0,0,IF($ED145=$DE145,1,0))</f>
        <v/>
      </c>
      <c r="EF145">
        <f>EF144+$EE145</f>
        <v/>
      </c>
      <c r="EG145">
        <f>IF($DM145=0,"",INDEX($EF$5:$EF$1003,$ED145))</f>
        <v/>
      </c>
      <c r="EH145">
        <f>IF($DM145=0,"",IF($DO145&lt;&gt;"","",IFERROR(LOOKUP(2,1/(($EG$4:EG144=$EG145)*($DO$4:DO144&lt;&gt;"")),$DO$4:DO144),"")))</f>
        <v/>
      </c>
      <c r="EI145">
        <f>IF($DM145=0,"",IF($DO145&lt;&gt;"",$DO145,$EH145))</f>
        <v/>
      </c>
      <c r="EJ145">
        <f>IF($DM145=0,"",IF($EI145="",0,IF(OR(ISNUMBER($EI145),AND(AND(SUBSTITUTE(SUBSTITUTE(SUBSTITUTE(SUBSTITUTE(SUBSTITUTE(SUBSTITUTE(SUBSTITUTE(SUBSTITUTE(SUBSTITUTE(SUBSTITUTE(SUBSTITUTE(SUBSTITUTE(SUBSTITUTE(SUBSTITUTE(UPPER($EI145),"0",""),"1",""),"2",""),"3",""),"4",""),"5",""),"6",""),"7",""),"8",""),"9",""),".",""),"+",""),"-",""),"E","")="",LEN(SUBSTITUTE(SUBSTITUTE(MID(UPPER($EI145),1+OR(LEFT(UPPER($EI145),1)="+",LEFT(UPPER($EI145),1)="-"),999),"E+","E"),"E-","E"))=LEN(SUBSTITUTE(SUBSTITUTE(SUBSTITUTE(SUBSTITUTE(MID(UPPER($EI145),1+OR(LEFT(UPPER($EI145),1)="+",LEFT(UPPER($EI145),1)="-"),999),"E+","E"),"E-","E"),"+",""),"-","")),LEN(UPPER($EI145))-LEN(SUBSTITUTE(UPPER($EI145),"E",""))&lt;2,LEN(UPPER($EI145))-LEN(SUBSTITUTE(UPPER($EI145),".",""))&lt;2,IFERROR(FIND(".",UPPER($EI145)),0)&lt;IFERROR(FIND("E",UPPER($EI145)),999)),ISNUMBER(VALUE($EI145)))),1,2)))</f>
        <v/>
      </c>
      <c r="EK145">
        <f>IF($DM145=0,"",IF($EJ145=1,IF(ISNUMBER($EI145),$EI145,VALUE($EI145)),IF($EJ145=2,$DE145,0)))</f>
        <v/>
      </c>
      <c r="EL145">
        <f>IF($DM145=0,"",COUNTIF($EG$5:$EG$1003,"&lt;"&amp;$EG145)+SUMPRODUCT(($EG$5:$EG$1003=$EG145)*(($EJ$5:$EJ$1003&lt;$EJ145)+($EJ$5:$EJ$1003=$EJ145)*(($EK$5:$EK$1003&lt;$EK145)+($EK$5:$EK$1003=$EK145)*($DE$5:$DE$1003&lt;$DE145))))+1)</f>
        <v/>
      </c>
      <c r="EM145">
        <f>IF($DM145=0,"",$EL145+$EG145-1)</f>
        <v/>
      </c>
      <c r="EN145">
        <f>IF($DM145=0,0,IFERROR(MATCH(1,INDEX(--(TRIM(SUBSTITUTE(SUBSTITUTE(SUBSTITUTE(SUBSTITUTE(LINES_NAME&amp;""," "," "),CHAR(9)," "),CHAR(10)," "),CHAR(13)," "))=$DH145),0),0),0))</f>
        <v/>
      </c>
      <c r="EO145">
        <f>IF($EN145=0,0,IF(OR(UPPER(TRIM(INDEX(LINES_SCHEDULED,$EN145)&amp;""))="YES",UPPER(TRIM(INDEX(LINES_SCHEDULED,$EN145)&amp;""))="Y",UPPER(TRIM(INDEX(LINES_SCHEDULED,$EN145)&amp;""))="X"),1,0))</f>
        <v/>
      </c>
      <c r="EP145">
        <f>IF($DM145=0,"",IF(COUNTIFS($EG$5:$EG$1003,$EG145,$EB$5:$EB$1003,"Ready")&gt;0,"READY",IF(COUNTIFS($EG$5:$EG$1003,$EG145,$EB$5:$EB$1003,"PM")&gt;0,"PM",IF(COUNTIFS($EG$5:$EG$1003,$EG145,$EB$5:$EB$1003,"OT")&gt;0,"OT",""))))</f>
        <v/>
      </c>
      <c r="EQ145">
        <f>IF($EN145=0,"",UPPER(TRIM(INDEX(LINES_STATUS,$EN145)&amp;"")))</f>
        <v/>
      </c>
      <c r="ER145">
        <f>IF($DM145=0,"",IF(OR($EQ145="READY",$EQ145="PM",$EQ145="OT"),$EQ145,$EP145))</f>
        <v/>
      </c>
      <c r="ES145">
        <f>IF($DM145=0,"",IF(AND($DV145&lt;&gt;"",UPPER($DV145)&lt;&gt;"N"),"allergen",IF(ISNUMBER(SEARCH("oil",$DQ145)),"oil",IF(OR(EXACT($DS145,"A662"),EXACT($DS145,"A624")),"bulk",""))))</f>
        <v/>
      </c>
      <c r="ET145">
        <f>IF($DM145=0,"",IF(OR($EA145="",$EA145=0),"",$EA145/100))</f>
        <v/>
      </c>
      <c r="EU145">
        <f>IF(OR($ET145="",$DY145=""),"",INT($DY145*(1-$ET145)+0.5))</f>
        <v/>
      </c>
      <c r="EW145" t="n">
        <v>141</v>
      </c>
      <c r="EX145">
        <f>IFERROR(MATCH($EW145,$EM$5:$EM$1003,0),0)</f>
        <v/>
      </c>
      <c r="EY145">
        <f>IF($EW145&gt;$B$12,"",IF($EX145&gt;0,"row","spacer"))</f>
        <v/>
      </c>
      <c r="EZ145">
        <f>IF(AND($EY145="row",$EY144&lt;&gt;"row"),1,0)</f>
        <v/>
      </c>
      <c r="FA145">
        <f>IF(AND($EY145="row",$EY146&lt;&gt;"row"),1,0)</f>
        <v/>
      </c>
      <c r="FB145">
        <f>IF($EZ145=1,IFERROR(IF(ISNUMBER(INDEX(PASTE_ALL,INDEX($DF$5:$DF$1003,$EX145),$B$37)),INDEX(PASTE_ALL,INDEX($DF$5:$DF$1003,$EX145),$B$37),INDEX($DH$5:$DH$1003,$EX145)),INDEX($DH$5:$DH$1003,$EX145)),"")</f>
        <v/>
      </c>
      <c r="FC145">
        <f>IF($EY145="row",INDEX($ER$5:$ER$1003,$EX145),"")</f>
        <v/>
      </c>
      <c r="FD145">
        <f>IF($EY145="row",INDEX($DN$5:$DN$1003,$EX145),"")</f>
        <v/>
      </c>
      <c r="FE145">
        <f>IF($EY145="row",INDEX($DO$5:$DO$1003,$EX145),"")</f>
        <v/>
      </c>
      <c r="FF145">
        <f>IF($EY145="row",INDEX($DP$5:$DP$1003,$EX145),"")</f>
        <v/>
      </c>
      <c r="FG145">
        <f>IF($EY145="row",INDEX($DQ$5:$DQ$1003,$EX145),"")</f>
        <v/>
      </c>
      <c r="FH145">
        <f>IF($EY145="row",INDEX($DR$5:$DR$1003,$EX145),"")</f>
        <v/>
      </c>
      <c r="FI145">
        <f>IF($EY145="row",INDEX($DS$5:$DS$1003,$EX145),"")</f>
        <v/>
      </c>
      <c r="FJ145">
        <f>IF($EY145="row",INDEX($DT$5:$DT$1003,$EX145),"")</f>
        <v/>
      </c>
      <c r="FK145">
        <f>IF($EY145="row",INDEX($DU$5:$DU$1003,$EX145),"")</f>
        <v/>
      </c>
      <c r="FL145">
        <f>IF($EY145="row",INDEX($DV$5:$DV$1003,$EX145),"")</f>
        <v/>
      </c>
      <c r="FM145">
        <f>IF($EY145="row",INDEX($DW$5:$DW$1003,$EX145),"")</f>
        <v/>
      </c>
      <c r="FN145">
        <f>IF($EY145="row",INDEX($DY$5:$DY$1003,$EX145),"")</f>
        <v/>
      </c>
      <c r="FO145">
        <f>IF($EY145="row",INDEX($EA$5:$EA$1003,$EX145),"")</f>
        <v/>
      </c>
      <c r="FP145">
        <f>IF($EY145="row",INDEX($EC$5:$EC$1003,$EX145),"")</f>
        <v/>
      </c>
      <c r="FQ145">
        <f>IF($EY145="row",INDEX($ET$5:$ET$1003,$EX145),"")</f>
        <v/>
      </c>
      <c r="FR145">
        <f>IF($EY145="row",INDEX($EU$5:$EU$1003,$EX145),"")</f>
        <v/>
      </c>
      <c r="FS145">
        <f>IF(AND($EY145="row",$EY144="row"),IF(OR(INDEX($DT$5:$DT$1003,$EX144)="",INDEX($DT$5:$DT$1003,$EX145)=""),"",IF(NOT(EXACT(INDEX($DT$5:$DT$1003,$EX144),INDEX($DT$5:$DT$1003,$EX145))),"S4",IF(NOT(EXACT(INDEX($DS$5:$DS$1003,$EX144),INDEX($DS$5:$DS$1003,$EX145))),"S3",IF(NOT(EXACT(INDEX($DR$5:$DR$1003,$EX144),INDEX($DR$5:$DR$1003,$EX145))),"S1 Count Change","S1")))),"")</f>
        <v/>
      </c>
      <c r="FT145">
        <f>IF($EY145="row",INDEX($ES$5:$ES$1003,$EX145),"")</f>
        <v/>
      </c>
      <c r="FU145">
        <f>IF($EY145="row",INDEX($EO$5:$EO$1003,$EX145),0)</f>
        <v/>
      </c>
      <c r="FV145">
        <f>IF($FS145="S1 Count Change",1,0)</f>
        <v/>
      </c>
    </row>
    <row r="146">
      <c r="Y146">
        <f>IF(Y11="",0,2*(OR(ISNUMBER(FIND("WORKCENTER",Y11)),AND(LEFT(Y11,4)="LINE",NOT(ISNUMBER(FIND("STATUS",Y11))))))+4*(OR(ISNUMBER(FIND("WORKORDER",Y11)),AND(LEFT(Y11,2)="WO",OR(ISNUMBER(FIND("NUM",Y11)),RIGHT(Y11,2)="NO"))))+8*(LEFT(Y11,3)="SEQ")+16*(AND(LEFT(Y11,4)="ITEM",NOT(ISNUMBER(FIND("DESC",Y11)))))+32*(AND(ISNUMBER(FIND("DESC",Y11)),NOT(ISNUMBER(FIND("CAP",Y11)))))+64*(OR(RIGHT(Y11,5)="COUNT",RIGHT(Y11,2)="CT"))+128*(ISNUMBER(FIND("BULK",Y11)))+256*(ISNUMBER(FIND("SIZE",Y11)))+512*(LEFT(Y11,3)="CAP")+1024*(ISNUMBER(FIND("ALLERG",Y11)))+2048*(OR(ISNUMBER(FIND("REMARK",Y11)),ISNUMBER(FIND("COMMENT",Y11))))+4096*(OR(ISNUMBER(FIND("QTY",Y11)),ISNUMBER(FIND("QUANTITY",Y11))))+8192*(AND(OR(ISNUMBER(FIND("COMPLETE",Y11)),ISNUMBER(FIND("PCT",Y11)),ISNUMBER(FIND("PERCENT",Y11))),NOT(ISNUMBER(FIND("ACTUAL",Y11))),LEN(Y11)&lt;=16))+32768*(OR(ISNUMBER(FIND("DESIC",Y11)),ISNUMBER(FIND("DESSIC",Y11)))))</f>
        <v/>
      </c>
      <c r="Z146">
        <f>IF(Z11="",0,2*(OR(ISNUMBER(FIND("WORKCENTER",Z11)),AND(LEFT(Z11,4)="LINE",NOT(ISNUMBER(FIND("STATUS",Z11))))))+4*(OR(ISNUMBER(FIND("WORKORDER",Z11)),AND(LEFT(Z11,2)="WO",OR(ISNUMBER(FIND("NUM",Z11)),RIGHT(Z11,2)="NO"))))+8*(LEFT(Z11,3)="SEQ")+16*(AND(LEFT(Z11,4)="ITEM",NOT(ISNUMBER(FIND("DESC",Z11)))))+32*(AND(ISNUMBER(FIND("DESC",Z11)),NOT(ISNUMBER(FIND("CAP",Z11)))))+64*(OR(RIGHT(Z11,5)="COUNT",RIGHT(Z11,2)="CT"))+128*(ISNUMBER(FIND("BULK",Z11)))+256*(ISNUMBER(FIND("SIZE",Z11)))+512*(LEFT(Z11,3)="CAP")+1024*(ISNUMBER(FIND("ALLERG",Z11)))+2048*(OR(ISNUMBER(FIND("REMARK",Z11)),ISNUMBER(FIND("COMMENT",Z11))))+4096*(OR(ISNUMBER(FIND("QTY",Z11)),ISNUMBER(FIND("QUANTITY",Z11))))+8192*(AND(OR(ISNUMBER(FIND("COMPLETE",Z11)),ISNUMBER(FIND("PCT",Z11)),ISNUMBER(FIND("PERCENT",Z11))),NOT(ISNUMBER(FIND("ACTUAL",Z11))),LEN(Z11)&lt;=16))+32768*(OR(ISNUMBER(FIND("DESIC",Z11)),ISNUMBER(FIND("DESSIC",Z11)))))</f>
        <v/>
      </c>
      <c r="AA146">
        <f>IF(AA11="",0,2*(OR(ISNUMBER(FIND("WORKCENTER",AA11)),AND(LEFT(AA11,4)="LINE",NOT(ISNUMBER(FIND("STATUS",AA11))))))+4*(OR(ISNUMBER(FIND("WORKORDER",AA11)),AND(LEFT(AA11,2)="WO",OR(ISNUMBER(FIND("NUM",AA11)),RIGHT(AA11,2)="NO"))))+8*(LEFT(AA11,3)="SEQ")+16*(AND(LEFT(AA11,4)="ITEM",NOT(ISNUMBER(FIND("DESC",AA11)))))+32*(AND(ISNUMBER(FIND("DESC",AA11)),NOT(ISNUMBER(FIND("CAP",AA11)))))+64*(OR(RIGHT(AA11,5)="COUNT",RIGHT(AA11,2)="CT"))+128*(ISNUMBER(FIND("BULK",AA11)))+256*(ISNUMBER(FIND("SIZE",AA11)))+512*(LEFT(AA11,3)="CAP")+1024*(ISNUMBER(FIND("ALLERG",AA11)))+2048*(OR(ISNUMBER(FIND("REMARK",AA11)),ISNUMBER(FIND("COMMENT",AA11))))+4096*(OR(ISNUMBER(FIND("QTY",AA11)),ISNUMBER(FIND("QUANTITY",AA11))))+8192*(AND(OR(ISNUMBER(FIND("COMPLETE",AA11)),ISNUMBER(FIND("PCT",AA11)),ISNUMBER(FIND("PERCENT",AA11))),NOT(ISNUMBER(FIND("ACTUAL",AA11))),LEN(AA11)&lt;=16))+32768*(OR(ISNUMBER(FIND("DESIC",AA11)),ISNUMBER(FIND("DESSIC",AA11)))))</f>
        <v/>
      </c>
      <c r="AB146">
        <f>IF(AB11="",0,2*(OR(ISNUMBER(FIND("WORKCENTER",AB11)),AND(LEFT(AB11,4)="LINE",NOT(ISNUMBER(FIND("STATUS",AB11))))))+4*(OR(ISNUMBER(FIND("WORKORDER",AB11)),AND(LEFT(AB11,2)="WO",OR(ISNUMBER(FIND("NUM",AB11)),RIGHT(AB11,2)="NO"))))+8*(LEFT(AB11,3)="SEQ")+16*(AND(LEFT(AB11,4)="ITEM",NOT(ISNUMBER(FIND("DESC",AB11)))))+32*(AND(ISNUMBER(FIND("DESC",AB11)),NOT(ISNUMBER(FIND("CAP",AB11)))))+64*(OR(RIGHT(AB11,5)="COUNT",RIGHT(AB11,2)="CT"))+128*(ISNUMBER(FIND("BULK",AB11)))+256*(ISNUMBER(FIND("SIZE",AB11)))+512*(LEFT(AB11,3)="CAP")+1024*(ISNUMBER(FIND("ALLERG",AB11)))+2048*(OR(ISNUMBER(FIND("REMARK",AB11)),ISNUMBER(FIND("COMMENT",AB11))))+4096*(OR(ISNUMBER(FIND("QTY",AB11)),ISNUMBER(FIND("QUANTITY",AB11))))+8192*(AND(OR(ISNUMBER(FIND("COMPLETE",AB11)),ISNUMBER(FIND("PCT",AB11)),ISNUMBER(FIND("PERCENT",AB11))),NOT(ISNUMBER(FIND("ACTUAL",AB11))),LEN(AB11)&lt;=16))+32768*(OR(ISNUMBER(FIND("DESIC",AB11)),ISNUMBER(FIND("DESSIC",AB11)))))</f>
        <v/>
      </c>
      <c r="AC146">
        <f>IF(AC11="",0,2*(OR(ISNUMBER(FIND("WORKCENTER",AC11)),AND(LEFT(AC11,4)="LINE",NOT(ISNUMBER(FIND("STATUS",AC11))))))+4*(OR(ISNUMBER(FIND("WORKORDER",AC11)),AND(LEFT(AC11,2)="WO",OR(ISNUMBER(FIND("NUM",AC11)),RIGHT(AC11,2)="NO"))))+8*(LEFT(AC11,3)="SEQ")+16*(AND(LEFT(AC11,4)="ITEM",NOT(ISNUMBER(FIND("DESC",AC11)))))+32*(AND(ISNUMBER(FIND("DESC",AC11)),NOT(ISNUMBER(FIND("CAP",AC11)))))+64*(OR(RIGHT(AC11,5)="COUNT",RIGHT(AC11,2)="CT"))+128*(ISNUMBER(FIND("BULK",AC11)))+256*(ISNUMBER(FIND("SIZE",AC11)))+512*(LEFT(AC11,3)="CAP")+1024*(ISNUMBER(FIND("ALLERG",AC11)))+2048*(OR(ISNUMBER(FIND("REMARK",AC11)),ISNUMBER(FIND("COMMENT",AC11))))+4096*(OR(ISNUMBER(FIND("QTY",AC11)),ISNUMBER(FIND("QUANTITY",AC11))))+8192*(AND(OR(ISNUMBER(FIND("COMPLETE",AC11)),ISNUMBER(FIND("PCT",AC11)),ISNUMBER(FIND("PERCENT",AC11))),NOT(ISNUMBER(FIND("ACTUAL",AC11))),LEN(AC11)&lt;=16))+32768*(OR(ISNUMBER(FIND("DESIC",AC11)),ISNUMBER(FIND("DESSIC",AC11)))))</f>
        <v/>
      </c>
      <c r="AD146">
        <f>IF(AD11="",0,2*(OR(ISNUMBER(FIND("WORKCENTER",AD11)),AND(LEFT(AD11,4)="LINE",NOT(ISNUMBER(FIND("STATUS",AD11))))))+4*(OR(ISNUMBER(FIND("WORKORDER",AD11)),AND(LEFT(AD11,2)="WO",OR(ISNUMBER(FIND("NUM",AD11)),RIGHT(AD11,2)="NO"))))+8*(LEFT(AD11,3)="SEQ")+16*(AND(LEFT(AD11,4)="ITEM",NOT(ISNUMBER(FIND("DESC",AD11)))))+32*(AND(ISNUMBER(FIND("DESC",AD11)),NOT(ISNUMBER(FIND("CAP",AD11)))))+64*(OR(RIGHT(AD11,5)="COUNT",RIGHT(AD11,2)="CT"))+128*(ISNUMBER(FIND("BULK",AD11)))+256*(ISNUMBER(FIND("SIZE",AD11)))+512*(LEFT(AD11,3)="CAP")+1024*(ISNUMBER(FIND("ALLERG",AD11)))+2048*(OR(ISNUMBER(FIND("REMARK",AD11)),ISNUMBER(FIND("COMMENT",AD11))))+4096*(OR(ISNUMBER(FIND("QTY",AD11)),ISNUMBER(FIND("QUANTITY",AD11))))+8192*(AND(OR(ISNUMBER(FIND("COMPLETE",AD11)),ISNUMBER(FIND("PCT",AD11)),ISNUMBER(FIND("PERCENT",AD11))),NOT(ISNUMBER(FIND("ACTUAL",AD11))),LEN(AD11)&lt;=16))+32768*(OR(ISNUMBER(FIND("DESIC",AD11)),ISNUMBER(FIND("DESSIC",AD11)))))</f>
        <v/>
      </c>
      <c r="AE146">
        <f>IF(AE11="",0,2*(OR(ISNUMBER(FIND("WORKCENTER",AE11)),AND(LEFT(AE11,4)="LINE",NOT(ISNUMBER(FIND("STATUS",AE11))))))+4*(OR(ISNUMBER(FIND("WORKORDER",AE11)),AND(LEFT(AE11,2)="WO",OR(ISNUMBER(FIND("NUM",AE11)),RIGHT(AE11,2)="NO"))))+8*(LEFT(AE11,3)="SEQ")+16*(AND(LEFT(AE11,4)="ITEM",NOT(ISNUMBER(FIND("DESC",AE11)))))+32*(AND(ISNUMBER(FIND("DESC",AE11)),NOT(ISNUMBER(FIND("CAP",AE11)))))+64*(OR(RIGHT(AE11,5)="COUNT",RIGHT(AE11,2)="CT"))+128*(ISNUMBER(FIND("BULK",AE11)))+256*(ISNUMBER(FIND("SIZE",AE11)))+512*(LEFT(AE11,3)="CAP")+1024*(ISNUMBER(FIND("ALLERG",AE11)))+2048*(OR(ISNUMBER(FIND("REMARK",AE11)),ISNUMBER(FIND("COMMENT",AE11))))+4096*(OR(ISNUMBER(FIND("QTY",AE11)),ISNUMBER(FIND("QUANTITY",AE11))))+8192*(AND(OR(ISNUMBER(FIND("COMPLETE",AE11)),ISNUMBER(FIND("PCT",AE11)),ISNUMBER(FIND("PERCENT",AE11))),NOT(ISNUMBER(FIND("ACTUAL",AE11))),LEN(AE11)&lt;=16))+32768*(OR(ISNUMBER(FIND("DESIC",AE11)),ISNUMBER(FIND("DESSIC",AE11)))))</f>
        <v/>
      </c>
      <c r="AF146">
        <f>IF(AF11="",0,2*(OR(ISNUMBER(FIND("WORKCENTER",AF11)),AND(LEFT(AF11,4)="LINE",NOT(ISNUMBER(FIND("STATUS",AF11))))))+4*(OR(ISNUMBER(FIND("WORKORDER",AF11)),AND(LEFT(AF11,2)="WO",OR(ISNUMBER(FIND("NUM",AF11)),RIGHT(AF11,2)="NO"))))+8*(LEFT(AF11,3)="SEQ")+16*(AND(LEFT(AF11,4)="ITEM",NOT(ISNUMBER(FIND("DESC",AF11)))))+32*(AND(ISNUMBER(FIND("DESC",AF11)),NOT(ISNUMBER(FIND("CAP",AF11)))))+64*(OR(RIGHT(AF11,5)="COUNT",RIGHT(AF11,2)="CT"))+128*(ISNUMBER(FIND("BULK",AF11)))+256*(ISNUMBER(FIND("SIZE",AF11)))+512*(LEFT(AF11,3)="CAP")+1024*(ISNUMBER(FIND("ALLERG",AF11)))+2048*(OR(ISNUMBER(FIND("REMARK",AF11)),ISNUMBER(FIND("COMMENT",AF11))))+4096*(OR(ISNUMBER(FIND("QTY",AF11)),ISNUMBER(FIND("QUANTITY",AF11))))+8192*(AND(OR(ISNUMBER(FIND("COMPLETE",AF11)),ISNUMBER(FIND("PCT",AF11)),ISNUMBER(FIND("PERCENT",AF11))),NOT(ISNUMBER(FIND("ACTUAL",AF11))),LEN(AF11)&lt;=16))+32768*(OR(ISNUMBER(FIND("DESIC",AF11)),ISNUMBER(FIND("DESSIC",AF11)))))</f>
        <v/>
      </c>
      <c r="AG146">
        <f>IF(AG11="",0,2*(OR(ISNUMBER(FIND("WORKCENTER",AG11)),AND(LEFT(AG11,4)="LINE",NOT(ISNUMBER(FIND("STATUS",AG11))))))+4*(OR(ISNUMBER(FIND("WORKORDER",AG11)),AND(LEFT(AG11,2)="WO",OR(ISNUMBER(FIND("NUM",AG11)),RIGHT(AG11,2)="NO"))))+8*(LEFT(AG11,3)="SEQ")+16*(AND(LEFT(AG11,4)="ITEM",NOT(ISNUMBER(FIND("DESC",AG11)))))+32*(AND(ISNUMBER(FIND("DESC",AG11)),NOT(ISNUMBER(FIND("CAP",AG11)))))+64*(OR(RIGHT(AG11,5)="COUNT",RIGHT(AG11,2)="CT"))+128*(ISNUMBER(FIND("BULK",AG11)))+256*(ISNUMBER(FIND("SIZE",AG11)))+512*(LEFT(AG11,3)="CAP")+1024*(ISNUMBER(FIND("ALLERG",AG11)))+2048*(OR(ISNUMBER(FIND("REMARK",AG11)),ISNUMBER(FIND("COMMENT",AG11))))+4096*(OR(ISNUMBER(FIND("QTY",AG11)),ISNUMBER(FIND("QUANTITY",AG11))))+8192*(AND(OR(ISNUMBER(FIND("COMPLETE",AG11)),ISNUMBER(FIND("PCT",AG11)),ISNUMBER(FIND("PERCENT",AG11))),NOT(ISNUMBER(FIND("ACTUAL",AG11))),LEN(AG11)&lt;=16))+32768*(OR(ISNUMBER(FIND("DESIC",AG11)),ISNUMBER(FIND("DESSIC",AG11)))))</f>
        <v/>
      </c>
      <c r="AH146">
        <f>IF(AH11="",0,2*(OR(ISNUMBER(FIND("WORKCENTER",AH11)),AND(LEFT(AH11,4)="LINE",NOT(ISNUMBER(FIND("STATUS",AH11))))))+4*(OR(ISNUMBER(FIND("WORKORDER",AH11)),AND(LEFT(AH11,2)="WO",OR(ISNUMBER(FIND("NUM",AH11)),RIGHT(AH11,2)="NO"))))+8*(LEFT(AH11,3)="SEQ")+16*(AND(LEFT(AH11,4)="ITEM",NOT(ISNUMBER(FIND("DESC",AH11)))))+32*(AND(ISNUMBER(FIND("DESC",AH11)),NOT(ISNUMBER(FIND("CAP",AH11)))))+64*(OR(RIGHT(AH11,5)="COUNT",RIGHT(AH11,2)="CT"))+128*(ISNUMBER(FIND("BULK",AH11)))+256*(ISNUMBER(FIND("SIZE",AH11)))+512*(LEFT(AH11,3)="CAP")+1024*(ISNUMBER(FIND("ALLERG",AH11)))+2048*(OR(ISNUMBER(FIND("REMARK",AH11)),ISNUMBER(FIND("COMMENT",AH11))))+4096*(OR(ISNUMBER(FIND("QTY",AH11)),ISNUMBER(FIND("QUANTITY",AH11))))+8192*(AND(OR(ISNUMBER(FIND("COMPLETE",AH11)),ISNUMBER(FIND("PCT",AH11)),ISNUMBER(FIND("PERCENT",AH11))),NOT(ISNUMBER(FIND("ACTUAL",AH11))),LEN(AH11)&lt;=16))+32768*(OR(ISNUMBER(FIND("DESIC",AH11)),ISNUMBER(FIND("DESSIC",AH11)))))</f>
        <v/>
      </c>
      <c r="AI146">
        <f>IF(AI11="",0,2*(OR(ISNUMBER(FIND("WORKCENTER",AI11)),AND(LEFT(AI11,4)="LINE",NOT(ISNUMBER(FIND("STATUS",AI11))))))+4*(OR(ISNUMBER(FIND("WORKORDER",AI11)),AND(LEFT(AI11,2)="WO",OR(ISNUMBER(FIND("NUM",AI11)),RIGHT(AI11,2)="NO"))))+8*(LEFT(AI11,3)="SEQ")+16*(AND(LEFT(AI11,4)="ITEM",NOT(ISNUMBER(FIND("DESC",AI11)))))+32*(AND(ISNUMBER(FIND("DESC",AI11)),NOT(ISNUMBER(FIND("CAP",AI11)))))+64*(OR(RIGHT(AI11,5)="COUNT",RIGHT(AI11,2)="CT"))+128*(ISNUMBER(FIND("BULK",AI11)))+256*(ISNUMBER(FIND("SIZE",AI11)))+512*(LEFT(AI11,3)="CAP")+1024*(ISNUMBER(FIND("ALLERG",AI11)))+2048*(OR(ISNUMBER(FIND("REMARK",AI11)),ISNUMBER(FIND("COMMENT",AI11))))+4096*(OR(ISNUMBER(FIND("QTY",AI11)),ISNUMBER(FIND("QUANTITY",AI11))))+8192*(AND(OR(ISNUMBER(FIND("COMPLETE",AI11)),ISNUMBER(FIND("PCT",AI11)),ISNUMBER(FIND("PERCENT",AI11))),NOT(ISNUMBER(FIND("ACTUAL",AI11))),LEN(AI11)&lt;=16))+32768*(OR(ISNUMBER(FIND("DESIC",AI11)),ISNUMBER(FIND("DESSIC",AI11)))))</f>
        <v/>
      </c>
      <c r="AJ146">
        <f>IF(AJ11="",0,2*(OR(ISNUMBER(FIND("WORKCENTER",AJ11)),AND(LEFT(AJ11,4)="LINE",NOT(ISNUMBER(FIND("STATUS",AJ11))))))+4*(OR(ISNUMBER(FIND("WORKORDER",AJ11)),AND(LEFT(AJ11,2)="WO",OR(ISNUMBER(FIND("NUM",AJ11)),RIGHT(AJ11,2)="NO"))))+8*(LEFT(AJ11,3)="SEQ")+16*(AND(LEFT(AJ11,4)="ITEM",NOT(ISNUMBER(FIND("DESC",AJ11)))))+32*(AND(ISNUMBER(FIND("DESC",AJ11)),NOT(ISNUMBER(FIND("CAP",AJ11)))))+64*(OR(RIGHT(AJ11,5)="COUNT",RIGHT(AJ11,2)="CT"))+128*(ISNUMBER(FIND("BULK",AJ11)))+256*(ISNUMBER(FIND("SIZE",AJ11)))+512*(LEFT(AJ11,3)="CAP")+1024*(ISNUMBER(FIND("ALLERG",AJ11)))+2048*(OR(ISNUMBER(FIND("REMARK",AJ11)),ISNUMBER(FIND("COMMENT",AJ11))))+4096*(OR(ISNUMBER(FIND("QTY",AJ11)),ISNUMBER(FIND("QUANTITY",AJ11))))+8192*(AND(OR(ISNUMBER(FIND("COMPLETE",AJ11)),ISNUMBER(FIND("PCT",AJ11)),ISNUMBER(FIND("PERCENT",AJ11))),NOT(ISNUMBER(FIND("ACTUAL",AJ11))),LEN(AJ11)&lt;=16))+32768*(OR(ISNUMBER(FIND("DESIC",AJ11)),ISNUMBER(FIND("DESSIC",AJ11)))))</f>
        <v/>
      </c>
      <c r="AK146">
        <f>IF(AK11="",0,2*(OR(ISNUMBER(FIND("WORKCENTER",AK11)),AND(LEFT(AK11,4)="LINE",NOT(ISNUMBER(FIND("STATUS",AK11))))))+4*(OR(ISNUMBER(FIND("WORKORDER",AK11)),AND(LEFT(AK11,2)="WO",OR(ISNUMBER(FIND("NUM",AK11)),RIGHT(AK11,2)="NO"))))+8*(LEFT(AK11,3)="SEQ")+16*(AND(LEFT(AK11,4)="ITEM",NOT(ISNUMBER(FIND("DESC",AK11)))))+32*(AND(ISNUMBER(FIND("DESC",AK11)),NOT(ISNUMBER(FIND("CAP",AK11)))))+64*(OR(RIGHT(AK11,5)="COUNT",RIGHT(AK11,2)="CT"))+128*(ISNUMBER(FIND("BULK",AK11)))+256*(ISNUMBER(FIND("SIZE",AK11)))+512*(LEFT(AK11,3)="CAP")+1024*(ISNUMBER(FIND("ALLERG",AK11)))+2048*(OR(ISNUMBER(FIND("REMARK",AK11)),ISNUMBER(FIND("COMMENT",AK11))))+4096*(OR(ISNUMBER(FIND("QTY",AK11)),ISNUMBER(FIND("QUANTITY",AK11))))+8192*(AND(OR(ISNUMBER(FIND("COMPLETE",AK11)),ISNUMBER(FIND("PCT",AK11)),ISNUMBER(FIND("PERCENT",AK11))),NOT(ISNUMBER(FIND("ACTUAL",AK11))),LEN(AK11)&lt;=16))+32768*(OR(ISNUMBER(FIND("DESIC",AK11)),ISNUMBER(FIND("DESSIC",AK11)))))</f>
        <v/>
      </c>
      <c r="AL146">
        <f>IF(AL11="",0,2*(OR(ISNUMBER(FIND("WORKCENTER",AL11)),AND(LEFT(AL11,4)="LINE",NOT(ISNUMBER(FIND("STATUS",AL11))))))+4*(OR(ISNUMBER(FIND("WORKORDER",AL11)),AND(LEFT(AL11,2)="WO",OR(ISNUMBER(FIND("NUM",AL11)),RIGHT(AL11,2)="NO"))))+8*(LEFT(AL11,3)="SEQ")+16*(AND(LEFT(AL11,4)="ITEM",NOT(ISNUMBER(FIND("DESC",AL11)))))+32*(AND(ISNUMBER(FIND("DESC",AL11)),NOT(ISNUMBER(FIND("CAP",AL11)))))+64*(OR(RIGHT(AL11,5)="COUNT",RIGHT(AL11,2)="CT"))+128*(ISNUMBER(FIND("BULK",AL11)))+256*(ISNUMBER(FIND("SIZE",AL11)))+512*(LEFT(AL11,3)="CAP")+1024*(ISNUMBER(FIND("ALLERG",AL11)))+2048*(OR(ISNUMBER(FIND("REMARK",AL11)),ISNUMBER(FIND("COMMENT",AL11))))+4096*(OR(ISNUMBER(FIND("QTY",AL11)),ISNUMBER(FIND("QUANTITY",AL11))))+8192*(AND(OR(ISNUMBER(FIND("COMPLETE",AL11)),ISNUMBER(FIND("PCT",AL11)),ISNUMBER(FIND("PERCENT",AL11))),NOT(ISNUMBER(FIND("ACTUAL",AL11))),LEN(AL11)&lt;=16))+32768*(OR(ISNUMBER(FIND("DESIC",AL11)),ISNUMBER(FIND("DESSIC",AL11)))))</f>
        <v/>
      </c>
      <c r="AM146">
        <f>IF(AM11="",0,2*(OR(ISNUMBER(FIND("WORKCENTER",AM11)),AND(LEFT(AM11,4)="LINE",NOT(ISNUMBER(FIND("STATUS",AM11))))))+4*(OR(ISNUMBER(FIND("WORKORDER",AM11)),AND(LEFT(AM11,2)="WO",OR(ISNUMBER(FIND("NUM",AM11)),RIGHT(AM11,2)="NO"))))+8*(LEFT(AM11,3)="SEQ")+16*(AND(LEFT(AM11,4)="ITEM",NOT(ISNUMBER(FIND("DESC",AM11)))))+32*(AND(ISNUMBER(FIND("DESC",AM11)),NOT(ISNUMBER(FIND("CAP",AM11)))))+64*(OR(RIGHT(AM11,5)="COUNT",RIGHT(AM11,2)="CT"))+128*(ISNUMBER(FIND("BULK",AM11)))+256*(ISNUMBER(FIND("SIZE",AM11)))+512*(LEFT(AM11,3)="CAP")+1024*(ISNUMBER(FIND("ALLERG",AM11)))+2048*(OR(ISNUMBER(FIND("REMARK",AM11)),ISNUMBER(FIND("COMMENT",AM11))))+4096*(OR(ISNUMBER(FIND("QTY",AM11)),ISNUMBER(FIND("QUANTITY",AM11))))+8192*(AND(OR(ISNUMBER(FIND("COMPLETE",AM11)),ISNUMBER(FIND("PCT",AM11)),ISNUMBER(FIND("PERCENT",AM11))),NOT(ISNUMBER(FIND("ACTUAL",AM11))),LEN(AM11)&lt;=16))+32768*(OR(ISNUMBER(FIND("DESIC",AM11)),ISNUMBER(FIND("DESSIC",AM11)))))</f>
        <v/>
      </c>
      <c r="AN146">
        <f>IF(AN11="",0,2*(OR(ISNUMBER(FIND("WORKCENTER",AN11)),AND(LEFT(AN11,4)="LINE",NOT(ISNUMBER(FIND("STATUS",AN11))))))+4*(OR(ISNUMBER(FIND("WORKORDER",AN11)),AND(LEFT(AN11,2)="WO",OR(ISNUMBER(FIND("NUM",AN11)),RIGHT(AN11,2)="NO"))))+8*(LEFT(AN11,3)="SEQ")+16*(AND(LEFT(AN11,4)="ITEM",NOT(ISNUMBER(FIND("DESC",AN11)))))+32*(AND(ISNUMBER(FIND("DESC",AN11)),NOT(ISNUMBER(FIND("CAP",AN11)))))+64*(OR(RIGHT(AN11,5)="COUNT",RIGHT(AN11,2)="CT"))+128*(ISNUMBER(FIND("BULK",AN11)))+256*(ISNUMBER(FIND("SIZE",AN11)))+512*(LEFT(AN11,3)="CAP")+1024*(ISNUMBER(FIND("ALLERG",AN11)))+2048*(OR(ISNUMBER(FIND("REMARK",AN11)),ISNUMBER(FIND("COMMENT",AN11))))+4096*(OR(ISNUMBER(FIND("QTY",AN11)),ISNUMBER(FIND("QUANTITY",AN11))))+8192*(AND(OR(ISNUMBER(FIND("COMPLETE",AN11)),ISNUMBER(FIND("PCT",AN11)),ISNUMBER(FIND("PERCENT",AN11))),NOT(ISNUMBER(FIND("ACTUAL",AN11))),LEN(AN11)&lt;=16))+32768*(OR(ISNUMBER(FIND("DESIC",AN11)),ISNUMBER(FIND("DESSIC",AN11)))))</f>
        <v/>
      </c>
      <c r="AO146">
        <f>IF(AO11="",0,2*(OR(ISNUMBER(FIND("WORKCENTER",AO11)),AND(LEFT(AO11,4)="LINE",NOT(ISNUMBER(FIND("STATUS",AO11))))))+4*(OR(ISNUMBER(FIND("WORKORDER",AO11)),AND(LEFT(AO11,2)="WO",OR(ISNUMBER(FIND("NUM",AO11)),RIGHT(AO11,2)="NO"))))+8*(LEFT(AO11,3)="SEQ")+16*(AND(LEFT(AO11,4)="ITEM",NOT(ISNUMBER(FIND("DESC",AO11)))))+32*(AND(ISNUMBER(FIND("DESC",AO11)),NOT(ISNUMBER(FIND("CAP",AO11)))))+64*(OR(RIGHT(AO11,5)="COUNT",RIGHT(AO11,2)="CT"))+128*(ISNUMBER(FIND("BULK",AO11)))+256*(ISNUMBER(FIND("SIZE",AO11)))+512*(LEFT(AO11,3)="CAP")+1024*(ISNUMBER(FIND("ALLERG",AO11)))+2048*(OR(ISNUMBER(FIND("REMARK",AO11)),ISNUMBER(FIND("COMMENT",AO11))))+4096*(OR(ISNUMBER(FIND("QTY",AO11)),ISNUMBER(FIND("QUANTITY",AO11))))+8192*(AND(OR(ISNUMBER(FIND("COMPLETE",AO11)),ISNUMBER(FIND("PCT",AO11)),ISNUMBER(FIND("PERCENT",AO11))),NOT(ISNUMBER(FIND("ACTUAL",AO11))),LEN(AO11)&lt;=16))+32768*(OR(ISNUMBER(FIND("DESIC",AO11)),ISNUMBER(FIND("DESSIC",AO11)))))</f>
        <v/>
      </c>
      <c r="AP146">
        <f>IF(AP11="",0,2*(OR(ISNUMBER(FIND("WORKCENTER",AP11)),AND(LEFT(AP11,4)="LINE",NOT(ISNUMBER(FIND("STATUS",AP11))))))+4*(OR(ISNUMBER(FIND("WORKORDER",AP11)),AND(LEFT(AP11,2)="WO",OR(ISNUMBER(FIND("NUM",AP11)),RIGHT(AP11,2)="NO"))))+8*(LEFT(AP11,3)="SEQ")+16*(AND(LEFT(AP11,4)="ITEM",NOT(ISNUMBER(FIND("DESC",AP11)))))+32*(AND(ISNUMBER(FIND("DESC",AP11)),NOT(ISNUMBER(FIND("CAP",AP11)))))+64*(OR(RIGHT(AP11,5)="COUNT",RIGHT(AP11,2)="CT"))+128*(ISNUMBER(FIND("BULK",AP11)))+256*(ISNUMBER(FIND("SIZE",AP11)))+512*(LEFT(AP11,3)="CAP")+1024*(ISNUMBER(FIND("ALLERG",AP11)))+2048*(OR(ISNUMBER(FIND("REMARK",AP11)),ISNUMBER(FIND("COMMENT",AP11))))+4096*(OR(ISNUMBER(FIND("QTY",AP11)),ISNUMBER(FIND("QUANTITY",AP11))))+8192*(AND(OR(ISNUMBER(FIND("COMPLETE",AP11)),ISNUMBER(FIND("PCT",AP11)),ISNUMBER(FIND("PERCENT",AP11))),NOT(ISNUMBER(FIND("ACTUAL",AP11))),LEN(AP11)&lt;=16))+32768*(OR(ISNUMBER(FIND("DESIC",AP11)),ISNUMBER(FIND("DESSIC",AP11)))))</f>
        <v/>
      </c>
      <c r="AQ146">
        <f>IF(AQ11="",0,2*(OR(ISNUMBER(FIND("WORKCENTER",AQ11)),AND(LEFT(AQ11,4)="LINE",NOT(ISNUMBER(FIND("STATUS",AQ11))))))+4*(OR(ISNUMBER(FIND("WORKORDER",AQ11)),AND(LEFT(AQ11,2)="WO",OR(ISNUMBER(FIND("NUM",AQ11)),RIGHT(AQ11,2)="NO"))))+8*(LEFT(AQ11,3)="SEQ")+16*(AND(LEFT(AQ11,4)="ITEM",NOT(ISNUMBER(FIND("DESC",AQ11)))))+32*(AND(ISNUMBER(FIND("DESC",AQ11)),NOT(ISNUMBER(FIND("CAP",AQ11)))))+64*(OR(RIGHT(AQ11,5)="COUNT",RIGHT(AQ11,2)="CT"))+128*(ISNUMBER(FIND("BULK",AQ11)))+256*(ISNUMBER(FIND("SIZE",AQ11)))+512*(LEFT(AQ11,3)="CAP")+1024*(ISNUMBER(FIND("ALLERG",AQ11)))+2048*(OR(ISNUMBER(FIND("REMARK",AQ11)),ISNUMBER(FIND("COMMENT",AQ11))))+4096*(OR(ISNUMBER(FIND("QTY",AQ11)),ISNUMBER(FIND("QUANTITY",AQ11))))+8192*(AND(OR(ISNUMBER(FIND("COMPLETE",AQ11)),ISNUMBER(FIND("PCT",AQ11)),ISNUMBER(FIND("PERCENT",AQ11))),NOT(ISNUMBER(FIND("ACTUAL",AQ11))),LEN(AQ11)&lt;=16))+32768*(OR(ISNUMBER(FIND("DESIC",AQ11)),ISNUMBER(FIND("DESSIC",AQ11)))))</f>
        <v/>
      </c>
      <c r="AR146">
        <f>IF(AR11="",0,2*(OR(ISNUMBER(FIND("WORKCENTER",AR11)),AND(LEFT(AR11,4)="LINE",NOT(ISNUMBER(FIND("STATUS",AR11))))))+4*(OR(ISNUMBER(FIND("WORKORDER",AR11)),AND(LEFT(AR11,2)="WO",OR(ISNUMBER(FIND("NUM",AR11)),RIGHT(AR11,2)="NO"))))+8*(LEFT(AR11,3)="SEQ")+16*(AND(LEFT(AR11,4)="ITEM",NOT(ISNUMBER(FIND("DESC",AR11)))))+32*(AND(ISNUMBER(FIND("DESC",AR11)),NOT(ISNUMBER(FIND("CAP",AR11)))))+64*(OR(RIGHT(AR11,5)="COUNT",RIGHT(AR11,2)="CT"))+128*(ISNUMBER(FIND("BULK",AR11)))+256*(ISNUMBER(FIND("SIZE",AR11)))+512*(LEFT(AR11,3)="CAP")+1024*(ISNUMBER(FIND("ALLERG",AR11)))+2048*(OR(ISNUMBER(FIND("REMARK",AR11)),ISNUMBER(FIND("COMMENT",AR11))))+4096*(OR(ISNUMBER(FIND("QTY",AR11)),ISNUMBER(FIND("QUANTITY",AR11))))+8192*(AND(OR(ISNUMBER(FIND("COMPLETE",AR11)),ISNUMBER(FIND("PCT",AR11)),ISNUMBER(FIND("PERCENT",AR11))),NOT(ISNUMBER(FIND("ACTUAL",AR11))),LEN(AR11)&lt;=16))+32768*(OR(ISNUMBER(FIND("DESIC",AR11)),ISNUMBER(FIND("DESSIC",AR11)))))</f>
        <v/>
      </c>
      <c r="AS146">
        <f>IF(AS11="",0,2*(OR(ISNUMBER(FIND("WORKCENTER",AS11)),AND(LEFT(AS11,4)="LINE",NOT(ISNUMBER(FIND("STATUS",AS11))))))+4*(OR(ISNUMBER(FIND("WORKORDER",AS11)),AND(LEFT(AS11,2)="WO",OR(ISNUMBER(FIND("NUM",AS11)),RIGHT(AS11,2)="NO"))))+8*(LEFT(AS11,3)="SEQ")+16*(AND(LEFT(AS11,4)="ITEM",NOT(ISNUMBER(FIND("DESC",AS11)))))+32*(AND(ISNUMBER(FIND("DESC",AS11)),NOT(ISNUMBER(FIND("CAP",AS11)))))+64*(OR(RIGHT(AS11,5)="COUNT",RIGHT(AS11,2)="CT"))+128*(ISNUMBER(FIND("BULK",AS11)))+256*(ISNUMBER(FIND("SIZE",AS11)))+512*(LEFT(AS11,3)="CAP")+1024*(ISNUMBER(FIND("ALLERG",AS11)))+2048*(OR(ISNUMBER(FIND("REMARK",AS11)),ISNUMBER(FIND("COMMENT",AS11))))+4096*(OR(ISNUMBER(FIND("QTY",AS11)),ISNUMBER(FIND("QUANTITY",AS11))))+8192*(AND(OR(ISNUMBER(FIND("COMPLETE",AS11)),ISNUMBER(FIND("PCT",AS11)),ISNUMBER(FIND("PERCENT",AS11))),NOT(ISNUMBER(FIND("ACTUAL",AS11))),LEN(AS11)&lt;=16))+32768*(OR(ISNUMBER(FIND("DESIC",AS11)),ISNUMBER(FIND("DESSIC",AS11)))))</f>
        <v/>
      </c>
      <c r="AT146">
        <f>IF(AT11="",0,2*(OR(ISNUMBER(FIND("WORKCENTER",AT11)),AND(LEFT(AT11,4)="LINE",NOT(ISNUMBER(FIND("STATUS",AT11))))))+4*(OR(ISNUMBER(FIND("WORKORDER",AT11)),AND(LEFT(AT11,2)="WO",OR(ISNUMBER(FIND("NUM",AT11)),RIGHT(AT11,2)="NO"))))+8*(LEFT(AT11,3)="SEQ")+16*(AND(LEFT(AT11,4)="ITEM",NOT(ISNUMBER(FIND("DESC",AT11)))))+32*(AND(ISNUMBER(FIND("DESC",AT11)),NOT(ISNUMBER(FIND("CAP",AT11)))))+64*(OR(RIGHT(AT11,5)="COUNT",RIGHT(AT11,2)="CT"))+128*(ISNUMBER(FIND("BULK",AT11)))+256*(ISNUMBER(FIND("SIZE",AT11)))+512*(LEFT(AT11,3)="CAP")+1024*(ISNUMBER(FIND("ALLERG",AT11)))+2048*(OR(ISNUMBER(FIND("REMARK",AT11)),ISNUMBER(FIND("COMMENT",AT11))))+4096*(OR(ISNUMBER(FIND("QTY",AT11)),ISNUMBER(FIND("QUANTITY",AT11))))+8192*(AND(OR(ISNUMBER(FIND("COMPLETE",AT11)),ISNUMBER(FIND("PCT",AT11)),ISNUMBER(FIND("PERCENT",AT11))),NOT(ISNUMBER(FIND("ACTUAL",AT11))),LEN(AT11)&lt;=16))+32768*(OR(ISNUMBER(FIND("DESIC",AT11)),ISNUMBER(FIND("DESSIC",AT11)))))</f>
        <v/>
      </c>
      <c r="AU146">
        <f>IF(AU11="",0,2*(OR(ISNUMBER(FIND("WORKCENTER",AU11)),AND(LEFT(AU11,4)="LINE",NOT(ISNUMBER(FIND("STATUS",AU11))))))+4*(OR(ISNUMBER(FIND("WORKORDER",AU11)),AND(LEFT(AU11,2)="WO",OR(ISNUMBER(FIND("NUM",AU11)),RIGHT(AU11,2)="NO"))))+8*(LEFT(AU11,3)="SEQ")+16*(AND(LEFT(AU11,4)="ITEM",NOT(ISNUMBER(FIND("DESC",AU11)))))+32*(AND(ISNUMBER(FIND("DESC",AU11)),NOT(ISNUMBER(FIND("CAP",AU11)))))+64*(OR(RIGHT(AU11,5)="COUNT",RIGHT(AU11,2)="CT"))+128*(ISNUMBER(FIND("BULK",AU11)))+256*(ISNUMBER(FIND("SIZE",AU11)))+512*(LEFT(AU11,3)="CAP")+1024*(ISNUMBER(FIND("ALLERG",AU11)))+2048*(OR(ISNUMBER(FIND("REMARK",AU11)),ISNUMBER(FIND("COMMENT",AU11))))+4096*(OR(ISNUMBER(FIND("QTY",AU11)),ISNUMBER(FIND("QUANTITY",AU11))))+8192*(AND(OR(ISNUMBER(FIND("COMPLETE",AU11)),ISNUMBER(FIND("PCT",AU11)),ISNUMBER(FIND("PERCENT",AU11))),NOT(ISNUMBER(FIND("ACTUAL",AU11))),LEN(AU11)&lt;=16))+32768*(OR(ISNUMBER(FIND("DESIC",AU11)),ISNUMBER(FIND("DESSIC",AU11)))))</f>
        <v/>
      </c>
      <c r="AV146">
        <f>IF(AV11="",0,2*(OR(ISNUMBER(FIND("WORKCENTER",AV11)),AND(LEFT(AV11,4)="LINE",NOT(ISNUMBER(FIND("STATUS",AV11))))))+4*(OR(ISNUMBER(FIND("WORKORDER",AV11)),AND(LEFT(AV11,2)="WO",OR(ISNUMBER(FIND("NUM",AV11)),RIGHT(AV11,2)="NO"))))+8*(LEFT(AV11,3)="SEQ")+16*(AND(LEFT(AV11,4)="ITEM",NOT(ISNUMBER(FIND("DESC",AV11)))))+32*(AND(ISNUMBER(FIND("DESC",AV11)),NOT(ISNUMBER(FIND("CAP",AV11)))))+64*(OR(RIGHT(AV11,5)="COUNT",RIGHT(AV11,2)="CT"))+128*(ISNUMBER(FIND("BULK",AV11)))+256*(ISNUMBER(FIND("SIZE",AV11)))+512*(LEFT(AV11,3)="CAP")+1024*(ISNUMBER(FIND("ALLERG",AV11)))+2048*(OR(ISNUMBER(FIND("REMARK",AV11)),ISNUMBER(FIND("COMMENT",AV11))))+4096*(OR(ISNUMBER(FIND("QTY",AV11)),ISNUMBER(FIND("QUANTITY",AV11))))+8192*(AND(OR(ISNUMBER(FIND("COMPLETE",AV11)),ISNUMBER(FIND("PCT",AV11)),ISNUMBER(FIND("PERCENT",AV11))),NOT(ISNUMBER(FIND("ACTUAL",AV11))),LEN(AV11)&lt;=16))+32768*(OR(ISNUMBER(FIND("DESIC",AV11)),ISNUMBER(FIND("DESSIC",AV11)))))</f>
        <v/>
      </c>
      <c r="AW146">
        <f>IF(AW11="",0,2*(OR(ISNUMBER(FIND("WORKCENTER",AW11)),AND(LEFT(AW11,4)="LINE",NOT(ISNUMBER(FIND("STATUS",AW11))))))+4*(OR(ISNUMBER(FIND("WORKORDER",AW11)),AND(LEFT(AW11,2)="WO",OR(ISNUMBER(FIND("NUM",AW11)),RIGHT(AW11,2)="NO"))))+8*(LEFT(AW11,3)="SEQ")+16*(AND(LEFT(AW11,4)="ITEM",NOT(ISNUMBER(FIND("DESC",AW11)))))+32*(AND(ISNUMBER(FIND("DESC",AW11)),NOT(ISNUMBER(FIND("CAP",AW11)))))+64*(OR(RIGHT(AW11,5)="COUNT",RIGHT(AW11,2)="CT"))+128*(ISNUMBER(FIND("BULK",AW11)))+256*(ISNUMBER(FIND("SIZE",AW11)))+512*(LEFT(AW11,3)="CAP")+1024*(ISNUMBER(FIND("ALLERG",AW11)))+2048*(OR(ISNUMBER(FIND("REMARK",AW11)),ISNUMBER(FIND("COMMENT",AW11))))+4096*(OR(ISNUMBER(FIND("QTY",AW11)),ISNUMBER(FIND("QUANTITY",AW11))))+8192*(AND(OR(ISNUMBER(FIND("COMPLETE",AW11)),ISNUMBER(FIND("PCT",AW11)),ISNUMBER(FIND("PERCENT",AW11))),NOT(ISNUMBER(FIND("ACTUAL",AW11))),LEN(AW11)&lt;=16))+32768*(OR(ISNUMBER(FIND("DESIC",AW11)),ISNUMBER(FIND("DESSIC",AW11)))))</f>
        <v/>
      </c>
      <c r="AX146">
        <f>IF(AX11="",0,2*(OR(ISNUMBER(FIND("WORKCENTER",AX11)),AND(LEFT(AX11,4)="LINE",NOT(ISNUMBER(FIND("STATUS",AX11))))))+4*(OR(ISNUMBER(FIND("WORKORDER",AX11)),AND(LEFT(AX11,2)="WO",OR(ISNUMBER(FIND("NUM",AX11)),RIGHT(AX11,2)="NO"))))+8*(LEFT(AX11,3)="SEQ")+16*(AND(LEFT(AX11,4)="ITEM",NOT(ISNUMBER(FIND("DESC",AX11)))))+32*(AND(ISNUMBER(FIND("DESC",AX11)),NOT(ISNUMBER(FIND("CAP",AX11)))))+64*(OR(RIGHT(AX11,5)="COUNT",RIGHT(AX11,2)="CT"))+128*(ISNUMBER(FIND("BULK",AX11)))+256*(ISNUMBER(FIND("SIZE",AX11)))+512*(LEFT(AX11,3)="CAP")+1024*(ISNUMBER(FIND("ALLERG",AX11)))+2048*(OR(ISNUMBER(FIND("REMARK",AX11)),ISNUMBER(FIND("COMMENT",AX11))))+4096*(OR(ISNUMBER(FIND("QTY",AX11)),ISNUMBER(FIND("QUANTITY",AX11))))+8192*(AND(OR(ISNUMBER(FIND("COMPLETE",AX11)),ISNUMBER(FIND("PCT",AX11)),ISNUMBER(FIND("PERCENT",AX11))),NOT(ISNUMBER(FIND("ACTUAL",AX11))),LEN(AX11)&lt;=16))+32768*(OR(ISNUMBER(FIND("DESIC",AX11)),ISNUMBER(FIND("DESSIC",AX11)))))</f>
        <v/>
      </c>
      <c r="AY146">
        <f>IF(AY11="",0,2*(OR(ISNUMBER(FIND("WORKCENTER",AY11)),AND(LEFT(AY11,4)="LINE",NOT(ISNUMBER(FIND("STATUS",AY11))))))+4*(OR(ISNUMBER(FIND("WORKORDER",AY11)),AND(LEFT(AY11,2)="WO",OR(ISNUMBER(FIND("NUM",AY11)),RIGHT(AY11,2)="NO"))))+8*(LEFT(AY11,3)="SEQ")+16*(AND(LEFT(AY11,4)="ITEM",NOT(ISNUMBER(FIND("DESC",AY11)))))+32*(AND(ISNUMBER(FIND("DESC",AY11)),NOT(ISNUMBER(FIND("CAP",AY11)))))+64*(OR(RIGHT(AY11,5)="COUNT",RIGHT(AY11,2)="CT"))+128*(ISNUMBER(FIND("BULK",AY11)))+256*(ISNUMBER(FIND("SIZE",AY11)))+512*(LEFT(AY11,3)="CAP")+1024*(ISNUMBER(FIND("ALLERG",AY11)))+2048*(OR(ISNUMBER(FIND("REMARK",AY11)),ISNUMBER(FIND("COMMENT",AY11))))+4096*(OR(ISNUMBER(FIND("QTY",AY11)),ISNUMBER(FIND("QUANTITY",AY11))))+8192*(AND(OR(ISNUMBER(FIND("COMPLETE",AY11)),ISNUMBER(FIND("PCT",AY11)),ISNUMBER(FIND("PERCENT",AY11))),NOT(ISNUMBER(FIND("ACTUAL",AY11))),LEN(AY11)&lt;=16))+32768*(OR(ISNUMBER(FIND("DESIC",AY11)),ISNUMBER(FIND("DESSIC",AY11)))))</f>
        <v/>
      </c>
      <c r="AZ146">
        <f>IF(AZ11="",0,2*(OR(ISNUMBER(FIND("WORKCENTER",AZ11)),AND(LEFT(AZ11,4)="LINE",NOT(ISNUMBER(FIND("STATUS",AZ11))))))+4*(OR(ISNUMBER(FIND("WORKORDER",AZ11)),AND(LEFT(AZ11,2)="WO",OR(ISNUMBER(FIND("NUM",AZ11)),RIGHT(AZ11,2)="NO"))))+8*(LEFT(AZ11,3)="SEQ")+16*(AND(LEFT(AZ11,4)="ITEM",NOT(ISNUMBER(FIND("DESC",AZ11)))))+32*(AND(ISNUMBER(FIND("DESC",AZ11)),NOT(ISNUMBER(FIND("CAP",AZ11)))))+64*(OR(RIGHT(AZ11,5)="COUNT",RIGHT(AZ11,2)="CT"))+128*(ISNUMBER(FIND("BULK",AZ11)))+256*(ISNUMBER(FIND("SIZE",AZ11)))+512*(LEFT(AZ11,3)="CAP")+1024*(ISNUMBER(FIND("ALLERG",AZ11)))+2048*(OR(ISNUMBER(FIND("REMARK",AZ11)),ISNUMBER(FIND("COMMENT",AZ11))))+4096*(OR(ISNUMBER(FIND("QTY",AZ11)),ISNUMBER(FIND("QUANTITY",AZ11))))+8192*(AND(OR(ISNUMBER(FIND("COMPLETE",AZ11)),ISNUMBER(FIND("PCT",AZ11)),ISNUMBER(FIND("PERCENT",AZ11))),NOT(ISNUMBER(FIND("ACTUAL",AZ11))),LEN(AZ11)&lt;=16))+32768*(OR(ISNUMBER(FIND("DESIC",AZ11)),ISNUMBER(FIND("DESSIC",AZ11)))))</f>
        <v/>
      </c>
      <c r="BA146">
        <f>IF(BA11="",0,2*(OR(ISNUMBER(FIND("WORKCENTER",BA11)),AND(LEFT(BA11,4)="LINE",NOT(ISNUMBER(FIND("STATUS",BA11))))))+4*(OR(ISNUMBER(FIND("WORKORDER",BA11)),AND(LEFT(BA11,2)="WO",OR(ISNUMBER(FIND("NUM",BA11)),RIGHT(BA11,2)="NO"))))+8*(LEFT(BA11,3)="SEQ")+16*(AND(LEFT(BA11,4)="ITEM",NOT(ISNUMBER(FIND("DESC",BA11)))))+32*(AND(ISNUMBER(FIND("DESC",BA11)),NOT(ISNUMBER(FIND("CAP",BA11)))))+64*(OR(RIGHT(BA11,5)="COUNT",RIGHT(BA11,2)="CT"))+128*(ISNUMBER(FIND("BULK",BA11)))+256*(ISNUMBER(FIND("SIZE",BA11)))+512*(LEFT(BA11,3)="CAP")+1024*(ISNUMBER(FIND("ALLERG",BA11)))+2048*(OR(ISNUMBER(FIND("REMARK",BA11)),ISNUMBER(FIND("COMMENT",BA11))))+4096*(OR(ISNUMBER(FIND("QTY",BA11)),ISNUMBER(FIND("QUANTITY",BA11))))+8192*(AND(OR(ISNUMBER(FIND("COMPLETE",BA11)),ISNUMBER(FIND("PCT",BA11)),ISNUMBER(FIND("PERCENT",BA11))),NOT(ISNUMBER(FIND("ACTUAL",BA11))),LEN(BA11)&lt;=16))+32768*(OR(ISNUMBER(FIND("DESIC",BA11)),ISNUMBER(FIND("DESSIC",BA11)))))</f>
        <v/>
      </c>
      <c r="BB146">
        <f>IF(BB11="",0,2*(OR(ISNUMBER(FIND("WORKCENTER",BB11)),AND(LEFT(BB11,4)="LINE",NOT(ISNUMBER(FIND("STATUS",BB11))))))+4*(OR(ISNUMBER(FIND("WORKORDER",BB11)),AND(LEFT(BB11,2)="WO",OR(ISNUMBER(FIND("NUM",BB11)),RIGHT(BB11,2)="NO"))))+8*(LEFT(BB11,3)="SEQ")+16*(AND(LEFT(BB11,4)="ITEM",NOT(ISNUMBER(FIND("DESC",BB11)))))+32*(AND(ISNUMBER(FIND("DESC",BB11)),NOT(ISNUMBER(FIND("CAP",BB11)))))+64*(OR(RIGHT(BB11,5)="COUNT",RIGHT(BB11,2)="CT"))+128*(ISNUMBER(FIND("BULK",BB11)))+256*(ISNUMBER(FIND("SIZE",BB11)))+512*(LEFT(BB11,3)="CAP")+1024*(ISNUMBER(FIND("ALLERG",BB11)))+2048*(OR(ISNUMBER(FIND("REMARK",BB11)),ISNUMBER(FIND("COMMENT",BB11))))+4096*(OR(ISNUMBER(FIND("QTY",BB11)),ISNUMBER(FIND("QUANTITY",BB11))))+8192*(AND(OR(ISNUMBER(FIND("COMPLETE",BB11)),ISNUMBER(FIND("PCT",BB11)),ISNUMBER(FIND("PERCENT",BB11))),NOT(ISNUMBER(FIND("ACTUAL",BB11))),LEN(BB11)&lt;=16))+32768*(OR(ISNUMBER(FIND("DESIC",BB11)),ISNUMBER(FIND("DESSIC",BB11)))))</f>
        <v/>
      </c>
      <c r="BC146">
        <f>IF(BC11="",0,2*(OR(ISNUMBER(FIND("WORKCENTER",BC11)),AND(LEFT(BC11,4)="LINE",NOT(ISNUMBER(FIND("STATUS",BC11))))))+4*(OR(ISNUMBER(FIND("WORKORDER",BC11)),AND(LEFT(BC11,2)="WO",OR(ISNUMBER(FIND("NUM",BC11)),RIGHT(BC11,2)="NO"))))+8*(LEFT(BC11,3)="SEQ")+16*(AND(LEFT(BC11,4)="ITEM",NOT(ISNUMBER(FIND("DESC",BC11)))))+32*(AND(ISNUMBER(FIND("DESC",BC11)),NOT(ISNUMBER(FIND("CAP",BC11)))))+64*(OR(RIGHT(BC11,5)="COUNT",RIGHT(BC11,2)="CT"))+128*(ISNUMBER(FIND("BULK",BC11)))+256*(ISNUMBER(FIND("SIZE",BC11)))+512*(LEFT(BC11,3)="CAP")+1024*(ISNUMBER(FIND("ALLERG",BC11)))+2048*(OR(ISNUMBER(FIND("REMARK",BC11)),ISNUMBER(FIND("COMMENT",BC11))))+4096*(OR(ISNUMBER(FIND("QTY",BC11)),ISNUMBER(FIND("QUANTITY",BC11))))+8192*(AND(OR(ISNUMBER(FIND("COMPLETE",BC11)),ISNUMBER(FIND("PCT",BC11)),ISNUMBER(FIND("PERCENT",BC11))),NOT(ISNUMBER(FIND("ACTUAL",BC11))),LEN(BC11)&lt;=16))+32768*(OR(ISNUMBER(FIND("DESIC",BC11)),ISNUMBER(FIND("DESSIC",BC11)))))</f>
        <v/>
      </c>
      <c r="BD146">
        <f>IF(BD11="",0,2*(OR(ISNUMBER(FIND("WORKCENTER",BD11)),AND(LEFT(BD11,4)="LINE",NOT(ISNUMBER(FIND("STATUS",BD11))))))+4*(OR(ISNUMBER(FIND("WORKORDER",BD11)),AND(LEFT(BD11,2)="WO",OR(ISNUMBER(FIND("NUM",BD11)),RIGHT(BD11,2)="NO"))))+8*(LEFT(BD11,3)="SEQ")+16*(AND(LEFT(BD11,4)="ITEM",NOT(ISNUMBER(FIND("DESC",BD11)))))+32*(AND(ISNUMBER(FIND("DESC",BD11)),NOT(ISNUMBER(FIND("CAP",BD11)))))+64*(OR(RIGHT(BD11,5)="COUNT",RIGHT(BD11,2)="CT"))+128*(ISNUMBER(FIND("BULK",BD11)))+256*(ISNUMBER(FIND("SIZE",BD11)))+512*(LEFT(BD11,3)="CAP")+1024*(ISNUMBER(FIND("ALLERG",BD11)))+2048*(OR(ISNUMBER(FIND("REMARK",BD11)),ISNUMBER(FIND("COMMENT",BD11))))+4096*(OR(ISNUMBER(FIND("QTY",BD11)),ISNUMBER(FIND("QUANTITY",BD11))))+8192*(AND(OR(ISNUMBER(FIND("COMPLETE",BD11)),ISNUMBER(FIND("PCT",BD11)),ISNUMBER(FIND("PERCENT",BD11))),NOT(ISNUMBER(FIND("ACTUAL",BD11))),LEN(BD11)&lt;=16))+32768*(OR(ISNUMBER(FIND("DESIC",BD11)),ISNUMBER(FIND("DESSIC",BD11)))))</f>
        <v/>
      </c>
      <c r="BE146">
        <f>IF(BE11="",0,2*(OR(ISNUMBER(FIND("WORKCENTER",BE11)),AND(LEFT(BE11,4)="LINE",NOT(ISNUMBER(FIND("STATUS",BE11))))))+4*(OR(ISNUMBER(FIND("WORKORDER",BE11)),AND(LEFT(BE11,2)="WO",OR(ISNUMBER(FIND("NUM",BE11)),RIGHT(BE11,2)="NO"))))+8*(LEFT(BE11,3)="SEQ")+16*(AND(LEFT(BE11,4)="ITEM",NOT(ISNUMBER(FIND("DESC",BE11)))))+32*(AND(ISNUMBER(FIND("DESC",BE11)),NOT(ISNUMBER(FIND("CAP",BE11)))))+64*(OR(RIGHT(BE11,5)="COUNT",RIGHT(BE11,2)="CT"))+128*(ISNUMBER(FIND("BULK",BE11)))+256*(ISNUMBER(FIND("SIZE",BE11)))+512*(LEFT(BE11,3)="CAP")+1024*(ISNUMBER(FIND("ALLERG",BE11)))+2048*(OR(ISNUMBER(FIND("REMARK",BE11)),ISNUMBER(FIND("COMMENT",BE11))))+4096*(OR(ISNUMBER(FIND("QTY",BE11)),ISNUMBER(FIND("QUANTITY",BE11))))+8192*(AND(OR(ISNUMBER(FIND("COMPLETE",BE11)),ISNUMBER(FIND("PCT",BE11)),ISNUMBER(FIND("PERCENT",BE11))),NOT(ISNUMBER(FIND("ACTUAL",BE11))),LEN(BE11)&lt;=16))+32768*(OR(ISNUMBER(FIND("DESIC",BE11)),ISNUMBER(FIND("DESSIC",BE11)))))</f>
        <v/>
      </c>
      <c r="BF146">
        <f>IF(BF11="",0,2*(OR(ISNUMBER(FIND("WORKCENTER",BF11)),AND(LEFT(BF11,4)="LINE",NOT(ISNUMBER(FIND("STATUS",BF11))))))+4*(OR(ISNUMBER(FIND("WORKORDER",BF11)),AND(LEFT(BF11,2)="WO",OR(ISNUMBER(FIND("NUM",BF11)),RIGHT(BF11,2)="NO"))))+8*(LEFT(BF11,3)="SEQ")+16*(AND(LEFT(BF11,4)="ITEM",NOT(ISNUMBER(FIND("DESC",BF11)))))+32*(AND(ISNUMBER(FIND("DESC",BF11)),NOT(ISNUMBER(FIND("CAP",BF11)))))+64*(OR(RIGHT(BF11,5)="COUNT",RIGHT(BF11,2)="CT"))+128*(ISNUMBER(FIND("BULK",BF11)))+256*(ISNUMBER(FIND("SIZE",BF11)))+512*(LEFT(BF11,3)="CAP")+1024*(ISNUMBER(FIND("ALLERG",BF11)))+2048*(OR(ISNUMBER(FIND("REMARK",BF11)),ISNUMBER(FIND("COMMENT",BF11))))+4096*(OR(ISNUMBER(FIND("QTY",BF11)),ISNUMBER(FIND("QUANTITY",BF11))))+8192*(AND(OR(ISNUMBER(FIND("COMPLETE",BF11)),ISNUMBER(FIND("PCT",BF11)),ISNUMBER(FIND("PERCENT",BF11))),NOT(ISNUMBER(FIND("ACTUAL",BF11))),LEN(BF11)&lt;=16))+32768*(OR(ISNUMBER(FIND("DESIC",BF11)),ISNUMBER(FIND("DESSIC",BF11)))))</f>
        <v/>
      </c>
      <c r="BG146">
        <f>IF(BG11="",0,2*(OR(ISNUMBER(FIND("WORKCENTER",BG11)),AND(LEFT(BG11,4)="LINE",NOT(ISNUMBER(FIND("STATUS",BG11))))))+4*(OR(ISNUMBER(FIND("WORKORDER",BG11)),AND(LEFT(BG11,2)="WO",OR(ISNUMBER(FIND("NUM",BG11)),RIGHT(BG11,2)="NO"))))+8*(LEFT(BG11,3)="SEQ")+16*(AND(LEFT(BG11,4)="ITEM",NOT(ISNUMBER(FIND("DESC",BG11)))))+32*(AND(ISNUMBER(FIND("DESC",BG11)),NOT(ISNUMBER(FIND("CAP",BG11)))))+64*(OR(RIGHT(BG11,5)="COUNT",RIGHT(BG11,2)="CT"))+128*(ISNUMBER(FIND("BULK",BG11)))+256*(ISNUMBER(FIND("SIZE",BG11)))+512*(LEFT(BG11,3)="CAP")+1024*(ISNUMBER(FIND("ALLERG",BG11)))+2048*(OR(ISNUMBER(FIND("REMARK",BG11)),ISNUMBER(FIND("COMMENT",BG11))))+4096*(OR(ISNUMBER(FIND("QTY",BG11)),ISNUMBER(FIND("QUANTITY",BG11))))+8192*(AND(OR(ISNUMBER(FIND("COMPLETE",BG11)),ISNUMBER(FIND("PCT",BG11)),ISNUMBER(FIND("PERCENT",BG11))),NOT(ISNUMBER(FIND("ACTUAL",BG11))),LEN(BG11)&lt;=16))+32768*(OR(ISNUMBER(FIND("DESIC",BG11)),ISNUMBER(FIND("DESSIC",BG11)))))</f>
        <v/>
      </c>
      <c r="BH146">
        <f>IF(BH11="",0,2*(OR(ISNUMBER(FIND("WORKCENTER",BH11)),AND(LEFT(BH11,4)="LINE",NOT(ISNUMBER(FIND("STATUS",BH11))))))+4*(OR(ISNUMBER(FIND("WORKORDER",BH11)),AND(LEFT(BH11,2)="WO",OR(ISNUMBER(FIND("NUM",BH11)),RIGHT(BH11,2)="NO"))))+8*(LEFT(BH11,3)="SEQ")+16*(AND(LEFT(BH11,4)="ITEM",NOT(ISNUMBER(FIND("DESC",BH11)))))+32*(AND(ISNUMBER(FIND("DESC",BH11)),NOT(ISNUMBER(FIND("CAP",BH11)))))+64*(OR(RIGHT(BH11,5)="COUNT",RIGHT(BH11,2)="CT"))+128*(ISNUMBER(FIND("BULK",BH11)))+256*(ISNUMBER(FIND("SIZE",BH11)))+512*(LEFT(BH11,3)="CAP")+1024*(ISNUMBER(FIND("ALLERG",BH11)))+2048*(OR(ISNUMBER(FIND("REMARK",BH11)),ISNUMBER(FIND("COMMENT",BH11))))+4096*(OR(ISNUMBER(FIND("QTY",BH11)),ISNUMBER(FIND("QUANTITY",BH11))))+8192*(AND(OR(ISNUMBER(FIND("COMPLETE",BH11)),ISNUMBER(FIND("PCT",BH11)),ISNUMBER(FIND("PERCENT",BH11))),NOT(ISNUMBER(FIND("ACTUAL",BH11))),LEN(BH11)&lt;=16))+32768*(OR(ISNUMBER(FIND("DESIC",BH11)),ISNUMBER(FIND("DESSIC",BH11)))))</f>
        <v/>
      </c>
      <c r="BI146">
        <f>IF(BI11="",0,2*(OR(ISNUMBER(FIND("WORKCENTER",BI11)),AND(LEFT(BI11,4)="LINE",NOT(ISNUMBER(FIND("STATUS",BI11))))))+4*(OR(ISNUMBER(FIND("WORKORDER",BI11)),AND(LEFT(BI11,2)="WO",OR(ISNUMBER(FIND("NUM",BI11)),RIGHT(BI11,2)="NO"))))+8*(LEFT(BI11,3)="SEQ")+16*(AND(LEFT(BI11,4)="ITEM",NOT(ISNUMBER(FIND("DESC",BI11)))))+32*(AND(ISNUMBER(FIND("DESC",BI11)),NOT(ISNUMBER(FIND("CAP",BI11)))))+64*(OR(RIGHT(BI11,5)="COUNT",RIGHT(BI11,2)="CT"))+128*(ISNUMBER(FIND("BULK",BI11)))+256*(ISNUMBER(FIND("SIZE",BI11)))+512*(LEFT(BI11,3)="CAP")+1024*(ISNUMBER(FIND("ALLERG",BI11)))+2048*(OR(ISNUMBER(FIND("REMARK",BI11)),ISNUMBER(FIND("COMMENT",BI11))))+4096*(OR(ISNUMBER(FIND("QTY",BI11)),ISNUMBER(FIND("QUANTITY",BI11))))+8192*(AND(OR(ISNUMBER(FIND("COMPLETE",BI11)),ISNUMBER(FIND("PCT",BI11)),ISNUMBER(FIND("PERCENT",BI11))),NOT(ISNUMBER(FIND("ACTUAL",BI11))),LEN(BI11)&lt;=16))+32768*(OR(ISNUMBER(FIND("DESIC",BI11)),ISNUMBER(FIND("DESSIC",BI11)))))</f>
        <v/>
      </c>
      <c r="BJ146">
        <f>IF(BJ11="",0,2*(OR(ISNUMBER(FIND("WORKCENTER",BJ11)),AND(LEFT(BJ11,4)="LINE",NOT(ISNUMBER(FIND("STATUS",BJ11))))))+4*(OR(ISNUMBER(FIND("WORKORDER",BJ11)),AND(LEFT(BJ11,2)="WO",OR(ISNUMBER(FIND("NUM",BJ11)),RIGHT(BJ11,2)="NO"))))+8*(LEFT(BJ11,3)="SEQ")+16*(AND(LEFT(BJ11,4)="ITEM",NOT(ISNUMBER(FIND("DESC",BJ11)))))+32*(AND(ISNUMBER(FIND("DESC",BJ11)),NOT(ISNUMBER(FIND("CAP",BJ11)))))+64*(OR(RIGHT(BJ11,5)="COUNT",RIGHT(BJ11,2)="CT"))+128*(ISNUMBER(FIND("BULK",BJ11)))+256*(ISNUMBER(FIND("SIZE",BJ11)))+512*(LEFT(BJ11,3)="CAP")+1024*(ISNUMBER(FIND("ALLERG",BJ11)))+2048*(OR(ISNUMBER(FIND("REMARK",BJ11)),ISNUMBER(FIND("COMMENT",BJ11))))+4096*(OR(ISNUMBER(FIND("QTY",BJ11)),ISNUMBER(FIND("QUANTITY",BJ11))))+8192*(AND(OR(ISNUMBER(FIND("COMPLETE",BJ11)),ISNUMBER(FIND("PCT",BJ11)),ISNUMBER(FIND("PERCENT",BJ11))),NOT(ISNUMBER(FIND("ACTUAL",BJ11))),LEN(BJ11)&lt;=16))+32768*(OR(ISNUMBER(FIND("DESIC",BJ11)),ISNUMBER(FIND("DESSIC",BJ11)))))</f>
        <v/>
      </c>
      <c r="BK146">
        <f>IF(BK11="",0,2*(OR(ISNUMBER(FIND("WORKCENTER",BK11)),AND(LEFT(BK11,4)="LINE",NOT(ISNUMBER(FIND("STATUS",BK11))))))+4*(OR(ISNUMBER(FIND("WORKORDER",BK11)),AND(LEFT(BK11,2)="WO",OR(ISNUMBER(FIND("NUM",BK11)),RIGHT(BK11,2)="NO"))))+8*(LEFT(BK11,3)="SEQ")+16*(AND(LEFT(BK11,4)="ITEM",NOT(ISNUMBER(FIND("DESC",BK11)))))+32*(AND(ISNUMBER(FIND("DESC",BK11)),NOT(ISNUMBER(FIND("CAP",BK11)))))+64*(OR(RIGHT(BK11,5)="COUNT",RIGHT(BK11,2)="CT"))+128*(ISNUMBER(FIND("BULK",BK11)))+256*(ISNUMBER(FIND("SIZE",BK11)))+512*(LEFT(BK11,3)="CAP")+1024*(ISNUMBER(FIND("ALLERG",BK11)))+2048*(OR(ISNUMBER(FIND("REMARK",BK11)),ISNUMBER(FIND("COMMENT",BK11))))+4096*(OR(ISNUMBER(FIND("QTY",BK11)),ISNUMBER(FIND("QUANTITY",BK11))))+8192*(AND(OR(ISNUMBER(FIND("COMPLETE",BK11)),ISNUMBER(FIND("PCT",BK11)),ISNUMBER(FIND("PERCENT",BK11))),NOT(ISNUMBER(FIND("ACTUAL",BK11))),LEN(BK11)&lt;=16))+32768*(OR(ISNUMBER(FIND("DESIC",BK11)),ISNUMBER(FIND("DESSIC",BK11)))))</f>
        <v/>
      </c>
      <c r="BL146">
        <f>IF(BL11="",0,2*(OR(ISNUMBER(FIND("WORKCENTER",BL11)),AND(LEFT(BL11,4)="LINE",NOT(ISNUMBER(FIND("STATUS",BL11))))))+4*(OR(ISNUMBER(FIND("WORKORDER",BL11)),AND(LEFT(BL11,2)="WO",OR(ISNUMBER(FIND("NUM",BL11)),RIGHT(BL11,2)="NO"))))+8*(LEFT(BL11,3)="SEQ")+16*(AND(LEFT(BL11,4)="ITEM",NOT(ISNUMBER(FIND("DESC",BL11)))))+32*(AND(ISNUMBER(FIND("DESC",BL11)),NOT(ISNUMBER(FIND("CAP",BL11)))))+64*(OR(RIGHT(BL11,5)="COUNT",RIGHT(BL11,2)="CT"))+128*(ISNUMBER(FIND("BULK",BL11)))+256*(ISNUMBER(FIND("SIZE",BL11)))+512*(LEFT(BL11,3)="CAP")+1024*(ISNUMBER(FIND("ALLERG",BL11)))+2048*(OR(ISNUMBER(FIND("REMARK",BL11)),ISNUMBER(FIND("COMMENT",BL11))))+4096*(OR(ISNUMBER(FIND("QTY",BL11)),ISNUMBER(FIND("QUANTITY",BL11))))+8192*(AND(OR(ISNUMBER(FIND("COMPLETE",BL11)),ISNUMBER(FIND("PCT",BL11)),ISNUMBER(FIND("PERCENT",BL11))),NOT(ISNUMBER(FIND("ACTUAL",BL11))),LEN(BL11)&lt;=16))+32768*(OR(ISNUMBER(FIND("DESIC",BL11)),ISNUMBER(FIND("DESSIC",BL11)))))</f>
        <v/>
      </c>
      <c r="BM146">
        <f>IF(BM11="",0,2*(OR(ISNUMBER(FIND("WORKCENTER",BM11)),AND(LEFT(BM11,4)="LINE",NOT(ISNUMBER(FIND("STATUS",BM11))))))+4*(OR(ISNUMBER(FIND("WORKORDER",BM11)),AND(LEFT(BM11,2)="WO",OR(ISNUMBER(FIND("NUM",BM11)),RIGHT(BM11,2)="NO"))))+8*(LEFT(BM11,3)="SEQ")+16*(AND(LEFT(BM11,4)="ITEM",NOT(ISNUMBER(FIND("DESC",BM11)))))+32*(AND(ISNUMBER(FIND("DESC",BM11)),NOT(ISNUMBER(FIND("CAP",BM11)))))+64*(OR(RIGHT(BM11,5)="COUNT",RIGHT(BM11,2)="CT"))+128*(ISNUMBER(FIND("BULK",BM11)))+256*(ISNUMBER(FIND("SIZE",BM11)))+512*(LEFT(BM11,3)="CAP")+1024*(ISNUMBER(FIND("ALLERG",BM11)))+2048*(OR(ISNUMBER(FIND("REMARK",BM11)),ISNUMBER(FIND("COMMENT",BM11))))+4096*(OR(ISNUMBER(FIND("QTY",BM11)),ISNUMBER(FIND("QUANTITY",BM11))))+8192*(AND(OR(ISNUMBER(FIND("COMPLETE",BM11)),ISNUMBER(FIND("PCT",BM11)),ISNUMBER(FIND("PERCENT",BM11))),NOT(ISNUMBER(FIND("ACTUAL",BM11))),LEN(BM11)&lt;=16))+32768*(OR(ISNUMBER(FIND("DESIC",BM11)),ISNUMBER(FIND("DESSIC",BM11)))))</f>
        <v/>
      </c>
      <c r="BN146">
        <f>IF(BN11="",0,2*(OR(ISNUMBER(FIND("WORKCENTER",BN11)),AND(LEFT(BN11,4)="LINE",NOT(ISNUMBER(FIND("STATUS",BN11))))))+4*(OR(ISNUMBER(FIND("WORKORDER",BN11)),AND(LEFT(BN11,2)="WO",OR(ISNUMBER(FIND("NUM",BN11)),RIGHT(BN11,2)="NO"))))+8*(LEFT(BN11,3)="SEQ")+16*(AND(LEFT(BN11,4)="ITEM",NOT(ISNUMBER(FIND("DESC",BN11)))))+32*(AND(ISNUMBER(FIND("DESC",BN11)),NOT(ISNUMBER(FIND("CAP",BN11)))))+64*(OR(RIGHT(BN11,5)="COUNT",RIGHT(BN11,2)="CT"))+128*(ISNUMBER(FIND("BULK",BN11)))+256*(ISNUMBER(FIND("SIZE",BN11)))+512*(LEFT(BN11,3)="CAP")+1024*(ISNUMBER(FIND("ALLERG",BN11)))+2048*(OR(ISNUMBER(FIND("REMARK",BN11)),ISNUMBER(FIND("COMMENT",BN11))))+4096*(OR(ISNUMBER(FIND("QTY",BN11)),ISNUMBER(FIND("QUANTITY",BN11))))+8192*(AND(OR(ISNUMBER(FIND("COMPLETE",BN11)),ISNUMBER(FIND("PCT",BN11)),ISNUMBER(FIND("PERCENT",BN11))),NOT(ISNUMBER(FIND("ACTUAL",BN11))),LEN(BN11)&lt;=16))+32768*(OR(ISNUMBER(FIND("DESIC",BN11)),ISNUMBER(FIND("DESSIC",BN11)))))</f>
        <v/>
      </c>
      <c r="BO146">
        <f>IF(BO11="",0,2*(OR(ISNUMBER(FIND("WORKCENTER",BO11)),AND(LEFT(BO11,4)="LINE",NOT(ISNUMBER(FIND("STATUS",BO11))))))+4*(OR(ISNUMBER(FIND("WORKORDER",BO11)),AND(LEFT(BO11,2)="WO",OR(ISNUMBER(FIND("NUM",BO11)),RIGHT(BO11,2)="NO"))))+8*(LEFT(BO11,3)="SEQ")+16*(AND(LEFT(BO11,4)="ITEM",NOT(ISNUMBER(FIND("DESC",BO11)))))+32*(AND(ISNUMBER(FIND("DESC",BO11)),NOT(ISNUMBER(FIND("CAP",BO11)))))+64*(OR(RIGHT(BO11,5)="COUNT",RIGHT(BO11,2)="CT"))+128*(ISNUMBER(FIND("BULK",BO11)))+256*(ISNUMBER(FIND("SIZE",BO11)))+512*(LEFT(BO11,3)="CAP")+1024*(ISNUMBER(FIND("ALLERG",BO11)))+2048*(OR(ISNUMBER(FIND("REMARK",BO11)),ISNUMBER(FIND("COMMENT",BO11))))+4096*(OR(ISNUMBER(FIND("QTY",BO11)),ISNUMBER(FIND("QUANTITY",BO11))))+8192*(AND(OR(ISNUMBER(FIND("COMPLETE",BO11)),ISNUMBER(FIND("PCT",BO11)),ISNUMBER(FIND("PERCENT",BO11))),NOT(ISNUMBER(FIND("ACTUAL",BO11))),LEN(BO11)&lt;=16))+32768*(OR(ISNUMBER(FIND("DESIC",BO11)),ISNUMBER(FIND("DESSIC",BO11)))))</f>
        <v/>
      </c>
      <c r="BP146">
        <f>IF(BP11="",0,2*(OR(ISNUMBER(FIND("WORKCENTER",BP11)),AND(LEFT(BP11,4)="LINE",NOT(ISNUMBER(FIND("STATUS",BP11))))))+4*(OR(ISNUMBER(FIND("WORKORDER",BP11)),AND(LEFT(BP11,2)="WO",OR(ISNUMBER(FIND("NUM",BP11)),RIGHT(BP11,2)="NO"))))+8*(LEFT(BP11,3)="SEQ")+16*(AND(LEFT(BP11,4)="ITEM",NOT(ISNUMBER(FIND("DESC",BP11)))))+32*(AND(ISNUMBER(FIND("DESC",BP11)),NOT(ISNUMBER(FIND("CAP",BP11)))))+64*(OR(RIGHT(BP11,5)="COUNT",RIGHT(BP11,2)="CT"))+128*(ISNUMBER(FIND("BULK",BP11)))+256*(ISNUMBER(FIND("SIZE",BP11)))+512*(LEFT(BP11,3)="CAP")+1024*(ISNUMBER(FIND("ALLERG",BP11)))+2048*(OR(ISNUMBER(FIND("REMARK",BP11)),ISNUMBER(FIND("COMMENT",BP11))))+4096*(OR(ISNUMBER(FIND("QTY",BP11)),ISNUMBER(FIND("QUANTITY",BP11))))+8192*(AND(OR(ISNUMBER(FIND("COMPLETE",BP11)),ISNUMBER(FIND("PCT",BP11)),ISNUMBER(FIND("PERCENT",BP11))),NOT(ISNUMBER(FIND("ACTUAL",BP11))),LEN(BP11)&lt;=16))+32768*(OR(ISNUMBER(FIND("DESIC",BP11)),ISNUMBER(FIND("DESSIC",BP11)))))</f>
        <v/>
      </c>
      <c r="BQ146">
        <f>IF(BQ11="",0,2*(OR(ISNUMBER(FIND("WORKCENTER",BQ11)),AND(LEFT(BQ11,4)="LINE",NOT(ISNUMBER(FIND("STATUS",BQ11))))))+4*(OR(ISNUMBER(FIND("WORKORDER",BQ11)),AND(LEFT(BQ11,2)="WO",OR(ISNUMBER(FIND("NUM",BQ11)),RIGHT(BQ11,2)="NO"))))+8*(LEFT(BQ11,3)="SEQ")+16*(AND(LEFT(BQ11,4)="ITEM",NOT(ISNUMBER(FIND("DESC",BQ11)))))+32*(AND(ISNUMBER(FIND("DESC",BQ11)),NOT(ISNUMBER(FIND("CAP",BQ11)))))+64*(OR(RIGHT(BQ11,5)="COUNT",RIGHT(BQ11,2)="CT"))+128*(ISNUMBER(FIND("BULK",BQ11)))+256*(ISNUMBER(FIND("SIZE",BQ11)))+512*(LEFT(BQ11,3)="CAP")+1024*(ISNUMBER(FIND("ALLERG",BQ11)))+2048*(OR(ISNUMBER(FIND("REMARK",BQ11)),ISNUMBER(FIND("COMMENT",BQ11))))+4096*(OR(ISNUMBER(FIND("QTY",BQ11)),ISNUMBER(FIND("QUANTITY",BQ11))))+8192*(AND(OR(ISNUMBER(FIND("COMPLETE",BQ11)),ISNUMBER(FIND("PCT",BQ11)),ISNUMBER(FIND("PERCENT",BQ11))),NOT(ISNUMBER(FIND("ACTUAL",BQ11))),LEN(BQ11)&lt;=16))+32768*(OR(ISNUMBER(FIND("DESIC",BQ11)),ISNUMBER(FIND("DESSIC",BQ11)))))</f>
        <v/>
      </c>
      <c r="BR146">
        <f>IF(BR11="",0,2*(OR(ISNUMBER(FIND("WORKCENTER",BR11)),AND(LEFT(BR11,4)="LINE",NOT(ISNUMBER(FIND("STATUS",BR11))))))+4*(OR(ISNUMBER(FIND("WORKORDER",BR11)),AND(LEFT(BR11,2)="WO",OR(ISNUMBER(FIND("NUM",BR11)),RIGHT(BR11,2)="NO"))))+8*(LEFT(BR11,3)="SEQ")+16*(AND(LEFT(BR11,4)="ITEM",NOT(ISNUMBER(FIND("DESC",BR11)))))+32*(AND(ISNUMBER(FIND("DESC",BR11)),NOT(ISNUMBER(FIND("CAP",BR11)))))+64*(OR(RIGHT(BR11,5)="COUNT",RIGHT(BR11,2)="CT"))+128*(ISNUMBER(FIND("BULK",BR11)))+256*(ISNUMBER(FIND("SIZE",BR11)))+512*(LEFT(BR11,3)="CAP")+1024*(ISNUMBER(FIND("ALLERG",BR11)))+2048*(OR(ISNUMBER(FIND("REMARK",BR11)),ISNUMBER(FIND("COMMENT",BR11))))+4096*(OR(ISNUMBER(FIND("QTY",BR11)),ISNUMBER(FIND("QUANTITY",BR11))))+8192*(AND(OR(ISNUMBER(FIND("COMPLETE",BR11)),ISNUMBER(FIND("PCT",BR11)),ISNUMBER(FIND("PERCENT",BR11))),NOT(ISNUMBER(FIND("ACTUAL",BR11))),LEN(BR11)&lt;=16))+32768*(OR(ISNUMBER(FIND("DESIC",BR11)),ISNUMBER(FIND("DESSIC",BR11)))))</f>
        <v/>
      </c>
      <c r="BS146">
        <f>IF(BS11="",0,2*(OR(ISNUMBER(FIND("WORKCENTER",BS11)),AND(LEFT(BS11,4)="LINE",NOT(ISNUMBER(FIND("STATUS",BS11))))))+4*(OR(ISNUMBER(FIND("WORKORDER",BS11)),AND(LEFT(BS11,2)="WO",OR(ISNUMBER(FIND("NUM",BS11)),RIGHT(BS11,2)="NO"))))+8*(LEFT(BS11,3)="SEQ")+16*(AND(LEFT(BS11,4)="ITEM",NOT(ISNUMBER(FIND("DESC",BS11)))))+32*(AND(ISNUMBER(FIND("DESC",BS11)),NOT(ISNUMBER(FIND("CAP",BS11)))))+64*(OR(RIGHT(BS11,5)="COUNT",RIGHT(BS11,2)="CT"))+128*(ISNUMBER(FIND("BULK",BS11)))+256*(ISNUMBER(FIND("SIZE",BS11)))+512*(LEFT(BS11,3)="CAP")+1024*(ISNUMBER(FIND("ALLERG",BS11)))+2048*(OR(ISNUMBER(FIND("REMARK",BS11)),ISNUMBER(FIND("COMMENT",BS11))))+4096*(OR(ISNUMBER(FIND("QTY",BS11)),ISNUMBER(FIND("QUANTITY",BS11))))+8192*(AND(OR(ISNUMBER(FIND("COMPLETE",BS11)),ISNUMBER(FIND("PCT",BS11)),ISNUMBER(FIND("PERCENT",BS11))),NOT(ISNUMBER(FIND("ACTUAL",BS11))),LEN(BS11)&lt;=16))+32768*(OR(ISNUMBER(FIND("DESIC",BS11)),ISNUMBER(FIND("DESSIC",BS11)))))</f>
        <v/>
      </c>
      <c r="BT146">
        <f>IF(BT11="",0,2*(OR(ISNUMBER(FIND("WORKCENTER",BT11)),AND(LEFT(BT11,4)="LINE",NOT(ISNUMBER(FIND("STATUS",BT11))))))+4*(OR(ISNUMBER(FIND("WORKORDER",BT11)),AND(LEFT(BT11,2)="WO",OR(ISNUMBER(FIND("NUM",BT11)),RIGHT(BT11,2)="NO"))))+8*(LEFT(BT11,3)="SEQ")+16*(AND(LEFT(BT11,4)="ITEM",NOT(ISNUMBER(FIND("DESC",BT11)))))+32*(AND(ISNUMBER(FIND("DESC",BT11)),NOT(ISNUMBER(FIND("CAP",BT11)))))+64*(OR(RIGHT(BT11,5)="COUNT",RIGHT(BT11,2)="CT"))+128*(ISNUMBER(FIND("BULK",BT11)))+256*(ISNUMBER(FIND("SIZE",BT11)))+512*(LEFT(BT11,3)="CAP")+1024*(ISNUMBER(FIND("ALLERG",BT11)))+2048*(OR(ISNUMBER(FIND("REMARK",BT11)),ISNUMBER(FIND("COMMENT",BT11))))+4096*(OR(ISNUMBER(FIND("QTY",BT11)),ISNUMBER(FIND("QUANTITY",BT11))))+8192*(AND(OR(ISNUMBER(FIND("COMPLETE",BT11)),ISNUMBER(FIND("PCT",BT11)),ISNUMBER(FIND("PERCENT",BT11))),NOT(ISNUMBER(FIND("ACTUAL",BT11))),LEN(BT11)&lt;=16))+32768*(OR(ISNUMBER(FIND("DESIC",BT11)),ISNUMBER(FIND("DESSIC",BT11)))))</f>
        <v/>
      </c>
      <c r="BU146">
        <f>IF(BU11="",0,2*(OR(ISNUMBER(FIND("WORKCENTER",BU11)),AND(LEFT(BU11,4)="LINE",NOT(ISNUMBER(FIND("STATUS",BU11))))))+4*(OR(ISNUMBER(FIND("WORKORDER",BU11)),AND(LEFT(BU11,2)="WO",OR(ISNUMBER(FIND("NUM",BU11)),RIGHT(BU11,2)="NO"))))+8*(LEFT(BU11,3)="SEQ")+16*(AND(LEFT(BU11,4)="ITEM",NOT(ISNUMBER(FIND("DESC",BU11)))))+32*(AND(ISNUMBER(FIND("DESC",BU11)),NOT(ISNUMBER(FIND("CAP",BU11)))))+64*(OR(RIGHT(BU11,5)="COUNT",RIGHT(BU11,2)="CT"))+128*(ISNUMBER(FIND("BULK",BU11)))+256*(ISNUMBER(FIND("SIZE",BU11)))+512*(LEFT(BU11,3)="CAP")+1024*(ISNUMBER(FIND("ALLERG",BU11)))+2048*(OR(ISNUMBER(FIND("REMARK",BU11)),ISNUMBER(FIND("COMMENT",BU11))))+4096*(OR(ISNUMBER(FIND("QTY",BU11)),ISNUMBER(FIND("QUANTITY",BU11))))+8192*(AND(OR(ISNUMBER(FIND("COMPLETE",BU11)),ISNUMBER(FIND("PCT",BU11)),ISNUMBER(FIND("PERCENT",BU11))),NOT(ISNUMBER(FIND("ACTUAL",BU11))),LEN(BU11)&lt;=16))+32768*(OR(ISNUMBER(FIND("DESIC",BU11)),ISNUMBER(FIND("DESSIC",BU11)))))</f>
        <v/>
      </c>
      <c r="BV146">
        <f>IF(BV11="",0,2*(OR(ISNUMBER(FIND("WORKCENTER",BV11)),AND(LEFT(BV11,4)="LINE",NOT(ISNUMBER(FIND("STATUS",BV11))))))+4*(OR(ISNUMBER(FIND("WORKORDER",BV11)),AND(LEFT(BV11,2)="WO",OR(ISNUMBER(FIND("NUM",BV11)),RIGHT(BV11,2)="NO"))))+8*(LEFT(BV11,3)="SEQ")+16*(AND(LEFT(BV11,4)="ITEM",NOT(ISNUMBER(FIND("DESC",BV11)))))+32*(AND(ISNUMBER(FIND("DESC",BV11)),NOT(ISNUMBER(FIND("CAP",BV11)))))+64*(OR(RIGHT(BV11,5)="COUNT",RIGHT(BV11,2)="CT"))+128*(ISNUMBER(FIND("BULK",BV11)))+256*(ISNUMBER(FIND("SIZE",BV11)))+512*(LEFT(BV11,3)="CAP")+1024*(ISNUMBER(FIND("ALLERG",BV11)))+2048*(OR(ISNUMBER(FIND("REMARK",BV11)),ISNUMBER(FIND("COMMENT",BV11))))+4096*(OR(ISNUMBER(FIND("QTY",BV11)),ISNUMBER(FIND("QUANTITY",BV11))))+8192*(AND(OR(ISNUMBER(FIND("COMPLETE",BV11)),ISNUMBER(FIND("PCT",BV11)),ISNUMBER(FIND("PERCENT",BV11))),NOT(ISNUMBER(FIND("ACTUAL",BV11))),LEN(BV11)&lt;=16))+32768*(OR(ISNUMBER(FIND("DESIC",BV11)),ISNUMBER(FIND("DESSIC",BV11)))))</f>
        <v/>
      </c>
      <c r="BW146">
        <f>IF(BW11="",0,2*(OR(ISNUMBER(FIND("WORKCENTER",BW11)),AND(LEFT(BW11,4)="LINE",NOT(ISNUMBER(FIND("STATUS",BW11))))))+4*(OR(ISNUMBER(FIND("WORKORDER",BW11)),AND(LEFT(BW11,2)="WO",OR(ISNUMBER(FIND("NUM",BW11)),RIGHT(BW11,2)="NO"))))+8*(LEFT(BW11,3)="SEQ")+16*(AND(LEFT(BW11,4)="ITEM",NOT(ISNUMBER(FIND("DESC",BW11)))))+32*(AND(ISNUMBER(FIND("DESC",BW11)),NOT(ISNUMBER(FIND("CAP",BW11)))))+64*(OR(RIGHT(BW11,5)="COUNT",RIGHT(BW11,2)="CT"))+128*(ISNUMBER(FIND("BULK",BW11)))+256*(ISNUMBER(FIND("SIZE",BW11)))+512*(LEFT(BW11,3)="CAP")+1024*(ISNUMBER(FIND("ALLERG",BW11)))+2048*(OR(ISNUMBER(FIND("REMARK",BW11)),ISNUMBER(FIND("COMMENT",BW11))))+4096*(OR(ISNUMBER(FIND("QTY",BW11)),ISNUMBER(FIND("QUANTITY",BW11))))+8192*(AND(OR(ISNUMBER(FIND("COMPLETE",BW11)),ISNUMBER(FIND("PCT",BW11)),ISNUMBER(FIND("PERCENT",BW11))),NOT(ISNUMBER(FIND("ACTUAL",BW11))),LEN(BW11)&lt;=16))+32768*(OR(ISNUMBER(FIND("DESIC",BW11)),ISNUMBER(FIND("DESSIC",BW11)))))</f>
        <v/>
      </c>
      <c r="BX146">
        <f>IF(BX11="",0,2*(OR(ISNUMBER(FIND("WORKCENTER",BX11)),AND(LEFT(BX11,4)="LINE",NOT(ISNUMBER(FIND("STATUS",BX11))))))+4*(OR(ISNUMBER(FIND("WORKORDER",BX11)),AND(LEFT(BX11,2)="WO",OR(ISNUMBER(FIND("NUM",BX11)),RIGHT(BX11,2)="NO"))))+8*(LEFT(BX11,3)="SEQ")+16*(AND(LEFT(BX11,4)="ITEM",NOT(ISNUMBER(FIND("DESC",BX11)))))+32*(AND(ISNUMBER(FIND("DESC",BX11)),NOT(ISNUMBER(FIND("CAP",BX11)))))+64*(OR(RIGHT(BX11,5)="COUNT",RIGHT(BX11,2)="CT"))+128*(ISNUMBER(FIND("BULK",BX11)))+256*(ISNUMBER(FIND("SIZE",BX11)))+512*(LEFT(BX11,3)="CAP")+1024*(ISNUMBER(FIND("ALLERG",BX11)))+2048*(OR(ISNUMBER(FIND("REMARK",BX11)),ISNUMBER(FIND("COMMENT",BX11))))+4096*(OR(ISNUMBER(FIND("QTY",BX11)),ISNUMBER(FIND("QUANTITY",BX11))))+8192*(AND(OR(ISNUMBER(FIND("COMPLETE",BX11)),ISNUMBER(FIND("PCT",BX11)),ISNUMBER(FIND("PERCENT",BX11))),NOT(ISNUMBER(FIND("ACTUAL",BX11))),LEN(BX11)&lt;=16))+32768*(OR(ISNUMBER(FIND("DESIC",BX11)),ISNUMBER(FIND("DESSIC",BX11)))))</f>
        <v/>
      </c>
      <c r="BY146">
        <f>IF(BY11="",0,2*(OR(ISNUMBER(FIND("WORKCENTER",BY11)),AND(LEFT(BY11,4)="LINE",NOT(ISNUMBER(FIND("STATUS",BY11))))))+4*(OR(ISNUMBER(FIND("WORKORDER",BY11)),AND(LEFT(BY11,2)="WO",OR(ISNUMBER(FIND("NUM",BY11)),RIGHT(BY11,2)="NO"))))+8*(LEFT(BY11,3)="SEQ")+16*(AND(LEFT(BY11,4)="ITEM",NOT(ISNUMBER(FIND("DESC",BY11)))))+32*(AND(ISNUMBER(FIND("DESC",BY11)),NOT(ISNUMBER(FIND("CAP",BY11)))))+64*(OR(RIGHT(BY11,5)="COUNT",RIGHT(BY11,2)="CT"))+128*(ISNUMBER(FIND("BULK",BY11)))+256*(ISNUMBER(FIND("SIZE",BY11)))+512*(LEFT(BY11,3)="CAP")+1024*(ISNUMBER(FIND("ALLERG",BY11)))+2048*(OR(ISNUMBER(FIND("REMARK",BY11)),ISNUMBER(FIND("COMMENT",BY11))))+4096*(OR(ISNUMBER(FIND("QTY",BY11)),ISNUMBER(FIND("QUANTITY",BY11))))+8192*(AND(OR(ISNUMBER(FIND("COMPLETE",BY11)),ISNUMBER(FIND("PCT",BY11)),ISNUMBER(FIND("PERCENT",BY11))),NOT(ISNUMBER(FIND("ACTUAL",BY11))),LEN(BY11)&lt;=16))+32768*(OR(ISNUMBER(FIND("DESIC",BY11)),ISNUMBER(FIND("DESSIC",BY11)))))</f>
        <v/>
      </c>
      <c r="BZ146">
        <f>IF(BZ11="",0,2*(OR(ISNUMBER(FIND("WORKCENTER",BZ11)),AND(LEFT(BZ11,4)="LINE",NOT(ISNUMBER(FIND("STATUS",BZ11))))))+4*(OR(ISNUMBER(FIND("WORKORDER",BZ11)),AND(LEFT(BZ11,2)="WO",OR(ISNUMBER(FIND("NUM",BZ11)),RIGHT(BZ11,2)="NO"))))+8*(LEFT(BZ11,3)="SEQ")+16*(AND(LEFT(BZ11,4)="ITEM",NOT(ISNUMBER(FIND("DESC",BZ11)))))+32*(AND(ISNUMBER(FIND("DESC",BZ11)),NOT(ISNUMBER(FIND("CAP",BZ11)))))+64*(OR(RIGHT(BZ11,5)="COUNT",RIGHT(BZ11,2)="CT"))+128*(ISNUMBER(FIND("BULK",BZ11)))+256*(ISNUMBER(FIND("SIZE",BZ11)))+512*(LEFT(BZ11,3)="CAP")+1024*(ISNUMBER(FIND("ALLERG",BZ11)))+2048*(OR(ISNUMBER(FIND("REMARK",BZ11)),ISNUMBER(FIND("COMMENT",BZ11))))+4096*(OR(ISNUMBER(FIND("QTY",BZ11)),ISNUMBER(FIND("QUANTITY",BZ11))))+8192*(AND(OR(ISNUMBER(FIND("COMPLETE",BZ11)),ISNUMBER(FIND("PCT",BZ11)),ISNUMBER(FIND("PERCENT",BZ11))),NOT(ISNUMBER(FIND("ACTUAL",BZ11))),LEN(BZ11)&lt;=16))+32768*(OR(ISNUMBER(FIND("DESIC",BZ11)),ISNUMBER(FIND("DESSIC",BZ11)))))</f>
        <v/>
      </c>
      <c r="CA146">
        <f>IF(CA11="",0,2*(OR(ISNUMBER(FIND("WORKCENTER",CA11)),AND(LEFT(CA11,4)="LINE",NOT(ISNUMBER(FIND("STATUS",CA11))))))+4*(OR(ISNUMBER(FIND("WORKORDER",CA11)),AND(LEFT(CA11,2)="WO",OR(ISNUMBER(FIND("NUM",CA11)),RIGHT(CA11,2)="NO"))))+8*(LEFT(CA11,3)="SEQ")+16*(AND(LEFT(CA11,4)="ITEM",NOT(ISNUMBER(FIND("DESC",CA11)))))+32*(AND(ISNUMBER(FIND("DESC",CA11)),NOT(ISNUMBER(FIND("CAP",CA11)))))+64*(OR(RIGHT(CA11,5)="COUNT",RIGHT(CA11,2)="CT"))+128*(ISNUMBER(FIND("BULK",CA11)))+256*(ISNUMBER(FIND("SIZE",CA11)))+512*(LEFT(CA11,3)="CAP")+1024*(ISNUMBER(FIND("ALLERG",CA11)))+2048*(OR(ISNUMBER(FIND("REMARK",CA11)),ISNUMBER(FIND("COMMENT",CA11))))+4096*(OR(ISNUMBER(FIND("QTY",CA11)),ISNUMBER(FIND("QUANTITY",CA11))))+8192*(AND(OR(ISNUMBER(FIND("COMPLETE",CA11)),ISNUMBER(FIND("PCT",CA11)),ISNUMBER(FIND("PERCENT",CA11))),NOT(ISNUMBER(FIND("ACTUAL",CA11))),LEN(CA11)&lt;=16))+32768*(OR(ISNUMBER(FIND("DESIC",CA11)),ISNUMBER(FIND("DESSIC",CA11)))))</f>
        <v/>
      </c>
      <c r="CB146">
        <f>IF(CB11="",0,2*(OR(ISNUMBER(FIND("WORKCENTER",CB11)),AND(LEFT(CB11,4)="LINE",NOT(ISNUMBER(FIND("STATUS",CB11))))))+4*(OR(ISNUMBER(FIND("WORKORDER",CB11)),AND(LEFT(CB11,2)="WO",OR(ISNUMBER(FIND("NUM",CB11)),RIGHT(CB11,2)="NO"))))+8*(LEFT(CB11,3)="SEQ")+16*(AND(LEFT(CB11,4)="ITEM",NOT(ISNUMBER(FIND("DESC",CB11)))))+32*(AND(ISNUMBER(FIND("DESC",CB11)),NOT(ISNUMBER(FIND("CAP",CB11)))))+64*(OR(RIGHT(CB11,5)="COUNT",RIGHT(CB11,2)="CT"))+128*(ISNUMBER(FIND("BULK",CB11)))+256*(ISNUMBER(FIND("SIZE",CB11)))+512*(LEFT(CB11,3)="CAP")+1024*(ISNUMBER(FIND("ALLERG",CB11)))+2048*(OR(ISNUMBER(FIND("REMARK",CB11)),ISNUMBER(FIND("COMMENT",CB11))))+4096*(OR(ISNUMBER(FIND("QTY",CB11)),ISNUMBER(FIND("QUANTITY",CB11))))+8192*(AND(OR(ISNUMBER(FIND("COMPLETE",CB11)),ISNUMBER(FIND("PCT",CB11)),ISNUMBER(FIND("PERCENT",CB11))),NOT(ISNUMBER(FIND("ACTUAL",CB11))),LEN(CB11)&lt;=16))+32768*(OR(ISNUMBER(FIND("DESIC",CB11)),ISNUMBER(FIND("DESSIC",CB11)))))</f>
        <v/>
      </c>
      <c r="CC146">
        <f>IF(CC11="",0,2*(OR(ISNUMBER(FIND("WORKCENTER",CC11)),AND(LEFT(CC11,4)="LINE",NOT(ISNUMBER(FIND("STATUS",CC11))))))+4*(OR(ISNUMBER(FIND("WORKORDER",CC11)),AND(LEFT(CC11,2)="WO",OR(ISNUMBER(FIND("NUM",CC11)),RIGHT(CC11,2)="NO"))))+8*(LEFT(CC11,3)="SEQ")+16*(AND(LEFT(CC11,4)="ITEM",NOT(ISNUMBER(FIND("DESC",CC11)))))+32*(AND(ISNUMBER(FIND("DESC",CC11)),NOT(ISNUMBER(FIND("CAP",CC11)))))+64*(OR(RIGHT(CC11,5)="COUNT",RIGHT(CC11,2)="CT"))+128*(ISNUMBER(FIND("BULK",CC11)))+256*(ISNUMBER(FIND("SIZE",CC11)))+512*(LEFT(CC11,3)="CAP")+1024*(ISNUMBER(FIND("ALLERG",CC11)))+2048*(OR(ISNUMBER(FIND("REMARK",CC11)),ISNUMBER(FIND("COMMENT",CC11))))+4096*(OR(ISNUMBER(FIND("QTY",CC11)),ISNUMBER(FIND("QUANTITY",CC11))))+8192*(AND(OR(ISNUMBER(FIND("COMPLETE",CC11)),ISNUMBER(FIND("PCT",CC11)),ISNUMBER(FIND("PERCENT",CC11))),NOT(ISNUMBER(FIND("ACTUAL",CC11))),LEN(CC11)&lt;=16))+32768*(OR(ISNUMBER(FIND("DESIC",CC11)),ISNUMBER(FIND("DESSIC",CC11)))))</f>
        <v/>
      </c>
      <c r="CD146">
        <f>IF(CD11="",0,2*(OR(ISNUMBER(FIND("WORKCENTER",CD11)),AND(LEFT(CD11,4)="LINE",NOT(ISNUMBER(FIND("STATUS",CD11))))))+4*(OR(ISNUMBER(FIND("WORKORDER",CD11)),AND(LEFT(CD11,2)="WO",OR(ISNUMBER(FIND("NUM",CD11)),RIGHT(CD11,2)="NO"))))+8*(LEFT(CD11,3)="SEQ")+16*(AND(LEFT(CD11,4)="ITEM",NOT(ISNUMBER(FIND("DESC",CD11)))))+32*(AND(ISNUMBER(FIND("DESC",CD11)),NOT(ISNUMBER(FIND("CAP",CD11)))))+64*(OR(RIGHT(CD11,5)="COUNT",RIGHT(CD11,2)="CT"))+128*(ISNUMBER(FIND("BULK",CD11)))+256*(ISNUMBER(FIND("SIZE",CD11)))+512*(LEFT(CD11,3)="CAP")+1024*(ISNUMBER(FIND("ALLERG",CD11)))+2048*(OR(ISNUMBER(FIND("REMARK",CD11)),ISNUMBER(FIND("COMMENT",CD11))))+4096*(OR(ISNUMBER(FIND("QTY",CD11)),ISNUMBER(FIND("QUANTITY",CD11))))+8192*(AND(OR(ISNUMBER(FIND("COMPLETE",CD11)),ISNUMBER(FIND("PCT",CD11)),ISNUMBER(FIND("PERCENT",CD11))),NOT(ISNUMBER(FIND("ACTUAL",CD11))),LEN(CD11)&lt;=16))+32768*(OR(ISNUMBER(FIND("DESIC",CD11)),ISNUMBER(FIND("DESSIC",CD11)))))</f>
        <v/>
      </c>
      <c r="CE146">
        <f>IF(CE11="",0,2*(OR(ISNUMBER(FIND("WORKCENTER",CE11)),AND(LEFT(CE11,4)="LINE",NOT(ISNUMBER(FIND("STATUS",CE11))))))+4*(OR(ISNUMBER(FIND("WORKORDER",CE11)),AND(LEFT(CE11,2)="WO",OR(ISNUMBER(FIND("NUM",CE11)),RIGHT(CE11,2)="NO"))))+8*(LEFT(CE11,3)="SEQ")+16*(AND(LEFT(CE11,4)="ITEM",NOT(ISNUMBER(FIND("DESC",CE11)))))+32*(AND(ISNUMBER(FIND("DESC",CE11)),NOT(ISNUMBER(FIND("CAP",CE11)))))+64*(OR(RIGHT(CE11,5)="COUNT",RIGHT(CE11,2)="CT"))+128*(ISNUMBER(FIND("BULK",CE11)))+256*(ISNUMBER(FIND("SIZE",CE11)))+512*(LEFT(CE11,3)="CAP")+1024*(ISNUMBER(FIND("ALLERG",CE11)))+2048*(OR(ISNUMBER(FIND("REMARK",CE11)),ISNUMBER(FIND("COMMENT",CE11))))+4096*(OR(ISNUMBER(FIND("QTY",CE11)),ISNUMBER(FIND("QUANTITY",CE11))))+8192*(AND(OR(ISNUMBER(FIND("COMPLETE",CE11)),ISNUMBER(FIND("PCT",CE11)),ISNUMBER(FIND("PERCENT",CE11))),NOT(ISNUMBER(FIND("ACTUAL",CE11))),LEN(CE11)&lt;=16))+32768*(OR(ISNUMBER(FIND("DESIC",CE11)),ISNUMBER(FIND("DESSIC",CE11)))))</f>
        <v/>
      </c>
      <c r="CF146">
        <f>IF(CF11="",0,2*(OR(ISNUMBER(FIND("WORKCENTER",CF11)),AND(LEFT(CF11,4)="LINE",NOT(ISNUMBER(FIND("STATUS",CF11))))))+4*(OR(ISNUMBER(FIND("WORKORDER",CF11)),AND(LEFT(CF11,2)="WO",OR(ISNUMBER(FIND("NUM",CF11)),RIGHT(CF11,2)="NO"))))+8*(LEFT(CF11,3)="SEQ")+16*(AND(LEFT(CF11,4)="ITEM",NOT(ISNUMBER(FIND("DESC",CF11)))))+32*(AND(ISNUMBER(FIND("DESC",CF11)),NOT(ISNUMBER(FIND("CAP",CF11)))))+64*(OR(RIGHT(CF11,5)="COUNT",RIGHT(CF11,2)="CT"))+128*(ISNUMBER(FIND("BULK",CF11)))+256*(ISNUMBER(FIND("SIZE",CF11)))+512*(LEFT(CF11,3)="CAP")+1024*(ISNUMBER(FIND("ALLERG",CF11)))+2048*(OR(ISNUMBER(FIND("REMARK",CF11)),ISNUMBER(FIND("COMMENT",CF11))))+4096*(OR(ISNUMBER(FIND("QTY",CF11)),ISNUMBER(FIND("QUANTITY",CF11))))+8192*(AND(OR(ISNUMBER(FIND("COMPLETE",CF11)),ISNUMBER(FIND("PCT",CF11)),ISNUMBER(FIND("PERCENT",CF11))),NOT(ISNUMBER(FIND("ACTUAL",CF11))),LEN(CF11)&lt;=16))+32768*(OR(ISNUMBER(FIND("DESIC",CF11)),ISNUMBER(FIND("DESSIC",CF11)))))</f>
        <v/>
      </c>
      <c r="DA146" t="n">
        <v>142</v>
      </c>
      <c r="DB146">
        <f>IF($B$37=0,"",IFERROR(TRIM(SUBSTITUTE(SUBSTITUTE(SUBSTITUTE(SUBSTITUTE(INDEX(PASTE_ALL,142,$B$37)," "," "),CHAR(9)," "),CHAR(10)," "),CHAR(13)," ")),""))</f>
        <v/>
      </c>
      <c r="DC146">
        <f>IF(AND(142&gt;HEADER_ROW,UPPER(DB146)="LEGEND"),1,0)</f>
        <v/>
      </c>
      <c r="DE146" t="n">
        <v>142</v>
      </c>
      <c r="DF146">
        <f>HEADER_ROW+$DE146</f>
        <v/>
      </c>
      <c r="DG146">
        <f>IF(AND($DF146&lt;=1000,$DF146&lt;$B$8),1,0)</f>
        <v/>
      </c>
      <c r="DH146">
        <f>IF($DG146=1,IFERROR(INDEX($DB$5:$DB$1004,$DF146),""),"")</f>
        <v/>
      </c>
      <c r="DI146">
        <f>IF(AND($DG146=1,$DH146&lt;&gt;""),IFERROR(SUBSTITUTE(SUBSTITUTE(TRIM(SUBSTITUTE(SUBSTITUTE(SUBSTITUTE(SUBSTITUTE(IFERROR(INDEX(PASTE_ALL,$DF146,1)&amp;"","")&amp;"␟"&amp;IFERROR(INDEX(PASTE_ALL,$DF146,2)&amp;"","")&amp;"␟"&amp;IFERROR(INDEX(PASTE_ALL,$DF146,3)&amp;"","")&amp;"␟"&amp;IFERROR(INDEX(PASTE_ALL,$DF146,4)&amp;"","")&amp;"␟"&amp;IFERROR(INDEX(PASTE_ALL,$DF146,5)&amp;"","")&amp;"␟"&amp;IFERROR(INDEX(PASTE_ALL,$DF146,6)&amp;"","")&amp;"␟"&amp;IFERROR(INDEX(PASTE_ALL,$DF146,7)&amp;"","")&amp;"␟"&amp;IFERROR(INDEX(PASTE_ALL,$DF146,8)&amp;"","")&amp;"␟"&amp;IFERROR(INDEX(PASTE_ALL,$DF146,9)&amp;"","")&amp;"␟"&amp;IFERROR(INDEX(PASTE_ALL,$DF146,10)&amp;"","")&amp;"␟"&amp;IFERROR(INDEX(PASTE_ALL,$DF146,11)&amp;"","")&amp;"␟"&amp;IFERROR(INDEX(PASTE_ALL,$DF146,12)&amp;"","")&amp;"␟"&amp;IFERROR(INDEX(PASTE_ALL,$DF146,13)&amp;"","")&amp;"␟"&amp;IFERROR(INDEX(PASTE_ALL,$DF146,14)&amp;"","")&amp;"␟"&amp;IFERROR(INDEX(PASTE_ALL,$DF146,15)&amp;"","")&amp;"␟"&amp;IFERROR(INDEX(PASTE_ALL,$DF146,16)&amp;"","")&amp;"␟"&amp;IFERROR(INDEX(PASTE_ALL,$DF146,17)&amp;"","")&amp;"␟"&amp;IFERROR(INDEX(PASTE_ALL,$DF146,18)&amp;"","")&amp;"␟"&amp;IFERROR(INDEX(PASTE_ALL,$DF146,19)&amp;"","")&amp;"␟"&amp;IFERROR(INDEX(PASTE_ALL,$DF146,20)&amp;"","")&amp;"␟"&amp;IFERROR(INDEX(PASTE_ALL,$DF146,21)&amp;"","")&amp;"␟"&amp;IFERROR(INDEX(PASTE_ALL,$DF146,22)&amp;"","")&amp;"␟"&amp;IFERROR(INDEX(PASTE_ALL,$DF146,23)&amp;"","")&amp;"␟"&amp;IFERROR(INDEX(PASTE_ALL,$DF146,24)&amp;"","")&amp;"␟"&amp;IFERROR(INDEX(PASTE_ALL,$DF146,25)&amp;"","")&amp;"␟"&amp;IFERROR(INDEX(PASTE_ALL,$DF146,26)&amp;"","")&amp;"␟"&amp;IFERROR(INDEX(PASTE_ALL,$DF146,27)&amp;"","")&amp;"␟"&amp;IFERROR(INDEX(PASTE_ALL,$DF146,28)&amp;"","")&amp;"␟"&amp;IFERROR(INDEX(PASTE_ALL,$DF146,29)&amp;"","")&amp;"␟"&amp;IFERROR(INDEX(PASTE_ALL,$DF146,30)&amp;"","")&amp;"␟"&amp;IFERROR(INDEX(PASTE_ALL,$DF146,31)&amp;"","")&amp;"␟"&amp;IFERROR(INDEX(PASTE_ALL,$DF146,32)&amp;"","")&amp;"␟"&amp;IFERROR(INDEX(PASTE_ALL,$DF146,33)&amp;"","")&amp;"␟"&amp;IFERROR(INDEX(PASTE_ALL,$DF146,34)&amp;"","")&amp;"␟"&amp;IFERROR(INDEX(PASTE_ALL,$DF146,35)&amp;"","")&amp;"␟"&amp;IFERROR(INDEX(PASTE_ALL,$DF146,36)&amp;"","")&amp;"␟"&amp;IFERROR(INDEX(PASTE_ALL,$DF146,37)&amp;"","")&amp;"␟"&amp;IFERROR(INDEX(PASTE_ALL,$DF146,38)&amp;"","")&amp;"␟"&amp;IFERROR(INDEX(PASTE_ALL,$DF146,39)&amp;"","")&amp;"␟"&amp;IFERROR(INDEX(PASTE_ALL,$DF146,40)&amp;"","")&amp;"␟"&amp;IFERROR(INDEX(PASTE_ALL,$DF146,41)&amp;"","")&amp;"␟"&amp;IFERROR(INDEX(PASTE_ALL,$DF146,42)&amp;"","")&amp;"␟"&amp;IFERROR(INDEX(PASTE_ALL,$DF146,43)&amp;"","")&amp;"␟"&amp;IFERROR(INDEX(PASTE_ALL,$DF146,44)&amp;"","")&amp;"␟"&amp;IFERROR(INDEX(PASTE_ALL,$DF146,45)&amp;"","")&amp;"␟"&amp;IFERROR(INDEX(PASTE_ALL,$DF146,46)&amp;"","")&amp;"␟"&amp;IFERROR(INDEX(PASTE_ALL,$DF146,47)&amp;"","")&amp;"␟"&amp;IFERROR(INDEX(PASTE_ALL,$DF146,48)&amp;"","")&amp;"␟"&amp;IFERROR(INDEX(PASTE_ALL,$DF146,49)&amp;"","")&amp;"␟"&amp;IFERROR(INDEX(PASTE_ALL,$DF146,50)&amp;"","")&amp;"␟"&amp;IFERROR(INDEX(PASTE_ALL,$DF146,51)&amp;"","")&amp;"␟"&amp;IFERROR(INDEX(PASTE_ALL,$DF146,52)&amp;"","")&amp;"␟"&amp;IFERROR(INDEX(PASTE_ALL,$DF146,53)&amp;"","")&amp;"␟"&amp;IFERROR(INDEX(PASTE_ALL,$DF146,54)&amp;"","")&amp;"␟"&amp;IFERROR(INDEX(PASTE_ALL,$DF146,55)&amp;"","")&amp;"␟"&amp;IFERROR(INDEX(PASTE_ALL,$DF146,56)&amp;"","")&amp;"␟"&amp;IFERROR(INDEX(PASTE_ALL,$DF146,57)&amp;"","")&amp;"␟"&amp;IFERROR(INDEX(PASTE_ALL,$DF146,58)&amp;"","")&amp;"␟"&amp;IFERROR(INDEX(PASTE_ALL,$DF146,59)&amp;"","")&amp;"␟"&amp;IFERROR(INDEX(PASTE_ALL,$DF146,60)&amp;"","")," "," "),CHAR(9)," "),CHAR(10)," "),CHAR(13)," "))," ␟","␟"),"␟ ","␟"),"#"&amp;$DE146),"")</f>
        <v/>
      </c>
      <c r="DJ146">
        <f>IF($DI146="",0,IF(SUMPRODUCT(--EXACT($DI$4:DI145,$DI146))&gt;0,1,0))</f>
        <v/>
      </c>
      <c r="DK146">
        <f>IF(AND($DI146&lt;&gt;"",$DJ146=0),1,0)</f>
        <v/>
      </c>
      <c r="DL146">
        <f>DL145+$DK146</f>
        <v/>
      </c>
      <c r="DM146">
        <f>IF(AND($DK146=1,$DL146&lt;=600),1,0)</f>
        <v/>
      </c>
      <c r="DN146">
        <f>IF($DM146=0,"",IF($L$6=0,"",IFERROR(IF(ISNUMBER(INDEX(PASTE_ALL,$DF146,$L$6)),INDEX(PASTE_ALL,$DF146,$L$6),TRIM(SUBSTITUTE(SUBSTITUTE(SUBSTITUTE(SUBSTITUTE(INDEX(PASTE_ALL,$DF146,$L$6)," "," "),CHAR(9)," "),CHAR(10)," "),CHAR(13)," "))),"")))</f>
        <v/>
      </c>
      <c r="DO146">
        <f>IF($DM146=0,"",IF($L$7=0,"",IFERROR(IF(ISNUMBER(INDEX(PASTE_ALL,$DF146,$L$7)),INDEX(PASTE_ALL,$DF146,$L$7),TRIM(SUBSTITUTE(SUBSTITUTE(SUBSTITUTE(SUBSTITUTE(INDEX(PASTE_ALL,$DF146,$L$7)," "," "),CHAR(9)," "),CHAR(10)," "),CHAR(13)," "))),"")))</f>
        <v/>
      </c>
      <c r="DP146">
        <f>IF($DM146=0,"",IF($L$8=0,"",IFERROR(IF(ISNUMBER(INDEX(PASTE_ALL,$DF146,$L$8)),INDEX(PASTE_ALL,$DF146,$L$8),TRIM(SUBSTITUTE(SUBSTITUTE(SUBSTITUTE(SUBSTITUTE(INDEX(PASTE_ALL,$DF146,$L$8)," "," "),CHAR(9)," "),CHAR(10)," "),CHAR(13)," "))),"")))</f>
        <v/>
      </c>
      <c r="DQ146">
        <f>IF($DM146=0,"",IF($L$9=0,"",IFERROR(IF(ISNUMBER(INDEX(PASTE_ALL,$DF146,$L$9)),INDEX(PASTE_ALL,$DF146,$L$9),TRIM(SUBSTITUTE(SUBSTITUTE(SUBSTITUTE(SUBSTITUTE(INDEX(PASTE_ALL,$DF146,$L$9)," "," "),CHAR(9)," "),CHAR(10)," "),CHAR(13)," "))),"")))</f>
        <v/>
      </c>
      <c r="DR146">
        <f>IF($DM146=0,"",IF($L$10=0,"",IFERROR(IF(ISNUMBER(INDEX(PASTE_ALL,$DF146,$L$10)),INDEX(PASTE_ALL,$DF146,$L$10),TRIM(SUBSTITUTE(SUBSTITUTE(SUBSTITUTE(SUBSTITUTE(INDEX(PASTE_ALL,$DF146,$L$10)," "," "),CHAR(9)," "),CHAR(10)," "),CHAR(13)," "))),"")))</f>
        <v/>
      </c>
      <c r="DS146">
        <f>IF($DM146=0,"",IF($L$11=0,"",IFERROR(IF(ISNUMBER(INDEX(PASTE_ALL,$DF146,$L$11)),INDEX(PASTE_ALL,$DF146,$L$11),TRIM(SUBSTITUTE(SUBSTITUTE(SUBSTITUTE(SUBSTITUTE(INDEX(PASTE_ALL,$DF146,$L$11)," "," "),CHAR(9)," "),CHAR(10)," "),CHAR(13)," "))),"")))</f>
        <v/>
      </c>
      <c r="DT146">
        <f>IF($DM146=0,"",IF($L$12=0,"",IFERROR(IF(ISNUMBER(INDEX(PASTE_ALL,$DF146,$L$12)),INDEX(PASTE_ALL,$DF146,$L$12),TRIM(SUBSTITUTE(SUBSTITUTE(SUBSTITUTE(SUBSTITUTE(INDEX(PASTE_ALL,$DF146,$L$12)," "," "),CHAR(9)," "),CHAR(10)," "),CHAR(13)," "))),"")))</f>
        <v/>
      </c>
      <c r="DU146">
        <f>IF($DM146=0,"",IF($L$13=0,"",IFERROR(IF(ISNUMBER(INDEX(PASTE_ALL,$DF146,$L$13)),INDEX(PASTE_ALL,$DF146,$L$13),TRIM(SUBSTITUTE(SUBSTITUTE(SUBSTITUTE(SUBSTITUTE(INDEX(PASTE_ALL,$DF146,$L$13)," "," "),CHAR(9)," "),CHAR(10)," "),CHAR(13)," "))),"")))</f>
        <v/>
      </c>
      <c r="DV146">
        <f>IF($DM146=0,"",IF($L$14=0,"",IFERROR(IF(ISNUMBER(INDEX(PASTE_ALL,$DF146,$L$14)),INDEX(PASTE_ALL,$DF146,$L$14),TRIM(SUBSTITUTE(SUBSTITUTE(SUBSTITUTE(SUBSTITUTE(INDEX(PASTE_ALL,$DF146,$L$14)," "," "),CHAR(9)," "),CHAR(10)," "),CHAR(13)," "))),"")))</f>
        <v/>
      </c>
      <c r="DW146">
        <f>IF($DM146=0,"",IF($L$15=0,"",IFERROR(IF(ISNUMBER(INDEX(PASTE_ALL,$DF146,$L$15)),INDEX(PASTE_ALL,$DF146,$L$15),IF(SUMPRODUCT(--ISNUMBER(FIND({"A","B","C","D","E","F","G","H","I","J","K","L","M","N","O","P","Q","R","S","T","U","V","W","X","Y","Z","0","1","2","3","4","5","6","7","8","9"},UPPER(TRIM(SUBSTITUTE(SUBSTITUTE(SUBSTITUTE(SUBSTITUTE(INDEX(PASTE_ALL,$DF146,$L$15)," "," "),CHAR(9)," "),CHAR(10)," "),CHAR(13)," "))))))&gt;0,TRIM(SUBSTITUTE(SUBSTITUTE(SUBSTITUTE(SUBSTITUTE(INDEX(PASTE_ALL,$DF146,$L$15)," "," "),CHAR(9)," "),CHAR(10)," "),CHAR(13)," ")),"")),"")))</f>
        <v/>
      </c>
      <c r="DX146">
        <f>IF($DM146=0,"",IF($L$16=0,"",IFERROR(IF(ISNUMBER(INDEX(PASTE_ALL,$DF146,$L$16)),INDEX(PASTE_ALL,$DF146,$L$16),SUBSTITUTE(SUBSTITUTE(TRIM(SUBSTITUTE(SUBSTITUTE(SUBSTITUTE(SUBSTITUTE(INDEX(PASTE_ALL,$DF146,$L$16)," "," "),CHAR(9)," "),CHAR(10)," "),CHAR(13)," ")),",",""),"%","")),"")))</f>
        <v/>
      </c>
      <c r="DY146">
        <f>IF($DM146=0,"",IFERROR(IF(ISNUMBER($DX146),$DX146,IF($DX146="","",IF(TRIM($DX146)="",0,IF(AND(AND(SUBSTITUTE(SUBSTITUTE(SUBSTITUTE(SUBSTITUTE(SUBSTITUTE(SUBSTITUTE(SUBSTITUTE(SUBSTITUTE(SUBSTITUTE(SUBSTITUTE(SUBSTITUTE(SUBSTITUTE(SUBSTITUTE(SUBSTITUTE(UPPER(TRIM($DX146)),"0",""),"1",""),"2",""),"3",""),"4",""),"5",""),"6",""),"7",""),"8",""),"9",""),".",""),"+",""),"-",""),"E","")="",LEN(SUBSTITUTE(SUBSTITUTE(MID(UPPER(TRIM($DX146)),1+OR(LEFT(UPPER(TRIM($DX146)),1)="+",LEFT(UPPER(TRIM($DX146)),1)="-"),999),"E+","E"),"E-","E"))=LEN(SUBSTITUTE(SUBSTITUTE(SUBSTITUTE(SUBSTITUTE(MID(UPPER(TRIM($DX146)),1+OR(LEFT(UPPER(TRIM($DX146)),1)="+",LEFT(UPPER(TRIM($DX146)),1)="-"),999),"E+","E"),"E-","E"),"+",""),"-","")),LEN(UPPER(TRIM($DX146)))-LEN(SUBSTITUTE(UPPER(TRIM($DX146)),"E",""))&lt;2,LEN(UPPER(TRIM($DX146)))-LEN(SUBSTITUTE(UPPER(TRIM($DX146)),".",""))&lt;2,IFERROR(FIND(".",UPPER(TRIM($DX146))),0)&lt;IFERROR(FIND("E",UPPER(TRIM($DX146))),999)),ISNUMBER(VALUE(TRIM($DX146)))),VALUE(TRIM($DX146)),"")))),""))</f>
        <v/>
      </c>
      <c r="DZ146">
        <f>IF($DM146=0,"",IF($L$17=0,"",IFERROR(IF(ISNUMBER(INDEX(PASTE_ALL,$DF146,$L$17)),INDEX(PASTE_ALL,$DF146,$L$17),SUBSTITUTE(SUBSTITUTE(TRIM(SUBSTITUTE(SUBSTITUTE(SUBSTITUTE(SUBSTITUTE(INDEX(PASTE_ALL,$DF146,$L$17)," "," "),CHAR(9)," "),CHAR(10)," "),CHAR(13)," ")),",",""),"%","")),"")))</f>
        <v/>
      </c>
      <c r="EA146">
        <f>IF($DM146=0,"",IFERROR(IF(ISNUMBER($DZ146),$DZ146,IF($DZ146="","",IF(TRIM($DZ146)="",0,IF(AND(AND(SUBSTITUTE(SUBSTITUTE(SUBSTITUTE(SUBSTITUTE(SUBSTITUTE(SUBSTITUTE(SUBSTITUTE(SUBSTITUTE(SUBSTITUTE(SUBSTITUTE(SUBSTITUTE(SUBSTITUTE(SUBSTITUTE(SUBSTITUTE(UPPER(TRIM($DZ146)),"0",""),"1",""),"2",""),"3",""),"4",""),"5",""),"6",""),"7",""),"8",""),"9",""),".",""),"+",""),"-",""),"E","")="",LEN(SUBSTITUTE(SUBSTITUTE(MID(UPPER(TRIM($DZ146)),1+OR(LEFT(UPPER(TRIM($DZ146)),1)="+",LEFT(UPPER(TRIM($DZ146)),1)="-"),999),"E+","E"),"E-","E"))=LEN(SUBSTITUTE(SUBSTITUTE(SUBSTITUTE(SUBSTITUTE(MID(UPPER(TRIM($DZ146)),1+OR(LEFT(UPPER(TRIM($DZ146)),1)="+",LEFT(UPPER(TRIM($DZ146)),1)="-"),999),"E+","E"),"E-","E"),"+",""),"-","")),LEN(UPPER(TRIM($DZ146)))-LEN(SUBSTITUTE(UPPER(TRIM($DZ146)),"E",""))&lt;2,LEN(UPPER(TRIM($DZ146)))-LEN(SUBSTITUTE(UPPER(TRIM($DZ146)),".",""))&lt;2,IFERROR(FIND(".",UPPER(TRIM($DZ146))),0)&lt;IFERROR(FIND("E",UPPER(TRIM($DZ146))),999)),ISNUMBER(VALUE(TRIM($DZ146)))),VALUE(TRIM($DZ146)),"")))),""))</f>
        <v/>
      </c>
      <c r="EB146">
        <f>IF($DM146=0,"",IF($L$18=0,"",IFERROR(IF(UPPER(TRIM(SUBSTITUTE(SUBSTITUTE(SUBSTITUTE(SUBSTITUTE(INDEX(PASTE_ALL,$DF146,$L$18)," "," "),CHAR(9)," "),CHAR(10)," "),CHAR(13)," ")))="READY","Ready",IF(UPPER(TRIM(SUBSTITUTE(SUBSTITUTE(SUBSTITUTE(SUBSTITUTE(INDEX(PASTE_ALL,$DF146,$L$18)," "," "),CHAR(9)," "),CHAR(10)," "),CHAR(13)," ")))="PM","PM",IF(OR(UPPER(TRIM(SUBSTITUTE(SUBSTITUTE(SUBSTITUTE(SUBSTITUTE(INDEX(PASTE_ALL,$DF146,$L$18)," "," "),CHAR(9)," "),CHAR(10)," "),CHAR(13)," ")))="OT",UPPER(TRIM(SUBSTITUTE(SUBSTITUTE(SUBSTITUTE(SUBSTITUTE(INDEX(PASTE_ALL,$DF146,$L$18)," "," "),CHAR(9)," "),CHAR(10)," "),CHAR(13)," ")))="OVERTIME",UPPER(TRIM(SUBSTITUTE(SUBSTITUTE(SUBSTITUTE(SUBSTITUTE(INDEX(PASTE_ALL,$DF146,$L$18)," "," "),CHAR(9)," "),CHAR(10)," "),CHAR(13)," ")))="TRIAL"),"OT",TRIM(SUBSTITUTE(SUBSTITUTE(SUBSTITUTE(SUBSTITUTE(INDEX(PASTE_ALL,$DF146,$L$18)," "," "),CHAR(9)," "),CHAR(10)," "),CHAR(13)," "))))),"")))</f>
        <v/>
      </c>
      <c r="EC146">
        <f>IF($DM146=0,"",IF($L$19=0,"",IFERROR(IF(ISNUMBER(INDEX(PASTE_ALL,$DF146,$L$19)),INDEX(PASTE_ALL,$DF146,$L$19),TRIM(SUBSTITUTE(SUBSTITUTE(SUBSTITUTE(SUBSTITUTE(INDEX(PASTE_ALL,$DF146,$L$19)," "," "),CHAR(9)," "),CHAR(10)," "),CHAR(13)," "))),"")))</f>
        <v/>
      </c>
      <c r="ED146">
        <f>IF($DM146=0,"",MATCH(1,INDEX(EXACT($DH$5:DH146,$DH146)*$DM$5:DM146,0),0))</f>
        <v/>
      </c>
      <c r="EE146">
        <f>IF($DM146=0,0,IF($ED146=$DE146,1,0))</f>
        <v/>
      </c>
      <c r="EF146">
        <f>EF145+$EE146</f>
        <v/>
      </c>
      <c r="EG146">
        <f>IF($DM146=0,"",INDEX($EF$5:$EF$1003,$ED146))</f>
        <v/>
      </c>
      <c r="EH146">
        <f>IF($DM146=0,"",IF($DO146&lt;&gt;"","",IFERROR(LOOKUP(2,1/(($EG$4:EG145=$EG146)*($DO$4:DO145&lt;&gt;"")),$DO$4:DO145),"")))</f>
        <v/>
      </c>
      <c r="EI146">
        <f>IF($DM146=0,"",IF($DO146&lt;&gt;"",$DO146,$EH146))</f>
        <v/>
      </c>
      <c r="EJ146">
        <f>IF($DM146=0,"",IF($EI146="",0,IF(OR(ISNUMBER($EI146),AND(AND(SUBSTITUTE(SUBSTITUTE(SUBSTITUTE(SUBSTITUTE(SUBSTITUTE(SUBSTITUTE(SUBSTITUTE(SUBSTITUTE(SUBSTITUTE(SUBSTITUTE(SUBSTITUTE(SUBSTITUTE(SUBSTITUTE(SUBSTITUTE(UPPER($EI146),"0",""),"1",""),"2",""),"3",""),"4",""),"5",""),"6",""),"7",""),"8",""),"9",""),".",""),"+",""),"-",""),"E","")="",LEN(SUBSTITUTE(SUBSTITUTE(MID(UPPER($EI146),1+OR(LEFT(UPPER($EI146),1)="+",LEFT(UPPER($EI146),1)="-"),999),"E+","E"),"E-","E"))=LEN(SUBSTITUTE(SUBSTITUTE(SUBSTITUTE(SUBSTITUTE(MID(UPPER($EI146),1+OR(LEFT(UPPER($EI146),1)="+",LEFT(UPPER($EI146),1)="-"),999),"E+","E"),"E-","E"),"+",""),"-","")),LEN(UPPER($EI146))-LEN(SUBSTITUTE(UPPER($EI146),"E",""))&lt;2,LEN(UPPER($EI146))-LEN(SUBSTITUTE(UPPER($EI146),".",""))&lt;2,IFERROR(FIND(".",UPPER($EI146)),0)&lt;IFERROR(FIND("E",UPPER($EI146)),999)),ISNUMBER(VALUE($EI146)))),1,2)))</f>
        <v/>
      </c>
      <c r="EK146">
        <f>IF($DM146=0,"",IF($EJ146=1,IF(ISNUMBER($EI146),$EI146,VALUE($EI146)),IF($EJ146=2,$DE146,0)))</f>
        <v/>
      </c>
      <c r="EL146">
        <f>IF($DM146=0,"",COUNTIF($EG$5:$EG$1003,"&lt;"&amp;$EG146)+SUMPRODUCT(($EG$5:$EG$1003=$EG146)*(($EJ$5:$EJ$1003&lt;$EJ146)+($EJ$5:$EJ$1003=$EJ146)*(($EK$5:$EK$1003&lt;$EK146)+($EK$5:$EK$1003=$EK146)*($DE$5:$DE$1003&lt;$DE146))))+1)</f>
        <v/>
      </c>
      <c r="EM146">
        <f>IF($DM146=0,"",$EL146+$EG146-1)</f>
        <v/>
      </c>
      <c r="EN146">
        <f>IF($DM146=0,0,IFERROR(MATCH(1,INDEX(--(TRIM(SUBSTITUTE(SUBSTITUTE(SUBSTITUTE(SUBSTITUTE(LINES_NAME&amp;""," "," "),CHAR(9)," "),CHAR(10)," "),CHAR(13)," "))=$DH146),0),0),0))</f>
        <v/>
      </c>
      <c r="EO146">
        <f>IF($EN146=0,0,IF(OR(UPPER(TRIM(INDEX(LINES_SCHEDULED,$EN146)&amp;""))="YES",UPPER(TRIM(INDEX(LINES_SCHEDULED,$EN146)&amp;""))="Y",UPPER(TRIM(INDEX(LINES_SCHEDULED,$EN146)&amp;""))="X"),1,0))</f>
        <v/>
      </c>
      <c r="EP146">
        <f>IF($DM146=0,"",IF(COUNTIFS($EG$5:$EG$1003,$EG146,$EB$5:$EB$1003,"Ready")&gt;0,"READY",IF(COUNTIFS($EG$5:$EG$1003,$EG146,$EB$5:$EB$1003,"PM")&gt;0,"PM",IF(COUNTIFS($EG$5:$EG$1003,$EG146,$EB$5:$EB$1003,"OT")&gt;0,"OT",""))))</f>
        <v/>
      </c>
      <c r="EQ146">
        <f>IF($EN146=0,"",UPPER(TRIM(INDEX(LINES_STATUS,$EN146)&amp;"")))</f>
        <v/>
      </c>
      <c r="ER146">
        <f>IF($DM146=0,"",IF(OR($EQ146="READY",$EQ146="PM",$EQ146="OT"),$EQ146,$EP146))</f>
        <v/>
      </c>
      <c r="ES146">
        <f>IF($DM146=0,"",IF(AND($DV146&lt;&gt;"",UPPER($DV146)&lt;&gt;"N"),"allergen",IF(ISNUMBER(SEARCH("oil",$DQ146)),"oil",IF(OR(EXACT($DS146,"A662"),EXACT($DS146,"A624")),"bulk",""))))</f>
        <v/>
      </c>
      <c r="ET146">
        <f>IF($DM146=0,"",IF(OR($EA146="",$EA146=0),"",$EA146/100))</f>
        <v/>
      </c>
      <c r="EU146">
        <f>IF(OR($ET146="",$DY146=""),"",INT($DY146*(1-$ET146)+0.5))</f>
        <v/>
      </c>
      <c r="EW146" t="n">
        <v>142</v>
      </c>
      <c r="EX146">
        <f>IFERROR(MATCH($EW146,$EM$5:$EM$1003,0),0)</f>
        <v/>
      </c>
      <c r="EY146">
        <f>IF($EW146&gt;$B$12,"",IF($EX146&gt;0,"row","spacer"))</f>
        <v/>
      </c>
      <c r="EZ146">
        <f>IF(AND($EY146="row",$EY145&lt;&gt;"row"),1,0)</f>
        <v/>
      </c>
      <c r="FA146">
        <f>IF(AND($EY146="row",$EY147&lt;&gt;"row"),1,0)</f>
        <v/>
      </c>
      <c r="FB146">
        <f>IF($EZ146=1,IFERROR(IF(ISNUMBER(INDEX(PASTE_ALL,INDEX($DF$5:$DF$1003,$EX146),$B$37)),INDEX(PASTE_ALL,INDEX($DF$5:$DF$1003,$EX146),$B$37),INDEX($DH$5:$DH$1003,$EX146)),INDEX($DH$5:$DH$1003,$EX146)),"")</f>
        <v/>
      </c>
      <c r="FC146">
        <f>IF($EY146="row",INDEX($ER$5:$ER$1003,$EX146),"")</f>
        <v/>
      </c>
      <c r="FD146">
        <f>IF($EY146="row",INDEX($DN$5:$DN$1003,$EX146),"")</f>
        <v/>
      </c>
      <c r="FE146">
        <f>IF($EY146="row",INDEX($DO$5:$DO$1003,$EX146),"")</f>
        <v/>
      </c>
      <c r="FF146">
        <f>IF($EY146="row",INDEX($DP$5:$DP$1003,$EX146),"")</f>
        <v/>
      </c>
      <c r="FG146">
        <f>IF($EY146="row",INDEX($DQ$5:$DQ$1003,$EX146),"")</f>
        <v/>
      </c>
      <c r="FH146">
        <f>IF($EY146="row",INDEX($DR$5:$DR$1003,$EX146),"")</f>
        <v/>
      </c>
      <c r="FI146">
        <f>IF($EY146="row",INDEX($DS$5:$DS$1003,$EX146),"")</f>
        <v/>
      </c>
      <c r="FJ146">
        <f>IF($EY146="row",INDEX($DT$5:$DT$1003,$EX146),"")</f>
        <v/>
      </c>
      <c r="FK146">
        <f>IF($EY146="row",INDEX($DU$5:$DU$1003,$EX146),"")</f>
        <v/>
      </c>
      <c r="FL146">
        <f>IF($EY146="row",INDEX($DV$5:$DV$1003,$EX146),"")</f>
        <v/>
      </c>
      <c r="FM146">
        <f>IF($EY146="row",INDEX($DW$5:$DW$1003,$EX146),"")</f>
        <v/>
      </c>
      <c r="FN146">
        <f>IF($EY146="row",INDEX($DY$5:$DY$1003,$EX146),"")</f>
        <v/>
      </c>
      <c r="FO146">
        <f>IF($EY146="row",INDEX($EA$5:$EA$1003,$EX146),"")</f>
        <v/>
      </c>
      <c r="FP146">
        <f>IF($EY146="row",INDEX($EC$5:$EC$1003,$EX146),"")</f>
        <v/>
      </c>
      <c r="FQ146">
        <f>IF($EY146="row",INDEX($ET$5:$ET$1003,$EX146),"")</f>
        <v/>
      </c>
      <c r="FR146">
        <f>IF($EY146="row",INDEX($EU$5:$EU$1003,$EX146),"")</f>
        <v/>
      </c>
      <c r="FS146">
        <f>IF(AND($EY146="row",$EY145="row"),IF(OR(INDEX($DT$5:$DT$1003,$EX145)="",INDEX($DT$5:$DT$1003,$EX146)=""),"",IF(NOT(EXACT(INDEX($DT$5:$DT$1003,$EX145),INDEX($DT$5:$DT$1003,$EX146))),"S4",IF(NOT(EXACT(INDEX($DS$5:$DS$1003,$EX145),INDEX($DS$5:$DS$1003,$EX146))),"S3",IF(NOT(EXACT(INDEX($DR$5:$DR$1003,$EX145),INDEX($DR$5:$DR$1003,$EX146))),"S1 Count Change","S1")))),"")</f>
        <v/>
      </c>
      <c r="FT146">
        <f>IF($EY146="row",INDEX($ES$5:$ES$1003,$EX146),"")</f>
        <v/>
      </c>
      <c r="FU146">
        <f>IF($EY146="row",INDEX($EO$5:$EO$1003,$EX146),0)</f>
        <v/>
      </c>
      <c r="FV146">
        <f>IF($FS146="S1 Count Change",1,0)</f>
        <v/>
      </c>
    </row>
    <row r="147">
      <c r="Y147">
        <f>IF(Y12="",0,2*(OR(ISNUMBER(FIND("WORKCENTER",Y12)),AND(LEFT(Y12,4)="LINE",NOT(ISNUMBER(FIND("STATUS",Y12))))))+4*(OR(ISNUMBER(FIND("WORKORDER",Y12)),AND(LEFT(Y12,2)="WO",OR(ISNUMBER(FIND("NUM",Y12)),RIGHT(Y12,2)="NO"))))+8*(LEFT(Y12,3)="SEQ")+16*(AND(LEFT(Y12,4)="ITEM",NOT(ISNUMBER(FIND("DESC",Y12)))))+32*(AND(ISNUMBER(FIND("DESC",Y12)),NOT(ISNUMBER(FIND("CAP",Y12)))))+64*(OR(RIGHT(Y12,5)="COUNT",RIGHT(Y12,2)="CT"))+128*(ISNUMBER(FIND("BULK",Y12)))+256*(ISNUMBER(FIND("SIZE",Y12)))+512*(LEFT(Y12,3)="CAP")+1024*(ISNUMBER(FIND("ALLERG",Y12)))+2048*(OR(ISNUMBER(FIND("REMARK",Y12)),ISNUMBER(FIND("COMMENT",Y12))))+4096*(OR(ISNUMBER(FIND("QTY",Y12)),ISNUMBER(FIND("QUANTITY",Y12))))+8192*(AND(OR(ISNUMBER(FIND("COMPLETE",Y12)),ISNUMBER(FIND("PCT",Y12)),ISNUMBER(FIND("PERCENT",Y12))),NOT(ISNUMBER(FIND("ACTUAL",Y12))),LEN(Y12)&lt;=16))+32768*(OR(ISNUMBER(FIND("DESIC",Y12)),ISNUMBER(FIND("DESSIC",Y12)))))</f>
        <v/>
      </c>
      <c r="Z147">
        <f>IF(Z12="",0,2*(OR(ISNUMBER(FIND("WORKCENTER",Z12)),AND(LEFT(Z12,4)="LINE",NOT(ISNUMBER(FIND("STATUS",Z12))))))+4*(OR(ISNUMBER(FIND("WORKORDER",Z12)),AND(LEFT(Z12,2)="WO",OR(ISNUMBER(FIND("NUM",Z12)),RIGHT(Z12,2)="NO"))))+8*(LEFT(Z12,3)="SEQ")+16*(AND(LEFT(Z12,4)="ITEM",NOT(ISNUMBER(FIND("DESC",Z12)))))+32*(AND(ISNUMBER(FIND("DESC",Z12)),NOT(ISNUMBER(FIND("CAP",Z12)))))+64*(OR(RIGHT(Z12,5)="COUNT",RIGHT(Z12,2)="CT"))+128*(ISNUMBER(FIND("BULK",Z12)))+256*(ISNUMBER(FIND("SIZE",Z12)))+512*(LEFT(Z12,3)="CAP")+1024*(ISNUMBER(FIND("ALLERG",Z12)))+2048*(OR(ISNUMBER(FIND("REMARK",Z12)),ISNUMBER(FIND("COMMENT",Z12))))+4096*(OR(ISNUMBER(FIND("QTY",Z12)),ISNUMBER(FIND("QUANTITY",Z12))))+8192*(AND(OR(ISNUMBER(FIND("COMPLETE",Z12)),ISNUMBER(FIND("PCT",Z12)),ISNUMBER(FIND("PERCENT",Z12))),NOT(ISNUMBER(FIND("ACTUAL",Z12))),LEN(Z12)&lt;=16))+32768*(OR(ISNUMBER(FIND("DESIC",Z12)),ISNUMBER(FIND("DESSIC",Z12)))))</f>
        <v/>
      </c>
      <c r="AA147">
        <f>IF(AA12="",0,2*(OR(ISNUMBER(FIND("WORKCENTER",AA12)),AND(LEFT(AA12,4)="LINE",NOT(ISNUMBER(FIND("STATUS",AA12))))))+4*(OR(ISNUMBER(FIND("WORKORDER",AA12)),AND(LEFT(AA12,2)="WO",OR(ISNUMBER(FIND("NUM",AA12)),RIGHT(AA12,2)="NO"))))+8*(LEFT(AA12,3)="SEQ")+16*(AND(LEFT(AA12,4)="ITEM",NOT(ISNUMBER(FIND("DESC",AA12)))))+32*(AND(ISNUMBER(FIND("DESC",AA12)),NOT(ISNUMBER(FIND("CAP",AA12)))))+64*(OR(RIGHT(AA12,5)="COUNT",RIGHT(AA12,2)="CT"))+128*(ISNUMBER(FIND("BULK",AA12)))+256*(ISNUMBER(FIND("SIZE",AA12)))+512*(LEFT(AA12,3)="CAP")+1024*(ISNUMBER(FIND("ALLERG",AA12)))+2048*(OR(ISNUMBER(FIND("REMARK",AA12)),ISNUMBER(FIND("COMMENT",AA12))))+4096*(OR(ISNUMBER(FIND("QTY",AA12)),ISNUMBER(FIND("QUANTITY",AA12))))+8192*(AND(OR(ISNUMBER(FIND("COMPLETE",AA12)),ISNUMBER(FIND("PCT",AA12)),ISNUMBER(FIND("PERCENT",AA12))),NOT(ISNUMBER(FIND("ACTUAL",AA12))),LEN(AA12)&lt;=16))+32768*(OR(ISNUMBER(FIND("DESIC",AA12)),ISNUMBER(FIND("DESSIC",AA12)))))</f>
        <v/>
      </c>
      <c r="AB147">
        <f>IF(AB12="",0,2*(OR(ISNUMBER(FIND("WORKCENTER",AB12)),AND(LEFT(AB12,4)="LINE",NOT(ISNUMBER(FIND("STATUS",AB12))))))+4*(OR(ISNUMBER(FIND("WORKORDER",AB12)),AND(LEFT(AB12,2)="WO",OR(ISNUMBER(FIND("NUM",AB12)),RIGHT(AB12,2)="NO"))))+8*(LEFT(AB12,3)="SEQ")+16*(AND(LEFT(AB12,4)="ITEM",NOT(ISNUMBER(FIND("DESC",AB12)))))+32*(AND(ISNUMBER(FIND("DESC",AB12)),NOT(ISNUMBER(FIND("CAP",AB12)))))+64*(OR(RIGHT(AB12,5)="COUNT",RIGHT(AB12,2)="CT"))+128*(ISNUMBER(FIND("BULK",AB12)))+256*(ISNUMBER(FIND("SIZE",AB12)))+512*(LEFT(AB12,3)="CAP")+1024*(ISNUMBER(FIND("ALLERG",AB12)))+2048*(OR(ISNUMBER(FIND("REMARK",AB12)),ISNUMBER(FIND("COMMENT",AB12))))+4096*(OR(ISNUMBER(FIND("QTY",AB12)),ISNUMBER(FIND("QUANTITY",AB12))))+8192*(AND(OR(ISNUMBER(FIND("COMPLETE",AB12)),ISNUMBER(FIND("PCT",AB12)),ISNUMBER(FIND("PERCENT",AB12))),NOT(ISNUMBER(FIND("ACTUAL",AB12))),LEN(AB12)&lt;=16))+32768*(OR(ISNUMBER(FIND("DESIC",AB12)),ISNUMBER(FIND("DESSIC",AB12)))))</f>
        <v/>
      </c>
      <c r="AC147">
        <f>IF(AC12="",0,2*(OR(ISNUMBER(FIND("WORKCENTER",AC12)),AND(LEFT(AC12,4)="LINE",NOT(ISNUMBER(FIND("STATUS",AC12))))))+4*(OR(ISNUMBER(FIND("WORKORDER",AC12)),AND(LEFT(AC12,2)="WO",OR(ISNUMBER(FIND("NUM",AC12)),RIGHT(AC12,2)="NO"))))+8*(LEFT(AC12,3)="SEQ")+16*(AND(LEFT(AC12,4)="ITEM",NOT(ISNUMBER(FIND("DESC",AC12)))))+32*(AND(ISNUMBER(FIND("DESC",AC12)),NOT(ISNUMBER(FIND("CAP",AC12)))))+64*(OR(RIGHT(AC12,5)="COUNT",RIGHT(AC12,2)="CT"))+128*(ISNUMBER(FIND("BULK",AC12)))+256*(ISNUMBER(FIND("SIZE",AC12)))+512*(LEFT(AC12,3)="CAP")+1024*(ISNUMBER(FIND("ALLERG",AC12)))+2048*(OR(ISNUMBER(FIND("REMARK",AC12)),ISNUMBER(FIND("COMMENT",AC12))))+4096*(OR(ISNUMBER(FIND("QTY",AC12)),ISNUMBER(FIND("QUANTITY",AC12))))+8192*(AND(OR(ISNUMBER(FIND("COMPLETE",AC12)),ISNUMBER(FIND("PCT",AC12)),ISNUMBER(FIND("PERCENT",AC12))),NOT(ISNUMBER(FIND("ACTUAL",AC12))),LEN(AC12)&lt;=16))+32768*(OR(ISNUMBER(FIND("DESIC",AC12)),ISNUMBER(FIND("DESSIC",AC12)))))</f>
        <v/>
      </c>
      <c r="AD147">
        <f>IF(AD12="",0,2*(OR(ISNUMBER(FIND("WORKCENTER",AD12)),AND(LEFT(AD12,4)="LINE",NOT(ISNUMBER(FIND("STATUS",AD12))))))+4*(OR(ISNUMBER(FIND("WORKORDER",AD12)),AND(LEFT(AD12,2)="WO",OR(ISNUMBER(FIND("NUM",AD12)),RIGHT(AD12,2)="NO"))))+8*(LEFT(AD12,3)="SEQ")+16*(AND(LEFT(AD12,4)="ITEM",NOT(ISNUMBER(FIND("DESC",AD12)))))+32*(AND(ISNUMBER(FIND("DESC",AD12)),NOT(ISNUMBER(FIND("CAP",AD12)))))+64*(OR(RIGHT(AD12,5)="COUNT",RIGHT(AD12,2)="CT"))+128*(ISNUMBER(FIND("BULK",AD12)))+256*(ISNUMBER(FIND("SIZE",AD12)))+512*(LEFT(AD12,3)="CAP")+1024*(ISNUMBER(FIND("ALLERG",AD12)))+2048*(OR(ISNUMBER(FIND("REMARK",AD12)),ISNUMBER(FIND("COMMENT",AD12))))+4096*(OR(ISNUMBER(FIND("QTY",AD12)),ISNUMBER(FIND("QUANTITY",AD12))))+8192*(AND(OR(ISNUMBER(FIND("COMPLETE",AD12)),ISNUMBER(FIND("PCT",AD12)),ISNUMBER(FIND("PERCENT",AD12))),NOT(ISNUMBER(FIND("ACTUAL",AD12))),LEN(AD12)&lt;=16))+32768*(OR(ISNUMBER(FIND("DESIC",AD12)),ISNUMBER(FIND("DESSIC",AD12)))))</f>
        <v/>
      </c>
      <c r="AE147">
        <f>IF(AE12="",0,2*(OR(ISNUMBER(FIND("WORKCENTER",AE12)),AND(LEFT(AE12,4)="LINE",NOT(ISNUMBER(FIND("STATUS",AE12))))))+4*(OR(ISNUMBER(FIND("WORKORDER",AE12)),AND(LEFT(AE12,2)="WO",OR(ISNUMBER(FIND("NUM",AE12)),RIGHT(AE12,2)="NO"))))+8*(LEFT(AE12,3)="SEQ")+16*(AND(LEFT(AE12,4)="ITEM",NOT(ISNUMBER(FIND("DESC",AE12)))))+32*(AND(ISNUMBER(FIND("DESC",AE12)),NOT(ISNUMBER(FIND("CAP",AE12)))))+64*(OR(RIGHT(AE12,5)="COUNT",RIGHT(AE12,2)="CT"))+128*(ISNUMBER(FIND("BULK",AE12)))+256*(ISNUMBER(FIND("SIZE",AE12)))+512*(LEFT(AE12,3)="CAP")+1024*(ISNUMBER(FIND("ALLERG",AE12)))+2048*(OR(ISNUMBER(FIND("REMARK",AE12)),ISNUMBER(FIND("COMMENT",AE12))))+4096*(OR(ISNUMBER(FIND("QTY",AE12)),ISNUMBER(FIND("QUANTITY",AE12))))+8192*(AND(OR(ISNUMBER(FIND("COMPLETE",AE12)),ISNUMBER(FIND("PCT",AE12)),ISNUMBER(FIND("PERCENT",AE12))),NOT(ISNUMBER(FIND("ACTUAL",AE12))),LEN(AE12)&lt;=16))+32768*(OR(ISNUMBER(FIND("DESIC",AE12)),ISNUMBER(FIND("DESSIC",AE12)))))</f>
        <v/>
      </c>
      <c r="AF147">
        <f>IF(AF12="",0,2*(OR(ISNUMBER(FIND("WORKCENTER",AF12)),AND(LEFT(AF12,4)="LINE",NOT(ISNUMBER(FIND("STATUS",AF12))))))+4*(OR(ISNUMBER(FIND("WORKORDER",AF12)),AND(LEFT(AF12,2)="WO",OR(ISNUMBER(FIND("NUM",AF12)),RIGHT(AF12,2)="NO"))))+8*(LEFT(AF12,3)="SEQ")+16*(AND(LEFT(AF12,4)="ITEM",NOT(ISNUMBER(FIND("DESC",AF12)))))+32*(AND(ISNUMBER(FIND("DESC",AF12)),NOT(ISNUMBER(FIND("CAP",AF12)))))+64*(OR(RIGHT(AF12,5)="COUNT",RIGHT(AF12,2)="CT"))+128*(ISNUMBER(FIND("BULK",AF12)))+256*(ISNUMBER(FIND("SIZE",AF12)))+512*(LEFT(AF12,3)="CAP")+1024*(ISNUMBER(FIND("ALLERG",AF12)))+2048*(OR(ISNUMBER(FIND("REMARK",AF12)),ISNUMBER(FIND("COMMENT",AF12))))+4096*(OR(ISNUMBER(FIND("QTY",AF12)),ISNUMBER(FIND("QUANTITY",AF12))))+8192*(AND(OR(ISNUMBER(FIND("COMPLETE",AF12)),ISNUMBER(FIND("PCT",AF12)),ISNUMBER(FIND("PERCENT",AF12))),NOT(ISNUMBER(FIND("ACTUAL",AF12))),LEN(AF12)&lt;=16))+32768*(OR(ISNUMBER(FIND("DESIC",AF12)),ISNUMBER(FIND("DESSIC",AF12)))))</f>
        <v/>
      </c>
      <c r="AG147">
        <f>IF(AG12="",0,2*(OR(ISNUMBER(FIND("WORKCENTER",AG12)),AND(LEFT(AG12,4)="LINE",NOT(ISNUMBER(FIND("STATUS",AG12))))))+4*(OR(ISNUMBER(FIND("WORKORDER",AG12)),AND(LEFT(AG12,2)="WO",OR(ISNUMBER(FIND("NUM",AG12)),RIGHT(AG12,2)="NO"))))+8*(LEFT(AG12,3)="SEQ")+16*(AND(LEFT(AG12,4)="ITEM",NOT(ISNUMBER(FIND("DESC",AG12)))))+32*(AND(ISNUMBER(FIND("DESC",AG12)),NOT(ISNUMBER(FIND("CAP",AG12)))))+64*(OR(RIGHT(AG12,5)="COUNT",RIGHT(AG12,2)="CT"))+128*(ISNUMBER(FIND("BULK",AG12)))+256*(ISNUMBER(FIND("SIZE",AG12)))+512*(LEFT(AG12,3)="CAP")+1024*(ISNUMBER(FIND("ALLERG",AG12)))+2048*(OR(ISNUMBER(FIND("REMARK",AG12)),ISNUMBER(FIND("COMMENT",AG12))))+4096*(OR(ISNUMBER(FIND("QTY",AG12)),ISNUMBER(FIND("QUANTITY",AG12))))+8192*(AND(OR(ISNUMBER(FIND("COMPLETE",AG12)),ISNUMBER(FIND("PCT",AG12)),ISNUMBER(FIND("PERCENT",AG12))),NOT(ISNUMBER(FIND("ACTUAL",AG12))),LEN(AG12)&lt;=16))+32768*(OR(ISNUMBER(FIND("DESIC",AG12)),ISNUMBER(FIND("DESSIC",AG12)))))</f>
        <v/>
      </c>
      <c r="AH147">
        <f>IF(AH12="",0,2*(OR(ISNUMBER(FIND("WORKCENTER",AH12)),AND(LEFT(AH12,4)="LINE",NOT(ISNUMBER(FIND("STATUS",AH12))))))+4*(OR(ISNUMBER(FIND("WORKORDER",AH12)),AND(LEFT(AH12,2)="WO",OR(ISNUMBER(FIND("NUM",AH12)),RIGHT(AH12,2)="NO"))))+8*(LEFT(AH12,3)="SEQ")+16*(AND(LEFT(AH12,4)="ITEM",NOT(ISNUMBER(FIND("DESC",AH12)))))+32*(AND(ISNUMBER(FIND("DESC",AH12)),NOT(ISNUMBER(FIND("CAP",AH12)))))+64*(OR(RIGHT(AH12,5)="COUNT",RIGHT(AH12,2)="CT"))+128*(ISNUMBER(FIND("BULK",AH12)))+256*(ISNUMBER(FIND("SIZE",AH12)))+512*(LEFT(AH12,3)="CAP")+1024*(ISNUMBER(FIND("ALLERG",AH12)))+2048*(OR(ISNUMBER(FIND("REMARK",AH12)),ISNUMBER(FIND("COMMENT",AH12))))+4096*(OR(ISNUMBER(FIND("QTY",AH12)),ISNUMBER(FIND("QUANTITY",AH12))))+8192*(AND(OR(ISNUMBER(FIND("COMPLETE",AH12)),ISNUMBER(FIND("PCT",AH12)),ISNUMBER(FIND("PERCENT",AH12))),NOT(ISNUMBER(FIND("ACTUAL",AH12))),LEN(AH12)&lt;=16))+32768*(OR(ISNUMBER(FIND("DESIC",AH12)),ISNUMBER(FIND("DESSIC",AH12)))))</f>
        <v/>
      </c>
      <c r="AI147">
        <f>IF(AI12="",0,2*(OR(ISNUMBER(FIND("WORKCENTER",AI12)),AND(LEFT(AI12,4)="LINE",NOT(ISNUMBER(FIND("STATUS",AI12))))))+4*(OR(ISNUMBER(FIND("WORKORDER",AI12)),AND(LEFT(AI12,2)="WO",OR(ISNUMBER(FIND("NUM",AI12)),RIGHT(AI12,2)="NO"))))+8*(LEFT(AI12,3)="SEQ")+16*(AND(LEFT(AI12,4)="ITEM",NOT(ISNUMBER(FIND("DESC",AI12)))))+32*(AND(ISNUMBER(FIND("DESC",AI12)),NOT(ISNUMBER(FIND("CAP",AI12)))))+64*(OR(RIGHT(AI12,5)="COUNT",RIGHT(AI12,2)="CT"))+128*(ISNUMBER(FIND("BULK",AI12)))+256*(ISNUMBER(FIND("SIZE",AI12)))+512*(LEFT(AI12,3)="CAP")+1024*(ISNUMBER(FIND("ALLERG",AI12)))+2048*(OR(ISNUMBER(FIND("REMARK",AI12)),ISNUMBER(FIND("COMMENT",AI12))))+4096*(OR(ISNUMBER(FIND("QTY",AI12)),ISNUMBER(FIND("QUANTITY",AI12))))+8192*(AND(OR(ISNUMBER(FIND("COMPLETE",AI12)),ISNUMBER(FIND("PCT",AI12)),ISNUMBER(FIND("PERCENT",AI12))),NOT(ISNUMBER(FIND("ACTUAL",AI12))),LEN(AI12)&lt;=16))+32768*(OR(ISNUMBER(FIND("DESIC",AI12)),ISNUMBER(FIND("DESSIC",AI12)))))</f>
        <v/>
      </c>
      <c r="AJ147">
        <f>IF(AJ12="",0,2*(OR(ISNUMBER(FIND("WORKCENTER",AJ12)),AND(LEFT(AJ12,4)="LINE",NOT(ISNUMBER(FIND("STATUS",AJ12))))))+4*(OR(ISNUMBER(FIND("WORKORDER",AJ12)),AND(LEFT(AJ12,2)="WO",OR(ISNUMBER(FIND("NUM",AJ12)),RIGHT(AJ12,2)="NO"))))+8*(LEFT(AJ12,3)="SEQ")+16*(AND(LEFT(AJ12,4)="ITEM",NOT(ISNUMBER(FIND("DESC",AJ12)))))+32*(AND(ISNUMBER(FIND("DESC",AJ12)),NOT(ISNUMBER(FIND("CAP",AJ12)))))+64*(OR(RIGHT(AJ12,5)="COUNT",RIGHT(AJ12,2)="CT"))+128*(ISNUMBER(FIND("BULK",AJ12)))+256*(ISNUMBER(FIND("SIZE",AJ12)))+512*(LEFT(AJ12,3)="CAP")+1024*(ISNUMBER(FIND("ALLERG",AJ12)))+2048*(OR(ISNUMBER(FIND("REMARK",AJ12)),ISNUMBER(FIND("COMMENT",AJ12))))+4096*(OR(ISNUMBER(FIND("QTY",AJ12)),ISNUMBER(FIND("QUANTITY",AJ12))))+8192*(AND(OR(ISNUMBER(FIND("COMPLETE",AJ12)),ISNUMBER(FIND("PCT",AJ12)),ISNUMBER(FIND("PERCENT",AJ12))),NOT(ISNUMBER(FIND("ACTUAL",AJ12))),LEN(AJ12)&lt;=16))+32768*(OR(ISNUMBER(FIND("DESIC",AJ12)),ISNUMBER(FIND("DESSIC",AJ12)))))</f>
        <v/>
      </c>
      <c r="AK147">
        <f>IF(AK12="",0,2*(OR(ISNUMBER(FIND("WORKCENTER",AK12)),AND(LEFT(AK12,4)="LINE",NOT(ISNUMBER(FIND("STATUS",AK12))))))+4*(OR(ISNUMBER(FIND("WORKORDER",AK12)),AND(LEFT(AK12,2)="WO",OR(ISNUMBER(FIND("NUM",AK12)),RIGHT(AK12,2)="NO"))))+8*(LEFT(AK12,3)="SEQ")+16*(AND(LEFT(AK12,4)="ITEM",NOT(ISNUMBER(FIND("DESC",AK12)))))+32*(AND(ISNUMBER(FIND("DESC",AK12)),NOT(ISNUMBER(FIND("CAP",AK12)))))+64*(OR(RIGHT(AK12,5)="COUNT",RIGHT(AK12,2)="CT"))+128*(ISNUMBER(FIND("BULK",AK12)))+256*(ISNUMBER(FIND("SIZE",AK12)))+512*(LEFT(AK12,3)="CAP")+1024*(ISNUMBER(FIND("ALLERG",AK12)))+2048*(OR(ISNUMBER(FIND("REMARK",AK12)),ISNUMBER(FIND("COMMENT",AK12))))+4096*(OR(ISNUMBER(FIND("QTY",AK12)),ISNUMBER(FIND("QUANTITY",AK12))))+8192*(AND(OR(ISNUMBER(FIND("COMPLETE",AK12)),ISNUMBER(FIND("PCT",AK12)),ISNUMBER(FIND("PERCENT",AK12))),NOT(ISNUMBER(FIND("ACTUAL",AK12))),LEN(AK12)&lt;=16))+32768*(OR(ISNUMBER(FIND("DESIC",AK12)),ISNUMBER(FIND("DESSIC",AK12)))))</f>
        <v/>
      </c>
      <c r="AL147">
        <f>IF(AL12="",0,2*(OR(ISNUMBER(FIND("WORKCENTER",AL12)),AND(LEFT(AL12,4)="LINE",NOT(ISNUMBER(FIND("STATUS",AL12))))))+4*(OR(ISNUMBER(FIND("WORKORDER",AL12)),AND(LEFT(AL12,2)="WO",OR(ISNUMBER(FIND("NUM",AL12)),RIGHT(AL12,2)="NO"))))+8*(LEFT(AL12,3)="SEQ")+16*(AND(LEFT(AL12,4)="ITEM",NOT(ISNUMBER(FIND("DESC",AL12)))))+32*(AND(ISNUMBER(FIND("DESC",AL12)),NOT(ISNUMBER(FIND("CAP",AL12)))))+64*(OR(RIGHT(AL12,5)="COUNT",RIGHT(AL12,2)="CT"))+128*(ISNUMBER(FIND("BULK",AL12)))+256*(ISNUMBER(FIND("SIZE",AL12)))+512*(LEFT(AL12,3)="CAP")+1024*(ISNUMBER(FIND("ALLERG",AL12)))+2048*(OR(ISNUMBER(FIND("REMARK",AL12)),ISNUMBER(FIND("COMMENT",AL12))))+4096*(OR(ISNUMBER(FIND("QTY",AL12)),ISNUMBER(FIND("QUANTITY",AL12))))+8192*(AND(OR(ISNUMBER(FIND("COMPLETE",AL12)),ISNUMBER(FIND("PCT",AL12)),ISNUMBER(FIND("PERCENT",AL12))),NOT(ISNUMBER(FIND("ACTUAL",AL12))),LEN(AL12)&lt;=16))+32768*(OR(ISNUMBER(FIND("DESIC",AL12)),ISNUMBER(FIND("DESSIC",AL12)))))</f>
        <v/>
      </c>
      <c r="AM147">
        <f>IF(AM12="",0,2*(OR(ISNUMBER(FIND("WORKCENTER",AM12)),AND(LEFT(AM12,4)="LINE",NOT(ISNUMBER(FIND("STATUS",AM12))))))+4*(OR(ISNUMBER(FIND("WORKORDER",AM12)),AND(LEFT(AM12,2)="WO",OR(ISNUMBER(FIND("NUM",AM12)),RIGHT(AM12,2)="NO"))))+8*(LEFT(AM12,3)="SEQ")+16*(AND(LEFT(AM12,4)="ITEM",NOT(ISNUMBER(FIND("DESC",AM12)))))+32*(AND(ISNUMBER(FIND("DESC",AM12)),NOT(ISNUMBER(FIND("CAP",AM12)))))+64*(OR(RIGHT(AM12,5)="COUNT",RIGHT(AM12,2)="CT"))+128*(ISNUMBER(FIND("BULK",AM12)))+256*(ISNUMBER(FIND("SIZE",AM12)))+512*(LEFT(AM12,3)="CAP")+1024*(ISNUMBER(FIND("ALLERG",AM12)))+2048*(OR(ISNUMBER(FIND("REMARK",AM12)),ISNUMBER(FIND("COMMENT",AM12))))+4096*(OR(ISNUMBER(FIND("QTY",AM12)),ISNUMBER(FIND("QUANTITY",AM12))))+8192*(AND(OR(ISNUMBER(FIND("COMPLETE",AM12)),ISNUMBER(FIND("PCT",AM12)),ISNUMBER(FIND("PERCENT",AM12))),NOT(ISNUMBER(FIND("ACTUAL",AM12))),LEN(AM12)&lt;=16))+32768*(OR(ISNUMBER(FIND("DESIC",AM12)),ISNUMBER(FIND("DESSIC",AM12)))))</f>
        <v/>
      </c>
      <c r="AN147">
        <f>IF(AN12="",0,2*(OR(ISNUMBER(FIND("WORKCENTER",AN12)),AND(LEFT(AN12,4)="LINE",NOT(ISNUMBER(FIND("STATUS",AN12))))))+4*(OR(ISNUMBER(FIND("WORKORDER",AN12)),AND(LEFT(AN12,2)="WO",OR(ISNUMBER(FIND("NUM",AN12)),RIGHT(AN12,2)="NO"))))+8*(LEFT(AN12,3)="SEQ")+16*(AND(LEFT(AN12,4)="ITEM",NOT(ISNUMBER(FIND("DESC",AN12)))))+32*(AND(ISNUMBER(FIND("DESC",AN12)),NOT(ISNUMBER(FIND("CAP",AN12)))))+64*(OR(RIGHT(AN12,5)="COUNT",RIGHT(AN12,2)="CT"))+128*(ISNUMBER(FIND("BULK",AN12)))+256*(ISNUMBER(FIND("SIZE",AN12)))+512*(LEFT(AN12,3)="CAP")+1024*(ISNUMBER(FIND("ALLERG",AN12)))+2048*(OR(ISNUMBER(FIND("REMARK",AN12)),ISNUMBER(FIND("COMMENT",AN12))))+4096*(OR(ISNUMBER(FIND("QTY",AN12)),ISNUMBER(FIND("QUANTITY",AN12))))+8192*(AND(OR(ISNUMBER(FIND("COMPLETE",AN12)),ISNUMBER(FIND("PCT",AN12)),ISNUMBER(FIND("PERCENT",AN12))),NOT(ISNUMBER(FIND("ACTUAL",AN12))),LEN(AN12)&lt;=16))+32768*(OR(ISNUMBER(FIND("DESIC",AN12)),ISNUMBER(FIND("DESSIC",AN12)))))</f>
        <v/>
      </c>
      <c r="AO147">
        <f>IF(AO12="",0,2*(OR(ISNUMBER(FIND("WORKCENTER",AO12)),AND(LEFT(AO12,4)="LINE",NOT(ISNUMBER(FIND("STATUS",AO12))))))+4*(OR(ISNUMBER(FIND("WORKORDER",AO12)),AND(LEFT(AO12,2)="WO",OR(ISNUMBER(FIND("NUM",AO12)),RIGHT(AO12,2)="NO"))))+8*(LEFT(AO12,3)="SEQ")+16*(AND(LEFT(AO12,4)="ITEM",NOT(ISNUMBER(FIND("DESC",AO12)))))+32*(AND(ISNUMBER(FIND("DESC",AO12)),NOT(ISNUMBER(FIND("CAP",AO12)))))+64*(OR(RIGHT(AO12,5)="COUNT",RIGHT(AO12,2)="CT"))+128*(ISNUMBER(FIND("BULK",AO12)))+256*(ISNUMBER(FIND("SIZE",AO12)))+512*(LEFT(AO12,3)="CAP")+1024*(ISNUMBER(FIND("ALLERG",AO12)))+2048*(OR(ISNUMBER(FIND("REMARK",AO12)),ISNUMBER(FIND("COMMENT",AO12))))+4096*(OR(ISNUMBER(FIND("QTY",AO12)),ISNUMBER(FIND("QUANTITY",AO12))))+8192*(AND(OR(ISNUMBER(FIND("COMPLETE",AO12)),ISNUMBER(FIND("PCT",AO12)),ISNUMBER(FIND("PERCENT",AO12))),NOT(ISNUMBER(FIND("ACTUAL",AO12))),LEN(AO12)&lt;=16))+32768*(OR(ISNUMBER(FIND("DESIC",AO12)),ISNUMBER(FIND("DESSIC",AO12)))))</f>
        <v/>
      </c>
      <c r="AP147">
        <f>IF(AP12="",0,2*(OR(ISNUMBER(FIND("WORKCENTER",AP12)),AND(LEFT(AP12,4)="LINE",NOT(ISNUMBER(FIND("STATUS",AP12))))))+4*(OR(ISNUMBER(FIND("WORKORDER",AP12)),AND(LEFT(AP12,2)="WO",OR(ISNUMBER(FIND("NUM",AP12)),RIGHT(AP12,2)="NO"))))+8*(LEFT(AP12,3)="SEQ")+16*(AND(LEFT(AP12,4)="ITEM",NOT(ISNUMBER(FIND("DESC",AP12)))))+32*(AND(ISNUMBER(FIND("DESC",AP12)),NOT(ISNUMBER(FIND("CAP",AP12)))))+64*(OR(RIGHT(AP12,5)="COUNT",RIGHT(AP12,2)="CT"))+128*(ISNUMBER(FIND("BULK",AP12)))+256*(ISNUMBER(FIND("SIZE",AP12)))+512*(LEFT(AP12,3)="CAP")+1024*(ISNUMBER(FIND("ALLERG",AP12)))+2048*(OR(ISNUMBER(FIND("REMARK",AP12)),ISNUMBER(FIND("COMMENT",AP12))))+4096*(OR(ISNUMBER(FIND("QTY",AP12)),ISNUMBER(FIND("QUANTITY",AP12))))+8192*(AND(OR(ISNUMBER(FIND("COMPLETE",AP12)),ISNUMBER(FIND("PCT",AP12)),ISNUMBER(FIND("PERCENT",AP12))),NOT(ISNUMBER(FIND("ACTUAL",AP12))),LEN(AP12)&lt;=16))+32768*(OR(ISNUMBER(FIND("DESIC",AP12)),ISNUMBER(FIND("DESSIC",AP12)))))</f>
        <v/>
      </c>
      <c r="AQ147">
        <f>IF(AQ12="",0,2*(OR(ISNUMBER(FIND("WORKCENTER",AQ12)),AND(LEFT(AQ12,4)="LINE",NOT(ISNUMBER(FIND("STATUS",AQ12))))))+4*(OR(ISNUMBER(FIND("WORKORDER",AQ12)),AND(LEFT(AQ12,2)="WO",OR(ISNUMBER(FIND("NUM",AQ12)),RIGHT(AQ12,2)="NO"))))+8*(LEFT(AQ12,3)="SEQ")+16*(AND(LEFT(AQ12,4)="ITEM",NOT(ISNUMBER(FIND("DESC",AQ12)))))+32*(AND(ISNUMBER(FIND("DESC",AQ12)),NOT(ISNUMBER(FIND("CAP",AQ12)))))+64*(OR(RIGHT(AQ12,5)="COUNT",RIGHT(AQ12,2)="CT"))+128*(ISNUMBER(FIND("BULK",AQ12)))+256*(ISNUMBER(FIND("SIZE",AQ12)))+512*(LEFT(AQ12,3)="CAP")+1024*(ISNUMBER(FIND("ALLERG",AQ12)))+2048*(OR(ISNUMBER(FIND("REMARK",AQ12)),ISNUMBER(FIND("COMMENT",AQ12))))+4096*(OR(ISNUMBER(FIND("QTY",AQ12)),ISNUMBER(FIND("QUANTITY",AQ12))))+8192*(AND(OR(ISNUMBER(FIND("COMPLETE",AQ12)),ISNUMBER(FIND("PCT",AQ12)),ISNUMBER(FIND("PERCENT",AQ12))),NOT(ISNUMBER(FIND("ACTUAL",AQ12))),LEN(AQ12)&lt;=16))+32768*(OR(ISNUMBER(FIND("DESIC",AQ12)),ISNUMBER(FIND("DESSIC",AQ12)))))</f>
        <v/>
      </c>
      <c r="AR147">
        <f>IF(AR12="",0,2*(OR(ISNUMBER(FIND("WORKCENTER",AR12)),AND(LEFT(AR12,4)="LINE",NOT(ISNUMBER(FIND("STATUS",AR12))))))+4*(OR(ISNUMBER(FIND("WORKORDER",AR12)),AND(LEFT(AR12,2)="WO",OR(ISNUMBER(FIND("NUM",AR12)),RIGHT(AR12,2)="NO"))))+8*(LEFT(AR12,3)="SEQ")+16*(AND(LEFT(AR12,4)="ITEM",NOT(ISNUMBER(FIND("DESC",AR12)))))+32*(AND(ISNUMBER(FIND("DESC",AR12)),NOT(ISNUMBER(FIND("CAP",AR12)))))+64*(OR(RIGHT(AR12,5)="COUNT",RIGHT(AR12,2)="CT"))+128*(ISNUMBER(FIND("BULK",AR12)))+256*(ISNUMBER(FIND("SIZE",AR12)))+512*(LEFT(AR12,3)="CAP")+1024*(ISNUMBER(FIND("ALLERG",AR12)))+2048*(OR(ISNUMBER(FIND("REMARK",AR12)),ISNUMBER(FIND("COMMENT",AR12))))+4096*(OR(ISNUMBER(FIND("QTY",AR12)),ISNUMBER(FIND("QUANTITY",AR12))))+8192*(AND(OR(ISNUMBER(FIND("COMPLETE",AR12)),ISNUMBER(FIND("PCT",AR12)),ISNUMBER(FIND("PERCENT",AR12))),NOT(ISNUMBER(FIND("ACTUAL",AR12))),LEN(AR12)&lt;=16))+32768*(OR(ISNUMBER(FIND("DESIC",AR12)),ISNUMBER(FIND("DESSIC",AR12)))))</f>
        <v/>
      </c>
      <c r="AS147">
        <f>IF(AS12="",0,2*(OR(ISNUMBER(FIND("WORKCENTER",AS12)),AND(LEFT(AS12,4)="LINE",NOT(ISNUMBER(FIND("STATUS",AS12))))))+4*(OR(ISNUMBER(FIND("WORKORDER",AS12)),AND(LEFT(AS12,2)="WO",OR(ISNUMBER(FIND("NUM",AS12)),RIGHT(AS12,2)="NO"))))+8*(LEFT(AS12,3)="SEQ")+16*(AND(LEFT(AS12,4)="ITEM",NOT(ISNUMBER(FIND("DESC",AS12)))))+32*(AND(ISNUMBER(FIND("DESC",AS12)),NOT(ISNUMBER(FIND("CAP",AS12)))))+64*(OR(RIGHT(AS12,5)="COUNT",RIGHT(AS12,2)="CT"))+128*(ISNUMBER(FIND("BULK",AS12)))+256*(ISNUMBER(FIND("SIZE",AS12)))+512*(LEFT(AS12,3)="CAP")+1024*(ISNUMBER(FIND("ALLERG",AS12)))+2048*(OR(ISNUMBER(FIND("REMARK",AS12)),ISNUMBER(FIND("COMMENT",AS12))))+4096*(OR(ISNUMBER(FIND("QTY",AS12)),ISNUMBER(FIND("QUANTITY",AS12))))+8192*(AND(OR(ISNUMBER(FIND("COMPLETE",AS12)),ISNUMBER(FIND("PCT",AS12)),ISNUMBER(FIND("PERCENT",AS12))),NOT(ISNUMBER(FIND("ACTUAL",AS12))),LEN(AS12)&lt;=16))+32768*(OR(ISNUMBER(FIND("DESIC",AS12)),ISNUMBER(FIND("DESSIC",AS12)))))</f>
        <v/>
      </c>
      <c r="AT147">
        <f>IF(AT12="",0,2*(OR(ISNUMBER(FIND("WORKCENTER",AT12)),AND(LEFT(AT12,4)="LINE",NOT(ISNUMBER(FIND("STATUS",AT12))))))+4*(OR(ISNUMBER(FIND("WORKORDER",AT12)),AND(LEFT(AT12,2)="WO",OR(ISNUMBER(FIND("NUM",AT12)),RIGHT(AT12,2)="NO"))))+8*(LEFT(AT12,3)="SEQ")+16*(AND(LEFT(AT12,4)="ITEM",NOT(ISNUMBER(FIND("DESC",AT12)))))+32*(AND(ISNUMBER(FIND("DESC",AT12)),NOT(ISNUMBER(FIND("CAP",AT12)))))+64*(OR(RIGHT(AT12,5)="COUNT",RIGHT(AT12,2)="CT"))+128*(ISNUMBER(FIND("BULK",AT12)))+256*(ISNUMBER(FIND("SIZE",AT12)))+512*(LEFT(AT12,3)="CAP")+1024*(ISNUMBER(FIND("ALLERG",AT12)))+2048*(OR(ISNUMBER(FIND("REMARK",AT12)),ISNUMBER(FIND("COMMENT",AT12))))+4096*(OR(ISNUMBER(FIND("QTY",AT12)),ISNUMBER(FIND("QUANTITY",AT12))))+8192*(AND(OR(ISNUMBER(FIND("COMPLETE",AT12)),ISNUMBER(FIND("PCT",AT12)),ISNUMBER(FIND("PERCENT",AT12))),NOT(ISNUMBER(FIND("ACTUAL",AT12))),LEN(AT12)&lt;=16))+32768*(OR(ISNUMBER(FIND("DESIC",AT12)),ISNUMBER(FIND("DESSIC",AT12)))))</f>
        <v/>
      </c>
      <c r="AU147">
        <f>IF(AU12="",0,2*(OR(ISNUMBER(FIND("WORKCENTER",AU12)),AND(LEFT(AU12,4)="LINE",NOT(ISNUMBER(FIND("STATUS",AU12))))))+4*(OR(ISNUMBER(FIND("WORKORDER",AU12)),AND(LEFT(AU12,2)="WO",OR(ISNUMBER(FIND("NUM",AU12)),RIGHT(AU12,2)="NO"))))+8*(LEFT(AU12,3)="SEQ")+16*(AND(LEFT(AU12,4)="ITEM",NOT(ISNUMBER(FIND("DESC",AU12)))))+32*(AND(ISNUMBER(FIND("DESC",AU12)),NOT(ISNUMBER(FIND("CAP",AU12)))))+64*(OR(RIGHT(AU12,5)="COUNT",RIGHT(AU12,2)="CT"))+128*(ISNUMBER(FIND("BULK",AU12)))+256*(ISNUMBER(FIND("SIZE",AU12)))+512*(LEFT(AU12,3)="CAP")+1024*(ISNUMBER(FIND("ALLERG",AU12)))+2048*(OR(ISNUMBER(FIND("REMARK",AU12)),ISNUMBER(FIND("COMMENT",AU12))))+4096*(OR(ISNUMBER(FIND("QTY",AU12)),ISNUMBER(FIND("QUANTITY",AU12))))+8192*(AND(OR(ISNUMBER(FIND("COMPLETE",AU12)),ISNUMBER(FIND("PCT",AU12)),ISNUMBER(FIND("PERCENT",AU12))),NOT(ISNUMBER(FIND("ACTUAL",AU12))),LEN(AU12)&lt;=16))+32768*(OR(ISNUMBER(FIND("DESIC",AU12)),ISNUMBER(FIND("DESSIC",AU12)))))</f>
        <v/>
      </c>
      <c r="AV147">
        <f>IF(AV12="",0,2*(OR(ISNUMBER(FIND("WORKCENTER",AV12)),AND(LEFT(AV12,4)="LINE",NOT(ISNUMBER(FIND("STATUS",AV12))))))+4*(OR(ISNUMBER(FIND("WORKORDER",AV12)),AND(LEFT(AV12,2)="WO",OR(ISNUMBER(FIND("NUM",AV12)),RIGHT(AV12,2)="NO"))))+8*(LEFT(AV12,3)="SEQ")+16*(AND(LEFT(AV12,4)="ITEM",NOT(ISNUMBER(FIND("DESC",AV12)))))+32*(AND(ISNUMBER(FIND("DESC",AV12)),NOT(ISNUMBER(FIND("CAP",AV12)))))+64*(OR(RIGHT(AV12,5)="COUNT",RIGHT(AV12,2)="CT"))+128*(ISNUMBER(FIND("BULK",AV12)))+256*(ISNUMBER(FIND("SIZE",AV12)))+512*(LEFT(AV12,3)="CAP")+1024*(ISNUMBER(FIND("ALLERG",AV12)))+2048*(OR(ISNUMBER(FIND("REMARK",AV12)),ISNUMBER(FIND("COMMENT",AV12))))+4096*(OR(ISNUMBER(FIND("QTY",AV12)),ISNUMBER(FIND("QUANTITY",AV12))))+8192*(AND(OR(ISNUMBER(FIND("COMPLETE",AV12)),ISNUMBER(FIND("PCT",AV12)),ISNUMBER(FIND("PERCENT",AV12))),NOT(ISNUMBER(FIND("ACTUAL",AV12))),LEN(AV12)&lt;=16))+32768*(OR(ISNUMBER(FIND("DESIC",AV12)),ISNUMBER(FIND("DESSIC",AV12)))))</f>
        <v/>
      </c>
      <c r="AW147">
        <f>IF(AW12="",0,2*(OR(ISNUMBER(FIND("WORKCENTER",AW12)),AND(LEFT(AW12,4)="LINE",NOT(ISNUMBER(FIND("STATUS",AW12))))))+4*(OR(ISNUMBER(FIND("WORKORDER",AW12)),AND(LEFT(AW12,2)="WO",OR(ISNUMBER(FIND("NUM",AW12)),RIGHT(AW12,2)="NO"))))+8*(LEFT(AW12,3)="SEQ")+16*(AND(LEFT(AW12,4)="ITEM",NOT(ISNUMBER(FIND("DESC",AW12)))))+32*(AND(ISNUMBER(FIND("DESC",AW12)),NOT(ISNUMBER(FIND("CAP",AW12)))))+64*(OR(RIGHT(AW12,5)="COUNT",RIGHT(AW12,2)="CT"))+128*(ISNUMBER(FIND("BULK",AW12)))+256*(ISNUMBER(FIND("SIZE",AW12)))+512*(LEFT(AW12,3)="CAP")+1024*(ISNUMBER(FIND("ALLERG",AW12)))+2048*(OR(ISNUMBER(FIND("REMARK",AW12)),ISNUMBER(FIND("COMMENT",AW12))))+4096*(OR(ISNUMBER(FIND("QTY",AW12)),ISNUMBER(FIND("QUANTITY",AW12))))+8192*(AND(OR(ISNUMBER(FIND("COMPLETE",AW12)),ISNUMBER(FIND("PCT",AW12)),ISNUMBER(FIND("PERCENT",AW12))),NOT(ISNUMBER(FIND("ACTUAL",AW12))),LEN(AW12)&lt;=16))+32768*(OR(ISNUMBER(FIND("DESIC",AW12)),ISNUMBER(FIND("DESSIC",AW12)))))</f>
        <v/>
      </c>
      <c r="AX147">
        <f>IF(AX12="",0,2*(OR(ISNUMBER(FIND("WORKCENTER",AX12)),AND(LEFT(AX12,4)="LINE",NOT(ISNUMBER(FIND("STATUS",AX12))))))+4*(OR(ISNUMBER(FIND("WORKORDER",AX12)),AND(LEFT(AX12,2)="WO",OR(ISNUMBER(FIND("NUM",AX12)),RIGHT(AX12,2)="NO"))))+8*(LEFT(AX12,3)="SEQ")+16*(AND(LEFT(AX12,4)="ITEM",NOT(ISNUMBER(FIND("DESC",AX12)))))+32*(AND(ISNUMBER(FIND("DESC",AX12)),NOT(ISNUMBER(FIND("CAP",AX12)))))+64*(OR(RIGHT(AX12,5)="COUNT",RIGHT(AX12,2)="CT"))+128*(ISNUMBER(FIND("BULK",AX12)))+256*(ISNUMBER(FIND("SIZE",AX12)))+512*(LEFT(AX12,3)="CAP")+1024*(ISNUMBER(FIND("ALLERG",AX12)))+2048*(OR(ISNUMBER(FIND("REMARK",AX12)),ISNUMBER(FIND("COMMENT",AX12))))+4096*(OR(ISNUMBER(FIND("QTY",AX12)),ISNUMBER(FIND("QUANTITY",AX12))))+8192*(AND(OR(ISNUMBER(FIND("COMPLETE",AX12)),ISNUMBER(FIND("PCT",AX12)),ISNUMBER(FIND("PERCENT",AX12))),NOT(ISNUMBER(FIND("ACTUAL",AX12))),LEN(AX12)&lt;=16))+32768*(OR(ISNUMBER(FIND("DESIC",AX12)),ISNUMBER(FIND("DESSIC",AX12)))))</f>
        <v/>
      </c>
      <c r="AY147">
        <f>IF(AY12="",0,2*(OR(ISNUMBER(FIND("WORKCENTER",AY12)),AND(LEFT(AY12,4)="LINE",NOT(ISNUMBER(FIND("STATUS",AY12))))))+4*(OR(ISNUMBER(FIND("WORKORDER",AY12)),AND(LEFT(AY12,2)="WO",OR(ISNUMBER(FIND("NUM",AY12)),RIGHT(AY12,2)="NO"))))+8*(LEFT(AY12,3)="SEQ")+16*(AND(LEFT(AY12,4)="ITEM",NOT(ISNUMBER(FIND("DESC",AY12)))))+32*(AND(ISNUMBER(FIND("DESC",AY12)),NOT(ISNUMBER(FIND("CAP",AY12)))))+64*(OR(RIGHT(AY12,5)="COUNT",RIGHT(AY12,2)="CT"))+128*(ISNUMBER(FIND("BULK",AY12)))+256*(ISNUMBER(FIND("SIZE",AY12)))+512*(LEFT(AY12,3)="CAP")+1024*(ISNUMBER(FIND("ALLERG",AY12)))+2048*(OR(ISNUMBER(FIND("REMARK",AY12)),ISNUMBER(FIND("COMMENT",AY12))))+4096*(OR(ISNUMBER(FIND("QTY",AY12)),ISNUMBER(FIND("QUANTITY",AY12))))+8192*(AND(OR(ISNUMBER(FIND("COMPLETE",AY12)),ISNUMBER(FIND("PCT",AY12)),ISNUMBER(FIND("PERCENT",AY12))),NOT(ISNUMBER(FIND("ACTUAL",AY12))),LEN(AY12)&lt;=16))+32768*(OR(ISNUMBER(FIND("DESIC",AY12)),ISNUMBER(FIND("DESSIC",AY12)))))</f>
        <v/>
      </c>
      <c r="AZ147">
        <f>IF(AZ12="",0,2*(OR(ISNUMBER(FIND("WORKCENTER",AZ12)),AND(LEFT(AZ12,4)="LINE",NOT(ISNUMBER(FIND("STATUS",AZ12))))))+4*(OR(ISNUMBER(FIND("WORKORDER",AZ12)),AND(LEFT(AZ12,2)="WO",OR(ISNUMBER(FIND("NUM",AZ12)),RIGHT(AZ12,2)="NO"))))+8*(LEFT(AZ12,3)="SEQ")+16*(AND(LEFT(AZ12,4)="ITEM",NOT(ISNUMBER(FIND("DESC",AZ12)))))+32*(AND(ISNUMBER(FIND("DESC",AZ12)),NOT(ISNUMBER(FIND("CAP",AZ12)))))+64*(OR(RIGHT(AZ12,5)="COUNT",RIGHT(AZ12,2)="CT"))+128*(ISNUMBER(FIND("BULK",AZ12)))+256*(ISNUMBER(FIND("SIZE",AZ12)))+512*(LEFT(AZ12,3)="CAP")+1024*(ISNUMBER(FIND("ALLERG",AZ12)))+2048*(OR(ISNUMBER(FIND("REMARK",AZ12)),ISNUMBER(FIND("COMMENT",AZ12))))+4096*(OR(ISNUMBER(FIND("QTY",AZ12)),ISNUMBER(FIND("QUANTITY",AZ12))))+8192*(AND(OR(ISNUMBER(FIND("COMPLETE",AZ12)),ISNUMBER(FIND("PCT",AZ12)),ISNUMBER(FIND("PERCENT",AZ12))),NOT(ISNUMBER(FIND("ACTUAL",AZ12))),LEN(AZ12)&lt;=16))+32768*(OR(ISNUMBER(FIND("DESIC",AZ12)),ISNUMBER(FIND("DESSIC",AZ12)))))</f>
        <v/>
      </c>
      <c r="BA147">
        <f>IF(BA12="",0,2*(OR(ISNUMBER(FIND("WORKCENTER",BA12)),AND(LEFT(BA12,4)="LINE",NOT(ISNUMBER(FIND("STATUS",BA12))))))+4*(OR(ISNUMBER(FIND("WORKORDER",BA12)),AND(LEFT(BA12,2)="WO",OR(ISNUMBER(FIND("NUM",BA12)),RIGHT(BA12,2)="NO"))))+8*(LEFT(BA12,3)="SEQ")+16*(AND(LEFT(BA12,4)="ITEM",NOT(ISNUMBER(FIND("DESC",BA12)))))+32*(AND(ISNUMBER(FIND("DESC",BA12)),NOT(ISNUMBER(FIND("CAP",BA12)))))+64*(OR(RIGHT(BA12,5)="COUNT",RIGHT(BA12,2)="CT"))+128*(ISNUMBER(FIND("BULK",BA12)))+256*(ISNUMBER(FIND("SIZE",BA12)))+512*(LEFT(BA12,3)="CAP")+1024*(ISNUMBER(FIND("ALLERG",BA12)))+2048*(OR(ISNUMBER(FIND("REMARK",BA12)),ISNUMBER(FIND("COMMENT",BA12))))+4096*(OR(ISNUMBER(FIND("QTY",BA12)),ISNUMBER(FIND("QUANTITY",BA12))))+8192*(AND(OR(ISNUMBER(FIND("COMPLETE",BA12)),ISNUMBER(FIND("PCT",BA12)),ISNUMBER(FIND("PERCENT",BA12))),NOT(ISNUMBER(FIND("ACTUAL",BA12))),LEN(BA12)&lt;=16))+32768*(OR(ISNUMBER(FIND("DESIC",BA12)),ISNUMBER(FIND("DESSIC",BA12)))))</f>
        <v/>
      </c>
      <c r="BB147">
        <f>IF(BB12="",0,2*(OR(ISNUMBER(FIND("WORKCENTER",BB12)),AND(LEFT(BB12,4)="LINE",NOT(ISNUMBER(FIND("STATUS",BB12))))))+4*(OR(ISNUMBER(FIND("WORKORDER",BB12)),AND(LEFT(BB12,2)="WO",OR(ISNUMBER(FIND("NUM",BB12)),RIGHT(BB12,2)="NO"))))+8*(LEFT(BB12,3)="SEQ")+16*(AND(LEFT(BB12,4)="ITEM",NOT(ISNUMBER(FIND("DESC",BB12)))))+32*(AND(ISNUMBER(FIND("DESC",BB12)),NOT(ISNUMBER(FIND("CAP",BB12)))))+64*(OR(RIGHT(BB12,5)="COUNT",RIGHT(BB12,2)="CT"))+128*(ISNUMBER(FIND("BULK",BB12)))+256*(ISNUMBER(FIND("SIZE",BB12)))+512*(LEFT(BB12,3)="CAP")+1024*(ISNUMBER(FIND("ALLERG",BB12)))+2048*(OR(ISNUMBER(FIND("REMARK",BB12)),ISNUMBER(FIND("COMMENT",BB12))))+4096*(OR(ISNUMBER(FIND("QTY",BB12)),ISNUMBER(FIND("QUANTITY",BB12))))+8192*(AND(OR(ISNUMBER(FIND("COMPLETE",BB12)),ISNUMBER(FIND("PCT",BB12)),ISNUMBER(FIND("PERCENT",BB12))),NOT(ISNUMBER(FIND("ACTUAL",BB12))),LEN(BB12)&lt;=16))+32768*(OR(ISNUMBER(FIND("DESIC",BB12)),ISNUMBER(FIND("DESSIC",BB12)))))</f>
        <v/>
      </c>
      <c r="BC147">
        <f>IF(BC12="",0,2*(OR(ISNUMBER(FIND("WORKCENTER",BC12)),AND(LEFT(BC12,4)="LINE",NOT(ISNUMBER(FIND("STATUS",BC12))))))+4*(OR(ISNUMBER(FIND("WORKORDER",BC12)),AND(LEFT(BC12,2)="WO",OR(ISNUMBER(FIND("NUM",BC12)),RIGHT(BC12,2)="NO"))))+8*(LEFT(BC12,3)="SEQ")+16*(AND(LEFT(BC12,4)="ITEM",NOT(ISNUMBER(FIND("DESC",BC12)))))+32*(AND(ISNUMBER(FIND("DESC",BC12)),NOT(ISNUMBER(FIND("CAP",BC12)))))+64*(OR(RIGHT(BC12,5)="COUNT",RIGHT(BC12,2)="CT"))+128*(ISNUMBER(FIND("BULK",BC12)))+256*(ISNUMBER(FIND("SIZE",BC12)))+512*(LEFT(BC12,3)="CAP")+1024*(ISNUMBER(FIND("ALLERG",BC12)))+2048*(OR(ISNUMBER(FIND("REMARK",BC12)),ISNUMBER(FIND("COMMENT",BC12))))+4096*(OR(ISNUMBER(FIND("QTY",BC12)),ISNUMBER(FIND("QUANTITY",BC12))))+8192*(AND(OR(ISNUMBER(FIND("COMPLETE",BC12)),ISNUMBER(FIND("PCT",BC12)),ISNUMBER(FIND("PERCENT",BC12))),NOT(ISNUMBER(FIND("ACTUAL",BC12))),LEN(BC12)&lt;=16))+32768*(OR(ISNUMBER(FIND("DESIC",BC12)),ISNUMBER(FIND("DESSIC",BC12)))))</f>
        <v/>
      </c>
      <c r="BD147">
        <f>IF(BD12="",0,2*(OR(ISNUMBER(FIND("WORKCENTER",BD12)),AND(LEFT(BD12,4)="LINE",NOT(ISNUMBER(FIND("STATUS",BD12))))))+4*(OR(ISNUMBER(FIND("WORKORDER",BD12)),AND(LEFT(BD12,2)="WO",OR(ISNUMBER(FIND("NUM",BD12)),RIGHT(BD12,2)="NO"))))+8*(LEFT(BD12,3)="SEQ")+16*(AND(LEFT(BD12,4)="ITEM",NOT(ISNUMBER(FIND("DESC",BD12)))))+32*(AND(ISNUMBER(FIND("DESC",BD12)),NOT(ISNUMBER(FIND("CAP",BD12)))))+64*(OR(RIGHT(BD12,5)="COUNT",RIGHT(BD12,2)="CT"))+128*(ISNUMBER(FIND("BULK",BD12)))+256*(ISNUMBER(FIND("SIZE",BD12)))+512*(LEFT(BD12,3)="CAP")+1024*(ISNUMBER(FIND("ALLERG",BD12)))+2048*(OR(ISNUMBER(FIND("REMARK",BD12)),ISNUMBER(FIND("COMMENT",BD12))))+4096*(OR(ISNUMBER(FIND("QTY",BD12)),ISNUMBER(FIND("QUANTITY",BD12))))+8192*(AND(OR(ISNUMBER(FIND("COMPLETE",BD12)),ISNUMBER(FIND("PCT",BD12)),ISNUMBER(FIND("PERCENT",BD12))),NOT(ISNUMBER(FIND("ACTUAL",BD12))),LEN(BD12)&lt;=16))+32768*(OR(ISNUMBER(FIND("DESIC",BD12)),ISNUMBER(FIND("DESSIC",BD12)))))</f>
        <v/>
      </c>
      <c r="BE147">
        <f>IF(BE12="",0,2*(OR(ISNUMBER(FIND("WORKCENTER",BE12)),AND(LEFT(BE12,4)="LINE",NOT(ISNUMBER(FIND("STATUS",BE12))))))+4*(OR(ISNUMBER(FIND("WORKORDER",BE12)),AND(LEFT(BE12,2)="WO",OR(ISNUMBER(FIND("NUM",BE12)),RIGHT(BE12,2)="NO"))))+8*(LEFT(BE12,3)="SEQ")+16*(AND(LEFT(BE12,4)="ITEM",NOT(ISNUMBER(FIND("DESC",BE12)))))+32*(AND(ISNUMBER(FIND("DESC",BE12)),NOT(ISNUMBER(FIND("CAP",BE12)))))+64*(OR(RIGHT(BE12,5)="COUNT",RIGHT(BE12,2)="CT"))+128*(ISNUMBER(FIND("BULK",BE12)))+256*(ISNUMBER(FIND("SIZE",BE12)))+512*(LEFT(BE12,3)="CAP")+1024*(ISNUMBER(FIND("ALLERG",BE12)))+2048*(OR(ISNUMBER(FIND("REMARK",BE12)),ISNUMBER(FIND("COMMENT",BE12))))+4096*(OR(ISNUMBER(FIND("QTY",BE12)),ISNUMBER(FIND("QUANTITY",BE12))))+8192*(AND(OR(ISNUMBER(FIND("COMPLETE",BE12)),ISNUMBER(FIND("PCT",BE12)),ISNUMBER(FIND("PERCENT",BE12))),NOT(ISNUMBER(FIND("ACTUAL",BE12))),LEN(BE12)&lt;=16))+32768*(OR(ISNUMBER(FIND("DESIC",BE12)),ISNUMBER(FIND("DESSIC",BE12)))))</f>
        <v/>
      </c>
      <c r="BF147">
        <f>IF(BF12="",0,2*(OR(ISNUMBER(FIND("WORKCENTER",BF12)),AND(LEFT(BF12,4)="LINE",NOT(ISNUMBER(FIND("STATUS",BF12))))))+4*(OR(ISNUMBER(FIND("WORKORDER",BF12)),AND(LEFT(BF12,2)="WO",OR(ISNUMBER(FIND("NUM",BF12)),RIGHT(BF12,2)="NO"))))+8*(LEFT(BF12,3)="SEQ")+16*(AND(LEFT(BF12,4)="ITEM",NOT(ISNUMBER(FIND("DESC",BF12)))))+32*(AND(ISNUMBER(FIND("DESC",BF12)),NOT(ISNUMBER(FIND("CAP",BF12)))))+64*(OR(RIGHT(BF12,5)="COUNT",RIGHT(BF12,2)="CT"))+128*(ISNUMBER(FIND("BULK",BF12)))+256*(ISNUMBER(FIND("SIZE",BF12)))+512*(LEFT(BF12,3)="CAP")+1024*(ISNUMBER(FIND("ALLERG",BF12)))+2048*(OR(ISNUMBER(FIND("REMARK",BF12)),ISNUMBER(FIND("COMMENT",BF12))))+4096*(OR(ISNUMBER(FIND("QTY",BF12)),ISNUMBER(FIND("QUANTITY",BF12))))+8192*(AND(OR(ISNUMBER(FIND("COMPLETE",BF12)),ISNUMBER(FIND("PCT",BF12)),ISNUMBER(FIND("PERCENT",BF12))),NOT(ISNUMBER(FIND("ACTUAL",BF12))),LEN(BF12)&lt;=16))+32768*(OR(ISNUMBER(FIND("DESIC",BF12)),ISNUMBER(FIND("DESSIC",BF12)))))</f>
        <v/>
      </c>
      <c r="BG147">
        <f>IF(BG12="",0,2*(OR(ISNUMBER(FIND("WORKCENTER",BG12)),AND(LEFT(BG12,4)="LINE",NOT(ISNUMBER(FIND("STATUS",BG12))))))+4*(OR(ISNUMBER(FIND("WORKORDER",BG12)),AND(LEFT(BG12,2)="WO",OR(ISNUMBER(FIND("NUM",BG12)),RIGHT(BG12,2)="NO"))))+8*(LEFT(BG12,3)="SEQ")+16*(AND(LEFT(BG12,4)="ITEM",NOT(ISNUMBER(FIND("DESC",BG12)))))+32*(AND(ISNUMBER(FIND("DESC",BG12)),NOT(ISNUMBER(FIND("CAP",BG12)))))+64*(OR(RIGHT(BG12,5)="COUNT",RIGHT(BG12,2)="CT"))+128*(ISNUMBER(FIND("BULK",BG12)))+256*(ISNUMBER(FIND("SIZE",BG12)))+512*(LEFT(BG12,3)="CAP")+1024*(ISNUMBER(FIND("ALLERG",BG12)))+2048*(OR(ISNUMBER(FIND("REMARK",BG12)),ISNUMBER(FIND("COMMENT",BG12))))+4096*(OR(ISNUMBER(FIND("QTY",BG12)),ISNUMBER(FIND("QUANTITY",BG12))))+8192*(AND(OR(ISNUMBER(FIND("COMPLETE",BG12)),ISNUMBER(FIND("PCT",BG12)),ISNUMBER(FIND("PERCENT",BG12))),NOT(ISNUMBER(FIND("ACTUAL",BG12))),LEN(BG12)&lt;=16))+32768*(OR(ISNUMBER(FIND("DESIC",BG12)),ISNUMBER(FIND("DESSIC",BG12)))))</f>
        <v/>
      </c>
      <c r="BH147">
        <f>IF(BH12="",0,2*(OR(ISNUMBER(FIND("WORKCENTER",BH12)),AND(LEFT(BH12,4)="LINE",NOT(ISNUMBER(FIND("STATUS",BH12))))))+4*(OR(ISNUMBER(FIND("WORKORDER",BH12)),AND(LEFT(BH12,2)="WO",OR(ISNUMBER(FIND("NUM",BH12)),RIGHT(BH12,2)="NO"))))+8*(LEFT(BH12,3)="SEQ")+16*(AND(LEFT(BH12,4)="ITEM",NOT(ISNUMBER(FIND("DESC",BH12)))))+32*(AND(ISNUMBER(FIND("DESC",BH12)),NOT(ISNUMBER(FIND("CAP",BH12)))))+64*(OR(RIGHT(BH12,5)="COUNT",RIGHT(BH12,2)="CT"))+128*(ISNUMBER(FIND("BULK",BH12)))+256*(ISNUMBER(FIND("SIZE",BH12)))+512*(LEFT(BH12,3)="CAP")+1024*(ISNUMBER(FIND("ALLERG",BH12)))+2048*(OR(ISNUMBER(FIND("REMARK",BH12)),ISNUMBER(FIND("COMMENT",BH12))))+4096*(OR(ISNUMBER(FIND("QTY",BH12)),ISNUMBER(FIND("QUANTITY",BH12))))+8192*(AND(OR(ISNUMBER(FIND("COMPLETE",BH12)),ISNUMBER(FIND("PCT",BH12)),ISNUMBER(FIND("PERCENT",BH12))),NOT(ISNUMBER(FIND("ACTUAL",BH12))),LEN(BH12)&lt;=16))+32768*(OR(ISNUMBER(FIND("DESIC",BH12)),ISNUMBER(FIND("DESSIC",BH12)))))</f>
        <v/>
      </c>
      <c r="BI147">
        <f>IF(BI12="",0,2*(OR(ISNUMBER(FIND("WORKCENTER",BI12)),AND(LEFT(BI12,4)="LINE",NOT(ISNUMBER(FIND("STATUS",BI12))))))+4*(OR(ISNUMBER(FIND("WORKORDER",BI12)),AND(LEFT(BI12,2)="WO",OR(ISNUMBER(FIND("NUM",BI12)),RIGHT(BI12,2)="NO"))))+8*(LEFT(BI12,3)="SEQ")+16*(AND(LEFT(BI12,4)="ITEM",NOT(ISNUMBER(FIND("DESC",BI12)))))+32*(AND(ISNUMBER(FIND("DESC",BI12)),NOT(ISNUMBER(FIND("CAP",BI12)))))+64*(OR(RIGHT(BI12,5)="COUNT",RIGHT(BI12,2)="CT"))+128*(ISNUMBER(FIND("BULK",BI12)))+256*(ISNUMBER(FIND("SIZE",BI12)))+512*(LEFT(BI12,3)="CAP")+1024*(ISNUMBER(FIND("ALLERG",BI12)))+2048*(OR(ISNUMBER(FIND("REMARK",BI12)),ISNUMBER(FIND("COMMENT",BI12))))+4096*(OR(ISNUMBER(FIND("QTY",BI12)),ISNUMBER(FIND("QUANTITY",BI12))))+8192*(AND(OR(ISNUMBER(FIND("COMPLETE",BI12)),ISNUMBER(FIND("PCT",BI12)),ISNUMBER(FIND("PERCENT",BI12))),NOT(ISNUMBER(FIND("ACTUAL",BI12))),LEN(BI12)&lt;=16))+32768*(OR(ISNUMBER(FIND("DESIC",BI12)),ISNUMBER(FIND("DESSIC",BI12)))))</f>
        <v/>
      </c>
      <c r="BJ147">
        <f>IF(BJ12="",0,2*(OR(ISNUMBER(FIND("WORKCENTER",BJ12)),AND(LEFT(BJ12,4)="LINE",NOT(ISNUMBER(FIND("STATUS",BJ12))))))+4*(OR(ISNUMBER(FIND("WORKORDER",BJ12)),AND(LEFT(BJ12,2)="WO",OR(ISNUMBER(FIND("NUM",BJ12)),RIGHT(BJ12,2)="NO"))))+8*(LEFT(BJ12,3)="SEQ")+16*(AND(LEFT(BJ12,4)="ITEM",NOT(ISNUMBER(FIND("DESC",BJ12)))))+32*(AND(ISNUMBER(FIND("DESC",BJ12)),NOT(ISNUMBER(FIND("CAP",BJ12)))))+64*(OR(RIGHT(BJ12,5)="COUNT",RIGHT(BJ12,2)="CT"))+128*(ISNUMBER(FIND("BULK",BJ12)))+256*(ISNUMBER(FIND("SIZE",BJ12)))+512*(LEFT(BJ12,3)="CAP")+1024*(ISNUMBER(FIND("ALLERG",BJ12)))+2048*(OR(ISNUMBER(FIND("REMARK",BJ12)),ISNUMBER(FIND("COMMENT",BJ12))))+4096*(OR(ISNUMBER(FIND("QTY",BJ12)),ISNUMBER(FIND("QUANTITY",BJ12))))+8192*(AND(OR(ISNUMBER(FIND("COMPLETE",BJ12)),ISNUMBER(FIND("PCT",BJ12)),ISNUMBER(FIND("PERCENT",BJ12))),NOT(ISNUMBER(FIND("ACTUAL",BJ12))),LEN(BJ12)&lt;=16))+32768*(OR(ISNUMBER(FIND("DESIC",BJ12)),ISNUMBER(FIND("DESSIC",BJ12)))))</f>
        <v/>
      </c>
      <c r="BK147">
        <f>IF(BK12="",0,2*(OR(ISNUMBER(FIND("WORKCENTER",BK12)),AND(LEFT(BK12,4)="LINE",NOT(ISNUMBER(FIND("STATUS",BK12))))))+4*(OR(ISNUMBER(FIND("WORKORDER",BK12)),AND(LEFT(BK12,2)="WO",OR(ISNUMBER(FIND("NUM",BK12)),RIGHT(BK12,2)="NO"))))+8*(LEFT(BK12,3)="SEQ")+16*(AND(LEFT(BK12,4)="ITEM",NOT(ISNUMBER(FIND("DESC",BK12)))))+32*(AND(ISNUMBER(FIND("DESC",BK12)),NOT(ISNUMBER(FIND("CAP",BK12)))))+64*(OR(RIGHT(BK12,5)="COUNT",RIGHT(BK12,2)="CT"))+128*(ISNUMBER(FIND("BULK",BK12)))+256*(ISNUMBER(FIND("SIZE",BK12)))+512*(LEFT(BK12,3)="CAP")+1024*(ISNUMBER(FIND("ALLERG",BK12)))+2048*(OR(ISNUMBER(FIND("REMARK",BK12)),ISNUMBER(FIND("COMMENT",BK12))))+4096*(OR(ISNUMBER(FIND("QTY",BK12)),ISNUMBER(FIND("QUANTITY",BK12))))+8192*(AND(OR(ISNUMBER(FIND("COMPLETE",BK12)),ISNUMBER(FIND("PCT",BK12)),ISNUMBER(FIND("PERCENT",BK12))),NOT(ISNUMBER(FIND("ACTUAL",BK12))),LEN(BK12)&lt;=16))+32768*(OR(ISNUMBER(FIND("DESIC",BK12)),ISNUMBER(FIND("DESSIC",BK12)))))</f>
        <v/>
      </c>
      <c r="BL147">
        <f>IF(BL12="",0,2*(OR(ISNUMBER(FIND("WORKCENTER",BL12)),AND(LEFT(BL12,4)="LINE",NOT(ISNUMBER(FIND("STATUS",BL12))))))+4*(OR(ISNUMBER(FIND("WORKORDER",BL12)),AND(LEFT(BL12,2)="WO",OR(ISNUMBER(FIND("NUM",BL12)),RIGHT(BL12,2)="NO"))))+8*(LEFT(BL12,3)="SEQ")+16*(AND(LEFT(BL12,4)="ITEM",NOT(ISNUMBER(FIND("DESC",BL12)))))+32*(AND(ISNUMBER(FIND("DESC",BL12)),NOT(ISNUMBER(FIND("CAP",BL12)))))+64*(OR(RIGHT(BL12,5)="COUNT",RIGHT(BL12,2)="CT"))+128*(ISNUMBER(FIND("BULK",BL12)))+256*(ISNUMBER(FIND("SIZE",BL12)))+512*(LEFT(BL12,3)="CAP")+1024*(ISNUMBER(FIND("ALLERG",BL12)))+2048*(OR(ISNUMBER(FIND("REMARK",BL12)),ISNUMBER(FIND("COMMENT",BL12))))+4096*(OR(ISNUMBER(FIND("QTY",BL12)),ISNUMBER(FIND("QUANTITY",BL12))))+8192*(AND(OR(ISNUMBER(FIND("COMPLETE",BL12)),ISNUMBER(FIND("PCT",BL12)),ISNUMBER(FIND("PERCENT",BL12))),NOT(ISNUMBER(FIND("ACTUAL",BL12))),LEN(BL12)&lt;=16))+32768*(OR(ISNUMBER(FIND("DESIC",BL12)),ISNUMBER(FIND("DESSIC",BL12)))))</f>
        <v/>
      </c>
      <c r="BM147">
        <f>IF(BM12="",0,2*(OR(ISNUMBER(FIND("WORKCENTER",BM12)),AND(LEFT(BM12,4)="LINE",NOT(ISNUMBER(FIND("STATUS",BM12))))))+4*(OR(ISNUMBER(FIND("WORKORDER",BM12)),AND(LEFT(BM12,2)="WO",OR(ISNUMBER(FIND("NUM",BM12)),RIGHT(BM12,2)="NO"))))+8*(LEFT(BM12,3)="SEQ")+16*(AND(LEFT(BM12,4)="ITEM",NOT(ISNUMBER(FIND("DESC",BM12)))))+32*(AND(ISNUMBER(FIND("DESC",BM12)),NOT(ISNUMBER(FIND("CAP",BM12)))))+64*(OR(RIGHT(BM12,5)="COUNT",RIGHT(BM12,2)="CT"))+128*(ISNUMBER(FIND("BULK",BM12)))+256*(ISNUMBER(FIND("SIZE",BM12)))+512*(LEFT(BM12,3)="CAP")+1024*(ISNUMBER(FIND("ALLERG",BM12)))+2048*(OR(ISNUMBER(FIND("REMARK",BM12)),ISNUMBER(FIND("COMMENT",BM12))))+4096*(OR(ISNUMBER(FIND("QTY",BM12)),ISNUMBER(FIND("QUANTITY",BM12))))+8192*(AND(OR(ISNUMBER(FIND("COMPLETE",BM12)),ISNUMBER(FIND("PCT",BM12)),ISNUMBER(FIND("PERCENT",BM12))),NOT(ISNUMBER(FIND("ACTUAL",BM12))),LEN(BM12)&lt;=16))+32768*(OR(ISNUMBER(FIND("DESIC",BM12)),ISNUMBER(FIND("DESSIC",BM12)))))</f>
        <v/>
      </c>
      <c r="BN147">
        <f>IF(BN12="",0,2*(OR(ISNUMBER(FIND("WORKCENTER",BN12)),AND(LEFT(BN12,4)="LINE",NOT(ISNUMBER(FIND("STATUS",BN12))))))+4*(OR(ISNUMBER(FIND("WORKORDER",BN12)),AND(LEFT(BN12,2)="WO",OR(ISNUMBER(FIND("NUM",BN12)),RIGHT(BN12,2)="NO"))))+8*(LEFT(BN12,3)="SEQ")+16*(AND(LEFT(BN12,4)="ITEM",NOT(ISNUMBER(FIND("DESC",BN12)))))+32*(AND(ISNUMBER(FIND("DESC",BN12)),NOT(ISNUMBER(FIND("CAP",BN12)))))+64*(OR(RIGHT(BN12,5)="COUNT",RIGHT(BN12,2)="CT"))+128*(ISNUMBER(FIND("BULK",BN12)))+256*(ISNUMBER(FIND("SIZE",BN12)))+512*(LEFT(BN12,3)="CAP")+1024*(ISNUMBER(FIND("ALLERG",BN12)))+2048*(OR(ISNUMBER(FIND("REMARK",BN12)),ISNUMBER(FIND("COMMENT",BN12))))+4096*(OR(ISNUMBER(FIND("QTY",BN12)),ISNUMBER(FIND("QUANTITY",BN12))))+8192*(AND(OR(ISNUMBER(FIND("COMPLETE",BN12)),ISNUMBER(FIND("PCT",BN12)),ISNUMBER(FIND("PERCENT",BN12))),NOT(ISNUMBER(FIND("ACTUAL",BN12))),LEN(BN12)&lt;=16))+32768*(OR(ISNUMBER(FIND("DESIC",BN12)),ISNUMBER(FIND("DESSIC",BN12)))))</f>
        <v/>
      </c>
      <c r="BO147">
        <f>IF(BO12="",0,2*(OR(ISNUMBER(FIND("WORKCENTER",BO12)),AND(LEFT(BO12,4)="LINE",NOT(ISNUMBER(FIND("STATUS",BO12))))))+4*(OR(ISNUMBER(FIND("WORKORDER",BO12)),AND(LEFT(BO12,2)="WO",OR(ISNUMBER(FIND("NUM",BO12)),RIGHT(BO12,2)="NO"))))+8*(LEFT(BO12,3)="SEQ")+16*(AND(LEFT(BO12,4)="ITEM",NOT(ISNUMBER(FIND("DESC",BO12)))))+32*(AND(ISNUMBER(FIND("DESC",BO12)),NOT(ISNUMBER(FIND("CAP",BO12)))))+64*(OR(RIGHT(BO12,5)="COUNT",RIGHT(BO12,2)="CT"))+128*(ISNUMBER(FIND("BULK",BO12)))+256*(ISNUMBER(FIND("SIZE",BO12)))+512*(LEFT(BO12,3)="CAP")+1024*(ISNUMBER(FIND("ALLERG",BO12)))+2048*(OR(ISNUMBER(FIND("REMARK",BO12)),ISNUMBER(FIND("COMMENT",BO12))))+4096*(OR(ISNUMBER(FIND("QTY",BO12)),ISNUMBER(FIND("QUANTITY",BO12))))+8192*(AND(OR(ISNUMBER(FIND("COMPLETE",BO12)),ISNUMBER(FIND("PCT",BO12)),ISNUMBER(FIND("PERCENT",BO12))),NOT(ISNUMBER(FIND("ACTUAL",BO12))),LEN(BO12)&lt;=16))+32768*(OR(ISNUMBER(FIND("DESIC",BO12)),ISNUMBER(FIND("DESSIC",BO12)))))</f>
        <v/>
      </c>
      <c r="BP147">
        <f>IF(BP12="",0,2*(OR(ISNUMBER(FIND("WORKCENTER",BP12)),AND(LEFT(BP12,4)="LINE",NOT(ISNUMBER(FIND("STATUS",BP12))))))+4*(OR(ISNUMBER(FIND("WORKORDER",BP12)),AND(LEFT(BP12,2)="WO",OR(ISNUMBER(FIND("NUM",BP12)),RIGHT(BP12,2)="NO"))))+8*(LEFT(BP12,3)="SEQ")+16*(AND(LEFT(BP12,4)="ITEM",NOT(ISNUMBER(FIND("DESC",BP12)))))+32*(AND(ISNUMBER(FIND("DESC",BP12)),NOT(ISNUMBER(FIND("CAP",BP12)))))+64*(OR(RIGHT(BP12,5)="COUNT",RIGHT(BP12,2)="CT"))+128*(ISNUMBER(FIND("BULK",BP12)))+256*(ISNUMBER(FIND("SIZE",BP12)))+512*(LEFT(BP12,3)="CAP")+1024*(ISNUMBER(FIND("ALLERG",BP12)))+2048*(OR(ISNUMBER(FIND("REMARK",BP12)),ISNUMBER(FIND("COMMENT",BP12))))+4096*(OR(ISNUMBER(FIND("QTY",BP12)),ISNUMBER(FIND("QUANTITY",BP12))))+8192*(AND(OR(ISNUMBER(FIND("COMPLETE",BP12)),ISNUMBER(FIND("PCT",BP12)),ISNUMBER(FIND("PERCENT",BP12))),NOT(ISNUMBER(FIND("ACTUAL",BP12))),LEN(BP12)&lt;=16))+32768*(OR(ISNUMBER(FIND("DESIC",BP12)),ISNUMBER(FIND("DESSIC",BP12)))))</f>
        <v/>
      </c>
      <c r="BQ147">
        <f>IF(BQ12="",0,2*(OR(ISNUMBER(FIND("WORKCENTER",BQ12)),AND(LEFT(BQ12,4)="LINE",NOT(ISNUMBER(FIND("STATUS",BQ12))))))+4*(OR(ISNUMBER(FIND("WORKORDER",BQ12)),AND(LEFT(BQ12,2)="WO",OR(ISNUMBER(FIND("NUM",BQ12)),RIGHT(BQ12,2)="NO"))))+8*(LEFT(BQ12,3)="SEQ")+16*(AND(LEFT(BQ12,4)="ITEM",NOT(ISNUMBER(FIND("DESC",BQ12)))))+32*(AND(ISNUMBER(FIND("DESC",BQ12)),NOT(ISNUMBER(FIND("CAP",BQ12)))))+64*(OR(RIGHT(BQ12,5)="COUNT",RIGHT(BQ12,2)="CT"))+128*(ISNUMBER(FIND("BULK",BQ12)))+256*(ISNUMBER(FIND("SIZE",BQ12)))+512*(LEFT(BQ12,3)="CAP")+1024*(ISNUMBER(FIND("ALLERG",BQ12)))+2048*(OR(ISNUMBER(FIND("REMARK",BQ12)),ISNUMBER(FIND("COMMENT",BQ12))))+4096*(OR(ISNUMBER(FIND("QTY",BQ12)),ISNUMBER(FIND("QUANTITY",BQ12))))+8192*(AND(OR(ISNUMBER(FIND("COMPLETE",BQ12)),ISNUMBER(FIND("PCT",BQ12)),ISNUMBER(FIND("PERCENT",BQ12))),NOT(ISNUMBER(FIND("ACTUAL",BQ12))),LEN(BQ12)&lt;=16))+32768*(OR(ISNUMBER(FIND("DESIC",BQ12)),ISNUMBER(FIND("DESSIC",BQ12)))))</f>
        <v/>
      </c>
      <c r="BR147">
        <f>IF(BR12="",0,2*(OR(ISNUMBER(FIND("WORKCENTER",BR12)),AND(LEFT(BR12,4)="LINE",NOT(ISNUMBER(FIND("STATUS",BR12))))))+4*(OR(ISNUMBER(FIND("WORKORDER",BR12)),AND(LEFT(BR12,2)="WO",OR(ISNUMBER(FIND("NUM",BR12)),RIGHT(BR12,2)="NO"))))+8*(LEFT(BR12,3)="SEQ")+16*(AND(LEFT(BR12,4)="ITEM",NOT(ISNUMBER(FIND("DESC",BR12)))))+32*(AND(ISNUMBER(FIND("DESC",BR12)),NOT(ISNUMBER(FIND("CAP",BR12)))))+64*(OR(RIGHT(BR12,5)="COUNT",RIGHT(BR12,2)="CT"))+128*(ISNUMBER(FIND("BULK",BR12)))+256*(ISNUMBER(FIND("SIZE",BR12)))+512*(LEFT(BR12,3)="CAP")+1024*(ISNUMBER(FIND("ALLERG",BR12)))+2048*(OR(ISNUMBER(FIND("REMARK",BR12)),ISNUMBER(FIND("COMMENT",BR12))))+4096*(OR(ISNUMBER(FIND("QTY",BR12)),ISNUMBER(FIND("QUANTITY",BR12))))+8192*(AND(OR(ISNUMBER(FIND("COMPLETE",BR12)),ISNUMBER(FIND("PCT",BR12)),ISNUMBER(FIND("PERCENT",BR12))),NOT(ISNUMBER(FIND("ACTUAL",BR12))),LEN(BR12)&lt;=16))+32768*(OR(ISNUMBER(FIND("DESIC",BR12)),ISNUMBER(FIND("DESSIC",BR12)))))</f>
        <v/>
      </c>
      <c r="BS147">
        <f>IF(BS12="",0,2*(OR(ISNUMBER(FIND("WORKCENTER",BS12)),AND(LEFT(BS12,4)="LINE",NOT(ISNUMBER(FIND("STATUS",BS12))))))+4*(OR(ISNUMBER(FIND("WORKORDER",BS12)),AND(LEFT(BS12,2)="WO",OR(ISNUMBER(FIND("NUM",BS12)),RIGHT(BS12,2)="NO"))))+8*(LEFT(BS12,3)="SEQ")+16*(AND(LEFT(BS12,4)="ITEM",NOT(ISNUMBER(FIND("DESC",BS12)))))+32*(AND(ISNUMBER(FIND("DESC",BS12)),NOT(ISNUMBER(FIND("CAP",BS12)))))+64*(OR(RIGHT(BS12,5)="COUNT",RIGHT(BS12,2)="CT"))+128*(ISNUMBER(FIND("BULK",BS12)))+256*(ISNUMBER(FIND("SIZE",BS12)))+512*(LEFT(BS12,3)="CAP")+1024*(ISNUMBER(FIND("ALLERG",BS12)))+2048*(OR(ISNUMBER(FIND("REMARK",BS12)),ISNUMBER(FIND("COMMENT",BS12))))+4096*(OR(ISNUMBER(FIND("QTY",BS12)),ISNUMBER(FIND("QUANTITY",BS12))))+8192*(AND(OR(ISNUMBER(FIND("COMPLETE",BS12)),ISNUMBER(FIND("PCT",BS12)),ISNUMBER(FIND("PERCENT",BS12))),NOT(ISNUMBER(FIND("ACTUAL",BS12))),LEN(BS12)&lt;=16))+32768*(OR(ISNUMBER(FIND("DESIC",BS12)),ISNUMBER(FIND("DESSIC",BS12)))))</f>
        <v/>
      </c>
      <c r="BT147">
        <f>IF(BT12="",0,2*(OR(ISNUMBER(FIND("WORKCENTER",BT12)),AND(LEFT(BT12,4)="LINE",NOT(ISNUMBER(FIND("STATUS",BT12))))))+4*(OR(ISNUMBER(FIND("WORKORDER",BT12)),AND(LEFT(BT12,2)="WO",OR(ISNUMBER(FIND("NUM",BT12)),RIGHT(BT12,2)="NO"))))+8*(LEFT(BT12,3)="SEQ")+16*(AND(LEFT(BT12,4)="ITEM",NOT(ISNUMBER(FIND("DESC",BT12)))))+32*(AND(ISNUMBER(FIND("DESC",BT12)),NOT(ISNUMBER(FIND("CAP",BT12)))))+64*(OR(RIGHT(BT12,5)="COUNT",RIGHT(BT12,2)="CT"))+128*(ISNUMBER(FIND("BULK",BT12)))+256*(ISNUMBER(FIND("SIZE",BT12)))+512*(LEFT(BT12,3)="CAP")+1024*(ISNUMBER(FIND("ALLERG",BT12)))+2048*(OR(ISNUMBER(FIND("REMARK",BT12)),ISNUMBER(FIND("COMMENT",BT12))))+4096*(OR(ISNUMBER(FIND("QTY",BT12)),ISNUMBER(FIND("QUANTITY",BT12))))+8192*(AND(OR(ISNUMBER(FIND("COMPLETE",BT12)),ISNUMBER(FIND("PCT",BT12)),ISNUMBER(FIND("PERCENT",BT12))),NOT(ISNUMBER(FIND("ACTUAL",BT12))),LEN(BT12)&lt;=16))+32768*(OR(ISNUMBER(FIND("DESIC",BT12)),ISNUMBER(FIND("DESSIC",BT12)))))</f>
        <v/>
      </c>
      <c r="BU147">
        <f>IF(BU12="",0,2*(OR(ISNUMBER(FIND("WORKCENTER",BU12)),AND(LEFT(BU12,4)="LINE",NOT(ISNUMBER(FIND("STATUS",BU12))))))+4*(OR(ISNUMBER(FIND("WORKORDER",BU12)),AND(LEFT(BU12,2)="WO",OR(ISNUMBER(FIND("NUM",BU12)),RIGHT(BU12,2)="NO"))))+8*(LEFT(BU12,3)="SEQ")+16*(AND(LEFT(BU12,4)="ITEM",NOT(ISNUMBER(FIND("DESC",BU12)))))+32*(AND(ISNUMBER(FIND("DESC",BU12)),NOT(ISNUMBER(FIND("CAP",BU12)))))+64*(OR(RIGHT(BU12,5)="COUNT",RIGHT(BU12,2)="CT"))+128*(ISNUMBER(FIND("BULK",BU12)))+256*(ISNUMBER(FIND("SIZE",BU12)))+512*(LEFT(BU12,3)="CAP")+1024*(ISNUMBER(FIND("ALLERG",BU12)))+2048*(OR(ISNUMBER(FIND("REMARK",BU12)),ISNUMBER(FIND("COMMENT",BU12))))+4096*(OR(ISNUMBER(FIND("QTY",BU12)),ISNUMBER(FIND("QUANTITY",BU12))))+8192*(AND(OR(ISNUMBER(FIND("COMPLETE",BU12)),ISNUMBER(FIND("PCT",BU12)),ISNUMBER(FIND("PERCENT",BU12))),NOT(ISNUMBER(FIND("ACTUAL",BU12))),LEN(BU12)&lt;=16))+32768*(OR(ISNUMBER(FIND("DESIC",BU12)),ISNUMBER(FIND("DESSIC",BU12)))))</f>
        <v/>
      </c>
      <c r="BV147">
        <f>IF(BV12="",0,2*(OR(ISNUMBER(FIND("WORKCENTER",BV12)),AND(LEFT(BV12,4)="LINE",NOT(ISNUMBER(FIND("STATUS",BV12))))))+4*(OR(ISNUMBER(FIND("WORKORDER",BV12)),AND(LEFT(BV12,2)="WO",OR(ISNUMBER(FIND("NUM",BV12)),RIGHT(BV12,2)="NO"))))+8*(LEFT(BV12,3)="SEQ")+16*(AND(LEFT(BV12,4)="ITEM",NOT(ISNUMBER(FIND("DESC",BV12)))))+32*(AND(ISNUMBER(FIND("DESC",BV12)),NOT(ISNUMBER(FIND("CAP",BV12)))))+64*(OR(RIGHT(BV12,5)="COUNT",RIGHT(BV12,2)="CT"))+128*(ISNUMBER(FIND("BULK",BV12)))+256*(ISNUMBER(FIND("SIZE",BV12)))+512*(LEFT(BV12,3)="CAP")+1024*(ISNUMBER(FIND("ALLERG",BV12)))+2048*(OR(ISNUMBER(FIND("REMARK",BV12)),ISNUMBER(FIND("COMMENT",BV12))))+4096*(OR(ISNUMBER(FIND("QTY",BV12)),ISNUMBER(FIND("QUANTITY",BV12))))+8192*(AND(OR(ISNUMBER(FIND("COMPLETE",BV12)),ISNUMBER(FIND("PCT",BV12)),ISNUMBER(FIND("PERCENT",BV12))),NOT(ISNUMBER(FIND("ACTUAL",BV12))),LEN(BV12)&lt;=16))+32768*(OR(ISNUMBER(FIND("DESIC",BV12)),ISNUMBER(FIND("DESSIC",BV12)))))</f>
        <v/>
      </c>
      <c r="BW147">
        <f>IF(BW12="",0,2*(OR(ISNUMBER(FIND("WORKCENTER",BW12)),AND(LEFT(BW12,4)="LINE",NOT(ISNUMBER(FIND("STATUS",BW12))))))+4*(OR(ISNUMBER(FIND("WORKORDER",BW12)),AND(LEFT(BW12,2)="WO",OR(ISNUMBER(FIND("NUM",BW12)),RIGHT(BW12,2)="NO"))))+8*(LEFT(BW12,3)="SEQ")+16*(AND(LEFT(BW12,4)="ITEM",NOT(ISNUMBER(FIND("DESC",BW12)))))+32*(AND(ISNUMBER(FIND("DESC",BW12)),NOT(ISNUMBER(FIND("CAP",BW12)))))+64*(OR(RIGHT(BW12,5)="COUNT",RIGHT(BW12,2)="CT"))+128*(ISNUMBER(FIND("BULK",BW12)))+256*(ISNUMBER(FIND("SIZE",BW12)))+512*(LEFT(BW12,3)="CAP")+1024*(ISNUMBER(FIND("ALLERG",BW12)))+2048*(OR(ISNUMBER(FIND("REMARK",BW12)),ISNUMBER(FIND("COMMENT",BW12))))+4096*(OR(ISNUMBER(FIND("QTY",BW12)),ISNUMBER(FIND("QUANTITY",BW12))))+8192*(AND(OR(ISNUMBER(FIND("COMPLETE",BW12)),ISNUMBER(FIND("PCT",BW12)),ISNUMBER(FIND("PERCENT",BW12))),NOT(ISNUMBER(FIND("ACTUAL",BW12))),LEN(BW12)&lt;=16))+32768*(OR(ISNUMBER(FIND("DESIC",BW12)),ISNUMBER(FIND("DESSIC",BW12)))))</f>
        <v/>
      </c>
      <c r="BX147">
        <f>IF(BX12="",0,2*(OR(ISNUMBER(FIND("WORKCENTER",BX12)),AND(LEFT(BX12,4)="LINE",NOT(ISNUMBER(FIND("STATUS",BX12))))))+4*(OR(ISNUMBER(FIND("WORKORDER",BX12)),AND(LEFT(BX12,2)="WO",OR(ISNUMBER(FIND("NUM",BX12)),RIGHT(BX12,2)="NO"))))+8*(LEFT(BX12,3)="SEQ")+16*(AND(LEFT(BX12,4)="ITEM",NOT(ISNUMBER(FIND("DESC",BX12)))))+32*(AND(ISNUMBER(FIND("DESC",BX12)),NOT(ISNUMBER(FIND("CAP",BX12)))))+64*(OR(RIGHT(BX12,5)="COUNT",RIGHT(BX12,2)="CT"))+128*(ISNUMBER(FIND("BULK",BX12)))+256*(ISNUMBER(FIND("SIZE",BX12)))+512*(LEFT(BX12,3)="CAP")+1024*(ISNUMBER(FIND("ALLERG",BX12)))+2048*(OR(ISNUMBER(FIND("REMARK",BX12)),ISNUMBER(FIND("COMMENT",BX12))))+4096*(OR(ISNUMBER(FIND("QTY",BX12)),ISNUMBER(FIND("QUANTITY",BX12))))+8192*(AND(OR(ISNUMBER(FIND("COMPLETE",BX12)),ISNUMBER(FIND("PCT",BX12)),ISNUMBER(FIND("PERCENT",BX12))),NOT(ISNUMBER(FIND("ACTUAL",BX12))),LEN(BX12)&lt;=16))+32768*(OR(ISNUMBER(FIND("DESIC",BX12)),ISNUMBER(FIND("DESSIC",BX12)))))</f>
        <v/>
      </c>
      <c r="BY147">
        <f>IF(BY12="",0,2*(OR(ISNUMBER(FIND("WORKCENTER",BY12)),AND(LEFT(BY12,4)="LINE",NOT(ISNUMBER(FIND("STATUS",BY12))))))+4*(OR(ISNUMBER(FIND("WORKORDER",BY12)),AND(LEFT(BY12,2)="WO",OR(ISNUMBER(FIND("NUM",BY12)),RIGHT(BY12,2)="NO"))))+8*(LEFT(BY12,3)="SEQ")+16*(AND(LEFT(BY12,4)="ITEM",NOT(ISNUMBER(FIND("DESC",BY12)))))+32*(AND(ISNUMBER(FIND("DESC",BY12)),NOT(ISNUMBER(FIND("CAP",BY12)))))+64*(OR(RIGHT(BY12,5)="COUNT",RIGHT(BY12,2)="CT"))+128*(ISNUMBER(FIND("BULK",BY12)))+256*(ISNUMBER(FIND("SIZE",BY12)))+512*(LEFT(BY12,3)="CAP")+1024*(ISNUMBER(FIND("ALLERG",BY12)))+2048*(OR(ISNUMBER(FIND("REMARK",BY12)),ISNUMBER(FIND("COMMENT",BY12))))+4096*(OR(ISNUMBER(FIND("QTY",BY12)),ISNUMBER(FIND("QUANTITY",BY12))))+8192*(AND(OR(ISNUMBER(FIND("COMPLETE",BY12)),ISNUMBER(FIND("PCT",BY12)),ISNUMBER(FIND("PERCENT",BY12))),NOT(ISNUMBER(FIND("ACTUAL",BY12))),LEN(BY12)&lt;=16))+32768*(OR(ISNUMBER(FIND("DESIC",BY12)),ISNUMBER(FIND("DESSIC",BY12)))))</f>
        <v/>
      </c>
      <c r="BZ147">
        <f>IF(BZ12="",0,2*(OR(ISNUMBER(FIND("WORKCENTER",BZ12)),AND(LEFT(BZ12,4)="LINE",NOT(ISNUMBER(FIND("STATUS",BZ12))))))+4*(OR(ISNUMBER(FIND("WORKORDER",BZ12)),AND(LEFT(BZ12,2)="WO",OR(ISNUMBER(FIND("NUM",BZ12)),RIGHT(BZ12,2)="NO"))))+8*(LEFT(BZ12,3)="SEQ")+16*(AND(LEFT(BZ12,4)="ITEM",NOT(ISNUMBER(FIND("DESC",BZ12)))))+32*(AND(ISNUMBER(FIND("DESC",BZ12)),NOT(ISNUMBER(FIND("CAP",BZ12)))))+64*(OR(RIGHT(BZ12,5)="COUNT",RIGHT(BZ12,2)="CT"))+128*(ISNUMBER(FIND("BULK",BZ12)))+256*(ISNUMBER(FIND("SIZE",BZ12)))+512*(LEFT(BZ12,3)="CAP")+1024*(ISNUMBER(FIND("ALLERG",BZ12)))+2048*(OR(ISNUMBER(FIND("REMARK",BZ12)),ISNUMBER(FIND("COMMENT",BZ12))))+4096*(OR(ISNUMBER(FIND("QTY",BZ12)),ISNUMBER(FIND("QUANTITY",BZ12))))+8192*(AND(OR(ISNUMBER(FIND("COMPLETE",BZ12)),ISNUMBER(FIND("PCT",BZ12)),ISNUMBER(FIND("PERCENT",BZ12))),NOT(ISNUMBER(FIND("ACTUAL",BZ12))),LEN(BZ12)&lt;=16))+32768*(OR(ISNUMBER(FIND("DESIC",BZ12)),ISNUMBER(FIND("DESSIC",BZ12)))))</f>
        <v/>
      </c>
      <c r="CA147">
        <f>IF(CA12="",0,2*(OR(ISNUMBER(FIND("WORKCENTER",CA12)),AND(LEFT(CA12,4)="LINE",NOT(ISNUMBER(FIND("STATUS",CA12))))))+4*(OR(ISNUMBER(FIND("WORKORDER",CA12)),AND(LEFT(CA12,2)="WO",OR(ISNUMBER(FIND("NUM",CA12)),RIGHT(CA12,2)="NO"))))+8*(LEFT(CA12,3)="SEQ")+16*(AND(LEFT(CA12,4)="ITEM",NOT(ISNUMBER(FIND("DESC",CA12)))))+32*(AND(ISNUMBER(FIND("DESC",CA12)),NOT(ISNUMBER(FIND("CAP",CA12)))))+64*(OR(RIGHT(CA12,5)="COUNT",RIGHT(CA12,2)="CT"))+128*(ISNUMBER(FIND("BULK",CA12)))+256*(ISNUMBER(FIND("SIZE",CA12)))+512*(LEFT(CA12,3)="CAP")+1024*(ISNUMBER(FIND("ALLERG",CA12)))+2048*(OR(ISNUMBER(FIND("REMARK",CA12)),ISNUMBER(FIND("COMMENT",CA12))))+4096*(OR(ISNUMBER(FIND("QTY",CA12)),ISNUMBER(FIND("QUANTITY",CA12))))+8192*(AND(OR(ISNUMBER(FIND("COMPLETE",CA12)),ISNUMBER(FIND("PCT",CA12)),ISNUMBER(FIND("PERCENT",CA12))),NOT(ISNUMBER(FIND("ACTUAL",CA12))),LEN(CA12)&lt;=16))+32768*(OR(ISNUMBER(FIND("DESIC",CA12)),ISNUMBER(FIND("DESSIC",CA12)))))</f>
        <v/>
      </c>
      <c r="CB147">
        <f>IF(CB12="",0,2*(OR(ISNUMBER(FIND("WORKCENTER",CB12)),AND(LEFT(CB12,4)="LINE",NOT(ISNUMBER(FIND("STATUS",CB12))))))+4*(OR(ISNUMBER(FIND("WORKORDER",CB12)),AND(LEFT(CB12,2)="WO",OR(ISNUMBER(FIND("NUM",CB12)),RIGHT(CB12,2)="NO"))))+8*(LEFT(CB12,3)="SEQ")+16*(AND(LEFT(CB12,4)="ITEM",NOT(ISNUMBER(FIND("DESC",CB12)))))+32*(AND(ISNUMBER(FIND("DESC",CB12)),NOT(ISNUMBER(FIND("CAP",CB12)))))+64*(OR(RIGHT(CB12,5)="COUNT",RIGHT(CB12,2)="CT"))+128*(ISNUMBER(FIND("BULK",CB12)))+256*(ISNUMBER(FIND("SIZE",CB12)))+512*(LEFT(CB12,3)="CAP")+1024*(ISNUMBER(FIND("ALLERG",CB12)))+2048*(OR(ISNUMBER(FIND("REMARK",CB12)),ISNUMBER(FIND("COMMENT",CB12))))+4096*(OR(ISNUMBER(FIND("QTY",CB12)),ISNUMBER(FIND("QUANTITY",CB12))))+8192*(AND(OR(ISNUMBER(FIND("COMPLETE",CB12)),ISNUMBER(FIND("PCT",CB12)),ISNUMBER(FIND("PERCENT",CB12))),NOT(ISNUMBER(FIND("ACTUAL",CB12))),LEN(CB12)&lt;=16))+32768*(OR(ISNUMBER(FIND("DESIC",CB12)),ISNUMBER(FIND("DESSIC",CB12)))))</f>
        <v/>
      </c>
      <c r="CC147">
        <f>IF(CC12="",0,2*(OR(ISNUMBER(FIND("WORKCENTER",CC12)),AND(LEFT(CC12,4)="LINE",NOT(ISNUMBER(FIND("STATUS",CC12))))))+4*(OR(ISNUMBER(FIND("WORKORDER",CC12)),AND(LEFT(CC12,2)="WO",OR(ISNUMBER(FIND("NUM",CC12)),RIGHT(CC12,2)="NO"))))+8*(LEFT(CC12,3)="SEQ")+16*(AND(LEFT(CC12,4)="ITEM",NOT(ISNUMBER(FIND("DESC",CC12)))))+32*(AND(ISNUMBER(FIND("DESC",CC12)),NOT(ISNUMBER(FIND("CAP",CC12)))))+64*(OR(RIGHT(CC12,5)="COUNT",RIGHT(CC12,2)="CT"))+128*(ISNUMBER(FIND("BULK",CC12)))+256*(ISNUMBER(FIND("SIZE",CC12)))+512*(LEFT(CC12,3)="CAP")+1024*(ISNUMBER(FIND("ALLERG",CC12)))+2048*(OR(ISNUMBER(FIND("REMARK",CC12)),ISNUMBER(FIND("COMMENT",CC12))))+4096*(OR(ISNUMBER(FIND("QTY",CC12)),ISNUMBER(FIND("QUANTITY",CC12))))+8192*(AND(OR(ISNUMBER(FIND("COMPLETE",CC12)),ISNUMBER(FIND("PCT",CC12)),ISNUMBER(FIND("PERCENT",CC12))),NOT(ISNUMBER(FIND("ACTUAL",CC12))),LEN(CC12)&lt;=16))+32768*(OR(ISNUMBER(FIND("DESIC",CC12)),ISNUMBER(FIND("DESSIC",CC12)))))</f>
        <v/>
      </c>
      <c r="CD147">
        <f>IF(CD12="",0,2*(OR(ISNUMBER(FIND("WORKCENTER",CD12)),AND(LEFT(CD12,4)="LINE",NOT(ISNUMBER(FIND("STATUS",CD12))))))+4*(OR(ISNUMBER(FIND("WORKORDER",CD12)),AND(LEFT(CD12,2)="WO",OR(ISNUMBER(FIND("NUM",CD12)),RIGHT(CD12,2)="NO"))))+8*(LEFT(CD12,3)="SEQ")+16*(AND(LEFT(CD12,4)="ITEM",NOT(ISNUMBER(FIND("DESC",CD12)))))+32*(AND(ISNUMBER(FIND("DESC",CD12)),NOT(ISNUMBER(FIND("CAP",CD12)))))+64*(OR(RIGHT(CD12,5)="COUNT",RIGHT(CD12,2)="CT"))+128*(ISNUMBER(FIND("BULK",CD12)))+256*(ISNUMBER(FIND("SIZE",CD12)))+512*(LEFT(CD12,3)="CAP")+1024*(ISNUMBER(FIND("ALLERG",CD12)))+2048*(OR(ISNUMBER(FIND("REMARK",CD12)),ISNUMBER(FIND("COMMENT",CD12))))+4096*(OR(ISNUMBER(FIND("QTY",CD12)),ISNUMBER(FIND("QUANTITY",CD12))))+8192*(AND(OR(ISNUMBER(FIND("COMPLETE",CD12)),ISNUMBER(FIND("PCT",CD12)),ISNUMBER(FIND("PERCENT",CD12))),NOT(ISNUMBER(FIND("ACTUAL",CD12))),LEN(CD12)&lt;=16))+32768*(OR(ISNUMBER(FIND("DESIC",CD12)),ISNUMBER(FIND("DESSIC",CD12)))))</f>
        <v/>
      </c>
      <c r="CE147">
        <f>IF(CE12="",0,2*(OR(ISNUMBER(FIND("WORKCENTER",CE12)),AND(LEFT(CE12,4)="LINE",NOT(ISNUMBER(FIND("STATUS",CE12))))))+4*(OR(ISNUMBER(FIND("WORKORDER",CE12)),AND(LEFT(CE12,2)="WO",OR(ISNUMBER(FIND("NUM",CE12)),RIGHT(CE12,2)="NO"))))+8*(LEFT(CE12,3)="SEQ")+16*(AND(LEFT(CE12,4)="ITEM",NOT(ISNUMBER(FIND("DESC",CE12)))))+32*(AND(ISNUMBER(FIND("DESC",CE12)),NOT(ISNUMBER(FIND("CAP",CE12)))))+64*(OR(RIGHT(CE12,5)="COUNT",RIGHT(CE12,2)="CT"))+128*(ISNUMBER(FIND("BULK",CE12)))+256*(ISNUMBER(FIND("SIZE",CE12)))+512*(LEFT(CE12,3)="CAP")+1024*(ISNUMBER(FIND("ALLERG",CE12)))+2048*(OR(ISNUMBER(FIND("REMARK",CE12)),ISNUMBER(FIND("COMMENT",CE12))))+4096*(OR(ISNUMBER(FIND("QTY",CE12)),ISNUMBER(FIND("QUANTITY",CE12))))+8192*(AND(OR(ISNUMBER(FIND("COMPLETE",CE12)),ISNUMBER(FIND("PCT",CE12)),ISNUMBER(FIND("PERCENT",CE12))),NOT(ISNUMBER(FIND("ACTUAL",CE12))),LEN(CE12)&lt;=16))+32768*(OR(ISNUMBER(FIND("DESIC",CE12)),ISNUMBER(FIND("DESSIC",CE12)))))</f>
        <v/>
      </c>
      <c r="CF147">
        <f>IF(CF12="",0,2*(OR(ISNUMBER(FIND("WORKCENTER",CF12)),AND(LEFT(CF12,4)="LINE",NOT(ISNUMBER(FIND("STATUS",CF12))))))+4*(OR(ISNUMBER(FIND("WORKORDER",CF12)),AND(LEFT(CF12,2)="WO",OR(ISNUMBER(FIND("NUM",CF12)),RIGHT(CF12,2)="NO"))))+8*(LEFT(CF12,3)="SEQ")+16*(AND(LEFT(CF12,4)="ITEM",NOT(ISNUMBER(FIND("DESC",CF12)))))+32*(AND(ISNUMBER(FIND("DESC",CF12)),NOT(ISNUMBER(FIND("CAP",CF12)))))+64*(OR(RIGHT(CF12,5)="COUNT",RIGHT(CF12,2)="CT"))+128*(ISNUMBER(FIND("BULK",CF12)))+256*(ISNUMBER(FIND("SIZE",CF12)))+512*(LEFT(CF12,3)="CAP")+1024*(ISNUMBER(FIND("ALLERG",CF12)))+2048*(OR(ISNUMBER(FIND("REMARK",CF12)),ISNUMBER(FIND("COMMENT",CF12))))+4096*(OR(ISNUMBER(FIND("QTY",CF12)),ISNUMBER(FIND("QUANTITY",CF12))))+8192*(AND(OR(ISNUMBER(FIND("COMPLETE",CF12)),ISNUMBER(FIND("PCT",CF12)),ISNUMBER(FIND("PERCENT",CF12))),NOT(ISNUMBER(FIND("ACTUAL",CF12))),LEN(CF12)&lt;=16))+32768*(OR(ISNUMBER(FIND("DESIC",CF12)),ISNUMBER(FIND("DESSIC",CF12)))))</f>
        <v/>
      </c>
      <c r="DA147" t="n">
        <v>143</v>
      </c>
      <c r="DB147">
        <f>IF($B$37=0,"",IFERROR(TRIM(SUBSTITUTE(SUBSTITUTE(SUBSTITUTE(SUBSTITUTE(INDEX(PASTE_ALL,143,$B$37)," "," "),CHAR(9)," "),CHAR(10)," "),CHAR(13)," ")),""))</f>
        <v/>
      </c>
      <c r="DC147">
        <f>IF(AND(143&gt;HEADER_ROW,UPPER(DB147)="LEGEND"),1,0)</f>
        <v/>
      </c>
      <c r="DE147" t="n">
        <v>143</v>
      </c>
      <c r="DF147">
        <f>HEADER_ROW+$DE147</f>
        <v/>
      </c>
      <c r="DG147">
        <f>IF(AND($DF147&lt;=1000,$DF147&lt;$B$8),1,0)</f>
        <v/>
      </c>
      <c r="DH147">
        <f>IF($DG147=1,IFERROR(INDEX($DB$5:$DB$1004,$DF147),""),"")</f>
        <v/>
      </c>
      <c r="DI147">
        <f>IF(AND($DG147=1,$DH147&lt;&gt;""),IFERROR(SUBSTITUTE(SUBSTITUTE(TRIM(SUBSTITUTE(SUBSTITUTE(SUBSTITUTE(SUBSTITUTE(IFERROR(INDEX(PASTE_ALL,$DF147,1)&amp;"","")&amp;"␟"&amp;IFERROR(INDEX(PASTE_ALL,$DF147,2)&amp;"","")&amp;"␟"&amp;IFERROR(INDEX(PASTE_ALL,$DF147,3)&amp;"","")&amp;"␟"&amp;IFERROR(INDEX(PASTE_ALL,$DF147,4)&amp;"","")&amp;"␟"&amp;IFERROR(INDEX(PASTE_ALL,$DF147,5)&amp;"","")&amp;"␟"&amp;IFERROR(INDEX(PASTE_ALL,$DF147,6)&amp;"","")&amp;"␟"&amp;IFERROR(INDEX(PASTE_ALL,$DF147,7)&amp;"","")&amp;"␟"&amp;IFERROR(INDEX(PASTE_ALL,$DF147,8)&amp;"","")&amp;"␟"&amp;IFERROR(INDEX(PASTE_ALL,$DF147,9)&amp;"","")&amp;"␟"&amp;IFERROR(INDEX(PASTE_ALL,$DF147,10)&amp;"","")&amp;"␟"&amp;IFERROR(INDEX(PASTE_ALL,$DF147,11)&amp;"","")&amp;"␟"&amp;IFERROR(INDEX(PASTE_ALL,$DF147,12)&amp;"","")&amp;"␟"&amp;IFERROR(INDEX(PASTE_ALL,$DF147,13)&amp;"","")&amp;"␟"&amp;IFERROR(INDEX(PASTE_ALL,$DF147,14)&amp;"","")&amp;"␟"&amp;IFERROR(INDEX(PASTE_ALL,$DF147,15)&amp;"","")&amp;"␟"&amp;IFERROR(INDEX(PASTE_ALL,$DF147,16)&amp;"","")&amp;"␟"&amp;IFERROR(INDEX(PASTE_ALL,$DF147,17)&amp;"","")&amp;"␟"&amp;IFERROR(INDEX(PASTE_ALL,$DF147,18)&amp;"","")&amp;"␟"&amp;IFERROR(INDEX(PASTE_ALL,$DF147,19)&amp;"","")&amp;"␟"&amp;IFERROR(INDEX(PASTE_ALL,$DF147,20)&amp;"","")&amp;"␟"&amp;IFERROR(INDEX(PASTE_ALL,$DF147,21)&amp;"","")&amp;"␟"&amp;IFERROR(INDEX(PASTE_ALL,$DF147,22)&amp;"","")&amp;"␟"&amp;IFERROR(INDEX(PASTE_ALL,$DF147,23)&amp;"","")&amp;"␟"&amp;IFERROR(INDEX(PASTE_ALL,$DF147,24)&amp;"","")&amp;"␟"&amp;IFERROR(INDEX(PASTE_ALL,$DF147,25)&amp;"","")&amp;"␟"&amp;IFERROR(INDEX(PASTE_ALL,$DF147,26)&amp;"","")&amp;"␟"&amp;IFERROR(INDEX(PASTE_ALL,$DF147,27)&amp;"","")&amp;"␟"&amp;IFERROR(INDEX(PASTE_ALL,$DF147,28)&amp;"","")&amp;"␟"&amp;IFERROR(INDEX(PASTE_ALL,$DF147,29)&amp;"","")&amp;"␟"&amp;IFERROR(INDEX(PASTE_ALL,$DF147,30)&amp;"","")&amp;"␟"&amp;IFERROR(INDEX(PASTE_ALL,$DF147,31)&amp;"","")&amp;"␟"&amp;IFERROR(INDEX(PASTE_ALL,$DF147,32)&amp;"","")&amp;"␟"&amp;IFERROR(INDEX(PASTE_ALL,$DF147,33)&amp;"","")&amp;"␟"&amp;IFERROR(INDEX(PASTE_ALL,$DF147,34)&amp;"","")&amp;"␟"&amp;IFERROR(INDEX(PASTE_ALL,$DF147,35)&amp;"","")&amp;"␟"&amp;IFERROR(INDEX(PASTE_ALL,$DF147,36)&amp;"","")&amp;"␟"&amp;IFERROR(INDEX(PASTE_ALL,$DF147,37)&amp;"","")&amp;"␟"&amp;IFERROR(INDEX(PASTE_ALL,$DF147,38)&amp;"","")&amp;"␟"&amp;IFERROR(INDEX(PASTE_ALL,$DF147,39)&amp;"","")&amp;"␟"&amp;IFERROR(INDEX(PASTE_ALL,$DF147,40)&amp;"","")&amp;"␟"&amp;IFERROR(INDEX(PASTE_ALL,$DF147,41)&amp;"","")&amp;"␟"&amp;IFERROR(INDEX(PASTE_ALL,$DF147,42)&amp;"","")&amp;"␟"&amp;IFERROR(INDEX(PASTE_ALL,$DF147,43)&amp;"","")&amp;"␟"&amp;IFERROR(INDEX(PASTE_ALL,$DF147,44)&amp;"","")&amp;"␟"&amp;IFERROR(INDEX(PASTE_ALL,$DF147,45)&amp;"","")&amp;"␟"&amp;IFERROR(INDEX(PASTE_ALL,$DF147,46)&amp;"","")&amp;"␟"&amp;IFERROR(INDEX(PASTE_ALL,$DF147,47)&amp;"","")&amp;"␟"&amp;IFERROR(INDEX(PASTE_ALL,$DF147,48)&amp;"","")&amp;"␟"&amp;IFERROR(INDEX(PASTE_ALL,$DF147,49)&amp;"","")&amp;"␟"&amp;IFERROR(INDEX(PASTE_ALL,$DF147,50)&amp;"","")&amp;"␟"&amp;IFERROR(INDEX(PASTE_ALL,$DF147,51)&amp;"","")&amp;"␟"&amp;IFERROR(INDEX(PASTE_ALL,$DF147,52)&amp;"","")&amp;"␟"&amp;IFERROR(INDEX(PASTE_ALL,$DF147,53)&amp;"","")&amp;"␟"&amp;IFERROR(INDEX(PASTE_ALL,$DF147,54)&amp;"","")&amp;"␟"&amp;IFERROR(INDEX(PASTE_ALL,$DF147,55)&amp;"","")&amp;"␟"&amp;IFERROR(INDEX(PASTE_ALL,$DF147,56)&amp;"","")&amp;"␟"&amp;IFERROR(INDEX(PASTE_ALL,$DF147,57)&amp;"","")&amp;"␟"&amp;IFERROR(INDEX(PASTE_ALL,$DF147,58)&amp;"","")&amp;"␟"&amp;IFERROR(INDEX(PASTE_ALL,$DF147,59)&amp;"","")&amp;"␟"&amp;IFERROR(INDEX(PASTE_ALL,$DF147,60)&amp;"","")," "," "),CHAR(9)," "),CHAR(10)," "),CHAR(13)," "))," ␟","␟"),"␟ ","␟"),"#"&amp;$DE147),"")</f>
        <v/>
      </c>
      <c r="DJ147">
        <f>IF($DI147="",0,IF(SUMPRODUCT(--EXACT($DI$4:DI146,$DI147))&gt;0,1,0))</f>
        <v/>
      </c>
      <c r="DK147">
        <f>IF(AND($DI147&lt;&gt;"",$DJ147=0),1,0)</f>
        <v/>
      </c>
      <c r="DL147">
        <f>DL146+$DK147</f>
        <v/>
      </c>
      <c r="DM147">
        <f>IF(AND($DK147=1,$DL147&lt;=600),1,0)</f>
        <v/>
      </c>
      <c r="DN147">
        <f>IF($DM147=0,"",IF($L$6=0,"",IFERROR(IF(ISNUMBER(INDEX(PASTE_ALL,$DF147,$L$6)),INDEX(PASTE_ALL,$DF147,$L$6),TRIM(SUBSTITUTE(SUBSTITUTE(SUBSTITUTE(SUBSTITUTE(INDEX(PASTE_ALL,$DF147,$L$6)," "," "),CHAR(9)," "),CHAR(10)," "),CHAR(13)," "))),"")))</f>
        <v/>
      </c>
      <c r="DO147">
        <f>IF($DM147=0,"",IF($L$7=0,"",IFERROR(IF(ISNUMBER(INDEX(PASTE_ALL,$DF147,$L$7)),INDEX(PASTE_ALL,$DF147,$L$7),TRIM(SUBSTITUTE(SUBSTITUTE(SUBSTITUTE(SUBSTITUTE(INDEX(PASTE_ALL,$DF147,$L$7)," "," "),CHAR(9)," "),CHAR(10)," "),CHAR(13)," "))),"")))</f>
        <v/>
      </c>
      <c r="DP147">
        <f>IF($DM147=0,"",IF($L$8=0,"",IFERROR(IF(ISNUMBER(INDEX(PASTE_ALL,$DF147,$L$8)),INDEX(PASTE_ALL,$DF147,$L$8),TRIM(SUBSTITUTE(SUBSTITUTE(SUBSTITUTE(SUBSTITUTE(INDEX(PASTE_ALL,$DF147,$L$8)," "," "),CHAR(9)," "),CHAR(10)," "),CHAR(13)," "))),"")))</f>
        <v/>
      </c>
      <c r="DQ147">
        <f>IF($DM147=0,"",IF($L$9=0,"",IFERROR(IF(ISNUMBER(INDEX(PASTE_ALL,$DF147,$L$9)),INDEX(PASTE_ALL,$DF147,$L$9),TRIM(SUBSTITUTE(SUBSTITUTE(SUBSTITUTE(SUBSTITUTE(INDEX(PASTE_ALL,$DF147,$L$9)," "," "),CHAR(9)," "),CHAR(10)," "),CHAR(13)," "))),"")))</f>
        <v/>
      </c>
      <c r="DR147">
        <f>IF($DM147=0,"",IF($L$10=0,"",IFERROR(IF(ISNUMBER(INDEX(PASTE_ALL,$DF147,$L$10)),INDEX(PASTE_ALL,$DF147,$L$10),TRIM(SUBSTITUTE(SUBSTITUTE(SUBSTITUTE(SUBSTITUTE(INDEX(PASTE_ALL,$DF147,$L$10)," "," "),CHAR(9)," "),CHAR(10)," "),CHAR(13)," "))),"")))</f>
        <v/>
      </c>
      <c r="DS147">
        <f>IF($DM147=0,"",IF($L$11=0,"",IFERROR(IF(ISNUMBER(INDEX(PASTE_ALL,$DF147,$L$11)),INDEX(PASTE_ALL,$DF147,$L$11),TRIM(SUBSTITUTE(SUBSTITUTE(SUBSTITUTE(SUBSTITUTE(INDEX(PASTE_ALL,$DF147,$L$11)," "," "),CHAR(9)," "),CHAR(10)," "),CHAR(13)," "))),"")))</f>
        <v/>
      </c>
      <c r="DT147">
        <f>IF($DM147=0,"",IF($L$12=0,"",IFERROR(IF(ISNUMBER(INDEX(PASTE_ALL,$DF147,$L$12)),INDEX(PASTE_ALL,$DF147,$L$12),TRIM(SUBSTITUTE(SUBSTITUTE(SUBSTITUTE(SUBSTITUTE(INDEX(PASTE_ALL,$DF147,$L$12)," "," "),CHAR(9)," "),CHAR(10)," "),CHAR(13)," "))),"")))</f>
        <v/>
      </c>
      <c r="DU147">
        <f>IF($DM147=0,"",IF($L$13=0,"",IFERROR(IF(ISNUMBER(INDEX(PASTE_ALL,$DF147,$L$13)),INDEX(PASTE_ALL,$DF147,$L$13),TRIM(SUBSTITUTE(SUBSTITUTE(SUBSTITUTE(SUBSTITUTE(INDEX(PASTE_ALL,$DF147,$L$13)," "," "),CHAR(9)," "),CHAR(10)," "),CHAR(13)," "))),"")))</f>
        <v/>
      </c>
      <c r="DV147">
        <f>IF($DM147=0,"",IF($L$14=0,"",IFERROR(IF(ISNUMBER(INDEX(PASTE_ALL,$DF147,$L$14)),INDEX(PASTE_ALL,$DF147,$L$14),TRIM(SUBSTITUTE(SUBSTITUTE(SUBSTITUTE(SUBSTITUTE(INDEX(PASTE_ALL,$DF147,$L$14)," "," "),CHAR(9)," "),CHAR(10)," "),CHAR(13)," "))),"")))</f>
        <v/>
      </c>
      <c r="DW147">
        <f>IF($DM147=0,"",IF($L$15=0,"",IFERROR(IF(ISNUMBER(INDEX(PASTE_ALL,$DF147,$L$15)),INDEX(PASTE_ALL,$DF147,$L$15),IF(SUMPRODUCT(--ISNUMBER(FIND({"A","B","C","D","E","F","G","H","I","J","K","L","M","N","O","P","Q","R","S","T","U","V","W","X","Y","Z","0","1","2","3","4","5","6","7","8","9"},UPPER(TRIM(SUBSTITUTE(SUBSTITUTE(SUBSTITUTE(SUBSTITUTE(INDEX(PASTE_ALL,$DF147,$L$15)," "," "),CHAR(9)," "),CHAR(10)," "),CHAR(13)," "))))))&gt;0,TRIM(SUBSTITUTE(SUBSTITUTE(SUBSTITUTE(SUBSTITUTE(INDEX(PASTE_ALL,$DF147,$L$15)," "," "),CHAR(9)," "),CHAR(10)," "),CHAR(13)," ")),"")),"")))</f>
        <v/>
      </c>
      <c r="DX147">
        <f>IF($DM147=0,"",IF($L$16=0,"",IFERROR(IF(ISNUMBER(INDEX(PASTE_ALL,$DF147,$L$16)),INDEX(PASTE_ALL,$DF147,$L$16),SUBSTITUTE(SUBSTITUTE(TRIM(SUBSTITUTE(SUBSTITUTE(SUBSTITUTE(SUBSTITUTE(INDEX(PASTE_ALL,$DF147,$L$16)," "," "),CHAR(9)," "),CHAR(10)," "),CHAR(13)," ")),",",""),"%","")),"")))</f>
        <v/>
      </c>
      <c r="DY147">
        <f>IF($DM147=0,"",IFERROR(IF(ISNUMBER($DX147),$DX147,IF($DX147="","",IF(TRIM($DX147)="",0,IF(AND(AND(SUBSTITUTE(SUBSTITUTE(SUBSTITUTE(SUBSTITUTE(SUBSTITUTE(SUBSTITUTE(SUBSTITUTE(SUBSTITUTE(SUBSTITUTE(SUBSTITUTE(SUBSTITUTE(SUBSTITUTE(SUBSTITUTE(SUBSTITUTE(UPPER(TRIM($DX147)),"0",""),"1",""),"2",""),"3",""),"4",""),"5",""),"6",""),"7",""),"8",""),"9",""),".",""),"+",""),"-",""),"E","")="",LEN(SUBSTITUTE(SUBSTITUTE(MID(UPPER(TRIM($DX147)),1+OR(LEFT(UPPER(TRIM($DX147)),1)="+",LEFT(UPPER(TRIM($DX147)),1)="-"),999),"E+","E"),"E-","E"))=LEN(SUBSTITUTE(SUBSTITUTE(SUBSTITUTE(SUBSTITUTE(MID(UPPER(TRIM($DX147)),1+OR(LEFT(UPPER(TRIM($DX147)),1)="+",LEFT(UPPER(TRIM($DX147)),1)="-"),999),"E+","E"),"E-","E"),"+",""),"-","")),LEN(UPPER(TRIM($DX147)))-LEN(SUBSTITUTE(UPPER(TRIM($DX147)),"E",""))&lt;2,LEN(UPPER(TRIM($DX147)))-LEN(SUBSTITUTE(UPPER(TRIM($DX147)),".",""))&lt;2,IFERROR(FIND(".",UPPER(TRIM($DX147))),0)&lt;IFERROR(FIND("E",UPPER(TRIM($DX147))),999)),ISNUMBER(VALUE(TRIM($DX147)))),VALUE(TRIM($DX147)),"")))),""))</f>
        <v/>
      </c>
      <c r="DZ147">
        <f>IF($DM147=0,"",IF($L$17=0,"",IFERROR(IF(ISNUMBER(INDEX(PASTE_ALL,$DF147,$L$17)),INDEX(PASTE_ALL,$DF147,$L$17),SUBSTITUTE(SUBSTITUTE(TRIM(SUBSTITUTE(SUBSTITUTE(SUBSTITUTE(SUBSTITUTE(INDEX(PASTE_ALL,$DF147,$L$17)," "," "),CHAR(9)," "),CHAR(10)," "),CHAR(13)," ")),",",""),"%","")),"")))</f>
        <v/>
      </c>
      <c r="EA147">
        <f>IF($DM147=0,"",IFERROR(IF(ISNUMBER($DZ147),$DZ147,IF($DZ147="","",IF(TRIM($DZ147)="",0,IF(AND(AND(SUBSTITUTE(SUBSTITUTE(SUBSTITUTE(SUBSTITUTE(SUBSTITUTE(SUBSTITUTE(SUBSTITUTE(SUBSTITUTE(SUBSTITUTE(SUBSTITUTE(SUBSTITUTE(SUBSTITUTE(SUBSTITUTE(SUBSTITUTE(UPPER(TRIM($DZ147)),"0",""),"1",""),"2",""),"3",""),"4",""),"5",""),"6",""),"7",""),"8",""),"9",""),".",""),"+",""),"-",""),"E","")="",LEN(SUBSTITUTE(SUBSTITUTE(MID(UPPER(TRIM($DZ147)),1+OR(LEFT(UPPER(TRIM($DZ147)),1)="+",LEFT(UPPER(TRIM($DZ147)),1)="-"),999),"E+","E"),"E-","E"))=LEN(SUBSTITUTE(SUBSTITUTE(SUBSTITUTE(SUBSTITUTE(MID(UPPER(TRIM($DZ147)),1+OR(LEFT(UPPER(TRIM($DZ147)),1)="+",LEFT(UPPER(TRIM($DZ147)),1)="-"),999),"E+","E"),"E-","E"),"+",""),"-","")),LEN(UPPER(TRIM($DZ147)))-LEN(SUBSTITUTE(UPPER(TRIM($DZ147)),"E",""))&lt;2,LEN(UPPER(TRIM($DZ147)))-LEN(SUBSTITUTE(UPPER(TRIM($DZ147)),".",""))&lt;2,IFERROR(FIND(".",UPPER(TRIM($DZ147))),0)&lt;IFERROR(FIND("E",UPPER(TRIM($DZ147))),999)),ISNUMBER(VALUE(TRIM($DZ147)))),VALUE(TRIM($DZ147)),"")))),""))</f>
        <v/>
      </c>
      <c r="EB147">
        <f>IF($DM147=0,"",IF($L$18=0,"",IFERROR(IF(UPPER(TRIM(SUBSTITUTE(SUBSTITUTE(SUBSTITUTE(SUBSTITUTE(INDEX(PASTE_ALL,$DF147,$L$18)," "," "),CHAR(9)," "),CHAR(10)," "),CHAR(13)," ")))="READY","Ready",IF(UPPER(TRIM(SUBSTITUTE(SUBSTITUTE(SUBSTITUTE(SUBSTITUTE(INDEX(PASTE_ALL,$DF147,$L$18)," "," "),CHAR(9)," "),CHAR(10)," "),CHAR(13)," ")))="PM","PM",IF(OR(UPPER(TRIM(SUBSTITUTE(SUBSTITUTE(SUBSTITUTE(SUBSTITUTE(INDEX(PASTE_ALL,$DF147,$L$18)," "," "),CHAR(9)," "),CHAR(10)," "),CHAR(13)," ")))="OT",UPPER(TRIM(SUBSTITUTE(SUBSTITUTE(SUBSTITUTE(SUBSTITUTE(INDEX(PASTE_ALL,$DF147,$L$18)," "," "),CHAR(9)," "),CHAR(10)," "),CHAR(13)," ")))="OVERTIME",UPPER(TRIM(SUBSTITUTE(SUBSTITUTE(SUBSTITUTE(SUBSTITUTE(INDEX(PASTE_ALL,$DF147,$L$18)," "," "),CHAR(9)," "),CHAR(10)," "),CHAR(13)," ")))="TRIAL"),"OT",TRIM(SUBSTITUTE(SUBSTITUTE(SUBSTITUTE(SUBSTITUTE(INDEX(PASTE_ALL,$DF147,$L$18)," "," "),CHAR(9)," "),CHAR(10)," "),CHAR(13)," "))))),"")))</f>
        <v/>
      </c>
      <c r="EC147">
        <f>IF($DM147=0,"",IF($L$19=0,"",IFERROR(IF(ISNUMBER(INDEX(PASTE_ALL,$DF147,$L$19)),INDEX(PASTE_ALL,$DF147,$L$19),TRIM(SUBSTITUTE(SUBSTITUTE(SUBSTITUTE(SUBSTITUTE(INDEX(PASTE_ALL,$DF147,$L$19)," "," "),CHAR(9)," "),CHAR(10)," "),CHAR(13)," "))),"")))</f>
        <v/>
      </c>
      <c r="ED147">
        <f>IF($DM147=0,"",MATCH(1,INDEX(EXACT($DH$5:DH147,$DH147)*$DM$5:DM147,0),0))</f>
        <v/>
      </c>
      <c r="EE147">
        <f>IF($DM147=0,0,IF($ED147=$DE147,1,0))</f>
        <v/>
      </c>
      <c r="EF147">
        <f>EF146+$EE147</f>
        <v/>
      </c>
      <c r="EG147">
        <f>IF($DM147=0,"",INDEX($EF$5:$EF$1003,$ED147))</f>
        <v/>
      </c>
      <c r="EH147">
        <f>IF($DM147=0,"",IF($DO147&lt;&gt;"","",IFERROR(LOOKUP(2,1/(($EG$4:EG146=$EG147)*($DO$4:DO146&lt;&gt;"")),$DO$4:DO146),"")))</f>
        <v/>
      </c>
      <c r="EI147">
        <f>IF($DM147=0,"",IF($DO147&lt;&gt;"",$DO147,$EH147))</f>
        <v/>
      </c>
      <c r="EJ147">
        <f>IF($DM147=0,"",IF($EI147="",0,IF(OR(ISNUMBER($EI147),AND(AND(SUBSTITUTE(SUBSTITUTE(SUBSTITUTE(SUBSTITUTE(SUBSTITUTE(SUBSTITUTE(SUBSTITUTE(SUBSTITUTE(SUBSTITUTE(SUBSTITUTE(SUBSTITUTE(SUBSTITUTE(SUBSTITUTE(SUBSTITUTE(UPPER($EI147),"0",""),"1",""),"2",""),"3",""),"4",""),"5",""),"6",""),"7",""),"8",""),"9",""),".",""),"+",""),"-",""),"E","")="",LEN(SUBSTITUTE(SUBSTITUTE(MID(UPPER($EI147),1+OR(LEFT(UPPER($EI147),1)="+",LEFT(UPPER($EI147),1)="-"),999),"E+","E"),"E-","E"))=LEN(SUBSTITUTE(SUBSTITUTE(SUBSTITUTE(SUBSTITUTE(MID(UPPER($EI147),1+OR(LEFT(UPPER($EI147),1)="+",LEFT(UPPER($EI147),1)="-"),999),"E+","E"),"E-","E"),"+",""),"-","")),LEN(UPPER($EI147))-LEN(SUBSTITUTE(UPPER($EI147),"E",""))&lt;2,LEN(UPPER($EI147))-LEN(SUBSTITUTE(UPPER($EI147),".",""))&lt;2,IFERROR(FIND(".",UPPER($EI147)),0)&lt;IFERROR(FIND("E",UPPER($EI147)),999)),ISNUMBER(VALUE($EI147)))),1,2)))</f>
        <v/>
      </c>
      <c r="EK147">
        <f>IF($DM147=0,"",IF($EJ147=1,IF(ISNUMBER($EI147),$EI147,VALUE($EI147)),IF($EJ147=2,$DE147,0)))</f>
        <v/>
      </c>
      <c r="EL147">
        <f>IF($DM147=0,"",COUNTIF($EG$5:$EG$1003,"&lt;"&amp;$EG147)+SUMPRODUCT(($EG$5:$EG$1003=$EG147)*(($EJ$5:$EJ$1003&lt;$EJ147)+($EJ$5:$EJ$1003=$EJ147)*(($EK$5:$EK$1003&lt;$EK147)+($EK$5:$EK$1003=$EK147)*($DE$5:$DE$1003&lt;$DE147))))+1)</f>
        <v/>
      </c>
      <c r="EM147">
        <f>IF($DM147=0,"",$EL147+$EG147-1)</f>
        <v/>
      </c>
      <c r="EN147">
        <f>IF($DM147=0,0,IFERROR(MATCH(1,INDEX(--(TRIM(SUBSTITUTE(SUBSTITUTE(SUBSTITUTE(SUBSTITUTE(LINES_NAME&amp;""," "," "),CHAR(9)," "),CHAR(10)," "),CHAR(13)," "))=$DH147),0),0),0))</f>
        <v/>
      </c>
      <c r="EO147">
        <f>IF($EN147=0,0,IF(OR(UPPER(TRIM(INDEX(LINES_SCHEDULED,$EN147)&amp;""))="YES",UPPER(TRIM(INDEX(LINES_SCHEDULED,$EN147)&amp;""))="Y",UPPER(TRIM(INDEX(LINES_SCHEDULED,$EN147)&amp;""))="X"),1,0))</f>
        <v/>
      </c>
      <c r="EP147">
        <f>IF($DM147=0,"",IF(COUNTIFS($EG$5:$EG$1003,$EG147,$EB$5:$EB$1003,"Ready")&gt;0,"READY",IF(COUNTIFS($EG$5:$EG$1003,$EG147,$EB$5:$EB$1003,"PM")&gt;0,"PM",IF(COUNTIFS($EG$5:$EG$1003,$EG147,$EB$5:$EB$1003,"OT")&gt;0,"OT",""))))</f>
        <v/>
      </c>
      <c r="EQ147">
        <f>IF($EN147=0,"",UPPER(TRIM(INDEX(LINES_STATUS,$EN147)&amp;"")))</f>
        <v/>
      </c>
      <c r="ER147">
        <f>IF($DM147=0,"",IF(OR($EQ147="READY",$EQ147="PM",$EQ147="OT"),$EQ147,$EP147))</f>
        <v/>
      </c>
      <c r="ES147">
        <f>IF($DM147=0,"",IF(AND($DV147&lt;&gt;"",UPPER($DV147)&lt;&gt;"N"),"allergen",IF(ISNUMBER(SEARCH("oil",$DQ147)),"oil",IF(OR(EXACT($DS147,"A662"),EXACT($DS147,"A624")),"bulk",""))))</f>
        <v/>
      </c>
      <c r="ET147">
        <f>IF($DM147=0,"",IF(OR($EA147="",$EA147=0),"",$EA147/100))</f>
        <v/>
      </c>
      <c r="EU147">
        <f>IF(OR($ET147="",$DY147=""),"",INT($DY147*(1-$ET147)+0.5))</f>
        <v/>
      </c>
      <c r="EW147" t="n">
        <v>143</v>
      </c>
      <c r="EX147">
        <f>IFERROR(MATCH($EW147,$EM$5:$EM$1003,0),0)</f>
        <v/>
      </c>
      <c r="EY147">
        <f>IF($EW147&gt;$B$12,"",IF($EX147&gt;0,"row","spacer"))</f>
        <v/>
      </c>
      <c r="EZ147">
        <f>IF(AND($EY147="row",$EY146&lt;&gt;"row"),1,0)</f>
        <v/>
      </c>
      <c r="FA147">
        <f>IF(AND($EY147="row",$EY148&lt;&gt;"row"),1,0)</f>
        <v/>
      </c>
      <c r="FB147">
        <f>IF($EZ147=1,IFERROR(IF(ISNUMBER(INDEX(PASTE_ALL,INDEX($DF$5:$DF$1003,$EX147),$B$37)),INDEX(PASTE_ALL,INDEX($DF$5:$DF$1003,$EX147),$B$37),INDEX($DH$5:$DH$1003,$EX147)),INDEX($DH$5:$DH$1003,$EX147)),"")</f>
        <v/>
      </c>
      <c r="FC147">
        <f>IF($EY147="row",INDEX($ER$5:$ER$1003,$EX147),"")</f>
        <v/>
      </c>
      <c r="FD147">
        <f>IF($EY147="row",INDEX($DN$5:$DN$1003,$EX147),"")</f>
        <v/>
      </c>
      <c r="FE147">
        <f>IF($EY147="row",INDEX($DO$5:$DO$1003,$EX147),"")</f>
        <v/>
      </c>
      <c r="FF147">
        <f>IF($EY147="row",INDEX($DP$5:$DP$1003,$EX147),"")</f>
        <v/>
      </c>
      <c r="FG147">
        <f>IF($EY147="row",INDEX($DQ$5:$DQ$1003,$EX147),"")</f>
        <v/>
      </c>
      <c r="FH147">
        <f>IF($EY147="row",INDEX($DR$5:$DR$1003,$EX147),"")</f>
        <v/>
      </c>
      <c r="FI147">
        <f>IF($EY147="row",INDEX($DS$5:$DS$1003,$EX147),"")</f>
        <v/>
      </c>
      <c r="FJ147">
        <f>IF($EY147="row",INDEX($DT$5:$DT$1003,$EX147),"")</f>
        <v/>
      </c>
      <c r="FK147">
        <f>IF($EY147="row",INDEX($DU$5:$DU$1003,$EX147),"")</f>
        <v/>
      </c>
      <c r="FL147">
        <f>IF($EY147="row",INDEX($DV$5:$DV$1003,$EX147),"")</f>
        <v/>
      </c>
      <c r="FM147">
        <f>IF($EY147="row",INDEX($DW$5:$DW$1003,$EX147),"")</f>
        <v/>
      </c>
      <c r="FN147">
        <f>IF($EY147="row",INDEX($DY$5:$DY$1003,$EX147),"")</f>
        <v/>
      </c>
      <c r="FO147">
        <f>IF($EY147="row",INDEX($EA$5:$EA$1003,$EX147),"")</f>
        <v/>
      </c>
      <c r="FP147">
        <f>IF($EY147="row",INDEX($EC$5:$EC$1003,$EX147),"")</f>
        <v/>
      </c>
      <c r="FQ147">
        <f>IF($EY147="row",INDEX($ET$5:$ET$1003,$EX147),"")</f>
        <v/>
      </c>
      <c r="FR147">
        <f>IF($EY147="row",INDEX($EU$5:$EU$1003,$EX147),"")</f>
        <v/>
      </c>
      <c r="FS147">
        <f>IF(AND($EY147="row",$EY146="row"),IF(OR(INDEX($DT$5:$DT$1003,$EX146)="",INDEX($DT$5:$DT$1003,$EX147)=""),"",IF(NOT(EXACT(INDEX($DT$5:$DT$1003,$EX146),INDEX($DT$5:$DT$1003,$EX147))),"S4",IF(NOT(EXACT(INDEX($DS$5:$DS$1003,$EX146),INDEX($DS$5:$DS$1003,$EX147))),"S3",IF(NOT(EXACT(INDEX($DR$5:$DR$1003,$EX146),INDEX($DR$5:$DR$1003,$EX147))),"S1 Count Change","S1")))),"")</f>
        <v/>
      </c>
      <c r="FT147">
        <f>IF($EY147="row",INDEX($ES$5:$ES$1003,$EX147),"")</f>
        <v/>
      </c>
      <c r="FU147">
        <f>IF($EY147="row",INDEX($EO$5:$EO$1003,$EX147),0)</f>
        <v/>
      </c>
      <c r="FV147">
        <f>IF($FS147="S1 Count Change",1,0)</f>
        <v/>
      </c>
    </row>
    <row r="148">
      <c r="Y148">
        <f>IF(Y13="",0,2*(OR(ISNUMBER(FIND("WORKCENTER",Y13)),AND(LEFT(Y13,4)="LINE",NOT(ISNUMBER(FIND("STATUS",Y13))))))+4*(OR(ISNUMBER(FIND("WORKORDER",Y13)),AND(LEFT(Y13,2)="WO",OR(ISNUMBER(FIND("NUM",Y13)),RIGHT(Y13,2)="NO"))))+8*(LEFT(Y13,3)="SEQ")+16*(AND(LEFT(Y13,4)="ITEM",NOT(ISNUMBER(FIND("DESC",Y13)))))+32*(AND(ISNUMBER(FIND("DESC",Y13)),NOT(ISNUMBER(FIND("CAP",Y13)))))+64*(OR(RIGHT(Y13,5)="COUNT",RIGHT(Y13,2)="CT"))+128*(ISNUMBER(FIND("BULK",Y13)))+256*(ISNUMBER(FIND("SIZE",Y13)))+512*(LEFT(Y13,3)="CAP")+1024*(ISNUMBER(FIND("ALLERG",Y13)))+2048*(OR(ISNUMBER(FIND("REMARK",Y13)),ISNUMBER(FIND("COMMENT",Y13))))+4096*(OR(ISNUMBER(FIND("QTY",Y13)),ISNUMBER(FIND("QUANTITY",Y13))))+8192*(AND(OR(ISNUMBER(FIND("COMPLETE",Y13)),ISNUMBER(FIND("PCT",Y13)),ISNUMBER(FIND("PERCENT",Y13))),NOT(ISNUMBER(FIND("ACTUAL",Y13))),LEN(Y13)&lt;=16))+32768*(OR(ISNUMBER(FIND("DESIC",Y13)),ISNUMBER(FIND("DESSIC",Y13)))))</f>
        <v/>
      </c>
      <c r="Z148">
        <f>IF(Z13="",0,2*(OR(ISNUMBER(FIND("WORKCENTER",Z13)),AND(LEFT(Z13,4)="LINE",NOT(ISNUMBER(FIND("STATUS",Z13))))))+4*(OR(ISNUMBER(FIND("WORKORDER",Z13)),AND(LEFT(Z13,2)="WO",OR(ISNUMBER(FIND("NUM",Z13)),RIGHT(Z13,2)="NO"))))+8*(LEFT(Z13,3)="SEQ")+16*(AND(LEFT(Z13,4)="ITEM",NOT(ISNUMBER(FIND("DESC",Z13)))))+32*(AND(ISNUMBER(FIND("DESC",Z13)),NOT(ISNUMBER(FIND("CAP",Z13)))))+64*(OR(RIGHT(Z13,5)="COUNT",RIGHT(Z13,2)="CT"))+128*(ISNUMBER(FIND("BULK",Z13)))+256*(ISNUMBER(FIND("SIZE",Z13)))+512*(LEFT(Z13,3)="CAP")+1024*(ISNUMBER(FIND("ALLERG",Z13)))+2048*(OR(ISNUMBER(FIND("REMARK",Z13)),ISNUMBER(FIND("COMMENT",Z13))))+4096*(OR(ISNUMBER(FIND("QTY",Z13)),ISNUMBER(FIND("QUANTITY",Z13))))+8192*(AND(OR(ISNUMBER(FIND("COMPLETE",Z13)),ISNUMBER(FIND("PCT",Z13)),ISNUMBER(FIND("PERCENT",Z13))),NOT(ISNUMBER(FIND("ACTUAL",Z13))),LEN(Z13)&lt;=16))+32768*(OR(ISNUMBER(FIND("DESIC",Z13)),ISNUMBER(FIND("DESSIC",Z13)))))</f>
        <v/>
      </c>
      <c r="AA148">
        <f>IF(AA13="",0,2*(OR(ISNUMBER(FIND("WORKCENTER",AA13)),AND(LEFT(AA13,4)="LINE",NOT(ISNUMBER(FIND("STATUS",AA13))))))+4*(OR(ISNUMBER(FIND("WORKORDER",AA13)),AND(LEFT(AA13,2)="WO",OR(ISNUMBER(FIND("NUM",AA13)),RIGHT(AA13,2)="NO"))))+8*(LEFT(AA13,3)="SEQ")+16*(AND(LEFT(AA13,4)="ITEM",NOT(ISNUMBER(FIND("DESC",AA13)))))+32*(AND(ISNUMBER(FIND("DESC",AA13)),NOT(ISNUMBER(FIND("CAP",AA13)))))+64*(OR(RIGHT(AA13,5)="COUNT",RIGHT(AA13,2)="CT"))+128*(ISNUMBER(FIND("BULK",AA13)))+256*(ISNUMBER(FIND("SIZE",AA13)))+512*(LEFT(AA13,3)="CAP")+1024*(ISNUMBER(FIND("ALLERG",AA13)))+2048*(OR(ISNUMBER(FIND("REMARK",AA13)),ISNUMBER(FIND("COMMENT",AA13))))+4096*(OR(ISNUMBER(FIND("QTY",AA13)),ISNUMBER(FIND("QUANTITY",AA13))))+8192*(AND(OR(ISNUMBER(FIND("COMPLETE",AA13)),ISNUMBER(FIND("PCT",AA13)),ISNUMBER(FIND("PERCENT",AA13))),NOT(ISNUMBER(FIND("ACTUAL",AA13))),LEN(AA13)&lt;=16))+32768*(OR(ISNUMBER(FIND("DESIC",AA13)),ISNUMBER(FIND("DESSIC",AA13)))))</f>
        <v/>
      </c>
      <c r="AB148">
        <f>IF(AB13="",0,2*(OR(ISNUMBER(FIND("WORKCENTER",AB13)),AND(LEFT(AB13,4)="LINE",NOT(ISNUMBER(FIND("STATUS",AB13))))))+4*(OR(ISNUMBER(FIND("WORKORDER",AB13)),AND(LEFT(AB13,2)="WO",OR(ISNUMBER(FIND("NUM",AB13)),RIGHT(AB13,2)="NO"))))+8*(LEFT(AB13,3)="SEQ")+16*(AND(LEFT(AB13,4)="ITEM",NOT(ISNUMBER(FIND("DESC",AB13)))))+32*(AND(ISNUMBER(FIND("DESC",AB13)),NOT(ISNUMBER(FIND("CAP",AB13)))))+64*(OR(RIGHT(AB13,5)="COUNT",RIGHT(AB13,2)="CT"))+128*(ISNUMBER(FIND("BULK",AB13)))+256*(ISNUMBER(FIND("SIZE",AB13)))+512*(LEFT(AB13,3)="CAP")+1024*(ISNUMBER(FIND("ALLERG",AB13)))+2048*(OR(ISNUMBER(FIND("REMARK",AB13)),ISNUMBER(FIND("COMMENT",AB13))))+4096*(OR(ISNUMBER(FIND("QTY",AB13)),ISNUMBER(FIND("QUANTITY",AB13))))+8192*(AND(OR(ISNUMBER(FIND("COMPLETE",AB13)),ISNUMBER(FIND("PCT",AB13)),ISNUMBER(FIND("PERCENT",AB13))),NOT(ISNUMBER(FIND("ACTUAL",AB13))),LEN(AB13)&lt;=16))+32768*(OR(ISNUMBER(FIND("DESIC",AB13)),ISNUMBER(FIND("DESSIC",AB13)))))</f>
        <v/>
      </c>
      <c r="AC148">
        <f>IF(AC13="",0,2*(OR(ISNUMBER(FIND("WORKCENTER",AC13)),AND(LEFT(AC13,4)="LINE",NOT(ISNUMBER(FIND("STATUS",AC13))))))+4*(OR(ISNUMBER(FIND("WORKORDER",AC13)),AND(LEFT(AC13,2)="WO",OR(ISNUMBER(FIND("NUM",AC13)),RIGHT(AC13,2)="NO"))))+8*(LEFT(AC13,3)="SEQ")+16*(AND(LEFT(AC13,4)="ITEM",NOT(ISNUMBER(FIND("DESC",AC13)))))+32*(AND(ISNUMBER(FIND("DESC",AC13)),NOT(ISNUMBER(FIND("CAP",AC13)))))+64*(OR(RIGHT(AC13,5)="COUNT",RIGHT(AC13,2)="CT"))+128*(ISNUMBER(FIND("BULK",AC13)))+256*(ISNUMBER(FIND("SIZE",AC13)))+512*(LEFT(AC13,3)="CAP")+1024*(ISNUMBER(FIND("ALLERG",AC13)))+2048*(OR(ISNUMBER(FIND("REMARK",AC13)),ISNUMBER(FIND("COMMENT",AC13))))+4096*(OR(ISNUMBER(FIND("QTY",AC13)),ISNUMBER(FIND("QUANTITY",AC13))))+8192*(AND(OR(ISNUMBER(FIND("COMPLETE",AC13)),ISNUMBER(FIND("PCT",AC13)),ISNUMBER(FIND("PERCENT",AC13))),NOT(ISNUMBER(FIND("ACTUAL",AC13))),LEN(AC13)&lt;=16))+32768*(OR(ISNUMBER(FIND("DESIC",AC13)),ISNUMBER(FIND("DESSIC",AC13)))))</f>
        <v/>
      </c>
      <c r="AD148">
        <f>IF(AD13="",0,2*(OR(ISNUMBER(FIND("WORKCENTER",AD13)),AND(LEFT(AD13,4)="LINE",NOT(ISNUMBER(FIND("STATUS",AD13))))))+4*(OR(ISNUMBER(FIND("WORKORDER",AD13)),AND(LEFT(AD13,2)="WO",OR(ISNUMBER(FIND("NUM",AD13)),RIGHT(AD13,2)="NO"))))+8*(LEFT(AD13,3)="SEQ")+16*(AND(LEFT(AD13,4)="ITEM",NOT(ISNUMBER(FIND("DESC",AD13)))))+32*(AND(ISNUMBER(FIND("DESC",AD13)),NOT(ISNUMBER(FIND("CAP",AD13)))))+64*(OR(RIGHT(AD13,5)="COUNT",RIGHT(AD13,2)="CT"))+128*(ISNUMBER(FIND("BULK",AD13)))+256*(ISNUMBER(FIND("SIZE",AD13)))+512*(LEFT(AD13,3)="CAP")+1024*(ISNUMBER(FIND("ALLERG",AD13)))+2048*(OR(ISNUMBER(FIND("REMARK",AD13)),ISNUMBER(FIND("COMMENT",AD13))))+4096*(OR(ISNUMBER(FIND("QTY",AD13)),ISNUMBER(FIND("QUANTITY",AD13))))+8192*(AND(OR(ISNUMBER(FIND("COMPLETE",AD13)),ISNUMBER(FIND("PCT",AD13)),ISNUMBER(FIND("PERCENT",AD13))),NOT(ISNUMBER(FIND("ACTUAL",AD13))),LEN(AD13)&lt;=16))+32768*(OR(ISNUMBER(FIND("DESIC",AD13)),ISNUMBER(FIND("DESSIC",AD13)))))</f>
        <v/>
      </c>
      <c r="AE148">
        <f>IF(AE13="",0,2*(OR(ISNUMBER(FIND("WORKCENTER",AE13)),AND(LEFT(AE13,4)="LINE",NOT(ISNUMBER(FIND("STATUS",AE13))))))+4*(OR(ISNUMBER(FIND("WORKORDER",AE13)),AND(LEFT(AE13,2)="WO",OR(ISNUMBER(FIND("NUM",AE13)),RIGHT(AE13,2)="NO"))))+8*(LEFT(AE13,3)="SEQ")+16*(AND(LEFT(AE13,4)="ITEM",NOT(ISNUMBER(FIND("DESC",AE13)))))+32*(AND(ISNUMBER(FIND("DESC",AE13)),NOT(ISNUMBER(FIND("CAP",AE13)))))+64*(OR(RIGHT(AE13,5)="COUNT",RIGHT(AE13,2)="CT"))+128*(ISNUMBER(FIND("BULK",AE13)))+256*(ISNUMBER(FIND("SIZE",AE13)))+512*(LEFT(AE13,3)="CAP")+1024*(ISNUMBER(FIND("ALLERG",AE13)))+2048*(OR(ISNUMBER(FIND("REMARK",AE13)),ISNUMBER(FIND("COMMENT",AE13))))+4096*(OR(ISNUMBER(FIND("QTY",AE13)),ISNUMBER(FIND("QUANTITY",AE13))))+8192*(AND(OR(ISNUMBER(FIND("COMPLETE",AE13)),ISNUMBER(FIND("PCT",AE13)),ISNUMBER(FIND("PERCENT",AE13))),NOT(ISNUMBER(FIND("ACTUAL",AE13))),LEN(AE13)&lt;=16))+32768*(OR(ISNUMBER(FIND("DESIC",AE13)),ISNUMBER(FIND("DESSIC",AE13)))))</f>
        <v/>
      </c>
      <c r="AF148">
        <f>IF(AF13="",0,2*(OR(ISNUMBER(FIND("WORKCENTER",AF13)),AND(LEFT(AF13,4)="LINE",NOT(ISNUMBER(FIND("STATUS",AF13))))))+4*(OR(ISNUMBER(FIND("WORKORDER",AF13)),AND(LEFT(AF13,2)="WO",OR(ISNUMBER(FIND("NUM",AF13)),RIGHT(AF13,2)="NO"))))+8*(LEFT(AF13,3)="SEQ")+16*(AND(LEFT(AF13,4)="ITEM",NOT(ISNUMBER(FIND("DESC",AF13)))))+32*(AND(ISNUMBER(FIND("DESC",AF13)),NOT(ISNUMBER(FIND("CAP",AF13)))))+64*(OR(RIGHT(AF13,5)="COUNT",RIGHT(AF13,2)="CT"))+128*(ISNUMBER(FIND("BULK",AF13)))+256*(ISNUMBER(FIND("SIZE",AF13)))+512*(LEFT(AF13,3)="CAP")+1024*(ISNUMBER(FIND("ALLERG",AF13)))+2048*(OR(ISNUMBER(FIND("REMARK",AF13)),ISNUMBER(FIND("COMMENT",AF13))))+4096*(OR(ISNUMBER(FIND("QTY",AF13)),ISNUMBER(FIND("QUANTITY",AF13))))+8192*(AND(OR(ISNUMBER(FIND("COMPLETE",AF13)),ISNUMBER(FIND("PCT",AF13)),ISNUMBER(FIND("PERCENT",AF13))),NOT(ISNUMBER(FIND("ACTUAL",AF13))),LEN(AF13)&lt;=16))+32768*(OR(ISNUMBER(FIND("DESIC",AF13)),ISNUMBER(FIND("DESSIC",AF13)))))</f>
        <v/>
      </c>
      <c r="AG148">
        <f>IF(AG13="",0,2*(OR(ISNUMBER(FIND("WORKCENTER",AG13)),AND(LEFT(AG13,4)="LINE",NOT(ISNUMBER(FIND("STATUS",AG13))))))+4*(OR(ISNUMBER(FIND("WORKORDER",AG13)),AND(LEFT(AG13,2)="WO",OR(ISNUMBER(FIND("NUM",AG13)),RIGHT(AG13,2)="NO"))))+8*(LEFT(AG13,3)="SEQ")+16*(AND(LEFT(AG13,4)="ITEM",NOT(ISNUMBER(FIND("DESC",AG13)))))+32*(AND(ISNUMBER(FIND("DESC",AG13)),NOT(ISNUMBER(FIND("CAP",AG13)))))+64*(OR(RIGHT(AG13,5)="COUNT",RIGHT(AG13,2)="CT"))+128*(ISNUMBER(FIND("BULK",AG13)))+256*(ISNUMBER(FIND("SIZE",AG13)))+512*(LEFT(AG13,3)="CAP")+1024*(ISNUMBER(FIND("ALLERG",AG13)))+2048*(OR(ISNUMBER(FIND("REMARK",AG13)),ISNUMBER(FIND("COMMENT",AG13))))+4096*(OR(ISNUMBER(FIND("QTY",AG13)),ISNUMBER(FIND("QUANTITY",AG13))))+8192*(AND(OR(ISNUMBER(FIND("COMPLETE",AG13)),ISNUMBER(FIND("PCT",AG13)),ISNUMBER(FIND("PERCENT",AG13))),NOT(ISNUMBER(FIND("ACTUAL",AG13))),LEN(AG13)&lt;=16))+32768*(OR(ISNUMBER(FIND("DESIC",AG13)),ISNUMBER(FIND("DESSIC",AG13)))))</f>
        <v/>
      </c>
      <c r="AH148">
        <f>IF(AH13="",0,2*(OR(ISNUMBER(FIND("WORKCENTER",AH13)),AND(LEFT(AH13,4)="LINE",NOT(ISNUMBER(FIND("STATUS",AH13))))))+4*(OR(ISNUMBER(FIND("WORKORDER",AH13)),AND(LEFT(AH13,2)="WO",OR(ISNUMBER(FIND("NUM",AH13)),RIGHT(AH13,2)="NO"))))+8*(LEFT(AH13,3)="SEQ")+16*(AND(LEFT(AH13,4)="ITEM",NOT(ISNUMBER(FIND("DESC",AH13)))))+32*(AND(ISNUMBER(FIND("DESC",AH13)),NOT(ISNUMBER(FIND("CAP",AH13)))))+64*(OR(RIGHT(AH13,5)="COUNT",RIGHT(AH13,2)="CT"))+128*(ISNUMBER(FIND("BULK",AH13)))+256*(ISNUMBER(FIND("SIZE",AH13)))+512*(LEFT(AH13,3)="CAP")+1024*(ISNUMBER(FIND("ALLERG",AH13)))+2048*(OR(ISNUMBER(FIND("REMARK",AH13)),ISNUMBER(FIND("COMMENT",AH13))))+4096*(OR(ISNUMBER(FIND("QTY",AH13)),ISNUMBER(FIND("QUANTITY",AH13))))+8192*(AND(OR(ISNUMBER(FIND("COMPLETE",AH13)),ISNUMBER(FIND("PCT",AH13)),ISNUMBER(FIND("PERCENT",AH13))),NOT(ISNUMBER(FIND("ACTUAL",AH13))),LEN(AH13)&lt;=16))+32768*(OR(ISNUMBER(FIND("DESIC",AH13)),ISNUMBER(FIND("DESSIC",AH13)))))</f>
        <v/>
      </c>
      <c r="AI148">
        <f>IF(AI13="",0,2*(OR(ISNUMBER(FIND("WORKCENTER",AI13)),AND(LEFT(AI13,4)="LINE",NOT(ISNUMBER(FIND("STATUS",AI13))))))+4*(OR(ISNUMBER(FIND("WORKORDER",AI13)),AND(LEFT(AI13,2)="WO",OR(ISNUMBER(FIND("NUM",AI13)),RIGHT(AI13,2)="NO"))))+8*(LEFT(AI13,3)="SEQ")+16*(AND(LEFT(AI13,4)="ITEM",NOT(ISNUMBER(FIND("DESC",AI13)))))+32*(AND(ISNUMBER(FIND("DESC",AI13)),NOT(ISNUMBER(FIND("CAP",AI13)))))+64*(OR(RIGHT(AI13,5)="COUNT",RIGHT(AI13,2)="CT"))+128*(ISNUMBER(FIND("BULK",AI13)))+256*(ISNUMBER(FIND("SIZE",AI13)))+512*(LEFT(AI13,3)="CAP")+1024*(ISNUMBER(FIND("ALLERG",AI13)))+2048*(OR(ISNUMBER(FIND("REMARK",AI13)),ISNUMBER(FIND("COMMENT",AI13))))+4096*(OR(ISNUMBER(FIND("QTY",AI13)),ISNUMBER(FIND("QUANTITY",AI13))))+8192*(AND(OR(ISNUMBER(FIND("COMPLETE",AI13)),ISNUMBER(FIND("PCT",AI13)),ISNUMBER(FIND("PERCENT",AI13))),NOT(ISNUMBER(FIND("ACTUAL",AI13))),LEN(AI13)&lt;=16))+32768*(OR(ISNUMBER(FIND("DESIC",AI13)),ISNUMBER(FIND("DESSIC",AI13)))))</f>
        <v/>
      </c>
      <c r="AJ148">
        <f>IF(AJ13="",0,2*(OR(ISNUMBER(FIND("WORKCENTER",AJ13)),AND(LEFT(AJ13,4)="LINE",NOT(ISNUMBER(FIND("STATUS",AJ13))))))+4*(OR(ISNUMBER(FIND("WORKORDER",AJ13)),AND(LEFT(AJ13,2)="WO",OR(ISNUMBER(FIND("NUM",AJ13)),RIGHT(AJ13,2)="NO"))))+8*(LEFT(AJ13,3)="SEQ")+16*(AND(LEFT(AJ13,4)="ITEM",NOT(ISNUMBER(FIND("DESC",AJ13)))))+32*(AND(ISNUMBER(FIND("DESC",AJ13)),NOT(ISNUMBER(FIND("CAP",AJ13)))))+64*(OR(RIGHT(AJ13,5)="COUNT",RIGHT(AJ13,2)="CT"))+128*(ISNUMBER(FIND("BULK",AJ13)))+256*(ISNUMBER(FIND("SIZE",AJ13)))+512*(LEFT(AJ13,3)="CAP")+1024*(ISNUMBER(FIND("ALLERG",AJ13)))+2048*(OR(ISNUMBER(FIND("REMARK",AJ13)),ISNUMBER(FIND("COMMENT",AJ13))))+4096*(OR(ISNUMBER(FIND("QTY",AJ13)),ISNUMBER(FIND("QUANTITY",AJ13))))+8192*(AND(OR(ISNUMBER(FIND("COMPLETE",AJ13)),ISNUMBER(FIND("PCT",AJ13)),ISNUMBER(FIND("PERCENT",AJ13))),NOT(ISNUMBER(FIND("ACTUAL",AJ13))),LEN(AJ13)&lt;=16))+32768*(OR(ISNUMBER(FIND("DESIC",AJ13)),ISNUMBER(FIND("DESSIC",AJ13)))))</f>
        <v/>
      </c>
      <c r="AK148">
        <f>IF(AK13="",0,2*(OR(ISNUMBER(FIND("WORKCENTER",AK13)),AND(LEFT(AK13,4)="LINE",NOT(ISNUMBER(FIND("STATUS",AK13))))))+4*(OR(ISNUMBER(FIND("WORKORDER",AK13)),AND(LEFT(AK13,2)="WO",OR(ISNUMBER(FIND("NUM",AK13)),RIGHT(AK13,2)="NO"))))+8*(LEFT(AK13,3)="SEQ")+16*(AND(LEFT(AK13,4)="ITEM",NOT(ISNUMBER(FIND("DESC",AK13)))))+32*(AND(ISNUMBER(FIND("DESC",AK13)),NOT(ISNUMBER(FIND("CAP",AK13)))))+64*(OR(RIGHT(AK13,5)="COUNT",RIGHT(AK13,2)="CT"))+128*(ISNUMBER(FIND("BULK",AK13)))+256*(ISNUMBER(FIND("SIZE",AK13)))+512*(LEFT(AK13,3)="CAP")+1024*(ISNUMBER(FIND("ALLERG",AK13)))+2048*(OR(ISNUMBER(FIND("REMARK",AK13)),ISNUMBER(FIND("COMMENT",AK13))))+4096*(OR(ISNUMBER(FIND("QTY",AK13)),ISNUMBER(FIND("QUANTITY",AK13))))+8192*(AND(OR(ISNUMBER(FIND("COMPLETE",AK13)),ISNUMBER(FIND("PCT",AK13)),ISNUMBER(FIND("PERCENT",AK13))),NOT(ISNUMBER(FIND("ACTUAL",AK13))),LEN(AK13)&lt;=16))+32768*(OR(ISNUMBER(FIND("DESIC",AK13)),ISNUMBER(FIND("DESSIC",AK13)))))</f>
        <v/>
      </c>
      <c r="AL148">
        <f>IF(AL13="",0,2*(OR(ISNUMBER(FIND("WORKCENTER",AL13)),AND(LEFT(AL13,4)="LINE",NOT(ISNUMBER(FIND("STATUS",AL13))))))+4*(OR(ISNUMBER(FIND("WORKORDER",AL13)),AND(LEFT(AL13,2)="WO",OR(ISNUMBER(FIND("NUM",AL13)),RIGHT(AL13,2)="NO"))))+8*(LEFT(AL13,3)="SEQ")+16*(AND(LEFT(AL13,4)="ITEM",NOT(ISNUMBER(FIND("DESC",AL13)))))+32*(AND(ISNUMBER(FIND("DESC",AL13)),NOT(ISNUMBER(FIND("CAP",AL13)))))+64*(OR(RIGHT(AL13,5)="COUNT",RIGHT(AL13,2)="CT"))+128*(ISNUMBER(FIND("BULK",AL13)))+256*(ISNUMBER(FIND("SIZE",AL13)))+512*(LEFT(AL13,3)="CAP")+1024*(ISNUMBER(FIND("ALLERG",AL13)))+2048*(OR(ISNUMBER(FIND("REMARK",AL13)),ISNUMBER(FIND("COMMENT",AL13))))+4096*(OR(ISNUMBER(FIND("QTY",AL13)),ISNUMBER(FIND("QUANTITY",AL13))))+8192*(AND(OR(ISNUMBER(FIND("COMPLETE",AL13)),ISNUMBER(FIND("PCT",AL13)),ISNUMBER(FIND("PERCENT",AL13))),NOT(ISNUMBER(FIND("ACTUAL",AL13))),LEN(AL13)&lt;=16))+32768*(OR(ISNUMBER(FIND("DESIC",AL13)),ISNUMBER(FIND("DESSIC",AL13)))))</f>
        <v/>
      </c>
      <c r="AM148">
        <f>IF(AM13="",0,2*(OR(ISNUMBER(FIND("WORKCENTER",AM13)),AND(LEFT(AM13,4)="LINE",NOT(ISNUMBER(FIND("STATUS",AM13))))))+4*(OR(ISNUMBER(FIND("WORKORDER",AM13)),AND(LEFT(AM13,2)="WO",OR(ISNUMBER(FIND("NUM",AM13)),RIGHT(AM13,2)="NO"))))+8*(LEFT(AM13,3)="SEQ")+16*(AND(LEFT(AM13,4)="ITEM",NOT(ISNUMBER(FIND("DESC",AM13)))))+32*(AND(ISNUMBER(FIND("DESC",AM13)),NOT(ISNUMBER(FIND("CAP",AM13)))))+64*(OR(RIGHT(AM13,5)="COUNT",RIGHT(AM13,2)="CT"))+128*(ISNUMBER(FIND("BULK",AM13)))+256*(ISNUMBER(FIND("SIZE",AM13)))+512*(LEFT(AM13,3)="CAP")+1024*(ISNUMBER(FIND("ALLERG",AM13)))+2048*(OR(ISNUMBER(FIND("REMARK",AM13)),ISNUMBER(FIND("COMMENT",AM13))))+4096*(OR(ISNUMBER(FIND("QTY",AM13)),ISNUMBER(FIND("QUANTITY",AM13))))+8192*(AND(OR(ISNUMBER(FIND("COMPLETE",AM13)),ISNUMBER(FIND("PCT",AM13)),ISNUMBER(FIND("PERCENT",AM13))),NOT(ISNUMBER(FIND("ACTUAL",AM13))),LEN(AM13)&lt;=16))+32768*(OR(ISNUMBER(FIND("DESIC",AM13)),ISNUMBER(FIND("DESSIC",AM13)))))</f>
        <v/>
      </c>
      <c r="AN148">
        <f>IF(AN13="",0,2*(OR(ISNUMBER(FIND("WORKCENTER",AN13)),AND(LEFT(AN13,4)="LINE",NOT(ISNUMBER(FIND("STATUS",AN13))))))+4*(OR(ISNUMBER(FIND("WORKORDER",AN13)),AND(LEFT(AN13,2)="WO",OR(ISNUMBER(FIND("NUM",AN13)),RIGHT(AN13,2)="NO"))))+8*(LEFT(AN13,3)="SEQ")+16*(AND(LEFT(AN13,4)="ITEM",NOT(ISNUMBER(FIND("DESC",AN13)))))+32*(AND(ISNUMBER(FIND("DESC",AN13)),NOT(ISNUMBER(FIND("CAP",AN13)))))+64*(OR(RIGHT(AN13,5)="COUNT",RIGHT(AN13,2)="CT"))+128*(ISNUMBER(FIND("BULK",AN13)))+256*(ISNUMBER(FIND("SIZE",AN13)))+512*(LEFT(AN13,3)="CAP")+1024*(ISNUMBER(FIND("ALLERG",AN13)))+2048*(OR(ISNUMBER(FIND("REMARK",AN13)),ISNUMBER(FIND("COMMENT",AN13))))+4096*(OR(ISNUMBER(FIND("QTY",AN13)),ISNUMBER(FIND("QUANTITY",AN13))))+8192*(AND(OR(ISNUMBER(FIND("COMPLETE",AN13)),ISNUMBER(FIND("PCT",AN13)),ISNUMBER(FIND("PERCENT",AN13))),NOT(ISNUMBER(FIND("ACTUAL",AN13))),LEN(AN13)&lt;=16))+32768*(OR(ISNUMBER(FIND("DESIC",AN13)),ISNUMBER(FIND("DESSIC",AN13)))))</f>
        <v/>
      </c>
      <c r="AO148">
        <f>IF(AO13="",0,2*(OR(ISNUMBER(FIND("WORKCENTER",AO13)),AND(LEFT(AO13,4)="LINE",NOT(ISNUMBER(FIND("STATUS",AO13))))))+4*(OR(ISNUMBER(FIND("WORKORDER",AO13)),AND(LEFT(AO13,2)="WO",OR(ISNUMBER(FIND("NUM",AO13)),RIGHT(AO13,2)="NO"))))+8*(LEFT(AO13,3)="SEQ")+16*(AND(LEFT(AO13,4)="ITEM",NOT(ISNUMBER(FIND("DESC",AO13)))))+32*(AND(ISNUMBER(FIND("DESC",AO13)),NOT(ISNUMBER(FIND("CAP",AO13)))))+64*(OR(RIGHT(AO13,5)="COUNT",RIGHT(AO13,2)="CT"))+128*(ISNUMBER(FIND("BULK",AO13)))+256*(ISNUMBER(FIND("SIZE",AO13)))+512*(LEFT(AO13,3)="CAP")+1024*(ISNUMBER(FIND("ALLERG",AO13)))+2048*(OR(ISNUMBER(FIND("REMARK",AO13)),ISNUMBER(FIND("COMMENT",AO13))))+4096*(OR(ISNUMBER(FIND("QTY",AO13)),ISNUMBER(FIND("QUANTITY",AO13))))+8192*(AND(OR(ISNUMBER(FIND("COMPLETE",AO13)),ISNUMBER(FIND("PCT",AO13)),ISNUMBER(FIND("PERCENT",AO13))),NOT(ISNUMBER(FIND("ACTUAL",AO13))),LEN(AO13)&lt;=16))+32768*(OR(ISNUMBER(FIND("DESIC",AO13)),ISNUMBER(FIND("DESSIC",AO13)))))</f>
        <v/>
      </c>
      <c r="AP148">
        <f>IF(AP13="",0,2*(OR(ISNUMBER(FIND("WORKCENTER",AP13)),AND(LEFT(AP13,4)="LINE",NOT(ISNUMBER(FIND("STATUS",AP13))))))+4*(OR(ISNUMBER(FIND("WORKORDER",AP13)),AND(LEFT(AP13,2)="WO",OR(ISNUMBER(FIND("NUM",AP13)),RIGHT(AP13,2)="NO"))))+8*(LEFT(AP13,3)="SEQ")+16*(AND(LEFT(AP13,4)="ITEM",NOT(ISNUMBER(FIND("DESC",AP13)))))+32*(AND(ISNUMBER(FIND("DESC",AP13)),NOT(ISNUMBER(FIND("CAP",AP13)))))+64*(OR(RIGHT(AP13,5)="COUNT",RIGHT(AP13,2)="CT"))+128*(ISNUMBER(FIND("BULK",AP13)))+256*(ISNUMBER(FIND("SIZE",AP13)))+512*(LEFT(AP13,3)="CAP")+1024*(ISNUMBER(FIND("ALLERG",AP13)))+2048*(OR(ISNUMBER(FIND("REMARK",AP13)),ISNUMBER(FIND("COMMENT",AP13))))+4096*(OR(ISNUMBER(FIND("QTY",AP13)),ISNUMBER(FIND("QUANTITY",AP13))))+8192*(AND(OR(ISNUMBER(FIND("COMPLETE",AP13)),ISNUMBER(FIND("PCT",AP13)),ISNUMBER(FIND("PERCENT",AP13))),NOT(ISNUMBER(FIND("ACTUAL",AP13))),LEN(AP13)&lt;=16))+32768*(OR(ISNUMBER(FIND("DESIC",AP13)),ISNUMBER(FIND("DESSIC",AP13)))))</f>
        <v/>
      </c>
      <c r="AQ148">
        <f>IF(AQ13="",0,2*(OR(ISNUMBER(FIND("WORKCENTER",AQ13)),AND(LEFT(AQ13,4)="LINE",NOT(ISNUMBER(FIND("STATUS",AQ13))))))+4*(OR(ISNUMBER(FIND("WORKORDER",AQ13)),AND(LEFT(AQ13,2)="WO",OR(ISNUMBER(FIND("NUM",AQ13)),RIGHT(AQ13,2)="NO"))))+8*(LEFT(AQ13,3)="SEQ")+16*(AND(LEFT(AQ13,4)="ITEM",NOT(ISNUMBER(FIND("DESC",AQ13)))))+32*(AND(ISNUMBER(FIND("DESC",AQ13)),NOT(ISNUMBER(FIND("CAP",AQ13)))))+64*(OR(RIGHT(AQ13,5)="COUNT",RIGHT(AQ13,2)="CT"))+128*(ISNUMBER(FIND("BULK",AQ13)))+256*(ISNUMBER(FIND("SIZE",AQ13)))+512*(LEFT(AQ13,3)="CAP")+1024*(ISNUMBER(FIND("ALLERG",AQ13)))+2048*(OR(ISNUMBER(FIND("REMARK",AQ13)),ISNUMBER(FIND("COMMENT",AQ13))))+4096*(OR(ISNUMBER(FIND("QTY",AQ13)),ISNUMBER(FIND("QUANTITY",AQ13))))+8192*(AND(OR(ISNUMBER(FIND("COMPLETE",AQ13)),ISNUMBER(FIND("PCT",AQ13)),ISNUMBER(FIND("PERCENT",AQ13))),NOT(ISNUMBER(FIND("ACTUAL",AQ13))),LEN(AQ13)&lt;=16))+32768*(OR(ISNUMBER(FIND("DESIC",AQ13)),ISNUMBER(FIND("DESSIC",AQ13)))))</f>
        <v/>
      </c>
      <c r="AR148">
        <f>IF(AR13="",0,2*(OR(ISNUMBER(FIND("WORKCENTER",AR13)),AND(LEFT(AR13,4)="LINE",NOT(ISNUMBER(FIND("STATUS",AR13))))))+4*(OR(ISNUMBER(FIND("WORKORDER",AR13)),AND(LEFT(AR13,2)="WO",OR(ISNUMBER(FIND("NUM",AR13)),RIGHT(AR13,2)="NO"))))+8*(LEFT(AR13,3)="SEQ")+16*(AND(LEFT(AR13,4)="ITEM",NOT(ISNUMBER(FIND("DESC",AR13)))))+32*(AND(ISNUMBER(FIND("DESC",AR13)),NOT(ISNUMBER(FIND("CAP",AR13)))))+64*(OR(RIGHT(AR13,5)="COUNT",RIGHT(AR13,2)="CT"))+128*(ISNUMBER(FIND("BULK",AR13)))+256*(ISNUMBER(FIND("SIZE",AR13)))+512*(LEFT(AR13,3)="CAP")+1024*(ISNUMBER(FIND("ALLERG",AR13)))+2048*(OR(ISNUMBER(FIND("REMARK",AR13)),ISNUMBER(FIND("COMMENT",AR13))))+4096*(OR(ISNUMBER(FIND("QTY",AR13)),ISNUMBER(FIND("QUANTITY",AR13))))+8192*(AND(OR(ISNUMBER(FIND("COMPLETE",AR13)),ISNUMBER(FIND("PCT",AR13)),ISNUMBER(FIND("PERCENT",AR13))),NOT(ISNUMBER(FIND("ACTUAL",AR13))),LEN(AR13)&lt;=16))+32768*(OR(ISNUMBER(FIND("DESIC",AR13)),ISNUMBER(FIND("DESSIC",AR13)))))</f>
        <v/>
      </c>
      <c r="AS148">
        <f>IF(AS13="",0,2*(OR(ISNUMBER(FIND("WORKCENTER",AS13)),AND(LEFT(AS13,4)="LINE",NOT(ISNUMBER(FIND("STATUS",AS13))))))+4*(OR(ISNUMBER(FIND("WORKORDER",AS13)),AND(LEFT(AS13,2)="WO",OR(ISNUMBER(FIND("NUM",AS13)),RIGHT(AS13,2)="NO"))))+8*(LEFT(AS13,3)="SEQ")+16*(AND(LEFT(AS13,4)="ITEM",NOT(ISNUMBER(FIND("DESC",AS13)))))+32*(AND(ISNUMBER(FIND("DESC",AS13)),NOT(ISNUMBER(FIND("CAP",AS13)))))+64*(OR(RIGHT(AS13,5)="COUNT",RIGHT(AS13,2)="CT"))+128*(ISNUMBER(FIND("BULK",AS13)))+256*(ISNUMBER(FIND("SIZE",AS13)))+512*(LEFT(AS13,3)="CAP")+1024*(ISNUMBER(FIND("ALLERG",AS13)))+2048*(OR(ISNUMBER(FIND("REMARK",AS13)),ISNUMBER(FIND("COMMENT",AS13))))+4096*(OR(ISNUMBER(FIND("QTY",AS13)),ISNUMBER(FIND("QUANTITY",AS13))))+8192*(AND(OR(ISNUMBER(FIND("COMPLETE",AS13)),ISNUMBER(FIND("PCT",AS13)),ISNUMBER(FIND("PERCENT",AS13))),NOT(ISNUMBER(FIND("ACTUAL",AS13))),LEN(AS13)&lt;=16))+32768*(OR(ISNUMBER(FIND("DESIC",AS13)),ISNUMBER(FIND("DESSIC",AS13)))))</f>
        <v/>
      </c>
      <c r="AT148">
        <f>IF(AT13="",0,2*(OR(ISNUMBER(FIND("WORKCENTER",AT13)),AND(LEFT(AT13,4)="LINE",NOT(ISNUMBER(FIND("STATUS",AT13))))))+4*(OR(ISNUMBER(FIND("WORKORDER",AT13)),AND(LEFT(AT13,2)="WO",OR(ISNUMBER(FIND("NUM",AT13)),RIGHT(AT13,2)="NO"))))+8*(LEFT(AT13,3)="SEQ")+16*(AND(LEFT(AT13,4)="ITEM",NOT(ISNUMBER(FIND("DESC",AT13)))))+32*(AND(ISNUMBER(FIND("DESC",AT13)),NOT(ISNUMBER(FIND("CAP",AT13)))))+64*(OR(RIGHT(AT13,5)="COUNT",RIGHT(AT13,2)="CT"))+128*(ISNUMBER(FIND("BULK",AT13)))+256*(ISNUMBER(FIND("SIZE",AT13)))+512*(LEFT(AT13,3)="CAP")+1024*(ISNUMBER(FIND("ALLERG",AT13)))+2048*(OR(ISNUMBER(FIND("REMARK",AT13)),ISNUMBER(FIND("COMMENT",AT13))))+4096*(OR(ISNUMBER(FIND("QTY",AT13)),ISNUMBER(FIND("QUANTITY",AT13))))+8192*(AND(OR(ISNUMBER(FIND("COMPLETE",AT13)),ISNUMBER(FIND("PCT",AT13)),ISNUMBER(FIND("PERCENT",AT13))),NOT(ISNUMBER(FIND("ACTUAL",AT13))),LEN(AT13)&lt;=16))+32768*(OR(ISNUMBER(FIND("DESIC",AT13)),ISNUMBER(FIND("DESSIC",AT13)))))</f>
        <v/>
      </c>
      <c r="AU148">
        <f>IF(AU13="",0,2*(OR(ISNUMBER(FIND("WORKCENTER",AU13)),AND(LEFT(AU13,4)="LINE",NOT(ISNUMBER(FIND("STATUS",AU13))))))+4*(OR(ISNUMBER(FIND("WORKORDER",AU13)),AND(LEFT(AU13,2)="WO",OR(ISNUMBER(FIND("NUM",AU13)),RIGHT(AU13,2)="NO"))))+8*(LEFT(AU13,3)="SEQ")+16*(AND(LEFT(AU13,4)="ITEM",NOT(ISNUMBER(FIND("DESC",AU13)))))+32*(AND(ISNUMBER(FIND("DESC",AU13)),NOT(ISNUMBER(FIND("CAP",AU13)))))+64*(OR(RIGHT(AU13,5)="COUNT",RIGHT(AU13,2)="CT"))+128*(ISNUMBER(FIND("BULK",AU13)))+256*(ISNUMBER(FIND("SIZE",AU13)))+512*(LEFT(AU13,3)="CAP")+1024*(ISNUMBER(FIND("ALLERG",AU13)))+2048*(OR(ISNUMBER(FIND("REMARK",AU13)),ISNUMBER(FIND("COMMENT",AU13))))+4096*(OR(ISNUMBER(FIND("QTY",AU13)),ISNUMBER(FIND("QUANTITY",AU13))))+8192*(AND(OR(ISNUMBER(FIND("COMPLETE",AU13)),ISNUMBER(FIND("PCT",AU13)),ISNUMBER(FIND("PERCENT",AU13))),NOT(ISNUMBER(FIND("ACTUAL",AU13))),LEN(AU13)&lt;=16))+32768*(OR(ISNUMBER(FIND("DESIC",AU13)),ISNUMBER(FIND("DESSIC",AU13)))))</f>
        <v/>
      </c>
      <c r="AV148">
        <f>IF(AV13="",0,2*(OR(ISNUMBER(FIND("WORKCENTER",AV13)),AND(LEFT(AV13,4)="LINE",NOT(ISNUMBER(FIND("STATUS",AV13))))))+4*(OR(ISNUMBER(FIND("WORKORDER",AV13)),AND(LEFT(AV13,2)="WO",OR(ISNUMBER(FIND("NUM",AV13)),RIGHT(AV13,2)="NO"))))+8*(LEFT(AV13,3)="SEQ")+16*(AND(LEFT(AV13,4)="ITEM",NOT(ISNUMBER(FIND("DESC",AV13)))))+32*(AND(ISNUMBER(FIND("DESC",AV13)),NOT(ISNUMBER(FIND("CAP",AV13)))))+64*(OR(RIGHT(AV13,5)="COUNT",RIGHT(AV13,2)="CT"))+128*(ISNUMBER(FIND("BULK",AV13)))+256*(ISNUMBER(FIND("SIZE",AV13)))+512*(LEFT(AV13,3)="CAP")+1024*(ISNUMBER(FIND("ALLERG",AV13)))+2048*(OR(ISNUMBER(FIND("REMARK",AV13)),ISNUMBER(FIND("COMMENT",AV13))))+4096*(OR(ISNUMBER(FIND("QTY",AV13)),ISNUMBER(FIND("QUANTITY",AV13))))+8192*(AND(OR(ISNUMBER(FIND("COMPLETE",AV13)),ISNUMBER(FIND("PCT",AV13)),ISNUMBER(FIND("PERCENT",AV13))),NOT(ISNUMBER(FIND("ACTUAL",AV13))),LEN(AV13)&lt;=16))+32768*(OR(ISNUMBER(FIND("DESIC",AV13)),ISNUMBER(FIND("DESSIC",AV13)))))</f>
        <v/>
      </c>
      <c r="AW148">
        <f>IF(AW13="",0,2*(OR(ISNUMBER(FIND("WORKCENTER",AW13)),AND(LEFT(AW13,4)="LINE",NOT(ISNUMBER(FIND("STATUS",AW13))))))+4*(OR(ISNUMBER(FIND("WORKORDER",AW13)),AND(LEFT(AW13,2)="WO",OR(ISNUMBER(FIND("NUM",AW13)),RIGHT(AW13,2)="NO"))))+8*(LEFT(AW13,3)="SEQ")+16*(AND(LEFT(AW13,4)="ITEM",NOT(ISNUMBER(FIND("DESC",AW13)))))+32*(AND(ISNUMBER(FIND("DESC",AW13)),NOT(ISNUMBER(FIND("CAP",AW13)))))+64*(OR(RIGHT(AW13,5)="COUNT",RIGHT(AW13,2)="CT"))+128*(ISNUMBER(FIND("BULK",AW13)))+256*(ISNUMBER(FIND("SIZE",AW13)))+512*(LEFT(AW13,3)="CAP")+1024*(ISNUMBER(FIND("ALLERG",AW13)))+2048*(OR(ISNUMBER(FIND("REMARK",AW13)),ISNUMBER(FIND("COMMENT",AW13))))+4096*(OR(ISNUMBER(FIND("QTY",AW13)),ISNUMBER(FIND("QUANTITY",AW13))))+8192*(AND(OR(ISNUMBER(FIND("COMPLETE",AW13)),ISNUMBER(FIND("PCT",AW13)),ISNUMBER(FIND("PERCENT",AW13))),NOT(ISNUMBER(FIND("ACTUAL",AW13))),LEN(AW13)&lt;=16))+32768*(OR(ISNUMBER(FIND("DESIC",AW13)),ISNUMBER(FIND("DESSIC",AW13)))))</f>
        <v/>
      </c>
      <c r="AX148">
        <f>IF(AX13="",0,2*(OR(ISNUMBER(FIND("WORKCENTER",AX13)),AND(LEFT(AX13,4)="LINE",NOT(ISNUMBER(FIND("STATUS",AX13))))))+4*(OR(ISNUMBER(FIND("WORKORDER",AX13)),AND(LEFT(AX13,2)="WO",OR(ISNUMBER(FIND("NUM",AX13)),RIGHT(AX13,2)="NO"))))+8*(LEFT(AX13,3)="SEQ")+16*(AND(LEFT(AX13,4)="ITEM",NOT(ISNUMBER(FIND("DESC",AX13)))))+32*(AND(ISNUMBER(FIND("DESC",AX13)),NOT(ISNUMBER(FIND("CAP",AX13)))))+64*(OR(RIGHT(AX13,5)="COUNT",RIGHT(AX13,2)="CT"))+128*(ISNUMBER(FIND("BULK",AX13)))+256*(ISNUMBER(FIND("SIZE",AX13)))+512*(LEFT(AX13,3)="CAP")+1024*(ISNUMBER(FIND("ALLERG",AX13)))+2048*(OR(ISNUMBER(FIND("REMARK",AX13)),ISNUMBER(FIND("COMMENT",AX13))))+4096*(OR(ISNUMBER(FIND("QTY",AX13)),ISNUMBER(FIND("QUANTITY",AX13))))+8192*(AND(OR(ISNUMBER(FIND("COMPLETE",AX13)),ISNUMBER(FIND("PCT",AX13)),ISNUMBER(FIND("PERCENT",AX13))),NOT(ISNUMBER(FIND("ACTUAL",AX13))),LEN(AX13)&lt;=16))+32768*(OR(ISNUMBER(FIND("DESIC",AX13)),ISNUMBER(FIND("DESSIC",AX13)))))</f>
        <v/>
      </c>
      <c r="AY148">
        <f>IF(AY13="",0,2*(OR(ISNUMBER(FIND("WORKCENTER",AY13)),AND(LEFT(AY13,4)="LINE",NOT(ISNUMBER(FIND("STATUS",AY13))))))+4*(OR(ISNUMBER(FIND("WORKORDER",AY13)),AND(LEFT(AY13,2)="WO",OR(ISNUMBER(FIND("NUM",AY13)),RIGHT(AY13,2)="NO"))))+8*(LEFT(AY13,3)="SEQ")+16*(AND(LEFT(AY13,4)="ITEM",NOT(ISNUMBER(FIND("DESC",AY13)))))+32*(AND(ISNUMBER(FIND("DESC",AY13)),NOT(ISNUMBER(FIND("CAP",AY13)))))+64*(OR(RIGHT(AY13,5)="COUNT",RIGHT(AY13,2)="CT"))+128*(ISNUMBER(FIND("BULK",AY13)))+256*(ISNUMBER(FIND("SIZE",AY13)))+512*(LEFT(AY13,3)="CAP")+1024*(ISNUMBER(FIND("ALLERG",AY13)))+2048*(OR(ISNUMBER(FIND("REMARK",AY13)),ISNUMBER(FIND("COMMENT",AY13))))+4096*(OR(ISNUMBER(FIND("QTY",AY13)),ISNUMBER(FIND("QUANTITY",AY13))))+8192*(AND(OR(ISNUMBER(FIND("COMPLETE",AY13)),ISNUMBER(FIND("PCT",AY13)),ISNUMBER(FIND("PERCENT",AY13))),NOT(ISNUMBER(FIND("ACTUAL",AY13))),LEN(AY13)&lt;=16))+32768*(OR(ISNUMBER(FIND("DESIC",AY13)),ISNUMBER(FIND("DESSIC",AY13)))))</f>
        <v/>
      </c>
      <c r="AZ148">
        <f>IF(AZ13="",0,2*(OR(ISNUMBER(FIND("WORKCENTER",AZ13)),AND(LEFT(AZ13,4)="LINE",NOT(ISNUMBER(FIND("STATUS",AZ13))))))+4*(OR(ISNUMBER(FIND("WORKORDER",AZ13)),AND(LEFT(AZ13,2)="WO",OR(ISNUMBER(FIND("NUM",AZ13)),RIGHT(AZ13,2)="NO"))))+8*(LEFT(AZ13,3)="SEQ")+16*(AND(LEFT(AZ13,4)="ITEM",NOT(ISNUMBER(FIND("DESC",AZ13)))))+32*(AND(ISNUMBER(FIND("DESC",AZ13)),NOT(ISNUMBER(FIND("CAP",AZ13)))))+64*(OR(RIGHT(AZ13,5)="COUNT",RIGHT(AZ13,2)="CT"))+128*(ISNUMBER(FIND("BULK",AZ13)))+256*(ISNUMBER(FIND("SIZE",AZ13)))+512*(LEFT(AZ13,3)="CAP")+1024*(ISNUMBER(FIND("ALLERG",AZ13)))+2048*(OR(ISNUMBER(FIND("REMARK",AZ13)),ISNUMBER(FIND("COMMENT",AZ13))))+4096*(OR(ISNUMBER(FIND("QTY",AZ13)),ISNUMBER(FIND("QUANTITY",AZ13))))+8192*(AND(OR(ISNUMBER(FIND("COMPLETE",AZ13)),ISNUMBER(FIND("PCT",AZ13)),ISNUMBER(FIND("PERCENT",AZ13))),NOT(ISNUMBER(FIND("ACTUAL",AZ13))),LEN(AZ13)&lt;=16))+32768*(OR(ISNUMBER(FIND("DESIC",AZ13)),ISNUMBER(FIND("DESSIC",AZ13)))))</f>
        <v/>
      </c>
      <c r="BA148">
        <f>IF(BA13="",0,2*(OR(ISNUMBER(FIND("WORKCENTER",BA13)),AND(LEFT(BA13,4)="LINE",NOT(ISNUMBER(FIND("STATUS",BA13))))))+4*(OR(ISNUMBER(FIND("WORKORDER",BA13)),AND(LEFT(BA13,2)="WO",OR(ISNUMBER(FIND("NUM",BA13)),RIGHT(BA13,2)="NO"))))+8*(LEFT(BA13,3)="SEQ")+16*(AND(LEFT(BA13,4)="ITEM",NOT(ISNUMBER(FIND("DESC",BA13)))))+32*(AND(ISNUMBER(FIND("DESC",BA13)),NOT(ISNUMBER(FIND("CAP",BA13)))))+64*(OR(RIGHT(BA13,5)="COUNT",RIGHT(BA13,2)="CT"))+128*(ISNUMBER(FIND("BULK",BA13)))+256*(ISNUMBER(FIND("SIZE",BA13)))+512*(LEFT(BA13,3)="CAP")+1024*(ISNUMBER(FIND("ALLERG",BA13)))+2048*(OR(ISNUMBER(FIND("REMARK",BA13)),ISNUMBER(FIND("COMMENT",BA13))))+4096*(OR(ISNUMBER(FIND("QTY",BA13)),ISNUMBER(FIND("QUANTITY",BA13))))+8192*(AND(OR(ISNUMBER(FIND("COMPLETE",BA13)),ISNUMBER(FIND("PCT",BA13)),ISNUMBER(FIND("PERCENT",BA13))),NOT(ISNUMBER(FIND("ACTUAL",BA13))),LEN(BA13)&lt;=16))+32768*(OR(ISNUMBER(FIND("DESIC",BA13)),ISNUMBER(FIND("DESSIC",BA13)))))</f>
        <v/>
      </c>
      <c r="BB148">
        <f>IF(BB13="",0,2*(OR(ISNUMBER(FIND("WORKCENTER",BB13)),AND(LEFT(BB13,4)="LINE",NOT(ISNUMBER(FIND("STATUS",BB13))))))+4*(OR(ISNUMBER(FIND("WORKORDER",BB13)),AND(LEFT(BB13,2)="WO",OR(ISNUMBER(FIND("NUM",BB13)),RIGHT(BB13,2)="NO"))))+8*(LEFT(BB13,3)="SEQ")+16*(AND(LEFT(BB13,4)="ITEM",NOT(ISNUMBER(FIND("DESC",BB13)))))+32*(AND(ISNUMBER(FIND("DESC",BB13)),NOT(ISNUMBER(FIND("CAP",BB13)))))+64*(OR(RIGHT(BB13,5)="COUNT",RIGHT(BB13,2)="CT"))+128*(ISNUMBER(FIND("BULK",BB13)))+256*(ISNUMBER(FIND("SIZE",BB13)))+512*(LEFT(BB13,3)="CAP")+1024*(ISNUMBER(FIND("ALLERG",BB13)))+2048*(OR(ISNUMBER(FIND("REMARK",BB13)),ISNUMBER(FIND("COMMENT",BB13))))+4096*(OR(ISNUMBER(FIND("QTY",BB13)),ISNUMBER(FIND("QUANTITY",BB13))))+8192*(AND(OR(ISNUMBER(FIND("COMPLETE",BB13)),ISNUMBER(FIND("PCT",BB13)),ISNUMBER(FIND("PERCENT",BB13))),NOT(ISNUMBER(FIND("ACTUAL",BB13))),LEN(BB13)&lt;=16))+32768*(OR(ISNUMBER(FIND("DESIC",BB13)),ISNUMBER(FIND("DESSIC",BB13)))))</f>
        <v/>
      </c>
      <c r="BC148">
        <f>IF(BC13="",0,2*(OR(ISNUMBER(FIND("WORKCENTER",BC13)),AND(LEFT(BC13,4)="LINE",NOT(ISNUMBER(FIND("STATUS",BC13))))))+4*(OR(ISNUMBER(FIND("WORKORDER",BC13)),AND(LEFT(BC13,2)="WO",OR(ISNUMBER(FIND("NUM",BC13)),RIGHT(BC13,2)="NO"))))+8*(LEFT(BC13,3)="SEQ")+16*(AND(LEFT(BC13,4)="ITEM",NOT(ISNUMBER(FIND("DESC",BC13)))))+32*(AND(ISNUMBER(FIND("DESC",BC13)),NOT(ISNUMBER(FIND("CAP",BC13)))))+64*(OR(RIGHT(BC13,5)="COUNT",RIGHT(BC13,2)="CT"))+128*(ISNUMBER(FIND("BULK",BC13)))+256*(ISNUMBER(FIND("SIZE",BC13)))+512*(LEFT(BC13,3)="CAP")+1024*(ISNUMBER(FIND("ALLERG",BC13)))+2048*(OR(ISNUMBER(FIND("REMARK",BC13)),ISNUMBER(FIND("COMMENT",BC13))))+4096*(OR(ISNUMBER(FIND("QTY",BC13)),ISNUMBER(FIND("QUANTITY",BC13))))+8192*(AND(OR(ISNUMBER(FIND("COMPLETE",BC13)),ISNUMBER(FIND("PCT",BC13)),ISNUMBER(FIND("PERCENT",BC13))),NOT(ISNUMBER(FIND("ACTUAL",BC13))),LEN(BC13)&lt;=16))+32768*(OR(ISNUMBER(FIND("DESIC",BC13)),ISNUMBER(FIND("DESSIC",BC13)))))</f>
        <v/>
      </c>
      <c r="BD148">
        <f>IF(BD13="",0,2*(OR(ISNUMBER(FIND("WORKCENTER",BD13)),AND(LEFT(BD13,4)="LINE",NOT(ISNUMBER(FIND("STATUS",BD13))))))+4*(OR(ISNUMBER(FIND("WORKORDER",BD13)),AND(LEFT(BD13,2)="WO",OR(ISNUMBER(FIND("NUM",BD13)),RIGHT(BD13,2)="NO"))))+8*(LEFT(BD13,3)="SEQ")+16*(AND(LEFT(BD13,4)="ITEM",NOT(ISNUMBER(FIND("DESC",BD13)))))+32*(AND(ISNUMBER(FIND("DESC",BD13)),NOT(ISNUMBER(FIND("CAP",BD13)))))+64*(OR(RIGHT(BD13,5)="COUNT",RIGHT(BD13,2)="CT"))+128*(ISNUMBER(FIND("BULK",BD13)))+256*(ISNUMBER(FIND("SIZE",BD13)))+512*(LEFT(BD13,3)="CAP")+1024*(ISNUMBER(FIND("ALLERG",BD13)))+2048*(OR(ISNUMBER(FIND("REMARK",BD13)),ISNUMBER(FIND("COMMENT",BD13))))+4096*(OR(ISNUMBER(FIND("QTY",BD13)),ISNUMBER(FIND("QUANTITY",BD13))))+8192*(AND(OR(ISNUMBER(FIND("COMPLETE",BD13)),ISNUMBER(FIND("PCT",BD13)),ISNUMBER(FIND("PERCENT",BD13))),NOT(ISNUMBER(FIND("ACTUAL",BD13))),LEN(BD13)&lt;=16))+32768*(OR(ISNUMBER(FIND("DESIC",BD13)),ISNUMBER(FIND("DESSIC",BD13)))))</f>
        <v/>
      </c>
      <c r="BE148">
        <f>IF(BE13="",0,2*(OR(ISNUMBER(FIND("WORKCENTER",BE13)),AND(LEFT(BE13,4)="LINE",NOT(ISNUMBER(FIND("STATUS",BE13))))))+4*(OR(ISNUMBER(FIND("WORKORDER",BE13)),AND(LEFT(BE13,2)="WO",OR(ISNUMBER(FIND("NUM",BE13)),RIGHT(BE13,2)="NO"))))+8*(LEFT(BE13,3)="SEQ")+16*(AND(LEFT(BE13,4)="ITEM",NOT(ISNUMBER(FIND("DESC",BE13)))))+32*(AND(ISNUMBER(FIND("DESC",BE13)),NOT(ISNUMBER(FIND("CAP",BE13)))))+64*(OR(RIGHT(BE13,5)="COUNT",RIGHT(BE13,2)="CT"))+128*(ISNUMBER(FIND("BULK",BE13)))+256*(ISNUMBER(FIND("SIZE",BE13)))+512*(LEFT(BE13,3)="CAP")+1024*(ISNUMBER(FIND("ALLERG",BE13)))+2048*(OR(ISNUMBER(FIND("REMARK",BE13)),ISNUMBER(FIND("COMMENT",BE13))))+4096*(OR(ISNUMBER(FIND("QTY",BE13)),ISNUMBER(FIND("QUANTITY",BE13))))+8192*(AND(OR(ISNUMBER(FIND("COMPLETE",BE13)),ISNUMBER(FIND("PCT",BE13)),ISNUMBER(FIND("PERCENT",BE13))),NOT(ISNUMBER(FIND("ACTUAL",BE13))),LEN(BE13)&lt;=16))+32768*(OR(ISNUMBER(FIND("DESIC",BE13)),ISNUMBER(FIND("DESSIC",BE13)))))</f>
        <v/>
      </c>
      <c r="BF148">
        <f>IF(BF13="",0,2*(OR(ISNUMBER(FIND("WORKCENTER",BF13)),AND(LEFT(BF13,4)="LINE",NOT(ISNUMBER(FIND("STATUS",BF13))))))+4*(OR(ISNUMBER(FIND("WORKORDER",BF13)),AND(LEFT(BF13,2)="WO",OR(ISNUMBER(FIND("NUM",BF13)),RIGHT(BF13,2)="NO"))))+8*(LEFT(BF13,3)="SEQ")+16*(AND(LEFT(BF13,4)="ITEM",NOT(ISNUMBER(FIND("DESC",BF13)))))+32*(AND(ISNUMBER(FIND("DESC",BF13)),NOT(ISNUMBER(FIND("CAP",BF13)))))+64*(OR(RIGHT(BF13,5)="COUNT",RIGHT(BF13,2)="CT"))+128*(ISNUMBER(FIND("BULK",BF13)))+256*(ISNUMBER(FIND("SIZE",BF13)))+512*(LEFT(BF13,3)="CAP")+1024*(ISNUMBER(FIND("ALLERG",BF13)))+2048*(OR(ISNUMBER(FIND("REMARK",BF13)),ISNUMBER(FIND("COMMENT",BF13))))+4096*(OR(ISNUMBER(FIND("QTY",BF13)),ISNUMBER(FIND("QUANTITY",BF13))))+8192*(AND(OR(ISNUMBER(FIND("COMPLETE",BF13)),ISNUMBER(FIND("PCT",BF13)),ISNUMBER(FIND("PERCENT",BF13))),NOT(ISNUMBER(FIND("ACTUAL",BF13))),LEN(BF13)&lt;=16))+32768*(OR(ISNUMBER(FIND("DESIC",BF13)),ISNUMBER(FIND("DESSIC",BF13)))))</f>
        <v/>
      </c>
      <c r="BG148">
        <f>IF(BG13="",0,2*(OR(ISNUMBER(FIND("WORKCENTER",BG13)),AND(LEFT(BG13,4)="LINE",NOT(ISNUMBER(FIND("STATUS",BG13))))))+4*(OR(ISNUMBER(FIND("WORKORDER",BG13)),AND(LEFT(BG13,2)="WO",OR(ISNUMBER(FIND("NUM",BG13)),RIGHT(BG13,2)="NO"))))+8*(LEFT(BG13,3)="SEQ")+16*(AND(LEFT(BG13,4)="ITEM",NOT(ISNUMBER(FIND("DESC",BG13)))))+32*(AND(ISNUMBER(FIND("DESC",BG13)),NOT(ISNUMBER(FIND("CAP",BG13)))))+64*(OR(RIGHT(BG13,5)="COUNT",RIGHT(BG13,2)="CT"))+128*(ISNUMBER(FIND("BULK",BG13)))+256*(ISNUMBER(FIND("SIZE",BG13)))+512*(LEFT(BG13,3)="CAP")+1024*(ISNUMBER(FIND("ALLERG",BG13)))+2048*(OR(ISNUMBER(FIND("REMARK",BG13)),ISNUMBER(FIND("COMMENT",BG13))))+4096*(OR(ISNUMBER(FIND("QTY",BG13)),ISNUMBER(FIND("QUANTITY",BG13))))+8192*(AND(OR(ISNUMBER(FIND("COMPLETE",BG13)),ISNUMBER(FIND("PCT",BG13)),ISNUMBER(FIND("PERCENT",BG13))),NOT(ISNUMBER(FIND("ACTUAL",BG13))),LEN(BG13)&lt;=16))+32768*(OR(ISNUMBER(FIND("DESIC",BG13)),ISNUMBER(FIND("DESSIC",BG13)))))</f>
        <v/>
      </c>
      <c r="BH148">
        <f>IF(BH13="",0,2*(OR(ISNUMBER(FIND("WORKCENTER",BH13)),AND(LEFT(BH13,4)="LINE",NOT(ISNUMBER(FIND("STATUS",BH13))))))+4*(OR(ISNUMBER(FIND("WORKORDER",BH13)),AND(LEFT(BH13,2)="WO",OR(ISNUMBER(FIND("NUM",BH13)),RIGHT(BH13,2)="NO"))))+8*(LEFT(BH13,3)="SEQ")+16*(AND(LEFT(BH13,4)="ITEM",NOT(ISNUMBER(FIND("DESC",BH13)))))+32*(AND(ISNUMBER(FIND("DESC",BH13)),NOT(ISNUMBER(FIND("CAP",BH13)))))+64*(OR(RIGHT(BH13,5)="COUNT",RIGHT(BH13,2)="CT"))+128*(ISNUMBER(FIND("BULK",BH13)))+256*(ISNUMBER(FIND("SIZE",BH13)))+512*(LEFT(BH13,3)="CAP")+1024*(ISNUMBER(FIND("ALLERG",BH13)))+2048*(OR(ISNUMBER(FIND("REMARK",BH13)),ISNUMBER(FIND("COMMENT",BH13))))+4096*(OR(ISNUMBER(FIND("QTY",BH13)),ISNUMBER(FIND("QUANTITY",BH13))))+8192*(AND(OR(ISNUMBER(FIND("COMPLETE",BH13)),ISNUMBER(FIND("PCT",BH13)),ISNUMBER(FIND("PERCENT",BH13))),NOT(ISNUMBER(FIND("ACTUAL",BH13))),LEN(BH13)&lt;=16))+32768*(OR(ISNUMBER(FIND("DESIC",BH13)),ISNUMBER(FIND("DESSIC",BH13)))))</f>
        <v/>
      </c>
      <c r="BI148">
        <f>IF(BI13="",0,2*(OR(ISNUMBER(FIND("WORKCENTER",BI13)),AND(LEFT(BI13,4)="LINE",NOT(ISNUMBER(FIND("STATUS",BI13))))))+4*(OR(ISNUMBER(FIND("WORKORDER",BI13)),AND(LEFT(BI13,2)="WO",OR(ISNUMBER(FIND("NUM",BI13)),RIGHT(BI13,2)="NO"))))+8*(LEFT(BI13,3)="SEQ")+16*(AND(LEFT(BI13,4)="ITEM",NOT(ISNUMBER(FIND("DESC",BI13)))))+32*(AND(ISNUMBER(FIND("DESC",BI13)),NOT(ISNUMBER(FIND("CAP",BI13)))))+64*(OR(RIGHT(BI13,5)="COUNT",RIGHT(BI13,2)="CT"))+128*(ISNUMBER(FIND("BULK",BI13)))+256*(ISNUMBER(FIND("SIZE",BI13)))+512*(LEFT(BI13,3)="CAP")+1024*(ISNUMBER(FIND("ALLERG",BI13)))+2048*(OR(ISNUMBER(FIND("REMARK",BI13)),ISNUMBER(FIND("COMMENT",BI13))))+4096*(OR(ISNUMBER(FIND("QTY",BI13)),ISNUMBER(FIND("QUANTITY",BI13))))+8192*(AND(OR(ISNUMBER(FIND("COMPLETE",BI13)),ISNUMBER(FIND("PCT",BI13)),ISNUMBER(FIND("PERCENT",BI13))),NOT(ISNUMBER(FIND("ACTUAL",BI13))),LEN(BI13)&lt;=16))+32768*(OR(ISNUMBER(FIND("DESIC",BI13)),ISNUMBER(FIND("DESSIC",BI13)))))</f>
        <v/>
      </c>
      <c r="BJ148">
        <f>IF(BJ13="",0,2*(OR(ISNUMBER(FIND("WORKCENTER",BJ13)),AND(LEFT(BJ13,4)="LINE",NOT(ISNUMBER(FIND("STATUS",BJ13))))))+4*(OR(ISNUMBER(FIND("WORKORDER",BJ13)),AND(LEFT(BJ13,2)="WO",OR(ISNUMBER(FIND("NUM",BJ13)),RIGHT(BJ13,2)="NO"))))+8*(LEFT(BJ13,3)="SEQ")+16*(AND(LEFT(BJ13,4)="ITEM",NOT(ISNUMBER(FIND("DESC",BJ13)))))+32*(AND(ISNUMBER(FIND("DESC",BJ13)),NOT(ISNUMBER(FIND("CAP",BJ13)))))+64*(OR(RIGHT(BJ13,5)="COUNT",RIGHT(BJ13,2)="CT"))+128*(ISNUMBER(FIND("BULK",BJ13)))+256*(ISNUMBER(FIND("SIZE",BJ13)))+512*(LEFT(BJ13,3)="CAP")+1024*(ISNUMBER(FIND("ALLERG",BJ13)))+2048*(OR(ISNUMBER(FIND("REMARK",BJ13)),ISNUMBER(FIND("COMMENT",BJ13))))+4096*(OR(ISNUMBER(FIND("QTY",BJ13)),ISNUMBER(FIND("QUANTITY",BJ13))))+8192*(AND(OR(ISNUMBER(FIND("COMPLETE",BJ13)),ISNUMBER(FIND("PCT",BJ13)),ISNUMBER(FIND("PERCENT",BJ13))),NOT(ISNUMBER(FIND("ACTUAL",BJ13))),LEN(BJ13)&lt;=16))+32768*(OR(ISNUMBER(FIND("DESIC",BJ13)),ISNUMBER(FIND("DESSIC",BJ13)))))</f>
        <v/>
      </c>
      <c r="BK148">
        <f>IF(BK13="",0,2*(OR(ISNUMBER(FIND("WORKCENTER",BK13)),AND(LEFT(BK13,4)="LINE",NOT(ISNUMBER(FIND("STATUS",BK13))))))+4*(OR(ISNUMBER(FIND("WORKORDER",BK13)),AND(LEFT(BK13,2)="WO",OR(ISNUMBER(FIND("NUM",BK13)),RIGHT(BK13,2)="NO"))))+8*(LEFT(BK13,3)="SEQ")+16*(AND(LEFT(BK13,4)="ITEM",NOT(ISNUMBER(FIND("DESC",BK13)))))+32*(AND(ISNUMBER(FIND("DESC",BK13)),NOT(ISNUMBER(FIND("CAP",BK13)))))+64*(OR(RIGHT(BK13,5)="COUNT",RIGHT(BK13,2)="CT"))+128*(ISNUMBER(FIND("BULK",BK13)))+256*(ISNUMBER(FIND("SIZE",BK13)))+512*(LEFT(BK13,3)="CAP")+1024*(ISNUMBER(FIND("ALLERG",BK13)))+2048*(OR(ISNUMBER(FIND("REMARK",BK13)),ISNUMBER(FIND("COMMENT",BK13))))+4096*(OR(ISNUMBER(FIND("QTY",BK13)),ISNUMBER(FIND("QUANTITY",BK13))))+8192*(AND(OR(ISNUMBER(FIND("COMPLETE",BK13)),ISNUMBER(FIND("PCT",BK13)),ISNUMBER(FIND("PERCENT",BK13))),NOT(ISNUMBER(FIND("ACTUAL",BK13))),LEN(BK13)&lt;=16))+32768*(OR(ISNUMBER(FIND("DESIC",BK13)),ISNUMBER(FIND("DESSIC",BK13)))))</f>
        <v/>
      </c>
      <c r="BL148">
        <f>IF(BL13="",0,2*(OR(ISNUMBER(FIND("WORKCENTER",BL13)),AND(LEFT(BL13,4)="LINE",NOT(ISNUMBER(FIND("STATUS",BL13))))))+4*(OR(ISNUMBER(FIND("WORKORDER",BL13)),AND(LEFT(BL13,2)="WO",OR(ISNUMBER(FIND("NUM",BL13)),RIGHT(BL13,2)="NO"))))+8*(LEFT(BL13,3)="SEQ")+16*(AND(LEFT(BL13,4)="ITEM",NOT(ISNUMBER(FIND("DESC",BL13)))))+32*(AND(ISNUMBER(FIND("DESC",BL13)),NOT(ISNUMBER(FIND("CAP",BL13)))))+64*(OR(RIGHT(BL13,5)="COUNT",RIGHT(BL13,2)="CT"))+128*(ISNUMBER(FIND("BULK",BL13)))+256*(ISNUMBER(FIND("SIZE",BL13)))+512*(LEFT(BL13,3)="CAP")+1024*(ISNUMBER(FIND("ALLERG",BL13)))+2048*(OR(ISNUMBER(FIND("REMARK",BL13)),ISNUMBER(FIND("COMMENT",BL13))))+4096*(OR(ISNUMBER(FIND("QTY",BL13)),ISNUMBER(FIND("QUANTITY",BL13))))+8192*(AND(OR(ISNUMBER(FIND("COMPLETE",BL13)),ISNUMBER(FIND("PCT",BL13)),ISNUMBER(FIND("PERCENT",BL13))),NOT(ISNUMBER(FIND("ACTUAL",BL13))),LEN(BL13)&lt;=16))+32768*(OR(ISNUMBER(FIND("DESIC",BL13)),ISNUMBER(FIND("DESSIC",BL13)))))</f>
        <v/>
      </c>
      <c r="BM148">
        <f>IF(BM13="",0,2*(OR(ISNUMBER(FIND("WORKCENTER",BM13)),AND(LEFT(BM13,4)="LINE",NOT(ISNUMBER(FIND("STATUS",BM13))))))+4*(OR(ISNUMBER(FIND("WORKORDER",BM13)),AND(LEFT(BM13,2)="WO",OR(ISNUMBER(FIND("NUM",BM13)),RIGHT(BM13,2)="NO"))))+8*(LEFT(BM13,3)="SEQ")+16*(AND(LEFT(BM13,4)="ITEM",NOT(ISNUMBER(FIND("DESC",BM13)))))+32*(AND(ISNUMBER(FIND("DESC",BM13)),NOT(ISNUMBER(FIND("CAP",BM13)))))+64*(OR(RIGHT(BM13,5)="COUNT",RIGHT(BM13,2)="CT"))+128*(ISNUMBER(FIND("BULK",BM13)))+256*(ISNUMBER(FIND("SIZE",BM13)))+512*(LEFT(BM13,3)="CAP")+1024*(ISNUMBER(FIND("ALLERG",BM13)))+2048*(OR(ISNUMBER(FIND("REMARK",BM13)),ISNUMBER(FIND("COMMENT",BM13))))+4096*(OR(ISNUMBER(FIND("QTY",BM13)),ISNUMBER(FIND("QUANTITY",BM13))))+8192*(AND(OR(ISNUMBER(FIND("COMPLETE",BM13)),ISNUMBER(FIND("PCT",BM13)),ISNUMBER(FIND("PERCENT",BM13))),NOT(ISNUMBER(FIND("ACTUAL",BM13))),LEN(BM13)&lt;=16))+32768*(OR(ISNUMBER(FIND("DESIC",BM13)),ISNUMBER(FIND("DESSIC",BM13)))))</f>
        <v/>
      </c>
      <c r="BN148">
        <f>IF(BN13="",0,2*(OR(ISNUMBER(FIND("WORKCENTER",BN13)),AND(LEFT(BN13,4)="LINE",NOT(ISNUMBER(FIND("STATUS",BN13))))))+4*(OR(ISNUMBER(FIND("WORKORDER",BN13)),AND(LEFT(BN13,2)="WO",OR(ISNUMBER(FIND("NUM",BN13)),RIGHT(BN13,2)="NO"))))+8*(LEFT(BN13,3)="SEQ")+16*(AND(LEFT(BN13,4)="ITEM",NOT(ISNUMBER(FIND("DESC",BN13)))))+32*(AND(ISNUMBER(FIND("DESC",BN13)),NOT(ISNUMBER(FIND("CAP",BN13)))))+64*(OR(RIGHT(BN13,5)="COUNT",RIGHT(BN13,2)="CT"))+128*(ISNUMBER(FIND("BULK",BN13)))+256*(ISNUMBER(FIND("SIZE",BN13)))+512*(LEFT(BN13,3)="CAP")+1024*(ISNUMBER(FIND("ALLERG",BN13)))+2048*(OR(ISNUMBER(FIND("REMARK",BN13)),ISNUMBER(FIND("COMMENT",BN13))))+4096*(OR(ISNUMBER(FIND("QTY",BN13)),ISNUMBER(FIND("QUANTITY",BN13))))+8192*(AND(OR(ISNUMBER(FIND("COMPLETE",BN13)),ISNUMBER(FIND("PCT",BN13)),ISNUMBER(FIND("PERCENT",BN13))),NOT(ISNUMBER(FIND("ACTUAL",BN13))),LEN(BN13)&lt;=16))+32768*(OR(ISNUMBER(FIND("DESIC",BN13)),ISNUMBER(FIND("DESSIC",BN13)))))</f>
        <v/>
      </c>
      <c r="BO148">
        <f>IF(BO13="",0,2*(OR(ISNUMBER(FIND("WORKCENTER",BO13)),AND(LEFT(BO13,4)="LINE",NOT(ISNUMBER(FIND("STATUS",BO13))))))+4*(OR(ISNUMBER(FIND("WORKORDER",BO13)),AND(LEFT(BO13,2)="WO",OR(ISNUMBER(FIND("NUM",BO13)),RIGHT(BO13,2)="NO"))))+8*(LEFT(BO13,3)="SEQ")+16*(AND(LEFT(BO13,4)="ITEM",NOT(ISNUMBER(FIND("DESC",BO13)))))+32*(AND(ISNUMBER(FIND("DESC",BO13)),NOT(ISNUMBER(FIND("CAP",BO13)))))+64*(OR(RIGHT(BO13,5)="COUNT",RIGHT(BO13,2)="CT"))+128*(ISNUMBER(FIND("BULK",BO13)))+256*(ISNUMBER(FIND("SIZE",BO13)))+512*(LEFT(BO13,3)="CAP")+1024*(ISNUMBER(FIND("ALLERG",BO13)))+2048*(OR(ISNUMBER(FIND("REMARK",BO13)),ISNUMBER(FIND("COMMENT",BO13))))+4096*(OR(ISNUMBER(FIND("QTY",BO13)),ISNUMBER(FIND("QUANTITY",BO13))))+8192*(AND(OR(ISNUMBER(FIND("COMPLETE",BO13)),ISNUMBER(FIND("PCT",BO13)),ISNUMBER(FIND("PERCENT",BO13))),NOT(ISNUMBER(FIND("ACTUAL",BO13))),LEN(BO13)&lt;=16))+32768*(OR(ISNUMBER(FIND("DESIC",BO13)),ISNUMBER(FIND("DESSIC",BO13)))))</f>
        <v/>
      </c>
      <c r="BP148">
        <f>IF(BP13="",0,2*(OR(ISNUMBER(FIND("WORKCENTER",BP13)),AND(LEFT(BP13,4)="LINE",NOT(ISNUMBER(FIND("STATUS",BP13))))))+4*(OR(ISNUMBER(FIND("WORKORDER",BP13)),AND(LEFT(BP13,2)="WO",OR(ISNUMBER(FIND("NUM",BP13)),RIGHT(BP13,2)="NO"))))+8*(LEFT(BP13,3)="SEQ")+16*(AND(LEFT(BP13,4)="ITEM",NOT(ISNUMBER(FIND("DESC",BP13)))))+32*(AND(ISNUMBER(FIND("DESC",BP13)),NOT(ISNUMBER(FIND("CAP",BP13)))))+64*(OR(RIGHT(BP13,5)="COUNT",RIGHT(BP13,2)="CT"))+128*(ISNUMBER(FIND("BULK",BP13)))+256*(ISNUMBER(FIND("SIZE",BP13)))+512*(LEFT(BP13,3)="CAP")+1024*(ISNUMBER(FIND("ALLERG",BP13)))+2048*(OR(ISNUMBER(FIND("REMARK",BP13)),ISNUMBER(FIND("COMMENT",BP13))))+4096*(OR(ISNUMBER(FIND("QTY",BP13)),ISNUMBER(FIND("QUANTITY",BP13))))+8192*(AND(OR(ISNUMBER(FIND("COMPLETE",BP13)),ISNUMBER(FIND("PCT",BP13)),ISNUMBER(FIND("PERCENT",BP13))),NOT(ISNUMBER(FIND("ACTUAL",BP13))),LEN(BP13)&lt;=16))+32768*(OR(ISNUMBER(FIND("DESIC",BP13)),ISNUMBER(FIND("DESSIC",BP13)))))</f>
        <v/>
      </c>
      <c r="BQ148">
        <f>IF(BQ13="",0,2*(OR(ISNUMBER(FIND("WORKCENTER",BQ13)),AND(LEFT(BQ13,4)="LINE",NOT(ISNUMBER(FIND("STATUS",BQ13))))))+4*(OR(ISNUMBER(FIND("WORKORDER",BQ13)),AND(LEFT(BQ13,2)="WO",OR(ISNUMBER(FIND("NUM",BQ13)),RIGHT(BQ13,2)="NO"))))+8*(LEFT(BQ13,3)="SEQ")+16*(AND(LEFT(BQ13,4)="ITEM",NOT(ISNUMBER(FIND("DESC",BQ13)))))+32*(AND(ISNUMBER(FIND("DESC",BQ13)),NOT(ISNUMBER(FIND("CAP",BQ13)))))+64*(OR(RIGHT(BQ13,5)="COUNT",RIGHT(BQ13,2)="CT"))+128*(ISNUMBER(FIND("BULK",BQ13)))+256*(ISNUMBER(FIND("SIZE",BQ13)))+512*(LEFT(BQ13,3)="CAP")+1024*(ISNUMBER(FIND("ALLERG",BQ13)))+2048*(OR(ISNUMBER(FIND("REMARK",BQ13)),ISNUMBER(FIND("COMMENT",BQ13))))+4096*(OR(ISNUMBER(FIND("QTY",BQ13)),ISNUMBER(FIND("QUANTITY",BQ13))))+8192*(AND(OR(ISNUMBER(FIND("COMPLETE",BQ13)),ISNUMBER(FIND("PCT",BQ13)),ISNUMBER(FIND("PERCENT",BQ13))),NOT(ISNUMBER(FIND("ACTUAL",BQ13))),LEN(BQ13)&lt;=16))+32768*(OR(ISNUMBER(FIND("DESIC",BQ13)),ISNUMBER(FIND("DESSIC",BQ13)))))</f>
        <v/>
      </c>
      <c r="BR148">
        <f>IF(BR13="",0,2*(OR(ISNUMBER(FIND("WORKCENTER",BR13)),AND(LEFT(BR13,4)="LINE",NOT(ISNUMBER(FIND("STATUS",BR13))))))+4*(OR(ISNUMBER(FIND("WORKORDER",BR13)),AND(LEFT(BR13,2)="WO",OR(ISNUMBER(FIND("NUM",BR13)),RIGHT(BR13,2)="NO"))))+8*(LEFT(BR13,3)="SEQ")+16*(AND(LEFT(BR13,4)="ITEM",NOT(ISNUMBER(FIND("DESC",BR13)))))+32*(AND(ISNUMBER(FIND("DESC",BR13)),NOT(ISNUMBER(FIND("CAP",BR13)))))+64*(OR(RIGHT(BR13,5)="COUNT",RIGHT(BR13,2)="CT"))+128*(ISNUMBER(FIND("BULK",BR13)))+256*(ISNUMBER(FIND("SIZE",BR13)))+512*(LEFT(BR13,3)="CAP")+1024*(ISNUMBER(FIND("ALLERG",BR13)))+2048*(OR(ISNUMBER(FIND("REMARK",BR13)),ISNUMBER(FIND("COMMENT",BR13))))+4096*(OR(ISNUMBER(FIND("QTY",BR13)),ISNUMBER(FIND("QUANTITY",BR13))))+8192*(AND(OR(ISNUMBER(FIND("COMPLETE",BR13)),ISNUMBER(FIND("PCT",BR13)),ISNUMBER(FIND("PERCENT",BR13))),NOT(ISNUMBER(FIND("ACTUAL",BR13))),LEN(BR13)&lt;=16))+32768*(OR(ISNUMBER(FIND("DESIC",BR13)),ISNUMBER(FIND("DESSIC",BR13)))))</f>
        <v/>
      </c>
      <c r="BS148">
        <f>IF(BS13="",0,2*(OR(ISNUMBER(FIND("WORKCENTER",BS13)),AND(LEFT(BS13,4)="LINE",NOT(ISNUMBER(FIND("STATUS",BS13))))))+4*(OR(ISNUMBER(FIND("WORKORDER",BS13)),AND(LEFT(BS13,2)="WO",OR(ISNUMBER(FIND("NUM",BS13)),RIGHT(BS13,2)="NO"))))+8*(LEFT(BS13,3)="SEQ")+16*(AND(LEFT(BS13,4)="ITEM",NOT(ISNUMBER(FIND("DESC",BS13)))))+32*(AND(ISNUMBER(FIND("DESC",BS13)),NOT(ISNUMBER(FIND("CAP",BS13)))))+64*(OR(RIGHT(BS13,5)="COUNT",RIGHT(BS13,2)="CT"))+128*(ISNUMBER(FIND("BULK",BS13)))+256*(ISNUMBER(FIND("SIZE",BS13)))+512*(LEFT(BS13,3)="CAP")+1024*(ISNUMBER(FIND("ALLERG",BS13)))+2048*(OR(ISNUMBER(FIND("REMARK",BS13)),ISNUMBER(FIND("COMMENT",BS13))))+4096*(OR(ISNUMBER(FIND("QTY",BS13)),ISNUMBER(FIND("QUANTITY",BS13))))+8192*(AND(OR(ISNUMBER(FIND("COMPLETE",BS13)),ISNUMBER(FIND("PCT",BS13)),ISNUMBER(FIND("PERCENT",BS13))),NOT(ISNUMBER(FIND("ACTUAL",BS13))),LEN(BS13)&lt;=16))+32768*(OR(ISNUMBER(FIND("DESIC",BS13)),ISNUMBER(FIND("DESSIC",BS13)))))</f>
        <v/>
      </c>
      <c r="BT148">
        <f>IF(BT13="",0,2*(OR(ISNUMBER(FIND("WORKCENTER",BT13)),AND(LEFT(BT13,4)="LINE",NOT(ISNUMBER(FIND("STATUS",BT13))))))+4*(OR(ISNUMBER(FIND("WORKORDER",BT13)),AND(LEFT(BT13,2)="WO",OR(ISNUMBER(FIND("NUM",BT13)),RIGHT(BT13,2)="NO"))))+8*(LEFT(BT13,3)="SEQ")+16*(AND(LEFT(BT13,4)="ITEM",NOT(ISNUMBER(FIND("DESC",BT13)))))+32*(AND(ISNUMBER(FIND("DESC",BT13)),NOT(ISNUMBER(FIND("CAP",BT13)))))+64*(OR(RIGHT(BT13,5)="COUNT",RIGHT(BT13,2)="CT"))+128*(ISNUMBER(FIND("BULK",BT13)))+256*(ISNUMBER(FIND("SIZE",BT13)))+512*(LEFT(BT13,3)="CAP")+1024*(ISNUMBER(FIND("ALLERG",BT13)))+2048*(OR(ISNUMBER(FIND("REMARK",BT13)),ISNUMBER(FIND("COMMENT",BT13))))+4096*(OR(ISNUMBER(FIND("QTY",BT13)),ISNUMBER(FIND("QUANTITY",BT13))))+8192*(AND(OR(ISNUMBER(FIND("COMPLETE",BT13)),ISNUMBER(FIND("PCT",BT13)),ISNUMBER(FIND("PERCENT",BT13))),NOT(ISNUMBER(FIND("ACTUAL",BT13))),LEN(BT13)&lt;=16))+32768*(OR(ISNUMBER(FIND("DESIC",BT13)),ISNUMBER(FIND("DESSIC",BT13)))))</f>
        <v/>
      </c>
      <c r="BU148">
        <f>IF(BU13="",0,2*(OR(ISNUMBER(FIND("WORKCENTER",BU13)),AND(LEFT(BU13,4)="LINE",NOT(ISNUMBER(FIND("STATUS",BU13))))))+4*(OR(ISNUMBER(FIND("WORKORDER",BU13)),AND(LEFT(BU13,2)="WO",OR(ISNUMBER(FIND("NUM",BU13)),RIGHT(BU13,2)="NO"))))+8*(LEFT(BU13,3)="SEQ")+16*(AND(LEFT(BU13,4)="ITEM",NOT(ISNUMBER(FIND("DESC",BU13)))))+32*(AND(ISNUMBER(FIND("DESC",BU13)),NOT(ISNUMBER(FIND("CAP",BU13)))))+64*(OR(RIGHT(BU13,5)="COUNT",RIGHT(BU13,2)="CT"))+128*(ISNUMBER(FIND("BULK",BU13)))+256*(ISNUMBER(FIND("SIZE",BU13)))+512*(LEFT(BU13,3)="CAP")+1024*(ISNUMBER(FIND("ALLERG",BU13)))+2048*(OR(ISNUMBER(FIND("REMARK",BU13)),ISNUMBER(FIND("COMMENT",BU13))))+4096*(OR(ISNUMBER(FIND("QTY",BU13)),ISNUMBER(FIND("QUANTITY",BU13))))+8192*(AND(OR(ISNUMBER(FIND("COMPLETE",BU13)),ISNUMBER(FIND("PCT",BU13)),ISNUMBER(FIND("PERCENT",BU13))),NOT(ISNUMBER(FIND("ACTUAL",BU13))),LEN(BU13)&lt;=16))+32768*(OR(ISNUMBER(FIND("DESIC",BU13)),ISNUMBER(FIND("DESSIC",BU13)))))</f>
        <v/>
      </c>
      <c r="BV148">
        <f>IF(BV13="",0,2*(OR(ISNUMBER(FIND("WORKCENTER",BV13)),AND(LEFT(BV13,4)="LINE",NOT(ISNUMBER(FIND("STATUS",BV13))))))+4*(OR(ISNUMBER(FIND("WORKORDER",BV13)),AND(LEFT(BV13,2)="WO",OR(ISNUMBER(FIND("NUM",BV13)),RIGHT(BV13,2)="NO"))))+8*(LEFT(BV13,3)="SEQ")+16*(AND(LEFT(BV13,4)="ITEM",NOT(ISNUMBER(FIND("DESC",BV13)))))+32*(AND(ISNUMBER(FIND("DESC",BV13)),NOT(ISNUMBER(FIND("CAP",BV13)))))+64*(OR(RIGHT(BV13,5)="COUNT",RIGHT(BV13,2)="CT"))+128*(ISNUMBER(FIND("BULK",BV13)))+256*(ISNUMBER(FIND("SIZE",BV13)))+512*(LEFT(BV13,3)="CAP")+1024*(ISNUMBER(FIND("ALLERG",BV13)))+2048*(OR(ISNUMBER(FIND("REMARK",BV13)),ISNUMBER(FIND("COMMENT",BV13))))+4096*(OR(ISNUMBER(FIND("QTY",BV13)),ISNUMBER(FIND("QUANTITY",BV13))))+8192*(AND(OR(ISNUMBER(FIND("COMPLETE",BV13)),ISNUMBER(FIND("PCT",BV13)),ISNUMBER(FIND("PERCENT",BV13))),NOT(ISNUMBER(FIND("ACTUAL",BV13))),LEN(BV13)&lt;=16))+32768*(OR(ISNUMBER(FIND("DESIC",BV13)),ISNUMBER(FIND("DESSIC",BV13)))))</f>
        <v/>
      </c>
      <c r="BW148">
        <f>IF(BW13="",0,2*(OR(ISNUMBER(FIND("WORKCENTER",BW13)),AND(LEFT(BW13,4)="LINE",NOT(ISNUMBER(FIND("STATUS",BW13))))))+4*(OR(ISNUMBER(FIND("WORKORDER",BW13)),AND(LEFT(BW13,2)="WO",OR(ISNUMBER(FIND("NUM",BW13)),RIGHT(BW13,2)="NO"))))+8*(LEFT(BW13,3)="SEQ")+16*(AND(LEFT(BW13,4)="ITEM",NOT(ISNUMBER(FIND("DESC",BW13)))))+32*(AND(ISNUMBER(FIND("DESC",BW13)),NOT(ISNUMBER(FIND("CAP",BW13)))))+64*(OR(RIGHT(BW13,5)="COUNT",RIGHT(BW13,2)="CT"))+128*(ISNUMBER(FIND("BULK",BW13)))+256*(ISNUMBER(FIND("SIZE",BW13)))+512*(LEFT(BW13,3)="CAP")+1024*(ISNUMBER(FIND("ALLERG",BW13)))+2048*(OR(ISNUMBER(FIND("REMARK",BW13)),ISNUMBER(FIND("COMMENT",BW13))))+4096*(OR(ISNUMBER(FIND("QTY",BW13)),ISNUMBER(FIND("QUANTITY",BW13))))+8192*(AND(OR(ISNUMBER(FIND("COMPLETE",BW13)),ISNUMBER(FIND("PCT",BW13)),ISNUMBER(FIND("PERCENT",BW13))),NOT(ISNUMBER(FIND("ACTUAL",BW13))),LEN(BW13)&lt;=16))+32768*(OR(ISNUMBER(FIND("DESIC",BW13)),ISNUMBER(FIND("DESSIC",BW13)))))</f>
        <v/>
      </c>
      <c r="BX148">
        <f>IF(BX13="",0,2*(OR(ISNUMBER(FIND("WORKCENTER",BX13)),AND(LEFT(BX13,4)="LINE",NOT(ISNUMBER(FIND("STATUS",BX13))))))+4*(OR(ISNUMBER(FIND("WORKORDER",BX13)),AND(LEFT(BX13,2)="WO",OR(ISNUMBER(FIND("NUM",BX13)),RIGHT(BX13,2)="NO"))))+8*(LEFT(BX13,3)="SEQ")+16*(AND(LEFT(BX13,4)="ITEM",NOT(ISNUMBER(FIND("DESC",BX13)))))+32*(AND(ISNUMBER(FIND("DESC",BX13)),NOT(ISNUMBER(FIND("CAP",BX13)))))+64*(OR(RIGHT(BX13,5)="COUNT",RIGHT(BX13,2)="CT"))+128*(ISNUMBER(FIND("BULK",BX13)))+256*(ISNUMBER(FIND("SIZE",BX13)))+512*(LEFT(BX13,3)="CAP")+1024*(ISNUMBER(FIND("ALLERG",BX13)))+2048*(OR(ISNUMBER(FIND("REMARK",BX13)),ISNUMBER(FIND("COMMENT",BX13))))+4096*(OR(ISNUMBER(FIND("QTY",BX13)),ISNUMBER(FIND("QUANTITY",BX13))))+8192*(AND(OR(ISNUMBER(FIND("COMPLETE",BX13)),ISNUMBER(FIND("PCT",BX13)),ISNUMBER(FIND("PERCENT",BX13))),NOT(ISNUMBER(FIND("ACTUAL",BX13))),LEN(BX13)&lt;=16))+32768*(OR(ISNUMBER(FIND("DESIC",BX13)),ISNUMBER(FIND("DESSIC",BX13)))))</f>
        <v/>
      </c>
      <c r="BY148">
        <f>IF(BY13="",0,2*(OR(ISNUMBER(FIND("WORKCENTER",BY13)),AND(LEFT(BY13,4)="LINE",NOT(ISNUMBER(FIND("STATUS",BY13))))))+4*(OR(ISNUMBER(FIND("WORKORDER",BY13)),AND(LEFT(BY13,2)="WO",OR(ISNUMBER(FIND("NUM",BY13)),RIGHT(BY13,2)="NO"))))+8*(LEFT(BY13,3)="SEQ")+16*(AND(LEFT(BY13,4)="ITEM",NOT(ISNUMBER(FIND("DESC",BY13)))))+32*(AND(ISNUMBER(FIND("DESC",BY13)),NOT(ISNUMBER(FIND("CAP",BY13)))))+64*(OR(RIGHT(BY13,5)="COUNT",RIGHT(BY13,2)="CT"))+128*(ISNUMBER(FIND("BULK",BY13)))+256*(ISNUMBER(FIND("SIZE",BY13)))+512*(LEFT(BY13,3)="CAP")+1024*(ISNUMBER(FIND("ALLERG",BY13)))+2048*(OR(ISNUMBER(FIND("REMARK",BY13)),ISNUMBER(FIND("COMMENT",BY13))))+4096*(OR(ISNUMBER(FIND("QTY",BY13)),ISNUMBER(FIND("QUANTITY",BY13))))+8192*(AND(OR(ISNUMBER(FIND("COMPLETE",BY13)),ISNUMBER(FIND("PCT",BY13)),ISNUMBER(FIND("PERCENT",BY13))),NOT(ISNUMBER(FIND("ACTUAL",BY13))),LEN(BY13)&lt;=16))+32768*(OR(ISNUMBER(FIND("DESIC",BY13)),ISNUMBER(FIND("DESSIC",BY13)))))</f>
        <v/>
      </c>
      <c r="BZ148">
        <f>IF(BZ13="",0,2*(OR(ISNUMBER(FIND("WORKCENTER",BZ13)),AND(LEFT(BZ13,4)="LINE",NOT(ISNUMBER(FIND("STATUS",BZ13))))))+4*(OR(ISNUMBER(FIND("WORKORDER",BZ13)),AND(LEFT(BZ13,2)="WO",OR(ISNUMBER(FIND("NUM",BZ13)),RIGHT(BZ13,2)="NO"))))+8*(LEFT(BZ13,3)="SEQ")+16*(AND(LEFT(BZ13,4)="ITEM",NOT(ISNUMBER(FIND("DESC",BZ13)))))+32*(AND(ISNUMBER(FIND("DESC",BZ13)),NOT(ISNUMBER(FIND("CAP",BZ13)))))+64*(OR(RIGHT(BZ13,5)="COUNT",RIGHT(BZ13,2)="CT"))+128*(ISNUMBER(FIND("BULK",BZ13)))+256*(ISNUMBER(FIND("SIZE",BZ13)))+512*(LEFT(BZ13,3)="CAP")+1024*(ISNUMBER(FIND("ALLERG",BZ13)))+2048*(OR(ISNUMBER(FIND("REMARK",BZ13)),ISNUMBER(FIND("COMMENT",BZ13))))+4096*(OR(ISNUMBER(FIND("QTY",BZ13)),ISNUMBER(FIND("QUANTITY",BZ13))))+8192*(AND(OR(ISNUMBER(FIND("COMPLETE",BZ13)),ISNUMBER(FIND("PCT",BZ13)),ISNUMBER(FIND("PERCENT",BZ13))),NOT(ISNUMBER(FIND("ACTUAL",BZ13))),LEN(BZ13)&lt;=16))+32768*(OR(ISNUMBER(FIND("DESIC",BZ13)),ISNUMBER(FIND("DESSIC",BZ13)))))</f>
        <v/>
      </c>
      <c r="CA148">
        <f>IF(CA13="",0,2*(OR(ISNUMBER(FIND("WORKCENTER",CA13)),AND(LEFT(CA13,4)="LINE",NOT(ISNUMBER(FIND("STATUS",CA13))))))+4*(OR(ISNUMBER(FIND("WORKORDER",CA13)),AND(LEFT(CA13,2)="WO",OR(ISNUMBER(FIND("NUM",CA13)),RIGHT(CA13,2)="NO"))))+8*(LEFT(CA13,3)="SEQ")+16*(AND(LEFT(CA13,4)="ITEM",NOT(ISNUMBER(FIND("DESC",CA13)))))+32*(AND(ISNUMBER(FIND("DESC",CA13)),NOT(ISNUMBER(FIND("CAP",CA13)))))+64*(OR(RIGHT(CA13,5)="COUNT",RIGHT(CA13,2)="CT"))+128*(ISNUMBER(FIND("BULK",CA13)))+256*(ISNUMBER(FIND("SIZE",CA13)))+512*(LEFT(CA13,3)="CAP")+1024*(ISNUMBER(FIND("ALLERG",CA13)))+2048*(OR(ISNUMBER(FIND("REMARK",CA13)),ISNUMBER(FIND("COMMENT",CA13))))+4096*(OR(ISNUMBER(FIND("QTY",CA13)),ISNUMBER(FIND("QUANTITY",CA13))))+8192*(AND(OR(ISNUMBER(FIND("COMPLETE",CA13)),ISNUMBER(FIND("PCT",CA13)),ISNUMBER(FIND("PERCENT",CA13))),NOT(ISNUMBER(FIND("ACTUAL",CA13))),LEN(CA13)&lt;=16))+32768*(OR(ISNUMBER(FIND("DESIC",CA13)),ISNUMBER(FIND("DESSIC",CA13)))))</f>
        <v/>
      </c>
      <c r="CB148">
        <f>IF(CB13="",0,2*(OR(ISNUMBER(FIND("WORKCENTER",CB13)),AND(LEFT(CB13,4)="LINE",NOT(ISNUMBER(FIND("STATUS",CB13))))))+4*(OR(ISNUMBER(FIND("WORKORDER",CB13)),AND(LEFT(CB13,2)="WO",OR(ISNUMBER(FIND("NUM",CB13)),RIGHT(CB13,2)="NO"))))+8*(LEFT(CB13,3)="SEQ")+16*(AND(LEFT(CB13,4)="ITEM",NOT(ISNUMBER(FIND("DESC",CB13)))))+32*(AND(ISNUMBER(FIND("DESC",CB13)),NOT(ISNUMBER(FIND("CAP",CB13)))))+64*(OR(RIGHT(CB13,5)="COUNT",RIGHT(CB13,2)="CT"))+128*(ISNUMBER(FIND("BULK",CB13)))+256*(ISNUMBER(FIND("SIZE",CB13)))+512*(LEFT(CB13,3)="CAP")+1024*(ISNUMBER(FIND("ALLERG",CB13)))+2048*(OR(ISNUMBER(FIND("REMARK",CB13)),ISNUMBER(FIND("COMMENT",CB13))))+4096*(OR(ISNUMBER(FIND("QTY",CB13)),ISNUMBER(FIND("QUANTITY",CB13))))+8192*(AND(OR(ISNUMBER(FIND("COMPLETE",CB13)),ISNUMBER(FIND("PCT",CB13)),ISNUMBER(FIND("PERCENT",CB13))),NOT(ISNUMBER(FIND("ACTUAL",CB13))),LEN(CB13)&lt;=16))+32768*(OR(ISNUMBER(FIND("DESIC",CB13)),ISNUMBER(FIND("DESSIC",CB13)))))</f>
        <v/>
      </c>
      <c r="CC148">
        <f>IF(CC13="",0,2*(OR(ISNUMBER(FIND("WORKCENTER",CC13)),AND(LEFT(CC13,4)="LINE",NOT(ISNUMBER(FIND("STATUS",CC13))))))+4*(OR(ISNUMBER(FIND("WORKORDER",CC13)),AND(LEFT(CC13,2)="WO",OR(ISNUMBER(FIND("NUM",CC13)),RIGHT(CC13,2)="NO"))))+8*(LEFT(CC13,3)="SEQ")+16*(AND(LEFT(CC13,4)="ITEM",NOT(ISNUMBER(FIND("DESC",CC13)))))+32*(AND(ISNUMBER(FIND("DESC",CC13)),NOT(ISNUMBER(FIND("CAP",CC13)))))+64*(OR(RIGHT(CC13,5)="COUNT",RIGHT(CC13,2)="CT"))+128*(ISNUMBER(FIND("BULK",CC13)))+256*(ISNUMBER(FIND("SIZE",CC13)))+512*(LEFT(CC13,3)="CAP")+1024*(ISNUMBER(FIND("ALLERG",CC13)))+2048*(OR(ISNUMBER(FIND("REMARK",CC13)),ISNUMBER(FIND("COMMENT",CC13))))+4096*(OR(ISNUMBER(FIND("QTY",CC13)),ISNUMBER(FIND("QUANTITY",CC13))))+8192*(AND(OR(ISNUMBER(FIND("COMPLETE",CC13)),ISNUMBER(FIND("PCT",CC13)),ISNUMBER(FIND("PERCENT",CC13))),NOT(ISNUMBER(FIND("ACTUAL",CC13))),LEN(CC13)&lt;=16))+32768*(OR(ISNUMBER(FIND("DESIC",CC13)),ISNUMBER(FIND("DESSIC",CC13)))))</f>
        <v/>
      </c>
      <c r="CD148">
        <f>IF(CD13="",0,2*(OR(ISNUMBER(FIND("WORKCENTER",CD13)),AND(LEFT(CD13,4)="LINE",NOT(ISNUMBER(FIND("STATUS",CD13))))))+4*(OR(ISNUMBER(FIND("WORKORDER",CD13)),AND(LEFT(CD13,2)="WO",OR(ISNUMBER(FIND("NUM",CD13)),RIGHT(CD13,2)="NO"))))+8*(LEFT(CD13,3)="SEQ")+16*(AND(LEFT(CD13,4)="ITEM",NOT(ISNUMBER(FIND("DESC",CD13)))))+32*(AND(ISNUMBER(FIND("DESC",CD13)),NOT(ISNUMBER(FIND("CAP",CD13)))))+64*(OR(RIGHT(CD13,5)="COUNT",RIGHT(CD13,2)="CT"))+128*(ISNUMBER(FIND("BULK",CD13)))+256*(ISNUMBER(FIND("SIZE",CD13)))+512*(LEFT(CD13,3)="CAP")+1024*(ISNUMBER(FIND("ALLERG",CD13)))+2048*(OR(ISNUMBER(FIND("REMARK",CD13)),ISNUMBER(FIND("COMMENT",CD13))))+4096*(OR(ISNUMBER(FIND("QTY",CD13)),ISNUMBER(FIND("QUANTITY",CD13))))+8192*(AND(OR(ISNUMBER(FIND("COMPLETE",CD13)),ISNUMBER(FIND("PCT",CD13)),ISNUMBER(FIND("PERCENT",CD13))),NOT(ISNUMBER(FIND("ACTUAL",CD13))),LEN(CD13)&lt;=16))+32768*(OR(ISNUMBER(FIND("DESIC",CD13)),ISNUMBER(FIND("DESSIC",CD13)))))</f>
        <v/>
      </c>
      <c r="CE148">
        <f>IF(CE13="",0,2*(OR(ISNUMBER(FIND("WORKCENTER",CE13)),AND(LEFT(CE13,4)="LINE",NOT(ISNUMBER(FIND("STATUS",CE13))))))+4*(OR(ISNUMBER(FIND("WORKORDER",CE13)),AND(LEFT(CE13,2)="WO",OR(ISNUMBER(FIND("NUM",CE13)),RIGHT(CE13,2)="NO"))))+8*(LEFT(CE13,3)="SEQ")+16*(AND(LEFT(CE13,4)="ITEM",NOT(ISNUMBER(FIND("DESC",CE13)))))+32*(AND(ISNUMBER(FIND("DESC",CE13)),NOT(ISNUMBER(FIND("CAP",CE13)))))+64*(OR(RIGHT(CE13,5)="COUNT",RIGHT(CE13,2)="CT"))+128*(ISNUMBER(FIND("BULK",CE13)))+256*(ISNUMBER(FIND("SIZE",CE13)))+512*(LEFT(CE13,3)="CAP")+1024*(ISNUMBER(FIND("ALLERG",CE13)))+2048*(OR(ISNUMBER(FIND("REMARK",CE13)),ISNUMBER(FIND("COMMENT",CE13))))+4096*(OR(ISNUMBER(FIND("QTY",CE13)),ISNUMBER(FIND("QUANTITY",CE13))))+8192*(AND(OR(ISNUMBER(FIND("COMPLETE",CE13)),ISNUMBER(FIND("PCT",CE13)),ISNUMBER(FIND("PERCENT",CE13))),NOT(ISNUMBER(FIND("ACTUAL",CE13))),LEN(CE13)&lt;=16))+32768*(OR(ISNUMBER(FIND("DESIC",CE13)),ISNUMBER(FIND("DESSIC",CE13)))))</f>
        <v/>
      </c>
      <c r="CF148">
        <f>IF(CF13="",0,2*(OR(ISNUMBER(FIND("WORKCENTER",CF13)),AND(LEFT(CF13,4)="LINE",NOT(ISNUMBER(FIND("STATUS",CF13))))))+4*(OR(ISNUMBER(FIND("WORKORDER",CF13)),AND(LEFT(CF13,2)="WO",OR(ISNUMBER(FIND("NUM",CF13)),RIGHT(CF13,2)="NO"))))+8*(LEFT(CF13,3)="SEQ")+16*(AND(LEFT(CF13,4)="ITEM",NOT(ISNUMBER(FIND("DESC",CF13)))))+32*(AND(ISNUMBER(FIND("DESC",CF13)),NOT(ISNUMBER(FIND("CAP",CF13)))))+64*(OR(RIGHT(CF13,5)="COUNT",RIGHT(CF13,2)="CT"))+128*(ISNUMBER(FIND("BULK",CF13)))+256*(ISNUMBER(FIND("SIZE",CF13)))+512*(LEFT(CF13,3)="CAP")+1024*(ISNUMBER(FIND("ALLERG",CF13)))+2048*(OR(ISNUMBER(FIND("REMARK",CF13)),ISNUMBER(FIND("COMMENT",CF13))))+4096*(OR(ISNUMBER(FIND("QTY",CF13)),ISNUMBER(FIND("QUANTITY",CF13))))+8192*(AND(OR(ISNUMBER(FIND("COMPLETE",CF13)),ISNUMBER(FIND("PCT",CF13)),ISNUMBER(FIND("PERCENT",CF13))),NOT(ISNUMBER(FIND("ACTUAL",CF13))),LEN(CF13)&lt;=16))+32768*(OR(ISNUMBER(FIND("DESIC",CF13)),ISNUMBER(FIND("DESSIC",CF13)))))</f>
        <v/>
      </c>
      <c r="DA148" t="n">
        <v>144</v>
      </c>
      <c r="DB148">
        <f>IF($B$37=0,"",IFERROR(TRIM(SUBSTITUTE(SUBSTITUTE(SUBSTITUTE(SUBSTITUTE(INDEX(PASTE_ALL,144,$B$37)," "," "),CHAR(9)," "),CHAR(10)," "),CHAR(13)," ")),""))</f>
        <v/>
      </c>
      <c r="DC148">
        <f>IF(AND(144&gt;HEADER_ROW,UPPER(DB148)="LEGEND"),1,0)</f>
        <v/>
      </c>
      <c r="DE148" t="n">
        <v>144</v>
      </c>
      <c r="DF148">
        <f>HEADER_ROW+$DE148</f>
        <v/>
      </c>
      <c r="DG148">
        <f>IF(AND($DF148&lt;=1000,$DF148&lt;$B$8),1,0)</f>
        <v/>
      </c>
      <c r="DH148">
        <f>IF($DG148=1,IFERROR(INDEX($DB$5:$DB$1004,$DF148),""),"")</f>
        <v/>
      </c>
      <c r="DI148">
        <f>IF(AND($DG148=1,$DH148&lt;&gt;""),IFERROR(SUBSTITUTE(SUBSTITUTE(TRIM(SUBSTITUTE(SUBSTITUTE(SUBSTITUTE(SUBSTITUTE(IFERROR(INDEX(PASTE_ALL,$DF148,1)&amp;"","")&amp;"␟"&amp;IFERROR(INDEX(PASTE_ALL,$DF148,2)&amp;"","")&amp;"␟"&amp;IFERROR(INDEX(PASTE_ALL,$DF148,3)&amp;"","")&amp;"␟"&amp;IFERROR(INDEX(PASTE_ALL,$DF148,4)&amp;"","")&amp;"␟"&amp;IFERROR(INDEX(PASTE_ALL,$DF148,5)&amp;"","")&amp;"␟"&amp;IFERROR(INDEX(PASTE_ALL,$DF148,6)&amp;"","")&amp;"␟"&amp;IFERROR(INDEX(PASTE_ALL,$DF148,7)&amp;"","")&amp;"␟"&amp;IFERROR(INDEX(PASTE_ALL,$DF148,8)&amp;"","")&amp;"␟"&amp;IFERROR(INDEX(PASTE_ALL,$DF148,9)&amp;"","")&amp;"␟"&amp;IFERROR(INDEX(PASTE_ALL,$DF148,10)&amp;"","")&amp;"␟"&amp;IFERROR(INDEX(PASTE_ALL,$DF148,11)&amp;"","")&amp;"␟"&amp;IFERROR(INDEX(PASTE_ALL,$DF148,12)&amp;"","")&amp;"␟"&amp;IFERROR(INDEX(PASTE_ALL,$DF148,13)&amp;"","")&amp;"␟"&amp;IFERROR(INDEX(PASTE_ALL,$DF148,14)&amp;"","")&amp;"␟"&amp;IFERROR(INDEX(PASTE_ALL,$DF148,15)&amp;"","")&amp;"␟"&amp;IFERROR(INDEX(PASTE_ALL,$DF148,16)&amp;"","")&amp;"␟"&amp;IFERROR(INDEX(PASTE_ALL,$DF148,17)&amp;"","")&amp;"␟"&amp;IFERROR(INDEX(PASTE_ALL,$DF148,18)&amp;"","")&amp;"␟"&amp;IFERROR(INDEX(PASTE_ALL,$DF148,19)&amp;"","")&amp;"␟"&amp;IFERROR(INDEX(PASTE_ALL,$DF148,20)&amp;"","")&amp;"␟"&amp;IFERROR(INDEX(PASTE_ALL,$DF148,21)&amp;"","")&amp;"␟"&amp;IFERROR(INDEX(PASTE_ALL,$DF148,22)&amp;"","")&amp;"␟"&amp;IFERROR(INDEX(PASTE_ALL,$DF148,23)&amp;"","")&amp;"␟"&amp;IFERROR(INDEX(PASTE_ALL,$DF148,24)&amp;"","")&amp;"␟"&amp;IFERROR(INDEX(PASTE_ALL,$DF148,25)&amp;"","")&amp;"␟"&amp;IFERROR(INDEX(PASTE_ALL,$DF148,26)&amp;"","")&amp;"␟"&amp;IFERROR(INDEX(PASTE_ALL,$DF148,27)&amp;"","")&amp;"␟"&amp;IFERROR(INDEX(PASTE_ALL,$DF148,28)&amp;"","")&amp;"␟"&amp;IFERROR(INDEX(PASTE_ALL,$DF148,29)&amp;"","")&amp;"␟"&amp;IFERROR(INDEX(PASTE_ALL,$DF148,30)&amp;"","")&amp;"␟"&amp;IFERROR(INDEX(PASTE_ALL,$DF148,31)&amp;"","")&amp;"␟"&amp;IFERROR(INDEX(PASTE_ALL,$DF148,32)&amp;"","")&amp;"␟"&amp;IFERROR(INDEX(PASTE_ALL,$DF148,33)&amp;"","")&amp;"␟"&amp;IFERROR(INDEX(PASTE_ALL,$DF148,34)&amp;"","")&amp;"␟"&amp;IFERROR(INDEX(PASTE_ALL,$DF148,35)&amp;"","")&amp;"␟"&amp;IFERROR(INDEX(PASTE_ALL,$DF148,36)&amp;"","")&amp;"␟"&amp;IFERROR(INDEX(PASTE_ALL,$DF148,37)&amp;"","")&amp;"␟"&amp;IFERROR(INDEX(PASTE_ALL,$DF148,38)&amp;"","")&amp;"␟"&amp;IFERROR(INDEX(PASTE_ALL,$DF148,39)&amp;"","")&amp;"␟"&amp;IFERROR(INDEX(PASTE_ALL,$DF148,40)&amp;"","")&amp;"␟"&amp;IFERROR(INDEX(PASTE_ALL,$DF148,41)&amp;"","")&amp;"␟"&amp;IFERROR(INDEX(PASTE_ALL,$DF148,42)&amp;"","")&amp;"␟"&amp;IFERROR(INDEX(PASTE_ALL,$DF148,43)&amp;"","")&amp;"␟"&amp;IFERROR(INDEX(PASTE_ALL,$DF148,44)&amp;"","")&amp;"␟"&amp;IFERROR(INDEX(PASTE_ALL,$DF148,45)&amp;"","")&amp;"␟"&amp;IFERROR(INDEX(PASTE_ALL,$DF148,46)&amp;"","")&amp;"␟"&amp;IFERROR(INDEX(PASTE_ALL,$DF148,47)&amp;"","")&amp;"␟"&amp;IFERROR(INDEX(PASTE_ALL,$DF148,48)&amp;"","")&amp;"␟"&amp;IFERROR(INDEX(PASTE_ALL,$DF148,49)&amp;"","")&amp;"␟"&amp;IFERROR(INDEX(PASTE_ALL,$DF148,50)&amp;"","")&amp;"␟"&amp;IFERROR(INDEX(PASTE_ALL,$DF148,51)&amp;"","")&amp;"␟"&amp;IFERROR(INDEX(PASTE_ALL,$DF148,52)&amp;"","")&amp;"␟"&amp;IFERROR(INDEX(PASTE_ALL,$DF148,53)&amp;"","")&amp;"␟"&amp;IFERROR(INDEX(PASTE_ALL,$DF148,54)&amp;"","")&amp;"␟"&amp;IFERROR(INDEX(PASTE_ALL,$DF148,55)&amp;"","")&amp;"␟"&amp;IFERROR(INDEX(PASTE_ALL,$DF148,56)&amp;"","")&amp;"␟"&amp;IFERROR(INDEX(PASTE_ALL,$DF148,57)&amp;"","")&amp;"␟"&amp;IFERROR(INDEX(PASTE_ALL,$DF148,58)&amp;"","")&amp;"␟"&amp;IFERROR(INDEX(PASTE_ALL,$DF148,59)&amp;"","")&amp;"␟"&amp;IFERROR(INDEX(PASTE_ALL,$DF148,60)&amp;"","")," "," "),CHAR(9)," "),CHAR(10)," "),CHAR(13)," "))," ␟","␟"),"␟ ","␟"),"#"&amp;$DE148),"")</f>
        <v/>
      </c>
      <c r="DJ148">
        <f>IF($DI148="",0,IF(SUMPRODUCT(--EXACT($DI$4:DI147,$DI148))&gt;0,1,0))</f>
        <v/>
      </c>
      <c r="DK148">
        <f>IF(AND($DI148&lt;&gt;"",$DJ148=0),1,0)</f>
        <v/>
      </c>
      <c r="DL148">
        <f>DL147+$DK148</f>
        <v/>
      </c>
      <c r="DM148">
        <f>IF(AND($DK148=1,$DL148&lt;=600),1,0)</f>
        <v/>
      </c>
      <c r="DN148">
        <f>IF($DM148=0,"",IF($L$6=0,"",IFERROR(IF(ISNUMBER(INDEX(PASTE_ALL,$DF148,$L$6)),INDEX(PASTE_ALL,$DF148,$L$6),TRIM(SUBSTITUTE(SUBSTITUTE(SUBSTITUTE(SUBSTITUTE(INDEX(PASTE_ALL,$DF148,$L$6)," "," "),CHAR(9)," "),CHAR(10)," "),CHAR(13)," "))),"")))</f>
        <v/>
      </c>
      <c r="DO148">
        <f>IF($DM148=0,"",IF($L$7=0,"",IFERROR(IF(ISNUMBER(INDEX(PASTE_ALL,$DF148,$L$7)),INDEX(PASTE_ALL,$DF148,$L$7),TRIM(SUBSTITUTE(SUBSTITUTE(SUBSTITUTE(SUBSTITUTE(INDEX(PASTE_ALL,$DF148,$L$7)," "," "),CHAR(9)," "),CHAR(10)," "),CHAR(13)," "))),"")))</f>
        <v/>
      </c>
      <c r="DP148">
        <f>IF($DM148=0,"",IF($L$8=0,"",IFERROR(IF(ISNUMBER(INDEX(PASTE_ALL,$DF148,$L$8)),INDEX(PASTE_ALL,$DF148,$L$8),TRIM(SUBSTITUTE(SUBSTITUTE(SUBSTITUTE(SUBSTITUTE(INDEX(PASTE_ALL,$DF148,$L$8)," "," "),CHAR(9)," "),CHAR(10)," "),CHAR(13)," "))),"")))</f>
        <v/>
      </c>
      <c r="DQ148">
        <f>IF($DM148=0,"",IF($L$9=0,"",IFERROR(IF(ISNUMBER(INDEX(PASTE_ALL,$DF148,$L$9)),INDEX(PASTE_ALL,$DF148,$L$9),TRIM(SUBSTITUTE(SUBSTITUTE(SUBSTITUTE(SUBSTITUTE(INDEX(PASTE_ALL,$DF148,$L$9)," "," "),CHAR(9)," "),CHAR(10)," "),CHAR(13)," "))),"")))</f>
        <v/>
      </c>
      <c r="DR148">
        <f>IF($DM148=0,"",IF($L$10=0,"",IFERROR(IF(ISNUMBER(INDEX(PASTE_ALL,$DF148,$L$10)),INDEX(PASTE_ALL,$DF148,$L$10),TRIM(SUBSTITUTE(SUBSTITUTE(SUBSTITUTE(SUBSTITUTE(INDEX(PASTE_ALL,$DF148,$L$10)," "," "),CHAR(9)," "),CHAR(10)," "),CHAR(13)," "))),"")))</f>
        <v/>
      </c>
      <c r="DS148">
        <f>IF($DM148=0,"",IF($L$11=0,"",IFERROR(IF(ISNUMBER(INDEX(PASTE_ALL,$DF148,$L$11)),INDEX(PASTE_ALL,$DF148,$L$11),TRIM(SUBSTITUTE(SUBSTITUTE(SUBSTITUTE(SUBSTITUTE(INDEX(PASTE_ALL,$DF148,$L$11)," "," "),CHAR(9)," "),CHAR(10)," "),CHAR(13)," "))),"")))</f>
        <v/>
      </c>
      <c r="DT148">
        <f>IF($DM148=0,"",IF($L$12=0,"",IFERROR(IF(ISNUMBER(INDEX(PASTE_ALL,$DF148,$L$12)),INDEX(PASTE_ALL,$DF148,$L$12),TRIM(SUBSTITUTE(SUBSTITUTE(SUBSTITUTE(SUBSTITUTE(INDEX(PASTE_ALL,$DF148,$L$12)," "," "),CHAR(9)," "),CHAR(10)," "),CHAR(13)," "))),"")))</f>
        <v/>
      </c>
      <c r="DU148">
        <f>IF($DM148=0,"",IF($L$13=0,"",IFERROR(IF(ISNUMBER(INDEX(PASTE_ALL,$DF148,$L$13)),INDEX(PASTE_ALL,$DF148,$L$13),TRIM(SUBSTITUTE(SUBSTITUTE(SUBSTITUTE(SUBSTITUTE(INDEX(PASTE_ALL,$DF148,$L$13)," "," "),CHAR(9)," "),CHAR(10)," "),CHAR(13)," "))),"")))</f>
        <v/>
      </c>
      <c r="DV148">
        <f>IF($DM148=0,"",IF($L$14=0,"",IFERROR(IF(ISNUMBER(INDEX(PASTE_ALL,$DF148,$L$14)),INDEX(PASTE_ALL,$DF148,$L$14),TRIM(SUBSTITUTE(SUBSTITUTE(SUBSTITUTE(SUBSTITUTE(INDEX(PASTE_ALL,$DF148,$L$14)," "," "),CHAR(9)," "),CHAR(10)," "),CHAR(13)," "))),"")))</f>
        <v/>
      </c>
      <c r="DW148">
        <f>IF($DM148=0,"",IF($L$15=0,"",IFERROR(IF(ISNUMBER(INDEX(PASTE_ALL,$DF148,$L$15)),INDEX(PASTE_ALL,$DF148,$L$15),IF(SUMPRODUCT(--ISNUMBER(FIND({"A","B","C","D","E","F","G","H","I","J","K","L","M","N","O","P","Q","R","S","T","U","V","W","X","Y","Z","0","1","2","3","4","5","6","7","8","9"},UPPER(TRIM(SUBSTITUTE(SUBSTITUTE(SUBSTITUTE(SUBSTITUTE(INDEX(PASTE_ALL,$DF148,$L$15)," "," "),CHAR(9)," "),CHAR(10)," "),CHAR(13)," "))))))&gt;0,TRIM(SUBSTITUTE(SUBSTITUTE(SUBSTITUTE(SUBSTITUTE(INDEX(PASTE_ALL,$DF148,$L$15)," "," "),CHAR(9)," "),CHAR(10)," "),CHAR(13)," ")),"")),"")))</f>
        <v/>
      </c>
      <c r="DX148">
        <f>IF($DM148=0,"",IF($L$16=0,"",IFERROR(IF(ISNUMBER(INDEX(PASTE_ALL,$DF148,$L$16)),INDEX(PASTE_ALL,$DF148,$L$16),SUBSTITUTE(SUBSTITUTE(TRIM(SUBSTITUTE(SUBSTITUTE(SUBSTITUTE(SUBSTITUTE(INDEX(PASTE_ALL,$DF148,$L$16)," "," "),CHAR(9)," "),CHAR(10)," "),CHAR(13)," ")),",",""),"%","")),"")))</f>
        <v/>
      </c>
      <c r="DY148">
        <f>IF($DM148=0,"",IFERROR(IF(ISNUMBER($DX148),$DX148,IF($DX148="","",IF(TRIM($DX148)="",0,IF(AND(AND(SUBSTITUTE(SUBSTITUTE(SUBSTITUTE(SUBSTITUTE(SUBSTITUTE(SUBSTITUTE(SUBSTITUTE(SUBSTITUTE(SUBSTITUTE(SUBSTITUTE(SUBSTITUTE(SUBSTITUTE(SUBSTITUTE(SUBSTITUTE(UPPER(TRIM($DX148)),"0",""),"1",""),"2",""),"3",""),"4",""),"5",""),"6",""),"7",""),"8",""),"9",""),".",""),"+",""),"-",""),"E","")="",LEN(SUBSTITUTE(SUBSTITUTE(MID(UPPER(TRIM($DX148)),1+OR(LEFT(UPPER(TRIM($DX148)),1)="+",LEFT(UPPER(TRIM($DX148)),1)="-"),999),"E+","E"),"E-","E"))=LEN(SUBSTITUTE(SUBSTITUTE(SUBSTITUTE(SUBSTITUTE(MID(UPPER(TRIM($DX148)),1+OR(LEFT(UPPER(TRIM($DX148)),1)="+",LEFT(UPPER(TRIM($DX148)),1)="-"),999),"E+","E"),"E-","E"),"+",""),"-","")),LEN(UPPER(TRIM($DX148)))-LEN(SUBSTITUTE(UPPER(TRIM($DX148)),"E",""))&lt;2,LEN(UPPER(TRIM($DX148)))-LEN(SUBSTITUTE(UPPER(TRIM($DX148)),".",""))&lt;2,IFERROR(FIND(".",UPPER(TRIM($DX148))),0)&lt;IFERROR(FIND("E",UPPER(TRIM($DX148))),999)),ISNUMBER(VALUE(TRIM($DX148)))),VALUE(TRIM($DX148)),"")))),""))</f>
        <v/>
      </c>
      <c r="DZ148">
        <f>IF($DM148=0,"",IF($L$17=0,"",IFERROR(IF(ISNUMBER(INDEX(PASTE_ALL,$DF148,$L$17)),INDEX(PASTE_ALL,$DF148,$L$17),SUBSTITUTE(SUBSTITUTE(TRIM(SUBSTITUTE(SUBSTITUTE(SUBSTITUTE(SUBSTITUTE(INDEX(PASTE_ALL,$DF148,$L$17)," "," "),CHAR(9)," "),CHAR(10)," "),CHAR(13)," ")),",",""),"%","")),"")))</f>
        <v/>
      </c>
      <c r="EA148">
        <f>IF($DM148=0,"",IFERROR(IF(ISNUMBER($DZ148),$DZ148,IF($DZ148="","",IF(TRIM($DZ148)="",0,IF(AND(AND(SUBSTITUTE(SUBSTITUTE(SUBSTITUTE(SUBSTITUTE(SUBSTITUTE(SUBSTITUTE(SUBSTITUTE(SUBSTITUTE(SUBSTITUTE(SUBSTITUTE(SUBSTITUTE(SUBSTITUTE(SUBSTITUTE(SUBSTITUTE(UPPER(TRIM($DZ148)),"0",""),"1",""),"2",""),"3",""),"4",""),"5",""),"6",""),"7",""),"8",""),"9",""),".",""),"+",""),"-",""),"E","")="",LEN(SUBSTITUTE(SUBSTITUTE(MID(UPPER(TRIM($DZ148)),1+OR(LEFT(UPPER(TRIM($DZ148)),1)="+",LEFT(UPPER(TRIM($DZ148)),1)="-"),999),"E+","E"),"E-","E"))=LEN(SUBSTITUTE(SUBSTITUTE(SUBSTITUTE(SUBSTITUTE(MID(UPPER(TRIM($DZ148)),1+OR(LEFT(UPPER(TRIM($DZ148)),1)="+",LEFT(UPPER(TRIM($DZ148)),1)="-"),999),"E+","E"),"E-","E"),"+",""),"-","")),LEN(UPPER(TRIM($DZ148)))-LEN(SUBSTITUTE(UPPER(TRIM($DZ148)),"E",""))&lt;2,LEN(UPPER(TRIM($DZ148)))-LEN(SUBSTITUTE(UPPER(TRIM($DZ148)),".",""))&lt;2,IFERROR(FIND(".",UPPER(TRIM($DZ148))),0)&lt;IFERROR(FIND("E",UPPER(TRIM($DZ148))),999)),ISNUMBER(VALUE(TRIM($DZ148)))),VALUE(TRIM($DZ148)),"")))),""))</f>
        <v/>
      </c>
      <c r="EB148">
        <f>IF($DM148=0,"",IF($L$18=0,"",IFERROR(IF(UPPER(TRIM(SUBSTITUTE(SUBSTITUTE(SUBSTITUTE(SUBSTITUTE(INDEX(PASTE_ALL,$DF148,$L$18)," "," "),CHAR(9)," "),CHAR(10)," "),CHAR(13)," ")))="READY","Ready",IF(UPPER(TRIM(SUBSTITUTE(SUBSTITUTE(SUBSTITUTE(SUBSTITUTE(INDEX(PASTE_ALL,$DF148,$L$18)," "," "),CHAR(9)," "),CHAR(10)," "),CHAR(13)," ")))="PM","PM",IF(OR(UPPER(TRIM(SUBSTITUTE(SUBSTITUTE(SUBSTITUTE(SUBSTITUTE(INDEX(PASTE_ALL,$DF148,$L$18)," "," "),CHAR(9)," "),CHAR(10)," "),CHAR(13)," ")))="OT",UPPER(TRIM(SUBSTITUTE(SUBSTITUTE(SUBSTITUTE(SUBSTITUTE(INDEX(PASTE_ALL,$DF148,$L$18)," "," "),CHAR(9)," "),CHAR(10)," "),CHAR(13)," ")))="OVERTIME",UPPER(TRIM(SUBSTITUTE(SUBSTITUTE(SUBSTITUTE(SUBSTITUTE(INDEX(PASTE_ALL,$DF148,$L$18)," "," "),CHAR(9)," "),CHAR(10)," "),CHAR(13)," ")))="TRIAL"),"OT",TRIM(SUBSTITUTE(SUBSTITUTE(SUBSTITUTE(SUBSTITUTE(INDEX(PASTE_ALL,$DF148,$L$18)," "," "),CHAR(9)," "),CHAR(10)," "),CHAR(13)," "))))),"")))</f>
        <v/>
      </c>
      <c r="EC148">
        <f>IF($DM148=0,"",IF($L$19=0,"",IFERROR(IF(ISNUMBER(INDEX(PASTE_ALL,$DF148,$L$19)),INDEX(PASTE_ALL,$DF148,$L$19),TRIM(SUBSTITUTE(SUBSTITUTE(SUBSTITUTE(SUBSTITUTE(INDEX(PASTE_ALL,$DF148,$L$19)," "," "),CHAR(9)," "),CHAR(10)," "),CHAR(13)," "))),"")))</f>
        <v/>
      </c>
      <c r="ED148">
        <f>IF($DM148=0,"",MATCH(1,INDEX(EXACT($DH$5:DH148,$DH148)*$DM$5:DM148,0),0))</f>
        <v/>
      </c>
      <c r="EE148">
        <f>IF($DM148=0,0,IF($ED148=$DE148,1,0))</f>
        <v/>
      </c>
      <c r="EF148">
        <f>EF147+$EE148</f>
        <v/>
      </c>
      <c r="EG148">
        <f>IF($DM148=0,"",INDEX($EF$5:$EF$1003,$ED148))</f>
        <v/>
      </c>
      <c r="EH148">
        <f>IF($DM148=0,"",IF($DO148&lt;&gt;"","",IFERROR(LOOKUP(2,1/(($EG$4:EG147=$EG148)*($DO$4:DO147&lt;&gt;"")),$DO$4:DO147),"")))</f>
        <v/>
      </c>
      <c r="EI148">
        <f>IF($DM148=0,"",IF($DO148&lt;&gt;"",$DO148,$EH148))</f>
        <v/>
      </c>
      <c r="EJ148">
        <f>IF($DM148=0,"",IF($EI148="",0,IF(OR(ISNUMBER($EI148),AND(AND(SUBSTITUTE(SUBSTITUTE(SUBSTITUTE(SUBSTITUTE(SUBSTITUTE(SUBSTITUTE(SUBSTITUTE(SUBSTITUTE(SUBSTITUTE(SUBSTITUTE(SUBSTITUTE(SUBSTITUTE(SUBSTITUTE(SUBSTITUTE(UPPER($EI148),"0",""),"1",""),"2",""),"3",""),"4",""),"5",""),"6",""),"7",""),"8",""),"9",""),".",""),"+",""),"-",""),"E","")="",LEN(SUBSTITUTE(SUBSTITUTE(MID(UPPER($EI148),1+OR(LEFT(UPPER($EI148),1)="+",LEFT(UPPER($EI148),1)="-"),999),"E+","E"),"E-","E"))=LEN(SUBSTITUTE(SUBSTITUTE(SUBSTITUTE(SUBSTITUTE(MID(UPPER($EI148),1+OR(LEFT(UPPER($EI148),1)="+",LEFT(UPPER($EI148),1)="-"),999),"E+","E"),"E-","E"),"+",""),"-","")),LEN(UPPER($EI148))-LEN(SUBSTITUTE(UPPER($EI148),"E",""))&lt;2,LEN(UPPER($EI148))-LEN(SUBSTITUTE(UPPER($EI148),".",""))&lt;2,IFERROR(FIND(".",UPPER($EI148)),0)&lt;IFERROR(FIND("E",UPPER($EI148)),999)),ISNUMBER(VALUE($EI148)))),1,2)))</f>
        <v/>
      </c>
      <c r="EK148">
        <f>IF($DM148=0,"",IF($EJ148=1,IF(ISNUMBER($EI148),$EI148,VALUE($EI148)),IF($EJ148=2,$DE148,0)))</f>
        <v/>
      </c>
      <c r="EL148">
        <f>IF($DM148=0,"",COUNTIF($EG$5:$EG$1003,"&lt;"&amp;$EG148)+SUMPRODUCT(($EG$5:$EG$1003=$EG148)*(($EJ$5:$EJ$1003&lt;$EJ148)+($EJ$5:$EJ$1003=$EJ148)*(($EK$5:$EK$1003&lt;$EK148)+($EK$5:$EK$1003=$EK148)*($DE$5:$DE$1003&lt;$DE148))))+1)</f>
        <v/>
      </c>
      <c r="EM148">
        <f>IF($DM148=0,"",$EL148+$EG148-1)</f>
        <v/>
      </c>
      <c r="EN148">
        <f>IF($DM148=0,0,IFERROR(MATCH(1,INDEX(--(TRIM(SUBSTITUTE(SUBSTITUTE(SUBSTITUTE(SUBSTITUTE(LINES_NAME&amp;""," "," "),CHAR(9)," "),CHAR(10)," "),CHAR(13)," "))=$DH148),0),0),0))</f>
        <v/>
      </c>
      <c r="EO148">
        <f>IF($EN148=0,0,IF(OR(UPPER(TRIM(INDEX(LINES_SCHEDULED,$EN148)&amp;""))="YES",UPPER(TRIM(INDEX(LINES_SCHEDULED,$EN148)&amp;""))="Y",UPPER(TRIM(INDEX(LINES_SCHEDULED,$EN148)&amp;""))="X"),1,0))</f>
        <v/>
      </c>
      <c r="EP148">
        <f>IF($DM148=0,"",IF(COUNTIFS($EG$5:$EG$1003,$EG148,$EB$5:$EB$1003,"Ready")&gt;0,"READY",IF(COUNTIFS($EG$5:$EG$1003,$EG148,$EB$5:$EB$1003,"PM")&gt;0,"PM",IF(COUNTIFS($EG$5:$EG$1003,$EG148,$EB$5:$EB$1003,"OT")&gt;0,"OT",""))))</f>
        <v/>
      </c>
      <c r="EQ148">
        <f>IF($EN148=0,"",UPPER(TRIM(INDEX(LINES_STATUS,$EN148)&amp;"")))</f>
        <v/>
      </c>
      <c r="ER148">
        <f>IF($DM148=0,"",IF(OR($EQ148="READY",$EQ148="PM",$EQ148="OT"),$EQ148,$EP148))</f>
        <v/>
      </c>
      <c r="ES148">
        <f>IF($DM148=0,"",IF(AND($DV148&lt;&gt;"",UPPER($DV148)&lt;&gt;"N"),"allergen",IF(ISNUMBER(SEARCH("oil",$DQ148)),"oil",IF(OR(EXACT($DS148,"A662"),EXACT($DS148,"A624")),"bulk",""))))</f>
        <v/>
      </c>
      <c r="ET148">
        <f>IF($DM148=0,"",IF(OR($EA148="",$EA148=0),"",$EA148/100))</f>
        <v/>
      </c>
      <c r="EU148">
        <f>IF(OR($ET148="",$DY148=""),"",INT($DY148*(1-$ET148)+0.5))</f>
        <v/>
      </c>
      <c r="EW148" t="n">
        <v>144</v>
      </c>
      <c r="EX148">
        <f>IFERROR(MATCH($EW148,$EM$5:$EM$1003,0),0)</f>
        <v/>
      </c>
      <c r="EY148">
        <f>IF($EW148&gt;$B$12,"",IF($EX148&gt;0,"row","spacer"))</f>
        <v/>
      </c>
      <c r="EZ148">
        <f>IF(AND($EY148="row",$EY147&lt;&gt;"row"),1,0)</f>
        <v/>
      </c>
      <c r="FA148">
        <f>IF(AND($EY148="row",$EY149&lt;&gt;"row"),1,0)</f>
        <v/>
      </c>
      <c r="FB148">
        <f>IF($EZ148=1,IFERROR(IF(ISNUMBER(INDEX(PASTE_ALL,INDEX($DF$5:$DF$1003,$EX148),$B$37)),INDEX(PASTE_ALL,INDEX($DF$5:$DF$1003,$EX148),$B$37),INDEX($DH$5:$DH$1003,$EX148)),INDEX($DH$5:$DH$1003,$EX148)),"")</f>
        <v/>
      </c>
      <c r="FC148">
        <f>IF($EY148="row",INDEX($ER$5:$ER$1003,$EX148),"")</f>
        <v/>
      </c>
      <c r="FD148">
        <f>IF($EY148="row",INDEX($DN$5:$DN$1003,$EX148),"")</f>
        <v/>
      </c>
      <c r="FE148">
        <f>IF($EY148="row",INDEX($DO$5:$DO$1003,$EX148),"")</f>
        <v/>
      </c>
      <c r="FF148">
        <f>IF($EY148="row",INDEX($DP$5:$DP$1003,$EX148),"")</f>
        <v/>
      </c>
      <c r="FG148">
        <f>IF($EY148="row",INDEX($DQ$5:$DQ$1003,$EX148),"")</f>
        <v/>
      </c>
      <c r="FH148">
        <f>IF($EY148="row",INDEX($DR$5:$DR$1003,$EX148),"")</f>
        <v/>
      </c>
      <c r="FI148">
        <f>IF($EY148="row",INDEX($DS$5:$DS$1003,$EX148),"")</f>
        <v/>
      </c>
      <c r="FJ148">
        <f>IF($EY148="row",INDEX($DT$5:$DT$1003,$EX148),"")</f>
        <v/>
      </c>
      <c r="FK148">
        <f>IF($EY148="row",INDEX($DU$5:$DU$1003,$EX148),"")</f>
        <v/>
      </c>
      <c r="FL148">
        <f>IF($EY148="row",INDEX($DV$5:$DV$1003,$EX148),"")</f>
        <v/>
      </c>
      <c r="FM148">
        <f>IF($EY148="row",INDEX($DW$5:$DW$1003,$EX148),"")</f>
        <v/>
      </c>
      <c r="FN148">
        <f>IF($EY148="row",INDEX($DY$5:$DY$1003,$EX148),"")</f>
        <v/>
      </c>
      <c r="FO148">
        <f>IF($EY148="row",INDEX($EA$5:$EA$1003,$EX148),"")</f>
        <v/>
      </c>
      <c r="FP148">
        <f>IF($EY148="row",INDEX($EC$5:$EC$1003,$EX148),"")</f>
        <v/>
      </c>
      <c r="FQ148">
        <f>IF($EY148="row",INDEX($ET$5:$ET$1003,$EX148),"")</f>
        <v/>
      </c>
      <c r="FR148">
        <f>IF($EY148="row",INDEX($EU$5:$EU$1003,$EX148),"")</f>
        <v/>
      </c>
      <c r="FS148">
        <f>IF(AND($EY148="row",$EY147="row"),IF(OR(INDEX($DT$5:$DT$1003,$EX147)="",INDEX($DT$5:$DT$1003,$EX148)=""),"",IF(NOT(EXACT(INDEX($DT$5:$DT$1003,$EX147),INDEX($DT$5:$DT$1003,$EX148))),"S4",IF(NOT(EXACT(INDEX($DS$5:$DS$1003,$EX147),INDEX($DS$5:$DS$1003,$EX148))),"S3",IF(NOT(EXACT(INDEX($DR$5:$DR$1003,$EX147),INDEX($DR$5:$DR$1003,$EX148))),"S1 Count Change","S1")))),"")</f>
        <v/>
      </c>
      <c r="FT148">
        <f>IF($EY148="row",INDEX($ES$5:$ES$1003,$EX148),"")</f>
        <v/>
      </c>
      <c r="FU148">
        <f>IF($EY148="row",INDEX($EO$5:$EO$1003,$EX148),0)</f>
        <v/>
      </c>
      <c r="FV148">
        <f>IF($FS148="S1 Count Change",1,0)</f>
        <v/>
      </c>
    </row>
    <row r="149">
      <c r="Y149">
        <f>IF(Y14="",0,2*(OR(ISNUMBER(FIND("WORKCENTER",Y14)),AND(LEFT(Y14,4)="LINE",NOT(ISNUMBER(FIND("STATUS",Y14))))))+4*(OR(ISNUMBER(FIND("WORKORDER",Y14)),AND(LEFT(Y14,2)="WO",OR(ISNUMBER(FIND("NUM",Y14)),RIGHT(Y14,2)="NO"))))+8*(LEFT(Y14,3)="SEQ")+16*(AND(LEFT(Y14,4)="ITEM",NOT(ISNUMBER(FIND("DESC",Y14)))))+32*(AND(ISNUMBER(FIND("DESC",Y14)),NOT(ISNUMBER(FIND("CAP",Y14)))))+64*(OR(RIGHT(Y14,5)="COUNT",RIGHT(Y14,2)="CT"))+128*(ISNUMBER(FIND("BULK",Y14)))+256*(ISNUMBER(FIND("SIZE",Y14)))+512*(LEFT(Y14,3)="CAP")+1024*(ISNUMBER(FIND("ALLERG",Y14)))+2048*(OR(ISNUMBER(FIND("REMARK",Y14)),ISNUMBER(FIND("COMMENT",Y14))))+4096*(OR(ISNUMBER(FIND("QTY",Y14)),ISNUMBER(FIND("QUANTITY",Y14))))+8192*(AND(OR(ISNUMBER(FIND("COMPLETE",Y14)),ISNUMBER(FIND("PCT",Y14)),ISNUMBER(FIND("PERCENT",Y14))),NOT(ISNUMBER(FIND("ACTUAL",Y14))),LEN(Y14)&lt;=16))+32768*(OR(ISNUMBER(FIND("DESIC",Y14)),ISNUMBER(FIND("DESSIC",Y14)))))</f>
        <v/>
      </c>
      <c r="Z149">
        <f>IF(Z14="",0,2*(OR(ISNUMBER(FIND("WORKCENTER",Z14)),AND(LEFT(Z14,4)="LINE",NOT(ISNUMBER(FIND("STATUS",Z14))))))+4*(OR(ISNUMBER(FIND("WORKORDER",Z14)),AND(LEFT(Z14,2)="WO",OR(ISNUMBER(FIND("NUM",Z14)),RIGHT(Z14,2)="NO"))))+8*(LEFT(Z14,3)="SEQ")+16*(AND(LEFT(Z14,4)="ITEM",NOT(ISNUMBER(FIND("DESC",Z14)))))+32*(AND(ISNUMBER(FIND("DESC",Z14)),NOT(ISNUMBER(FIND("CAP",Z14)))))+64*(OR(RIGHT(Z14,5)="COUNT",RIGHT(Z14,2)="CT"))+128*(ISNUMBER(FIND("BULK",Z14)))+256*(ISNUMBER(FIND("SIZE",Z14)))+512*(LEFT(Z14,3)="CAP")+1024*(ISNUMBER(FIND("ALLERG",Z14)))+2048*(OR(ISNUMBER(FIND("REMARK",Z14)),ISNUMBER(FIND("COMMENT",Z14))))+4096*(OR(ISNUMBER(FIND("QTY",Z14)),ISNUMBER(FIND("QUANTITY",Z14))))+8192*(AND(OR(ISNUMBER(FIND("COMPLETE",Z14)),ISNUMBER(FIND("PCT",Z14)),ISNUMBER(FIND("PERCENT",Z14))),NOT(ISNUMBER(FIND("ACTUAL",Z14))),LEN(Z14)&lt;=16))+32768*(OR(ISNUMBER(FIND("DESIC",Z14)),ISNUMBER(FIND("DESSIC",Z14)))))</f>
        <v/>
      </c>
      <c r="AA149">
        <f>IF(AA14="",0,2*(OR(ISNUMBER(FIND("WORKCENTER",AA14)),AND(LEFT(AA14,4)="LINE",NOT(ISNUMBER(FIND("STATUS",AA14))))))+4*(OR(ISNUMBER(FIND("WORKORDER",AA14)),AND(LEFT(AA14,2)="WO",OR(ISNUMBER(FIND("NUM",AA14)),RIGHT(AA14,2)="NO"))))+8*(LEFT(AA14,3)="SEQ")+16*(AND(LEFT(AA14,4)="ITEM",NOT(ISNUMBER(FIND("DESC",AA14)))))+32*(AND(ISNUMBER(FIND("DESC",AA14)),NOT(ISNUMBER(FIND("CAP",AA14)))))+64*(OR(RIGHT(AA14,5)="COUNT",RIGHT(AA14,2)="CT"))+128*(ISNUMBER(FIND("BULK",AA14)))+256*(ISNUMBER(FIND("SIZE",AA14)))+512*(LEFT(AA14,3)="CAP")+1024*(ISNUMBER(FIND("ALLERG",AA14)))+2048*(OR(ISNUMBER(FIND("REMARK",AA14)),ISNUMBER(FIND("COMMENT",AA14))))+4096*(OR(ISNUMBER(FIND("QTY",AA14)),ISNUMBER(FIND("QUANTITY",AA14))))+8192*(AND(OR(ISNUMBER(FIND("COMPLETE",AA14)),ISNUMBER(FIND("PCT",AA14)),ISNUMBER(FIND("PERCENT",AA14))),NOT(ISNUMBER(FIND("ACTUAL",AA14))),LEN(AA14)&lt;=16))+32768*(OR(ISNUMBER(FIND("DESIC",AA14)),ISNUMBER(FIND("DESSIC",AA14)))))</f>
        <v/>
      </c>
      <c r="AB149">
        <f>IF(AB14="",0,2*(OR(ISNUMBER(FIND("WORKCENTER",AB14)),AND(LEFT(AB14,4)="LINE",NOT(ISNUMBER(FIND("STATUS",AB14))))))+4*(OR(ISNUMBER(FIND("WORKORDER",AB14)),AND(LEFT(AB14,2)="WO",OR(ISNUMBER(FIND("NUM",AB14)),RIGHT(AB14,2)="NO"))))+8*(LEFT(AB14,3)="SEQ")+16*(AND(LEFT(AB14,4)="ITEM",NOT(ISNUMBER(FIND("DESC",AB14)))))+32*(AND(ISNUMBER(FIND("DESC",AB14)),NOT(ISNUMBER(FIND("CAP",AB14)))))+64*(OR(RIGHT(AB14,5)="COUNT",RIGHT(AB14,2)="CT"))+128*(ISNUMBER(FIND("BULK",AB14)))+256*(ISNUMBER(FIND("SIZE",AB14)))+512*(LEFT(AB14,3)="CAP")+1024*(ISNUMBER(FIND("ALLERG",AB14)))+2048*(OR(ISNUMBER(FIND("REMARK",AB14)),ISNUMBER(FIND("COMMENT",AB14))))+4096*(OR(ISNUMBER(FIND("QTY",AB14)),ISNUMBER(FIND("QUANTITY",AB14))))+8192*(AND(OR(ISNUMBER(FIND("COMPLETE",AB14)),ISNUMBER(FIND("PCT",AB14)),ISNUMBER(FIND("PERCENT",AB14))),NOT(ISNUMBER(FIND("ACTUAL",AB14))),LEN(AB14)&lt;=16))+32768*(OR(ISNUMBER(FIND("DESIC",AB14)),ISNUMBER(FIND("DESSIC",AB14)))))</f>
        <v/>
      </c>
      <c r="AC149">
        <f>IF(AC14="",0,2*(OR(ISNUMBER(FIND("WORKCENTER",AC14)),AND(LEFT(AC14,4)="LINE",NOT(ISNUMBER(FIND("STATUS",AC14))))))+4*(OR(ISNUMBER(FIND("WORKORDER",AC14)),AND(LEFT(AC14,2)="WO",OR(ISNUMBER(FIND("NUM",AC14)),RIGHT(AC14,2)="NO"))))+8*(LEFT(AC14,3)="SEQ")+16*(AND(LEFT(AC14,4)="ITEM",NOT(ISNUMBER(FIND("DESC",AC14)))))+32*(AND(ISNUMBER(FIND("DESC",AC14)),NOT(ISNUMBER(FIND("CAP",AC14)))))+64*(OR(RIGHT(AC14,5)="COUNT",RIGHT(AC14,2)="CT"))+128*(ISNUMBER(FIND("BULK",AC14)))+256*(ISNUMBER(FIND("SIZE",AC14)))+512*(LEFT(AC14,3)="CAP")+1024*(ISNUMBER(FIND("ALLERG",AC14)))+2048*(OR(ISNUMBER(FIND("REMARK",AC14)),ISNUMBER(FIND("COMMENT",AC14))))+4096*(OR(ISNUMBER(FIND("QTY",AC14)),ISNUMBER(FIND("QUANTITY",AC14))))+8192*(AND(OR(ISNUMBER(FIND("COMPLETE",AC14)),ISNUMBER(FIND("PCT",AC14)),ISNUMBER(FIND("PERCENT",AC14))),NOT(ISNUMBER(FIND("ACTUAL",AC14))),LEN(AC14)&lt;=16))+32768*(OR(ISNUMBER(FIND("DESIC",AC14)),ISNUMBER(FIND("DESSIC",AC14)))))</f>
        <v/>
      </c>
      <c r="AD149">
        <f>IF(AD14="",0,2*(OR(ISNUMBER(FIND("WORKCENTER",AD14)),AND(LEFT(AD14,4)="LINE",NOT(ISNUMBER(FIND("STATUS",AD14))))))+4*(OR(ISNUMBER(FIND("WORKORDER",AD14)),AND(LEFT(AD14,2)="WO",OR(ISNUMBER(FIND("NUM",AD14)),RIGHT(AD14,2)="NO"))))+8*(LEFT(AD14,3)="SEQ")+16*(AND(LEFT(AD14,4)="ITEM",NOT(ISNUMBER(FIND("DESC",AD14)))))+32*(AND(ISNUMBER(FIND("DESC",AD14)),NOT(ISNUMBER(FIND("CAP",AD14)))))+64*(OR(RIGHT(AD14,5)="COUNT",RIGHT(AD14,2)="CT"))+128*(ISNUMBER(FIND("BULK",AD14)))+256*(ISNUMBER(FIND("SIZE",AD14)))+512*(LEFT(AD14,3)="CAP")+1024*(ISNUMBER(FIND("ALLERG",AD14)))+2048*(OR(ISNUMBER(FIND("REMARK",AD14)),ISNUMBER(FIND("COMMENT",AD14))))+4096*(OR(ISNUMBER(FIND("QTY",AD14)),ISNUMBER(FIND("QUANTITY",AD14))))+8192*(AND(OR(ISNUMBER(FIND("COMPLETE",AD14)),ISNUMBER(FIND("PCT",AD14)),ISNUMBER(FIND("PERCENT",AD14))),NOT(ISNUMBER(FIND("ACTUAL",AD14))),LEN(AD14)&lt;=16))+32768*(OR(ISNUMBER(FIND("DESIC",AD14)),ISNUMBER(FIND("DESSIC",AD14)))))</f>
        <v/>
      </c>
      <c r="AE149">
        <f>IF(AE14="",0,2*(OR(ISNUMBER(FIND("WORKCENTER",AE14)),AND(LEFT(AE14,4)="LINE",NOT(ISNUMBER(FIND("STATUS",AE14))))))+4*(OR(ISNUMBER(FIND("WORKORDER",AE14)),AND(LEFT(AE14,2)="WO",OR(ISNUMBER(FIND("NUM",AE14)),RIGHT(AE14,2)="NO"))))+8*(LEFT(AE14,3)="SEQ")+16*(AND(LEFT(AE14,4)="ITEM",NOT(ISNUMBER(FIND("DESC",AE14)))))+32*(AND(ISNUMBER(FIND("DESC",AE14)),NOT(ISNUMBER(FIND("CAP",AE14)))))+64*(OR(RIGHT(AE14,5)="COUNT",RIGHT(AE14,2)="CT"))+128*(ISNUMBER(FIND("BULK",AE14)))+256*(ISNUMBER(FIND("SIZE",AE14)))+512*(LEFT(AE14,3)="CAP")+1024*(ISNUMBER(FIND("ALLERG",AE14)))+2048*(OR(ISNUMBER(FIND("REMARK",AE14)),ISNUMBER(FIND("COMMENT",AE14))))+4096*(OR(ISNUMBER(FIND("QTY",AE14)),ISNUMBER(FIND("QUANTITY",AE14))))+8192*(AND(OR(ISNUMBER(FIND("COMPLETE",AE14)),ISNUMBER(FIND("PCT",AE14)),ISNUMBER(FIND("PERCENT",AE14))),NOT(ISNUMBER(FIND("ACTUAL",AE14))),LEN(AE14)&lt;=16))+32768*(OR(ISNUMBER(FIND("DESIC",AE14)),ISNUMBER(FIND("DESSIC",AE14)))))</f>
        <v/>
      </c>
      <c r="AF149">
        <f>IF(AF14="",0,2*(OR(ISNUMBER(FIND("WORKCENTER",AF14)),AND(LEFT(AF14,4)="LINE",NOT(ISNUMBER(FIND("STATUS",AF14))))))+4*(OR(ISNUMBER(FIND("WORKORDER",AF14)),AND(LEFT(AF14,2)="WO",OR(ISNUMBER(FIND("NUM",AF14)),RIGHT(AF14,2)="NO"))))+8*(LEFT(AF14,3)="SEQ")+16*(AND(LEFT(AF14,4)="ITEM",NOT(ISNUMBER(FIND("DESC",AF14)))))+32*(AND(ISNUMBER(FIND("DESC",AF14)),NOT(ISNUMBER(FIND("CAP",AF14)))))+64*(OR(RIGHT(AF14,5)="COUNT",RIGHT(AF14,2)="CT"))+128*(ISNUMBER(FIND("BULK",AF14)))+256*(ISNUMBER(FIND("SIZE",AF14)))+512*(LEFT(AF14,3)="CAP")+1024*(ISNUMBER(FIND("ALLERG",AF14)))+2048*(OR(ISNUMBER(FIND("REMARK",AF14)),ISNUMBER(FIND("COMMENT",AF14))))+4096*(OR(ISNUMBER(FIND("QTY",AF14)),ISNUMBER(FIND("QUANTITY",AF14))))+8192*(AND(OR(ISNUMBER(FIND("COMPLETE",AF14)),ISNUMBER(FIND("PCT",AF14)),ISNUMBER(FIND("PERCENT",AF14))),NOT(ISNUMBER(FIND("ACTUAL",AF14))),LEN(AF14)&lt;=16))+32768*(OR(ISNUMBER(FIND("DESIC",AF14)),ISNUMBER(FIND("DESSIC",AF14)))))</f>
        <v/>
      </c>
      <c r="AG149">
        <f>IF(AG14="",0,2*(OR(ISNUMBER(FIND("WORKCENTER",AG14)),AND(LEFT(AG14,4)="LINE",NOT(ISNUMBER(FIND("STATUS",AG14))))))+4*(OR(ISNUMBER(FIND("WORKORDER",AG14)),AND(LEFT(AG14,2)="WO",OR(ISNUMBER(FIND("NUM",AG14)),RIGHT(AG14,2)="NO"))))+8*(LEFT(AG14,3)="SEQ")+16*(AND(LEFT(AG14,4)="ITEM",NOT(ISNUMBER(FIND("DESC",AG14)))))+32*(AND(ISNUMBER(FIND("DESC",AG14)),NOT(ISNUMBER(FIND("CAP",AG14)))))+64*(OR(RIGHT(AG14,5)="COUNT",RIGHT(AG14,2)="CT"))+128*(ISNUMBER(FIND("BULK",AG14)))+256*(ISNUMBER(FIND("SIZE",AG14)))+512*(LEFT(AG14,3)="CAP")+1024*(ISNUMBER(FIND("ALLERG",AG14)))+2048*(OR(ISNUMBER(FIND("REMARK",AG14)),ISNUMBER(FIND("COMMENT",AG14))))+4096*(OR(ISNUMBER(FIND("QTY",AG14)),ISNUMBER(FIND("QUANTITY",AG14))))+8192*(AND(OR(ISNUMBER(FIND("COMPLETE",AG14)),ISNUMBER(FIND("PCT",AG14)),ISNUMBER(FIND("PERCENT",AG14))),NOT(ISNUMBER(FIND("ACTUAL",AG14))),LEN(AG14)&lt;=16))+32768*(OR(ISNUMBER(FIND("DESIC",AG14)),ISNUMBER(FIND("DESSIC",AG14)))))</f>
        <v/>
      </c>
      <c r="AH149">
        <f>IF(AH14="",0,2*(OR(ISNUMBER(FIND("WORKCENTER",AH14)),AND(LEFT(AH14,4)="LINE",NOT(ISNUMBER(FIND("STATUS",AH14))))))+4*(OR(ISNUMBER(FIND("WORKORDER",AH14)),AND(LEFT(AH14,2)="WO",OR(ISNUMBER(FIND("NUM",AH14)),RIGHT(AH14,2)="NO"))))+8*(LEFT(AH14,3)="SEQ")+16*(AND(LEFT(AH14,4)="ITEM",NOT(ISNUMBER(FIND("DESC",AH14)))))+32*(AND(ISNUMBER(FIND("DESC",AH14)),NOT(ISNUMBER(FIND("CAP",AH14)))))+64*(OR(RIGHT(AH14,5)="COUNT",RIGHT(AH14,2)="CT"))+128*(ISNUMBER(FIND("BULK",AH14)))+256*(ISNUMBER(FIND("SIZE",AH14)))+512*(LEFT(AH14,3)="CAP")+1024*(ISNUMBER(FIND("ALLERG",AH14)))+2048*(OR(ISNUMBER(FIND("REMARK",AH14)),ISNUMBER(FIND("COMMENT",AH14))))+4096*(OR(ISNUMBER(FIND("QTY",AH14)),ISNUMBER(FIND("QUANTITY",AH14))))+8192*(AND(OR(ISNUMBER(FIND("COMPLETE",AH14)),ISNUMBER(FIND("PCT",AH14)),ISNUMBER(FIND("PERCENT",AH14))),NOT(ISNUMBER(FIND("ACTUAL",AH14))),LEN(AH14)&lt;=16))+32768*(OR(ISNUMBER(FIND("DESIC",AH14)),ISNUMBER(FIND("DESSIC",AH14)))))</f>
        <v/>
      </c>
      <c r="AI149">
        <f>IF(AI14="",0,2*(OR(ISNUMBER(FIND("WORKCENTER",AI14)),AND(LEFT(AI14,4)="LINE",NOT(ISNUMBER(FIND("STATUS",AI14))))))+4*(OR(ISNUMBER(FIND("WORKORDER",AI14)),AND(LEFT(AI14,2)="WO",OR(ISNUMBER(FIND("NUM",AI14)),RIGHT(AI14,2)="NO"))))+8*(LEFT(AI14,3)="SEQ")+16*(AND(LEFT(AI14,4)="ITEM",NOT(ISNUMBER(FIND("DESC",AI14)))))+32*(AND(ISNUMBER(FIND("DESC",AI14)),NOT(ISNUMBER(FIND("CAP",AI14)))))+64*(OR(RIGHT(AI14,5)="COUNT",RIGHT(AI14,2)="CT"))+128*(ISNUMBER(FIND("BULK",AI14)))+256*(ISNUMBER(FIND("SIZE",AI14)))+512*(LEFT(AI14,3)="CAP")+1024*(ISNUMBER(FIND("ALLERG",AI14)))+2048*(OR(ISNUMBER(FIND("REMARK",AI14)),ISNUMBER(FIND("COMMENT",AI14))))+4096*(OR(ISNUMBER(FIND("QTY",AI14)),ISNUMBER(FIND("QUANTITY",AI14))))+8192*(AND(OR(ISNUMBER(FIND("COMPLETE",AI14)),ISNUMBER(FIND("PCT",AI14)),ISNUMBER(FIND("PERCENT",AI14))),NOT(ISNUMBER(FIND("ACTUAL",AI14))),LEN(AI14)&lt;=16))+32768*(OR(ISNUMBER(FIND("DESIC",AI14)),ISNUMBER(FIND("DESSIC",AI14)))))</f>
        <v/>
      </c>
      <c r="AJ149">
        <f>IF(AJ14="",0,2*(OR(ISNUMBER(FIND("WORKCENTER",AJ14)),AND(LEFT(AJ14,4)="LINE",NOT(ISNUMBER(FIND("STATUS",AJ14))))))+4*(OR(ISNUMBER(FIND("WORKORDER",AJ14)),AND(LEFT(AJ14,2)="WO",OR(ISNUMBER(FIND("NUM",AJ14)),RIGHT(AJ14,2)="NO"))))+8*(LEFT(AJ14,3)="SEQ")+16*(AND(LEFT(AJ14,4)="ITEM",NOT(ISNUMBER(FIND("DESC",AJ14)))))+32*(AND(ISNUMBER(FIND("DESC",AJ14)),NOT(ISNUMBER(FIND("CAP",AJ14)))))+64*(OR(RIGHT(AJ14,5)="COUNT",RIGHT(AJ14,2)="CT"))+128*(ISNUMBER(FIND("BULK",AJ14)))+256*(ISNUMBER(FIND("SIZE",AJ14)))+512*(LEFT(AJ14,3)="CAP")+1024*(ISNUMBER(FIND("ALLERG",AJ14)))+2048*(OR(ISNUMBER(FIND("REMARK",AJ14)),ISNUMBER(FIND("COMMENT",AJ14))))+4096*(OR(ISNUMBER(FIND("QTY",AJ14)),ISNUMBER(FIND("QUANTITY",AJ14))))+8192*(AND(OR(ISNUMBER(FIND("COMPLETE",AJ14)),ISNUMBER(FIND("PCT",AJ14)),ISNUMBER(FIND("PERCENT",AJ14))),NOT(ISNUMBER(FIND("ACTUAL",AJ14))),LEN(AJ14)&lt;=16))+32768*(OR(ISNUMBER(FIND("DESIC",AJ14)),ISNUMBER(FIND("DESSIC",AJ14)))))</f>
        <v/>
      </c>
      <c r="AK149">
        <f>IF(AK14="",0,2*(OR(ISNUMBER(FIND("WORKCENTER",AK14)),AND(LEFT(AK14,4)="LINE",NOT(ISNUMBER(FIND("STATUS",AK14))))))+4*(OR(ISNUMBER(FIND("WORKORDER",AK14)),AND(LEFT(AK14,2)="WO",OR(ISNUMBER(FIND("NUM",AK14)),RIGHT(AK14,2)="NO"))))+8*(LEFT(AK14,3)="SEQ")+16*(AND(LEFT(AK14,4)="ITEM",NOT(ISNUMBER(FIND("DESC",AK14)))))+32*(AND(ISNUMBER(FIND("DESC",AK14)),NOT(ISNUMBER(FIND("CAP",AK14)))))+64*(OR(RIGHT(AK14,5)="COUNT",RIGHT(AK14,2)="CT"))+128*(ISNUMBER(FIND("BULK",AK14)))+256*(ISNUMBER(FIND("SIZE",AK14)))+512*(LEFT(AK14,3)="CAP")+1024*(ISNUMBER(FIND("ALLERG",AK14)))+2048*(OR(ISNUMBER(FIND("REMARK",AK14)),ISNUMBER(FIND("COMMENT",AK14))))+4096*(OR(ISNUMBER(FIND("QTY",AK14)),ISNUMBER(FIND("QUANTITY",AK14))))+8192*(AND(OR(ISNUMBER(FIND("COMPLETE",AK14)),ISNUMBER(FIND("PCT",AK14)),ISNUMBER(FIND("PERCENT",AK14))),NOT(ISNUMBER(FIND("ACTUAL",AK14))),LEN(AK14)&lt;=16))+32768*(OR(ISNUMBER(FIND("DESIC",AK14)),ISNUMBER(FIND("DESSIC",AK14)))))</f>
        <v/>
      </c>
      <c r="AL149">
        <f>IF(AL14="",0,2*(OR(ISNUMBER(FIND("WORKCENTER",AL14)),AND(LEFT(AL14,4)="LINE",NOT(ISNUMBER(FIND("STATUS",AL14))))))+4*(OR(ISNUMBER(FIND("WORKORDER",AL14)),AND(LEFT(AL14,2)="WO",OR(ISNUMBER(FIND("NUM",AL14)),RIGHT(AL14,2)="NO"))))+8*(LEFT(AL14,3)="SEQ")+16*(AND(LEFT(AL14,4)="ITEM",NOT(ISNUMBER(FIND("DESC",AL14)))))+32*(AND(ISNUMBER(FIND("DESC",AL14)),NOT(ISNUMBER(FIND("CAP",AL14)))))+64*(OR(RIGHT(AL14,5)="COUNT",RIGHT(AL14,2)="CT"))+128*(ISNUMBER(FIND("BULK",AL14)))+256*(ISNUMBER(FIND("SIZE",AL14)))+512*(LEFT(AL14,3)="CAP")+1024*(ISNUMBER(FIND("ALLERG",AL14)))+2048*(OR(ISNUMBER(FIND("REMARK",AL14)),ISNUMBER(FIND("COMMENT",AL14))))+4096*(OR(ISNUMBER(FIND("QTY",AL14)),ISNUMBER(FIND("QUANTITY",AL14))))+8192*(AND(OR(ISNUMBER(FIND("COMPLETE",AL14)),ISNUMBER(FIND("PCT",AL14)),ISNUMBER(FIND("PERCENT",AL14))),NOT(ISNUMBER(FIND("ACTUAL",AL14))),LEN(AL14)&lt;=16))+32768*(OR(ISNUMBER(FIND("DESIC",AL14)),ISNUMBER(FIND("DESSIC",AL14)))))</f>
        <v/>
      </c>
      <c r="AM149">
        <f>IF(AM14="",0,2*(OR(ISNUMBER(FIND("WORKCENTER",AM14)),AND(LEFT(AM14,4)="LINE",NOT(ISNUMBER(FIND("STATUS",AM14))))))+4*(OR(ISNUMBER(FIND("WORKORDER",AM14)),AND(LEFT(AM14,2)="WO",OR(ISNUMBER(FIND("NUM",AM14)),RIGHT(AM14,2)="NO"))))+8*(LEFT(AM14,3)="SEQ")+16*(AND(LEFT(AM14,4)="ITEM",NOT(ISNUMBER(FIND("DESC",AM14)))))+32*(AND(ISNUMBER(FIND("DESC",AM14)),NOT(ISNUMBER(FIND("CAP",AM14)))))+64*(OR(RIGHT(AM14,5)="COUNT",RIGHT(AM14,2)="CT"))+128*(ISNUMBER(FIND("BULK",AM14)))+256*(ISNUMBER(FIND("SIZE",AM14)))+512*(LEFT(AM14,3)="CAP")+1024*(ISNUMBER(FIND("ALLERG",AM14)))+2048*(OR(ISNUMBER(FIND("REMARK",AM14)),ISNUMBER(FIND("COMMENT",AM14))))+4096*(OR(ISNUMBER(FIND("QTY",AM14)),ISNUMBER(FIND("QUANTITY",AM14))))+8192*(AND(OR(ISNUMBER(FIND("COMPLETE",AM14)),ISNUMBER(FIND("PCT",AM14)),ISNUMBER(FIND("PERCENT",AM14))),NOT(ISNUMBER(FIND("ACTUAL",AM14))),LEN(AM14)&lt;=16))+32768*(OR(ISNUMBER(FIND("DESIC",AM14)),ISNUMBER(FIND("DESSIC",AM14)))))</f>
        <v/>
      </c>
      <c r="AN149">
        <f>IF(AN14="",0,2*(OR(ISNUMBER(FIND("WORKCENTER",AN14)),AND(LEFT(AN14,4)="LINE",NOT(ISNUMBER(FIND("STATUS",AN14))))))+4*(OR(ISNUMBER(FIND("WORKORDER",AN14)),AND(LEFT(AN14,2)="WO",OR(ISNUMBER(FIND("NUM",AN14)),RIGHT(AN14,2)="NO"))))+8*(LEFT(AN14,3)="SEQ")+16*(AND(LEFT(AN14,4)="ITEM",NOT(ISNUMBER(FIND("DESC",AN14)))))+32*(AND(ISNUMBER(FIND("DESC",AN14)),NOT(ISNUMBER(FIND("CAP",AN14)))))+64*(OR(RIGHT(AN14,5)="COUNT",RIGHT(AN14,2)="CT"))+128*(ISNUMBER(FIND("BULK",AN14)))+256*(ISNUMBER(FIND("SIZE",AN14)))+512*(LEFT(AN14,3)="CAP")+1024*(ISNUMBER(FIND("ALLERG",AN14)))+2048*(OR(ISNUMBER(FIND("REMARK",AN14)),ISNUMBER(FIND("COMMENT",AN14))))+4096*(OR(ISNUMBER(FIND("QTY",AN14)),ISNUMBER(FIND("QUANTITY",AN14))))+8192*(AND(OR(ISNUMBER(FIND("COMPLETE",AN14)),ISNUMBER(FIND("PCT",AN14)),ISNUMBER(FIND("PERCENT",AN14))),NOT(ISNUMBER(FIND("ACTUAL",AN14))),LEN(AN14)&lt;=16))+32768*(OR(ISNUMBER(FIND("DESIC",AN14)),ISNUMBER(FIND("DESSIC",AN14)))))</f>
        <v/>
      </c>
      <c r="AO149">
        <f>IF(AO14="",0,2*(OR(ISNUMBER(FIND("WORKCENTER",AO14)),AND(LEFT(AO14,4)="LINE",NOT(ISNUMBER(FIND("STATUS",AO14))))))+4*(OR(ISNUMBER(FIND("WORKORDER",AO14)),AND(LEFT(AO14,2)="WO",OR(ISNUMBER(FIND("NUM",AO14)),RIGHT(AO14,2)="NO"))))+8*(LEFT(AO14,3)="SEQ")+16*(AND(LEFT(AO14,4)="ITEM",NOT(ISNUMBER(FIND("DESC",AO14)))))+32*(AND(ISNUMBER(FIND("DESC",AO14)),NOT(ISNUMBER(FIND("CAP",AO14)))))+64*(OR(RIGHT(AO14,5)="COUNT",RIGHT(AO14,2)="CT"))+128*(ISNUMBER(FIND("BULK",AO14)))+256*(ISNUMBER(FIND("SIZE",AO14)))+512*(LEFT(AO14,3)="CAP")+1024*(ISNUMBER(FIND("ALLERG",AO14)))+2048*(OR(ISNUMBER(FIND("REMARK",AO14)),ISNUMBER(FIND("COMMENT",AO14))))+4096*(OR(ISNUMBER(FIND("QTY",AO14)),ISNUMBER(FIND("QUANTITY",AO14))))+8192*(AND(OR(ISNUMBER(FIND("COMPLETE",AO14)),ISNUMBER(FIND("PCT",AO14)),ISNUMBER(FIND("PERCENT",AO14))),NOT(ISNUMBER(FIND("ACTUAL",AO14))),LEN(AO14)&lt;=16))+32768*(OR(ISNUMBER(FIND("DESIC",AO14)),ISNUMBER(FIND("DESSIC",AO14)))))</f>
        <v/>
      </c>
      <c r="AP149">
        <f>IF(AP14="",0,2*(OR(ISNUMBER(FIND("WORKCENTER",AP14)),AND(LEFT(AP14,4)="LINE",NOT(ISNUMBER(FIND("STATUS",AP14))))))+4*(OR(ISNUMBER(FIND("WORKORDER",AP14)),AND(LEFT(AP14,2)="WO",OR(ISNUMBER(FIND("NUM",AP14)),RIGHT(AP14,2)="NO"))))+8*(LEFT(AP14,3)="SEQ")+16*(AND(LEFT(AP14,4)="ITEM",NOT(ISNUMBER(FIND("DESC",AP14)))))+32*(AND(ISNUMBER(FIND("DESC",AP14)),NOT(ISNUMBER(FIND("CAP",AP14)))))+64*(OR(RIGHT(AP14,5)="COUNT",RIGHT(AP14,2)="CT"))+128*(ISNUMBER(FIND("BULK",AP14)))+256*(ISNUMBER(FIND("SIZE",AP14)))+512*(LEFT(AP14,3)="CAP")+1024*(ISNUMBER(FIND("ALLERG",AP14)))+2048*(OR(ISNUMBER(FIND("REMARK",AP14)),ISNUMBER(FIND("COMMENT",AP14))))+4096*(OR(ISNUMBER(FIND("QTY",AP14)),ISNUMBER(FIND("QUANTITY",AP14))))+8192*(AND(OR(ISNUMBER(FIND("COMPLETE",AP14)),ISNUMBER(FIND("PCT",AP14)),ISNUMBER(FIND("PERCENT",AP14))),NOT(ISNUMBER(FIND("ACTUAL",AP14))),LEN(AP14)&lt;=16))+32768*(OR(ISNUMBER(FIND("DESIC",AP14)),ISNUMBER(FIND("DESSIC",AP14)))))</f>
        <v/>
      </c>
      <c r="AQ149">
        <f>IF(AQ14="",0,2*(OR(ISNUMBER(FIND("WORKCENTER",AQ14)),AND(LEFT(AQ14,4)="LINE",NOT(ISNUMBER(FIND("STATUS",AQ14))))))+4*(OR(ISNUMBER(FIND("WORKORDER",AQ14)),AND(LEFT(AQ14,2)="WO",OR(ISNUMBER(FIND("NUM",AQ14)),RIGHT(AQ14,2)="NO"))))+8*(LEFT(AQ14,3)="SEQ")+16*(AND(LEFT(AQ14,4)="ITEM",NOT(ISNUMBER(FIND("DESC",AQ14)))))+32*(AND(ISNUMBER(FIND("DESC",AQ14)),NOT(ISNUMBER(FIND("CAP",AQ14)))))+64*(OR(RIGHT(AQ14,5)="COUNT",RIGHT(AQ14,2)="CT"))+128*(ISNUMBER(FIND("BULK",AQ14)))+256*(ISNUMBER(FIND("SIZE",AQ14)))+512*(LEFT(AQ14,3)="CAP")+1024*(ISNUMBER(FIND("ALLERG",AQ14)))+2048*(OR(ISNUMBER(FIND("REMARK",AQ14)),ISNUMBER(FIND("COMMENT",AQ14))))+4096*(OR(ISNUMBER(FIND("QTY",AQ14)),ISNUMBER(FIND("QUANTITY",AQ14))))+8192*(AND(OR(ISNUMBER(FIND("COMPLETE",AQ14)),ISNUMBER(FIND("PCT",AQ14)),ISNUMBER(FIND("PERCENT",AQ14))),NOT(ISNUMBER(FIND("ACTUAL",AQ14))),LEN(AQ14)&lt;=16))+32768*(OR(ISNUMBER(FIND("DESIC",AQ14)),ISNUMBER(FIND("DESSIC",AQ14)))))</f>
        <v/>
      </c>
      <c r="AR149">
        <f>IF(AR14="",0,2*(OR(ISNUMBER(FIND("WORKCENTER",AR14)),AND(LEFT(AR14,4)="LINE",NOT(ISNUMBER(FIND("STATUS",AR14))))))+4*(OR(ISNUMBER(FIND("WORKORDER",AR14)),AND(LEFT(AR14,2)="WO",OR(ISNUMBER(FIND("NUM",AR14)),RIGHT(AR14,2)="NO"))))+8*(LEFT(AR14,3)="SEQ")+16*(AND(LEFT(AR14,4)="ITEM",NOT(ISNUMBER(FIND("DESC",AR14)))))+32*(AND(ISNUMBER(FIND("DESC",AR14)),NOT(ISNUMBER(FIND("CAP",AR14)))))+64*(OR(RIGHT(AR14,5)="COUNT",RIGHT(AR14,2)="CT"))+128*(ISNUMBER(FIND("BULK",AR14)))+256*(ISNUMBER(FIND("SIZE",AR14)))+512*(LEFT(AR14,3)="CAP")+1024*(ISNUMBER(FIND("ALLERG",AR14)))+2048*(OR(ISNUMBER(FIND("REMARK",AR14)),ISNUMBER(FIND("COMMENT",AR14))))+4096*(OR(ISNUMBER(FIND("QTY",AR14)),ISNUMBER(FIND("QUANTITY",AR14))))+8192*(AND(OR(ISNUMBER(FIND("COMPLETE",AR14)),ISNUMBER(FIND("PCT",AR14)),ISNUMBER(FIND("PERCENT",AR14))),NOT(ISNUMBER(FIND("ACTUAL",AR14))),LEN(AR14)&lt;=16))+32768*(OR(ISNUMBER(FIND("DESIC",AR14)),ISNUMBER(FIND("DESSIC",AR14)))))</f>
        <v/>
      </c>
      <c r="AS149">
        <f>IF(AS14="",0,2*(OR(ISNUMBER(FIND("WORKCENTER",AS14)),AND(LEFT(AS14,4)="LINE",NOT(ISNUMBER(FIND("STATUS",AS14))))))+4*(OR(ISNUMBER(FIND("WORKORDER",AS14)),AND(LEFT(AS14,2)="WO",OR(ISNUMBER(FIND("NUM",AS14)),RIGHT(AS14,2)="NO"))))+8*(LEFT(AS14,3)="SEQ")+16*(AND(LEFT(AS14,4)="ITEM",NOT(ISNUMBER(FIND("DESC",AS14)))))+32*(AND(ISNUMBER(FIND("DESC",AS14)),NOT(ISNUMBER(FIND("CAP",AS14)))))+64*(OR(RIGHT(AS14,5)="COUNT",RIGHT(AS14,2)="CT"))+128*(ISNUMBER(FIND("BULK",AS14)))+256*(ISNUMBER(FIND("SIZE",AS14)))+512*(LEFT(AS14,3)="CAP")+1024*(ISNUMBER(FIND("ALLERG",AS14)))+2048*(OR(ISNUMBER(FIND("REMARK",AS14)),ISNUMBER(FIND("COMMENT",AS14))))+4096*(OR(ISNUMBER(FIND("QTY",AS14)),ISNUMBER(FIND("QUANTITY",AS14))))+8192*(AND(OR(ISNUMBER(FIND("COMPLETE",AS14)),ISNUMBER(FIND("PCT",AS14)),ISNUMBER(FIND("PERCENT",AS14))),NOT(ISNUMBER(FIND("ACTUAL",AS14))),LEN(AS14)&lt;=16))+32768*(OR(ISNUMBER(FIND("DESIC",AS14)),ISNUMBER(FIND("DESSIC",AS14)))))</f>
        <v/>
      </c>
      <c r="AT149">
        <f>IF(AT14="",0,2*(OR(ISNUMBER(FIND("WORKCENTER",AT14)),AND(LEFT(AT14,4)="LINE",NOT(ISNUMBER(FIND("STATUS",AT14))))))+4*(OR(ISNUMBER(FIND("WORKORDER",AT14)),AND(LEFT(AT14,2)="WO",OR(ISNUMBER(FIND("NUM",AT14)),RIGHT(AT14,2)="NO"))))+8*(LEFT(AT14,3)="SEQ")+16*(AND(LEFT(AT14,4)="ITEM",NOT(ISNUMBER(FIND("DESC",AT14)))))+32*(AND(ISNUMBER(FIND("DESC",AT14)),NOT(ISNUMBER(FIND("CAP",AT14)))))+64*(OR(RIGHT(AT14,5)="COUNT",RIGHT(AT14,2)="CT"))+128*(ISNUMBER(FIND("BULK",AT14)))+256*(ISNUMBER(FIND("SIZE",AT14)))+512*(LEFT(AT14,3)="CAP")+1024*(ISNUMBER(FIND("ALLERG",AT14)))+2048*(OR(ISNUMBER(FIND("REMARK",AT14)),ISNUMBER(FIND("COMMENT",AT14))))+4096*(OR(ISNUMBER(FIND("QTY",AT14)),ISNUMBER(FIND("QUANTITY",AT14))))+8192*(AND(OR(ISNUMBER(FIND("COMPLETE",AT14)),ISNUMBER(FIND("PCT",AT14)),ISNUMBER(FIND("PERCENT",AT14))),NOT(ISNUMBER(FIND("ACTUAL",AT14))),LEN(AT14)&lt;=16))+32768*(OR(ISNUMBER(FIND("DESIC",AT14)),ISNUMBER(FIND("DESSIC",AT14)))))</f>
        <v/>
      </c>
      <c r="AU149">
        <f>IF(AU14="",0,2*(OR(ISNUMBER(FIND("WORKCENTER",AU14)),AND(LEFT(AU14,4)="LINE",NOT(ISNUMBER(FIND("STATUS",AU14))))))+4*(OR(ISNUMBER(FIND("WORKORDER",AU14)),AND(LEFT(AU14,2)="WO",OR(ISNUMBER(FIND("NUM",AU14)),RIGHT(AU14,2)="NO"))))+8*(LEFT(AU14,3)="SEQ")+16*(AND(LEFT(AU14,4)="ITEM",NOT(ISNUMBER(FIND("DESC",AU14)))))+32*(AND(ISNUMBER(FIND("DESC",AU14)),NOT(ISNUMBER(FIND("CAP",AU14)))))+64*(OR(RIGHT(AU14,5)="COUNT",RIGHT(AU14,2)="CT"))+128*(ISNUMBER(FIND("BULK",AU14)))+256*(ISNUMBER(FIND("SIZE",AU14)))+512*(LEFT(AU14,3)="CAP")+1024*(ISNUMBER(FIND("ALLERG",AU14)))+2048*(OR(ISNUMBER(FIND("REMARK",AU14)),ISNUMBER(FIND("COMMENT",AU14))))+4096*(OR(ISNUMBER(FIND("QTY",AU14)),ISNUMBER(FIND("QUANTITY",AU14))))+8192*(AND(OR(ISNUMBER(FIND("COMPLETE",AU14)),ISNUMBER(FIND("PCT",AU14)),ISNUMBER(FIND("PERCENT",AU14))),NOT(ISNUMBER(FIND("ACTUAL",AU14))),LEN(AU14)&lt;=16))+32768*(OR(ISNUMBER(FIND("DESIC",AU14)),ISNUMBER(FIND("DESSIC",AU14)))))</f>
        <v/>
      </c>
      <c r="AV149">
        <f>IF(AV14="",0,2*(OR(ISNUMBER(FIND("WORKCENTER",AV14)),AND(LEFT(AV14,4)="LINE",NOT(ISNUMBER(FIND("STATUS",AV14))))))+4*(OR(ISNUMBER(FIND("WORKORDER",AV14)),AND(LEFT(AV14,2)="WO",OR(ISNUMBER(FIND("NUM",AV14)),RIGHT(AV14,2)="NO"))))+8*(LEFT(AV14,3)="SEQ")+16*(AND(LEFT(AV14,4)="ITEM",NOT(ISNUMBER(FIND("DESC",AV14)))))+32*(AND(ISNUMBER(FIND("DESC",AV14)),NOT(ISNUMBER(FIND("CAP",AV14)))))+64*(OR(RIGHT(AV14,5)="COUNT",RIGHT(AV14,2)="CT"))+128*(ISNUMBER(FIND("BULK",AV14)))+256*(ISNUMBER(FIND("SIZE",AV14)))+512*(LEFT(AV14,3)="CAP")+1024*(ISNUMBER(FIND("ALLERG",AV14)))+2048*(OR(ISNUMBER(FIND("REMARK",AV14)),ISNUMBER(FIND("COMMENT",AV14))))+4096*(OR(ISNUMBER(FIND("QTY",AV14)),ISNUMBER(FIND("QUANTITY",AV14))))+8192*(AND(OR(ISNUMBER(FIND("COMPLETE",AV14)),ISNUMBER(FIND("PCT",AV14)),ISNUMBER(FIND("PERCENT",AV14))),NOT(ISNUMBER(FIND("ACTUAL",AV14))),LEN(AV14)&lt;=16))+32768*(OR(ISNUMBER(FIND("DESIC",AV14)),ISNUMBER(FIND("DESSIC",AV14)))))</f>
        <v/>
      </c>
      <c r="AW149">
        <f>IF(AW14="",0,2*(OR(ISNUMBER(FIND("WORKCENTER",AW14)),AND(LEFT(AW14,4)="LINE",NOT(ISNUMBER(FIND("STATUS",AW14))))))+4*(OR(ISNUMBER(FIND("WORKORDER",AW14)),AND(LEFT(AW14,2)="WO",OR(ISNUMBER(FIND("NUM",AW14)),RIGHT(AW14,2)="NO"))))+8*(LEFT(AW14,3)="SEQ")+16*(AND(LEFT(AW14,4)="ITEM",NOT(ISNUMBER(FIND("DESC",AW14)))))+32*(AND(ISNUMBER(FIND("DESC",AW14)),NOT(ISNUMBER(FIND("CAP",AW14)))))+64*(OR(RIGHT(AW14,5)="COUNT",RIGHT(AW14,2)="CT"))+128*(ISNUMBER(FIND("BULK",AW14)))+256*(ISNUMBER(FIND("SIZE",AW14)))+512*(LEFT(AW14,3)="CAP")+1024*(ISNUMBER(FIND("ALLERG",AW14)))+2048*(OR(ISNUMBER(FIND("REMARK",AW14)),ISNUMBER(FIND("COMMENT",AW14))))+4096*(OR(ISNUMBER(FIND("QTY",AW14)),ISNUMBER(FIND("QUANTITY",AW14))))+8192*(AND(OR(ISNUMBER(FIND("COMPLETE",AW14)),ISNUMBER(FIND("PCT",AW14)),ISNUMBER(FIND("PERCENT",AW14))),NOT(ISNUMBER(FIND("ACTUAL",AW14))),LEN(AW14)&lt;=16))+32768*(OR(ISNUMBER(FIND("DESIC",AW14)),ISNUMBER(FIND("DESSIC",AW14)))))</f>
        <v/>
      </c>
      <c r="AX149">
        <f>IF(AX14="",0,2*(OR(ISNUMBER(FIND("WORKCENTER",AX14)),AND(LEFT(AX14,4)="LINE",NOT(ISNUMBER(FIND("STATUS",AX14))))))+4*(OR(ISNUMBER(FIND("WORKORDER",AX14)),AND(LEFT(AX14,2)="WO",OR(ISNUMBER(FIND("NUM",AX14)),RIGHT(AX14,2)="NO"))))+8*(LEFT(AX14,3)="SEQ")+16*(AND(LEFT(AX14,4)="ITEM",NOT(ISNUMBER(FIND("DESC",AX14)))))+32*(AND(ISNUMBER(FIND("DESC",AX14)),NOT(ISNUMBER(FIND("CAP",AX14)))))+64*(OR(RIGHT(AX14,5)="COUNT",RIGHT(AX14,2)="CT"))+128*(ISNUMBER(FIND("BULK",AX14)))+256*(ISNUMBER(FIND("SIZE",AX14)))+512*(LEFT(AX14,3)="CAP")+1024*(ISNUMBER(FIND("ALLERG",AX14)))+2048*(OR(ISNUMBER(FIND("REMARK",AX14)),ISNUMBER(FIND("COMMENT",AX14))))+4096*(OR(ISNUMBER(FIND("QTY",AX14)),ISNUMBER(FIND("QUANTITY",AX14))))+8192*(AND(OR(ISNUMBER(FIND("COMPLETE",AX14)),ISNUMBER(FIND("PCT",AX14)),ISNUMBER(FIND("PERCENT",AX14))),NOT(ISNUMBER(FIND("ACTUAL",AX14))),LEN(AX14)&lt;=16))+32768*(OR(ISNUMBER(FIND("DESIC",AX14)),ISNUMBER(FIND("DESSIC",AX14)))))</f>
        <v/>
      </c>
      <c r="AY149">
        <f>IF(AY14="",0,2*(OR(ISNUMBER(FIND("WORKCENTER",AY14)),AND(LEFT(AY14,4)="LINE",NOT(ISNUMBER(FIND("STATUS",AY14))))))+4*(OR(ISNUMBER(FIND("WORKORDER",AY14)),AND(LEFT(AY14,2)="WO",OR(ISNUMBER(FIND("NUM",AY14)),RIGHT(AY14,2)="NO"))))+8*(LEFT(AY14,3)="SEQ")+16*(AND(LEFT(AY14,4)="ITEM",NOT(ISNUMBER(FIND("DESC",AY14)))))+32*(AND(ISNUMBER(FIND("DESC",AY14)),NOT(ISNUMBER(FIND("CAP",AY14)))))+64*(OR(RIGHT(AY14,5)="COUNT",RIGHT(AY14,2)="CT"))+128*(ISNUMBER(FIND("BULK",AY14)))+256*(ISNUMBER(FIND("SIZE",AY14)))+512*(LEFT(AY14,3)="CAP")+1024*(ISNUMBER(FIND("ALLERG",AY14)))+2048*(OR(ISNUMBER(FIND("REMARK",AY14)),ISNUMBER(FIND("COMMENT",AY14))))+4096*(OR(ISNUMBER(FIND("QTY",AY14)),ISNUMBER(FIND("QUANTITY",AY14))))+8192*(AND(OR(ISNUMBER(FIND("COMPLETE",AY14)),ISNUMBER(FIND("PCT",AY14)),ISNUMBER(FIND("PERCENT",AY14))),NOT(ISNUMBER(FIND("ACTUAL",AY14))),LEN(AY14)&lt;=16))+32768*(OR(ISNUMBER(FIND("DESIC",AY14)),ISNUMBER(FIND("DESSIC",AY14)))))</f>
        <v/>
      </c>
      <c r="AZ149">
        <f>IF(AZ14="",0,2*(OR(ISNUMBER(FIND("WORKCENTER",AZ14)),AND(LEFT(AZ14,4)="LINE",NOT(ISNUMBER(FIND("STATUS",AZ14))))))+4*(OR(ISNUMBER(FIND("WORKORDER",AZ14)),AND(LEFT(AZ14,2)="WO",OR(ISNUMBER(FIND("NUM",AZ14)),RIGHT(AZ14,2)="NO"))))+8*(LEFT(AZ14,3)="SEQ")+16*(AND(LEFT(AZ14,4)="ITEM",NOT(ISNUMBER(FIND("DESC",AZ14)))))+32*(AND(ISNUMBER(FIND("DESC",AZ14)),NOT(ISNUMBER(FIND("CAP",AZ14)))))+64*(OR(RIGHT(AZ14,5)="COUNT",RIGHT(AZ14,2)="CT"))+128*(ISNUMBER(FIND("BULK",AZ14)))+256*(ISNUMBER(FIND("SIZE",AZ14)))+512*(LEFT(AZ14,3)="CAP")+1024*(ISNUMBER(FIND("ALLERG",AZ14)))+2048*(OR(ISNUMBER(FIND("REMARK",AZ14)),ISNUMBER(FIND("COMMENT",AZ14))))+4096*(OR(ISNUMBER(FIND("QTY",AZ14)),ISNUMBER(FIND("QUANTITY",AZ14))))+8192*(AND(OR(ISNUMBER(FIND("COMPLETE",AZ14)),ISNUMBER(FIND("PCT",AZ14)),ISNUMBER(FIND("PERCENT",AZ14))),NOT(ISNUMBER(FIND("ACTUAL",AZ14))),LEN(AZ14)&lt;=16))+32768*(OR(ISNUMBER(FIND("DESIC",AZ14)),ISNUMBER(FIND("DESSIC",AZ14)))))</f>
        <v/>
      </c>
      <c r="BA149">
        <f>IF(BA14="",0,2*(OR(ISNUMBER(FIND("WORKCENTER",BA14)),AND(LEFT(BA14,4)="LINE",NOT(ISNUMBER(FIND("STATUS",BA14))))))+4*(OR(ISNUMBER(FIND("WORKORDER",BA14)),AND(LEFT(BA14,2)="WO",OR(ISNUMBER(FIND("NUM",BA14)),RIGHT(BA14,2)="NO"))))+8*(LEFT(BA14,3)="SEQ")+16*(AND(LEFT(BA14,4)="ITEM",NOT(ISNUMBER(FIND("DESC",BA14)))))+32*(AND(ISNUMBER(FIND("DESC",BA14)),NOT(ISNUMBER(FIND("CAP",BA14)))))+64*(OR(RIGHT(BA14,5)="COUNT",RIGHT(BA14,2)="CT"))+128*(ISNUMBER(FIND("BULK",BA14)))+256*(ISNUMBER(FIND("SIZE",BA14)))+512*(LEFT(BA14,3)="CAP")+1024*(ISNUMBER(FIND("ALLERG",BA14)))+2048*(OR(ISNUMBER(FIND("REMARK",BA14)),ISNUMBER(FIND("COMMENT",BA14))))+4096*(OR(ISNUMBER(FIND("QTY",BA14)),ISNUMBER(FIND("QUANTITY",BA14))))+8192*(AND(OR(ISNUMBER(FIND("COMPLETE",BA14)),ISNUMBER(FIND("PCT",BA14)),ISNUMBER(FIND("PERCENT",BA14))),NOT(ISNUMBER(FIND("ACTUAL",BA14))),LEN(BA14)&lt;=16))+32768*(OR(ISNUMBER(FIND("DESIC",BA14)),ISNUMBER(FIND("DESSIC",BA14)))))</f>
        <v/>
      </c>
      <c r="BB149">
        <f>IF(BB14="",0,2*(OR(ISNUMBER(FIND("WORKCENTER",BB14)),AND(LEFT(BB14,4)="LINE",NOT(ISNUMBER(FIND("STATUS",BB14))))))+4*(OR(ISNUMBER(FIND("WORKORDER",BB14)),AND(LEFT(BB14,2)="WO",OR(ISNUMBER(FIND("NUM",BB14)),RIGHT(BB14,2)="NO"))))+8*(LEFT(BB14,3)="SEQ")+16*(AND(LEFT(BB14,4)="ITEM",NOT(ISNUMBER(FIND("DESC",BB14)))))+32*(AND(ISNUMBER(FIND("DESC",BB14)),NOT(ISNUMBER(FIND("CAP",BB14)))))+64*(OR(RIGHT(BB14,5)="COUNT",RIGHT(BB14,2)="CT"))+128*(ISNUMBER(FIND("BULK",BB14)))+256*(ISNUMBER(FIND("SIZE",BB14)))+512*(LEFT(BB14,3)="CAP")+1024*(ISNUMBER(FIND("ALLERG",BB14)))+2048*(OR(ISNUMBER(FIND("REMARK",BB14)),ISNUMBER(FIND("COMMENT",BB14))))+4096*(OR(ISNUMBER(FIND("QTY",BB14)),ISNUMBER(FIND("QUANTITY",BB14))))+8192*(AND(OR(ISNUMBER(FIND("COMPLETE",BB14)),ISNUMBER(FIND("PCT",BB14)),ISNUMBER(FIND("PERCENT",BB14))),NOT(ISNUMBER(FIND("ACTUAL",BB14))),LEN(BB14)&lt;=16))+32768*(OR(ISNUMBER(FIND("DESIC",BB14)),ISNUMBER(FIND("DESSIC",BB14)))))</f>
        <v/>
      </c>
      <c r="BC149">
        <f>IF(BC14="",0,2*(OR(ISNUMBER(FIND("WORKCENTER",BC14)),AND(LEFT(BC14,4)="LINE",NOT(ISNUMBER(FIND("STATUS",BC14))))))+4*(OR(ISNUMBER(FIND("WORKORDER",BC14)),AND(LEFT(BC14,2)="WO",OR(ISNUMBER(FIND("NUM",BC14)),RIGHT(BC14,2)="NO"))))+8*(LEFT(BC14,3)="SEQ")+16*(AND(LEFT(BC14,4)="ITEM",NOT(ISNUMBER(FIND("DESC",BC14)))))+32*(AND(ISNUMBER(FIND("DESC",BC14)),NOT(ISNUMBER(FIND("CAP",BC14)))))+64*(OR(RIGHT(BC14,5)="COUNT",RIGHT(BC14,2)="CT"))+128*(ISNUMBER(FIND("BULK",BC14)))+256*(ISNUMBER(FIND("SIZE",BC14)))+512*(LEFT(BC14,3)="CAP")+1024*(ISNUMBER(FIND("ALLERG",BC14)))+2048*(OR(ISNUMBER(FIND("REMARK",BC14)),ISNUMBER(FIND("COMMENT",BC14))))+4096*(OR(ISNUMBER(FIND("QTY",BC14)),ISNUMBER(FIND("QUANTITY",BC14))))+8192*(AND(OR(ISNUMBER(FIND("COMPLETE",BC14)),ISNUMBER(FIND("PCT",BC14)),ISNUMBER(FIND("PERCENT",BC14))),NOT(ISNUMBER(FIND("ACTUAL",BC14))),LEN(BC14)&lt;=16))+32768*(OR(ISNUMBER(FIND("DESIC",BC14)),ISNUMBER(FIND("DESSIC",BC14)))))</f>
        <v/>
      </c>
      <c r="BD149">
        <f>IF(BD14="",0,2*(OR(ISNUMBER(FIND("WORKCENTER",BD14)),AND(LEFT(BD14,4)="LINE",NOT(ISNUMBER(FIND("STATUS",BD14))))))+4*(OR(ISNUMBER(FIND("WORKORDER",BD14)),AND(LEFT(BD14,2)="WO",OR(ISNUMBER(FIND("NUM",BD14)),RIGHT(BD14,2)="NO"))))+8*(LEFT(BD14,3)="SEQ")+16*(AND(LEFT(BD14,4)="ITEM",NOT(ISNUMBER(FIND("DESC",BD14)))))+32*(AND(ISNUMBER(FIND("DESC",BD14)),NOT(ISNUMBER(FIND("CAP",BD14)))))+64*(OR(RIGHT(BD14,5)="COUNT",RIGHT(BD14,2)="CT"))+128*(ISNUMBER(FIND("BULK",BD14)))+256*(ISNUMBER(FIND("SIZE",BD14)))+512*(LEFT(BD14,3)="CAP")+1024*(ISNUMBER(FIND("ALLERG",BD14)))+2048*(OR(ISNUMBER(FIND("REMARK",BD14)),ISNUMBER(FIND("COMMENT",BD14))))+4096*(OR(ISNUMBER(FIND("QTY",BD14)),ISNUMBER(FIND("QUANTITY",BD14))))+8192*(AND(OR(ISNUMBER(FIND("COMPLETE",BD14)),ISNUMBER(FIND("PCT",BD14)),ISNUMBER(FIND("PERCENT",BD14))),NOT(ISNUMBER(FIND("ACTUAL",BD14))),LEN(BD14)&lt;=16))+32768*(OR(ISNUMBER(FIND("DESIC",BD14)),ISNUMBER(FIND("DESSIC",BD14)))))</f>
        <v/>
      </c>
      <c r="BE149">
        <f>IF(BE14="",0,2*(OR(ISNUMBER(FIND("WORKCENTER",BE14)),AND(LEFT(BE14,4)="LINE",NOT(ISNUMBER(FIND("STATUS",BE14))))))+4*(OR(ISNUMBER(FIND("WORKORDER",BE14)),AND(LEFT(BE14,2)="WO",OR(ISNUMBER(FIND("NUM",BE14)),RIGHT(BE14,2)="NO"))))+8*(LEFT(BE14,3)="SEQ")+16*(AND(LEFT(BE14,4)="ITEM",NOT(ISNUMBER(FIND("DESC",BE14)))))+32*(AND(ISNUMBER(FIND("DESC",BE14)),NOT(ISNUMBER(FIND("CAP",BE14)))))+64*(OR(RIGHT(BE14,5)="COUNT",RIGHT(BE14,2)="CT"))+128*(ISNUMBER(FIND("BULK",BE14)))+256*(ISNUMBER(FIND("SIZE",BE14)))+512*(LEFT(BE14,3)="CAP")+1024*(ISNUMBER(FIND("ALLERG",BE14)))+2048*(OR(ISNUMBER(FIND("REMARK",BE14)),ISNUMBER(FIND("COMMENT",BE14))))+4096*(OR(ISNUMBER(FIND("QTY",BE14)),ISNUMBER(FIND("QUANTITY",BE14))))+8192*(AND(OR(ISNUMBER(FIND("COMPLETE",BE14)),ISNUMBER(FIND("PCT",BE14)),ISNUMBER(FIND("PERCENT",BE14))),NOT(ISNUMBER(FIND("ACTUAL",BE14))),LEN(BE14)&lt;=16))+32768*(OR(ISNUMBER(FIND("DESIC",BE14)),ISNUMBER(FIND("DESSIC",BE14)))))</f>
        <v/>
      </c>
      <c r="BF149">
        <f>IF(BF14="",0,2*(OR(ISNUMBER(FIND("WORKCENTER",BF14)),AND(LEFT(BF14,4)="LINE",NOT(ISNUMBER(FIND("STATUS",BF14))))))+4*(OR(ISNUMBER(FIND("WORKORDER",BF14)),AND(LEFT(BF14,2)="WO",OR(ISNUMBER(FIND("NUM",BF14)),RIGHT(BF14,2)="NO"))))+8*(LEFT(BF14,3)="SEQ")+16*(AND(LEFT(BF14,4)="ITEM",NOT(ISNUMBER(FIND("DESC",BF14)))))+32*(AND(ISNUMBER(FIND("DESC",BF14)),NOT(ISNUMBER(FIND("CAP",BF14)))))+64*(OR(RIGHT(BF14,5)="COUNT",RIGHT(BF14,2)="CT"))+128*(ISNUMBER(FIND("BULK",BF14)))+256*(ISNUMBER(FIND("SIZE",BF14)))+512*(LEFT(BF14,3)="CAP")+1024*(ISNUMBER(FIND("ALLERG",BF14)))+2048*(OR(ISNUMBER(FIND("REMARK",BF14)),ISNUMBER(FIND("COMMENT",BF14))))+4096*(OR(ISNUMBER(FIND("QTY",BF14)),ISNUMBER(FIND("QUANTITY",BF14))))+8192*(AND(OR(ISNUMBER(FIND("COMPLETE",BF14)),ISNUMBER(FIND("PCT",BF14)),ISNUMBER(FIND("PERCENT",BF14))),NOT(ISNUMBER(FIND("ACTUAL",BF14))),LEN(BF14)&lt;=16))+32768*(OR(ISNUMBER(FIND("DESIC",BF14)),ISNUMBER(FIND("DESSIC",BF14)))))</f>
        <v/>
      </c>
      <c r="BG149">
        <f>IF(BG14="",0,2*(OR(ISNUMBER(FIND("WORKCENTER",BG14)),AND(LEFT(BG14,4)="LINE",NOT(ISNUMBER(FIND("STATUS",BG14))))))+4*(OR(ISNUMBER(FIND("WORKORDER",BG14)),AND(LEFT(BG14,2)="WO",OR(ISNUMBER(FIND("NUM",BG14)),RIGHT(BG14,2)="NO"))))+8*(LEFT(BG14,3)="SEQ")+16*(AND(LEFT(BG14,4)="ITEM",NOT(ISNUMBER(FIND("DESC",BG14)))))+32*(AND(ISNUMBER(FIND("DESC",BG14)),NOT(ISNUMBER(FIND("CAP",BG14)))))+64*(OR(RIGHT(BG14,5)="COUNT",RIGHT(BG14,2)="CT"))+128*(ISNUMBER(FIND("BULK",BG14)))+256*(ISNUMBER(FIND("SIZE",BG14)))+512*(LEFT(BG14,3)="CAP")+1024*(ISNUMBER(FIND("ALLERG",BG14)))+2048*(OR(ISNUMBER(FIND("REMARK",BG14)),ISNUMBER(FIND("COMMENT",BG14))))+4096*(OR(ISNUMBER(FIND("QTY",BG14)),ISNUMBER(FIND("QUANTITY",BG14))))+8192*(AND(OR(ISNUMBER(FIND("COMPLETE",BG14)),ISNUMBER(FIND("PCT",BG14)),ISNUMBER(FIND("PERCENT",BG14))),NOT(ISNUMBER(FIND("ACTUAL",BG14))),LEN(BG14)&lt;=16))+32768*(OR(ISNUMBER(FIND("DESIC",BG14)),ISNUMBER(FIND("DESSIC",BG14)))))</f>
        <v/>
      </c>
      <c r="BH149">
        <f>IF(BH14="",0,2*(OR(ISNUMBER(FIND("WORKCENTER",BH14)),AND(LEFT(BH14,4)="LINE",NOT(ISNUMBER(FIND("STATUS",BH14))))))+4*(OR(ISNUMBER(FIND("WORKORDER",BH14)),AND(LEFT(BH14,2)="WO",OR(ISNUMBER(FIND("NUM",BH14)),RIGHT(BH14,2)="NO"))))+8*(LEFT(BH14,3)="SEQ")+16*(AND(LEFT(BH14,4)="ITEM",NOT(ISNUMBER(FIND("DESC",BH14)))))+32*(AND(ISNUMBER(FIND("DESC",BH14)),NOT(ISNUMBER(FIND("CAP",BH14)))))+64*(OR(RIGHT(BH14,5)="COUNT",RIGHT(BH14,2)="CT"))+128*(ISNUMBER(FIND("BULK",BH14)))+256*(ISNUMBER(FIND("SIZE",BH14)))+512*(LEFT(BH14,3)="CAP")+1024*(ISNUMBER(FIND("ALLERG",BH14)))+2048*(OR(ISNUMBER(FIND("REMARK",BH14)),ISNUMBER(FIND("COMMENT",BH14))))+4096*(OR(ISNUMBER(FIND("QTY",BH14)),ISNUMBER(FIND("QUANTITY",BH14))))+8192*(AND(OR(ISNUMBER(FIND("COMPLETE",BH14)),ISNUMBER(FIND("PCT",BH14)),ISNUMBER(FIND("PERCENT",BH14))),NOT(ISNUMBER(FIND("ACTUAL",BH14))),LEN(BH14)&lt;=16))+32768*(OR(ISNUMBER(FIND("DESIC",BH14)),ISNUMBER(FIND("DESSIC",BH14)))))</f>
        <v/>
      </c>
      <c r="BI149">
        <f>IF(BI14="",0,2*(OR(ISNUMBER(FIND("WORKCENTER",BI14)),AND(LEFT(BI14,4)="LINE",NOT(ISNUMBER(FIND("STATUS",BI14))))))+4*(OR(ISNUMBER(FIND("WORKORDER",BI14)),AND(LEFT(BI14,2)="WO",OR(ISNUMBER(FIND("NUM",BI14)),RIGHT(BI14,2)="NO"))))+8*(LEFT(BI14,3)="SEQ")+16*(AND(LEFT(BI14,4)="ITEM",NOT(ISNUMBER(FIND("DESC",BI14)))))+32*(AND(ISNUMBER(FIND("DESC",BI14)),NOT(ISNUMBER(FIND("CAP",BI14)))))+64*(OR(RIGHT(BI14,5)="COUNT",RIGHT(BI14,2)="CT"))+128*(ISNUMBER(FIND("BULK",BI14)))+256*(ISNUMBER(FIND("SIZE",BI14)))+512*(LEFT(BI14,3)="CAP")+1024*(ISNUMBER(FIND("ALLERG",BI14)))+2048*(OR(ISNUMBER(FIND("REMARK",BI14)),ISNUMBER(FIND("COMMENT",BI14))))+4096*(OR(ISNUMBER(FIND("QTY",BI14)),ISNUMBER(FIND("QUANTITY",BI14))))+8192*(AND(OR(ISNUMBER(FIND("COMPLETE",BI14)),ISNUMBER(FIND("PCT",BI14)),ISNUMBER(FIND("PERCENT",BI14))),NOT(ISNUMBER(FIND("ACTUAL",BI14))),LEN(BI14)&lt;=16))+32768*(OR(ISNUMBER(FIND("DESIC",BI14)),ISNUMBER(FIND("DESSIC",BI14)))))</f>
        <v/>
      </c>
      <c r="BJ149">
        <f>IF(BJ14="",0,2*(OR(ISNUMBER(FIND("WORKCENTER",BJ14)),AND(LEFT(BJ14,4)="LINE",NOT(ISNUMBER(FIND("STATUS",BJ14))))))+4*(OR(ISNUMBER(FIND("WORKORDER",BJ14)),AND(LEFT(BJ14,2)="WO",OR(ISNUMBER(FIND("NUM",BJ14)),RIGHT(BJ14,2)="NO"))))+8*(LEFT(BJ14,3)="SEQ")+16*(AND(LEFT(BJ14,4)="ITEM",NOT(ISNUMBER(FIND("DESC",BJ14)))))+32*(AND(ISNUMBER(FIND("DESC",BJ14)),NOT(ISNUMBER(FIND("CAP",BJ14)))))+64*(OR(RIGHT(BJ14,5)="COUNT",RIGHT(BJ14,2)="CT"))+128*(ISNUMBER(FIND("BULK",BJ14)))+256*(ISNUMBER(FIND("SIZE",BJ14)))+512*(LEFT(BJ14,3)="CAP")+1024*(ISNUMBER(FIND("ALLERG",BJ14)))+2048*(OR(ISNUMBER(FIND("REMARK",BJ14)),ISNUMBER(FIND("COMMENT",BJ14))))+4096*(OR(ISNUMBER(FIND("QTY",BJ14)),ISNUMBER(FIND("QUANTITY",BJ14))))+8192*(AND(OR(ISNUMBER(FIND("COMPLETE",BJ14)),ISNUMBER(FIND("PCT",BJ14)),ISNUMBER(FIND("PERCENT",BJ14))),NOT(ISNUMBER(FIND("ACTUAL",BJ14))),LEN(BJ14)&lt;=16))+32768*(OR(ISNUMBER(FIND("DESIC",BJ14)),ISNUMBER(FIND("DESSIC",BJ14)))))</f>
        <v/>
      </c>
      <c r="BK149">
        <f>IF(BK14="",0,2*(OR(ISNUMBER(FIND("WORKCENTER",BK14)),AND(LEFT(BK14,4)="LINE",NOT(ISNUMBER(FIND("STATUS",BK14))))))+4*(OR(ISNUMBER(FIND("WORKORDER",BK14)),AND(LEFT(BK14,2)="WO",OR(ISNUMBER(FIND("NUM",BK14)),RIGHT(BK14,2)="NO"))))+8*(LEFT(BK14,3)="SEQ")+16*(AND(LEFT(BK14,4)="ITEM",NOT(ISNUMBER(FIND("DESC",BK14)))))+32*(AND(ISNUMBER(FIND("DESC",BK14)),NOT(ISNUMBER(FIND("CAP",BK14)))))+64*(OR(RIGHT(BK14,5)="COUNT",RIGHT(BK14,2)="CT"))+128*(ISNUMBER(FIND("BULK",BK14)))+256*(ISNUMBER(FIND("SIZE",BK14)))+512*(LEFT(BK14,3)="CAP")+1024*(ISNUMBER(FIND("ALLERG",BK14)))+2048*(OR(ISNUMBER(FIND("REMARK",BK14)),ISNUMBER(FIND("COMMENT",BK14))))+4096*(OR(ISNUMBER(FIND("QTY",BK14)),ISNUMBER(FIND("QUANTITY",BK14))))+8192*(AND(OR(ISNUMBER(FIND("COMPLETE",BK14)),ISNUMBER(FIND("PCT",BK14)),ISNUMBER(FIND("PERCENT",BK14))),NOT(ISNUMBER(FIND("ACTUAL",BK14))),LEN(BK14)&lt;=16))+32768*(OR(ISNUMBER(FIND("DESIC",BK14)),ISNUMBER(FIND("DESSIC",BK14)))))</f>
        <v/>
      </c>
      <c r="BL149">
        <f>IF(BL14="",0,2*(OR(ISNUMBER(FIND("WORKCENTER",BL14)),AND(LEFT(BL14,4)="LINE",NOT(ISNUMBER(FIND("STATUS",BL14))))))+4*(OR(ISNUMBER(FIND("WORKORDER",BL14)),AND(LEFT(BL14,2)="WO",OR(ISNUMBER(FIND("NUM",BL14)),RIGHT(BL14,2)="NO"))))+8*(LEFT(BL14,3)="SEQ")+16*(AND(LEFT(BL14,4)="ITEM",NOT(ISNUMBER(FIND("DESC",BL14)))))+32*(AND(ISNUMBER(FIND("DESC",BL14)),NOT(ISNUMBER(FIND("CAP",BL14)))))+64*(OR(RIGHT(BL14,5)="COUNT",RIGHT(BL14,2)="CT"))+128*(ISNUMBER(FIND("BULK",BL14)))+256*(ISNUMBER(FIND("SIZE",BL14)))+512*(LEFT(BL14,3)="CAP")+1024*(ISNUMBER(FIND("ALLERG",BL14)))+2048*(OR(ISNUMBER(FIND("REMARK",BL14)),ISNUMBER(FIND("COMMENT",BL14))))+4096*(OR(ISNUMBER(FIND("QTY",BL14)),ISNUMBER(FIND("QUANTITY",BL14))))+8192*(AND(OR(ISNUMBER(FIND("COMPLETE",BL14)),ISNUMBER(FIND("PCT",BL14)),ISNUMBER(FIND("PERCENT",BL14))),NOT(ISNUMBER(FIND("ACTUAL",BL14))),LEN(BL14)&lt;=16))+32768*(OR(ISNUMBER(FIND("DESIC",BL14)),ISNUMBER(FIND("DESSIC",BL14)))))</f>
        <v/>
      </c>
      <c r="BM149">
        <f>IF(BM14="",0,2*(OR(ISNUMBER(FIND("WORKCENTER",BM14)),AND(LEFT(BM14,4)="LINE",NOT(ISNUMBER(FIND("STATUS",BM14))))))+4*(OR(ISNUMBER(FIND("WORKORDER",BM14)),AND(LEFT(BM14,2)="WO",OR(ISNUMBER(FIND("NUM",BM14)),RIGHT(BM14,2)="NO"))))+8*(LEFT(BM14,3)="SEQ")+16*(AND(LEFT(BM14,4)="ITEM",NOT(ISNUMBER(FIND("DESC",BM14)))))+32*(AND(ISNUMBER(FIND("DESC",BM14)),NOT(ISNUMBER(FIND("CAP",BM14)))))+64*(OR(RIGHT(BM14,5)="COUNT",RIGHT(BM14,2)="CT"))+128*(ISNUMBER(FIND("BULK",BM14)))+256*(ISNUMBER(FIND("SIZE",BM14)))+512*(LEFT(BM14,3)="CAP")+1024*(ISNUMBER(FIND("ALLERG",BM14)))+2048*(OR(ISNUMBER(FIND("REMARK",BM14)),ISNUMBER(FIND("COMMENT",BM14))))+4096*(OR(ISNUMBER(FIND("QTY",BM14)),ISNUMBER(FIND("QUANTITY",BM14))))+8192*(AND(OR(ISNUMBER(FIND("COMPLETE",BM14)),ISNUMBER(FIND("PCT",BM14)),ISNUMBER(FIND("PERCENT",BM14))),NOT(ISNUMBER(FIND("ACTUAL",BM14))),LEN(BM14)&lt;=16))+32768*(OR(ISNUMBER(FIND("DESIC",BM14)),ISNUMBER(FIND("DESSIC",BM14)))))</f>
        <v/>
      </c>
      <c r="BN149">
        <f>IF(BN14="",0,2*(OR(ISNUMBER(FIND("WORKCENTER",BN14)),AND(LEFT(BN14,4)="LINE",NOT(ISNUMBER(FIND("STATUS",BN14))))))+4*(OR(ISNUMBER(FIND("WORKORDER",BN14)),AND(LEFT(BN14,2)="WO",OR(ISNUMBER(FIND("NUM",BN14)),RIGHT(BN14,2)="NO"))))+8*(LEFT(BN14,3)="SEQ")+16*(AND(LEFT(BN14,4)="ITEM",NOT(ISNUMBER(FIND("DESC",BN14)))))+32*(AND(ISNUMBER(FIND("DESC",BN14)),NOT(ISNUMBER(FIND("CAP",BN14)))))+64*(OR(RIGHT(BN14,5)="COUNT",RIGHT(BN14,2)="CT"))+128*(ISNUMBER(FIND("BULK",BN14)))+256*(ISNUMBER(FIND("SIZE",BN14)))+512*(LEFT(BN14,3)="CAP")+1024*(ISNUMBER(FIND("ALLERG",BN14)))+2048*(OR(ISNUMBER(FIND("REMARK",BN14)),ISNUMBER(FIND("COMMENT",BN14))))+4096*(OR(ISNUMBER(FIND("QTY",BN14)),ISNUMBER(FIND("QUANTITY",BN14))))+8192*(AND(OR(ISNUMBER(FIND("COMPLETE",BN14)),ISNUMBER(FIND("PCT",BN14)),ISNUMBER(FIND("PERCENT",BN14))),NOT(ISNUMBER(FIND("ACTUAL",BN14))),LEN(BN14)&lt;=16))+32768*(OR(ISNUMBER(FIND("DESIC",BN14)),ISNUMBER(FIND("DESSIC",BN14)))))</f>
        <v/>
      </c>
      <c r="BO149">
        <f>IF(BO14="",0,2*(OR(ISNUMBER(FIND("WORKCENTER",BO14)),AND(LEFT(BO14,4)="LINE",NOT(ISNUMBER(FIND("STATUS",BO14))))))+4*(OR(ISNUMBER(FIND("WORKORDER",BO14)),AND(LEFT(BO14,2)="WO",OR(ISNUMBER(FIND("NUM",BO14)),RIGHT(BO14,2)="NO"))))+8*(LEFT(BO14,3)="SEQ")+16*(AND(LEFT(BO14,4)="ITEM",NOT(ISNUMBER(FIND("DESC",BO14)))))+32*(AND(ISNUMBER(FIND("DESC",BO14)),NOT(ISNUMBER(FIND("CAP",BO14)))))+64*(OR(RIGHT(BO14,5)="COUNT",RIGHT(BO14,2)="CT"))+128*(ISNUMBER(FIND("BULK",BO14)))+256*(ISNUMBER(FIND("SIZE",BO14)))+512*(LEFT(BO14,3)="CAP")+1024*(ISNUMBER(FIND("ALLERG",BO14)))+2048*(OR(ISNUMBER(FIND("REMARK",BO14)),ISNUMBER(FIND("COMMENT",BO14))))+4096*(OR(ISNUMBER(FIND("QTY",BO14)),ISNUMBER(FIND("QUANTITY",BO14))))+8192*(AND(OR(ISNUMBER(FIND("COMPLETE",BO14)),ISNUMBER(FIND("PCT",BO14)),ISNUMBER(FIND("PERCENT",BO14))),NOT(ISNUMBER(FIND("ACTUAL",BO14))),LEN(BO14)&lt;=16))+32768*(OR(ISNUMBER(FIND("DESIC",BO14)),ISNUMBER(FIND("DESSIC",BO14)))))</f>
        <v/>
      </c>
      <c r="BP149">
        <f>IF(BP14="",0,2*(OR(ISNUMBER(FIND("WORKCENTER",BP14)),AND(LEFT(BP14,4)="LINE",NOT(ISNUMBER(FIND("STATUS",BP14))))))+4*(OR(ISNUMBER(FIND("WORKORDER",BP14)),AND(LEFT(BP14,2)="WO",OR(ISNUMBER(FIND("NUM",BP14)),RIGHT(BP14,2)="NO"))))+8*(LEFT(BP14,3)="SEQ")+16*(AND(LEFT(BP14,4)="ITEM",NOT(ISNUMBER(FIND("DESC",BP14)))))+32*(AND(ISNUMBER(FIND("DESC",BP14)),NOT(ISNUMBER(FIND("CAP",BP14)))))+64*(OR(RIGHT(BP14,5)="COUNT",RIGHT(BP14,2)="CT"))+128*(ISNUMBER(FIND("BULK",BP14)))+256*(ISNUMBER(FIND("SIZE",BP14)))+512*(LEFT(BP14,3)="CAP")+1024*(ISNUMBER(FIND("ALLERG",BP14)))+2048*(OR(ISNUMBER(FIND("REMARK",BP14)),ISNUMBER(FIND("COMMENT",BP14))))+4096*(OR(ISNUMBER(FIND("QTY",BP14)),ISNUMBER(FIND("QUANTITY",BP14))))+8192*(AND(OR(ISNUMBER(FIND("COMPLETE",BP14)),ISNUMBER(FIND("PCT",BP14)),ISNUMBER(FIND("PERCENT",BP14))),NOT(ISNUMBER(FIND("ACTUAL",BP14))),LEN(BP14)&lt;=16))+32768*(OR(ISNUMBER(FIND("DESIC",BP14)),ISNUMBER(FIND("DESSIC",BP14)))))</f>
        <v/>
      </c>
      <c r="BQ149">
        <f>IF(BQ14="",0,2*(OR(ISNUMBER(FIND("WORKCENTER",BQ14)),AND(LEFT(BQ14,4)="LINE",NOT(ISNUMBER(FIND("STATUS",BQ14))))))+4*(OR(ISNUMBER(FIND("WORKORDER",BQ14)),AND(LEFT(BQ14,2)="WO",OR(ISNUMBER(FIND("NUM",BQ14)),RIGHT(BQ14,2)="NO"))))+8*(LEFT(BQ14,3)="SEQ")+16*(AND(LEFT(BQ14,4)="ITEM",NOT(ISNUMBER(FIND("DESC",BQ14)))))+32*(AND(ISNUMBER(FIND("DESC",BQ14)),NOT(ISNUMBER(FIND("CAP",BQ14)))))+64*(OR(RIGHT(BQ14,5)="COUNT",RIGHT(BQ14,2)="CT"))+128*(ISNUMBER(FIND("BULK",BQ14)))+256*(ISNUMBER(FIND("SIZE",BQ14)))+512*(LEFT(BQ14,3)="CAP")+1024*(ISNUMBER(FIND("ALLERG",BQ14)))+2048*(OR(ISNUMBER(FIND("REMARK",BQ14)),ISNUMBER(FIND("COMMENT",BQ14))))+4096*(OR(ISNUMBER(FIND("QTY",BQ14)),ISNUMBER(FIND("QUANTITY",BQ14))))+8192*(AND(OR(ISNUMBER(FIND("COMPLETE",BQ14)),ISNUMBER(FIND("PCT",BQ14)),ISNUMBER(FIND("PERCENT",BQ14))),NOT(ISNUMBER(FIND("ACTUAL",BQ14))),LEN(BQ14)&lt;=16))+32768*(OR(ISNUMBER(FIND("DESIC",BQ14)),ISNUMBER(FIND("DESSIC",BQ14)))))</f>
        <v/>
      </c>
      <c r="BR149">
        <f>IF(BR14="",0,2*(OR(ISNUMBER(FIND("WORKCENTER",BR14)),AND(LEFT(BR14,4)="LINE",NOT(ISNUMBER(FIND("STATUS",BR14))))))+4*(OR(ISNUMBER(FIND("WORKORDER",BR14)),AND(LEFT(BR14,2)="WO",OR(ISNUMBER(FIND("NUM",BR14)),RIGHT(BR14,2)="NO"))))+8*(LEFT(BR14,3)="SEQ")+16*(AND(LEFT(BR14,4)="ITEM",NOT(ISNUMBER(FIND("DESC",BR14)))))+32*(AND(ISNUMBER(FIND("DESC",BR14)),NOT(ISNUMBER(FIND("CAP",BR14)))))+64*(OR(RIGHT(BR14,5)="COUNT",RIGHT(BR14,2)="CT"))+128*(ISNUMBER(FIND("BULK",BR14)))+256*(ISNUMBER(FIND("SIZE",BR14)))+512*(LEFT(BR14,3)="CAP")+1024*(ISNUMBER(FIND("ALLERG",BR14)))+2048*(OR(ISNUMBER(FIND("REMARK",BR14)),ISNUMBER(FIND("COMMENT",BR14))))+4096*(OR(ISNUMBER(FIND("QTY",BR14)),ISNUMBER(FIND("QUANTITY",BR14))))+8192*(AND(OR(ISNUMBER(FIND("COMPLETE",BR14)),ISNUMBER(FIND("PCT",BR14)),ISNUMBER(FIND("PERCENT",BR14))),NOT(ISNUMBER(FIND("ACTUAL",BR14))),LEN(BR14)&lt;=16))+32768*(OR(ISNUMBER(FIND("DESIC",BR14)),ISNUMBER(FIND("DESSIC",BR14)))))</f>
        <v/>
      </c>
      <c r="BS149">
        <f>IF(BS14="",0,2*(OR(ISNUMBER(FIND("WORKCENTER",BS14)),AND(LEFT(BS14,4)="LINE",NOT(ISNUMBER(FIND("STATUS",BS14))))))+4*(OR(ISNUMBER(FIND("WORKORDER",BS14)),AND(LEFT(BS14,2)="WO",OR(ISNUMBER(FIND("NUM",BS14)),RIGHT(BS14,2)="NO"))))+8*(LEFT(BS14,3)="SEQ")+16*(AND(LEFT(BS14,4)="ITEM",NOT(ISNUMBER(FIND("DESC",BS14)))))+32*(AND(ISNUMBER(FIND("DESC",BS14)),NOT(ISNUMBER(FIND("CAP",BS14)))))+64*(OR(RIGHT(BS14,5)="COUNT",RIGHT(BS14,2)="CT"))+128*(ISNUMBER(FIND("BULK",BS14)))+256*(ISNUMBER(FIND("SIZE",BS14)))+512*(LEFT(BS14,3)="CAP")+1024*(ISNUMBER(FIND("ALLERG",BS14)))+2048*(OR(ISNUMBER(FIND("REMARK",BS14)),ISNUMBER(FIND("COMMENT",BS14))))+4096*(OR(ISNUMBER(FIND("QTY",BS14)),ISNUMBER(FIND("QUANTITY",BS14))))+8192*(AND(OR(ISNUMBER(FIND("COMPLETE",BS14)),ISNUMBER(FIND("PCT",BS14)),ISNUMBER(FIND("PERCENT",BS14))),NOT(ISNUMBER(FIND("ACTUAL",BS14))),LEN(BS14)&lt;=16))+32768*(OR(ISNUMBER(FIND("DESIC",BS14)),ISNUMBER(FIND("DESSIC",BS14)))))</f>
        <v/>
      </c>
      <c r="BT149">
        <f>IF(BT14="",0,2*(OR(ISNUMBER(FIND("WORKCENTER",BT14)),AND(LEFT(BT14,4)="LINE",NOT(ISNUMBER(FIND("STATUS",BT14))))))+4*(OR(ISNUMBER(FIND("WORKORDER",BT14)),AND(LEFT(BT14,2)="WO",OR(ISNUMBER(FIND("NUM",BT14)),RIGHT(BT14,2)="NO"))))+8*(LEFT(BT14,3)="SEQ")+16*(AND(LEFT(BT14,4)="ITEM",NOT(ISNUMBER(FIND("DESC",BT14)))))+32*(AND(ISNUMBER(FIND("DESC",BT14)),NOT(ISNUMBER(FIND("CAP",BT14)))))+64*(OR(RIGHT(BT14,5)="COUNT",RIGHT(BT14,2)="CT"))+128*(ISNUMBER(FIND("BULK",BT14)))+256*(ISNUMBER(FIND("SIZE",BT14)))+512*(LEFT(BT14,3)="CAP")+1024*(ISNUMBER(FIND("ALLERG",BT14)))+2048*(OR(ISNUMBER(FIND("REMARK",BT14)),ISNUMBER(FIND("COMMENT",BT14))))+4096*(OR(ISNUMBER(FIND("QTY",BT14)),ISNUMBER(FIND("QUANTITY",BT14))))+8192*(AND(OR(ISNUMBER(FIND("COMPLETE",BT14)),ISNUMBER(FIND("PCT",BT14)),ISNUMBER(FIND("PERCENT",BT14))),NOT(ISNUMBER(FIND("ACTUAL",BT14))),LEN(BT14)&lt;=16))+32768*(OR(ISNUMBER(FIND("DESIC",BT14)),ISNUMBER(FIND("DESSIC",BT14)))))</f>
        <v/>
      </c>
      <c r="BU149">
        <f>IF(BU14="",0,2*(OR(ISNUMBER(FIND("WORKCENTER",BU14)),AND(LEFT(BU14,4)="LINE",NOT(ISNUMBER(FIND("STATUS",BU14))))))+4*(OR(ISNUMBER(FIND("WORKORDER",BU14)),AND(LEFT(BU14,2)="WO",OR(ISNUMBER(FIND("NUM",BU14)),RIGHT(BU14,2)="NO"))))+8*(LEFT(BU14,3)="SEQ")+16*(AND(LEFT(BU14,4)="ITEM",NOT(ISNUMBER(FIND("DESC",BU14)))))+32*(AND(ISNUMBER(FIND("DESC",BU14)),NOT(ISNUMBER(FIND("CAP",BU14)))))+64*(OR(RIGHT(BU14,5)="COUNT",RIGHT(BU14,2)="CT"))+128*(ISNUMBER(FIND("BULK",BU14)))+256*(ISNUMBER(FIND("SIZE",BU14)))+512*(LEFT(BU14,3)="CAP")+1024*(ISNUMBER(FIND("ALLERG",BU14)))+2048*(OR(ISNUMBER(FIND("REMARK",BU14)),ISNUMBER(FIND("COMMENT",BU14))))+4096*(OR(ISNUMBER(FIND("QTY",BU14)),ISNUMBER(FIND("QUANTITY",BU14))))+8192*(AND(OR(ISNUMBER(FIND("COMPLETE",BU14)),ISNUMBER(FIND("PCT",BU14)),ISNUMBER(FIND("PERCENT",BU14))),NOT(ISNUMBER(FIND("ACTUAL",BU14))),LEN(BU14)&lt;=16))+32768*(OR(ISNUMBER(FIND("DESIC",BU14)),ISNUMBER(FIND("DESSIC",BU14)))))</f>
        <v/>
      </c>
      <c r="BV149">
        <f>IF(BV14="",0,2*(OR(ISNUMBER(FIND("WORKCENTER",BV14)),AND(LEFT(BV14,4)="LINE",NOT(ISNUMBER(FIND("STATUS",BV14))))))+4*(OR(ISNUMBER(FIND("WORKORDER",BV14)),AND(LEFT(BV14,2)="WO",OR(ISNUMBER(FIND("NUM",BV14)),RIGHT(BV14,2)="NO"))))+8*(LEFT(BV14,3)="SEQ")+16*(AND(LEFT(BV14,4)="ITEM",NOT(ISNUMBER(FIND("DESC",BV14)))))+32*(AND(ISNUMBER(FIND("DESC",BV14)),NOT(ISNUMBER(FIND("CAP",BV14)))))+64*(OR(RIGHT(BV14,5)="COUNT",RIGHT(BV14,2)="CT"))+128*(ISNUMBER(FIND("BULK",BV14)))+256*(ISNUMBER(FIND("SIZE",BV14)))+512*(LEFT(BV14,3)="CAP")+1024*(ISNUMBER(FIND("ALLERG",BV14)))+2048*(OR(ISNUMBER(FIND("REMARK",BV14)),ISNUMBER(FIND("COMMENT",BV14))))+4096*(OR(ISNUMBER(FIND("QTY",BV14)),ISNUMBER(FIND("QUANTITY",BV14))))+8192*(AND(OR(ISNUMBER(FIND("COMPLETE",BV14)),ISNUMBER(FIND("PCT",BV14)),ISNUMBER(FIND("PERCENT",BV14))),NOT(ISNUMBER(FIND("ACTUAL",BV14))),LEN(BV14)&lt;=16))+32768*(OR(ISNUMBER(FIND("DESIC",BV14)),ISNUMBER(FIND("DESSIC",BV14)))))</f>
        <v/>
      </c>
      <c r="BW149">
        <f>IF(BW14="",0,2*(OR(ISNUMBER(FIND("WORKCENTER",BW14)),AND(LEFT(BW14,4)="LINE",NOT(ISNUMBER(FIND("STATUS",BW14))))))+4*(OR(ISNUMBER(FIND("WORKORDER",BW14)),AND(LEFT(BW14,2)="WO",OR(ISNUMBER(FIND("NUM",BW14)),RIGHT(BW14,2)="NO"))))+8*(LEFT(BW14,3)="SEQ")+16*(AND(LEFT(BW14,4)="ITEM",NOT(ISNUMBER(FIND("DESC",BW14)))))+32*(AND(ISNUMBER(FIND("DESC",BW14)),NOT(ISNUMBER(FIND("CAP",BW14)))))+64*(OR(RIGHT(BW14,5)="COUNT",RIGHT(BW14,2)="CT"))+128*(ISNUMBER(FIND("BULK",BW14)))+256*(ISNUMBER(FIND("SIZE",BW14)))+512*(LEFT(BW14,3)="CAP")+1024*(ISNUMBER(FIND("ALLERG",BW14)))+2048*(OR(ISNUMBER(FIND("REMARK",BW14)),ISNUMBER(FIND("COMMENT",BW14))))+4096*(OR(ISNUMBER(FIND("QTY",BW14)),ISNUMBER(FIND("QUANTITY",BW14))))+8192*(AND(OR(ISNUMBER(FIND("COMPLETE",BW14)),ISNUMBER(FIND("PCT",BW14)),ISNUMBER(FIND("PERCENT",BW14))),NOT(ISNUMBER(FIND("ACTUAL",BW14))),LEN(BW14)&lt;=16))+32768*(OR(ISNUMBER(FIND("DESIC",BW14)),ISNUMBER(FIND("DESSIC",BW14)))))</f>
        <v/>
      </c>
      <c r="BX149">
        <f>IF(BX14="",0,2*(OR(ISNUMBER(FIND("WORKCENTER",BX14)),AND(LEFT(BX14,4)="LINE",NOT(ISNUMBER(FIND("STATUS",BX14))))))+4*(OR(ISNUMBER(FIND("WORKORDER",BX14)),AND(LEFT(BX14,2)="WO",OR(ISNUMBER(FIND("NUM",BX14)),RIGHT(BX14,2)="NO"))))+8*(LEFT(BX14,3)="SEQ")+16*(AND(LEFT(BX14,4)="ITEM",NOT(ISNUMBER(FIND("DESC",BX14)))))+32*(AND(ISNUMBER(FIND("DESC",BX14)),NOT(ISNUMBER(FIND("CAP",BX14)))))+64*(OR(RIGHT(BX14,5)="COUNT",RIGHT(BX14,2)="CT"))+128*(ISNUMBER(FIND("BULK",BX14)))+256*(ISNUMBER(FIND("SIZE",BX14)))+512*(LEFT(BX14,3)="CAP")+1024*(ISNUMBER(FIND("ALLERG",BX14)))+2048*(OR(ISNUMBER(FIND("REMARK",BX14)),ISNUMBER(FIND("COMMENT",BX14))))+4096*(OR(ISNUMBER(FIND("QTY",BX14)),ISNUMBER(FIND("QUANTITY",BX14))))+8192*(AND(OR(ISNUMBER(FIND("COMPLETE",BX14)),ISNUMBER(FIND("PCT",BX14)),ISNUMBER(FIND("PERCENT",BX14))),NOT(ISNUMBER(FIND("ACTUAL",BX14))),LEN(BX14)&lt;=16))+32768*(OR(ISNUMBER(FIND("DESIC",BX14)),ISNUMBER(FIND("DESSIC",BX14)))))</f>
        <v/>
      </c>
      <c r="BY149">
        <f>IF(BY14="",0,2*(OR(ISNUMBER(FIND("WORKCENTER",BY14)),AND(LEFT(BY14,4)="LINE",NOT(ISNUMBER(FIND("STATUS",BY14))))))+4*(OR(ISNUMBER(FIND("WORKORDER",BY14)),AND(LEFT(BY14,2)="WO",OR(ISNUMBER(FIND("NUM",BY14)),RIGHT(BY14,2)="NO"))))+8*(LEFT(BY14,3)="SEQ")+16*(AND(LEFT(BY14,4)="ITEM",NOT(ISNUMBER(FIND("DESC",BY14)))))+32*(AND(ISNUMBER(FIND("DESC",BY14)),NOT(ISNUMBER(FIND("CAP",BY14)))))+64*(OR(RIGHT(BY14,5)="COUNT",RIGHT(BY14,2)="CT"))+128*(ISNUMBER(FIND("BULK",BY14)))+256*(ISNUMBER(FIND("SIZE",BY14)))+512*(LEFT(BY14,3)="CAP")+1024*(ISNUMBER(FIND("ALLERG",BY14)))+2048*(OR(ISNUMBER(FIND("REMARK",BY14)),ISNUMBER(FIND("COMMENT",BY14))))+4096*(OR(ISNUMBER(FIND("QTY",BY14)),ISNUMBER(FIND("QUANTITY",BY14))))+8192*(AND(OR(ISNUMBER(FIND("COMPLETE",BY14)),ISNUMBER(FIND("PCT",BY14)),ISNUMBER(FIND("PERCENT",BY14))),NOT(ISNUMBER(FIND("ACTUAL",BY14))),LEN(BY14)&lt;=16))+32768*(OR(ISNUMBER(FIND("DESIC",BY14)),ISNUMBER(FIND("DESSIC",BY14)))))</f>
        <v/>
      </c>
      <c r="BZ149">
        <f>IF(BZ14="",0,2*(OR(ISNUMBER(FIND("WORKCENTER",BZ14)),AND(LEFT(BZ14,4)="LINE",NOT(ISNUMBER(FIND("STATUS",BZ14))))))+4*(OR(ISNUMBER(FIND("WORKORDER",BZ14)),AND(LEFT(BZ14,2)="WO",OR(ISNUMBER(FIND("NUM",BZ14)),RIGHT(BZ14,2)="NO"))))+8*(LEFT(BZ14,3)="SEQ")+16*(AND(LEFT(BZ14,4)="ITEM",NOT(ISNUMBER(FIND("DESC",BZ14)))))+32*(AND(ISNUMBER(FIND("DESC",BZ14)),NOT(ISNUMBER(FIND("CAP",BZ14)))))+64*(OR(RIGHT(BZ14,5)="COUNT",RIGHT(BZ14,2)="CT"))+128*(ISNUMBER(FIND("BULK",BZ14)))+256*(ISNUMBER(FIND("SIZE",BZ14)))+512*(LEFT(BZ14,3)="CAP")+1024*(ISNUMBER(FIND("ALLERG",BZ14)))+2048*(OR(ISNUMBER(FIND("REMARK",BZ14)),ISNUMBER(FIND("COMMENT",BZ14))))+4096*(OR(ISNUMBER(FIND("QTY",BZ14)),ISNUMBER(FIND("QUANTITY",BZ14))))+8192*(AND(OR(ISNUMBER(FIND("COMPLETE",BZ14)),ISNUMBER(FIND("PCT",BZ14)),ISNUMBER(FIND("PERCENT",BZ14))),NOT(ISNUMBER(FIND("ACTUAL",BZ14))),LEN(BZ14)&lt;=16))+32768*(OR(ISNUMBER(FIND("DESIC",BZ14)),ISNUMBER(FIND("DESSIC",BZ14)))))</f>
        <v/>
      </c>
      <c r="CA149">
        <f>IF(CA14="",0,2*(OR(ISNUMBER(FIND("WORKCENTER",CA14)),AND(LEFT(CA14,4)="LINE",NOT(ISNUMBER(FIND("STATUS",CA14))))))+4*(OR(ISNUMBER(FIND("WORKORDER",CA14)),AND(LEFT(CA14,2)="WO",OR(ISNUMBER(FIND("NUM",CA14)),RIGHT(CA14,2)="NO"))))+8*(LEFT(CA14,3)="SEQ")+16*(AND(LEFT(CA14,4)="ITEM",NOT(ISNUMBER(FIND("DESC",CA14)))))+32*(AND(ISNUMBER(FIND("DESC",CA14)),NOT(ISNUMBER(FIND("CAP",CA14)))))+64*(OR(RIGHT(CA14,5)="COUNT",RIGHT(CA14,2)="CT"))+128*(ISNUMBER(FIND("BULK",CA14)))+256*(ISNUMBER(FIND("SIZE",CA14)))+512*(LEFT(CA14,3)="CAP")+1024*(ISNUMBER(FIND("ALLERG",CA14)))+2048*(OR(ISNUMBER(FIND("REMARK",CA14)),ISNUMBER(FIND("COMMENT",CA14))))+4096*(OR(ISNUMBER(FIND("QTY",CA14)),ISNUMBER(FIND("QUANTITY",CA14))))+8192*(AND(OR(ISNUMBER(FIND("COMPLETE",CA14)),ISNUMBER(FIND("PCT",CA14)),ISNUMBER(FIND("PERCENT",CA14))),NOT(ISNUMBER(FIND("ACTUAL",CA14))),LEN(CA14)&lt;=16))+32768*(OR(ISNUMBER(FIND("DESIC",CA14)),ISNUMBER(FIND("DESSIC",CA14)))))</f>
        <v/>
      </c>
      <c r="CB149">
        <f>IF(CB14="",0,2*(OR(ISNUMBER(FIND("WORKCENTER",CB14)),AND(LEFT(CB14,4)="LINE",NOT(ISNUMBER(FIND("STATUS",CB14))))))+4*(OR(ISNUMBER(FIND("WORKORDER",CB14)),AND(LEFT(CB14,2)="WO",OR(ISNUMBER(FIND("NUM",CB14)),RIGHT(CB14,2)="NO"))))+8*(LEFT(CB14,3)="SEQ")+16*(AND(LEFT(CB14,4)="ITEM",NOT(ISNUMBER(FIND("DESC",CB14)))))+32*(AND(ISNUMBER(FIND("DESC",CB14)),NOT(ISNUMBER(FIND("CAP",CB14)))))+64*(OR(RIGHT(CB14,5)="COUNT",RIGHT(CB14,2)="CT"))+128*(ISNUMBER(FIND("BULK",CB14)))+256*(ISNUMBER(FIND("SIZE",CB14)))+512*(LEFT(CB14,3)="CAP")+1024*(ISNUMBER(FIND("ALLERG",CB14)))+2048*(OR(ISNUMBER(FIND("REMARK",CB14)),ISNUMBER(FIND("COMMENT",CB14))))+4096*(OR(ISNUMBER(FIND("QTY",CB14)),ISNUMBER(FIND("QUANTITY",CB14))))+8192*(AND(OR(ISNUMBER(FIND("COMPLETE",CB14)),ISNUMBER(FIND("PCT",CB14)),ISNUMBER(FIND("PERCENT",CB14))),NOT(ISNUMBER(FIND("ACTUAL",CB14))),LEN(CB14)&lt;=16))+32768*(OR(ISNUMBER(FIND("DESIC",CB14)),ISNUMBER(FIND("DESSIC",CB14)))))</f>
        <v/>
      </c>
      <c r="CC149">
        <f>IF(CC14="",0,2*(OR(ISNUMBER(FIND("WORKCENTER",CC14)),AND(LEFT(CC14,4)="LINE",NOT(ISNUMBER(FIND("STATUS",CC14))))))+4*(OR(ISNUMBER(FIND("WORKORDER",CC14)),AND(LEFT(CC14,2)="WO",OR(ISNUMBER(FIND("NUM",CC14)),RIGHT(CC14,2)="NO"))))+8*(LEFT(CC14,3)="SEQ")+16*(AND(LEFT(CC14,4)="ITEM",NOT(ISNUMBER(FIND("DESC",CC14)))))+32*(AND(ISNUMBER(FIND("DESC",CC14)),NOT(ISNUMBER(FIND("CAP",CC14)))))+64*(OR(RIGHT(CC14,5)="COUNT",RIGHT(CC14,2)="CT"))+128*(ISNUMBER(FIND("BULK",CC14)))+256*(ISNUMBER(FIND("SIZE",CC14)))+512*(LEFT(CC14,3)="CAP")+1024*(ISNUMBER(FIND("ALLERG",CC14)))+2048*(OR(ISNUMBER(FIND("REMARK",CC14)),ISNUMBER(FIND("COMMENT",CC14))))+4096*(OR(ISNUMBER(FIND("QTY",CC14)),ISNUMBER(FIND("QUANTITY",CC14))))+8192*(AND(OR(ISNUMBER(FIND("COMPLETE",CC14)),ISNUMBER(FIND("PCT",CC14)),ISNUMBER(FIND("PERCENT",CC14))),NOT(ISNUMBER(FIND("ACTUAL",CC14))),LEN(CC14)&lt;=16))+32768*(OR(ISNUMBER(FIND("DESIC",CC14)),ISNUMBER(FIND("DESSIC",CC14)))))</f>
        <v/>
      </c>
      <c r="CD149">
        <f>IF(CD14="",0,2*(OR(ISNUMBER(FIND("WORKCENTER",CD14)),AND(LEFT(CD14,4)="LINE",NOT(ISNUMBER(FIND("STATUS",CD14))))))+4*(OR(ISNUMBER(FIND("WORKORDER",CD14)),AND(LEFT(CD14,2)="WO",OR(ISNUMBER(FIND("NUM",CD14)),RIGHT(CD14,2)="NO"))))+8*(LEFT(CD14,3)="SEQ")+16*(AND(LEFT(CD14,4)="ITEM",NOT(ISNUMBER(FIND("DESC",CD14)))))+32*(AND(ISNUMBER(FIND("DESC",CD14)),NOT(ISNUMBER(FIND("CAP",CD14)))))+64*(OR(RIGHT(CD14,5)="COUNT",RIGHT(CD14,2)="CT"))+128*(ISNUMBER(FIND("BULK",CD14)))+256*(ISNUMBER(FIND("SIZE",CD14)))+512*(LEFT(CD14,3)="CAP")+1024*(ISNUMBER(FIND("ALLERG",CD14)))+2048*(OR(ISNUMBER(FIND("REMARK",CD14)),ISNUMBER(FIND("COMMENT",CD14))))+4096*(OR(ISNUMBER(FIND("QTY",CD14)),ISNUMBER(FIND("QUANTITY",CD14))))+8192*(AND(OR(ISNUMBER(FIND("COMPLETE",CD14)),ISNUMBER(FIND("PCT",CD14)),ISNUMBER(FIND("PERCENT",CD14))),NOT(ISNUMBER(FIND("ACTUAL",CD14))),LEN(CD14)&lt;=16))+32768*(OR(ISNUMBER(FIND("DESIC",CD14)),ISNUMBER(FIND("DESSIC",CD14)))))</f>
        <v/>
      </c>
      <c r="CE149">
        <f>IF(CE14="",0,2*(OR(ISNUMBER(FIND("WORKCENTER",CE14)),AND(LEFT(CE14,4)="LINE",NOT(ISNUMBER(FIND("STATUS",CE14))))))+4*(OR(ISNUMBER(FIND("WORKORDER",CE14)),AND(LEFT(CE14,2)="WO",OR(ISNUMBER(FIND("NUM",CE14)),RIGHT(CE14,2)="NO"))))+8*(LEFT(CE14,3)="SEQ")+16*(AND(LEFT(CE14,4)="ITEM",NOT(ISNUMBER(FIND("DESC",CE14)))))+32*(AND(ISNUMBER(FIND("DESC",CE14)),NOT(ISNUMBER(FIND("CAP",CE14)))))+64*(OR(RIGHT(CE14,5)="COUNT",RIGHT(CE14,2)="CT"))+128*(ISNUMBER(FIND("BULK",CE14)))+256*(ISNUMBER(FIND("SIZE",CE14)))+512*(LEFT(CE14,3)="CAP")+1024*(ISNUMBER(FIND("ALLERG",CE14)))+2048*(OR(ISNUMBER(FIND("REMARK",CE14)),ISNUMBER(FIND("COMMENT",CE14))))+4096*(OR(ISNUMBER(FIND("QTY",CE14)),ISNUMBER(FIND("QUANTITY",CE14))))+8192*(AND(OR(ISNUMBER(FIND("COMPLETE",CE14)),ISNUMBER(FIND("PCT",CE14)),ISNUMBER(FIND("PERCENT",CE14))),NOT(ISNUMBER(FIND("ACTUAL",CE14))),LEN(CE14)&lt;=16))+32768*(OR(ISNUMBER(FIND("DESIC",CE14)),ISNUMBER(FIND("DESSIC",CE14)))))</f>
        <v/>
      </c>
      <c r="CF149">
        <f>IF(CF14="",0,2*(OR(ISNUMBER(FIND("WORKCENTER",CF14)),AND(LEFT(CF14,4)="LINE",NOT(ISNUMBER(FIND("STATUS",CF14))))))+4*(OR(ISNUMBER(FIND("WORKORDER",CF14)),AND(LEFT(CF14,2)="WO",OR(ISNUMBER(FIND("NUM",CF14)),RIGHT(CF14,2)="NO"))))+8*(LEFT(CF14,3)="SEQ")+16*(AND(LEFT(CF14,4)="ITEM",NOT(ISNUMBER(FIND("DESC",CF14)))))+32*(AND(ISNUMBER(FIND("DESC",CF14)),NOT(ISNUMBER(FIND("CAP",CF14)))))+64*(OR(RIGHT(CF14,5)="COUNT",RIGHT(CF14,2)="CT"))+128*(ISNUMBER(FIND("BULK",CF14)))+256*(ISNUMBER(FIND("SIZE",CF14)))+512*(LEFT(CF14,3)="CAP")+1024*(ISNUMBER(FIND("ALLERG",CF14)))+2048*(OR(ISNUMBER(FIND("REMARK",CF14)),ISNUMBER(FIND("COMMENT",CF14))))+4096*(OR(ISNUMBER(FIND("QTY",CF14)),ISNUMBER(FIND("QUANTITY",CF14))))+8192*(AND(OR(ISNUMBER(FIND("COMPLETE",CF14)),ISNUMBER(FIND("PCT",CF14)),ISNUMBER(FIND("PERCENT",CF14))),NOT(ISNUMBER(FIND("ACTUAL",CF14))),LEN(CF14)&lt;=16))+32768*(OR(ISNUMBER(FIND("DESIC",CF14)),ISNUMBER(FIND("DESSIC",CF14)))))</f>
        <v/>
      </c>
      <c r="DA149" t="n">
        <v>145</v>
      </c>
      <c r="DB149">
        <f>IF($B$37=0,"",IFERROR(TRIM(SUBSTITUTE(SUBSTITUTE(SUBSTITUTE(SUBSTITUTE(INDEX(PASTE_ALL,145,$B$37)," "," "),CHAR(9)," "),CHAR(10)," "),CHAR(13)," ")),""))</f>
        <v/>
      </c>
      <c r="DC149">
        <f>IF(AND(145&gt;HEADER_ROW,UPPER(DB149)="LEGEND"),1,0)</f>
        <v/>
      </c>
      <c r="DE149" t="n">
        <v>145</v>
      </c>
      <c r="DF149">
        <f>HEADER_ROW+$DE149</f>
        <v/>
      </c>
      <c r="DG149">
        <f>IF(AND($DF149&lt;=1000,$DF149&lt;$B$8),1,0)</f>
        <v/>
      </c>
      <c r="DH149">
        <f>IF($DG149=1,IFERROR(INDEX($DB$5:$DB$1004,$DF149),""),"")</f>
        <v/>
      </c>
      <c r="DI149">
        <f>IF(AND($DG149=1,$DH149&lt;&gt;""),IFERROR(SUBSTITUTE(SUBSTITUTE(TRIM(SUBSTITUTE(SUBSTITUTE(SUBSTITUTE(SUBSTITUTE(IFERROR(INDEX(PASTE_ALL,$DF149,1)&amp;"","")&amp;"␟"&amp;IFERROR(INDEX(PASTE_ALL,$DF149,2)&amp;"","")&amp;"␟"&amp;IFERROR(INDEX(PASTE_ALL,$DF149,3)&amp;"","")&amp;"␟"&amp;IFERROR(INDEX(PASTE_ALL,$DF149,4)&amp;"","")&amp;"␟"&amp;IFERROR(INDEX(PASTE_ALL,$DF149,5)&amp;"","")&amp;"␟"&amp;IFERROR(INDEX(PASTE_ALL,$DF149,6)&amp;"","")&amp;"␟"&amp;IFERROR(INDEX(PASTE_ALL,$DF149,7)&amp;"","")&amp;"␟"&amp;IFERROR(INDEX(PASTE_ALL,$DF149,8)&amp;"","")&amp;"␟"&amp;IFERROR(INDEX(PASTE_ALL,$DF149,9)&amp;"","")&amp;"␟"&amp;IFERROR(INDEX(PASTE_ALL,$DF149,10)&amp;"","")&amp;"␟"&amp;IFERROR(INDEX(PASTE_ALL,$DF149,11)&amp;"","")&amp;"␟"&amp;IFERROR(INDEX(PASTE_ALL,$DF149,12)&amp;"","")&amp;"␟"&amp;IFERROR(INDEX(PASTE_ALL,$DF149,13)&amp;"","")&amp;"␟"&amp;IFERROR(INDEX(PASTE_ALL,$DF149,14)&amp;"","")&amp;"␟"&amp;IFERROR(INDEX(PASTE_ALL,$DF149,15)&amp;"","")&amp;"␟"&amp;IFERROR(INDEX(PASTE_ALL,$DF149,16)&amp;"","")&amp;"␟"&amp;IFERROR(INDEX(PASTE_ALL,$DF149,17)&amp;"","")&amp;"␟"&amp;IFERROR(INDEX(PASTE_ALL,$DF149,18)&amp;"","")&amp;"␟"&amp;IFERROR(INDEX(PASTE_ALL,$DF149,19)&amp;"","")&amp;"␟"&amp;IFERROR(INDEX(PASTE_ALL,$DF149,20)&amp;"","")&amp;"␟"&amp;IFERROR(INDEX(PASTE_ALL,$DF149,21)&amp;"","")&amp;"␟"&amp;IFERROR(INDEX(PASTE_ALL,$DF149,22)&amp;"","")&amp;"␟"&amp;IFERROR(INDEX(PASTE_ALL,$DF149,23)&amp;"","")&amp;"␟"&amp;IFERROR(INDEX(PASTE_ALL,$DF149,24)&amp;"","")&amp;"␟"&amp;IFERROR(INDEX(PASTE_ALL,$DF149,25)&amp;"","")&amp;"␟"&amp;IFERROR(INDEX(PASTE_ALL,$DF149,26)&amp;"","")&amp;"␟"&amp;IFERROR(INDEX(PASTE_ALL,$DF149,27)&amp;"","")&amp;"␟"&amp;IFERROR(INDEX(PASTE_ALL,$DF149,28)&amp;"","")&amp;"␟"&amp;IFERROR(INDEX(PASTE_ALL,$DF149,29)&amp;"","")&amp;"␟"&amp;IFERROR(INDEX(PASTE_ALL,$DF149,30)&amp;"","")&amp;"␟"&amp;IFERROR(INDEX(PASTE_ALL,$DF149,31)&amp;"","")&amp;"␟"&amp;IFERROR(INDEX(PASTE_ALL,$DF149,32)&amp;"","")&amp;"␟"&amp;IFERROR(INDEX(PASTE_ALL,$DF149,33)&amp;"","")&amp;"␟"&amp;IFERROR(INDEX(PASTE_ALL,$DF149,34)&amp;"","")&amp;"␟"&amp;IFERROR(INDEX(PASTE_ALL,$DF149,35)&amp;"","")&amp;"␟"&amp;IFERROR(INDEX(PASTE_ALL,$DF149,36)&amp;"","")&amp;"␟"&amp;IFERROR(INDEX(PASTE_ALL,$DF149,37)&amp;"","")&amp;"␟"&amp;IFERROR(INDEX(PASTE_ALL,$DF149,38)&amp;"","")&amp;"␟"&amp;IFERROR(INDEX(PASTE_ALL,$DF149,39)&amp;"","")&amp;"␟"&amp;IFERROR(INDEX(PASTE_ALL,$DF149,40)&amp;"","")&amp;"␟"&amp;IFERROR(INDEX(PASTE_ALL,$DF149,41)&amp;"","")&amp;"␟"&amp;IFERROR(INDEX(PASTE_ALL,$DF149,42)&amp;"","")&amp;"␟"&amp;IFERROR(INDEX(PASTE_ALL,$DF149,43)&amp;"","")&amp;"␟"&amp;IFERROR(INDEX(PASTE_ALL,$DF149,44)&amp;"","")&amp;"␟"&amp;IFERROR(INDEX(PASTE_ALL,$DF149,45)&amp;"","")&amp;"␟"&amp;IFERROR(INDEX(PASTE_ALL,$DF149,46)&amp;"","")&amp;"␟"&amp;IFERROR(INDEX(PASTE_ALL,$DF149,47)&amp;"","")&amp;"␟"&amp;IFERROR(INDEX(PASTE_ALL,$DF149,48)&amp;"","")&amp;"␟"&amp;IFERROR(INDEX(PASTE_ALL,$DF149,49)&amp;"","")&amp;"␟"&amp;IFERROR(INDEX(PASTE_ALL,$DF149,50)&amp;"","")&amp;"␟"&amp;IFERROR(INDEX(PASTE_ALL,$DF149,51)&amp;"","")&amp;"␟"&amp;IFERROR(INDEX(PASTE_ALL,$DF149,52)&amp;"","")&amp;"␟"&amp;IFERROR(INDEX(PASTE_ALL,$DF149,53)&amp;"","")&amp;"␟"&amp;IFERROR(INDEX(PASTE_ALL,$DF149,54)&amp;"","")&amp;"␟"&amp;IFERROR(INDEX(PASTE_ALL,$DF149,55)&amp;"","")&amp;"␟"&amp;IFERROR(INDEX(PASTE_ALL,$DF149,56)&amp;"","")&amp;"␟"&amp;IFERROR(INDEX(PASTE_ALL,$DF149,57)&amp;"","")&amp;"␟"&amp;IFERROR(INDEX(PASTE_ALL,$DF149,58)&amp;"","")&amp;"␟"&amp;IFERROR(INDEX(PASTE_ALL,$DF149,59)&amp;"","")&amp;"␟"&amp;IFERROR(INDEX(PASTE_ALL,$DF149,60)&amp;"","")," "," "),CHAR(9)," "),CHAR(10)," "),CHAR(13)," "))," ␟","␟"),"␟ ","␟"),"#"&amp;$DE149),"")</f>
        <v/>
      </c>
      <c r="DJ149">
        <f>IF($DI149="",0,IF(SUMPRODUCT(--EXACT($DI$4:DI148,$DI149))&gt;0,1,0))</f>
        <v/>
      </c>
      <c r="DK149">
        <f>IF(AND($DI149&lt;&gt;"",$DJ149=0),1,0)</f>
        <v/>
      </c>
      <c r="DL149">
        <f>DL148+$DK149</f>
        <v/>
      </c>
      <c r="DM149">
        <f>IF(AND($DK149=1,$DL149&lt;=600),1,0)</f>
        <v/>
      </c>
      <c r="DN149">
        <f>IF($DM149=0,"",IF($L$6=0,"",IFERROR(IF(ISNUMBER(INDEX(PASTE_ALL,$DF149,$L$6)),INDEX(PASTE_ALL,$DF149,$L$6),TRIM(SUBSTITUTE(SUBSTITUTE(SUBSTITUTE(SUBSTITUTE(INDEX(PASTE_ALL,$DF149,$L$6)," "," "),CHAR(9)," "),CHAR(10)," "),CHAR(13)," "))),"")))</f>
        <v/>
      </c>
      <c r="DO149">
        <f>IF($DM149=0,"",IF($L$7=0,"",IFERROR(IF(ISNUMBER(INDEX(PASTE_ALL,$DF149,$L$7)),INDEX(PASTE_ALL,$DF149,$L$7),TRIM(SUBSTITUTE(SUBSTITUTE(SUBSTITUTE(SUBSTITUTE(INDEX(PASTE_ALL,$DF149,$L$7)," "," "),CHAR(9)," "),CHAR(10)," "),CHAR(13)," "))),"")))</f>
        <v/>
      </c>
      <c r="DP149">
        <f>IF($DM149=0,"",IF($L$8=0,"",IFERROR(IF(ISNUMBER(INDEX(PASTE_ALL,$DF149,$L$8)),INDEX(PASTE_ALL,$DF149,$L$8),TRIM(SUBSTITUTE(SUBSTITUTE(SUBSTITUTE(SUBSTITUTE(INDEX(PASTE_ALL,$DF149,$L$8)," "," "),CHAR(9)," "),CHAR(10)," "),CHAR(13)," "))),"")))</f>
        <v/>
      </c>
      <c r="DQ149">
        <f>IF($DM149=0,"",IF($L$9=0,"",IFERROR(IF(ISNUMBER(INDEX(PASTE_ALL,$DF149,$L$9)),INDEX(PASTE_ALL,$DF149,$L$9),TRIM(SUBSTITUTE(SUBSTITUTE(SUBSTITUTE(SUBSTITUTE(INDEX(PASTE_ALL,$DF149,$L$9)," "," "),CHAR(9)," "),CHAR(10)," "),CHAR(13)," "))),"")))</f>
        <v/>
      </c>
      <c r="DR149">
        <f>IF($DM149=0,"",IF($L$10=0,"",IFERROR(IF(ISNUMBER(INDEX(PASTE_ALL,$DF149,$L$10)),INDEX(PASTE_ALL,$DF149,$L$10),TRIM(SUBSTITUTE(SUBSTITUTE(SUBSTITUTE(SUBSTITUTE(INDEX(PASTE_ALL,$DF149,$L$10)," "," "),CHAR(9)," "),CHAR(10)," "),CHAR(13)," "))),"")))</f>
        <v/>
      </c>
      <c r="DS149">
        <f>IF($DM149=0,"",IF($L$11=0,"",IFERROR(IF(ISNUMBER(INDEX(PASTE_ALL,$DF149,$L$11)),INDEX(PASTE_ALL,$DF149,$L$11),TRIM(SUBSTITUTE(SUBSTITUTE(SUBSTITUTE(SUBSTITUTE(INDEX(PASTE_ALL,$DF149,$L$11)," "," "),CHAR(9)," "),CHAR(10)," "),CHAR(13)," "))),"")))</f>
        <v/>
      </c>
      <c r="DT149">
        <f>IF($DM149=0,"",IF($L$12=0,"",IFERROR(IF(ISNUMBER(INDEX(PASTE_ALL,$DF149,$L$12)),INDEX(PASTE_ALL,$DF149,$L$12),TRIM(SUBSTITUTE(SUBSTITUTE(SUBSTITUTE(SUBSTITUTE(INDEX(PASTE_ALL,$DF149,$L$12)," "," "),CHAR(9)," "),CHAR(10)," "),CHAR(13)," "))),"")))</f>
        <v/>
      </c>
      <c r="DU149">
        <f>IF($DM149=0,"",IF($L$13=0,"",IFERROR(IF(ISNUMBER(INDEX(PASTE_ALL,$DF149,$L$13)),INDEX(PASTE_ALL,$DF149,$L$13),TRIM(SUBSTITUTE(SUBSTITUTE(SUBSTITUTE(SUBSTITUTE(INDEX(PASTE_ALL,$DF149,$L$13)," "," "),CHAR(9)," "),CHAR(10)," "),CHAR(13)," "))),"")))</f>
        <v/>
      </c>
      <c r="DV149">
        <f>IF($DM149=0,"",IF($L$14=0,"",IFERROR(IF(ISNUMBER(INDEX(PASTE_ALL,$DF149,$L$14)),INDEX(PASTE_ALL,$DF149,$L$14),TRIM(SUBSTITUTE(SUBSTITUTE(SUBSTITUTE(SUBSTITUTE(INDEX(PASTE_ALL,$DF149,$L$14)," "," "),CHAR(9)," "),CHAR(10)," "),CHAR(13)," "))),"")))</f>
        <v/>
      </c>
      <c r="DW149">
        <f>IF($DM149=0,"",IF($L$15=0,"",IFERROR(IF(ISNUMBER(INDEX(PASTE_ALL,$DF149,$L$15)),INDEX(PASTE_ALL,$DF149,$L$15),IF(SUMPRODUCT(--ISNUMBER(FIND({"A","B","C","D","E","F","G","H","I","J","K","L","M","N","O","P","Q","R","S","T","U","V","W","X","Y","Z","0","1","2","3","4","5","6","7","8","9"},UPPER(TRIM(SUBSTITUTE(SUBSTITUTE(SUBSTITUTE(SUBSTITUTE(INDEX(PASTE_ALL,$DF149,$L$15)," "," "),CHAR(9)," "),CHAR(10)," "),CHAR(13)," "))))))&gt;0,TRIM(SUBSTITUTE(SUBSTITUTE(SUBSTITUTE(SUBSTITUTE(INDEX(PASTE_ALL,$DF149,$L$15)," "," "),CHAR(9)," "),CHAR(10)," "),CHAR(13)," ")),"")),"")))</f>
        <v/>
      </c>
      <c r="DX149">
        <f>IF($DM149=0,"",IF($L$16=0,"",IFERROR(IF(ISNUMBER(INDEX(PASTE_ALL,$DF149,$L$16)),INDEX(PASTE_ALL,$DF149,$L$16),SUBSTITUTE(SUBSTITUTE(TRIM(SUBSTITUTE(SUBSTITUTE(SUBSTITUTE(SUBSTITUTE(INDEX(PASTE_ALL,$DF149,$L$16)," "," "),CHAR(9)," "),CHAR(10)," "),CHAR(13)," ")),",",""),"%","")),"")))</f>
        <v/>
      </c>
      <c r="DY149">
        <f>IF($DM149=0,"",IFERROR(IF(ISNUMBER($DX149),$DX149,IF($DX149="","",IF(TRIM($DX149)="",0,IF(AND(AND(SUBSTITUTE(SUBSTITUTE(SUBSTITUTE(SUBSTITUTE(SUBSTITUTE(SUBSTITUTE(SUBSTITUTE(SUBSTITUTE(SUBSTITUTE(SUBSTITUTE(SUBSTITUTE(SUBSTITUTE(SUBSTITUTE(SUBSTITUTE(UPPER(TRIM($DX149)),"0",""),"1",""),"2",""),"3",""),"4",""),"5",""),"6",""),"7",""),"8",""),"9",""),".",""),"+",""),"-",""),"E","")="",LEN(SUBSTITUTE(SUBSTITUTE(MID(UPPER(TRIM($DX149)),1+OR(LEFT(UPPER(TRIM($DX149)),1)="+",LEFT(UPPER(TRIM($DX149)),1)="-"),999),"E+","E"),"E-","E"))=LEN(SUBSTITUTE(SUBSTITUTE(SUBSTITUTE(SUBSTITUTE(MID(UPPER(TRIM($DX149)),1+OR(LEFT(UPPER(TRIM($DX149)),1)="+",LEFT(UPPER(TRIM($DX149)),1)="-"),999),"E+","E"),"E-","E"),"+",""),"-","")),LEN(UPPER(TRIM($DX149)))-LEN(SUBSTITUTE(UPPER(TRIM($DX149)),"E",""))&lt;2,LEN(UPPER(TRIM($DX149)))-LEN(SUBSTITUTE(UPPER(TRIM($DX149)),".",""))&lt;2,IFERROR(FIND(".",UPPER(TRIM($DX149))),0)&lt;IFERROR(FIND("E",UPPER(TRIM($DX149))),999)),ISNUMBER(VALUE(TRIM($DX149)))),VALUE(TRIM($DX149)),"")))),""))</f>
        <v/>
      </c>
      <c r="DZ149">
        <f>IF($DM149=0,"",IF($L$17=0,"",IFERROR(IF(ISNUMBER(INDEX(PASTE_ALL,$DF149,$L$17)),INDEX(PASTE_ALL,$DF149,$L$17),SUBSTITUTE(SUBSTITUTE(TRIM(SUBSTITUTE(SUBSTITUTE(SUBSTITUTE(SUBSTITUTE(INDEX(PASTE_ALL,$DF149,$L$17)," "," "),CHAR(9)," "),CHAR(10)," "),CHAR(13)," ")),",",""),"%","")),"")))</f>
        <v/>
      </c>
      <c r="EA149">
        <f>IF($DM149=0,"",IFERROR(IF(ISNUMBER($DZ149),$DZ149,IF($DZ149="","",IF(TRIM($DZ149)="",0,IF(AND(AND(SUBSTITUTE(SUBSTITUTE(SUBSTITUTE(SUBSTITUTE(SUBSTITUTE(SUBSTITUTE(SUBSTITUTE(SUBSTITUTE(SUBSTITUTE(SUBSTITUTE(SUBSTITUTE(SUBSTITUTE(SUBSTITUTE(SUBSTITUTE(UPPER(TRIM($DZ149)),"0",""),"1",""),"2",""),"3",""),"4",""),"5",""),"6",""),"7",""),"8",""),"9",""),".",""),"+",""),"-",""),"E","")="",LEN(SUBSTITUTE(SUBSTITUTE(MID(UPPER(TRIM($DZ149)),1+OR(LEFT(UPPER(TRIM($DZ149)),1)="+",LEFT(UPPER(TRIM($DZ149)),1)="-"),999),"E+","E"),"E-","E"))=LEN(SUBSTITUTE(SUBSTITUTE(SUBSTITUTE(SUBSTITUTE(MID(UPPER(TRIM($DZ149)),1+OR(LEFT(UPPER(TRIM($DZ149)),1)="+",LEFT(UPPER(TRIM($DZ149)),1)="-"),999),"E+","E"),"E-","E"),"+",""),"-","")),LEN(UPPER(TRIM($DZ149)))-LEN(SUBSTITUTE(UPPER(TRIM($DZ149)),"E",""))&lt;2,LEN(UPPER(TRIM($DZ149)))-LEN(SUBSTITUTE(UPPER(TRIM($DZ149)),".",""))&lt;2,IFERROR(FIND(".",UPPER(TRIM($DZ149))),0)&lt;IFERROR(FIND("E",UPPER(TRIM($DZ149))),999)),ISNUMBER(VALUE(TRIM($DZ149)))),VALUE(TRIM($DZ149)),"")))),""))</f>
        <v/>
      </c>
      <c r="EB149">
        <f>IF($DM149=0,"",IF($L$18=0,"",IFERROR(IF(UPPER(TRIM(SUBSTITUTE(SUBSTITUTE(SUBSTITUTE(SUBSTITUTE(INDEX(PASTE_ALL,$DF149,$L$18)," "," "),CHAR(9)," "),CHAR(10)," "),CHAR(13)," ")))="READY","Ready",IF(UPPER(TRIM(SUBSTITUTE(SUBSTITUTE(SUBSTITUTE(SUBSTITUTE(INDEX(PASTE_ALL,$DF149,$L$18)," "," "),CHAR(9)," "),CHAR(10)," "),CHAR(13)," ")))="PM","PM",IF(OR(UPPER(TRIM(SUBSTITUTE(SUBSTITUTE(SUBSTITUTE(SUBSTITUTE(INDEX(PASTE_ALL,$DF149,$L$18)," "," "),CHAR(9)," "),CHAR(10)," "),CHAR(13)," ")))="OT",UPPER(TRIM(SUBSTITUTE(SUBSTITUTE(SUBSTITUTE(SUBSTITUTE(INDEX(PASTE_ALL,$DF149,$L$18)," "," "),CHAR(9)," "),CHAR(10)," "),CHAR(13)," ")))="OVERTIME",UPPER(TRIM(SUBSTITUTE(SUBSTITUTE(SUBSTITUTE(SUBSTITUTE(INDEX(PASTE_ALL,$DF149,$L$18)," "," "),CHAR(9)," "),CHAR(10)," "),CHAR(13)," ")))="TRIAL"),"OT",TRIM(SUBSTITUTE(SUBSTITUTE(SUBSTITUTE(SUBSTITUTE(INDEX(PASTE_ALL,$DF149,$L$18)," "," "),CHAR(9)," "),CHAR(10)," "),CHAR(13)," "))))),"")))</f>
        <v/>
      </c>
      <c r="EC149">
        <f>IF($DM149=0,"",IF($L$19=0,"",IFERROR(IF(ISNUMBER(INDEX(PASTE_ALL,$DF149,$L$19)),INDEX(PASTE_ALL,$DF149,$L$19),TRIM(SUBSTITUTE(SUBSTITUTE(SUBSTITUTE(SUBSTITUTE(INDEX(PASTE_ALL,$DF149,$L$19)," "," "),CHAR(9)," "),CHAR(10)," "),CHAR(13)," "))),"")))</f>
        <v/>
      </c>
      <c r="ED149">
        <f>IF($DM149=0,"",MATCH(1,INDEX(EXACT($DH$5:DH149,$DH149)*$DM$5:DM149,0),0))</f>
        <v/>
      </c>
      <c r="EE149">
        <f>IF($DM149=0,0,IF($ED149=$DE149,1,0))</f>
        <v/>
      </c>
      <c r="EF149">
        <f>EF148+$EE149</f>
        <v/>
      </c>
      <c r="EG149">
        <f>IF($DM149=0,"",INDEX($EF$5:$EF$1003,$ED149))</f>
        <v/>
      </c>
      <c r="EH149">
        <f>IF($DM149=0,"",IF($DO149&lt;&gt;"","",IFERROR(LOOKUP(2,1/(($EG$4:EG148=$EG149)*($DO$4:DO148&lt;&gt;"")),$DO$4:DO148),"")))</f>
        <v/>
      </c>
      <c r="EI149">
        <f>IF($DM149=0,"",IF($DO149&lt;&gt;"",$DO149,$EH149))</f>
        <v/>
      </c>
      <c r="EJ149">
        <f>IF($DM149=0,"",IF($EI149="",0,IF(OR(ISNUMBER($EI149),AND(AND(SUBSTITUTE(SUBSTITUTE(SUBSTITUTE(SUBSTITUTE(SUBSTITUTE(SUBSTITUTE(SUBSTITUTE(SUBSTITUTE(SUBSTITUTE(SUBSTITUTE(SUBSTITUTE(SUBSTITUTE(SUBSTITUTE(SUBSTITUTE(UPPER($EI149),"0",""),"1",""),"2",""),"3",""),"4",""),"5",""),"6",""),"7",""),"8",""),"9",""),".",""),"+",""),"-",""),"E","")="",LEN(SUBSTITUTE(SUBSTITUTE(MID(UPPER($EI149),1+OR(LEFT(UPPER($EI149),1)="+",LEFT(UPPER($EI149),1)="-"),999),"E+","E"),"E-","E"))=LEN(SUBSTITUTE(SUBSTITUTE(SUBSTITUTE(SUBSTITUTE(MID(UPPER($EI149),1+OR(LEFT(UPPER($EI149),1)="+",LEFT(UPPER($EI149),1)="-"),999),"E+","E"),"E-","E"),"+",""),"-","")),LEN(UPPER($EI149))-LEN(SUBSTITUTE(UPPER($EI149),"E",""))&lt;2,LEN(UPPER($EI149))-LEN(SUBSTITUTE(UPPER($EI149),".",""))&lt;2,IFERROR(FIND(".",UPPER($EI149)),0)&lt;IFERROR(FIND("E",UPPER($EI149)),999)),ISNUMBER(VALUE($EI149)))),1,2)))</f>
        <v/>
      </c>
      <c r="EK149">
        <f>IF($DM149=0,"",IF($EJ149=1,IF(ISNUMBER($EI149),$EI149,VALUE($EI149)),IF($EJ149=2,$DE149,0)))</f>
        <v/>
      </c>
      <c r="EL149">
        <f>IF($DM149=0,"",COUNTIF($EG$5:$EG$1003,"&lt;"&amp;$EG149)+SUMPRODUCT(($EG$5:$EG$1003=$EG149)*(($EJ$5:$EJ$1003&lt;$EJ149)+($EJ$5:$EJ$1003=$EJ149)*(($EK$5:$EK$1003&lt;$EK149)+($EK$5:$EK$1003=$EK149)*($DE$5:$DE$1003&lt;$DE149))))+1)</f>
        <v/>
      </c>
      <c r="EM149">
        <f>IF($DM149=0,"",$EL149+$EG149-1)</f>
        <v/>
      </c>
      <c r="EN149">
        <f>IF($DM149=0,0,IFERROR(MATCH(1,INDEX(--(TRIM(SUBSTITUTE(SUBSTITUTE(SUBSTITUTE(SUBSTITUTE(LINES_NAME&amp;""," "," "),CHAR(9)," "),CHAR(10)," "),CHAR(13)," "))=$DH149),0),0),0))</f>
        <v/>
      </c>
      <c r="EO149">
        <f>IF($EN149=0,0,IF(OR(UPPER(TRIM(INDEX(LINES_SCHEDULED,$EN149)&amp;""))="YES",UPPER(TRIM(INDEX(LINES_SCHEDULED,$EN149)&amp;""))="Y",UPPER(TRIM(INDEX(LINES_SCHEDULED,$EN149)&amp;""))="X"),1,0))</f>
        <v/>
      </c>
      <c r="EP149">
        <f>IF($DM149=0,"",IF(COUNTIFS($EG$5:$EG$1003,$EG149,$EB$5:$EB$1003,"Ready")&gt;0,"READY",IF(COUNTIFS($EG$5:$EG$1003,$EG149,$EB$5:$EB$1003,"PM")&gt;0,"PM",IF(COUNTIFS($EG$5:$EG$1003,$EG149,$EB$5:$EB$1003,"OT")&gt;0,"OT",""))))</f>
        <v/>
      </c>
      <c r="EQ149">
        <f>IF($EN149=0,"",UPPER(TRIM(INDEX(LINES_STATUS,$EN149)&amp;"")))</f>
        <v/>
      </c>
      <c r="ER149">
        <f>IF($DM149=0,"",IF(OR($EQ149="READY",$EQ149="PM",$EQ149="OT"),$EQ149,$EP149))</f>
        <v/>
      </c>
      <c r="ES149">
        <f>IF($DM149=0,"",IF(AND($DV149&lt;&gt;"",UPPER($DV149)&lt;&gt;"N"),"allergen",IF(ISNUMBER(SEARCH("oil",$DQ149)),"oil",IF(OR(EXACT($DS149,"A662"),EXACT($DS149,"A624")),"bulk",""))))</f>
        <v/>
      </c>
      <c r="ET149">
        <f>IF($DM149=0,"",IF(OR($EA149="",$EA149=0),"",$EA149/100))</f>
        <v/>
      </c>
      <c r="EU149">
        <f>IF(OR($ET149="",$DY149=""),"",INT($DY149*(1-$ET149)+0.5))</f>
        <v/>
      </c>
      <c r="EW149" t="n">
        <v>145</v>
      </c>
      <c r="EX149">
        <f>IFERROR(MATCH($EW149,$EM$5:$EM$1003,0),0)</f>
        <v/>
      </c>
      <c r="EY149">
        <f>IF($EW149&gt;$B$12,"",IF($EX149&gt;0,"row","spacer"))</f>
        <v/>
      </c>
      <c r="EZ149">
        <f>IF(AND($EY149="row",$EY148&lt;&gt;"row"),1,0)</f>
        <v/>
      </c>
      <c r="FA149">
        <f>IF(AND($EY149="row",$EY150&lt;&gt;"row"),1,0)</f>
        <v/>
      </c>
      <c r="FB149">
        <f>IF($EZ149=1,IFERROR(IF(ISNUMBER(INDEX(PASTE_ALL,INDEX($DF$5:$DF$1003,$EX149),$B$37)),INDEX(PASTE_ALL,INDEX($DF$5:$DF$1003,$EX149),$B$37),INDEX($DH$5:$DH$1003,$EX149)),INDEX($DH$5:$DH$1003,$EX149)),"")</f>
        <v/>
      </c>
      <c r="FC149">
        <f>IF($EY149="row",INDEX($ER$5:$ER$1003,$EX149),"")</f>
        <v/>
      </c>
      <c r="FD149">
        <f>IF($EY149="row",INDEX($DN$5:$DN$1003,$EX149),"")</f>
        <v/>
      </c>
      <c r="FE149">
        <f>IF($EY149="row",INDEX($DO$5:$DO$1003,$EX149),"")</f>
        <v/>
      </c>
      <c r="FF149">
        <f>IF($EY149="row",INDEX($DP$5:$DP$1003,$EX149),"")</f>
        <v/>
      </c>
      <c r="FG149">
        <f>IF($EY149="row",INDEX($DQ$5:$DQ$1003,$EX149),"")</f>
        <v/>
      </c>
      <c r="FH149">
        <f>IF($EY149="row",INDEX($DR$5:$DR$1003,$EX149),"")</f>
        <v/>
      </c>
      <c r="FI149">
        <f>IF($EY149="row",INDEX($DS$5:$DS$1003,$EX149),"")</f>
        <v/>
      </c>
      <c r="FJ149">
        <f>IF($EY149="row",INDEX($DT$5:$DT$1003,$EX149),"")</f>
        <v/>
      </c>
      <c r="FK149">
        <f>IF($EY149="row",INDEX($DU$5:$DU$1003,$EX149),"")</f>
        <v/>
      </c>
      <c r="FL149">
        <f>IF($EY149="row",INDEX($DV$5:$DV$1003,$EX149),"")</f>
        <v/>
      </c>
      <c r="FM149">
        <f>IF($EY149="row",INDEX($DW$5:$DW$1003,$EX149),"")</f>
        <v/>
      </c>
      <c r="FN149">
        <f>IF($EY149="row",INDEX($DY$5:$DY$1003,$EX149),"")</f>
        <v/>
      </c>
      <c r="FO149">
        <f>IF($EY149="row",INDEX($EA$5:$EA$1003,$EX149),"")</f>
        <v/>
      </c>
      <c r="FP149">
        <f>IF($EY149="row",INDEX($EC$5:$EC$1003,$EX149),"")</f>
        <v/>
      </c>
      <c r="FQ149">
        <f>IF($EY149="row",INDEX($ET$5:$ET$1003,$EX149),"")</f>
        <v/>
      </c>
      <c r="FR149">
        <f>IF($EY149="row",INDEX($EU$5:$EU$1003,$EX149),"")</f>
        <v/>
      </c>
      <c r="FS149">
        <f>IF(AND($EY149="row",$EY148="row"),IF(OR(INDEX($DT$5:$DT$1003,$EX148)="",INDEX($DT$5:$DT$1003,$EX149)=""),"",IF(NOT(EXACT(INDEX($DT$5:$DT$1003,$EX148),INDEX($DT$5:$DT$1003,$EX149))),"S4",IF(NOT(EXACT(INDEX($DS$5:$DS$1003,$EX148),INDEX($DS$5:$DS$1003,$EX149))),"S3",IF(NOT(EXACT(INDEX($DR$5:$DR$1003,$EX148),INDEX($DR$5:$DR$1003,$EX149))),"S1 Count Change","S1")))),"")</f>
        <v/>
      </c>
      <c r="FT149">
        <f>IF($EY149="row",INDEX($ES$5:$ES$1003,$EX149),"")</f>
        <v/>
      </c>
      <c r="FU149">
        <f>IF($EY149="row",INDEX($EO$5:$EO$1003,$EX149),0)</f>
        <v/>
      </c>
      <c r="FV149">
        <f>IF($FS149="S1 Count Change",1,0)</f>
        <v/>
      </c>
    </row>
    <row r="150">
      <c r="Y150">
        <f>IF(Y15="",0,2*(OR(ISNUMBER(FIND("WORKCENTER",Y15)),AND(LEFT(Y15,4)="LINE",NOT(ISNUMBER(FIND("STATUS",Y15))))))+4*(OR(ISNUMBER(FIND("WORKORDER",Y15)),AND(LEFT(Y15,2)="WO",OR(ISNUMBER(FIND("NUM",Y15)),RIGHT(Y15,2)="NO"))))+8*(LEFT(Y15,3)="SEQ")+16*(AND(LEFT(Y15,4)="ITEM",NOT(ISNUMBER(FIND("DESC",Y15)))))+32*(AND(ISNUMBER(FIND("DESC",Y15)),NOT(ISNUMBER(FIND("CAP",Y15)))))+64*(OR(RIGHT(Y15,5)="COUNT",RIGHT(Y15,2)="CT"))+128*(ISNUMBER(FIND("BULK",Y15)))+256*(ISNUMBER(FIND("SIZE",Y15)))+512*(LEFT(Y15,3)="CAP")+1024*(ISNUMBER(FIND("ALLERG",Y15)))+2048*(OR(ISNUMBER(FIND("REMARK",Y15)),ISNUMBER(FIND("COMMENT",Y15))))+4096*(OR(ISNUMBER(FIND("QTY",Y15)),ISNUMBER(FIND("QUANTITY",Y15))))+8192*(AND(OR(ISNUMBER(FIND("COMPLETE",Y15)),ISNUMBER(FIND("PCT",Y15)),ISNUMBER(FIND("PERCENT",Y15))),NOT(ISNUMBER(FIND("ACTUAL",Y15))),LEN(Y15)&lt;=16))+32768*(OR(ISNUMBER(FIND("DESIC",Y15)),ISNUMBER(FIND("DESSIC",Y15)))))</f>
        <v/>
      </c>
      <c r="Z150">
        <f>IF(Z15="",0,2*(OR(ISNUMBER(FIND("WORKCENTER",Z15)),AND(LEFT(Z15,4)="LINE",NOT(ISNUMBER(FIND("STATUS",Z15))))))+4*(OR(ISNUMBER(FIND("WORKORDER",Z15)),AND(LEFT(Z15,2)="WO",OR(ISNUMBER(FIND("NUM",Z15)),RIGHT(Z15,2)="NO"))))+8*(LEFT(Z15,3)="SEQ")+16*(AND(LEFT(Z15,4)="ITEM",NOT(ISNUMBER(FIND("DESC",Z15)))))+32*(AND(ISNUMBER(FIND("DESC",Z15)),NOT(ISNUMBER(FIND("CAP",Z15)))))+64*(OR(RIGHT(Z15,5)="COUNT",RIGHT(Z15,2)="CT"))+128*(ISNUMBER(FIND("BULK",Z15)))+256*(ISNUMBER(FIND("SIZE",Z15)))+512*(LEFT(Z15,3)="CAP")+1024*(ISNUMBER(FIND("ALLERG",Z15)))+2048*(OR(ISNUMBER(FIND("REMARK",Z15)),ISNUMBER(FIND("COMMENT",Z15))))+4096*(OR(ISNUMBER(FIND("QTY",Z15)),ISNUMBER(FIND("QUANTITY",Z15))))+8192*(AND(OR(ISNUMBER(FIND("COMPLETE",Z15)),ISNUMBER(FIND("PCT",Z15)),ISNUMBER(FIND("PERCENT",Z15))),NOT(ISNUMBER(FIND("ACTUAL",Z15))),LEN(Z15)&lt;=16))+32768*(OR(ISNUMBER(FIND("DESIC",Z15)),ISNUMBER(FIND("DESSIC",Z15)))))</f>
        <v/>
      </c>
      <c r="AA150">
        <f>IF(AA15="",0,2*(OR(ISNUMBER(FIND("WORKCENTER",AA15)),AND(LEFT(AA15,4)="LINE",NOT(ISNUMBER(FIND("STATUS",AA15))))))+4*(OR(ISNUMBER(FIND("WORKORDER",AA15)),AND(LEFT(AA15,2)="WO",OR(ISNUMBER(FIND("NUM",AA15)),RIGHT(AA15,2)="NO"))))+8*(LEFT(AA15,3)="SEQ")+16*(AND(LEFT(AA15,4)="ITEM",NOT(ISNUMBER(FIND("DESC",AA15)))))+32*(AND(ISNUMBER(FIND("DESC",AA15)),NOT(ISNUMBER(FIND("CAP",AA15)))))+64*(OR(RIGHT(AA15,5)="COUNT",RIGHT(AA15,2)="CT"))+128*(ISNUMBER(FIND("BULK",AA15)))+256*(ISNUMBER(FIND("SIZE",AA15)))+512*(LEFT(AA15,3)="CAP")+1024*(ISNUMBER(FIND("ALLERG",AA15)))+2048*(OR(ISNUMBER(FIND("REMARK",AA15)),ISNUMBER(FIND("COMMENT",AA15))))+4096*(OR(ISNUMBER(FIND("QTY",AA15)),ISNUMBER(FIND("QUANTITY",AA15))))+8192*(AND(OR(ISNUMBER(FIND("COMPLETE",AA15)),ISNUMBER(FIND("PCT",AA15)),ISNUMBER(FIND("PERCENT",AA15))),NOT(ISNUMBER(FIND("ACTUAL",AA15))),LEN(AA15)&lt;=16))+32768*(OR(ISNUMBER(FIND("DESIC",AA15)),ISNUMBER(FIND("DESSIC",AA15)))))</f>
        <v/>
      </c>
      <c r="AB150">
        <f>IF(AB15="",0,2*(OR(ISNUMBER(FIND("WORKCENTER",AB15)),AND(LEFT(AB15,4)="LINE",NOT(ISNUMBER(FIND("STATUS",AB15))))))+4*(OR(ISNUMBER(FIND("WORKORDER",AB15)),AND(LEFT(AB15,2)="WO",OR(ISNUMBER(FIND("NUM",AB15)),RIGHT(AB15,2)="NO"))))+8*(LEFT(AB15,3)="SEQ")+16*(AND(LEFT(AB15,4)="ITEM",NOT(ISNUMBER(FIND("DESC",AB15)))))+32*(AND(ISNUMBER(FIND("DESC",AB15)),NOT(ISNUMBER(FIND("CAP",AB15)))))+64*(OR(RIGHT(AB15,5)="COUNT",RIGHT(AB15,2)="CT"))+128*(ISNUMBER(FIND("BULK",AB15)))+256*(ISNUMBER(FIND("SIZE",AB15)))+512*(LEFT(AB15,3)="CAP")+1024*(ISNUMBER(FIND("ALLERG",AB15)))+2048*(OR(ISNUMBER(FIND("REMARK",AB15)),ISNUMBER(FIND("COMMENT",AB15))))+4096*(OR(ISNUMBER(FIND("QTY",AB15)),ISNUMBER(FIND("QUANTITY",AB15))))+8192*(AND(OR(ISNUMBER(FIND("COMPLETE",AB15)),ISNUMBER(FIND("PCT",AB15)),ISNUMBER(FIND("PERCENT",AB15))),NOT(ISNUMBER(FIND("ACTUAL",AB15))),LEN(AB15)&lt;=16))+32768*(OR(ISNUMBER(FIND("DESIC",AB15)),ISNUMBER(FIND("DESSIC",AB15)))))</f>
        <v/>
      </c>
      <c r="AC150">
        <f>IF(AC15="",0,2*(OR(ISNUMBER(FIND("WORKCENTER",AC15)),AND(LEFT(AC15,4)="LINE",NOT(ISNUMBER(FIND("STATUS",AC15))))))+4*(OR(ISNUMBER(FIND("WORKORDER",AC15)),AND(LEFT(AC15,2)="WO",OR(ISNUMBER(FIND("NUM",AC15)),RIGHT(AC15,2)="NO"))))+8*(LEFT(AC15,3)="SEQ")+16*(AND(LEFT(AC15,4)="ITEM",NOT(ISNUMBER(FIND("DESC",AC15)))))+32*(AND(ISNUMBER(FIND("DESC",AC15)),NOT(ISNUMBER(FIND("CAP",AC15)))))+64*(OR(RIGHT(AC15,5)="COUNT",RIGHT(AC15,2)="CT"))+128*(ISNUMBER(FIND("BULK",AC15)))+256*(ISNUMBER(FIND("SIZE",AC15)))+512*(LEFT(AC15,3)="CAP")+1024*(ISNUMBER(FIND("ALLERG",AC15)))+2048*(OR(ISNUMBER(FIND("REMARK",AC15)),ISNUMBER(FIND("COMMENT",AC15))))+4096*(OR(ISNUMBER(FIND("QTY",AC15)),ISNUMBER(FIND("QUANTITY",AC15))))+8192*(AND(OR(ISNUMBER(FIND("COMPLETE",AC15)),ISNUMBER(FIND("PCT",AC15)),ISNUMBER(FIND("PERCENT",AC15))),NOT(ISNUMBER(FIND("ACTUAL",AC15))),LEN(AC15)&lt;=16))+32768*(OR(ISNUMBER(FIND("DESIC",AC15)),ISNUMBER(FIND("DESSIC",AC15)))))</f>
        <v/>
      </c>
      <c r="AD150">
        <f>IF(AD15="",0,2*(OR(ISNUMBER(FIND("WORKCENTER",AD15)),AND(LEFT(AD15,4)="LINE",NOT(ISNUMBER(FIND("STATUS",AD15))))))+4*(OR(ISNUMBER(FIND("WORKORDER",AD15)),AND(LEFT(AD15,2)="WO",OR(ISNUMBER(FIND("NUM",AD15)),RIGHT(AD15,2)="NO"))))+8*(LEFT(AD15,3)="SEQ")+16*(AND(LEFT(AD15,4)="ITEM",NOT(ISNUMBER(FIND("DESC",AD15)))))+32*(AND(ISNUMBER(FIND("DESC",AD15)),NOT(ISNUMBER(FIND("CAP",AD15)))))+64*(OR(RIGHT(AD15,5)="COUNT",RIGHT(AD15,2)="CT"))+128*(ISNUMBER(FIND("BULK",AD15)))+256*(ISNUMBER(FIND("SIZE",AD15)))+512*(LEFT(AD15,3)="CAP")+1024*(ISNUMBER(FIND("ALLERG",AD15)))+2048*(OR(ISNUMBER(FIND("REMARK",AD15)),ISNUMBER(FIND("COMMENT",AD15))))+4096*(OR(ISNUMBER(FIND("QTY",AD15)),ISNUMBER(FIND("QUANTITY",AD15))))+8192*(AND(OR(ISNUMBER(FIND("COMPLETE",AD15)),ISNUMBER(FIND("PCT",AD15)),ISNUMBER(FIND("PERCENT",AD15))),NOT(ISNUMBER(FIND("ACTUAL",AD15))),LEN(AD15)&lt;=16))+32768*(OR(ISNUMBER(FIND("DESIC",AD15)),ISNUMBER(FIND("DESSIC",AD15)))))</f>
        <v/>
      </c>
      <c r="AE150">
        <f>IF(AE15="",0,2*(OR(ISNUMBER(FIND("WORKCENTER",AE15)),AND(LEFT(AE15,4)="LINE",NOT(ISNUMBER(FIND("STATUS",AE15))))))+4*(OR(ISNUMBER(FIND("WORKORDER",AE15)),AND(LEFT(AE15,2)="WO",OR(ISNUMBER(FIND("NUM",AE15)),RIGHT(AE15,2)="NO"))))+8*(LEFT(AE15,3)="SEQ")+16*(AND(LEFT(AE15,4)="ITEM",NOT(ISNUMBER(FIND("DESC",AE15)))))+32*(AND(ISNUMBER(FIND("DESC",AE15)),NOT(ISNUMBER(FIND("CAP",AE15)))))+64*(OR(RIGHT(AE15,5)="COUNT",RIGHT(AE15,2)="CT"))+128*(ISNUMBER(FIND("BULK",AE15)))+256*(ISNUMBER(FIND("SIZE",AE15)))+512*(LEFT(AE15,3)="CAP")+1024*(ISNUMBER(FIND("ALLERG",AE15)))+2048*(OR(ISNUMBER(FIND("REMARK",AE15)),ISNUMBER(FIND("COMMENT",AE15))))+4096*(OR(ISNUMBER(FIND("QTY",AE15)),ISNUMBER(FIND("QUANTITY",AE15))))+8192*(AND(OR(ISNUMBER(FIND("COMPLETE",AE15)),ISNUMBER(FIND("PCT",AE15)),ISNUMBER(FIND("PERCENT",AE15))),NOT(ISNUMBER(FIND("ACTUAL",AE15))),LEN(AE15)&lt;=16))+32768*(OR(ISNUMBER(FIND("DESIC",AE15)),ISNUMBER(FIND("DESSIC",AE15)))))</f>
        <v/>
      </c>
      <c r="AF150">
        <f>IF(AF15="",0,2*(OR(ISNUMBER(FIND("WORKCENTER",AF15)),AND(LEFT(AF15,4)="LINE",NOT(ISNUMBER(FIND("STATUS",AF15))))))+4*(OR(ISNUMBER(FIND("WORKORDER",AF15)),AND(LEFT(AF15,2)="WO",OR(ISNUMBER(FIND("NUM",AF15)),RIGHT(AF15,2)="NO"))))+8*(LEFT(AF15,3)="SEQ")+16*(AND(LEFT(AF15,4)="ITEM",NOT(ISNUMBER(FIND("DESC",AF15)))))+32*(AND(ISNUMBER(FIND("DESC",AF15)),NOT(ISNUMBER(FIND("CAP",AF15)))))+64*(OR(RIGHT(AF15,5)="COUNT",RIGHT(AF15,2)="CT"))+128*(ISNUMBER(FIND("BULK",AF15)))+256*(ISNUMBER(FIND("SIZE",AF15)))+512*(LEFT(AF15,3)="CAP")+1024*(ISNUMBER(FIND("ALLERG",AF15)))+2048*(OR(ISNUMBER(FIND("REMARK",AF15)),ISNUMBER(FIND("COMMENT",AF15))))+4096*(OR(ISNUMBER(FIND("QTY",AF15)),ISNUMBER(FIND("QUANTITY",AF15))))+8192*(AND(OR(ISNUMBER(FIND("COMPLETE",AF15)),ISNUMBER(FIND("PCT",AF15)),ISNUMBER(FIND("PERCENT",AF15))),NOT(ISNUMBER(FIND("ACTUAL",AF15))),LEN(AF15)&lt;=16))+32768*(OR(ISNUMBER(FIND("DESIC",AF15)),ISNUMBER(FIND("DESSIC",AF15)))))</f>
        <v/>
      </c>
      <c r="AG150">
        <f>IF(AG15="",0,2*(OR(ISNUMBER(FIND("WORKCENTER",AG15)),AND(LEFT(AG15,4)="LINE",NOT(ISNUMBER(FIND("STATUS",AG15))))))+4*(OR(ISNUMBER(FIND("WORKORDER",AG15)),AND(LEFT(AG15,2)="WO",OR(ISNUMBER(FIND("NUM",AG15)),RIGHT(AG15,2)="NO"))))+8*(LEFT(AG15,3)="SEQ")+16*(AND(LEFT(AG15,4)="ITEM",NOT(ISNUMBER(FIND("DESC",AG15)))))+32*(AND(ISNUMBER(FIND("DESC",AG15)),NOT(ISNUMBER(FIND("CAP",AG15)))))+64*(OR(RIGHT(AG15,5)="COUNT",RIGHT(AG15,2)="CT"))+128*(ISNUMBER(FIND("BULK",AG15)))+256*(ISNUMBER(FIND("SIZE",AG15)))+512*(LEFT(AG15,3)="CAP")+1024*(ISNUMBER(FIND("ALLERG",AG15)))+2048*(OR(ISNUMBER(FIND("REMARK",AG15)),ISNUMBER(FIND("COMMENT",AG15))))+4096*(OR(ISNUMBER(FIND("QTY",AG15)),ISNUMBER(FIND("QUANTITY",AG15))))+8192*(AND(OR(ISNUMBER(FIND("COMPLETE",AG15)),ISNUMBER(FIND("PCT",AG15)),ISNUMBER(FIND("PERCENT",AG15))),NOT(ISNUMBER(FIND("ACTUAL",AG15))),LEN(AG15)&lt;=16))+32768*(OR(ISNUMBER(FIND("DESIC",AG15)),ISNUMBER(FIND("DESSIC",AG15)))))</f>
        <v/>
      </c>
      <c r="AH150">
        <f>IF(AH15="",0,2*(OR(ISNUMBER(FIND("WORKCENTER",AH15)),AND(LEFT(AH15,4)="LINE",NOT(ISNUMBER(FIND("STATUS",AH15))))))+4*(OR(ISNUMBER(FIND("WORKORDER",AH15)),AND(LEFT(AH15,2)="WO",OR(ISNUMBER(FIND("NUM",AH15)),RIGHT(AH15,2)="NO"))))+8*(LEFT(AH15,3)="SEQ")+16*(AND(LEFT(AH15,4)="ITEM",NOT(ISNUMBER(FIND("DESC",AH15)))))+32*(AND(ISNUMBER(FIND("DESC",AH15)),NOT(ISNUMBER(FIND("CAP",AH15)))))+64*(OR(RIGHT(AH15,5)="COUNT",RIGHT(AH15,2)="CT"))+128*(ISNUMBER(FIND("BULK",AH15)))+256*(ISNUMBER(FIND("SIZE",AH15)))+512*(LEFT(AH15,3)="CAP")+1024*(ISNUMBER(FIND("ALLERG",AH15)))+2048*(OR(ISNUMBER(FIND("REMARK",AH15)),ISNUMBER(FIND("COMMENT",AH15))))+4096*(OR(ISNUMBER(FIND("QTY",AH15)),ISNUMBER(FIND("QUANTITY",AH15))))+8192*(AND(OR(ISNUMBER(FIND("COMPLETE",AH15)),ISNUMBER(FIND("PCT",AH15)),ISNUMBER(FIND("PERCENT",AH15))),NOT(ISNUMBER(FIND("ACTUAL",AH15))),LEN(AH15)&lt;=16))+32768*(OR(ISNUMBER(FIND("DESIC",AH15)),ISNUMBER(FIND("DESSIC",AH15)))))</f>
        <v/>
      </c>
      <c r="AI150">
        <f>IF(AI15="",0,2*(OR(ISNUMBER(FIND("WORKCENTER",AI15)),AND(LEFT(AI15,4)="LINE",NOT(ISNUMBER(FIND("STATUS",AI15))))))+4*(OR(ISNUMBER(FIND("WORKORDER",AI15)),AND(LEFT(AI15,2)="WO",OR(ISNUMBER(FIND("NUM",AI15)),RIGHT(AI15,2)="NO"))))+8*(LEFT(AI15,3)="SEQ")+16*(AND(LEFT(AI15,4)="ITEM",NOT(ISNUMBER(FIND("DESC",AI15)))))+32*(AND(ISNUMBER(FIND("DESC",AI15)),NOT(ISNUMBER(FIND("CAP",AI15)))))+64*(OR(RIGHT(AI15,5)="COUNT",RIGHT(AI15,2)="CT"))+128*(ISNUMBER(FIND("BULK",AI15)))+256*(ISNUMBER(FIND("SIZE",AI15)))+512*(LEFT(AI15,3)="CAP")+1024*(ISNUMBER(FIND("ALLERG",AI15)))+2048*(OR(ISNUMBER(FIND("REMARK",AI15)),ISNUMBER(FIND("COMMENT",AI15))))+4096*(OR(ISNUMBER(FIND("QTY",AI15)),ISNUMBER(FIND("QUANTITY",AI15))))+8192*(AND(OR(ISNUMBER(FIND("COMPLETE",AI15)),ISNUMBER(FIND("PCT",AI15)),ISNUMBER(FIND("PERCENT",AI15))),NOT(ISNUMBER(FIND("ACTUAL",AI15))),LEN(AI15)&lt;=16))+32768*(OR(ISNUMBER(FIND("DESIC",AI15)),ISNUMBER(FIND("DESSIC",AI15)))))</f>
        <v/>
      </c>
      <c r="AJ150">
        <f>IF(AJ15="",0,2*(OR(ISNUMBER(FIND("WORKCENTER",AJ15)),AND(LEFT(AJ15,4)="LINE",NOT(ISNUMBER(FIND("STATUS",AJ15))))))+4*(OR(ISNUMBER(FIND("WORKORDER",AJ15)),AND(LEFT(AJ15,2)="WO",OR(ISNUMBER(FIND("NUM",AJ15)),RIGHT(AJ15,2)="NO"))))+8*(LEFT(AJ15,3)="SEQ")+16*(AND(LEFT(AJ15,4)="ITEM",NOT(ISNUMBER(FIND("DESC",AJ15)))))+32*(AND(ISNUMBER(FIND("DESC",AJ15)),NOT(ISNUMBER(FIND("CAP",AJ15)))))+64*(OR(RIGHT(AJ15,5)="COUNT",RIGHT(AJ15,2)="CT"))+128*(ISNUMBER(FIND("BULK",AJ15)))+256*(ISNUMBER(FIND("SIZE",AJ15)))+512*(LEFT(AJ15,3)="CAP")+1024*(ISNUMBER(FIND("ALLERG",AJ15)))+2048*(OR(ISNUMBER(FIND("REMARK",AJ15)),ISNUMBER(FIND("COMMENT",AJ15))))+4096*(OR(ISNUMBER(FIND("QTY",AJ15)),ISNUMBER(FIND("QUANTITY",AJ15))))+8192*(AND(OR(ISNUMBER(FIND("COMPLETE",AJ15)),ISNUMBER(FIND("PCT",AJ15)),ISNUMBER(FIND("PERCENT",AJ15))),NOT(ISNUMBER(FIND("ACTUAL",AJ15))),LEN(AJ15)&lt;=16))+32768*(OR(ISNUMBER(FIND("DESIC",AJ15)),ISNUMBER(FIND("DESSIC",AJ15)))))</f>
        <v/>
      </c>
      <c r="AK150">
        <f>IF(AK15="",0,2*(OR(ISNUMBER(FIND("WORKCENTER",AK15)),AND(LEFT(AK15,4)="LINE",NOT(ISNUMBER(FIND("STATUS",AK15))))))+4*(OR(ISNUMBER(FIND("WORKORDER",AK15)),AND(LEFT(AK15,2)="WO",OR(ISNUMBER(FIND("NUM",AK15)),RIGHT(AK15,2)="NO"))))+8*(LEFT(AK15,3)="SEQ")+16*(AND(LEFT(AK15,4)="ITEM",NOT(ISNUMBER(FIND("DESC",AK15)))))+32*(AND(ISNUMBER(FIND("DESC",AK15)),NOT(ISNUMBER(FIND("CAP",AK15)))))+64*(OR(RIGHT(AK15,5)="COUNT",RIGHT(AK15,2)="CT"))+128*(ISNUMBER(FIND("BULK",AK15)))+256*(ISNUMBER(FIND("SIZE",AK15)))+512*(LEFT(AK15,3)="CAP")+1024*(ISNUMBER(FIND("ALLERG",AK15)))+2048*(OR(ISNUMBER(FIND("REMARK",AK15)),ISNUMBER(FIND("COMMENT",AK15))))+4096*(OR(ISNUMBER(FIND("QTY",AK15)),ISNUMBER(FIND("QUANTITY",AK15))))+8192*(AND(OR(ISNUMBER(FIND("COMPLETE",AK15)),ISNUMBER(FIND("PCT",AK15)),ISNUMBER(FIND("PERCENT",AK15))),NOT(ISNUMBER(FIND("ACTUAL",AK15))),LEN(AK15)&lt;=16))+32768*(OR(ISNUMBER(FIND("DESIC",AK15)),ISNUMBER(FIND("DESSIC",AK15)))))</f>
        <v/>
      </c>
      <c r="AL150">
        <f>IF(AL15="",0,2*(OR(ISNUMBER(FIND("WORKCENTER",AL15)),AND(LEFT(AL15,4)="LINE",NOT(ISNUMBER(FIND("STATUS",AL15))))))+4*(OR(ISNUMBER(FIND("WORKORDER",AL15)),AND(LEFT(AL15,2)="WO",OR(ISNUMBER(FIND("NUM",AL15)),RIGHT(AL15,2)="NO"))))+8*(LEFT(AL15,3)="SEQ")+16*(AND(LEFT(AL15,4)="ITEM",NOT(ISNUMBER(FIND("DESC",AL15)))))+32*(AND(ISNUMBER(FIND("DESC",AL15)),NOT(ISNUMBER(FIND("CAP",AL15)))))+64*(OR(RIGHT(AL15,5)="COUNT",RIGHT(AL15,2)="CT"))+128*(ISNUMBER(FIND("BULK",AL15)))+256*(ISNUMBER(FIND("SIZE",AL15)))+512*(LEFT(AL15,3)="CAP")+1024*(ISNUMBER(FIND("ALLERG",AL15)))+2048*(OR(ISNUMBER(FIND("REMARK",AL15)),ISNUMBER(FIND("COMMENT",AL15))))+4096*(OR(ISNUMBER(FIND("QTY",AL15)),ISNUMBER(FIND("QUANTITY",AL15))))+8192*(AND(OR(ISNUMBER(FIND("COMPLETE",AL15)),ISNUMBER(FIND("PCT",AL15)),ISNUMBER(FIND("PERCENT",AL15))),NOT(ISNUMBER(FIND("ACTUAL",AL15))),LEN(AL15)&lt;=16))+32768*(OR(ISNUMBER(FIND("DESIC",AL15)),ISNUMBER(FIND("DESSIC",AL15)))))</f>
        <v/>
      </c>
      <c r="AM150">
        <f>IF(AM15="",0,2*(OR(ISNUMBER(FIND("WORKCENTER",AM15)),AND(LEFT(AM15,4)="LINE",NOT(ISNUMBER(FIND("STATUS",AM15))))))+4*(OR(ISNUMBER(FIND("WORKORDER",AM15)),AND(LEFT(AM15,2)="WO",OR(ISNUMBER(FIND("NUM",AM15)),RIGHT(AM15,2)="NO"))))+8*(LEFT(AM15,3)="SEQ")+16*(AND(LEFT(AM15,4)="ITEM",NOT(ISNUMBER(FIND("DESC",AM15)))))+32*(AND(ISNUMBER(FIND("DESC",AM15)),NOT(ISNUMBER(FIND("CAP",AM15)))))+64*(OR(RIGHT(AM15,5)="COUNT",RIGHT(AM15,2)="CT"))+128*(ISNUMBER(FIND("BULK",AM15)))+256*(ISNUMBER(FIND("SIZE",AM15)))+512*(LEFT(AM15,3)="CAP")+1024*(ISNUMBER(FIND("ALLERG",AM15)))+2048*(OR(ISNUMBER(FIND("REMARK",AM15)),ISNUMBER(FIND("COMMENT",AM15))))+4096*(OR(ISNUMBER(FIND("QTY",AM15)),ISNUMBER(FIND("QUANTITY",AM15))))+8192*(AND(OR(ISNUMBER(FIND("COMPLETE",AM15)),ISNUMBER(FIND("PCT",AM15)),ISNUMBER(FIND("PERCENT",AM15))),NOT(ISNUMBER(FIND("ACTUAL",AM15))),LEN(AM15)&lt;=16))+32768*(OR(ISNUMBER(FIND("DESIC",AM15)),ISNUMBER(FIND("DESSIC",AM15)))))</f>
        <v/>
      </c>
      <c r="AN150">
        <f>IF(AN15="",0,2*(OR(ISNUMBER(FIND("WORKCENTER",AN15)),AND(LEFT(AN15,4)="LINE",NOT(ISNUMBER(FIND("STATUS",AN15))))))+4*(OR(ISNUMBER(FIND("WORKORDER",AN15)),AND(LEFT(AN15,2)="WO",OR(ISNUMBER(FIND("NUM",AN15)),RIGHT(AN15,2)="NO"))))+8*(LEFT(AN15,3)="SEQ")+16*(AND(LEFT(AN15,4)="ITEM",NOT(ISNUMBER(FIND("DESC",AN15)))))+32*(AND(ISNUMBER(FIND("DESC",AN15)),NOT(ISNUMBER(FIND("CAP",AN15)))))+64*(OR(RIGHT(AN15,5)="COUNT",RIGHT(AN15,2)="CT"))+128*(ISNUMBER(FIND("BULK",AN15)))+256*(ISNUMBER(FIND("SIZE",AN15)))+512*(LEFT(AN15,3)="CAP")+1024*(ISNUMBER(FIND("ALLERG",AN15)))+2048*(OR(ISNUMBER(FIND("REMARK",AN15)),ISNUMBER(FIND("COMMENT",AN15))))+4096*(OR(ISNUMBER(FIND("QTY",AN15)),ISNUMBER(FIND("QUANTITY",AN15))))+8192*(AND(OR(ISNUMBER(FIND("COMPLETE",AN15)),ISNUMBER(FIND("PCT",AN15)),ISNUMBER(FIND("PERCENT",AN15))),NOT(ISNUMBER(FIND("ACTUAL",AN15))),LEN(AN15)&lt;=16))+32768*(OR(ISNUMBER(FIND("DESIC",AN15)),ISNUMBER(FIND("DESSIC",AN15)))))</f>
        <v/>
      </c>
      <c r="AO150">
        <f>IF(AO15="",0,2*(OR(ISNUMBER(FIND("WORKCENTER",AO15)),AND(LEFT(AO15,4)="LINE",NOT(ISNUMBER(FIND("STATUS",AO15))))))+4*(OR(ISNUMBER(FIND("WORKORDER",AO15)),AND(LEFT(AO15,2)="WO",OR(ISNUMBER(FIND("NUM",AO15)),RIGHT(AO15,2)="NO"))))+8*(LEFT(AO15,3)="SEQ")+16*(AND(LEFT(AO15,4)="ITEM",NOT(ISNUMBER(FIND("DESC",AO15)))))+32*(AND(ISNUMBER(FIND("DESC",AO15)),NOT(ISNUMBER(FIND("CAP",AO15)))))+64*(OR(RIGHT(AO15,5)="COUNT",RIGHT(AO15,2)="CT"))+128*(ISNUMBER(FIND("BULK",AO15)))+256*(ISNUMBER(FIND("SIZE",AO15)))+512*(LEFT(AO15,3)="CAP")+1024*(ISNUMBER(FIND("ALLERG",AO15)))+2048*(OR(ISNUMBER(FIND("REMARK",AO15)),ISNUMBER(FIND("COMMENT",AO15))))+4096*(OR(ISNUMBER(FIND("QTY",AO15)),ISNUMBER(FIND("QUANTITY",AO15))))+8192*(AND(OR(ISNUMBER(FIND("COMPLETE",AO15)),ISNUMBER(FIND("PCT",AO15)),ISNUMBER(FIND("PERCENT",AO15))),NOT(ISNUMBER(FIND("ACTUAL",AO15))),LEN(AO15)&lt;=16))+32768*(OR(ISNUMBER(FIND("DESIC",AO15)),ISNUMBER(FIND("DESSIC",AO15)))))</f>
        <v/>
      </c>
      <c r="AP150">
        <f>IF(AP15="",0,2*(OR(ISNUMBER(FIND("WORKCENTER",AP15)),AND(LEFT(AP15,4)="LINE",NOT(ISNUMBER(FIND("STATUS",AP15))))))+4*(OR(ISNUMBER(FIND("WORKORDER",AP15)),AND(LEFT(AP15,2)="WO",OR(ISNUMBER(FIND("NUM",AP15)),RIGHT(AP15,2)="NO"))))+8*(LEFT(AP15,3)="SEQ")+16*(AND(LEFT(AP15,4)="ITEM",NOT(ISNUMBER(FIND("DESC",AP15)))))+32*(AND(ISNUMBER(FIND("DESC",AP15)),NOT(ISNUMBER(FIND("CAP",AP15)))))+64*(OR(RIGHT(AP15,5)="COUNT",RIGHT(AP15,2)="CT"))+128*(ISNUMBER(FIND("BULK",AP15)))+256*(ISNUMBER(FIND("SIZE",AP15)))+512*(LEFT(AP15,3)="CAP")+1024*(ISNUMBER(FIND("ALLERG",AP15)))+2048*(OR(ISNUMBER(FIND("REMARK",AP15)),ISNUMBER(FIND("COMMENT",AP15))))+4096*(OR(ISNUMBER(FIND("QTY",AP15)),ISNUMBER(FIND("QUANTITY",AP15))))+8192*(AND(OR(ISNUMBER(FIND("COMPLETE",AP15)),ISNUMBER(FIND("PCT",AP15)),ISNUMBER(FIND("PERCENT",AP15))),NOT(ISNUMBER(FIND("ACTUAL",AP15))),LEN(AP15)&lt;=16))+32768*(OR(ISNUMBER(FIND("DESIC",AP15)),ISNUMBER(FIND("DESSIC",AP15)))))</f>
        <v/>
      </c>
      <c r="AQ150">
        <f>IF(AQ15="",0,2*(OR(ISNUMBER(FIND("WORKCENTER",AQ15)),AND(LEFT(AQ15,4)="LINE",NOT(ISNUMBER(FIND("STATUS",AQ15))))))+4*(OR(ISNUMBER(FIND("WORKORDER",AQ15)),AND(LEFT(AQ15,2)="WO",OR(ISNUMBER(FIND("NUM",AQ15)),RIGHT(AQ15,2)="NO"))))+8*(LEFT(AQ15,3)="SEQ")+16*(AND(LEFT(AQ15,4)="ITEM",NOT(ISNUMBER(FIND("DESC",AQ15)))))+32*(AND(ISNUMBER(FIND("DESC",AQ15)),NOT(ISNUMBER(FIND("CAP",AQ15)))))+64*(OR(RIGHT(AQ15,5)="COUNT",RIGHT(AQ15,2)="CT"))+128*(ISNUMBER(FIND("BULK",AQ15)))+256*(ISNUMBER(FIND("SIZE",AQ15)))+512*(LEFT(AQ15,3)="CAP")+1024*(ISNUMBER(FIND("ALLERG",AQ15)))+2048*(OR(ISNUMBER(FIND("REMARK",AQ15)),ISNUMBER(FIND("COMMENT",AQ15))))+4096*(OR(ISNUMBER(FIND("QTY",AQ15)),ISNUMBER(FIND("QUANTITY",AQ15))))+8192*(AND(OR(ISNUMBER(FIND("COMPLETE",AQ15)),ISNUMBER(FIND("PCT",AQ15)),ISNUMBER(FIND("PERCENT",AQ15))),NOT(ISNUMBER(FIND("ACTUAL",AQ15))),LEN(AQ15)&lt;=16))+32768*(OR(ISNUMBER(FIND("DESIC",AQ15)),ISNUMBER(FIND("DESSIC",AQ15)))))</f>
        <v/>
      </c>
      <c r="AR150">
        <f>IF(AR15="",0,2*(OR(ISNUMBER(FIND("WORKCENTER",AR15)),AND(LEFT(AR15,4)="LINE",NOT(ISNUMBER(FIND("STATUS",AR15))))))+4*(OR(ISNUMBER(FIND("WORKORDER",AR15)),AND(LEFT(AR15,2)="WO",OR(ISNUMBER(FIND("NUM",AR15)),RIGHT(AR15,2)="NO"))))+8*(LEFT(AR15,3)="SEQ")+16*(AND(LEFT(AR15,4)="ITEM",NOT(ISNUMBER(FIND("DESC",AR15)))))+32*(AND(ISNUMBER(FIND("DESC",AR15)),NOT(ISNUMBER(FIND("CAP",AR15)))))+64*(OR(RIGHT(AR15,5)="COUNT",RIGHT(AR15,2)="CT"))+128*(ISNUMBER(FIND("BULK",AR15)))+256*(ISNUMBER(FIND("SIZE",AR15)))+512*(LEFT(AR15,3)="CAP")+1024*(ISNUMBER(FIND("ALLERG",AR15)))+2048*(OR(ISNUMBER(FIND("REMARK",AR15)),ISNUMBER(FIND("COMMENT",AR15))))+4096*(OR(ISNUMBER(FIND("QTY",AR15)),ISNUMBER(FIND("QUANTITY",AR15))))+8192*(AND(OR(ISNUMBER(FIND("COMPLETE",AR15)),ISNUMBER(FIND("PCT",AR15)),ISNUMBER(FIND("PERCENT",AR15))),NOT(ISNUMBER(FIND("ACTUAL",AR15))),LEN(AR15)&lt;=16))+32768*(OR(ISNUMBER(FIND("DESIC",AR15)),ISNUMBER(FIND("DESSIC",AR15)))))</f>
        <v/>
      </c>
      <c r="AS150">
        <f>IF(AS15="",0,2*(OR(ISNUMBER(FIND("WORKCENTER",AS15)),AND(LEFT(AS15,4)="LINE",NOT(ISNUMBER(FIND("STATUS",AS15))))))+4*(OR(ISNUMBER(FIND("WORKORDER",AS15)),AND(LEFT(AS15,2)="WO",OR(ISNUMBER(FIND("NUM",AS15)),RIGHT(AS15,2)="NO"))))+8*(LEFT(AS15,3)="SEQ")+16*(AND(LEFT(AS15,4)="ITEM",NOT(ISNUMBER(FIND("DESC",AS15)))))+32*(AND(ISNUMBER(FIND("DESC",AS15)),NOT(ISNUMBER(FIND("CAP",AS15)))))+64*(OR(RIGHT(AS15,5)="COUNT",RIGHT(AS15,2)="CT"))+128*(ISNUMBER(FIND("BULK",AS15)))+256*(ISNUMBER(FIND("SIZE",AS15)))+512*(LEFT(AS15,3)="CAP")+1024*(ISNUMBER(FIND("ALLERG",AS15)))+2048*(OR(ISNUMBER(FIND("REMARK",AS15)),ISNUMBER(FIND("COMMENT",AS15))))+4096*(OR(ISNUMBER(FIND("QTY",AS15)),ISNUMBER(FIND("QUANTITY",AS15))))+8192*(AND(OR(ISNUMBER(FIND("COMPLETE",AS15)),ISNUMBER(FIND("PCT",AS15)),ISNUMBER(FIND("PERCENT",AS15))),NOT(ISNUMBER(FIND("ACTUAL",AS15))),LEN(AS15)&lt;=16))+32768*(OR(ISNUMBER(FIND("DESIC",AS15)),ISNUMBER(FIND("DESSIC",AS15)))))</f>
        <v/>
      </c>
      <c r="AT150">
        <f>IF(AT15="",0,2*(OR(ISNUMBER(FIND("WORKCENTER",AT15)),AND(LEFT(AT15,4)="LINE",NOT(ISNUMBER(FIND("STATUS",AT15))))))+4*(OR(ISNUMBER(FIND("WORKORDER",AT15)),AND(LEFT(AT15,2)="WO",OR(ISNUMBER(FIND("NUM",AT15)),RIGHT(AT15,2)="NO"))))+8*(LEFT(AT15,3)="SEQ")+16*(AND(LEFT(AT15,4)="ITEM",NOT(ISNUMBER(FIND("DESC",AT15)))))+32*(AND(ISNUMBER(FIND("DESC",AT15)),NOT(ISNUMBER(FIND("CAP",AT15)))))+64*(OR(RIGHT(AT15,5)="COUNT",RIGHT(AT15,2)="CT"))+128*(ISNUMBER(FIND("BULK",AT15)))+256*(ISNUMBER(FIND("SIZE",AT15)))+512*(LEFT(AT15,3)="CAP")+1024*(ISNUMBER(FIND("ALLERG",AT15)))+2048*(OR(ISNUMBER(FIND("REMARK",AT15)),ISNUMBER(FIND("COMMENT",AT15))))+4096*(OR(ISNUMBER(FIND("QTY",AT15)),ISNUMBER(FIND("QUANTITY",AT15))))+8192*(AND(OR(ISNUMBER(FIND("COMPLETE",AT15)),ISNUMBER(FIND("PCT",AT15)),ISNUMBER(FIND("PERCENT",AT15))),NOT(ISNUMBER(FIND("ACTUAL",AT15))),LEN(AT15)&lt;=16))+32768*(OR(ISNUMBER(FIND("DESIC",AT15)),ISNUMBER(FIND("DESSIC",AT15)))))</f>
        <v/>
      </c>
      <c r="AU150">
        <f>IF(AU15="",0,2*(OR(ISNUMBER(FIND("WORKCENTER",AU15)),AND(LEFT(AU15,4)="LINE",NOT(ISNUMBER(FIND("STATUS",AU15))))))+4*(OR(ISNUMBER(FIND("WORKORDER",AU15)),AND(LEFT(AU15,2)="WO",OR(ISNUMBER(FIND("NUM",AU15)),RIGHT(AU15,2)="NO"))))+8*(LEFT(AU15,3)="SEQ")+16*(AND(LEFT(AU15,4)="ITEM",NOT(ISNUMBER(FIND("DESC",AU15)))))+32*(AND(ISNUMBER(FIND("DESC",AU15)),NOT(ISNUMBER(FIND("CAP",AU15)))))+64*(OR(RIGHT(AU15,5)="COUNT",RIGHT(AU15,2)="CT"))+128*(ISNUMBER(FIND("BULK",AU15)))+256*(ISNUMBER(FIND("SIZE",AU15)))+512*(LEFT(AU15,3)="CAP")+1024*(ISNUMBER(FIND("ALLERG",AU15)))+2048*(OR(ISNUMBER(FIND("REMARK",AU15)),ISNUMBER(FIND("COMMENT",AU15))))+4096*(OR(ISNUMBER(FIND("QTY",AU15)),ISNUMBER(FIND("QUANTITY",AU15))))+8192*(AND(OR(ISNUMBER(FIND("COMPLETE",AU15)),ISNUMBER(FIND("PCT",AU15)),ISNUMBER(FIND("PERCENT",AU15))),NOT(ISNUMBER(FIND("ACTUAL",AU15))),LEN(AU15)&lt;=16))+32768*(OR(ISNUMBER(FIND("DESIC",AU15)),ISNUMBER(FIND("DESSIC",AU15)))))</f>
        <v/>
      </c>
      <c r="AV150">
        <f>IF(AV15="",0,2*(OR(ISNUMBER(FIND("WORKCENTER",AV15)),AND(LEFT(AV15,4)="LINE",NOT(ISNUMBER(FIND("STATUS",AV15))))))+4*(OR(ISNUMBER(FIND("WORKORDER",AV15)),AND(LEFT(AV15,2)="WO",OR(ISNUMBER(FIND("NUM",AV15)),RIGHT(AV15,2)="NO"))))+8*(LEFT(AV15,3)="SEQ")+16*(AND(LEFT(AV15,4)="ITEM",NOT(ISNUMBER(FIND("DESC",AV15)))))+32*(AND(ISNUMBER(FIND("DESC",AV15)),NOT(ISNUMBER(FIND("CAP",AV15)))))+64*(OR(RIGHT(AV15,5)="COUNT",RIGHT(AV15,2)="CT"))+128*(ISNUMBER(FIND("BULK",AV15)))+256*(ISNUMBER(FIND("SIZE",AV15)))+512*(LEFT(AV15,3)="CAP")+1024*(ISNUMBER(FIND("ALLERG",AV15)))+2048*(OR(ISNUMBER(FIND("REMARK",AV15)),ISNUMBER(FIND("COMMENT",AV15))))+4096*(OR(ISNUMBER(FIND("QTY",AV15)),ISNUMBER(FIND("QUANTITY",AV15))))+8192*(AND(OR(ISNUMBER(FIND("COMPLETE",AV15)),ISNUMBER(FIND("PCT",AV15)),ISNUMBER(FIND("PERCENT",AV15))),NOT(ISNUMBER(FIND("ACTUAL",AV15))),LEN(AV15)&lt;=16))+32768*(OR(ISNUMBER(FIND("DESIC",AV15)),ISNUMBER(FIND("DESSIC",AV15)))))</f>
        <v/>
      </c>
      <c r="AW150">
        <f>IF(AW15="",0,2*(OR(ISNUMBER(FIND("WORKCENTER",AW15)),AND(LEFT(AW15,4)="LINE",NOT(ISNUMBER(FIND("STATUS",AW15))))))+4*(OR(ISNUMBER(FIND("WORKORDER",AW15)),AND(LEFT(AW15,2)="WO",OR(ISNUMBER(FIND("NUM",AW15)),RIGHT(AW15,2)="NO"))))+8*(LEFT(AW15,3)="SEQ")+16*(AND(LEFT(AW15,4)="ITEM",NOT(ISNUMBER(FIND("DESC",AW15)))))+32*(AND(ISNUMBER(FIND("DESC",AW15)),NOT(ISNUMBER(FIND("CAP",AW15)))))+64*(OR(RIGHT(AW15,5)="COUNT",RIGHT(AW15,2)="CT"))+128*(ISNUMBER(FIND("BULK",AW15)))+256*(ISNUMBER(FIND("SIZE",AW15)))+512*(LEFT(AW15,3)="CAP")+1024*(ISNUMBER(FIND("ALLERG",AW15)))+2048*(OR(ISNUMBER(FIND("REMARK",AW15)),ISNUMBER(FIND("COMMENT",AW15))))+4096*(OR(ISNUMBER(FIND("QTY",AW15)),ISNUMBER(FIND("QUANTITY",AW15))))+8192*(AND(OR(ISNUMBER(FIND("COMPLETE",AW15)),ISNUMBER(FIND("PCT",AW15)),ISNUMBER(FIND("PERCENT",AW15))),NOT(ISNUMBER(FIND("ACTUAL",AW15))),LEN(AW15)&lt;=16))+32768*(OR(ISNUMBER(FIND("DESIC",AW15)),ISNUMBER(FIND("DESSIC",AW15)))))</f>
        <v/>
      </c>
      <c r="AX150">
        <f>IF(AX15="",0,2*(OR(ISNUMBER(FIND("WORKCENTER",AX15)),AND(LEFT(AX15,4)="LINE",NOT(ISNUMBER(FIND("STATUS",AX15))))))+4*(OR(ISNUMBER(FIND("WORKORDER",AX15)),AND(LEFT(AX15,2)="WO",OR(ISNUMBER(FIND("NUM",AX15)),RIGHT(AX15,2)="NO"))))+8*(LEFT(AX15,3)="SEQ")+16*(AND(LEFT(AX15,4)="ITEM",NOT(ISNUMBER(FIND("DESC",AX15)))))+32*(AND(ISNUMBER(FIND("DESC",AX15)),NOT(ISNUMBER(FIND("CAP",AX15)))))+64*(OR(RIGHT(AX15,5)="COUNT",RIGHT(AX15,2)="CT"))+128*(ISNUMBER(FIND("BULK",AX15)))+256*(ISNUMBER(FIND("SIZE",AX15)))+512*(LEFT(AX15,3)="CAP")+1024*(ISNUMBER(FIND("ALLERG",AX15)))+2048*(OR(ISNUMBER(FIND("REMARK",AX15)),ISNUMBER(FIND("COMMENT",AX15))))+4096*(OR(ISNUMBER(FIND("QTY",AX15)),ISNUMBER(FIND("QUANTITY",AX15))))+8192*(AND(OR(ISNUMBER(FIND("COMPLETE",AX15)),ISNUMBER(FIND("PCT",AX15)),ISNUMBER(FIND("PERCENT",AX15))),NOT(ISNUMBER(FIND("ACTUAL",AX15))),LEN(AX15)&lt;=16))+32768*(OR(ISNUMBER(FIND("DESIC",AX15)),ISNUMBER(FIND("DESSIC",AX15)))))</f>
        <v/>
      </c>
      <c r="AY150">
        <f>IF(AY15="",0,2*(OR(ISNUMBER(FIND("WORKCENTER",AY15)),AND(LEFT(AY15,4)="LINE",NOT(ISNUMBER(FIND("STATUS",AY15))))))+4*(OR(ISNUMBER(FIND("WORKORDER",AY15)),AND(LEFT(AY15,2)="WO",OR(ISNUMBER(FIND("NUM",AY15)),RIGHT(AY15,2)="NO"))))+8*(LEFT(AY15,3)="SEQ")+16*(AND(LEFT(AY15,4)="ITEM",NOT(ISNUMBER(FIND("DESC",AY15)))))+32*(AND(ISNUMBER(FIND("DESC",AY15)),NOT(ISNUMBER(FIND("CAP",AY15)))))+64*(OR(RIGHT(AY15,5)="COUNT",RIGHT(AY15,2)="CT"))+128*(ISNUMBER(FIND("BULK",AY15)))+256*(ISNUMBER(FIND("SIZE",AY15)))+512*(LEFT(AY15,3)="CAP")+1024*(ISNUMBER(FIND("ALLERG",AY15)))+2048*(OR(ISNUMBER(FIND("REMARK",AY15)),ISNUMBER(FIND("COMMENT",AY15))))+4096*(OR(ISNUMBER(FIND("QTY",AY15)),ISNUMBER(FIND("QUANTITY",AY15))))+8192*(AND(OR(ISNUMBER(FIND("COMPLETE",AY15)),ISNUMBER(FIND("PCT",AY15)),ISNUMBER(FIND("PERCENT",AY15))),NOT(ISNUMBER(FIND("ACTUAL",AY15))),LEN(AY15)&lt;=16))+32768*(OR(ISNUMBER(FIND("DESIC",AY15)),ISNUMBER(FIND("DESSIC",AY15)))))</f>
        <v/>
      </c>
      <c r="AZ150">
        <f>IF(AZ15="",0,2*(OR(ISNUMBER(FIND("WORKCENTER",AZ15)),AND(LEFT(AZ15,4)="LINE",NOT(ISNUMBER(FIND("STATUS",AZ15))))))+4*(OR(ISNUMBER(FIND("WORKORDER",AZ15)),AND(LEFT(AZ15,2)="WO",OR(ISNUMBER(FIND("NUM",AZ15)),RIGHT(AZ15,2)="NO"))))+8*(LEFT(AZ15,3)="SEQ")+16*(AND(LEFT(AZ15,4)="ITEM",NOT(ISNUMBER(FIND("DESC",AZ15)))))+32*(AND(ISNUMBER(FIND("DESC",AZ15)),NOT(ISNUMBER(FIND("CAP",AZ15)))))+64*(OR(RIGHT(AZ15,5)="COUNT",RIGHT(AZ15,2)="CT"))+128*(ISNUMBER(FIND("BULK",AZ15)))+256*(ISNUMBER(FIND("SIZE",AZ15)))+512*(LEFT(AZ15,3)="CAP")+1024*(ISNUMBER(FIND("ALLERG",AZ15)))+2048*(OR(ISNUMBER(FIND("REMARK",AZ15)),ISNUMBER(FIND("COMMENT",AZ15))))+4096*(OR(ISNUMBER(FIND("QTY",AZ15)),ISNUMBER(FIND("QUANTITY",AZ15))))+8192*(AND(OR(ISNUMBER(FIND("COMPLETE",AZ15)),ISNUMBER(FIND("PCT",AZ15)),ISNUMBER(FIND("PERCENT",AZ15))),NOT(ISNUMBER(FIND("ACTUAL",AZ15))),LEN(AZ15)&lt;=16))+32768*(OR(ISNUMBER(FIND("DESIC",AZ15)),ISNUMBER(FIND("DESSIC",AZ15)))))</f>
        <v/>
      </c>
      <c r="BA150">
        <f>IF(BA15="",0,2*(OR(ISNUMBER(FIND("WORKCENTER",BA15)),AND(LEFT(BA15,4)="LINE",NOT(ISNUMBER(FIND("STATUS",BA15))))))+4*(OR(ISNUMBER(FIND("WORKORDER",BA15)),AND(LEFT(BA15,2)="WO",OR(ISNUMBER(FIND("NUM",BA15)),RIGHT(BA15,2)="NO"))))+8*(LEFT(BA15,3)="SEQ")+16*(AND(LEFT(BA15,4)="ITEM",NOT(ISNUMBER(FIND("DESC",BA15)))))+32*(AND(ISNUMBER(FIND("DESC",BA15)),NOT(ISNUMBER(FIND("CAP",BA15)))))+64*(OR(RIGHT(BA15,5)="COUNT",RIGHT(BA15,2)="CT"))+128*(ISNUMBER(FIND("BULK",BA15)))+256*(ISNUMBER(FIND("SIZE",BA15)))+512*(LEFT(BA15,3)="CAP")+1024*(ISNUMBER(FIND("ALLERG",BA15)))+2048*(OR(ISNUMBER(FIND("REMARK",BA15)),ISNUMBER(FIND("COMMENT",BA15))))+4096*(OR(ISNUMBER(FIND("QTY",BA15)),ISNUMBER(FIND("QUANTITY",BA15))))+8192*(AND(OR(ISNUMBER(FIND("COMPLETE",BA15)),ISNUMBER(FIND("PCT",BA15)),ISNUMBER(FIND("PERCENT",BA15))),NOT(ISNUMBER(FIND("ACTUAL",BA15))),LEN(BA15)&lt;=16))+32768*(OR(ISNUMBER(FIND("DESIC",BA15)),ISNUMBER(FIND("DESSIC",BA15)))))</f>
        <v/>
      </c>
      <c r="BB150">
        <f>IF(BB15="",0,2*(OR(ISNUMBER(FIND("WORKCENTER",BB15)),AND(LEFT(BB15,4)="LINE",NOT(ISNUMBER(FIND("STATUS",BB15))))))+4*(OR(ISNUMBER(FIND("WORKORDER",BB15)),AND(LEFT(BB15,2)="WO",OR(ISNUMBER(FIND("NUM",BB15)),RIGHT(BB15,2)="NO"))))+8*(LEFT(BB15,3)="SEQ")+16*(AND(LEFT(BB15,4)="ITEM",NOT(ISNUMBER(FIND("DESC",BB15)))))+32*(AND(ISNUMBER(FIND("DESC",BB15)),NOT(ISNUMBER(FIND("CAP",BB15)))))+64*(OR(RIGHT(BB15,5)="COUNT",RIGHT(BB15,2)="CT"))+128*(ISNUMBER(FIND("BULK",BB15)))+256*(ISNUMBER(FIND("SIZE",BB15)))+512*(LEFT(BB15,3)="CAP")+1024*(ISNUMBER(FIND("ALLERG",BB15)))+2048*(OR(ISNUMBER(FIND("REMARK",BB15)),ISNUMBER(FIND("COMMENT",BB15))))+4096*(OR(ISNUMBER(FIND("QTY",BB15)),ISNUMBER(FIND("QUANTITY",BB15))))+8192*(AND(OR(ISNUMBER(FIND("COMPLETE",BB15)),ISNUMBER(FIND("PCT",BB15)),ISNUMBER(FIND("PERCENT",BB15))),NOT(ISNUMBER(FIND("ACTUAL",BB15))),LEN(BB15)&lt;=16))+32768*(OR(ISNUMBER(FIND("DESIC",BB15)),ISNUMBER(FIND("DESSIC",BB15)))))</f>
        <v/>
      </c>
      <c r="BC150">
        <f>IF(BC15="",0,2*(OR(ISNUMBER(FIND("WORKCENTER",BC15)),AND(LEFT(BC15,4)="LINE",NOT(ISNUMBER(FIND("STATUS",BC15))))))+4*(OR(ISNUMBER(FIND("WORKORDER",BC15)),AND(LEFT(BC15,2)="WO",OR(ISNUMBER(FIND("NUM",BC15)),RIGHT(BC15,2)="NO"))))+8*(LEFT(BC15,3)="SEQ")+16*(AND(LEFT(BC15,4)="ITEM",NOT(ISNUMBER(FIND("DESC",BC15)))))+32*(AND(ISNUMBER(FIND("DESC",BC15)),NOT(ISNUMBER(FIND("CAP",BC15)))))+64*(OR(RIGHT(BC15,5)="COUNT",RIGHT(BC15,2)="CT"))+128*(ISNUMBER(FIND("BULK",BC15)))+256*(ISNUMBER(FIND("SIZE",BC15)))+512*(LEFT(BC15,3)="CAP")+1024*(ISNUMBER(FIND("ALLERG",BC15)))+2048*(OR(ISNUMBER(FIND("REMARK",BC15)),ISNUMBER(FIND("COMMENT",BC15))))+4096*(OR(ISNUMBER(FIND("QTY",BC15)),ISNUMBER(FIND("QUANTITY",BC15))))+8192*(AND(OR(ISNUMBER(FIND("COMPLETE",BC15)),ISNUMBER(FIND("PCT",BC15)),ISNUMBER(FIND("PERCENT",BC15))),NOT(ISNUMBER(FIND("ACTUAL",BC15))),LEN(BC15)&lt;=16))+32768*(OR(ISNUMBER(FIND("DESIC",BC15)),ISNUMBER(FIND("DESSIC",BC15)))))</f>
        <v/>
      </c>
      <c r="BD150">
        <f>IF(BD15="",0,2*(OR(ISNUMBER(FIND("WORKCENTER",BD15)),AND(LEFT(BD15,4)="LINE",NOT(ISNUMBER(FIND("STATUS",BD15))))))+4*(OR(ISNUMBER(FIND("WORKORDER",BD15)),AND(LEFT(BD15,2)="WO",OR(ISNUMBER(FIND("NUM",BD15)),RIGHT(BD15,2)="NO"))))+8*(LEFT(BD15,3)="SEQ")+16*(AND(LEFT(BD15,4)="ITEM",NOT(ISNUMBER(FIND("DESC",BD15)))))+32*(AND(ISNUMBER(FIND("DESC",BD15)),NOT(ISNUMBER(FIND("CAP",BD15)))))+64*(OR(RIGHT(BD15,5)="COUNT",RIGHT(BD15,2)="CT"))+128*(ISNUMBER(FIND("BULK",BD15)))+256*(ISNUMBER(FIND("SIZE",BD15)))+512*(LEFT(BD15,3)="CAP")+1024*(ISNUMBER(FIND("ALLERG",BD15)))+2048*(OR(ISNUMBER(FIND("REMARK",BD15)),ISNUMBER(FIND("COMMENT",BD15))))+4096*(OR(ISNUMBER(FIND("QTY",BD15)),ISNUMBER(FIND("QUANTITY",BD15))))+8192*(AND(OR(ISNUMBER(FIND("COMPLETE",BD15)),ISNUMBER(FIND("PCT",BD15)),ISNUMBER(FIND("PERCENT",BD15))),NOT(ISNUMBER(FIND("ACTUAL",BD15))),LEN(BD15)&lt;=16))+32768*(OR(ISNUMBER(FIND("DESIC",BD15)),ISNUMBER(FIND("DESSIC",BD15)))))</f>
        <v/>
      </c>
      <c r="BE150">
        <f>IF(BE15="",0,2*(OR(ISNUMBER(FIND("WORKCENTER",BE15)),AND(LEFT(BE15,4)="LINE",NOT(ISNUMBER(FIND("STATUS",BE15))))))+4*(OR(ISNUMBER(FIND("WORKORDER",BE15)),AND(LEFT(BE15,2)="WO",OR(ISNUMBER(FIND("NUM",BE15)),RIGHT(BE15,2)="NO"))))+8*(LEFT(BE15,3)="SEQ")+16*(AND(LEFT(BE15,4)="ITEM",NOT(ISNUMBER(FIND("DESC",BE15)))))+32*(AND(ISNUMBER(FIND("DESC",BE15)),NOT(ISNUMBER(FIND("CAP",BE15)))))+64*(OR(RIGHT(BE15,5)="COUNT",RIGHT(BE15,2)="CT"))+128*(ISNUMBER(FIND("BULK",BE15)))+256*(ISNUMBER(FIND("SIZE",BE15)))+512*(LEFT(BE15,3)="CAP")+1024*(ISNUMBER(FIND("ALLERG",BE15)))+2048*(OR(ISNUMBER(FIND("REMARK",BE15)),ISNUMBER(FIND("COMMENT",BE15))))+4096*(OR(ISNUMBER(FIND("QTY",BE15)),ISNUMBER(FIND("QUANTITY",BE15))))+8192*(AND(OR(ISNUMBER(FIND("COMPLETE",BE15)),ISNUMBER(FIND("PCT",BE15)),ISNUMBER(FIND("PERCENT",BE15))),NOT(ISNUMBER(FIND("ACTUAL",BE15))),LEN(BE15)&lt;=16))+32768*(OR(ISNUMBER(FIND("DESIC",BE15)),ISNUMBER(FIND("DESSIC",BE15)))))</f>
        <v/>
      </c>
      <c r="BF150">
        <f>IF(BF15="",0,2*(OR(ISNUMBER(FIND("WORKCENTER",BF15)),AND(LEFT(BF15,4)="LINE",NOT(ISNUMBER(FIND("STATUS",BF15))))))+4*(OR(ISNUMBER(FIND("WORKORDER",BF15)),AND(LEFT(BF15,2)="WO",OR(ISNUMBER(FIND("NUM",BF15)),RIGHT(BF15,2)="NO"))))+8*(LEFT(BF15,3)="SEQ")+16*(AND(LEFT(BF15,4)="ITEM",NOT(ISNUMBER(FIND("DESC",BF15)))))+32*(AND(ISNUMBER(FIND("DESC",BF15)),NOT(ISNUMBER(FIND("CAP",BF15)))))+64*(OR(RIGHT(BF15,5)="COUNT",RIGHT(BF15,2)="CT"))+128*(ISNUMBER(FIND("BULK",BF15)))+256*(ISNUMBER(FIND("SIZE",BF15)))+512*(LEFT(BF15,3)="CAP")+1024*(ISNUMBER(FIND("ALLERG",BF15)))+2048*(OR(ISNUMBER(FIND("REMARK",BF15)),ISNUMBER(FIND("COMMENT",BF15))))+4096*(OR(ISNUMBER(FIND("QTY",BF15)),ISNUMBER(FIND("QUANTITY",BF15))))+8192*(AND(OR(ISNUMBER(FIND("COMPLETE",BF15)),ISNUMBER(FIND("PCT",BF15)),ISNUMBER(FIND("PERCENT",BF15))),NOT(ISNUMBER(FIND("ACTUAL",BF15))),LEN(BF15)&lt;=16))+32768*(OR(ISNUMBER(FIND("DESIC",BF15)),ISNUMBER(FIND("DESSIC",BF15)))))</f>
        <v/>
      </c>
      <c r="BG150">
        <f>IF(BG15="",0,2*(OR(ISNUMBER(FIND("WORKCENTER",BG15)),AND(LEFT(BG15,4)="LINE",NOT(ISNUMBER(FIND("STATUS",BG15))))))+4*(OR(ISNUMBER(FIND("WORKORDER",BG15)),AND(LEFT(BG15,2)="WO",OR(ISNUMBER(FIND("NUM",BG15)),RIGHT(BG15,2)="NO"))))+8*(LEFT(BG15,3)="SEQ")+16*(AND(LEFT(BG15,4)="ITEM",NOT(ISNUMBER(FIND("DESC",BG15)))))+32*(AND(ISNUMBER(FIND("DESC",BG15)),NOT(ISNUMBER(FIND("CAP",BG15)))))+64*(OR(RIGHT(BG15,5)="COUNT",RIGHT(BG15,2)="CT"))+128*(ISNUMBER(FIND("BULK",BG15)))+256*(ISNUMBER(FIND("SIZE",BG15)))+512*(LEFT(BG15,3)="CAP")+1024*(ISNUMBER(FIND("ALLERG",BG15)))+2048*(OR(ISNUMBER(FIND("REMARK",BG15)),ISNUMBER(FIND("COMMENT",BG15))))+4096*(OR(ISNUMBER(FIND("QTY",BG15)),ISNUMBER(FIND("QUANTITY",BG15))))+8192*(AND(OR(ISNUMBER(FIND("COMPLETE",BG15)),ISNUMBER(FIND("PCT",BG15)),ISNUMBER(FIND("PERCENT",BG15))),NOT(ISNUMBER(FIND("ACTUAL",BG15))),LEN(BG15)&lt;=16))+32768*(OR(ISNUMBER(FIND("DESIC",BG15)),ISNUMBER(FIND("DESSIC",BG15)))))</f>
        <v/>
      </c>
      <c r="BH150">
        <f>IF(BH15="",0,2*(OR(ISNUMBER(FIND("WORKCENTER",BH15)),AND(LEFT(BH15,4)="LINE",NOT(ISNUMBER(FIND("STATUS",BH15))))))+4*(OR(ISNUMBER(FIND("WORKORDER",BH15)),AND(LEFT(BH15,2)="WO",OR(ISNUMBER(FIND("NUM",BH15)),RIGHT(BH15,2)="NO"))))+8*(LEFT(BH15,3)="SEQ")+16*(AND(LEFT(BH15,4)="ITEM",NOT(ISNUMBER(FIND("DESC",BH15)))))+32*(AND(ISNUMBER(FIND("DESC",BH15)),NOT(ISNUMBER(FIND("CAP",BH15)))))+64*(OR(RIGHT(BH15,5)="COUNT",RIGHT(BH15,2)="CT"))+128*(ISNUMBER(FIND("BULK",BH15)))+256*(ISNUMBER(FIND("SIZE",BH15)))+512*(LEFT(BH15,3)="CAP")+1024*(ISNUMBER(FIND("ALLERG",BH15)))+2048*(OR(ISNUMBER(FIND("REMARK",BH15)),ISNUMBER(FIND("COMMENT",BH15))))+4096*(OR(ISNUMBER(FIND("QTY",BH15)),ISNUMBER(FIND("QUANTITY",BH15))))+8192*(AND(OR(ISNUMBER(FIND("COMPLETE",BH15)),ISNUMBER(FIND("PCT",BH15)),ISNUMBER(FIND("PERCENT",BH15))),NOT(ISNUMBER(FIND("ACTUAL",BH15))),LEN(BH15)&lt;=16))+32768*(OR(ISNUMBER(FIND("DESIC",BH15)),ISNUMBER(FIND("DESSIC",BH15)))))</f>
        <v/>
      </c>
      <c r="BI150">
        <f>IF(BI15="",0,2*(OR(ISNUMBER(FIND("WORKCENTER",BI15)),AND(LEFT(BI15,4)="LINE",NOT(ISNUMBER(FIND("STATUS",BI15))))))+4*(OR(ISNUMBER(FIND("WORKORDER",BI15)),AND(LEFT(BI15,2)="WO",OR(ISNUMBER(FIND("NUM",BI15)),RIGHT(BI15,2)="NO"))))+8*(LEFT(BI15,3)="SEQ")+16*(AND(LEFT(BI15,4)="ITEM",NOT(ISNUMBER(FIND("DESC",BI15)))))+32*(AND(ISNUMBER(FIND("DESC",BI15)),NOT(ISNUMBER(FIND("CAP",BI15)))))+64*(OR(RIGHT(BI15,5)="COUNT",RIGHT(BI15,2)="CT"))+128*(ISNUMBER(FIND("BULK",BI15)))+256*(ISNUMBER(FIND("SIZE",BI15)))+512*(LEFT(BI15,3)="CAP")+1024*(ISNUMBER(FIND("ALLERG",BI15)))+2048*(OR(ISNUMBER(FIND("REMARK",BI15)),ISNUMBER(FIND("COMMENT",BI15))))+4096*(OR(ISNUMBER(FIND("QTY",BI15)),ISNUMBER(FIND("QUANTITY",BI15))))+8192*(AND(OR(ISNUMBER(FIND("COMPLETE",BI15)),ISNUMBER(FIND("PCT",BI15)),ISNUMBER(FIND("PERCENT",BI15))),NOT(ISNUMBER(FIND("ACTUAL",BI15))),LEN(BI15)&lt;=16))+32768*(OR(ISNUMBER(FIND("DESIC",BI15)),ISNUMBER(FIND("DESSIC",BI15)))))</f>
        <v/>
      </c>
      <c r="BJ150">
        <f>IF(BJ15="",0,2*(OR(ISNUMBER(FIND("WORKCENTER",BJ15)),AND(LEFT(BJ15,4)="LINE",NOT(ISNUMBER(FIND("STATUS",BJ15))))))+4*(OR(ISNUMBER(FIND("WORKORDER",BJ15)),AND(LEFT(BJ15,2)="WO",OR(ISNUMBER(FIND("NUM",BJ15)),RIGHT(BJ15,2)="NO"))))+8*(LEFT(BJ15,3)="SEQ")+16*(AND(LEFT(BJ15,4)="ITEM",NOT(ISNUMBER(FIND("DESC",BJ15)))))+32*(AND(ISNUMBER(FIND("DESC",BJ15)),NOT(ISNUMBER(FIND("CAP",BJ15)))))+64*(OR(RIGHT(BJ15,5)="COUNT",RIGHT(BJ15,2)="CT"))+128*(ISNUMBER(FIND("BULK",BJ15)))+256*(ISNUMBER(FIND("SIZE",BJ15)))+512*(LEFT(BJ15,3)="CAP")+1024*(ISNUMBER(FIND("ALLERG",BJ15)))+2048*(OR(ISNUMBER(FIND("REMARK",BJ15)),ISNUMBER(FIND("COMMENT",BJ15))))+4096*(OR(ISNUMBER(FIND("QTY",BJ15)),ISNUMBER(FIND("QUANTITY",BJ15))))+8192*(AND(OR(ISNUMBER(FIND("COMPLETE",BJ15)),ISNUMBER(FIND("PCT",BJ15)),ISNUMBER(FIND("PERCENT",BJ15))),NOT(ISNUMBER(FIND("ACTUAL",BJ15))),LEN(BJ15)&lt;=16))+32768*(OR(ISNUMBER(FIND("DESIC",BJ15)),ISNUMBER(FIND("DESSIC",BJ15)))))</f>
        <v/>
      </c>
      <c r="BK150">
        <f>IF(BK15="",0,2*(OR(ISNUMBER(FIND("WORKCENTER",BK15)),AND(LEFT(BK15,4)="LINE",NOT(ISNUMBER(FIND("STATUS",BK15))))))+4*(OR(ISNUMBER(FIND("WORKORDER",BK15)),AND(LEFT(BK15,2)="WO",OR(ISNUMBER(FIND("NUM",BK15)),RIGHT(BK15,2)="NO"))))+8*(LEFT(BK15,3)="SEQ")+16*(AND(LEFT(BK15,4)="ITEM",NOT(ISNUMBER(FIND("DESC",BK15)))))+32*(AND(ISNUMBER(FIND("DESC",BK15)),NOT(ISNUMBER(FIND("CAP",BK15)))))+64*(OR(RIGHT(BK15,5)="COUNT",RIGHT(BK15,2)="CT"))+128*(ISNUMBER(FIND("BULK",BK15)))+256*(ISNUMBER(FIND("SIZE",BK15)))+512*(LEFT(BK15,3)="CAP")+1024*(ISNUMBER(FIND("ALLERG",BK15)))+2048*(OR(ISNUMBER(FIND("REMARK",BK15)),ISNUMBER(FIND("COMMENT",BK15))))+4096*(OR(ISNUMBER(FIND("QTY",BK15)),ISNUMBER(FIND("QUANTITY",BK15))))+8192*(AND(OR(ISNUMBER(FIND("COMPLETE",BK15)),ISNUMBER(FIND("PCT",BK15)),ISNUMBER(FIND("PERCENT",BK15))),NOT(ISNUMBER(FIND("ACTUAL",BK15))),LEN(BK15)&lt;=16))+32768*(OR(ISNUMBER(FIND("DESIC",BK15)),ISNUMBER(FIND("DESSIC",BK15)))))</f>
        <v/>
      </c>
      <c r="BL150">
        <f>IF(BL15="",0,2*(OR(ISNUMBER(FIND("WORKCENTER",BL15)),AND(LEFT(BL15,4)="LINE",NOT(ISNUMBER(FIND("STATUS",BL15))))))+4*(OR(ISNUMBER(FIND("WORKORDER",BL15)),AND(LEFT(BL15,2)="WO",OR(ISNUMBER(FIND("NUM",BL15)),RIGHT(BL15,2)="NO"))))+8*(LEFT(BL15,3)="SEQ")+16*(AND(LEFT(BL15,4)="ITEM",NOT(ISNUMBER(FIND("DESC",BL15)))))+32*(AND(ISNUMBER(FIND("DESC",BL15)),NOT(ISNUMBER(FIND("CAP",BL15)))))+64*(OR(RIGHT(BL15,5)="COUNT",RIGHT(BL15,2)="CT"))+128*(ISNUMBER(FIND("BULK",BL15)))+256*(ISNUMBER(FIND("SIZE",BL15)))+512*(LEFT(BL15,3)="CAP")+1024*(ISNUMBER(FIND("ALLERG",BL15)))+2048*(OR(ISNUMBER(FIND("REMARK",BL15)),ISNUMBER(FIND("COMMENT",BL15))))+4096*(OR(ISNUMBER(FIND("QTY",BL15)),ISNUMBER(FIND("QUANTITY",BL15))))+8192*(AND(OR(ISNUMBER(FIND("COMPLETE",BL15)),ISNUMBER(FIND("PCT",BL15)),ISNUMBER(FIND("PERCENT",BL15))),NOT(ISNUMBER(FIND("ACTUAL",BL15))),LEN(BL15)&lt;=16))+32768*(OR(ISNUMBER(FIND("DESIC",BL15)),ISNUMBER(FIND("DESSIC",BL15)))))</f>
        <v/>
      </c>
      <c r="BM150">
        <f>IF(BM15="",0,2*(OR(ISNUMBER(FIND("WORKCENTER",BM15)),AND(LEFT(BM15,4)="LINE",NOT(ISNUMBER(FIND("STATUS",BM15))))))+4*(OR(ISNUMBER(FIND("WORKORDER",BM15)),AND(LEFT(BM15,2)="WO",OR(ISNUMBER(FIND("NUM",BM15)),RIGHT(BM15,2)="NO"))))+8*(LEFT(BM15,3)="SEQ")+16*(AND(LEFT(BM15,4)="ITEM",NOT(ISNUMBER(FIND("DESC",BM15)))))+32*(AND(ISNUMBER(FIND("DESC",BM15)),NOT(ISNUMBER(FIND("CAP",BM15)))))+64*(OR(RIGHT(BM15,5)="COUNT",RIGHT(BM15,2)="CT"))+128*(ISNUMBER(FIND("BULK",BM15)))+256*(ISNUMBER(FIND("SIZE",BM15)))+512*(LEFT(BM15,3)="CAP")+1024*(ISNUMBER(FIND("ALLERG",BM15)))+2048*(OR(ISNUMBER(FIND("REMARK",BM15)),ISNUMBER(FIND("COMMENT",BM15))))+4096*(OR(ISNUMBER(FIND("QTY",BM15)),ISNUMBER(FIND("QUANTITY",BM15))))+8192*(AND(OR(ISNUMBER(FIND("COMPLETE",BM15)),ISNUMBER(FIND("PCT",BM15)),ISNUMBER(FIND("PERCENT",BM15))),NOT(ISNUMBER(FIND("ACTUAL",BM15))),LEN(BM15)&lt;=16))+32768*(OR(ISNUMBER(FIND("DESIC",BM15)),ISNUMBER(FIND("DESSIC",BM15)))))</f>
        <v/>
      </c>
      <c r="BN150">
        <f>IF(BN15="",0,2*(OR(ISNUMBER(FIND("WORKCENTER",BN15)),AND(LEFT(BN15,4)="LINE",NOT(ISNUMBER(FIND("STATUS",BN15))))))+4*(OR(ISNUMBER(FIND("WORKORDER",BN15)),AND(LEFT(BN15,2)="WO",OR(ISNUMBER(FIND("NUM",BN15)),RIGHT(BN15,2)="NO"))))+8*(LEFT(BN15,3)="SEQ")+16*(AND(LEFT(BN15,4)="ITEM",NOT(ISNUMBER(FIND("DESC",BN15)))))+32*(AND(ISNUMBER(FIND("DESC",BN15)),NOT(ISNUMBER(FIND("CAP",BN15)))))+64*(OR(RIGHT(BN15,5)="COUNT",RIGHT(BN15,2)="CT"))+128*(ISNUMBER(FIND("BULK",BN15)))+256*(ISNUMBER(FIND("SIZE",BN15)))+512*(LEFT(BN15,3)="CAP")+1024*(ISNUMBER(FIND("ALLERG",BN15)))+2048*(OR(ISNUMBER(FIND("REMARK",BN15)),ISNUMBER(FIND("COMMENT",BN15))))+4096*(OR(ISNUMBER(FIND("QTY",BN15)),ISNUMBER(FIND("QUANTITY",BN15))))+8192*(AND(OR(ISNUMBER(FIND("COMPLETE",BN15)),ISNUMBER(FIND("PCT",BN15)),ISNUMBER(FIND("PERCENT",BN15))),NOT(ISNUMBER(FIND("ACTUAL",BN15))),LEN(BN15)&lt;=16))+32768*(OR(ISNUMBER(FIND("DESIC",BN15)),ISNUMBER(FIND("DESSIC",BN15)))))</f>
        <v/>
      </c>
      <c r="BO150">
        <f>IF(BO15="",0,2*(OR(ISNUMBER(FIND("WORKCENTER",BO15)),AND(LEFT(BO15,4)="LINE",NOT(ISNUMBER(FIND("STATUS",BO15))))))+4*(OR(ISNUMBER(FIND("WORKORDER",BO15)),AND(LEFT(BO15,2)="WO",OR(ISNUMBER(FIND("NUM",BO15)),RIGHT(BO15,2)="NO"))))+8*(LEFT(BO15,3)="SEQ")+16*(AND(LEFT(BO15,4)="ITEM",NOT(ISNUMBER(FIND("DESC",BO15)))))+32*(AND(ISNUMBER(FIND("DESC",BO15)),NOT(ISNUMBER(FIND("CAP",BO15)))))+64*(OR(RIGHT(BO15,5)="COUNT",RIGHT(BO15,2)="CT"))+128*(ISNUMBER(FIND("BULK",BO15)))+256*(ISNUMBER(FIND("SIZE",BO15)))+512*(LEFT(BO15,3)="CAP")+1024*(ISNUMBER(FIND("ALLERG",BO15)))+2048*(OR(ISNUMBER(FIND("REMARK",BO15)),ISNUMBER(FIND("COMMENT",BO15))))+4096*(OR(ISNUMBER(FIND("QTY",BO15)),ISNUMBER(FIND("QUANTITY",BO15))))+8192*(AND(OR(ISNUMBER(FIND("COMPLETE",BO15)),ISNUMBER(FIND("PCT",BO15)),ISNUMBER(FIND("PERCENT",BO15))),NOT(ISNUMBER(FIND("ACTUAL",BO15))),LEN(BO15)&lt;=16))+32768*(OR(ISNUMBER(FIND("DESIC",BO15)),ISNUMBER(FIND("DESSIC",BO15)))))</f>
        <v/>
      </c>
      <c r="BP150">
        <f>IF(BP15="",0,2*(OR(ISNUMBER(FIND("WORKCENTER",BP15)),AND(LEFT(BP15,4)="LINE",NOT(ISNUMBER(FIND("STATUS",BP15))))))+4*(OR(ISNUMBER(FIND("WORKORDER",BP15)),AND(LEFT(BP15,2)="WO",OR(ISNUMBER(FIND("NUM",BP15)),RIGHT(BP15,2)="NO"))))+8*(LEFT(BP15,3)="SEQ")+16*(AND(LEFT(BP15,4)="ITEM",NOT(ISNUMBER(FIND("DESC",BP15)))))+32*(AND(ISNUMBER(FIND("DESC",BP15)),NOT(ISNUMBER(FIND("CAP",BP15)))))+64*(OR(RIGHT(BP15,5)="COUNT",RIGHT(BP15,2)="CT"))+128*(ISNUMBER(FIND("BULK",BP15)))+256*(ISNUMBER(FIND("SIZE",BP15)))+512*(LEFT(BP15,3)="CAP")+1024*(ISNUMBER(FIND("ALLERG",BP15)))+2048*(OR(ISNUMBER(FIND("REMARK",BP15)),ISNUMBER(FIND("COMMENT",BP15))))+4096*(OR(ISNUMBER(FIND("QTY",BP15)),ISNUMBER(FIND("QUANTITY",BP15))))+8192*(AND(OR(ISNUMBER(FIND("COMPLETE",BP15)),ISNUMBER(FIND("PCT",BP15)),ISNUMBER(FIND("PERCENT",BP15))),NOT(ISNUMBER(FIND("ACTUAL",BP15))),LEN(BP15)&lt;=16))+32768*(OR(ISNUMBER(FIND("DESIC",BP15)),ISNUMBER(FIND("DESSIC",BP15)))))</f>
        <v/>
      </c>
      <c r="BQ150">
        <f>IF(BQ15="",0,2*(OR(ISNUMBER(FIND("WORKCENTER",BQ15)),AND(LEFT(BQ15,4)="LINE",NOT(ISNUMBER(FIND("STATUS",BQ15))))))+4*(OR(ISNUMBER(FIND("WORKORDER",BQ15)),AND(LEFT(BQ15,2)="WO",OR(ISNUMBER(FIND("NUM",BQ15)),RIGHT(BQ15,2)="NO"))))+8*(LEFT(BQ15,3)="SEQ")+16*(AND(LEFT(BQ15,4)="ITEM",NOT(ISNUMBER(FIND("DESC",BQ15)))))+32*(AND(ISNUMBER(FIND("DESC",BQ15)),NOT(ISNUMBER(FIND("CAP",BQ15)))))+64*(OR(RIGHT(BQ15,5)="COUNT",RIGHT(BQ15,2)="CT"))+128*(ISNUMBER(FIND("BULK",BQ15)))+256*(ISNUMBER(FIND("SIZE",BQ15)))+512*(LEFT(BQ15,3)="CAP")+1024*(ISNUMBER(FIND("ALLERG",BQ15)))+2048*(OR(ISNUMBER(FIND("REMARK",BQ15)),ISNUMBER(FIND("COMMENT",BQ15))))+4096*(OR(ISNUMBER(FIND("QTY",BQ15)),ISNUMBER(FIND("QUANTITY",BQ15))))+8192*(AND(OR(ISNUMBER(FIND("COMPLETE",BQ15)),ISNUMBER(FIND("PCT",BQ15)),ISNUMBER(FIND("PERCENT",BQ15))),NOT(ISNUMBER(FIND("ACTUAL",BQ15))),LEN(BQ15)&lt;=16))+32768*(OR(ISNUMBER(FIND("DESIC",BQ15)),ISNUMBER(FIND("DESSIC",BQ15)))))</f>
        <v/>
      </c>
      <c r="BR150">
        <f>IF(BR15="",0,2*(OR(ISNUMBER(FIND("WORKCENTER",BR15)),AND(LEFT(BR15,4)="LINE",NOT(ISNUMBER(FIND("STATUS",BR15))))))+4*(OR(ISNUMBER(FIND("WORKORDER",BR15)),AND(LEFT(BR15,2)="WO",OR(ISNUMBER(FIND("NUM",BR15)),RIGHT(BR15,2)="NO"))))+8*(LEFT(BR15,3)="SEQ")+16*(AND(LEFT(BR15,4)="ITEM",NOT(ISNUMBER(FIND("DESC",BR15)))))+32*(AND(ISNUMBER(FIND("DESC",BR15)),NOT(ISNUMBER(FIND("CAP",BR15)))))+64*(OR(RIGHT(BR15,5)="COUNT",RIGHT(BR15,2)="CT"))+128*(ISNUMBER(FIND("BULK",BR15)))+256*(ISNUMBER(FIND("SIZE",BR15)))+512*(LEFT(BR15,3)="CAP")+1024*(ISNUMBER(FIND("ALLERG",BR15)))+2048*(OR(ISNUMBER(FIND("REMARK",BR15)),ISNUMBER(FIND("COMMENT",BR15))))+4096*(OR(ISNUMBER(FIND("QTY",BR15)),ISNUMBER(FIND("QUANTITY",BR15))))+8192*(AND(OR(ISNUMBER(FIND("COMPLETE",BR15)),ISNUMBER(FIND("PCT",BR15)),ISNUMBER(FIND("PERCENT",BR15))),NOT(ISNUMBER(FIND("ACTUAL",BR15))),LEN(BR15)&lt;=16))+32768*(OR(ISNUMBER(FIND("DESIC",BR15)),ISNUMBER(FIND("DESSIC",BR15)))))</f>
        <v/>
      </c>
      <c r="BS150">
        <f>IF(BS15="",0,2*(OR(ISNUMBER(FIND("WORKCENTER",BS15)),AND(LEFT(BS15,4)="LINE",NOT(ISNUMBER(FIND("STATUS",BS15))))))+4*(OR(ISNUMBER(FIND("WORKORDER",BS15)),AND(LEFT(BS15,2)="WO",OR(ISNUMBER(FIND("NUM",BS15)),RIGHT(BS15,2)="NO"))))+8*(LEFT(BS15,3)="SEQ")+16*(AND(LEFT(BS15,4)="ITEM",NOT(ISNUMBER(FIND("DESC",BS15)))))+32*(AND(ISNUMBER(FIND("DESC",BS15)),NOT(ISNUMBER(FIND("CAP",BS15)))))+64*(OR(RIGHT(BS15,5)="COUNT",RIGHT(BS15,2)="CT"))+128*(ISNUMBER(FIND("BULK",BS15)))+256*(ISNUMBER(FIND("SIZE",BS15)))+512*(LEFT(BS15,3)="CAP")+1024*(ISNUMBER(FIND("ALLERG",BS15)))+2048*(OR(ISNUMBER(FIND("REMARK",BS15)),ISNUMBER(FIND("COMMENT",BS15))))+4096*(OR(ISNUMBER(FIND("QTY",BS15)),ISNUMBER(FIND("QUANTITY",BS15))))+8192*(AND(OR(ISNUMBER(FIND("COMPLETE",BS15)),ISNUMBER(FIND("PCT",BS15)),ISNUMBER(FIND("PERCENT",BS15))),NOT(ISNUMBER(FIND("ACTUAL",BS15))),LEN(BS15)&lt;=16))+32768*(OR(ISNUMBER(FIND("DESIC",BS15)),ISNUMBER(FIND("DESSIC",BS15)))))</f>
        <v/>
      </c>
      <c r="BT150">
        <f>IF(BT15="",0,2*(OR(ISNUMBER(FIND("WORKCENTER",BT15)),AND(LEFT(BT15,4)="LINE",NOT(ISNUMBER(FIND("STATUS",BT15))))))+4*(OR(ISNUMBER(FIND("WORKORDER",BT15)),AND(LEFT(BT15,2)="WO",OR(ISNUMBER(FIND("NUM",BT15)),RIGHT(BT15,2)="NO"))))+8*(LEFT(BT15,3)="SEQ")+16*(AND(LEFT(BT15,4)="ITEM",NOT(ISNUMBER(FIND("DESC",BT15)))))+32*(AND(ISNUMBER(FIND("DESC",BT15)),NOT(ISNUMBER(FIND("CAP",BT15)))))+64*(OR(RIGHT(BT15,5)="COUNT",RIGHT(BT15,2)="CT"))+128*(ISNUMBER(FIND("BULK",BT15)))+256*(ISNUMBER(FIND("SIZE",BT15)))+512*(LEFT(BT15,3)="CAP")+1024*(ISNUMBER(FIND("ALLERG",BT15)))+2048*(OR(ISNUMBER(FIND("REMARK",BT15)),ISNUMBER(FIND("COMMENT",BT15))))+4096*(OR(ISNUMBER(FIND("QTY",BT15)),ISNUMBER(FIND("QUANTITY",BT15))))+8192*(AND(OR(ISNUMBER(FIND("COMPLETE",BT15)),ISNUMBER(FIND("PCT",BT15)),ISNUMBER(FIND("PERCENT",BT15))),NOT(ISNUMBER(FIND("ACTUAL",BT15))),LEN(BT15)&lt;=16))+32768*(OR(ISNUMBER(FIND("DESIC",BT15)),ISNUMBER(FIND("DESSIC",BT15)))))</f>
        <v/>
      </c>
      <c r="BU150">
        <f>IF(BU15="",0,2*(OR(ISNUMBER(FIND("WORKCENTER",BU15)),AND(LEFT(BU15,4)="LINE",NOT(ISNUMBER(FIND("STATUS",BU15))))))+4*(OR(ISNUMBER(FIND("WORKORDER",BU15)),AND(LEFT(BU15,2)="WO",OR(ISNUMBER(FIND("NUM",BU15)),RIGHT(BU15,2)="NO"))))+8*(LEFT(BU15,3)="SEQ")+16*(AND(LEFT(BU15,4)="ITEM",NOT(ISNUMBER(FIND("DESC",BU15)))))+32*(AND(ISNUMBER(FIND("DESC",BU15)),NOT(ISNUMBER(FIND("CAP",BU15)))))+64*(OR(RIGHT(BU15,5)="COUNT",RIGHT(BU15,2)="CT"))+128*(ISNUMBER(FIND("BULK",BU15)))+256*(ISNUMBER(FIND("SIZE",BU15)))+512*(LEFT(BU15,3)="CAP")+1024*(ISNUMBER(FIND("ALLERG",BU15)))+2048*(OR(ISNUMBER(FIND("REMARK",BU15)),ISNUMBER(FIND("COMMENT",BU15))))+4096*(OR(ISNUMBER(FIND("QTY",BU15)),ISNUMBER(FIND("QUANTITY",BU15))))+8192*(AND(OR(ISNUMBER(FIND("COMPLETE",BU15)),ISNUMBER(FIND("PCT",BU15)),ISNUMBER(FIND("PERCENT",BU15))),NOT(ISNUMBER(FIND("ACTUAL",BU15))),LEN(BU15)&lt;=16))+32768*(OR(ISNUMBER(FIND("DESIC",BU15)),ISNUMBER(FIND("DESSIC",BU15)))))</f>
        <v/>
      </c>
      <c r="BV150">
        <f>IF(BV15="",0,2*(OR(ISNUMBER(FIND("WORKCENTER",BV15)),AND(LEFT(BV15,4)="LINE",NOT(ISNUMBER(FIND("STATUS",BV15))))))+4*(OR(ISNUMBER(FIND("WORKORDER",BV15)),AND(LEFT(BV15,2)="WO",OR(ISNUMBER(FIND("NUM",BV15)),RIGHT(BV15,2)="NO"))))+8*(LEFT(BV15,3)="SEQ")+16*(AND(LEFT(BV15,4)="ITEM",NOT(ISNUMBER(FIND("DESC",BV15)))))+32*(AND(ISNUMBER(FIND("DESC",BV15)),NOT(ISNUMBER(FIND("CAP",BV15)))))+64*(OR(RIGHT(BV15,5)="COUNT",RIGHT(BV15,2)="CT"))+128*(ISNUMBER(FIND("BULK",BV15)))+256*(ISNUMBER(FIND("SIZE",BV15)))+512*(LEFT(BV15,3)="CAP")+1024*(ISNUMBER(FIND("ALLERG",BV15)))+2048*(OR(ISNUMBER(FIND("REMARK",BV15)),ISNUMBER(FIND("COMMENT",BV15))))+4096*(OR(ISNUMBER(FIND("QTY",BV15)),ISNUMBER(FIND("QUANTITY",BV15))))+8192*(AND(OR(ISNUMBER(FIND("COMPLETE",BV15)),ISNUMBER(FIND("PCT",BV15)),ISNUMBER(FIND("PERCENT",BV15))),NOT(ISNUMBER(FIND("ACTUAL",BV15))),LEN(BV15)&lt;=16))+32768*(OR(ISNUMBER(FIND("DESIC",BV15)),ISNUMBER(FIND("DESSIC",BV15)))))</f>
        <v/>
      </c>
      <c r="BW150">
        <f>IF(BW15="",0,2*(OR(ISNUMBER(FIND("WORKCENTER",BW15)),AND(LEFT(BW15,4)="LINE",NOT(ISNUMBER(FIND("STATUS",BW15))))))+4*(OR(ISNUMBER(FIND("WORKORDER",BW15)),AND(LEFT(BW15,2)="WO",OR(ISNUMBER(FIND("NUM",BW15)),RIGHT(BW15,2)="NO"))))+8*(LEFT(BW15,3)="SEQ")+16*(AND(LEFT(BW15,4)="ITEM",NOT(ISNUMBER(FIND("DESC",BW15)))))+32*(AND(ISNUMBER(FIND("DESC",BW15)),NOT(ISNUMBER(FIND("CAP",BW15)))))+64*(OR(RIGHT(BW15,5)="COUNT",RIGHT(BW15,2)="CT"))+128*(ISNUMBER(FIND("BULK",BW15)))+256*(ISNUMBER(FIND("SIZE",BW15)))+512*(LEFT(BW15,3)="CAP")+1024*(ISNUMBER(FIND("ALLERG",BW15)))+2048*(OR(ISNUMBER(FIND("REMARK",BW15)),ISNUMBER(FIND("COMMENT",BW15))))+4096*(OR(ISNUMBER(FIND("QTY",BW15)),ISNUMBER(FIND("QUANTITY",BW15))))+8192*(AND(OR(ISNUMBER(FIND("COMPLETE",BW15)),ISNUMBER(FIND("PCT",BW15)),ISNUMBER(FIND("PERCENT",BW15))),NOT(ISNUMBER(FIND("ACTUAL",BW15))),LEN(BW15)&lt;=16))+32768*(OR(ISNUMBER(FIND("DESIC",BW15)),ISNUMBER(FIND("DESSIC",BW15)))))</f>
        <v/>
      </c>
      <c r="BX150">
        <f>IF(BX15="",0,2*(OR(ISNUMBER(FIND("WORKCENTER",BX15)),AND(LEFT(BX15,4)="LINE",NOT(ISNUMBER(FIND("STATUS",BX15))))))+4*(OR(ISNUMBER(FIND("WORKORDER",BX15)),AND(LEFT(BX15,2)="WO",OR(ISNUMBER(FIND("NUM",BX15)),RIGHT(BX15,2)="NO"))))+8*(LEFT(BX15,3)="SEQ")+16*(AND(LEFT(BX15,4)="ITEM",NOT(ISNUMBER(FIND("DESC",BX15)))))+32*(AND(ISNUMBER(FIND("DESC",BX15)),NOT(ISNUMBER(FIND("CAP",BX15)))))+64*(OR(RIGHT(BX15,5)="COUNT",RIGHT(BX15,2)="CT"))+128*(ISNUMBER(FIND("BULK",BX15)))+256*(ISNUMBER(FIND("SIZE",BX15)))+512*(LEFT(BX15,3)="CAP")+1024*(ISNUMBER(FIND("ALLERG",BX15)))+2048*(OR(ISNUMBER(FIND("REMARK",BX15)),ISNUMBER(FIND("COMMENT",BX15))))+4096*(OR(ISNUMBER(FIND("QTY",BX15)),ISNUMBER(FIND("QUANTITY",BX15))))+8192*(AND(OR(ISNUMBER(FIND("COMPLETE",BX15)),ISNUMBER(FIND("PCT",BX15)),ISNUMBER(FIND("PERCENT",BX15))),NOT(ISNUMBER(FIND("ACTUAL",BX15))),LEN(BX15)&lt;=16))+32768*(OR(ISNUMBER(FIND("DESIC",BX15)),ISNUMBER(FIND("DESSIC",BX15)))))</f>
        <v/>
      </c>
      <c r="BY150">
        <f>IF(BY15="",0,2*(OR(ISNUMBER(FIND("WORKCENTER",BY15)),AND(LEFT(BY15,4)="LINE",NOT(ISNUMBER(FIND("STATUS",BY15))))))+4*(OR(ISNUMBER(FIND("WORKORDER",BY15)),AND(LEFT(BY15,2)="WO",OR(ISNUMBER(FIND("NUM",BY15)),RIGHT(BY15,2)="NO"))))+8*(LEFT(BY15,3)="SEQ")+16*(AND(LEFT(BY15,4)="ITEM",NOT(ISNUMBER(FIND("DESC",BY15)))))+32*(AND(ISNUMBER(FIND("DESC",BY15)),NOT(ISNUMBER(FIND("CAP",BY15)))))+64*(OR(RIGHT(BY15,5)="COUNT",RIGHT(BY15,2)="CT"))+128*(ISNUMBER(FIND("BULK",BY15)))+256*(ISNUMBER(FIND("SIZE",BY15)))+512*(LEFT(BY15,3)="CAP")+1024*(ISNUMBER(FIND("ALLERG",BY15)))+2048*(OR(ISNUMBER(FIND("REMARK",BY15)),ISNUMBER(FIND("COMMENT",BY15))))+4096*(OR(ISNUMBER(FIND("QTY",BY15)),ISNUMBER(FIND("QUANTITY",BY15))))+8192*(AND(OR(ISNUMBER(FIND("COMPLETE",BY15)),ISNUMBER(FIND("PCT",BY15)),ISNUMBER(FIND("PERCENT",BY15))),NOT(ISNUMBER(FIND("ACTUAL",BY15))),LEN(BY15)&lt;=16))+32768*(OR(ISNUMBER(FIND("DESIC",BY15)),ISNUMBER(FIND("DESSIC",BY15)))))</f>
        <v/>
      </c>
      <c r="BZ150">
        <f>IF(BZ15="",0,2*(OR(ISNUMBER(FIND("WORKCENTER",BZ15)),AND(LEFT(BZ15,4)="LINE",NOT(ISNUMBER(FIND("STATUS",BZ15))))))+4*(OR(ISNUMBER(FIND("WORKORDER",BZ15)),AND(LEFT(BZ15,2)="WO",OR(ISNUMBER(FIND("NUM",BZ15)),RIGHT(BZ15,2)="NO"))))+8*(LEFT(BZ15,3)="SEQ")+16*(AND(LEFT(BZ15,4)="ITEM",NOT(ISNUMBER(FIND("DESC",BZ15)))))+32*(AND(ISNUMBER(FIND("DESC",BZ15)),NOT(ISNUMBER(FIND("CAP",BZ15)))))+64*(OR(RIGHT(BZ15,5)="COUNT",RIGHT(BZ15,2)="CT"))+128*(ISNUMBER(FIND("BULK",BZ15)))+256*(ISNUMBER(FIND("SIZE",BZ15)))+512*(LEFT(BZ15,3)="CAP")+1024*(ISNUMBER(FIND("ALLERG",BZ15)))+2048*(OR(ISNUMBER(FIND("REMARK",BZ15)),ISNUMBER(FIND("COMMENT",BZ15))))+4096*(OR(ISNUMBER(FIND("QTY",BZ15)),ISNUMBER(FIND("QUANTITY",BZ15))))+8192*(AND(OR(ISNUMBER(FIND("COMPLETE",BZ15)),ISNUMBER(FIND("PCT",BZ15)),ISNUMBER(FIND("PERCENT",BZ15))),NOT(ISNUMBER(FIND("ACTUAL",BZ15))),LEN(BZ15)&lt;=16))+32768*(OR(ISNUMBER(FIND("DESIC",BZ15)),ISNUMBER(FIND("DESSIC",BZ15)))))</f>
        <v/>
      </c>
      <c r="CA150">
        <f>IF(CA15="",0,2*(OR(ISNUMBER(FIND("WORKCENTER",CA15)),AND(LEFT(CA15,4)="LINE",NOT(ISNUMBER(FIND("STATUS",CA15))))))+4*(OR(ISNUMBER(FIND("WORKORDER",CA15)),AND(LEFT(CA15,2)="WO",OR(ISNUMBER(FIND("NUM",CA15)),RIGHT(CA15,2)="NO"))))+8*(LEFT(CA15,3)="SEQ")+16*(AND(LEFT(CA15,4)="ITEM",NOT(ISNUMBER(FIND("DESC",CA15)))))+32*(AND(ISNUMBER(FIND("DESC",CA15)),NOT(ISNUMBER(FIND("CAP",CA15)))))+64*(OR(RIGHT(CA15,5)="COUNT",RIGHT(CA15,2)="CT"))+128*(ISNUMBER(FIND("BULK",CA15)))+256*(ISNUMBER(FIND("SIZE",CA15)))+512*(LEFT(CA15,3)="CAP")+1024*(ISNUMBER(FIND("ALLERG",CA15)))+2048*(OR(ISNUMBER(FIND("REMARK",CA15)),ISNUMBER(FIND("COMMENT",CA15))))+4096*(OR(ISNUMBER(FIND("QTY",CA15)),ISNUMBER(FIND("QUANTITY",CA15))))+8192*(AND(OR(ISNUMBER(FIND("COMPLETE",CA15)),ISNUMBER(FIND("PCT",CA15)),ISNUMBER(FIND("PERCENT",CA15))),NOT(ISNUMBER(FIND("ACTUAL",CA15))),LEN(CA15)&lt;=16))+32768*(OR(ISNUMBER(FIND("DESIC",CA15)),ISNUMBER(FIND("DESSIC",CA15)))))</f>
        <v/>
      </c>
      <c r="CB150">
        <f>IF(CB15="",0,2*(OR(ISNUMBER(FIND("WORKCENTER",CB15)),AND(LEFT(CB15,4)="LINE",NOT(ISNUMBER(FIND("STATUS",CB15))))))+4*(OR(ISNUMBER(FIND("WORKORDER",CB15)),AND(LEFT(CB15,2)="WO",OR(ISNUMBER(FIND("NUM",CB15)),RIGHT(CB15,2)="NO"))))+8*(LEFT(CB15,3)="SEQ")+16*(AND(LEFT(CB15,4)="ITEM",NOT(ISNUMBER(FIND("DESC",CB15)))))+32*(AND(ISNUMBER(FIND("DESC",CB15)),NOT(ISNUMBER(FIND("CAP",CB15)))))+64*(OR(RIGHT(CB15,5)="COUNT",RIGHT(CB15,2)="CT"))+128*(ISNUMBER(FIND("BULK",CB15)))+256*(ISNUMBER(FIND("SIZE",CB15)))+512*(LEFT(CB15,3)="CAP")+1024*(ISNUMBER(FIND("ALLERG",CB15)))+2048*(OR(ISNUMBER(FIND("REMARK",CB15)),ISNUMBER(FIND("COMMENT",CB15))))+4096*(OR(ISNUMBER(FIND("QTY",CB15)),ISNUMBER(FIND("QUANTITY",CB15))))+8192*(AND(OR(ISNUMBER(FIND("COMPLETE",CB15)),ISNUMBER(FIND("PCT",CB15)),ISNUMBER(FIND("PERCENT",CB15))),NOT(ISNUMBER(FIND("ACTUAL",CB15))),LEN(CB15)&lt;=16))+32768*(OR(ISNUMBER(FIND("DESIC",CB15)),ISNUMBER(FIND("DESSIC",CB15)))))</f>
        <v/>
      </c>
      <c r="CC150">
        <f>IF(CC15="",0,2*(OR(ISNUMBER(FIND("WORKCENTER",CC15)),AND(LEFT(CC15,4)="LINE",NOT(ISNUMBER(FIND("STATUS",CC15))))))+4*(OR(ISNUMBER(FIND("WORKORDER",CC15)),AND(LEFT(CC15,2)="WO",OR(ISNUMBER(FIND("NUM",CC15)),RIGHT(CC15,2)="NO"))))+8*(LEFT(CC15,3)="SEQ")+16*(AND(LEFT(CC15,4)="ITEM",NOT(ISNUMBER(FIND("DESC",CC15)))))+32*(AND(ISNUMBER(FIND("DESC",CC15)),NOT(ISNUMBER(FIND("CAP",CC15)))))+64*(OR(RIGHT(CC15,5)="COUNT",RIGHT(CC15,2)="CT"))+128*(ISNUMBER(FIND("BULK",CC15)))+256*(ISNUMBER(FIND("SIZE",CC15)))+512*(LEFT(CC15,3)="CAP")+1024*(ISNUMBER(FIND("ALLERG",CC15)))+2048*(OR(ISNUMBER(FIND("REMARK",CC15)),ISNUMBER(FIND("COMMENT",CC15))))+4096*(OR(ISNUMBER(FIND("QTY",CC15)),ISNUMBER(FIND("QUANTITY",CC15))))+8192*(AND(OR(ISNUMBER(FIND("COMPLETE",CC15)),ISNUMBER(FIND("PCT",CC15)),ISNUMBER(FIND("PERCENT",CC15))),NOT(ISNUMBER(FIND("ACTUAL",CC15))),LEN(CC15)&lt;=16))+32768*(OR(ISNUMBER(FIND("DESIC",CC15)),ISNUMBER(FIND("DESSIC",CC15)))))</f>
        <v/>
      </c>
      <c r="CD150">
        <f>IF(CD15="",0,2*(OR(ISNUMBER(FIND("WORKCENTER",CD15)),AND(LEFT(CD15,4)="LINE",NOT(ISNUMBER(FIND("STATUS",CD15))))))+4*(OR(ISNUMBER(FIND("WORKORDER",CD15)),AND(LEFT(CD15,2)="WO",OR(ISNUMBER(FIND("NUM",CD15)),RIGHT(CD15,2)="NO"))))+8*(LEFT(CD15,3)="SEQ")+16*(AND(LEFT(CD15,4)="ITEM",NOT(ISNUMBER(FIND("DESC",CD15)))))+32*(AND(ISNUMBER(FIND("DESC",CD15)),NOT(ISNUMBER(FIND("CAP",CD15)))))+64*(OR(RIGHT(CD15,5)="COUNT",RIGHT(CD15,2)="CT"))+128*(ISNUMBER(FIND("BULK",CD15)))+256*(ISNUMBER(FIND("SIZE",CD15)))+512*(LEFT(CD15,3)="CAP")+1024*(ISNUMBER(FIND("ALLERG",CD15)))+2048*(OR(ISNUMBER(FIND("REMARK",CD15)),ISNUMBER(FIND("COMMENT",CD15))))+4096*(OR(ISNUMBER(FIND("QTY",CD15)),ISNUMBER(FIND("QUANTITY",CD15))))+8192*(AND(OR(ISNUMBER(FIND("COMPLETE",CD15)),ISNUMBER(FIND("PCT",CD15)),ISNUMBER(FIND("PERCENT",CD15))),NOT(ISNUMBER(FIND("ACTUAL",CD15))),LEN(CD15)&lt;=16))+32768*(OR(ISNUMBER(FIND("DESIC",CD15)),ISNUMBER(FIND("DESSIC",CD15)))))</f>
        <v/>
      </c>
      <c r="CE150">
        <f>IF(CE15="",0,2*(OR(ISNUMBER(FIND("WORKCENTER",CE15)),AND(LEFT(CE15,4)="LINE",NOT(ISNUMBER(FIND("STATUS",CE15))))))+4*(OR(ISNUMBER(FIND("WORKORDER",CE15)),AND(LEFT(CE15,2)="WO",OR(ISNUMBER(FIND("NUM",CE15)),RIGHT(CE15,2)="NO"))))+8*(LEFT(CE15,3)="SEQ")+16*(AND(LEFT(CE15,4)="ITEM",NOT(ISNUMBER(FIND("DESC",CE15)))))+32*(AND(ISNUMBER(FIND("DESC",CE15)),NOT(ISNUMBER(FIND("CAP",CE15)))))+64*(OR(RIGHT(CE15,5)="COUNT",RIGHT(CE15,2)="CT"))+128*(ISNUMBER(FIND("BULK",CE15)))+256*(ISNUMBER(FIND("SIZE",CE15)))+512*(LEFT(CE15,3)="CAP")+1024*(ISNUMBER(FIND("ALLERG",CE15)))+2048*(OR(ISNUMBER(FIND("REMARK",CE15)),ISNUMBER(FIND("COMMENT",CE15))))+4096*(OR(ISNUMBER(FIND("QTY",CE15)),ISNUMBER(FIND("QUANTITY",CE15))))+8192*(AND(OR(ISNUMBER(FIND("COMPLETE",CE15)),ISNUMBER(FIND("PCT",CE15)),ISNUMBER(FIND("PERCENT",CE15))),NOT(ISNUMBER(FIND("ACTUAL",CE15))),LEN(CE15)&lt;=16))+32768*(OR(ISNUMBER(FIND("DESIC",CE15)),ISNUMBER(FIND("DESSIC",CE15)))))</f>
        <v/>
      </c>
      <c r="CF150">
        <f>IF(CF15="",0,2*(OR(ISNUMBER(FIND("WORKCENTER",CF15)),AND(LEFT(CF15,4)="LINE",NOT(ISNUMBER(FIND("STATUS",CF15))))))+4*(OR(ISNUMBER(FIND("WORKORDER",CF15)),AND(LEFT(CF15,2)="WO",OR(ISNUMBER(FIND("NUM",CF15)),RIGHT(CF15,2)="NO"))))+8*(LEFT(CF15,3)="SEQ")+16*(AND(LEFT(CF15,4)="ITEM",NOT(ISNUMBER(FIND("DESC",CF15)))))+32*(AND(ISNUMBER(FIND("DESC",CF15)),NOT(ISNUMBER(FIND("CAP",CF15)))))+64*(OR(RIGHT(CF15,5)="COUNT",RIGHT(CF15,2)="CT"))+128*(ISNUMBER(FIND("BULK",CF15)))+256*(ISNUMBER(FIND("SIZE",CF15)))+512*(LEFT(CF15,3)="CAP")+1024*(ISNUMBER(FIND("ALLERG",CF15)))+2048*(OR(ISNUMBER(FIND("REMARK",CF15)),ISNUMBER(FIND("COMMENT",CF15))))+4096*(OR(ISNUMBER(FIND("QTY",CF15)),ISNUMBER(FIND("QUANTITY",CF15))))+8192*(AND(OR(ISNUMBER(FIND("COMPLETE",CF15)),ISNUMBER(FIND("PCT",CF15)),ISNUMBER(FIND("PERCENT",CF15))),NOT(ISNUMBER(FIND("ACTUAL",CF15))),LEN(CF15)&lt;=16))+32768*(OR(ISNUMBER(FIND("DESIC",CF15)),ISNUMBER(FIND("DESSIC",CF15)))))</f>
        <v/>
      </c>
      <c r="DA150" t="n">
        <v>146</v>
      </c>
      <c r="DB150">
        <f>IF($B$37=0,"",IFERROR(TRIM(SUBSTITUTE(SUBSTITUTE(SUBSTITUTE(SUBSTITUTE(INDEX(PASTE_ALL,146,$B$37)," "," "),CHAR(9)," "),CHAR(10)," "),CHAR(13)," ")),""))</f>
        <v/>
      </c>
      <c r="DC150">
        <f>IF(AND(146&gt;HEADER_ROW,UPPER(DB150)="LEGEND"),1,0)</f>
        <v/>
      </c>
      <c r="DE150" t="n">
        <v>146</v>
      </c>
      <c r="DF150">
        <f>HEADER_ROW+$DE150</f>
        <v/>
      </c>
      <c r="DG150">
        <f>IF(AND($DF150&lt;=1000,$DF150&lt;$B$8),1,0)</f>
        <v/>
      </c>
      <c r="DH150">
        <f>IF($DG150=1,IFERROR(INDEX($DB$5:$DB$1004,$DF150),""),"")</f>
        <v/>
      </c>
      <c r="DI150">
        <f>IF(AND($DG150=1,$DH150&lt;&gt;""),IFERROR(SUBSTITUTE(SUBSTITUTE(TRIM(SUBSTITUTE(SUBSTITUTE(SUBSTITUTE(SUBSTITUTE(IFERROR(INDEX(PASTE_ALL,$DF150,1)&amp;"","")&amp;"␟"&amp;IFERROR(INDEX(PASTE_ALL,$DF150,2)&amp;"","")&amp;"␟"&amp;IFERROR(INDEX(PASTE_ALL,$DF150,3)&amp;"","")&amp;"␟"&amp;IFERROR(INDEX(PASTE_ALL,$DF150,4)&amp;"","")&amp;"␟"&amp;IFERROR(INDEX(PASTE_ALL,$DF150,5)&amp;"","")&amp;"␟"&amp;IFERROR(INDEX(PASTE_ALL,$DF150,6)&amp;"","")&amp;"␟"&amp;IFERROR(INDEX(PASTE_ALL,$DF150,7)&amp;"","")&amp;"␟"&amp;IFERROR(INDEX(PASTE_ALL,$DF150,8)&amp;"","")&amp;"␟"&amp;IFERROR(INDEX(PASTE_ALL,$DF150,9)&amp;"","")&amp;"␟"&amp;IFERROR(INDEX(PASTE_ALL,$DF150,10)&amp;"","")&amp;"␟"&amp;IFERROR(INDEX(PASTE_ALL,$DF150,11)&amp;"","")&amp;"␟"&amp;IFERROR(INDEX(PASTE_ALL,$DF150,12)&amp;"","")&amp;"␟"&amp;IFERROR(INDEX(PASTE_ALL,$DF150,13)&amp;"","")&amp;"␟"&amp;IFERROR(INDEX(PASTE_ALL,$DF150,14)&amp;"","")&amp;"␟"&amp;IFERROR(INDEX(PASTE_ALL,$DF150,15)&amp;"","")&amp;"␟"&amp;IFERROR(INDEX(PASTE_ALL,$DF150,16)&amp;"","")&amp;"␟"&amp;IFERROR(INDEX(PASTE_ALL,$DF150,17)&amp;"","")&amp;"␟"&amp;IFERROR(INDEX(PASTE_ALL,$DF150,18)&amp;"","")&amp;"␟"&amp;IFERROR(INDEX(PASTE_ALL,$DF150,19)&amp;"","")&amp;"␟"&amp;IFERROR(INDEX(PASTE_ALL,$DF150,20)&amp;"","")&amp;"␟"&amp;IFERROR(INDEX(PASTE_ALL,$DF150,21)&amp;"","")&amp;"␟"&amp;IFERROR(INDEX(PASTE_ALL,$DF150,22)&amp;"","")&amp;"␟"&amp;IFERROR(INDEX(PASTE_ALL,$DF150,23)&amp;"","")&amp;"␟"&amp;IFERROR(INDEX(PASTE_ALL,$DF150,24)&amp;"","")&amp;"␟"&amp;IFERROR(INDEX(PASTE_ALL,$DF150,25)&amp;"","")&amp;"␟"&amp;IFERROR(INDEX(PASTE_ALL,$DF150,26)&amp;"","")&amp;"␟"&amp;IFERROR(INDEX(PASTE_ALL,$DF150,27)&amp;"","")&amp;"␟"&amp;IFERROR(INDEX(PASTE_ALL,$DF150,28)&amp;"","")&amp;"␟"&amp;IFERROR(INDEX(PASTE_ALL,$DF150,29)&amp;"","")&amp;"␟"&amp;IFERROR(INDEX(PASTE_ALL,$DF150,30)&amp;"","")&amp;"␟"&amp;IFERROR(INDEX(PASTE_ALL,$DF150,31)&amp;"","")&amp;"␟"&amp;IFERROR(INDEX(PASTE_ALL,$DF150,32)&amp;"","")&amp;"␟"&amp;IFERROR(INDEX(PASTE_ALL,$DF150,33)&amp;"","")&amp;"␟"&amp;IFERROR(INDEX(PASTE_ALL,$DF150,34)&amp;"","")&amp;"␟"&amp;IFERROR(INDEX(PASTE_ALL,$DF150,35)&amp;"","")&amp;"␟"&amp;IFERROR(INDEX(PASTE_ALL,$DF150,36)&amp;"","")&amp;"␟"&amp;IFERROR(INDEX(PASTE_ALL,$DF150,37)&amp;"","")&amp;"␟"&amp;IFERROR(INDEX(PASTE_ALL,$DF150,38)&amp;"","")&amp;"␟"&amp;IFERROR(INDEX(PASTE_ALL,$DF150,39)&amp;"","")&amp;"␟"&amp;IFERROR(INDEX(PASTE_ALL,$DF150,40)&amp;"","")&amp;"␟"&amp;IFERROR(INDEX(PASTE_ALL,$DF150,41)&amp;"","")&amp;"␟"&amp;IFERROR(INDEX(PASTE_ALL,$DF150,42)&amp;"","")&amp;"␟"&amp;IFERROR(INDEX(PASTE_ALL,$DF150,43)&amp;"","")&amp;"␟"&amp;IFERROR(INDEX(PASTE_ALL,$DF150,44)&amp;"","")&amp;"␟"&amp;IFERROR(INDEX(PASTE_ALL,$DF150,45)&amp;"","")&amp;"␟"&amp;IFERROR(INDEX(PASTE_ALL,$DF150,46)&amp;"","")&amp;"␟"&amp;IFERROR(INDEX(PASTE_ALL,$DF150,47)&amp;"","")&amp;"␟"&amp;IFERROR(INDEX(PASTE_ALL,$DF150,48)&amp;"","")&amp;"␟"&amp;IFERROR(INDEX(PASTE_ALL,$DF150,49)&amp;"","")&amp;"␟"&amp;IFERROR(INDEX(PASTE_ALL,$DF150,50)&amp;"","")&amp;"␟"&amp;IFERROR(INDEX(PASTE_ALL,$DF150,51)&amp;"","")&amp;"␟"&amp;IFERROR(INDEX(PASTE_ALL,$DF150,52)&amp;"","")&amp;"␟"&amp;IFERROR(INDEX(PASTE_ALL,$DF150,53)&amp;"","")&amp;"␟"&amp;IFERROR(INDEX(PASTE_ALL,$DF150,54)&amp;"","")&amp;"␟"&amp;IFERROR(INDEX(PASTE_ALL,$DF150,55)&amp;"","")&amp;"␟"&amp;IFERROR(INDEX(PASTE_ALL,$DF150,56)&amp;"","")&amp;"␟"&amp;IFERROR(INDEX(PASTE_ALL,$DF150,57)&amp;"","")&amp;"␟"&amp;IFERROR(INDEX(PASTE_ALL,$DF150,58)&amp;"","")&amp;"␟"&amp;IFERROR(INDEX(PASTE_ALL,$DF150,59)&amp;"","")&amp;"␟"&amp;IFERROR(INDEX(PASTE_ALL,$DF150,60)&amp;"","")," "," "),CHAR(9)," "),CHAR(10)," "),CHAR(13)," "))," ␟","␟"),"␟ ","␟"),"#"&amp;$DE150),"")</f>
        <v/>
      </c>
      <c r="DJ150">
        <f>IF($DI150="",0,IF(SUMPRODUCT(--EXACT($DI$4:DI149,$DI150))&gt;0,1,0))</f>
        <v/>
      </c>
      <c r="DK150">
        <f>IF(AND($DI150&lt;&gt;"",$DJ150=0),1,0)</f>
        <v/>
      </c>
      <c r="DL150">
        <f>DL149+$DK150</f>
        <v/>
      </c>
      <c r="DM150">
        <f>IF(AND($DK150=1,$DL150&lt;=600),1,0)</f>
        <v/>
      </c>
      <c r="DN150">
        <f>IF($DM150=0,"",IF($L$6=0,"",IFERROR(IF(ISNUMBER(INDEX(PASTE_ALL,$DF150,$L$6)),INDEX(PASTE_ALL,$DF150,$L$6),TRIM(SUBSTITUTE(SUBSTITUTE(SUBSTITUTE(SUBSTITUTE(INDEX(PASTE_ALL,$DF150,$L$6)," "," "),CHAR(9)," "),CHAR(10)," "),CHAR(13)," "))),"")))</f>
        <v/>
      </c>
      <c r="DO150">
        <f>IF($DM150=0,"",IF($L$7=0,"",IFERROR(IF(ISNUMBER(INDEX(PASTE_ALL,$DF150,$L$7)),INDEX(PASTE_ALL,$DF150,$L$7),TRIM(SUBSTITUTE(SUBSTITUTE(SUBSTITUTE(SUBSTITUTE(INDEX(PASTE_ALL,$DF150,$L$7)," "," "),CHAR(9)," "),CHAR(10)," "),CHAR(13)," "))),"")))</f>
        <v/>
      </c>
      <c r="DP150">
        <f>IF($DM150=0,"",IF($L$8=0,"",IFERROR(IF(ISNUMBER(INDEX(PASTE_ALL,$DF150,$L$8)),INDEX(PASTE_ALL,$DF150,$L$8),TRIM(SUBSTITUTE(SUBSTITUTE(SUBSTITUTE(SUBSTITUTE(INDEX(PASTE_ALL,$DF150,$L$8)," "," "),CHAR(9)," "),CHAR(10)," "),CHAR(13)," "))),"")))</f>
        <v/>
      </c>
      <c r="DQ150">
        <f>IF($DM150=0,"",IF($L$9=0,"",IFERROR(IF(ISNUMBER(INDEX(PASTE_ALL,$DF150,$L$9)),INDEX(PASTE_ALL,$DF150,$L$9),TRIM(SUBSTITUTE(SUBSTITUTE(SUBSTITUTE(SUBSTITUTE(INDEX(PASTE_ALL,$DF150,$L$9)," "," "),CHAR(9)," "),CHAR(10)," "),CHAR(13)," "))),"")))</f>
        <v/>
      </c>
      <c r="DR150">
        <f>IF($DM150=0,"",IF($L$10=0,"",IFERROR(IF(ISNUMBER(INDEX(PASTE_ALL,$DF150,$L$10)),INDEX(PASTE_ALL,$DF150,$L$10),TRIM(SUBSTITUTE(SUBSTITUTE(SUBSTITUTE(SUBSTITUTE(INDEX(PASTE_ALL,$DF150,$L$10)," "," "),CHAR(9)," "),CHAR(10)," "),CHAR(13)," "))),"")))</f>
        <v/>
      </c>
      <c r="DS150">
        <f>IF($DM150=0,"",IF($L$11=0,"",IFERROR(IF(ISNUMBER(INDEX(PASTE_ALL,$DF150,$L$11)),INDEX(PASTE_ALL,$DF150,$L$11),TRIM(SUBSTITUTE(SUBSTITUTE(SUBSTITUTE(SUBSTITUTE(INDEX(PASTE_ALL,$DF150,$L$11)," "," "),CHAR(9)," "),CHAR(10)," "),CHAR(13)," "))),"")))</f>
        <v/>
      </c>
      <c r="DT150">
        <f>IF($DM150=0,"",IF($L$12=0,"",IFERROR(IF(ISNUMBER(INDEX(PASTE_ALL,$DF150,$L$12)),INDEX(PASTE_ALL,$DF150,$L$12),TRIM(SUBSTITUTE(SUBSTITUTE(SUBSTITUTE(SUBSTITUTE(INDEX(PASTE_ALL,$DF150,$L$12)," "," "),CHAR(9)," "),CHAR(10)," "),CHAR(13)," "))),"")))</f>
        <v/>
      </c>
      <c r="DU150">
        <f>IF($DM150=0,"",IF($L$13=0,"",IFERROR(IF(ISNUMBER(INDEX(PASTE_ALL,$DF150,$L$13)),INDEX(PASTE_ALL,$DF150,$L$13),TRIM(SUBSTITUTE(SUBSTITUTE(SUBSTITUTE(SUBSTITUTE(INDEX(PASTE_ALL,$DF150,$L$13)," "," "),CHAR(9)," "),CHAR(10)," "),CHAR(13)," "))),"")))</f>
        <v/>
      </c>
      <c r="DV150">
        <f>IF($DM150=0,"",IF($L$14=0,"",IFERROR(IF(ISNUMBER(INDEX(PASTE_ALL,$DF150,$L$14)),INDEX(PASTE_ALL,$DF150,$L$14),TRIM(SUBSTITUTE(SUBSTITUTE(SUBSTITUTE(SUBSTITUTE(INDEX(PASTE_ALL,$DF150,$L$14)," "," "),CHAR(9)," "),CHAR(10)," "),CHAR(13)," "))),"")))</f>
        <v/>
      </c>
      <c r="DW150">
        <f>IF($DM150=0,"",IF($L$15=0,"",IFERROR(IF(ISNUMBER(INDEX(PASTE_ALL,$DF150,$L$15)),INDEX(PASTE_ALL,$DF150,$L$15),IF(SUMPRODUCT(--ISNUMBER(FIND({"A","B","C","D","E","F","G","H","I","J","K","L","M","N","O","P","Q","R","S","T","U","V","W","X","Y","Z","0","1","2","3","4","5","6","7","8","9"},UPPER(TRIM(SUBSTITUTE(SUBSTITUTE(SUBSTITUTE(SUBSTITUTE(INDEX(PASTE_ALL,$DF150,$L$15)," "," "),CHAR(9)," "),CHAR(10)," "),CHAR(13)," "))))))&gt;0,TRIM(SUBSTITUTE(SUBSTITUTE(SUBSTITUTE(SUBSTITUTE(INDEX(PASTE_ALL,$DF150,$L$15)," "," "),CHAR(9)," "),CHAR(10)," "),CHAR(13)," ")),"")),"")))</f>
        <v/>
      </c>
      <c r="DX150">
        <f>IF($DM150=0,"",IF($L$16=0,"",IFERROR(IF(ISNUMBER(INDEX(PASTE_ALL,$DF150,$L$16)),INDEX(PASTE_ALL,$DF150,$L$16),SUBSTITUTE(SUBSTITUTE(TRIM(SUBSTITUTE(SUBSTITUTE(SUBSTITUTE(SUBSTITUTE(INDEX(PASTE_ALL,$DF150,$L$16)," "," "),CHAR(9)," "),CHAR(10)," "),CHAR(13)," ")),",",""),"%","")),"")))</f>
        <v/>
      </c>
      <c r="DY150">
        <f>IF($DM150=0,"",IFERROR(IF(ISNUMBER($DX150),$DX150,IF($DX150="","",IF(TRIM($DX150)="",0,IF(AND(AND(SUBSTITUTE(SUBSTITUTE(SUBSTITUTE(SUBSTITUTE(SUBSTITUTE(SUBSTITUTE(SUBSTITUTE(SUBSTITUTE(SUBSTITUTE(SUBSTITUTE(SUBSTITUTE(SUBSTITUTE(SUBSTITUTE(SUBSTITUTE(UPPER(TRIM($DX150)),"0",""),"1",""),"2",""),"3",""),"4",""),"5",""),"6",""),"7",""),"8",""),"9",""),".",""),"+",""),"-",""),"E","")="",LEN(SUBSTITUTE(SUBSTITUTE(MID(UPPER(TRIM($DX150)),1+OR(LEFT(UPPER(TRIM($DX150)),1)="+",LEFT(UPPER(TRIM($DX150)),1)="-"),999),"E+","E"),"E-","E"))=LEN(SUBSTITUTE(SUBSTITUTE(SUBSTITUTE(SUBSTITUTE(MID(UPPER(TRIM($DX150)),1+OR(LEFT(UPPER(TRIM($DX150)),1)="+",LEFT(UPPER(TRIM($DX150)),1)="-"),999),"E+","E"),"E-","E"),"+",""),"-","")),LEN(UPPER(TRIM($DX150)))-LEN(SUBSTITUTE(UPPER(TRIM($DX150)),"E",""))&lt;2,LEN(UPPER(TRIM($DX150)))-LEN(SUBSTITUTE(UPPER(TRIM($DX150)),".",""))&lt;2,IFERROR(FIND(".",UPPER(TRIM($DX150))),0)&lt;IFERROR(FIND("E",UPPER(TRIM($DX150))),999)),ISNUMBER(VALUE(TRIM($DX150)))),VALUE(TRIM($DX150)),"")))),""))</f>
        <v/>
      </c>
      <c r="DZ150">
        <f>IF($DM150=0,"",IF($L$17=0,"",IFERROR(IF(ISNUMBER(INDEX(PASTE_ALL,$DF150,$L$17)),INDEX(PASTE_ALL,$DF150,$L$17),SUBSTITUTE(SUBSTITUTE(TRIM(SUBSTITUTE(SUBSTITUTE(SUBSTITUTE(SUBSTITUTE(INDEX(PASTE_ALL,$DF150,$L$17)," "," "),CHAR(9)," "),CHAR(10)," "),CHAR(13)," ")),",",""),"%","")),"")))</f>
        <v/>
      </c>
      <c r="EA150">
        <f>IF($DM150=0,"",IFERROR(IF(ISNUMBER($DZ150),$DZ150,IF($DZ150="","",IF(TRIM($DZ150)="",0,IF(AND(AND(SUBSTITUTE(SUBSTITUTE(SUBSTITUTE(SUBSTITUTE(SUBSTITUTE(SUBSTITUTE(SUBSTITUTE(SUBSTITUTE(SUBSTITUTE(SUBSTITUTE(SUBSTITUTE(SUBSTITUTE(SUBSTITUTE(SUBSTITUTE(UPPER(TRIM($DZ150)),"0",""),"1",""),"2",""),"3",""),"4",""),"5",""),"6",""),"7",""),"8",""),"9",""),".",""),"+",""),"-",""),"E","")="",LEN(SUBSTITUTE(SUBSTITUTE(MID(UPPER(TRIM($DZ150)),1+OR(LEFT(UPPER(TRIM($DZ150)),1)="+",LEFT(UPPER(TRIM($DZ150)),1)="-"),999),"E+","E"),"E-","E"))=LEN(SUBSTITUTE(SUBSTITUTE(SUBSTITUTE(SUBSTITUTE(MID(UPPER(TRIM($DZ150)),1+OR(LEFT(UPPER(TRIM($DZ150)),1)="+",LEFT(UPPER(TRIM($DZ150)),1)="-"),999),"E+","E"),"E-","E"),"+",""),"-","")),LEN(UPPER(TRIM($DZ150)))-LEN(SUBSTITUTE(UPPER(TRIM($DZ150)),"E",""))&lt;2,LEN(UPPER(TRIM($DZ150)))-LEN(SUBSTITUTE(UPPER(TRIM($DZ150)),".",""))&lt;2,IFERROR(FIND(".",UPPER(TRIM($DZ150))),0)&lt;IFERROR(FIND("E",UPPER(TRIM($DZ150))),999)),ISNUMBER(VALUE(TRIM($DZ150)))),VALUE(TRIM($DZ150)),"")))),""))</f>
        <v/>
      </c>
      <c r="EB150">
        <f>IF($DM150=0,"",IF($L$18=0,"",IFERROR(IF(UPPER(TRIM(SUBSTITUTE(SUBSTITUTE(SUBSTITUTE(SUBSTITUTE(INDEX(PASTE_ALL,$DF150,$L$18)," "," "),CHAR(9)," "),CHAR(10)," "),CHAR(13)," ")))="READY","Ready",IF(UPPER(TRIM(SUBSTITUTE(SUBSTITUTE(SUBSTITUTE(SUBSTITUTE(INDEX(PASTE_ALL,$DF150,$L$18)," "," "),CHAR(9)," "),CHAR(10)," "),CHAR(13)," ")))="PM","PM",IF(OR(UPPER(TRIM(SUBSTITUTE(SUBSTITUTE(SUBSTITUTE(SUBSTITUTE(INDEX(PASTE_ALL,$DF150,$L$18)," "," "),CHAR(9)," "),CHAR(10)," "),CHAR(13)," ")))="OT",UPPER(TRIM(SUBSTITUTE(SUBSTITUTE(SUBSTITUTE(SUBSTITUTE(INDEX(PASTE_ALL,$DF150,$L$18)," "," "),CHAR(9)," "),CHAR(10)," "),CHAR(13)," ")))="OVERTIME",UPPER(TRIM(SUBSTITUTE(SUBSTITUTE(SUBSTITUTE(SUBSTITUTE(INDEX(PASTE_ALL,$DF150,$L$18)," "," "),CHAR(9)," "),CHAR(10)," "),CHAR(13)," ")))="TRIAL"),"OT",TRIM(SUBSTITUTE(SUBSTITUTE(SUBSTITUTE(SUBSTITUTE(INDEX(PASTE_ALL,$DF150,$L$18)," "," "),CHAR(9)," "),CHAR(10)," "),CHAR(13)," "))))),"")))</f>
        <v/>
      </c>
      <c r="EC150">
        <f>IF($DM150=0,"",IF($L$19=0,"",IFERROR(IF(ISNUMBER(INDEX(PASTE_ALL,$DF150,$L$19)),INDEX(PASTE_ALL,$DF150,$L$19),TRIM(SUBSTITUTE(SUBSTITUTE(SUBSTITUTE(SUBSTITUTE(INDEX(PASTE_ALL,$DF150,$L$19)," "," "),CHAR(9)," "),CHAR(10)," "),CHAR(13)," "))),"")))</f>
        <v/>
      </c>
      <c r="ED150">
        <f>IF($DM150=0,"",MATCH(1,INDEX(EXACT($DH$5:DH150,$DH150)*$DM$5:DM150,0),0))</f>
        <v/>
      </c>
      <c r="EE150">
        <f>IF($DM150=0,0,IF($ED150=$DE150,1,0))</f>
        <v/>
      </c>
      <c r="EF150">
        <f>EF149+$EE150</f>
        <v/>
      </c>
      <c r="EG150">
        <f>IF($DM150=0,"",INDEX($EF$5:$EF$1003,$ED150))</f>
        <v/>
      </c>
      <c r="EH150">
        <f>IF($DM150=0,"",IF($DO150&lt;&gt;"","",IFERROR(LOOKUP(2,1/(($EG$4:EG149=$EG150)*($DO$4:DO149&lt;&gt;"")),$DO$4:DO149),"")))</f>
        <v/>
      </c>
      <c r="EI150">
        <f>IF($DM150=0,"",IF($DO150&lt;&gt;"",$DO150,$EH150))</f>
        <v/>
      </c>
      <c r="EJ150">
        <f>IF($DM150=0,"",IF($EI150="",0,IF(OR(ISNUMBER($EI150),AND(AND(SUBSTITUTE(SUBSTITUTE(SUBSTITUTE(SUBSTITUTE(SUBSTITUTE(SUBSTITUTE(SUBSTITUTE(SUBSTITUTE(SUBSTITUTE(SUBSTITUTE(SUBSTITUTE(SUBSTITUTE(SUBSTITUTE(SUBSTITUTE(UPPER($EI150),"0",""),"1",""),"2",""),"3",""),"4",""),"5",""),"6",""),"7",""),"8",""),"9",""),".",""),"+",""),"-",""),"E","")="",LEN(SUBSTITUTE(SUBSTITUTE(MID(UPPER($EI150),1+OR(LEFT(UPPER($EI150),1)="+",LEFT(UPPER($EI150),1)="-"),999),"E+","E"),"E-","E"))=LEN(SUBSTITUTE(SUBSTITUTE(SUBSTITUTE(SUBSTITUTE(MID(UPPER($EI150),1+OR(LEFT(UPPER($EI150),1)="+",LEFT(UPPER($EI150),1)="-"),999),"E+","E"),"E-","E"),"+",""),"-","")),LEN(UPPER($EI150))-LEN(SUBSTITUTE(UPPER($EI150),"E",""))&lt;2,LEN(UPPER($EI150))-LEN(SUBSTITUTE(UPPER($EI150),".",""))&lt;2,IFERROR(FIND(".",UPPER($EI150)),0)&lt;IFERROR(FIND("E",UPPER($EI150)),999)),ISNUMBER(VALUE($EI150)))),1,2)))</f>
        <v/>
      </c>
      <c r="EK150">
        <f>IF($DM150=0,"",IF($EJ150=1,IF(ISNUMBER($EI150),$EI150,VALUE($EI150)),IF($EJ150=2,$DE150,0)))</f>
        <v/>
      </c>
      <c r="EL150">
        <f>IF($DM150=0,"",COUNTIF($EG$5:$EG$1003,"&lt;"&amp;$EG150)+SUMPRODUCT(($EG$5:$EG$1003=$EG150)*(($EJ$5:$EJ$1003&lt;$EJ150)+($EJ$5:$EJ$1003=$EJ150)*(($EK$5:$EK$1003&lt;$EK150)+($EK$5:$EK$1003=$EK150)*($DE$5:$DE$1003&lt;$DE150))))+1)</f>
        <v/>
      </c>
      <c r="EM150">
        <f>IF($DM150=0,"",$EL150+$EG150-1)</f>
        <v/>
      </c>
      <c r="EN150">
        <f>IF($DM150=0,0,IFERROR(MATCH(1,INDEX(--(TRIM(SUBSTITUTE(SUBSTITUTE(SUBSTITUTE(SUBSTITUTE(LINES_NAME&amp;""," "," "),CHAR(9)," "),CHAR(10)," "),CHAR(13)," "))=$DH150),0),0),0))</f>
        <v/>
      </c>
      <c r="EO150">
        <f>IF($EN150=0,0,IF(OR(UPPER(TRIM(INDEX(LINES_SCHEDULED,$EN150)&amp;""))="YES",UPPER(TRIM(INDEX(LINES_SCHEDULED,$EN150)&amp;""))="Y",UPPER(TRIM(INDEX(LINES_SCHEDULED,$EN150)&amp;""))="X"),1,0))</f>
        <v/>
      </c>
      <c r="EP150">
        <f>IF($DM150=0,"",IF(COUNTIFS($EG$5:$EG$1003,$EG150,$EB$5:$EB$1003,"Ready")&gt;0,"READY",IF(COUNTIFS($EG$5:$EG$1003,$EG150,$EB$5:$EB$1003,"PM")&gt;0,"PM",IF(COUNTIFS($EG$5:$EG$1003,$EG150,$EB$5:$EB$1003,"OT")&gt;0,"OT",""))))</f>
        <v/>
      </c>
      <c r="EQ150">
        <f>IF($EN150=0,"",UPPER(TRIM(INDEX(LINES_STATUS,$EN150)&amp;"")))</f>
        <v/>
      </c>
      <c r="ER150">
        <f>IF($DM150=0,"",IF(OR($EQ150="READY",$EQ150="PM",$EQ150="OT"),$EQ150,$EP150))</f>
        <v/>
      </c>
      <c r="ES150">
        <f>IF($DM150=0,"",IF(AND($DV150&lt;&gt;"",UPPER($DV150)&lt;&gt;"N"),"allergen",IF(ISNUMBER(SEARCH("oil",$DQ150)),"oil",IF(OR(EXACT($DS150,"A662"),EXACT($DS150,"A624")),"bulk",""))))</f>
        <v/>
      </c>
      <c r="ET150">
        <f>IF($DM150=0,"",IF(OR($EA150="",$EA150=0),"",$EA150/100))</f>
        <v/>
      </c>
      <c r="EU150">
        <f>IF(OR($ET150="",$DY150=""),"",INT($DY150*(1-$ET150)+0.5))</f>
        <v/>
      </c>
      <c r="EW150" t="n">
        <v>146</v>
      </c>
      <c r="EX150">
        <f>IFERROR(MATCH($EW150,$EM$5:$EM$1003,0),0)</f>
        <v/>
      </c>
      <c r="EY150">
        <f>IF($EW150&gt;$B$12,"",IF($EX150&gt;0,"row","spacer"))</f>
        <v/>
      </c>
      <c r="EZ150">
        <f>IF(AND($EY150="row",$EY149&lt;&gt;"row"),1,0)</f>
        <v/>
      </c>
      <c r="FA150">
        <f>IF(AND($EY150="row",$EY151&lt;&gt;"row"),1,0)</f>
        <v/>
      </c>
      <c r="FB150">
        <f>IF($EZ150=1,IFERROR(IF(ISNUMBER(INDEX(PASTE_ALL,INDEX($DF$5:$DF$1003,$EX150),$B$37)),INDEX(PASTE_ALL,INDEX($DF$5:$DF$1003,$EX150),$B$37),INDEX($DH$5:$DH$1003,$EX150)),INDEX($DH$5:$DH$1003,$EX150)),"")</f>
        <v/>
      </c>
      <c r="FC150">
        <f>IF($EY150="row",INDEX($ER$5:$ER$1003,$EX150),"")</f>
        <v/>
      </c>
      <c r="FD150">
        <f>IF($EY150="row",INDEX($DN$5:$DN$1003,$EX150),"")</f>
        <v/>
      </c>
      <c r="FE150">
        <f>IF($EY150="row",INDEX($DO$5:$DO$1003,$EX150),"")</f>
        <v/>
      </c>
      <c r="FF150">
        <f>IF($EY150="row",INDEX($DP$5:$DP$1003,$EX150),"")</f>
        <v/>
      </c>
      <c r="FG150">
        <f>IF($EY150="row",INDEX($DQ$5:$DQ$1003,$EX150),"")</f>
        <v/>
      </c>
      <c r="FH150">
        <f>IF($EY150="row",INDEX($DR$5:$DR$1003,$EX150),"")</f>
        <v/>
      </c>
      <c r="FI150">
        <f>IF($EY150="row",INDEX($DS$5:$DS$1003,$EX150),"")</f>
        <v/>
      </c>
      <c r="FJ150">
        <f>IF($EY150="row",INDEX($DT$5:$DT$1003,$EX150),"")</f>
        <v/>
      </c>
      <c r="FK150">
        <f>IF($EY150="row",INDEX($DU$5:$DU$1003,$EX150),"")</f>
        <v/>
      </c>
      <c r="FL150">
        <f>IF($EY150="row",INDEX($DV$5:$DV$1003,$EX150),"")</f>
        <v/>
      </c>
      <c r="FM150">
        <f>IF($EY150="row",INDEX($DW$5:$DW$1003,$EX150),"")</f>
        <v/>
      </c>
      <c r="FN150">
        <f>IF($EY150="row",INDEX($DY$5:$DY$1003,$EX150),"")</f>
        <v/>
      </c>
      <c r="FO150">
        <f>IF($EY150="row",INDEX($EA$5:$EA$1003,$EX150),"")</f>
        <v/>
      </c>
      <c r="FP150">
        <f>IF($EY150="row",INDEX($EC$5:$EC$1003,$EX150),"")</f>
        <v/>
      </c>
      <c r="FQ150">
        <f>IF($EY150="row",INDEX($ET$5:$ET$1003,$EX150),"")</f>
        <v/>
      </c>
      <c r="FR150">
        <f>IF($EY150="row",INDEX($EU$5:$EU$1003,$EX150),"")</f>
        <v/>
      </c>
      <c r="FS150">
        <f>IF(AND($EY150="row",$EY149="row"),IF(OR(INDEX($DT$5:$DT$1003,$EX149)="",INDEX($DT$5:$DT$1003,$EX150)=""),"",IF(NOT(EXACT(INDEX($DT$5:$DT$1003,$EX149),INDEX($DT$5:$DT$1003,$EX150))),"S4",IF(NOT(EXACT(INDEX($DS$5:$DS$1003,$EX149),INDEX($DS$5:$DS$1003,$EX150))),"S3",IF(NOT(EXACT(INDEX($DR$5:$DR$1003,$EX149),INDEX($DR$5:$DR$1003,$EX150))),"S1 Count Change","S1")))),"")</f>
        <v/>
      </c>
      <c r="FT150">
        <f>IF($EY150="row",INDEX($ES$5:$ES$1003,$EX150),"")</f>
        <v/>
      </c>
      <c r="FU150">
        <f>IF($EY150="row",INDEX($EO$5:$EO$1003,$EX150),0)</f>
        <v/>
      </c>
      <c r="FV150">
        <f>IF($FS150="S1 Count Change",1,0)</f>
        <v/>
      </c>
    </row>
    <row r="151">
      <c r="Y151">
        <f>IF(Y16="",0,2*(OR(ISNUMBER(FIND("WORKCENTER",Y16)),AND(LEFT(Y16,4)="LINE",NOT(ISNUMBER(FIND("STATUS",Y16))))))+4*(OR(ISNUMBER(FIND("WORKORDER",Y16)),AND(LEFT(Y16,2)="WO",OR(ISNUMBER(FIND("NUM",Y16)),RIGHT(Y16,2)="NO"))))+8*(LEFT(Y16,3)="SEQ")+16*(AND(LEFT(Y16,4)="ITEM",NOT(ISNUMBER(FIND("DESC",Y16)))))+32*(AND(ISNUMBER(FIND("DESC",Y16)),NOT(ISNUMBER(FIND("CAP",Y16)))))+64*(OR(RIGHT(Y16,5)="COUNT",RIGHT(Y16,2)="CT"))+128*(ISNUMBER(FIND("BULK",Y16)))+256*(ISNUMBER(FIND("SIZE",Y16)))+512*(LEFT(Y16,3)="CAP")+1024*(ISNUMBER(FIND("ALLERG",Y16)))+2048*(OR(ISNUMBER(FIND("REMARK",Y16)),ISNUMBER(FIND("COMMENT",Y16))))+4096*(OR(ISNUMBER(FIND("QTY",Y16)),ISNUMBER(FIND("QUANTITY",Y16))))+8192*(AND(OR(ISNUMBER(FIND("COMPLETE",Y16)),ISNUMBER(FIND("PCT",Y16)),ISNUMBER(FIND("PERCENT",Y16))),NOT(ISNUMBER(FIND("ACTUAL",Y16))),LEN(Y16)&lt;=16))+32768*(OR(ISNUMBER(FIND("DESIC",Y16)),ISNUMBER(FIND("DESSIC",Y16)))))</f>
        <v/>
      </c>
      <c r="Z151">
        <f>IF(Z16="",0,2*(OR(ISNUMBER(FIND("WORKCENTER",Z16)),AND(LEFT(Z16,4)="LINE",NOT(ISNUMBER(FIND("STATUS",Z16))))))+4*(OR(ISNUMBER(FIND("WORKORDER",Z16)),AND(LEFT(Z16,2)="WO",OR(ISNUMBER(FIND("NUM",Z16)),RIGHT(Z16,2)="NO"))))+8*(LEFT(Z16,3)="SEQ")+16*(AND(LEFT(Z16,4)="ITEM",NOT(ISNUMBER(FIND("DESC",Z16)))))+32*(AND(ISNUMBER(FIND("DESC",Z16)),NOT(ISNUMBER(FIND("CAP",Z16)))))+64*(OR(RIGHT(Z16,5)="COUNT",RIGHT(Z16,2)="CT"))+128*(ISNUMBER(FIND("BULK",Z16)))+256*(ISNUMBER(FIND("SIZE",Z16)))+512*(LEFT(Z16,3)="CAP")+1024*(ISNUMBER(FIND("ALLERG",Z16)))+2048*(OR(ISNUMBER(FIND("REMARK",Z16)),ISNUMBER(FIND("COMMENT",Z16))))+4096*(OR(ISNUMBER(FIND("QTY",Z16)),ISNUMBER(FIND("QUANTITY",Z16))))+8192*(AND(OR(ISNUMBER(FIND("COMPLETE",Z16)),ISNUMBER(FIND("PCT",Z16)),ISNUMBER(FIND("PERCENT",Z16))),NOT(ISNUMBER(FIND("ACTUAL",Z16))),LEN(Z16)&lt;=16))+32768*(OR(ISNUMBER(FIND("DESIC",Z16)),ISNUMBER(FIND("DESSIC",Z16)))))</f>
        <v/>
      </c>
      <c r="AA151">
        <f>IF(AA16="",0,2*(OR(ISNUMBER(FIND("WORKCENTER",AA16)),AND(LEFT(AA16,4)="LINE",NOT(ISNUMBER(FIND("STATUS",AA16))))))+4*(OR(ISNUMBER(FIND("WORKORDER",AA16)),AND(LEFT(AA16,2)="WO",OR(ISNUMBER(FIND("NUM",AA16)),RIGHT(AA16,2)="NO"))))+8*(LEFT(AA16,3)="SEQ")+16*(AND(LEFT(AA16,4)="ITEM",NOT(ISNUMBER(FIND("DESC",AA16)))))+32*(AND(ISNUMBER(FIND("DESC",AA16)),NOT(ISNUMBER(FIND("CAP",AA16)))))+64*(OR(RIGHT(AA16,5)="COUNT",RIGHT(AA16,2)="CT"))+128*(ISNUMBER(FIND("BULK",AA16)))+256*(ISNUMBER(FIND("SIZE",AA16)))+512*(LEFT(AA16,3)="CAP")+1024*(ISNUMBER(FIND("ALLERG",AA16)))+2048*(OR(ISNUMBER(FIND("REMARK",AA16)),ISNUMBER(FIND("COMMENT",AA16))))+4096*(OR(ISNUMBER(FIND("QTY",AA16)),ISNUMBER(FIND("QUANTITY",AA16))))+8192*(AND(OR(ISNUMBER(FIND("COMPLETE",AA16)),ISNUMBER(FIND("PCT",AA16)),ISNUMBER(FIND("PERCENT",AA16))),NOT(ISNUMBER(FIND("ACTUAL",AA16))),LEN(AA16)&lt;=16))+32768*(OR(ISNUMBER(FIND("DESIC",AA16)),ISNUMBER(FIND("DESSIC",AA16)))))</f>
        <v/>
      </c>
      <c r="AB151">
        <f>IF(AB16="",0,2*(OR(ISNUMBER(FIND("WORKCENTER",AB16)),AND(LEFT(AB16,4)="LINE",NOT(ISNUMBER(FIND("STATUS",AB16))))))+4*(OR(ISNUMBER(FIND("WORKORDER",AB16)),AND(LEFT(AB16,2)="WO",OR(ISNUMBER(FIND("NUM",AB16)),RIGHT(AB16,2)="NO"))))+8*(LEFT(AB16,3)="SEQ")+16*(AND(LEFT(AB16,4)="ITEM",NOT(ISNUMBER(FIND("DESC",AB16)))))+32*(AND(ISNUMBER(FIND("DESC",AB16)),NOT(ISNUMBER(FIND("CAP",AB16)))))+64*(OR(RIGHT(AB16,5)="COUNT",RIGHT(AB16,2)="CT"))+128*(ISNUMBER(FIND("BULK",AB16)))+256*(ISNUMBER(FIND("SIZE",AB16)))+512*(LEFT(AB16,3)="CAP")+1024*(ISNUMBER(FIND("ALLERG",AB16)))+2048*(OR(ISNUMBER(FIND("REMARK",AB16)),ISNUMBER(FIND("COMMENT",AB16))))+4096*(OR(ISNUMBER(FIND("QTY",AB16)),ISNUMBER(FIND("QUANTITY",AB16))))+8192*(AND(OR(ISNUMBER(FIND("COMPLETE",AB16)),ISNUMBER(FIND("PCT",AB16)),ISNUMBER(FIND("PERCENT",AB16))),NOT(ISNUMBER(FIND("ACTUAL",AB16))),LEN(AB16)&lt;=16))+32768*(OR(ISNUMBER(FIND("DESIC",AB16)),ISNUMBER(FIND("DESSIC",AB16)))))</f>
        <v/>
      </c>
      <c r="AC151">
        <f>IF(AC16="",0,2*(OR(ISNUMBER(FIND("WORKCENTER",AC16)),AND(LEFT(AC16,4)="LINE",NOT(ISNUMBER(FIND("STATUS",AC16))))))+4*(OR(ISNUMBER(FIND("WORKORDER",AC16)),AND(LEFT(AC16,2)="WO",OR(ISNUMBER(FIND("NUM",AC16)),RIGHT(AC16,2)="NO"))))+8*(LEFT(AC16,3)="SEQ")+16*(AND(LEFT(AC16,4)="ITEM",NOT(ISNUMBER(FIND("DESC",AC16)))))+32*(AND(ISNUMBER(FIND("DESC",AC16)),NOT(ISNUMBER(FIND("CAP",AC16)))))+64*(OR(RIGHT(AC16,5)="COUNT",RIGHT(AC16,2)="CT"))+128*(ISNUMBER(FIND("BULK",AC16)))+256*(ISNUMBER(FIND("SIZE",AC16)))+512*(LEFT(AC16,3)="CAP")+1024*(ISNUMBER(FIND("ALLERG",AC16)))+2048*(OR(ISNUMBER(FIND("REMARK",AC16)),ISNUMBER(FIND("COMMENT",AC16))))+4096*(OR(ISNUMBER(FIND("QTY",AC16)),ISNUMBER(FIND("QUANTITY",AC16))))+8192*(AND(OR(ISNUMBER(FIND("COMPLETE",AC16)),ISNUMBER(FIND("PCT",AC16)),ISNUMBER(FIND("PERCENT",AC16))),NOT(ISNUMBER(FIND("ACTUAL",AC16))),LEN(AC16)&lt;=16))+32768*(OR(ISNUMBER(FIND("DESIC",AC16)),ISNUMBER(FIND("DESSIC",AC16)))))</f>
        <v/>
      </c>
      <c r="AD151">
        <f>IF(AD16="",0,2*(OR(ISNUMBER(FIND("WORKCENTER",AD16)),AND(LEFT(AD16,4)="LINE",NOT(ISNUMBER(FIND("STATUS",AD16))))))+4*(OR(ISNUMBER(FIND("WORKORDER",AD16)),AND(LEFT(AD16,2)="WO",OR(ISNUMBER(FIND("NUM",AD16)),RIGHT(AD16,2)="NO"))))+8*(LEFT(AD16,3)="SEQ")+16*(AND(LEFT(AD16,4)="ITEM",NOT(ISNUMBER(FIND("DESC",AD16)))))+32*(AND(ISNUMBER(FIND("DESC",AD16)),NOT(ISNUMBER(FIND("CAP",AD16)))))+64*(OR(RIGHT(AD16,5)="COUNT",RIGHT(AD16,2)="CT"))+128*(ISNUMBER(FIND("BULK",AD16)))+256*(ISNUMBER(FIND("SIZE",AD16)))+512*(LEFT(AD16,3)="CAP")+1024*(ISNUMBER(FIND("ALLERG",AD16)))+2048*(OR(ISNUMBER(FIND("REMARK",AD16)),ISNUMBER(FIND("COMMENT",AD16))))+4096*(OR(ISNUMBER(FIND("QTY",AD16)),ISNUMBER(FIND("QUANTITY",AD16))))+8192*(AND(OR(ISNUMBER(FIND("COMPLETE",AD16)),ISNUMBER(FIND("PCT",AD16)),ISNUMBER(FIND("PERCENT",AD16))),NOT(ISNUMBER(FIND("ACTUAL",AD16))),LEN(AD16)&lt;=16))+32768*(OR(ISNUMBER(FIND("DESIC",AD16)),ISNUMBER(FIND("DESSIC",AD16)))))</f>
        <v/>
      </c>
      <c r="AE151">
        <f>IF(AE16="",0,2*(OR(ISNUMBER(FIND("WORKCENTER",AE16)),AND(LEFT(AE16,4)="LINE",NOT(ISNUMBER(FIND("STATUS",AE16))))))+4*(OR(ISNUMBER(FIND("WORKORDER",AE16)),AND(LEFT(AE16,2)="WO",OR(ISNUMBER(FIND("NUM",AE16)),RIGHT(AE16,2)="NO"))))+8*(LEFT(AE16,3)="SEQ")+16*(AND(LEFT(AE16,4)="ITEM",NOT(ISNUMBER(FIND("DESC",AE16)))))+32*(AND(ISNUMBER(FIND("DESC",AE16)),NOT(ISNUMBER(FIND("CAP",AE16)))))+64*(OR(RIGHT(AE16,5)="COUNT",RIGHT(AE16,2)="CT"))+128*(ISNUMBER(FIND("BULK",AE16)))+256*(ISNUMBER(FIND("SIZE",AE16)))+512*(LEFT(AE16,3)="CAP")+1024*(ISNUMBER(FIND("ALLERG",AE16)))+2048*(OR(ISNUMBER(FIND("REMARK",AE16)),ISNUMBER(FIND("COMMENT",AE16))))+4096*(OR(ISNUMBER(FIND("QTY",AE16)),ISNUMBER(FIND("QUANTITY",AE16))))+8192*(AND(OR(ISNUMBER(FIND("COMPLETE",AE16)),ISNUMBER(FIND("PCT",AE16)),ISNUMBER(FIND("PERCENT",AE16))),NOT(ISNUMBER(FIND("ACTUAL",AE16))),LEN(AE16)&lt;=16))+32768*(OR(ISNUMBER(FIND("DESIC",AE16)),ISNUMBER(FIND("DESSIC",AE16)))))</f>
        <v/>
      </c>
      <c r="AF151">
        <f>IF(AF16="",0,2*(OR(ISNUMBER(FIND("WORKCENTER",AF16)),AND(LEFT(AF16,4)="LINE",NOT(ISNUMBER(FIND("STATUS",AF16))))))+4*(OR(ISNUMBER(FIND("WORKORDER",AF16)),AND(LEFT(AF16,2)="WO",OR(ISNUMBER(FIND("NUM",AF16)),RIGHT(AF16,2)="NO"))))+8*(LEFT(AF16,3)="SEQ")+16*(AND(LEFT(AF16,4)="ITEM",NOT(ISNUMBER(FIND("DESC",AF16)))))+32*(AND(ISNUMBER(FIND("DESC",AF16)),NOT(ISNUMBER(FIND("CAP",AF16)))))+64*(OR(RIGHT(AF16,5)="COUNT",RIGHT(AF16,2)="CT"))+128*(ISNUMBER(FIND("BULK",AF16)))+256*(ISNUMBER(FIND("SIZE",AF16)))+512*(LEFT(AF16,3)="CAP")+1024*(ISNUMBER(FIND("ALLERG",AF16)))+2048*(OR(ISNUMBER(FIND("REMARK",AF16)),ISNUMBER(FIND("COMMENT",AF16))))+4096*(OR(ISNUMBER(FIND("QTY",AF16)),ISNUMBER(FIND("QUANTITY",AF16))))+8192*(AND(OR(ISNUMBER(FIND("COMPLETE",AF16)),ISNUMBER(FIND("PCT",AF16)),ISNUMBER(FIND("PERCENT",AF16))),NOT(ISNUMBER(FIND("ACTUAL",AF16))),LEN(AF16)&lt;=16))+32768*(OR(ISNUMBER(FIND("DESIC",AF16)),ISNUMBER(FIND("DESSIC",AF16)))))</f>
        <v/>
      </c>
      <c r="AG151">
        <f>IF(AG16="",0,2*(OR(ISNUMBER(FIND("WORKCENTER",AG16)),AND(LEFT(AG16,4)="LINE",NOT(ISNUMBER(FIND("STATUS",AG16))))))+4*(OR(ISNUMBER(FIND("WORKORDER",AG16)),AND(LEFT(AG16,2)="WO",OR(ISNUMBER(FIND("NUM",AG16)),RIGHT(AG16,2)="NO"))))+8*(LEFT(AG16,3)="SEQ")+16*(AND(LEFT(AG16,4)="ITEM",NOT(ISNUMBER(FIND("DESC",AG16)))))+32*(AND(ISNUMBER(FIND("DESC",AG16)),NOT(ISNUMBER(FIND("CAP",AG16)))))+64*(OR(RIGHT(AG16,5)="COUNT",RIGHT(AG16,2)="CT"))+128*(ISNUMBER(FIND("BULK",AG16)))+256*(ISNUMBER(FIND("SIZE",AG16)))+512*(LEFT(AG16,3)="CAP")+1024*(ISNUMBER(FIND("ALLERG",AG16)))+2048*(OR(ISNUMBER(FIND("REMARK",AG16)),ISNUMBER(FIND("COMMENT",AG16))))+4096*(OR(ISNUMBER(FIND("QTY",AG16)),ISNUMBER(FIND("QUANTITY",AG16))))+8192*(AND(OR(ISNUMBER(FIND("COMPLETE",AG16)),ISNUMBER(FIND("PCT",AG16)),ISNUMBER(FIND("PERCENT",AG16))),NOT(ISNUMBER(FIND("ACTUAL",AG16))),LEN(AG16)&lt;=16))+32768*(OR(ISNUMBER(FIND("DESIC",AG16)),ISNUMBER(FIND("DESSIC",AG16)))))</f>
        <v/>
      </c>
      <c r="AH151">
        <f>IF(AH16="",0,2*(OR(ISNUMBER(FIND("WORKCENTER",AH16)),AND(LEFT(AH16,4)="LINE",NOT(ISNUMBER(FIND("STATUS",AH16))))))+4*(OR(ISNUMBER(FIND("WORKORDER",AH16)),AND(LEFT(AH16,2)="WO",OR(ISNUMBER(FIND("NUM",AH16)),RIGHT(AH16,2)="NO"))))+8*(LEFT(AH16,3)="SEQ")+16*(AND(LEFT(AH16,4)="ITEM",NOT(ISNUMBER(FIND("DESC",AH16)))))+32*(AND(ISNUMBER(FIND("DESC",AH16)),NOT(ISNUMBER(FIND("CAP",AH16)))))+64*(OR(RIGHT(AH16,5)="COUNT",RIGHT(AH16,2)="CT"))+128*(ISNUMBER(FIND("BULK",AH16)))+256*(ISNUMBER(FIND("SIZE",AH16)))+512*(LEFT(AH16,3)="CAP")+1024*(ISNUMBER(FIND("ALLERG",AH16)))+2048*(OR(ISNUMBER(FIND("REMARK",AH16)),ISNUMBER(FIND("COMMENT",AH16))))+4096*(OR(ISNUMBER(FIND("QTY",AH16)),ISNUMBER(FIND("QUANTITY",AH16))))+8192*(AND(OR(ISNUMBER(FIND("COMPLETE",AH16)),ISNUMBER(FIND("PCT",AH16)),ISNUMBER(FIND("PERCENT",AH16))),NOT(ISNUMBER(FIND("ACTUAL",AH16))),LEN(AH16)&lt;=16))+32768*(OR(ISNUMBER(FIND("DESIC",AH16)),ISNUMBER(FIND("DESSIC",AH16)))))</f>
        <v/>
      </c>
      <c r="AI151">
        <f>IF(AI16="",0,2*(OR(ISNUMBER(FIND("WORKCENTER",AI16)),AND(LEFT(AI16,4)="LINE",NOT(ISNUMBER(FIND("STATUS",AI16))))))+4*(OR(ISNUMBER(FIND("WORKORDER",AI16)),AND(LEFT(AI16,2)="WO",OR(ISNUMBER(FIND("NUM",AI16)),RIGHT(AI16,2)="NO"))))+8*(LEFT(AI16,3)="SEQ")+16*(AND(LEFT(AI16,4)="ITEM",NOT(ISNUMBER(FIND("DESC",AI16)))))+32*(AND(ISNUMBER(FIND("DESC",AI16)),NOT(ISNUMBER(FIND("CAP",AI16)))))+64*(OR(RIGHT(AI16,5)="COUNT",RIGHT(AI16,2)="CT"))+128*(ISNUMBER(FIND("BULK",AI16)))+256*(ISNUMBER(FIND("SIZE",AI16)))+512*(LEFT(AI16,3)="CAP")+1024*(ISNUMBER(FIND("ALLERG",AI16)))+2048*(OR(ISNUMBER(FIND("REMARK",AI16)),ISNUMBER(FIND("COMMENT",AI16))))+4096*(OR(ISNUMBER(FIND("QTY",AI16)),ISNUMBER(FIND("QUANTITY",AI16))))+8192*(AND(OR(ISNUMBER(FIND("COMPLETE",AI16)),ISNUMBER(FIND("PCT",AI16)),ISNUMBER(FIND("PERCENT",AI16))),NOT(ISNUMBER(FIND("ACTUAL",AI16))),LEN(AI16)&lt;=16))+32768*(OR(ISNUMBER(FIND("DESIC",AI16)),ISNUMBER(FIND("DESSIC",AI16)))))</f>
        <v/>
      </c>
      <c r="AJ151">
        <f>IF(AJ16="",0,2*(OR(ISNUMBER(FIND("WORKCENTER",AJ16)),AND(LEFT(AJ16,4)="LINE",NOT(ISNUMBER(FIND("STATUS",AJ16))))))+4*(OR(ISNUMBER(FIND("WORKORDER",AJ16)),AND(LEFT(AJ16,2)="WO",OR(ISNUMBER(FIND("NUM",AJ16)),RIGHT(AJ16,2)="NO"))))+8*(LEFT(AJ16,3)="SEQ")+16*(AND(LEFT(AJ16,4)="ITEM",NOT(ISNUMBER(FIND("DESC",AJ16)))))+32*(AND(ISNUMBER(FIND("DESC",AJ16)),NOT(ISNUMBER(FIND("CAP",AJ16)))))+64*(OR(RIGHT(AJ16,5)="COUNT",RIGHT(AJ16,2)="CT"))+128*(ISNUMBER(FIND("BULK",AJ16)))+256*(ISNUMBER(FIND("SIZE",AJ16)))+512*(LEFT(AJ16,3)="CAP")+1024*(ISNUMBER(FIND("ALLERG",AJ16)))+2048*(OR(ISNUMBER(FIND("REMARK",AJ16)),ISNUMBER(FIND("COMMENT",AJ16))))+4096*(OR(ISNUMBER(FIND("QTY",AJ16)),ISNUMBER(FIND("QUANTITY",AJ16))))+8192*(AND(OR(ISNUMBER(FIND("COMPLETE",AJ16)),ISNUMBER(FIND("PCT",AJ16)),ISNUMBER(FIND("PERCENT",AJ16))),NOT(ISNUMBER(FIND("ACTUAL",AJ16))),LEN(AJ16)&lt;=16))+32768*(OR(ISNUMBER(FIND("DESIC",AJ16)),ISNUMBER(FIND("DESSIC",AJ16)))))</f>
        <v/>
      </c>
      <c r="AK151">
        <f>IF(AK16="",0,2*(OR(ISNUMBER(FIND("WORKCENTER",AK16)),AND(LEFT(AK16,4)="LINE",NOT(ISNUMBER(FIND("STATUS",AK16))))))+4*(OR(ISNUMBER(FIND("WORKORDER",AK16)),AND(LEFT(AK16,2)="WO",OR(ISNUMBER(FIND("NUM",AK16)),RIGHT(AK16,2)="NO"))))+8*(LEFT(AK16,3)="SEQ")+16*(AND(LEFT(AK16,4)="ITEM",NOT(ISNUMBER(FIND("DESC",AK16)))))+32*(AND(ISNUMBER(FIND("DESC",AK16)),NOT(ISNUMBER(FIND("CAP",AK16)))))+64*(OR(RIGHT(AK16,5)="COUNT",RIGHT(AK16,2)="CT"))+128*(ISNUMBER(FIND("BULK",AK16)))+256*(ISNUMBER(FIND("SIZE",AK16)))+512*(LEFT(AK16,3)="CAP")+1024*(ISNUMBER(FIND("ALLERG",AK16)))+2048*(OR(ISNUMBER(FIND("REMARK",AK16)),ISNUMBER(FIND("COMMENT",AK16))))+4096*(OR(ISNUMBER(FIND("QTY",AK16)),ISNUMBER(FIND("QUANTITY",AK16))))+8192*(AND(OR(ISNUMBER(FIND("COMPLETE",AK16)),ISNUMBER(FIND("PCT",AK16)),ISNUMBER(FIND("PERCENT",AK16))),NOT(ISNUMBER(FIND("ACTUAL",AK16))),LEN(AK16)&lt;=16))+32768*(OR(ISNUMBER(FIND("DESIC",AK16)),ISNUMBER(FIND("DESSIC",AK16)))))</f>
        <v/>
      </c>
      <c r="AL151">
        <f>IF(AL16="",0,2*(OR(ISNUMBER(FIND("WORKCENTER",AL16)),AND(LEFT(AL16,4)="LINE",NOT(ISNUMBER(FIND("STATUS",AL16))))))+4*(OR(ISNUMBER(FIND("WORKORDER",AL16)),AND(LEFT(AL16,2)="WO",OR(ISNUMBER(FIND("NUM",AL16)),RIGHT(AL16,2)="NO"))))+8*(LEFT(AL16,3)="SEQ")+16*(AND(LEFT(AL16,4)="ITEM",NOT(ISNUMBER(FIND("DESC",AL16)))))+32*(AND(ISNUMBER(FIND("DESC",AL16)),NOT(ISNUMBER(FIND("CAP",AL16)))))+64*(OR(RIGHT(AL16,5)="COUNT",RIGHT(AL16,2)="CT"))+128*(ISNUMBER(FIND("BULK",AL16)))+256*(ISNUMBER(FIND("SIZE",AL16)))+512*(LEFT(AL16,3)="CAP")+1024*(ISNUMBER(FIND("ALLERG",AL16)))+2048*(OR(ISNUMBER(FIND("REMARK",AL16)),ISNUMBER(FIND("COMMENT",AL16))))+4096*(OR(ISNUMBER(FIND("QTY",AL16)),ISNUMBER(FIND("QUANTITY",AL16))))+8192*(AND(OR(ISNUMBER(FIND("COMPLETE",AL16)),ISNUMBER(FIND("PCT",AL16)),ISNUMBER(FIND("PERCENT",AL16))),NOT(ISNUMBER(FIND("ACTUAL",AL16))),LEN(AL16)&lt;=16))+32768*(OR(ISNUMBER(FIND("DESIC",AL16)),ISNUMBER(FIND("DESSIC",AL16)))))</f>
        <v/>
      </c>
      <c r="AM151">
        <f>IF(AM16="",0,2*(OR(ISNUMBER(FIND("WORKCENTER",AM16)),AND(LEFT(AM16,4)="LINE",NOT(ISNUMBER(FIND("STATUS",AM16))))))+4*(OR(ISNUMBER(FIND("WORKORDER",AM16)),AND(LEFT(AM16,2)="WO",OR(ISNUMBER(FIND("NUM",AM16)),RIGHT(AM16,2)="NO"))))+8*(LEFT(AM16,3)="SEQ")+16*(AND(LEFT(AM16,4)="ITEM",NOT(ISNUMBER(FIND("DESC",AM16)))))+32*(AND(ISNUMBER(FIND("DESC",AM16)),NOT(ISNUMBER(FIND("CAP",AM16)))))+64*(OR(RIGHT(AM16,5)="COUNT",RIGHT(AM16,2)="CT"))+128*(ISNUMBER(FIND("BULK",AM16)))+256*(ISNUMBER(FIND("SIZE",AM16)))+512*(LEFT(AM16,3)="CAP")+1024*(ISNUMBER(FIND("ALLERG",AM16)))+2048*(OR(ISNUMBER(FIND("REMARK",AM16)),ISNUMBER(FIND("COMMENT",AM16))))+4096*(OR(ISNUMBER(FIND("QTY",AM16)),ISNUMBER(FIND("QUANTITY",AM16))))+8192*(AND(OR(ISNUMBER(FIND("COMPLETE",AM16)),ISNUMBER(FIND("PCT",AM16)),ISNUMBER(FIND("PERCENT",AM16))),NOT(ISNUMBER(FIND("ACTUAL",AM16))),LEN(AM16)&lt;=16))+32768*(OR(ISNUMBER(FIND("DESIC",AM16)),ISNUMBER(FIND("DESSIC",AM16)))))</f>
        <v/>
      </c>
      <c r="AN151">
        <f>IF(AN16="",0,2*(OR(ISNUMBER(FIND("WORKCENTER",AN16)),AND(LEFT(AN16,4)="LINE",NOT(ISNUMBER(FIND("STATUS",AN16))))))+4*(OR(ISNUMBER(FIND("WORKORDER",AN16)),AND(LEFT(AN16,2)="WO",OR(ISNUMBER(FIND("NUM",AN16)),RIGHT(AN16,2)="NO"))))+8*(LEFT(AN16,3)="SEQ")+16*(AND(LEFT(AN16,4)="ITEM",NOT(ISNUMBER(FIND("DESC",AN16)))))+32*(AND(ISNUMBER(FIND("DESC",AN16)),NOT(ISNUMBER(FIND("CAP",AN16)))))+64*(OR(RIGHT(AN16,5)="COUNT",RIGHT(AN16,2)="CT"))+128*(ISNUMBER(FIND("BULK",AN16)))+256*(ISNUMBER(FIND("SIZE",AN16)))+512*(LEFT(AN16,3)="CAP")+1024*(ISNUMBER(FIND("ALLERG",AN16)))+2048*(OR(ISNUMBER(FIND("REMARK",AN16)),ISNUMBER(FIND("COMMENT",AN16))))+4096*(OR(ISNUMBER(FIND("QTY",AN16)),ISNUMBER(FIND("QUANTITY",AN16))))+8192*(AND(OR(ISNUMBER(FIND("COMPLETE",AN16)),ISNUMBER(FIND("PCT",AN16)),ISNUMBER(FIND("PERCENT",AN16))),NOT(ISNUMBER(FIND("ACTUAL",AN16))),LEN(AN16)&lt;=16))+32768*(OR(ISNUMBER(FIND("DESIC",AN16)),ISNUMBER(FIND("DESSIC",AN16)))))</f>
        <v/>
      </c>
      <c r="AO151">
        <f>IF(AO16="",0,2*(OR(ISNUMBER(FIND("WORKCENTER",AO16)),AND(LEFT(AO16,4)="LINE",NOT(ISNUMBER(FIND("STATUS",AO16))))))+4*(OR(ISNUMBER(FIND("WORKORDER",AO16)),AND(LEFT(AO16,2)="WO",OR(ISNUMBER(FIND("NUM",AO16)),RIGHT(AO16,2)="NO"))))+8*(LEFT(AO16,3)="SEQ")+16*(AND(LEFT(AO16,4)="ITEM",NOT(ISNUMBER(FIND("DESC",AO16)))))+32*(AND(ISNUMBER(FIND("DESC",AO16)),NOT(ISNUMBER(FIND("CAP",AO16)))))+64*(OR(RIGHT(AO16,5)="COUNT",RIGHT(AO16,2)="CT"))+128*(ISNUMBER(FIND("BULK",AO16)))+256*(ISNUMBER(FIND("SIZE",AO16)))+512*(LEFT(AO16,3)="CAP")+1024*(ISNUMBER(FIND("ALLERG",AO16)))+2048*(OR(ISNUMBER(FIND("REMARK",AO16)),ISNUMBER(FIND("COMMENT",AO16))))+4096*(OR(ISNUMBER(FIND("QTY",AO16)),ISNUMBER(FIND("QUANTITY",AO16))))+8192*(AND(OR(ISNUMBER(FIND("COMPLETE",AO16)),ISNUMBER(FIND("PCT",AO16)),ISNUMBER(FIND("PERCENT",AO16))),NOT(ISNUMBER(FIND("ACTUAL",AO16))),LEN(AO16)&lt;=16))+32768*(OR(ISNUMBER(FIND("DESIC",AO16)),ISNUMBER(FIND("DESSIC",AO16)))))</f>
        <v/>
      </c>
      <c r="AP151">
        <f>IF(AP16="",0,2*(OR(ISNUMBER(FIND("WORKCENTER",AP16)),AND(LEFT(AP16,4)="LINE",NOT(ISNUMBER(FIND("STATUS",AP16))))))+4*(OR(ISNUMBER(FIND("WORKORDER",AP16)),AND(LEFT(AP16,2)="WO",OR(ISNUMBER(FIND("NUM",AP16)),RIGHT(AP16,2)="NO"))))+8*(LEFT(AP16,3)="SEQ")+16*(AND(LEFT(AP16,4)="ITEM",NOT(ISNUMBER(FIND("DESC",AP16)))))+32*(AND(ISNUMBER(FIND("DESC",AP16)),NOT(ISNUMBER(FIND("CAP",AP16)))))+64*(OR(RIGHT(AP16,5)="COUNT",RIGHT(AP16,2)="CT"))+128*(ISNUMBER(FIND("BULK",AP16)))+256*(ISNUMBER(FIND("SIZE",AP16)))+512*(LEFT(AP16,3)="CAP")+1024*(ISNUMBER(FIND("ALLERG",AP16)))+2048*(OR(ISNUMBER(FIND("REMARK",AP16)),ISNUMBER(FIND("COMMENT",AP16))))+4096*(OR(ISNUMBER(FIND("QTY",AP16)),ISNUMBER(FIND("QUANTITY",AP16))))+8192*(AND(OR(ISNUMBER(FIND("COMPLETE",AP16)),ISNUMBER(FIND("PCT",AP16)),ISNUMBER(FIND("PERCENT",AP16))),NOT(ISNUMBER(FIND("ACTUAL",AP16))),LEN(AP16)&lt;=16))+32768*(OR(ISNUMBER(FIND("DESIC",AP16)),ISNUMBER(FIND("DESSIC",AP16)))))</f>
        <v/>
      </c>
      <c r="AQ151">
        <f>IF(AQ16="",0,2*(OR(ISNUMBER(FIND("WORKCENTER",AQ16)),AND(LEFT(AQ16,4)="LINE",NOT(ISNUMBER(FIND("STATUS",AQ16))))))+4*(OR(ISNUMBER(FIND("WORKORDER",AQ16)),AND(LEFT(AQ16,2)="WO",OR(ISNUMBER(FIND("NUM",AQ16)),RIGHT(AQ16,2)="NO"))))+8*(LEFT(AQ16,3)="SEQ")+16*(AND(LEFT(AQ16,4)="ITEM",NOT(ISNUMBER(FIND("DESC",AQ16)))))+32*(AND(ISNUMBER(FIND("DESC",AQ16)),NOT(ISNUMBER(FIND("CAP",AQ16)))))+64*(OR(RIGHT(AQ16,5)="COUNT",RIGHT(AQ16,2)="CT"))+128*(ISNUMBER(FIND("BULK",AQ16)))+256*(ISNUMBER(FIND("SIZE",AQ16)))+512*(LEFT(AQ16,3)="CAP")+1024*(ISNUMBER(FIND("ALLERG",AQ16)))+2048*(OR(ISNUMBER(FIND("REMARK",AQ16)),ISNUMBER(FIND("COMMENT",AQ16))))+4096*(OR(ISNUMBER(FIND("QTY",AQ16)),ISNUMBER(FIND("QUANTITY",AQ16))))+8192*(AND(OR(ISNUMBER(FIND("COMPLETE",AQ16)),ISNUMBER(FIND("PCT",AQ16)),ISNUMBER(FIND("PERCENT",AQ16))),NOT(ISNUMBER(FIND("ACTUAL",AQ16))),LEN(AQ16)&lt;=16))+32768*(OR(ISNUMBER(FIND("DESIC",AQ16)),ISNUMBER(FIND("DESSIC",AQ16)))))</f>
        <v/>
      </c>
      <c r="AR151">
        <f>IF(AR16="",0,2*(OR(ISNUMBER(FIND("WORKCENTER",AR16)),AND(LEFT(AR16,4)="LINE",NOT(ISNUMBER(FIND("STATUS",AR16))))))+4*(OR(ISNUMBER(FIND("WORKORDER",AR16)),AND(LEFT(AR16,2)="WO",OR(ISNUMBER(FIND("NUM",AR16)),RIGHT(AR16,2)="NO"))))+8*(LEFT(AR16,3)="SEQ")+16*(AND(LEFT(AR16,4)="ITEM",NOT(ISNUMBER(FIND("DESC",AR16)))))+32*(AND(ISNUMBER(FIND("DESC",AR16)),NOT(ISNUMBER(FIND("CAP",AR16)))))+64*(OR(RIGHT(AR16,5)="COUNT",RIGHT(AR16,2)="CT"))+128*(ISNUMBER(FIND("BULK",AR16)))+256*(ISNUMBER(FIND("SIZE",AR16)))+512*(LEFT(AR16,3)="CAP")+1024*(ISNUMBER(FIND("ALLERG",AR16)))+2048*(OR(ISNUMBER(FIND("REMARK",AR16)),ISNUMBER(FIND("COMMENT",AR16))))+4096*(OR(ISNUMBER(FIND("QTY",AR16)),ISNUMBER(FIND("QUANTITY",AR16))))+8192*(AND(OR(ISNUMBER(FIND("COMPLETE",AR16)),ISNUMBER(FIND("PCT",AR16)),ISNUMBER(FIND("PERCENT",AR16))),NOT(ISNUMBER(FIND("ACTUAL",AR16))),LEN(AR16)&lt;=16))+32768*(OR(ISNUMBER(FIND("DESIC",AR16)),ISNUMBER(FIND("DESSIC",AR16)))))</f>
        <v/>
      </c>
      <c r="AS151">
        <f>IF(AS16="",0,2*(OR(ISNUMBER(FIND("WORKCENTER",AS16)),AND(LEFT(AS16,4)="LINE",NOT(ISNUMBER(FIND("STATUS",AS16))))))+4*(OR(ISNUMBER(FIND("WORKORDER",AS16)),AND(LEFT(AS16,2)="WO",OR(ISNUMBER(FIND("NUM",AS16)),RIGHT(AS16,2)="NO"))))+8*(LEFT(AS16,3)="SEQ")+16*(AND(LEFT(AS16,4)="ITEM",NOT(ISNUMBER(FIND("DESC",AS16)))))+32*(AND(ISNUMBER(FIND("DESC",AS16)),NOT(ISNUMBER(FIND("CAP",AS16)))))+64*(OR(RIGHT(AS16,5)="COUNT",RIGHT(AS16,2)="CT"))+128*(ISNUMBER(FIND("BULK",AS16)))+256*(ISNUMBER(FIND("SIZE",AS16)))+512*(LEFT(AS16,3)="CAP")+1024*(ISNUMBER(FIND("ALLERG",AS16)))+2048*(OR(ISNUMBER(FIND("REMARK",AS16)),ISNUMBER(FIND("COMMENT",AS16))))+4096*(OR(ISNUMBER(FIND("QTY",AS16)),ISNUMBER(FIND("QUANTITY",AS16))))+8192*(AND(OR(ISNUMBER(FIND("COMPLETE",AS16)),ISNUMBER(FIND("PCT",AS16)),ISNUMBER(FIND("PERCENT",AS16))),NOT(ISNUMBER(FIND("ACTUAL",AS16))),LEN(AS16)&lt;=16))+32768*(OR(ISNUMBER(FIND("DESIC",AS16)),ISNUMBER(FIND("DESSIC",AS16)))))</f>
        <v/>
      </c>
      <c r="AT151">
        <f>IF(AT16="",0,2*(OR(ISNUMBER(FIND("WORKCENTER",AT16)),AND(LEFT(AT16,4)="LINE",NOT(ISNUMBER(FIND("STATUS",AT16))))))+4*(OR(ISNUMBER(FIND("WORKORDER",AT16)),AND(LEFT(AT16,2)="WO",OR(ISNUMBER(FIND("NUM",AT16)),RIGHT(AT16,2)="NO"))))+8*(LEFT(AT16,3)="SEQ")+16*(AND(LEFT(AT16,4)="ITEM",NOT(ISNUMBER(FIND("DESC",AT16)))))+32*(AND(ISNUMBER(FIND("DESC",AT16)),NOT(ISNUMBER(FIND("CAP",AT16)))))+64*(OR(RIGHT(AT16,5)="COUNT",RIGHT(AT16,2)="CT"))+128*(ISNUMBER(FIND("BULK",AT16)))+256*(ISNUMBER(FIND("SIZE",AT16)))+512*(LEFT(AT16,3)="CAP")+1024*(ISNUMBER(FIND("ALLERG",AT16)))+2048*(OR(ISNUMBER(FIND("REMARK",AT16)),ISNUMBER(FIND("COMMENT",AT16))))+4096*(OR(ISNUMBER(FIND("QTY",AT16)),ISNUMBER(FIND("QUANTITY",AT16))))+8192*(AND(OR(ISNUMBER(FIND("COMPLETE",AT16)),ISNUMBER(FIND("PCT",AT16)),ISNUMBER(FIND("PERCENT",AT16))),NOT(ISNUMBER(FIND("ACTUAL",AT16))),LEN(AT16)&lt;=16))+32768*(OR(ISNUMBER(FIND("DESIC",AT16)),ISNUMBER(FIND("DESSIC",AT16)))))</f>
        <v/>
      </c>
      <c r="AU151">
        <f>IF(AU16="",0,2*(OR(ISNUMBER(FIND("WORKCENTER",AU16)),AND(LEFT(AU16,4)="LINE",NOT(ISNUMBER(FIND("STATUS",AU16))))))+4*(OR(ISNUMBER(FIND("WORKORDER",AU16)),AND(LEFT(AU16,2)="WO",OR(ISNUMBER(FIND("NUM",AU16)),RIGHT(AU16,2)="NO"))))+8*(LEFT(AU16,3)="SEQ")+16*(AND(LEFT(AU16,4)="ITEM",NOT(ISNUMBER(FIND("DESC",AU16)))))+32*(AND(ISNUMBER(FIND("DESC",AU16)),NOT(ISNUMBER(FIND("CAP",AU16)))))+64*(OR(RIGHT(AU16,5)="COUNT",RIGHT(AU16,2)="CT"))+128*(ISNUMBER(FIND("BULK",AU16)))+256*(ISNUMBER(FIND("SIZE",AU16)))+512*(LEFT(AU16,3)="CAP")+1024*(ISNUMBER(FIND("ALLERG",AU16)))+2048*(OR(ISNUMBER(FIND("REMARK",AU16)),ISNUMBER(FIND("COMMENT",AU16))))+4096*(OR(ISNUMBER(FIND("QTY",AU16)),ISNUMBER(FIND("QUANTITY",AU16))))+8192*(AND(OR(ISNUMBER(FIND("COMPLETE",AU16)),ISNUMBER(FIND("PCT",AU16)),ISNUMBER(FIND("PERCENT",AU16))),NOT(ISNUMBER(FIND("ACTUAL",AU16))),LEN(AU16)&lt;=16))+32768*(OR(ISNUMBER(FIND("DESIC",AU16)),ISNUMBER(FIND("DESSIC",AU16)))))</f>
        <v/>
      </c>
      <c r="AV151">
        <f>IF(AV16="",0,2*(OR(ISNUMBER(FIND("WORKCENTER",AV16)),AND(LEFT(AV16,4)="LINE",NOT(ISNUMBER(FIND("STATUS",AV16))))))+4*(OR(ISNUMBER(FIND("WORKORDER",AV16)),AND(LEFT(AV16,2)="WO",OR(ISNUMBER(FIND("NUM",AV16)),RIGHT(AV16,2)="NO"))))+8*(LEFT(AV16,3)="SEQ")+16*(AND(LEFT(AV16,4)="ITEM",NOT(ISNUMBER(FIND("DESC",AV16)))))+32*(AND(ISNUMBER(FIND("DESC",AV16)),NOT(ISNUMBER(FIND("CAP",AV16)))))+64*(OR(RIGHT(AV16,5)="COUNT",RIGHT(AV16,2)="CT"))+128*(ISNUMBER(FIND("BULK",AV16)))+256*(ISNUMBER(FIND("SIZE",AV16)))+512*(LEFT(AV16,3)="CAP")+1024*(ISNUMBER(FIND("ALLERG",AV16)))+2048*(OR(ISNUMBER(FIND("REMARK",AV16)),ISNUMBER(FIND("COMMENT",AV16))))+4096*(OR(ISNUMBER(FIND("QTY",AV16)),ISNUMBER(FIND("QUANTITY",AV16))))+8192*(AND(OR(ISNUMBER(FIND("COMPLETE",AV16)),ISNUMBER(FIND("PCT",AV16)),ISNUMBER(FIND("PERCENT",AV16))),NOT(ISNUMBER(FIND("ACTUAL",AV16))),LEN(AV16)&lt;=16))+32768*(OR(ISNUMBER(FIND("DESIC",AV16)),ISNUMBER(FIND("DESSIC",AV16)))))</f>
        <v/>
      </c>
      <c r="AW151">
        <f>IF(AW16="",0,2*(OR(ISNUMBER(FIND("WORKCENTER",AW16)),AND(LEFT(AW16,4)="LINE",NOT(ISNUMBER(FIND("STATUS",AW16))))))+4*(OR(ISNUMBER(FIND("WORKORDER",AW16)),AND(LEFT(AW16,2)="WO",OR(ISNUMBER(FIND("NUM",AW16)),RIGHT(AW16,2)="NO"))))+8*(LEFT(AW16,3)="SEQ")+16*(AND(LEFT(AW16,4)="ITEM",NOT(ISNUMBER(FIND("DESC",AW16)))))+32*(AND(ISNUMBER(FIND("DESC",AW16)),NOT(ISNUMBER(FIND("CAP",AW16)))))+64*(OR(RIGHT(AW16,5)="COUNT",RIGHT(AW16,2)="CT"))+128*(ISNUMBER(FIND("BULK",AW16)))+256*(ISNUMBER(FIND("SIZE",AW16)))+512*(LEFT(AW16,3)="CAP")+1024*(ISNUMBER(FIND("ALLERG",AW16)))+2048*(OR(ISNUMBER(FIND("REMARK",AW16)),ISNUMBER(FIND("COMMENT",AW16))))+4096*(OR(ISNUMBER(FIND("QTY",AW16)),ISNUMBER(FIND("QUANTITY",AW16))))+8192*(AND(OR(ISNUMBER(FIND("COMPLETE",AW16)),ISNUMBER(FIND("PCT",AW16)),ISNUMBER(FIND("PERCENT",AW16))),NOT(ISNUMBER(FIND("ACTUAL",AW16))),LEN(AW16)&lt;=16))+32768*(OR(ISNUMBER(FIND("DESIC",AW16)),ISNUMBER(FIND("DESSIC",AW16)))))</f>
        <v/>
      </c>
      <c r="AX151">
        <f>IF(AX16="",0,2*(OR(ISNUMBER(FIND("WORKCENTER",AX16)),AND(LEFT(AX16,4)="LINE",NOT(ISNUMBER(FIND("STATUS",AX16))))))+4*(OR(ISNUMBER(FIND("WORKORDER",AX16)),AND(LEFT(AX16,2)="WO",OR(ISNUMBER(FIND("NUM",AX16)),RIGHT(AX16,2)="NO"))))+8*(LEFT(AX16,3)="SEQ")+16*(AND(LEFT(AX16,4)="ITEM",NOT(ISNUMBER(FIND("DESC",AX16)))))+32*(AND(ISNUMBER(FIND("DESC",AX16)),NOT(ISNUMBER(FIND("CAP",AX16)))))+64*(OR(RIGHT(AX16,5)="COUNT",RIGHT(AX16,2)="CT"))+128*(ISNUMBER(FIND("BULK",AX16)))+256*(ISNUMBER(FIND("SIZE",AX16)))+512*(LEFT(AX16,3)="CAP")+1024*(ISNUMBER(FIND("ALLERG",AX16)))+2048*(OR(ISNUMBER(FIND("REMARK",AX16)),ISNUMBER(FIND("COMMENT",AX16))))+4096*(OR(ISNUMBER(FIND("QTY",AX16)),ISNUMBER(FIND("QUANTITY",AX16))))+8192*(AND(OR(ISNUMBER(FIND("COMPLETE",AX16)),ISNUMBER(FIND("PCT",AX16)),ISNUMBER(FIND("PERCENT",AX16))),NOT(ISNUMBER(FIND("ACTUAL",AX16))),LEN(AX16)&lt;=16))+32768*(OR(ISNUMBER(FIND("DESIC",AX16)),ISNUMBER(FIND("DESSIC",AX16)))))</f>
        <v/>
      </c>
      <c r="AY151">
        <f>IF(AY16="",0,2*(OR(ISNUMBER(FIND("WORKCENTER",AY16)),AND(LEFT(AY16,4)="LINE",NOT(ISNUMBER(FIND("STATUS",AY16))))))+4*(OR(ISNUMBER(FIND("WORKORDER",AY16)),AND(LEFT(AY16,2)="WO",OR(ISNUMBER(FIND("NUM",AY16)),RIGHT(AY16,2)="NO"))))+8*(LEFT(AY16,3)="SEQ")+16*(AND(LEFT(AY16,4)="ITEM",NOT(ISNUMBER(FIND("DESC",AY16)))))+32*(AND(ISNUMBER(FIND("DESC",AY16)),NOT(ISNUMBER(FIND("CAP",AY16)))))+64*(OR(RIGHT(AY16,5)="COUNT",RIGHT(AY16,2)="CT"))+128*(ISNUMBER(FIND("BULK",AY16)))+256*(ISNUMBER(FIND("SIZE",AY16)))+512*(LEFT(AY16,3)="CAP")+1024*(ISNUMBER(FIND("ALLERG",AY16)))+2048*(OR(ISNUMBER(FIND("REMARK",AY16)),ISNUMBER(FIND("COMMENT",AY16))))+4096*(OR(ISNUMBER(FIND("QTY",AY16)),ISNUMBER(FIND("QUANTITY",AY16))))+8192*(AND(OR(ISNUMBER(FIND("COMPLETE",AY16)),ISNUMBER(FIND("PCT",AY16)),ISNUMBER(FIND("PERCENT",AY16))),NOT(ISNUMBER(FIND("ACTUAL",AY16))),LEN(AY16)&lt;=16))+32768*(OR(ISNUMBER(FIND("DESIC",AY16)),ISNUMBER(FIND("DESSIC",AY16)))))</f>
        <v/>
      </c>
      <c r="AZ151">
        <f>IF(AZ16="",0,2*(OR(ISNUMBER(FIND("WORKCENTER",AZ16)),AND(LEFT(AZ16,4)="LINE",NOT(ISNUMBER(FIND("STATUS",AZ16))))))+4*(OR(ISNUMBER(FIND("WORKORDER",AZ16)),AND(LEFT(AZ16,2)="WO",OR(ISNUMBER(FIND("NUM",AZ16)),RIGHT(AZ16,2)="NO"))))+8*(LEFT(AZ16,3)="SEQ")+16*(AND(LEFT(AZ16,4)="ITEM",NOT(ISNUMBER(FIND("DESC",AZ16)))))+32*(AND(ISNUMBER(FIND("DESC",AZ16)),NOT(ISNUMBER(FIND("CAP",AZ16)))))+64*(OR(RIGHT(AZ16,5)="COUNT",RIGHT(AZ16,2)="CT"))+128*(ISNUMBER(FIND("BULK",AZ16)))+256*(ISNUMBER(FIND("SIZE",AZ16)))+512*(LEFT(AZ16,3)="CAP")+1024*(ISNUMBER(FIND("ALLERG",AZ16)))+2048*(OR(ISNUMBER(FIND("REMARK",AZ16)),ISNUMBER(FIND("COMMENT",AZ16))))+4096*(OR(ISNUMBER(FIND("QTY",AZ16)),ISNUMBER(FIND("QUANTITY",AZ16))))+8192*(AND(OR(ISNUMBER(FIND("COMPLETE",AZ16)),ISNUMBER(FIND("PCT",AZ16)),ISNUMBER(FIND("PERCENT",AZ16))),NOT(ISNUMBER(FIND("ACTUAL",AZ16))),LEN(AZ16)&lt;=16))+32768*(OR(ISNUMBER(FIND("DESIC",AZ16)),ISNUMBER(FIND("DESSIC",AZ16)))))</f>
        <v/>
      </c>
      <c r="BA151">
        <f>IF(BA16="",0,2*(OR(ISNUMBER(FIND("WORKCENTER",BA16)),AND(LEFT(BA16,4)="LINE",NOT(ISNUMBER(FIND("STATUS",BA16))))))+4*(OR(ISNUMBER(FIND("WORKORDER",BA16)),AND(LEFT(BA16,2)="WO",OR(ISNUMBER(FIND("NUM",BA16)),RIGHT(BA16,2)="NO"))))+8*(LEFT(BA16,3)="SEQ")+16*(AND(LEFT(BA16,4)="ITEM",NOT(ISNUMBER(FIND("DESC",BA16)))))+32*(AND(ISNUMBER(FIND("DESC",BA16)),NOT(ISNUMBER(FIND("CAP",BA16)))))+64*(OR(RIGHT(BA16,5)="COUNT",RIGHT(BA16,2)="CT"))+128*(ISNUMBER(FIND("BULK",BA16)))+256*(ISNUMBER(FIND("SIZE",BA16)))+512*(LEFT(BA16,3)="CAP")+1024*(ISNUMBER(FIND("ALLERG",BA16)))+2048*(OR(ISNUMBER(FIND("REMARK",BA16)),ISNUMBER(FIND("COMMENT",BA16))))+4096*(OR(ISNUMBER(FIND("QTY",BA16)),ISNUMBER(FIND("QUANTITY",BA16))))+8192*(AND(OR(ISNUMBER(FIND("COMPLETE",BA16)),ISNUMBER(FIND("PCT",BA16)),ISNUMBER(FIND("PERCENT",BA16))),NOT(ISNUMBER(FIND("ACTUAL",BA16))),LEN(BA16)&lt;=16))+32768*(OR(ISNUMBER(FIND("DESIC",BA16)),ISNUMBER(FIND("DESSIC",BA16)))))</f>
        <v/>
      </c>
      <c r="BB151">
        <f>IF(BB16="",0,2*(OR(ISNUMBER(FIND("WORKCENTER",BB16)),AND(LEFT(BB16,4)="LINE",NOT(ISNUMBER(FIND("STATUS",BB16))))))+4*(OR(ISNUMBER(FIND("WORKORDER",BB16)),AND(LEFT(BB16,2)="WO",OR(ISNUMBER(FIND("NUM",BB16)),RIGHT(BB16,2)="NO"))))+8*(LEFT(BB16,3)="SEQ")+16*(AND(LEFT(BB16,4)="ITEM",NOT(ISNUMBER(FIND("DESC",BB16)))))+32*(AND(ISNUMBER(FIND("DESC",BB16)),NOT(ISNUMBER(FIND("CAP",BB16)))))+64*(OR(RIGHT(BB16,5)="COUNT",RIGHT(BB16,2)="CT"))+128*(ISNUMBER(FIND("BULK",BB16)))+256*(ISNUMBER(FIND("SIZE",BB16)))+512*(LEFT(BB16,3)="CAP")+1024*(ISNUMBER(FIND("ALLERG",BB16)))+2048*(OR(ISNUMBER(FIND("REMARK",BB16)),ISNUMBER(FIND("COMMENT",BB16))))+4096*(OR(ISNUMBER(FIND("QTY",BB16)),ISNUMBER(FIND("QUANTITY",BB16))))+8192*(AND(OR(ISNUMBER(FIND("COMPLETE",BB16)),ISNUMBER(FIND("PCT",BB16)),ISNUMBER(FIND("PERCENT",BB16))),NOT(ISNUMBER(FIND("ACTUAL",BB16))),LEN(BB16)&lt;=16))+32768*(OR(ISNUMBER(FIND("DESIC",BB16)),ISNUMBER(FIND("DESSIC",BB16)))))</f>
        <v/>
      </c>
      <c r="BC151">
        <f>IF(BC16="",0,2*(OR(ISNUMBER(FIND("WORKCENTER",BC16)),AND(LEFT(BC16,4)="LINE",NOT(ISNUMBER(FIND("STATUS",BC16))))))+4*(OR(ISNUMBER(FIND("WORKORDER",BC16)),AND(LEFT(BC16,2)="WO",OR(ISNUMBER(FIND("NUM",BC16)),RIGHT(BC16,2)="NO"))))+8*(LEFT(BC16,3)="SEQ")+16*(AND(LEFT(BC16,4)="ITEM",NOT(ISNUMBER(FIND("DESC",BC16)))))+32*(AND(ISNUMBER(FIND("DESC",BC16)),NOT(ISNUMBER(FIND("CAP",BC16)))))+64*(OR(RIGHT(BC16,5)="COUNT",RIGHT(BC16,2)="CT"))+128*(ISNUMBER(FIND("BULK",BC16)))+256*(ISNUMBER(FIND("SIZE",BC16)))+512*(LEFT(BC16,3)="CAP")+1024*(ISNUMBER(FIND("ALLERG",BC16)))+2048*(OR(ISNUMBER(FIND("REMARK",BC16)),ISNUMBER(FIND("COMMENT",BC16))))+4096*(OR(ISNUMBER(FIND("QTY",BC16)),ISNUMBER(FIND("QUANTITY",BC16))))+8192*(AND(OR(ISNUMBER(FIND("COMPLETE",BC16)),ISNUMBER(FIND("PCT",BC16)),ISNUMBER(FIND("PERCENT",BC16))),NOT(ISNUMBER(FIND("ACTUAL",BC16))),LEN(BC16)&lt;=16))+32768*(OR(ISNUMBER(FIND("DESIC",BC16)),ISNUMBER(FIND("DESSIC",BC16)))))</f>
        <v/>
      </c>
      <c r="BD151">
        <f>IF(BD16="",0,2*(OR(ISNUMBER(FIND("WORKCENTER",BD16)),AND(LEFT(BD16,4)="LINE",NOT(ISNUMBER(FIND("STATUS",BD16))))))+4*(OR(ISNUMBER(FIND("WORKORDER",BD16)),AND(LEFT(BD16,2)="WO",OR(ISNUMBER(FIND("NUM",BD16)),RIGHT(BD16,2)="NO"))))+8*(LEFT(BD16,3)="SEQ")+16*(AND(LEFT(BD16,4)="ITEM",NOT(ISNUMBER(FIND("DESC",BD16)))))+32*(AND(ISNUMBER(FIND("DESC",BD16)),NOT(ISNUMBER(FIND("CAP",BD16)))))+64*(OR(RIGHT(BD16,5)="COUNT",RIGHT(BD16,2)="CT"))+128*(ISNUMBER(FIND("BULK",BD16)))+256*(ISNUMBER(FIND("SIZE",BD16)))+512*(LEFT(BD16,3)="CAP")+1024*(ISNUMBER(FIND("ALLERG",BD16)))+2048*(OR(ISNUMBER(FIND("REMARK",BD16)),ISNUMBER(FIND("COMMENT",BD16))))+4096*(OR(ISNUMBER(FIND("QTY",BD16)),ISNUMBER(FIND("QUANTITY",BD16))))+8192*(AND(OR(ISNUMBER(FIND("COMPLETE",BD16)),ISNUMBER(FIND("PCT",BD16)),ISNUMBER(FIND("PERCENT",BD16))),NOT(ISNUMBER(FIND("ACTUAL",BD16))),LEN(BD16)&lt;=16))+32768*(OR(ISNUMBER(FIND("DESIC",BD16)),ISNUMBER(FIND("DESSIC",BD16)))))</f>
        <v/>
      </c>
      <c r="BE151">
        <f>IF(BE16="",0,2*(OR(ISNUMBER(FIND("WORKCENTER",BE16)),AND(LEFT(BE16,4)="LINE",NOT(ISNUMBER(FIND("STATUS",BE16))))))+4*(OR(ISNUMBER(FIND("WORKORDER",BE16)),AND(LEFT(BE16,2)="WO",OR(ISNUMBER(FIND("NUM",BE16)),RIGHT(BE16,2)="NO"))))+8*(LEFT(BE16,3)="SEQ")+16*(AND(LEFT(BE16,4)="ITEM",NOT(ISNUMBER(FIND("DESC",BE16)))))+32*(AND(ISNUMBER(FIND("DESC",BE16)),NOT(ISNUMBER(FIND("CAP",BE16)))))+64*(OR(RIGHT(BE16,5)="COUNT",RIGHT(BE16,2)="CT"))+128*(ISNUMBER(FIND("BULK",BE16)))+256*(ISNUMBER(FIND("SIZE",BE16)))+512*(LEFT(BE16,3)="CAP")+1024*(ISNUMBER(FIND("ALLERG",BE16)))+2048*(OR(ISNUMBER(FIND("REMARK",BE16)),ISNUMBER(FIND("COMMENT",BE16))))+4096*(OR(ISNUMBER(FIND("QTY",BE16)),ISNUMBER(FIND("QUANTITY",BE16))))+8192*(AND(OR(ISNUMBER(FIND("COMPLETE",BE16)),ISNUMBER(FIND("PCT",BE16)),ISNUMBER(FIND("PERCENT",BE16))),NOT(ISNUMBER(FIND("ACTUAL",BE16))),LEN(BE16)&lt;=16))+32768*(OR(ISNUMBER(FIND("DESIC",BE16)),ISNUMBER(FIND("DESSIC",BE16)))))</f>
        <v/>
      </c>
      <c r="BF151">
        <f>IF(BF16="",0,2*(OR(ISNUMBER(FIND("WORKCENTER",BF16)),AND(LEFT(BF16,4)="LINE",NOT(ISNUMBER(FIND("STATUS",BF16))))))+4*(OR(ISNUMBER(FIND("WORKORDER",BF16)),AND(LEFT(BF16,2)="WO",OR(ISNUMBER(FIND("NUM",BF16)),RIGHT(BF16,2)="NO"))))+8*(LEFT(BF16,3)="SEQ")+16*(AND(LEFT(BF16,4)="ITEM",NOT(ISNUMBER(FIND("DESC",BF16)))))+32*(AND(ISNUMBER(FIND("DESC",BF16)),NOT(ISNUMBER(FIND("CAP",BF16)))))+64*(OR(RIGHT(BF16,5)="COUNT",RIGHT(BF16,2)="CT"))+128*(ISNUMBER(FIND("BULK",BF16)))+256*(ISNUMBER(FIND("SIZE",BF16)))+512*(LEFT(BF16,3)="CAP")+1024*(ISNUMBER(FIND("ALLERG",BF16)))+2048*(OR(ISNUMBER(FIND("REMARK",BF16)),ISNUMBER(FIND("COMMENT",BF16))))+4096*(OR(ISNUMBER(FIND("QTY",BF16)),ISNUMBER(FIND("QUANTITY",BF16))))+8192*(AND(OR(ISNUMBER(FIND("COMPLETE",BF16)),ISNUMBER(FIND("PCT",BF16)),ISNUMBER(FIND("PERCENT",BF16))),NOT(ISNUMBER(FIND("ACTUAL",BF16))),LEN(BF16)&lt;=16))+32768*(OR(ISNUMBER(FIND("DESIC",BF16)),ISNUMBER(FIND("DESSIC",BF16)))))</f>
        <v/>
      </c>
      <c r="BG151">
        <f>IF(BG16="",0,2*(OR(ISNUMBER(FIND("WORKCENTER",BG16)),AND(LEFT(BG16,4)="LINE",NOT(ISNUMBER(FIND("STATUS",BG16))))))+4*(OR(ISNUMBER(FIND("WORKORDER",BG16)),AND(LEFT(BG16,2)="WO",OR(ISNUMBER(FIND("NUM",BG16)),RIGHT(BG16,2)="NO"))))+8*(LEFT(BG16,3)="SEQ")+16*(AND(LEFT(BG16,4)="ITEM",NOT(ISNUMBER(FIND("DESC",BG16)))))+32*(AND(ISNUMBER(FIND("DESC",BG16)),NOT(ISNUMBER(FIND("CAP",BG16)))))+64*(OR(RIGHT(BG16,5)="COUNT",RIGHT(BG16,2)="CT"))+128*(ISNUMBER(FIND("BULK",BG16)))+256*(ISNUMBER(FIND("SIZE",BG16)))+512*(LEFT(BG16,3)="CAP")+1024*(ISNUMBER(FIND("ALLERG",BG16)))+2048*(OR(ISNUMBER(FIND("REMARK",BG16)),ISNUMBER(FIND("COMMENT",BG16))))+4096*(OR(ISNUMBER(FIND("QTY",BG16)),ISNUMBER(FIND("QUANTITY",BG16))))+8192*(AND(OR(ISNUMBER(FIND("COMPLETE",BG16)),ISNUMBER(FIND("PCT",BG16)),ISNUMBER(FIND("PERCENT",BG16))),NOT(ISNUMBER(FIND("ACTUAL",BG16))),LEN(BG16)&lt;=16))+32768*(OR(ISNUMBER(FIND("DESIC",BG16)),ISNUMBER(FIND("DESSIC",BG16)))))</f>
        <v/>
      </c>
      <c r="BH151">
        <f>IF(BH16="",0,2*(OR(ISNUMBER(FIND("WORKCENTER",BH16)),AND(LEFT(BH16,4)="LINE",NOT(ISNUMBER(FIND("STATUS",BH16))))))+4*(OR(ISNUMBER(FIND("WORKORDER",BH16)),AND(LEFT(BH16,2)="WO",OR(ISNUMBER(FIND("NUM",BH16)),RIGHT(BH16,2)="NO"))))+8*(LEFT(BH16,3)="SEQ")+16*(AND(LEFT(BH16,4)="ITEM",NOT(ISNUMBER(FIND("DESC",BH16)))))+32*(AND(ISNUMBER(FIND("DESC",BH16)),NOT(ISNUMBER(FIND("CAP",BH16)))))+64*(OR(RIGHT(BH16,5)="COUNT",RIGHT(BH16,2)="CT"))+128*(ISNUMBER(FIND("BULK",BH16)))+256*(ISNUMBER(FIND("SIZE",BH16)))+512*(LEFT(BH16,3)="CAP")+1024*(ISNUMBER(FIND("ALLERG",BH16)))+2048*(OR(ISNUMBER(FIND("REMARK",BH16)),ISNUMBER(FIND("COMMENT",BH16))))+4096*(OR(ISNUMBER(FIND("QTY",BH16)),ISNUMBER(FIND("QUANTITY",BH16))))+8192*(AND(OR(ISNUMBER(FIND("COMPLETE",BH16)),ISNUMBER(FIND("PCT",BH16)),ISNUMBER(FIND("PERCENT",BH16))),NOT(ISNUMBER(FIND("ACTUAL",BH16))),LEN(BH16)&lt;=16))+32768*(OR(ISNUMBER(FIND("DESIC",BH16)),ISNUMBER(FIND("DESSIC",BH16)))))</f>
        <v/>
      </c>
      <c r="BI151">
        <f>IF(BI16="",0,2*(OR(ISNUMBER(FIND("WORKCENTER",BI16)),AND(LEFT(BI16,4)="LINE",NOT(ISNUMBER(FIND("STATUS",BI16))))))+4*(OR(ISNUMBER(FIND("WORKORDER",BI16)),AND(LEFT(BI16,2)="WO",OR(ISNUMBER(FIND("NUM",BI16)),RIGHT(BI16,2)="NO"))))+8*(LEFT(BI16,3)="SEQ")+16*(AND(LEFT(BI16,4)="ITEM",NOT(ISNUMBER(FIND("DESC",BI16)))))+32*(AND(ISNUMBER(FIND("DESC",BI16)),NOT(ISNUMBER(FIND("CAP",BI16)))))+64*(OR(RIGHT(BI16,5)="COUNT",RIGHT(BI16,2)="CT"))+128*(ISNUMBER(FIND("BULK",BI16)))+256*(ISNUMBER(FIND("SIZE",BI16)))+512*(LEFT(BI16,3)="CAP")+1024*(ISNUMBER(FIND("ALLERG",BI16)))+2048*(OR(ISNUMBER(FIND("REMARK",BI16)),ISNUMBER(FIND("COMMENT",BI16))))+4096*(OR(ISNUMBER(FIND("QTY",BI16)),ISNUMBER(FIND("QUANTITY",BI16))))+8192*(AND(OR(ISNUMBER(FIND("COMPLETE",BI16)),ISNUMBER(FIND("PCT",BI16)),ISNUMBER(FIND("PERCENT",BI16))),NOT(ISNUMBER(FIND("ACTUAL",BI16))),LEN(BI16)&lt;=16))+32768*(OR(ISNUMBER(FIND("DESIC",BI16)),ISNUMBER(FIND("DESSIC",BI16)))))</f>
        <v/>
      </c>
      <c r="BJ151">
        <f>IF(BJ16="",0,2*(OR(ISNUMBER(FIND("WORKCENTER",BJ16)),AND(LEFT(BJ16,4)="LINE",NOT(ISNUMBER(FIND("STATUS",BJ16))))))+4*(OR(ISNUMBER(FIND("WORKORDER",BJ16)),AND(LEFT(BJ16,2)="WO",OR(ISNUMBER(FIND("NUM",BJ16)),RIGHT(BJ16,2)="NO"))))+8*(LEFT(BJ16,3)="SEQ")+16*(AND(LEFT(BJ16,4)="ITEM",NOT(ISNUMBER(FIND("DESC",BJ16)))))+32*(AND(ISNUMBER(FIND("DESC",BJ16)),NOT(ISNUMBER(FIND("CAP",BJ16)))))+64*(OR(RIGHT(BJ16,5)="COUNT",RIGHT(BJ16,2)="CT"))+128*(ISNUMBER(FIND("BULK",BJ16)))+256*(ISNUMBER(FIND("SIZE",BJ16)))+512*(LEFT(BJ16,3)="CAP")+1024*(ISNUMBER(FIND("ALLERG",BJ16)))+2048*(OR(ISNUMBER(FIND("REMARK",BJ16)),ISNUMBER(FIND("COMMENT",BJ16))))+4096*(OR(ISNUMBER(FIND("QTY",BJ16)),ISNUMBER(FIND("QUANTITY",BJ16))))+8192*(AND(OR(ISNUMBER(FIND("COMPLETE",BJ16)),ISNUMBER(FIND("PCT",BJ16)),ISNUMBER(FIND("PERCENT",BJ16))),NOT(ISNUMBER(FIND("ACTUAL",BJ16))),LEN(BJ16)&lt;=16))+32768*(OR(ISNUMBER(FIND("DESIC",BJ16)),ISNUMBER(FIND("DESSIC",BJ16)))))</f>
        <v/>
      </c>
      <c r="BK151">
        <f>IF(BK16="",0,2*(OR(ISNUMBER(FIND("WORKCENTER",BK16)),AND(LEFT(BK16,4)="LINE",NOT(ISNUMBER(FIND("STATUS",BK16))))))+4*(OR(ISNUMBER(FIND("WORKORDER",BK16)),AND(LEFT(BK16,2)="WO",OR(ISNUMBER(FIND("NUM",BK16)),RIGHT(BK16,2)="NO"))))+8*(LEFT(BK16,3)="SEQ")+16*(AND(LEFT(BK16,4)="ITEM",NOT(ISNUMBER(FIND("DESC",BK16)))))+32*(AND(ISNUMBER(FIND("DESC",BK16)),NOT(ISNUMBER(FIND("CAP",BK16)))))+64*(OR(RIGHT(BK16,5)="COUNT",RIGHT(BK16,2)="CT"))+128*(ISNUMBER(FIND("BULK",BK16)))+256*(ISNUMBER(FIND("SIZE",BK16)))+512*(LEFT(BK16,3)="CAP")+1024*(ISNUMBER(FIND("ALLERG",BK16)))+2048*(OR(ISNUMBER(FIND("REMARK",BK16)),ISNUMBER(FIND("COMMENT",BK16))))+4096*(OR(ISNUMBER(FIND("QTY",BK16)),ISNUMBER(FIND("QUANTITY",BK16))))+8192*(AND(OR(ISNUMBER(FIND("COMPLETE",BK16)),ISNUMBER(FIND("PCT",BK16)),ISNUMBER(FIND("PERCENT",BK16))),NOT(ISNUMBER(FIND("ACTUAL",BK16))),LEN(BK16)&lt;=16))+32768*(OR(ISNUMBER(FIND("DESIC",BK16)),ISNUMBER(FIND("DESSIC",BK16)))))</f>
        <v/>
      </c>
      <c r="BL151">
        <f>IF(BL16="",0,2*(OR(ISNUMBER(FIND("WORKCENTER",BL16)),AND(LEFT(BL16,4)="LINE",NOT(ISNUMBER(FIND("STATUS",BL16))))))+4*(OR(ISNUMBER(FIND("WORKORDER",BL16)),AND(LEFT(BL16,2)="WO",OR(ISNUMBER(FIND("NUM",BL16)),RIGHT(BL16,2)="NO"))))+8*(LEFT(BL16,3)="SEQ")+16*(AND(LEFT(BL16,4)="ITEM",NOT(ISNUMBER(FIND("DESC",BL16)))))+32*(AND(ISNUMBER(FIND("DESC",BL16)),NOT(ISNUMBER(FIND("CAP",BL16)))))+64*(OR(RIGHT(BL16,5)="COUNT",RIGHT(BL16,2)="CT"))+128*(ISNUMBER(FIND("BULK",BL16)))+256*(ISNUMBER(FIND("SIZE",BL16)))+512*(LEFT(BL16,3)="CAP")+1024*(ISNUMBER(FIND("ALLERG",BL16)))+2048*(OR(ISNUMBER(FIND("REMARK",BL16)),ISNUMBER(FIND("COMMENT",BL16))))+4096*(OR(ISNUMBER(FIND("QTY",BL16)),ISNUMBER(FIND("QUANTITY",BL16))))+8192*(AND(OR(ISNUMBER(FIND("COMPLETE",BL16)),ISNUMBER(FIND("PCT",BL16)),ISNUMBER(FIND("PERCENT",BL16))),NOT(ISNUMBER(FIND("ACTUAL",BL16))),LEN(BL16)&lt;=16))+32768*(OR(ISNUMBER(FIND("DESIC",BL16)),ISNUMBER(FIND("DESSIC",BL16)))))</f>
        <v/>
      </c>
      <c r="BM151">
        <f>IF(BM16="",0,2*(OR(ISNUMBER(FIND("WORKCENTER",BM16)),AND(LEFT(BM16,4)="LINE",NOT(ISNUMBER(FIND("STATUS",BM16))))))+4*(OR(ISNUMBER(FIND("WORKORDER",BM16)),AND(LEFT(BM16,2)="WO",OR(ISNUMBER(FIND("NUM",BM16)),RIGHT(BM16,2)="NO"))))+8*(LEFT(BM16,3)="SEQ")+16*(AND(LEFT(BM16,4)="ITEM",NOT(ISNUMBER(FIND("DESC",BM16)))))+32*(AND(ISNUMBER(FIND("DESC",BM16)),NOT(ISNUMBER(FIND("CAP",BM16)))))+64*(OR(RIGHT(BM16,5)="COUNT",RIGHT(BM16,2)="CT"))+128*(ISNUMBER(FIND("BULK",BM16)))+256*(ISNUMBER(FIND("SIZE",BM16)))+512*(LEFT(BM16,3)="CAP")+1024*(ISNUMBER(FIND("ALLERG",BM16)))+2048*(OR(ISNUMBER(FIND("REMARK",BM16)),ISNUMBER(FIND("COMMENT",BM16))))+4096*(OR(ISNUMBER(FIND("QTY",BM16)),ISNUMBER(FIND("QUANTITY",BM16))))+8192*(AND(OR(ISNUMBER(FIND("COMPLETE",BM16)),ISNUMBER(FIND("PCT",BM16)),ISNUMBER(FIND("PERCENT",BM16))),NOT(ISNUMBER(FIND("ACTUAL",BM16))),LEN(BM16)&lt;=16))+32768*(OR(ISNUMBER(FIND("DESIC",BM16)),ISNUMBER(FIND("DESSIC",BM16)))))</f>
        <v/>
      </c>
      <c r="BN151">
        <f>IF(BN16="",0,2*(OR(ISNUMBER(FIND("WORKCENTER",BN16)),AND(LEFT(BN16,4)="LINE",NOT(ISNUMBER(FIND("STATUS",BN16))))))+4*(OR(ISNUMBER(FIND("WORKORDER",BN16)),AND(LEFT(BN16,2)="WO",OR(ISNUMBER(FIND("NUM",BN16)),RIGHT(BN16,2)="NO"))))+8*(LEFT(BN16,3)="SEQ")+16*(AND(LEFT(BN16,4)="ITEM",NOT(ISNUMBER(FIND("DESC",BN16)))))+32*(AND(ISNUMBER(FIND("DESC",BN16)),NOT(ISNUMBER(FIND("CAP",BN16)))))+64*(OR(RIGHT(BN16,5)="COUNT",RIGHT(BN16,2)="CT"))+128*(ISNUMBER(FIND("BULK",BN16)))+256*(ISNUMBER(FIND("SIZE",BN16)))+512*(LEFT(BN16,3)="CAP")+1024*(ISNUMBER(FIND("ALLERG",BN16)))+2048*(OR(ISNUMBER(FIND("REMARK",BN16)),ISNUMBER(FIND("COMMENT",BN16))))+4096*(OR(ISNUMBER(FIND("QTY",BN16)),ISNUMBER(FIND("QUANTITY",BN16))))+8192*(AND(OR(ISNUMBER(FIND("COMPLETE",BN16)),ISNUMBER(FIND("PCT",BN16)),ISNUMBER(FIND("PERCENT",BN16))),NOT(ISNUMBER(FIND("ACTUAL",BN16))),LEN(BN16)&lt;=16))+32768*(OR(ISNUMBER(FIND("DESIC",BN16)),ISNUMBER(FIND("DESSIC",BN16)))))</f>
        <v/>
      </c>
      <c r="BO151">
        <f>IF(BO16="",0,2*(OR(ISNUMBER(FIND("WORKCENTER",BO16)),AND(LEFT(BO16,4)="LINE",NOT(ISNUMBER(FIND("STATUS",BO16))))))+4*(OR(ISNUMBER(FIND("WORKORDER",BO16)),AND(LEFT(BO16,2)="WO",OR(ISNUMBER(FIND("NUM",BO16)),RIGHT(BO16,2)="NO"))))+8*(LEFT(BO16,3)="SEQ")+16*(AND(LEFT(BO16,4)="ITEM",NOT(ISNUMBER(FIND("DESC",BO16)))))+32*(AND(ISNUMBER(FIND("DESC",BO16)),NOT(ISNUMBER(FIND("CAP",BO16)))))+64*(OR(RIGHT(BO16,5)="COUNT",RIGHT(BO16,2)="CT"))+128*(ISNUMBER(FIND("BULK",BO16)))+256*(ISNUMBER(FIND("SIZE",BO16)))+512*(LEFT(BO16,3)="CAP")+1024*(ISNUMBER(FIND("ALLERG",BO16)))+2048*(OR(ISNUMBER(FIND("REMARK",BO16)),ISNUMBER(FIND("COMMENT",BO16))))+4096*(OR(ISNUMBER(FIND("QTY",BO16)),ISNUMBER(FIND("QUANTITY",BO16))))+8192*(AND(OR(ISNUMBER(FIND("COMPLETE",BO16)),ISNUMBER(FIND("PCT",BO16)),ISNUMBER(FIND("PERCENT",BO16))),NOT(ISNUMBER(FIND("ACTUAL",BO16))),LEN(BO16)&lt;=16))+32768*(OR(ISNUMBER(FIND("DESIC",BO16)),ISNUMBER(FIND("DESSIC",BO16)))))</f>
        <v/>
      </c>
      <c r="BP151">
        <f>IF(BP16="",0,2*(OR(ISNUMBER(FIND("WORKCENTER",BP16)),AND(LEFT(BP16,4)="LINE",NOT(ISNUMBER(FIND("STATUS",BP16))))))+4*(OR(ISNUMBER(FIND("WORKORDER",BP16)),AND(LEFT(BP16,2)="WO",OR(ISNUMBER(FIND("NUM",BP16)),RIGHT(BP16,2)="NO"))))+8*(LEFT(BP16,3)="SEQ")+16*(AND(LEFT(BP16,4)="ITEM",NOT(ISNUMBER(FIND("DESC",BP16)))))+32*(AND(ISNUMBER(FIND("DESC",BP16)),NOT(ISNUMBER(FIND("CAP",BP16)))))+64*(OR(RIGHT(BP16,5)="COUNT",RIGHT(BP16,2)="CT"))+128*(ISNUMBER(FIND("BULK",BP16)))+256*(ISNUMBER(FIND("SIZE",BP16)))+512*(LEFT(BP16,3)="CAP")+1024*(ISNUMBER(FIND("ALLERG",BP16)))+2048*(OR(ISNUMBER(FIND("REMARK",BP16)),ISNUMBER(FIND("COMMENT",BP16))))+4096*(OR(ISNUMBER(FIND("QTY",BP16)),ISNUMBER(FIND("QUANTITY",BP16))))+8192*(AND(OR(ISNUMBER(FIND("COMPLETE",BP16)),ISNUMBER(FIND("PCT",BP16)),ISNUMBER(FIND("PERCENT",BP16))),NOT(ISNUMBER(FIND("ACTUAL",BP16))),LEN(BP16)&lt;=16))+32768*(OR(ISNUMBER(FIND("DESIC",BP16)),ISNUMBER(FIND("DESSIC",BP16)))))</f>
        <v/>
      </c>
      <c r="BQ151">
        <f>IF(BQ16="",0,2*(OR(ISNUMBER(FIND("WORKCENTER",BQ16)),AND(LEFT(BQ16,4)="LINE",NOT(ISNUMBER(FIND("STATUS",BQ16))))))+4*(OR(ISNUMBER(FIND("WORKORDER",BQ16)),AND(LEFT(BQ16,2)="WO",OR(ISNUMBER(FIND("NUM",BQ16)),RIGHT(BQ16,2)="NO"))))+8*(LEFT(BQ16,3)="SEQ")+16*(AND(LEFT(BQ16,4)="ITEM",NOT(ISNUMBER(FIND("DESC",BQ16)))))+32*(AND(ISNUMBER(FIND("DESC",BQ16)),NOT(ISNUMBER(FIND("CAP",BQ16)))))+64*(OR(RIGHT(BQ16,5)="COUNT",RIGHT(BQ16,2)="CT"))+128*(ISNUMBER(FIND("BULK",BQ16)))+256*(ISNUMBER(FIND("SIZE",BQ16)))+512*(LEFT(BQ16,3)="CAP")+1024*(ISNUMBER(FIND("ALLERG",BQ16)))+2048*(OR(ISNUMBER(FIND("REMARK",BQ16)),ISNUMBER(FIND("COMMENT",BQ16))))+4096*(OR(ISNUMBER(FIND("QTY",BQ16)),ISNUMBER(FIND("QUANTITY",BQ16))))+8192*(AND(OR(ISNUMBER(FIND("COMPLETE",BQ16)),ISNUMBER(FIND("PCT",BQ16)),ISNUMBER(FIND("PERCENT",BQ16))),NOT(ISNUMBER(FIND("ACTUAL",BQ16))),LEN(BQ16)&lt;=16))+32768*(OR(ISNUMBER(FIND("DESIC",BQ16)),ISNUMBER(FIND("DESSIC",BQ16)))))</f>
        <v/>
      </c>
      <c r="BR151">
        <f>IF(BR16="",0,2*(OR(ISNUMBER(FIND("WORKCENTER",BR16)),AND(LEFT(BR16,4)="LINE",NOT(ISNUMBER(FIND("STATUS",BR16))))))+4*(OR(ISNUMBER(FIND("WORKORDER",BR16)),AND(LEFT(BR16,2)="WO",OR(ISNUMBER(FIND("NUM",BR16)),RIGHT(BR16,2)="NO"))))+8*(LEFT(BR16,3)="SEQ")+16*(AND(LEFT(BR16,4)="ITEM",NOT(ISNUMBER(FIND("DESC",BR16)))))+32*(AND(ISNUMBER(FIND("DESC",BR16)),NOT(ISNUMBER(FIND("CAP",BR16)))))+64*(OR(RIGHT(BR16,5)="COUNT",RIGHT(BR16,2)="CT"))+128*(ISNUMBER(FIND("BULK",BR16)))+256*(ISNUMBER(FIND("SIZE",BR16)))+512*(LEFT(BR16,3)="CAP")+1024*(ISNUMBER(FIND("ALLERG",BR16)))+2048*(OR(ISNUMBER(FIND("REMARK",BR16)),ISNUMBER(FIND("COMMENT",BR16))))+4096*(OR(ISNUMBER(FIND("QTY",BR16)),ISNUMBER(FIND("QUANTITY",BR16))))+8192*(AND(OR(ISNUMBER(FIND("COMPLETE",BR16)),ISNUMBER(FIND("PCT",BR16)),ISNUMBER(FIND("PERCENT",BR16))),NOT(ISNUMBER(FIND("ACTUAL",BR16))),LEN(BR16)&lt;=16))+32768*(OR(ISNUMBER(FIND("DESIC",BR16)),ISNUMBER(FIND("DESSIC",BR16)))))</f>
        <v/>
      </c>
      <c r="BS151">
        <f>IF(BS16="",0,2*(OR(ISNUMBER(FIND("WORKCENTER",BS16)),AND(LEFT(BS16,4)="LINE",NOT(ISNUMBER(FIND("STATUS",BS16))))))+4*(OR(ISNUMBER(FIND("WORKORDER",BS16)),AND(LEFT(BS16,2)="WO",OR(ISNUMBER(FIND("NUM",BS16)),RIGHT(BS16,2)="NO"))))+8*(LEFT(BS16,3)="SEQ")+16*(AND(LEFT(BS16,4)="ITEM",NOT(ISNUMBER(FIND("DESC",BS16)))))+32*(AND(ISNUMBER(FIND("DESC",BS16)),NOT(ISNUMBER(FIND("CAP",BS16)))))+64*(OR(RIGHT(BS16,5)="COUNT",RIGHT(BS16,2)="CT"))+128*(ISNUMBER(FIND("BULK",BS16)))+256*(ISNUMBER(FIND("SIZE",BS16)))+512*(LEFT(BS16,3)="CAP")+1024*(ISNUMBER(FIND("ALLERG",BS16)))+2048*(OR(ISNUMBER(FIND("REMARK",BS16)),ISNUMBER(FIND("COMMENT",BS16))))+4096*(OR(ISNUMBER(FIND("QTY",BS16)),ISNUMBER(FIND("QUANTITY",BS16))))+8192*(AND(OR(ISNUMBER(FIND("COMPLETE",BS16)),ISNUMBER(FIND("PCT",BS16)),ISNUMBER(FIND("PERCENT",BS16))),NOT(ISNUMBER(FIND("ACTUAL",BS16))),LEN(BS16)&lt;=16))+32768*(OR(ISNUMBER(FIND("DESIC",BS16)),ISNUMBER(FIND("DESSIC",BS16)))))</f>
        <v/>
      </c>
      <c r="BT151">
        <f>IF(BT16="",0,2*(OR(ISNUMBER(FIND("WORKCENTER",BT16)),AND(LEFT(BT16,4)="LINE",NOT(ISNUMBER(FIND("STATUS",BT16))))))+4*(OR(ISNUMBER(FIND("WORKORDER",BT16)),AND(LEFT(BT16,2)="WO",OR(ISNUMBER(FIND("NUM",BT16)),RIGHT(BT16,2)="NO"))))+8*(LEFT(BT16,3)="SEQ")+16*(AND(LEFT(BT16,4)="ITEM",NOT(ISNUMBER(FIND("DESC",BT16)))))+32*(AND(ISNUMBER(FIND("DESC",BT16)),NOT(ISNUMBER(FIND("CAP",BT16)))))+64*(OR(RIGHT(BT16,5)="COUNT",RIGHT(BT16,2)="CT"))+128*(ISNUMBER(FIND("BULK",BT16)))+256*(ISNUMBER(FIND("SIZE",BT16)))+512*(LEFT(BT16,3)="CAP")+1024*(ISNUMBER(FIND("ALLERG",BT16)))+2048*(OR(ISNUMBER(FIND("REMARK",BT16)),ISNUMBER(FIND("COMMENT",BT16))))+4096*(OR(ISNUMBER(FIND("QTY",BT16)),ISNUMBER(FIND("QUANTITY",BT16))))+8192*(AND(OR(ISNUMBER(FIND("COMPLETE",BT16)),ISNUMBER(FIND("PCT",BT16)),ISNUMBER(FIND("PERCENT",BT16))),NOT(ISNUMBER(FIND("ACTUAL",BT16))),LEN(BT16)&lt;=16))+32768*(OR(ISNUMBER(FIND("DESIC",BT16)),ISNUMBER(FIND("DESSIC",BT16)))))</f>
        <v/>
      </c>
      <c r="BU151">
        <f>IF(BU16="",0,2*(OR(ISNUMBER(FIND("WORKCENTER",BU16)),AND(LEFT(BU16,4)="LINE",NOT(ISNUMBER(FIND("STATUS",BU16))))))+4*(OR(ISNUMBER(FIND("WORKORDER",BU16)),AND(LEFT(BU16,2)="WO",OR(ISNUMBER(FIND("NUM",BU16)),RIGHT(BU16,2)="NO"))))+8*(LEFT(BU16,3)="SEQ")+16*(AND(LEFT(BU16,4)="ITEM",NOT(ISNUMBER(FIND("DESC",BU16)))))+32*(AND(ISNUMBER(FIND("DESC",BU16)),NOT(ISNUMBER(FIND("CAP",BU16)))))+64*(OR(RIGHT(BU16,5)="COUNT",RIGHT(BU16,2)="CT"))+128*(ISNUMBER(FIND("BULK",BU16)))+256*(ISNUMBER(FIND("SIZE",BU16)))+512*(LEFT(BU16,3)="CAP")+1024*(ISNUMBER(FIND("ALLERG",BU16)))+2048*(OR(ISNUMBER(FIND("REMARK",BU16)),ISNUMBER(FIND("COMMENT",BU16))))+4096*(OR(ISNUMBER(FIND("QTY",BU16)),ISNUMBER(FIND("QUANTITY",BU16))))+8192*(AND(OR(ISNUMBER(FIND("COMPLETE",BU16)),ISNUMBER(FIND("PCT",BU16)),ISNUMBER(FIND("PERCENT",BU16))),NOT(ISNUMBER(FIND("ACTUAL",BU16))),LEN(BU16)&lt;=16))+32768*(OR(ISNUMBER(FIND("DESIC",BU16)),ISNUMBER(FIND("DESSIC",BU16)))))</f>
        <v/>
      </c>
      <c r="BV151">
        <f>IF(BV16="",0,2*(OR(ISNUMBER(FIND("WORKCENTER",BV16)),AND(LEFT(BV16,4)="LINE",NOT(ISNUMBER(FIND("STATUS",BV16))))))+4*(OR(ISNUMBER(FIND("WORKORDER",BV16)),AND(LEFT(BV16,2)="WO",OR(ISNUMBER(FIND("NUM",BV16)),RIGHT(BV16,2)="NO"))))+8*(LEFT(BV16,3)="SEQ")+16*(AND(LEFT(BV16,4)="ITEM",NOT(ISNUMBER(FIND("DESC",BV16)))))+32*(AND(ISNUMBER(FIND("DESC",BV16)),NOT(ISNUMBER(FIND("CAP",BV16)))))+64*(OR(RIGHT(BV16,5)="COUNT",RIGHT(BV16,2)="CT"))+128*(ISNUMBER(FIND("BULK",BV16)))+256*(ISNUMBER(FIND("SIZE",BV16)))+512*(LEFT(BV16,3)="CAP")+1024*(ISNUMBER(FIND("ALLERG",BV16)))+2048*(OR(ISNUMBER(FIND("REMARK",BV16)),ISNUMBER(FIND("COMMENT",BV16))))+4096*(OR(ISNUMBER(FIND("QTY",BV16)),ISNUMBER(FIND("QUANTITY",BV16))))+8192*(AND(OR(ISNUMBER(FIND("COMPLETE",BV16)),ISNUMBER(FIND("PCT",BV16)),ISNUMBER(FIND("PERCENT",BV16))),NOT(ISNUMBER(FIND("ACTUAL",BV16))),LEN(BV16)&lt;=16))+32768*(OR(ISNUMBER(FIND("DESIC",BV16)),ISNUMBER(FIND("DESSIC",BV16)))))</f>
        <v/>
      </c>
      <c r="BW151">
        <f>IF(BW16="",0,2*(OR(ISNUMBER(FIND("WORKCENTER",BW16)),AND(LEFT(BW16,4)="LINE",NOT(ISNUMBER(FIND("STATUS",BW16))))))+4*(OR(ISNUMBER(FIND("WORKORDER",BW16)),AND(LEFT(BW16,2)="WO",OR(ISNUMBER(FIND("NUM",BW16)),RIGHT(BW16,2)="NO"))))+8*(LEFT(BW16,3)="SEQ")+16*(AND(LEFT(BW16,4)="ITEM",NOT(ISNUMBER(FIND("DESC",BW16)))))+32*(AND(ISNUMBER(FIND("DESC",BW16)),NOT(ISNUMBER(FIND("CAP",BW16)))))+64*(OR(RIGHT(BW16,5)="COUNT",RIGHT(BW16,2)="CT"))+128*(ISNUMBER(FIND("BULK",BW16)))+256*(ISNUMBER(FIND("SIZE",BW16)))+512*(LEFT(BW16,3)="CAP")+1024*(ISNUMBER(FIND("ALLERG",BW16)))+2048*(OR(ISNUMBER(FIND("REMARK",BW16)),ISNUMBER(FIND("COMMENT",BW16))))+4096*(OR(ISNUMBER(FIND("QTY",BW16)),ISNUMBER(FIND("QUANTITY",BW16))))+8192*(AND(OR(ISNUMBER(FIND("COMPLETE",BW16)),ISNUMBER(FIND("PCT",BW16)),ISNUMBER(FIND("PERCENT",BW16))),NOT(ISNUMBER(FIND("ACTUAL",BW16))),LEN(BW16)&lt;=16))+32768*(OR(ISNUMBER(FIND("DESIC",BW16)),ISNUMBER(FIND("DESSIC",BW16)))))</f>
        <v/>
      </c>
      <c r="BX151">
        <f>IF(BX16="",0,2*(OR(ISNUMBER(FIND("WORKCENTER",BX16)),AND(LEFT(BX16,4)="LINE",NOT(ISNUMBER(FIND("STATUS",BX16))))))+4*(OR(ISNUMBER(FIND("WORKORDER",BX16)),AND(LEFT(BX16,2)="WO",OR(ISNUMBER(FIND("NUM",BX16)),RIGHT(BX16,2)="NO"))))+8*(LEFT(BX16,3)="SEQ")+16*(AND(LEFT(BX16,4)="ITEM",NOT(ISNUMBER(FIND("DESC",BX16)))))+32*(AND(ISNUMBER(FIND("DESC",BX16)),NOT(ISNUMBER(FIND("CAP",BX16)))))+64*(OR(RIGHT(BX16,5)="COUNT",RIGHT(BX16,2)="CT"))+128*(ISNUMBER(FIND("BULK",BX16)))+256*(ISNUMBER(FIND("SIZE",BX16)))+512*(LEFT(BX16,3)="CAP")+1024*(ISNUMBER(FIND("ALLERG",BX16)))+2048*(OR(ISNUMBER(FIND("REMARK",BX16)),ISNUMBER(FIND("COMMENT",BX16))))+4096*(OR(ISNUMBER(FIND("QTY",BX16)),ISNUMBER(FIND("QUANTITY",BX16))))+8192*(AND(OR(ISNUMBER(FIND("COMPLETE",BX16)),ISNUMBER(FIND("PCT",BX16)),ISNUMBER(FIND("PERCENT",BX16))),NOT(ISNUMBER(FIND("ACTUAL",BX16))),LEN(BX16)&lt;=16))+32768*(OR(ISNUMBER(FIND("DESIC",BX16)),ISNUMBER(FIND("DESSIC",BX16)))))</f>
        <v/>
      </c>
      <c r="BY151">
        <f>IF(BY16="",0,2*(OR(ISNUMBER(FIND("WORKCENTER",BY16)),AND(LEFT(BY16,4)="LINE",NOT(ISNUMBER(FIND("STATUS",BY16))))))+4*(OR(ISNUMBER(FIND("WORKORDER",BY16)),AND(LEFT(BY16,2)="WO",OR(ISNUMBER(FIND("NUM",BY16)),RIGHT(BY16,2)="NO"))))+8*(LEFT(BY16,3)="SEQ")+16*(AND(LEFT(BY16,4)="ITEM",NOT(ISNUMBER(FIND("DESC",BY16)))))+32*(AND(ISNUMBER(FIND("DESC",BY16)),NOT(ISNUMBER(FIND("CAP",BY16)))))+64*(OR(RIGHT(BY16,5)="COUNT",RIGHT(BY16,2)="CT"))+128*(ISNUMBER(FIND("BULK",BY16)))+256*(ISNUMBER(FIND("SIZE",BY16)))+512*(LEFT(BY16,3)="CAP")+1024*(ISNUMBER(FIND("ALLERG",BY16)))+2048*(OR(ISNUMBER(FIND("REMARK",BY16)),ISNUMBER(FIND("COMMENT",BY16))))+4096*(OR(ISNUMBER(FIND("QTY",BY16)),ISNUMBER(FIND("QUANTITY",BY16))))+8192*(AND(OR(ISNUMBER(FIND("COMPLETE",BY16)),ISNUMBER(FIND("PCT",BY16)),ISNUMBER(FIND("PERCENT",BY16))),NOT(ISNUMBER(FIND("ACTUAL",BY16))),LEN(BY16)&lt;=16))+32768*(OR(ISNUMBER(FIND("DESIC",BY16)),ISNUMBER(FIND("DESSIC",BY16)))))</f>
        <v/>
      </c>
      <c r="BZ151">
        <f>IF(BZ16="",0,2*(OR(ISNUMBER(FIND("WORKCENTER",BZ16)),AND(LEFT(BZ16,4)="LINE",NOT(ISNUMBER(FIND("STATUS",BZ16))))))+4*(OR(ISNUMBER(FIND("WORKORDER",BZ16)),AND(LEFT(BZ16,2)="WO",OR(ISNUMBER(FIND("NUM",BZ16)),RIGHT(BZ16,2)="NO"))))+8*(LEFT(BZ16,3)="SEQ")+16*(AND(LEFT(BZ16,4)="ITEM",NOT(ISNUMBER(FIND("DESC",BZ16)))))+32*(AND(ISNUMBER(FIND("DESC",BZ16)),NOT(ISNUMBER(FIND("CAP",BZ16)))))+64*(OR(RIGHT(BZ16,5)="COUNT",RIGHT(BZ16,2)="CT"))+128*(ISNUMBER(FIND("BULK",BZ16)))+256*(ISNUMBER(FIND("SIZE",BZ16)))+512*(LEFT(BZ16,3)="CAP")+1024*(ISNUMBER(FIND("ALLERG",BZ16)))+2048*(OR(ISNUMBER(FIND("REMARK",BZ16)),ISNUMBER(FIND("COMMENT",BZ16))))+4096*(OR(ISNUMBER(FIND("QTY",BZ16)),ISNUMBER(FIND("QUANTITY",BZ16))))+8192*(AND(OR(ISNUMBER(FIND("COMPLETE",BZ16)),ISNUMBER(FIND("PCT",BZ16)),ISNUMBER(FIND("PERCENT",BZ16))),NOT(ISNUMBER(FIND("ACTUAL",BZ16))),LEN(BZ16)&lt;=16))+32768*(OR(ISNUMBER(FIND("DESIC",BZ16)),ISNUMBER(FIND("DESSIC",BZ16)))))</f>
        <v/>
      </c>
      <c r="CA151">
        <f>IF(CA16="",0,2*(OR(ISNUMBER(FIND("WORKCENTER",CA16)),AND(LEFT(CA16,4)="LINE",NOT(ISNUMBER(FIND("STATUS",CA16))))))+4*(OR(ISNUMBER(FIND("WORKORDER",CA16)),AND(LEFT(CA16,2)="WO",OR(ISNUMBER(FIND("NUM",CA16)),RIGHT(CA16,2)="NO"))))+8*(LEFT(CA16,3)="SEQ")+16*(AND(LEFT(CA16,4)="ITEM",NOT(ISNUMBER(FIND("DESC",CA16)))))+32*(AND(ISNUMBER(FIND("DESC",CA16)),NOT(ISNUMBER(FIND("CAP",CA16)))))+64*(OR(RIGHT(CA16,5)="COUNT",RIGHT(CA16,2)="CT"))+128*(ISNUMBER(FIND("BULK",CA16)))+256*(ISNUMBER(FIND("SIZE",CA16)))+512*(LEFT(CA16,3)="CAP")+1024*(ISNUMBER(FIND("ALLERG",CA16)))+2048*(OR(ISNUMBER(FIND("REMARK",CA16)),ISNUMBER(FIND("COMMENT",CA16))))+4096*(OR(ISNUMBER(FIND("QTY",CA16)),ISNUMBER(FIND("QUANTITY",CA16))))+8192*(AND(OR(ISNUMBER(FIND("COMPLETE",CA16)),ISNUMBER(FIND("PCT",CA16)),ISNUMBER(FIND("PERCENT",CA16))),NOT(ISNUMBER(FIND("ACTUAL",CA16))),LEN(CA16)&lt;=16))+32768*(OR(ISNUMBER(FIND("DESIC",CA16)),ISNUMBER(FIND("DESSIC",CA16)))))</f>
        <v/>
      </c>
      <c r="CB151">
        <f>IF(CB16="",0,2*(OR(ISNUMBER(FIND("WORKCENTER",CB16)),AND(LEFT(CB16,4)="LINE",NOT(ISNUMBER(FIND("STATUS",CB16))))))+4*(OR(ISNUMBER(FIND("WORKORDER",CB16)),AND(LEFT(CB16,2)="WO",OR(ISNUMBER(FIND("NUM",CB16)),RIGHT(CB16,2)="NO"))))+8*(LEFT(CB16,3)="SEQ")+16*(AND(LEFT(CB16,4)="ITEM",NOT(ISNUMBER(FIND("DESC",CB16)))))+32*(AND(ISNUMBER(FIND("DESC",CB16)),NOT(ISNUMBER(FIND("CAP",CB16)))))+64*(OR(RIGHT(CB16,5)="COUNT",RIGHT(CB16,2)="CT"))+128*(ISNUMBER(FIND("BULK",CB16)))+256*(ISNUMBER(FIND("SIZE",CB16)))+512*(LEFT(CB16,3)="CAP")+1024*(ISNUMBER(FIND("ALLERG",CB16)))+2048*(OR(ISNUMBER(FIND("REMARK",CB16)),ISNUMBER(FIND("COMMENT",CB16))))+4096*(OR(ISNUMBER(FIND("QTY",CB16)),ISNUMBER(FIND("QUANTITY",CB16))))+8192*(AND(OR(ISNUMBER(FIND("COMPLETE",CB16)),ISNUMBER(FIND("PCT",CB16)),ISNUMBER(FIND("PERCENT",CB16))),NOT(ISNUMBER(FIND("ACTUAL",CB16))),LEN(CB16)&lt;=16))+32768*(OR(ISNUMBER(FIND("DESIC",CB16)),ISNUMBER(FIND("DESSIC",CB16)))))</f>
        <v/>
      </c>
      <c r="CC151">
        <f>IF(CC16="",0,2*(OR(ISNUMBER(FIND("WORKCENTER",CC16)),AND(LEFT(CC16,4)="LINE",NOT(ISNUMBER(FIND("STATUS",CC16))))))+4*(OR(ISNUMBER(FIND("WORKORDER",CC16)),AND(LEFT(CC16,2)="WO",OR(ISNUMBER(FIND("NUM",CC16)),RIGHT(CC16,2)="NO"))))+8*(LEFT(CC16,3)="SEQ")+16*(AND(LEFT(CC16,4)="ITEM",NOT(ISNUMBER(FIND("DESC",CC16)))))+32*(AND(ISNUMBER(FIND("DESC",CC16)),NOT(ISNUMBER(FIND("CAP",CC16)))))+64*(OR(RIGHT(CC16,5)="COUNT",RIGHT(CC16,2)="CT"))+128*(ISNUMBER(FIND("BULK",CC16)))+256*(ISNUMBER(FIND("SIZE",CC16)))+512*(LEFT(CC16,3)="CAP")+1024*(ISNUMBER(FIND("ALLERG",CC16)))+2048*(OR(ISNUMBER(FIND("REMARK",CC16)),ISNUMBER(FIND("COMMENT",CC16))))+4096*(OR(ISNUMBER(FIND("QTY",CC16)),ISNUMBER(FIND("QUANTITY",CC16))))+8192*(AND(OR(ISNUMBER(FIND("COMPLETE",CC16)),ISNUMBER(FIND("PCT",CC16)),ISNUMBER(FIND("PERCENT",CC16))),NOT(ISNUMBER(FIND("ACTUAL",CC16))),LEN(CC16)&lt;=16))+32768*(OR(ISNUMBER(FIND("DESIC",CC16)),ISNUMBER(FIND("DESSIC",CC16)))))</f>
        <v/>
      </c>
      <c r="CD151">
        <f>IF(CD16="",0,2*(OR(ISNUMBER(FIND("WORKCENTER",CD16)),AND(LEFT(CD16,4)="LINE",NOT(ISNUMBER(FIND("STATUS",CD16))))))+4*(OR(ISNUMBER(FIND("WORKORDER",CD16)),AND(LEFT(CD16,2)="WO",OR(ISNUMBER(FIND("NUM",CD16)),RIGHT(CD16,2)="NO"))))+8*(LEFT(CD16,3)="SEQ")+16*(AND(LEFT(CD16,4)="ITEM",NOT(ISNUMBER(FIND("DESC",CD16)))))+32*(AND(ISNUMBER(FIND("DESC",CD16)),NOT(ISNUMBER(FIND("CAP",CD16)))))+64*(OR(RIGHT(CD16,5)="COUNT",RIGHT(CD16,2)="CT"))+128*(ISNUMBER(FIND("BULK",CD16)))+256*(ISNUMBER(FIND("SIZE",CD16)))+512*(LEFT(CD16,3)="CAP")+1024*(ISNUMBER(FIND("ALLERG",CD16)))+2048*(OR(ISNUMBER(FIND("REMARK",CD16)),ISNUMBER(FIND("COMMENT",CD16))))+4096*(OR(ISNUMBER(FIND("QTY",CD16)),ISNUMBER(FIND("QUANTITY",CD16))))+8192*(AND(OR(ISNUMBER(FIND("COMPLETE",CD16)),ISNUMBER(FIND("PCT",CD16)),ISNUMBER(FIND("PERCENT",CD16))),NOT(ISNUMBER(FIND("ACTUAL",CD16))),LEN(CD16)&lt;=16))+32768*(OR(ISNUMBER(FIND("DESIC",CD16)),ISNUMBER(FIND("DESSIC",CD16)))))</f>
        <v/>
      </c>
      <c r="CE151">
        <f>IF(CE16="",0,2*(OR(ISNUMBER(FIND("WORKCENTER",CE16)),AND(LEFT(CE16,4)="LINE",NOT(ISNUMBER(FIND("STATUS",CE16))))))+4*(OR(ISNUMBER(FIND("WORKORDER",CE16)),AND(LEFT(CE16,2)="WO",OR(ISNUMBER(FIND("NUM",CE16)),RIGHT(CE16,2)="NO"))))+8*(LEFT(CE16,3)="SEQ")+16*(AND(LEFT(CE16,4)="ITEM",NOT(ISNUMBER(FIND("DESC",CE16)))))+32*(AND(ISNUMBER(FIND("DESC",CE16)),NOT(ISNUMBER(FIND("CAP",CE16)))))+64*(OR(RIGHT(CE16,5)="COUNT",RIGHT(CE16,2)="CT"))+128*(ISNUMBER(FIND("BULK",CE16)))+256*(ISNUMBER(FIND("SIZE",CE16)))+512*(LEFT(CE16,3)="CAP")+1024*(ISNUMBER(FIND("ALLERG",CE16)))+2048*(OR(ISNUMBER(FIND("REMARK",CE16)),ISNUMBER(FIND("COMMENT",CE16))))+4096*(OR(ISNUMBER(FIND("QTY",CE16)),ISNUMBER(FIND("QUANTITY",CE16))))+8192*(AND(OR(ISNUMBER(FIND("COMPLETE",CE16)),ISNUMBER(FIND("PCT",CE16)),ISNUMBER(FIND("PERCENT",CE16))),NOT(ISNUMBER(FIND("ACTUAL",CE16))),LEN(CE16)&lt;=16))+32768*(OR(ISNUMBER(FIND("DESIC",CE16)),ISNUMBER(FIND("DESSIC",CE16)))))</f>
        <v/>
      </c>
      <c r="CF151">
        <f>IF(CF16="",0,2*(OR(ISNUMBER(FIND("WORKCENTER",CF16)),AND(LEFT(CF16,4)="LINE",NOT(ISNUMBER(FIND("STATUS",CF16))))))+4*(OR(ISNUMBER(FIND("WORKORDER",CF16)),AND(LEFT(CF16,2)="WO",OR(ISNUMBER(FIND("NUM",CF16)),RIGHT(CF16,2)="NO"))))+8*(LEFT(CF16,3)="SEQ")+16*(AND(LEFT(CF16,4)="ITEM",NOT(ISNUMBER(FIND("DESC",CF16)))))+32*(AND(ISNUMBER(FIND("DESC",CF16)),NOT(ISNUMBER(FIND("CAP",CF16)))))+64*(OR(RIGHT(CF16,5)="COUNT",RIGHT(CF16,2)="CT"))+128*(ISNUMBER(FIND("BULK",CF16)))+256*(ISNUMBER(FIND("SIZE",CF16)))+512*(LEFT(CF16,3)="CAP")+1024*(ISNUMBER(FIND("ALLERG",CF16)))+2048*(OR(ISNUMBER(FIND("REMARK",CF16)),ISNUMBER(FIND("COMMENT",CF16))))+4096*(OR(ISNUMBER(FIND("QTY",CF16)),ISNUMBER(FIND("QUANTITY",CF16))))+8192*(AND(OR(ISNUMBER(FIND("COMPLETE",CF16)),ISNUMBER(FIND("PCT",CF16)),ISNUMBER(FIND("PERCENT",CF16))),NOT(ISNUMBER(FIND("ACTUAL",CF16))),LEN(CF16)&lt;=16))+32768*(OR(ISNUMBER(FIND("DESIC",CF16)),ISNUMBER(FIND("DESSIC",CF16)))))</f>
        <v/>
      </c>
      <c r="DA151" t="n">
        <v>147</v>
      </c>
      <c r="DB151">
        <f>IF($B$37=0,"",IFERROR(TRIM(SUBSTITUTE(SUBSTITUTE(SUBSTITUTE(SUBSTITUTE(INDEX(PASTE_ALL,147,$B$37)," "," "),CHAR(9)," "),CHAR(10)," "),CHAR(13)," ")),""))</f>
        <v/>
      </c>
      <c r="DC151">
        <f>IF(AND(147&gt;HEADER_ROW,UPPER(DB151)="LEGEND"),1,0)</f>
        <v/>
      </c>
      <c r="DE151" t="n">
        <v>147</v>
      </c>
      <c r="DF151">
        <f>HEADER_ROW+$DE151</f>
        <v/>
      </c>
      <c r="DG151">
        <f>IF(AND($DF151&lt;=1000,$DF151&lt;$B$8),1,0)</f>
        <v/>
      </c>
      <c r="DH151">
        <f>IF($DG151=1,IFERROR(INDEX($DB$5:$DB$1004,$DF151),""),"")</f>
        <v/>
      </c>
      <c r="DI151">
        <f>IF(AND($DG151=1,$DH151&lt;&gt;""),IFERROR(SUBSTITUTE(SUBSTITUTE(TRIM(SUBSTITUTE(SUBSTITUTE(SUBSTITUTE(SUBSTITUTE(IFERROR(INDEX(PASTE_ALL,$DF151,1)&amp;"","")&amp;"␟"&amp;IFERROR(INDEX(PASTE_ALL,$DF151,2)&amp;"","")&amp;"␟"&amp;IFERROR(INDEX(PASTE_ALL,$DF151,3)&amp;"","")&amp;"␟"&amp;IFERROR(INDEX(PASTE_ALL,$DF151,4)&amp;"","")&amp;"␟"&amp;IFERROR(INDEX(PASTE_ALL,$DF151,5)&amp;"","")&amp;"␟"&amp;IFERROR(INDEX(PASTE_ALL,$DF151,6)&amp;"","")&amp;"␟"&amp;IFERROR(INDEX(PASTE_ALL,$DF151,7)&amp;"","")&amp;"␟"&amp;IFERROR(INDEX(PASTE_ALL,$DF151,8)&amp;"","")&amp;"␟"&amp;IFERROR(INDEX(PASTE_ALL,$DF151,9)&amp;"","")&amp;"␟"&amp;IFERROR(INDEX(PASTE_ALL,$DF151,10)&amp;"","")&amp;"␟"&amp;IFERROR(INDEX(PASTE_ALL,$DF151,11)&amp;"","")&amp;"␟"&amp;IFERROR(INDEX(PASTE_ALL,$DF151,12)&amp;"","")&amp;"␟"&amp;IFERROR(INDEX(PASTE_ALL,$DF151,13)&amp;"","")&amp;"␟"&amp;IFERROR(INDEX(PASTE_ALL,$DF151,14)&amp;"","")&amp;"␟"&amp;IFERROR(INDEX(PASTE_ALL,$DF151,15)&amp;"","")&amp;"␟"&amp;IFERROR(INDEX(PASTE_ALL,$DF151,16)&amp;"","")&amp;"␟"&amp;IFERROR(INDEX(PASTE_ALL,$DF151,17)&amp;"","")&amp;"␟"&amp;IFERROR(INDEX(PASTE_ALL,$DF151,18)&amp;"","")&amp;"␟"&amp;IFERROR(INDEX(PASTE_ALL,$DF151,19)&amp;"","")&amp;"␟"&amp;IFERROR(INDEX(PASTE_ALL,$DF151,20)&amp;"","")&amp;"␟"&amp;IFERROR(INDEX(PASTE_ALL,$DF151,21)&amp;"","")&amp;"␟"&amp;IFERROR(INDEX(PASTE_ALL,$DF151,22)&amp;"","")&amp;"␟"&amp;IFERROR(INDEX(PASTE_ALL,$DF151,23)&amp;"","")&amp;"␟"&amp;IFERROR(INDEX(PASTE_ALL,$DF151,24)&amp;"","")&amp;"␟"&amp;IFERROR(INDEX(PASTE_ALL,$DF151,25)&amp;"","")&amp;"␟"&amp;IFERROR(INDEX(PASTE_ALL,$DF151,26)&amp;"","")&amp;"␟"&amp;IFERROR(INDEX(PASTE_ALL,$DF151,27)&amp;"","")&amp;"␟"&amp;IFERROR(INDEX(PASTE_ALL,$DF151,28)&amp;"","")&amp;"␟"&amp;IFERROR(INDEX(PASTE_ALL,$DF151,29)&amp;"","")&amp;"␟"&amp;IFERROR(INDEX(PASTE_ALL,$DF151,30)&amp;"","")&amp;"␟"&amp;IFERROR(INDEX(PASTE_ALL,$DF151,31)&amp;"","")&amp;"␟"&amp;IFERROR(INDEX(PASTE_ALL,$DF151,32)&amp;"","")&amp;"␟"&amp;IFERROR(INDEX(PASTE_ALL,$DF151,33)&amp;"","")&amp;"␟"&amp;IFERROR(INDEX(PASTE_ALL,$DF151,34)&amp;"","")&amp;"␟"&amp;IFERROR(INDEX(PASTE_ALL,$DF151,35)&amp;"","")&amp;"␟"&amp;IFERROR(INDEX(PASTE_ALL,$DF151,36)&amp;"","")&amp;"␟"&amp;IFERROR(INDEX(PASTE_ALL,$DF151,37)&amp;"","")&amp;"␟"&amp;IFERROR(INDEX(PASTE_ALL,$DF151,38)&amp;"","")&amp;"␟"&amp;IFERROR(INDEX(PASTE_ALL,$DF151,39)&amp;"","")&amp;"␟"&amp;IFERROR(INDEX(PASTE_ALL,$DF151,40)&amp;"","")&amp;"␟"&amp;IFERROR(INDEX(PASTE_ALL,$DF151,41)&amp;"","")&amp;"␟"&amp;IFERROR(INDEX(PASTE_ALL,$DF151,42)&amp;"","")&amp;"␟"&amp;IFERROR(INDEX(PASTE_ALL,$DF151,43)&amp;"","")&amp;"␟"&amp;IFERROR(INDEX(PASTE_ALL,$DF151,44)&amp;"","")&amp;"␟"&amp;IFERROR(INDEX(PASTE_ALL,$DF151,45)&amp;"","")&amp;"␟"&amp;IFERROR(INDEX(PASTE_ALL,$DF151,46)&amp;"","")&amp;"␟"&amp;IFERROR(INDEX(PASTE_ALL,$DF151,47)&amp;"","")&amp;"␟"&amp;IFERROR(INDEX(PASTE_ALL,$DF151,48)&amp;"","")&amp;"␟"&amp;IFERROR(INDEX(PASTE_ALL,$DF151,49)&amp;"","")&amp;"␟"&amp;IFERROR(INDEX(PASTE_ALL,$DF151,50)&amp;"","")&amp;"␟"&amp;IFERROR(INDEX(PASTE_ALL,$DF151,51)&amp;"","")&amp;"␟"&amp;IFERROR(INDEX(PASTE_ALL,$DF151,52)&amp;"","")&amp;"␟"&amp;IFERROR(INDEX(PASTE_ALL,$DF151,53)&amp;"","")&amp;"␟"&amp;IFERROR(INDEX(PASTE_ALL,$DF151,54)&amp;"","")&amp;"␟"&amp;IFERROR(INDEX(PASTE_ALL,$DF151,55)&amp;"","")&amp;"␟"&amp;IFERROR(INDEX(PASTE_ALL,$DF151,56)&amp;"","")&amp;"␟"&amp;IFERROR(INDEX(PASTE_ALL,$DF151,57)&amp;"","")&amp;"␟"&amp;IFERROR(INDEX(PASTE_ALL,$DF151,58)&amp;"","")&amp;"␟"&amp;IFERROR(INDEX(PASTE_ALL,$DF151,59)&amp;"","")&amp;"␟"&amp;IFERROR(INDEX(PASTE_ALL,$DF151,60)&amp;"","")," "," "),CHAR(9)," "),CHAR(10)," "),CHAR(13)," "))," ␟","␟"),"␟ ","␟"),"#"&amp;$DE151),"")</f>
        <v/>
      </c>
      <c r="DJ151">
        <f>IF($DI151="",0,IF(SUMPRODUCT(--EXACT($DI$4:DI150,$DI151))&gt;0,1,0))</f>
        <v/>
      </c>
      <c r="DK151">
        <f>IF(AND($DI151&lt;&gt;"",$DJ151=0),1,0)</f>
        <v/>
      </c>
      <c r="DL151">
        <f>DL150+$DK151</f>
        <v/>
      </c>
      <c r="DM151">
        <f>IF(AND($DK151=1,$DL151&lt;=600),1,0)</f>
        <v/>
      </c>
      <c r="DN151">
        <f>IF($DM151=0,"",IF($L$6=0,"",IFERROR(IF(ISNUMBER(INDEX(PASTE_ALL,$DF151,$L$6)),INDEX(PASTE_ALL,$DF151,$L$6),TRIM(SUBSTITUTE(SUBSTITUTE(SUBSTITUTE(SUBSTITUTE(INDEX(PASTE_ALL,$DF151,$L$6)," "," "),CHAR(9)," "),CHAR(10)," "),CHAR(13)," "))),"")))</f>
        <v/>
      </c>
      <c r="DO151">
        <f>IF($DM151=0,"",IF($L$7=0,"",IFERROR(IF(ISNUMBER(INDEX(PASTE_ALL,$DF151,$L$7)),INDEX(PASTE_ALL,$DF151,$L$7),TRIM(SUBSTITUTE(SUBSTITUTE(SUBSTITUTE(SUBSTITUTE(INDEX(PASTE_ALL,$DF151,$L$7)," "," "),CHAR(9)," "),CHAR(10)," "),CHAR(13)," "))),"")))</f>
        <v/>
      </c>
      <c r="DP151">
        <f>IF($DM151=0,"",IF($L$8=0,"",IFERROR(IF(ISNUMBER(INDEX(PASTE_ALL,$DF151,$L$8)),INDEX(PASTE_ALL,$DF151,$L$8),TRIM(SUBSTITUTE(SUBSTITUTE(SUBSTITUTE(SUBSTITUTE(INDEX(PASTE_ALL,$DF151,$L$8)," "," "),CHAR(9)," "),CHAR(10)," "),CHAR(13)," "))),"")))</f>
        <v/>
      </c>
      <c r="DQ151">
        <f>IF($DM151=0,"",IF($L$9=0,"",IFERROR(IF(ISNUMBER(INDEX(PASTE_ALL,$DF151,$L$9)),INDEX(PASTE_ALL,$DF151,$L$9),TRIM(SUBSTITUTE(SUBSTITUTE(SUBSTITUTE(SUBSTITUTE(INDEX(PASTE_ALL,$DF151,$L$9)," "," "),CHAR(9)," "),CHAR(10)," "),CHAR(13)," "))),"")))</f>
        <v/>
      </c>
      <c r="DR151">
        <f>IF($DM151=0,"",IF($L$10=0,"",IFERROR(IF(ISNUMBER(INDEX(PASTE_ALL,$DF151,$L$10)),INDEX(PASTE_ALL,$DF151,$L$10),TRIM(SUBSTITUTE(SUBSTITUTE(SUBSTITUTE(SUBSTITUTE(INDEX(PASTE_ALL,$DF151,$L$10)," "," "),CHAR(9)," "),CHAR(10)," "),CHAR(13)," "))),"")))</f>
        <v/>
      </c>
      <c r="DS151">
        <f>IF($DM151=0,"",IF($L$11=0,"",IFERROR(IF(ISNUMBER(INDEX(PASTE_ALL,$DF151,$L$11)),INDEX(PASTE_ALL,$DF151,$L$11),TRIM(SUBSTITUTE(SUBSTITUTE(SUBSTITUTE(SUBSTITUTE(INDEX(PASTE_ALL,$DF151,$L$11)," "," "),CHAR(9)," "),CHAR(10)," "),CHAR(13)," "))),"")))</f>
        <v/>
      </c>
      <c r="DT151">
        <f>IF($DM151=0,"",IF($L$12=0,"",IFERROR(IF(ISNUMBER(INDEX(PASTE_ALL,$DF151,$L$12)),INDEX(PASTE_ALL,$DF151,$L$12),TRIM(SUBSTITUTE(SUBSTITUTE(SUBSTITUTE(SUBSTITUTE(INDEX(PASTE_ALL,$DF151,$L$12)," "," "),CHAR(9)," "),CHAR(10)," "),CHAR(13)," "))),"")))</f>
        <v/>
      </c>
      <c r="DU151">
        <f>IF($DM151=0,"",IF($L$13=0,"",IFERROR(IF(ISNUMBER(INDEX(PASTE_ALL,$DF151,$L$13)),INDEX(PASTE_ALL,$DF151,$L$13),TRIM(SUBSTITUTE(SUBSTITUTE(SUBSTITUTE(SUBSTITUTE(INDEX(PASTE_ALL,$DF151,$L$13)," "," "),CHAR(9)," "),CHAR(10)," "),CHAR(13)," "))),"")))</f>
        <v/>
      </c>
      <c r="DV151">
        <f>IF($DM151=0,"",IF($L$14=0,"",IFERROR(IF(ISNUMBER(INDEX(PASTE_ALL,$DF151,$L$14)),INDEX(PASTE_ALL,$DF151,$L$14),TRIM(SUBSTITUTE(SUBSTITUTE(SUBSTITUTE(SUBSTITUTE(INDEX(PASTE_ALL,$DF151,$L$14)," "," "),CHAR(9)," "),CHAR(10)," "),CHAR(13)," "))),"")))</f>
        <v/>
      </c>
      <c r="DW151">
        <f>IF($DM151=0,"",IF($L$15=0,"",IFERROR(IF(ISNUMBER(INDEX(PASTE_ALL,$DF151,$L$15)),INDEX(PASTE_ALL,$DF151,$L$15),IF(SUMPRODUCT(--ISNUMBER(FIND({"A","B","C","D","E","F","G","H","I","J","K","L","M","N","O","P","Q","R","S","T","U","V","W","X","Y","Z","0","1","2","3","4","5","6","7","8","9"},UPPER(TRIM(SUBSTITUTE(SUBSTITUTE(SUBSTITUTE(SUBSTITUTE(INDEX(PASTE_ALL,$DF151,$L$15)," "," "),CHAR(9)," "),CHAR(10)," "),CHAR(13)," "))))))&gt;0,TRIM(SUBSTITUTE(SUBSTITUTE(SUBSTITUTE(SUBSTITUTE(INDEX(PASTE_ALL,$DF151,$L$15)," "," "),CHAR(9)," "),CHAR(10)," "),CHAR(13)," ")),"")),"")))</f>
        <v/>
      </c>
      <c r="DX151">
        <f>IF($DM151=0,"",IF($L$16=0,"",IFERROR(IF(ISNUMBER(INDEX(PASTE_ALL,$DF151,$L$16)),INDEX(PASTE_ALL,$DF151,$L$16),SUBSTITUTE(SUBSTITUTE(TRIM(SUBSTITUTE(SUBSTITUTE(SUBSTITUTE(SUBSTITUTE(INDEX(PASTE_ALL,$DF151,$L$16)," "," "),CHAR(9)," "),CHAR(10)," "),CHAR(13)," ")),",",""),"%","")),"")))</f>
        <v/>
      </c>
      <c r="DY151">
        <f>IF($DM151=0,"",IFERROR(IF(ISNUMBER($DX151),$DX151,IF($DX151="","",IF(TRIM($DX151)="",0,IF(AND(AND(SUBSTITUTE(SUBSTITUTE(SUBSTITUTE(SUBSTITUTE(SUBSTITUTE(SUBSTITUTE(SUBSTITUTE(SUBSTITUTE(SUBSTITUTE(SUBSTITUTE(SUBSTITUTE(SUBSTITUTE(SUBSTITUTE(SUBSTITUTE(UPPER(TRIM($DX151)),"0",""),"1",""),"2",""),"3",""),"4",""),"5",""),"6",""),"7",""),"8",""),"9",""),".",""),"+",""),"-",""),"E","")="",LEN(SUBSTITUTE(SUBSTITUTE(MID(UPPER(TRIM($DX151)),1+OR(LEFT(UPPER(TRIM($DX151)),1)="+",LEFT(UPPER(TRIM($DX151)),1)="-"),999),"E+","E"),"E-","E"))=LEN(SUBSTITUTE(SUBSTITUTE(SUBSTITUTE(SUBSTITUTE(MID(UPPER(TRIM($DX151)),1+OR(LEFT(UPPER(TRIM($DX151)),1)="+",LEFT(UPPER(TRIM($DX151)),1)="-"),999),"E+","E"),"E-","E"),"+",""),"-","")),LEN(UPPER(TRIM($DX151)))-LEN(SUBSTITUTE(UPPER(TRIM($DX151)),"E",""))&lt;2,LEN(UPPER(TRIM($DX151)))-LEN(SUBSTITUTE(UPPER(TRIM($DX151)),".",""))&lt;2,IFERROR(FIND(".",UPPER(TRIM($DX151))),0)&lt;IFERROR(FIND("E",UPPER(TRIM($DX151))),999)),ISNUMBER(VALUE(TRIM($DX151)))),VALUE(TRIM($DX151)),"")))),""))</f>
        <v/>
      </c>
      <c r="DZ151">
        <f>IF($DM151=0,"",IF($L$17=0,"",IFERROR(IF(ISNUMBER(INDEX(PASTE_ALL,$DF151,$L$17)),INDEX(PASTE_ALL,$DF151,$L$17),SUBSTITUTE(SUBSTITUTE(TRIM(SUBSTITUTE(SUBSTITUTE(SUBSTITUTE(SUBSTITUTE(INDEX(PASTE_ALL,$DF151,$L$17)," "," "),CHAR(9)," "),CHAR(10)," "),CHAR(13)," ")),",",""),"%","")),"")))</f>
        <v/>
      </c>
      <c r="EA151">
        <f>IF($DM151=0,"",IFERROR(IF(ISNUMBER($DZ151),$DZ151,IF($DZ151="","",IF(TRIM($DZ151)="",0,IF(AND(AND(SUBSTITUTE(SUBSTITUTE(SUBSTITUTE(SUBSTITUTE(SUBSTITUTE(SUBSTITUTE(SUBSTITUTE(SUBSTITUTE(SUBSTITUTE(SUBSTITUTE(SUBSTITUTE(SUBSTITUTE(SUBSTITUTE(SUBSTITUTE(UPPER(TRIM($DZ151)),"0",""),"1",""),"2",""),"3",""),"4",""),"5",""),"6",""),"7",""),"8",""),"9",""),".",""),"+",""),"-",""),"E","")="",LEN(SUBSTITUTE(SUBSTITUTE(MID(UPPER(TRIM($DZ151)),1+OR(LEFT(UPPER(TRIM($DZ151)),1)="+",LEFT(UPPER(TRIM($DZ151)),1)="-"),999),"E+","E"),"E-","E"))=LEN(SUBSTITUTE(SUBSTITUTE(SUBSTITUTE(SUBSTITUTE(MID(UPPER(TRIM($DZ151)),1+OR(LEFT(UPPER(TRIM($DZ151)),1)="+",LEFT(UPPER(TRIM($DZ151)),1)="-"),999),"E+","E"),"E-","E"),"+",""),"-","")),LEN(UPPER(TRIM($DZ151)))-LEN(SUBSTITUTE(UPPER(TRIM($DZ151)),"E",""))&lt;2,LEN(UPPER(TRIM($DZ151)))-LEN(SUBSTITUTE(UPPER(TRIM($DZ151)),".",""))&lt;2,IFERROR(FIND(".",UPPER(TRIM($DZ151))),0)&lt;IFERROR(FIND("E",UPPER(TRIM($DZ151))),999)),ISNUMBER(VALUE(TRIM($DZ151)))),VALUE(TRIM($DZ151)),"")))),""))</f>
        <v/>
      </c>
      <c r="EB151">
        <f>IF($DM151=0,"",IF($L$18=0,"",IFERROR(IF(UPPER(TRIM(SUBSTITUTE(SUBSTITUTE(SUBSTITUTE(SUBSTITUTE(INDEX(PASTE_ALL,$DF151,$L$18)," "," "),CHAR(9)," "),CHAR(10)," "),CHAR(13)," ")))="READY","Ready",IF(UPPER(TRIM(SUBSTITUTE(SUBSTITUTE(SUBSTITUTE(SUBSTITUTE(INDEX(PASTE_ALL,$DF151,$L$18)," "," "),CHAR(9)," "),CHAR(10)," "),CHAR(13)," ")))="PM","PM",IF(OR(UPPER(TRIM(SUBSTITUTE(SUBSTITUTE(SUBSTITUTE(SUBSTITUTE(INDEX(PASTE_ALL,$DF151,$L$18)," "," "),CHAR(9)," "),CHAR(10)," "),CHAR(13)," ")))="OT",UPPER(TRIM(SUBSTITUTE(SUBSTITUTE(SUBSTITUTE(SUBSTITUTE(INDEX(PASTE_ALL,$DF151,$L$18)," "," "),CHAR(9)," "),CHAR(10)," "),CHAR(13)," ")))="OVERTIME",UPPER(TRIM(SUBSTITUTE(SUBSTITUTE(SUBSTITUTE(SUBSTITUTE(INDEX(PASTE_ALL,$DF151,$L$18)," "," "),CHAR(9)," "),CHAR(10)," "),CHAR(13)," ")))="TRIAL"),"OT",TRIM(SUBSTITUTE(SUBSTITUTE(SUBSTITUTE(SUBSTITUTE(INDEX(PASTE_ALL,$DF151,$L$18)," "," "),CHAR(9)," "),CHAR(10)," "),CHAR(13)," "))))),"")))</f>
        <v/>
      </c>
      <c r="EC151">
        <f>IF($DM151=0,"",IF($L$19=0,"",IFERROR(IF(ISNUMBER(INDEX(PASTE_ALL,$DF151,$L$19)),INDEX(PASTE_ALL,$DF151,$L$19),TRIM(SUBSTITUTE(SUBSTITUTE(SUBSTITUTE(SUBSTITUTE(INDEX(PASTE_ALL,$DF151,$L$19)," "," "),CHAR(9)," "),CHAR(10)," "),CHAR(13)," "))),"")))</f>
        <v/>
      </c>
      <c r="ED151">
        <f>IF($DM151=0,"",MATCH(1,INDEX(EXACT($DH$5:DH151,$DH151)*$DM$5:DM151,0),0))</f>
        <v/>
      </c>
      <c r="EE151">
        <f>IF($DM151=0,0,IF($ED151=$DE151,1,0))</f>
        <v/>
      </c>
      <c r="EF151">
        <f>EF150+$EE151</f>
        <v/>
      </c>
      <c r="EG151">
        <f>IF($DM151=0,"",INDEX($EF$5:$EF$1003,$ED151))</f>
        <v/>
      </c>
      <c r="EH151">
        <f>IF($DM151=0,"",IF($DO151&lt;&gt;"","",IFERROR(LOOKUP(2,1/(($EG$4:EG150=$EG151)*($DO$4:DO150&lt;&gt;"")),$DO$4:DO150),"")))</f>
        <v/>
      </c>
      <c r="EI151">
        <f>IF($DM151=0,"",IF($DO151&lt;&gt;"",$DO151,$EH151))</f>
        <v/>
      </c>
      <c r="EJ151">
        <f>IF($DM151=0,"",IF($EI151="",0,IF(OR(ISNUMBER($EI151),AND(AND(SUBSTITUTE(SUBSTITUTE(SUBSTITUTE(SUBSTITUTE(SUBSTITUTE(SUBSTITUTE(SUBSTITUTE(SUBSTITUTE(SUBSTITUTE(SUBSTITUTE(SUBSTITUTE(SUBSTITUTE(SUBSTITUTE(SUBSTITUTE(UPPER($EI151),"0",""),"1",""),"2",""),"3",""),"4",""),"5",""),"6",""),"7",""),"8",""),"9",""),".",""),"+",""),"-",""),"E","")="",LEN(SUBSTITUTE(SUBSTITUTE(MID(UPPER($EI151),1+OR(LEFT(UPPER($EI151),1)="+",LEFT(UPPER($EI151),1)="-"),999),"E+","E"),"E-","E"))=LEN(SUBSTITUTE(SUBSTITUTE(SUBSTITUTE(SUBSTITUTE(MID(UPPER($EI151),1+OR(LEFT(UPPER($EI151),1)="+",LEFT(UPPER($EI151),1)="-"),999),"E+","E"),"E-","E"),"+",""),"-","")),LEN(UPPER($EI151))-LEN(SUBSTITUTE(UPPER($EI151),"E",""))&lt;2,LEN(UPPER($EI151))-LEN(SUBSTITUTE(UPPER($EI151),".",""))&lt;2,IFERROR(FIND(".",UPPER($EI151)),0)&lt;IFERROR(FIND("E",UPPER($EI151)),999)),ISNUMBER(VALUE($EI151)))),1,2)))</f>
        <v/>
      </c>
      <c r="EK151">
        <f>IF($DM151=0,"",IF($EJ151=1,IF(ISNUMBER($EI151),$EI151,VALUE($EI151)),IF($EJ151=2,$DE151,0)))</f>
        <v/>
      </c>
      <c r="EL151">
        <f>IF($DM151=0,"",COUNTIF($EG$5:$EG$1003,"&lt;"&amp;$EG151)+SUMPRODUCT(($EG$5:$EG$1003=$EG151)*(($EJ$5:$EJ$1003&lt;$EJ151)+($EJ$5:$EJ$1003=$EJ151)*(($EK$5:$EK$1003&lt;$EK151)+($EK$5:$EK$1003=$EK151)*($DE$5:$DE$1003&lt;$DE151))))+1)</f>
        <v/>
      </c>
      <c r="EM151">
        <f>IF($DM151=0,"",$EL151+$EG151-1)</f>
        <v/>
      </c>
      <c r="EN151">
        <f>IF($DM151=0,0,IFERROR(MATCH(1,INDEX(--(TRIM(SUBSTITUTE(SUBSTITUTE(SUBSTITUTE(SUBSTITUTE(LINES_NAME&amp;""," "," "),CHAR(9)," "),CHAR(10)," "),CHAR(13)," "))=$DH151),0),0),0))</f>
        <v/>
      </c>
      <c r="EO151">
        <f>IF($EN151=0,0,IF(OR(UPPER(TRIM(INDEX(LINES_SCHEDULED,$EN151)&amp;""))="YES",UPPER(TRIM(INDEX(LINES_SCHEDULED,$EN151)&amp;""))="Y",UPPER(TRIM(INDEX(LINES_SCHEDULED,$EN151)&amp;""))="X"),1,0))</f>
        <v/>
      </c>
      <c r="EP151">
        <f>IF($DM151=0,"",IF(COUNTIFS($EG$5:$EG$1003,$EG151,$EB$5:$EB$1003,"Ready")&gt;0,"READY",IF(COUNTIFS($EG$5:$EG$1003,$EG151,$EB$5:$EB$1003,"PM")&gt;0,"PM",IF(COUNTIFS($EG$5:$EG$1003,$EG151,$EB$5:$EB$1003,"OT")&gt;0,"OT",""))))</f>
        <v/>
      </c>
      <c r="EQ151">
        <f>IF($EN151=0,"",UPPER(TRIM(INDEX(LINES_STATUS,$EN151)&amp;"")))</f>
        <v/>
      </c>
      <c r="ER151">
        <f>IF($DM151=0,"",IF(OR($EQ151="READY",$EQ151="PM",$EQ151="OT"),$EQ151,$EP151))</f>
        <v/>
      </c>
      <c r="ES151">
        <f>IF($DM151=0,"",IF(AND($DV151&lt;&gt;"",UPPER($DV151)&lt;&gt;"N"),"allergen",IF(ISNUMBER(SEARCH("oil",$DQ151)),"oil",IF(OR(EXACT($DS151,"A662"),EXACT($DS151,"A624")),"bulk",""))))</f>
        <v/>
      </c>
      <c r="ET151">
        <f>IF($DM151=0,"",IF(OR($EA151="",$EA151=0),"",$EA151/100))</f>
        <v/>
      </c>
      <c r="EU151">
        <f>IF(OR($ET151="",$DY151=""),"",INT($DY151*(1-$ET151)+0.5))</f>
        <v/>
      </c>
      <c r="EW151" t="n">
        <v>147</v>
      </c>
      <c r="EX151">
        <f>IFERROR(MATCH($EW151,$EM$5:$EM$1003,0),0)</f>
        <v/>
      </c>
      <c r="EY151">
        <f>IF($EW151&gt;$B$12,"",IF($EX151&gt;0,"row","spacer"))</f>
        <v/>
      </c>
      <c r="EZ151">
        <f>IF(AND($EY151="row",$EY150&lt;&gt;"row"),1,0)</f>
        <v/>
      </c>
      <c r="FA151">
        <f>IF(AND($EY151="row",$EY152&lt;&gt;"row"),1,0)</f>
        <v/>
      </c>
      <c r="FB151">
        <f>IF($EZ151=1,IFERROR(IF(ISNUMBER(INDEX(PASTE_ALL,INDEX($DF$5:$DF$1003,$EX151),$B$37)),INDEX(PASTE_ALL,INDEX($DF$5:$DF$1003,$EX151),$B$37),INDEX($DH$5:$DH$1003,$EX151)),INDEX($DH$5:$DH$1003,$EX151)),"")</f>
        <v/>
      </c>
      <c r="FC151">
        <f>IF($EY151="row",INDEX($ER$5:$ER$1003,$EX151),"")</f>
        <v/>
      </c>
      <c r="FD151">
        <f>IF($EY151="row",INDEX($DN$5:$DN$1003,$EX151),"")</f>
        <v/>
      </c>
      <c r="FE151">
        <f>IF($EY151="row",INDEX($DO$5:$DO$1003,$EX151),"")</f>
        <v/>
      </c>
      <c r="FF151">
        <f>IF($EY151="row",INDEX($DP$5:$DP$1003,$EX151),"")</f>
        <v/>
      </c>
      <c r="FG151">
        <f>IF($EY151="row",INDEX($DQ$5:$DQ$1003,$EX151),"")</f>
        <v/>
      </c>
      <c r="FH151">
        <f>IF($EY151="row",INDEX($DR$5:$DR$1003,$EX151),"")</f>
        <v/>
      </c>
      <c r="FI151">
        <f>IF($EY151="row",INDEX($DS$5:$DS$1003,$EX151),"")</f>
        <v/>
      </c>
      <c r="FJ151">
        <f>IF($EY151="row",INDEX($DT$5:$DT$1003,$EX151),"")</f>
        <v/>
      </c>
      <c r="FK151">
        <f>IF($EY151="row",INDEX($DU$5:$DU$1003,$EX151),"")</f>
        <v/>
      </c>
      <c r="FL151">
        <f>IF($EY151="row",INDEX($DV$5:$DV$1003,$EX151),"")</f>
        <v/>
      </c>
      <c r="FM151">
        <f>IF($EY151="row",INDEX($DW$5:$DW$1003,$EX151),"")</f>
        <v/>
      </c>
      <c r="FN151">
        <f>IF($EY151="row",INDEX($DY$5:$DY$1003,$EX151),"")</f>
        <v/>
      </c>
      <c r="FO151">
        <f>IF($EY151="row",INDEX($EA$5:$EA$1003,$EX151),"")</f>
        <v/>
      </c>
      <c r="FP151">
        <f>IF($EY151="row",INDEX($EC$5:$EC$1003,$EX151),"")</f>
        <v/>
      </c>
      <c r="FQ151">
        <f>IF($EY151="row",INDEX($ET$5:$ET$1003,$EX151),"")</f>
        <v/>
      </c>
      <c r="FR151">
        <f>IF($EY151="row",INDEX($EU$5:$EU$1003,$EX151),"")</f>
        <v/>
      </c>
      <c r="FS151">
        <f>IF(AND($EY151="row",$EY150="row"),IF(OR(INDEX($DT$5:$DT$1003,$EX150)="",INDEX($DT$5:$DT$1003,$EX151)=""),"",IF(NOT(EXACT(INDEX($DT$5:$DT$1003,$EX150),INDEX($DT$5:$DT$1003,$EX151))),"S4",IF(NOT(EXACT(INDEX($DS$5:$DS$1003,$EX150),INDEX($DS$5:$DS$1003,$EX151))),"S3",IF(NOT(EXACT(INDEX($DR$5:$DR$1003,$EX150),INDEX($DR$5:$DR$1003,$EX151))),"S1 Count Change","S1")))),"")</f>
        <v/>
      </c>
      <c r="FT151">
        <f>IF($EY151="row",INDEX($ES$5:$ES$1003,$EX151),"")</f>
        <v/>
      </c>
      <c r="FU151">
        <f>IF($EY151="row",INDEX($EO$5:$EO$1003,$EX151),0)</f>
        <v/>
      </c>
      <c r="FV151">
        <f>IF($FS151="S1 Count Change",1,0)</f>
        <v/>
      </c>
    </row>
    <row r="152">
      <c r="Y152">
        <f>IF(Y17="",0,2*(OR(ISNUMBER(FIND("WORKCENTER",Y17)),AND(LEFT(Y17,4)="LINE",NOT(ISNUMBER(FIND("STATUS",Y17))))))+4*(OR(ISNUMBER(FIND("WORKORDER",Y17)),AND(LEFT(Y17,2)="WO",OR(ISNUMBER(FIND("NUM",Y17)),RIGHT(Y17,2)="NO"))))+8*(LEFT(Y17,3)="SEQ")+16*(AND(LEFT(Y17,4)="ITEM",NOT(ISNUMBER(FIND("DESC",Y17)))))+32*(AND(ISNUMBER(FIND("DESC",Y17)),NOT(ISNUMBER(FIND("CAP",Y17)))))+64*(OR(RIGHT(Y17,5)="COUNT",RIGHT(Y17,2)="CT"))+128*(ISNUMBER(FIND("BULK",Y17)))+256*(ISNUMBER(FIND("SIZE",Y17)))+512*(LEFT(Y17,3)="CAP")+1024*(ISNUMBER(FIND("ALLERG",Y17)))+2048*(OR(ISNUMBER(FIND("REMARK",Y17)),ISNUMBER(FIND("COMMENT",Y17))))+4096*(OR(ISNUMBER(FIND("QTY",Y17)),ISNUMBER(FIND("QUANTITY",Y17))))+8192*(AND(OR(ISNUMBER(FIND("COMPLETE",Y17)),ISNUMBER(FIND("PCT",Y17)),ISNUMBER(FIND("PERCENT",Y17))),NOT(ISNUMBER(FIND("ACTUAL",Y17))),LEN(Y17)&lt;=16))+32768*(OR(ISNUMBER(FIND("DESIC",Y17)),ISNUMBER(FIND("DESSIC",Y17)))))</f>
        <v/>
      </c>
      <c r="Z152">
        <f>IF(Z17="",0,2*(OR(ISNUMBER(FIND("WORKCENTER",Z17)),AND(LEFT(Z17,4)="LINE",NOT(ISNUMBER(FIND("STATUS",Z17))))))+4*(OR(ISNUMBER(FIND("WORKORDER",Z17)),AND(LEFT(Z17,2)="WO",OR(ISNUMBER(FIND("NUM",Z17)),RIGHT(Z17,2)="NO"))))+8*(LEFT(Z17,3)="SEQ")+16*(AND(LEFT(Z17,4)="ITEM",NOT(ISNUMBER(FIND("DESC",Z17)))))+32*(AND(ISNUMBER(FIND("DESC",Z17)),NOT(ISNUMBER(FIND("CAP",Z17)))))+64*(OR(RIGHT(Z17,5)="COUNT",RIGHT(Z17,2)="CT"))+128*(ISNUMBER(FIND("BULK",Z17)))+256*(ISNUMBER(FIND("SIZE",Z17)))+512*(LEFT(Z17,3)="CAP")+1024*(ISNUMBER(FIND("ALLERG",Z17)))+2048*(OR(ISNUMBER(FIND("REMARK",Z17)),ISNUMBER(FIND("COMMENT",Z17))))+4096*(OR(ISNUMBER(FIND("QTY",Z17)),ISNUMBER(FIND("QUANTITY",Z17))))+8192*(AND(OR(ISNUMBER(FIND("COMPLETE",Z17)),ISNUMBER(FIND("PCT",Z17)),ISNUMBER(FIND("PERCENT",Z17))),NOT(ISNUMBER(FIND("ACTUAL",Z17))),LEN(Z17)&lt;=16))+32768*(OR(ISNUMBER(FIND("DESIC",Z17)),ISNUMBER(FIND("DESSIC",Z17)))))</f>
        <v/>
      </c>
      <c r="AA152">
        <f>IF(AA17="",0,2*(OR(ISNUMBER(FIND("WORKCENTER",AA17)),AND(LEFT(AA17,4)="LINE",NOT(ISNUMBER(FIND("STATUS",AA17))))))+4*(OR(ISNUMBER(FIND("WORKORDER",AA17)),AND(LEFT(AA17,2)="WO",OR(ISNUMBER(FIND("NUM",AA17)),RIGHT(AA17,2)="NO"))))+8*(LEFT(AA17,3)="SEQ")+16*(AND(LEFT(AA17,4)="ITEM",NOT(ISNUMBER(FIND("DESC",AA17)))))+32*(AND(ISNUMBER(FIND("DESC",AA17)),NOT(ISNUMBER(FIND("CAP",AA17)))))+64*(OR(RIGHT(AA17,5)="COUNT",RIGHT(AA17,2)="CT"))+128*(ISNUMBER(FIND("BULK",AA17)))+256*(ISNUMBER(FIND("SIZE",AA17)))+512*(LEFT(AA17,3)="CAP")+1024*(ISNUMBER(FIND("ALLERG",AA17)))+2048*(OR(ISNUMBER(FIND("REMARK",AA17)),ISNUMBER(FIND("COMMENT",AA17))))+4096*(OR(ISNUMBER(FIND("QTY",AA17)),ISNUMBER(FIND("QUANTITY",AA17))))+8192*(AND(OR(ISNUMBER(FIND("COMPLETE",AA17)),ISNUMBER(FIND("PCT",AA17)),ISNUMBER(FIND("PERCENT",AA17))),NOT(ISNUMBER(FIND("ACTUAL",AA17))),LEN(AA17)&lt;=16))+32768*(OR(ISNUMBER(FIND("DESIC",AA17)),ISNUMBER(FIND("DESSIC",AA17)))))</f>
        <v/>
      </c>
      <c r="AB152">
        <f>IF(AB17="",0,2*(OR(ISNUMBER(FIND("WORKCENTER",AB17)),AND(LEFT(AB17,4)="LINE",NOT(ISNUMBER(FIND("STATUS",AB17))))))+4*(OR(ISNUMBER(FIND("WORKORDER",AB17)),AND(LEFT(AB17,2)="WO",OR(ISNUMBER(FIND("NUM",AB17)),RIGHT(AB17,2)="NO"))))+8*(LEFT(AB17,3)="SEQ")+16*(AND(LEFT(AB17,4)="ITEM",NOT(ISNUMBER(FIND("DESC",AB17)))))+32*(AND(ISNUMBER(FIND("DESC",AB17)),NOT(ISNUMBER(FIND("CAP",AB17)))))+64*(OR(RIGHT(AB17,5)="COUNT",RIGHT(AB17,2)="CT"))+128*(ISNUMBER(FIND("BULK",AB17)))+256*(ISNUMBER(FIND("SIZE",AB17)))+512*(LEFT(AB17,3)="CAP")+1024*(ISNUMBER(FIND("ALLERG",AB17)))+2048*(OR(ISNUMBER(FIND("REMARK",AB17)),ISNUMBER(FIND("COMMENT",AB17))))+4096*(OR(ISNUMBER(FIND("QTY",AB17)),ISNUMBER(FIND("QUANTITY",AB17))))+8192*(AND(OR(ISNUMBER(FIND("COMPLETE",AB17)),ISNUMBER(FIND("PCT",AB17)),ISNUMBER(FIND("PERCENT",AB17))),NOT(ISNUMBER(FIND("ACTUAL",AB17))),LEN(AB17)&lt;=16))+32768*(OR(ISNUMBER(FIND("DESIC",AB17)),ISNUMBER(FIND("DESSIC",AB17)))))</f>
        <v/>
      </c>
      <c r="AC152">
        <f>IF(AC17="",0,2*(OR(ISNUMBER(FIND("WORKCENTER",AC17)),AND(LEFT(AC17,4)="LINE",NOT(ISNUMBER(FIND("STATUS",AC17))))))+4*(OR(ISNUMBER(FIND("WORKORDER",AC17)),AND(LEFT(AC17,2)="WO",OR(ISNUMBER(FIND("NUM",AC17)),RIGHT(AC17,2)="NO"))))+8*(LEFT(AC17,3)="SEQ")+16*(AND(LEFT(AC17,4)="ITEM",NOT(ISNUMBER(FIND("DESC",AC17)))))+32*(AND(ISNUMBER(FIND("DESC",AC17)),NOT(ISNUMBER(FIND("CAP",AC17)))))+64*(OR(RIGHT(AC17,5)="COUNT",RIGHT(AC17,2)="CT"))+128*(ISNUMBER(FIND("BULK",AC17)))+256*(ISNUMBER(FIND("SIZE",AC17)))+512*(LEFT(AC17,3)="CAP")+1024*(ISNUMBER(FIND("ALLERG",AC17)))+2048*(OR(ISNUMBER(FIND("REMARK",AC17)),ISNUMBER(FIND("COMMENT",AC17))))+4096*(OR(ISNUMBER(FIND("QTY",AC17)),ISNUMBER(FIND("QUANTITY",AC17))))+8192*(AND(OR(ISNUMBER(FIND("COMPLETE",AC17)),ISNUMBER(FIND("PCT",AC17)),ISNUMBER(FIND("PERCENT",AC17))),NOT(ISNUMBER(FIND("ACTUAL",AC17))),LEN(AC17)&lt;=16))+32768*(OR(ISNUMBER(FIND("DESIC",AC17)),ISNUMBER(FIND("DESSIC",AC17)))))</f>
        <v/>
      </c>
      <c r="AD152">
        <f>IF(AD17="",0,2*(OR(ISNUMBER(FIND("WORKCENTER",AD17)),AND(LEFT(AD17,4)="LINE",NOT(ISNUMBER(FIND("STATUS",AD17))))))+4*(OR(ISNUMBER(FIND("WORKORDER",AD17)),AND(LEFT(AD17,2)="WO",OR(ISNUMBER(FIND("NUM",AD17)),RIGHT(AD17,2)="NO"))))+8*(LEFT(AD17,3)="SEQ")+16*(AND(LEFT(AD17,4)="ITEM",NOT(ISNUMBER(FIND("DESC",AD17)))))+32*(AND(ISNUMBER(FIND("DESC",AD17)),NOT(ISNUMBER(FIND("CAP",AD17)))))+64*(OR(RIGHT(AD17,5)="COUNT",RIGHT(AD17,2)="CT"))+128*(ISNUMBER(FIND("BULK",AD17)))+256*(ISNUMBER(FIND("SIZE",AD17)))+512*(LEFT(AD17,3)="CAP")+1024*(ISNUMBER(FIND("ALLERG",AD17)))+2048*(OR(ISNUMBER(FIND("REMARK",AD17)),ISNUMBER(FIND("COMMENT",AD17))))+4096*(OR(ISNUMBER(FIND("QTY",AD17)),ISNUMBER(FIND("QUANTITY",AD17))))+8192*(AND(OR(ISNUMBER(FIND("COMPLETE",AD17)),ISNUMBER(FIND("PCT",AD17)),ISNUMBER(FIND("PERCENT",AD17))),NOT(ISNUMBER(FIND("ACTUAL",AD17))),LEN(AD17)&lt;=16))+32768*(OR(ISNUMBER(FIND("DESIC",AD17)),ISNUMBER(FIND("DESSIC",AD17)))))</f>
        <v/>
      </c>
      <c r="AE152">
        <f>IF(AE17="",0,2*(OR(ISNUMBER(FIND("WORKCENTER",AE17)),AND(LEFT(AE17,4)="LINE",NOT(ISNUMBER(FIND("STATUS",AE17))))))+4*(OR(ISNUMBER(FIND("WORKORDER",AE17)),AND(LEFT(AE17,2)="WO",OR(ISNUMBER(FIND("NUM",AE17)),RIGHT(AE17,2)="NO"))))+8*(LEFT(AE17,3)="SEQ")+16*(AND(LEFT(AE17,4)="ITEM",NOT(ISNUMBER(FIND("DESC",AE17)))))+32*(AND(ISNUMBER(FIND("DESC",AE17)),NOT(ISNUMBER(FIND("CAP",AE17)))))+64*(OR(RIGHT(AE17,5)="COUNT",RIGHT(AE17,2)="CT"))+128*(ISNUMBER(FIND("BULK",AE17)))+256*(ISNUMBER(FIND("SIZE",AE17)))+512*(LEFT(AE17,3)="CAP")+1024*(ISNUMBER(FIND("ALLERG",AE17)))+2048*(OR(ISNUMBER(FIND("REMARK",AE17)),ISNUMBER(FIND("COMMENT",AE17))))+4096*(OR(ISNUMBER(FIND("QTY",AE17)),ISNUMBER(FIND("QUANTITY",AE17))))+8192*(AND(OR(ISNUMBER(FIND("COMPLETE",AE17)),ISNUMBER(FIND("PCT",AE17)),ISNUMBER(FIND("PERCENT",AE17))),NOT(ISNUMBER(FIND("ACTUAL",AE17))),LEN(AE17)&lt;=16))+32768*(OR(ISNUMBER(FIND("DESIC",AE17)),ISNUMBER(FIND("DESSIC",AE17)))))</f>
        <v/>
      </c>
      <c r="AF152">
        <f>IF(AF17="",0,2*(OR(ISNUMBER(FIND("WORKCENTER",AF17)),AND(LEFT(AF17,4)="LINE",NOT(ISNUMBER(FIND("STATUS",AF17))))))+4*(OR(ISNUMBER(FIND("WORKORDER",AF17)),AND(LEFT(AF17,2)="WO",OR(ISNUMBER(FIND("NUM",AF17)),RIGHT(AF17,2)="NO"))))+8*(LEFT(AF17,3)="SEQ")+16*(AND(LEFT(AF17,4)="ITEM",NOT(ISNUMBER(FIND("DESC",AF17)))))+32*(AND(ISNUMBER(FIND("DESC",AF17)),NOT(ISNUMBER(FIND("CAP",AF17)))))+64*(OR(RIGHT(AF17,5)="COUNT",RIGHT(AF17,2)="CT"))+128*(ISNUMBER(FIND("BULK",AF17)))+256*(ISNUMBER(FIND("SIZE",AF17)))+512*(LEFT(AF17,3)="CAP")+1024*(ISNUMBER(FIND("ALLERG",AF17)))+2048*(OR(ISNUMBER(FIND("REMARK",AF17)),ISNUMBER(FIND("COMMENT",AF17))))+4096*(OR(ISNUMBER(FIND("QTY",AF17)),ISNUMBER(FIND("QUANTITY",AF17))))+8192*(AND(OR(ISNUMBER(FIND("COMPLETE",AF17)),ISNUMBER(FIND("PCT",AF17)),ISNUMBER(FIND("PERCENT",AF17))),NOT(ISNUMBER(FIND("ACTUAL",AF17))),LEN(AF17)&lt;=16))+32768*(OR(ISNUMBER(FIND("DESIC",AF17)),ISNUMBER(FIND("DESSIC",AF17)))))</f>
        <v/>
      </c>
      <c r="AG152">
        <f>IF(AG17="",0,2*(OR(ISNUMBER(FIND("WORKCENTER",AG17)),AND(LEFT(AG17,4)="LINE",NOT(ISNUMBER(FIND("STATUS",AG17))))))+4*(OR(ISNUMBER(FIND("WORKORDER",AG17)),AND(LEFT(AG17,2)="WO",OR(ISNUMBER(FIND("NUM",AG17)),RIGHT(AG17,2)="NO"))))+8*(LEFT(AG17,3)="SEQ")+16*(AND(LEFT(AG17,4)="ITEM",NOT(ISNUMBER(FIND("DESC",AG17)))))+32*(AND(ISNUMBER(FIND("DESC",AG17)),NOT(ISNUMBER(FIND("CAP",AG17)))))+64*(OR(RIGHT(AG17,5)="COUNT",RIGHT(AG17,2)="CT"))+128*(ISNUMBER(FIND("BULK",AG17)))+256*(ISNUMBER(FIND("SIZE",AG17)))+512*(LEFT(AG17,3)="CAP")+1024*(ISNUMBER(FIND("ALLERG",AG17)))+2048*(OR(ISNUMBER(FIND("REMARK",AG17)),ISNUMBER(FIND("COMMENT",AG17))))+4096*(OR(ISNUMBER(FIND("QTY",AG17)),ISNUMBER(FIND("QUANTITY",AG17))))+8192*(AND(OR(ISNUMBER(FIND("COMPLETE",AG17)),ISNUMBER(FIND("PCT",AG17)),ISNUMBER(FIND("PERCENT",AG17))),NOT(ISNUMBER(FIND("ACTUAL",AG17))),LEN(AG17)&lt;=16))+32768*(OR(ISNUMBER(FIND("DESIC",AG17)),ISNUMBER(FIND("DESSIC",AG17)))))</f>
        <v/>
      </c>
      <c r="AH152">
        <f>IF(AH17="",0,2*(OR(ISNUMBER(FIND("WORKCENTER",AH17)),AND(LEFT(AH17,4)="LINE",NOT(ISNUMBER(FIND("STATUS",AH17))))))+4*(OR(ISNUMBER(FIND("WORKORDER",AH17)),AND(LEFT(AH17,2)="WO",OR(ISNUMBER(FIND("NUM",AH17)),RIGHT(AH17,2)="NO"))))+8*(LEFT(AH17,3)="SEQ")+16*(AND(LEFT(AH17,4)="ITEM",NOT(ISNUMBER(FIND("DESC",AH17)))))+32*(AND(ISNUMBER(FIND("DESC",AH17)),NOT(ISNUMBER(FIND("CAP",AH17)))))+64*(OR(RIGHT(AH17,5)="COUNT",RIGHT(AH17,2)="CT"))+128*(ISNUMBER(FIND("BULK",AH17)))+256*(ISNUMBER(FIND("SIZE",AH17)))+512*(LEFT(AH17,3)="CAP")+1024*(ISNUMBER(FIND("ALLERG",AH17)))+2048*(OR(ISNUMBER(FIND("REMARK",AH17)),ISNUMBER(FIND("COMMENT",AH17))))+4096*(OR(ISNUMBER(FIND("QTY",AH17)),ISNUMBER(FIND("QUANTITY",AH17))))+8192*(AND(OR(ISNUMBER(FIND("COMPLETE",AH17)),ISNUMBER(FIND("PCT",AH17)),ISNUMBER(FIND("PERCENT",AH17))),NOT(ISNUMBER(FIND("ACTUAL",AH17))),LEN(AH17)&lt;=16))+32768*(OR(ISNUMBER(FIND("DESIC",AH17)),ISNUMBER(FIND("DESSIC",AH17)))))</f>
        <v/>
      </c>
      <c r="AI152">
        <f>IF(AI17="",0,2*(OR(ISNUMBER(FIND("WORKCENTER",AI17)),AND(LEFT(AI17,4)="LINE",NOT(ISNUMBER(FIND("STATUS",AI17))))))+4*(OR(ISNUMBER(FIND("WORKORDER",AI17)),AND(LEFT(AI17,2)="WO",OR(ISNUMBER(FIND("NUM",AI17)),RIGHT(AI17,2)="NO"))))+8*(LEFT(AI17,3)="SEQ")+16*(AND(LEFT(AI17,4)="ITEM",NOT(ISNUMBER(FIND("DESC",AI17)))))+32*(AND(ISNUMBER(FIND("DESC",AI17)),NOT(ISNUMBER(FIND("CAP",AI17)))))+64*(OR(RIGHT(AI17,5)="COUNT",RIGHT(AI17,2)="CT"))+128*(ISNUMBER(FIND("BULK",AI17)))+256*(ISNUMBER(FIND("SIZE",AI17)))+512*(LEFT(AI17,3)="CAP")+1024*(ISNUMBER(FIND("ALLERG",AI17)))+2048*(OR(ISNUMBER(FIND("REMARK",AI17)),ISNUMBER(FIND("COMMENT",AI17))))+4096*(OR(ISNUMBER(FIND("QTY",AI17)),ISNUMBER(FIND("QUANTITY",AI17))))+8192*(AND(OR(ISNUMBER(FIND("COMPLETE",AI17)),ISNUMBER(FIND("PCT",AI17)),ISNUMBER(FIND("PERCENT",AI17))),NOT(ISNUMBER(FIND("ACTUAL",AI17))),LEN(AI17)&lt;=16))+32768*(OR(ISNUMBER(FIND("DESIC",AI17)),ISNUMBER(FIND("DESSIC",AI17)))))</f>
        <v/>
      </c>
      <c r="AJ152">
        <f>IF(AJ17="",0,2*(OR(ISNUMBER(FIND("WORKCENTER",AJ17)),AND(LEFT(AJ17,4)="LINE",NOT(ISNUMBER(FIND("STATUS",AJ17))))))+4*(OR(ISNUMBER(FIND("WORKORDER",AJ17)),AND(LEFT(AJ17,2)="WO",OR(ISNUMBER(FIND("NUM",AJ17)),RIGHT(AJ17,2)="NO"))))+8*(LEFT(AJ17,3)="SEQ")+16*(AND(LEFT(AJ17,4)="ITEM",NOT(ISNUMBER(FIND("DESC",AJ17)))))+32*(AND(ISNUMBER(FIND("DESC",AJ17)),NOT(ISNUMBER(FIND("CAP",AJ17)))))+64*(OR(RIGHT(AJ17,5)="COUNT",RIGHT(AJ17,2)="CT"))+128*(ISNUMBER(FIND("BULK",AJ17)))+256*(ISNUMBER(FIND("SIZE",AJ17)))+512*(LEFT(AJ17,3)="CAP")+1024*(ISNUMBER(FIND("ALLERG",AJ17)))+2048*(OR(ISNUMBER(FIND("REMARK",AJ17)),ISNUMBER(FIND("COMMENT",AJ17))))+4096*(OR(ISNUMBER(FIND("QTY",AJ17)),ISNUMBER(FIND("QUANTITY",AJ17))))+8192*(AND(OR(ISNUMBER(FIND("COMPLETE",AJ17)),ISNUMBER(FIND("PCT",AJ17)),ISNUMBER(FIND("PERCENT",AJ17))),NOT(ISNUMBER(FIND("ACTUAL",AJ17))),LEN(AJ17)&lt;=16))+32768*(OR(ISNUMBER(FIND("DESIC",AJ17)),ISNUMBER(FIND("DESSIC",AJ17)))))</f>
        <v/>
      </c>
      <c r="AK152">
        <f>IF(AK17="",0,2*(OR(ISNUMBER(FIND("WORKCENTER",AK17)),AND(LEFT(AK17,4)="LINE",NOT(ISNUMBER(FIND("STATUS",AK17))))))+4*(OR(ISNUMBER(FIND("WORKORDER",AK17)),AND(LEFT(AK17,2)="WO",OR(ISNUMBER(FIND("NUM",AK17)),RIGHT(AK17,2)="NO"))))+8*(LEFT(AK17,3)="SEQ")+16*(AND(LEFT(AK17,4)="ITEM",NOT(ISNUMBER(FIND("DESC",AK17)))))+32*(AND(ISNUMBER(FIND("DESC",AK17)),NOT(ISNUMBER(FIND("CAP",AK17)))))+64*(OR(RIGHT(AK17,5)="COUNT",RIGHT(AK17,2)="CT"))+128*(ISNUMBER(FIND("BULK",AK17)))+256*(ISNUMBER(FIND("SIZE",AK17)))+512*(LEFT(AK17,3)="CAP")+1024*(ISNUMBER(FIND("ALLERG",AK17)))+2048*(OR(ISNUMBER(FIND("REMARK",AK17)),ISNUMBER(FIND("COMMENT",AK17))))+4096*(OR(ISNUMBER(FIND("QTY",AK17)),ISNUMBER(FIND("QUANTITY",AK17))))+8192*(AND(OR(ISNUMBER(FIND("COMPLETE",AK17)),ISNUMBER(FIND("PCT",AK17)),ISNUMBER(FIND("PERCENT",AK17))),NOT(ISNUMBER(FIND("ACTUAL",AK17))),LEN(AK17)&lt;=16))+32768*(OR(ISNUMBER(FIND("DESIC",AK17)),ISNUMBER(FIND("DESSIC",AK17)))))</f>
        <v/>
      </c>
      <c r="AL152">
        <f>IF(AL17="",0,2*(OR(ISNUMBER(FIND("WORKCENTER",AL17)),AND(LEFT(AL17,4)="LINE",NOT(ISNUMBER(FIND("STATUS",AL17))))))+4*(OR(ISNUMBER(FIND("WORKORDER",AL17)),AND(LEFT(AL17,2)="WO",OR(ISNUMBER(FIND("NUM",AL17)),RIGHT(AL17,2)="NO"))))+8*(LEFT(AL17,3)="SEQ")+16*(AND(LEFT(AL17,4)="ITEM",NOT(ISNUMBER(FIND("DESC",AL17)))))+32*(AND(ISNUMBER(FIND("DESC",AL17)),NOT(ISNUMBER(FIND("CAP",AL17)))))+64*(OR(RIGHT(AL17,5)="COUNT",RIGHT(AL17,2)="CT"))+128*(ISNUMBER(FIND("BULK",AL17)))+256*(ISNUMBER(FIND("SIZE",AL17)))+512*(LEFT(AL17,3)="CAP")+1024*(ISNUMBER(FIND("ALLERG",AL17)))+2048*(OR(ISNUMBER(FIND("REMARK",AL17)),ISNUMBER(FIND("COMMENT",AL17))))+4096*(OR(ISNUMBER(FIND("QTY",AL17)),ISNUMBER(FIND("QUANTITY",AL17))))+8192*(AND(OR(ISNUMBER(FIND("COMPLETE",AL17)),ISNUMBER(FIND("PCT",AL17)),ISNUMBER(FIND("PERCENT",AL17))),NOT(ISNUMBER(FIND("ACTUAL",AL17))),LEN(AL17)&lt;=16))+32768*(OR(ISNUMBER(FIND("DESIC",AL17)),ISNUMBER(FIND("DESSIC",AL17)))))</f>
        <v/>
      </c>
      <c r="AM152">
        <f>IF(AM17="",0,2*(OR(ISNUMBER(FIND("WORKCENTER",AM17)),AND(LEFT(AM17,4)="LINE",NOT(ISNUMBER(FIND("STATUS",AM17))))))+4*(OR(ISNUMBER(FIND("WORKORDER",AM17)),AND(LEFT(AM17,2)="WO",OR(ISNUMBER(FIND("NUM",AM17)),RIGHT(AM17,2)="NO"))))+8*(LEFT(AM17,3)="SEQ")+16*(AND(LEFT(AM17,4)="ITEM",NOT(ISNUMBER(FIND("DESC",AM17)))))+32*(AND(ISNUMBER(FIND("DESC",AM17)),NOT(ISNUMBER(FIND("CAP",AM17)))))+64*(OR(RIGHT(AM17,5)="COUNT",RIGHT(AM17,2)="CT"))+128*(ISNUMBER(FIND("BULK",AM17)))+256*(ISNUMBER(FIND("SIZE",AM17)))+512*(LEFT(AM17,3)="CAP")+1024*(ISNUMBER(FIND("ALLERG",AM17)))+2048*(OR(ISNUMBER(FIND("REMARK",AM17)),ISNUMBER(FIND("COMMENT",AM17))))+4096*(OR(ISNUMBER(FIND("QTY",AM17)),ISNUMBER(FIND("QUANTITY",AM17))))+8192*(AND(OR(ISNUMBER(FIND("COMPLETE",AM17)),ISNUMBER(FIND("PCT",AM17)),ISNUMBER(FIND("PERCENT",AM17))),NOT(ISNUMBER(FIND("ACTUAL",AM17))),LEN(AM17)&lt;=16))+32768*(OR(ISNUMBER(FIND("DESIC",AM17)),ISNUMBER(FIND("DESSIC",AM17)))))</f>
        <v/>
      </c>
      <c r="AN152">
        <f>IF(AN17="",0,2*(OR(ISNUMBER(FIND("WORKCENTER",AN17)),AND(LEFT(AN17,4)="LINE",NOT(ISNUMBER(FIND("STATUS",AN17))))))+4*(OR(ISNUMBER(FIND("WORKORDER",AN17)),AND(LEFT(AN17,2)="WO",OR(ISNUMBER(FIND("NUM",AN17)),RIGHT(AN17,2)="NO"))))+8*(LEFT(AN17,3)="SEQ")+16*(AND(LEFT(AN17,4)="ITEM",NOT(ISNUMBER(FIND("DESC",AN17)))))+32*(AND(ISNUMBER(FIND("DESC",AN17)),NOT(ISNUMBER(FIND("CAP",AN17)))))+64*(OR(RIGHT(AN17,5)="COUNT",RIGHT(AN17,2)="CT"))+128*(ISNUMBER(FIND("BULK",AN17)))+256*(ISNUMBER(FIND("SIZE",AN17)))+512*(LEFT(AN17,3)="CAP")+1024*(ISNUMBER(FIND("ALLERG",AN17)))+2048*(OR(ISNUMBER(FIND("REMARK",AN17)),ISNUMBER(FIND("COMMENT",AN17))))+4096*(OR(ISNUMBER(FIND("QTY",AN17)),ISNUMBER(FIND("QUANTITY",AN17))))+8192*(AND(OR(ISNUMBER(FIND("COMPLETE",AN17)),ISNUMBER(FIND("PCT",AN17)),ISNUMBER(FIND("PERCENT",AN17))),NOT(ISNUMBER(FIND("ACTUAL",AN17))),LEN(AN17)&lt;=16))+32768*(OR(ISNUMBER(FIND("DESIC",AN17)),ISNUMBER(FIND("DESSIC",AN17)))))</f>
        <v/>
      </c>
      <c r="AO152">
        <f>IF(AO17="",0,2*(OR(ISNUMBER(FIND("WORKCENTER",AO17)),AND(LEFT(AO17,4)="LINE",NOT(ISNUMBER(FIND("STATUS",AO17))))))+4*(OR(ISNUMBER(FIND("WORKORDER",AO17)),AND(LEFT(AO17,2)="WO",OR(ISNUMBER(FIND("NUM",AO17)),RIGHT(AO17,2)="NO"))))+8*(LEFT(AO17,3)="SEQ")+16*(AND(LEFT(AO17,4)="ITEM",NOT(ISNUMBER(FIND("DESC",AO17)))))+32*(AND(ISNUMBER(FIND("DESC",AO17)),NOT(ISNUMBER(FIND("CAP",AO17)))))+64*(OR(RIGHT(AO17,5)="COUNT",RIGHT(AO17,2)="CT"))+128*(ISNUMBER(FIND("BULK",AO17)))+256*(ISNUMBER(FIND("SIZE",AO17)))+512*(LEFT(AO17,3)="CAP")+1024*(ISNUMBER(FIND("ALLERG",AO17)))+2048*(OR(ISNUMBER(FIND("REMARK",AO17)),ISNUMBER(FIND("COMMENT",AO17))))+4096*(OR(ISNUMBER(FIND("QTY",AO17)),ISNUMBER(FIND("QUANTITY",AO17))))+8192*(AND(OR(ISNUMBER(FIND("COMPLETE",AO17)),ISNUMBER(FIND("PCT",AO17)),ISNUMBER(FIND("PERCENT",AO17))),NOT(ISNUMBER(FIND("ACTUAL",AO17))),LEN(AO17)&lt;=16))+32768*(OR(ISNUMBER(FIND("DESIC",AO17)),ISNUMBER(FIND("DESSIC",AO17)))))</f>
        <v/>
      </c>
      <c r="AP152">
        <f>IF(AP17="",0,2*(OR(ISNUMBER(FIND("WORKCENTER",AP17)),AND(LEFT(AP17,4)="LINE",NOT(ISNUMBER(FIND("STATUS",AP17))))))+4*(OR(ISNUMBER(FIND("WORKORDER",AP17)),AND(LEFT(AP17,2)="WO",OR(ISNUMBER(FIND("NUM",AP17)),RIGHT(AP17,2)="NO"))))+8*(LEFT(AP17,3)="SEQ")+16*(AND(LEFT(AP17,4)="ITEM",NOT(ISNUMBER(FIND("DESC",AP17)))))+32*(AND(ISNUMBER(FIND("DESC",AP17)),NOT(ISNUMBER(FIND("CAP",AP17)))))+64*(OR(RIGHT(AP17,5)="COUNT",RIGHT(AP17,2)="CT"))+128*(ISNUMBER(FIND("BULK",AP17)))+256*(ISNUMBER(FIND("SIZE",AP17)))+512*(LEFT(AP17,3)="CAP")+1024*(ISNUMBER(FIND("ALLERG",AP17)))+2048*(OR(ISNUMBER(FIND("REMARK",AP17)),ISNUMBER(FIND("COMMENT",AP17))))+4096*(OR(ISNUMBER(FIND("QTY",AP17)),ISNUMBER(FIND("QUANTITY",AP17))))+8192*(AND(OR(ISNUMBER(FIND("COMPLETE",AP17)),ISNUMBER(FIND("PCT",AP17)),ISNUMBER(FIND("PERCENT",AP17))),NOT(ISNUMBER(FIND("ACTUAL",AP17))),LEN(AP17)&lt;=16))+32768*(OR(ISNUMBER(FIND("DESIC",AP17)),ISNUMBER(FIND("DESSIC",AP17)))))</f>
        <v/>
      </c>
      <c r="AQ152">
        <f>IF(AQ17="",0,2*(OR(ISNUMBER(FIND("WORKCENTER",AQ17)),AND(LEFT(AQ17,4)="LINE",NOT(ISNUMBER(FIND("STATUS",AQ17))))))+4*(OR(ISNUMBER(FIND("WORKORDER",AQ17)),AND(LEFT(AQ17,2)="WO",OR(ISNUMBER(FIND("NUM",AQ17)),RIGHT(AQ17,2)="NO"))))+8*(LEFT(AQ17,3)="SEQ")+16*(AND(LEFT(AQ17,4)="ITEM",NOT(ISNUMBER(FIND("DESC",AQ17)))))+32*(AND(ISNUMBER(FIND("DESC",AQ17)),NOT(ISNUMBER(FIND("CAP",AQ17)))))+64*(OR(RIGHT(AQ17,5)="COUNT",RIGHT(AQ17,2)="CT"))+128*(ISNUMBER(FIND("BULK",AQ17)))+256*(ISNUMBER(FIND("SIZE",AQ17)))+512*(LEFT(AQ17,3)="CAP")+1024*(ISNUMBER(FIND("ALLERG",AQ17)))+2048*(OR(ISNUMBER(FIND("REMARK",AQ17)),ISNUMBER(FIND("COMMENT",AQ17))))+4096*(OR(ISNUMBER(FIND("QTY",AQ17)),ISNUMBER(FIND("QUANTITY",AQ17))))+8192*(AND(OR(ISNUMBER(FIND("COMPLETE",AQ17)),ISNUMBER(FIND("PCT",AQ17)),ISNUMBER(FIND("PERCENT",AQ17))),NOT(ISNUMBER(FIND("ACTUAL",AQ17))),LEN(AQ17)&lt;=16))+32768*(OR(ISNUMBER(FIND("DESIC",AQ17)),ISNUMBER(FIND("DESSIC",AQ17)))))</f>
        <v/>
      </c>
      <c r="AR152">
        <f>IF(AR17="",0,2*(OR(ISNUMBER(FIND("WORKCENTER",AR17)),AND(LEFT(AR17,4)="LINE",NOT(ISNUMBER(FIND("STATUS",AR17))))))+4*(OR(ISNUMBER(FIND("WORKORDER",AR17)),AND(LEFT(AR17,2)="WO",OR(ISNUMBER(FIND("NUM",AR17)),RIGHT(AR17,2)="NO"))))+8*(LEFT(AR17,3)="SEQ")+16*(AND(LEFT(AR17,4)="ITEM",NOT(ISNUMBER(FIND("DESC",AR17)))))+32*(AND(ISNUMBER(FIND("DESC",AR17)),NOT(ISNUMBER(FIND("CAP",AR17)))))+64*(OR(RIGHT(AR17,5)="COUNT",RIGHT(AR17,2)="CT"))+128*(ISNUMBER(FIND("BULK",AR17)))+256*(ISNUMBER(FIND("SIZE",AR17)))+512*(LEFT(AR17,3)="CAP")+1024*(ISNUMBER(FIND("ALLERG",AR17)))+2048*(OR(ISNUMBER(FIND("REMARK",AR17)),ISNUMBER(FIND("COMMENT",AR17))))+4096*(OR(ISNUMBER(FIND("QTY",AR17)),ISNUMBER(FIND("QUANTITY",AR17))))+8192*(AND(OR(ISNUMBER(FIND("COMPLETE",AR17)),ISNUMBER(FIND("PCT",AR17)),ISNUMBER(FIND("PERCENT",AR17))),NOT(ISNUMBER(FIND("ACTUAL",AR17))),LEN(AR17)&lt;=16))+32768*(OR(ISNUMBER(FIND("DESIC",AR17)),ISNUMBER(FIND("DESSIC",AR17)))))</f>
        <v/>
      </c>
      <c r="AS152">
        <f>IF(AS17="",0,2*(OR(ISNUMBER(FIND("WORKCENTER",AS17)),AND(LEFT(AS17,4)="LINE",NOT(ISNUMBER(FIND("STATUS",AS17))))))+4*(OR(ISNUMBER(FIND("WORKORDER",AS17)),AND(LEFT(AS17,2)="WO",OR(ISNUMBER(FIND("NUM",AS17)),RIGHT(AS17,2)="NO"))))+8*(LEFT(AS17,3)="SEQ")+16*(AND(LEFT(AS17,4)="ITEM",NOT(ISNUMBER(FIND("DESC",AS17)))))+32*(AND(ISNUMBER(FIND("DESC",AS17)),NOT(ISNUMBER(FIND("CAP",AS17)))))+64*(OR(RIGHT(AS17,5)="COUNT",RIGHT(AS17,2)="CT"))+128*(ISNUMBER(FIND("BULK",AS17)))+256*(ISNUMBER(FIND("SIZE",AS17)))+512*(LEFT(AS17,3)="CAP")+1024*(ISNUMBER(FIND("ALLERG",AS17)))+2048*(OR(ISNUMBER(FIND("REMARK",AS17)),ISNUMBER(FIND("COMMENT",AS17))))+4096*(OR(ISNUMBER(FIND("QTY",AS17)),ISNUMBER(FIND("QUANTITY",AS17))))+8192*(AND(OR(ISNUMBER(FIND("COMPLETE",AS17)),ISNUMBER(FIND("PCT",AS17)),ISNUMBER(FIND("PERCENT",AS17))),NOT(ISNUMBER(FIND("ACTUAL",AS17))),LEN(AS17)&lt;=16))+32768*(OR(ISNUMBER(FIND("DESIC",AS17)),ISNUMBER(FIND("DESSIC",AS17)))))</f>
        <v/>
      </c>
      <c r="AT152">
        <f>IF(AT17="",0,2*(OR(ISNUMBER(FIND("WORKCENTER",AT17)),AND(LEFT(AT17,4)="LINE",NOT(ISNUMBER(FIND("STATUS",AT17))))))+4*(OR(ISNUMBER(FIND("WORKORDER",AT17)),AND(LEFT(AT17,2)="WO",OR(ISNUMBER(FIND("NUM",AT17)),RIGHT(AT17,2)="NO"))))+8*(LEFT(AT17,3)="SEQ")+16*(AND(LEFT(AT17,4)="ITEM",NOT(ISNUMBER(FIND("DESC",AT17)))))+32*(AND(ISNUMBER(FIND("DESC",AT17)),NOT(ISNUMBER(FIND("CAP",AT17)))))+64*(OR(RIGHT(AT17,5)="COUNT",RIGHT(AT17,2)="CT"))+128*(ISNUMBER(FIND("BULK",AT17)))+256*(ISNUMBER(FIND("SIZE",AT17)))+512*(LEFT(AT17,3)="CAP")+1024*(ISNUMBER(FIND("ALLERG",AT17)))+2048*(OR(ISNUMBER(FIND("REMARK",AT17)),ISNUMBER(FIND("COMMENT",AT17))))+4096*(OR(ISNUMBER(FIND("QTY",AT17)),ISNUMBER(FIND("QUANTITY",AT17))))+8192*(AND(OR(ISNUMBER(FIND("COMPLETE",AT17)),ISNUMBER(FIND("PCT",AT17)),ISNUMBER(FIND("PERCENT",AT17))),NOT(ISNUMBER(FIND("ACTUAL",AT17))),LEN(AT17)&lt;=16))+32768*(OR(ISNUMBER(FIND("DESIC",AT17)),ISNUMBER(FIND("DESSIC",AT17)))))</f>
        <v/>
      </c>
      <c r="AU152">
        <f>IF(AU17="",0,2*(OR(ISNUMBER(FIND("WORKCENTER",AU17)),AND(LEFT(AU17,4)="LINE",NOT(ISNUMBER(FIND("STATUS",AU17))))))+4*(OR(ISNUMBER(FIND("WORKORDER",AU17)),AND(LEFT(AU17,2)="WO",OR(ISNUMBER(FIND("NUM",AU17)),RIGHT(AU17,2)="NO"))))+8*(LEFT(AU17,3)="SEQ")+16*(AND(LEFT(AU17,4)="ITEM",NOT(ISNUMBER(FIND("DESC",AU17)))))+32*(AND(ISNUMBER(FIND("DESC",AU17)),NOT(ISNUMBER(FIND("CAP",AU17)))))+64*(OR(RIGHT(AU17,5)="COUNT",RIGHT(AU17,2)="CT"))+128*(ISNUMBER(FIND("BULK",AU17)))+256*(ISNUMBER(FIND("SIZE",AU17)))+512*(LEFT(AU17,3)="CAP")+1024*(ISNUMBER(FIND("ALLERG",AU17)))+2048*(OR(ISNUMBER(FIND("REMARK",AU17)),ISNUMBER(FIND("COMMENT",AU17))))+4096*(OR(ISNUMBER(FIND("QTY",AU17)),ISNUMBER(FIND("QUANTITY",AU17))))+8192*(AND(OR(ISNUMBER(FIND("COMPLETE",AU17)),ISNUMBER(FIND("PCT",AU17)),ISNUMBER(FIND("PERCENT",AU17))),NOT(ISNUMBER(FIND("ACTUAL",AU17))),LEN(AU17)&lt;=16))+32768*(OR(ISNUMBER(FIND("DESIC",AU17)),ISNUMBER(FIND("DESSIC",AU17)))))</f>
        <v/>
      </c>
      <c r="AV152">
        <f>IF(AV17="",0,2*(OR(ISNUMBER(FIND("WORKCENTER",AV17)),AND(LEFT(AV17,4)="LINE",NOT(ISNUMBER(FIND("STATUS",AV17))))))+4*(OR(ISNUMBER(FIND("WORKORDER",AV17)),AND(LEFT(AV17,2)="WO",OR(ISNUMBER(FIND("NUM",AV17)),RIGHT(AV17,2)="NO"))))+8*(LEFT(AV17,3)="SEQ")+16*(AND(LEFT(AV17,4)="ITEM",NOT(ISNUMBER(FIND("DESC",AV17)))))+32*(AND(ISNUMBER(FIND("DESC",AV17)),NOT(ISNUMBER(FIND("CAP",AV17)))))+64*(OR(RIGHT(AV17,5)="COUNT",RIGHT(AV17,2)="CT"))+128*(ISNUMBER(FIND("BULK",AV17)))+256*(ISNUMBER(FIND("SIZE",AV17)))+512*(LEFT(AV17,3)="CAP")+1024*(ISNUMBER(FIND("ALLERG",AV17)))+2048*(OR(ISNUMBER(FIND("REMARK",AV17)),ISNUMBER(FIND("COMMENT",AV17))))+4096*(OR(ISNUMBER(FIND("QTY",AV17)),ISNUMBER(FIND("QUANTITY",AV17))))+8192*(AND(OR(ISNUMBER(FIND("COMPLETE",AV17)),ISNUMBER(FIND("PCT",AV17)),ISNUMBER(FIND("PERCENT",AV17))),NOT(ISNUMBER(FIND("ACTUAL",AV17))),LEN(AV17)&lt;=16))+32768*(OR(ISNUMBER(FIND("DESIC",AV17)),ISNUMBER(FIND("DESSIC",AV17)))))</f>
        <v/>
      </c>
      <c r="AW152">
        <f>IF(AW17="",0,2*(OR(ISNUMBER(FIND("WORKCENTER",AW17)),AND(LEFT(AW17,4)="LINE",NOT(ISNUMBER(FIND("STATUS",AW17))))))+4*(OR(ISNUMBER(FIND("WORKORDER",AW17)),AND(LEFT(AW17,2)="WO",OR(ISNUMBER(FIND("NUM",AW17)),RIGHT(AW17,2)="NO"))))+8*(LEFT(AW17,3)="SEQ")+16*(AND(LEFT(AW17,4)="ITEM",NOT(ISNUMBER(FIND("DESC",AW17)))))+32*(AND(ISNUMBER(FIND("DESC",AW17)),NOT(ISNUMBER(FIND("CAP",AW17)))))+64*(OR(RIGHT(AW17,5)="COUNT",RIGHT(AW17,2)="CT"))+128*(ISNUMBER(FIND("BULK",AW17)))+256*(ISNUMBER(FIND("SIZE",AW17)))+512*(LEFT(AW17,3)="CAP")+1024*(ISNUMBER(FIND("ALLERG",AW17)))+2048*(OR(ISNUMBER(FIND("REMARK",AW17)),ISNUMBER(FIND("COMMENT",AW17))))+4096*(OR(ISNUMBER(FIND("QTY",AW17)),ISNUMBER(FIND("QUANTITY",AW17))))+8192*(AND(OR(ISNUMBER(FIND("COMPLETE",AW17)),ISNUMBER(FIND("PCT",AW17)),ISNUMBER(FIND("PERCENT",AW17))),NOT(ISNUMBER(FIND("ACTUAL",AW17))),LEN(AW17)&lt;=16))+32768*(OR(ISNUMBER(FIND("DESIC",AW17)),ISNUMBER(FIND("DESSIC",AW17)))))</f>
        <v/>
      </c>
      <c r="AX152">
        <f>IF(AX17="",0,2*(OR(ISNUMBER(FIND("WORKCENTER",AX17)),AND(LEFT(AX17,4)="LINE",NOT(ISNUMBER(FIND("STATUS",AX17))))))+4*(OR(ISNUMBER(FIND("WORKORDER",AX17)),AND(LEFT(AX17,2)="WO",OR(ISNUMBER(FIND("NUM",AX17)),RIGHT(AX17,2)="NO"))))+8*(LEFT(AX17,3)="SEQ")+16*(AND(LEFT(AX17,4)="ITEM",NOT(ISNUMBER(FIND("DESC",AX17)))))+32*(AND(ISNUMBER(FIND("DESC",AX17)),NOT(ISNUMBER(FIND("CAP",AX17)))))+64*(OR(RIGHT(AX17,5)="COUNT",RIGHT(AX17,2)="CT"))+128*(ISNUMBER(FIND("BULK",AX17)))+256*(ISNUMBER(FIND("SIZE",AX17)))+512*(LEFT(AX17,3)="CAP")+1024*(ISNUMBER(FIND("ALLERG",AX17)))+2048*(OR(ISNUMBER(FIND("REMARK",AX17)),ISNUMBER(FIND("COMMENT",AX17))))+4096*(OR(ISNUMBER(FIND("QTY",AX17)),ISNUMBER(FIND("QUANTITY",AX17))))+8192*(AND(OR(ISNUMBER(FIND("COMPLETE",AX17)),ISNUMBER(FIND("PCT",AX17)),ISNUMBER(FIND("PERCENT",AX17))),NOT(ISNUMBER(FIND("ACTUAL",AX17))),LEN(AX17)&lt;=16))+32768*(OR(ISNUMBER(FIND("DESIC",AX17)),ISNUMBER(FIND("DESSIC",AX17)))))</f>
        <v/>
      </c>
      <c r="AY152">
        <f>IF(AY17="",0,2*(OR(ISNUMBER(FIND("WORKCENTER",AY17)),AND(LEFT(AY17,4)="LINE",NOT(ISNUMBER(FIND("STATUS",AY17))))))+4*(OR(ISNUMBER(FIND("WORKORDER",AY17)),AND(LEFT(AY17,2)="WO",OR(ISNUMBER(FIND("NUM",AY17)),RIGHT(AY17,2)="NO"))))+8*(LEFT(AY17,3)="SEQ")+16*(AND(LEFT(AY17,4)="ITEM",NOT(ISNUMBER(FIND("DESC",AY17)))))+32*(AND(ISNUMBER(FIND("DESC",AY17)),NOT(ISNUMBER(FIND("CAP",AY17)))))+64*(OR(RIGHT(AY17,5)="COUNT",RIGHT(AY17,2)="CT"))+128*(ISNUMBER(FIND("BULK",AY17)))+256*(ISNUMBER(FIND("SIZE",AY17)))+512*(LEFT(AY17,3)="CAP")+1024*(ISNUMBER(FIND("ALLERG",AY17)))+2048*(OR(ISNUMBER(FIND("REMARK",AY17)),ISNUMBER(FIND("COMMENT",AY17))))+4096*(OR(ISNUMBER(FIND("QTY",AY17)),ISNUMBER(FIND("QUANTITY",AY17))))+8192*(AND(OR(ISNUMBER(FIND("COMPLETE",AY17)),ISNUMBER(FIND("PCT",AY17)),ISNUMBER(FIND("PERCENT",AY17))),NOT(ISNUMBER(FIND("ACTUAL",AY17))),LEN(AY17)&lt;=16))+32768*(OR(ISNUMBER(FIND("DESIC",AY17)),ISNUMBER(FIND("DESSIC",AY17)))))</f>
        <v/>
      </c>
      <c r="AZ152">
        <f>IF(AZ17="",0,2*(OR(ISNUMBER(FIND("WORKCENTER",AZ17)),AND(LEFT(AZ17,4)="LINE",NOT(ISNUMBER(FIND("STATUS",AZ17))))))+4*(OR(ISNUMBER(FIND("WORKORDER",AZ17)),AND(LEFT(AZ17,2)="WO",OR(ISNUMBER(FIND("NUM",AZ17)),RIGHT(AZ17,2)="NO"))))+8*(LEFT(AZ17,3)="SEQ")+16*(AND(LEFT(AZ17,4)="ITEM",NOT(ISNUMBER(FIND("DESC",AZ17)))))+32*(AND(ISNUMBER(FIND("DESC",AZ17)),NOT(ISNUMBER(FIND("CAP",AZ17)))))+64*(OR(RIGHT(AZ17,5)="COUNT",RIGHT(AZ17,2)="CT"))+128*(ISNUMBER(FIND("BULK",AZ17)))+256*(ISNUMBER(FIND("SIZE",AZ17)))+512*(LEFT(AZ17,3)="CAP")+1024*(ISNUMBER(FIND("ALLERG",AZ17)))+2048*(OR(ISNUMBER(FIND("REMARK",AZ17)),ISNUMBER(FIND("COMMENT",AZ17))))+4096*(OR(ISNUMBER(FIND("QTY",AZ17)),ISNUMBER(FIND("QUANTITY",AZ17))))+8192*(AND(OR(ISNUMBER(FIND("COMPLETE",AZ17)),ISNUMBER(FIND("PCT",AZ17)),ISNUMBER(FIND("PERCENT",AZ17))),NOT(ISNUMBER(FIND("ACTUAL",AZ17))),LEN(AZ17)&lt;=16))+32768*(OR(ISNUMBER(FIND("DESIC",AZ17)),ISNUMBER(FIND("DESSIC",AZ17)))))</f>
        <v/>
      </c>
      <c r="BA152">
        <f>IF(BA17="",0,2*(OR(ISNUMBER(FIND("WORKCENTER",BA17)),AND(LEFT(BA17,4)="LINE",NOT(ISNUMBER(FIND("STATUS",BA17))))))+4*(OR(ISNUMBER(FIND("WORKORDER",BA17)),AND(LEFT(BA17,2)="WO",OR(ISNUMBER(FIND("NUM",BA17)),RIGHT(BA17,2)="NO"))))+8*(LEFT(BA17,3)="SEQ")+16*(AND(LEFT(BA17,4)="ITEM",NOT(ISNUMBER(FIND("DESC",BA17)))))+32*(AND(ISNUMBER(FIND("DESC",BA17)),NOT(ISNUMBER(FIND("CAP",BA17)))))+64*(OR(RIGHT(BA17,5)="COUNT",RIGHT(BA17,2)="CT"))+128*(ISNUMBER(FIND("BULK",BA17)))+256*(ISNUMBER(FIND("SIZE",BA17)))+512*(LEFT(BA17,3)="CAP")+1024*(ISNUMBER(FIND("ALLERG",BA17)))+2048*(OR(ISNUMBER(FIND("REMARK",BA17)),ISNUMBER(FIND("COMMENT",BA17))))+4096*(OR(ISNUMBER(FIND("QTY",BA17)),ISNUMBER(FIND("QUANTITY",BA17))))+8192*(AND(OR(ISNUMBER(FIND("COMPLETE",BA17)),ISNUMBER(FIND("PCT",BA17)),ISNUMBER(FIND("PERCENT",BA17))),NOT(ISNUMBER(FIND("ACTUAL",BA17))),LEN(BA17)&lt;=16))+32768*(OR(ISNUMBER(FIND("DESIC",BA17)),ISNUMBER(FIND("DESSIC",BA17)))))</f>
        <v/>
      </c>
      <c r="BB152">
        <f>IF(BB17="",0,2*(OR(ISNUMBER(FIND("WORKCENTER",BB17)),AND(LEFT(BB17,4)="LINE",NOT(ISNUMBER(FIND("STATUS",BB17))))))+4*(OR(ISNUMBER(FIND("WORKORDER",BB17)),AND(LEFT(BB17,2)="WO",OR(ISNUMBER(FIND("NUM",BB17)),RIGHT(BB17,2)="NO"))))+8*(LEFT(BB17,3)="SEQ")+16*(AND(LEFT(BB17,4)="ITEM",NOT(ISNUMBER(FIND("DESC",BB17)))))+32*(AND(ISNUMBER(FIND("DESC",BB17)),NOT(ISNUMBER(FIND("CAP",BB17)))))+64*(OR(RIGHT(BB17,5)="COUNT",RIGHT(BB17,2)="CT"))+128*(ISNUMBER(FIND("BULK",BB17)))+256*(ISNUMBER(FIND("SIZE",BB17)))+512*(LEFT(BB17,3)="CAP")+1024*(ISNUMBER(FIND("ALLERG",BB17)))+2048*(OR(ISNUMBER(FIND("REMARK",BB17)),ISNUMBER(FIND("COMMENT",BB17))))+4096*(OR(ISNUMBER(FIND("QTY",BB17)),ISNUMBER(FIND("QUANTITY",BB17))))+8192*(AND(OR(ISNUMBER(FIND("COMPLETE",BB17)),ISNUMBER(FIND("PCT",BB17)),ISNUMBER(FIND("PERCENT",BB17))),NOT(ISNUMBER(FIND("ACTUAL",BB17))),LEN(BB17)&lt;=16))+32768*(OR(ISNUMBER(FIND("DESIC",BB17)),ISNUMBER(FIND("DESSIC",BB17)))))</f>
        <v/>
      </c>
      <c r="BC152">
        <f>IF(BC17="",0,2*(OR(ISNUMBER(FIND("WORKCENTER",BC17)),AND(LEFT(BC17,4)="LINE",NOT(ISNUMBER(FIND("STATUS",BC17))))))+4*(OR(ISNUMBER(FIND("WORKORDER",BC17)),AND(LEFT(BC17,2)="WO",OR(ISNUMBER(FIND("NUM",BC17)),RIGHT(BC17,2)="NO"))))+8*(LEFT(BC17,3)="SEQ")+16*(AND(LEFT(BC17,4)="ITEM",NOT(ISNUMBER(FIND("DESC",BC17)))))+32*(AND(ISNUMBER(FIND("DESC",BC17)),NOT(ISNUMBER(FIND("CAP",BC17)))))+64*(OR(RIGHT(BC17,5)="COUNT",RIGHT(BC17,2)="CT"))+128*(ISNUMBER(FIND("BULK",BC17)))+256*(ISNUMBER(FIND("SIZE",BC17)))+512*(LEFT(BC17,3)="CAP")+1024*(ISNUMBER(FIND("ALLERG",BC17)))+2048*(OR(ISNUMBER(FIND("REMARK",BC17)),ISNUMBER(FIND("COMMENT",BC17))))+4096*(OR(ISNUMBER(FIND("QTY",BC17)),ISNUMBER(FIND("QUANTITY",BC17))))+8192*(AND(OR(ISNUMBER(FIND("COMPLETE",BC17)),ISNUMBER(FIND("PCT",BC17)),ISNUMBER(FIND("PERCENT",BC17))),NOT(ISNUMBER(FIND("ACTUAL",BC17))),LEN(BC17)&lt;=16))+32768*(OR(ISNUMBER(FIND("DESIC",BC17)),ISNUMBER(FIND("DESSIC",BC17)))))</f>
        <v/>
      </c>
      <c r="BD152">
        <f>IF(BD17="",0,2*(OR(ISNUMBER(FIND("WORKCENTER",BD17)),AND(LEFT(BD17,4)="LINE",NOT(ISNUMBER(FIND("STATUS",BD17))))))+4*(OR(ISNUMBER(FIND("WORKORDER",BD17)),AND(LEFT(BD17,2)="WO",OR(ISNUMBER(FIND("NUM",BD17)),RIGHT(BD17,2)="NO"))))+8*(LEFT(BD17,3)="SEQ")+16*(AND(LEFT(BD17,4)="ITEM",NOT(ISNUMBER(FIND("DESC",BD17)))))+32*(AND(ISNUMBER(FIND("DESC",BD17)),NOT(ISNUMBER(FIND("CAP",BD17)))))+64*(OR(RIGHT(BD17,5)="COUNT",RIGHT(BD17,2)="CT"))+128*(ISNUMBER(FIND("BULK",BD17)))+256*(ISNUMBER(FIND("SIZE",BD17)))+512*(LEFT(BD17,3)="CAP")+1024*(ISNUMBER(FIND("ALLERG",BD17)))+2048*(OR(ISNUMBER(FIND("REMARK",BD17)),ISNUMBER(FIND("COMMENT",BD17))))+4096*(OR(ISNUMBER(FIND("QTY",BD17)),ISNUMBER(FIND("QUANTITY",BD17))))+8192*(AND(OR(ISNUMBER(FIND("COMPLETE",BD17)),ISNUMBER(FIND("PCT",BD17)),ISNUMBER(FIND("PERCENT",BD17))),NOT(ISNUMBER(FIND("ACTUAL",BD17))),LEN(BD17)&lt;=16))+32768*(OR(ISNUMBER(FIND("DESIC",BD17)),ISNUMBER(FIND("DESSIC",BD17)))))</f>
        <v/>
      </c>
      <c r="BE152">
        <f>IF(BE17="",0,2*(OR(ISNUMBER(FIND("WORKCENTER",BE17)),AND(LEFT(BE17,4)="LINE",NOT(ISNUMBER(FIND("STATUS",BE17))))))+4*(OR(ISNUMBER(FIND("WORKORDER",BE17)),AND(LEFT(BE17,2)="WO",OR(ISNUMBER(FIND("NUM",BE17)),RIGHT(BE17,2)="NO"))))+8*(LEFT(BE17,3)="SEQ")+16*(AND(LEFT(BE17,4)="ITEM",NOT(ISNUMBER(FIND("DESC",BE17)))))+32*(AND(ISNUMBER(FIND("DESC",BE17)),NOT(ISNUMBER(FIND("CAP",BE17)))))+64*(OR(RIGHT(BE17,5)="COUNT",RIGHT(BE17,2)="CT"))+128*(ISNUMBER(FIND("BULK",BE17)))+256*(ISNUMBER(FIND("SIZE",BE17)))+512*(LEFT(BE17,3)="CAP")+1024*(ISNUMBER(FIND("ALLERG",BE17)))+2048*(OR(ISNUMBER(FIND("REMARK",BE17)),ISNUMBER(FIND("COMMENT",BE17))))+4096*(OR(ISNUMBER(FIND("QTY",BE17)),ISNUMBER(FIND("QUANTITY",BE17))))+8192*(AND(OR(ISNUMBER(FIND("COMPLETE",BE17)),ISNUMBER(FIND("PCT",BE17)),ISNUMBER(FIND("PERCENT",BE17))),NOT(ISNUMBER(FIND("ACTUAL",BE17))),LEN(BE17)&lt;=16))+32768*(OR(ISNUMBER(FIND("DESIC",BE17)),ISNUMBER(FIND("DESSIC",BE17)))))</f>
        <v/>
      </c>
      <c r="BF152">
        <f>IF(BF17="",0,2*(OR(ISNUMBER(FIND("WORKCENTER",BF17)),AND(LEFT(BF17,4)="LINE",NOT(ISNUMBER(FIND("STATUS",BF17))))))+4*(OR(ISNUMBER(FIND("WORKORDER",BF17)),AND(LEFT(BF17,2)="WO",OR(ISNUMBER(FIND("NUM",BF17)),RIGHT(BF17,2)="NO"))))+8*(LEFT(BF17,3)="SEQ")+16*(AND(LEFT(BF17,4)="ITEM",NOT(ISNUMBER(FIND("DESC",BF17)))))+32*(AND(ISNUMBER(FIND("DESC",BF17)),NOT(ISNUMBER(FIND("CAP",BF17)))))+64*(OR(RIGHT(BF17,5)="COUNT",RIGHT(BF17,2)="CT"))+128*(ISNUMBER(FIND("BULK",BF17)))+256*(ISNUMBER(FIND("SIZE",BF17)))+512*(LEFT(BF17,3)="CAP")+1024*(ISNUMBER(FIND("ALLERG",BF17)))+2048*(OR(ISNUMBER(FIND("REMARK",BF17)),ISNUMBER(FIND("COMMENT",BF17))))+4096*(OR(ISNUMBER(FIND("QTY",BF17)),ISNUMBER(FIND("QUANTITY",BF17))))+8192*(AND(OR(ISNUMBER(FIND("COMPLETE",BF17)),ISNUMBER(FIND("PCT",BF17)),ISNUMBER(FIND("PERCENT",BF17))),NOT(ISNUMBER(FIND("ACTUAL",BF17))),LEN(BF17)&lt;=16))+32768*(OR(ISNUMBER(FIND("DESIC",BF17)),ISNUMBER(FIND("DESSIC",BF17)))))</f>
        <v/>
      </c>
      <c r="BG152">
        <f>IF(BG17="",0,2*(OR(ISNUMBER(FIND("WORKCENTER",BG17)),AND(LEFT(BG17,4)="LINE",NOT(ISNUMBER(FIND("STATUS",BG17))))))+4*(OR(ISNUMBER(FIND("WORKORDER",BG17)),AND(LEFT(BG17,2)="WO",OR(ISNUMBER(FIND("NUM",BG17)),RIGHT(BG17,2)="NO"))))+8*(LEFT(BG17,3)="SEQ")+16*(AND(LEFT(BG17,4)="ITEM",NOT(ISNUMBER(FIND("DESC",BG17)))))+32*(AND(ISNUMBER(FIND("DESC",BG17)),NOT(ISNUMBER(FIND("CAP",BG17)))))+64*(OR(RIGHT(BG17,5)="COUNT",RIGHT(BG17,2)="CT"))+128*(ISNUMBER(FIND("BULK",BG17)))+256*(ISNUMBER(FIND("SIZE",BG17)))+512*(LEFT(BG17,3)="CAP")+1024*(ISNUMBER(FIND("ALLERG",BG17)))+2048*(OR(ISNUMBER(FIND("REMARK",BG17)),ISNUMBER(FIND("COMMENT",BG17))))+4096*(OR(ISNUMBER(FIND("QTY",BG17)),ISNUMBER(FIND("QUANTITY",BG17))))+8192*(AND(OR(ISNUMBER(FIND("COMPLETE",BG17)),ISNUMBER(FIND("PCT",BG17)),ISNUMBER(FIND("PERCENT",BG17))),NOT(ISNUMBER(FIND("ACTUAL",BG17))),LEN(BG17)&lt;=16))+32768*(OR(ISNUMBER(FIND("DESIC",BG17)),ISNUMBER(FIND("DESSIC",BG17)))))</f>
        <v/>
      </c>
      <c r="BH152">
        <f>IF(BH17="",0,2*(OR(ISNUMBER(FIND("WORKCENTER",BH17)),AND(LEFT(BH17,4)="LINE",NOT(ISNUMBER(FIND("STATUS",BH17))))))+4*(OR(ISNUMBER(FIND("WORKORDER",BH17)),AND(LEFT(BH17,2)="WO",OR(ISNUMBER(FIND("NUM",BH17)),RIGHT(BH17,2)="NO"))))+8*(LEFT(BH17,3)="SEQ")+16*(AND(LEFT(BH17,4)="ITEM",NOT(ISNUMBER(FIND("DESC",BH17)))))+32*(AND(ISNUMBER(FIND("DESC",BH17)),NOT(ISNUMBER(FIND("CAP",BH17)))))+64*(OR(RIGHT(BH17,5)="COUNT",RIGHT(BH17,2)="CT"))+128*(ISNUMBER(FIND("BULK",BH17)))+256*(ISNUMBER(FIND("SIZE",BH17)))+512*(LEFT(BH17,3)="CAP")+1024*(ISNUMBER(FIND("ALLERG",BH17)))+2048*(OR(ISNUMBER(FIND("REMARK",BH17)),ISNUMBER(FIND("COMMENT",BH17))))+4096*(OR(ISNUMBER(FIND("QTY",BH17)),ISNUMBER(FIND("QUANTITY",BH17))))+8192*(AND(OR(ISNUMBER(FIND("COMPLETE",BH17)),ISNUMBER(FIND("PCT",BH17)),ISNUMBER(FIND("PERCENT",BH17))),NOT(ISNUMBER(FIND("ACTUAL",BH17))),LEN(BH17)&lt;=16))+32768*(OR(ISNUMBER(FIND("DESIC",BH17)),ISNUMBER(FIND("DESSIC",BH17)))))</f>
        <v/>
      </c>
      <c r="BI152">
        <f>IF(BI17="",0,2*(OR(ISNUMBER(FIND("WORKCENTER",BI17)),AND(LEFT(BI17,4)="LINE",NOT(ISNUMBER(FIND("STATUS",BI17))))))+4*(OR(ISNUMBER(FIND("WORKORDER",BI17)),AND(LEFT(BI17,2)="WO",OR(ISNUMBER(FIND("NUM",BI17)),RIGHT(BI17,2)="NO"))))+8*(LEFT(BI17,3)="SEQ")+16*(AND(LEFT(BI17,4)="ITEM",NOT(ISNUMBER(FIND("DESC",BI17)))))+32*(AND(ISNUMBER(FIND("DESC",BI17)),NOT(ISNUMBER(FIND("CAP",BI17)))))+64*(OR(RIGHT(BI17,5)="COUNT",RIGHT(BI17,2)="CT"))+128*(ISNUMBER(FIND("BULK",BI17)))+256*(ISNUMBER(FIND("SIZE",BI17)))+512*(LEFT(BI17,3)="CAP")+1024*(ISNUMBER(FIND("ALLERG",BI17)))+2048*(OR(ISNUMBER(FIND("REMARK",BI17)),ISNUMBER(FIND("COMMENT",BI17))))+4096*(OR(ISNUMBER(FIND("QTY",BI17)),ISNUMBER(FIND("QUANTITY",BI17))))+8192*(AND(OR(ISNUMBER(FIND("COMPLETE",BI17)),ISNUMBER(FIND("PCT",BI17)),ISNUMBER(FIND("PERCENT",BI17))),NOT(ISNUMBER(FIND("ACTUAL",BI17))),LEN(BI17)&lt;=16))+32768*(OR(ISNUMBER(FIND("DESIC",BI17)),ISNUMBER(FIND("DESSIC",BI17)))))</f>
        <v/>
      </c>
      <c r="BJ152">
        <f>IF(BJ17="",0,2*(OR(ISNUMBER(FIND("WORKCENTER",BJ17)),AND(LEFT(BJ17,4)="LINE",NOT(ISNUMBER(FIND("STATUS",BJ17))))))+4*(OR(ISNUMBER(FIND("WORKORDER",BJ17)),AND(LEFT(BJ17,2)="WO",OR(ISNUMBER(FIND("NUM",BJ17)),RIGHT(BJ17,2)="NO"))))+8*(LEFT(BJ17,3)="SEQ")+16*(AND(LEFT(BJ17,4)="ITEM",NOT(ISNUMBER(FIND("DESC",BJ17)))))+32*(AND(ISNUMBER(FIND("DESC",BJ17)),NOT(ISNUMBER(FIND("CAP",BJ17)))))+64*(OR(RIGHT(BJ17,5)="COUNT",RIGHT(BJ17,2)="CT"))+128*(ISNUMBER(FIND("BULK",BJ17)))+256*(ISNUMBER(FIND("SIZE",BJ17)))+512*(LEFT(BJ17,3)="CAP")+1024*(ISNUMBER(FIND("ALLERG",BJ17)))+2048*(OR(ISNUMBER(FIND("REMARK",BJ17)),ISNUMBER(FIND("COMMENT",BJ17))))+4096*(OR(ISNUMBER(FIND("QTY",BJ17)),ISNUMBER(FIND("QUANTITY",BJ17))))+8192*(AND(OR(ISNUMBER(FIND("COMPLETE",BJ17)),ISNUMBER(FIND("PCT",BJ17)),ISNUMBER(FIND("PERCENT",BJ17))),NOT(ISNUMBER(FIND("ACTUAL",BJ17))),LEN(BJ17)&lt;=16))+32768*(OR(ISNUMBER(FIND("DESIC",BJ17)),ISNUMBER(FIND("DESSIC",BJ17)))))</f>
        <v/>
      </c>
      <c r="BK152">
        <f>IF(BK17="",0,2*(OR(ISNUMBER(FIND("WORKCENTER",BK17)),AND(LEFT(BK17,4)="LINE",NOT(ISNUMBER(FIND("STATUS",BK17))))))+4*(OR(ISNUMBER(FIND("WORKORDER",BK17)),AND(LEFT(BK17,2)="WO",OR(ISNUMBER(FIND("NUM",BK17)),RIGHT(BK17,2)="NO"))))+8*(LEFT(BK17,3)="SEQ")+16*(AND(LEFT(BK17,4)="ITEM",NOT(ISNUMBER(FIND("DESC",BK17)))))+32*(AND(ISNUMBER(FIND("DESC",BK17)),NOT(ISNUMBER(FIND("CAP",BK17)))))+64*(OR(RIGHT(BK17,5)="COUNT",RIGHT(BK17,2)="CT"))+128*(ISNUMBER(FIND("BULK",BK17)))+256*(ISNUMBER(FIND("SIZE",BK17)))+512*(LEFT(BK17,3)="CAP")+1024*(ISNUMBER(FIND("ALLERG",BK17)))+2048*(OR(ISNUMBER(FIND("REMARK",BK17)),ISNUMBER(FIND("COMMENT",BK17))))+4096*(OR(ISNUMBER(FIND("QTY",BK17)),ISNUMBER(FIND("QUANTITY",BK17))))+8192*(AND(OR(ISNUMBER(FIND("COMPLETE",BK17)),ISNUMBER(FIND("PCT",BK17)),ISNUMBER(FIND("PERCENT",BK17))),NOT(ISNUMBER(FIND("ACTUAL",BK17))),LEN(BK17)&lt;=16))+32768*(OR(ISNUMBER(FIND("DESIC",BK17)),ISNUMBER(FIND("DESSIC",BK17)))))</f>
        <v/>
      </c>
      <c r="BL152">
        <f>IF(BL17="",0,2*(OR(ISNUMBER(FIND("WORKCENTER",BL17)),AND(LEFT(BL17,4)="LINE",NOT(ISNUMBER(FIND("STATUS",BL17))))))+4*(OR(ISNUMBER(FIND("WORKORDER",BL17)),AND(LEFT(BL17,2)="WO",OR(ISNUMBER(FIND("NUM",BL17)),RIGHT(BL17,2)="NO"))))+8*(LEFT(BL17,3)="SEQ")+16*(AND(LEFT(BL17,4)="ITEM",NOT(ISNUMBER(FIND("DESC",BL17)))))+32*(AND(ISNUMBER(FIND("DESC",BL17)),NOT(ISNUMBER(FIND("CAP",BL17)))))+64*(OR(RIGHT(BL17,5)="COUNT",RIGHT(BL17,2)="CT"))+128*(ISNUMBER(FIND("BULK",BL17)))+256*(ISNUMBER(FIND("SIZE",BL17)))+512*(LEFT(BL17,3)="CAP")+1024*(ISNUMBER(FIND("ALLERG",BL17)))+2048*(OR(ISNUMBER(FIND("REMARK",BL17)),ISNUMBER(FIND("COMMENT",BL17))))+4096*(OR(ISNUMBER(FIND("QTY",BL17)),ISNUMBER(FIND("QUANTITY",BL17))))+8192*(AND(OR(ISNUMBER(FIND("COMPLETE",BL17)),ISNUMBER(FIND("PCT",BL17)),ISNUMBER(FIND("PERCENT",BL17))),NOT(ISNUMBER(FIND("ACTUAL",BL17))),LEN(BL17)&lt;=16))+32768*(OR(ISNUMBER(FIND("DESIC",BL17)),ISNUMBER(FIND("DESSIC",BL17)))))</f>
        <v/>
      </c>
      <c r="BM152">
        <f>IF(BM17="",0,2*(OR(ISNUMBER(FIND("WORKCENTER",BM17)),AND(LEFT(BM17,4)="LINE",NOT(ISNUMBER(FIND("STATUS",BM17))))))+4*(OR(ISNUMBER(FIND("WORKORDER",BM17)),AND(LEFT(BM17,2)="WO",OR(ISNUMBER(FIND("NUM",BM17)),RIGHT(BM17,2)="NO"))))+8*(LEFT(BM17,3)="SEQ")+16*(AND(LEFT(BM17,4)="ITEM",NOT(ISNUMBER(FIND("DESC",BM17)))))+32*(AND(ISNUMBER(FIND("DESC",BM17)),NOT(ISNUMBER(FIND("CAP",BM17)))))+64*(OR(RIGHT(BM17,5)="COUNT",RIGHT(BM17,2)="CT"))+128*(ISNUMBER(FIND("BULK",BM17)))+256*(ISNUMBER(FIND("SIZE",BM17)))+512*(LEFT(BM17,3)="CAP")+1024*(ISNUMBER(FIND("ALLERG",BM17)))+2048*(OR(ISNUMBER(FIND("REMARK",BM17)),ISNUMBER(FIND("COMMENT",BM17))))+4096*(OR(ISNUMBER(FIND("QTY",BM17)),ISNUMBER(FIND("QUANTITY",BM17))))+8192*(AND(OR(ISNUMBER(FIND("COMPLETE",BM17)),ISNUMBER(FIND("PCT",BM17)),ISNUMBER(FIND("PERCENT",BM17))),NOT(ISNUMBER(FIND("ACTUAL",BM17))),LEN(BM17)&lt;=16))+32768*(OR(ISNUMBER(FIND("DESIC",BM17)),ISNUMBER(FIND("DESSIC",BM17)))))</f>
        <v/>
      </c>
      <c r="BN152">
        <f>IF(BN17="",0,2*(OR(ISNUMBER(FIND("WORKCENTER",BN17)),AND(LEFT(BN17,4)="LINE",NOT(ISNUMBER(FIND("STATUS",BN17))))))+4*(OR(ISNUMBER(FIND("WORKORDER",BN17)),AND(LEFT(BN17,2)="WO",OR(ISNUMBER(FIND("NUM",BN17)),RIGHT(BN17,2)="NO"))))+8*(LEFT(BN17,3)="SEQ")+16*(AND(LEFT(BN17,4)="ITEM",NOT(ISNUMBER(FIND("DESC",BN17)))))+32*(AND(ISNUMBER(FIND("DESC",BN17)),NOT(ISNUMBER(FIND("CAP",BN17)))))+64*(OR(RIGHT(BN17,5)="COUNT",RIGHT(BN17,2)="CT"))+128*(ISNUMBER(FIND("BULK",BN17)))+256*(ISNUMBER(FIND("SIZE",BN17)))+512*(LEFT(BN17,3)="CAP")+1024*(ISNUMBER(FIND("ALLERG",BN17)))+2048*(OR(ISNUMBER(FIND("REMARK",BN17)),ISNUMBER(FIND("COMMENT",BN17))))+4096*(OR(ISNUMBER(FIND("QTY",BN17)),ISNUMBER(FIND("QUANTITY",BN17))))+8192*(AND(OR(ISNUMBER(FIND("COMPLETE",BN17)),ISNUMBER(FIND("PCT",BN17)),ISNUMBER(FIND("PERCENT",BN17))),NOT(ISNUMBER(FIND("ACTUAL",BN17))),LEN(BN17)&lt;=16))+32768*(OR(ISNUMBER(FIND("DESIC",BN17)),ISNUMBER(FIND("DESSIC",BN17)))))</f>
        <v/>
      </c>
      <c r="BO152">
        <f>IF(BO17="",0,2*(OR(ISNUMBER(FIND("WORKCENTER",BO17)),AND(LEFT(BO17,4)="LINE",NOT(ISNUMBER(FIND("STATUS",BO17))))))+4*(OR(ISNUMBER(FIND("WORKORDER",BO17)),AND(LEFT(BO17,2)="WO",OR(ISNUMBER(FIND("NUM",BO17)),RIGHT(BO17,2)="NO"))))+8*(LEFT(BO17,3)="SEQ")+16*(AND(LEFT(BO17,4)="ITEM",NOT(ISNUMBER(FIND("DESC",BO17)))))+32*(AND(ISNUMBER(FIND("DESC",BO17)),NOT(ISNUMBER(FIND("CAP",BO17)))))+64*(OR(RIGHT(BO17,5)="COUNT",RIGHT(BO17,2)="CT"))+128*(ISNUMBER(FIND("BULK",BO17)))+256*(ISNUMBER(FIND("SIZE",BO17)))+512*(LEFT(BO17,3)="CAP")+1024*(ISNUMBER(FIND("ALLERG",BO17)))+2048*(OR(ISNUMBER(FIND("REMARK",BO17)),ISNUMBER(FIND("COMMENT",BO17))))+4096*(OR(ISNUMBER(FIND("QTY",BO17)),ISNUMBER(FIND("QUANTITY",BO17))))+8192*(AND(OR(ISNUMBER(FIND("COMPLETE",BO17)),ISNUMBER(FIND("PCT",BO17)),ISNUMBER(FIND("PERCENT",BO17))),NOT(ISNUMBER(FIND("ACTUAL",BO17))),LEN(BO17)&lt;=16))+32768*(OR(ISNUMBER(FIND("DESIC",BO17)),ISNUMBER(FIND("DESSIC",BO17)))))</f>
        <v/>
      </c>
      <c r="BP152">
        <f>IF(BP17="",0,2*(OR(ISNUMBER(FIND("WORKCENTER",BP17)),AND(LEFT(BP17,4)="LINE",NOT(ISNUMBER(FIND("STATUS",BP17))))))+4*(OR(ISNUMBER(FIND("WORKORDER",BP17)),AND(LEFT(BP17,2)="WO",OR(ISNUMBER(FIND("NUM",BP17)),RIGHT(BP17,2)="NO"))))+8*(LEFT(BP17,3)="SEQ")+16*(AND(LEFT(BP17,4)="ITEM",NOT(ISNUMBER(FIND("DESC",BP17)))))+32*(AND(ISNUMBER(FIND("DESC",BP17)),NOT(ISNUMBER(FIND("CAP",BP17)))))+64*(OR(RIGHT(BP17,5)="COUNT",RIGHT(BP17,2)="CT"))+128*(ISNUMBER(FIND("BULK",BP17)))+256*(ISNUMBER(FIND("SIZE",BP17)))+512*(LEFT(BP17,3)="CAP")+1024*(ISNUMBER(FIND("ALLERG",BP17)))+2048*(OR(ISNUMBER(FIND("REMARK",BP17)),ISNUMBER(FIND("COMMENT",BP17))))+4096*(OR(ISNUMBER(FIND("QTY",BP17)),ISNUMBER(FIND("QUANTITY",BP17))))+8192*(AND(OR(ISNUMBER(FIND("COMPLETE",BP17)),ISNUMBER(FIND("PCT",BP17)),ISNUMBER(FIND("PERCENT",BP17))),NOT(ISNUMBER(FIND("ACTUAL",BP17))),LEN(BP17)&lt;=16))+32768*(OR(ISNUMBER(FIND("DESIC",BP17)),ISNUMBER(FIND("DESSIC",BP17)))))</f>
        <v/>
      </c>
      <c r="BQ152">
        <f>IF(BQ17="",0,2*(OR(ISNUMBER(FIND("WORKCENTER",BQ17)),AND(LEFT(BQ17,4)="LINE",NOT(ISNUMBER(FIND("STATUS",BQ17))))))+4*(OR(ISNUMBER(FIND("WORKORDER",BQ17)),AND(LEFT(BQ17,2)="WO",OR(ISNUMBER(FIND("NUM",BQ17)),RIGHT(BQ17,2)="NO"))))+8*(LEFT(BQ17,3)="SEQ")+16*(AND(LEFT(BQ17,4)="ITEM",NOT(ISNUMBER(FIND("DESC",BQ17)))))+32*(AND(ISNUMBER(FIND("DESC",BQ17)),NOT(ISNUMBER(FIND("CAP",BQ17)))))+64*(OR(RIGHT(BQ17,5)="COUNT",RIGHT(BQ17,2)="CT"))+128*(ISNUMBER(FIND("BULK",BQ17)))+256*(ISNUMBER(FIND("SIZE",BQ17)))+512*(LEFT(BQ17,3)="CAP")+1024*(ISNUMBER(FIND("ALLERG",BQ17)))+2048*(OR(ISNUMBER(FIND("REMARK",BQ17)),ISNUMBER(FIND("COMMENT",BQ17))))+4096*(OR(ISNUMBER(FIND("QTY",BQ17)),ISNUMBER(FIND("QUANTITY",BQ17))))+8192*(AND(OR(ISNUMBER(FIND("COMPLETE",BQ17)),ISNUMBER(FIND("PCT",BQ17)),ISNUMBER(FIND("PERCENT",BQ17))),NOT(ISNUMBER(FIND("ACTUAL",BQ17))),LEN(BQ17)&lt;=16))+32768*(OR(ISNUMBER(FIND("DESIC",BQ17)),ISNUMBER(FIND("DESSIC",BQ17)))))</f>
        <v/>
      </c>
      <c r="BR152">
        <f>IF(BR17="",0,2*(OR(ISNUMBER(FIND("WORKCENTER",BR17)),AND(LEFT(BR17,4)="LINE",NOT(ISNUMBER(FIND("STATUS",BR17))))))+4*(OR(ISNUMBER(FIND("WORKORDER",BR17)),AND(LEFT(BR17,2)="WO",OR(ISNUMBER(FIND("NUM",BR17)),RIGHT(BR17,2)="NO"))))+8*(LEFT(BR17,3)="SEQ")+16*(AND(LEFT(BR17,4)="ITEM",NOT(ISNUMBER(FIND("DESC",BR17)))))+32*(AND(ISNUMBER(FIND("DESC",BR17)),NOT(ISNUMBER(FIND("CAP",BR17)))))+64*(OR(RIGHT(BR17,5)="COUNT",RIGHT(BR17,2)="CT"))+128*(ISNUMBER(FIND("BULK",BR17)))+256*(ISNUMBER(FIND("SIZE",BR17)))+512*(LEFT(BR17,3)="CAP")+1024*(ISNUMBER(FIND("ALLERG",BR17)))+2048*(OR(ISNUMBER(FIND("REMARK",BR17)),ISNUMBER(FIND("COMMENT",BR17))))+4096*(OR(ISNUMBER(FIND("QTY",BR17)),ISNUMBER(FIND("QUANTITY",BR17))))+8192*(AND(OR(ISNUMBER(FIND("COMPLETE",BR17)),ISNUMBER(FIND("PCT",BR17)),ISNUMBER(FIND("PERCENT",BR17))),NOT(ISNUMBER(FIND("ACTUAL",BR17))),LEN(BR17)&lt;=16))+32768*(OR(ISNUMBER(FIND("DESIC",BR17)),ISNUMBER(FIND("DESSIC",BR17)))))</f>
        <v/>
      </c>
      <c r="BS152">
        <f>IF(BS17="",0,2*(OR(ISNUMBER(FIND("WORKCENTER",BS17)),AND(LEFT(BS17,4)="LINE",NOT(ISNUMBER(FIND("STATUS",BS17))))))+4*(OR(ISNUMBER(FIND("WORKORDER",BS17)),AND(LEFT(BS17,2)="WO",OR(ISNUMBER(FIND("NUM",BS17)),RIGHT(BS17,2)="NO"))))+8*(LEFT(BS17,3)="SEQ")+16*(AND(LEFT(BS17,4)="ITEM",NOT(ISNUMBER(FIND("DESC",BS17)))))+32*(AND(ISNUMBER(FIND("DESC",BS17)),NOT(ISNUMBER(FIND("CAP",BS17)))))+64*(OR(RIGHT(BS17,5)="COUNT",RIGHT(BS17,2)="CT"))+128*(ISNUMBER(FIND("BULK",BS17)))+256*(ISNUMBER(FIND("SIZE",BS17)))+512*(LEFT(BS17,3)="CAP")+1024*(ISNUMBER(FIND("ALLERG",BS17)))+2048*(OR(ISNUMBER(FIND("REMARK",BS17)),ISNUMBER(FIND("COMMENT",BS17))))+4096*(OR(ISNUMBER(FIND("QTY",BS17)),ISNUMBER(FIND("QUANTITY",BS17))))+8192*(AND(OR(ISNUMBER(FIND("COMPLETE",BS17)),ISNUMBER(FIND("PCT",BS17)),ISNUMBER(FIND("PERCENT",BS17))),NOT(ISNUMBER(FIND("ACTUAL",BS17))),LEN(BS17)&lt;=16))+32768*(OR(ISNUMBER(FIND("DESIC",BS17)),ISNUMBER(FIND("DESSIC",BS17)))))</f>
        <v/>
      </c>
      <c r="BT152">
        <f>IF(BT17="",0,2*(OR(ISNUMBER(FIND("WORKCENTER",BT17)),AND(LEFT(BT17,4)="LINE",NOT(ISNUMBER(FIND("STATUS",BT17))))))+4*(OR(ISNUMBER(FIND("WORKORDER",BT17)),AND(LEFT(BT17,2)="WO",OR(ISNUMBER(FIND("NUM",BT17)),RIGHT(BT17,2)="NO"))))+8*(LEFT(BT17,3)="SEQ")+16*(AND(LEFT(BT17,4)="ITEM",NOT(ISNUMBER(FIND("DESC",BT17)))))+32*(AND(ISNUMBER(FIND("DESC",BT17)),NOT(ISNUMBER(FIND("CAP",BT17)))))+64*(OR(RIGHT(BT17,5)="COUNT",RIGHT(BT17,2)="CT"))+128*(ISNUMBER(FIND("BULK",BT17)))+256*(ISNUMBER(FIND("SIZE",BT17)))+512*(LEFT(BT17,3)="CAP")+1024*(ISNUMBER(FIND("ALLERG",BT17)))+2048*(OR(ISNUMBER(FIND("REMARK",BT17)),ISNUMBER(FIND("COMMENT",BT17))))+4096*(OR(ISNUMBER(FIND("QTY",BT17)),ISNUMBER(FIND("QUANTITY",BT17))))+8192*(AND(OR(ISNUMBER(FIND("COMPLETE",BT17)),ISNUMBER(FIND("PCT",BT17)),ISNUMBER(FIND("PERCENT",BT17))),NOT(ISNUMBER(FIND("ACTUAL",BT17))),LEN(BT17)&lt;=16))+32768*(OR(ISNUMBER(FIND("DESIC",BT17)),ISNUMBER(FIND("DESSIC",BT17)))))</f>
        <v/>
      </c>
      <c r="BU152">
        <f>IF(BU17="",0,2*(OR(ISNUMBER(FIND("WORKCENTER",BU17)),AND(LEFT(BU17,4)="LINE",NOT(ISNUMBER(FIND("STATUS",BU17))))))+4*(OR(ISNUMBER(FIND("WORKORDER",BU17)),AND(LEFT(BU17,2)="WO",OR(ISNUMBER(FIND("NUM",BU17)),RIGHT(BU17,2)="NO"))))+8*(LEFT(BU17,3)="SEQ")+16*(AND(LEFT(BU17,4)="ITEM",NOT(ISNUMBER(FIND("DESC",BU17)))))+32*(AND(ISNUMBER(FIND("DESC",BU17)),NOT(ISNUMBER(FIND("CAP",BU17)))))+64*(OR(RIGHT(BU17,5)="COUNT",RIGHT(BU17,2)="CT"))+128*(ISNUMBER(FIND("BULK",BU17)))+256*(ISNUMBER(FIND("SIZE",BU17)))+512*(LEFT(BU17,3)="CAP")+1024*(ISNUMBER(FIND("ALLERG",BU17)))+2048*(OR(ISNUMBER(FIND("REMARK",BU17)),ISNUMBER(FIND("COMMENT",BU17))))+4096*(OR(ISNUMBER(FIND("QTY",BU17)),ISNUMBER(FIND("QUANTITY",BU17))))+8192*(AND(OR(ISNUMBER(FIND("COMPLETE",BU17)),ISNUMBER(FIND("PCT",BU17)),ISNUMBER(FIND("PERCENT",BU17))),NOT(ISNUMBER(FIND("ACTUAL",BU17))),LEN(BU17)&lt;=16))+32768*(OR(ISNUMBER(FIND("DESIC",BU17)),ISNUMBER(FIND("DESSIC",BU17)))))</f>
        <v/>
      </c>
      <c r="BV152">
        <f>IF(BV17="",0,2*(OR(ISNUMBER(FIND("WORKCENTER",BV17)),AND(LEFT(BV17,4)="LINE",NOT(ISNUMBER(FIND("STATUS",BV17))))))+4*(OR(ISNUMBER(FIND("WORKORDER",BV17)),AND(LEFT(BV17,2)="WO",OR(ISNUMBER(FIND("NUM",BV17)),RIGHT(BV17,2)="NO"))))+8*(LEFT(BV17,3)="SEQ")+16*(AND(LEFT(BV17,4)="ITEM",NOT(ISNUMBER(FIND("DESC",BV17)))))+32*(AND(ISNUMBER(FIND("DESC",BV17)),NOT(ISNUMBER(FIND("CAP",BV17)))))+64*(OR(RIGHT(BV17,5)="COUNT",RIGHT(BV17,2)="CT"))+128*(ISNUMBER(FIND("BULK",BV17)))+256*(ISNUMBER(FIND("SIZE",BV17)))+512*(LEFT(BV17,3)="CAP")+1024*(ISNUMBER(FIND("ALLERG",BV17)))+2048*(OR(ISNUMBER(FIND("REMARK",BV17)),ISNUMBER(FIND("COMMENT",BV17))))+4096*(OR(ISNUMBER(FIND("QTY",BV17)),ISNUMBER(FIND("QUANTITY",BV17))))+8192*(AND(OR(ISNUMBER(FIND("COMPLETE",BV17)),ISNUMBER(FIND("PCT",BV17)),ISNUMBER(FIND("PERCENT",BV17))),NOT(ISNUMBER(FIND("ACTUAL",BV17))),LEN(BV17)&lt;=16))+32768*(OR(ISNUMBER(FIND("DESIC",BV17)),ISNUMBER(FIND("DESSIC",BV17)))))</f>
        <v/>
      </c>
      <c r="BW152">
        <f>IF(BW17="",0,2*(OR(ISNUMBER(FIND("WORKCENTER",BW17)),AND(LEFT(BW17,4)="LINE",NOT(ISNUMBER(FIND("STATUS",BW17))))))+4*(OR(ISNUMBER(FIND("WORKORDER",BW17)),AND(LEFT(BW17,2)="WO",OR(ISNUMBER(FIND("NUM",BW17)),RIGHT(BW17,2)="NO"))))+8*(LEFT(BW17,3)="SEQ")+16*(AND(LEFT(BW17,4)="ITEM",NOT(ISNUMBER(FIND("DESC",BW17)))))+32*(AND(ISNUMBER(FIND("DESC",BW17)),NOT(ISNUMBER(FIND("CAP",BW17)))))+64*(OR(RIGHT(BW17,5)="COUNT",RIGHT(BW17,2)="CT"))+128*(ISNUMBER(FIND("BULK",BW17)))+256*(ISNUMBER(FIND("SIZE",BW17)))+512*(LEFT(BW17,3)="CAP")+1024*(ISNUMBER(FIND("ALLERG",BW17)))+2048*(OR(ISNUMBER(FIND("REMARK",BW17)),ISNUMBER(FIND("COMMENT",BW17))))+4096*(OR(ISNUMBER(FIND("QTY",BW17)),ISNUMBER(FIND("QUANTITY",BW17))))+8192*(AND(OR(ISNUMBER(FIND("COMPLETE",BW17)),ISNUMBER(FIND("PCT",BW17)),ISNUMBER(FIND("PERCENT",BW17))),NOT(ISNUMBER(FIND("ACTUAL",BW17))),LEN(BW17)&lt;=16))+32768*(OR(ISNUMBER(FIND("DESIC",BW17)),ISNUMBER(FIND("DESSIC",BW17)))))</f>
        <v/>
      </c>
      <c r="BX152">
        <f>IF(BX17="",0,2*(OR(ISNUMBER(FIND("WORKCENTER",BX17)),AND(LEFT(BX17,4)="LINE",NOT(ISNUMBER(FIND("STATUS",BX17))))))+4*(OR(ISNUMBER(FIND("WORKORDER",BX17)),AND(LEFT(BX17,2)="WO",OR(ISNUMBER(FIND("NUM",BX17)),RIGHT(BX17,2)="NO"))))+8*(LEFT(BX17,3)="SEQ")+16*(AND(LEFT(BX17,4)="ITEM",NOT(ISNUMBER(FIND("DESC",BX17)))))+32*(AND(ISNUMBER(FIND("DESC",BX17)),NOT(ISNUMBER(FIND("CAP",BX17)))))+64*(OR(RIGHT(BX17,5)="COUNT",RIGHT(BX17,2)="CT"))+128*(ISNUMBER(FIND("BULK",BX17)))+256*(ISNUMBER(FIND("SIZE",BX17)))+512*(LEFT(BX17,3)="CAP")+1024*(ISNUMBER(FIND("ALLERG",BX17)))+2048*(OR(ISNUMBER(FIND("REMARK",BX17)),ISNUMBER(FIND("COMMENT",BX17))))+4096*(OR(ISNUMBER(FIND("QTY",BX17)),ISNUMBER(FIND("QUANTITY",BX17))))+8192*(AND(OR(ISNUMBER(FIND("COMPLETE",BX17)),ISNUMBER(FIND("PCT",BX17)),ISNUMBER(FIND("PERCENT",BX17))),NOT(ISNUMBER(FIND("ACTUAL",BX17))),LEN(BX17)&lt;=16))+32768*(OR(ISNUMBER(FIND("DESIC",BX17)),ISNUMBER(FIND("DESSIC",BX17)))))</f>
        <v/>
      </c>
      <c r="BY152">
        <f>IF(BY17="",0,2*(OR(ISNUMBER(FIND("WORKCENTER",BY17)),AND(LEFT(BY17,4)="LINE",NOT(ISNUMBER(FIND("STATUS",BY17))))))+4*(OR(ISNUMBER(FIND("WORKORDER",BY17)),AND(LEFT(BY17,2)="WO",OR(ISNUMBER(FIND("NUM",BY17)),RIGHT(BY17,2)="NO"))))+8*(LEFT(BY17,3)="SEQ")+16*(AND(LEFT(BY17,4)="ITEM",NOT(ISNUMBER(FIND("DESC",BY17)))))+32*(AND(ISNUMBER(FIND("DESC",BY17)),NOT(ISNUMBER(FIND("CAP",BY17)))))+64*(OR(RIGHT(BY17,5)="COUNT",RIGHT(BY17,2)="CT"))+128*(ISNUMBER(FIND("BULK",BY17)))+256*(ISNUMBER(FIND("SIZE",BY17)))+512*(LEFT(BY17,3)="CAP")+1024*(ISNUMBER(FIND("ALLERG",BY17)))+2048*(OR(ISNUMBER(FIND("REMARK",BY17)),ISNUMBER(FIND("COMMENT",BY17))))+4096*(OR(ISNUMBER(FIND("QTY",BY17)),ISNUMBER(FIND("QUANTITY",BY17))))+8192*(AND(OR(ISNUMBER(FIND("COMPLETE",BY17)),ISNUMBER(FIND("PCT",BY17)),ISNUMBER(FIND("PERCENT",BY17))),NOT(ISNUMBER(FIND("ACTUAL",BY17))),LEN(BY17)&lt;=16))+32768*(OR(ISNUMBER(FIND("DESIC",BY17)),ISNUMBER(FIND("DESSIC",BY17)))))</f>
        <v/>
      </c>
      <c r="BZ152">
        <f>IF(BZ17="",0,2*(OR(ISNUMBER(FIND("WORKCENTER",BZ17)),AND(LEFT(BZ17,4)="LINE",NOT(ISNUMBER(FIND("STATUS",BZ17))))))+4*(OR(ISNUMBER(FIND("WORKORDER",BZ17)),AND(LEFT(BZ17,2)="WO",OR(ISNUMBER(FIND("NUM",BZ17)),RIGHT(BZ17,2)="NO"))))+8*(LEFT(BZ17,3)="SEQ")+16*(AND(LEFT(BZ17,4)="ITEM",NOT(ISNUMBER(FIND("DESC",BZ17)))))+32*(AND(ISNUMBER(FIND("DESC",BZ17)),NOT(ISNUMBER(FIND("CAP",BZ17)))))+64*(OR(RIGHT(BZ17,5)="COUNT",RIGHT(BZ17,2)="CT"))+128*(ISNUMBER(FIND("BULK",BZ17)))+256*(ISNUMBER(FIND("SIZE",BZ17)))+512*(LEFT(BZ17,3)="CAP")+1024*(ISNUMBER(FIND("ALLERG",BZ17)))+2048*(OR(ISNUMBER(FIND("REMARK",BZ17)),ISNUMBER(FIND("COMMENT",BZ17))))+4096*(OR(ISNUMBER(FIND("QTY",BZ17)),ISNUMBER(FIND("QUANTITY",BZ17))))+8192*(AND(OR(ISNUMBER(FIND("COMPLETE",BZ17)),ISNUMBER(FIND("PCT",BZ17)),ISNUMBER(FIND("PERCENT",BZ17))),NOT(ISNUMBER(FIND("ACTUAL",BZ17))),LEN(BZ17)&lt;=16))+32768*(OR(ISNUMBER(FIND("DESIC",BZ17)),ISNUMBER(FIND("DESSIC",BZ17)))))</f>
        <v/>
      </c>
      <c r="CA152">
        <f>IF(CA17="",0,2*(OR(ISNUMBER(FIND("WORKCENTER",CA17)),AND(LEFT(CA17,4)="LINE",NOT(ISNUMBER(FIND("STATUS",CA17))))))+4*(OR(ISNUMBER(FIND("WORKORDER",CA17)),AND(LEFT(CA17,2)="WO",OR(ISNUMBER(FIND("NUM",CA17)),RIGHT(CA17,2)="NO"))))+8*(LEFT(CA17,3)="SEQ")+16*(AND(LEFT(CA17,4)="ITEM",NOT(ISNUMBER(FIND("DESC",CA17)))))+32*(AND(ISNUMBER(FIND("DESC",CA17)),NOT(ISNUMBER(FIND("CAP",CA17)))))+64*(OR(RIGHT(CA17,5)="COUNT",RIGHT(CA17,2)="CT"))+128*(ISNUMBER(FIND("BULK",CA17)))+256*(ISNUMBER(FIND("SIZE",CA17)))+512*(LEFT(CA17,3)="CAP")+1024*(ISNUMBER(FIND("ALLERG",CA17)))+2048*(OR(ISNUMBER(FIND("REMARK",CA17)),ISNUMBER(FIND("COMMENT",CA17))))+4096*(OR(ISNUMBER(FIND("QTY",CA17)),ISNUMBER(FIND("QUANTITY",CA17))))+8192*(AND(OR(ISNUMBER(FIND("COMPLETE",CA17)),ISNUMBER(FIND("PCT",CA17)),ISNUMBER(FIND("PERCENT",CA17))),NOT(ISNUMBER(FIND("ACTUAL",CA17))),LEN(CA17)&lt;=16))+32768*(OR(ISNUMBER(FIND("DESIC",CA17)),ISNUMBER(FIND("DESSIC",CA17)))))</f>
        <v/>
      </c>
      <c r="CB152">
        <f>IF(CB17="",0,2*(OR(ISNUMBER(FIND("WORKCENTER",CB17)),AND(LEFT(CB17,4)="LINE",NOT(ISNUMBER(FIND("STATUS",CB17))))))+4*(OR(ISNUMBER(FIND("WORKORDER",CB17)),AND(LEFT(CB17,2)="WO",OR(ISNUMBER(FIND("NUM",CB17)),RIGHT(CB17,2)="NO"))))+8*(LEFT(CB17,3)="SEQ")+16*(AND(LEFT(CB17,4)="ITEM",NOT(ISNUMBER(FIND("DESC",CB17)))))+32*(AND(ISNUMBER(FIND("DESC",CB17)),NOT(ISNUMBER(FIND("CAP",CB17)))))+64*(OR(RIGHT(CB17,5)="COUNT",RIGHT(CB17,2)="CT"))+128*(ISNUMBER(FIND("BULK",CB17)))+256*(ISNUMBER(FIND("SIZE",CB17)))+512*(LEFT(CB17,3)="CAP")+1024*(ISNUMBER(FIND("ALLERG",CB17)))+2048*(OR(ISNUMBER(FIND("REMARK",CB17)),ISNUMBER(FIND("COMMENT",CB17))))+4096*(OR(ISNUMBER(FIND("QTY",CB17)),ISNUMBER(FIND("QUANTITY",CB17))))+8192*(AND(OR(ISNUMBER(FIND("COMPLETE",CB17)),ISNUMBER(FIND("PCT",CB17)),ISNUMBER(FIND("PERCENT",CB17))),NOT(ISNUMBER(FIND("ACTUAL",CB17))),LEN(CB17)&lt;=16))+32768*(OR(ISNUMBER(FIND("DESIC",CB17)),ISNUMBER(FIND("DESSIC",CB17)))))</f>
        <v/>
      </c>
      <c r="CC152">
        <f>IF(CC17="",0,2*(OR(ISNUMBER(FIND("WORKCENTER",CC17)),AND(LEFT(CC17,4)="LINE",NOT(ISNUMBER(FIND("STATUS",CC17))))))+4*(OR(ISNUMBER(FIND("WORKORDER",CC17)),AND(LEFT(CC17,2)="WO",OR(ISNUMBER(FIND("NUM",CC17)),RIGHT(CC17,2)="NO"))))+8*(LEFT(CC17,3)="SEQ")+16*(AND(LEFT(CC17,4)="ITEM",NOT(ISNUMBER(FIND("DESC",CC17)))))+32*(AND(ISNUMBER(FIND("DESC",CC17)),NOT(ISNUMBER(FIND("CAP",CC17)))))+64*(OR(RIGHT(CC17,5)="COUNT",RIGHT(CC17,2)="CT"))+128*(ISNUMBER(FIND("BULK",CC17)))+256*(ISNUMBER(FIND("SIZE",CC17)))+512*(LEFT(CC17,3)="CAP")+1024*(ISNUMBER(FIND("ALLERG",CC17)))+2048*(OR(ISNUMBER(FIND("REMARK",CC17)),ISNUMBER(FIND("COMMENT",CC17))))+4096*(OR(ISNUMBER(FIND("QTY",CC17)),ISNUMBER(FIND("QUANTITY",CC17))))+8192*(AND(OR(ISNUMBER(FIND("COMPLETE",CC17)),ISNUMBER(FIND("PCT",CC17)),ISNUMBER(FIND("PERCENT",CC17))),NOT(ISNUMBER(FIND("ACTUAL",CC17))),LEN(CC17)&lt;=16))+32768*(OR(ISNUMBER(FIND("DESIC",CC17)),ISNUMBER(FIND("DESSIC",CC17)))))</f>
        <v/>
      </c>
      <c r="CD152">
        <f>IF(CD17="",0,2*(OR(ISNUMBER(FIND("WORKCENTER",CD17)),AND(LEFT(CD17,4)="LINE",NOT(ISNUMBER(FIND("STATUS",CD17))))))+4*(OR(ISNUMBER(FIND("WORKORDER",CD17)),AND(LEFT(CD17,2)="WO",OR(ISNUMBER(FIND("NUM",CD17)),RIGHT(CD17,2)="NO"))))+8*(LEFT(CD17,3)="SEQ")+16*(AND(LEFT(CD17,4)="ITEM",NOT(ISNUMBER(FIND("DESC",CD17)))))+32*(AND(ISNUMBER(FIND("DESC",CD17)),NOT(ISNUMBER(FIND("CAP",CD17)))))+64*(OR(RIGHT(CD17,5)="COUNT",RIGHT(CD17,2)="CT"))+128*(ISNUMBER(FIND("BULK",CD17)))+256*(ISNUMBER(FIND("SIZE",CD17)))+512*(LEFT(CD17,3)="CAP")+1024*(ISNUMBER(FIND("ALLERG",CD17)))+2048*(OR(ISNUMBER(FIND("REMARK",CD17)),ISNUMBER(FIND("COMMENT",CD17))))+4096*(OR(ISNUMBER(FIND("QTY",CD17)),ISNUMBER(FIND("QUANTITY",CD17))))+8192*(AND(OR(ISNUMBER(FIND("COMPLETE",CD17)),ISNUMBER(FIND("PCT",CD17)),ISNUMBER(FIND("PERCENT",CD17))),NOT(ISNUMBER(FIND("ACTUAL",CD17))),LEN(CD17)&lt;=16))+32768*(OR(ISNUMBER(FIND("DESIC",CD17)),ISNUMBER(FIND("DESSIC",CD17)))))</f>
        <v/>
      </c>
      <c r="CE152">
        <f>IF(CE17="",0,2*(OR(ISNUMBER(FIND("WORKCENTER",CE17)),AND(LEFT(CE17,4)="LINE",NOT(ISNUMBER(FIND("STATUS",CE17))))))+4*(OR(ISNUMBER(FIND("WORKORDER",CE17)),AND(LEFT(CE17,2)="WO",OR(ISNUMBER(FIND("NUM",CE17)),RIGHT(CE17,2)="NO"))))+8*(LEFT(CE17,3)="SEQ")+16*(AND(LEFT(CE17,4)="ITEM",NOT(ISNUMBER(FIND("DESC",CE17)))))+32*(AND(ISNUMBER(FIND("DESC",CE17)),NOT(ISNUMBER(FIND("CAP",CE17)))))+64*(OR(RIGHT(CE17,5)="COUNT",RIGHT(CE17,2)="CT"))+128*(ISNUMBER(FIND("BULK",CE17)))+256*(ISNUMBER(FIND("SIZE",CE17)))+512*(LEFT(CE17,3)="CAP")+1024*(ISNUMBER(FIND("ALLERG",CE17)))+2048*(OR(ISNUMBER(FIND("REMARK",CE17)),ISNUMBER(FIND("COMMENT",CE17))))+4096*(OR(ISNUMBER(FIND("QTY",CE17)),ISNUMBER(FIND("QUANTITY",CE17))))+8192*(AND(OR(ISNUMBER(FIND("COMPLETE",CE17)),ISNUMBER(FIND("PCT",CE17)),ISNUMBER(FIND("PERCENT",CE17))),NOT(ISNUMBER(FIND("ACTUAL",CE17))),LEN(CE17)&lt;=16))+32768*(OR(ISNUMBER(FIND("DESIC",CE17)),ISNUMBER(FIND("DESSIC",CE17)))))</f>
        <v/>
      </c>
      <c r="CF152">
        <f>IF(CF17="",0,2*(OR(ISNUMBER(FIND("WORKCENTER",CF17)),AND(LEFT(CF17,4)="LINE",NOT(ISNUMBER(FIND("STATUS",CF17))))))+4*(OR(ISNUMBER(FIND("WORKORDER",CF17)),AND(LEFT(CF17,2)="WO",OR(ISNUMBER(FIND("NUM",CF17)),RIGHT(CF17,2)="NO"))))+8*(LEFT(CF17,3)="SEQ")+16*(AND(LEFT(CF17,4)="ITEM",NOT(ISNUMBER(FIND("DESC",CF17)))))+32*(AND(ISNUMBER(FIND("DESC",CF17)),NOT(ISNUMBER(FIND("CAP",CF17)))))+64*(OR(RIGHT(CF17,5)="COUNT",RIGHT(CF17,2)="CT"))+128*(ISNUMBER(FIND("BULK",CF17)))+256*(ISNUMBER(FIND("SIZE",CF17)))+512*(LEFT(CF17,3)="CAP")+1024*(ISNUMBER(FIND("ALLERG",CF17)))+2048*(OR(ISNUMBER(FIND("REMARK",CF17)),ISNUMBER(FIND("COMMENT",CF17))))+4096*(OR(ISNUMBER(FIND("QTY",CF17)),ISNUMBER(FIND("QUANTITY",CF17))))+8192*(AND(OR(ISNUMBER(FIND("COMPLETE",CF17)),ISNUMBER(FIND("PCT",CF17)),ISNUMBER(FIND("PERCENT",CF17))),NOT(ISNUMBER(FIND("ACTUAL",CF17))),LEN(CF17)&lt;=16))+32768*(OR(ISNUMBER(FIND("DESIC",CF17)),ISNUMBER(FIND("DESSIC",CF17)))))</f>
        <v/>
      </c>
      <c r="DA152" t="n">
        <v>148</v>
      </c>
      <c r="DB152">
        <f>IF($B$37=0,"",IFERROR(TRIM(SUBSTITUTE(SUBSTITUTE(SUBSTITUTE(SUBSTITUTE(INDEX(PASTE_ALL,148,$B$37)," "," "),CHAR(9)," "),CHAR(10)," "),CHAR(13)," ")),""))</f>
        <v/>
      </c>
      <c r="DC152">
        <f>IF(AND(148&gt;HEADER_ROW,UPPER(DB152)="LEGEND"),1,0)</f>
        <v/>
      </c>
      <c r="DE152" t="n">
        <v>148</v>
      </c>
      <c r="DF152">
        <f>HEADER_ROW+$DE152</f>
        <v/>
      </c>
      <c r="DG152">
        <f>IF(AND($DF152&lt;=1000,$DF152&lt;$B$8),1,0)</f>
        <v/>
      </c>
      <c r="DH152">
        <f>IF($DG152=1,IFERROR(INDEX($DB$5:$DB$1004,$DF152),""),"")</f>
        <v/>
      </c>
      <c r="DI152">
        <f>IF(AND($DG152=1,$DH152&lt;&gt;""),IFERROR(SUBSTITUTE(SUBSTITUTE(TRIM(SUBSTITUTE(SUBSTITUTE(SUBSTITUTE(SUBSTITUTE(IFERROR(INDEX(PASTE_ALL,$DF152,1)&amp;"","")&amp;"␟"&amp;IFERROR(INDEX(PASTE_ALL,$DF152,2)&amp;"","")&amp;"␟"&amp;IFERROR(INDEX(PASTE_ALL,$DF152,3)&amp;"","")&amp;"␟"&amp;IFERROR(INDEX(PASTE_ALL,$DF152,4)&amp;"","")&amp;"␟"&amp;IFERROR(INDEX(PASTE_ALL,$DF152,5)&amp;"","")&amp;"␟"&amp;IFERROR(INDEX(PASTE_ALL,$DF152,6)&amp;"","")&amp;"␟"&amp;IFERROR(INDEX(PASTE_ALL,$DF152,7)&amp;"","")&amp;"␟"&amp;IFERROR(INDEX(PASTE_ALL,$DF152,8)&amp;"","")&amp;"␟"&amp;IFERROR(INDEX(PASTE_ALL,$DF152,9)&amp;"","")&amp;"␟"&amp;IFERROR(INDEX(PASTE_ALL,$DF152,10)&amp;"","")&amp;"␟"&amp;IFERROR(INDEX(PASTE_ALL,$DF152,11)&amp;"","")&amp;"␟"&amp;IFERROR(INDEX(PASTE_ALL,$DF152,12)&amp;"","")&amp;"␟"&amp;IFERROR(INDEX(PASTE_ALL,$DF152,13)&amp;"","")&amp;"␟"&amp;IFERROR(INDEX(PASTE_ALL,$DF152,14)&amp;"","")&amp;"␟"&amp;IFERROR(INDEX(PASTE_ALL,$DF152,15)&amp;"","")&amp;"␟"&amp;IFERROR(INDEX(PASTE_ALL,$DF152,16)&amp;"","")&amp;"␟"&amp;IFERROR(INDEX(PASTE_ALL,$DF152,17)&amp;"","")&amp;"␟"&amp;IFERROR(INDEX(PASTE_ALL,$DF152,18)&amp;"","")&amp;"␟"&amp;IFERROR(INDEX(PASTE_ALL,$DF152,19)&amp;"","")&amp;"␟"&amp;IFERROR(INDEX(PASTE_ALL,$DF152,20)&amp;"","")&amp;"␟"&amp;IFERROR(INDEX(PASTE_ALL,$DF152,21)&amp;"","")&amp;"␟"&amp;IFERROR(INDEX(PASTE_ALL,$DF152,22)&amp;"","")&amp;"␟"&amp;IFERROR(INDEX(PASTE_ALL,$DF152,23)&amp;"","")&amp;"␟"&amp;IFERROR(INDEX(PASTE_ALL,$DF152,24)&amp;"","")&amp;"␟"&amp;IFERROR(INDEX(PASTE_ALL,$DF152,25)&amp;"","")&amp;"␟"&amp;IFERROR(INDEX(PASTE_ALL,$DF152,26)&amp;"","")&amp;"␟"&amp;IFERROR(INDEX(PASTE_ALL,$DF152,27)&amp;"","")&amp;"␟"&amp;IFERROR(INDEX(PASTE_ALL,$DF152,28)&amp;"","")&amp;"␟"&amp;IFERROR(INDEX(PASTE_ALL,$DF152,29)&amp;"","")&amp;"␟"&amp;IFERROR(INDEX(PASTE_ALL,$DF152,30)&amp;"","")&amp;"␟"&amp;IFERROR(INDEX(PASTE_ALL,$DF152,31)&amp;"","")&amp;"␟"&amp;IFERROR(INDEX(PASTE_ALL,$DF152,32)&amp;"","")&amp;"␟"&amp;IFERROR(INDEX(PASTE_ALL,$DF152,33)&amp;"","")&amp;"␟"&amp;IFERROR(INDEX(PASTE_ALL,$DF152,34)&amp;"","")&amp;"␟"&amp;IFERROR(INDEX(PASTE_ALL,$DF152,35)&amp;"","")&amp;"␟"&amp;IFERROR(INDEX(PASTE_ALL,$DF152,36)&amp;"","")&amp;"␟"&amp;IFERROR(INDEX(PASTE_ALL,$DF152,37)&amp;"","")&amp;"␟"&amp;IFERROR(INDEX(PASTE_ALL,$DF152,38)&amp;"","")&amp;"␟"&amp;IFERROR(INDEX(PASTE_ALL,$DF152,39)&amp;"","")&amp;"␟"&amp;IFERROR(INDEX(PASTE_ALL,$DF152,40)&amp;"","")&amp;"␟"&amp;IFERROR(INDEX(PASTE_ALL,$DF152,41)&amp;"","")&amp;"␟"&amp;IFERROR(INDEX(PASTE_ALL,$DF152,42)&amp;"","")&amp;"␟"&amp;IFERROR(INDEX(PASTE_ALL,$DF152,43)&amp;"","")&amp;"␟"&amp;IFERROR(INDEX(PASTE_ALL,$DF152,44)&amp;"","")&amp;"␟"&amp;IFERROR(INDEX(PASTE_ALL,$DF152,45)&amp;"","")&amp;"␟"&amp;IFERROR(INDEX(PASTE_ALL,$DF152,46)&amp;"","")&amp;"␟"&amp;IFERROR(INDEX(PASTE_ALL,$DF152,47)&amp;"","")&amp;"␟"&amp;IFERROR(INDEX(PASTE_ALL,$DF152,48)&amp;"","")&amp;"␟"&amp;IFERROR(INDEX(PASTE_ALL,$DF152,49)&amp;"","")&amp;"␟"&amp;IFERROR(INDEX(PASTE_ALL,$DF152,50)&amp;"","")&amp;"␟"&amp;IFERROR(INDEX(PASTE_ALL,$DF152,51)&amp;"","")&amp;"␟"&amp;IFERROR(INDEX(PASTE_ALL,$DF152,52)&amp;"","")&amp;"␟"&amp;IFERROR(INDEX(PASTE_ALL,$DF152,53)&amp;"","")&amp;"␟"&amp;IFERROR(INDEX(PASTE_ALL,$DF152,54)&amp;"","")&amp;"␟"&amp;IFERROR(INDEX(PASTE_ALL,$DF152,55)&amp;"","")&amp;"␟"&amp;IFERROR(INDEX(PASTE_ALL,$DF152,56)&amp;"","")&amp;"␟"&amp;IFERROR(INDEX(PASTE_ALL,$DF152,57)&amp;"","")&amp;"␟"&amp;IFERROR(INDEX(PASTE_ALL,$DF152,58)&amp;"","")&amp;"␟"&amp;IFERROR(INDEX(PASTE_ALL,$DF152,59)&amp;"","")&amp;"␟"&amp;IFERROR(INDEX(PASTE_ALL,$DF152,60)&amp;"","")," "," "),CHAR(9)," "),CHAR(10)," "),CHAR(13)," "))," ␟","␟"),"␟ ","␟"),"#"&amp;$DE152),"")</f>
        <v/>
      </c>
      <c r="DJ152">
        <f>IF($DI152="",0,IF(SUMPRODUCT(--EXACT($DI$4:DI151,$DI152))&gt;0,1,0))</f>
        <v/>
      </c>
      <c r="DK152">
        <f>IF(AND($DI152&lt;&gt;"",$DJ152=0),1,0)</f>
        <v/>
      </c>
      <c r="DL152">
        <f>DL151+$DK152</f>
        <v/>
      </c>
      <c r="DM152">
        <f>IF(AND($DK152=1,$DL152&lt;=600),1,0)</f>
        <v/>
      </c>
      <c r="DN152">
        <f>IF($DM152=0,"",IF($L$6=0,"",IFERROR(IF(ISNUMBER(INDEX(PASTE_ALL,$DF152,$L$6)),INDEX(PASTE_ALL,$DF152,$L$6),TRIM(SUBSTITUTE(SUBSTITUTE(SUBSTITUTE(SUBSTITUTE(INDEX(PASTE_ALL,$DF152,$L$6)," "," "),CHAR(9)," "),CHAR(10)," "),CHAR(13)," "))),"")))</f>
        <v/>
      </c>
      <c r="DO152">
        <f>IF($DM152=0,"",IF($L$7=0,"",IFERROR(IF(ISNUMBER(INDEX(PASTE_ALL,$DF152,$L$7)),INDEX(PASTE_ALL,$DF152,$L$7),TRIM(SUBSTITUTE(SUBSTITUTE(SUBSTITUTE(SUBSTITUTE(INDEX(PASTE_ALL,$DF152,$L$7)," "," "),CHAR(9)," "),CHAR(10)," "),CHAR(13)," "))),"")))</f>
        <v/>
      </c>
      <c r="DP152">
        <f>IF($DM152=0,"",IF($L$8=0,"",IFERROR(IF(ISNUMBER(INDEX(PASTE_ALL,$DF152,$L$8)),INDEX(PASTE_ALL,$DF152,$L$8),TRIM(SUBSTITUTE(SUBSTITUTE(SUBSTITUTE(SUBSTITUTE(INDEX(PASTE_ALL,$DF152,$L$8)," "," "),CHAR(9)," "),CHAR(10)," "),CHAR(13)," "))),"")))</f>
        <v/>
      </c>
      <c r="DQ152">
        <f>IF($DM152=0,"",IF($L$9=0,"",IFERROR(IF(ISNUMBER(INDEX(PASTE_ALL,$DF152,$L$9)),INDEX(PASTE_ALL,$DF152,$L$9),TRIM(SUBSTITUTE(SUBSTITUTE(SUBSTITUTE(SUBSTITUTE(INDEX(PASTE_ALL,$DF152,$L$9)," "," "),CHAR(9)," "),CHAR(10)," "),CHAR(13)," "))),"")))</f>
        <v/>
      </c>
      <c r="DR152">
        <f>IF($DM152=0,"",IF($L$10=0,"",IFERROR(IF(ISNUMBER(INDEX(PASTE_ALL,$DF152,$L$10)),INDEX(PASTE_ALL,$DF152,$L$10),TRIM(SUBSTITUTE(SUBSTITUTE(SUBSTITUTE(SUBSTITUTE(INDEX(PASTE_ALL,$DF152,$L$10)," "," "),CHAR(9)," "),CHAR(10)," "),CHAR(13)," "))),"")))</f>
        <v/>
      </c>
      <c r="DS152">
        <f>IF($DM152=0,"",IF($L$11=0,"",IFERROR(IF(ISNUMBER(INDEX(PASTE_ALL,$DF152,$L$11)),INDEX(PASTE_ALL,$DF152,$L$11),TRIM(SUBSTITUTE(SUBSTITUTE(SUBSTITUTE(SUBSTITUTE(INDEX(PASTE_ALL,$DF152,$L$11)," "," "),CHAR(9)," "),CHAR(10)," "),CHAR(13)," "))),"")))</f>
        <v/>
      </c>
      <c r="DT152">
        <f>IF($DM152=0,"",IF($L$12=0,"",IFERROR(IF(ISNUMBER(INDEX(PASTE_ALL,$DF152,$L$12)),INDEX(PASTE_ALL,$DF152,$L$12),TRIM(SUBSTITUTE(SUBSTITUTE(SUBSTITUTE(SUBSTITUTE(INDEX(PASTE_ALL,$DF152,$L$12)," "," "),CHAR(9)," "),CHAR(10)," "),CHAR(13)," "))),"")))</f>
        <v/>
      </c>
      <c r="DU152">
        <f>IF($DM152=0,"",IF($L$13=0,"",IFERROR(IF(ISNUMBER(INDEX(PASTE_ALL,$DF152,$L$13)),INDEX(PASTE_ALL,$DF152,$L$13),TRIM(SUBSTITUTE(SUBSTITUTE(SUBSTITUTE(SUBSTITUTE(INDEX(PASTE_ALL,$DF152,$L$13)," "," "),CHAR(9)," "),CHAR(10)," "),CHAR(13)," "))),"")))</f>
        <v/>
      </c>
      <c r="DV152">
        <f>IF($DM152=0,"",IF($L$14=0,"",IFERROR(IF(ISNUMBER(INDEX(PASTE_ALL,$DF152,$L$14)),INDEX(PASTE_ALL,$DF152,$L$14),TRIM(SUBSTITUTE(SUBSTITUTE(SUBSTITUTE(SUBSTITUTE(INDEX(PASTE_ALL,$DF152,$L$14)," "," "),CHAR(9)," "),CHAR(10)," "),CHAR(13)," "))),"")))</f>
        <v/>
      </c>
      <c r="DW152">
        <f>IF($DM152=0,"",IF($L$15=0,"",IFERROR(IF(ISNUMBER(INDEX(PASTE_ALL,$DF152,$L$15)),INDEX(PASTE_ALL,$DF152,$L$15),IF(SUMPRODUCT(--ISNUMBER(FIND({"A","B","C","D","E","F","G","H","I","J","K","L","M","N","O","P","Q","R","S","T","U","V","W","X","Y","Z","0","1","2","3","4","5","6","7","8","9"},UPPER(TRIM(SUBSTITUTE(SUBSTITUTE(SUBSTITUTE(SUBSTITUTE(INDEX(PASTE_ALL,$DF152,$L$15)," "," "),CHAR(9)," "),CHAR(10)," "),CHAR(13)," "))))))&gt;0,TRIM(SUBSTITUTE(SUBSTITUTE(SUBSTITUTE(SUBSTITUTE(INDEX(PASTE_ALL,$DF152,$L$15)," "," "),CHAR(9)," "),CHAR(10)," "),CHAR(13)," ")),"")),"")))</f>
        <v/>
      </c>
      <c r="DX152">
        <f>IF($DM152=0,"",IF($L$16=0,"",IFERROR(IF(ISNUMBER(INDEX(PASTE_ALL,$DF152,$L$16)),INDEX(PASTE_ALL,$DF152,$L$16),SUBSTITUTE(SUBSTITUTE(TRIM(SUBSTITUTE(SUBSTITUTE(SUBSTITUTE(SUBSTITUTE(INDEX(PASTE_ALL,$DF152,$L$16)," "," "),CHAR(9)," "),CHAR(10)," "),CHAR(13)," ")),",",""),"%","")),"")))</f>
        <v/>
      </c>
      <c r="DY152">
        <f>IF($DM152=0,"",IFERROR(IF(ISNUMBER($DX152),$DX152,IF($DX152="","",IF(TRIM($DX152)="",0,IF(AND(AND(SUBSTITUTE(SUBSTITUTE(SUBSTITUTE(SUBSTITUTE(SUBSTITUTE(SUBSTITUTE(SUBSTITUTE(SUBSTITUTE(SUBSTITUTE(SUBSTITUTE(SUBSTITUTE(SUBSTITUTE(SUBSTITUTE(SUBSTITUTE(UPPER(TRIM($DX152)),"0",""),"1",""),"2",""),"3",""),"4",""),"5",""),"6",""),"7",""),"8",""),"9",""),".",""),"+",""),"-",""),"E","")="",LEN(SUBSTITUTE(SUBSTITUTE(MID(UPPER(TRIM($DX152)),1+OR(LEFT(UPPER(TRIM($DX152)),1)="+",LEFT(UPPER(TRIM($DX152)),1)="-"),999),"E+","E"),"E-","E"))=LEN(SUBSTITUTE(SUBSTITUTE(SUBSTITUTE(SUBSTITUTE(MID(UPPER(TRIM($DX152)),1+OR(LEFT(UPPER(TRIM($DX152)),1)="+",LEFT(UPPER(TRIM($DX152)),1)="-"),999),"E+","E"),"E-","E"),"+",""),"-","")),LEN(UPPER(TRIM($DX152)))-LEN(SUBSTITUTE(UPPER(TRIM($DX152)),"E",""))&lt;2,LEN(UPPER(TRIM($DX152)))-LEN(SUBSTITUTE(UPPER(TRIM($DX152)),".",""))&lt;2,IFERROR(FIND(".",UPPER(TRIM($DX152))),0)&lt;IFERROR(FIND("E",UPPER(TRIM($DX152))),999)),ISNUMBER(VALUE(TRIM($DX152)))),VALUE(TRIM($DX152)),"")))),""))</f>
        <v/>
      </c>
      <c r="DZ152">
        <f>IF($DM152=0,"",IF($L$17=0,"",IFERROR(IF(ISNUMBER(INDEX(PASTE_ALL,$DF152,$L$17)),INDEX(PASTE_ALL,$DF152,$L$17),SUBSTITUTE(SUBSTITUTE(TRIM(SUBSTITUTE(SUBSTITUTE(SUBSTITUTE(SUBSTITUTE(INDEX(PASTE_ALL,$DF152,$L$17)," "," "),CHAR(9)," "),CHAR(10)," "),CHAR(13)," ")),",",""),"%","")),"")))</f>
        <v/>
      </c>
      <c r="EA152">
        <f>IF($DM152=0,"",IFERROR(IF(ISNUMBER($DZ152),$DZ152,IF($DZ152="","",IF(TRIM($DZ152)="",0,IF(AND(AND(SUBSTITUTE(SUBSTITUTE(SUBSTITUTE(SUBSTITUTE(SUBSTITUTE(SUBSTITUTE(SUBSTITUTE(SUBSTITUTE(SUBSTITUTE(SUBSTITUTE(SUBSTITUTE(SUBSTITUTE(SUBSTITUTE(SUBSTITUTE(UPPER(TRIM($DZ152)),"0",""),"1",""),"2",""),"3",""),"4",""),"5",""),"6",""),"7",""),"8",""),"9",""),".",""),"+",""),"-",""),"E","")="",LEN(SUBSTITUTE(SUBSTITUTE(MID(UPPER(TRIM($DZ152)),1+OR(LEFT(UPPER(TRIM($DZ152)),1)="+",LEFT(UPPER(TRIM($DZ152)),1)="-"),999),"E+","E"),"E-","E"))=LEN(SUBSTITUTE(SUBSTITUTE(SUBSTITUTE(SUBSTITUTE(MID(UPPER(TRIM($DZ152)),1+OR(LEFT(UPPER(TRIM($DZ152)),1)="+",LEFT(UPPER(TRIM($DZ152)),1)="-"),999),"E+","E"),"E-","E"),"+",""),"-","")),LEN(UPPER(TRIM($DZ152)))-LEN(SUBSTITUTE(UPPER(TRIM($DZ152)),"E",""))&lt;2,LEN(UPPER(TRIM($DZ152)))-LEN(SUBSTITUTE(UPPER(TRIM($DZ152)),".",""))&lt;2,IFERROR(FIND(".",UPPER(TRIM($DZ152))),0)&lt;IFERROR(FIND("E",UPPER(TRIM($DZ152))),999)),ISNUMBER(VALUE(TRIM($DZ152)))),VALUE(TRIM($DZ152)),"")))),""))</f>
        <v/>
      </c>
      <c r="EB152">
        <f>IF($DM152=0,"",IF($L$18=0,"",IFERROR(IF(UPPER(TRIM(SUBSTITUTE(SUBSTITUTE(SUBSTITUTE(SUBSTITUTE(INDEX(PASTE_ALL,$DF152,$L$18)," "," "),CHAR(9)," "),CHAR(10)," "),CHAR(13)," ")))="READY","Ready",IF(UPPER(TRIM(SUBSTITUTE(SUBSTITUTE(SUBSTITUTE(SUBSTITUTE(INDEX(PASTE_ALL,$DF152,$L$18)," "," "),CHAR(9)," "),CHAR(10)," "),CHAR(13)," ")))="PM","PM",IF(OR(UPPER(TRIM(SUBSTITUTE(SUBSTITUTE(SUBSTITUTE(SUBSTITUTE(INDEX(PASTE_ALL,$DF152,$L$18)," "," "),CHAR(9)," "),CHAR(10)," "),CHAR(13)," ")))="OT",UPPER(TRIM(SUBSTITUTE(SUBSTITUTE(SUBSTITUTE(SUBSTITUTE(INDEX(PASTE_ALL,$DF152,$L$18)," "," "),CHAR(9)," "),CHAR(10)," "),CHAR(13)," ")))="OVERTIME",UPPER(TRIM(SUBSTITUTE(SUBSTITUTE(SUBSTITUTE(SUBSTITUTE(INDEX(PASTE_ALL,$DF152,$L$18)," "," "),CHAR(9)," "),CHAR(10)," "),CHAR(13)," ")))="TRIAL"),"OT",TRIM(SUBSTITUTE(SUBSTITUTE(SUBSTITUTE(SUBSTITUTE(INDEX(PASTE_ALL,$DF152,$L$18)," "," "),CHAR(9)," "),CHAR(10)," "),CHAR(13)," "))))),"")))</f>
        <v/>
      </c>
      <c r="EC152">
        <f>IF($DM152=0,"",IF($L$19=0,"",IFERROR(IF(ISNUMBER(INDEX(PASTE_ALL,$DF152,$L$19)),INDEX(PASTE_ALL,$DF152,$L$19),TRIM(SUBSTITUTE(SUBSTITUTE(SUBSTITUTE(SUBSTITUTE(INDEX(PASTE_ALL,$DF152,$L$19)," "," "),CHAR(9)," "),CHAR(10)," "),CHAR(13)," "))),"")))</f>
        <v/>
      </c>
      <c r="ED152">
        <f>IF($DM152=0,"",MATCH(1,INDEX(EXACT($DH$5:DH152,$DH152)*$DM$5:DM152,0),0))</f>
        <v/>
      </c>
      <c r="EE152">
        <f>IF($DM152=0,0,IF($ED152=$DE152,1,0))</f>
        <v/>
      </c>
      <c r="EF152">
        <f>EF151+$EE152</f>
        <v/>
      </c>
      <c r="EG152">
        <f>IF($DM152=0,"",INDEX($EF$5:$EF$1003,$ED152))</f>
        <v/>
      </c>
      <c r="EH152">
        <f>IF($DM152=0,"",IF($DO152&lt;&gt;"","",IFERROR(LOOKUP(2,1/(($EG$4:EG151=$EG152)*($DO$4:DO151&lt;&gt;"")),$DO$4:DO151),"")))</f>
        <v/>
      </c>
      <c r="EI152">
        <f>IF($DM152=0,"",IF($DO152&lt;&gt;"",$DO152,$EH152))</f>
        <v/>
      </c>
      <c r="EJ152">
        <f>IF($DM152=0,"",IF($EI152="",0,IF(OR(ISNUMBER($EI152),AND(AND(SUBSTITUTE(SUBSTITUTE(SUBSTITUTE(SUBSTITUTE(SUBSTITUTE(SUBSTITUTE(SUBSTITUTE(SUBSTITUTE(SUBSTITUTE(SUBSTITUTE(SUBSTITUTE(SUBSTITUTE(SUBSTITUTE(SUBSTITUTE(UPPER($EI152),"0",""),"1",""),"2",""),"3",""),"4",""),"5",""),"6",""),"7",""),"8",""),"9",""),".",""),"+",""),"-",""),"E","")="",LEN(SUBSTITUTE(SUBSTITUTE(MID(UPPER($EI152),1+OR(LEFT(UPPER($EI152),1)="+",LEFT(UPPER($EI152),1)="-"),999),"E+","E"),"E-","E"))=LEN(SUBSTITUTE(SUBSTITUTE(SUBSTITUTE(SUBSTITUTE(MID(UPPER($EI152),1+OR(LEFT(UPPER($EI152),1)="+",LEFT(UPPER($EI152),1)="-"),999),"E+","E"),"E-","E"),"+",""),"-","")),LEN(UPPER($EI152))-LEN(SUBSTITUTE(UPPER($EI152),"E",""))&lt;2,LEN(UPPER($EI152))-LEN(SUBSTITUTE(UPPER($EI152),".",""))&lt;2,IFERROR(FIND(".",UPPER($EI152)),0)&lt;IFERROR(FIND("E",UPPER($EI152)),999)),ISNUMBER(VALUE($EI152)))),1,2)))</f>
        <v/>
      </c>
      <c r="EK152">
        <f>IF($DM152=0,"",IF($EJ152=1,IF(ISNUMBER($EI152),$EI152,VALUE($EI152)),IF($EJ152=2,$DE152,0)))</f>
        <v/>
      </c>
      <c r="EL152">
        <f>IF($DM152=0,"",COUNTIF($EG$5:$EG$1003,"&lt;"&amp;$EG152)+SUMPRODUCT(($EG$5:$EG$1003=$EG152)*(($EJ$5:$EJ$1003&lt;$EJ152)+($EJ$5:$EJ$1003=$EJ152)*(($EK$5:$EK$1003&lt;$EK152)+($EK$5:$EK$1003=$EK152)*($DE$5:$DE$1003&lt;$DE152))))+1)</f>
        <v/>
      </c>
      <c r="EM152">
        <f>IF($DM152=0,"",$EL152+$EG152-1)</f>
        <v/>
      </c>
      <c r="EN152">
        <f>IF($DM152=0,0,IFERROR(MATCH(1,INDEX(--(TRIM(SUBSTITUTE(SUBSTITUTE(SUBSTITUTE(SUBSTITUTE(LINES_NAME&amp;""," "," "),CHAR(9)," "),CHAR(10)," "),CHAR(13)," "))=$DH152),0),0),0))</f>
        <v/>
      </c>
      <c r="EO152">
        <f>IF($EN152=0,0,IF(OR(UPPER(TRIM(INDEX(LINES_SCHEDULED,$EN152)&amp;""))="YES",UPPER(TRIM(INDEX(LINES_SCHEDULED,$EN152)&amp;""))="Y",UPPER(TRIM(INDEX(LINES_SCHEDULED,$EN152)&amp;""))="X"),1,0))</f>
        <v/>
      </c>
      <c r="EP152">
        <f>IF($DM152=0,"",IF(COUNTIFS($EG$5:$EG$1003,$EG152,$EB$5:$EB$1003,"Ready")&gt;0,"READY",IF(COUNTIFS($EG$5:$EG$1003,$EG152,$EB$5:$EB$1003,"PM")&gt;0,"PM",IF(COUNTIFS($EG$5:$EG$1003,$EG152,$EB$5:$EB$1003,"OT")&gt;0,"OT",""))))</f>
        <v/>
      </c>
      <c r="EQ152">
        <f>IF($EN152=0,"",UPPER(TRIM(INDEX(LINES_STATUS,$EN152)&amp;"")))</f>
        <v/>
      </c>
      <c r="ER152">
        <f>IF($DM152=0,"",IF(OR($EQ152="READY",$EQ152="PM",$EQ152="OT"),$EQ152,$EP152))</f>
        <v/>
      </c>
      <c r="ES152">
        <f>IF($DM152=0,"",IF(AND($DV152&lt;&gt;"",UPPER($DV152)&lt;&gt;"N"),"allergen",IF(ISNUMBER(SEARCH("oil",$DQ152)),"oil",IF(OR(EXACT($DS152,"A662"),EXACT($DS152,"A624")),"bulk",""))))</f>
        <v/>
      </c>
      <c r="ET152">
        <f>IF($DM152=0,"",IF(OR($EA152="",$EA152=0),"",$EA152/100))</f>
        <v/>
      </c>
      <c r="EU152">
        <f>IF(OR($ET152="",$DY152=""),"",INT($DY152*(1-$ET152)+0.5))</f>
        <v/>
      </c>
      <c r="EW152" t="n">
        <v>148</v>
      </c>
      <c r="EX152">
        <f>IFERROR(MATCH($EW152,$EM$5:$EM$1003,0),0)</f>
        <v/>
      </c>
      <c r="EY152">
        <f>IF($EW152&gt;$B$12,"",IF($EX152&gt;0,"row","spacer"))</f>
        <v/>
      </c>
      <c r="EZ152">
        <f>IF(AND($EY152="row",$EY151&lt;&gt;"row"),1,0)</f>
        <v/>
      </c>
      <c r="FA152">
        <f>IF(AND($EY152="row",$EY153&lt;&gt;"row"),1,0)</f>
        <v/>
      </c>
      <c r="FB152">
        <f>IF($EZ152=1,IFERROR(IF(ISNUMBER(INDEX(PASTE_ALL,INDEX($DF$5:$DF$1003,$EX152),$B$37)),INDEX(PASTE_ALL,INDEX($DF$5:$DF$1003,$EX152),$B$37),INDEX($DH$5:$DH$1003,$EX152)),INDEX($DH$5:$DH$1003,$EX152)),"")</f>
        <v/>
      </c>
      <c r="FC152">
        <f>IF($EY152="row",INDEX($ER$5:$ER$1003,$EX152),"")</f>
        <v/>
      </c>
      <c r="FD152">
        <f>IF($EY152="row",INDEX($DN$5:$DN$1003,$EX152),"")</f>
        <v/>
      </c>
      <c r="FE152">
        <f>IF($EY152="row",INDEX($DO$5:$DO$1003,$EX152),"")</f>
        <v/>
      </c>
      <c r="FF152">
        <f>IF($EY152="row",INDEX($DP$5:$DP$1003,$EX152),"")</f>
        <v/>
      </c>
      <c r="FG152">
        <f>IF($EY152="row",INDEX($DQ$5:$DQ$1003,$EX152),"")</f>
        <v/>
      </c>
      <c r="FH152">
        <f>IF($EY152="row",INDEX($DR$5:$DR$1003,$EX152),"")</f>
        <v/>
      </c>
      <c r="FI152">
        <f>IF($EY152="row",INDEX($DS$5:$DS$1003,$EX152),"")</f>
        <v/>
      </c>
      <c r="FJ152">
        <f>IF($EY152="row",INDEX($DT$5:$DT$1003,$EX152),"")</f>
        <v/>
      </c>
      <c r="FK152">
        <f>IF($EY152="row",INDEX($DU$5:$DU$1003,$EX152),"")</f>
        <v/>
      </c>
      <c r="FL152">
        <f>IF($EY152="row",INDEX($DV$5:$DV$1003,$EX152),"")</f>
        <v/>
      </c>
      <c r="FM152">
        <f>IF($EY152="row",INDEX($DW$5:$DW$1003,$EX152),"")</f>
        <v/>
      </c>
      <c r="FN152">
        <f>IF($EY152="row",INDEX($DY$5:$DY$1003,$EX152),"")</f>
        <v/>
      </c>
      <c r="FO152">
        <f>IF($EY152="row",INDEX($EA$5:$EA$1003,$EX152),"")</f>
        <v/>
      </c>
      <c r="FP152">
        <f>IF($EY152="row",INDEX($EC$5:$EC$1003,$EX152),"")</f>
        <v/>
      </c>
      <c r="FQ152">
        <f>IF($EY152="row",INDEX($ET$5:$ET$1003,$EX152),"")</f>
        <v/>
      </c>
      <c r="FR152">
        <f>IF($EY152="row",INDEX($EU$5:$EU$1003,$EX152),"")</f>
        <v/>
      </c>
      <c r="FS152">
        <f>IF(AND($EY152="row",$EY151="row"),IF(OR(INDEX($DT$5:$DT$1003,$EX151)="",INDEX($DT$5:$DT$1003,$EX152)=""),"",IF(NOT(EXACT(INDEX($DT$5:$DT$1003,$EX151),INDEX($DT$5:$DT$1003,$EX152))),"S4",IF(NOT(EXACT(INDEX($DS$5:$DS$1003,$EX151),INDEX($DS$5:$DS$1003,$EX152))),"S3",IF(NOT(EXACT(INDEX($DR$5:$DR$1003,$EX151),INDEX($DR$5:$DR$1003,$EX152))),"S1 Count Change","S1")))),"")</f>
        <v/>
      </c>
      <c r="FT152">
        <f>IF($EY152="row",INDEX($ES$5:$ES$1003,$EX152),"")</f>
        <v/>
      </c>
      <c r="FU152">
        <f>IF($EY152="row",INDEX($EO$5:$EO$1003,$EX152),0)</f>
        <v/>
      </c>
      <c r="FV152">
        <f>IF($FS152="S1 Count Change",1,0)</f>
        <v/>
      </c>
    </row>
    <row r="153">
      <c r="Y153">
        <f>IF(Y18="",0,2*(OR(ISNUMBER(FIND("WORKCENTER",Y18)),AND(LEFT(Y18,4)="LINE",NOT(ISNUMBER(FIND("STATUS",Y18))))))+4*(OR(ISNUMBER(FIND("WORKORDER",Y18)),AND(LEFT(Y18,2)="WO",OR(ISNUMBER(FIND("NUM",Y18)),RIGHT(Y18,2)="NO"))))+8*(LEFT(Y18,3)="SEQ")+16*(AND(LEFT(Y18,4)="ITEM",NOT(ISNUMBER(FIND("DESC",Y18)))))+32*(AND(ISNUMBER(FIND("DESC",Y18)),NOT(ISNUMBER(FIND("CAP",Y18)))))+64*(OR(RIGHT(Y18,5)="COUNT",RIGHT(Y18,2)="CT"))+128*(ISNUMBER(FIND("BULK",Y18)))+256*(ISNUMBER(FIND("SIZE",Y18)))+512*(LEFT(Y18,3)="CAP")+1024*(ISNUMBER(FIND("ALLERG",Y18)))+2048*(OR(ISNUMBER(FIND("REMARK",Y18)),ISNUMBER(FIND("COMMENT",Y18))))+4096*(OR(ISNUMBER(FIND("QTY",Y18)),ISNUMBER(FIND("QUANTITY",Y18))))+8192*(AND(OR(ISNUMBER(FIND("COMPLETE",Y18)),ISNUMBER(FIND("PCT",Y18)),ISNUMBER(FIND("PERCENT",Y18))),NOT(ISNUMBER(FIND("ACTUAL",Y18))),LEN(Y18)&lt;=16))+32768*(OR(ISNUMBER(FIND("DESIC",Y18)),ISNUMBER(FIND("DESSIC",Y18)))))</f>
        <v/>
      </c>
      <c r="Z153">
        <f>IF(Z18="",0,2*(OR(ISNUMBER(FIND("WORKCENTER",Z18)),AND(LEFT(Z18,4)="LINE",NOT(ISNUMBER(FIND("STATUS",Z18))))))+4*(OR(ISNUMBER(FIND("WORKORDER",Z18)),AND(LEFT(Z18,2)="WO",OR(ISNUMBER(FIND("NUM",Z18)),RIGHT(Z18,2)="NO"))))+8*(LEFT(Z18,3)="SEQ")+16*(AND(LEFT(Z18,4)="ITEM",NOT(ISNUMBER(FIND("DESC",Z18)))))+32*(AND(ISNUMBER(FIND("DESC",Z18)),NOT(ISNUMBER(FIND("CAP",Z18)))))+64*(OR(RIGHT(Z18,5)="COUNT",RIGHT(Z18,2)="CT"))+128*(ISNUMBER(FIND("BULK",Z18)))+256*(ISNUMBER(FIND("SIZE",Z18)))+512*(LEFT(Z18,3)="CAP")+1024*(ISNUMBER(FIND("ALLERG",Z18)))+2048*(OR(ISNUMBER(FIND("REMARK",Z18)),ISNUMBER(FIND("COMMENT",Z18))))+4096*(OR(ISNUMBER(FIND("QTY",Z18)),ISNUMBER(FIND("QUANTITY",Z18))))+8192*(AND(OR(ISNUMBER(FIND("COMPLETE",Z18)),ISNUMBER(FIND("PCT",Z18)),ISNUMBER(FIND("PERCENT",Z18))),NOT(ISNUMBER(FIND("ACTUAL",Z18))),LEN(Z18)&lt;=16))+32768*(OR(ISNUMBER(FIND("DESIC",Z18)),ISNUMBER(FIND("DESSIC",Z18)))))</f>
        <v/>
      </c>
      <c r="AA153">
        <f>IF(AA18="",0,2*(OR(ISNUMBER(FIND("WORKCENTER",AA18)),AND(LEFT(AA18,4)="LINE",NOT(ISNUMBER(FIND("STATUS",AA18))))))+4*(OR(ISNUMBER(FIND("WORKORDER",AA18)),AND(LEFT(AA18,2)="WO",OR(ISNUMBER(FIND("NUM",AA18)),RIGHT(AA18,2)="NO"))))+8*(LEFT(AA18,3)="SEQ")+16*(AND(LEFT(AA18,4)="ITEM",NOT(ISNUMBER(FIND("DESC",AA18)))))+32*(AND(ISNUMBER(FIND("DESC",AA18)),NOT(ISNUMBER(FIND("CAP",AA18)))))+64*(OR(RIGHT(AA18,5)="COUNT",RIGHT(AA18,2)="CT"))+128*(ISNUMBER(FIND("BULK",AA18)))+256*(ISNUMBER(FIND("SIZE",AA18)))+512*(LEFT(AA18,3)="CAP")+1024*(ISNUMBER(FIND("ALLERG",AA18)))+2048*(OR(ISNUMBER(FIND("REMARK",AA18)),ISNUMBER(FIND("COMMENT",AA18))))+4096*(OR(ISNUMBER(FIND("QTY",AA18)),ISNUMBER(FIND("QUANTITY",AA18))))+8192*(AND(OR(ISNUMBER(FIND("COMPLETE",AA18)),ISNUMBER(FIND("PCT",AA18)),ISNUMBER(FIND("PERCENT",AA18))),NOT(ISNUMBER(FIND("ACTUAL",AA18))),LEN(AA18)&lt;=16))+32768*(OR(ISNUMBER(FIND("DESIC",AA18)),ISNUMBER(FIND("DESSIC",AA18)))))</f>
        <v/>
      </c>
      <c r="AB153">
        <f>IF(AB18="",0,2*(OR(ISNUMBER(FIND("WORKCENTER",AB18)),AND(LEFT(AB18,4)="LINE",NOT(ISNUMBER(FIND("STATUS",AB18))))))+4*(OR(ISNUMBER(FIND("WORKORDER",AB18)),AND(LEFT(AB18,2)="WO",OR(ISNUMBER(FIND("NUM",AB18)),RIGHT(AB18,2)="NO"))))+8*(LEFT(AB18,3)="SEQ")+16*(AND(LEFT(AB18,4)="ITEM",NOT(ISNUMBER(FIND("DESC",AB18)))))+32*(AND(ISNUMBER(FIND("DESC",AB18)),NOT(ISNUMBER(FIND("CAP",AB18)))))+64*(OR(RIGHT(AB18,5)="COUNT",RIGHT(AB18,2)="CT"))+128*(ISNUMBER(FIND("BULK",AB18)))+256*(ISNUMBER(FIND("SIZE",AB18)))+512*(LEFT(AB18,3)="CAP")+1024*(ISNUMBER(FIND("ALLERG",AB18)))+2048*(OR(ISNUMBER(FIND("REMARK",AB18)),ISNUMBER(FIND("COMMENT",AB18))))+4096*(OR(ISNUMBER(FIND("QTY",AB18)),ISNUMBER(FIND("QUANTITY",AB18))))+8192*(AND(OR(ISNUMBER(FIND("COMPLETE",AB18)),ISNUMBER(FIND("PCT",AB18)),ISNUMBER(FIND("PERCENT",AB18))),NOT(ISNUMBER(FIND("ACTUAL",AB18))),LEN(AB18)&lt;=16))+32768*(OR(ISNUMBER(FIND("DESIC",AB18)),ISNUMBER(FIND("DESSIC",AB18)))))</f>
        <v/>
      </c>
      <c r="AC153">
        <f>IF(AC18="",0,2*(OR(ISNUMBER(FIND("WORKCENTER",AC18)),AND(LEFT(AC18,4)="LINE",NOT(ISNUMBER(FIND("STATUS",AC18))))))+4*(OR(ISNUMBER(FIND("WORKORDER",AC18)),AND(LEFT(AC18,2)="WO",OR(ISNUMBER(FIND("NUM",AC18)),RIGHT(AC18,2)="NO"))))+8*(LEFT(AC18,3)="SEQ")+16*(AND(LEFT(AC18,4)="ITEM",NOT(ISNUMBER(FIND("DESC",AC18)))))+32*(AND(ISNUMBER(FIND("DESC",AC18)),NOT(ISNUMBER(FIND("CAP",AC18)))))+64*(OR(RIGHT(AC18,5)="COUNT",RIGHT(AC18,2)="CT"))+128*(ISNUMBER(FIND("BULK",AC18)))+256*(ISNUMBER(FIND("SIZE",AC18)))+512*(LEFT(AC18,3)="CAP")+1024*(ISNUMBER(FIND("ALLERG",AC18)))+2048*(OR(ISNUMBER(FIND("REMARK",AC18)),ISNUMBER(FIND("COMMENT",AC18))))+4096*(OR(ISNUMBER(FIND("QTY",AC18)),ISNUMBER(FIND("QUANTITY",AC18))))+8192*(AND(OR(ISNUMBER(FIND("COMPLETE",AC18)),ISNUMBER(FIND("PCT",AC18)),ISNUMBER(FIND("PERCENT",AC18))),NOT(ISNUMBER(FIND("ACTUAL",AC18))),LEN(AC18)&lt;=16))+32768*(OR(ISNUMBER(FIND("DESIC",AC18)),ISNUMBER(FIND("DESSIC",AC18)))))</f>
        <v/>
      </c>
      <c r="AD153">
        <f>IF(AD18="",0,2*(OR(ISNUMBER(FIND("WORKCENTER",AD18)),AND(LEFT(AD18,4)="LINE",NOT(ISNUMBER(FIND("STATUS",AD18))))))+4*(OR(ISNUMBER(FIND("WORKORDER",AD18)),AND(LEFT(AD18,2)="WO",OR(ISNUMBER(FIND("NUM",AD18)),RIGHT(AD18,2)="NO"))))+8*(LEFT(AD18,3)="SEQ")+16*(AND(LEFT(AD18,4)="ITEM",NOT(ISNUMBER(FIND("DESC",AD18)))))+32*(AND(ISNUMBER(FIND("DESC",AD18)),NOT(ISNUMBER(FIND("CAP",AD18)))))+64*(OR(RIGHT(AD18,5)="COUNT",RIGHT(AD18,2)="CT"))+128*(ISNUMBER(FIND("BULK",AD18)))+256*(ISNUMBER(FIND("SIZE",AD18)))+512*(LEFT(AD18,3)="CAP")+1024*(ISNUMBER(FIND("ALLERG",AD18)))+2048*(OR(ISNUMBER(FIND("REMARK",AD18)),ISNUMBER(FIND("COMMENT",AD18))))+4096*(OR(ISNUMBER(FIND("QTY",AD18)),ISNUMBER(FIND("QUANTITY",AD18))))+8192*(AND(OR(ISNUMBER(FIND("COMPLETE",AD18)),ISNUMBER(FIND("PCT",AD18)),ISNUMBER(FIND("PERCENT",AD18))),NOT(ISNUMBER(FIND("ACTUAL",AD18))),LEN(AD18)&lt;=16))+32768*(OR(ISNUMBER(FIND("DESIC",AD18)),ISNUMBER(FIND("DESSIC",AD18)))))</f>
        <v/>
      </c>
      <c r="AE153">
        <f>IF(AE18="",0,2*(OR(ISNUMBER(FIND("WORKCENTER",AE18)),AND(LEFT(AE18,4)="LINE",NOT(ISNUMBER(FIND("STATUS",AE18))))))+4*(OR(ISNUMBER(FIND("WORKORDER",AE18)),AND(LEFT(AE18,2)="WO",OR(ISNUMBER(FIND("NUM",AE18)),RIGHT(AE18,2)="NO"))))+8*(LEFT(AE18,3)="SEQ")+16*(AND(LEFT(AE18,4)="ITEM",NOT(ISNUMBER(FIND("DESC",AE18)))))+32*(AND(ISNUMBER(FIND("DESC",AE18)),NOT(ISNUMBER(FIND("CAP",AE18)))))+64*(OR(RIGHT(AE18,5)="COUNT",RIGHT(AE18,2)="CT"))+128*(ISNUMBER(FIND("BULK",AE18)))+256*(ISNUMBER(FIND("SIZE",AE18)))+512*(LEFT(AE18,3)="CAP")+1024*(ISNUMBER(FIND("ALLERG",AE18)))+2048*(OR(ISNUMBER(FIND("REMARK",AE18)),ISNUMBER(FIND("COMMENT",AE18))))+4096*(OR(ISNUMBER(FIND("QTY",AE18)),ISNUMBER(FIND("QUANTITY",AE18))))+8192*(AND(OR(ISNUMBER(FIND("COMPLETE",AE18)),ISNUMBER(FIND("PCT",AE18)),ISNUMBER(FIND("PERCENT",AE18))),NOT(ISNUMBER(FIND("ACTUAL",AE18))),LEN(AE18)&lt;=16))+32768*(OR(ISNUMBER(FIND("DESIC",AE18)),ISNUMBER(FIND("DESSIC",AE18)))))</f>
        <v/>
      </c>
      <c r="AF153">
        <f>IF(AF18="",0,2*(OR(ISNUMBER(FIND("WORKCENTER",AF18)),AND(LEFT(AF18,4)="LINE",NOT(ISNUMBER(FIND("STATUS",AF18))))))+4*(OR(ISNUMBER(FIND("WORKORDER",AF18)),AND(LEFT(AF18,2)="WO",OR(ISNUMBER(FIND("NUM",AF18)),RIGHT(AF18,2)="NO"))))+8*(LEFT(AF18,3)="SEQ")+16*(AND(LEFT(AF18,4)="ITEM",NOT(ISNUMBER(FIND("DESC",AF18)))))+32*(AND(ISNUMBER(FIND("DESC",AF18)),NOT(ISNUMBER(FIND("CAP",AF18)))))+64*(OR(RIGHT(AF18,5)="COUNT",RIGHT(AF18,2)="CT"))+128*(ISNUMBER(FIND("BULK",AF18)))+256*(ISNUMBER(FIND("SIZE",AF18)))+512*(LEFT(AF18,3)="CAP")+1024*(ISNUMBER(FIND("ALLERG",AF18)))+2048*(OR(ISNUMBER(FIND("REMARK",AF18)),ISNUMBER(FIND("COMMENT",AF18))))+4096*(OR(ISNUMBER(FIND("QTY",AF18)),ISNUMBER(FIND("QUANTITY",AF18))))+8192*(AND(OR(ISNUMBER(FIND("COMPLETE",AF18)),ISNUMBER(FIND("PCT",AF18)),ISNUMBER(FIND("PERCENT",AF18))),NOT(ISNUMBER(FIND("ACTUAL",AF18))),LEN(AF18)&lt;=16))+32768*(OR(ISNUMBER(FIND("DESIC",AF18)),ISNUMBER(FIND("DESSIC",AF18)))))</f>
        <v/>
      </c>
      <c r="AG153">
        <f>IF(AG18="",0,2*(OR(ISNUMBER(FIND("WORKCENTER",AG18)),AND(LEFT(AG18,4)="LINE",NOT(ISNUMBER(FIND("STATUS",AG18))))))+4*(OR(ISNUMBER(FIND("WORKORDER",AG18)),AND(LEFT(AG18,2)="WO",OR(ISNUMBER(FIND("NUM",AG18)),RIGHT(AG18,2)="NO"))))+8*(LEFT(AG18,3)="SEQ")+16*(AND(LEFT(AG18,4)="ITEM",NOT(ISNUMBER(FIND("DESC",AG18)))))+32*(AND(ISNUMBER(FIND("DESC",AG18)),NOT(ISNUMBER(FIND("CAP",AG18)))))+64*(OR(RIGHT(AG18,5)="COUNT",RIGHT(AG18,2)="CT"))+128*(ISNUMBER(FIND("BULK",AG18)))+256*(ISNUMBER(FIND("SIZE",AG18)))+512*(LEFT(AG18,3)="CAP")+1024*(ISNUMBER(FIND("ALLERG",AG18)))+2048*(OR(ISNUMBER(FIND("REMARK",AG18)),ISNUMBER(FIND("COMMENT",AG18))))+4096*(OR(ISNUMBER(FIND("QTY",AG18)),ISNUMBER(FIND("QUANTITY",AG18))))+8192*(AND(OR(ISNUMBER(FIND("COMPLETE",AG18)),ISNUMBER(FIND("PCT",AG18)),ISNUMBER(FIND("PERCENT",AG18))),NOT(ISNUMBER(FIND("ACTUAL",AG18))),LEN(AG18)&lt;=16))+32768*(OR(ISNUMBER(FIND("DESIC",AG18)),ISNUMBER(FIND("DESSIC",AG18)))))</f>
        <v/>
      </c>
      <c r="AH153">
        <f>IF(AH18="",0,2*(OR(ISNUMBER(FIND("WORKCENTER",AH18)),AND(LEFT(AH18,4)="LINE",NOT(ISNUMBER(FIND("STATUS",AH18))))))+4*(OR(ISNUMBER(FIND("WORKORDER",AH18)),AND(LEFT(AH18,2)="WO",OR(ISNUMBER(FIND("NUM",AH18)),RIGHT(AH18,2)="NO"))))+8*(LEFT(AH18,3)="SEQ")+16*(AND(LEFT(AH18,4)="ITEM",NOT(ISNUMBER(FIND("DESC",AH18)))))+32*(AND(ISNUMBER(FIND("DESC",AH18)),NOT(ISNUMBER(FIND("CAP",AH18)))))+64*(OR(RIGHT(AH18,5)="COUNT",RIGHT(AH18,2)="CT"))+128*(ISNUMBER(FIND("BULK",AH18)))+256*(ISNUMBER(FIND("SIZE",AH18)))+512*(LEFT(AH18,3)="CAP")+1024*(ISNUMBER(FIND("ALLERG",AH18)))+2048*(OR(ISNUMBER(FIND("REMARK",AH18)),ISNUMBER(FIND("COMMENT",AH18))))+4096*(OR(ISNUMBER(FIND("QTY",AH18)),ISNUMBER(FIND("QUANTITY",AH18))))+8192*(AND(OR(ISNUMBER(FIND("COMPLETE",AH18)),ISNUMBER(FIND("PCT",AH18)),ISNUMBER(FIND("PERCENT",AH18))),NOT(ISNUMBER(FIND("ACTUAL",AH18))),LEN(AH18)&lt;=16))+32768*(OR(ISNUMBER(FIND("DESIC",AH18)),ISNUMBER(FIND("DESSIC",AH18)))))</f>
        <v/>
      </c>
      <c r="AI153">
        <f>IF(AI18="",0,2*(OR(ISNUMBER(FIND("WORKCENTER",AI18)),AND(LEFT(AI18,4)="LINE",NOT(ISNUMBER(FIND("STATUS",AI18))))))+4*(OR(ISNUMBER(FIND("WORKORDER",AI18)),AND(LEFT(AI18,2)="WO",OR(ISNUMBER(FIND("NUM",AI18)),RIGHT(AI18,2)="NO"))))+8*(LEFT(AI18,3)="SEQ")+16*(AND(LEFT(AI18,4)="ITEM",NOT(ISNUMBER(FIND("DESC",AI18)))))+32*(AND(ISNUMBER(FIND("DESC",AI18)),NOT(ISNUMBER(FIND("CAP",AI18)))))+64*(OR(RIGHT(AI18,5)="COUNT",RIGHT(AI18,2)="CT"))+128*(ISNUMBER(FIND("BULK",AI18)))+256*(ISNUMBER(FIND("SIZE",AI18)))+512*(LEFT(AI18,3)="CAP")+1024*(ISNUMBER(FIND("ALLERG",AI18)))+2048*(OR(ISNUMBER(FIND("REMARK",AI18)),ISNUMBER(FIND("COMMENT",AI18))))+4096*(OR(ISNUMBER(FIND("QTY",AI18)),ISNUMBER(FIND("QUANTITY",AI18))))+8192*(AND(OR(ISNUMBER(FIND("COMPLETE",AI18)),ISNUMBER(FIND("PCT",AI18)),ISNUMBER(FIND("PERCENT",AI18))),NOT(ISNUMBER(FIND("ACTUAL",AI18))),LEN(AI18)&lt;=16))+32768*(OR(ISNUMBER(FIND("DESIC",AI18)),ISNUMBER(FIND("DESSIC",AI18)))))</f>
        <v/>
      </c>
      <c r="AJ153">
        <f>IF(AJ18="",0,2*(OR(ISNUMBER(FIND("WORKCENTER",AJ18)),AND(LEFT(AJ18,4)="LINE",NOT(ISNUMBER(FIND("STATUS",AJ18))))))+4*(OR(ISNUMBER(FIND("WORKORDER",AJ18)),AND(LEFT(AJ18,2)="WO",OR(ISNUMBER(FIND("NUM",AJ18)),RIGHT(AJ18,2)="NO"))))+8*(LEFT(AJ18,3)="SEQ")+16*(AND(LEFT(AJ18,4)="ITEM",NOT(ISNUMBER(FIND("DESC",AJ18)))))+32*(AND(ISNUMBER(FIND("DESC",AJ18)),NOT(ISNUMBER(FIND("CAP",AJ18)))))+64*(OR(RIGHT(AJ18,5)="COUNT",RIGHT(AJ18,2)="CT"))+128*(ISNUMBER(FIND("BULK",AJ18)))+256*(ISNUMBER(FIND("SIZE",AJ18)))+512*(LEFT(AJ18,3)="CAP")+1024*(ISNUMBER(FIND("ALLERG",AJ18)))+2048*(OR(ISNUMBER(FIND("REMARK",AJ18)),ISNUMBER(FIND("COMMENT",AJ18))))+4096*(OR(ISNUMBER(FIND("QTY",AJ18)),ISNUMBER(FIND("QUANTITY",AJ18))))+8192*(AND(OR(ISNUMBER(FIND("COMPLETE",AJ18)),ISNUMBER(FIND("PCT",AJ18)),ISNUMBER(FIND("PERCENT",AJ18))),NOT(ISNUMBER(FIND("ACTUAL",AJ18))),LEN(AJ18)&lt;=16))+32768*(OR(ISNUMBER(FIND("DESIC",AJ18)),ISNUMBER(FIND("DESSIC",AJ18)))))</f>
        <v/>
      </c>
      <c r="AK153">
        <f>IF(AK18="",0,2*(OR(ISNUMBER(FIND("WORKCENTER",AK18)),AND(LEFT(AK18,4)="LINE",NOT(ISNUMBER(FIND("STATUS",AK18))))))+4*(OR(ISNUMBER(FIND("WORKORDER",AK18)),AND(LEFT(AK18,2)="WO",OR(ISNUMBER(FIND("NUM",AK18)),RIGHT(AK18,2)="NO"))))+8*(LEFT(AK18,3)="SEQ")+16*(AND(LEFT(AK18,4)="ITEM",NOT(ISNUMBER(FIND("DESC",AK18)))))+32*(AND(ISNUMBER(FIND("DESC",AK18)),NOT(ISNUMBER(FIND("CAP",AK18)))))+64*(OR(RIGHT(AK18,5)="COUNT",RIGHT(AK18,2)="CT"))+128*(ISNUMBER(FIND("BULK",AK18)))+256*(ISNUMBER(FIND("SIZE",AK18)))+512*(LEFT(AK18,3)="CAP")+1024*(ISNUMBER(FIND("ALLERG",AK18)))+2048*(OR(ISNUMBER(FIND("REMARK",AK18)),ISNUMBER(FIND("COMMENT",AK18))))+4096*(OR(ISNUMBER(FIND("QTY",AK18)),ISNUMBER(FIND("QUANTITY",AK18))))+8192*(AND(OR(ISNUMBER(FIND("COMPLETE",AK18)),ISNUMBER(FIND("PCT",AK18)),ISNUMBER(FIND("PERCENT",AK18))),NOT(ISNUMBER(FIND("ACTUAL",AK18))),LEN(AK18)&lt;=16))+32768*(OR(ISNUMBER(FIND("DESIC",AK18)),ISNUMBER(FIND("DESSIC",AK18)))))</f>
        <v/>
      </c>
      <c r="AL153">
        <f>IF(AL18="",0,2*(OR(ISNUMBER(FIND("WORKCENTER",AL18)),AND(LEFT(AL18,4)="LINE",NOT(ISNUMBER(FIND("STATUS",AL18))))))+4*(OR(ISNUMBER(FIND("WORKORDER",AL18)),AND(LEFT(AL18,2)="WO",OR(ISNUMBER(FIND("NUM",AL18)),RIGHT(AL18,2)="NO"))))+8*(LEFT(AL18,3)="SEQ")+16*(AND(LEFT(AL18,4)="ITEM",NOT(ISNUMBER(FIND("DESC",AL18)))))+32*(AND(ISNUMBER(FIND("DESC",AL18)),NOT(ISNUMBER(FIND("CAP",AL18)))))+64*(OR(RIGHT(AL18,5)="COUNT",RIGHT(AL18,2)="CT"))+128*(ISNUMBER(FIND("BULK",AL18)))+256*(ISNUMBER(FIND("SIZE",AL18)))+512*(LEFT(AL18,3)="CAP")+1024*(ISNUMBER(FIND("ALLERG",AL18)))+2048*(OR(ISNUMBER(FIND("REMARK",AL18)),ISNUMBER(FIND("COMMENT",AL18))))+4096*(OR(ISNUMBER(FIND("QTY",AL18)),ISNUMBER(FIND("QUANTITY",AL18))))+8192*(AND(OR(ISNUMBER(FIND("COMPLETE",AL18)),ISNUMBER(FIND("PCT",AL18)),ISNUMBER(FIND("PERCENT",AL18))),NOT(ISNUMBER(FIND("ACTUAL",AL18))),LEN(AL18)&lt;=16))+32768*(OR(ISNUMBER(FIND("DESIC",AL18)),ISNUMBER(FIND("DESSIC",AL18)))))</f>
        <v/>
      </c>
      <c r="AM153">
        <f>IF(AM18="",0,2*(OR(ISNUMBER(FIND("WORKCENTER",AM18)),AND(LEFT(AM18,4)="LINE",NOT(ISNUMBER(FIND("STATUS",AM18))))))+4*(OR(ISNUMBER(FIND("WORKORDER",AM18)),AND(LEFT(AM18,2)="WO",OR(ISNUMBER(FIND("NUM",AM18)),RIGHT(AM18,2)="NO"))))+8*(LEFT(AM18,3)="SEQ")+16*(AND(LEFT(AM18,4)="ITEM",NOT(ISNUMBER(FIND("DESC",AM18)))))+32*(AND(ISNUMBER(FIND("DESC",AM18)),NOT(ISNUMBER(FIND("CAP",AM18)))))+64*(OR(RIGHT(AM18,5)="COUNT",RIGHT(AM18,2)="CT"))+128*(ISNUMBER(FIND("BULK",AM18)))+256*(ISNUMBER(FIND("SIZE",AM18)))+512*(LEFT(AM18,3)="CAP")+1024*(ISNUMBER(FIND("ALLERG",AM18)))+2048*(OR(ISNUMBER(FIND("REMARK",AM18)),ISNUMBER(FIND("COMMENT",AM18))))+4096*(OR(ISNUMBER(FIND("QTY",AM18)),ISNUMBER(FIND("QUANTITY",AM18))))+8192*(AND(OR(ISNUMBER(FIND("COMPLETE",AM18)),ISNUMBER(FIND("PCT",AM18)),ISNUMBER(FIND("PERCENT",AM18))),NOT(ISNUMBER(FIND("ACTUAL",AM18))),LEN(AM18)&lt;=16))+32768*(OR(ISNUMBER(FIND("DESIC",AM18)),ISNUMBER(FIND("DESSIC",AM18)))))</f>
        <v/>
      </c>
      <c r="AN153">
        <f>IF(AN18="",0,2*(OR(ISNUMBER(FIND("WORKCENTER",AN18)),AND(LEFT(AN18,4)="LINE",NOT(ISNUMBER(FIND("STATUS",AN18))))))+4*(OR(ISNUMBER(FIND("WORKORDER",AN18)),AND(LEFT(AN18,2)="WO",OR(ISNUMBER(FIND("NUM",AN18)),RIGHT(AN18,2)="NO"))))+8*(LEFT(AN18,3)="SEQ")+16*(AND(LEFT(AN18,4)="ITEM",NOT(ISNUMBER(FIND("DESC",AN18)))))+32*(AND(ISNUMBER(FIND("DESC",AN18)),NOT(ISNUMBER(FIND("CAP",AN18)))))+64*(OR(RIGHT(AN18,5)="COUNT",RIGHT(AN18,2)="CT"))+128*(ISNUMBER(FIND("BULK",AN18)))+256*(ISNUMBER(FIND("SIZE",AN18)))+512*(LEFT(AN18,3)="CAP")+1024*(ISNUMBER(FIND("ALLERG",AN18)))+2048*(OR(ISNUMBER(FIND("REMARK",AN18)),ISNUMBER(FIND("COMMENT",AN18))))+4096*(OR(ISNUMBER(FIND("QTY",AN18)),ISNUMBER(FIND("QUANTITY",AN18))))+8192*(AND(OR(ISNUMBER(FIND("COMPLETE",AN18)),ISNUMBER(FIND("PCT",AN18)),ISNUMBER(FIND("PERCENT",AN18))),NOT(ISNUMBER(FIND("ACTUAL",AN18))),LEN(AN18)&lt;=16))+32768*(OR(ISNUMBER(FIND("DESIC",AN18)),ISNUMBER(FIND("DESSIC",AN18)))))</f>
        <v/>
      </c>
      <c r="AO153">
        <f>IF(AO18="",0,2*(OR(ISNUMBER(FIND("WORKCENTER",AO18)),AND(LEFT(AO18,4)="LINE",NOT(ISNUMBER(FIND("STATUS",AO18))))))+4*(OR(ISNUMBER(FIND("WORKORDER",AO18)),AND(LEFT(AO18,2)="WO",OR(ISNUMBER(FIND("NUM",AO18)),RIGHT(AO18,2)="NO"))))+8*(LEFT(AO18,3)="SEQ")+16*(AND(LEFT(AO18,4)="ITEM",NOT(ISNUMBER(FIND("DESC",AO18)))))+32*(AND(ISNUMBER(FIND("DESC",AO18)),NOT(ISNUMBER(FIND("CAP",AO18)))))+64*(OR(RIGHT(AO18,5)="COUNT",RIGHT(AO18,2)="CT"))+128*(ISNUMBER(FIND("BULK",AO18)))+256*(ISNUMBER(FIND("SIZE",AO18)))+512*(LEFT(AO18,3)="CAP")+1024*(ISNUMBER(FIND("ALLERG",AO18)))+2048*(OR(ISNUMBER(FIND("REMARK",AO18)),ISNUMBER(FIND("COMMENT",AO18))))+4096*(OR(ISNUMBER(FIND("QTY",AO18)),ISNUMBER(FIND("QUANTITY",AO18))))+8192*(AND(OR(ISNUMBER(FIND("COMPLETE",AO18)),ISNUMBER(FIND("PCT",AO18)),ISNUMBER(FIND("PERCENT",AO18))),NOT(ISNUMBER(FIND("ACTUAL",AO18))),LEN(AO18)&lt;=16))+32768*(OR(ISNUMBER(FIND("DESIC",AO18)),ISNUMBER(FIND("DESSIC",AO18)))))</f>
        <v/>
      </c>
      <c r="AP153">
        <f>IF(AP18="",0,2*(OR(ISNUMBER(FIND("WORKCENTER",AP18)),AND(LEFT(AP18,4)="LINE",NOT(ISNUMBER(FIND("STATUS",AP18))))))+4*(OR(ISNUMBER(FIND("WORKORDER",AP18)),AND(LEFT(AP18,2)="WO",OR(ISNUMBER(FIND("NUM",AP18)),RIGHT(AP18,2)="NO"))))+8*(LEFT(AP18,3)="SEQ")+16*(AND(LEFT(AP18,4)="ITEM",NOT(ISNUMBER(FIND("DESC",AP18)))))+32*(AND(ISNUMBER(FIND("DESC",AP18)),NOT(ISNUMBER(FIND("CAP",AP18)))))+64*(OR(RIGHT(AP18,5)="COUNT",RIGHT(AP18,2)="CT"))+128*(ISNUMBER(FIND("BULK",AP18)))+256*(ISNUMBER(FIND("SIZE",AP18)))+512*(LEFT(AP18,3)="CAP")+1024*(ISNUMBER(FIND("ALLERG",AP18)))+2048*(OR(ISNUMBER(FIND("REMARK",AP18)),ISNUMBER(FIND("COMMENT",AP18))))+4096*(OR(ISNUMBER(FIND("QTY",AP18)),ISNUMBER(FIND("QUANTITY",AP18))))+8192*(AND(OR(ISNUMBER(FIND("COMPLETE",AP18)),ISNUMBER(FIND("PCT",AP18)),ISNUMBER(FIND("PERCENT",AP18))),NOT(ISNUMBER(FIND("ACTUAL",AP18))),LEN(AP18)&lt;=16))+32768*(OR(ISNUMBER(FIND("DESIC",AP18)),ISNUMBER(FIND("DESSIC",AP18)))))</f>
        <v/>
      </c>
      <c r="AQ153">
        <f>IF(AQ18="",0,2*(OR(ISNUMBER(FIND("WORKCENTER",AQ18)),AND(LEFT(AQ18,4)="LINE",NOT(ISNUMBER(FIND("STATUS",AQ18))))))+4*(OR(ISNUMBER(FIND("WORKORDER",AQ18)),AND(LEFT(AQ18,2)="WO",OR(ISNUMBER(FIND("NUM",AQ18)),RIGHT(AQ18,2)="NO"))))+8*(LEFT(AQ18,3)="SEQ")+16*(AND(LEFT(AQ18,4)="ITEM",NOT(ISNUMBER(FIND("DESC",AQ18)))))+32*(AND(ISNUMBER(FIND("DESC",AQ18)),NOT(ISNUMBER(FIND("CAP",AQ18)))))+64*(OR(RIGHT(AQ18,5)="COUNT",RIGHT(AQ18,2)="CT"))+128*(ISNUMBER(FIND("BULK",AQ18)))+256*(ISNUMBER(FIND("SIZE",AQ18)))+512*(LEFT(AQ18,3)="CAP")+1024*(ISNUMBER(FIND("ALLERG",AQ18)))+2048*(OR(ISNUMBER(FIND("REMARK",AQ18)),ISNUMBER(FIND("COMMENT",AQ18))))+4096*(OR(ISNUMBER(FIND("QTY",AQ18)),ISNUMBER(FIND("QUANTITY",AQ18))))+8192*(AND(OR(ISNUMBER(FIND("COMPLETE",AQ18)),ISNUMBER(FIND("PCT",AQ18)),ISNUMBER(FIND("PERCENT",AQ18))),NOT(ISNUMBER(FIND("ACTUAL",AQ18))),LEN(AQ18)&lt;=16))+32768*(OR(ISNUMBER(FIND("DESIC",AQ18)),ISNUMBER(FIND("DESSIC",AQ18)))))</f>
        <v/>
      </c>
      <c r="AR153">
        <f>IF(AR18="",0,2*(OR(ISNUMBER(FIND("WORKCENTER",AR18)),AND(LEFT(AR18,4)="LINE",NOT(ISNUMBER(FIND("STATUS",AR18))))))+4*(OR(ISNUMBER(FIND("WORKORDER",AR18)),AND(LEFT(AR18,2)="WO",OR(ISNUMBER(FIND("NUM",AR18)),RIGHT(AR18,2)="NO"))))+8*(LEFT(AR18,3)="SEQ")+16*(AND(LEFT(AR18,4)="ITEM",NOT(ISNUMBER(FIND("DESC",AR18)))))+32*(AND(ISNUMBER(FIND("DESC",AR18)),NOT(ISNUMBER(FIND("CAP",AR18)))))+64*(OR(RIGHT(AR18,5)="COUNT",RIGHT(AR18,2)="CT"))+128*(ISNUMBER(FIND("BULK",AR18)))+256*(ISNUMBER(FIND("SIZE",AR18)))+512*(LEFT(AR18,3)="CAP")+1024*(ISNUMBER(FIND("ALLERG",AR18)))+2048*(OR(ISNUMBER(FIND("REMARK",AR18)),ISNUMBER(FIND("COMMENT",AR18))))+4096*(OR(ISNUMBER(FIND("QTY",AR18)),ISNUMBER(FIND("QUANTITY",AR18))))+8192*(AND(OR(ISNUMBER(FIND("COMPLETE",AR18)),ISNUMBER(FIND("PCT",AR18)),ISNUMBER(FIND("PERCENT",AR18))),NOT(ISNUMBER(FIND("ACTUAL",AR18))),LEN(AR18)&lt;=16))+32768*(OR(ISNUMBER(FIND("DESIC",AR18)),ISNUMBER(FIND("DESSIC",AR18)))))</f>
        <v/>
      </c>
      <c r="AS153">
        <f>IF(AS18="",0,2*(OR(ISNUMBER(FIND("WORKCENTER",AS18)),AND(LEFT(AS18,4)="LINE",NOT(ISNUMBER(FIND("STATUS",AS18))))))+4*(OR(ISNUMBER(FIND("WORKORDER",AS18)),AND(LEFT(AS18,2)="WO",OR(ISNUMBER(FIND("NUM",AS18)),RIGHT(AS18,2)="NO"))))+8*(LEFT(AS18,3)="SEQ")+16*(AND(LEFT(AS18,4)="ITEM",NOT(ISNUMBER(FIND("DESC",AS18)))))+32*(AND(ISNUMBER(FIND("DESC",AS18)),NOT(ISNUMBER(FIND("CAP",AS18)))))+64*(OR(RIGHT(AS18,5)="COUNT",RIGHT(AS18,2)="CT"))+128*(ISNUMBER(FIND("BULK",AS18)))+256*(ISNUMBER(FIND("SIZE",AS18)))+512*(LEFT(AS18,3)="CAP")+1024*(ISNUMBER(FIND("ALLERG",AS18)))+2048*(OR(ISNUMBER(FIND("REMARK",AS18)),ISNUMBER(FIND("COMMENT",AS18))))+4096*(OR(ISNUMBER(FIND("QTY",AS18)),ISNUMBER(FIND("QUANTITY",AS18))))+8192*(AND(OR(ISNUMBER(FIND("COMPLETE",AS18)),ISNUMBER(FIND("PCT",AS18)),ISNUMBER(FIND("PERCENT",AS18))),NOT(ISNUMBER(FIND("ACTUAL",AS18))),LEN(AS18)&lt;=16))+32768*(OR(ISNUMBER(FIND("DESIC",AS18)),ISNUMBER(FIND("DESSIC",AS18)))))</f>
        <v/>
      </c>
      <c r="AT153">
        <f>IF(AT18="",0,2*(OR(ISNUMBER(FIND("WORKCENTER",AT18)),AND(LEFT(AT18,4)="LINE",NOT(ISNUMBER(FIND("STATUS",AT18))))))+4*(OR(ISNUMBER(FIND("WORKORDER",AT18)),AND(LEFT(AT18,2)="WO",OR(ISNUMBER(FIND("NUM",AT18)),RIGHT(AT18,2)="NO"))))+8*(LEFT(AT18,3)="SEQ")+16*(AND(LEFT(AT18,4)="ITEM",NOT(ISNUMBER(FIND("DESC",AT18)))))+32*(AND(ISNUMBER(FIND("DESC",AT18)),NOT(ISNUMBER(FIND("CAP",AT18)))))+64*(OR(RIGHT(AT18,5)="COUNT",RIGHT(AT18,2)="CT"))+128*(ISNUMBER(FIND("BULK",AT18)))+256*(ISNUMBER(FIND("SIZE",AT18)))+512*(LEFT(AT18,3)="CAP")+1024*(ISNUMBER(FIND("ALLERG",AT18)))+2048*(OR(ISNUMBER(FIND("REMARK",AT18)),ISNUMBER(FIND("COMMENT",AT18))))+4096*(OR(ISNUMBER(FIND("QTY",AT18)),ISNUMBER(FIND("QUANTITY",AT18))))+8192*(AND(OR(ISNUMBER(FIND("COMPLETE",AT18)),ISNUMBER(FIND("PCT",AT18)),ISNUMBER(FIND("PERCENT",AT18))),NOT(ISNUMBER(FIND("ACTUAL",AT18))),LEN(AT18)&lt;=16))+32768*(OR(ISNUMBER(FIND("DESIC",AT18)),ISNUMBER(FIND("DESSIC",AT18)))))</f>
        <v/>
      </c>
      <c r="AU153">
        <f>IF(AU18="",0,2*(OR(ISNUMBER(FIND("WORKCENTER",AU18)),AND(LEFT(AU18,4)="LINE",NOT(ISNUMBER(FIND("STATUS",AU18))))))+4*(OR(ISNUMBER(FIND("WORKORDER",AU18)),AND(LEFT(AU18,2)="WO",OR(ISNUMBER(FIND("NUM",AU18)),RIGHT(AU18,2)="NO"))))+8*(LEFT(AU18,3)="SEQ")+16*(AND(LEFT(AU18,4)="ITEM",NOT(ISNUMBER(FIND("DESC",AU18)))))+32*(AND(ISNUMBER(FIND("DESC",AU18)),NOT(ISNUMBER(FIND("CAP",AU18)))))+64*(OR(RIGHT(AU18,5)="COUNT",RIGHT(AU18,2)="CT"))+128*(ISNUMBER(FIND("BULK",AU18)))+256*(ISNUMBER(FIND("SIZE",AU18)))+512*(LEFT(AU18,3)="CAP")+1024*(ISNUMBER(FIND("ALLERG",AU18)))+2048*(OR(ISNUMBER(FIND("REMARK",AU18)),ISNUMBER(FIND("COMMENT",AU18))))+4096*(OR(ISNUMBER(FIND("QTY",AU18)),ISNUMBER(FIND("QUANTITY",AU18))))+8192*(AND(OR(ISNUMBER(FIND("COMPLETE",AU18)),ISNUMBER(FIND("PCT",AU18)),ISNUMBER(FIND("PERCENT",AU18))),NOT(ISNUMBER(FIND("ACTUAL",AU18))),LEN(AU18)&lt;=16))+32768*(OR(ISNUMBER(FIND("DESIC",AU18)),ISNUMBER(FIND("DESSIC",AU18)))))</f>
        <v/>
      </c>
      <c r="AV153">
        <f>IF(AV18="",0,2*(OR(ISNUMBER(FIND("WORKCENTER",AV18)),AND(LEFT(AV18,4)="LINE",NOT(ISNUMBER(FIND("STATUS",AV18))))))+4*(OR(ISNUMBER(FIND("WORKORDER",AV18)),AND(LEFT(AV18,2)="WO",OR(ISNUMBER(FIND("NUM",AV18)),RIGHT(AV18,2)="NO"))))+8*(LEFT(AV18,3)="SEQ")+16*(AND(LEFT(AV18,4)="ITEM",NOT(ISNUMBER(FIND("DESC",AV18)))))+32*(AND(ISNUMBER(FIND("DESC",AV18)),NOT(ISNUMBER(FIND("CAP",AV18)))))+64*(OR(RIGHT(AV18,5)="COUNT",RIGHT(AV18,2)="CT"))+128*(ISNUMBER(FIND("BULK",AV18)))+256*(ISNUMBER(FIND("SIZE",AV18)))+512*(LEFT(AV18,3)="CAP")+1024*(ISNUMBER(FIND("ALLERG",AV18)))+2048*(OR(ISNUMBER(FIND("REMARK",AV18)),ISNUMBER(FIND("COMMENT",AV18))))+4096*(OR(ISNUMBER(FIND("QTY",AV18)),ISNUMBER(FIND("QUANTITY",AV18))))+8192*(AND(OR(ISNUMBER(FIND("COMPLETE",AV18)),ISNUMBER(FIND("PCT",AV18)),ISNUMBER(FIND("PERCENT",AV18))),NOT(ISNUMBER(FIND("ACTUAL",AV18))),LEN(AV18)&lt;=16))+32768*(OR(ISNUMBER(FIND("DESIC",AV18)),ISNUMBER(FIND("DESSIC",AV18)))))</f>
        <v/>
      </c>
      <c r="AW153">
        <f>IF(AW18="",0,2*(OR(ISNUMBER(FIND("WORKCENTER",AW18)),AND(LEFT(AW18,4)="LINE",NOT(ISNUMBER(FIND("STATUS",AW18))))))+4*(OR(ISNUMBER(FIND("WORKORDER",AW18)),AND(LEFT(AW18,2)="WO",OR(ISNUMBER(FIND("NUM",AW18)),RIGHT(AW18,2)="NO"))))+8*(LEFT(AW18,3)="SEQ")+16*(AND(LEFT(AW18,4)="ITEM",NOT(ISNUMBER(FIND("DESC",AW18)))))+32*(AND(ISNUMBER(FIND("DESC",AW18)),NOT(ISNUMBER(FIND("CAP",AW18)))))+64*(OR(RIGHT(AW18,5)="COUNT",RIGHT(AW18,2)="CT"))+128*(ISNUMBER(FIND("BULK",AW18)))+256*(ISNUMBER(FIND("SIZE",AW18)))+512*(LEFT(AW18,3)="CAP")+1024*(ISNUMBER(FIND("ALLERG",AW18)))+2048*(OR(ISNUMBER(FIND("REMARK",AW18)),ISNUMBER(FIND("COMMENT",AW18))))+4096*(OR(ISNUMBER(FIND("QTY",AW18)),ISNUMBER(FIND("QUANTITY",AW18))))+8192*(AND(OR(ISNUMBER(FIND("COMPLETE",AW18)),ISNUMBER(FIND("PCT",AW18)),ISNUMBER(FIND("PERCENT",AW18))),NOT(ISNUMBER(FIND("ACTUAL",AW18))),LEN(AW18)&lt;=16))+32768*(OR(ISNUMBER(FIND("DESIC",AW18)),ISNUMBER(FIND("DESSIC",AW18)))))</f>
        <v/>
      </c>
      <c r="AX153">
        <f>IF(AX18="",0,2*(OR(ISNUMBER(FIND("WORKCENTER",AX18)),AND(LEFT(AX18,4)="LINE",NOT(ISNUMBER(FIND("STATUS",AX18))))))+4*(OR(ISNUMBER(FIND("WORKORDER",AX18)),AND(LEFT(AX18,2)="WO",OR(ISNUMBER(FIND("NUM",AX18)),RIGHT(AX18,2)="NO"))))+8*(LEFT(AX18,3)="SEQ")+16*(AND(LEFT(AX18,4)="ITEM",NOT(ISNUMBER(FIND("DESC",AX18)))))+32*(AND(ISNUMBER(FIND("DESC",AX18)),NOT(ISNUMBER(FIND("CAP",AX18)))))+64*(OR(RIGHT(AX18,5)="COUNT",RIGHT(AX18,2)="CT"))+128*(ISNUMBER(FIND("BULK",AX18)))+256*(ISNUMBER(FIND("SIZE",AX18)))+512*(LEFT(AX18,3)="CAP")+1024*(ISNUMBER(FIND("ALLERG",AX18)))+2048*(OR(ISNUMBER(FIND("REMARK",AX18)),ISNUMBER(FIND("COMMENT",AX18))))+4096*(OR(ISNUMBER(FIND("QTY",AX18)),ISNUMBER(FIND("QUANTITY",AX18))))+8192*(AND(OR(ISNUMBER(FIND("COMPLETE",AX18)),ISNUMBER(FIND("PCT",AX18)),ISNUMBER(FIND("PERCENT",AX18))),NOT(ISNUMBER(FIND("ACTUAL",AX18))),LEN(AX18)&lt;=16))+32768*(OR(ISNUMBER(FIND("DESIC",AX18)),ISNUMBER(FIND("DESSIC",AX18)))))</f>
        <v/>
      </c>
      <c r="AY153">
        <f>IF(AY18="",0,2*(OR(ISNUMBER(FIND("WORKCENTER",AY18)),AND(LEFT(AY18,4)="LINE",NOT(ISNUMBER(FIND("STATUS",AY18))))))+4*(OR(ISNUMBER(FIND("WORKORDER",AY18)),AND(LEFT(AY18,2)="WO",OR(ISNUMBER(FIND("NUM",AY18)),RIGHT(AY18,2)="NO"))))+8*(LEFT(AY18,3)="SEQ")+16*(AND(LEFT(AY18,4)="ITEM",NOT(ISNUMBER(FIND("DESC",AY18)))))+32*(AND(ISNUMBER(FIND("DESC",AY18)),NOT(ISNUMBER(FIND("CAP",AY18)))))+64*(OR(RIGHT(AY18,5)="COUNT",RIGHT(AY18,2)="CT"))+128*(ISNUMBER(FIND("BULK",AY18)))+256*(ISNUMBER(FIND("SIZE",AY18)))+512*(LEFT(AY18,3)="CAP")+1024*(ISNUMBER(FIND("ALLERG",AY18)))+2048*(OR(ISNUMBER(FIND("REMARK",AY18)),ISNUMBER(FIND("COMMENT",AY18))))+4096*(OR(ISNUMBER(FIND("QTY",AY18)),ISNUMBER(FIND("QUANTITY",AY18))))+8192*(AND(OR(ISNUMBER(FIND("COMPLETE",AY18)),ISNUMBER(FIND("PCT",AY18)),ISNUMBER(FIND("PERCENT",AY18))),NOT(ISNUMBER(FIND("ACTUAL",AY18))),LEN(AY18)&lt;=16))+32768*(OR(ISNUMBER(FIND("DESIC",AY18)),ISNUMBER(FIND("DESSIC",AY18)))))</f>
        <v/>
      </c>
      <c r="AZ153">
        <f>IF(AZ18="",0,2*(OR(ISNUMBER(FIND("WORKCENTER",AZ18)),AND(LEFT(AZ18,4)="LINE",NOT(ISNUMBER(FIND("STATUS",AZ18))))))+4*(OR(ISNUMBER(FIND("WORKORDER",AZ18)),AND(LEFT(AZ18,2)="WO",OR(ISNUMBER(FIND("NUM",AZ18)),RIGHT(AZ18,2)="NO"))))+8*(LEFT(AZ18,3)="SEQ")+16*(AND(LEFT(AZ18,4)="ITEM",NOT(ISNUMBER(FIND("DESC",AZ18)))))+32*(AND(ISNUMBER(FIND("DESC",AZ18)),NOT(ISNUMBER(FIND("CAP",AZ18)))))+64*(OR(RIGHT(AZ18,5)="COUNT",RIGHT(AZ18,2)="CT"))+128*(ISNUMBER(FIND("BULK",AZ18)))+256*(ISNUMBER(FIND("SIZE",AZ18)))+512*(LEFT(AZ18,3)="CAP")+1024*(ISNUMBER(FIND("ALLERG",AZ18)))+2048*(OR(ISNUMBER(FIND("REMARK",AZ18)),ISNUMBER(FIND("COMMENT",AZ18))))+4096*(OR(ISNUMBER(FIND("QTY",AZ18)),ISNUMBER(FIND("QUANTITY",AZ18))))+8192*(AND(OR(ISNUMBER(FIND("COMPLETE",AZ18)),ISNUMBER(FIND("PCT",AZ18)),ISNUMBER(FIND("PERCENT",AZ18))),NOT(ISNUMBER(FIND("ACTUAL",AZ18))),LEN(AZ18)&lt;=16))+32768*(OR(ISNUMBER(FIND("DESIC",AZ18)),ISNUMBER(FIND("DESSIC",AZ18)))))</f>
        <v/>
      </c>
      <c r="BA153">
        <f>IF(BA18="",0,2*(OR(ISNUMBER(FIND("WORKCENTER",BA18)),AND(LEFT(BA18,4)="LINE",NOT(ISNUMBER(FIND("STATUS",BA18))))))+4*(OR(ISNUMBER(FIND("WORKORDER",BA18)),AND(LEFT(BA18,2)="WO",OR(ISNUMBER(FIND("NUM",BA18)),RIGHT(BA18,2)="NO"))))+8*(LEFT(BA18,3)="SEQ")+16*(AND(LEFT(BA18,4)="ITEM",NOT(ISNUMBER(FIND("DESC",BA18)))))+32*(AND(ISNUMBER(FIND("DESC",BA18)),NOT(ISNUMBER(FIND("CAP",BA18)))))+64*(OR(RIGHT(BA18,5)="COUNT",RIGHT(BA18,2)="CT"))+128*(ISNUMBER(FIND("BULK",BA18)))+256*(ISNUMBER(FIND("SIZE",BA18)))+512*(LEFT(BA18,3)="CAP")+1024*(ISNUMBER(FIND("ALLERG",BA18)))+2048*(OR(ISNUMBER(FIND("REMARK",BA18)),ISNUMBER(FIND("COMMENT",BA18))))+4096*(OR(ISNUMBER(FIND("QTY",BA18)),ISNUMBER(FIND("QUANTITY",BA18))))+8192*(AND(OR(ISNUMBER(FIND("COMPLETE",BA18)),ISNUMBER(FIND("PCT",BA18)),ISNUMBER(FIND("PERCENT",BA18))),NOT(ISNUMBER(FIND("ACTUAL",BA18))),LEN(BA18)&lt;=16))+32768*(OR(ISNUMBER(FIND("DESIC",BA18)),ISNUMBER(FIND("DESSIC",BA18)))))</f>
        <v/>
      </c>
      <c r="BB153">
        <f>IF(BB18="",0,2*(OR(ISNUMBER(FIND("WORKCENTER",BB18)),AND(LEFT(BB18,4)="LINE",NOT(ISNUMBER(FIND("STATUS",BB18))))))+4*(OR(ISNUMBER(FIND("WORKORDER",BB18)),AND(LEFT(BB18,2)="WO",OR(ISNUMBER(FIND("NUM",BB18)),RIGHT(BB18,2)="NO"))))+8*(LEFT(BB18,3)="SEQ")+16*(AND(LEFT(BB18,4)="ITEM",NOT(ISNUMBER(FIND("DESC",BB18)))))+32*(AND(ISNUMBER(FIND("DESC",BB18)),NOT(ISNUMBER(FIND("CAP",BB18)))))+64*(OR(RIGHT(BB18,5)="COUNT",RIGHT(BB18,2)="CT"))+128*(ISNUMBER(FIND("BULK",BB18)))+256*(ISNUMBER(FIND("SIZE",BB18)))+512*(LEFT(BB18,3)="CAP")+1024*(ISNUMBER(FIND("ALLERG",BB18)))+2048*(OR(ISNUMBER(FIND("REMARK",BB18)),ISNUMBER(FIND("COMMENT",BB18))))+4096*(OR(ISNUMBER(FIND("QTY",BB18)),ISNUMBER(FIND("QUANTITY",BB18))))+8192*(AND(OR(ISNUMBER(FIND("COMPLETE",BB18)),ISNUMBER(FIND("PCT",BB18)),ISNUMBER(FIND("PERCENT",BB18))),NOT(ISNUMBER(FIND("ACTUAL",BB18))),LEN(BB18)&lt;=16))+32768*(OR(ISNUMBER(FIND("DESIC",BB18)),ISNUMBER(FIND("DESSIC",BB18)))))</f>
        <v/>
      </c>
      <c r="BC153">
        <f>IF(BC18="",0,2*(OR(ISNUMBER(FIND("WORKCENTER",BC18)),AND(LEFT(BC18,4)="LINE",NOT(ISNUMBER(FIND("STATUS",BC18))))))+4*(OR(ISNUMBER(FIND("WORKORDER",BC18)),AND(LEFT(BC18,2)="WO",OR(ISNUMBER(FIND("NUM",BC18)),RIGHT(BC18,2)="NO"))))+8*(LEFT(BC18,3)="SEQ")+16*(AND(LEFT(BC18,4)="ITEM",NOT(ISNUMBER(FIND("DESC",BC18)))))+32*(AND(ISNUMBER(FIND("DESC",BC18)),NOT(ISNUMBER(FIND("CAP",BC18)))))+64*(OR(RIGHT(BC18,5)="COUNT",RIGHT(BC18,2)="CT"))+128*(ISNUMBER(FIND("BULK",BC18)))+256*(ISNUMBER(FIND("SIZE",BC18)))+512*(LEFT(BC18,3)="CAP")+1024*(ISNUMBER(FIND("ALLERG",BC18)))+2048*(OR(ISNUMBER(FIND("REMARK",BC18)),ISNUMBER(FIND("COMMENT",BC18))))+4096*(OR(ISNUMBER(FIND("QTY",BC18)),ISNUMBER(FIND("QUANTITY",BC18))))+8192*(AND(OR(ISNUMBER(FIND("COMPLETE",BC18)),ISNUMBER(FIND("PCT",BC18)),ISNUMBER(FIND("PERCENT",BC18))),NOT(ISNUMBER(FIND("ACTUAL",BC18))),LEN(BC18)&lt;=16))+32768*(OR(ISNUMBER(FIND("DESIC",BC18)),ISNUMBER(FIND("DESSIC",BC18)))))</f>
        <v/>
      </c>
      <c r="BD153">
        <f>IF(BD18="",0,2*(OR(ISNUMBER(FIND("WORKCENTER",BD18)),AND(LEFT(BD18,4)="LINE",NOT(ISNUMBER(FIND("STATUS",BD18))))))+4*(OR(ISNUMBER(FIND("WORKORDER",BD18)),AND(LEFT(BD18,2)="WO",OR(ISNUMBER(FIND("NUM",BD18)),RIGHT(BD18,2)="NO"))))+8*(LEFT(BD18,3)="SEQ")+16*(AND(LEFT(BD18,4)="ITEM",NOT(ISNUMBER(FIND("DESC",BD18)))))+32*(AND(ISNUMBER(FIND("DESC",BD18)),NOT(ISNUMBER(FIND("CAP",BD18)))))+64*(OR(RIGHT(BD18,5)="COUNT",RIGHT(BD18,2)="CT"))+128*(ISNUMBER(FIND("BULK",BD18)))+256*(ISNUMBER(FIND("SIZE",BD18)))+512*(LEFT(BD18,3)="CAP")+1024*(ISNUMBER(FIND("ALLERG",BD18)))+2048*(OR(ISNUMBER(FIND("REMARK",BD18)),ISNUMBER(FIND("COMMENT",BD18))))+4096*(OR(ISNUMBER(FIND("QTY",BD18)),ISNUMBER(FIND("QUANTITY",BD18))))+8192*(AND(OR(ISNUMBER(FIND("COMPLETE",BD18)),ISNUMBER(FIND("PCT",BD18)),ISNUMBER(FIND("PERCENT",BD18))),NOT(ISNUMBER(FIND("ACTUAL",BD18))),LEN(BD18)&lt;=16))+32768*(OR(ISNUMBER(FIND("DESIC",BD18)),ISNUMBER(FIND("DESSIC",BD18)))))</f>
        <v/>
      </c>
      <c r="BE153">
        <f>IF(BE18="",0,2*(OR(ISNUMBER(FIND("WORKCENTER",BE18)),AND(LEFT(BE18,4)="LINE",NOT(ISNUMBER(FIND("STATUS",BE18))))))+4*(OR(ISNUMBER(FIND("WORKORDER",BE18)),AND(LEFT(BE18,2)="WO",OR(ISNUMBER(FIND("NUM",BE18)),RIGHT(BE18,2)="NO"))))+8*(LEFT(BE18,3)="SEQ")+16*(AND(LEFT(BE18,4)="ITEM",NOT(ISNUMBER(FIND("DESC",BE18)))))+32*(AND(ISNUMBER(FIND("DESC",BE18)),NOT(ISNUMBER(FIND("CAP",BE18)))))+64*(OR(RIGHT(BE18,5)="COUNT",RIGHT(BE18,2)="CT"))+128*(ISNUMBER(FIND("BULK",BE18)))+256*(ISNUMBER(FIND("SIZE",BE18)))+512*(LEFT(BE18,3)="CAP")+1024*(ISNUMBER(FIND("ALLERG",BE18)))+2048*(OR(ISNUMBER(FIND("REMARK",BE18)),ISNUMBER(FIND("COMMENT",BE18))))+4096*(OR(ISNUMBER(FIND("QTY",BE18)),ISNUMBER(FIND("QUANTITY",BE18))))+8192*(AND(OR(ISNUMBER(FIND("COMPLETE",BE18)),ISNUMBER(FIND("PCT",BE18)),ISNUMBER(FIND("PERCENT",BE18))),NOT(ISNUMBER(FIND("ACTUAL",BE18))),LEN(BE18)&lt;=16))+32768*(OR(ISNUMBER(FIND("DESIC",BE18)),ISNUMBER(FIND("DESSIC",BE18)))))</f>
        <v/>
      </c>
      <c r="BF153">
        <f>IF(BF18="",0,2*(OR(ISNUMBER(FIND("WORKCENTER",BF18)),AND(LEFT(BF18,4)="LINE",NOT(ISNUMBER(FIND("STATUS",BF18))))))+4*(OR(ISNUMBER(FIND("WORKORDER",BF18)),AND(LEFT(BF18,2)="WO",OR(ISNUMBER(FIND("NUM",BF18)),RIGHT(BF18,2)="NO"))))+8*(LEFT(BF18,3)="SEQ")+16*(AND(LEFT(BF18,4)="ITEM",NOT(ISNUMBER(FIND("DESC",BF18)))))+32*(AND(ISNUMBER(FIND("DESC",BF18)),NOT(ISNUMBER(FIND("CAP",BF18)))))+64*(OR(RIGHT(BF18,5)="COUNT",RIGHT(BF18,2)="CT"))+128*(ISNUMBER(FIND("BULK",BF18)))+256*(ISNUMBER(FIND("SIZE",BF18)))+512*(LEFT(BF18,3)="CAP")+1024*(ISNUMBER(FIND("ALLERG",BF18)))+2048*(OR(ISNUMBER(FIND("REMARK",BF18)),ISNUMBER(FIND("COMMENT",BF18))))+4096*(OR(ISNUMBER(FIND("QTY",BF18)),ISNUMBER(FIND("QUANTITY",BF18))))+8192*(AND(OR(ISNUMBER(FIND("COMPLETE",BF18)),ISNUMBER(FIND("PCT",BF18)),ISNUMBER(FIND("PERCENT",BF18))),NOT(ISNUMBER(FIND("ACTUAL",BF18))),LEN(BF18)&lt;=16))+32768*(OR(ISNUMBER(FIND("DESIC",BF18)),ISNUMBER(FIND("DESSIC",BF18)))))</f>
        <v/>
      </c>
      <c r="BG153">
        <f>IF(BG18="",0,2*(OR(ISNUMBER(FIND("WORKCENTER",BG18)),AND(LEFT(BG18,4)="LINE",NOT(ISNUMBER(FIND("STATUS",BG18))))))+4*(OR(ISNUMBER(FIND("WORKORDER",BG18)),AND(LEFT(BG18,2)="WO",OR(ISNUMBER(FIND("NUM",BG18)),RIGHT(BG18,2)="NO"))))+8*(LEFT(BG18,3)="SEQ")+16*(AND(LEFT(BG18,4)="ITEM",NOT(ISNUMBER(FIND("DESC",BG18)))))+32*(AND(ISNUMBER(FIND("DESC",BG18)),NOT(ISNUMBER(FIND("CAP",BG18)))))+64*(OR(RIGHT(BG18,5)="COUNT",RIGHT(BG18,2)="CT"))+128*(ISNUMBER(FIND("BULK",BG18)))+256*(ISNUMBER(FIND("SIZE",BG18)))+512*(LEFT(BG18,3)="CAP")+1024*(ISNUMBER(FIND("ALLERG",BG18)))+2048*(OR(ISNUMBER(FIND("REMARK",BG18)),ISNUMBER(FIND("COMMENT",BG18))))+4096*(OR(ISNUMBER(FIND("QTY",BG18)),ISNUMBER(FIND("QUANTITY",BG18))))+8192*(AND(OR(ISNUMBER(FIND("COMPLETE",BG18)),ISNUMBER(FIND("PCT",BG18)),ISNUMBER(FIND("PERCENT",BG18))),NOT(ISNUMBER(FIND("ACTUAL",BG18))),LEN(BG18)&lt;=16))+32768*(OR(ISNUMBER(FIND("DESIC",BG18)),ISNUMBER(FIND("DESSIC",BG18)))))</f>
        <v/>
      </c>
      <c r="BH153">
        <f>IF(BH18="",0,2*(OR(ISNUMBER(FIND("WORKCENTER",BH18)),AND(LEFT(BH18,4)="LINE",NOT(ISNUMBER(FIND("STATUS",BH18))))))+4*(OR(ISNUMBER(FIND("WORKORDER",BH18)),AND(LEFT(BH18,2)="WO",OR(ISNUMBER(FIND("NUM",BH18)),RIGHT(BH18,2)="NO"))))+8*(LEFT(BH18,3)="SEQ")+16*(AND(LEFT(BH18,4)="ITEM",NOT(ISNUMBER(FIND("DESC",BH18)))))+32*(AND(ISNUMBER(FIND("DESC",BH18)),NOT(ISNUMBER(FIND("CAP",BH18)))))+64*(OR(RIGHT(BH18,5)="COUNT",RIGHT(BH18,2)="CT"))+128*(ISNUMBER(FIND("BULK",BH18)))+256*(ISNUMBER(FIND("SIZE",BH18)))+512*(LEFT(BH18,3)="CAP")+1024*(ISNUMBER(FIND("ALLERG",BH18)))+2048*(OR(ISNUMBER(FIND("REMARK",BH18)),ISNUMBER(FIND("COMMENT",BH18))))+4096*(OR(ISNUMBER(FIND("QTY",BH18)),ISNUMBER(FIND("QUANTITY",BH18))))+8192*(AND(OR(ISNUMBER(FIND("COMPLETE",BH18)),ISNUMBER(FIND("PCT",BH18)),ISNUMBER(FIND("PERCENT",BH18))),NOT(ISNUMBER(FIND("ACTUAL",BH18))),LEN(BH18)&lt;=16))+32768*(OR(ISNUMBER(FIND("DESIC",BH18)),ISNUMBER(FIND("DESSIC",BH18)))))</f>
        <v/>
      </c>
      <c r="BI153">
        <f>IF(BI18="",0,2*(OR(ISNUMBER(FIND("WORKCENTER",BI18)),AND(LEFT(BI18,4)="LINE",NOT(ISNUMBER(FIND("STATUS",BI18))))))+4*(OR(ISNUMBER(FIND("WORKORDER",BI18)),AND(LEFT(BI18,2)="WO",OR(ISNUMBER(FIND("NUM",BI18)),RIGHT(BI18,2)="NO"))))+8*(LEFT(BI18,3)="SEQ")+16*(AND(LEFT(BI18,4)="ITEM",NOT(ISNUMBER(FIND("DESC",BI18)))))+32*(AND(ISNUMBER(FIND("DESC",BI18)),NOT(ISNUMBER(FIND("CAP",BI18)))))+64*(OR(RIGHT(BI18,5)="COUNT",RIGHT(BI18,2)="CT"))+128*(ISNUMBER(FIND("BULK",BI18)))+256*(ISNUMBER(FIND("SIZE",BI18)))+512*(LEFT(BI18,3)="CAP")+1024*(ISNUMBER(FIND("ALLERG",BI18)))+2048*(OR(ISNUMBER(FIND("REMARK",BI18)),ISNUMBER(FIND("COMMENT",BI18))))+4096*(OR(ISNUMBER(FIND("QTY",BI18)),ISNUMBER(FIND("QUANTITY",BI18))))+8192*(AND(OR(ISNUMBER(FIND("COMPLETE",BI18)),ISNUMBER(FIND("PCT",BI18)),ISNUMBER(FIND("PERCENT",BI18))),NOT(ISNUMBER(FIND("ACTUAL",BI18))),LEN(BI18)&lt;=16))+32768*(OR(ISNUMBER(FIND("DESIC",BI18)),ISNUMBER(FIND("DESSIC",BI18)))))</f>
        <v/>
      </c>
      <c r="BJ153">
        <f>IF(BJ18="",0,2*(OR(ISNUMBER(FIND("WORKCENTER",BJ18)),AND(LEFT(BJ18,4)="LINE",NOT(ISNUMBER(FIND("STATUS",BJ18))))))+4*(OR(ISNUMBER(FIND("WORKORDER",BJ18)),AND(LEFT(BJ18,2)="WO",OR(ISNUMBER(FIND("NUM",BJ18)),RIGHT(BJ18,2)="NO"))))+8*(LEFT(BJ18,3)="SEQ")+16*(AND(LEFT(BJ18,4)="ITEM",NOT(ISNUMBER(FIND("DESC",BJ18)))))+32*(AND(ISNUMBER(FIND("DESC",BJ18)),NOT(ISNUMBER(FIND("CAP",BJ18)))))+64*(OR(RIGHT(BJ18,5)="COUNT",RIGHT(BJ18,2)="CT"))+128*(ISNUMBER(FIND("BULK",BJ18)))+256*(ISNUMBER(FIND("SIZE",BJ18)))+512*(LEFT(BJ18,3)="CAP")+1024*(ISNUMBER(FIND("ALLERG",BJ18)))+2048*(OR(ISNUMBER(FIND("REMARK",BJ18)),ISNUMBER(FIND("COMMENT",BJ18))))+4096*(OR(ISNUMBER(FIND("QTY",BJ18)),ISNUMBER(FIND("QUANTITY",BJ18))))+8192*(AND(OR(ISNUMBER(FIND("COMPLETE",BJ18)),ISNUMBER(FIND("PCT",BJ18)),ISNUMBER(FIND("PERCENT",BJ18))),NOT(ISNUMBER(FIND("ACTUAL",BJ18))),LEN(BJ18)&lt;=16))+32768*(OR(ISNUMBER(FIND("DESIC",BJ18)),ISNUMBER(FIND("DESSIC",BJ18)))))</f>
        <v/>
      </c>
      <c r="BK153">
        <f>IF(BK18="",0,2*(OR(ISNUMBER(FIND("WORKCENTER",BK18)),AND(LEFT(BK18,4)="LINE",NOT(ISNUMBER(FIND("STATUS",BK18))))))+4*(OR(ISNUMBER(FIND("WORKORDER",BK18)),AND(LEFT(BK18,2)="WO",OR(ISNUMBER(FIND("NUM",BK18)),RIGHT(BK18,2)="NO"))))+8*(LEFT(BK18,3)="SEQ")+16*(AND(LEFT(BK18,4)="ITEM",NOT(ISNUMBER(FIND("DESC",BK18)))))+32*(AND(ISNUMBER(FIND("DESC",BK18)),NOT(ISNUMBER(FIND("CAP",BK18)))))+64*(OR(RIGHT(BK18,5)="COUNT",RIGHT(BK18,2)="CT"))+128*(ISNUMBER(FIND("BULK",BK18)))+256*(ISNUMBER(FIND("SIZE",BK18)))+512*(LEFT(BK18,3)="CAP")+1024*(ISNUMBER(FIND("ALLERG",BK18)))+2048*(OR(ISNUMBER(FIND("REMARK",BK18)),ISNUMBER(FIND("COMMENT",BK18))))+4096*(OR(ISNUMBER(FIND("QTY",BK18)),ISNUMBER(FIND("QUANTITY",BK18))))+8192*(AND(OR(ISNUMBER(FIND("COMPLETE",BK18)),ISNUMBER(FIND("PCT",BK18)),ISNUMBER(FIND("PERCENT",BK18))),NOT(ISNUMBER(FIND("ACTUAL",BK18))),LEN(BK18)&lt;=16))+32768*(OR(ISNUMBER(FIND("DESIC",BK18)),ISNUMBER(FIND("DESSIC",BK18)))))</f>
        <v/>
      </c>
      <c r="BL153">
        <f>IF(BL18="",0,2*(OR(ISNUMBER(FIND("WORKCENTER",BL18)),AND(LEFT(BL18,4)="LINE",NOT(ISNUMBER(FIND("STATUS",BL18))))))+4*(OR(ISNUMBER(FIND("WORKORDER",BL18)),AND(LEFT(BL18,2)="WO",OR(ISNUMBER(FIND("NUM",BL18)),RIGHT(BL18,2)="NO"))))+8*(LEFT(BL18,3)="SEQ")+16*(AND(LEFT(BL18,4)="ITEM",NOT(ISNUMBER(FIND("DESC",BL18)))))+32*(AND(ISNUMBER(FIND("DESC",BL18)),NOT(ISNUMBER(FIND("CAP",BL18)))))+64*(OR(RIGHT(BL18,5)="COUNT",RIGHT(BL18,2)="CT"))+128*(ISNUMBER(FIND("BULK",BL18)))+256*(ISNUMBER(FIND("SIZE",BL18)))+512*(LEFT(BL18,3)="CAP")+1024*(ISNUMBER(FIND("ALLERG",BL18)))+2048*(OR(ISNUMBER(FIND("REMARK",BL18)),ISNUMBER(FIND("COMMENT",BL18))))+4096*(OR(ISNUMBER(FIND("QTY",BL18)),ISNUMBER(FIND("QUANTITY",BL18))))+8192*(AND(OR(ISNUMBER(FIND("COMPLETE",BL18)),ISNUMBER(FIND("PCT",BL18)),ISNUMBER(FIND("PERCENT",BL18))),NOT(ISNUMBER(FIND("ACTUAL",BL18))),LEN(BL18)&lt;=16))+32768*(OR(ISNUMBER(FIND("DESIC",BL18)),ISNUMBER(FIND("DESSIC",BL18)))))</f>
        <v/>
      </c>
      <c r="BM153">
        <f>IF(BM18="",0,2*(OR(ISNUMBER(FIND("WORKCENTER",BM18)),AND(LEFT(BM18,4)="LINE",NOT(ISNUMBER(FIND("STATUS",BM18))))))+4*(OR(ISNUMBER(FIND("WORKORDER",BM18)),AND(LEFT(BM18,2)="WO",OR(ISNUMBER(FIND("NUM",BM18)),RIGHT(BM18,2)="NO"))))+8*(LEFT(BM18,3)="SEQ")+16*(AND(LEFT(BM18,4)="ITEM",NOT(ISNUMBER(FIND("DESC",BM18)))))+32*(AND(ISNUMBER(FIND("DESC",BM18)),NOT(ISNUMBER(FIND("CAP",BM18)))))+64*(OR(RIGHT(BM18,5)="COUNT",RIGHT(BM18,2)="CT"))+128*(ISNUMBER(FIND("BULK",BM18)))+256*(ISNUMBER(FIND("SIZE",BM18)))+512*(LEFT(BM18,3)="CAP")+1024*(ISNUMBER(FIND("ALLERG",BM18)))+2048*(OR(ISNUMBER(FIND("REMARK",BM18)),ISNUMBER(FIND("COMMENT",BM18))))+4096*(OR(ISNUMBER(FIND("QTY",BM18)),ISNUMBER(FIND("QUANTITY",BM18))))+8192*(AND(OR(ISNUMBER(FIND("COMPLETE",BM18)),ISNUMBER(FIND("PCT",BM18)),ISNUMBER(FIND("PERCENT",BM18))),NOT(ISNUMBER(FIND("ACTUAL",BM18))),LEN(BM18)&lt;=16))+32768*(OR(ISNUMBER(FIND("DESIC",BM18)),ISNUMBER(FIND("DESSIC",BM18)))))</f>
        <v/>
      </c>
      <c r="BN153">
        <f>IF(BN18="",0,2*(OR(ISNUMBER(FIND("WORKCENTER",BN18)),AND(LEFT(BN18,4)="LINE",NOT(ISNUMBER(FIND("STATUS",BN18))))))+4*(OR(ISNUMBER(FIND("WORKORDER",BN18)),AND(LEFT(BN18,2)="WO",OR(ISNUMBER(FIND("NUM",BN18)),RIGHT(BN18,2)="NO"))))+8*(LEFT(BN18,3)="SEQ")+16*(AND(LEFT(BN18,4)="ITEM",NOT(ISNUMBER(FIND("DESC",BN18)))))+32*(AND(ISNUMBER(FIND("DESC",BN18)),NOT(ISNUMBER(FIND("CAP",BN18)))))+64*(OR(RIGHT(BN18,5)="COUNT",RIGHT(BN18,2)="CT"))+128*(ISNUMBER(FIND("BULK",BN18)))+256*(ISNUMBER(FIND("SIZE",BN18)))+512*(LEFT(BN18,3)="CAP")+1024*(ISNUMBER(FIND("ALLERG",BN18)))+2048*(OR(ISNUMBER(FIND("REMARK",BN18)),ISNUMBER(FIND("COMMENT",BN18))))+4096*(OR(ISNUMBER(FIND("QTY",BN18)),ISNUMBER(FIND("QUANTITY",BN18))))+8192*(AND(OR(ISNUMBER(FIND("COMPLETE",BN18)),ISNUMBER(FIND("PCT",BN18)),ISNUMBER(FIND("PERCENT",BN18))),NOT(ISNUMBER(FIND("ACTUAL",BN18))),LEN(BN18)&lt;=16))+32768*(OR(ISNUMBER(FIND("DESIC",BN18)),ISNUMBER(FIND("DESSIC",BN18)))))</f>
        <v/>
      </c>
      <c r="BO153">
        <f>IF(BO18="",0,2*(OR(ISNUMBER(FIND("WORKCENTER",BO18)),AND(LEFT(BO18,4)="LINE",NOT(ISNUMBER(FIND("STATUS",BO18))))))+4*(OR(ISNUMBER(FIND("WORKORDER",BO18)),AND(LEFT(BO18,2)="WO",OR(ISNUMBER(FIND("NUM",BO18)),RIGHT(BO18,2)="NO"))))+8*(LEFT(BO18,3)="SEQ")+16*(AND(LEFT(BO18,4)="ITEM",NOT(ISNUMBER(FIND("DESC",BO18)))))+32*(AND(ISNUMBER(FIND("DESC",BO18)),NOT(ISNUMBER(FIND("CAP",BO18)))))+64*(OR(RIGHT(BO18,5)="COUNT",RIGHT(BO18,2)="CT"))+128*(ISNUMBER(FIND("BULK",BO18)))+256*(ISNUMBER(FIND("SIZE",BO18)))+512*(LEFT(BO18,3)="CAP")+1024*(ISNUMBER(FIND("ALLERG",BO18)))+2048*(OR(ISNUMBER(FIND("REMARK",BO18)),ISNUMBER(FIND("COMMENT",BO18))))+4096*(OR(ISNUMBER(FIND("QTY",BO18)),ISNUMBER(FIND("QUANTITY",BO18))))+8192*(AND(OR(ISNUMBER(FIND("COMPLETE",BO18)),ISNUMBER(FIND("PCT",BO18)),ISNUMBER(FIND("PERCENT",BO18))),NOT(ISNUMBER(FIND("ACTUAL",BO18))),LEN(BO18)&lt;=16))+32768*(OR(ISNUMBER(FIND("DESIC",BO18)),ISNUMBER(FIND("DESSIC",BO18)))))</f>
        <v/>
      </c>
      <c r="BP153">
        <f>IF(BP18="",0,2*(OR(ISNUMBER(FIND("WORKCENTER",BP18)),AND(LEFT(BP18,4)="LINE",NOT(ISNUMBER(FIND("STATUS",BP18))))))+4*(OR(ISNUMBER(FIND("WORKORDER",BP18)),AND(LEFT(BP18,2)="WO",OR(ISNUMBER(FIND("NUM",BP18)),RIGHT(BP18,2)="NO"))))+8*(LEFT(BP18,3)="SEQ")+16*(AND(LEFT(BP18,4)="ITEM",NOT(ISNUMBER(FIND("DESC",BP18)))))+32*(AND(ISNUMBER(FIND("DESC",BP18)),NOT(ISNUMBER(FIND("CAP",BP18)))))+64*(OR(RIGHT(BP18,5)="COUNT",RIGHT(BP18,2)="CT"))+128*(ISNUMBER(FIND("BULK",BP18)))+256*(ISNUMBER(FIND("SIZE",BP18)))+512*(LEFT(BP18,3)="CAP")+1024*(ISNUMBER(FIND("ALLERG",BP18)))+2048*(OR(ISNUMBER(FIND("REMARK",BP18)),ISNUMBER(FIND("COMMENT",BP18))))+4096*(OR(ISNUMBER(FIND("QTY",BP18)),ISNUMBER(FIND("QUANTITY",BP18))))+8192*(AND(OR(ISNUMBER(FIND("COMPLETE",BP18)),ISNUMBER(FIND("PCT",BP18)),ISNUMBER(FIND("PERCENT",BP18))),NOT(ISNUMBER(FIND("ACTUAL",BP18))),LEN(BP18)&lt;=16))+32768*(OR(ISNUMBER(FIND("DESIC",BP18)),ISNUMBER(FIND("DESSIC",BP18)))))</f>
        <v/>
      </c>
      <c r="BQ153">
        <f>IF(BQ18="",0,2*(OR(ISNUMBER(FIND("WORKCENTER",BQ18)),AND(LEFT(BQ18,4)="LINE",NOT(ISNUMBER(FIND("STATUS",BQ18))))))+4*(OR(ISNUMBER(FIND("WORKORDER",BQ18)),AND(LEFT(BQ18,2)="WO",OR(ISNUMBER(FIND("NUM",BQ18)),RIGHT(BQ18,2)="NO"))))+8*(LEFT(BQ18,3)="SEQ")+16*(AND(LEFT(BQ18,4)="ITEM",NOT(ISNUMBER(FIND("DESC",BQ18)))))+32*(AND(ISNUMBER(FIND("DESC",BQ18)),NOT(ISNUMBER(FIND("CAP",BQ18)))))+64*(OR(RIGHT(BQ18,5)="COUNT",RIGHT(BQ18,2)="CT"))+128*(ISNUMBER(FIND("BULK",BQ18)))+256*(ISNUMBER(FIND("SIZE",BQ18)))+512*(LEFT(BQ18,3)="CAP")+1024*(ISNUMBER(FIND("ALLERG",BQ18)))+2048*(OR(ISNUMBER(FIND("REMARK",BQ18)),ISNUMBER(FIND("COMMENT",BQ18))))+4096*(OR(ISNUMBER(FIND("QTY",BQ18)),ISNUMBER(FIND("QUANTITY",BQ18))))+8192*(AND(OR(ISNUMBER(FIND("COMPLETE",BQ18)),ISNUMBER(FIND("PCT",BQ18)),ISNUMBER(FIND("PERCENT",BQ18))),NOT(ISNUMBER(FIND("ACTUAL",BQ18))),LEN(BQ18)&lt;=16))+32768*(OR(ISNUMBER(FIND("DESIC",BQ18)),ISNUMBER(FIND("DESSIC",BQ18)))))</f>
        <v/>
      </c>
      <c r="BR153">
        <f>IF(BR18="",0,2*(OR(ISNUMBER(FIND("WORKCENTER",BR18)),AND(LEFT(BR18,4)="LINE",NOT(ISNUMBER(FIND("STATUS",BR18))))))+4*(OR(ISNUMBER(FIND("WORKORDER",BR18)),AND(LEFT(BR18,2)="WO",OR(ISNUMBER(FIND("NUM",BR18)),RIGHT(BR18,2)="NO"))))+8*(LEFT(BR18,3)="SEQ")+16*(AND(LEFT(BR18,4)="ITEM",NOT(ISNUMBER(FIND("DESC",BR18)))))+32*(AND(ISNUMBER(FIND("DESC",BR18)),NOT(ISNUMBER(FIND("CAP",BR18)))))+64*(OR(RIGHT(BR18,5)="COUNT",RIGHT(BR18,2)="CT"))+128*(ISNUMBER(FIND("BULK",BR18)))+256*(ISNUMBER(FIND("SIZE",BR18)))+512*(LEFT(BR18,3)="CAP")+1024*(ISNUMBER(FIND("ALLERG",BR18)))+2048*(OR(ISNUMBER(FIND("REMARK",BR18)),ISNUMBER(FIND("COMMENT",BR18))))+4096*(OR(ISNUMBER(FIND("QTY",BR18)),ISNUMBER(FIND("QUANTITY",BR18))))+8192*(AND(OR(ISNUMBER(FIND("COMPLETE",BR18)),ISNUMBER(FIND("PCT",BR18)),ISNUMBER(FIND("PERCENT",BR18))),NOT(ISNUMBER(FIND("ACTUAL",BR18))),LEN(BR18)&lt;=16))+32768*(OR(ISNUMBER(FIND("DESIC",BR18)),ISNUMBER(FIND("DESSIC",BR18)))))</f>
        <v/>
      </c>
      <c r="BS153">
        <f>IF(BS18="",0,2*(OR(ISNUMBER(FIND("WORKCENTER",BS18)),AND(LEFT(BS18,4)="LINE",NOT(ISNUMBER(FIND("STATUS",BS18))))))+4*(OR(ISNUMBER(FIND("WORKORDER",BS18)),AND(LEFT(BS18,2)="WO",OR(ISNUMBER(FIND("NUM",BS18)),RIGHT(BS18,2)="NO"))))+8*(LEFT(BS18,3)="SEQ")+16*(AND(LEFT(BS18,4)="ITEM",NOT(ISNUMBER(FIND("DESC",BS18)))))+32*(AND(ISNUMBER(FIND("DESC",BS18)),NOT(ISNUMBER(FIND("CAP",BS18)))))+64*(OR(RIGHT(BS18,5)="COUNT",RIGHT(BS18,2)="CT"))+128*(ISNUMBER(FIND("BULK",BS18)))+256*(ISNUMBER(FIND("SIZE",BS18)))+512*(LEFT(BS18,3)="CAP")+1024*(ISNUMBER(FIND("ALLERG",BS18)))+2048*(OR(ISNUMBER(FIND("REMARK",BS18)),ISNUMBER(FIND("COMMENT",BS18))))+4096*(OR(ISNUMBER(FIND("QTY",BS18)),ISNUMBER(FIND("QUANTITY",BS18))))+8192*(AND(OR(ISNUMBER(FIND("COMPLETE",BS18)),ISNUMBER(FIND("PCT",BS18)),ISNUMBER(FIND("PERCENT",BS18))),NOT(ISNUMBER(FIND("ACTUAL",BS18))),LEN(BS18)&lt;=16))+32768*(OR(ISNUMBER(FIND("DESIC",BS18)),ISNUMBER(FIND("DESSIC",BS18)))))</f>
        <v/>
      </c>
      <c r="BT153">
        <f>IF(BT18="",0,2*(OR(ISNUMBER(FIND("WORKCENTER",BT18)),AND(LEFT(BT18,4)="LINE",NOT(ISNUMBER(FIND("STATUS",BT18))))))+4*(OR(ISNUMBER(FIND("WORKORDER",BT18)),AND(LEFT(BT18,2)="WO",OR(ISNUMBER(FIND("NUM",BT18)),RIGHT(BT18,2)="NO"))))+8*(LEFT(BT18,3)="SEQ")+16*(AND(LEFT(BT18,4)="ITEM",NOT(ISNUMBER(FIND("DESC",BT18)))))+32*(AND(ISNUMBER(FIND("DESC",BT18)),NOT(ISNUMBER(FIND("CAP",BT18)))))+64*(OR(RIGHT(BT18,5)="COUNT",RIGHT(BT18,2)="CT"))+128*(ISNUMBER(FIND("BULK",BT18)))+256*(ISNUMBER(FIND("SIZE",BT18)))+512*(LEFT(BT18,3)="CAP")+1024*(ISNUMBER(FIND("ALLERG",BT18)))+2048*(OR(ISNUMBER(FIND("REMARK",BT18)),ISNUMBER(FIND("COMMENT",BT18))))+4096*(OR(ISNUMBER(FIND("QTY",BT18)),ISNUMBER(FIND("QUANTITY",BT18))))+8192*(AND(OR(ISNUMBER(FIND("COMPLETE",BT18)),ISNUMBER(FIND("PCT",BT18)),ISNUMBER(FIND("PERCENT",BT18))),NOT(ISNUMBER(FIND("ACTUAL",BT18))),LEN(BT18)&lt;=16))+32768*(OR(ISNUMBER(FIND("DESIC",BT18)),ISNUMBER(FIND("DESSIC",BT18)))))</f>
        <v/>
      </c>
      <c r="BU153">
        <f>IF(BU18="",0,2*(OR(ISNUMBER(FIND("WORKCENTER",BU18)),AND(LEFT(BU18,4)="LINE",NOT(ISNUMBER(FIND("STATUS",BU18))))))+4*(OR(ISNUMBER(FIND("WORKORDER",BU18)),AND(LEFT(BU18,2)="WO",OR(ISNUMBER(FIND("NUM",BU18)),RIGHT(BU18,2)="NO"))))+8*(LEFT(BU18,3)="SEQ")+16*(AND(LEFT(BU18,4)="ITEM",NOT(ISNUMBER(FIND("DESC",BU18)))))+32*(AND(ISNUMBER(FIND("DESC",BU18)),NOT(ISNUMBER(FIND("CAP",BU18)))))+64*(OR(RIGHT(BU18,5)="COUNT",RIGHT(BU18,2)="CT"))+128*(ISNUMBER(FIND("BULK",BU18)))+256*(ISNUMBER(FIND("SIZE",BU18)))+512*(LEFT(BU18,3)="CAP")+1024*(ISNUMBER(FIND("ALLERG",BU18)))+2048*(OR(ISNUMBER(FIND("REMARK",BU18)),ISNUMBER(FIND("COMMENT",BU18))))+4096*(OR(ISNUMBER(FIND("QTY",BU18)),ISNUMBER(FIND("QUANTITY",BU18))))+8192*(AND(OR(ISNUMBER(FIND("COMPLETE",BU18)),ISNUMBER(FIND("PCT",BU18)),ISNUMBER(FIND("PERCENT",BU18))),NOT(ISNUMBER(FIND("ACTUAL",BU18))),LEN(BU18)&lt;=16))+32768*(OR(ISNUMBER(FIND("DESIC",BU18)),ISNUMBER(FIND("DESSIC",BU18)))))</f>
        <v/>
      </c>
      <c r="BV153">
        <f>IF(BV18="",0,2*(OR(ISNUMBER(FIND("WORKCENTER",BV18)),AND(LEFT(BV18,4)="LINE",NOT(ISNUMBER(FIND("STATUS",BV18))))))+4*(OR(ISNUMBER(FIND("WORKORDER",BV18)),AND(LEFT(BV18,2)="WO",OR(ISNUMBER(FIND("NUM",BV18)),RIGHT(BV18,2)="NO"))))+8*(LEFT(BV18,3)="SEQ")+16*(AND(LEFT(BV18,4)="ITEM",NOT(ISNUMBER(FIND("DESC",BV18)))))+32*(AND(ISNUMBER(FIND("DESC",BV18)),NOT(ISNUMBER(FIND("CAP",BV18)))))+64*(OR(RIGHT(BV18,5)="COUNT",RIGHT(BV18,2)="CT"))+128*(ISNUMBER(FIND("BULK",BV18)))+256*(ISNUMBER(FIND("SIZE",BV18)))+512*(LEFT(BV18,3)="CAP")+1024*(ISNUMBER(FIND("ALLERG",BV18)))+2048*(OR(ISNUMBER(FIND("REMARK",BV18)),ISNUMBER(FIND("COMMENT",BV18))))+4096*(OR(ISNUMBER(FIND("QTY",BV18)),ISNUMBER(FIND("QUANTITY",BV18))))+8192*(AND(OR(ISNUMBER(FIND("COMPLETE",BV18)),ISNUMBER(FIND("PCT",BV18)),ISNUMBER(FIND("PERCENT",BV18))),NOT(ISNUMBER(FIND("ACTUAL",BV18))),LEN(BV18)&lt;=16))+32768*(OR(ISNUMBER(FIND("DESIC",BV18)),ISNUMBER(FIND("DESSIC",BV18)))))</f>
        <v/>
      </c>
      <c r="BW153">
        <f>IF(BW18="",0,2*(OR(ISNUMBER(FIND("WORKCENTER",BW18)),AND(LEFT(BW18,4)="LINE",NOT(ISNUMBER(FIND("STATUS",BW18))))))+4*(OR(ISNUMBER(FIND("WORKORDER",BW18)),AND(LEFT(BW18,2)="WO",OR(ISNUMBER(FIND("NUM",BW18)),RIGHT(BW18,2)="NO"))))+8*(LEFT(BW18,3)="SEQ")+16*(AND(LEFT(BW18,4)="ITEM",NOT(ISNUMBER(FIND("DESC",BW18)))))+32*(AND(ISNUMBER(FIND("DESC",BW18)),NOT(ISNUMBER(FIND("CAP",BW18)))))+64*(OR(RIGHT(BW18,5)="COUNT",RIGHT(BW18,2)="CT"))+128*(ISNUMBER(FIND("BULK",BW18)))+256*(ISNUMBER(FIND("SIZE",BW18)))+512*(LEFT(BW18,3)="CAP")+1024*(ISNUMBER(FIND("ALLERG",BW18)))+2048*(OR(ISNUMBER(FIND("REMARK",BW18)),ISNUMBER(FIND("COMMENT",BW18))))+4096*(OR(ISNUMBER(FIND("QTY",BW18)),ISNUMBER(FIND("QUANTITY",BW18))))+8192*(AND(OR(ISNUMBER(FIND("COMPLETE",BW18)),ISNUMBER(FIND("PCT",BW18)),ISNUMBER(FIND("PERCENT",BW18))),NOT(ISNUMBER(FIND("ACTUAL",BW18))),LEN(BW18)&lt;=16))+32768*(OR(ISNUMBER(FIND("DESIC",BW18)),ISNUMBER(FIND("DESSIC",BW18)))))</f>
        <v/>
      </c>
      <c r="BX153">
        <f>IF(BX18="",0,2*(OR(ISNUMBER(FIND("WORKCENTER",BX18)),AND(LEFT(BX18,4)="LINE",NOT(ISNUMBER(FIND("STATUS",BX18))))))+4*(OR(ISNUMBER(FIND("WORKORDER",BX18)),AND(LEFT(BX18,2)="WO",OR(ISNUMBER(FIND("NUM",BX18)),RIGHT(BX18,2)="NO"))))+8*(LEFT(BX18,3)="SEQ")+16*(AND(LEFT(BX18,4)="ITEM",NOT(ISNUMBER(FIND("DESC",BX18)))))+32*(AND(ISNUMBER(FIND("DESC",BX18)),NOT(ISNUMBER(FIND("CAP",BX18)))))+64*(OR(RIGHT(BX18,5)="COUNT",RIGHT(BX18,2)="CT"))+128*(ISNUMBER(FIND("BULK",BX18)))+256*(ISNUMBER(FIND("SIZE",BX18)))+512*(LEFT(BX18,3)="CAP")+1024*(ISNUMBER(FIND("ALLERG",BX18)))+2048*(OR(ISNUMBER(FIND("REMARK",BX18)),ISNUMBER(FIND("COMMENT",BX18))))+4096*(OR(ISNUMBER(FIND("QTY",BX18)),ISNUMBER(FIND("QUANTITY",BX18))))+8192*(AND(OR(ISNUMBER(FIND("COMPLETE",BX18)),ISNUMBER(FIND("PCT",BX18)),ISNUMBER(FIND("PERCENT",BX18))),NOT(ISNUMBER(FIND("ACTUAL",BX18))),LEN(BX18)&lt;=16))+32768*(OR(ISNUMBER(FIND("DESIC",BX18)),ISNUMBER(FIND("DESSIC",BX18)))))</f>
        <v/>
      </c>
      <c r="BY153">
        <f>IF(BY18="",0,2*(OR(ISNUMBER(FIND("WORKCENTER",BY18)),AND(LEFT(BY18,4)="LINE",NOT(ISNUMBER(FIND("STATUS",BY18))))))+4*(OR(ISNUMBER(FIND("WORKORDER",BY18)),AND(LEFT(BY18,2)="WO",OR(ISNUMBER(FIND("NUM",BY18)),RIGHT(BY18,2)="NO"))))+8*(LEFT(BY18,3)="SEQ")+16*(AND(LEFT(BY18,4)="ITEM",NOT(ISNUMBER(FIND("DESC",BY18)))))+32*(AND(ISNUMBER(FIND("DESC",BY18)),NOT(ISNUMBER(FIND("CAP",BY18)))))+64*(OR(RIGHT(BY18,5)="COUNT",RIGHT(BY18,2)="CT"))+128*(ISNUMBER(FIND("BULK",BY18)))+256*(ISNUMBER(FIND("SIZE",BY18)))+512*(LEFT(BY18,3)="CAP")+1024*(ISNUMBER(FIND("ALLERG",BY18)))+2048*(OR(ISNUMBER(FIND("REMARK",BY18)),ISNUMBER(FIND("COMMENT",BY18))))+4096*(OR(ISNUMBER(FIND("QTY",BY18)),ISNUMBER(FIND("QUANTITY",BY18))))+8192*(AND(OR(ISNUMBER(FIND("COMPLETE",BY18)),ISNUMBER(FIND("PCT",BY18)),ISNUMBER(FIND("PERCENT",BY18))),NOT(ISNUMBER(FIND("ACTUAL",BY18))),LEN(BY18)&lt;=16))+32768*(OR(ISNUMBER(FIND("DESIC",BY18)),ISNUMBER(FIND("DESSIC",BY18)))))</f>
        <v/>
      </c>
      <c r="BZ153">
        <f>IF(BZ18="",0,2*(OR(ISNUMBER(FIND("WORKCENTER",BZ18)),AND(LEFT(BZ18,4)="LINE",NOT(ISNUMBER(FIND("STATUS",BZ18))))))+4*(OR(ISNUMBER(FIND("WORKORDER",BZ18)),AND(LEFT(BZ18,2)="WO",OR(ISNUMBER(FIND("NUM",BZ18)),RIGHT(BZ18,2)="NO"))))+8*(LEFT(BZ18,3)="SEQ")+16*(AND(LEFT(BZ18,4)="ITEM",NOT(ISNUMBER(FIND("DESC",BZ18)))))+32*(AND(ISNUMBER(FIND("DESC",BZ18)),NOT(ISNUMBER(FIND("CAP",BZ18)))))+64*(OR(RIGHT(BZ18,5)="COUNT",RIGHT(BZ18,2)="CT"))+128*(ISNUMBER(FIND("BULK",BZ18)))+256*(ISNUMBER(FIND("SIZE",BZ18)))+512*(LEFT(BZ18,3)="CAP")+1024*(ISNUMBER(FIND("ALLERG",BZ18)))+2048*(OR(ISNUMBER(FIND("REMARK",BZ18)),ISNUMBER(FIND("COMMENT",BZ18))))+4096*(OR(ISNUMBER(FIND("QTY",BZ18)),ISNUMBER(FIND("QUANTITY",BZ18))))+8192*(AND(OR(ISNUMBER(FIND("COMPLETE",BZ18)),ISNUMBER(FIND("PCT",BZ18)),ISNUMBER(FIND("PERCENT",BZ18))),NOT(ISNUMBER(FIND("ACTUAL",BZ18))),LEN(BZ18)&lt;=16))+32768*(OR(ISNUMBER(FIND("DESIC",BZ18)),ISNUMBER(FIND("DESSIC",BZ18)))))</f>
        <v/>
      </c>
      <c r="CA153">
        <f>IF(CA18="",0,2*(OR(ISNUMBER(FIND("WORKCENTER",CA18)),AND(LEFT(CA18,4)="LINE",NOT(ISNUMBER(FIND("STATUS",CA18))))))+4*(OR(ISNUMBER(FIND("WORKORDER",CA18)),AND(LEFT(CA18,2)="WO",OR(ISNUMBER(FIND("NUM",CA18)),RIGHT(CA18,2)="NO"))))+8*(LEFT(CA18,3)="SEQ")+16*(AND(LEFT(CA18,4)="ITEM",NOT(ISNUMBER(FIND("DESC",CA18)))))+32*(AND(ISNUMBER(FIND("DESC",CA18)),NOT(ISNUMBER(FIND("CAP",CA18)))))+64*(OR(RIGHT(CA18,5)="COUNT",RIGHT(CA18,2)="CT"))+128*(ISNUMBER(FIND("BULK",CA18)))+256*(ISNUMBER(FIND("SIZE",CA18)))+512*(LEFT(CA18,3)="CAP")+1024*(ISNUMBER(FIND("ALLERG",CA18)))+2048*(OR(ISNUMBER(FIND("REMARK",CA18)),ISNUMBER(FIND("COMMENT",CA18))))+4096*(OR(ISNUMBER(FIND("QTY",CA18)),ISNUMBER(FIND("QUANTITY",CA18))))+8192*(AND(OR(ISNUMBER(FIND("COMPLETE",CA18)),ISNUMBER(FIND("PCT",CA18)),ISNUMBER(FIND("PERCENT",CA18))),NOT(ISNUMBER(FIND("ACTUAL",CA18))),LEN(CA18)&lt;=16))+32768*(OR(ISNUMBER(FIND("DESIC",CA18)),ISNUMBER(FIND("DESSIC",CA18)))))</f>
        <v/>
      </c>
      <c r="CB153">
        <f>IF(CB18="",0,2*(OR(ISNUMBER(FIND("WORKCENTER",CB18)),AND(LEFT(CB18,4)="LINE",NOT(ISNUMBER(FIND("STATUS",CB18))))))+4*(OR(ISNUMBER(FIND("WORKORDER",CB18)),AND(LEFT(CB18,2)="WO",OR(ISNUMBER(FIND("NUM",CB18)),RIGHT(CB18,2)="NO"))))+8*(LEFT(CB18,3)="SEQ")+16*(AND(LEFT(CB18,4)="ITEM",NOT(ISNUMBER(FIND("DESC",CB18)))))+32*(AND(ISNUMBER(FIND("DESC",CB18)),NOT(ISNUMBER(FIND("CAP",CB18)))))+64*(OR(RIGHT(CB18,5)="COUNT",RIGHT(CB18,2)="CT"))+128*(ISNUMBER(FIND("BULK",CB18)))+256*(ISNUMBER(FIND("SIZE",CB18)))+512*(LEFT(CB18,3)="CAP")+1024*(ISNUMBER(FIND("ALLERG",CB18)))+2048*(OR(ISNUMBER(FIND("REMARK",CB18)),ISNUMBER(FIND("COMMENT",CB18))))+4096*(OR(ISNUMBER(FIND("QTY",CB18)),ISNUMBER(FIND("QUANTITY",CB18))))+8192*(AND(OR(ISNUMBER(FIND("COMPLETE",CB18)),ISNUMBER(FIND("PCT",CB18)),ISNUMBER(FIND("PERCENT",CB18))),NOT(ISNUMBER(FIND("ACTUAL",CB18))),LEN(CB18)&lt;=16))+32768*(OR(ISNUMBER(FIND("DESIC",CB18)),ISNUMBER(FIND("DESSIC",CB18)))))</f>
        <v/>
      </c>
      <c r="CC153">
        <f>IF(CC18="",0,2*(OR(ISNUMBER(FIND("WORKCENTER",CC18)),AND(LEFT(CC18,4)="LINE",NOT(ISNUMBER(FIND("STATUS",CC18))))))+4*(OR(ISNUMBER(FIND("WORKORDER",CC18)),AND(LEFT(CC18,2)="WO",OR(ISNUMBER(FIND("NUM",CC18)),RIGHT(CC18,2)="NO"))))+8*(LEFT(CC18,3)="SEQ")+16*(AND(LEFT(CC18,4)="ITEM",NOT(ISNUMBER(FIND("DESC",CC18)))))+32*(AND(ISNUMBER(FIND("DESC",CC18)),NOT(ISNUMBER(FIND("CAP",CC18)))))+64*(OR(RIGHT(CC18,5)="COUNT",RIGHT(CC18,2)="CT"))+128*(ISNUMBER(FIND("BULK",CC18)))+256*(ISNUMBER(FIND("SIZE",CC18)))+512*(LEFT(CC18,3)="CAP")+1024*(ISNUMBER(FIND("ALLERG",CC18)))+2048*(OR(ISNUMBER(FIND("REMARK",CC18)),ISNUMBER(FIND("COMMENT",CC18))))+4096*(OR(ISNUMBER(FIND("QTY",CC18)),ISNUMBER(FIND("QUANTITY",CC18))))+8192*(AND(OR(ISNUMBER(FIND("COMPLETE",CC18)),ISNUMBER(FIND("PCT",CC18)),ISNUMBER(FIND("PERCENT",CC18))),NOT(ISNUMBER(FIND("ACTUAL",CC18))),LEN(CC18)&lt;=16))+32768*(OR(ISNUMBER(FIND("DESIC",CC18)),ISNUMBER(FIND("DESSIC",CC18)))))</f>
        <v/>
      </c>
      <c r="CD153">
        <f>IF(CD18="",0,2*(OR(ISNUMBER(FIND("WORKCENTER",CD18)),AND(LEFT(CD18,4)="LINE",NOT(ISNUMBER(FIND("STATUS",CD18))))))+4*(OR(ISNUMBER(FIND("WORKORDER",CD18)),AND(LEFT(CD18,2)="WO",OR(ISNUMBER(FIND("NUM",CD18)),RIGHT(CD18,2)="NO"))))+8*(LEFT(CD18,3)="SEQ")+16*(AND(LEFT(CD18,4)="ITEM",NOT(ISNUMBER(FIND("DESC",CD18)))))+32*(AND(ISNUMBER(FIND("DESC",CD18)),NOT(ISNUMBER(FIND("CAP",CD18)))))+64*(OR(RIGHT(CD18,5)="COUNT",RIGHT(CD18,2)="CT"))+128*(ISNUMBER(FIND("BULK",CD18)))+256*(ISNUMBER(FIND("SIZE",CD18)))+512*(LEFT(CD18,3)="CAP")+1024*(ISNUMBER(FIND("ALLERG",CD18)))+2048*(OR(ISNUMBER(FIND("REMARK",CD18)),ISNUMBER(FIND("COMMENT",CD18))))+4096*(OR(ISNUMBER(FIND("QTY",CD18)),ISNUMBER(FIND("QUANTITY",CD18))))+8192*(AND(OR(ISNUMBER(FIND("COMPLETE",CD18)),ISNUMBER(FIND("PCT",CD18)),ISNUMBER(FIND("PERCENT",CD18))),NOT(ISNUMBER(FIND("ACTUAL",CD18))),LEN(CD18)&lt;=16))+32768*(OR(ISNUMBER(FIND("DESIC",CD18)),ISNUMBER(FIND("DESSIC",CD18)))))</f>
        <v/>
      </c>
      <c r="CE153">
        <f>IF(CE18="",0,2*(OR(ISNUMBER(FIND("WORKCENTER",CE18)),AND(LEFT(CE18,4)="LINE",NOT(ISNUMBER(FIND("STATUS",CE18))))))+4*(OR(ISNUMBER(FIND("WORKORDER",CE18)),AND(LEFT(CE18,2)="WO",OR(ISNUMBER(FIND("NUM",CE18)),RIGHT(CE18,2)="NO"))))+8*(LEFT(CE18,3)="SEQ")+16*(AND(LEFT(CE18,4)="ITEM",NOT(ISNUMBER(FIND("DESC",CE18)))))+32*(AND(ISNUMBER(FIND("DESC",CE18)),NOT(ISNUMBER(FIND("CAP",CE18)))))+64*(OR(RIGHT(CE18,5)="COUNT",RIGHT(CE18,2)="CT"))+128*(ISNUMBER(FIND("BULK",CE18)))+256*(ISNUMBER(FIND("SIZE",CE18)))+512*(LEFT(CE18,3)="CAP")+1024*(ISNUMBER(FIND("ALLERG",CE18)))+2048*(OR(ISNUMBER(FIND("REMARK",CE18)),ISNUMBER(FIND("COMMENT",CE18))))+4096*(OR(ISNUMBER(FIND("QTY",CE18)),ISNUMBER(FIND("QUANTITY",CE18))))+8192*(AND(OR(ISNUMBER(FIND("COMPLETE",CE18)),ISNUMBER(FIND("PCT",CE18)),ISNUMBER(FIND("PERCENT",CE18))),NOT(ISNUMBER(FIND("ACTUAL",CE18))),LEN(CE18)&lt;=16))+32768*(OR(ISNUMBER(FIND("DESIC",CE18)),ISNUMBER(FIND("DESSIC",CE18)))))</f>
        <v/>
      </c>
      <c r="CF153">
        <f>IF(CF18="",0,2*(OR(ISNUMBER(FIND("WORKCENTER",CF18)),AND(LEFT(CF18,4)="LINE",NOT(ISNUMBER(FIND("STATUS",CF18))))))+4*(OR(ISNUMBER(FIND("WORKORDER",CF18)),AND(LEFT(CF18,2)="WO",OR(ISNUMBER(FIND("NUM",CF18)),RIGHT(CF18,2)="NO"))))+8*(LEFT(CF18,3)="SEQ")+16*(AND(LEFT(CF18,4)="ITEM",NOT(ISNUMBER(FIND("DESC",CF18)))))+32*(AND(ISNUMBER(FIND("DESC",CF18)),NOT(ISNUMBER(FIND("CAP",CF18)))))+64*(OR(RIGHT(CF18,5)="COUNT",RIGHT(CF18,2)="CT"))+128*(ISNUMBER(FIND("BULK",CF18)))+256*(ISNUMBER(FIND("SIZE",CF18)))+512*(LEFT(CF18,3)="CAP")+1024*(ISNUMBER(FIND("ALLERG",CF18)))+2048*(OR(ISNUMBER(FIND("REMARK",CF18)),ISNUMBER(FIND("COMMENT",CF18))))+4096*(OR(ISNUMBER(FIND("QTY",CF18)),ISNUMBER(FIND("QUANTITY",CF18))))+8192*(AND(OR(ISNUMBER(FIND("COMPLETE",CF18)),ISNUMBER(FIND("PCT",CF18)),ISNUMBER(FIND("PERCENT",CF18))),NOT(ISNUMBER(FIND("ACTUAL",CF18))),LEN(CF18)&lt;=16))+32768*(OR(ISNUMBER(FIND("DESIC",CF18)),ISNUMBER(FIND("DESSIC",CF18)))))</f>
        <v/>
      </c>
      <c r="DA153" t="n">
        <v>149</v>
      </c>
      <c r="DB153">
        <f>IF($B$37=0,"",IFERROR(TRIM(SUBSTITUTE(SUBSTITUTE(SUBSTITUTE(SUBSTITUTE(INDEX(PASTE_ALL,149,$B$37)," "," "),CHAR(9)," "),CHAR(10)," "),CHAR(13)," ")),""))</f>
        <v/>
      </c>
      <c r="DC153">
        <f>IF(AND(149&gt;HEADER_ROW,UPPER(DB153)="LEGEND"),1,0)</f>
        <v/>
      </c>
      <c r="DE153" t="n">
        <v>149</v>
      </c>
      <c r="DF153">
        <f>HEADER_ROW+$DE153</f>
        <v/>
      </c>
      <c r="DG153">
        <f>IF(AND($DF153&lt;=1000,$DF153&lt;$B$8),1,0)</f>
        <v/>
      </c>
      <c r="DH153">
        <f>IF($DG153=1,IFERROR(INDEX($DB$5:$DB$1004,$DF153),""),"")</f>
        <v/>
      </c>
      <c r="DI153">
        <f>IF(AND($DG153=1,$DH153&lt;&gt;""),IFERROR(SUBSTITUTE(SUBSTITUTE(TRIM(SUBSTITUTE(SUBSTITUTE(SUBSTITUTE(SUBSTITUTE(IFERROR(INDEX(PASTE_ALL,$DF153,1)&amp;"","")&amp;"␟"&amp;IFERROR(INDEX(PASTE_ALL,$DF153,2)&amp;"","")&amp;"␟"&amp;IFERROR(INDEX(PASTE_ALL,$DF153,3)&amp;"","")&amp;"␟"&amp;IFERROR(INDEX(PASTE_ALL,$DF153,4)&amp;"","")&amp;"␟"&amp;IFERROR(INDEX(PASTE_ALL,$DF153,5)&amp;"","")&amp;"␟"&amp;IFERROR(INDEX(PASTE_ALL,$DF153,6)&amp;"","")&amp;"␟"&amp;IFERROR(INDEX(PASTE_ALL,$DF153,7)&amp;"","")&amp;"␟"&amp;IFERROR(INDEX(PASTE_ALL,$DF153,8)&amp;"","")&amp;"␟"&amp;IFERROR(INDEX(PASTE_ALL,$DF153,9)&amp;"","")&amp;"␟"&amp;IFERROR(INDEX(PASTE_ALL,$DF153,10)&amp;"","")&amp;"␟"&amp;IFERROR(INDEX(PASTE_ALL,$DF153,11)&amp;"","")&amp;"␟"&amp;IFERROR(INDEX(PASTE_ALL,$DF153,12)&amp;"","")&amp;"␟"&amp;IFERROR(INDEX(PASTE_ALL,$DF153,13)&amp;"","")&amp;"␟"&amp;IFERROR(INDEX(PASTE_ALL,$DF153,14)&amp;"","")&amp;"␟"&amp;IFERROR(INDEX(PASTE_ALL,$DF153,15)&amp;"","")&amp;"␟"&amp;IFERROR(INDEX(PASTE_ALL,$DF153,16)&amp;"","")&amp;"␟"&amp;IFERROR(INDEX(PASTE_ALL,$DF153,17)&amp;"","")&amp;"␟"&amp;IFERROR(INDEX(PASTE_ALL,$DF153,18)&amp;"","")&amp;"␟"&amp;IFERROR(INDEX(PASTE_ALL,$DF153,19)&amp;"","")&amp;"␟"&amp;IFERROR(INDEX(PASTE_ALL,$DF153,20)&amp;"","")&amp;"␟"&amp;IFERROR(INDEX(PASTE_ALL,$DF153,21)&amp;"","")&amp;"␟"&amp;IFERROR(INDEX(PASTE_ALL,$DF153,22)&amp;"","")&amp;"␟"&amp;IFERROR(INDEX(PASTE_ALL,$DF153,23)&amp;"","")&amp;"␟"&amp;IFERROR(INDEX(PASTE_ALL,$DF153,24)&amp;"","")&amp;"␟"&amp;IFERROR(INDEX(PASTE_ALL,$DF153,25)&amp;"","")&amp;"␟"&amp;IFERROR(INDEX(PASTE_ALL,$DF153,26)&amp;"","")&amp;"␟"&amp;IFERROR(INDEX(PASTE_ALL,$DF153,27)&amp;"","")&amp;"␟"&amp;IFERROR(INDEX(PASTE_ALL,$DF153,28)&amp;"","")&amp;"␟"&amp;IFERROR(INDEX(PASTE_ALL,$DF153,29)&amp;"","")&amp;"␟"&amp;IFERROR(INDEX(PASTE_ALL,$DF153,30)&amp;"","")&amp;"␟"&amp;IFERROR(INDEX(PASTE_ALL,$DF153,31)&amp;"","")&amp;"␟"&amp;IFERROR(INDEX(PASTE_ALL,$DF153,32)&amp;"","")&amp;"␟"&amp;IFERROR(INDEX(PASTE_ALL,$DF153,33)&amp;"","")&amp;"␟"&amp;IFERROR(INDEX(PASTE_ALL,$DF153,34)&amp;"","")&amp;"␟"&amp;IFERROR(INDEX(PASTE_ALL,$DF153,35)&amp;"","")&amp;"␟"&amp;IFERROR(INDEX(PASTE_ALL,$DF153,36)&amp;"","")&amp;"␟"&amp;IFERROR(INDEX(PASTE_ALL,$DF153,37)&amp;"","")&amp;"␟"&amp;IFERROR(INDEX(PASTE_ALL,$DF153,38)&amp;"","")&amp;"␟"&amp;IFERROR(INDEX(PASTE_ALL,$DF153,39)&amp;"","")&amp;"␟"&amp;IFERROR(INDEX(PASTE_ALL,$DF153,40)&amp;"","")&amp;"␟"&amp;IFERROR(INDEX(PASTE_ALL,$DF153,41)&amp;"","")&amp;"␟"&amp;IFERROR(INDEX(PASTE_ALL,$DF153,42)&amp;"","")&amp;"␟"&amp;IFERROR(INDEX(PASTE_ALL,$DF153,43)&amp;"","")&amp;"␟"&amp;IFERROR(INDEX(PASTE_ALL,$DF153,44)&amp;"","")&amp;"␟"&amp;IFERROR(INDEX(PASTE_ALL,$DF153,45)&amp;"","")&amp;"␟"&amp;IFERROR(INDEX(PASTE_ALL,$DF153,46)&amp;"","")&amp;"␟"&amp;IFERROR(INDEX(PASTE_ALL,$DF153,47)&amp;"","")&amp;"␟"&amp;IFERROR(INDEX(PASTE_ALL,$DF153,48)&amp;"","")&amp;"␟"&amp;IFERROR(INDEX(PASTE_ALL,$DF153,49)&amp;"","")&amp;"␟"&amp;IFERROR(INDEX(PASTE_ALL,$DF153,50)&amp;"","")&amp;"␟"&amp;IFERROR(INDEX(PASTE_ALL,$DF153,51)&amp;"","")&amp;"␟"&amp;IFERROR(INDEX(PASTE_ALL,$DF153,52)&amp;"","")&amp;"␟"&amp;IFERROR(INDEX(PASTE_ALL,$DF153,53)&amp;"","")&amp;"␟"&amp;IFERROR(INDEX(PASTE_ALL,$DF153,54)&amp;"","")&amp;"␟"&amp;IFERROR(INDEX(PASTE_ALL,$DF153,55)&amp;"","")&amp;"␟"&amp;IFERROR(INDEX(PASTE_ALL,$DF153,56)&amp;"","")&amp;"␟"&amp;IFERROR(INDEX(PASTE_ALL,$DF153,57)&amp;"","")&amp;"␟"&amp;IFERROR(INDEX(PASTE_ALL,$DF153,58)&amp;"","")&amp;"␟"&amp;IFERROR(INDEX(PASTE_ALL,$DF153,59)&amp;"","")&amp;"␟"&amp;IFERROR(INDEX(PASTE_ALL,$DF153,60)&amp;"","")," "," "),CHAR(9)," "),CHAR(10)," "),CHAR(13)," "))," ␟","␟"),"␟ ","␟"),"#"&amp;$DE153),"")</f>
        <v/>
      </c>
      <c r="DJ153">
        <f>IF($DI153="",0,IF(SUMPRODUCT(--EXACT($DI$4:DI152,$DI153))&gt;0,1,0))</f>
        <v/>
      </c>
      <c r="DK153">
        <f>IF(AND($DI153&lt;&gt;"",$DJ153=0),1,0)</f>
        <v/>
      </c>
      <c r="DL153">
        <f>DL152+$DK153</f>
        <v/>
      </c>
      <c r="DM153">
        <f>IF(AND($DK153=1,$DL153&lt;=600),1,0)</f>
        <v/>
      </c>
      <c r="DN153">
        <f>IF($DM153=0,"",IF($L$6=0,"",IFERROR(IF(ISNUMBER(INDEX(PASTE_ALL,$DF153,$L$6)),INDEX(PASTE_ALL,$DF153,$L$6),TRIM(SUBSTITUTE(SUBSTITUTE(SUBSTITUTE(SUBSTITUTE(INDEX(PASTE_ALL,$DF153,$L$6)," "," "),CHAR(9)," "),CHAR(10)," "),CHAR(13)," "))),"")))</f>
        <v/>
      </c>
      <c r="DO153">
        <f>IF($DM153=0,"",IF($L$7=0,"",IFERROR(IF(ISNUMBER(INDEX(PASTE_ALL,$DF153,$L$7)),INDEX(PASTE_ALL,$DF153,$L$7),TRIM(SUBSTITUTE(SUBSTITUTE(SUBSTITUTE(SUBSTITUTE(INDEX(PASTE_ALL,$DF153,$L$7)," "," "),CHAR(9)," "),CHAR(10)," "),CHAR(13)," "))),"")))</f>
        <v/>
      </c>
      <c r="DP153">
        <f>IF($DM153=0,"",IF($L$8=0,"",IFERROR(IF(ISNUMBER(INDEX(PASTE_ALL,$DF153,$L$8)),INDEX(PASTE_ALL,$DF153,$L$8),TRIM(SUBSTITUTE(SUBSTITUTE(SUBSTITUTE(SUBSTITUTE(INDEX(PASTE_ALL,$DF153,$L$8)," "," "),CHAR(9)," "),CHAR(10)," "),CHAR(13)," "))),"")))</f>
        <v/>
      </c>
      <c r="DQ153">
        <f>IF($DM153=0,"",IF($L$9=0,"",IFERROR(IF(ISNUMBER(INDEX(PASTE_ALL,$DF153,$L$9)),INDEX(PASTE_ALL,$DF153,$L$9),TRIM(SUBSTITUTE(SUBSTITUTE(SUBSTITUTE(SUBSTITUTE(INDEX(PASTE_ALL,$DF153,$L$9)," "," "),CHAR(9)," "),CHAR(10)," "),CHAR(13)," "))),"")))</f>
        <v/>
      </c>
      <c r="DR153">
        <f>IF($DM153=0,"",IF($L$10=0,"",IFERROR(IF(ISNUMBER(INDEX(PASTE_ALL,$DF153,$L$10)),INDEX(PASTE_ALL,$DF153,$L$10),TRIM(SUBSTITUTE(SUBSTITUTE(SUBSTITUTE(SUBSTITUTE(INDEX(PASTE_ALL,$DF153,$L$10)," "," "),CHAR(9)," "),CHAR(10)," "),CHAR(13)," "))),"")))</f>
        <v/>
      </c>
      <c r="DS153">
        <f>IF($DM153=0,"",IF($L$11=0,"",IFERROR(IF(ISNUMBER(INDEX(PASTE_ALL,$DF153,$L$11)),INDEX(PASTE_ALL,$DF153,$L$11),TRIM(SUBSTITUTE(SUBSTITUTE(SUBSTITUTE(SUBSTITUTE(INDEX(PASTE_ALL,$DF153,$L$11)," "," "),CHAR(9)," "),CHAR(10)," "),CHAR(13)," "))),"")))</f>
        <v/>
      </c>
      <c r="DT153">
        <f>IF($DM153=0,"",IF($L$12=0,"",IFERROR(IF(ISNUMBER(INDEX(PASTE_ALL,$DF153,$L$12)),INDEX(PASTE_ALL,$DF153,$L$12),TRIM(SUBSTITUTE(SUBSTITUTE(SUBSTITUTE(SUBSTITUTE(INDEX(PASTE_ALL,$DF153,$L$12)," "," "),CHAR(9)," "),CHAR(10)," "),CHAR(13)," "))),"")))</f>
        <v/>
      </c>
      <c r="DU153">
        <f>IF($DM153=0,"",IF($L$13=0,"",IFERROR(IF(ISNUMBER(INDEX(PASTE_ALL,$DF153,$L$13)),INDEX(PASTE_ALL,$DF153,$L$13),TRIM(SUBSTITUTE(SUBSTITUTE(SUBSTITUTE(SUBSTITUTE(INDEX(PASTE_ALL,$DF153,$L$13)," "," "),CHAR(9)," "),CHAR(10)," "),CHAR(13)," "))),"")))</f>
        <v/>
      </c>
      <c r="DV153">
        <f>IF($DM153=0,"",IF($L$14=0,"",IFERROR(IF(ISNUMBER(INDEX(PASTE_ALL,$DF153,$L$14)),INDEX(PASTE_ALL,$DF153,$L$14),TRIM(SUBSTITUTE(SUBSTITUTE(SUBSTITUTE(SUBSTITUTE(INDEX(PASTE_ALL,$DF153,$L$14)," "," "),CHAR(9)," "),CHAR(10)," "),CHAR(13)," "))),"")))</f>
        <v/>
      </c>
      <c r="DW153">
        <f>IF($DM153=0,"",IF($L$15=0,"",IFERROR(IF(ISNUMBER(INDEX(PASTE_ALL,$DF153,$L$15)),INDEX(PASTE_ALL,$DF153,$L$15),IF(SUMPRODUCT(--ISNUMBER(FIND({"A","B","C","D","E","F","G","H","I","J","K","L","M","N","O","P","Q","R","S","T","U","V","W","X","Y","Z","0","1","2","3","4","5","6","7","8","9"},UPPER(TRIM(SUBSTITUTE(SUBSTITUTE(SUBSTITUTE(SUBSTITUTE(INDEX(PASTE_ALL,$DF153,$L$15)," "," "),CHAR(9)," "),CHAR(10)," "),CHAR(13)," "))))))&gt;0,TRIM(SUBSTITUTE(SUBSTITUTE(SUBSTITUTE(SUBSTITUTE(INDEX(PASTE_ALL,$DF153,$L$15)," "," "),CHAR(9)," "),CHAR(10)," "),CHAR(13)," ")),"")),"")))</f>
        <v/>
      </c>
      <c r="DX153">
        <f>IF($DM153=0,"",IF($L$16=0,"",IFERROR(IF(ISNUMBER(INDEX(PASTE_ALL,$DF153,$L$16)),INDEX(PASTE_ALL,$DF153,$L$16),SUBSTITUTE(SUBSTITUTE(TRIM(SUBSTITUTE(SUBSTITUTE(SUBSTITUTE(SUBSTITUTE(INDEX(PASTE_ALL,$DF153,$L$16)," "," "),CHAR(9)," "),CHAR(10)," "),CHAR(13)," ")),",",""),"%","")),"")))</f>
        <v/>
      </c>
      <c r="DY153">
        <f>IF($DM153=0,"",IFERROR(IF(ISNUMBER($DX153),$DX153,IF($DX153="","",IF(TRIM($DX153)="",0,IF(AND(AND(SUBSTITUTE(SUBSTITUTE(SUBSTITUTE(SUBSTITUTE(SUBSTITUTE(SUBSTITUTE(SUBSTITUTE(SUBSTITUTE(SUBSTITUTE(SUBSTITUTE(SUBSTITUTE(SUBSTITUTE(SUBSTITUTE(SUBSTITUTE(UPPER(TRIM($DX153)),"0",""),"1",""),"2",""),"3",""),"4",""),"5",""),"6",""),"7",""),"8",""),"9",""),".",""),"+",""),"-",""),"E","")="",LEN(SUBSTITUTE(SUBSTITUTE(MID(UPPER(TRIM($DX153)),1+OR(LEFT(UPPER(TRIM($DX153)),1)="+",LEFT(UPPER(TRIM($DX153)),1)="-"),999),"E+","E"),"E-","E"))=LEN(SUBSTITUTE(SUBSTITUTE(SUBSTITUTE(SUBSTITUTE(MID(UPPER(TRIM($DX153)),1+OR(LEFT(UPPER(TRIM($DX153)),1)="+",LEFT(UPPER(TRIM($DX153)),1)="-"),999),"E+","E"),"E-","E"),"+",""),"-","")),LEN(UPPER(TRIM($DX153)))-LEN(SUBSTITUTE(UPPER(TRIM($DX153)),"E",""))&lt;2,LEN(UPPER(TRIM($DX153)))-LEN(SUBSTITUTE(UPPER(TRIM($DX153)),".",""))&lt;2,IFERROR(FIND(".",UPPER(TRIM($DX153))),0)&lt;IFERROR(FIND("E",UPPER(TRIM($DX153))),999)),ISNUMBER(VALUE(TRIM($DX153)))),VALUE(TRIM($DX153)),"")))),""))</f>
        <v/>
      </c>
      <c r="DZ153">
        <f>IF($DM153=0,"",IF($L$17=0,"",IFERROR(IF(ISNUMBER(INDEX(PASTE_ALL,$DF153,$L$17)),INDEX(PASTE_ALL,$DF153,$L$17),SUBSTITUTE(SUBSTITUTE(TRIM(SUBSTITUTE(SUBSTITUTE(SUBSTITUTE(SUBSTITUTE(INDEX(PASTE_ALL,$DF153,$L$17)," "," "),CHAR(9)," "),CHAR(10)," "),CHAR(13)," ")),",",""),"%","")),"")))</f>
        <v/>
      </c>
      <c r="EA153">
        <f>IF($DM153=0,"",IFERROR(IF(ISNUMBER($DZ153),$DZ153,IF($DZ153="","",IF(TRIM($DZ153)="",0,IF(AND(AND(SUBSTITUTE(SUBSTITUTE(SUBSTITUTE(SUBSTITUTE(SUBSTITUTE(SUBSTITUTE(SUBSTITUTE(SUBSTITUTE(SUBSTITUTE(SUBSTITUTE(SUBSTITUTE(SUBSTITUTE(SUBSTITUTE(SUBSTITUTE(UPPER(TRIM($DZ153)),"0",""),"1",""),"2",""),"3",""),"4",""),"5",""),"6",""),"7",""),"8",""),"9",""),".",""),"+",""),"-",""),"E","")="",LEN(SUBSTITUTE(SUBSTITUTE(MID(UPPER(TRIM($DZ153)),1+OR(LEFT(UPPER(TRIM($DZ153)),1)="+",LEFT(UPPER(TRIM($DZ153)),1)="-"),999),"E+","E"),"E-","E"))=LEN(SUBSTITUTE(SUBSTITUTE(SUBSTITUTE(SUBSTITUTE(MID(UPPER(TRIM($DZ153)),1+OR(LEFT(UPPER(TRIM($DZ153)),1)="+",LEFT(UPPER(TRIM($DZ153)),1)="-"),999),"E+","E"),"E-","E"),"+",""),"-","")),LEN(UPPER(TRIM($DZ153)))-LEN(SUBSTITUTE(UPPER(TRIM($DZ153)),"E",""))&lt;2,LEN(UPPER(TRIM($DZ153)))-LEN(SUBSTITUTE(UPPER(TRIM($DZ153)),".",""))&lt;2,IFERROR(FIND(".",UPPER(TRIM($DZ153))),0)&lt;IFERROR(FIND("E",UPPER(TRIM($DZ153))),999)),ISNUMBER(VALUE(TRIM($DZ153)))),VALUE(TRIM($DZ153)),"")))),""))</f>
        <v/>
      </c>
      <c r="EB153">
        <f>IF($DM153=0,"",IF($L$18=0,"",IFERROR(IF(UPPER(TRIM(SUBSTITUTE(SUBSTITUTE(SUBSTITUTE(SUBSTITUTE(INDEX(PASTE_ALL,$DF153,$L$18)," "," "),CHAR(9)," "),CHAR(10)," "),CHAR(13)," ")))="READY","Ready",IF(UPPER(TRIM(SUBSTITUTE(SUBSTITUTE(SUBSTITUTE(SUBSTITUTE(INDEX(PASTE_ALL,$DF153,$L$18)," "," "),CHAR(9)," "),CHAR(10)," "),CHAR(13)," ")))="PM","PM",IF(OR(UPPER(TRIM(SUBSTITUTE(SUBSTITUTE(SUBSTITUTE(SUBSTITUTE(INDEX(PASTE_ALL,$DF153,$L$18)," "," "),CHAR(9)," "),CHAR(10)," "),CHAR(13)," ")))="OT",UPPER(TRIM(SUBSTITUTE(SUBSTITUTE(SUBSTITUTE(SUBSTITUTE(INDEX(PASTE_ALL,$DF153,$L$18)," "," "),CHAR(9)," "),CHAR(10)," "),CHAR(13)," ")))="OVERTIME",UPPER(TRIM(SUBSTITUTE(SUBSTITUTE(SUBSTITUTE(SUBSTITUTE(INDEX(PASTE_ALL,$DF153,$L$18)," "," "),CHAR(9)," "),CHAR(10)," "),CHAR(13)," ")))="TRIAL"),"OT",TRIM(SUBSTITUTE(SUBSTITUTE(SUBSTITUTE(SUBSTITUTE(INDEX(PASTE_ALL,$DF153,$L$18)," "," "),CHAR(9)," "),CHAR(10)," "),CHAR(13)," "))))),"")))</f>
        <v/>
      </c>
      <c r="EC153">
        <f>IF($DM153=0,"",IF($L$19=0,"",IFERROR(IF(ISNUMBER(INDEX(PASTE_ALL,$DF153,$L$19)),INDEX(PASTE_ALL,$DF153,$L$19),TRIM(SUBSTITUTE(SUBSTITUTE(SUBSTITUTE(SUBSTITUTE(INDEX(PASTE_ALL,$DF153,$L$19)," "," "),CHAR(9)," "),CHAR(10)," "),CHAR(13)," "))),"")))</f>
        <v/>
      </c>
      <c r="ED153">
        <f>IF($DM153=0,"",MATCH(1,INDEX(EXACT($DH$5:DH153,$DH153)*$DM$5:DM153,0),0))</f>
        <v/>
      </c>
      <c r="EE153">
        <f>IF($DM153=0,0,IF($ED153=$DE153,1,0))</f>
        <v/>
      </c>
      <c r="EF153">
        <f>EF152+$EE153</f>
        <v/>
      </c>
      <c r="EG153">
        <f>IF($DM153=0,"",INDEX($EF$5:$EF$1003,$ED153))</f>
        <v/>
      </c>
      <c r="EH153">
        <f>IF($DM153=0,"",IF($DO153&lt;&gt;"","",IFERROR(LOOKUP(2,1/(($EG$4:EG152=$EG153)*($DO$4:DO152&lt;&gt;"")),$DO$4:DO152),"")))</f>
        <v/>
      </c>
      <c r="EI153">
        <f>IF($DM153=0,"",IF($DO153&lt;&gt;"",$DO153,$EH153))</f>
        <v/>
      </c>
      <c r="EJ153">
        <f>IF($DM153=0,"",IF($EI153="",0,IF(OR(ISNUMBER($EI153),AND(AND(SUBSTITUTE(SUBSTITUTE(SUBSTITUTE(SUBSTITUTE(SUBSTITUTE(SUBSTITUTE(SUBSTITUTE(SUBSTITUTE(SUBSTITUTE(SUBSTITUTE(SUBSTITUTE(SUBSTITUTE(SUBSTITUTE(SUBSTITUTE(UPPER($EI153),"0",""),"1",""),"2",""),"3",""),"4",""),"5",""),"6",""),"7",""),"8",""),"9",""),".",""),"+",""),"-",""),"E","")="",LEN(SUBSTITUTE(SUBSTITUTE(MID(UPPER($EI153),1+OR(LEFT(UPPER($EI153),1)="+",LEFT(UPPER($EI153),1)="-"),999),"E+","E"),"E-","E"))=LEN(SUBSTITUTE(SUBSTITUTE(SUBSTITUTE(SUBSTITUTE(MID(UPPER($EI153),1+OR(LEFT(UPPER($EI153),1)="+",LEFT(UPPER($EI153),1)="-"),999),"E+","E"),"E-","E"),"+",""),"-","")),LEN(UPPER($EI153))-LEN(SUBSTITUTE(UPPER($EI153),"E",""))&lt;2,LEN(UPPER($EI153))-LEN(SUBSTITUTE(UPPER($EI153),".",""))&lt;2,IFERROR(FIND(".",UPPER($EI153)),0)&lt;IFERROR(FIND("E",UPPER($EI153)),999)),ISNUMBER(VALUE($EI153)))),1,2)))</f>
        <v/>
      </c>
      <c r="EK153">
        <f>IF($DM153=0,"",IF($EJ153=1,IF(ISNUMBER($EI153),$EI153,VALUE($EI153)),IF($EJ153=2,$DE153,0)))</f>
        <v/>
      </c>
      <c r="EL153">
        <f>IF($DM153=0,"",COUNTIF($EG$5:$EG$1003,"&lt;"&amp;$EG153)+SUMPRODUCT(($EG$5:$EG$1003=$EG153)*(($EJ$5:$EJ$1003&lt;$EJ153)+($EJ$5:$EJ$1003=$EJ153)*(($EK$5:$EK$1003&lt;$EK153)+($EK$5:$EK$1003=$EK153)*($DE$5:$DE$1003&lt;$DE153))))+1)</f>
        <v/>
      </c>
      <c r="EM153">
        <f>IF($DM153=0,"",$EL153+$EG153-1)</f>
        <v/>
      </c>
      <c r="EN153">
        <f>IF($DM153=0,0,IFERROR(MATCH(1,INDEX(--(TRIM(SUBSTITUTE(SUBSTITUTE(SUBSTITUTE(SUBSTITUTE(LINES_NAME&amp;""," "," "),CHAR(9)," "),CHAR(10)," "),CHAR(13)," "))=$DH153),0),0),0))</f>
        <v/>
      </c>
      <c r="EO153">
        <f>IF($EN153=0,0,IF(OR(UPPER(TRIM(INDEX(LINES_SCHEDULED,$EN153)&amp;""))="YES",UPPER(TRIM(INDEX(LINES_SCHEDULED,$EN153)&amp;""))="Y",UPPER(TRIM(INDEX(LINES_SCHEDULED,$EN153)&amp;""))="X"),1,0))</f>
        <v/>
      </c>
      <c r="EP153">
        <f>IF($DM153=0,"",IF(COUNTIFS($EG$5:$EG$1003,$EG153,$EB$5:$EB$1003,"Ready")&gt;0,"READY",IF(COUNTIFS($EG$5:$EG$1003,$EG153,$EB$5:$EB$1003,"PM")&gt;0,"PM",IF(COUNTIFS($EG$5:$EG$1003,$EG153,$EB$5:$EB$1003,"OT")&gt;0,"OT",""))))</f>
        <v/>
      </c>
      <c r="EQ153">
        <f>IF($EN153=0,"",UPPER(TRIM(INDEX(LINES_STATUS,$EN153)&amp;"")))</f>
        <v/>
      </c>
      <c r="ER153">
        <f>IF($DM153=0,"",IF(OR($EQ153="READY",$EQ153="PM",$EQ153="OT"),$EQ153,$EP153))</f>
        <v/>
      </c>
      <c r="ES153">
        <f>IF($DM153=0,"",IF(AND($DV153&lt;&gt;"",UPPER($DV153)&lt;&gt;"N"),"allergen",IF(ISNUMBER(SEARCH("oil",$DQ153)),"oil",IF(OR(EXACT($DS153,"A662"),EXACT($DS153,"A624")),"bulk",""))))</f>
        <v/>
      </c>
      <c r="ET153">
        <f>IF($DM153=0,"",IF(OR($EA153="",$EA153=0),"",$EA153/100))</f>
        <v/>
      </c>
      <c r="EU153">
        <f>IF(OR($ET153="",$DY153=""),"",INT($DY153*(1-$ET153)+0.5))</f>
        <v/>
      </c>
      <c r="EW153" t="n">
        <v>149</v>
      </c>
      <c r="EX153">
        <f>IFERROR(MATCH($EW153,$EM$5:$EM$1003,0),0)</f>
        <v/>
      </c>
      <c r="EY153">
        <f>IF($EW153&gt;$B$12,"",IF($EX153&gt;0,"row","spacer"))</f>
        <v/>
      </c>
      <c r="EZ153">
        <f>IF(AND($EY153="row",$EY152&lt;&gt;"row"),1,0)</f>
        <v/>
      </c>
      <c r="FA153">
        <f>IF(AND($EY153="row",$EY154&lt;&gt;"row"),1,0)</f>
        <v/>
      </c>
      <c r="FB153">
        <f>IF($EZ153=1,IFERROR(IF(ISNUMBER(INDEX(PASTE_ALL,INDEX($DF$5:$DF$1003,$EX153),$B$37)),INDEX(PASTE_ALL,INDEX($DF$5:$DF$1003,$EX153),$B$37),INDEX($DH$5:$DH$1003,$EX153)),INDEX($DH$5:$DH$1003,$EX153)),"")</f>
        <v/>
      </c>
      <c r="FC153">
        <f>IF($EY153="row",INDEX($ER$5:$ER$1003,$EX153),"")</f>
        <v/>
      </c>
      <c r="FD153">
        <f>IF($EY153="row",INDEX($DN$5:$DN$1003,$EX153),"")</f>
        <v/>
      </c>
      <c r="FE153">
        <f>IF($EY153="row",INDEX($DO$5:$DO$1003,$EX153),"")</f>
        <v/>
      </c>
      <c r="FF153">
        <f>IF($EY153="row",INDEX($DP$5:$DP$1003,$EX153),"")</f>
        <v/>
      </c>
      <c r="FG153">
        <f>IF($EY153="row",INDEX($DQ$5:$DQ$1003,$EX153),"")</f>
        <v/>
      </c>
      <c r="FH153">
        <f>IF($EY153="row",INDEX($DR$5:$DR$1003,$EX153),"")</f>
        <v/>
      </c>
      <c r="FI153">
        <f>IF($EY153="row",INDEX($DS$5:$DS$1003,$EX153),"")</f>
        <v/>
      </c>
      <c r="FJ153">
        <f>IF($EY153="row",INDEX($DT$5:$DT$1003,$EX153),"")</f>
        <v/>
      </c>
      <c r="FK153">
        <f>IF($EY153="row",INDEX($DU$5:$DU$1003,$EX153),"")</f>
        <v/>
      </c>
      <c r="FL153">
        <f>IF($EY153="row",INDEX($DV$5:$DV$1003,$EX153),"")</f>
        <v/>
      </c>
      <c r="FM153">
        <f>IF($EY153="row",INDEX($DW$5:$DW$1003,$EX153),"")</f>
        <v/>
      </c>
      <c r="FN153">
        <f>IF($EY153="row",INDEX($DY$5:$DY$1003,$EX153),"")</f>
        <v/>
      </c>
      <c r="FO153">
        <f>IF($EY153="row",INDEX($EA$5:$EA$1003,$EX153),"")</f>
        <v/>
      </c>
      <c r="FP153">
        <f>IF($EY153="row",INDEX($EC$5:$EC$1003,$EX153),"")</f>
        <v/>
      </c>
      <c r="FQ153">
        <f>IF($EY153="row",INDEX($ET$5:$ET$1003,$EX153),"")</f>
        <v/>
      </c>
      <c r="FR153">
        <f>IF($EY153="row",INDEX($EU$5:$EU$1003,$EX153),"")</f>
        <v/>
      </c>
      <c r="FS153">
        <f>IF(AND($EY153="row",$EY152="row"),IF(OR(INDEX($DT$5:$DT$1003,$EX152)="",INDEX($DT$5:$DT$1003,$EX153)=""),"",IF(NOT(EXACT(INDEX($DT$5:$DT$1003,$EX152),INDEX($DT$5:$DT$1003,$EX153))),"S4",IF(NOT(EXACT(INDEX($DS$5:$DS$1003,$EX152),INDEX($DS$5:$DS$1003,$EX153))),"S3",IF(NOT(EXACT(INDEX($DR$5:$DR$1003,$EX152),INDEX($DR$5:$DR$1003,$EX153))),"S1 Count Change","S1")))),"")</f>
        <v/>
      </c>
      <c r="FT153">
        <f>IF($EY153="row",INDEX($ES$5:$ES$1003,$EX153),"")</f>
        <v/>
      </c>
      <c r="FU153">
        <f>IF($EY153="row",INDEX($EO$5:$EO$1003,$EX153),0)</f>
        <v/>
      </c>
      <c r="FV153">
        <f>IF($FS153="S1 Count Change",1,0)</f>
        <v/>
      </c>
    </row>
    <row r="154">
      <c r="Y154">
        <f>IF(Y19="",0,2*(OR(ISNUMBER(FIND("WORKCENTER",Y19)),AND(LEFT(Y19,4)="LINE",NOT(ISNUMBER(FIND("STATUS",Y19))))))+4*(OR(ISNUMBER(FIND("WORKORDER",Y19)),AND(LEFT(Y19,2)="WO",OR(ISNUMBER(FIND("NUM",Y19)),RIGHT(Y19,2)="NO"))))+8*(LEFT(Y19,3)="SEQ")+16*(AND(LEFT(Y19,4)="ITEM",NOT(ISNUMBER(FIND("DESC",Y19)))))+32*(AND(ISNUMBER(FIND("DESC",Y19)),NOT(ISNUMBER(FIND("CAP",Y19)))))+64*(OR(RIGHT(Y19,5)="COUNT",RIGHT(Y19,2)="CT"))+128*(ISNUMBER(FIND("BULK",Y19)))+256*(ISNUMBER(FIND("SIZE",Y19)))+512*(LEFT(Y19,3)="CAP")+1024*(ISNUMBER(FIND("ALLERG",Y19)))+2048*(OR(ISNUMBER(FIND("REMARK",Y19)),ISNUMBER(FIND("COMMENT",Y19))))+4096*(OR(ISNUMBER(FIND("QTY",Y19)),ISNUMBER(FIND("QUANTITY",Y19))))+8192*(AND(OR(ISNUMBER(FIND("COMPLETE",Y19)),ISNUMBER(FIND("PCT",Y19)),ISNUMBER(FIND("PERCENT",Y19))),NOT(ISNUMBER(FIND("ACTUAL",Y19))),LEN(Y19)&lt;=16))+32768*(OR(ISNUMBER(FIND("DESIC",Y19)),ISNUMBER(FIND("DESSIC",Y19)))))</f>
        <v/>
      </c>
      <c r="Z154">
        <f>IF(Z19="",0,2*(OR(ISNUMBER(FIND("WORKCENTER",Z19)),AND(LEFT(Z19,4)="LINE",NOT(ISNUMBER(FIND("STATUS",Z19))))))+4*(OR(ISNUMBER(FIND("WORKORDER",Z19)),AND(LEFT(Z19,2)="WO",OR(ISNUMBER(FIND("NUM",Z19)),RIGHT(Z19,2)="NO"))))+8*(LEFT(Z19,3)="SEQ")+16*(AND(LEFT(Z19,4)="ITEM",NOT(ISNUMBER(FIND("DESC",Z19)))))+32*(AND(ISNUMBER(FIND("DESC",Z19)),NOT(ISNUMBER(FIND("CAP",Z19)))))+64*(OR(RIGHT(Z19,5)="COUNT",RIGHT(Z19,2)="CT"))+128*(ISNUMBER(FIND("BULK",Z19)))+256*(ISNUMBER(FIND("SIZE",Z19)))+512*(LEFT(Z19,3)="CAP")+1024*(ISNUMBER(FIND("ALLERG",Z19)))+2048*(OR(ISNUMBER(FIND("REMARK",Z19)),ISNUMBER(FIND("COMMENT",Z19))))+4096*(OR(ISNUMBER(FIND("QTY",Z19)),ISNUMBER(FIND("QUANTITY",Z19))))+8192*(AND(OR(ISNUMBER(FIND("COMPLETE",Z19)),ISNUMBER(FIND("PCT",Z19)),ISNUMBER(FIND("PERCENT",Z19))),NOT(ISNUMBER(FIND("ACTUAL",Z19))),LEN(Z19)&lt;=16))+32768*(OR(ISNUMBER(FIND("DESIC",Z19)),ISNUMBER(FIND("DESSIC",Z19)))))</f>
        <v/>
      </c>
      <c r="AA154">
        <f>IF(AA19="",0,2*(OR(ISNUMBER(FIND("WORKCENTER",AA19)),AND(LEFT(AA19,4)="LINE",NOT(ISNUMBER(FIND("STATUS",AA19))))))+4*(OR(ISNUMBER(FIND("WORKORDER",AA19)),AND(LEFT(AA19,2)="WO",OR(ISNUMBER(FIND("NUM",AA19)),RIGHT(AA19,2)="NO"))))+8*(LEFT(AA19,3)="SEQ")+16*(AND(LEFT(AA19,4)="ITEM",NOT(ISNUMBER(FIND("DESC",AA19)))))+32*(AND(ISNUMBER(FIND("DESC",AA19)),NOT(ISNUMBER(FIND("CAP",AA19)))))+64*(OR(RIGHT(AA19,5)="COUNT",RIGHT(AA19,2)="CT"))+128*(ISNUMBER(FIND("BULK",AA19)))+256*(ISNUMBER(FIND("SIZE",AA19)))+512*(LEFT(AA19,3)="CAP")+1024*(ISNUMBER(FIND("ALLERG",AA19)))+2048*(OR(ISNUMBER(FIND("REMARK",AA19)),ISNUMBER(FIND("COMMENT",AA19))))+4096*(OR(ISNUMBER(FIND("QTY",AA19)),ISNUMBER(FIND("QUANTITY",AA19))))+8192*(AND(OR(ISNUMBER(FIND("COMPLETE",AA19)),ISNUMBER(FIND("PCT",AA19)),ISNUMBER(FIND("PERCENT",AA19))),NOT(ISNUMBER(FIND("ACTUAL",AA19))),LEN(AA19)&lt;=16))+32768*(OR(ISNUMBER(FIND("DESIC",AA19)),ISNUMBER(FIND("DESSIC",AA19)))))</f>
        <v/>
      </c>
      <c r="AB154">
        <f>IF(AB19="",0,2*(OR(ISNUMBER(FIND("WORKCENTER",AB19)),AND(LEFT(AB19,4)="LINE",NOT(ISNUMBER(FIND("STATUS",AB19))))))+4*(OR(ISNUMBER(FIND("WORKORDER",AB19)),AND(LEFT(AB19,2)="WO",OR(ISNUMBER(FIND("NUM",AB19)),RIGHT(AB19,2)="NO"))))+8*(LEFT(AB19,3)="SEQ")+16*(AND(LEFT(AB19,4)="ITEM",NOT(ISNUMBER(FIND("DESC",AB19)))))+32*(AND(ISNUMBER(FIND("DESC",AB19)),NOT(ISNUMBER(FIND("CAP",AB19)))))+64*(OR(RIGHT(AB19,5)="COUNT",RIGHT(AB19,2)="CT"))+128*(ISNUMBER(FIND("BULK",AB19)))+256*(ISNUMBER(FIND("SIZE",AB19)))+512*(LEFT(AB19,3)="CAP")+1024*(ISNUMBER(FIND("ALLERG",AB19)))+2048*(OR(ISNUMBER(FIND("REMARK",AB19)),ISNUMBER(FIND("COMMENT",AB19))))+4096*(OR(ISNUMBER(FIND("QTY",AB19)),ISNUMBER(FIND("QUANTITY",AB19))))+8192*(AND(OR(ISNUMBER(FIND("COMPLETE",AB19)),ISNUMBER(FIND("PCT",AB19)),ISNUMBER(FIND("PERCENT",AB19))),NOT(ISNUMBER(FIND("ACTUAL",AB19))),LEN(AB19)&lt;=16))+32768*(OR(ISNUMBER(FIND("DESIC",AB19)),ISNUMBER(FIND("DESSIC",AB19)))))</f>
        <v/>
      </c>
      <c r="AC154">
        <f>IF(AC19="",0,2*(OR(ISNUMBER(FIND("WORKCENTER",AC19)),AND(LEFT(AC19,4)="LINE",NOT(ISNUMBER(FIND("STATUS",AC19))))))+4*(OR(ISNUMBER(FIND("WORKORDER",AC19)),AND(LEFT(AC19,2)="WO",OR(ISNUMBER(FIND("NUM",AC19)),RIGHT(AC19,2)="NO"))))+8*(LEFT(AC19,3)="SEQ")+16*(AND(LEFT(AC19,4)="ITEM",NOT(ISNUMBER(FIND("DESC",AC19)))))+32*(AND(ISNUMBER(FIND("DESC",AC19)),NOT(ISNUMBER(FIND("CAP",AC19)))))+64*(OR(RIGHT(AC19,5)="COUNT",RIGHT(AC19,2)="CT"))+128*(ISNUMBER(FIND("BULK",AC19)))+256*(ISNUMBER(FIND("SIZE",AC19)))+512*(LEFT(AC19,3)="CAP")+1024*(ISNUMBER(FIND("ALLERG",AC19)))+2048*(OR(ISNUMBER(FIND("REMARK",AC19)),ISNUMBER(FIND("COMMENT",AC19))))+4096*(OR(ISNUMBER(FIND("QTY",AC19)),ISNUMBER(FIND("QUANTITY",AC19))))+8192*(AND(OR(ISNUMBER(FIND("COMPLETE",AC19)),ISNUMBER(FIND("PCT",AC19)),ISNUMBER(FIND("PERCENT",AC19))),NOT(ISNUMBER(FIND("ACTUAL",AC19))),LEN(AC19)&lt;=16))+32768*(OR(ISNUMBER(FIND("DESIC",AC19)),ISNUMBER(FIND("DESSIC",AC19)))))</f>
        <v/>
      </c>
      <c r="AD154">
        <f>IF(AD19="",0,2*(OR(ISNUMBER(FIND("WORKCENTER",AD19)),AND(LEFT(AD19,4)="LINE",NOT(ISNUMBER(FIND("STATUS",AD19))))))+4*(OR(ISNUMBER(FIND("WORKORDER",AD19)),AND(LEFT(AD19,2)="WO",OR(ISNUMBER(FIND("NUM",AD19)),RIGHT(AD19,2)="NO"))))+8*(LEFT(AD19,3)="SEQ")+16*(AND(LEFT(AD19,4)="ITEM",NOT(ISNUMBER(FIND("DESC",AD19)))))+32*(AND(ISNUMBER(FIND("DESC",AD19)),NOT(ISNUMBER(FIND("CAP",AD19)))))+64*(OR(RIGHT(AD19,5)="COUNT",RIGHT(AD19,2)="CT"))+128*(ISNUMBER(FIND("BULK",AD19)))+256*(ISNUMBER(FIND("SIZE",AD19)))+512*(LEFT(AD19,3)="CAP")+1024*(ISNUMBER(FIND("ALLERG",AD19)))+2048*(OR(ISNUMBER(FIND("REMARK",AD19)),ISNUMBER(FIND("COMMENT",AD19))))+4096*(OR(ISNUMBER(FIND("QTY",AD19)),ISNUMBER(FIND("QUANTITY",AD19))))+8192*(AND(OR(ISNUMBER(FIND("COMPLETE",AD19)),ISNUMBER(FIND("PCT",AD19)),ISNUMBER(FIND("PERCENT",AD19))),NOT(ISNUMBER(FIND("ACTUAL",AD19))),LEN(AD19)&lt;=16))+32768*(OR(ISNUMBER(FIND("DESIC",AD19)),ISNUMBER(FIND("DESSIC",AD19)))))</f>
        <v/>
      </c>
      <c r="AE154">
        <f>IF(AE19="",0,2*(OR(ISNUMBER(FIND("WORKCENTER",AE19)),AND(LEFT(AE19,4)="LINE",NOT(ISNUMBER(FIND("STATUS",AE19))))))+4*(OR(ISNUMBER(FIND("WORKORDER",AE19)),AND(LEFT(AE19,2)="WO",OR(ISNUMBER(FIND("NUM",AE19)),RIGHT(AE19,2)="NO"))))+8*(LEFT(AE19,3)="SEQ")+16*(AND(LEFT(AE19,4)="ITEM",NOT(ISNUMBER(FIND("DESC",AE19)))))+32*(AND(ISNUMBER(FIND("DESC",AE19)),NOT(ISNUMBER(FIND("CAP",AE19)))))+64*(OR(RIGHT(AE19,5)="COUNT",RIGHT(AE19,2)="CT"))+128*(ISNUMBER(FIND("BULK",AE19)))+256*(ISNUMBER(FIND("SIZE",AE19)))+512*(LEFT(AE19,3)="CAP")+1024*(ISNUMBER(FIND("ALLERG",AE19)))+2048*(OR(ISNUMBER(FIND("REMARK",AE19)),ISNUMBER(FIND("COMMENT",AE19))))+4096*(OR(ISNUMBER(FIND("QTY",AE19)),ISNUMBER(FIND("QUANTITY",AE19))))+8192*(AND(OR(ISNUMBER(FIND("COMPLETE",AE19)),ISNUMBER(FIND("PCT",AE19)),ISNUMBER(FIND("PERCENT",AE19))),NOT(ISNUMBER(FIND("ACTUAL",AE19))),LEN(AE19)&lt;=16))+32768*(OR(ISNUMBER(FIND("DESIC",AE19)),ISNUMBER(FIND("DESSIC",AE19)))))</f>
        <v/>
      </c>
      <c r="AF154">
        <f>IF(AF19="",0,2*(OR(ISNUMBER(FIND("WORKCENTER",AF19)),AND(LEFT(AF19,4)="LINE",NOT(ISNUMBER(FIND("STATUS",AF19))))))+4*(OR(ISNUMBER(FIND("WORKORDER",AF19)),AND(LEFT(AF19,2)="WO",OR(ISNUMBER(FIND("NUM",AF19)),RIGHT(AF19,2)="NO"))))+8*(LEFT(AF19,3)="SEQ")+16*(AND(LEFT(AF19,4)="ITEM",NOT(ISNUMBER(FIND("DESC",AF19)))))+32*(AND(ISNUMBER(FIND("DESC",AF19)),NOT(ISNUMBER(FIND("CAP",AF19)))))+64*(OR(RIGHT(AF19,5)="COUNT",RIGHT(AF19,2)="CT"))+128*(ISNUMBER(FIND("BULK",AF19)))+256*(ISNUMBER(FIND("SIZE",AF19)))+512*(LEFT(AF19,3)="CAP")+1024*(ISNUMBER(FIND("ALLERG",AF19)))+2048*(OR(ISNUMBER(FIND("REMARK",AF19)),ISNUMBER(FIND("COMMENT",AF19))))+4096*(OR(ISNUMBER(FIND("QTY",AF19)),ISNUMBER(FIND("QUANTITY",AF19))))+8192*(AND(OR(ISNUMBER(FIND("COMPLETE",AF19)),ISNUMBER(FIND("PCT",AF19)),ISNUMBER(FIND("PERCENT",AF19))),NOT(ISNUMBER(FIND("ACTUAL",AF19))),LEN(AF19)&lt;=16))+32768*(OR(ISNUMBER(FIND("DESIC",AF19)),ISNUMBER(FIND("DESSIC",AF19)))))</f>
        <v/>
      </c>
      <c r="AG154">
        <f>IF(AG19="",0,2*(OR(ISNUMBER(FIND("WORKCENTER",AG19)),AND(LEFT(AG19,4)="LINE",NOT(ISNUMBER(FIND("STATUS",AG19))))))+4*(OR(ISNUMBER(FIND("WORKORDER",AG19)),AND(LEFT(AG19,2)="WO",OR(ISNUMBER(FIND("NUM",AG19)),RIGHT(AG19,2)="NO"))))+8*(LEFT(AG19,3)="SEQ")+16*(AND(LEFT(AG19,4)="ITEM",NOT(ISNUMBER(FIND("DESC",AG19)))))+32*(AND(ISNUMBER(FIND("DESC",AG19)),NOT(ISNUMBER(FIND("CAP",AG19)))))+64*(OR(RIGHT(AG19,5)="COUNT",RIGHT(AG19,2)="CT"))+128*(ISNUMBER(FIND("BULK",AG19)))+256*(ISNUMBER(FIND("SIZE",AG19)))+512*(LEFT(AG19,3)="CAP")+1024*(ISNUMBER(FIND("ALLERG",AG19)))+2048*(OR(ISNUMBER(FIND("REMARK",AG19)),ISNUMBER(FIND("COMMENT",AG19))))+4096*(OR(ISNUMBER(FIND("QTY",AG19)),ISNUMBER(FIND("QUANTITY",AG19))))+8192*(AND(OR(ISNUMBER(FIND("COMPLETE",AG19)),ISNUMBER(FIND("PCT",AG19)),ISNUMBER(FIND("PERCENT",AG19))),NOT(ISNUMBER(FIND("ACTUAL",AG19))),LEN(AG19)&lt;=16))+32768*(OR(ISNUMBER(FIND("DESIC",AG19)),ISNUMBER(FIND("DESSIC",AG19)))))</f>
        <v/>
      </c>
      <c r="AH154">
        <f>IF(AH19="",0,2*(OR(ISNUMBER(FIND("WORKCENTER",AH19)),AND(LEFT(AH19,4)="LINE",NOT(ISNUMBER(FIND("STATUS",AH19))))))+4*(OR(ISNUMBER(FIND("WORKORDER",AH19)),AND(LEFT(AH19,2)="WO",OR(ISNUMBER(FIND("NUM",AH19)),RIGHT(AH19,2)="NO"))))+8*(LEFT(AH19,3)="SEQ")+16*(AND(LEFT(AH19,4)="ITEM",NOT(ISNUMBER(FIND("DESC",AH19)))))+32*(AND(ISNUMBER(FIND("DESC",AH19)),NOT(ISNUMBER(FIND("CAP",AH19)))))+64*(OR(RIGHT(AH19,5)="COUNT",RIGHT(AH19,2)="CT"))+128*(ISNUMBER(FIND("BULK",AH19)))+256*(ISNUMBER(FIND("SIZE",AH19)))+512*(LEFT(AH19,3)="CAP")+1024*(ISNUMBER(FIND("ALLERG",AH19)))+2048*(OR(ISNUMBER(FIND("REMARK",AH19)),ISNUMBER(FIND("COMMENT",AH19))))+4096*(OR(ISNUMBER(FIND("QTY",AH19)),ISNUMBER(FIND("QUANTITY",AH19))))+8192*(AND(OR(ISNUMBER(FIND("COMPLETE",AH19)),ISNUMBER(FIND("PCT",AH19)),ISNUMBER(FIND("PERCENT",AH19))),NOT(ISNUMBER(FIND("ACTUAL",AH19))),LEN(AH19)&lt;=16))+32768*(OR(ISNUMBER(FIND("DESIC",AH19)),ISNUMBER(FIND("DESSIC",AH19)))))</f>
        <v/>
      </c>
      <c r="AI154">
        <f>IF(AI19="",0,2*(OR(ISNUMBER(FIND("WORKCENTER",AI19)),AND(LEFT(AI19,4)="LINE",NOT(ISNUMBER(FIND("STATUS",AI19))))))+4*(OR(ISNUMBER(FIND("WORKORDER",AI19)),AND(LEFT(AI19,2)="WO",OR(ISNUMBER(FIND("NUM",AI19)),RIGHT(AI19,2)="NO"))))+8*(LEFT(AI19,3)="SEQ")+16*(AND(LEFT(AI19,4)="ITEM",NOT(ISNUMBER(FIND("DESC",AI19)))))+32*(AND(ISNUMBER(FIND("DESC",AI19)),NOT(ISNUMBER(FIND("CAP",AI19)))))+64*(OR(RIGHT(AI19,5)="COUNT",RIGHT(AI19,2)="CT"))+128*(ISNUMBER(FIND("BULK",AI19)))+256*(ISNUMBER(FIND("SIZE",AI19)))+512*(LEFT(AI19,3)="CAP")+1024*(ISNUMBER(FIND("ALLERG",AI19)))+2048*(OR(ISNUMBER(FIND("REMARK",AI19)),ISNUMBER(FIND("COMMENT",AI19))))+4096*(OR(ISNUMBER(FIND("QTY",AI19)),ISNUMBER(FIND("QUANTITY",AI19))))+8192*(AND(OR(ISNUMBER(FIND("COMPLETE",AI19)),ISNUMBER(FIND("PCT",AI19)),ISNUMBER(FIND("PERCENT",AI19))),NOT(ISNUMBER(FIND("ACTUAL",AI19))),LEN(AI19)&lt;=16))+32768*(OR(ISNUMBER(FIND("DESIC",AI19)),ISNUMBER(FIND("DESSIC",AI19)))))</f>
        <v/>
      </c>
      <c r="AJ154">
        <f>IF(AJ19="",0,2*(OR(ISNUMBER(FIND("WORKCENTER",AJ19)),AND(LEFT(AJ19,4)="LINE",NOT(ISNUMBER(FIND("STATUS",AJ19))))))+4*(OR(ISNUMBER(FIND("WORKORDER",AJ19)),AND(LEFT(AJ19,2)="WO",OR(ISNUMBER(FIND("NUM",AJ19)),RIGHT(AJ19,2)="NO"))))+8*(LEFT(AJ19,3)="SEQ")+16*(AND(LEFT(AJ19,4)="ITEM",NOT(ISNUMBER(FIND("DESC",AJ19)))))+32*(AND(ISNUMBER(FIND("DESC",AJ19)),NOT(ISNUMBER(FIND("CAP",AJ19)))))+64*(OR(RIGHT(AJ19,5)="COUNT",RIGHT(AJ19,2)="CT"))+128*(ISNUMBER(FIND("BULK",AJ19)))+256*(ISNUMBER(FIND("SIZE",AJ19)))+512*(LEFT(AJ19,3)="CAP")+1024*(ISNUMBER(FIND("ALLERG",AJ19)))+2048*(OR(ISNUMBER(FIND("REMARK",AJ19)),ISNUMBER(FIND("COMMENT",AJ19))))+4096*(OR(ISNUMBER(FIND("QTY",AJ19)),ISNUMBER(FIND("QUANTITY",AJ19))))+8192*(AND(OR(ISNUMBER(FIND("COMPLETE",AJ19)),ISNUMBER(FIND("PCT",AJ19)),ISNUMBER(FIND("PERCENT",AJ19))),NOT(ISNUMBER(FIND("ACTUAL",AJ19))),LEN(AJ19)&lt;=16))+32768*(OR(ISNUMBER(FIND("DESIC",AJ19)),ISNUMBER(FIND("DESSIC",AJ19)))))</f>
        <v/>
      </c>
      <c r="AK154">
        <f>IF(AK19="",0,2*(OR(ISNUMBER(FIND("WORKCENTER",AK19)),AND(LEFT(AK19,4)="LINE",NOT(ISNUMBER(FIND("STATUS",AK19))))))+4*(OR(ISNUMBER(FIND("WORKORDER",AK19)),AND(LEFT(AK19,2)="WO",OR(ISNUMBER(FIND("NUM",AK19)),RIGHT(AK19,2)="NO"))))+8*(LEFT(AK19,3)="SEQ")+16*(AND(LEFT(AK19,4)="ITEM",NOT(ISNUMBER(FIND("DESC",AK19)))))+32*(AND(ISNUMBER(FIND("DESC",AK19)),NOT(ISNUMBER(FIND("CAP",AK19)))))+64*(OR(RIGHT(AK19,5)="COUNT",RIGHT(AK19,2)="CT"))+128*(ISNUMBER(FIND("BULK",AK19)))+256*(ISNUMBER(FIND("SIZE",AK19)))+512*(LEFT(AK19,3)="CAP")+1024*(ISNUMBER(FIND("ALLERG",AK19)))+2048*(OR(ISNUMBER(FIND("REMARK",AK19)),ISNUMBER(FIND("COMMENT",AK19))))+4096*(OR(ISNUMBER(FIND("QTY",AK19)),ISNUMBER(FIND("QUANTITY",AK19))))+8192*(AND(OR(ISNUMBER(FIND("COMPLETE",AK19)),ISNUMBER(FIND("PCT",AK19)),ISNUMBER(FIND("PERCENT",AK19))),NOT(ISNUMBER(FIND("ACTUAL",AK19))),LEN(AK19)&lt;=16))+32768*(OR(ISNUMBER(FIND("DESIC",AK19)),ISNUMBER(FIND("DESSIC",AK19)))))</f>
        <v/>
      </c>
      <c r="AL154">
        <f>IF(AL19="",0,2*(OR(ISNUMBER(FIND("WORKCENTER",AL19)),AND(LEFT(AL19,4)="LINE",NOT(ISNUMBER(FIND("STATUS",AL19))))))+4*(OR(ISNUMBER(FIND("WORKORDER",AL19)),AND(LEFT(AL19,2)="WO",OR(ISNUMBER(FIND("NUM",AL19)),RIGHT(AL19,2)="NO"))))+8*(LEFT(AL19,3)="SEQ")+16*(AND(LEFT(AL19,4)="ITEM",NOT(ISNUMBER(FIND("DESC",AL19)))))+32*(AND(ISNUMBER(FIND("DESC",AL19)),NOT(ISNUMBER(FIND("CAP",AL19)))))+64*(OR(RIGHT(AL19,5)="COUNT",RIGHT(AL19,2)="CT"))+128*(ISNUMBER(FIND("BULK",AL19)))+256*(ISNUMBER(FIND("SIZE",AL19)))+512*(LEFT(AL19,3)="CAP")+1024*(ISNUMBER(FIND("ALLERG",AL19)))+2048*(OR(ISNUMBER(FIND("REMARK",AL19)),ISNUMBER(FIND("COMMENT",AL19))))+4096*(OR(ISNUMBER(FIND("QTY",AL19)),ISNUMBER(FIND("QUANTITY",AL19))))+8192*(AND(OR(ISNUMBER(FIND("COMPLETE",AL19)),ISNUMBER(FIND("PCT",AL19)),ISNUMBER(FIND("PERCENT",AL19))),NOT(ISNUMBER(FIND("ACTUAL",AL19))),LEN(AL19)&lt;=16))+32768*(OR(ISNUMBER(FIND("DESIC",AL19)),ISNUMBER(FIND("DESSIC",AL19)))))</f>
        <v/>
      </c>
      <c r="AM154">
        <f>IF(AM19="",0,2*(OR(ISNUMBER(FIND("WORKCENTER",AM19)),AND(LEFT(AM19,4)="LINE",NOT(ISNUMBER(FIND("STATUS",AM19))))))+4*(OR(ISNUMBER(FIND("WORKORDER",AM19)),AND(LEFT(AM19,2)="WO",OR(ISNUMBER(FIND("NUM",AM19)),RIGHT(AM19,2)="NO"))))+8*(LEFT(AM19,3)="SEQ")+16*(AND(LEFT(AM19,4)="ITEM",NOT(ISNUMBER(FIND("DESC",AM19)))))+32*(AND(ISNUMBER(FIND("DESC",AM19)),NOT(ISNUMBER(FIND("CAP",AM19)))))+64*(OR(RIGHT(AM19,5)="COUNT",RIGHT(AM19,2)="CT"))+128*(ISNUMBER(FIND("BULK",AM19)))+256*(ISNUMBER(FIND("SIZE",AM19)))+512*(LEFT(AM19,3)="CAP")+1024*(ISNUMBER(FIND("ALLERG",AM19)))+2048*(OR(ISNUMBER(FIND("REMARK",AM19)),ISNUMBER(FIND("COMMENT",AM19))))+4096*(OR(ISNUMBER(FIND("QTY",AM19)),ISNUMBER(FIND("QUANTITY",AM19))))+8192*(AND(OR(ISNUMBER(FIND("COMPLETE",AM19)),ISNUMBER(FIND("PCT",AM19)),ISNUMBER(FIND("PERCENT",AM19))),NOT(ISNUMBER(FIND("ACTUAL",AM19))),LEN(AM19)&lt;=16))+32768*(OR(ISNUMBER(FIND("DESIC",AM19)),ISNUMBER(FIND("DESSIC",AM19)))))</f>
        <v/>
      </c>
      <c r="AN154">
        <f>IF(AN19="",0,2*(OR(ISNUMBER(FIND("WORKCENTER",AN19)),AND(LEFT(AN19,4)="LINE",NOT(ISNUMBER(FIND("STATUS",AN19))))))+4*(OR(ISNUMBER(FIND("WORKORDER",AN19)),AND(LEFT(AN19,2)="WO",OR(ISNUMBER(FIND("NUM",AN19)),RIGHT(AN19,2)="NO"))))+8*(LEFT(AN19,3)="SEQ")+16*(AND(LEFT(AN19,4)="ITEM",NOT(ISNUMBER(FIND("DESC",AN19)))))+32*(AND(ISNUMBER(FIND("DESC",AN19)),NOT(ISNUMBER(FIND("CAP",AN19)))))+64*(OR(RIGHT(AN19,5)="COUNT",RIGHT(AN19,2)="CT"))+128*(ISNUMBER(FIND("BULK",AN19)))+256*(ISNUMBER(FIND("SIZE",AN19)))+512*(LEFT(AN19,3)="CAP")+1024*(ISNUMBER(FIND("ALLERG",AN19)))+2048*(OR(ISNUMBER(FIND("REMARK",AN19)),ISNUMBER(FIND("COMMENT",AN19))))+4096*(OR(ISNUMBER(FIND("QTY",AN19)),ISNUMBER(FIND("QUANTITY",AN19))))+8192*(AND(OR(ISNUMBER(FIND("COMPLETE",AN19)),ISNUMBER(FIND("PCT",AN19)),ISNUMBER(FIND("PERCENT",AN19))),NOT(ISNUMBER(FIND("ACTUAL",AN19))),LEN(AN19)&lt;=16))+32768*(OR(ISNUMBER(FIND("DESIC",AN19)),ISNUMBER(FIND("DESSIC",AN19)))))</f>
        <v/>
      </c>
      <c r="AO154">
        <f>IF(AO19="",0,2*(OR(ISNUMBER(FIND("WORKCENTER",AO19)),AND(LEFT(AO19,4)="LINE",NOT(ISNUMBER(FIND("STATUS",AO19))))))+4*(OR(ISNUMBER(FIND("WORKORDER",AO19)),AND(LEFT(AO19,2)="WO",OR(ISNUMBER(FIND("NUM",AO19)),RIGHT(AO19,2)="NO"))))+8*(LEFT(AO19,3)="SEQ")+16*(AND(LEFT(AO19,4)="ITEM",NOT(ISNUMBER(FIND("DESC",AO19)))))+32*(AND(ISNUMBER(FIND("DESC",AO19)),NOT(ISNUMBER(FIND("CAP",AO19)))))+64*(OR(RIGHT(AO19,5)="COUNT",RIGHT(AO19,2)="CT"))+128*(ISNUMBER(FIND("BULK",AO19)))+256*(ISNUMBER(FIND("SIZE",AO19)))+512*(LEFT(AO19,3)="CAP")+1024*(ISNUMBER(FIND("ALLERG",AO19)))+2048*(OR(ISNUMBER(FIND("REMARK",AO19)),ISNUMBER(FIND("COMMENT",AO19))))+4096*(OR(ISNUMBER(FIND("QTY",AO19)),ISNUMBER(FIND("QUANTITY",AO19))))+8192*(AND(OR(ISNUMBER(FIND("COMPLETE",AO19)),ISNUMBER(FIND("PCT",AO19)),ISNUMBER(FIND("PERCENT",AO19))),NOT(ISNUMBER(FIND("ACTUAL",AO19))),LEN(AO19)&lt;=16))+32768*(OR(ISNUMBER(FIND("DESIC",AO19)),ISNUMBER(FIND("DESSIC",AO19)))))</f>
        <v/>
      </c>
      <c r="AP154">
        <f>IF(AP19="",0,2*(OR(ISNUMBER(FIND("WORKCENTER",AP19)),AND(LEFT(AP19,4)="LINE",NOT(ISNUMBER(FIND("STATUS",AP19))))))+4*(OR(ISNUMBER(FIND("WORKORDER",AP19)),AND(LEFT(AP19,2)="WO",OR(ISNUMBER(FIND("NUM",AP19)),RIGHT(AP19,2)="NO"))))+8*(LEFT(AP19,3)="SEQ")+16*(AND(LEFT(AP19,4)="ITEM",NOT(ISNUMBER(FIND("DESC",AP19)))))+32*(AND(ISNUMBER(FIND("DESC",AP19)),NOT(ISNUMBER(FIND("CAP",AP19)))))+64*(OR(RIGHT(AP19,5)="COUNT",RIGHT(AP19,2)="CT"))+128*(ISNUMBER(FIND("BULK",AP19)))+256*(ISNUMBER(FIND("SIZE",AP19)))+512*(LEFT(AP19,3)="CAP")+1024*(ISNUMBER(FIND("ALLERG",AP19)))+2048*(OR(ISNUMBER(FIND("REMARK",AP19)),ISNUMBER(FIND("COMMENT",AP19))))+4096*(OR(ISNUMBER(FIND("QTY",AP19)),ISNUMBER(FIND("QUANTITY",AP19))))+8192*(AND(OR(ISNUMBER(FIND("COMPLETE",AP19)),ISNUMBER(FIND("PCT",AP19)),ISNUMBER(FIND("PERCENT",AP19))),NOT(ISNUMBER(FIND("ACTUAL",AP19))),LEN(AP19)&lt;=16))+32768*(OR(ISNUMBER(FIND("DESIC",AP19)),ISNUMBER(FIND("DESSIC",AP19)))))</f>
        <v/>
      </c>
      <c r="AQ154">
        <f>IF(AQ19="",0,2*(OR(ISNUMBER(FIND("WORKCENTER",AQ19)),AND(LEFT(AQ19,4)="LINE",NOT(ISNUMBER(FIND("STATUS",AQ19))))))+4*(OR(ISNUMBER(FIND("WORKORDER",AQ19)),AND(LEFT(AQ19,2)="WO",OR(ISNUMBER(FIND("NUM",AQ19)),RIGHT(AQ19,2)="NO"))))+8*(LEFT(AQ19,3)="SEQ")+16*(AND(LEFT(AQ19,4)="ITEM",NOT(ISNUMBER(FIND("DESC",AQ19)))))+32*(AND(ISNUMBER(FIND("DESC",AQ19)),NOT(ISNUMBER(FIND("CAP",AQ19)))))+64*(OR(RIGHT(AQ19,5)="COUNT",RIGHT(AQ19,2)="CT"))+128*(ISNUMBER(FIND("BULK",AQ19)))+256*(ISNUMBER(FIND("SIZE",AQ19)))+512*(LEFT(AQ19,3)="CAP")+1024*(ISNUMBER(FIND("ALLERG",AQ19)))+2048*(OR(ISNUMBER(FIND("REMARK",AQ19)),ISNUMBER(FIND("COMMENT",AQ19))))+4096*(OR(ISNUMBER(FIND("QTY",AQ19)),ISNUMBER(FIND("QUANTITY",AQ19))))+8192*(AND(OR(ISNUMBER(FIND("COMPLETE",AQ19)),ISNUMBER(FIND("PCT",AQ19)),ISNUMBER(FIND("PERCENT",AQ19))),NOT(ISNUMBER(FIND("ACTUAL",AQ19))),LEN(AQ19)&lt;=16))+32768*(OR(ISNUMBER(FIND("DESIC",AQ19)),ISNUMBER(FIND("DESSIC",AQ19)))))</f>
        <v/>
      </c>
      <c r="AR154">
        <f>IF(AR19="",0,2*(OR(ISNUMBER(FIND("WORKCENTER",AR19)),AND(LEFT(AR19,4)="LINE",NOT(ISNUMBER(FIND("STATUS",AR19))))))+4*(OR(ISNUMBER(FIND("WORKORDER",AR19)),AND(LEFT(AR19,2)="WO",OR(ISNUMBER(FIND("NUM",AR19)),RIGHT(AR19,2)="NO"))))+8*(LEFT(AR19,3)="SEQ")+16*(AND(LEFT(AR19,4)="ITEM",NOT(ISNUMBER(FIND("DESC",AR19)))))+32*(AND(ISNUMBER(FIND("DESC",AR19)),NOT(ISNUMBER(FIND("CAP",AR19)))))+64*(OR(RIGHT(AR19,5)="COUNT",RIGHT(AR19,2)="CT"))+128*(ISNUMBER(FIND("BULK",AR19)))+256*(ISNUMBER(FIND("SIZE",AR19)))+512*(LEFT(AR19,3)="CAP")+1024*(ISNUMBER(FIND("ALLERG",AR19)))+2048*(OR(ISNUMBER(FIND("REMARK",AR19)),ISNUMBER(FIND("COMMENT",AR19))))+4096*(OR(ISNUMBER(FIND("QTY",AR19)),ISNUMBER(FIND("QUANTITY",AR19))))+8192*(AND(OR(ISNUMBER(FIND("COMPLETE",AR19)),ISNUMBER(FIND("PCT",AR19)),ISNUMBER(FIND("PERCENT",AR19))),NOT(ISNUMBER(FIND("ACTUAL",AR19))),LEN(AR19)&lt;=16))+32768*(OR(ISNUMBER(FIND("DESIC",AR19)),ISNUMBER(FIND("DESSIC",AR19)))))</f>
        <v/>
      </c>
      <c r="AS154">
        <f>IF(AS19="",0,2*(OR(ISNUMBER(FIND("WORKCENTER",AS19)),AND(LEFT(AS19,4)="LINE",NOT(ISNUMBER(FIND("STATUS",AS19))))))+4*(OR(ISNUMBER(FIND("WORKORDER",AS19)),AND(LEFT(AS19,2)="WO",OR(ISNUMBER(FIND("NUM",AS19)),RIGHT(AS19,2)="NO"))))+8*(LEFT(AS19,3)="SEQ")+16*(AND(LEFT(AS19,4)="ITEM",NOT(ISNUMBER(FIND("DESC",AS19)))))+32*(AND(ISNUMBER(FIND("DESC",AS19)),NOT(ISNUMBER(FIND("CAP",AS19)))))+64*(OR(RIGHT(AS19,5)="COUNT",RIGHT(AS19,2)="CT"))+128*(ISNUMBER(FIND("BULK",AS19)))+256*(ISNUMBER(FIND("SIZE",AS19)))+512*(LEFT(AS19,3)="CAP")+1024*(ISNUMBER(FIND("ALLERG",AS19)))+2048*(OR(ISNUMBER(FIND("REMARK",AS19)),ISNUMBER(FIND("COMMENT",AS19))))+4096*(OR(ISNUMBER(FIND("QTY",AS19)),ISNUMBER(FIND("QUANTITY",AS19))))+8192*(AND(OR(ISNUMBER(FIND("COMPLETE",AS19)),ISNUMBER(FIND("PCT",AS19)),ISNUMBER(FIND("PERCENT",AS19))),NOT(ISNUMBER(FIND("ACTUAL",AS19))),LEN(AS19)&lt;=16))+32768*(OR(ISNUMBER(FIND("DESIC",AS19)),ISNUMBER(FIND("DESSIC",AS19)))))</f>
        <v/>
      </c>
      <c r="AT154">
        <f>IF(AT19="",0,2*(OR(ISNUMBER(FIND("WORKCENTER",AT19)),AND(LEFT(AT19,4)="LINE",NOT(ISNUMBER(FIND("STATUS",AT19))))))+4*(OR(ISNUMBER(FIND("WORKORDER",AT19)),AND(LEFT(AT19,2)="WO",OR(ISNUMBER(FIND("NUM",AT19)),RIGHT(AT19,2)="NO"))))+8*(LEFT(AT19,3)="SEQ")+16*(AND(LEFT(AT19,4)="ITEM",NOT(ISNUMBER(FIND("DESC",AT19)))))+32*(AND(ISNUMBER(FIND("DESC",AT19)),NOT(ISNUMBER(FIND("CAP",AT19)))))+64*(OR(RIGHT(AT19,5)="COUNT",RIGHT(AT19,2)="CT"))+128*(ISNUMBER(FIND("BULK",AT19)))+256*(ISNUMBER(FIND("SIZE",AT19)))+512*(LEFT(AT19,3)="CAP")+1024*(ISNUMBER(FIND("ALLERG",AT19)))+2048*(OR(ISNUMBER(FIND("REMARK",AT19)),ISNUMBER(FIND("COMMENT",AT19))))+4096*(OR(ISNUMBER(FIND("QTY",AT19)),ISNUMBER(FIND("QUANTITY",AT19))))+8192*(AND(OR(ISNUMBER(FIND("COMPLETE",AT19)),ISNUMBER(FIND("PCT",AT19)),ISNUMBER(FIND("PERCENT",AT19))),NOT(ISNUMBER(FIND("ACTUAL",AT19))),LEN(AT19)&lt;=16))+32768*(OR(ISNUMBER(FIND("DESIC",AT19)),ISNUMBER(FIND("DESSIC",AT19)))))</f>
        <v/>
      </c>
      <c r="AU154">
        <f>IF(AU19="",0,2*(OR(ISNUMBER(FIND("WORKCENTER",AU19)),AND(LEFT(AU19,4)="LINE",NOT(ISNUMBER(FIND("STATUS",AU19))))))+4*(OR(ISNUMBER(FIND("WORKORDER",AU19)),AND(LEFT(AU19,2)="WO",OR(ISNUMBER(FIND("NUM",AU19)),RIGHT(AU19,2)="NO"))))+8*(LEFT(AU19,3)="SEQ")+16*(AND(LEFT(AU19,4)="ITEM",NOT(ISNUMBER(FIND("DESC",AU19)))))+32*(AND(ISNUMBER(FIND("DESC",AU19)),NOT(ISNUMBER(FIND("CAP",AU19)))))+64*(OR(RIGHT(AU19,5)="COUNT",RIGHT(AU19,2)="CT"))+128*(ISNUMBER(FIND("BULK",AU19)))+256*(ISNUMBER(FIND("SIZE",AU19)))+512*(LEFT(AU19,3)="CAP")+1024*(ISNUMBER(FIND("ALLERG",AU19)))+2048*(OR(ISNUMBER(FIND("REMARK",AU19)),ISNUMBER(FIND("COMMENT",AU19))))+4096*(OR(ISNUMBER(FIND("QTY",AU19)),ISNUMBER(FIND("QUANTITY",AU19))))+8192*(AND(OR(ISNUMBER(FIND("COMPLETE",AU19)),ISNUMBER(FIND("PCT",AU19)),ISNUMBER(FIND("PERCENT",AU19))),NOT(ISNUMBER(FIND("ACTUAL",AU19))),LEN(AU19)&lt;=16))+32768*(OR(ISNUMBER(FIND("DESIC",AU19)),ISNUMBER(FIND("DESSIC",AU19)))))</f>
        <v/>
      </c>
      <c r="AV154">
        <f>IF(AV19="",0,2*(OR(ISNUMBER(FIND("WORKCENTER",AV19)),AND(LEFT(AV19,4)="LINE",NOT(ISNUMBER(FIND("STATUS",AV19))))))+4*(OR(ISNUMBER(FIND("WORKORDER",AV19)),AND(LEFT(AV19,2)="WO",OR(ISNUMBER(FIND("NUM",AV19)),RIGHT(AV19,2)="NO"))))+8*(LEFT(AV19,3)="SEQ")+16*(AND(LEFT(AV19,4)="ITEM",NOT(ISNUMBER(FIND("DESC",AV19)))))+32*(AND(ISNUMBER(FIND("DESC",AV19)),NOT(ISNUMBER(FIND("CAP",AV19)))))+64*(OR(RIGHT(AV19,5)="COUNT",RIGHT(AV19,2)="CT"))+128*(ISNUMBER(FIND("BULK",AV19)))+256*(ISNUMBER(FIND("SIZE",AV19)))+512*(LEFT(AV19,3)="CAP")+1024*(ISNUMBER(FIND("ALLERG",AV19)))+2048*(OR(ISNUMBER(FIND("REMARK",AV19)),ISNUMBER(FIND("COMMENT",AV19))))+4096*(OR(ISNUMBER(FIND("QTY",AV19)),ISNUMBER(FIND("QUANTITY",AV19))))+8192*(AND(OR(ISNUMBER(FIND("COMPLETE",AV19)),ISNUMBER(FIND("PCT",AV19)),ISNUMBER(FIND("PERCENT",AV19))),NOT(ISNUMBER(FIND("ACTUAL",AV19))),LEN(AV19)&lt;=16))+32768*(OR(ISNUMBER(FIND("DESIC",AV19)),ISNUMBER(FIND("DESSIC",AV19)))))</f>
        <v/>
      </c>
      <c r="AW154">
        <f>IF(AW19="",0,2*(OR(ISNUMBER(FIND("WORKCENTER",AW19)),AND(LEFT(AW19,4)="LINE",NOT(ISNUMBER(FIND("STATUS",AW19))))))+4*(OR(ISNUMBER(FIND("WORKORDER",AW19)),AND(LEFT(AW19,2)="WO",OR(ISNUMBER(FIND("NUM",AW19)),RIGHT(AW19,2)="NO"))))+8*(LEFT(AW19,3)="SEQ")+16*(AND(LEFT(AW19,4)="ITEM",NOT(ISNUMBER(FIND("DESC",AW19)))))+32*(AND(ISNUMBER(FIND("DESC",AW19)),NOT(ISNUMBER(FIND("CAP",AW19)))))+64*(OR(RIGHT(AW19,5)="COUNT",RIGHT(AW19,2)="CT"))+128*(ISNUMBER(FIND("BULK",AW19)))+256*(ISNUMBER(FIND("SIZE",AW19)))+512*(LEFT(AW19,3)="CAP")+1024*(ISNUMBER(FIND("ALLERG",AW19)))+2048*(OR(ISNUMBER(FIND("REMARK",AW19)),ISNUMBER(FIND("COMMENT",AW19))))+4096*(OR(ISNUMBER(FIND("QTY",AW19)),ISNUMBER(FIND("QUANTITY",AW19))))+8192*(AND(OR(ISNUMBER(FIND("COMPLETE",AW19)),ISNUMBER(FIND("PCT",AW19)),ISNUMBER(FIND("PERCENT",AW19))),NOT(ISNUMBER(FIND("ACTUAL",AW19))),LEN(AW19)&lt;=16))+32768*(OR(ISNUMBER(FIND("DESIC",AW19)),ISNUMBER(FIND("DESSIC",AW19)))))</f>
        <v/>
      </c>
      <c r="AX154">
        <f>IF(AX19="",0,2*(OR(ISNUMBER(FIND("WORKCENTER",AX19)),AND(LEFT(AX19,4)="LINE",NOT(ISNUMBER(FIND("STATUS",AX19))))))+4*(OR(ISNUMBER(FIND("WORKORDER",AX19)),AND(LEFT(AX19,2)="WO",OR(ISNUMBER(FIND("NUM",AX19)),RIGHT(AX19,2)="NO"))))+8*(LEFT(AX19,3)="SEQ")+16*(AND(LEFT(AX19,4)="ITEM",NOT(ISNUMBER(FIND("DESC",AX19)))))+32*(AND(ISNUMBER(FIND("DESC",AX19)),NOT(ISNUMBER(FIND("CAP",AX19)))))+64*(OR(RIGHT(AX19,5)="COUNT",RIGHT(AX19,2)="CT"))+128*(ISNUMBER(FIND("BULK",AX19)))+256*(ISNUMBER(FIND("SIZE",AX19)))+512*(LEFT(AX19,3)="CAP")+1024*(ISNUMBER(FIND("ALLERG",AX19)))+2048*(OR(ISNUMBER(FIND("REMARK",AX19)),ISNUMBER(FIND("COMMENT",AX19))))+4096*(OR(ISNUMBER(FIND("QTY",AX19)),ISNUMBER(FIND("QUANTITY",AX19))))+8192*(AND(OR(ISNUMBER(FIND("COMPLETE",AX19)),ISNUMBER(FIND("PCT",AX19)),ISNUMBER(FIND("PERCENT",AX19))),NOT(ISNUMBER(FIND("ACTUAL",AX19))),LEN(AX19)&lt;=16))+32768*(OR(ISNUMBER(FIND("DESIC",AX19)),ISNUMBER(FIND("DESSIC",AX19)))))</f>
        <v/>
      </c>
      <c r="AY154">
        <f>IF(AY19="",0,2*(OR(ISNUMBER(FIND("WORKCENTER",AY19)),AND(LEFT(AY19,4)="LINE",NOT(ISNUMBER(FIND("STATUS",AY19))))))+4*(OR(ISNUMBER(FIND("WORKORDER",AY19)),AND(LEFT(AY19,2)="WO",OR(ISNUMBER(FIND("NUM",AY19)),RIGHT(AY19,2)="NO"))))+8*(LEFT(AY19,3)="SEQ")+16*(AND(LEFT(AY19,4)="ITEM",NOT(ISNUMBER(FIND("DESC",AY19)))))+32*(AND(ISNUMBER(FIND("DESC",AY19)),NOT(ISNUMBER(FIND("CAP",AY19)))))+64*(OR(RIGHT(AY19,5)="COUNT",RIGHT(AY19,2)="CT"))+128*(ISNUMBER(FIND("BULK",AY19)))+256*(ISNUMBER(FIND("SIZE",AY19)))+512*(LEFT(AY19,3)="CAP")+1024*(ISNUMBER(FIND("ALLERG",AY19)))+2048*(OR(ISNUMBER(FIND("REMARK",AY19)),ISNUMBER(FIND("COMMENT",AY19))))+4096*(OR(ISNUMBER(FIND("QTY",AY19)),ISNUMBER(FIND("QUANTITY",AY19))))+8192*(AND(OR(ISNUMBER(FIND("COMPLETE",AY19)),ISNUMBER(FIND("PCT",AY19)),ISNUMBER(FIND("PERCENT",AY19))),NOT(ISNUMBER(FIND("ACTUAL",AY19))),LEN(AY19)&lt;=16))+32768*(OR(ISNUMBER(FIND("DESIC",AY19)),ISNUMBER(FIND("DESSIC",AY19)))))</f>
        <v/>
      </c>
      <c r="AZ154">
        <f>IF(AZ19="",0,2*(OR(ISNUMBER(FIND("WORKCENTER",AZ19)),AND(LEFT(AZ19,4)="LINE",NOT(ISNUMBER(FIND("STATUS",AZ19))))))+4*(OR(ISNUMBER(FIND("WORKORDER",AZ19)),AND(LEFT(AZ19,2)="WO",OR(ISNUMBER(FIND("NUM",AZ19)),RIGHT(AZ19,2)="NO"))))+8*(LEFT(AZ19,3)="SEQ")+16*(AND(LEFT(AZ19,4)="ITEM",NOT(ISNUMBER(FIND("DESC",AZ19)))))+32*(AND(ISNUMBER(FIND("DESC",AZ19)),NOT(ISNUMBER(FIND("CAP",AZ19)))))+64*(OR(RIGHT(AZ19,5)="COUNT",RIGHT(AZ19,2)="CT"))+128*(ISNUMBER(FIND("BULK",AZ19)))+256*(ISNUMBER(FIND("SIZE",AZ19)))+512*(LEFT(AZ19,3)="CAP")+1024*(ISNUMBER(FIND("ALLERG",AZ19)))+2048*(OR(ISNUMBER(FIND("REMARK",AZ19)),ISNUMBER(FIND("COMMENT",AZ19))))+4096*(OR(ISNUMBER(FIND("QTY",AZ19)),ISNUMBER(FIND("QUANTITY",AZ19))))+8192*(AND(OR(ISNUMBER(FIND("COMPLETE",AZ19)),ISNUMBER(FIND("PCT",AZ19)),ISNUMBER(FIND("PERCENT",AZ19))),NOT(ISNUMBER(FIND("ACTUAL",AZ19))),LEN(AZ19)&lt;=16))+32768*(OR(ISNUMBER(FIND("DESIC",AZ19)),ISNUMBER(FIND("DESSIC",AZ19)))))</f>
        <v/>
      </c>
      <c r="BA154">
        <f>IF(BA19="",0,2*(OR(ISNUMBER(FIND("WORKCENTER",BA19)),AND(LEFT(BA19,4)="LINE",NOT(ISNUMBER(FIND("STATUS",BA19))))))+4*(OR(ISNUMBER(FIND("WORKORDER",BA19)),AND(LEFT(BA19,2)="WO",OR(ISNUMBER(FIND("NUM",BA19)),RIGHT(BA19,2)="NO"))))+8*(LEFT(BA19,3)="SEQ")+16*(AND(LEFT(BA19,4)="ITEM",NOT(ISNUMBER(FIND("DESC",BA19)))))+32*(AND(ISNUMBER(FIND("DESC",BA19)),NOT(ISNUMBER(FIND("CAP",BA19)))))+64*(OR(RIGHT(BA19,5)="COUNT",RIGHT(BA19,2)="CT"))+128*(ISNUMBER(FIND("BULK",BA19)))+256*(ISNUMBER(FIND("SIZE",BA19)))+512*(LEFT(BA19,3)="CAP")+1024*(ISNUMBER(FIND("ALLERG",BA19)))+2048*(OR(ISNUMBER(FIND("REMARK",BA19)),ISNUMBER(FIND("COMMENT",BA19))))+4096*(OR(ISNUMBER(FIND("QTY",BA19)),ISNUMBER(FIND("QUANTITY",BA19))))+8192*(AND(OR(ISNUMBER(FIND("COMPLETE",BA19)),ISNUMBER(FIND("PCT",BA19)),ISNUMBER(FIND("PERCENT",BA19))),NOT(ISNUMBER(FIND("ACTUAL",BA19))),LEN(BA19)&lt;=16))+32768*(OR(ISNUMBER(FIND("DESIC",BA19)),ISNUMBER(FIND("DESSIC",BA19)))))</f>
        <v/>
      </c>
      <c r="BB154">
        <f>IF(BB19="",0,2*(OR(ISNUMBER(FIND("WORKCENTER",BB19)),AND(LEFT(BB19,4)="LINE",NOT(ISNUMBER(FIND("STATUS",BB19))))))+4*(OR(ISNUMBER(FIND("WORKORDER",BB19)),AND(LEFT(BB19,2)="WO",OR(ISNUMBER(FIND("NUM",BB19)),RIGHT(BB19,2)="NO"))))+8*(LEFT(BB19,3)="SEQ")+16*(AND(LEFT(BB19,4)="ITEM",NOT(ISNUMBER(FIND("DESC",BB19)))))+32*(AND(ISNUMBER(FIND("DESC",BB19)),NOT(ISNUMBER(FIND("CAP",BB19)))))+64*(OR(RIGHT(BB19,5)="COUNT",RIGHT(BB19,2)="CT"))+128*(ISNUMBER(FIND("BULK",BB19)))+256*(ISNUMBER(FIND("SIZE",BB19)))+512*(LEFT(BB19,3)="CAP")+1024*(ISNUMBER(FIND("ALLERG",BB19)))+2048*(OR(ISNUMBER(FIND("REMARK",BB19)),ISNUMBER(FIND("COMMENT",BB19))))+4096*(OR(ISNUMBER(FIND("QTY",BB19)),ISNUMBER(FIND("QUANTITY",BB19))))+8192*(AND(OR(ISNUMBER(FIND("COMPLETE",BB19)),ISNUMBER(FIND("PCT",BB19)),ISNUMBER(FIND("PERCENT",BB19))),NOT(ISNUMBER(FIND("ACTUAL",BB19))),LEN(BB19)&lt;=16))+32768*(OR(ISNUMBER(FIND("DESIC",BB19)),ISNUMBER(FIND("DESSIC",BB19)))))</f>
        <v/>
      </c>
      <c r="BC154">
        <f>IF(BC19="",0,2*(OR(ISNUMBER(FIND("WORKCENTER",BC19)),AND(LEFT(BC19,4)="LINE",NOT(ISNUMBER(FIND("STATUS",BC19))))))+4*(OR(ISNUMBER(FIND("WORKORDER",BC19)),AND(LEFT(BC19,2)="WO",OR(ISNUMBER(FIND("NUM",BC19)),RIGHT(BC19,2)="NO"))))+8*(LEFT(BC19,3)="SEQ")+16*(AND(LEFT(BC19,4)="ITEM",NOT(ISNUMBER(FIND("DESC",BC19)))))+32*(AND(ISNUMBER(FIND("DESC",BC19)),NOT(ISNUMBER(FIND("CAP",BC19)))))+64*(OR(RIGHT(BC19,5)="COUNT",RIGHT(BC19,2)="CT"))+128*(ISNUMBER(FIND("BULK",BC19)))+256*(ISNUMBER(FIND("SIZE",BC19)))+512*(LEFT(BC19,3)="CAP")+1024*(ISNUMBER(FIND("ALLERG",BC19)))+2048*(OR(ISNUMBER(FIND("REMARK",BC19)),ISNUMBER(FIND("COMMENT",BC19))))+4096*(OR(ISNUMBER(FIND("QTY",BC19)),ISNUMBER(FIND("QUANTITY",BC19))))+8192*(AND(OR(ISNUMBER(FIND("COMPLETE",BC19)),ISNUMBER(FIND("PCT",BC19)),ISNUMBER(FIND("PERCENT",BC19))),NOT(ISNUMBER(FIND("ACTUAL",BC19))),LEN(BC19)&lt;=16))+32768*(OR(ISNUMBER(FIND("DESIC",BC19)),ISNUMBER(FIND("DESSIC",BC19)))))</f>
        <v/>
      </c>
      <c r="BD154">
        <f>IF(BD19="",0,2*(OR(ISNUMBER(FIND("WORKCENTER",BD19)),AND(LEFT(BD19,4)="LINE",NOT(ISNUMBER(FIND("STATUS",BD19))))))+4*(OR(ISNUMBER(FIND("WORKORDER",BD19)),AND(LEFT(BD19,2)="WO",OR(ISNUMBER(FIND("NUM",BD19)),RIGHT(BD19,2)="NO"))))+8*(LEFT(BD19,3)="SEQ")+16*(AND(LEFT(BD19,4)="ITEM",NOT(ISNUMBER(FIND("DESC",BD19)))))+32*(AND(ISNUMBER(FIND("DESC",BD19)),NOT(ISNUMBER(FIND("CAP",BD19)))))+64*(OR(RIGHT(BD19,5)="COUNT",RIGHT(BD19,2)="CT"))+128*(ISNUMBER(FIND("BULK",BD19)))+256*(ISNUMBER(FIND("SIZE",BD19)))+512*(LEFT(BD19,3)="CAP")+1024*(ISNUMBER(FIND("ALLERG",BD19)))+2048*(OR(ISNUMBER(FIND("REMARK",BD19)),ISNUMBER(FIND("COMMENT",BD19))))+4096*(OR(ISNUMBER(FIND("QTY",BD19)),ISNUMBER(FIND("QUANTITY",BD19))))+8192*(AND(OR(ISNUMBER(FIND("COMPLETE",BD19)),ISNUMBER(FIND("PCT",BD19)),ISNUMBER(FIND("PERCENT",BD19))),NOT(ISNUMBER(FIND("ACTUAL",BD19))),LEN(BD19)&lt;=16))+32768*(OR(ISNUMBER(FIND("DESIC",BD19)),ISNUMBER(FIND("DESSIC",BD19)))))</f>
        <v/>
      </c>
      <c r="BE154">
        <f>IF(BE19="",0,2*(OR(ISNUMBER(FIND("WORKCENTER",BE19)),AND(LEFT(BE19,4)="LINE",NOT(ISNUMBER(FIND("STATUS",BE19))))))+4*(OR(ISNUMBER(FIND("WORKORDER",BE19)),AND(LEFT(BE19,2)="WO",OR(ISNUMBER(FIND("NUM",BE19)),RIGHT(BE19,2)="NO"))))+8*(LEFT(BE19,3)="SEQ")+16*(AND(LEFT(BE19,4)="ITEM",NOT(ISNUMBER(FIND("DESC",BE19)))))+32*(AND(ISNUMBER(FIND("DESC",BE19)),NOT(ISNUMBER(FIND("CAP",BE19)))))+64*(OR(RIGHT(BE19,5)="COUNT",RIGHT(BE19,2)="CT"))+128*(ISNUMBER(FIND("BULK",BE19)))+256*(ISNUMBER(FIND("SIZE",BE19)))+512*(LEFT(BE19,3)="CAP")+1024*(ISNUMBER(FIND("ALLERG",BE19)))+2048*(OR(ISNUMBER(FIND("REMARK",BE19)),ISNUMBER(FIND("COMMENT",BE19))))+4096*(OR(ISNUMBER(FIND("QTY",BE19)),ISNUMBER(FIND("QUANTITY",BE19))))+8192*(AND(OR(ISNUMBER(FIND("COMPLETE",BE19)),ISNUMBER(FIND("PCT",BE19)),ISNUMBER(FIND("PERCENT",BE19))),NOT(ISNUMBER(FIND("ACTUAL",BE19))),LEN(BE19)&lt;=16))+32768*(OR(ISNUMBER(FIND("DESIC",BE19)),ISNUMBER(FIND("DESSIC",BE19)))))</f>
        <v/>
      </c>
      <c r="BF154">
        <f>IF(BF19="",0,2*(OR(ISNUMBER(FIND("WORKCENTER",BF19)),AND(LEFT(BF19,4)="LINE",NOT(ISNUMBER(FIND("STATUS",BF19))))))+4*(OR(ISNUMBER(FIND("WORKORDER",BF19)),AND(LEFT(BF19,2)="WO",OR(ISNUMBER(FIND("NUM",BF19)),RIGHT(BF19,2)="NO"))))+8*(LEFT(BF19,3)="SEQ")+16*(AND(LEFT(BF19,4)="ITEM",NOT(ISNUMBER(FIND("DESC",BF19)))))+32*(AND(ISNUMBER(FIND("DESC",BF19)),NOT(ISNUMBER(FIND("CAP",BF19)))))+64*(OR(RIGHT(BF19,5)="COUNT",RIGHT(BF19,2)="CT"))+128*(ISNUMBER(FIND("BULK",BF19)))+256*(ISNUMBER(FIND("SIZE",BF19)))+512*(LEFT(BF19,3)="CAP")+1024*(ISNUMBER(FIND("ALLERG",BF19)))+2048*(OR(ISNUMBER(FIND("REMARK",BF19)),ISNUMBER(FIND("COMMENT",BF19))))+4096*(OR(ISNUMBER(FIND("QTY",BF19)),ISNUMBER(FIND("QUANTITY",BF19))))+8192*(AND(OR(ISNUMBER(FIND("COMPLETE",BF19)),ISNUMBER(FIND("PCT",BF19)),ISNUMBER(FIND("PERCENT",BF19))),NOT(ISNUMBER(FIND("ACTUAL",BF19))),LEN(BF19)&lt;=16))+32768*(OR(ISNUMBER(FIND("DESIC",BF19)),ISNUMBER(FIND("DESSIC",BF19)))))</f>
        <v/>
      </c>
      <c r="BG154">
        <f>IF(BG19="",0,2*(OR(ISNUMBER(FIND("WORKCENTER",BG19)),AND(LEFT(BG19,4)="LINE",NOT(ISNUMBER(FIND("STATUS",BG19))))))+4*(OR(ISNUMBER(FIND("WORKORDER",BG19)),AND(LEFT(BG19,2)="WO",OR(ISNUMBER(FIND("NUM",BG19)),RIGHT(BG19,2)="NO"))))+8*(LEFT(BG19,3)="SEQ")+16*(AND(LEFT(BG19,4)="ITEM",NOT(ISNUMBER(FIND("DESC",BG19)))))+32*(AND(ISNUMBER(FIND("DESC",BG19)),NOT(ISNUMBER(FIND("CAP",BG19)))))+64*(OR(RIGHT(BG19,5)="COUNT",RIGHT(BG19,2)="CT"))+128*(ISNUMBER(FIND("BULK",BG19)))+256*(ISNUMBER(FIND("SIZE",BG19)))+512*(LEFT(BG19,3)="CAP")+1024*(ISNUMBER(FIND("ALLERG",BG19)))+2048*(OR(ISNUMBER(FIND("REMARK",BG19)),ISNUMBER(FIND("COMMENT",BG19))))+4096*(OR(ISNUMBER(FIND("QTY",BG19)),ISNUMBER(FIND("QUANTITY",BG19))))+8192*(AND(OR(ISNUMBER(FIND("COMPLETE",BG19)),ISNUMBER(FIND("PCT",BG19)),ISNUMBER(FIND("PERCENT",BG19))),NOT(ISNUMBER(FIND("ACTUAL",BG19))),LEN(BG19)&lt;=16))+32768*(OR(ISNUMBER(FIND("DESIC",BG19)),ISNUMBER(FIND("DESSIC",BG19)))))</f>
        <v/>
      </c>
      <c r="BH154">
        <f>IF(BH19="",0,2*(OR(ISNUMBER(FIND("WORKCENTER",BH19)),AND(LEFT(BH19,4)="LINE",NOT(ISNUMBER(FIND("STATUS",BH19))))))+4*(OR(ISNUMBER(FIND("WORKORDER",BH19)),AND(LEFT(BH19,2)="WO",OR(ISNUMBER(FIND("NUM",BH19)),RIGHT(BH19,2)="NO"))))+8*(LEFT(BH19,3)="SEQ")+16*(AND(LEFT(BH19,4)="ITEM",NOT(ISNUMBER(FIND("DESC",BH19)))))+32*(AND(ISNUMBER(FIND("DESC",BH19)),NOT(ISNUMBER(FIND("CAP",BH19)))))+64*(OR(RIGHT(BH19,5)="COUNT",RIGHT(BH19,2)="CT"))+128*(ISNUMBER(FIND("BULK",BH19)))+256*(ISNUMBER(FIND("SIZE",BH19)))+512*(LEFT(BH19,3)="CAP")+1024*(ISNUMBER(FIND("ALLERG",BH19)))+2048*(OR(ISNUMBER(FIND("REMARK",BH19)),ISNUMBER(FIND("COMMENT",BH19))))+4096*(OR(ISNUMBER(FIND("QTY",BH19)),ISNUMBER(FIND("QUANTITY",BH19))))+8192*(AND(OR(ISNUMBER(FIND("COMPLETE",BH19)),ISNUMBER(FIND("PCT",BH19)),ISNUMBER(FIND("PERCENT",BH19))),NOT(ISNUMBER(FIND("ACTUAL",BH19))),LEN(BH19)&lt;=16))+32768*(OR(ISNUMBER(FIND("DESIC",BH19)),ISNUMBER(FIND("DESSIC",BH19)))))</f>
        <v/>
      </c>
      <c r="BI154">
        <f>IF(BI19="",0,2*(OR(ISNUMBER(FIND("WORKCENTER",BI19)),AND(LEFT(BI19,4)="LINE",NOT(ISNUMBER(FIND("STATUS",BI19))))))+4*(OR(ISNUMBER(FIND("WORKORDER",BI19)),AND(LEFT(BI19,2)="WO",OR(ISNUMBER(FIND("NUM",BI19)),RIGHT(BI19,2)="NO"))))+8*(LEFT(BI19,3)="SEQ")+16*(AND(LEFT(BI19,4)="ITEM",NOT(ISNUMBER(FIND("DESC",BI19)))))+32*(AND(ISNUMBER(FIND("DESC",BI19)),NOT(ISNUMBER(FIND("CAP",BI19)))))+64*(OR(RIGHT(BI19,5)="COUNT",RIGHT(BI19,2)="CT"))+128*(ISNUMBER(FIND("BULK",BI19)))+256*(ISNUMBER(FIND("SIZE",BI19)))+512*(LEFT(BI19,3)="CAP")+1024*(ISNUMBER(FIND("ALLERG",BI19)))+2048*(OR(ISNUMBER(FIND("REMARK",BI19)),ISNUMBER(FIND("COMMENT",BI19))))+4096*(OR(ISNUMBER(FIND("QTY",BI19)),ISNUMBER(FIND("QUANTITY",BI19))))+8192*(AND(OR(ISNUMBER(FIND("COMPLETE",BI19)),ISNUMBER(FIND("PCT",BI19)),ISNUMBER(FIND("PERCENT",BI19))),NOT(ISNUMBER(FIND("ACTUAL",BI19))),LEN(BI19)&lt;=16))+32768*(OR(ISNUMBER(FIND("DESIC",BI19)),ISNUMBER(FIND("DESSIC",BI19)))))</f>
        <v/>
      </c>
      <c r="BJ154">
        <f>IF(BJ19="",0,2*(OR(ISNUMBER(FIND("WORKCENTER",BJ19)),AND(LEFT(BJ19,4)="LINE",NOT(ISNUMBER(FIND("STATUS",BJ19))))))+4*(OR(ISNUMBER(FIND("WORKORDER",BJ19)),AND(LEFT(BJ19,2)="WO",OR(ISNUMBER(FIND("NUM",BJ19)),RIGHT(BJ19,2)="NO"))))+8*(LEFT(BJ19,3)="SEQ")+16*(AND(LEFT(BJ19,4)="ITEM",NOT(ISNUMBER(FIND("DESC",BJ19)))))+32*(AND(ISNUMBER(FIND("DESC",BJ19)),NOT(ISNUMBER(FIND("CAP",BJ19)))))+64*(OR(RIGHT(BJ19,5)="COUNT",RIGHT(BJ19,2)="CT"))+128*(ISNUMBER(FIND("BULK",BJ19)))+256*(ISNUMBER(FIND("SIZE",BJ19)))+512*(LEFT(BJ19,3)="CAP")+1024*(ISNUMBER(FIND("ALLERG",BJ19)))+2048*(OR(ISNUMBER(FIND("REMARK",BJ19)),ISNUMBER(FIND("COMMENT",BJ19))))+4096*(OR(ISNUMBER(FIND("QTY",BJ19)),ISNUMBER(FIND("QUANTITY",BJ19))))+8192*(AND(OR(ISNUMBER(FIND("COMPLETE",BJ19)),ISNUMBER(FIND("PCT",BJ19)),ISNUMBER(FIND("PERCENT",BJ19))),NOT(ISNUMBER(FIND("ACTUAL",BJ19))),LEN(BJ19)&lt;=16))+32768*(OR(ISNUMBER(FIND("DESIC",BJ19)),ISNUMBER(FIND("DESSIC",BJ19)))))</f>
        <v/>
      </c>
      <c r="BK154">
        <f>IF(BK19="",0,2*(OR(ISNUMBER(FIND("WORKCENTER",BK19)),AND(LEFT(BK19,4)="LINE",NOT(ISNUMBER(FIND("STATUS",BK19))))))+4*(OR(ISNUMBER(FIND("WORKORDER",BK19)),AND(LEFT(BK19,2)="WO",OR(ISNUMBER(FIND("NUM",BK19)),RIGHT(BK19,2)="NO"))))+8*(LEFT(BK19,3)="SEQ")+16*(AND(LEFT(BK19,4)="ITEM",NOT(ISNUMBER(FIND("DESC",BK19)))))+32*(AND(ISNUMBER(FIND("DESC",BK19)),NOT(ISNUMBER(FIND("CAP",BK19)))))+64*(OR(RIGHT(BK19,5)="COUNT",RIGHT(BK19,2)="CT"))+128*(ISNUMBER(FIND("BULK",BK19)))+256*(ISNUMBER(FIND("SIZE",BK19)))+512*(LEFT(BK19,3)="CAP")+1024*(ISNUMBER(FIND("ALLERG",BK19)))+2048*(OR(ISNUMBER(FIND("REMARK",BK19)),ISNUMBER(FIND("COMMENT",BK19))))+4096*(OR(ISNUMBER(FIND("QTY",BK19)),ISNUMBER(FIND("QUANTITY",BK19))))+8192*(AND(OR(ISNUMBER(FIND("COMPLETE",BK19)),ISNUMBER(FIND("PCT",BK19)),ISNUMBER(FIND("PERCENT",BK19))),NOT(ISNUMBER(FIND("ACTUAL",BK19))),LEN(BK19)&lt;=16))+32768*(OR(ISNUMBER(FIND("DESIC",BK19)),ISNUMBER(FIND("DESSIC",BK19)))))</f>
        <v/>
      </c>
      <c r="BL154">
        <f>IF(BL19="",0,2*(OR(ISNUMBER(FIND("WORKCENTER",BL19)),AND(LEFT(BL19,4)="LINE",NOT(ISNUMBER(FIND("STATUS",BL19))))))+4*(OR(ISNUMBER(FIND("WORKORDER",BL19)),AND(LEFT(BL19,2)="WO",OR(ISNUMBER(FIND("NUM",BL19)),RIGHT(BL19,2)="NO"))))+8*(LEFT(BL19,3)="SEQ")+16*(AND(LEFT(BL19,4)="ITEM",NOT(ISNUMBER(FIND("DESC",BL19)))))+32*(AND(ISNUMBER(FIND("DESC",BL19)),NOT(ISNUMBER(FIND("CAP",BL19)))))+64*(OR(RIGHT(BL19,5)="COUNT",RIGHT(BL19,2)="CT"))+128*(ISNUMBER(FIND("BULK",BL19)))+256*(ISNUMBER(FIND("SIZE",BL19)))+512*(LEFT(BL19,3)="CAP")+1024*(ISNUMBER(FIND("ALLERG",BL19)))+2048*(OR(ISNUMBER(FIND("REMARK",BL19)),ISNUMBER(FIND("COMMENT",BL19))))+4096*(OR(ISNUMBER(FIND("QTY",BL19)),ISNUMBER(FIND("QUANTITY",BL19))))+8192*(AND(OR(ISNUMBER(FIND("COMPLETE",BL19)),ISNUMBER(FIND("PCT",BL19)),ISNUMBER(FIND("PERCENT",BL19))),NOT(ISNUMBER(FIND("ACTUAL",BL19))),LEN(BL19)&lt;=16))+32768*(OR(ISNUMBER(FIND("DESIC",BL19)),ISNUMBER(FIND("DESSIC",BL19)))))</f>
        <v/>
      </c>
      <c r="BM154">
        <f>IF(BM19="",0,2*(OR(ISNUMBER(FIND("WORKCENTER",BM19)),AND(LEFT(BM19,4)="LINE",NOT(ISNUMBER(FIND("STATUS",BM19))))))+4*(OR(ISNUMBER(FIND("WORKORDER",BM19)),AND(LEFT(BM19,2)="WO",OR(ISNUMBER(FIND("NUM",BM19)),RIGHT(BM19,2)="NO"))))+8*(LEFT(BM19,3)="SEQ")+16*(AND(LEFT(BM19,4)="ITEM",NOT(ISNUMBER(FIND("DESC",BM19)))))+32*(AND(ISNUMBER(FIND("DESC",BM19)),NOT(ISNUMBER(FIND("CAP",BM19)))))+64*(OR(RIGHT(BM19,5)="COUNT",RIGHT(BM19,2)="CT"))+128*(ISNUMBER(FIND("BULK",BM19)))+256*(ISNUMBER(FIND("SIZE",BM19)))+512*(LEFT(BM19,3)="CAP")+1024*(ISNUMBER(FIND("ALLERG",BM19)))+2048*(OR(ISNUMBER(FIND("REMARK",BM19)),ISNUMBER(FIND("COMMENT",BM19))))+4096*(OR(ISNUMBER(FIND("QTY",BM19)),ISNUMBER(FIND("QUANTITY",BM19))))+8192*(AND(OR(ISNUMBER(FIND("COMPLETE",BM19)),ISNUMBER(FIND("PCT",BM19)),ISNUMBER(FIND("PERCENT",BM19))),NOT(ISNUMBER(FIND("ACTUAL",BM19))),LEN(BM19)&lt;=16))+32768*(OR(ISNUMBER(FIND("DESIC",BM19)),ISNUMBER(FIND("DESSIC",BM19)))))</f>
        <v/>
      </c>
      <c r="BN154">
        <f>IF(BN19="",0,2*(OR(ISNUMBER(FIND("WORKCENTER",BN19)),AND(LEFT(BN19,4)="LINE",NOT(ISNUMBER(FIND("STATUS",BN19))))))+4*(OR(ISNUMBER(FIND("WORKORDER",BN19)),AND(LEFT(BN19,2)="WO",OR(ISNUMBER(FIND("NUM",BN19)),RIGHT(BN19,2)="NO"))))+8*(LEFT(BN19,3)="SEQ")+16*(AND(LEFT(BN19,4)="ITEM",NOT(ISNUMBER(FIND("DESC",BN19)))))+32*(AND(ISNUMBER(FIND("DESC",BN19)),NOT(ISNUMBER(FIND("CAP",BN19)))))+64*(OR(RIGHT(BN19,5)="COUNT",RIGHT(BN19,2)="CT"))+128*(ISNUMBER(FIND("BULK",BN19)))+256*(ISNUMBER(FIND("SIZE",BN19)))+512*(LEFT(BN19,3)="CAP")+1024*(ISNUMBER(FIND("ALLERG",BN19)))+2048*(OR(ISNUMBER(FIND("REMARK",BN19)),ISNUMBER(FIND("COMMENT",BN19))))+4096*(OR(ISNUMBER(FIND("QTY",BN19)),ISNUMBER(FIND("QUANTITY",BN19))))+8192*(AND(OR(ISNUMBER(FIND("COMPLETE",BN19)),ISNUMBER(FIND("PCT",BN19)),ISNUMBER(FIND("PERCENT",BN19))),NOT(ISNUMBER(FIND("ACTUAL",BN19))),LEN(BN19)&lt;=16))+32768*(OR(ISNUMBER(FIND("DESIC",BN19)),ISNUMBER(FIND("DESSIC",BN19)))))</f>
        <v/>
      </c>
      <c r="BO154">
        <f>IF(BO19="",0,2*(OR(ISNUMBER(FIND("WORKCENTER",BO19)),AND(LEFT(BO19,4)="LINE",NOT(ISNUMBER(FIND("STATUS",BO19))))))+4*(OR(ISNUMBER(FIND("WORKORDER",BO19)),AND(LEFT(BO19,2)="WO",OR(ISNUMBER(FIND("NUM",BO19)),RIGHT(BO19,2)="NO"))))+8*(LEFT(BO19,3)="SEQ")+16*(AND(LEFT(BO19,4)="ITEM",NOT(ISNUMBER(FIND("DESC",BO19)))))+32*(AND(ISNUMBER(FIND("DESC",BO19)),NOT(ISNUMBER(FIND("CAP",BO19)))))+64*(OR(RIGHT(BO19,5)="COUNT",RIGHT(BO19,2)="CT"))+128*(ISNUMBER(FIND("BULK",BO19)))+256*(ISNUMBER(FIND("SIZE",BO19)))+512*(LEFT(BO19,3)="CAP")+1024*(ISNUMBER(FIND("ALLERG",BO19)))+2048*(OR(ISNUMBER(FIND("REMARK",BO19)),ISNUMBER(FIND("COMMENT",BO19))))+4096*(OR(ISNUMBER(FIND("QTY",BO19)),ISNUMBER(FIND("QUANTITY",BO19))))+8192*(AND(OR(ISNUMBER(FIND("COMPLETE",BO19)),ISNUMBER(FIND("PCT",BO19)),ISNUMBER(FIND("PERCENT",BO19))),NOT(ISNUMBER(FIND("ACTUAL",BO19))),LEN(BO19)&lt;=16))+32768*(OR(ISNUMBER(FIND("DESIC",BO19)),ISNUMBER(FIND("DESSIC",BO19)))))</f>
        <v/>
      </c>
      <c r="BP154">
        <f>IF(BP19="",0,2*(OR(ISNUMBER(FIND("WORKCENTER",BP19)),AND(LEFT(BP19,4)="LINE",NOT(ISNUMBER(FIND("STATUS",BP19))))))+4*(OR(ISNUMBER(FIND("WORKORDER",BP19)),AND(LEFT(BP19,2)="WO",OR(ISNUMBER(FIND("NUM",BP19)),RIGHT(BP19,2)="NO"))))+8*(LEFT(BP19,3)="SEQ")+16*(AND(LEFT(BP19,4)="ITEM",NOT(ISNUMBER(FIND("DESC",BP19)))))+32*(AND(ISNUMBER(FIND("DESC",BP19)),NOT(ISNUMBER(FIND("CAP",BP19)))))+64*(OR(RIGHT(BP19,5)="COUNT",RIGHT(BP19,2)="CT"))+128*(ISNUMBER(FIND("BULK",BP19)))+256*(ISNUMBER(FIND("SIZE",BP19)))+512*(LEFT(BP19,3)="CAP")+1024*(ISNUMBER(FIND("ALLERG",BP19)))+2048*(OR(ISNUMBER(FIND("REMARK",BP19)),ISNUMBER(FIND("COMMENT",BP19))))+4096*(OR(ISNUMBER(FIND("QTY",BP19)),ISNUMBER(FIND("QUANTITY",BP19))))+8192*(AND(OR(ISNUMBER(FIND("COMPLETE",BP19)),ISNUMBER(FIND("PCT",BP19)),ISNUMBER(FIND("PERCENT",BP19))),NOT(ISNUMBER(FIND("ACTUAL",BP19))),LEN(BP19)&lt;=16))+32768*(OR(ISNUMBER(FIND("DESIC",BP19)),ISNUMBER(FIND("DESSIC",BP19)))))</f>
        <v/>
      </c>
      <c r="BQ154">
        <f>IF(BQ19="",0,2*(OR(ISNUMBER(FIND("WORKCENTER",BQ19)),AND(LEFT(BQ19,4)="LINE",NOT(ISNUMBER(FIND("STATUS",BQ19))))))+4*(OR(ISNUMBER(FIND("WORKORDER",BQ19)),AND(LEFT(BQ19,2)="WO",OR(ISNUMBER(FIND("NUM",BQ19)),RIGHT(BQ19,2)="NO"))))+8*(LEFT(BQ19,3)="SEQ")+16*(AND(LEFT(BQ19,4)="ITEM",NOT(ISNUMBER(FIND("DESC",BQ19)))))+32*(AND(ISNUMBER(FIND("DESC",BQ19)),NOT(ISNUMBER(FIND("CAP",BQ19)))))+64*(OR(RIGHT(BQ19,5)="COUNT",RIGHT(BQ19,2)="CT"))+128*(ISNUMBER(FIND("BULK",BQ19)))+256*(ISNUMBER(FIND("SIZE",BQ19)))+512*(LEFT(BQ19,3)="CAP")+1024*(ISNUMBER(FIND("ALLERG",BQ19)))+2048*(OR(ISNUMBER(FIND("REMARK",BQ19)),ISNUMBER(FIND("COMMENT",BQ19))))+4096*(OR(ISNUMBER(FIND("QTY",BQ19)),ISNUMBER(FIND("QUANTITY",BQ19))))+8192*(AND(OR(ISNUMBER(FIND("COMPLETE",BQ19)),ISNUMBER(FIND("PCT",BQ19)),ISNUMBER(FIND("PERCENT",BQ19))),NOT(ISNUMBER(FIND("ACTUAL",BQ19))),LEN(BQ19)&lt;=16))+32768*(OR(ISNUMBER(FIND("DESIC",BQ19)),ISNUMBER(FIND("DESSIC",BQ19)))))</f>
        <v/>
      </c>
      <c r="BR154">
        <f>IF(BR19="",0,2*(OR(ISNUMBER(FIND("WORKCENTER",BR19)),AND(LEFT(BR19,4)="LINE",NOT(ISNUMBER(FIND("STATUS",BR19))))))+4*(OR(ISNUMBER(FIND("WORKORDER",BR19)),AND(LEFT(BR19,2)="WO",OR(ISNUMBER(FIND("NUM",BR19)),RIGHT(BR19,2)="NO"))))+8*(LEFT(BR19,3)="SEQ")+16*(AND(LEFT(BR19,4)="ITEM",NOT(ISNUMBER(FIND("DESC",BR19)))))+32*(AND(ISNUMBER(FIND("DESC",BR19)),NOT(ISNUMBER(FIND("CAP",BR19)))))+64*(OR(RIGHT(BR19,5)="COUNT",RIGHT(BR19,2)="CT"))+128*(ISNUMBER(FIND("BULK",BR19)))+256*(ISNUMBER(FIND("SIZE",BR19)))+512*(LEFT(BR19,3)="CAP")+1024*(ISNUMBER(FIND("ALLERG",BR19)))+2048*(OR(ISNUMBER(FIND("REMARK",BR19)),ISNUMBER(FIND("COMMENT",BR19))))+4096*(OR(ISNUMBER(FIND("QTY",BR19)),ISNUMBER(FIND("QUANTITY",BR19))))+8192*(AND(OR(ISNUMBER(FIND("COMPLETE",BR19)),ISNUMBER(FIND("PCT",BR19)),ISNUMBER(FIND("PERCENT",BR19))),NOT(ISNUMBER(FIND("ACTUAL",BR19))),LEN(BR19)&lt;=16))+32768*(OR(ISNUMBER(FIND("DESIC",BR19)),ISNUMBER(FIND("DESSIC",BR19)))))</f>
        <v/>
      </c>
      <c r="BS154">
        <f>IF(BS19="",0,2*(OR(ISNUMBER(FIND("WORKCENTER",BS19)),AND(LEFT(BS19,4)="LINE",NOT(ISNUMBER(FIND("STATUS",BS19))))))+4*(OR(ISNUMBER(FIND("WORKORDER",BS19)),AND(LEFT(BS19,2)="WO",OR(ISNUMBER(FIND("NUM",BS19)),RIGHT(BS19,2)="NO"))))+8*(LEFT(BS19,3)="SEQ")+16*(AND(LEFT(BS19,4)="ITEM",NOT(ISNUMBER(FIND("DESC",BS19)))))+32*(AND(ISNUMBER(FIND("DESC",BS19)),NOT(ISNUMBER(FIND("CAP",BS19)))))+64*(OR(RIGHT(BS19,5)="COUNT",RIGHT(BS19,2)="CT"))+128*(ISNUMBER(FIND("BULK",BS19)))+256*(ISNUMBER(FIND("SIZE",BS19)))+512*(LEFT(BS19,3)="CAP")+1024*(ISNUMBER(FIND("ALLERG",BS19)))+2048*(OR(ISNUMBER(FIND("REMARK",BS19)),ISNUMBER(FIND("COMMENT",BS19))))+4096*(OR(ISNUMBER(FIND("QTY",BS19)),ISNUMBER(FIND("QUANTITY",BS19))))+8192*(AND(OR(ISNUMBER(FIND("COMPLETE",BS19)),ISNUMBER(FIND("PCT",BS19)),ISNUMBER(FIND("PERCENT",BS19))),NOT(ISNUMBER(FIND("ACTUAL",BS19))),LEN(BS19)&lt;=16))+32768*(OR(ISNUMBER(FIND("DESIC",BS19)),ISNUMBER(FIND("DESSIC",BS19)))))</f>
        <v/>
      </c>
      <c r="BT154">
        <f>IF(BT19="",0,2*(OR(ISNUMBER(FIND("WORKCENTER",BT19)),AND(LEFT(BT19,4)="LINE",NOT(ISNUMBER(FIND("STATUS",BT19))))))+4*(OR(ISNUMBER(FIND("WORKORDER",BT19)),AND(LEFT(BT19,2)="WO",OR(ISNUMBER(FIND("NUM",BT19)),RIGHT(BT19,2)="NO"))))+8*(LEFT(BT19,3)="SEQ")+16*(AND(LEFT(BT19,4)="ITEM",NOT(ISNUMBER(FIND("DESC",BT19)))))+32*(AND(ISNUMBER(FIND("DESC",BT19)),NOT(ISNUMBER(FIND("CAP",BT19)))))+64*(OR(RIGHT(BT19,5)="COUNT",RIGHT(BT19,2)="CT"))+128*(ISNUMBER(FIND("BULK",BT19)))+256*(ISNUMBER(FIND("SIZE",BT19)))+512*(LEFT(BT19,3)="CAP")+1024*(ISNUMBER(FIND("ALLERG",BT19)))+2048*(OR(ISNUMBER(FIND("REMARK",BT19)),ISNUMBER(FIND("COMMENT",BT19))))+4096*(OR(ISNUMBER(FIND("QTY",BT19)),ISNUMBER(FIND("QUANTITY",BT19))))+8192*(AND(OR(ISNUMBER(FIND("COMPLETE",BT19)),ISNUMBER(FIND("PCT",BT19)),ISNUMBER(FIND("PERCENT",BT19))),NOT(ISNUMBER(FIND("ACTUAL",BT19))),LEN(BT19)&lt;=16))+32768*(OR(ISNUMBER(FIND("DESIC",BT19)),ISNUMBER(FIND("DESSIC",BT19)))))</f>
        <v/>
      </c>
      <c r="BU154">
        <f>IF(BU19="",0,2*(OR(ISNUMBER(FIND("WORKCENTER",BU19)),AND(LEFT(BU19,4)="LINE",NOT(ISNUMBER(FIND("STATUS",BU19))))))+4*(OR(ISNUMBER(FIND("WORKORDER",BU19)),AND(LEFT(BU19,2)="WO",OR(ISNUMBER(FIND("NUM",BU19)),RIGHT(BU19,2)="NO"))))+8*(LEFT(BU19,3)="SEQ")+16*(AND(LEFT(BU19,4)="ITEM",NOT(ISNUMBER(FIND("DESC",BU19)))))+32*(AND(ISNUMBER(FIND("DESC",BU19)),NOT(ISNUMBER(FIND("CAP",BU19)))))+64*(OR(RIGHT(BU19,5)="COUNT",RIGHT(BU19,2)="CT"))+128*(ISNUMBER(FIND("BULK",BU19)))+256*(ISNUMBER(FIND("SIZE",BU19)))+512*(LEFT(BU19,3)="CAP")+1024*(ISNUMBER(FIND("ALLERG",BU19)))+2048*(OR(ISNUMBER(FIND("REMARK",BU19)),ISNUMBER(FIND("COMMENT",BU19))))+4096*(OR(ISNUMBER(FIND("QTY",BU19)),ISNUMBER(FIND("QUANTITY",BU19))))+8192*(AND(OR(ISNUMBER(FIND("COMPLETE",BU19)),ISNUMBER(FIND("PCT",BU19)),ISNUMBER(FIND("PERCENT",BU19))),NOT(ISNUMBER(FIND("ACTUAL",BU19))),LEN(BU19)&lt;=16))+32768*(OR(ISNUMBER(FIND("DESIC",BU19)),ISNUMBER(FIND("DESSIC",BU19)))))</f>
        <v/>
      </c>
      <c r="BV154">
        <f>IF(BV19="",0,2*(OR(ISNUMBER(FIND("WORKCENTER",BV19)),AND(LEFT(BV19,4)="LINE",NOT(ISNUMBER(FIND("STATUS",BV19))))))+4*(OR(ISNUMBER(FIND("WORKORDER",BV19)),AND(LEFT(BV19,2)="WO",OR(ISNUMBER(FIND("NUM",BV19)),RIGHT(BV19,2)="NO"))))+8*(LEFT(BV19,3)="SEQ")+16*(AND(LEFT(BV19,4)="ITEM",NOT(ISNUMBER(FIND("DESC",BV19)))))+32*(AND(ISNUMBER(FIND("DESC",BV19)),NOT(ISNUMBER(FIND("CAP",BV19)))))+64*(OR(RIGHT(BV19,5)="COUNT",RIGHT(BV19,2)="CT"))+128*(ISNUMBER(FIND("BULK",BV19)))+256*(ISNUMBER(FIND("SIZE",BV19)))+512*(LEFT(BV19,3)="CAP")+1024*(ISNUMBER(FIND("ALLERG",BV19)))+2048*(OR(ISNUMBER(FIND("REMARK",BV19)),ISNUMBER(FIND("COMMENT",BV19))))+4096*(OR(ISNUMBER(FIND("QTY",BV19)),ISNUMBER(FIND("QUANTITY",BV19))))+8192*(AND(OR(ISNUMBER(FIND("COMPLETE",BV19)),ISNUMBER(FIND("PCT",BV19)),ISNUMBER(FIND("PERCENT",BV19))),NOT(ISNUMBER(FIND("ACTUAL",BV19))),LEN(BV19)&lt;=16))+32768*(OR(ISNUMBER(FIND("DESIC",BV19)),ISNUMBER(FIND("DESSIC",BV19)))))</f>
        <v/>
      </c>
      <c r="BW154">
        <f>IF(BW19="",0,2*(OR(ISNUMBER(FIND("WORKCENTER",BW19)),AND(LEFT(BW19,4)="LINE",NOT(ISNUMBER(FIND("STATUS",BW19))))))+4*(OR(ISNUMBER(FIND("WORKORDER",BW19)),AND(LEFT(BW19,2)="WO",OR(ISNUMBER(FIND("NUM",BW19)),RIGHT(BW19,2)="NO"))))+8*(LEFT(BW19,3)="SEQ")+16*(AND(LEFT(BW19,4)="ITEM",NOT(ISNUMBER(FIND("DESC",BW19)))))+32*(AND(ISNUMBER(FIND("DESC",BW19)),NOT(ISNUMBER(FIND("CAP",BW19)))))+64*(OR(RIGHT(BW19,5)="COUNT",RIGHT(BW19,2)="CT"))+128*(ISNUMBER(FIND("BULK",BW19)))+256*(ISNUMBER(FIND("SIZE",BW19)))+512*(LEFT(BW19,3)="CAP")+1024*(ISNUMBER(FIND("ALLERG",BW19)))+2048*(OR(ISNUMBER(FIND("REMARK",BW19)),ISNUMBER(FIND("COMMENT",BW19))))+4096*(OR(ISNUMBER(FIND("QTY",BW19)),ISNUMBER(FIND("QUANTITY",BW19))))+8192*(AND(OR(ISNUMBER(FIND("COMPLETE",BW19)),ISNUMBER(FIND("PCT",BW19)),ISNUMBER(FIND("PERCENT",BW19))),NOT(ISNUMBER(FIND("ACTUAL",BW19))),LEN(BW19)&lt;=16))+32768*(OR(ISNUMBER(FIND("DESIC",BW19)),ISNUMBER(FIND("DESSIC",BW19)))))</f>
        <v/>
      </c>
      <c r="BX154">
        <f>IF(BX19="",0,2*(OR(ISNUMBER(FIND("WORKCENTER",BX19)),AND(LEFT(BX19,4)="LINE",NOT(ISNUMBER(FIND("STATUS",BX19))))))+4*(OR(ISNUMBER(FIND("WORKORDER",BX19)),AND(LEFT(BX19,2)="WO",OR(ISNUMBER(FIND("NUM",BX19)),RIGHT(BX19,2)="NO"))))+8*(LEFT(BX19,3)="SEQ")+16*(AND(LEFT(BX19,4)="ITEM",NOT(ISNUMBER(FIND("DESC",BX19)))))+32*(AND(ISNUMBER(FIND("DESC",BX19)),NOT(ISNUMBER(FIND("CAP",BX19)))))+64*(OR(RIGHT(BX19,5)="COUNT",RIGHT(BX19,2)="CT"))+128*(ISNUMBER(FIND("BULK",BX19)))+256*(ISNUMBER(FIND("SIZE",BX19)))+512*(LEFT(BX19,3)="CAP")+1024*(ISNUMBER(FIND("ALLERG",BX19)))+2048*(OR(ISNUMBER(FIND("REMARK",BX19)),ISNUMBER(FIND("COMMENT",BX19))))+4096*(OR(ISNUMBER(FIND("QTY",BX19)),ISNUMBER(FIND("QUANTITY",BX19))))+8192*(AND(OR(ISNUMBER(FIND("COMPLETE",BX19)),ISNUMBER(FIND("PCT",BX19)),ISNUMBER(FIND("PERCENT",BX19))),NOT(ISNUMBER(FIND("ACTUAL",BX19))),LEN(BX19)&lt;=16))+32768*(OR(ISNUMBER(FIND("DESIC",BX19)),ISNUMBER(FIND("DESSIC",BX19)))))</f>
        <v/>
      </c>
      <c r="BY154">
        <f>IF(BY19="",0,2*(OR(ISNUMBER(FIND("WORKCENTER",BY19)),AND(LEFT(BY19,4)="LINE",NOT(ISNUMBER(FIND("STATUS",BY19))))))+4*(OR(ISNUMBER(FIND("WORKORDER",BY19)),AND(LEFT(BY19,2)="WO",OR(ISNUMBER(FIND("NUM",BY19)),RIGHT(BY19,2)="NO"))))+8*(LEFT(BY19,3)="SEQ")+16*(AND(LEFT(BY19,4)="ITEM",NOT(ISNUMBER(FIND("DESC",BY19)))))+32*(AND(ISNUMBER(FIND("DESC",BY19)),NOT(ISNUMBER(FIND("CAP",BY19)))))+64*(OR(RIGHT(BY19,5)="COUNT",RIGHT(BY19,2)="CT"))+128*(ISNUMBER(FIND("BULK",BY19)))+256*(ISNUMBER(FIND("SIZE",BY19)))+512*(LEFT(BY19,3)="CAP")+1024*(ISNUMBER(FIND("ALLERG",BY19)))+2048*(OR(ISNUMBER(FIND("REMARK",BY19)),ISNUMBER(FIND("COMMENT",BY19))))+4096*(OR(ISNUMBER(FIND("QTY",BY19)),ISNUMBER(FIND("QUANTITY",BY19))))+8192*(AND(OR(ISNUMBER(FIND("COMPLETE",BY19)),ISNUMBER(FIND("PCT",BY19)),ISNUMBER(FIND("PERCENT",BY19))),NOT(ISNUMBER(FIND("ACTUAL",BY19))),LEN(BY19)&lt;=16))+32768*(OR(ISNUMBER(FIND("DESIC",BY19)),ISNUMBER(FIND("DESSIC",BY19)))))</f>
        <v/>
      </c>
      <c r="BZ154">
        <f>IF(BZ19="",0,2*(OR(ISNUMBER(FIND("WORKCENTER",BZ19)),AND(LEFT(BZ19,4)="LINE",NOT(ISNUMBER(FIND("STATUS",BZ19))))))+4*(OR(ISNUMBER(FIND("WORKORDER",BZ19)),AND(LEFT(BZ19,2)="WO",OR(ISNUMBER(FIND("NUM",BZ19)),RIGHT(BZ19,2)="NO"))))+8*(LEFT(BZ19,3)="SEQ")+16*(AND(LEFT(BZ19,4)="ITEM",NOT(ISNUMBER(FIND("DESC",BZ19)))))+32*(AND(ISNUMBER(FIND("DESC",BZ19)),NOT(ISNUMBER(FIND("CAP",BZ19)))))+64*(OR(RIGHT(BZ19,5)="COUNT",RIGHT(BZ19,2)="CT"))+128*(ISNUMBER(FIND("BULK",BZ19)))+256*(ISNUMBER(FIND("SIZE",BZ19)))+512*(LEFT(BZ19,3)="CAP")+1024*(ISNUMBER(FIND("ALLERG",BZ19)))+2048*(OR(ISNUMBER(FIND("REMARK",BZ19)),ISNUMBER(FIND("COMMENT",BZ19))))+4096*(OR(ISNUMBER(FIND("QTY",BZ19)),ISNUMBER(FIND("QUANTITY",BZ19))))+8192*(AND(OR(ISNUMBER(FIND("COMPLETE",BZ19)),ISNUMBER(FIND("PCT",BZ19)),ISNUMBER(FIND("PERCENT",BZ19))),NOT(ISNUMBER(FIND("ACTUAL",BZ19))),LEN(BZ19)&lt;=16))+32768*(OR(ISNUMBER(FIND("DESIC",BZ19)),ISNUMBER(FIND("DESSIC",BZ19)))))</f>
        <v/>
      </c>
      <c r="CA154">
        <f>IF(CA19="",0,2*(OR(ISNUMBER(FIND("WORKCENTER",CA19)),AND(LEFT(CA19,4)="LINE",NOT(ISNUMBER(FIND("STATUS",CA19))))))+4*(OR(ISNUMBER(FIND("WORKORDER",CA19)),AND(LEFT(CA19,2)="WO",OR(ISNUMBER(FIND("NUM",CA19)),RIGHT(CA19,2)="NO"))))+8*(LEFT(CA19,3)="SEQ")+16*(AND(LEFT(CA19,4)="ITEM",NOT(ISNUMBER(FIND("DESC",CA19)))))+32*(AND(ISNUMBER(FIND("DESC",CA19)),NOT(ISNUMBER(FIND("CAP",CA19)))))+64*(OR(RIGHT(CA19,5)="COUNT",RIGHT(CA19,2)="CT"))+128*(ISNUMBER(FIND("BULK",CA19)))+256*(ISNUMBER(FIND("SIZE",CA19)))+512*(LEFT(CA19,3)="CAP")+1024*(ISNUMBER(FIND("ALLERG",CA19)))+2048*(OR(ISNUMBER(FIND("REMARK",CA19)),ISNUMBER(FIND("COMMENT",CA19))))+4096*(OR(ISNUMBER(FIND("QTY",CA19)),ISNUMBER(FIND("QUANTITY",CA19))))+8192*(AND(OR(ISNUMBER(FIND("COMPLETE",CA19)),ISNUMBER(FIND("PCT",CA19)),ISNUMBER(FIND("PERCENT",CA19))),NOT(ISNUMBER(FIND("ACTUAL",CA19))),LEN(CA19)&lt;=16))+32768*(OR(ISNUMBER(FIND("DESIC",CA19)),ISNUMBER(FIND("DESSIC",CA19)))))</f>
        <v/>
      </c>
      <c r="CB154">
        <f>IF(CB19="",0,2*(OR(ISNUMBER(FIND("WORKCENTER",CB19)),AND(LEFT(CB19,4)="LINE",NOT(ISNUMBER(FIND("STATUS",CB19))))))+4*(OR(ISNUMBER(FIND("WORKORDER",CB19)),AND(LEFT(CB19,2)="WO",OR(ISNUMBER(FIND("NUM",CB19)),RIGHT(CB19,2)="NO"))))+8*(LEFT(CB19,3)="SEQ")+16*(AND(LEFT(CB19,4)="ITEM",NOT(ISNUMBER(FIND("DESC",CB19)))))+32*(AND(ISNUMBER(FIND("DESC",CB19)),NOT(ISNUMBER(FIND("CAP",CB19)))))+64*(OR(RIGHT(CB19,5)="COUNT",RIGHT(CB19,2)="CT"))+128*(ISNUMBER(FIND("BULK",CB19)))+256*(ISNUMBER(FIND("SIZE",CB19)))+512*(LEFT(CB19,3)="CAP")+1024*(ISNUMBER(FIND("ALLERG",CB19)))+2048*(OR(ISNUMBER(FIND("REMARK",CB19)),ISNUMBER(FIND("COMMENT",CB19))))+4096*(OR(ISNUMBER(FIND("QTY",CB19)),ISNUMBER(FIND("QUANTITY",CB19))))+8192*(AND(OR(ISNUMBER(FIND("COMPLETE",CB19)),ISNUMBER(FIND("PCT",CB19)),ISNUMBER(FIND("PERCENT",CB19))),NOT(ISNUMBER(FIND("ACTUAL",CB19))),LEN(CB19)&lt;=16))+32768*(OR(ISNUMBER(FIND("DESIC",CB19)),ISNUMBER(FIND("DESSIC",CB19)))))</f>
        <v/>
      </c>
      <c r="CC154">
        <f>IF(CC19="",0,2*(OR(ISNUMBER(FIND("WORKCENTER",CC19)),AND(LEFT(CC19,4)="LINE",NOT(ISNUMBER(FIND("STATUS",CC19))))))+4*(OR(ISNUMBER(FIND("WORKORDER",CC19)),AND(LEFT(CC19,2)="WO",OR(ISNUMBER(FIND("NUM",CC19)),RIGHT(CC19,2)="NO"))))+8*(LEFT(CC19,3)="SEQ")+16*(AND(LEFT(CC19,4)="ITEM",NOT(ISNUMBER(FIND("DESC",CC19)))))+32*(AND(ISNUMBER(FIND("DESC",CC19)),NOT(ISNUMBER(FIND("CAP",CC19)))))+64*(OR(RIGHT(CC19,5)="COUNT",RIGHT(CC19,2)="CT"))+128*(ISNUMBER(FIND("BULK",CC19)))+256*(ISNUMBER(FIND("SIZE",CC19)))+512*(LEFT(CC19,3)="CAP")+1024*(ISNUMBER(FIND("ALLERG",CC19)))+2048*(OR(ISNUMBER(FIND("REMARK",CC19)),ISNUMBER(FIND("COMMENT",CC19))))+4096*(OR(ISNUMBER(FIND("QTY",CC19)),ISNUMBER(FIND("QUANTITY",CC19))))+8192*(AND(OR(ISNUMBER(FIND("COMPLETE",CC19)),ISNUMBER(FIND("PCT",CC19)),ISNUMBER(FIND("PERCENT",CC19))),NOT(ISNUMBER(FIND("ACTUAL",CC19))),LEN(CC19)&lt;=16))+32768*(OR(ISNUMBER(FIND("DESIC",CC19)),ISNUMBER(FIND("DESSIC",CC19)))))</f>
        <v/>
      </c>
      <c r="CD154">
        <f>IF(CD19="",0,2*(OR(ISNUMBER(FIND("WORKCENTER",CD19)),AND(LEFT(CD19,4)="LINE",NOT(ISNUMBER(FIND("STATUS",CD19))))))+4*(OR(ISNUMBER(FIND("WORKORDER",CD19)),AND(LEFT(CD19,2)="WO",OR(ISNUMBER(FIND("NUM",CD19)),RIGHT(CD19,2)="NO"))))+8*(LEFT(CD19,3)="SEQ")+16*(AND(LEFT(CD19,4)="ITEM",NOT(ISNUMBER(FIND("DESC",CD19)))))+32*(AND(ISNUMBER(FIND("DESC",CD19)),NOT(ISNUMBER(FIND("CAP",CD19)))))+64*(OR(RIGHT(CD19,5)="COUNT",RIGHT(CD19,2)="CT"))+128*(ISNUMBER(FIND("BULK",CD19)))+256*(ISNUMBER(FIND("SIZE",CD19)))+512*(LEFT(CD19,3)="CAP")+1024*(ISNUMBER(FIND("ALLERG",CD19)))+2048*(OR(ISNUMBER(FIND("REMARK",CD19)),ISNUMBER(FIND("COMMENT",CD19))))+4096*(OR(ISNUMBER(FIND("QTY",CD19)),ISNUMBER(FIND("QUANTITY",CD19))))+8192*(AND(OR(ISNUMBER(FIND("COMPLETE",CD19)),ISNUMBER(FIND("PCT",CD19)),ISNUMBER(FIND("PERCENT",CD19))),NOT(ISNUMBER(FIND("ACTUAL",CD19))),LEN(CD19)&lt;=16))+32768*(OR(ISNUMBER(FIND("DESIC",CD19)),ISNUMBER(FIND("DESSIC",CD19)))))</f>
        <v/>
      </c>
      <c r="CE154">
        <f>IF(CE19="",0,2*(OR(ISNUMBER(FIND("WORKCENTER",CE19)),AND(LEFT(CE19,4)="LINE",NOT(ISNUMBER(FIND("STATUS",CE19))))))+4*(OR(ISNUMBER(FIND("WORKORDER",CE19)),AND(LEFT(CE19,2)="WO",OR(ISNUMBER(FIND("NUM",CE19)),RIGHT(CE19,2)="NO"))))+8*(LEFT(CE19,3)="SEQ")+16*(AND(LEFT(CE19,4)="ITEM",NOT(ISNUMBER(FIND("DESC",CE19)))))+32*(AND(ISNUMBER(FIND("DESC",CE19)),NOT(ISNUMBER(FIND("CAP",CE19)))))+64*(OR(RIGHT(CE19,5)="COUNT",RIGHT(CE19,2)="CT"))+128*(ISNUMBER(FIND("BULK",CE19)))+256*(ISNUMBER(FIND("SIZE",CE19)))+512*(LEFT(CE19,3)="CAP")+1024*(ISNUMBER(FIND("ALLERG",CE19)))+2048*(OR(ISNUMBER(FIND("REMARK",CE19)),ISNUMBER(FIND("COMMENT",CE19))))+4096*(OR(ISNUMBER(FIND("QTY",CE19)),ISNUMBER(FIND("QUANTITY",CE19))))+8192*(AND(OR(ISNUMBER(FIND("COMPLETE",CE19)),ISNUMBER(FIND("PCT",CE19)),ISNUMBER(FIND("PERCENT",CE19))),NOT(ISNUMBER(FIND("ACTUAL",CE19))),LEN(CE19)&lt;=16))+32768*(OR(ISNUMBER(FIND("DESIC",CE19)),ISNUMBER(FIND("DESSIC",CE19)))))</f>
        <v/>
      </c>
      <c r="CF154">
        <f>IF(CF19="",0,2*(OR(ISNUMBER(FIND("WORKCENTER",CF19)),AND(LEFT(CF19,4)="LINE",NOT(ISNUMBER(FIND("STATUS",CF19))))))+4*(OR(ISNUMBER(FIND("WORKORDER",CF19)),AND(LEFT(CF19,2)="WO",OR(ISNUMBER(FIND("NUM",CF19)),RIGHT(CF19,2)="NO"))))+8*(LEFT(CF19,3)="SEQ")+16*(AND(LEFT(CF19,4)="ITEM",NOT(ISNUMBER(FIND("DESC",CF19)))))+32*(AND(ISNUMBER(FIND("DESC",CF19)),NOT(ISNUMBER(FIND("CAP",CF19)))))+64*(OR(RIGHT(CF19,5)="COUNT",RIGHT(CF19,2)="CT"))+128*(ISNUMBER(FIND("BULK",CF19)))+256*(ISNUMBER(FIND("SIZE",CF19)))+512*(LEFT(CF19,3)="CAP")+1024*(ISNUMBER(FIND("ALLERG",CF19)))+2048*(OR(ISNUMBER(FIND("REMARK",CF19)),ISNUMBER(FIND("COMMENT",CF19))))+4096*(OR(ISNUMBER(FIND("QTY",CF19)),ISNUMBER(FIND("QUANTITY",CF19))))+8192*(AND(OR(ISNUMBER(FIND("COMPLETE",CF19)),ISNUMBER(FIND("PCT",CF19)),ISNUMBER(FIND("PERCENT",CF19))),NOT(ISNUMBER(FIND("ACTUAL",CF19))),LEN(CF19)&lt;=16))+32768*(OR(ISNUMBER(FIND("DESIC",CF19)),ISNUMBER(FIND("DESSIC",CF19)))))</f>
        <v/>
      </c>
      <c r="DA154" t="n">
        <v>150</v>
      </c>
      <c r="DB154">
        <f>IF($B$37=0,"",IFERROR(TRIM(SUBSTITUTE(SUBSTITUTE(SUBSTITUTE(SUBSTITUTE(INDEX(PASTE_ALL,150,$B$37)," "," "),CHAR(9)," "),CHAR(10)," "),CHAR(13)," ")),""))</f>
        <v/>
      </c>
      <c r="DC154">
        <f>IF(AND(150&gt;HEADER_ROW,UPPER(DB154)="LEGEND"),1,0)</f>
        <v/>
      </c>
      <c r="DE154" t="n">
        <v>150</v>
      </c>
      <c r="DF154">
        <f>HEADER_ROW+$DE154</f>
        <v/>
      </c>
      <c r="DG154">
        <f>IF(AND($DF154&lt;=1000,$DF154&lt;$B$8),1,0)</f>
        <v/>
      </c>
      <c r="DH154">
        <f>IF($DG154=1,IFERROR(INDEX($DB$5:$DB$1004,$DF154),""),"")</f>
        <v/>
      </c>
      <c r="DI154">
        <f>IF(AND($DG154=1,$DH154&lt;&gt;""),IFERROR(SUBSTITUTE(SUBSTITUTE(TRIM(SUBSTITUTE(SUBSTITUTE(SUBSTITUTE(SUBSTITUTE(IFERROR(INDEX(PASTE_ALL,$DF154,1)&amp;"","")&amp;"␟"&amp;IFERROR(INDEX(PASTE_ALL,$DF154,2)&amp;"","")&amp;"␟"&amp;IFERROR(INDEX(PASTE_ALL,$DF154,3)&amp;"","")&amp;"␟"&amp;IFERROR(INDEX(PASTE_ALL,$DF154,4)&amp;"","")&amp;"␟"&amp;IFERROR(INDEX(PASTE_ALL,$DF154,5)&amp;"","")&amp;"␟"&amp;IFERROR(INDEX(PASTE_ALL,$DF154,6)&amp;"","")&amp;"␟"&amp;IFERROR(INDEX(PASTE_ALL,$DF154,7)&amp;"","")&amp;"␟"&amp;IFERROR(INDEX(PASTE_ALL,$DF154,8)&amp;"","")&amp;"␟"&amp;IFERROR(INDEX(PASTE_ALL,$DF154,9)&amp;"","")&amp;"␟"&amp;IFERROR(INDEX(PASTE_ALL,$DF154,10)&amp;"","")&amp;"␟"&amp;IFERROR(INDEX(PASTE_ALL,$DF154,11)&amp;"","")&amp;"␟"&amp;IFERROR(INDEX(PASTE_ALL,$DF154,12)&amp;"","")&amp;"␟"&amp;IFERROR(INDEX(PASTE_ALL,$DF154,13)&amp;"","")&amp;"␟"&amp;IFERROR(INDEX(PASTE_ALL,$DF154,14)&amp;"","")&amp;"␟"&amp;IFERROR(INDEX(PASTE_ALL,$DF154,15)&amp;"","")&amp;"␟"&amp;IFERROR(INDEX(PASTE_ALL,$DF154,16)&amp;"","")&amp;"␟"&amp;IFERROR(INDEX(PASTE_ALL,$DF154,17)&amp;"","")&amp;"␟"&amp;IFERROR(INDEX(PASTE_ALL,$DF154,18)&amp;"","")&amp;"␟"&amp;IFERROR(INDEX(PASTE_ALL,$DF154,19)&amp;"","")&amp;"␟"&amp;IFERROR(INDEX(PASTE_ALL,$DF154,20)&amp;"","")&amp;"␟"&amp;IFERROR(INDEX(PASTE_ALL,$DF154,21)&amp;"","")&amp;"␟"&amp;IFERROR(INDEX(PASTE_ALL,$DF154,22)&amp;"","")&amp;"␟"&amp;IFERROR(INDEX(PASTE_ALL,$DF154,23)&amp;"","")&amp;"␟"&amp;IFERROR(INDEX(PASTE_ALL,$DF154,24)&amp;"","")&amp;"␟"&amp;IFERROR(INDEX(PASTE_ALL,$DF154,25)&amp;"","")&amp;"␟"&amp;IFERROR(INDEX(PASTE_ALL,$DF154,26)&amp;"","")&amp;"␟"&amp;IFERROR(INDEX(PASTE_ALL,$DF154,27)&amp;"","")&amp;"␟"&amp;IFERROR(INDEX(PASTE_ALL,$DF154,28)&amp;"","")&amp;"␟"&amp;IFERROR(INDEX(PASTE_ALL,$DF154,29)&amp;"","")&amp;"␟"&amp;IFERROR(INDEX(PASTE_ALL,$DF154,30)&amp;"","")&amp;"␟"&amp;IFERROR(INDEX(PASTE_ALL,$DF154,31)&amp;"","")&amp;"␟"&amp;IFERROR(INDEX(PASTE_ALL,$DF154,32)&amp;"","")&amp;"␟"&amp;IFERROR(INDEX(PASTE_ALL,$DF154,33)&amp;"","")&amp;"␟"&amp;IFERROR(INDEX(PASTE_ALL,$DF154,34)&amp;"","")&amp;"␟"&amp;IFERROR(INDEX(PASTE_ALL,$DF154,35)&amp;"","")&amp;"␟"&amp;IFERROR(INDEX(PASTE_ALL,$DF154,36)&amp;"","")&amp;"␟"&amp;IFERROR(INDEX(PASTE_ALL,$DF154,37)&amp;"","")&amp;"␟"&amp;IFERROR(INDEX(PASTE_ALL,$DF154,38)&amp;"","")&amp;"␟"&amp;IFERROR(INDEX(PASTE_ALL,$DF154,39)&amp;"","")&amp;"␟"&amp;IFERROR(INDEX(PASTE_ALL,$DF154,40)&amp;"","")&amp;"␟"&amp;IFERROR(INDEX(PASTE_ALL,$DF154,41)&amp;"","")&amp;"␟"&amp;IFERROR(INDEX(PASTE_ALL,$DF154,42)&amp;"","")&amp;"␟"&amp;IFERROR(INDEX(PASTE_ALL,$DF154,43)&amp;"","")&amp;"␟"&amp;IFERROR(INDEX(PASTE_ALL,$DF154,44)&amp;"","")&amp;"␟"&amp;IFERROR(INDEX(PASTE_ALL,$DF154,45)&amp;"","")&amp;"␟"&amp;IFERROR(INDEX(PASTE_ALL,$DF154,46)&amp;"","")&amp;"␟"&amp;IFERROR(INDEX(PASTE_ALL,$DF154,47)&amp;"","")&amp;"␟"&amp;IFERROR(INDEX(PASTE_ALL,$DF154,48)&amp;"","")&amp;"␟"&amp;IFERROR(INDEX(PASTE_ALL,$DF154,49)&amp;"","")&amp;"␟"&amp;IFERROR(INDEX(PASTE_ALL,$DF154,50)&amp;"","")&amp;"␟"&amp;IFERROR(INDEX(PASTE_ALL,$DF154,51)&amp;"","")&amp;"␟"&amp;IFERROR(INDEX(PASTE_ALL,$DF154,52)&amp;"","")&amp;"␟"&amp;IFERROR(INDEX(PASTE_ALL,$DF154,53)&amp;"","")&amp;"␟"&amp;IFERROR(INDEX(PASTE_ALL,$DF154,54)&amp;"","")&amp;"␟"&amp;IFERROR(INDEX(PASTE_ALL,$DF154,55)&amp;"","")&amp;"␟"&amp;IFERROR(INDEX(PASTE_ALL,$DF154,56)&amp;"","")&amp;"␟"&amp;IFERROR(INDEX(PASTE_ALL,$DF154,57)&amp;"","")&amp;"␟"&amp;IFERROR(INDEX(PASTE_ALL,$DF154,58)&amp;"","")&amp;"␟"&amp;IFERROR(INDEX(PASTE_ALL,$DF154,59)&amp;"","")&amp;"␟"&amp;IFERROR(INDEX(PASTE_ALL,$DF154,60)&amp;"","")," "," "),CHAR(9)," "),CHAR(10)," "),CHAR(13)," "))," ␟","␟"),"␟ ","␟"),"#"&amp;$DE154),"")</f>
        <v/>
      </c>
      <c r="DJ154">
        <f>IF($DI154="",0,IF(SUMPRODUCT(--EXACT($DI$4:DI153,$DI154))&gt;0,1,0))</f>
        <v/>
      </c>
      <c r="DK154">
        <f>IF(AND($DI154&lt;&gt;"",$DJ154=0),1,0)</f>
        <v/>
      </c>
      <c r="DL154">
        <f>DL153+$DK154</f>
        <v/>
      </c>
      <c r="DM154">
        <f>IF(AND($DK154=1,$DL154&lt;=600),1,0)</f>
        <v/>
      </c>
      <c r="DN154">
        <f>IF($DM154=0,"",IF($L$6=0,"",IFERROR(IF(ISNUMBER(INDEX(PASTE_ALL,$DF154,$L$6)),INDEX(PASTE_ALL,$DF154,$L$6),TRIM(SUBSTITUTE(SUBSTITUTE(SUBSTITUTE(SUBSTITUTE(INDEX(PASTE_ALL,$DF154,$L$6)," "," "),CHAR(9)," "),CHAR(10)," "),CHAR(13)," "))),"")))</f>
        <v/>
      </c>
      <c r="DO154">
        <f>IF($DM154=0,"",IF($L$7=0,"",IFERROR(IF(ISNUMBER(INDEX(PASTE_ALL,$DF154,$L$7)),INDEX(PASTE_ALL,$DF154,$L$7),TRIM(SUBSTITUTE(SUBSTITUTE(SUBSTITUTE(SUBSTITUTE(INDEX(PASTE_ALL,$DF154,$L$7)," "," "),CHAR(9)," "),CHAR(10)," "),CHAR(13)," "))),"")))</f>
        <v/>
      </c>
      <c r="DP154">
        <f>IF($DM154=0,"",IF($L$8=0,"",IFERROR(IF(ISNUMBER(INDEX(PASTE_ALL,$DF154,$L$8)),INDEX(PASTE_ALL,$DF154,$L$8),TRIM(SUBSTITUTE(SUBSTITUTE(SUBSTITUTE(SUBSTITUTE(INDEX(PASTE_ALL,$DF154,$L$8)," "," "),CHAR(9)," "),CHAR(10)," "),CHAR(13)," "))),"")))</f>
        <v/>
      </c>
      <c r="DQ154">
        <f>IF($DM154=0,"",IF($L$9=0,"",IFERROR(IF(ISNUMBER(INDEX(PASTE_ALL,$DF154,$L$9)),INDEX(PASTE_ALL,$DF154,$L$9),TRIM(SUBSTITUTE(SUBSTITUTE(SUBSTITUTE(SUBSTITUTE(INDEX(PASTE_ALL,$DF154,$L$9)," "," "),CHAR(9)," "),CHAR(10)," "),CHAR(13)," "))),"")))</f>
        <v/>
      </c>
      <c r="DR154">
        <f>IF($DM154=0,"",IF($L$10=0,"",IFERROR(IF(ISNUMBER(INDEX(PASTE_ALL,$DF154,$L$10)),INDEX(PASTE_ALL,$DF154,$L$10),TRIM(SUBSTITUTE(SUBSTITUTE(SUBSTITUTE(SUBSTITUTE(INDEX(PASTE_ALL,$DF154,$L$10)," "," "),CHAR(9)," "),CHAR(10)," "),CHAR(13)," "))),"")))</f>
        <v/>
      </c>
      <c r="DS154">
        <f>IF($DM154=0,"",IF($L$11=0,"",IFERROR(IF(ISNUMBER(INDEX(PASTE_ALL,$DF154,$L$11)),INDEX(PASTE_ALL,$DF154,$L$11),TRIM(SUBSTITUTE(SUBSTITUTE(SUBSTITUTE(SUBSTITUTE(INDEX(PASTE_ALL,$DF154,$L$11)," "," "),CHAR(9)," "),CHAR(10)," "),CHAR(13)," "))),"")))</f>
        <v/>
      </c>
      <c r="DT154">
        <f>IF($DM154=0,"",IF($L$12=0,"",IFERROR(IF(ISNUMBER(INDEX(PASTE_ALL,$DF154,$L$12)),INDEX(PASTE_ALL,$DF154,$L$12),TRIM(SUBSTITUTE(SUBSTITUTE(SUBSTITUTE(SUBSTITUTE(INDEX(PASTE_ALL,$DF154,$L$12)," "," "),CHAR(9)," "),CHAR(10)," "),CHAR(13)," "))),"")))</f>
        <v/>
      </c>
      <c r="DU154">
        <f>IF($DM154=0,"",IF($L$13=0,"",IFERROR(IF(ISNUMBER(INDEX(PASTE_ALL,$DF154,$L$13)),INDEX(PASTE_ALL,$DF154,$L$13),TRIM(SUBSTITUTE(SUBSTITUTE(SUBSTITUTE(SUBSTITUTE(INDEX(PASTE_ALL,$DF154,$L$13)," "," "),CHAR(9)," "),CHAR(10)," "),CHAR(13)," "))),"")))</f>
        <v/>
      </c>
      <c r="DV154">
        <f>IF($DM154=0,"",IF($L$14=0,"",IFERROR(IF(ISNUMBER(INDEX(PASTE_ALL,$DF154,$L$14)),INDEX(PASTE_ALL,$DF154,$L$14),TRIM(SUBSTITUTE(SUBSTITUTE(SUBSTITUTE(SUBSTITUTE(INDEX(PASTE_ALL,$DF154,$L$14)," "," "),CHAR(9)," "),CHAR(10)," "),CHAR(13)," "))),"")))</f>
        <v/>
      </c>
      <c r="DW154">
        <f>IF($DM154=0,"",IF($L$15=0,"",IFERROR(IF(ISNUMBER(INDEX(PASTE_ALL,$DF154,$L$15)),INDEX(PASTE_ALL,$DF154,$L$15),IF(SUMPRODUCT(--ISNUMBER(FIND({"A","B","C","D","E","F","G","H","I","J","K","L","M","N","O","P","Q","R","S","T","U","V","W","X","Y","Z","0","1","2","3","4","5","6","7","8","9"},UPPER(TRIM(SUBSTITUTE(SUBSTITUTE(SUBSTITUTE(SUBSTITUTE(INDEX(PASTE_ALL,$DF154,$L$15)," "," "),CHAR(9)," "),CHAR(10)," "),CHAR(13)," "))))))&gt;0,TRIM(SUBSTITUTE(SUBSTITUTE(SUBSTITUTE(SUBSTITUTE(INDEX(PASTE_ALL,$DF154,$L$15)," "," "),CHAR(9)," "),CHAR(10)," "),CHAR(13)," ")),"")),"")))</f>
        <v/>
      </c>
      <c r="DX154">
        <f>IF($DM154=0,"",IF($L$16=0,"",IFERROR(IF(ISNUMBER(INDEX(PASTE_ALL,$DF154,$L$16)),INDEX(PASTE_ALL,$DF154,$L$16),SUBSTITUTE(SUBSTITUTE(TRIM(SUBSTITUTE(SUBSTITUTE(SUBSTITUTE(SUBSTITUTE(INDEX(PASTE_ALL,$DF154,$L$16)," "," "),CHAR(9)," "),CHAR(10)," "),CHAR(13)," ")),",",""),"%","")),"")))</f>
        <v/>
      </c>
      <c r="DY154">
        <f>IF($DM154=0,"",IFERROR(IF(ISNUMBER($DX154),$DX154,IF($DX154="","",IF(TRIM($DX154)="",0,IF(AND(AND(SUBSTITUTE(SUBSTITUTE(SUBSTITUTE(SUBSTITUTE(SUBSTITUTE(SUBSTITUTE(SUBSTITUTE(SUBSTITUTE(SUBSTITUTE(SUBSTITUTE(SUBSTITUTE(SUBSTITUTE(SUBSTITUTE(SUBSTITUTE(UPPER(TRIM($DX154)),"0",""),"1",""),"2",""),"3",""),"4",""),"5",""),"6",""),"7",""),"8",""),"9",""),".",""),"+",""),"-",""),"E","")="",LEN(SUBSTITUTE(SUBSTITUTE(MID(UPPER(TRIM($DX154)),1+OR(LEFT(UPPER(TRIM($DX154)),1)="+",LEFT(UPPER(TRIM($DX154)),1)="-"),999),"E+","E"),"E-","E"))=LEN(SUBSTITUTE(SUBSTITUTE(SUBSTITUTE(SUBSTITUTE(MID(UPPER(TRIM($DX154)),1+OR(LEFT(UPPER(TRIM($DX154)),1)="+",LEFT(UPPER(TRIM($DX154)),1)="-"),999),"E+","E"),"E-","E"),"+",""),"-","")),LEN(UPPER(TRIM($DX154)))-LEN(SUBSTITUTE(UPPER(TRIM($DX154)),"E",""))&lt;2,LEN(UPPER(TRIM($DX154)))-LEN(SUBSTITUTE(UPPER(TRIM($DX154)),".",""))&lt;2,IFERROR(FIND(".",UPPER(TRIM($DX154))),0)&lt;IFERROR(FIND("E",UPPER(TRIM($DX154))),999)),ISNUMBER(VALUE(TRIM($DX154)))),VALUE(TRIM($DX154)),"")))),""))</f>
        <v/>
      </c>
      <c r="DZ154">
        <f>IF($DM154=0,"",IF($L$17=0,"",IFERROR(IF(ISNUMBER(INDEX(PASTE_ALL,$DF154,$L$17)),INDEX(PASTE_ALL,$DF154,$L$17),SUBSTITUTE(SUBSTITUTE(TRIM(SUBSTITUTE(SUBSTITUTE(SUBSTITUTE(SUBSTITUTE(INDEX(PASTE_ALL,$DF154,$L$17)," "," "),CHAR(9)," "),CHAR(10)," "),CHAR(13)," ")),",",""),"%","")),"")))</f>
        <v/>
      </c>
      <c r="EA154">
        <f>IF($DM154=0,"",IFERROR(IF(ISNUMBER($DZ154),$DZ154,IF($DZ154="","",IF(TRIM($DZ154)="",0,IF(AND(AND(SUBSTITUTE(SUBSTITUTE(SUBSTITUTE(SUBSTITUTE(SUBSTITUTE(SUBSTITUTE(SUBSTITUTE(SUBSTITUTE(SUBSTITUTE(SUBSTITUTE(SUBSTITUTE(SUBSTITUTE(SUBSTITUTE(SUBSTITUTE(UPPER(TRIM($DZ154)),"0",""),"1",""),"2",""),"3",""),"4",""),"5",""),"6",""),"7",""),"8",""),"9",""),".",""),"+",""),"-",""),"E","")="",LEN(SUBSTITUTE(SUBSTITUTE(MID(UPPER(TRIM($DZ154)),1+OR(LEFT(UPPER(TRIM($DZ154)),1)="+",LEFT(UPPER(TRIM($DZ154)),1)="-"),999),"E+","E"),"E-","E"))=LEN(SUBSTITUTE(SUBSTITUTE(SUBSTITUTE(SUBSTITUTE(MID(UPPER(TRIM($DZ154)),1+OR(LEFT(UPPER(TRIM($DZ154)),1)="+",LEFT(UPPER(TRIM($DZ154)),1)="-"),999),"E+","E"),"E-","E"),"+",""),"-","")),LEN(UPPER(TRIM($DZ154)))-LEN(SUBSTITUTE(UPPER(TRIM($DZ154)),"E",""))&lt;2,LEN(UPPER(TRIM($DZ154)))-LEN(SUBSTITUTE(UPPER(TRIM($DZ154)),".",""))&lt;2,IFERROR(FIND(".",UPPER(TRIM($DZ154))),0)&lt;IFERROR(FIND("E",UPPER(TRIM($DZ154))),999)),ISNUMBER(VALUE(TRIM($DZ154)))),VALUE(TRIM($DZ154)),"")))),""))</f>
        <v/>
      </c>
      <c r="EB154">
        <f>IF($DM154=0,"",IF($L$18=0,"",IFERROR(IF(UPPER(TRIM(SUBSTITUTE(SUBSTITUTE(SUBSTITUTE(SUBSTITUTE(INDEX(PASTE_ALL,$DF154,$L$18)," "," "),CHAR(9)," "),CHAR(10)," "),CHAR(13)," ")))="READY","Ready",IF(UPPER(TRIM(SUBSTITUTE(SUBSTITUTE(SUBSTITUTE(SUBSTITUTE(INDEX(PASTE_ALL,$DF154,$L$18)," "," "),CHAR(9)," "),CHAR(10)," "),CHAR(13)," ")))="PM","PM",IF(OR(UPPER(TRIM(SUBSTITUTE(SUBSTITUTE(SUBSTITUTE(SUBSTITUTE(INDEX(PASTE_ALL,$DF154,$L$18)," "," "),CHAR(9)," "),CHAR(10)," "),CHAR(13)," ")))="OT",UPPER(TRIM(SUBSTITUTE(SUBSTITUTE(SUBSTITUTE(SUBSTITUTE(INDEX(PASTE_ALL,$DF154,$L$18)," "," "),CHAR(9)," "),CHAR(10)," "),CHAR(13)," ")))="OVERTIME",UPPER(TRIM(SUBSTITUTE(SUBSTITUTE(SUBSTITUTE(SUBSTITUTE(INDEX(PASTE_ALL,$DF154,$L$18)," "," "),CHAR(9)," "),CHAR(10)," "),CHAR(13)," ")))="TRIAL"),"OT",TRIM(SUBSTITUTE(SUBSTITUTE(SUBSTITUTE(SUBSTITUTE(INDEX(PASTE_ALL,$DF154,$L$18)," "," "),CHAR(9)," "),CHAR(10)," "),CHAR(13)," "))))),"")))</f>
        <v/>
      </c>
      <c r="EC154">
        <f>IF($DM154=0,"",IF($L$19=0,"",IFERROR(IF(ISNUMBER(INDEX(PASTE_ALL,$DF154,$L$19)),INDEX(PASTE_ALL,$DF154,$L$19),TRIM(SUBSTITUTE(SUBSTITUTE(SUBSTITUTE(SUBSTITUTE(INDEX(PASTE_ALL,$DF154,$L$19)," "," "),CHAR(9)," "),CHAR(10)," "),CHAR(13)," "))),"")))</f>
        <v/>
      </c>
      <c r="ED154">
        <f>IF($DM154=0,"",MATCH(1,INDEX(EXACT($DH$5:DH154,$DH154)*$DM$5:DM154,0),0))</f>
        <v/>
      </c>
      <c r="EE154">
        <f>IF($DM154=0,0,IF($ED154=$DE154,1,0))</f>
        <v/>
      </c>
      <c r="EF154">
        <f>EF153+$EE154</f>
        <v/>
      </c>
      <c r="EG154">
        <f>IF($DM154=0,"",INDEX($EF$5:$EF$1003,$ED154))</f>
        <v/>
      </c>
      <c r="EH154">
        <f>IF($DM154=0,"",IF($DO154&lt;&gt;"","",IFERROR(LOOKUP(2,1/(($EG$4:EG153=$EG154)*($DO$4:DO153&lt;&gt;"")),$DO$4:DO153),"")))</f>
        <v/>
      </c>
      <c r="EI154">
        <f>IF($DM154=0,"",IF($DO154&lt;&gt;"",$DO154,$EH154))</f>
        <v/>
      </c>
      <c r="EJ154">
        <f>IF($DM154=0,"",IF($EI154="",0,IF(OR(ISNUMBER($EI154),AND(AND(SUBSTITUTE(SUBSTITUTE(SUBSTITUTE(SUBSTITUTE(SUBSTITUTE(SUBSTITUTE(SUBSTITUTE(SUBSTITUTE(SUBSTITUTE(SUBSTITUTE(SUBSTITUTE(SUBSTITUTE(SUBSTITUTE(SUBSTITUTE(UPPER($EI154),"0",""),"1",""),"2",""),"3",""),"4",""),"5",""),"6",""),"7",""),"8",""),"9",""),".",""),"+",""),"-",""),"E","")="",LEN(SUBSTITUTE(SUBSTITUTE(MID(UPPER($EI154),1+OR(LEFT(UPPER($EI154),1)="+",LEFT(UPPER($EI154),1)="-"),999),"E+","E"),"E-","E"))=LEN(SUBSTITUTE(SUBSTITUTE(SUBSTITUTE(SUBSTITUTE(MID(UPPER($EI154),1+OR(LEFT(UPPER($EI154),1)="+",LEFT(UPPER($EI154),1)="-"),999),"E+","E"),"E-","E"),"+",""),"-","")),LEN(UPPER($EI154))-LEN(SUBSTITUTE(UPPER($EI154),"E",""))&lt;2,LEN(UPPER($EI154))-LEN(SUBSTITUTE(UPPER($EI154),".",""))&lt;2,IFERROR(FIND(".",UPPER($EI154)),0)&lt;IFERROR(FIND("E",UPPER($EI154)),999)),ISNUMBER(VALUE($EI154)))),1,2)))</f>
        <v/>
      </c>
      <c r="EK154">
        <f>IF($DM154=0,"",IF($EJ154=1,IF(ISNUMBER($EI154),$EI154,VALUE($EI154)),IF($EJ154=2,$DE154,0)))</f>
        <v/>
      </c>
      <c r="EL154">
        <f>IF($DM154=0,"",COUNTIF($EG$5:$EG$1003,"&lt;"&amp;$EG154)+SUMPRODUCT(($EG$5:$EG$1003=$EG154)*(($EJ$5:$EJ$1003&lt;$EJ154)+($EJ$5:$EJ$1003=$EJ154)*(($EK$5:$EK$1003&lt;$EK154)+($EK$5:$EK$1003=$EK154)*($DE$5:$DE$1003&lt;$DE154))))+1)</f>
        <v/>
      </c>
      <c r="EM154">
        <f>IF($DM154=0,"",$EL154+$EG154-1)</f>
        <v/>
      </c>
      <c r="EN154">
        <f>IF($DM154=0,0,IFERROR(MATCH(1,INDEX(--(TRIM(SUBSTITUTE(SUBSTITUTE(SUBSTITUTE(SUBSTITUTE(LINES_NAME&amp;""," "," "),CHAR(9)," "),CHAR(10)," "),CHAR(13)," "))=$DH154),0),0),0))</f>
        <v/>
      </c>
      <c r="EO154">
        <f>IF($EN154=0,0,IF(OR(UPPER(TRIM(INDEX(LINES_SCHEDULED,$EN154)&amp;""))="YES",UPPER(TRIM(INDEX(LINES_SCHEDULED,$EN154)&amp;""))="Y",UPPER(TRIM(INDEX(LINES_SCHEDULED,$EN154)&amp;""))="X"),1,0))</f>
        <v/>
      </c>
      <c r="EP154">
        <f>IF($DM154=0,"",IF(COUNTIFS($EG$5:$EG$1003,$EG154,$EB$5:$EB$1003,"Ready")&gt;0,"READY",IF(COUNTIFS($EG$5:$EG$1003,$EG154,$EB$5:$EB$1003,"PM")&gt;0,"PM",IF(COUNTIFS($EG$5:$EG$1003,$EG154,$EB$5:$EB$1003,"OT")&gt;0,"OT",""))))</f>
        <v/>
      </c>
      <c r="EQ154">
        <f>IF($EN154=0,"",UPPER(TRIM(INDEX(LINES_STATUS,$EN154)&amp;"")))</f>
        <v/>
      </c>
      <c r="ER154">
        <f>IF($DM154=0,"",IF(OR($EQ154="READY",$EQ154="PM",$EQ154="OT"),$EQ154,$EP154))</f>
        <v/>
      </c>
      <c r="ES154">
        <f>IF($DM154=0,"",IF(AND($DV154&lt;&gt;"",UPPER($DV154)&lt;&gt;"N"),"allergen",IF(ISNUMBER(SEARCH("oil",$DQ154)),"oil",IF(OR(EXACT($DS154,"A662"),EXACT($DS154,"A624")),"bulk",""))))</f>
        <v/>
      </c>
      <c r="ET154">
        <f>IF($DM154=0,"",IF(OR($EA154="",$EA154=0),"",$EA154/100))</f>
        <v/>
      </c>
      <c r="EU154">
        <f>IF(OR($ET154="",$DY154=""),"",INT($DY154*(1-$ET154)+0.5))</f>
        <v/>
      </c>
      <c r="EW154" t="n">
        <v>150</v>
      </c>
      <c r="EX154">
        <f>IFERROR(MATCH($EW154,$EM$5:$EM$1003,0),0)</f>
        <v/>
      </c>
      <c r="EY154">
        <f>IF($EW154&gt;$B$12,"",IF($EX154&gt;0,"row","spacer"))</f>
        <v/>
      </c>
      <c r="EZ154">
        <f>IF(AND($EY154="row",$EY153&lt;&gt;"row"),1,0)</f>
        <v/>
      </c>
      <c r="FA154">
        <f>IF(AND($EY154="row",$EY155&lt;&gt;"row"),1,0)</f>
        <v/>
      </c>
      <c r="FB154">
        <f>IF($EZ154=1,IFERROR(IF(ISNUMBER(INDEX(PASTE_ALL,INDEX($DF$5:$DF$1003,$EX154),$B$37)),INDEX(PASTE_ALL,INDEX($DF$5:$DF$1003,$EX154),$B$37),INDEX($DH$5:$DH$1003,$EX154)),INDEX($DH$5:$DH$1003,$EX154)),"")</f>
        <v/>
      </c>
      <c r="FC154">
        <f>IF($EY154="row",INDEX($ER$5:$ER$1003,$EX154),"")</f>
        <v/>
      </c>
      <c r="FD154">
        <f>IF($EY154="row",INDEX($DN$5:$DN$1003,$EX154),"")</f>
        <v/>
      </c>
      <c r="FE154">
        <f>IF($EY154="row",INDEX($DO$5:$DO$1003,$EX154),"")</f>
        <v/>
      </c>
      <c r="FF154">
        <f>IF($EY154="row",INDEX($DP$5:$DP$1003,$EX154),"")</f>
        <v/>
      </c>
      <c r="FG154">
        <f>IF($EY154="row",INDEX($DQ$5:$DQ$1003,$EX154),"")</f>
        <v/>
      </c>
      <c r="FH154">
        <f>IF($EY154="row",INDEX($DR$5:$DR$1003,$EX154),"")</f>
        <v/>
      </c>
      <c r="FI154">
        <f>IF($EY154="row",INDEX($DS$5:$DS$1003,$EX154),"")</f>
        <v/>
      </c>
      <c r="FJ154">
        <f>IF($EY154="row",INDEX($DT$5:$DT$1003,$EX154),"")</f>
        <v/>
      </c>
      <c r="FK154">
        <f>IF($EY154="row",INDEX($DU$5:$DU$1003,$EX154),"")</f>
        <v/>
      </c>
      <c r="FL154">
        <f>IF($EY154="row",INDEX($DV$5:$DV$1003,$EX154),"")</f>
        <v/>
      </c>
      <c r="FM154">
        <f>IF($EY154="row",INDEX($DW$5:$DW$1003,$EX154),"")</f>
        <v/>
      </c>
      <c r="FN154">
        <f>IF($EY154="row",INDEX($DY$5:$DY$1003,$EX154),"")</f>
        <v/>
      </c>
      <c r="FO154">
        <f>IF($EY154="row",INDEX($EA$5:$EA$1003,$EX154),"")</f>
        <v/>
      </c>
      <c r="FP154">
        <f>IF($EY154="row",INDEX($EC$5:$EC$1003,$EX154),"")</f>
        <v/>
      </c>
      <c r="FQ154">
        <f>IF($EY154="row",INDEX($ET$5:$ET$1003,$EX154),"")</f>
        <v/>
      </c>
      <c r="FR154">
        <f>IF($EY154="row",INDEX($EU$5:$EU$1003,$EX154),"")</f>
        <v/>
      </c>
      <c r="FS154">
        <f>IF(AND($EY154="row",$EY153="row"),IF(OR(INDEX($DT$5:$DT$1003,$EX153)="",INDEX($DT$5:$DT$1003,$EX154)=""),"",IF(NOT(EXACT(INDEX($DT$5:$DT$1003,$EX153),INDEX($DT$5:$DT$1003,$EX154))),"S4",IF(NOT(EXACT(INDEX($DS$5:$DS$1003,$EX153),INDEX($DS$5:$DS$1003,$EX154))),"S3",IF(NOT(EXACT(INDEX($DR$5:$DR$1003,$EX153),INDEX($DR$5:$DR$1003,$EX154))),"S1 Count Change","S1")))),"")</f>
        <v/>
      </c>
      <c r="FT154">
        <f>IF($EY154="row",INDEX($ES$5:$ES$1003,$EX154),"")</f>
        <v/>
      </c>
      <c r="FU154">
        <f>IF($EY154="row",INDEX($EO$5:$EO$1003,$EX154),0)</f>
        <v/>
      </c>
      <c r="FV154">
        <f>IF($FS154="S1 Count Change",1,0)</f>
        <v/>
      </c>
    </row>
    <row r="155">
      <c r="Y155">
        <f>IF(Y20="",0,2*(OR(ISNUMBER(FIND("WORKCENTER",Y20)),AND(LEFT(Y20,4)="LINE",NOT(ISNUMBER(FIND("STATUS",Y20))))))+4*(OR(ISNUMBER(FIND("WORKORDER",Y20)),AND(LEFT(Y20,2)="WO",OR(ISNUMBER(FIND("NUM",Y20)),RIGHT(Y20,2)="NO"))))+8*(LEFT(Y20,3)="SEQ")+16*(AND(LEFT(Y20,4)="ITEM",NOT(ISNUMBER(FIND("DESC",Y20)))))+32*(AND(ISNUMBER(FIND("DESC",Y20)),NOT(ISNUMBER(FIND("CAP",Y20)))))+64*(OR(RIGHT(Y20,5)="COUNT",RIGHT(Y20,2)="CT"))+128*(ISNUMBER(FIND("BULK",Y20)))+256*(ISNUMBER(FIND("SIZE",Y20)))+512*(LEFT(Y20,3)="CAP")+1024*(ISNUMBER(FIND("ALLERG",Y20)))+2048*(OR(ISNUMBER(FIND("REMARK",Y20)),ISNUMBER(FIND("COMMENT",Y20))))+4096*(OR(ISNUMBER(FIND("QTY",Y20)),ISNUMBER(FIND("QUANTITY",Y20))))+8192*(AND(OR(ISNUMBER(FIND("COMPLETE",Y20)),ISNUMBER(FIND("PCT",Y20)),ISNUMBER(FIND("PERCENT",Y20))),NOT(ISNUMBER(FIND("ACTUAL",Y20))),LEN(Y20)&lt;=16))+32768*(OR(ISNUMBER(FIND("DESIC",Y20)),ISNUMBER(FIND("DESSIC",Y20)))))</f>
        <v/>
      </c>
      <c r="Z155">
        <f>IF(Z20="",0,2*(OR(ISNUMBER(FIND("WORKCENTER",Z20)),AND(LEFT(Z20,4)="LINE",NOT(ISNUMBER(FIND("STATUS",Z20))))))+4*(OR(ISNUMBER(FIND("WORKORDER",Z20)),AND(LEFT(Z20,2)="WO",OR(ISNUMBER(FIND("NUM",Z20)),RIGHT(Z20,2)="NO"))))+8*(LEFT(Z20,3)="SEQ")+16*(AND(LEFT(Z20,4)="ITEM",NOT(ISNUMBER(FIND("DESC",Z20)))))+32*(AND(ISNUMBER(FIND("DESC",Z20)),NOT(ISNUMBER(FIND("CAP",Z20)))))+64*(OR(RIGHT(Z20,5)="COUNT",RIGHT(Z20,2)="CT"))+128*(ISNUMBER(FIND("BULK",Z20)))+256*(ISNUMBER(FIND("SIZE",Z20)))+512*(LEFT(Z20,3)="CAP")+1024*(ISNUMBER(FIND("ALLERG",Z20)))+2048*(OR(ISNUMBER(FIND("REMARK",Z20)),ISNUMBER(FIND("COMMENT",Z20))))+4096*(OR(ISNUMBER(FIND("QTY",Z20)),ISNUMBER(FIND("QUANTITY",Z20))))+8192*(AND(OR(ISNUMBER(FIND("COMPLETE",Z20)),ISNUMBER(FIND("PCT",Z20)),ISNUMBER(FIND("PERCENT",Z20))),NOT(ISNUMBER(FIND("ACTUAL",Z20))),LEN(Z20)&lt;=16))+32768*(OR(ISNUMBER(FIND("DESIC",Z20)),ISNUMBER(FIND("DESSIC",Z20)))))</f>
        <v/>
      </c>
      <c r="AA155">
        <f>IF(AA20="",0,2*(OR(ISNUMBER(FIND("WORKCENTER",AA20)),AND(LEFT(AA20,4)="LINE",NOT(ISNUMBER(FIND("STATUS",AA20))))))+4*(OR(ISNUMBER(FIND("WORKORDER",AA20)),AND(LEFT(AA20,2)="WO",OR(ISNUMBER(FIND("NUM",AA20)),RIGHT(AA20,2)="NO"))))+8*(LEFT(AA20,3)="SEQ")+16*(AND(LEFT(AA20,4)="ITEM",NOT(ISNUMBER(FIND("DESC",AA20)))))+32*(AND(ISNUMBER(FIND("DESC",AA20)),NOT(ISNUMBER(FIND("CAP",AA20)))))+64*(OR(RIGHT(AA20,5)="COUNT",RIGHT(AA20,2)="CT"))+128*(ISNUMBER(FIND("BULK",AA20)))+256*(ISNUMBER(FIND("SIZE",AA20)))+512*(LEFT(AA20,3)="CAP")+1024*(ISNUMBER(FIND("ALLERG",AA20)))+2048*(OR(ISNUMBER(FIND("REMARK",AA20)),ISNUMBER(FIND("COMMENT",AA20))))+4096*(OR(ISNUMBER(FIND("QTY",AA20)),ISNUMBER(FIND("QUANTITY",AA20))))+8192*(AND(OR(ISNUMBER(FIND("COMPLETE",AA20)),ISNUMBER(FIND("PCT",AA20)),ISNUMBER(FIND("PERCENT",AA20))),NOT(ISNUMBER(FIND("ACTUAL",AA20))),LEN(AA20)&lt;=16))+32768*(OR(ISNUMBER(FIND("DESIC",AA20)),ISNUMBER(FIND("DESSIC",AA20)))))</f>
        <v/>
      </c>
      <c r="AB155">
        <f>IF(AB20="",0,2*(OR(ISNUMBER(FIND("WORKCENTER",AB20)),AND(LEFT(AB20,4)="LINE",NOT(ISNUMBER(FIND("STATUS",AB20))))))+4*(OR(ISNUMBER(FIND("WORKORDER",AB20)),AND(LEFT(AB20,2)="WO",OR(ISNUMBER(FIND("NUM",AB20)),RIGHT(AB20,2)="NO"))))+8*(LEFT(AB20,3)="SEQ")+16*(AND(LEFT(AB20,4)="ITEM",NOT(ISNUMBER(FIND("DESC",AB20)))))+32*(AND(ISNUMBER(FIND("DESC",AB20)),NOT(ISNUMBER(FIND("CAP",AB20)))))+64*(OR(RIGHT(AB20,5)="COUNT",RIGHT(AB20,2)="CT"))+128*(ISNUMBER(FIND("BULK",AB20)))+256*(ISNUMBER(FIND("SIZE",AB20)))+512*(LEFT(AB20,3)="CAP")+1024*(ISNUMBER(FIND("ALLERG",AB20)))+2048*(OR(ISNUMBER(FIND("REMARK",AB20)),ISNUMBER(FIND("COMMENT",AB20))))+4096*(OR(ISNUMBER(FIND("QTY",AB20)),ISNUMBER(FIND("QUANTITY",AB20))))+8192*(AND(OR(ISNUMBER(FIND("COMPLETE",AB20)),ISNUMBER(FIND("PCT",AB20)),ISNUMBER(FIND("PERCENT",AB20))),NOT(ISNUMBER(FIND("ACTUAL",AB20))),LEN(AB20)&lt;=16))+32768*(OR(ISNUMBER(FIND("DESIC",AB20)),ISNUMBER(FIND("DESSIC",AB20)))))</f>
        <v/>
      </c>
      <c r="AC155">
        <f>IF(AC20="",0,2*(OR(ISNUMBER(FIND("WORKCENTER",AC20)),AND(LEFT(AC20,4)="LINE",NOT(ISNUMBER(FIND("STATUS",AC20))))))+4*(OR(ISNUMBER(FIND("WORKORDER",AC20)),AND(LEFT(AC20,2)="WO",OR(ISNUMBER(FIND("NUM",AC20)),RIGHT(AC20,2)="NO"))))+8*(LEFT(AC20,3)="SEQ")+16*(AND(LEFT(AC20,4)="ITEM",NOT(ISNUMBER(FIND("DESC",AC20)))))+32*(AND(ISNUMBER(FIND("DESC",AC20)),NOT(ISNUMBER(FIND("CAP",AC20)))))+64*(OR(RIGHT(AC20,5)="COUNT",RIGHT(AC20,2)="CT"))+128*(ISNUMBER(FIND("BULK",AC20)))+256*(ISNUMBER(FIND("SIZE",AC20)))+512*(LEFT(AC20,3)="CAP")+1024*(ISNUMBER(FIND("ALLERG",AC20)))+2048*(OR(ISNUMBER(FIND("REMARK",AC20)),ISNUMBER(FIND("COMMENT",AC20))))+4096*(OR(ISNUMBER(FIND("QTY",AC20)),ISNUMBER(FIND("QUANTITY",AC20))))+8192*(AND(OR(ISNUMBER(FIND("COMPLETE",AC20)),ISNUMBER(FIND("PCT",AC20)),ISNUMBER(FIND("PERCENT",AC20))),NOT(ISNUMBER(FIND("ACTUAL",AC20))),LEN(AC20)&lt;=16))+32768*(OR(ISNUMBER(FIND("DESIC",AC20)),ISNUMBER(FIND("DESSIC",AC20)))))</f>
        <v/>
      </c>
      <c r="AD155">
        <f>IF(AD20="",0,2*(OR(ISNUMBER(FIND("WORKCENTER",AD20)),AND(LEFT(AD20,4)="LINE",NOT(ISNUMBER(FIND("STATUS",AD20))))))+4*(OR(ISNUMBER(FIND("WORKORDER",AD20)),AND(LEFT(AD20,2)="WO",OR(ISNUMBER(FIND("NUM",AD20)),RIGHT(AD20,2)="NO"))))+8*(LEFT(AD20,3)="SEQ")+16*(AND(LEFT(AD20,4)="ITEM",NOT(ISNUMBER(FIND("DESC",AD20)))))+32*(AND(ISNUMBER(FIND("DESC",AD20)),NOT(ISNUMBER(FIND("CAP",AD20)))))+64*(OR(RIGHT(AD20,5)="COUNT",RIGHT(AD20,2)="CT"))+128*(ISNUMBER(FIND("BULK",AD20)))+256*(ISNUMBER(FIND("SIZE",AD20)))+512*(LEFT(AD20,3)="CAP")+1024*(ISNUMBER(FIND("ALLERG",AD20)))+2048*(OR(ISNUMBER(FIND("REMARK",AD20)),ISNUMBER(FIND("COMMENT",AD20))))+4096*(OR(ISNUMBER(FIND("QTY",AD20)),ISNUMBER(FIND("QUANTITY",AD20))))+8192*(AND(OR(ISNUMBER(FIND("COMPLETE",AD20)),ISNUMBER(FIND("PCT",AD20)),ISNUMBER(FIND("PERCENT",AD20))),NOT(ISNUMBER(FIND("ACTUAL",AD20))),LEN(AD20)&lt;=16))+32768*(OR(ISNUMBER(FIND("DESIC",AD20)),ISNUMBER(FIND("DESSIC",AD20)))))</f>
        <v/>
      </c>
      <c r="AE155">
        <f>IF(AE20="",0,2*(OR(ISNUMBER(FIND("WORKCENTER",AE20)),AND(LEFT(AE20,4)="LINE",NOT(ISNUMBER(FIND("STATUS",AE20))))))+4*(OR(ISNUMBER(FIND("WORKORDER",AE20)),AND(LEFT(AE20,2)="WO",OR(ISNUMBER(FIND("NUM",AE20)),RIGHT(AE20,2)="NO"))))+8*(LEFT(AE20,3)="SEQ")+16*(AND(LEFT(AE20,4)="ITEM",NOT(ISNUMBER(FIND("DESC",AE20)))))+32*(AND(ISNUMBER(FIND("DESC",AE20)),NOT(ISNUMBER(FIND("CAP",AE20)))))+64*(OR(RIGHT(AE20,5)="COUNT",RIGHT(AE20,2)="CT"))+128*(ISNUMBER(FIND("BULK",AE20)))+256*(ISNUMBER(FIND("SIZE",AE20)))+512*(LEFT(AE20,3)="CAP")+1024*(ISNUMBER(FIND("ALLERG",AE20)))+2048*(OR(ISNUMBER(FIND("REMARK",AE20)),ISNUMBER(FIND("COMMENT",AE20))))+4096*(OR(ISNUMBER(FIND("QTY",AE20)),ISNUMBER(FIND("QUANTITY",AE20))))+8192*(AND(OR(ISNUMBER(FIND("COMPLETE",AE20)),ISNUMBER(FIND("PCT",AE20)),ISNUMBER(FIND("PERCENT",AE20))),NOT(ISNUMBER(FIND("ACTUAL",AE20))),LEN(AE20)&lt;=16))+32768*(OR(ISNUMBER(FIND("DESIC",AE20)),ISNUMBER(FIND("DESSIC",AE20)))))</f>
        <v/>
      </c>
      <c r="AF155">
        <f>IF(AF20="",0,2*(OR(ISNUMBER(FIND("WORKCENTER",AF20)),AND(LEFT(AF20,4)="LINE",NOT(ISNUMBER(FIND("STATUS",AF20))))))+4*(OR(ISNUMBER(FIND("WORKORDER",AF20)),AND(LEFT(AF20,2)="WO",OR(ISNUMBER(FIND("NUM",AF20)),RIGHT(AF20,2)="NO"))))+8*(LEFT(AF20,3)="SEQ")+16*(AND(LEFT(AF20,4)="ITEM",NOT(ISNUMBER(FIND("DESC",AF20)))))+32*(AND(ISNUMBER(FIND("DESC",AF20)),NOT(ISNUMBER(FIND("CAP",AF20)))))+64*(OR(RIGHT(AF20,5)="COUNT",RIGHT(AF20,2)="CT"))+128*(ISNUMBER(FIND("BULK",AF20)))+256*(ISNUMBER(FIND("SIZE",AF20)))+512*(LEFT(AF20,3)="CAP")+1024*(ISNUMBER(FIND("ALLERG",AF20)))+2048*(OR(ISNUMBER(FIND("REMARK",AF20)),ISNUMBER(FIND("COMMENT",AF20))))+4096*(OR(ISNUMBER(FIND("QTY",AF20)),ISNUMBER(FIND("QUANTITY",AF20))))+8192*(AND(OR(ISNUMBER(FIND("COMPLETE",AF20)),ISNUMBER(FIND("PCT",AF20)),ISNUMBER(FIND("PERCENT",AF20))),NOT(ISNUMBER(FIND("ACTUAL",AF20))),LEN(AF20)&lt;=16))+32768*(OR(ISNUMBER(FIND("DESIC",AF20)),ISNUMBER(FIND("DESSIC",AF20)))))</f>
        <v/>
      </c>
      <c r="AG155">
        <f>IF(AG20="",0,2*(OR(ISNUMBER(FIND("WORKCENTER",AG20)),AND(LEFT(AG20,4)="LINE",NOT(ISNUMBER(FIND("STATUS",AG20))))))+4*(OR(ISNUMBER(FIND("WORKORDER",AG20)),AND(LEFT(AG20,2)="WO",OR(ISNUMBER(FIND("NUM",AG20)),RIGHT(AG20,2)="NO"))))+8*(LEFT(AG20,3)="SEQ")+16*(AND(LEFT(AG20,4)="ITEM",NOT(ISNUMBER(FIND("DESC",AG20)))))+32*(AND(ISNUMBER(FIND("DESC",AG20)),NOT(ISNUMBER(FIND("CAP",AG20)))))+64*(OR(RIGHT(AG20,5)="COUNT",RIGHT(AG20,2)="CT"))+128*(ISNUMBER(FIND("BULK",AG20)))+256*(ISNUMBER(FIND("SIZE",AG20)))+512*(LEFT(AG20,3)="CAP")+1024*(ISNUMBER(FIND("ALLERG",AG20)))+2048*(OR(ISNUMBER(FIND("REMARK",AG20)),ISNUMBER(FIND("COMMENT",AG20))))+4096*(OR(ISNUMBER(FIND("QTY",AG20)),ISNUMBER(FIND("QUANTITY",AG20))))+8192*(AND(OR(ISNUMBER(FIND("COMPLETE",AG20)),ISNUMBER(FIND("PCT",AG20)),ISNUMBER(FIND("PERCENT",AG20))),NOT(ISNUMBER(FIND("ACTUAL",AG20))),LEN(AG20)&lt;=16))+32768*(OR(ISNUMBER(FIND("DESIC",AG20)),ISNUMBER(FIND("DESSIC",AG20)))))</f>
        <v/>
      </c>
      <c r="AH155">
        <f>IF(AH20="",0,2*(OR(ISNUMBER(FIND("WORKCENTER",AH20)),AND(LEFT(AH20,4)="LINE",NOT(ISNUMBER(FIND("STATUS",AH20))))))+4*(OR(ISNUMBER(FIND("WORKORDER",AH20)),AND(LEFT(AH20,2)="WO",OR(ISNUMBER(FIND("NUM",AH20)),RIGHT(AH20,2)="NO"))))+8*(LEFT(AH20,3)="SEQ")+16*(AND(LEFT(AH20,4)="ITEM",NOT(ISNUMBER(FIND("DESC",AH20)))))+32*(AND(ISNUMBER(FIND("DESC",AH20)),NOT(ISNUMBER(FIND("CAP",AH20)))))+64*(OR(RIGHT(AH20,5)="COUNT",RIGHT(AH20,2)="CT"))+128*(ISNUMBER(FIND("BULK",AH20)))+256*(ISNUMBER(FIND("SIZE",AH20)))+512*(LEFT(AH20,3)="CAP")+1024*(ISNUMBER(FIND("ALLERG",AH20)))+2048*(OR(ISNUMBER(FIND("REMARK",AH20)),ISNUMBER(FIND("COMMENT",AH20))))+4096*(OR(ISNUMBER(FIND("QTY",AH20)),ISNUMBER(FIND("QUANTITY",AH20))))+8192*(AND(OR(ISNUMBER(FIND("COMPLETE",AH20)),ISNUMBER(FIND("PCT",AH20)),ISNUMBER(FIND("PERCENT",AH20))),NOT(ISNUMBER(FIND("ACTUAL",AH20))),LEN(AH20)&lt;=16))+32768*(OR(ISNUMBER(FIND("DESIC",AH20)),ISNUMBER(FIND("DESSIC",AH20)))))</f>
        <v/>
      </c>
      <c r="AI155">
        <f>IF(AI20="",0,2*(OR(ISNUMBER(FIND("WORKCENTER",AI20)),AND(LEFT(AI20,4)="LINE",NOT(ISNUMBER(FIND("STATUS",AI20))))))+4*(OR(ISNUMBER(FIND("WORKORDER",AI20)),AND(LEFT(AI20,2)="WO",OR(ISNUMBER(FIND("NUM",AI20)),RIGHT(AI20,2)="NO"))))+8*(LEFT(AI20,3)="SEQ")+16*(AND(LEFT(AI20,4)="ITEM",NOT(ISNUMBER(FIND("DESC",AI20)))))+32*(AND(ISNUMBER(FIND("DESC",AI20)),NOT(ISNUMBER(FIND("CAP",AI20)))))+64*(OR(RIGHT(AI20,5)="COUNT",RIGHT(AI20,2)="CT"))+128*(ISNUMBER(FIND("BULK",AI20)))+256*(ISNUMBER(FIND("SIZE",AI20)))+512*(LEFT(AI20,3)="CAP")+1024*(ISNUMBER(FIND("ALLERG",AI20)))+2048*(OR(ISNUMBER(FIND("REMARK",AI20)),ISNUMBER(FIND("COMMENT",AI20))))+4096*(OR(ISNUMBER(FIND("QTY",AI20)),ISNUMBER(FIND("QUANTITY",AI20))))+8192*(AND(OR(ISNUMBER(FIND("COMPLETE",AI20)),ISNUMBER(FIND("PCT",AI20)),ISNUMBER(FIND("PERCENT",AI20))),NOT(ISNUMBER(FIND("ACTUAL",AI20))),LEN(AI20)&lt;=16))+32768*(OR(ISNUMBER(FIND("DESIC",AI20)),ISNUMBER(FIND("DESSIC",AI20)))))</f>
        <v/>
      </c>
      <c r="AJ155">
        <f>IF(AJ20="",0,2*(OR(ISNUMBER(FIND("WORKCENTER",AJ20)),AND(LEFT(AJ20,4)="LINE",NOT(ISNUMBER(FIND("STATUS",AJ20))))))+4*(OR(ISNUMBER(FIND("WORKORDER",AJ20)),AND(LEFT(AJ20,2)="WO",OR(ISNUMBER(FIND("NUM",AJ20)),RIGHT(AJ20,2)="NO"))))+8*(LEFT(AJ20,3)="SEQ")+16*(AND(LEFT(AJ20,4)="ITEM",NOT(ISNUMBER(FIND("DESC",AJ20)))))+32*(AND(ISNUMBER(FIND("DESC",AJ20)),NOT(ISNUMBER(FIND("CAP",AJ20)))))+64*(OR(RIGHT(AJ20,5)="COUNT",RIGHT(AJ20,2)="CT"))+128*(ISNUMBER(FIND("BULK",AJ20)))+256*(ISNUMBER(FIND("SIZE",AJ20)))+512*(LEFT(AJ20,3)="CAP")+1024*(ISNUMBER(FIND("ALLERG",AJ20)))+2048*(OR(ISNUMBER(FIND("REMARK",AJ20)),ISNUMBER(FIND("COMMENT",AJ20))))+4096*(OR(ISNUMBER(FIND("QTY",AJ20)),ISNUMBER(FIND("QUANTITY",AJ20))))+8192*(AND(OR(ISNUMBER(FIND("COMPLETE",AJ20)),ISNUMBER(FIND("PCT",AJ20)),ISNUMBER(FIND("PERCENT",AJ20))),NOT(ISNUMBER(FIND("ACTUAL",AJ20))),LEN(AJ20)&lt;=16))+32768*(OR(ISNUMBER(FIND("DESIC",AJ20)),ISNUMBER(FIND("DESSIC",AJ20)))))</f>
        <v/>
      </c>
      <c r="AK155">
        <f>IF(AK20="",0,2*(OR(ISNUMBER(FIND("WORKCENTER",AK20)),AND(LEFT(AK20,4)="LINE",NOT(ISNUMBER(FIND("STATUS",AK20))))))+4*(OR(ISNUMBER(FIND("WORKORDER",AK20)),AND(LEFT(AK20,2)="WO",OR(ISNUMBER(FIND("NUM",AK20)),RIGHT(AK20,2)="NO"))))+8*(LEFT(AK20,3)="SEQ")+16*(AND(LEFT(AK20,4)="ITEM",NOT(ISNUMBER(FIND("DESC",AK20)))))+32*(AND(ISNUMBER(FIND("DESC",AK20)),NOT(ISNUMBER(FIND("CAP",AK20)))))+64*(OR(RIGHT(AK20,5)="COUNT",RIGHT(AK20,2)="CT"))+128*(ISNUMBER(FIND("BULK",AK20)))+256*(ISNUMBER(FIND("SIZE",AK20)))+512*(LEFT(AK20,3)="CAP")+1024*(ISNUMBER(FIND("ALLERG",AK20)))+2048*(OR(ISNUMBER(FIND("REMARK",AK20)),ISNUMBER(FIND("COMMENT",AK20))))+4096*(OR(ISNUMBER(FIND("QTY",AK20)),ISNUMBER(FIND("QUANTITY",AK20))))+8192*(AND(OR(ISNUMBER(FIND("COMPLETE",AK20)),ISNUMBER(FIND("PCT",AK20)),ISNUMBER(FIND("PERCENT",AK20))),NOT(ISNUMBER(FIND("ACTUAL",AK20))),LEN(AK20)&lt;=16))+32768*(OR(ISNUMBER(FIND("DESIC",AK20)),ISNUMBER(FIND("DESSIC",AK20)))))</f>
        <v/>
      </c>
      <c r="AL155">
        <f>IF(AL20="",0,2*(OR(ISNUMBER(FIND("WORKCENTER",AL20)),AND(LEFT(AL20,4)="LINE",NOT(ISNUMBER(FIND("STATUS",AL20))))))+4*(OR(ISNUMBER(FIND("WORKORDER",AL20)),AND(LEFT(AL20,2)="WO",OR(ISNUMBER(FIND("NUM",AL20)),RIGHT(AL20,2)="NO"))))+8*(LEFT(AL20,3)="SEQ")+16*(AND(LEFT(AL20,4)="ITEM",NOT(ISNUMBER(FIND("DESC",AL20)))))+32*(AND(ISNUMBER(FIND("DESC",AL20)),NOT(ISNUMBER(FIND("CAP",AL20)))))+64*(OR(RIGHT(AL20,5)="COUNT",RIGHT(AL20,2)="CT"))+128*(ISNUMBER(FIND("BULK",AL20)))+256*(ISNUMBER(FIND("SIZE",AL20)))+512*(LEFT(AL20,3)="CAP")+1024*(ISNUMBER(FIND("ALLERG",AL20)))+2048*(OR(ISNUMBER(FIND("REMARK",AL20)),ISNUMBER(FIND("COMMENT",AL20))))+4096*(OR(ISNUMBER(FIND("QTY",AL20)),ISNUMBER(FIND("QUANTITY",AL20))))+8192*(AND(OR(ISNUMBER(FIND("COMPLETE",AL20)),ISNUMBER(FIND("PCT",AL20)),ISNUMBER(FIND("PERCENT",AL20))),NOT(ISNUMBER(FIND("ACTUAL",AL20))),LEN(AL20)&lt;=16))+32768*(OR(ISNUMBER(FIND("DESIC",AL20)),ISNUMBER(FIND("DESSIC",AL20)))))</f>
        <v/>
      </c>
      <c r="AM155">
        <f>IF(AM20="",0,2*(OR(ISNUMBER(FIND("WORKCENTER",AM20)),AND(LEFT(AM20,4)="LINE",NOT(ISNUMBER(FIND("STATUS",AM20))))))+4*(OR(ISNUMBER(FIND("WORKORDER",AM20)),AND(LEFT(AM20,2)="WO",OR(ISNUMBER(FIND("NUM",AM20)),RIGHT(AM20,2)="NO"))))+8*(LEFT(AM20,3)="SEQ")+16*(AND(LEFT(AM20,4)="ITEM",NOT(ISNUMBER(FIND("DESC",AM20)))))+32*(AND(ISNUMBER(FIND("DESC",AM20)),NOT(ISNUMBER(FIND("CAP",AM20)))))+64*(OR(RIGHT(AM20,5)="COUNT",RIGHT(AM20,2)="CT"))+128*(ISNUMBER(FIND("BULK",AM20)))+256*(ISNUMBER(FIND("SIZE",AM20)))+512*(LEFT(AM20,3)="CAP")+1024*(ISNUMBER(FIND("ALLERG",AM20)))+2048*(OR(ISNUMBER(FIND("REMARK",AM20)),ISNUMBER(FIND("COMMENT",AM20))))+4096*(OR(ISNUMBER(FIND("QTY",AM20)),ISNUMBER(FIND("QUANTITY",AM20))))+8192*(AND(OR(ISNUMBER(FIND("COMPLETE",AM20)),ISNUMBER(FIND("PCT",AM20)),ISNUMBER(FIND("PERCENT",AM20))),NOT(ISNUMBER(FIND("ACTUAL",AM20))),LEN(AM20)&lt;=16))+32768*(OR(ISNUMBER(FIND("DESIC",AM20)),ISNUMBER(FIND("DESSIC",AM20)))))</f>
        <v/>
      </c>
      <c r="AN155">
        <f>IF(AN20="",0,2*(OR(ISNUMBER(FIND("WORKCENTER",AN20)),AND(LEFT(AN20,4)="LINE",NOT(ISNUMBER(FIND("STATUS",AN20))))))+4*(OR(ISNUMBER(FIND("WORKORDER",AN20)),AND(LEFT(AN20,2)="WO",OR(ISNUMBER(FIND("NUM",AN20)),RIGHT(AN20,2)="NO"))))+8*(LEFT(AN20,3)="SEQ")+16*(AND(LEFT(AN20,4)="ITEM",NOT(ISNUMBER(FIND("DESC",AN20)))))+32*(AND(ISNUMBER(FIND("DESC",AN20)),NOT(ISNUMBER(FIND("CAP",AN20)))))+64*(OR(RIGHT(AN20,5)="COUNT",RIGHT(AN20,2)="CT"))+128*(ISNUMBER(FIND("BULK",AN20)))+256*(ISNUMBER(FIND("SIZE",AN20)))+512*(LEFT(AN20,3)="CAP")+1024*(ISNUMBER(FIND("ALLERG",AN20)))+2048*(OR(ISNUMBER(FIND("REMARK",AN20)),ISNUMBER(FIND("COMMENT",AN20))))+4096*(OR(ISNUMBER(FIND("QTY",AN20)),ISNUMBER(FIND("QUANTITY",AN20))))+8192*(AND(OR(ISNUMBER(FIND("COMPLETE",AN20)),ISNUMBER(FIND("PCT",AN20)),ISNUMBER(FIND("PERCENT",AN20))),NOT(ISNUMBER(FIND("ACTUAL",AN20))),LEN(AN20)&lt;=16))+32768*(OR(ISNUMBER(FIND("DESIC",AN20)),ISNUMBER(FIND("DESSIC",AN20)))))</f>
        <v/>
      </c>
      <c r="AO155">
        <f>IF(AO20="",0,2*(OR(ISNUMBER(FIND("WORKCENTER",AO20)),AND(LEFT(AO20,4)="LINE",NOT(ISNUMBER(FIND("STATUS",AO20))))))+4*(OR(ISNUMBER(FIND("WORKORDER",AO20)),AND(LEFT(AO20,2)="WO",OR(ISNUMBER(FIND("NUM",AO20)),RIGHT(AO20,2)="NO"))))+8*(LEFT(AO20,3)="SEQ")+16*(AND(LEFT(AO20,4)="ITEM",NOT(ISNUMBER(FIND("DESC",AO20)))))+32*(AND(ISNUMBER(FIND("DESC",AO20)),NOT(ISNUMBER(FIND("CAP",AO20)))))+64*(OR(RIGHT(AO20,5)="COUNT",RIGHT(AO20,2)="CT"))+128*(ISNUMBER(FIND("BULK",AO20)))+256*(ISNUMBER(FIND("SIZE",AO20)))+512*(LEFT(AO20,3)="CAP")+1024*(ISNUMBER(FIND("ALLERG",AO20)))+2048*(OR(ISNUMBER(FIND("REMARK",AO20)),ISNUMBER(FIND("COMMENT",AO20))))+4096*(OR(ISNUMBER(FIND("QTY",AO20)),ISNUMBER(FIND("QUANTITY",AO20))))+8192*(AND(OR(ISNUMBER(FIND("COMPLETE",AO20)),ISNUMBER(FIND("PCT",AO20)),ISNUMBER(FIND("PERCENT",AO20))),NOT(ISNUMBER(FIND("ACTUAL",AO20))),LEN(AO20)&lt;=16))+32768*(OR(ISNUMBER(FIND("DESIC",AO20)),ISNUMBER(FIND("DESSIC",AO20)))))</f>
        <v/>
      </c>
      <c r="AP155">
        <f>IF(AP20="",0,2*(OR(ISNUMBER(FIND("WORKCENTER",AP20)),AND(LEFT(AP20,4)="LINE",NOT(ISNUMBER(FIND("STATUS",AP20))))))+4*(OR(ISNUMBER(FIND("WORKORDER",AP20)),AND(LEFT(AP20,2)="WO",OR(ISNUMBER(FIND("NUM",AP20)),RIGHT(AP20,2)="NO"))))+8*(LEFT(AP20,3)="SEQ")+16*(AND(LEFT(AP20,4)="ITEM",NOT(ISNUMBER(FIND("DESC",AP20)))))+32*(AND(ISNUMBER(FIND("DESC",AP20)),NOT(ISNUMBER(FIND("CAP",AP20)))))+64*(OR(RIGHT(AP20,5)="COUNT",RIGHT(AP20,2)="CT"))+128*(ISNUMBER(FIND("BULK",AP20)))+256*(ISNUMBER(FIND("SIZE",AP20)))+512*(LEFT(AP20,3)="CAP")+1024*(ISNUMBER(FIND("ALLERG",AP20)))+2048*(OR(ISNUMBER(FIND("REMARK",AP20)),ISNUMBER(FIND("COMMENT",AP20))))+4096*(OR(ISNUMBER(FIND("QTY",AP20)),ISNUMBER(FIND("QUANTITY",AP20))))+8192*(AND(OR(ISNUMBER(FIND("COMPLETE",AP20)),ISNUMBER(FIND("PCT",AP20)),ISNUMBER(FIND("PERCENT",AP20))),NOT(ISNUMBER(FIND("ACTUAL",AP20))),LEN(AP20)&lt;=16))+32768*(OR(ISNUMBER(FIND("DESIC",AP20)),ISNUMBER(FIND("DESSIC",AP20)))))</f>
        <v/>
      </c>
      <c r="AQ155">
        <f>IF(AQ20="",0,2*(OR(ISNUMBER(FIND("WORKCENTER",AQ20)),AND(LEFT(AQ20,4)="LINE",NOT(ISNUMBER(FIND("STATUS",AQ20))))))+4*(OR(ISNUMBER(FIND("WORKORDER",AQ20)),AND(LEFT(AQ20,2)="WO",OR(ISNUMBER(FIND("NUM",AQ20)),RIGHT(AQ20,2)="NO"))))+8*(LEFT(AQ20,3)="SEQ")+16*(AND(LEFT(AQ20,4)="ITEM",NOT(ISNUMBER(FIND("DESC",AQ20)))))+32*(AND(ISNUMBER(FIND("DESC",AQ20)),NOT(ISNUMBER(FIND("CAP",AQ20)))))+64*(OR(RIGHT(AQ20,5)="COUNT",RIGHT(AQ20,2)="CT"))+128*(ISNUMBER(FIND("BULK",AQ20)))+256*(ISNUMBER(FIND("SIZE",AQ20)))+512*(LEFT(AQ20,3)="CAP")+1024*(ISNUMBER(FIND("ALLERG",AQ20)))+2048*(OR(ISNUMBER(FIND("REMARK",AQ20)),ISNUMBER(FIND("COMMENT",AQ20))))+4096*(OR(ISNUMBER(FIND("QTY",AQ20)),ISNUMBER(FIND("QUANTITY",AQ20))))+8192*(AND(OR(ISNUMBER(FIND("COMPLETE",AQ20)),ISNUMBER(FIND("PCT",AQ20)),ISNUMBER(FIND("PERCENT",AQ20))),NOT(ISNUMBER(FIND("ACTUAL",AQ20))),LEN(AQ20)&lt;=16))+32768*(OR(ISNUMBER(FIND("DESIC",AQ20)),ISNUMBER(FIND("DESSIC",AQ20)))))</f>
        <v/>
      </c>
      <c r="AR155">
        <f>IF(AR20="",0,2*(OR(ISNUMBER(FIND("WORKCENTER",AR20)),AND(LEFT(AR20,4)="LINE",NOT(ISNUMBER(FIND("STATUS",AR20))))))+4*(OR(ISNUMBER(FIND("WORKORDER",AR20)),AND(LEFT(AR20,2)="WO",OR(ISNUMBER(FIND("NUM",AR20)),RIGHT(AR20,2)="NO"))))+8*(LEFT(AR20,3)="SEQ")+16*(AND(LEFT(AR20,4)="ITEM",NOT(ISNUMBER(FIND("DESC",AR20)))))+32*(AND(ISNUMBER(FIND("DESC",AR20)),NOT(ISNUMBER(FIND("CAP",AR20)))))+64*(OR(RIGHT(AR20,5)="COUNT",RIGHT(AR20,2)="CT"))+128*(ISNUMBER(FIND("BULK",AR20)))+256*(ISNUMBER(FIND("SIZE",AR20)))+512*(LEFT(AR20,3)="CAP")+1024*(ISNUMBER(FIND("ALLERG",AR20)))+2048*(OR(ISNUMBER(FIND("REMARK",AR20)),ISNUMBER(FIND("COMMENT",AR20))))+4096*(OR(ISNUMBER(FIND("QTY",AR20)),ISNUMBER(FIND("QUANTITY",AR20))))+8192*(AND(OR(ISNUMBER(FIND("COMPLETE",AR20)),ISNUMBER(FIND("PCT",AR20)),ISNUMBER(FIND("PERCENT",AR20))),NOT(ISNUMBER(FIND("ACTUAL",AR20))),LEN(AR20)&lt;=16))+32768*(OR(ISNUMBER(FIND("DESIC",AR20)),ISNUMBER(FIND("DESSIC",AR20)))))</f>
        <v/>
      </c>
      <c r="AS155">
        <f>IF(AS20="",0,2*(OR(ISNUMBER(FIND("WORKCENTER",AS20)),AND(LEFT(AS20,4)="LINE",NOT(ISNUMBER(FIND("STATUS",AS20))))))+4*(OR(ISNUMBER(FIND("WORKORDER",AS20)),AND(LEFT(AS20,2)="WO",OR(ISNUMBER(FIND("NUM",AS20)),RIGHT(AS20,2)="NO"))))+8*(LEFT(AS20,3)="SEQ")+16*(AND(LEFT(AS20,4)="ITEM",NOT(ISNUMBER(FIND("DESC",AS20)))))+32*(AND(ISNUMBER(FIND("DESC",AS20)),NOT(ISNUMBER(FIND("CAP",AS20)))))+64*(OR(RIGHT(AS20,5)="COUNT",RIGHT(AS20,2)="CT"))+128*(ISNUMBER(FIND("BULK",AS20)))+256*(ISNUMBER(FIND("SIZE",AS20)))+512*(LEFT(AS20,3)="CAP")+1024*(ISNUMBER(FIND("ALLERG",AS20)))+2048*(OR(ISNUMBER(FIND("REMARK",AS20)),ISNUMBER(FIND("COMMENT",AS20))))+4096*(OR(ISNUMBER(FIND("QTY",AS20)),ISNUMBER(FIND("QUANTITY",AS20))))+8192*(AND(OR(ISNUMBER(FIND("COMPLETE",AS20)),ISNUMBER(FIND("PCT",AS20)),ISNUMBER(FIND("PERCENT",AS20))),NOT(ISNUMBER(FIND("ACTUAL",AS20))),LEN(AS20)&lt;=16))+32768*(OR(ISNUMBER(FIND("DESIC",AS20)),ISNUMBER(FIND("DESSIC",AS20)))))</f>
        <v/>
      </c>
      <c r="AT155">
        <f>IF(AT20="",0,2*(OR(ISNUMBER(FIND("WORKCENTER",AT20)),AND(LEFT(AT20,4)="LINE",NOT(ISNUMBER(FIND("STATUS",AT20))))))+4*(OR(ISNUMBER(FIND("WORKORDER",AT20)),AND(LEFT(AT20,2)="WO",OR(ISNUMBER(FIND("NUM",AT20)),RIGHT(AT20,2)="NO"))))+8*(LEFT(AT20,3)="SEQ")+16*(AND(LEFT(AT20,4)="ITEM",NOT(ISNUMBER(FIND("DESC",AT20)))))+32*(AND(ISNUMBER(FIND("DESC",AT20)),NOT(ISNUMBER(FIND("CAP",AT20)))))+64*(OR(RIGHT(AT20,5)="COUNT",RIGHT(AT20,2)="CT"))+128*(ISNUMBER(FIND("BULK",AT20)))+256*(ISNUMBER(FIND("SIZE",AT20)))+512*(LEFT(AT20,3)="CAP")+1024*(ISNUMBER(FIND("ALLERG",AT20)))+2048*(OR(ISNUMBER(FIND("REMARK",AT20)),ISNUMBER(FIND("COMMENT",AT20))))+4096*(OR(ISNUMBER(FIND("QTY",AT20)),ISNUMBER(FIND("QUANTITY",AT20))))+8192*(AND(OR(ISNUMBER(FIND("COMPLETE",AT20)),ISNUMBER(FIND("PCT",AT20)),ISNUMBER(FIND("PERCENT",AT20))),NOT(ISNUMBER(FIND("ACTUAL",AT20))),LEN(AT20)&lt;=16))+32768*(OR(ISNUMBER(FIND("DESIC",AT20)),ISNUMBER(FIND("DESSIC",AT20)))))</f>
        <v/>
      </c>
      <c r="AU155">
        <f>IF(AU20="",0,2*(OR(ISNUMBER(FIND("WORKCENTER",AU20)),AND(LEFT(AU20,4)="LINE",NOT(ISNUMBER(FIND("STATUS",AU20))))))+4*(OR(ISNUMBER(FIND("WORKORDER",AU20)),AND(LEFT(AU20,2)="WO",OR(ISNUMBER(FIND("NUM",AU20)),RIGHT(AU20,2)="NO"))))+8*(LEFT(AU20,3)="SEQ")+16*(AND(LEFT(AU20,4)="ITEM",NOT(ISNUMBER(FIND("DESC",AU20)))))+32*(AND(ISNUMBER(FIND("DESC",AU20)),NOT(ISNUMBER(FIND("CAP",AU20)))))+64*(OR(RIGHT(AU20,5)="COUNT",RIGHT(AU20,2)="CT"))+128*(ISNUMBER(FIND("BULK",AU20)))+256*(ISNUMBER(FIND("SIZE",AU20)))+512*(LEFT(AU20,3)="CAP")+1024*(ISNUMBER(FIND("ALLERG",AU20)))+2048*(OR(ISNUMBER(FIND("REMARK",AU20)),ISNUMBER(FIND("COMMENT",AU20))))+4096*(OR(ISNUMBER(FIND("QTY",AU20)),ISNUMBER(FIND("QUANTITY",AU20))))+8192*(AND(OR(ISNUMBER(FIND("COMPLETE",AU20)),ISNUMBER(FIND("PCT",AU20)),ISNUMBER(FIND("PERCENT",AU20))),NOT(ISNUMBER(FIND("ACTUAL",AU20))),LEN(AU20)&lt;=16))+32768*(OR(ISNUMBER(FIND("DESIC",AU20)),ISNUMBER(FIND("DESSIC",AU20)))))</f>
        <v/>
      </c>
      <c r="AV155">
        <f>IF(AV20="",0,2*(OR(ISNUMBER(FIND("WORKCENTER",AV20)),AND(LEFT(AV20,4)="LINE",NOT(ISNUMBER(FIND("STATUS",AV20))))))+4*(OR(ISNUMBER(FIND("WORKORDER",AV20)),AND(LEFT(AV20,2)="WO",OR(ISNUMBER(FIND("NUM",AV20)),RIGHT(AV20,2)="NO"))))+8*(LEFT(AV20,3)="SEQ")+16*(AND(LEFT(AV20,4)="ITEM",NOT(ISNUMBER(FIND("DESC",AV20)))))+32*(AND(ISNUMBER(FIND("DESC",AV20)),NOT(ISNUMBER(FIND("CAP",AV20)))))+64*(OR(RIGHT(AV20,5)="COUNT",RIGHT(AV20,2)="CT"))+128*(ISNUMBER(FIND("BULK",AV20)))+256*(ISNUMBER(FIND("SIZE",AV20)))+512*(LEFT(AV20,3)="CAP")+1024*(ISNUMBER(FIND("ALLERG",AV20)))+2048*(OR(ISNUMBER(FIND("REMARK",AV20)),ISNUMBER(FIND("COMMENT",AV20))))+4096*(OR(ISNUMBER(FIND("QTY",AV20)),ISNUMBER(FIND("QUANTITY",AV20))))+8192*(AND(OR(ISNUMBER(FIND("COMPLETE",AV20)),ISNUMBER(FIND("PCT",AV20)),ISNUMBER(FIND("PERCENT",AV20))),NOT(ISNUMBER(FIND("ACTUAL",AV20))),LEN(AV20)&lt;=16))+32768*(OR(ISNUMBER(FIND("DESIC",AV20)),ISNUMBER(FIND("DESSIC",AV20)))))</f>
        <v/>
      </c>
      <c r="AW155">
        <f>IF(AW20="",0,2*(OR(ISNUMBER(FIND("WORKCENTER",AW20)),AND(LEFT(AW20,4)="LINE",NOT(ISNUMBER(FIND("STATUS",AW20))))))+4*(OR(ISNUMBER(FIND("WORKORDER",AW20)),AND(LEFT(AW20,2)="WO",OR(ISNUMBER(FIND("NUM",AW20)),RIGHT(AW20,2)="NO"))))+8*(LEFT(AW20,3)="SEQ")+16*(AND(LEFT(AW20,4)="ITEM",NOT(ISNUMBER(FIND("DESC",AW20)))))+32*(AND(ISNUMBER(FIND("DESC",AW20)),NOT(ISNUMBER(FIND("CAP",AW20)))))+64*(OR(RIGHT(AW20,5)="COUNT",RIGHT(AW20,2)="CT"))+128*(ISNUMBER(FIND("BULK",AW20)))+256*(ISNUMBER(FIND("SIZE",AW20)))+512*(LEFT(AW20,3)="CAP")+1024*(ISNUMBER(FIND("ALLERG",AW20)))+2048*(OR(ISNUMBER(FIND("REMARK",AW20)),ISNUMBER(FIND("COMMENT",AW20))))+4096*(OR(ISNUMBER(FIND("QTY",AW20)),ISNUMBER(FIND("QUANTITY",AW20))))+8192*(AND(OR(ISNUMBER(FIND("COMPLETE",AW20)),ISNUMBER(FIND("PCT",AW20)),ISNUMBER(FIND("PERCENT",AW20))),NOT(ISNUMBER(FIND("ACTUAL",AW20))),LEN(AW20)&lt;=16))+32768*(OR(ISNUMBER(FIND("DESIC",AW20)),ISNUMBER(FIND("DESSIC",AW20)))))</f>
        <v/>
      </c>
      <c r="AX155">
        <f>IF(AX20="",0,2*(OR(ISNUMBER(FIND("WORKCENTER",AX20)),AND(LEFT(AX20,4)="LINE",NOT(ISNUMBER(FIND("STATUS",AX20))))))+4*(OR(ISNUMBER(FIND("WORKORDER",AX20)),AND(LEFT(AX20,2)="WO",OR(ISNUMBER(FIND("NUM",AX20)),RIGHT(AX20,2)="NO"))))+8*(LEFT(AX20,3)="SEQ")+16*(AND(LEFT(AX20,4)="ITEM",NOT(ISNUMBER(FIND("DESC",AX20)))))+32*(AND(ISNUMBER(FIND("DESC",AX20)),NOT(ISNUMBER(FIND("CAP",AX20)))))+64*(OR(RIGHT(AX20,5)="COUNT",RIGHT(AX20,2)="CT"))+128*(ISNUMBER(FIND("BULK",AX20)))+256*(ISNUMBER(FIND("SIZE",AX20)))+512*(LEFT(AX20,3)="CAP")+1024*(ISNUMBER(FIND("ALLERG",AX20)))+2048*(OR(ISNUMBER(FIND("REMARK",AX20)),ISNUMBER(FIND("COMMENT",AX20))))+4096*(OR(ISNUMBER(FIND("QTY",AX20)),ISNUMBER(FIND("QUANTITY",AX20))))+8192*(AND(OR(ISNUMBER(FIND("COMPLETE",AX20)),ISNUMBER(FIND("PCT",AX20)),ISNUMBER(FIND("PERCENT",AX20))),NOT(ISNUMBER(FIND("ACTUAL",AX20))),LEN(AX20)&lt;=16))+32768*(OR(ISNUMBER(FIND("DESIC",AX20)),ISNUMBER(FIND("DESSIC",AX20)))))</f>
        <v/>
      </c>
      <c r="AY155">
        <f>IF(AY20="",0,2*(OR(ISNUMBER(FIND("WORKCENTER",AY20)),AND(LEFT(AY20,4)="LINE",NOT(ISNUMBER(FIND("STATUS",AY20))))))+4*(OR(ISNUMBER(FIND("WORKORDER",AY20)),AND(LEFT(AY20,2)="WO",OR(ISNUMBER(FIND("NUM",AY20)),RIGHT(AY20,2)="NO"))))+8*(LEFT(AY20,3)="SEQ")+16*(AND(LEFT(AY20,4)="ITEM",NOT(ISNUMBER(FIND("DESC",AY20)))))+32*(AND(ISNUMBER(FIND("DESC",AY20)),NOT(ISNUMBER(FIND("CAP",AY20)))))+64*(OR(RIGHT(AY20,5)="COUNT",RIGHT(AY20,2)="CT"))+128*(ISNUMBER(FIND("BULK",AY20)))+256*(ISNUMBER(FIND("SIZE",AY20)))+512*(LEFT(AY20,3)="CAP")+1024*(ISNUMBER(FIND("ALLERG",AY20)))+2048*(OR(ISNUMBER(FIND("REMARK",AY20)),ISNUMBER(FIND("COMMENT",AY20))))+4096*(OR(ISNUMBER(FIND("QTY",AY20)),ISNUMBER(FIND("QUANTITY",AY20))))+8192*(AND(OR(ISNUMBER(FIND("COMPLETE",AY20)),ISNUMBER(FIND("PCT",AY20)),ISNUMBER(FIND("PERCENT",AY20))),NOT(ISNUMBER(FIND("ACTUAL",AY20))),LEN(AY20)&lt;=16))+32768*(OR(ISNUMBER(FIND("DESIC",AY20)),ISNUMBER(FIND("DESSIC",AY20)))))</f>
        <v/>
      </c>
      <c r="AZ155">
        <f>IF(AZ20="",0,2*(OR(ISNUMBER(FIND("WORKCENTER",AZ20)),AND(LEFT(AZ20,4)="LINE",NOT(ISNUMBER(FIND("STATUS",AZ20))))))+4*(OR(ISNUMBER(FIND("WORKORDER",AZ20)),AND(LEFT(AZ20,2)="WO",OR(ISNUMBER(FIND("NUM",AZ20)),RIGHT(AZ20,2)="NO"))))+8*(LEFT(AZ20,3)="SEQ")+16*(AND(LEFT(AZ20,4)="ITEM",NOT(ISNUMBER(FIND("DESC",AZ20)))))+32*(AND(ISNUMBER(FIND("DESC",AZ20)),NOT(ISNUMBER(FIND("CAP",AZ20)))))+64*(OR(RIGHT(AZ20,5)="COUNT",RIGHT(AZ20,2)="CT"))+128*(ISNUMBER(FIND("BULK",AZ20)))+256*(ISNUMBER(FIND("SIZE",AZ20)))+512*(LEFT(AZ20,3)="CAP")+1024*(ISNUMBER(FIND("ALLERG",AZ20)))+2048*(OR(ISNUMBER(FIND("REMARK",AZ20)),ISNUMBER(FIND("COMMENT",AZ20))))+4096*(OR(ISNUMBER(FIND("QTY",AZ20)),ISNUMBER(FIND("QUANTITY",AZ20))))+8192*(AND(OR(ISNUMBER(FIND("COMPLETE",AZ20)),ISNUMBER(FIND("PCT",AZ20)),ISNUMBER(FIND("PERCENT",AZ20))),NOT(ISNUMBER(FIND("ACTUAL",AZ20))),LEN(AZ20)&lt;=16))+32768*(OR(ISNUMBER(FIND("DESIC",AZ20)),ISNUMBER(FIND("DESSIC",AZ20)))))</f>
        <v/>
      </c>
      <c r="BA155">
        <f>IF(BA20="",0,2*(OR(ISNUMBER(FIND("WORKCENTER",BA20)),AND(LEFT(BA20,4)="LINE",NOT(ISNUMBER(FIND("STATUS",BA20))))))+4*(OR(ISNUMBER(FIND("WORKORDER",BA20)),AND(LEFT(BA20,2)="WO",OR(ISNUMBER(FIND("NUM",BA20)),RIGHT(BA20,2)="NO"))))+8*(LEFT(BA20,3)="SEQ")+16*(AND(LEFT(BA20,4)="ITEM",NOT(ISNUMBER(FIND("DESC",BA20)))))+32*(AND(ISNUMBER(FIND("DESC",BA20)),NOT(ISNUMBER(FIND("CAP",BA20)))))+64*(OR(RIGHT(BA20,5)="COUNT",RIGHT(BA20,2)="CT"))+128*(ISNUMBER(FIND("BULK",BA20)))+256*(ISNUMBER(FIND("SIZE",BA20)))+512*(LEFT(BA20,3)="CAP")+1024*(ISNUMBER(FIND("ALLERG",BA20)))+2048*(OR(ISNUMBER(FIND("REMARK",BA20)),ISNUMBER(FIND("COMMENT",BA20))))+4096*(OR(ISNUMBER(FIND("QTY",BA20)),ISNUMBER(FIND("QUANTITY",BA20))))+8192*(AND(OR(ISNUMBER(FIND("COMPLETE",BA20)),ISNUMBER(FIND("PCT",BA20)),ISNUMBER(FIND("PERCENT",BA20))),NOT(ISNUMBER(FIND("ACTUAL",BA20))),LEN(BA20)&lt;=16))+32768*(OR(ISNUMBER(FIND("DESIC",BA20)),ISNUMBER(FIND("DESSIC",BA20)))))</f>
        <v/>
      </c>
      <c r="BB155">
        <f>IF(BB20="",0,2*(OR(ISNUMBER(FIND("WORKCENTER",BB20)),AND(LEFT(BB20,4)="LINE",NOT(ISNUMBER(FIND("STATUS",BB20))))))+4*(OR(ISNUMBER(FIND("WORKORDER",BB20)),AND(LEFT(BB20,2)="WO",OR(ISNUMBER(FIND("NUM",BB20)),RIGHT(BB20,2)="NO"))))+8*(LEFT(BB20,3)="SEQ")+16*(AND(LEFT(BB20,4)="ITEM",NOT(ISNUMBER(FIND("DESC",BB20)))))+32*(AND(ISNUMBER(FIND("DESC",BB20)),NOT(ISNUMBER(FIND("CAP",BB20)))))+64*(OR(RIGHT(BB20,5)="COUNT",RIGHT(BB20,2)="CT"))+128*(ISNUMBER(FIND("BULK",BB20)))+256*(ISNUMBER(FIND("SIZE",BB20)))+512*(LEFT(BB20,3)="CAP")+1024*(ISNUMBER(FIND("ALLERG",BB20)))+2048*(OR(ISNUMBER(FIND("REMARK",BB20)),ISNUMBER(FIND("COMMENT",BB20))))+4096*(OR(ISNUMBER(FIND("QTY",BB20)),ISNUMBER(FIND("QUANTITY",BB20))))+8192*(AND(OR(ISNUMBER(FIND("COMPLETE",BB20)),ISNUMBER(FIND("PCT",BB20)),ISNUMBER(FIND("PERCENT",BB20))),NOT(ISNUMBER(FIND("ACTUAL",BB20))),LEN(BB20)&lt;=16))+32768*(OR(ISNUMBER(FIND("DESIC",BB20)),ISNUMBER(FIND("DESSIC",BB20)))))</f>
        <v/>
      </c>
      <c r="BC155">
        <f>IF(BC20="",0,2*(OR(ISNUMBER(FIND("WORKCENTER",BC20)),AND(LEFT(BC20,4)="LINE",NOT(ISNUMBER(FIND("STATUS",BC20))))))+4*(OR(ISNUMBER(FIND("WORKORDER",BC20)),AND(LEFT(BC20,2)="WO",OR(ISNUMBER(FIND("NUM",BC20)),RIGHT(BC20,2)="NO"))))+8*(LEFT(BC20,3)="SEQ")+16*(AND(LEFT(BC20,4)="ITEM",NOT(ISNUMBER(FIND("DESC",BC20)))))+32*(AND(ISNUMBER(FIND("DESC",BC20)),NOT(ISNUMBER(FIND("CAP",BC20)))))+64*(OR(RIGHT(BC20,5)="COUNT",RIGHT(BC20,2)="CT"))+128*(ISNUMBER(FIND("BULK",BC20)))+256*(ISNUMBER(FIND("SIZE",BC20)))+512*(LEFT(BC20,3)="CAP")+1024*(ISNUMBER(FIND("ALLERG",BC20)))+2048*(OR(ISNUMBER(FIND("REMARK",BC20)),ISNUMBER(FIND("COMMENT",BC20))))+4096*(OR(ISNUMBER(FIND("QTY",BC20)),ISNUMBER(FIND("QUANTITY",BC20))))+8192*(AND(OR(ISNUMBER(FIND("COMPLETE",BC20)),ISNUMBER(FIND("PCT",BC20)),ISNUMBER(FIND("PERCENT",BC20))),NOT(ISNUMBER(FIND("ACTUAL",BC20))),LEN(BC20)&lt;=16))+32768*(OR(ISNUMBER(FIND("DESIC",BC20)),ISNUMBER(FIND("DESSIC",BC20)))))</f>
        <v/>
      </c>
      <c r="BD155">
        <f>IF(BD20="",0,2*(OR(ISNUMBER(FIND("WORKCENTER",BD20)),AND(LEFT(BD20,4)="LINE",NOT(ISNUMBER(FIND("STATUS",BD20))))))+4*(OR(ISNUMBER(FIND("WORKORDER",BD20)),AND(LEFT(BD20,2)="WO",OR(ISNUMBER(FIND("NUM",BD20)),RIGHT(BD20,2)="NO"))))+8*(LEFT(BD20,3)="SEQ")+16*(AND(LEFT(BD20,4)="ITEM",NOT(ISNUMBER(FIND("DESC",BD20)))))+32*(AND(ISNUMBER(FIND("DESC",BD20)),NOT(ISNUMBER(FIND("CAP",BD20)))))+64*(OR(RIGHT(BD20,5)="COUNT",RIGHT(BD20,2)="CT"))+128*(ISNUMBER(FIND("BULK",BD20)))+256*(ISNUMBER(FIND("SIZE",BD20)))+512*(LEFT(BD20,3)="CAP")+1024*(ISNUMBER(FIND("ALLERG",BD20)))+2048*(OR(ISNUMBER(FIND("REMARK",BD20)),ISNUMBER(FIND("COMMENT",BD20))))+4096*(OR(ISNUMBER(FIND("QTY",BD20)),ISNUMBER(FIND("QUANTITY",BD20))))+8192*(AND(OR(ISNUMBER(FIND("COMPLETE",BD20)),ISNUMBER(FIND("PCT",BD20)),ISNUMBER(FIND("PERCENT",BD20))),NOT(ISNUMBER(FIND("ACTUAL",BD20))),LEN(BD20)&lt;=16))+32768*(OR(ISNUMBER(FIND("DESIC",BD20)),ISNUMBER(FIND("DESSIC",BD20)))))</f>
        <v/>
      </c>
      <c r="BE155">
        <f>IF(BE20="",0,2*(OR(ISNUMBER(FIND("WORKCENTER",BE20)),AND(LEFT(BE20,4)="LINE",NOT(ISNUMBER(FIND("STATUS",BE20))))))+4*(OR(ISNUMBER(FIND("WORKORDER",BE20)),AND(LEFT(BE20,2)="WO",OR(ISNUMBER(FIND("NUM",BE20)),RIGHT(BE20,2)="NO"))))+8*(LEFT(BE20,3)="SEQ")+16*(AND(LEFT(BE20,4)="ITEM",NOT(ISNUMBER(FIND("DESC",BE20)))))+32*(AND(ISNUMBER(FIND("DESC",BE20)),NOT(ISNUMBER(FIND("CAP",BE20)))))+64*(OR(RIGHT(BE20,5)="COUNT",RIGHT(BE20,2)="CT"))+128*(ISNUMBER(FIND("BULK",BE20)))+256*(ISNUMBER(FIND("SIZE",BE20)))+512*(LEFT(BE20,3)="CAP")+1024*(ISNUMBER(FIND("ALLERG",BE20)))+2048*(OR(ISNUMBER(FIND("REMARK",BE20)),ISNUMBER(FIND("COMMENT",BE20))))+4096*(OR(ISNUMBER(FIND("QTY",BE20)),ISNUMBER(FIND("QUANTITY",BE20))))+8192*(AND(OR(ISNUMBER(FIND("COMPLETE",BE20)),ISNUMBER(FIND("PCT",BE20)),ISNUMBER(FIND("PERCENT",BE20))),NOT(ISNUMBER(FIND("ACTUAL",BE20))),LEN(BE20)&lt;=16))+32768*(OR(ISNUMBER(FIND("DESIC",BE20)),ISNUMBER(FIND("DESSIC",BE20)))))</f>
        <v/>
      </c>
      <c r="BF155">
        <f>IF(BF20="",0,2*(OR(ISNUMBER(FIND("WORKCENTER",BF20)),AND(LEFT(BF20,4)="LINE",NOT(ISNUMBER(FIND("STATUS",BF20))))))+4*(OR(ISNUMBER(FIND("WORKORDER",BF20)),AND(LEFT(BF20,2)="WO",OR(ISNUMBER(FIND("NUM",BF20)),RIGHT(BF20,2)="NO"))))+8*(LEFT(BF20,3)="SEQ")+16*(AND(LEFT(BF20,4)="ITEM",NOT(ISNUMBER(FIND("DESC",BF20)))))+32*(AND(ISNUMBER(FIND("DESC",BF20)),NOT(ISNUMBER(FIND("CAP",BF20)))))+64*(OR(RIGHT(BF20,5)="COUNT",RIGHT(BF20,2)="CT"))+128*(ISNUMBER(FIND("BULK",BF20)))+256*(ISNUMBER(FIND("SIZE",BF20)))+512*(LEFT(BF20,3)="CAP")+1024*(ISNUMBER(FIND("ALLERG",BF20)))+2048*(OR(ISNUMBER(FIND("REMARK",BF20)),ISNUMBER(FIND("COMMENT",BF20))))+4096*(OR(ISNUMBER(FIND("QTY",BF20)),ISNUMBER(FIND("QUANTITY",BF20))))+8192*(AND(OR(ISNUMBER(FIND("COMPLETE",BF20)),ISNUMBER(FIND("PCT",BF20)),ISNUMBER(FIND("PERCENT",BF20))),NOT(ISNUMBER(FIND("ACTUAL",BF20))),LEN(BF20)&lt;=16))+32768*(OR(ISNUMBER(FIND("DESIC",BF20)),ISNUMBER(FIND("DESSIC",BF20)))))</f>
        <v/>
      </c>
      <c r="BG155">
        <f>IF(BG20="",0,2*(OR(ISNUMBER(FIND("WORKCENTER",BG20)),AND(LEFT(BG20,4)="LINE",NOT(ISNUMBER(FIND("STATUS",BG20))))))+4*(OR(ISNUMBER(FIND("WORKORDER",BG20)),AND(LEFT(BG20,2)="WO",OR(ISNUMBER(FIND("NUM",BG20)),RIGHT(BG20,2)="NO"))))+8*(LEFT(BG20,3)="SEQ")+16*(AND(LEFT(BG20,4)="ITEM",NOT(ISNUMBER(FIND("DESC",BG20)))))+32*(AND(ISNUMBER(FIND("DESC",BG20)),NOT(ISNUMBER(FIND("CAP",BG20)))))+64*(OR(RIGHT(BG20,5)="COUNT",RIGHT(BG20,2)="CT"))+128*(ISNUMBER(FIND("BULK",BG20)))+256*(ISNUMBER(FIND("SIZE",BG20)))+512*(LEFT(BG20,3)="CAP")+1024*(ISNUMBER(FIND("ALLERG",BG20)))+2048*(OR(ISNUMBER(FIND("REMARK",BG20)),ISNUMBER(FIND("COMMENT",BG20))))+4096*(OR(ISNUMBER(FIND("QTY",BG20)),ISNUMBER(FIND("QUANTITY",BG20))))+8192*(AND(OR(ISNUMBER(FIND("COMPLETE",BG20)),ISNUMBER(FIND("PCT",BG20)),ISNUMBER(FIND("PERCENT",BG20))),NOT(ISNUMBER(FIND("ACTUAL",BG20))),LEN(BG20)&lt;=16))+32768*(OR(ISNUMBER(FIND("DESIC",BG20)),ISNUMBER(FIND("DESSIC",BG20)))))</f>
        <v/>
      </c>
      <c r="BH155">
        <f>IF(BH20="",0,2*(OR(ISNUMBER(FIND("WORKCENTER",BH20)),AND(LEFT(BH20,4)="LINE",NOT(ISNUMBER(FIND("STATUS",BH20))))))+4*(OR(ISNUMBER(FIND("WORKORDER",BH20)),AND(LEFT(BH20,2)="WO",OR(ISNUMBER(FIND("NUM",BH20)),RIGHT(BH20,2)="NO"))))+8*(LEFT(BH20,3)="SEQ")+16*(AND(LEFT(BH20,4)="ITEM",NOT(ISNUMBER(FIND("DESC",BH20)))))+32*(AND(ISNUMBER(FIND("DESC",BH20)),NOT(ISNUMBER(FIND("CAP",BH20)))))+64*(OR(RIGHT(BH20,5)="COUNT",RIGHT(BH20,2)="CT"))+128*(ISNUMBER(FIND("BULK",BH20)))+256*(ISNUMBER(FIND("SIZE",BH20)))+512*(LEFT(BH20,3)="CAP")+1024*(ISNUMBER(FIND("ALLERG",BH20)))+2048*(OR(ISNUMBER(FIND("REMARK",BH20)),ISNUMBER(FIND("COMMENT",BH20))))+4096*(OR(ISNUMBER(FIND("QTY",BH20)),ISNUMBER(FIND("QUANTITY",BH20))))+8192*(AND(OR(ISNUMBER(FIND("COMPLETE",BH20)),ISNUMBER(FIND("PCT",BH20)),ISNUMBER(FIND("PERCENT",BH20))),NOT(ISNUMBER(FIND("ACTUAL",BH20))),LEN(BH20)&lt;=16))+32768*(OR(ISNUMBER(FIND("DESIC",BH20)),ISNUMBER(FIND("DESSIC",BH20)))))</f>
        <v/>
      </c>
      <c r="BI155">
        <f>IF(BI20="",0,2*(OR(ISNUMBER(FIND("WORKCENTER",BI20)),AND(LEFT(BI20,4)="LINE",NOT(ISNUMBER(FIND("STATUS",BI20))))))+4*(OR(ISNUMBER(FIND("WORKORDER",BI20)),AND(LEFT(BI20,2)="WO",OR(ISNUMBER(FIND("NUM",BI20)),RIGHT(BI20,2)="NO"))))+8*(LEFT(BI20,3)="SEQ")+16*(AND(LEFT(BI20,4)="ITEM",NOT(ISNUMBER(FIND("DESC",BI20)))))+32*(AND(ISNUMBER(FIND("DESC",BI20)),NOT(ISNUMBER(FIND("CAP",BI20)))))+64*(OR(RIGHT(BI20,5)="COUNT",RIGHT(BI20,2)="CT"))+128*(ISNUMBER(FIND("BULK",BI20)))+256*(ISNUMBER(FIND("SIZE",BI20)))+512*(LEFT(BI20,3)="CAP")+1024*(ISNUMBER(FIND("ALLERG",BI20)))+2048*(OR(ISNUMBER(FIND("REMARK",BI20)),ISNUMBER(FIND("COMMENT",BI20))))+4096*(OR(ISNUMBER(FIND("QTY",BI20)),ISNUMBER(FIND("QUANTITY",BI20))))+8192*(AND(OR(ISNUMBER(FIND("COMPLETE",BI20)),ISNUMBER(FIND("PCT",BI20)),ISNUMBER(FIND("PERCENT",BI20))),NOT(ISNUMBER(FIND("ACTUAL",BI20))),LEN(BI20)&lt;=16))+32768*(OR(ISNUMBER(FIND("DESIC",BI20)),ISNUMBER(FIND("DESSIC",BI20)))))</f>
        <v/>
      </c>
      <c r="BJ155">
        <f>IF(BJ20="",0,2*(OR(ISNUMBER(FIND("WORKCENTER",BJ20)),AND(LEFT(BJ20,4)="LINE",NOT(ISNUMBER(FIND("STATUS",BJ20))))))+4*(OR(ISNUMBER(FIND("WORKORDER",BJ20)),AND(LEFT(BJ20,2)="WO",OR(ISNUMBER(FIND("NUM",BJ20)),RIGHT(BJ20,2)="NO"))))+8*(LEFT(BJ20,3)="SEQ")+16*(AND(LEFT(BJ20,4)="ITEM",NOT(ISNUMBER(FIND("DESC",BJ20)))))+32*(AND(ISNUMBER(FIND("DESC",BJ20)),NOT(ISNUMBER(FIND("CAP",BJ20)))))+64*(OR(RIGHT(BJ20,5)="COUNT",RIGHT(BJ20,2)="CT"))+128*(ISNUMBER(FIND("BULK",BJ20)))+256*(ISNUMBER(FIND("SIZE",BJ20)))+512*(LEFT(BJ20,3)="CAP")+1024*(ISNUMBER(FIND("ALLERG",BJ20)))+2048*(OR(ISNUMBER(FIND("REMARK",BJ20)),ISNUMBER(FIND("COMMENT",BJ20))))+4096*(OR(ISNUMBER(FIND("QTY",BJ20)),ISNUMBER(FIND("QUANTITY",BJ20))))+8192*(AND(OR(ISNUMBER(FIND("COMPLETE",BJ20)),ISNUMBER(FIND("PCT",BJ20)),ISNUMBER(FIND("PERCENT",BJ20))),NOT(ISNUMBER(FIND("ACTUAL",BJ20))),LEN(BJ20)&lt;=16))+32768*(OR(ISNUMBER(FIND("DESIC",BJ20)),ISNUMBER(FIND("DESSIC",BJ20)))))</f>
        <v/>
      </c>
      <c r="BK155">
        <f>IF(BK20="",0,2*(OR(ISNUMBER(FIND("WORKCENTER",BK20)),AND(LEFT(BK20,4)="LINE",NOT(ISNUMBER(FIND("STATUS",BK20))))))+4*(OR(ISNUMBER(FIND("WORKORDER",BK20)),AND(LEFT(BK20,2)="WO",OR(ISNUMBER(FIND("NUM",BK20)),RIGHT(BK20,2)="NO"))))+8*(LEFT(BK20,3)="SEQ")+16*(AND(LEFT(BK20,4)="ITEM",NOT(ISNUMBER(FIND("DESC",BK20)))))+32*(AND(ISNUMBER(FIND("DESC",BK20)),NOT(ISNUMBER(FIND("CAP",BK20)))))+64*(OR(RIGHT(BK20,5)="COUNT",RIGHT(BK20,2)="CT"))+128*(ISNUMBER(FIND("BULK",BK20)))+256*(ISNUMBER(FIND("SIZE",BK20)))+512*(LEFT(BK20,3)="CAP")+1024*(ISNUMBER(FIND("ALLERG",BK20)))+2048*(OR(ISNUMBER(FIND("REMARK",BK20)),ISNUMBER(FIND("COMMENT",BK20))))+4096*(OR(ISNUMBER(FIND("QTY",BK20)),ISNUMBER(FIND("QUANTITY",BK20))))+8192*(AND(OR(ISNUMBER(FIND("COMPLETE",BK20)),ISNUMBER(FIND("PCT",BK20)),ISNUMBER(FIND("PERCENT",BK20))),NOT(ISNUMBER(FIND("ACTUAL",BK20))),LEN(BK20)&lt;=16))+32768*(OR(ISNUMBER(FIND("DESIC",BK20)),ISNUMBER(FIND("DESSIC",BK20)))))</f>
        <v/>
      </c>
      <c r="BL155">
        <f>IF(BL20="",0,2*(OR(ISNUMBER(FIND("WORKCENTER",BL20)),AND(LEFT(BL20,4)="LINE",NOT(ISNUMBER(FIND("STATUS",BL20))))))+4*(OR(ISNUMBER(FIND("WORKORDER",BL20)),AND(LEFT(BL20,2)="WO",OR(ISNUMBER(FIND("NUM",BL20)),RIGHT(BL20,2)="NO"))))+8*(LEFT(BL20,3)="SEQ")+16*(AND(LEFT(BL20,4)="ITEM",NOT(ISNUMBER(FIND("DESC",BL20)))))+32*(AND(ISNUMBER(FIND("DESC",BL20)),NOT(ISNUMBER(FIND("CAP",BL20)))))+64*(OR(RIGHT(BL20,5)="COUNT",RIGHT(BL20,2)="CT"))+128*(ISNUMBER(FIND("BULK",BL20)))+256*(ISNUMBER(FIND("SIZE",BL20)))+512*(LEFT(BL20,3)="CAP")+1024*(ISNUMBER(FIND("ALLERG",BL20)))+2048*(OR(ISNUMBER(FIND("REMARK",BL20)),ISNUMBER(FIND("COMMENT",BL20))))+4096*(OR(ISNUMBER(FIND("QTY",BL20)),ISNUMBER(FIND("QUANTITY",BL20))))+8192*(AND(OR(ISNUMBER(FIND("COMPLETE",BL20)),ISNUMBER(FIND("PCT",BL20)),ISNUMBER(FIND("PERCENT",BL20))),NOT(ISNUMBER(FIND("ACTUAL",BL20))),LEN(BL20)&lt;=16))+32768*(OR(ISNUMBER(FIND("DESIC",BL20)),ISNUMBER(FIND("DESSIC",BL20)))))</f>
        <v/>
      </c>
      <c r="BM155">
        <f>IF(BM20="",0,2*(OR(ISNUMBER(FIND("WORKCENTER",BM20)),AND(LEFT(BM20,4)="LINE",NOT(ISNUMBER(FIND("STATUS",BM20))))))+4*(OR(ISNUMBER(FIND("WORKORDER",BM20)),AND(LEFT(BM20,2)="WO",OR(ISNUMBER(FIND("NUM",BM20)),RIGHT(BM20,2)="NO"))))+8*(LEFT(BM20,3)="SEQ")+16*(AND(LEFT(BM20,4)="ITEM",NOT(ISNUMBER(FIND("DESC",BM20)))))+32*(AND(ISNUMBER(FIND("DESC",BM20)),NOT(ISNUMBER(FIND("CAP",BM20)))))+64*(OR(RIGHT(BM20,5)="COUNT",RIGHT(BM20,2)="CT"))+128*(ISNUMBER(FIND("BULK",BM20)))+256*(ISNUMBER(FIND("SIZE",BM20)))+512*(LEFT(BM20,3)="CAP")+1024*(ISNUMBER(FIND("ALLERG",BM20)))+2048*(OR(ISNUMBER(FIND("REMARK",BM20)),ISNUMBER(FIND("COMMENT",BM20))))+4096*(OR(ISNUMBER(FIND("QTY",BM20)),ISNUMBER(FIND("QUANTITY",BM20))))+8192*(AND(OR(ISNUMBER(FIND("COMPLETE",BM20)),ISNUMBER(FIND("PCT",BM20)),ISNUMBER(FIND("PERCENT",BM20))),NOT(ISNUMBER(FIND("ACTUAL",BM20))),LEN(BM20)&lt;=16))+32768*(OR(ISNUMBER(FIND("DESIC",BM20)),ISNUMBER(FIND("DESSIC",BM20)))))</f>
        <v/>
      </c>
      <c r="BN155">
        <f>IF(BN20="",0,2*(OR(ISNUMBER(FIND("WORKCENTER",BN20)),AND(LEFT(BN20,4)="LINE",NOT(ISNUMBER(FIND("STATUS",BN20))))))+4*(OR(ISNUMBER(FIND("WORKORDER",BN20)),AND(LEFT(BN20,2)="WO",OR(ISNUMBER(FIND("NUM",BN20)),RIGHT(BN20,2)="NO"))))+8*(LEFT(BN20,3)="SEQ")+16*(AND(LEFT(BN20,4)="ITEM",NOT(ISNUMBER(FIND("DESC",BN20)))))+32*(AND(ISNUMBER(FIND("DESC",BN20)),NOT(ISNUMBER(FIND("CAP",BN20)))))+64*(OR(RIGHT(BN20,5)="COUNT",RIGHT(BN20,2)="CT"))+128*(ISNUMBER(FIND("BULK",BN20)))+256*(ISNUMBER(FIND("SIZE",BN20)))+512*(LEFT(BN20,3)="CAP")+1024*(ISNUMBER(FIND("ALLERG",BN20)))+2048*(OR(ISNUMBER(FIND("REMARK",BN20)),ISNUMBER(FIND("COMMENT",BN20))))+4096*(OR(ISNUMBER(FIND("QTY",BN20)),ISNUMBER(FIND("QUANTITY",BN20))))+8192*(AND(OR(ISNUMBER(FIND("COMPLETE",BN20)),ISNUMBER(FIND("PCT",BN20)),ISNUMBER(FIND("PERCENT",BN20))),NOT(ISNUMBER(FIND("ACTUAL",BN20))),LEN(BN20)&lt;=16))+32768*(OR(ISNUMBER(FIND("DESIC",BN20)),ISNUMBER(FIND("DESSIC",BN20)))))</f>
        <v/>
      </c>
      <c r="BO155">
        <f>IF(BO20="",0,2*(OR(ISNUMBER(FIND("WORKCENTER",BO20)),AND(LEFT(BO20,4)="LINE",NOT(ISNUMBER(FIND("STATUS",BO20))))))+4*(OR(ISNUMBER(FIND("WORKORDER",BO20)),AND(LEFT(BO20,2)="WO",OR(ISNUMBER(FIND("NUM",BO20)),RIGHT(BO20,2)="NO"))))+8*(LEFT(BO20,3)="SEQ")+16*(AND(LEFT(BO20,4)="ITEM",NOT(ISNUMBER(FIND("DESC",BO20)))))+32*(AND(ISNUMBER(FIND("DESC",BO20)),NOT(ISNUMBER(FIND("CAP",BO20)))))+64*(OR(RIGHT(BO20,5)="COUNT",RIGHT(BO20,2)="CT"))+128*(ISNUMBER(FIND("BULK",BO20)))+256*(ISNUMBER(FIND("SIZE",BO20)))+512*(LEFT(BO20,3)="CAP")+1024*(ISNUMBER(FIND("ALLERG",BO20)))+2048*(OR(ISNUMBER(FIND("REMARK",BO20)),ISNUMBER(FIND("COMMENT",BO20))))+4096*(OR(ISNUMBER(FIND("QTY",BO20)),ISNUMBER(FIND("QUANTITY",BO20))))+8192*(AND(OR(ISNUMBER(FIND("COMPLETE",BO20)),ISNUMBER(FIND("PCT",BO20)),ISNUMBER(FIND("PERCENT",BO20))),NOT(ISNUMBER(FIND("ACTUAL",BO20))),LEN(BO20)&lt;=16))+32768*(OR(ISNUMBER(FIND("DESIC",BO20)),ISNUMBER(FIND("DESSIC",BO20)))))</f>
        <v/>
      </c>
      <c r="BP155">
        <f>IF(BP20="",0,2*(OR(ISNUMBER(FIND("WORKCENTER",BP20)),AND(LEFT(BP20,4)="LINE",NOT(ISNUMBER(FIND("STATUS",BP20))))))+4*(OR(ISNUMBER(FIND("WORKORDER",BP20)),AND(LEFT(BP20,2)="WO",OR(ISNUMBER(FIND("NUM",BP20)),RIGHT(BP20,2)="NO"))))+8*(LEFT(BP20,3)="SEQ")+16*(AND(LEFT(BP20,4)="ITEM",NOT(ISNUMBER(FIND("DESC",BP20)))))+32*(AND(ISNUMBER(FIND("DESC",BP20)),NOT(ISNUMBER(FIND("CAP",BP20)))))+64*(OR(RIGHT(BP20,5)="COUNT",RIGHT(BP20,2)="CT"))+128*(ISNUMBER(FIND("BULK",BP20)))+256*(ISNUMBER(FIND("SIZE",BP20)))+512*(LEFT(BP20,3)="CAP")+1024*(ISNUMBER(FIND("ALLERG",BP20)))+2048*(OR(ISNUMBER(FIND("REMARK",BP20)),ISNUMBER(FIND("COMMENT",BP20))))+4096*(OR(ISNUMBER(FIND("QTY",BP20)),ISNUMBER(FIND("QUANTITY",BP20))))+8192*(AND(OR(ISNUMBER(FIND("COMPLETE",BP20)),ISNUMBER(FIND("PCT",BP20)),ISNUMBER(FIND("PERCENT",BP20))),NOT(ISNUMBER(FIND("ACTUAL",BP20))),LEN(BP20)&lt;=16))+32768*(OR(ISNUMBER(FIND("DESIC",BP20)),ISNUMBER(FIND("DESSIC",BP20)))))</f>
        <v/>
      </c>
      <c r="BQ155">
        <f>IF(BQ20="",0,2*(OR(ISNUMBER(FIND("WORKCENTER",BQ20)),AND(LEFT(BQ20,4)="LINE",NOT(ISNUMBER(FIND("STATUS",BQ20))))))+4*(OR(ISNUMBER(FIND("WORKORDER",BQ20)),AND(LEFT(BQ20,2)="WO",OR(ISNUMBER(FIND("NUM",BQ20)),RIGHT(BQ20,2)="NO"))))+8*(LEFT(BQ20,3)="SEQ")+16*(AND(LEFT(BQ20,4)="ITEM",NOT(ISNUMBER(FIND("DESC",BQ20)))))+32*(AND(ISNUMBER(FIND("DESC",BQ20)),NOT(ISNUMBER(FIND("CAP",BQ20)))))+64*(OR(RIGHT(BQ20,5)="COUNT",RIGHT(BQ20,2)="CT"))+128*(ISNUMBER(FIND("BULK",BQ20)))+256*(ISNUMBER(FIND("SIZE",BQ20)))+512*(LEFT(BQ20,3)="CAP")+1024*(ISNUMBER(FIND("ALLERG",BQ20)))+2048*(OR(ISNUMBER(FIND("REMARK",BQ20)),ISNUMBER(FIND("COMMENT",BQ20))))+4096*(OR(ISNUMBER(FIND("QTY",BQ20)),ISNUMBER(FIND("QUANTITY",BQ20))))+8192*(AND(OR(ISNUMBER(FIND("COMPLETE",BQ20)),ISNUMBER(FIND("PCT",BQ20)),ISNUMBER(FIND("PERCENT",BQ20))),NOT(ISNUMBER(FIND("ACTUAL",BQ20))),LEN(BQ20)&lt;=16))+32768*(OR(ISNUMBER(FIND("DESIC",BQ20)),ISNUMBER(FIND("DESSIC",BQ20)))))</f>
        <v/>
      </c>
      <c r="BR155">
        <f>IF(BR20="",0,2*(OR(ISNUMBER(FIND("WORKCENTER",BR20)),AND(LEFT(BR20,4)="LINE",NOT(ISNUMBER(FIND("STATUS",BR20))))))+4*(OR(ISNUMBER(FIND("WORKORDER",BR20)),AND(LEFT(BR20,2)="WO",OR(ISNUMBER(FIND("NUM",BR20)),RIGHT(BR20,2)="NO"))))+8*(LEFT(BR20,3)="SEQ")+16*(AND(LEFT(BR20,4)="ITEM",NOT(ISNUMBER(FIND("DESC",BR20)))))+32*(AND(ISNUMBER(FIND("DESC",BR20)),NOT(ISNUMBER(FIND("CAP",BR20)))))+64*(OR(RIGHT(BR20,5)="COUNT",RIGHT(BR20,2)="CT"))+128*(ISNUMBER(FIND("BULK",BR20)))+256*(ISNUMBER(FIND("SIZE",BR20)))+512*(LEFT(BR20,3)="CAP")+1024*(ISNUMBER(FIND("ALLERG",BR20)))+2048*(OR(ISNUMBER(FIND("REMARK",BR20)),ISNUMBER(FIND("COMMENT",BR20))))+4096*(OR(ISNUMBER(FIND("QTY",BR20)),ISNUMBER(FIND("QUANTITY",BR20))))+8192*(AND(OR(ISNUMBER(FIND("COMPLETE",BR20)),ISNUMBER(FIND("PCT",BR20)),ISNUMBER(FIND("PERCENT",BR20))),NOT(ISNUMBER(FIND("ACTUAL",BR20))),LEN(BR20)&lt;=16))+32768*(OR(ISNUMBER(FIND("DESIC",BR20)),ISNUMBER(FIND("DESSIC",BR20)))))</f>
        <v/>
      </c>
      <c r="BS155">
        <f>IF(BS20="",0,2*(OR(ISNUMBER(FIND("WORKCENTER",BS20)),AND(LEFT(BS20,4)="LINE",NOT(ISNUMBER(FIND("STATUS",BS20))))))+4*(OR(ISNUMBER(FIND("WORKORDER",BS20)),AND(LEFT(BS20,2)="WO",OR(ISNUMBER(FIND("NUM",BS20)),RIGHT(BS20,2)="NO"))))+8*(LEFT(BS20,3)="SEQ")+16*(AND(LEFT(BS20,4)="ITEM",NOT(ISNUMBER(FIND("DESC",BS20)))))+32*(AND(ISNUMBER(FIND("DESC",BS20)),NOT(ISNUMBER(FIND("CAP",BS20)))))+64*(OR(RIGHT(BS20,5)="COUNT",RIGHT(BS20,2)="CT"))+128*(ISNUMBER(FIND("BULK",BS20)))+256*(ISNUMBER(FIND("SIZE",BS20)))+512*(LEFT(BS20,3)="CAP")+1024*(ISNUMBER(FIND("ALLERG",BS20)))+2048*(OR(ISNUMBER(FIND("REMARK",BS20)),ISNUMBER(FIND("COMMENT",BS20))))+4096*(OR(ISNUMBER(FIND("QTY",BS20)),ISNUMBER(FIND("QUANTITY",BS20))))+8192*(AND(OR(ISNUMBER(FIND("COMPLETE",BS20)),ISNUMBER(FIND("PCT",BS20)),ISNUMBER(FIND("PERCENT",BS20))),NOT(ISNUMBER(FIND("ACTUAL",BS20))),LEN(BS20)&lt;=16))+32768*(OR(ISNUMBER(FIND("DESIC",BS20)),ISNUMBER(FIND("DESSIC",BS20)))))</f>
        <v/>
      </c>
      <c r="BT155">
        <f>IF(BT20="",0,2*(OR(ISNUMBER(FIND("WORKCENTER",BT20)),AND(LEFT(BT20,4)="LINE",NOT(ISNUMBER(FIND("STATUS",BT20))))))+4*(OR(ISNUMBER(FIND("WORKORDER",BT20)),AND(LEFT(BT20,2)="WO",OR(ISNUMBER(FIND("NUM",BT20)),RIGHT(BT20,2)="NO"))))+8*(LEFT(BT20,3)="SEQ")+16*(AND(LEFT(BT20,4)="ITEM",NOT(ISNUMBER(FIND("DESC",BT20)))))+32*(AND(ISNUMBER(FIND("DESC",BT20)),NOT(ISNUMBER(FIND("CAP",BT20)))))+64*(OR(RIGHT(BT20,5)="COUNT",RIGHT(BT20,2)="CT"))+128*(ISNUMBER(FIND("BULK",BT20)))+256*(ISNUMBER(FIND("SIZE",BT20)))+512*(LEFT(BT20,3)="CAP")+1024*(ISNUMBER(FIND("ALLERG",BT20)))+2048*(OR(ISNUMBER(FIND("REMARK",BT20)),ISNUMBER(FIND("COMMENT",BT20))))+4096*(OR(ISNUMBER(FIND("QTY",BT20)),ISNUMBER(FIND("QUANTITY",BT20))))+8192*(AND(OR(ISNUMBER(FIND("COMPLETE",BT20)),ISNUMBER(FIND("PCT",BT20)),ISNUMBER(FIND("PERCENT",BT20))),NOT(ISNUMBER(FIND("ACTUAL",BT20))),LEN(BT20)&lt;=16))+32768*(OR(ISNUMBER(FIND("DESIC",BT20)),ISNUMBER(FIND("DESSIC",BT20)))))</f>
        <v/>
      </c>
      <c r="BU155">
        <f>IF(BU20="",0,2*(OR(ISNUMBER(FIND("WORKCENTER",BU20)),AND(LEFT(BU20,4)="LINE",NOT(ISNUMBER(FIND("STATUS",BU20))))))+4*(OR(ISNUMBER(FIND("WORKORDER",BU20)),AND(LEFT(BU20,2)="WO",OR(ISNUMBER(FIND("NUM",BU20)),RIGHT(BU20,2)="NO"))))+8*(LEFT(BU20,3)="SEQ")+16*(AND(LEFT(BU20,4)="ITEM",NOT(ISNUMBER(FIND("DESC",BU20)))))+32*(AND(ISNUMBER(FIND("DESC",BU20)),NOT(ISNUMBER(FIND("CAP",BU20)))))+64*(OR(RIGHT(BU20,5)="COUNT",RIGHT(BU20,2)="CT"))+128*(ISNUMBER(FIND("BULK",BU20)))+256*(ISNUMBER(FIND("SIZE",BU20)))+512*(LEFT(BU20,3)="CAP")+1024*(ISNUMBER(FIND("ALLERG",BU20)))+2048*(OR(ISNUMBER(FIND("REMARK",BU20)),ISNUMBER(FIND("COMMENT",BU20))))+4096*(OR(ISNUMBER(FIND("QTY",BU20)),ISNUMBER(FIND("QUANTITY",BU20))))+8192*(AND(OR(ISNUMBER(FIND("COMPLETE",BU20)),ISNUMBER(FIND("PCT",BU20)),ISNUMBER(FIND("PERCENT",BU20))),NOT(ISNUMBER(FIND("ACTUAL",BU20))),LEN(BU20)&lt;=16))+32768*(OR(ISNUMBER(FIND("DESIC",BU20)),ISNUMBER(FIND("DESSIC",BU20)))))</f>
        <v/>
      </c>
      <c r="BV155">
        <f>IF(BV20="",0,2*(OR(ISNUMBER(FIND("WORKCENTER",BV20)),AND(LEFT(BV20,4)="LINE",NOT(ISNUMBER(FIND("STATUS",BV20))))))+4*(OR(ISNUMBER(FIND("WORKORDER",BV20)),AND(LEFT(BV20,2)="WO",OR(ISNUMBER(FIND("NUM",BV20)),RIGHT(BV20,2)="NO"))))+8*(LEFT(BV20,3)="SEQ")+16*(AND(LEFT(BV20,4)="ITEM",NOT(ISNUMBER(FIND("DESC",BV20)))))+32*(AND(ISNUMBER(FIND("DESC",BV20)),NOT(ISNUMBER(FIND("CAP",BV20)))))+64*(OR(RIGHT(BV20,5)="COUNT",RIGHT(BV20,2)="CT"))+128*(ISNUMBER(FIND("BULK",BV20)))+256*(ISNUMBER(FIND("SIZE",BV20)))+512*(LEFT(BV20,3)="CAP")+1024*(ISNUMBER(FIND("ALLERG",BV20)))+2048*(OR(ISNUMBER(FIND("REMARK",BV20)),ISNUMBER(FIND("COMMENT",BV20))))+4096*(OR(ISNUMBER(FIND("QTY",BV20)),ISNUMBER(FIND("QUANTITY",BV20))))+8192*(AND(OR(ISNUMBER(FIND("COMPLETE",BV20)),ISNUMBER(FIND("PCT",BV20)),ISNUMBER(FIND("PERCENT",BV20))),NOT(ISNUMBER(FIND("ACTUAL",BV20))),LEN(BV20)&lt;=16))+32768*(OR(ISNUMBER(FIND("DESIC",BV20)),ISNUMBER(FIND("DESSIC",BV20)))))</f>
        <v/>
      </c>
      <c r="BW155">
        <f>IF(BW20="",0,2*(OR(ISNUMBER(FIND("WORKCENTER",BW20)),AND(LEFT(BW20,4)="LINE",NOT(ISNUMBER(FIND("STATUS",BW20))))))+4*(OR(ISNUMBER(FIND("WORKORDER",BW20)),AND(LEFT(BW20,2)="WO",OR(ISNUMBER(FIND("NUM",BW20)),RIGHT(BW20,2)="NO"))))+8*(LEFT(BW20,3)="SEQ")+16*(AND(LEFT(BW20,4)="ITEM",NOT(ISNUMBER(FIND("DESC",BW20)))))+32*(AND(ISNUMBER(FIND("DESC",BW20)),NOT(ISNUMBER(FIND("CAP",BW20)))))+64*(OR(RIGHT(BW20,5)="COUNT",RIGHT(BW20,2)="CT"))+128*(ISNUMBER(FIND("BULK",BW20)))+256*(ISNUMBER(FIND("SIZE",BW20)))+512*(LEFT(BW20,3)="CAP")+1024*(ISNUMBER(FIND("ALLERG",BW20)))+2048*(OR(ISNUMBER(FIND("REMARK",BW20)),ISNUMBER(FIND("COMMENT",BW20))))+4096*(OR(ISNUMBER(FIND("QTY",BW20)),ISNUMBER(FIND("QUANTITY",BW20))))+8192*(AND(OR(ISNUMBER(FIND("COMPLETE",BW20)),ISNUMBER(FIND("PCT",BW20)),ISNUMBER(FIND("PERCENT",BW20))),NOT(ISNUMBER(FIND("ACTUAL",BW20))),LEN(BW20)&lt;=16))+32768*(OR(ISNUMBER(FIND("DESIC",BW20)),ISNUMBER(FIND("DESSIC",BW20)))))</f>
        <v/>
      </c>
      <c r="BX155">
        <f>IF(BX20="",0,2*(OR(ISNUMBER(FIND("WORKCENTER",BX20)),AND(LEFT(BX20,4)="LINE",NOT(ISNUMBER(FIND("STATUS",BX20))))))+4*(OR(ISNUMBER(FIND("WORKORDER",BX20)),AND(LEFT(BX20,2)="WO",OR(ISNUMBER(FIND("NUM",BX20)),RIGHT(BX20,2)="NO"))))+8*(LEFT(BX20,3)="SEQ")+16*(AND(LEFT(BX20,4)="ITEM",NOT(ISNUMBER(FIND("DESC",BX20)))))+32*(AND(ISNUMBER(FIND("DESC",BX20)),NOT(ISNUMBER(FIND("CAP",BX20)))))+64*(OR(RIGHT(BX20,5)="COUNT",RIGHT(BX20,2)="CT"))+128*(ISNUMBER(FIND("BULK",BX20)))+256*(ISNUMBER(FIND("SIZE",BX20)))+512*(LEFT(BX20,3)="CAP")+1024*(ISNUMBER(FIND("ALLERG",BX20)))+2048*(OR(ISNUMBER(FIND("REMARK",BX20)),ISNUMBER(FIND("COMMENT",BX20))))+4096*(OR(ISNUMBER(FIND("QTY",BX20)),ISNUMBER(FIND("QUANTITY",BX20))))+8192*(AND(OR(ISNUMBER(FIND("COMPLETE",BX20)),ISNUMBER(FIND("PCT",BX20)),ISNUMBER(FIND("PERCENT",BX20))),NOT(ISNUMBER(FIND("ACTUAL",BX20))),LEN(BX20)&lt;=16))+32768*(OR(ISNUMBER(FIND("DESIC",BX20)),ISNUMBER(FIND("DESSIC",BX20)))))</f>
        <v/>
      </c>
      <c r="BY155">
        <f>IF(BY20="",0,2*(OR(ISNUMBER(FIND("WORKCENTER",BY20)),AND(LEFT(BY20,4)="LINE",NOT(ISNUMBER(FIND("STATUS",BY20))))))+4*(OR(ISNUMBER(FIND("WORKORDER",BY20)),AND(LEFT(BY20,2)="WO",OR(ISNUMBER(FIND("NUM",BY20)),RIGHT(BY20,2)="NO"))))+8*(LEFT(BY20,3)="SEQ")+16*(AND(LEFT(BY20,4)="ITEM",NOT(ISNUMBER(FIND("DESC",BY20)))))+32*(AND(ISNUMBER(FIND("DESC",BY20)),NOT(ISNUMBER(FIND("CAP",BY20)))))+64*(OR(RIGHT(BY20,5)="COUNT",RIGHT(BY20,2)="CT"))+128*(ISNUMBER(FIND("BULK",BY20)))+256*(ISNUMBER(FIND("SIZE",BY20)))+512*(LEFT(BY20,3)="CAP")+1024*(ISNUMBER(FIND("ALLERG",BY20)))+2048*(OR(ISNUMBER(FIND("REMARK",BY20)),ISNUMBER(FIND("COMMENT",BY20))))+4096*(OR(ISNUMBER(FIND("QTY",BY20)),ISNUMBER(FIND("QUANTITY",BY20))))+8192*(AND(OR(ISNUMBER(FIND("COMPLETE",BY20)),ISNUMBER(FIND("PCT",BY20)),ISNUMBER(FIND("PERCENT",BY20))),NOT(ISNUMBER(FIND("ACTUAL",BY20))),LEN(BY20)&lt;=16))+32768*(OR(ISNUMBER(FIND("DESIC",BY20)),ISNUMBER(FIND("DESSIC",BY20)))))</f>
        <v/>
      </c>
      <c r="BZ155">
        <f>IF(BZ20="",0,2*(OR(ISNUMBER(FIND("WORKCENTER",BZ20)),AND(LEFT(BZ20,4)="LINE",NOT(ISNUMBER(FIND("STATUS",BZ20))))))+4*(OR(ISNUMBER(FIND("WORKORDER",BZ20)),AND(LEFT(BZ20,2)="WO",OR(ISNUMBER(FIND("NUM",BZ20)),RIGHT(BZ20,2)="NO"))))+8*(LEFT(BZ20,3)="SEQ")+16*(AND(LEFT(BZ20,4)="ITEM",NOT(ISNUMBER(FIND("DESC",BZ20)))))+32*(AND(ISNUMBER(FIND("DESC",BZ20)),NOT(ISNUMBER(FIND("CAP",BZ20)))))+64*(OR(RIGHT(BZ20,5)="COUNT",RIGHT(BZ20,2)="CT"))+128*(ISNUMBER(FIND("BULK",BZ20)))+256*(ISNUMBER(FIND("SIZE",BZ20)))+512*(LEFT(BZ20,3)="CAP")+1024*(ISNUMBER(FIND("ALLERG",BZ20)))+2048*(OR(ISNUMBER(FIND("REMARK",BZ20)),ISNUMBER(FIND("COMMENT",BZ20))))+4096*(OR(ISNUMBER(FIND("QTY",BZ20)),ISNUMBER(FIND("QUANTITY",BZ20))))+8192*(AND(OR(ISNUMBER(FIND("COMPLETE",BZ20)),ISNUMBER(FIND("PCT",BZ20)),ISNUMBER(FIND("PERCENT",BZ20))),NOT(ISNUMBER(FIND("ACTUAL",BZ20))),LEN(BZ20)&lt;=16))+32768*(OR(ISNUMBER(FIND("DESIC",BZ20)),ISNUMBER(FIND("DESSIC",BZ20)))))</f>
        <v/>
      </c>
      <c r="CA155">
        <f>IF(CA20="",0,2*(OR(ISNUMBER(FIND("WORKCENTER",CA20)),AND(LEFT(CA20,4)="LINE",NOT(ISNUMBER(FIND("STATUS",CA20))))))+4*(OR(ISNUMBER(FIND("WORKORDER",CA20)),AND(LEFT(CA20,2)="WO",OR(ISNUMBER(FIND("NUM",CA20)),RIGHT(CA20,2)="NO"))))+8*(LEFT(CA20,3)="SEQ")+16*(AND(LEFT(CA20,4)="ITEM",NOT(ISNUMBER(FIND("DESC",CA20)))))+32*(AND(ISNUMBER(FIND("DESC",CA20)),NOT(ISNUMBER(FIND("CAP",CA20)))))+64*(OR(RIGHT(CA20,5)="COUNT",RIGHT(CA20,2)="CT"))+128*(ISNUMBER(FIND("BULK",CA20)))+256*(ISNUMBER(FIND("SIZE",CA20)))+512*(LEFT(CA20,3)="CAP")+1024*(ISNUMBER(FIND("ALLERG",CA20)))+2048*(OR(ISNUMBER(FIND("REMARK",CA20)),ISNUMBER(FIND("COMMENT",CA20))))+4096*(OR(ISNUMBER(FIND("QTY",CA20)),ISNUMBER(FIND("QUANTITY",CA20))))+8192*(AND(OR(ISNUMBER(FIND("COMPLETE",CA20)),ISNUMBER(FIND("PCT",CA20)),ISNUMBER(FIND("PERCENT",CA20))),NOT(ISNUMBER(FIND("ACTUAL",CA20))),LEN(CA20)&lt;=16))+32768*(OR(ISNUMBER(FIND("DESIC",CA20)),ISNUMBER(FIND("DESSIC",CA20)))))</f>
        <v/>
      </c>
      <c r="CB155">
        <f>IF(CB20="",0,2*(OR(ISNUMBER(FIND("WORKCENTER",CB20)),AND(LEFT(CB20,4)="LINE",NOT(ISNUMBER(FIND("STATUS",CB20))))))+4*(OR(ISNUMBER(FIND("WORKORDER",CB20)),AND(LEFT(CB20,2)="WO",OR(ISNUMBER(FIND("NUM",CB20)),RIGHT(CB20,2)="NO"))))+8*(LEFT(CB20,3)="SEQ")+16*(AND(LEFT(CB20,4)="ITEM",NOT(ISNUMBER(FIND("DESC",CB20)))))+32*(AND(ISNUMBER(FIND("DESC",CB20)),NOT(ISNUMBER(FIND("CAP",CB20)))))+64*(OR(RIGHT(CB20,5)="COUNT",RIGHT(CB20,2)="CT"))+128*(ISNUMBER(FIND("BULK",CB20)))+256*(ISNUMBER(FIND("SIZE",CB20)))+512*(LEFT(CB20,3)="CAP")+1024*(ISNUMBER(FIND("ALLERG",CB20)))+2048*(OR(ISNUMBER(FIND("REMARK",CB20)),ISNUMBER(FIND("COMMENT",CB20))))+4096*(OR(ISNUMBER(FIND("QTY",CB20)),ISNUMBER(FIND("QUANTITY",CB20))))+8192*(AND(OR(ISNUMBER(FIND("COMPLETE",CB20)),ISNUMBER(FIND("PCT",CB20)),ISNUMBER(FIND("PERCENT",CB20))),NOT(ISNUMBER(FIND("ACTUAL",CB20))),LEN(CB20)&lt;=16))+32768*(OR(ISNUMBER(FIND("DESIC",CB20)),ISNUMBER(FIND("DESSIC",CB20)))))</f>
        <v/>
      </c>
      <c r="CC155">
        <f>IF(CC20="",0,2*(OR(ISNUMBER(FIND("WORKCENTER",CC20)),AND(LEFT(CC20,4)="LINE",NOT(ISNUMBER(FIND("STATUS",CC20))))))+4*(OR(ISNUMBER(FIND("WORKORDER",CC20)),AND(LEFT(CC20,2)="WO",OR(ISNUMBER(FIND("NUM",CC20)),RIGHT(CC20,2)="NO"))))+8*(LEFT(CC20,3)="SEQ")+16*(AND(LEFT(CC20,4)="ITEM",NOT(ISNUMBER(FIND("DESC",CC20)))))+32*(AND(ISNUMBER(FIND("DESC",CC20)),NOT(ISNUMBER(FIND("CAP",CC20)))))+64*(OR(RIGHT(CC20,5)="COUNT",RIGHT(CC20,2)="CT"))+128*(ISNUMBER(FIND("BULK",CC20)))+256*(ISNUMBER(FIND("SIZE",CC20)))+512*(LEFT(CC20,3)="CAP")+1024*(ISNUMBER(FIND("ALLERG",CC20)))+2048*(OR(ISNUMBER(FIND("REMARK",CC20)),ISNUMBER(FIND("COMMENT",CC20))))+4096*(OR(ISNUMBER(FIND("QTY",CC20)),ISNUMBER(FIND("QUANTITY",CC20))))+8192*(AND(OR(ISNUMBER(FIND("COMPLETE",CC20)),ISNUMBER(FIND("PCT",CC20)),ISNUMBER(FIND("PERCENT",CC20))),NOT(ISNUMBER(FIND("ACTUAL",CC20))),LEN(CC20)&lt;=16))+32768*(OR(ISNUMBER(FIND("DESIC",CC20)),ISNUMBER(FIND("DESSIC",CC20)))))</f>
        <v/>
      </c>
      <c r="CD155">
        <f>IF(CD20="",0,2*(OR(ISNUMBER(FIND("WORKCENTER",CD20)),AND(LEFT(CD20,4)="LINE",NOT(ISNUMBER(FIND("STATUS",CD20))))))+4*(OR(ISNUMBER(FIND("WORKORDER",CD20)),AND(LEFT(CD20,2)="WO",OR(ISNUMBER(FIND("NUM",CD20)),RIGHT(CD20,2)="NO"))))+8*(LEFT(CD20,3)="SEQ")+16*(AND(LEFT(CD20,4)="ITEM",NOT(ISNUMBER(FIND("DESC",CD20)))))+32*(AND(ISNUMBER(FIND("DESC",CD20)),NOT(ISNUMBER(FIND("CAP",CD20)))))+64*(OR(RIGHT(CD20,5)="COUNT",RIGHT(CD20,2)="CT"))+128*(ISNUMBER(FIND("BULK",CD20)))+256*(ISNUMBER(FIND("SIZE",CD20)))+512*(LEFT(CD20,3)="CAP")+1024*(ISNUMBER(FIND("ALLERG",CD20)))+2048*(OR(ISNUMBER(FIND("REMARK",CD20)),ISNUMBER(FIND("COMMENT",CD20))))+4096*(OR(ISNUMBER(FIND("QTY",CD20)),ISNUMBER(FIND("QUANTITY",CD20))))+8192*(AND(OR(ISNUMBER(FIND("COMPLETE",CD20)),ISNUMBER(FIND("PCT",CD20)),ISNUMBER(FIND("PERCENT",CD20))),NOT(ISNUMBER(FIND("ACTUAL",CD20))),LEN(CD20)&lt;=16))+32768*(OR(ISNUMBER(FIND("DESIC",CD20)),ISNUMBER(FIND("DESSIC",CD20)))))</f>
        <v/>
      </c>
      <c r="CE155">
        <f>IF(CE20="",0,2*(OR(ISNUMBER(FIND("WORKCENTER",CE20)),AND(LEFT(CE20,4)="LINE",NOT(ISNUMBER(FIND("STATUS",CE20))))))+4*(OR(ISNUMBER(FIND("WORKORDER",CE20)),AND(LEFT(CE20,2)="WO",OR(ISNUMBER(FIND("NUM",CE20)),RIGHT(CE20,2)="NO"))))+8*(LEFT(CE20,3)="SEQ")+16*(AND(LEFT(CE20,4)="ITEM",NOT(ISNUMBER(FIND("DESC",CE20)))))+32*(AND(ISNUMBER(FIND("DESC",CE20)),NOT(ISNUMBER(FIND("CAP",CE20)))))+64*(OR(RIGHT(CE20,5)="COUNT",RIGHT(CE20,2)="CT"))+128*(ISNUMBER(FIND("BULK",CE20)))+256*(ISNUMBER(FIND("SIZE",CE20)))+512*(LEFT(CE20,3)="CAP")+1024*(ISNUMBER(FIND("ALLERG",CE20)))+2048*(OR(ISNUMBER(FIND("REMARK",CE20)),ISNUMBER(FIND("COMMENT",CE20))))+4096*(OR(ISNUMBER(FIND("QTY",CE20)),ISNUMBER(FIND("QUANTITY",CE20))))+8192*(AND(OR(ISNUMBER(FIND("COMPLETE",CE20)),ISNUMBER(FIND("PCT",CE20)),ISNUMBER(FIND("PERCENT",CE20))),NOT(ISNUMBER(FIND("ACTUAL",CE20))),LEN(CE20)&lt;=16))+32768*(OR(ISNUMBER(FIND("DESIC",CE20)),ISNUMBER(FIND("DESSIC",CE20)))))</f>
        <v/>
      </c>
      <c r="CF155">
        <f>IF(CF20="",0,2*(OR(ISNUMBER(FIND("WORKCENTER",CF20)),AND(LEFT(CF20,4)="LINE",NOT(ISNUMBER(FIND("STATUS",CF20))))))+4*(OR(ISNUMBER(FIND("WORKORDER",CF20)),AND(LEFT(CF20,2)="WO",OR(ISNUMBER(FIND("NUM",CF20)),RIGHT(CF20,2)="NO"))))+8*(LEFT(CF20,3)="SEQ")+16*(AND(LEFT(CF20,4)="ITEM",NOT(ISNUMBER(FIND("DESC",CF20)))))+32*(AND(ISNUMBER(FIND("DESC",CF20)),NOT(ISNUMBER(FIND("CAP",CF20)))))+64*(OR(RIGHT(CF20,5)="COUNT",RIGHT(CF20,2)="CT"))+128*(ISNUMBER(FIND("BULK",CF20)))+256*(ISNUMBER(FIND("SIZE",CF20)))+512*(LEFT(CF20,3)="CAP")+1024*(ISNUMBER(FIND("ALLERG",CF20)))+2048*(OR(ISNUMBER(FIND("REMARK",CF20)),ISNUMBER(FIND("COMMENT",CF20))))+4096*(OR(ISNUMBER(FIND("QTY",CF20)),ISNUMBER(FIND("QUANTITY",CF20))))+8192*(AND(OR(ISNUMBER(FIND("COMPLETE",CF20)),ISNUMBER(FIND("PCT",CF20)),ISNUMBER(FIND("PERCENT",CF20))),NOT(ISNUMBER(FIND("ACTUAL",CF20))),LEN(CF20)&lt;=16))+32768*(OR(ISNUMBER(FIND("DESIC",CF20)),ISNUMBER(FIND("DESSIC",CF20)))))</f>
        <v/>
      </c>
      <c r="DA155" t="n">
        <v>151</v>
      </c>
      <c r="DB155">
        <f>IF($B$37=0,"",IFERROR(TRIM(SUBSTITUTE(SUBSTITUTE(SUBSTITUTE(SUBSTITUTE(INDEX(PASTE_ALL,151,$B$37)," "," "),CHAR(9)," "),CHAR(10)," "),CHAR(13)," ")),""))</f>
        <v/>
      </c>
      <c r="DC155">
        <f>IF(AND(151&gt;HEADER_ROW,UPPER(DB155)="LEGEND"),1,0)</f>
        <v/>
      </c>
      <c r="DE155" t="n">
        <v>151</v>
      </c>
      <c r="DF155">
        <f>HEADER_ROW+$DE155</f>
        <v/>
      </c>
      <c r="DG155">
        <f>IF(AND($DF155&lt;=1000,$DF155&lt;$B$8),1,0)</f>
        <v/>
      </c>
      <c r="DH155">
        <f>IF($DG155=1,IFERROR(INDEX($DB$5:$DB$1004,$DF155),""),"")</f>
        <v/>
      </c>
      <c r="DI155">
        <f>IF(AND($DG155=1,$DH155&lt;&gt;""),IFERROR(SUBSTITUTE(SUBSTITUTE(TRIM(SUBSTITUTE(SUBSTITUTE(SUBSTITUTE(SUBSTITUTE(IFERROR(INDEX(PASTE_ALL,$DF155,1)&amp;"","")&amp;"␟"&amp;IFERROR(INDEX(PASTE_ALL,$DF155,2)&amp;"","")&amp;"␟"&amp;IFERROR(INDEX(PASTE_ALL,$DF155,3)&amp;"","")&amp;"␟"&amp;IFERROR(INDEX(PASTE_ALL,$DF155,4)&amp;"","")&amp;"␟"&amp;IFERROR(INDEX(PASTE_ALL,$DF155,5)&amp;"","")&amp;"␟"&amp;IFERROR(INDEX(PASTE_ALL,$DF155,6)&amp;"","")&amp;"␟"&amp;IFERROR(INDEX(PASTE_ALL,$DF155,7)&amp;"","")&amp;"␟"&amp;IFERROR(INDEX(PASTE_ALL,$DF155,8)&amp;"","")&amp;"␟"&amp;IFERROR(INDEX(PASTE_ALL,$DF155,9)&amp;"","")&amp;"␟"&amp;IFERROR(INDEX(PASTE_ALL,$DF155,10)&amp;"","")&amp;"␟"&amp;IFERROR(INDEX(PASTE_ALL,$DF155,11)&amp;"","")&amp;"␟"&amp;IFERROR(INDEX(PASTE_ALL,$DF155,12)&amp;"","")&amp;"␟"&amp;IFERROR(INDEX(PASTE_ALL,$DF155,13)&amp;"","")&amp;"␟"&amp;IFERROR(INDEX(PASTE_ALL,$DF155,14)&amp;"","")&amp;"␟"&amp;IFERROR(INDEX(PASTE_ALL,$DF155,15)&amp;"","")&amp;"␟"&amp;IFERROR(INDEX(PASTE_ALL,$DF155,16)&amp;"","")&amp;"␟"&amp;IFERROR(INDEX(PASTE_ALL,$DF155,17)&amp;"","")&amp;"␟"&amp;IFERROR(INDEX(PASTE_ALL,$DF155,18)&amp;"","")&amp;"␟"&amp;IFERROR(INDEX(PASTE_ALL,$DF155,19)&amp;"","")&amp;"␟"&amp;IFERROR(INDEX(PASTE_ALL,$DF155,20)&amp;"","")&amp;"␟"&amp;IFERROR(INDEX(PASTE_ALL,$DF155,21)&amp;"","")&amp;"␟"&amp;IFERROR(INDEX(PASTE_ALL,$DF155,22)&amp;"","")&amp;"␟"&amp;IFERROR(INDEX(PASTE_ALL,$DF155,23)&amp;"","")&amp;"␟"&amp;IFERROR(INDEX(PASTE_ALL,$DF155,24)&amp;"","")&amp;"␟"&amp;IFERROR(INDEX(PASTE_ALL,$DF155,25)&amp;"","")&amp;"␟"&amp;IFERROR(INDEX(PASTE_ALL,$DF155,26)&amp;"","")&amp;"␟"&amp;IFERROR(INDEX(PASTE_ALL,$DF155,27)&amp;"","")&amp;"␟"&amp;IFERROR(INDEX(PASTE_ALL,$DF155,28)&amp;"","")&amp;"␟"&amp;IFERROR(INDEX(PASTE_ALL,$DF155,29)&amp;"","")&amp;"␟"&amp;IFERROR(INDEX(PASTE_ALL,$DF155,30)&amp;"","")&amp;"␟"&amp;IFERROR(INDEX(PASTE_ALL,$DF155,31)&amp;"","")&amp;"␟"&amp;IFERROR(INDEX(PASTE_ALL,$DF155,32)&amp;"","")&amp;"␟"&amp;IFERROR(INDEX(PASTE_ALL,$DF155,33)&amp;"","")&amp;"␟"&amp;IFERROR(INDEX(PASTE_ALL,$DF155,34)&amp;"","")&amp;"␟"&amp;IFERROR(INDEX(PASTE_ALL,$DF155,35)&amp;"","")&amp;"␟"&amp;IFERROR(INDEX(PASTE_ALL,$DF155,36)&amp;"","")&amp;"␟"&amp;IFERROR(INDEX(PASTE_ALL,$DF155,37)&amp;"","")&amp;"␟"&amp;IFERROR(INDEX(PASTE_ALL,$DF155,38)&amp;"","")&amp;"␟"&amp;IFERROR(INDEX(PASTE_ALL,$DF155,39)&amp;"","")&amp;"␟"&amp;IFERROR(INDEX(PASTE_ALL,$DF155,40)&amp;"","")&amp;"␟"&amp;IFERROR(INDEX(PASTE_ALL,$DF155,41)&amp;"","")&amp;"␟"&amp;IFERROR(INDEX(PASTE_ALL,$DF155,42)&amp;"","")&amp;"␟"&amp;IFERROR(INDEX(PASTE_ALL,$DF155,43)&amp;"","")&amp;"␟"&amp;IFERROR(INDEX(PASTE_ALL,$DF155,44)&amp;"","")&amp;"␟"&amp;IFERROR(INDEX(PASTE_ALL,$DF155,45)&amp;"","")&amp;"␟"&amp;IFERROR(INDEX(PASTE_ALL,$DF155,46)&amp;"","")&amp;"␟"&amp;IFERROR(INDEX(PASTE_ALL,$DF155,47)&amp;"","")&amp;"␟"&amp;IFERROR(INDEX(PASTE_ALL,$DF155,48)&amp;"","")&amp;"␟"&amp;IFERROR(INDEX(PASTE_ALL,$DF155,49)&amp;"","")&amp;"␟"&amp;IFERROR(INDEX(PASTE_ALL,$DF155,50)&amp;"","")&amp;"␟"&amp;IFERROR(INDEX(PASTE_ALL,$DF155,51)&amp;"","")&amp;"␟"&amp;IFERROR(INDEX(PASTE_ALL,$DF155,52)&amp;"","")&amp;"␟"&amp;IFERROR(INDEX(PASTE_ALL,$DF155,53)&amp;"","")&amp;"␟"&amp;IFERROR(INDEX(PASTE_ALL,$DF155,54)&amp;"","")&amp;"␟"&amp;IFERROR(INDEX(PASTE_ALL,$DF155,55)&amp;"","")&amp;"␟"&amp;IFERROR(INDEX(PASTE_ALL,$DF155,56)&amp;"","")&amp;"␟"&amp;IFERROR(INDEX(PASTE_ALL,$DF155,57)&amp;"","")&amp;"␟"&amp;IFERROR(INDEX(PASTE_ALL,$DF155,58)&amp;"","")&amp;"␟"&amp;IFERROR(INDEX(PASTE_ALL,$DF155,59)&amp;"","")&amp;"␟"&amp;IFERROR(INDEX(PASTE_ALL,$DF155,60)&amp;"","")," "," "),CHAR(9)," "),CHAR(10)," "),CHAR(13)," "))," ␟","␟"),"␟ ","␟"),"#"&amp;$DE155),"")</f>
        <v/>
      </c>
      <c r="DJ155">
        <f>IF($DI155="",0,IF(SUMPRODUCT(--EXACT($DI$4:DI154,$DI155))&gt;0,1,0))</f>
        <v/>
      </c>
      <c r="DK155">
        <f>IF(AND($DI155&lt;&gt;"",$DJ155=0),1,0)</f>
        <v/>
      </c>
      <c r="DL155">
        <f>DL154+$DK155</f>
        <v/>
      </c>
      <c r="DM155">
        <f>IF(AND($DK155=1,$DL155&lt;=600),1,0)</f>
        <v/>
      </c>
      <c r="DN155">
        <f>IF($DM155=0,"",IF($L$6=0,"",IFERROR(IF(ISNUMBER(INDEX(PASTE_ALL,$DF155,$L$6)),INDEX(PASTE_ALL,$DF155,$L$6),TRIM(SUBSTITUTE(SUBSTITUTE(SUBSTITUTE(SUBSTITUTE(INDEX(PASTE_ALL,$DF155,$L$6)," "," "),CHAR(9)," "),CHAR(10)," "),CHAR(13)," "))),"")))</f>
        <v/>
      </c>
      <c r="DO155">
        <f>IF($DM155=0,"",IF($L$7=0,"",IFERROR(IF(ISNUMBER(INDEX(PASTE_ALL,$DF155,$L$7)),INDEX(PASTE_ALL,$DF155,$L$7),TRIM(SUBSTITUTE(SUBSTITUTE(SUBSTITUTE(SUBSTITUTE(INDEX(PASTE_ALL,$DF155,$L$7)," "," "),CHAR(9)," "),CHAR(10)," "),CHAR(13)," "))),"")))</f>
        <v/>
      </c>
      <c r="DP155">
        <f>IF($DM155=0,"",IF($L$8=0,"",IFERROR(IF(ISNUMBER(INDEX(PASTE_ALL,$DF155,$L$8)),INDEX(PASTE_ALL,$DF155,$L$8),TRIM(SUBSTITUTE(SUBSTITUTE(SUBSTITUTE(SUBSTITUTE(INDEX(PASTE_ALL,$DF155,$L$8)," "," "),CHAR(9)," "),CHAR(10)," "),CHAR(13)," "))),"")))</f>
        <v/>
      </c>
      <c r="DQ155">
        <f>IF($DM155=0,"",IF($L$9=0,"",IFERROR(IF(ISNUMBER(INDEX(PASTE_ALL,$DF155,$L$9)),INDEX(PASTE_ALL,$DF155,$L$9),TRIM(SUBSTITUTE(SUBSTITUTE(SUBSTITUTE(SUBSTITUTE(INDEX(PASTE_ALL,$DF155,$L$9)," "," "),CHAR(9)," "),CHAR(10)," "),CHAR(13)," "))),"")))</f>
        <v/>
      </c>
      <c r="DR155">
        <f>IF($DM155=0,"",IF($L$10=0,"",IFERROR(IF(ISNUMBER(INDEX(PASTE_ALL,$DF155,$L$10)),INDEX(PASTE_ALL,$DF155,$L$10),TRIM(SUBSTITUTE(SUBSTITUTE(SUBSTITUTE(SUBSTITUTE(INDEX(PASTE_ALL,$DF155,$L$10)," "," "),CHAR(9)," "),CHAR(10)," "),CHAR(13)," "))),"")))</f>
        <v/>
      </c>
      <c r="DS155">
        <f>IF($DM155=0,"",IF($L$11=0,"",IFERROR(IF(ISNUMBER(INDEX(PASTE_ALL,$DF155,$L$11)),INDEX(PASTE_ALL,$DF155,$L$11),TRIM(SUBSTITUTE(SUBSTITUTE(SUBSTITUTE(SUBSTITUTE(INDEX(PASTE_ALL,$DF155,$L$11)," "," "),CHAR(9)," "),CHAR(10)," "),CHAR(13)," "))),"")))</f>
        <v/>
      </c>
      <c r="DT155">
        <f>IF($DM155=0,"",IF($L$12=0,"",IFERROR(IF(ISNUMBER(INDEX(PASTE_ALL,$DF155,$L$12)),INDEX(PASTE_ALL,$DF155,$L$12),TRIM(SUBSTITUTE(SUBSTITUTE(SUBSTITUTE(SUBSTITUTE(INDEX(PASTE_ALL,$DF155,$L$12)," "," "),CHAR(9)," "),CHAR(10)," "),CHAR(13)," "))),"")))</f>
        <v/>
      </c>
      <c r="DU155">
        <f>IF($DM155=0,"",IF($L$13=0,"",IFERROR(IF(ISNUMBER(INDEX(PASTE_ALL,$DF155,$L$13)),INDEX(PASTE_ALL,$DF155,$L$13),TRIM(SUBSTITUTE(SUBSTITUTE(SUBSTITUTE(SUBSTITUTE(INDEX(PASTE_ALL,$DF155,$L$13)," "," "),CHAR(9)," "),CHAR(10)," "),CHAR(13)," "))),"")))</f>
        <v/>
      </c>
      <c r="DV155">
        <f>IF($DM155=0,"",IF($L$14=0,"",IFERROR(IF(ISNUMBER(INDEX(PASTE_ALL,$DF155,$L$14)),INDEX(PASTE_ALL,$DF155,$L$14),TRIM(SUBSTITUTE(SUBSTITUTE(SUBSTITUTE(SUBSTITUTE(INDEX(PASTE_ALL,$DF155,$L$14)," "," "),CHAR(9)," "),CHAR(10)," "),CHAR(13)," "))),"")))</f>
        <v/>
      </c>
      <c r="DW155">
        <f>IF($DM155=0,"",IF($L$15=0,"",IFERROR(IF(ISNUMBER(INDEX(PASTE_ALL,$DF155,$L$15)),INDEX(PASTE_ALL,$DF155,$L$15),IF(SUMPRODUCT(--ISNUMBER(FIND({"A","B","C","D","E","F","G","H","I","J","K","L","M","N","O","P","Q","R","S","T","U","V","W","X","Y","Z","0","1","2","3","4","5","6","7","8","9"},UPPER(TRIM(SUBSTITUTE(SUBSTITUTE(SUBSTITUTE(SUBSTITUTE(INDEX(PASTE_ALL,$DF155,$L$15)," "," "),CHAR(9)," "),CHAR(10)," "),CHAR(13)," "))))))&gt;0,TRIM(SUBSTITUTE(SUBSTITUTE(SUBSTITUTE(SUBSTITUTE(INDEX(PASTE_ALL,$DF155,$L$15)," "," "),CHAR(9)," "),CHAR(10)," "),CHAR(13)," ")),"")),"")))</f>
        <v/>
      </c>
      <c r="DX155">
        <f>IF($DM155=0,"",IF($L$16=0,"",IFERROR(IF(ISNUMBER(INDEX(PASTE_ALL,$DF155,$L$16)),INDEX(PASTE_ALL,$DF155,$L$16),SUBSTITUTE(SUBSTITUTE(TRIM(SUBSTITUTE(SUBSTITUTE(SUBSTITUTE(SUBSTITUTE(INDEX(PASTE_ALL,$DF155,$L$16)," "," "),CHAR(9)," "),CHAR(10)," "),CHAR(13)," ")),",",""),"%","")),"")))</f>
        <v/>
      </c>
      <c r="DY155">
        <f>IF($DM155=0,"",IFERROR(IF(ISNUMBER($DX155),$DX155,IF($DX155="","",IF(TRIM($DX155)="",0,IF(AND(AND(SUBSTITUTE(SUBSTITUTE(SUBSTITUTE(SUBSTITUTE(SUBSTITUTE(SUBSTITUTE(SUBSTITUTE(SUBSTITUTE(SUBSTITUTE(SUBSTITUTE(SUBSTITUTE(SUBSTITUTE(SUBSTITUTE(SUBSTITUTE(UPPER(TRIM($DX155)),"0",""),"1",""),"2",""),"3",""),"4",""),"5",""),"6",""),"7",""),"8",""),"9",""),".",""),"+",""),"-",""),"E","")="",LEN(SUBSTITUTE(SUBSTITUTE(MID(UPPER(TRIM($DX155)),1+OR(LEFT(UPPER(TRIM($DX155)),1)="+",LEFT(UPPER(TRIM($DX155)),1)="-"),999),"E+","E"),"E-","E"))=LEN(SUBSTITUTE(SUBSTITUTE(SUBSTITUTE(SUBSTITUTE(MID(UPPER(TRIM($DX155)),1+OR(LEFT(UPPER(TRIM($DX155)),1)="+",LEFT(UPPER(TRIM($DX155)),1)="-"),999),"E+","E"),"E-","E"),"+",""),"-","")),LEN(UPPER(TRIM($DX155)))-LEN(SUBSTITUTE(UPPER(TRIM($DX155)),"E",""))&lt;2,LEN(UPPER(TRIM($DX155)))-LEN(SUBSTITUTE(UPPER(TRIM($DX155)),".",""))&lt;2,IFERROR(FIND(".",UPPER(TRIM($DX155))),0)&lt;IFERROR(FIND("E",UPPER(TRIM($DX155))),999)),ISNUMBER(VALUE(TRIM($DX155)))),VALUE(TRIM($DX155)),"")))),""))</f>
        <v/>
      </c>
      <c r="DZ155">
        <f>IF($DM155=0,"",IF($L$17=0,"",IFERROR(IF(ISNUMBER(INDEX(PASTE_ALL,$DF155,$L$17)),INDEX(PASTE_ALL,$DF155,$L$17),SUBSTITUTE(SUBSTITUTE(TRIM(SUBSTITUTE(SUBSTITUTE(SUBSTITUTE(SUBSTITUTE(INDEX(PASTE_ALL,$DF155,$L$17)," "," "),CHAR(9)," "),CHAR(10)," "),CHAR(13)," ")),",",""),"%","")),"")))</f>
        <v/>
      </c>
      <c r="EA155">
        <f>IF($DM155=0,"",IFERROR(IF(ISNUMBER($DZ155),$DZ155,IF($DZ155="","",IF(TRIM($DZ155)="",0,IF(AND(AND(SUBSTITUTE(SUBSTITUTE(SUBSTITUTE(SUBSTITUTE(SUBSTITUTE(SUBSTITUTE(SUBSTITUTE(SUBSTITUTE(SUBSTITUTE(SUBSTITUTE(SUBSTITUTE(SUBSTITUTE(SUBSTITUTE(SUBSTITUTE(UPPER(TRIM($DZ155)),"0",""),"1",""),"2",""),"3",""),"4",""),"5",""),"6",""),"7",""),"8",""),"9",""),".",""),"+",""),"-",""),"E","")="",LEN(SUBSTITUTE(SUBSTITUTE(MID(UPPER(TRIM($DZ155)),1+OR(LEFT(UPPER(TRIM($DZ155)),1)="+",LEFT(UPPER(TRIM($DZ155)),1)="-"),999),"E+","E"),"E-","E"))=LEN(SUBSTITUTE(SUBSTITUTE(SUBSTITUTE(SUBSTITUTE(MID(UPPER(TRIM($DZ155)),1+OR(LEFT(UPPER(TRIM($DZ155)),1)="+",LEFT(UPPER(TRIM($DZ155)),1)="-"),999),"E+","E"),"E-","E"),"+",""),"-","")),LEN(UPPER(TRIM($DZ155)))-LEN(SUBSTITUTE(UPPER(TRIM($DZ155)),"E",""))&lt;2,LEN(UPPER(TRIM($DZ155)))-LEN(SUBSTITUTE(UPPER(TRIM($DZ155)),".",""))&lt;2,IFERROR(FIND(".",UPPER(TRIM($DZ155))),0)&lt;IFERROR(FIND("E",UPPER(TRIM($DZ155))),999)),ISNUMBER(VALUE(TRIM($DZ155)))),VALUE(TRIM($DZ155)),"")))),""))</f>
        <v/>
      </c>
      <c r="EB155">
        <f>IF($DM155=0,"",IF($L$18=0,"",IFERROR(IF(UPPER(TRIM(SUBSTITUTE(SUBSTITUTE(SUBSTITUTE(SUBSTITUTE(INDEX(PASTE_ALL,$DF155,$L$18)," "," "),CHAR(9)," "),CHAR(10)," "),CHAR(13)," ")))="READY","Ready",IF(UPPER(TRIM(SUBSTITUTE(SUBSTITUTE(SUBSTITUTE(SUBSTITUTE(INDEX(PASTE_ALL,$DF155,$L$18)," "," "),CHAR(9)," "),CHAR(10)," "),CHAR(13)," ")))="PM","PM",IF(OR(UPPER(TRIM(SUBSTITUTE(SUBSTITUTE(SUBSTITUTE(SUBSTITUTE(INDEX(PASTE_ALL,$DF155,$L$18)," "," "),CHAR(9)," "),CHAR(10)," "),CHAR(13)," ")))="OT",UPPER(TRIM(SUBSTITUTE(SUBSTITUTE(SUBSTITUTE(SUBSTITUTE(INDEX(PASTE_ALL,$DF155,$L$18)," "," "),CHAR(9)," "),CHAR(10)," "),CHAR(13)," ")))="OVERTIME",UPPER(TRIM(SUBSTITUTE(SUBSTITUTE(SUBSTITUTE(SUBSTITUTE(INDEX(PASTE_ALL,$DF155,$L$18)," "," "),CHAR(9)," "),CHAR(10)," "),CHAR(13)," ")))="TRIAL"),"OT",TRIM(SUBSTITUTE(SUBSTITUTE(SUBSTITUTE(SUBSTITUTE(INDEX(PASTE_ALL,$DF155,$L$18)," "," "),CHAR(9)," "),CHAR(10)," "),CHAR(13)," "))))),"")))</f>
        <v/>
      </c>
      <c r="EC155">
        <f>IF($DM155=0,"",IF($L$19=0,"",IFERROR(IF(ISNUMBER(INDEX(PASTE_ALL,$DF155,$L$19)),INDEX(PASTE_ALL,$DF155,$L$19),TRIM(SUBSTITUTE(SUBSTITUTE(SUBSTITUTE(SUBSTITUTE(INDEX(PASTE_ALL,$DF155,$L$19)," "," "),CHAR(9)," "),CHAR(10)," "),CHAR(13)," "))),"")))</f>
        <v/>
      </c>
      <c r="ED155">
        <f>IF($DM155=0,"",MATCH(1,INDEX(EXACT($DH$5:DH155,$DH155)*$DM$5:DM155,0),0))</f>
        <v/>
      </c>
      <c r="EE155">
        <f>IF($DM155=0,0,IF($ED155=$DE155,1,0))</f>
        <v/>
      </c>
      <c r="EF155">
        <f>EF154+$EE155</f>
        <v/>
      </c>
      <c r="EG155">
        <f>IF($DM155=0,"",INDEX($EF$5:$EF$1003,$ED155))</f>
        <v/>
      </c>
      <c r="EH155">
        <f>IF($DM155=0,"",IF($DO155&lt;&gt;"","",IFERROR(LOOKUP(2,1/(($EG$4:EG154=$EG155)*($DO$4:DO154&lt;&gt;"")),$DO$4:DO154),"")))</f>
        <v/>
      </c>
      <c r="EI155">
        <f>IF($DM155=0,"",IF($DO155&lt;&gt;"",$DO155,$EH155))</f>
        <v/>
      </c>
      <c r="EJ155">
        <f>IF($DM155=0,"",IF($EI155="",0,IF(OR(ISNUMBER($EI155),AND(AND(SUBSTITUTE(SUBSTITUTE(SUBSTITUTE(SUBSTITUTE(SUBSTITUTE(SUBSTITUTE(SUBSTITUTE(SUBSTITUTE(SUBSTITUTE(SUBSTITUTE(SUBSTITUTE(SUBSTITUTE(SUBSTITUTE(SUBSTITUTE(UPPER($EI155),"0",""),"1",""),"2",""),"3",""),"4",""),"5",""),"6",""),"7",""),"8",""),"9",""),".",""),"+",""),"-",""),"E","")="",LEN(SUBSTITUTE(SUBSTITUTE(MID(UPPER($EI155),1+OR(LEFT(UPPER($EI155),1)="+",LEFT(UPPER($EI155),1)="-"),999),"E+","E"),"E-","E"))=LEN(SUBSTITUTE(SUBSTITUTE(SUBSTITUTE(SUBSTITUTE(MID(UPPER($EI155),1+OR(LEFT(UPPER($EI155),1)="+",LEFT(UPPER($EI155),1)="-"),999),"E+","E"),"E-","E"),"+",""),"-","")),LEN(UPPER($EI155))-LEN(SUBSTITUTE(UPPER($EI155),"E",""))&lt;2,LEN(UPPER($EI155))-LEN(SUBSTITUTE(UPPER($EI155),".",""))&lt;2,IFERROR(FIND(".",UPPER($EI155)),0)&lt;IFERROR(FIND("E",UPPER($EI155)),999)),ISNUMBER(VALUE($EI155)))),1,2)))</f>
        <v/>
      </c>
      <c r="EK155">
        <f>IF($DM155=0,"",IF($EJ155=1,IF(ISNUMBER($EI155),$EI155,VALUE($EI155)),IF($EJ155=2,$DE155,0)))</f>
        <v/>
      </c>
      <c r="EL155">
        <f>IF($DM155=0,"",COUNTIF($EG$5:$EG$1003,"&lt;"&amp;$EG155)+SUMPRODUCT(($EG$5:$EG$1003=$EG155)*(($EJ$5:$EJ$1003&lt;$EJ155)+($EJ$5:$EJ$1003=$EJ155)*(($EK$5:$EK$1003&lt;$EK155)+($EK$5:$EK$1003=$EK155)*($DE$5:$DE$1003&lt;$DE155))))+1)</f>
        <v/>
      </c>
      <c r="EM155">
        <f>IF($DM155=0,"",$EL155+$EG155-1)</f>
        <v/>
      </c>
      <c r="EN155">
        <f>IF($DM155=0,0,IFERROR(MATCH(1,INDEX(--(TRIM(SUBSTITUTE(SUBSTITUTE(SUBSTITUTE(SUBSTITUTE(LINES_NAME&amp;""," "," "),CHAR(9)," "),CHAR(10)," "),CHAR(13)," "))=$DH155),0),0),0))</f>
        <v/>
      </c>
      <c r="EO155">
        <f>IF($EN155=0,0,IF(OR(UPPER(TRIM(INDEX(LINES_SCHEDULED,$EN155)&amp;""))="YES",UPPER(TRIM(INDEX(LINES_SCHEDULED,$EN155)&amp;""))="Y",UPPER(TRIM(INDEX(LINES_SCHEDULED,$EN155)&amp;""))="X"),1,0))</f>
        <v/>
      </c>
      <c r="EP155">
        <f>IF($DM155=0,"",IF(COUNTIFS($EG$5:$EG$1003,$EG155,$EB$5:$EB$1003,"Ready")&gt;0,"READY",IF(COUNTIFS($EG$5:$EG$1003,$EG155,$EB$5:$EB$1003,"PM")&gt;0,"PM",IF(COUNTIFS($EG$5:$EG$1003,$EG155,$EB$5:$EB$1003,"OT")&gt;0,"OT",""))))</f>
        <v/>
      </c>
      <c r="EQ155">
        <f>IF($EN155=0,"",UPPER(TRIM(INDEX(LINES_STATUS,$EN155)&amp;"")))</f>
        <v/>
      </c>
      <c r="ER155">
        <f>IF($DM155=0,"",IF(OR($EQ155="READY",$EQ155="PM",$EQ155="OT"),$EQ155,$EP155))</f>
        <v/>
      </c>
      <c r="ES155">
        <f>IF($DM155=0,"",IF(AND($DV155&lt;&gt;"",UPPER($DV155)&lt;&gt;"N"),"allergen",IF(ISNUMBER(SEARCH("oil",$DQ155)),"oil",IF(OR(EXACT($DS155,"A662"),EXACT($DS155,"A624")),"bulk",""))))</f>
        <v/>
      </c>
      <c r="ET155">
        <f>IF($DM155=0,"",IF(OR($EA155="",$EA155=0),"",$EA155/100))</f>
        <v/>
      </c>
      <c r="EU155">
        <f>IF(OR($ET155="",$DY155=""),"",INT($DY155*(1-$ET155)+0.5))</f>
        <v/>
      </c>
      <c r="EW155" t="n">
        <v>151</v>
      </c>
      <c r="EX155">
        <f>IFERROR(MATCH($EW155,$EM$5:$EM$1003,0),0)</f>
        <v/>
      </c>
      <c r="EY155">
        <f>IF($EW155&gt;$B$12,"",IF($EX155&gt;0,"row","spacer"))</f>
        <v/>
      </c>
      <c r="EZ155">
        <f>IF(AND($EY155="row",$EY154&lt;&gt;"row"),1,0)</f>
        <v/>
      </c>
      <c r="FA155">
        <f>IF(AND($EY155="row",$EY156&lt;&gt;"row"),1,0)</f>
        <v/>
      </c>
      <c r="FB155">
        <f>IF($EZ155=1,IFERROR(IF(ISNUMBER(INDEX(PASTE_ALL,INDEX($DF$5:$DF$1003,$EX155),$B$37)),INDEX(PASTE_ALL,INDEX($DF$5:$DF$1003,$EX155),$B$37),INDEX($DH$5:$DH$1003,$EX155)),INDEX($DH$5:$DH$1003,$EX155)),"")</f>
        <v/>
      </c>
      <c r="FC155">
        <f>IF($EY155="row",INDEX($ER$5:$ER$1003,$EX155),"")</f>
        <v/>
      </c>
      <c r="FD155">
        <f>IF($EY155="row",INDEX($DN$5:$DN$1003,$EX155),"")</f>
        <v/>
      </c>
      <c r="FE155">
        <f>IF($EY155="row",INDEX($DO$5:$DO$1003,$EX155),"")</f>
        <v/>
      </c>
      <c r="FF155">
        <f>IF($EY155="row",INDEX($DP$5:$DP$1003,$EX155),"")</f>
        <v/>
      </c>
      <c r="FG155">
        <f>IF($EY155="row",INDEX($DQ$5:$DQ$1003,$EX155),"")</f>
        <v/>
      </c>
      <c r="FH155">
        <f>IF($EY155="row",INDEX($DR$5:$DR$1003,$EX155),"")</f>
        <v/>
      </c>
      <c r="FI155">
        <f>IF($EY155="row",INDEX($DS$5:$DS$1003,$EX155),"")</f>
        <v/>
      </c>
      <c r="FJ155">
        <f>IF($EY155="row",INDEX($DT$5:$DT$1003,$EX155),"")</f>
        <v/>
      </c>
      <c r="FK155">
        <f>IF($EY155="row",INDEX($DU$5:$DU$1003,$EX155),"")</f>
        <v/>
      </c>
      <c r="FL155">
        <f>IF($EY155="row",INDEX($DV$5:$DV$1003,$EX155),"")</f>
        <v/>
      </c>
      <c r="FM155">
        <f>IF($EY155="row",INDEX($DW$5:$DW$1003,$EX155),"")</f>
        <v/>
      </c>
      <c r="FN155">
        <f>IF($EY155="row",INDEX($DY$5:$DY$1003,$EX155),"")</f>
        <v/>
      </c>
      <c r="FO155">
        <f>IF($EY155="row",INDEX($EA$5:$EA$1003,$EX155),"")</f>
        <v/>
      </c>
      <c r="FP155">
        <f>IF($EY155="row",INDEX($EC$5:$EC$1003,$EX155),"")</f>
        <v/>
      </c>
      <c r="FQ155">
        <f>IF($EY155="row",INDEX($ET$5:$ET$1003,$EX155),"")</f>
        <v/>
      </c>
      <c r="FR155">
        <f>IF($EY155="row",INDEX($EU$5:$EU$1003,$EX155),"")</f>
        <v/>
      </c>
      <c r="FS155">
        <f>IF(AND($EY155="row",$EY154="row"),IF(OR(INDEX($DT$5:$DT$1003,$EX154)="",INDEX($DT$5:$DT$1003,$EX155)=""),"",IF(NOT(EXACT(INDEX($DT$5:$DT$1003,$EX154),INDEX($DT$5:$DT$1003,$EX155))),"S4",IF(NOT(EXACT(INDEX($DS$5:$DS$1003,$EX154),INDEX($DS$5:$DS$1003,$EX155))),"S3",IF(NOT(EXACT(INDEX($DR$5:$DR$1003,$EX154),INDEX($DR$5:$DR$1003,$EX155))),"S1 Count Change","S1")))),"")</f>
        <v/>
      </c>
      <c r="FT155">
        <f>IF($EY155="row",INDEX($ES$5:$ES$1003,$EX155),"")</f>
        <v/>
      </c>
      <c r="FU155">
        <f>IF($EY155="row",INDEX($EO$5:$EO$1003,$EX155),0)</f>
        <v/>
      </c>
      <c r="FV155">
        <f>IF($FS155="S1 Count Change",1,0)</f>
        <v/>
      </c>
    </row>
    <row r="156">
      <c r="Y156">
        <f>IF(Y21="",0,2*(OR(ISNUMBER(FIND("WORKCENTER",Y21)),AND(LEFT(Y21,4)="LINE",NOT(ISNUMBER(FIND("STATUS",Y21))))))+4*(OR(ISNUMBER(FIND("WORKORDER",Y21)),AND(LEFT(Y21,2)="WO",OR(ISNUMBER(FIND("NUM",Y21)),RIGHT(Y21,2)="NO"))))+8*(LEFT(Y21,3)="SEQ")+16*(AND(LEFT(Y21,4)="ITEM",NOT(ISNUMBER(FIND("DESC",Y21)))))+32*(AND(ISNUMBER(FIND("DESC",Y21)),NOT(ISNUMBER(FIND("CAP",Y21)))))+64*(OR(RIGHT(Y21,5)="COUNT",RIGHT(Y21,2)="CT"))+128*(ISNUMBER(FIND("BULK",Y21)))+256*(ISNUMBER(FIND("SIZE",Y21)))+512*(LEFT(Y21,3)="CAP")+1024*(ISNUMBER(FIND("ALLERG",Y21)))+2048*(OR(ISNUMBER(FIND("REMARK",Y21)),ISNUMBER(FIND("COMMENT",Y21))))+4096*(OR(ISNUMBER(FIND("QTY",Y21)),ISNUMBER(FIND("QUANTITY",Y21))))+8192*(AND(OR(ISNUMBER(FIND("COMPLETE",Y21)),ISNUMBER(FIND("PCT",Y21)),ISNUMBER(FIND("PERCENT",Y21))),NOT(ISNUMBER(FIND("ACTUAL",Y21))),LEN(Y21)&lt;=16))+32768*(OR(ISNUMBER(FIND("DESIC",Y21)),ISNUMBER(FIND("DESSIC",Y21)))))</f>
        <v/>
      </c>
      <c r="Z156">
        <f>IF(Z21="",0,2*(OR(ISNUMBER(FIND("WORKCENTER",Z21)),AND(LEFT(Z21,4)="LINE",NOT(ISNUMBER(FIND("STATUS",Z21))))))+4*(OR(ISNUMBER(FIND("WORKORDER",Z21)),AND(LEFT(Z21,2)="WO",OR(ISNUMBER(FIND("NUM",Z21)),RIGHT(Z21,2)="NO"))))+8*(LEFT(Z21,3)="SEQ")+16*(AND(LEFT(Z21,4)="ITEM",NOT(ISNUMBER(FIND("DESC",Z21)))))+32*(AND(ISNUMBER(FIND("DESC",Z21)),NOT(ISNUMBER(FIND("CAP",Z21)))))+64*(OR(RIGHT(Z21,5)="COUNT",RIGHT(Z21,2)="CT"))+128*(ISNUMBER(FIND("BULK",Z21)))+256*(ISNUMBER(FIND("SIZE",Z21)))+512*(LEFT(Z21,3)="CAP")+1024*(ISNUMBER(FIND("ALLERG",Z21)))+2048*(OR(ISNUMBER(FIND("REMARK",Z21)),ISNUMBER(FIND("COMMENT",Z21))))+4096*(OR(ISNUMBER(FIND("QTY",Z21)),ISNUMBER(FIND("QUANTITY",Z21))))+8192*(AND(OR(ISNUMBER(FIND("COMPLETE",Z21)),ISNUMBER(FIND("PCT",Z21)),ISNUMBER(FIND("PERCENT",Z21))),NOT(ISNUMBER(FIND("ACTUAL",Z21))),LEN(Z21)&lt;=16))+32768*(OR(ISNUMBER(FIND("DESIC",Z21)),ISNUMBER(FIND("DESSIC",Z21)))))</f>
        <v/>
      </c>
      <c r="AA156">
        <f>IF(AA21="",0,2*(OR(ISNUMBER(FIND("WORKCENTER",AA21)),AND(LEFT(AA21,4)="LINE",NOT(ISNUMBER(FIND("STATUS",AA21))))))+4*(OR(ISNUMBER(FIND("WORKORDER",AA21)),AND(LEFT(AA21,2)="WO",OR(ISNUMBER(FIND("NUM",AA21)),RIGHT(AA21,2)="NO"))))+8*(LEFT(AA21,3)="SEQ")+16*(AND(LEFT(AA21,4)="ITEM",NOT(ISNUMBER(FIND("DESC",AA21)))))+32*(AND(ISNUMBER(FIND("DESC",AA21)),NOT(ISNUMBER(FIND("CAP",AA21)))))+64*(OR(RIGHT(AA21,5)="COUNT",RIGHT(AA21,2)="CT"))+128*(ISNUMBER(FIND("BULK",AA21)))+256*(ISNUMBER(FIND("SIZE",AA21)))+512*(LEFT(AA21,3)="CAP")+1024*(ISNUMBER(FIND("ALLERG",AA21)))+2048*(OR(ISNUMBER(FIND("REMARK",AA21)),ISNUMBER(FIND("COMMENT",AA21))))+4096*(OR(ISNUMBER(FIND("QTY",AA21)),ISNUMBER(FIND("QUANTITY",AA21))))+8192*(AND(OR(ISNUMBER(FIND("COMPLETE",AA21)),ISNUMBER(FIND("PCT",AA21)),ISNUMBER(FIND("PERCENT",AA21))),NOT(ISNUMBER(FIND("ACTUAL",AA21))),LEN(AA21)&lt;=16))+32768*(OR(ISNUMBER(FIND("DESIC",AA21)),ISNUMBER(FIND("DESSIC",AA21)))))</f>
        <v/>
      </c>
      <c r="AB156">
        <f>IF(AB21="",0,2*(OR(ISNUMBER(FIND("WORKCENTER",AB21)),AND(LEFT(AB21,4)="LINE",NOT(ISNUMBER(FIND("STATUS",AB21))))))+4*(OR(ISNUMBER(FIND("WORKORDER",AB21)),AND(LEFT(AB21,2)="WO",OR(ISNUMBER(FIND("NUM",AB21)),RIGHT(AB21,2)="NO"))))+8*(LEFT(AB21,3)="SEQ")+16*(AND(LEFT(AB21,4)="ITEM",NOT(ISNUMBER(FIND("DESC",AB21)))))+32*(AND(ISNUMBER(FIND("DESC",AB21)),NOT(ISNUMBER(FIND("CAP",AB21)))))+64*(OR(RIGHT(AB21,5)="COUNT",RIGHT(AB21,2)="CT"))+128*(ISNUMBER(FIND("BULK",AB21)))+256*(ISNUMBER(FIND("SIZE",AB21)))+512*(LEFT(AB21,3)="CAP")+1024*(ISNUMBER(FIND("ALLERG",AB21)))+2048*(OR(ISNUMBER(FIND("REMARK",AB21)),ISNUMBER(FIND("COMMENT",AB21))))+4096*(OR(ISNUMBER(FIND("QTY",AB21)),ISNUMBER(FIND("QUANTITY",AB21))))+8192*(AND(OR(ISNUMBER(FIND("COMPLETE",AB21)),ISNUMBER(FIND("PCT",AB21)),ISNUMBER(FIND("PERCENT",AB21))),NOT(ISNUMBER(FIND("ACTUAL",AB21))),LEN(AB21)&lt;=16))+32768*(OR(ISNUMBER(FIND("DESIC",AB21)),ISNUMBER(FIND("DESSIC",AB21)))))</f>
        <v/>
      </c>
      <c r="AC156">
        <f>IF(AC21="",0,2*(OR(ISNUMBER(FIND("WORKCENTER",AC21)),AND(LEFT(AC21,4)="LINE",NOT(ISNUMBER(FIND("STATUS",AC21))))))+4*(OR(ISNUMBER(FIND("WORKORDER",AC21)),AND(LEFT(AC21,2)="WO",OR(ISNUMBER(FIND("NUM",AC21)),RIGHT(AC21,2)="NO"))))+8*(LEFT(AC21,3)="SEQ")+16*(AND(LEFT(AC21,4)="ITEM",NOT(ISNUMBER(FIND("DESC",AC21)))))+32*(AND(ISNUMBER(FIND("DESC",AC21)),NOT(ISNUMBER(FIND("CAP",AC21)))))+64*(OR(RIGHT(AC21,5)="COUNT",RIGHT(AC21,2)="CT"))+128*(ISNUMBER(FIND("BULK",AC21)))+256*(ISNUMBER(FIND("SIZE",AC21)))+512*(LEFT(AC21,3)="CAP")+1024*(ISNUMBER(FIND("ALLERG",AC21)))+2048*(OR(ISNUMBER(FIND("REMARK",AC21)),ISNUMBER(FIND("COMMENT",AC21))))+4096*(OR(ISNUMBER(FIND("QTY",AC21)),ISNUMBER(FIND("QUANTITY",AC21))))+8192*(AND(OR(ISNUMBER(FIND("COMPLETE",AC21)),ISNUMBER(FIND("PCT",AC21)),ISNUMBER(FIND("PERCENT",AC21))),NOT(ISNUMBER(FIND("ACTUAL",AC21))),LEN(AC21)&lt;=16))+32768*(OR(ISNUMBER(FIND("DESIC",AC21)),ISNUMBER(FIND("DESSIC",AC21)))))</f>
        <v/>
      </c>
      <c r="AD156">
        <f>IF(AD21="",0,2*(OR(ISNUMBER(FIND("WORKCENTER",AD21)),AND(LEFT(AD21,4)="LINE",NOT(ISNUMBER(FIND("STATUS",AD21))))))+4*(OR(ISNUMBER(FIND("WORKORDER",AD21)),AND(LEFT(AD21,2)="WO",OR(ISNUMBER(FIND("NUM",AD21)),RIGHT(AD21,2)="NO"))))+8*(LEFT(AD21,3)="SEQ")+16*(AND(LEFT(AD21,4)="ITEM",NOT(ISNUMBER(FIND("DESC",AD21)))))+32*(AND(ISNUMBER(FIND("DESC",AD21)),NOT(ISNUMBER(FIND("CAP",AD21)))))+64*(OR(RIGHT(AD21,5)="COUNT",RIGHT(AD21,2)="CT"))+128*(ISNUMBER(FIND("BULK",AD21)))+256*(ISNUMBER(FIND("SIZE",AD21)))+512*(LEFT(AD21,3)="CAP")+1024*(ISNUMBER(FIND("ALLERG",AD21)))+2048*(OR(ISNUMBER(FIND("REMARK",AD21)),ISNUMBER(FIND("COMMENT",AD21))))+4096*(OR(ISNUMBER(FIND("QTY",AD21)),ISNUMBER(FIND("QUANTITY",AD21))))+8192*(AND(OR(ISNUMBER(FIND("COMPLETE",AD21)),ISNUMBER(FIND("PCT",AD21)),ISNUMBER(FIND("PERCENT",AD21))),NOT(ISNUMBER(FIND("ACTUAL",AD21))),LEN(AD21)&lt;=16))+32768*(OR(ISNUMBER(FIND("DESIC",AD21)),ISNUMBER(FIND("DESSIC",AD21)))))</f>
        <v/>
      </c>
      <c r="AE156">
        <f>IF(AE21="",0,2*(OR(ISNUMBER(FIND("WORKCENTER",AE21)),AND(LEFT(AE21,4)="LINE",NOT(ISNUMBER(FIND("STATUS",AE21))))))+4*(OR(ISNUMBER(FIND("WORKORDER",AE21)),AND(LEFT(AE21,2)="WO",OR(ISNUMBER(FIND("NUM",AE21)),RIGHT(AE21,2)="NO"))))+8*(LEFT(AE21,3)="SEQ")+16*(AND(LEFT(AE21,4)="ITEM",NOT(ISNUMBER(FIND("DESC",AE21)))))+32*(AND(ISNUMBER(FIND("DESC",AE21)),NOT(ISNUMBER(FIND("CAP",AE21)))))+64*(OR(RIGHT(AE21,5)="COUNT",RIGHT(AE21,2)="CT"))+128*(ISNUMBER(FIND("BULK",AE21)))+256*(ISNUMBER(FIND("SIZE",AE21)))+512*(LEFT(AE21,3)="CAP")+1024*(ISNUMBER(FIND("ALLERG",AE21)))+2048*(OR(ISNUMBER(FIND("REMARK",AE21)),ISNUMBER(FIND("COMMENT",AE21))))+4096*(OR(ISNUMBER(FIND("QTY",AE21)),ISNUMBER(FIND("QUANTITY",AE21))))+8192*(AND(OR(ISNUMBER(FIND("COMPLETE",AE21)),ISNUMBER(FIND("PCT",AE21)),ISNUMBER(FIND("PERCENT",AE21))),NOT(ISNUMBER(FIND("ACTUAL",AE21))),LEN(AE21)&lt;=16))+32768*(OR(ISNUMBER(FIND("DESIC",AE21)),ISNUMBER(FIND("DESSIC",AE21)))))</f>
        <v/>
      </c>
      <c r="AF156">
        <f>IF(AF21="",0,2*(OR(ISNUMBER(FIND("WORKCENTER",AF21)),AND(LEFT(AF21,4)="LINE",NOT(ISNUMBER(FIND("STATUS",AF21))))))+4*(OR(ISNUMBER(FIND("WORKORDER",AF21)),AND(LEFT(AF21,2)="WO",OR(ISNUMBER(FIND("NUM",AF21)),RIGHT(AF21,2)="NO"))))+8*(LEFT(AF21,3)="SEQ")+16*(AND(LEFT(AF21,4)="ITEM",NOT(ISNUMBER(FIND("DESC",AF21)))))+32*(AND(ISNUMBER(FIND("DESC",AF21)),NOT(ISNUMBER(FIND("CAP",AF21)))))+64*(OR(RIGHT(AF21,5)="COUNT",RIGHT(AF21,2)="CT"))+128*(ISNUMBER(FIND("BULK",AF21)))+256*(ISNUMBER(FIND("SIZE",AF21)))+512*(LEFT(AF21,3)="CAP")+1024*(ISNUMBER(FIND("ALLERG",AF21)))+2048*(OR(ISNUMBER(FIND("REMARK",AF21)),ISNUMBER(FIND("COMMENT",AF21))))+4096*(OR(ISNUMBER(FIND("QTY",AF21)),ISNUMBER(FIND("QUANTITY",AF21))))+8192*(AND(OR(ISNUMBER(FIND("COMPLETE",AF21)),ISNUMBER(FIND("PCT",AF21)),ISNUMBER(FIND("PERCENT",AF21))),NOT(ISNUMBER(FIND("ACTUAL",AF21))),LEN(AF21)&lt;=16))+32768*(OR(ISNUMBER(FIND("DESIC",AF21)),ISNUMBER(FIND("DESSIC",AF21)))))</f>
        <v/>
      </c>
      <c r="AG156">
        <f>IF(AG21="",0,2*(OR(ISNUMBER(FIND("WORKCENTER",AG21)),AND(LEFT(AG21,4)="LINE",NOT(ISNUMBER(FIND("STATUS",AG21))))))+4*(OR(ISNUMBER(FIND("WORKORDER",AG21)),AND(LEFT(AG21,2)="WO",OR(ISNUMBER(FIND("NUM",AG21)),RIGHT(AG21,2)="NO"))))+8*(LEFT(AG21,3)="SEQ")+16*(AND(LEFT(AG21,4)="ITEM",NOT(ISNUMBER(FIND("DESC",AG21)))))+32*(AND(ISNUMBER(FIND("DESC",AG21)),NOT(ISNUMBER(FIND("CAP",AG21)))))+64*(OR(RIGHT(AG21,5)="COUNT",RIGHT(AG21,2)="CT"))+128*(ISNUMBER(FIND("BULK",AG21)))+256*(ISNUMBER(FIND("SIZE",AG21)))+512*(LEFT(AG21,3)="CAP")+1024*(ISNUMBER(FIND("ALLERG",AG21)))+2048*(OR(ISNUMBER(FIND("REMARK",AG21)),ISNUMBER(FIND("COMMENT",AG21))))+4096*(OR(ISNUMBER(FIND("QTY",AG21)),ISNUMBER(FIND("QUANTITY",AG21))))+8192*(AND(OR(ISNUMBER(FIND("COMPLETE",AG21)),ISNUMBER(FIND("PCT",AG21)),ISNUMBER(FIND("PERCENT",AG21))),NOT(ISNUMBER(FIND("ACTUAL",AG21))),LEN(AG21)&lt;=16))+32768*(OR(ISNUMBER(FIND("DESIC",AG21)),ISNUMBER(FIND("DESSIC",AG21)))))</f>
        <v/>
      </c>
      <c r="AH156">
        <f>IF(AH21="",0,2*(OR(ISNUMBER(FIND("WORKCENTER",AH21)),AND(LEFT(AH21,4)="LINE",NOT(ISNUMBER(FIND("STATUS",AH21))))))+4*(OR(ISNUMBER(FIND("WORKORDER",AH21)),AND(LEFT(AH21,2)="WO",OR(ISNUMBER(FIND("NUM",AH21)),RIGHT(AH21,2)="NO"))))+8*(LEFT(AH21,3)="SEQ")+16*(AND(LEFT(AH21,4)="ITEM",NOT(ISNUMBER(FIND("DESC",AH21)))))+32*(AND(ISNUMBER(FIND("DESC",AH21)),NOT(ISNUMBER(FIND("CAP",AH21)))))+64*(OR(RIGHT(AH21,5)="COUNT",RIGHT(AH21,2)="CT"))+128*(ISNUMBER(FIND("BULK",AH21)))+256*(ISNUMBER(FIND("SIZE",AH21)))+512*(LEFT(AH21,3)="CAP")+1024*(ISNUMBER(FIND("ALLERG",AH21)))+2048*(OR(ISNUMBER(FIND("REMARK",AH21)),ISNUMBER(FIND("COMMENT",AH21))))+4096*(OR(ISNUMBER(FIND("QTY",AH21)),ISNUMBER(FIND("QUANTITY",AH21))))+8192*(AND(OR(ISNUMBER(FIND("COMPLETE",AH21)),ISNUMBER(FIND("PCT",AH21)),ISNUMBER(FIND("PERCENT",AH21))),NOT(ISNUMBER(FIND("ACTUAL",AH21))),LEN(AH21)&lt;=16))+32768*(OR(ISNUMBER(FIND("DESIC",AH21)),ISNUMBER(FIND("DESSIC",AH21)))))</f>
        <v/>
      </c>
      <c r="AI156">
        <f>IF(AI21="",0,2*(OR(ISNUMBER(FIND("WORKCENTER",AI21)),AND(LEFT(AI21,4)="LINE",NOT(ISNUMBER(FIND("STATUS",AI21))))))+4*(OR(ISNUMBER(FIND("WORKORDER",AI21)),AND(LEFT(AI21,2)="WO",OR(ISNUMBER(FIND("NUM",AI21)),RIGHT(AI21,2)="NO"))))+8*(LEFT(AI21,3)="SEQ")+16*(AND(LEFT(AI21,4)="ITEM",NOT(ISNUMBER(FIND("DESC",AI21)))))+32*(AND(ISNUMBER(FIND("DESC",AI21)),NOT(ISNUMBER(FIND("CAP",AI21)))))+64*(OR(RIGHT(AI21,5)="COUNT",RIGHT(AI21,2)="CT"))+128*(ISNUMBER(FIND("BULK",AI21)))+256*(ISNUMBER(FIND("SIZE",AI21)))+512*(LEFT(AI21,3)="CAP")+1024*(ISNUMBER(FIND("ALLERG",AI21)))+2048*(OR(ISNUMBER(FIND("REMARK",AI21)),ISNUMBER(FIND("COMMENT",AI21))))+4096*(OR(ISNUMBER(FIND("QTY",AI21)),ISNUMBER(FIND("QUANTITY",AI21))))+8192*(AND(OR(ISNUMBER(FIND("COMPLETE",AI21)),ISNUMBER(FIND("PCT",AI21)),ISNUMBER(FIND("PERCENT",AI21))),NOT(ISNUMBER(FIND("ACTUAL",AI21))),LEN(AI21)&lt;=16))+32768*(OR(ISNUMBER(FIND("DESIC",AI21)),ISNUMBER(FIND("DESSIC",AI21)))))</f>
        <v/>
      </c>
      <c r="AJ156">
        <f>IF(AJ21="",0,2*(OR(ISNUMBER(FIND("WORKCENTER",AJ21)),AND(LEFT(AJ21,4)="LINE",NOT(ISNUMBER(FIND("STATUS",AJ21))))))+4*(OR(ISNUMBER(FIND("WORKORDER",AJ21)),AND(LEFT(AJ21,2)="WO",OR(ISNUMBER(FIND("NUM",AJ21)),RIGHT(AJ21,2)="NO"))))+8*(LEFT(AJ21,3)="SEQ")+16*(AND(LEFT(AJ21,4)="ITEM",NOT(ISNUMBER(FIND("DESC",AJ21)))))+32*(AND(ISNUMBER(FIND("DESC",AJ21)),NOT(ISNUMBER(FIND("CAP",AJ21)))))+64*(OR(RIGHT(AJ21,5)="COUNT",RIGHT(AJ21,2)="CT"))+128*(ISNUMBER(FIND("BULK",AJ21)))+256*(ISNUMBER(FIND("SIZE",AJ21)))+512*(LEFT(AJ21,3)="CAP")+1024*(ISNUMBER(FIND("ALLERG",AJ21)))+2048*(OR(ISNUMBER(FIND("REMARK",AJ21)),ISNUMBER(FIND("COMMENT",AJ21))))+4096*(OR(ISNUMBER(FIND("QTY",AJ21)),ISNUMBER(FIND("QUANTITY",AJ21))))+8192*(AND(OR(ISNUMBER(FIND("COMPLETE",AJ21)),ISNUMBER(FIND("PCT",AJ21)),ISNUMBER(FIND("PERCENT",AJ21))),NOT(ISNUMBER(FIND("ACTUAL",AJ21))),LEN(AJ21)&lt;=16))+32768*(OR(ISNUMBER(FIND("DESIC",AJ21)),ISNUMBER(FIND("DESSIC",AJ21)))))</f>
        <v/>
      </c>
      <c r="AK156">
        <f>IF(AK21="",0,2*(OR(ISNUMBER(FIND("WORKCENTER",AK21)),AND(LEFT(AK21,4)="LINE",NOT(ISNUMBER(FIND("STATUS",AK21))))))+4*(OR(ISNUMBER(FIND("WORKORDER",AK21)),AND(LEFT(AK21,2)="WO",OR(ISNUMBER(FIND("NUM",AK21)),RIGHT(AK21,2)="NO"))))+8*(LEFT(AK21,3)="SEQ")+16*(AND(LEFT(AK21,4)="ITEM",NOT(ISNUMBER(FIND("DESC",AK21)))))+32*(AND(ISNUMBER(FIND("DESC",AK21)),NOT(ISNUMBER(FIND("CAP",AK21)))))+64*(OR(RIGHT(AK21,5)="COUNT",RIGHT(AK21,2)="CT"))+128*(ISNUMBER(FIND("BULK",AK21)))+256*(ISNUMBER(FIND("SIZE",AK21)))+512*(LEFT(AK21,3)="CAP")+1024*(ISNUMBER(FIND("ALLERG",AK21)))+2048*(OR(ISNUMBER(FIND("REMARK",AK21)),ISNUMBER(FIND("COMMENT",AK21))))+4096*(OR(ISNUMBER(FIND("QTY",AK21)),ISNUMBER(FIND("QUANTITY",AK21))))+8192*(AND(OR(ISNUMBER(FIND("COMPLETE",AK21)),ISNUMBER(FIND("PCT",AK21)),ISNUMBER(FIND("PERCENT",AK21))),NOT(ISNUMBER(FIND("ACTUAL",AK21))),LEN(AK21)&lt;=16))+32768*(OR(ISNUMBER(FIND("DESIC",AK21)),ISNUMBER(FIND("DESSIC",AK21)))))</f>
        <v/>
      </c>
      <c r="AL156">
        <f>IF(AL21="",0,2*(OR(ISNUMBER(FIND("WORKCENTER",AL21)),AND(LEFT(AL21,4)="LINE",NOT(ISNUMBER(FIND("STATUS",AL21))))))+4*(OR(ISNUMBER(FIND("WORKORDER",AL21)),AND(LEFT(AL21,2)="WO",OR(ISNUMBER(FIND("NUM",AL21)),RIGHT(AL21,2)="NO"))))+8*(LEFT(AL21,3)="SEQ")+16*(AND(LEFT(AL21,4)="ITEM",NOT(ISNUMBER(FIND("DESC",AL21)))))+32*(AND(ISNUMBER(FIND("DESC",AL21)),NOT(ISNUMBER(FIND("CAP",AL21)))))+64*(OR(RIGHT(AL21,5)="COUNT",RIGHT(AL21,2)="CT"))+128*(ISNUMBER(FIND("BULK",AL21)))+256*(ISNUMBER(FIND("SIZE",AL21)))+512*(LEFT(AL21,3)="CAP")+1024*(ISNUMBER(FIND("ALLERG",AL21)))+2048*(OR(ISNUMBER(FIND("REMARK",AL21)),ISNUMBER(FIND("COMMENT",AL21))))+4096*(OR(ISNUMBER(FIND("QTY",AL21)),ISNUMBER(FIND("QUANTITY",AL21))))+8192*(AND(OR(ISNUMBER(FIND("COMPLETE",AL21)),ISNUMBER(FIND("PCT",AL21)),ISNUMBER(FIND("PERCENT",AL21))),NOT(ISNUMBER(FIND("ACTUAL",AL21))),LEN(AL21)&lt;=16))+32768*(OR(ISNUMBER(FIND("DESIC",AL21)),ISNUMBER(FIND("DESSIC",AL21)))))</f>
        <v/>
      </c>
      <c r="AM156">
        <f>IF(AM21="",0,2*(OR(ISNUMBER(FIND("WORKCENTER",AM21)),AND(LEFT(AM21,4)="LINE",NOT(ISNUMBER(FIND("STATUS",AM21))))))+4*(OR(ISNUMBER(FIND("WORKORDER",AM21)),AND(LEFT(AM21,2)="WO",OR(ISNUMBER(FIND("NUM",AM21)),RIGHT(AM21,2)="NO"))))+8*(LEFT(AM21,3)="SEQ")+16*(AND(LEFT(AM21,4)="ITEM",NOT(ISNUMBER(FIND("DESC",AM21)))))+32*(AND(ISNUMBER(FIND("DESC",AM21)),NOT(ISNUMBER(FIND("CAP",AM21)))))+64*(OR(RIGHT(AM21,5)="COUNT",RIGHT(AM21,2)="CT"))+128*(ISNUMBER(FIND("BULK",AM21)))+256*(ISNUMBER(FIND("SIZE",AM21)))+512*(LEFT(AM21,3)="CAP")+1024*(ISNUMBER(FIND("ALLERG",AM21)))+2048*(OR(ISNUMBER(FIND("REMARK",AM21)),ISNUMBER(FIND("COMMENT",AM21))))+4096*(OR(ISNUMBER(FIND("QTY",AM21)),ISNUMBER(FIND("QUANTITY",AM21))))+8192*(AND(OR(ISNUMBER(FIND("COMPLETE",AM21)),ISNUMBER(FIND("PCT",AM21)),ISNUMBER(FIND("PERCENT",AM21))),NOT(ISNUMBER(FIND("ACTUAL",AM21))),LEN(AM21)&lt;=16))+32768*(OR(ISNUMBER(FIND("DESIC",AM21)),ISNUMBER(FIND("DESSIC",AM21)))))</f>
        <v/>
      </c>
      <c r="AN156">
        <f>IF(AN21="",0,2*(OR(ISNUMBER(FIND("WORKCENTER",AN21)),AND(LEFT(AN21,4)="LINE",NOT(ISNUMBER(FIND("STATUS",AN21))))))+4*(OR(ISNUMBER(FIND("WORKORDER",AN21)),AND(LEFT(AN21,2)="WO",OR(ISNUMBER(FIND("NUM",AN21)),RIGHT(AN21,2)="NO"))))+8*(LEFT(AN21,3)="SEQ")+16*(AND(LEFT(AN21,4)="ITEM",NOT(ISNUMBER(FIND("DESC",AN21)))))+32*(AND(ISNUMBER(FIND("DESC",AN21)),NOT(ISNUMBER(FIND("CAP",AN21)))))+64*(OR(RIGHT(AN21,5)="COUNT",RIGHT(AN21,2)="CT"))+128*(ISNUMBER(FIND("BULK",AN21)))+256*(ISNUMBER(FIND("SIZE",AN21)))+512*(LEFT(AN21,3)="CAP")+1024*(ISNUMBER(FIND("ALLERG",AN21)))+2048*(OR(ISNUMBER(FIND("REMARK",AN21)),ISNUMBER(FIND("COMMENT",AN21))))+4096*(OR(ISNUMBER(FIND("QTY",AN21)),ISNUMBER(FIND("QUANTITY",AN21))))+8192*(AND(OR(ISNUMBER(FIND("COMPLETE",AN21)),ISNUMBER(FIND("PCT",AN21)),ISNUMBER(FIND("PERCENT",AN21))),NOT(ISNUMBER(FIND("ACTUAL",AN21))),LEN(AN21)&lt;=16))+32768*(OR(ISNUMBER(FIND("DESIC",AN21)),ISNUMBER(FIND("DESSIC",AN21)))))</f>
        <v/>
      </c>
      <c r="AO156">
        <f>IF(AO21="",0,2*(OR(ISNUMBER(FIND("WORKCENTER",AO21)),AND(LEFT(AO21,4)="LINE",NOT(ISNUMBER(FIND("STATUS",AO21))))))+4*(OR(ISNUMBER(FIND("WORKORDER",AO21)),AND(LEFT(AO21,2)="WO",OR(ISNUMBER(FIND("NUM",AO21)),RIGHT(AO21,2)="NO"))))+8*(LEFT(AO21,3)="SEQ")+16*(AND(LEFT(AO21,4)="ITEM",NOT(ISNUMBER(FIND("DESC",AO21)))))+32*(AND(ISNUMBER(FIND("DESC",AO21)),NOT(ISNUMBER(FIND("CAP",AO21)))))+64*(OR(RIGHT(AO21,5)="COUNT",RIGHT(AO21,2)="CT"))+128*(ISNUMBER(FIND("BULK",AO21)))+256*(ISNUMBER(FIND("SIZE",AO21)))+512*(LEFT(AO21,3)="CAP")+1024*(ISNUMBER(FIND("ALLERG",AO21)))+2048*(OR(ISNUMBER(FIND("REMARK",AO21)),ISNUMBER(FIND("COMMENT",AO21))))+4096*(OR(ISNUMBER(FIND("QTY",AO21)),ISNUMBER(FIND("QUANTITY",AO21))))+8192*(AND(OR(ISNUMBER(FIND("COMPLETE",AO21)),ISNUMBER(FIND("PCT",AO21)),ISNUMBER(FIND("PERCENT",AO21))),NOT(ISNUMBER(FIND("ACTUAL",AO21))),LEN(AO21)&lt;=16))+32768*(OR(ISNUMBER(FIND("DESIC",AO21)),ISNUMBER(FIND("DESSIC",AO21)))))</f>
        <v/>
      </c>
      <c r="AP156">
        <f>IF(AP21="",0,2*(OR(ISNUMBER(FIND("WORKCENTER",AP21)),AND(LEFT(AP21,4)="LINE",NOT(ISNUMBER(FIND("STATUS",AP21))))))+4*(OR(ISNUMBER(FIND("WORKORDER",AP21)),AND(LEFT(AP21,2)="WO",OR(ISNUMBER(FIND("NUM",AP21)),RIGHT(AP21,2)="NO"))))+8*(LEFT(AP21,3)="SEQ")+16*(AND(LEFT(AP21,4)="ITEM",NOT(ISNUMBER(FIND("DESC",AP21)))))+32*(AND(ISNUMBER(FIND("DESC",AP21)),NOT(ISNUMBER(FIND("CAP",AP21)))))+64*(OR(RIGHT(AP21,5)="COUNT",RIGHT(AP21,2)="CT"))+128*(ISNUMBER(FIND("BULK",AP21)))+256*(ISNUMBER(FIND("SIZE",AP21)))+512*(LEFT(AP21,3)="CAP")+1024*(ISNUMBER(FIND("ALLERG",AP21)))+2048*(OR(ISNUMBER(FIND("REMARK",AP21)),ISNUMBER(FIND("COMMENT",AP21))))+4096*(OR(ISNUMBER(FIND("QTY",AP21)),ISNUMBER(FIND("QUANTITY",AP21))))+8192*(AND(OR(ISNUMBER(FIND("COMPLETE",AP21)),ISNUMBER(FIND("PCT",AP21)),ISNUMBER(FIND("PERCENT",AP21))),NOT(ISNUMBER(FIND("ACTUAL",AP21))),LEN(AP21)&lt;=16))+32768*(OR(ISNUMBER(FIND("DESIC",AP21)),ISNUMBER(FIND("DESSIC",AP21)))))</f>
        <v/>
      </c>
      <c r="AQ156">
        <f>IF(AQ21="",0,2*(OR(ISNUMBER(FIND("WORKCENTER",AQ21)),AND(LEFT(AQ21,4)="LINE",NOT(ISNUMBER(FIND("STATUS",AQ21))))))+4*(OR(ISNUMBER(FIND("WORKORDER",AQ21)),AND(LEFT(AQ21,2)="WO",OR(ISNUMBER(FIND("NUM",AQ21)),RIGHT(AQ21,2)="NO"))))+8*(LEFT(AQ21,3)="SEQ")+16*(AND(LEFT(AQ21,4)="ITEM",NOT(ISNUMBER(FIND("DESC",AQ21)))))+32*(AND(ISNUMBER(FIND("DESC",AQ21)),NOT(ISNUMBER(FIND("CAP",AQ21)))))+64*(OR(RIGHT(AQ21,5)="COUNT",RIGHT(AQ21,2)="CT"))+128*(ISNUMBER(FIND("BULK",AQ21)))+256*(ISNUMBER(FIND("SIZE",AQ21)))+512*(LEFT(AQ21,3)="CAP")+1024*(ISNUMBER(FIND("ALLERG",AQ21)))+2048*(OR(ISNUMBER(FIND("REMARK",AQ21)),ISNUMBER(FIND("COMMENT",AQ21))))+4096*(OR(ISNUMBER(FIND("QTY",AQ21)),ISNUMBER(FIND("QUANTITY",AQ21))))+8192*(AND(OR(ISNUMBER(FIND("COMPLETE",AQ21)),ISNUMBER(FIND("PCT",AQ21)),ISNUMBER(FIND("PERCENT",AQ21))),NOT(ISNUMBER(FIND("ACTUAL",AQ21))),LEN(AQ21)&lt;=16))+32768*(OR(ISNUMBER(FIND("DESIC",AQ21)),ISNUMBER(FIND("DESSIC",AQ21)))))</f>
        <v/>
      </c>
      <c r="AR156">
        <f>IF(AR21="",0,2*(OR(ISNUMBER(FIND("WORKCENTER",AR21)),AND(LEFT(AR21,4)="LINE",NOT(ISNUMBER(FIND("STATUS",AR21))))))+4*(OR(ISNUMBER(FIND("WORKORDER",AR21)),AND(LEFT(AR21,2)="WO",OR(ISNUMBER(FIND("NUM",AR21)),RIGHT(AR21,2)="NO"))))+8*(LEFT(AR21,3)="SEQ")+16*(AND(LEFT(AR21,4)="ITEM",NOT(ISNUMBER(FIND("DESC",AR21)))))+32*(AND(ISNUMBER(FIND("DESC",AR21)),NOT(ISNUMBER(FIND("CAP",AR21)))))+64*(OR(RIGHT(AR21,5)="COUNT",RIGHT(AR21,2)="CT"))+128*(ISNUMBER(FIND("BULK",AR21)))+256*(ISNUMBER(FIND("SIZE",AR21)))+512*(LEFT(AR21,3)="CAP")+1024*(ISNUMBER(FIND("ALLERG",AR21)))+2048*(OR(ISNUMBER(FIND("REMARK",AR21)),ISNUMBER(FIND("COMMENT",AR21))))+4096*(OR(ISNUMBER(FIND("QTY",AR21)),ISNUMBER(FIND("QUANTITY",AR21))))+8192*(AND(OR(ISNUMBER(FIND("COMPLETE",AR21)),ISNUMBER(FIND("PCT",AR21)),ISNUMBER(FIND("PERCENT",AR21))),NOT(ISNUMBER(FIND("ACTUAL",AR21))),LEN(AR21)&lt;=16))+32768*(OR(ISNUMBER(FIND("DESIC",AR21)),ISNUMBER(FIND("DESSIC",AR21)))))</f>
        <v/>
      </c>
      <c r="AS156">
        <f>IF(AS21="",0,2*(OR(ISNUMBER(FIND("WORKCENTER",AS21)),AND(LEFT(AS21,4)="LINE",NOT(ISNUMBER(FIND("STATUS",AS21))))))+4*(OR(ISNUMBER(FIND("WORKORDER",AS21)),AND(LEFT(AS21,2)="WO",OR(ISNUMBER(FIND("NUM",AS21)),RIGHT(AS21,2)="NO"))))+8*(LEFT(AS21,3)="SEQ")+16*(AND(LEFT(AS21,4)="ITEM",NOT(ISNUMBER(FIND("DESC",AS21)))))+32*(AND(ISNUMBER(FIND("DESC",AS21)),NOT(ISNUMBER(FIND("CAP",AS21)))))+64*(OR(RIGHT(AS21,5)="COUNT",RIGHT(AS21,2)="CT"))+128*(ISNUMBER(FIND("BULK",AS21)))+256*(ISNUMBER(FIND("SIZE",AS21)))+512*(LEFT(AS21,3)="CAP")+1024*(ISNUMBER(FIND("ALLERG",AS21)))+2048*(OR(ISNUMBER(FIND("REMARK",AS21)),ISNUMBER(FIND("COMMENT",AS21))))+4096*(OR(ISNUMBER(FIND("QTY",AS21)),ISNUMBER(FIND("QUANTITY",AS21))))+8192*(AND(OR(ISNUMBER(FIND("COMPLETE",AS21)),ISNUMBER(FIND("PCT",AS21)),ISNUMBER(FIND("PERCENT",AS21))),NOT(ISNUMBER(FIND("ACTUAL",AS21))),LEN(AS21)&lt;=16))+32768*(OR(ISNUMBER(FIND("DESIC",AS21)),ISNUMBER(FIND("DESSIC",AS21)))))</f>
        <v/>
      </c>
      <c r="AT156">
        <f>IF(AT21="",0,2*(OR(ISNUMBER(FIND("WORKCENTER",AT21)),AND(LEFT(AT21,4)="LINE",NOT(ISNUMBER(FIND("STATUS",AT21))))))+4*(OR(ISNUMBER(FIND("WORKORDER",AT21)),AND(LEFT(AT21,2)="WO",OR(ISNUMBER(FIND("NUM",AT21)),RIGHT(AT21,2)="NO"))))+8*(LEFT(AT21,3)="SEQ")+16*(AND(LEFT(AT21,4)="ITEM",NOT(ISNUMBER(FIND("DESC",AT21)))))+32*(AND(ISNUMBER(FIND("DESC",AT21)),NOT(ISNUMBER(FIND("CAP",AT21)))))+64*(OR(RIGHT(AT21,5)="COUNT",RIGHT(AT21,2)="CT"))+128*(ISNUMBER(FIND("BULK",AT21)))+256*(ISNUMBER(FIND("SIZE",AT21)))+512*(LEFT(AT21,3)="CAP")+1024*(ISNUMBER(FIND("ALLERG",AT21)))+2048*(OR(ISNUMBER(FIND("REMARK",AT21)),ISNUMBER(FIND("COMMENT",AT21))))+4096*(OR(ISNUMBER(FIND("QTY",AT21)),ISNUMBER(FIND("QUANTITY",AT21))))+8192*(AND(OR(ISNUMBER(FIND("COMPLETE",AT21)),ISNUMBER(FIND("PCT",AT21)),ISNUMBER(FIND("PERCENT",AT21))),NOT(ISNUMBER(FIND("ACTUAL",AT21))),LEN(AT21)&lt;=16))+32768*(OR(ISNUMBER(FIND("DESIC",AT21)),ISNUMBER(FIND("DESSIC",AT21)))))</f>
        <v/>
      </c>
      <c r="AU156">
        <f>IF(AU21="",0,2*(OR(ISNUMBER(FIND("WORKCENTER",AU21)),AND(LEFT(AU21,4)="LINE",NOT(ISNUMBER(FIND("STATUS",AU21))))))+4*(OR(ISNUMBER(FIND("WORKORDER",AU21)),AND(LEFT(AU21,2)="WO",OR(ISNUMBER(FIND("NUM",AU21)),RIGHT(AU21,2)="NO"))))+8*(LEFT(AU21,3)="SEQ")+16*(AND(LEFT(AU21,4)="ITEM",NOT(ISNUMBER(FIND("DESC",AU21)))))+32*(AND(ISNUMBER(FIND("DESC",AU21)),NOT(ISNUMBER(FIND("CAP",AU21)))))+64*(OR(RIGHT(AU21,5)="COUNT",RIGHT(AU21,2)="CT"))+128*(ISNUMBER(FIND("BULK",AU21)))+256*(ISNUMBER(FIND("SIZE",AU21)))+512*(LEFT(AU21,3)="CAP")+1024*(ISNUMBER(FIND("ALLERG",AU21)))+2048*(OR(ISNUMBER(FIND("REMARK",AU21)),ISNUMBER(FIND("COMMENT",AU21))))+4096*(OR(ISNUMBER(FIND("QTY",AU21)),ISNUMBER(FIND("QUANTITY",AU21))))+8192*(AND(OR(ISNUMBER(FIND("COMPLETE",AU21)),ISNUMBER(FIND("PCT",AU21)),ISNUMBER(FIND("PERCENT",AU21))),NOT(ISNUMBER(FIND("ACTUAL",AU21))),LEN(AU21)&lt;=16))+32768*(OR(ISNUMBER(FIND("DESIC",AU21)),ISNUMBER(FIND("DESSIC",AU21)))))</f>
        <v/>
      </c>
      <c r="AV156">
        <f>IF(AV21="",0,2*(OR(ISNUMBER(FIND("WORKCENTER",AV21)),AND(LEFT(AV21,4)="LINE",NOT(ISNUMBER(FIND("STATUS",AV21))))))+4*(OR(ISNUMBER(FIND("WORKORDER",AV21)),AND(LEFT(AV21,2)="WO",OR(ISNUMBER(FIND("NUM",AV21)),RIGHT(AV21,2)="NO"))))+8*(LEFT(AV21,3)="SEQ")+16*(AND(LEFT(AV21,4)="ITEM",NOT(ISNUMBER(FIND("DESC",AV21)))))+32*(AND(ISNUMBER(FIND("DESC",AV21)),NOT(ISNUMBER(FIND("CAP",AV21)))))+64*(OR(RIGHT(AV21,5)="COUNT",RIGHT(AV21,2)="CT"))+128*(ISNUMBER(FIND("BULK",AV21)))+256*(ISNUMBER(FIND("SIZE",AV21)))+512*(LEFT(AV21,3)="CAP")+1024*(ISNUMBER(FIND("ALLERG",AV21)))+2048*(OR(ISNUMBER(FIND("REMARK",AV21)),ISNUMBER(FIND("COMMENT",AV21))))+4096*(OR(ISNUMBER(FIND("QTY",AV21)),ISNUMBER(FIND("QUANTITY",AV21))))+8192*(AND(OR(ISNUMBER(FIND("COMPLETE",AV21)),ISNUMBER(FIND("PCT",AV21)),ISNUMBER(FIND("PERCENT",AV21))),NOT(ISNUMBER(FIND("ACTUAL",AV21))),LEN(AV21)&lt;=16))+32768*(OR(ISNUMBER(FIND("DESIC",AV21)),ISNUMBER(FIND("DESSIC",AV21)))))</f>
        <v/>
      </c>
      <c r="AW156">
        <f>IF(AW21="",0,2*(OR(ISNUMBER(FIND("WORKCENTER",AW21)),AND(LEFT(AW21,4)="LINE",NOT(ISNUMBER(FIND("STATUS",AW21))))))+4*(OR(ISNUMBER(FIND("WORKORDER",AW21)),AND(LEFT(AW21,2)="WO",OR(ISNUMBER(FIND("NUM",AW21)),RIGHT(AW21,2)="NO"))))+8*(LEFT(AW21,3)="SEQ")+16*(AND(LEFT(AW21,4)="ITEM",NOT(ISNUMBER(FIND("DESC",AW21)))))+32*(AND(ISNUMBER(FIND("DESC",AW21)),NOT(ISNUMBER(FIND("CAP",AW21)))))+64*(OR(RIGHT(AW21,5)="COUNT",RIGHT(AW21,2)="CT"))+128*(ISNUMBER(FIND("BULK",AW21)))+256*(ISNUMBER(FIND("SIZE",AW21)))+512*(LEFT(AW21,3)="CAP")+1024*(ISNUMBER(FIND("ALLERG",AW21)))+2048*(OR(ISNUMBER(FIND("REMARK",AW21)),ISNUMBER(FIND("COMMENT",AW21))))+4096*(OR(ISNUMBER(FIND("QTY",AW21)),ISNUMBER(FIND("QUANTITY",AW21))))+8192*(AND(OR(ISNUMBER(FIND("COMPLETE",AW21)),ISNUMBER(FIND("PCT",AW21)),ISNUMBER(FIND("PERCENT",AW21))),NOT(ISNUMBER(FIND("ACTUAL",AW21))),LEN(AW21)&lt;=16))+32768*(OR(ISNUMBER(FIND("DESIC",AW21)),ISNUMBER(FIND("DESSIC",AW21)))))</f>
        <v/>
      </c>
      <c r="AX156">
        <f>IF(AX21="",0,2*(OR(ISNUMBER(FIND("WORKCENTER",AX21)),AND(LEFT(AX21,4)="LINE",NOT(ISNUMBER(FIND("STATUS",AX21))))))+4*(OR(ISNUMBER(FIND("WORKORDER",AX21)),AND(LEFT(AX21,2)="WO",OR(ISNUMBER(FIND("NUM",AX21)),RIGHT(AX21,2)="NO"))))+8*(LEFT(AX21,3)="SEQ")+16*(AND(LEFT(AX21,4)="ITEM",NOT(ISNUMBER(FIND("DESC",AX21)))))+32*(AND(ISNUMBER(FIND("DESC",AX21)),NOT(ISNUMBER(FIND("CAP",AX21)))))+64*(OR(RIGHT(AX21,5)="COUNT",RIGHT(AX21,2)="CT"))+128*(ISNUMBER(FIND("BULK",AX21)))+256*(ISNUMBER(FIND("SIZE",AX21)))+512*(LEFT(AX21,3)="CAP")+1024*(ISNUMBER(FIND("ALLERG",AX21)))+2048*(OR(ISNUMBER(FIND("REMARK",AX21)),ISNUMBER(FIND("COMMENT",AX21))))+4096*(OR(ISNUMBER(FIND("QTY",AX21)),ISNUMBER(FIND("QUANTITY",AX21))))+8192*(AND(OR(ISNUMBER(FIND("COMPLETE",AX21)),ISNUMBER(FIND("PCT",AX21)),ISNUMBER(FIND("PERCENT",AX21))),NOT(ISNUMBER(FIND("ACTUAL",AX21))),LEN(AX21)&lt;=16))+32768*(OR(ISNUMBER(FIND("DESIC",AX21)),ISNUMBER(FIND("DESSIC",AX21)))))</f>
        <v/>
      </c>
      <c r="AY156">
        <f>IF(AY21="",0,2*(OR(ISNUMBER(FIND("WORKCENTER",AY21)),AND(LEFT(AY21,4)="LINE",NOT(ISNUMBER(FIND("STATUS",AY21))))))+4*(OR(ISNUMBER(FIND("WORKORDER",AY21)),AND(LEFT(AY21,2)="WO",OR(ISNUMBER(FIND("NUM",AY21)),RIGHT(AY21,2)="NO"))))+8*(LEFT(AY21,3)="SEQ")+16*(AND(LEFT(AY21,4)="ITEM",NOT(ISNUMBER(FIND("DESC",AY21)))))+32*(AND(ISNUMBER(FIND("DESC",AY21)),NOT(ISNUMBER(FIND("CAP",AY21)))))+64*(OR(RIGHT(AY21,5)="COUNT",RIGHT(AY21,2)="CT"))+128*(ISNUMBER(FIND("BULK",AY21)))+256*(ISNUMBER(FIND("SIZE",AY21)))+512*(LEFT(AY21,3)="CAP")+1024*(ISNUMBER(FIND("ALLERG",AY21)))+2048*(OR(ISNUMBER(FIND("REMARK",AY21)),ISNUMBER(FIND("COMMENT",AY21))))+4096*(OR(ISNUMBER(FIND("QTY",AY21)),ISNUMBER(FIND("QUANTITY",AY21))))+8192*(AND(OR(ISNUMBER(FIND("COMPLETE",AY21)),ISNUMBER(FIND("PCT",AY21)),ISNUMBER(FIND("PERCENT",AY21))),NOT(ISNUMBER(FIND("ACTUAL",AY21))),LEN(AY21)&lt;=16))+32768*(OR(ISNUMBER(FIND("DESIC",AY21)),ISNUMBER(FIND("DESSIC",AY21)))))</f>
        <v/>
      </c>
      <c r="AZ156">
        <f>IF(AZ21="",0,2*(OR(ISNUMBER(FIND("WORKCENTER",AZ21)),AND(LEFT(AZ21,4)="LINE",NOT(ISNUMBER(FIND("STATUS",AZ21))))))+4*(OR(ISNUMBER(FIND("WORKORDER",AZ21)),AND(LEFT(AZ21,2)="WO",OR(ISNUMBER(FIND("NUM",AZ21)),RIGHT(AZ21,2)="NO"))))+8*(LEFT(AZ21,3)="SEQ")+16*(AND(LEFT(AZ21,4)="ITEM",NOT(ISNUMBER(FIND("DESC",AZ21)))))+32*(AND(ISNUMBER(FIND("DESC",AZ21)),NOT(ISNUMBER(FIND("CAP",AZ21)))))+64*(OR(RIGHT(AZ21,5)="COUNT",RIGHT(AZ21,2)="CT"))+128*(ISNUMBER(FIND("BULK",AZ21)))+256*(ISNUMBER(FIND("SIZE",AZ21)))+512*(LEFT(AZ21,3)="CAP")+1024*(ISNUMBER(FIND("ALLERG",AZ21)))+2048*(OR(ISNUMBER(FIND("REMARK",AZ21)),ISNUMBER(FIND("COMMENT",AZ21))))+4096*(OR(ISNUMBER(FIND("QTY",AZ21)),ISNUMBER(FIND("QUANTITY",AZ21))))+8192*(AND(OR(ISNUMBER(FIND("COMPLETE",AZ21)),ISNUMBER(FIND("PCT",AZ21)),ISNUMBER(FIND("PERCENT",AZ21))),NOT(ISNUMBER(FIND("ACTUAL",AZ21))),LEN(AZ21)&lt;=16))+32768*(OR(ISNUMBER(FIND("DESIC",AZ21)),ISNUMBER(FIND("DESSIC",AZ21)))))</f>
        <v/>
      </c>
      <c r="BA156">
        <f>IF(BA21="",0,2*(OR(ISNUMBER(FIND("WORKCENTER",BA21)),AND(LEFT(BA21,4)="LINE",NOT(ISNUMBER(FIND("STATUS",BA21))))))+4*(OR(ISNUMBER(FIND("WORKORDER",BA21)),AND(LEFT(BA21,2)="WO",OR(ISNUMBER(FIND("NUM",BA21)),RIGHT(BA21,2)="NO"))))+8*(LEFT(BA21,3)="SEQ")+16*(AND(LEFT(BA21,4)="ITEM",NOT(ISNUMBER(FIND("DESC",BA21)))))+32*(AND(ISNUMBER(FIND("DESC",BA21)),NOT(ISNUMBER(FIND("CAP",BA21)))))+64*(OR(RIGHT(BA21,5)="COUNT",RIGHT(BA21,2)="CT"))+128*(ISNUMBER(FIND("BULK",BA21)))+256*(ISNUMBER(FIND("SIZE",BA21)))+512*(LEFT(BA21,3)="CAP")+1024*(ISNUMBER(FIND("ALLERG",BA21)))+2048*(OR(ISNUMBER(FIND("REMARK",BA21)),ISNUMBER(FIND("COMMENT",BA21))))+4096*(OR(ISNUMBER(FIND("QTY",BA21)),ISNUMBER(FIND("QUANTITY",BA21))))+8192*(AND(OR(ISNUMBER(FIND("COMPLETE",BA21)),ISNUMBER(FIND("PCT",BA21)),ISNUMBER(FIND("PERCENT",BA21))),NOT(ISNUMBER(FIND("ACTUAL",BA21))),LEN(BA21)&lt;=16))+32768*(OR(ISNUMBER(FIND("DESIC",BA21)),ISNUMBER(FIND("DESSIC",BA21)))))</f>
        <v/>
      </c>
      <c r="BB156">
        <f>IF(BB21="",0,2*(OR(ISNUMBER(FIND("WORKCENTER",BB21)),AND(LEFT(BB21,4)="LINE",NOT(ISNUMBER(FIND("STATUS",BB21))))))+4*(OR(ISNUMBER(FIND("WORKORDER",BB21)),AND(LEFT(BB21,2)="WO",OR(ISNUMBER(FIND("NUM",BB21)),RIGHT(BB21,2)="NO"))))+8*(LEFT(BB21,3)="SEQ")+16*(AND(LEFT(BB21,4)="ITEM",NOT(ISNUMBER(FIND("DESC",BB21)))))+32*(AND(ISNUMBER(FIND("DESC",BB21)),NOT(ISNUMBER(FIND("CAP",BB21)))))+64*(OR(RIGHT(BB21,5)="COUNT",RIGHT(BB21,2)="CT"))+128*(ISNUMBER(FIND("BULK",BB21)))+256*(ISNUMBER(FIND("SIZE",BB21)))+512*(LEFT(BB21,3)="CAP")+1024*(ISNUMBER(FIND("ALLERG",BB21)))+2048*(OR(ISNUMBER(FIND("REMARK",BB21)),ISNUMBER(FIND("COMMENT",BB21))))+4096*(OR(ISNUMBER(FIND("QTY",BB21)),ISNUMBER(FIND("QUANTITY",BB21))))+8192*(AND(OR(ISNUMBER(FIND("COMPLETE",BB21)),ISNUMBER(FIND("PCT",BB21)),ISNUMBER(FIND("PERCENT",BB21))),NOT(ISNUMBER(FIND("ACTUAL",BB21))),LEN(BB21)&lt;=16))+32768*(OR(ISNUMBER(FIND("DESIC",BB21)),ISNUMBER(FIND("DESSIC",BB21)))))</f>
        <v/>
      </c>
      <c r="BC156">
        <f>IF(BC21="",0,2*(OR(ISNUMBER(FIND("WORKCENTER",BC21)),AND(LEFT(BC21,4)="LINE",NOT(ISNUMBER(FIND("STATUS",BC21))))))+4*(OR(ISNUMBER(FIND("WORKORDER",BC21)),AND(LEFT(BC21,2)="WO",OR(ISNUMBER(FIND("NUM",BC21)),RIGHT(BC21,2)="NO"))))+8*(LEFT(BC21,3)="SEQ")+16*(AND(LEFT(BC21,4)="ITEM",NOT(ISNUMBER(FIND("DESC",BC21)))))+32*(AND(ISNUMBER(FIND("DESC",BC21)),NOT(ISNUMBER(FIND("CAP",BC21)))))+64*(OR(RIGHT(BC21,5)="COUNT",RIGHT(BC21,2)="CT"))+128*(ISNUMBER(FIND("BULK",BC21)))+256*(ISNUMBER(FIND("SIZE",BC21)))+512*(LEFT(BC21,3)="CAP")+1024*(ISNUMBER(FIND("ALLERG",BC21)))+2048*(OR(ISNUMBER(FIND("REMARK",BC21)),ISNUMBER(FIND("COMMENT",BC21))))+4096*(OR(ISNUMBER(FIND("QTY",BC21)),ISNUMBER(FIND("QUANTITY",BC21))))+8192*(AND(OR(ISNUMBER(FIND("COMPLETE",BC21)),ISNUMBER(FIND("PCT",BC21)),ISNUMBER(FIND("PERCENT",BC21))),NOT(ISNUMBER(FIND("ACTUAL",BC21))),LEN(BC21)&lt;=16))+32768*(OR(ISNUMBER(FIND("DESIC",BC21)),ISNUMBER(FIND("DESSIC",BC21)))))</f>
        <v/>
      </c>
      <c r="BD156">
        <f>IF(BD21="",0,2*(OR(ISNUMBER(FIND("WORKCENTER",BD21)),AND(LEFT(BD21,4)="LINE",NOT(ISNUMBER(FIND("STATUS",BD21))))))+4*(OR(ISNUMBER(FIND("WORKORDER",BD21)),AND(LEFT(BD21,2)="WO",OR(ISNUMBER(FIND("NUM",BD21)),RIGHT(BD21,2)="NO"))))+8*(LEFT(BD21,3)="SEQ")+16*(AND(LEFT(BD21,4)="ITEM",NOT(ISNUMBER(FIND("DESC",BD21)))))+32*(AND(ISNUMBER(FIND("DESC",BD21)),NOT(ISNUMBER(FIND("CAP",BD21)))))+64*(OR(RIGHT(BD21,5)="COUNT",RIGHT(BD21,2)="CT"))+128*(ISNUMBER(FIND("BULK",BD21)))+256*(ISNUMBER(FIND("SIZE",BD21)))+512*(LEFT(BD21,3)="CAP")+1024*(ISNUMBER(FIND("ALLERG",BD21)))+2048*(OR(ISNUMBER(FIND("REMARK",BD21)),ISNUMBER(FIND("COMMENT",BD21))))+4096*(OR(ISNUMBER(FIND("QTY",BD21)),ISNUMBER(FIND("QUANTITY",BD21))))+8192*(AND(OR(ISNUMBER(FIND("COMPLETE",BD21)),ISNUMBER(FIND("PCT",BD21)),ISNUMBER(FIND("PERCENT",BD21))),NOT(ISNUMBER(FIND("ACTUAL",BD21))),LEN(BD21)&lt;=16))+32768*(OR(ISNUMBER(FIND("DESIC",BD21)),ISNUMBER(FIND("DESSIC",BD21)))))</f>
        <v/>
      </c>
      <c r="BE156">
        <f>IF(BE21="",0,2*(OR(ISNUMBER(FIND("WORKCENTER",BE21)),AND(LEFT(BE21,4)="LINE",NOT(ISNUMBER(FIND("STATUS",BE21))))))+4*(OR(ISNUMBER(FIND("WORKORDER",BE21)),AND(LEFT(BE21,2)="WO",OR(ISNUMBER(FIND("NUM",BE21)),RIGHT(BE21,2)="NO"))))+8*(LEFT(BE21,3)="SEQ")+16*(AND(LEFT(BE21,4)="ITEM",NOT(ISNUMBER(FIND("DESC",BE21)))))+32*(AND(ISNUMBER(FIND("DESC",BE21)),NOT(ISNUMBER(FIND("CAP",BE21)))))+64*(OR(RIGHT(BE21,5)="COUNT",RIGHT(BE21,2)="CT"))+128*(ISNUMBER(FIND("BULK",BE21)))+256*(ISNUMBER(FIND("SIZE",BE21)))+512*(LEFT(BE21,3)="CAP")+1024*(ISNUMBER(FIND("ALLERG",BE21)))+2048*(OR(ISNUMBER(FIND("REMARK",BE21)),ISNUMBER(FIND("COMMENT",BE21))))+4096*(OR(ISNUMBER(FIND("QTY",BE21)),ISNUMBER(FIND("QUANTITY",BE21))))+8192*(AND(OR(ISNUMBER(FIND("COMPLETE",BE21)),ISNUMBER(FIND("PCT",BE21)),ISNUMBER(FIND("PERCENT",BE21))),NOT(ISNUMBER(FIND("ACTUAL",BE21))),LEN(BE21)&lt;=16))+32768*(OR(ISNUMBER(FIND("DESIC",BE21)),ISNUMBER(FIND("DESSIC",BE21)))))</f>
        <v/>
      </c>
      <c r="BF156">
        <f>IF(BF21="",0,2*(OR(ISNUMBER(FIND("WORKCENTER",BF21)),AND(LEFT(BF21,4)="LINE",NOT(ISNUMBER(FIND("STATUS",BF21))))))+4*(OR(ISNUMBER(FIND("WORKORDER",BF21)),AND(LEFT(BF21,2)="WO",OR(ISNUMBER(FIND("NUM",BF21)),RIGHT(BF21,2)="NO"))))+8*(LEFT(BF21,3)="SEQ")+16*(AND(LEFT(BF21,4)="ITEM",NOT(ISNUMBER(FIND("DESC",BF21)))))+32*(AND(ISNUMBER(FIND("DESC",BF21)),NOT(ISNUMBER(FIND("CAP",BF21)))))+64*(OR(RIGHT(BF21,5)="COUNT",RIGHT(BF21,2)="CT"))+128*(ISNUMBER(FIND("BULK",BF21)))+256*(ISNUMBER(FIND("SIZE",BF21)))+512*(LEFT(BF21,3)="CAP")+1024*(ISNUMBER(FIND("ALLERG",BF21)))+2048*(OR(ISNUMBER(FIND("REMARK",BF21)),ISNUMBER(FIND("COMMENT",BF21))))+4096*(OR(ISNUMBER(FIND("QTY",BF21)),ISNUMBER(FIND("QUANTITY",BF21))))+8192*(AND(OR(ISNUMBER(FIND("COMPLETE",BF21)),ISNUMBER(FIND("PCT",BF21)),ISNUMBER(FIND("PERCENT",BF21))),NOT(ISNUMBER(FIND("ACTUAL",BF21))),LEN(BF21)&lt;=16))+32768*(OR(ISNUMBER(FIND("DESIC",BF21)),ISNUMBER(FIND("DESSIC",BF21)))))</f>
        <v/>
      </c>
      <c r="BG156">
        <f>IF(BG21="",0,2*(OR(ISNUMBER(FIND("WORKCENTER",BG21)),AND(LEFT(BG21,4)="LINE",NOT(ISNUMBER(FIND("STATUS",BG21))))))+4*(OR(ISNUMBER(FIND("WORKORDER",BG21)),AND(LEFT(BG21,2)="WO",OR(ISNUMBER(FIND("NUM",BG21)),RIGHT(BG21,2)="NO"))))+8*(LEFT(BG21,3)="SEQ")+16*(AND(LEFT(BG21,4)="ITEM",NOT(ISNUMBER(FIND("DESC",BG21)))))+32*(AND(ISNUMBER(FIND("DESC",BG21)),NOT(ISNUMBER(FIND("CAP",BG21)))))+64*(OR(RIGHT(BG21,5)="COUNT",RIGHT(BG21,2)="CT"))+128*(ISNUMBER(FIND("BULK",BG21)))+256*(ISNUMBER(FIND("SIZE",BG21)))+512*(LEFT(BG21,3)="CAP")+1024*(ISNUMBER(FIND("ALLERG",BG21)))+2048*(OR(ISNUMBER(FIND("REMARK",BG21)),ISNUMBER(FIND("COMMENT",BG21))))+4096*(OR(ISNUMBER(FIND("QTY",BG21)),ISNUMBER(FIND("QUANTITY",BG21))))+8192*(AND(OR(ISNUMBER(FIND("COMPLETE",BG21)),ISNUMBER(FIND("PCT",BG21)),ISNUMBER(FIND("PERCENT",BG21))),NOT(ISNUMBER(FIND("ACTUAL",BG21))),LEN(BG21)&lt;=16))+32768*(OR(ISNUMBER(FIND("DESIC",BG21)),ISNUMBER(FIND("DESSIC",BG21)))))</f>
        <v/>
      </c>
      <c r="BH156">
        <f>IF(BH21="",0,2*(OR(ISNUMBER(FIND("WORKCENTER",BH21)),AND(LEFT(BH21,4)="LINE",NOT(ISNUMBER(FIND("STATUS",BH21))))))+4*(OR(ISNUMBER(FIND("WORKORDER",BH21)),AND(LEFT(BH21,2)="WO",OR(ISNUMBER(FIND("NUM",BH21)),RIGHT(BH21,2)="NO"))))+8*(LEFT(BH21,3)="SEQ")+16*(AND(LEFT(BH21,4)="ITEM",NOT(ISNUMBER(FIND("DESC",BH21)))))+32*(AND(ISNUMBER(FIND("DESC",BH21)),NOT(ISNUMBER(FIND("CAP",BH21)))))+64*(OR(RIGHT(BH21,5)="COUNT",RIGHT(BH21,2)="CT"))+128*(ISNUMBER(FIND("BULK",BH21)))+256*(ISNUMBER(FIND("SIZE",BH21)))+512*(LEFT(BH21,3)="CAP")+1024*(ISNUMBER(FIND("ALLERG",BH21)))+2048*(OR(ISNUMBER(FIND("REMARK",BH21)),ISNUMBER(FIND("COMMENT",BH21))))+4096*(OR(ISNUMBER(FIND("QTY",BH21)),ISNUMBER(FIND("QUANTITY",BH21))))+8192*(AND(OR(ISNUMBER(FIND("COMPLETE",BH21)),ISNUMBER(FIND("PCT",BH21)),ISNUMBER(FIND("PERCENT",BH21))),NOT(ISNUMBER(FIND("ACTUAL",BH21))),LEN(BH21)&lt;=16))+32768*(OR(ISNUMBER(FIND("DESIC",BH21)),ISNUMBER(FIND("DESSIC",BH21)))))</f>
        <v/>
      </c>
      <c r="BI156">
        <f>IF(BI21="",0,2*(OR(ISNUMBER(FIND("WORKCENTER",BI21)),AND(LEFT(BI21,4)="LINE",NOT(ISNUMBER(FIND("STATUS",BI21))))))+4*(OR(ISNUMBER(FIND("WORKORDER",BI21)),AND(LEFT(BI21,2)="WO",OR(ISNUMBER(FIND("NUM",BI21)),RIGHT(BI21,2)="NO"))))+8*(LEFT(BI21,3)="SEQ")+16*(AND(LEFT(BI21,4)="ITEM",NOT(ISNUMBER(FIND("DESC",BI21)))))+32*(AND(ISNUMBER(FIND("DESC",BI21)),NOT(ISNUMBER(FIND("CAP",BI21)))))+64*(OR(RIGHT(BI21,5)="COUNT",RIGHT(BI21,2)="CT"))+128*(ISNUMBER(FIND("BULK",BI21)))+256*(ISNUMBER(FIND("SIZE",BI21)))+512*(LEFT(BI21,3)="CAP")+1024*(ISNUMBER(FIND("ALLERG",BI21)))+2048*(OR(ISNUMBER(FIND("REMARK",BI21)),ISNUMBER(FIND("COMMENT",BI21))))+4096*(OR(ISNUMBER(FIND("QTY",BI21)),ISNUMBER(FIND("QUANTITY",BI21))))+8192*(AND(OR(ISNUMBER(FIND("COMPLETE",BI21)),ISNUMBER(FIND("PCT",BI21)),ISNUMBER(FIND("PERCENT",BI21))),NOT(ISNUMBER(FIND("ACTUAL",BI21))),LEN(BI21)&lt;=16))+32768*(OR(ISNUMBER(FIND("DESIC",BI21)),ISNUMBER(FIND("DESSIC",BI21)))))</f>
        <v/>
      </c>
      <c r="BJ156">
        <f>IF(BJ21="",0,2*(OR(ISNUMBER(FIND("WORKCENTER",BJ21)),AND(LEFT(BJ21,4)="LINE",NOT(ISNUMBER(FIND("STATUS",BJ21))))))+4*(OR(ISNUMBER(FIND("WORKORDER",BJ21)),AND(LEFT(BJ21,2)="WO",OR(ISNUMBER(FIND("NUM",BJ21)),RIGHT(BJ21,2)="NO"))))+8*(LEFT(BJ21,3)="SEQ")+16*(AND(LEFT(BJ21,4)="ITEM",NOT(ISNUMBER(FIND("DESC",BJ21)))))+32*(AND(ISNUMBER(FIND("DESC",BJ21)),NOT(ISNUMBER(FIND("CAP",BJ21)))))+64*(OR(RIGHT(BJ21,5)="COUNT",RIGHT(BJ21,2)="CT"))+128*(ISNUMBER(FIND("BULK",BJ21)))+256*(ISNUMBER(FIND("SIZE",BJ21)))+512*(LEFT(BJ21,3)="CAP")+1024*(ISNUMBER(FIND("ALLERG",BJ21)))+2048*(OR(ISNUMBER(FIND("REMARK",BJ21)),ISNUMBER(FIND("COMMENT",BJ21))))+4096*(OR(ISNUMBER(FIND("QTY",BJ21)),ISNUMBER(FIND("QUANTITY",BJ21))))+8192*(AND(OR(ISNUMBER(FIND("COMPLETE",BJ21)),ISNUMBER(FIND("PCT",BJ21)),ISNUMBER(FIND("PERCENT",BJ21))),NOT(ISNUMBER(FIND("ACTUAL",BJ21))),LEN(BJ21)&lt;=16))+32768*(OR(ISNUMBER(FIND("DESIC",BJ21)),ISNUMBER(FIND("DESSIC",BJ21)))))</f>
        <v/>
      </c>
      <c r="BK156">
        <f>IF(BK21="",0,2*(OR(ISNUMBER(FIND("WORKCENTER",BK21)),AND(LEFT(BK21,4)="LINE",NOT(ISNUMBER(FIND("STATUS",BK21))))))+4*(OR(ISNUMBER(FIND("WORKORDER",BK21)),AND(LEFT(BK21,2)="WO",OR(ISNUMBER(FIND("NUM",BK21)),RIGHT(BK21,2)="NO"))))+8*(LEFT(BK21,3)="SEQ")+16*(AND(LEFT(BK21,4)="ITEM",NOT(ISNUMBER(FIND("DESC",BK21)))))+32*(AND(ISNUMBER(FIND("DESC",BK21)),NOT(ISNUMBER(FIND("CAP",BK21)))))+64*(OR(RIGHT(BK21,5)="COUNT",RIGHT(BK21,2)="CT"))+128*(ISNUMBER(FIND("BULK",BK21)))+256*(ISNUMBER(FIND("SIZE",BK21)))+512*(LEFT(BK21,3)="CAP")+1024*(ISNUMBER(FIND("ALLERG",BK21)))+2048*(OR(ISNUMBER(FIND("REMARK",BK21)),ISNUMBER(FIND("COMMENT",BK21))))+4096*(OR(ISNUMBER(FIND("QTY",BK21)),ISNUMBER(FIND("QUANTITY",BK21))))+8192*(AND(OR(ISNUMBER(FIND("COMPLETE",BK21)),ISNUMBER(FIND("PCT",BK21)),ISNUMBER(FIND("PERCENT",BK21))),NOT(ISNUMBER(FIND("ACTUAL",BK21))),LEN(BK21)&lt;=16))+32768*(OR(ISNUMBER(FIND("DESIC",BK21)),ISNUMBER(FIND("DESSIC",BK21)))))</f>
        <v/>
      </c>
      <c r="BL156">
        <f>IF(BL21="",0,2*(OR(ISNUMBER(FIND("WORKCENTER",BL21)),AND(LEFT(BL21,4)="LINE",NOT(ISNUMBER(FIND("STATUS",BL21))))))+4*(OR(ISNUMBER(FIND("WORKORDER",BL21)),AND(LEFT(BL21,2)="WO",OR(ISNUMBER(FIND("NUM",BL21)),RIGHT(BL21,2)="NO"))))+8*(LEFT(BL21,3)="SEQ")+16*(AND(LEFT(BL21,4)="ITEM",NOT(ISNUMBER(FIND("DESC",BL21)))))+32*(AND(ISNUMBER(FIND("DESC",BL21)),NOT(ISNUMBER(FIND("CAP",BL21)))))+64*(OR(RIGHT(BL21,5)="COUNT",RIGHT(BL21,2)="CT"))+128*(ISNUMBER(FIND("BULK",BL21)))+256*(ISNUMBER(FIND("SIZE",BL21)))+512*(LEFT(BL21,3)="CAP")+1024*(ISNUMBER(FIND("ALLERG",BL21)))+2048*(OR(ISNUMBER(FIND("REMARK",BL21)),ISNUMBER(FIND("COMMENT",BL21))))+4096*(OR(ISNUMBER(FIND("QTY",BL21)),ISNUMBER(FIND("QUANTITY",BL21))))+8192*(AND(OR(ISNUMBER(FIND("COMPLETE",BL21)),ISNUMBER(FIND("PCT",BL21)),ISNUMBER(FIND("PERCENT",BL21))),NOT(ISNUMBER(FIND("ACTUAL",BL21))),LEN(BL21)&lt;=16))+32768*(OR(ISNUMBER(FIND("DESIC",BL21)),ISNUMBER(FIND("DESSIC",BL21)))))</f>
        <v/>
      </c>
      <c r="BM156">
        <f>IF(BM21="",0,2*(OR(ISNUMBER(FIND("WORKCENTER",BM21)),AND(LEFT(BM21,4)="LINE",NOT(ISNUMBER(FIND("STATUS",BM21))))))+4*(OR(ISNUMBER(FIND("WORKORDER",BM21)),AND(LEFT(BM21,2)="WO",OR(ISNUMBER(FIND("NUM",BM21)),RIGHT(BM21,2)="NO"))))+8*(LEFT(BM21,3)="SEQ")+16*(AND(LEFT(BM21,4)="ITEM",NOT(ISNUMBER(FIND("DESC",BM21)))))+32*(AND(ISNUMBER(FIND("DESC",BM21)),NOT(ISNUMBER(FIND("CAP",BM21)))))+64*(OR(RIGHT(BM21,5)="COUNT",RIGHT(BM21,2)="CT"))+128*(ISNUMBER(FIND("BULK",BM21)))+256*(ISNUMBER(FIND("SIZE",BM21)))+512*(LEFT(BM21,3)="CAP")+1024*(ISNUMBER(FIND("ALLERG",BM21)))+2048*(OR(ISNUMBER(FIND("REMARK",BM21)),ISNUMBER(FIND("COMMENT",BM21))))+4096*(OR(ISNUMBER(FIND("QTY",BM21)),ISNUMBER(FIND("QUANTITY",BM21))))+8192*(AND(OR(ISNUMBER(FIND("COMPLETE",BM21)),ISNUMBER(FIND("PCT",BM21)),ISNUMBER(FIND("PERCENT",BM21))),NOT(ISNUMBER(FIND("ACTUAL",BM21))),LEN(BM21)&lt;=16))+32768*(OR(ISNUMBER(FIND("DESIC",BM21)),ISNUMBER(FIND("DESSIC",BM21)))))</f>
        <v/>
      </c>
      <c r="BN156">
        <f>IF(BN21="",0,2*(OR(ISNUMBER(FIND("WORKCENTER",BN21)),AND(LEFT(BN21,4)="LINE",NOT(ISNUMBER(FIND("STATUS",BN21))))))+4*(OR(ISNUMBER(FIND("WORKORDER",BN21)),AND(LEFT(BN21,2)="WO",OR(ISNUMBER(FIND("NUM",BN21)),RIGHT(BN21,2)="NO"))))+8*(LEFT(BN21,3)="SEQ")+16*(AND(LEFT(BN21,4)="ITEM",NOT(ISNUMBER(FIND("DESC",BN21)))))+32*(AND(ISNUMBER(FIND("DESC",BN21)),NOT(ISNUMBER(FIND("CAP",BN21)))))+64*(OR(RIGHT(BN21,5)="COUNT",RIGHT(BN21,2)="CT"))+128*(ISNUMBER(FIND("BULK",BN21)))+256*(ISNUMBER(FIND("SIZE",BN21)))+512*(LEFT(BN21,3)="CAP")+1024*(ISNUMBER(FIND("ALLERG",BN21)))+2048*(OR(ISNUMBER(FIND("REMARK",BN21)),ISNUMBER(FIND("COMMENT",BN21))))+4096*(OR(ISNUMBER(FIND("QTY",BN21)),ISNUMBER(FIND("QUANTITY",BN21))))+8192*(AND(OR(ISNUMBER(FIND("COMPLETE",BN21)),ISNUMBER(FIND("PCT",BN21)),ISNUMBER(FIND("PERCENT",BN21))),NOT(ISNUMBER(FIND("ACTUAL",BN21))),LEN(BN21)&lt;=16))+32768*(OR(ISNUMBER(FIND("DESIC",BN21)),ISNUMBER(FIND("DESSIC",BN21)))))</f>
        <v/>
      </c>
      <c r="BO156">
        <f>IF(BO21="",0,2*(OR(ISNUMBER(FIND("WORKCENTER",BO21)),AND(LEFT(BO21,4)="LINE",NOT(ISNUMBER(FIND("STATUS",BO21))))))+4*(OR(ISNUMBER(FIND("WORKORDER",BO21)),AND(LEFT(BO21,2)="WO",OR(ISNUMBER(FIND("NUM",BO21)),RIGHT(BO21,2)="NO"))))+8*(LEFT(BO21,3)="SEQ")+16*(AND(LEFT(BO21,4)="ITEM",NOT(ISNUMBER(FIND("DESC",BO21)))))+32*(AND(ISNUMBER(FIND("DESC",BO21)),NOT(ISNUMBER(FIND("CAP",BO21)))))+64*(OR(RIGHT(BO21,5)="COUNT",RIGHT(BO21,2)="CT"))+128*(ISNUMBER(FIND("BULK",BO21)))+256*(ISNUMBER(FIND("SIZE",BO21)))+512*(LEFT(BO21,3)="CAP")+1024*(ISNUMBER(FIND("ALLERG",BO21)))+2048*(OR(ISNUMBER(FIND("REMARK",BO21)),ISNUMBER(FIND("COMMENT",BO21))))+4096*(OR(ISNUMBER(FIND("QTY",BO21)),ISNUMBER(FIND("QUANTITY",BO21))))+8192*(AND(OR(ISNUMBER(FIND("COMPLETE",BO21)),ISNUMBER(FIND("PCT",BO21)),ISNUMBER(FIND("PERCENT",BO21))),NOT(ISNUMBER(FIND("ACTUAL",BO21))),LEN(BO21)&lt;=16))+32768*(OR(ISNUMBER(FIND("DESIC",BO21)),ISNUMBER(FIND("DESSIC",BO21)))))</f>
        <v/>
      </c>
      <c r="BP156">
        <f>IF(BP21="",0,2*(OR(ISNUMBER(FIND("WORKCENTER",BP21)),AND(LEFT(BP21,4)="LINE",NOT(ISNUMBER(FIND("STATUS",BP21))))))+4*(OR(ISNUMBER(FIND("WORKORDER",BP21)),AND(LEFT(BP21,2)="WO",OR(ISNUMBER(FIND("NUM",BP21)),RIGHT(BP21,2)="NO"))))+8*(LEFT(BP21,3)="SEQ")+16*(AND(LEFT(BP21,4)="ITEM",NOT(ISNUMBER(FIND("DESC",BP21)))))+32*(AND(ISNUMBER(FIND("DESC",BP21)),NOT(ISNUMBER(FIND("CAP",BP21)))))+64*(OR(RIGHT(BP21,5)="COUNT",RIGHT(BP21,2)="CT"))+128*(ISNUMBER(FIND("BULK",BP21)))+256*(ISNUMBER(FIND("SIZE",BP21)))+512*(LEFT(BP21,3)="CAP")+1024*(ISNUMBER(FIND("ALLERG",BP21)))+2048*(OR(ISNUMBER(FIND("REMARK",BP21)),ISNUMBER(FIND("COMMENT",BP21))))+4096*(OR(ISNUMBER(FIND("QTY",BP21)),ISNUMBER(FIND("QUANTITY",BP21))))+8192*(AND(OR(ISNUMBER(FIND("COMPLETE",BP21)),ISNUMBER(FIND("PCT",BP21)),ISNUMBER(FIND("PERCENT",BP21))),NOT(ISNUMBER(FIND("ACTUAL",BP21))),LEN(BP21)&lt;=16))+32768*(OR(ISNUMBER(FIND("DESIC",BP21)),ISNUMBER(FIND("DESSIC",BP21)))))</f>
        <v/>
      </c>
      <c r="BQ156">
        <f>IF(BQ21="",0,2*(OR(ISNUMBER(FIND("WORKCENTER",BQ21)),AND(LEFT(BQ21,4)="LINE",NOT(ISNUMBER(FIND("STATUS",BQ21))))))+4*(OR(ISNUMBER(FIND("WORKORDER",BQ21)),AND(LEFT(BQ21,2)="WO",OR(ISNUMBER(FIND("NUM",BQ21)),RIGHT(BQ21,2)="NO"))))+8*(LEFT(BQ21,3)="SEQ")+16*(AND(LEFT(BQ21,4)="ITEM",NOT(ISNUMBER(FIND("DESC",BQ21)))))+32*(AND(ISNUMBER(FIND("DESC",BQ21)),NOT(ISNUMBER(FIND("CAP",BQ21)))))+64*(OR(RIGHT(BQ21,5)="COUNT",RIGHT(BQ21,2)="CT"))+128*(ISNUMBER(FIND("BULK",BQ21)))+256*(ISNUMBER(FIND("SIZE",BQ21)))+512*(LEFT(BQ21,3)="CAP")+1024*(ISNUMBER(FIND("ALLERG",BQ21)))+2048*(OR(ISNUMBER(FIND("REMARK",BQ21)),ISNUMBER(FIND("COMMENT",BQ21))))+4096*(OR(ISNUMBER(FIND("QTY",BQ21)),ISNUMBER(FIND("QUANTITY",BQ21))))+8192*(AND(OR(ISNUMBER(FIND("COMPLETE",BQ21)),ISNUMBER(FIND("PCT",BQ21)),ISNUMBER(FIND("PERCENT",BQ21))),NOT(ISNUMBER(FIND("ACTUAL",BQ21))),LEN(BQ21)&lt;=16))+32768*(OR(ISNUMBER(FIND("DESIC",BQ21)),ISNUMBER(FIND("DESSIC",BQ21)))))</f>
        <v/>
      </c>
      <c r="BR156">
        <f>IF(BR21="",0,2*(OR(ISNUMBER(FIND("WORKCENTER",BR21)),AND(LEFT(BR21,4)="LINE",NOT(ISNUMBER(FIND("STATUS",BR21))))))+4*(OR(ISNUMBER(FIND("WORKORDER",BR21)),AND(LEFT(BR21,2)="WO",OR(ISNUMBER(FIND("NUM",BR21)),RIGHT(BR21,2)="NO"))))+8*(LEFT(BR21,3)="SEQ")+16*(AND(LEFT(BR21,4)="ITEM",NOT(ISNUMBER(FIND("DESC",BR21)))))+32*(AND(ISNUMBER(FIND("DESC",BR21)),NOT(ISNUMBER(FIND("CAP",BR21)))))+64*(OR(RIGHT(BR21,5)="COUNT",RIGHT(BR21,2)="CT"))+128*(ISNUMBER(FIND("BULK",BR21)))+256*(ISNUMBER(FIND("SIZE",BR21)))+512*(LEFT(BR21,3)="CAP")+1024*(ISNUMBER(FIND("ALLERG",BR21)))+2048*(OR(ISNUMBER(FIND("REMARK",BR21)),ISNUMBER(FIND("COMMENT",BR21))))+4096*(OR(ISNUMBER(FIND("QTY",BR21)),ISNUMBER(FIND("QUANTITY",BR21))))+8192*(AND(OR(ISNUMBER(FIND("COMPLETE",BR21)),ISNUMBER(FIND("PCT",BR21)),ISNUMBER(FIND("PERCENT",BR21))),NOT(ISNUMBER(FIND("ACTUAL",BR21))),LEN(BR21)&lt;=16))+32768*(OR(ISNUMBER(FIND("DESIC",BR21)),ISNUMBER(FIND("DESSIC",BR21)))))</f>
        <v/>
      </c>
      <c r="BS156">
        <f>IF(BS21="",0,2*(OR(ISNUMBER(FIND("WORKCENTER",BS21)),AND(LEFT(BS21,4)="LINE",NOT(ISNUMBER(FIND("STATUS",BS21))))))+4*(OR(ISNUMBER(FIND("WORKORDER",BS21)),AND(LEFT(BS21,2)="WO",OR(ISNUMBER(FIND("NUM",BS21)),RIGHT(BS21,2)="NO"))))+8*(LEFT(BS21,3)="SEQ")+16*(AND(LEFT(BS21,4)="ITEM",NOT(ISNUMBER(FIND("DESC",BS21)))))+32*(AND(ISNUMBER(FIND("DESC",BS21)),NOT(ISNUMBER(FIND("CAP",BS21)))))+64*(OR(RIGHT(BS21,5)="COUNT",RIGHT(BS21,2)="CT"))+128*(ISNUMBER(FIND("BULK",BS21)))+256*(ISNUMBER(FIND("SIZE",BS21)))+512*(LEFT(BS21,3)="CAP")+1024*(ISNUMBER(FIND("ALLERG",BS21)))+2048*(OR(ISNUMBER(FIND("REMARK",BS21)),ISNUMBER(FIND("COMMENT",BS21))))+4096*(OR(ISNUMBER(FIND("QTY",BS21)),ISNUMBER(FIND("QUANTITY",BS21))))+8192*(AND(OR(ISNUMBER(FIND("COMPLETE",BS21)),ISNUMBER(FIND("PCT",BS21)),ISNUMBER(FIND("PERCENT",BS21))),NOT(ISNUMBER(FIND("ACTUAL",BS21))),LEN(BS21)&lt;=16))+32768*(OR(ISNUMBER(FIND("DESIC",BS21)),ISNUMBER(FIND("DESSIC",BS21)))))</f>
        <v/>
      </c>
      <c r="BT156">
        <f>IF(BT21="",0,2*(OR(ISNUMBER(FIND("WORKCENTER",BT21)),AND(LEFT(BT21,4)="LINE",NOT(ISNUMBER(FIND("STATUS",BT21))))))+4*(OR(ISNUMBER(FIND("WORKORDER",BT21)),AND(LEFT(BT21,2)="WO",OR(ISNUMBER(FIND("NUM",BT21)),RIGHT(BT21,2)="NO"))))+8*(LEFT(BT21,3)="SEQ")+16*(AND(LEFT(BT21,4)="ITEM",NOT(ISNUMBER(FIND("DESC",BT21)))))+32*(AND(ISNUMBER(FIND("DESC",BT21)),NOT(ISNUMBER(FIND("CAP",BT21)))))+64*(OR(RIGHT(BT21,5)="COUNT",RIGHT(BT21,2)="CT"))+128*(ISNUMBER(FIND("BULK",BT21)))+256*(ISNUMBER(FIND("SIZE",BT21)))+512*(LEFT(BT21,3)="CAP")+1024*(ISNUMBER(FIND("ALLERG",BT21)))+2048*(OR(ISNUMBER(FIND("REMARK",BT21)),ISNUMBER(FIND("COMMENT",BT21))))+4096*(OR(ISNUMBER(FIND("QTY",BT21)),ISNUMBER(FIND("QUANTITY",BT21))))+8192*(AND(OR(ISNUMBER(FIND("COMPLETE",BT21)),ISNUMBER(FIND("PCT",BT21)),ISNUMBER(FIND("PERCENT",BT21))),NOT(ISNUMBER(FIND("ACTUAL",BT21))),LEN(BT21)&lt;=16))+32768*(OR(ISNUMBER(FIND("DESIC",BT21)),ISNUMBER(FIND("DESSIC",BT21)))))</f>
        <v/>
      </c>
      <c r="BU156">
        <f>IF(BU21="",0,2*(OR(ISNUMBER(FIND("WORKCENTER",BU21)),AND(LEFT(BU21,4)="LINE",NOT(ISNUMBER(FIND("STATUS",BU21))))))+4*(OR(ISNUMBER(FIND("WORKORDER",BU21)),AND(LEFT(BU21,2)="WO",OR(ISNUMBER(FIND("NUM",BU21)),RIGHT(BU21,2)="NO"))))+8*(LEFT(BU21,3)="SEQ")+16*(AND(LEFT(BU21,4)="ITEM",NOT(ISNUMBER(FIND("DESC",BU21)))))+32*(AND(ISNUMBER(FIND("DESC",BU21)),NOT(ISNUMBER(FIND("CAP",BU21)))))+64*(OR(RIGHT(BU21,5)="COUNT",RIGHT(BU21,2)="CT"))+128*(ISNUMBER(FIND("BULK",BU21)))+256*(ISNUMBER(FIND("SIZE",BU21)))+512*(LEFT(BU21,3)="CAP")+1024*(ISNUMBER(FIND("ALLERG",BU21)))+2048*(OR(ISNUMBER(FIND("REMARK",BU21)),ISNUMBER(FIND("COMMENT",BU21))))+4096*(OR(ISNUMBER(FIND("QTY",BU21)),ISNUMBER(FIND("QUANTITY",BU21))))+8192*(AND(OR(ISNUMBER(FIND("COMPLETE",BU21)),ISNUMBER(FIND("PCT",BU21)),ISNUMBER(FIND("PERCENT",BU21))),NOT(ISNUMBER(FIND("ACTUAL",BU21))),LEN(BU21)&lt;=16))+32768*(OR(ISNUMBER(FIND("DESIC",BU21)),ISNUMBER(FIND("DESSIC",BU21)))))</f>
        <v/>
      </c>
      <c r="BV156">
        <f>IF(BV21="",0,2*(OR(ISNUMBER(FIND("WORKCENTER",BV21)),AND(LEFT(BV21,4)="LINE",NOT(ISNUMBER(FIND("STATUS",BV21))))))+4*(OR(ISNUMBER(FIND("WORKORDER",BV21)),AND(LEFT(BV21,2)="WO",OR(ISNUMBER(FIND("NUM",BV21)),RIGHT(BV21,2)="NO"))))+8*(LEFT(BV21,3)="SEQ")+16*(AND(LEFT(BV21,4)="ITEM",NOT(ISNUMBER(FIND("DESC",BV21)))))+32*(AND(ISNUMBER(FIND("DESC",BV21)),NOT(ISNUMBER(FIND("CAP",BV21)))))+64*(OR(RIGHT(BV21,5)="COUNT",RIGHT(BV21,2)="CT"))+128*(ISNUMBER(FIND("BULK",BV21)))+256*(ISNUMBER(FIND("SIZE",BV21)))+512*(LEFT(BV21,3)="CAP")+1024*(ISNUMBER(FIND("ALLERG",BV21)))+2048*(OR(ISNUMBER(FIND("REMARK",BV21)),ISNUMBER(FIND("COMMENT",BV21))))+4096*(OR(ISNUMBER(FIND("QTY",BV21)),ISNUMBER(FIND("QUANTITY",BV21))))+8192*(AND(OR(ISNUMBER(FIND("COMPLETE",BV21)),ISNUMBER(FIND("PCT",BV21)),ISNUMBER(FIND("PERCENT",BV21))),NOT(ISNUMBER(FIND("ACTUAL",BV21))),LEN(BV21)&lt;=16))+32768*(OR(ISNUMBER(FIND("DESIC",BV21)),ISNUMBER(FIND("DESSIC",BV21)))))</f>
        <v/>
      </c>
      <c r="BW156">
        <f>IF(BW21="",0,2*(OR(ISNUMBER(FIND("WORKCENTER",BW21)),AND(LEFT(BW21,4)="LINE",NOT(ISNUMBER(FIND("STATUS",BW21))))))+4*(OR(ISNUMBER(FIND("WORKORDER",BW21)),AND(LEFT(BW21,2)="WO",OR(ISNUMBER(FIND("NUM",BW21)),RIGHT(BW21,2)="NO"))))+8*(LEFT(BW21,3)="SEQ")+16*(AND(LEFT(BW21,4)="ITEM",NOT(ISNUMBER(FIND("DESC",BW21)))))+32*(AND(ISNUMBER(FIND("DESC",BW21)),NOT(ISNUMBER(FIND("CAP",BW21)))))+64*(OR(RIGHT(BW21,5)="COUNT",RIGHT(BW21,2)="CT"))+128*(ISNUMBER(FIND("BULK",BW21)))+256*(ISNUMBER(FIND("SIZE",BW21)))+512*(LEFT(BW21,3)="CAP")+1024*(ISNUMBER(FIND("ALLERG",BW21)))+2048*(OR(ISNUMBER(FIND("REMARK",BW21)),ISNUMBER(FIND("COMMENT",BW21))))+4096*(OR(ISNUMBER(FIND("QTY",BW21)),ISNUMBER(FIND("QUANTITY",BW21))))+8192*(AND(OR(ISNUMBER(FIND("COMPLETE",BW21)),ISNUMBER(FIND("PCT",BW21)),ISNUMBER(FIND("PERCENT",BW21))),NOT(ISNUMBER(FIND("ACTUAL",BW21))),LEN(BW21)&lt;=16))+32768*(OR(ISNUMBER(FIND("DESIC",BW21)),ISNUMBER(FIND("DESSIC",BW21)))))</f>
        <v/>
      </c>
      <c r="BX156">
        <f>IF(BX21="",0,2*(OR(ISNUMBER(FIND("WORKCENTER",BX21)),AND(LEFT(BX21,4)="LINE",NOT(ISNUMBER(FIND("STATUS",BX21))))))+4*(OR(ISNUMBER(FIND("WORKORDER",BX21)),AND(LEFT(BX21,2)="WO",OR(ISNUMBER(FIND("NUM",BX21)),RIGHT(BX21,2)="NO"))))+8*(LEFT(BX21,3)="SEQ")+16*(AND(LEFT(BX21,4)="ITEM",NOT(ISNUMBER(FIND("DESC",BX21)))))+32*(AND(ISNUMBER(FIND("DESC",BX21)),NOT(ISNUMBER(FIND("CAP",BX21)))))+64*(OR(RIGHT(BX21,5)="COUNT",RIGHT(BX21,2)="CT"))+128*(ISNUMBER(FIND("BULK",BX21)))+256*(ISNUMBER(FIND("SIZE",BX21)))+512*(LEFT(BX21,3)="CAP")+1024*(ISNUMBER(FIND("ALLERG",BX21)))+2048*(OR(ISNUMBER(FIND("REMARK",BX21)),ISNUMBER(FIND("COMMENT",BX21))))+4096*(OR(ISNUMBER(FIND("QTY",BX21)),ISNUMBER(FIND("QUANTITY",BX21))))+8192*(AND(OR(ISNUMBER(FIND("COMPLETE",BX21)),ISNUMBER(FIND("PCT",BX21)),ISNUMBER(FIND("PERCENT",BX21))),NOT(ISNUMBER(FIND("ACTUAL",BX21))),LEN(BX21)&lt;=16))+32768*(OR(ISNUMBER(FIND("DESIC",BX21)),ISNUMBER(FIND("DESSIC",BX21)))))</f>
        <v/>
      </c>
      <c r="BY156">
        <f>IF(BY21="",0,2*(OR(ISNUMBER(FIND("WORKCENTER",BY21)),AND(LEFT(BY21,4)="LINE",NOT(ISNUMBER(FIND("STATUS",BY21))))))+4*(OR(ISNUMBER(FIND("WORKORDER",BY21)),AND(LEFT(BY21,2)="WO",OR(ISNUMBER(FIND("NUM",BY21)),RIGHT(BY21,2)="NO"))))+8*(LEFT(BY21,3)="SEQ")+16*(AND(LEFT(BY21,4)="ITEM",NOT(ISNUMBER(FIND("DESC",BY21)))))+32*(AND(ISNUMBER(FIND("DESC",BY21)),NOT(ISNUMBER(FIND("CAP",BY21)))))+64*(OR(RIGHT(BY21,5)="COUNT",RIGHT(BY21,2)="CT"))+128*(ISNUMBER(FIND("BULK",BY21)))+256*(ISNUMBER(FIND("SIZE",BY21)))+512*(LEFT(BY21,3)="CAP")+1024*(ISNUMBER(FIND("ALLERG",BY21)))+2048*(OR(ISNUMBER(FIND("REMARK",BY21)),ISNUMBER(FIND("COMMENT",BY21))))+4096*(OR(ISNUMBER(FIND("QTY",BY21)),ISNUMBER(FIND("QUANTITY",BY21))))+8192*(AND(OR(ISNUMBER(FIND("COMPLETE",BY21)),ISNUMBER(FIND("PCT",BY21)),ISNUMBER(FIND("PERCENT",BY21))),NOT(ISNUMBER(FIND("ACTUAL",BY21))),LEN(BY21)&lt;=16))+32768*(OR(ISNUMBER(FIND("DESIC",BY21)),ISNUMBER(FIND("DESSIC",BY21)))))</f>
        <v/>
      </c>
      <c r="BZ156">
        <f>IF(BZ21="",0,2*(OR(ISNUMBER(FIND("WORKCENTER",BZ21)),AND(LEFT(BZ21,4)="LINE",NOT(ISNUMBER(FIND("STATUS",BZ21))))))+4*(OR(ISNUMBER(FIND("WORKORDER",BZ21)),AND(LEFT(BZ21,2)="WO",OR(ISNUMBER(FIND("NUM",BZ21)),RIGHT(BZ21,2)="NO"))))+8*(LEFT(BZ21,3)="SEQ")+16*(AND(LEFT(BZ21,4)="ITEM",NOT(ISNUMBER(FIND("DESC",BZ21)))))+32*(AND(ISNUMBER(FIND("DESC",BZ21)),NOT(ISNUMBER(FIND("CAP",BZ21)))))+64*(OR(RIGHT(BZ21,5)="COUNT",RIGHT(BZ21,2)="CT"))+128*(ISNUMBER(FIND("BULK",BZ21)))+256*(ISNUMBER(FIND("SIZE",BZ21)))+512*(LEFT(BZ21,3)="CAP")+1024*(ISNUMBER(FIND("ALLERG",BZ21)))+2048*(OR(ISNUMBER(FIND("REMARK",BZ21)),ISNUMBER(FIND("COMMENT",BZ21))))+4096*(OR(ISNUMBER(FIND("QTY",BZ21)),ISNUMBER(FIND("QUANTITY",BZ21))))+8192*(AND(OR(ISNUMBER(FIND("COMPLETE",BZ21)),ISNUMBER(FIND("PCT",BZ21)),ISNUMBER(FIND("PERCENT",BZ21))),NOT(ISNUMBER(FIND("ACTUAL",BZ21))),LEN(BZ21)&lt;=16))+32768*(OR(ISNUMBER(FIND("DESIC",BZ21)),ISNUMBER(FIND("DESSIC",BZ21)))))</f>
        <v/>
      </c>
      <c r="CA156">
        <f>IF(CA21="",0,2*(OR(ISNUMBER(FIND("WORKCENTER",CA21)),AND(LEFT(CA21,4)="LINE",NOT(ISNUMBER(FIND("STATUS",CA21))))))+4*(OR(ISNUMBER(FIND("WORKORDER",CA21)),AND(LEFT(CA21,2)="WO",OR(ISNUMBER(FIND("NUM",CA21)),RIGHT(CA21,2)="NO"))))+8*(LEFT(CA21,3)="SEQ")+16*(AND(LEFT(CA21,4)="ITEM",NOT(ISNUMBER(FIND("DESC",CA21)))))+32*(AND(ISNUMBER(FIND("DESC",CA21)),NOT(ISNUMBER(FIND("CAP",CA21)))))+64*(OR(RIGHT(CA21,5)="COUNT",RIGHT(CA21,2)="CT"))+128*(ISNUMBER(FIND("BULK",CA21)))+256*(ISNUMBER(FIND("SIZE",CA21)))+512*(LEFT(CA21,3)="CAP")+1024*(ISNUMBER(FIND("ALLERG",CA21)))+2048*(OR(ISNUMBER(FIND("REMARK",CA21)),ISNUMBER(FIND("COMMENT",CA21))))+4096*(OR(ISNUMBER(FIND("QTY",CA21)),ISNUMBER(FIND("QUANTITY",CA21))))+8192*(AND(OR(ISNUMBER(FIND("COMPLETE",CA21)),ISNUMBER(FIND("PCT",CA21)),ISNUMBER(FIND("PERCENT",CA21))),NOT(ISNUMBER(FIND("ACTUAL",CA21))),LEN(CA21)&lt;=16))+32768*(OR(ISNUMBER(FIND("DESIC",CA21)),ISNUMBER(FIND("DESSIC",CA21)))))</f>
        <v/>
      </c>
      <c r="CB156">
        <f>IF(CB21="",0,2*(OR(ISNUMBER(FIND("WORKCENTER",CB21)),AND(LEFT(CB21,4)="LINE",NOT(ISNUMBER(FIND("STATUS",CB21))))))+4*(OR(ISNUMBER(FIND("WORKORDER",CB21)),AND(LEFT(CB21,2)="WO",OR(ISNUMBER(FIND("NUM",CB21)),RIGHT(CB21,2)="NO"))))+8*(LEFT(CB21,3)="SEQ")+16*(AND(LEFT(CB21,4)="ITEM",NOT(ISNUMBER(FIND("DESC",CB21)))))+32*(AND(ISNUMBER(FIND("DESC",CB21)),NOT(ISNUMBER(FIND("CAP",CB21)))))+64*(OR(RIGHT(CB21,5)="COUNT",RIGHT(CB21,2)="CT"))+128*(ISNUMBER(FIND("BULK",CB21)))+256*(ISNUMBER(FIND("SIZE",CB21)))+512*(LEFT(CB21,3)="CAP")+1024*(ISNUMBER(FIND("ALLERG",CB21)))+2048*(OR(ISNUMBER(FIND("REMARK",CB21)),ISNUMBER(FIND("COMMENT",CB21))))+4096*(OR(ISNUMBER(FIND("QTY",CB21)),ISNUMBER(FIND("QUANTITY",CB21))))+8192*(AND(OR(ISNUMBER(FIND("COMPLETE",CB21)),ISNUMBER(FIND("PCT",CB21)),ISNUMBER(FIND("PERCENT",CB21))),NOT(ISNUMBER(FIND("ACTUAL",CB21))),LEN(CB21)&lt;=16))+32768*(OR(ISNUMBER(FIND("DESIC",CB21)),ISNUMBER(FIND("DESSIC",CB21)))))</f>
        <v/>
      </c>
      <c r="CC156">
        <f>IF(CC21="",0,2*(OR(ISNUMBER(FIND("WORKCENTER",CC21)),AND(LEFT(CC21,4)="LINE",NOT(ISNUMBER(FIND("STATUS",CC21))))))+4*(OR(ISNUMBER(FIND("WORKORDER",CC21)),AND(LEFT(CC21,2)="WO",OR(ISNUMBER(FIND("NUM",CC21)),RIGHT(CC21,2)="NO"))))+8*(LEFT(CC21,3)="SEQ")+16*(AND(LEFT(CC21,4)="ITEM",NOT(ISNUMBER(FIND("DESC",CC21)))))+32*(AND(ISNUMBER(FIND("DESC",CC21)),NOT(ISNUMBER(FIND("CAP",CC21)))))+64*(OR(RIGHT(CC21,5)="COUNT",RIGHT(CC21,2)="CT"))+128*(ISNUMBER(FIND("BULK",CC21)))+256*(ISNUMBER(FIND("SIZE",CC21)))+512*(LEFT(CC21,3)="CAP")+1024*(ISNUMBER(FIND("ALLERG",CC21)))+2048*(OR(ISNUMBER(FIND("REMARK",CC21)),ISNUMBER(FIND("COMMENT",CC21))))+4096*(OR(ISNUMBER(FIND("QTY",CC21)),ISNUMBER(FIND("QUANTITY",CC21))))+8192*(AND(OR(ISNUMBER(FIND("COMPLETE",CC21)),ISNUMBER(FIND("PCT",CC21)),ISNUMBER(FIND("PERCENT",CC21))),NOT(ISNUMBER(FIND("ACTUAL",CC21))),LEN(CC21)&lt;=16))+32768*(OR(ISNUMBER(FIND("DESIC",CC21)),ISNUMBER(FIND("DESSIC",CC21)))))</f>
        <v/>
      </c>
      <c r="CD156">
        <f>IF(CD21="",0,2*(OR(ISNUMBER(FIND("WORKCENTER",CD21)),AND(LEFT(CD21,4)="LINE",NOT(ISNUMBER(FIND("STATUS",CD21))))))+4*(OR(ISNUMBER(FIND("WORKORDER",CD21)),AND(LEFT(CD21,2)="WO",OR(ISNUMBER(FIND("NUM",CD21)),RIGHT(CD21,2)="NO"))))+8*(LEFT(CD21,3)="SEQ")+16*(AND(LEFT(CD21,4)="ITEM",NOT(ISNUMBER(FIND("DESC",CD21)))))+32*(AND(ISNUMBER(FIND("DESC",CD21)),NOT(ISNUMBER(FIND("CAP",CD21)))))+64*(OR(RIGHT(CD21,5)="COUNT",RIGHT(CD21,2)="CT"))+128*(ISNUMBER(FIND("BULK",CD21)))+256*(ISNUMBER(FIND("SIZE",CD21)))+512*(LEFT(CD21,3)="CAP")+1024*(ISNUMBER(FIND("ALLERG",CD21)))+2048*(OR(ISNUMBER(FIND("REMARK",CD21)),ISNUMBER(FIND("COMMENT",CD21))))+4096*(OR(ISNUMBER(FIND("QTY",CD21)),ISNUMBER(FIND("QUANTITY",CD21))))+8192*(AND(OR(ISNUMBER(FIND("COMPLETE",CD21)),ISNUMBER(FIND("PCT",CD21)),ISNUMBER(FIND("PERCENT",CD21))),NOT(ISNUMBER(FIND("ACTUAL",CD21))),LEN(CD21)&lt;=16))+32768*(OR(ISNUMBER(FIND("DESIC",CD21)),ISNUMBER(FIND("DESSIC",CD21)))))</f>
        <v/>
      </c>
      <c r="CE156">
        <f>IF(CE21="",0,2*(OR(ISNUMBER(FIND("WORKCENTER",CE21)),AND(LEFT(CE21,4)="LINE",NOT(ISNUMBER(FIND("STATUS",CE21))))))+4*(OR(ISNUMBER(FIND("WORKORDER",CE21)),AND(LEFT(CE21,2)="WO",OR(ISNUMBER(FIND("NUM",CE21)),RIGHT(CE21,2)="NO"))))+8*(LEFT(CE21,3)="SEQ")+16*(AND(LEFT(CE21,4)="ITEM",NOT(ISNUMBER(FIND("DESC",CE21)))))+32*(AND(ISNUMBER(FIND("DESC",CE21)),NOT(ISNUMBER(FIND("CAP",CE21)))))+64*(OR(RIGHT(CE21,5)="COUNT",RIGHT(CE21,2)="CT"))+128*(ISNUMBER(FIND("BULK",CE21)))+256*(ISNUMBER(FIND("SIZE",CE21)))+512*(LEFT(CE21,3)="CAP")+1024*(ISNUMBER(FIND("ALLERG",CE21)))+2048*(OR(ISNUMBER(FIND("REMARK",CE21)),ISNUMBER(FIND("COMMENT",CE21))))+4096*(OR(ISNUMBER(FIND("QTY",CE21)),ISNUMBER(FIND("QUANTITY",CE21))))+8192*(AND(OR(ISNUMBER(FIND("COMPLETE",CE21)),ISNUMBER(FIND("PCT",CE21)),ISNUMBER(FIND("PERCENT",CE21))),NOT(ISNUMBER(FIND("ACTUAL",CE21))),LEN(CE21)&lt;=16))+32768*(OR(ISNUMBER(FIND("DESIC",CE21)),ISNUMBER(FIND("DESSIC",CE21)))))</f>
        <v/>
      </c>
      <c r="CF156">
        <f>IF(CF21="",0,2*(OR(ISNUMBER(FIND("WORKCENTER",CF21)),AND(LEFT(CF21,4)="LINE",NOT(ISNUMBER(FIND("STATUS",CF21))))))+4*(OR(ISNUMBER(FIND("WORKORDER",CF21)),AND(LEFT(CF21,2)="WO",OR(ISNUMBER(FIND("NUM",CF21)),RIGHT(CF21,2)="NO"))))+8*(LEFT(CF21,3)="SEQ")+16*(AND(LEFT(CF21,4)="ITEM",NOT(ISNUMBER(FIND("DESC",CF21)))))+32*(AND(ISNUMBER(FIND("DESC",CF21)),NOT(ISNUMBER(FIND("CAP",CF21)))))+64*(OR(RIGHT(CF21,5)="COUNT",RIGHT(CF21,2)="CT"))+128*(ISNUMBER(FIND("BULK",CF21)))+256*(ISNUMBER(FIND("SIZE",CF21)))+512*(LEFT(CF21,3)="CAP")+1024*(ISNUMBER(FIND("ALLERG",CF21)))+2048*(OR(ISNUMBER(FIND("REMARK",CF21)),ISNUMBER(FIND("COMMENT",CF21))))+4096*(OR(ISNUMBER(FIND("QTY",CF21)),ISNUMBER(FIND("QUANTITY",CF21))))+8192*(AND(OR(ISNUMBER(FIND("COMPLETE",CF21)),ISNUMBER(FIND("PCT",CF21)),ISNUMBER(FIND("PERCENT",CF21))),NOT(ISNUMBER(FIND("ACTUAL",CF21))),LEN(CF21)&lt;=16))+32768*(OR(ISNUMBER(FIND("DESIC",CF21)),ISNUMBER(FIND("DESSIC",CF21)))))</f>
        <v/>
      </c>
      <c r="DA156" t="n">
        <v>152</v>
      </c>
      <c r="DB156">
        <f>IF($B$37=0,"",IFERROR(TRIM(SUBSTITUTE(SUBSTITUTE(SUBSTITUTE(SUBSTITUTE(INDEX(PASTE_ALL,152,$B$37)," "," "),CHAR(9)," "),CHAR(10)," "),CHAR(13)," ")),""))</f>
        <v/>
      </c>
      <c r="DC156">
        <f>IF(AND(152&gt;HEADER_ROW,UPPER(DB156)="LEGEND"),1,0)</f>
        <v/>
      </c>
      <c r="DE156" t="n">
        <v>152</v>
      </c>
      <c r="DF156">
        <f>HEADER_ROW+$DE156</f>
        <v/>
      </c>
      <c r="DG156">
        <f>IF(AND($DF156&lt;=1000,$DF156&lt;$B$8),1,0)</f>
        <v/>
      </c>
      <c r="DH156">
        <f>IF($DG156=1,IFERROR(INDEX($DB$5:$DB$1004,$DF156),""),"")</f>
        <v/>
      </c>
      <c r="DI156">
        <f>IF(AND($DG156=1,$DH156&lt;&gt;""),IFERROR(SUBSTITUTE(SUBSTITUTE(TRIM(SUBSTITUTE(SUBSTITUTE(SUBSTITUTE(SUBSTITUTE(IFERROR(INDEX(PASTE_ALL,$DF156,1)&amp;"","")&amp;"␟"&amp;IFERROR(INDEX(PASTE_ALL,$DF156,2)&amp;"","")&amp;"␟"&amp;IFERROR(INDEX(PASTE_ALL,$DF156,3)&amp;"","")&amp;"␟"&amp;IFERROR(INDEX(PASTE_ALL,$DF156,4)&amp;"","")&amp;"␟"&amp;IFERROR(INDEX(PASTE_ALL,$DF156,5)&amp;"","")&amp;"␟"&amp;IFERROR(INDEX(PASTE_ALL,$DF156,6)&amp;"","")&amp;"␟"&amp;IFERROR(INDEX(PASTE_ALL,$DF156,7)&amp;"","")&amp;"␟"&amp;IFERROR(INDEX(PASTE_ALL,$DF156,8)&amp;"","")&amp;"␟"&amp;IFERROR(INDEX(PASTE_ALL,$DF156,9)&amp;"","")&amp;"␟"&amp;IFERROR(INDEX(PASTE_ALL,$DF156,10)&amp;"","")&amp;"␟"&amp;IFERROR(INDEX(PASTE_ALL,$DF156,11)&amp;"","")&amp;"␟"&amp;IFERROR(INDEX(PASTE_ALL,$DF156,12)&amp;"","")&amp;"␟"&amp;IFERROR(INDEX(PASTE_ALL,$DF156,13)&amp;"","")&amp;"␟"&amp;IFERROR(INDEX(PASTE_ALL,$DF156,14)&amp;"","")&amp;"␟"&amp;IFERROR(INDEX(PASTE_ALL,$DF156,15)&amp;"","")&amp;"␟"&amp;IFERROR(INDEX(PASTE_ALL,$DF156,16)&amp;"","")&amp;"␟"&amp;IFERROR(INDEX(PASTE_ALL,$DF156,17)&amp;"","")&amp;"␟"&amp;IFERROR(INDEX(PASTE_ALL,$DF156,18)&amp;"","")&amp;"␟"&amp;IFERROR(INDEX(PASTE_ALL,$DF156,19)&amp;"","")&amp;"␟"&amp;IFERROR(INDEX(PASTE_ALL,$DF156,20)&amp;"","")&amp;"␟"&amp;IFERROR(INDEX(PASTE_ALL,$DF156,21)&amp;"","")&amp;"␟"&amp;IFERROR(INDEX(PASTE_ALL,$DF156,22)&amp;"","")&amp;"␟"&amp;IFERROR(INDEX(PASTE_ALL,$DF156,23)&amp;"","")&amp;"␟"&amp;IFERROR(INDEX(PASTE_ALL,$DF156,24)&amp;"","")&amp;"␟"&amp;IFERROR(INDEX(PASTE_ALL,$DF156,25)&amp;"","")&amp;"␟"&amp;IFERROR(INDEX(PASTE_ALL,$DF156,26)&amp;"","")&amp;"␟"&amp;IFERROR(INDEX(PASTE_ALL,$DF156,27)&amp;"","")&amp;"␟"&amp;IFERROR(INDEX(PASTE_ALL,$DF156,28)&amp;"","")&amp;"␟"&amp;IFERROR(INDEX(PASTE_ALL,$DF156,29)&amp;"","")&amp;"␟"&amp;IFERROR(INDEX(PASTE_ALL,$DF156,30)&amp;"","")&amp;"␟"&amp;IFERROR(INDEX(PASTE_ALL,$DF156,31)&amp;"","")&amp;"␟"&amp;IFERROR(INDEX(PASTE_ALL,$DF156,32)&amp;"","")&amp;"␟"&amp;IFERROR(INDEX(PASTE_ALL,$DF156,33)&amp;"","")&amp;"␟"&amp;IFERROR(INDEX(PASTE_ALL,$DF156,34)&amp;"","")&amp;"␟"&amp;IFERROR(INDEX(PASTE_ALL,$DF156,35)&amp;"","")&amp;"␟"&amp;IFERROR(INDEX(PASTE_ALL,$DF156,36)&amp;"","")&amp;"␟"&amp;IFERROR(INDEX(PASTE_ALL,$DF156,37)&amp;"","")&amp;"␟"&amp;IFERROR(INDEX(PASTE_ALL,$DF156,38)&amp;"","")&amp;"␟"&amp;IFERROR(INDEX(PASTE_ALL,$DF156,39)&amp;"","")&amp;"␟"&amp;IFERROR(INDEX(PASTE_ALL,$DF156,40)&amp;"","")&amp;"␟"&amp;IFERROR(INDEX(PASTE_ALL,$DF156,41)&amp;"","")&amp;"␟"&amp;IFERROR(INDEX(PASTE_ALL,$DF156,42)&amp;"","")&amp;"␟"&amp;IFERROR(INDEX(PASTE_ALL,$DF156,43)&amp;"","")&amp;"␟"&amp;IFERROR(INDEX(PASTE_ALL,$DF156,44)&amp;"","")&amp;"␟"&amp;IFERROR(INDEX(PASTE_ALL,$DF156,45)&amp;"","")&amp;"␟"&amp;IFERROR(INDEX(PASTE_ALL,$DF156,46)&amp;"","")&amp;"␟"&amp;IFERROR(INDEX(PASTE_ALL,$DF156,47)&amp;"","")&amp;"␟"&amp;IFERROR(INDEX(PASTE_ALL,$DF156,48)&amp;"","")&amp;"␟"&amp;IFERROR(INDEX(PASTE_ALL,$DF156,49)&amp;"","")&amp;"␟"&amp;IFERROR(INDEX(PASTE_ALL,$DF156,50)&amp;"","")&amp;"␟"&amp;IFERROR(INDEX(PASTE_ALL,$DF156,51)&amp;"","")&amp;"␟"&amp;IFERROR(INDEX(PASTE_ALL,$DF156,52)&amp;"","")&amp;"␟"&amp;IFERROR(INDEX(PASTE_ALL,$DF156,53)&amp;"","")&amp;"␟"&amp;IFERROR(INDEX(PASTE_ALL,$DF156,54)&amp;"","")&amp;"␟"&amp;IFERROR(INDEX(PASTE_ALL,$DF156,55)&amp;"","")&amp;"␟"&amp;IFERROR(INDEX(PASTE_ALL,$DF156,56)&amp;"","")&amp;"␟"&amp;IFERROR(INDEX(PASTE_ALL,$DF156,57)&amp;"","")&amp;"␟"&amp;IFERROR(INDEX(PASTE_ALL,$DF156,58)&amp;"","")&amp;"␟"&amp;IFERROR(INDEX(PASTE_ALL,$DF156,59)&amp;"","")&amp;"␟"&amp;IFERROR(INDEX(PASTE_ALL,$DF156,60)&amp;"","")," "," "),CHAR(9)," "),CHAR(10)," "),CHAR(13)," "))," ␟","␟"),"␟ ","␟"),"#"&amp;$DE156),"")</f>
        <v/>
      </c>
      <c r="DJ156">
        <f>IF($DI156="",0,IF(SUMPRODUCT(--EXACT($DI$4:DI155,$DI156))&gt;0,1,0))</f>
        <v/>
      </c>
      <c r="DK156">
        <f>IF(AND($DI156&lt;&gt;"",$DJ156=0),1,0)</f>
        <v/>
      </c>
      <c r="DL156">
        <f>DL155+$DK156</f>
        <v/>
      </c>
      <c r="DM156">
        <f>IF(AND($DK156=1,$DL156&lt;=600),1,0)</f>
        <v/>
      </c>
      <c r="DN156">
        <f>IF($DM156=0,"",IF($L$6=0,"",IFERROR(IF(ISNUMBER(INDEX(PASTE_ALL,$DF156,$L$6)),INDEX(PASTE_ALL,$DF156,$L$6),TRIM(SUBSTITUTE(SUBSTITUTE(SUBSTITUTE(SUBSTITUTE(INDEX(PASTE_ALL,$DF156,$L$6)," "," "),CHAR(9)," "),CHAR(10)," "),CHAR(13)," "))),"")))</f>
        <v/>
      </c>
      <c r="DO156">
        <f>IF($DM156=0,"",IF($L$7=0,"",IFERROR(IF(ISNUMBER(INDEX(PASTE_ALL,$DF156,$L$7)),INDEX(PASTE_ALL,$DF156,$L$7),TRIM(SUBSTITUTE(SUBSTITUTE(SUBSTITUTE(SUBSTITUTE(INDEX(PASTE_ALL,$DF156,$L$7)," "," "),CHAR(9)," "),CHAR(10)," "),CHAR(13)," "))),"")))</f>
        <v/>
      </c>
      <c r="DP156">
        <f>IF($DM156=0,"",IF($L$8=0,"",IFERROR(IF(ISNUMBER(INDEX(PASTE_ALL,$DF156,$L$8)),INDEX(PASTE_ALL,$DF156,$L$8),TRIM(SUBSTITUTE(SUBSTITUTE(SUBSTITUTE(SUBSTITUTE(INDEX(PASTE_ALL,$DF156,$L$8)," "," "),CHAR(9)," "),CHAR(10)," "),CHAR(13)," "))),"")))</f>
        <v/>
      </c>
      <c r="DQ156">
        <f>IF($DM156=0,"",IF($L$9=0,"",IFERROR(IF(ISNUMBER(INDEX(PASTE_ALL,$DF156,$L$9)),INDEX(PASTE_ALL,$DF156,$L$9),TRIM(SUBSTITUTE(SUBSTITUTE(SUBSTITUTE(SUBSTITUTE(INDEX(PASTE_ALL,$DF156,$L$9)," "," "),CHAR(9)," "),CHAR(10)," "),CHAR(13)," "))),"")))</f>
        <v/>
      </c>
      <c r="DR156">
        <f>IF($DM156=0,"",IF($L$10=0,"",IFERROR(IF(ISNUMBER(INDEX(PASTE_ALL,$DF156,$L$10)),INDEX(PASTE_ALL,$DF156,$L$10),TRIM(SUBSTITUTE(SUBSTITUTE(SUBSTITUTE(SUBSTITUTE(INDEX(PASTE_ALL,$DF156,$L$10)," "," "),CHAR(9)," "),CHAR(10)," "),CHAR(13)," "))),"")))</f>
        <v/>
      </c>
      <c r="DS156">
        <f>IF($DM156=0,"",IF($L$11=0,"",IFERROR(IF(ISNUMBER(INDEX(PASTE_ALL,$DF156,$L$11)),INDEX(PASTE_ALL,$DF156,$L$11),TRIM(SUBSTITUTE(SUBSTITUTE(SUBSTITUTE(SUBSTITUTE(INDEX(PASTE_ALL,$DF156,$L$11)," "," "),CHAR(9)," "),CHAR(10)," "),CHAR(13)," "))),"")))</f>
        <v/>
      </c>
      <c r="DT156">
        <f>IF($DM156=0,"",IF($L$12=0,"",IFERROR(IF(ISNUMBER(INDEX(PASTE_ALL,$DF156,$L$12)),INDEX(PASTE_ALL,$DF156,$L$12),TRIM(SUBSTITUTE(SUBSTITUTE(SUBSTITUTE(SUBSTITUTE(INDEX(PASTE_ALL,$DF156,$L$12)," "," "),CHAR(9)," "),CHAR(10)," "),CHAR(13)," "))),"")))</f>
        <v/>
      </c>
      <c r="DU156">
        <f>IF($DM156=0,"",IF($L$13=0,"",IFERROR(IF(ISNUMBER(INDEX(PASTE_ALL,$DF156,$L$13)),INDEX(PASTE_ALL,$DF156,$L$13),TRIM(SUBSTITUTE(SUBSTITUTE(SUBSTITUTE(SUBSTITUTE(INDEX(PASTE_ALL,$DF156,$L$13)," "," "),CHAR(9)," "),CHAR(10)," "),CHAR(13)," "))),"")))</f>
        <v/>
      </c>
      <c r="DV156">
        <f>IF($DM156=0,"",IF($L$14=0,"",IFERROR(IF(ISNUMBER(INDEX(PASTE_ALL,$DF156,$L$14)),INDEX(PASTE_ALL,$DF156,$L$14),TRIM(SUBSTITUTE(SUBSTITUTE(SUBSTITUTE(SUBSTITUTE(INDEX(PASTE_ALL,$DF156,$L$14)," "," "),CHAR(9)," "),CHAR(10)," "),CHAR(13)," "))),"")))</f>
        <v/>
      </c>
      <c r="DW156">
        <f>IF($DM156=0,"",IF($L$15=0,"",IFERROR(IF(ISNUMBER(INDEX(PASTE_ALL,$DF156,$L$15)),INDEX(PASTE_ALL,$DF156,$L$15),IF(SUMPRODUCT(--ISNUMBER(FIND({"A","B","C","D","E","F","G","H","I","J","K","L","M","N","O","P","Q","R","S","T","U","V","W","X","Y","Z","0","1","2","3","4","5","6","7","8","9"},UPPER(TRIM(SUBSTITUTE(SUBSTITUTE(SUBSTITUTE(SUBSTITUTE(INDEX(PASTE_ALL,$DF156,$L$15)," "," "),CHAR(9)," "),CHAR(10)," "),CHAR(13)," "))))))&gt;0,TRIM(SUBSTITUTE(SUBSTITUTE(SUBSTITUTE(SUBSTITUTE(INDEX(PASTE_ALL,$DF156,$L$15)," "," "),CHAR(9)," "),CHAR(10)," "),CHAR(13)," ")),"")),"")))</f>
        <v/>
      </c>
      <c r="DX156">
        <f>IF($DM156=0,"",IF($L$16=0,"",IFERROR(IF(ISNUMBER(INDEX(PASTE_ALL,$DF156,$L$16)),INDEX(PASTE_ALL,$DF156,$L$16),SUBSTITUTE(SUBSTITUTE(TRIM(SUBSTITUTE(SUBSTITUTE(SUBSTITUTE(SUBSTITUTE(INDEX(PASTE_ALL,$DF156,$L$16)," "," "),CHAR(9)," "),CHAR(10)," "),CHAR(13)," ")),",",""),"%","")),"")))</f>
        <v/>
      </c>
      <c r="DY156">
        <f>IF($DM156=0,"",IFERROR(IF(ISNUMBER($DX156),$DX156,IF($DX156="","",IF(TRIM($DX156)="",0,IF(AND(AND(SUBSTITUTE(SUBSTITUTE(SUBSTITUTE(SUBSTITUTE(SUBSTITUTE(SUBSTITUTE(SUBSTITUTE(SUBSTITUTE(SUBSTITUTE(SUBSTITUTE(SUBSTITUTE(SUBSTITUTE(SUBSTITUTE(SUBSTITUTE(UPPER(TRIM($DX156)),"0",""),"1",""),"2",""),"3",""),"4",""),"5",""),"6",""),"7",""),"8",""),"9",""),".",""),"+",""),"-",""),"E","")="",LEN(SUBSTITUTE(SUBSTITUTE(MID(UPPER(TRIM($DX156)),1+OR(LEFT(UPPER(TRIM($DX156)),1)="+",LEFT(UPPER(TRIM($DX156)),1)="-"),999),"E+","E"),"E-","E"))=LEN(SUBSTITUTE(SUBSTITUTE(SUBSTITUTE(SUBSTITUTE(MID(UPPER(TRIM($DX156)),1+OR(LEFT(UPPER(TRIM($DX156)),1)="+",LEFT(UPPER(TRIM($DX156)),1)="-"),999),"E+","E"),"E-","E"),"+",""),"-","")),LEN(UPPER(TRIM($DX156)))-LEN(SUBSTITUTE(UPPER(TRIM($DX156)),"E",""))&lt;2,LEN(UPPER(TRIM($DX156)))-LEN(SUBSTITUTE(UPPER(TRIM($DX156)),".",""))&lt;2,IFERROR(FIND(".",UPPER(TRIM($DX156))),0)&lt;IFERROR(FIND("E",UPPER(TRIM($DX156))),999)),ISNUMBER(VALUE(TRIM($DX156)))),VALUE(TRIM($DX156)),"")))),""))</f>
        <v/>
      </c>
      <c r="DZ156">
        <f>IF($DM156=0,"",IF($L$17=0,"",IFERROR(IF(ISNUMBER(INDEX(PASTE_ALL,$DF156,$L$17)),INDEX(PASTE_ALL,$DF156,$L$17),SUBSTITUTE(SUBSTITUTE(TRIM(SUBSTITUTE(SUBSTITUTE(SUBSTITUTE(SUBSTITUTE(INDEX(PASTE_ALL,$DF156,$L$17)," "," "),CHAR(9)," "),CHAR(10)," "),CHAR(13)," ")),",",""),"%","")),"")))</f>
        <v/>
      </c>
      <c r="EA156">
        <f>IF($DM156=0,"",IFERROR(IF(ISNUMBER($DZ156),$DZ156,IF($DZ156="","",IF(TRIM($DZ156)="",0,IF(AND(AND(SUBSTITUTE(SUBSTITUTE(SUBSTITUTE(SUBSTITUTE(SUBSTITUTE(SUBSTITUTE(SUBSTITUTE(SUBSTITUTE(SUBSTITUTE(SUBSTITUTE(SUBSTITUTE(SUBSTITUTE(SUBSTITUTE(SUBSTITUTE(UPPER(TRIM($DZ156)),"0",""),"1",""),"2",""),"3",""),"4",""),"5",""),"6",""),"7",""),"8",""),"9",""),".",""),"+",""),"-",""),"E","")="",LEN(SUBSTITUTE(SUBSTITUTE(MID(UPPER(TRIM($DZ156)),1+OR(LEFT(UPPER(TRIM($DZ156)),1)="+",LEFT(UPPER(TRIM($DZ156)),1)="-"),999),"E+","E"),"E-","E"))=LEN(SUBSTITUTE(SUBSTITUTE(SUBSTITUTE(SUBSTITUTE(MID(UPPER(TRIM($DZ156)),1+OR(LEFT(UPPER(TRIM($DZ156)),1)="+",LEFT(UPPER(TRIM($DZ156)),1)="-"),999),"E+","E"),"E-","E"),"+",""),"-","")),LEN(UPPER(TRIM($DZ156)))-LEN(SUBSTITUTE(UPPER(TRIM($DZ156)),"E",""))&lt;2,LEN(UPPER(TRIM($DZ156)))-LEN(SUBSTITUTE(UPPER(TRIM($DZ156)),".",""))&lt;2,IFERROR(FIND(".",UPPER(TRIM($DZ156))),0)&lt;IFERROR(FIND("E",UPPER(TRIM($DZ156))),999)),ISNUMBER(VALUE(TRIM($DZ156)))),VALUE(TRIM($DZ156)),"")))),""))</f>
        <v/>
      </c>
      <c r="EB156">
        <f>IF($DM156=0,"",IF($L$18=0,"",IFERROR(IF(UPPER(TRIM(SUBSTITUTE(SUBSTITUTE(SUBSTITUTE(SUBSTITUTE(INDEX(PASTE_ALL,$DF156,$L$18)," "," "),CHAR(9)," "),CHAR(10)," "),CHAR(13)," ")))="READY","Ready",IF(UPPER(TRIM(SUBSTITUTE(SUBSTITUTE(SUBSTITUTE(SUBSTITUTE(INDEX(PASTE_ALL,$DF156,$L$18)," "," "),CHAR(9)," "),CHAR(10)," "),CHAR(13)," ")))="PM","PM",IF(OR(UPPER(TRIM(SUBSTITUTE(SUBSTITUTE(SUBSTITUTE(SUBSTITUTE(INDEX(PASTE_ALL,$DF156,$L$18)," "," "),CHAR(9)," "),CHAR(10)," "),CHAR(13)," ")))="OT",UPPER(TRIM(SUBSTITUTE(SUBSTITUTE(SUBSTITUTE(SUBSTITUTE(INDEX(PASTE_ALL,$DF156,$L$18)," "," "),CHAR(9)," "),CHAR(10)," "),CHAR(13)," ")))="OVERTIME",UPPER(TRIM(SUBSTITUTE(SUBSTITUTE(SUBSTITUTE(SUBSTITUTE(INDEX(PASTE_ALL,$DF156,$L$18)," "," "),CHAR(9)," "),CHAR(10)," "),CHAR(13)," ")))="TRIAL"),"OT",TRIM(SUBSTITUTE(SUBSTITUTE(SUBSTITUTE(SUBSTITUTE(INDEX(PASTE_ALL,$DF156,$L$18)," "," "),CHAR(9)," "),CHAR(10)," "),CHAR(13)," "))))),"")))</f>
        <v/>
      </c>
      <c r="EC156">
        <f>IF($DM156=0,"",IF($L$19=0,"",IFERROR(IF(ISNUMBER(INDEX(PASTE_ALL,$DF156,$L$19)),INDEX(PASTE_ALL,$DF156,$L$19),TRIM(SUBSTITUTE(SUBSTITUTE(SUBSTITUTE(SUBSTITUTE(INDEX(PASTE_ALL,$DF156,$L$19)," "," "),CHAR(9)," "),CHAR(10)," "),CHAR(13)," "))),"")))</f>
        <v/>
      </c>
      <c r="ED156">
        <f>IF($DM156=0,"",MATCH(1,INDEX(EXACT($DH$5:DH156,$DH156)*$DM$5:DM156,0),0))</f>
        <v/>
      </c>
      <c r="EE156">
        <f>IF($DM156=0,0,IF($ED156=$DE156,1,0))</f>
        <v/>
      </c>
      <c r="EF156">
        <f>EF155+$EE156</f>
        <v/>
      </c>
      <c r="EG156">
        <f>IF($DM156=0,"",INDEX($EF$5:$EF$1003,$ED156))</f>
        <v/>
      </c>
      <c r="EH156">
        <f>IF($DM156=0,"",IF($DO156&lt;&gt;"","",IFERROR(LOOKUP(2,1/(($EG$4:EG155=$EG156)*($DO$4:DO155&lt;&gt;"")),$DO$4:DO155),"")))</f>
        <v/>
      </c>
      <c r="EI156">
        <f>IF($DM156=0,"",IF($DO156&lt;&gt;"",$DO156,$EH156))</f>
        <v/>
      </c>
      <c r="EJ156">
        <f>IF($DM156=0,"",IF($EI156="",0,IF(OR(ISNUMBER($EI156),AND(AND(SUBSTITUTE(SUBSTITUTE(SUBSTITUTE(SUBSTITUTE(SUBSTITUTE(SUBSTITUTE(SUBSTITUTE(SUBSTITUTE(SUBSTITUTE(SUBSTITUTE(SUBSTITUTE(SUBSTITUTE(SUBSTITUTE(SUBSTITUTE(UPPER($EI156),"0",""),"1",""),"2",""),"3",""),"4",""),"5",""),"6",""),"7",""),"8",""),"9",""),".",""),"+",""),"-",""),"E","")="",LEN(SUBSTITUTE(SUBSTITUTE(MID(UPPER($EI156),1+OR(LEFT(UPPER($EI156),1)="+",LEFT(UPPER($EI156),1)="-"),999),"E+","E"),"E-","E"))=LEN(SUBSTITUTE(SUBSTITUTE(SUBSTITUTE(SUBSTITUTE(MID(UPPER($EI156),1+OR(LEFT(UPPER($EI156),1)="+",LEFT(UPPER($EI156),1)="-"),999),"E+","E"),"E-","E"),"+",""),"-","")),LEN(UPPER($EI156))-LEN(SUBSTITUTE(UPPER($EI156),"E",""))&lt;2,LEN(UPPER($EI156))-LEN(SUBSTITUTE(UPPER($EI156),".",""))&lt;2,IFERROR(FIND(".",UPPER($EI156)),0)&lt;IFERROR(FIND("E",UPPER($EI156)),999)),ISNUMBER(VALUE($EI156)))),1,2)))</f>
        <v/>
      </c>
      <c r="EK156">
        <f>IF($DM156=0,"",IF($EJ156=1,IF(ISNUMBER($EI156),$EI156,VALUE($EI156)),IF($EJ156=2,$DE156,0)))</f>
        <v/>
      </c>
      <c r="EL156">
        <f>IF($DM156=0,"",COUNTIF($EG$5:$EG$1003,"&lt;"&amp;$EG156)+SUMPRODUCT(($EG$5:$EG$1003=$EG156)*(($EJ$5:$EJ$1003&lt;$EJ156)+($EJ$5:$EJ$1003=$EJ156)*(($EK$5:$EK$1003&lt;$EK156)+($EK$5:$EK$1003=$EK156)*($DE$5:$DE$1003&lt;$DE156))))+1)</f>
        <v/>
      </c>
      <c r="EM156">
        <f>IF($DM156=0,"",$EL156+$EG156-1)</f>
        <v/>
      </c>
      <c r="EN156">
        <f>IF($DM156=0,0,IFERROR(MATCH(1,INDEX(--(TRIM(SUBSTITUTE(SUBSTITUTE(SUBSTITUTE(SUBSTITUTE(LINES_NAME&amp;""," "," "),CHAR(9)," "),CHAR(10)," "),CHAR(13)," "))=$DH156),0),0),0))</f>
        <v/>
      </c>
      <c r="EO156">
        <f>IF($EN156=0,0,IF(OR(UPPER(TRIM(INDEX(LINES_SCHEDULED,$EN156)&amp;""))="YES",UPPER(TRIM(INDEX(LINES_SCHEDULED,$EN156)&amp;""))="Y",UPPER(TRIM(INDEX(LINES_SCHEDULED,$EN156)&amp;""))="X"),1,0))</f>
        <v/>
      </c>
      <c r="EP156">
        <f>IF($DM156=0,"",IF(COUNTIFS($EG$5:$EG$1003,$EG156,$EB$5:$EB$1003,"Ready")&gt;0,"READY",IF(COUNTIFS($EG$5:$EG$1003,$EG156,$EB$5:$EB$1003,"PM")&gt;0,"PM",IF(COUNTIFS($EG$5:$EG$1003,$EG156,$EB$5:$EB$1003,"OT")&gt;0,"OT",""))))</f>
        <v/>
      </c>
      <c r="EQ156">
        <f>IF($EN156=0,"",UPPER(TRIM(INDEX(LINES_STATUS,$EN156)&amp;"")))</f>
        <v/>
      </c>
      <c r="ER156">
        <f>IF($DM156=0,"",IF(OR($EQ156="READY",$EQ156="PM",$EQ156="OT"),$EQ156,$EP156))</f>
        <v/>
      </c>
      <c r="ES156">
        <f>IF($DM156=0,"",IF(AND($DV156&lt;&gt;"",UPPER($DV156)&lt;&gt;"N"),"allergen",IF(ISNUMBER(SEARCH("oil",$DQ156)),"oil",IF(OR(EXACT($DS156,"A662"),EXACT($DS156,"A624")),"bulk",""))))</f>
        <v/>
      </c>
      <c r="ET156">
        <f>IF($DM156=0,"",IF(OR($EA156="",$EA156=0),"",$EA156/100))</f>
        <v/>
      </c>
      <c r="EU156">
        <f>IF(OR($ET156="",$DY156=""),"",INT($DY156*(1-$ET156)+0.5))</f>
        <v/>
      </c>
      <c r="EW156" t="n">
        <v>152</v>
      </c>
      <c r="EX156">
        <f>IFERROR(MATCH($EW156,$EM$5:$EM$1003,0),0)</f>
        <v/>
      </c>
      <c r="EY156">
        <f>IF($EW156&gt;$B$12,"",IF($EX156&gt;0,"row","spacer"))</f>
        <v/>
      </c>
      <c r="EZ156">
        <f>IF(AND($EY156="row",$EY155&lt;&gt;"row"),1,0)</f>
        <v/>
      </c>
      <c r="FA156">
        <f>IF(AND($EY156="row",$EY157&lt;&gt;"row"),1,0)</f>
        <v/>
      </c>
      <c r="FB156">
        <f>IF($EZ156=1,IFERROR(IF(ISNUMBER(INDEX(PASTE_ALL,INDEX($DF$5:$DF$1003,$EX156),$B$37)),INDEX(PASTE_ALL,INDEX($DF$5:$DF$1003,$EX156),$B$37),INDEX($DH$5:$DH$1003,$EX156)),INDEX($DH$5:$DH$1003,$EX156)),"")</f>
        <v/>
      </c>
      <c r="FC156">
        <f>IF($EY156="row",INDEX($ER$5:$ER$1003,$EX156),"")</f>
        <v/>
      </c>
      <c r="FD156">
        <f>IF($EY156="row",INDEX($DN$5:$DN$1003,$EX156),"")</f>
        <v/>
      </c>
      <c r="FE156">
        <f>IF($EY156="row",INDEX($DO$5:$DO$1003,$EX156),"")</f>
        <v/>
      </c>
      <c r="FF156">
        <f>IF($EY156="row",INDEX($DP$5:$DP$1003,$EX156),"")</f>
        <v/>
      </c>
      <c r="FG156">
        <f>IF($EY156="row",INDEX($DQ$5:$DQ$1003,$EX156),"")</f>
        <v/>
      </c>
      <c r="FH156">
        <f>IF($EY156="row",INDEX($DR$5:$DR$1003,$EX156),"")</f>
        <v/>
      </c>
      <c r="FI156">
        <f>IF($EY156="row",INDEX($DS$5:$DS$1003,$EX156),"")</f>
        <v/>
      </c>
      <c r="FJ156">
        <f>IF($EY156="row",INDEX($DT$5:$DT$1003,$EX156),"")</f>
        <v/>
      </c>
      <c r="FK156">
        <f>IF($EY156="row",INDEX($DU$5:$DU$1003,$EX156),"")</f>
        <v/>
      </c>
      <c r="FL156">
        <f>IF($EY156="row",INDEX($DV$5:$DV$1003,$EX156),"")</f>
        <v/>
      </c>
      <c r="FM156">
        <f>IF($EY156="row",INDEX($DW$5:$DW$1003,$EX156),"")</f>
        <v/>
      </c>
      <c r="FN156">
        <f>IF($EY156="row",INDEX($DY$5:$DY$1003,$EX156),"")</f>
        <v/>
      </c>
      <c r="FO156">
        <f>IF($EY156="row",INDEX($EA$5:$EA$1003,$EX156),"")</f>
        <v/>
      </c>
      <c r="FP156">
        <f>IF($EY156="row",INDEX($EC$5:$EC$1003,$EX156),"")</f>
        <v/>
      </c>
      <c r="FQ156">
        <f>IF($EY156="row",INDEX($ET$5:$ET$1003,$EX156),"")</f>
        <v/>
      </c>
      <c r="FR156">
        <f>IF($EY156="row",INDEX($EU$5:$EU$1003,$EX156),"")</f>
        <v/>
      </c>
      <c r="FS156">
        <f>IF(AND($EY156="row",$EY155="row"),IF(OR(INDEX($DT$5:$DT$1003,$EX155)="",INDEX($DT$5:$DT$1003,$EX156)=""),"",IF(NOT(EXACT(INDEX($DT$5:$DT$1003,$EX155),INDEX($DT$5:$DT$1003,$EX156))),"S4",IF(NOT(EXACT(INDEX($DS$5:$DS$1003,$EX155),INDEX($DS$5:$DS$1003,$EX156))),"S3",IF(NOT(EXACT(INDEX($DR$5:$DR$1003,$EX155),INDEX($DR$5:$DR$1003,$EX156))),"S1 Count Change","S1")))),"")</f>
        <v/>
      </c>
      <c r="FT156">
        <f>IF($EY156="row",INDEX($ES$5:$ES$1003,$EX156),"")</f>
        <v/>
      </c>
      <c r="FU156">
        <f>IF($EY156="row",INDEX($EO$5:$EO$1003,$EX156),0)</f>
        <v/>
      </c>
      <c r="FV156">
        <f>IF($FS156="S1 Count Change",1,0)</f>
        <v/>
      </c>
    </row>
    <row r="157">
      <c r="Y157">
        <f>IF(Y22="",0,2*(OR(ISNUMBER(FIND("WORKCENTER",Y22)),AND(LEFT(Y22,4)="LINE",NOT(ISNUMBER(FIND("STATUS",Y22))))))+4*(OR(ISNUMBER(FIND("WORKORDER",Y22)),AND(LEFT(Y22,2)="WO",OR(ISNUMBER(FIND("NUM",Y22)),RIGHT(Y22,2)="NO"))))+8*(LEFT(Y22,3)="SEQ")+16*(AND(LEFT(Y22,4)="ITEM",NOT(ISNUMBER(FIND("DESC",Y22)))))+32*(AND(ISNUMBER(FIND("DESC",Y22)),NOT(ISNUMBER(FIND("CAP",Y22)))))+64*(OR(RIGHT(Y22,5)="COUNT",RIGHT(Y22,2)="CT"))+128*(ISNUMBER(FIND("BULK",Y22)))+256*(ISNUMBER(FIND("SIZE",Y22)))+512*(LEFT(Y22,3)="CAP")+1024*(ISNUMBER(FIND("ALLERG",Y22)))+2048*(OR(ISNUMBER(FIND("REMARK",Y22)),ISNUMBER(FIND("COMMENT",Y22))))+4096*(OR(ISNUMBER(FIND("QTY",Y22)),ISNUMBER(FIND("QUANTITY",Y22))))+8192*(AND(OR(ISNUMBER(FIND("COMPLETE",Y22)),ISNUMBER(FIND("PCT",Y22)),ISNUMBER(FIND("PERCENT",Y22))),NOT(ISNUMBER(FIND("ACTUAL",Y22))),LEN(Y22)&lt;=16))+32768*(OR(ISNUMBER(FIND("DESIC",Y22)),ISNUMBER(FIND("DESSIC",Y22)))))</f>
        <v/>
      </c>
      <c r="Z157">
        <f>IF(Z22="",0,2*(OR(ISNUMBER(FIND("WORKCENTER",Z22)),AND(LEFT(Z22,4)="LINE",NOT(ISNUMBER(FIND("STATUS",Z22))))))+4*(OR(ISNUMBER(FIND("WORKORDER",Z22)),AND(LEFT(Z22,2)="WO",OR(ISNUMBER(FIND("NUM",Z22)),RIGHT(Z22,2)="NO"))))+8*(LEFT(Z22,3)="SEQ")+16*(AND(LEFT(Z22,4)="ITEM",NOT(ISNUMBER(FIND("DESC",Z22)))))+32*(AND(ISNUMBER(FIND("DESC",Z22)),NOT(ISNUMBER(FIND("CAP",Z22)))))+64*(OR(RIGHT(Z22,5)="COUNT",RIGHT(Z22,2)="CT"))+128*(ISNUMBER(FIND("BULK",Z22)))+256*(ISNUMBER(FIND("SIZE",Z22)))+512*(LEFT(Z22,3)="CAP")+1024*(ISNUMBER(FIND("ALLERG",Z22)))+2048*(OR(ISNUMBER(FIND("REMARK",Z22)),ISNUMBER(FIND("COMMENT",Z22))))+4096*(OR(ISNUMBER(FIND("QTY",Z22)),ISNUMBER(FIND("QUANTITY",Z22))))+8192*(AND(OR(ISNUMBER(FIND("COMPLETE",Z22)),ISNUMBER(FIND("PCT",Z22)),ISNUMBER(FIND("PERCENT",Z22))),NOT(ISNUMBER(FIND("ACTUAL",Z22))),LEN(Z22)&lt;=16))+32768*(OR(ISNUMBER(FIND("DESIC",Z22)),ISNUMBER(FIND("DESSIC",Z22)))))</f>
        <v/>
      </c>
      <c r="AA157">
        <f>IF(AA22="",0,2*(OR(ISNUMBER(FIND("WORKCENTER",AA22)),AND(LEFT(AA22,4)="LINE",NOT(ISNUMBER(FIND("STATUS",AA22))))))+4*(OR(ISNUMBER(FIND("WORKORDER",AA22)),AND(LEFT(AA22,2)="WO",OR(ISNUMBER(FIND("NUM",AA22)),RIGHT(AA22,2)="NO"))))+8*(LEFT(AA22,3)="SEQ")+16*(AND(LEFT(AA22,4)="ITEM",NOT(ISNUMBER(FIND("DESC",AA22)))))+32*(AND(ISNUMBER(FIND("DESC",AA22)),NOT(ISNUMBER(FIND("CAP",AA22)))))+64*(OR(RIGHT(AA22,5)="COUNT",RIGHT(AA22,2)="CT"))+128*(ISNUMBER(FIND("BULK",AA22)))+256*(ISNUMBER(FIND("SIZE",AA22)))+512*(LEFT(AA22,3)="CAP")+1024*(ISNUMBER(FIND("ALLERG",AA22)))+2048*(OR(ISNUMBER(FIND("REMARK",AA22)),ISNUMBER(FIND("COMMENT",AA22))))+4096*(OR(ISNUMBER(FIND("QTY",AA22)),ISNUMBER(FIND("QUANTITY",AA22))))+8192*(AND(OR(ISNUMBER(FIND("COMPLETE",AA22)),ISNUMBER(FIND("PCT",AA22)),ISNUMBER(FIND("PERCENT",AA22))),NOT(ISNUMBER(FIND("ACTUAL",AA22))),LEN(AA22)&lt;=16))+32768*(OR(ISNUMBER(FIND("DESIC",AA22)),ISNUMBER(FIND("DESSIC",AA22)))))</f>
        <v/>
      </c>
      <c r="AB157">
        <f>IF(AB22="",0,2*(OR(ISNUMBER(FIND("WORKCENTER",AB22)),AND(LEFT(AB22,4)="LINE",NOT(ISNUMBER(FIND("STATUS",AB22))))))+4*(OR(ISNUMBER(FIND("WORKORDER",AB22)),AND(LEFT(AB22,2)="WO",OR(ISNUMBER(FIND("NUM",AB22)),RIGHT(AB22,2)="NO"))))+8*(LEFT(AB22,3)="SEQ")+16*(AND(LEFT(AB22,4)="ITEM",NOT(ISNUMBER(FIND("DESC",AB22)))))+32*(AND(ISNUMBER(FIND("DESC",AB22)),NOT(ISNUMBER(FIND("CAP",AB22)))))+64*(OR(RIGHT(AB22,5)="COUNT",RIGHT(AB22,2)="CT"))+128*(ISNUMBER(FIND("BULK",AB22)))+256*(ISNUMBER(FIND("SIZE",AB22)))+512*(LEFT(AB22,3)="CAP")+1024*(ISNUMBER(FIND("ALLERG",AB22)))+2048*(OR(ISNUMBER(FIND("REMARK",AB22)),ISNUMBER(FIND("COMMENT",AB22))))+4096*(OR(ISNUMBER(FIND("QTY",AB22)),ISNUMBER(FIND("QUANTITY",AB22))))+8192*(AND(OR(ISNUMBER(FIND("COMPLETE",AB22)),ISNUMBER(FIND("PCT",AB22)),ISNUMBER(FIND("PERCENT",AB22))),NOT(ISNUMBER(FIND("ACTUAL",AB22))),LEN(AB22)&lt;=16))+32768*(OR(ISNUMBER(FIND("DESIC",AB22)),ISNUMBER(FIND("DESSIC",AB22)))))</f>
        <v/>
      </c>
      <c r="AC157">
        <f>IF(AC22="",0,2*(OR(ISNUMBER(FIND("WORKCENTER",AC22)),AND(LEFT(AC22,4)="LINE",NOT(ISNUMBER(FIND("STATUS",AC22))))))+4*(OR(ISNUMBER(FIND("WORKORDER",AC22)),AND(LEFT(AC22,2)="WO",OR(ISNUMBER(FIND("NUM",AC22)),RIGHT(AC22,2)="NO"))))+8*(LEFT(AC22,3)="SEQ")+16*(AND(LEFT(AC22,4)="ITEM",NOT(ISNUMBER(FIND("DESC",AC22)))))+32*(AND(ISNUMBER(FIND("DESC",AC22)),NOT(ISNUMBER(FIND("CAP",AC22)))))+64*(OR(RIGHT(AC22,5)="COUNT",RIGHT(AC22,2)="CT"))+128*(ISNUMBER(FIND("BULK",AC22)))+256*(ISNUMBER(FIND("SIZE",AC22)))+512*(LEFT(AC22,3)="CAP")+1024*(ISNUMBER(FIND("ALLERG",AC22)))+2048*(OR(ISNUMBER(FIND("REMARK",AC22)),ISNUMBER(FIND("COMMENT",AC22))))+4096*(OR(ISNUMBER(FIND("QTY",AC22)),ISNUMBER(FIND("QUANTITY",AC22))))+8192*(AND(OR(ISNUMBER(FIND("COMPLETE",AC22)),ISNUMBER(FIND("PCT",AC22)),ISNUMBER(FIND("PERCENT",AC22))),NOT(ISNUMBER(FIND("ACTUAL",AC22))),LEN(AC22)&lt;=16))+32768*(OR(ISNUMBER(FIND("DESIC",AC22)),ISNUMBER(FIND("DESSIC",AC22)))))</f>
        <v/>
      </c>
      <c r="AD157">
        <f>IF(AD22="",0,2*(OR(ISNUMBER(FIND("WORKCENTER",AD22)),AND(LEFT(AD22,4)="LINE",NOT(ISNUMBER(FIND("STATUS",AD22))))))+4*(OR(ISNUMBER(FIND("WORKORDER",AD22)),AND(LEFT(AD22,2)="WO",OR(ISNUMBER(FIND("NUM",AD22)),RIGHT(AD22,2)="NO"))))+8*(LEFT(AD22,3)="SEQ")+16*(AND(LEFT(AD22,4)="ITEM",NOT(ISNUMBER(FIND("DESC",AD22)))))+32*(AND(ISNUMBER(FIND("DESC",AD22)),NOT(ISNUMBER(FIND("CAP",AD22)))))+64*(OR(RIGHT(AD22,5)="COUNT",RIGHT(AD22,2)="CT"))+128*(ISNUMBER(FIND("BULK",AD22)))+256*(ISNUMBER(FIND("SIZE",AD22)))+512*(LEFT(AD22,3)="CAP")+1024*(ISNUMBER(FIND("ALLERG",AD22)))+2048*(OR(ISNUMBER(FIND("REMARK",AD22)),ISNUMBER(FIND("COMMENT",AD22))))+4096*(OR(ISNUMBER(FIND("QTY",AD22)),ISNUMBER(FIND("QUANTITY",AD22))))+8192*(AND(OR(ISNUMBER(FIND("COMPLETE",AD22)),ISNUMBER(FIND("PCT",AD22)),ISNUMBER(FIND("PERCENT",AD22))),NOT(ISNUMBER(FIND("ACTUAL",AD22))),LEN(AD22)&lt;=16))+32768*(OR(ISNUMBER(FIND("DESIC",AD22)),ISNUMBER(FIND("DESSIC",AD22)))))</f>
        <v/>
      </c>
      <c r="AE157">
        <f>IF(AE22="",0,2*(OR(ISNUMBER(FIND("WORKCENTER",AE22)),AND(LEFT(AE22,4)="LINE",NOT(ISNUMBER(FIND("STATUS",AE22))))))+4*(OR(ISNUMBER(FIND("WORKORDER",AE22)),AND(LEFT(AE22,2)="WO",OR(ISNUMBER(FIND("NUM",AE22)),RIGHT(AE22,2)="NO"))))+8*(LEFT(AE22,3)="SEQ")+16*(AND(LEFT(AE22,4)="ITEM",NOT(ISNUMBER(FIND("DESC",AE22)))))+32*(AND(ISNUMBER(FIND("DESC",AE22)),NOT(ISNUMBER(FIND("CAP",AE22)))))+64*(OR(RIGHT(AE22,5)="COUNT",RIGHT(AE22,2)="CT"))+128*(ISNUMBER(FIND("BULK",AE22)))+256*(ISNUMBER(FIND("SIZE",AE22)))+512*(LEFT(AE22,3)="CAP")+1024*(ISNUMBER(FIND("ALLERG",AE22)))+2048*(OR(ISNUMBER(FIND("REMARK",AE22)),ISNUMBER(FIND("COMMENT",AE22))))+4096*(OR(ISNUMBER(FIND("QTY",AE22)),ISNUMBER(FIND("QUANTITY",AE22))))+8192*(AND(OR(ISNUMBER(FIND("COMPLETE",AE22)),ISNUMBER(FIND("PCT",AE22)),ISNUMBER(FIND("PERCENT",AE22))),NOT(ISNUMBER(FIND("ACTUAL",AE22))),LEN(AE22)&lt;=16))+32768*(OR(ISNUMBER(FIND("DESIC",AE22)),ISNUMBER(FIND("DESSIC",AE22)))))</f>
        <v/>
      </c>
      <c r="AF157">
        <f>IF(AF22="",0,2*(OR(ISNUMBER(FIND("WORKCENTER",AF22)),AND(LEFT(AF22,4)="LINE",NOT(ISNUMBER(FIND("STATUS",AF22))))))+4*(OR(ISNUMBER(FIND("WORKORDER",AF22)),AND(LEFT(AF22,2)="WO",OR(ISNUMBER(FIND("NUM",AF22)),RIGHT(AF22,2)="NO"))))+8*(LEFT(AF22,3)="SEQ")+16*(AND(LEFT(AF22,4)="ITEM",NOT(ISNUMBER(FIND("DESC",AF22)))))+32*(AND(ISNUMBER(FIND("DESC",AF22)),NOT(ISNUMBER(FIND("CAP",AF22)))))+64*(OR(RIGHT(AF22,5)="COUNT",RIGHT(AF22,2)="CT"))+128*(ISNUMBER(FIND("BULK",AF22)))+256*(ISNUMBER(FIND("SIZE",AF22)))+512*(LEFT(AF22,3)="CAP")+1024*(ISNUMBER(FIND("ALLERG",AF22)))+2048*(OR(ISNUMBER(FIND("REMARK",AF22)),ISNUMBER(FIND("COMMENT",AF22))))+4096*(OR(ISNUMBER(FIND("QTY",AF22)),ISNUMBER(FIND("QUANTITY",AF22))))+8192*(AND(OR(ISNUMBER(FIND("COMPLETE",AF22)),ISNUMBER(FIND("PCT",AF22)),ISNUMBER(FIND("PERCENT",AF22))),NOT(ISNUMBER(FIND("ACTUAL",AF22))),LEN(AF22)&lt;=16))+32768*(OR(ISNUMBER(FIND("DESIC",AF22)),ISNUMBER(FIND("DESSIC",AF22)))))</f>
        <v/>
      </c>
      <c r="AG157">
        <f>IF(AG22="",0,2*(OR(ISNUMBER(FIND("WORKCENTER",AG22)),AND(LEFT(AG22,4)="LINE",NOT(ISNUMBER(FIND("STATUS",AG22))))))+4*(OR(ISNUMBER(FIND("WORKORDER",AG22)),AND(LEFT(AG22,2)="WO",OR(ISNUMBER(FIND("NUM",AG22)),RIGHT(AG22,2)="NO"))))+8*(LEFT(AG22,3)="SEQ")+16*(AND(LEFT(AG22,4)="ITEM",NOT(ISNUMBER(FIND("DESC",AG22)))))+32*(AND(ISNUMBER(FIND("DESC",AG22)),NOT(ISNUMBER(FIND("CAP",AG22)))))+64*(OR(RIGHT(AG22,5)="COUNT",RIGHT(AG22,2)="CT"))+128*(ISNUMBER(FIND("BULK",AG22)))+256*(ISNUMBER(FIND("SIZE",AG22)))+512*(LEFT(AG22,3)="CAP")+1024*(ISNUMBER(FIND("ALLERG",AG22)))+2048*(OR(ISNUMBER(FIND("REMARK",AG22)),ISNUMBER(FIND("COMMENT",AG22))))+4096*(OR(ISNUMBER(FIND("QTY",AG22)),ISNUMBER(FIND("QUANTITY",AG22))))+8192*(AND(OR(ISNUMBER(FIND("COMPLETE",AG22)),ISNUMBER(FIND("PCT",AG22)),ISNUMBER(FIND("PERCENT",AG22))),NOT(ISNUMBER(FIND("ACTUAL",AG22))),LEN(AG22)&lt;=16))+32768*(OR(ISNUMBER(FIND("DESIC",AG22)),ISNUMBER(FIND("DESSIC",AG22)))))</f>
        <v/>
      </c>
      <c r="AH157">
        <f>IF(AH22="",0,2*(OR(ISNUMBER(FIND("WORKCENTER",AH22)),AND(LEFT(AH22,4)="LINE",NOT(ISNUMBER(FIND("STATUS",AH22))))))+4*(OR(ISNUMBER(FIND("WORKORDER",AH22)),AND(LEFT(AH22,2)="WO",OR(ISNUMBER(FIND("NUM",AH22)),RIGHT(AH22,2)="NO"))))+8*(LEFT(AH22,3)="SEQ")+16*(AND(LEFT(AH22,4)="ITEM",NOT(ISNUMBER(FIND("DESC",AH22)))))+32*(AND(ISNUMBER(FIND("DESC",AH22)),NOT(ISNUMBER(FIND("CAP",AH22)))))+64*(OR(RIGHT(AH22,5)="COUNT",RIGHT(AH22,2)="CT"))+128*(ISNUMBER(FIND("BULK",AH22)))+256*(ISNUMBER(FIND("SIZE",AH22)))+512*(LEFT(AH22,3)="CAP")+1024*(ISNUMBER(FIND("ALLERG",AH22)))+2048*(OR(ISNUMBER(FIND("REMARK",AH22)),ISNUMBER(FIND("COMMENT",AH22))))+4096*(OR(ISNUMBER(FIND("QTY",AH22)),ISNUMBER(FIND("QUANTITY",AH22))))+8192*(AND(OR(ISNUMBER(FIND("COMPLETE",AH22)),ISNUMBER(FIND("PCT",AH22)),ISNUMBER(FIND("PERCENT",AH22))),NOT(ISNUMBER(FIND("ACTUAL",AH22))),LEN(AH22)&lt;=16))+32768*(OR(ISNUMBER(FIND("DESIC",AH22)),ISNUMBER(FIND("DESSIC",AH22)))))</f>
        <v/>
      </c>
      <c r="AI157">
        <f>IF(AI22="",0,2*(OR(ISNUMBER(FIND("WORKCENTER",AI22)),AND(LEFT(AI22,4)="LINE",NOT(ISNUMBER(FIND("STATUS",AI22))))))+4*(OR(ISNUMBER(FIND("WORKORDER",AI22)),AND(LEFT(AI22,2)="WO",OR(ISNUMBER(FIND("NUM",AI22)),RIGHT(AI22,2)="NO"))))+8*(LEFT(AI22,3)="SEQ")+16*(AND(LEFT(AI22,4)="ITEM",NOT(ISNUMBER(FIND("DESC",AI22)))))+32*(AND(ISNUMBER(FIND("DESC",AI22)),NOT(ISNUMBER(FIND("CAP",AI22)))))+64*(OR(RIGHT(AI22,5)="COUNT",RIGHT(AI22,2)="CT"))+128*(ISNUMBER(FIND("BULK",AI22)))+256*(ISNUMBER(FIND("SIZE",AI22)))+512*(LEFT(AI22,3)="CAP")+1024*(ISNUMBER(FIND("ALLERG",AI22)))+2048*(OR(ISNUMBER(FIND("REMARK",AI22)),ISNUMBER(FIND("COMMENT",AI22))))+4096*(OR(ISNUMBER(FIND("QTY",AI22)),ISNUMBER(FIND("QUANTITY",AI22))))+8192*(AND(OR(ISNUMBER(FIND("COMPLETE",AI22)),ISNUMBER(FIND("PCT",AI22)),ISNUMBER(FIND("PERCENT",AI22))),NOT(ISNUMBER(FIND("ACTUAL",AI22))),LEN(AI22)&lt;=16))+32768*(OR(ISNUMBER(FIND("DESIC",AI22)),ISNUMBER(FIND("DESSIC",AI22)))))</f>
        <v/>
      </c>
      <c r="AJ157">
        <f>IF(AJ22="",0,2*(OR(ISNUMBER(FIND("WORKCENTER",AJ22)),AND(LEFT(AJ22,4)="LINE",NOT(ISNUMBER(FIND("STATUS",AJ22))))))+4*(OR(ISNUMBER(FIND("WORKORDER",AJ22)),AND(LEFT(AJ22,2)="WO",OR(ISNUMBER(FIND("NUM",AJ22)),RIGHT(AJ22,2)="NO"))))+8*(LEFT(AJ22,3)="SEQ")+16*(AND(LEFT(AJ22,4)="ITEM",NOT(ISNUMBER(FIND("DESC",AJ22)))))+32*(AND(ISNUMBER(FIND("DESC",AJ22)),NOT(ISNUMBER(FIND("CAP",AJ22)))))+64*(OR(RIGHT(AJ22,5)="COUNT",RIGHT(AJ22,2)="CT"))+128*(ISNUMBER(FIND("BULK",AJ22)))+256*(ISNUMBER(FIND("SIZE",AJ22)))+512*(LEFT(AJ22,3)="CAP")+1024*(ISNUMBER(FIND("ALLERG",AJ22)))+2048*(OR(ISNUMBER(FIND("REMARK",AJ22)),ISNUMBER(FIND("COMMENT",AJ22))))+4096*(OR(ISNUMBER(FIND("QTY",AJ22)),ISNUMBER(FIND("QUANTITY",AJ22))))+8192*(AND(OR(ISNUMBER(FIND("COMPLETE",AJ22)),ISNUMBER(FIND("PCT",AJ22)),ISNUMBER(FIND("PERCENT",AJ22))),NOT(ISNUMBER(FIND("ACTUAL",AJ22))),LEN(AJ22)&lt;=16))+32768*(OR(ISNUMBER(FIND("DESIC",AJ22)),ISNUMBER(FIND("DESSIC",AJ22)))))</f>
        <v/>
      </c>
      <c r="AK157">
        <f>IF(AK22="",0,2*(OR(ISNUMBER(FIND("WORKCENTER",AK22)),AND(LEFT(AK22,4)="LINE",NOT(ISNUMBER(FIND("STATUS",AK22))))))+4*(OR(ISNUMBER(FIND("WORKORDER",AK22)),AND(LEFT(AK22,2)="WO",OR(ISNUMBER(FIND("NUM",AK22)),RIGHT(AK22,2)="NO"))))+8*(LEFT(AK22,3)="SEQ")+16*(AND(LEFT(AK22,4)="ITEM",NOT(ISNUMBER(FIND("DESC",AK22)))))+32*(AND(ISNUMBER(FIND("DESC",AK22)),NOT(ISNUMBER(FIND("CAP",AK22)))))+64*(OR(RIGHT(AK22,5)="COUNT",RIGHT(AK22,2)="CT"))+128*(ISNUMBER(FIND("BULK",AK22)))+256*(ISNUMBER(FIND("SIZE",AK22)))+512*(LEFT(AK22,3)="CAP")+1024*(ISNUMBER(FIND("ALLERG",AK22)))+2048*(OR(ISNUMBER(FIND("REMARK",AK22)),ISNUMBER(FIND("COMMENT",AK22))))+4096*(OR(ISNUMBER(FIND("QTY",AK22)),ISNUMBER(FIND("QUANTITY",AK22))))+8192*(AND(OR(ISNUMBER(FIND("COMPLETE",AK22)),ISNUMBER(FIND("PCT",AK22)),ISNUMBER(FIND("PERCENT",AK22))),NOT(ISNUMBER(FIND("ACTUAL",AK22))),LEN(AK22)&lt;=16))+32768*(OR(ISNUMBER(FIND("DESIC",AK22)),ISNUMBER(FIND("DESSIC",AK22)))))</f>
        <v/>
      </c>
      <c r="AL157">
        <f>IF(AL22="",0,2*(OR(ISNUMBER(FIND("WORKCENTER",AL22)),AND(LEFT(AL22,4)="LINE",NOT(ISNUMBER(FIND("STATUS",AL22))))))+4*(OR(ISNUMBER(FIND("WORKORDER",AL22)),AND(LEFT(AL22,2)="WO",OR(ISNUMBER(FIND("NUM",AL22)),RIGHT(AL22,2)="NO"))))+8*(LEFT(AL22,3)="SEQ")+16*(AND(LEFT(AL22,4)="ITEM",NOT(ISNUMBER(FIND("DESC",AL22)))))+32*(AND(ISNUMBER(FIND("DESC",AL22)),NOT(ISNUMBER(FIND("CAP",AL22)))))+64*(OR(RIGHT(AL22,5)="COUNT",RIGHT(AL22,2)="CT"))+128*(ISNUMBER(FIND("BULK",AL22)))+256*(ISNUMBER(FIND("SIZE",AL22)))+512*(LEFT(AL22,3)="CAP")+1024*(ISNUMBER(FIND("ALLERG",AL22)))+2048*(OR(ISNUMBER(FIND("REMARK",AL22)),ISNUMBER(FIND("COMMENT",AL22))))+4096*(OR(ISNUMBER(FIND("QTY",AL22)),ISNUMBER(FIND("QUANTITY",AL22))))+8192*(AND(OR(ISNUMBER(FIND("COMPLETE",AL22)),ISNUMBER(FIND("PCT",AL22)),ISNUMBER(FIND("PERCENT",AL22))),NOT(ISNUMBER(FIND("ACTUAL",AL22))),LEN(AL22)&lt;=16))+32768*(OR(ISNUMBER(FIND("DESIC",AL22)),ISNUMBER(FIND("DESSIC",AL22)))))</f>
        <v/>
      </c>
      <c r="AM157">
        <f>IF(AM22="",0,2*(OR(ISNUMBER(FIND("WORKCENTER",AM22)),AND(LEFT(AM22,4)="LINE",NOT(ISNUMBER(FIND("STATUS",AM22))))))+4*(OR(ISNUMBER(FIND("WORKORDER",AM22)),AND(LEFT(AM22,2)="WO",OR(ISNUMBER(FIND("NUM",AM22)),RIGHT(AM22,2)="NO"))))+8*(LEFT(AM22,3)="SEQ")+16*(AND(LEFT(AM22,4)="ITEM",NOT(ISNUMBER(FIND("DESC",AM22)))))+32*(AND(ISNUMBER(FIND("DESC",AM22)),NOT(ISNUMBER(FIND("CAP",AM22)))))+64*(OR(RIGHT(AM22,5)="COUNT",RIGHT(AM22,2)="CT"))+128*(ISNUMBER(FIND("BULK",AM22)))+256*(ISNUMBER(FIND("SIZE",AM22)))+512*(LEFT(AM22,3)="CAP")+1024*(ISNUMBER(FIND("ALLERG",AM22)))+2048*(OR(ISNUMBER(FIND("REMARK",AM22)),ISNUMBER(FIND("COMMENT",AM22))))+4096*(OR(ISNUMBER(FIND("QTY",AM22)),ISNUMBER(FIND("QUANTITY",AM22))))+8192*(AND(OR(ISNUMBER(FIND("COMPLETE",AM22)),ISNUMBER(FIND("PCT",AM22)),ISNUMBER(FIND("PERCENT",AM22))),NOT(ISNUMBER(FIND("ACTUAL",AM22))),LEN(AM22)&lt;=16))+32768*(OR(ISNUMBER(FIND("DESIC",AM22)),ISNUMBER(FIND("DESSIC",AM22)))))</f>
        <v/>
      </c>
      <c r="AN157">
        <f>IF(AN22="",0,2*(OR(ISNUMBER(FIND("WORKCENTER",AN22)),AND(LEFT(AN22,4)="LINE",NOT(ISNUMBER(FIND("STATUS",AN22))))))+4*(OR(ISNUMBER(FIND("WORKORDER",AN22)),AND(LEFT(AN22,2)="WO",OR(ISNUMBER(FIND("NUM",AN22)),RIGHT(AN22,2)="NO"))))+8*(LEFT(AN22,3)="SEQ")+16*(AND(LEFT(AN22,4)="ITEM",NOT(ISNUMBER(FIND("DESC",AN22)))))+32*(AND(ISNUMBER(FIND("DESC",AN22)),NOT(ISNUMBER(FIND("CAP",AN22)))))+64*(OR(RIGHT(AN22,5)="COUNT",RIGHT(AN22,2)="CT"))+128*(ISNUMBER(FIND("BULK",AN22)))+256*(ISNUMBER(FIND("SIZE",AN22)))+512*(LEFT(AN22,3)="CAP")+1024*(ISNUMBER(FIND("ALLERG",AN22)))+2048*(OR(ISNUMBER(FIND("REMARK",AN22)),ISNUMBER(FIND("COMMENT",AN22))))+4096*(OR(ISNUMBER(FIND("QTY",AN22)),ISNUMBER(FIND("QUANTITY",AN22))))+8192*(AND(OR(ISNUMBER(FIND("COMPLETE",AN22)),ISNUMBER(FIND("PCT",AN22)),ISNUMBER(FIND("PERCENT",AN22))),NOT(ISNUMBER(FIND("ACTUAL",AN22))),LEN(AN22)&lt;=16))+32768*(OR(ISNUMBER(FIND("DESIC",AN22)),ISNUMBER(FIND("DESSIC",AN22)))))</f>
        <v/>
      </c>
      <c r="AO157">
        <f>IF(AO22="",0,2*(OR(ISNUMBER(FIND("WORKCENTER",AO22)),AND(LEFT(AO22,4)="LINE",NOT(ISNUMBER(FIND("STATUS",AO22))))))+4*(OR(ISNUMBER(FIND("WORKORDER",AO22)),AND(LEFT(AO22,2)="WO",OR(ISNUMBER(FIND("NUM",AO22)),RIGHT(AO22,2)="NO"))))+8*(LEFT(AO22,3)="SEQ")+16*(AND(LEFT(AO22,4)="ITEM",NOT(ISNUMBER(FIND("DESC",AO22)))))+32*(AND(ISNUMBER(FIND("DESC",AO22)),NOT(ISNUMBER(FIND("CAP",AO22)))))+64*(OR(RIGHT(AO22,5)="COUNT",RIGHT(AO22,2)="CT"))+128*(ISNUMBER(FIND("BULK",AO22)))+256*(ISNUMBER(FIND("SIZE",AO22)))+512*(LEFT(AO22,3)="CAP")+1024*(ISNUMBER(FIND("ALLERG",AO22)))+2048*(OR(ISNUMBER(FIND("REMARK",AO22)),ISNUMBER(FIND("COMMENT",AO22))))+4096*(OR(ISNUMBER(FIND("QTY",AO22)),ISNUMBER(FIND("QUANTITY",AO22))))+8192*(AND(OR(ISNUMBER(FIND("COMPLETE",AO22)),ISNUMBER(FIND("PCT",AO22)),ISNUMBER(FIND("PERCENT",AO22))),NOT(ISNUMBER(FIND("ACTUAL",AO22))),LEN(AO22)&lt;=16))+32768*(OR(ISNUMBER(FIND("DESIC",AO22)),ISNUMBER(FIND("DESSIC",AO22)))))</f>
        <v/>
      </c>
      <c r="AP157">
        <f>IF(AP22="",0,2*(OR(ISNUMBER(FIND("WORKCENTER",AP22)),AND(LEFT(AP22,4)="LINE",NOT(ISNUMBER(FIND("STATUS",AP22))))))+4*(OR(ISNUMBER(FIND("WORKORDER",AP22)),AND(LEFT(AP22,2)="WO",OR(ISNUMBER(FIND("NUM",AP22)),RIGHT(AP22,2)="NO"))))+8*(LEFT(AP22,3)="SEQ")+16*(AND(LEFT(AP22,4)="ITEM",NOT(ISNUMBER(FIND("DESC",AP22)))))+32*(AND(ISNUMBER(FIND("DESC",AP22)),NOT(ISNUMBER(FIND("CAP",AP22)))))+64*(OR(RIGHT(AP22,5)="COUNT",RIGHT(AP22,2)="CT"))+128*(ISNUMBER(FIND("BULK",AP22)))+256*(ISNUMBER(FIND("SIZE",AP22)))+512*(LEFT(AP22,3)="CAP")+1024*(ISNUMBER(FIND("ALLERG",AP22)))+2048*(OR(ISNUMBER(FIND("REMARK",AP22)),ISNUMBER(FIND("COMMENT",AP22))))+4096*(OR(ISNUMBER(FIND("QTY",AP22)),ISNUMBER(FIND("QUANTITY",AP22))))+8192*(AND(OR(ISNUMBER(FIND("COMPLETE",AP22)),ISNUMBER(FIND("PCT",AP22)),ISNUMBER(FIND("PERCENT",AP22))),NOT(ISNUMBER(FIND("ACTUAL",AP22))),LEN(AP22)&lt;=16))+32768*(OR(ISNUMBER(FIND("DESIC",AP22)),ISNUMBER(FIND("DESSIC",AP22)))))</f>
        <v/>
      </c>
      <c r="AQ157">
        <f>IF(AQ22="",0,2*(OR(ISNUMBER(FIND("WORKCENTER",AQ22)),AND(LEFT(AQ22,4)="LINE",NOT(ISNUMBER(FIND("STATUS",AQ22))))))+4*(OR(ISNUMBER(FIND("WORKORDER",AQ22)),AND(LEFT(AQ22,2)="WO",OR(ISNUMBER(FIND("NUM",AQ22)),RIGHT(AQ22,2)="NO"))))+8*(LEFT(AQ22,3)="SEQ")+16*(AND(LEFT(AQ22,4)="ITEM",NOT(ISNUMBER(FIND("DESC",AQ22)))))+32*(AND(ISNUMBER(FIND("DESC",AQ22)),NOT(ISNUMBER(FIND("CAP",AQ22)))))+64*(OR(RIGHT(AQ22,5)="COUNT",RIGHT(AQ22,2)="CT"))+128*(ISNUMBER(FIND("BULK",AQ22)))+256*(ISNUMBER(FIND("SIZE",AQ22)))+512*(LEFT(AQ22,3)="CAP")+1024*(ISNUMBER(FIND("ALLERG",AQ22)))+2048*(OR(ISNUMBER(FIND("REMARK",AQ22)),ISNUMBER(FIND("COMMENT",AQ22))))+4096*(OR(ISNUMBER(FIND("QTY",AQ22)),ISNUMBER(FIND("QUANTITY",AQ22))))+8192*(AND(OR(ISNUMBER(FIND("COMPLETE",AQ22)),ISNUMBER(FIND("PCT",AQ22)),ISNUMBER(FIND("PERCENT",AQ22))),NOT(ISNUMBER(FIND("ACTUAL",AQ22))),LEN(AQ22)&lt;=16))+32768*(OR(ISNUMBER(FIND("DESIC",AQ22)),ISNUMBER(FIND("DESSIC",AQ22)))))</f>
        <v/>
      </c>
      <c r="AR157">
        <f>IF(AR22="",0,2*(OR(ISNUMBER(FIND("WORKCENTER",AR22)),AND(LEFT(AR22,4)="LINE",NOT(ISNUMBER(FIND("STATUS",AR22))))))+4*(OR(ISNUMBER(FIND("WORKORDER",AR22)),AND(LEFT(AR22,2)="WO",OR(ISNUMBER(FIND("NUM",AR22)),RIGHT(AR22,2)="NO"))))+8*(LEFT(AR22,3)="SEQ")+16*(AND(LEFT(AR22,4)="ITEM",NOT(ISNUMBER(FIND("DESC",AR22)))))+32*(AND(ISNUMBER(FIND("DESC",AR22)),NOT(ISNUMBER(FIND("CAP",AR22)))))+64*(OR(RIGHT(AR22,5)="COUNT",RIGHT(AR22,2)="CT"))+128*(ISNUMBER(FIND("BULK",AR22)))+256*(ISNUMBER(FIND("SIZE",AR22)))+512*(LEFT(AR22,3)="CAP")+1024*(ISNUMBER(FIND("ALLERG",AR22)))+2048*(OR(ISNUMBER(FIND("REMARK",AR22)),ISNUMBER(FIND("COMMENT",AR22))))+4096*(OR(ISNUMBER(FIND("QTY",AR22)),ISNUMBER(FIND("QUANTITY",AR22))))+8192*(AND(OR(ISNUMBER(FIND("COMPLETE",AR22)),ISNUMBER(FIND("PCT",AR22)),ISNUMBER(FIND("PERCENT",AR22))),NOT(ISNUMBER(FIND("ACTUAL",AR22))),LEN(AR22)&lt;=16))+32768*(OR(ISNUMBER(FIND("DESIC",AR22)),ISNUMBER(FIND("DESSIC",AR22)))))</f>
        <v/>
      </c>
      <c r="AS157">
        <f>IF(AS22="",0,2*(OR(ISNUMBER(FIND("WORKCENTER",AS22)),AND(LEFT(AS22,4)="LINE",NOT(ISNUMBER(FIND("STATUS",AS22))))))+4*(OR(ISNUMBER(FIND("WORKORDER",AS22)),AND(LEFT(AS22,2)="WO",OR(ISNUMBER(FIND("NUM",AS22)),RIGHT(AS22,2)="NO"))))+8*(LEFT(AS22,3)="SEQ")+16*(AND(LEFT(AS22,4)="ITEM",NOT(ISNUMBER(FIND("DESC",AS22)))))+32*(AND(ISNUMBER(FIND("DESC",AS22)),NOT(ISNUMBER(FIND("CAP",AS22)))))+64*(OR(RIGHT(AS22,5)="COUNT",RIGHT(AS22,2)="CT"))+128*(ISNUMBER(FIND("BULK",AS22)))+256*(ISNUMBER(FIND("SIZE",AS22)))+512*(LEFT(AS22,3)="CAP")+1024*(ISNUMBER(FIND("ALLERG",AS22)))+2048*(OR(ISNUMBER(FIND("REMARK",AS22)),ISNUMBER(FIND("COMMENT",AS22))))+4096*(OR(ISNUMBER(FIND("QTY",AS22)),ISNUMBER(FIND("QUANTITY",AS22))))+8192*(AND(OR(ISNUMBER(FIND("COMPLETE",AS22)),ISNUMBER(FIND("PCT",AS22)),ISNUMBER(FIND("PERCENT",AS22))),NOT(ISNUMBER(FIND("ACTUAL",AS22))),LEN(AS22)&lt;=16))+32768*(OR(ISNUMBER(FIND("DESIC",AS22)),ISNUMBER(FIND("DESSIC",AS22)))))</f>
        <v/>
      </c>
      <c r="AT157">
        <f>IF(AT22="",0,2*(OR(ISNUMBER(FIND("WORKCENTER",AT22)),AND(LEFT(AT22,4)="LINE",NOT(ISNUMBER(FIND("STATUS",AT22))))))+4*(OR(ISNUMBER(FIND("WORKORDER",AT22)),AND(LEFT(AT22,2)="WO",OR(ISNUMBER(FIND("NUM",AT22)),RIGHT(AT22,2)="NO"))))+8*(LEFT(AT22,3)="SEQ")+16*(AND(LEFT(AT22,4)="ITEM",NOT(ISNUMBER(FIND("DESC",AT22)))))+32*(AND(ISNUMBER(FIND("DESC",AT22)),NOT(ISNUMBER(FIND("CAP",AT22)))))+64*(OR(RIGHT(AT22,5)="COUNT",RIGHT(AT22,2)="CT"))+128*(ISNUMBER(FIND("BULK",AT22)))+256*(ISNUMBER(FIND("SIZE",AT22)))+512*(LEFT(AT22,3)="CAP")+1024*(ISNUMBER(FIND("ALLERG",AT22)))+2048*(OR(ISNUMBER(FIND("REMARK",AT22)),ISNUMBER(FIND("COMMENT",AT22))))+4096*(OR(ISNUMBER(FIND("QTY",AT22)),ISNUMBER(FIND("QUANTITY",AT22))))+8192*(AND(OR(ISNUMBER(FIND("COMPLETE",AT22)),ISNUMBER(FIND("PCT",AT22)),ISNUMBER(FIND("PERCENT",AT22))),NOT(ISNUMBER(FIND("ACTUAL",AT22))),LEN(AT22)&lt;=16))+32768*(OR(ISNUMBER(FIND("DESIC",AT22)),ISNUMBER(FIND("DESSIC",AT22)))))</f>
        <v/>
      </c>
      <c r="AU157">
        <f>IF(AU22="",0,2*(OR(ISNUMBER(FIND("WORKCENTER",AU22)),AND(LEFT(AU22,4)="LINE",NOT(ISNUMBER(FIND("STATUS",AU22))))))+4*(OR(ISNUMBER(FIND("WORKORDER",AU22)),AND(LEFT(AU22,2)="WO",OR(ISNUMBER(FIND("NUM",AU22)),RIGHT(AU22,2)="NO"))))+8*(LEFT(AU22,3)="SEQ")+16*(AND(LEFT(AU22,4)="ITEM",NOT(ISNUMBER(FIND("DESC",AU22)))))+32*(AND(ISNUMBER(FIND("DESC",AU22)),NOT(ISNUMBER(FIND("CAP",AU22)))))+64*(OR(RIGHT(AU22,5)="COUNT",RIGHT(AU22,2)="CT"))+128*(ISNUMBER(FIND("BULK",AU22)))+256*(ISNUMBER(FIND("SIZE",AU22)))+512*(LEFT(AU22,3)="CAP")+1024*(ISNUMBER(FIND("ALLERG",AU22)))+2048*(OR(ISNUMBER(FIND("REMARK",AU22)),ISNUMBER(FIND("COMMENT",AU22))))+4096*(OR(ISNUMBER(FIND("QTY",AU22)),ISNUMBER(FIND("QUANTITY",AU22))))+8192*(AND(OR(ISNUMBER(FIND("COMPLETE",AU22)),ISNUMBER(FIND("PCT",AU22)),ISNUMBER(FIND("PERCENT",AU22))),NOT(ISNUMBER(FIND("ACTUAL",AU22))),LEN(AU22)&lt;=16))+32768*(OR(ISNUMBER(FIND("DESIC",AU22)),ISNUMBER(FIND("DESSIC",AU22)))))</f>
        <v/>
      </c>
      <c r="AV157">
        <f>IF(AV22="",0,2*(OR(ISNUMBER(FIND("WORKCENTER",AV22)),AND(LEFT(AV22,4)="LINE",NOT(ISNUMBER(FIND("STATUS",AV22))))))+4*(OR(ISNUMBER(FIND("WORKORDER",AV22)),AND(LEFT(AV22,2)="WO",OR(ISNUMBER(FIND("NUM",AV22)),RIGHT(AV22,2)="NO"))))+8*(LEFT(AV22,3)="SEQ")+16*(AND(LEFT(AV22,4)="ITEM",NOT(ISNUMBER(FIND("DESC",AV22)))))+32*(AND(ISNUMBER(FIND("DESC",AV22)),NOT(ISNUMBER(FIND("CAP",AV22)))))+64*(OR(RIGHT(AV22,5)="COUNT",RIGHT(AV22,2)="CT"))+128*(ISNUMBER(FIND("BULK",AV22)))+256*(ISNUMBER(FIND("SIZE",AV22)))+512*(LEFT(AV22,3)="CAP")+1024*(ISNUMBER(FIND("ALLERG",AV22)))+2048*(OR(ISNUMBER(FIND("REMARK",AV22)),ISNUMBER(FIND("COMMENT",AV22))))+4096*(OR(ISNUMBER(FIND("QTY",AV22)),ISNUMBER(FIND("QUANTITY",AV22))))+8192*(AND(OR(ISNUMBER(FIND("COMPLETE",AV22)),ISNUMBER(FIND("PCT",AV22)),ISNUMBER(FIND("PERCENT",AV22))),NOT(ISNUMBER(FIND("ACTUAL",AV22))),LEN(AV22)&lt;=16))+32768*(OR(ISNUMBER(FIND("DESIC",AV22)),ISNUMBER(FIND("DESSIC",AV22)))))</f>
        <v/>
      </c>
      <c r="AW157">
        <f>IF(AW22="",0,2*(OR(ISNUMBER(FIND("WORKCENTER",AW22)),AND(LEFT(AW22,4)="LINE",NOT(ISNUMBER(FIND("STATUS",AW22))))))+4*(OR(ISNUMBER(FIND("WORKORDER",AW22)),AND(LEFT(AW22,2)="WO",OR(ISNUMBER(FIND("NUM",AW22)),RIGHT(AW22,2)="NO"))))+8*(LEFT(AW22,3)="SEQ")+16*(AND(LEFT(AW22,4)="ITEM",NOT(ISNUMBER(FIND("DESC",AW22)))))+32*(AND(ISNUMBER(FIND("DESC",AW22)),NOT(ISNUMBER(FIND("CAP",AW22)))))+64*(OR(RIGHT(AW22,5)="COUNT",RIGHT(AW22,2)="CT"))+128*(ISNUMBER(FIND("BULK",AW22)))+256*(ISNUMBER(FIND("SIZE",AW22)))+512*(LEFT(AW22,3)="CAP")+1024*(ISNUMBER(FIND("ALLERG",AW22)))+2048*(OR(ISNUMBER(FIND("REMARK",AW22)),ISNUMBER(FIND("COMMENT",AW22))))+4096*(OR(ISNUMBER(FIND("QTY",AW22)),ISNUMBER(FIND("QUANTITY",AW22))))+8192*(AND(OR(ISNUMBER(FIND("COMPLETE",AW22)),ISNUMBER(FIND("PCT",AW22)),ISNUMBER(FIND("PERCENT",AW22))),NOT(ISNUMBER(FIND("ACTUAL",AW22))),LEN(AW22)&lt;=16))+32768*(OR(ISNUMBER(FIND("DESIC",AW22)),ISNUMBER(FIND("DESSIC",AW22)))))</f>
        <v/>
      </c>
      <c r="AX157">
        <f>IF(AX22="",0,2*(OR(ISNUMBER(FIND("WORKCENTER",AX22)),AND(LEFT(AX22,4)="LINE",NOT(ISNUMBER(FIND("STATUS",AX22))))))+4*(OR(ISNUMBER(FIND("WORKORDER",AX22)),AND(LEFT(AX22,2)="WO",OR(ISNUMBER(FIND("NUM",AX22)),RIGHT(AX22,2)="NO"))))+8*(LEFT(AX22,3)="SEQ")+16*(AND(LEFT(AX22,4)="ITEM",NOT(ISNUMBER(FIND("DESC",AX22)))))+32*(AND(ISNUMBER(FIND("DESC",AX22)),NOT(ISNUMBER(FIND("CAP",AX22)))))+64*(OR(RIGHT(AX22,5)="COUNT",RIGHT(AX22,2)="CT"))+128*(ISNUMBER(FIND("BULK",AX22)))+256*(ISNUMBER(FIND("SIZE",AX22)))+512*(LEFT(AX22,3)="CAP")+1024*(ISNUMBER(FIND("ALLERG",AX22)))+2048*(OR(ISNUMBER(FIND("REMARK",AX22)),ISNUMBER(FIND("COMMENT",AX22))))+4096*(OR(ISNUMBER(FIND("QTY",AX22)),ISNUMBER(FIND("QUANTITY",AX22))))+8192*(AND(OR(ISNUMBER(FIND("COMPLETE",AX22)),ISNUMBER(FIND("PCT",AX22)),ISNUMBER(FIND("PERCENT",AX22))),NOT(ISNUMBER(FIND("ACTUAL",AX22))),LEN(AX22)&lt;=16))+32768*(OR(ISNUMBER(FIND("DESIC",AX22)),ISNUMBER(FIND("DESSIC",AX22)))))</f>
        <v/>
      </c>
      <c r="AY157">
        <f>IF(AY22="",0,2*(OR(ISNUMBER(FIND("WORKCENTER",AY22)),AND(LEFT(AY22,4)="LINE",NOT(ISNUMBER(FIND("STATUS",AY22))))))+4*(OR(ISNUMBER(FIND("WORKORDER",AY22)),AND(LEFT(AY22,2)="WO",OR(ISNUMBER(FIND("NUM",AY22)),RIGHT(AY22,2)="NO"))))+8*(LEFT(AY22,3)="SEQ")+16*(AND(LEFT(AY22,4)="ITEM",NOT(ISNUMBER(FIND("DESC",AY22)))))+32*(AND(ISNUMBER(FIND("DESC",AY22)),NOT(ISNUMBER(FIND("CAP",AY22)))))+64*(OR(RIGHT(AY22,5)="COUNT",RIGHT(AY22,2)="CT"))+128*(ISNUMBER(FIND("BULK",AY22)))+256*(ISNUMBER(FIND("SIZE",AY22)))+512*(LEFT(AY22,3)="CAP")+1024*(ISNUMBER(FIND("ALLERG",AY22)))+2048*(OR(ISNUMBER(FIND("REMARK",AY22)),ISNUMBER(FIND("COMMENT",AY22))))+4096*(OR(ISNUMBER(FIND("QTY",AY22)),ISNUMBER(FIND("QUANTITY",AY22))))+8192*(AND(OR(ISNUMBER(FIND("COMPLETE",AY22)),ISNUMBER(FIND("PCT",AY22)),ISNUMBER(FIND("PERCENT",AY22))),NOT(ISNUMBER(FIND("ACTUAL",AY22))),LEN(AY22)&lt;=16))+32768*(OR(ISNUMBER(FIND("DESIC",AY22)),ISNUMBER(FIND("DESSIC",AY22)))))</f>
        <v/>
      </c>
      <c r="AZ157">
        <f>IF(AZ22="",0,2*(OR(ISNUMBER(FIND("WORKCENTER",AZ22)),AND(LEFT(AZ22,4)="LINE",NOT(ISNUMBER(FIND("STATUS",AZ22))))))+4*(OR(ISNUMBER(FIND("WORKORDER",AZ22)),AND(LEFT(AZ22,2)="WO",OR(ISNUMBER(FIND("NUM",AZ22)),RIGHT(AZ22,2)="NO"))))+8*(LEFT(AZ22,3)="SEQ")+16*(AND(LEFT(AZ22,4)="ITEM",NOT(ISNUMBER(FIND("DESC",AZ22)))))+32*(AND(ISNUMBER(FIND("DESC",AZ22)),NOT(ISNUMBER(FIND("CAP",AZ22)))))+64*(OR(RIGHT(AZ22,5)="COUNT",RIGHT(AZ22,2)="CT"))+128*(ISNUMBER(FIND("BULK",AZ22)))+256*(ISNUMBER(FIND("SIZE",AZ22)))+512*(LEFT(AZ22,3)="CAP")+1024*(ISNUMBER(FIND("ALLERG",AZ22)))+2048*(OR(ISNUMBER(FIND("REMARK",AZ22)),ISNUMBER(FIND("COMMENT",AZ22))))+4096*(OR(ISNUMBER(FIND("QTY",AZ22)),ISNUMBER(FIND("QUANTITY",AZ22))))+8192*(AND(OR(ISNUMBER(FIND("COMPLETE",AZ22)),ISNUMBER(FIND("PCT",AZ22)),ISNUMBER(FIND("PERCENT",AZ22))),NOT(ISNUMBER(FIND("ACTUAL",AZ22))),LEN(AZ22)&lt;=16))+32768*(OR(ISNUMBER(FIND("DESIC",AZ22)),ISNUMBER(FIND("DESSIC",AZ22)))))</f>
        <v/>
      </c>
      <c r="BA157">
        <f>IF(BA22="",0,2*(OR(ISNUMBER(FIND("WORKCENTER",BA22)),AND(LEFT(BA22,4)="LINE",NOT(ISNUMBER(FIND("STATUS",BA22))))))+4*(OR(ISNUMBER(FIND("WORKORDER",BA22)),AND(LEFT(BA22,2)="WO",OR(ISNUMBER(FIND("NUM",BA22)),RIGHT(BA22,2)="NO"))))+8*(LEFT(BA22,3)="SEQ")+16*(AND(LEFT(BA22,4)="ITEM",NOT(ISNUMBER(FIND("DESC",BA22)))))+32*(AND(ISNUMBER(FIND("DESC",BA22)),NOT(ISNUMBER(FIND("CAP",BA22)))))+64*(OR(RIGHT(BA22,5)="COUNT",RIGHT(BA22,2)="CT"))+128*(ISNUMBER(FIND("BULK",BA22)))+256*(ISNUMBER(FIND("SIZE",BA22)))+512*(LEFT(BA22,3)="CAP")+1024*(ISNUMBER(FIND("ALLERG",BA22)))+2048*(OR(ISNUMBER(FIND("REMARK",BA22)),ISNUMBER(FIND("COMMENT",BA22))))+4096*(OR(ISNUMBER(FIND("QTY",BA22)),ISNUMBER(FIND("QUANTITY",BA22))))+8192*(AND(OR(ISNUMBER(FIND("COMPLETE",BA22)),ISNUMBER(FIND("PCT",BA22)),ISNUMBER(FIND("PERCENT",BA22))),NOT(ISNUMBER(FIND("ACTUAL",BA22))),LEN(BA22)&lt;=16))+32768*(OR(ISNUMBER(FIND("DESIC",BA22)),ISNUMBER(FIND("DESSIC",BA22)))))</f>
        <v/>
      </c>
      <c r="BB157">
        <f>IF(BB22="",0,2*(OR(ISNUMBER(FIND("WORKCENTER",BB22)),AND(LEFT(BB22,4)="LINE",NOT(ISNUMBER(FIND("STATUS",BB22))))))+4*(OR(ISNUMBER(FIND("WORKORDER",BB22)),AND(LEFT(BB22,2)="WO",OR(ISNUMBER(FIND("NUM",BB22)),RIGHT(BB22,2)="NO"))))+8*(LEFT(BB22,3)="SEQ")+16*(AND(LEFT(BB22,4)="ITEM",NOT(ISNUMBER(FIND("DESC",BB22)))))+32*(AND(ISNUMBER(FIND("DESC",BB22)),NOT(ISNUMBER(FIND("CAP",BB22)))))+64*(OR(RIGHT(BB22,5)="COUNT",RIGHT(BB22,2)="CT"))+128*(ISNUMBER(FIND("BULK",BB22)))+256*(ISNUMBER(FIND("SIZE",BB22)))+512*(LEFT(BB22,3)="CAP")+1024*(ISNUMBER(FIND("ALLERG",BB22)))+2048*(OR(ISNUMBER(FIND("REMARK",BB22)),ISNUMBER(FIND("COMMENT",BB22))))+4096*(OR(ISNUMBER(FIND("QTY",BB22)),ISNUMBER(FIND("QUANTITY",BB22))))+8192*(AND(OR(ISNUMBER(FIND("COMPLETE",BB22)),ISNUMBER(FIND("PCT",BB22)),ISNUMBER(FIND("PERCENT",BB22))),NOT(ISNUMBER(FIND("ACTUAL",BB22))),LEN(BB22)&lt;=16))+32768*(OR(ISNUMBER(FIND("DESIC",BB22)),ISNUMBER(FIND("DESSIC",BB22)))))</f>
        <v/>
      </c>
      <c r="BC157">
        <f>IF(BC22="",0,2*(OR(ISNUMBER(FIND("WORKCENTER",BC22)),AND(LEFT(BC22,4)="LINE",NOT(ISNUMBER(FIND("STATUS",BC22))))))+4*(OR(ISNUMBER(FIND("WORKORDER",BC22)),AND(LEFT(BC22,2)="WO",OR(ISNUMBER(FIND("NUM",BC22)),RIGHT(BC22,2)="NO"))))+8*(LEFT(BC22,3)="SEQ")+16*(AND(LEFT(BC22,4)="ITEM",NOT(ISNUMBER(FIND("DESC",BC22)))))+32*(AND(ISNUMBER(FIND("DESC",BC22)),NOT(ISNUMBER(FIND("CAP",BC22)))))+64*(OR(RIGHT(BC22,5)="COUNT",RIGHT(BC22,2)="CT"))+128*(ISNUMBER(FIND("BULK",BC22)))+256*(ISNUMBER(FIND("SIZE",BC22)))+512*(LEFT(BC22,3)="CAP")+1024*(ISNUMBER(FIND("ALLERG",BC22)))+2048*(OR(ISNUMBER(FIND("REMARK",BC22)),ISNUMBER(FIND("COMMENT",BC22))))+4096*(OR(ISNUMBER(FIND("QTY",BC22)),ISNUMBER(FIND("QUANTITY",BC22))))+8192*(AND(OR(ISNUMBER(FIND("COMPLETE",BC22)),ISNUMBER(FIND("PCT",BC22)),ISNUMBER(FIND("PERCENT",BC22))),NOT(ISNUMBER(FIND("ACTUAL",BC22))),LEN(BC22)&lt;=16))+32768*(OR(ISNUMBER(FIND("DESIC",BC22)),ISNUMBER(FIND("DESSIC",BC22)))))</f>
        <v/>
      </c>
      <c r="BD157">
        <f>IF(BD22="",0,2*(OR(ISNUMBER(FIND("WORKCENTER",BD22)),AND(LEFT(BD22,4)="LINE",NOT(ISNUMBER(FIND("STATUS",BD22))))))+4*(OR(ISNUMBER(FIND("WORKORDER",BD22)),AND(LEFT(BD22,2)="WO",OR(ISNUMBER(FIND("NUM",BD22)),RIGHT(BD22,2)="NO"))))+8*(LEFT(BD22,3)="SEQ")+16*(AND(LEFT(BD22,4)="ITEM",NOT(ISNUMBER(FIND("DESC",BD22)))))+32*(AND(ISNUMBER(FIND("DESC",BD22)),NOT(ISNUMBER(FIND("CAP",BD22)))))+64*(OR(RIGHT(BD22,5)="COUNT",RIGHT(BD22,2)="CT"))+128*(ISNUMBER(FIND("BULK",BD22)))+256*(ISNUMBER(FIND("SIZE",BD22)))+512*(LEFT(BD22,3)="CAP")+1024*(ISNUMBER(FIND("ALLERG",BD22)))+2048*(OR(ISNUMBER(FIND("REMARK",BD22)),ISNUMBER(FIND("COMMENT",BD22))))+4096*(OR(ISNUMBER(FIND("QTY",BD22)),ISNUMBER(FIND("QUANTITY",BD22))))+8192*(AND(OR(ISNUMBER(FIND("COMPLETE",BD22)),ISNUMBER(FIND("PCT",BD22)),ISNUMBER(FIND("PERCENT",BD22))),NOT(ISNUMBER(FIND("ACTUAL",BD22))),LEN(BD22)&lt;=16))+32768*(OR(ISNUMBER(FIND("DESIC",BD22)),ISNUMBER(FIND("DESSIC",BD22)))))</f>
        <v/>
      </c>
      <c r="BE157">
        <f>IF(BE22="",0,2*(OR(ISNUMBER(FIND("WORKCENTER",BE22)),AND(LEFT(BE22,4)="LINE",NOT(ISNUMBER(FIND("STATUS",BE22))))))+4*(OR(ISNUMBER(FIND("WORKORDER",BE22)),AND(LEFT(BE22,2)="WO",OR(ISNUMBER(FIND("NUM",BE22)),RIGHT(BE22,2)="NO"))))+8*(LEFT(BE22,3)="SEQ")+16*(AND(LEFT(BE22,4)="ITEM",NOT(ISNUMBER(FIND("DESC",BE22)))))+32*(AND(ISNUMBER(FIND("DESC",BE22)),NOT(ISNUMBER(FIND("CAP",BE22)))))+64*(OR(RIGHT(BE22,5)="COUNT",RIGHT(BE22,2)="CT"))+128*(ISNUMBER(FIND("BULK",BE22)))+256*(ISNUMBER(FIND("SIZE",BE22)))+512*(LEFT(BE22,3)="CAP")+1024*(ISNUMBER(FIND("ALLERG",BE22)))+2048*(OR(ISNUMBER(FIND("REMARK",BE22)),ISNUMBER(FIND("COMMENT",BE22))))+4096*(OR(ISNUMBER(FIND("QTY",BE22)),ISNUMBER(FIND("QUANTITY",BE22))))+8192*(AND(OR(ISNUMBER(FIND("COMPLETE",BE22)),ISNUMBER(FIND("PCT",BE22)),ISNUMBER(FIND("PERCENT",BE22))),NOT(ISNUMBER(FIND("ACTUAL",BE22))),LEN(BE22)&lt;=16))+32768*(OR(ISNUMBER(FIND("DESIC",BE22)),ISNUMBER(FIND("DESSIC",BE22)))))</f>
        <v/>
      </c>
      <c r="BF157">
        <f>IF(BF22="",0,2*(OR(ISNUMBER(FIND("WORKCENTER",BF22)),AND(LEFT(BF22,4)="LINE",NOT(ISNUMBER(FIND("STATUS",BF22))))))+4*(OR(ISNUMBER(FIND("WORKORDER",BF22)),AND(LEFT(BF22,2)="WO",OR(ISNUMBER(FIND("NUM",BF22)),RIGHT(BF22,2)="NO"))))+8*(LEFT(BF22,3)="SEQ")+16*(AND(LEFT(BF22,4)="ITEM",NOT(ISNUMBER(FIND("DESC",BF22)))))+32*(AND(ISNUMBER(FIND("DESC",BF22)),NOT(ISNUMBER(FIND("CAP",BF22)))))+64*(OR(RIGHT(BF22,5)="COUNT",RIGHT(BF22,2)="CT"))+128*(ISNUMBER(FIND("BULK",BF22)))+256*(ISNUMBER(FIND("SIZE",BF22)))+512*(LEFT(BF22,3)="CAP")+1024*(ISNUMBER(FIND("ALLERG",BF22)))+2048*(OR(ISNUMBER(FIND("REMARK",BF22)),ISNUMBER(FIND("COMMENT",BF22))))+4096*(OR(ISNUMBER(FIND("QTY",BF22)),ISNUMBER(FIND("QUANTITY",BF22))))+8192*(AND(OR(ISNUMBER(FIND("COMPLETE",BF22)),ISNUMBER(FIND("PCT",BF22)),ISNUMBER(FIND("PERCENT",BF22))),NOT(ISNUMBER(FIND("ACTUAL",BF22))),LEN(BF22)&lt;=16))+32768*(OR(ISNUMBER(FIND("DESIC",BF22)),ISNUMBER(FIND("DESSIC",BF22)))))</f>
        <v/>
      </c>
      <c r="BG157">
        <f>IF(BG22="",0,2*(OR(ISNUMBER(FIND("WORKCENTER",BG22)),AND(LEFT(BG22,4)="LINE",NOT(ISNUMBER(FIND("STATUS",BG22))))))+4*(OR(ISNUMBER(FIND("WORKORDER",BG22)),AND(LEFT(BG22,2)="WO",OR(ISNUMBER(FIND("NUM",BG22)),RIGHT(BG22,2)="NO"))))+8*(LEFT(BG22,3)="SEQ")+16*(AND(LEFT(BG22,4)="ITEM",NOT(ISNUMBER(FIND("DESC",BG22)))))+32*(AND(ISNUMBER(FIND("DESC",BG22)),NOT(ISNUMBER(FIND("CAP",BG22)))))+64*(OR(RIGHT(BG22,5)="COUNT",RIGHT(BG22,2)="CT"))+128*(ISNUMBER(FIND("BULK",BG22)))+256*(ISNUMBER(FIND("SIZE",BG22)))+512*(LEFT(BG22,3)="CAP")+1024*(ISNUMBER(FIND("ALLERG",BG22)))+2048*(OR(ISNUMBER(FIND("REMARK",BG22)),ISNUMBER(FIND("COMMENT",BG22))))+4096*(OR(ISNUMBER(FIND("QTY",BG22)),ISNUMBER(FIND("QUANTITY",BG22))))+8192*(AND(OR(ISNUMBER(FIND("COMPLETE",BG22)),ISNUMBER(FIND("PCT",BG22)),ISNUMBER(FIND("PERCENT",BG22))),NOT(ISNUMBER(FIND("ACTUAL",BG22))),LEN(BG22)&lt;=16))+32768*(OR(ISNUMBER(FIND("DESIC",BG22)),ISNUMBER(FIND("DESSIC",BG22)))))</f>
        <v/>
      </c>
      <c r="BH157">
        <f>IF(BH22="",0,2*(OR(ISNUMBER(FIND("WORKCENTER",BH22)),AND(LEFT(BH22,4)="LINE",NOT(ISNUMBER(FIND("STATUS",BH22))))))+4*(OR(ISNUMBER(FIND("WORKORDER",BH22)),AND(LEFT(BH22,2)="WO",OR(ISNUMBER(FIND("NUM",BH22)),RIGHT(BH22,2)="NO"))))+8*(LEFT(BH22,3)="SEQ")+16*(AND(LEFT(BH22,4)="ITEM",NOT(ISNUMBER(FIND("DESC",BH22)))))+32*(AND(ISNUMBER(FIND("DESC",BH22)),NOT(ISNUMBER(FIND("CAP",BH22)))))+64*(OR(RIGHT(BH22,5)="COUNT",RIGHT(BH22,2)="CT"))+128*(ISNUMBER(FIND("BULK",BH22)))+256*(ISNUMBER(FIND("SIZE",BH22)))+512*(LEFT(BH22,3)="CAP")+1024*(ISNUMBER(FIND("ALLERG",BH22)))+2048*(OR(ISNUMBER(FIND("REMARK",BH22)),ISNUMBER(FIND("COMMENT",BH22))))+4096*(OR(ISNUMBER(FIND("QTY",BH22)),ISNUMBER(FIND("QUANTITY",BH22))))+8192*(AND(OR(ISNUMBER(FIND("COMPLETE",BH22)),ISNUMBER(FIND("PCT",BH22)),ISNUMBER(FIND("PERCENT",BH22))),NOT(ISNUMBER(FIND("ACTUAL",BH22))),LEN(BH22)&lt;=16))+32768*(OR(ISNUMBER(FIND("DESIC",BH22)),ISNUMBER(FIND("DESSIC",BH22)))))</f>
        <v/>
      </c>
      <c r="BI157">
        <f>IF(BI22="",0,2*(OR(ISNUMBER(FIND("WORKCENTER",BI22)),AND(LEFT(BI22,4)="LINE",NOT(ISNUMBER(FIND("STATUS",BI22))))))+4*(OR(ISNUMBER(FIND("WORKORDER",BI22)),AND(LEFT(BI22,2)="WO",OR(ISNUMBER(FIND("NUM",BI22)),RIGHT(BI22,2)="NO"))))+8*(LEFT(BI22,3)="SEQ")+16*(AND(LEFT(BI22,4)="ITEM",NOT(ISNUMBER(FIND("DESC",BI22)))))+32*(AND(ISNUMBER(FIND("DESC",BI22)),NOT(ISNUMBER(FIND("CAP",BI22)))))+64*(OR(RIGHT(BI22,5)="COUNT",RIGHT(BI22,2)="CT"))+128*(ISNUMBER(FIND("BULK",BI22)))+256*(ISNUMBER(FIND("SIZE",BI22)))+512*(LEFT(BI22,3)="CAP")+1024*(ISNUMBER(FIND("ALLERG",BI22)))+2048*(OR(ISNUMBER(FIND("REMARK",BI22)),ISNUMBER(FIND("COMMENT",BI22))))+4096*(OR(ISNUMBER(FIND("QTY",BI22)),ISNUMBER(FIND("QUANTITY",BI22))))+8192*(AND(OR(ISNUMBER(FIND("COMPLETE",BI22)),ISNUMBER(FIND("PCT",BI22)),ISNUMBER(FIND("PERCENT",BI22))),NOT(ISNUMBER(FIND("ACTUAL",BI22))),LEN(BI22)&lt;=16))+32768*(OR(ISNUMBER(FIND("DESIC",BI22)),ISNUMBER(FIND("DESSIC",BI22)))))</f>
        <v/>
      </c>
      <c r="BJ157">
        <f>IF(BJ22="",0,2*(OR(ISNUMBER(FIND("WORKCENTER",BJ22)),AND(LEFT(BJ22,4)="LINE",NOT(ISNUMBER(FIND("STATUS",BJ22))))))+4*(OR(ISNUMBER(FIND("WORKORDER",BJ22)),AND(LEFT(BJ22,2)="WO",OR(ISNUMBER(FIND("NUM",BJ22)),RIGHT(BJ22,2)="NO"))))+8*(LEFT(BJ22,3)="SEQ")+16*(AND(LEFT(BJ22,4)="ITEM",NOT(ISNUMBER(FIND("DESC",BJ22)))))+32*(AND(ISNUMBER(FIND("DESC",BJ22)),NOT(ISNUMBER(FIND("CAP",BJ22)))))+64*(OR(RIGHT(BJ22,5)="COUNT",RIGHT(BJ22,2)="CT"))+128*(ISNUMBER(FIND("BULK",BJ22)))+256*(ISNUMBER(FIND("SIZE",BJ22)))+512*(LEFT(BJ22,3)="CAP")+1024*(ISNUMBER(FIND("ALLERG",BJ22)))+2048*(OR(ISNUMBER(FIND("REMARK",BJ22)),ISNUMBER(FIND("COMMENT",BJ22))))+4096*(OR(ISNUMBER(FIND("QTY",BJ22)),ISNUMBER(FIND("QUANTITY",BJ22))))+8192*(AND(OR(ISNUMBER(FIND("COMPLETE",BJ22)),ISNUMBER(FIND("PCT",BJ22)),ISNUMBER(FIND("PERCENT",BJ22))),NOT(ISNUMBER(FIND("ACTUAL",BJ22))),LEN(BJ22)&lt;=16))+32768*(OR(ISNUMBER(FIND("DESIC",BJ22)),ISNUMBER(FIND("DESSIC",BJ22)))))</f>
        <v/>
      </c>
      <c r="BK157">
        <f>IF(BK22="",0,2*(OR(ISNUMBER(FIND("WORKCENTER",BK22)),AND(LEFT(BK22,4)="LINE",NOT(ISNUMBER(FIND("STATUS",BK22))))))+4*(OR(ISNUMBER(FIND("WORKORDER",BK22)),AND(LEFT(BK22,2)="WO",OR(ISNUMBER(FIND("NUM",BK22)),RIGHT(BK22,2)="NO"))))+8*(LEFT(BK22,3)="SEQ")+16*(AND(LEFT(BK22,4)="ITEM",NOT(ISNUMBER(FIND("DESC",BK22)))))+32*(AND(ISNUMBER(FIND("DESC",BK22)),NOT(ISNUMBER(FIND("CAP",BK22)))))+64*(OR(RIGHT(BK22,5)="COUNT",RIGHT(BK22,2)="CT"))+128*(ISNUMBER(FIND("BULK",BK22)))+256*(ISNUMBER(FIND("SIZE",BK22)))+512*(LEFT(BK22,3)="CAP")+1024*(ISNUMBER(FIND("ALLERG",BK22)))+2048*(OR(ISNUMBER(FIND("REMARK",BK22)),ISNUMBER(FIND("COMMENT",BK22))))+4096*(OR(ISNUMBER(FIND("QTY",BK22)),ISNUMBER(FIND("QUANTITY",BK22))))+8192*(AND(OR(ISNUMBER(FIND("COMPLETE",BK22)),ISNUMBER(FIND("PCT",BK22)),ISNUMBER(FIND("PERCENT",BK22))),NOT(ISNUMBER(FIND("ACTUAL",BK22))),LEN(BK22)&lt;=16))+32768*(OR(ISNUMBER(FIND("DESIC",BK22)),ISNUMBER(FIND("DESSIC",BK22)))))</f>
        <v/>
      </c>
      <c r="BL157">
        <f>IF(BL22="",0,2*(OR(ISNUMBER(FIND("WORKCENTER",BL22)),AND(LEFT(BL22,4)="LINE",NOT(ISNUMBER(FIND("STATUS",BL22))))))+4*(OR(ISNUMBER(FIND("WORKORDER",BL22)),AND(LEFT(BL22,2)="WO",OR(ISNUMBER(FIND("NUM",BL22)),RIGHT(BL22,2)="NO"))))+8*(LEFT(BL22,3)="SEQ")+16*(AND(LEFT(BL22,4)="ITEM",NOT(ISNUMBER(FIND("DESC",BL22)))))+32*(AND(ISNUMBER(FIND("DESC",BL22)),NOT(ISNUMBER(FIND("CAP",BL22)))))+64*(OR(RIGHT(BL22,5)="COUNT",RIGHT(BL22,2)="CT"))+128*(ISNUMBER(FIND("BULK",BL22)))+256*(ISNUMBER(FIND("SIZE",BL22)))+512*(LEFT(BL22,3)="CAP")+1024*(ISNUMBER(FIND("ALLERG",BL22)))+2048*(OR(ISNUMBER(FIND("REMARK",BL22)),ISNUMBER(FIND("COMMENT",BL22))))+4096*(OR(ISNUMBER(FIND("QTY",BL22)),ISNUMBER(FIND("QUANTITY",BL22))))+8192*(AND(OR(ISNUMBER(FIND("COMPLETE",BL22)),ISNUMBER(FIND("PCT",BL22)),ISNUMBER(FIND("PERCENT",BL22))),NOT(ISNUMBER(FIND("ACTUAL",BL22))),LEN(BL22)&lt;=16))+32768*(OR(ISNUMBER(FIND("DESIC",BL22)),ISNUMBER(FIND("DESSIC",BL22)))))</f>
        <v/>
      </c>
      <c r="BM157">
        <f>IF(BM22="",0,2*(OR(ISNUMBER(FIND("WORKCENTER",BM22)),AND(LEFT(BM22,4)="LINE",NOT(ISNUMBER(FIND("STATUS",BM22))))))+4*(OR(ISNUMBER(FIND("WORKORDER",BM22)),AND(LEFT(BM22,2)="WO",OR(ISNUMBER(FIND("NUM",BM22)),RIGHT(BM22,2)="NO"))))+8*(LEFT(BM22,3)="SEQ")+16*(AND(LEFT(BM22,4)="ITEM",NOT(ISNUMBER(FIND("DESC",BM22)))))+32*(AND(ISNUMBER(FIND("DESC",BM22)),NOT(ISNUMBER(FIND("CAP",BM22)))))+64*(OR(RIGHT(BM22,5)="COUNT",RIGHT(BM22,2)="CT"))+128*(ISNUMBER(FIND("BULK",BM22)))+256*(ISNUMBER(FIND("SIZE",BM22)))+512*(LEFT(BM22,3)="CAP")+1024*(ISNUMBER(FIND("ALLERG",BM22)))+2048*(OR(ISNUMBER(FIND("REMARK",BM22)),ISNUMBER(FIND("COMMENT",BM22))))+4096*(OR(ISNUMBER(FIND("QTY",BM22)),ISNUMBER(FIND("QUANTITY",BM22))))+8192*(AND(OR(ISNUMBER(FIND("COMPLETE",BM22)),ISNUMBER(FIND("PCT",BM22)),ISNUMBER(FIND("PERCENT",BM22))),NOT(ISNUMBER(FIND("ACTUAL",BM22))),LEN(BM22)&lt;=16))+32768*(OR(ISNUMBER(FIND("DESIC",BM22)),ISNUMBER(FIND("DESSIC",BM22)))))</f>
        <v/>
      </c>
      <c r="BN157">
        <f>IF(BN22="",0,2*(OR(ISNUMBER(FIND("WORKCENTER",BN22)),AND(LEFT(BN22,4)="LINE",NOT(ISNUMBER(FIND("STATUS",BN22))))))+4*(OR(ISNUMBER(FIND("WORKORDER",BN22)),AND(LEFT(BN22,2)="WO",OR(ISNUMBER(FIND("NUM",BN22)),RIGHT(BN22,2)="NO"))))+8*(LEFT(BN22,3)="SEQ")+16*(AND(LEFT(BN22,4)="ITEM",NOT(ISNUMBER(FIND("DESC",BN22)))))+32*(AND(ISNUMBER(FIND("DESC",BN22)),NOT(ISNUMBER(FIND("CAP",BN22)))))+64*(OR(RIGHT(BN22,5)="COUNT",RIGHT(BN22,2)="CT"))+128*(ISNUMBER(FIND("BULK",BN22)))+256*(ISNUMBER(FIND("SIZE",BN22)))+512*(LEFT(BN22,3)="CAP")+1024*(ISNUMBER(FIND("ALLERG",BN22)))+2048*(OR(ISNUMBER(FIND("REMARK",BN22)),ISNUMBER(FIND("COMMENT",BN22))))+4096*(OR(ISNUMBER(FIND("QTY",BN22)),ISNUMBER(FIND("QUANTITY",BN22))))+8192*(AND(OR(ISNUMBER(FIND("COMPLETE",BN22)),ISNUMBER(FIND("PCT",BN22)),ISNUMBER(FIND("PERCENT",BN22))),NOT(ISNUMBER(FIND("ACTUAL",BN22))),LEN(BN22)&lt;=16))+32768*(OR(ISNUMBER(FIND("DESIC",BN22)),ISNUMBER(FIND("DESSIC",BN22)))))</f>
        <v/>
      </c>
      <c r="BO157">
        <f>IF(BO22="",0,2*(OR(ISNUMBER(FIND("WORKCENTER",BO22)),AND(LEFT(BO22,4)="LINE",NOT(ISNUMBER(FIND("STATUS",BO22))))))+4*(OR(ISNUMBER(FIND("WORKORDER",BO22)),AND(LEFT(BO22,2)="WO",OR(ISNUMBER(FIND("NUM",BO22)),RIGHT(BO22,2)="NO"))))+8*(LEFT(BO22,3)="SEQ")+16*(AND(LEFT(BO22,4)="ITEM",NOT(ISNUMBER(FIND("DESC",BO22)))))+32*(AND(ISNUMBER(FIND("DESC",BO22)),NOT(ISNUMBER(FIND("CAP",BO22)))))+64*(OR(RIGHT(BO22,5)="COUNT",RIGHT(BO22,2)="CT"))+128*(ISNUMBER(FIND("BULK",BO22)))+256*(ISNUMBER(FIND("SIZE",BO22)))+512*(LEFT(BO22,3)="CAP")+1024*(ISNUMBER(FIND("ALLERG",BO22)))+2048*(OR(ISNUMBER(FIND("REMARK",BO22)),ISNUMBER(FIND("COMMENT",BO22))))+4096*(OR(ISNUMBER(FIND("QTY",BO22)),ISNUMBER(FIND("QUANTITY",BO22))))+8192*(AND(OR(ISNUMBER(FIND("COMPLETE",BO22)),ISNUMBER(FIND("PCT",BO22)),ISNUMBER(FIND("PERCENT",BO22))),NOT(ISNUMBER(FIND("ACTUAL",BO22))),LEN(BO22)&lt;=16))+32768*(OR(ISNUMBER(FIND("DESIC",BO22)),ISNUMBER(FIND("DESSIC",BO22)))))</f>
        <v/>
      </c>
      <c r="BP157">
        <f>IF(BP22="",0,2*(OR(ISNUMBER(FIND("WORKCENTER",BP22)),AND(LEFT(BP22,4)="LINE",NOT(ISNUMBER(FIND("STATUS",BP22))))))+4*(OR(ISNUMBER(FIND("WORKORDER",BP22)),AND(LEFT(BP22,2)="WO",OR(ISNUMBER(FIND("NUM",BP22)),RIGHT(BP22,2)="NO"))))+8*(LEFT(BP22,3)="SEQ")+16*(AND(LEFT(BP22,4)="ITEM",NOT(ISNUMBER(FIND("DESC",BP22)))))+32*(AND(ISNUMBER(FIND("DESC",BP22)),NOT(ISNUMBER(FIND("CAP",BP22)))))+64*(OR(RIGHT(BP22,5)="COUNT",RIGHT(BP22,2)="CT"))+128*(ISNUMBER(FIND("BULK",BP22)))+256*(ISNUMBER(FIND("SIZE",BP22)))+512*(LEFT(BP22,3)="CAP")+1024*(ISNUMBER(FIND("ALLERG",BP22)))+2048*(OR(ISNUMBER(FIND("REMARK",BP22)),ISNUMBER(FIND("COMMENT",BP22))))+4096*(OR(ISNUMBER(FIND("QTY",BP22)),ISNUMBER(FIND("QUANTITY",BP22))))+8192*(AND(OR(ISNUMBER(FIND("COMPLETE",BP22)),ISNUMBER(FIND("PCT",BP22)),ISNUMBER(FIND("PERCENT",BP22))),NOT(ISNUMBER(FIND("ACTUAL",BP22))),LEN(BP22)&lt;=16))+32768*(OR(ISNUMBER(FIND("DESIC",BP22)),ISNUMBER(FIND("DESSIC",BP22)))))</f>
        <v/>
      </c>
      <c r="BQ157">
        <f>IF(BQ22="",0,2*(OR(ISNUMBER(FIND("WORKCENTER",BQ22)),AND(LEFT(BQ22,4)="LINE",NOT(ISNUMBER(FIND("STATUS",BQ22))))))+4*(OR(ISNUMBER(FIND("WORKORDER",BQ22)),AND(LEFT(BQ22,2)="WO",OR(ISNUMBER(FIND("NUM",BQ22)),RIGHT(BQ22,2)="NO"))))+8*(LEFT(BQ22,3)="SEQ")+16*(AND(LEFT(BQ22,4)="ITEM",NOT(ISNUMBER(FIND("DESC",BQ22)))))+32*(AND(ISNUMBER(FIND("DESC",BQ22)),NOT(ISNUMBER(FIND("CAP",BQ22)))))+64*(OR(RIGHT(BQ22,5)="COUNT",RIGHT(BQ22,2)="CT"))+128*(ISNUMBER(FIND("BULK",BQ22)))+256*(ISNUMBER(FIND("SIZE",BQ22)))+512*(LEFT(BQ22,3)="CAP")+1024*(ISNUMBER(FIND("ALLERG",BQ22)))+2048*(OR(ISNUMBER(FIND("REMARK",BQ22)),ISNUMBER(FIND("COMMENT",BQ22))))+4096*(OR(ISNUMBER(FIND("QTY",BQ22)),ISNUMBER(FIND("QUANTITY",BQ22))))+8192*(AND(OR(ISNUMBER(FIND("COMPLETE",BQ22)),ISNUMBER(FIND("PCT",BQ22)),ISNUMBER(FIND("PERCENT",BQ22))),NOT(ISNUMBER(FIND("ACTUAL",BQ22))),LEN(BQ22)&lt;=16))+32768*(OR(ISNUMBER(FIND("DESIC",BQ22)),ISNUMBER(FIND("DESSIC",BQ22)))))</f>
        <v/>
      </c>
      <c r="BR157">
        <f>IF(BR22="",0,2*(OR(ISNUMBER(FIND("WORKCENTER",BR22)),AND(LEFT(BR22,4)="LINE",NOT(ISNUMBER(FIND("STATUS",BR22))))))+4*(OR(ISNUMBER(FIND("WORKORDER",BR22)),AND(LEFT(BR22,2)="WO",OR(ISNUMBER(FIND("NUM",BR22)),RIGHT(BR22,2)="NO"))))+8*(LEFT(BR22,3)="SEQ")+16*(AND(LEFT(BR22,4)="ITEM",NOT(ISNUMBER(FIND("DESC",BR22)))))+32*(AND(ISNUMBER(FIND("DESC",BR22)),NOT(ISNUMBER(FIND("CAP",BR22)))))+64*(OR(RIGHT(BR22,5)="COUNT",RIGHT(BR22,2)="CT"))+128*(ISNUMBER(FIND("BULK",BR22)))+256*(ISNUMBER(FIND("SIZE",BR22)))+512*(LEFT(BR22,3)="CAP")+1024*(ISNUMBER(FIND("ALLERG",BR22)))+2048*(OR(ISNUMBER(FIND("REMARK",BR22)),ISNUMBER(FIND("COMMENT",BR22))))+4096*(OR(ISNUMBER(FIND("QTY",BR22)),ISNUMBER(FIND("QUANTITY",BR22))))+8192*(AND(OR(ISNUMBER(FIND("COMPLETE",BR22)),ISNUMBER(FIND("PCT",BR22)),ISNUMBER(FIND("PERCENT",BR22))),NOT(ISNUMBER(FIND("ACTUAL",BR22))),LEN(BR22)&lt;=16))+32768*(OR(ISNUMBER(FIND("DESIC",BR22)),ISNUMBER(FIND("DESSIC",BR22)))))</f>
        <v/>
      </c>
      <c r="BS157">
        <f>IF(BS22="",0,2*(OR(ISNUMBER(FIND("WORKCENTER",BS22)),AND(LEFT(BS22,4)="LINE",NOT(ISNUMBER(FIND("STATUS",BS22))))))+4*(OR(ISNUMBER(FIND("WORKORDER",BS22)),AND(LEFT(BS22,2)="WO",OR(ISNUMBER(FIND("NUM",BS22)),RIGHT(BS22,2)="NO"))))+8*(LEFT(BS22,3)="SEQ")+16*(AND(LEFT(BS22,4)="ITEM",NOT(ISNUMBER(FIND("DESC",BS22)))))+32*(AND(ISNUMBER(FIND("DESC",BS22)),NOT(ISNUMBER(FIND("CAP",BS22)))))+64*(OR(RIGHT(BS22,5)="COUNT",RIGHT(BS22,2)="CT"))+128*(ISNUMBER(FIND("BULK",BS22)))+256*(ISNUMBER(FIND("SIZE",BS22)))+512*(LEFT(BS22,3)="CAP")+1024*(ISNUMBER(FIND("ALLERG",BS22)))+2048*(OR(ISNUMBER(FIND("REMARK",BS22)),ISNUMBER(FIND("COMMENT",BS22))))+4096*(OR(ISNUMBER(FIND("QTY",BS22)),ISNUMBER(FIND("QUANTITY",BS22))))+8192*(AND(OR(ISNUMBER(FIND("COMPLETE",BS22)),ISNUMBER(FIND("PCT",BS22)),ISNUMBER(FIND("PERCENT",BS22))),NOT(ISNUMBER(FIND("ACTUAL",BS22))),LEN(BS22)&lt;=16))+32768*(OR(ISNUMBER(FIND("DESIC",BS22)),ISNUMBER(FIND("DESSIC",BS22)))))</f>
        <v/>
      </c>
      <c r="BT157">
        <f>IF(BT22="",0,2*(OR(ISNUMBER(FIND("WORKCENTER",BT22)),AND(LEFT(BT22,4)="LINE",NOT(ISNUMBER(FIND("STATUS",BT22))))))+4*(OR(ISNUMBER(FIND("WORKORDER",BT22)),AND(LEFT(BT22,2)="WO",OR(ISNUMBER(FIND("NUM",BT22)),RIGHT(BT22,2)="NO"))))+8*(LEFT(BT22,3)="SEQ")+16*(AND(LEFT(BT22,4)="ITEM",NOT(ISNUMBER(FIND("DESC",BT22)))))+32*(AND(ISNUMBER(FIND("DESC",BT22)),NOT(ISNUMBER(FIND("CAP",BT22)))))+64*(OR(RIGHT(BT22,5)="COUNT",RIGHT(BT22,2)="CT"))+128*(ISNUMBER(FIND("BULK",BT22)))+256*(ISNUMBER(FIND("SIZE",BT22)))+512*(LEFT(BT22,3)="CAP")+1024*(ISNUMBER(FIND("ALLERG",BT22)))+2048*(OR(ISNUMBER(FIND("REMARK",BT22)),ISNUMBER(FIND("COMMENT",BT22))))+4096*(OR(ISNUMBER(FIND("QTY",BT22)),ISNUMBER(FIND("QUANTITY",BT22))))+8192*(AND(OR(ISNUMBER(FIND("COMPLETE",BT22)),ISNUMBER(FIND("PCT",BT22)),ISNUMBER(FIND("PERCENT",BT22))),NOT(ISNUMBER(FIND("ACTUAL",BT22))),LEN(BT22)&lt;=16))+32768*(OR(ISNUMBER(FIND("DESIC",BT22)),ISNUMBER(FIND("DESSIC",BT22)))))</f>
        <v/>
      </c>
      <c r="BU157">
        <f>IF(BU22="",0,2*(OR(ISNUMBER(FIND("WORKCENTER",BU22)),AND(LEFT(BU22,4)="LINE",NOT(ISNUMBER(FIND("STATUS",BU22))))))+4*(OR(ISNUMBER(FIND("WORKORDER",BU22)),AND(LEFT(BU22,2)="WO",OR(ISNUMBER(FIND("NUM",BU22)),RIGHT(BU22,2)="NO"))))+8*(LEFT(BU22,3)="SEQ")+16*(AND(LEFT(BU22,4)="ITEM",NOT(ISNUMBER(FIND("DESC",BU22)))))+32*(AND(ISNUMBER(FIND("DESC",BU22)),NOT(ISNUMBER(FIND("CAP",BU22)))))+64*(OR(RIGHT(BU22,5)="COUNT",RIGHT(BU22,2)="CT"))+128*(ISNUMBER(FIND("BULK",BU22)))+256*(ISNUMBER(FIND("SIZE",BU22)))+512*(LEFT(BU22,3)="CAP")+1024*(ISNUMBER(FIND("ALLERG",BU22)))+2048*(OR(ISNUMBER(FIND("REMARK",BU22)),ISNUMBER(FIND("COMMENT",BU22))))+4096*(OR(ISNUMBER(FIND("QTY",BU22)),ISNUMBER(FIND("QUANTITY",BU22))))+8192*(AND(OR(ISNUMBER(FIND("COMPLETE",BU22)),ISNUMBER(FIND("PCT",BU22)),ISNUMBER(FIND("PERCENT",BU22))),NOT(ISNUMBER(FIND("ACTUAL",BU22))),LEN(BU22)&lt;=16))+32768*(OR(ISNUMBER(FIND("DESIC",BU22)),ISNUMBER(FIND("DESSIC",BU22)))))</f>
        <v/>
      </c>
      <c r="BV157">
        <f>IF(BV22="",0,2*(OR(ISNUMBER(FIND("WORKCENTER",BV22)),AND(LEFT(BV22,4)="LINE",NOT(ISNUMBER(FIND("STATUS",BV22))))))+4*(OR(ISNUMBER(FIND("WORKORDER",BV22)),AND(LEFT(BV22,2)="WO",OR(ISNUMBER(FIND("NUM",BV22)),RIGHT(BV22,2)="NO"))))+8*(LEFT(BV22,3)="SEQ")+16*(AND(LEFT(BV22,4)="ITEM",NOT(ISNUMBER(FIND("DESC",BV22)))))+32*(AND(ISNUMBER(FIND("DESC",BV22)),NOT(ISNUMBER(FIND("CAP",BV22)))))+64*(OR(RIGHT(BV22,5)="COUNT",RIGHT(BV22,2)="CT"))+128*(ISNUMBER(FIND("BULK",BV22)))+256*(ISNUMBER(FIND("SIZE",BV22)))+512*(LEFT(BV22,3)="CAP")+1024*(ISNUMBER(FIND("ALLERG",BV22)))+2048*(OR(ISNUMBER(FIND("REMARK",BV22)),ISNUMBER(FIND("COMMENT",BV22))))+4096*(OR(ISNUMBER(FIND("QTY",BV22)),ISNUMBER(FIND("QUANTITY",BV22))))+8192*(AND(OR(ISNUMBER(FIND("COMPLETE",BV22)),ISNUMBER(FIND("PCT",BV22)),ISNUMBER(FIND("PERCENT",BV22))),NOT(ISNUMBER(FIND("ACTUAL",BV22))),LEN(BV22)&lt;=16))+32768*(OR(ISNUMBER(FIND("DESIC",BV22)),ISNUMBER(FIND("DESSIC",BV22)))))</f>
        <v/>
      </c>
      <c r="BW157">
        <f>IF(BW22="",0,2*(OR(ISNUMBER(FIND("WORKCENTER",BW22)),AND(LEFT(BW22,4)="LINE",NOT(ISNUMBER(FIND("STATUS",BW22))))))+4*(OR(ISNUMBER(FIND("WORKORDER",BW22)),AND(LEFT(BW22,2)="WO",OR(ISNUMBER(FIND("NUM",BW22)),RIGHT(BW22,2)="NO"))))+8*(LEFT(BW22,3)="SEQ")+16*(AND(LEFT(BW22,4)="ITEM",NOT(ISNUMBER(FIND("DESC",BW22)))))+32*(AND(ISNUMBER(FIND("DESC",BW22)),NOT(ISNUMBER(FIND("CAP",BW22)))))+64*(OR(RIGHT(BW22,5)="COUNT",RIGHT(BW22,2)="CT"))+128*(ISNUMBER(FIND("BULK",BW22)))+256*(ISNUMBER(FIND("SIZE",BW22)))+512*(LEFT(BW22,3)="CAP")+1024*(ISNUMBER(FIND("ALLERG",BW22)))+2048*(OR(ISNUMBER(FIND("REMARK",BW22)),ISNUMBER(FIND("COMMENT",BW22))))+4096*(OR(ISNUMBER(FIND("QTY",BW22)),ISNUMBER(FIND("QUANTITY",BW22))))+8192*(AND(OR(ISNUMBER(FIND("COMPLETE",BW22)),ISNUMBER(FIND("PCT",BW22)),ISNUMBER(FIND("PERCENT",BW22))),NOT(ISNUMBER(FIND("ACTUAL",BW22))),LEN(BW22)&lt;=16))+32768*(OR(ISNUMBER(FIND("DESIC",BW22)),ISNUMBER(FIND("DESSIC",BW22)))))</f>
        <v/>
      </c>
      <c r="BX157">
        <f>IF(BX22="",0,2*(OR(ISNUMBER(FIND("WORKCENTER",BX22)),AND(LEFT(BX22,4)="LINE",NOT(ISNUMBER(FIND("STATUS",BX22))))))+4*(OR(ISNUMBER(FIND("WORKORDER",BX22)),AND(LEFT(BX22,2)="WO",OR(ISNUMBER(FIND("NUM",BX22)),RIGHT(BX22,2)="NO"))))+8*(LEFT(BX22,3)="SEQ")+16*(AND(LEFT(BX22,4)="ITEM",NOT(ISNUMBER(FIND("DESC",BX22)))))+32*(AND(ISNUMBER(FIND("DESC",BX22)),NOT(ISNUMBER(FIND("CAP",BX22)))))+64*(OR(RIGHT(BX22,5)="COUNT",RIGHT(BX22,2)="CT"))+128*(ISNUMBER(FIND("BULK",BX22)))+256*(ISNUMBER(FIND("SIZE",BX22)))+512*(LEFT(BX22,3)="CAP")+1024*(ISNUMBER(FIND("ALLERG",BX22)))+2048*(OR(ISNUMBER(FIND("REMARK",BX22)),ISNUMBER(FIND("COMMENT",BX22))))+4096*(OR(ISNUMBER(FIND("QTY",BX22)),ISNUMBER(FIND("QUANTITY",BX22))))+8192*(AND(OR(ISNUMBER(FIND("COMPLETE",BX22)),ISNUMBER(FIND("PCT",BX22)),ISNUMBER(FIND("PERCENT",BX22))),NOT(ISNUMBER(FIND("ACTUAL",BX22))),LEN(BX22)&lt;=16))+32768*(OR(ISNUMBER(FIND("DESIC",BX22)),ISNUMBER(FIND("DESSIC",BX22)))))</f>
        <v/>
      </c>
      <c r="BY157">
        <f>IF(BY22="",0,2*(OR(ISNUMBER(FIND("WORKCENTER",BY22)),AND(LEFT(BY22,4)="LINE",NOT(ISNUMBER(FIND("STATUS",BY22))))))+4*(OR(ISNUMBER(FIND("WORKORDER",BY22)),AND(LEFT(BY22,2)="WO",OR(ISNUMBER(FIND("NUM",BY22)),RIGHT(BY22,2)="NO"))))+8*(LEFT(BY22,3)="SEQ")+16*(AND(LEFT(BY22,4)="ITEM",NOT(ISNUMBER(FIND("DESC",BY22)))))+32*(AND(ISNUMBER(FIND("DESC",BY22)),NOT(ISNUMBER(FIND("CAP",BY22)))))+64*(OR(RIGHT(BY22,5)="COUNT",RIGHT(BY22,2)="CT"))+128*(ISNUMBER(FIND("BULK",BY22)))+256*(ISNUMBER(FIND("SIZE",BY22)))+512*(LEFT(BY22,3)="CAP")+1024*(ISNUMBER(FIND("ALLERG",BY22)))+2048*(OR(ISNUMBER(FIND("REMARK",BY22)),ISNUMBER(FIND("COMMENT",BY22))))+4096*(OR(ISNUMBER(FIND("QTY",BY22)),ISNUMBER(FIND("QUANTITY",BY22))))+8192*(AND(OR(ISNUMBER(FIND("COMPLETE",BY22)),ISNUMBER(FIND("PCT",BY22)),ISNUMBER(FIND("PERCENT",BY22))),NOT(ISNUMBER(FIND("ACTUAL",BY22))),LEN(BY22)&lt;=16))+32768*(OR(ISNUMBER(FIND("DESIC",BY22)),ISNUMBER(FIND("DESSIC",BY22)))))</f>
        <v/>
      </c>
      <c r="BZ157">
        <f>IF(BZ22="",0,2*(OR(ISNUMBER(FIND("WORKCENTER",BZ22)),AND(LEFT(BZ22,4)="LINE",NOT(ISNUMBER(FIND("STATUS",BZ22))))))+4*(OR(ISNUMBER(FIND("WORKORDER",BZ22)),AND(LEFT(BZ22,2)="WO",OR(ISNUMBER(FIND("NUM",BZ22)),RIGHT(BZ22,2)="NO"))))+8*(LEFT(BZ22,3)="SEQ")+16*(AND(LEFT(BZ22,4)="ITEM",NOT(ISNUMBER(FIND("DESC",BZ22)))))+32*(AND(ISNUMBER(FIND("DESC",BZ22)),NOT(ISNUMBER(FIND("CAP",BZ22)))))+64*(OR(RIGHT(BZ22,5)="COUNT",RIGHT(BZ22,2)="CT"))+128*(ISNUMBER(FIND("BULK",BZ22)))+256*(ISNUMBER(FIND("SIZE",BZ22)))+512*(LEFT(BZ22,3)="CAP")+1024*(ISNUMBER(FIND("ALLERG",BZ22)))+2048*(OR(ISNUMBER(FIND("REMARK",BZ22)),ISNUMBER(FIND("COMMENT",BZ22))))+4096*(OR(ISNUMBER(FIND("QTY",BZ22)),ISNUMBER(FIND("QUANTITY",BZ22))))+8192*(AND(OR(ISNUMBER(FIND("COMPLETE",BZ22)),ISNUMBER(FIND("PCT",BZ22)),ISNUMBER(FIND("PERCENT",BZ22))),NOT(ISNUMBER(FIND("ACTUAL",BZ22))),LEN(BZ22)&lt;=16))+32768*(OR(ISNUMBER(FIND("DESIC",BZ22)),ISNUMBER(FIND("DESSIC",BZ22)))))</f>
        <v/>
      </c>
      <c r="CA157">
        <f>IF(CA22="",0,2*(OR(ISNUMBER(FIND("WORKCENTER",CA22)),AND(LEFT(CA22,4)="LINE",NOT(ISNUMBER(FIND("STATUS",CA22))))))+4*(OR(ISNUMBER(FIND("WORKORDER",CA22)),AND(LEFT(CA22,2)="WO",OR(ISNUMBER(FIND("NUM",CA22)),RIGHT(CA22,2)="NO"))))+8*(LEFT(CA22,3)="SEQ")+16*(AND(LEFT(CA22,4)="ITEM",NOT(ISNUMBER(FIND("DESC",CA22)))))+32*(AND(ISNUMBER(FIND("DESC",CA22)),NOT(ISNUMBER(FIND("CAP",CA22)))))+64*(OR(RIGHT(CA22,5)="COUNT",RIGHT(CA22,2)="CT"))+128*(ISNUMBER(FIND("BULK",CA22)))+256*(ISNUMBER(FIND("SIZE",CA22)))+512*(LEFT(CA22,3)="CAP")+1024*(ISNUMBER(FIND("ALLERG",CA22)))+2048*(OR(ISNUMBER(FIND("REMARK",CA22)),ISNUMBER(FIND("COMMENT",CA22))))+4096*(OR(ISNUMBER(FIND("QTY",CA22)),ISNUMBER(FIND("QUANTITY",CA22))))+8192*(AND(OR(ISNUMBER(FIND("COMPLETE",CA22)),ISNUMBER(FIND("PCT",CA22)),ISNUMBER(FIND("PERCENT",CA22))),NOT(ISNUMBER(FIND("ACTUAL",CA22))),LEN(CA22)&lt;=16))+32768*(OR(ISNUMBER(FIND("DESIC",CA22)),ISNUMBER(FIND("DESSIC",CA22)))))</f>
        <v/>
      </c>
      <c r="CB157">
        <f>IF(CB22="",0,2*(OR(ISNUMBER(FIND("WORKCENTER",CB22)),AND(LEFT(CB22,4)="LINE",NOT(ISNUMBER(FIND("STATUS",CB22))))))+4*(OR(ISNUMBER(FIND("WORKORDER",CB22)),AND(LEFT(CB22,2)="WO",OR(ISNUMBER(FIND("NUM",CB22)),RIGHT(CB22,2)="NO"))))+8*(LEFT(CB22,3)="SEQ")+16*(AND(LEFT(CB22,4)="ITEM",NOT(ISNUMBER(FIND("DESC",CB22)))))+32*(AND(ISNUMBER(FIND("DESC",CB22)),NOT(ISNUMBER(FIND("CAP",CB22)))))+64*(OR(RIGHT(CB22,5)="COUNT",RIGHT(CB22,2)="CT"))+128*(ISNUMBER(FIND("BULK",CB22)))+256*(ISNUMBER(FIND("SIZE",CB22)))+512*(LEFT(CB22,3)="CAP")+1024*(ISNUMBER(FIND("ALLERG",CB22)))+2048*(OR(ISNUMBER(FIND("REMARK",CB22)),ISNUMBER(FIND("COMMENT",CB22))))+4096*(OR(ISNUMBER(FIND("QTY",CB22)),ISNUMBER(FIND("QUANTITY",CB22))))+8192*(AND(OR(ISNUMBER(FIND("COMPLETE",CB22)),ISNUMBER(FIND("PCT",CB22)),ISNUMBER(FIND("PERCENT",CB22))),NOT(ISNUMBER(FIND("ACTUAL",CB22))),LEN(CB22)&lt;=16))+32768*(OR(ISNUMBER(FIND("DESIC",CB22)),ISNUMBER(FIND("DESSIC",CB22)))))</f>
        <v/>
      </c>
      <c r="CC157">
        <f>IF(CC22="",0,2*(OR(ISNUMBER(FIND("WORKCENTER",CC22)),AND(LEFT(CC22,4)="LINE",NOT(ISNUMBER(FIND("STATUS",CC22))))))+4*(OR(ISNUMBER(FIND("WORKORDER",CC22)),AND(LEFT(CC22,2)="WO",OR(ISNUMBER(FIND("NUM",CC22)),RIGHT(CC22,2)="NO"))))+8*(LEFT(CC22,3)="SEQ")+16*(AND(LEFT(CC22,4)="ITEM",NOT(ISNUMBER(FIND("DESC",CC22)))))+32*(AND(ISNUMBER(FIND("DESC",CC22)),NOT(ISNUMBER(FIND("CAP",CC22)))))+64*(OR(RIGHT(CC22,5)="COUNT",RIGHT(CC22,2)="CT"))+128*(ISNUMBER(FIND("BULK",CC22)))+256*(ISNUMBER(FIND("SIZE",CC22)))+512*(LEFT(CC22,3)="CAP")+1024*(ISNUMBER(FIND("ALLERG",CC22)))+2048*(OR(ISNUMBER(FIND("REMARK",CC22)),ISNUMBER(FIND("COMMENT",CC22))))+4096*(OR(ISNUMBER(FIND("QTY",CC22)),ISNUMBER(FIND("QUANTITY",CC22))))+8192*(AND(OR(ISNUMBER(FIND("COMPLETE",CC22)),ISNUMBER(FIND("PCT",CC22)),ISNUMBER(FIND("PERCENT",CC22))),NOT(ISNUMBER(FIND("ACTUAL",CC22))),LEN(CC22)&lt;=16))+32768*(OR(ISNUMBER(FIND("DESIC",CC22)),ISNUMBER(FIND("DESSIC",CC22)))))</f>
        <v/>
      </c>
      <c r="CD157">
        <f>IF(CD22="",0,2*(OR(ISNUMBER(FIND("WORKCENTER",CD22)),AND(LEFT(CD22,4)="LINE",NOT(ISNUMBER(FIND("STATUS",CD22))))))+4*(OR(ISNUMBER(FIND("WORKORDER",CD22)),AND(LEFT(CD22,2)="WO",OR(ISNUMBER(FIND("NUM",CD22)),RIGHT(CD22,2)="NO"))))+8*(LEFT(CD22,3)="SEQ")+16*(AND(LEFT(CD22,4)="ITEM",NOT(ISNUMBER(FIND("DESC",CD22)))))+32*(AND(ISNUMBER(FIND("DESC",CD22)),NOT(ISNUMBER(FIND("CAP",CD22)))))+64*(OR(RIGHT(CD22,5)="COUNT",RIGHT(CD22,2)="CT"))+128*(ISNUMBER(FIND("BULK",CD22)))+256*(ISNUMBER(FIND("SIZE",CD22)))+512*(LEFT(CD22,3)="CAP")+1024*(ISNUMBER(FIND("ALLERG",CD22)))+2048*(OR(ISNUMBER(FIND("REMARK",CD22)),ISNUMBER(FIND("COMMENT",CD22))))+4096*(OR(ISNUMBER(FIND("QTY",CD22)),ISNUMBER(FIND("QUANTITY",CD22))))+8192*(AND(OR(ISNUMBER(FIND("COMPLETE",CD22)),ISNUMBER(FIND("PCT",CD22)),ISNUMBER(FIND("PERCENT",CD22))),NOT(ISNUMBER(FIND("ACTUAL",CD22))),LEN(CD22)&lt;=16))+32768*(OR(ISNUMBER(FIND("DESIC",CD22)),ISNUMBER(FIND("DESSIC",CD22)))))</f>
        <v/>
      </c>
      <c r="CE157">
        <f>IF(CE22="",0,2*(OR(ISNUMBER(FIND("WORKCENTER",CE22)),AND(LEFT(CE22,4)="LINE",NOT(ISNUMBER(FIND("STATUS",CE22))))))+4*(OR(ISNUMBER(FIND("WORKORDER",CE22)),AND(LEFT(CE22,2)="WO",OR(ISNUMBER(FIND("NUM",CE22)),RIGHT(CE22,2)="NO"))))+8*(LEFT(CE22,3)="SEQ")+16*(AND(LEFT(CE22,4)="ITEM",NOT(ISNUMBER(FIND("DESC",CE22)))))+32*(AND(ISNUMBER(FIND("DESC",CE22)),NOT(ISNUMBER(FIND("CAP",CE22)))))+64*(OR(RIGHT(CE22,5)="COUNT",RIGHT(CE22,2)="CT"))+128*(ISNUMBER(FIND("BULK",CE22)))+256*(ISNUMBER(FIND("SIZE",CE22)))+512*(LEFT(CE22,3)="CAP")+1024*(ISNUMBER(FIND("ALLERG",CE22)))+2048*(OR(ISNUMBER(FIND("REMARK",CE22)),ISNUMBER(FIND("COMMENT",CE22))))+4096*(OR(ISNUMBER(FIND("QTY",CE22)),ISNUMBER(FIND("QUANTITY",CE22))))+8192*(AND(OR(ISNUMBER(FIND("COMPLETE",CE22)),ISNUMBER(FIND("PCT",CE22)),ISNUMBER(FIND("PERCENT",CE22))),NOT(ISNUMBER(FIND("ACTUAL",CE22))),LEN(CE22)&lt;=16))+32768*(OR(ISNUMBER(FIND("DESIC",CE22)),ISNUMBER(FIND("DESSIC",CE22)))))</f>
        <v/>
      </c>
      <c r="CF157">
        <f>IF(CF22="",0,2*(OR(ISNUMBER(FIND("WORKCENTER",CF22)),AND(LEFT(CF22,4)="LINE",NOT(ISNUMBER(FIND("STATUS",CF22))))))+4*(OR(ISNUMBER(FIND("WORKORDER",CF22)),AND(LEFT(CF22,2)="WO",OR(ISNUMBER(FIND("NUM",CF22)),RIGHT(CF22,2)="NO"))))+8*(LEFT(CF22,3)="SEQ")+16*(AND(LEFT(CF22,4)="ITEM",NOT(ISNUMBER(FIND("DESC",CF22)))))+32*(AND(ISNUMBER(FIND("DESC",CF22)),NOT(ISNUMBER(FIND("CAP",CF22)))))+64*(OR(RIGHT(CF22,5)="COUNT",RIGHT(CF22,2)="CT"))+128*(ISNUMBER(FIND("BULK",CF22)))+256*(ISNUMBER(FIND("SIZE",CF22)))+512*(LEFT(CF22,3)="CAP")+1024*(ISNUMBER(FIND("ALLERG",CF22)))+2048*(OR(ISNUMBER(FIND("REMARK",CF22)),ISNUMBER(FIND("COMMENT",CF22))))+4096*(OR(ISNUMBER(FIND("QTY",CF22)),ISNUMBER(FIND("QUANTITY",CF22))))+8192*(AND(OR(ISNUMBER(FIND("COMPLETE",CF22)),ISNUMBER(FIND("PCT",CF22)),ISNUMBER(FIND("PERCENT",CF22))),NOT(ISNUMBER(FIND("ACTUAL",CF22))),LEN(CF22)&lt;=16))+32768*(OR(ISNUMBER(FIND("DESIC",CF22)),ISNUMBER(FIND("DESSIC",CF22)))))</f>
        <v/>
      </c>
      <c r="DA157" t="n">
        <v>153</v>
      </c>
      <c r="DB157">
        <f>IF($B$37=0,"",IFERROR(TRIM(SUBSTITUTE(SUBSTITUTE(SUBSTITUTE(SUBSTITUTE(INDEX(PASTE_ALL,153,$B$37)," "," "),CHAR(9)," "),CHAR(10)," "),CHAR(13)," ")),""))</f>
        <v/>
      </c>
      <c r="DC157">
        <f>IF(AND(153&gt;HEADER_ROW,UPPER(DB157)="LEGEND"),1,0)</f>
        <v/>
      </c>
      <c r="DE157" t="n">
        <v>153</v>
      </c>
      <c r="DF157">
        <f>HEADER_ROW+$DE157</f>
        <v/>
      </c>
      <c r="DG157">
        <f>IF(AND($DF157&lt;=1000,$DF157&lt;$B$8),1,0)</f>
        <v/>
      </c>
      <c r="DH157">
        <f>IF($DG157=1,IFERROR(INDEX($DB$5:$DB$1004,$DF157),""),"")</f>
        <v/>
      </c>
      <c r="DI157">
        <f>IF(AND($DG157=1,$DH157&lt;&gt;""),IFERROR(SUBSTITUTE(SUBSTITUTE(TRIM(SUBSTITUTE(SUBSTITUTE(SUBSTITUTE(SUBSTITUTE(IFERROR(INDEX(PASTE_ALL,$DF157,1)&amp;"","")&amp;"␟"&amp;IFERROR(INDEX(PASTE_ALL,$DF157,2)&amp;"","")&amp;"␟"&amp;IFERROR(INDEX(PASTE_ALL,$DF157,3)&amp;"","")&amp;"␟"&amp;IFERROR(INDEX(PASTE_ALL,$DF157,4)&amp;"","")&amp;"␟"&amp;IFERROR(INDEX(PASTE_ALL,$DF157,5)&amp;"","")&amp;"␟"&amp;IFERROR(INDEX(PASTE_ALL,$DF157,6)&amp;"","")&amp;"␟"&amp;IFERROR(INDEX(PASTE_ALL,$DF157,7)&amp;"","")&amp;"␟"&amp;IFERROR(INDEX(PASTE_ALL,$DF157,8)&amp;"","")&amp;"␟"&amp;IFERROR(INDEX(PASTE_ALL,$DF157,9)&amp;"","")&amp;"␟"&amp;IFERROR(INDEX(PASTE_ALL,$DF157,10)&amp;"","")&amp;"␟"&amp;IFERROR(INDEX(PASTE_ALL,$DF157,11)&amp;"","")&amp;"␟"&amp;IFERROR(INDEX(PASTE_ALL,$DF157,12)&amp;"","")&amp;"␟"&amp;IFERROR(INDEX(PASTE_ALL,$DF157,13)&amp;"","")&amp;"␟"&amp;IFERROR(INDEX(PASTE_ALL,$DF157,14)&amp;"","")&amp;"␟"&amp;IFERROR(INDEX(PASTE_ALL,$DF157,15)&amp;"","")&amp;"␟"&amp;IFERROR(INDEX(PASTE_ALL,$DF157,16)&amp;"","")&amp;"␟"&amp;IFERROR(INDEX(PASTE_ALL,$DF157,17)&amp;"","")&amp;"␟"&amp;IFERROR(INDEX(PASTE_ALL,$DF157,18)&amp;"","")&amp;"␟"&amp;IFERROR(INDEX(PASTE_ALL,$DF157,19)&amp;"","")&amp;"␟"&amp;IFERROR(INDEX(PASTE_ALL,$DF157,20)&amp;"","")&amp;"␟"&amp;IFERROR(INDEX(PASTE_ALL,$DF157,21)&amp;"","")&amp;"␟"&amp;IFERROR(INDEX(PASTE_ALL,$DF157,22)&amp;"","")&amp;"␟"&amp;IFERROR(INDEX(PASTE_ALL,$DF157,23)&amp;"","")&amp;"␟"&amp;IFERROR(INDEX(PASTE_ALL,$DF157,24)&amp;"","")&amp;"␟"&amp;IFERROR(INDEX(PASTE_ALL,$DF157,25)&amp;"","")&amp;"␟"&amp;IFERROR(INDEX(PASTE_ALL,$DF157,26)&amp;"","")&amp;"␟"&amp;IFERROR(INDEX(PASTE_ALL,$DF157,27)&amp;"","")&amp;"␟"&amp;IFERROR(INDEX(PASTE_ALL,$DF157,28)&amp;"","")&amp;"␟"&amp;IFERROR(INDEX(PASTE_ALL,$DF157,29)&amp;"","")&amp;"␟"&amp;IFERROR(INDEX(PASTE_ALL,$DF157,30)&amp;"","")&amp;"␟"&amp;IFERROR(INDEX(PASTE_ALL,$DF157,31)&amp;"","")&amp;"␟"&amp;IFERROR(INDEX(PASTE_ALL,$DF157,32)&amp;"","")&amp;"␟"&amp;IFERROR(INDEX(PASTE_ALL,$DF157,33)&amp;"","")&amp;"␟"&amp;IFERROR(INDEX(PASTE_ALL,$DF157,34)&amp;"","")&amp;"␟"&amp;IFERROR(INDEX(PASTE_ALL,$DF157,35)&amp;"","")&amp;"␟"&amp;IFERROR(INDEX(PASTE_ALL,$DF157,36)&amp;"","")&amp;"␟"&amp;IFERROR(INDEX(PASTE_ALL,$DF157,37)&amp;"","")&amp;"␟"&amp;IFERROR(INDEX(PASTE_ALL,$DF157,38)&amp;"","")&amp;"␟"&amp;IFERROR(INDEX(PASTE_ALL,$DF157,39)&amp;"","")&amp;"␟"&amp;IFERROR(INDEX(PASTE_ALL,$DF157,40)&amp;"","")&amp;"␟"&amp;IFERROR(INDEX(PASTE_ALL,$DF157,41)&amp;"","")&amp;"␟"&amp;IFERROR(INDEX(PASTE_ALL,$DF157,42)&amp;"","")&amp;"␟"&amp;IFERROR(INDEX(PASTE_ALL,$DF157,43)&amp;"","")&amp;"␟"&amp;IFERROR(INDEX(PASTE_ALL,$DF157,44)&amp;"","")&amp;"␟"&amp;IFERROR(INDEX(PASTE_ALL,$DF157,45)&amp;"","")&amp;"␟"&amp;IFERROR(INDEX(PASTE_ALL,$DF157,46)&amp;"","")&amp;"␟"&amp;IFERROR(INDEX(PASTE_ALL,$DF157,47)&amp;"","")&amp;"␟"&amp;IFERROR(INDEX(PASTE_ALL,$DF157,48)&amp;"","")&amp;"␟"&amp;IFERROR(INDEX(PASTE_ALL,$DF157,49)&amp;"","")&amp;"␟"&amp;IFERROR(INDEX(PASTE_ALL,$DF157,50)&amp;"","")&amp;"␟"&amp;IFERROR(INDEX(PASTE_ALL,$DF157,51)&amp;"","")&amp;"␟"&amp;IFERROR(INDEX(PASTE_ALL,$DF157,52)&amp;"","")&amp;"␟"&amp;IFERROR(INDEX(PASTE_ALL,$DF157,53)&amp;"","")&amp;"␟"&amp;IFERROR(INDEX(PASTE_ALL,$DF157,54)&amp;"","")&amp;"␟"&amp;IFERROR(INDEX(PASTE_ALL,$DF157,55)&amp;"","")&amp;"␟"&amp;IFERROR(INDEX(PASTE_ALL,$DF157,56)&amp;"","")&amp;"␟"&amp;IFERROR(INDEX(PASTE_ALL,$DF157,57)&amp;"","")&amp;"␟"&amp;IFERROR(INDEX(PASTE_ALL,$DF157,58)&amp;"","")&amp;"␟"&amp;IFERROR(INDEX(PASTE_ALL,$DF157,59)&amp;"","")&amp;"␟"&amp;IFERROR(INDEX(PASTE_ALL,$DF157,60)&amp;"","")," "," "),CHAR(9)," "),CHAR(10)," "),CHAR(13)," "))," ␟","␟"),"␟ ","␟"),"#"&amp;$DE157),"")</f>
        <v/>
      </c>
      <c r="DJ157">
        <f>IF($DI157="",0,IF(SUMPRODUCT(--EXACT($DI$4:DI156,$DI157))&gt;0,1,0))</f>
        <v/>
      </c>
      <c r="DK157">
        <f>IF(AND($DI157&lt;&gt;"",$DJ157=0),1,0)</f>
        <v/>
      </c>
      <c r="DL157">
        <f>DL156+$DK157</f>
        <v/>
      </c>
      <c r="DM157">
        <f>IF(AND($DK157=1,$DL157&lt;=600),1,0)</f>
        <v/>
      </c>
      <c r="DN157">
        <f>IF($DM157=0,"",IF($L$6=0,"",IFERROR(IF(ISNUMBER(INDEX(PASTE_ALL,$DF157,$L$6)),INDEX(PASTE_ALL,$DF157,$L$6),TRIM(SUBSTITUTE(SUBSTITUTE(SUBSTITUTE(SUBSTITUTE(INDEX(PASTE_ALL,$DF157,$L$6)," "," "),CHAR(9)," "),CHAR(10)," "),CHAR(13)," "))),"")))</f>
        <v/>
      </c>
      <c r="DO157">
        <f>IF($DM157=0,"",IF($L$7=0,"",IFERROR(IF(ISNUMBER(INDEX(PASTE_ALL,$DF157,$L$7)),INDEX(PASTE_ALL,$DF157,$L$7),TRIM(SUBSTITUTE(SUBSTITUTE(SUBSTITUTE(SUBSTITUTE(INDEX(PASTE_ALL,$DF157,$L$7)," "," "),CHAR(9)," "),CHAR(10)," "),CHAR(13)," "))),"")))</f>
        <v/>
      </c>
      <c r="DP157">
        <f>IF($DM157=0,"",IF($L$8=0,"",IFERROR(IF(ISNUMBER(INDEX(PASTE_ALL,$DF157,$L$8)),INDEX(PASTE_ALL,$DF157,$L$8),TRIM(SUBSTITUTE(SUBSTITUTE(SUBSTITUTE(SUBSTITUTE(INDEX(PASTE_ALL,$DF157,$L$8)," "," "),CHAR(9)," "),CHAR(10)," "),CHAR(13)," "))),"")))</f>
        <v/>
      </c>
      <c r="DQ157">
        <f>IF($DM157=0,"",IF($L$9=0,"",IFERROR(IF(ISNUMBER(INDEX(PASTE_ALL,$DF157,$L$9)),INDEX(PASTE_ALL,$DF157,$L$9),TRIM(SUBSTITUTE(SUBSTITUTE(SUBSTITUTE(SUBSTITUTE(INDEX(PASTE_ALL,$DF157,$L$9)," "," "),CHAR(9)," "),CHAR(10)," "),CHAR(13)," "))),"")))</f>
        <v/>
      </c>
      <c r="DR157">
        <f>IF($DM157=0,"",IF($L$10=0,"",IFERROR(IF(ISNUMBER(INDEX(PASTE_ALL,$DF157,$L$10)),INDEX(PASTE_ALL,$DF157,$L$10),TRIM(SUBSTITUTE(SUBSTITUTE(SUBSTITUTE(SUBSTITUTE(INDEX(PASTE_ALL,$DF157,$L$10)," "," "),CHAR(9)," "),CHAR(10)," "),CHAR(13)," "))),"")))</f>
        <v/>
      </c>
      <c r="DS157">
        <f>IF($DM157=0,"",IF($L$11=0,"",IFERROR(IF(ISNUMBER(INDEX(PASTE_ALL,$DF157,$L$11)),INDEX(PASTE_ALL,$DF157,$L$11),TRIM(SUBSTITUTE(SUBSTITUTE(SUBSTITUTE(SUBSTITUTE(INDEX(PASTE_ALL,$DF157,$L$11)," "," "),CHAR(9)," "),CHAR(10)," "),CHAR(13)," "))),"")))</f>
        <v/>
      </c>
      <c r="DT157">
        <f>IF($DM157=0,"",IF($L$12=0,"",IFERROR(IF(ISNUMBER(INDEX(PASTE_ALL,$DF157,$L$12)),INDEX(PASTE_ALL,$DF157,$L$12),TRIM(SUBSTITUTE(SUBSTITUTE(SUBSTITUTE(SUBSTITUTE(INDEX(PASTE_ALL,$DF157,$L$12)," "," "),CHAR(9)," "),CHAR(10)," "),CHAR(13)," "))),"")))</f>
        <v/>
      </c>
      <c r="DU157">
        <f>IF($DM157=0,"",IF($L$13=0,"",IFERROR(IF(ISNUMBER(INDEX(PASTE_ALL,$DF157,$L$13)),INDEX(PASTE_ALL,$DF157,$L$13),TRIM(SUBSTITUTE(SUBSTITUTE(SUBSTITUTE(SUBSTITUTE(INDEX(PASTE_ALL,$DF157,$L$13)," "," "),CHAR(9)," "),CHAR(10)," "),CHAR(13)," "))),"")))</f>
        <v/>
      </c>
      <c r="DV157">
        <f>IF($DM157=0,"",IF($L$14=0,"",IFERROR(IF(ISNUMBER(INDEX(PASTE_ALL,$DF157,$L$14)),INDEX(PASTE_ALL,$DF157,$L$14),TRIM(SUBSTITUTE(SUBSTITUTE(SUBSTITUTE(SUBSTITUTE(INDEX(PASTE_ALL,$DF157,$L$14)," "," "),CHAR(9)," "),CHAR(10)," "),CHAR(13)," "))),"")))</f>
        <v/>
      </c>
      <c r="DW157">
        <f>IF($DM157=0,"",IF($L$15=0,"",IFERROR(IF(ISNUMBER(INDEX(PASTE_ALL,$DF157,$L$15)),INDEX(PASTE_ALL,$DF157,$L$15),IF(SUMPRODUCT(--ISNUMBER(FIND({"A","B","C","D","E","F","G","H","I","J","K","L","M","N","O","P","Q","R","S","T","U","V","W","X","Y","Z","0","1","2","3","4","5","6","7","8","9"},UPPER(TRIM(SUBSTITUTE(SUBSTITUTE(SUBSTITUTE(SUBSTITUTE(INDEX(PASTE_ALL,$DF157,$L$15)," "," "),CHAR(9)," "),CHAR(10)," "),CHAR(13)," "))))))&gt;0,TRIM(SUBSTITUTE(SUBSTITUTE(SUBSTITUTE(SUBSTITUTE(INDEX(PASTE_ALL,$DF157,$L$15)," "," "),CHAR(9)," "),CHAR(10)," "),CHAR(13)," ")),"")),"")))</f>
        <v/>
      </c>
      <c r="DX157">
        <f>IF($DM157=0,"",IF($L$16=0,"",IFERROR(IF(ISNUMBER(INDEX(PASTE_ALL,$DF157,$L$16)),INDEX(PASTE_ALL,$DF157,$L$16),SUBSTITUTE(SUBSTITUTE(TRIM(SUBSTITUTE(SUBSTITUTE(SUBSTITUTE(SUBSTITUTE(INDEX(PASTE_ALL,$DF157,$L$16)," "," "),CHAR(9)," "),CHAR(10)," "),CHAR(13)," ")),",",""),"%","")),"")))</f>
        <v/>
      </c>
      <c r="DY157">
        <f>IF($DM157=0,"",IFERROR(IF(ISNUMBER($DX157),$DX157,IF($DX157="","",IF(TRIM($DX157)="",0,IF(AND(AND(SUBSTITUTE(SUBSTITUTE(SUBSTITUTE(SUBSTITUTE(SUBSTITUTE(SUBSTITUTE(SUBSTITUTE(SUBSTITUTE(SUBSTITUTE(SUBSTITUTE(SUBSTITUTE(SUBSTITUTE(SUBSTITUTE(SUBSTITUTE(UPPER(TRIM($DX157)),"0",""),"1",""),"2",""),"3",""),"4",""),"5",""),"6",""),"7",""),"8",""),"9",""),".",""),"+",""),"-",""),"E","")="",LEN(SUBSTITUTE(SUBSTITUTE(MID(UPPER(TRIM($DX157)),1+OR(LEFT(UPPER(TRIM($DX157)),1)="+",LEFT(UPPER(TRIM($DX157)),1)="-"),999),"E+","E"),"E-","E"))=LEN(SUBSTITUTE(SUBSTITUTE(SUBSTITUTE(SUBSTITUTE(MID(UPPER(TRIM($DX157)),1+OR(LEFT(UPPER(TRIM($DX157)),1)="+",LEFT(UPPER(TRIM($DX157)),1)="-"),999),"E+","E"),"E-","E"),"+",""),"-","")),LEN(UPPER(TRIM($DX157)))-LEN(SUBSTITUTE(UPPER(TRIM($DX157)),"E",""))&lt;2,LEN(UPPER(TRIM($DX157)))-LEN(SUBSTITUTE(UPPER(TRIM($DX157)),".",""))&lt;2,IFERROR(FIND(".",UPPER(TRIM($DX157))),0)&lt;IFERROR(FIND("E",UPPER(TRIM($DX157))),999)),ISNUMBER(VALUE(TRIM($DX157)))),VALUE(TRIM($DX157)),"")))),""))</f>
        <v/>
      </c>
      <c r="DZ157">
        <f>IF($DM157=0,"",IF($L$17=0,"",IFERROR(IF(ISNUMBER(INDEX(PASTE_ALL,$DF157,$L$17)),INDEX(PASTE_ALL,$DF157,$L$17),SUBSTITUTE(SUBSTITUTE(TRIM(SUBSTITUTE(SUBSTITUTE(SUBSTITUTE(SUBSTITUTE(INDEX(PASTE_ALL,$DF157,$L$17)," "," "),CHAR(9)," "),CHAR(10)," "),CHAR(13)," ")),",",""),"%","")),"")))</f>
        <v/>
      </c>
      <c r="EA157">
        <f>IF($DM157=0,"",IFERROR(IF(ISNUMBER($DZ157),$DZ157,IF($DZ157="","",IF(TRIM($DZ157)="",0,IF(AND(AND(SUBSTITUTE(SUBSTITUTE(SUBSTITUTE(SUBSTITUTE(SUBSTITUTE(SUBSTITUTE(SUBSTITUTE(SUBSTITUTE(SUBSTITUTE(SUBSTITUTE(SUBSTITUTE(SUBSTITUTE(SUBSTITUTE(SUBSTITUTE(UPPER(TRIM($DZ157)),"0",""),"1",""),"2",""),"3",""),"4",""),"5",""),"6",""),"7",""),"8",""),"9",""),".",""),"+",""),"-",""),"E","")="",LEN(SUBSTITUTE(SUBSTITUTE(MID(UPPER(TRIM($DZ157)),1+OR(LEFT(UPPER(TRIM($DZ157)),1)="+",LEFT(UPPER(TRIM($DZ157)),1)="-"),999),"E+","E"),"E-","E"))=LEN(SUBSTITUTE(SUBSTITUTE(SUBSTITUTE(SUBSTITUTE(MID(UPPER(TRIM($DZ157)),1+OR(LEFT(UPPER(TRIM($DZ157)),1)="+",LEFT(UPPER(TRIM($DZ157)),1)="-"),999),"E+","E"),"E-","E"),"+",""),"-","")),LEN(UPPER(TRIM($DZ157)))-LEN(SUBSTITUTE(UPPER(TRIM($DZ157)),"E",""))&lt;2,LEN(UPPER(TRIM($DZ157)))-LEN(SUBSTITUTE(UPPER(TRIM($DZ157)),".",""))&lt;2,IFERROR(FIND(".",UPPER(TRIM($DZ157))),0)&lt;IFERROR(FIND("E",UPPER(TRIM($DZ157))),999)),ISNUMBER(VALUE(TRIM($DZ157)))),VALUE(TRIM($DZ157)),"")))),""))</f>
        <v/>
      </c>
      <c r="EB157">
        <f>IF($DM157=0,"",IF($L$18=0,"",IFERROR(IF(UPPER(TRIM(SUBSTITUTE(SUBSTITUTE(SUBSTITUTE(SUBSTITUTE(INDEX(PASTE_ALL,$DF157,$L$18)," "," "),CHAR(9)," "),CHAR(10)," "),CHAR(13)," ")))="READY","Ready",IF(UPPER(TRIM(SUBSTITUTE(SUBSTITUTE(SUBSTITUTE(SUBSTITUTE(INDEX(PASTE_ALL,$DF157,$L$18)," "," "),CHAR(9)," "),CHAR(10)," "),CHAR(13)," ")))="PM","PM",IF(OR(UPPER(TRIM(SUBSTITUTE(SUBSTITUTE(SUBSTITUTE(SUBSTITUTE(INDEX(PASTE_ALL,$DF157,$L$18)," "," "),CHAR(9)," "),CHAR(10)," "),CHAR(13)," ")))="OT",UPPER(TRIM(SUBSTITUTE(SUBSTITUTE(SUBSTITUTE(SUBSTITUTE(INDEX(PASTE_ALL,$DF157,$L$18)," "," "),CHAR(9)," "),CHAR(10)," "),CHAR(13)," ")))="OVERTIME",UPPER(TRIM(SUBSTITUTE(SUBSTITUTE(SUBSTITUTE(SUBSTITUTE(INDEX(PASTE_ALL,$DF157,$L$18)," "," "),CHAR(9)," "),CHAR(10)," "),CHAR(13)," ")))="TRIAL"),"OT",TRIM(SUBSTITUTE(SUBSTITUTE(SUBSTITUTE(SUBSTITUTE(INDEX(PASTE_ALL,$DF157,$L$18)," "," "),CHAR(9)," "),CHAR(10)," "),CHAR(13)," "))))),"")))</f>
        <v/>
      </c>
      <c r="EC157">
        <f>IF($DM157=0,"",IF($L$19=0,"",IFERROR(IF(ISNUMBER(INDEX(PASTE_ALL,$DF157,$L$19)),INDEX(PASTE_ALL,$DF157,$L$19),TRIM(SUBSTITUTE(SUBSTITUTE(SUBSTITUTE(SUBSTITUTE(INDEX(PASTE_ALL,$DF157,$L$19)," "," "),CHAR(9)," "),CHAR(10)," "),CHAR(13)," "))),"")))</f>
        <v/>
      </c>
      <c r="ED157">
        <f>IF($DM157=0,"",MATCH(1,INDEX(EXACT($DH$5:DH157,$DH157)*$DM$5:DM157,0),0))</f>
        <v/>
      </c>
      <c r="EE157">
        <f>IF($DM157=0,0,IF($ED157=$DE157,1,0))</f>
        <v/>
      </c>
      <c r="EF157">
        <f>EF156+$EE157</f>
        <v/>
      </c>
      <c r="EG157">
        <f>IF($DM157=0,"",INDEX($EF$5:$EF$1003,$ED157))</f>
        <v/>
      </c>
      <c r="EH157">
        <f>IF($DM157=0,"",IF($DO157&lt;&gt;"","",IFERROR(LOOKUP(2,1/(($EG$4:EG156=$EG157)*($DO$4:DO156&lt;&gt;"")),$DO$4:DO156),"")))</f>
        <v/>
      </c>
      <c r="EI157">
        <f>IF($DM157=0,"",IF($DO157&lt;&gt;"",$DO157,$EH157))</f>
        <v/>
      </c>
      <c r="EJ157">
        <f>IF($DM157=0,"",IF($EI157="",0,IF(OR(ISNUMBER($EI157),AND(AND(SUBSTITUTE(SUBSTITUTE(SUBSTITUTE(SUBSTITUTE(SUBSTITUTE(SUBSTITUTE(SUBSTITUTE(SUBSTITUTE(SUBSTITUTE(SUBSTITUTE(SUBSTITUTE(SUBSTITUTE(SUBSTITUTE(SUBSTITUTE(UPPER($EI157),"0",""),"1",""),"2",""),"3",""),"4",""),"5",""),"6",""),"7",""),"8",""),"9",""),".",""),"+",""),"-",""),"E","")="",LEN(SUBSTITUTE(SUBSTITUTE(MID(UPPER($EI157),1+OR(LEFT(UPPER($EI157),1)="+",LEFT(UPPER($EI157),1)="-"),999),"E+","E"),"E-","E"))=LEN(SUBSTITUTE(SUBSTITUTE(SUBSTITUTE(SUBSTITUTE(MID(UPPER($EI157),1+OR(LEFT(UPPER($EI157),1)="+",LEFT(UPPER($EI157),1)="-"),999),"E+","E"),"E-","E"),"+",""),"-","")),LEN(UPPER($EI157))-LEN(SUBSTITUTE(UPPER($EI157),"E",""))&lt;2,LEN(UPPER($EI157))-LEN(SUBSTITUTE(UPPER($EI157),".",""))&lt;2,IFERROR(FIND(".",UPPER($EI157)),0)&lt;IFERROR(FIND("E",UPPER($EI157)),999)),ISNUMBER(VALUE($EI157)))),1,2)))</f>
        <v/>
      </c>
      <c r="EK157">
        <f>IF($DM157=0,"",IF($EJ157=1,IF(ISNUMBER($EI157),$EI157,VALUE($EI157)),IF($EJ157=2,$DE157,0)))</f>
        <v/>
      </c>
      <c r="EL157">
        <f>IF($DM157=0,"",COUNTIF($EG$5:$EG$1003,"&lt;"&amp;$EG157)+SUMPRODUCT(($EG$5:$EG$1003=$EG157)*(($EJ$5:$EJ$1003&lt;$EJ157)+($EJ$5:$EJ$1003=$EJ157)*(($EK$5:$EK$1003&lt;$EK157)+($EK$5:$EK$1003=$EK157)*($DE$5:$DE$1003&lt;$DE157))))+1)</f>
        <v/>
      </c>
      <c r="EM157">
        <f>IF($DM157=0,"",$EL157+$EG157-1)</f>
        <v/>
      </c>
      <c r="EN157">
        <f>IF($DM157=0,0,IFERROR(MATCH(1,INDEX(--(TRIM(SUBSTITUTE(SUBSTITUTE(SUBSTITUTE(SUBSTITUTE(LINES_NAME&amp;""," "," "),CHAR(9)," "),CHAR(10)," "),CHAR(13)," "))=$DH157),0),0),0))</f>
        <v/>
      </c>
      <c r="EO157">
        <f>IF($EN157=0,0,IF(OR(UPPER(TRIM(INDEX(LINES_SCHEDULED,$EN157)&amp;""))="YES",UPPER(TRIM(INDEX(LINES_SCHEDULED,$EN157)&amp;""))="Y",UPPER(TRIM(INDEX(LINES_SCHEDULED,$EN157)&amp;""))="X"),1,0))</f>
        <v/>
      </c>
      <c r="EP157">
        <f>IF($DM157=0,"",IF(COUNTIFS($EG$5:$EG$1003,$EG157,$EB$5:$EB$1003,"Ready")&gt;0,"READY",IF(COUNTIFS($EG$5:$EG$1003,$EG157,$EB$5:$EB$1003,"PM")&gt;0,"PM",IF(COUNTIFS($EG$5:$EG$1003,$EG157,$EB$5:$EB$1003,"OT")&gt;0,"OT",""))))</f>
        <v/>
      </c>
      <c r="EQ157">
        <f>IF($EN157=0,"",UPPER(TRIM(INDEX(LINES_STATUS,$EN157)&amp;"")))</f>
        <v/>
      </c>
      <c r="ER157">
        <f>IF($DM157=0,"",IF(OR($EQ157="READY",$EQ157="PM",$EQ157="OT"),$EQ157,$EP157))</f>
        <v/>
      </c>
      <c r="ES157">
        <f>IF($DM157=0,"",IF(AND($DV157&lt;&gt;"",UPPER($DV157)&lt;&gt;"N"),"allergen",IF(ISNUMBER(SEARCH("oil",$DQ157)),"oil",IF(OR(EXACT($DS157,"A662"),EXACT($DS157,"A624")),"bulk",""))))</f>
        <v/>
      </c>
      <c r="ET157">
        <f>IF($DM157=0,"",IF(OR($EA157="",$EA157=0),"",$EA157/100))</f>
        <v/>
      </c>
      <c r="EU157">
        <f>IF(OR($ET157="",$DY157=""),"",INT($DY157*(1-$ET157)+0.5))</f>
        <v/>
      </c>
      <c r="EW157" t="n">
        <v>153</v>
      </c>
      <c r="EX157">
        <f>IFERROR(MATCH($EW157,$EM$5:$EM$1003,0),0)</f>
        <v/>
      </c>
      <c r="EY157">
        <f>IF($EW157&gt;$B$12,"",IF($EX157&gt;0,"row","spacer"))</f>
        <v/>
      </c>
      <c r="EZ157">
        <f>IF(AND($EY157="row",$EY156&lt;&gt;"row"),1,0)</f>
        <v/>
      </c>
      <c r="FA157">
        <f>IF(AND($EY157="row",$EY158&lt;&gt;"row"),1,0)</f>
        <v/>
      </c>
      <c r="FB157">
        <f>IF($EZ157=1,IFERROR(IF(ISNUMBER(INDEX(PASTE_ALL,INDEX($DF$5:$DF$1003,$EX157),$B$37)),INDEX(PASTE_ALL,INDEX($DF$5:$DF$1003,$EX157),$B$37),INDEX($DH$5:$DH$1003,$EX157)),INDEX($DH$5:$DH$1003,$EX157)),"")</f>
        <v/>
      </c>
      <c r="FC157">
        <f>IF($EY157="row",INDEX($ER$5:$ER$1003,$EX157),"")</f>
        <v/>
      </c>
      <c r="FD157">
        <f>IF($EY157="row",INDEX($DN$5:$DN$1003,$EX157),"")</f>
        <v/>
      </c>
      <c r="FE157">
        <f>IF($EY157="row",INDEX($DO$5:$DO$1003,$EX157),"")</f>
        <v/>
      </c>
      <c r="FF157">
        <f>IF($EY157="row",INDEX($DP$5:$DP$1003,$EX157),"")</f>
        <v/>
      </c>
      <c r="FG157">
        <f>IF($EY157="row",INDEX($DQ$5:$DQ$1003,$EX157),"")</f>
        <v/>
      </c>
      <c r="FH157">
        <f>IF($EY157="row",INDEX($DR$5:$DR$1003,$EX157),"")</f>
        <v/>
      </c>
      <c r="FI157">
        <f>IF($EY157="row",INDEX($DS$5:$DS$1003,$EX157),"")</f>
        <v/>
      </c>
      <c r="FJ157">
        <f>IF($EY157="row",INDEX($DT$5:$DT$1003,$EX157),"")</f>
        <v/>
      </c>
      <c r="FK157">
        <f>IF($EY157="row",INDEX($DU$5:$DU$1003,$EX157),"")</f>
        <v/>
      </c>
      <c r="FL157">
        <f>IF($EY157="row",INDEX($DV$5:$DV$1003,$EX157),"")</f>
        <v/>
      </c>
      <c r="FM157">
        <f>IF($EY157="row",INDEX($DW$5:$DW$1003,$EX157),"")</f>
        <v/>
      </c>
      <c r="FN157">
        <f>IF($EY157="row",INDEX($DY$5:$DY$1003,$EX157),"")</f>
        <v/>
      </c>
      <c r="FO157">
        <f>IF($EY157="row",INDEX($EA$5:$EA$1003,$EX157),"")</f>
        <v/>
      </c>
      <c r="FP157">
        <f>IF($EY157="row",INDEX($EC$5:$EC$1003,$EX157),"")</f>
        <v/>
      </c>
      <c r="FQ157">
        <f>IF($EY157="row",INDEX($ET$5:$ET$1003,$EX157),"")</f>
        <v/>
      </c>
      <c r="FR157">
        <f>IF($EY157="row",INDEX($EU$5:$EU$1003,$EX157),"")</f>
        <v/>
      </c>
      <c r="FS157">
        <f>IF(AND($EY157="row",$EY156="row"),IF(OR(INDEX($DT$5:$DT$1003,$EX156)="",INDEX($DT$5:$DT$1003,$EX157)=""),"",IF(NOT(EXACT(INDEX($DT$5:$DT$1003,$EX156),INDEX($DT$5:$DT$1003,$EX157))),"S4",IF(NOT(EXACT(INDEX($DS$5:$DS$1003,$EX156),INDEX($DS$5:$DS$1003,$EX157))),"S3",IF(NOT(EXACT(INDEX($DR$5:$DR$1003,$EX156),INDEX($DR$5:$DR$1003,$EX157))),"S1 Count Change","S1")))),"")</f>
        <v/>
      </c>
      <c r="FT157">
        <f>IF($EY157="row",INDEX($ES$5:$ES$1003,$EX157),"")</f>
        <v/>
      </c>
      <c r="FU157">
        <f>IF($EY157="row",INDEX($EO$5:$EO$1003,$EX157),0)</f>
        <v/>
      </c>
      <c r="FV157">
        <f>IF($FS157="S1 Count Change",1,0)</f>
        <v/>
      </c>
    </row>
    <row r="158">
      <c r="Y158">
        <f>IF(Y23="",0,2*(OR(ISNUMBER(FIND("WORKCENTER",Y23)),AND(LEFT(Y23,4)="LINE",NOT(ISNUMBER(FIND("STATUS",Y23))))))+4*(OR(ISNUMBER(FIND("WORKORDER",Y23)),AND(LEFT(Y23,2)="WO",OR(ISNUMBER(FIND("NUM",Y23)),RIGHT(Y23,2)="NO"))))+8*(LEFT(Y23,3)="SEQ")+16*(AND(LEFT(Y23,4)="ITEM",NOT(ISNUMBER(FIND("DESC",Y23)))))+32*(AND(ISNUMBER(FIND("DESC",Y23)),NOT(ISNUMBER(FIND("CAP",Y23)))))+64*(OR(RIGHT(Y23,5)="COUNT",RIGHT(Y23,2)="CT"))+128*(ISNUMBER(FIND("BULK",Y23)))+256*(ISNUMBER(FIND("SIZE",Y23)))+512*(LEFT(Y23,3)="CAP")+1024*(ISNUMBER(FIND("ALLERG",Y23)))+2048*(OR(ISNUMBER(FIND("REMARK",Y23)),ISNUMBER(FIND("COMMENT",Y23))))+4096*(OR(ISNUMBER(FIND("QTY",Y23)),ISNUMBER(FIND("QUANTITY",Y23))))+8192*(AND(OR(ISNUMBER(FIND("COMPLETE",Y23)),ISNUMBER(FIND("PCT",Y23)),ISNUMBER(FIND("PERCENT",Y23))),NOT(ISNUMBER(FIND("ACTUAL",Y23))),LEN(Y23)&lt;=16))+32768*(OR(ISNUMBER(FIND("DESIC",Y23)),ISNUMBER(FIND("DESSIC",Y23)))))</f>
        <v/>
      </c>
      <c r="Z158">
        <f>IF(Z23="",0,2*(OR(ISNUMBER(FIND("WORKCENTER",Z23)),AND(LEFT(Z23,4)="LINE",NOT(ISNUMBER(FIND("STATUS",Z23))))))+4*(OR(ISNUMBER(FIND("WORKORDER",Z23)),AND(LEFT(Z23,2)="WO",OR(ISNUMBER(FIND("NUM",Z23)),RIGHT(Z23,2)="NO"))))+8*(LEFT(Z23,3)="SEQ")+16*(AND(LEFT(Z23,4)="ITEM",NOT(ISNUMBER(FIND("DESC",Z23)))))+32*(AND(ISNUMBER(FIND("DESC",Z23)),NOT(ISNUMBER(FIND("CAP",Z23)))))+64*(OR(RIGHT(Z23,5)="COUNT",RIGHT(Z23,2)="CT"))+128*(ISNUMBER(FIND("BULK",Z23)))+256*(ISNUMBER(FIND("SIZE",Z23)))+512*(LEFT(Z23,3)="CAP")+1024*(ISNUMBER(FIND("ALLERG",Z23)))+2048*(OR(ISNUMBER(FIND("REMARK",Z23)),ISNUMBER(FIND("COMMENT",Z23))))+4096*(OR(ISNUMBER(FIND("QTY",Z23)),ISNUMBER(FIND("QUANTITY",Z23))))+8192*(AND(OR(ISNUMBER(FIND("COMPLETE",Z23)),ISNUMBER(FIND("PCT",Z23)),ISNUMBER(FIND("PERCENT",Z23))),NOT(ISNUMBER(FIND("ACTUAL",Z23))),LEN(Z23)&lt;=16))+32768*(OR(ISNUMBER(FIND("DESIC",Z23)),ISNUMBER(FIND("DESSIC",Z23)))))</f>
        <v/>
      </c>
      <c r="AA158">
        <f>IF(AA23="",0,2*(OR(ISNUMBER(FIND("WORKCENTER",AA23)),AND(LEFT(AA23,4)="LINE",NOT(ISNUMBER(FIND("STATUS",AA23))))))+4*(OR(ISNUMBER(FIND("WORKORDER",AA23)),AND(LEFT(AA23,2)="WO",OR(ISNUMBER(FIND("NUM",AA23)),RIGHT(AA23,2)="NO"))))+8*(LEFT(AA23,3)="SEQ")+16*(AND(LEFT(AA23,4)="ITEM",NOT(ISNUMBER(FIND("DESC",AA23)))))+32*(AND(ISNUMBER(FIND("DESC",AA23)),NOT(ISNUMBER(FIND("CAP",AA23)))))+64*(OR(RIGHT(AA23,5)="COUNT",RIGHT(AA23,2)="CT"))+128*(ISNUMBER(FIND("BULK",AA23)))+256*(ISNUMBER(FIND("SIZE",AA23)))+512*(LEFT(AA23,3)="CAP")+1024*(ISNUMBER(FIND("ALLERG",AA23)))+2048*(OR(ISNUMBER(FIND("REMARK",AA23)),ISNUMBER(FIND("COMMENT",AA23))))+4096*(OR(ISNUMBER(FIND("QTY",AA23)),ISNUMBER(FIND("QUANTITY",AA23))))+8192*(AND(OR(ISNUMBER(FIND("COMPLETE",AA23)),ISNUMBER(FIND("PCT",AA23)),ISNUMBER(FIND("PERCENT",AA23))),NOT(ISNUMBER(FIND("ACTUAL",AA23))),LEN(AA23)&lt;=16))+32768*(OR(ISNUMBER(FIND("DESIC",AA23)),ISNUMBER(FIND("DESSIC",AA23)))))</f>
        <v/>
      </c>
      <c r="AB158">
        <f>IF(AB23="",0,2*(OR(ISNUMBER(FIND("WORKCENTER",AB23)),AND(LEFT(AB23,4)="LINE",NOT(ISNUMBER(FIND("STATUS",AB23))))))+4*(OR(ISNUMBER(FIND("WORKORDER",AB23)),AND(LEFT(AB23,2)="WO",OR(ISNUMBER(FIND("NUM",AB23)),RIGHT(AB23,2)="NO"))))+8*(LEFT(AB23,3)="SEQ")+16*(AND(LEFT(AB23,4)="ITEM",NOT(ISNUMBER(FIND("DESC",AB23)))))+32*(AND(ISNUMBER(FIND("DESC",AB23)),NOT(ISNUMBER(FIND("CAP",AB23)))))+64*(OR(RIGHT(AB23,5)="COUNT",RIGHT(AB23,2)="CT"))+128*(ISNUMBER(FIND("BULK",AB23)))+256*(ISNUMBER(FIND("SIZE",AB23)))+512*(LEFT(AB23,3)="CAP")+1024*(ISNUMBER(FIND("ALLERG",AB23)))+2048*(OR(ISNUMBER(FIND("REMARK",AB23)),ISNUMBER(FIND("COMMENT",AB23))))+4096*(OR(ISNUMBER(FIND("QTY",AB23)),ISNUMBER(FIND("QUANTITY",AB23))))+8192*(AND(OR(ISNUMBER(FIND("COMPLETE",AB23)),ISNUMBER(FIND("PCT",AB23)),ISNUMBER(FIND("PERCENT",AB23))),NOT(ISNUMBER(FIND("ACTUAL",AB23))),LEN(AB23)&lt;=16))+32768*(OR(ISNUMBER(FIND("DESIC",AB23)),ISNUMBER(FIND("DESSIC",AB23)))))</f>
        <v/>
      </c>
      <c r="AC158">
        <f>IF(AC23="",0,2*(OR(ISNUMBER(FIND("WORKCENTER",AC23)),AND(LEFT(AC23,4)="LINE",NOT(ISNUMBER(FIND("STATUS",AC23))))))+4*(OR(ISNUMBER(FIND("WORKORDER",AC23)),AND(LEFT(AC23,2)="WO",OR(ISNUMBER(FIND("NUM",AC23)),RIGHT(AC23,2)="NO"))))+8*(LEFT(AC23,3)="SEQ")+16*(AND(LEFT(AC23,4)="ITEM",NOT(ISNUMBER(FIND("DESC",AC23)))))+32*(AND(ISNUMBER(FIND("DESC",AC23)),NOT(ISNUMBER(FIND("CAP",AC23)))))+64*(OR(RIGHT(AC23,5)="COUNT",RIGHT(AC23,2)="CT"))+128*(ISNUMBER(FIND("BULK",AC23)))+256*(ISNUMBER(FIND("SIZE",AC23)))+512*(LEFT(AC23,3)="CAP")+1024*(ISNUMBER(FIND("ALLERG",AC23)))+2048*(OR(ISNUMBER(FIND("REMARK",AC23)),ISNUMBER(FIND("COMMENT",AC23))))+4096*(OR(ISNUMBER(FIND("QTY",AC23)),ISNUMBER(FIND("QUANTITY",AC23))))+8192*(AND(OR(ISNUMBER(FIND("COMPLETE",AC23)),ISNUMBER(FIND("PCT",AC23)),ISNUMBER(FIND("PERCENT",AC23))),NOT(ISNUMBER(FIND("ACTUAL",AC23))),LEN(AC23)&lt;=16))+32768*(OR(ISNUMBER(FIND("DESIC",AC23)),ISNUMBER(FIND("DESSIC",AC23)))))</f>
        <v/>
      </c>
      <c r="AD158">
        <f>IF(AD23="",0,2*(OR(ISNUMBER(FIND("WORKCENTER",AD23)),AND(LEFT(AD23,4)="LINE",NOT(ISNUMBER(FIND("STATUS",AD23))))))+4*(OR(ISNUMBER(FIND("WORKORDER",AD23)),AND(LEFT(AD23,2)="WO",OR(ISNUMBER(FIND("NUM",AD23)),RIGHT(AD23,2)="NO"))))+8*(LEFT(AD23,3)="SEQ")+16*(AND(LEFT(AD23,4)="ITEM",NOT(ISNUMBER(FIND("DESC",AD23)))))+32*(AND(ISNUMBER(FIND("DESC",AD23)),NOT(ISNUMBER(FIND("CAP",AD23)))))+64*(OR(RIGHT(AD23,5)="COUNT",RIGHT(AD23,2)="CT"))+128*(ISNUMBER(FIND("BULK",AD23)))+256*(ISNUMBER(FIND("SIZE",AD23)))+512*(LEFT(AD23,3)="CAP")+1024*(ISNUMBER(FIND("ALLERG",AD23)))+2048*(OR(ISNUMBER(FIND("REMARK",AD23)),ISNUMBER(FIND("COMMENT",AD23))))+4096*(OR(ISNUMBER(FIND("QTY",AD23)),ISNUMBER(FIND("QUANTITY",AD23))))+8192*(AND(OR(ISNUMBER(FIND("COMPLETE",AD23)),ISNUMBER(FIND("PCT",AD23)),ISNUMBER(FIND("PERCENT",AD23))),NOT(ISNUMBER(FIND("ACTUAL",AD23))),LEN(AD23)&lt;=16))+32768*(OR(ISNUMBER(FIND("DESIC",AD23)),ISNUMBER(FIND("DESSIC",AD23)))))</f>
        <v/>
      </c>
      <c r="AE158">
        <f>IF(AE23="",0,2*(OR(ISNUMBER(FIND("WORKCENTER",AE23)),AND(LEFT(AE23,4)="LINE",NOT(ISNUMBER(FIND("STATUS",AE23))))))+4*(OR(ISNUMBER(FIND("WORKORDER",AE23)),AND(LEFT(AE23,2)="WO",OR(ISNUMBER(FIND("NUM",AE23)),RIGHT(AE23,2)="NO"))))+8*(LEFT(AE23,3)="SEQ")+16*(AND(LEFT(AE23,4)="ITEM",NOT(ISNUMBER(FIND("DESC",AE23)))))+32*(AND(ISNUMBER(FIND("DESC",AE23)),NOT(ISNUMBER(FIND("CAP",AE23)))))+64*(OR(RIGHT(AE23,5)="COUNT",RIGHT(AE23,2)="CT"))+128*(ISNUMBER(FIND("BULK",AE23)))+256*(ISNUMBER(FIND("SIZE",AE23)))+512*(LEFT(AE23,3)="CAP")+1024*(ISNUMBER(FIND("ALLERG",AE23)))+2048*(OR(ISNUMBER(FIND("REMARK",AE23)),ISNUMBER(FIND("COMMENT",AE23))))+4096*(OR(ISNUMBER(FIND("QTY",AE23)),ISNUMBER(FIND("QUANTITY",AE23))))+8192*(AND(OR(ISNUMBER(FIND("COMPLETE",AE23)),ISNUMBER(FIND("PCT",AE23)),ISNUMBER(FIND("PERCENT",AE23))),NOT(ISNUMBER(FIND("ACTUAL",AE23))),LEN(AE23)&lt;=16))+32768*(OR(ISNUMBER(FIND("DESIC",AE23)),ISNUMBER(FIND("DESSIC",AE23)))))</f>
        <v/>
      </c>
      <c r="AF158">
        <f>IF(AF23="",0,2*(OR(ISNUMBER(FIND("WORKCENTER",AF23)),AND(LEFT(AF23,4)="LINE",NOT(ISNUMBER(FIND("STATUS",AF23))))))+4*(OR(ISNUMBER(FIND("WORKORDER",AF23)),AND(LEFT(AF23,2)="WO",OR(ISNUMBER(FIND("NUM",AF23)),RIGHT(AF23,2)="NO"))))+8*(LEFT(AF23,3)="SEQ")+16*(AND(LEFT(AF23,4)="ITEM",NOT(ISNUMBER(FIND("DESC",AF23)))))+32*(AND(ISNUMBER(FIND("DESC",AF23)),NOT(ISNUMBER(FIND("CAP",AF23)))))+64*(OR(RIGHT(AF23,5)="COUNT",RIGHT(AF23,2)="CT"))+128*(ISNUMBER(FIND("BULK",AF23)))+256*(ISNUMBER(FIND("SIZE",AF23)))+512*(LEFT(AF23,3)="CAP")+1024*(ISNUMBER(FIND("ALLERG",AF23)))+2048*(OR(ISNUMBER(FIND("REMARK",AF23)),ISNUMBER(FIND("COMMENT",AF23))))+4096*(OR(ISNUMBER(FIND("QTY",AF23)),ISNUMBER(FIND("QUANTITY",AF23))))+8192*(AND(OR(ISNUMBER(FIND("COMPLETE",AF23)),ISNUMBER(FIND("PCT",AF23)),ISNUMBER(FIND("PERCENT",AF23))),NOT(ISNUMBER(FIND("ACTUAL",AF23))),LEN(AF23)&lt;=16))+32768*(OR(ISNUMBER(FIND("DESIC",AF23)),ISNUMBER(FIND("DESSIC",AF23)))))</f>
        <v/>
      </c>
      <c r="AG158">
        <f>IF(AG23="",0,2*(OR(ISNUMBER(FIND("WORKCENTER",AG23)),AND(LEFT(AG23,4)="LINE",NOT(ISNUMBER(FIND("STATUS",AG23))))))+4*(OR(ISNUMBER(FIND("WORKORDER",AG23)),AND(LEFT(AG23,2)="WO",OR(ISNUMBER(FIND("NUM",AG23)),RIGHT(AG23,2)="NO"))))+8*(LEFT(AG23,3)="SEQ")+16*(AND(LEFT(AG23,4)="ITEM",NOT(ISNUMBER(FIND("DESC",AG23)))))+32*(AND(ISNUMBER(FIND("DESC",AG23)),NOT(ISNUMBER(FIND("CAP",AG23)))))+64*(OR(RIGHT(AG23,5)="COUNT",RIGHT(AG23,2)="CT"))+128*(ISNUMBER(FIND("BULK",AG23)))+256*(ISNUMBER(FIND("SIZE",AG23)))+512*(LEFT(AG23,3)="CAP")+1024*(ISNUMBER(FIND("ALLERG",AG23)))+2048*(OR(ISNUMBER(FIND("REMARK",AG23)),ISNUMBER(FIND("COMMENT",AG23))))+4096*(OR(ISNUMBER(FIND("QTY",AG23)),ISNUMBER(FIND("QUANTITY",AG23))))+8192*(AND(OR(ISNUMBER(FIND("COMPLETE",AG23)),ISNUMBER(FIND("PCT",AG23)),ISNUMBER(FIND("PERCENT",AG23))),NOT(ISNUMBER(FIND("ACTUAL",AG23))),LEN(AG23)&lt;=16))+32768*(OR(ISNUMBER(FIND("DESIC",AG23)),ISNUMBER(FIND("DESSIC",AG23)))))</f>
        <v/>
      </c>
      <c r="AH158">
        <f>IF(AH23="",0,2*(OR(ISNUMBER(FIND("WORKCENTER",AH23)),AND(LEFT(AH23,4)="LINE",NOT(ISNUMBER(FIND("STATUS",AH23))))))+4*(OR(ISNUMBER(FIND("WORKORDER",AH23)),AND(LEFT(AH23,2)="WO",OR(ISNUMBER(FIND("NUM",AH23)),RIGHT(AH23,2)="NO"))))+8*(LEFT(AH23,3)="SEQ")+16*(AND(LEFT(AH23,4)="ITEM",NOT(ISNUMBER(FIND("DESC",AH23)))))+32*(AND(ISNUMBER(FIND("DESC",AH23)),NOT(ISNUMBER(FIND("CAP",AH23)))))+64*(OR(RIGHT(AH23,5)="COUNT",RIGHT(AH23,2)="CT"))+128*(ISNUMBER(FIND("BULK",AH23)))+256*(ISNUMBER(FIND("SIZE",AH23)))+512*(LEFT(AH23,3)="CAP")+1024*(ISNUMBER(FIND("ALLERG",AH23)))+2048*(OR(ISNUMBER(FIND("REMARK",AH23)),ISNUMBER(FIND("COMMENT",AH23))))+4096*(OR(ISNUMBER(FIND("QTY",AH23)),ISNUMBER(FIND("QUANTITY",AH23))))+8192*(AND(OR(ISNUMBER(FIND("COMPLETE",AH23)),ISNUMBER(FIND("PCT",AH23)),ISNUMBER(FIND("PERCENT",AH23))),NOT(ISNUMBER(FIND("ACTUAL",AH23))),LEN(AH23)&lt;=16))+32768*(OR(ISNUMBER(FIND("DESIC",AH23)),ISNUMBER(FIND("DESSIC",AH23)))))</f>
        <v/>
      </c>
      <c r="AI158">
        <f>IF(AI23="",0,2*(OR(ISNUMBER(FIND("WORKCENTER",AI23)),AND(LEFT(AI23,4)="LINE",NOT(ISNUMBER(FIND("STATUS",AI23))))))+4*(OR(ISNUMBER(FIND("WORKORDER",AI23)),AND(LEFT(AI23,2)="WO",OR(ISNUMBER(FIND("NUM",AI23)),RIGHT(AI23,2)="NO"))))+8*(LEFT(AI23,3)="SEQ")+16*(AND(LEFT(AI23,4)="ITEM",NOT(ISNUMBER(FIND("DESC",AI23)))))+32*(AND(ISNUMBER(FIND("DESC",AI23)),NOT(ISNUMBER(FIND("CAP",AI23)))))+64*(OR(RIGHT(AI23,5)="COUNT",RIGHT(AI23,2)="CT"))+128*(ISNUMBER(FIND("BULK",AI23)))+256*(ISNUMBER(FIND("SIZE",AI23)))+512*(LEFT(AI23,3)="CAP")+1024*(ISNUMBER(FIND("ALLERG",AI23)))+2048*(OR(ISNUMBER(FIND("REMARK",AI23)),ISNUMBER(FIND("COMMENT",AI23))))+4096*(OR(ISNUMBER(FIND("QTY",AI23)),ISNUMBER(FIND("QUANTITY",AI23))))+8192*(AND(OR(ISNUMBER(FIND("COMPLETE",AI23)),ISNUMBER(FIND("PCT",AI23)),ISNUMBER(FIND("PERCENT",AI23))),NOT(ISNUMBER(FIND("ACTUAL",AI23))),LEN(AI23)&lt;=16))+32768*(OR(ISNUMBER(FIND("DESIC",AI23)),ISNUMBER(FIND("DESSIC",AI23)))))</f>
        <v/>
      </c>
      <c r="AJ158">
        <f>IF(AJ23="",0,2*(OR(ISNUMBER(FIND("WORKCENTER",AJ23)),AND(LEFT(AJ23,4)="LINE",NOT(ISNUMBER(FIND("STATUS",AJ23))))))+4*(OR(ISNUMBER(FIND("WORKORDER",AJ23)),AND(LEFT(AJ23,2)="WO",OR(ISNUMBER(FIND("NUM",AJ23)),RIGHT(AJ23,2)="NO"))))+8*(LEFT(AJ23,3)="SEQ")+16*(AND(LEFT(AJ23,4)="ITEM",NOT(ISNUMBER(FIND("DESC",AJ23)))))+32*(AND(ISNUMBER(FIND("DESC",AJ23)),NOT(ISNUMBER(FIND("CAP",AJ23)))))+64*(OR(RIGHT(AJ23,5)="COUNT",RIGHT(AJ23,2)="CT"))+128*(ISNUMBER(FIND("BULK",AJ23)))+256*(ISNUMBER(FIND("SIZE",AJ23)))+512*(LEFT(AJ23,3)="CAP")+1024*(ISNUMBER(FIND("ALLERG",AJ23)))+2048*(OR(ISNUMBER(FIND("REMARK",AJ23)),ISNUMBER(FIND("COMMENT",AJ23))))+4096*(OR(ISNUMBER(FIND("QTY",AJ23)),ISNUMBER(FIND("QUANTITY",AJ23))))+8192*(AND(OR(ISNUMBER(FIND("COMPLETE",AJ23)),ISNUMBER(FIND("PCT",AJ23)),ISNUMBER(FIND("PERCENT",AJ23))),NOT(ISNUMBER(FIND("ACTUAL",AJ23))),LEN(AJ23)&lt;=16))+32768*(OR(ISNUMBER(FIND("DESIC",AJ23)),ISNUMBER(FIND("DESSIC",AJ23)))))</f>
        <v/>
      </c>
      <c r="AK158">
        <f>IF(AK23="",0,2*(OR(ISNUMBER(FIND("WORKCENTER",AK23)),AND(LEFT(AK23,4)="LINE",NOT(ISNUMBER(FIND("STATUS",AK23))))))+4*(OR(ISNUMBER(FIND("WORKORDER",AK23)),AND(LEFT(AK23,2)="WO",OR(ISNUMBER(FIND("NUM",AK23)),RIGHT(AK23,2)="NO"))))+8*(LEFT(AK23,3)="SEQ")+16*(AND(LEFT(AK23,4)="ITEM",NOT(ISNUMBER(FIND("DESC",AK23)))))+32*(AND(ISNUMBER(FIND("DESC",AK23)),NOT(ISNUMBER(FIND("CAP",AK23)))))+64*(OR(RIGHT(AK23,5)="COUNT",RIGHT(AK23,2)="CT"))+128*(ISNUMBER(FIND("BULK",AK23)))+256*(ISNUMBER(FIND("SIZE",AK23)))+512*(LEFT(AK23,3)="CAP")+1024*(ISNUMBER(FIND("ALLERG",AK23)))+2048*(OR(ISNUMBER(FIND("REMARK",AK23)),ISNUMBER(FIND("COMMENT",AK23))))+4096*(OR(ISNUMBER(FIND("QTY",AK23)),ISNUMBER(FIND("QUANTITY",AK23))))+8192*(AND(OR(ISNUMBER(FIND("COMPLETE",AK23)),ISNUMBER(FIND("PCT",AK23)),ISNUMBER(FIND("PERCENT",AK23))),NOT(ISNUMBER(FIND("ACTUAL",AK23))),LEN(AK23)&lt;=16))+32768*(OR(ISNUMBER(FIND("DESIC",AK23)),ISNUMBER(FIND("DESSIC",AK23)))))</f>
        <v/>
      </c>
      <c r="AL158">
        <f>IF(AL23="",0,2*(OR(ISNUMBER(FIND("WORKCENTER",AL23)),AND(LEFT(AL23,4)="LINE",NOT(ISNUMBER(FIND("STATUS",AL23))))))+4*(OR(ISNUMBER(FIND("WORKORDER",AL23)),AND(LEFT(AL23,2)="WO",OR(ISNUMBER(FIND("NUM",AL23)),RIGHT(AL23,2)="NO"))))+8*(LEFT(AL23,3)="SEQ")+16*(AND(LEFT(AL23,4)="ITEM",NOT(ISNUMBER(FIND("DESC",AL23)))))+32*(AND(ISNUMBER(FIND("DESC",AL23)),NOT(ISNUMBER(FIND("CAP",AL23)))))+64*(OR(RIGHT(AL23,5)="COUNT",RIGHT(AL23,2)="CT"))+128*(ISNUMBER(FIND("BULK",AL23)))+256*(ISNUMBER(FIND("SIZE",AL23)))+512*(LEFT(AL23,3)="CAP")+1024*(ISNUMBER(FIND("ALLERG",AL23)))+2048*(OR(ISNUMBER(FIND("REMARK",AL23)),ISNUMBER(FIND("COMMENT",AL23))))+4096*(OR(ISNUMBER(FIND("QTY",AL23)),ISNUMBER(FIND("QUANTITY",AL23))))+8192*(AND(OR(ISNUMBER(FIND("COMPLETE",AL23)),ISNUMBER(FIND("PCT",AL23)),ISNUMBER(FIND("PERCENT",AL23))),NOT(ISNUMBER(FIND("ACTUAL",AL23))),LEN(AL23)&lt;=16))+32768*(OR(ISNUMBER(FIND("DESIC",AL23)),ISNUMBER(FIND("DESSIC",AL23)))))</f>
        <v/>
      </c>
      <c r="AM158">
        <f>IF(AM23="",0,2*(OR(ISNUMBER(FIND("WORKCENTER",AM23)),AND(LEFT(AM23,4)="LINE",NOT(ISNUMBER(FIND("STATUS",AM23))))))+4*(OR(ISNUMBER(FIND("WORKORDER",AM23)),AND(LEFT(AM23,2)="WO",OR(ISNUMBER(FIND("NUM",AM23)),RIGHT(AM23,2)="NO"))))+8*(LEFT(AM23,3)="SEQ")+16*(AND(LEFT(AM23,4)="ITEM",NOT(ISNUMBER(FIND("DESC",AM23)))))+32*(AND(ISNUMBER(FIND("DESC",AM23)),NOT(ISNUMBER(FIND("CAP",AM23)))))+64*(OR(RIGHT(AM23,5)="COUNT",RIGHT(AM23,2)="CT"))+128*(ISNUMBER(FIND("BULK",AM23)))+256*(ISNUMBER(FIND("SIZE",AM23)))+512*(LEFT(AM23,3)="CAP")+1024*(ISNUMBER(FIND("ALLERG",AM23)))+2048*(OR(ISNUMBER(FIND("REMARK",AM23)),ISNUMBER(FIND("COMMENT",AM23))))+4096*(OR(ISNUMBER(FIND("QTY",AM23)),ISNUMBER(FIND("QUANTITY",AM23))))+8192*(AND(OR(ISNUMBER(FIND("COMPLETE",AM23)),ISNUMBER(FIND("PCT",AM23)),ISNUMBER(FIND("PERCENT",AM23))),NOT(ISNUMBER(FIND("ACTUAL",AM23))),LEN(AM23)&lt;=16))+32768*(OR(ISNUMBER(FIND("DESIC",AM23)),ISNUMBER(FIND("DESSIC",AM23)))))</f>
        <v/>
      </c>
      <c r="AN158">
        <f>IF(AN23="",0,2*(OR(ISNUMBER(FIND("WORKCENTER",AN23)),AND(LEFT(AN23,4)="LINE",NOT(ISNUMBER(FIND("STATUS",AN23))))))+4*(OR(ISNUMBER(FIND("WORKORDER",AN23)),AND(LEFT(AN23,2)="WO",OR(ISNUMBER(FIND("NUM",AN23)),RIGHT(AN23,2)="NO"))))+8*(LEFT(AN23,3)="SEQ")+16*(AND(LEFT(AN23,4)="ITEM",NOT(ISNUMBER(FIND("DESC",AN23)))))+32*(AND(ISNUMBER(FIND("DESC",AN23)),NOT(ISNUMBER(FIND("CAP",AN23)))))+64*(OR(RIGHT(AN23,5)="COUNT",RIGHT(AN23,2)="CT"))+128*(ISNUMBER(FIND("BULK",AN23)))+256*(ISNUMBER(FIND("SIZE",AN23)))+512*(LEFT(AN23,3)="CAP")+1024*(ISNUMBER(FIND("ALLERG",AN23)))+2048*(OR(ISNUMBER(FIND("REMARK",AN23)),ISNUMBER(FIND("COMMENT",AN23))))+4096*(OR(ISNUMBER(FIND("QTY",AN23)),ISNUMBER(FIND("QUANTITY",AN23))))+8192*(AND(OR(ISNUMBER(FIND("COMPLETE",AN23)),ISNUMBER(FIND("PCT",AN23)),ISNUMBER(FIND("PERCENT",AN23))),NOT(ISNUMBER(FIND("ACTUAL",AN23))),LEN(AN23)&lt;=16))+32768*(OR(ISNUMBER(FIND("DESIC",AN23)),ISNUMBER(FIND("DESSIC",AN23)))))</f>
        <v/>
      </c>
      <c r="AO158">
        <f>IF(AO23="",0,2*(OR(ISNUMBER(FIND("WORKCENTER",AO23)),AND(LEFT(AO23,4)="LINE",NOT(ISNUMBER(FIND("STATUS",AO23))))))+4*(OR(ISNUMBER(FIND("WORKORDER",AO23)),AND(LEFT(AO23,2)="WO",OR(ISNUMBER(FIND("NUM",AO23)),RIGHT(AO23,2)="NO"))))+8*(LEFT(AO23,3)="SEQ")+16*(AND(LEFT(AO23,4)="ITEM",NOT(ISNUMBER(FIND("DESC",AO23)))))+32*(AND(ISNUMBER(FIND("DESC",AO23)),NOT(ISNUMBER(FIND("CAP",AO23)))))+64*(OR(RIGHT(AO23,5)="COUNT",RIGHT(AO23,2)="CT"))+128*(ISNUMBER(FIND("BULK",AO23)))+256*(ISNUMBER(FIND("SIZE",AO23)))+512*(LEFT(AO23,3)="CAP")+1024*(ISNUMBER(FIND("ALLERG",AO23)))+2048*(OR(ISNUMBER(FIND("REMARK",AO23)),ISNUMBER(FIND("COMMENT",AO23))))+4096*(OR(ISNUMBER(FIND("QTY",AO23)),ISNUMBER(FIND("QUANTITY",AO23))))+8192*(AND(OR(ISNUMBER(FIND("COMPLETE",AO23)),ISNUMBER(FIND("PCT",AO23)),ISNUMBER(FIND("PERCENT",AO23))),NOT(ISNUMBER(FIND("ACTUAL",AO23))),LEN(AO23)&lt;=16))+32768*(OR(ISNUMBER(FIND("DESIC",AO23)),ISNUMBER(FIND("DESSIC",AO23)))))</f>
        <v/>
      </c>
      <c r="AP158">
        <f>IF(AP23="",0,2*(OR(ISNUMBER(FIND("WORKCENTER",AP23)),AND(LEFT(AP23,4)="LINE",NOT(ISNUMBER(FIND("STATUS",AP23))))))+4*(OR(ISNUMBER(FIND("WORKORDER",AP23)),AND(LEFT(AP23,2)="WO",OR(ISNUMBER(FIND("NUM",AP23)),RIGHT(AP23,2)="NO"))))+8*(LEFT(AP23,3)="SEQ")+16*(AND(LEFT(AP23,4)="ITEM",NOT(ISNUMBER(FIND("DESC",AP23)))))+32*(AND(ISNUMBER(FIND("DESC",AP23)),NOT(ISNUMBER(FIND("CAP",AP23)))))+64*(OR(RIGHT(AP23,5)="COUNT",RIGHT(AP23,2)="CT"))+128*(ISNUMBER(FIND("BULK",AP23)))+256*(ISNUMBER(FIND("SIZE",AP23)))+512*(LEFT(AP23,3)="CAP")+1024*(ISNUMBER(FIND("ALLERG",AP23)))+2048*(OR(ISNUMBER(FIND("REMARK",AP23)),ISNUMBER(FIND("COMMENT",AP23))))+4096*(OR(ISNUMBER(FIND("QTY",AP23)),ISNUMBER(FIND("QUANTITY",AP23))))+8192*(AND(OR(ISNUMBER(FIND("COMPLETE",AP23)),ISNUMBER(FIND("PCT",AP23)),ISNUMBER(FIND("PERCENT",AP23))),NOT(ISNUMBER(FIND("ACTUAL",AP23))),LEN(AP23)&lt;=16))+32768*(OR(ISNUMBER(FIND("DESIC",AP23)),ISNUMBER(FIND("DESSIC",AP23)))))</f>
        <v/>
      </c>
      <c r="AQ158">
        <f>IF(AQ23="",0,2*(OR(ISNUMBER(FIND("WORKCENTER",AQ23)),AND(LEFT(AQ23,4)="LINE",NOT(ISNUMBER(FIND("STATUS",AQ23))))))+4*(OR(ISNUMBER(FIND("WORKORDER",AQ23)),AND(LEFT(AQ23,2)="WO",OR(ISNUMBER(FIND("NUM",AQ23)),RIGHT(AQ23,2)="NO"))))+8*(LEFT(AQ23,3)="SEQ")+16*(AND(LEFT(AQ23,4)="ITEM",NOT(ISNUMBER(FIND("DESC",AQ23)))))+32*(AND(ISNUMBER(FIND("DESC",AQ23)),NOT(ISNUMBER(FIND("CAP",AQ23)))))+64*(OR(RIGHT(AQ23,5)="COUNT",RIGHT(AQ23,2)="CT"))+128*(ISNUMBER(FIND("BULK",AQ23)))+256*(ISNUMBER(FIND("SIZE",AQ23)))+512*(LEFT(AQ23,3)="CAP")+1024*(ISNUMBER(FIND("ALLERG",AQ23)))+2048*(OR(ISNUMBER(FIND("REMARK",AQ23)),ISNUMBER(FIND("COMMENT",AQ23))))+4096*(OR(ISNUMBER(FIND("QTY",AQ23)),ISNUMBER(FIND("QUANTITY",AQ23))))+8192*(AND(OR(ISNUMBER(FIND("COMPLETE",AQ23)),ISNUMBER(FIND("PCT",AQ23)),ISNUMBER(FIND("PERCENT",AQ23))),NOT(ISNUMBER(FIND("ACTUAL",AQ23))),LEN(AQ23)&lt;=16))+32768*(OR(ISNUMBER(FIND("DESIC",AQ23)),ISNUMBER(FIND("DESSIC",AQ23)))))</f>
        <v/>
      </c>
      <c r="AR158">
        <f>IF(AR23="",0,2*(OR(ISNUMBER(FIND("WORKCENTER",AR23)),AND(LEFT(AR23,4)="LINE",NOT(ISNUMBER(FIND("STATUS",AR23))))))+4*(OR(ISNUMBER(FIND("WORKORDER",AR23)),AND(LEFT(AR23,2)="WO",OR(ISNUMBER(FIND("NUM",AR23)),RIGHT(AR23,2)="NO"))))+8*(LEFT(AR23,3)="SEQ")+16*(AND(LEFT(AR23,4)="ITEM",NOT(ISNUMBER(FIND("DESC",AR23)))))+32*(AND(ISNUMBER(FIND("DESC",AR23)),NOT(ISNUMBER(FIND("CAP",AR23)))))+64*(OR(RIGHT(AR23,5)="COUNT",RIGHT(AR23,2)="CT"))+128*(ISNUMBER(FIND("BULK",AR23)))+256*(ISNUMBER(FIND("SIZE",AR23)))+512*(LEFT(AR23,3)="CAP")+1024*(ISNUMBER(FIND("ALLERG",AR23)))+2048*(OR(ISNUMBER(FIND("REMARK",AR23)),ISNUMBER(FIND("COMMENT",AR23))))+4096*(OR(ISNUMBER(FIND("QTY",AR23)),ISNUMBER(FIND("QUANTITY",AR23))))+8192*(AND(OR(ISNUMBER(FIND("COMPLETE",AR23)),ISNUMBER(FIND("PCT",AR23)),ISNUMBER(FIND("PERCENT",AR23))),NOT(ISNUMBER(FIND("ACTUAL",AR23))),LEN(AR23)&lt;=16))+32768*(OR(ISNUMBER(FIND("DESIC",AR23)),ISNUMBER(FIND("DESSIC",AR23)))))</f>
        <v/>
      </c>
      <c r="AS158">
        <f>IF(AS23="",0,2*(OR(ISNUMBER(FIND("WORKCENTER",AS23)),AND(LEFT(AS23,4)="LINE",NOT(ISNUMBER(FIND("STATUS",AS23))))))+4*(OR(ISNUMBER(FIND("WORKORDER",AS23)),AND(LEFT(AS23,2)="WO",OR(ISNUMBER(FIND("NUM",AS23)),RIGHT(AS23,2)="NO"))))+8*(LEFT(AS23,3)="SEQ")+16*(AND(LEFT(AS23,4)="ITEM",NOT(ISNUMBER(FIND("DESC",AS23)))))+32*(AND(ISNUMBER(FIND("DESC",AS23)),NOT(ISNUMBER(FIND("CAP",AS23)))))+64*(OR(RIGHT(AS23,5)="COUNT",RIGHT(AS23,2)="CT"))+128*(ISNUMBER(FIND("BULK",AS23)))+256*(ISNUMBER(FIND("SIZE",AS23)))+512*(LEFT(AS23,3)="CAP")+1024*(ISNUMBER(FIND("ALLERG",AS23)))+2048*(OR(ISNUMBER(FIND("REMARK",AS23)),ISNUMBER(FIND("COMMENT",AS23))))+4096*(OR(ISNUMBER(FIND("QTY",AS23)),ISNUMBER(FIND("QUANTITY",AS23))))+8192*(AND(OR(ISNUMBER(FIND("COMPLETE",AS23)),ISNUMBER(FIND("PCT",AS23)),ISNUMBER(FIND("PERCENT",AS23))),NOT(ISNUMBER(FIND("ACTUAL",AS23))),LEN(AS23)&lt;=16))+32768*(OR(ISNUMBER(FIND("DESIC",AS23)),ISNUMBER(FIND("DESSIC",AS23)))))</f>
        <v/>
      </c>
      <c r="AT158">
        <f>IF(AT23="",0,2*(OR(ISNUMBER(FIND("WORKCENTER",AT23)),AND(LEFT(AT23,4)="LINE",NOT(ISNUMBER(FIND("STATUS",AT23))))))+4*(OR(ISNUMBER(FIND("WORKORDER",AT23)),AND(LEFT(AT23,2)="WO",OR(ISNUMBER(FIND("NUM",AT23)),RIGHT(AT23,2)="NO"))))+8*(LEFT(AT23,3)="SEQ")+16*(AND(LEFT(AT23,4)="ITEM",NOT(ISNUMBER(FIND("DESC",AT23)))))+32*(AND(ISNUMBER(FIND("DESC",AT23)),NOT(ISNUMBER(FIND("CAP",AT23)))))+64*(OR(RIGHT(AT23,5)="COUNT",RIGHT(AT23,2)="CT"))+128*(ISNUMBER(FIND("BULK",AT23)))+256*(ISNUMBER(FIND("SIZE",AT23)))+512*(LEFT(AT23,3)="CAP")+1024*(ISNUMBER(FIND("ALLERG",AT23)))+2048*(OR(ISNUMBER(FIND("REMARK",AT23)),ISNUMBER(FIND("COMMENT",AT23))))+4096*(OR(ISNUMBER(FIND("QTY",AT23)),ISNUMBER(FIND("QUANTITY",AT23))))+8192*(AND(OR(ISNUMBER(FIND("COMPLETE",AT23)),ISNUMBER(FIND("PCT",AT23)),ISNUMBER(FIND("PERCENT",AT23))),NOT(ISNUMBER(FIND("ACTUAL",AT23))),LEN(AT23)&lt;=16))+32768*(OR(ISNUMBER(FIND("DESIC",AT23)),ISNUMBER(FIND("DESSIC",AT23)))))</f>
        <v/>
      </c>
      <c r="AU158">
        <f>IF(AU23="",0,2*(OR(ISNUMBER(FIND("WORKCENTER",AU23)),AND(LEFT(AU23,4)="LINE",NOT(ISNUMBER(FIND("STATUS",AU23))))))+4*(OR(ISNUMBER(FIND("WORKORDER",AU23)),AND(LEFT(AU23,2)="WO",OR(ISNUMBER(FIND("NUM",AU23)),RIGHT(AU23,2)="NO"))))+8*(LEFT(AU23,3)="SEQ")+16*(AND(LEFT(AU23,4)="ITEM",NOT(ISNUMBER(FIND("DESC",AU23)))))+32*(AND(ISNUMBER(FIND("DESC",AU23)),NOT(ISNUMBER(FIND("CAP",AU23)))))+64*(OR(RIGHT(AU23,5)="COUNT",RIGHT(AU23,2)="CT"))+128*(ISNUMBER(FIND("BULK",AU23)))+256*(ISNUMBER(FIND("SIZE",AU23)))+512*(LEFT(AU23,3)="CAP")+1024*(ISNUMBER(FIND("ALLERG",AU23)))+2048*(OR(ISNUMBER(FIND("REMARK",AU23)),ISNUMBER(FIND("COMMENT",AU23))))+4096*(OR(ISNUMBER(FIND("QTY",AU23)),ISNUMBER(FIND("QUANTITY",AU23))))+8192*(AND(OR(ISNUMBER(FIND("COMPLETE",AU23)),ISNUMBER(FIND("PCT",AU23)),ISNUMBER(FIND("PERCENT",AU23))),NOT(ISNUMBER(FIND("ACTUAL",AU23))),LEN(AU23)&lt;=16))+32768*(OR(ISNUMBER(FIND("DESIC",AU23)),ISNUMBER(FIND("DESSIC",AU23)))))</f>
        <v/>
      </c>
      <c r="AV158">
        <f>IF(AV23="",0,2*(OR(ISNUMBER(FIND("WORKCENTER",AV23)),AND(LEFT(AV23,4)="LINE",NOT(ISNUMBER(FIND("STATUS",AV23))))))+4*(OR(ISNUMBER(FIND("WORKORDER",AV23)),AND(LEFT(AV23,2)="WO",OR(ISNUMBER(FIND("NUM",AV23)),RIGHT(AV23,2)="NO"))))+8*(LEFT(AV23,3)="SEQ")+16*(AND(LEFT(AV23,4)="ITEM",NOT(ISNUMBER(FIND("DESC",AV23)))))+32*(AND(ISNUMBER(FIND("DESC",AV23)),NOT(ISNUMBER(FIND("CAP",AV23)))))+64*(OR(RIGHT(AV23,5)="COUNT",RIGHT(AV23,2)="CT"))+128*(ISNUMBER(FIND("BULK",AV23)))+256*(ISNUMBER(FIND("SIZE",AV23)))+512*(LEFT(AV23,3)="CAP")+1024*(ISNUMBER(FIND("ALLERG",AV23)))+2048*(OR(ISNUMBER(FIND("REMARK",AV23)),ISNUMBER(FIND("COMMENT",AV23))))+4096*(OR(ISNUMBER(FIND("QTY",AV23)),ISNUMBER(FIND("QUANTITY",AV23))))+8192*(AND(OR(ISNUMBER(FIND("COMPLETE",AV23)),ISNUMBER(FIND("PCT",AV23)),ISNUMBER(FIND("PERCENT",AV23))),NOT(ISNUMBER(FIND("ACTUAL",AV23))),LEN(AV23)&lt;=16))+32768*(OR(ISNUMBER(FIND("DESIC",AV23)),ISNUMBER(FIND("DESSIC",AV23)))))</f>
        <v/>
      </c>
      <c r="AW158">
        <f>IF(AW23="",0,2*(OR(ISNUMBER(FIND("WORKCENTER",AW23)),AND(LEFT(AW23,4)="LINE",NOT(ISNUMBER(FIND("STATUS",AW23))))))+4*(OR(ISNUMBER(FIND("WORKORDER",AW23)),AND(LEFT(AW23,2)="WO",OR(ISNUMBER(FIND("NUM",AW23)),RIGHT(AW23,2)="NO"))))+8*(LEFT(AW23,3)="SEQ")+16*(AND(LEFT(AW23,4)="ITEM",NOT(ISNUMBER(FIND("DESC",AW23)))))+32*(AND(ISNUMBER(FIND("DESC",AW23)),NOT(ISNUMBER(FIND("CAP",AW23)))))+64*(OR(RIGHT(AW23,5)="COUNT",RIGHT(AW23,2)="CT"))+128*(ISNUMBER(FIND("BULK",AW23)))+256*(ISNUMBER(FIND("SIZE",AW23)))+512*(LEFT(AW23,3)="CAP")+1024*(ISNUMBER(FIND("ALLERG",AW23)))+2048*(OR(ISNUMBER(FIND("REMARK",AW23)),ISNUMBER(FIND("COMMENT",AW23))))+4096*(OR(ISNUMBER(FIND("QTY",AW23)),ISNUMBER(FIND("QUANTITY",AW23))))+8192*(AND(OR(ISNUMBER(FIND("COMPLETE",AW23)),ISNUMBER(FIND("PCT",AW23)),ISNUMBER(FIND("PERCENT",AW23))),NOT(ISNUMBER(FIND("ACTUAL",AW23))),LEN(AW23)&lt;=16))+32768*(OR(ISNUMBER(FIND("DESIC",AW23)),ISNUMBER(FIND("DESSIC",AW23)))))</f>
        <v/>
      </c>
      <c r="AX158">
        <f>IF(AX23="",0,2*(OR(ISNUMBER(FIND("WORKCENTER",AX23)),AND(LEFT(AX23,4)="LINE",NOT(ISNUMBER(FIND("STATUS",AX23))))))+4*(OR(ISNUMBER(FIND("WORKORDER",AX23)),AND(LEFT(AX23,2)="WO",OR(ISNUMBER(FIND("NUM",AX23)),RIGHT(AX23,2)="NO"))))+8*(LEFT(AX23,3)="SEQ")+16*(AND(LEFT(AX23,4)="ITEM",NOT(ISNUMBER(FIND("DESC",AX23)))))+32*(AND(ISNUMBER(FIND("DESC",AX23)),NOT(ISNUMBER(FIND("CAP",AX23)))))+64*(OR(RIGHT(AX23,5)="COUNT",RIGHT(AX23,2)="CT"))+128*(ISNUMBER(FIND("BULK",AX23)))+256*(ISNUMBER(FIND("SIZE",AX23)))+512*(LEFT(AX23,3)="CAP")+1024*(ISNUMBER(FIND("ALLERG",AX23)))+2048*(OR(ISNUMBER(FIND("REMARK",AX23)),ISNUMBER(FIND("COMMENT",AX23))))+4096*(OR(ISNUMBER(FIND("QTY",AX23)),ISNUMBER(FIND("QUANTITY",AX23))))+8192*(AND(OR(ISNUMBER(FIND("COMPLETE",AX23)),ISNUMBER(FIND("PCT",AX23)),ISNUMBER(FIND("PERCENT",AX23))),NOT(ISNUMBER(FIND("ACTUAL",AX23))),LEN(AX23)&lt;=16))+32768*(OR(ISNUMBER(FIND("DESIC",AX23)),ISNUMBER(FIND("DESSIC",AX23)))))</f>
        <v/>
      </c>
      <c r="AY158">
        <f>IF(AY23="",0,2*(OR(ISNUMBER(FIND("WORKCENTER",AY23)),AND(LEFT(AY23,4)="LINE",NOT(ISNUMBER(FIND("STATUS",AY23))))))+4*(OR(ISNUMBER(FIND("WORKORDER",AY23)),AND(LEFT(AY23,2)="WO",OR(ISNUMBER(FIND("NUM",AY23)),RIGHT(AY23,2)="NO"))))+8*(LEFT(AY23,3)="SEQ")+16*(AND(LEFT(AY23,4)="ITEM",NOT(ISNUMBER(FIND("DESC",AY23)))))+32*(AND(ISNUMBER(FIND("DESC",AY23)),NOT(ISNUMBER(FIND("CAP",AY23)))))+64*(OR(RIGHT(AY23,5)="COUNT",RIGHT(AY23,2)="CT"))+128*(ISNUMBER(FIND("BULK",AY23)))+256*(ISNUMBER(FIND("SIZE",AY23)))+512*(LEFT(AY23,3)="CAP")+1024*(ISNUMBER(FIND("ALLERG",AY23)))+2048*(OR(ISNUMBER(FIND("REMARK",AY23)),ISNUMBER(FIND("COMMENT",AY23))))+4096*(OR(ISNUMBER(FIND("QTY",AY23)),ISNUMBER(FIND("QUANTITY",AY23))))+8192*(AND(OR(ISNUMBER(FIND("COMPLETE",AY23)),ISNUMBER(FIND("PCT",AY23)),ISNUMBER(FIND("PERCENT",AY23))),NOT(ISNUMBER(FIND("ACTUAL",AY23))),LEN(AY23)&lt;=16))+32768*(OR(ISNUMBER(FIND("DESIC",AY23)),ISNUMBER(FIND("DESSIC",AY23)))))</f>
        <v/>
      </c>
      <c r="AZ158">
        <f>IF(AZ23="",0,2*(OR(ISNUMBER(FIND("WORKCENTER",AZ23)),AND(LEFT(AZ23,4)="LINE",NOT(ISNUMBER(FIND("STATUS",AZ23))))))+4*(OR(ISNUMBER(FIND("WORKORDER",AZ23)),AND(LEFT(AZ23,2)="WO",OR(ISNUMBER(FIND("NUM",AZ23)),RIGHT(AZ23,2)="NO"))))+8*(LEFT(AZ23,3)="SEQ")+16*(AND(LEFT(AZ23,4)="ITEM",NOT(ISNUMBER(FIND("DESC",AZ23)))))+32*(AND(ISNUMBER(FIND("DESC",AZ23)),NOT(ISNUMBER(FIND("CAP",AZ23)))))+64*(OR(RIGHT(AZ23,5)="COUNT",RIGHT(AZ23,2)="CT"))+128*(ISNUMBER(FIND("BULK",AZ23)))+256*(ISNUMBER(FIND("SIZE",AZ23)))+512*(LEFT(AZ23,3)="CAP")+1024*(ISNUMBER(FIND("ALLERG",AZ23)))+2048*(OR(ISNUMBER(FIND("REMARK",AZ23)),ISNUMBER(FIND("COMMENT",AZ23))))+4096*(OR(ISNUMBER(FIND("QTY",AZ23)),ISNUMBER(FIND("QUANTITY",AZ23))))+8192*(AND(OR(ISNUMBER(FIND("COMPLETE",AZ23)),ISNUMBER(FIND("PCT",AZ23)),ISNUMBER(FIND("PERCENT",AZ23))),NOT(ISNUMBER(FIND("ACTUAL",AZ23))),LEN(AZ23)&lt;=16))+32768*(OR(ISNUMBER(FIND("DESIC",AZ23)),ISNUMBER(FIND("DESSIC",AZ23)))))</f>
        <v/>
      </c>
      <c r="BA158">
        <f>IF(BA23="",0,2*(OR(ISNUMBER(FIND("WORKCENTER",BA23)),AND(LEFT(BA23,4)="LINE",NOT(ISNUMBER(FIND("STATUS",BA23))))))+4*(OR(ISNUMBER(FIND("WORKORDER",BA23)),AND(LEFT(BA23,2)="WO",OR(ISNUMBER(FIND("NUM",BA23)),RIGHT(BA23,2)="NO"))))+8*(LEFT(BA23,3)="SEQ")+16*(AND(LEFT(BA23,4)="ITEM",NOT(ISNUMBER(FIND("DESC",BA23)))))+32*(AND(ISNUMBER(FIND("DESC",BA23)),NOT(ISNUMBER(FIND("CAP",BA23)))))+64*(OR(RIGHT(BA23,5)="COUNT",RIGHT(BA23,2)="CT"))+128*(ISNUMBER(FIND("BULK",BA23)))+256*(ISNUMBER(FIND("SIZE",BA23)))+512*(LEFT(BA23,3)="CAP")+1024*(ISNUMBER(FIND("ALLERG",BA23)))+2048*(OR(ISNUMBER(FIND("REMARK",BA23)),ISNUMBER(FIND("COMMENT",BA23))))+4096*(OR(ISNUMBER(FIND("QTY",BA23)),ISNUMBER(FIND("QUANTITY",BA23))))+8192*(AND(OR(ISNUMBER(FIND("COMPLETE",BA23)),ISNUMBER(FIND("PCT",BA23)),ISNUMBER(FIND("PERCENT",BA23))),NOT(ISNUMBER(FIND("ACTUAL",BA23))),LEN(BA23)&lt;=16))+32768*(OR(ISNUMBER(FIND("DESIC",BA23)),ISNUMBER(FIND("DESSIC",BA23)))))</f>
        <v/>
      </c>
      <c r="BB158">
        <f>IF(BB23="",0,2*(OR(ISNUMBER(FIND("WORKCENTER",BB23)),AND(LEFT(BB23,4)="LINE",NOT(ISNUMBER(FIND("STATUS",BB23))))))+4*(OR(ISNUMBER(FIND("WORKORDER",BB23)),AND(LEFT(BB23,2)="WO",OR(ISNUMBER(FIND("NUM",BB23)),RIGHT(BB23,2)="NO"))))+8*(LEFT(BB23,3)="SEQ")+16*(AND(LEFT(BB23,4)="ITEM",NOT(ISNUMBER(FIND("DESC",BB23)))))+32*(AND(ISNUMBER(FIND("DESC",BB23)),NOT(ISNUMBER(FIND("CAP",BB23)))))+64*(OR(RIGHT(BB23,5)="COUNT",RIGHT(BB23,2)="CT"))+128*(ISNUMBER(FIND("BULK",BB23)))+256*(ISNUMBER(FIND("SIZE",BB23)))+512*(LEFT(BB23,3)="CAP")+1024*(ISNUMBER(FIND("ALLERG",BB23)))+2048*(OR(ISNUMBER(FIND("REMARK",BB23)),ISNUMBER(FIND("COMMENT",BB23))))+4096*(OR(ISNUMBER(FIND("QTY",BB23)),ISNUMBER(FIND("QUANTITY",BB23))))+8192*(AND(OR(ISNUMBER(FIND("COMPLETE",BB23)),ISNUMBER(FIND("PCT",BB23)),ISNUMBER(FIND("PERCENT",BB23))),NOT(ISNUMBER(FIND("ACTUAL",BB23))),LEN(BB23)&lt;=16))+32768*(OR(ISNUMBER(FIND("DESIC",BB23)),ISNUMBER(FIND("DESSIC",BB23)))))</f>
        <v/>
      </c>
      <c r="BC158">
        <f>IF(BC23="",0,2*(OR(ISNUMBER(FIND("WORKCENTER",BC23)),AND(LEFT(BC23,4)="LINE",NOT(ISNUMBER(FIND("STATUS",BC23))))))+4*(OR(ISNUMBER(FIND("WORKORDER",BC23)),AND(LEFT(BC23,2)="WO",OR(ISNUMBER(FIND("NUM",BC23)),RIGHT(BC23,2)="NO"))))+8*(LEFT(BC23,3)="SEQ")+16*(AND(LEFT(BC23,4)="ITEM",NOT(ISNUMBER(FIND("DESC",BC23)))))+32*(AND(ISNUMBER(FIND("DESC",BC23)),NOT(ISNUMBER(FIND("CAP",BC23)))))+64*(OR(RIGHT(BC23,5)="COUNT",RIGHT(BC23,2)="CT"))+128*(ISNUMBER(FIND("BULK",BC23)))+256*(ISNUMBER(FIND("SIZE",BC23)))+512*(LEFT(BC23,3)="CAP")+1024*(ISNUMBER(FIND("ALLERG",BC23)))+2048*(OR(ISNUMBER(FIND("REMARK",BC23)),ISNUMBER(FIND("COMMENT",BC23))))+4096*(OR(ISNUMBER(FIND("QTY",BC23)),ISNUMBER(FIND("QUANTITY",BC23))))+8192*(AND(OR(ISNUMBER(FIND("COMPLETE",BC23)),ISNUMBER(FIND("PCT",BC23)),ISNUMBER(FIND("PERCENT",BC23))),NOT(ISNUMBER(FIND("ACTUAL",BC23))),LEN(BC23)&lt;=16))+32768*(OR(ISNUMBER(FIND("DESIC",BC23)),ISNUMBER(FIND("DESSIC",BC23)))))</f>
        <v/>
      </c>
      <c r="BD158">
        <f>IF(BD23="",0,2*(OR(ISNUMBER(FIND("WORKCENTER",BD23)),AND(LEFT(BD23,4)="LINE",NOT(ISNUMBER(FIND("STATUS",BD23))))))+4*(OR(ISNUMBER(FIND("WORKORDER",BD23)),AND(LEFT(BD23,2)="WO",OR(ISNUMBER(FIND("NUM",BD23)),RIGHT(BD23,2)="NO"))))+8*(LEFT(BD23,3)="SEQ")+16*(AND(LEFT(BD23,4)="ITEM",NOT(ISNUMBER(FIND("DESC",BD23)))))+32*(AND(ISNUMBER(FIND("DESC",BD23)),NOT(ISNUMBER(FIND("CAP",BD23)))))+64*(OR(RIGHT(BD23,5)="COUNT",RIGHT(BD23,2)="CT"))+128*(ISNUMBER(FIND("BULK",BD23)))+256*(ISNUMBER(FIND("SIZE",BD23)))+512*(LEFT(BD23,3)="CAP")+1024*(ISNUMBER(FIND("ALLERG",BD23)))+2048*(OR(ISNUMBER(FIND("REMARK",BD23)),ISNUMBER(FIND("COMMENT",BD23))))+4096*(OR(ISNUMBER(FIND("QTY",BD23)),ISNUMBER(FIND("QUANTITY",BD23))))+8192*(AND(OR(ISNUMBER(FIND("COMPLETE",BD23)),ISNUMBER(FIND("PCT",BD23)),ISNUMBER(FIND("PERCENT",BD23))),NOT(ISNUMBER(FIND("ACTUAL",BD23))),LEN(BD23)&lt;=16))+32768*(OR(ISNUMBER(FIND("DESIC",BD23)),ISNUMBER(FIND("DESSIC",BD23)))))</f>
        <v/>
      </c>
      <c r="BE158">
        <f>IF(BE23="",0,2*(OR(ISNUMBER(FIND("WORKCENTER",BE23)),AND(LEFT(BE23,4)="LINE",NOT(ISNUMBER(FIND("STATUS",BE23))))))+4*(OR(ISNUMBER(FIND("WORKORDER",BE23)),AND(LEFT(BE23,2)="WO",OR(ISNUMBER(FIND("NUM",BE23)),RIGHT(BE23,2)="NO"))))+8*(LEFT(BE23,3)="SEQ")+16*(AND(LEFT(BE23,4)="ITEM",NOT(ISNUMBER(FIND("DESC",BE23)))))+32*(AND(ISNUMBER(FIND("DESC",BE23)),NOT(ISNUMBER(FIND("CAP",BE23)))))+64*(OR(RIGHT(BE23,5)="COUNT",RIGHT(BE23,2)="CT"))+128*(ISNUMBER(FIND("BULK",BE23)))+256*(ISNUMBER(FIND("SIZE",BE23)))+512*(LEFT(BE23,3)="CAP")+1024*(ISNUMBER(FIND("ALLERG",BE23)))+2048*(OR(ISNUMBER(FIND("REMARK",BE23)),ISNUMBER(FIND("COMMENT",BE23))))+4096*(OR(ISNUMBER(FIND("QTY",BE23)),ISNUMBER(FIND("QUANTITY",BE23))))+8192*(AND(OR(ISNUMBER(FIND("COMPLETE",BE23)),ISNUMBER(FIND("PCT",BE23)),ISNUMBER(FIND("PERCENT",BE23))),NOT(ISNUMBER(FIND("ACTUAL",BE23))),LEN(BE23)&lt;=16))+32768*(OR(ISNUMBER(FIND("DESIC",BE23)),ISNUMBER(FIND("DESSIC",BE23)))))</f>
        <v/>
      </c>
      <c r="BF158">
        <f>IF(BF23="",0,2*(OR(ISNUMBER(FIND("WORKCENTER",BF23)),AND(LEFT(BF23,4)="LINE",NOT(ISNUMBER(FIND("STATUS",BF23))))))+4*(OR(ISNUMBER(FIND("WORKORDER",BF23)),AND(LEFT(BF23,2)="WO",OR(ISNUMBER(FIND("NUM",BF23)),RIGHT(BF23,2)="NO"))))+8*(LEFT(BF23,3)="SEQ")+16*(AND(LEFT(BF23,4)="ITEM",NOT(ISNUMBER(FIND("DESC",BF23)))))+32*(AND(ISNUMBER(FIND("DESC",BF23)),NOT(ISNUMBER(FIND("CAP",BF23)))))+64*(OR(RIGHT(BF23,5)="COUNT",RIGHT(BF23,2)="CT"))+128*(ISNUMBER(FIND("BULK",BF23)))+256*(ISNUMBER(FIND("SIZE",BF23)))+512*(LEFT(BF23,3)="CAP")+1024*(ISNUMBER(FIND("ALLERG",BF23)))+2048*(OR(ISNUMBER(FIND("REMARK",BF23)),ISNUMBER(FIND("COMMENT",BF23))))+4096*(OR(ISNUMBER(FIND("QTY",BF23)),ISNUMBER(FIND("QUANTITY",BF23))))+8192*(AND(OR(ISNUMBER(FIND("COMPLETE",BF23)),ISNUMBER(FIND("PCT",BF23)),ISNUMBER(FIND("PERCENT",BF23))),NOT(ISNUMBER(FIND("ACTUAL",BF23))),LEN(BF23)&lt;=16))+32768*(OR(ISNUMBER(FIND("DESIC",BF23)),ISNUMBER(FIND("DESSIC",BF23)))))</f>
        <v/>
      </c>
      <c r="BG158">
        <f>IF(BG23="",0,2*(OR(ISNUMBER(FIND("WORKCENTER",BG23)),AND(LEFT(BG23,4)="LINE",NOT(ISNUMBER(FIND("STATUS",BG23))))))+4*(OR(ISNUMBER(FIND("WORKORDER",BG23)),AND(LEFT(BG23,2)="WO",OR(ISNUMBER(FIND("NUM",BG23)),RIGHT(BG23,2)="NO"))))+8*(LEFT(BG23,3)="SEQ")+16*(AND(LEFT(BG23,4)="ITEM",NOT(ISNUMBER(FIND("DESC",BG23)))))+32*(AND(ISNUMBER(FIND("DESC",BG23)),NOT(ISNUMBER(FIND("CAP",BG23)))))+64*(OR(RIGHT(BG23,5)="COUNT",RIGHT(BG23,2)="CT"))+128*(ISNUMBER(FIND("BULK",BG23)))+256*(ISNUMBER(FIND("SIZE",BG23)))+512*(LEFT(BG23,3)="CAP")+1024*(ISNUMBER(FIND("ALLERG",BG23)))+2048*(OR(ISNUMBER(FIND("REMARK",BG23)),ISNUMBER(FIND("COMMENT",BG23))))+4096*(OR(ISNUMBER(FIND("QTY",BG23)),ISNUMBER(FIND("QUANTITY",BG23))))+8192*(AND(OR(ISNUMBER(FIND("COMPLETE",BG23)),ISNUMBER(FIND("PCT",BG23)),ISNUMBER(FIND("PERCENT",BG23))),NOT(ISNUMBER(FIND("ACTUAL",BG23))),LEN(BG23)&lt;=16))+32768*(OR(ISNUMBER(FIND("DESIC",BG23)),ISNUMBER(FIND("DESSIC",BG23)))))</f>
        <v/>
      </c>
      <c r="BH158">
        <f>IF(BH23="",0,2*(OR(ISNUMBER(FIND("WORKCENTER",BH23)),AND(LEFT(BH23,4)="LINE",NOT(ISNUMBER(FIND("STATUS",BH23))))))+4*(OR(ISNUMBER(FIND("WORKORDER",BH23)),AND(LEFT(BH23,2)="WO",OR(ISNUMBER(FIND("NUM",BH23)),RIGHT(BH23,2)="NO"))))+8*(LEFT(BH23,3)="SEQ")+16*(AND(LEFT(BH23,4)="ITEM",NOT(ISNUMBER(FIND("DESC",BH23)))))+32*(AND(ISNUMBER(FIND("DESC",BH23)),NOT(ISNUMBER(FIND("CAP",BH23)))))+64*(OR(RIGHT(BH23,5)="COUNT",RIGHT(BH23,2)="CT"))+128*(ISNUMBER(FIND("BULK",BH23)))+256*(ISNUMBER(FIND("SIZE",BH23)))+512*(LEFT(BH23,3)="CAP")+1024*(ISNUMBER(FIND("ALLERG",BH23)))+2048*(OR(ISNUMBER(FIND("REMARK",BH23)),ISNUMBER(FIND("COMMENT",BH23))))+4096*(OR(ISNUMBER(FIND("QTY",BH23)),ISNUMBER(FIND("QUANTITY",BH23))))+8192*(AND(OR(ISNUMBER(FIND("COMPLETE",BH23)),ISNUMBER(FIND("PCT",BH23)),ISNUMBER(FIND("PERCENT",BH23))),NOT(ISNUMBER(FIND("ACTUAL",BH23))),LEN(BH23)&lt;=16))+32768*(OR(ISNUMBER(FIND("DESIC",BH23)),ISNUMBER(FIND("DESSIC",BH23)))))</f>
        <v/>
      </c>
      <c r="BI158">
        <f>IF(BI23="",0,2*(OR(ISNUMBER(FIND("WORKCENTER",BI23)),AND(LEFT(BI23,4)="LINE",NOT(ISNUMBER(FIND("STATUS",BI23))))))+4*(OR(ISNUMBER(FIND("WORKORDER",BI23)),AND(LEFT(BI23,2)="WO",OR(ISNUMBER(FIND("NUM",BI23)),RIGHT(BI23,2)="NO"))))+8*(LEFT(BI23,3)="SEQ")+16*(AND(LEFT(BI23,4)="ITEM",NOT(ISNUMBER(FIND("DESC",BI23)))))+32*(AND(ISNUMBER(FIND("DESC",BI23)),NOT(ISNUMBER(FIND("CAP",BI23)))))+64*(OR(RIGHT(BI23,5)="COUNT",RIGHT(BI23,2)="CT"))+128*(ISNUMBER(FIND("BULK",BI23)))+256*(ISNUMBER(FIND("SIZE",BI23)))+512*(LEFT(BI23,3)="CAP")+1024*(ISNUMBER(FIND("ALLERG",BI23)))+2048*(OR(ISNUMBER(FIND("REMARK",BI23)),ISNUMBER(FIND("COMMENT",BI23))))+4096*(OR(ISNUMBER(FIND("QTY",BI23)),ISNUMBER(FIND("QUANTITY",BI23))))+8192*(AND(OR(ISNUMBER(FIND("COMPLETE",BI23)),ISNUMBER(FIND("PCT",BI23)),ISNUMBER(FIND("PERCENT",BI23))),NOT(ISNUMBER(FIND("ACTUAL",BI23))),LEN(BI23)&lt;=16))+32768*(OR(ISNUMBER(FIND("DESIC",BI23)),ISNUMBER(FIND("DESSIC",BI23)))))</f>
        <v/>
      </c>
      <c r="BJ158">
        <f>IF(BJ23="",0,2*(OR(ISNUMBER(FIND("WORKCENTER",BJ23)),AND(LEFT(BJ23,4)="LINE",NOT(ISNUMBER(FIND("STATUS",BJ23))))))+4*(OR(ISNUMBER(FIND("WORKORDER",BJ23)),AND(LEFT(BJ23,2)="WO",OR(ISNUMBER(FIND("NUM",BJ23)),RIGHT(BJ23,2)="NO"))))+8*(LEFT(BJ23,3)="SEQ")+16*(AND(LEFT(BJ23,4)="ITEM",NOT(ISNUMBER(FIND("DESC",BJ23)))))+32*(AND(ISNUMBER(FIND("DESC",BJ23)),NOT(ISNUMBER(FIND("CAP",BJ23)))))+64*(OR(RIGHT(BJ23,5)="COUNT",RIGHT(BJ23,2)="CT"))+128*(ISNUMBER(FIND("BULK",BJ23)))+256*(ISNUMBER(FIND("SIZE",BJ23)))+512*(LEFT(BJ23,3)="CAP")+1024*(ISNUMBER(FIND("ALLERG",BJ23)))+2048*(OR(ISNUMBER(FIND("REMARK",BJ23)),ISNUMBER(FIND("COMMENT",BJ23))))+4096*(OR(ISNUMBER(FIND("QTY",BJ23)),ISNUMBER(FIND("QUANTITY",BJ23))))+8192*(AND(OR(ISNUMBER(FIND("COMPLETE",BJ23)),ISNUMBER(FIND("PCT",BJ23)),ISNUMBER(FIND("PERCENT",BJ23))),NOT(ISNUMBER(FIND("ACTUAL",BJ23))),LEN(BJ23)&lt;=16))+32768*(OR(ISNUMBER(FIND("DESIC",BJ23)),ISNUMBER(FIND("DESSIC",BJ23)))))</f>
        <v/>
      </c>
      <c r="BK158">
        <f>IF(BK23="",0,2*(OR(ISNUMBER(FIND("WORKCENTER",BK23)),AND(LEFT(BK23,4)="LINE",NOT(ISNUMBER(FIND("STATUS",BK23))))))+4*(OR(ISNUMBER(FIND("WORKORDER",BK23)),AND(LEFT(BK23,2)="WO",OR(ISNUMBER(FIND("NUM",BK23)),RIGHT(BK23,2)="NO"))))+8*(LEFT(BK23,3)="SEQ")+16*(AND(LEFT(BK23,4)="ITEM",NOT(ISNUMBER(FIND("DESC",BK23)))))+32*(AND(ISNUMBER(FIND("DESC",BK23)),NOT(ISNUMBER(FIND("CAP",BK23)))))+64*(OR(RIGHT(BK23,5)="COUNT",RIGHT(BK23,2)="CT"))+128*(ISNUMBER(FIND("BULK",BK23)))+256*(ISNUMBER(FIND("SIZE",BK23)))+512*(LEFT(BK23,3)="CAP")+1024*(ISNUMBER(FIND("ALLERG",BK23)))+2048*(OR(ISNUMBER(FIND("REMARK",BK23)),ISNUMBER(FIND("COMMENT",BK23))))+4096*(OR(ISNUMBER(FIND("QTY",BK23)),ISNUMBER(FIND("QUANTITY",BK23))))+8192*(AND(OR(ISNUMBER(FIND("COMPLETE",BK23)),ISNUMBER(FIND("PCT",BK23)),ISNUMBER(FIND("PERCENT",BK23))),NOT(ISNUMBER(FIND("ACTUAL",BK23))),LEN(BK23)&lt;=16))+32768*(OR(ISNUMBER(FIND("DESIC",BK23)),ISNUMBER(FIND("DESSIC",BK23)))))</f>
        <v/>
      </c>
      <c r="BL158">
        <f>IF(BL23="",0,2*(OR(ISNUMBER(FIND("WORKCENTER",BL23)),AND(LEFT(BL23,4)="LINE",NOT(ISNUMBER(FIND("STATUS",BL23))))))+4*(OR(ISNUMBER(FIND("WORKORDER",BL23)),AND(LEFT(BL23,2)="WO",OR(ISNUMBER(FIND("NUM",BL23)),RIGHT(BL23,2)="NO"))))+8*(LEFT(BL23,3)="SEQ")+16*(AND(LEFT(BL23,4)="ITEM",NOT(ISNUMBER(FIND("DESC",BL23)))))+32*(AND(ISNUMBER(FIND("DESC",BL23)),NOT(ISNUMBER(FIND("CAP",BL23)))))+64*(OR(RIGHT(BL23,5)="COUNT",RIGHT(BL23,2)="CT"))+128*(ISNUMBER(FIND("BULK",BL23)))+256*(ISNUMBER(FIND("SIZE",BL23)))+512*(LEFT(BL23,3)="CAP")+1024*(ISNUMBER(FIND("ALLERG",BL23)))+2048*(OR(ISNUMBER(FIND("REMARK",BL23)),ISNUMBER(FIND("COMMENT",BL23))))+4096*(OR(ISNUMBER(FIND("QTY",BL23)),ISNUMBER(FIND("QUANTITY",BL23))))+8192*(AND(OR(ISNUMBER(FIND("COMPLETE",BL23)),ISNUMBER(FIND("PCT",BL23)),ISNUMBER(FIND("PERCENT",BL23))),NOT(ISNUMBER(FIND("ACTUAL",BL23))),LEN(BL23)&lt;=16))+32768*(OR(ISNUMBER(FIND("DESIC",BL23)),ISNUMBER(FIND("DESSIC",BL23)))))</f>
        <v/>
      </c>
      <c r="BM158">
        <f>IF(BM23="",0,2*(OR(ISNUMBER(FIND("WORKCENTER",BM23)),AND(LEFT(BM23,4)="LINE",NOT(ISNUMBER(FIND("STATUS",BM23))))))+4*(OR(ISNUMBER(FIND("WORKORDER",BM23)),AND(LEFT(BM23,2)="WO",OR(ISNUMBER(FIND("NUM",BM23)),RIGHT(BM23,2)="NO"))))+8*(LEFT(BM23,3)="SEQ")+16*(AND(LEFT(BM23,4)="ITEM",NOT(ISNUMBER(FIND("DESC",BM23)))))+32*(AND(ISNUMBER(FIND("DESC",BM23)),NOT(ISNUMBER(FIND("CAP",BM23)))))+64*(OR(RIGHT(BM23,5)="COUNT",RIGHT(BM23,2)="CT"))+128*(ISNUMBER(FIND("BULK",BM23)))+256*(ISNUMBER(FIND("SIZE",BM23)))+512*(LEFT(BM23,3)="CAP")+1024*(ISNUMBER(FIND("ALLERG",BM23)))+2048*(OR(ISNUMBER(FIND("REMARK",BM23)),ISNUMBER(FIND("COMMENT",BM23))))+4096*(OR(ISNUMBER(FIND("QTY",BM23)),ISNUMBER(FIND("QUANTITY",BM23))))+8192*(AND(OR(ISNUMBER(FIND("COMPLETE",BM23)),ISNUMBER(FIND("PCT",BM23)),ISNUMBER(FIND("PERCENT",BM23))),NOT(ISNUMBER(FIND("ACTUAL",BM23))),LEN(BM23)&lt;=16))+32768*(OR(ISNUMBER(FIND("DESIC",BM23)),ISNUMBER(FIND("DESSIC",BM23)))))</f>
        <v/>
      </c>
      <c r="BN158">
        <f>IF(BN23="",0,2*(OR(ISNUMBER(FIND("WORKCENTER",BN23)),AND(LEFT(BN23,4)="LINE",NOT(ISNUMBER(FIND("STATUS",BN23))))))+4*(OR(ISNUMBER(FIND("WORKORDER",BN23)),AND(LEFT(BN23,2)="WO",OR(ISNUMBER(FIND("NUM",BN23)),RIGHT(BN23,2)="NO"))))+8*(LEFT(BN23,3)="SEQ")+16*(AND(LEFT(BN23,4)="ITEM",NOT(ISNUMBER(FIND("DESC",BN23)))))+32*(AND(ISNUMBER(FIND("DESC",BN23)),NOT(ISNUMBER(FIND("CAP",BN23)))))+64*(OR(RIGHT(BN23,5)="COUNT",RIGHT(BN23,2)="CT"))+128*(ISNUMBER(FIND("BULK",BN23)))+256*(ISNUMBER(FIND("SIZE",BN23)))+512*(LEFT(BN23,3)="CAP")+1024*(ISNUMBER(FIND("ALLERG",BN23)))+2048*(OR(ISNUMBER(FIND("REMARK",BN23)),ISNUMBER(FIND("COMMENT",BN23))))+4096*(OR(ISNUMBER(FIND("QTY",BN23)),ISNUMBER(FIND("QUANTITY",BN23))))+8192*(AND(OR(ISNUMBER(FIND("COMPLETE",BN23)),ISNUMBER(FIND("PCT",BN23)),ISNUMBER(FIND("PERCENT",BN23))),NOT(ISNUMBER(FIND("ACTUAL",BN23))),LEN(BN23)&lt;=16))+32768*(OR(ISNUMBER(FIND("DESIC",BN23)),ISNUMBER(FIND("DESSIC",BN23)))))</f>
        <v/>
      </c>
      <c r="BO158">
        <f>IF(BO23="",0,2*(OR(ISNUMBER(FIND("WORKCENTER",BO23)),AND(LEFT(BO23,4)="LINE",NOT(ISNUMBER(FIND("STATUS",BO23))))))+4*(OR(ISNUMBER(FIND("WORKORDER",BO23)),AND(LEFT(BO23,2)="WO",OR(ISNUMBER(FIND("NUM",BO23)),RIGHT(BO23,2)="NO"))))+8*(LEFT(BO23,3)="SEQ")+16*(AND(LEFT(BO23,4)="ITEM",NOT(ISNUMBER(FIND("DESC",BO23)))))+32*(AND(ISNUMBER(FIND("DESC",BO23)),NOT(ISNUMBER(FIND("CAP",BO23)))))+64*(OR(RIGHT(BO23,5)="COUNT",RIGHT(BO23,2)="CT"))+128*(ISNUMBER(FIND("BULK",BO23)))+256*(ISNUMBER(FIND("SIZE",BO23)))+512*(LEFT(BO23,3)="CAP")+1024*(ISNUMBER(FIND("ALLERG",BO23)))+2048*(OR(ISNUMBER(FIND("REMARK",BO23)),ISNUMBER(FIND("COMMENT",BO23))))+4096*(OR(ISNUMBER(FIND("QTY",BO23)),ISNUMBER(FIND("QUANTITY",BO23))))+8192*(AND(OR(ISNUMBER(FIND("COMPLETE",BO23)),ISNUMBER(FIND("PCT",BO23)),ISNUMBER(FIND("PERCENT",BO23))),NOT(ISNUMBER(FIND("ACTUAL",BO23))),LEN(BO23)&lt;=16))+32768*(OR(ISNUMBER(FIND("DESIC",BO23)),ISNUMBER(FIND("DESSIC",BO23)))))</f>
        <v/>
      </c>
      <c r="BP158">
        <f>IF(BP23="",0,2*(OR(ISNUMBER(FIND("WORKCENTER",BP23)),AND(LEFT(BP23,4)="LINE",NOT(ISNUMBER(FIND("STATUS",BP23))))))+4*(OR(ISNUMBER(FIND("WORKORDER",BP23)),AND(LEFT(BP23,2)="WO",OR(ISNUMBER(FIND("NUM",BP23)),RIGHT(BP23,2)="NO"))))+8*(LEFT(BP23,3)="SEQ")+16*(AND(LEFT(BP23,4)="ITEM",NOT(ISNUMBER(FIND("DESC",BP23)))))+32*(AND(ISNUMBER(FIND("DESC",BP23)),NOT(ISNUMBER(FIND("CAP",BP23)))))+64*(OR(RIGHT(BP23,5)="COUNT",RIGHT(BP23,2)="CT"))+128*(ISNUMBER(FIND("BULK",BP23)))+256*(ISNUMBER(FIND("SIZE",BP23)))+512*(LEFT(BP23,3)="CAP")+1024*(ISNUMBER(FIND("ALLERG",BP23)))+2048*(OR(ISNUMBER(FIND("REMARK",BP23)),ISNUMBER(FIND("COMMENT",BP23))))+4096*(OR(ISNUMBER(FIND("QTY",BP23)),ISNUMBER(FIND("QUANTITY",BP23))))+8192*(AND(OR(ISNUMBER(FIND("COMPLETE",BP23)),ISNUMBER(FIND("PCT",BP23)),ISNUMBER(FIND("PERCENT",BP23))),NOT(ISNUMBER(FIND("ACTUAL",BP23))),LEN(BP23)&lt;=16))+32768*(OR(ISNUMBER(FIND("DESIC",BP23)),ISNUMBER(FIND("DESSIC",BP23)))))</f>
        <v/>
      </c>
      <c r="BQ158">
        <f>IF(BQ23="",0,2*(OR(ISNUMBER(FIND("WORKCENTER",BQ23)),AND(LEFT(BQ23,4)="LINE",NOT(ISNUMBER(FIND("STATUS",BQ23))))))+4*(OR(ISNUMBER(FIND("WORKORDER",BQ23)),AND(LEFT(BQ23,2)="WO",OR(ISNUMBER(FIND("NUM",BQ23)),RIGHT(BQ23,2)="NO"))))+8*(LEFT(BQ23,3)="SEQ")+16*(AND(LEFT(BQ23,4)="ITEM",NOT(ISNUMBER(FIND("DESC",BQ23)))))+32*(AND(ISNUMBER(FIND("DESC",BQ23)),NOT(ISNUMBER(FIND("CAP",BQ23)))))+64*(OR(RIGHT(BQ23,5)="COUNT",RIGHT(BQ23,2)="CT"))+128*(ISNUMBER(FIND("BULK",BQ23)))+256*(ISNUMBER(FIND("SIZE",BQ23)))+512*(LEFT(BQ23,3)="CAP")+1024*(ISNUMBER(FIND("ALLERG",BQ23)))+2048*(OR(ISNUMBER(FIND("REMARK",BQ23)),ISNUMBER(FIND("COMMENT",BQ23))))+4096*(OR(ISNUMBER(FIND("QTY",BQ23)),ISNUMBER(FIND("QUANTITY",BQ23))))+8192*(AND(OR(ISNUMBER(FIND("COMPLETE",BQ23)),ISNUMBER(FIND("PCT",BQ23)),ISNUMBER(FIND("PERCENT",BQ23))),NOT(ISNUMBER(FIND("ACTUAL",BQ23))),LEN(BQ23)&lt;=16))+32768*(OR(ISNUMBER(FIND("DESIC",BQ23)),ISNUMBER(FIND("DESSIC",BQ23)))))</f>
        <v/>
      </c>
      <c r="BR158">
        <f>IF(BR23="",0,2*(OR(ISNUMBER(FIND("WORKCENTER",BR23)),AND(LEFT(BR23,4)="LINE",NOT(ISNUMBER(FIND("STATUS",BR23))))))+4*(OR(ISNUMBER(FIND("WORKORDER",BR23)),AND(LEFT(BR23,2)="WO",OR(ISNUMBER(FIND("NUM",BR23)),RIGHT(BR23,2)="NO"))))+8*(LEFT(BR23,3)="SEQ")+16*(AND(LEFT(BR23,4)="ITEM",NOT(ISNUMBER(FIND("DESC",BR23)))))+32*(AND(ISNUMBER(FIND("DESC",BR23)),NOT(ISNUMBER(FIND("CAP",BR23)))))+64*(OR(RIGHT(BR23,5)="COUNT",RIGHT(BR23,2)="CT"))+128*(ISNUMBER(FIND("BULK",BR23)))+256*(ISNUMBER(FIND("SIZE",BR23)))+512*(LEFT(BR23,3)="CAP")+1024*(ISNUMBER(FIND("ALLERG",BR23)))+2048*(OR(ISNUMBER(FIND("REMARK",BR23)),ISNUMBER(FIND("COMMENT",BR23))))+4096*(OR(ISNUMBER(FIND("QTY",BR23)),ISNUMBER(FIND("QUANTITY",BR23))))+8192*(AND(OR(ISNUMBER(FIND("COMPLETE",BR23)),ISNUMBER(FIND("PCT",BR23)),ISNUMBER(FIND("PERCENT",BR23))),NOT(ISNUMBER(FIND("ACTUAL",BR23))),LEN(BR23)&lt;=16))+32768*(OR(ISNUMBER(FIND("DESIC",BR23)),ISNUMBER(FIND("DESSIC",BR23)))))</f>
        <v/>
      </c>
      <c r="BS158">
        <f>IF(BS23="",0,2*(OR(ISNUMBER(FIND("WORKCENTER",BS23)),AND(LEFT(BS23,4)="LINE",NOT(ISNUMBER(FIND("STATUS",BS23))))))+4*(OR(ISNUMBER(FIND("WORKORDER",BS23)),AND(LEFT(BS23,2)="WO",OR(ISNUMBER(FIND("NUM",BS23)),RIGHT(BS23,2)="NO"))))+8*(LEFT(BS23,3)="SEQ")+16*(AND(LEFT(BS23,4)="ITEM",NOT(ISNUMBER(FIND("DESC",BS23)))))+32*(AND(ISNUMBER(FIND("DESC",BS23)),NOT(ISNUMBER(FIND("CAP",BS23)))))+64*(OR(RIGHT(BS23,5)="COUNT",RIGHT(BS23,2)="CT"))+128*(ISNUMBER(FIND("BULK",BS23)))+256*(ISNUMBER(FIND("SIZE",BS23)))+512*(LEFT(BS23,3)="CAP")+1024*(ISNUMBER(FIND("ALLERG",BS23)))+2048*(OR(ISNUMBER(FIND("REMARK",BS23)),ISNUMBER(FIND("COMMENT",BS23))))+4096*(OR(ISNUMBER(FIND("QTY",BS23)),ISNUMBER(FIND("QUANTITY",BS23))))+8192*(AND(OR(ISNUMBER(FIND("COMPLETE",BS23)),ISNUMBER(FIND("PCT",BS23)),ISNUMBER(FIND("PERCENT",BS23))),NOT(ISNUMBER(FIND("ACTUAL",BS23))),LEN(BS23)&lt;=16))+32768*(OR(ISNUMBER(FIND("DESIC",BS23)),ISNUMBER(FIND("DESSIC",BS23)))))</f>
        <v/>
      </c>
      <c r="BT158">
        <f>IF(BT23="",0,2*(OR(ISNUMBER(FIND("WORKCENTER",BT23)),AND(LEFT(BT23,4)="LINE",NOT(ISNUMBER(FIND("STATUS",BT23))))))+4*(OR(ISNUMBER(FIND("WORKORDER",BT23)),AND(LEFT(BT23,2)="WO",OR(ISNUMBER(FIND("NUM",BT23)),RIGHT(BT23,2)="NO"))))+8*(LEFT(BT23,3)="SEQ")+16*(AND(LEFT(BT23,4)="ITEM",NOT(ISNUMBER(FIND("DESC",BT23)))))+32*(AND(ISNUMBER(FIND("DESC",BT23)),NOT(ISNUMBER(FIND("CAP",BT23)))))+64*(OR(RIGHT(BT23,5)="COUNT",RIGHT(BT23,2)="CT"))+128*(ISNUMBER(FIND("BULK",BT23)))+256*(ISNUMBER(FIND("SIZE",BT23)))+512*(LEFT(BT23,3)="CAP")+1024*(ISNUMBER(FIND("ALLERG",BT23)))+2048*(OR(ISNUMBER(FIND("REMARK",BT23)),ISNUMBER(FIND("COMMENT",BT23))))+4096*(OR(ISNUMBER(FIND("QTY",BT23)),ISNUMBER(FIND("QUANTITY",BT23))))+8192*(AND(OR(ISNUMBER(FIND("COMPLETE",BT23)),ISNUMBER(FIND("PCT",BT23)),ISNUMBER(FIND("PERCENT",BT23))),NOT(ISNUMBER(FIND("ACTUAL",BT23))),LEN(BT23)&lt;=16))+32768*(OR(ISNUMBER(FIND("DESIC",BT23)),ISNUMBER(FIND("DESSIC",BT23)))))</f>
        <v/>
      </c>
      <c r="BU158">
        <f>IF(BU23="",0,2*(OR(ISNUMBER(FIND("WORKCENTER",BU23)),AND(LEFT(BU23,4)="LINE",NOT(ISNUMBER(FIND("STATUS",BU23))))))+4*(OR(ISNUMBER(FIND("WORKORDER",BU23)),AND(LEFT(BU23,2)="WO",OR(ISNUMBER(FIND("NUM",BU23)),RIGHT(BU23,2)="NO"))))+8*(LEFT(BU23,3)="SEQ")+16*(AND(LEFT(BU23,4)="ITEM",NOT(ISNUMBER(FIND("DESC",BU23)))))+32*(AND(ISNUMBER(FIND("DESC",BU23)),NOT(ISNUMBER(FIND("CAP",BU23)))))+64*(OR(RIGHT(BU23,5)="COUNT",RIGHT(BU23,2)="CT"))+128*(ISNUMBER(FIND("BULK",BU23)))+256*(ISNUMBER(FIND("SIZE",BU23)))+512*(LEFT(BU23,3)="CAP")+1024*(ISNUMBER(FIND("ALLERG",BU23)))+2048*(OR(ISNUMBER(FIND("REMARK",BU23)),ISNUMBER(FIND("COMMENT",BU23))))+4096*(OR(ISNUMBER(FIND("QTY",BU23)),ISNUMBER(FIND("QUANTITY",BU23))))+8192*(AND(OR(ISNUMBER(FIND("COMPLETE",BU23)),ISNUMBER(FIND("PCT",BU23)),ISNUMBER(FIND("PERCENT",BU23))),NOT(ISNUMBER(FIND("ACTUAL",BU23))),LEN(BU23)&lt;=16))+32768*(OR(ISNUMBER(FIND("DESIC",BU23)),ISNUMBER(FIND("DESSIC",BU23)))))</f>
        <v/>
      </c>
      <c r="BV158">
        <f>IF(BV23="",0,2*(OR(ISNUMBER(FIND("WORKCENTER",BV23)),AND(LEFT(BV23,4)="LINE",NOT(ISNUMBER(FIND("STATUS",BV23))))))+4*(OR(ISNUMBER(FIND("WORKORDER",BV23)),AND(LEFT(BV23,2)="WO",OR(ISNUMBER(FIND("NUM",BV23)),RIGHT(BV23,2)="NO"))))+8*(LEFT(BV23,3)="SEQ")+16*(AND(LEFT(BV23,4)="ITEM",NOT(ISNUMBER(FIND("DESC",BV23)))))+32*(AND(ISNUMBER(FIND("DESC",BV23)),NOT(ISNUMBER(FIND("CAP",BV23)))))+64*(OR(RIGHT(BV23,5)="COUNT",RIGHT(BV23,2)="CT"))+128*(ISNUMBER(FIND("BULK",BV23)))+256*(ISNUMBER(FIND("SIZE",BV23)))+512*(LEFT(BV23,3)="CAP")+1024*(ISNUMBER(FIND("ALLERG",BV23)))+2048*(OR(ISNUMBER(FIND("REMARK",BV23)),ISNUMBER(FIND("COMMENT",BV23))))+4096*(OR(ISNUMBER(FIND("QTY",BV23)),ISNUMBER(FIND("QUANTITY",BV23))))+8192*(AND(OR(ISNUMBER(FIND("COMPLETE",BV23)),ISNUMBER(FIND("PCT",BV23)),ISNUMBER(FIND("PERCENT",BV23))),NOT(ISNUMBER(FIND("ACTUAL",BV23))),LEN(BV23)&lt;=16))+32768*(OR(ISNUMBER(FIND("DESIC",BV23)),ISNUMBER(FIND("DESSIC",BV23)))))</f>
        <v/>
      </c>
      <c r="BW158">
        <f>IF(BW23="",0,2*(OR(ISNUMBER(FIND("WORKCENTER",BW23)),AND(LEFT(BW23,4)="LINE",NOT(ISNUMBER(FIND("STATUS",BW23))))))+4*(OR(ISNUMBER(FIND("WORKORDER",BW23)),AND(LEFT(BW23,2)="WO",OR(ISNUMBER(FIND("NUM",BW23)),RIGHT(BW23,2)="NO"))))+8*(LEFT(BW23,3)="SEQ")+16*(AND(LEFT(BW23,4)="ITEM",NOT(ISNUMBER(FIND("DESC",BW23)))))+32*(AND(ISNUMBER(FIND("DESC",BW23)),NOT(ISNUMBER(FIND("CAP",BW23)))))+64*(OR(RIGHT(BW23,5)="COUNT",RIGHT(BW23,2)="CT"))+128*(ISNUMBER(FIND("BULK",BW23)))+256*(ISNUMBER(FIND("SIZE",BW23)))+512*(LEFT(BW23,3)="CAP")+1024*(ISNUMBER(FIND("ALLERG",BW23)))+2048*(OR(ISNUMBER(FIND("REMARK",BW23)),ISNUMBER(FIND("COMMENT",BW23))))+4096*(OR(ISNUMBER(FIND("QTY",BW23)),ISNUMBER(FIND("QUANTITY",BW23))))+8192*(AND(OR(ISNUMBER(FIND("COMPLETE",BW23)),ISNUMBER(FIND("PCT",BW23)),ISNUMBER(FIND("PERCENT",BW23))),NOT(ISNUMBER(FIND("ACTUAL",BW23))),LEN(BW23)&lt;=16))+32768*(OR(ISNUMBER(FIND("DESIC",BW23)),ISNUMBER(FIND("DESSIC",BW23)))))</f>
        <v/>
      </c>
      <c r="BX158">
        <f>IF(BX23="",0,2*(OR(ISNUMBER(FIND("WORKCENTER",BX23)),AND(LEFT(BX23,4)="LINE",NOT(ISNUMBER(FIND("STATUS",BX23))))))+4*(OR(ISNUMBER(FIND("WORKORDER",BX23)),AND(LEFT(BX23,2)="WO",OR(ISNUMBER(FIND("NUM",BX23)),RIGHT(BX23,2)="NO"))))+8*(LEFT(BX23,3)="SEQ")+16*(AND(LEFT(BX23,4)="ITEM",NOT(ISNUMBER(FIND("DESC",BX23)))))+32*(AND(ISNUMBER(FIND("DESC",BX23)),NOT(ISNUMBER(FIND("CAP",BX23)))))+64*(OR(RIGHT(BX23,5)="COUNT",RIGHT(BX23,2)="CT"))+128*(ISNUMBER(FIND("BULK",BX23)))+256*(ISNUMBER(FIND("SIZE",BX23)))+512*(LEFT(BX23,3)="CAP")+1024*(ISNUMBER(FIND("ALLERG",BX23)))+2048*(OR(ISNUMBER(FIND("REMARK",BX23)),ISNUMBER(FIND("COMMENT",BX23))))+4096*(OR(ISNUMBER(FIND("QTY",BX23)),ISNUMBER(FIND("QUANTITY",BX23))))+8192*(AND(OR(ISNUMBER(FIND("COMPLETE",BX23)),ISNUMBER(FIND("PCT",BX23)),ISNUMBER(FIND("PERCENT",BX23))),NOT(ISNUMBER(FIND("ACTUAL",BX23))),LEN(BX23)&lt;=16))+32768*(OR(ISNUMBER(FIND("DESIC",BX23)),ISNUMBER(FIND("DESSIC",BX23)))))</f>
        <v/>
      </c>
      <c r="BY158">
        <f>IF(BY23="",0,2*(OR(ISNUMBER(FIND("WORKCENTER",BY23)),AND(LEFT(BY23,4)="LINE",NOT(ISNUMBER(FIND("STATUS",BY23))))))+4*(OR(ISNUMBER(FIND("WORKORDER",BY23)),AND(LEFT(BY23,2)="WO",OR(ISNUMBER(FIND("NUM",BY23)),RIGHT(BY23,2)="NO"))))+8*(LEFT(BY23,3)="SEQ")+16*(AND(LEFT(BY23,4)="ITEM",NOT(ISNUMBER(FIND("DESC",BY23)))))+32*(AND(ISNUMBER(FIND("DESC",BY23)),NOT(ISNUMBER(FIND("CAP",BY23)))))+64*(OR(RIGHT(BY23,5)="COUNT",RIGHT(BY23,2)="CT"))+128*(ISNUMBER(FIND("BULK",BY23)))+256*(ISNUMBER(FIND("SIZE",BY23)))+512*(LEFT(BY23,3)="CAP")+1024*(ISNUMBER(FIND("ALLERG",BY23)))+2048*(OR(ISNUMBER(FIND("REMARK",BY23)),ISNUMBER(FIND("COMMENT",BY23))))+4096*(OR(ISNUMBER(FIND("QTY",BY23)),ISNUMBER(FIND("QUANTITY",BY23))))+8192*(AND(OR(ISNUMBER(FIND("COMPLETE",BY23)),ISNUMBER(FIND("PCT",BY23)),ISNUMBER(FIND("PERCENT",BY23))),NOT(ISNUMBER(FIND("ACTUAL",BY23))),LEN(BY23)&lt;=16))+32768*(OR(ISNUMBER(FIND("DESIC",BY23)),ISNUMBER(FIND("DESSIC",BY23)))))</f>
        <v/>
      </c>
      <c r="BZ158">
        <f>IF(BZ23="",0,2*(OR(ISNUMBER(FIND("WORKCENTER",BZ23)),AND(LEFT(BZ23,4)="LINE",NOT(ISNUMBER(FIND("STATUS",BZ23))))))+4*(OR(ISNUMBER(FIND("WORKORDER",BZ23)),AND(LEFT(BZ23,2)="WO",OR(ISNUMBER(FIND("NUM",BZ23)),RIGHT(BZ23,2)="NO"))))+8*(LEFT(BZ23,3)="SEQ")+16*(AND(LEFT(BZ23,4)="ITEM",NOT(ISNUMBER(FIND("DESC",BZ23)))))+32*(AND(ISNUMBER(FIND("DESC",BZ23)),NOT(ISNUMBER(FIND("CAP",BZ23)))))+64*(OR(RIGHT(BZ23,5)="COUNT",RIGHT(BZ23,2)="CT"))+128*(ISNUMBER(FIND("BULK",BZ23)))+256*(ISNUMBER(FIND("SIZE",BZ23)))+512*(LEFT(BZ23,3)="CAP")+1024*(ISNUMBER(FIND("ALLERG",BZ23)))+2048*(OR(ISNUMBER(FIND("REMARK",BZ23)),ISNUMBER(FIND("COMMENT",BZ23))))+4096*(OR(ISNUMBER(FIND("QTY",BZ23)),ISNUMBER(FIND("QUANTITY",BZ23))))+8192*(AND(OR(ISNUMBER(FIND("COMPLETE",BZ23)),ISNUMBER(FIND("PCT",BZ23)),ISNUMBER(FIND("PERCENT",BZ23))),NOT(ISNUMBER(FIND("ACTUAL",BZ23))),LEN(BZ23)&lt;=16))+32768*(OR(ISNUMBER(FIND("DESIC",BZ23)),ISNUMBER(FIND("DESSIC",BZ23)))))</f>
        <v/>
      </c>
      <c r="CA158">
        <f>IF(CA23="",0,2*(OR(ISNUMBER(FIND("WORKCENTER",CA23)),AND(LEFT(CA23,4)="LINE",NOT(ISNUMBER(FIND("STATUS",CA23))))))+4*(OR(ISNUMBER(FIND("WORKORDER",CA23)),AND(LEFT(CA23,2)="WO",OR(ISNUMBER(FIND("NUM",CA23)),RIGHT(CA23,2)="NO"))))+8*(LEFT(CA23,3)="SEQ")+16*(AND(LEFT(CA23,4)="ITEM",NOT(ISNUMBER(FIND("DESC",CA23)))))+32*(AND(ISNUMBER(FIND("DESC",CA23)),NOT(ISNUMBER(FIND("CAP",CA23)))))+64*(OR(RIGHT(CA23,5)="COUNT",RIGHT(CA23,2)="CT"))+128*(ISNUMBER(FIND("BULK",CA23)))+256*(ISNUMBER(FIND("SIZE",CA23)))+512*(LEFT(CA23,3)="CAP")+1024*(ISNUMBER(FIND("ALLERG",CA23)))+2048*(OR(ISNUMBER(FIND("REMARK",CA23)),ISNUMBER(FIND("COMMENT",CA23))))+4096*(OR(ISNUMBER(FIND("QTY",CA23)),ISNUMBER(FIND("QUANTITY",CA23))))+8192*(AND(OR(ISNUMBER(FIND("COMPLETE",CA23)),ISNUMBER(FIND("PCT",CA23)),ISNUMBER(FIND("PERCENT",CA23))),NOT(ISNUMBER(FIND("ACTUAL",CA23))),LEN(CA23)&lt;=16))+32768*(OR(ISNUMBER(FIND("DESIC",CA23)),ISNUMBER(FIND("DESSIC",CA23)))))</f>
        <v/>
      </c>
      <c r="CB158">
        <f>IF(CB23="",0,2*(OR(ISNUMBER(FIND("WORKCENTER",CB23)),AND(LEFT(CB23,4)="LINE",NOT(ISNUMBER(FIND("STATUS",CB23))))))+4*(OR(ISNUMBER(FIND("WORKORDER",CB23)),AND(LEFT(CB23,2)="WO",OR(ISNUMBER(FIND("NUM",CB23)),RIGHT(CB23,2)="NO"))))+8*(LEFT(CB23,3)="SEQ")+16*(AND(LEFT(CB23,4)="ITEM",NOT(ISNUMBER(FIND("DESC",CB23)))))+32*(AND(ISNUMBER(FIND("DESC",CB23)),NOT(ISNUMBER(FIND("CAP",CB23)))))+64*(OR(RIGHT(CB23,5)="COUNT",RIGHT(CB23,2)="CT"))+128*(ISNUMBER(FIND("BULK",CB23)))+256*(ISNUMBER(FIND("SIZE",CB23)))+512*(LEFT(CB23,3)="CAP")+1024*(ISNUMBER(FIND("ALLERG",CB23)))+2048*(OR(ISNUMBER(FIND("REMARK",CB23)),ISNUMBER(FIND("COMMENT",CB23))))+4096*(OR(ISNUMBER(FIND("QTY",CB23)),ISNUMBER(FIND("QUANTITY",CB23))))+8192*(AND(OR(ISNUMBER(FIND("COMPLETE",CB23)),ISNUMBER(FIND("PCT",CB23)),ISNUMBER(FIND("PERCENT",CB23))),NOT(ISNUMBER(FIND("ACTUAL",CB23))),LEN(CB23)&lt;=16))+32768*(OR(ISNUMBER(FIND("DESIC",CB23)),ISNUMBER(FIND("DESSIC",CB23)))))</f>
        <v/>
      </c>
      <c r="CC158">
        <f>IF(CC23="",0,2*(OR(ISNUMBER(FIND("WORKCENTER",CC23)),AND(LEFT(CC23,4)="LINE",NOT(ISNUMBER(FIND("STATUS",CC23))))))+4*(OR(ISNUMBER(FIND("WORKORDER",CC23)),AND(LEFT(CC23,2)="WO",OR(ISNUMBER(FIND("NUM",CC23)),RIGHT(CC23,2)="NO"))))+8*(LEFT(CC23,3)="SEQ")+16*(AND(LEFT(CC23,4)="ITEM",NOT(ISNUMBER(FIND("DESC",CC23)))))+32*(AND(ISNUMBER(FIND("DESC",CC23)),NOT(ISNUMBER(FIND("CAP",CC23)))))+64*(OR(RIGHT(CC23,5)="COUNT",RIGHT(CC23,2)="CT"))+128*(ISNUMBER(FIND("BULK",CC23)))+256*(ISNUMBER(FIND("SIZE",CC23)))+512*(LEFT(CC23,3)="CAP")+1024*(ISNUMBER(FIND("ALLERG",CC23)))+2048*(OR(ISNUMBER(FIND("REMARK",CC23)),ISNUMBER(FIND("COMMENT",CC23))))+4096*(OR(ISNUMBER(FIND("QTY",CC23)),ISNUMBER(FIND("QUANTITY",CC23))))+8192*(AND(OR(ISNUMBER(FIND("COMPLETE",CC23)),ISNUMBER(FIND("PCT",CC23)),ISNUMBER(FIND("PERCENT",CC23))),NOT(ISNUMBER(FIND("ACTUAL",CC23))),LEN(CC23)&lt;=16))+32768*(OR(ISNUMBER(FIND("DESIC",CC23)),ISNUMBER(FIND("DESSIC",CC23)))))</f>
        <v/>
      </c>
      <c r="CD158">
        <f>IF(CD23="",0,2*(OR(ISNUMBER(FIND("WORKCENTER",CD23)),AND(LEFT(CD23,4)="LINE",NOT(ISNUMBER(FIND("STATUS",CD23))))))+4*(OR(ISNUMBER(FIND("WORKORDER",CD23)),AND(LEFT(CD23,2)="WO",OR(ISNUMBER(FIND("NUM",CD23)),RIGHT(CD23,2)="NO"))))+8*(LEFT(CD23,3)="SEQ")+16*(AND(LEFT(CD23,4)="ITEM",NOT(ISNUMBER(FIND("DESC",CD23)))))+32*(AND(ISNUMBER(FIND("DESC",CD23)),NOT(ISNUMBER(FIND("CAP",CD23)))))+64*(OR(RIGHT(CD23,5)="COUNT",RIGHT(CD23,2)="CT"))+128*(ISNUMBER(FIND("BULK",CD23)))+256*(ISNUMBER(FIND("SIZE",CD23)))+512*(LEFT(CD23,3)="CAP")+1024*(ISNUMBER(FIND("ALLERG",CD23)))+2048*(OR(ISNUMBER(FIND("REMARK",CD23)),ISNUMBER(FIND("COMMENT",CD23))))+4096*(OR(ISNUMBER(FIND("QTY",CD23)),ISNUMBER(FIND("QUANTITY",CD23))))+8192*(AND(OR(ISNUMBER(FIND("COMPLETE",CD23)),ISNUMBER(FIND("PCT",CD23)),ISNUMBER(FIND("PERCENT",CD23))),NOT(ISNUMBER(FIND("ACTUAL",CD23))),LEN(CD23)&lt;=16))+32768*(OR(ISNUMBER(FIND("DESIC",CD23)),ISNUMBER(FIND("DESSIC",CD23)))))</f>
        <v/>
      </c>
      <c r="CE158">
        <f>IF(CE23="",0,2*(OR(ISNUMBER(FIND("WORKCENTER",CE23)),AND(LEFT(CE23,4)="LINE",NOT(ISNUMBER(FIND("STATUS",CE23))))))+4*(OR(ISNUMBER(FIND("WORKORDER",CE23)),AND(LEFT(CE23,2)="WO",OR(ISNUMBER(FIND("NUM",CE23)),RIGHT(CE23,2)="NO"))))+8*(LEFT(CE23,3)="SEQ")+16*(AND(LEFT(CE23,4)="ITEM",NOT(ISNUMBER(FIND("DESC",CE23)))))+32*(AND(ISNUMBER(FIND("DESC",CE23)),NOT(ISNUMBER(FIND("CAP",CE23)))))+64*(OR(RIGHT(CE23,5)="COUNT",RIGHT(CE23,2)="CT"))+128*(ISNUMBER(FIND("BULK",CE23)))+256*(ISNUMBER(FIND("SIZE",CE23)))+512*(LEFT(CE23,3)="CAP")+1024*(ISNUMBER(FIND("ALLERG",CE23)))+2048*(OR(ISNUMBER(FIND("REMARK",CE23)),ISNUMBER(FIND("COMMENT",CE23))))+4096*(OR(ISNUMBER(FIND("QTY",CE23)),ISNUMBER(FIND("QUANTITY",CE23))))+8192*(AND(OR(ISNUMBER(FIND("COMPLETE",CE23)),ISNUMBER(FIND("PCT",CE23)),ISNUMBER(FIND("PERCENT",CE23))),NOT(ISNUMBER(FIND("ACTUAL",CE23))),LEN(CE23)&lt;=16))+32768*(OR(ISNUMBER(FIND("DESIC",CE23)),ISNUMBER(FIND("DESSIC",CE23)))))</f>
        <v/>
      </c>
      <c r="CF158">
        <f>IF(CF23="",0,2*(OR(ISNUMBER(FIND("WORKCENTER",CF23)),AND(LEFT(CF23,4)="LINE",NOT(ISNUMBER(FIND("STATUS",CF23))))))+4*(OR(ISNUMBER(FIND("WORKORDER",CF23)),AND(LEFT(CF23,2)="WO",OR(ISNUMBER(FIND("NUM",CF23)),RIGHT(CF23,2)="NO"))))+8*(LEFT(CF23,3)="SEQ")+16*(AND(LEFT(CF23,4)="ITEM",NOT(ISNUMBER(FIND("DESC",CF23)))))+32*(AND(ISNUMBER(FIND("DESC",CF23)),NOT(ISNUMBER(FIND("CAP",CF23)))))+64*(OR(RIGHT(CF23,5)="COUNT",RIGHT(CF23,2)="CT"))+128*(ISNUMBER(FIND("BULK",CF23)))+256*(ISNUMBER(FIND("SIZE",CF23)))+512*(LEFT(CF23,3)="CAP")+1024*(ISNUMBER(FIND("ALLERG",CF23)))+2048*(OR(ISNUMBER(FIND("REMARK",CF23)),ISNUMBER(FIND("COMMENT",CF23))))+4096*(OR(ISNUMBER(FIND("QTY",CF23)),ISNUMBER(FIND("QUANTITY",CF23))))+8192*(AND(OR(ISNUMBER(FIND("COMPLETE",CF23)),ISNUMBER(FIND("PCT",CF23)),ISNUMBER(FIND("PERCENT",CF23))),NOT(ISNUMBER(FIND("ACTUAL",CF23))),LEN(CF23)&lt;=16))+32768*(OR(ISNUMBER(FIND("DESIC",CF23)),ISNUMBER(FIND("DESSIC",CF23)))))</f>
        <v/>
      </c>
      <c r="DA158" t="n">
        <v>154</v>
      </c>
      <c r="DB158">
        <f>IF($B$37=0,"",IFERROR(TRIM(SUBSTITUTE(SUBSTITUTE(SUBSTITUTE(SUBSTITUTE(INDEX(PASTE_ALL,154,$B$37)," "," "),CHAR(9)," "),CHAR(10)," "),CHAR(13)," ")),""))</f>
        <v/>
      </c>
      <c r="DC158">
        <f>IF(AND(154&gt;HEADER_ROW,UPPER(DB158)="LEGEND"),1,0)</f>
        <v/>
      </c>
      <c r="DE158" t="n">
        <v>154</v>
      </c>
      <c r="DF158">
        <f>HEADER_ROW+$DE158</f>
        <v/>
      </c>
      <c r="DG158">
        <f>IF(AND($DF158&lt;=1000,$DF158&lt;$B$8),1,0)</f>
        <v/>
      </c>
      <c r="DH158">
        <f>IF($DG158=1,IFERROR(INDEX($DB$5:$DB$1004,$DF158),""),"")</f>
        <v/>
      </c>
      <c r="DI158">
        <f>IF(AND($DG158=1,$DH158&lt;&gt;""),IFERROR(SUBSTITUTE(SUBSTITUTE(TRIM(SUBSTITUTE(SUBSTITUTE(SUBSTITUTE(SUBSTITUTE(IFERROR(INDEX(PASTE_ALL,$DF158,1)&amp;"","")&amp;"␟"&amp;IFERROR(INDEX(PASTE_ALL,$DF158,2)&amp;"","")&amp;"␟"&amp;IFERROR(INDEX(PASTE_ALL,$DF158,3)&amp;"","")&amp;"␟"&amp;IFERROR(INDEX(PASTE_ALL,$DF158,4)&amp;"","")&amp;"␟"&amp;IFERROR(INDEX(PASTE_ALL,$DF158,5)&amp;"","")&amp;"␟"&amp;IFERROR(INDEX(PASTE_ALL,$DF158,6)&amp;"","")&amp;"␟"&amp;IFERROR(INDEX(PASTE_ALL,$DF158,7)&amp;"","")&amp;"␟"&amp;IFERROR(INDEX(PASTE_ALL,$DF158,8)&amp;"","")&amp;"␟"&amp;IFERROR(INDEX(PASTE_ALL,$DF158,9)&amp;"","")&amp;"␟"&amp;IFERROR(INDEX(PASTE_ALL,$DF158,10)&amp;"","")&amp;"␟"&amp;IFERROR(INDEX(PASTE_ALL,$DF158,11)&amp;"","")&amp;"␟"&amp;IFERROR(INDEX(PASTE_ALL,$DF158,12)&amp;"","")&amp;"␟"&amp;IFERROR(INDEX(PASTE_ALL,$DF158,13)&amp;"","")&amp;"␟"&amp;IFERROR(INDEX(PASTE_ALL,$DF158,14)&amp;"","")&amp;"␟"&amp;IFERROR(INDEX(PASTE_ALL,$DF158,15)&amp;"","")&amp;"␟"&amp;IFERROR(INDEX(PASTE_ALL,$DF158,16)&amp;"","")&amp;"␟"&amp;IFERROR(INDEX(PASTE_ALL,$DF158,17)&amp;"","")&amp;"␟"&amp;IFERROR(INDEX(PASTE_ALL,$DF158,18)&amp;"","")&amp;"␟"&amp;IFERROR(INDEX(PASTE_ALL,$DF158,19)&amp;"","")&amp;"␟"&amp;IFERROR(INDEX(PASTE_ALL,$DF158,20)&amp;"","")&amp;"␟"&amp;IFERROR(INDEX(PASTE_ALL,$DF158,21)&amp;"","")&amp;"␟"&amp;IFERROR(INDEX(PASTE_ALL,$DF158,22)&amp;"","")&amp;"␟"&amp;IFERROR(INDEX(PASTE_ALL,$DF158,23)&amp;"","")&amp;"␟"&amp;IFERROR(INDEX(PASTE_ALL,$DF158,24)&amp;"","")&amp;"␟"&amp;IFERROR(INDEX(PASTE_ALL,$DF158,25)&amp;"","")&amp;"␟"&amp;IFERROR(INDEX(PASTE_ALL,$DF158,26)&amp;"","")&amp;"␟"&amp;IFERROR(INDEX(PASTE_ALL,$DF158,27)&amp;"","")&amp;"␟"&amp;IFERROR(INDEX(PASTE_ALL,$DF158,28)&amp;"","")&amp;"␟"&amp;IFERROR(INDEX(PASTE_ALL,$DF158,29)&amp;"","")&amp;"␟"&amp;IFERROR(INDEX(PASTE_ALL,$DF158,30)&amp;"","")&amp;"␟"&amp;IFERROR(INDEX(PASTE_ALL,$DF158,31)&amp;"","")&amp;"␟"&amp;IFERROR(INDEX(PASTE_ALL,$DF158,32)&amp;"","")&amp;"␟"&amp;IFERROR(INDEX(PASTE_ALL,$DF158,33)&amp;"","")&amp;"␟"&amp;IFERROR(INDEX(PASTE_ALL,$DF158,34)&amp;"","")&amp;"␟"&amp;IFERROR(INDEX(PASTE_ALL,$DF158,35)&amp;"","")&amp;"␟"&amp;IFERROR(INDEX(PASTE_ALL,$DF158,36)&amp;"","")&amp;"␟"&amp;IFERROR(INDEX(PASTE_ALL,$DF158,37)&amp;"","")&amp;"␟"&amp;IFERROR(INDEX(PASTE_ALL,$DF158,38)&amp;"","")&amp;"␟"&amp;IFERROR(INDEX(PASTE_ALL,$DF158,39)&amp;"","")&amp;"␟"&amp;IFERROR(INDEX(PASTE_ALL,$DF158,40)&amp;"","")&amp;"␟"&amp;IFERROR(INDEX(PASTE_ALL,$DF158,41)&amp;"","")&amp;"␟"&amp;IFERROR(INDEX(PASTE_ALL,$DF158,42)&amp;"","")&amp;"␟"&amp;IFERROR(INDEX(PASTE_ALL,$DF158,43)&amp;"","")&amp;"␟"&amp;IFERROR(INDEX(PASTE_ALL,$DF158,44)&amp;"","")&amp;"␟"&amp;IFERROR(INDEX(PASTE_ALL,$DF158,45)&amp;"","")&amp;"␟"&amp;IFERROR(INDEX(PASTE_ALL,$DF158,46)&amp;"","")&amp;"␟"&amp;IFERROR(INDEX(PASTE_ALL,$DF158,47)&amp;"","")&amp;"␟"&amp;IFERROR(INDEX(PASTE_ALL,$DF158,48)&amp;"","")&amp;"␟"&amp;IFERROR(INDEX(PASTE_ALL,$DF158,49)&amp;"","")&amp;"␟"&amp;IFERROR(INDEX(PASTE_ALL,$DF158,50)&amp;"","")&amp;"␟"&amp;IFERROR(INDEX(PASTE_ALL,$DF158,51)&amp;"","")&amp;"␟"&amp;IFERROR(INDEX(PASTE_ALL,$DF158,52)&amp;"","")&amp;"␟"&amp;IFERROR(INDEX(PASTE_ALL,$DF158,53)&amp;"","")&amp;"␟"&amp;IFERROR(INDEX(PASTE_ALL,$DF158,54)&amp;"","")&amp;"␟"&amp;IFERROR(INDEX(PASTE_ALL,$DF158,55)&amp;"","")&amp;"␟"&amp;IFERROR(INDEX(PASTE_ALL,$DF158,56)&amp;"","")&amp;"␟"&amp;IFERROR(INDEX(PASTE_ALL,$DF158,57)&amp;"","")&amp;"␟"&amp;IFERROR(INDEX(PASTE_ALL,$DF158,58)&amp;"","")&amp;"␟"&amp;IFERROR(INDEX(PASTE_ALL,$DF158,59)&amp;"","")&amp;"␟"&amp;IFERROR(INDEX(PASTE_ALL,$DF158,60)&amp;"","")," "," "),CHAR(9)," "),CHAR(10)," "),CHAR(13)," "))," ␟","␟"),"␟ ","␟"),"#"&amp;$DE158),"")</f>
        <v/>
      </c>
      <c r="DJ158">
        <f>IF($DI158="",0,IF(SUMPRODUCT(--EXACT($DI$4:DI157,$DI158))&gt;0,1,0))</f>
        <v/>
      </c>
      <c r="DK158">
        <f>IF(AND($DI158&lt;&gt;"",$DJ158=0),1,0)</f>
        <v/>
      </c>
      <c r="DL158">
        <f>DL157+$DK158</f>
        <v/>
      </c>
      <c r="DM158">
        <f>IF(AND($DK158=1,$DL158&lt;=600),1,0)</f>
        <v/>
      </c>
      <c r="DN158">
        <f>IF($DM158=0,"",IF($L$6=0,"",IFERROR(IF(ISNUMBER(INDEX(PASTE_ALL,$DF158,$L$6)),INDEX(PASTE_ALL,$DF158,$L$6),TRIM(SUBSTITUTE(SUBSTITUTE(SUBSTITUTE(SUBSTITUTE(INDEX(PASTE_ALL,$DF158,$L$6)," "," "),CHAR(9)," "),CHAR(10)," "),CHAR(13)," "))),"")))</f>
        <v/>
      </c>
      <c r="DO158">
        <f>IF($DM158=0,"",IF($L$7=0,"",IFERROR(IF(ISNUMBER(INDEX(PASTE_ALL,$DF158,$L$7)),INDEX(PASTE_ALL,$DF158,$L$7),TRIM(SUBSTITUTE(SUBSTITUTE(SUBSTITUTE(SUBSTITUTE(INDEX(PASTE_ALL,$DF158,$L$7)," "," "),CHAR(9)," "),CHAR(10)," "),CHAR(13)," "))),"")))</f>
        <v/>
      </c>
      <c r="DP158">
        <f>IF($DM158=0,"",IF($L$8=0,"",IFERROR(IF(ISNUMBER(INDEX(PASTE_ALL,$DF158,$L$8)),INDEX(PASTE_ALL,$DF158,$L$8),TRIM(SUBSTITUTE(SUBSTITUTE(SUBSTITUTE(SUBSTITUTE(INDEX(PASTE_ALL,$DF158,$L$8)," "," "),CHAR(9)," "),CHAR(10)," "),CHAR(13)," "))),"")))</f>
        <v/>
      </c>
      <c r="DQ158">
        <f>IF($DM158=0,"",IF($L$9=0,"",IFERROR(IF(ISNUMBER(INDEX(PASTE_ALL,$DF158,$L$9)),INDEX(PASTE_ALL,$DF158,$L$9),TRIM(SUBSTITUTE(SUBSTITUTE(SUBSTITUTE(SUBSTITUTE(INDEX(PASTE_ALL,$DF158,$L$9)," "," "),CHAR(9)," "),CHAR(10)," "),CHAR(13)," "))),"")))</f>
        <v/>
      </c>
      <c r="DR158">
        <f>IF($DM158=0,"",IF($L$10=0,"",IFERROR(IF(ISNUMBER(INDEX(PASTE_ALL,$DF158,$L$10)),INDEX(PASTE_ALL,$DF158,$L$10),TRIM(SUBSTITUTE(SUBSTITUTE(SUBSTITUTE(SUBSTITUTE(INDEX(PASTE_ALL,$DF158,$L$10)," "," "),CHAR(9)," "),CHAR(10)," "),CHAR(13)," "))),"")))</f>
        <v/>
      </c>
      <c r="DS158">
        <f>IF($DM158=0,"",IF($L$11=0,"",IFERROR(IF(ISNUMBER(INDEX(PASTE_ALL,$DF158,$L$11)),INDEX(PASTE_ALL,$DF158,$L$11),TRIM(SUBSTITUTE(SUBSTITUTE(SUBSTITUTE(SUBSTITUTE(INDEX(PASTE_ALL,$DF158,$L$11)," "," "),CHAR(9)," "),CHAR(10)," "),CHAR(13)," "))),"")))</f>
        <v/>
      </c>
      <c r="DT158">
        <f>IF($DM158=0,"",IF($L$12=0,"",IFERROR(IF(ISNUMBER(INDEX(PASTE_ALL,$DF158,$L$12)),INDEX(PASTE_ALL,$DF158,$L$12),TRIM(SUBSTITUTE(SUBSTITUTE(SUBSTITUTE(SUBSTITUTE(INDEX(PASTE_ALL,$DF158,$L$12)," "," "),CHAR(9)," "),CHAR(10)," "),CHAR(13)," "))),"")))</f>
        <v/>
      </c>
      <c r="DU158">
        <f>IF($DM158=0,"",IF($L$13=0,"",IFERROR(IF(ISNUMBER(INDEX(PASTE_ALL,$DF158,$L$13)),INDEX(PASTE_ALL,$DF158,$L$13),TRIM(SUBSTITUTE(SUBSTITUTE(SUBSTITUTE(SUBSTITUTE(INDEX(PASTE_ALL,$DF158,$L$13)," "," "),CHAR(9)," "),CHAR(10)," "),CHAR(13)," "))),"")))</f>
        <v/>
      </c>
      <c r="DV158">
        <f>IF($DM158=0,"",IF($L$14=0,"",IFERROR(IF(ISNUMBER(INDEX(PASTE_ALL,$DF158,$L$14)),INDEX(PASTE_ALL,$DF158,$L$14),TRIM(SUBSTITUTE(SUBSTITUTE(SUBSTITUTE(SUBSTITUTE(INDEX(PASTE_ALL,$DF158,$L$14)," "," "),CHAR(9)," "),CHAR(10)," "),CHAR(13)," "))),"")))</f>
        <v/>
      </c>
      <c r="DW158">
        <f>IF($DM158=0,"",IF($L$15=0,"",IFERROR(IF(ISNUMBER(INDEX(PASTE_ALL,$DF158,$L$15)),INDEX(PASTE_ALL,$DF158,$L$15),IF(SUMPRODUCT(--ISNUMBER(FIND({"A","B","C","D","E","F","G","H","I","J","K","L","M","N","O","P","Q","R","S","T","U","V","W","X","Y","Z","0","1","2","3","4","5","6","7","8","9"},UPPER(TRIM(SUBSTITUTE(SUBSTITUTE(SUBSTITUTE(SUBSTITUTE(INDEX(PASTE_ALL,$DF158,$L$15)," "," "),CHAR(9)," "),CHAR(10)," "),CHAR(13)," "))))))&gt;0,TRIM(SUBSTITUTE(SUBSTITUTE(SUBSTITUTE(SUBSTITUTE(INDEX(PASTE_ALL,$DF158,$L$15)," "," "),CHAR(9)," "),CHAR(10)," "),CHAR(13)," ")),"")),"")))</f>
        <v/>
      </c>
      <c r="DX158">
        <f>IF($DM158=0,"",IF($L$16=0,"",IFERROR(IF(ISNUMBER(INDEX(PASTE_ALL,$DF158,$L$16)),INDEX(PASTE_ALL,$DF158,$L$16),SUBSTITUTE(SUBSTITUTE(TRIM(SUBSTITUTE(SUBSTITUTE(SUBSTITUTE(SUBSTITUTE(INDEX(PASTE_ALL,$DF158,$L$16)," "," "),CHAR(9)," "),CHAR(10)," "),CHAR(13)," ")),",",""),"%","")),"")))</f>
        <v/>
      </c>
      <c r="DY158">
        <f>IF($DM158=0,"",IFERROR(IF(ISNUMBER($DX158),$DX158,IF($DX158="","",IF(TRIM($DX158)="",0,IF(AND(AND(SUBSTITUTE(SUBSTITUTE(SUBSTITUTE(SUBSTITUTE(SUBSTITUTE(SUBSTITUTE(SUBSTITUTE(SUBSTITUTE(SUBSTITUTE(SUBSTITUTE(SUBSTITUTE(SUBSTITUTE(SUBSTITUTE(SUBSTITUTE(UPPER(TRIM($DX158)),"0",""),"1",""),"2",""),"3",""),"4",""),"5",""),"6",""),"7",""),"8",""),"9",""),".",""),"+",""),"-",""),"E","")="",LEN(SUBSTITUTE(SUBSTITUTE(MID(UPPER(TRIM($DX158)),1+OR(LEFT(UPPER(TRIM($DX158)),1)="+",LEFT(UPPER(TRIM($DX158)),1)="-"),999),"E+","E"),"E-","E"))=LEN(SUBSTITUTE(SUBSTITUTE(SUBSTITUTE(SUBSTITUTE(MID(UPPER(TRIM($DX158)),1+OR(LEFT(UPPER(TRIM($DX158)),1)="+",LEFT(UPPER(TRIM($DX158)),1)="-"),999),"E+","E"),"E-","E"),"+",""),"-","")),LEN(UPPER(TRIM($DX158)))-LEN(SUBSTITUTE(UPPER(TRIM($DX158)),"E",""))&lt;2,LEN(UPPER(TRIM($DX158)))-LEN(SUBSTITUTE(UPPER(TRIM($DX158)),".",""))&lt;2,IFERROR(FIND(".",UPPER(TRIM($DX158))),0)&lt;IFERROR(FIND("E",UPPER(TRIM($DX158))),999)),ISNUMBER(VALUE(TRIM($DX158)))),VALUE(TRIM($DX158)),"")))),""))</f>
        <v/>
      </c>
      <c r="DZ158">
        <f>IF($DM158=0,"",IF($L$17=0,"",IFERROR(IF(ISNUMBER(INDEX(PASTE_ALL,$DF158,$L$17)),INDEX(PASTE_ALL,$DF158,$L$17),SUBSTITUTE(SUBSTITUTE(TRIM(SUBSTITUTE(SUBSTITUTE(SUBSTITUTE(SUBSTITUTE(INDEX(PASTE_ALL,$DF158,$L$17)," "," "),CHAR(9)," "),CHAR(10)," "),CHAR(13)," ")),",",""),"%","")),"")))</f>
        <v/>
      </c>
      <c r="EA158">
        <f>IF($DM158=0,"",IFERROR(IF(ISNUMBER($DZ158),$DZ158,IF($DZ158="","",IF(TRIM($DZ158)="",0,IF(AND(AND(SUBSTITUTE(SUBSTITUTE(SUBSTITUTE(SUBSTITUTE(SUBSTITUTE(SUBSTITUTE(SUBSTITUTE(SUBSTITUTE(SUBSTITUTE(SUBSTITUTE(SUBSTITUTE(SUBSTITUTE(SUBSTITUTE(SUBSTITUTE(UPPER(TRIM($DZ158)),"0",""),"1",""),"2",""),"3",""),"4",""),"5",""),"6",""),"7",""),"8",""),"9",""),".",""),"+",""),"-",""),"E","")="",LEN(SUBSTITUTE(SUBSTITUTE(MID(UPPER(TRIM($DZ158)),1+OR(LEFT(UPPER(TRIM($DZ158)),1)="+",LEFT(UPPER(TRIM($DZ158)),1)="-"),999),"E+","E"),"E-","E"))=LEN(SUBSTITUTE(SUBSTITUTE(SUBSTITUTE(SUBSTITUTE(MID(UPPER(TRIM($DZ158)),1+OR(LEFT(UPPER(TRIM($DZ158)),1)="+",LEFT(UPPER(TRIM($DZ158)),1)="-"),999),"E+","E"),"E-","E"),"+",""),"-","")),LEN(UPPER(TRIM($DZ158)))-LEN(SUBSTITUTE(UPPER(TRIM($DZ158)),"E",""))&lt;2,LEN(UPPER(TRIM($DZ158)))-LEN(SUBSTITUTE(UPPER(TRIM($DZ158)),".",""))&lt;2,IFERROR(FIND(".",UPPER(TRIM($DZ158))),0)&lt;IFERROR(FIND("E",UPPER(TRIM($DZ158))),999)),ISNUMBER(VALUE(TRIM($DZ158)))),VALUE(TRIM($DZ158)),"")))),""))</f>
        <v/>
      </c>
      <c r="EB158">
        <f>IF($DM158=0,"",IF($L$18=0,"",IFERROR(IF(UPPER(TRIM(SUBSTITUTE(SUBSTITUTE(SUBSTITUTE(SUBSTITUTE(INDEX(PASTE_ALL,$DF158,$L$18)," "," "),CHAR(9)," "),CHAR(10)," "),CHAR(13)," ")))="READY","Ready",IF(UPPER(TRIM(SUBSTITUTE(SUBSTITUTE(SUBSTITUTE(SUBSTITUTE(INDEX(PASTE_ALL,$DF158,$L$18)," "," "),CHAR(9)," "),CHAR(10)," "),CHAR(13)," ")))="PM","PM",IF(OR(UPPER(TRIM(SUBSTITUTE(SUBSTITUTE(SUBSTITUTE(SUBSTITUTE(INDEX(PASTE_ALL,$DF158,$L$18)," "," "),CHAR(9)," "),CHAR(10)," "),CHAR(13)," ")))="OT",UPPER(TRIM(SUBSTITUTE(SUBSTITUTE(SUBSTITUTE(SUBSTITUTE(INDEX(PASTE_ALL,$DF158,$L$18)," "," "),CHAR(9)," "),CHAR(10)," "),CHAR(13)," ")))="OVERTIME",UPPER(TRIM(SUBSTITUTE(SUBSTITUTE(SUBSTITUTE(SUBSTITUTE(INDEX(PASTE_ALL,$DF158,$L$18)," "," "),CHAR(9)," "),CHAR(10)," "),CHAR(13)," ")))="TRIAL"),"OT",TRIM(SUBSTITUTE(SUBSTITUTE(SUBSTITUTE(SUBSTITUTE(INDEX(PASTE_ALL,$DF158,$L$18)," "," "),CHAR(9)," "),CHAR(10)," "),CHAR(13)," "))))),"")))</f>
        <v/>
      </c>
      <c r="EC158">
        <f>IF($DM158=0,"",IF($L$19=0,"",IFERROR(IF(ISNUMBER(INDEX(PASTE_ALL,$DF158,$L$19)),INDEX(PASTE_ALL,$DF158,$L$19),TRIM(SUBSTITUTE(SUBSTITUTE(SUBSTITUTE(SUBSTITUTE(INDEX(PASTE_ALL,$DF158,$L$19)," "," "),CHAR(9)," "),CHAR(10)," "),CHAR(13)," "))),"")))</f>
        <v/>
      </c>
      <c r="ED158">
        <f>IF($DM158=0,"",MATCH(1,INDEX(EXACT($DH$5:DH158,$DH158)*$DM$5:DM158,0),0))</f>
        <v/>
      </c>
      <c r="EE158">
        <f>IF($DM158=0,0,IF($ED158=$DE158,1,0))</f>
        <v/>
      </c>
      <c r="EF158">
        <f>EF157+$EE158</f>
        <v/>
      </c>
      <c r="EG158">
        <f>IF($DM158=0,"",INDEX($EF$5:$EF$1003,$ED158))</f>
        <v/>
      </c>
      <c r="EH158">
        <f>IF($DM158=0,"",IF($DO158&lt;&gt;"","",IFERROR(LOOKUP(2,1/(($EG$4:EG157=$EG158)*($DO$4:DO157&lt;&gt;"")),$DO$4:DO157),"")))</f>
        <v/>
      </c>
      <c r="EI158">
        <f>IF($DM158=0,"",IF($DO158&lt;&gt;"",$DO158,$EH158))</f>
        <v/>
      </c>
      <c r="EJ158">
        <f>IF($DM158=0,"",IF($EI158="",0,IF(OR(ISNUMBER($EI158),AND(AND(SUBSTITUTE(SUBSTITUTE(SUBSTITUTE(SUBSTITUTE(SUBSTITUTE(SUBSTITUTE(SUBSTITUTE(SUBSTITUTE(SUBSTITUTE(SUBSTITUTE(SUBSTITUTE(SUBSTITUTE(SUBSTITUTE(SUBSTITUTE(UPPER($EI158),"0",""),"1",""),"2",""),"3",""),"4",""),"5",""),"6",""),"7",""),"8",""),"9",""),".",""),"+",""),"-",""),"E","")="",LEN(SUBSTITUTE(SUBSTITUTE(MID(UPPER($EI158),1+OR(LEFT(UPPER($EI158),1)="+",LEFT(UPPER($EI158),1)="-"),999),"E+","E"),"E-","E"))=LEN(SUBSTITUTE(SUBSTITUTE(SUBSTITUTE(SUBSTITUTE(MID(UPPER($EI158),1+OR(LEFT(UPPER($EI158),1)="+",LEFT(UPPER($EI158),1)="-"),999),"E+","E"),"E-","E"),"+",""),"-","")),LEN(UPPER($EI158))-LEN(SUBSTITUTE(UPPER($EI158),"E",""))&lt;2,LEN(UPPER($EI158))-LEN(SUBSTITUTE(UPPER($EI158),".",""))&lt;2,IFERROR(FIND(".",UPPER($EI158)),0)&lt;IFERROR(FIND("E",UPPER($EI158)),999)),ISNUMBER(VALUE($EI158)))),1,2)))</f>
        <v/>
      </c>
      <c r="EK158">
        <f>IF($DM158=0,"",IF($EJ158=1,IF(ISNUMBER($EI158),$EI158,VALUE($EI158)),IF($EJ158=2,$DE158,0)))</f>
        <v/>
      </c>
      <c r="EL158">
        <f>IF($DM158=0,"",COUNTIF($EG$5:$EG$1003,"&lt;"&amp;$EG158)+SUMPRODUCT(($EG$5:$EG$1003=$EG158)*(($EJ$5:$EJ$1003&lt;$EJ158)+($EJ$5:$EJ$1003=$EJ158)*(($EK$5:$EK$1003&lt;$EK158)+($EK$5:$EK$1003=$EK158)*($DE$5:$DE$1003&lt;$DE158))))+1)</f>
        <v/>
      </c>
      <c r="EM158">
        <f>IF($DM158=0,"",$EL158+$EG158-1)</f>
        <v/>
      </c>
      <c r="EN158">
        <f>IF($DM158=0,0,IFERROR(MATCH(1,INDEX(--(TRIM(SUBSTITUTE(SUBSTITUTE(SUBSTITUTE(SUBSTITUTE(LINES_NAME&amp;""," "," "),CHAR(9)," "),CHAR(10)," "),CHAR(13)," "))=$DH158),0),0),0))</f>
        <v/>
      </c>
      <c r="EO158">
        <f>IF($EN158=0,0,IF(OR(UPPER(TRIM(INDEX(LINES_SCHEDULED,$EN158)&amp;""))="YES",UPPER(TRIM(INDEX(LINES_SCHEDULED,$EN158)&amp;""))="Y",UPPER(TRIM(INDEX(LINES_SCHEDULED,$EN158)&amp;""))="X"),1,0))</f>
        <v/>
      </c>
      <c r="EP158">
        <f>IF($DM158=0,"",IF(COUNTIFS($EG$5:$EG$1003,$EG158,$EB$5:$EB$1003,"Ready")&gt;0,"READY",IF(COUNTIFS($EG$5:$EG$1003,$EG158,$EB$5:$EB$1003,"PM")&gt;0,"PM",IF(COUNTIFS($EG$5:$EG$1003,$EG158,$EB$5:$EB$1003,"OT")&gt;0,"OT",""))))</f>
        <v/>
      </c>
      <c r="EQ158">
        <f>IF($EN158=0,"",UPPER(TRIM(INDEX(LINES_STATUS,$EN158)&amp;"")))</f>
        <v/>
      </c>
      <c r="ER158">
        <f>IF($DM158=0,"",IF(OR($EQ158="READY",$EQ158="PM",$EQ158="OT"),$EQ158,$EP158))</f>
        <v/>
      </c>
      <c r="ES158">
        <f>IF($DM158=0,"",IF(AND($DV158&lt;&gt;"",UPPER($DV158)&lt;&gt;"N"),"allergen",IF(ISNUMBER(SEARCH("oil",$DQ158)),"oil",IF(OR(EXACT($DS158,"A662"),EXACT($DS158,"A624")),"bulk",""))))</f>
        <v/>
      </c>
      <c r="ET158">
        <f>IF($DM158=0,"",IF(OR($EA158="",$EA158=0),"",$EA158/100))</f>
        <v/>
      </c>
      <c r="EU158">
        <f>IF(OR($ET158="",$DY158=""),"",INT($DY158*(1-$ET158)+0.5))</f>
        <v/>
      </c>
      <c r="EW158" t="n">
        <v>154</v>
      </c>
      <c r="EX158">
        <f>IFERROR(MATCH($EW158,$EM$5:$EM$1003,0),0)</f>
        <v/>
      </c>
      <c r="EY158">
        <f>IF($EW158&gt;$B$12,"",IF($EX158&gt;0,"row","spacer"))</f>
        <v/>
      </c>
      <c r="EZ158">
        <f>IF(AND($EY158="row",$EY157&lt;&gt;"row"),1,0)</f>
        <v/>
      </c>
      <c r="FA158">
        <f>IF(AND($EY158="row",$EY159&lt;&gt;"row"),1,0)</f>
        <v/>
      </c>
      <c r="FB158">
        <f>IF($EZ158=1,IFERROR(IF(ISNUMBER(INDEX(PASTE_ALL,INDEX($DF$5:$DF$1003,$EX158),$B$37)),INDEX(PASTE_ALL,INDEX($DF$5:$DF$1003,$EX158),$B$37),INDEX($DH$5:$DH$1003,$EX158)),INDEX($DH$5:$DH$1003,$EX158)),"")</f>
        <v/>
      </c>
      <c r="FC158">
        <f>IF($EY158="row",INDEX($ER$5:$ER$1003,$EX158),"")</f>
        <v/>
      </c>
      <c r="FD158">
        <f>IF($EY158="row",INDEX($DN$5:$DN$1003,$EX158),"")</f>
        <v/>
      </c>
      <c r="FE158">
        <f>IF($EY158="row",INDEX($DO$5:$DO$1003,$EX158),"")</f>
        <v/>
      </c>
      <c r="FF158">
        <f>IF($EY158="row",INDEX($DP$5:$DP$1003,$EX158),"")</f>
        <v/>
      </c>
      <c r="FG158">
        <f>IF($EY158="row",INDEX($DQ$5:$DQ$1003,$EX158),"")</f>
        <v/>
      </c>
      <c r="FH158">
        <f>IF($EY158="row",INDEX($DR$5:$DR$1003,$EX158),"")</f>
        <v/>
      </c>
      <c r="FI158">
        <f>IF($EY158="row",INDEX($DS$5:$DS$1003,$EX158),"")</f>
        <v/>
      </c>
      <c r="FJ158">
        <f>IF($EY158="row",INDEX($DT$5:$DT$1003,$EX158),"")</f>
        <v/>
      </c>
      <c r="FK158">
        <f>IF($EY158="row",INDEX($DU$5:$DU$1003,$EX158),"")</f>
        <v/>
      </c>
      <c r="FL158">
        <f>IF($EY158="row",INDEX($DV$5:$DV$1003,$EX158),"")</f>
        <v/>
      </c>
      <c r="FM158">
        <f>IF($EY158="row",INDEX($DW$5:$DW$1003,$EX158),"")</f>
        <v/>
      </c>
      <c r="FN158">
        <f>IF($EY158="row",INDEX($DY$5:$DY$1003,$EX158),"")</f>
        <v/>
      </c>
      <c r="FO158">
        <f>IF($EY158="row",INDEX($EA$5:$EA$1003,$EX158),"")</f>
        <v/>
      </c>
      <c r="FP158">
        <f>IF($EY158="row",INDEX($EC$5:$EC$1003,$EX158),"")</f>
        <v/>
      </c>
      <c r="FQ158">
        <f>IF($EY158="row",INDEX($ET$5:$ET$1003,$EX158),"")</f>
        <v/>
      </c>
      <c r="FR158">
        <f>IF($EY158="row",INDEX($EU$5:$EU$1003,$EX158),"")</f>
        <v/>
      </c>
      <c r="FS158">
        <f>IF(AND($EY158="row",$EY157="row"),IF(OR(INDEX($DT$5:$DT$1003,$EX157)="",INDEX($DT$5:$DT$1003,$EX158)=""),"",IF(NOT(EXACT(INDEX($DT$5:$DT$1003,$EX157),INDEX($DT$5:$DT$1003,$EX158))),"S4",IF(NOT(EXACT(INDEX($DS$5:$DS$1003,$EX157),INDEX($DS$5:$DS$1003,$EX158))),"S3",IF(NOT(EXACT(INDEX($DR$5:$DR$1003,$EX157),INDEX($DR$5:$DR$1003,$EX158))),"S1 Count Change","S1")))),"")</f>
        <v/>
      </c>
      <c r="FT158">
        <f>IF($EY158="row",INDEX($ES$5:$ES$1003,$EX158),"")</f>
        <v/>
      </c>
      <c r="FU158">
        <f>IF($EY158="row",INDEX($EO$5:$EO$1003,$EX158),0)</f>
        <v/>
      </c>
      <c r="FV158">
        <f>IF($FS158="S1 Count Change",1,0)</f>
        <v/>
      </c>
    </row>
    <row r="159">
      <c r="Y159">
        <f>IF(Y24="",0,2*(OR(ISNUMBER(FIND("WORKCENTER",Y24)),AND(LEFT(Y24,4)="LINE",NOT(ISNUMBER(FIND("STATUS",Y24))))))+4*(OR(ISNUMBER(FIND("WORKORDER",Y24)),AND(LEFT(Y24,2)="WO",OR(ISNUMBER(FIND("NUM",Y24)),RIGHT(Y24,2)="NO"))))+8*(LEFT(Y24,3)="SEQ")+16*(AND(LEFT(Y24,4)="ITEM",NOT(ISNUMBER(FIND("DESC",Y24)))))+32*(AND(ISNUMBER(FIND("DESC",Y24)),NOT(ISNUMBER(FIND("CAP",Y24)))))+64*(OR(RIGHT(Y24,5)="COUNT",RIGHT(Y24,2)="CT"))+128*(ISNUMBER(FIND("BULK",Y24)))+256*(ISNUMBER(FIND("SIZE",Y24)))+512*(LEFT(Y24,3)="CAP")+1024*(ISNUMBER(FIND("ALLERG",Y24)))+2048*(OR(ISNUMBER(FIND("REMARK",Y24)),ISNUMBER(FIND("COMMENT",Y24))))+4096*(OR(ISNUMBER(FIND("QTY",Y24)),ISNUMBER(FIND("QUANTITY",Y24))))+8192*(AND(OR(ISNUMBER(FIND("COMPLETE",Y24)),ISNUMBER(FIND("PCT",Y24)),ISNUMBER(FIND("PERCENT",Y24))),NOT(ISNUMBER(FIND("ACTUAL",Y24))),LEN(Y24)&lt;=16))+32768*(OR(ISNUMBER(FIND("DESIC",Y24)),ISNUMBER(FIND("DESSIC",Y24)))))</f>
        <v/>
      </c>
      <c r="Z159">
        <f>IF(Z24="",0,2*(OR(ISNUMBER(FIND("WORKCENTER",Z24)),AND(LEFT(Z24,4)="LINE",NOT(ISNUMBER(FIND("STATUS",Z24))))))+4*(OR(ISNUMBER(FIND("WORKORDER",Z24)),AND(LEFT(Z24,2)="WO",OR(ISNUMBER(FIND("NUM",Z24)),RIGHT(Z24,2)="NO"))))+8*(LEFT(Z24,3)="SEQ")+16*(AND(LEFT(Z24,4)="ITEM",NOT(ISNUMBER(FIND("DESC",Z24)))))+32*(AND(ISNUMBER(FIND("DESC",Z24)),NOT(ISNUMBER(FIND("CAP",Z24)))))+64*(OR(RIGHT(Z24,5)="COUNT",RIGHT(Z24,2)="CT"))+128*(ISNUMBER(FIND("BULK",Z24)))+256*(ISNUMBER(FIND("SIZE",Z24)))+512*(LEFT(Z24,3)="CAP")+1024*(ISNUMBER(FIND("ALLERG",Z24)))+2048*(OR(ISNUMBER(FIND("REMARK",Z24)),ISNUMBER(FIND("COMMENT",Z24))))+4096*(OR(ISNUMBER(FIND("QTY",Z24)),ISNUMBER(FIND("QUANTITY",Z24))))+8192*(AND(OR(ISNUMBER(FIND("COMPLETE",Z24)),ISNUMBER(FIND("PCT",Z24)),ISNUMBER(FIND("PERCENT",Z24))),NOT(ISNUMBER(FIND("ACTUAL",Z24))),LEN(Z24)&lt;=16))+32768*(OR(ISNUMBER(FIND("DESIC",Z24)),ISNUMBER(FIND("DESSIC",Z24)))))</f>
        <v/>
      </c>
      <c r="AA159">
        <f>IF(AA24="",0,2*(OR(ISNUMBER(FIND("WORKCENTER",AA24)),AND(LEFT(AA24,4)="LINE",NOT(ISNUMBER(FIND("STATUS",AA24))))))+4*(OR(ISNUMBER(FIND("WORKORDER",AA24)),AND(LEFT(AA24,2)="WO",OR(ISNUMBER(FIND("NUM",AA24)),RIGHT(AA24,2)="NO"))))+8*(LEFT(AA24,3)="SEQ")+16*(AND(LEFT(AA24,4)="ITEM",NOT(ISNUMBER(FIND("DESC",AA24)))))+32*(AND(ISNUMBER(FIND("DESC",AA24)),NOT(ISNUMBER(FIND("CAP",AA24)))))+64*(OR(RIGHT(AA24,5)="COUNT",RIGHT(AA24,2)="CT"))+128*(ISNUMBER(FIND("BULK",AA24)))+256*(ISNUMBER(FIND("SIZE",AA24)))+512*(LEFT(AA24,3)="CAP")+1024*(ISNUMBER(FIND("ALLERG",AA24)))+2048*(OR(ISNUMBER(FIND("REMARK",AA24)),ISNUMBER(FIND("COMMENT",AA24))))+4096*(OR(ISNUMBER(FIND("QTY",AA24)),ISNUMBER(FIND("QUANTITY",AA24))))+8192*(AND(OR(ISNUMBER(FIND("COMPLETE",AA24)),ISNUMBER(FIND("PCT",AA24)),ISNUMBER(FIND("PERCENT",AA24))),NOT(ISNUMBER(FIND("ACTUAL",AA24))),LEN(AA24)&lt;=16))+32768*(OR(ISNUMBER(FIND("DESIC",AA24)),ISNUMBER(FIND("DESSIC",AA24)))))</f>
        <v/>
      </c>
      <c r="AB159">
        <f>IF(AB24="",0,2*(OR(ISNUMBER(FIND("WORKCENTER",AB24)),AND(LEFT(AB24,4)="LINE",NOT(ISNUMBER(FIND("STATUS",AB24))))))+4*(OR(ISNUMBER(FIND("WORKORDER",AB24)),AND(LEFT(AB24,2)="WO",OR(ISNUMBER(FIND("NUM",AB24)),RIGHT(AB24,2)="NO"))))+8*(LEFT(AB24,3)="SEQ")+16*(AND(LEFT(AB24,4)="ITEM",NOT(ISNUMBER(FIND("DESC",AB24)))))+32*(AND(ISNUMBER(FIND("DESC",AB24)),NOT(ISNUMBER(FIND("CAP",AB24)))))+64*(OR(RIGHT(AB24,5)="COUNT",RIGHT(AB24,2)="CT"))+128*(ISNUMBER(FIND("BULK",AB24)))+256*(ISNUMBER(FIND("SIZE",AB24)))+512*(LEFT(AB24,3)="CAP")+1024*(ISNUMBER(FIND("ALLERG",AB24)))+2048*(OR(ISNUMBER(FIND("REMARK",AB24)),ISNUMBER(FIND("COMMENT",AB24))))+4096*(OR(ISNUMBER(FIND("QTY",AB24)),ISNUMBER(FIND("QUANTITY",AB24))))+8192*(AND(OR(ISNUMBER(FIND("COMPLETE",AB24)),ISNUMBER(FIND("PCT",AB24)),ISNUMBER(FIND("PERCENT",AB24))),NOT(ISNUMBER(FIND("ACTUAL",AB24))),LEN(AB24)&lt;=16))+32768*(OR(ISNUMBER(FIND("DESIC",AB24)),ISNUMBER(FIND("DESSIC",AB24)))))</f>
        <v/>
      </c>
      <c r="AC159">
        <f>IF(AC24="",0,2*(OR(ISNUMBER(FIND("WORKCENTER",AC24)),AND(LEFT(AC24,4)="LINE",NOT(ISNUMBER(FIND("STATUS",AC24))))))+4*(OR(ISNUMBER(FIND("WORKORDER",AC24)),AND(LEFT(AC24,2)="WO",OR(ISNUMBER(FIND("NUM",AC24)),RIGHT(AC24,2)="NO"))))+8*(LEFT(AC24,3)="SEQ")+16*(AND(LEFT(AC24,4)="ITEM",NOT(ISNUMBER(FIND("DESC",AC24)))))+32*(AND(ISNUMBER(FIND("DESC",AC24)),NOT(ISNUMBER(FIND("CAP",AC24)))))+64*(OR(RIGHT(AC24,5)="COUNT",RIGHT(AC24,2)="CT"))+128*(ISNUMBER(FIND("BULK",AC24)))+256*(ISNUMBER(FIND("SIZE",AC24)))+512*(LEFT(AC24,3)="CAP")+1024*(ISNUMBER(FIND("ALLERG",AC24)))+2048*(OR(ISNUMBER(FIND("REMARK",AC24)),ISNUMBER(FIND("COMMENT",AC24))))+4096*(OR(ISNUMBER(FIND("QTY",AC24)),ISNUMBER(FIND("QUANTITY",AC24))))+8192*(AND(OR(ISNUMBER(FIND("COMPLETE",AC24)),ISNUMBER(FIND("PCT",AC24)),ISNUMBER(FIND("PERCENT",AC24))),NOT(ISNUMBER(FIND("ACTUAL",AC24))),LEN(AC24)&lt;=16))+32768*(OR(ISNUMBER(FIND("DESIC",AC24)),ISNUMBER(FIND("DESSIC",AC24)))))</f>
        <v/>
      </c>
      <c r="AD159">
        <f>IF(AD24="",0,2*(OR(ISNUMBER(FIND("WORKCENTER",AD24)),AND(LEFT(AD24,4)="LINE",NOT(ISNUMBER(FIND("STATUS",AD24))))))+4*(OR(ISNUMBER(FIND("WORKORDER",AD24)),AND(LEFT(AD24,2)="WO",OR(ISNUMBER(FIND("NUM",AD24)),RIGHT(AD24,2)="NO"))))+8*(LEFT(AD24,3)="SEQ")+16*(AND(LEFT(AD24,4)="ITEM",NOT(ISNUMBER(FIND("DESC",AD24)))))+32*(AND(ISNUMBER(FIND("DESC",AD24)),NOT(ISNUMBER(FIND("CAP",AD24)))))+64*(OR(RIGHT(AD24,5)="COUNT",RIGHT(AD24,2)="CT"))+128*(ISNUMBER(FIND("BULK",AD24)))+256*(ISNUMBER(FIND("SIZE",AD24)))+512*(LEFT(AD24,3)="CAP")+1024*(ISNUMBER(FIND("ALLERG",AD24)))+2048*(OR(ISNUMBER(FIND("REMARK",AD24)),ISNUMBER(FIND("COMMENT",AD24))))+4096*(OR(ISNUMBER(FIND("QTY",AD24)),ISNUMBER(FIND("QUANTITY",AD24))))+8192*(AND(OR(ISNUMBER(FIND("COMPLETE",AD24)),ISNUMBER(FIND("PCT",AD24)),ISNUMBER(FIND("PERCENT",AD24))),NOT(ISNUMBER(FIND("ACTUAL",AD24))),LEN(AD24)&lt;=16))+32768*(OR(ISNUMBER(FIND("DESIC",AD24)),ISNUMBER(FIND("DESSIC",AD24)))))</f>
        <v/>
      </c>
      <c r="AE159">
        <f>IF(AE24="",0,2*(OR(ISNUMBER(FIND("WORKCENTER",AE24)),AND(LEFT(AE24,4)="LINE",NOT(ISNUMBER(FIND("STATUS",AE24))))))+4*(OR(ISNUMBER(FIND("WORKORDER",AE24)),AND(LEFT(AE24,2)="WO",OR(ISNUMBER(FIND("NUM",AE24)),RIGHT(AE24,2)="NO"))))+8*(LEFT(AE24,3)="SEQ")+16*(AND(LEFT(AE24,4)="ITEM",NOT(ISNUMBER(FIND("DESC",AE24)))))+32*(AND(ISNUMBER(FIND("DESC",AE24)),NOT(ISNUMBER(FIND("CAP",AE24)))))+64*(OR(RIGHT(AE24,5)="COUNT",RIGHT(AE24,2)="CT"))+128*(ISNUMBER(FIND("BULK",AE24)))+256*(ISNUMBER(FIND("SIZE",AE24)))+512*(LEFT(AE24,3)="CAP")+1024*(ISNUMBER(FIND("ALLERG",AE24)))+2048*(OR(ISNUMBER(FIND("REMARK",AE24)),ISNUMBER(FIND("COMMENT",AE24))))+4096*(OR(ISNUMBER(FIND("QTY",AE24)),ISNUMBER(FIND("QUANTITY",AE24))))+8192*(AND(OR(ISNUMBER(FIND("COMPLETE",AE24)),ISNUMBER(FIND("PCT",AE24)),ISNUMBER(FIND("PERCENT",AE24))),NOT(ISNUMBER(FIND("ACTUAL",AE24))),LEN(AE24)&lt;=16))+32768*(OR(ISNUMBER(FIND("DESIC",AE24)),ISNUMBER(FIND("DESSIC",AE24)))))</f>
        <v/>
      </c>
      <c r="AF159">
        <f>IF(AF24="",0,2*(OR(ISNUMBER(FIND("WORKCENTER",AF24)),AND(LEFT(AF24,4)="LINE",NOT(ISNUMBER(FIND("STATUS",AF24))))))+4*(OR(ISNUMBER(FIND("WORKORDER",AF24)),AND(LEFT(AF24,2)="WO",OR(ISNUMBER(FIND("NUM",AF24)),RIGHT(AF24,2)="NO"))))+8*(LEFT(AF24,3)="SEQ")+16*(AND(LEFT(AF24,4)="ITEM",NOT(ISNUMBER(FIND("DESC",AF24)))))+32*(AND(ISNUMBER(FIND("DESC",AF24)),NOT(ISNUMBER(FIND("CAP",AF24)))))+64*(OR(RIGHT(AF24,5)="COUNT",RIGHT(AF24,2)="CT"))+128*(ISNUMBER(FIND("BULK",AF24)))+256*(ISNUMBER(FIND("SIZE",AF24)))+512*(LEFT(AF24,3)="CAP")+1024*(ISNUMBER(FIND("ALLERG",AF24)))+2048*(OR(ISNUMBER(FIND("REMARK",AF24)),ISNUMBER(FIND("COMMENT",AF24))))+4096*(OR(ISNUMBER(FIND("QTY",AF24)),ISNUMBER(FIND("QUANTITY",AF24))))+8192*(AND(OR(ISNUMBER(FIND("COMPLETE",AF24)),ISNUMBER(FIND("PCT",AF24)),ISNUMBER(FIND("PERCENT",AF24))),NOT(ISNUMBER(FIND("ACTUAL",AF24))),LEN(AF24)&lt;=16))+32768*(OR(ISNUMBER(FIND("DESIC",AF24)),ISNUMBER(FIND("DESSIC",AF24)))))</f>
        <v/>
      </c>
      <c r="AG159">
        <f>IF(AG24="",0,2*(OR(ISNUMBER(FIND("WORKCENTER",AG24)),AND(LEFT(AG24,4)="LINE",NOT(ISNUMBER(FIND("STATUS",AG24))))))+4*(OR(ISNUMBER(FIND("WORKORDER",AG24)),AND(LEFT(AG24,2)="WO",OR(ISNUMBER(FIND("NUM",AG24)),RIGHT(AG24,2)="NO"))))+8*(LEFT(AG24,3)="SEQ")+16*(AND(LEFT(AG24,4)="ITEM",NOT(ISNUMBER(FIND("DESC",AG24)))))+32*(AND(ISNUMBER(FIND("DESC",AG24)),NOT(ISNUMBER(FIND("CAP",AG24)))))+64*(OR(RIGHT(AG24,5)="COUNT",RIGHT(AG24,2)="CT"))+128*(ISNUMBER(FIND("BULK",AG24)))+256*(ISNUMBER(FIND("SIZE",AG24)))+512*(LEFT(AG24,3)="CAP")+1024*(ISNUMBER(FIND("ALLERG",AG24)))+2048*(OR(ISNUMBER(FIND("REMARK",AG24)),ISNUMBER(FIND("COMMENT",AG24))))+4096*(OR(ISNUMBER(FIND("QTY",AG24)),ISNUMBER(FIND("QUANTITY",AG24))))+8192*(AND(OR(ISNUMBER(FIND("COMPLETE",AG24)),ISNUMBER(FIND("PCT",AG24)),ISNUMBER(FIND("PERCENT",AG24))),NOT(ISNUMBER(FIND("ACTUAL",AG24))),LEN(AG24)&lt;=16))+32768*(OR(ISNUMBER(FIND("DESIC",AG24)),ISNUMBER(FIND("DESSIC",AG24)))))</f>
        <v/>
      </c>
      <c r="AH159">
        <f>IF(AH24="",0,2*(OR(ISNUMBER(FIND("WORKCENTER",AH24)),AND(LEFT(AH24,4)="LINE",NOT(ISNUMBER(FIND("STATUS",AH24))))))+4*(OR(ISNUMBER(FIND("WORKORDER",AH24)),AND(LEFT(AH24,2)="WO",OR(ISNUMBER(FIND("NUM",AH24)),RIGHT(AH24,2)="NO"))))+8*(LEFT(AH24,3)="SEQ")+16*(AND(LEFT(AH24,4)="ITEM",NOT(ISNUMBER(FIND("DESC",AH24)))))+32*(AND(ISNUMBER(FIND("DESC",AH24)),NOT(ISNUMBER(FIND("CAP",AH24)))))+64*(OR(RIGHT(AH24,5)="COUNT",RIGHT(AH24,2)="CT"))+128*(ISNUMBER(FIND("BULK",AH24)))+256*(ISNUMBER(FIND("SIZE",AH24)))+512*(LEFT(AH24,3)="CAP")+1024*(ISNUMBER(FIND("ALLERG",AH24)))+2048*(OR(ISNUMBER(FIND("REMARK",AH24)),ISNUMBER(FIND("COMMENT",AH24))))+4096*(OR(ISNUMBER(FIND("QTY",AH24)),ISNUMBER(FIND("QUANTITY",AH24))))+8192*(AND(OR(ISNUMBER(FIND("COMPLETE",AH24)),ISNUMBER(FIND("PCT",AH24)),ISNUMBER(FIND("PERCENT",AH24))),NOT(ISNUMBER(FIND("ACTUAL",AH24))),LEN(AH24)&lt;=16))+32768*(OR(ISNUMBER(FIND("DESIC",AH24)),ISNUMBER(FIND("DESSIC",AH24)))))</f>
        <v/>
      </c>
      <c r="AI159">
        <f>IF(AI24="",0,2*(OR(ISNUMBER(FIND("WORKCENTER",AI24)),AND(LEFT(AI24,4)="LINE",NOT(ISNUMBER(FIND("STATUS",AI24))))))+4*(OR(ISNUMBER(FIND("WORKORDER",AI24)),AND(LEFT(AI24,2)="WO",OR(ISNUMBER(FIND("NUM",AI24)),RIGHT(AI24,2)="NO"))))+8*(LEFT(AI24,3)="SEQ")+16*(AND(LEFT(AI24,4)="ITEM",NOT(ISNUMBER(FIND("DESC",AI24)))))+32*(AND(ISNUMBER(FIND("DESC",AI24)),NOT(ISNUMBER(FIND("CAP",AI24)))))+64*(OR(RIGHT(AI24,5)="COUNT",RIGHT(AI24,2)="CT"))+128*(ISNUMBER(FIND("BULK",AI24)))+256*(ISNUMBER(FIND("SIZE",AI24)))+512*(LEFT(AI24,3)="CAP")+1024*(ISNUMBER(FIND("ALLERG",AI24)))+2048*(OR(ISNUMBER(FIND("REMARK",AI24)),ISNUMBER(FIND("COMMENT",AI24))))+4096*(OR(ISNUMBER(FIND("QTY",AI24)),ISNUMBER(FIND("QUANTITY",AI24))))+8192*(AND(OR(ISNUMBER(FIND("COMPLETE",AI24)),ISNUMBER(FIND("PCT",AI24)),ISNUMBER(FIND("PERCENT",AI24))),NOT(ISNUMBER(FIND("ACTUAL",AI24))),LEN(AI24)&lt;=16))+32768*(OR(ISNUMBER(FIND("DESIC",AI24)),ISNUMBER(FIND("DESSIC",AI24)))))</f>
        <v/>
      </c>
      <c r="AJ159">
        <f>IF(AJ24="",0,2*(OR(ISNUMBER(FIND("WORKCENTER",AJ24)),AND(LEFT(AJ24,4)="LINE",NOT(ISNUMBER(FIND("STATUS",AJ24))))))+4*(OR(ISNUMBER(FIND("WORKORDER",AJ24)),AND(LEFT(AJ24,2)="WO",OR(ISNUMBER(FIND("NUM",AJ24)),RIGHT(AJ24,2)="NO"))))+8*(LEFT(AJ24,3)="SEQ")+16*(AND(LEFT(AJ24,4)="ITEM",NOT(ISNUMBER(FIND("DESC",AJ24)))))+32*(AND(ISNUMBER(FIND("DESC",AJ24)),NOT(ISNUMBER(FIND("CAP",AJ24)))))+64*(OR(RIGHT(AJ24,5)="COUNT",RIGHT(AJ24,2)="CT"))+128*(ISNUMBER(FIND("BULK",AJ24)))+256*(ISNUMBER(FIND("SIZE",AJ24)))+512*(LEFT(AJ24,3)="CAP")+1024*(ISNUMBER(FIND("ALLERG",AJ24)))+2048*(OR(ISNUMBER(FIND("REMARK",AJ24)),ISNUMBER(FIND("COMMENT",AJ24))))+4096*(OR(ISNUMBER(FIND("QTY",AJ24)),ISNUMBER(FIND("QUANTITY",AJ24))))+8192*(AND(OR(ISNUMBER(FIND("COMPLETE",AJ24)),ISNUMBER(FIND("PCT",AJ24)),ISNUMBER(FIND("PERCENT",AJ24))),NOT(ISNUMBER(FIND("ACTUAL",AJ24))),LEN(AJ24)&lt;=16))+32768*(OR(ISNUMBER(FIND("DESIC",AJ24)),ISNUMBER(FIND("DESSIC",AJ24)))))</f>
        <v/>
      </c>
      <c r="AK159">
        <f>IF(AK24="",0,2*(OR(ISNUMBER(FIND("WORKCENTER",AK24)),AND(LEFT(AK24,4)="LINE",NOT(ISNUMBER(FIND("STATUS",AK24))))))+4*(OR(ISNUMBER(FIND("WORKORDER",AK24)),AND(LEFT(AK24,2)="WO",OR(ISNUMBER(FIND("NUM",AK24)),RIGHT(AK24,2)="NO"))))+8*(LEFT(AK24,3)="SEQ")+16*(AND(LEFT(AK24,4)="ITEM",NOT(ISNUMBER(FIND("DESC",AK24)))))+32*(AND(ISNUMBER(FIND("DESC",AK24)),NOT(ISNUMBER(FIND("CAP",AK24)))))+64*(OR(RIGHT(AK24,5)="COUNT",RIGHT(AK24,2)="CT"))+128*(ISNUMBER(FIND("BULK",AK24)))+256*(ISNUMBER(FIND("SIZE",AK24)))+512*(LEFT(AK24,3)="CAP")+1024*(ISNUMBER(FIND("ALLERG",AK24)))+2048*(OR(ISNUMBER(FIND("REMARK",AK24)),ISNUMBER(FIND("COMMENT",AK24))))+4096*(OR(ISNUMBER(FIND("QTY",AK24)),ISNUMBER(FIND("QUANTITY",AK24))))+8192*(AND(OR(ISNUMBER(FIND("COMPLETE",AK24)),ISNUMBER(FIND("PCT",AK24)),ISNUMBER(FIND("PERCENT",AK24))),NOT(ISNUMBER(FIND("ACTUAL",AK24))),LEN(AK24)&lt;=16))+32768*(OR(ISNUMBER(FIND("DESIC",AK24)),ISNUMBER(FIND("DESSIC",AK24)))))</f>
        <v/>
      </c>
      <c r="AL159">
        <f>IF(AL24="",0,2*(OR(ISNUMBER(FIND("WORKCENTER",AL24)),AND(LEFT(AL24,4)="LINE",NOT(ISNUMBER(FIND("STATUS",AL24))))))+4*(OR(ISNUMBER(FIND("WORKORDER",AL24)),AND(LEFT(AL24,2)="WO",OR(ISNUMBER(FIND("NUM",AL24)),RIGHT(AL24,2)="NO"))))+8*(LEFT(AL24,3)="SEQ")+16*(AND(LEFT(AL24,4)="ITEM",NOT(ISNUMBER(FIND("DESC",AL24)))))+32*(AND(ISNUMBER(FIND("DESC",AL24)),NOT(ISNUMBER(FIND("CAP",AL24)))))+64*(OR(RIGHT(AL24,5)="COUNT",RIGHT(AL24,2)="CT"))+128*(ISNUMBER(FIND("BULK",AL24)))+256*(ISNUMBER(FIND("SIZE",AL24)))+512*(LEFT(AL24,3)="CAP")+1024*(ISNUMBER(FIND("ALLERG",AL24)))+2048*(OR(ISNUMBER(FIND("REMARK",AL24)),ISNUMBER(FIND("COMMENT",AL24))))+4096*(OR(ISNUMBER(FIND("QTY",AL24)),ISNUMBER(FIND("QUANTITY",AL24))))+8192*(AND(OR(ISNUMBER(FIND("COMPLETE",AL24)),ISNUMBER(FIND("PCT",AL24)),ISNUMBER(FIND("PERCENT",AL24))),NOT(ISNUMBER(FIND("ACTUAL",AL24))),LEN(AL24)&lt;=16))+32768*(OR(ISNUMBER(FIND("DESIC",AL24)),ISNUMBER(FIND("DESSIC",AL24)))))</f>
        <v/>
      </c>
      <c r="AM159">
        <f>IF(AM24="",0,2*(OR(ISNUMBER(FIND("WORKCENTER",AM24)),AND(LEFT(AM24,4)="LINE",NOT(ISNUMBER(FIND("STATUS",AM24))))))+4*(OR(ISNUMBER(FIND("WORKORDER",AM24)),AND(LEFT(AM24,2)="WO",OR(ISNUMBER(FIND("NUM",AM24)),RIGHT(AM24,2)="NO"))))+8*(LEFT(AM24,3)="SEQ")+16*(AND(LEFT(AM24,4)="ITEM",NOT(ISNUMBER(FIND("DESC",AM24)))))+32*(AND(ISNUMBER(FIND("DESC",AM24)),NOT(ISNUMBER(FIND("CAP",AM24)))))+64*(OR(RIGHT(AM24,5)="COUNT",RIGHT(AM24,2)="CT"))+128*(ISNUMBER(FIND("BULK",AM24)))+256*(ISNUMBER(FIND("SIZE",AM24)))+512*(LEFT(AM24,3)="CAP")+1024*(ISNUMBER(FIND("ALLERG",AM24)))+2048*(OR(ISNUMBER(FIND("REMARK",AM24)),ISNUMBER(FIND("COMMENT",AM24))))+4096*(OR(ISNUMBER(FIND("QTY",AM24)),ISNUMBER(FIND("QUANTITY",AM24))))+8192*(AND(OR(ISNUMBER(FIND("COMPLETE",AM24)),ISNUMBER(FIND("PCT",AM24)),ISNUMBER(FIND("PERCENT",AM24))),NOT(ISNUMBER(FIND("ACTUAL",AM24))),LEN(AM24)&lt;=16))+32768*(OR(ISNUMBER(FIND("DESIC",AM24)),ISNUMBER(FIND("DESSIC",AM24)))))</f>
        <v/>
      </c>
      <c r="AN159">
        <f>IF(AN24="",0,2*(OR(ISNUMBER(FIND("WORKCENTER",AN24)),AND(LEFT(AN24,4)="LINE",NOT(ISNUMBER(FIND("STATUS",AN24))))))+4*(OR(ISNUMBER(FIND("WORKORDER",AN24)),AND(LEFT(AN24,2)="WO",OR(ISNUMBER(FIND("NUM",AN24)),RIGHT(AN24,2)="NO"))))+8*(LEFT(AN24,3)="SEQ")+16*(AND(LEFT(AN24,4)="ITEM",NOT(ISNUMBER(FIND("DESC",AN24)))))+32*(AND(ISNUMBER(FIND("DESC",AN24)),NOT(ISNUMBER(FIND("CAP",AN24)))))+64*(OR(RIGHT(AN24,5)="COUNT",RIGHT(AN24,2)="CT"))+128*(ISNUMBER(FIND("BULK",AN24)))+256*(ISNUMBER(FIND("SIZE",AN24)))+512*(LEFT(AN24,3)="CAP")+1024*(ISNUMBER(FIND("ALLERG",AN24)))+2048*(OR(ISNUMBER(FIND("REMARK",AN24)),ISNUMBER(FIND("COMMENT",AN24))))+4096*(OR(ISNUMBER(FIND("QTY",AN24)),ISNUMBER(FIND("QUANTITY",AN24))))+8192*(AND(OR(ISNUMBER(FIND("COMPLETE",AN24)),ISNUMBER(FIND("PCT",AN24)),ISNUMBER(FIND("PERCENT",AN24))),NOT(ISNUMBER(FIND("ACTUAL",AN24))),LEN(AN24)&lt;=16))+32768*(OR(ISNUMBER(FIND("DESIC",AN24)),ISNUMBER(FIND("DESSIC",AN24)))))</f>
        <v/>
      </c>
      <c r="AO159">
        <f>IF(AO24="",0,2*(OR(ISNUMBER(FIND("WORKCENTER",AO24)),AND(LEFT(AO24,4)="LINE",NOT(ISNUMBER(FIND("STATUS",AO24))))))+4*(OR(ISNUMBER(FIND("WORKORDER",AO24)),AND(LEFT(AO24,2)="WO",OR(ISNUMBER(FIND("NUM",AO24)),RIGHT(AO24,2)="NO"))))+8*(LEFT(AO24,3)="SEQ")+16*(AND(LEFT(AO24,4)="ITEM",NOT(ISNUMBER(FIND("DESC",AO24)))))+32*(AND(ISNUMBER(FIND("DESC",AO24)),NOT(ISNUMBER(FIND("CAP",AO24)))))+64*(OR(RIGHT(AO24,5)="COUNT",RIGHT(AO24,2)="CT"))+128*(ISNUMBER(FIND("BULK",AO24)))+256*(ISNUMBER(FIND("SIZE",AO24)))+512*(LEFT(AO24,3)="CAP")+1024*(ISNUMBER(FIND("ALLERG",AO24)))+2048*(OR(ISNUMBER(FIND("REMARK",AO24)),ISNUMBER(FIND("COMMENT",AO24))))+4096*(OR(ISNUMBER(FIND("QTY",AO24)),ISNUMBER(FIND("QUANTITY",AO24))))+8192*(AND(OR(ISNUMBER(FIND("COMPLETE",AO24)),ISNUMBER(FIND("PCT",AO24)),ISNUMBER(FIND("PERCENT",AO24))),NOT(ISNUMBER(FIND("ACTUAL",AO24))),LEN(AO24)&lt;=16))+32768*(OR(ISNUMBER(FIND("DESIC",AO24)),ISNUMBER(FIND("DESSIC",AO24)))))</f>
        <v/>
      </c>
      <c r="AP159">
        <f>IF(AP24="",0,2*(OR(ISNUMBER(FIND("WORKCENTER",AP24)),AND(LEFT(AP24,4)="LINE",NOT(ISNUMBER(FIND("STATUS",AP24))))))+4*(OR(ISNUMBER(FIND("WORKORDER",AP24)),AND(LEFT(AP24,2)="WO",OR(ISNUMBER(FIND("NUM",AP24)),RIGHT(AP24,2)="NO"))))+8*(LEFT(AP24,3)="SEQ")+16*(AND(LEFT(AP24,4)="ITEM",NOT(ISNUMBER(FIND("DESC",AP24)))))+32*(AND(ISNUMBER(FIND("DESC",AP24)),NOT(ISNUMBER(FIND("CAP",AP24)))))+64*(OR(RIGHT(AP24,5)="COUNT",RIGHT(AP24,2)="CT"))+128*(ISNUMBER(FIND("BULK",AP24)))+256*(ISNUMBER(FIND("SIZE",AP24)))+512*(LEFT(AP24,3)="CAP")+1024*(ISNUMBER(FIND("ALLERG",AP24)))+2048*(OR(ISNUMBER(FIND("REMARK",AP24)),ISNUMBER(FIND("COMMENT",AP24))))+4096*(OR(ISNUMBER(FIND("QTY",AP24)),ISNUMBER(FIND("QUANTITY",AP24))))+8192*(AND(OR(ISNUMBER(FIND("COMPLETE",AP24)),ISNUMBER(FIND("PCT",AP24)),ISNUMBER(FIND("PERCENT",AP24))),NOT(ISNUMBER(FIND("ACTUAL",AP24))),LEN(AP24)&lt;=16))+32768*(OR(ISNUMBER(FIND("DESIC",AP24)),ISNUMBER(FIND("DESSIC",AP24)))))</f>
        <v/>
      </c>
      <c r="AQ159">
        <f>IF(AQ24="",0,2*(OR(ISNUMBER(FIND("WORKCENTER",AQ24)),AND(LEFT(AQ24,4)="LINE",NOT(ISNUMBER(FIND("STATUS",AQ24))))))+4*(OR(ISNUMBER(FIND("WORKORDER",AQ24)),AND(LEFT(AQ24,2)="WO",OR(ISNUMBER(FIND("NUM",AQ24)),RIGHT(AQ24,2)="NO"))))+8*(LEFT(AQ24,3)="SEQ")+16*(AND(LEFT(AQ24,4)="ITEM",NOT(ISNUMBER(FIND("DESC",AQ24)))))+32*(AND(ISNUMBER(FIND("DESC",AQ24)),NOT(ISNUMBER(FIND("CAP",AQ24)))))+64*(OR(RIGHT(AQ24,5)="COUNT",RIGHT(AQ24,2)="CT"))+128*(ISNUMBER(FIND("BULK",AQ24)))+256*(ISNUMBER(FIND("SIZE",AQ24)))+512*(LEFT(AQ24,3)="CAP")+1024*(ISNUMBER(FIND("ALLERG",AQ24)))+2048*(OR(ISNUMBER(FIND("REMARK",AQ24)),ISNUMBER(FIND("COMMENT",AQ24))))+4096*(OR(ISNUMBER(FIND("QTY",AQ24)),ISNUMBER(FIND("QUANTITY",AQ24))))+8192*(AND(OR(ISNUMBER(FIND("COMPLETE",AQ24)),ISNUMBER(FIND("PCT",AQ24)),ISNUMBER(FIND("PERCENT",AQ24))),NOT(ISNUMBER(FIND("ACTUAL",AQ24))),LEN(AQ24)&lt;=16))+32768*(OR(ISNUMBER(FIND("DESIC",AQ24)),ISNUMBER(FIND("DESSIC",AQ24)))))</f>
        <v/>
      </c>
      <c r="AR159">
        <f>IF(AR24="",0,2*(OR(ISNUMBER(FIND("WORKCENTER",AR24)),AND(LEFT(AR24,4)="LINE",NOT(ISNUMBER(FIND("STATUS",AR24))))))+4*(OR(ISNUMBER(FIND("WORKORDER",AR24)),AND(LEFT(AR24,2)="WO",OR(ISNUMBER(FIND("NUM",AR24)),RIGHT(AR24,2)="NO"))))+8*(LEFT(AR24,3)="SEQ")+16*(AND(LEFT(AR24,4)="ITEM",NOT(ISNUMBER(FIND("DESC",AR24)))))+32*(AND(ISNUMBER(FIND("DESC",AR24)),NOT(ISNUMBER(FIND("CAP",AR24)))))+64*(OR(RIGHT(AR24,5)="COUNT",RIGHT(AR24,2)="CT"))+128*(ISNUMBER(FIND("BULK",AR24)))+256*(ISNUMBER(FIND("SIZE",AR24)))+512*(LEFT(AR24,3)="CAP")+1024*(ISNUMBER(FIND("ALLERG",AR24)))+2048*(OR(ISNUMBER(FIND("REMARK",AR24)),ISNUMBER(FIND("COMMENT",AR24))))+4096*(OR(ISNUMBER(FIND("QTY",AR24)),ISNUMBER(FIND("QUANTITY",AR24))))+8192*(AND(OR(ISNUMBER(FIND("COMPLETE",AR24)),ISNUMBER(FIND("PCT",AR24)),ISNUMBER(FIND("PERCENT",AR24))),NOT(ISNUMBER(FIND("ACTUAL",AR24))),LEN(AR24)&lt;=16))+32768*(OR(ISNUMBER(FIND("DESIC",AR24)),ISNUMBER(FIND("DESSIC",AR24)))))</f>
        <v/>
      </c>
      <c r="AS159">
        <f>IF(AS24="",0,2*(OR(ISNUMBER(FIND("WORKCENTER",AS24)),AND(LEFT(AS24,4)="LINE",NOT(ISNUMBER(FIND("STATUS",AS24))))))+4*(OR(ISNUMBER(FIND("WORKORDER",AS24)),AND(LEFT(AS24,2)="WO",OR(ISNUMBER(FIND("NUM",AS24)),RIGHT(AS24,2)="NO"))))+8*(LEFT(AS24,3)="SEQ")+16*(AND(LEFT(AS24,4)="ITEM",NOT(ISNUMBER(FIND("DESC",AS24)))))+32*(AND(ISNUMBER(FIND("DESC",AS24)),NOT(ISNUMBER(FIND("CAP",AS24)))))+64*(OR(RIGHT(AS24,5)="COUNT",RIGHT(AS24,2)="CT"))+128*(ISNUMBER(FIND("BULK",AS24)))+256*(ISNUMBER(FIND("SIZE",AS24)))+512*(LEFT(AS24,3)="CAP")+1024*(ISNUMBER(FIND("ALLERG",AS24)))+2048*(OR(ISNUMBER(FIND("REMARK",AS24)),ISNUMBER(FIND("COMMENT",AS24))))+4096*(OR(ISNUMBER(FIND("QTY",AS24)),ISNUMBER(FIND("QUANTITY",AS24))))+8192*(AND(OR(ISNUMBER(FIND("COMPLETE",AS24)),ISNUMBER(FIND("PCT",AS24)),ISNUMBER(FIND("PERCENT",AS24))),NOT(ISNUMBER(FIND("ACTUAL",AS24))),LEN(AS24)&lt;=16))+32768*(OR(ISNUMBER(FIND("DESIC",AS24)),ISNUMBER(FIND("DESSIC",AS24)))))</f>
        <v/>
      </c>
      <c r="AT159">
        <f>IF(AT24="",0,2*(OR(ISNUMBER(FIND("WORKCENTER",AT24)),AND(LEFT(AT24,4)="LINE",NOT(ISNUMBER(FIND("STATUS",AT24))))))+4*(OR(ISNUMBER(FIND("WORKORDER",AT24)),AND(LEFT(AT24,2)="WO",OR(ISNUMBER(FIND("NUM",AT24)),RIGHT(AT24,2)="NO"))))+8*(LEFT(AT24,3)="SEQ")+16*(AND(LEFT(AT24,4)="ITEM",NOT(ISNUMBER(FIND("DESC",AT24)))))+32*(AND(ISNUMBER(FIND("DESC",AT24)),NOT(ISNUMBER(FIND("CAP",AT24)))))+64*(OR(RIGHT(AT24,5)="COUNT",RIGHT(AT24,2)="CT"))+128*(ISNUMBER(FIND("BULK",AT24)))+256*(ISNUMBER(FIND("SIZE",AT24)))+512*(LEFT(AT24,3)="CAP")+1024*(ISNUMBER(FIND("ALLERG",AT24)))+2048*(OR(ISNUMBER(FIND("REMARK",AT24)),ISNUMBER(FIND("COMMENT",AT24))))+4096*(OR(ISNUMBER(FIND("QTY",AT24)),ISNUMBER(FIND("QUANTITY",AT24))))+8192*(AND(OR(ISNUMBER(FIND("COMPLETE",AT24)),ISNUMBER(FIND("PCT",AT24)),ISNUMBER(FIND("PERCENT",AT24))),NOT(ISNUMBER(FIND("ACTUAL",AT24))),LEN(AT24)&lt;=16))+32768*(OR(ISNUMBER(FIND("DESIC",AT24)),ISNUMBER(FIND("DESSIC",AT24)))))</f>
        <v/>
      </c>
      <c r="AU159">
        <f>IF(AU24="",0,2*(OR(ISNUMBER(FIND("WORKCENTER",AU24)),AND(LEFT(AU24,4)="LINE",NOT(ISNUMBER(FIND("STATUS",AU24))))))+4*(OR(ISNUMBER(FIND("WORKORDER",AU24)),AND(LEFT(AU24,2)="WO",OR(ISNUMBER(FIND("NUM",AU24)),RIGHT(AU24,2)="NO"))))+8*(LEFT(AU24,3)="SEQ")+16*(AND(LEFT(AU24,4)="ITEM",NOT(ISNUMBER(FIND("DESC",AU24)))))+32*(AND(ISNUMBER(FIND("DESC",AU24)),NOT(ISNUMBER(FIND("CAP",AU24)))))+64*(OR(RIGHT(AU24,5)="COUNT",RIGHT(AU24,2)="CT"))+128*(ISNUMBER(FIND("BULK",AU24)))+256*(ISNUMBER(FIND("SIZE",AU24)))+512*(LEFT(AU24,3)="CAP")+1024*(ISNUMBER(FIND("ALLERG",AU24)))+2048*(OR(ISNUMBER(FIND("REMARK",AU24)),ISNUMBER(FIND("COMMENT",AU24))))+4096*(OR(ISNUMBER(FIND("QTY",AU24)),ISNUMBER(FIND("QUANTITY",AU24))))+8192*(AND(OR(ISNUMBER(FIND("COMPLETE",AU24)),ISNUMBER(FIND("PCT",AU24)),ISNUMBER(FIND("PERCENT",AU24))),NOT(ISNUMBER(FIND("ACTUAL",AU24))),LEN(AU24)&lt;=16))+32768*(OR(ISNUMBER(FIND("DESIC",AU24)),ISNUMBER(FIND("DESSIC",AU24)))))</f>
        <v/>
      </c>
      <c r="AV159">
        <f>IF(AV24="",0,2*(OR(ISNUMBER(FIND("WORKCENTER",AV24)),AND(LEFT(AV24,4)="LINE",NOT(ISNUMBER(FIND("STATUS",AV24))))))+4*(OR(ISNUMBER(FIND("WORKORDER",AV24)),AND(LEFT(AV24,2)="WO",OR(ISNUMBER(FIND("NUM",AV24)),RIGHT(AV24,2)="NO"))))+8*(LEFT(AV24,3)="SEQ")+16*(AND(LEFT(AV24,4)="ITEM",NOT(ISNUMBER(FIND("DESC",AV24)))))+32*(AND(ISNUMBER(FIND("DESC",AV24)),NOT(ISNUMBER(FIND("CAP",AV24)))))+64*(OR(RIGHT(AV24,5)="COUNT",RIGHT(AV24,2)="CT"))+128*(ISNUMBER(FIND("BULK",AV24)))+256*(ISNUMBER(FIND("SIZE",AV24)))+512*(LEFT(AV24,3)="CAP")+1024*(ISNUMBER(FIND("ALLERG",AV24)))+2048*(OR(ISNUMBER(FIND("REMARK",AV24)),ISNUMBER(FIND("COMMENT",AV24))))+4096*(OR(ISNUMBER(FIND("QTY",AV24)),ISNUMBER(FIND("QUANTITY",AV24))))+8192*(AND(OR(ISNUMBER(FIND("COMPLETE",AV24)),ISNUMBER(FIND("PCT",AV24)),ISNUMBER(FIND("PERCENT",AV24))),NOT(ISNUMBER(FIND("ACTUAL",AV24))),LEN(AV24)&lt;=16))+32768*(OR(ISNUMBER(FIND("DESIC",AV24)),ISNUMBER(FIND("DESSIC",AV24)))))</f>
        <v/>
      </c>
      <c r="AW159">
        <f>IF(AW24="",0,2*(OR(ISNUMBER(FIND("WORKCENTER",AW24)),AND(LEFT(AW24,4)="LINE",NOT(ISNUMBER(FIND("STATUS",AW24))))))+4*(OR(ISNUMBER(FIND("WORKORDER",AW24)),AND(LEFT(AW24,2)="WO",OR(ISNUMBER(FIND("NUM",AW24)),RIGHT(AW24,2)="NO"))))+8*(LEFT(AW24,3)="SEQ")+16*(AND(LEFT(AW24,4)="ITEM",NOT(ISNUMBER(FIND("DESC",AW24)))))+32*(AND(ISNUMBER(FIND("DESC",AW24)),NOT(ISNUMBER(FIND("CAP",AW24)))))+64*(OR(RIGHT(AW24,5)="COUNT",RIGHT(AW24,2)="CT"))+128*(ISNUMBER(FIND("BULK",AW24)))+256*(ISNUMBER(FIND("SIZE",AW24)))+512*(LEFT(AW24,3)="CAP")+1024*(ISNUMBER(FIND("ALLERG",AW24)))+2048*(OR(ISNUMBER(FIND("REMARK",AW24)),ISNUMBER(FIND("COMMENT",AW24))))+4096*(OR(ISNUMBER(FIND("QTY",AW24)),ISNUMBER(FIND("QUANTITY",AW24))))+8192*(AND(OR(ISNUMBER(FIND("COMPLETE",AW24)),ISNUMBER(FIND("PCT",AW24)),ISNUMBER(FIND("PERCENT",AW24))),NOT(ISNUMBER(FIND("ACTUAL",AW24))),LEN(AW24)&lt;=16))+32768*(OR(ISNUMBER(FIND("DESIC",AW24)),ISNUMBER(FIND("DESSIC",AW24)))))</f>
        <v/>
      </c>
      <c r="AX159">
        <f>IF(AX24="",0,2*(OR(ISNUMBER(FIND("WORKCENTER",AX24)),AND(LEFT(AX24,4)="LINE",NOT(ISNUMBER(FIND("STATUS",AX24))))))+4*(OR(ISNUMBER(FIND("WORKORDER",AX24)),AND(LEFT(AX24,2)="WO",OR(ISNUMBER(FIND("NUM",AX24)),RIGHT(AX24,2)="NO"))))+8*(LEFT(AX24,3)="SEQ")+16*(AND(LEFT(AX24,4)="ITEM",NOT(ISNUMBER(FIND("DESC",AX24)))))+32*(AND(ISNUMBER(FIND("DESC",AX24)),NOT(ISNUMBER(FIND("CAP",AX24)))))+64*(OR(RIGHT(AX24,5)="COUNT",RIGHT(AX24,2)="CT"))+128*(ISNUMBER(FIND("BULK",AX24)))+256*(ISNUMBER(FIND("SIZE",AX24)))+512*(LEFT(AX24,3)="CAP")+1024*(ISNUMBER(FIND("ALLERG",AX24)))+2048*(OR(ISNUMBER(FIND("REMARK",AX24)),ISNUMBER(FIND("COMMENT",AX24))))+4096*(OR(ISNUMBER(FIND("QTY",AX24)),ISNUMBER(FIND("QUANTITY",AX24))))+8192*(AND(OR(ISNUMBER(FIND("COMPLETE",AX24)),ISNUMBER(FIND("PCT",AX24)),ISNUMBER(FIND("PERCENT",AX24))),NOT(ISNUMBER(FIND("ACTUAL",AX24))),LEN(AX24)&lt;=16))+32768*(OR(ISNUMBER(FIND("DESIC",AX24)),ISNUMBER(FIND("DESSIC",AX24)))))</f>
        <v/>
      </c>
      <c r="AY159">
        <f>IF(AY24="",0,2*(OR(ISNUMBER(FIND("WORKCENTER",AY24)),AND(LEFT(AY24,4)="LINE",NOT(ISNUMBER(FIND("STATUS",AY24))))))+4*(OR(ISNUMBER(FIND("WORKORDER",AY24)),AND(LEFT(AY24,2)="WO",OR(ISNUMBER(FIND("NUM",AY24)),RIGHT(AY24,2)="NO"))))+8*(LEFT(AY24,3)="SEQ")+16*(AND(LEFT(AY24,4)="ITEM",NOT(ISNUMBER(FIND("DESC",AY24)))))+32*(AND(ISNUMBER(FIND("DESC",AY24)),NOT(ISNUMBER(FIND("CAP",AY24)))))+64*(OR(RIGHT(AY24,5)="COUNT",RIGHT(AY24,2)="CT"))+128*(ISNUMBER(FIND("BULK",AY24)))+256*(ISNUMBER(FIND("SIZE",AY24)))+512*(LEFT(AY24,3)="CAP")+1024*(ISNUMBER(FIND("ALLERG",AY24)))+2048*(OR(ISNUMBER(FIND("REMARK",AY24)),ISNUMBER(FIND("COMMENT",AY24))))+4096*(OR(ISNUMBER(FIND("QTY",AY24)),ISNUMBER(FIND("QUANTITY",AY24))))+8192*(AND(OR(ISNUMBER(FIND("COMPLETE",AY24)),ISNUMBER(FIND("PCT",AY24)),ISNUMBER(FIND("PERCENT",AY24))),NOT(ISNUMBER(FIND("ACTUAL",AY24))),LEN(AY24)&lt;=16))+32768*(OR(ISNUMBER(FIND("DESIC",AY24)),ISNUMBER(FIND("DESSIC",AY24)))))</f>
        <v/>
      </c>
      <c r="AZ159">
        <f>IF(AZ24="",0,2*(OR(ISNUMBER(FIND("WORKCENTER",AZ24)),AND(LEFT(AZ24,4)="LINE",NOT(ISNUMBER(FIND("STATUS",AZ24))))))+4*(OR(ISNUMBER(FIND("WORKORDER",AZ24)),AND(LEFT(AZ24,2)="WO",OR(ISNUMBER(FIND("NUM",AZ24)),RIGHT(AZ24,2)="NO"))))+8*(LEFT(AZ24,3)="SEQ")+16*(AND(LEFT(AZ24,4)="ITEM",NOT(ISNUMBER(FIND("DESC",AZ24)))))+32*(AND(ISNUMBER(FIND("DESC",AZ24)),NOT(ISNUMBER(FIND("CAP",AZ24)))))+64*(OR(RIGHT(AZ24,5)="COUNT",RIGHT(AZ24,2)="CT"))+128*(ISNUMBER(FIND("BULK",AZ24)))+256*(ISNUMBER(FIND("SIZE",AZ24)))+512*(LEFT(AZ24,3)="CAP")+1024*(ISNUMBER(FIND("ALLERG",AZ24)))+2048*(OR(ISNUMBER(FIND("REMARK",AZ24)),ISNUMBER(FIND("COMMENT",AZ24))))+4096*(OR(ISNUMBER(FIND("QTY",AZ24)),ISNUMBER(FIND("QUANTITY",AZ24))))+8192*(AND(OR(ISNUMBER(FIND("COMPLETE",AZ24)),ISNUMBER(FIND("PCT",AZ24)),ISNUMBER(FIND("PERCENT",AZ24))),NOT(ISNUMBER(FIND("ACTUAL",AZ24))),LEN(AZ24)&lt;=16))+32768*(OR(ISNUMBER(FIND("DESIC",AZ24)),ISNUMBER(FIND("DESSIC",AZ24)))))</f>
        <v/>
      </c>
      <c r="BA159">
        <f>IF(BA24="",0,2*(OR(ISNUMBER(FIND("WORKCENTER",BA24)),AND(LEFT(BA24,4)="LINE",NOT(ISNUMBER(FIND("STATUS",BA24))))))+4*(OR(ISNUMBER(FIND("WORKORDER",BA24)),AND(LEFT(BA24,2)="WO",OR(ISNUMBER(FIND("NUM",BA24)),RIGHT(BA24,2)="NO"))))+8*(LEFT(BA24,3)="SEQ")+16*(AND(LEFT(BA24,4)="ITEM",NOT(ISNUMBER(FIND("DESC",BA24)))))+32*(AND(ISNUMBER(FIND("DESC",BA24)),NOT(ISNUMBER(FIND("CAP",BA24)))))+64*(OR(RIGHT(BA24,5)="COUNT",RIGHT(BA24,2)="CT"))+128*(ISNUMBER(FIND("BULK",BA24)))+256*(ISNUMBER(FIND("SIZE",BA24)))+512*(LEFT(BA24,3)="CAP")+1024*(ISNUMBER(FIND("ALLERG",BA24)))+2048*(OR(ISNUMBER(FIND("REMARK",BA24)),ISNUMBER(FIND("COMMENT",BA24))))+4096*(OR(ISNUMBER(FIND("QTY",BA24)),ISNUMBER(FIND("QUANTITY",BA24))))+8192*(AND(OR(ISNUMBER(FIND("COMPLETE",BA24)),ISNUMBER(FIND("PCT",BA24)),ISNUMBER(FIND("PERCENT",BA24))),NOT(ISNUMBER(FIND("ACTUAL",BA24))),LEN(BA24)&lt;=16))+32768*(OR(ISNUMBER(FIND("DESIC",BA24)),ISNUMBER(FIND("DESSIC",BA24)))))</f>
        <v/>
      </c>
      <c r="BB159">
        <f>IF(BB24="",0,2*(OR(ISNUMBER(FIND("WORKCENTER",BB24)),AND(LEFT(BB24,4)="LINE",NOT(ISNUMBER(FIND("STATUS",BB24))))))+4*(OR(ISNUMBER(FIND("WORKORDER",BB24)),AND(LEFT(BB24,2)="WO",OR(ISNUMBER(FIND("NUM",BB24)),RIGHT(BB24,2)="NO"))))+8*(LEFT(BB24,3)="SEQ")+16*(AND(LEFT(BB24,4)="ITEM",NOT(ISNUMBER(FIND("DESC",BB24)))))+32*(AND(ISNUMBER(FIND("DESC",BB24)),NOT(ISNUMBER(FIND("CAP",BB24)))))+64*(OR(RIGHT(BB24,5)="COUNT",RIGHT(BB24,2)="CT"))+128*(ISNUMBER(FIND("BULK",BB24)))+256*(ISNUMBER(FIND("SIZE",BB24)))+512*(LEFT(BB24,3)="CAP")+1024*(ISNUMBER(FIND("ALLERG",BB24)))+2048*(OR(ISNUMBER(FIND("REMARK",BB24)),ISNUMBER(FIND("COMMENT",BB24))))+4096*(OR(ISNUMBER(FIND("QTY",BB24)),ISNUMBER(FIND("QUANTITY",BB24))))+8192*(AND(OR(ISNUMBER(FIND("COMPLETE",BB24)),ISNUMBER(FIND("PCT",BB24)),ISNUMBER(FIND("PERCENT",BB24))),NOT(ISNUMBER(FIND("ACTUAL",BB24))),LEN(BB24)&lt;=16))+32768*(OR(ISNUMBER(FIND("DESIC",BB24)),ISNUMBER(FIND("DESSIC",BB24)))))</f>
        <v/>
      </c>
      <c r="BC159">
        <f>IF(BC24="",0,2*(OR(ISNUMBER(FIND("WORKCENTER",BC24)),AND(LEFT(BC24,4)="LINE",NOT(ISNUMBER(FIND("STATUS",BC24))))))+4*(OR(ISNUMBER(FIND("WORKORDER",BC24)),AND(LEFT(BC24,2)="WO",OR(ISNUMBER(FIND("NUM",BC24)),RIGHT(BC24,2)="NO"))))+8*(LEFT(BC24,3)="SEQ")+16*(AND(LEFT(BC24,4)="ITEM",NOT(ISNUMBER(FIND("DESC",BC24)))))+32*(AND(ISNUMBER(FIND("DESC",BC24)),NOT(ISNUMBER(FIND("CAP",BC24)))))+64*(OR(RIGHT(BC24,5)="COUNT",RIGHT(BC24,2)="CT"))+128*(ISNUMBER(FIND("BULK",BC24)))+256*(ISNUMBER(FIND("SIZE",BC24)))+512*(LEFT(BC24,3)="CAP")+1024*(ISNUMBER(FIND("ALLERG",BC24)))+2048*(OR(ISNUMBER(FIND("REMARK",BC24)),ISNUMBER(FIND("COMMENT",BC24))))+4096*(OR(ISNUMBER(FIND("QTY",BC24)),ISNUMBER(FIND("QUANTITY",BC24))))+8192*(AND(OR(ISNUMBER(FIND("COMPLETE",BC24)),ISNUMBER(FIND("PCT",BC24)),ISNUMBER(FIND("PERCENT",BC24))),NOT(ISNUMBER(FIND("ACTUAL",BC24))),LEN(BC24)&lt;=16))+32768*(OR(ISNUMBER(FIND("DESIC",BC24)),ISNUMBER(FIND("DESSIC",BC24)))))</f>
        <v/>
      </c>
      <c r="BD159">
        <f>IF(BD24="",0,2*(OR(ISNUMBER(FIND("WORKCENTER",BD24)),AND(LEFT(BD24,4)="LINE",NOT(ISNUMBER(FIND("STATUS",BD24))))))+4*(OR(ISNUMBER(FIND("WORKORDER",BD24)),AND(LEFT(BD24,2)="WO",OR(ISNUMBER(FIND("NUM",BD24)),RIGHT(BD24,2)="NO"))))+8*(LEFT(BD24,3)="SEQ")+16*(AND(LEFT(BD24,4)="ITEM",NOT(ISNUMBER(FIND("DESC",BD24)))))+32*(AND(ISNUMBER(FIND("DESC",BD24)),NOT(ISNUMBER(FIND("CAP",BD24)))))+64*(OR(RIGHT(BD24,5)="COUNT",RIGHT(BD24,2)="CT"))+128*(ISNUMBER(FIND("BULK",BD24)))+256*(ISNUMBER(FIND("SIZE",BD24)))+512*(LEFT(BD24,3)="CAP")+1024*(ISNUMBER(FIND("ALLERG",BD24)))+2048*(OR(ISNUMBER(FIND("REMARK",BD24)),ISNUMBER(FIND("COMMENT",BD24))))+4096*(OR(ISNUMBER(FIND("QTY",BD24)),ISNUMBER(FIND("QUANTITY",BD24))))+8192*(AND(OR(ISNUMBER(FIND("COMPLETE",BD24)),ISNUMBER(FIND("PCT",BD24)),ISNUMBER(FIND("PERCENT",BD24))),NOT(ISNUMBER(FIND("ACTUAL",BD24))),LEN(BD24)&lt;=16))+32768*(OR(ISNUMBER(FIND("DESIC",BD24)),ISNUMBER(FIND("DESSIC",BD24)))))</f>
        <v/>
      </c>
      <c r="BE159">
        <f>IF(BE24="",0,2*(OR(ISNUMBER(FIND("WORKCENTER",BE24)),AND(LEFT(BE24,4)="LINE",NOT(ISNUMBER(FIND("STATUS",BE24))))))+4*(OR(ISNUMBER(FIND("WORKORDER",BE24)),AND(LEFT(BE24,2)="WO",OR(ISNUMBER(FIND("NUM",BE24)),RIGHT(BE24,2)="NO"))))+8*(LEFT(BE24,3)="SEQ")+16*(AND(LEFT(BE24,4)="ITEM",NOT(ISNUMBER(FIND("DESC",BE24)))))+32*(AND(ISNUMBER(FIND("DESC",BE24)),NOT(ISNUMBER(FIND("CAP",BE24)))))+64*(OR(RIGHT(BE24,5)="COUNT",RIGHT(BE24,2)="CT"))+128*(ISNUMBER(FIND("BULK",BE24)))+256*(ISNUMBER(FIND("SIZE",BE24)))+512*(LEFT(BE24,3)="CAP")+1024*(ISNUMBER(FIND("ALLERG",BE24)))+2048*(OR(ISNUMBER(FIND("REMARK",BE24)),ISNUMBER(FIND("COMMENT",BE24))))+4096*(OR(ISNUMBER(FIND("QTY",BE24)),ISNUMBER(FIND("QUANTITY",BE24))))+8192*(AND(OR(ISNUMBER(FIND("COMPLETE",BE24)),ISNUMBER(FIND("PCT",BE24)),ISNUMBER(FIND("PERCENT",BE24))),NOT(ISNUMBER(FIND("ACTUAL",BE24))),LEN(BE24)&lt;=16))+32768*(OR(ISNUMBER(FIND("DESIC",BE24)),ISNUMBER(FIND("DESSIC",BE24)))))</f>
        <v/>
      </c>
      <c r="BF159">
        <f>IF(BF24="",0,2*(OR(ISNUMBER(FIND("WORKCENTER",BF24)),AND(LEFT(BF24,4)="LINE",NOT(ISNUMBER(FIND("STATUS",BF24))))))+4*(OR(ISNUMBER(FIND("WORKORDER",BF24)),AND(LEFT(BF24,2)="WO",OR(ISNUMBER(FIND("NUM",BF24)),RIGHT(BF24,2)="NO"))))+8*(LEFT(BF24,3)="SEQ")+16*(AND(LEFT(BF24,4)="ITEM",NOT(ISNUMBER(FIND("DESC",BF24)))))+32*(AND(ISNUMBER(FIND("DESC",BF24)),NOT(ISNUMBER(FIND("CAP",BF24)))))+64*(OR(RIGHT(BF24,5)="COUNT",RIGHT(BF24,2)="CT"))+128*(ISNUMBER(FIND("BULK",BF24)))+256*(ISNUMBER(FIND("SIZE",BF24)))+512*(LEFT(BF24,3)="CAP")+1024*(ISNUMBER(FIND("ALLERG",BF24)))+2048*(OR(ISNUMBER(FIND("REMARK",BF24)),ISNUMBER(FIND("COMMENT",BF24))))+4096*(OR(ISNUMBER(FIND("QTY",BF24)),ISNUMBER(FIND("QUANTITY",BF24))))+8192*(AND(OR(ISNUMBER(FIND("COMPLETE",BF24)),ISNUMBER(FIND("PCT",BF24)),ISNUMBER(FIND("PERCENT",BF24))),NOT(ISNUMBER(FIND("ACTUAL",BF24))),LEN(BF24)&lt;=16))+32768*(OR(ISNUMBER(FIND("DESIC",BF24)),ISNUMBER(FIND("DESSIC",BF24)))))</f>
        <v/>
      </c>
      <c r="BG159">
        <f>IF(BG24="",0,2*(OR(ISNUMBER(FIND("WORKCENTER",BG24)),AND(LEFT(BG24,4)="LINE",NOT(ISNUMBER(FIND("STATUS",BG24))))))+4*(OR(ISNUMBER(FIND("WORKORDER",BG24)),AND(LEFT(BG24,2)="WO",OR(ISNUMBER(FIND("NUM",BG24)),RIGHT(BG24,2)="NO"))))+8*(LEFT(BG24,3)="SEQ")+16*(AND(LEFT(BG24,4)="ITEM",NOT(ISNUMBER(FIND("DESC",BG24)))))+32*(AND(ISNUMBER(FIND("DESC",BG24)),NOT(ISNUMBER(FIND("CAP",BG24)))))+64*(OR(RIGHT(BG24,5)="COUNT",RIGHT(BG24,2)="CT"))+128*(ISNUMBER(FIND("BULK",BG24)))+256*(ISNUMBER(FIND("SIZE",BG24)))+512*(LEFT(BG24,3)="CAP")+1024*(ISNUMBER(FIND("ALLERG",BG24)))+2048*(OR(ISNUMBER(FIND("REMARK",BG24)),ISNUMBER(FIND("COMMENT",BG24))))+4096*(OR(ISNUMBER(FIND("QTY",BG24)),ISNUMBER(FIND("QUANTITY",BG24))))+8192*(AND(OR(ISNUMBER(FIND("COMPLETE",BG24)),ISNUMBER(FIND("PCT",BG24)),ISNUMBER(FIND("PERCENT",BG24))),NOT(ISNUMBER(FIND("ACTUAL",BG24))),LEN(BG24)&lt;=16))+32768*(OR(ISNUMBER(FIND("DESIC",BG24)),ISNUMBER(FIND("DESSIC",BG24)))))</f>
        <v/>
      </c>
      <c r="BH159">
        <f>IF(BH24="",0,2*(OR(ISNUMBER(FIND("WORKCENTER",BH24)),AND(LEFT(BH24,4)="LINE",NOT(ISNUMBER(FIND("STATUS",BH24))))))+4*(OR(ISNUMBER(FIND("WORKORDER",BH24)),AND(LEFT(BH24,2)="WO",OR(ISNUMBER(FIND("NUM",BH24)),RIGHT(BH24,2)="NO"))))+8*(LEFT(BH24,3)="SEQ")+16*(AND(LEFT(BH24,4)="ITEM",NOT(ISNUMBER(FIND("DESC",BH24)))))+32*(AND(ISNUMBER(FIND("DESC",BH24)),NOT(ISNUMBER(FIND("CAP",BH24)))))+64*(OR(RIGHT(BH24,5)="COUNT",RIGHT(BH24,2)="CT"))+128*(ISNUMBER(FIND("BULK",BH24)))+256*(ISNUMBER(FIND("SIZE",BH24)))+512*(LEFT(BH24,3)="CAP")+1024*(ISNUMBER(FIND("ALLERG",BH24)))+2048*(OR(ISNUMBER(FIND("REMARK",BH24)),ISNUMBER(FIND("COMMENT",BH24))))+4096*(OR(ISNUMBER(FIND("QTY",BH24)),ISNUMBER(FIND("QUANTITY",BH24))))+8192*(AND(OR(ISNUMBER(FIND("COMPLETE",BH24)),ISNUMBER(FIND("PCT",BH24)),ISNUMBER(FIND("PERCENT",BH24))),NOT(ISNUMBER(FIND("ACTUAL",BH24))),LEN(BH24)&lt;=16))+32768*(OR(ISNUMBER(FIND("DESIC",BH24)),ISNUMBER(FIND("DESSIC",BH24)))))</f>
        <v/>
      </c>
      <c r="BI159">
        <f>IF(BI24="",0,2*(OR(ISNUMBER(FIND("WORKCENTER",BI24)),AND(LEFT(BI24,4)="LINE",NOT(ISNUMBER(FIND("STATUS",BI24))))))+4*(OR(ISNUMBER(FIND("WORKORDER",BI24)),AND(LEFT(BI24,2)="WO",OR(ISNUMBER(FIND("NUM",BI24)),RIGHT(BI24,2)="NO"))))+8*(LEFT(BI24,3)="SEQ")+16*(AND(LEFT(BI24,4)="ITEM",NOT(ISNUMBER(FIND("DESC",BI24)))))+32*(AND(ISNUMBER(FIND("DESC",BI24)),NOT(ISNUMBER(FIND("CAP",BI24)))))+64*(OR(RIGHT(BI24,5)="COUNT",RIGHT(BI24,2)="CT"))+128*(ISNUMBER(FIND("BULK",BI24)))+256*(ISNUMBER(FIND("SIZE",BI24)))+512*(LEFT(BI24,3)="CAP")+1024*(ISNUMBER(FIND("ALLERG",BI24)))+2048*(OR(ISNUMBER(FIND("REMARK",BI24)),ISNUMBER(FIND("COMMENT",BI24))))+4096*(OR(ISNUMBER(FIND("QTY",BI24)),ISNUMBER(FIND("QUANTITY",BI24))))+8192*(AND(OR(ISNUMBER(FIND("COMPLETE",BI24)),ISNUMBER(FIND("PCT",BI24)),ISNUMBER(FIND("PERCENT",BI24))),NOT(ISNUMBER(FIND("ACTUAL",BI24))),LEN(BI24)&lt;=16))+32768*(OR(ISNUMBER(FIND("DESIC",BI24)),ISNUMBER(FIND("DESSIC",BI24)))))</f>
        <v/>
      </c>
      <c r="BJ159">
        <f>IF(BJ24="",0,2*(OR(ISNUMBER(FIND("WORKCENTER",BJ24)),AND(LEFT(BJ24,4)="LINE",NOT(ISNUMBER(FIND("STATUS",BJ24))))))+4*(OR(ISNUMBER(FIND("WORKORDER",BJ24)),AND(LEFT(BJ24,2)="WO",OR(ISNUMBER(FIND("NUM",BJ24)),RIGHT(BJ24,2)="NO"))))+8*(LEFT(BJ24,3)="SEQ")+16*(AND(LEFT(BJ24,4)="ITEM",NOT(ISNUMBER(FIND("DESC",BJ24)))))+32*(AND(ISNUMBER(FIND("DESC",BJ24)),NOT(ISNUMBER(FIND("CAP",BJ24)))))+64*(OR(RIGHT(BJ24,5)="COUNT",RIGHT(BJ24,2)="CT"))+128*(ISNUMBER(FIND("BULK",BJ24)))+256*(ISNUMBER(FIND("SIZE",BJ24)))+512*(LEFT(BJ24,3)="CAP")+1024*(ISNUMBER(FIND("ALLERG",BJ24)))+2048*(OR(ISNUMBER(FIND("REMARK",BJ24)),ISNUMBER(FIND("COMMENT",BJ24))))+4096*(OR(ISNUMBER(FIND("QTY",BJ24)),ISNUMBER(FIND("QUANTITY",BJ24))))+8192*(AND(OR(ISNUMBER(FIND("COMPLETE",BJ24)),ISNUMBER(FIND("PCT",BJ24)),ISNUMBER(FIND("PERCENT",BJ24))),NOT(ISNUMBER(FIND("ACTUAL",BJ24))),LEN(BJ24)&lt;=16))+32768*(OR(ISNUMBER(FIND("DESIC",BJ24)),ISNUMBER(FIND("DESSIC",BJ24)))))</f>
        <v/>
      </c>
      <c r="BK159">
        <f>IF(BK24="",0,2*(OR(ISNUMBER(FIND("WORKCENTER",BK24)),AND(LEFT(BK24,4)="LINE",NOT(ISNUMBER(FIND("STATUS",BK24))))))+4*(OR(ISNUMBER(FIND("WORKORDER",BK24)),AND(LEFT(BK24,2)="WO",OR(ISNUMBER(FIND("NUM",BK24)),RIGHT(BK24,2)="NO"))))+8*(LEFT(BK24,3)="SEQ")+16*(AND(LEFT(BK24,4)="ITEM",NOT(ISNUMBER(FIND("DESC",BK24)))))+32*(AND(ISNUMBER(FIND("DESC",BK24)),NOT(ISNUMBER(FIND("CAP",BK24)))))+64*(OR(RIGHT(BK24,5)="COUNT",RIGHT(BK24,2)="CT"))+128*(ISNUMBER(FIND("BULK",BK24)))+256*(ISNUMBER(FIND("SIZE",BK24)))+512*(LEFT(BK24,3)="CAP")+1024*(ISNUMBER(FIND("ALLERG",BK24)))+2048*(OR(ISNUMBER(FIND("REMARK",BK24)),ISNUMBER(FIND("COMMENT",BK24))))+4096*(OR(ISNUMBER(FIND("QTY",BK24)),ISNUMBER(FIND("QUANTITY",BK24))))+8192*(AND(OR(ISNUMBER(FIND("COMPLETE",BK24)),ISNUMBER(FIND("PCT",BK24)),ISNUMBER(FIND("PERCENT",BK24))),NOT(ISNUMBER(FIND("ACTUAL",BK24))),LEN(BK24)&lt;=16))+32768*(OR(ISNUMBER(FIND("DESIC",BK24)),ISNUMBER(FIND("DESSIC",BK24)))))</f>
        <v/>
      </c>
      <c r="BL159">
        <f>IF(BL24="",0,2*(OR(ISNUMBER(FIND("WORKCENTER",BL24)),AND(LEFT(BL24,4)="LINE",NOT(ISNUMBER(FIND("STATUS",BL24))))))+4*(OR(ISNUMBER(FIND("WORKORDER",BL24)),AND(LEFT(BL24,2)="WO",OR(ISNUMBER(FIND("NUM",BL24)),RIGHT(BL24,2)="NO"))))+8*(LEFT(BL24,3)="SEQ")+16*(AND(LEFT(BL24,4)="ITEM",NOT(ISNUMBER(FIND("DESC",BL24)))))+32*(AND(ISNUMBER(FIND("DESC",BL24)),NOT(ISNUMBER(FIND("CAP",BL24)))))+64*(OR(RIGHT(BL24,5)="COUNT",RIGHT(BL24,2)="CT"))+128*(ISNUMBER(FIND("BULK",BL24)))+256*(ISNUMBER(FIND("SIZE",BL24)))+512*(LEFT(BL24,3)="CAP")+1024*(ISNUMBER(FIND("ALLERG",BL24)))+2048*(OR(ISNUMBER(FIND("REMARK",BL24)),ISNUMBER(FIND("COMMENT",BL24))))+4096*(OR(ISNUMBER(FIND("QTY",BL24)),ISNUMBER(FIND("QUANTITY",BL24))))+8192*(AND(OR(ISNUMBER(FIND("COMPLETE",BL24)),ISNUMBER(FIND("PCT",BL24)),ISNUMBER(FIND("PERCENT",BL24))),NOT(ISNUMBER(FIND("ACTUAL",BL24))),LEN(BL24)&lt;=16))+32768*(OR(ISNUMBER(FIND("DESIC",BL24)),ISNUMBER(FIND("DESSIC",BL24)))))</f>
        <v/>
      </c>
      <c r="BM159">
        <f>IF(BM24="",0,2*(OR(ISNUMBER(FIND("WORKCENTER",BM24)),AND(LEFT(BM24,4)="LINE",NOT(ISNUMBER(FIND("STATUS",BM24))))))+4*(OR(ISNUMBER(FIND("WORKORDER",BM24)),AND(LEFT(BM24,2)="WO",OR(ISNUMBER(FIND("NUM",BM24)),RIGHT(BM24,2)="NO"))))+8*(LEFT(BM24,3)="SEQ")+16*(AND(LEFT(BM24,4)="ITEM",NOT(ISNUMBER(FIND("DESC",BM24)))))+32*(AND(ISNUMBER(FIND("DESC",BM24)),NOT(ISNUMBER(FIND("CAP",BM24)))))+64*(OR(RIGHT(BM24,5)="COUNT",RIGHT(BM24,2)="CT"))+128*(ISNUMBER(FIND("BULK",BM24)))+256*(ISNUMBER(FIND("SIZE",BM24)))+512*(LEFT(BM24,3)="CAP")+1024*(ISNUMBER(FIND("ALLERG",BM24)))+2048*(OR(ISNUMBER(FIND("REMARK",BM24)),ISNUMBER(FIND("COMMENT",BM24))))+4096*(OR(ISNUMBER(FIND("QTY",BM24)),ISNUMBER(FIND("QUANTITY",BM24))))+8192*(AND(OR(ISNUMBER(FIND("COMPLETE",BM24)),ISNUMBER(FIND("PCT",BM24)),ISNUMBER(FIND("PERCENT",BM24))),NOT(ISNUMBER(FIND("ACTUAL",BM24))),LEN(BM24)&lt;=16))+32768*(OR(ISNUMBER(FIND("DESIC",BM24)),ISNUMBER(FIND("DESSIC",BM24)))))</f>
        <v/>
      </c>
      <c r="BN159">
        <f>IF(BN24="",0,2*(OR(ISNUMBER(FIND("WORKCENTER",BN24)),AND(LEFT(BN24,4)="LINE",NOT(ISNUMBER(FIND("STATUS",BN24))))))+4*(OR(ISNUMBER(FIND("WORKORDER",BN24)),AND(LEFT(BN24,2)="WO",OR(ISNUMBER(FIND("NUM",BN24)),RIGHT(BN24,2)="NO"))))+8*(LEFT(BN24,3)="SEQ")+16*(AND(LEFT(BN24,4)="ITEM",NOT(ISNUMBER(FIND("DESC",BN24)))))+32*(AND(ISNUMBER(FIND("DESC",BN24)),NOT(ISNUMBER(FIND("CAP",BN24)))))+64*(OR(RIGHT(BN24,5)="COUNT",RIGHT(BN24,2)="CT"))+128*(ISNUMBER(FIND("BULK",BN24)))+256*(ISNUMBER(FIND("SIZE",BN24)))+512*(LEFT(BN24,3)="CAP")+1024*(ISNUMBER(FIND("ALLERG",BN24)))+2048*(OR(ISNUMBER(FIND("REMARK",BN24)),ISNUMBER(FIND("COMMENT",BN24))))+4096*(OR(ISNUMBER(FIND("QTY",BN24)),ISNUMBER(FIND("QUANTITY",BN24))))+8192*(AND(OR(ISNUMBER(FIND("COMPLETE",BN24)),ISNUMBER(FIND("PCT",BN24)),ISNUMBER(FIND("PERCENT",BN24))),NOT(ISNUMBER(FIND("ACTUAL",BN24))),LEN(BN24)&lt;=16))+32768*(OR(ISNUMBER(FIND("DESIC",BN24)),ISNUMBER(FIND("DESSIC",BN24)))))</f>
        <v/>
      </c>
      <c r="BO159">
        <f>IF(BO24="",0,2*(OR(ISNUMBER(FIND("WORKCENTER",BO24)),AND(LEFT(BO24,4)="LINE",NOT(ISNUMBER(FIND("STATUS",BO24))))))+4*(OR(ISNUMBER(FIND("WORKORDER",BO24)),AND(LEFT(BO24,2)="WO",OR(ISNUMBER(FIND("NUM",BO24)),RIGHT(BO24,2)="NO"))))+8*(LEFT(BO24,3)="SEQ")+16*(AND(LEFT(BO24,4)="ITEM",NOT(ISNUMBER(FIND("DESC",BO24)))))+32*(AND(ISNUMBER(FIND("DESC",BO24)),NOT(ISNUMBER(FIND("CAP",BO24)))))+64*(OR(RIGHT(BO24,5)="COUNT",RIGHT(BO24,2)="CT"))+128*(ISNUMBER(FIND("BULK",BO24)))+256*(ISNUMBER(FIND("SIZE",BO24)))+512*(LEFT(BO24,3)="CAP")+1024*(ISNUMBER(FIND("ALLERG",BO24)))+2048*(OR(ISNUMBER(FIND("REMARK",BO24)),ISNUMBER(FIND("COMMENT",BO24))))+4096*(OR(ISNUMBER(FIND("QTY",BO24)),ISNUMBER(FIND("QUANTITY",BO24))))+8192*(AND(OR(ISNUMBER(FIND("COMPLETE",BO24)),ISNUMBER(FIND("PCT",BO24)),ISNUMBER(FIND("PERCENT",BO24))),NOT(ISNUMBER(FIND("ACTUAL",BO24))),LEN(BO24)&lt;=16))+32768*(OR(ISNUMBER(FIND("DESIC",BO24)),ISNUMBER(FIND("DESSIC",BO24)))))</f>
        <v/>
      </c>
      <c r="BP159">
        <f>IF(BP24="",0,2*(OR(ISNUMBER(FIND("WORKCENTER",BP24)),AND(LEFT(BP24,4)="LINE",NOT(ISNUMBER(FIND("STATUS",BP24))))))+4*(OR(ISNUMBER(FIND("WORKORDER",BP24)),AND(LEFT(BP24,2)="WO",OR(ISNUMBER(FIND("NUM",BP24)),RIGHT(BP24,2)="NO"))))+8*(LEFT(BP24,3)="SEQ")+16*(AND(LEFT(BP24,4)="ITEM",NOT(ISNUMBER(FIND("DESC",BP24)))))+32*(AND(ISNUMBER(FIND("DESC",BP24)),NOT(ISNUMBER(FIND("CAP",BP24)))))+64*(OR(RIGHT(BP24,5)="COUNT",RIGHT(BP24,2)="CT"))+128*(ISNUMBER(FIND("BULK",BP24)))+256*(ISNUMBER(FIND("SIZE",BP24)))+512*(LEFT(BP24,3)="CAP")+1024*(ISNUMBER(FIND("ALLERG",BP24)))+2048*(OR(ISNUMBER(FIND("REMARK",BP24)),ISNUMBER(FIND("COMMENT",BP24))))+4096*(OR(ISNUMBER(FIND("QTY",BP24)),ISNUMBER(FIND("QUANTITY",BP24))))+8192*(AND(OR(ISNUMBER(FIND("COMPLETE",BP24)),ISNUMBER(FIND("PCT",BP24)),ISNUMBER(FIND("PERCENT",BP24))),NOT(ISNUMBER(FIND("ACTUAL",BP24))),LEN(BP24)&lt;=16))+32768*(OR(ISNUMBER(FIND("DESIC",BP24)),ISNUMBER(FIND("DESSIC",BP24)))))</f>
        <v/>
      </c>
      <c r="BQ159">
        <f>IF(BQ24="",0,2*(OR(ISNUMBER(FIND("WORKCENTER",BQ24)),AND(LEFT(BQ24,4)="LINE",NOT(ISNUMBER(FIND("STATUS",BQ24))))))+4*(OR(ISNUMBER(FIND("WORKORDER",BQ24)),AND(LEFT(BQ24,2)="WO",OR(ISNUMBER(FIND("NUM",BQ24)),RIGHT(BQ24,2)="NO"))))+8*(LEFT(BQ24,3)="SEQ")+16*(AND(LEFT(BQ24,4)="ITEM",NOT(ISNUMBER(FIND("DESC",BQ24)))))+32*(AND(ISNUMBER(FIND("DESC",BQ24)),NOT(ISNUMBER(FIND("CAP",BQ24)))))+64*(OR(RIGHT(BQ24,5)="COUNT",RIGHT(BQ24,2)="CT"))+128*(ISNUMBER(FIND("BULK",BQ24)))+256*(ISNUMBER(FIND("SIZE",BQ24)))+512*(LEFT(BQ24,3)="CAP")+1024*(ISNUMBER(FIND("ALLERG",BQ24)))+2048*(OR(ISNUMBER(FIND("REMARK",BQ24)),ISNUMBER(FIND("COMMENT",BQ24))))+4096*(OR(ISNUMBER(FIND("QTY",BQ24)),ISNUMBER(FIND("QUANTITY",BQ24))))+8192*(AND(OR(ISNUMBER(FIND("COMPLETE",BQ24)),ISNUMBER(FIND("PCT",BQ24)),ISNUMBER(FIND("PERCENT",BQ24))),NOT(ISNUMBER(FIND("ACTUAL",BQ24))),LEN(BQ24)&lt;=16))+32768*(OR(ISNUMBER(FIND("DESIC",BQ24)),ISNUMBER(FIND("DESSIC",BQ24)))))</f>
        <v/>
      </c>
      <c r="BR159">
        <f>IF(BR24="",0,2*(OR(ISNUMBER(FIND("WORKCENTER",BR24)),AND(LEFT(BR24,4)="LINE",NOT(ISNUMBER(FIND("STATUS",BR24))))))+4*(OR(ISNUMBER(FIND("WORKORDER",BR24)),AND(LEFT(BR24,2)="WO",OR(ISNUMBER(FIND("NUM",BR24)),RIGHT(BR24,2)="NO"))))+8*(LEFT(BR24,3)="SEQ")+16*(AND(LEFT(BR24,4)="ITEM",NOT(ISNUMBER(FIND("DESC",BR24)))))+32*(AND(ISNUMBER(FIND("DESC",BR24)),NOT(ISNUMBER(FIND("CAP",BR24)))))+64*(OR(RIGHT(BR24,5)="COUNT",RIGHT(BR24,2)="CT"))+128*(ISNUMBER(FIND("BULK",BR24)))+256*(ISNUMBER(FIND("SIZE",BR24)))+512*(LEFT(BR24,3)="CAP")+1024*(ISNUMBER(FIND("ALLERG",BR24)))+2048*(OR(ISNUMBER(FIND("REMARK",BR24)),ISNUMBER(FIND("COMMENT",BR24))))+4096*(OR(ISNUMBER(FIND("QTY",BR24)),ISNUMBER(FIND("QUANTITY",BR24))))+8192*(AND(OR(ISNUMBER(FIND("COMPLETE",BR24)),ISNUMBER(FIND("PCT",BR24)),ISNUMBER(FIND("PERCENT",BR24))),NOT(ISNUMBER(FIND("ACTUAL",BR24))),LEN(BR24)&lt;=16))+32768*(OR(ISNUMBER(FIND("DESIC",BR24)),ISNUMBER(FIND("DESSIC",BR24)))))</f>
        <v/>
      </c>
      <c r="BS159">
        <f>IF(BS24="",0,2*(OR(ISNUMBER(FIND("WORKCENTER",BS24)),AND(LEFT(BS24,4)="LINE",NOT(ISNUMBER(FIND("STATUS",BS24))))))+4*(OR(ISNUMBER(FIND("WORKORDER",BS24)),AND(LEFT(BS24,2)="WO",OR(ISNUMBER(FIND("NUM",BS24)),RIGHT(BS24,2)="NO"))))+8*(LEFT(BS24,3)="SEQ")+16*(AND(LEFT(BS24,4)="ITEM",NOT(ISNUMBER(FIND("DESC",BS24)))))+32*(AND(ISNUMBER(FIND("DESC",BS24)),NOT(ISNUMBER(FIND("CAP",BS24)))))+64*(OR(RIGHT(BS24,5)="COUNT",RIGHT(BS24,2)="CT"))+128*(ISNUMBER(FIND("BULK",BS24)))+256*(ISNUMBER(FIND("SIZE",BS24)))+512*(LEFT(BS24,3)="CAP")+1024*(ISNUMBER(FIND("ALLERG",BS24)))+2048*(OR(ISNUMBER(FIND("REMARK",BS24)),ISNUMBER(FIND("COMMENT",BS24))))+4096*(OR(ISNUMBER(FIND("QTY",BS24)),ISNUMBER(FIND("QUANTITY",BS24))))+8192*(AND(OR(ISNUMBER(FIND("COMPLETE",BS24)),ISNUMBER(FIND("PCT",BS24)),ISNUMBER(FIND("PERCENT",BS24))),NOT(ISNUMBER(FIND("ACTUAL",BS24))),LEN(BS24)&lt;=16))+32768*(OR(ISNUMBER(FIND("DESIC",BS24)),ISNUMBER(FIND("DESSIC",BS24)))))</f>
        <v/>
      </c>
      <c r="BT159">
        <f>IF(BT24="",0,2*(OR(ISNUMBER(FIND("WORKCENTER",BT24)),AND(LEFT(BT24,4)="LINE",NOT(ISNUMBER(FIND("STATUS",BT24))))))+4*(OR(ISNUMBER(FIND("WORKORDER",BT24)),AND(LEFT(BT24,2)="WO",OR(ISNUMBER(FIND("NUM",BT24)),RIGHT(BT24,2)="NO"))))+8*(LEFT(BT24,3)="SEQ")+16*(AND(LEFT(BT24,4)="ITEM",NOT(ISNUMBER(FIND("DESC",BT24)))))+32*(AND(ISNUMBER(FIND("DESC",BT24)),NOT(ISNUMBER(FIND("CAP",BT24)))))+64*(OR(RIGHT(BT24,5)="COUNT",RIGHT(BT24,2)="CT"))+128*(ISNUMBER(FIND("BULK",BT24)))+256*(ISNUMBER(FIND("SIZE",BT24)))+512*(LEFT(BT24,3)="CAP")+1024*(ISNUMBER(FIND("ALLERG",BT24)))+2048*(OR(ISNUMBER(FIND("REMARK",BT24)),ISNUMBER(FIND("COMMENT",BT24))))+4096*(OR(ISNUMBER(FIND("QTY",BT24)),ISNUMBER(FIND("QUANTITY",BT24))))+8192*(AND(OR(ISNUMBER(FIND("COMPLETE",BT24)),ISNUMBER(FIND("PCT",BT24)),ISNUMBER(FIND("PERCENT",BT24))),NOT(ISNUMBER(FIND("ACTUAL",BT24))),LEN(BT24)&lt;=16))+32768*(OR(ISNUMBER(FIND("DESIC",BT24)),ISNUMBER(FIND("DESSIC",BT24)))))</f>
        <v/>
      </c>
      <c r="BU159">
        <f>IF(BU24="",0,2*(OR(ISNUMBER(FIND("WORKCENTER",BU24)),AND(LEFT(BU24,4)="LINE",NOT(ISNUMBER(FIND("STATUS",BU24))))))+4*(OR(ISNUMBER(FIND("WORKORDER",BU24)),AND(LEFT(BU24,2)="WO",OR(ISNUMBER(FIND("NUM",BU24)),RIGHT(BU24,2)="NO"))))+8*(LEFT(BU24,3)="SEQ")+16*(AND(LEFT(BU24,4)="ITEM",NOT(ISNUMBER(FIND("DESC",BU24)))))+32*(AND(ISNUMBER(FIND("DESC",BU24)),NOT(ISNUMBER(FIND("CAP",BU24)))))+64*(OR(RIGHT(BU24,5)="COUNT",RIGHT(BU24,2)="CT"))+128*(ISNUMBER(FIND("BULK",BU24)))+256*(ISNUMBER(FIND("SIZE",BU24)))+512*(LEFT(BU24,3)="CAP")+1024*(ISNUMBER(FIND("ALLERG",BU24)))+2048*(OR(ISNUMBER(FIND("REMARK",BU24)),ISNUMBER(FIND("COMMENT",BU24))))+4096*(OR(ISNUMBER(FIND("QTY",BU24)),ISNUMBER(FIND("QUANTITY",BU24))))+8192*(AND(OR(ISNUMBER(FIND("COMPLETE",BU24)),ISNUMBER(FIND("PCT",BU24)),ISNUMBER(FIND("PERCENT",BU24))),NOT(ISNUMBER(FIND("ACTUAL",BU24))),LEN(BU24)&lt;=16))+32768*(OR(ISNUMBER(FIND("DESIC",BU24)),ISNUMBER(FIND("DESSIC",BU24)))))</f>
        <v/>
      </c>
      <c r="BV159">
        <f>IF(BV24="",0,2*(OR(ISNUMBER(FIND("WORKCENTER",BV24)),AND(LEFT(BV24,4)="LINE",NOT(ISNUMBER(FIND("STATUS",BV24))))))+4*(OR(ISNUMBER(FIND("WORKORDER",BV24)),AND(LEFT(BV24,2)="WO",OR(ISNUMBER(FIND("NUM",BV24)),RIGHT(BV24,2)="NO"))))+8*(LEFT(BV24,3)="SEQ")+16*(AND(LEFT(BV24,4)="ITEM",NOT(ISNUMBER(FIND("DESC",BV24)))))+32*(AND(ISNUMBER(FIND("DESC",BV24)),NOT(ISNUMBER(FIND("CAP",BV24)))))+64*(OR(RIGHT(BV24,5)="COUNT",RIGHT(BV24,2)="CT"))+128*(ISNUMBER(FIND("BULK",BV24)))+256*(ISNUMBER(FIND("SIZE",BV24)))+512*(LEFT(BV24,3)="CAP")+1024*(ISNUMBER(FIND("ALLERG",BV24)))+2048*(OR(ISNUMBER(FIND("REMARK",BV24)),ISNUMBER(FIND("COMMENT",BV24))))+4096*(OR(ISNUMBER(FIND("QTY",BV24)),ISNUMBER(FIND("QUANTITY",BV24))))+8192*(AND(OR(ISNUMBER(FIND("COMPLETE",BV24)),ISNUMBER(FIND("PCT",BV24)),ISNUMBER(FIND("PERCENT",BV24))),NOT(ISNUMBER(FIND("ACTUAL",BV24))),LEN(BV24)&lt;=16))+32768*(OR(ISNUMBER(FIND("DESIC",BV24)),ISNUMBER(FIND("DESSIC",BV24)))))</f>
        <v/>
      </c>
      <c r="BW159">
        <f>IF(BW24="",0,2*(OR(ISNUMBER(FIND("WORKCENTER",BW24)),AND(LEFT(BW24,4)="LINE",NOT(ISNUMBER(FIND("STATUS",BW24))))))+4*(OR(ISNUMBER(FIND("WORKORDER",BW24)),AND(LEFT(BW24,2)="WO",OR(ISNUMBER(FIND("NUM",BW24)),RIGHT(BW24,2)="NO"))))+8*(LEFT(BW24,3)="SEQ")+16*(AND(LEFT(BW24,4)="ITEM",NOT(ISNUMBER(FIND("DESC",BW24)))))+32*(AND(ISNUMBER(FIND("DESC",BW24)),NOT(ISNUMBER(FIND("CAP",BW24)))))+64*(OR(RIGHT(BW24,5)="COUNT",RIGHT(BW24,2)="CT"))+128*(ISNUMBER(FIND("BULK",BW24)))+256*(ISNUMBER(FIND("SIZE",BW24)))+512*(LEFT(BW24,3)="CAP")+1024*(ISNUMBER(FIND("ALLERG",BW24)))+2048*(OR(ISNUMBER(FIND("REMARK",BW24)),ISNUMBER(FIND("COMMENT",BW24))))+4096*(OR(ISNUMBER(FIND("QTY",BW24)),ISNUMBER(FIND("QUANTITY",BW24))))+8192*(AND(OR(ISNUMBER(FIND("COMPLETE",BW24)),ISNUMBER(FIND("PCT",BW24)),ISNUMBER(FIND("PERCENT",BW24))),NOT(ISNUMBER(FIND("ACTUAL",BW24))),LEN(BW24)&lt;=16))+32768*(OR(ISNUMBER(FIND("DESIC",BW24)),ISNUMBER(FIND("DESSIC",BW24)))))</f>
        <v/>
      </c>
      <c r="BX159">
        <f>IF(BX24="",0,2*(OR(ISNUMBER(FIND("WORKCENTER",BX24)),AND(LEFT(BX24,4)="LINE",NOT(ISNUMBER(FIND("STATUS",BX24))))))+4*(OR(ISNUMBER(FIND("WORKORDER",BX24)),AND(LEFT(BX24,2)="WO",OR(ISNUMBER(FIND("NUM",BX24)),RIGHT(BX24,2)="NO"))))+8*(LEFT(BX24,3)="SEQ")+16*(AND(LEFT(BX24,4)="ITEM",NOT(ISNUMBER(FIND("DESC",BX24)))))+32*(AND(ISNUMBER(FIND("DESC",BX24)),NOT(ISNUMBER(FIND("CAP",BX24)))))+64*(OR(RIGHT(BX24,5)="COUNT",RIGHT(BX24,2)="CT"))+128*(ISNUMBER(FIND("BULK",BX24)))+256*(ISNUMBER(FIND("SIZE",BX24)))+512*(LEFT(BX24,3)="CAP")+1024*(ISNUMBER(FIND("ALLERG",BX24)))+2048*(OR(ISNUMBER(FIND("REMARK",BX24)),ISNUMBER(FIND("COMMENT",BX24))))+4096*(OR(ISNUMBER(FIND("QTY",BX24)),ISNUMBER(FIND("QUANTITY",BX24))))+8192*(AND(OR(ISNUMBER(FIND("COMPLETE",BX24)),ISNUMBER(FIND("PCT",BX24)),ISNUMBER(FIND("PERCENT",BX24))),NOT(ISNUMBER(FIND("ACTUAL",BX24))),LEN(BX24)&lt;=16))+32768*(OR(ISNUMBER(FIND("DESIC",BX24)),ISNUMBER(FIND("DESSIC",BX24)))))</f>
        <v/>
      </c>
      <c r="BY159">
        <f>IF(BY24="",0,2*(OR(ISNUMBER(FIND("WORKCENTER",BY24)),AND(LEFT(BY24,4)="LINE",NOT(ISNUMBER(FIND("STATUS",BY24))))))+4*(OR(ISNUMBER(FIND("WORKORDER",BY24)),AND(LEFT(BY24,2)="WO",OR(ISNUMBER(FIND("NUM",BY24)),RIGHT(BY24,2)="NO"))))+8*(LEFT(BY24,3)="SEQ")+16*(AND(LEFT(BY24,4)="ITEM",NOT(ISNUMBER(FIND("DESC",BY24)))))+32*(AND(ISNUMBER(FIND("DESC",BY24)),NOT(ISNUMBER(FIND("CAP",BY24)))))+64*(OR(RIGHT(BY24,5)="COUNT",RIGHT(BY24,2)="CT"))+128*(ISNUMBER(FIND("BULK",BY24)))+256*(ISNUMBER(FIND("SIZE",BY24)))+512*(LEFT(BY24,3)="CAP")+1024*(ISNUMBER(FIND("ALLERG",BY24)))+2048*(OR(ISNUMBER(FIND("REMARK",BY24)),ISNUMBER(FIND("COMMENT",BY24))))+4096*(OR(ISNUMBER(FIND("QTY",BY24)),ISNUMBER(FIND("QUANTITY",BY24))))+8192*(AND(OR(ISNUMBER(FIND("COMPLETE",BY24)),ISNUMBER(FIND("PCT",BY24)),ISNUMBER(FIND("PERCENT",BY24))),NOT(ISNUMBER(FIND("ACTUAL",BY24))),LEN(BY24)&lt;=16))+32768*(OR(ISNUMBER(FIND("DESIC",BY24)),ISNUMBER(FIND("DESSIC",BY24)))))</f>
        <v/>
      </c>
      <c r="BZ159">
        <f>IF(BZ24="",0,2*(OR(ISNUMBER(FIND("WORKCENTER",BZ24)),AND(LEFT(BZ24,4)="LINE",NOT(ISNUMBER(FIND("STATUS",BZ24))))))+4*(OR(ISNUMBER(FIND("WORKORDER",BZ24)),AND(LEFT(BZ24,2)="WO",OR(ISNUMBER(FIND("NUM",BZ24)),RIGHT(BZ24,2)="NO"))))+8*(LEFT(BZ24,3)="SEQ")+16*(AND(LEFT(BZ24,4)="ITEM",NOT(ISNUMBER(FIND("DESC",BZ24)))))+32*(AND(ISNUMBER(FIND("DESC",BZ24)),NOT(ISNUMBER(FIND("CAP",BZ24)))))+64*(OR(RIGHT(BZ24,5)="COUNT",RIGHT(BZ24,2)="CT"))+128*(ISNUMBER(FIND("BULK",BZ24)))+256*(ISNUMBER(FIND("SIZE",BZ24)))+512*(LEFT(BZ24,3)="CAP")+1024*(ISNUMBER(FIND("ALLERG",BZ24)))+2048*(OR(ISNUMBER(FIND("REMARK",BZ24)),ISNUMBER(FIND("COMMENT",BZ24))))+4096*(OR(ISNUMBER(FIND("QTY",BZ24)),ISNUMBER(FIND("QUANTITY",BZ24))))+8192*(AND(OR(ISNUMBER(FIND("COMPLETE",BZ24)),ISNUMBER(FIND("PCT",BZ24)),ISNUMBER(FIND("PERCENT",BZ24))),NOT(ISNUMBER(FIND("ACTUAL",BZ24))),LEN(BZ24)&lt;=16))+32768*(OR(ISNUMBER(FIND("DESIC",BZ24)),ISNUMBER(FIND("DESSIC",BZ24)))))</f>
        <v/>
      </c>
      <c r="CA159">
        <f>IF(CA24="",0,2*(OR(ISNUMBER(FIND("WORKCENTER",CA24)),AND(LEFT(CA24,4)="LINE",NOT(ISNUMBER(FIND("STATUS",CA24))))))+4*(OR(ISNUMBER(FIND("WORKORDER",CA24)),AND(LEFT(CA24,2)="WO",OR(ISNUMBER(FIND("NUM",CA24)),RIGHT(CA24,2)="NO"))))+8*(LEFT(CA24,3)="SEQ")+16*(AND(LEFT(CA24,4)="ITEM",NOT(ISNUMBER(FIND("DESC",CA24)))))+32*(AND(ISNUMBER(FIND("DESC",CA24)),NOT(ISNUMBER(FIND("CAP",CA24)))))+64*(OR(RIGHT(CA24,5)="COUNT",RIGHT(CA24,2)="CT"))+128*(ISNUMBER(FIND("BULK",CA24)))+256*(ISNUMBER(FIND("SIZE",CA24)))+512*(LEFT(CA24,3)="CAP")+1024*(ISNUMBER(FIND("ALLERG",CA24)))+2048*(OR(ISNUMBER(FIND("REMARK",CA24)),ISNUMBER(FIND("COMMENT",CA24))))+4096*(OR(ISNUMBER(FIND("QTY",CA24)),ISNUMBER(FIND("QUANTITY",CA24))))+8192*(AND(OR(ISNUMBER(FIND("COMPLETE",CA24)),ISNUMBER(FIND("PCT",CA24)),ISNUMBER(FIND("PERCENT",CA24))),NOT(ISNUMBER(FIND("ACTUAL",CA24))),LEN(CA24)&lt;=16))+32768*(OR(ISNUMBER(FIND("DESIC",CA24)),ISNUMBER(FIND("DESSIC",CA24)))))</f>
        <v/>
      </c>
      <c r="CB159">
        <f>IF(CB24="",0,2*(OR(ISNUMBER(FIND("WORKCENTER",CB24)),AND(LEFT(CB24,4)="LINE",NOT(ISNUMBER(FIND("STATUS",CB24))))))+4*(OR(ISNUMBER(FIND("WORKORDER",CB24)),AND(LEFT(CB24,2)="WO",OR(ISNUMBER(FIND("NUM",CB24)),RIGHT(CB24,2)="NO"))))+8*(LEFT(CB24,3)="SEQ")+16*(AND(LEFT(CB24,4)="ITEM",NOT(ISNUMBER(FIND("DESC",CB24)))))+32*(AND(ISNUMBER(FIND("DESC",CB24)),NOT(ISNUMBER(FIND("CAP",CB24)))))+64*(OR(RIGHT(CB24,5)="COUNT",RIGHT(CB24,2)="CT"))+128*(ISNUMBER(FIND("BULK",CB24)))+256*(ISNUMBER(FIND("SIZE",CB24)))+512*(LEFT(CB24,3)="CAP")+1024*(ISNUMBER(FIND("ALLERG",CB24)))+2048*(OR(ISNUMBER(FIND("REMARK",CB24)),ISNUMBER(FIND("COMMENT",CB24))))+4096*(OR(ISNUMBER(FIND("QTY",CB24)),ISNUMBER(FIND("QUANTITY",CB24))))+8192*(AND(OR(ISNUMBER(FIND("COMPLETE",CB24)),ISNUMBER(FIND("PCT",CB24)),ISNUMBER(FIND("PERCENT",CB24))),NOT(ISNUMBER(FIND("ACTUAL",CB24))),LEN(CB24)&lt;=16))+32768*(OR(ISNUMBER(FIND("DESIC",CB24)),ISNUMBER(FIND("DESSIC",CB24)))))</f>
        <v/>
      </c>
      <c r="CC159">
        <f>IF(CC24="",0,2*(OR(ISNUMBER(FIND("WORKCENTER",CC24)),AND(LEFT(CC24,4)="LINE",NOT(ISNUMBER(FIND("STATUS",CC24))))))+4*(OR(ISNUMBER(FIND("WORKORDER",CC24)),AND(LEFT(CC24,2)="WO",OR(ISNUMBER(FIND("NUM",CC24)),RIGHT(CC24,2)="NO"))))+8*(LEFT(CC24,3)="SEQ")+16*(AND(LEFT(CC24,4)="ITEM",NOT(ISNUMBER(FIND("DESC",CC24)))))+32*(AND(ISNUMBER(FIND("DESC",CC24)),NOT(ISNUMBER(FIND("CAP",CC24)))))+64*(OR(RIGHT(CC24,5)="COUNT",RIGHT(CC24,2)="CT"))+128*(ISNUMBER(FIND("BULK",CC24)))+256*(ISNUMBER(FIND("SIZE",CC24)))+512*(LEFT(CC24,3)="CAP")+1024*(ISNUMBER(FIND("ALLERG",CC24)))+2048*(OR(ISNUMBER(FIND("REMARK",CC24)),ISNUMBER(FIND("COMMENT",CC24))))+4096*(OR(ISNUMBER(FIND("QTY",CC24)),ISNUMBER(FIND("QUANTITY",CC24))))+8192*(AND(OR(ISNUMBER(FIND("COMPLETE",CC24)),ISNUMBER(FIND("PCT",CC24)),ISNUMBER(FIND("PERCENT",CC24))),NOT(ISNUMBER(FIND("ACTUAL",CC24))),LEN(CC24)&lt;=16))+32768*(OR(ISNUMBER(FIND("DESIC",CC24)),ISNUMBER(FIND("DESSIC",CC24)))))</f>
        <v/>
      </c>
      <c r="CD159">
        <f>IF(CD24="",0,2*(OR(ISNUMBER(FIND("WORKCENTER",CD24)),AND(LEFT(CD24,4)="LINE",NOT(ISNUMBER(FIND("STATUS",CD24))))))+4*(OR(ISNUMBER(FIND("WORKORDER",CD24)),AND(LEFT(CD24,2)="WO",OR(ISNUMBER(FIND("NUM",CD24)),RIGHT(CD24,2)="NO"))))+8*(LEFT(CD24,3)="SEQ")+16*(AND(LEFT(CD24,4)="ITEM",NOT(ISNUMBER(FIND("DESC",CD24)))))+32*(AND(ISNUMBER(FIND("DESC",CD24)),NOT(ISNUMBER(FIND("CAP",CD24)))))+64*(OR(RIGHT(CD24,5)="COUNT",RIGHT(CD24,2)="CT"))+128*(ISNUMBER(FIND("BULK",CD24)))+256*(ISNUMBER(FIND("SIZE",CD24)))+512*(LEFT(CD24,3)="CAP")+1024*(ISNUMBER(FIND("ALLERG",CD24)))+2048*(OR(ISNUMBER(FIND("REMARK",CD24)),ISNUMBER(FIND("COMMENT",CD24))))+4096*(OR(ISNUMBER(FIND("QTY",CD24)),ISNUMBER(FIND("QUANTITY",CD24))))+8192*(AND(OR(ISNUMBER(FIND("COMPLETE",CD24)),ISNUMBER(FIND("PCT",CD24)),ISNUMBER(FIND("PERCENT",CD24))),NOT(ISNUMBER(FIND("ACTUAL",CD24))),LEN(CD24)&lt;=16))+32768*(OR(ISNUMBER(FIND("DESIC",CD24)),ISNUMBER(FIND("DESSIC",CD24)))))</f>
        <v/>
      </c>
      <c r="CE159">
        <f>IF(CE24="",0,2*(OR(ISNUMBER(FIND("WORKCENTER",CE24)),AND(LEFT(CE24,4)="LINE",NOT(ISNUMBER(FIND("STATUS",CE24))))))+4*(OR(ISNUMBER(FIND("WORKORDER",CE24)),AND(LEFT(CE24,2)="WO",OR(ISNUMBER(FIND("NUM",CE24)),RIGHT(CE24,2)="NO"))))+8*(LEFT(CE24,3)="SEQ")+16*(AND(LEFT(CE24,4)="ITEM",NOT(ISNUMBER(FIND("DESC",CE24)))))+32*(AND(ISNUMBER(FIND("DESC",CE24)),NOT(ISNUMBER(FIND("CAP",CE24)))))+64*(OR(RIGHT(CE24,5)="COUNT",RIGHT(CE24,2)="CT"))+128*(ISNUMBER(FIND("BULK",CE24)))+256*(ISNUMBER(FIND("SIZE",CE24)))+512*(LEFT(CE24,3)="CAP")+1024*(ISNUMBER(FIND("ALLERG",CE24)))+2048*(OR(ISNUMBER(FIND("REMARK",CE24)),ISNUMBER(FIND("COMMENT",CE24))))+4096*(OR(ISNUMBER(FIND("QTY",CE24)),ISNUMBER(FIND("QUANTITY",CE24))))+8192*(AND(OR(ISNUMBER(FIND("COMPLETE",CE24)),ISNUMBER(FIND("PCT",CE24)),ISNUMBER(FIND("PERCENT",CE24))),NOT(ISNUMBER(FIND("ACTUAL",CE24))),LEN(CE24)&lt;=16))+32768*(OR(ISNUMBER(FIND("DESIC",CE24)),ISNUMBER(FIND("DESSIC",CE24)))))</f>
        <v/>
      </c>
      <c r="CF159">
        <f>IF(CF24="",0,2*(OR(ISNUMBER(FIND("WORKCENTER",CF24)),AND(LEFT(CF24,4)="LINE",NOT(ISNUMBER(FIND("STATUS",CF24))))))+4*(OR(ISNUMBER(FIND("WORKORDER",CF24)),AND(LEFT(CF24,2)="WO",OR(ISNUMBER(FIND("NUM",CF24)),RIGHT(CF24,2)="NO"))))+8*(LEFT(CF24,3)="SEQ")+16*(AND(LEFT(CF24,4)="ITEM",NOT(ISNUMBER(FIND("DESC",CF24)))))+32*(AND(ISNUMBER(FIND("DESC",CF24)),NOT(ISNUMBER(FIND("CAP",CF24)))))+64*(OR(RIGHT(CF24,5)="COUNT",RIGHT(CF24,2)="CT"))+128*(ISNUMBER(FIND("BULK",CF24)))+256*(ISNUMBER(FIND("SIZE",CF24)))+512*(LEFT(CF24,3)="CAP")+1024*(ISNUMBER(FIND("ALLERG",CF24)))+2048*(OR(ISNUMBER(FIND("REMARK",CF24)),ISNUMBER(FIND("COMMENT",CF24))))+4096*(OR(ISNUMBER(FIND("QTY",CF24)),ISNUMBER(FIND("QUANTITY",CF24))))+8192*(AND(OR(ISNUMBER(FIND("COMPLETE",CF24)),ISNUMBER(FIND("PCT",CF24)),ISNUMBER(FIND("PERCENT",CF24))),NOT(ISNUMBER(FIND("ACTUAL",CF24))),LEN(CF24)&lt;=16))+32768*(OR(ISNUMBER(FIND("DESIC",CF24)),ISNUMBER(FIND("DESSIC",CF24)))))</f>
        <v/>
      </c>
      <c r="DA159" t="n">
        <v>155</v>
      </c>
      <c r="DB159">
        <f>IF($B$37=0,"",IFERROR(TRIM(SUBSTITUTE(SUBSTITUTE(SUBSTITUTE(SUBSTITUTE(INDEX(PASTE_ALL,155,$B$37)," "," "),CHAR(9)," "),CHAR(10)," "),CHAR(13)," ")),""))</f>
        <v/>
      </c>
      <c r="DC159">
        <f>IF(AND(155&gt;HEADER_ROW,UPPER(DB159)="LEGEND"),1,0)</f>
        <v/>
      </c>
      <c r="DE159" t="n">
        <v>155</v>
      </c>
      <c r="DF159">
        <f>HEADER_ROW+$DE159</f>
        <v/>
      </c>
      <c r="DG159">
        <f>IF(AND($DF159&lt;=1000,$DF159&lt;$B$8),1,0)</f>
        <v/>
      </c>
      <c r="DH159">
        <f>IF($DG159=1,IFERROR(INDEX($DB$5:$DB$1004,$DF159),""),"")</f>
        <v/>
      </c>
      <c r="DI159">
        <f>IF(AND($DG159=1,$DH159&lt;&gt;""),IFERROR(SUBSTITUTE(SUBSTITUTE(TRIM(SUBSTITUTE(SUBSTITUTE(SUBSTITUTE(SUBSTITUTE(IFERROR(INDEX(PASTE_ALL,$DF159,1)&amp;"","")&amp;"␟"&amp;IFERROR(INDEX(PASTE_ALL,$DF159,2)&amp;"","")&amp;"␟"&amp;IFERROR(INDEX(PASTE_ALL,$DF159,3)&amp;"","")&amp;"␟"&amp;IFERROR(INDEX(PASTE_ALL,$DF159,4)&amp;"","")&amp;"␟"&amp;IFERROR(INDEX(PASTE_ALL,$DF159,5)&amp;"","")&amp;"␟"&amp;IFERROR(INDEX(PASTE_ALL,$DF159,6)&amp;"","")&amp;"␟"&amp;IFERROR(INDEX(PASTE_ALL,$DF159,7)&amp;"","")&amp;"␟"&amp;IFERROR(INDEX(PASTE_ALL,$DF159,8)&amp;"","")&amp;"␟"&amp;IFERROR(INDEX(PASTE_ALL,$DF159,9)&amp;"","")&amp;"␟"&amp;IFERROR(INDEX(PASTE_ALL,$DF159,10)&amp;"","")&amp;"␟"&amp;IFERROR(INDEX(PASTE_ALL,$DF159,11)&amp;"","")&amp;"␟"&amp;IFERROR(INDEX(PASTE_ALL,$DF159,12)&amp;"","")&amp;"␟"&amp;IFERROR(INDEX(PASTE_ALL,$DF159,13)&amp;"","")&amp;"␟"&amp;IFERROR(INDEX(PASTE_ALL,$DF159,14)&amp;"","")&amp;"␟"&amp;IFERROR(INDEX(PASTE_ALL,$DF159,15)&amp;"","")&amp;"␟"&amp;IFERROR(INDEX(PASTE_ALL,$DF159,16)&amp;"","")&amp;"␟"&amp;IFERROR(INDEX(PASTE_ALL,$DF159,17)&amp;"","")&amp;"␟"&amp;IFERROR(INDEX(PASTE_ALL,$DF159,18)&amp;"","")&amp;"␟"&amp;IFERROR(INDEX(PASTE_ALL,$DF159,19)&amp;"","")&amp;"␟"&amp;IFERROR(INDEX(PASTE_ALL,$DF159,20)&amp;"","")&amp;"␟"&amp;IFERROR(INDEX(PASTE_ALL,$DF159,21)&amp;"","")&amp;"␟"&amp;IFERROR(INDEX(PASTE_ALL,$DF159,22)&amp;"","")&amp;"␟"&amp;IFERROR(INDEX(PASTE_ALL,$DF159,23)&amp;"","")&amp;"␟"&amp;IFERROR(INDEX(PASTE_ALL,$DF159,24)&amp;"","")&amp;"␟"&amp;IFERROR(INDEX(PASTE_ALL,$DF159,25)&amp;"","")&amp;"␟"&amp;IFERROR(INDEX(PASTE_ALL,$DF159,26)&amp;"","")&amp;"␟"&amp;IFERROR(INDEX(PASTE_ALL,$DF159,27)&amp;"","")&amp;"␟"&amp;IFERROR(INDEX(PASTE_ALL,$DF159,28)&amp;"","")&amp;"␟"&amp;IFERROR(INDEX(PASTE_ALL,$DF159,29)&amp;"","")&amp;"␟"&amp;IFERROR(INDEX(PASTE_ALL,$DF159,30)&amp;"","")&amp;"␟"&amp;IFERROR(INDEX(PASTE_ALL,$DF159,31)&amp;"","")&amp;"␟"&amp;IFERROR(INDEX(PASTE_ALL,$DF159,32)&amp;"","")&amp;"␟"&amp;IFERROR(INDEX(PASTE_ALL,$DF159,33)&amp;"","")&amp;"␟"&amp;IFERROR(INDEX(PASTE_ALL,$DF159,34)&amp;"","")&amp;"␟"&amp;IFERROR(INDEX(PASTE_ALL,$DF159,35)&amp;"","")&amp;"␟"&amp;IFERROR(INDEX(PASTE_ALL,$DF159,36)&amp;"","")&amp;"␟"&amp;IFERROR(INDEX(PASTE_ALL,$DF159,37)&amp;"","")&amp;"␟"&amp;IFERROR(INDEX(PASTE_ALL,$DF159,38)&amp;"","")&amp;"␟"&amp;IFERROR(INDEX(PASTE_ALL,$DF159,39)&amp;"","")&amp;"␟"&amp;IFERROR(INDEX(PASTE_ALL,$DF159,40)&amp;"","")&amp;"␟"&amp;IFERROR(INDEX(PASTE_ALL,$DF159,41)&amp;"","")&amp;"␟"&amp;IFERROR(INDEX(PASTE_ALL,$DF159,42)&amp;"","")&amp;"␟"&amp;IFERROR(INDEX(PASTE_ALL,$DF159,43)&amp;"","")&amp;"␟"&amp;IFERROR(INDEX(PASTE_ALL,$DF159,44)&amp;"","")&amp;"␟"&amp;IFERROR(INDEX(PASTE_ALL,$DF159,45)&amp;"","")&amp;"␟"&amp;IFERROR(INDEX(PASTE_ALL,$DF159,46)&amp;"","")&amp;"␟"&amp;IFERROR(INDEX(PASTE_ALL,$DF159,47)&amp;"","")&amp;"␟"&amp;IFERROR(INDEX(PASTE_ALL,$DF159,48)&amp;"","")&amp;"␟"&amp;IFERROR(INDEX(PASTE_ALL,$DF159,49)&amp;"","")&amp;"␟"&amp;IFERROR(INDEX(PASTE_ALL,$DF159,50)&amp;"","")&amp;"␟"&amp;IFERROR(INDEX(PASTE_ALL,$DF159,51)&amp;"","")&amp;"␟"&amp;IFERROR(INDEX(PASTE_ALL,$DF159,52)&amp;"","")&amp;"␟"&amp;IFERROR(INDEX(PASTE_ALL,$DF159,53)&amp;"","")&amp;"␟"&amp;IFERROR(INDEX(PASTE_ALL,$DF159,54)&amp;"","")&amp;"␟"&amp;IFERROR(INDEX(PASTE_ALL,$DF159,55)&amp;"","")&amp;"␟"&amp;IFERROR(INDEX(PASTE_ALL,$DF159,56)&amp;"","")&amp;"␟"&amp;IFERROR(INDEX(PASTE_ALL,$DF159,57)&amp;"","")&amp;"␟"&amp;IFERROR(INDEX(PASTE_ALL,$DF159,58)&amp;"","")&amp;"␟"&amp;IFERROR(INDEX(PASTE_ALL,$DF159,59)&amp;"","")&amp;"␟"&amp;IFERROR(INDEX(PASTE_ALL,$DF159,60)&amp;"","")," "," "),CHAR(9)," "),CHAR(10)," "),CHAR(13)," "))," ␟","␟"),"␟ ","␟"),"#"&amp;$DE159),"")</f>
        <v/>
      </c>
      <c r="DJ159">
        <f>IF($DI159="",0,IF(SUMPRODUCT(--EXACT($DI$4:DI158,$DI159))&gt;0,1,0))</f>
        <v/>
      </c>
      <c r="DK159">
        <f>IF(AND($DI159&lt;&gt;"",$DJ159=0),1,0)</f>
        <v/>
      </c>
      <c r="DL159">
        <f>DL158+$DK159</f>
        <v/>
      </c>
      <c r="DM159">
        <f>IF(AND($DK159=1,$DL159&lt;=600),1,0)</f>
        <v/>
      </c>
      <c r="DN159">
        <f>IF($DM159=0,"",IF($L$6=0,"",IFERROR(IF(ISNUMBER(INDEX(PASTE_ALL,$DF159,$L$6)),INDEX(PASTE_ALL,$DF159,$L$6),TRIM(SUBSTITUTE(SUBSTITUTE(SUBSTITUTE(SUBSTITUTE(INDEX(PASTE_ALL,$DF159,$L$6)," "," "),CHAR(9)," "),CHAR(10)," "),CHAR(13)," "))),"")))</f>
        <v/>
      </c>
      <c r="DO159">
        <f>IF($DM159=0,"",IF($L$7=0,"",IFERROR(IF(ISNUMBER(INDEX(PASTE_ALL,$DF159,$L$7)),INDEX(PASTE_ALL,$DF159,$L$7),TRIM(SUBSTITUTE(SUBSTITUTE(SUBSTITUTE(SUBSTITUTE(INDEX(PASTE_ALL,$DF159,$L$7)," "," "),CHAR(9)," "),CHAR(10)," "),CHAR(13)," "))),"")))</f>
        <v/>
      </c>
      <c r="DP159">
        <f>IF($DM159=0,"",IF($L$8=0,"",IFERROR(IF(ISNUMBER(INDEX(PASTE_ALL,$DF159,$L$8)),INDEX(PASTE_ALL,$DF159,$L$8),TRIM(SUBSTITUTE(SUBSTITUTE(SUBSTITUTE(SUBSTITUTE(INDEX(PASTE_ALL,$DF159,$L$8)," "," "),CHAR(9)," "),CHAR(10)," "),CHAR(13)," "))),"")))</f>
        <v/>
      </c>
      <c r="DQ159">
        <f>IF($DM159=0,"",IF($L$9=0,"",IFERROR(IF(ISNUMBER(INDEX(PASTE_ALL,$DF159,$L$9)),INDEX(PASTE_ALL,$DF159,$L$9),TRIM(SUBSTITUTE(SUBSTITUTE(SUBSTITUTE(SUBSTITUTE(INDEX(PASTE_ALL,$DF159,$L$9)," "," "),CHAR(9)," "),CHAR(10)," "),CHAR(13)," "))),"")))</f>
        <v/>
      </c>
      <c r="DR159">
        <f>IF($DM159=0,"",IF($L$10=0,"",IFERROR(IF(ISNUMBER(INDEX(PASTE_ALL,$DF159,$L$10)),INDEX(PASTE_ALL,$DF159,$L$10),TRIM(SUBSTITUTE(SUBSTITUTE(SUBSTITUTE(SUBSTITUTE(INDEX(PASTE_ALL,$DF159,$L$10)," "," "),CHAR(9)," "),CHAR(10)," "),CHAR(13)," "))),"")))</f>
        <v/>
      </c>
      <c r="DS159">
        <f>IF($DM159=0,"",IF($L$11=0,"",IFERROR(IF(ISNUMBER(INDEX(PASTE_ALL,$DF159,$L$11)),INDEX(PASTE_ALL,$DF159,$L$11),TRIM(SUBSTITUTE(SUBSTITUTE(SUBSTITUTE(SUBSTITUTE(INDEX(PASTE_ALL,$DF159,$L$11)," "," "),CHAR(9)," "),CHAR(10)," "),CHAR(13)," "))),"")))</f>
        <v/>
      </c>
      <c r="DT159">
        <f>IF($DM159=0,"",IF($L$12=0,"",IFERROR(IF(ISNUMBER(INDEX(PASTE_ALL,$DF159,$L$12)),INDEX(PASTE_ALL,$DF159,$L$12),TRIM(SUBSTITUTE(SUBSTITUTE(SUBSTITUTE(SUBSTITUTE(INDEX(PASTE_ALL,$DF159,$L$12)," "," "),CHAR(9)," "),CHAR(10)," "),CHAR(13)," "))),"")))</f>
        <v/>
      </c>
      <c r="DU159">
        <f>IF($DM159=0,"",IF($L$13=0,"",IFERROR(IF(ISNUMBER(INDEX(PASTE_ALL,$DF159,$L$13)),INDEX(PASTE_ALL,$DF159,$L$13),TRIM(SUBSTITUTE(SUBSTITUTE(SUBSTITUTE(SUBSTITUTE(INDEX(PASTE_ALL,$DF159,$L$13)," "," "),CHAR(9)," "),CHAR(10)," "),CHAR(13)," "))),"")))</f>
        <v/>
      </c>
      <c r="DV159">
        <f>IF($DM159=0,"",IF($L$14=0,"",IFERROR(IF(ISNUMBER(INDEX(PASTE_ALL,$DF159,$L$14)),INDEX(PASTE_ALL,$DF159,$L$14),TRIM(SUBSTITUTE(SUBSTITUTE(SUBSTITUTE(SUBSTITUTE(INDEX(PASTE_ALL,$DF159,$L$14)," "," "),CHAR(9)," "),CHAR(10)," "),CHAR(13)," "))),"")))</f>
        <v/>
      </c>
      <c r="DW159">
        <f>IF($DM159=0,"",IF($L$15=0,"",IFERROR(IF(ISNUMBER(INDEX(PASTE_ALL,$DF159,$L$15)),INDEX(PASTE_ALL,$DF159,$L$15),IF(SUMPRODUCT(--ISNUMBER(FIND({"A","B","C","D","E","F","G","H","I","J","K","L","M","N","O","P","Q","R","S","T","U","V","W","X","Y","Z","0","1","2","3","4","5","6","7","8","9"},UPPER(TRIM(SUBSTITUTE(SUBSTITUTE(SUBSTITUTE(SUBSTITUTE(INDEX(PASTE_ALL,$DF159,$L$15)," "," "),CHAR(9)," "),CHAR(10)," "),CHAR(13)," "))))))&gt;0,TRIM(SUBSTITUTE(SUBSTITUTE(SUBSTITUTE(SUBSTITUTE(INDEX(PASTE_ALL,$DF159,$L$15)," "," "),CHAR(9)," "),CHAR(10)," "),CHAR(13)," ")),"")),"")))</f>
        <v/>
      </c>
      <c r="DX159">
        <f>IF($DM159=0,"",IF($L$16=0,"",IFERROR(IF(ISNUMBER(INDEX(PASTE_ALL,$DF159,$L$16)),INDEX(PASTE_ALL,$DF159,$L$16),SUBSTITUTE(SUBSTITUTE(TRIM(SUBSTITUTE(SUBSTITUTE(SUBSTITUTE(SUBSTITUTE(INDEX(PASTE_ALL,$DF159,$L$16)," "," "),CHAR(9)," "),CHAR(10)," "),CHAR(13)," ")),",",""),"%","")),"")))</f>
        <v/>
      </c>
      <c r="DY159">
        <f>IF($DM159=0,"",IFERROR(IF(ISNUMBER($DX159),$DX159,IF($DX159="","",IF(TRIM($DX159)="",0,IF(AND(AND(SUBSTITUTE(SUBSTITUTE(SUBSTITUTE(SUBSTITUTE(SUBSTITUTE(SUBSTITUTE(SUBSTITUTE(SUBSTITUTE(SUBSTITUTE(SUBSTITUTE(SUBSTITUTE(SUBSTITUTE(SUBSTITUTE(SUBSTITUTE(UPPER(TRIM($DX159)),"0",""),"1",""),"2",""),"3",""),"4",""),"5",""),"6",""),"7",""),"8",""),"9",""),".",""),"+",""),"-",""),"E","")="",LEN(SUBSTITUTE(SUBSTITUTE(MID(UPPER(TRIM($DX159)),1+OR(LEFT(UPPER(TRIM($DX159)),1)="+",LEFT(UPPER(TRIM($DX159)),1)="-"),999),"E+","E"),"E-","E"))=LEN(SUBSTITUTE(SUBSTITUTE(SUBSTITUTE(SUBSTITUTE(MID(UPPER(TRIM($DX159)),1+OR(LEFT(UPPER(TRIM($DX159)),1)="+",LEFT(UPPER(TRIM($DX159)),1)="-"),999),"E+","E"),"E-","E"),"+",""),"-","")),LEN(UPPER(TRIM($DX159)))-LEN(SUBSTITUTE(UPPER(TRIM($DX159)),"E",""))&lt;2,LEN(UPPER(TRIM($DX159)))-LEN(SUBSTITUTE(UPPER(TRIM($DX159)),".",""))&lt;2,IFERROR(FIND(".",UPPER(TRIM($DX159))),0)&lt;IFERROR(FIND("E",UPPER(TRIM($DX159))),999)),ISNUMBER(VALUE(TRIM($DX159)))),VALUE(TRIM($DX159)),"")))),""))</f>
        <v/>
      </c>
      <c r="DZ159">
        <f>IF($DM159=0,"",IF($L$17=0,"",IFERROR(IF(ISNUMBER(INDEX(PASTE_ALL,$DF159,$L$17)),INDEX(PASTE_ALL,$DF159,$L$17),SUBSTITUTE(SUBSTITUTE(TRIM(SUBSTITUTE(SUBSTITUTE(SUBSTITUTE(SUBSTITUTE(INDEX(PASTE_ALL,$DF159,$L$17)," "," "),CHAR(9)," "),CHAR(10)," "),CHAR(13)," ")),",",""),"%","")),"")))</f>
        <v/>
      </c>
      <c r="EA159">
        <f>IF($DM159=0,"",IFERROR(IF(ISNUMBER($DZ159),$DZ159,IF($DZ159="","",IF(TRIM($DZ159)="",0,IF(AND(AND(SUBSTITUTE(SUBSTITUTE(SUBSTITUTE(SUBSTITUTE(SUBSTITUTE(SUBSTITUTE(SUBSTITUTE(SUBSTITUTE(SUBSTITUTE(SUBSTITUTE(SUBSTITUTE(SUBSTITUTE(SUBSTITUTE(SUBSTITUTE(UPPER(TRIM($DZ159)),"0",""),"1",""),"2",""),"3",""),"4",""),"5",""),"6",""),"7",""),"8",""),"9",""),".",""),"+",""),"-",""),"E","")="",LEN(SUBSTITUTE(SUBSTITUTE(MID(UPPER(TRIM($DZ159)),1+OR(LEFT(UPPER(TRIM($DZ159)),1)="+",LEFT(UPPER(TRIM($DZ159)),1)="-"),999),"E+","E"),"E-","E"))=LEN(SUBSTITUTE(SUBSTITUTE(SUBSTITUTE(SUBSTITUTE(MID(UPPER(TRIM($DZ159)),1+OR(LEFT(UPPER(TRIM($DZ159)),1)="+",LEFT(UPPER(TRIM($DZ159)),1)="-"),999),"E+","E"),"E-","E"),"+",""),"-","")),LEN(UPPER(TRIM($DZ159)))-LEN(SUBSTITUTE(UPPER(TRIM($DZ159)),"E",""))&lt;2,LEN(UPPER(TRIM($DZ159)))-LEN(SUBSTITUTE(UPPER(TRIM($DZ159)),".",""))&lt;2,IFERROR(FIND(".",UPPER(TRIM($DZ159))),0)&lt;IFERROR(FIND("E",UPPER(TRIM($DZ159))),999)),ISNUMBER(VALUE(TRIM($DZ159)))),VALUE(TRIM($DZ159)),"")))),""))</f>
        <v/>
      </c>
      <c r="EB159">
        <f>IF($DM159=0,"",IF($L$18=0,"",IFERROR(IF(UPPER(TRIM(SUBSTITUTE(SUBSTITUTE(SUBSTITUTE(SUBSTITUTE(INDEX(PASTE_ALL,$DF159,$L$18)," "," "),CHAR(9)," "),CHAR(10)," "),CHAR(13)," ")))="READY","Ready",IF(UPPER(TRIM(SUBSTITUTE(SUBSTITUTE(SUBSTITUTE(SUBSTITUTE(INDEX(PASTE_ALL,$DF159,$L$18)," "," "),CHAR(9)," "),CHAR(10)," "),CHAR(13)," ")))="PM","PM",IF(OR(UPPER(TRIM(SUBSTITUTE(SUBSTITUTE(SUBSTITUTE(SUBSTITUTE(INDEX(PASTE_ALL,$DF159,$L$18)," "," "),CHAR(9)," "),CHAR(10)," "),CHAR(13)," ")))="OT",UPPER(TRIM(SUBSTITUTE(SUBSTITUTE(SUBSTITUTE(SUBSTITUTE(INDEX(PASTE_ALL,$DF159,$L$18)," "," "),CHAR(9)," "),CHAR(10)," "),CHAR(13)," ")))="OVERTIME",UPPER(TRIM(SUBSTITUTE(SUBSTITUTE(SUBSTITUTE(SUBSTITUTE(INDEX(PASTE_ALL,$DF159,$L$18)," "," "),CHAR(9)," "),CHAR(10)," "),CHAR(13)," ")))="TRIAL"),"OT",TRIM(SUBSTITUTE(SUBSTITUTE(SUBSTITUTE(SUBSTITUTE(INDEX(PASTE_ALL,$DF159,$L$18)," "," "),CHAR(9)," "),CHAR(10)," "),CHAR(13)," "))))),"")))</f>
        <v/>
      </c>
      <c r="EC159">
        <f>IF($DM159=0,"",IF($L$19=0,"",IFERROR(IF(ISNUMBER(INDEX(PASTE_ALL,$DF159,$L$19)),INDEX(PASTE_ALL,$DF159,$L$19),TRIM(SUBSTITUTE(SUBSTITUTE(SUBSTITUTE(SUBSTITUTE(INDEX(PASTE_ALL,$DF159,$L$19)," "," "),CHAR(9)," "),CHAR(10)," "),CHAR(13)," "))),"")))</f>
        <v/>
      </c>
      <c r="ED159">
        <f>IF($DM159=0,"",MATCH(1,INDEX(EXACT($DH$5:DH159,$DH159)*$DM$5:DM159,0),0))</f>
        <v/>
      </c>
      <c r="EE159">
        <f>IF($DM159=0,0,IF($ED159=$DE159,1,0))</f>
        <v/>
      </c>
      <c r="EF159">
        <f>EF158+$EE159</f>
        <v/>
      </c>
      <c r="EG159">
        <f>IF($DM159=0,"",INDEX($EF$5:$EF$1003,$ED159))</f>
        <v/>
      </c>
      <c r="EH159">
        <f>IF($DM159=0,"",IF($DO159&lt;&gt;"","",IFERROR(LOOKUP(2,1/(($EG$4:EG158=$EG159)*($DO$4:DO158&lt;&gt;"")),$DO$4:DO158),"")))</f>
        <v/>
      </c>
      <c r="EI159">
        <f>IF($DM159=0,"",IF($DO159&lt;&gt;"",$DO159,$EH159))</f>
        <v/>
      </c>
      <c r="EJ159">
        <f>IF($DM159=0,"",IF($EI159="",0,IF(OR(ISNUMBER($EI159),AND(AND(SUBSTITUTE(SUBSTITUTE(SUBSTITUTE(SUBSTITUTE(SUBSTITUTE(SUBSTITUTE(SUBSTITUTE(SUBSTITUTE(SUBSTITUTE(SUBSTITUTE(SUBSTITUTE(SUBSTITUTE(SUBSTITUTE(SUBSTITUTE(UPPER($EI159),"0",""),"1",""),"2",""),"3",""),"4",""),"5",""),"6",""),"7",""),"8",""),"9",""),".",""),"+",""),"-",""),"E","")="",LEN(SUBSTITUTE(SUBSTITUTE(MID(UPPER($EI159),1+OR(LEFT(UPPER($EI159),1)="+",LEFT(UPPER($EI159),1)="-"),999),"E+","E"),"E-","E"))=LEN(SUBSTITUTE(SUBSTITUTE(SUBSTITUTE(SUBSTITUTE(MID(UPPER($EI159),1+OR(LEFT(UPPER($EI159),1)="+",LEFT(UPPER($EI159),1)="-"),999),"E+","E"),"E-","E"),"+",""),"-","")),LEN(UPPER($EI159))-LEN(SUBSTITUTE(UPPER($EI159),"E",""))&lt;2,LEN(UPPER($EI159))-LEN(SUBSTITUTE(UPPER($EI159),".",""))&lt;2,IFERROR(FIND(".",UPPER($EI159)),0)&lt;IFERROR(FIND("E",UPPER($EI159)),999)),ISNUMBER(VALUE($EI159)))),1,2)))</f>
        <v/>
      </c>
      <c r="EK159">
        <f>IF($DM159=0,"",IF($EJ159=1,IF(ISNUMBER($EI159),$EI159,VALUE($EI159)),IF($EJ159=2,$DE159,0)))</f>
        <v/>
      </c>
      <c r="EL159">
        <f>IF($DM159=0,"",COUNTIF($EG$5:$EG$1003,"&lt;"&amp;$EG159)+SUMPRODUCT(($EG$5:$EG$1003=$EG159)*(($EJ$5:$EJ$1003&lt;$EJ159)+($EJ$5:$EJ$1003=$EJ159)*(($EK$5:$EK$1003&lt;$EK159)+($EK$5:$EK$1003=$EK159)*($DE$5:$DE$1003&lt;$DE159))))+1)</f>
        <v/>
      </c>
      <c r="EM159">
        <f>IF($DM159=0,"",$EL159+$EG159-1)</f>
        <v/>
      </c>
      <c r="EN159">
        <f>IF($DM159=0,0,IFERROR(MATCH(1,INDEX(--(TRIM(SUBSTITUTE(SUBSTITUTE(SUBSTITUTE(SUBSTITUTE(LINES_NAME&amp;""," "," "),CHAR(9)," "),CHAR(10)," "),CHAR(13)," "))=$DH159),0),0),0))</f>
        <v/>
      </c>
      <c r="EO159">
        <f>IF($EN159=0,0,IF(OR(UPPER(TRIM(INDEX(LINES_SCHEDULED,$EN159)&amp;""))="YES",UPPER(TRIM(INDEX(LINES_SCHEDULED,$EN159)&amp;""))="Y",UPPER(TRIM(INDEX(LINES_SCHEDULED,$EN159)&amp;""))="X"),1,0))</f>
        <v/>
      </c>
      <c r="EP159">
        <f>IF($DM159=0,"",IF(COUNTIFS($EG$5:$EG$1003,$EG159,$EB$5:$EB$1003,"Ready")&gt;0,"READY",IF(COUNTIFS($EG$5:$EG$1003,$EG159,$EB$5:$EB$1003,"PM")&gt;0,"PM",IF(COUNTIFS($EG$5:$EG$1003,$EG159,$EB$5:$EB$1003,"OT")&gt;0,"OT",""))))</f>
        <v/>
      </c>
      <c r="EQ159">
        <f>IF($EN159=0,"",UPPER(TRIM(INDEX(LINES_STATUS,$EN159)&amp;"")))</f>
        <v/>
      </c>
      <c r="ER159">
        <f>IF($DM159=0,"",IF(OR($EQ159="READY",$EQ159="PM",$EQ159="OT"),$EQ159,$EP159))</f>
        <v/>
      </c>
      <c r="ES159">
        <f>IF($DM159=0,"",IF(AND($DV159&lt;&gt;"",UPPER($DV159)&lt;&gt;"N"),"allergen",IF(ISNUMBER(SEARCH("oil",$DQ159)),"oil",IF(OR(EXACT($DS159,"A662"),EXACT($DS159,"A624")),"bulk",""))))</f>
        <v/>
      </c>
      <c r="ET159">
        <f>IF($DM159=0,"",IF(OR($EA159="",$EA159=0),"",$EA159/100))</f>
        <v/>
      </c>
      <c r="EU159">
        <f>IF(OR($ET159="",$DY159=""),"",INT($DY159*(1-$ET159)+0.5))</f>
        <v/>
      </c>
      <c r="EW159" t="n">
        <v>155</v>
      </c>
      <c r="EX159">
        <f>IFERROR(MATCH($EW159,$EM$5:$EM$1003,0),0)</f>
        <v/>
      </c>
      <c r="EY159">
        <f>IF($EW159&gt;$B$12,"",IF($EX159&gt;0,"row","spacer"))</f>
        <v/>
      </c>
      <c r="EZ159">
        <f>IF(AND($EY159="row",$EY158&lt;&gt;"row"),1,0)</f>
        <v/>
      </c>
      <c r="FA159">
        <f>IF(AND($EY159="row",$EY160&lt;&gt;"row"),1,0)</f>
        <v/>
      </c>
      <c r="FB159">
        <f>IF($EZ159=1,IFERROR(IF(ISNUMBER(INDEX(PASTE_ALL,INDEX($DF$5:$DF$1003,$EX159),$B$37)),INDEX(PASTE_ALL,INDEX($DF$5:$DF$1003,$EX159),$B$37),INDEX($DH$5:$DH$1003,$EX159)),INDEX($DH$5:$DH$1003,$EX159)),"")</f>
        <v/>
      </c>
      <c r="FC159">
        <f>IF($EY159="row",INDEX($ER$5:$ER$1003,$EX159),"")</f>
        <v/>
      </c>
      <c r="FD159">
        <f>IF($EY159="row",INDEX($DN$5:$DN$1003,$EX159),"")</f>
        <v/>
      </c>
      <c r="FE159">
        <f>IF($EY159="row",INDEX($DO$5:$DO$1003,$EX159),"")</f>
        <v/>
      </c>
      <c r="FF159">
        <f>IF($EY159="row",INDEX($DP$5:$DP$1003,$EX159),"")</f>
        <v/>
      </c>
      <c r="FG159">
        <f>IF($EY159="row",INDEX($DQ$5:$DQ$1003,$EX159),"")</f>
        <v/>
      </c>
      <c r="FH159">
        <f>IF($EY159="row",INDEX($DR$5:$DR$1003,$EX159),"")</f>
        <v/>
      </c>
      <c r="FI159">
        <f>IF($EY159="row",INDEX($DS$5:$DS$1003,$EX159),"")</f>
        <v/>
      </c>
      <c r="FJ159">
        <f>IF($EY159="row",INDEX($DT$5:$DT$1003,$EX159),"")</f>
        <v/>
      </c>
      <c r="FK159">
        <f>IF($EY159="row",INDEX($DU$5:$DU$1003,$EX159),"")</f>
        <v/>
      </c>
      <c r="FL159">
        <f>IF($EY159="row",INDEX($DV$5:$DV$1003,$EX159),"")</f>
        <v/>
      </c>
      <c r="FM159">
        <f>IF($EY159="row",INDEX($DW$5:$DW$1003,$EX159),"")</f>
        <v/>
      </c>
      <c r="FN159">
        <f>IF($EY159="row",INDEX($DY$5:$DY$1003,$EX159),"")</f>
        <v/>
      </c>
      <c r="FO159">
        <f>IF($EY159="row",INDEX($EA$5:$EA$1003,$EX159),"")</f>
        <v/>
      </c>
      <c r="FP159">
        <f>IF($EY159="row",INDEX($EC$5:$EC$1003,$EX159),"")</f>
        <v/>
      </c>
      <c r="FQ159">
        <f>IF($EY159="row",INDEX($ET$5:$ET$1003,$EX159),"")</f>
        <v/>
      </c>
      <c r="FR159">
        <f>IF($EY159="row",INDEX($EU$5:$EU$1003,$EX159),"")</f>
        <v/>
      </c>
      <c r="FS159">
        <f>IF(AND($EY159="row",$EY158="row"),IF(OR(INDEX($DT$5:$DT$1003,$EX158)="",INDEX($DT$5:$DT$1003,$EX159)=""),"",IF(NOT(EXACT(INDEX($DT$5:$DT$1003,$EX158),INDEX($DT$5:$DT$1003,$EX159))),"S4",IF(NOT(EXACT(INDEX($DS$5:$DS$1003,$EX158),INDEX($DS$5:$DS$1003,$EX159))),"S3",IF(NOT(EXACT(INDEX($DR$5:$DR$1003,$EX158),INDEX($DR$5:$DR$1003,$EX159))),"S1 Count Change","S1")))),"")</f>
        <v/>
      </c>
      <c r="FT159">
        <f>IF($EY159="row",INDEX($ES$5:$ES$1003,$EX159),"")</f>
        <v/>
      </c>
      <c r="FU159">
        <f>IF($EY159="row",INDEX($EO$5:$EO$1003,$EX159),0)</f>
        <v/>
      </c>
      <c r="FV159">
        <f>IF($FS159="S1 Count Change",1,0)</f>
        <v/>
      </c>
    </row>
    <row r="160">
      <c r="Y160">
        <f>IF(Y25="",0,2*(OR(ISNUMBER(FIND("WORKCENTER",Y25)),AND(LEFT(Y25,4)="LINE",NOT(ISNUMBER(FIND("STATUS",Y25))))))+4*(OR(ISNUMBER(FIND("WORKORDER",Y25)),AND(LEFT(Y25,2)="WO",OR(ISNUMBER(FIND("NUM",Y25)),RIGHT(Y25,2)="NO"))))+8*(LEFT(Y25,3)="SEQ")+16*(AND(LEFT(Y25,4)="ITEM",NOT(ISNUMBER(FIND("DESC",Y25)))))+32*(AND(ISNUMBER(FIND("DESC",Y25)),NOT(ISNUMBER(FIND("CAP",Y25)))))+64*(OR(RIGHT(Y25,5)="COUNT",RIGHT(Y25,2)="CT"))+128*(ISNUMBER(FIND("BULK",Y25)))+256*(ISNUMBER(FIND("SIZE",Y25)))+512*(LEFT(Y25,3)="CAP")+1024*(ISNUMBER(FIND("ALLERG",Y25)))+2048*(OR(ISNUMBER(FIND("REMARK",Y25)),ISNUMBER(FIND("COMMENT",Y25))))+4096*(OR(ISNUMBER(FIND("QTY",Y25)),ISNUMBER(FIND("QUANTITY",Y25))))+8192*(AND(OR(ISNUMBER(FIND("COMPLETE",Y25)),ISNUMBER(FIND("PCT",Y25)),ISNUMBER(FIND("PERCENT",Y25))),NOT(ISNUMBER(FIND("ACTUAL",Y25))),LEN(Y25)&lt;=16))+32768*(OR(ISNUMBER(FIND("DESIC",Y25)),ISNUMBER(FIND("DESSIC",Y25)))))</f>
        <v/>
      </c>
      <c r="Z160">
        <f>IF(Z25="",0,2*(OR(ISNUMBER(FIND("WORKCENTER",Z25)),AND(LEFT(Z25,4)="LINE",NOT(ISNUMBER(FIND("STATUS",Z25))))))+4*(OR(ISNUMBER(FIND("WORKORDER",Z25)),AND(LEFT(Z25,2)="WO",OR(ISNUMBER(FIND("NUM",Z25)),RIGHT(Z25,2)="NO"))))+8*(LEFT(Z25,3)="SEQ")+16*(AND(LEFT(Z25,4)="ITEM",NOT(ISNUMBER(FIND("DESC",Z25)))))+32*(AND(ISNUMBER(FIND("DESC",Z25)),NOT(ISNUMBER(FIND("CAP",Z25)))))+64*(OR(RIGHT(Z25,5)="COUNT",RIGHT(Z25,2)="CT"))+128*(ISNUMBER(FIND("BULK",Z25)))+256*(ISNUMBER(FIND("SIZE",Z25)))+512*(LEFT(Z25,3)="CAP")+1024*(ISNUMBER(FIND("ALLERG",Z25)))+2048*(OR(ISNUMBER(FIND("REMARK",Z25)),ISNUMBER(FIND("COMMENT",Z25))))+4096*(OR(ISNUMBER(FIND("QTY",Z25)),ISNUMBER(FIND("QUANTITY",Z25))))+8192*(AND(OR(ISNUMBER(FIND("COMPLETE",Z25)),ISNUMBER(FIND("PCT",Z25)),ISNUMBER(FIND("PERCENT",Z25))),NOT(ISNUMBER(FIND("ACTUAL",Z25))),LEN(Z25)&lt;=16))+32768*(OR(ISNUMBER(FIND("DESIC",Z25)),ISNUMBER(FIND("DESSIC",Z25)))))</f>
        <v/>
      </c>
      <c r="AA160">
        <f>IF(AA25="",0,2*(OR(ISNUMBER(FIND("WORKCENTER",AA25)),AND(LEFT(AA25,4)="LINE",NOT(ISNUMBER(FIND("STATUS",AA25))))))+4*(OR(ISNUMBER(FIND("WORKORDER",AA25)),AND(LEFT(AA25,2)="WO",OR(ISNUMBER(FIND("NUM",AA25)),RIGHT(AA25,2)="NO"))))+8*(LEFT(AA25,3)="SEQ")+16*(AND(LEFT(AA25,4)="ITEM",NOT(ISNUMBER(FIND("DESC",AA25)))))+32*(AND(ISNUMBER(FIND("DESC",AA25)),NOT(ISNUMBER(FIND("CAP",AA25)))))+64*(OR(RIGHT(AA25,5)="COUNT",RIGHT(AA25,2)="CT"))+128*(ISNUMBER(FIND("BULK",AA25)))+256*(ISNUMBER(FIND("SIZE",AA25)))+512*(LEFT(AA25,3)="CAP")+1024*(ISNUMBER(FIND("ALLERG",AA25)))+2048*(OR(ISNUMBER(FIND("REMARK",AA25)),ISNUMBER(FIND("COMMENT",AA25))))+4096*(OR(ISNUMBER(FIND("QTY",AA25)),ISNUMBER(FIND("QUANTITY",AA25))))+8192*(AND(OR(ISNUMBER(FIND("COMPLETE",AA25)),ISNUMBER(FIND("PCT",AA25)),ISNUMBER(FIND("PERCENT",AA25))),NOT(ISNUMBER(FIND("ACTUAL",AA25))),LEN(AA25)&lt;=16))+32768*(OR(ISNUMBER(FIND("DESIC",AA25)),ISNUMBER(FIND("DESSIC",AA25)))))</f>
        <v/>
      </c>
      <c r="AB160">
        <f>IF(AB25="",0,2*(OR(ISNUMBER(FIND("WORKCENTER",AB25)),AND(LEFT(AB25,4)="LINE",NOT(ISNUMBER(FIND("STATUS",AB25))))))+4*(OR(ISNUMBER(FIND("WORKORDER",AB25)),AND(LEFT(AB25,2)="WO",OR(ISNUMBER(FIND("NUM",AB25)),RIGHT(AB25,2)="NO"))))+8*(LEFT(AB25,3)="SEQ")+16*(AND(LEFT(AB25,4)="ITEM",NOT(ISNUMBER(FIND("DESC",AB25)))))+32*(AND(ISNUMBER(FIND("DESC",AB25)),NOT(ISNUMBER(FIND("CAP",AB25)))))+64*(OR(RIGHT(AB25,5)="COUNT",RIGHT(AB25,2)="CT"))+128*(ISNUMBER(FIND("BULK",AB25)))+256*(ISNUMBER(FIND("SIZE",AB25)))+512*(LEFT(AB25,3)="CAP")+1024*(ISNUMBER(FIND("ALLERG",AB25)))+2048*(OR(ISNUMBER(FIND("REMARK",AB25)),ISNUMBER(FIND("COMMENT",AB25))))+4096*(OR(ISNUMBER(FIND("QTY",AB25)),ISNUMBER(FIND("QUANTITY",AB25))))+8192*(AND(OR(ISNUMBER(FIND("COMPLETE",AB25)),ISNUMBER(FIND("PCT",AB25)),ISNUMBER(FIND("PERCENT",AB25))),NOT(ISNUMBER(FIND("ACTUAL",AB25))),LEN(AB25)&lt;=16))+32768*(OR(ISNUMBER(FIND("DESIC",AB25)),ISNUMBER(FIND("DESSIC",AB25)))))</f>
        <v/>
      </c>
      <c r="AC160">
        <f>IF(AC25="",0,2*(OR(ISNUMBER(FIND("WORKCENTER",AC25)),AND(LEFT(AC25,4)="LINE",NOT(ISNUMBER(FIND("STATUS",AC25))))))+4*(OR(ISNUMBER(FIND("WORKORDER",AC25)),AND(LEFT(AC25,2)="WO",OR(ISNUMBER(FIND("NUM",AC25)),RIGHT(AC25,2)="NO"))))+8*(LEFT(AC25,3)="SEQ")+16*(AND(LEFT(AC25,4)="ITEM",NOT(ISNUMBER(FIND("DESC",AC25)))))+32*(AND(ISNUMBER(FIND("DESC",AC25)),NOT(ISNUMBER(FIND("CAP",AC25)))))+64*(OR(RIGHT(AC25,5)="COUNT",RIGHT(AC25,2)="CT"))+128*(ISNUMBER(FIND("BULK",AC25)))+256*(ISNUMBER(FIND("SIZE",AC25)))+512*(LEFT(AC25,3)="CAP")+1024*(ISNUMBER(FIND("ALLERG",AC25)))+2048*(OR(ISNUMBER(FIND("REMARK",AC25)),ISNUMBER(FIND("COMMENT",AC25))))+4096*(OR(ISNUMBER(FIND("QTY",AC25)),ISNUMBER(FIND("QUANTITY",AC25))))+8192*(AND(OR(ISNUMBER(FIND("COMPLETE",AC25)),ISNUMBER(FIND("PCT",AC25)),ISNUMBER(FIND("PERCENT",AC25))),NOT(ISNUMBER(FIND("ACTUAL",AC25))),LEN(AC25)&lt;=16))+32768*(OR(ISNUMBER(FIND("DESIC",AC25)),ISNUMBER(FIND("DESSIC",AC25)))))</f>
        <v/>
      </c>
      <c r="AD160">
        <f>IF(AD25="",0,2*(OR(ISNUMBER(FIND("WORKCENTER",AD25)),AND(LEFT(AD25,4)="LINE",NOT(ISNUMBER(FIND("STATUS",AD25))))))+4*(OR(ISNUMBER(FIND("WORKORDER",AD25)),AND(LEFT(AD25,2)="WO",OR(ISNUMBER(FIND("NUM",AD25)),RIGHT(AD25,2)="NO"))))+8*(LEFT(AD25,3)="SEQ")+16*(AND(LEFT(AD25,4)="ITEM",NOT(ISNUMBER(FIND("DESC",AD25)))))+32*(AND(ISNUMBER(FIND("DESC",AD25)),NOT(ISNUMBER(FIND("CAP",AD25)))))+64*(OR(RIGHT(AD25,5)="COUNT",RIGHT(AD25,2)="CT"))+128*(ISNUMBER(FIND("BULK",AD25)))+256*(ISNUMBER(FIND("SIZE",AD25)))+512*(LEFT(AD25,3)="CAP")+1024*(ISNUMBER(FIND("ALLERG",AD25)))+2048*(OR(ISNUMBER(FIND("REMARK",AD25)),ISNUMBER(FIND("COMMENT",AD25))))+4096*(OR(ISNUMBER(FIND("QTY",AD25)),ISNUMBER(FIND("QUANTITY",AD25))))+8192*(AND(OR(ISNUMBER(FIND("COMPLETE",AD25)),ISNUMBER(FIND("PCT",AD25)),ISNUMBER(FIND("PERCENT",AD25))),NOT(ISNUMBER(FIND("ACTUAL",AD25))),LEN(AD25)&lt;=16))+32768*(OR(ISNUMBER(FIND("DESIC",AD25)),ISNUMBER(FIND("DESSIC",AD25)))))</f>
        <v/>
      </c>
      <c r="AE160">
        <f>IF(AE25="",0,2*(OR(ISNUMBER(FIND("WORKCENTER",AE25)),AND(LEFT(AE25,4)="LINE",NOT(ISNUMBER(FIND("STATUS",AE25))))))+4*(OR(ISNUMBER(FIND("WORKORDER",AE25)),AND(LEFT(AE25,2)="WO",OR(ISNUMBER(FIND("NUM",AE25)),RIGHT(AE25,2)="NO"))))+8*(LEFT(AE25,3)="SEQ")+16*(AND(LEFT(AE25,4)="ITEM",NOT(ISNUMBER(FIND("DESC",AE25)))))+32*(AND(ISNUMBER(FIND("DESC",AE25)),NOT(ISNUMBER(FIND("CAP",AE25)))))+64*(OR(RIGHT(AE25,5)="COUNT",RIGHT(AE25,2)="CT"))+128*(ISNUMBER(FIND("BULK",AE25)))+256*(ISNUMBER(FIND("SIZE",AE25)))+512*(LEFT(AE25,3)="CAP")+1024*(ISNUMBER(FIND("ALLERG",AE25)))+2048*(OR(ISNUMBER(FIND("REMARK",AE25)),ISNUMBER(FIND("COMMENT",AE25))))+4096*(OR(ISNUMBER(FIND("QTY",AE25)),ISNUMBER(FIND("QUANTITY",AE25))))+8192*(AND(OR(ISNUMBER(FIND("COMPLETE",AE25)),ISNUMBER(FIND("PCT",AE25)),ISNUMBER(FIND("PERCENT",AE25))),NOT(ISNUMBER(FIND("ACTUAL",AE25))),LEN(AE25)&lt;=16))+32768*(OR(ISNUMBER(FIND("DESIC",AE25)),ISNUMBER(FIND("DESSIC",AE25)))))</f>
        <v/>
      </c>
      <c r="AF160">
        <f>IF(AF25="",0,2*(OR(ISNUMBER(FIND("WORKCENTER",AF25)),AND(LEFT(AF25,4)="LINE",NOT(ISNUMBER(FIND("STATUS",AF25))))))+4*(OR(ISNUMBER(FIND("WORKORDER",AF25)),AND(LEFT(AF25,2)="WO",OR(ISNUMBER(FIND("NUM",AF25)),RIGHT(AF25,2)="NO"))))+8*(LEFT(AF25,3)="SEQ")+16*(AND(LEFT(AF25,4)="ITEM",NOT(ISNUMBER(FIND("DESC",AF25)))))+32*(AND(ISNUMBER(FIND("DESC",AF25)),NOT(ISNUMBER(FIND("CAP",AF25)))))+64*(OR(RIGHT(AF25,5)="COUNT",RIGHT(AF25,2)="CT"))+128*(ISNUMBER(FIND("BULK",AF25)))+256*(ISNUMBER(FIND("SIZE",AF25)))+512*(LEFT(AF25,3)="CAP")+1024*(ISNUMBER(FIND("ALLERG",AF25)))+2048*(OR(ISNUMBER(FIND("REMARK",AF25)),ISNUMBER(FIND("COMMENT",AF25))))+4096*(OR(ISNUMBER(FIND("QTY",AF25)),ISNUMBER(FIND("QUANTITY",AF25))))+8192*(AND(OR(ISNUMBER(FIND("COMPLETE",AF25)),ISNUMBER(FIND("PCT",AF25)),ISNUMBER(FIND("PERCENT",AF25))),NOT(ISNUMBER(FIND("ACTUAL",AF25))),LEN(AF25)&lt;=16))+32768*(OR(ISNUMBER(FIND("DESIC",AF25)),ISNUMBER(FIND("DESSIC",AF25)))))</f>
        <v/>
      </c>
      <c r="AG160">
        <f>IF(AG25="",0,2*(OR(ISNUMBER(FIND("WORKCENTER",AG25)),AND(LEFT(AG25,4)="LINE",NOT(ISNUMBER(FIND("STATUS",AG25))))))+4*(OR(ISNUMBER(FIND("WORKORDER",AG25)),AND(LEFT(AG25,2)="WO",OR(ISNUMBER(FIND("NUM",AG25)),RIGHT(AG25,2)="NO"))))+8*(LEFT(AG25,3)="SEQ")+16*(AND(LEFT(AG25,4)="ITEM",NOT(ISNUMBER(FIND("DESC",AG25)))))+32*(AND(ISNUMBER(FIND("DESC",AG25)),NOT(ISNUMBER(FIND("CAP",AG25)))))+64*(OR(RIGHT(AG25,5)="COUNT",RIGHT(AG25,2)="CT"))+128*(ISNUMBER(FIND("BULK",AG25)))+256*(ISNUMBER(FIND("SIZE",AG25)))+512*(LEFT(AG25,3)="CAP")+1024*(ISNUMBER(FIND("ALLERG",AG25)))+2048*(OR(ISNUMBER(FIND("REMARK",AG25)),ISNUMBER(FIND("COMMENT",AG25))))+4096*(OR(ISNUMBER(FIND("QTY",AG25)),ISNUMBER(FIND("QUANTITY",AG25))))+8192*(AND(OR(ISNUMBER(FIND("COMPLETE",AG25)),ISNUMBER(FIND("PCT",AG25)),ISNUMBER(FIND("PERCENT",AG25))),NOT(ISNUMBER(FIND("ACTUAL",AG25))),LEN(AG25)&lt;=16))+32768*(OR(ISNUMBER(FIND("DESIC",AG25)),ISNUMBER(FIND("DESSIC",AG25)))))</f>
        <v/>
      </c>
      <c r="AH160">
        <f>IF(AH25="",0,2*(OR(ISNUMBER(FIND("WORKCENTER",AH25)),AND(LEFT(AH25,4)="LINE",NOT(ISNUMBER(FIND("STATUS",AH25))))))+4*(OR(ISNUMBER(FIND("WORKORDER",AH25)),AND(LEFT(AH25,2)="WO",OR(ISNUMBER(FIND("NUM",AH25)),RIGHT(AH25,2)="NO"))))+8*(LEFT(AH25,3)="SEQ")+16*(AND(LEFT(AH25,4)="ITEM",NOT(ISNUMBER(FIND("DESC",AH25)))))+32*(AND(ISNUMBER(FIND("DESC",AH25)),NOT(ISNUMBER(FIND("CAP",AH25)))))+64*(OR(RIGHT(AH25,5)="COUNT",RIGHT(AH25,2)="CT"))+128*(ISNUMBER(FIND("BULK",AH25)))+256*(ISNUMBER(FIND("SIZE",AH25)))+512*(LEFT(AH25,3)="CAP")+1024*(ISNUMBER(FIND("ALLERG",AH25)))+2048*(OR(ISNUMBER(FIND("REMARK",AH25)),ISNUMBER(FIND("COMMENT",AH25))))+4096*(OR(ISNUMBER(FIND("QTY",AH25)),ISNUMBER(FIND("QUANTITY",AH25))))+8192*(AND(OR(ISNUMBER(FIND("COMPLETE",AH25)),ISNUMBER(FIND("PCT",AH25)),ISNUMBER(FIND("PERCENT",AH25))),NOT(ISNUMBER(FIND("ACTUAL",AH25))),LEN(AH25)&lt;=16))+32768*(OR(ISNUMBER(FIND("DESIC",AH25)),ISNUMBER(FIND("DESSIC",AH25)))))</f>
        <v/>
      </c>
      <c r="AI160">
        <f>IF(AI25="",0,2*(OR(ISNUMBER(FIND("WORKCENTER",AI25)),AND(LEFT(AI25,4)="LINE",NOT(ISNUMBER(FIND("STATUS",AI25))))))+4*(OR(ISNUMBER(FIND("WORKORDER",AI25)),AND(LEFT(AI25,2)="WO",OR(ISNUMBER(FIND("NUM",AI25)),RIGHT(AI25,2)="NO"))))+8*(LEFT(AI25,3)="SEQ")+16*(AND(LEFT(AI25,4)="ITEM",NOT(ISNUMBER(FIND("DESC",AI25)))))+32*(AND(ISNUMBER(FIND("DESC",AI25)),NOT(ISNUMBER(FIND("CAP",AI25)))))+64*(OR(RIGHT(AI25,5)="COUNT",RIGHT(AI25,2)="CT"))+128*(ISNUMBER(FIND("BULK",AI25)))+256*(ISNUMBER(FIND("SIZE",AI25)))+512*(LEFT(AI25,3)="CAP")+1024*(ISNUMBER(FIND("ALLERG",AI25)))+2048*(OR(ISNUMBER(FIND("REMARK",AI25)),ISNUMBER(FIND("COMMENT",AI25))))+4096*(OR(ISNUMBER(FIND("QTY",AI25)),ISNUMBER(FIND("QUANTITY",AI25))))+8192*(AND(OR(ISNUMBER(FIND("COMPLETE",AI25)),ISNUMBER(FIND("PCT",AI25)),ISNUMBER(FIND("PERCENT",AI25))),NOT(ISNUMBER(FIND("ACTUAL",AI25))),LEN(AI25)&lt;=16))+32768*(OR(ISNUMBER(FIND("DESIC",AI25)),ISNUMBER(FIND("DESSIC",AI25)))))</f>
        <v/>
      </c>
      <c r="AJ160">
        <f>IF(AJ25="",0,2*(OR(ISNUMBER(FIND("WORKCENTER",AJ25)),AND(LEFT(AJ25,4)="LINE",NOT(ISNUMBER(FIND("STATUS",AJ25))))))+4*(OR(ISNUMBER(FIND("WORKORDER",AJ25)),AND(LEFT(AJ25,2)="WO",OR(ISNUMBER(FIND("NUM",AJ25)),RIGHT(AJ25,2)="NO"))))+8*(LEFT(AJ25,3)="SEQ")+16*(AND(LEFT(AJ25,4)="ITEM",NOT(ISNUMBER(FIND("DESC",AJ25)))))+32*(AND(ISNUMBER(FIND("DESC",AJ25)),NOT(ISNUMBER(FIND("CAP",AJ25)))))+64*(OR(RIGHT(AJ25,5)="COUNT",RIGHT(AJ25,2)="CT"))+128*(ISNUMBER(FIND("BULK",AJ25)))+256*(ISNUMBER(FIND("SIZE",AJ25)))+512*(LEFT(AJ25,3)="CAP")+1024*(ISNUMBER(FIND("ALLERG",AJ25)))+2048*(OR(ISNUMBER(FIND("REMARK",AJ25)),ISNUMBER(FIND("COMMENT",AJ25))))+4096*(OR(ISNUMBER(FIND("QTY",AJ25)),ISNUMBER(FIND("QUANTITY",AJ25))))+8192*(AND(OR(ISNUMBER(FIND("COMPLETE",AJ25)),ISNUMBER(FIND("PCT",AJ25)),ISNUMBER(FIND("PERCENT",AJ25))),NOT(ISNUMBER(FIND("ACTUAL",AJ25))),LEN(AJ25)&lt;=16))+32768*(OR(ISNUMBER(FIND("DESIC",AJ25)),ISNUMBER(FIND("DESSIC",AJ25)))))</f>
        <v/>
      </c>
      <c r="AK160">
        <f>IF(AK25="",0,2*(OR(ISNUMBER(FIND("WORKCENTER",AK25)),AND(LEFT(AK25,4)="LINE",NOT(ISNUMBER(FIND("STATUS",AK25))))))+4*(OR(ISNUMBER(FIND("WORKORDER",AK25)),AND(LEFT(AK25,2)="WO",OR(ISNUMBER(FIND("NUM",AK25)),RIGHT(AK25,2)="NO"))))+8*(LEFT(AK25,3)="SEQ")+16*(AND(LEFT(AK25,4)="ITEM",NOT(ISNUMBER(FIND("DESC",AK25)))))+32*(AND(ISNUMBER(FIND("DESC",AK25)),NOT(ISNUMBER(FIND("CAP",AK25)))))+64*(OR(RIGHT(AK25,5)="COUNT",RIGHT(AK25,2)="CT"))+128*(ISNUMBER(FIND("BULK",AK25)))+256*(ISNUMBER(FIND("SIZE",AK25)))+512*(LEFT(AK25,3)="CAP")+1024*(ISNUMBER(FIND("ALLERG",AK25)))+2048*(OR(ISNUMBER(FIND("REMARK",AK25)),ISNUMBER(FIND("COMMENT",AK25))))+4096*(OR(ISNUMBER(FIND("QTY",AK25)),ISNUMBER(FIND("QUANTITY",AK25))))+8192*(AND(OR(ISNUMBER(FIND("COMPLETE",AK25)),ISNUMBER(FIND("PCT",AK25)),ISNUMBER(FIND("PERCENT",AK25))),NOT(ISNUMBER(FIND("ACTUAL",AK25))),LEN(AK25)&lt;=16))+32768*(OR(ISNUMBER(FIND("DESIC",AK25)),ISNUMBER(FIND("DESSIC",AK25)))))</f>
        <v/>
      </c>
      <c r="AL160">
        <f>IF(AL25="",0,2*(OR(ISNUMBER(FIND("WORKCENTER",AL25)),AND(LEFT(AL25,4)="LINE",NOT(ISNUMBER(FIND("STATUS",AL25))))))+4*(OR(ISNUMBER(FIND("WORKORDER",AL25)),AND(LEFT(AL25,2)="WO",OR(ISNUMBER(FIND("NUM",AL25)),RIGHT(AL25,2)="NO"))))+8*(LEFT(AL25,3)="SEQ")+16*(AND(LEFT(AL25,4)="ITEM",NOT(ISNUMBER(FIND("DESC",AL25)))))+32*(AND(ISNUMBER(FIND("DESC",AL25)),NOT(ISNUMBER(FIND("CAP",AL25)))))+64*(OR(RIGHT(AL25,5)="COUNT",RIGHT(AL25,2)="CT"))+128*(ISNUMBER(FIND("BULK",AL25)))+256*(ISNUMBER(FIND("SIZE",AL25)))+512*(LEFT(AL25,3)="CAP")+1024*(ISNUMBER(FIND("ALLERG",AL25)))+2048*(OR(ISNUMBER(FIND("REMARK",AL25)),ISNUMBER(FIND("COMMENT",AL25))))+4096*(OR(ISNUMBER(FIND("QTY",AL25)),ISNUMBER(FIND("QUANTITY",AL25))))+8192*(AND(OR(ISNUMBER(FIND("COMPLETE",AL25)),ISNUMBER(FIND("PCT",AL25)),ISNUMBER(FIND("PERCENT",AL25))),NOT(ISNUMBER(FIND("ACTUAL",AL25))),LEN(AL25)&lt;=16))+32768*(OR(ISNUMBER(FIND("DESIC",AL25)),ISNUMBER(FIND("DESSIC",AL25)))))</f>
        <v/>
      </c>
      <c r="AM160">
        <f>IF(AM25="",0,2*(OR(ISNUMBER(FIND("WORKCENTER",AM25)),AND(LEFT(AM25,4)="LINE",NOT(ISNUMBER(FIND("STATUS",AM25))))))+4*(OR(ISNUMBER(FIND("WORKORDER",AM25)),AND(LEFT(AM25,2)="WO",OR(ISNUMBER(FIND("NUM",AM25)),RIGHT(AM25,2)="NO"))))+8*(LEFT(AM25,3)="SEQ")+16*(AND(LEFT(AM25,4)="ITEM",NOT(ISNUMBER(FIND("DESC",AM25)))))+32*(AND(ISNUMBER(FIND("DESC",AM25)),NOT(ISNUMBER(FIND("CAP",AM25)))))+64*(OR(RIGHT(AM25,5)="COUNT",RIGHT(AM25,2)="CT"))+128*(ISNUMBER(FIND("BULK",AM25)))+256*(ISNUMBER(FIND("SIZE",AM25)))+512*(LEFT(AM25,3)="CAP")+1024*(ISNUMBER(FIND("ALLERG",AM25)))+2048*(OR(ISNUMBER(FIND("REMARK",AM25)),ISNUMBER(FIND("COMMENT",AM25))))+4096*(OR(ISNUMBER(FIND("QTY",AM25)),ISNUMBER(FIND("QUANTITY",AM25))))+8192*(AND(OR(ISNUMBER(FIND("COMPLETE",AM25)),ISNUMBER(FIND("PCT",AM25)),ISNUMBER(FIND("PERCENT",AM25))),NOT(ISNUMBER(FIND("ACTUAL",AM25))),LEN(AM25)&lt;=16))+32768*(OR(ISNUMBER(FIND("DESIC",AM25)),ISNUMBER(FIND("DESSIC",AM25)))))</f>
        <v/>
      </c>
      <c r="AN160">
        <f>IF(AN25="",0,2*(OR(ISNUMBER(FIND("WORKCENTER",AN25)),AND(LEFT(AN25,4)="LINE",NOT(ISNUMBER(FIND("STATUS",AN25))))))+4*(OR(ISNUMBER(FIND("WORKORDER",AN25)),AND(LEFT(AN25,2)="WO",OR(ISNUMBER(FIND("NUM",AN25)),RIGHT(AN25,2)="NO"))))+8*(LEFT(AN25,3)="SEQ")+16*(AND(LEFT(AN25,4)="ITEM",NOT(ISNUMBER(FIND("DESC",AN25)))))+32*(AND(ISNUMBER(FIND("DESC",AN25)),NOT(ISNUMBER(FIND("CAP",AN25)))))+64*(OR(RIGHT(AN25,5)="COUNT",RIGHT(AN25,2)="CT"))+128*(ISNUMBER(FIND("BULK",AN25)))+256*(ISNUMBER(FIND("SIZE",AN25)))+512*(LEFT(AN25,3)="CAP")+1024*(ISNUMBER(FIND("ALLERG",AN25)))+2048*(OR(ISNUMBER(FIND("REMARK",AN25)),ISNUMBER(FIND("COMMENT",AN25))))+4096*(OR(ISNUMBER(FIND("QTY",AN25)),ISNUMBER(FIND("QUANTITY",AN25))))+8192*(AND(OR(ISNUMBER(FIND("COMPLETE",AN25)),ISNUMBER(FIND("PCT",AN25)),ISNUMBER(FIND("PERCENT",AN25))),NOT(ISNUMBER(FIND("ACTUAL",AN25))),LEN(AN25)&lt;=16))+32768*(OR(ISNUMBER(FIND("DESIC",AN25)),ISNUMBER(FIND("DESSIC",AN25)))))</f>
        <v/>
      </c>
      <c r="AO160">
        <f>IF(AO25="",0,2*(OR(ISNUMBER(FIND("WORKCENTER",AO25)),AND(LEFT(AO25,4)="LINE",NOT(ISNUMBER(FIND("STATUS",AO25))))))+4*(OR(ISNUMBER(FIND("WORKORDER",AO25)),AND(LEFT(AO25,2)="WO",OR(ISNUMBER(FIND("NUM",AO25)),RIGHT(AO25,2)="NO"))))+8*(LEFT(AO25,3)="SEQ")+16*(AND(LEFT(AO25,4)="ITEM",NOT(ISNUMBER(FIND("DESC",AO25)))))+32*(AND(ISNUMBER(FIND("DESC",AO25)),NOT(ISNUMBER(FIND("CAP",AO25)))))+64*(OR(RIGHT(AO25,5)="COUNT",RIGHT(AO25,2)="CT"))+128*(ISNUMBER(FIND("BULK",AO25)))+256*(ISNUMBER(FIND("SIZE",AO25)))+512*(LEFT(AO25,3)="CAP")+1024*(ISNUMBER(FIND("ALLERG",AO25)))+2048*(OR(ISNUMBER(FIND("REMARK",AO25)),ISNUMBER(FIND("COMMENT",AO25))))+4096*(OR(ISNUMBER(FIND("QTY",AO25)),ISNUMBER(FIND("QUANTITY",AO25))))+8192*(AND(OR(ISNUMBER(FIND("COMPLETE",AO25)),ISNUMBER(FIND("PCT",AO25)),ISNUMBER(FIND("PERCENT",AO25))),NOT(ISNUMBER(FIND("ACTUAL",AO25))),LEN(AO25)&lt;=16))+32768*(OR(ISNUMBER(FIND("DESIC",AO25)),ISNUMBER(FIND("DESSIC",AO25)))))</f>
        <v/>
      </c>
      <c r="AP160">
        <f>IF(AP25="",0,2*(OR(ISNUMBER(FIND("WORKCENTER",AP25)),AND(LEFT(AP25,4)="LINE",NOT(ISNUMBER(FIND("STATUS",AP25))))))+4*(OR(ISNUMBER(FIND("WORKORDER",AP25)),AND(LEFT(AP25,2)="WO",OR(ISNUMBER(FIND("NUM",AP25)),RIGHT(AP25,2)="NO"))))+8*(LEFT(AP25,3)="SEQ")+16*(AND(LEFT(AP25,4)="ITEM",NOT(ISNUMBER(FIND("DESC",AP25)))))+32*(AND(ISNUMBER(FIND("DESC",AP25)),NOT(ISNUMBER(FIND("CAP",AP25)))))+64*(OR(RIGHT(AP25,5)="COUNT",RIGHT(AP25,2)="CT"))+128*(ISNUMBER(FIND("BULK",AP25)))+256*(ISNUMBER(FIND("SIZE",AP25)))+512*(LEFT(AP25,3)="CAP")+1024*(ISNUMBER(FIND("ALLERG",AP25)))+2048*(OR(ISNUMBER(FIND("REMARK",AP25)),ISNUMBER(FIND("COMMENT",AP25))))+4096*(OR(ISNUMBER(FIND("QTY",AP25)),ISNUMBER(FIND("QUANTITY",AP25))))+8192*(AND(OR(ISNUMBER(FIND("COMPLETE",AP25)),ISNUMBER(FIND("PCT",AP25)),ISNUMBER(FIND("PERCENT",AP25))),NOT(ISNUMBER(FIND("ACTUAL",AP25))),LEN(AP25)&lt;=16))+32768*(OR(ISNUMBER(FIND("DESIC",AP25)),ISNUMBER(FIND("DESSIC",AP25)))))</f>
        <v/>
      </c>
      <c r="AQ160">
        <f>IF(AQ25="",0,2*(OR(ISNUMBER(FIND("WORKCENTER",AQ25)),AND(LEFT(AQ25,4)="LINE",NOT(ISNUMBER(FIND("STATUS",AQ25))))))+4*(OR(ISNUMBER(FIND("WORKORDER",AQ25)),AND(LEFT(AQ25,2)="WO",OR(ISNUMBER(FIND("NUM",AQ25)),RIGHT(AQ25,2)="NO"))))+8*(LEFT(AQ25,3)="SEQ")+16*(AND(LEFT(AQ25,4)="ITEM",NOT(ISNUMBER(FIND("DESC",AQ25)))))+32*(AND(ISNUMBER(FIND("DESC",AQ25)),NOT(ISNUMBER(FIND("CAP",AQ25)))))+64*(OR(RIGHT(AQ25,5)="COUNT",RIGHT(AQ25,2)="CT"))+128*(ISNUMBER(FIND("BULK",AQ25)))+256*(ISNUMBER(FIND("SIZE",AQ25)))+512*(LEFT(AQ25,3)="CAP")+1024*(ISNUMBER(FIND("ALLERG",AQ25)))+2048*(OR(ISNUMBER(FIND("REMARK",AQ25)),ISNUMBER(FIND("COMMENT",AQ25))))+4096*(OR(ISNUMBER(FIND("QTY",AQ25)),ISNUMBER(FIND("QUANTITY",AQ25))))+8192*(AND(OR(ISNUMBER(FIND("COMPLETE",AQ25)),ISNUMBER(FIND("PCT",AQ25)),ISNUMBER(FIND("PERCENT",AQ25))),NOT(ISNUMBER(FIND("ACTUAL",AQ25))),LEN(AQ25)&lt;=16))+32768*(OR(ISNUMBER(FIND("DESIC",AQ25)),ISNUMBER(FIND("DESSIC",AQ25)))))</f>
        <v/>
      </c>
      <c r="AR160">
        <f>IF(AR25="",0,2*(OR(ISNUMBER(FIND("WORKCENTER",AR25)),AND(LEFT(AR25,4)="LINE",NOT(ISNUMBER(FIND("STATUS",AR25))))))+4*(OR(ISNUMBER(FIND("WORKORDER",AR25)),AND(LEFT(AR25,2)="WO",OR(ISNUMBER(FIND("NUM",AR25)),RIGHT(AR25,2)="NO"))))+8*(LEFT(AR25,3)="SEQ")+16*(AND(LEFT(AR25,4)="ITEM",NOT(ISNUMBER(FIND("DESC",AR25)))))+32*(AND(ISNUMBER(FIND("DESC",AR25)),NOT(ISNUMBER(FIND("CAP",AR25)))))+64*(OR(RIGHT(AR25,5)="COUNT",RIGHT(AR25,2)="CT"))+128*(ISNUMBER(FIND("BULK",AR25)))+256*(ISNUMBER(FIND("SIZE",AR25)))+512*(LEFT(AR25,3)="CAP")+1024*(ISNUMBER(FIND("ALLERG",AR25)))+2048*(OR(ISNUMBER(FIND("REMARK",AR25)),ISNUMBER(FIND("COMMENT",AR25))))+4096*(OR(ISNUMBER(FIND("QTY",AR25)),ISNUMBER(FIND("QUANTITY",AR25))))+8192*(AND(OR(ISNUMBER(FIND("COMPLETE",AR25)),ISNUMBER(FIND("PCT",AR25)),ISNUMBER(FIND("PERCENT",AR25))),NOT(ISNUMBER(FIND("ACTUAL",AR25))),LEN(AR25)&lt;=16))+32768*(OR(ISNUMBER(FIND("DESIC",AR25)),ISNUMBER(FIND("DESSIC",AR25)))))</f>
        <v/>
      </c>
      <c r="AS160">
        <f>IF(AS25="",0,2*(OR(ISNUMBER(FIND("WORKCENTER",AS25)),AND(LEFT(AS25,4)="LINE",NOT(ISNUMBER(FIND("STATUS",AS25))))))+4*(OR(ISNUMBER(FIND("WORKORDER",AS25)),AND(LEFT(AS25,2)="WO",OR(ISNUMBER(FIND("NUM",AS25)),RIGHT(AS25,2)="NO"))))+8*(LEFT(AS25,3)="SEQ")+16*(AND(LEFT(AS25,4)="ITEM",NOT(ISNUMBER(FIND("DESC",AS25)))))+32*(AND(ISNUMBER(FIND("DESC",AS25)),NOT(ISNUMBER(FIND("CAP",AS25)))))+64*(OR(RIGHT(AS25,5)="COUNT",RIGHT(AS25,2)="CT"))+128*(ISNUMBER(FIND("BULK",AS25)))+256*(ISNUMBER(FIND("SIZE",AS25)))+512*(LEFT(AS25,3)="CAP")+1024*(ISNUMBER(FIND("ALLERG",AS25)))+2048*(OR(ISNUMBER(FIND("REMARK",AS25)),ISNUMBER(FIND("COMMENT",AS25))))+4096*(OR(ISNUMBER(FIND("QTY",AS25)),ISNUMBER(FIND("QUANTITY",AS25))))+8192*(AND(OR(ISNUMBER(FIND("COMPLETE",AS25)),ISNUMBER(FIND("PCT",AS25)),ISNUMBER(FIND("PERCENT",AS25))),NOT(ISNUMBER(FIND("ACTUAL",AS25))),LEN(AS25)&lt;=16))+32768*(OR(ISNUMBER(FIND("DESIC",AS25)),ISNUMBER(FIND("DESSIC",AS25)))))</f>
        <v/>
      </c>
      <c r="AT160">
        <f>IF(AT25="",0,2*(OR(ISNUMBER(FIND("WORKCENTER",AT25)),AND(LEFT(AT25,4)="LINE",NOT(ISNUMBER(FIND("STATUS",AT25))))))+4*(OR(ISNUMBER(FIND("WORKORDER",AT25)),AND(LEFT(AT25,2)="WO",OR(ISNUMBER(FIND("NUM",AT25)),RIGHT(AT25,2)="NO"))))+8*(LEFT(AT25,3)="SEQ")+16*(AND(LEFT(AT25,4)="ITEM",NOT(ISNUMBER(FIND("DESC",AT25)))))+32*(AND(ISNUMBER(FIND("DESC",AT25)),NOT(ISNUMBER(FIND("CAP",AT25)))))+64*(OR(RIGHT(AT25,5)="COUNT",RIGHT(AT25,2)="CT"))+128*(ISNUMBER(FIND("BULK",AT25)))+256*(ISNUMBER(FIND("SIZE",AT25)))+512*(LEFT(AT25,3)="CAP")+1024*(ISNUMBER(FIND("ALLERG",AT25)))+2048*(OR(ISNUMBER(FIND("REMARK",AT25)),ISNUMBER(FIND("COMMENT",AT25))))+4096*(OR(ISNUMBER(FIND("QTY",AT25)),ISNUMBER(FIND("QUANTITY",AT25))))+8192*(AND(OR(ISNUMBER(FIND("COMPLETE",AT25)),ISNUMBER(FIND("PCT",AT25)),ISNUMBER(FIND("PERCENT",AT25))),NOT(ISNUMBER(FIND("ACTUAL",AT25))),LEN(AT25)&lt;=16))+32768*(OR(ISNUMBER(FIND("DESIC",AT25)),ISNUMBER(FIND("DESSIC",AT25)))))</f>
        <v/>
      </c>
      <c r="AU160">
        <f>IF(AU25="",0,2*(OR(ISNUMBER(FIND("WORKCENTER",AU25)),AND(LEFT(AU25,4)="LINE",NOT(ISNUMBER(FIND("STATUS",AU25))))))+4*(OR(ISNUMBER(FIND("WORKORDER",AU25)),AND(LEFT(AU25,2)="WO",OR(ISNUMBER(FIND("NUM",AU25)),RIGHT(AU25,2)="NO"))))+8*(LEFT(AU25,3)="SEQ")+16*(AND(LEFT(AU25,4)="ITEM",NOT(ISNUMBER(FIND("DESC",AU25)))))+32*(AND(ISNUMBER(FIND("DESC",AU25)),NOT(ISNUMBER(FIND("CAP",AU25)))))+64*(OR(RIGHT(AU25,5)="COUNT",RIGHT(AU25,2)="CT"))+128*(ISNUMBER(FIND("BULK",AU25)))+256*(ISNUMBER(FIND("SIZE",AU25)))+512*(LEFT(AU25,3)="CAP")+1024*(ISNUMBER(FIND("ALLERG",AU25)))+2048*(OR(ISNUMBER(FIND("REMARK",AU25)),ISNUMBER(FIND("COMMENT",AU25))))+4096*(OR(ISNUMBER(FIND("QTY",AU25)),ISNUMBER(FIND("QUANTITY",AU25))))+8192*(AND(OR(ISNUMBER(FIND("COMPLETE",AU25)),ISNUMBER(FIND("PCT",AU25)),ISNUMBER(FIND("PERCENT",AU25))),NOT(ISNUMBER(FIND("ACTUAL",AU25))),LEN(AU25)&lt;=16))+32768*(OR(ISNUMBER(FIND("DESIC",AU25)),ISNUMBER(FIND("DESSIC",AU25)))))</f>
        <v/>
      </c>
      <c r="AV160">
        <f>IF(AV25="",0,2*(OR(ISNUMBER(FIND("WORKCENTER",AV25)),AND(LEFT(AV25,4)="LINE",NOT(ISNUMBER(FIND("STATUS",AV25))))))+4*(OR(ISNUMBER(FIND("WORKORDER",AV25)),AND(LEFT(AV25,2)="WO",OR(ISNUMBER(FIND("NUM",AV25)),RIGHT(AV25,2)="NO"))))+8*(LEFT(AV25,3)="SEQ")+16*(AND(LEFT(AV25,4)="ITEM",NOT(ISNUMBER(FIND("DESC",AV25)))))+32*(AND(ISNUMBER(FIND("DESC",AV25)),NOT(ISNUMBER(FIND("CAP",AV25)))))+64*(OR(RIGHT(AV25,5)="COUNT",RIGHT(AV25,2)="CT"))+128*(ISNUMBER(FIND("BULK",AV25)))+256*(ISNUMBER(FIND("SIZE",AV25)))+512*(LEFT(AV25,3)="CAP")+1024*(ISNUMBER(FIND("ALLERG",AV25)))+2048*(OR(ISNUMBER(FIND("REMARK",AV25)),ISNUMBER(FIND("COMMENT",AV25))))+4096*(OR(ISNUMBER(FIND("QTY",AV25)),ISNUMBER(FIND("QUANTITY",AV25))))+8192*(AND(OR(ISNUMBER(FIND("COMPLETE",AV25)),ISNUMBER(FIND("PCT",AV25)),ISNUMBER(FIND("PERCENT",AV25))),NOT(ISNUMBER(FIND("ACTUAL",AV25))),LEN(AV25)&lt;=16))+32768*(OR(ISNUMBER(FIND("DESIC",AV25)),ISNUMBER(FIND("DESSIC",AV25)))))</f>
        <v/>
      </c>
      <c r="AW160">
        <f>IF(AW25="",0,2*(OR(ISNUMBER(FIND("WORKCENTER",AW25)),AND(LEFT(AW25,4)="LINE",NOT(ISNUMBER(FIND("STATUS",AW25))))))+4*(OR(ISNUMBER(FIND("WORKORDER",AW25)),AND(LEFT(AW25,2)="WO",OR(ISNUMBER(FIND("NUM",AW25)),RIGHT(AW25,2)="NO"))))+8*(LEFT(AW25,3)="SEQ")+16*(AND(LEFT(AW25,4)="ITEM",NOT(ISNUMBER(FIND("DESC",AW25)))))+32*(AND(ISNUMBER(FIND("DESC",AW25)),NOT(ISNUMBER(FIND("CAP",AW25)))))+64*(OR(RIGHT(AW25,5)="COUNT",RIGHT(AW25,2)="CT"))+128*(ISNUMBER(FIND("BULK",AW25)))+256*(ISNUMBER(FIND("SIZE",AW25)))+512*(LEFT(AW25,3)="CAP")+1024*(ISNUMBER(FIND("ALLERG",AW25)))+2048*(OR(ISNUMBER(FIND("REMARK",AW25)),ISNUMBER(FIND("COMMENT",AW25))))+4096*(OR(ISNUMBER(FIND("QTY",AW25)),ISNUMBER(FIND("QUANTITY",AW25))))+8192*(AND(OR(ISNUMBER(FIND("COMPLETE",AW25)),ISNUMBER(FIND("PCT",AW25)),ISNUMBER(FIND("PERCENT",AW25))),NOT(ISNUMBER(FIND("ACTUAL",AW25))),LEN(AW25)&lt;=16))+32768*(OR(ISNUMBER(FIND("DESIC",AW25)),ISNUMBER(FIND("DESSIC",AW25)))))</f>
        <v/>
      </c>
      <c r="AX160">
        <f>IF(AX25="",0,2*(OR(ISNUMBER(FIND("WORKCENTER",AX25)),AND(LEFT(AX25,4)="LINE",NOT(ISNUMBER(FIND("STATUS",AX25))))))+4*(OR(ISNUMBER(FIND("WORKORDER",AX25)),AND(LEFT(AX25,2)="WO",OR(ISNUMBER(FIND("NUM",AX25)),RIGHT(AX25,2)="NO"))))+8*(LEFT(AX25,3)="SEQ")+16*(AND(LEFT(AX25,4)="ITEM",NOT(ISNUMBER(FIND("DESC",AX25)))))+32*(AND(ISNUMBER(FIND("DESC",AX25)),NOT(ISNUMBER(FIND("CAP",AX25)))))+64*(OR(RIGHT(AX25,5)="COUNT",RIGHT(AX25,2)="CT"))+128*(ISNUMBER(FIND("BULK",AX25)))+256*(ISNUMBER(FIND("SIZE",AX25)))+512*(LEFT(AX25,3)="CAP")+1024*(ISNUMBER(FIND("ALLERG",AX25)))+2048*(OR(ISNUMBER(FIND("REMARK",AX25)),ISNUMBER(FIND("COMMENT",AX25))))+4096*(OR(ISNUMBER(FIND("QTY",AX25)),ISNUMBER(FIND("QUANTITY",AX25))))+8192*(AND(OR(ISNUMBER(FIND("COMPLETE",AX25)),ISNUMBER(FIND("PCT",AX25)),ISNUMBER(FIND("PERCENT",AX25))),NOT(ISNUMBER(FIND("ACTUAL",AX25))),LEN(AX25)&lt;=16))+32768*(OR(ISNUMBER(FIND("DESIC",AX25)),ISNUMBER(FIND("DESSIC",AX25)))))</f>
        <v/>
      </c>
      <c r="AY160">
        <f>IF(AY25="",0,2*(OR(ISNUMBER(FIND("WORKCENTER",AY25)),AND(LEFT(AY25,4)="LINE",NOT(ISNUMBER(FIND("STATUS",AY25))))))+4*(OR(ISNUMBER(FIND("WORKORDER",AY25)),AND(LEFT(AY25,2)="WO",OR(ISNUMBER(FIND("NUM",AY25)),RIGHT(AY25,2)="NO"))))+8*(LEFT(AY25,3)="SEQ")+16*(AND(LEFT(AY25,4)="ITEM",NOT(ISNUMBER(FIND("DESC",AY25)))))+32*(AND(ISNUMBER(FIND("DESC",AY25)),NOT(ISNUMBER(FIND("CAP",AY25)))))+64*(OR(RIGHT(AY25,5)="COUNT",RIGHT(AY25,2)="CT"))+128*(ISNUMBER(FIND("BULK",AY25)))+256*(ISNUMBER(FIND("SIZE",AY25)))+512*(LEFT(AY25,3)="CAP")+1024*(ISNUMBER(FIND("ALLERG",AY25)))+2048*(OR(ISNUMBER(FIND("REMARK",AY25)),ISNUMBER(FIND("COMMENT",AY25))))+4096*(OR(ISNUMBER(FIND("QTY",AY25)),ISNUMBER(FIND("QUANTITY",AY25))))+8192*(AND(OR(ISNUMBER(FIND("COMPLETE",AY25)),ISNUMBER(FIND("PCT",AY25)),ISNUMBER(FIND("PERCENT",AY25))),NOT(ISNUMBER(FIND("ACTUAL",AY25))),LEN(AY25)&lt;=16))+32768*(OR(ISNUMBER(FIND("DESIC",AY25)),ISNUMBER(FIND("DESSIC",AY25)))))</f>
        <v/>
      </c>
      <c r="AZ160">
        <f>IF(AZ25="",0,2*(OR(ISNUMBER(FIND("WORKCENTER",AZ25)),AND(LEFT(AZ25,4)="LINE",NOT(ISNUMBER(FIND("STATUS",AZ25))))))+4*(OR(ISNUMBER(FIND("WORKORDER",AZ25)),AND(LEFT(AZ25,2)="WO",OR(ISNUMBER(FIND("NUM",AZ25)),RIGHT(AZ25,2)="NO"))))+8*(LEFT(AZ25,3)="SEQ")+16*(AND(LEFT(AZ25,4)="ITEM",NOT(ISNUMBER(FIND("DESC",AZ25)))))+32*(AND(ISNUMBER(FIND("DESC",AZ25)),NOT(ISNUMBER(FIND("CAP",AZ25)))))+64*(OR(RIGHT(AZ25,5)="COUNT",RIGHT(AZ25,2)="CT"))+128*(ISNUMBER(FIND("BULK",AZ25)))+256*(ISNUMBER(FIND("SIZE",AZ25)))+512*(LEFT(AZ25,3)="CAP")+1024*(ISNUMBER(FIND("ALLERG",AZ25)))+2048*(OR(ISNUMBER(FIND("REMARK",AZ25)),ISNUMBER(FIND("COMMENT",AZ25))))+4096*(OR(ISNUMBER(FIND("QTY",AZ25)),ISNUMBER(FIND("QUANTITY",AZ25))))+8192*(AND(OR(ISNUMBER(FIND("COMPLETE",AZ25)),ISNUMBER(FIND("PCT",AZ25)),ISNUMBER(FIND("PERCENT",AZ25))),NOT(ISNUMBER(FIND("ACTUAL",AZ25))),LEN(AZ25)&lt;=16))+32768*(OR(ISNUMBER(FIND("DESIC",AZ25)),ISNUMBER(FIND("DESSIC",AZ25)))))</f>
        <v/>
      </c>
      <c r="BA160">
        <f>IF(BA25="",0,2*(OR(ISNUMBER(FIND("WORKCENTER",BA25)),AND(LEFT(BA25,4)="LINE",NOT(ISNUMBER(FIND("STATUS",BA25))))))+4*(OR(ISNUMBER(FIND("WORKORDER",BA25)),AND(LEFT(BA25,2)="WO",OR(ISNUMBER(FIND("NUM",BA25)),RIGHT(BA25,2)="NO"))))+8*(LEFT(BA25,3)="SEQ")+16*(AND(LEFT(BA25,4)="ITEM",NOT(ISNUMBER(FIND("DESC",BA25)))))+32*(AND(ISNUMBER(FIND("DESC",BA25)),NOT(ISNUMBER(FIND("CAP",BA25)))))+64*(OR(RIGHT(BA25,5)="COUNT",RIGHT(BA25,2)="CT"))+128*(ISNUMBER(FIND("BULK",BA25)))+256*(ISNUMBER(FIND("SIZE",BA25)))+512*(LEFT(BA25,3)="CAP")+1024*(ISNUMBER(FIND("ALLERG",BA25)))+2048*(OR(ISNUMBER(FIND("REMARK",BA25)),ISNUMBER(FIND("COMMENT",BA25))))+4096*(OR(ISNUMBER(FIND("QTY",BA25)),ISNUMBER(FIND("QUANTITY",BA25))))+8192*(AND(OR(ISNUMBER(FIND("COMPLETE",BA25)),ISNUMBER(FIND("PCT",BA25)),ISNUMBER(FIND("PERCENT",BA25))),NOT(ISNUMBER(FIND("ACTUAL",BA25))),LEN(BA25)&lt;=16))+32768*(OR(ISNUMBER(FIND("DESIC",BA25)),ISNUMBER(FIND("DESSIC",BA25)))))</f>
        <v/>
      </c>
      <c r="BB160">
        <f>IF(BB25="",0,2*(OR(ISNUMBER(FIND("WORKCENTER",BB25)),AND(LEFT(BB25,4)="LINE",NOT(ISNUMBER(FIND("STATUS",BB25))))))+4*(OR(ISNUMBER(FIND("WORKORDER",BB25)),AND(LEFT(BB25,2)="WO",OR(ISNUMBER(FIND("NUM",BB25)),RIGHT(BB25,2)="NO"))))+8*(LEFT(BB25,3)="SEQ")+16*(AND(LEFT(BB25,4)="ITEM",NOT(ISNUMBER(FIND("DESC",BB25)))))+32*(AND(ISNUMBER(FIND("DESC",BB25)),NOT(ISNUMBER(FIND("CAP",BB25)))))+64*(OR(RIGHT(BB25,5)="COUNT",RIGHT(BB25,2)="CT"))+128*(ISNUMBER(FIND("BULK",BB25)))+256*(ISNUMBER(FIND("SIZE",BB25)))+512*(LEFT(BB25,3)="CAP")+1024*(ISNUMBER(FIND("ALLERG",BB25)))+2048*(OR(ISNUMBER(FIND("REMARK",BB25)),ISNUMBER(FIND("COMMENT",BB25))))+4096*(OR(ISNUMBER(FIND("QTY",BB25)),ISNUMBER(FIND("QUANTITY",BB25))))+8192*(AND(OR(ISNUMBER(FIND("COMPLETE",BB25)),ISNUMBER(FIND("PCT",BB25)),ISNUMBER(FIND("PERCENT",BB25))),NOT(ISNUMBER(FIND("ACTUAL",BB25))),LEN(BB25)&lt;=16))+32768*(OR(ISNUMBER(FIND("DESIC",BB25)),ISNUMBER(FIND("DESSIC",BB25)))))</f>
        <v/>
      </c>
      <c r="BC160">
        <f>IF(BC25="",0,2*(OR(ISNUMBER(FIND("WORKCENTER",BC25)),AND(LEFT(BC25,4)="LINE",NOT(ISNUMBER(FIND("STATUS",BC25))))))+4*(OR(ISNUMBER(FIND("WORKORDER",BC25)),AND(LEFT(BC25,2)="WO",OR(ISNUMBER(FIND("NUM",BC25)),RIGHT(BC25,2)="NO"))))+8*(LEFT(BC25,3)="SEQ")+16*(AND(LEFT(BC25,4)="ITEM",NOT(ISNUMBER(FIND("DESC",BC25)))))+32*(AND(ISNUMBER(FIND("DESC",BC25)),NOT(ISNUMBER(FIND("CAP",BC25)))))+64*(OR(RIGHT(BC25,5)="COUNT",RIGHT(BC25,2)="CT"))+128*(ISNUMBER(FIND("BULK",BC25)))+256*(ISNUMBER(FIND("SIZE",BC25)))+512*(LEFT(BC25,3)="CAP")+1024*(ISNUMBER(FIND("ALLERG",BC25)))+2048*(OR(ISNUMBER(FIND("REMARK",BC25)),ISNUMBER(FIND("COMMENT",BC25))))+4096*(OR(ISNUMBER(FIND("QTY",BC25)),ISNUMBER(FIND("QUANTITY",BC25))))+8192*(AND(OR(ISNUMBER(FIND("COMPLETE",BC25)),ISNUMBER(FIND("PCT",BC25)),ISNUMBER(FIND("PERCENT",BC25))),NOT(ISNUMBER(FIND("ACTUAL",BC25))),LEN(BC25)&lt;=16))+32768*(OR(ISNUMBER(FIND("DESIC",BC25)),ISNUMBER(FIND("DESSIC",BC25)))))</f>
        <v/>
      </c>
      <c r="BD160">
        <f>IF(BD25="",0,2*(OR(ISNUMBER(FIND("WORKCENTER",BD25)),AND(LEFT(BD25,4)="LINE",NOT(ISNUMBER(FIND("STATUS",BD25))))))+4*(OR(ISNUMBER(FIND("WORKORDER",BD25)),AND(LEFT(BD25,2)="WO",OR(ISNUMBER(FIND("NUM",BD25)),RIGHT(BD25,2)="NO"))))+8*(LEFT(BD25,3)="SEQ")+16*(AND(LEFT(BD25,4)="ITEM",NOT(ISNUMBER(FIND("DESC",BD25)))))+32*(AND(ISNUMBER(FIND("DESC",BD25)),NOT(ISNUMBER(FIND("CAP",BD25)))))+64*(OR(RIGHT(BD25,5)="COUNT",RIGHT(BD25,2)="CT"))+128*(ISNUMBER(FIND("BULK",BD25)))+256*(ISNUMBER(FIND("SIZE",BD25)))+512*(LEFT(BD25,3)="CAP")+1024*(ISNUMBER(FIND("ALLERG",BD25)))+2048*(OR(ISNUMBER(FIND("REMARK",BD25)),ISNUMBER(FIND("COMMENT",BD25))))+4096*(OR(ISNUMBER(FIND("QTY",BD25)),ISNUMBER(FIND("QUANTITY",BD25))))+8192*(AND(OR(ISNUMBER(FIND("COMPLETE",BD25)),ISNUMBER(FIND("PCT",BD25)),ISNUMBER(FIND("PERCENT",BD25))),NOT(ISNUMBER(FIND("ACTUAL",BD25))),LEN(BD25)&lt;=16))+32768*(OR(ISNUMBER(FIND("DESIC",BD25)),ISNUMBER(FIND("DESSIC",BD25)))))</f>
        <v/>
      </c>
      <c r="BE160">
        <f>IF(BE25="",0,2*(OR(ISNUMBER(FIND("WORKCENTER",BE25)),AND(LEFT(BE25,4)="LINE",NOT(ISNUMBER(FIND("STATUS",BE25))))))+4*(OR(ISNUMBER(FIND("WORKORDER",BE25)),AND(LEFT(BE25,2)="WO",OR(ISNUMBER(FIND("NUM",BE25)),RIGHT(BE25,2)="NO"))))+8*(LEFT(BE25,3)="SEQ")+16*(AND(LEFT(BE25,4)="ITEM",NOT(ISNUMBER(FIND("DESC",BE25)))))+32*(AND(ISNUMBER(FIND("DESC",BE25)),NOT(ISNUMBER(FIND("CAP",BE25)))))+64*(OR(RIGHT(BE25,5)="COUNT",RIGHT(BE25,2)="CT"))+128*(ISNUMBER(FIND("BULK",BE25)))+256*(ISNUMBER(FIND("SIZE",BE25)))+512*(LEFT(BE25,3)="CAP")+1024*(ISNUMBER(FIND("ALLERG",BE25)))+2048*(OR(ISNUMBER(FIND("REMARK",BE25)),ISNUMBER(FIND("COMMENT",BE25))))+4096*(OR(ISNUMBER(FIND("QTY",BE25)),ISNUMBER(FIND("QUANTITY",BE25))))+8192*(AND(OR(ISNUMBER(FIND("COMPLETE",BE25)),ISNUMBER(FIND("PCT",BE25)),ISNUMBER(FIND("PERCENT",BE25))),NOT(ISNUMBER(FIND("ACTUAL",BE25))),LEN(BE25)&lt;=16))+32768*(OR(ISNUMBER(FIND("DESIC",BE25)),ISNUMBER(FIND("DESSIC",BE25)))))</f>
        <v/>
      </c>
      <c r="BF160">
        <f>IF(BF25="",0,2*(OR(ISNUMBER(FIND("WORKCENTER",BF25)),AND(LEFT(BF25,4)="LINE",NOT(ISNUMBER(FIND("STATUS",BF25))))))+4*(OR(ISNUMBER(FIND("WORKORDER",BF25)),AND(LEFT(BF25,2)="WO",OR(ISNUMBER(FIND("NUM",BF25)),RIGHT(BF25,2)="NO"))))+8*(LEFT(BF25,3)="SEQ")+16*(AND(LEFT(BF25,4)="ITEM",NOT(ISNUMBER(FIND("DESC",BF25)))))+32*(AND(ISNUMBER(FIND("DESC",BF25)),NOT(ISNUMBER(FIND("CAP",BF25)))))+64*(OR(RIGHT(BF25,5)="COUNT",RIGHT(BF25,2)="CT"))+128*(ISNUMBER(FIND("BULK",BF25)))+256*(ISNUMBER(FIND("SIZE",BF25)))+512*(LEFT(BF25,3)="CAP")+1024*(ISNUMBER(FIND("ALLERG",BF25)))+2048*(OR(ISNUMBER(FIND("REMARK",BF25)),ISNUMBER(FIND("COMMENT",BF25))))+4096*(OR(ISNUMBER(FIND("QTY",BF25)),ISNUMBER(FIND("QUANTITY",BF25))))+8192*(AND(OR(ISNUMBER(FIND("COMPLETE",BF25)),ISNUMBER(FIND("PCT",BF25)),ISNUMBER(FIND("PERCENT",BF25))),NOT(ISNUMBER(FIND("ACTUAL",BF25))),LEN(BF25)&lt;=16))+32768*(OR(ISNUMBER(FIND("DESIC",BF25)),ISNUMBER(FIND("DESSIC",BF25)))))</f>
        <v/>
      </c>
      <c r="BG160">
        <f>IF(BG25="",0,2*(OR(ISNUMBER(FIND("WORKCENTER",BG25)),AND(LEFT(BG25,4)="LINE",NOT(ISNUMBER(FIND("STATUS",BG25))))))+4*(OR(ISNUMBER(FIND("WORKORDER",BG25)),AND(LEFT(BG25,2)="WO",OR(ISNUMBER(FIND("NUM",BG25)),RIGHT(BG25,2)="NO"))))+8*(LEFT(BG25,3)="SEQ")+16*(AND(LEFT(BG25,4)="ITEM",NOT(ISNUMBER(FIND("DESC",BG25)))))+32*(AND(ISNUMBER(FIND("DESC",BG25)),NOT(ISNUMBER(FIND("CAP",BG25)))))+64*(OR(RIGHT(BG25,5)="COUNT",RIGHT(BG25,2)="CT"))+128*(ISNUMBER(FIND("BULK",BG25)))+256*(ISNUMBER(FIND("SIZE",BG25)))+512*(LEFT(BG25,3)="CAP")+1024*(ISNUMBER(FIND("ALLERG",BG25)))+2048*(OR(ISNUMBER(FIND("REMARK",BG25)),ISNUMBER(FIND("COMMENT",BG25))))+4096*(OR(ISNUMBER(FIND("QTY",BG25)),ISNUMBER(FIND("QUANTITY",BG25))))+8192*(AND(OR(ISNUMBER(FIND("COMPLETE",BG25)),ISNUMBER(FIND("PCT",BG25)),ISNUMBER(FIND("PERCENT",BG25))),NOT(ISNUMBER(FIND("ACTUAL",BG25))),LEN(BG25)&lt;=16))+32768*(OR(ISNUMBER(FIND("DESIC",BG25)),ISNUMBER(FIND("DESSIC",BG25)))))</f>
        <v/>
      </c>
      <c r="BH160">
        <f>IF(BH25="",0,2*(OR(ISNUMBER(FIND("WORKCENTER",BH25)),AND(LEFT(BH25,4)="LINE",NOT(ISNUMBER(FIND("STATUS",BH25))))))+4*(OR(ISNUMBER(FIND("WORKORDER",BH25)),AND(LEFT(BH25,2)="WO",OR(ISNUMBER(FIND("NUM",BH25)),RIGHT(BH25,2)="NO"))))+8*(LEFT(BH25,3)="SEQ")+16*(AND(LEFT(BH25,4)="ITEM",NOT(ISNUMBER(FIND("DESC",BH25)))))+32*(AND(ISNUMBER(FIND("DESC",BH25)),NOT(ISNUMBER(FIND("CAP",BH25)))))+64*(OR(RIGHT(BH25,5)="COUNT",RIGHT(BH25,2)="CT"))+128*(ISNUMBER(FIND("BULK",BH25)))+256*(ISNUMBER(FIND("SIZE",BH25)))+512*(LEFT(BH25,3)="CAP")+1024*(ISNUMBER(FIND("ALLERG",BH25)))+2048*(OR(ISNUMBER(FIND("REMARK",BH25)),ISNUMBER(FIND("COMMENT",BH25))))+4096*(OR(ISNUMBER(FIND("QTY",BH25)),ISNUMBER(FIND("QUANTITY",BH25))))+8192*(AND(OR(ISNUMBER(FIND("COMPLETE",BH25)),ISNUMBER(FIND("PCT",BH25)),ISNUMBER(FIND("PERCENT",BH25))),NOT(ISNUMBER(FIND("ACTUAL",BH25))),LEN(BH25)&lt;=16))+32768*(OR(ISNUMBER(FIND("DESIC",BH25)),ISNUMBER(FIND("DESSIC",BH25)))))</f>
        <v/>
      </c>
      <c r="BI160">
        <f>IF(BI25="",0,2*(OR(ISNUMBER(FIND("WORKCENTER",BI25)),AND(LEFT(BI25,4)="LINE",NOT(ISNUMBER(FIND("STATUS",BI25))))))+4*(OR(ISNUMBER(FIND("WORKORDER",BI25)),AND(LEFT(BI25,2)="WO",OR(ISNUMBER(FIND("NUM",BI25)),RIGHT(BI25,2)="NO"))))+8*(LEFT(BI25,3)="SEQ")+16*(AND(LEFT(BI25,4)="ITEM",NOT(ISNUMBER(FIND("DESC",BI25)))))+32*(AND(ISNUMBER(FIND("DESC",BI25)),NOT(ISNUMBER(FIND("CAP",BI25)))))+64*(OR(RIGHT(BI25,5)="COUNT",RIGHT(BI25,2)="CT"))+128*(ISNUMBER(FIND("BULK",BI25)))+256*(ISNUMBER(FIND("SIZE",BI25)))+512*(LEFT(BI25,3)="CAP")+1024*(ISNUMBER(FIND("ALLERG",BI25)))+2048*(OR(ISNUMBER(FIND("REMARK",BI25)),ISNUMBER(FIND("COMMENT",BI25))))+4096*(OR(ISNUMBER(FIND("QTY",BI25)),ISNUMBER(FIND("QUANTITY",BI25))))+8192*(AND(OR(ISNUMBER(FIND("COMPLETE",BI25)),ISNUMBER(FIND("PCT",BI25)),ISNUMBER(FIND("PERCENT",BI25))),NOT(ISNUMBER(FIND("ACTUAL",BI25))),LEN(BI25)&lt;=16))+32768*(OR(ISNUMBER(FIND("DESIC",BI25)),ISNUMBER(FIND("DESSIC",BI25)))))</f>
        <v/>
      </c>
      <c r="BJ160">
        <f>IF(BJ25="",0,2*(OR(ISNUMBER(FIND("WORKCENTER",BJ25)),AND(LEFT(BJ25,4)="LINE",NOT(ISNUMBER(FIND("STATUS",BJ25))))))+4*(OR(ISNUMBER(FIND("WORKORDER",BJ25)),AND(LEFT(BJ25,2)="WO",OR(ISNUMBER(FIND("NUM",BJ25)),RIGHT(BJ25,2)="NO"))))+8*(LEFT(BJ25,3)="SEQ")+16*(AND(LEFT(BJ25,4)="ITEM",NOT(ISNUMBER(FIND("DESC",BJ25)))))+32*(AND(ISNUMBER(FIND("DESC",BJ25)),NOT(ISNUMBER(FIND("CAP",BJ25)))))+64*(OR(RIGHT(BJ25,5)="COUNT",RIGHT(BJ25,2)="CT"))+128*(ISNUMBER(FIND("BULK",BJ25)))+256*(ISNUMBER(FIND("SIZE",BJ25)))+512*(LEFT(BJ25,3)="CAP")+1024*(ISNUMBER(FIND("ALLERG",BJ25)))+2048*(OR(ISNUMBER(FIND("REMARK",BJ25)),ISNUMBER(FIND("COMMENT",BJ25))))+4096*(OR(ISNUMBER(FIND("QTY",BJ25)),ISNUMBER(FIND("QUANTITY",BJ25))))+8192*(AND(OR(ISNUMBER(FIND("COMPLETE",BJ25)),ISNUMBER(FIND("PCT",BJ25)),ISNUMBER(FIND("PERCENT",BJ25))),NOT(ISNUMBER(FIND("ACTUAL",BJ25))),LEN(BJ25)&lt;=16))+32768*(OR(ISNUMBER(FIND("DESIC",BJ25)),ISNUMBER(FIND("DESSIC",BJ25)))))</f>
        <v/>
      </c>
      <c r="BK160">
        <f>IF(BK25="",0,2*(OR(ISNUMBER(FIND("WORKCENTER",BK25)),AND(LEFT(BK25,4)="LINE",NOT(ISNUMBER(FIND("STATUS",BK25))))))+4*(OR(ISNUMBER(FIND("WORKORDER",BK25)),AND(LEFT(BK25,2)="WO",OR(ISNUMBER(FIND("NUM",BK25)),RIGHT(BK25,2)="NO"))))+8*(LEFT(BK25,3)="SEQ")+16*(AND(LEFT(BK25,4)="ITEM",NOT(ISNUMBER(FIND("DESC",BK25)))))+32*(AND(ISNUMBER(FIND("DESC",BK25)),NOT(ISNUMBER(FIND("CAP",BK25)))))+64*(OR(RIGHT(BK25,5)="COUNT",RIGHT(BK25,2)="CT"))+128*(ISNUMBER(FIND("BULK",BK25)))+256*(ISNUMBER(FIND("SIZE",BK25)))+512*(LEFT(BK25,3)="CAP")+1024*(ISNUMBER(FIND("ALLERG",BK25)))+2048*(OR(ISNUMBER(FIND("REMARK",BK25)),ISNUMBER(FIND("COMMENT",BK25))))+4096*(OR(ISNUMBER(FIND("QTY",BK25)),ISNUMBER(FIND("QUANTITY",BK25))))+8192*(AND(OR(ISNUMBER(FIND("COMPLETE",BK25)),ISNUMBER(FIND("PCT",BK25)),ISNUMBER(FIND("PERCENT",BK25))),NOT(ISNUMBER(FIND("ACTUAL",BK25))),LEN(BK25)&lt;=16))+32768*(OR(ISNUMBER(FIND("DESIC",BK25)),ISNUMBER(FIND("DESSIC",BK25)))))</f>
        <v/>
      </c>
      <c r="BL160">
        <f>IF(BL25="",0,2*(OR(ISNUMBER(FIND("WORKCENTER",BL25)),AND(LEFT(BL25,4)="LINE",NOT(ISNUMBER(FIND("STATUS",BL25))))))+4*(OR(ISNUMBER(FIND("WORKORDER",BL25)),AND(LEFT(BL25,2)="WO",OR(ISNUMBER(FIND("NUM",BL25)),RIGHT(BL25,2)="NO"))))+8*(LEFT(BL25,3)="SEQ")+16*(AND(LEFT(BL25,4)="ITEM",NOT(ISNUMBER(FIND("DESC",BL25)))))+32*(AND(ISNUMBER(FIND("DESC",BL25)),NOT(ISNUMBER(FIND("CAP",BL25)))))+64*(OR(RIGHT(BL25,5)="COUNT",RIGHT(BL25,2)="CT"))+128*(ISNUMBER(FIND("BULK",BL25)))+256*(ISNUMBER(FIND("SIZE",BL25)))+512*(LEFT(BL25,3)="CAP")+1024*(ISNUMBER(FIND("ALLERG",BL25)))+2048*(OR(ISNUMBER(FIND("REMARK",BL25)),ISNUMBER(FIND("COMMENT",BL25))))+4096*(OR(ISNUMBER(FIND("QTY",BL25)),ISNUMBER(FIND("QUANTITY",BL25))))+8192*(AND(OR(ISNUMBER(FIND("COMPLETE",BL25)),ISNUMBER(FIND("PCT",BL25)),ISNUMBER(FIND("PERCENT",BL25))),NOT(ISNUMBER(FIND("ACTUAL",BL25))),LEN(BL25)&lt;=16))+32768*(OR(ISNUMBER(FIND("DESIC",BL25)),ISNUMBER(FIND("DESSIC",BL25)))))</f>
        <v/>
      </c>
      <c r="BM160">
        <f>IF(BM25="",0,2*(OR(ISNUMBER(FIND("WORKCENTER",BM25)),AND(LEFT(BM25,4)="LINE",NOT(ISNUMBER(FIND("STATUS",BM25))))))+4*(OR(ISNUMBER(FIND("WORKORDER",BM25)),AND(LEFT(BM25,2)="WO",OR(ISNUMBER(FIND("NUM",BM25)),RIGHT(BM25,2)="NO"))))+8*(LEFT(BM25,3)="SEQ")+16*(AND(LEFT(BM25,4)="ITEM",NOT(ISNUMBER(FIND("DESC",BM25)))))+32*(AND(ISNUMBER(FIND("DESC",BM25)),NOT(ISNUMBER(FIND("CAP",BM25)))))+64*(OR(RIGHT(BM25,5)="COUNT",RIGHT(BM25,2)="CT"))+128*(ISNUMBER(FIND("BULK",BM25)))+256*(ISNUMBER(FIND("SIZE",BM25)))+512*(LEFT(BM25,3)="CAP")+1024*(ISNUMBER(FIND("ALLERG",BM25)))+2048*(OR(ISNUMBER(FIND("REMARK",BM25)),ISNUMBER(FIND("COMMENT",BM25))))+4096*(OR(ISNUMBER(FIND("QTY",BM25)),ISNUMBER(FIND("QUANTITY",BM25))))+8192*(AND(OR(ISNUMBER(FIND("COMPLETE",BM25)),ISNUMBER(FIND("PCT",BM25)),ISNUMBER(FIND("PERCENT",BM25))),NOT(ISNUMBER(FIND("ACTUAL",BM25))),LEN(BM25)&lt;=16))+32768*(OR(ISNUMBER(FIND("DESIC",BM25)),ISNUMBER(FIND("DESSIC",BM25)))))</f>
        <v/>
      </c>
      <c r="BN160">
        <f>IF(BN25="",0,2*(OR(ISNUMBER(FIND("WORKCENTER",BN25)),AND(LEFT(BN25,4)="LINE",NOT(ISNUMBER(FIND("STATUS",BN25))))))+4*(OR(ISNUMBER(FIND("WORKORDER",BN25)),AND(LEFT(BN25,2)="WO",OR(ISNUMBER(FIND("NUM",BN25)),RIGHT(BN25,2)="NO"))))+8*(LEFT(BN25,3)="SEQ")+16*(AND(LEFT(BN25,4)="ITEM",NOT(ISNUMBER(FIND("DESC",BN25)))))+32*(AND(ISNUMBER(FIND("DESC",BN25)),NOT(ISNUMBER(FIND("CAP",BN25)))))+64*(OR(RIGHT(BN25,5)="COUNT",RIGHT(BN25,2)="CT"))+128*(ISNUMBER(FIND("BULK",BN25)))+256*(ISNUMBER(FIND("SIZE",BN25)))+512*(LEFT(BN25,3)="CAP")+1024*(ISNUMBER(FIND("ALLERG",BN25)))+2048*(OR(ISNUMBER(FIND("REMARK",BN25)),ISNUMBER(FIND("COMMENT",BN25))))+4096*(OR(ISNUMBER(FIND("QTY",BN25)),ISNUMBER(FIND("QUANTITY",BN25))))+8192*(AND(OR(ISNUMBER(FIND("COMPLETE",BN25)),ISNUMBER(FIND("PCT",BN25)),ISNUMBER(FIND("PERCENT",BN25))),NOT(ISNUMBER(FIND("ACTUAL",BN25))),LEN(BN25)&lt;=16))+32768*(OR(ISNUMBER(FIND("DESIC",BN25)),ISNUMBER(FIND("DESSIC",BN25)))))</f>
        <v/>
      </c>
      <c r="BO160">
        <f>IF(BO25="",0,2*(OR(ISNUMBER(FIND("WORKCENTER",BO25)),AND(LEFT(BO25,4)="LINE",NOT(ISNUMBER(FIND("STATUS",BO25))))))+4*(OR(ISNUMBER(FIND("WORKORDER",BO25)),AND(LEFT(BO25,2)="WO",OR(ISNUMBER(FIND("NUM",BO25)),RIGHT(BO25,2)="NO"))))+8*(LEFT(BO25,3)="SEQ")+16*(AND(LEFT(BO25,4)="ITEM",NOT(ISNUMBER(FIND("DESC",BO25)))))+32*(AND(ISNUMBER(FIND("DESC",BO25)),NOT(ISNUMBER(FIND("CAP",BO25)))))+64*(OR(RIGHT(BO25,5)="COUNT",RIGHT(BO25,2)="CT"))+128*(ISNUMBER(FIND("BULK",BO25)))+256*(ISNUMBER(FIND("SIZE",BO25)))+512*(LEFT(BO25,3)="CAP")+1024*(ISNUMBER(FIND("ALLERG",BO25)))+2048*(OR(ISNUMBER(FIND("REMARK",BO25)),ISNUMBER(FIND("COMMENT",BO25))))+4096*(OR(ISNUMBER(FIND("QTY",BO25)),ISNUMBER(FIND("QUANTITY",BO25))))+8192*(AND(OR(ISNUMBER(FIND("COMPLETE",BO25)),ISNUMBER(FIND("PCT",BO25)),ISNUMBER(FIND("PERCENT",BO25))),NOT(ISNUMBER(FIND("ACTUAL",BO25))),LEN(BO25)&lt;=16))+32768*(OR(ISNUMBER(FIND("DESIC",BO25)),ISNUMBER(FIND("DESSIC",BO25)))))</f>
        <v/>
      </c>
      <c r="BP160">
        <f>IF(BP25="",0,2*(OR(ISNUMBER(FIND("WORKCENTER",BP25)),AND(LEFT(BP25,4)="LINE",NOT(ISNUMBER(FIND("STATUS",BP25))))))+4*(OR(ISNUMBER(FIND("WORKORDER",BP25)),AND(LEFT(BP25,2)="WO",OR(ISNUMBER(FIND("NUM",BP25)),RIGHT(BP25,2)="NO"))))+8*(LEFT(BP25,3)="SEQ")+16*(AND(LEFT(BP25,4)="ITEM",NOT(ISNUMBER(FIND("DESC",BP25)))))+32*(AND(ISNUMBER(FIND("DESC",BP25)),NOT(ISNUMBER(FIND("CAP",BP25)))))+64*(OR(RIGHT(BP25,5)="COUNT",RIGHT(BP25,2)="CT"))+128*(ISNUMBER(FIND("BULK",BP25)))+256*(ISNUMBER(FIND("SIZE",BP25)))+512*(LEFT(BP25,3)="CAP")+1024*(ISNUMBER(FIND("ALLERG",BP25)))+2048*(OR(ISNUMBER(FIND("REMARK",BP25)),ISNUMBER(FIND("COMMENT",BP25))))+4096*(OR(ISNUMBER(FIND("QTY",BP25)),ISNUMBER(FIND("QUANTITY",BP25))))+8192*(AND(OR(ISNUMBER(FIND("COMPLETE",BP25)),ISNUMBER(FIND("PCT",BP25)),ISNUMBER(FIND("PERCENT",BP25))),NOT(ISNUMBER(FIND("ACTUAL",BP25))),LEN(BP25)&lt;=16))+32768*(OR(ISNUMBER(FIND("DESIC",BP25)),ISNUMBER(FIND("DESSIC",BP25)))))</f>
        <v/>
      </c>
      <c r="BQ160">
        <f>IF(BQ25="",0,2*(OR(ISNUMBER(FIND("WORKCENTER",BQ25)),AND(LEFT(BQ25,4)="LINE",NOT(ISNUMBER(FIND("STATUS",BQ25))))))+4*(OR(ISNUMBER(FIND("WORKORDER",BQ25)),AND(LEFT(BQ25,2)="WO",OR(ISNUMBER(FIND("NUM",BQ25)),RIGHT(BQ25,2)="NO"))))+8*(LEFT(BQ25,3)="SEQ")+16*(AND(LEFT(BQ25,4)="ITEM",NOT(ISNUMBER(FIND("DESC",BQ25)))))+32*(AND(ISNUMBER(FIND("DESC",BQ25)),NOT(ISNUMBER(FIND("CAP",BQ25)))))+64*(OR(RIGHT(BQ25,5)="COUNT",RIGHT(BQ25,2)="CT"))+128*(ISNUMBER(FIND("BULK",BQ25)))+256*(ISNUMBER(FIND("SIZE",BQ25)))+512*(LEFT(BQ25,3)="CAP")+1024*(ISNUMBER(FIND("ALLERG",BQ25)))+2048*(OR(ISNUMBER(FIND("REMARK",BQ25)),ISNUMBER(FIND("COMMENT",BQ25))))+4096*(OR(ISNUMBER(FIND("QTY",BQ25)),ISNUMBER(FIND("QUANTITY",BQ25))))+8192*(AND(OR(ISNUMBER(FIND("COMPLETE",BQ25)),ISNUMBER(FIND("PCT",BQ25)),ISNUMBER(FIND("PERCENT",BQ25))),NOT(ISNUMBER(FIND("ACTUAL",BQ25))),LEN(BQ25)&lt;=16))+32768*(OR(ISNUMBER(FIND("DESIC",BQ25)),ISNUMBER(FIND("DESSIC",BQ25)))))</f>
        <v/>
      </c>
      <c r="BR160">
        <f>IF(BR25="",0,2*(OR(ISNUMBER(FIND("WORKCENTER",BR25)),AND(LEFT(BR25,4)="LINE",NOT(ISNUMBER(FIND("STATUS",BR25))))))+4*(OR(ISNUMBER(FIND("WORKORDER",BR25)),AND(LEFT(BR25,2)="WO",OR(ISNUMBER(FIND("NUM",BR25)),RIGHT(BR25,2)="NO"))))+8*(LEFT(BR25,3)="SEQ")+16*(AND(LEFT(BR25,4)="ITEM",NOT(ISNUMBER(FIND("DESC",BR25)))))+32*(AND(ISNUMBER(FIND("DESC",BR25)),NOT(ISNUMBER(FIND("CAP",BR25)))))+64*(OR(RIGHT(BR25,5)="COUNT",RIGHT(BR25,2)="CT"))+128*(ISNUMBER(FIND("BULK",BR25)))+256*(ISNUMBER(FIND("SIZE",BR25)))+512*(LEFT(BR25,3)="CAP")+1024*(ISNUMBER(FIND("ALLERG",BR25)))+2048*(OR(ISNUMBER(FIND("REMARK",BR25)),ISNUMBER(FIND("COMMENT",BR25))))+4096*(OR(ISNUMBER(FIND("QTY",BR25)),ISNUMBER(FIND("QUANTITY",BR25))))+8192*(AND(OR(ISNUMBER(FIND("COMPLETE",BR25)),ISNUMBER(FIND("PCT",BR25)),ISNUMBER(FIND("PERCENT",BR25))),NOT(ISNUMBER(FIND("ACTUAL",BR25))),LEN(BR25)&lt;=16))+32768*(OR(ISNUMBER(FIND("DESIC",BR25)),ISNUMBER(FIND("DESSIC",BR25)))))</f>
        <v/>
      </c>
      <c r="BS160">
        <f>IF(BS25="",0,2*(OR(ISNUMBER(FIND("WORKCENTER",BS25)),AND(LEFT(BS25,4)="LINE",NOT(ISNUMBER(FIND("STATUS",BS25))))))+4*(OR(ISNUMBER(FIND("WORKORDER",BS25)),AND(LEFT(BS25,2)="WO",OR(ISNUMBER(FIND("NUM",BS25)),RIGHT(BS25,2)="NO"))))+8*(LEFT(BS25,3)="SEQ")+16*(AND(LEFT(BS25,4)="ITEM",NOT(ISNUMBER(FIND("DESC",BS25)))))+32*(AND(ISNUMBER(FIND("DESC",BS25)),NOT(ISNUMBER(FIND("CAP",BS25)))))+64*(OR(RIGHT(BS25,5)="COUNT",RIGHT(BS25,2)="CT"))+128*(ISNUMBER(FIND("BULK",BS25)))+256*(ISNUMBER(FIND("SIZE",BS25)))+512*(LEFT(BS25,3)="CAP")+1024*(ISNUMBER(FIND("ALLERG",BS25)))+2048*(OR(ISNUMBER(FIND("REMARK",BS25)),ISNUMBER(FIND("COMMENT",BS25))))+4096*(OR(ISNUMBER(FIND("QTY",BS25)),ISNUMBER(FIND("QUANTITY",BS25))))+8192*(AND(OR(ISNUMBER(FIND("COMPLETE",BS25)),ISNUMBER(FIND("PCT",BS25)),ISNUMBER(FIND("PERCENT",BS25))),NOT(ISNUMBER(FIND("ACTUAL",BS25))),LEN(BS25)&lt;=16))+32768*(OR(ISNUMBER(FIND("DESIC",BS25)),ISNUMBER(FIND("DESSIC",BS25)))))</f>
        <v/>
      </c>
      <c r="BT160">
        <f>IF(BT25="",0,2*(OR(ISNUMBER(FIND("WORKCENTER",BT25)),AND(LEFT(BT25,4)="LINE",NOT(ISNUMBER(FIND("STATUS",BT25))))))+4*(OR(ISNUMBER(FIND("WORKORDER",BT25)),AND(LEFT(BT25,2)="WO",OR(ISNUMBER(FIND("NUM",BT25)),RIGHT(BT25,2)="NO"))))+8*(LEFT(BT25,3)="SEQ")+16*(AND(LEFT(BT25,4)="ITEM",NOT(ISNUMBER(FIND("DESC",BT25)))))+32*(AND(ISNUMBER(FIND("DESC",BT25)),NOT(ISNUMBER(FIND("CAP",BT25)))))+64*(OR(RIGHT(BT25,5)="COUNT",RIGHT(BT25,2)="CT"))+128*(ISNUMBER(FIND("BULK",BT25)))+256*(ISNUMBER(FIND("SIZE",BT25)))+512*(LEFT(BT25,3)="CAP")+1024*(ISNUMBER(FIND("ALLERG",BT25)))+2048*(OR(ISNUMBER(FIND("REMARK",BT25)),ISNUMBER(FIND("COMMENT",BT25))))+4096*(OR(ISNUMBER(FIND("QTY",BT25)),ISNUMBER(FIND("QUANTITY",BT25))))+8192*(AND(OR(ISNUMBER(FIND("COMPLETE",BT25)),ISNUMBER(FIND("PCT",BT25)),ISNUMBER(FIND("PERCENT",BT25))),NOT(ISNUMBER(FIND("ACTUAL",BT25))),LEN(BT25)&lt;=16))+32768*(OR(ISNUMBER(FIND("DESIC",BT25)),ISNUMBER(FIND("DESSIC",BT25)))))</f>
        <v/>
      </c>
      <c r="BU160">
        <f>IF(BU25="",0,2*(OR(ISNUMBER(FIND("WORKCENTER",BU25)),AND(LEFT(BU25,4)="LINE",NOT(ISNUMBER(FIND("STATUS",BU25))))))+4*(OR(ISNUMBER(FIND("WORKORDER",BU25)),AND(LEFT(BU25,2)="WO",OR(ISNUMBER(FIND("NUM",BU25)),RIGHT(BU25,2)="NO"))))+8*(LEFT(BU25,3)="SEQ")+16*(AND(LEFT(BU25,4)="ITEM",NOT(ISNUMBER(FIND("DESC",BU25)))))+32*(AND(ISNUMBER(FIND("DESC",BU25)),NOT(ISNUMBER(FIND("CAP",BU25)))))+64*(OR(RIGHT(BU25,5)="COUNT",RIGHT(BU25,2)="CT"))+128*(ISNUMBER(FIND("BULK",BU25)))+256*(ISNUMBER(FIND("SIZE",BU25)))+512*(LEFT(BU25,3)="CAP")+1024*(ISNUMBER(FIND("ALLERG",BU25)))+2048*(OR(ISNUMBER(FIND("REMARK",BU25)),ISNUMBER(FIND("COMMENT",BU25))))+4096*(OR(ISNUMBER(FIND("QTY",BU25)),ISNUMBER(FIND("QUANTITY",BU25))))+8192*(AND(OR(ISNUMBER(FIND("COMPLETE",BU25)),ISNUMBER(FIND("PCT",BU25)),ISNUMBER(FIND("PERCENT",BU25))),NOT(ISNUMBER(FIND("ACTUAL",BU25))),LEN(BU25)&lt;=16))+32768*(OR(ISNUMBER(FIND("DESIC",BU25)),ISNUMBER(FIND("DESSIC",BU25)))))</f>
        <v/>
      </c>
      <c r="BV160">
        <f>IF(BV25="",0,2*(OR(ISNUMBER(FIND("WORKCENTER",BV25)),AND(LEFT(BV25,4)="LINE",NOT(ISNUMBER(FIND("STATUS",BV25))))))+4*(OR(ISNUMBER(FIND("WORKORDER",BV25)),AND(LEFT(BV25,2)="WO",OR(ISNUMBER(FIND("NUM",BV25)),RIGHT(BV25,2)="NO"))))+8*(LEFT(BV25,3)="SEQ")+16*(AND(LEFT(BV25,4)="ITEM",NOT(ISNUMBER(FIND("DESC",BV25)))))+32*(AND(ISNUMBER(FIND("DESC",BV25)),NOT(ISNUMBER(FIND("CAP",BV25)))))+64*(OR(RIGHT(BV25,5)="COUNT",RIGHT(BV25,2)="CT"))+128*(ISNUMBER(FIND("BULK",BV25)))+256*(ISNUMBER(FIND("SIZE",BV25)))+512*(LEFT(BV25,3)="CAP")+1024*(ISNUMBER(FIND("ALLERG",BV25)))+2048*(OR(ISNUMBER(FIND("REMARK",BV25)),ISNUMBER(FIND("COMMENT",BV25))))+4096*(OR(ISNUMBER(FIND("QTY",BV25)),ISNUMBER(FIND("QUANTITY",BV25))))+8192*(AND(OR(ISNUMBER(FIND("COMPLETE",BV25)),ISNUMBER(FIND("PCT",BV25)),ISNUMBER(FIND("PERCENT",BV25))),NOT(ISNUMBER(FIND("ACTUAL",BV25))),LEN(BV25)&lt;=16))+32768*(OR(ISNUMBER(FIND("DESIC",BV25)),ISNUMBER(FIND("DESSIC",BV25)))))</f>
        <v/>
      </c>
      <c r="BW160">
        <f>IF(BW25="",0,2*(OR(ISNUMBER(FIND("WORKCENTER",BW25)),AND(LEFT(BW25,4)="LINE",NOT(ISNUMBER(FIND("STATUS",BW25))))))+4*(OR(ISNUMBER(FIND("WORKORDER",BW25)),AND(LEFT(BW25,2)="WO",OR(ISNUMBER(FIND("NUM",BW25)),RIGHT(BW25,2)="NO"))))+8*(LEFT(BW25,3)="SEQ")+16*(AND(LEFT(BW25,4)="ITEM",NOT(ISNUMBER(FIND("DESC",BW25)))))+32*(AND(ISNUMBER(FIND("DESC",BW25)),NOT(ISNUMBER(FIND("CAP",BW25)))))+64*(OR(RIGHT(BW25,5)="COUNT",RIGHT(BW25,2)="CT"))+128*(ISNUMBER(FIND("BULK",BW25)))+256*(ISNUMBER(FIND("SIZE",BW25)))+512*(LEFT(BW25,3)="CAP")+1024*(ISNUMBER(FIND("ALLERG",BW25)))+2048*(OR(ISNUMBER(FIND("REMARK",BW25)),ISNUMBER(FIND("COMMENT",BW25))))+4096*(OR(ISNUMBER(FIND("QTY",BW25)),ISNUMBER(FIND("QUANTITY",BW25))))+8192*(AND(OR(ISNUMBER(FIND("COMPLETE",BW25)),ISNUMBER(FIND("PCT",BW25)),ISNUMBER(FIND("PERCENT",BW25))),NOT(ISNUMBER(FIND("ACTUAL",BW25))),LEN(BW25)&lt;=16))+32768*(OR(ISNUMBER(FIND("DESIC",BW25)),ISNUMBER(FIND("DESSIC",BW25)))))</f>
        <v/>
      </c>
      <c r="BX160">
        <f>IF(BX25="",0,2*(OR(ISNUMBER(FIND("WORKCENTER",BX25)),AND(LEFT(BX25,4)="LINE",NOT(ISNUMBER(FIND("STATUS",BX25))))))+4*(OR(ISNUMBER(FIND("WORKORDER",BX25)),AND(LEFT(BX25,2)="WO",OR(ISNUMBER(FIND("NUM",BX25)),RIGHT(BX25,2)="NO"))))+8*(LEFT(BX25,3)="SEQ")+16*(AND(LEFT(BX25,4)="ITEM",NOT(ISNUMBER(FIND("DESC",BX25)))))+32*(AND(ISNUMBER(FIND("DESC",BX25)),NOT(ISNUMBER(FIND("CAP",BX25)))))+64*(OR(RIGHT(BX25,5)="COUNT",RIGHT(BX25,2)="CT"))+128*(ISNUMBER(FIND("BULK",BX25)))+256*(ISNUMBER(FIND("SIZE",BX25)))+512*(LEFT(BX25,3)="CAP")+1024*(ISNUMBER(FIND("ALLERG",BX25)))+2048*(OR(ISNUMBER(FIND("REMARK",BX25)),ISNUMBER(FIND("COMMENT",BX25))))+4096*(OR(ISNUMBER(FIND("QTY",BX25)),ISNUMBER(FIND("QUANTITY",BX25))))+8192*(AND(OR(ISNUMBER(FIND("COMPLETE",BX25)),ISNUMBER(FIND("PCT",BX25)),ISNUMBER(FIND("PERCENT",BX25))),NOT(ISNUMBER(FIND("ACTUAL",BX25))),LEN(BX25)&lt;=16))+32768*(OR(ISNUMBER(FIND("DESIC",BX25)),ISNUMBER(FIND("DESSIC",BX25)))))</f>
        <v/>
      </c>
      <c r="BY160">
        <f>IF(BY25="",0,2*(OR(ISNUMBER(FIND("WORKCENTER",BY25)),AND(LEFT(BY25,4)="LINE",NOT(ISNUMBER(FIND("STATUS",BY25))))))+4*(OR(ISNUMBER(FIND("WORKORDER",BY25)),AND(LEFT(BY25,2)="WO",OR(ISNUMBER(FIND("NUM",BY25)),RIGHT(BY25,2)="NO"))))+8*(LEFT(BY25,3)="SEQ")+16*(AND(LEFT(BY25,4)="ITEM",NOT(ISNUMBER(FIND("DESC",BY25)))))+32*(AND(ISNUMBER(FIND("DESC",BY25)),NOT(ISNUMBER(FIND("CAP",BY25)))))+64*(OR(RIGHT(BY25,5)="COUNT",RIGHT(BY25,2)="CT"))+128*(ISNUMBER(FIND("BULK",BY25)))+256*(ISNUMBER(FIND("SIZE",BY25)))+512*(LEFT(BY25,3)="CAP")+1024*(ISNUMBER(FIND("ALLERG",BY25)))+2048*(OR(ISNUMBER(FIND("REMARK",BY25)),ISNUMBER(FIND("COMMENT",BY25))))+4096*(OR(ISNUMBER(FIND("QTY",BY25)),ISNUMBER(FIND("QUANTITY",BY25))))+8192*(AND(OR(ISNUMBER(FIND("COMPLETE",BY25)),ISNUMBER(FIND("PCT",BY25)),ISNUMBER(FIND("PERCENT",BY25))),NOT(ISNUMBER(FIND("ACTUAL",BY25))),LEN(BY25)&lt;=16))+32768*(OR(ISNUMBER(FIND("DESIC",BY25)),ISNUMBER(FIND("DESSIC",BY25)))))</f>
        <v/>
      </c>
      <c r="BZ160">
        <f>IF(BZ25="",0,2*(OR(ISNUMBER(FIND("WORKCENTER",BZ25)),AND(LEFT(BZ25,4)="LINE",NOT(ISNUMBER(FIND("STATUS",BZ25))))))+4*(OR(ISNUMBER(FIND("WORKORDER",BZ25)),AND(LEFT(BZ25,2)="WO",OR(ISNUMBER(FIND("NUM",BZ25)),RIGHT(BZ25,2)="NO"))))+8*(LEFT(BZ25,3)="SEQ")+16*(AND(LEFT(BZ25,4)="ITEM",NOT(ISNUMBER(FIND("DESC",BZ25)))))+32*(AND(ISNUMBER(FIND("DESC",BZ25)),NOT(ISNUMBER(FIND("CAP",BZ25)))))+64*(OR(RIGHT(BZ25,5)="COUNT",RIGHT(BZ25,2)="CT"))+128*(ISNUMBER(FIND("BULK",BZ25)))+256*(ISNUMBER(FIND("SIZE",BZ25)))+512*(LEFT(BZ25,3)="CAP")+1024*(ISNUMBER(FIND("ALLERG",BZ25)))+2048*(OR(ISNUMBER(FIND("REMARK",BZ25)),ISNUMBER(FIND("COMMENT",BZ25))))+4096*(OR(ISNUMBER(FIND("QTY",BZ25)),ISNUMBER(FIND("QUANTITY",BZ25))))+8192*(AND(OR(ISNUMBER(FIND("COMPLETE",BZ25)),ISNUMBER(FIND("PCT",BZ25)),ISNUMBER(FIND("PERCENT",BZ25))),NOT(ISNUMBER(FIND("ACTUAL",BZ25))),LEN(BZ25)&lt;=16))+32768*(OR(ISNUMBER(FIND("DESIC",BZ25)),ISNUMBER(FIND("DESSIC",BZ25)))))</f>
        <v/>
      </c>
      <c r="CA160">
        <f>IF(CA25="",0,2*(OR(ISNUMBER(FIND("WORKCENTER",CA25)),AND(LEFT(CA25,4)="LINE",NOT(ISNUMBER(FIND("STATUS",CA25))))))+4*(OR(ISNUMBER(FIND("WORKORDER",CA25)),AND(LEFT(CA25,2)="WO",OR(ISNUMBER(FIND("NUM",CA25)),RIGHT(CA25,2)="NO"))))+8*(LEFT(CA25,3)="SEQ")+16*(AND(LEFT(CA25,4)="ITEM",NOT(ISNUMBER(FIND("DESC",CA25)))))+32*(AND(ISNUMBER(FIND("DESC",CA25)),NOT(ISNUMBER(FIND("CAP",CA25)))))+64*(OR(RIGHT(CA25,5)="COUNT",RIGHT(CA25,2)="CT"))+128*(ISNUMBER(FIND("BULK",CA25)))+256*(ISNUMBER(FIND("SIZE",CA25)))+512*(LEFT(CA25,3)="CAP")+1024*(ISNUMBER(FIND("ALLERG",CA25)))+2048*(OR(ISNUMBER(FIND("REMARK",CA25)),ISNUMBER(FIND("COMMENT",CA25))))+4096*(OR(ISNUMBER(FIND("QTY",CA25)),ISNUMBER(FIND("QUANTITY",CA25))))+8192*(AND(OR(ISNUMBER(FIND("COMPLETE",CA25)),ISNUMBER(FIND("PCT",CA25)),ISNUMBER(FIND("PERCENT",CA25))),NOT(ISNUMBER(FIND("ACTUAL",CA25))),LEN(CA25)&lt;=16))+32768*(OR(ISNUMBER(FIND("DESIC",CA25)),ISNUMBER(FIND("DESSIC",CA25)))))</f>
        <v/>
      </c>
      <c r="CB160">
        <f>IF(CB25="",0,2*(OR(ISNUMBER(FIND("WORKCENTER",CB25)),AND(LEFT(CB25,4)="LINE",NOT(ISNUMBER(FIND("STATUS",CB25))))))+4*(OR(ISNUMBER(FIND("WORKORDER",CB25)),AND(LEFT(CB25,2)="WO",OR(ISNUMBER(FIND("NUM",CB25)),RIGHT(CB25,2)="NO"))))+8*(LEFT(CB25,3)="SEQ")+16*(AND(LEFT(CB25,4)="ITEM",NOT(ISNUMBER(FIND("DESC",CB25)))))+32*(AND(ISNUMBER(FIND("DESC",CB25)),NOT(ISNUMBER(FIND("CAP",CB25)))))+64*(OR(RIGHT(CB25,5)="COUNT",RIGHT(CB25,2)="CT"))+128*(ISNUMBER(FIND("BULK",CB25)))+256*(ISNUMBER(FIND("SIZE",CB25)))+512*(LEFT(CB25,3)="CAP")+1024*(ISNUMBER(FIND("ALLERG",CB25)))+2048*(OR(ISNUMBER(FIND("REMARK",CB25)),ISNUMBER(FIND("COMMENT",CB25))))+4096*(OR(ISNUMBER(FIND("QTY",CB25)),ISNUMBER(FIND("QUANTITY",CB25))))+8192*(AND(OR(ISNUMBER(FIND("COMPLETE",CB25)),ISNUMBER(FIND("PCT",CB25)),ISNUMBER(FIND("PERCENT",CB25))),NOT(ISNUMBER(FIND("ACTUAL",CB25))),LEN(CB25)&lt;=16))+32768*(OR(ISNUMBER(FIND("DESIC",CB25)),ISNUMBER(FIND("DESSIC",CB25)))))</f>
        <v/>
      </c>
      <c r="CC160">
        <f>IF(CC25="",0,2*(OR(ISNUMBER(FIND("WORKCENTER",CC25)),AND(LEFT(CC25,4)="LINE",NOT(ISNUMBER(FIND("STATUS",CC25))))))+4*(OR(ISNUMBER(FIND("WORKORDER",CC25)),AND(LEFT(CC25,2)="WO",OR(ISNUMBER(FIND("NUM",CC25)),RIGHT(CC25,2)="NO"))))+8*(LEFT(CC25,3)="SEQ")+16*(AND(LEFT(CC25,4)="ITEM",NOT(ISNUMBER(FIND("DESC",CC25)))))+32*(AND(ISNUMBER(FIND("DESC",CC25)),NOT(ISNUMBER(FIND("CAP",CC25)))))+64*(OR(RIGHT(CC25,5)="COUNT",RIGHT(CC25,2)="CT"))+128*(ISNUMBER(FIND("BULK",CC25)))+256*(ISNUMBER(FIND("SIZE",CC25)))+512*(LEFT(CC25,3)="CAP")+1024*(ISNUMBER(FIND("ALLERG",CC25)))+2048*(OR(ISNUMBER(FIND("REMARK",CC25)),ISNUMBER(FIND("COMMENT",CC25))))+4096*(OR(ISNUMBER(FIND("QTY",CC25)),ISNUMBER(FIND("QUANTITY",CC25))))+8192*(AND(OR(ISNUMBER(FIND("COMPLETE",CC25)),ISNUMBER(FIND("PCT",CC25)),ISNUMBER(FIND("PERCENT",CC25))),NOT(ISNUMBER(FIND("ACTUAL",CC25))),LEN(CC25)&lt;=16))+32768*(OR(ISNUMBER(FIND("DESIC",CC25)),ISNUMBER(FIND("DESSIC",CC25)))))</f>
        <v/>
      </c>
      <c r="CD160">
        <f>IF(CD25="",0,2*(OR(ISNUMBER(FIND("WORKCENTER",CD25)),AND(LEFT(CD25,4)="LINE",NOT(ISNUMBER(FIND("STATUS",CD25))))))+4*(OR(ISNUMBER(FIND("WORKORDER",CD25)),AND(LEFT(CD25,2)="WO",OR(ISNUMBER(FIND("NUM",CD25)),RIGHT(CD25,2)="NO"))))+8*(LEFT(CD25,3)="SEQ")+16*(AND(LEFT(CD25,4)="ITEM",NOT(ISNUMBER(FIND("DESC",CD25)))))+32*(AND(ISNUMBER(FIND("DESC",CD25)),NOT(ISNUMBER(FIND("CAP",CD25)))))+64*(OR(RIGHT(CD25,5)="COUNT",RIGHT(CD25,2)="CT"))+128*(ISNUMBER(FIND("BULK",CD25)))+256*(ISNUMBER(FIND("SIZE",CD25)))+512*(LEFT(CD25,3)="CAP")+1024*(ISNUMBER(FIND("ALLERG",CD25)))+2048*(OR(ISNUMBER(FIND("REMARK",CD25)),ISNUMBER(FIND("COMMENT",CD25))))+4096*(OR(ISNUMBER(FIND("QTY",CD25)),ISNUMBER(FIND("QUANTITY",CD25))))+8192*(AND(OR(ISNUMBER(FIND("COMPLETE",CD25)),ISNUMBER(FIND("PCT",CD25)),ISNUMBER(FIND("PERCENT",CD25))),NOT(ISNUMBER(FIND("ACTUAL",CD25))),LEN(CD25)&lt;=16))+32768*(OR(ISNUMBER(FIND("DESIC",CD25)),ISNUMBER(FIND("DESSIC",CD25)))))</f>
        <v/>
      </c>
      <c r="CE160">
        <f>IF(CE25="",0,2*(OR(ISNUMBER(FIND("WORKCENTER",CE25)),AND(LEFT(CE25,4)="LINE",NOT(ISNUMBER(FIND("STATUS",CE25))))))+4*(OR(ISNUMBER(FIND("WORKORDER",CE25)),AND(LEFT(CE25,2)="WO",OR(ISNUMBER(FIND("NUM",CE25)),RIGHT(CE25,2)="NO"))))+8*(LEFT(CE25,3)="SEQ")+16*(AND(LEFT(CE25,4)="ITEM",NOT(ISNUMBER(FIND("DESC",CE25)))))+32*(AND(ISNUMBER(FIND("DESC",CE25)),NOT(ISNUMBER(FIND("CAP",CE25)))))+64*(OR(RIGHT(CE25,5)="COUNT",RIGHT(CE25,2)="CT"))+128*(ISNUMBER(FIND("BULK",CE25)))+256*(ISNUMBER(FIND("SIZE",CE25)))+512*(LEFT(CE25,3)="CAP")+1024*(ISNUMBER(FIND("ALLERG",CE25)))+2048*(OR(ISNUMBER(FIND("REMARK",CE25)),ISNUMBER(FIND("COMMENT",CE25))))+4096*(OR(ISNUMBER(FIND("QTY",CE25)),ISNUMBER(FIND("QUANTITY",CE25))))+8192*(AND(OR(ISNUMBER(FIND("COMPLETE",CE25)),ISNUMBER(FIND("PCT",CE25)),ISNUMBER(FIND("PERCENT",CE25))),NOT(ISNUMBER(FIND("ACTUAL",CE25))),LEN(CE25)&lt;=16))+32768*(OR(ISNUMBER(FIND("DESIC",CE25)),ISNUMBER(FIND("DESSIC",CE25)))))</f>
        <v/>
      </c>
      <c r="CF160">
        <f>IF(CF25="",0,2*(OR(ISNUMBER(FIND("WORKCENTER",CF25)),AND(LEFT(CF25,4)="LINE",NOT(ISNUMBER(FIND("STATUS",CF25))))))+4*(OR(ISNUMBER(FIND("WORKORDER",CF25)),AND(LEFT(CF25,2)="WO",OR(ISNUMBER(FIND("NUM",CF25)),RIGHT(CF25,2)="NO"))))+8*(LEFT(CF25,3)="SEQ")+16*(AND(LEFT(CF25,4)="ITEM",NOT(ISNUMBER(FIND("DESC",CF25)))))+32*(AND(ISNUMBER(FIND("DESC",CF25)),NOT(ISNUMBER(FIND("CAP",CF25)))))+64*(OR(RIGHT(CF25,5)="COUNT",RIGHT(CF25,2)="CT"))+128*(ISNUMBER(FIND("BULK",CF25)))+256*(ISNUMBER(FIND("SIZE",CF25)))+512*(LEFT(CF25,3)="CAP")+1024*(ISNUMBER(FIND("ALLERG",CF25)))+2048*(OR(ISNUMBER(FIND("REMARK",CF25)),ISNUMBER(FIND("COMMENT",CF25))))+4096*(OR(ISNUMBER(FIND("QTY",CF25)),ISNUMBER(FIND("QUANTITY",CF25))))+8192*(AND(OR(ISNUMBER(FIND("COMPLETE",CF25)),ISNUMBER(FIND("PCT",CF25)),ISNUMBER(FIND("PERCENT",CF25))),NOT(ISNUMBER(FIND("ACTUAL",CF25))),LEN(CF25)&lt;=16))+32768*(OR(ISNUMBER(FIND("DESIC",CF25)),ISNUMBER(FIND("DESSIC",CF25)))))</f>
        <v/>
      </c>
      <c r="DA160" t="n">
        <v>156</v>
      </c>
      <c r="DB160">
        <f>IF($B$37=0,"",IFERROR(TRIM(SUBSTITUTE(SUBSTITUTE(SUBSTITUTE(SUBSTITUTE(INDEX(PASTE_ALL,156,$B$37)," "," "),CHAR(9)," "),CHAR(10)," "),CHAR(13)," ")),""))</f>
        <v/>
      </c>
      <c r="DC160">
        <f>IF(AND(156&gt;HEADER_ROW,UPPER(DB160)="LEGEND"),1,0)</f>
        <v/>
      </c>
      <c r="DE160" t="n">
        <v>156</v>
      </c>
      <c r="DF160">
        <f>HEADER_ROW+$DE160</f>
        <v/>
      </c>
      <c r="DG160">
        <f>IF(AND($DF160&lt;=1000,$DF160&lt;$B$8),1,0)</f>
        <v/>
      </c>
      <c r="DH160">
        <f>IF($DG160=1,IFERROR(INDEX($DB$5:$DB$1004,$DF160),""),"")</f>
        <v/>
      </c>
      <c r="DI160">
        <f>IF(AND($DG160=1,$DH160&lt;&gt;""),IFERROR(SUBSTITUTE(SUBSTITUTE(TRIM(SUBSTITUTE(SUBSTITUTE(SUBSTITUTE(SUBSTITUTE(IFERROR(INDEX(PASTE_ALL,$DF160,1)&amp;"","")&amp;"␟"&amp;IFERROR(INDEX(PASTE_ALL,$DF160,2)&amp;"","")&amp;"␟"&amp;IFERROR(INDEX(PASTE_ALL,$DF160,3)&amp;"","")&amp;"␟"&amp;IFERROR(INDEX(PASTE_ALL,$DF160,4)&amp;"","")&amp;"␟"&amp;IFERROR(INDEX(PASTE_ALL,$DF160,5)&amp;"","")&amp;"␟"&amp;IFERROR(INDEX(PASTE_ALL,$DF160,6)&amp;"","")&amp;"␟"&amp;IFERROR(INDEX(PASTE_ALL,$DF160,7)&amp;"","")&amp;"␟"&amp;IFERROR(INDEX(PASTE_ALL,$DF160,8)&amp;"","")&amp;"␟"&amp;IFERROR(INDEX(PASTE_ALL,$DF160,9)&amp;"","")&amp;"␟"&amp;IFERROR(INDEX(PASTE_ALL,$DF160,10)&amp;"","")&amp;"␟"&amp;IFERROR(INDEX(PASTE_ALL,$DF160,11)&amp;"","")&amp;"␟"&amp;IFERROR(INDEX(PASTE_ALL,$DF160,12)&amp;"","")&amp;"␟"&amp;IFERROR(INDEX(PASTE_ALL,$DF160,13)&amp;"","")&amp;"␟"&amp;IFERROR(INDEX(PASTE_ALL,$DF160,14)&amp;"","")&amp;"␟"&amp;IFERROR(INDEX(PASTE_ALL,$DF160,15)&amp;"","")&amp;"␟"&amp;IFERROR(INDEX(PASTE_ALL,$DF160,16)&amp;"","")&amp;"␟"&amp;IFERROR(INDEX(PASTE_ALL,$DF160,17)&amp;"","")&amp;"␟"&amp;IFERROR(INDEX(PASTE_ALL,$DF160,18)&amp;"","")&amp;"␟"&amp;IFERROR(INDEX(PASTE_ALL,$DF160,19)&amp;"","")&amp;"␟"&amp;IFERROR(INDEX(PASTE_ALL,$DF160,20)&amp;"","")&amp;"␟"&amp;IFERROR(INDEX(PASTE_ALL,$DF160,21)&amp;"","")&amp;"␟"&amp;IFERROR(INDEX(PASTE_ALL,$DF160,22)&amp;"","")&amp;"␟"&amp;IFERROR(INDEX(PASTE_ALL,$DF160,23)&amp;"","")&amp;"␟"&amp;IFERROR(INDEX(PASTE_ALL,$DF160,24)&amp;"","")&amp;"␟"&amp;IFERROR(INDEX(PASTE_ALL,$DF160,25)&amp;"","")&amp;"␟"&amp;IFERROR(INDEX(PASTE_ALL,$DF160,26)&amp;"","")&amp;"␟"&amp;IFERROR(INDEX(PASTE_ALL,$DF160,27)&amp;"","")&amp;"␟"&amp;IFERROR(INDEX(PASTE_ALL,$DF160,28)&amp;"","")&amp;"␟"&amp;IFERROR(INDEX(PASTE_ALL,$DF160,29)&amp;"","")&amp;"␟"&amp;IFERROR(INDEX(PASTE_ALL,$DF160,30)&amp;"","")&amp;"␟"&amp;IFERROR(INDEX(PASTE_ALL,$DF160,31)&amp;"","")&amp;"␟"&amp;IFERROR(INDEX(PASTE_ALL,$DF160,32)&amp;"","")&amp;"␟"&amp;IFERROR(INDEX(PASTE_ALL,$DF160,33)&amp;"","")&amp;"␟"&amp;IFERROR(INDEX(PASTE_ALL,$DF160,34)&amp;"","")&amp;"␟"&amp;IFERROR(INDEX(PASTE_ALL,$DF160,35)&amp;"","")&amp;"␟"&amp;IFERROR(INDEX(PASTE_ALL,$DF160,36)&amp;"","")&amp;"␟"&amp;IFERROR(INDEX(PASTE_ALL,$DF160,37)&amp;"","")&amp;"␟"&amp;IFERROR(INDEX(PASTE_ALL,$DF160,38)&amp;"","")&amp;"␟"&amp;IFERROR(INDEX(PASTE_ALL,$DF160,39)&amp;"","")&amp;"␟"&amp;IFERROR(INDEX(PASTE_ALL,$DF160,40)&amp;"","")&amp;"␟"&amp;IFERROR(INDEX(PASTE_ALL,$DF160,41)&amp;"","")&amp;"␟"&amp;IFERROR(INDEX(PASTE_ALL,$DF160,42)&amp;"","")&amp;"␟"&amp;IFERROR(INDEX(PASTE_ALL,$DF160,43)&amp;"","")&amp;"␟"&amp;IFERROR(INDEX(PASTE_ALL,$DF160,44)&amp;"","")&amp;"␟"&amp;IFERROR(INDEX(PASTE_ALL,$DF160,45)&amp;"","")&amp;"␟"&amp;IFERROR(INDEX(PASTE_ALL,$DF160,46)&amp;"","")&amp;"␟"&amp;IFERROR(INDEX(PASTE_ALL,$DF160,47)&amp;"","")&amp;"␟"&amp;IFERROR(INDEX(PASTE_ALL,$DF160,48)&amp;"","")&amp;"␟"&amp;IFERROR(INDEX(PASTE_ALL,$DF160,49)&amp;"","")&amp;"␟"&amp;IFERROR(INDEX(PASTE_ALL,$DF160,50)&amp;"","")&amp;"␟"&amp;IFERROR(INDEX(PASTE_ALL,$DF160,51)&amp;"","")&amp;"␟"&amp;IFERROR(INDEX(PASTE_ALL,$DF160,52)&amp;"","")&amp;"␟"&amp;IFERROR(INDEX(PASTE_ALL,$DF160,53)&amp;"","")&amp;"␟"&amp;IFERROR(INDEX(PASTE_ALL,$DF160,54)&amp;"","")&amp;"␟"&amp;IFERROR(INDEX(PASTE_ALL,$DF160,55)&amp;"","")&amp;"␟"&amp;IFERROR(INDEX(PASTE_ALL,$DF160,56)&amp;"","")&amp;"␟"&amp;IFERROR(INDEX(PASTE_ALL,$DF160,57)&amp;"","")&amp;"␟"&amp;IFERROR(INDEX(PASTE_ALL,$DF160,58)&amp;"","")&amp;"␟"&amp;IFERROR(INDEX(PASTE_ALL,$DF160,59)&amp;"","")&amp;"␟"&amp;IFERROR(INDEX(PASTE_ALL,$DF160,60)&amp;"","")," "," "),CHAR(9)," "),CHAR(10)," "),CHAR(13)," "))," ␟","␟"),"␟ ","␟"),"#"&amp;$DE160),"")</f>
        <v/>
      </c>
      <c r="DJ160">
        <f>IF($DI160="",0,IF(SUMPRODUCT(--EXACT($DI$4:DI159,$DI160))&gt;0,1,0))</f>
        <v/>
      </c>
      <c r="DK160">
        <f>IF(AND($DI160&lt;&gt;"",$DJ160=0),1,0)</f>
        <v/>
      </c>
      <c r="DL160">
        <f>DL159+$DK160</f>
        <v/>
      </c>
      <c r="DM160">
        <f>IF(AND($DK160=1,$DL160&lt;=600),1,0)</f>
        <v/>
      </c>
      <c r="DN160">
        <f>IF($DM160=0,"",IF($L$6=0,"",IFERROR(IF(ISNUMBER(INDEX(PASTE_ALL,$DF160,$L$6)),INDEX(PASTE_ALL,$DF160,$L$6),TRIM(SUBSTITUTE(SUBSTITUTE(SUBSTITUTE(SUBSTITUTE(INDEX(PASTE_ALL,$DF160,$L$6)," "," "),CHAR(9)," "),CHAR(10)," "),CHAR(13)," "))),"")))</f>
        <v/>
      </c>
      <c r="DO160">
        <f>IF($DM160=0,"",IF($L$7=0,"",IFERROR(IF(ISNUMBER(INDEX(PASTE_ALL,$DF160,$L$7)),INDEX(PASTE_ALL,$DF160,$L$7),TRIM(SUBSTITUTE(SUBSTITUTE(SUBSTITUTE(SUBSTITUTE(INDEX(PASTE_ALL,$DF160,$L$7)," "," "),CHAR(9)," "),CHAR(10)," "),CHAR(13)," "))),"")))</f>
        <v/>
      </c>
      <c r="DP160">
        <f>IF($DM160=0,"",IF($L$8=0,"",IFERROR(IF(ISNUMBER(INDEX(PASTE_ALL,$DF160,$L$8)),INDEX(PASTE_ALL,$DF160,$L$8),TRIM(SUBSTITUTE(SUBSTITUTE(SUBSTITUTE(SUBSTITUTE(INDEX(PASTE_ALL,$DF160,$L$8)," "," "),CHAR(9)," "),CHAR(10)," "),CHAR(13)," "))),"")))</f>
        <v/>
      </c>
      <c r="DQ160">
        <f>IF($DM160=0,"",IF($L$9=0,"",IFERROR(IF(ISNUMBER(INDEX(PASTE_ALL,$DF160,$L$9)),INDEX(PASTE_ALL,$DF160,$L$9),TRIM(SUBSTITUTE(SUBSTITUTE(SUBSTITUTE(SUBSTITUTE(INDEX(PASTE_ALL,$DF160,$L$9)," "," "),CHAR(9)," "),CHAR(10)," "),CHAR(13)," "))),"")))</f>
        <v/>
      </c>
      <c r="DR160">
        <f>IF($DM160=0,"",IF($L$10=0,"",IFERROR(IF(ISNUMBER(INDEX(PASTE_ALL,$DF160,$L$10)),INDEX(PASTE_ALL,$DF160,$L$10),TRIM(SUBSTITUTE(SUBSTITUTE(SUBSTITUTE(SUBSTITUTE(INDEX(PASTE_ALL,$DF160,$L$10)," "," "),CHAR(9)," "),CHAR(10)," "),CHAR(13)," "))),"")))</f>
        <v/>
      </c>
      <c r="DS160">
        <f>IF($DM160=0,"",IF($L$11=0,"",IFERROR(IF(ISNUMBER(INDEX(PASTE_ALL,$DF160,$L$11)),INDEX(PASTE_ALL,$DF160,$L$11),TRIM(SUBSTITUTE(SUBSTITUTE(SUBSTITUTE(SUBSTITUTE(INDEX(PASTE_ALL,$DF160,$L$11)," "," "),CHAR(9)," "),CHAR(10)," "),CHAR(13)," "))),"")))</f>
        <v/>
      </c>
      <c r="DT160">
        <f>IF($DM160=0,"",IF($L$12=0,"",IFERROR(IF(ISNUMBER(INDEX(PASTE_ALL,$DF160,$L$12)),INDEX(PASTE_ALL,$DF160,$L$12),TRIM(SUBSTITUTE(SUBSTITUTE(SUBSTITUTE(SUBSTITUTE(INDEX(PASTE_ALL,$DF160,$L$12)," "," "),CHAR(9)," "),CHAR(10)," "),CHAR(13)," "))),"")))</f>
        <v/>
      </c>
      <c r="DU160">
        <f>IF($DM160=0,"",IF($L$13=0,"",IFERROR(IF(ISNUMBER(INDEX(PASTE_ALL,$DF160,$L$13)),INDEX(PASTE_ALL,$DF160,$L$13),TRIM(SUBSTITUTE(SUBSTITUTE(SUBSTITUTE(SUBSTITUTE(INDEX(PASTE_ALL,$DF160,$L$13)," "," "),CHAR(9)," "),CHAR(10)," "),CHAR(13)," "))),"")))</f>
        <v/>
      </c>
      <c r="DV160">
        <f>IF($DM160=0,"",IF($L$14=0,"",IFERROR(IF(ISNUMBER(INDEX(PASTE_ALL,$DF160,$L$14)),INDEX(PASTE_ALL,$DF160,$L$14),TRIM(SUBSTITUTE(SUBSTITUTE(SUBSTITUTE(SUBSTITUTE(INDEX(PASTE_ALL,$DF160,$L$14)," "," "),CHAR(9)," "),CHAR(10)," "),CHAR(13)," "))),"")))</f>
        <v/>
      </c>
      <c r="DW160">
        <f>IF($DM160=0,"",IF($L$15=0,"",IFERROR(IF(ISNUMBER(INDEX(PASTE_ALL,$DF160,$L$15)),INDEX(PASTE_ALL,$DF160,$L$15),IF(SUMPRODUCT(--ISNUMBER(FIND({"A","B","C","D","E","F","G","H","I","J","K","L","M","N","O","P","Q","R","S","T","U","V","W","X","Y","Z","0","1","2","3","4","5","6","7","8","9"},UPPER(TRIM(SUBSTITUTE(SUBSTITUTE(SUBSTITUTE(SUBSTITUTE(INDEX(PASTE_ALL,$DF160,$L$15)," "," "),CHAR(9)," "),CHAR(10)," "),CHAR(13)," "))))))&gt;0,TRIM(SUBSTITUTE(SUBSTITUTE(SUBSTITUTE(SUBSTITUTE(INDEX(PASTE_ALL,$DF160,$L$15)," "," "),CHAR(9)," "),CHAR(10)," "),CHAR(13)," ")),"")),"")))</f>
        <v/>
      </c>
      <c r="DX160">
        <f>IF($DM160=0,"",IF($L$16=0,"",IFERROR(IF(ISNUMBER(INDEX(PASTE_ALL,$DF160,$L$16)),INDEX(PASTE_ALL,$DF160,$L$16),SUBSTITUTE(SUBSTITUTE(TRIM(SUBSTITUTE(SUBSTITUTE(SUBSTITUTE(SUBSTITUTE(INDEX(PASTE_ALL,$DF160,$L$16)," "," "),CHAR(9)," "),CHAR(10)," "),CHAR(13)," ")),",",""),"%","")),"")))</f>
        <v/>
      </c>
      <c r="DY160">
        <f>IF($DM160=0,"",IFERROR(IF(ISNUMBER($DX160),$DX160,IF($DX160="","",IF(TRIM($DX160)="",0,IF(AND(AND(SUBSTITUTE(SUBSTITUTE(SUBSTITUTE(SUBSTITUTE(SUBSTITUTE(SUBSTITUTE(SUBSTITUTE(SUBSTITUTE(SUBSTITUTE(SUBSTITUTE(SUBSTITUTE(SUBSTITUTE(SUBSTITUTE(SUBSTITUTE(UPPER(TRIM($DX160)),"0",""),"1",""),"2",""),"3",""),"4",""),"5",""),"6",""),"7",""),"8",""),"9",""),".",""),"+",""),"-",""),"E","")="",LEN(SUBSTITUTE(SUBSTITUTE(MID(UPPER(TRIM($DX160)),1+OR(LEFT(UPPER(TRIM($DX160)),1)="+",LEFT(UPPER(TRIM($DX160)),1)="-"),999),"E+","E"),"E-","E"))=LEN(SUBSTITUTE(SUBSTITUTE(SUBSTITUTE(SUBSTITUTE(MID(UPPER(TRIM($DX160)),1+OR(LEFT(UPPER(TRIM($DX160)),1)="+",LEFT(UPPER(TRIM($DX160)),1)="-"),999),"E+","E"),"E-","E"),"+",""),"-","")),LEN(UPPER(TRIM($DX160)))-LEN(SUBSTITUTE(UPPER(TRIM($DX160)),"E",""))&lt;2,LEN(UPPER(TRIM($DX160)))-LEN(SUBSTITUTE(UPPER(TRIM($DX160)),".",""))&lt;2,IFERROR(FIND(".",UPPER(TRIM($DX160))),0)&lt;IFERROR(FIND("E",UPPER(TRIM($DX160))),999)),ISNUMBER(VALUE(TRIM($DX160)))),VALUE(TRIM($DX160)),"")))),""))</f>
        <v/>
      </c>
      <c r="DZ160">
        <f>IF($DM160=0,"",IF($L$17=0,"",IFERROR(IF(ISNUMBER(INDEX(PASTE_ALL,$DF160,$L$17)),INDEX(PASTE_ALL,$DF160,$L$17),SUBSTITUTE(SUBSTITUTE(TRIM(SUBSTITUTE(SUBSTITUTE(SUBSTITUTE(SUBSTITUTE(INDEX(PASTE_ALL,$DF160,$L$17)," "," "),CHAR(9)," "),CHAR(10)," "),CHAR(13)," ")),",",""),"%","")),"")))</f>
        <v/>
      </c>
      <c r="EA160">
        <f>IF($DM160=0,"",IFERROR(IF(ISNUMBER($DZ160),$DZ160,IF($DZ160="","",IF(TRIM($DZ160)="",0,IF(AND(AND(SUBSTITUTE(SUBSTITUTE(SUBSTITUTE(SUBSTITUTE(SUBSTITUTE(SUBSTITUTE(SUBSTITUTE(SUBSTITUTE(SUBSTITUTE(SUBSTITUTE(SUBSTITUTE(SUBSTITUTE(SUBSTITUTE(SUBSTITUTE(UPPER(TRIM($DZ160)),"0",""),"1",""),"2",""),"3",""),"4",""),"5",""),"6",""),"7",""),"8",""),"9",""),".",""),"+",""),"-",""),"E","")="",LEN(SUBSTITUTE(SUBSTITUTE(MID(UPPER(TRIM($DZ160)),1+OR(LEFT(UPPER(TRIM($DZ160)),1)="+",LEFT(UPPER(TRIM($DZ160)),1)="-"),999),"E+","E"),"E-","E"))=LEN(SUBSTITUTE(SUBSTITUTE(SUBSTITUTE(SUBSTITUTE(MID(UPPER(TRIM($DZ160)),1+OR(LEFT(UPPER(TRIM($DZ160)),1)="+",LEFT(UPPER(TRIM($DZ160)),1)="-"),999),"E+","E"),"E-","E"),"+",""),"-","")),LEN(UPPER(TRIM($DZ160)))-LEN(SUBSTITUTE(UPPER(TRIM($DZ160)),"E",""))&lt;2,LEN(UPPER(TRIM($DZ160)))-LEN(SUBSTITUTE(UPPER(TRIM($DZ160)),".",""))&lt;2,IFERROR(FIND(".",UPPER(TRIM($DZ160))),0)&lt;IFERROR(FIND("E",UPPER(TRIM($DZ160))),999)),ISNUMBER(VALUE(TRIM($DZ160)))),VALUE(TRIM($DZ160)),"")))),""))</f>
        <v/>
      </c>
      <c r="EB160">
        <f>IF($DM160=0,"",IF($L$18=0,"",IFERROR(IF(UPPER(TRIM(SUBSTITUTE(SUBSTITUTE(SUBSTITUTE(SUBSTITUTE(INDEX(PASTE_ALL,$DF160,$L$18)," "," "),CHAR(9)," "),CHAR(10)," "),CHAR(13)," ")))="READY","Ready",IF(UPPER(TRIM(SUBSTITUTE(SUBSTITUTE(SUBSTITUTE(SUBSTITUTE(INDEX(PASTE_ALL,$DF160,$L$18)," "," "),CHAR(9)," "),CHAR(10)," "),CHAR(13)," ")))="PM","PM",IF(OR(UPPER(TRIM(SUBSTITUTE(SUBSTITUTE(SUBSTITUTE(SUBSTITUTE(INDEX(PASTE_ALL,$DF160,$L$18)," "," "),CHAR(9)," "),CHAR(10)," "),CHAR(13)," ")))="OT",UPPER(TRIM(SUBSTITUTE(SUBSTITUTE(SUBSTITUTE(SUBSTITUTE(INDEX(PASTE_ALL,$DF160,$L$18)," "," "),CHAR(9)," "),CHAR(10)," "),CHAR(13)," ")))="OVERTIME",UPPER(TRIM(SUBSTITUTE(SUBSTITUTE(SUBSTITUTE(SUBSTITUTE(INDEX(PASTE_ALL,$DF160,$L$18)," "," "),CHAR(9)," "),CHAR(10)," "),CHAR(13)," ")))="TRIAL"),"OT",TRIM(SUBSTITUTE(SUBSTITUTE(SUBSTITUTE(SUBSTITUTE(INDEX(PASTE_ALL,$DF160,$L$18)," "," "),CHAR(9)," "),CHAR(10)," "),CHAR(13)," "))))),"")))</f>
        <v/>
      </c>
      <c r="EC160">
        <f>IF($DM160=0,"",IF($L$19=0,"",IFERROR(IF(ISNUMBER(INDEX(PASTE_ALL,$DF160,$L$19)),INDEX(PASTE_ALL,$DF160,$L$19),TRIM(SUBSTITUTE(SUBSTITUTE(SUBSTITUTE(SUBSTITUTE(INDEX(PASTE_ALL,$DF160,$L$19)," "," "),CHAR(9)," "),CHAR(10)," "),CHAR(13)," "))),"")))</f>
        <v/>
      </c>
      <c r="ED160">
        <f>IF($DM160=0,"",MATCH(1,INDEX(EXACT($DH$5:DH160,$DH160)*$DM$5:DM160,0),0))</f>
        <v/>
      </c>
      <c r="EE160">
        <f>IF($DM160=0,0,IF($ED160=$DE160,1,0))</f>
        <v/>
      </c>
      <c r="EF160">
        <f>EF159+$EE160</f>
        <v/>
      </c>
      <c r="EG160">
        <f>IF($DM160=0,"",INDEX($EF$5:$EF$1003,$ED160))</f>
        <v/>
      </c>
      <c r="EH160">
        <f>IF($DM160=0,"",IF($DO160&lt;&gt;"","",IFERROR(LOOKUP(2,1/(($EG$4:EG159=$EG160)*($DO$4:DO159&lt;&gt;"")),$DO$4:DO159),"")))</f>
        <v/>
      </c>
      <c r="EI160">
        <f>IF($DM160=0,"",IF($DO160&lt;&gt;"",$DO160,$EH160))</f>
        <v/>
      </c>
      <c r="EJ160">
        <f>IF($DM160=0,"",IF($EI160="",0,IF(OR(ISNUMBER($EI160),AND(AND(SUBSTITUTE(SUBSTITUTE(SUBSTITUTE(SUBSTITUTE(SUBSTITUTE(SUBSTITUTE(SUBSTITUTE(SUBSTITUTE(SUBSTITUTE(SUBSTITUTE(SUBSTITUTE(SUBSTITUTE(SUBSTITUTE(SUBSTITUTE(UPPER($EI160),"0",""),"1",""),"2",""),"3",""),"4",""),"5",""),"6",""),"7",""),"8",""),"9",""),".",""),"+",""),"-",""),"E","")="",LEN(SUBSTITUTE(SUBSTITUTE(MID(UPPER($EI160),1+OR(LEFT(UPPER($EI160),1)="+",LEFT(UPPER($EI160),1)="-"),999),"E+","E"),"E-","E"))=LEN(SUBSTITUTE(SUBSTITUTE(SUBSTITUTE(SUBSTITUTE(MID(UPPER($EI160),1+OR(LEFT(UPPER($EI160),1)="+",LEFT(UPPER($EI160),1)="-"),999),"E+","E"),"E-","E"),"+",""),"-","")),LEN(UPPER($EI160))-LEN(SUBSTITUTE(UPPER($EI160),"E",""))&lt;2,LEN(UPPER($EI160))-LEN(SUBSTITUTE(UPPER($EI160),".",""))&lt;2,IFERROR(FIND(".",UPPER($EI160)),0)&lt;IFERROR(FIND("E",UPPER($EI160)),999)),ISNUMBER(VALUE($EI160)))),1,2)))</f>
        <v/>
      </c>
      <c r="EK160">
        <f>IF($DM160=0,"",IF($EJ160=1,IF(ISNUMBER($EI160),$EI160,VALUE($EI160)),IF($EJ160=2,$DE160,0)))</f>
        <v/>
      </c>
      <c r="EL160">
        <f>IF($DM160=0,"",COUNTIF($EG$5:$EG$1003,"&lt;"&amp;$EG160)+SUMPRODUCT(($EG$5:$EG$1003=$EG160)*(($EJ$5:$EJ$1003&lt;$EJ160)+($EJ$5:$EJ$1003=$EJ160)*(($EK$5:$EK$1003&lt;$EK160)+($EK$5:$EK$1003=$EK160)*($DE$5:$DE$1003&lt;$DE160))))+1)</f>
        <v/>
      </c>
      <c r="EM160">
        <f>IF($DM160=0,"",$EL160+$EG160-1)</f>
        <v/>
      </c>
      <c r="EN160">
        <f>IF($DM160=0,0,IFERROR(MATCH(1,INDEX(--(TRIM(SUBSTITUTE(SUBSTITUTE(SUBSTITUTE(SUBSTITUTE(LINES_NAME&amp;""," "," "),CHAR(9)," "),CHAR(10)," "),CHAR(13)," "))=$DH160),0),0),0))</f>
        <v/>
      </c>
      <c r="EO160">
        <f>IF($EN160=0,0,IF(OR(UPPER(TRIM(INDEX(LINES_SCHEDULED,$EN160)&amp;""))="YES",UPPER(TRIM(INDEX(LINES_SCHEDULED,$EN160)&amp;""))="Y",UPPER(TRIM(INDEX(LINES_SCHEDULED,$EN160)&amp;""))="X"),1,0))</f>
        <v/>
      </c>
      <c r="EP160">
        <f>IF($DM160=0,"",IF(COUNTIFS($EG$5:$EG$1003,$EG160,$EB$5:$EB$1003,"Ready")&gt;0,"READY",IF(COUNTIFS($EG$5:$EG$1003,$EG160,$EB$5:$EB$1003,"PM")&gt;0,"PM",IF(COUNTIFS($EG$5:$EG$1003,$EG160,$EB$5:$EB$1003,"OT")&gt;0,"OT",""))))</f>
        <v/>
      </c>
      <c r="EQ160">
        <f>IF($EN160=0,"",UPPER(TRIM(INDEX(LINES_STATUS,$EN160)&amp;"")))</f>
        <v/>
      </c>
      <c r="ER160">
        <f>IF($DM160=0,"",IF(OR($EQ160="READY",$EQ160="PM",$EQ160="OT"),$EQ160,$EP160))</f>
        <v/>
      </c>
      <c r="ES160">
        <f>IF($DM160=0,"",IF(AND($DV160&lt;&gt;"",UPPER($DV160)&lt;&gt;"N"),"allergen",IF(ISNUMBER(SEARCH("oil",$DQ160)),"oil",IF(OR(EXACT($DS160,"A662"),EXACT($DS160,"A624")),"bulk",""))))</f>
        <v/>
      </c>
      <c r="ET160">
        <f>IF($DM160=0,"",IF(OR($EA160="",$EA160=0),"",$EA160/100))</f>
        <v/>
      </c>
      <c r="EU160">
        <f>IF(OR($ET160="",$DY160=""),"",INT($DY160*(1-$ET160)+0.5))</f>
        <v/>
      </c>
      <c r="EW160" t="n">
        <v>156</v>
      </c>
      <c r="EX160">
        <f>IFERROR(MATCH($EW160,$EM$5:$EM$1003,0),0)</f>
        <v/>
      </c>
      <c r="EY160">
        <f>IF($EW160&gt;$B$12,"",IF($EX160&gt;0,"row","spacer"))</f>
        <v/>
      </c>
      <c r="EZ160">
        <f>IF(AND($EY160="row",$EY159&lt;&gt;"row"),1,0)</f>
        <v/>
      </c>
      <c r="FA160">
        <f>IF(AND($EY160="row",$EY161&lt;&gt;"row"),1,0)</f>
        <v/>
      </c>
      <c r="FB160">
        <f>IF($EZ160=1,IFERROR(IF(ISNUMBER(INDEX(PASTE_ALL,INDEX($DF$5:$DF$1003,$EX160),$B$37)),INDEX(PASTE_ALL,INDEX($DF$5:$DF$1003,$EX160),$B$37),INDEX($DH$5:$DH$1003,$EX160)),INDEX($DH$5:$DH$1003,$EX160)),"")</f>
        <v/>
      </c>
      <c r="FC160">
        <f>IF($EY160="row",INDEX($ER$5:$ER$1003,$EX160),"")</f>
        <v/>
      </c>
      <c r="FD160">
        <f>IF($EY160="row",INDEX($DN$5:$DN$1003,$EX160),"")</f>
        <v/>
      </c>
      <c r="FE160">
        <f>IF($EY160="row",INDEX($DO$5:$DO$1003,$EX160),"")</f>
        <v/>
      </c>
      <c r="FF160">
        <f>IF($EY160="row",INDEX($DP$5:$DP$1003,$EX160),"")</f>
        <v/>
      </c>
      <c r="FG160">
        <f>IF($EY160="row",INDEX($DQ$5:$DQ$1003,$EX160),"")</f>
        <v/>
      </c>
      <c r="FH160">
        <f>IF($EY160="row",INDEX($DR$5:$DR$1003,$EX160),"")</f>
        <v/>
      </c>
      <c r="FI160">
        <f>IF($EY160="row",INDEX($DS$5:$DS$1003,$EX160),"")</f>
        <v/>
      </c>
      <c r="FJ160">
        <f>IF($EY160="row",INDEX($DT$5:$DT$1003,$EX160),"")</f>
        <v/>
      </c>
      <c r="FK160">
        <f>IF($EY160="row",INDEX($DU$5:$DU$1003,$EX160),"")</f>
        <v/>
      </c>
      <c r="FL160">
        <f>IF($EY160="row",INDEX($DV$5:$DV$1003,$EX160),"")</f>
        <v/>
      </c>
      <c r="FM160">
        <f>IF($EY160="row",INDEX($DW$5:$DW$1003,$EX160),"")</f>
        <v/>
      </c>
      <c r="FN160">
        <f>IF($EY160="row",INDEX($DY$5:$DY$1003,$EX160),"")</f>
        <v/>
      </c>
      <c r="FO160">
        <f>IF($EY160="row",INDEX($EA$5:$EA$1003,$EX160),"")</f>
        <v/>
      </c>
      <c r="FP160">
        <f>IF($EY160="row",INDEX($EC$5:$EC$1003,$EX160),"")</f>
        <v/>
      </c>
      <c r="FQ160">
        <f>IF($EY160="row",INDEX($ET$5:$ET$1003,$EX160),"")</f>
        <v/>
      </c>
      <c r="FR160">
        <f>IF($EY160="row",INDEX($EU$5:$EU$1003,$EX160),"")</f>
        <v/>
      </c>
      <c r="FS160">
        <f>IF(AND($EY160="row",$EY159="row"),IF(OR(INDEX($DT$5:$DT$1003,$EX159)="",INDEX($DT$5:$DT$1003,$EX160)=""),"",IF(NOT(EXACT(INDEX($DT$5:$DT$1003,$EX159),INDEX($DT$5:$DT$1003,$EX160))),"S4",IF(NOT(EXACT(INDEX($DS$5:$DS$1003,$EX159),INDEX($DS$5:$DS$1003,$EX160))),"S3",IF(NOT(EXACT(INDEX($DR$5:$DR$1003,$EX159),INDEX($DR$5:$DR$1003,$EX160))),"S1 Count Change","S1")))),"")</f>
        <v/>
      </c>
      <c r="FT160">
        <f>IF($EY160="row",INDEX($ES$5:$ES$1003,$EX160),"")</f>
        <v/>
      </c>
      <c r="FU160">
        <f>IF($EY160="row",INDEX($EO$5:$EO$1003,$EX160),0)</f>
        <v/>
      </c>
      <c r="FV160">
        <f>IF($FS160="S1 Count Change",1,0)</f>
        <v/>
      </c>
    </row>
    <row r="161">
      <c r="Y161">
        <f>IF(Y26="",0,2*(OR(ISNUMBER(FIND("WORKCENTER",Y26)),AND(LEFT(Y26,4)="LINE",NOT(ISNUMBER(FIND("STATUS",Y26))))))+4*(OR(ISNUMBER(FIND("WORKORDER",Y26)),AND(LEFT(Y26,2)="WO",OR(ISNUMBER(FIND("NUM",Y26)),RIGHT(Y26,2)="NO"))))+8*(LEFT(Y26,3)="SEQ")+16*(AND(LEFT(Y26,4)="ITEM",NOT(ISNUMBER(FIND("DESC",Y26)))))+32*(AND(ISNUMBER(FIND("DESC",Y26)),NOT(ISNUMBER(FIND("CAP",Y26)))))+64*(OR(RIGHT(Y26,5)="COUNT",RIGHT(Y26,2)="CT"))+128*(ISNUMBER(FIND("BULK",Y26)))+256*(ISNUMBER(FIND("SIZE",Y26)))+512*(LEFT(Y26,3)="CAP")+1024*(ISNUMBER(FIND("ALLERG",Y26)))+2048*(OR(ISNUMBER(FIND("REMARK",Y26)),ISNUMBER(FIND("COMMENT",Y26))))+4096*(OR(ISNUMBER(FIND("QTY",Y26)),ISNUMBER(FIND("QUANTITY",Y26))))+8192*(AND(OR(ISNUMBER(FIND("COMPLETE",Y26)),ISNUMBER(FIND("PCT",Y26)),ISNUMBER(FIND("PERCENT",Y26))),NOT(ISNUMBER(FIND("ACTUAL",Y26))),LEN(Y26)&lt;=16))+32768*(OR(ISNUMBER(FIND("DESIC",Y26)),ISNUMBER(FIND("DESSIC",Y26)))))</f>
        <v/>
      </c>
      <c r="Z161">
        <f>IF(Z26="",0,2*(OR(ISNUMBER(FIND("WORKCENTER",Z26)),AND(LEFT(Z26,4)="LINE",NOT(ISNUMBER(FIND("STATUS",Z26))))))+4*(OR(ISNUMBER(FIND("WORKORDER",Z26)),AND(LEFT(Z26,2)="WO",OR(ISNUMBER(FIND("NUM",Z26)),RIGHT(Z26,2)="NO"))))+8*(LEFT(Z26,3)="SEQ")+16*(AND(LEFT(Z26,4)="ITEM",NOT(ISNUMBER(FIND("DESC",Z26)))))+32*(AND(ISNUMBER(FIND("DESC",Z26)),NOT(ISNUMBER(FIND("CAP",Z26)))))+64*(OR(RIGHT(Z26,5)="COUNT",RIGHT(Z26,2)="CT"))+128*(ISNUMBER(FIND("BULK",Z26)))+256*(ISNUMBER(FIND("SIZE",Z26)))+512*(LEFT(Z26,3)="CAP")+1024*(ISNUMBER(FIND("ALLERG",Z26)))+2048*(OR(ISNUMBER(FIND("REMARK",Z26)),ISNUMBER(FIND("COMMENT",Z26))))+4096*(OR(ISNUMBER(FIND("QTY",Z26)),ISNUMBER(FIND("QUANTITY",Z26))))+8192*(AND(OR(ISNUMBER(FIND("COMPLETE",Z26)),ISNUMBER(FIND("PCT",Z26)),ISNUMBER(FIND("PERCENT",Z26))),NOT(ISNUMBER(FIND("ACTUAL",Z26))),LEN(Z26)&lt;=16))+32768*(OR(ISNUMBER(FIND("DESIC",Z26)),ISNUMBER(FIND("DESSIC",Z26)))))</f>
        <v/>
      </c>
      <c r="AA161">
        <f>IF(AA26="",0,2*(OR(ISNUMBER(FIND("WORKCENTER",AA26)),AND(LEFT(AA26,4)="LINE",NOT(ISNUMBER(FIND("STATUS",AA26))))))+4*(OR(ISNUMBER(FIND("WORKORDER",AA26)),AND(LEFT(AA26,2)="WO",OR(ISNUMBER(FIND("NUM",AA26)),RIGHT(AA26,2)="NO"))))+8*(LEFT(AA26,3)="SEQ")+16*(AND(LEFT(AA26,4)="ITEM",NOT(ISNUMBER(FIND("DESC",AA26)))))+32*(AND(ISNUMBER(FIND("DESC",AA26)),NOT(ISNUMBER(FIND("CAP",AA26)))))+64*(OR(RIGHT(AA26,5)="COUNT",RIGHT(AA26,2)="CT"))+128*(ISNUMBER(FIND("BULK",AA26)))+256*(ISNUMBER(FIND("SIZE",AA26)))+512*(LEFT(AA26,3)="CAP")+1024*(ISNUMBER(FIND("ALLERG",AA26)))+2048*(OR(ISNUMBER(FIND("REMARK",AA26)),ISNUMBER(FIND("COMMENT",AA26))))+4096*(OR(ISNUMBER(FIND("QTY",AA26)),ISNUMBER(FIND("QUANTITY",AA26))))+8192*(AND(OR(ISNUMBER(FIND("COMPLETE",AA26)),ISNUMBER(FIND("PCT",AA26)),ISNUMBER(FIND("PERCENT",AA26))),NOT(ISNUMBER(FIND("ACTUAL",AA26))),LEN(AA26)&lt;=16))+32768*(OR(ISNUMBER(FIND("DESIC",AA26)),ISNUMBER(FIND("DESSIC",AA26)))))</f>
        <v/>
      </c>
      <c r="AB161">
        <f>IF(AB26="",0,2*(OR(ISNUMBER(FIND("WORKCENTER",AB26)),AND(LEFT(AB26,4)="LINE",NOT(ISNUMBER(FIND("STATUS",AB26))))))+4*(OR(ISNUMBER(FIND("WORKORDER",AB26)),AND(LEFT(AB26,2)="WO",OR(ISNUMBER(FIND("NUM",AB26)),RIGHT(AB26,2)="NO"))))+8*(LEFT(AB26,3)="SEQ")+16*(AND(LEFT(AB26,4)="ITEM",NOT(ISNUMBER(FIND("DESC",AB26)))))+32*(AND(ISNUMBER(FIND("DESC",AB26)),NOT(ISNUMBER(FIND("CAP",AB26)))))+64*(OR(RIGHT(AB26,5)="COUNT",RIGHT(AB26,2)="CT"))+128*(ISNUMBER(FIND("BULK",AB26)))+256*(ISNUMBER(FIND("SIZE",AB26)))+512*(LEFT(AB26,3)="CAP")+1024*(ISNUMBER(FIND("ALLERG",AB26)))+2048*(OR(ISNUMBER(FIND("REMARK",AB26)),ISNUMBER(FIND("COMMENT",AB26))))+4096*(OR(ISNUMBER(FIND("QTY",AB26)),ISNUMBER(FIND("QUANTITY",AB26))))+8192*(AND(OR(ISNUMBER(FIND("COMPLETE",AB26)),ISNUMBER(FIND("PCT",AB26)),ISNUMBER(FIND("PERCENT",AB26))),NOT(ISNUMBER(FIND("ACTUAL",AB26))),LEN(AB26)&lt;=16))+32768*(OR(ISNUMBER(FIND("DESIC",AB26)),ISNUMBER(FIND("DESSIC",AB26)))))</f>
        <v/>
      </c>
      <c r="AC161">
        <f>IF(AC26="",0,2*(OR(ISNUMBER(FIND("WORKCENTER",AC26)),AND(LEFT(AC26,4)="LINE",NOT(ISNUMBER(FIND("STATUS",AC26))))))+4*(OR(ISNUMBER(FIND("WORKORDER",AC26)),AND(LEFT(AC26,2)="WO",OR(ISNUMBER(FIND("NUM",AC26)),RIGHT(AC26,2)="NO"))))+8*(LEFT(AC26,3)="SEQ")+16*(AND(LEFT(AC26,4)="ITEM",NOT(ISNUMBER(FIND("DESC",AC26)))))+32*(AND(ISNUMBER(FIND("DESC",AC26)),NOT(ISNUMBER(FIND("CAP",AC26)))))+64*(OR(RIGHT(AC26,5)="COUNT",RIGHT(AC26,2)="CT"))+128*(ISNUMBER(FIND("BULK",AC26)))+256*(ISNUMBER(FIND("SIZE",AC26)))+512*(LEFT(AC26,3)="CAP")+1024*(ISNUMBER(FIND("ALLERG",AC26)))+2048*(OR(ISNUMBER(FIND("REMARK",AC26)),ISNUMBER(FIND("COMMENT",AC26))))+4096*(OR(ISNUMBER(FIND("QTY",AC26)),ISNUMBER(FIND("QUANTITY",AC26))))+8192*(AND(OR(ISNUMBER(FIND("COMPLETE",AC26)),ISNUMBER(FIND("PCT",AC26)),ISNUMBER(FIND("PERCENT",AC26))),NOT(ISNUMBER(FIND("ACTUAL",AC26))),LEN(AC26)&lt;=16))+32768*(OR(ISNUMBER(FIND("DESIC",AC26)),ISNUMBER(FIND("DESSIC",AC26)))))</f>
        <v/>
      </c>
      <c r="AD161">
        <f>IF(AD26="",0,2*(OR(ISNUMBER(FIND("WORKCENTER",AD26)),AND(LEFT(AD26,4)="LINE",NOT(ISNUMBER(FIND("STATUS",AD26))))))+4*(OR(ISNUMBER(FIND("WORKORDER",AD26)),AND(LEFT(AD26,2)="WO",OR(ISNUMBER(FIND("NUM",AD26)),RIGHT(AD26,2)="NO"))))+8*(LEFT(AD26,3)="SEQ")+16*(AND(LEFT(AD26,4)="ITEM",NOT(ISNUMBER(FIND("DESC",AD26)))))+32*(AND(ISNUMBER(FIND("DESC",AD26)),NOT(ISNUMBER(FIND("CAP",AD26)))))+64*(OR(RIGHT(AD26,5)="COUNT",RIGHT(AD26,2)="CT"))+128*(ISNUMBER(FIND("BULK",AD26)))+256*(ISNUMBER(FIND("SIZE",AD26)))+512*(LEFT(AD26,3)="CAP")+1024*(ISNUMBER(FIND("ALLERG",AD26)))+2048*(OR(ISNUMBER(FIND("REMARK",AD26)),ISNUMBER(FIND("COMMENT",AD26))))+4096*(OR(ISNUMBER(FIND("QTY",AD26)),ISNUMBER(FIND("QUANTITY",AD26))))+8192*(AND(OR(ISNUMBER(FIND("COMPLETE",AD26)),ISNUMBER(FIND("PCT",AD26)),ISNUMBER(FIND("PERCENT",AD26))),NOT(ISNUMBER(FIND("ACTUAL",AD26))),LEN(AD26)&lt;=16))+32768*(OR(ISNUMBER(FIND("DESIC",AD26)),ISNUMBER(FIND("DESSIC",AD26)))))</f>
        <v/>
      </c>
      <c r="AE161">
        <f>IF(AE26="",0,2*(OR(ISNUMBER(FIND("WORKCENTER",AE26)),AND(LEFT(AE26,4)="LINE",NOT(ISNUMBER(FIND("STATUS",AE26))))))+4*(OR(ISNUMBER(FIND("WORKORDER",AE26)),AND(LEFT(AE26,2)="WO",OR(ISNUMBER(FIND("NUM",AE26)),RIGHT(AE26,2)="NO"))))+8*(LEFT(AE26,3)="SEQ")+16*(AND(LEFT(AE26,4)="ITEM",NOT(ISNUMBER(FIND("DESC",AE26)))))+32*(AND(ISNUMBER(FIND("DESC",AE26)),NOT(ISNUMBER(FIND("CAP",AE26)))))+64*(OR(RIGHT(AE26,5)="COUNT",RIGHT(AE26,2)="CT"))+128*(ISNUMBER(FIND("BULK",AE26)))+256*(ISNUMBER(FIND("SIZE",AE26)))+512*(LEFT(AE26,3)="CAP")+1024*(ISNUMBER(FIND("ALLERG",AE26)))+2048*(OR(ISNUMBER(FIND("REMARK",AE26)),ISNUMBER(FIND("COMMENT",AE26))))+4096*(OR(ISNUMBER(FIND("QTY",AE26)),ISNUMBER(FIND("QUANTITY",AE26))))+8192*(AND(OR(ISNUMBER(FIND("COMPLETE",AE26)),ISNUMBER(FIND("PCT",AE26)),ISNUMBER(FIND("PERCENT",AE26))),NOT(ISNUMBER(FIND("ACTUAL",AE26))),LEN(AE26)&lt;=16))+32768*(OR(ISNUMBER(FIND("DESIC",AE26)),ISNUMBER(FIND("DESSIC",AE26)))))</f>
        <v/>
      </c>
      <c r="AF161">
        <f>IF(AF26="",0,2*(OR(ISNUMBER(FIND("WORKCENTER",AF26)),AND(LEFT(AF26,4)="LINE",NOT(ISNUMBER(FIND("STATUS",AF26))))))+4*(OR(ISNUMBER(FIND("WORKORDER",AF26)),AND(LEFT(AF26,2)="WO",OR(ISNUMBER(FIND("NUM",AF26)),RIGHT(AF26,2)="NO"))))+8*(LEFT(AF26,3)="SEQ")+16*(AND(LEFT(AF26,4)="ITEM",NOT(ISNUMBER(FIND("DESC",AF26)))))+32*(AND(ISNUMBER(FIND("DESC",AF26)),NOT(ISNUMBER(FIND("CAP",AF26)))))+64*(OR(RIGHT(AF26,5)="COUNT",RIGHT(AF26,2)="CT"))+128*(ISNUMBER(FIND("BULK",AF26)))+256*(ISNUMBER(FIND("SIZE",AF26)))+512*(LEFT(AF26,3)="CAP")+1024*(ISNUMBER(FIND("ALLERG",AF26)))+2048*(OR(ISNUMBER(FIND("REMARK",AF26)),ISNUMBER(FIND("COMMENT",AF26))))+4096*(OR(ISNUMBER(FIND("QTY",AF26)),ISNUMBER(FIND("QUANTITY",AF26))))+8192*(AND(OR(ISNUMBER(FIND("COMPLETE",AF26)),ISNUMBER(FIND("PCT",AF26)),ISNUMBER(FIND("PERCENT",AF26))),NOT(ISNUMBER(FIND("ACTUAL",AF26))),LEN(AF26)&lt;=16))+32768*(OR(ISNUMBER(FIND("DESIC",AF26)),ISNUMBER(FIND("DESSIC",AF26)))))</f>
        <v/>
      </c>
      <c r="AG161">
        <f>IF(AG26="",0,2*(OR(ISNUMBER(FIND("WORKCENTER",AG26)),AND(LEFT(AG26,4)="LINE",NOT(ISNUMBER(FIND("STATUS",AG26))))))+4*(OR(ISNUMBER(FIND("WORKORDER",AG26)),AND(LEFT(AG26,2)="WO",OR(ISNUMBER(FIND("NUM",AG26)),RIGHT(AG26,2)="NO"))))+8*(LEFT(AG26,3)="SEQ")+16*(AND(LEFT(AG26,4)="ITEM",NOT(ISNUMBER(FIND("DESC",AG26)))))+32*(AND(ISNUMBER(FIND("DESC",AG26)),NOT(ISNUMBER(FIND("CAP",AG26)))))+64*(OR(RIGHT(AG26,5)="COUNT",RIGHT(AG26,2)="CT"))+128*(ISNUMBER(FIND("BULK",AG26)))+256*(ISNUMBER(FIND("SIZE",AG26)))+512*(LEFT(AG26,3)="CAP")+1024*(ISNUMBER(FIND("ALLERG",AG26)))+2048*(OR(ISNUMBER(FIND("REMARK",AG26)),ISNUMBER(FIND("COMMENT",AG26))))+4096*(OR(ISNUMBER(FIND("QTY",AG26)),ISNUMBER(FIND("QUANTITY",AG26))))+8192*(AND(OR(ISNUMBER(FIND("COMPLETE",AG26)),ISNUMBER(FIND("PCT",AG26)),ISNUMBER(FIND("PERCENT",AG26))),NOT(ISNUMBER(FIND("ACTUAL",AG26))),LEN(AG26)&lt;=16))+32768*(OR(ISNUMBER(FIND("DESIC",AG26)),ISNUMBER(FIND("DESSIC",AG26)))))</f>
        <v/>
      </c>
      <c r="AH161">
        <f>IF(AH26="",0,2*(OR(ISNUMBER(FIND("WORKCENTER",AH26)),AND(LEFT(AH26,4)="LINE",NOT(ISNUMBER(FIND("STATUS",AH26))))))+4*(OR(ISNUMBER(FIND("WORKORDER",AH26)),AND(LEFT(AH26,2)="WO",OR(ISNUMBER(FIND("NUM",AH26)),RIGHT(AH26,2)="NO"))))+8*(LEFT(AH26,3)="SEQ")+16*(AND(LEFT(AH26,4)="ITEM",NOT(ISNUMBER(FIND("DESC",AH26)))))+32*(AND(ISNUMBER(FIND("DESC",AH26)),NOT(ISNUMBER(FIND("CAP",AH26)))))+64*(OR(RIGHT(AH26,5)="COUNT",RIGHT(AH26,2)="CT"))+128*(ISNUMBER(FIND("BULK",AH26)))+256*(ISNUMBER(FIND("SIZE",AH26)))+512*(LEFT(AH26,3)="CAP")+1024*(ISNUMBER(FIND("ALLERG",AH26)))+2048*(OR(ISNUMBER(FIND("REMARK",AH26)),ISNUMBER(FIND("COMMENT",AH26))))+4096*(OR(ISNUMBER(FIND("QTY",AH26)),ISNUMBER(FIND("QUANTITY",AH26))))+8192*(AND(OR(ISNUMBER(FIND("COMPLETE",AH26)),ISNUMBER(FIND("PCT",AH26)),ISNUMBER(FIND("PERCENT",AH26))),NOT(ISNUMBER(FIND("ACTUAL",AH26))),LEN(AH26)&lt;=16))+32768*(OR(ISNUMBER(FIND("DESIC",AH26)),ISNUMBER(FIND("DESSIC",AH26)))))</f>
        <v/>
      </c>
      <c r="AI161">
        <f>IF(AI26="",0,2*(OR(ISNUMBER(FIND("WORKCENTER",AI26)),AND(LEFT(AI26,4)="LINE",NOT(ISNUMBER(FIND("STATUS",AI26))))))+4*(OR(ISNUMBER(FIND("WORKORDER",AI26)),AND(LEFT(AI26,2)="WO",OR(ISNUMBER(FIND("NUM",AI26)),RIGHT(AI26,2)="NO"))))+8*(LEFT(AI26,3)="SEQ")+16*(AND(LEFT(AI26,4)="ITEM",NOT(ISNUMBER(FIND("DESC",AI26)))))+32*(AND(ISNUMBER(FIND("DESC",AI26)),NOT(ISNUMBER(FIND("CAP",AI26)))))+64*(OR(RIGHT(AI26,5)="COUNT",RIGHT(AI26,2)="CT"))+128*(ISNUMBER(FIND("BULK",AI26)))+256*(ISNUMBER(FIND("SIZE",AI26)))+512*(LEFT(AI26,3)="CAP")+1024*(ISNUMBER(FIND("ALLERG",AI26)))+2048*(OR(ISNUMBER(FIND("REMARK",AI26)),ISNUMBER(FIND("COMMENT",AI26))))+4096*(OR(ISNUMBER(FIND("QTY",AI26)),ISNUMBER(FIND("QUANTITY",AI26))))+8192*(AND(OR(ISNUMBER(FIND("COMPLETE",AI26)),ISNUMBER(FIND("PCT",AI26)),ISNUMBER(FIND("PERCENT",AI26))),NOT(ISNUMBER(FIND("ACTUAL",AI26))),LEN(AI26)&lt;=16))+32768*(OR(ISNUMBER(FIND("DESIC",AI26)),ISNUMBER(FIND("DESSIC",AI26)))))</f>
        <v/>
      </c>
      <c r="AJ161">
        <f>IF(AJ26="",0,2*(OR(ISNUMBER(FIND("WORKCENTER",AJ26)),AND(LEFT(AJ26,4)="LINE",NOT(ISNUMBER(FIND("STATUS",AJ26))))))+4*(OR(ISNUMBER(FIND("WORKORDER",AJ26)),AND(LEFT(AJ26,2)="WO",OR(ISNUMBER(FIND("NUM",AJ26)),RIGHT(AJ26,2)="NO"))))+8*(LEFT(AJ26,3)="SEQ")+16*(AND(LEFT(AJ26,4)="ITEM",NOT(ISNUMBER(FIND("DESC",AJ26)))))+32*(AND(ISNUMBER(FIND("DESC",AJ26)),NOT(ISNUMBER(FIND("CAP",AJ26)))))+64*(OR(RIGHT(AJ26,5)="COUNT",RIGHT(AJ26,2)="CT"))+128*(ISNUMBER(FIND("BULK",AJ26)))+256*(ISNUMBER(FIND("SIZE",AJ26)))+512*(LEFT(AJ26,3)="CAP")+1024*(ISNUMBER(FIND("ALLERG",AJ26)))+2048*(OR(ISNUMBER(FIND("REMARK",AJ26)),ISNUMBER(FIND("COMMENT",AJ26))))+4096*(OR(ISNUMBER(FIND("QTY",AJ26)),ISNUMBER(FIND("QUANTITY",AJ26))))+8192*(AND(OR(ISNUMBER(FIND("COMPLETE",AJ26)),ISNUMBER(FIND("PCT",AJ26)),ISNUMBER(FIND("PERCENT",AJ26))),NOT(ISNUMBER(FIND("ACTUAL",AJ26))),LEN(AJ26)&lt;=16))+32768*(OR(ISNUMBER(FIND("DESIC",AJ26)),ISNUMBER(FIND("DESSIC",AJ26)))))</f>
        <v/>
      </c>
      <c r="AK161">
        <f>IF(AK26="",0,2*(OR(ISNUMBER(FIND("WORKCENTER",AK26)),AND(LEFT(AK26,4)="LINE",NOT(ISNUMBER(FIND("STATUS",AK26))))))+4*(OR(ISNUMBER(FIND("WORKORDER",AK26)),AND(LEFT(AK26,2)="WO",OR(ISNUMBER(FIND("NUM",AK26)),RIGHT(AK26,2)="NO"))))+8*(LEFT(AK26,3)="SEQ")+16*(AND(LEFT(AK26,4)="ITEM",NOT(ISNUMBER(FIND("DESC",AK26)))))+32*(AND(ISNUMBER(FIND("DESC",AK26)),NOT(ISNUMBER(FIND("CAP",AK26)))))+64*(OR(RIGHT(AK26,5)="COUNT",RIGHT(AK26,2)="CT"))+128*(ISNUMBER(FIND("BULK",AK26)))+256*(ISNUMBER(FIND("SIZE",AK26)))+512*(LEFT(AK26,3)="CAP")+1024*(ISNUMBER(FIND("ALLERG",AK26)))+2048*(OR(ISNUMBER(FIND("REMARK",AK26)),ISNUMBER(FIND("COMMENT",AK26))))+4096*(OR(ISNUMBER(FIND("QTY",AK26)),ISNUMBER(FIND("QUANTITY",AK26))))+8192*(AND(OR(ISNUMBER(FIND("COMPLETE",AK26)),ISNUMBER(FIND("PCT",AK26)),ISNUMBER(FIND("PERCENT",AK26))),NOT(ISNUMBER(FIND("ACTUAL",AK26))),LEN(AK26)&lt;=16))+32768*(OR(ISNUMBER(FIND("DESIC",AK26)),ISNUMBER(FIND("DESSIC",AK26)))))</f>
        <v/>
      </c>
      <c r="AL161">
        <f>IF(AL26="",0,2*(OR(ISNUMBER(FIND("WORKCENTER",AL26)),AND(LEFT(AL26,4)="LINE",NOT(ISNUMBER(FIND("STATUS",AL26))))))+4*(OR(ISNUMBER(FIND("WORKORDER",AL26)),AND(LEFT(AL26,2)="WO",OR(ISNUMBER(FIND("NUM",AL26)),RIGHT(AL26,2)="NO"))))+8*(LEFT(AL26,3)="SEQ")+16*(AND(LEFT(AL26,4)="ITEM",NOT(ISNUMBER(FIND("DESC",AL26)))))+32*(AND(ISNUMBER(FIND("DESC",AL26)),NOT(ISNUMBER(FIND("CAP",AL26)))))+64*(OR(RIGHT(AL26,5)="COUNT",RIGHT(AL26,2)="CT"))+128*(ISNUMBER(FIND("BULK",AL26)))+256*(ISNUMBER(FIND("SIZE",AL26)))+512*(LEFT(AL26,3)="CAP")+1024*(ISNUMBER(FIND("ALLERG",AL26)))+2048*(OR(ISNUMBER(FIND("REMARK",AL26)),ISNUMBER(FIND("COMMENT",AL26))))+4096*(OR(ISNUMBER(FIND("QTY",AL26)),ISNUMBER(FIND("QUANTITY",AL26))))+8192*(AND(OR(ISNUMBER(FIND("COMPLETE",AL26)),ISNUMBER(FIND("PCT",AL26)),ISNUMBER(FIND("PERCENT",AL26))),NOT(ISNUMBER(FIND("ACTUAL",AL26))),LEN(AL26)&lt;=16))+32768*(OR(ISNUMBER(FIND("DESIC",AL26)),ISNUMBER(FIND("DESSIC",AL26)))))</f>
        <v/>
      </c>
      <c r="AM161">
        <f>IF(AM26="",0,2*(OR(ISNUMBER(FIND("WORKCENTER",AM26)),AND(LEFT(AM26,4)="LINE",NOT(ISNUMBER(FIND("STATUS",AM26))))))+4*(OR(ISNUMBER(FIND("WORKORDER",AM26)),AND(LEFT(AM26,2)="WO",OR(ISNUMBER(FIND("NUM",AM26)),RIGHT(AM26,2)="NO"))))+8*(LEFT(AM26,3)="SEQ")+16*(AND(LEFT(AM26,4)="ITEM",NOT(ISNUMBER(FIND("DESC",AM26)))))+32*(AND(ISNUMBER(FIND("DESC",AM26)),NOT(ISNUMBER(FIND("CAP",AM26)))))+64*(OR(RIGHT(AM26,5)="COUNT",RIGHT(AM26,2)="CT"))+128*(ISNUMBER(FIND("BULK",AM26)))+256*(ISNUMBER(FIND("SIZE",AM26)))+512*(LEFT(AM26,3)="CAP")+1024*(ISNUMBER(FIND("ALLERG",AM26)))+2048*(OR(ISNUMBER(FIND("REMARK",AM26)),ISNUMBER(FIND("COMMENT",AM26))))+4096*(OR(ISNUMBER(FIND("QTY",AM26)),ISNUMBER(FIND("QUANTITY",AM26))))+8192*(AND(OR(ISNUMBER(FIND("COMPLETE",AM26)),ISNUMBER(FIND("PCT",AM26)),ISNUMBER(FIND("PERCENT",AM26))),NOT(ISNUMBER(FIND("ACTUAL",AM26))),LEN(AM26)&lt;=16))+32768*(OR(ISNUMBER(FIND("DESIC",AM26)),ISNUMBER(FIND("DESSIC",AM26)))))</f>
        <v/>
      </c>
      <c r="AN161">
        <f>IF(AN26="",0,2*(OR(ISNUMBER(FIND("WORKCENTER",AN26)),AND(LEFT(AN26,4)="LINE",NOT(ISNUMBER(FIND("STATUS",AN26))))))+4*(OR(ISNUMBER(FIND("WORKORDER",AN26)),AND(LEFT(AN26,2)="WO",OR(ISNUMBER(FIND("NUM",AN26)),RIGHT(AN26,2)="NO"))))+8*(LEFT(AN26,3)="SEQ")+16*(AND(LEFT(AN26,4)="ITEM",NOT(ISNUMBER(FIND("DESC",AN26)))))+32*(AND(ISNUMBER(FIND("DESC",AN26)),NOT(ISNUMBER(FIND("CAP",AN26)))))+64*(OR(RIGHT(AN26,5)="COUNT",RIGHT(AN26,2)="CT"))+128*(ISNUMBER(FIND("BULK",AN26)))+256*(ISNUMBER(FIND("SIZE",AN26)))+512*(LEFT(AN26,3)="CAP")+1024*(ISNUMBER(FIND("ALLERG",AN26)))+2048*(OR(ISNUMBER(FIND("REMARK",AN26)),ISNUMBER(FIND("COMMENT",AN26))))+4096*(OR(ISNUMBER(FIND("QTY",AN26)),ISNUMBER(FIND("QUANTITY",AN26))))+8192*(AND(OR(ISNUMBER(FIND("COMPLETE",AN26)),ISNUMBER(FIND("PCT",AN26)),ISNUMBER(FIND("PERCENT",AN26))),NOT(ISNUMBER(FIND("ACTUAL",AN26))),LEN(AN26)&lt;=16))+32768*(OR(ISNUMBER(FIND("DESIC",AN26)),ISNUMBER(FIND("DESSIC",AN26)))))</f>
        <v/>
      </c>
      <c r="AO161">
        <f>IF(AO26="",0,2*(OR(ISNUMBER(FIND("WORKCENTER",AO26)),AND(LEFT(AO26,4)="LINE",NOT(ISNUMBER(FIND("STATUS",AO26))))))+4*(OR(ISNUMBER(FIND("WORKORDER",AO26)),AND(LEFT(AO26,2)="WO",OR(ISNUMBER(FIND("NUM",AO26)),RIGHT(AO26,2)="NO"))))+8*(LEFT(AO26,3)="SEQ")+16*(AND(LEFT(AO26,4)="ITEM",NOT(ISNUMBER(FIND("DESC",AO26)))))+32*(AND(ISNUMBER(FIND("DESC",AO26)),NOT(ISNUMBER(FIND("CAP",AO26)))))+64*(OR(RIGHT(AO26,5)="COUNT",RIGHT(AO26,2)="CT"))+128*(ISNUMBER(FIND("BULK",AO26)))+256*(ISNUMBER(FIND("SIZE",AO26)))+512*(LEFT(AO26,3)="CAP")+1024*(ISNUMBER(FIND("ALLERG",AO26)))+2048*(OR(ISNUMBER(FIND("REMARK",AO26)),ISNUMBER(FIND("COMMENT",AO26))))+4096*(OR(ISNUMBER(FIND("QTY",AO26)),ISNUMBER(FIND("QUANTITY",AO26))))+8192*(AND(OR(ISNUMBER(FIND("COMPLETE",AO26)),ISNUMBER(FIND("PCT",AO26)),ISNUMBER(FIND("PERCENT",AO26))),NOT(ISNUMBER(FIND("ACTUAL",AO26))),LEN(AO26)&lt;=16))+32768*(OR(ISNUMBER(FIND("DESIC",AO26)),ISNUMBER(FIND("DESSIC",AO26)))))</f>
        <v/>
      </c>
      <c r="AP161">
        <f>IF(AP26="",0,2*(OR(ISNUMBER(FIND("WORKCENTER",AP26)),AND(LEFT(AP26,4)="LINE",NOT(ISNUMBER(FIND("STATUS",AP26))))))+4*(OR(ISNUMBER(FIND("WORKORDER",AP26)),AND(LEFT(AP26,2)="WO",OR(ISNUMBER(FIND("NUM",AP26)),RIGHT(AP26,2)="NO"))))+8*(LEFT(AP26,3)="SEQ")+16*(AND(LEFT(AP26,4)="ITEM",NOT(ISNUMBER(FIND("DESC",AP26)))))+32*(AND(ISNUMBER(FIND("DESC",AP26)),NOT(ISNUMBER(FIND("CAP",AP26)))))+64*(OR(RIGHT(AP26,5)="COUNT",RIGHT(AP26,2)="CT"))+128*(ISNUMBER(FIND("BULK",AP26)))+256*(ISNUMBER(FIND("SIZE",AP26)))+512*(LEFT(AP26,3)="CAP")+1024*(ISNUMBER(FIND("ALLERG",AP26)))+2048*(OR(ISNUMBER(FIND("REMARK",AP26)),ISNUMBER(FIND("COMMENT",AP26))))+4096*(OR(ISNUMBER(FIND("QTY",AP26)),ISNUMBER(FIND("QUANTITY",AP26))))+8192*(AND(OR(ISNUMBER(FIND("COMPLETE",AP26)),ISNUMBER(FIND("PCT",AP26)),ISNUMBER(FIND("PERCENT",AP26))),NOT(ISNUMBER(FIND("ACTUAL",AP26))),LEN(AP26)&lt;=16))+32768*(OR(ISNUMBER(FIND("DESIC",AP26)),ISNUMBER(FIND("DESSIC",AP26)))))</f>
        <v/>
      </c>
      <c r="AQ161">
        <f>IF(AQ26="",0,2*(OR(ISNUMBER(FIND("WORKCENTER",AQ26)),AND(LEFT(AQ26,4)="LINE",NOT(ISNUMBER(FIND("STATUS",AQ26))))))+4*(OR(ISNUMBER(FIND("WORKORDER",AQ26)),AND(LEFT(AQ26,2)="WO",OR(ISNUMBER(FIND("NUM",AQ26)),RIGHT(AQ26,2)="NO"))))+8*(LEFT(AQ26,3)="SEQ")+16*(AND(LEFT(AQ26,4)="ITEM",NOT(ISNUMBER(FIND("DESC",AQ26)))))+32*(AND(ISNUMBER(FIND("DESC",AQ26)),NOT(ISNUMBER(FIND("CAP",AQ26)))))+64*(OR(RIGHT(AQ26,5)="COUNT",RIGHT(AQ26,2)="CT"))+128*(ISNUMBER(FIND("BULK",AQ26)))+256*(ISNUMBER(FIND("SIZE",AQ26)))+512*(LEFT(AQ26,3)="CAP")+1024*(ISNUMBER(FIND("ALLERG",AQ26)))+2048*(OR(ISNUMBER(FIND("REMARK",AQ26)),ISNUMBER(FIND("COMMENT",AQ26))))+4096*(OR(ISNUMBER(FIND("QTY",AQ26)),ISNUMBER(FIND("QUANTITY",AQ26))))+8192*(AND(OR(ISNUMBER(FIND("COMPLETE",AQ26)),ISNUMBER(FIND("PCT",AQ26)),ISNUMBER(FIND("PERCENT",AQ26))),NOT(ISNUMBER(FIND("ACTUAL",AQ26))),LEN(AQ26)&lt;=16))+32768*(OR(ISNUMBER(FIND("DESIC",AQ26)),ISNUMBER(FIND("DESSIC",AQ26)))))</f>
        <v/>
      </c>
      <c r="AR161">
        <f>IF(AR26="",0,2*(OR(ISNUMBER(FIND("WORKCENTER",AR26)),AND(LEFT(AR26,4)="LINE",NOT(ISNUMBER(FIND("STATUS",AR26))))))+4*(OR(ISNUMBER(FIND("WORKORDER",AR26)),AND(LEFT(AR26,2)="WO",OR(ISNUMBER(FIND("NUM",AR26)),RIGHT(AR26,2)="NO"))))+8*(LEFT(AR26,3)="SEQ")+16*(AND(LEFT(AR26,4)="ITEM",NOT(ISNUMBER(FIND("DESC",AR26)))))+32*(AND(ISNUMBER(FIND("DESC",AR26)),NOT(ISNUMBER(FIND("CAP",AR26)))))+64*(OR(RIGHT(AR26,5)="COUNT",RIGHT(AR26,2)="CT"))+128*(ISNUMBER(FIND("BULK",AR26)))+256*(ISNUMBER(FIND("SIZE",AR26)))+512*(LEFT(AR26,3)="CAP")+1024*(ISNUMBER(FIND("ALLERG",AR26)))+2048*(OR(ISNUMBER(FIND("REMARK",AR26)),ISNUMBER(FIND("COMMENT",AR26))))+4096*(OR(ISNUMBER(FIND("QTY",AR26)),ISNUMBER(FIND("QUANTITY",AR26))))+8192*(AND(OR(ISNUMBER(FIND("COMPLETE",AR26)),ISNUMBER(FIND("PCT",AR26)),ISNUMBER(FIND("PERCENT",AR26))),NOT(ISNUMBER(FIND("ACTUAL",AR26))),LEN(AR26)&lt;=16))+32768*(OR(ISNUMBER(FIND("DESIC",AR26)),ISNUMBER(FIND("DESSIC",AR26)))))</f>
        <v/>
      </c>
      <c r="AS161">
        <f>IF(AS26="",0,2*(OR(ISNUMBER(FIND("WORKCENTER",AS26)),AND(LEFT(AS26,4)="LINE",NOT(ISNUMBER(FIND("STATUS",AS26))))))+4*(OR(ISNUMBER(FIND("WORKORDER",AS26)),AND(LEFT(AS26,2)="WO",OR(ISNUMBER(FIND("NUM",AS26)),RIGHT(AS26,2)="NO"))))+8*(LEFT(AS26,3)="SEQ")+16*(AND(LEFT(AS26,4)="ITEM",NOT(ISNUMBER(FIND("DESC",AS26)))))+32*(AND(ISNUMBER(FIND("DESC",AS26)),NOT(ISNUMBER(FIND("CAP",AS26)))))+64*(OR(RIGHT(AS26,5)="COUNT",RIGHT(AS26,2)="CT"))+128*(ISNUMBER(FIND("BULK",AS26)))+256*(ISNUMBER(FIND("SIZE",AS26)))+512*(LEFT(AS26,3)="CAP")+1024*(ISNUMBER(FIND("ALLERG",AS26)))+2048*(OR(ISNUMBER(FIND("REMARK",AS26)),ISNUMBER(FIND("COMMENT",AS26))))+4096*(OR(ISNUMBER(FIND("QTY",AS26)),ISNUMBER(FIND("QUANTITY",AS26))))+8192*(AND(OR(ISNUMBER(FIND("COMPLETE",AS26)),ISNUMBER(FIND("PCT",AS26)),ISNUMBER(FIND("PERCENT",AS26))),NOT(ISNUMBER(FIND("ACTUAL",AS26))),LEN(AS26)&lt;=16))+32768*(OR(ISNUMBER(FIND("DESIC",AS26)),ISNUMBER(FIND("DESSIC",AS26)))))</f>
        <v/>
      </c>
      <c r="AT161">
        <f>IF(AT26="",0,2*(OR(ISNUMBER(FIND("WORKCENTER",AT26)),AND(LEFT(AT26,4)="LINE",NOT(ISNUMBER(FIND("STATUS",AT26))))))+4*(OR(ISNUMBER(FIND("WORKORDER",AT26)),AND(LEFT(AT26,2)="WO",OR(ISNUMBER(FIND("NUM",AT26)),RIGHT(AT26,2)="NO"))))+8*(LEFT(AT26,3)="SEQ")+16*(AND(LEFT(AT26,4)="ITEM",NOT(ISNUMBER(FIND("DESC",AT26)))))+32*(AND(ISNUMBER(FIND("DESC",AT26)),NOT(ISNUMBER(FIND("CAP",AT26)))))+64*(OR(RIGHT(AT26,5)="COUNT",RIGHT(AT26,2)="CT"))+128*(ISNUMBER(FIND("BULK",AT26)))+256*(ISNUMBER(FIND("SIZE",AT26)))+512*(LEFT(AT26,3)="CAP")+1024*(ISNUMBER(FIND("ALLERG",AT26)))+2048*(OR(ISNUMBER(FIND("REMARK",AT26)),ISNUMBER(FIND("COMMENT",AT26))))+4096*(OR(ISNUMBER(FIND("QTY",AT26)),ISNUMBER(FIND("QUANTITY",AT26))))+8192*(AND(OR(ISNUMBER(FIND("COMPLETE",AT26)),ISNUMBER(FIND("PCT",AT26)),ISNUMBER(FIND("PERCENT",AT26))),NOT(ISNUMBER(FIND("ACTUAL",AT26))),LEN(AT26)&lt;=16))+32768*(OR(ISNUMBER(FIND("DESIC",AT26)),ISNUMBER(FIND("DESSIC",AT26)))))</f>
        <v/>
      </c>
      <c r="AU161">
        <f>IF(AU26="",0,2*(OR(ISNUMBER(FIND("WORKCENTER",AU26)),AND(LEFT(AU26,4)="LINE",NOT(ISNUMBER(FIND("STATUS",AU26))))))+4*(OR(ISNUMBER(FIND("WORKORDER",AU26)),AND(LEFT(AU26,2)="WO",OR(ISNUMBER(FIND("NUM",AU26)),RIGHT(AU26,2)="NO"))))+8*(LEFT(AU26,3)="SEQ")+16*(AND(LEFT(AU26,4)="ITEM",NOT(ISNUMBER(FIND("DESC",AU26)))))+32*(AND(ISNUMBER(FIND("DESC",AU26)),NOT(ISNUMBER(FIND("CAP",AU26)))))+64*(OR(RIGHT(AU26,5)="COUNT",RIGHT(AU26,2)="CT"))+128*(ISNUMBER(FIND("BULK",AU26)))+256*(ISNUMBER(FIND("SIZE",AU26)))+512*(LEFT(AU26,3)="CAP")+1024*(ISNUMBER(FIND("ALLERG",AU26)))+2048*(OR(ISNUMBER(FIND("REMARK",AU26)),ISNUMBER(FIND("COMMENT",AU26))))+4096*(OR(ISNUMBER(FIND("QTY",AU26)),ISNUMBER(FIND("QUANTITY",AU26))))+8192*(AND(OR(ISNUMBER(FIND("COMPLETE",AU26)),ISNUMBER(FIND("PCT",AU26)),ISNUMBER(FIND("PERCENT",AU26))),NOT(ISNUMBER(FIND("ACTUAL",AU26))),LEN(AU26)&lt;=16))+32768*(OR(ISNUMBER(FIND("DESIC",AU26)),ISNUMBER(FIND("DESSIC",AU26)))))</f>
        <v/>
      </c>
      <c r="AV161">
        <f>IF(AV26="",0,2*(OR(ISNUMBER(FIND("WORKCENTER",AV26)),AND(LEFT(AV26,4)="LINE",NOT(ISNUMBER(FIND("STATUS",AV26))))))+4*(OR(ISNUMBER(FIND("WORKORDER",AV26)),AND(LEFT(AV26,2)="WO",OR(ISNUMBER(FIND("NUM",AV26)),RIGHT(AV26,2)="NO"))))+8*(LEFT(AV26,3)="SEQ")+16*(AND(LEFT(AV26,4)="ITEM",NOT(ISNUMBER(FIND("DESC",AV26)))))+32*(AND(ISNUMBER(FIND("DESC",AV26)),NOT(ISNUMBER(FIND("CAP",AV26)))))+64*(OR(RIGHT(AV26,5)="COUNT",RIGHT(AV26,2)="CT"))+128*(ISNUMBER(FIND("BULK",AV26)))+256*(ISNUMBER(FIND("SIZE",AV26)))+512*(LEFT(AV26,3)="CAP")+1024*(ISNUMBER(FIND("ALLERG",AV26)))+2048*(OR(ISNUMBER(FIND("REMARK",AV26)),ISNUMBER(FIND("COMMENT",AV26))))+4096*(OR(ISNUMBER(FIND("QTY",AV26)),ISNUMBER(FIND("QUANTITY",AV26))))+8192*(AND(OR(ISNUMBER(FIND("COMPLETE",AV26)),ISNUMBER(FIND("PCT",AV26)),ISNUMBER(FIND("PERCENT",AV26))),NOT(ISNUMBER(FIND("ACTUAL",AV26))),LEN(AV26)&lt;=16))+32768*(OR(ISNUMBER(FIND("DESIC",AV26)),ISNUMBER(FIND("DESSIC",AV26)))))</f>
        <v/>
      </c>
      <c r="AW161">
        <f>IF(AW26="",0,2*(OR(ISNUMBER(FIND("WORKCENTER",AW26)),AND(LEFT(AW26,4)="LINE",NOT(ISNUMBER(FIND("STATUS",AW26))))))+4*(OR(ISNUMBER(FIND("WORKORDER",AW26)),AND(LEFT(AW26,2)="WO",OR(ISNUMBER(FIND("NUM",AW26)),RIGHT(AW26,2)="NO"))))+8*(LEFT(AW26,3)="SEQ")+16*(AND(LEFT(AW26,4)="ITEM",NOT(ISNUMBER(FIND("DESC",AW26)))))+32*(AND(ISNUMBER(FIND("DESC",AW26)),NOT(ISNUMBER(FIND("CAP",AW26)))))+64*(OR(RIGHT(AW26,5)="COUNT",RIGHT(AW26,2)="CT"))+128*(ISNUMBER(FIND("BULK",AW26)))+256*(ISNUMBER(FIND("SIZE",AW26)))+512*(LEFT(AW26,3)="CAP")+1024*(ISNUMBER(FIND("ALLERG",AW26)))+2048*(OR(ISNUMBER(FIND("REMARK",AW26)),ISNUMBER(FIND("COMMENT",AW26))))+4096*(OR(ISNUMBER(FIND("QTY",AW26)),ISNUMBER(FIND("QUANTITY",AW26))))+8192*(AND(OR(ISNUMBER(FIND("COMPLETE",AW26)),ISNUMBER(FIND("PCT",AW26)),ISNUMBER(FIND("PERCENT",AW26))),NOT(ISNUMBER(FIND("ACTUAL",AW26))),LEN(AW26)&lt;=16))+32768*(OR(ISNUMBER(FIND("DESIC",AW26)),ISNUMBER(FIND("DESSIC",AW26)))))</f>
        <v/>
      </c>
      <c r="AX161">
        <f>IF(AX26="",0,2*(OR(ISNUMBER(FIND("WORKCENTER",AX26)),AND(LEFT(AX26,4)="LINE",NOT(ISNUMBER(FIND("STATUS",AX26))))))+4*(OR(ISNUMBER(FIND("WORKORDER",AX26)),AND(LEFT(AX26,2)="WO",OR(ISNUMBER(FIND("NUM",AX26)),RIGHT(AX26,2)="NO"))))+8*(LEFT(AX26,3)="SEQ")+16*(AND(LEFT(AX26,4)="ITEM",NOT(ISNUMBER(FIND("DESC",AX26)))))+32*(AND(ISNUMBER(FIND("DESC",AX26)),NOT(ISNUMBER(FIND("CAP",AX26)))))+64*(OR(RIGHT(AX26,5)="COUNT",RIGHT(AX26,2)="CT"))+128*(ISNUMBER(FIND("BULK",AX26)))+256*(ISNUMBER(FIND("SIZE",AX26)))+512*(LEFT(AX26,3)="CAP")+1024*(ISNUMBER(FIND("ALLERG",AX26)))+2048*(OR(ISNUMBER(FIND("REMARK",AX26)),ISNUMBER(FIND("COMMENT",AX26))))+4096*(OR(ISNUMBER(FIND("QTY",AX26)),ISNUMBER(FIND("QUANTITY",AX26))))+8192*(AND(OR(ISNUMBER(FIND("COMPLETE",AX26)),ISNUMBER(FIND("PCT",AX26)),ISNUMBER(FIND("PERCENT",AX26))),NOT(ISNUMBER(FIND("ACTUAL",AX26))),LEN(AX26)&lt;=16))+32768*(OR(ISNUMBER(FIND("DESIC",AX26)),ISNUMBER(FIND("DESSIC",AX26)))))</f>
        <v/>
      </c>
      <c r="AY161">
        <f>IF(AY26="",0,2*(OR(ISNUMBER(FIND("WORKCENTER",AY26)),AND(LEFT(AY26,4)="LINE",NOT(ISNUMBER(FIND("STATUS",AY26))))))+4*(OR(ISNUMBER(FIND("WORKORDER",AY26)),AND(LEFT(AY26,2)="WO",OR(ISNUMBER(FIND("NUM",AY26)),RIGHT(AY26,2)="NO"))))+8*(LEFT(AY26,3)="SEQ")+16*(AND(LEFT(AY26,4)="ITEM",NOT(ISNUMBER(FIND("DESC",AY26)))))+32*(AND(ISNUMBER(FIND("DESC",AY26)),NOT(ISNUMBER(FIND("CAP",AY26)))))+64*(OR(RIGHT(AY26,5)="COUNT",RIGHT(AY26,2)="CT"))+128*(ISNUMBER(FIND("BULK",AY26)))+256*(ISNUMBER(FIND("SIZE",AY26)))+512*(LEFT(AY26,3)="CAP")+1024*(ISNUMBER(FIND("ALLERG",AY26)))+2048*(OR(ISNUMBER(FIND("REMARK",AY26)),ISNUMBER(FIND("COMMENT",AY26))))+4096*(OR(ISNUMBER(FIND("QTY",AY26)),ISNUMBER(FIND("QUANTITY",AY26))))+8192*(AND(OR(ISNUMBER(FIND("COMPLETE",AY26)),ISNUMBER(FIND("PCT",AY26)),ISNUMBER(FIND("PERCENT",AY26))),NOT(ISNUMBER(FIND("ACTUAL",AY26))),LEN(AY26)&lt;=16))+32768*(OR(ISNUMBER(FIND("DESIC",AY26)),ISNUMBER(FIND("DESSIC",AY26)))))</f>
        <v/>
      </c>
      <c r="AZ161">
        <f>IF(AZ26="",0,2*(OR(ISNUMBER(FIND("WORKCENTER",AZ26)),AND(LEFT(AZ26,4)="LINE",NOT(ISNUMBER(FIND("STATUS",AZ26))))))+4*(OR(ISNUMBER(FIND("WORKORDER",AZ26)),AND(LEFT(AZ26,2)="WO",OR(ISNUMBER(FIND("NUM",AZ26)),RIGHT(AZ26,2)="NO"))))+8*(LEFT(AZ26,3)="SEQ")+16*(AND(LEFT(AZ26,4)="ITEM",NOT(ISNUMBER(FIND("DESC",AZ26)))))+32*(AND(ISNUMBER(FIND("DESC",AZ26)),NOT(ISNUMBER(FIND("CAP",AZ26)))))+64*(OR(RIGHT(AZ26,5)="COUNT",RIGHT(AZ26,2)="CT"))+128*(ISNUMBER(FIND("BULK",AZ26)))+256*(ISNUMBER(FIND("SIZE",AZ26)))+512*(LEFT(AZ26,3)="CAP")+1024*(ISNUMBER(FIND("ALLERG",AZ26)))+2048*(OR(ISNUMBER(FIND("REMARK",AZ26)),ISNUMBER(FIND("COMMENT",AZ26))))+4096*(OR(ISNUMBER(FIND("QTY",AZ26)),ISNUMBER(FIND("QUANTITY",AZ26))))+8192*(AND(OR(ISNUMBER(FIND("COMPLETE",AZ26)),ISNUMBER(FIND("PCT",AZ26)),ISNUMBER(FIND("PERCENT",AZ26))),NOT(ISNUMBER(FIND("ACTUAL",AZ26))),LEN(AZ26)&lt;=16))+32768*(OR(ISNUMBER(FIND("DESIC",AZ26)),ISNUMBER(FIND("DESSIC",AZ26)))))</f>
        <v/>
      </c>
      <c r="BA161">
        <f>IF(BA26="",0,2*(OR(ISNUMBER(FIND("WORKCENTER",BA26)),AND(LEFT(BA26,4)="LINE",NOT(ISNUMBER(FIND("STATUS",BA26))))))+4*(OR(ISNUMBER(FIND("WORKORDER",BA26)),AND(LEFT(BA26,2)="WO",OR(ISNUMBER(FIND("NUM",BA26)),RIGHT(BA26,2)="NO"))))+8*(LEFT(BA26,3)="SEQ")+16*(AND(LEFT(BA26,4)="ITEM",NOT(ISNUMBER(FIND("DESC",BA26)))))+32*(AND(ISNUMBER(FIND("DESC",BA26)),NOT(ISNUMBER(FIND("CAP",BA26)))))+64*(OR(RIGHT(BA26,5)="COUNT",RIGHT(BA26,2)="CT"))+128*(ISNUMBER(FIND("BULK",BA26)))+256*(ISNUMBER(FIND("SIZE",BA26)))+512*(LEFT(BA26,3)="CAP")+1024*(ISNUMBER(FIND("ALLERG",BA26)))+2048*(OR(ISNUMBER(FIND("REMARK",BA26)),ISNUMBER(FIND("COMMENT",BA26))))+4096*(OR(ISNUMBER(FIND("QTY",BA26)),ISNUMBER(FIND("QUANTITY",BA26))))+8192*(AND(OR(ISNUMBER(FIND("COMPLETE",BA26)),ISNUMBER(FIND("PCT",BA26)),ISNUMBER(FIND("PERCENT",BA26))),NOT(ISNUMBER(FIND("ACTUAL",BA26))),LEN(BA26)&lt;=16))+32768*(OR(ISNUMBER(FIND("DESIC",BA26)),ISNUMBER(FIND("DESSIC",BA26)))))</f>
        <v/>
      </c>
      <c r="BB161">
        <f>IF(BB26="",0,2*(OR(ISNUMBER(FIND("WORKCENTER",BB26)),AND(LEFT(BB26,4)="LINE",NOT(ISNUMBER(FIND("STATUS",BB26))))))+4*(OR(ISNUMBER(FIND("WORKORDER",BB26)),AND(LEFT(BB26,2)="WO",OR(ISNUMBER(FIND("NUM",BB26)),RIGHT(BB26,2)="NO"))))+8*(LEFT(BB26,3)="SEQ")+16*(AND(LEFT(BB26,4)="ITEM",NOT(ISNUMBER(FIND("DESC",BB26)))))+32*(AND(ISNUMBER(FIND("DESC",BB26)),NOT(ISNUMBER(FIND("CAP",BB26)))))+64*(OR(RIGHT(BB26,5)="COUNT",RIGHT(BB26,2)="CT"))+128*(ISNUMBER(FIND("BULK",BB26)))+256*(ISNUMBER(FIND("SIZE",BB26)))+512*(LEFT(BB26,3)="CAP")+1024*(ISNUMBER(FIND("ALLERG",BB26)))+2048*(OR(ISNUMBER(FIND("REMARK",BB26)),ISNUMBER(FIND("COMMENT",BB26))))+4096*(OR(ISNUMBER(FIND("QTY",BB26)),ISNUMBER(FIND("QUANTITY",BB26))))+8192*(AND(OR(ISNUMBER(FIND("COMPLETE",BB26)),ISNUMBER(FIND("PCT",BB26)),ISNUMBER(FIND("PERCENT",BB26))),NOT(ISNUMBER(FIND("ACTUAL",BB26))),LEN(BB26)&lt;=16))+32768*(OR(ISNUMBER(FIND("DESIC",BB26)),ISNUMBER(FIND("DESSIC",BB26)))))</f>
        <v/>
      </c>
      <c r="BC161">
        <f>IF(BC26="",0,2*(OR(ISNUMBER(FIND("WORKCENTER",BC26)),AND(LEFT(BC26,4)="LINE",NOT(ISNUMBER(FIND("STATUS",BC26))))))+4*(OR(ISNUMBER(FIND("WORKORDER",BC26)),AND(LEFT(BC26,2)="WO",OR(ISNUMBER(FIND("NUM",BC26)),RIGHT(BC26,2)="NO"))))+8*(LEFT(BC26,3)="SEQ")+16*(AND(LEFT(BC26,4)="ITEM",NOT(ISNUMBER(FIND("DESC",BC26)))))+32*(AND(ISNUMBER(FIND("DESC",BC26)),NOT(ISNUMBER(FIND("CAP",BC26)))))+64*(OR(RIGHT(BC26,5)="COUNT",RIGHT(BC26,2)="CT"))+128*(ISNUMBER(FIND("BULK",BC26)))+256*(ISNUMBER(FIND("SIZE",BC26)))+512*(LEFT(BC26,3)="CAP")+1024*(ISNUMBER(FIND("ALLERG",BC26)))+2048*(OR(ISNUMBER(FIND("REMARK",BC26)),ISNUMBER(FIND("COMMENT",BC26))))+4096*(OR(ISNUMBER(FIND("QTY",BC26)),ISNUMBER(FIND("QUANTITY",BC26))))+8192*(AND(OR(ISNUMBER(FIND("COMPLETE",BC26)),ISNUMBER(FIND("PCT",BC26)),ISNUMBER(FIND("PERCENT",BC26))),NOT(ISNUMBER(FIND("ACTUAL",BC26))),LEN(BC26)&lt;=16))+32768*(OR(ISNUMBER(FIND("DESIC",BC26)),ISNUMBER(FIND("DESSIC",BC26)))))</f>
        <v/>
      </c>
      <c r="BD161">
        <f>IF(BD26="",0,2*(OR(ISNUMBER(FIND("WORKCENTER",BD26)),AND(LEFT(BD26,4)="LINE",NOT(ISNUMBER(FIND("STATUS",BD26))))))+4*(OR(ISNUMBER(FIND("WORKORDER",BD26)),AND(LEFT(BD26,2)="WO",OR(ISNUMBER(FIND("NUM",BD26)),RIGHT(BD26,2)="NO"))))+8*(LEFT(BD26,3)="SEQ")+16*(AND(LEFT(BD26,4)="ITEM",NOT(ISNUMBER(FIND("DESC",BD26)))))+32*(AND(ISNUMBER(FIND("DESC",BD26)),NOT(ISNUMBER(FIND("CAP",BD26)))))+64*(OR(RIGHT(BD26,5)="COUNT",RIGHT(BD26,2)="CT"))+128*(ISNUMBER(FIND("BULK",BD26)))+256*(ISNUMBER(FIND("SIZE",BD26)))+512*(LEFT(BD26,3)="CAP")+1024*(ISNUMBER(FIND("ALLERG",BD26)))+2048*(OR(ISNUMBER(FIND("REMARK",BD26)),ISNUMBER(FIND("COMMENT",BD26))))+4096*(OR(ISNUMBER(FIND("QTY",BD26)),ISNUMBER(FIND("QUANTITY",BD26))))+8192*(AND(OR(ISNUMBER(FIND("COMPLETE",BD26)),ISNUMBER(FIND("PCT",BD26)),ISNUMBER(FIND("PERCENT",BD26))),NOT(ISNUMBER(FIND("ACTUAL",BD26))),LEN(BD26)&lt;=16))+32768*(OR(ISNUMBER(FIND("DESIC",BD26)),ISNUMBER(FIND("DESSIC",BD26)))))</f>
        <v/>
      </c>
      <c r="BE161">
        <f>IF(BE26="",0,2*(OR(ISNUMBER(FIND("WORKCENTER",BE26)),AND(LEFT(BE26,4)="LINE",NOT(ISNUMBER(FIND("STATUS",BE26))))))+4*(OR(ISNUMBER(FIND("WORKORDER",BE26)),AND(LEFT(BE26,2)="WO",OR(ISNUMBER(FIND("NUM",BE26)),RIGHT(BE26,2)="NO"))))+8*(LEFT(BE26,3)="SEQ")+16*(AND(LEFT(BE26,4)="ITEM",NOT(ISNUMBER(FIND("DESC",BE26)))))+32*(AND(ISNUMBER(FIND("DESC",BE26)),NOT(ISNUMBER(FIND("CAP",BE26)))))+64*(OR(RIGHT(BE26,5)="COUNT",RIGHT(BE26,2)="CT"))+128*(ISNUMBER(FIND("BULK",BE26)))+256*(ISNUMBER(FIND("SIZE",BE26)))+512*(LEFT(BE26,3)="CAP")+1024*(ISNUMBER(FIND("ALLERG",BE26)))+2048*(OR(ISNUMBER(FIND("REMARK",BE26)),ISNUMBER(FIND("COMMENT",BE26))))+4096*(OR(ISNUMBER(FIND("QTY",BE26)),ISNUMBER(FIND("QUANTITY",BE26))))+8192*(AND(OR(ISNUMBER(FIND("COMPLETE",BE26)),ISNUMBER(FIND("PCT",BE26)),ISNUMBER(FIND("PERCENT",BE26))),NOT(ISNUMBER(FIND("ACTUAL",BE26))),LEN(BE26)&lt;=16))+32768*(OR(ISNUMBER(FIND("DESIC",BE26)),ISNUMBER(FIND("DESSIC",BE26)))))</f>
        <v/>
      </c>
      <c r="BF161">
        <f>IF(BF26="",0,2*(OR(ISNUMBER(FIND("WORKCENTER",BF26)),AND(LEFT(BF26,4)="LINE",NOT(ISNUMBER(FIND("STATUS",BF26))))))+4*(OR(ISNUMBER(FIND("WORKORDER",BF26)),AND(LEFT(BF26,2)="WO",OR(ISNUMBER(FIND("NUM",BF26)),RIGHT(BF26,2)="NO"))))+8*(LEFT(BF26,3)="SEQ")+16*(AND(LEFT(BF26,4)="ITEM",NOT(ISNUMBER(FIND("DESC",BF26)))))+32*(AND(ISNUMBER(FIND("DESC",BF26)),NOT(ISNUMBER(FIND("CAP",BF26)))))+64*(OR(RIGHT(BF26,5)="COUNT",RIGHT(BF26,2)="CT"))+128*(ISNUMBER(FIND("BULK",BF26)))+256*(ISNUMBER(FIND("SIZE",BF26)))+512*(LEFT(BF26,3)="CAP")+1024*(ISNUMBER(FIND("ALLERG",BF26)))+2048*(OR(ISNUMBER(FIND("REMARK",BF26)),ISNUMBER(FIND("COMMENT",BF26))))+4096*(OR(ISNUMBER(FIND("QTY",BF26)),ISNUMBER(FIND("QUANTITY",BF26))))+8192*(AND(OR(ISNUMBER(FIND("COMPLETE",BF26)),ISNUMBER(FIND("PCT",BF26)),ISNUMBER(FIND("PERCENT",BF26))),NOT(ISNUMBER(FIND("ACTUAL",BF26))),LEN(BF26)&lt;=16))+32768*(OR(ISNUMBER(FIND("DESIC",BF26)),ISNUMBER(FIND("DESSIC",BF26)))))</f>
        <v/>
      </c>
      <c r="BG161">
        <f>IF(BG26="",0,2*(OR(ISNUMBER(FIND("WORKCENTER",BG26)),AND(LEFT(BG26,4)="LINE",NOT(ISNUMBER(FIND("STATUS",BG26))))))+4*(OR(ISNUMBER(FIND("WORKORDER",BG26)),AND(LEFT(BG26,2)="WO",OR(ISNUMBER(FIND("NUM",BG26)),RIGHT(BG26,2)="NO"))))+8*(LEFT(BG26,3)="SEQ")+16*(AND(LEFT(BG26,4)="ITEM",NOT(ISNUMBER(FIND("DESC",BG26)))))+32*(AND(ISNUMBER(FIND("DESC",BG26)),NOT(ISNUMBER(FIND("CAP",BG26)))))+64*(OR(RIGHT(BG26,5)="COUNT",RIGHT(BG26,2)="CT"))+128*(ISNUMBER(FIND("BULK",BG26)))+256*(ISNUMBER(FIND("SIZE",BG26)))+512*(LEFT(BG26,3)="CAP")+1024*(ISNUMBER(FIND("ALLERG",BG26)))+2048*(OR(ISNUMBER(FIND("REMARK",BG26)),ISNUMBER(FIND("COMMENT",BG26))))+4096*(OR(ISNUMBER(FIND("QTY",BG26)),ISNUMBER(FIND("QUANTITY",BG26))))+8192*(AND(OR(ISNUMBER(FIND("COMPLETE",BG26)),ISNUMBER(FIND("PCT",BG26)),ISNUMBER(FIND("PERCENT",BG26))),NOT(ISNUMBER(FIND("ACTUAL",BG26))),LEN(BG26)&lt;=16))+32768*(OR(ISNUMBER(FIND("DESIC",BG26)),ISNUMBER(FIND("DESSIC",BG26)))))</f>
        <v/>
      </c>
      <c r="BH161">
        <f>IF(BH26="",0,2*(OR(ISNUMBER(FIND("WORKCENTER",BH26)),AND(LEFT(BH26,4)="LINE",NOT(ISNUMBER(FIND("STATUS",BH26))))))+4*(OR(ISNUMBER(FIND("WORKORDER",BH26)),AND(LEFT(BH26,2)="WO",OR(ISNUMBER(FIND("NUM",BH26)),RIGHT(BH26,2)="NO"))))+8*(LEFT(BH26,3)="SEQ")+16*(AND(LEFT(BH26,4)="ITEM",NOT(ISNUMBER(FIND("DESC",BH26)))))+32*(AND(ISNUMBER(FIND("DESC",BH26)),NOT(ISNUMBER(FIND("CAP",BH26)))))+64*(OR(RIGHT(BH26,5)="COUNT",RIGHT(BH26,2)="CT"))+128*(ISNUMBER(FIND("BULK",BH26)))+256*(ISNUMBER(FIND("SIZE",BH26)))+512*(LEFT(BH26,3)="CAP")+1024*(ISNUMBER(FIND("ALLERG",BH26)))+2048*(OR(ISNUMBER(FIND("REMARK",BH26)),ISNUMBER(FIND("COMMENT",BH26))))+4096*(OR(ISNUMBER(FIND("QTY",BH26)),ISNUMBER(FIND("QUANTITY",BH26))))+8192*(AND(OR(ISNUMBER(FIND("COMPLETE",BH26)),ISNUMBER(FIND("PCT",BH26)),ISNUMBER(FIND("PERCENT",BH26))),NOT(ISNUMBER(FIND("ACTUAL",BH26))),LEN(BH26)&lt;=16))+32768*(OR(ISNUMBER(FIND("DESIC",BH26)),ISNUMBER(FIND("DESSIC",BH26)))))</f>
        <v/>
      </c>
      <c r="BI161">
        <f>IF(BI26="",0,2*(OR(ISNUMBER(FIND("WORKCENTER",BI26)),AND(LEFT(BI26,4)="LINE",NOT(ISNUMBER(FIND("STATUS",BI26))))))+4*(OR(ISNUMBER(FIND("WORKORDER",BI26)),AND(LEFT(BI26,2)="WO",OR(ISNUMBER(FIND("NUM",BI26)),RIGHT(BI26,2)="NO"))))+8*(LEFT(BI26,3)="SEQ")+16*(AND(LEFT(BI26,4)="ITEM",NOT(ISNUMBER(FIND("DESC",BI26)))))+32*(AND(ISNUMBER(FIND("DESC",BI26)),NOT(ISNUMBER(FIND("CAP",BI26)))))+64*(OR(RIGHT(BI26,5)="COUNT",RIGHT(BI26,2)="CT"))+128*(ISNUMBER(FIND("BULK",BI26)))+256*(ISNUMBER(FIND("SIZE",BI26)))+512*(LEFT(BI26,3)="CAP")+1024*(ISNUMBER(FIND("ALLERG",BI26)))+2048*(OR(ISNUMBER(FIND("REMARK",BI26)),ISNUMBER(FIND("COMMENT",BI26))))+4096*(OR(ISNUMBER(FIND("QTY",BI26)),ISNUMBER(FIND("QUANTITY",BI26))))+8192*(AND(OR(ISNUMBER(FIND("COMPLETE",BI26)),ISNUMBER(FIND("PCT",BI26)),ISNUMBER(FIND("PERCENT",BI26))),NOT(ISNUMBER(FIND("ACTUAL",BI26))),LEN(BI26)&lt;=16))+32768*(OR(ISNUMBER(FIND("DESIC",BI26)),ISNUMBER(FIND("DESSIC",BI26)))))</f>
        <v/>
      </c>
      <c r="BJ161">
        <f>IF(BJ26="",0,2*(OR(ISNUMBER(FIND("WORKCENTER",BJ26)),AND(LEFT(BJ26,4)="LINE",NOT(ISNUMBER(FIND("STATUS",BJ26))))))+4*(OR(ISNUMBER(FIND("WORKORDER",BJ26)),AND(LEFT(BJ26,2)="WO",OR(ISNUMBER(FIND("NUM",BJ26)),RIGHT(BJ26,2)="NO"))))+8*(LEFT(BJ26,3)="SEQ")+16*(AND(LEFT(BJ26,4)="ITEM",NOT(ISNUMBER(FIND("DESC",BJ26)))))+32*(AND(ISNUMBER(FIND("DESC",BJ26)),NOT(ISNUMBER(FIND("CAP",BJ26)))))+64*(OR(RIGHT(BJ26,5)="COUNT",RIGHT(BJ26,2)="CT"))+128*(ISNUMBER(FIND("BULK",BJ26)))+256*(ISNUMBER(FIND("SIZE",BJ26)))+512*(LEFT(BJ26,3)="CAP")+1024*(ISNUMBER(FIND("ALLERG",BJ26)))+2048*(OR(ISNUMBER(FIND("REMARK",BJ26)),ISNUMBER(FIND("COMMENT",BJ26))))+4096*(OR(ISNUMBER(FIND("QTY",BJ26)),ISNUMBER(FIND("QUANTITY",BJ26))))+8192*(AND(OR(ISNUMBER(FIND("COMPLETE",BJ26)),ISNUMBER(FIND("PCT",BJ26)),ISNUMBER(FIND("PERCENT",BJ26))),NOT(ISNUMBER(FIND("ACTUAL",BJ26))),LEN(BJ26)&lt;=16))+32768*(OR(ISNUMBER(FIND("DESIC",BJ26)),ISNUMBER(FIND("DESSIC",BJ26)))))</f>
        <v/>
      </c>
      <c r="BK161">
        <f>IF(BK26="",0,2*(OR(ISNUMBER(FIND("WORKCENTER",BK26)),AND(LEFT(BK26,4)="LINE",NOT(ISNUMBER(FIND("STATUS",BK26))))))+4*(OR(ISNUMBER(FIND("WORKORDER",BK26)),AND(LEFT(BK26,2)="WO",OR(ISNUMBER(FIND("NUM",BK26)),RIGHT(BK26,2)="NO"))))+8*(LEFT(BK26,3)="SEQ")+16*(AND(LEFT(BK26,4)="ITEM",NOT(ISNUMBER(FIND("DESC",BK26)))))+32*(AND(ISNUMBER(FIND("DESC",BK26)),NOT(ISNUMBER(FIND("CAP",BK26)))))+64*(OR(RIGHT(BK26,5)="COUNT",RIGHT(BK26,2)="CT"))+128*(ISNUMBER(FIND("BULK",BK26)))+256*(ISNUMBER(FIND("SIZE",BK26)))+512*(LEFT(BK26,3)="CAP")+1024*(ISNUMBER(FIND("ALLERG",BK26)))+2048*(OR(ISNUMBER(FIND("REMARK",BK26)),ISNUMBER(FIND("COMMENT",BK26))))+4096*(OR(ISNUMBER(FIND("QTY",BK26)),ISNUMBER(FIND("QUANTITY",BK26))))+8192*(AND(OR(ISNUMBER(FIND("COMPLETE",BK26)),ISNUMBER(FIND("PCT",BK26)),ISNUMBER(FIND("PERCENT",BK26))),NOT(ISNUMBER(FIND("ACTUAL",BK26))),LEN(BK26)&lt;=16))+32768*(OR(ISNUMBER(FIND("DESIC",BK26)),ISNUMBER(FIND("DESSIC",BK26)))))</f>
        <v/>
      </c>
      <c r="BL161">
        <f>IF(BL26="",0,2*(OR(ISNUMBER(FIND("WORKCENTER",BL26)),AND(LEFT(BL26,4)="LINE",NOT(ISNUMBER(FIND("STATUS",BL26))))))+4*(OR(ISNUMBER(FIND("WORKORDER",BL26)),AND(LEFT(BL26,2)="WO",OR(ISNUMBER(FIND("NUM",BL26)),RIGHT(BL26,2)="NO"))))+8*(LEFT(BL26,3)="SEQ")+16*(AND(LEFT(BL26,4)="ITEM",NOT(ISNUMBER(FIND("DESC",BL26)))))+32*(AND(ISNUMBER(FIND("DESC",BL26)),NOT(ISNUMBER(FIND("CAP",BL26)))))+64*(OR(RIGHT(BL26,5)="COUNT",RIGHT(BL26,2)="CT"))+128*(ISNUMBER(FIND("BULK",BL26)))+256*(ISNUMBER(FIND("SIZE",BL26)))+512*(LEFT(BL26,3)="CAP")+1024*(ISNUMBER(FIND("ALLERG",BL26)))+2048*(OR(ISNUMBER(FIND("REMARK",BL26)),ISNUMBER(FIND("COMMENT",BL26))))+4096*(OR(ISNUMBER(FIND("QTY",BL26)),ISNUMBER(FIND("QUANTITY",BL26))))+8192*(AND(OR(ISNUMBER(FIND("COMPLETE",BL26)),ISNUMBER(FIND("PCT",BL26)),ISNUMBER(FIND("PERCENT",BL26))),NOT(ISNUMBER(FIND("ACTUAL",BL26))),LEN(BL26)&lt;=16))+32768*(OR(ISNUMBER(FIND("DESIC",BL26)),ISNUMBER(FIND("DESSIC",BL26)))))</f>
        <v/>
      </c>
      <c r="BM161">
        <f>IF(BM26="",0,2*(OR(ISNUMBER(FIND("WORKCENTER",BM26)),AND(LEFT(BM26,4)="LINE",NOT(ISNUMBER(FIND("STATUS",BM26))))))+4*(OR(ISNUMBER(FIND("WORKORDER",BM26)),AND(LEFT(BM26,2)="WO",OR(ISNUMBER(FIND("NUM",BM26)),RIGHT(BM26,2)="NO"))))+8*(LEFT(BM26,3)="SEQ")+16*(AND(LEFT(BM26,4)="ITEM",NOT(ISNUMBER(FIND("DESC",BM26)))))+32*(AND(ISNUMBER(FIND("DESC",BM26)),NOT(ISNUMBER(FIND("CAP",BM26)))))+64*(OR(RIGHT(BM26,5)="COUNT",RIGHT(BM26,2)="CT"))+128*(ISNUMBER(FIND("BULK",BM26)))+256*(ISNUMBER(FIND("SIZE",BM26)))+512*(LEFT(BM26,3)="CAP")+1024*(ISNUMBER(FIND("ALLERG",BM26)))+2048*(OR(ISNUMBER(FIND("REMARK",BM26)),ISNUMBER(FIND("COMMENT",BM26))))+4096*(OR(ISNUMBER(FIND("QTY",BM26)),ISNUMBER(FIND("QUANTITY",BM26))))+8192*(AND(OR(ISNUMBER(FIND("COMPLETE",BM26)),ISNUMBER(FIND("PCT",BM26)),ISNUMBER(FIND("PERCENT",BM26))),NOT(ISNUMBER(FIND("ACTUAL",BM26))),LEN(BM26)&lt;=16))+32768*(OR(ISNUMBER(FIND("DESIC",BM26)),ISNUMBER(FIND("DESSIC",BM26)))))</f>
        <v/>
      </c>
      <c r="BN161">
        <f>IF(BN26="",0,2*(OR(ISNUMBER(FIND("WORKCENTER",BN26)),AND(LEFT(BN26,4)="LINE",NOT(ISNUMBER(FIND("STATUS",BN26))))))+4*(OR(ISNUMBER(FIND("WORKORDER",BN26)),AND(LEFT(BN26,2)="WO",OR(ISNUMBER(FIND("NUM",BN26)),RIGHT(BN26,2)="NO"))))+8*(LEFT(BN26,3)="SEQ")+16*(AND(LEFT(BN26,4)="ITEM",NOT(ISNUMBER(FIND("DESC",BN26)))))+32*(AND(ISNUMBER(FIND("DESC",BN26)),NOT(ISNUMBER(FIND("CAP",BN26)))))+64*(OR(RIGHT(BN26,5)="COUNT",RIGHT(BN26,2)="CT"))+128*(ISNUMBER(FIND("BULK",BN26)))+256*(ISNUMBER(FIND("SIZE",BN26)))+512*(LEFT(BN26,3)="CAP")+1024*(ISNUMBER(FIND("ALLERG",BN26)))+2048*(OR(ISNUMBER(FIND("REMARK",BN26)),ISNUMBER(FIND("COMMENT",BN26))))+4096*(OR(ISNUMBER(FIND("QTY",BN26)),ISNUMBER(FIND("QUANTITY",BN26))))+8192*(AND(OR(ISNUMBER(FIND("COMPLETE",BN26)),ISNUMBER(FIND("PCT",BN26)),ISNUMBER(FIND("PERCENT",BN26))),NOT(ISNUMBER(FIND("ACTUAL",BN26))),LEN(BN26)&lt;=16))+32768*(OR(ISNUMBER(FIND("DESIC",BN26)),ISNUMBER(FIND("DESSIC",BN26)))))</f>
        <v/>
      </c>
      <c r="BO161">
        <f>IF(BO26="",0,2*(OR(ISNUMBER(FIND("WORKCENTER",BO26)),AND(LEFT(BO26,4)="LINE",NOT(ISNUMBER(FIND("STATUS",BO26))))))+4*(OR(ISNUMBER(FIND("WORKORDER",BO26)),AND(LEFT(BO26,2)="WO",OR(ISNUMBER(FIND("NUM",BO26)),RIGHT(BO26,2)="NO"))))+8*(LEFT(BO26,3)="SEQ")+16*(AND(LEFT(BO26,4)="ITEM",NOT(ISNUMBER(FIND("DESC",BO26)))))+32*(AND(ISNUMBER(FIND("DESC",BO26)),NOT(ISNUMBER(FIND("CAP",BO26)))))+64*(OR(RIGHT(BO26,5)="COUNT",RIGHT(BO26,2)="CT"))+128*(ISNUMBER(FIND("BULK",BO26)))+256*(ISNUMBER(FIND("SIZE",BO26)))+512*(LEFT(BO26,3)="CAP")+1024*(ISNUMBER(FIND("ALLERG",BO26)))+2048*(OR(ISNUMBER(FIND("REMARK",BO26)),ISNUMBER(FIND("COMMENT",BO26))))+4096*(OR(ISNUMBER(FIND("QTY",BO26)),ISNUMBER(FIND("QUANTITY",BO26))))+8192*(AND(OR(ISNUMBER(FIND("COMPLETE",BO26)),ISNUMBER(FIND("PCT",BO26)),ISNUMBER(FIND("PERCENT",BO26))),NOT(ISNUMBER(FIND("ACTUAL",BO26))),LEN(BO26)&lt;=16))+32768*(OR(ISNUMBER(FIND("DESIC",BO26)),ISNUMBER(FIND("DESSIC",BO26)))))</f>
        <v/>
      </c>
      <c r="BP161">
        <f>IF(BP26="",0,2*(OR(ISNUMBER(FIND("WORKCENTER",BP26)),AND(LEFT(BP26,4)="LINE",NOT(ISNUMBER(FIND("STATUS",BP26))))))+4*(OR(ISNUMBER(FIND("WORKORDER",BP26)),AND(LEFT(BP26,2)="WO",OR(ISNUMBER(FIND("NUM",BP26)),RIGHT(BP26,2)="NO"))))+8*(LEFT(BP26,3)="SEQ")+16*(AND(LEFT(BP26,4)="ITEM",NOT(ISNUMBER(FIND("DESC",BP26)))))+32*(AND(ISNUMBER(FIND("DESC",BP26)),NOT(ISNUMBER(FIND("CAP",BP26)))))+64*(OR(RIGHT(BP26,5)="COUNT",RIGHT(BP26,2)="CT"))+128*(ISNUMBER(FIND("BULK",BP26)))+256*(ISNUMBER(FIND("SIZE",BP26)))+512*(LEFT(BP26,3)="CAP")+1024*(ISNUMBER(FIND("ALLERG",BP26)))+2048*(OR(ISNUMBER(FIND("REMARK",BP26)),ISNUMBER(FIND("COMMENT",BP26))))+4096*(OR(ISNUMBER(FIND("QTY",BP26)),ISNUMBER(FIND("QUANTITY",BP26))))+8192*(AND(OR(ISNUMBER(FIND("COMPLETE",BP26)),ISNUMBER(FIND("PCT",BP26)),ISNUMBER(FIND("PERCENT",BP26))),NOT(ISNUMBER(FIND("ACTUAL",BP26))),LEN(BP26)&lt;=16))+32768*(OR(ISNUMBER(FIND("DESIC",BP26)),ISNUMBER(FIND("DESSIC",BP26)))))</f>
        <v/>
      </c>
      <c r="BQ161">
        <f>IF(BQ26="",0,2*(OR(ISNUMBER(FIND("WORKCENTER",BQ26)),AND(LEFT(BQ26,4)="LINE",NOT(ISNUMBER(FIND("STATUS",BQ26))))))+4*(OR(ISNUMBER(FIND("WORKORDER",BQ26)),AND(LEFT(BQ26,2)="WO",OR(ISNUMBER(FIND("NUM",BQ26)),RIGHT(BQ26,2)="NO"))))+8*(LEFT(BQ26,3)="SEQ")+16*(AND(LEFT(BQ26,4)="ITEM",NOT(ISNUMBER(FIND("DESC",BQ26)))))+32*(AND(ISNUMBER(FIND("DESC",BQ26)),NOT(ISNUMBER(FIND("CAP",BQ26)))))+64*(OR(RIGHT(BQ26,5)="COUNT",RIGHT(BQ26,2)="CT"))+128*(ISNUMBER(FIND("BULK",BQ26)))+256*(ISNUMBER(FIND("SIZE",BQ26)))+512*(LEFT(BQ26,3)="CAP")+1024*(ISNUMBER(FIND("ALLERG",BQ26)))+2048*(OR(ISNUMBER(FIND("REMARK",BQ26)),ISNUMBER(FIND("COMMENT",BQ26))))+4096*(OR(ISNUMBER(FIND("QTY",BQ26)),ISNUMBER(FIND("QUANTITY",BQ26))))+8192*(AND(OR(ISNUMBER(FIND("COMPLETE",BQ26)),ISNUMBER(FIND("PCT",BQ26)),ISNUMBER(FIND("PERCENT",BQ26))),NOT(ISNUMBER(FIND("ACTUAL",BQ26))),LEN(BQ26)&lt;=16))+32768*(OR(ISNUMBER(FIND("DESIC",BQ26)),ISNUMBER(FIND("DESSIC",BQ26)))))</f>
        <v/>
      </c>
      <c r="BR161">
        <f>IF(BR26="",0,2*(OR(ISNUMBER(FIND("WORKCENTER",BR26)),AND(LEFT(BR26,4)="LINE",NOT(ISNUMBER(FIND("STATUS",BR26))))))+4*(OR(ISNUMBER(FIND("WORKORDER",BR26)),AND(LEFT(BR26,2)="WO",OR(ISNUMBER(FIND("NUM",BR26)),RIGHT(BR26,2)="NO"))))+8*(LEFT(BR26,3)="SEQ")+16*(AND(LEFT(BR26,4)="ITEM",NOT(ISNUMBER(FIND("DESC",BR26)))))+32*(AND(ISNUMBER(FIND("DESC",BR26)),NOT(ISNUMBER(FIND("CAP",BR26)))))+64*(OR(RIGHT(BR26,5)="COUNT",RIGHT(BR26,2)="CT"))+128*(ISNUMBER(FIND("BULK",BR26)))+256*(ISNUMBER(FIND("SIZE",BR26)))+512*(LEFT(BR26,3)="CAP")+1024*(ISNUMBER(FIND("ALLERG",BR26)))+2048*(OR(ISNUMBER(FIND("REMARK",BR26)),ISNUMBER(FIND("COMMENT",BR26))))+4096*(OR(ISNUMBER(FIND("QTY",BR26)),ISNUMBER(FIND("QUANTITY",BR26))))+8192*(AND(OR(ISNUMBER(FIND("COMPLETE",BR26)),ISNUMBER(FIND("PCT",BR26)),ISNUMBER(FIND("PERCENT",BR26))),NOT(ISNUMBER(FIND("ACTUAL",BR26))),LEN(BR26)&lt;=16))+32768*(OR(ISNUMBER(FIND("DESIC",BR26)),ISNUMBER(FIND("DESSIC",BR26)))))</f>
        <v/>
      </c>
      <c r="BS161">
        <f>IF(BS26="",0,2*(OR(ISNUMBER(FIND("WORKCENTER",BS26)),AND(LEFT(BS26,4)="LINE",NOT(ISNUMBER(FIND("STATUS",BS26))))))+4*(OR(ISNUMBER(FIND("WORKORDER",BS26)),AND(LEFT(BS26,2)="WO",OR(ISNUMBER(FIND("NUM",BS26)),RIGHT(BS26,2)="NO"))))+8*(LEFT(BS26,3)="SEQ")+16*(AND(LEFT(BS26,4)="ITEM",NOT(ISNUMBER(FIND("DESC",BS26)))))+32*(AND(ISNUMBER(FIND("DESC",BS26)),NOT(ISNUMBER(FIND("CAP",BS26)))))+64*(OR(RIGHT(BS26,5)="COUNT",RIGHT(BS26,2)="CT"))+128*(ISNUMBER(FIND("BULK",BS26)))+256*(ISNUMBER(FIND("SIZE",BS26)))+512*(LEFT(BS26,3)="CAP")+1024*(ISNUMBER(FIND("ALLERG",BS26)))+2048*(OR(ISNUMBER(FIND("REMARK",BS26)),ISNUMBER(FIND("COMMENT",BS26))))+4096*(OR(ISNUMBER(FIND("QTY",BS26)),ISNUMBER(FIND("QUANTITY",BS26))))+8192*(AND(OR(ISNUMBER(FIND("COMPLETE",BS26)),ISNUMBER(FIND("PCT",BS26)),ISNUMBER(FIND("PERCENT",BS26))),NOT(ISNUMBER(FIND("ACTUAL",BS26))),LEN(BS26)&lt;=16))+32768*(OR(ISNUMBER(FIND("DESIC",BS26)),ISNUMBER(FIND("DESSIC",BS26)))))</f>
        <v/>
      </c>
      <c r="BT161">
        <f>IF(BT26="",0,2*(OR(ISNUMBER(FIND("WORKCENTER",BT26)),AND(LEFT(BT26,4)="LINE",NOT(ISNUMBER(FIND("STATUS",BT26))))))+4*(OR(ISNUMBER(FIND("WORKORDER",BT26)),AND(LEFT(BT26,2)="WO",OR(ISNUMBER(FIND("NUM",BT26)),RIGHT(BT26,2)="NO"))))+8*(LEFT(BT26,3)="SEQ")+16*(AND(LEFT(BT26,4)="ITEM",NOT(ISNUMBER(FIND("DESC",BT26)))))+32*(AND(ISNUMBER(FIND("DESC",BT26)),NOT(ISNUMBER(FIND("CAP",BT26)))))+64*(OR(RIGHT(BT26,5)="COUNT",RIGHT(BT26,2)="CT"))+128*(ISNUMBER(FIND("BULK",BT26)))+256*(ISNUMBER(FIND("SIZE",BT26)))+512*(LEFT(BT26,3)="CAP")+1024*(ISNUMBER(FIND("ALLERG",BT26)))+2048*(OR(ISNUMBER(FIND("REMARK",BT26)),ISNUMBER(FIND("COMMENT",BT26))))+4096*(OR(ISNUMBER(FIND("QTY",BT26)),ISNUMBER(FIND("QUANTITY",BT26))))+8192*(AND(OR(ISNUMBER(FIND("COMPLETE",BT26)),ISNUMBER(FIND("PCT",BT26)),ISNUMBER(FIND("PERCENT",BT26))),NOT(ISNUMBER(FIND("ACTUAL",BT26))),LEN(BT26)&lt;=16))+32768*(OR(ISNUMBER(FIND("DESIC",BT26)),ISNUMBER(FIND("DESSIC",BT26)))))</f>
        <v/>
      </c>
      <c r="BU161">
        <f>IF(BU26="",0,2*(OR(ISNUMBER(FIND("WORKCENTER",BU26)),AND(LEFT(BU26,4)="LINE",NOT(ISNUMBER(FIND("STATUS",BU26))))))+4*(OR(ISNUMBER(FIND("WORKORDER",BU26)),AND(LEFT(BU26,2)="WO",OR(ISNUMBER(FIND("NUM",BU26)),RIGHT(BU26,2)="NO"))))+8*(LEFT(BU26,3)="SEQ")+16*(AND(LEFT(BU26,4)="ITEM",NOT(ISNUMBER(FIND("DESC",BU26)))))+32*(AND(ISNUMBER(FIND("DESC",BU26)),NOT(ISNUMBER(FIND("CAP",BU26)))))+64*(OR(RIGHT(BU26,5)="COUNT",RIGHT(BU26,2)="CT"))+128*(ISNUMBER(FIND("BULK",BU26)))+256*(ISNUMBER(FIND("SIZE",BU26)))+512*(LEFT(BU26,3)="CAP")+1024*(ISNUMBER(FIND("ALLERG",BU26)))+2048*(OR(ISNUMBER(FIND("REMARK",BU26)),ISNUMBER(FIND("COMMENT",BU26))))+4096*(OR(ISNUMBER(FIND("QTY",BU26)),ISNUMBER(FIND("QUANTITY",BU26))))+8192*(AND(OR(ISNUMBER(FIND("COMPLETE",BU26)),ISNUMBER(FIND("PCT",BU26)),ISNUMBER(FIND("PERCENT",BU26))),NOT(ISNUMBER(FIND("ACTUAL",BU26))),LEN(BU26)&lt;=16))+32768*(OR(ISNUMBER(FIND("DESIC",BU26)),ISNUMBER(FIND("DESSIC",BU26)))))</f>
        <v/>
      </c>
      <c r="BV161">
        <f>IF(BV26="",0,2*(OR(ISNUMBER(FIND("WORKCENTER",BV26)),AND(LEFT(BV26,4)="LINE",NOT(ISNUMBER(FIND("STATUS",BV26))))))+4*(OR(ISNUMBER(FIND("WORKORDER",BV26)),AND(LEFT(BV26,2)="WO",OR(ISNUMBER(FIND("NUM",BV26)),RIGHT(BV26,2)="NO"))))+8*(LEFT(BV26,3)="SEQ")+16*(AND(LEFT(BV26,4)="ITEM",NOT(ISNUMBER(FIND("DESC",BV26)))))+32*(AND(ISNUMBER(FIND("DESC",BV26)),NOT(ISNUMBER(FIND("CAP",BV26)))))+64*(OR(RIGHT(BV26,5)="COUNT",RIGHT(BV26,2)="CT"))+128*(ISNUMBER(FIND("BULK",BV26)))+256*(ISNUMBER(FIND("SIZE",BV26)))+512*(LEFT(BV26,3)="CAP")+1024*(ISNUMBER(FIND("ALLERG",BV26)))+2048*(OR(ISNUMBER(FIND("REMARK",BV26)),ISNUMBER(FIND("COMMENT",BV26))))+4096*(OR(ISNUMBER(FIND("QTY",BV26)),ISNUMBER(FIND("QUANTITY",BV26))))+8192*(AND(OR(ISNUMBER(FIND("COMPLETE",BV26)),ISNUMBER(FIND("PCT",BV26)),ISNUMBER(FIND("PERCENT",BV26))),NOT(ISNUMBER(FIND("ACTUAL",BV26))),LEN(BV26)&lt;=16))+32768*(OR(ISNUMBER(FIND("DESIC",BV26)),ISNUMBER(FIND("DESSIC",BV26)))))</f>
        <v/>
      </c>
      <c r="BW161">
        <f>IF(BW26="",0,2*(OR(ISNUMBER(FIND("WORKCENTER",BW26)),AND(LEFT(BW26,4)="LINE",NOT(ISNUMBER(FIND("STATUS",BW26))))))+4*(OR(ISNUMBER(FIND("WORKORDER",BW26)),AND(LEFT(BW26,2)="WO",OR(ISNUMBER(FIND("NUM",BW26)),RIGHT(BW26,2)="NO"))))+8*(LEFT(BW26,3)="SEQ")+16*(AND(LEFT(BW26,4)="ITEM",NOT(ISNUMBER(FIND("DESC",BW26)))))+32*(AND(ISNUMBER(FIND("DESC",BW26)),NOT(ISNUMBER(FIND("CAP",BW26)))))+64*(OR(RIGHT(BW26,5)="COUNT",RIGHT(BW26,2)="CT"))+128*(ISNUMBER(FIND("BULK",BW26)))+256*(ISNUMBER(FIND("SIZE",BW26)))+512*(LEFT(BW26,3)="CAP")+1024*(ISNUMBER(FIND("ALLERG",BW26)))+2048*(OR(ISNUMBER(FIND("REMARK",BW26)),ISNUMBER(FIND("COMMENT",BW26))))+4096*(OR(ISNUMBER(FIND("QTY",BW26)),ISNUMBER(FIND("QUANTITY",BW26))))+8192*(AND(OR(ISNUMBER(FIND("COMPLETE",BW26)),ISNUMBER(FIND("PCT",BW26)),ISNUMBER(FIND("PERCENT",BW26))),NOT(ISNUMBER(FIND("ACTUAL",BW26))),LEN(BW26)&lt;=16))+32768*(OR(ISNUMBER(FIND("DESIC",BW26)),ISNUMBER(FIND("DESSIC",BW26)))))</f>
        <v/>
      </c>
      <c r="BX161">
        <f>IF(BX26="",0,2*(OR(ISNUMBER(FIND("WORKCENTER",BX26)),AND(LEFT(BX26,4)="LINE",NOT(ISNUMBER(FIND("STATUS",BX26))))))+4*(OR(ISNUMBER(FIND("WORKORDER",BX26)),AND(LEFT(BX26,2)="WO",OR(ISNUMBER(FIND("NUM",BX26)),RIGHT(BX26,2)="NO"))))+8*(LEFT(BX26,3)="SEQ")+16*(AND(LEFT(BX26,4)="ITEM",NOT(ISNUMBER(FIND("DESC",BX26)))))+32*(AND(ISNUMBER(FIND("DESC",BX26)),NOT(ISNUMBER(FIND("CAP",BX26)))))+64*(OR(RIGHT(BX26,5)="COUNT",RIGHT(BX26,2)="CT"))+128*(ISNUMBER(FIND("BULK",BX26)))+256*(ISNUMBER(FIND("SIZE",BX26)))+512*(LEFT(BX26,3)="CAP")+1024*(ISNUMBER(FIND("ALLERG",BX26)))+2048*(OR(ISNUMBER(FIND("REMARK",BX26)),ISNUMBER(FIND("COMMENT",BX26))))+4096*(OR(ISNUMBER(FIND("QTY",BX26)),ISNUMBER(FIND("QUANTITY",BX26))))+8192*(AND(OR(ISNUMBER(FIND("COMPLETE",BX26)),ISNUMBER(FIND("PCT",BX26)),ISNUMBER(FIND("PERCENT",BX26))),NOT(ISNUMBER(FIND("ACTUAL",BX26))),LEN(BX26)&lt;=16))+32768*(OR(ISNUMBER(FIND("DESIC",BX26)),ISNUMBER(FIND("DESSIC",BX26)))))</f>
        <v/>
      </c>
      <c r="BY161">
        <f>IF(BY26="",0,2*(OR(ISNUMBER(FIND("WORKCENTER",BY26)),AND(LEFT(BY26,4)="LINE",NOT(ISNUMBER(FIND("STATUS",BY26))))))+4*(OR(ISNUMBER(FIND("WORKORDER",BY26)),AND(LEFT(BY26,2)="WO",OR(ISNUMBER(FIND("NUM",BY26)),RIGHT(BY26,2)="NO"))))+8*(LEFT(BY26,3)="SEQ")+16*(AND(LEFT(BY26,4)="ITEM",NOT(ISNUMBER(FIND("DESC",BY26)))))+32*(AND(ISNUMBER(FIND("DESC",BY26)),NOT(ISNUMBER(FIND("CAP",BY26)))))+64*(OR(RIGHT(BY26,5)="COUNT",RIGHT(BY26,2)="CT"))+128*(ISNUMBER(FIND("BULK",BY26)))+256*(ISNUMBER(FIND("SIZE",BY26)))+512*(LEFT(BY26,3)="CAP")+1024*(ISNUMBER(FIND("ALLERG",BY26)))+2048*(OR(ISNUMBER(FIND("REMARK",BY26)),ISNUMBER(FIND("COMMENT",BY26))))+4096*(OR(ISNUMBER(FIND("QTY",BY26)),ISNUMBER(FIND("QUANTITY",BY26))))+8192*(AND(OR(ISNUMBER(FIND("COMPLETE",BY26)),ISNUMBER(FIND("PCT",BY26)),ISNUMBER(FIND("PERCENT",BY26))),NOT(ISNUMBER(FIND("ACTUAL",BY26))),LEN(BY26)&lt;=16))+32768*(OR(ISNUMBER(FIND("DESIC",BY26)),ISNUMBER(FIND("DESSIC",BY26)))))</f>
        <v/>
      </c>
      <c r="BZ161">
        <f>IF(BZ26="",0,2*(OR(ISNUMBER(FIND("WORKCENTER",BZ26)),AND(LEFT(BZ26,4)="LINE",NOT(ISNUMBER(FIND("STATUS",BZ26))))))+4*(OR(ISNUMBER(FIND("WORKORDER",BZ26)),AND(LEFT(BZ26,2)="WO",OR(ISNUMBER(FIND("NUM",BZ26)),RIGHT(BZ26,2)="NO"))))+8*(LEFT(BZ26,3)="SEQ")+16*(AND(LEFT(BZ26,4)="ITEM",NOT(ISNUMBER(FIND("DESC",BZ26)))))+32*(AND(ISNUMBER(FIND("DESC",BZ26)),NOT(ISNUMBER(FIND("CAP",BZ26)))))+64*(OR(RIGHT(BZ26,5)="COUNT",RIGHT(BZ26,2)="CT"))+128*(ISNUMBER(FIND("BULK",BZ26)))+256*(ISNUMBER(FIND("SIZE",BZ26)))+512*(LEFT(BZ26,3)="CAP")+1024*(ISNUMBER(FIND("ALLERG",BZ26)))+2048*(OR(ISNUMBER(FIND("REMARK",BZ26)),ISNUMBER(FIND("COMMENT",BZ26))))+4096*(OR(ISNUMBER(FIND("QTY",BZ26)),ISNUMBER(FIND("QUANTITY",BZ26))))+8192*(AND(OR(ISNUMBER(FIND("COMPLETE",BZ26)),ISNUMBER(FIND("PCT",BZ26)),ISNUMBER(FIND("PERCENT",BZ26))),NOT(ISNUMBER(FIND("ACTUAL",BZ26))),LEN(BZ26)&lt;=16))+32768*(OR(ISNUMBER(FIND("DESIC",BZ26)),ISNUMBER(FIND("DESSIC",BZ26)))))</f>
        <v/>
      </c>
      <c r="CA161">
        <f>IF(CA26="",0,2*(OR(ISNUMBER(FIND("WORKCENTER",CA26)),AND(LEFT(CA26,4)="LINE",NOT(ISNUMBER(FIND("STATUS",CA26))))))+4*(OR(ISNUMBER(FIND("WORKORDER",CA26)),AND(LEFT(CA26,2)="WO",OR(ISNUMBER(FIND("NUM",CA26)),RIGHT(CA26,2)="NO"))))+8*(LEFT(CA26,3)="SEQ")+16*(AND(LEFT(CA26,4)="ITEM",NOT(ISNUMBER(FIND("DESC",CA26)))))+32*(AND(ISNUMBER(FIND("DESC",CA26)),NOT(ISNUMBER(FIND("CAP",CA26)))))+64*(OR(RIGHT(CA26,5)="COUNT",RIGHT(CA26,2)="CT"))+128*(ISNUMBER(FIND("BULK",CA26)))+256*(ISNUMBER(FIND("SIZE",CA26)))+512*(LEFT(CA26,3)="CAP")+1024*(ISNUMBER(FIND("ALLERG",CA26)))+2048*(OR(ISNUMBER(FIND("REMARK",CA26)),ISNUMBER(FIND("COMMENT",CA26))))+4096*(OR(ISNUMBER(FIND("QTY",CA26)),ISNUMBER(FIND("QUANTITY",CA26))))+8192*(AND(OR(ISNUMBER(FIND("COMPLETE",CA26)),ISNUMBER(FIND("PCT",CA26)),ISNUMBER(FIND("PERCENT",CA26))),NOT(ISNUMBER(FIND("ACTUAL",CA26))),LEN(CA26)&lt;=16))+32768*(OR(ISNUMBER(FIND("DESIC",CA26)),ISNUMBER(FIND("DESSIC",CA26)))))</f>
        <v/>
      </c>
      <c r="CB161">
        <f>IF(CB26="",0,2*(OR(ISNUMBER(FIND("WORKCENTER",CB26)),AND(LEFT(CB26,4)="LINE",NOT(ISNUMBER(FIND("STATUS",CB26))))))+4*(OR(ISNUMBER(FIND("WORKORDER",CB26)),AND(LEFT(CB26,2)="WO",OR(ISNUMBER(FIND("NUM",CB26)),RIGHT(CB26,2)="NO"))))+8*(LEFT(CB26,3)="SEQ")+16*(AND(LEFT(CB26,4)="ITEM",NOT(ISNUMBER(FIND("DESC",CB26)))))+32*(AND(ISNUMBER(FIND("DESC",CB26)),NOT(ISNUMBER(FIND("CAP",CB26)))))+64*(OR(RIGHT(CB26,5)="COUNT",RIGHT(CB26,2)="CT"))+128*(ISNUMBER(FIND("BULK",CB26)))+256*(ISNUMBER(FIND("SIZE",CB26)))+512*(LEFT(CB26,3)="CAP")+1024*(ISNUMBER(FIND("ALLERG",CB26)))+2048*(OR(ISNUMBER(FIND("REMARK",CB26)),ISNUMBER(FIND("COMMENT",CB26))))+4096*(OR(ISNUMBER(FIND("QTY",CB26)),ISNUMBER(FIND("QUANTITY",CB26))))+8192*(AND(OR(ISNUMBER(FIND("COMPLETE",CB26)),ISNUMBER(FIND("PCT",CB26)),ISNUMBER(FIND("PERCENT",CB26))),NOT(ISNUMBER(FIND("ACTUAL",CB26))),LEN(CB26)&lt;=16))+32768*(OR(ISNUMBER(FIND("DESIC",CB26)),ISNUMBER(FIND("DESSIC",CB26)))))</f>
        <v/>
      </c>
      <c r="CC161">
        <f>IF(CC26="",0,2*(OR(ISNUMBER(FIND("WORKCENTER",CC26)),AND(LEFT(CC26,4)="LINE",NOT(ISNUMBER(FIND("STATUS",CC26))))))+4*(OR(ISNUMBER(FIND("WORKORDER",CC26)),AND(LEFT(CC26,2)="WO",OR(ISNUMBER(FIND("NUM",CC26)),RIGHT(CC26,2)="NO"))))+8*(LEFT(CC26,3)="SEQ")+16*(AND(LEFT(CC26,4)="ITEM",NOT(ISNUMBER(FIND("DESC",CC26)))))+32*(AND(ISNUMBER(FIND("DESC",CC26)),NOT(ISNUMBER(FIND("CAP",CC26)))))+64*(OR(RIGHT(CC26,5)="COUNT",RIGHT(CC26,2)="CT"))+128*(ISNUMBER(FIND("BULK",CC26)))+256*(ISNUMBER(FIND("SIZE",CC26)))+512*(LEFT(CC26,3)="CAP")+1024*(ISNUMBER(FIND("ALLERG",CC26)))+2048*(OR(ISNUMBER(FIND("REMARK",CC26)),ISNUMBER(FIND("COMMENT",CC26))))+4096*(OR(ISNUMBER(FIND("QTY",CC26)),ISNUMBER(FIND("QUANTITY",CC26))))+8192*(AND(OR(ISNUMBER(FIND("COMPLETE",CC26)),ISNUMBER(FIND("PCT",CC26)),ISNUMBER(FIND("PERCENT",CC26))),NOT(ISNUMBER(FIND("ACTUAL",CC26))),LEN(CC26)&lt;=16))+32768*(OR(ISNUMBER(FIND("DESIC",CC26)),ISNUMBER(FIND("DESSIC",CC26)))))</f>
        <v/>
      </c>
      <c r="CD161">
        <f>IF(CD26="",0,2*(OR(ISNUMBER(FIND("WORKCENTER",CD26)),AND(LEFT(CD26,4)="LINE",NOT(ISNUMBER(FIND("STATUS",CD26))))))+4*(OR(ISNUMBER(FIND("WORKORDER",CD26)),AND(LEFT(CD26,2)="WO",OR(ISNUMBER(FIND("NUM",CD26)),RIGHT(CD26,2)="NO"))))+8*(LEFT(CD26,3)="SEQ")+16*(AND(LEFT(CD26,4)="ITEM",NOT(ISNUMBER(FIND("DESC",CD26)))))+32*(AND(ISNUMBER(FIND("DESC",CD26)),NOT(ISNUMBER(FIND("CAP",CD26)))))+64*(OR(RIGHT(CD26,5)="COUNT",RIGHT(CD26,2)="CT"))+128*(ISNUMBER(FIND("BULK",CD26)))+256*(ISNUMBER(FIND("SIZE",CD26)))+512*(LEFT(CD26,3)="CAP")+1024*(ISNUMBER(FIND("ALLERG",CD26)))+2048*(OR(ISNUMBER(FIND("REMARK",CD26)),ISNUMBER(FIND("COMMENT",CD26))))+4096*(OR(ISNUMBER(FIND("QTY",CD26)),ISNUMBER(FIND("QUANTITY",CD26))))+8192*(AND(OR(ISNUMBER(FIND("COMPLETE",CD26)),ISNUMBER(FIND("PCT",CD26)),ISNUMBER(FIND("PERCENT",CD26))),NOT(ISNUMBER(FIND("ACTUAL",CD26))),LEN(CD26)&lt;=16))+32768*(OR(ISNUMBER(FIND("DESIC",CD26)),ISNUMBER(FIND("DESSIC",CD26)))))</f>
        <v/>
      </c>
      <c r="CE161">
        <f>IF(CE26="",0,2*(OR(ISNUMBER(FIND("WORKCENTER",CE26)),AND(LEFT(CE26,4)="LINE",NOT(ISNUMBER(FIND("STATUS",CE26))))))+4*(OR(ISNUMBER(FIND("WORKORDER",CE26)),AND(LEFT(CE26,2)="WO",OR(ISNUMBER(FIND("NUM",CE26)),RIGHT(CE26,2)="NO"))))+8*(LEFT(CE26,3)="SEQ")+16*(AND(LEFT(CE26,4)="ITEM",NOT(ISNUMBER(FIND("DESC",CE26)))))+32*(AND(ISNUMBER(FIND("DESC",CE26)),NOT(ISNUMBER(FIND("CAP",CE26)))))+64*(OR(RIGHT(CE26,5)="COUNT",RIGHT(CE26,2)="CT"))+128*(ISNUMBER(FIND("BULK",CE26)))+256*(ISNUMBER(FIND("SIZE",CE26)))+512*(LEFT(CE26,3)="CAP")+1024*(ISNUMBER(FIND("ALLERG",CE26)))+2048*(OR(ISNUMBER(FIND("REMARK",CE26)),ISNUMBER(FIND("COMMENT",CE26))))+4096*(OR(ISNUMBER(FIND("QTY",CE26)),ISNUMBER(FIND("QUANTITY",CE26))))+8192*(AND(OR(ISNUMBER(FIND("COMPLETE",CE26)),ISNUMBER(FIND("PCT",CE26)),ISNUMBER(FIND("PERCENT",CE26))),NOT(ISNUMBER(FIND("ACTUAL",CE26))),LEN(CE26)&lt;=16))+32768*(OR(ISNUMBER(FIND("DESIC",CE26)),ISNUMBER(FIND("DESSIC",CE26)))))</f>
        <v/>
      </c>
      <c r="CF161">
        <f>IF(CF26="",0,2*(OR(ISNUMBER(FIND("WORKCENTER",CF26)),AND(LEFT(CF26,4)="LINE",NOT(ISNUMBER(FIND("STATUS",CF26))))))+4*(OR(ISNUMBER(FIND("WORKORDER",CF26)),AND(LEFT(CF26,2)="WO",OR(ISNUMBER(FIND("NUM",CF26)),RIGHT(CF26,2)="NO"))))+8*(LEFT(CF26,3)="SEQ")+16*(AND(LEFT(CF26,4)="ITEM",NOT(ISNUMBER(FIND("DESC",CF26)))))+32*(AND(ISNUMBER(FIND("DESC",CF26)),NOT(ISNUMBER(FIND("CAP",CF26)))))+64*(OR(RIGHT(CF26,5)="COUNT",RIGHT(CF26,2)="CT"))+128*(ISNUMBER(FIND("BULK",CF26)))+256*(ISNUMBER(FIND("SIZE",CF26)))+512*(LEFT(CF26,3)="CAP")+1024*(ISNUMBER(FIND("ALLERG",CF26)))+2048*(OR(ISNUMBER(FIND("REMARK",CF26)),ISNUMBER(FIND("COMMENT",CF26))))+4096*(OR(ISNUMBER(FIND("QTY",CF26)),ISNUMBER(FIND("QUANTITY",CF26))))+8192*(AND(OR(ISNUMBER(FIND("COMPLETE",CF26)),ISNUMBER(FIND("PCT",CF26)),ISNUMBER(FIND("PERCENT",CF26))),NOT(ISNUMBER(FIND("ACTUAL",CF26))),LEN(CF26)&lt;=16))+32768*(OR(ISNUMBER(FIND("DESIC",CF26)),ISNUMBER(FIND("DESSIC",CF26)))))</f>
        <v/>
      </c>
      <c r="DA161" t="n">
        <v>157</v>
      </c>
      <c r="DB161">
        <f>IF($B$37=0,"",IFERROR(TRIM(SUBSTITUTE(SUBSTITUTE(SUBSTITUTE(SUBSTITUTE(INDEX(PASTE_ALL,157,$B$37)," "," "),CHAR(9)," "),CHAR(10)," "),CHAR(13)," ")),""))</f>
        <v/>
      </c>
      <c r="DC161">
        <f>IF(AND(157&gt;HEADER_ROW,UPPER(DB161)="LEGEND"),1,0)</f>
        <v/>
      </c>
      <c r="DE161" t="n">
        <v>157</v>
      </c>
      <c r="DF161">
        <f>HEADER_ROW+$DE161</f>
        <v/>
      </c>
      <c r="DG161">
        <f>IF(AND($DF161&lt;=1000,$DF161&lt;$B$8),1,0)</f>
        <v/>
      </c>
      <c r="DH161">
        <f>IF($DG161=1,IFERROR(INDEX($DB$5:$DB$1004,$DF161),""),"")</f>
        <v/>
      </c>
      <c r="DI161">
        <f>IF(AND($DG161=1,$DH161&lt;&gt;""),IFERROR(SUBSTITUTE(SUBSTITUTE(TRIM(SUBSTITUTE(SUBSTITUTE(SUBSTITUTE(SUBSTITUTE(IFERROR(INDEX(PASTE_ALL,$DF161,1)&amp;"","")&amp;"␟"&amp;IFERROR(INDEX(PASTE_ALL,$DF161,2)&amp;"","")&amp;"␟"&amp;IFERROR(INDEX(PASTE_ALL,$DF161,3)&amp;"","")&amp;"␟"&amp;IFERROR(INDEX(PASTE_ALL,$DF161,4)&amp;"","")&amp;"␟"&amp;IFERROR(INDEX(PASTE_ALL,$DF161,5)&amp;"","")&amp;"␟"&amp;IFERROR(INDEX(PASTE_ALL,$DF161,6)&amp;"","")&amp;"␟"&amp;IFERROR(INDEX(PASTE_ALL,$DF161,7)&amp;"","")&amp;"␟"&amp;IFERROR(INDEX(PASTE_ALL,$DF161,8)&amp;"","")&amp;"␟"&amp;IFERROR(INDEX(PASTE_ALL,$DF161,9)&amp;"","")&amp;"␟"&amp;IFERROR(INDEX(PASTE_ALL,$DF161,10)&amp;"","")&amp;"␟"&amp;IFERROR(INDEX(PASTE_ALL,$DF161,11)&amp;"","")&amp;"␟"&amp;IFERROR(INDEX(PASTE_ALL,$DF161,12)&amp;"","")&amp;"␟"&amp;IFERROR(INDEX(PASTE_ALL,$DF161,13)&amp;"","")&amp;"␟"&amp;IFERROR(INDEX(PASTE_ALL,$DF161,14)&amp;"","")&amp;"␟"&amp;IFERROR(INDEX(PASTE_ALL,$DF161,15)&amp;"","")&amp;"␟"&amp;IFERROR(INDEX(PASTE_ALL,$DF161,16)&amp;"","")&amp;"␟"&amp;IFERROR(INDEX(PASTE_ALL,$DF161,17)&amp;"","")&amp;"␟"&amp;IFERROR(INDEX(PASTE_ALL,$DF161,18)&amp;"","")&amp;"␟"&amp;IFERROR(INDEX(PASTE_ALL,$DF161,19)&amp;"","")&amp;"␟"&amp;IFERROR(INDEX(PASTE_ALL,$DF161,20)&amp;"","")&amp;"␟"&amp;IFERROR(INDEX(PASTE_ALL,$DF161,21)&amp;"","")&amp;"␟"&amp;IFERROR(INDEX(PASTE_ALL,$DF161,22)&amp;"","")&amp;"␟"&amp;IFERROR(INDEX(PASTE_ALL,$DF161,23)&amp;"","")&amp;"␟"&amp;IFERROR(INDEX(PASTE_ALL,$DF161,24)&amp;"","")&amp;"␟"&amp;IFERROR(INDEX(PASTE_ALL,$DF161,25)&amp;"","")&amp;"␟"&amp;IFERROR(INDEX(PASTE_ALL,$DF161,26)&amp;"","")&amp;"␟"&amp;IFERROR(INDEX(PASTE_ALL,$DF161,27)&amp;"","")&amp;"␟"&amp;IFERROR(INDEX(PASTE_ALL,$DF161,28)&amp;"","")&amp;"␟"&amp;IFERROR(INDEX(PASTE_ALL,$DF161,29)&amp;"","")&amp;"␟"&amp;IFERROR(INDEX(PASTE_ALL,$DF161,30)&amp;"","")&amp;"␟"&amp;IFERROR(INDEX(PASTE_ALL,$DF161,31)&amp;"","")&amp;"␟"&amp;IFERROR(INDEX(PASTE_ALL,$DF161,32)&amp;"","")&amp;"␟"&amp;IFERROR(INDEX(PASTE_ALL,$DF161,33)&amp;"","")&amp;"␟"&amp;IFERROR(INDEX(PASTE_ALL,$DF161,34)&amp;"","")&amp;"␟"&amp;IFERROR(INDEX(PASTE_ALL,$DF161,35)&amp;"","")&amp;"␟"&amp;IFERROR(INDEX(PASTE_ALL,$DF161,36)&amp;"","")&amp;"␟"&amp;IFERROR(INDEX(PASTE_ALL,$DF161,37)&amp;"","")&amp;"␟"&amp;IFERROR(INDEX(PASTE_ALL,$DF161,38)&amp;"","")&amp;"␟"&amp;IFERROR(INDEX(PASTE_ALL,$DF161,39)&amp;"","")&amp;"␟"&amp;IFERROR(INDEX(PASTE_ALL,$DF161,40)&amp;"","")&amp;"␟"&amp;IFERROR(INDEX(PASTE_ALL,$DF161,41)&amp;"","")&amp;"␟"&amp;IFERROR(INDEX(PASTE_ALL,$DF161,42)&amp;"","")&amp;"␟"&amp;IFERROR(INDEX(PASTE_ALL,$DF161,43)&amp;"","")&amp;"␟"&amp;IFERROR(INDEX(PASTE_ALL,$DF161,44)&amp;"","")&amp;"␟"&amp;IFERROR(INDEX(PASTE_ALL,$DF161,45)&amp;"","")&amp;"␟"&amp;IFERROR(INDEX(PASTE_ALL,$DF161,46)&amp;"","")&amp;"␟"&amp;IFERROR(INDEX(PASTE_ALL,$DF161,47)&amp;"","")&amp;"␟"&amp;IFERROR(INDEX(PASTE_ALL,$DF161,48)&amp;"","")&amp;"␟"&amp;IFERROR(INDEX(PASTE_ALL,$DF161,49)&amp;"","")&amp;"␟"&amp;IFERROR(INDEX(PASTE_ALL,$DF161,50)&amp;"","")&amp;"␟"&amp;IFERROR(INDEX(PASTE_ALL,$DF161,51)&amp;"","")&amp;"␟"&amp;IFERROR(INDEX(PASTE_ALL,$DF161,52)&amp;"","")&amp;"␟"&amp;IFERROR(INDEX(PASTE_ALL,$DF161,53)&amp;"","")&amp;"␟"&amp;IFERROR(INDEX(PASTE_ALL,$DF161,54)&amp;"","")&amp;"␟"&amp;IFERROR(INDEX(PASTE_ALL,$DF161,55)&amp;"","")&amp;"␟"&amp;IFERROR(INDEX(PASTE_ALL,$DF161,56)&amp;"","")&amp;"␟"&amp;IFERROR(INDEX(PASTE_ALL,$DF161,57)&amp;"","")&amp;"␟"&amp;IFERROR(INDEX(PASTE_ALL,$DF161,58)&amp;"","")&amp;"␟"&amp;IFERROR(INDEX(PASTE_ALL,$DF161,59)&amp;"","")&amp;"␟"&amp;IFERROR(INDEX(PASTE_ALL,$DF161,60)&amp;"","")," "," "),CHAR(9)," "),CHAR(10)," "),CHAR(13)," "))," ␟","␟"),"␟ ","␟"),"#"&amp;$DE161),"")</f>
        <v/>
      </c>
      <c r="DJ161">
        <f>IF($DI161="",0,IF(SUMPRODUCT(--EXACT($DI$4:DI160,$DI161))&gt;0,1,0))</f>
        <v/>
      </c>
      <c r="DK161">
        <f>IF(AND($DI161&lt;&gt;"",$DJ161=0),1,0)</f>
        <v/>
      </c>
      <c r="DL161">
        <f>DL160+$DK161</f>
        <v/>
      </c>
      <c r="DM161">
        <f>IF(AND($DK161=1,$DL161&lt;=600),1,0)</f>
        <v/>
      </c>
      <c r="DN161">
        <f>IF($DM161=0,"",IF($L$6=0,"",IFERROR(IF(ISNUMBER(INDEX(PASTE_ALL,$DF161,$L$6)),INDEX(PASTE_ALL,$DF161,$L$6),TRIM(SUBSTITUTE(SUBSTITUTE(SUBSTITUTE(SUBSTITUTE(INDEX(PASTE_ALL,$DF161,$L$6)," "," "),CHAR(9)," "),CHAR(10)," "),CHAR(13)," "))),"")))</f>
        <v/>
      </c>
      <c r="DO161">
        <f>IF($DM161=0,"",IF($L$7=0,"",IFERROR(IF(ISNUMBER(INDEX(PASTE_ALL,$DF161,$L$7)),INDEX(PASTE_ALL,$DF161,$L$7),TRIM(SUBSTITUTE(SUBSTITUTE(SUBSTITUTE(SUBSTITUTE(INDEX(PASTE_ALL,$DF161,$L$7)," "," "),CHAR(9)," "),CHAR(10)," "),CHAR(13)," "))),"")))</f>
        <v/>
      </c>
      <c r="DP161">
        <f>IF($DM161=0,"",IF($L$8=0,"",IFERROR(IF(ISNUMBER(INDEX(PASTE_ALL,$DF161,$L$8)),INDEX(PASTE_ALL,$DF161,$L$8),TRIM(SUBSTITUTE(SUBSTITUTE(SUBSTITUTE(SUBSTITUTE(INDEX(PASTE_ALL,$DF161,$L$8)," "," "),CHAR(9)," "),CHAR(10)," "),CHAR(13)," "))),"")))</f>
        <v/>
      </c>
      <c r="DQ161">
        <f>IF($DM161=0,"",IF($L$9=0,"",IFERROR(IF(ISNUMBER(INDEX(PASTE_ALL,$DF161,$L$9)),INDEX(PASTE_ALL,$DF161,$L$9),TRIM(SUBSTITUTE(SUBSTITUTE(SUBSTITUTE(SUBSTITUTE(INDEX(PASTE_ALL,$DF161,$L$9)," "," "),CHAR(9)," "),CHAR(10)," "),CHAR(13)," "))),"")))</f>
        <v/>
      </c>
      <c r="DR161">
        <f>IF($DM161=0,"",IF($L$10=0,"",IFERROR(IF(ISNUMBER(INDEX(PASTE_ALL,$DF161,$L$10)),INDEX(PASTE_ALL,$DF161,$L$10),TRIM(SUBSTITUTE(SUBSTITUTE(SUBSTITUTE(SUBSTITUTE(INDEX(PASTE_ALL,$DF161,$L$10)," "," "),CHAR(9)," "),CHAR(10)," "),CHAR(13)," "))),"")))</f>
        <v/>
      </c>
      <c r="DS161">
        <f>IF($DM161=0,"",IF($L$11=0,"",IFERROR(IF(ISNUMBER(INDEX(PASTE_ALL,$DF161,$L$11)),INDEX(PASTE_ALL,$DF161,$L$11),TRIM(SUBSTITUTE(SUBSTITUTE(SUBSTITUTE(SUBSTITUTE(INDEX(PASTE_ALL,$DF161,$L$11)," "," "),CHAR(9)," "),CHAR(10)," "),CHAR(13)," "))),"")))</f>
        <v/>
      </c>
      <c r="DT161">
        <f>IF($DM161=0,"",IF($L$12=0,"",IFERROR(IF(ISNUMBER(INDEX(PASTE_ALL,$DF161,$L$12)),INDEX(PASTE_ALL,$DF161,$L$12),TRIM(SUBSTITUTE(SUBSTITUTE(SUBSTITUTE(SUBSTITUTE(INDEX(PASTE_ALL,$DF161,$L$12)," "," "),CHAR(9)," "),CHAR(10)," "),CHAR(13)," "))),"")))</f>
        <v/>
      </c>
      <c r="DU161">
        <f>IF($DM161=0,"",IF($L$13=0,"",IFERROR(IF(ISNUMBER(INDEX(PASTE_ALL,$DF161,$L$13)),INDEX(PASTE_ALL,$DF161,$L$13),TRIM(SUBSTITUTE(SUBSTITUTE(SUBSTITUTE(SUBSTITUTE(INDEX(PASTE_ALL,$DF161,$L$13)," "," "),CHAR(9)," "),CHAR(10)," "),CHAR(13)," "))),"")))</f>
        <v/>
      </c>
      <c r="DV161">
        <f>IF($DM161=0,"",IF($L$14=0,"",IFERROR(IF(ISNUMBER(INDEX(PASTE_ALL,$DF161,$L$14)),INDEX(PASTE_ALL,$DF161,$L$14),TRIM(SUBSTITUTE(SUBSTITUTE(SUBSTITUTE(SUBSTITUTE(INDEX(PASTE_ALL,$DF161,$L$14)," "," "),CHAR(9)," "),CHAR(10)," "),CHAR(13)," "))),"")))</f>
        <v/>
      </c>
      <c r="DW161">
        <f>IF($DM161=0,"",IF($L$15=0,"",IFERROR(IF(ISNUMBER(INDEX(PASTE_ALL,$DF161,$L$15)),INDEX(PASTE_ALL,$DF161,$L$15),IF(SUMPRODUCT(--ISNUMBER(FIND({"A","B","C","D","E","F","G","H","I","J","K","L","M","N","O","P","Q","R","S","T","U","V","W","X","Y","Z","0","1","2","3","4","5","6","7","8","9"},UPPER(TRIM(SUBSTITUTE(SUBSTITUTE(SUBSTITUTE(SUBSTITUTE(INDEX(PASTE_ALL,$DF161,$L$15)," "," "),CHAR(9)," "),CHAR(10)," "),CHAR(13)," "))))))&gt;0,TRIM(SUBSTITUTE(SUBSTITUTE(SUBSTITUTE(SUBSTITUTE(INDEX(PASTE_ALL,$DF161,$L$15)," "," "),CHAR(9)," "),CHAR(10)," "),CHAR(13)," ")),"")),"")))</f>
        <v/>
      </c>
      <c r="DX161">
        <f>IF($DM161=0,"",IF($L$16=0,"",IFERROR(IF(ISNUMBER(INDEX(PASTE_ALL,$DF161,$L$16)),INDEX(PASTE_ALL,$DF161,$L$16),SUBSTITUTE(SUBSTITUTE(TRIM(SUBSTITUTE(SUBSTITUTE(SUBSTITUTE(SUBSTITUTE(INDEX(PASTE_ALL,$DF161,$L$16)," "," "),CHAR(9)," "),CHAR(10)," "),CHAR(13)," ")),",",""),"%","")),"")))</f>
        <v/>
      </c>
      <c r="DY161">
        <f>IF($DM161=0,"",IFERROR(IF(ISNUMBER($DX161),$DX161,IF($DX161="","",IF(TRIM($DX161)="",0,IF(AND(AND(SUBSTITUTE(SUBSTITUTE(SUBSTITUTE(SUBSTITUTE(SUBSTITUTE(SUBSTITUTE(SUBSTITUTE(SUBSTITUTE(SUBSTITUTE(SUBSTITUTE(SUBSTITUTE(SUBSTITUTE(SUBSTITUTE(SUBSTITUTE(UPPER(TRIM($DX161)),"0",""),"1",""),"2",""),"3",""),"4",""),"5",""),"6",""),"7",""),"8",""),"9",""),".",""),"+",""),"-",""),"E","")="",LEN(SUBSTITUTE(SUBSTITUTE(MID(UPPER(TRIM($DX161)),1+OR(LEFT(UPPER(TRIM($DX161)),1)="+",LEFT(UPPER(TRIM($DX161)),1)="-"),999),"E+","E"),"E-","E"))=LEN(SUBSTITUTE(SUBSTITUTE(SUBSTITUTE(SUBSTITUTE(MID(UPPER(TRIM($DX161)),1+OR(LEFT(UPPER(TRIM($DX161)),1)="+",LEFT(UPPER(TRIM($DX161)),1)="-"),999),"E+","E"),"E-","E"),"+",""),"-","")),LEN(UPPER(TRIM($DX161)))-LEN(SUBSTITUTE(UPPER(TRIM($DX161)),"E",""))&lt;2,LEN(UPPER(TRIM($DX161)))-LEN(SUBSTITUTE(UPPER(TRIM($DX161)),".",""))&lt;2,IFERROR(FIND(".",UPPER(TRIM($DX161))),0)&lt;IFERROR(FIND("E",UPPER(TRIM($DX161))),999)),ISNUMBER(VALUE(TRIM($DX161)))),VALUE(TRIM($DX161)),"")))),""))</f>
        <v/>
      </c>
      <c r="DZ161">
        <f>IF($DM161=0,"",IF($L$17=0,"",IFERROR(IF(ISNUMBER(INDEX(PASTE_ALL,$DF161,$L$17)),INDEX(PASTE_ALL,$DF161,$L$17),SUBSTITUTE(SUBSTITUTE(TRIM(SUBSTITUTE(SUBSTITUTE(SUBSTITUTE(SUBSTITUTE(INDEX(PASTE_ALL,$DF161,$L$17)," "," "),CHAR(9)," "),CHAR(10)," "),CHAR(13)," ")),",",""),"%","")),"")))</f>
        <v/>
      </c>
      <c r="EA161">
        <f>IF($DM161=0,"",IFERROR(IF(ISNUMBER($DZ161),$DZ161,IF($DZ161="","",IF(TRIM($DZ161)="",0,IF(AND(AND(SUBSTITUTE(SUBSTITUTE(SUBSTITUTE(SUBSTITUTE(SUBSTITUTE(SUBSTITUTE(SUBSTITUTE(SUBSTITUTE(SUBSTITUTE(SUBSTITUTE(SUBSTITUTE(SUBSTITUTE(SUBSTITUTE(SUBSTITUTE(UPPER(TRIM($DZ161)),"0",""),"1",""),"2",""),"3",""),"4",""),"5",""),"6",""),"7",""),"8",""),"9",""),".",""),"+",""),"-",""),"E","")="",LEN(SUBSTITUTE(SUBSTITUTE(MID(UPPER(TRIM($DZ161)),1+OR(LEFT(UPPER(TRIM($DZ161)),1)="+",LEFT(UPPER(TRIM($DZ161)),1)="-"),999),"E+","E"),"E-","E"))=LEN(SUBSTITUTE(SUBSTITUTE(SUBSTITUTE(SUBSTITUTE(MID(UPPER(TRIM($DZ161)),1+OR(LEFT(UPPER(TRIM($DZ161)),1)="+",LEFT(UPPER(TRIM($DZ161)),1)="-"),999),"E+","E"),"E-","E"),"+",""),"-","")),LEN(UPPER(TRIM($DZ161)))-LEN(SUBSTITUTE(UPPER(TRIM($DZ161)),"E",""))&lt;2,LEN(UPPER(TRIM($DZ161)))-LEN(SUBSTITUTE(UPPER(TRIM($DZ161)),".",""))&lt;2,IFERROR(FIND(".",UPPER(TRIM($DZ161))),0)&lt;IFERROR(FIND("E",UPPER(TRIM($DZ161))),999)),ISNUMBER(VALUE(TRIM($DZ161)))),VALUE(TRIM($DZ161)),"")))),""))</f>
        <v/>
      </c>
      <c r="EB161">
        <f>IF($DM161=0,"",IF($L$18=0,"",IFERROR(IF(UPPER(TRIM(SUBSTITUTE(SUBSTITUTE(SUBSTITUTE(SUBSTITUTE(INDEX(PASTE_ALL,$DF161,$L$18)," "," "),CHAR(9)," "),CHAR(10)," "),CHAR(13)," ")))="READY","Ready",IF(UPPER(TRIM(SUBSTITUTE(SUBSTITUTE(SUBSTITUTE(SUBSTITUTE(INDEX(PASTE_ALL,$DF161,$L$18)," "," "),CHAR(9)," "),CHAR(10)," "),CHAR(13)," ")))="PM","PM",IF(OR(UPPER(TRIM(SUBSTITUTE(SUBSTITUTE(SUBSTITUTE(SUBSTITUTE(INDEX(PASTE_ALL,$DF161,$L$18)," "," "),CHAR(9)," "),CHAR(10)," "),CHAR(13)," ")))="OT",UPPER(TRIM(SUBSTITUTE(SUBSTITUTE(SUBSTITUTE(SUBSTITUTE(INDEX(PASTE_ALL,$DF161,$L$18)," "," "),CHAR(9)," "),CHAR(10)," "),CHAR(13)," ")))="OVERTIME",UPPER(TRIM(SUBSTITUTE(SUBSTITUTE(SUBSTITUTE(SUBSTITUTE(INDEX(PASTE_ALL,$DF161,$L$18)," "," "),CHAR(9)," "),CHAR(10)," "),CHAR(13)," ")))="TRIAL"),"OT",TRIM(SUBSTITUTE(SUBSTITUTE(SUBSTITUTE(SUBSTITUTE(INDEX(PASTE_ALL,$DF161,$L$18)," "," "),CHAR(9)," "),CHAR(10)," "),CHAR(13)," "))))),"")))</f>
        <v/>
      </c>
      <c r="EC161">
        <f>IF($DM161=0,"",IF($L$19=0,"",IFERROR(IF(ISNUMBER(INDEX(PASTE_ALL,$DF161,$L$19)),INDEX(PASTE_ALL,$DF161,$L$19),TRIM(SUBSTITUTE(SUBSTITUTE(SUBSTITUTE(SUBSTITUTE(INDEX(PASTE_ALL,$DF161,$L$19)," "," "),CHAR(9)," "),CHAR(10)," "),CHAR(13)," "))),"")))</f>
        <v/>
      </c>
      <c r="ED161">
        <f>IF($DM161=0,"",MATCH(1,INDEX(EXACT($DH$5:DH161,$DH161)*$DM$5:DM161,0),0))</f>
        <v/>
      </c>
      <c r="EE161">
        <f>IF($DM161=0,0,IF($ED161=$DE161,1,0))</f>
        <v/>
      </c>
      <c r="EF161">
        <f>EF160+$EE161</f>
        <v/>
      </c>
      <c r="EG161">
        <f>IF($DM161=0,"",INDEX($EF$5:$EF$1003,$ED161))</f>
        <v/>
      </c>
      <c r="EH161">
        <f>IF($DM161=0,"",IF($DO161&lt;&gt;"","",IFERROR(LOOKUP(2,1/(($EG$4:EG160=$EG161)*($DO$4:DO160&lt;&gt;"")),$DO$4:DO160),"")))</f>
        <v/>
      </c>
      <c r="EI161">
        <f>IF($DM161=0,"",IF($DO161&lt;&gt;"",$DO161,$EH161))</f>
        <v/>
      </c>
      <c r="EJ161">
        <f>IF($DM161=0,"",IF($EI161="",0,IF(OR(ISNUMBER($EI161),AND(AND(SUBSTITUTE(SUBSTITUTE(SUBSTITUTE(SUBSTITUTE(SUBSTITUTE(SUBSTITUTE(SUBSTITUTE(SUBSTITUTE(SUBSTITUTE(SUBSTITUTE(SUBSTITUTE(SUBSTITUTE(SUBSTITUTE(SUBSTITUTE(UPPER($EI161),"0",""),"1",""),"2",""),"3",""),"4",""),"5",""),"6",""),"7",""),"8",""),"9",""),".",""),"+",""),"-",""),"E","")="",LEN(SUBSTITUTE(SUBSTITUTE(MID(UPPER($EI161),1+OR(LEFT(UPPER($EI161),1)="+",LEFT(UPPER($EI161),1)="-"),999),"E+","E"),"E-","E"))=LEN(SUBSTITUTE(SUBSTITUTE(SUBSTITUTE(SUBSTITUTE(MID(UPPER($EI161),1+OR(LEFT(UPPER($EI161),1)="+",LEFT(UPPER($EI161),1)="-"),999),"E+","E"),"E-","E"),"+",""),"-","")),LEN(UPPER($EI161))-LEN(SUBSTITUTE(UPPER($EI161),"E",""))&lt;2,LEN(UPPER($EI161))-LEN(SUBSTITUTE(UPPER($EI161),".",""))&lt;2,IFERROR(FIND(".",UPPER($EI161)),0)&lt;IFERROR(FIND("E",UPPER($EI161)),999)),ISNUMBER(VALUE($EI161)))),1,2)))</f>
        <v/>
      </c>
      <c r="EK161">
        <f>IF($DM161=0,"",IF($EJ161=1,IF(ISNUMBER($EI161),$EI161,VALUE($EI161)),IF($EJ161=2,$DE161,0)))</f>
        <v/>
      </c>
      <c r="EL161">
        <f>IF($DM161=0,"",COUNTIF($EG$5:$EG$1003,"&lt;"&amp;$EG161)+SUMPRODUCT(($EG$5:$EG$1003=$EG161)*(($EJ$5:$EJ$1003&lt;$EJ161)+($EJ$5:$EJ$1003=$EJ161)*(($EK$5:$EK$1003&lt;$EK161)+($EK$5:$EK$1003=$EK161)*($DE$5:$DE$1003&lt;$DE161))))+1)</f>
        <v/>
      </c>
      <c r="EM161">
        <f>IF($DM161=0,"",$EL161+$EG161-1)</f>
        <v/>
      </c>
      <c r="EN161">
        <f>IF($DM161=0,0,IFERROR(MATCH(1,INDEX(--(TRIM(SUBSTITUTE(SUBSTITUTE(SUBSTITUTE(SUBSTITUTE(LINES_NAME&amp;""," "," "),CHAR(9)," "),CHAR(10)," "),CHAR(13)," "))=$DH161),0),0),0))</f>
        <v/>
      </c>
      <c r="EO161">
        <f>IF($EN161=0,0,IF(OR(UPPER(TRIM(INDEX(LINES_SCHEDULED,$EN161)&amp;""))="YES",UPPER(TRIM(INDEX(LINES_SCHEDULED,$EN161)&amp;""))="Y",UPPER(TRIM(INDEX(LINES_SCHEDULED,$EN161)&amp;""))="X"),1,0))</f>
        <v/>
      </c>
      <c r="EP161">
        <f>IF($DM161=0,"",IF(COUNTIFS($EG$5:$EG$1003,$EG161,$EB$5:$EB$1003,"Ready")&gt;0,"READY",IF(COUNTIFS($EG$5:$EG$1003,$EG161,$EB$5:$EB$1003,"PM")&gt;0,"PM",IF(COUNTIFS($EG$5:$EG$1003,$EG161,$EB$5:$EB$1003,"OT")&gt;0,"OT",""))))</f>
        <v/>
      </c>
      <c r="EQ161">
        <f>IF($EN161=0,"",UPPER(TRIM(INDEX(LINES_STATUS,$EN161)&amp;"")))</f>
        <v/>
      </c>
      <c r="ER161">
        <f>IF($DM161=0,"",IF(OR($EQ161="READY",$EQ161="PM",$EQ161="OT"),$EQ161,$EP161))</f>
        <v/>
      </c>
      <c r="ES161">
        <f>IF($DM161=0,"",IF(AND($DV161&lt;&gt;"",UPPER($DV161)&lt;&gt;"N"),"allergen",IF(ISNUMBER(SEARCH("oil",$DQ161)),"oil",IF(OR(EXACT($DS161,"A662"),EXACT($DS161,"A624")),"bulk",""))))</f>
        <v/>
      </c>
      <c r="ET161">
        <f>IF($DM161=0,"",IF(OR($EA161="",$EA161=0),"",$EA161/100))</f>
        <v/>
      </c>
      <c r="EU161">
        <f>IF(OR($ET161="",$DY161=""),"",INT($DY161*(1-$ET161)+0.5))</f>
        <v/>
      </c>
      <c r="EW161" t="n">
        <v>157</v>
      </c>
      <c r="EX161">
        <f>IFERROR(MATCH($EW161,$EM$5:$EM$1003,0),0)</f>
        <v/>
      </c>
      <c r="EY161">
        <f>IF($EW161&gt;$B$12,"",IF($EX161&gt;0,"row","spacer"))</f>
        <v/>
      </c>
      <c r="EZ161">
        <f>IF(AND($EY161="row",$EY160&lt;&gt;"row"),1,0)</f>
        <v/>
      </c>
      <c r="FA161">
        <f>IF(AND($EY161="row",$EY162&lt;&gt;"row"),1,0)</f>
        <v/>
      </c>
      <c r="FB161">
        <f>IF($EZ161=1,IFERROR(IF(ISNUMBER(INDEX(PASTE_ALL,INDEX($DF$5:$DF$1003,$EX161),$B$37)),INDEX(PASTE_ALL,INDEX($DF$5:$DF$1003,$EX161),$B$37),INDEX($DH$5:$DH$1003,$EX161)),INDEX($DH$5:$DH$1003,$EX161)),"")</f>
        <v/>
      </c>
      <c r="FC161">
        <f>IF($EY161="row",INDEX($ER$5:$ER$1003,$EX161),"")</f>
        <v/>
      </c>
      <c r="FD161">
        <f>IF($EY161="row",INDEX($DN$5:$DN$1003,$EX161),"")</f>
        <v/>
      </c>
      <c r="FE161">
        <f>IF($EY161="row",INDEX($DO$5:$DO$1003,$EX161),"")</f>
        <v/>
      </c>
      <c r="FF161">
        <f>IF($EY161="row",INDEX($DP$5:$DP$1003,$EX161),"")</f>
        <v/>
      </c>
      <c r="FG161">
        <f>IF($EY161="row",INDEX($DQ$5:$DQ$1003,$EX161),"")</f>
        <v/>
      </c>
      <c r="FH161">
        <f>IF($EY161="row",INDEX($DR$5:$DR$1003,$EX161),"")</f>
        <v/>
      </c>
      <c r="FI161">
        <f>IF($EY161="row",INDEX($DS$5:$DS$1003,$EX161),"")</f>
        <v/>
      </c>
      <c r="FJ161">
        <f>IF($EY161="row",INDEX($DT$5:$DT$1003,$EX161),"")</f>
        <v/>
      </c>
      <c r="FK161">
        <f>IF($EY161="row",INDEX($DU$5:$DU$1003,$EX161),"")</f>
        <v/>
      </c>
      <c r="FL161">
        <f>IF($EY161="row",INDEX($DV$5:$DV$1003,$EX161),"")</f>
        <v/>
      </c>
      <c r="FM161">
        <f>IF($EY161="row",INDEX($DW$5:$DW$1003,$EX161),"")</f>
        <v/>
      </c>
      <c r="FN161">
        <f>IF($EY161="row",INDEX($DY$5:$DY$1003,$EX161),"")</f>
        <v/>
      </c>
      <c r="FO161">
        <f>IF($EY161="row",INDEX($EA$5:$EA$1003,$EX161),"")</f>
        <v/>
      </c>
      <c r="FP161">
        <f>IF($EY161="row",INDEX($EC$5:$EC$1003,$EX161),"")</f>
        <v/>
      </c>
      <c r="FQ161">
        <f>IF($EY161="row",INDEX($ET$5:$ET$1003,$EX161),"")</f>
        <v/>
      </c>
      <c r="FR161">
        <f>IF($EY161="row",INDEX($EU$5:$EU$1003,$EX161),"")</f>
        <v/>
      </c>
      <c r="FS161">
        <f>IF(AND($EY161="row",$EY160="row"),IF(OR(INDEX($DT$5:$DT$1003,$EX160)="",INDEX($DT$5:$DT$1003,$EX161)=""),"",IF(NOT(EXACT(INDEX($DT$5:$DT$1003,$EX160),INDEX($DT$5:$DT$1003,$EX161))),"S4",IF(NOT(EXACT(INDEX($DS$5:$DS$1003,$EX160),INDEX($DS$5:$DS$1003,$EX161))),"S3",IF(NOT(EXACT(INDEX($DR$5:$DR$1003,$EX160),INDEX($DR$5:$DR$1003,$EX161))),"S1 Count Change","S1")))),"")</f>
        <v/>
      </c>
      <c r="FT161">
        <f>IF($EY161="row",INDEX($ES$5:$ES$1003,$EX161),"")</f>
        <v/>
      </c>
      <c r="FU161">
        <f>IF($EY161="row",INDEX($EO$5:$EO$1003,$EX161),0)</f>
        <v/>
      </c>
      <c r="FV161">
        <f>IF($FS161="S1 Count Change",1,0)</f>
        <v/>
      </c>
    </row>
    <row r="162">
      <c r="Y162">
        <f>IF(Y27="",0,2*(OR(ISNUMBER(FIND("WORKCENTER",Y27)),AND(LEFT(Y27,4)="LINE",NOT(ISNUMBER(FIND("STATUS",Y27))))))+4*(OR(ISNUMBER(FIND("WORKORDER",Y27)),AND(LEFT(Y27,2)="WO",OR(ISNUMBER(FIND("NUM",Y27)),RIGHT(Y27,2)="NO"))))+8*(LEFT(Y27,3)="SEQ")+16*(AND(LEFT(Y27,4)="ITEM",NOT(ISNUMBER(FIND("DESC",Y27)))))+32*(AND(ISNUMBER(FIND("DESC",Y27)),NOT(ISNUMBER(FIND("CAP",Y27)))))+64*(OR(RIGHT(Y27,5)="COUNT",RIGHT(Y27,2)="CT"))+128*(ISNUMBER(FIND("BULK",Y27)))+256*(ISNUMBER(FIND("SIZE",Y27)))+512*(LEFT(Y27,3)="CAP")+1024*(ISNUMBER(FIND("ALLERG",Y27)))+2048*(OR(ISNUMBER(FIND("REMARK",Y27)),ISNUMBER(FIND("COMMENT",Y27))))+4096*(OR(ISNUMBER(FIND("QTY",Y27)),ISNUMBER(FIND("QUANTITY",Y27))))+8192*(AND(OR(ISNUMBER(FIND("COMPLETE",Y27)),ISNUMBER(FIND("PCT",Y27)),ISNUMBER(FIND("PERCENT",Y27))),NOT(ISNUMBER(FIND("ACTUAL",Y27))),LEN(Y27)&lt;=16))+32768*(OR(ISNUMBER(FIND("DESIC",Y27)),ISNUMBER(FIND("DESSIC",Y27)))))</f>
        <v/>
      </c>
      <c r="Z162">
        <f>IF(Z27="",0,2*(OR(ISNUMBER(FIND("WORKCENTER",Z27)),AND(LEFT(Z27,4)="LINE",NOT(ISNUMBER(FIND("STATUS",Z27))))))+4*(OR(ISNUMBER(FIND("WORKORDER",Z27)),AND(LEFT(Z27,2)="WO",OR(ISNUMBER(FIND("NUM",Z27)),RIGHT(Z27,2)="NO"))))+8*(LEFT(Z27,3)="SEQ")+16*(AND(LEFT(Z27,4)="ITEM",NOT(ISNUMBER(FIND("DESC",Z27)))))+32*(AND(ISNUMBER(FIND("DESC",Z27)),NOT(ISNUMBER(FIND("CAP",Z27)))))+64*(OR(RIGHT(Z27,5)="COUNT",RIGHT(Z27,2)="CT"))+128*(ISNUMBER(FIND("BULK",Z27)))+256*(ISNUMBER(FIND("SIZE",Z27)))+512*(LEFT(Z27,3)="CAP")+1024*(ISNUMBER(FIND("ALLERG",Z27)))+2048*(OR(ISNUMBER(FIND("REMARK",Z27)),ISNUMBER(FIND("COMMENT",Z27))))+4096*(OR(ISNUMBER(FIND("QTY",Z27)),ISNUMBER(FIND("QUANTITY",Z27))))+8192*(AND(OR(ISNUMBER(FIND("COMPLETE",Z27)),ISNUMBER(FIND("PCT",Z27)),ISNUMBER(FIND("PERCENT",Z27))),NOT(ISNUMBER(FIND("ACTUAL",Z27))),LEN(Z27)&lt;=16))+32768*(OR(ISNUMBER(FIND("DESIC",Z27)),ISNUMBER(FIND("DESSIC",Z27)))))</f>
        <v/>
      </c>
      <c r="AA162">
        <f>IF(AA27="",0,2*(OR(ISNUMBER(FIND("WORKCENTER",AA27)),AND(LEFT(AA27,4)="LINE",NOT(ISNUMBER(FIND("STATUS",AA27))))))+4*(OR(ISNUMBER(FIND("WORKORDER",AA27)),AND(LEFT(AA27,2)="WO",OR(ISNUMBER(FIND("NUM",AA27)),RIGHT(AA27,2)="NO"))))+8*(LEFT(AA27,3)="SEQ")+16*(AND(LEFT(AA27,4)="ITEM",NOT(ISNUMBER(FIND("DESC",AA27)))))+32*(AND(ISNUMBER(FIND("DESC",AA27)),NOT(ISNUMBER(FIND("CAP",AA27)))))+64*(OR(RIGHT(AA27,5)="COUNT",RIGHT(AA27,2)="CT"))+128*(ISNUMBER(FIND("BULK",AA27)))+256*(ISNUMBER(FIND("SIZE",AA27)))+512*(LEFT(AA27,3)="CAP")+1024*(ISNUMBER(FIND("ALLERG",AA27)))+2048*(OR(ISNUMBER(FIND("REMARK",AA27)),ISNUMBER(FIND("COMMENT",AA27))))+4096*(OR(ISNUMBER(FIND("QTY",AA27)),ISNUMBER(FIND("QUANTITY",AA27))))+8192*(AND(OR(ISNUMBER(FIND("COMPLETE",AA27)),ISNUMBER(FIND("PCT",AA27)),ISNUMBER(FIND("PERCENT",AA27))),NOT(ISNUMBER(FIND("ACTUAL",AA27))),LEN(AA27)&lt;=16))+32768*(OR(ISNUMBER(FIND("DESIC",AA27)),ISNUMBER(FIND("DESSIC",AA27)))))</f>
        <v/>
      </c>
      <c r="AB162">
        <f>IF(AB27="",0,2*(OR(ISNUMBER(FIND("WORKCENTER",AB27)),AND(LEFT(AB27,4)="LINE",NOT(ISNUMBER(FIND("STATUS",AB27))))))+4*(OR(ISNUMBER(FIND("WORKORDER",AB27)),AND(LEFT(AB27,2)="WO",OR(ISNUMBER(FIND("NUM",AB27)),RIGHT(AB27,2)="NO"))))+8*(LEFT(AB27,3)="SEQ")+16*(AND(LEFT(AB27,4)="ITEM",NOT(ISNUMBER(FIND("DESC",AB27)))))+32*(AND(ISNUMBER(FIND("DESC",AB27)),NOT(ISNUMBER(FIND("CAP",AB27)))))+64*(OR(RIGHT(AB27,5)="COUNT",RIGHT(AB27,2)="CT"))+128*(ISNUMBER(FIND("BULK",AB27)))+256*(ISNUMBER(FIND("SIZE",AB27)))+512*(LEFT(AB27,3)="CAP")+1024*(ISNUMBER(FIND("ALLERG",AB27)))+2048*(OR(ISNUMBER(FIND("REMARK",AB27)),ISNUMBER(FIND("COMMENT",AB27))))+4096*(OR(ISNUMBER(FIND("QTY",AB27)),ISNUMBER(FIND("QUANTITY",AB27))))+8192*(AND(OR(ISNUMBER(FIND("COMPLETE",AB27)),ISNUMBER(FIND("PCT",AB27)),ISNUMBER(FIND("PERCENT",AB27))),NOT(ISNUMBER(FIND("ACTUAL",AB27))),LEN(AB27)&lt;=16))+32768*(OR(ISNUMBER(FIND("DESIC",AB27)),ISNUMBER(FIND("DESSIC",AB27)))))</f>
        <v/>
      </c>
      <c r="AC162">
        <f>IF(AC27="",0,2*(OR(ISNUMBER(FIND("WORKCENTER",AC27)),AND(LEFT(AC27,4)="LINE",NOT(ISNUMBER(FIND("STATUS",AC27))))))+4*(OR(ISNUMBER(FIND("WORKORDER",AC27)),AND(LEFT(AC27,2)="WO",OR(ISNUMBER(FIND("NUM",AC27)),RIGHT(AC27,2)="NO"))))+8*(LEFT(AC27,3)="SEQ")+16*(AND(LEFT(AC27,4)="ITEM",NOT(ISNUMBER(FIND("DESC",AC27)))))+32*(AND(ISNUMBER(FIND("DESC",AC27)),NOT(ISNUMBER(FIND("CAP",AC27)))))+64*(OR(RIGHT(AC27,5)="COUNT",RIGHT(AC27,2)="CT"))+128*(ISNUMBER(FIND("BULK",AC27)))+256*(ISNUMBER(FIND("SIZE",AC27)))+512*(LEFT(AC27,3)="CAP")+1024*(ISNUMBER(FIND("ALLERG",AC27)))+2048*(OR(ISNUMBER(FIND("REMARK",AC27)),ISNUMBER(FIND("COMMENT",AC27))))+4096*(OR(ISNUMBER(FIND("QTY",AC27)),ISNUMBER(FIND("QUANTITY",AC27))))+8192*(AND(OR(ISNUMBER(FIND("COMPLETE",AC27)),ISNUMBER(FIND("PCT",AC27)),ISNUMBER(FIND("PERCENT",AC27))),NOT(ISNUMBER(FIND("ACTUAL",AC27))),LEN(AC27)&lt;=16))+32768*(OR(ISNUMBER(FIND("DESIC",AC27)),ISNUMBER(FIND("DESSIC",AC27)))))</f>
        <v/>
      </c>
      <c r="AD162">
        <f>IF(AD27="",0,2*(OR(ISNUMBER(FIND("WORKCENTER",AD27)),AND(LEFT(AD27,4)="LINE",NOT(ISNUMBER(FIND("STATUS",AD27))))))+4*(OR(ISNUMBER(FIND("WORKORDER",AD27)),AND(LEFT(AD27,2)="WO",OR(ISNUMBER(FIND("NUM",AD27)),RIGHT(AD27,2)="NO"))))+8*(LEFT(AD27,3)="SEQ")+16*(AND(LEFT(AD27,4)="ITEM",NOT(ISNUMBER(FIND("DESC",AD27)))))+32*(AND(ISNUMBER(FIND("DESC",AD27)),NOT(ISNUMBER(FIND("CAP",AD27)))))+64*(OR(RIGHT(AD27,5)="COUNT",RIGHT(AD27,2)="CT"))+128*(ISNUMBER(FIND("BULK",AD27)))+256*(ISNUMBER(FIND("SIZE",AD27)))+512*(LEFT(AD27,3)="CAP")+1024*(ISNUMBER(FIND("ALLERG",AD27)))+2048*(OR(ISNUMBER(FIND("REMARK",AD27)),ISNUMBER(FIND("COMMENT",AD27))))+4096*(OR(ISNUMBER(FIND("QTY",AD27)),ISNUMBER(FIND("QUANTITY",AD27))))+8192*(AND(OR(ISNUMBER(FIND("COMPLETE",AD27)),ISNUMBER(FIND("PCT",AD27)),ISNUMBER(FIND("PERCENT",AD27))),NOT(ISNUMBER(FIND("ACTUAL",AD27))),LEN(AD27)&lt;=16))+32768*(OR(ISNUMBER(FIND("DESIC",AD27)),ISNUMBER(FIND("DESSIC",AD27)))))</f>
        <v/>
      </c>
      <c r="AE162">
        <f>IF(AE27="",0,2*(OR(ISNUMBER(FIND("WORKCENTER",AE27)),AND(LEFT(AE27,4)="LINE",NOT(ISNUMBER(FIND("STATUS",AE27))))))+4*(OR(ISNUMBER(FIND("WORKORDER",AE27)),AND(LEFT(AE27,2)="WO",OR(ISNUMBER(FIND("NUM",AE27)),RIGHT(AE27,2)="NO"))))+8*(LEFT(AE27,3)="SEQ")+16*(AND(LEFT(AE27,4)="ITEM",NOT(ISNUMBER(FIND("DESC",AE27)))))+32*(AND(ISNUMBER(FIND("DESC",AE27)),NOT(ISNUMBER(FIND("CAP",AE27)))))+64*(OR(RIGHT(AE27,5)="COUNT",RIGHT(AE27,2)="CT"))+128*(ISNUMBER(FIND("BULK",AE27)))+256*(ISNUMBER(FIND("SIZE",AE27)))+512*(LEFT(AE27,3)="CAP")+1024*(ISNUMBER(FIND("ALLERG",AE27)))+2048*(OR(ISNUMBER(FIND("REMARK",AE27)),ISNUMBER(FIND("COMMENT",AE27))))+4096*(OR(ISNUMBER(FIND("QTY",AE27)),ISNUMBER(FIND("QUANTITY",AE27))))+8192*(AND(OR(ISNUMBER(FIND("COMPLETE",AE27)),ISNUMBER(FIND("PCT",AE27)),ISNUMBER(FIND("PERCENT",AE27))),NOT(ISNUMBER(FIND("ACTUAL",AE27))),LEN(AE27)&lt;=16))+32768*(OR(ISNUMBER(FIND("DESIC",AE27)),ISNUMBER(FIND("DESSIC",AE27)))))</f>
        <v/>
      </c>
      <c r="AF162">
        <f>IF(AF27="",0,2*(OR(ISNUMBER(FIND("WORKCENTER",AF27)),AND(LEFT(AF27,4)="LINE",NOT(ISNUMBER(FIND("STATUS",AF27))))))+4*(OR(ISNUMBER(FIND("WORKORDER",AF27)),AND(LEFT(AF27,2)="WO",OR(ISNUMBER(FIND("NUM",AF27)),RIGHT(AF27,2)="NO"))))+8*(LEFT(AF27,3)="SEQ")+16*(AND(LEFT(AF27,4)="ITEM",NOT(ISNUMBER(FIND("DESC",AF27)))))+32*(AND(ISNUMBER(FIND("DESC",AF27)),NOT(ISNUMBER(FIND("CAP",AF27)))))+64*(OR(RIGHT(AF27,5)="COUNT",RIGHT(AF27,2)="CT"))+128*(ISNUMBER(FIND("BULK",AF27)))+256*(ISNUMBER(FIND("SIZE",AF27)))+512*(LEFT(AF27,3)="CAP")+1024*(ISNUMBER(FIND("ALLERG",AF27)))+2048*(OR(ISNUMBER(FIND("REMARK",AF27)),ISNUMBER(FIND("COMMENT",AF27))))+4096*(OR(ISNUMBER(FIND("QTY",AF27)),ISNUMBER(FIND("QUANTITY",AF27))))+8192*(AND(OR(ISNUMBER(FIND("COMPLETE",AF27)),ISNUMBER(FIND("PCT",AF27)),ISNUMBER(FIND("PERCENT",AF27))),NOT(ISNUMBER(FIND("ACTUAL",AF27))),LEN(AF27)&lt;=16))+32768*(OR(ISNUMBER(FIND("DESIC",AF27)),ISNUMBER(FIND("DESSIC",AF27)))))</f>
        <v/>
      </c>
      <c r="AG162">
        <f>IF(AG27="",0,2*(OR(ISNUMBER(FIND("WORKCENTER",AG27)),AND(LEFT(AG27,4)="LINE",NOT(ISNUMBER(FIND("STATUS",AG27))))))+4*(OR(ISNUMBER(FIND("WORKORDER",AG27)),AND(LEFT(AG27,2)="WO",OR(ISNUMBER(FIND("NUM",AG27)),RIGHT(AG27,2)="NO"))))+8*(LEFT(AG27,3)="SEQ")+16*(AND(LEFT(AG27,4)="ITEM",NOT(ISNUMBER(FIND("DESC",AG27)))))+32*(AND(ISNUMBER(FIND("DESC",AG27)),NOT(ISNUMBER(FIND("CAP",AG27)))))+64*(OR(RIGHT(AG27,5)="COUNT",RIGHT(AG27,2)="CT"))+128*(ISNUMBER(FIND("BULK",AG27)))+256*(ISNUMBER(FIND("SIZE",AG27)))+512*(LEFT(AG27,3)="CAP")+1024*(ISNUMBER(FIND("ALLERG",AG27)))+2048*(OR(ISNUMBER(FIND("REMARK",AG27)),ISNUMBER(FIND("COMMENT",AG27))))+4096*(OR(ISNUMBER(FIND("QTY",AG27)),ISNUMBER(FIND("QUANTITY",AG27))))+8192*(AND(OR(ISNUMBER(FIND("COMPLETE",AG27)),ISNUMBER(FIND("PCT",AG27)),ISNUMBER(FIND("PERCENT",AG27))),NOT(ISNUMBER(FIND("ACTUAL",AG27))),LEN(AG27)&lt;=16))+32768*(OR(ISNUMBER(FIND("DESIC",AG27)),ISNUMBER(FIND("DESSIC",AG27)))))</f>
        <v/>
      </c>
      <c r="AH162">
        <f>IF(AH27="",0,2*(OR(ISNUMBER(FIND("WORKCENTER",AH27)),AND(LEFT(AH27,4)="LINE",NOT(ISNUMBER(FIND("STATUS",AH27))))))+4*(OR(ISNUMBER(FIND("WORKORDER",AH27)),AND(LEFT(AH27,2)="WO",OR(ISNUMBER(FIND("NUM",AH27)),RIGHT(AH27,2)="NO"))))+8*(LEFT(AH27,3)="SEQ")+16*(AND(LEFT(AH27,4)="ITEM",NOT(ISNUMBER(FIND("DESC",AH27)))))+32*(AND(ISNUMBER(FIND("DESC",AH27)),NOT(ISNUMBER(FIND("CAP",AH27)))))+64*(OR(RIGHT(AH27,5)="COUNT",RIGHT(AH27,2)="CT"))+128*(ISNUMBER(FIND("BULK",AH27)))+256*(ISNUMBER(FIND("SIZE",AH27)))+512*(LEFT(AH27,3)="CAP")+1024*(ISNUMBER(FIND("ALLERG",AH27)))+2048*(OR(ISNUMBER(FIND("REMARK",AH27)),ISNUMBER(FIND("COMMENT",AH27))))+4096*(OR(ISNUMBER(FIND("QTY",AH27)),ISNUMBER(FIND("QUANTITY",AH27))))+8192*(AND(OR(ISNUMBER(FIND("COMPLETE",AH27)),ISNUMBER(FIND("PCT",AH27)),ISNUMBER(FIND("PERCENT",AH27))),NOT(ISNUMBER(FIND("ACTUAL",AH27))),LEN(AH27)&lt;=16))+32768*(OR(ISNUMBER(FIND("DESIC",AH27)),ISNUMBER(FIND("DESSIC",AH27)))))</f>
        <v/>
      </c>
      <c r="AI162">
        <f>IF(AI27="",0,2*(OR(ISNUMBER(FIND("WORKCENTER",AI27)),AND(LEFT(AI27,4)="LINE",NOT(ISNUMBER(FIND("STATUS",AI27))))))+4*(OR(ISNUMBER(FIND("WORKORDER",AI27)),AND(LEFT(AI27,2)="WO",OR(ISNUMBER(FIND("NUM",AI27)),RIGHT(AI27,2)="NO"))))+8*(LEFT(AI27,3)="SEQ")+16*(AND(LEFT(AI27,4)="ITEM",NOT(ISNUMBER(FIND("DESC",AI27)))))+32*(AND(ISNUMBER(FIND("DESC",AI27)),NOT(ISNUMBER(FIND("CAP",AI27)))))+64*(OR(RIGHT(AI27,5)="COUNT",RIGHT(AI27,2)="CT"))+128*(ISNUMBER(FIND("BULK",AI27)))+256*(ISNUMBER(FIND("SIZE",AI27)))+512*(LEFT(AI27,3)="CAP")+1024*(ISNUMBER(FIND("ALLERG",AI27)))+2048*(OR(ISNUMBER(FIND("REMARK",AI27)),ISNUMBER(FIND("COMMENT",AI27))))+4096*(OR(ISNUMBER(FIND("QTY",AI27)),ISNUMBER(FIND("QUANTITY",AI27))))+8192*(AND(OR(ISNUMBER(FIND("COMPLETE",AI27)),ISNUMBER(FIND("PCT",AI27)),ISNUMBER(FIND("PERCENT",AI27))),NOT(ISNUMBER(FIND("ACTUAL",AI27))),LEN(AI27)&lt;=16))+32768*(OR(ISNUMBER(FIND("DESIC",AI27)),ISNUMBER(FIND("DESSIC",AI27)))))</f>
        <v/>
      </c>
      <c r="AJ162">
        <f>IF(AJ27="",0,2*(OR(ISNUMBER(FIND("WORKCENTER",AJ27)),AND(LEFT(AJ27,4)="LINE",NOT(ISNUMBER(FIND("STATUS",AJ27))))))+4*(OR(ISNUMBER(FIND("WORKORDER",AJ27)),AND(LEFT(AJ27,2)="WO",OR(ISNUMBER(FIND("NUM",AJ27)),RIGHT(AJ27,2)="NO"))))+8*(LEFT(AJ27,3)="SEQ")+16*(AND(LEFT(AJ27,4)="ITEM",NOT(ISNUMBER(FIND("DESC",AJ27)))))+32*(AND(ISNUMBER(FIND("DESC",AJ27)),NOT(ISNUMBER(FIND("CAP",AJ27)))))+64*(OR(RIGHT(AJ27,5)="COUNT",RIGHT(AJ27,2)="CT"))+128*(ISNUMBER(FIND("BULK",AJ27)))+256*(ISNUMBER(FIND("SIZE",AJ27)))+512*(LEFT(AJ27,3)="CAP")+1024*(ISNUMBER(FIND("ALLERG",AJ27)))+2048*(OR(ISNUMBER(FIND("REMARK",AJ27)),ISNUMBER(FIND("COMMENT",AJ27))))+4096*(OR(ISNUMBER(FIND("QTY",AJ27)),ISNUMBER(FIND("QUANTITY",AJ27))))+8192*(AND(OR(ISNUMBER(FIND("COMPLETE",AJ27)),ISNUMBER(FIND("PCT",AJ27)),ISNUMBER(FIND("PERCENT",AJ27))),NOT(ISNUMBER(FIND("ACTUAL",AJ27))),LEN(AJ27)&lt;=16))+32768*(OR(ISNUMBER(FIND("DESIC",AJ27)),ISNUMBER(FIND("DESSIC",AJ27)))))</f>
        <v/>
      </c>
      <c r="AK162">
        <f>IF(AK27="",0,2*(OR(ISNUMBER(FIND("WORKCENTER",AK27)),AND(LEFT(AK27,4)="LINE",NOT(ISNUMBER(FIND("STATUS",AK27))))))+4*(OR(ISNUMBER(FIND("WORKORDER",AK27)),AND(LEFT(AK27,2)="WO",OR(ISNUMBER(FIND("NUM",AK27)),RIGHT(AK27,2)="NO"))))+8*(LEFT(AK27,3)="SEQ")+16*(AND(LEFT(AK27,4)="ITEM",NOT(ISNUMBER(FIND("DESC",AK27)))))+32*(AND(ISNUMBER(FIND("DESC",AK27)),NOT(ISNUMBER(FIND("CAP",AK27)))))+64*(OR(RIGHT(AK27,5)="COUNT",RIGHT(AK27,2)="CT"))+128*(ISNUMBER(FIND("BULK",AK27)))+256*(ISNUMBER(FIND("SIZE",AK27)))+512*(LEFT(AK27,3)="CAP")+1024*(ISNUMBER(FIND("ALLERG",AK27)))+2048*(OR(ISNUMBER(FIND("REMARK",AK27)),ISNUMBER(FIND("COMMENT",AK27))))+4096*(OR(ISNUMBER(FIND("QTY",AK27)),ISNUMBER(FIND("QUANTITY",AK27))))+8192*(AND(OR(ISNUMBER(FIND("COMPLETE",AK27)),ISNUMBER(FIND("PCT",AK27)),ISNUMBER(FIND("PERCENT",AK27))),NOT(ISNUMBER(FIND("ACTUAL",AK27))),LEN(AK27)&lt;=16))+32768*(OR(ISNUMBER(FIND("DESIC",AK27)),ISNUMBER(FIND("DESSIC",AK27)))))</f>
        <v/>
      </c>
      <c r="AL162">
        <f>IF(AL27="",0,2*(OR(ISNUMBER(FIND("WORKCENTER",AL27)),AND(LEFT(AL27,4)="LINE",NOT(ISNUMBER(FIND("STATUS",AL27))))))+4*(OR(ISNUMBER(FIND("WORKORDER",AL27)),AND(LEFT(AL27,2)="WO",OR(ISNUMBER(FIND("NUM",AL27)),RIGHT(AL27,2)="NO"))))+8*(LEFT(AL27,3)="SEQ")+16*(AND(LEFT(AL27,4)="ITEM",NOT(ISNUMBER(FIND("DESC",AL27)))))+32*(AND(ISNUMBER(FIND("DESC",AL27)),NOT(ISNUMBER(FIND("CAP",AL27)))))+64*(OR(RIGHT(AL27,5)="COUNT",RIGHT(AL27,2)="CT"))+128*(ISNUMBER(FIND("BULK",AL27)))+256*(ISNUMBER(FIND("SIZE",AL27)))+512*(LEFT(AL27,3)="CAP")+1024*(ISNUMBER(FIND("ALLERG",AL27)))+2048*(OR(ISNUMBER(FIND("REMARK",AL27)),ISNUMBER(FIND("COMMENT",AL27))))+4096*(OR(ISNUMBER(FIND("QTY",AL27)),ISNUMBER(FIND("QUANTITY",AL27))))+8192*(AND(OR(ISNUMBER(FIND("COMPLETE",AL27)),ISNUMBER(FIND("PCT",AL27)),ISNUMBER(FIND("PERCENT",AL27))),NOT(ISNUMBER(FIND("ACTUAL",AL27))),LEN(AL27)&lt;=16))+32768*(OR(ISNUMBER(FIND("DESIC",AL27)),ISNUMBER(FIND("DESSIC",AL27)))))</f>
        <v/>
      </c>
      <c r="AM162">
        <f>IF(AM27="",0,2*(OR(ISNUMBER(FIND("WORKCENTER",AM27)),AND(LEFT(AM27,4)="LINE",NOT(ISNUMBER(FIND("STATUS",AM27))))))+4*(OR(ISNUMBER(FIND("WORKORDER",AM27)),AND(LEFT(AM27,2)="WO",OR(ISNUMBER(FIND("NUM",AM27)),RIGHT(AM27,2)="NO"))))+8*(LEFT(AM27,3)="SEQ")+16*(AND(LEFT(AM27,4)="ITEM",NOT(ISNUMBER(FIND("DESC",AM27)))))+32*(AND(ISNUMBER(FIND("DESC",AM27)),NOT(ISNUMBER(FIND("CAP",AM27)))))+64*(OR(RIGHT(AM27,5)="COUNT",RIGHT(AM27,2)="CT"))+128*(ISNUMBER(FIND("BULK",AM27)))+256*(ISNUMBER(FIND("SIZE",AM27)))+512*(LEFT(AM27,3)="CAP")+1024*(ISNUMBER(FIND("ALLERG",AM27)))+2048*(OR(ISNUMBER(FIND("REMARK",AM27)),ISNUMBER(FIND("COMMENT",AM27))))+4096*(OR(ISNUMBER(FIND("QTY",AM27)),ISNUMBER(FIND("QUANTITY",AM27))))+8192*(AND(OR(ISNUMBER(FIND("COMPLETE",AM27)),ISNUMBER(FIND("PCT",AM27)),ISNUMBER(FIND("PERCENT",AM27))),NOT(ISNUMBER(FIND("ACTUAL",AM27))),LEN(AM27)&lt;=16))+32768*(OR(ISNUMBER(FIND("DESIC",AM27)),ISNUMBER(FIND("DESSIC",AM27)))))</f>
        <v/>
      </c>
      <c r="AN162">
        <f>IF(AN27="",0,2*(OR(ISNUMBER(FIND("WORKCENTER",AN27)),AND(LEFT(AN27,4)="LINE",NOT(ISNUMBER(FIND("STATUS",AN27))))))+4*(OR(ISNUMBER(FIND("WORKORDER",AN27)),AND(LEFT(AN27,2)="WO",OR(ISNUMBER(FIND("NUM",AN27)),RIGHT(AN27,2)="NO"))))+8*(LEFT(AN27,3)="SEQ")+16*(AND(LEFT(AN27,4)="ITEM",NOT(ISNUMBER(FIND("DESC",AN27)))))+32*(AND(ISNUMBER(FIND("DESC",AN27)),NOT(ISNUMBER(FIND("CAP",AN27)))))+64*(OR(RIGHT(AN27,5)="COUNT",RIGHT(AN27,2)="CT"))+128*(ISNUMBER(FIND("BULK",AN27)))+256*(ISNUMBER(FIND("SIZE",AN27)))+512*(LEFT(AN27,3)="CAP")+1024*(ISNUMBER(FIND("ALLERG",AN27)))+2048*(OR(ISNUMBER(FIND("REMARK",AN27)),ISNUMBER(FIND("COMMENT",AN27))))+4096*(OR(ISNUMBER(FIND("QTY",AN27)),ISNUMBER(FIND("QUANTITY",AN27))))+8192*(AND(OR(ISNUMBER(FIND("COMPLETE",AN27)),ISNUMBER(FIND("PCT",AN27)),ISNUMBER(FIND("PERCENT",AN27))),NOT(ISNUMBER(FIND("ACTUAL",AN27))),LEN(AN27)&lt;=16))+32768*(OR(ISNUMBER(FIND("DESIC",AN27)),ISNUMBER(FIND("DESSIC",AN27)))))</f>
        <v/>
      </c>
      <c r="AO162">
        <f>IF(AO27="",0,2*(OR(ISNUMBER(FIND("WORKCENTER",AO27)),AND(LEFT(AO27,4)="LINE",NOT(ISNUMBER(FIND("STATUS",AO27))))))+4*(OR(ISNUMBER(FIND("WORKORDER",AO27)),AND(LEFT(AO27,2)="WO",OR(ISNUMBER(FIND("NUM",AO27)),RIGHT(AO27,2)="NO"))))+8*(LEFT(AO27,3)="SEQ")+16*(AND(LEFT(AO27,4)="ITEM",NOT(ISNUMBER(FIND("DESC",AO27)))))+32*(AND(ISNUMBER(FIND("DESC",AO27)),NOT(ISNUMBER(FIND("CAP",AO27)))))+64*(OR(RIGHT(AO27,5)="COUNT",RIGHT(AO27,2)="CT"))+128*(ISNUMBER(FIND("BULK",AO27)))+256*(ISNUMBER(FIND("SIZE",AO27)))+512*(LEFT(AO27,3)="CAP")+1024*(ISNUMBER(FIND("ALLERG",AO27)))+2048*(OR(ISNUMBER(FIND("REMARK",AO27)),ISNUMBER(FIND("COMMENT",AO27))))+4096*(OR(ISNUMBER(FIND("QTY",AO27)),ISNUMBER(FIND("QUANTITY",AO27))))+8192*(AND(OR(ISNUMBER(FIND("COMPLETE",AO27)),ISNUMBER(FIND("PCT",AO27)),ISNUMBER(FIND("PERCENT",AO27))),NOT(ISNUMBER(FIND("ACTUAL",AO27))),LEN(AO27)&lt;=16))+32768*(OR(ISNUMBER(FIND("DESIC",AO27)),ISNUMBER(FIND("DESSIC",AO27)))))</f>
        <v/>
      </c>
      <c r="AP162">
        <f>IF(AP27="",0,2*(OR(ISNUMBER(FIND("WORKCENTER",AP27)),AND(LEFT(AP27,4)="LINE",NOT(ISNUMBER(FIND("STATUS",AP27))))))+4*(OR(ISNUMBER(FIND("WORKORDER",AP27)),AND(LEFT(AP27,2)="WO",OR(ISNUMBER(FIND("NUM",AP27)),RIGHT(AP27,2)="NO"))))+8*(LEFT(AP27,3)="SEQ")+16*(AND(LEFT(AP27,4)="ITEM",NOT(ISNUMBER(FIND("DESC",AP27)))))+32*(AND(ISNUMBER(FIND("DESC",AP27)),NOT(ISNUMBER(FIND("CAP",AP27)))))+64*(OR(RIGHT(AP27,5)="COUNT",RIGHT(AP27,2)="CT"))+128*(ISNUMBER(FIND("BULK",AP27)))+256*(ISNUMBER(FIND("SIZE",AP27)))+512*(LEFT(AP27,3)="CAP")+1024*(ISNUMBER(FIND("ALLERG",AP27)))+2048*(OR(ISNUMBER(FIND("REMARK",AP27)),ISNUMBER(FIND("COMMENT",AP27))))+4096*(OR(ISNUMBER(FIND("QTY",AP27)),ISNUMBER(FIND("QUANTITY",AP27))))+8192*(AND(OR(ISNUMBER(FIND("COMPLETE",AP27)),ISNUMBER(FIND("PCT",AP27)),ISNUMBER(FIND("PERCENT",AP27))),NOT(ISNUMBER(FIND("ACTUAL",AP27))),LEN(AP27)&lt;=16))+32768*(OR(ISNUMBER(FIND("DESIC",AP27)),ISNUMBER(FIND("DESSIC",AP27)))))</f>
        <v/>
      </c>
      <c r="AQ162">
        <f>IF(AQ27="",0,2*(OR(ISNUMBER(FIND("WORKCENTER",AQ27)),AND(LEFT(AQ27,4)="LINE",NOT(ISNUMBER(FIND("STATUS",AQ27))))))+4*(OR(ISNUMBER(FIND("WORKORDER",AQ27)),AND(LEFT(AQ27,2)="WO",OR(ISNUMBER(FIND("NUM",AQ27)),RIGHT(AQ27,2)="NO"))))+8*(LEFT(AQ27,3)="SEQ")+16*(AND(LEFT(AQ27,4)="ITEM",NOT(ISNUMBER(FIND("DESC",AQ27)))))+32*(AND(ISNUMBER(FIND("DESC",AQ27)),NOT(ISNUMBER(FIND("CAP",AQ27)))))+64*(OR(RIGHT(AQ27,5)="COUNT",RIGHT(AQ27,2)="CT"))+128*(ISNUMBER(FIND("BULK",AQ27)))+256*(ISNUMBER(FIND("SIZE",AQ27)))+512*(LEFT(AQ27,3)="CAP")+1024*(ISNUMBER(FIND("ALLERG",AQ27)))+2048*(OR(ISNUMBER(FIND("REMARK",AQ27)),ISNUMBER(FIND("COMMENT",AQ27))))+4096*(OR(ISNUMBER(FIND("QTY",AQ27)),ISNUMBER(FIND("QUANTITY",AQ27))))+8192*(AND(OR(ISNUMBER(FIND("COMPLETE",AQ27)),ISNUMBER(FIND("PCT",AQ27)),ISNUMBER(FIND("PERCENT",AQ27))),NOT(ISNUMBER(FIND("ACTUAL",AQ27))),LEN(AQ27)&lt;=16))+32768*(OR(ISNUMBER(FIND("DESIC",AQ27)),ISNUMBER(FIND("DESSIC",AQ27)))))</f>
        <v/>
      </c>
      <c r="AR162">
        <f>IF(AR27="",0,2*(OR(ISNUMBER(FIND("WORKCENTER",AR27)),AND(LEFT(AR27,4)="LINE",NOT(ISNUMBER(FIND("STATUS",AR27))))))+4*(OR(ISNUMBER(FIND("WORKORDER",AR27)),AND(LEFT(AR27,2)="WO",OR(ISNUMBER(FIND("NUM",AR27)),RIGHT(AR27,2)="NO"))))+8*(LEFT(AR27,3)="SEQ")+16*(AND(LEFT(AR27,4)="ITEM",NOT(ISNUMBER(FIND("DESC",AR27)))))+32*(AND(ISNUMBER(FIND("DESC",AR27)),NOT(ISNUMBER(FIND("CAP",AR27)))))+64*(OR(RIGHT(AR27,5)="COUNT",RIGHT(AR27,2)="CT"))+128*(ISNUMBER(FIND("BULK",AR27)))+256*(ISNUMBER(FIND("SIZE",AR27)))+512*(LEFT(AR27,3)="CAP")+1024*(ISNUMBER(FIND("ALLERG",AR27)))+2048*(OR(ISNUMBER(FIND("REMARK",AR27)),ISNUMBER(FIND("COMMENT",AR27))))+4096*(OR(ISNUMBER(FIND("QTY",AR27)),ISNUMBER(FIND("QUANTITY",AR27))))+8192*(AND(OR(ISNUMBER(FIND("COMPLETE",AR27)),ISNUMBER(FIND("PCT",AR27)),ISNUMBER(FIND("PERCENT",AR27))),NOT(ISNUMBER(FIND("ACTUAL",AR27))),LEN(AR27)&lt;=16))+32768*(OR(ISNUMBER(FIND("DESIC",AR27)),ISNUMBER(FIND("DESSIC",AR27)))))</f>
        <v/>
      </c>
      <c r="AS162">
        <f>IF(AS27="",0,2*(OR(ISNUMBER(FIND("WORKCENTER",AS27)),AND(LEFT(AS27,4)="LINE",NOT(ISNUMBER(FIND("STATUS",AS27))))))+4*(OR(ISNUMBER(FIND("WORKORDER",AS27)),AND(LEFT(AS27,2)="WO",OR(ISNUMBER(FIND("NUM",AS27)),RIGHT(AS27,2)="NO"))))+8*(LEFT(AS27,3)="SEQ")+16*(AND(LEFT(AS27,4)="ITEM",NOT(ISNUMBER(FIND("DESC",AS27)))))+32*(AND(ISNUMBER(FIND("DESC",AS27)),NOT(ISNUMBER(FIND("CAP",AS27)))))+64*(OR(RIGHT(AS27,5)="COUNT",RIGHT(AS27,2)="CT"))+128*(ISNUMBER(FIND("BULK",AS27)))+256*(ISNUMBER(FIND("SIZE",AS27)))+512*(LEFT(AS27,3)="CAP")+1024*(ISNUMBER(FIND("ALLERG",AS27)))+2048*(OR(ISNUMBER(FIND("REMARK",AS27)),ISNUMBER(FIND("COMMENT",AS27))))+4096*(OR(ISNUMBER(FIND("QTY",AS27)),ISNUMBER(FIND("QUANTITY",AS27))))+8192*(AND(OR(ISNUMBER(FIND("COMPLETE",AS27)),ISNUMBER(FIND("PCT",AS27)),ISNUMBER(FIND("PERCENT",AS27))),NOT(ISNUMBER(FIND("ACTUAL",AS27))),LEN(AS27)&lt;=16))+32768*(OR(ISNUMBER(FIND("DESIC",AS27)),ISNUMBER(FIND("DESSIC",AS27)))))</f>
        <v/>
      </c>
      <c r="AT162">
        <f>IF(AT27="",0,2*(OR(ISNUMBER(FIND("WORKCENTER",AT27)),AND(LEFT(AT27,4)="LINE",NOT(ISNUMBER(FIND("STATUS",AT27))))))+4*(OR(ISNUMBER(FIND("WORKORDER",AT27)),AND(LEFT(AT27,2)="WO",OR(ISNUMBER(FIND("NUM",AT27)),RIGHT(AT27,2)="NO"))))+8*(LEFT(AT27,3)="SEQ")+16*(AND(LEFT(AT27,4)="ITEM",NOT(ISNUMBER(FIND("DESC",AT27)))))+32*(AND(ISNUMBER(FIND("DESC",AT27)),NOT(ISNUMBER(FIND("CAP",AT27)))))+64*(OR(RIGHT(AT27,5)="COUNT",RIGHT(AT27,2)="CT"))+128*(ISNUMBER(FIND("BULK",AT27)))+256*(ISNUMBER(FIND("SIZE",AT27)))+512*(LEFT(AT27,3)="CAP")+1024*(ISNUMBER(FIND("ALLERG",AT27)))+2048*(OR(ISNUMBER(FIND("REMARK",AT27)),ISNUMBER(FIND("COMMENT",AT27))))+4096*(OR(ISNUMBER(FIND("QTY",AT27)),ISNUMBER(FIND("QUANTITY",AT27))))+8192*(AND(OR(ISNUMBER(FIND("COMPLETE",AT27)),ISNUMBER(FIND("PCT",AT27)),ISNUMBER(FIND("PERCENT",AT27))),NOT(ISNUMBER(FIND("ACTUAL",AT27))),LEN(AT27)&lt;=16))+32768*(OR(ISNUMBER(FIND("DESIC",AT27)),ISNUMBER(FIND("DESSIC",AT27)))))</f>
        <v/>
      </c>
      <c r="AU162">
        <f>IF(AU27="",0,2*(OR(ISNUMBER(FIND("WORKCENTER",AU27)),AND(LEFT(AU27,4)="LINE",NOT(ISNUMBER(FIND("STATUS",AU27))))))+4*(OR(ISNUMBER(FIND("WORKORDER",AU27)),AND(LEFT(AU27,2)="WO",OR(ISNUMBER(FIND("NUM",AU27)),RIGHT(AU27,2)="NO"))))+8*(LEFT(AU27,3)="SEQ")+16*(AND(LEFT(AU27,4)="ITEM",NOT(ISNUMBER(FIND("DESC",AU27)))))+32*(AND(ISNUMBER(FIND("DESC",AU27)),NOT(ISNUMBER(FIND("CAP",AU27)))))+64*(OR(RIGHT(AU27,5)="COUNT",RIGHT(AU27,2)="CT"))+128*(ISNUMBER(FIND("BULK",AU27)))+256*(ISNUMBER(FIND("SIZE",AU27)))+512*(LEFT(AU27,3)="CAP")+1024*(ISNUMBER(FIND("ALLERG",AU27)))+2048*(OR(ISNUMBER(FIND("REMARK",AU27)),ISNUMBER(FIND("COMMENT",AU27))))+4096*(OR(ISNUMBER(FIND("QTY",AU27)),ISNUMBER(FIND("QUANTITY",AU27))))+8192*(AND(OR(ISNUMBER(FIND("COMPLETE",AU27)),ISNUMBER(FIND("PCT",AU27)),ISNUMBER(FIND("PERCENT",AU27))),NOT(ISNUMBER(FIND("ACTUAL",AU27))),LEN(AU27)&lt;=16))+32768*(OR(ISNUMBER(FIND("DESIC",AU27)),ISNUMBER(FIND("DESSIC",AU27)))))</f>
        <v/>
      </c>
      <c r="AV162">
        <f>IF(AV27="",0,2*(OR(ISNUMBER(FIND("WORKCENTER",AV27)),AND(LEFT(AV27,4)="LINE",NOT(ISNUMBER(FIND("STATUS",AV27))))))+4*(OR(ISNUMBER(FIND("WORKORDER",AV27)),AND(LEFT(AV27,2)="WO",OR(ISNUMBER(FIND("NUM",AV27)),RIGHT(AV27,2)="NO"))))+8*(LEFT(AV27,3)="SEQ")+16*(AND(LEFT(AV27,4)="ITEM",NOT(ISNUMBER(FIND("DESC",AV27)))))+32*(AND(ISNUMBER(FIND("DESC",AV27)),NOT(ISNUMBER(FIND("CAP",AV27)))))+64*(OR(RIGHT(AV27,5)="COUNT",RIGHT(AV27,2)="CT"))+128*(ISNUMBER(FIND("BULK",AV27)))+256*(ISNUMBER(FIND("SIZE",AV27)))+512*(LEFT(AV27,3)="CAP")+1024*(ISNUMBER(FIND("ALLERG",AV27)))+2048*(OR(ISNUMBER(FIND("REMARK",AV27)),ISNUMBER(FIND("COMMENT",AV27))))+4096*(OR(ISNUMBER(FIND("QTY",AV27)),ISNUMBER(FIND("QUANTITY",AV27))))+8192*(AND(OR(ISNUMBER(FIND("COMPLETE",AV27)),ISNUMBER(FIND("PCT",AV27)),ISNUMBER(FIND("PERCENT",AV27))),NOT(ISNUMBER(FIND("ACTUAL",AV27))),LEN(AV27)&lt;=16))+32768*(OR(ISNUMBER(FIND("DESIC",AV27)),ISNUMBER(FIND("DESSIC",AV27)))))</f>
        <v/>
      </c>
      <c r="AW162">
        <f>IF(AW27="",0,2*(OR(ISNUMBER(FIND("WORKCENTER",AW27)),AND(LEFT(AW27,4)="LINE",NOT(ISNUMBER(FIND("STATUS",AW27))))))+4*(OR(ISNUMBER(FIND("WORKORDER",AW27)),AND(LEFT(AW27,2)="WO",OR(ISNUMBER(FIND("NUM",AW27)),RIGHT(AW27,2)="NO"))))+8*(LEFT(AW27,3)="SEQ")+16*(AND(LEFT(AW27,4)="ITEM",NOT(ISNUMBER(FIND("DESC",AW27)))))+32*(AND(ISNUMBER(FIND("DESC",AW27)),NOT(ISNUMBER(FIND("CAP",AW27)))))+64*(OR(RIGHT(AW27,5)="COUNT",RIGHT(AW27,2)="CT"))+128*(ISNUMBER(FIND("BULK",AW27)))+256*(ISNUMBER(FIND("SIZE",AW27)))+512*(LEFT(AW27,3)="CAP")+1024*(ISNUMBER(FIND("ALLERG",AW27)))+2048*(OR(ISNUMBER(FIND("REMARK",AW27)),ISNUMBER(FIND("COMMENT",AW27))))+4096*(OR(ISNUMBER(FIND("QTY",AW27)),ISNUMBER(FIND("QUANTITY",AW27))))+8192*(AND(OR(ISNUMBER(FIND("COMPLETE",AW27)),ISNUMBER(FIND("PCT",AW27)),ISNUMBER(FIND("PERCENT",AW27))),NOT(ISNUMBER(FIND("ACTUAL",AW27))),LEN(AW27)&lt;=16))+32768*(OR(ISNUMBER(FIND("DESIC",AW27)),ISNUMBER(FIND("DESSIC",AW27)))))</f>
        <v/>
      </c>
      <c r="AX162">
        <f>IF(AX27="",0,2*(OR(ISNUMBER(FIND("WORKCENTER",AX27)),AND(LEFT(AX27,4)="LINE",NOT(ISNUMBER(FIND("STATUS",AX27))))))+4*(OR(ISNUMBER(FIND("WORKORDER",AX27)),AND(LEFT(AX27,2)="WO",OR(ISNUMBER(FIND("NUM",AX27)),RIGHT(AX27,2)="NO"))))+8*(LEFT(AX27,3)="SEQ")+16*(AND(LEFT(AX27,4)="ITEM",NOT(ISNUMBER(FIND("DESC",AX27)))))+32*(AND(ISNUMBER(FIND("DESC",AX27)),NOT(ISNUMBER(FIND("CAP",AX27)))))+64*(OR(RIGHT(AX27,5)="COUNT",RIGHT(AX27,2)="CT"))+128*(ISNUMBER(FIND("BULK",AX27)))+256*(ISNUMBER(FIND("SIZE",AX27)))+512*(LEFT(AX27,3)="CAP")+1024*(ISNUMBER(FIND("ALLERG",AX27)))+2048*(OR(ISNUMBER(FIND("REMARK",AX27)),ISNUMBER(FIND("COMMENT",AX27))))+4096*(OR(ISNUMBER(FIND("QTY",AX27)),ISNUMBER(FIND("QUANTITY",AX27))))+8192*(AND(OR(ISNUMBER(FIND("COMPLETE",AX27)),ISNUMBER(FIND("PCT",AX27)),ISNUMBER(FIND("PERCENT",AX27))),NOT(ISNUMBER(FIND("ACTUAL",AX27))),LEN(AX27)&lt;=16))+32768*(OR(ISNUMBER(FIND("DESIC",AX27)),ISNUMBER(FIND("DESSIC",AX27)))))</f>
        <v/>
      </c>
      <c r="AY162">
        <f>IF(AY27="",0,2*(OR(ISNUMBER(FIND("WORKCENTER",AY27)),AND(LEFT(AY27,4)="LINE",NOT(ISNUMBER(FIND("STATUS",AY27))))))+4*(OR(ISNUMBER(FIND("WORKORDER",AY27)),AND(LEFT(AY27,2)="WO",OR(ISNUMBER(FIND("NUM",AY27)),RIGHT(AY27,2)="NO"))))+8*(LEFT(AY27,3)="SEQ")+16*(AND(LEFT(AY27,4)="ITEM",NOT(ISNUMBER(FIND("DESC",AY27)))))+32*(AND(ISNUMBER(FIND("DESC",AY27)),NOT(ISNUMBER(FIND("CAP",AY27)))))+64*(OR(RIGHT(AY27,5)="COUNT",RIGHT(AY27,2)="CT"))+128*(ISNUMBER(FIND("BULK",AY27)))+256*(ISNUMBER(FIND("SIZE",AY27)))+512*(LEFT(AY27,3)="CAP")+1024*(ISNUMBER(FIND("ALLERG",AY27)))+2048*(OR(ISNUMBER(FIND("REMARK",AY27)),ISNUMBER(FIND("COMMENT",AY27))))+4096*(OR(ISNUMBER(FIND("QTY",AY27)),ISNUMBER(FIND("QUANTITY",AY27))))+8192*(AND(OR(ISNUMBER(FIND("COMPLETE",AY27)),ISNUMBER(FIND("PCT",AY27)),ISNUMBER(FIND("PERCENT",AY27))),NOT(ISNUMBER(FIND("ACTUAL",AY27))),LEN(AY27)&lt;=16))+32768*(OR(ISNUMBER(FIND("DESIC",AY27)),ISNUMBER(FIND("DESSIC",AY27)))))</f>
        <v/>
      </c>
      <c r="AZ162">
        <f>IF(AZ27="",0,2*(OR(ISNUMBER(FIND("WORKCENTER",AZ27)),AND(LEFT(AZ27,4)="LINE",NOT(ISNUMBER(FIND("STATUS",AZ27))))))+4*(OR(ISNUMBER(FIND("WORKORDER",AZ27)),AND(LEFT(AZ27,2)="WO",OR(ISNUMBER(FIND("NUM",AZ27)),RIGHT(AZ27,2)="NO"))))+8*(LEFT(AZ27,3)="SEQ")+16*(AND(LEFT(AZ27,4)="ITEM",NOT(ISNUMBER(FIND("DESC",AZ27)))))+32*(AND(ISNUMBER(FIND("DESC",AZ27)),NOT(ISNUMBER(FIND("CAP",AZ27)))))+64*(OR(RIGHT(AZ27,5)="COUNT",RIGHT(AZ27,2)="CT"))+128*(ISNUMBER(FIND("BULK",AZ27)))+256*(ISNUMBER(FIND("SIZE",AZ27)))+512*(LEFT(AZ27,3)="CAP")+1024*(ISNUMBER(FIND("ALLERG",AZ27)))+2048*(OR(ISNUMBER(FIND("REMARK",AZ27)),ISNUMBER(FIND("COMMENT",AZ27))))+4096*(OR(ISNUMBER(FIND("QTY",AZ27)),ISNUMBER(FIND("QUANTITY",AZ27))))+8192*(AND(OR(ISNUMBER(FIND("COMPLETE",AZ27)),ISNUMBER(FIND("PCT",AZ27)),ISNUMBER(FIND("PERCENT",AZ27))),NOT(ISNUMBER(FIND("ACTUAL",AZ27))),LEN(AZ27)&lt;=16))+32768*(OR(ISNUMBER(FIND("DESIC",AZ27)),ISNUMBER(FIND("DESSIC",AZ27)))))</f>
        <v/>
      </c>
      <c r="BA162">
        <f>IF(BA27="",0,2*(OR(ISNUMBER(FIND("WORKCENTER",BA27)),AND(LEFT(BA27,4)="LINE",NOT(ISNUMBER(FIND("STATUS",BA27))))))+4*(OR(ISNUMBER(FIND("WORKORDER",BA27)),AND(LEFT(BA27,2)="WO",OR(ISNUMBER(FIND("NUM",BA27)),RIGHT(BA27,2)="NO"))))+8*(LEFT(BA27,3)="SEQ")+16*(AND(LEFT(BA27,4)="ITEM",NOT(ISNUMBER(FIND("DESC",BA27)))))+32*(AND(ISNUMBER(FIND("DESC",BA27)),NOT(ISNUMBER(FIND("CAP",BA27)))))+64*(OR(RIGHT(BA27,5)="COUNT",RIGHT(BA27,2)="CT"))+128*(ISNUMBER(FIND("BULK",BA27)))+256*(ISNUMBER(FIND("SIZE",BA27)))+512*(LEFT(BA27,3)="CAP")+1024*(ISNUMBER(FIND("ALLERG",BA27)))+2048*(OR(ISNUMBER(FIND("REMARK",BA27)),ISNUMBER(FIND("COMMENT",BA27))))+4096*(OR(ISNUMBER(FIND("QTY",BA27)),ISNUMBER(FIND("QUANTITY",BA27))))+8192*(AND(OR(ISNUMBER(FIND("COMPLETE",BA27)),ISNUMBER(FIND("PCT",BA27)),ISNUMBER(FIND("PERCENT",BA27))),NOT(ISNUMBER(FIND("ACTUAL",BA27))),LEN(BA27)&lt;=16))+32768*(OR(ISNUMBER(FIND("DESIC",BA27)),ISNUMBER(FIND("DESSIC",BA27)))))</f>
        <v/>
      </c>
      <c r="BB162">
        <f>IF(BB27="",0,2*(OR(ISNUMBER(FIND("WORKCENTER",BB27)),AND(LEFT(BB27,4)="LINE",NOT(ISNUMBER(FIND("STATUS",BB27))))))+4*(OR(ISNUMBER(FIND("WORKORDER",BB27)),AND(LEFT(BB27,2)="WO",OR(ISNUMBER(FIND("NUM",BB27)),RIGHT(BB27,2)="NO"))))+8*(LEFT(BB27,3)="SEQ")+16*(AND(LEFT(BB27,4)="ITEM",NOT(ISNUMBER(FIND("DESC",BB27)))))+32*(AND(ISNUMBER(FIND("DESC",BB27)),NOT(ISNUMBER(FIND("CAP",BB27)))))+64*(OR(RIGHT(BB27,5)="COUNT",RIGHT(BB27,2)="CT"))+128*(ISNUMBER(FIND("BULK",BB27)))+256*(ISNUMBER(FIND("SIZE",BB27)))+512*(LEFT(BB27,3)="CAP")+1024*(ISNUMBER(FIND("ALLERG",BB27)))+2048*(OR(ISNUMBER(FIND("REMARK",BB27)),ISNUMBER(FIND("COMMENT",BB27))))+4096*(OR(ISNUMBER(FIND("QTY",BB27)),ISNUMBER(FIND("QUANTITY",BB27))))+8192*(AND(OR(ISNUMBER(FIND("COMPLETE",BB27)),ISNUMBER(FIND("PCT",BB27)),ISNUMBER(FIND("PERCENT",BB27))),NOT(ISNUMBER(FIND("ACTUAL",BB27))),LEN(BB27)&lt;=16))+32768*(OR(ISNUMBER(FIND("DESIC",BB27)),ISNUMBER(FIND("DESSIC",BB27)))))</f>
        <v/>
      </c>
      <c r="BC162">
        <f>IF(BC27="",0,2*(OR(ISNUMBER(FIND("WORKCENTER",BC27)),AND(LEFT(BC27,4)="LINE",NOT(ISNUMBER(FIND("STATUS",BC27))))))+4*(OR(ISNUMBER(FIND("WORKORDER",BC27)),AND(LEFT(BC27,2)="WO",OR(ISNUMBER(FIND("NUM",BC27)),RIGHT(BC27,2)="NO"))))+8*(LEFT(BC27,3)="SEQ")+16*(AND(LEFT(BC27,4)="ITEM",NOT(ISNUMBER(FIND("DESC",BC27)))))+32*(AND(ISNUMBER(FIND("DESC",BC27)),NOT(ISNUMBER(FIND("CAP",BC27)))))+64*(OR(RIGHT(BC27,5)="COUNT",RIGHT(BC27,2)="CT"))+128*(ISNUMBER(FIND("BULK",BC27)))+256*(ISNUMBER(FIND("SIZE",BC27)))+512*(LEFT(BC27,3)="CAP")+1024*(ISNUMBER(FIND("ALLERG",BC27)))+2048*(OR(ISNUMBER(FIND("REMARK",BC27)),ISNUMBER(FIND("COMMENT",BC27))))+4096*(OR(ISNUMBER(FIND("QTY",BC27)),ISNUMBER(FIND("QUANTITY",BC27))))+8192*(AND(OR(ISNUMBER(FIND("COMPLETE",BC27)),ISNUMBER(FIND("PCT",BC27)),ISNUMBER(FIND("PERCENT",BC27))),NOT(ISNUMBER(FIND("ACTUAL",BC27))),LEN(BC27)&lt;=16))+32768*(OR(ISNUMBER(FIND("DESIC",BC27)),ISNUMBER(FIND("DESSIC",BC27)))))</f>
        <v/>
      </c>
      <c r="BD162">
        <f>IF(BD27="",0,2*(OR(ISNUMBER(FIND("WORKCENTER",BD27)),AND(LEFT(BD27,4)="LINE",NOT(ISNUMBER(FIND("STATUS",BD27))))))+4*(OR(ISNUMBER(FIND("WORKORDER",BD27)),AND(LEFT(BD27,2)="WO",OR(ISNUMBER(FIND("NUM",BD27)),RIGHT(BD27,2)="NO"))))+8*(LEFT(BD27,3)="SEQ")+16*(AND(LEFT(BD27,4)="ITEM",NOT(ISNUMBER(FIND("DESC",BD27)))))+32*(AND(ISNUMBER(FIND("DESC",BD27)),NOT(ISNUMBER(FIND("CAP",BD27)))))+64*(OR(RIGHT(BD27,5)="COUNT",RIGHT(BD27,2)="CT"))+128*(ISNUMBER(FIND("BULK",BD27)))+256*(ISNUMBER(FIND("SIZE",BD27)))+512*(LEFT(BD27,3)="CAP")+1024*(ISNUMBER(FIND("ALLERG",BD27)))+2048*(OR(ISNUMBER(FIND("REMARK",BD27)),ISNUMBER(FIND("COMMENT",BD27))))+4096*(OR(ISNUMBER(FIND("QTY",BD27)),ISNUMBER(FIND("QUANTITY",BD27))))+8192*(AND(OR(ISNUMBER(FIND("COMPLETE",BD27)),ISNUMBER(FIND("PCT",BD27)),ISNUMBER(FIND("PERCENT",BD27))),NOT(ISNUMBER(FIND("ACTUAL",BD27))),LEN(BD27)&lt;=16))+32768*(OR(ISNUMBER(FIND("DESIC",BD27)),ISNUMBER(FIND("DESSIC",BD27)))))</f>
        <v/>
      </c>
      <c r="BE162">
        <f>IF(BE27="",0,2*(OR(ISNUMBER(FIND("WORKCENTER",BE27)),AND(LEFT(BE27,4)="LINE",NOT(ISNUMBER(FIND("STATUS",BE27))))))+4*(OR(ISNUMBER(FIND("WORKORDER",BE27)),AND(LEFT(BE27,2)="WO",OR(ISNUMBER(FIND("NUM",BE27)),RIGHT(BE27,2)="NO"))))+8*(LEFT(BE27,3)="SEQ")+16*(AND(LEFT(BE27,4)="ITEM",NOT(ISNUMBER(FIND("DESC",BE27)))))+32*(AND(ISNUMBER(FIND("DESC",BE27)),NOT(ISNUMBER(FIND("CAP",BE27)))))+64*(OR(RIGHT(BE27,5)="COUNT",RIGHT(BE27,2)="CT"))+128*(ISNUMBER(FIND("BULK",BE27)))+256*(ISNUMBER(FIND("SIZE",BE27)))+512*(LEFT(BE27,3)="CAP")+1024*(ISNUMBER(FIND("ALLERG",BE27)))+2048*(OR(ISNUMBER(FIND("REMARK",BE27)),ISNUMBER(FIND("COMMENT",BE27))))+4096*(OR(ISNUMBER(FIND("QTY",BE27)),ISNUMBER(FIND("QUANTITY",BE27))))+8192*(AND(OR(ISNUMBER(FIND("COMPLETE",BE27)),ISNUMBER(FIND("PCT",BE27)),ISNUMBER(FIND("PERCENT",BE27))),NOT(ISNUMBER(FIND("ACTUAL",BE27))),LEN(BE27)&lt;=16))+32768*(OR(ISNUMBER(FIND("DESIC",BE27)),ISNUMBER(FIND("DESSIC",BE27)))))</f>
        <v/>
      </c>
      <c r="BF162">
        <f>IF(BF27="",0,2*(OR(ISNUMBER(FIND("WORKCENTER",BF27)),AND(LEFT(BF27,4)="LINE",NOT(ISNUMBER(FIND("STATUS",BF27))))))+4*(OR(ISNUMBER(FIND("WORKORDER",BF27)),AND(LEFT(BF27,2)="WO",OR(ISNUMBER(FIND("NUM",BF27)),RIGHT(BF27,2)="NO"))))+8*(LEFT(BF27,3)="SEQ")+16*(AND(LEFT(BF27,4)="ITEM",NOT(ISNUMBER(FIND("DESC",BF27)))))+32*(AND(ISNUMBER(FIND("DESC",BF27)),NOT(ISNUMBER(FIND("CAP",BF27)))))+64*(OR(RIGHT(BF27,5)="COUNT",RIGHT(BF27,2)="CT"))+128*(ISNUMBER(FIND("BULK",BF27)))+256*(ISNUMBER(FIND("SIZE",BF27)))+512*(LEFT(BF27,3)="CAP")+1024*(ISNUMBER(FIND("ALLERG",BF27)))+2048*(OR(ISNUMBER(FIND("REMARK",BF27)),ISNUMBER(FIND("COMMENT",BF27))))+4096*(OR(ISNUMBER(FIND("QTY",BF27)),ISNUMBER(FIND("QUANTITY",BF27))))+8192*(AND(OR(ISNUMBER(FIND("COMPLETE",BF27)),ISNUMBER(FIND("PCT",BF27)),ISNUMBER(FIND("PERCENT",BF27))),NOT(ISNUMBER(FIND("ACTUAL",BF27))),LEN(BF27)&lt;=16))+32768*(OR(ISNUMBER(FIND("DESIC",BF27)),ISNUMBER(FIND("DESSIC",BF27)))))</f>
        <v/>
      </c>
      <c r="BG162">
        <f>IF(BG27="",0,2*(OR(ISNUMBER(FIND("WORKCENTER",BG27)),AND(LEFT(BG27,4)="LINE",NOT(ISNUMBER(FIND("STATUS",BG27))))))+4*(OR(ISNUMBER(FIND("WORKORDER",BG27)),AND(LEFT(BG27,2)="WO",OR(ISNUMBER(FIND("NUM",BG27)),RIGHT(BG27,2)="NO"))))+8*(LEFT(BG27,3)="SEQ")+16*(AND(LEFT(BG27,4)="ITEM",NOT(ISNUMBER(FIND("DESC",BG27)))))+32*(AND(ISNUMBER(FIND("DESC",BG27)),NOT(ISNUMBER(FIND("CAP",BG27)))))+64*(OR(RIGHT(BG27,5)="COUNT",RIGHT(BG27,2)="CT"))+128*(ISNUMBER(FIND("BULK",BG27)))+256*(ISNUMBER(FIND("SIZE",BG27)))+512*(LEFT(BG27,3)="CAP")+1024*(ISNUMBER(FIND("ALLERG",BG27)))+2048*(OR(ISNUMBER(FIND("REMARK",BG27)),ISNUMBER(FIND("COMMENT",BG27))))+4096*(OR(ISNUMBER(FIND("QTY",BG27)),ISNUMBER(FIND("QUANTITY",BG27))))+8192*(AND(OR(ISNUMBER(FIND("COMPLETE",BG27)),ISNUMBER(FIND("PCT",BG27)),ISNUMBER(FIND("PERCENT",BG27))),NOT(ISNUMBER(FIND("ACTUAL",BG27))),LEN(BG27)&lt;=16))+32768*(OR(ISNUMBER(FIND("DESIC",BG27)),ISNUMBER(FIND("DESSIC",BG27)))))</f>
        <v/>
      </c>
      <c r="BH162">
        <f>IF(BH27="",0,2*(OR(ISNUMBER(FIND("WORKCENTER",BH27)),AND(LEFT(BH27,4)="LINE",NOT(ISNUMBER(FIND("STATUS",BH27))))))+4*(OR(ISNUMBER(FIND("WORKORDER",BH27)),AND(LEFT(BH27,2)="WO",OR(ISNUMBER(FIND("NUM",BH27)),RIGHT(BH27,2)="NO"))))+8*(LEFT(BH27,3)="SEQ")+16*(AND(LEFT(BH27,4)="ITEM",NOT(ISNUMBER(FIND("DESC",BH27)))))+32*(AND(ISNUMBER(FIND("DESC",BH27)),NOT(ISNUMBER(FIND("CAP",BH27)))))+64*(OR(RIGHT(BH27,5)="COUNT",RIGHT(BH27,2)="CT"))+128*(ISNUMBER(FIND("BULK",BH27)))+256*(ISNUMBER(FIND("SIZE",BH27)))+512*(LEFT(BH27,3)="CAP")+1024*(ISNUMBER(FIND("ALLERG",BH27)))+2048*(OR(ISNUMBER(FIND("REMARK",BH27)),ISNUMBER(FIND("COMMENT",BH27))))+4096*(OR(ISNUMBER(FIND("QTY",BH27)),ISNUMBER(FIND("QUANTITY",BH27))))+8192*(AND(OR(ISNUMBER(FIND("COMPLETE",BH27)),ISNUMBER(FIND("PCT",BH27)),ISNUMBER(FIND("PERCENT",BH27))),NOT(ISNUMBER(FIND("ACTUAL",BH27))),LEN(BH27)&lt;=16))+32768*(OR(ISNUMBER(FIND("DESIC",BH27)),ISNUMBER(FIND("DESSIC",BH27)))))</f>
        <v/>
      </c>
      <c r="BI162">
        <f>IF(BI27="",0,2*(OR(ISNUMBER(FIND("WORKCENTER",BI27)),AND(LEFT(BI27,4)="LINE",NOT(ISNUMBER(FIND("STATUS",BI27))))))+4*(OR(ISNUMBER(FIND("WORKORDER",BI27)),AND(LEFT(BI27,2)="WO",OR(ISNUMBER(FIND("NUM",BI27)),RIGHT(BI27,2)="NO"))))+8*(LEFT(BI27,3)="SEQ")+16*(AND(LEFT(BI27,4)="ITEM",NOT(ISNUMBER(FIND("DESC",BI27)))))+32*(AND(ISNUMBER(FIND("DESC",BI27)),NOT(ISNUMBER(FIND("CAP",BI27)))))+64*(OR(RIGHT(BI27,5)="COUNT",RIGHT(BI27,2)="CT"))+128*(ISNUMBER(FIND("BULK",BI27)))+256*(ISNUMBER(FIND("SIZE",BI27)))+512*(LEFT(BI27,3)="CAP")+1024*(ISNUMBER(FIND("ALLERG",BI27)))+2048*(OR(ISNUMBER(FIND("REMARK",BI27)),ISNUMBER(FIND("COMMENT",BI27))))+4096*(OR(ISNUMBER(FIND("QTY",BI27)),ISNUMBER(FIND("QUANTITY",BI27))))+8192*(AND(OR(ISNUMBER(FIND("COMPLETE",BI27)),ISNUMBER(FIND("PCT",BI27)),ISNUMBER(FIND("PERCENT",BI27))),NOT(ISNUMBER(FIND("ACTUAL",BI27))),LEN(BI27)&lt;=16))+32768*(OR(ISNUMBER(FIND("DESIC",BI27)),ISNUMBER(FIND("DESSIC",BI27)))))</f>
        <v/>
      </c>
      <c r="BJ162">
        <f>IF(BJ27="",0,2*(OR(ISNUMBER(FIND("WORKCENTER",BJ27)),AND(LEFT(BJ27,4)="LINE",NOT(ISNUMBER(FIND("STATUS",BJ27))))))+4*(OR(ISNUMBER(FIND("WORKORDER",BJ27)),AND(LEFT(BJ27,2)="WO",OR(ISNUMBER(FIND("NUM",BJ27)),RIGHT(BJ27,2)="NO"))))+8*(LEFT(BJ27,3)="SEQ")+16*(AND(LEFT(BJ27,4)="ITEM",NOT(ISNUMBER(FIND("DESC",BJ27)))))+32*(AND(ISNUMBER(FIND("DESC",BJ27)),NOT(ISNUMBER(FIND("CAP",BJ27)))))+64*(OR(RIGHT(BJ27,5)="COUNT",RIGHT(BJ27,2)="CT"))+128*(ISNUMBER(FIND("BULK",BJ27)))+256*(ISNUMBER(FIND("SIZE",BJ27)))+512*(LEFT(BJ27,3)="CAP")+1024*(ISNUMBER(FIND("ALLERG",BJ27)))+2048*(OR(ISNUMBER(FIND("REMARK",BJ27)),ISNUMBER(FIND("COMMENT",BJ27))))+4096*(OR(ISNUMBER(FIND("QTY",BJ27)),ISNUMBER(FIND("QUANTITY",BJ27))))+8192*(AND(OR(ISNUMBER(FIND("COMPLETE",BJ27)),ISNUMBER(FIND("PCT",BJ27)),ISNUMBER(FIND("PERCENT",BJ27))),NOT(ISNUMBER(FIND("ACTUAL",BJ27))),LEN(BJ27)&lt;=16))+32768*(OR(ISNUMBER(FIND("DESIC",BJ27)),ISNUMBER(FIND("DESSIC",BJ27)))))</f>
        <v/>
      </c>
      <c r="BK162">
        <f>IF(BK27="",0,2*(OR(ISNUMBER(FIND("WORKCENTER",BK27)),AND(LEFT(BK27,4)="LINE",NOT(ISNUMBER(FIND("STATUS",BK27))))))+4*(OR(ISNUMBER(FIND("WORKORDER",BK27)),AND(LEFT(BK27,2)="WO",OR(ISNUMBER(FIND("NUM",BK27)),RIGHT(BK27,2)="NO"))))+8*(LEFT(BK27,3)="SEQ")+16*(AND(LEFT(BK27,4)="ITEM",NOT(ISNUMBER(FIND("DESC",BK27)))))+32*(AND(ISNUMBER(FIND("DESC",BK27)),NOT(ISNUMBER(FIND("CAP",BK27)))))+64*(OR(RIGHT(BK27,5)="COUNT",RIGHT(BK27,2)="CT"))+128*(ISNUMBER(FIND("BULK",BK27)))+256*(ISNUMBER(FIND("SIZE",BK27)))+512*(LEFT(BK27,3)="CAP")+1024*(ISNUMBER(FIND("ALLERG",BK27)))+2048*(OR(ISNUMBER(FIND("REMARK",BK27)),ISNUMBER(FIND("COMMENT",BK27))))+4096*(OR(ISNUMBER(FIND("QTY",BK27)),ISNUMBER(FIND("QUANTITY",BK27))))+8192*(AND(OR(ISNUMBER(FIND("COMPLETE",BK27)),ISNUMBER(FIND("PCT",BK27)),ISNUMBER(FIND("PERCENT",BK27))),NOT(ISNUMBER(FIND("ACTUAL",BK27))),LEN(BK27)&lt;=16))+32768*(OR(ISNUMBER(FIND("DESIC",BK27)),ISNUMBER(FIND("DESSIC",BK27)))))</f>
        <v/>
      </c>
      <c r="BL162">
        <f>IF(BL27="",0,2*(OR(ISNUMBER(FIND("WORKCENTER",BL27)),AND(LEFT(BL27,4)="LINE",NOT(ISNUMBER(FIND("STATUS",BL27))))))+4*(OR(ISNUMBER(FIND("WORKORDER",BL27)),AND(LEFT(BL27,2)="WO",OR(ISNUMBER(FIND("NUM",BL27)),RIGHT(BL27,2)="NO"))))+8*(LEFT(BL27,3)="SEQ")+16*(AND(LEFT(BL27,4)="ITEM",NOT(ISNUMBER(FIND("DESC",BL27)))))+32*(AND(ISNUMBER(FIND("DESC",BL27)),NOT(ISNUMBER(FIND("CAP",BL27)))))+64*(OR(RIGHT(BL27,5)="COUNT",RIGHT(BL27,2)="CT"))+128*(ISNUMBER(FIND("BULK",BL27)))+256*(ISNUMBER(FIND("SIZE",BL27)))+512*(LEFT(BL27,3)="CAP")+1024*(ISNUMBER(FIND("ALLERG",BL27)))+2048*(OR(ISNUMBER(FIND("REMARK",BL27)),ISNUMBER(FIND("COMMENT",BL27))))+4096*(OR(ISNUMBER(FIND("QTY",BL27)),ISNUMBER(FIND("QUANTITY",BL27))))+8192*(AND(OR(ISNUMBER(FIND("COMPLETE",BL27)),ISNUMBER(FIND("PCT",BL27)),ISNUMBER(FIND("PERCENT",BL27))),NOT(ISNUMBER(FIND("ACTUAL",BL27))),LEN(BL27)&lt;=16))+32768*(OR(ISNUMBER(FIND("DESIC",BL27)),ISNUMBER(FIND("DESSIC",BL27)))))</f>
        <v/>
      </c>
      <c r="BM162">
        <f>IF(BM27="",0,2*(OR(ISNUMBER(FIND("WORKCENTER",BM27)),AND(LEFT(BM27,4)="LINE",NOT(ISNUMBER(FIND("STATUS",BM27))))))+4*(OR(ISNUMBER(FIND("WORKORDER",BM27)),AND(LEFT(BM27,2)="WO",OR(ISNUMBER(FIND("NUM",BM27)),RIGHT(BM27,2)="NO"))))+8*(LEFT(BM27,3)="SEQ")+16*(AND(LEFT(BM27,4)="ITEM",NOT(ISNUMBER(FIND("DESC",BM27)))))+32*(AND(ISNUMBER(FIND("DESC",BM27)),NOT(ISNUMBER(FIND("CAP",BM27)))))+64*(OR(RIGHT(BM27,5)="COUNT",RIGHT(BM27,2)="CT"))+128*(ISNUMBER(FIND("BULK",BM27)))+256*(ISNUMBER(FIND("SIZE",BM27)))+512*(LEFT(BM27,3)="CAP")+1024*(ISNUMBER(FIND("ALLERG",BM27)))+2048*(OR(ISNUMBER(FIND("REMARK",BM27)),ISNUMBER(FIND("COMMENT",BM27))))+4096*(OR(ISNUMBER(FIND("QTY",BM27)),ISNUMBER(FIND("QUANTITY",BM27))))+8192*(AND(OR(ISNUMBER(FIND("COMPLETE",BM27)),ISNUMBER(FIND("PCT",BM27)),ISNUMBER(FIND("PERCENT",BM27))),NOT(ISNUMBER(FIND("ACTUAL",BM27))),LEN(BM27)&lt;=16))+32768*(OR(ISNUMBER(FIND("DESIC",BM27)),ISNUMBER(FIND("DESSIC",BM27)))))</f>
        <v/>
      </c>
      <c r="BN162">
        <f>IF(BN27="",0,2*(OR(ISNUMBER(FIND("WORKCENTER",BN27)),AND(LEFT(BN27,4)="LINE",NOT(ISNUMBER(FIND("STATUS",BN27))))))+4*(OR(ISNUMBER(FIND("WORKORDER",BN27)),AND(LEFT(BN27,2)="WO",OR(ISNUMBER(FIND("NUM",BN27)),RIGHT(BN27,2)="NO"))))+8*(LEFT(BN27,3)="SEQ")+16*(AND(LEFT(BN27,4)="ITEM",NOT(ISNUMBER(FIND("DESC",BN27)))))+32*(AND(ISNUMBER(FIND("DESC",BN27)),NOT(ISNUMBER(FIND("CAP",BN27)))))+64*(OR(RIGHT(BN27,5)="COUNT",RIGHT(BN27,2)="CT"))+128*(ISNUMBER(FIND("BULK",BN27)))+256*(ISNUMBER(FIND("SIZE",BN27)))+512*(LEFT(BN27,3)="CAP")+1024*(ISNUMBER(FIND("ALLERG",BN27)))+2048*(OR(ISNUMBER(FIND("REMARK",BN27)),ISNUMBER(FIND("COMMENT",BN27))))+4096*(OR(ISNUMBER(FIND("QTY",BN27)),ISNUMBER(FIND("QUANTITY",BN27))))+8192*(AND(OR(ISNUMBER(FIND("COMPLETE",BN27)),ISNUMBER(FIND("PCT",BN27)),ISNUMBER(FIND("PERCENT",BN27))),NOT(ISNUMBER(FIND("ACTUAL",BN27))),LEN(BN27)&lt;=16))+32768*(OR(ISNUMBER(FIND("DESIC",BN27)),ISNUMBER(FIND("DESSIC",BN27)))))</f>
        <v/>
      </c>
      <c r="BO162">
        <f>IF(BO27="",0,2*(OR(ISNUMBER(FIND("WORKCENTER",BO27)),AND(LEFT(BO27,4)="LINE",NOT(ISNUMBER(FIND("STATUS",BO27))))))+4*(OR(ISNUMBER(FIND("WORKORDER",BO27)),AND(LEFT(BO27,2)="WO",OR(ISNUMBER(FIND("NUM",BO27)),RIGHT(BO27,2)="NO"))))+8*(LEFT(BO27,3)="SEQ")+16*(AND(LEFT(BO27,4)="ITEM",NOT(ISNUMBER(FIND("DESC",BO27)))))+32*(AND(ISNUMBER(FIND("DESC",BO27)),NOT(ISNUMBER(FIND("CAP",BO27)))))+64*(OR(RIGHT(BO27,5)="COUNT",RIGHT(BO27,2)="CT"))+128*(ISNUMBER(FIND("BULK",BO27)))+256*(ISNUMBER(FIND("SIZE",BO27)))+512*(LEFT(BO27,3)="CAP")+1024*(ISNUMBER(FIND("ALLERG",BO27)))+2048*(OR(ISNUMBER(FIND("REMARK",BO27)),ISNUMBER(FIND("COMMENT",BO27))))+4096*(OR(ISNUMBER(FIND("QTY",BO27)),ISNUMBER(FIND("QUANTITY",BO27))))+8192*(AND(OR(ISNUMBER(FIND("COMPLETE",BO27)),ISNUMBER(FIND("PCT",BO27)),ISNUMBER(FIND("PERCENT",BO27))),NOT(ISNUMBER(FIND("ACTUAL",BO27))),LEN(BO27)&lt;=16))+32768*(OR(ISNUMBER(FIND("DESIC",BO27)),ISNUMBER(FIND("DESSIC",BO27)))))</f>
        <v/>
      </c>
      <c r="BP162">
        <f>IF(BP27="",0,2*(OR(ISNUMBER(FIND("WORKCENTER",BP27)),AND(LEFT(BP27,4)="LINE",NOT(ISNUMBER(FIND("STATUS",BP27))))))+4*(OR(ISNUMBER(FIND("WORKORDER",BP27)),AND(LEFT(BP27,2)="WO",OR(ISNUMBER(FIND("NUM",BP27)),RIGHT(BP27,2)="NO"))))+8*(LEFT(BP27,3)="SEQ")+16*(AND(LEFT(BP27,4)="ITEM",NOT(ISNUMBER(FIND("DESC",BP27)))))+32*(AND(ISNUMBER(FIND("DESC",BP27)),NOT(ISNUMBER(FIND("CAP",BP27)))))+64*(OR(RIGHT(BP27,5)="COUNT",RIGHT(BP27,2)="CT"))+128*(ISNUMBER(FIND("BULK",BP27)))+256*(ISNUMBER(FIND("SIZE",BP27)))+512*(LEFT(BP27,3)="CAP")+1024*(ISNUMBER(FIND("ALLERG",BP27)))+2048*(OR(ISNUMBER(FIND("REMARK",BP27)),ISNUMBER(FIND("COMMENT",BP27))))+4096*(OR(ISNUMBER(FIND("QTY",BP27)),ISNUMBER(FIND("QUANTITY",BP27))))+8192*(AND(OR(ISNUMBER(FIND("COMPLETE",BP27)),ISNUMBER(FIND("PCT",BP27)),ISNUMBER(FIND("PERCENT",BP27))),NOT(ISNUMBER(FIND("ACTUAL",BP27))),LEN(BP27)&lt;=16))+32768*(OR(ISNUMBER(FIND("DESIC",BP27)),ISNUMBER(FIND("DESSIC",BP27)))))</f>
        <v/>
      </c>
      <c r="BQ162">
        <f>IF(BQ27="",0,2*(OR(ISNUMBER(FIND("WORKCENTER",BQ27)),AND(LEFT(BQ27,4)="LINE",NOT(ISNUMBER(FIND("STATUS",BQ27))))))+4*(OR(ISNUMBER(FIND("WORKORDER",BQ27)),AND(LEFT(BQ27,2)="WO",OR(ISNUMBER(FIND("NUM",BQ27)),RIGHT(BQ27,2)="NO"))))+8*(LEFT(BQ27,3)="SEQ")+16*(AND(LEFT(BQ27,4)="ITEM",NOT(ISNUMBER(FIND("DESC",BQ27)))))+32*(AND(ISNUMBER(FIND("DESC",BQ27)),NOT(ISNUMBER(FIND("CAP",BQ27)))))+64*(OR(RIGHT(BQ27,5)="COUNT",RIGHT(BQ27,2)="CT"))+128*(ISNUMBER(FIND("BULK",BQ27)))+256*(ISNUMBER(FIND("SIZE",BQ27)))+512*(LEFT(BQ27,3)="CAP")+1024*(ISNUMBER(FIND("ALLERG",BQ27)))+2048*(OR(ISNUMBER(FIND("REMARK",BQ27)),ISNUMBER(FIND("COMMENT",BQ27))))+4096*(OR(ISNUMBER(FIND("QTY",BQ27)),ISNUMBER(FIND("QUANTITY",BQ27))))+8192*(AND(OR(ISNUMBER(FIND("COMPLETE",BQ27)),ISNUMBER(FIND("PCT",BQ27)),ISNUMBER(FIND("PERCENT",BQ27))),NOT(ISNUMBER(FIND("ACTUAL",BQ27))),LEN(BQ27)&lt;=16))+32768*(OR(ISNUMBER(FIND("DESIC",BQ27)),ISNUMBER(FIND("DESSIC",BQ27)))))</f>
        <v/>
      </c>
      <c r="BR162">
        <f>IF(BR27="",0,2*(OR(ISNUMBER(FIND("WORKCENTER",BR27)),AND(LEFT(BR27,4)="LINE",NOT(ISNUMBER(FIND("STATUS",BR27))))))+4*(OR(ISNUMBER(FIND("WORKORDER",BR27)),AND(LEFT(BR27,2)="WO",OR(ISNUMBER(FIND("NUM",BR27)),RIGHT(BR27,2)="NO"))))+8*(LEFT(BR27,3)="SEQ")+16*(AND(LEFT(BR27,4)="ITEM",NOT(ISNUMBER(FIND("DESC",BR27)))))+32*(AND(ISNUMBER(FIND("DESC",BR27)),NOT(ISNUMBER(FIND("CAP",BR27)))))+64*(OR(RIGHT(BR27,5)="COUNT",RIGHT(BR27,2)="CT"))+128*(ISNUMBER(FIND("BULK",BR27)))+256*(ISNUMBER(FIND("SIZE",BR27)))+512*(LEFT(BR27,3)="CAP")+1024*(ISNUMBER(FIND("ALLERG",BR27)))+2048*(OR(ISNUMBER(FIND("REMARK",BR27)),ISNUMBER(FIND("COMMENT",BR27))))+4096*(OR(ISNUMBER(FIND("QTY",BR27)),ISNUMBER(FIND("QUANTITY",BR27))))+8192*(AND(OR(ISNUMBER(FIND("COMPLETE",BR27)),ISNUMBER(FIND("PCT",BR27)),ISNUMBER(FIND("PERCENT",BR27))),NOT(ISNUMBER(FIND("ACTUAL",BR27))),LEN(BR27)&lt;=16))+32768*(OR(ISNUMBER(FIND("DESIC",BR27)),ISNUMBER(FIND("DESSIC",BR27)))))</f>
        <v/>
      </c>
      <c r="BS162">
        <f>IF(BS27="",0,2*(OR(ISNUMBER(FIND("WORKCENTER",BS27)),AND(LEFT(BS27,4)="LINE",NOT(ISNUMBER(FIND("STATUS",BS27))))))+4*(OR(ISNUMBER(FIND("WORKORDER",BS27)),AND(LEFT(BS27,2)="WO",OR(ISNUMBER(FIND("NUM",BS27)),RIGHT(BS27,2)="NO"))))+8*(LEFT(BS27,3)="SEQ")+16*(AND(LEFT(BS27,4)="ITEM",NOT(ISNUMBER(FIND("DESC",BS27)))))+32*(AND(ISNUMBER(FIND("DESC",BS27)),NOT(ISNUMBER(FIND("CAP",BS27)))))+64*(OR(RIGHT(BS27,5)="COUNT",RIGHT(BS27,2)="CT"))+128*(ISNUMBER(FIND("BULK",BS27)))+256*(ISNUMBER(FIND("SIZE",BS27)))+512*(LEFT(BS27,3)="CAP")+1024*(ISNUMBER(FIND("ALLERG",BS27)))+2048*(OR(ISNUMBER(FIND("REMARK",BS27)),ISNUMBER(FIND("COMMENT",BS27))))+4096*(OR(ISNUMBER(FIND("QTY",BS27)),ISNUMBER(FIND("QUANTITY",BS27))))+8192*(AND(OR(ISNUMBER(FIND("COMPLETE",BS27)),ISNUMBER(FIND("PCT",BS27)),ISNUMBER(FIND("PERCENT",BS27))),NOT(ISNUMBER(FIND("ACTUAL",BS27))),LEN(BS27)&lt;=16))+32768*(OR(ISNUMBER(FIND("DESIC",BS27)),ISNUMBER(FIND("DESSIC",BS27)))))</f>
        <v/>
      </c>
      <c r="BT162">
        <f>IF(BT27="",0,2*(OR(ISNUMBER(FIND("WORKCENTER",BT27)),AND(LEFT(BT27,4)="LINE",NOT(ISNUMBER(FIND("STATUS",BT27))))))+4*(OR(ISNUMBER(FIND("WORKORDER",BT27)),AND(LEFT(BT27,2)="WO",OR(ISNUMBER(FIND("NUM",BT27)),RIGHT(BT27,2)="NO"))))+8*(LEFT(BT27,3)="SEQ")+16*(AND(LEFT(BT27,4)="ITEM",NOT(ISNUMBER(FIND("DESC",BT27)))))+32*(AND(ISNUMBER(FIND("DESC",BT27)),NOT(ISNUMBER(FIND("CAP",BT27)))))+64*(OR(RIGHT(BT27,5)="COUNT",RIGHT(BT27,2)="CT"))+128*(ISNUMBER(FIND("BULK",BT27)))+256*(ISNUMBER(FIND("SIZE",BT27)))+512*(LEFT(BT27,3)="CAP")+1024*(ISNUMBER(FIND("ALLERG",BT27)))+2048*(OR(ISNUMBER(FIND("REMARK",BT27)),ISNUMBER(FIND("COMMENT",BT27))))+4096*(OR(ISNUMBER(FIND("QTY",BT27)),ISNUMBER(FIND("QUANTITY",BT27))))+8192*(AND(OR(ISNUMBER(FIND("COMPLETE",BT27)),ISNUMBER(FIND("PCT",BT27)),ISNUMBER(FIND("PERCENT",BT27))),NOT(ISNUMBER(FIND("ACTUAL",BT27))),LEN(BT27)&lt;=16))+32768*(OR(ISNUMBER(FIND("DESIC",BT27)),ISNUMBER(FIND("DESSIC",BT27)))))</f>
        <v/>
      </c>
      <c r="BU162">
        <f>IF(BU27="",0,2*(OR(ISNUMBER(FIND("WORKCENTER",BU27)),AND(LEFT(BU27,4)="LINE",NOT(ISNUMBER(FIND("STATUS",BU27))))))+4*(OR(ISNUMBER(FIND("WORKORDER",BU27)),AND(LEFT(BU27,2)="WO",OR(ISNUMBER(FIND("NUM",BU27)),RIGHT(BU27,2)="NO"))))+8*(LEFT(BU27,3)="SEQ")+16*(AND(LEFT(BU27,4)="ITEM",NOT(ISNUMBER(FIND("DESC",BU27)))))+32*(AND(ISNUMBER(FIND("DESC",BU27)),NOT(ISNUMBER(FIND("CAP",BU27)))))+64*(OR(RIGHT(BU27,5)="COUNT",RIGHT(BU27,2)="CT"))+128*(ISNUMBER(FIND("BULK",BU27)))+256*(ISNUMBER(FIND("SIZE",BU27)))+512*(LEFT(BU27,3)="CAP")+1024*(ISNUMBER(FIND("ALLERG",BU27)))+2048*(OR(ISNUMBER(FIND("REMARK",BU27)),ISNUMBER(FIND("COMMENT",BU27))))+4096*(OR(ISNUMBER(FIND("QTY",BU27)),ISNUMBER(FIND("QUANTITY",BU27))))+8192*(AND(OR(ISNUMBER(FIND("COMPLETE",BU27)),ISNUMBER(FIND("PCT",BU27)),ISNUMBER(FIND("PERCENT",BU27))),NOT(ISNUMBER(FIND("ACTUAL",BU27))),LEN(BU27)&lt;=16))+32768*(OR(ISNUMBER(FIND("DESIC",BU27)),ISNUMBER(FIND("DESSIC",BU27)))))</f>
        <v/>
      </c>
      <c r="BV162">
        <f>IF(BV27="",0,2*(OR(ISNUMBER(FIND("WORKCENTER",BV27)),AND(LEFT(BV27,4)="LINE",NOT(ISNUMBER(FIND("STATUS",BV27))))))+4*(OR(ISNUMBER(FIND("WORKORDER",BV27)),AND(LEFT(BV27,2)="WO",OR(ISNUMBER(FIND("NUM",BV27)),RIGHT(BV27,2)="NO"))))+8*(LEFT(BV27,3)="SEQ")+16*(AND(LEFT(BV27,4)="ITEM",NOT(ISNUMBER(FIND("DESC",BV27)))))+32*(AND(ISNUMBER(FIND("DESC",BV27)),NOT(ISNUMBER(FIND("CAP",BV27)))))+64*(OR(RIGHT(BV27,5)="COUNT",RIGHT(BV27,2)="CT"))+128*(ISNUMBER(FIND("BULK",BV27)))+256*(ISNUMBER(FIND("SIZE",BV27)))+512*(LEFT(BV27,3)="CAP")+1024*(ISNUMBER(FIND("ALLERG",BV27)))+2048*(OR(ISNUMBER(FIND("REMARK",BV27)),ISNUMBER(FIND("COMMENT",BV27))))+4096*(OR(ISNUMBER(FIND("QTY",BV27)),ISNUMBER(FIND("QUANTITY",BV27))))+8192*(AND(OR(ISNUMBER(FIND("COMPLETE",BV27)),ISNUMBER(FIND("PCT",BV27)),ISNUMBER(FIND("PERCENT",BV27))),NOT(ISNUMBER(FIND("ACTUAL",BV27))),LEN(BV27)&lt;=16))+32768*(OR(ISNUMBER(FIND("DESIC",BV27)),ISNUMBER(FIND("DESSIC",BV27)))))</f>
        <v/>
      </c>
      <c r="BW162">
        <f>IF(BW27="",0,2*(OR(ISNUMBER(FIND("WORKCENTER",BW27)),AND(LEFT(BW27,4)="LINE",NOT(ISNUMBER(FIND("STATUS",BW27))))))+4*(OR(ISNUMBER(FIND("WORKORDER",BW27)),AND(LEFT(BW27,2)="WO",OR(ISNUMBER(FIND("NUM",BW27)),RIGHT(BW27,2)="NO"))))+8*(LEFT(BW27,3)="SEQ")+16*(AND(LEFT(BW27,4)="ITEM",NOT(ISNUMBER(FIND("DESC",BW27)))))+32*(AND(ISNUMBER(FIND("DESC",BW27)),NOT(ISNUMBER(FIND("CAP",BW27)))))+64*(OR(RIGHT(BW27,5)="COUNT",RIGHT(BW27,2)="CT"))+128*(ISNUMBER(FIND("BULK",BW27)))+256*(ISNUMBER(FIND("SIZE",BW27)))+512*(LEFT(BW27,3)="CAP")+1024*(ISNUMBER(FIND("ALLERG",BW27)))+2048*(OR(ISNUMBER(FIND("REMARK",BW27)),ISNUMBER(FIND("COMMENT",BW27))))+4096*(OR(ISNUMBER(FIND("QTY",BW27)),ISNUMBER(FIND("QUANTITY",BW27))))+8192*(AND(OR(ISNUMBER(FIND("COMPLETE",BW27)),ISNUMBER(FIND("PCT",BW27)),ISNUMBER(FIND("PERCENT",BW27))),NOT(ISNUMBER(FIND("ACTUAL",BW27))),LEN(BW27)&lt;=16))+32768*(OR(ISNUMBER(FIND("DESIC",BW27)),ISNUMBER(FIND("DESSIC",BW27)))))</f>
        <v/>
      </c>
      <c r="BX162">
        <f>IF(BX27="",0,2*(OR(ISNUMBER(FIND("WORKCENTER",BX27)),AND(LEFT(BX27,4)="LINE",NOT(ISNUMBER(FIND("STATUS",BX27))))))+4*(OR(ISNUMBER(FIND("WORKORDER",BX27)),AND(LEFT(BX27,2)="WO",OR(ISNUMBER(FIND("NUM",BX27)),RIGHT(BX27,2)="NO"))))+8*(LEFT(BX27,3)="SEQ")+16*(AND(LEFT(BX27,4)="ITEM",NOT(ISNUMBER(FIND("DESC",BX27)))))+32*(AND(ISNUMBER(FIND("DESC",BX27)),NOT(ISNUMBER(FIND("CAP",BX27)))))+64*(OR(RIGHT(BX27,5)="COUNT",RIGHT(BX27,2)="CT"))+128*(ISNUMBER(FIND("BULK",BX27)))+256*(ISNUMBER(FIND("SIZE",BX27)))+512*(LEFT(BX27,3)="CAP")+1024*(ISNUMBER(FIND("ALLERG",BX27)))+2048*(OR(ISNUMBER(FIND("REMARK",BX27)),ISNUMBER(FIND("COMMENT",BX27))))+4096*(OR(ISNUMBER(FIND("QTY",BX27)),ISNUMBER(FIND("QUANTITY",BX27))))+8192*(AND(OR(ISNUMBER(FIND("COMPLETE",BX27)),ISNUMBER(FIND("PCT",BX27)),ISNUMBER(FIND("PERCENT",BX27))),NOT(ISNUMBER(FIND("ACTUAL",BX27))),LEN(BX27)&lt;=16))+32768*(OR(ISNUMBER(FIND("DESIC",BX27)),ISNUMBER(FIND("DESSIC",BX27)))))</f>
        <v/>
      </c>
      <c r="BY162">
        <f>IF(BY27="",0,2*(OR(ISNUMBER(FIND("WORKCENTER",BY27)),AND(LEFT(BY27,4)="LINE",NOT(ISNUMBER(FIND("STATUS",BY27))))))+4*(OR(ISNUMBER(FIND("WORKORDER",BY27)),AND(LEFT(BY27,2)="WO",OR(ISNUMBER(FIND("NUM",BY27)),RIGHT(BY27,2)="NO"))))+8*(LEFT(BY27,3)="SEQ")+16*(AND(LEFT(BY27,4)="ITEM",NOT(ISNUMBER(FIND("DESC",BY27)))))+32*(AND(ISNUMBER(FIND("DESC",BY27)),NOT(ISNUMBER(FIND("CAP",BY27)))))+64*(OR(RIGHT(BY27,5)="COUNT",RIGHT(BY27,2)="CT"))+128*(ISNUMBER(FIND("BULK",BY27)))+256*(ISNUMBER(FIND("SIZE",BY27)))+512*(LEFT(BY27,3)="CAP")+1024*(ISNUMBER(FIND("ALLERG",BY27)))+2048*(OR(ISNUMBER(FIND("REMARK",BY27)),ISNUMBER(FIND("COMMENT",BY27))))+4096*(OR(ISNUMBER(FIND("QTY",BY27)),ISNUMBER(FIND("QUANTITY",BY27))))+8192*(AND(OR(ISNUMBER(FIND("COMPLETE",BY27)),ISNUMBER(FIND("PCT",BY27)),ISNUMBER(FIND("PERCENT",BY27))),NOT(ISNUMBER(FIND("ACTUAL",BY27))),LEN(BY27)&lt;=16))+32768*(OR(ISNUMBER(FIND("DESIC",BY27)),ISNUMBER(FIND("DESSIC",BY27)))))</f>
        <v/>
      </c>
      <c r="BZ162">
        <f>IF(BZ27="",0,2*(OR(ISNUMBER(FIND("WORKCENTER",BZ27)),AND(LEFT(BZ27,4)="LINE",NOT(ISNUMBER(FIND("STATUS",BZ27))))))+4*(OR(ISNUMBER(FIND("WORKORDER",BZ27)),AND(LEFT(BZ27,2)="WO",OR(ISNUMBER(FIND("NUM",BZ27)),RIGHT(BZ27,2)="NO"))))+8*(LEFT(BZ27,3)="SEQ")+16*(AND(LEFT(BZ27,4)="ITEM",NOT(ISNUMBER(FIND("DESC",BZ27)))))+32*(AND(ISNUMBER(FIND("DESC",BZ27)),NOT(ISNUMBER(FIND("CAP",BZ27)))))+64*(OR(RIGHT(BZ27,5)="COUNT",RIGHT(BZ27,2)="CT"))+128*(ISNUMBER(FIND("BULK",BZ27)))+256*(ISNUMBER(FIND("SIZE",BZ27)))+512*(LEFT(BZ27,3)="CAP")+1024*(ISNUMBER(FIND("ALLERG",BZ27)))+2048*(OR(ISNUMBER(FIND("REMARK",BZ27)),ISNUMBER(FIND("COMMENT",BZ27))))+4096*(OR(ISNUMBER(FIND("QTY",BZ27)),ISNUMBER(FIND("QUANTITY",BZ27))))+8192*(AND(OR(ISNUMBER(FIND("COMPLETE",BZ27)),ISNUMBER(FIND("PCT",BZ27)),ISNUMBER(FIND("PERCENT",BZ27))),NOT(ISNUMBER(FIND("ACTUAL",BZ27))),LEN(BZ27)&lt;=16))+32768*(OR(ISNUMBER(FIND("DESIC",BZ27)),ISNUMBER(FIND("DESSIC",BZ27)))))</f>
        <v/>
      </c>
      <c r="CA162">
        <f>IF(CA27="",0,2*(OR(ISNUMBER(FIND("WORKCENTER",CA27)),AND(LEFT(CA27,4)="LINE",NOT(ISNUMBER(FIND("STATUS",CA27))))))+4*(OR(ISNUMBER(FIND("WORKORDER",CA27)),AND(LEFT(CA27,2)="WO",OR(ISNUMBER(FIND("NUM",CA27)),RIGHT(CA27,2)="NO"))))+8*(LEFT(CA27,3)="SEQ")+16*(AND(LEFT(CA27,4)="ITEM",NOT(ISNUMBER(FIND("DESC",CA27)))))+32*(AND(ISNUMBER(FIND("DESC",CA27)),NOT(ISNUMBER(FIND("CAP",CA27)))))+64*(OR(RIGHT(CA27,5)="COUNT",RIGHT(CA27,2)="CT"))+128*(ISNUMBER(FIND("BULK",CA27)))+256*(ISNUMBER(FIND("SIZE",CA27)))+512*(LEFT(CA27,3)="CAP")+1024*(ISNUMBER(FIND("ALLERG",CA27)))+2048*(OR(ISNUMBER(FIND("REMARK",CA27)),ISNUMBER(FIND("COMMENT",CA27))))+4096*(OR(ISNUMBER(FIND("QTY",CA27)),ISNUMBER(FIND("QUANTITY",CA27))))+8192*(AND(OR(ISNUMBER(FIND("COMPLETE",CA27)),ISNUMBER(FIND("PCT",CA27)),ISNUMBER(FIND("PERCENT",CA27))),NOT(ISNUMBER(FIND("ACTUAL",CA27))),LEN(CA27)&lt;=16))+32768*(OR(ISNUMBER(FIND("DESIC",CA27)),ISNUMBER(FIND("DESSIC",CA27)))))</f>
        <v/>
      </c>
      <c r="CB162">
        <f>IF(CB27="",0,2*(OR(ISNUMBER(FIND("WORKCENTER",CB27)),AND(LEFT(CB27,4)="LINE",NOT(ISNUMBER(FIND("STATUS",CB27))))))+4*(OR(ISNUMBER(FIND("WORKORDER",CB27)),AND(LEFT(CB27,2)="WO",OR(ISNUMBER(FIND("NUM",CB27)),RIGHT(CB27,2)="NO"))))+8*(LEFT(CB27,3)="SEQ")+16*(AND(LEFT(CB27,4)="ITEM",NOT(ISNUMBER(FIND("DESC",CB27)))))+32*(AND(ISNUMBER(FIND("DESC",CB27)),NOT(ISNUMBER(FIND("CAP",CB27)))))+64*(OR(RIGHT(CB27,5)="COUNT",RIGHT(CB27,2)="CT"))+128*(ISNUMBER(FIND("BULK",CB27)))+256*(ISNUMBER(FIND("SIZE",CB27)))+512*(LEFT(CB27,3)="CAP")+1024*(ISNUMBER(FIND("ALLERG",CB27)))+2048*(OR(ISNUMBER(FIND("REMARK",CB27)),ISNUMBER(FIND("COMMENT",CB27))))+4096*(OR(ISNUMBER(FIND("QTY",CB27)),ISNUMBER(FIND("QUANTITY",CB27))))+8192*(AND(OR(ISNUMBER(FIND("COMPLETE",CB27)),ISNUMBER(FIND("PCT",CB27)),ISNUMBER(FIND("PERCENT",CB27))),NOT(ISNUMBER(FIND("ACTUAL",CB27))),LEN(CB27)&lt;=16))+32768*(OR(ISNUMBER(FIND("DESIC",CB27)),ISNUMBER(FIND("DESSIC",CB27)))))</f>
        <v/>
      </c>
      <c r="CC162">
        <f>IF(CC27="",0,2*(OR(ISNUMBER(FIND("WORKCENTER",CC27)),AND(LEFT(CC27,4)="LINE",NOT(ISNUMBER(FIND("STATUS",CC27))))))+4*(OR(ISNUMBER(FIND("WORKORDER",CC27)),AND(LEFT(CC27,2)="WO",OR(ISNUMBER(FIND("NUM",CC27)),RIGHT(CC27,2)="NO"))))+8*(LEFT(CC27,3)="SEQ")+16*(AND(LEFT(CC27,4)="ITEM",NOT(ISNUMBER(FIND("DESC",CC27)))))+32*(AND(ISNUMBER(FIND("DESC",CC27)),NOT(ISNUMBER(FIND("CAP",CC27)))))+64*(OR(RIGHT(CC27,5)="COUNT",RIGHT(CC27,2)="CT"))+128*(ISNUMBER(FIND("BULK",CC27)))+256*(ISNUMBER(FIND("SIZE",CC27)))+512*(LEFT(CC27,3)="CAP")+1024*(ISNUMBER(FIND("ALLERG",CC27)))+2048*(OR(ISNUMBER(FIND("REMARK",CC27)),ISNUMBER(FIND("COMMENT",CC27))))+4096*(OR(ISNUMBER(FIND("QTY",CC27)),ISNUMBER(FIND("QUANTITY",CC27))))+8192*(AND(OR(ISNUMBER(FIND("COMPLETE",CC27)),ISNUMBER(FIND("PCT",CC27)),ISNUMBER(FIND("PERCENT",CC27))),NOT(ISNUMBER(FIND("ACTUAL",CC27))),LEN(CC27)&lt;=16))+32768*(OR(ISNUMBER(FIND("DESIC",CC27)),ISNUMBER(FIND("DESSIC",CC27)))))</f>
        <v/>
      </c>
      <c r="CD162">
        <f>IF(CD27="",0,2*(OR(ISNUMBER(FIND("WORKCENTER",CD27)),AND(LEFT(CD27,4)="LINE",NOT(ISNUMBER(FIND("STATUS",CD27))))))+4*(OR(ISNUMBER(FIND("WORKORDER",CD27)),AND(LEFT(CD27,2)="WO",OR(ISNUMBER(FIND("NUM",CD27)),RIGHT(CD27,2)="NO"))))+8*(LEFT(CD27,3)="SEQ")+16*(AND(LEFT(CD27,4)="ITEM",NOT(ISNUMBER(FIND("DESC",CD27)))))+32*(AND(ISNUMBER(FIND("DESC",CD27)),NOT(ISNUMBER(FIND("CAP",CD27)))))+64*(OR(RIGHT(CD27,5)="COUNT",RIGHT(CD27,2)="CT"))+128*(ISNUMBER(FIND("BULK",CD27)))+256*(ISNUMBER(FIND("SIZE",CD27)))+512*(LEFT(CD27,3)="CAP")+1024*(ISNUMBER(FIND("ALLERG",CD27)))+2048*(OR(ISNUMBER(FIND("REMARK",CD27)),ISNUMBER(FIND("COMMENT",CD27))))+4096*(OR(ISNUMBER(FIND("QTY",CD27)),ISNUMBER(FIND("QUANTITY",CD27))))+8192*(AND(OR(ISNUMBER(FIND("COMPLETE",CD27)),ISNUMBER(FIND("PCT",CD27)),ISNUMBER(FIND("PERCENT",CD27))),NOT(ISNUMBER(FIND("ACTUAL",CD27))),LEN(CD27)&lt;=16))+32768*(OR(ISNUMBER(FIND("DESIC",CD27)),ISNUMBER(FIND("DESSIC",CD27)))))</f>
        <v/>
      </c>
      <c r="CE162">
        <f>IF(CE27="",0,2*(OR(ISNUMBER(FIND("WORKCENTER",CE27)),AND(LEFT(CE27,4)="LINE",NOT(ISNUMBER(FIND("STATUS",CE27))))))+4*(OR(ISNUMBER(FIND("WORKORDER",CE27)),AND(LEFT(CE27,2)="WO",OR(ISNUMBER(FIND("NUM",CE27)),RIGHT(CE27,2)="NO"))))+8*(LEFT(CE27,3)="SEQ")+16*(AND(LEFT(CE27,4)="ITEM",NOT(ISNUMBER(FIND("DESC",CE27)))))+32*(AND(ISNUMBER(FIND("DESC",CE27)),NOT(ISNUMBER(FIND("CAP",CE27)))))+64*(OR(RIGHT(CE27,5)="COUNT",RIGHT(CE27,2)="CT"))+128*(ISNUMBER(FIND("BULK",CE27)))+256*(ISNUMBER(FIND("SIZE",CE27)))+512*(LEFT(CE27,3)="CAP")+1024*(ISNUMBER(FIND("ALLERG",CE27)))+2048*(OR(ISNUMBER(FIND("REMARK",CE27)),ISNUMBER(FIND("COMMENT",CE27))))+4096*(OR(ISNUMBER(FIND("QTY",CE27)),ISNUMBER(FIND("QUANTITY",CE27))))+8192*(AND(OR(ISNUMBER(FIND("COMPLETE",CE27)),ISNUMBER(FIND("PCT",CE27)),ISNUMBER(FIND("PERCENT",CE27))),NOT(ISNUMBER(FIND("ACTUAL",CE27))),LEN(CE27)&lt;=16))+32768*(OR(ISNUMBER(FIND("DESIC",CE27)),ISNUMBER(FIND("DESSIC",CE27)))))</f>
        <v/>
      </c>
      <c r="CF162">
        <f>IF(CF27="",0,2*(OR(ISNUMBER(FIND("WORKCENTER",CF27)),AND(LEFT(CF27,4)="LINE",NOT(ISNUMBER(FIND("STATUS",CF27))))))+4*(OR(ISNUMBER(FIND("WORKORDER",CF27)),AND(LEFT(CF27,2)="WO",OR(ISNUMBER(FIND("NUM",CF27)),RIGHT(CF27,2)="NO"))))+8*(LEFT(CF27,3)="SEQ")+16*(AND(LEFT(CF27,4)="ITEM",NOT(ISNUMBER(FIND("DESC",CF27)))))+32*(AND(ISNUMBER(FIND("DESC",CF27)),NOT(ISNUMBER(FIND("CAP",CF27)))))+64*(OR(RIGHT(CF27,5)="COUNT",RIGHT(CF27,2)="CT"))+128*(ISNUMBER(FIND("BULK",CF27)))+256*(ISNUMBER(FIND("SIZE",CF27)))+512*(LEFT(CF27,3)="CAP")+1024*(ISNUMBER(FIND("ALLERG",CF27)))+2048*(OR(ISNUMBER(FIND("REMARK",CF27)),ISNUMBER(FIND("COMMENT",CF27))))+4096*(OR(ISNUMBER(FIND("QTY",CF27)),ISNUMBER(FIND("QUANTITY",CF27))))+8192*(AND(OR(ISNUMBER(FIND("COMPLETE",CF27)),ISNUMBER(FIND("PCT",CF27)),ISNUMBER(FIND("PERCENT",CF27))),NOT(ISNUMBER(FIND("ACTUAL",CF27))),LEN(CF27)&lt;=16))+32768*(OR(ISNUMBER(FIND("DESIC",CF27)),ISNUMBER(FIND("DESSIC",CF27)))))</f>
        <v/>
      </c>
      <c r="DA162" t="n">
        <v>158</v>
      </c>
      <c r="DB162">
        <f>IF($B$37=0,"",IFERROR(TRIM(SUBSTITUTE(SUBSTITUTE(SUBSTITUTE(SUBSTITUTE(INDEX(PASTE_ALL,158,$B$37)," "," "),CHAR(9)," "),CHAR(10)," "),CHAR(13)," ")),""))</f>
        <v/>
      </c>
      <c r="DC162">
        <f>IF(AND(158&gt;HEADER_ROW,UPPER(DB162)="LEGEND"),1,0)</f>
        <v/>
      </c>
      <c r="DE162" t="n">
        <v>158</v>
      </c>
      <c r="DF162">
        <f>HEADER_ROW+$DE162</f>
        <v/>
      </c>
      <c r="DG162">
        <f>IF(AND($DF162&lt;=1000,$DF162&lt;$B$8),1,0)</f>
        <v/>
      </c>
      <c r="DH162">
        <f>IF($DG162=1,IFERROR(INDEX($DB$5:$DB$1004,$DF162),""),"")</f>
        <v/>
      </c>
      <c r="DI162">
        <f>IF(AND($DG162=1,$DH162&lt;&gt;""),IFERROR(SUBSTITUTE(SUBSTITUTE(TRIM(SUBSTITUTE(SUBSTITUTE(SUBSTITUTE(SUBSTITUTE(IFERROR(INDEX(PASTE_ALL,$DF162,1)&amp;"","")&amp;"␟"&amp;IFERROR(INDEX(PASTE_ALL,$DF162,2)&amp;"","")&amp;"␟"&amp;IFERROR(INDEX(PASTE_ALL,$DF162,3)&amp;"","")&amp;"␟"&amp;IFERROR(INDEX(PASTE_ALL,$DF162,4)&amp;"","")&amp;"␟"&amp;IFERROR(INDEX(PASTE_ALL,$DF162,5)&amp;"","")&amp;"␟"&amp;IFERROR(INDEX(PASTE_ALL,$DF162,6)&amp;"","")&amp;"␟"&amp;IFERROR(INDEX(PASTE_ALL,$DF162,7)&amp;"","")&amp;"␟"&amp;IFERROR(INDEX(PASTE_ALL,$DF162,8)&amp;"","")&amp;"␟"&amp;IFERROR(INDEX(PASTE_ALL,$DF162,9)&amp;"","")&amp;"␟"&amp;IFERROR(INDEX(PASTE_ALL,$DF162,10)&amp;"","")&amp;"␟"&amp;IFERROR(INDEX(PASTE_ALL,$DF162,11)&amp;"","")&amp;"␟"&amp;IFERROR(INDEX(PASTE_ALL,$DF162,12)&amp;"","")&amp;"␟"&amp;IFERROR(INDEX(PASTE_ALL,$DF162,13)&amp;"","")&amp;"␟"&amp;IFERROR(INDEX(PASTE_ALL,$DF162,14)&amp;"","")&amp;"␟"&amp;IFERROR(INDEX(PASTE_ALL,$DF162,15)&amp;"","")&amp;"␟"&amp;IFERROR(INDEX(PASTE_ALL,$DF162,16)&amp;"","")&amp;"␟"&amp;IFERROR(INDEX(PASTE_ALL,$DF162,17)&amp;"","")&amp;"␟"&amp;IFERROR(INDEX(PASTE_ALL,$DF162,18)&amp;"","")&amp;"␟"&amp;IFERROR(INDEX(PASTE_ALL,$DF162,19)&amp;"","")&amp;"␟"&amp;IFERROR(INDEX(PASTE_ALL,$DF162,20)&amp;"","")&amp;"␟"&amp;IFERROR(INDEX(PASTE_ALL,$DF162,21)&amp;"","")&amp;"␟"&amp;IFERROR(INDEX(PASTE_ALL,$DF162,22)&amp;"","")&amp;"␟"&amp;IFERROR(INDEX(PASTE_ALL,$DF162,23)&amp;"","")&amp;"␟"&amp;IFERROR(INDEX(PASTE_ALL,$DF162,24)&amp;"","")&amp;"␟"&amp;IFERROR(INDEX(PASTE_ALL,$DF162,25)&amp;"","")&amp;"␟"&amp;IFERROR(INDEX(PASTE_ALL,$DF162,26)&amp;"","")&amp;"␟"&amp;IFERROR(INDEX(PASTE_ALL,$DF162,27)&amp;"","")&amp;"␟"&amp;IFERROR(INDEX(PASTE_ALL,$DF162,28)&amp;"","")&amp;"␟"&amp;IFERROR(INDEX(PASTE_ALL,$DF162,29)&amp;"","")&amp;"␟"&amp;IFERROR(INDEX(PASTE_ALL,$DF162,30)&amp;"","")&amp;"␟"&amp;IFERROR(INDEX(PASTE_ALL,$DF162,31)&amp;"","")&amp;"␟"&amp;IFERROR(INDEX(PASTE_ALL,$DF162,32)&amp;"","")&amp;"␟"&amp;IFERROR(INDEX(PASTE_ALL,$DF162,33)&amp;"","")&amp;"␟"&amp;IFERROR(INDEX(PASTE_ALL,$DF162,34)&amp;"","")&amp;"␟"&amp;IFERROR(INDEX(PASTE_ALL,$DF162,35)&amp;"","")&amp;"␟"&amp;IFERROR(INDEX(PASTE_ALL,$DF162,36)&amp;"","")&amp;"␟"&amp;IFERROR(INDEX(PASTE_ALL,$DF162,37)&amp;"","")&amp;"␟"&amp;IFERROR(INDEX(PASTE_ALL,$DF162,38)&amp;"","")&amp;"␟"&amp;IFERROR(INDEX(PASTE_ALL,$DF162,39)&amp;"","")&amp;"␟"&amp;IFERROR(INDEX(PASTE_ALL,$DF162,40)&amp;"","")&amp;"␟"&amp;IFERROR(INDEX(PASTE_ALL,$DF162,41)&amp;"","")&amp;"␟"&amp;IFERROR(INDEX(PASTE_ALL,$DF162,42)&amp;"","")&amp;"␟"&amp;IFERROR(INDEX(PASTE_ALL,$DF162,43)&amp;"","")&amp;"␟"&amp;IFERROR(INDEX(PASTE_ALL,$DF162,44)&amp;"","")&amp;"␟"&amp;IFERROR(INDEX(PASTE_ALL,$DF162,45)&amp;"","")&amp;"␟"&amp;IFERROR(INDEX(PASTE_ALL,$DF162,46)&amp;"","")&amp;"␟"&amp;IFERROR(INDEX(PASTE_ALL,$DF162,47)&amp;"","")&amp;"␟"&amp;IFERROR(INDEX(PASTE_ALL,$DF162,48)&amp;"","")&amp;"␟"&amp;IFERROR(INDEX(PASTE_ALL,$DF162,49)&amp;"","")&amp;"␟"&amp;IFERROR(INDEX(PASTE_ALL,$DF162,50)&amp;"","")&amp;"␟"&amp;IFERROR(INDEX(PASTE_ALL,$DF162,51)&amp;"","")&amp;"␟"&amp;IFERROR(INDEX(PASTE_ALL,$DF162,52)&amp;"","")&amp;"␟"&amp;IFERROR(INDEX(PASTE_ALL,$DF162,53)&amp;"","")&amp;"␟"&amp;IFERROR(INDEX(PASTE_ALL,$DF162,54)&amp;"","")&amp;"␟"&amp;IFERROR(INDEX(PASTE_ALL,$DF162,55)&amp;"","")&amp;"␟"&amp;IFERROR(INDEX(PASTE_ALL,$DF162,56)&amp;"","")&amp;"␟"&amp;IFERROR(INDEX(PASTE_ALL,$DF162,57)&amp;"","")&amp;"␟"&amp;IFERROR(INDEX(PASTE_ALL,$DF162,58)&amp;"","")&amp;"␟"&amp;IFERROR(INDEX(PASTE_ALL,$DF162,59)&amp;"","")&amp;"␟"&amp;IFERROR(INDEX(PASTE_ALL,$DF162,60)&amp;"","")," "," "),CHAR(9)," "),CHAR(10)," "),CHAR(13)," "))," ␟","␟"),"␟ ","␟"),"#"&amp;$DE162),"")</f>
        <v/>
      </c>
      <c r="DJ162">
        <f>IF($DI162="",0,IF(SUMPRODUCT(--EXACT($DI$4:DI161,$DI162))&gt;0,1,0))</f>
        <v/>
      </c>
      <c r="DK162">
        <f>IF(AND($DI162&lt;&gt;"",$DJ162=0),1,0)</f>
        <v/>
      </c>
      <c r="DL162">
        <f>DL161+$DK162</f>
        <v/>
      </c>
      <c r="DM162">
        <f>IF(AND($DK162=1,$DL162&lt;=600),1,0)</f>
        <v/>
      </c>
      <c r="DN162">
        <f>IF($DM162=0,"",IF($L$6=0,"",IFERROR(IF(ISNUMBER(INDEX(PASTE_ALL,$DF162,$L$6)),INDEX(PASTE_ALL,$DF162,$L$6),TRIM(SUBSTITUTE(SUBSTITUTE(SUBSTITUTE(SUBSTITUTE(INDEX(PASTE_ALL,$DF162,$L$6)," "," "),CHAR(9)," "),CHAR(10)," "),CHAR(13)," "))),"")))</f>
        <v/>
      </c>
      <c r="DO162">
        <f>IF($DM162=0,"",IF($L$7=0,"",IFERROR(IF(ISNUMBER(INDEX(PASTE_ALL,$DF162,$L$7)),INDEX(PASTE_ALL,$DF162,$L$7),TRIM(SUBSTITUTE(SUBSTITUTE(SUBSTITUTE(SUBSTITUTE(INDEX(PASTE_ALL,$DF162,$L$7)," "," "),CHAR(9)," "),CHAR(10)," "),CHAR(13)," "))),"")))</f>
        <v/>
      </c>
      <c r="DP162">
        <f>IF($DM162=0,"",IF($L$8=0,"",IFERROR(IF(ISNUMBER(INDEX(PASTE_ALL,$DF162,$L$8)),INDEX(PASTE_ALL,$DF162,$L$8),TRIM(SUBSTITUTE(SUBSTITUTE(SUBSTITUTE(SUBSTITUTE(INDEX(PASTE_ALL,$DF162,$L$8)," "," "),CHAR(9)," "),CHAR(10)," "),CHAR(13)," "))),"")))</f>
        <v/>
      </c>
      <c r="DQ162">
        <f>IF($DM162=0,"",IF($L$9=0,"",IFERROR(IF(ISNUMBER(INDEX(PASTE_ALL,$DF162,$L$9)),INDEX(PASTE_ALL,$DF162,$L$9),TRIM(SUBSTITUTE(SUBSTITUTE(SUBSTITUTE(SUBSTITUTE(INDEX(PASTE_ALL,$DF162,$L$9)," "," "),CHAR(9)," "),CHAR(10)," "),CHAR(13)," "))),"")))</f>
        <v/>
      </c>
      <c r="DR162">
        <f>IF($DM162=0,"",IF($L$10=0,"",IFERROR(IF(ISNUMBER(INDEX(PASTE_ALL,$DF162,$L$10)),INDEX(PASTE_ALL,$DF162,$L$10),TRIM(SUBSTITUTE(SUBSTITUTE(SUBSTITUTE(SUBSTITUTE(INDEX(PASTE_ALL,$DF162,$L$10)," "," "),CHAR(9)," "),CHAR(10)," "),CHAR(13)," "))),"")))</f>
        <v/>
      </c>
      <c r="DS162">
        <f>IF($DM162=0,"",IF($L$11=0,"",IFERROR(IF(ISNUMBER(INDEX(PASTE_ALL,$DF162,$L$11)),INDEX(PASTE_ALL,$DF162,$L$11),TRIM(SUBSTITUTE(SUBSTITUTE(SUBSTITUTE(SUBSTITUTE(INDEX(PASTE_ALL,$DF162,$L$11)," "," "),CHAR(9)," "),CHAR(10)," "),CHAR(13)," "))),"")))</f>
        <v/>
      </c>
      <c r="DT162">
        <f>IF($DM162=0,"",IF($L$12=0,"",IFERROR(IF(ISNUMBER(INDEX(PASTE_ALL,$DF162,$L$12)),INDEX(PASTE_ALL,$DF162,$L$12),TRIM(SUBSTITUTE(SUBSTITUTE(SUBSTITUTE(SUBSTITUTE(INDEX(PASTE_ALL,$DF162,$L$12)," "," "),CHAR(9)," "),CHAR(10)," "),CHAR(13)," "))),"")))</f>
        <v/>
      </c>
      <c r="DU162">
        <f>IF($DM162=0,"",IF($L$13=0,"",IFERROR(IF(ISNUMBER(INDEX(PASTE_ALL,$DF162,$L$13)),INDEX(PASTE_ALL,$DF162,$L$13),TRIM(SUBSTITUTE(SUBSTITUTE(SUBSTITUTE(SUBSTITUTE(INDEX(PASTE_ALL,$DF162,$L$13)," "," "),CHAR(9)," "),CHAR(10)," "),CHAR(13)," "))),"")))</f>
        <v/>
      </c>
      <c r="DV162">
        <f>IF($DM162=0,"",IF($L$14=0,"",IFERROR(IF(ISNUMBER(INDEX(PASTE_ALL,$DF162,$L$14)),INDEX(PASTE_ALL,$DF162,$L$14),TRIM(SUBSTITUTE(SUBSTITUTE(SUBSTITUTE(SUBSTITUTE(INDEX(PASTE_ALL,$DF162,$L$14)," "," "),CHAR(9)," "),CHAR(10)," "),CHAR(13)," "))),"")))</f>
        <v/>
      </c>
      <c r="DW162">
        <f>IF($DM162=0,"",IF($L$15=0,"",IFERROR(IF(ISNUMBER(INDEX(PASTE_ALL,$DF162,$L$15)),INDEX(PASTE_ALL,$DF162,$L$15),IF(SUMPRODUCT(--ISNUMBER(FIND({"A","B","C","D","E","F","G","H","I","J","K","L","M","N","O","P","Q","R","S","T","U","V","W","X","Y","Z","0","1","2","3","4","5","6","7","8","9"},UPPER(TRIM(SUBSTITUTE(SUBSTITUTE(SUBSTITUTE(SUBSTITUTE(INDEX(PASTE_ALL,$DF162,$L$15)," "," "),CHAR(9)," "),CHAR(10)," "),CHAR(13)," "))))))&gt;0,TRIM(SUBSTITUTE(SUBSTITUTE(SUBSTITUTE(SUBSTITUTE(INDEX(PASTE_ALL,$DF162,$L$15)," "," "),CHAR(9)," "),CHAR(10)," "),CHAR(13)," ")),"")),"")))</f>
        <v/>
      </c>
      <c r="DX162">
        <f>IF($DM162=0,"",IF($L$16=0,"",IFERROR(IF(ISNUMBER(INDEX(PASTE_ALL,$DF162,$L$16)),INDEX(PASTE_ALL,$DF162,$L$16),SUBSTITUTE(SUBSTITUTE(TRIM(SUBSTITUTE(SUBSTITUTE(SUBSTITUTE(SUBSTITUTE(INDEX(PASTE_ALL,$DF162,$L$16)," "," "),CHAR(9)," "),CHAR(10)," "),CHAR(13)," ")),",",""),"%","")),"")))</f>
        <v/>
      </c>
      <c r="DY162">
        <f>IF($DM162=0,"",IFERROR(IF(ISNUMBER($DX162),$DX162,IF($DX162="","",IF(TRIM($DX162)="",0,IF(AND(AND(SUBSTITUTE(SUBSTITUTE(SUBSTITUTE(SUBSTITUTE(SUBSTITUTE(SUBSTITUTE(SUBSTITUTE(SUBSTITUTE(SUBSTITUTE(SUBSTITUTE(SUBSTITUTE(SUBSTITUTE(SUBSTITUTE(SUBSTITUTE(UPPER(TRIM($DX162)),"0",""),"1",""),"2",""),"3",""),"4",""),"5",""),"6",""),"7",""),"8",""),"9",""),".",""),"+",""),"-",""),"E","")="",LEN(SUBSTITUTE(SUBSTITUTE(MID(UPPER(TRIM($DX162)),1+OR(LEFT(UPPER(TRIM($DX162)),1)="+",LEFT(UPPER(TRIM($DX162)),1)="-"),999),"E+","E"),"E-","E"))=LEN(SUBSTITUTE(SUBSTITUTE(SUBSTITUTE(SUBSTITUTE(MID(UPPER(TRIM($DX162)),1+OR(LEFT(UPPER(TRIM($DX162)),1)="+",LEFT(UPPER(TRIM($DX162)),1)="-"),999),"E+","E"),"E-","E"),"+",""),"-","")),LEN(UPPER(TRIM($DX162)))-LEN(SUBSTITUTE(UPPER(TRIM($DX162)),"E",""))&lt;2,LEN(UPPER(TRIM($DX162)))-LEN(SUBSTITUTE(UPPER(TRIM($DX162)),".",""))&lt;2,IFERROR(FIND(".",UPPER(TRIM($DX162))),0)&lt;IFERROR(FIND("E",UPPER(TRIM($DX162))),999)),ISNUMBER(VALUE(TRIM($DX162)))),VALUE(TRIM($DX162)),"")))),""))</f>
        <v/>
      </c>
      <c r="DZ162">
        <f>IF($DM162=0,"",IF($L$17=0,"",IFERROR(IF(ISNUMBER(INDEX(PASTE_ALL,$DF162,$L$17)),INDEX(PASTE_ALL,$DF162,$L$17),SUBSTITUTE(SUBSTITUTE(TRIM(SUBSTITUTE(SUBSTITUTE(SUBSTITUTE(SUBSTITUTE(INDEX(PASTE_ALL,$DF162,$L$17)," "," "),CHAR(9)," "),CHAR(10)," "),CHAR(13)," ")),",",""),"%","")),"")))</f>
        <v/>
      </c>
      <c r="EA162">
        <f>IF($DM162=0,"",IFERROR(IF(ISNUMBER($DZ162),$DZ162,IF($DZ162="","",IF(TRIM($DZ162)="",0,IF(AND(AND(SUBSTITUTE(SUBSTITUTE(SUBSTITUTE(SUBSTITUTE(SUBSTITUTE(SUBSTITUTE(SUBSTITUTE(SUBSTITUTE(SUBSTITUTE(SUBSTITUTE(SUBSTITUTE(SUBSTITUTE(SUBSTITUTE(SUBSTITUTE(UPPER(TRIM($DZ162)),"0",""),"1",""),"2",""),"3",""),"4",""),"5",""),"6",""),"7",""),"8",""),"9",""),".",""),"+",""),"-",""),"E","")="",LEN(SUBSTITUTE(SUBSTITUTE(MID(UPPER(TRIM($DZ162)),1+OR(LEFT(UPPER(TRIM($DZ162)),1)="+",LEFT(UPPER(TRIM($DZ162)),1)="-"),999),"E+","E"),"E-","E"))=LEN(SUBSTITUTE(SUBSTITUTE(SUBSTITUTE(SUBSTITUTE(MID(UPPER(TRIM($DZ162)),1+OR(LEFT(UPPER(TRIM($DZ162)),1)="+",LEFT(UPPER(TRIM($DZ162)),1)="-"),999),"E+","E"),"E-","E"),"+",""),"-","")),LEN(UPPER(TRIM($DZ162)))-LEN(SUBSTITUTE(UPPER(TRIM($DZ162)),"E",""))&lt;2,LEN(UPPER(TRIM($DZ162)))-LEN(SUBSTITUTE(UPPER(TRIM($DZ162)),".",""))&lt;2,IFERROR(FIND(".",UPPER(TRIM($DZ162))),0)&lt;IFERROR(FIND("E",UPPER(TRIM($DZ162))),999)),ISNUMBER(VALUE(TRIM($DZ162)))),VALUE(TRIM($DZ162)),"")))),""))</f>
        <v/>
      </c>
      <c r="EB162">
        <f>IF($DM162=0,"",IF($L$18=0,"",IFERROR(IF(UPPER(TRIM(SUBSTITUTE(SUBSTITUTE(SUBSTITUTE(SUBSTITUTE(INDEX(PASTE_ALL,$DF162,$L$18)," "," "),CHAR(9)," "),CHAR(10)," "),CHAR(13)," ")))="READY","Ready",IF(UPPER(TRIM(SUBSTITUTE(SUBSTITUTE(SUBSTITUTE(SUBSTITUTE(INDEX(PASTE_ALL,$DF162,$L$18)," "," "),CHAR(9)," "),CHAR(10)," "),CHAR(13)," ")))="PM","PM",IF(OR(UPPER(TRIM(SUBSTITUTE(SUBSTITUTE(SUBSTITUTE(SUBSTITUTE(INDEX(PASTE_ALL,$DF162,$L$18)," "," "),CHAR(9)," "),CHAR(10)," "),CHAR(13)," ")))="OT",UPPER(TRIM(SUBSTITUTE(SUBSTITUTE(SUBSTITUTE(SUBSTITUTE(INDEX(PASTE_ALL,$DF162,$L$18)," "," "),CHAR(9)," "),CHAR(10)," "),CHAR(13)," ")))="OVERTIME",UPPER(TRIM(SUBSTITUTE(SUBSTITUTE(SUBSTITUTE(SUBSTITUTE(INDEX(PASTE_ALL,$DF162,$L$18)," "," "),CHAR(9)," "),CHAR(10)," "),CHAR(13)," ")))="TRIAL"),"OT",TRIM(SUBSTITUTE(SUBSTITUTE(SUBSTITUTE(SUBSTITUTE(INDEX(PASTE_ALL,$DF162,$L$18)," "," "),CHAR(9)," "),CHAR(10)," "),CHAR(13)," "))))),"")))</f>
        <v/>
      </c>
      <c r="EC162">
        <f>IF($DM162=0,"",IF($L$19=0,"",IFERROR(IF(ISNUMBER(INDEX(PASTE_ALL,$DF162,$L$19)),INDEX(PASTE_ALL,$DF162,$L$19),TRIM(SUBSTITUTE(SUBSTITUTE(SUBSTITUTE(SUBSTITUTE(INDEX(PASTE_ALL,$DF162,$L$19)," "," "),CHAR(9)," "),CHAR(10)," "),CHAR(13)," "))),"")))</f>
        <v/>
      </c>
      <c r="ED162">
        <f>IF($DM162=0,"",MATCH(1,INDEX(EXACT($DH$5:DH162,$DH162)*$DM$5:DM162,0),0))</f>
        <v/>
      </c>
      <c r="EE162">
        <f>IF($DM162=0,0,IF($ED162=$DE162,1,0))</f>
        <v/>
      </c>
      <c r="EF162">
        <f>EF161+$EE162</f>
        <v/>
      </c>
      <c r="EG162">
        <f>IF($DM162=0,"",INDEX($EF$5:$EF$1003,$ED162))</f>
        <v/>
      </c>
      <c r="EH162">
        <f>IF($DM162=0,"",IF($DO162&lt;&gt;"","",IFERROR(LOOKUP(2,1/(($EG$4:EG161=$EG162)*($DO$4:DO161&lt;&gt;"")),$DO$4:DO161),"")))</f>
        <v/>
      </c>
      <c r="EI162">
        <f>IF($DM162=0,"",IF($DO162&lt;&gt;"",$DO162,$EH162))</f>
        <v/>
      </c>
      <c r="EJ162">
        <f>IF($DM162=0,"",IF($EI162="",0,IF(OR(ISNUMBER($EI162),AND(AND(SUBSTITUTE(SUBSTITUTE(SUBSTITUTE(SUBSTITUTE(SUBSTITUTE(SUBSTITUTE(SUBSTITUTE(SUBSTITUTE(SUBSTITUTE(SUBSTITUTE(SUBSTITUTE(SUBSTITUTE(SUBSTITUTE(SUBSTITUTE(UPPER($EI162),"0",""),"1",""),"2",""),"3",""),"4",""),"5",""),"6",""),"7",""),"8",""),"9",""),".",""),"+",""),"-",""),"E","")="",LEN(SUBSTITUTE(SUBSTITUTE(MID(UPPER($EI162),1+OR(LEFT(UPPER($EI162),1)="+",LEFT(UPPER($EI162),1)="-"),999),"E+","E"),"E-","E"))=LEN(SUBSTITUTE(SUBSTITUTE(SUBSTITUTE(SUBSTITUTE(MID(UPPER($EI162),1+OR(LEFT(UPPER($EI162),1)="+",LEFT(UPPER($EI162),1)="-"),999),"E+","E"),"E-","E"),"+",""),"-","")),LEN(UPPER($EI162))-LEN(SUBSTITUTE(UPPER($EI162),"E",""))&lt;2,LEN(UPPER($EI162))-LEN(SUBSTITUTE(UPPER($EI162),".",""))&lt;2,IFERROR(FIND(".",UPPER($EI162)),0)&lt;IFERROR(FIND("E",UPPER($EI162)),999)),ISNUMBER(VALUE($EI162)))),1,2)))</f>
        <v/>
      </c>
      <c r="EK162">
        <f>IF($DM162=0,"",IF($EJ162=1,IF(ISNUMBER($EI162),$EI162,VALUE($EI162)),IF($EJ162=2,$DE162,0)))</f>
        <v/>
      </c>
      <c r="EL162">
        <f>IF($DM162=0,"",COUNTIF($EG$5:$EG$1003,"&lt;"&amp;$EG162)+SUMPRODUCT(($EG$5:$EG$1003=$EG162)*(($EJ$5:$EJ$1003&lt;$EJ162)+($EJ$5:$EJ$1003=$EJ162)*(($EK$5:$EK$1003&lt;$EK162)+($EK$5:$EK$1003=$EK162)*($DE$5:$DE$1003&lt;$DE162))))+1)</f>
        <v/>
      </c>
      <c r="EM162">
        <f>IF($DM162=0,"",$EL162+$EG162-1)</f>
        <v/>
      </c>
      <c r="EN162">
        <f>IF($DM162=0,0,IFERROR(MATCH(1,INDEX(--(TRIM(SUBSTITUTE(SUBSTITUTE(SUBSTITUTE(SUBSTITUTE(LINES_NAME&amp;""," "," "),CHAR(9)," "),CHAR(10)," "),CHAR(13)," "))=$DH162),0),0),0))</f>
        <v/>
      </c>
      <c r="EO162">
        <f>IF($EN162=0,0,IF(OR(UPPER(TRIM(INDEX(LINES_SCHEDULED,$EN162)&amp;""))="YES",UPPER(TRIM(INDEX(LINES_SCHEDULED,$EN162)&amp;""))="Y",UPPER(TRIM(INDEX(LINES_SCHEDULED,$EN162)&amp;""))="X"),1,0))</f>
        <v/>
      </c>
      <c r="EP162">
        <f>IF($DM162=0,"",IF(COUNTIFS($EG$5:$EG$1003,$EG162,$EB$5:$EB$1003,"Ready")&gt;0,"READY",IF(COUNTIFS($EG$5:$EG$1003,$EG162,$EB$5:$EB$1003,"PM")&gt;0,"PM",IF(COUNTIFS($EG$5:$EG$1003,$EG162,$EB$5:$EB$1003,"OT")&gt;0,"OT",""))))</f>
        <v/>
      </c>
      <c r="EQ162">
        <f>IF($EN162=0,"",UPPER(TRIM(INDEX(LINES_STATUS,$EN162)&amp;"")))</f>
        <v/>
      </c>
      <c r="ER162">
        <f>IF($DM162=0,"",IF(OR($EQ162="READY",$EQ162="PM",$EQ162="OT"),$EQ162,$EP162))</f>
        <v/>
      </c>
      <c r="ES162">
        <f>IF($DM162=0,"",IF(AND($DV162&lt;&gt;"",UPPER($DV162)&lt;&gt;"N"),"allergen",IF(ISNUMBER(SEARCH("oil",$DQ162)),"oil",IF(OR(EXACT($DS162,"A662"),EXACT($DS162,"A624")),"bulk",""))))</f>
        <v/>
      </c>
      <c r="ET162">
        <f>IF($DM162=0,"",IF(OR($EA162="",$EA162=0),"",$EA162/100))</f>
        <v/>
      </c>
      <c r="EU162">
        <f>IF(OR($ET162="",$DY162=""),"",INT($DY162*(1-$ET162)+0.5))</f>
        <v/>
      </c>
      <c r="EW162" t="n">
        <v>158</v>
      </c>
      <c r="EX162">
        <f>IFERROR(MATCH($EW162,$EM$5:$EM$1003,0),0)</f>
        <v/>
      </c>
      <c r="EY162">
        <f>IF($EW162&gt;$B$12,"",IF($EX162&gt;0,"row","spacer"))</f>
        <v/>
      </c>
      <c r="EZ162">
        <f>IF(AND($EY162="row",$EY161&lt;&gt;"row"),1,0)</f>
        <v/>
      </c>
      <c r="FA162">
        <f>IF(AND($EY162="row",$EY163&lt;&gt;"row"),1,0)</f>
        <v/>
      </c>
      <c r="FB162">
        <f>IF($EZ162=1,IFERROR(IF(ISNUMBER(INDEX(PASTE_ALL,INDEX($DF$5:$DF$1003,$EX162),$B$37)),INDEX(PASTE_ALL,INDEX($DF$5:$DF$1003,$EX162),$B$37),INDEX($DH$5:$DH$1003,$EX162)),INDEX($DH$5:$DH$1003,$EX162)),"")</f>
        <v/>
      </c>
      <c r="FC162">
        <f>IF($EY162="row",INDEX($ER$5:$ER$1003,$EX162),"")</f>
        <v/>
      </c>
      <c r="FD162">
        <f>IF($EY162="row",INDEX($DN$5:$DN$1003,$EX162),"")</f>
        <v/>
      </c>
      <c r="FE162">
        <f>IF($EY162="row",INDEX($DO$5:$DO$1003,$EX162),"")</f>
        <v/>
      </c>
      <c r="FF162">
        <f>IF($EY162="row",INDEX($DP$5:$DP$1003,$EX162),"")</f>
        <v/>
      </c>
      <c r="FG162">
        <f>IF($EY162="row",INDEX($DQ$5:$DQ$1003,$EX162),"")</f>
        <v/>
      </c>
      <c r="FH162">
        <f>IF($EY162="row",INDEX($DR$5:$DR$1003,$EX162),"")</f>
        <v/>
      </c>
      <c r="FI162">
        <f>IF($EY162="row",INDEX($DS$5:$DS$1003,$EX162),"")</f>
        <v/>
      </c>
      <c r="FJ162">
        <f>IF($EY162="row",INDEX($DT$5:$DT$1003,$EX162),"")</f>
        <v/>
      </c>
      <c r="FK162">
        <f>IF($EY162="row",INDEX($DU$5:$DU$1003,$EX162),"")</f>
        <v/>
      </c>
      <c r="FL162">
        <f>IF($EY162="row",INDEX($DV$5:$DV$1003,$EX162),"")</f>
        <v/>
      </c>
      <c r="FM162">
        <f>IF($EY162="row",INDEX($DW$5:$DW$1003,$EX162),"")</f>
        <v/>
      </c>
      <c r="FN162">
        <f>IF($EY162="row",INDEX($DY$5:$DY$1003,$EX162),"")</f>
        <v/>
      </c>
      <c r="FO162">
        <f>IF($EY162="row",INDEX($EA$5:$EA$1003,$EX162),"")</f>
        <v/>
      </c>
      <c r="FP162">
        <f>IF($EY162="row",INDEX($EC$5:$EC$1003,$EX162),"")</f>
        <v/>
      </c>
      <c r="FQ162">
        <f>IF($EY162="row",INDEX($ET$5:$ET$1003,$EX162),"")</f>
        <v/>
      </c>
      <c r="FR162">
        <f>IF($EY162="row",INDEX($EU$5:$EU$1003,$EX162),"")</f>
        <v/>
      </c>
      <c r="FS162">
        <f>IF(AND($EY162="row",$EY161="row"),IF(OR(INDEX($DT$5:$DT$1003,$EX161)="",INDEX($DT$5:$DT$1003,$EX162)=""),"",IF(NOT(EXACT(INDEX($DT$5:$DT$1003,$EX161),INDEX($DT$5:$DT$1003,$EX162))),"S4",IF(NOT(EXACT(INDEX($DS$5:$DS$1003,$EX161),INDEX($DS$5:$DS$1003,$EX162))),"S3",IF(NOT(EXACT(INDEX($DR$5:$DR$1003,$EX161),INDEX($DR$5:$DR$1003,$EX162))),"S1 Count Change","S1")))),"")</f>
        <v/>
      </c>
      <c r="FT162">
        <f>IF($EY162="row",INDEX($ES$5:$ES$1003,$EX162),"")</f>
        <v/>
      </c>
      <c r="FU162">
        <f>IF($EY162="row",INDEX($EO$5:$EO$1003,$EX162),0)</f>
        <v/>
      </c>
      <c r="FV162">
        <f>IF($FS162="S1 Count Change",1,0)</f>
        <v/>
      </c>
    </row>
    <row r="163">
      <c r="Y163">
        <f>IF(Y28="",0,2*(OR(ISNUMBER(FIND("WORKCENTER",Y28)),AND(LEFT(Y28,4)="LINE",NOT(ISNUMBER(FIND("STATUS",Y28))))))+4*(OR(ISNUMBER(FIND("WORKORDER",Y28)),AND(LEFT(Y28,2)="WO",OR(ISNUMBER(FIND("NUM",Y28)),RIGHT(Y28,2)="NO"))))+8*(LEFT(Y28,3)="SEQ")+16*(AND(LEFT(Y28,4)="ITEM",NOT(ISNUMBER(FIND("DESC",Y28)))))+32*(AND(ISNUMBER(FIND("DESC",Y28)),NOT(ISNUMBER(FIND("CAP",Y28)))))+64*(OR(RIGHT(Y28,5)="COUNT",RIGHT(Y28,2)="CT"))+128*(ISNUMBER(FIND("BULK",Y28)))+256*(ISNUMBER(FIND("SIZE",Y28)))+512*(LEFT(Y28,3)="CAP")+1024*(ISNUMBER(FIND("ALLERG",Y28)))+2048*(OR(ISNUMBER(FIND("REMARK",Y28)),ISNUMBER(FIND("COMMENT",Y28))))+4096*(OR(ISNUMBER(FIND("QTY",Y28)),ISNUMBER(FIND("QUANTITY",Y28))))+8192*(AND(OR(ISNUMBER(FIND("COMPLETE",Y28)),ISNUMBER(FIND("PCT",Y28)),ISNUMBER(FIND("PERCENT",Y28))),NOT(ISNUMBER(FIND("ACTUAL",Y28))),LEN(Y28)&lt;=16))+32768*(OR(ISNUMBER(FIND("DESIC",Y28)),ISNUMBER(FIND("DESSIC",Y28)))))</f>
        <v/>
      </c>
      <c r="Z163">
        <f>IF(Z28="",0,2*(OR(ISNUMBER(FIND("WORKCENTER",Z28)),AND(LEFT(Z28,4)="LINE",NOT(ISNUMBER(FIND("STATUS",Z28))))))+4*(OR(ISNUMBER(FIND("WORKORDER",Z28)),AND(LEFT(Z28,2)="WO",OR(ISNUMBER(FIND("NUM",Z28)),RIGHT(Z28,2)="NO"))))+8*(LEFT(Z28,3)="SEQ")+16*(AND(LEFT(Z28,4)="ITEM",NOT(ISNUMBER(FIND("DESC",Z28)))))+32*(AND(ISNUMBER(FIND("DESC",Z28)),NOT(ISNUMBER(FIND("CAP",Z28)))))+64*(OR(RIGHT(Z28,5)="COUNT",RIGHT(Z28,2)="CT"))+128*(ISNUMBER(FIND("BULK",Z28)))+256*(ISNUMBER(FIND("SIZE",Z28)))+512*(LEFT(Z28,3)="CAP")+1024*(ISNUMBER(FIND("ALLERG",Z28)))+2048*(OR(ISNUMBER(FIND("REMARK",Z28)),ISNUMBER(FIND("COMMENT",Z28))))+4096*(OR(ISNUMBER(FIND("QTY",Z28)),ISNUMBER(FIND("QUANTITY",Z28))))+8192*(AND(OR(ISNUMBER(FIND("COMPLETE",Z28)),ISNUMBER(FIND("PCT",Z28)),ISNUMBER(FIND("PERCENT",Z28))),NOT(ISNUMBER(FIND("ACTUAL",Z28))),LEN(Z28)&lt;=16))+32768*(OR(ISNUMBER(FIND("DESIC",Z28)),ISNUMBER(FIND("DESSIC",Z28)))))</f>
        <v/>
      </c>
      <c r="AA163">
        <f>IF(AA28="",0,2*(OR(ISNUMBER(FIND("WORKCENTER",AA28)),AND(LEFT(AA28,4)="LINE",NOT(ISNUMBER(FIND("STATUS",AA28))))))+4*(OR(ISNUMBER(FIND("WORKORDER",AA28)),AND(LEFT(AA28,2)="WO",OR(ISNUMBER(FIND("NUM",AA28)),RIGHT(AA28,2)="NO"))))+8*(LEFT(AA28,3)="SEQ")+16*(AND(LEFT(AA28,4)="ITEM",NOT(ISNUMBER(FIND("DESC",AA28)))))+32*(AND(ISNUMBER(FIND("DESC",AA28)),NOT(ISNUMBER(FIND("CAP",AA28)))))+64*(OR(RIGHT(AA28,5)="COUNT",RIGHT(AA28,2)="CT"))+128*(ISNUMBER(FIND("BULK",AA28)))+256*(ISNUMBER(FIND("SIZE",AA28)))+512*(LEFT(AA28,3)="CAP")+1024*(ISNUMBER(FIND("ALLERG",AA28)))+2048*(OR(ISNUMBER(FIND("REMARK",AA28)),ISNUMBER(FIND("COMMENT",AA28))))+4096*(OR(ISNUMBER(FIND("QTY",AA28)),ISNUMBER(FIND("QUANTITY",AA28))))+8192*(AND(OR(ISNUMBER(FIND("COMPLETE",AA28)),ISNUMBER(FIND("PCT",AA28)),ISNUMBER(FIND("PERCENT",AA28))),NOT(ISNUMBER(FIND("ACTUAL",AA28))),LEN(AA28)&lt;=16))+32768*(OR(ISNUMBER(FIND("DESIC",AA28)),ISNUMBER(FIND("DESSIC",AA28)))))</f>
        <v/>
      </c>
      <c r="AB163">
        <f>IF(AB28="",0,2*(OR(ISNUMBER(FIND("WORKCENTER",AB28)),AND(LEFT(AB28,4)="LINE",NOT(ISNUMBER(FIND("STATUS",AB28))))))+4*(OR(ISNUMBER(FIND("WORKORDER",AB28)),AND(LEFT(AB28,2)="WO",OR(ISNUMBER(FIND("NUM",AB28)),RIGHT(AB28,2)="NO"))))+8*(LEFT(AB28,3)="SEQ")+16*(AND(LEFT(AB28,4)="ITEM",NOT(ISNUMBER(FIND("DESC",AB28)))))+32*(AND(ISNUMBER(FIND("DESC",AB28)),NOT(ISNUMBER(FIND("CAP",AB28)))))+64*(OR(RIGHT(AB28,5)="COUNT",RIGHT(AB28,2)="CT"))+128*(ISNUMBER(FIND("BULK",AB28)))+256*(ISNUMBER(FIND("SIZE",AB28)))+512*(LEFT(AB28,3)="CAP")+1024*(ISNUMBER(FIND("ALLERG",AB28)))+2048*(OR(ISNUMBER(FIND("REMARK",AB28)),ISNUMBER(FIND("COMMENT",AB28))))+4096*(OR(ISNUMBER(FIND("QTY",AB28)),ISNUMBER(FIND("QUANTITY",AB28))))+8192*(AND(OR(ISNUMBER(FIND("COMPLETE",AB28)),ISNUMBER(FIND("PCT",AB28)),ISNUMBER(FIND("PERCENT",AB28))),NOT(ISNUMBER(FIND("ACTUAL",AB28))),LEN(AB28)&lt;=16))+32768*(OR(ISNUMBER(FIND("DESIC",AB28)),ISNUMBER(FIND("DESSIC",AB28)))))</f>
        <v/>
      </c>
      <c r="AC163">
        <f>IF(AC28="",0,2*(OR(ISNUMBER(FIND("WORKCENTER",AC28)),AND(LEFT(AC28,4)="LINE",NOT(ISNUMBER(FIND("STATUS",AC28))))))+4*(OR(ISNUMBER(FIND("WORKORDER",AC28)),AND(LEFT(AC28,2)="WO",OR(ISNUMBER(FIND("NUM",AC28)),RIGHT(AC28,2)="NO"))))+8*(LEFT(AC28,3)="SEQ")+16*(AND(LEFT(AC28,4)="ITEM",NOT(ISNUMBER(FIND("DESC",AC28)))))+32*(AND(ISNUMBER(FIND("DESC",AC28)),NOT(ISNUMBER(FIND("CAP",AC28)))))+64*(OR(RIGHT(AC28,5)="COUNT",RIGHT(AC28,2)="CT"))+128*(ISNUMBER(FIND("BULK",AC28)))+256*(ISNUMBER(FIND("SIZE",AC28)))+512*(LEFT(AC28,3)="CAP")+1024*(ISNUMBER(FIND("ALLERG",AC28)))+2048*(OR(ISNUMBER(FIND("REMARK",AC28)),ISNUMBER(FIND("COMMENT",AC28))))+4096*(OR(ISNUMBER(FIND("QTY",AC28)),ISNUMBER(FIND("QUANTITY",AC28))))+8192*(AND(OR(ISNUMBER(FIND("COMPLETE",AC28)),ISNUMBER(FIND("PCT",AC28)),ISNUMBER(FIND("PERCENT",AC28))),NOT(ISNUMBER(FIND("ACTUAL",AC28))),LEN(AC28)&lt;=16))+32768*(OR(ISNUMBER(FIND("DESIC",AC28)),ISNUMBER(FIND("DESSIC",AC28)))))</f>
        <v/>
      </c>
      <c r="AD163">
        <f>IF(AD28="",0,2*(OR(ISNUMBER(FIND("WORKCENTER",AD28)),AND(LEFT(AD28,4)="LINE",NOT(ISNUMBER(FIND("STATUS",AD28))))))+4*(OR(ISNUMBER(FIND("WORKORDER",AD28)),AND(LEFT(AD28,2)="WO",OR(ISNUMBER(FIND("NUM",AD28)),RIGHT(AD28,2)="NO"))))+8*(LEFT(AD28,3)="SEQ")+16*(AND(LEFT(AD28,4)="ITEM",NOT(ISNUMBER(FIND("DESC",AD28)))))+32*(AND(ISNUMBER(FIND("DESC",AD28)),NOT(ISNUMBER(FIND("CAP",AD28)))))+64*(OR(RIGHT(AD28,5)="COUNT",RIGHT(AD28,2)="CT"))+128*(ISNUMBER(FIND("BULK",AD28)))+256*(ISNUMBER(FIND("SIZE",AD28)))+512*(LEFT(AD28,3)="CAP")+1024*(ISNUMBER(FIND("ALLERG",AD28)))+2048*(OR(ISNUMBER(FIND("REMARK",AD28)),ISNUMBER(FIND("COMMENT",AD28))))+4096*(OR(ISNUMBER(FIND("QTY",AD28)),ISNUMBER(FIND("QUANTITY",AD28))))+8192*(AND(OR(ISNUMBER(FIND("COMPLETE",AD28)),ISNUMBER(FIND("PCT",AD28)),ISNUMBER(FIND("PERCENT",AD28))),NOT(ISNUMBER(FIND("ACTUAL",AD28))),LEN(AD28)&lt;=16))+32768*(OR(ISNUMBER(FIND("DESIC",AD28)),ISNUMBER(FIND("DESSIC",AD28)))))</f>
        <v/>
      </c>
      <c r="AE163">
        <f>IF(AE28="",0,2*(OR(ISNUMBER(FIND("WORKCENTER",AE28)),AND(LEFT(AE28,4)="LINE",NOT(ISNUMBER(FIND("STATUS",AE28))))))+4*(OR(ISNUMBER(FIND("WORKORDER",AE28)),AND(LEFT(AE28,2)="WO",OR(ISNUMBER(FIND("NUM",AE28)),RIGHT(AE28,2)="NO"))))+8*(LEFT(AE28,3)="SEQ")+16*(AND(LEFT(AE28,4)="ITEM",NOT(ISNUMBER(FIND("DESC",AE28)))))+32*(AND(ISNUMBER(FIND("DESC",AE28)),NOT(ISNUMBER(FIND("CAP",AE28)))))+64*(OR(RIGHT(AE28,5)="COUNT",RIGHT(AE28,2)="CT"))+128*(ISNUMBER(FIND("BULK",AE28)))+256*(ISNUMBER(FIND("SIZE",AE28)))+512*(LEFT(AE28,3)="CAP")+1024*(ISNUMBER(FIND("ALLERG",AE28)))+2048*(OR(ISNUMBER(FIND("REMARK",AE28)),ISNUMBER(FIND("COMMENT",AE28))))+4096*(OR(ISNUMBER(FIND("QTY",AE28)),ISNUMBER(FIND("QUANTITY",AE28))))+8192*(AND(OR(ISNUMBER(FIND("COMPLETE",AE28)),ISNUMBER(FIND("PCT",AE28)),ISNUMBER(FIND("PERCENT",AE28))),NOT(ISNUMBER(FIND("ACTUAL",AE28))),LEN(AE28)&lt;=16))+32768*(OR(ISNUMBER(FIND("DESIC",AE28)),ISNUMBER(FIND("DESSIC",AE28)))))</f>
        <v/>
      </c>
      <c r="AF163">
        <f>IF(AF28="",0,2*(OR(ISNUMBER(FIND("WORKCENTER",AF28)),AND(LEFT(AF28,4)="LINE",NOT(ISNUMBER(FIND("STATUS",AF28))))))+4*(OR(ISNUMBER(FIND("WORKORDER",AF28)),AND(LEFT(AF28,2)="WO",OR(ISNUMBER(FIND("NUM",AF28)),RIGHT(AF28,2)="NO"))))+8*(LEFT(AF28,3)="SEQ")+16*(AND(LEFT(AF28,4)="ITEM",NOT(ISNUMBER(FIND("DESC",AF28)))))+32*(AND(ISNUMBER(FIND("DESC",AF28)),NOT(ISNUMBER(FIND("CAP",AF28)))))+64*(OR(RIGHT(AF28,5)="COUNT",RIGHT(AF28,2)="CT"))+128*(ISNUMBER(FIND("BULK",AF28)))+256*(ISNUMBER(FIND("SIZE",AF28)))+512*(LEFT(AF28,3)="CAP")+1024*(ISNUMBER(FIND("ALLERG",AF28)))+2048*(OR(ISNUMBER(FIND("REMARK",AF28)),ISNUMBER(FIND("COMMENT",AF28))))+4096*(OR(ISNUMBER(FIND("QTY",AF28)),ISNUMBER(FIND("QUANTITY",AF28))))+8192*(AND(OR(ISNUMBER(FIND("COMPLETE",AF28)),ISNUMBER(FIND("PCT",AF28)),ISNUMBER(FIND("PERCENT",AF28))),NOT(ISNUMBER(FIND("ACTUAL",AF28))),LEN(AF28)&lt;=16))+32768*(OR(ISNUMBER(FIND("DESIC",AF28)),ISNUMBER(FIND("DESSIC",AF28)))))</f>
        <v/>
      </c>
      <c r="AG163">
        <f>IF(AG28="",0,2*(OR(ISNUMBER(FIND("WORKCENTER",AG28)),AND(LEFT(AG28,4)="LINE",NOT(ISNUMBER(FIND("STATUS",AG28))))))+4*(OR(ISNUMBER(FIND("WORKORDER",AG28)),AND(LEFT(AG28,2)="WO",OR(ISNUMBER(FIND("NUM",AG28)),RIGHT(AG28,2)="NO"))))+8*(LEFT(AG28,3)="SEQ")+16*(AND(LEFT(AG28,4)="ITEM",NOT(ISNUMBER(FIND("DESC",AG28)))))+32*(AND(ISNUMBER(FIND("DESC",AG28)),NOT(ISNUMBER(FIND("CAP",AG28)))))+64*(OR(RIGHT(AG28,5)="COUNT",RIGHT(AG28,2)="CT"))+128*(ISNUMBER(FIND("BULK",AG28)))+256*(ISNUMBER(FIND("SIZE",AG28)))+512*(LEFT(AG28,3)="CAP")+1024*(ISNUMBER(FIND("ALLERG",AG28)))+2048*(OR(ISNUMBER(FIND("REMARK",AG28)),ISNUMBER(FIND("COMMENT",AG28))))+4096*(OR(ISNUMBER(FIND("QTY",AG28)),ISNUMBER(FIND("QUANTITY",AG28))))+8192*(AND(OR(ISNUMBER(FIND("COMPLETE",AG28)),ISNUMBER(FIND("PCT",AG28)),ISNUMBER(FIND("PERCENT",AG28))),NOT(ISNUMBER(FIND("ACTUAL",AG28))),LEN(AG28)&lt;=16))+32768*(OR(ISNUMBER(FIND("DESIC",AG28)),ISNUMBER(FIND("DESSIC",AG28)))))</f>
        <v/>
      </c>
      <c r="AH163">
        <f>IF(AH28="",0,2*(OR(ISNUMBER(FIND("WORKCENTER",AH28)),AND(LEFT(AH28,4)="LINE",NOT(ISNUMBER(FIND("STATUS",AH28))))))+4*(OR(ISNUMBER(FIND("WORKORDER",AH28)),AND(LEFT(AH28,2)="WO",OR(ISNUMBER(FIND("NUM",AH28)),RIGHT(AH28,2)="NO"))))+8*(LEFT(AH28,3)="SEQ")+16*(AND(LEFT(AH28,4)="ITEM",NOT(ISNUMBER(FIND("DESC",AH28)))))+32*(AND(ISNUMBER(FIND("DESC",AH28)),NOT(ISNUMBER(FIND("CAP",AH28)))))+64*(OR(RIGHT(AH28,5)="COUNT",RIGHT(AH28,2)="CT"))+128*(ISNUMBER(FIND("BULK",AH28)))+256*(ISNUMBER(FIND("SIZE",AH28)))+512*(LEFT(AH28,3)="CAP")+1024*(ISNUMBER(FIND("ALLERG",AH28)))+2048*(OR(ISNUMBER(FIND("REMARK",AH28)),ISNUMBER(FIND("COMMENT",AH28))))+4096*(OR(ISNUMBER(FIND("QTY",AH28)),ISNUMBER(FIND("QUANTITY",AH28))))+8192*(AND(OR(ISNUMBER(FIND("COMPLETE",AH28)),ISNUMBER(FIND("PCT",AH28)),ISNUMBER(FIND("PERCENT",AH28))),NOT(ISNUMBER(FIND("ACTUAL",AH28))),LEN(AH28)&lt;=16))+32768*(OR(ISNUMBER(FIND("DESIC",AH28)),ISNUMBER(FIND("DESSIC",AH28)))))</f>
        <v/>
      </c>
      <c r="AI163">
        <f>IF(AI28="",0,2*(OR(ISNUMBER(FIND("WORKCENTER",AI28)),AND(LEFT(AI28,4)="LINE",NOT(ISNUMBER(FIND("STATUS",AI28))))))+4*(OR(ISNUMBER(FIND("WORKORDER",AI28)),AND(LEFT(AI28,2)="WO",OR(ISNUMBER(FIND("NUM",AI28)),RIGHT(AI28,2)="NO"))))+8*(LEFT(AI28,3)="SEQ")+16*(AND(LEFT(AI28,4)="ITEM",NOT(ISNUMBER(FIND("DESC",AI28)))))+32*(AND(ISNUMBER(FIND("DESC",AI28)),NOT(ISNUMBER(FIND("CAP",AI28)))))+64*(OR(RIGHT(AI28,5)="COUNT",RIGHT(AI28,2)="CT"))+128*(ISNUMBER(FIND("BULK",AI28)))+256*(ISNUMBER(FIND("SIZE",AI28)))+512*(LEFT(AI28,3)="CAP")+1024*(ISNUMBER(FIND("ALLERG",AI28)))+2048*(OR(ISNUMBER(FIND("REMARK",AI28)),ISNUMBER(FIND("COMMENT",AI28))))+4096*(OR(ISNUMBER(FIND("QTY",AI28)),ISNUMBER(FIND("QUANTITY",AI28))))+8192*(AND(OR(ISNUMBER(FIND("COMPLETE",AI28)),ISNUMBER(FIND("PCT",AI28)),ISNUMBER(FIND("PERCENT",AI28))),NOT(ISNUMBER(FIND("ACTUAL",AI28))),LEN(AI28)&lt;=16))+32768*(OR(ISNUMBER(FIND("DESIC",AI28)),ISNUMBER(FIND("DESSIC",AI28)))))</f>
        <v/>
      </c>
      <c r="AJ163">
        <f>IF(AJ28="",0,2*(OR(ISNUMBER(FIND("WORKCENTER",AJ28)),AND(LEFT(AJ28,4)="LINE",NOT(ISNUMBER(FIND("STATUS",AJ28))))))+4*(OR(ISNUMBER(FIND("WORKORDER",AJ28)),AND(LEFT(AJ28,2)="WO",OR(ISNUMBER(FIND("NUM",AJ28)),RIGHT(AJ28,2)="NO"))))+8*(LEFT(AJ28,3)="SEQ")+16*(AND(LEFT(AJ28,4)="ITEM",NOT(ISNUMBER(FIND("DESC",AJ28)))))+32*(AND(ISNUMBER(FIND("DESC",AJ28)),NOT(ISNUMBER(FIND("CAP",AJ28)))))+64*(OR(RIGHT(AJ28,5)="COUNT",RIGHT(AJ28,2)="CT"))+128*(ISNUMBER(FIND("BULK",AJ28)))+256*(ISNUMBER(FIND("SIZE",AJ28)))+512*(LEFT(AJ28,3)="CAP")+1024*(ISNUMBER(FIND("ALLERG",AJ28)))+2048*(OR(ISNUMBER(FIND("REMARK",AJ28)),ISNUMBER(FIND("COMMENT",AJ28))))+4096*(OR(ISNUMBER(FIND("QTY",AJ28)),ISNUMBER(FIND("QUANTITY",AJ28))))+8192*(AND(OR(ISNUMBER(FIND("COMPLETE",AJ28)),ISNUMBER(FIND("PCT",AJ28)),ISNUMBER(FIND("PERCENT",AJ28))),NOT(ISNUMBER(FIND("ACTUAL",AJ28))),LEN(AJ28)&lt;=16))+32768*(OR(ISNUMBER(FIND("DESIC",AJ28)),ISNUMBER(FIND("DESSIC",AJ28)))))</f>
        <v/>
      </c>
      <c r="AK163">
        <f>IF(AK28="",0,2*(OR(ISNUMBER(FIND("WORKCENTER",AK28)),AND(LEFT(AK28,4)="LINE",NOT(ISNUMBER(FIND("STATUS",AK28))))))+4*(OR(ISNUMBER(FIND("WORKORDER",AK28)),AND(LEFT(AK28,2)="WO",OR(ISNUMBER(FIND("NUM",AK28)),RIGHT(AK28,2)="NO"))))+8*(LEFT(AK28,3)="SEQ")+16*(AND(LEFT(AK28,4)="ITEM",NOT(ISNUMBER(FIND("DESC",AK28)))))+32*(AND(ISNUMBER(FIND("DESC",AK28)),NOT(ISNUMBER(FIND("CAP",AK28)))))+64*(OR(RIGHT(AK28,5)="COUNT",RIGHT(AK28,2)="CT"))+128*(ISNUMBER(FIND("BULK",AK28)))+256*(ISNUMBER(FIND("SIZE",AK28)))+512*(LEFT(AK28,3)="CAP")+1024*(ISNUMBER(FIND("ALLERG",AK28)))+2048*(OR(ISNUMBER(FIND("REMARK",AK28)),ISNUMBER(FIND("COMMENT",AK28))))+4096*(OR(ISNUMBER(FIND("QTY",AK28)),ISNUMBER(FIND("QUANTITY",AK28))))+8192*(AND(OR(ISNUMBER(FIND("COMPLETE",AK28)),ISNUMBER(FIND("PCT",AK28)),ISNUMBER(FIND("PERCENT",AK28))),NOT(ISNUMBER(FIND("ACTUAL",AK28))),LEN(AK28)&lt;=16))+32768*(OR(ISNUMBER(FIND("DESIC",AK28)),ISNUMBER(FIND("DESSIC",AK28)))))</f>
        <v/>
      </c>
      <c r="AL163">
        <f>IF(AL28="",0,2*(OR(ISNUMBER(FIND("WORKCENTER",AL28)),AND(LEFT(AL28,4)="LINE",NOT(ISNUMBER(FIND("STATUS",AL28))))))+4*(OR(ISNUMBER(FIND("WORKORDER",AL28)),AND(LEFT(AL28,2)="WO",OR(ISNUMBER(FIND("NUM",AL28)),RIGHT(AL28,2)="NO"))))+8*(LEFT(AL28,3)="SEQ")+16*(AND(LEFT(AL28,4)="ITEM",NOT(ISNUMBER(FIND("DESC",AL28)))))+32*(AND(ISNUMBER(FIND("DESC",AL28)),NOT(ISNUMBER(FIND("CAP",AL28)))))+64*(OR(RIGHT(AL28,5)="COUNT",RIGHT(AL28,2)="CT"))+128*(ISNUMBER(FIND("BULK",AL28)))+256*(ISNUMBER(FIND("SIZE",AL28)))+512*(LEFT(AL28,3)="CAP")+1024*(ISNUMBER(FIND("ALLERG",AL28)))+2048*(OR(ISNUMBER(FIND("REMARK",AL28)),ISNUMBER(FIND("COMMENT",AL28))))+4096*(OR(ISNUMBER(FIND("QTY",AL28)),ISNUMBER(FIND("QUANTITY",AL28))))+8192*(AND(OR(ISNUMBER(FIND("COMPLETE",AL28)),ISNUMBER(FIND("PCT",AL28)),ISNUMBER(FIND("PERCENT",AL28))),NOT(ISNUMBER(FIND("ACTUAL",AL28))),LEN(AL28)&lt;=16))+32768*(OR(ISNUMBER(FIND("DESIC",AL28)),ISNUMBER(FIND("DESSIC",AL28)))))</f>
        <v/>
      </c>
      <c r="AM163">
        <f>IF(AM28="",0,2*(OR(ISNUMBER(FIND("WORKCENTER",AM28)),AND(LEFT(AM28,4)="LINE",NOT(ISNUMBER(FIND("STATUS",AM28))))))+4*(OR(ISNUMBER(FIND("WORKORDER",AM28)),AND(LEFT(AM28,2)="WO",OR(ISNUMBER(FIND("NUM",AM28)),RIGHT(AM28,2)="NO"))))+8*(LEFT(AM28,3)="SEQ")+16*(AND(LEFT(AM28,4)="ITEM",NOT(ISNUMBER(FIND("DESC",AM28)))))+32*(AND(ISNUMBER(FIND("DESC",AM28)),NOT(ISNUMBER(FIND("CAP",AM28)))))+64*(OR(RIGHT(AM28,5)="COUNT",RIGHT(AM28,2)="CT"))+128*(ISNUMBER(FIND("BULK",AM28)))+256*(ISNUMBER(FIND("SIZE",AM28)))+512*(LEFT(AM28,3)="CAP")+1024*(ISNUMBER(FIND("ALLERG",AM28)))+2048*(OR(ISNUMBER(FIND("REMARK",AM28)),ISNUMBER(FIND("COMMENT",AM28))))+4096*(OR(ISNUMBER(FIND("QTY",AM28)),ISNUMBER(FIND("QUANTITY",AM28))))+8192*(AND(OR(ISNUMBER(FIND("COMPLETE",AM28)),ISNUMBER(FIND("PCT",AM28)),ISNUMBER(FIND("PERCENT",AM28))),NOT(ISNUMBER(FIND("ACTUAL",AM28))),LEN(AM28)&lt;=16))+32768*(OR(ISNUMBER(FIND("DESIC",AM28)),ISNUMBER(FIND("DESSIC",AM28)))))</f>
        <v/>
      </c>
      <c r="AN163">
        <f>IF(AN28="",0,2*(OR(ISNUMBER(FIND("WORKCENTER",AN28)),AND(LEFT(AN28,4)="LINE",NOT(ISNUMBER(FIND("STATUS",AN28))))))+4*(OR(ISNUMBER(FIND("WORKORDER",AN28)),AND(LEFT(AN28,2)="WO",OR(ISNUMBER(FIND("NUM",AN28)),RIGHT(AN28,2)="NO"))))+8*(LEFT(AN28,3)="SEQ")+16*(AND(LEFT(AN28,4)="ITEM",NOT(ISNUMBER(FIND("DESC",AN28)))))+32*(AND(ISNUMBER(FIND("DESC",AN28)),NOT(ISNUMBER(FIND("CAP",AN28)))))+64*(OR(RIGHT(AN28,5)="COUNT",RIGHT(AN28,2)="CT"))+128*(ISNUMBER(FIND("BULK",AN28)))+256*(ISNUMBER(FIND("SIZE",AN28)))+512*(LEFT(AN28,3)="CAP")+1024*(ISNUMBER(FIND("ALLERG",AN28)))+2048*(OR(ISNUMBER(FIND("REMARK",AN28)),ISNUMBER(FIND("COMMENT",AN28))))+4096*(OR(ISNUMBER(FIND("QTY",AN28)),ISNUMBER(FIND("QUANTITY",AN28))))+8192*(AND(OR(ISNUMBER(FIND("COMPLETE",AN28)),ISNUMBER(FIND("PCT",AN28)),ISNUMBER(FIND("PERCENT",AN28))),NOT(ISNUMBER(FIND("ACTUAL",AN28))),LEN(AN28)&lt;=16))+32768*(OR(ISNUMBER(FIND("DESIC",AN28)),ISNUMBER(FIND("DESSIC",AN28)))))</f>
        <v/>
      </c>
      <c r="AO163">
        <f>IF(AO28="",0,2*(OR(ISNUMBER(FIND("WORKCENTER",AO28)),AND(LEFT(AO28,4)="LINE",NOT(ISNUMBER(FIND("STATUS",AO28))))))+4*(OR(ISNUMBER(FIND("WORKORDER",AO28)),AND(LEFT(AO28,2)="WO",OR(ISNUMBER(FIND("NUM",AO28)),RIGHT(AO28,2)="NO"))))+8*(LEFT(AO28,3)="SEQ")+16*(AND(LEFT(AO28,4)="ITEM",NOT(ISNUMBER(FIND("DESC",AO28)))))+32*(AND(ISNUMBER(FIND("DESC",AO28)),NOT(ISNUMBER(FIND("CAP",AO28)))))+64*(OR(RIGHT(AO28,5)="COUNT",RIGHT(AO28,2)="CT"))+128*(ISNUMBER(FIND("BULK",AO28)))+256*(ISNUMBER(FIND("SIZE",AO28)))+512*(LEFT(AO28,3)="CAP")+1024*(ISNUMBER(FIND("ALLERG",AO28)))+2048*(OR(ISNUMBER(FIND("REMARK",AO28)),ISNUMBER(FIND("COMMENT",AO28))))+4096*(OR(ISNUMBER(FIND("QTY",AO28)),ISNUMBER(FIND("QUANTITY",AO28))))+8192*(AND(OR(ISNUMBER(FIND("COMPLETE",AO28)),ISNUMBER(FIND("PCT",AO28)),ISNUMBER(FIND("PERCENT",AO28))),NOT(ISNUMBER(FIND("ACTUAL",AO28))),LEN(AO28)&lt;=16))+32768*(OR(ISNUMBER(FIND("DESIC",AO28)),ISNUMBER(FIND("DESSIC",AO28)))))</f>
        <v/>
      </c>
      <c r="AP163">
        <f>IF(AP28="",0,2*(OR(ISNUMBER(FIND("WORKCENTER",AP28)),AND(LEFT(AP28,4)="LINE",NOT(ISNUMBER(FIND("STATUS",AP28))))))+4*(OR(ISNUMBER(FIND("WORKORDER",AP28)),AND(LEFT(AP28,2)="WO",OR(ISNUMBER(FIND("NUM",AP28)),RIGHT(AP28,2)="NO"))))+8*(LEFT(AP28,3)="SEQ")+16*(AND(LEFT(AP28,4)="ITEM",NOT(ISNUMBER(FIND("DESC",AP28)))))+32*(AND(ISNUMBER(FIND("DESC",AP28)),NOT(ISNUMBER(FIND("CAP",AP28)))))+64*(OR(RIGHT(AP28,5)="COUNT",RIGHT(AP28,2)="CT"))+128*(ISNUMBER(FIND("BULK",AP28)))+256*(ISNUMBER(FIND("SIZE",AP28)))+512*(LEFT(AP28,3)="CAP")+1024*(ISNUMBER(FIND("ALLERG",AP28)))+2048*(OR(ISNUMBER(FIND("REMARK",AP28)),ISNUMBER(FIND("COMMENT",AP28))))+4096*(OR(ISNUMBER(FIND("QTY",AP28)),ISNUMBER(FIND("QUANTITY",AP28))))+8192*(AND(OR(ISNUMBER(FIND("COMPLETE",AP28)),ISNUMBER(FIND("PCT",AP28)),ISNUMBER(FIND("PERCENT",AP28))),NOT(ISNUMBER(FIND("ACTUAL",AP28))),LEN(AP28)&lt;=16))+32768*(OR(ISNUMBER(FIND("DESIC",AP28)),ISNUMBER(FIND("DESSIC",AP28)))))</f>
        <v/>
      </c>
      <c r="AQ163">
        <f>IF(AQ28="",0,2*(OR(ISNUMBER(FIND("WORKCENTER",AQ28)),AND(LEFT(AQ28,4)="LINE",NOT(ISNUMBER(FIND("STATUS",AQ28))))))+4*(OR(ISNUMBER(FIND("WORKORDER",AQ28)),AND(LEFT(AQ28,2)="WO",OR(ISNUMBER(FIND("NUM",AQ28)),RIGHT(AQ28,2)="NO"))))+8*(LEFT(AQ28,3)="SEQ")+16*(AND(LEFT(AQ28,4)="ITEM",NOT(ISNUMBER(FIND("DESC",AQ28)))))+32*(AND(ISNUMBER(FIND("DESC",AQ28)),NOT(ISNUMBER(FIND("CAP",AQ28)))))+64*(OR(RIGHT(AQ28,5)="COUNT",RIGHT(AQ28,2)="CT"))+128*(ISNUMBER(FIND("BULK",AQ28)))+256*(ISNUMBER(FIND("SIZE",AQ28)))+512*(LEFT(AQ28,3)="CAP")+1024*(ISNUMBER(FIND("ALLERG",AQ28)))+2048*(OR(ISNUMBER(FIND("REMARK",AQ28)),ISNUMBER(FIND("COMMENT",AQ28))))+4096*(OR(ISNUMBER(FIND("QTY",AQ28)),ISNUMBER(FIND("QUANTITY",AQ28))))+8192*(AND(OR(ISNUMBER(FIND("COMPLETE",AQ28)),ISNUMBER(FIND("PCT",AQ28)),ISNUMBER(FIND("PERCENT",AQ28))),NOT(ISNUMBER(FIND("ACTUAL",AQ28))),LEN(AQ28)&lt;=16))+32768*(OR(ISNUMBER(FIND("DESIC",AQ28)),ISNUMBER(FIND("DESSIC",AQ28)))))</f>
        <v/>
      </c>
      <c r="AR163">
        <f>IF(AR28="",0,2*(OR(ISNUMBER(FIND("WORKCENTER",AR28)),AND(LEFT(AR28,4)="LINE",NOT(ISNUMBER(FIND("STATUS",AR28))))))+4*(OR(ISNUMBER(FIND("WORKORDER",AR28)),AND(LEFT(AR28,2)="WO",OR(ISNUMBER(FIND("NUM",AR28)),RIGHT(AR28,2)="NO"))))+8*(LEFT(AR28,3)="SEQ")+16*(AND(LEFT(AR28,4)="ITEM",NOT(ISNUMBER(FIND("DESC",AR28)))))+32*(AND(ISNUMBER(FIND("DESC",AR28)),NOT(ISNUMBER(FIND("CAP",AR28)))))+64*(OR(RIGHT(AR28,5)="COUNT",RIGHT(AR28,2)="CT"))+128*(ISNUMBER(FIND("BULK",AR28)))+256*(ISNUMBER(FIND("SIZE",AR28)))+512*(LEFT(AR28,3)="CAP")+1024*(ISNUMBER(FIND("ALLERG",AR28)))+2048*(OR(ISNUMBER(FIND("REMARK",AR28)),ISNUMBER(FIND("COMMENT",AR28))))+4096*(OR(ISNUMBER(FIND("QTY",AR28)),ISNUMBER(FIND("QUANTITY",AR28))))+8192*(AND(OR(ISNUMBER(FIND("COMPLETE",AR28)),ISNUMBER(FIND("PCT",AR28)),ISNUMBER(FIND("PERCENT",AR28))),NOT(ISNUMBER(FIND("ACTUAL",AR28))),LEN(AR28)&lt;=16))+32768*(OR(ISNUMBER(FIND("DESIC",AR28)),ISNUMBER(FIND("DESSIC",AR28)))))</f>
        <v/>
      </c>
      <c r="AS163">
        <f>IF(AS28="",0,2*(OR(ISNUMBER(FIND("WORKCENTER",AS28)),AND(LEFT(AS28,4)="LINE",NOT(ISNUMBER(FIND("STATUS",AS28))))))+4*(OR(ISNUMBER(FIND("WORKORDER",AS28)),AND(LEFT(AS28,2)="WO",OR(ISNUMBER(FIND("NUM",AS28)),RIGHT(AS28,2)="NO"))))+8*(LEFT(AS28,3)="SEQ")+16*(AND(LEFT(AS28,4)="ITEM",NOT(ISNUMBER(FIND("DESC",AS28)))))+32*(AND(ISNUMBER(FIND("DESC",AS28)),NOT(ISNUMBER(FIND("CAP",AS28)))))+64*(OR(RIGHT(AS28,5)="COUNT",RIGHT(AS28,2)="CT"))+128*(ISNUMBER(FIND("BULK",AS28)))+256*(ISNUMBER(FIND("SIZE",AS28)))+512*(LEFT(AS28,3)="CAP")+1024*(ISNUMBER(FIND("ALLERG",AS28)))+2048*(OR(ISNUMBER(FIND("REMARK",AS28)),ISNUMBER(FIND("COMMENT",AS28))))+4096*(OR(ISNUMBER(FIND("QTY",AS28)),ISNUMBER(FIND("QUANTITY",AS28))))+8192*(AND(OR(ISNUMBER(FIND("COMPLETE",AS28)),ISNUMBER(FIND("PCT",AS28)),ISNUMBER(FIND("PERCENT",AS28))),NOT(ISNUMBER(FIND("ACTUAL",AS28))),LEN(AS28)&lt;=16))+32768*(OR(ISNUMBER(FIND("DESIC",AS28)),ISNUMBER(FIND("DESSIC",AS28)))))</f>
        <v/>
      </c>
      <c r="AT163">
        <f>IF(AT28="",0,2*(OR(ISNUMBER(FIND("WORKCENTER",AT28)),AND(LEFT(AT28,4)="LINE",NOT(ISNUMBER(FIND("STATUS",AT28))))))+4*(OR(ISNUMBER(FIND("WORKORDER",AT28)),AND(LEFT(AT28,2)="WO",OR(ISNUMBER(FIND("NUM",AT28)),RIGHT(AT28,2)="NO"))))+8*(LEFT(AT28,3)="SEQ")+16*(AND(LEFT(AT28,4)="ITEM",NOT(ISNUMBER(FIND("DESC",AT28)))))+32*(AND(ISNUMBER(FIND("DESC",AT28)),NOT(ISNUMBER(FIND("CAP",AT28)))))+64*(OR(RIGHT(AT28,5)="COUNT",RIGHT(AT28,2)="CT"))+128*(ISNUMBER(FIND("BULK",AT28)))+256*(ISNUMBER(FIND("SIZE",AT28)))+512*(LEFT(AT28,3)="CAP")+1024*(ISNUMBER(FIND("ALLERG",AT28)))+2048*(OR(ISNUMBER(FIND("REMARK",AT28)),ISNUMBER(FIND("COMMENT",AT28))))+4096*(OR(ISNUMBER(FIND("QTY",AT28)),ISNUMBER(FIND("QUANTITY",AT28))))+8192*(AND(OR(ISNUMBER(FIND("COMPLETE",AT28)),ISNUMBER(FIND("PCT",AT28)),ISNUMBER(FIND("PERCENT",AT28))),NOT(ISNUMBER(FIND("ACTUAL",AT28))),LEN(AT28)&lt;=16))+32768*(OR(ISNUMBER(FIND("DESIC",AT28)),ISNUMBER(FIND("DESSIC",AT28)))))</f>
        <v/>
      </c>
      <c r="AU163">
        <f>IF(AU28="",0,2*(OR(ISNUMBER(FIND("WORKCENTER",AU28)),AND(LEFT(AU28,4)="LINE",NOT(ISNUMBER(FIND("STATUS",AU28))))))+4*(OR(ISNUMBER(FIND("WORKORDER",AU28)),AND(LEFT(AU28,2)="WO",OR(ISNUMBER(FIND("NUM",AU28)),RIGHT(AU28,2)="NO"))))+8*(LEFT(AU28,3)="SEQ")+16*(AND(LEFT(AU28,4)="ITEM",NOT(ISNUMBER(FIND("DESC",AU28)))))+32*(AND(ISNUMBER(FIND("DESC",AU28)),NOT(ISNUMBER(FIND("CAP",AU28)))))+64*(OR(RIGHT(AU28,5)="COUNT",RIGHT(AU28,2)="CT"))+128*(ISNUMBER(FIND("BULK",AU28)))+256*(ISNUMBER(FIND("SIZE",AU28)))+512*(LEFT(AU28,3)="CAP")+1024*(ISNUMBER(FIND("ALLERG",AU28)))+2048*(OR(ISNUMBER(FIND("REMARK",AU28)),ISNUMBER(FIND("COMMENT",AU28))))+4096*(OR(ISNUMBER(FIND("QTY",AU28)),ISNUMBER(FIND("QUANTITY",AU28))))+8192*(AND(OR(ISNUMBER(FIND("COMPLETE",AU28)),ISNUMBER(FIND("PCT",AU28)),ISNUMBER(FIND("PERCENT",AU28))),NOT(ISNUMBER(FIND("ACTUAL",AU28))),LEN(AU28)&lt;=16))+32768*(OR(ISNUMBER(FIND("DESIC",AU28)),ISNUMBER(FIND("DESSIC",AU28)))))</f>
        <v/>
      </c>
      <c r="AV163">
        <f>IF(AV28="",0,2*(OR(ISNUMBER(FIND("WORKCENTER",AV28)),AND(LEFT(AV28,4)="LINE",NOT(ISNUMBER(FIND("STATUS",AV28))))))+4*(OR(ISNUMBER(FIND("WORKORDER",AV28)),AND(LEFT(AV28,2)="WO",OR(ISNUMBER(FIND("NUM",AV28)),RIGHT(AV28,2)="NO"))))+8*(LEFT(AV28,3)="SEQ")+16*(AND(LEFT(AV28,4)="ITEM",NOT(ISNUMBER(FIND("DESC",AV28)))))+32*(AND(ISNUMBER(FIND("DESC",AV28)),NOT(ISNUMBER(FIND("CAP",AV28)))))+64*(OR(RIGHT(AV28,5)="COUNT",RIGHT(AV28,2)="CT"))+128*(ISNUMBER(FIND("BULK",AV28)))+256*(ISNUMBER(FIND("SIZE",AV28)))+512*(LEFT(AV28,3)="CAP")+1024*(ISNUMBER(FIND("ALLERG",AV28)))+2048*(OR(ISNUMBER(FIND("REMARK",AV28)),ISNUMBER(FIND("COMMENT",AV28))))+4096*(OR(ISNUMBER(FIND("QTY",AV28)),ISNUMBER(FIND("QUANTITY",AV28))))+8192*(AND(OR(ISNUMBER(FIND("COMPLETE",AV28)),ISNUMBER(FIND("PCT",AV28)),ISNUMBER(FIND("PERCENT",AV28))),NOT(ISNUMBER(FIND("ACTUAL",AV28))),LEN(AV28)&lt;=16))+32768*(OR(ISNUMBER(FIND("DESIC",AV28)),ISNUMBER(FIND("DESSIC",AV28)))))</f>
        <v/>
      </c>
      <c r="AW163">
        <f>IF(AW28="",0,2*(OR(ISNUMBER(FIND("WORKCENTER",AW28)),AND(LEFT(AW28,4)="LINE",NOT(ISNUMBER(FIND("STATUS",AW28))))))+4*(OR(ISNUMBER(FIND("WORKORDER",AW28)),AND(LEFT(AW28,2)="WO",OR(ISNUMBER(FIND("NUM",AW28)),RIGHT(AW28,2)="NO"))))+8*(LEFT(AW28,3)="SEQ")+16*(AND(LEFT(AW28,4)="ITEM",NOT(ISNUMBER(FIND("DESC",AW28)))))+32*(AND(ISNUMBER(FIND("DESC",AW28)),NOT(ISNUMBER(FIND("CAP",AW28)))))+64*(OR(RIGHT(AW28,5)="COUNT",RIGHT(AW28,2)="CT"))+128*(ISNUMBER(FIND("BULK",AW28)))+256*(ISNUMBER(FIND("SIZE",AW28)))+512*(LEFT(AW28,3)="CAP")+1024*(ISNUMBER(FIND("ALLERG",AW28)))+2048*(OR(ISNUMBER(FIND("REMARK",AW28)),ISNUMBER(FIND("COMMENT",AW28))))+4096*(OR(ISNUMBER(FIND("QTY",AW28)),ISNUMBER(FIND("QUANTITY",AW28))))+8192*(AND(OR(ISNUMBER(FIND("COMPLETE",AW28)),ISNUMBER(FIND("PCT",AW28)),ISNUMBER(FIND("PERCENT",AW28))),NOT(ISNUMBER(FIND("ACTUAL",AW28))),LEN(AW28)&lt;=16))+32768*(OR(ISNUMBER(FIND("DESIC",AW28)),ISNUMBER(FIND("DESSIC",AW28)))))</f>
        <v/>
      </c>
      <c r="AX163">
        <f>IF(AX28="",0,2*(OR(ISNUMBER(FIND("WORKCENTER",AX28)),AND(LEFT(AX28,4)="LINE",NOT(ISNUMBER(FIND("STATUS",AX28))))))+4*(OR(ISNUMBER(FIND("WORKORDER",AX28)),AND(LEFT(AX28,2)="WO",OR(ISNUMBER(FIND("NUM",AX28)),RIGHT(AX28,2)="NO"))))+8*(LEFT(AX28,3)="SEQ")+16*(AND(LEFT(AX28,4)="ITEM",NOT(ISNUMBER(FIND("DESC",AX28)))))+32*(AND(ISNUMBER(FIND("DESC",AX28)),NOT(ISNUMBER(FIND("CAP",AX28)))))+64*(OR(RIGHT(AX28,5)="COUNT",RIGHT(AX28,2)="CT"))+128*(ISNUMBER(FIND("BULK",AX28)))+256*(ISNUMBER(FIND("SIZE",AX28)))+512*(LEFT(AX28,3)="CAP")+1024*(ISNUMBER(FIND("ALLERG",AX28)))+2048*(OR(ISNUMBER(FIND("REMARK",AX28)),ISNUMBER(FIND("COMMENT",AX28))))+4096*(OR(ISNUMBER(FIND("QTY",AX28)),ISNUMBER(FIND("QUANTITY",AX28))))+8192*(AND(OR(ISNUMBER(FIND("COMPLETE",AX28)),ISNUMBER(FIND("PCT",AX28)),ISNUMBER(FIND("PERCENT",AX28))),NOT(ISNUMBER(FIND("ACTUAL",AX28))),LEN(AX28)&lt;=16))+32768*(OR(ISNUMBER(FIND("DESIC",AX28)),ISNUMBER(FIND("DESSIC",AX28)))))</f>
        <v/>
      </c>
      <c r="AY163">
        <f>IF(AY28="",0,2*(OR(ISNUMBER(FIND("WORKCENTER",AY28)),AND(LEFT(AY28,4)="LINE",NOT(ISNUMBER(FIND("STATUS",AY28))))))+4*(OR(ISNUMBER(FIND("WORKORDER",AY28)),AND(LEFT(AY28,2)="WO",OR(ISNUMBER(FIND("NUM",AY28)),RIGHT(AY28,2)="NO"))))+8*(LEFT(AY28,3)="SEQ")+16*(AND(LEFT(AY28,4)="ITEM",NOT(ISNUMBER(FIND("DESC",AY28)))))+32*(AND(ISNUMBER(FIND("DESC",AY28)),NOT(ISNUMBER(FIND("CAP",AY28)))))+64*(OR(RIGHT(AY28,5)="COUNT",RIGHT(AY28,2)="CT"))+128*(ISNUMBER(FIND("BULK",AY28)))+256*(ISNUMBER(FIND("SIZE",AY28)))+512*(LEFT(AY28,3)="CAP")+1024*(ISNUMBER(FIND("ALLERG",AY28)))+2048*(OR(ISNUMBER(FIND("REMARK",AY28)),ISNUMBER(FIND("COMMENT",AY28))))+4096*(OR(ISNUMBER(FIND("QTY",AY28)),ISNUMBER(FIND("QUANTITY",AY28))))+8192*(AND(OR(ISNUMBER(FIND("COMPLETE",AY28)),ISNUMBER(FIND("PCT",AY28)),ISNUMBER(FIND("PERCENT",AY28))),NOT(ISNUMBER(FIND("ACTUAL",AY28))),LEN(AY28)&lt;=16))+32768*(OR(ISNUMBER(FIND("DESIC",AY28)),ISNUMBER(FIND("DESSIC",AY28)))))</f>
        <v/>
      </c>
      <c r="AZ163">
        <f>IF(AZ28="",0,2*(OR(ISNUMBER(FIND("WORKCENTER",AZ28)),AND(LEFT(AZ28,4)="LINE",NOT(ISNUMBER(FIND("STATUS",AZ28))))))+4*(OR(ISNUMBER(FIND("WORKORDER",AZ28)),AND(LEFT(AZ28,2)="WO",OR(ISNUMBER(FIND("NUM",AZ28)),RIGHT(AZ28,2)="NO"))))+8*(LEFT(AZ28,3)="SEQ")+16*(AND(LEFT(AZ28,4)="ITEM",NOT(ISNUMBER(FIND("DESC",AZ28)))))+32*(AND(ISNUMBER(FIND("DESC",AZ28)),NOT(ISNUMBER(FIND("CAP",AZ28)))))+64*(OR(RIGHT(AZ28,5)="COUNT",RIGHT(AZ28,2)="CT"))+128*(ISNUMBER(FIND("BULK",AZ28)))+256*(ISNUMBER(FIND("SIZE",AZ28)))+512*(LEFT(AZ28,3)="CAP")+1024*(ISNUMBER(FIND("ALLERG",AZ28)))+2048*(OR(ISNUMBER(FIND("REMARK",AZ28)),ISNUMBER(FIND("COMMENT",AZ28))))+4096*(OR(ISNUMBER(FIND("QTY",AZ28)),ISNUMBER(FIND("QUANTITY",AZ28))))+8192*(AND(OR(ISNUMBER(FIND("COMPLETE",AZ28)),ISNUMBER(FIND("PCT",AZ28)),ISNUMBER(FIND("PERCENT",AZ28))),NOT(ISNUMBER(FIND("ACTUAL",AZ28))),LEN(AZ28)&lt;=16))+32768*(OR(ISNUMBER(FIND("DESIC",AZ28)),ISNUMBER(FIND("DESSIC",AZ28)))))</f>
        <v/>
      </c>
      <c r="BA163">
        <f>IF(BA28="",0,2*(OR(ISNUMBER(FIND("WORKCENTER",BA28)),AND(LEFT(BA28,4)="LINE",NOT(ISNUMBER(FIND("STATUS",BA28))))))+4*(OR(ISNUMBER(FIND("WORKORDER",BA28)),AND(LEFT(BA28,2)="WO",OR(ISNUMBER(FIND("NUM",BA28)),RIGHT(BA28,2)="NO"))))+8*(LEFT(BA28,3)="SEQ")+16*(AND(LEFT(BA28,4)="ITEM",NOT(ISNUMBER(FIND("DESC",BA28)))))+32*(AND(ISNUMBER(FIND("DESC",BA28)),NOT(ISNUMBER(FIND("CAP",BA28)))))+64*(OR(RIGHT(BA28,5)="COUNT",RIGHT(BA28,2)="CT"))+128*(ISNUMBER(FIND("BULK",BA28)))+256*(ISNUMBER(FIND("SIZE",BA28)))+512*(LEFT(BA28,3)="CAP")+1024*(ISNUMBER(FIND("ALLERG",BA28)))+2048*(OR(ISNUMBER(FIND("REMARK",BA28)),ISNUMBER(FIND("COMMENT",BA28))))+4096*(OR(ISNUMBER(FIND("QTY",BA28)),ISNUMBER(FIND("QUANTITY",BA28))))+8192*(AND(OR(ISNUMBER(FIND("COMPLETE",BA28)),ISNUMBER(FIND("PCT",BA28)),ISNUMBER(FIND("PERCENT",BA28))),NOT(ISNUMBER(FIND("ACTUAL",BA28))),LEN(BA28)&lt;=16))+32768*(OR(ISNUMBER(FIND("DESIC",BA28)),ISNUMBER(FIND("DESSIC",BA28)))))</f>
        <v/>
      </c>
      <c r="BB163">
        <f>IF(BB28="",0,2*(OR(ISNUMBER(FIND("WORKCENTER",BB28)),AND(LEFT(BB28,4)="LINE",NOT(ISNUMBER(FIND("STATUS",BB28))))))+4*(OR(ISNUMBER(FIND("WORKORDER",BB28)),AND(LEFT(BB28,2)="WO",OR(ISNUMBER(FIND("NUM",BB28)),RIGHT(BB28,2)="NO"))))+8*(LEFT(BB28,3)="SEQ")+16*(AND(LEFT(BB28,4)="ITEM",NOT(ISNUMBER(FIND("DESC",BB28)))))+32*(AND(ISNUMBER(FIND("DESC",BB28)),NOT(ISNUMBER(FIND("CAP",BB28)))))+64*(OR(RIGHT(BB28,5)="COUNT",RIGHT(BB28,2)="CT"))+128*(ISNUMBER(FIND("BULK",BB28)))+256*(ISNUMBER(FIND("SIZE",BB28)))+512*(LEFT(BB28,3)="CAP")+1024*(ISNUMBER(FIND("ALLERG",BB28)))+2048*(OR(ISNUMBER(FIND("REMARK",BB28)),ISNUMBER(FIND("COMMENT",BB28))))+4096*(OR(ISNUMBER(FIND("QTY",BB28)),ISNUMBER(FIND("QUANTITY",BB28))))+8192*(AND(OR(ISNUMBER(FIND("COMPLETE",BB28)),ISNUMBER(FIND("PCT",BB28)),ISNUMBER(FIND("PERCENT",BB28))),NOT(ISNUMBER(FIND("ACTUAL",BB28))),LEN(BB28)&lt;=16))+32768*(OR(ISNUMBER(FIND("DESIC",BB28)),ISNUMBER(FIND("DESSIC",BB28)))))</f>
        <v/>
      </c>
      <c r="BC163">
        <f>IF(BC28="",0,2*(OR(ISNUMBER(FIND("WORKCENTER",BC28)),AND(LEFT(BC28,4)="LINE",NOT(ISNUMBER(FIND("STATUS",BC28))))))+4*(OR(ISNUMBER(FIND("WORKORDER",BC28)),AND(LEFT(BC28,2)="WO",OR(ISNUMBER(FIND("NUM",BC28)),RIGHT(BC28,2)="NO"))))+8*(LEFT(BC28,3)="SEQ")+16*(AND(LEFT(BC28,4)="ITEM",NOT(ISNUMBER(FIND("DESC",BC28)))))+32*(AND(ISNUMBER(FIND("DESC",BC28)),NOT(ISNUMBER(FIND("CAP",BC28)))))+64*(OR(RIGHT(BC28,5)="COUNT",RIGHT(BC28,2)="CT"))+128*(ISNUMBER(FIND("BULK",BC28)))+256*(ISNUMBER(FIND("SIZE",BC28)))+512*(LEFT(BC28,3)="CAP")+1024*(ISNUMBER(FIND("ALLERG",BC28)))+2048*(OR(ISNUMBER(FIND("REMARK",BC28)),ISNUMBER(FIND("COMMENT",BC28))))+4096*(OR(ISNUMBER(FIND("QTY",BC28)),ISNUMBER(FIND("QUANTITY",BC28))))+8192*(AND(OR(ISNUMBER(FIND("COMPLETE",BC28)),ISNUMBER(FIND("PCT",BC28)),ISNUMBER(FIND("PERCENT",BC28))),NOT(ISNUMBER(FIND("ACTUAL",BC28))),LEN(BC28)&lt;=16))+32768*(OR(ISNUMBER(FIND("DESIC",BC28)),ISNUMBER(FIND("DESSIC",BC28)))))</f>
        <v/>
      </c>
      <c r="BD163">
        <f>IF(BD28="",0,2*(OR(ISNUMBER(FIND("WORKCENTER",BD28)),AND(LEFT(BD28,4)="LINE",NOT(ISNUMBER(FIND("STATUS",BD28))))))+4*(OR(ISNUMBER(FIND("WORKORDER",BD28)),AND(LEFT(BD28,2)="WO",OR(ISNUMBER(FIND("NUM",BD28)),RIGHT(BD28,2)="NO"))))+8*(LEFT(BD28,3)="SEQ")+16*(AND(LEFT(BD28,4)="ITEM",NOT(ISNUMBER(FIND("DESC",BD28)))))+32*(AND(ISNUMBER(FIND("DESC",BD28)),NOT(ISNUMBER(FIND("CAP",BD28)))))+64*(OR(RIGHT(BD28,5)="COUNT",RIGHT(BD28,2)="CT"))+128*(ISNUMBER(FIND("BULK",BD28)))+256*(ISNUMBER(FIND("SIZE",BD28)))+512*(LEFT(BD28,3)="CAP")+1024*(ISNUMBER(FIND("ALLERG",BD28)))+2048*(OR(ISNUMBER(FIND("REMARK",BD28)),ISNUMBER(FIND("COMMENT",BD28))))+4096*(OR(ISNUMBER(FIND("QTY",BD28)),ISNUMBER(FIND("QUANTITY",BD28))))+8192*(AND(OR(ISNUMBER(FIND("COMPLETE",BD28)),ISNUMBER(FIND("PCT",BD28)),ISNUMBER(FIND("PERCENT",BD28))),NOT(ISNUMBER(FIND("ACTUAL",BD28))),LEN(BD28)&lt;=16))+32768*(OR(ISNUMBER(FIND("DESIC",BD28)),ISNUMBER(FIND("DESSIC",BD28)))))</f>
        <v/>
      </c>
      <c r="BE163">
        <f>IF(BE28="",0,2*(OR(ISNUMBER(FIND("WORKCENTER",BE28)),AND(LEFT(BE28,4)="LINE",NOT(ISNUMBER(FIND("STATUS",BE28))))))+4*(OR(ISNUMBER(FIND("WORKORDER",BE28)),AND(LEFT(BE28,2)="WO",OR(ISNUMBER(FIND("NUM",BE28)),RIGHT(BE28,2)="NO"))))+8*(LEFT(BE28,3)="SEQ")+16*(AND(LEFT(BE28,4)="ITEM",NOT(ISNUMBER(FIND("DESC",BE28)))))+32*(AND(ISNUMBER(FIND("DESC",BE28)),NOT(ISNUMBER(FIND("CAP",BE28)))))+64*(OR(RIGHT(BE28,5)="COUNT",RIGHT(BE28,2)="CT"))+128*(ISNUMBER(FIND("BULK",BE28)))+256*(ISNUMBER(FIND("SIZE",BE28)))+512*(LEFT(BE28,3)="CAP")+1024*(ISNUMBER(FIND("ALLERG",BE28)))+2048*(OR(ISNUMBER(FIND("REMARK",BE28)),ISNUMBER(FIND("COMMENT",BE28))))+4096*(OR(ISNUMBER(FIND("QTY",BE28)),ISNUMBER(FIND("QUANTITY",BE28))))+8192*(AND(OR(ISNUMBER(FIND("COMPLETE",BE28)),ISNUMBER(FIND("PCT",BE28)),ISNUMBER(FIND("PERCENT",BE28))),NOT(ISNUMBER(FIND("ACTUAL",BE28))),LEN(BE28)&lt;=16))+32768*(OR(ISNUMBER(FIND("DESIC",BE28)),ISNUMBER(FIND("DESSIC",BE28)))))</f>
        <v/>
      </c>
      <c r="BF163">
        <f>IF(BF28="",0,2*(OR(ISNUMBER(FIND("WORKCENTER",BF28)),AND(LEFT(BF28,4)="LINE",NOT(ISNUMBER(FIND("STATUS",BF28))))))+4*(OR(ISNUMBER(FIND("WORKORDER",BF28)),AND(LEFT(BF28,2)="WO",OR(ISNUMBER(FIND("NUM",BF28)),RIGHT(BF28,2)="NO"))))+8*(LEFT(BF28,3)="SEQ")+16*(AND(LEFT(BF28,4)="ITEM",NOT(ISNUMBER(FIND("DESC",BF28)))))+32*(AND(ISNUMBER(FIND("DESC",BF28)),NOT(ISNUMBER(FIND("CAP",BF28)))))+64*(OR(RIGHT(BF28,5)="COUNT",RIGHT(BF28,2)="CT"))+128*(ISNUMBER(FIND("BULK",BF28)))+256*(ISNUMBER(FIND("SIZE",BF28)))+512*(LEFT(BF28,3)="CAP")+1024*(ISNUMBER(FIND("ALLERG",BF28)))+2048*(OR(ISNUMBER(FIND("REMARK",BF28)),ISNUMBER(FIND("COMMENT",BF28))))+4096*(OR(ISNUMBER(FIND("QTY",BF28)),ISNUMBER(FIND("QUANTITY",BF28))))+8192*(AND(OR(ISNUMBER(FIND("COMPLETE",BF28)),ISNUMBER(FIND("PCT",BF28)),ISNUMBER(FIND("PERCENT",BF28))),NOT(ISNUMBER(FIND("ACTUAL",BF28))),LEN(BF28)&lt;=16))+32768*(OR(ISNUMBER(FIND("DESIC",BF28)),ISNUMBER(FIND("DESSIC",BF28)))))</f>
        <v/>
      </c>
      <c r="BG163">
        <f>IF(BG28="",0,2*(OR(ISNUMBER(FIND("WORKCENTER",BG28)),AND(LEFT(BG28,4)="LINE",NOT(ISNUMBER(FIND("STATUS",BG28))))))+4*(OR(ISNUMBER(FIND("WORKORDER",BG28)),AND(LEFT(BG28,2)="WO",OR(ISNUMBER(FIND("NUM",BG28)),RIGHT(BG28,2)="NO"))))+8*(LEFT(BG28,3)="SEQ")+16*(AND(LEFT(BG28,4)="ITEM",NOT(ISNUMBER(FIND("DESC",BG28)))))+32*(AND(ISNUMBER(FIND("DESC",BG28)),NOT(ISNUMBER(FIND("CAP",BG28)))))+64*(OR(RIGHT(BG28,5)="COUNT",RIGHT(BG28,2)="CT"))+128*(ISNUMBER(FIND("BULK",BG28)))+256*(ISNUMBER(FIND("SIZE",BG28)))+512*(LEFT(BG28,3)="CAP")+1024*(ISNUMBER(FIND("ALLERG",BG28)))+2048*(OR(ISNUMBER(FIND("REMARK",BG28)),ISNUMBER(FIND("COMMENT",BG28))))+4096*(OR(ISNUMBER(FIND("QTY",BG28)),ISNUMBER(FIND("QUANTITY",BG28))))+8192*(AND(OR(ISNUMBER(FIND("COMPLETE",BG28)),ISNUMBER(FIND("PCT",BG28)),ISNUMBER(FIND("PERCENT",BG28))),NOT(ISNUMBER(FIND("ACTUAL",BG28))),LEN(BG28)&lt;=16))+32768*(OR(ISNUMBER(FIND("DESIC",BG28)),ISNUMBER(FIND("DESSIC",BG28)))))</f>
        <v/>
      </c>
      <c r="BH163">
        <f>IF(BH28="",0,2*(OR(ISNUMBER(FIND("WORKCENTER",BH28)),AND(LEFT(BH28,4)="LINE",NOT(ISNUMBER(FIND("STATUS",BH28))))))+4*(OR(ISNUMBER(FIND("WORKORDER",BH28)),AND(LEFT(BH28,2)="WO",OR(ISNUMBER(FIND("NUM",BH28)),RIGHT(BH28,2)="NO"))))+8*(LEFT(BH28,3)="SEQ")+16*(AND(LEFT(BH28,4)="ITEM",NOT(ISNUMBER(FIND("DESC",BH28)))))+32*(AND(ISNUMBER(FIND("DESC",BH28)),NOT(ISNUMBER(FIND("CAP",BH28)))))+64*(OR(RIGHT(BH28,5)="COUNT",RIGHT(BH28,2)="CT"))+128*(ISNUMBER(FIND("BULK",BH28)))+256*(ISNUMBER(FIND("SIZE",BH28)))+512*(LEFT(BH28,3)="CAP")+1024*(ISNUMBER(FIND("ALLERG",BH28)))+2048*(OR(ISNUMBER(FIND("REMARK",BH28)),ISNUMBER(FIND("COMMENT",BH28))))+4096*(OR(ISNUMBER(FIND("QTY",BH28)),ISNUMBER(FIND("QUANTITY",BH28))))+8192*(AND(OR(ISNUMBER(FIND("COMPLETE",BH28)),ISNUMBER(FIND("PCT",BH28)),ISNUMBER(FIND("PERCENT",BH28))),NOT(ISNUMBER(FIND("ACTUAL",BH28))),LEN(BH28)&lt;=16))+32768*(OR(ISNUMBER(FIND("DESIC",BH28)),ISNUMBER(FIND("DESSIC",BH28)))))</f>
        <v/>
      </c>
      <c r="BI163">
        <f>IF(BI28="",0,2*(OR(ISNUMBER(FIND("WORKCENTER",BI28)),AND(LEFT(BI28,4)="LINE",NOT(ISNUMBER(FIND("STATUS",BI28))))))+4*(OR(ISNUMBER(FIND("WORKORDER",BI28)),AND(LEFT(BI28,2)="WO",OR(ISNUMBER(FIND("NUM",BI28)),RIGHT(BI28,2)="NO"))))+8*(LEFT(BI28,3)="SEQ")+16*(AND(LEFT(BI28,4)="ITEM",NOT(ISNUMBER(FIND("DESC",BI28)))))+32*(AND(ISNUMBER(FIND("DESC",BI28)),NOT(ISNUMBER(FIND("CAP",BI28)))))+64*(OR(RIGHT(BI28,5)="COUNT",RIGHT(BI28,2)="CT"))+128*(ISNUMBER(FIND("BULK",BI28)))+256*(ISNUMBER(FIND("SIZE",BI28)))+512*(LEFT(BI28,3)="CAP")+1024*(ISNUMBER(FIND("ALLERG",BI28)))+2048*(OR(ISNUMBER(FIND("REMARK",BI28)),ISNUMBER(FIND("COMMENT",BI28))))+4096*(OR(ISNUMBER(FIND("QTY",BI28)),ISNUMBER(FIND("QUANTITY",BI28))))+8192*(AND(OR(ISNUMBER(FIND("COMPLETE",BI28)),ISNUMBER(FIND("PCT",BI28)),ISNUMBER(FIND("PERCENT",BI28))),NOT(ISNUMBER(FIND("ACTUAL",BI28))),LEN(BI28)&lt;=16))+32768*(OR(ISNUMBER(FIND("DESIC",BI28)),ISNUMBER(FIND("DESSIC",BI28)))))</f>
        <v/>
      </c>
      <c r="BJ163">
        <f>IF(BJ28="",0,2*(OR(ISNUMBER(FIND("WORKCENTER",BJ28)),AND(LEFT(BJ28,4)="LINE",NOT(ISNUMBER(FIND("STATUS",BJ28))))))+4*(OR(ISNUMBER(FIND("WORKORDER",BJ28)),AND(LEFT(BJ28,2)="WO",OR(ISNUMBER(FIND("NUM",BJ28)),RIGHT(BJ28,2)="NO"))))+8*(LEFT(BJ28,3)="SEQ")+16*(AND(LEFT(BJ28,4)="ITEM",NOT(ISNUMBER(FIND("DESC",BJ28)))))+32*(AND(ISNUMBER(FIND("DESC",BJ28)),NOT(ISNUMBER(FIND("CAP",BJ28)))))+64*(OR(RIGHT(BJ28,5)="COUNT",RIGHT(BJ28,2)="CT"))+128*(ISNUMBER(FIND("BULK",BJ28)))+256*(ISNUMBER(FIND("SIZE",BJ28)))+512*(LEFT(BJ28,3)="CAP")+1024*(ISNUMBER(FIND("ALLERG",BJ28)))+2048*(OR(ISNUMBER(FIND("REMARK",BJ28)),ISNUMBER(FIND("COMMENT",BJ28))))+4096*(OR(ISNUMBER(FIND("QTY",BJ28)),ISNUMBER(FIND("QUANTITY",BJ28))))+8192*(AND(OR(ISNUMBER(FIND("COMPLETE",BJ28)),ISNUMBER(FIND("PCT",BJ28)),ISNUMBER(FIND("PERCENT",BJ28))),NOT(ISNUMBER(FIND("ACTUAL",BJ28))),LEN(BJ28)&lt;=16))+32768*(OR(ISNUMBER(FIND("DESIC",BJ28)),ISNUMBER(FIND("DESSIC",BJ28)))))</f>
        <v/>
      </c>
      <c r="BK163">
        <f>IF(BK28="",0,2*(OR(ISNUMBER(FIND("WORKCENTER",BK28)),AND(LEFT(BK28,4)="LINE",NOT(ISNUMBER(FIND("STATUS",BK28))))))+4*(OR(ISNUMBER(FIND("WORKORDER",BK28)),AND(LEFT(BK28,2)="WO",OR(ISNUMBER(FIND("NUM",BK28)),RIGHT(BK28,2)="NO"))))+8*(LEFT(BK28,3)="SEQ")+16*(AND(LEFT(BK28,4)="ITEM",NOT(ISNUMBER(FIND("DESC",BK28)))))+32*(AND(ISNUMBER(FIND("DESC",BK28)),NOT(ISNUMBER(FIND("CAP",BK28)))))+64*(OR(RIGHT(BK28,5)="COUNT",RIGHT(BK28,2)="CT"))+128*(ISNUMBER(FIND("BULK",BK28)))+256*(ISNUMBER(FIND("SIZE",BK28)))+512*(LEFT(BK28,3)="CAP")+1024*(ISNUMBER(FIND("ALLERG",BK28)))+2048*(OR(ISNUMBER(FIND("REMARK",BK28)),ISNUMBER(FIND("COMMENT",BK28))))+4096*(OR(ISNUMBER(FIND("QTY",BK28)),ISNUMBER(FIND("QUANTITY",BK28))))+8192*(AND(OR(ISNUMBER(FIND("COMPLETE",BK28)),ISNUMBER(FIND("PCT",BK28)),ISNUMBER(FIND("PERCENT",BK28))),NOT(ISNUMBER(FIND("ACTUAL",BK28))),LEN(BK28)&lt;=16))+32768*(OR(ISNUMBER(FIND("DESIC",BK28)),ISNUMBER(FIND("DESSIC",BK28)))))</f>
        <v/>
      </c>
      <c r="BL163">
        <f>IF(BL28="",0,2*(OR(ISNUMBER(FIND("WORKCENTER",BL28)),AND(LEFT(BL28,4)="LINE",NOT(ISNUMBER(FIND("STATUS",BL28))))))+4*(OR(ISNUMBER(FIND("WORKORDER",BL28)),AND(LEFT(BL28,2)="WO",OR(ISNUMBER(FIND("NUM",BL28)),RIGHT(BL28,2)="NO"))))+8*(LEFT(BL28,3)="SEQ")+16*(AND(LEFT(BL28,4)="ITEM",NOT(ISNUMBER(FIND("DESC",BL28)))))+32*(AND(ISNUMBER(FIND("DESC",BL28)),NOT(ISNUMBER(FIND("CAP",BL28)))))+64*(OR(RIGHT(BL28,5)="COUNT",RIGHT(BL28,2)="CT"))+128*(ISNUMBER(FIND("BULK",BL28)))+256*(ISNUMBER(FIND("SIZE",BL28)))+512*(LEFT(BL28,3)="CAP")+1024*(ISNUMBER(FIND("ALLERG",BL28)))+2048*(OR(ISNUMBER(FIND("REMARK",BL28)),ISNUMBER(FIND("COMMENT",BL28))))+4096*(OR(ISNUMBER(FIND("QTY",BL28)),ISNUMBER(FIND("QUANTITY",BL28))))+8192*(AND(OR(ISNUMBER(FIND("COMPLETE",BL28)),ISNUMBER(FIND("PCT",BL28)),ISNUMBER(FIND("PERCENT",BL28))),NOT(ISNUMBER(FIND("ACTUAL",BL28))),LEN(BL28)&lt;=16))+32768*(OR(ISNUMBER(FIND("DESIC",BL28)),ISNUMBER(FIND("DESSIC",BL28)))))</f>
        <v/>
      </c>
      <c r="BM163">
        <f>IF(BM28="",0,2*(OR(ISNUMBER(FIND("WORKCENTER",BM28)),AND(LEFT(BM28,4)="LINE",NOT(ISNUMBER(FIND("STATUS",BM28))))))+4*(OR(ISNUMBER(FIND("WORKORDER",BM28)),AND(LEFT(BM28,2)="WO",OR(ISNUMBER(FIND("NUM",BM28)),RIGHT(BM28,2)="NO"))))+8*(LEFT(BM28,3)="SEQ")+16*(AND(LEFT(BM28,4)="ITEM",NOT(ISNUMBER(FIND("DESC",BM28)))))+32*(AND(ISNUMBER(FIND("DESC",BM28)),NOT(ISNUMBER(FIND("CAP",BM28)))))+64*(OR(RIGHT(BM28,5)="COUNT",RIGHT(BM28,2)="CT"))+128*(ISNUMBER(FIND("BULK",BM28)))+256*(ISNUMBER(FIND("SIZE",BM28)))+512*(LEFT(BM28,3)="CAP")+1024*(ISNUMBER(FIND("ALLERG",BM28)))+2048*(OR(ISNUMBER(FIND("REMARK",BM28)),ISNUMBER(FIND("COMMENT",BM28))))+4096*(OR(ISNUMBER(FIND("QTY",BM28)),ISNUMBER(FIND("QUANTITY",BM28))))+8192*(AND(OR(ISNUMBER(FIND("COMPLETE",BM28)),ISNUMBER(FIND("PCT",BM28)),ISNUMBER(FIND("PERCENT",BM28))),NOT(ISNUMBER(FIND("ACTUAL",BM28))),LEN(BM28)&lt;=16))+32768*(OR(ISNUMBER(FIND("DESIC",BM28)),ISNUMBER(FIND("DESSIC",BM28)))))</f>
        <v/>
      </c>
      <c r="BN163">
        <f>IF(BN28="",0,2*(OR(ISNUMBER(FIND("WORKCENTER",BN28)),AND(LEFT(BN28,4)="LINE",NOT(ISNUMBER(FIND("STATUS",BN28))))))+4*(OR(ISNUMBER(FIND("WORKORDER",BN28)),AND(LEFT(BN28,2)="WO",OR(ISNUMBER(FIND("NUM",BN28)),RIGHT(BN28,2)="NO"))))+8*(LEFT(BN28,3)="SEQ")+16*(AND(LEFT(BN28,4)="ITEM",NOT(ISNUMBER(FIND("DESC",BN28)))))+32*(AND(ISNUMBER(FIND("DESC",BN28)),NOT(ISNUMBER(FIND("CAP",BN28)))))+64*(OR(RIGHT(BN28,5)="COUNT",RIGHT(BN28,2)="CT"))+128*(ISNUMBER(FIND("BULK",BN28)))+256*(ISNUMBER(FIND("SIZE",BN28)))+512*(LEFT(BN28,3)="CAP")+1024*(ISNUMBER(FIND("ALLERG",BN28)))+2048*(OR(ISNUMBER(FIND("REMARK",BN28)),ISNUMBER(FIND("COMMENT",BN28))))+4096*(OR(ISNUMBER(FIND("QTY",BN28)),ISNUMBER(FIND("QUANTITY",BN28))))+8192*(AND(OR(ISNUMBER(FIND("COMPLETE",BN28)),ISNUMBER(FIND("PCT",BN28)),ISNUMBER(FIND("PERCENT",BN28))),NOT(ISNUMBER(FIND("ACTUAL",BN28))),LEN(BN28)&lt;=16))+32768*(OR(ISNUMBER(FIND("DESIC",BN28)),ISNUMBER(FIND("DESSIC",BN28)))))</f>
        <v/>
      </c>
      <c r="BO163">
        <f>IF(BO28="",0,2*(OR(ISNUMBER(FIND("WORKCENTER",BO28)),AND(LEFT(BO28,4)="LINE",NOT(ISNUMBER(FIND("STATUS",BO28))))))+4*(OR(ISNUMBER(FIND("WORKORDER",BO28)),AND(LEFT(BO28,2)="WO",OR(ISNUMBER(FIND("NUM",BO28)),RIGHT(BO28,2)="NO"))))+8*(LEFT(BO28,3)="SEQ")+16*(AND(LEFT(BO28,4)="ITEM",NOT(ISNUMBER(FIND("DESC",BO28)))))+32*(AND(ISNUMBER(FIND("DESC",BO28)),NOT(ISNUMBER(FIND("CAP",BO28)))))+64*(OR(RIGHT(BO28,5)="COUNT",RIGHT(BO28,2)="CT"))+128*(ISNUMBER(FIND("BULK",BO28)))+256*(ISNUMBER(FIND("SIZE",BO28)))+512*(LEFT(BO28,3)="CAP")+1024*(ISNUMBER(FIND("ALLERG",BO28)))+2048*(OR(ISNUMBER(FIND("REMARK",BO28)),ISNUMBER(FIND("COMMENT",BO28))))+4096*(OR(ISNUMBER(FIND("QTY",BO28)),ISNUMBER(FIND("QUANTITY",BO28))))+8192*(AND(OR(ISNUMBER(FIND("COMPLETE",BO28)),ISNUMBER(FIND("PCT",BO28)),ISNUMBER(FIND("PERCENT",BO28))),NOT(ISNUMBER(FIND("ACTUAL",BO28))),LEN(BO28)&lt;=16))+32768*(OR(ISNUMBER(FIND("DESIC",BO28)),ISNUMBER(FIND("DESSIC",BO28)))))</f>
        <v/>
      </c>
      <c r="BP163">
        <f>IF(BP28="",0,2*(OR(ISNUMBER(FIND("WORKCENTER",BP28)),AND(LEFT(BP28,4)="LINE",NOT(ISNUMBER(FIND("STATUS",BP28))))))+4*(OR(ISNUMBER(FIND("WORKORDER",BP28)),AND(LEFT(BP28,2)="WO",OR(ISNUMBER(FIND("NUM",BP28)),RIGHT(BP28,2)="NO"))))+8*(LEFT(BP28,3)="SEQ")+16*(AND(LEFT(BP28,4)="ITEM",NOT(ISNUMBER(FIND("DESC",BP28)))))+32*(AND(ISNUMBER(FIND("DESC",BP28)),NOT(ISNUMBER(FIND("CAP",BP28)))))+64*(OR(RIGHT(BP28,5)="COUNT",RIGHT(BP28,2)="CT"))+128*(ISNUMBER(FIND("BULK",BP28)))+256*(ISNUMBER(FIND("SIZE",BP28)))+512*(LEFT(BP28,3)="CAP")+1024*(ISNUMBER(FIND("ALLERG",BP28)))+2048*(OR(ISNUMBER(FIND("REMARK",BP28)),ISNUMBER(FIND("COMMENT",BP28))))+4096*(OR(ISNUMBER(FIND("QTY",BP28)),ISNUMBER(FIND("QUANTITY",BP28))))+8192*(AND(OR(ISNUMBER(FIND("COMPLETE",BP28)),ISNUMBER(FIND("PCT",BP28)),ISNUMBER(FIND("PERCENT",BP28))),NOT(ISNUMBER(FIND("ACTUAL",BP28))),LEN(BP28)&lt;=16))+32768*(OR(ISNUMBER(FIND("DESIC",BP28)),ISNUMBER(FIND("DESSIC",BP28)))))</f>
        <v/>
      </c>
      <c r="BQ163">
        <f>IF(BQ28="",0,2*(OR(ISNUMBER(FIND("WORKCENTER",BQ28)),AND(LEFT(BQ28,4)="LINE",NOT(ISNUMBER(FIND("STATUS",BQ28))))))+4*(OR(ISNUMBER(FIND("WORKORDER",BQ28)),AND(LEFT(BQ28,2)="WO",OR(ISNUMBER(FIND("NUM",BQ28)),RIGHT(BQ28,2)="NO"))))+8*(LEFT(BQ28,3)="SEQ")+16*(AND(LEFT(BQ28,4)="ITEM",NOT(ISNUMBER(FIND("DESC",BQ28)))))+32*(AND(ISNUMBER(FIND("DESC",BQ28)),NOT(ISNUMBER(FIND("CAP",BQ28)))))+64*(OR(RIGHT(BQ28,5)="COUNT",RIGHT(BQ28,2)="CT"))+128*(ISNUMBER(FIND("BULK",BQ28)))+256*(ISNUMBER(FIND("SIZE",BQ28)))+512*(LEFT(BQ28,3)="CAP")+1024*(ISNUMBER(FIND("ALLERG",BQ28)))+2048*(OR(ISNUMBER(FIND("REMARK",BQ28)),ISNUMBER(FIND("COMMENT",BQ28))))+4096*(OR(ISNUMBER(FIND("QTY",BQ28)),ISNUMBER(FIND("QUANTITY",BQ28))))+8192*(AND(OR(ISNUMBER(FIND("COMPLETE",BQ28)),ISNUMBER(FIND("PCT",BQ28)),ISNUMBER(FIND("PERCENT",BQ28))),NOT(ISNUMBER(FIND("ACTUAL",BQ28))),LEN(BQ28)&lt;=16))+32768*(OR(ISNUMBER(FIND("DESIC",BQ28)),ISNUMBER(FIND("DESSIC",BQ28)))))</f>
        <v/>
      </c>
      <c r="BR163">
        <f>IF(BR28="",0,2*(OR(ISNUMBER(FIND("WORKCENTER",BR28)),AND(LEFT(BR28,4)="LINE",NOT(ISNUMBER(FIND("STATUS",BR28))))))+4*(OR(ISNUMBER(FIND("WORKORDER",BR28)),AND(LEFT(BR28,2)="WO",OR(ISNUMBER(FIND("NUM",BR28)),RIGHT(BR28,2)="NO"))))+8*(LEFT(BR28,3)="SEQ")+16*(AND(LEFT(BR28,4)="ITEM",NOT(ISNUMBER(FIND("DESC",BR28)))))+32*(AND(ISNUMBER(FIND("DESC",BR28)),NOT(ISNUMBER(FIND("CAP",BR28)))))+64*(OR(RIGHT(BR28,5)="COUNT",RIGHT(BR28,2)="CT"))+128*(ISNUMBER(FIND("BULK",BR28)))+256*(ISNUMBER(FIND("SIZE",BR28)))+512*(LEFT(BR28,3)="CAP")+1024*(ISNUMBER(FIND("ALLERG",BR28)))+2048*(OR(ISNUMBER(FIND("REMARK",BR28)),ISNUMBER(FIND("COMMENT",BR28))))+4096*(OR(ISNUMBER(FIND("QTY",BR28)),ISNUMBER(FIND("QUANTITY",BR28))))+8192*(AND(OR(ISNUMBER(FIND("COMPLETE",BR28)),ISNUMBER(FIND("PCT",BR28)),ISNUMBER(FIND("PERCENT",BR28))),NOT(ISNUMBER(FIND("ACTUAL",BR28))),LEN(BR28)&lt;=16))+32768*(OR(ISNUMBER(FIND("DESIC",BR28)),ISNUMBER(FIND("DESSIC",BR28)))))</f>
        <v/>
      </c>
      <c r="BS163">
        <f>IF(BS28="",0,2*(OR(ISNUMBER(FIND("WORKCENTER",BS28)),AND(LEFT(BS28,4)="LINE",NOT(ISNUMBER(FIND("STATUS",BS28))))))+4*(OR(ISNUMBER(FIND("WORKORDER",BS28)),AND(LEFT(BS28,2)="WO",OR(ISNUMBER(FIND("NUM",BS28)),RIGHT(BS28,2)="NO"))))+8*(LEFT(BS28,3)="SEQ")+16*(AND(LEFT(BS28,4)="ITEM",NOT(ISNUMBER(FIND("DESC",BS28)))))+32*(AND(ISNUMBER(FIND("DESC",BS28)),NOT(ISNUMBER(FIND("CAP",BS28)))))+64*(OR(RIGHT(BS28,5)="COUNT",RIGHT(BS28,2)="CT"))+128*(ISNUMBER(FIND("BULK",BS28)))+256*(ISNUMBER(FIND("SIZE",BS28)))+512*(LEFT(BS28,3)="CAP")+1024*(ISNUMBER(FIND("ALLERG",BS28)))+2048*(OR(ISNUMBER(FIND("REMARK",BS28)),ISNUMBER(FIND("COMMENT",BS28))))+4096*(OR(ISNUMBER(FIND("QTY",BS28)),ISNUMBER(FIND("QUANTITY",BS28))))+8192*(AND(OR(ISNUMBER(FIND("COMPLETE",BS28)),ISNUMBER(FIND("PCT",BS28)),ISNUMBER(FIND("PERCENT",BS28))),NOT(ISNUMBER(FIND("ACTUAL",BS28))),LEN(BS28)&lt;=16))+32768*(OR(ISNUMBER(FIND("DESIC",BS28)),ISNUMBER(FIND("DESSIC",BS28)))))</f>
        <v/>
      </c>
      <c r="BT163">
        <f>IF(BT28="",0,2*(OR(ISNUMBER(FIND("WORKCENTER",BT28)),AND(LEFT(BT28,4)="LINE",NOT(ISNUMBER(FIND("STATUS",BT28))))))+4*(OR(ISNUMBER(FIND("WORKORDER",BT28)),AND(LEFT(BT28,2)="WO",OR(ISNUMBER(FIND("NUM",BT28)),RIGHT(BT28,2)="NO"))))+8*(LEFT(BT28,3)="SEQ")+16*(AND(LEFT(BT28,4)="ITEM",NOT(ISNUMBER(FIND("DESC",BT28)))))+32*(AND(ISNUMBER(FIND("DESC",BT28)),NOT(ISNUMBER(FIND("CAP",BT28)))))+64*(OR(RIGHT(BT28,5)="COUNT",RIGHT(BT28,2)="CT"))+128*(ISNUMBER(FIND("BULK",BT28)))+256*(ISNUMBER(FIND("SIZE",BT28)))+512*(LEFT(BT28,3)="CAP")+1024*(ISNUMBER(FIND("ALLERG",BT28)))+2048*(OR(ISNUMBER(FIND("REMARK",BT28)),ISNUMBER(FIND("COMMENT",BT28))))+4096*(OR(ISNUMBER(FIND("QTY",BT28)),ISNUMBER(FIND("QUANTITY",BT28))))+8192*(AND(OR(ISNUMBER(FIND("COMPLETE",BT28)),ISNUMBER(FIND("PCT",BT28)),ISNUMBER(FIND("PERCENT",BT28))),NOT(ISNUMBER(FIND("ACTUAL",BT28))),LEN(BT28)&lt;=16))+32768*(OR(ISNUMBER(FIND("DESIC",BT28)),ISNUMBER(FIND("DESSIC",BT28)))))</f>
        <v/>
      </c>
      <c r="BU163">
        <f>IF(BU28="",0,2*(OR(ISNUMBER(FIND("WORKCENTER",BU28)),AND(LEFT(BU28,4)="LINE",NOT(ISNUMBER(FIND("STATUS",BU28))))))+4*(OR(ISNUMBER(FIND("WORKORDER",BU28)),AND(LEFT(BU28,2)="WO",OR(ISNUMBER(FIND("NUM",BU28)),RIGHT(BU28,2)="NO"))))+8*(LEFT(BU28,3)="SEQ")+16*(AND(LEFT(BU28,4)="ITEM",NOT(ISNUMBER(FIND("DESC",BU28)))))+32*(AND(ISNUMBER(FIND("DESC",BU28)),NOT(ISNUMBER(FIND("CAP",BU28)))))+64*(OR(RIGHT(BU28,5)="COUNT",RIGHT(BU28,2)="CT"))+128*(ISNUMBER(FIND("BULK",BU28)))+256*(ISNUMBER(FIND("SIZE",BU28)))+512*(LEFT(BU28,3)="CAP")+1024*(ISNUMBER(FIND("ALLERG",BU28)))+2048*(OR(ISNUMBER(FIND("REMARK",BU28)),ISNUMBER(FIND("COMMENT",BU28))))+4096*(OR(ISNUMBER(FIND("QTY",BU28)),ISNUMBER(FIND("QUANTITY",BU28))))+8192*(AND(OR(ISNUMBER(FIND("COMPLETE",BU28)),ISNUMBER(FIND("PCT",BU28)),ISNUMBER(FIND("PERCENT",BU28))),NOT(ISNUMBER(FIND("ACTUAL",BU28))),LEN(BU28)&lt;=16))+32768*(OR(ISNUMBER(FIND("DESIC",BU28)),ISNUMBER(FIND("DESSIC",BU28)))))</f>
        <v/>
      </c>
      <c r="BV163">
        <f>IF(BV28="",0,2*(OR(ISNUMBER(FIND("WORKCENTER",BV28)),AND(LEFT(BV28,4)="LINE",NOT(ISNUMBER(FIND("STATUS",BV28))))))+4*(OR(ISNUMBER(FIND("WORKORDER",BV28)),AND(LEFT(BV28,2)="WO",OR(ISNUMBER(FIND("NUM",BV28)),RIGHT(BV28,2)="NO"))))+8*(LEFT(BV28,3)="SEQ")+16*(AND(LEFT(BV28,4)="ITEM",NOT(ISNUMBER(FIND("DESC",BV28)))))+32*(AND(ISNUMBER(FIND("DESC",BV28)),NOT(ISNUMBER(FIND("CAP",BV28)))))+64*(OR(RIGHT(BV28,5)="COUNT",RIGHT(BV28,2)="CT"))+128*(ISNUMBER(FIND("BULK",BV28)))+256*(ISNUMBER(FIND("SIZE",BV28)))+512*(LEFT(BV28,3)="CAP")+1024*(ISNUMBER(FIND("ALLERG",BV28)))+2048*(OR(ISNUMBER(FIND("REMARK",BV28)),ISNUMBER(FIND("COMMENT",BV28))))+4096*(OR(ISNUMBER(FIND("QTY",BV28)),ISNUMBER(FIND("QUANTITY",BV28))))+8192*(AND(OR(ISNUMBER(FIND("COMPLETE",BV28)),ISNUMBER(FIND("PCT",BV28)),ISNUMBER(FIND("PERCENT",BV28))),NOT(ISNUMBER(FIND("ACTUAL",BV28))),LEN(BV28)&lt;=16))+32768*(OR(ISNUMBER(FIND("DESIC",BV28)),ISNUMBER(FIND("DESSIC",BV28)))))</f>
        <v/>
      </c>
      <c r="BW163">
        <f>IF(BW28="",0,2*(OR(ISNUMBER(FIND("WORKCENTER",BW28)),AND(LEFT(BW28,4)="LINE",NOT(ISNUMBER(FIND("STATUS",BW28))))))+4*(OR(ISNUMBER(FIND("WORKORDER",BW28)),AND(LEFT(BW28,2)="WO",OR(ISNUMBER(FIND("NUM",BW28)),RIGHT(BW28,2)="NO"))))+8*(LEFT(BW28,3)="SEQ")+16*(AND(LEFT(BW28,4)="ITEM",NOT(ISNUMBER(FIND("DESC",BW28)))))+32*(AND(ISNUMBER(FIND("DESC",BW28)),NOT(ISNUMBER(FIND("CAP",BW28)))))+64*(OR(RIGHT(BW28,5)="COUNT",RIGHT(BW28,2)="CT"))+128*(ISNUMBER(FIND("BULK",BW28)))+256*(ISNUMBER(FIND("SIZE",BW28)))+512*(LEFT(BW28,3)="CAP")+1024*(ISNUMBER(FIND("ALLERG",BW28)))+2048*(OR(ISNUMBER(FIND("REMARK",BW28)),ISNUMBER(FIND("COMMENT",BW28))))+4096*(OR(ISNUMBER(FIND("QTY",BW28)),ISNUMBER(FIND("QUANTITY",BW28))))+8192*(AND(OR(ISNUMBER(FIND("COMPLETE",BW28)),ISNUMBER(FIND("PCT",BW28)),ISNUMBER(FIND("PERCENT",BW28))),NOT(ISNUMBER(FIND("ACTUAL",BW28))),LEN(BW28)&lt;=16))+32768*(OR(ISNUMBER(FIND("DESIC",BW28)),ISNUMBER(FIND("DESSIC",BW28)))))</f>
        <v/>
      </c>
      <c r="BX163">
        <f>IF(BX28="",0,2*(OR(ISNUMBER(FIND("WORKCENTER",BX28)),AND(LEFT(BX28,4)="LINE",NOT(ISNUMBER(FIND("STATUS",BX28))))))+4*(OR(ISNUMBER(FIND("WORKORDER",BX28)),AND(LEFT(BX28,2)="WO",OR(ISNUMBER(FIND("NUM",BX28)),RIGHT(BX28,2)="NO"))))+8*(LEFT(BX28,3)="SEQ")+16*(AND(LEFT(BX28,4)="ITEM",NOT(ISNUMBER(FIND("DESC",BX28)))))+32*(AND(ISNUMBER(FIND("DESC",BX28)),NOT(ISNUMBER(FIND("CAP",BX28)))))+64*(OR(RIGHT(BX28,5)="COUNT",RIGHT(BX28,2)="CT"))+128*(ISNUMBER(FIND("BULK",BX28)))+256*(ISNUMBER(FIND("SIZE",BX28)))+512*(LEFT(BX28,3)="CAP")+1024*(ISNUMBER(FIND("ALLERG",BX28)))+2048*(OR(ISNUMBER(FIND("REMARK",BX28)),ISNUMBER(FIND("COMMENT",BX28))))+4096*(OR(ISNUMBER(FIND("QTY",BX28)),ISNUMBER(FIND("QUANTITY",BX28))))+8192*(AND(OR(ISNUMBER(FIND("COMPLETE",BX28)),ISNUMBER(FIND("PCT",BX28)),ISNUMBER(FIND("PERCENT",BX28))),NOT(ISNUMBER(FIND("ACTUAL",BX28))),LEN(BX28)&lt;=16))+32768*(OR(ISNUMBER(FIND("DESIC",BX28)),ISNUMBER(FIND("DESSIC",BX28)))))</f>
        <v/>
      </c>
      <c r="BY163">
        <f>IF(BY28="",0,2*(OR(ISNUMBER(FIND("WORKCENTER",BY28)),AND(LEFT(BY28,4)="LINE",NOT(ISNUMBER(FIND("STATUS",BY28))))))+4*(OR(ISNUMBER(FIND("WORKORDER",BY28)),AND(LEFT(BY28,2)="WO",OR(ISNUMBER(FIND("NUM",BY28)),RIGHT(BY28,2)="NO"))))+8*(LEFT(BY28,3)="SEQ")+16*(AND(LEFT(BY28,4)="ITEM",NOT(ISNUMBER(FIND("DESC",BY28)))))+32*(AND(ISNUMBER(FIND("DESC",BY28)),NOT(ISNUMBER(FIND("CAP",BY28)))))+64*(OR(RIGHT(BY28,5)="COUNT",RIGHT(BY28,2)="CT"))+128*(ISNUMBER(FIND("BULK",BY28)))+256*(ISNUMBER(FIND("SIZE",BY28)))+512*(LEFT(BY28,3)="CAP")+1024*(ISNUMBER(FIND("ALLERG",BY28)))+2048*(OR(ISNUMBER(FIND("REMARK",BY28)),ISNUMBER(FIND("COMMENT",BY28))))+4096*(OR(ISNUMBER(FIND("QTY",BY28)),ISNUMBER(FIND("QUANTITY",BY28))))+8192*(AND(OR(ISNUMBER(FIND("COMPLETE",BY28)),ISNUMBER(FIND("PCT",BY28)),ISNUMBER(FIND("PERCENT",BY28))),NOT(ISNUMBER(FIND("ACTUAL",BY28))),LEN(BY28)&lt;=16))+32768*(OR(ISNUMBER(FIND("DESIC",BY28)),ISNUMBER(FIND("DESSIC",BY28)))))</f>
        <v/>
      </c>
      <c r="BZ163">
        <f>IF(BZ28="",0,2*(OR(ISNUMBER(FIND("WORKCENTER",BZ28)),AND(LEFT(BZ28,4)="LINE",NOT(ISNUMBER(FIND("STATUS",BZ28))))))+4*(OR(ISNUMBER(FIND("WORKORDER",BZ28)),AND(LEFT(BZ28,2)="WO",OR(ISNUMBER(FIND("NUM",BZ28)),RIGHT(BZ28,2)="NO"))))+8*(LEFT(BZ28,3)="SEQ")+16*(AND(LEFT(BZ28,4)="ITEM",NOT(ISNUMBER(FIND("DESC",BZ28)))))+32*(AND(ISNUMBER(FIND("DESC",BZ28)),NOT(ISNUMBER(FIND("CAP",BZ28)))))+64*(OR(RIGHT(BZ28,5)="COUNT",RIGHT(BZ28,2)="CT"))+128*(ISNUMBER(FIND("BULK",BZ28)))+256*(ISNUMBER(FIND("SIZE",BZ28)))+512*(LEFT(BZ28,3)="CAP")+1024*(ISNUMBER(FIND("ALLERG",BZ28)))+2048*(OR(ISNUMBER(FIND("REMARK",BZ28)),ISNUMBER(FIND("COMMENT",BZ28))))+4096*(OR(ISNUMBER(FIND("QTY",BZ28)),ISNUMBER(FIND("QUANTITY",BZ28))))+8192*(AND(OR(ISNUMBER(FIND("COMPLETE",BZ28)),ISNUMBER(FIND("PCT",BZ28)),ISNUMBER(FIND("PERCENT",BZ28))),NOT(ISNUMBER(FIND("ACTUAL",BZ28))),LEN(BZ28)&lt;=16))+32768*(OR(ISNUMBER(FIND("DESIC",BZ28)),ISNUMBER(FIND("DESSIC",BZ28)))))</f>
        <v/>
      </c>
      <c r="CA163">
        <f>IF(CA28="",0,2*(OR(ISNUMBER(FIND("WORKCENTER",CA28)),AND(LEFT(CA28,4)="LINE",NOT(ISNUMBER(FIND("STATUS",CA28))))))+4*(OR(ISNUMBER(FIND("WORKORDER",CA28)),AND(LEFT(CA28,2)="WO",OR(ISNUMBER(FIND("NUM",CA28)),RIGHT(CA28,2)="NO"))))+8*(LEFT(CA28,3)="SEQ")+16*(AND(LEFT(CA28,4)="ITEM",NOT(ISNUMBER(FIND("DESC",CA28)))))+32*(AND(ISNUMBER(FIND("DESC",CA28)),NOT(ISNUMBER(FIND("CAP",CA28)))))+64*(OR(RIGHT(CA28,5)="COUNT",RIGHT(CA28,2)="CT"))+128*(ISNUMBER(FIND("BULK",CA28)))+256*(ISNUMBER(FIND("SIZE",CA28)))+512*(LEFT(CA28,3)="CAP")+1024*(ISNUMBER(FIND("ALLERG",CA28)))+2048*(OR(ISNUMBER(FIND("REMARK",CA28)),ISNUMBER(FIND("COMMENT",CA28))))+4096*(OR(ISNUMBER(FIND("QTY",CA28)),ISNUMBER(FIND("QUANTITY",CA28))))+8192*(AND(OR(ISNUMBER(FIND("COMPLETE",CA28)),ISNUMBER(FIND("PCT",CA28)),ISNUMBER(FIND("PERCENT",CA28))),NOT(ISNUMBER(FIND("ACTUAL",CA28))),LEN(CA28)&lt;=16))+32768*(OR(ISNUMBER(FIND("DESIC",CA28)),ISNUMBER(FIND("DESSIC",CA28)))))</f>
        <v/>
      </c>
      <c r="CB163">
        <f>IF(CB28="",0,2*(OR(ISNUMBER(FIND("WORKCENTER",CB28)),AND(LEFT(CB28,4)="LINE",NOT(ISNUMBER(FIND("STATUS",CB28))))))+4*(OR(ISNUMBER(FIND("WORKORDER",CB28)),AND(LEFT(CB28,2)="WO",OR(ISNUMBER(FIND("NUM",CB28)),RIGHT(CB28,2)="NO"))))+8*(LEFT(CB28,3)="SEQ")+16*(AND(LEFT(CB28,4)="ITEM",NOT(ISNUMBER(FIND("DESC",CB28)))))+32*(AND(ISNUMBER(FIND("DESC",CB28)),NOT(ISNUMBER(FIND("CAP",CB28)))))+64*(OR(RIGHT(CB28,5)="COUNT",RIGHT(CB28,2)="CT"))+128*(ISNUMBER(FIND("BULK",CB28)))+256*(ISNUMBER(FIND("SIZE",CB28)))+512*(LEFT(CB28,3)="CAP")+1024*(ISNUMBER(FIND("ALLERG",CB28)))+2048*(OR(ISNUMBER(FIND("REMARK",CB28)),ISNUMBER(FIND("COMMENT",CB28))))+4096*(OR(ISNUMBER(FIND("QTY",CB28)),ISNUMBER(FIND("QUANTITY",CB28))))+8192*(AND(OR(ISNUMBER(FIND("COMPLETE",CB28)),ISNUMBER(FIND("PCT",CB28)),ISNUMBER(FIND("PERCENT",CB28))),NOT(ISNUMBER(FIND("ACTUAL",CB28))),LEN(CB28)&lt;=16))+32768*(OR(ISNUMBER(FIND("DESIC",CB28)),ISNUMBER(FIND("DESSIC",CB28)))))</f>
        <v/>
      </c>
      <c r="CC163">
        <f>IF(CC28="",0,2*(OR(ISNUMBER(FIND("WORKCENTER",CC28)),AND(LEFT(CC28,4)="LINE",NOT(ISNUMBER(FIND("STATUS",CC28))))))+4*(OR(ISNUMBER(FIND("WORKORDER",CC28)),AND(LEFT(CC28,2)="WO",OR(ISNUMBER(FIND("NUM",CC28)),RIGHT(CC28,2)="NO"))))+8*(LEFT(CC28,3)="SEQ")+16*(AND(LEFT(CC28,4)="ITEM",NOT(ISNUMBER(FIND("DESC",CC28)))))+32*(AND(ISNUMBER(FIND("DESC",CC28)),NOT(ISNUMBER(FIND("CAP",CC28)))))+64*(OR(RIGHT(CC28,5)="COUNT",RIGHT(CC28,2)="CT"))+128*(ISNUMBER(FIND("BULK",CC28)))+256*(ISNUMBER(FIND("SIZE",CC28)))+512*(LEFT(CC28,3)="CAP")+1024*(ISNUMBER(FIND("ALLERG",CC28)))+2048*(OR(ISNUMBER(FIND("REMARK",CC28)),ISNUMBER(FIND("COMMENT",CC28))))+4096*(OR(ISNUMBER(FIND("QTY",CC28)),ISNUMBER(FIND("QUANTITY",CC28))))+8192*(AND(OR(ISNUMBER(FIND("COMPLETE",CC28)),ISNUMBER(FIND("PCT",CC28)),ISNUMBER(FIND("PERCENT",CC28))),NOT(ISNUMBER(FIND("ACTUAL",CC28))),LEN(CC28)&lt;=16))+32768*(OR(ISNUMBER(FIND("DESIC",CC28)),ISNUMBER(FIND("DESSIC",CC28)))))</f>
        <v/>
      </c>
      <c r="CD163">
        <f>IF(CD28="",0,2*(OR(ISNUMBER(FIND("WORKCENTER",CD28)),AND(LEFT(CD28,4)="LINE",NOT(ISNUMBER(FIND("STATUS",CD28))))))+4*(OR(ISNUMBER(FIND("WORKORDER",CD28)),AND(LEFT(CD28,2)="WO",OR(ISNUMBER(FIND("NUM",CD28)),RIGHT(CD28,2)="NO"))))+8*(LEFT(CD28,3)="SEQ")+16*(AND(LEFT(CD28,4)="ITEM",NOT(ISNUMBER(FIND("DESC",CD28)))))+32*(AND(ISNUMBER(FIND("DESC",CD28)),NOT(ISNUMBER(FIND("CAP",CD28)))))+64*(OR(RIGHT(CD28,5)="COUNT",RIGHT(CD28,2)="CT"))+128*(ISNUMBER(FIND("BULK",CD28)))+256*(ISNUMBER(FIND("SIZE",CD28)))+512*(LEFT(CD28,3)="CAP")+1024*(ISNUMBER(FIND("ALLERG",CD28)))+2048*(OR(ISNUMBER(FIND("REMARK",CD28)),ISNUMBER(FIND("COMMENT",CD28))))+4096*(OR(ISNUMBER(FIND("QTY",CD28)),ISNUMBER(FIND("QUANTITY",CD28))))+8192*(AND(OR(ISNUMBER(FIND("COMPLETE",CD28)),ISNUMBER(FIND("PCT",CD28)),ISNUMBER(FIND("PERCENT",CD28))),NOT(ISNUMBER(FIND("ACTUAL",CD28))),LEN(CD28)&lt;=16))+32768*(OR(ISNUMBER(FIND("DESIC",CD28)),ISNUMBER(FIND("DESSIC",CD28)))))</f>
        <v/>
      </c>
      <c r="CE163">
        <f>IF(CE28="",0,2*(OR(ISNUMBER(FIND("WORKCENTER",CE28)),AND(LEFT(CE28,4)="LINE",NOT(ISNUMBER(FIND("STATUS",CE28))))))+4*(OR(ISNUMBER(FIND("WORKORDER",CE28)),AND(LEFT(CE28,2)="WO",OR(ISNUMBER(FIND("NUM",CE28)),RIGHT(CE28,2)="NO"))))+8*(LEFT(CE28,3)="SEQ")+16*(AND(LEFT(CE28,4)="ITEM",NOT(ISNUMBER(FIND("DESC",CE28)))))+32*(AND(ISNUMBER(FIND("DESC",CE28)),NOT(ISNUMBER(FIND("CAP",CE28)))))+64*(OR(RIGHT(CE28,5)="COUNT",RIGHT(CE28,2)="CT"))+128*(ISNUMBER(FIND("BULK",CE28)))+256*(ISNUMBER(FIND("SIZE",CE28)))+512*(LEFT(CE28,3)="CAP")+1024*(ISNUMBER(FIND("ALLERG",CE28)))+2048*(OR(ISNUMBER(FIND("REMARK",CE28)),ISNUMBER(FIND("COMMENT",CE28))))+4096*(OR(ISNUMBER(FIND("QTY",CE28)),ISNUMBER(FIND("QUANTITY",CE28))))+8192*(AND(OR(ISNUMBER(FIND("COMPLETE",CE28)),ISNUMBER(FIND("PCT",CE28)),ISNUMBER(FIND("PERCENT",CE28))),NOT(ISNUMBER(FIND("ACTUAL",CE28))),LEN(CE28)&lt;=16))+32768*(OR(ISNUMBER(FIND("DESIC",CE28)),ISNUMBER(FIND("DESSIC",CE28)))))</f>
        <v/>
      </c>
      <c r="CF163">
        <f>IF(CF28="",0,2*(OR(ISNUMBER(FIND("WORKCENTER",CF28)),AND(LEFT(CF28,4)="LINE",NOT(ISNUMBER(FIND("STATUS",CF28))))))+4*(OR(ISNUMBER(FIND("WORKORDER",CF28)),AND(LEFT(CF28,2)="WO",OR(ISNUMBER(FIND("NUM",CF28)),RIGHT(CF28,2)="NO"))))+8*(LEFT(CF28,3)="SEQ")+16*(AND(LEFT(CF28,4)="ITEM",NOT(ISNUMBER(FIND("DESC",CF28)))))+32*(AND(ISNUMBER(FIND("DESC",CF28)),NOT(ISNUMBER(FIND("CAP",CF28)))))+64*(OR(RIGHT(CF28,5)="COUNT",RIGHT(CF28,2)="CT"))+128*(ISNUMBER(FIND("BULK",CF28)))+256*(ISNUMBER(FIND("SIZE",CF28)))+512*(LEFT(CF28,3)="CAP")+1024*(ISNUMBER(FIND("ALLERG",CF28)))+2048*(OR(ISNUMBER(FIND("REMARK",CF28)),ISNUMBER(FIND("COMMENT",CF28))))+4096*(OR(ISNUMBER(FIND("QTY",CF28)),ISNUMBER(FIND("QUANTITY",CF28))))+8192*(AND(OR(ISNUMBER(FIND("COMPLETE",CF28)),ISNUMBER(FIND("PCT",CF28)),ISNUMBER(FIND("PERCENT",CF28))),NOT(ISNUMBER(FIND("ACTUAL",CF28))),LEN(CF28)&lt;=16))+32768*(OR(ISNUMBER(FIND("DESIC",CF28)),ISNUMBER(FIND("DESSIC",CF28)))))</f>
        <v/>
      </c>
      <c r="DA163" t="n">
        <v>159</v>
      </c>
      <c r="DB163">
        <f>IF($B$37=0,"",IFERROR(TRIM(SUBSTITUTE(SUBSTITUTE(SUBSTITUTE(SUBSTITUTE(INDEX(PASTE_ALL,159,$B$37)," "," "),CHAR(9)," "),CHAR(10)," "),CHAR(13)," ")),""))</f>
        <v/>
      </c>
      <c r="DC163">
        <f>IF(AND(159&gt;HEADER_ROW,UPPER(DB163)="LEGEND"),1,0)</f>
        <v/>
      </c>
      <c r="DE163" t="n">
        <v>159</v>
      </c>
      <c r="DF163">
        <f>HEADER_ROW+$DE163</f>
        <v/>
      </c>
      <c r="DG163">
        <f>IF(AND($DF163&lt;=1000,$DF163&lt;$B$8),1,0)</f>
        <v/>
      </c>
      <c r="DH163">
        <f>IF($DG163=1,IFERROR(INDEX($DB$5:$DB$1004,$DF163),""),"")</f>
        <v/>
      </c>
      <c r="DI163">
        <f>IF(AND($DG163=1,$DH163&lt;&gt;""),IFERROR(SUBSTITUTE(SUBSTITUTE(TRIM(SUBSTITUTE(SUBSTITUTE(SUBSTITUTE(SUBSTITUTE(IFERROR(INDEX(PASTE_ALL,$DF163,1)&amp;"","")&amp;"␟"&amp;IFERROR(INDEX(PASTE_ALL,$DF163,2)&amp;"","")&amp;"␟"&amp;IFERROR(INDEX(PASTE_ALL,$DF163,3)&amp;"","")&amp;"␟"&amp;IFERROR(INDEX(PASTE_ALL,$DF163,4)&amp;"","")&amp;"␟"&amp;IFERROR(INDEX(PASTE_ALL,$DF163,5)&amp;"","")&amp;"␟"&amp;IFERROR(INDEX(PASTE_ALL,$DF163,6)&amp;"","")&amp;"␟"&amp;IFERROR(INDEX(PASTE_ALL,$DF163,7)&amp;"","")&amp;"␟"&amp;IFERROR(INDEX(PASTE_ALL,$DF163,8)&amp;"","")&amp;"␟"&amp;IFERROR(INDEX(PASTE_ALL,$DF163,9)&amp;"","")&amp;"␟"&amp;IFERROR(INDEX(PASTE_ALL,$DF163,10)&amp;"","")&amp;"␟"&amp;IFERROR(INDEX(PASTE_ALL,$DF163,11)&amp;"","")&amp;"␟"&amp;IFERROR(INDEX(PASTE_ALL,$DF163,12)&amp;"","")&amp;"␟"&amp;IFERROR(INDEX(PASTE_ALL,$DF163,13)&amp;"","")&amp;"␟"&amp;IFERROR(INDEX(PASTE_ALL,$DF163,14)&amp;"","")&amp;"␟"&amp;IFERROR(INDEX(PASTE_ALL,$DF163,15)&amp;"","")&amp;"␟"&amp;IFERROR(INDEX(PASTE_ALL,$DF163,16)&amp;"","")&amp;"␟"&amp;IFERROR(INDEX(PASTE_ALL,$DF163,17)&amp;"","")&amp;"␟"&amp;IFERROR(INDEX(PASTE_ALL,$DF163,18)&amp;"","")&amp;"␟"&amp;IFERROR(INDEX(PASTE_ALL,$DF163,19)&amp;"","")&amp;"␟"&amp;IFERROR(INDEX(PASTE_ALL,$DF163,20)&amp;"","")&amp;"␟"&amp;IFERROR(INDEX(PASTE_ALL,$DF163,21)&amp;"","")&amp;"␟"&amp;IFERROR(INDEX(PASTE_ALL,$DF163,22)&amp;"","")&amp;"␟"&amp;IFERROR(INDEX(PASTE_ALL,$DF163,23)&amp;"","")&amp;"␟"&amp;IFERROR(INDEX(PASTE_ALL,$DF163,24)&amp;"","")&amp;"␟"&amp;IFERROR(INDEX(PASTE_ALL,$DF163,25)&amp;"","")&amp;"␟"&amp;IFERROR(INDEX(PASTE_ALL,$DF163,26)&amp;"","")&amp;"␟"&amp;IFERROR(INDEX(PASTE_ALL,$DF163,27)&amp;"","")&amp;"␟"&amp;IFERROR(INDEX(PASTE_ALL,$DF163,28)&amp;"","")&amp;"␟"&amp;IFERROR(INDEX(PASTE_ALL,$DF163,29)&amp;"","")&amp;"␟"&amp;IFERROR(INDEX(PASTE_ALL,$DF163,30)&amp;"","")&amp;"␟"&amp;IFERROR(INDEX(PASTE_ALL,$DF163,31)&amp;"","")&amp;"␟"&amp;IFERROR(INDEX(PASTE_ALL,$DF163,32)&amp;"","")&amp;"␟"&amp;IFERROR(INDEX(PASTE_ALL,$DF163,33)&amp;"","")&amp;"␟"&amp;IFERROR(INDEX(PASTE_ALL,$DF163,34)&amp;"","")&amp;"␟"&amp;IFERROR(INDEX(PASTE_ALL,$DF163,35)&amp;"","")&amp;"␟"&amp;IFERROR(INDEX(PASTE_ALL,$DF163,36)&amp;"","")&amp;"␟"&amp;IFERROR(INDEX(PASTE_ALL,$DF163,37)&amp;"","")&amp;"␟"&amp;IFERROR(INDEX(PASTE_ALL,$DF163,38)&amp;"","")&amp;"␟"&amp;IFERROR(INDEX(PASTE_ALL,$DF163,39)&amp;"","")&amp;"␟"&amp;IFERROR(INDEX(PASTE_ALL,$DF163,40)&amp;"","")&amp;"␟"&amp;IFERROR(INDEX(PASTE_ALL,$DF163,41)&amp;"","")&amp;"␟"&amp;IFERROR(INDEX(PASTE_ALL,$DF163,42)&amp;"","")&amp;"␟"&amp;IFERROR(INDEX(PASTE_ALL,$DF163,43)&amp;"","")&amp;"␟"&amp;IFERROR(INDEX(PASTE_ALL,$DF163,44)&amp;"","")&amp;"␟"&amp;IFERROR(INDEX(PASTE_ALL,$DF163,45)&amp;"","")&amp;"␟"&amp;IFERROR(INDEX(PASTE_ALL,$DF163,46)&amp;"","")&amp;"␟"&amp;IFERROR(INDEX(PASTE_ALL,$DF163,47)&amp;"","")&amp;"␟"&amp;IFERROR(INDEX(PASTE_ALL,$DF163,48)&amp;"","")&amp;"␟"&amp;IFERROR(INDEX(PASTE_ALL,$DF163,49)&amp;"","")&amp;"␟"&amp;IFERROR(INDEX(PASTE_ALL,$DF163,50)&amp;"","")&amp;"␟"&amp;IFERROR(INDEX(PASTE_ALL,$DF163,51)&amp;"","")&amp;"␟"&amp;IFERROR(INDEX(PASTE_ALL,$DF163,52)&amp;"","")&amp;"␟"&amp;IFERROR(INDEX(PASTE_ALL,$DF163,53)&amp;"","")&amp;"␟"&amp;IFERROR(INDEX(PASTE_ALL,$DF163,54)&amp;"","")&amp;"␟"&amp;IFERROR(INDEX(PASTE_ALL,$DF163,55)&amp;"","")&amp;"␟"&amp;IFERROR(INDEX(PASTE_ALL,$DF163,56)&amp;"","")&amp;"␟"&amp;IFERROR(INDEX(PASTE_ALL,$DF163,57)&amp;"","")&amp;"␟"&amp;IFERROR(INDEX(PASTE_ALL,$DF163,58)&amp;"","")&amp;"␟"&amp;IFERROR(INDEX(PASTE_ALL,$DF163,59)&amp;"","")&amp;"␟"&amp;IFERROR(INDEX(PASTE_ALL,$DF163,60)&amp;"","")," "," "),CHAR(9)," "),CHAR(10)," "),CHAR(13)," "))," ␟","␟"),"␟ ","␟"),"#"&amp;$DE163),"")</f>
        <v/>
      </c>
      <c r="DJ163">
        <f>IF($DI163="",0,IF(SUMPRODUCT(--EXACT($DI$4:DI162,$DI163))&gt;0,1,0))</f>
        <v/>
      </c>
      <c r="DK163">
        <f>IF(AND($DI163&lt;&gt;"",$DJ163=0),1,0)</f>
        <v/>
      </c>
      <c r="DL163">
        <f>DL162+$DK163</f>
        <v/>
      </c>
      <c r="DM163">
        <f>IF(AND($DK163=1,$DL163&lt;=600),1,0)</f>
        <v/>
      </c>
      <c r="DN163">
        <f>IF($DM163=0,"",IF($L$6=0,"",IFERROR(IF(ISNUMBER(INDEX(PASTE_ALL,$DF163,$L$6)),INDEX(PASTE_ALL,$DF163,$L$6),TRIM(SUBSTITUTE(SUBSTITUTE(SUBSTITUTE(SUBSTITUTE(INDEX(PASTE_ALL,$DF163,$L$6)," "," "),CHAR(9)," "),CHAR(10)," "),CHAR(13)," "))),"")))</f>
        <v/>
      </c>
      <c r="DO163">
        <f>IF($DM163=0,"",IF($L$7=0,"",IFERROR(IF(ISNUMBER(INDEX(PASTE_ALL,$DF163,$L$7)),INDEX(PASTE_ALL,$DF163,$L$7),TRIM(SUBSTITUTE(SUBSTITUTE(SUBSTITUTE(SUBSTITUTE(INDEX(PASTE_ALL,$DF163,$L$7)," "," "),CHAR(9)," "),CHAR(10)," "),CHAR(13)," "))),"")))</f>
        <v/>
      </c>
      <c r="DP163">
        <f>IF($DM163=0,"",IF($L$8=0,"",IFERROR(IF(ISNUMBER(INDEX(PASTE_ALL,$DF163,$L$8)),INDEX(PASTE_ALL,$DF163,$L$8),TRIM(SUBSTITUTE(SUBSTITUTE(SUBSTITUTE(SUBSTITUTE(INDEX(PASTE_ALL,$DF163,$L$8)," "," "),CHAR(9)," "),CHAR(10)," "),CHAR(13)," "))),"")))</f>
        <v/>
      </c>
      <c r="DQ163">
        <f>IF($DM163=0,"",IF($L$9=0,"",IFERROR(IF(ISNUMBER(INDEX(PASTE_ALL,$DF163,$L$9)),INDEX(PASTE_ALL,$DF163,$L$9),TRIM(SUBSTITUTE(SUBSTITUTE(SUBSTITUTE(SUBSTITUTE(INDEX(PASTE_ALL,$DF163,$L$9)," "," "),CHAR(9)," "),CHAR(10)," "),CHAR(13)," "))),"")))</f>
        <v/>
      </c>
      <c r="DR163">
        <f>IF($DM163=0,"",IF($L$10=0,"",IFERROR(IF(ISNUMBER(INDEX(PASTE_ALL,$DF163,$L$10)),INDEX(PASTE_ALL,$DF163,$L$10),TRIM(SUBSTITUTE(SUBSTITUTE(SUBSTITUTE(SUBSTITUTE(INDEX(PASTE_ALL,$DF163,$L$10)," "," "),CHAR(9)," "),CHAR(10)," "),CHAR(13)," "))),"")))</f>
        <v/>
      </c>
      <c r="DS163">
        <f>IF($DM163=0,"",IF($L$11=0,"",IFERROR(IF(ISNUMBER(INDEX(PASTE_ALL,$DF163,$L$11)),INDEX(PASTE_ALL,$DF163,$L$11),TRIM(SUBSTITUTE(SUBSTITUTE(SUBSTITUTE(SUBSTITUTE(INDEX(PASTE_ALL,$DF163,$L$11)," "," "),CHAR(9)," "),CHAR(10)," "),CHAR(13)," "))),"")))</f>
        <v/>
      </c>
      <c r="DT163">
        <f>IF($DM163=0,"",IF($L$12=0,"",IFERROR(IF(ISNUMBER(INDEX(PASTE_ALL,$DF163,$L$12)),INDEX(PASTE_ALL,$DF163,$L$12),TRIM(SUBSTITUTE(SUBSTITUTE(SUBSTITUTE(SUBSTITUTE(INDEX(PASTE_ALL,$DF163,$L$12)," "," "),CHAR(9)," "),CHAR(10)," "),CHAR(13)," "))),"")))</f>
        <v/>
      </c>
      <c r="DU163">
        <f>IF($DM163=0,"",IF($L$13=0,"",IFERROR(IF(ISNUMBER(INDEX(PASTE_ALL,$DF163,$L$13)),INDEX(PASTE_ALL,$DF163,$L$13),TRIM(SUBSTITUTE(SUBSTITUTE(SUBSTITUTE(SUBSTITUTE(INDEX(PASTE_ALL,$DF163,$L$13)," "," "),CHAR(9)," "),CHAR(10)," "),CHAR(13)," "))),"")))</f>
        <v/>
      </c>
      <c r="DV163">
        <f>IF($DM163=0,"",IF($L$14=0,"",IFERROR(IF(ISNUMBER(INDEX(PASTE_ALL,$DF163,$L$14)),INDEX(PASTE_ALL,$DF163,$L$14),TRIM(SUBSTITUTE(SUBSTITUTE(SUBSTITUTE(SUBSTITUTE(INDEX(PASTE_ALL,$DF163,$L$14)," "," "),CHAR(9)," "),CHAR(10)," "),CHAR(13)," "))),"")))</f>
        <v/>
      </c>
      <c r="DW163">
        <f>IF($DM163=0,"",IF($L$15=0,"",IFERROR(IF(ISNUMBER(INDEX(PASTE_ALL,$DF163,$L$15)),INDEX(PASTE_ALL,$DF163,$L$15),IF(SUMPRODUCT(--ISNUMBER(FIND({"A","B","C","D","E","F","G","H","I","J","K","L","M","N","O","P","Q","R","S","T","U","V","W","X","Y","Z","0","1","2","3","4","5","6","7","8","9"},UPPER(TRIM(SUBSTITUTE(SUBSTITUTE(SUBSTITUTE(SUBSTITUTE(INDEX(PASTE_ALL,$DF163,$L$15)," "," "),CHAR(9)," "),CHAR(10)," "),CHAR(13)," "))))))&gt;0,TRIM(SUBSTITUTE(SUBSTITUTE(SUBSTITUTE(SUBSTITUTE(INDEX(PASTE_ALL,$DF163,$L$15)," "," "),CHAR(9)," "),CHAR(10)," "),CHAR(13)," ")),"")),"")))</f>
        <v/>
      </c>
      <c r="DX163">
        <f>IF($DM163=0,"",IF($L$16=0,"",IFERROR(IF(ISNUMBER(INDEX(PASTE_ALL,$DF163,$L$16)),INDEX(PASTE_ALL,$DF163,$L$16),SUBSTITUTE(SUBSTITUTE(TRIM(SUBSTITUTE(SUBSTITUTE(SUBSTITUTE(SUBSTITUTE(INDEX(PASTE_ALL,$DF163,$L$16)," "," "),CHAR(9)," "),CHAR(10)," "),CHAR(13)," ")),",",""),"%","")),"")))</f>
        <v/>
      </c>
      <c r="DY163">
        <f>IF($DM163=0,"",IFERROR(IF(ISNUMBER($DX163),$DX163,IF($DX163="","",IF(TRIM($DX163)="",0,IF(AND(AND(SUBSTITUTE(SUBSTITUTE(SUBSTITUTE(SUBSTITUTE(SUBSTITUTE(SUBSTITUTE(SUBSTITUTE(SUBSTITUTE(SUBSTITUTE(SUBSTITUTE(SUBSTITUTE(SUBSTITUTE(SUBSTITUTE(SUBSTITUTE(UPPER(TRIM($DX163)),"0",""),"1",""),"2",""),"3",""),"4",""),"5",""),"6",""),"7",""),"8",""),"9",""),".",""),"+",""),"-",""),"E","")="",LEN(SUBSTITUTE(SUBSTITUTE(MID(UPPER(TRIM($DX163)),1+OR(LEFT(UPPER(TRIM($DX163)),1)="+",LEFT(UPPER(TRIM($DX163)),1)="-"),999),"E+","E"),"E-","E"))=LEN(SUBSTITUTE(SUBSTITUTE(SUBSTITUTE(SUBSTITUTE(MID(UPPER(TRIM($DX163)),1+OR(LEFT(UPPER(TRIM($DX163)),1)="+",LEFT(UPPER(TRIM($DX163)),1)="-"),999),"E+","E"),"E-","E"),"+",""),"-","")),LEN(UPPER(TRIM($DX163)))-LEN(SUBSTITUTE(UPPER(TRIM($DX163)),"E",""))&lt;2,LEN(UPPER(TRIM($DX163)))-LEN(SUBSTITUTE(UPPER(TRIM($DX163)),".",""))&lt;2,IFERROR(FIND(".",UPPER(TRIM($DX163))),0)&lt;IFERROR(FIND("E",UPPER(TRIM($DX163))),999)),ISNUMBER(VALUE(TRIM($DX163)))),VALUE(TRIM($DX163)),"")))),""))</f>
        <v/>
      </c>
      <c r="DZ163">
        <f>IF($DM163=0,"",IF($L$17=0,"",IFERROR(IF(ISNUMBER(INDEX(PASTE_ALL,$DF163,$L$17)),INDEX(PASTE_ALL,$DF163,$L$17),SUBSTITUTE(SUBSTITUTE(TRIM(SUBSTITUTE(SUBSTITUTE(SUBSTITUTE(SUBSTITUTE(INDEX(PASTE_ALL,$DF163,$L$17)," "," "),CHAR(9)," "),CHAR(10)," "),CHAR(13)," ")),",",""),"%","")),"")))</f>
        <v/>
      </c>
      <c r="EA163">
        <f>IF($DM163=0,"",IFERROR(IF(ISNUMBER($DZ163),$DZ163,IF($DZ163="","",IF(TRIM($DZ163)="",0,IF(AND(AND(SUBSTITUTE(SUBSTITUTE(SUBSTITUTE(SUBSTITUTE(SUBSTITUTE(SUBSTITUTE(SUBSTITUTE(SUBSTITUTE(SUBSTITUTE(SUBSTITUTE(SUBSTITUTE(SUBSTITUTE(SUBSTITUTE(SUBSTITUTE(UPPER(TRIM($DZ163)),"0",""),"1",""),"2",""),"3",""),"4",""),"5",""),"6",""),"7",""),"8",""),"9",""),".",""),"+",""),"-",""),"E","")="",LEN(SUBSTITUTE(SUBSTITUTE(MID(UPPER(TRIM($DZ163)),1+OR(LEFT(UPPER(TRIM($DZ163)),1)="+",LEFT(UPPER(TRIM($DZ163)),1)="-"),999),"E+","E"),"E-","E"))=LEN(SUBSTITUTE(SUBSTITUTE(SUBSTITUTE(SUBSTITUTE(MID(UPPER(TRIM($DZ163)),1+OR(LEFT(UPPER(TRIM($DZ163)),1)="+",LEFT(UPPER(TRIM($DZ163)),1)="-"),999),"E+","E"),"E-","E"),"+",""),"-","")),LEN(UPPER(TRIM($DZ163)))-LEN(SUBSTITUTE(UPPER(TRIM($DZ163)),"E",""))&lt;2,LEN(UPPER(TRIM($DZ163)))-LEN(SUBSTITUTE(UPPER(TRIM($DZ163)),".",""))&lt;2,IFERROR(FIND(".",UPPER(TRIM($DZ163))),0)&lt;IFERROR(FIND("E",UPPER(TRIM($DZ163))),999)),ISNUMBER(VALUE(TRIM($DZ163)))),VALUE(TRIM($DZ163)),"")))),""))</f>
        <v/>
      </c>
      <c r="EB163">
        <f>IF($DM163=0,"",IF($L$18=0,"",IFERROR(IF(UPPER(TRIM(SUBSTITUTE(SUBSTITUTE(SUBSTITUTE(SUBSTITUTE(INDEX(PASTE_ALL,$DF163,$L$18)," "," "),CHAR(9)," "),CHAR(10)," "),CHAR(13)," ")))="READY","Ready",IF(UPPER(TRIM(SUBSTITUTE(SUBSTITUTE(SUBSTITUTE(SUBSTITUTE(INDEX(PASTE_ALL,$DF163,$L$18)," "," "),CHAR(9)," "),CHAR(10)," "),CHAR(13)," ")))="PM","PM",IF(OR(UPPER(TRIM(SUBSTITUTE(SUBSTITUTE(SUBSTITUTE(SUBSTITUTE(INDEX(PASTE_ALL,$DF163,$L$18)," "," "),CHAR(9)," "),CHAR(10)," "),CHAR(13)," ")))="OT",UPPER(TRIM(SUBSTITUTE(SUBSTITUTE(SUBSTITUTE(SUBSTITUTE(INDEX(PASTE_ALL,$DF163,$L$18)," "," "),CHAR(9)," "),CHAR(10)," "),CHAR(13)," ")))="OVERTIME",UPPER(TRIM(SUBSTITUTE(SUBSTITUTE(SUBSTITUTE(SUBSTITUTE(INDEX(PASTE_ALL,$DF163,$L$18)," "," "),CHAR(9)," "),CHAR(10)," "),CHAR(13)," ")))="TRIAL"),"OT",TRIM(SUBSTITUTE(SUBSTITUTE(SUBSTITUTE(SUBSTITUTE(INDEX(PASTE_ALL,$DF163,$L$18)," "," "),CHAR(9)," "),CHAR(10)," "),CHAR(13)," "))))),"")))</f>
        <v/>
      </c>
      <c r="EC163">
        <f>IF($DM163=0,"",IF($L$19=0,"",IFERROR(IF(ISNUMBER(INDEX(PASTE_ALL,$DF163,$L$19)),INDEX(PASTE_ALL,$DF163,$L$19),TRIM(SUBSTITUTE(SUBSTITUTE(SUBSTITUTE(SUBSTITUTE(INDEX(PASTE_ALL,$DF163,$L$19)," "," "),CHAR(9)," "),CHAR(10)," "),CHAR(13)," "))),"")))</f>
        <v/>
      </c>
      <c r="ED163">
        <f>IF($DM163=0,"",MATCH(1,INDEX(EXACT($DH$5:DH163,$DH163)*$DM$5:DM163,0),0))</f>
        <v/>
      </c>
      <c r="EE163">
        <f>IF($DM163=0,0,IF($ED163=$DE163,1,0))</f>
        <v/>
      </c>
      <c r="EF163">
        <f>EF162+$EE163</f>
        <v/>
      </c>
      <c r="EG163">
        <f>IF($DM163=0,"",INDEX($EF$5:$EF$1003,$ED163))</f>
        <v/>
      </c>
      <c r="EH163">
        <f>IF($DM163=0,"",IF($DO163&lt;&gt;"","",IFERROR(LOOKUP(2,1/(($EG$4:EG162=$EG163)*($DO$4:DO162&lt;&gt;"")),$DO$4:DO162),"")))</f>
        <v/>
      </c>
      <c r="EI163">
        <f>IF($DM163=0,"",IF($DO163&lt;&gt;"",$DO163,$EH163))</f>
        <v/>
      </c>
      <c r="EJ163">
        <f>IF($DM163=0,"",IF($EI163="",0,IF(OR(ISNUMBER($EI163),AND(AND(SUBSTITUTE(SUBSTITUTE(SUBSTITUTE(SUBSTITUTE(SUBSTITUTE(SUBSTITUTE(SUBSTITUTE(SUBSTITUTE(SUBSTITUTE(SUBSTITUTE(SUBSTITUTE(SUBSTITUTE(SUBSTITUTE(SUBSTITUTE(UPPER($EI163),"0",""),"1",""),"2",""),"3",""),"4",""),"5",""),"6",""),"7",""),"8",""),"9",""),".",""),"+",""),"-",""),"E","")="",LEN(SUBSTITUTE(SUBSTITUTE(MID(UPPER($EI163),1+OR(LEFT(UPPER($EI163),1)="+",LEFT(UPPER($EI163),1)="-"),999),"E+","E"),"E-","E"))=LEN(SUBSTITUTE(SUBSTITUTE(SUBSTITUTE(SUBSTITUTE(MID(UPPER($EI163),1+OR(LEFT(UPPER($EI163),1)="+",LEFT(UPPER($EI163),1)="-"),999),"E+","E"),"E-","E"),"+",""),"-","")),LEN(UPPER($EI163))-LEN(SUBSTITUTE(UPPER($EI163),"E",""))&lt;2,LEN(UPPER($EI163))-LEN(SUBSTITUTE(UPPER($EI163),".",""))&lt;2,IFERROR(FIND(".",UPPER($EI163)),0)&lt;IFERROR(FIND("E",UPPER($EI163)),999)),ISNUMBER(VALUE($EI163)))),1,2)))</f>
        <v/>
      </c>
      <c r="EK163">
        <f>IF($DM163=0,"",IF($EJ163=1,IF(ISNUMBER($EI163),$EI163,VALUE($EI163)),IF($EJ163=2,$DE163,0)))</f>
        <v/>
      </c>
      <c r="EL163">
        <f>IF($DM163=0,"",COUNTIF($EG$5:$EG$1003,"&lt;"&amp;$EG163)+SUMPRODUCT(($EG$5:$EG$1003=$EG163)*(($EJ$5:$EJ$1003&lt;$EJ163)+($EJ$5:$EJ$1003=$EJ163)*(($EK$5:$EK$1003&lt;$EK163)+($EK$5:$EK$1003=$EK163)*($DE$5:$DE$1003&lt;$DE163))))+1)</f>
        <v/>
      </c>
      <c r="EM163">
        <f>IF($DM163=0,"",$EL163+$EG163-1)</f>
        <v/>
      </c>
      <c r="EN163">
        <f>IF($DM163=0,0,IFERROR(MATCH(1,INDEX(--(TRIM(SUBSTITUTE(SUBSTITUTE(SUBSTITUTE(SUBSTITUTE(LINES_NAME&amp;""," "," "),CHAR(9)," "),CHAR(10)," "),CHAR(13)," "))=$DH163),0),0),0))</f>
        <v/>
      </c>
      <c r="EO163">
        <f>IF($EN163=0,0,IF(OR(UPPER(TRIM(INDEX(LINES_SCHEDULED,$EN163)&amp;""))="YES",UPPER(TRIM(INDEX(LINES_SCHEDULED,$EN163)&amp;""))="Y",UPPER(TRIM(INDEX(LINES_SCHEDULED,$EN163)&amp;""))="X"),1,0))</f>
        <v/>
      </c>
      <c r="EP163">
        <f>IF($DM163=0,"",IF(COUNTIFS($EG$5:$EG$1003,$EG163,$EB$5:$EB$1003,"Ready")&gt;0,"READY",IF(COUNTIFS($EG$5:$EG$1003,$EG163,$EB$5:$EB$1003,"PM")&gt;0,"PM",IF(COUNTIFS($EG$5:$EG$1003,$EG163,$EB$5:$EB$1003,"OT")&gt;0,"OT",""))))</f>
        <v/>
      </c>
      <c r="EQ163">
        <f>IF($EN163=0,"",UPPER(TRIM(INDEX(LINES_STATUS,$EN163)&amp;"")))</f>
        <v/>
      </c>
      <c r="ER163">
        <f>IF($DM163=0,"",IF(OR($EQ163="READY",$EQ163="PM",$EQ163="OT"),$EQ163,$EP163))</f>
        <v/>
      </c>
      <c r="ES163">
        <f>IF($DM163=0,"",IF(AND($DV163&lt;&gt;"",UPPER($DV163)&lt;&gt;"N"),"allergen",IF(ISNUMBER(SEARCH("oil",$DQ163)),"oil",IF(OR(EXACT($DS163,"A662"),EXACT($DS163,"A624")),"bulk",""))))</f>
        <v/>
      </c>
      <c r="ET163">
        <f>IF($DM163=0,"",IF(OR($EA163="",$EA163=0),"",$EA163/100))</f>
        <v/>
      </c>
      <c r="EU163">
        <f>IF(OR($ET163="",$DY163=""),"",INT($DY163*(1-$ET163)+0.5))</f>
        <v/>
      </c>
      <c r="EW163" t="n">
        <v>159</v>
      </c>
      <c r="EX163">
        <f>IFERROR(MATCH($EW163,$EM$5:$EM$1003,0),0)</f>
        <v/>
      </c>
      <c r="EY163">
        <f>IF($EW163&gt;$B$12,"",IF($EX163&gt;0,"row","spacer"))</f>
        <v/>
      </c>
      <c r="EZ163">
        <f>IF(AND($EY163="row",$EY162&lt;&gt;"row"),1,0)</f>
        <v/>
      </c>
      <c r="FA163">
        <f>IF(AND($EY163="row",$EY164&lt;&gt;"row"),1,0)</f>
        <v/>
      </c>
      <c r="FB163">
        <f>IF($EZ163=1,IFERROR(IF(ISNUMBER(INDEX(PASTE_ALL,INDEX($DF$5:$DF$1003,$EX163),$B$37)),INDEX(PASTE_ALL,INDEX($DF$5:$DF$1003,$EX163),$B$37),INDEX($DH$5:$DH$1003,$EX163)),INDEX($DH$5:$DH$1003,$EX163)),"")</f>
        <v/>
      </c>
      <c r="FC163">
        <f>IF($EY163="row",INDEX($ER$5:$ER$1003,$EX163),"")</f>
        <v/>
      </c>
      <c r="FD163">
        <f>IF($EY163="row",INDEX($DN$5:$DN$1003,$EX163),"")</f>
        <v/>
      </c>
      <c r="FE163">
        <f>IF($EY163="row",INDEX($DO$5:$DO$1003,$EX163),"")</f>
        <v/>
      </c>
      <c r="FF163">
        <f>IF($EY163="row",INDEX($DP$5:$DP$1003,$EX163),"")</f>
        <v/>
      </c>
      <c r="FG163">
        <f>IF($EY163="row",INDEX($DQ$5:$DQ$1003,$EX163),"")</f>
        <v/>
      </c>
      <c r="FH163">
        <f>IF($EY163="row",INDEX($DR$5:$DR$1003,$EX163),"")</f>
        <v/>
      </c>
      <c r="FI163">
        <f>IF($EY163="row",INDEX($DS$5:$DS$1003,$EX163),"")</f>
        <v/>
      </c>
      <c r="FJ163">
        <f>IF($EY163="row",INDEX($DT$5:$DT$1003,$EX163),"")</f>
        <v/>
      </c>
      <c r="FK163">
        <f>IF($EY163="row",INDEX($DU$5:$DU$1003,$EX163),"")</f>
        <v/>
      </c>
      <c r="FL163">
        <f>IF($EY163="row",INDEX($DV$5:$DV$1003,$EX163),"")</f>
        <v/>
      </c>
      <c r="FM163">
        <f>IF($EY163="row",INDEX($DW$5:$DW$1003,$EX163),"")</f>
        <v/>
      </c>
      <c r="FN163">
        <f>IF($EY163="row",INDEX($DY$5:$DY$1003,$EX163),"")</f>
        <v/>
      </c>
      <c r="FO163">
        <f>IF($EY163="row",INDEX($EA$5:$EA$1003,$EX163),"")</f>
        <v/>
      </c>
      <c r="FP163">
        <f>IF($EY163="row",INDEX($EC$5:$EC$1003,$EX163),"")</f>
        <v/>
      </c>
      <c r="FQ163">
        <f>IF($EY163="row",INDEX($ET$5:$ET$1003,$EX163),"")</f>
        <v/>
      </c>
      <c r="FR163">
        <f>IF($EY163="row",INDEX($EU$5:$EU$1003,$EX163),"")</f>
        <v/>
      </c>
      <c r="FS163">
        <f>IF(AND($EY163="row",$EY162="row"),IF(OR(INDEX($DT$5:$DT$1003,$EX162)="",INDEX($DT$5:$DT$1003,$EX163)=""),"",IF(NOT(EXACT(INDEX($DT$5:$DT$1003,$EX162),INDEX($DT$5:$DT$1003,$EX163))),"S4",IF(NOT(EXACT(INDEX($DS$5:$DS$1003,$EX162),INDEX($DS$5:$DS$1003,$EX163))),"S3",IF(NOT(EXACT(INDEX($DR$5:$DR$1003,$EX162),INDEX($DR$5:$DR$1003,$EX163))),"S1 Count Change","S1")))),"")</f>
        <v/>
      </c>
      <c r="FT163">
        <f>IF($EY163="row",INDEX($ES$5:$ES$1003,$EX163),"")</f>
        <v/>
      </c>
      <c r="FU163">
        <f>IF($EY163="row",INDEX($EO$5:$EO$1003,$EX163),0)</f>
        <v/>
      </c>
      <c r="FV163">
        <f>IF($FS163="S1 Count Change",1,0)</f>
        <v/>
      </c>
    </row>
    <row r="164">
      <c r="Y164">
        <f>IF(Y29="",0,2*(OR(ISNUMBER(FIND("WORKCENTER",Y29)),AND(LEFT(Y29,4)="LINE",NOT(ISNUMBER(FIND("STATUS",Y29))))))+4*(OR(ISNUMBER(FIND("WORKORDER",Y29)),AND(LEFT(Y29,2)="WO",OR(ISNUMBER(FIND("NUM",Y29)),RIGHT(Y29,2)="NO"))))+8*(LEFT(Y29,3)="SEQ")+16*(AND(LEFT(Y29,4)="ITEM",NOT(ISNUMBER(FIND("DESC",Y29)))))+32*(AND(ISNUMBER(FIND("DESC",Y29)),NOT(ISNUMBER(FIND("CAP",Y29)))))+64*(OR(RIGHT(Y29,5)="COUNT",RIGHT(Y29,2)="CT"))+128*(ISNUMBER(FIND("BULK",Y29)))+256*(ISNUMBER(FIND("SIZE",Y29)))+512*(LEFT(Y29,3)="CAP")+1024*(ISNUMBER(FIND("ALLERG",Y29)))+2048*(OR(ISNUMBER(FIND("REMARK",Y29)),ISNUMBER(FIND("COMMENT",Y29))))+4096*(OR(ISNUMBER(FIND("QTY",Y29)),ISNUMBER(FIND("QUANTITY",Y29))))+8192*(AND(OR(ISNUMBER(FIND("COMPLETE",Y29)),ISNUMBER(FIND("PCT",Y29)),ISNUMBER(FIND("PERCENT",Y29))),NOT(ISNUMBER(FIND("ACTUAL",Y29))),LEN(Y29)&lt;=16))+32768*(OR(ISNUMBER(FIND("DESIC",Y29)),ISNUMBER(FIND("DESSIC",Y29)))))</f>
        <v/>
      </c>
      <c r="Z164">
        <f>IF(Z29="",0,2*(OR(ISNUMBER(FIND("WORKCENTER",Z29)),AND(LEFT(Z29,4)="LINE",NOT(ISNUMBER(FIND("STATUS",Z29))))))+4*(OR(ISNUMBER(FIND("WORKORDER",Z29)),AND(LEFT(Z29,2)="WO",OR(ISNUMBER(FIND("NUM",Z29)),RIGHT(Z29,2)="NO"))))+8*(LEFT(Z29,3)="SEQ")+16*(AND(LEFT(Z29,4)="ITEM",NOT(ISNUMBER(FIND("DESC",Z29)))))+32*(AND(ISNUMBER(FIND("DESC",Z29)),NOT(ISNUMBER(FIND("CAP",Z29)))))+64*(OR(RIGHT(Z29,5)="COUNT",RIGHT(Z29,2)="CT"))+128*(ISNUMBER(FIND("BULK",Z29)))+256*(ISNUMBER(FIND("SIZE",Z29)))+512*(LEFT(Z29,3)="CAP")+1024*(ISNUMBER(FIND("ALLERG",Z29)))+2048*(OR(ISNUMBER(FIND("REMARK",Z29)),ISNUMBER(FIND("COMMENT",Z29))))+4096*(OR(ISNUMBER(FIND("QTY",Z29)),ISNUMBER(FIND("QUANTITY",Z29))))+8192*(AND(OR(ISNUMBER(FIND("COMPLETE",Z29)),ISNUMBER(FIND("PCT",Z29)),ISNUMBER(FIND("PERCENT",Z29))),NOT(ISNUMBER(FIND("ACTUAL",Z29))),LEN(Z29)&lt;=16))+32768*(OR(ISNUMBER(FIND("DESIC",Z29)),ISNUMBER(FIND("DESSIC",Z29)))))</f>
        <v/>
      </c>
      <c r="AA164">
        <f>IF(AA29="",0,2*(OR(ISNUMBER(FIND("WORKCENTER",AA29)),AND(LEFT(AA29,4)="LINE",NOT(ISNUMBER(FIND("STATUS",AA29))))))+4*(OR(ISNUMBER(FIND("WORKORDER",AA29)),AND(LEFT(AA29,2)="WO",OR(ISNUMBER(FIND("NUM",AA29)),RIGHT(AA29,2)="NO"))))+8*(LEFT(AA29,3)="SEQ")+16*(AND(LEFT(AA29,4)="ITEM",NOT(ISNUMBER(FIND("DESC",AA29)))))+32*(AND(ISNUMBER(FIND("DESC",AA29)),NOT(ISNUMBER(FIND("CAP",AA29)))))+64*(OR(RIGHT(AA29,5)="COUNT",RIGHT(AA29,2)="CT"))+128*(ISNUMBER(FIND("BULK",AA29)))+256*(ISNUMBER(FIND("SIZE",AA29)))+512*(LEFT(AA29,3)="CAP")+1024*(ISNUMBER(FIND("ALLERG",AA29)))+2048*(OR(ISNUMBER(FIND("REMARK",AA29)),ISNUMBER(FIND("COMMENT",AA29))))+4096*(OR(ISNUMBER(FIND("QTY",AA29)),ISNUMBER(FIND("QUANTITY",AA29))))+8192*(AND(OR(ISNUMBER(FIND("COMPLETE",AA29)),ISNUMBER(FIND("PCT",AA29)),ISNUMBER(FIND("PERCENT",AA29))),NOT(ISNUMBER(FIND("ACTUAL",AA29))),LEN(AA29)&lt;=16))+32768*(OR(ISNUMBER(FIND("DESIC",AA29)),ISNUMBER(FIND("DESSIC",AA29)))))</f>
        <v/>
      </c>
      <c r="AB164">
        <f>IF(AB29="",0,2*(OR(ISNUMBER(FIND("WORKCENTER",AB29)),AND(LEFT(AB29,4)="LINE",NOT(ISNUMBER(FIND("STATUS",AB29))))))+4*(OR(ISNUMBER(FIND("WORKORDER",AB29)),AND(LEFT(AB29,2)="WO",OR(ISNUMBER(FIND("NUM",AB29)),RIGHT(AB29,2)="NO"))))+8*(LEFT(AB29,3)="SEQ")+16*(AND(LEFT(AB29,4)="ITEM",NOT(ISNUMBER(FIND("DESC",AB29)))))+32*(AND(ISNUMBER(FIND("DESC",AB29)),NOT(ISNUMBER(FIND("CAP",AB29)))))+64*(OR(RIGHT(AB29,5)="COUNT",RIGHT(AB29,2)="CT"))+128*(ISNUMBER(FIND("BULK",AB29)))+256*(ISNUMBER(FIND("SIZE",AB29)))+512*(LEFT(AB29,3)="CAP")+1024*(ISNUMBER(FIND("ALLERG",AB29)))+2048*(OR(ISNUMBER(FIND("REMARK",AB29)),ISNUMBER(FIND("COMMENT",AB29))))+4096*(OR(ISNUMBER(FIND("QTY",AB29)),ISNUMBER(FIND("QUANTITY",AB29))))+8192*(AND(OR(ISNUMBER(FIND("COMPLETE",AB29)),ISNUMBER(FIND("PCT",AB29)),ISNUMBER(FIND("PERCENT",AB29))),NOT(ISNUMBER(FIND("ACTUAL",AB29))),LEN(AB29)&lt;=16))+32768*(OR(ISNUMBER(FIND("DESIC",AB29)),ISNUMBER(FIND("DESSIC",AB29)))))</f>
        <v/>
      </c>
      <c r="AC164">
        <f>IF(AC29="",0,2*(OR(ISNUMBER(FIND("WORKCENTER",AC29)),AND(LEFT(AC29,4)="LINE",NOT(ISNUMBER(FIND("STATUS",AC29))))))+4*(OR(ISNUMBER(FIND("WORKORDER",AC29)),AND(LEFT(AC29,2)="WO",OR(ISNUMBER(FIND("NUM",AC29)),RIGHT(AC29,2)="NO"))))+8*(LEFT(AC29,3)="SEQ")+16*(AND(LEFT(AC29,4)="ITEM",NOT(ISNUMBER(FIND("DESC",AC29)))))+32*(AND(ISNUMBER(FIND("DESC",AC29)),NOT(ISNUMBER(FIND("CAP",AC29)))))+64*(OR(RIGHT(AC29,5)="COUNT",RIGHT(AC29,2)="CT"))+128*(ISNUMBER(FIND("BULK",AC29)))+256*(ISNUMBER(FIND("SIZE",AC29)))+512*(LEFT(AC29,3)="CAP")+1024*(ISNUMBER(FIND("ALLERG",AC29)))+2048*(OR(ISNUMBER(FIND("REMARK",AC29)),ISNUMBER(FIND("COMMENT",AC29))))+4096*(OR(ISNUMBER(FIND("QTY",AC29)),ISNUMBER(FIND("QUANTITY",AC29))))+8192*(AND(OR(ISNUMBER(FIND("COMPLETE",AC29)),ISNUMBER(FIND("PCT",AC29)),ISNUMBER(FIND("PERCENT",AC29))),NOT(ISNUMBER(FIND("ACTUAL",AC29))),LEN(AC29)&lt;=16))+32768*(OR(ISNUMBER(FIND("DESIC",AC29)),ISNUMBER(FIND("DESSIC",AC29)))))</f>
        <v/>
      </c>
      <c r="AD164">
        <f>IF(AD29="",0,2*(OR(ISNUMBER(FIND("WORKCENTER",AD29)),AND(LEFT(AD29,4)="LINE",NOT(ISNUMBER(FIND("STATUS",AD29))))))+4*(OR(ISNUMBER(FIND("WORKORDER",AD29)),AND(LEFT(AD29,2)="WO",OR(ISNUMBER(FIND("NUM",AD29)),RIGHT(AD29,2)="NO"))))+8*(LEFT(AD29,3)="SEQ")+16*(AND(LEFT(AD29,4)="ITEM",NOT(ISNUMBER(FIND("DESC",AD29)))))+32*(AND(ISNUMBER(FIND("DESC",AD29)),NOT(ISNUMBER(FIND("CAP",AD29)))))+64*(OR(RIGHT(AD29,5)="COUNT",RIGHT(AD29,2)="CT"))+128*(ISNUMBER(FIND("BULK",AD29)))+256*(ISNUMBER(FIND("SIZE",AD29)))+512*(LEFT(AD29,3)="CAP")+1024*(ISNUMBER(FIND("ALLERG",AD29)))+2048*(OR(ISNUMBER(FIND("REMARK",AD29)),ISNUMBER(FIND("COMMENT",AD29))))+4096*(OR(ISNUMBER(FIND("QTY",AD29)),ISNUMBER(FIND("QUANTITY",AD29))))+8192*(AND(OR(ISNUMBER(FIND("COMPLETE",AD29)),ISNUMBER(FIND("PCT",AD29)),ISNUMBER(FIND("PERCENT",AD29))),NOT(ISNUMBER(FIND("ACTUAL",AD29))),LEN(AD29)&lt;=16))+32768*(OR(ISNUMBER(FIND("DESIC",AD29)),ISNUMBER(FIND("DESSIC",AD29)))))</f>
        <v/>
      </c>
      <c r="AE164">
        <f>IF(AE29="",0,2*(OR(ISNUMBER(FIND("WORKCENTER",AE29)),AND(LEFT(AE29,4)="LINE",NOT(ISNUMBER(FIND("STATUS",AE29))))))+4*(OR(ISNUMBER(FIND("WORKORDER",AE29)),AND(LEFT(AE29,2)="WO",OR(ISNUMBER(FIND("NUM",AE29)),RIGHT(AE29,2)="NO"))))+8*(LEFT(AE29,3)="SEQ")+16*(AND(LEFT(AE29,4)="ITEM",NOT(ISNUMBER(FIND("DESC",AE29)))))+32*(AND(ISNUMBER(FIND("DESC",AE29)),NOT(ISNUMBER(FIND("CAP",AE29)))))+64*(OR(RIGHT(AE29,5)="COUNT",RIGHT(AE29,2)="CT"))+128*(ISNUMBER(FIND("BULK",AE29)))+256*(ISNUMBER(FIND("SIZE",AE29)))+512*(LEFT(AE29,3)="CAP")+1024*(ISNUMBER(FIND("ALLERG",AE29)))+2048*(OR(ISNUMBER(FIND("REMARK",AE29)),ISNUMBER(FIND("COMMENT",AE29))))+4096*(OR(ISNUMBER(FIND("QTY",AE29)),ISNUMBER(FIND("QUANTITY",AE29))))+8192*(AND(OR(ISNUMBER(FIND("COMPLETE",AE29)),ISNUMBER(FIND("PCT",AE29)),ISNUMBER(FIND("PERCENT",AE29))),NOT(ISNUMBER(FIND("ACTUAL",AE29))),LEN(AE29)&lt;=16))+32768*(OR(ISNUMBER(FIND("DESIC",AE29)),ISNUMBER(FIND("DESSIC",AE29)))))</f>
        <v/>
      </c>
      <c r="AF164">
        <f>IF(AF29="",0,2*(OR(ISNUMBER(FIND("WORKCENTER",AF29)),AND(LEFT(AF29,4)="LINE",NOT(ISNUMBER(FIND("STATUS",AF29))))))+4*(OR(ISNUMBER(FIND("WORKORDER",AF29)),AND(LEFT(AF29,2)="WO",OR(ISNUMBER(FIND("NUM",AF29)),RIGHT(AF29,2)="NO"))))+8*(LEFT(AF29,3)="SEQ")+16*(AND(LEFT(AF29,4)="ITEM",NOT(ISNUMBER(FIND("DESC",AF29)))))+32*(AND(ISNUMBER(FIND("DESC",AF29)),NOT(ISNUMBER(FIND("CAP",AF29)))))+64*(OR(RIGHT(AF29,5)="COUNT",RIGHT(AF29,2)="CT"))+128*(ISNUMBER(FIND("BULK",AF29)))+256*(ISNUMBER(FIND("SIZE",AF29)))+512*(LEFT(AF29,3)="CAP")+1024*(ISNUMBER(FIND("ALLERG",AF29)))+2048*(OR(ISNUMBER(FIND("REMARK",AF29)),ISNUMBER(FIND("COMMENT",AF29))))+4096*(OR(ISNUMBER(FIND("QTY",AF29)),ISNUMBER(FIND("QUANTITY",AF29))))+8192*(AND(OR(ISNUMBER(FIND("COMPLETE",AF29)),ISNUMBER(FIND("PCT",AF29)),ISNUMBER(FIND("PERCENT",AF29))),NOT(ISNUMBER(FIND("ACTUAL",AF29))),LEN(AF29)&lt;=16))+32768*(OR(ISNUMBER(FIND("DESIC",AF29)),ISNUMBER(FIND("DESSIC",AF29)))))</f>
        <v/>
      </c>
      <c r="AG164">
        <f>IF(AG29="",0,2*(OR(ISNUMBER(FIND("WORKCENTER",AG29)),AND(LEFT(AG29,4)="LINE",NOT(ISNUMBER(FIND("STATUS",AG29))))))+4*(OR(ISNUMBER(FIND("WORKORDER",AG29)),AND(LEFT(AG29,2)="WO",OR(ISNUMBER(FIND("NUM",AG29)),RIGHT(AG29,2)="NO"))))+8*(LEFT(AG29,3)="SEQ")+16*(AND(LEFT(AG29,4)="ITEM",NOT(ISNUMBER(FIND("DESC",AG29)))))+32*(AND(ISNUMBER(FIND("DESC",AG29)),NOT(ISNUMBER(FIND("CAP",AG29)))))+64*(OR(RIGHT(AG29,5)="COUNT",RIGHT(AG29,2)="CT"))+128*(ISNUMBER(FIND("BULK",AG29)))+256*(ISNUMBER(FIND("SIZE",AG29)))+512*(LEFT(AG29,3)="CAP")+1024*(ISNUMBER(FIND("ALLERG",AG29)))+2048*(OR(ISNUMBER(FIND("REMARK",AG29)),ISNUMBER(FIND("COMMENT",AG29))))+4096*(OR(ISNUMBER(FIND("QTY",AG29)),ISNUMBER(FIND("QUANTITY",AG29))))+8192*(AND(OR(ISNUMBER(FIND("COMPLETE",AG29)),ISNUMBER(FIND("PCT",AG29)),ISNUMBER(FIND("PERCENT",AG29))),NOT(ISNUMBER(FIND("ACTUAL",AG29))),LEN(AG29)&lt;=16))+32768*(OR(ISNUMBER(FIND("DESIC",AG29)),ISNUMBER(FIND("DESSIC",AG29)))))</f>
        <v/>
      </c>
      <c r="AH164">
        <f>IF(AH29="",0,2*(OR(ISNUMBER(FIND("WORKCENTER",AH29)),AND(LEFT(AH29,4)="LINE",NOT(ISNUMBER(FIND("STATUS",AH29))))))+4*(OR(ISNUMBER(FIND("WORKORDER",AH29)),AND(LEFT(AH29,2)="WO",OR(ISNUMBER(FIND("NUM",AH29)),RIGHT(AH29,2)="NO"))))+8*(LEFT(AH29,3)="SEQ")+16*(AND(LEFT(AH29,4)="ITEM",NOT(ISNUMBER(FIND("DESC",AH29)))))+32*(AND(ISNUMBER(FIND("DESC",AH29)),NOT(ISNUMBER(FIND("CAP",AH29)))))+64*(OR(RIGHT(AH29,5)="COUNT",RIGHT(AH29,2)="CT"))+128*(ISNUMBER(FIND("BULK",AH29)))+256*(ISNUMBER(FIND("SIZE",AH29)))+512*(LEFT(AH29,3)="CAP")+1024*(ISNUMBER(FIND("ALLERG",AH29)))+2048*(OR(ISNUMBER(FIND("REMARK",AH29)),ISNUMBER(FIND("COMMENT",AH29))))+4096*(OR(ISNUMBER(FIND("QTY",AH29)),ISNUMBER(FIND("QUANTITY",AH29))))+8192*(AND(OR(ISNUMBER(FIND("COMPLETE",AH29)),ISNUMBER(FIND("PCT",AH29)),ISNUMBER(FIND("PERCENT",AH29))),NOT(ISNUMBER(FIND("ACTUAL",AH29))),LEN(AH29)&lt;=16))+32768*(OR(ISNUMBER(FIND("DESIC",AH29)),ISNUMBER(FIND("DESSIC",AH29)))))</f>
        <v/>
      </c>
      <c r="AI164">
        <f>IF(AI29="",0,2*(OR(ISNUMBER(FIND("WORKCENTER",AI29)),AND(LEFT(AI29,4)="LINE",NOT(ISNUMBER(FIND("STATUS",AI29))))))+4*(OR(ISNUMBER(FIND("WORKORDER",AI29)),AND(LEFT(AI29,2)="WO",OR(ISNUMBER(FIND("NUM",AI29)),RIGHT(AI29,2)="NO"))))+8*(LEFT(AI29,3)="SEQ")+16*(AND(LEFT(AI29,4)="ITEM",NOT(ISNUMBER(FIND("DESC",AI29)))))+32*(AND(ISNUMBER(FIND("DESC",AI29)),NOT(ISNUMBER(FIND("CAP",AI29)))))+64*(OR(RIGHT(AI29,5)="COUNT",RIGHT(AI29,2)="CT"))+128*(ISNUMBER(FIND("BULK",AI29)))+256*(ISNUMBER(FIND("SIZE",AI29)))+512*(LEFT(AI29,3)="CAP")+1024*(ISNUMBER(FIND("ALLERG",AI29)))+2048*(OR(ISNUMBER(FIND("REMARK",AI29)),ISNUMBER(FIND("COMMENT",AI29))))+4096*(OR(ISNUMBER(FIND("QTY",AI29)),ISNUMBER(FIND("QUANTITY",AI29))))+8192*(AND(OR(ISNUMBER(FIND("COMPLETE",AI29)),ISNUMBER(FIND("PCT",AI29)),ISNUMBER(FIND("PERCENT",AI29))),NOT(ISNUMBER(FIND("ACTUAL",AI29))),LEN(AI29)&lt;=16))+32768*(OR(ISNUMBER(FIND("DESIC",AI29)),ISNUMBER(FIND("DESSIC",AI29)))))</f>
        <v/>
      </c>
      <c r="AJ164">
        <f>IF(AJ29="",0,2*(OR(ISNUMBER(FIND("WORKCENTER",AJ29)),AND(LEFT(AJ29,4)="LINE",NOT(ISNUMBER(FIND("STATUS",AJ29))))))+4*(OR(ISNUMBER(FIND("WORKORDER",AJ29)),AND(LEFT(AJ29,2)="WO",OR(ISNUMBER(FIND("NUM",AJ29)),RIGHT(AJ29,2)="NO"))))+8*(LEFT(AJ29,3)="SEQ")+16*(AND(LEFT(AJ29,4)="ITEM",NOT(ISNUMBER(FIND("DESC",AJ29)))))+32*(AND(ISNUMBER(FIND("DESC",AJ29)),NOT(ISNUMBER(FIND("CAP",AJ29)))))+64*(OR(RIGHT(AJ29,5)="COUNT",RIGHT(AJ29,2)="CT"))+128*(ISNUMBER(FIND("BULK",AJ29)))+256*(ISNUMBER(FIND("SIZE",AJ29)))+512*(LEFT(AJ29,3)="CAP")+1024*(ISNUMBER(FIND("ALLERG",AJ29)))+2048*(OR(ISNUMBER(FIND("REMARK",AJ29)),ISNUMBER(FIND("COMMENT",AJ29))))+4096*(OR(ISNUMBER(FIND("QTY",AJ29)),ISNUMBER(FIND("QUANTITY",AJ29))))+8192*(AND(OR(ISNUMBER(FIND("COMPLETE",AJ29)),ISNUMBER(FIND("PCT",AJ29)),ISNUMBER(FIND("PERCENT",AJ29))),NOT(ISNUMBER(FIND("ACTUAL",AJ29))),LEN(AJ29)&lt;=16))+32768*(OR(ISNUMBER(FIND("DESIC",AJ29)),ISNUMBER(FIND("DESSIC",AJ29)))))</f>
        <v/>
      </c>
      <c r="AK164">
        <f>IF(AK29="",0,2*(OR(ISNUMBER(FIND("WORKCENTER",AK29)),AND(LEFT(AK29,4)="LINE",NOT(ISNUMBER(FIND("STATUS",AK29))))))+4*(OR(ISNUMBER(FIND("WORKORDER",AK29)),AND(LEFT(AK29,2)="WO",OR(ISNUMBER(FIND("NUM",AK29)),RIGHT(AK29,2)="NO"))))+8*(LEFT(AK29,3)="SEQ")+16*(AND(LEFT(AK29,4)="ITEM",NOT(ISNUMBER(FIND("DESC",AK29)))))+32*(AND(ISNUMBER(FIND("DESC",AK29)),NOT(ISNUMBER(FIND("CAP",AK29)))))+64*(OR(RIGHT(AK29,5)="COUNT",RIGHT(AK29,2)="CT"))+128*(ISNUMBER(FIND("BULK",AK29)))+256*(ISNUMBER(FIND("SIZE",AK29)))+512*(LEFT(AK29,3)="CAP")+1024*(ISNUMBER(FIND("ALLERG",AK29)))+2048*(OR(ISNUMBER(FIND("REMARK",AK29)),ISNUMBER(FIND("COMMENT",AK29))))+4096*(OR(ISNUMBER(FIND("QTY",AK29)),ISNUMBER(FIND("QUANTITY",AK29))))+8192*(AND(OR(ISNUMBER(FIND("COMPLETE",AK29)),ISNUMBER(FIND("PCT",AK29)),ISNUMBER(FIND("PERCENT",AK29))),NOT(ISNUMBER(FIND("ACTUAL",AK29))),LEN(AK29)&lt;=16))+32768*(OR(ISNUMBER(FIND("DESIC",AK29)),ISNUMBER(FIND("DESSIC",AK29)))))</f>
        <v/>
      </c>
      <c r="AL164">
        <f>IF(AL29="",0,2*(OR(ISNUMBER(FIND("WORKCENTER",AL29)),AND(LEFT(AL29,4)="LINE",NOT(ISNUMBER(FIND("STATUS",AL29))))))+4*(OR(ISNUMBER(FIND("WORKORDER",AL29)),AND(LEFT(AL29,2)="WO",OR(ISNUMBER(FIND("NUM",AL29)),RIGHT(AL29,2)="NO"))))+8*(LEFT(AL29,3)="SEQ")+16*(AND(LEFT(AL29,4)="ITEM",NOT(ISNUMBER(FIND("DESC",AL29)))))+32*(AND(ISNUMBER(FIND("DESC",AL29)),NOT(ISNUMBER(FIND("CAP",AL29)))))+64*(OR(RIGHT(AL29,5)="COUNT",RIGHT(AL29,2)="CT"))+128*(ISNUMBER(FIND("BULK",AL29)))+256*(ISNUMBER(FIND("SIZE",AL29)))+512*(LEFT(AL29,3)="CAP")+1024*(ISNUMBER(FIND("ALLERG",AL29)))+2048*(OR(ISNUMBER(FIND("REMARK",AL29)),ISNUMBER(FIND("COMMENT",AL29))))+4096*(OR(ISNUMBER(FIND("QTY",AL29)),ISNUMBER(FIND("QUANTITY",AL29))))+8192*(AND(OR(ISNUMBER(FIND("COMPLETE",AL29)),ISNUMBER(FIND("PCT",AL29)),ISNUMBER(FIND("PERCENT",AL29))),NOT(ISNUMBER(FIND("ACTUAL",AL29))),LEN(AL29)&lt;=16))+32768*(OR(ISNUMBER(FIND("DESIC",AL29)),ISNUMBER(FIND("DESSIC",AL29)))))</f>
        <v/>
      </c>
      <c r="AM164">
        <f>IF(AM29="",0,2*(OR(ISNUMBER(FIND("WORKCENTER",AM29)),AND(LEFT(AM29,4)="LINE",NOT(ISNUMBER(FIND("STATUS",AM29))))))+4*(OR(ISNUMBER(FIND("WORKORDER",AM29)),AND(LEFT(AM29,2)="WO",OR(ISNUMBER(FIND("NUM",AM29)),RIGHT(AM29,2)="NO"))))+8*(LEFT(AM29,3)="SEQ")+16*(AND(LEFT(AM29,4)="ITEM",NOT(ISNUMBER(FIND("DESC",AM29)))))+32*(AND(ISNUMBER(FIND("DESC",AM29)),NOT(ISNUMBER(FIND("CAP",AM29)))))+64*(OR(RIGHT(AM29,5)="COUNT",RIGHT(AM29,2)="CT"))+128*(ISNUMBER(FIND("BULK",AM29)))+256*(ISNUMBER(FIND("SIZE",AM29)))+512*(LEFT(AM29,3)="CAP")+1024*(ISNUMBER(FIND("ALLERG",AM29)))+2048*(OR(ISNUMBER(FIND("REMARK",AM29)),ISNUMBER(FIND("COMMENT",AM29))))+4096*(OR(ISNUMBER(FIND("QTY",AM29)),ISNUMBER(FIND("QUANTITY",AM29))))+8192*(AND(OR(ISNUMBER(FIND("COMPLETE",AM29)),ISNUMBER(FIND("PCT",AM29)),ISNUMBER(FIND("PERCENT",AM29))),NOT(ISNUMBER(FIND("ACTUAL",AM29))),LEN(AM29)&lt;=16))+32768*(OR(ISNUMBER(FIND("DESIC",AM29)),ISNUMBER(FIND("DESSIC",AM29)))))</f>
        <v/>
      </c>
      <c r="AN164">
        <f>IF(AN29="",0,2*(OR(ISNUMBER(FIND("WORKCENTER",AN29)),AND(LEFT(AN29,4)="LINE",NOT(ISNUMBER(FIND("STATUS",AN29))))))+4*(OR(ISNUMBER(FIND("WORKORDER",AN29)),AND(LEFT(AN29,2)="WO",OR(ISNUMBER(FIND("NUM",AN29)),RIGHT(AN29,2)="NO"))))+8*(LEFT(AN29,3)="SEQ")+16*(AND(LEFT(AN29,4)="ITEM",NOT(ISNUMBER(FIND("DESC",AN29)))))+32*(AND(ISNUMBER(FIND("DESC",AN29)),NOT(ISNUMBER(FIND("CAP",AN29)))))+64*(OR(RIGHT(AN29,5)="COUNT",RIGHT(AN29,2)="CT"))+128*(ISNUMBER(FIND("BULK",AN29)))+256*(ISNUMBER(FIND("SIZE",AN29)))+512*(LEFT(AN29,3)="CAP")+1024*(ISNUMBER(FIND("ALLERG",AN29)))+2048*(OR(ISNUMBER(FIND("REMARK",AN29)),ISNUMBER(FIND("COMMENT",AN29))))+4096*(OR(ISNUMBER(FIND("QTY",AN29)),ISNUMBER(FIND("QUANTITY",AN29))))+8192*(AND(OR(ISNUMBER(FIND("COMPLETE",AN29)),ISNUMBER(FIND("PCT",AN29)),ISNUMBER(FIND("PERCENT",AN29))),NOT(ISNUMBER(FIND("ACTUAL",AN29))),LEN(AN29)&lt;=16))+32768*(OR(ISNUMBER(FIND("DESIC",AN29)),ISNUMBER(FIND("DESSIC",AN29)))))</f>
        <v/>
      </c>
      <c r="AO164">
        <f>IF(AO29="",0,2*(OR(ISNUMBER(FIND("WORKCENTER",AO29)),AND(LEFT(AO29,4)="LINE",NOT(ISNUMBER(FIND("STATUS",AO29))))))+4*(OR(ISNUMBER(FIND("WORKORDER",AO29)),AND(LEFT(AO29,2)="WO",OR(ISNUMBER(FIND("NUM",AO29)),RIGHT(AO29,2)="NO"))))+8*(LEFT(AO29,3)="SEQ")+16*(AND(LEFT(AO29,4)="ITEM",NOT(ISNUMBER(FIND("DESC",AO29)))))+32*(AND(ISNUMBER(FIND("DESC",AO29)),NOT(ISNUMBER(FIND("CAP",AO29)))))+64*(OR(RIGHT(AO29,5)="COUNT",RIGHT(AO29,2)="CT"))+128*(ISNUMBER(FIND("BULK",AO29)))+256*(ISNUMBER(FIND("SIZE",AO29)))+512*(LEFT(AO29,3)="CAP")+1024*(ISNUMBER(FIND("ALLERG",AO29)))+2048*(OR(ISNUMBER(FIND("REMARK",AO29)),ISNUMBER(FIND("COMMENT",AO29))))+4096*(OR(ISNUMBER(FIND("QTY",AO29)),ISNUMBER(FIND("QUANTITY",AO29))))+8192*(AND(OR(ISNUMBER(FIND("COMPLETE",AO29)),ISNUMBER(FIND("PCT",AO29)),ISNUMBER(FIND("PERCENT",AO29))),NOT(ISNUMBER(FIND("ACTUAL",AO29))),LEN(AO29)&lt;=16))+32768*(OR(ISNUMBER(FIND("DESIC",AO29)),ISNUMBER(FIND("DESSIC",AO29)))))</f>
        <v/>
      </c>
      <c r="AP164">
        <f>IF(AP29="",0,2*(OR(ISNUMBER(FIND("WORKCENTER",AP29)),AND(LEFT(AP29,4)="LINE",NOT(ISNUMBER(FIND("STATUS",AP29))))))+4*(OR(ISNUMBER(FIND("WORKORDER",AP29)),AND(LEFT(AP29,2)="WO",OR(ISNUMBER(FIND("NUM",AP29)),RIGHT(AP29,2)="NO"))))+8*(LEFT(AP29,3)="SEQ")+16*(AND(LEFT(AP29,4)="ITEM",NOT(ISNUMBER(FIND("DESC",AP29)))))+32*(AND(ISNUMBER(FIND("DESC",AP29)),NOT(ISNUMBER(FIND("CAP",AP29)))))+64*(OR(RIGHT(AP29,5)="COUNT",RIGHT(AP29,2)="CT"))+128*(ISNUMBER(FIND("BULK",AP29)))+256*(ISNUMBER(FIND("SIZE",AP29)))+512*(LEFT(AP29,3)="CAP")+1024*(ISNUMBER(FIND("ALLERG",AP29)))+2048*(OR(ISNUMBER(FIND("REMARK",AP29)),ISNUMBER(FIND("COMMENT",AP29))))+4096*(OR(ISNUMBER(FIND("QTY",AP29)),ISNUMBER(FIND("QUANTITY",AP29))))+8192*(AND(OR(ISNUMBER(FIND("COMPLETE",AP29)),ISNUMBER(FIND("PCT",AP29)),ISNUMBER(FIND("PERCENT",AP29))),NOT(ISNUMBER(FIND("ACTUAL",AP29))),LEN(AP29)&lt;=16))+32768*(OR(ISNUMBER(FIND("DESIC",AP29)),ISNUMBER(FIND("DESSIC",AP29)))))</f>
        <v/>
      </c>
      <c r="AQ164">
        <f>IF(AQ29="",0,2*(OR(ISNUMBER(FIND("WORKCENTER",AQ29)),AND(LEFT(AQ29,4)="LINE",NOT(ISNUMBER(FIND("STATUS",AQ29))))))+4*(OR(ISNUMBER(FIND("WORKORDER",AQ29)),AND(LEFT(AQ29,2)="WO",OR(ISNUMBER(FIND("NUM",AQ29)),RIGHT(AQ29,2)="NO"))))+8*(LEFT(AQ29,3)="SEQ")+16*(AND(LEFT(AQ29,4)="ITEM",NOT(ISNUMBER(FIND("DESC",AQ29)))))+32*(AND(ISNUMBER(FIND("DESC",AQ29)),NOT(ISNUMBER(FIND("CAP",AQ29)))))+64*(OR(RIGHT(AQ29,5)="COUNT",RIGHT(AQ29,2)="CT"))+128*(ISNUMBER(FIND("BULK",AQ29)))+256*(ISNUMBER(FIND("SIZE",AQ29)))+512*(LEFT(AQ29,3)="CAP")+1024*(ISNUMBER(FIND("ALLERG",AQ29)))+2048*(OR(ISNUMBER(FIND("REMARK",AQ29)),ISNUMBER(FIND("COMMENT",AQ29))))+4096*(OR(ISNUMBER(FIND("QTY",AQ29)),ISNUMBER(FIND("QUANTITY",AQ29))))+8192*(AND(OR(ISNUMBER(FIND("COMPLETE",AQ29)),ISNUMBER(FIND("PCT",AQ29)),ISNUMBER(FIND("PERCENT",AQ29))),NOT(ISNUMBER(FIND("ACTUAL",AQ29))),LEN(AQ29)&lt;=16))+32768*(OR(ISNUMBER(FIND("DESIC",AQ29)),ISNUMBER(FIND("DESSIC",AQ29)))))</f>
        <v/>
      </c>
      <c r="AR164">
        <f>IF(AR29="",0,2*(OR(ISNUMBER(FIND("WORKCENTER",AR29)),AND(LEFT(AR29,4)="LINE",NOT(ISNUMBER(FIND("STATUS",AR29))))))+4*(OR(ISNUMBER(FIND("WORKORDER",AR29)),AND(LEFT(AR29,2)="WO",OR(ISNUMBER(FIND("NUM",AR29)),RIGHT(AR29,2)="NO"))))+8*(LEFT(AR29,3)="SEQ")+16*(AND(LEFT(AR29,4)="ITEM",NOT(ISNUMBER(FIND("DESC",AR29)))))+32*(AND(ISNUMBER(FIND("DESC",AR29)),NOT(ISNUMBER(FIND("CAP",AR29)))))+64*(OR(RIGHT(AR29,5)="COUNT",RIGHT(AR29,2)="CT"))+128*(ISNUMBER(FIND("BULK",AR29)))+256*(ISNUMBER(FIND("SIZE",AR29)))+512*(LEFT(AR29,3)="CAP")+1024*(ISNUMBER(FIND("ALLERG",AR29)))+2048*(OR(ISNUMBER(FIND("REMARK",AR29)),ISNUMBER(FIND("COMMENT",AR29))))+4096*(OR(ISNUMBER(FIND("QTY",AR29)),ISNUMBER(FIND("QUANTITY",AR29))))+8192*(AND(OR(ISNUMBER(FIND("COMPLETE",AR29)),ISNUMBER(FIND("PCT",AR29)),ISNUMBER(FIND("PERCENT",AR29))),NOT(ISNUMBER(FIND("ACTUAL",AR29))),LEN(AR29)&lt;=16))+32768*(OR(ISNUMBER(FIND("DESIC",AR29)),ISNUMBER(FIND("DESSIC",AR29)))))</f>
        <v/>
      </c>
      <c r="AS164">
        <f>IF(AS29="",0,2*(OR(ISNUMBER(FIND("WORKCENTER",AS29)),AND(LEFT(AS29,4)="LINE",NOT(ISNUMBER(FIND("STATUS",AS29))))))+4*(OR(ISNUMBER(FIND("WORKORDER",AS29)),AND(LEFT(AS29,2)="WO",OR(ISNUMBER(FIND("NUM",AS29)),RIGHT(AS29,2)="NO"))))+8*(LEFT(AS29,3)="SEQ")+16*(AND(LEFT(AS29,4)="ITEM",NOT(ISNUMBER(FIND("DESC",AS29)))))+32*(AND(ISNUMBER(FIND("DESC",AS29)),NOT(ISNUMBER(FIND("CAP",AS29)))))+64*(OR(RIGHT(AS29,5)="COUNT",RIGHT(AS29,2)="CT"))+128*(ISNUMBER(FIND("BULK",AS29)))+256*(ISNUMBER(FIND("SIZE",AS29)))+512*(LEFT(AS29,3)="CAP")+1024*(ISNUMBER(FIND("ALLERG",AS29)))+2048*(OR(ISNUMBER(FIND("REMARK",AS29)),ISNUMBER(FIND("COMMENT",AS29))))+4096*(OR(ISNUMBER(FIND("QTY",AS29)),ISNUMBER(FIND("QUANTITY",AS29))))+8192*(AND(OR(ISNUMBER(FIND("COMPLETE",AS29)),ISNUMBER(FIND("PCT",AS29)),ISNUMBER(FIND("PERCENT",AS29))),NOT(ISNUMBER(FIND("ACTUAL",AS29))),LEN(AS29)&lt;=16))+32768*(OR(ISNUMBER(FIND("DESIC",AS29)),ISNUMBER(FIND("DESSIC",AS29)))))</f>
        <v/>
      </c>
      <c r="AT164">
        <f>IF(AT29="",0,2*(OR(ISNUMBER(FIND("WORKCENTER",AT29)),AND(LEFT(AT29,4)="LINE",NOT(ISNUMBER(FIND("STATUS",AT29))))))+4*(OR(ISNUMBER(FIND("WORKORDER",AT29)),AND(LEFT(AT29,2)="WO",OR(ISNUMBER(FIND("NUM",AT29)),RIGHT(AT29,2)="NO"))))+8*(LEFT(AT29,3)="SEQ")+16*(AND(LEFT(AT29,4)="ITEM",NOT(ISNUMBER(FIND("DESC",AT29)))))+32*(AND(ISNUMBER(FIND("DESC",AT29)),NOT(ISNUMBER(FIND("CAP",AT29)))))+64*(OR(RIGHT(AT29,5)="COUNT",RIGHT(AT29,2)="CT"))+128*(ISNUMBER(FIND("BULK",AT29)))+256*(ISNUMBER(FIND("SIZE",AT29)))+512*(LEFT(AT29,3)="CAP")+1024*(ISNUMBER(FIND("ALLERG",AT29)))+2048*(OR(ISNUMBER(FIND("REMARK",AT29)),ISNUMBER(FIND("COMMENT",AT29))))+4096*(OR(ISNUMBER(FIND("QTY",AT29)),ISNUMBER(FIND("QUANTITY",AT29))))+8192*(AND(OR(ISNUMBER(FIND("COMPLETE",AT29)),ISNUMBER(FIND("PCT",AT29)),ISNUMBER(FIND("PERCENT",AT29))),NOT(ISNUMBER(FIND("ACTUAL",AT29))),LEN(AT29)&lt;=16))+32768*(OR(ISNUMBER(FIND("DESIC",AT29)),ISNUMBER(FIND("DESSIC",AT29)))))</f>
        <v/>
      </c>
      <c r="AU164">
        <f>IF(AU29="",0,2*(OR(ISNUMBER(FIND("WORKCENTER",AU29)),AND(LEFT(AU29,4)="LINE",NOT(ISNUMBER(FIND("STATUS",AU29))))))+4*(OR(ISNUMBER(FIND("WORKORDER",AU29)),AND(LEFT(AU29,2)="WO",OR(ISNUMBER(FIND("NUM",AU29)),RIGHT(AU29,2)="NO"))))+8*(LEFT(AU29,3)="SEQ")+16*(AND(LEFT(AU29,4)="ITEM",NOT(ISNUMBER(FIND("DESC",AU29)))))+32*(AND(ISNUMBER(FIND("DESC",AU29)),NOT(ISNUMBER(FIND("CAP",AU29)))))+64*(OR(RIGHT(AU29,5)="COUNT",RIGHT(AU29,2)="CT"))+128*(ISNUMBER(FIND("BULK",AU29)))+256*(ISNUMBER(FIND("SIZE",AU29)))+512*(LEFT(AU29,3)="CAP")+1024*(ISNUMBER(FIND("ALLERG",AU29)))+2048*(OR(ISNUMBER(FIND("REMARK",AU29)),ISNUMBER(FIND("COMMENT",AU29))))+4096*(OR(ISNUMBER(FIND("QTY",AU29)),ISNUMBER(FIND("QUANTITY",AU29))))+8192*(AND(OR(ISNUMBER(FIND("COMPLETE",AU29)),ISNUMBER(FIND("PCT",AU29)),ISNUMBER(FIND("PERCENT",AU29))),NOT(ISNUMBER(FIND("ACTUAL",AU29))),LEN(AU29)&lt;=16))+32768*(OR(ISNUMBER(FIND("DESIC",AU29)),ISNUMBER(FIND("DESSIC",AU29)))))</f>
        <v/>
      </c>
      <c r="AV164">
        <f>IF(AV29="",0,2*(OR(ISNUMBER(FIND("WORKCENTER",AV29)),AND(LEFT(AV29,4)="LINE",NOT(ISNUMBER(FIND("STATUS",AV29))))))+4*(OR(ISNUMBER(FIND("WORKORDER",AV29)),AND(LEFT(AV29,2)="WO",OR(ISNUMBER(FIND("NUM",AV29)),RIGHT(AV29,2)="NO"))))+8*(LEFT(AV29,3)="SEQ")+16*(AND(LEFT(AV29,4)="ITEM",NOT(ISNUMBER(FIND("DESC",AV29)))))+32*(AND(ISNUMBER(FIND("DESC",AV29)),NOT(ISNUMBER(FIND("CAP",AV29)))))+64*(OR(RIGHT(AV29,5)="COUNT",RIGHT(AV29,2)="CT"))+128*(ISNUMBER(FIND("BULK",AV29)))+256*(ISNUMBER(FIND("SIZE",AV29)))+512*(LEFT(AV29,3)="CAP")+1024*(ISNUMBER(FIND("ALLERG",AV29)))+2048*(OR(ISNUMBER(FIND("REMARK",AV29)),ISNUMBER(FIND("COMMENT",AV29))))+4096*(OR(ISNUMBER(FIND("QTY",AV29)),ISNUMBER(FIND("QUANTITY",AV29))))+8192*(AND(OR(ISNUMBER(FIND("COMPLETE",AV29)),ISNUMBER(FIND("PCT",AV29)),ISNUMBER(FIND("PERCENT",AV29))),NOT(ISNUMBER(FIND("ACTUAL",AV29))),LEN(AV29)&lt;=16))+32768*(OR(ISNUMBER(FIND("DESIC",AV29)),ISNUMBER(FIND("DESSIC",AV29)))))</f>
        <v/>
      </c>
      <c r="AW164">
        <f>IF(AW29="",0,2*(OR(ISNUMBER(FIND("WORKCENTER",AW29)),AND(LEFT(AW29,4)="LINE",NOT(ISNUMBER(FIND("STATUS",AW29))))))+4*(OR(ISNUMBER(FIND("WORKORDER",AW29)),AND(LEFT(AW29,2)="WO",OR(ISNUMBER(FIND("NUM",AW29)),RIGHT(AW29,2)="NO"))))+8*(LEFT(AW29,3)="SEQ")+16*(AND(LEFT(AW29,4)="ITEM",NOT(ISNUMBER(FIND("DESC",AW29)))))+32*(AND(ISNUMBER(FIND("DESC",AW29)),NOT(ISNUMBER(FIND("CAP",AW29)))))+64*(OR(RIGHT(AW29,5)="COUNT",RIGHT(AW29,2)="CT"))+128*(ISNUMBER(FIND("BULK",AW29)))+256*(ISNUMBER(FIND("SIZE",AW29)))+512*(LEFT(AW29,3)="CAP")+1024*(ISNUMBER(FIND("ALLERG",AW29)))+2048*(OR(ISNUMBER(FIND("REMARK",AW29)),ISNUMBER(FIND("COMMENT",AW29))))+4096*(OR(ISNUMBER(FIND("QTY",AW29)),ISNUMBER(FIND("QUANTITY",AW29))))+8192*(AND(OR(ISNUMBER(FIND("COMPLETE",AW29)),ISNUMBER(FIND("PCT",AW29)),ISNUMBER(FIND("PERCENT",AW29))),NOT(ISNUMBER(FIND("ACTUAL",AW29))),LEN(AW29)&lt;=16))+32768*(OR(ISNUMBER(FIND("DESIC",AW29)),ISNUMBER(FIND("DESSIC",AW29)))))</f>
        <v/>
      </c>
      <c r="AX164">
        <f>IF(AX29="",0,2*(OR(ISNUMBER(FIND("WORKCENTER",AX29)),AND(LEFT(AX29,4)="LINE",NOT(ISNUMBER(FIND("STATUS",AX29))))))+4*(OR(ISNUMBER(FIND("WORKORDER",AX29)),AND(LEFT(AX29,2)="WO",OR(ISNUMBER(FIND("NUM",AX29)),RIGHT(AX29,2)="NO"))))+8*(LEFT(AX29,3)="SEQ")+16*(AND(LEFT(AX29,4)="ITEM",NOT(ISNUMBER(FIND("DESC",AX29)))))+32*(AND(ISNUMBER(FIND("DESC",AX29)),NOT(ISNUMBER(FIND("CAP",AX29)))))+64*(OR(RIGHT(AX29,5)="COUNT",RIGHT(AX29,2)="CT"))+128*(ISNUMBER(FIND("BULK",AX29)))+256*(ISNUMBER(FIND("SIZE",AX29)))+512*(LEFT(AX29,3)="CAP")+1024*(ISNUMBER(FIND("ALLERG",AX29)))+2048*(OR(ISNUMBER(FIND("REMARK",AX29)),ISNUMBER(FIND("COMMENT",AX29))))+4096*(OR(ISNUMBER(FIND("QTY",AX29)),ISNUMBER(FIND("QUANTITY",AX29))))+8192*(AND(OR(ISNUMBER(FIND("COMPLETE",AX29)),ISNUMBER(FIND("PCT",AX29)),ISNUMBER(FIND("PERCENT",AX29))),NOT(ISNUMBER(FIND("ACTUAL",AX29))),LEN(AX29)&lt;=16))+32768*(OR(ISNUMBER(FIND("DESIC",AX29)),ISNUMBER(FIND("DESSIC",AX29)))))</f>
        <v/>
      </c>
      <c r="AY164">
        <f>IF(AY29="",0,2*(OR(ISNUMBER(FIND("WORKCENTER",AY29)),AND(LEFT(AY29,4)="LINE",NOT(ISNUMBER(FIND("STATUS",AY29))))))+4*(OR(ISNUMBER(FIND("WORKORDER",AY29)),AND(LEFT(AY29,2)="WO",OR(ISNUMBER(FIND("NUM",AY29)),RIGHT(AY29,2)="NO"))))+8*(LEFT(AY29,3)="SEQ")+16*(AND(LEFT(AY29,4)="ITEM",NOT(ISNUMBER(FIND("DESC",AY29)))))+32*(AND(ISNUMBER(FIND("DESC",AY29)),NOT(ISNUMBER(FIND("CAP",AY29)))))+64*(OR(RIGHT(AY29,5)="COUNT",RIGHT(AY29,2)="CT"))+128*(ISNUMBER(FIND("BULK",AY29)))+256*(ISNUMBER(FIND("SIZE",AY29)))+512*(LEFT(AY29,3)="CAP")+1024*(ISNUMBER(FIND("ALLERG",AY29)))+2048*(OR(ISNUMBER(FIND("REMARK",AY29)),ISNUMBER(FIND("COMMENT",AY29))))+4096*(OR(ISNUMBER(FIND("QTY",AY29)),ISNUMBER(FIND("QUANTITY",AY29))))+8192*(AND(OR(ISNUMBER(FIND("COMPLETE",AY29)),ISNUMBER(FIND("PCT",AY29)),ISNUMBER(FIND("PERCENT",AY29))),NOT(ISNUMBER(FIND("ACTUAL",AY29))),LEN(AY29)&lt;=16))+32768*(OR(ISNUMBER(FIND("DESIC",AY29)),ISNUMBER(FIND("DESSIC",AY29)))))</f>
        <v/>
      </c>
      <c r="AZ164">
        <f>IF(AZ29="",0,2*(OR(ISNUMBER(FIND("WORKCENTER",AZ29)),AND(LEFT(AZ29,4)="LINE",NOT(ISNUMBER(FIND("STATUS",AZ29))))))+4*(OR(ISNUMBER(FIND("WORKORDER",AZ29)),AND(LEFT(AZ29,2)="WO",OR(ISNUMBER(FIND("NUM",AZ29)),RIGHT(AZ29,2)="NO"))))+8*(LEFT(AZ29,3)="SEQ")+16*(AND(LEFT(AZ29,4)="ITEM",NOT(ISNUMBER(FIND("DESC",AZ29)))))+32*(AND(ISNUMBER(FIND("DESC",AZ29)),NOT(ISNUMBER(FIND("CAP",AZ29)))))+64*(OR(RIGHT(AZ29,5)="COUNT",RIGHT(AZ29,2)="CT"))+128*(ISNUMBER(FIND("BULK",AZ29)))+256*(ISNUMBER(FIND("SIZE",AZ29)))+512*(LEFT(AZ29,3)="CAP")+1024*(ISNUMBER(FIND("ALLERG",AZ29)))+2048*(OR(ISNUMBER(FIND("REMARK",AZ29)),ISNUMBER(FIND("COMMENT",AZ29))))+4096*(OR(ISNUMBER(FIND("QTY",AZ29)),ISNUMBER(FIND("QUANTITY",AZ29))))+8192*(AND(OR(ISNUMBER(FIND("COMPLETE",AZ29)),ISNUMBER(FIND("PCT",AZ29)),ISNUMBER(FIND("PERCENT",AZ29))),NOT(ISNUMBER(FIND("ACTUAL",AZ29))),LEN(AZ29)&lt;=16))+32768*(OR(ISNUMBER(FIND("DESIC",AZ29)),ISNUMBER(FIND("DESSIC",AZ29)))))</f>
        <v/>
      </c>
      <c r="BA164">
        <f>IF(BA29="",0,2*(OR(ISNUMBER(FIND("WORKCENTER",BA29)),AND(LEFT(BA29,4)="LINE",NOT(ISNUMBER(FIND("STATUS",BA29))))))+4*(OR(ISNUMBER(FIND("WORKORDER",BA29)),AND(LEFT(BA29,2)="WO",OR(ISNUMBER(FIND("NUM",BA29)),RIGHT(BA29,2)="NO"))))+8*(LEFT(BA29,3)="SEQ")+16*(AND(LEFT(BA29,4)="ITEM",NOT(ISNUMBER(FIND("DESC",BA29)))))+32*(AND(ISNUMBER(FIND("DESC",BA29)),NOT(ISNUMBER(FIND("CAP",BA29)))))+64*(OR(RIGHT(BA29,5)="COUNT",RIGHT(BA29,2)="CT"))+128*(ISNUMBER(FIND("BULK",BA29)))+256*(ISNUMBER(FIND("SIZE",BA29)))+512*(LEFT(BA29,3)="CAP")+1024*(ISNUMBER(FIND("ALLERG",BA29)))+2048*(OR(ISNUMBER(FIND("REMARK",BA29)),ISNUMBER(FIND("COMMENT",BA29))))+4096*(OR(ISNUMBER(FIND("QTY",BA29)),ISNUMBER(FIND("QUANTITY",BA29))))+8192*(AND(OR(ISNUMBER(FIND("COMPLETE",BA29)),ISNUMBER(FIND("PCT",BA29)),ISNUMBER(FIND("PERCENT",BA29))),NOT(ISNUMBER(FIND("ACTUAL",BA29))),LEN(BA29)&lt;=16))+32768*(OR(ISNUMBER(FIND("DESIC",BA29)),ISNUMBER(FIND("DESSIC",BA29)))))</f>
        <v/>
      </c>
      <c r="BB164">
        <f>IF(BB29="",0,2*(OR(ISNUMBER(FIND("WORKCENTER",BB29)),AND(LEFT(BB29,4)="LINE",NOT(ISNUMBER(FIND("STATUS",BB29))))))+4*(OR(ISNUMBER(FIND("WORKORDER",BB29)),AND(LEFT(BB29,2)="WO",OR(ISNUMBER(FIND("NUM",BB29)),RIGHT(BB29,2)="NO"))))+8*(LEFT(BB29,3)="SEQ")+16*(AND(LEFT(BB29,4)="ITEM",NOT(ISNUMBER(FIND("DESC",BB29)))))+32*(AND(ISNUMBER(FIND("DESC",BB29)),NOT(ISNUMBER(FIND("CAP",BB29)))))+64*(OR(RIGHT(BB29,5)="COUNT",RIGHT(BB29,2)="CT"))+128*(ISNUMBER(FIND("BULK",BB29)))+256*(ISNUMBER(FIND("SIZE",BB29)))+512*(LEFT(BB29,3)="CAP")+1024*(ISNUMBER(FIND("ALLERG",BB29)))+2048*(OR(ISNUMBER(FIND("REMARK",BB29)),ISNUMBER(FIND("COMMENT",BB29))))+4096*(OR(ISNUMBER(FIND("QTY",BB29)),ISNUMBER(FIND("QUANTITY",BB29))))+8192*(AND(OR(ISNUMBER(FIND("COMPLETE",BB29)),ISNUMBER(FIND("PCT",BB29)),ISNUMBER(FIND("PERCENT",BB29))),NOT(ISNUMBER(FIND("ACTUAL",BB29))),LEN(BB29)&lt;=16))+32768*(OR(ISNUMBER(FIND("DESIC",BB29)),ISNUMBER(FIND("DESSIC",BB29)))))</f>
        <v/>
      </c>
      <c r="BC164">
        <f>IF(BC29="",0,2*(OR(ISNUMBER(FIND("WORKCENTER",BC29)),AND(LEFT(BC29,4)="LINE",NOT(ISNUMBER(FIND("STATUS",BC29))))))+4*(OR(ISNUMBER(FIND("WORKORDER",BC29)),AND(LEFT(BC29,2)="WO",OR(ISNUMBER(FIND("NUM",BC29)),RIGHT(BC29,2)="NO"))))+8*(LEFT(BC29,3)="SEQ")+16*(AND(LEFT(BC29,4)="ITEM",NOT(ISNUMBER(FIND("DESC",BC29)))))+32*(AND(ISNUMBER(FIND("DESC",BC29)),NOT(ISNUMBER(FIND("CAP",BC29)))))+64*(OR(RIGHT(BC29,5)="COUNT",RIGHT(BC29,2)="CT"))+128*(ISNUMBER(FIND("BULK",BC29)))+256*(ISNUMBER(FIND("SIZE",BC29)))+512*(LEFT(BC29,3)="CAP")+1024*(ISNUMBER(FIND("ALLERG",BC29)))+2048*(OR(ISNUMBER(FIND("REMARK",BC29)),ISNUMBER(FIND("COMMENT",BC29))))+4096*(OR(ISNUMBER(FIND("QTY",BC29)),ISNUMBER(FIND("QUANTITY",BC29))))+8192*(AND(OR(ISNUMBER(FIND("COMPLETE",BC29)),ISNUMBER(FIND("PCT",BC29)),ISNUMBER(FIND("PERCENT",BC29))),NOT(ISNUMBER(FIND("ACTUAL",BC29))),LEN(BC29)&lt;=16))+32768*(OR(ISNUMBER(FIND("DESIC",BC29)),ISNUMBER(FIND("DESSIC",BC29)))))</f>
        <v/>
      </c>
      <c r="BD164">
        <f>IF(BD29="",0,2*(OR(ISNUMBER(FIND("WORKCENTER",BD29)),AND(LEFT(BD29,4)="LINE",NOT(ISNUMBER(FIND("STATUS",BD29))))))+4*(OR(ISNUMBER(FIND("WORKORDER",BD29)),AND(LEFT(BD29,2)="WO",OR(ISNUMBER(FIND("NUM",BD29)),RIGHT(BD29,2)="NO"))))+8*(LEFT(BD29,3)="SEQ")+16*(AND(LEFT(BD29,4)="ITEM",NOT(ISNUMBER(FIND("DESC",BD29)))))+32*(AND(ISNUMBER(FIND("DESC",BD29)),NOT(ISNUMBER(FIND("CAP",BD29)))))+64*(OR(RIGHT(BD29,5)="COUNT",RIGHT(BD29,2)="CT"))+128*(ISNUMBER(FIND("BULK",BD29)))+256*(ISNUMBER(FIND("SIZE",BD29)))+512*(LEFT(BD29,3)="CAP")+1024*(ISNUMBER(FIND("ALLERG",BD29)))+2048*(OR(ISNUMBER(FIND("REMARK",BD29)),ISNUMBER(FIND("COMMENT",BD29))))+4096*(OR(ISNUMBER(FIND("QTY",BD29)),ISNUMBER(FIND("QUANTITY",BD29))))+8192*(AND(OR(ISNUMBER(FIND("COMPLETE",BD29)),ISNUMBER(FIND("PCT",BD29)),ISNUMBER(FIND("PERCENT",BD29))),NOT(ISNUMBER(FIND("ACTUAL",BD29))),LEN(BD29)&lt;=16))+32768*(OR(ISNUMBER(FIND("DESIC",BD29)),ISNUMBER(FIND("DESSIC",BD29)))))</f>
        <v/>
      </c>
      <c r="BE164">
        <f>IF(BE29="",0,2*(OR(ISNUMBER(FIND("WORKCENTER",BE29)),AND(LEFT(BE29,4)="LINE",NOT(ISNUMBER(FIND("STATUS",BE29))))))+4*(OR(ISNUMBER(FIND("WORKORDER",BE29)),AND(LEFT(BE29,2)="WO",OR(ISNUMBER(FIND("NUM",BE29)),RIGHT(BE29,2)="NO"))))+8*(LEFT(BE29,3)="SEQ")+16*(AND(LEFT(BE29,4)="ITEM",NOT(ISNUMBER(FIND("DESC",BE29)))))+32*(AND(ISNUMBER(FIND("DESC",BE29)),NOT(ISNUMBER(FIND("CAP",BE29)))))+64*(OR(RIGHT(BE29,5)="COUNT",RIGHT(BE29,2)="CT"))+128*(ISNUMBER(FIND("BULK",BE29)))+256*(ISNUMBER(FIND("SIZE",BE29)))+512*(LEFT(BE29,3)="CAP")+1024*(ISNUMBER(FIND("ALLERG",BE29)))+2048*(OR(ISNUMBER(FIND("REMARK",BE29)),ISNUMBER(FIND("COMMENT",BE29))))+4096*(OR(ISNUMBER(FIND("QTY",BE29)),ISNUMBER(FIND("QUANTITY",BE29))))+8192*(AND(OR(ISNUMBER(FIND("COMPLETE",BE29)),ISNUMBER(FIND("PCT",BE29)),ISNUMBER(FIND("PERCENT",BE29))),NOT(ISNUMBER(FIND("ACTUAL",BE29))),LEN(BE29)&lt;=16))+32768*(OR(ISNUMBER(FIND("DESIC",BE29)),ISNUMBER(FIND("DESSIC",BE29)))))</f>
        <v/>
      </c>
      <c r="BF164">
        <f>IF(BF29="",0,2*(OR(ISNUMBER(FIND("WORKCENTER",BF29)),AND(LEFT(BF29,4)="LINE",NOT(ISNUMBER(FIND("STATUS",BF29))))))+4*(OR(ISNUMBER(FIND("WORKORDER",BF29)),AND(LEFT(BF29,2)="WO",OR(ISNUMBER(FIND("NUM",BF29)),RIGHT(BF29,2)="NO"))))+8*(LEFT(BF29,3)="SEQ")+16*(AND(LEFT(BF29,4)="ITEM",NOT(ISNUMBER(FIND("DESC",BF29)))))+32*(AND(ISNUMBER(FIND("DESC",BF29)),NOT(ISNUMBER(FIND("CAP",BF29)))))+64*(OR(RIGHT(BF29,5)="COUNT",RIGHT(BF29,2)="CT"))+128*(ISNUMBER(FIND("BULK",BF29)))+256*(ISNUMBER(FIND("SIZE",BF29)))+512*(LEFT(BF29,3)="CAP")+1024*(ISNUMBER(FIND("ALLERG",BF29)))+2048*(OR(ISNUMBER(FIND("REMARK",BF29)),ISNUMBER(FIND("COMMENT",BF29))))+4096*(OR(ISNUMBER(FIND("QTY",BF29)),ISNUMBER(FIND("QUANTITY",BF29))))+8192*(AND(OR(ISNUMBER(FIND("COMPLETE",BF29)),ISNUMBER(FIND("PCT",BF29)),ISNUMBER(FIND("PERCENT",BF29))),NOT(ISNUMBER(FIND("ACTUAL",BF29))),LEN(BF29)&lt;=16))+32768*(OR(ISNUMBER(FIND("DESIC",BF29)),ISNUMBER(FIND("DESSIC",BF29)))))</f>
        <v/>
      </c>
      <c r="BG164">
        <f>IF(BG29="",0,2*(OR(ISNUMBER(FIND("WORKCENTER",BG29)),AND(LEFT(BG29,4)="LINE",NOT(ISNUMBER(FIND("STATUS",BG29))))))+4*(OR(ISNUMBER(FIND("WORKORDER",BG29)),AND(LEFT(BG29,2)="WO",OR(ISNUMBER(FIND("NUM",BG29)),RIGHT(BG29,2)="NO"))))+8*(LEFT(BG29,3)="SEQ")+16*(AND(LEFT(BG29,4)="ITEM",NOT(ISNUMBER(FIND("DESC",BG29)))))+32*(AND(ISNUMBER(FIND("DESC",BG29)),NOT(ISNUMBER(FIND("CAP",BG29)))))+64*(OR(RIGHT(BG29,5)="COUNT",RIGHT(BG29,2)="CT"))+128*(ISNUMBER(FIND("BULK",BG29)))+256*(ISNUMBER(FIND("SIZE",BG29)))+512*(LEFT(BG29,3)="CAP")+1024*(ISNUMBER(FIND("ALLERG",BG29)))+2048*(OR(ISNUMBER(FIND("REMARK",BG29)),ISNUMBER(FIND("COMMENT",BG29))))+4096*(OR(ISNUMBER(FIND("QTY",BG29)),ISNUMBER(FIND("QUANTITY",BG29))))+8192*(AND(OR(ISNUMBER(FIND("COMPLETE",BG29)),ISNUMBER(FIND("PCT",BG29)),ISNUMBER(FIND("PERCENT",BG29))),NOT(ISNUMBER(FIND("ACTUAL",BG29))),LEN(BG29)&lt;=16))+32768*(OR(ISNUMBER(FIND("DESIC",BG29)),ISNUMBER(FIND("DESSIC",BG29)))))</f>
        <v/>
      </c>
      <c r="BH164">
        <f>IF(BH29="",0,2*(OR(ISNUMBER(FIND("WORKCENTER",BH29)),AND(LEFT(BH29,4)="LINE",NOT(ISNUMBER(FIND("STATUS",BH29))))))+4*(OR(ISNUMBER(FIND("WORKORDER",BH29)),AND(LEFT(BH29,2)="WO",OR(ISNUMBER(FIND("NUM",BH29)),RIGHT(BH29,2)="NO"))))+8*(LEFT(BH29,3)="SEQ")+16*(AND(LEFT(BH29,4)="ITEM",NOT(ISNUMBER(FIND("DESC",BH29)))))+32*(AND(ISNUMBER(FIND("DESC",BH29)),NOT(ISNUMBER(FIND("CAP",BH29)))))+64*(OR(RIGHT(BH29,5)="COUNT",RIGHT(BH29,2)="CT"))+128*(ISNUMBER(FIND("BULK",BH29)))+256*(ISNUMBER(FIND("SIZE",BH29)))+512*(LEFT(BH29,3)="CAP")+1024*(ISNUMBER(FIND("ALLERG",BH29)))+2048*(OR(ISNUMBER(FIND("REMARK",BH29)),ISNUMBER(FIND("COMMENT",BH29))))+4096*(OR(ISNUMBER(FIND("QTY",BH29)),ISNUMBER(FIND("QUANTITY",BH29))))+8192*(AND(OR(ISNUMBER(FIND("COMPLETE",BH29)),ISNUMBER(FIND("PCT",BH29)),ISNUMBER(FIND("PERCENT",BH29))),NOT(ISNUMBER(FIND("ACTUAL",BH29))),LEN(BH29)&lt;=16))+32768*(OR(ISNUMBER(FIND("DESIC",BH29)),ISNUMBER(FIND("DESSIC",BH29)))))</f>
        <v/>
      </c>
      <c r="BI164">
        <f>IF(BI29="",0,2*(OR(ISNUMBER(FIND("WORKCENTER",BI29)),AND(LEFT(BI29,4)="LINE",NOT(ISNUMBER(FIND("STATUS",BI29))))))+4*(OR(ISNUMBER(FIND("WORKORDER",BI29)),AND(LEFT(BI29,2)="WO",OR(ISNUMBER(FIND("NUM",BI29)),RIGHT(BI29,2)="NO"))))+8*(LEFT(BI29,3)="SEQ")+16*(AND(LEFT(BI29,4)="ITEM",NOT(ISNUMBER(FIND("DESC",BI29)))))+32*(AND(ISNUMBER(FIND("DESC",BI29)),NOT(ISNUMBER(FIND("CAP",BI29)))))+64*(OR(RIGHT(BI29,5)="COUNT",RIGHT(BI29,2)="CT"))+128*(ISNUMBER(FIND("BULK",BI29)))+256*(ISNUMBER(FIND("SIZE",BI29)))+512*(LEFT(BI29,3)="CAP")+1024*(ISNUMBER(FIND("ALLERG",BI29)))+2048*(OR(ISNUMBER(FIND("REMARK",BI29)),ISNUMBER(FIND("COMMENT",BI29))))+4096*(OR(ISNUMBER(FIND("QTY",BI29)),ISNUMBER(FIND("QUANTITY",BI29))))+8192*(AND(OR(ISNUMBER(FIND("COMPLETE",BI29)),ISNUMBER(FIND("PCT",BI29)),ISNUMBER(FIND("PERCENT",BI29))),NOT(ISNUMBER(FIND("ACTUAL",BI29))),LEN(BI29)&lt;=16))+32768*(OR(ISNUMBER(FIND("DESIC",BI29)),ISNUMBER(FIND("DESSIC",BI29)))))</f>
        <v/>
      </c>
      <c r="BJ164">
        <f>IF(BJ29="",0,2*(OR(ISNUMBER(FIND("WORKCENTER",BJ29)),AND(LEFT(BJ29,4)="LINE",NOT(ISNUMBER(FIND("STATUS",BJ29))))))+4*(OR(ISNUMBER(FIND("WORKORDER",BJ29)),AND(LEFT(BJ29,2)="WO",OR(ISNUMBER(FIND("NUM",BJ29)),RIGHT(BJ29,2)="NO"))))+8*(LEFT(BJ29,3)="SEQ")+16*(AND(LEFT(BJ29,4)="ITEM",NOT(ISNUMBER(FIND("DESC",BJ29)))))+32*(AND(ISNUMBER(FIND("DESC",BJ29)),NOT(ISNUMBER(FIND("CAP",BJ29)))))+64*(OR(RIGHT(BJ29,5)="COUNT",RIGHT(BJ29,2)="CT"))+128*(ISNUMBER(FIND("BULK",BJ29)))+256*(ISNUMBER(FIND("SIZE",BJ29)))+512*(LEFT(BJ29,3)="CAP")+1024*(ISNUMBER(FIND("ALLERG",BJ29)))+2048*(OR(ISNUMBER(FIND("REMARK",BJ29)),ISNUMBER(FIND("COMMENT",BJ29))))+4096*(OR(ISNUMBER(FIND("QTY",BJ29)),ISNUMBER(FIND("QUANTITY",BJ29))))+8192*(AND(OR(ISNUMBER(FIND("COMPLETE",BJ29)),ISNUMBER(FIND("PCT",BJ29)),ISNUMBER(FIND("PERCENT",BJ29))),NOT(ISNUMBER(FIND("ACTUAL",BJ29))),LEN(BJ29)&lt;=16))+32768*(OR(ISNUMBER(FIND("DESIC",BJ29)),ISNUMBER(FIND("DESSIC",BJ29)))))</f>
        <v/>
      </c>
      <c r="BK164">
        <f>IF(BK29="",0,2*(OR(ISNUMBER(FIND("WORKCENTER",BK29)),AND(LEFT(BK29,4)="LINE",NOT(ISNUMBER(FIND("STATUS",BK29))))))+4*(OR(ISNUMBER(FIND("WORKORDER",BK29)),AND(LEFT(BK29,2)="WO",OR(ISNUMBER(FIND("NUM",BK29)),RIGHT(BK29,2)="NO"))))+8*(LEFT(BK29,3)="SEQ")+16*(AND(LEFT(BK29,4)="ITEM",NOT(ISNUMBER(FIND("DESC",BK29)))))+32*(AND(ISNUMBER(FIND("DESC",BK29)),NOT(ISNUMBER(FIND("CAP",BK29)))))+64*(OR(RIGHT(BK29,5)="COUNT",RIGHT(BK29,2)="CT"))+128*(ISNUMBER(FIND("BULK",BK29)))+256*(ISNUMBER(FIND("SIZE",BK29)))+512*(LEFT(BK29,3)="CAP")+1024*(ISNUMBER(FIND("ALLERG",BK29)))+2048*(OR(ISNUMBER(FIND("REMARK",BK29)),ISNUMBER(FIND("COMMENT",BK29))))+4096*(OR(ISNUMBER(FIND("QTY",BK29)),ISNUMBER(FIND("QUANTITY",BK29))))+8192*(AND(OR(ISNUMBER(FIND("COMPLETE",BK29)),ISNUMBER(FIND("PCT",BK29)),ISNUMBER(FIND("PERCENT",BK29))),NOT(ISNUMBER(FIND("ACTUAL",BK29))),LEN(BK29)&lt;=16))+32768*(OR(ISNUMBER(FIND("DESIC",BK29)),ISNUMBER(FIND("DESSIC",BK29)))))</f>
        <v/>
      </c>
      <c r="BL164">
        <f>IF(BL29="",0,2*(OR(ISNUMBER(FIND("WORKCENTER",BL29)),AND(LEFT(BL29,4)="LINE",NOT(ISNUMBER(FIND("STATUS",BL29))))))+4*(OR(ISNUMBER(FIND("WORKORDER",BL29)),AND(LEFT(BL29,2)="WO",OR(ISNUMBER(FIND("NUM",BL29)),RIGHT(BL29,2)="NO"))))+8*(LEFT(BL29,3)="SEQ")+16*(AND(LEFT(BL29,4)="ITEM",NOT(ISNUMBER(FIND("DESC",BL29)))))+32*(AND(ISNUMBER(FIND("DESC",BL29)),NOT(ISNUMBER(FIND("CAP",BL29)))))+64*(OR(RIGHT(BL29,5)="COUNT",RIGHT(BL29,2)="CT"))+128*(ISNUMBER(FIND("BULK",BL29)))+256*(ISNUMBER(FIND("SIZE",BL29)))+512*(LEFT(BL29,3)="CAP")+1024*(ISNUMBER(FIND("ALLERG",BL29)))+2048*(OR(ISNUMBER(FIND("REMARK",BL29)),ISNUMBER(FIND("COMMENT",BL29))))+4096*(OR(ISNUMBER(FIND("QTY",BL29)),ISNUMBER(FIND("QUANTITY",BL29))))+8192*(AND(OR(ISNUMBER(FIND("COMPLETE",BL29)),ISNUMBER(FIND("PCT",BL29)),ISNUMBER(FIND("PERCENT",BL29))),NOT(ISNUMBER(FIND("ACTUAL",BL29))),LEN(BL29)&lt;=16))+32768*(OR(ISNUMBER(FIND("DESIC",BL29)),ISNUMBER(FIND("DESSIC",BL29)))))</f>
        <v/>
      </c>
      <c r="BM164">
        <f>IF(BM29="",0,2*(OR(ISNUMBER(FIND("WORKCENTER",BM29)),AND(LEFT(BM29,4)="LINE",NOT(ISNUMBER(FIND("STATUS",BM29))))))+4*(OR(ISNUMBER(FIND("WORKORDER",BM29)),AND(LEFT(BM29,2)="WO",OR(ISNUMBER(FIND("NUM",BM29)),RIGHT(BM29,2)="NO"))))+8*(LEFT(BM29,3)="SEQ")+16*(AND(LEFT(BM29,4)="ITEM",NOT(ISNUMBER(FIND("DESC",BM29)))))+32*(AND(ISNUMBER(FIND("DESC",BM29)),NOT(ISNUMBER(FIND("CAP",BM29)))))+64*(OR(RIGHT(BM29,5)="COUNT",RIGHT(BM29,2)="CT"))+128*(ISNUMBER(FIND("BULK",BM29)))+256*(ISNUMBER(FIND("SIZE",BM29)))+512*(LEFT(BM29,3)="CAP")+1024*(ISNUMBER(FIND("ALLERG",BM29)))+2048*(OR(ISNUMBER(FIND("REMARK",BM29)),ISNUMBER(FIND("COMMENT",BM29))))+4096*(OR(ISNUMBER(FIND("QTY",BM29)),ISNUMBER(FIND("QUANTITY",BM29))))+8192*(AND(OR(ISNUMBER(FIND("COMPLETE",BM29)),ISNUMBER(FIND("PCT",BM29)),ISNUMBER(FIND("PERCENT",BM29))),NOT(ISNUMBER(FIND("ACTUAL",BM29))),LEN(BM29)&lt;=16))+32768*(OR(ISNUMBER(FIND("DESIC",BM29)),ISNUMBER(FIND("DESSIC",BM29)))))</f>
        <v/>
      </c>
      <c r="BN164">
        <f>IF(BN29="",0,2*(OR(ISNUMBER(FIND("WORKCENTER",BN29)),AND(LEFT(BN29,4)="LINE",NOT(ISNUMBER(FIND("STATUS",BN29))))))+4*(OR(ISNUMBER(FIND("WORKORDER",BN29)),AND(LEFT(BN29,2)="WO",OR(ISNUMBER(FIND("NUM",BN29)),RIGHT(BN29,2)="NO"))))+8*(LEFT(BN29,3)="SEQ")+16*(AND(LEFT(BN29,4)="ITEM",NOT(ISNUMBER(FIND("DESC",BN29)))))+32*(AND(ISNUMBER(FIND("DESC",BN29)),NOT(ISNUMBER(FIND("CAP",BN29)))))+64*(OR(RIGHT(BN29,5)="COUNT",RIGHT(BN29,2)="CT"))+128*(ISNUMBER(FIND("BULK",BN29)))+256*(ISNUMBER(FIND("SIZE",BN29)))+512*(LEFT(BN29,3)="CAP")+1024*(ISNUMBER(FIND("ALLERG",BN29)))+2048*(OR(ISNUMBER(FIND("REMARK",BN29)),ISNUMBER(FIND("COMMENT",BN29))))+4096*(OR(ISNUMBER(FIND("QTY",BN29)),ISNUMBER(FIND("QUANTITY",BN29))))+8192*(AND(OR(ISNUMBER(FIND("COMPLETE",BN29)),ISNUMBER(FIND("PCT",BN29)),ISNUMBER(FIND("PERCENT",BN29))),NOT(ISNUMBER(FIND("ACTUAL",BN29))),LEN(BN29)&lt;=16))+32768*(OR(ISNUMBER(FIND("DESIC",BN29)),ISNUMBER(FIND("DESSIC",BN29)))))</f>
        <v/>
      </c>
      <c r="BO164">
        <f>IF(BO29="",0,2*(OR(ISNUMBER(FIND("WORKCENTER",BO29)),AND(LEFT(BO29,4)="LINE",NOT(ISNUMBER(FIND("STATUS",BO29))))))+4*(OR(ISNUMBER(FIND("WORKORDER",BO29)),AND(LEFT(BO29,2)="WO",OR(ISNUMBER(FIND("NUM",BO29)),RIGHT(BO29,2)="NO"))))+8*(LEFT(BO29,3)="SEQ")+16*(AND(LEFT(BO29,4)="ITEM",NOT(ISNUMBER(FIND("DESC",BO29)))))+32*(AND(ISNUMBER(FIND("DESC",BO29)),NOT(ISNUMBER(FIND("CAP",BO29)))))+64*(OR(RIGHT(BO29,5)="COUNT",RIGHT(BO29,2)="CT"))+128*(ISNUMBER(FIND("BULK",BO29)))+256*(ISNUMBER(FIND("SIZE",BO29)))+512*(LEFT(BO29,3)="CAP")+1024*(ISNUMBER(FIND("ALLERG",BO29)))+2048*(OR(ISNUMBER(FIND("REMARK",BO29)),ISNUMBER(FIND("COMMENT",BO29))))+4096*(OR(ISNUMBER(FIND("QTY",BO29)),ISNUMBER(FIND("QUANTITY",BO29))))+8192*(AND(OR(ISNUMBER(FIND("COMPLETE",BO29)),ISNUMBER(FIND("PCT",BO29)),ISNUMBER(FIND("PERCENT",BO29))),NOT(ISNUMBER(FIND("ACTUAL",BO29))),LEN(BO29)&lt;=16))+32768*(OR(ISNUMBER(FIND("DESIC",BO29)),ISNUMBER(FIND("DESSIC",BO29)))))</f>
        <v/>
      </c>
      <c r="BP164">
        <f>IF(BP29="",0,2*(OR(ISNUMBER(FIND("WORKCENTER",BP29)),AND(LEFT(BP29,4)="LINE",NOT(ISNUMBER(FIND("STATUS",BP29))))))+4*(OR(ISNUMBER(FIND("WORKORDER",BP29)),AND(LEFT(BP29,2)="WO",OR(ISNUMBER(FIND("NUM",BP29)),RIGHT(BP29,2)="NO"))))+8*(LEFT(BP29,3)="SEQ")+16*(AND(LEFT(BP29,4)="ITEM",NOT(ISNUMBER(FIND("DESC",BP29)))))+32*(AND(ISNUMBER(FIND("DESC",BP29)),NOT(ISNUMBER(FIND("CAP",BP29)))))+64*(OR(RIGHT(BP29,5)="COUNT",RIGHT(BP29,2)="CT"))+128*(ISNUMBER(FIND("BULK",BP29)))+256*(ISNUMBER(FIND("SIZE",BP29)))+512*(LEFT(BP29,3)="CAP")+1024*(ISNUMBER(FIND("ALLERG",BP29)))+2048*(OR(ISNUMBER(FIND("REMARK",BP29)),ISNUMBER(FIND("COMMENT",BP29))))+4096*(OR(ISNUMBER(FIND("QTY",BP29)),ISNUMBER(FIND("QUANTITY",BP29))))+8192*(AND(OR(ISNUMBER(FIND("COMPLETE",BP29)),ISNUMBER(FIND("PCT",BP29)),ISNUMBER(FIND("PERCENT",BP29))),NOT(ISNUMBER(FIND("ACTUAL",BP29))),LEN(BP29)&lt;=16))+32768*(OR(ISNUMBER(FIND("DESIC",BP29)),ISNUMBER(FIND("DESSIC",BP29)))))</f>
        <v/>
      </c>
      <c r="BQ164">
        <f>IF(BQ29="",0,2*(OR(ISNUMBER(FIND("WORKCENTER",BQ29)),AND(LEFT(BQ29,4)="LINE",NOT(ISNUMBER(FIND("STATUS",BQ29))))))+4*(OR(ISNUMBER(FIND("WORKORDER",BQ29)),AND(LEFT(BQ29,2)="WO",OR(ISNUMBER(FIND("NUM",BQ29)),RIGHT(BQ29,2)="NO"))))+8*(LEFT(BQ29,3)="SEQ")+16*(AND(LEFT(BQ29,4)="ITEM",NOT(ISNUMBER(FIND("DESC",BQ29)))))+32*(AND(ISNUMBER(FIND("DESC",BQ29)),NOT(ISNUMBER(FIND("CAP",BQ29)))))+64*(OR(RIGHT(BQ29,5)="COUNT",RIGHT(BQ29,2)="CT"))+128*(ISNUMBER(FIND("BULK",BQ29)))+256*(ISNUMBER(FIND("SIZE",BQ29)))+512*(LEFT(BQ29,3)="CAP")+1024*(ISNUMBER(FIND("ALLERG",BQ29)))+2048*(OR(ISNUMBER(FIND("REMARK",BQ29)),ISNUMBER(FIND("COMMENT",BQ29))))+4096*(OR(ISNUMBER(FIND("QTY",BQ29)),ISNUMBER(FIND("QUANTITY",BQ29))))+8192*(AND(OR(ISNUMBER(FIND("COMPLETE",BQ29)),ISNUMBER(FIND("PCT",BQ29)),ISNUMBER(FIND("PERCENT",BQ29))),NOT(ISNUMBER(FIND("ACTUAL",BQ29))),LEN(BQ29)&lt;=16))+32768*(OR(ISNUMBER(FIND("DESIC",BQ29)),ISNUMBER(FIND("DESSIC",BQ29)))))</f>
        <v/>
      </c>
      <c r="BR164">
        <f>IF(BR29="",0,2*(OR(ISNUMBER(FIND("WORKCENTER",BR29)),AND(LEFT(BR29,4)="LINE",NOT(ISNUMBER(FIND("STATUS",BR29))))))+4*(OR(ISNUMBER(FIND("WORKORDER",BR29)),AND(LEFT(BR29,2)="WO",OR(ISNUMBER(FIND("NUM",BR29)),RIGHT(BR29,2)="NO"))))+8*(LEFT(BR29,3)="SEQ")+16*(AND(LEFT(BR29,4)="ITEM",NOT(ISNUMBER(FIND("DESC",BR29)))))+32*(AND(ISNUMBER(FIND("DESC",BR29)),NOT(ISNUMBER(FIND("CAP",BR29)))))+64*(OR(RIGHT(BR29,5)="COUNT",RIGHT(BR29,2)="CT"))+128*(ISNUMBER(FIND("BULK",BR29)))+256*(ISNUMBER(FIND("SIZE",BR29)))+512*(LEFT(BR29,3)="CAP")+1024*(ISNUMBER(FIND("ALLERG",BR29)))+2048*(OR(ISNUMBER(FIND("REMARK",BR29)),ISNUMBER(FIND("COMMENT",BR29))))+4096*(OR(ISNUMBER(FIND("QTY",BR29)),ISNUMBER(FIND("QUANTITY",BR29))))+8192*(AND(OR(ISNUMBER(FIND("COMPLETE",BR29)),ISNUMBER(FIND("PCT",BR29)),ISNUMBER(FIND("PERCENT",BR29))),NOT(ISNUMBER(FIND("ACTUAL",BR29))),LEN(BR29)&lt;=16))+32768*(OR(ISNUMBER(FIND("DESIC",BR29)),ISNUMBER(FIND("DESSIC",BR29)))))</f>
        <v/>
      </c>
      <c r="BS164">
        <f>IF(BS29="",0,2*(OR(ISNUMBER(FIND("WORKCENTER",BS29)),AND(LEFT(BS29,4)="LINE",NOT(ISNUMBER(FIND("STATUS",BS29))))))+4*(OR(ISNUMBER(FIND("WORKORDER",BS29)),AND(LEFT(BS29,2)="WO",OR(ISNUMBER(FIND("NUM",BS29)),RIGHT(BS29,2)="NO"))))+8*(LEFT(BS29,3)="SEQ")+16*(AND(LEFT(BS29,4)="ITEM",NOT(ISNUMBER(FIND("DESC",BS29)))))+32*(AND(ISNUMBER(FIND("DESC",BS29)),NOT(ISNUMBER(FIND("CAP",BS29)))))+64*(OR(RIGHT(BS29,5)="COUNT",RIGHT(BS29,2)="CT"))+128*(ISNUMBER(FIND("BULK",BS29)))+256*(ISNUMBER(FIND("SIZE",BS29)))+512*(LEFT(BS29,3)="CAP")+1024*(ISNUMBER(FIND("ALLERG",BS29)))+2048*(OR(ISNUMBER(FIND("REMARK",BS29)),ISNUMBER(FIND("COMMENT",BS29))))+4096*(OR(ISNUMBER(FIND("QTY",BS29)),ISNUMBER(FIND("QUANTITY",BS29))))+8192*(AND(OR(ISNUMBER(FIND("COMPLETE",BS29)),ISNUMBER(FIND("PCT",BS29)),ISNUMBER(FIND("PERCENT",BS29))),NOT(ISNUMBER(FIND("ACTUAL",BS29))),LEN(BS29)&lt;=16))+32768*(OR(ISNUMBER(FIND("DESIC",BS29)),ISNUMBER(FIND("DESSIC",BS29)))))</f>
        <v/>
      </c>
      <c r="BT164">
        <f>IF(BT29="",0,2*(OR(ISNUMBER(FIND("WORKCENTER",BT29)),AND(LEFT(BT29,4)="LINE",NOT(ISNUMBER(FIND("STATUS",BT29))))))+4*(OR(ISNUMBER(FIND("WORKORDER",BT29)),AND(LEFT(BT29,2)="WO",OR(ISNUMBER(FIND("NUM",BT29)),RIGHT(BT29,2)="NO"))))+8*(LEFT(BT29,3)="SEQ")+16*(AND(LEFT(BT29,4)="ITEM",NOT(ISNUMBER(FIND("DESC",BT29)))))+32*(AND(ISNUMBER(FIND("DESC",BT29)),NOT(ISNUMBER(FIND("CAP",BT29)))))+64*(OR(RIGHT(BT29,5)="COUNT",RIGHT(BT29,2)="CT"))+128*(ISNUMBER(FIND("BULK",BT29)))+256*(ISNUMBER(FIND("SIZE",BT29)))+512*(LEFT(BT29,3)="CAP")+1024*(ISNUMBER(FIND("ALLERG",BT29)))+2048*(OR(ISNUMBER(FIND("REMARK",BT29)),ISNUMBER(FIND("COMMENT",BT29))))+4096*(OR(ISNUMBER(FIND("QTY",BT29)),ISNUMBER(FIND("QUANTITY",BT29))))+8192*(AND(OR(ISNUMBER(FIND("COMPLETE",BT29)),ISNUMBER(FIND("PCT",BT29)),ISNUMBER(FIND("PERCENT",BT29))),NOT(ISNUMBER(FIND("ACTUAL",BT29))),LEN(BT29)&lt;=16))+32768*(OR(ISNUMBER(FIND("DESIC",BT29)),ISNUMBER(FIND("DESSIC",BT29)))))</f>
        <v/>
      </c>
      <c r="BU164">
        <f>IF(BU29="",0,2*(OR(ISNUMBER(FIND("WORKCENTER",BU29)),AND(LEFT(BU29,4)="LINE",NOT(ISNUMBER(FIND("STATUS",BU29))))))+4*(OR(ISNUMBER(FIND("WORKORDER",BU29)),AND(LEFT(BU29,2)="WO",OR(ISNUMBER(FIND("NUM",BU29)),RIGHT(BU29,2)="NO"))))+8*(LEFT(BU29,3)="SEQ")+16*(AND(LEFT(BU29,4)="ITEM",NOT(ISNUMBER(FIND("DESC",BU29)))))+32*(AND(ISNUMBER(FIND("DESC",BU29)),NOT(ISNUMBER(FIND("CAP",BU29)))))+64*(OR(RIGHT(BU29,5)="COUNT",RIGHT(BU29,2)="CT"))+128*(ISNUMBER(FIND("BULK",BU29)))+256*(ISNUMBER(FIND("SIZE",BU29)))+512*(LEFT(BU29,3)="CAP")+1024*(ISNUMBER(FIND("ALLERG",BU29)))+2048*(OR(ISNUMBER(FIND("REMARK",BU29)),ISNUMBER(FIND("COMMENT",BU29))))+4096*(OR(ISNUMBER(FIND("QTY",BU29)),ISNUMBER(FIND("QUANTITY",BU29))))+8192*(AND(OR(ISNUMBER(FIND("COMPLETE",BU29)),ISNUMBER(FIND("PCT",BU29)),ISNUMBER(FIND("PERCENT",BU29))),NOT(ISNUMBER(FIND("ACTUAL",BU29))),LEN(BU29)&lt;=16))+32768*(OR(ISNUMBER(FIND("DESIC",BU29)),ISNUMBER(FIND("DESSIC",BU29)))))</f>
        <v/>
      </c>
      <c r="BV164">
        <f>IF(BV29="",0,2*(OR(ISNUMBER(FIND("WORKCENTER",BV29)),AND(LEFT(BV29,4)="LINE",NOT(ISNUMBER(FIND("STATUS",BV29))))))+4*(OR(ISNUMBER(FIND("WORKORDER",BV29)),AND(LEFT(BV29,2)="WO",OR(ISNUMBER(FIND("NUM",BV29)),RIGHT(BV29,2)="NO"))))+8*(LEFT(BV29,3)="SEQ")+16*(AND(LEFT(BV29,4)="ITEM",NOT(ISNUMBER(FIND("DESC",BV29)))))+32*(AND(ISNUMBER(FIND("DESC",BV29)),NOT(ISNUMBER(FIND("CAP",BV29)))))+64*(OR(RIGHT(BV29,5)="COUNT",RIGHT(BV29,2)="CT"))+128*(ISNUMBER(FIND("BULK",BV29)))+256*(ISNUMBER(FIND("SIZE",BV29)))+512*(LEFT(BV29,3)="CAP")+1024*(ISNUMBER(FIND("ALLERG",BV29)))+2048*(OR(ISNUMBER(FIND("REMARK",BV29)),ISNUMBER(FIND("COMMENT",BV29))))+4096*(OR(ISNUMBER(FIND("QTY",BV29)),ISNUMBER(FIND("QUANTITY",BV29))))+8192*(AND(OR(ISNUMBER(FIND("COMPLETE",BV29)),ISNUMBER(FIND("PCT",BV29)),ISNUMBER(FIND("PERCENT",BV29))),NOT(ISNUMBER(FIND("ACTUAL",BV29))),LEN(BV29)&lt;=16))+32768*(OR(ISNUMBER(FIND("DESIC",BV29)),ISNUMBER(FIND("DESSIC",BV29)))))</f>
        <v/>
      </c>
      <c r="BW164">
        <f>IF(BW29="",0,2*(OR(ISNUMBER(FIND("WORKCENTER",BW29)),AND(LEFT(BW29,4)="LINE",NOT(ISNUMBER(FIND("STATUS",BW29))))))+4*(OR(ISNUMBER(FIND("WORKORDER",BW29)),AND(LEFT(BW29,2)="WO",OR(ISNUMBER(FIND("NUM",BW29)),RIGHT(BW29,2)="NO"))))+8*(LEFT(BW29,3)="SEQ")+16*(AND(LEFT(BW29,4)="ITEM",NOT(ISNUMBER(FIND("DESC",BW29)))))+32*(AND(ISNUMBER(FIND("DESC",BW29)),NOT(ISNUMBER(FIND("CAP",BW29)))))+64*(OR(RIGHT(BW29,5)="COUNT",RIGHT(BW29,2)="CT"))+128*(ISNUMBER(FIND("BULK",BW29)))+256*(ISNUMBER(FIND("SIZE",BW29)))+512*(LEFT(BW29,3)="CAP")+1024*(ISNUMBER(FIND("ALLERG",BW29)))+2048*(OR(ISNUMBER(FIND("REMARK",BW29)),ISNUMBER(FIND("COMMENT",BW29))))+4096*(OR(ISNUMBER(FIND("QTY",BW29)),ISNUMBER(FIND("QUANTITY",BW29))))+8192*(AND(OR(ISNUMBER(FIND("COMPLETE",BW29)),ISNUMBER(FIND("PCT",BW29)),ISNUMBER(FIND("PERCENT",BW29))),NOT(ISNUMBER(FIND("ACTUAL",BW29))),LEN(BW29)&lt;=16))+32768*(OR(ISNUMBER(FIND("DESIC",BW29)),ISNUMBER(FIND("DESSIC",BW29)))))</f>
        <v/>
      </c>
      <c r="BX164">
        <f>IF(BX29="",0,2*(OR(ISNUMBER(FIND("WORKCENTER",BX29)),AND(LEFT(BX29,4)="LINE",NOT(ISNUMBER(FIND("STATUS",BX29))))))+4*(OR(ISNUMBER(FIND("WORKORDER",BX29)),AND(LEFT(BX29,2)="WO",OR(ISNUMBER(FIND("NUM",BX29)),RIGHT(BX29,2)="NO"))))+8*(LEFT(BX29,3)="SEQ")+16*(AND(LEFT(BX29,4)="ITEM",NOT(ISNUMBER(FIND("DESC",BX29)))))+32*(AND(ISNUMBER(FIND("DESC",BX29)),NOT(ISNUMBER(FIND("CAP",BX29)))))+64*(OR(RIGHT(BX29,5)="COUNT",RIGHT(BX29,2)="CT"))+128*(ISNUMBER(FIND("BULK",BX29)))+256*(ISNUMBER(FIND("SIZE",BX29)))+512*(LEFT(BX29,3)="CAP")+1024*(ISNUMBER(FIND("ALLERG",BX29)))+2048*(OR(ISNUMBER(FIND("REMARK",BX29)),ISNUMBER(FIND("COMMENT",BX29))))+4096*(OR(ISNUMBER(FIND("QTY",BX29)),ISNUMBER(FIND("QUANTITY",BX29))))+8192*(AND(OR(ISNUMBER(FIND("COMPLETE",BX29)),ISNUMBER(FIND("PCT",BX29)),ISNUMBER(FIND("PERCENT",BX29))),NOT(ISNUMBER(FIND("ACTUAL",BX29))),LEN(BX29)&lt;=16))+32768*(OR(ISNUMBER(FIND("DESIC",BX29)),ISNUMBER(FIND("DESSIC",BX29)))))</f>
        <v/>
      </c>
      <c r="BY164">
        <f>IF(BY29="",0,2*(OR(ISNUMBER(FIND("WORKCENTER",BY29)),AND(LEFT(BY29,4)="LINE",NOT(ISNUMBER(FIND("STATUS",BY29))))))+4*(OR(ISNUMBER(FIND("WORKORDER",BY29)),AND(LEFT(BY29,2)="WO",OR(ISNUMBER(FIND("NUM",BY29)),RIGHT(BY29,2)="NO"))))+8*(LEFT(BY29,3)="SEQ")+16*(AND(LEFT(BY29,4)="ITEM",NOT(ISNUMBER(FIND("DESC",BY29)))))+32*(AND(ISNUMBER(FIND("DESC",BY29)),NOT(ISNUMBER(FIND("CAP",BY29)))))+64*(OR(RIGHT(BY29,5)="COUNT",RIGHT(BY29,2)="CT"))+128*(ISNUMBER(FIND("BULK",BY29)))+256*(ISNUMBER(FIND("SIZE",BY29)))+512*(LEFT(BY29,3)="CAP")+1024*(ISNUMBER(FIND("ALLERG",BY29)))+2048*(OR(ISNUMBER(FIND("REMARK",BY29)),ISNUMBER(FIND("COMMENT",BY29))))+4096*(OR(ISNUMBER(FIND("QTY",BY29)),ISNUMBER(FIND("QUANTITY",BY29))))+8192*(AND(OR(ISNUMBER(FIND("COMPLETE",BY29)),ISNUMBER(FIND("PCT",BY29)),ISNUMBER(FIND("PERCENT",BY29))),NOT(ISNUMBER(FIND("ACTUAL",BY29))),LEN(BY29)&lt;=16))+32768*(OR(ISNUMBER(FIND("DESIC",BY29)),ISNUMBER(FIND("DESSIC",BY29)))))</f>
        <v/>
      </c>
      <c r="BZ164">
        <f>IF(BZ29="",0,2*(OR(ISNUMBER(FIND("WORKCENTER",BZ29)),AND(LEFT(BZ29,4)="LINE",NOT(ISNUMBER(FIND("STATUS",BZ29))))))+4*(OR(ISNUMBER(FIND("WORKORDER",BZ29)),AND(LEFT(BZ29,2)="WO",OR(ISNUMBER(FIND("NUM",BZ29)),RIGHT(BZ29,2)="NO"))))+8*(LEFT(BZ29,3)="SEQ")+16*(AND(LEFT(BZ29,4)="ITEM",NOT(ISNUMBER(FIND("DESC",BZ29)))))+32*(AND(ISNUMBER(FIND("DESC",BZ29)),NOT(ISNUMBER(FIND("CAP",BZ29)))))+64*(OR(RIGHT(BZ29,5)="COUNT",RIGHT(BZ29,2)="CT"))+128*(ISNUMBER(FIND("BULK",BZ29)))+256*(ISNUMBER(FIND("SIZE",BZ29)))+512*(LEFT(BZ29,3)="CAP")+1024*(ISNUMBER(FIND("ALLERG",BZ29)))+2048*(OR(ISNUMBER(FIND("REMARK",BZ29)),ISNUMBER(FIND("COMMENT",BZ29))))+4096*(OR(ISNUMBER(FIND("QTY",BZ29)),ISNUMBER(FIND("QUANTITY",BZ29))))+8192*(AND(OR(ISNUMBER(FIND("COMPLETE",BZ29)),ISNUMBER(FIND("PCT",BZ29)),ISNUMBER(FIND("PERCENT",BZ29))),NOT(ISNUMBER(FIND("ACTUAL",BZ29))),LEN(BZ29)&lt;=16))+32768*(OR(ISNUMBER(FIND("DESIC",BZ29)),ISNUMBER(FIND("DESSIC",BZ29)))))</f>
        <v/>
      </c>
      <c r="CA164">
        <f>IF(CA29="",0,2*(OR(ISNUMBER(FIND("WORKCENTER",CA29)),AND(LEFT(CA29,4)="LINE",NOT(ISNUMBER(FIND("STATUS",CA29))))))+4*(OR(ISNUMBER(FIND("WORKORDER",CA29)),AND(LEFT(CA29,2)="WO",OR(ISNUMBER(FIND("NUM",CA29)),RIGHT(CA29,2)="NO"))))+8*(LEFT(CA29,3)="SEQ")+16*(AND(LEFT(CA29,4)="ITEM",NOT(ISNUMBER(FIND("DESC",CA29)))))+32*(AND(ISNUMBER(FIND("DESC",CA29)),NOT(ISNUMBER(FIND("CAP",CA29)))))+64*(OR(RIGHT(CA29,5)="COUNT",RIGHT(CA29,2)="CT"))+128*(ISNUMBER(FIND("BULK",CA29)))+256*(ISNUMBER(FIND("SIZE",CA29)))+512*(LEFT(CA29,3)="CAP")+1024*(ISNUMBER(FIND("ALLERG",CA29)))+2048*(OR(ISNUMBER(FIND("REMARK",CA29)),ISNUMBER(FIND("COMMENT",CA29))))+4096*(OR(ISNUMBER(FIND("QTY",CA29)),ISNUMBER(FIND("QUANTITY",CA29))))+8192*(AND(OR(ISNUMBER(FIND("COMPLETE",CA29)),ISNUMBER(FIND("PCT",CA29)),ISNUMBER(FIND("PERCENT",CA29))),NOT(ISNUMBER(FIND("ACTUAL",CA29))),LEN(CA29)&lt;=16))+32768*(OR(ISNUMBER(FIND("DESIC",CA29)),ISNUMBER(FIND("DESSIC",CA29)))))</f>
        <v/>
      </c>
      <c r="CB164">
        <f>IF(CB29="",0,2*(OR(ISNUMBER(FIND("WORKCENTER",CB29)),AND(LEFT(CB29,4)="LINE",NOT(ISNUMBER(FIND("STATUS",CB29))))))+4*(OR(ISNUMBER(FIND("WORKORDER",CB29)),AND(LEFT(CB29,2)="WO",OR(ISNUMBER(FIND("NUM",CB29)),RIGHT(CB29,2)="NO"))))+8*(LEFT(CB29,3)="SEQ")+16*(AND(LEFT(CB29,4)="ITEM",NOT(ISNUMBER(FIND("DESC",CB29)))))+32*(AND(ISNUMBER(FIND("DESC",CB29)),NOT(ISNUMBER(FIND("CAP",CB29)))))+64*(OR(RIGHT(CB29,5)="COUNT",RIGHT(CB29,2)="CT"))+128*(ISNUMBER(FIND("BULK",CB29)))+256*(ISNUMBER(FIND("SIZE",CB29)))+512*(LEFT(CB29,3)="CAP")+1024*(ISNUMBER(FIND("ALLERG",CB29)))+2048*(OR(ISNUMBER(FIND("REMARK",CB29)),ISNUMBER(FIND("COMMENT",CB29))))+4096*(OR(ISNUMBER(FIND("QTY",CB29)),ISNUMBER(FIND("QUANTITY",CB29))))+8192*(AND(OR(ISNUMBER(FIND("COMPLETE",CB29)),ISNUMBER(FIND("PCT",CB29)),ISNUMBER(FIND("PERCENT",CB29))),NOT(ISNUMBER(FIND("ACTUAL",CB29))),LEN(CB29)&lt;=16))+32768*(OR(ISNUMBER(FIND("DESIC",CB29)),ISNUMBER(FIND("DESSIC",CB29)))))</f>
        <v/>
      </c>
      <c r="CC164">
        <f>IF(CC29="",0,2*(OR(ISNUMBER(FIND("WORKCENTER",CC29)),AND(LEFT(CC29,4)="LINE",NOT(ISNUMBER(FIND("STATUS",CC29))))))+4*(OR(ISNUMBER(FIND("WORKORDER",CC29)),AND(LEFT(CC29,2)="WO",OR(ISNUMBER(FIND("NUM",CC29)),RIGHT(CC29,2)="NO"))))+8*(LEFT(CC29,3)="SEQ")+16*(AND(LEFT(CC29,4)="ITEM",NOT(ISNUMBER(FIND("DESC",CC29)))))+32*(AND(ISNUMBER(FIND("DESC",CC29)),NOT(ISNUMBER(FIND("CAP",CC29)))))+64*(OR(RIGHT(CC29,5)="COUNT",RIGHT(CC29,2)="CT"))+128*(ISNUMBER(FIND("BULK",CC29)))+256*(ISNUMBER(FIND("SIZE",CC29)))+512*(LEFT(CC29,3)="CAP")+1024*(ISNUMBER(FIND("ALLERG",CC29)))+2048*(OR(ISNUMBER(FIND("REMARK",CC29)),ISNUMBER(FIND("COMMENT",CC29))))+4096*(OR(ISNUMBER(FIND("QTY",CC29)),ISNUMBER(FIND("QUANTITY",CC29))))+8192*(AND(OR(ISNUMBER(FIND("COMPLETE",CC29)),ISNUMBER(FIND("PCT",CC29)),ISNUMBER(FIND("PERCENT",CC29))),NOT(ISNUMBER(FIND("ACTUAL",CC29))),LEN(CC29)&lt;=16))+32768*(OR(ISNUMBER(FIND("DESIC",CC29)),ISNUMBER(FIND("DESSIC",CC29)))))</f>
        <v/>
      </c>
      <c r="CD164">
        <f>IF(CD29="",0,2*(OR(ISNUMBER(FIND("WORKCENTER",CD29)),AND(LEFT(CD29,4)="LINE",NOT(ISNUMBER(FIND("STATUS",CD29))))))+4*(OR(ISNUMBER(FIND("WORKORDER",CD29)),AND(LEFT(CD29,2)="WO",OR(ISNUMBER(FIND("NUM",CD29)),RIGHT(CD29,2)="NO"))))+8*(LEFT(CD29,3)="SEQ")+16*(AND(LEFT(CD29,4)="ITEM",NOT(ISNUMBER(FIND("DESC",CD29)))))+32*(AND(ISNUMBER(FIND("DESC",CD29)),NOT(ISNUMBER(FIND("CAP",CD29)))))+64*(OR(RIGHT(CD29,5)="COUNT",RIGHT(CD29,2)="CT"))+128*(ISNUMBER(FIND("BULK",CD29)))+256*(ISNUMBER(FIND("SIZE",CD29)))+512*(LEFT(CD29,3)="CAP")+1024*(ISNUMBER(FIND("ALLERG",CD29)))+2048*(OR(ISNUMBER(FIND("REMARK",CD29)),ISNUMBER(FIND("COMMENT",CD29))))+4096*(OR(ISNUMBER(FIND("QTY",CD29)),ISNUMBER(FIND("QUANTITY",CD29))))+8192*(AND(OR(ISNUMBER(FIND("COMPLETE",CD29)),ISNUMBER(FIND("PCT",CD29)),ISNUMBER(FIND("PERCENT",CD29))),NOT(ISNUMBER(FIND("ACTUAL",CD29))),LEN(CD29)&lt;=16))+32768*(OR(ISNUMBER(FIND("DESIC",CD29)),ISNUMBER(FIND("DESSIC",CD29)))))</f>
        <v/>
      </c>
      <c r="CE164">
        <f>IF(CE29="",0,2*(OR(ISNUMBER(FIND("WORKCENTER",CE29)),AND(LEFT(CE29,4)="LINE",NOT(ISNUMBER(FIND("STATUS",CE29))))))+4*(OR(ISNUMBER(FIND("WORKORDER",CE29)),AND(LEFT(CE29,2)="WO",OR(ISNUMBER(FIND("NUM",CE29)),RIGHT(CE29,2)="NO"))))+8*(LEFT(CE29,3)="SEQ")+16*(AND(LEFT(CE29,4)="ITEM",NOT(ISNUMBER(FIND("DESC",CE29)))))+32*(AND(ISNUMBER(FIND("DESC",CE29)),NOT(ISNUMBER(FIND("CAP",CE29)))))+64*(OR(RIGHT(CE29,5)="COUNT",RIGHT(CE29,2)="CT"))+128*(ISNUMBER(FIND("BULK",CE29)))+256*(ISNUMBER(FIND("SIZE",CE29)))+512*(LEFT(CE29,3)="CAP")+1024*(ISNUMBER(FIND("ALLERG",CE29)))+2048*(OR(ISNUMBER(FIND("REMARK",CE29)),ISNUMBER(FIND("COMMENT",CE29))))+4096*(OR(ISNUMBER(FIND("QTY",CE29)),ISNUMBER(FIND("QUANTITY",CE29))))+8192*(AND(OR(ISNUMBER(FIND("COMPLETE",CE29)),ISNUMBER(FIND("PCT",CE29)),ISNUMBER(FIND("PERCENT",CE29))),NOT(ISNUMBER(FIND("ACTUAL",CE29))),LEN(CE29)&lt;=16))+32768*(OR(ISNUMBER(FIND("DESIC",CE29)),ISNUMBER(FIND("DESSIC",CE29)))))</f>
        <v/>
      </c>
      <c r="CF164">
        <f>IF(CF29="",0,2*(OR(ISNUMBER(FIND("WORKCENTER",CF29)),AND(LEFT(CF29,4)="LINE",NOT(ISNUMBER(FIND("STATUS",CF29))))))+4*(OR(ISNUMBER(FIND("WORKORDER",CF29)),AND(LEFT(CF29,2)="WO",OR(ISNUMBER(FIND("NUM",CF29)),RIGHT(CF29,2)="NO"))))+8*(LEFT(CF29,3)="SEQ")+16*(AND(LEFT(CF29,4)="ITEM",NOT(ISNUMBER(FIND("DESC",CF29)))))+32*(AND(ISNUMBER(FIND("DESC",CF29)),NOT(ISNUMBER(FIND("CAP",CF29)))))+64*(OR(RIGHT(CF29,5)="COUNT",RIGHT(CF29,2)="CT"))+128*(ISNUMBER(FIND("BULK",CF29)))+256*(ISNUMBER(FIND("SIZE",CF29)))+512*(LEFT(CF29,3)="CAP")+1024*(ISNUMBER(FIND("ALLERG",CF29)))+2048*(OR(ISNUMBER(FIND("REMARK",CF29)),ISNUMBER(FIND("COMMENT",CF29))))+4096*(OR(ISNUMBER(FIND("QTY",CF29)),ISNUMBER(FIND("QUANTITY",CF29))))+8192*(AND(OR(ISNUMBER(FIND("COMPLETE",CF29)),ISNUMBER(FIND("PCT",CF29)),ISNUMBER(FIND("PERCENT",CF29))),NOT(ISNUMBER(FIND("ACTUAL",CF29))),LEN(CF29)&lt;=16))+32768*(OR(ISNUMBER(FIND("DESIC",CF29)),ISNUMBER(FIND("DESSIC",CF29)))))</f>
        <v/>
      </c>
      <c r="DA164" t="n">
        <v>160</v>
      </c>
      <c r="DB164">
        <f>IF($B$37=0,"",IFERROR(TRIM(SUBSTITUTE(SUBSTITUTE(SUBSTITUTE(SUBSTITUTE(INDEX(PASTE_ALL,160,$B$37)," "," "),CHAR(9)," "),CHAR(10)," "),CHAR(13)," ")),""))</f>
        <v/>
      </c>
      <c r="DC164">
        <f>IF(AND(160&gt;HEADER_ROW,UPPER(DB164)="LEGEND"),1,0)</f>
        <v/>
      </c>
      <c r="DE164" t="n">
        <v>160</v>
      </c>
      <c r="DF164">
        <f>HEADER_ROW+$DE164</f>
        <v/>
      </c>
      <c r="DG164">
        <f>IF(AND($DF164&lt;=1000,$DF164&lt;$B$8),1,0)</f>
        <v/>
      </c>
      <c r="DH164">
        <f>IF($DG164=1,IFERROR(INDEX($DB$5:$DB$1004,$DF164),""),"")</f>
        <v/>
      </c>
      <c r="DI164">
        <f>IF(AND($DG164=1,$DH164&lt;&gt;""),IFERROR(SUBSTITUTE(SUBSTITUTE(TRIM(SUBSTITUTE(SUBSTITUTE(SUBSTITUTE(SUBSTITUTE(IFERROR(INDEX(PASTE_ALL,$DF164,1)&amp;"","")&amp;"␟"&amp;IFERROR(INDEX(PASTE_ALL,$DF164,2)&amp;"","")&amp;"␟"&amp;IFERROR(INDEX(PASTE_ALL,$DF164,3)&amp;"","")&amp;"␟"&amp;IFERROR(INDEX(PASTE_ALL,$DF164,4)&amp;"","")&amp;"␟"&amp;IFERROR(INDEX(PASTE_ALL,$DF164,5)&amp;"","")&amp;"␟"&amp;IFERROR(INDEX(PASTE_ALL,$DF164,6)&amp;"","")&amp;"␟"&amp;IFERROR(INDEX(PASTE_ALL,$DF164,7)&amp;"","")&amp;"␟"&amp;IFERROR(INDEX(PASTE_ALL,$DF164,8)&amp;"","")&amp;"␟"&amp;IFERROR(INDEX(PASTE_ALL,$DF164,9)&amp;"","")&amp;"␟"&amp;IFERROR(INDEX(PASTE_ALL,$DF164,10)&amp;"","")&amp;"␟"&amp;IFERROR(INDEX(PASTE_ALL,$DF164,11)&amp;"","")&amp;"␟"&amp;IFERROR(INDEX(PASTE_ALL,$DF164,12)&amp;"","")&amp;"␟"&amp;IFERROR(INDEX(PASTE_ALL,$DF164,13)&amp;"","")&amp;"␟"&amp;IFERROR(INDEX(PASTE_ALL,$DF164,14)&amp;"","")&amp;"␟"&amp;IFERROR(INDEX(PASTE_ALL,$DF164,15)&amp;"","")&amp;"␟"&amp;IFERROR(INDEX(PASTE_ALL,$DF164,16)&amp;"","")&amp;"␟"&amp;IFERROR(INDEX(PASTE_ALL,$DF164,17)&amp;"","")&amp;"␟"&amp;IFERROR(INDEX(PASTE_ALL,$DF164,18)&amp;"","")&amp;"␟"&amp;IFERROR(INDEX(PASTE_ALL,$DF164,19)&amp;"","")&amp;"␟"&amp;IFERROR(INDEX(PASTE_ALL,$DF164,20)&amp;"","")&amp;"␟"&amp;IFERROR(INDEX(PASTE_ALL,$DF164,21)&amp;"","")&amp;"␟"&amp;IFERROR(INDEX(PASTE_ALL,$DF164,22)&amp;"","")&amp;"␟"&amp;IFERROR(INDEX(PASTE_ALL,$DF164,23)&amp;"","")&amp;"␟"&amp;IFERROR(INDEX(PASTE_ALL,$DF164,24)&amp;"","")&amp;"␟"&amp;IFERROR(INDEX(PASTE_ALL,$DF164,25)&amp;"","")&amp;"␟"&amp;IFERROR(INDEX(PASTE_ALL,$DF164,26)&amp;"","")&amp;"␟"&amp;IFERROR(INDEX(PASTE_ALL,$DF164,27)&amp;"","")&amp;"␟"&amp;IFERROR(INDEX(PASTE_ALL,$DF164,28)&amp;"","")&amp;"␟"&amp;IFERROR(INDEX(PASTE_ALL,$DF164,29)&amp;"","")&amp;"␟"&amp;IFERROR(INDEX(PASTE_ALL,$DF164,30)&amp;"","")&amp;"␟"&amp;IFERROR(INDEX(PASTE_ALL,$DF164,31)&amp;"","")&amp;"␟"&amp;IFERROR(INDEX(PASTE_ALL,$DF164,32)&amp;"","")&amp;"␟"&amp;IFERROR(INDEX(PASTE_ALL,$DF164,33)&amp;"","")&amp;"␟"&amp;IFERROR(INDEX(PASTE_ALL,$DF164,34)&amp;"","")&amp;"␟"&amp;IFERROR(INDEX(PASTE_ALL,$DF164,35)&amp;"","")&amp;"␟"&amp;IFERROR(INDEX(PASTE_ALL,$DF164,36)&amp;"","")&amp;"␟"&amp;IFERROR(INDEX(PASTE_ALL,$DF164,37)&amp;"","")&amp;"␟"&amp;IFERROR(INDEX(PASTE_ALL,$DF164,38)&amp;"","")&amp;"␟"&amp;IFERROR(INDEX(PASTE_ALL,$DF164,39)&amp;"","")&amp;"␟"&amp;IFERROR(INDEX(PASTE_ALL,$DF164,40)&amp;"","")&amp;"␟"&amp;IFERROR(INDEX(PASTE_ALL,$DF164,41)&amp;"","")&amp;"␟"&amp;IFERROR(INDEX(PASTE_ALL,$DF164,42)&amp;"","")&amp;"␟"&amp;IFERROR(INDEX(PASTE_ALL,$DF164,43)&amp;"","")&amp;"␟"&amp;IFERROR(INDEX(PASTE_ALL,$DF164,44)&amp;"","")&amp;"␟"&amp;IFERROR(INDEX(PASTE_ALL,$DF164,45)&amp;"","")&amp;"␟"&amp;IFERROR(INDEX(PASTE_ALL,$DF164,46)&amp;"","")&amp;"␟"&amp;IFERROR(INDEX(PASTE_ALL,$DF164,47)&amp;"","")&amp;"␟"&amp;IFERROR(INDEX(PASTE_ALL,$DF164,48)&amp;"","")&amp;"␟"&amp;IFERROR(INDEX(PASTE_ALL,$DF164,49)&amp;"","")&amp;"␟"&amp;IFERROR(INDEX(PASTE_ALL,$DF164,50)&amp;"","")&amp;"␟"&amp;IFERROR(INDEX(PASTE_ALL,$DF164,51)&amp;"","")&amp;"␟"&amp;IFERROR(INDEX(PASTE_ALL,$DF164,52)&amp;"","")&amp;"␟"&amp;IFERROR(INDEX(PASTE_ALL,$DF164,53)&amp;"","")&amp;"␟"&amp;IFERROR(INDEX(PASTE_ALL,$DF164,54)&amp;"","")&amp;"␟"&amp;IFERROR(INDEX(PASTE_ALL,$DF164,55)&amp;"","")&amp;"␟"&amp;IFERROR(INDEX(PASTE_ALL,$DF164,56)&amp;"","")&amp;"␟"&amp;IFERROR(INDEX(PASTE_ALL,$DF164,57)&amp;"","")&amp;"␟"&amp;IFERROR(INDEX(PASTE_ALL,$DF164,58)&amp;"","")&amp;"␟"&amp;IFERROR(INDEX(PASTE_ALL,$DF164,59)&amp;"","")&amp;"␟"&amp;IFERROR(INDEX(PASTE_ALL,$DF164,60)&amp;"","")," "," "),CHAR(9)," "),CHAR(10)," "),CHAR(13)," "))," ␟","␟"),"␟ ","␟"),"#"&amp;$DE164),"")</f>
        <v/>
      </c>
      <c r="DJ164">
        <f>IF($DI164="",0,IF(SUMPRODUCT(--EXACT($DI$4:DI163,$DI164))&gt;0,1,0))</f>
        <v/>
      </c>
      <c r="DK164">
        <f>IF(AND($DI164&lt;&gt;"",$DJ164=0),1,0)</f>
        <v/>
      </c>
      <c r="DL164">
        <f>DL163+$DK164</f>
        <v/>
      </c>
      <c r="DM164">
        <f>IF(AND($DK164=1,$DL164&lt;=600),1,0)</f>
        <v/>
      </c>
      <c r="DN164">
        <f>IF($DM164=0,"",IF($L$6=0,"",IFERROR(IF(ISNUMBER(INDEX(PASTE_ALL,$DF164,$L$6)),INDEX(PASTE_ALL,$DF164,$L$6),TRIM(SUBSTITUTE(SUBSTITUTE(SUBSTITUTE(SUBSTITUTE(INDEX(PASTE_ALL,$DF164,$L$6)," "," "),CHAR(9)," "),CHAR(10)," "),CHAR(13)," "))),"")))</f>
        <v/>
      </c>
      <c r="DO164">
        <f>IF($DM164=0,"",IF($L$7=0,"",IFERROR(IF(ISNUMBER(INDEX(PASTE_ALL,$DF164,$L$7)),INDEX(PASTE_ALL,$DF164,$L$7),TRIM(SUBSTITUTE(SUBSTITUTE(SUBSTITUTE(SUBSTITUTE(INDEX(PASTE_ALL,$DF164,$L$7)," "," "),CHAR(9)," "),CHAR(10)," "),CHAR(13)," "))),"")))</f>
        <v/>
      </c>
      <c r="DP164">
        <f>IF($DM164=0,"",IF($L$8=0,"",IFERROR(IF(ISNUMBER(INDEX(PASTE_ALL,$DF164,$L$8)),INDEX(PASTE_ALL,$DF164,$L$8),TRIM(SUBSTITUTE(SUBSTITUTE(SUBSTITUTE(SUBSTITUTE(INDEX(PASTE_ALL,$DF164,$L$8)," "," "),CHAR(9)," "),CHAR(10)," "),CHAR(13)," "))),"")))</f>
        <v/>
      </c>
      <c r="DQ164">
        <f>IF($DM164=0,"",IF($L$9=0,"",IFERROR(IF(ISNUMBER(INDEX(PASTE_ALL,$DF164,$L$9)),INDEX(PASTE_ALL,$DF164,$L$9),TRIM(SUBSTITUTE(SUBSTITUTE(SUBSTITUTE(SUBSTITUTE(INDEX(PASTE_ALL,$DF164,$L$9)," "," "),CHAR(9)," "),CHAR(10)," "),CHAR(13)," "))),"")))</f>
        <v/>
      </c>
      <c r="DR164">
        <f>IF($DM164=0,"",IF($L$10=0,"",IFERROR(IF(ISNUMBER(INDEX(PASTE_ALL,$DF164,$L$10)),INDEX(PASTE_ALL,$DF164,$L$10),TRIM(SUBSTITUTE(SUBSTITUTE(SUBSTITUTE(SUBSTITUTE(INDEX(PASTE_ALL,$DF164,$L$10)," "," "),CHAR(9)," "),CHAR(10)," "),CHAR(13)," "))),"")))</f>
        <v/>
      </c>
      <c r="DS164">
        <f>IF($DM164=0,"",IF($L$11=0,"",IFERROR(IF(ISNUMBER(INDEX(PASTE_ALL,$DF164,$L$11)),INDEX(PASTE_ALL,$DF164,$L$11),TRIM(SUBSTITUTE(SUBSTITUTE(SUBSTITUTE(SUBSTITUTE(INDEX(PASTE_ALL,$DF164,$L$11)," "," "),CHAR(9)," "),CHAR(10)," "),CHAR(13)," "))),"")))</f>
        <v/>
      </c>
      <c r="DT164">
        <f>IF($DM164=0,"",IF($L$12=0,"",IFERROR(IF(ISNUMBER(INDEX(PASTE_ALL,$DF164,$L$12)),INDEX(PASTE_ALL,$DF164,$L$12),TRIM(SUBSTITUTE(SUBSTITUTE(SUBSTITUTE(SUBSTITUTE(INDEX(PASTE_ALL,$DF164,$L$12)," "," "),CHAR(9)," "),CHAR(10)," "),CHAR(13)," "))),"")))</f>
        <v/>
      </c>
      <c r="DU164">
        <f>IF($DM164=0,"",IF($L$13=0,"",IFERROR(IF(ISNUMBER(INDEX(PASTE_ALL,$DF164,$L$13)),INDEX(PASTE_ALL,$DF164,$L$13),TRIM(SUBSTITUTE(SUBSTITUTE(SUBSTITUTE(SUBSTITUTE(INDEX(PASTE_ALL,$DF164,$L$13)," "," "),CHAR(9)," "),CHAR(10)," "),CHAR(13)," "))),"")))</f>
        <v/>
      </c>
      <c r="DV164">
        <f>IF($DM164=0,"",IF($L$14=0,"",IFERROR(IF(ISNUMBER(INDEX(PASTE_ALL,$DF164,$L$14)),INDEX(PASTE_ALL,$DF164,$L$14),TRIM(SUBSTITUTE(SUBSTITUTE(SUBSTITUTE(SUBSTITUTE(INDEX(PASTE_ALL,$DF164,$L$14)," "," "),CHAR(9)," "),CHAR(10)," "),CHAR(13)," "))),"")))</f>
        <v/>
      </c>
      <c r="DW164">
        <f>IF($DM164=0,"",IF($L$15=0,"",IFERROR(IF(ISNUMBER(INDEX(PASTE_ALL,$DF164,$L$15)),INDEX(PASTE_ALL,$DF164,$L$15),IF(SUMPRODUCT(--ISNUMBER(FIND({"A","B","C","D","E","F","G","H","I","J","K","L","M","N","O","P","Q","R","S","T","U","V","W","X","Y","Z","0","1","2","3","4","5","6","7","8","9"},UPPER(TRIM(SUBSTITUTE(SUBSTITUTE(SUBSTITUTE(SUBSTITUTE(INDEX(PASTE_ALL,$DF164,$L$15)," "," "),CHAR(9)," "),CHAR(10)," "),CHAR(13)," "))))))&gt;0,TRIM(SUBSTITUTE(SUBSTITUTE(SUBSTITUTE(SUBSTITUTE(INDEX(PASTE_ALL,$DF164,$L$15)," "," "),CHAR(9)," "),CHAR(10)," "),CHAR(13)," ")),"")),"")))</f>
        <v/>
      </c>
      <c r="DX164">
        <f>IF($DM164=0,"",IF($L$16=0,"",IFERROR(IF(ISNUMBER(INDEX(PASTE_ALL,$DF164,$L$16)),INDEX(PASTE_ALL,$DF164,$L$16),SUBSTITUTE(SUBSTITUTE(TRIM(SUBSTITUTE(SUBSTITUTE(SUBSTITUTE(SUBSTITUTE(INDEX(PASTE_ALL,$DF164,$L$16)," "," "),CHAR(9)," "),CHAR(10)," "),CHAR(13)," ")),",",""),"%","")),"")))</f>
        <v/>
      </c>
      <c r="DY164">
        <f>IF($DM164=0,"",IFERROR(IF(ISNUMBER($DX164),$DX164,IF($DX164="","",IF(TRIM($DX164)="",0,IF(AND(AND(SUBSTITUTE(SUBSTITUTE(SUBSTITUTE(SUBSTITUTE(SUBSTITUTE(SUBSTITUTE(SUBSTITUTE(SUBSTITUTE(SUBSTITUTE(SUBSTITUTE(SUBSTITUTE(SUBSTITUTE(SUBSTITUTE(SUBSTITUTE(UPPER(TRIM($DX164)),"0",""),"1",""),"2",""),"3",""),"4",""),"5",""),"6",""),"7",""),"8",""),"9",""),".",""),"+",""),"-",""),"E","")="",LEN(SUBSTITUTE(SUBSTITUTE(MID(UPPER(TRIM($DX164)),1+OR(LEFT(UPPER(TRIM($DX164)),1)="+",LEFT(UPPER(TRIM($DX164)),1)="-"),999),"E+","E"),"E-","E"))=LEN(SUBSTITUTE(SUBSTITUTE(SUBSTITUTE(SUBSTITUTE(MID(UPPER(TRIM($DX164)),1+OR(LEFT(UPPER(TRIM($DX164)),1)="+",LEFT(UPPER(TRIM($DX164)),1)="-"),999),"E+","E"),"E-","E"),"+",""),"-","")),LEN(UPPER(TRIM($DX164)))-LEN(SUBSTITUTE(UPPER(TRIM($DX164)),"E",""))&lt;2,LEN(UPPER(TRIM($DX164)))-LEN(SUBSTITUTE(UPPER(TRIM($DX164)),".",""))&lt;2,IFERROR(FIND(".",UPPER(TRIM($DX164))),0)&lt;IFERROR(FIND("E",UPPER(TRIM($DX164))),999)),ISNUMBER(VALUE(TRIM($DX164)))),VALUE(TRIM($DX164)),"")))),""))</f>
        <v/>
      </c>
      <c r="DZ164">
        <f>IF($DM164=0,"",IF($L$17=0,"",IFERROR(IF(ISNUMBER(INDEX(PASTE_ALL,$DF164,$L$17)),INDEX(PASTE_ALL,$DF164,$L$17),SUBSTITUTE(SUBSTITUTE(TRIM(SUBSTITUTE(SUBSTITUTE(SUBSTITUTE(SUBSTITUTE(INDEX(PASTE_ALL,$DF164,$L$17)," "," "),CHAR(9)," "),CHAR(10)," "),CHAR(13)," ")),",",""),"%","")),"")))</f>
        <v/>
      </c>
      <c r="EA164">
        <f>IF($DM164=0,"",IFERROR(IF(ISNUMBER($DZ164),$DZ164,IF($DZ164="","",IF(TRIM($DZ164)="",0,IF(AND(AND(SUBSTITUTE(SUBSTITUTE(SUBSTITUTE(SUBSTITUTE(SUBSTITUTE(SUBSTITUTE(SUBSTITUTE(SUBSTITUTE(SUBSTITUTE(SUBSTITUTE(SUBSTITUTE(SUBSTITUTE(SUBSTITUTE(SUBSTITUTE(UPPER(TRIM($DZ164)),"0",""),"1",""),"2",""),"3",""),"4",""),"5",""),"6",""),"7",""),"8",""),"9",""),".",""),"+",""),"-",""),"E","")="",LEN(SUBSTITUTE(SUBSTITUTE(MID(UPPER(TRIM($DZ164)),1+OR(LEFT(UPPER(TRIM($DZ164)),1)="+",LEFT(UPPER(TRIM($DZ164)),1)="-"),999),"E+","E"),"E-","E"))=LEN(SUBSTITUTE(SUBSTITUTE(SUBSTITUTE(SUBSTITUTE(MID(UPPER(TRIM($DZ164)),1+OR(LEFT(UPPER(TRIM($DZ164)),1)="+",LEFT(UPPER(TRIM($DZ164)),1)="-"),999),"E+","E"),"E-","E"),"+",""),"-","")),LEN(UPPER(TRIM($DZ164)))-LEN(SUBSTITUTE(UPPER(TRIM($DZ164)),"E",""))&lt;2,LEN(UPPER(TRIM($DZ164)))-LEN(SUBSTITUTE(UPPER(TRIM($DZ164)),".",""))&lt;2,IFERROR(FIND(".",UPPER(TRIM($DZ164))),0)&lt;IFERROR(FIND("E",UPPER(TRIM($DZ164))),999)),ISNUMBER(VALUE(TRIM($DZ164)))),VALUE(TRIM($DZ164)),"")))),""))</f>
        <v/>
      </c>
      <c r="EB164">
        <f>IF($DM164=0,"",IF($L$18=0,"",IFERROR(IF(UPPER(TRIM(SUBSTITUTE(SUBSTITUTE(SUBSTITUTE(SUBSTITUTE(INDEX(PASTE_ALL,$DF164,$L$18)," "," "),CHAR(9)," "),CHAR(10)," "),CHAR(13)," ")))="READY","Ready",IF(UPPER(TRIM(SUBSTITUTE(SUBSTITUTE(SUBSTITUTE(SUBSTITUTE(INDEX(PASTE_ALL,$DF164,$L$18)," "," "),CHAR(9)," "),CHAR(10)," "),CHAR(13)," ")))="PM","PM",IF(OR(UPPER(TRIM(SUBSTITUTE(SUBSTITUTE(SUBSTITUTE(SUBSTITUTE(INDEX(PASTE_ALL,$DF164,$L$18)," "," "),CHAR(9)," "),CHAR(10)," "),CHAR(13)," ")))="OT",UPPER(TRIM(SUBSTITUTE(SUBSTITUTE(SUBSTITUTE(SUBSTITUTE(INDEX(PASTE_ALL,$DF164,$L$18)," "," "),CHAR(9)," "),CHAR(10)," "),CHAR(13)," ")))="OVERTIME",UPPER(TRIM(SUBSTITUTE(SUBSTITUTE(SUBSTITUTE(SUBSTITUTE(INDEX(PASTE_ALL,$DF164,$L$18)," "," "),CHAR(9)," "),CHAR(10)," "),CHAR(13)," ")))="TRIAL"),"OT",TRIM(SUBSTITUTE(SUBSTITUTE(SUBSTITUTE(SUBSTITUTE(INDEX(PASTE_ALL,$DF164,$L$18)," "," "),CHAR(9)," "),CHAR(10)," "),CHAR(13)," "))))),"")))</f>
        <v/>
      </c>
      <c r="EC164">
        <f>IF($DM164=0,"",IF($L$19=0,"",IFERROR(IF(ISNUMBER(INDEX(PASTE_ALL,$DF164,$L$19)),INDEX(PASTE_ALL,$DF164,$L$19),TRIM(SUBSTITUTE(SUBSTITUTE(SUBSTITUTE(SUBSTITUTE(INDEX(PASTE_ALL,$DF164,$L$19)," "," "),CHAR(9)," "),CHAR(10)," "),CHAR(13)," "))),"")))</f>
        <v/>
      </c>
      <c r="ED164">
        <f>IF($DM164=0,"",MATCH(1,INDEX(EXACT($DH$5:DH164,$DH164)*$DM$5:DM164,0),0))</f>
        <v/>
      </c>
      <c r="EE164">
        <f>IF($DM164=0,0,IF($ED164=$DE164,1,0))</f>
        <v/>
      </c>
      <c r="EF164">
        <f>EF163+$EE164</f>
        <v/>
      </c>
      <c r="EG164">
        <f>IF($DM164=0,"",INDEX($EF$5:$EF$1003,$ED164))</f>
        <v/>
      </c>
      <c r="EH164">
        <f>IF($DM164=0,"",IF($DO164&lt;&gt;"","",IFERROR(LOOKUP(2,1/(($EG$4:EG163=$EG164)*($DO$4:DO163&lt;&gt;"")),$DO$4:DO163),"")))</f>
        <v/>
      </c>
      <c r="EI164">
        <f>IF($DM164=0,"",IF($DO164&lt;&gt;"",$DO164,$EH164))</f>
        <v/>
      </c>
      <c r="EJ164">
        <f>IF($DM164=0,"",IF($EI164="",0,IF(OR(ISNUMBER($EI164),AND(AND(SUBSTITUTE(SUBSTITUTE(SUBSTITUTE(SUBSTITUTE(SUBSTITUTE(SUBSTITUTE(SUBSTITUTE(SUBSTITUTE(SUBSTITUTE(SUBSTITUTE(SUBSTITUTE(SUBSTITUTE(SUBSTITUTE(SUBSTITUTE(UPPER($EI164),"0",""),"1",""),"2",""),"3",""),"4",""),"5",""),"6",""),"7",""),"8",""),"9",""),".",""),"+",""),"-",""),"E","")="",LEN(SUBSTITUTE(SUBSTITUTE(MID(UPPER($EI164),1+OR(LEFT(UPPER($EI164),1)="+",LEFT(UPPER($EI164),1)="-"),999),"E+","E"),"E-","E"))=LEN(SUBSTITUTE(SUBSTITUTE(SUBSTITUTE(SUBSTITUTE(MID(UPPER($EI164),1+OR(LEFT(UPPER($EI164),1)="+",LEFT(UPPER($EI164),1)="-"),999),"E+","E"),"E-","E"),"+",""),"-","")),LEN(UPPER($EI164))-LEN(SUBSTITUTE(UPPER($EI164),"E",""))&lt;2,LEN(UPPER($EI164))-LEN(SUBSTITUTE(UPPER($EI164),".",""))&lt;2,IFERROR(FIND(".",UPPER($EI164)),0)&lt;IFERROR(FIND("E",UPPER($EI164)),999)),ISNUMBER(VALUE($EI164)))),1,2)))</f>
        <v/>
      </c>
      <c r="EK164">
        <f>IF($DM164=0,"",IF($EJ164=1,IF(ISNUMBER($EI164),$EI164,VALUE($EI164)),IF($EJ164=2,$DE164,0)))</f>
        <v/>
      </c>
      <c r="EL164">
        <f>IF($DM164=0,"",COUNTIF($EG$5:$EG$1003,"&lt;"&amp;$EG164)+SUMPRODUCT(($EG$5:$EG$1003=$EG164)*(($EJ$5:$EJ$1003&lt;$EJ164)+($EJ$5:$EJ$1003=$EJ164)*(($EK$5:$EK$1003&lt;$EK164)+($EK$5:$EK$1003=$EK164)*($DE$5:$DE$1003&lt;$DE164))))+1)</f>
        <v/>
      </c>
      <c r="EM164">
        <f>IF($DM164=0,"",$EL164+$EG164-1)</f>
        <v/>
      </c>
      <c r="EN164">
        <f>IF($DM164=0,0,IFERROR(MATCH(1,INDEX(--(TRIM(SUBSTITUTE(SUBSTITUTE(SUBSTITUTE(SUBSTITUTE(LINES_NAME&amp;""," "," "),CHAR(9)," "),CHAR(10)," "),CHAR(13)," "))=$DH164),0),0),0))</f>
        <v/>
      </c>
      <c r="EO164">
        <f>IF($EN164=0,0,IF(OR(UPPER(TRIM(INDEX(LINES_SCHEDULED,$EN164)&amp;""))="YES",UPPER(TRIM(INDEX(LINES_SCHEDULED,$EN164)&amp;""))="Y",UPPER(TRIM(INDEX(LINES_SCHEDULED,$EN164)&amp;""))="X"),1,0))</f>
        <v/>
      </c>
      <c r="EP164">
        <f>IF($DM164=0,"",IF(COUNTIFS($EG$5:$EG$1003,$EG164,$EB$5:$EB$1003,"Ready")&gt;0,"READY",IF(COUNTIFS($EG$5:$EG$1003,$EG164,$EB$5:$EB$1003,"PM")&gt;0,"PM",IF(COUNTIFS($EG$5:$EG$1003,$EG164,$EB$5:$EB$1003,"OT")&gt;0,"OT",""))))</f>
        <v/>
      </c>
      <c r="EQ164">
        <f>IF($EN164=0,"",UPPER(TRIM(INDEX(LINES_STATUS,$EN164)&amp;"")))</f>
        <v/>
      </c>
      <c r="ER164">
        <f>IF($DM164=0,"",IF(OR($EQ164="READY",$EQ164="PM",$EQ164="OT"),$EQ164,$EP164))</f>
        <v/>
      </c>
      <c r="ES164">
        <f>IF($DM164=0,"",IF(AND($DV164&lt;&gt;"",UPPER($DV164)&lt;&gt;"N"),"allergen",IF(ISNUMBER(SEARCH("oil",$DQ164)),"oil",IF(OR(EXACT($DS164,"A662"),EXACT($DS164,"A624")),"bulk",""))))</f>
        <v/>
      </c>
      <c r="ET164">
        <f>IF($DM164=0,"",IF(OR($EA164="",$EA164=0),"",$EA164/100))</f>
        <v/>
      </c>
      <c r="EU164">
        <f>IF(OR($ET164="",$DY164=""),"",INT($DY164*(1-$ET164)+0.5))</f>
        <v/>
      </c>
      <c r="EW164" t="n">
        <v>160</v>
      </c>
      <c r="EX164">
        <f>IFERROR(MATCH($EW164,$EM$5:$EM$1003,0),0)</f>
        <v/>
      </c>
      <c r="EY164">
        <f>IF($EW164&gt;$B$12,"",IF($EX164&gt;0,"row","spacer"))</f>
        <v/>
      </c>
      <c r="EZ164">
        <f>IF(AND($EY164="row",$EY163&lt;&gt;"row"),1,0)</f>
        <v/>
      </c>
      <c r="FA164">
        <f>IF(AND($EY164="row",$EY165&lt;&gt;"row"),1,0)</f>
        <v/>
      </c>
      <c r="FB164">
        <f>IF($EZ164=1,IFERROR(IF(ISNUMBER(INDEX(PASTE_ALL,INDEX($DF$5:$DF$1003,$EX164),$B$37)),INDEX(PASTE_ALL,INDEX($DF$5:$DF$1003,$EX164),$B$37),INDEX($DH$5:$DH$1003,$EX164)),INDEX($DH$5:$DH$1003,$EX164)),"")</f>
        <v/>
      </c>
      <c r="FC164">
        <f>IF($EY164="row",INDEX($ER$5:$ER$1003,$EX164),"")</f>
        <v/>
      </c>
      <c r="FD164">
        <f>IF($EY164="row",INDEX($DN$5:$DN$1003,$EX164),"")</f>
        <v/>
      </c>
      <c r="FE164">
        <f>IF($EY164="row",INDEX($DO$5:$DO$1003,$EX164),"")</f>
        <v/>
      </c>
      <c r="FF164">
        <f>IF($EY164="row",INDEX($DP$5:$DP$1003,$EX164),"")</f>
        <v/>
      </c>
      <c r="FG164">
        <f>IF($EY164="row",INDEX($DQ$5:$DQ$1003,$EX164),"")</f>
        <v/>
      </c>
      <c r="FH164">
        <f>IF($EY164="row",INDEX($DR$5:$DR$1003,$EX164),"")</f>
        <v/>
      </c>
      <c r="FI164">
        <f>IF($EY164="row",INDEX($DS$5:$DS$1003,$EX164),"")</f>
        <v/>
      </c>
      <c r="FJ164">
        <f>IF($EY164="row",INDEX($DT$5:$DT$1003,$EX164),"")</f>
        <v/>
      </c>
      <c r="FK164">
        <f>IF($EY164="row",INDEX($DU$5:$DU$1003,$EX164),"")</f>
        <v/>
      </c>
      <c r="FL164">
        <f>IF($EY164="row",INDEX($DV$5:$DV$1003,$EX164),"")</f>
        <v/>
      </c>
      <c r="FM164">
        <f>IF($EY164="row",INDEX($DW$5:$DW$1003,$EX164),"")</f>
        <v/>
      </c>
      <c r="FN164">
        <f>IF($EY164="row",INDEX($DY$5:$DY$1003,$EX164),"")</f>
        <v/>
      </c>
      <c r="FO164">
        <f>IF($EY164="row",INDEX($EA$5:$EA$1003,$EX164),"")</f>
        <v/>
      </c>
      <c r="FP164">
        <f>IF($EY164="row",INDEX($EC$5:$EC$1003,$EX164),"")</f>
        <v/>
      </c>
      <c r="FQ164">
        <f>IF($EY164="row",INDEX($ET$5:$ET$1003,$EX164),"")</f>
        <v/>
      </c>
      <c r="FR164">
        <f>IF($EY164="row",INDEX($EU$5:$EU$1003,$EX164),"")</f>
        <v/>
      </c>
      <c r="FS164">
        <f>IF(AND($EY164="row",$EY163="row"),IF(OR(INDEX($DT$5:$DT$1003,$EX163)="",INDEX($DT$5:$DT$1003,$EX164)=""),"",IF(NOT(EXACT(INDEX($DT$5:$DT$1003,$EX163),INDEX($DT$5:$DT$1003,$EX164))),"S4",IF(NOT(EXACT(INDEX($DS$5:$DS$1003,$EX163),INDEX($DS$5:$DS$1003,$EX164))),"S3",IF(NOT(EXACT(INDEX($DR$5:$DR$1003,$EX163),INDEX($DR$5:$DR$1003,$EX164))),"S1 Count Change","S1")))),"")</f>
        <v/>
      </c>
      <c r="FT164">
        <f>IF($EY164="row",INDEX($ES$5:$ES$1003,$EX164),"")</f>
        <v/>
      </c>
      <c r="FU164">
        <f>IF($EY164="row",INDEX($EO$5:$EO$1003,$EX164),0)</f>
        <v/>
      </c>
      <c r="FV164">
        <f>IF($FS164="S1 Count Change",1,0)</f>
        <v/>
      </c>
    </row>
    <row r="165">
      <c r="Y165">
        <f>IF(Y30="",0,2*(OR(ISNUMBER(FIND("WORKCENTER",Y30)),AND(LEFT(Y30,4)="LINE",NOT(ISNUMBER(FIND("STATUS",Y30))))))+4*(OR(ISNUMBER(FIND("WORKORDER",Y30)),AND(LEFT(Y30,2)="WO",OR(ISNUMBER(FIND("NUM",Y30)),RIGHT(Y30,2)="NO"))))+8*(LEFT(Y30,3)="SEQ")+16*(AND(LEFT(Y30,4)="ITEM",NOT(ISNUMBER(FIND("DESC",Y30)))))+32*(AND(ISNUMBER(FIND("DESC",Y30)),NOT(ISNUMBER(FIND("CAP",Y30)))))+64*(OR(RIGHT(Y30,5)="COUNT",RIGHT(Y30,2)="CT"))+128*(ISNUMBER(FIND("BULK",Y30)))+256*(ISNUMBER(FIND("SIZE",Y30)))+512*(LEFT(Y30,3)="CAP")+1024*(ISNUMBER(FIND("ALLERG",Y30)))+2048*(OR(ISNUMBER(FIND("REMARK",Y30)),ISNUMBER(FIND("COMMENT",Y30))))+4096*(OR(ISNUMBER(FIND("QTY",Y30)),ISNUMBER(FIND("QUANTITY",Y30))))+8192*(AND(OR(ISNUMBER(FIND("COMPLETE",Y30)),ISNUMBER(FIND("PCT",Y30)),ISNUMBER(FIND("PERCENT",Y30))),NOT(ISNUMBER(FIND("ACTUAL",Y30))),LEN(Y30)&lt;=16))+32768*(OR(ISNUMBER(FIND("DESIC",Y30)),ISNUMBER(FIND("DESSIC",Y30)))))</f>
        <v/>
      </c>
      <c r="Z165">
        <f>IF(Z30="",0,2*(OR(ISNUMBER(FIND("WORKCENTER",Z30)),AND(LEFT(Z30,4)="LINE",NOT(ISNUMBER(FIND("STATUS",Z30))))))+4*(OR(ISNUMBER(FIND("WORKORDER",Z30)),AND(LEFT(Z30,2)="WO",OR(ISNUMBER(FIND("NUM",Z30)),RIGHT(Z30,2)="NO"))))+8*(LEFT(Z30,3)="SEQ")+16*(AND(LEFT(Z30,4)="ITEM",NOT(ISNUMBER(FIND("DESC",Z30)))))+32*(AND(ISNUMBER(FIND("DESC",Z30)),NOT(ISNUMBER(FIND("CAP",Z30)))))+64*(OR(RIGHT(Z30,5)="COUNT",RIGHT(Z30,2)="CT"))+128*(ISNUMBER(FIND("BULK",Z30)))+256*(ISNUMBER(FIND("SIZE",Z30)))+512*(LEFT(Z30,3)="CAP")+1024*(ISNUMBER(FIND("ALLERG",Z30)))+2048*(OR(ISNUMBER(FIND("REMARK",Z30)),ISNUMBER(FIND("COMMENT",Z30))))+4096*(OR(ISNUMBER(FIND("QTY",Z30)),ISNUMBER(FIND("QUANTITY",Z30))))+8192*(AND(OR(ISNUMBER(FIND("COMPLETE",Z30)),ISNUMBER(FIND("PCT",Z30)),ISNUMBER(FIND("PERCENT",Z30))),NOT(ISNUMBER(FIND("ACTUAL",Z30))),LEN(Z30)&lt;=16))+32768*(OR(ISNUMBER(FIND("DESIC",Z30)),ISNUMBER(FIND("DESSIC",Z30)))))</f>
        <v/>
      </c>
      <c r="AA165">
        <f>IF(AA30="",0,2*(OR(ISNUMBER(FIND("WORKCENTER",AA30)),AND(LEFT(AA30,4)="LINE",NOT(ISNUMBER(FIND("STATUS",AA30))))))+4*(OR(ISNUMBER(FIND("WORKORDER",AA30)),AND(LEFT(AA30,2)="WO",OR(ISNUMBER(FIND("NUM",AA30)),RIGHT(AA30,2)="NO"))))+8*(LEFT(AA30,3)="SEQ")+16*(AND(LEFT(AA30,4)="ITEM",NOT(ISNUMBER(FIND("DESC",AA30)))))+32*(AND(ISNUMBER(FIND("DESC",AA30)),NOT(ISNUMBER(FIND("CAP",AA30)))))+64*(OR(RIGHT(AA30,5)="COUNT",RIGHT(AA30,2)="CT"))+128*(ISNUMBER(FIND("BULK",AA30)))+256*(ISNUMBER(FIND("SIZE",AA30)))+512*(LEFT(AA30,3)="CAP")+1024*(ISNUMBER(FIND("ALLERG",AA30)))+2048*(OR(ISNUMBER(FIND("REMARK",AA30)),ISNUMBER(FIND("COMMENT",AA30))))+4096*(OR(ISNUMBER(FIND("QTY",AA30)),ISNUMBER(FIND("QUANTITY",AA30))))+8192*(AND(OR(ISNUMBER(FIND("COMPLETE",AA30)),ISNUMBER(FIND("PCT",AA30)),ISNUMBER(FIND("PERCENT",AA30))),NOT(ISNUMBER(FIND("ACTUAL",AA30))),LEN(AA30)&lt;=16))+32768*(OR(ISNUMBER(FIND("DESIC",AA30)),ISNUMBER(FIND("DESSIC",AA30)))))</f>
        <v/>
      </c>
      <c r="AB165">
        <f>IF(AB30="",0,2*(OR(ISNUMBER(FIND("WORKCENTER",AB30)),AND(LEFT(AB30,4)="LINE",NOT(ISNUMBER(FIND("STATUS",AB30))))))+4*(OR(ISNUMBER(FIND("WORKORDER",AB30)),AND(LEFT(AB30,2)="WO",OR(ISNUMBER(FIND("NUM",AB30)),RIGHT(AB30,2)="NO"))))+8*(LEFT(AB30,3)="SEQ")+16*(AND(LEFT(AB30,4)="ITEM",NOT(ISNUMBER(FIND("DESC",AB30)))))+32*(AND(ISNUMBER(FIND("DESC",AB30)),NOT(ISNUMBER(FIND("CAP",AB30)))))+64*(OR(RIGHT(AB30,5)="COUNT",RIGHT(AB30,2)="CT"))+128*(ISNUMBER(FIND("BULK",AB30)))+256*(ISNUMBER(FIND("SIZE",AB30)))+512*(LEFT(AB30,3)="CAP")+1024*(ISNUMBER(FIND("ALLERG",AB30)))+2048*(OR(ISNUMBER(FIND("REMARK",AB30)),ISNUMBER(FIND("COMMENT",AB30))))+4096*(OR(ISNUMBER(FIND("QTY",AB30)),ISNUMBER(FIND("QUANTITY",AB30))))+8192*(AND(OR(ISNUMBER(FIND("COMPLETE",AB30)),ISNUMBER(FIND("PCT",AB30)),ISNUMBER(FIND("PERCENT",AB30))),NOT(ISNUMBER(FIND("ACTUAL",AB30))),LEN(AB30)&lt;=16))+32768*(OR(ISNUMBER(FIND("DESIC",AB30)),ISNUMBER(FIND("DESSIC",AB30)))))</f>
        <v/>
      </c>
      <c r="AC165">
        <f>IF(AC30="",0,2*(OR(ISNUMBER(FIND("WORKCENTER",AC30)),AND(LEFT(AC30,4)="LINE",NOT(ISNUMBER(FIND("STATUS",AC30))))))+4*(OR(ISNUMBER(FIND("WORKORDER",AC30)),AND(LEFT(AC30,2)="WO",OR(ISNUMBER(FIND("NUM",AC30)),RIGHT(AC30,2)="NO"))))+8*(LEFT(AC30,3)="SEQ")+16*(AND(LEFT(AC30,4)="ITEM",NOT(ISNUMBER(FIND("DESC",AC30)))))+32*(AND(ISNUMBER(FIND("DESC",AC30)),NOT(ISNUMBER(FIND("CAP",AC30)))))+64*(OR(RIGHT(AC30,5)="COUNT",RIGHT(AC30,2)="CT"))+128*(ISNUMBER(FIND("BULK",AC30)))+256*(ISNUMBER(FIND("SIZE",AC30)))+512*(LEFT(AC30,3)="CAP")+1024*(ISNUMBER(FIND("ALLERG",AC30)))+2048*(OR(ISNUMBER(FIND("REMARK",AC30)),ISNUMBER(FIND("COMMENT",AC30))))+4096*(OR(ISNUMBER(FIND("QTY",AC30)),ISNUMBER(FIND("QUANTITY",AC30))))+8192*(AND(OR(ISNUMBER(FIND("COMPLETE",AC30)),ISNUMBER(FIND("PCT",AC30)),ISNUMBER(FIND("PERCENT",AC30))),NOT(ISNUMBER(FIND("ACTUAL",AC30))),LEN(AC30)&lt;=16))+32768*(OR(ISNUMBER(FIND("DESIC",AC30)),ISNUMBER(FIND("DESSIC",AC30)))))</f>
        <v/>
      </c>
      <c r="AD165">
        <f>IF(AD30="",0,2*(OR(ISNUMBER(FIND("WORKCENTER",AD30)),AND(LEFT(AD30,4)="LINE",NOT(ISNUMBER(FIND("STATUS",AD30))))))+4*(OR(ISNUMBER(FIND("WORKORDER",AD30)),AND(LEFT(AD30,2)="WO",OR(ISNUMBER(FIND("NUM",AD30)),RIGHT(AD30,2)="NO"))))+8*(LEFT(AD30,3)="SEQ")+16*(AND(LEFT(AD30,4)="ITEM",NOT(ISNUMBER(FIND("DESC",AD30)))))+32*(AND(ISNUMBER(FIND("DESC",AD30)),NOT(ISNUMBER(FIND("CAP",AD30)))))+64*(OR(RIGHT(AD30,5)="COUNT",RIGHT(AD30,2)="CT"))+128*(ISNUMBER(FIND("BULK",AD30)))+256*(ISNUMBER(FIND("SIZE",AD30)))+512*(LEFT(AD30,3)="CAP")+1024*(ISNUMBER(FIND("ALLERG",AD30)))+2048*(OR(ISNUMBER(FIND("REMARK",AD30)),ISNUMBER(FIND("COMMENT",AD30))))+4096*(OR(ISNUMBER(FIND("QTY",AD30)),ISNUMBER(FIND("QUANTITY",AD30))))+8192*(AND(OR(ISNUMBER(FIND("COMPLETE",AD30)),ISNUMBER(FIND("PCT",AD30)),ISNUMBER(FIND("PERCENT",AD30))),NOT(ISNUMBER(FIND("ACTUAL",AD30))),LEN(AD30)&lt;=16))+32768*(OR(ISNUMBER(FIND("DESIC",AD30)),ISNUMBER(FIND("DESSIC",AD30)))))</f>
        <v/>
      </c>
      <c r="AE165">
        <f>IF(AE30="",0,2*(OR(ISNUMBER(FIND("WORKCENTER",AE30)),AND(LEFT(AE30,4)="LINE",NOT(ISNUMBER(FIND("STATUS",AE30))))))+4*(OR(ISNUMBER(FIND("WORKORDER",AE30)),AND(LEFT(AE30,2)="WO",OR(ISNUMBER(FIND("NUM",AE30)),RIGHT(AE30,2)="NO"))))+8*(LEFT(AE30,3)="SEQ")+16*(AND(LEFT(AE30,4)="ITEM",NOT(ISNUMBER(FIND("DESC",AE30)))))+32*(AND(ISNUMBER(FIND("DESC",AE30)),NOT(ISNUMBER(FIND("CAP",AE30)))))+64*(OR(RIGHT(AE30,5)="COUNT",RIGHT(AE30,2)="CT"))+128*(ISNUMBER(FIND("BULK",AE30)))+256*(ISNUMBER(FIND("SIZE",AE30)))+512*(LEFT(AE30,3)="CAP")+1024*(ISNUMBER(FIND("ALLERG",AE30)))+2048*(OR(ISNUMBER(FIND("REMARK",AE30)),ISNUMBER(FIND("COMMENT",AE30))))+4096*(OR(ISNUMBER(FIND("QTY",AE30)),ISNUMBER(FIND("QUANTITY",AE30))))+8192*(AND(OR(ISNUMBER(FIND("COMPLETE",AE30)),ISNUMBER(FIND("PCT",AE30)),ISNUMBER(FIND("PERCENT",AE30))),NOT(ISNUMBER(FIND("ACTUAL",AE30))),LEN(AE30)&lt;=16))+32768*(OR(ISNUMBER(FIND("DESIC",AE30)),ISNUMBER(FIND("DESSIC",AE30)))))</f>
        <v/>
      </c>
      <c r="AF165">
        <f>IF(AF30="",0,2*(OR(ISNUMBER(FIND("WORKCENTER",AF30)),AND(LEFT(AF30,4)="LINE",NOT(ISNUMBER(FIND("STATUS",AF30))))))+4*(OR(ISNUMBER(FIND("WORKORDER",AF30)),AND(LEFT(AF30,2)="WO",OR(ISNUMBER(FIND("NUM",AF30)),RIGHT(AF30,2)="NO"))))+8*(LEFT(AF30,3)="SEQ")+16*(AND(LEFT(AF30,4)="ITEM",NOT(ISNUMBER(FIND("DESC",AF30)))))+32*(AND(ISNUMBER(FIND("DESC",AF30)),NOT(ISNUMBER(FIND("CAP",AF30)))))+64*(OR(RIGHT(AF30,5)="COUNT",RIGHT(AF30,2)="CT"))+128*(ISNUMBER(FIND("BULK",AF30)))+256*(ISNUMBER(FIND("SIZE",AF30)))+512*(LEFT(AF30,3)="CAP")+1024*(ISNUMBER(FIND("ALLERG",AF30)))+2048*(OR(ISNUMBER(FIND("REMARK",AF30)),ISNUMBER(FIND("COMMENT",AF30))))+4096*(OR(ISNUMBER(FIND("QTY",AF30)),ISNUMBER(FIND("QUANTITY",AF30))))+8192*(AND(OR(ISNUMBER(FIND("COMPLETE",AF30)),ISNUMBER(FIND("PCT",AF30)),ISNUMBER(FIND("PERCENT",AF30))),NOT(ISNUMBER(FIND("ACTUAL",AF30))),LEN(AF30)&lt;=16))+32768*(OR(ISNUMBER(FIND("DESIC",AF30)),ISNUMBER(FIND("DESSIC",AF30)))))</f>
        <v/>
      </c>
      <c r="AG165">
        <f>IF(AG30="",0,2*(OR(ISNUMBER(FIND("WORKCENTER",AG30)),AND(LEFT(AG30,4)="LINE",NOT(ISNUMBER(FIND("STATUS",AG30))))))+4*(OR(ISNUMBER(FIND("WORKORDER",AG30)),AND(LEFT(AG30,2)="WO",OR(ISNUMBER(FIND("NUM",AG30)),RIGHT(AG30,2)="NO"))))+8*(LEFT(AG30,3)="SEQ")+16*(AND(LEFT(AG30,4)="ITEM",NOT(ISNUMBER(FIND("DESC",AG30)))))+32*(AND(ISNUMBER(FIND("DESC",AG30)),NOT(ISNUMBER(FIND("CAP",AG30)))))+64*(OR(RIGHT(AG30,5)="COUNT",RIGHT(AG30,2)="CT"))+128*(ISNUMBER(FIND("BULK",AG30)))+256*(ISNUMBER(FIND("SIZE",AG30)))+512*(LEFT(AG30,3)="CAP")+1024*(ISNUMBER(FIND("ALLERG",AG30)))+2048*(OR(ISNUMBER(FIND("REMARK",AG30)),ISNUMBER(FIND("COMMENT",AG30))))+4096*(OR(ISNUMBER(FIND("QTY",AG30)),ISNUMBER(FIND("QUANTITY",AG30))))+8192*(AND(OR(ISNUMBER(FIND("COMPLETE",AG30)),ISNUMBER(FIND("PCT",AG30)),ISNUMBER(FIND("PERCENT",AG30))),NOT(ISNUMBER(FIND("ACTUAL",AG30))),LEN(AG30)&lt;=16))+32768*(OR(ISNUMBER(FIND("DESIC",AG30)),ISNUMBER(FIND("DESSIC",AG30)))))</f>
        <v/>
      </c>
      <c r="AH165">
        <f>IF(AH30="",0,2*(OR(ISNUMBER(FIND("WORKCENTER",AH30)),AND(LEFT(AH30,4)="LINE",NOT(ISNUMBER(FIND("STATUS",AH30))))))+4*(OR(ISNUMBER(FIND("WORKORDER",AH30)),AND(LEFT(AH30,2)="WO",OR(ISNUMBER(FIND("NUM",AH30)),RIGHT(AH30,2)="NO"))))+8*(LEFT(AH30,3)="SEQ")+16*(AND(LEFT(AH30,4)="ITEM",NOT(ISNUMBER(FIND("DESC",AH30)))))+32*(AND(ISNUMBER(FIND("DESC",AH30)),NOT(ISNUMBER(FIND("CAP",AH30)))))+64*(OR(RIGHT(AH30,5)="COUNT",RIGHT(AH30,2)="CT"))+128*(ISNUMBER(FIND("BULK",AH30)))+256*(ISNUMBER(FIND("SIZE",AH30)))+512*(LEFT(AH30,3)="CAP")+1024*(ISNUMBER(FIND("ALLERG",AH30)))+2048*(OR(ISNUMBER(FIND("REMARK",AH30)),ISNUMBER(FIND("COMMENT",AH30))))+4096*(OR(ISNUMBER(FIND("QTY",AH30)),ISNUMBER(FIND("QUANTITY",AH30))))+8192*(AND(OR(ISNUMBER(FIND("COMPLETE",AH30)),ISNUMBER(FIND("PCT",AH30)),ISNUMBER(FIND("PERCENT",AH30))),NOT(ISNUMBER(FIND("ACTUAL",AH30))),LEN(AH30)&lt;=16))+32768*(OR(ISNUMBER(FIND("DESIC",AH30)),ISNUMBER(FIND("DESSIC",AH30)))))</f>
        <v/>
      </c>
      <c r="AI165">
        <f>IF(AI30="",0,2*(OR(ISNUMBER(FIND("WORKCENTER",AI30)),AND(LEFT(AI30,4)="LINE",NOT(ISNUMBER(FIND("STATUS",AI30))))))+4*(OR(ISNUMBER(FIND("WORKORDER",AI30)),AND(LEFT(AI30,2)="WO",OR(ISNUMBER(FIND("NUM",AI30)),RIGHT(AI30,2)="NO"))))+8*(LEFT(AI30,3)="SEQ")+16*(AND(LEFT(AI30,4)="ITEM",NOT(ISNUMBER(FIND("DESC",AI30)))))+32*(AND(ISNUMBER(FIND("DESC",AI30)),NOT(ISNUMBER(FIND("CAP",AI30)))))+64*(OR(RIGHT(AI30,5)="COUNT",RIGHT(AI30,2)="CT"))+128*(ISNUMBER(FIND("BULK",AI30)))+256*(ISNUMBER(FIND("SIZE",AI30)))+512*(LEFT(AI30,3)="CAP")+1024*(ISNUMBER(FIND("ALLERG",AI30)))+2048*(OR(ISNUMBER(FIND("REMARK",AI30)),ISNUMBER(FIND("COMMENT",AI30))))+4096*(OR(ISNUMBER(FIND("QTY",AI30)),ISNUMBER(FIND("QUANTITY",AI30))))+8192*(AND(OR(ISNUMBER(FIND("COMPLETE",AI30)),ISNUMBER(FIND("PCT",AI30)),ISNUMBER(FIND("PERCENT",AI30))),NOT(ISNUMBER(FIND("ACTUAL",AI30))),LEN(AI30)&lt;=16))+32768*(OR(ISNUMBER(FIND("DESIC",AI30)),ISNUMBER(FIND("DESSIC",AI30)))))</f>
        <v/>
      </c>
      <c r="AJ165">
        <f>IF(AJ30="",0,2*(OR(ISNUMBER(FIND("WORKCENTER",AJ30)),AND(LEFT(AJ30,4)="LINE",NOT(ISNUMBER(FIND("STATUS",AJ30))))))+4*(OR(ISNUMBER(FIND("WORKORDER",AJ30)),AND(LEFT(AJ30,2)="WO",OR(ISNUMBER(FIND("NUM",AJ30)),RIGHT(AJ30,2)="NO"))))+8*(LEFT(AJ30,3)="SEQ")+16*(AND(LEFT(AJ30,4)="ITEM",NOT(ISNUMBER(FIND("DESC",AJ30)))))+32*(AND(ISNUMBER(FIND("DESC",AJ30)),NOT(ISNUMBER(FIND("CAP",AJ30)))))+64*(OR(RIGHT(AJ30,5)="COUNT",RIGHT(AJ30,2)="CT"))+128*(ISNUMBER(FIND("BULK",AJ30)))+256*(ISNUMBER(FIND("SIZE",AJ30)))+512*(LEFT(AJ30,3)="CAP")+1024*(ISNUMBER(FIND("ALLERG",AJ30)))+2048*(OR(ISNUMBER(FIND("REMARK",AJ30)),ISNUMBER(FIND("COMMENT",AJ30))))+4096*(OR(ISNUMBER(FIND("QTY",AJ30)),ISNUMBER(FIND("QUANTITY",AJ30))))+8192*(AND(OR(ISNUMBER(FIND("COMPLETE",AJ30)),ISNUMBER(FIND("PCT",AJ30)),ISNUMBER(FIND("PERCENT",AJ30))),NOT(ISNUMBER(FIND("ACTUAL",AJ30))),LEN(AJ30)&lt;=16))+32768*(OR(ISNUMBER(FIND("DESIC",AJ30)),ISNUMBER(FIND("DESSIC",AJ30)))))</f>
        <v/>
      </c>
      <c r="AK165">
        <f>IF(AK30="",0,2*(OR(ISNUMBER(FIND("WORKCENTER",AK30)),AND(LEFT(AK30,4)="LINE",NOT(ISNUMBER(FIND("STATUS",AK30))))))+4*(OR(ISNUMBER(FIND("WORKORDER",AK30)),AND(LEFT(AK30,2)="WO",OR(ISNUMBER(FIND("NUM",AK30)),RIGHT(AK30,2)="NO"))))+8*(LEFT(AK30,3)="SEQ")+16*(AND(LEFT(AK30,4)="ITEM",NOT(ISNUMBER(FIND("DESC",AK30)))))+32*(AND(ISNUMBER(FIND("DESC",AK30)),NOT(ISNUMBER(FIND("CAP",AK30)))))+64*(OR(RIGHT(AK30,5)="COUNT",RIGHT(AK30,2)="CT"))+128*(ISNUMBER(FIND("BULK",AK30)))+256*(ISNUMBER(FIND("SIZE",AK30)))+512*(LEFT(AK30,3)="CAP")+1024*(ISNUMBER(FIND("ALLERG",AK30)))+2048*(OR(ISNUMBER(FIND("REMARK",AK30)),ISNUMBER(FIND("COMMENT",AK30))))+4096*(OR(ISNUMBER(FIND("QTY",AK30)),ISNUMBER(FIND("QUANTITY",AK30))))+8192*(AND(OR(ISNUMBER(FIND("COMPLETE",AK30)),ISNUMBER(FIND("PCT",AK30)),ISNUMBER(FIND("PERCENT",AK30))),NOT(ISNUMBER(FIND("ACTUAL",AK30))),LEN(AK30)&lt;=16))+32768*(OR(ISNUMBER(FIND("DESIC",AK30)),ISNUMBER(FIND("DESSIC",AK30)))))</f>
        <v/>
      </c>
      <c r="AL165">
        <f>IF(AL30="",0,2*(OR(ISNUMBER(FIND("WORKCENTER",AL30)),AND(LEFT(AL30,4)="LINE",NOT(ISNUMBER(FIND("STATUS",AL30))))))+4*(OR(ISNUMBER(FIND("WORKORDER",AL30)),AND(LEFT(AL30,2)="WO",OR(ISNUMBER(FIND("NUM",AL30)),RIGHT(AL30,2)="NO"))))+8*(LEFT(AL30,3)="SEQ")+16*(AND(LEFT(AL30,4)="ITEM",NOT(ISNUMBER(FIND("DESC",AL30)))))+32*(AND(ISNUMBER(FIND("DESC",AL30)),NOT(ISNUMBER(FIND("CAP",AL30)))))+64*(OR(RIGHT(AL30,5)="COUNT",RIGHT(AL30,2)="CT"))+128*(ISNUMBER(FIND("BULK",AL30)))+256*(ISNUMBER(FIND("SIZE",AL30)))+512*(LEFT(AL30,3)="CAP")+1024*(ISNUMBER(FIND("ALLERG",AL30)))+2048*(OR(ISNUMBER(FIND("REMARK",AL30)),ISNUMBER(FIND("COMMENT",AL30))))+4096*(OR(ISNUMBER(FIND("QTY",AL30)),ISNUMBER(FIND("QUANTITY",AL30))))+8192*(AND(OR(ISNUMBER(FIND("COMPLETE",AL30)),ISNUMBER(FIND("PCT",AL30)),ISNUMBER(FIND("PERCENT",AL30))),NOT(ISNUMBER(FIND("ACTUAL",AL30))),LEN(AL30)&lt;=16))+32768*(OR(ISNUMBER(FIND("DESIC",AL30)),ISNUMBER(FIND("DESSIC",AL30)))))</f>
        <v/>
      </c>
      <c r="AM165">
        <f>IF(AM30="",0,2*(OR(ISNUMBER(FIND("WORKCENTER",AM30)),AND(LEFT(AM30,4)="LINE",NOT(ISNUMBER(FIND("STATUS",AM30))))))+4*(OR(ISNUMBER(FIND("WORKORDER",AM30)),AND(LEFT(AM30,2)="WO",OR(ISNUMBER(FIND("NUM",AM30)),RIGHT(AM30,2)="NO"))))+8*(LEFT(AM30,3)="SEQ")+16*(AND(LEFT(AM30,4)="ITEM",NOT(ISNUMBER(FIND("DESC",AM30)))))+32*(AND(ISNUMBER(FIND("DESC",AM30)),NOT(ISNUMBER(FIND("CAP",AM30)))))+64*(OR(RIGHT(AM30,5)="COUNT",RIGHT(AM30,2)="CT"))+128*(ISNUMBER(FIND("BULK",AM30)))+256*(ISNUMBER(FIND("SIZE",AM30)))+512*(LEFT(AM30,3)="CAP")+1024*(ISNUMBER(FIND("ALLERG",AM30)))+2048*(OR(ISNUMBER(FIND("REMARK",AM30)),ISNUMBER(FIND("COMMENT",AM30))))+4096*(OR(ISNUMBER(FIND("QTY",AM30)),ISNUMBER(FIND("QUANTITY",AM30))))+8192*(AND(OR(ISNUMBER(FIND("COMPLETE",AM30)),ISNUMBER(FIND("PCT",AM30)),ISNUMBER(FIND("PERCENT",AM30))),NOT(ISNUMBER(FIND("ACTUAL",AM30))),LEN(AM30)&lt;=16))+32768*(OR(ISNUMBER(FIND("DESIC",AM30)),ISNUMBER(FIND("DESSIC",AM30)))))</f>
        <v/>
      </c>
      <c r="AN165">
        <f>IF(AN30="",0,2*(OR(ISNUMBER(FIND("WORKCENTER",AN30)),AND(LEFT(AN30,4)="LINE",NOT(ISNUMBER(FIND("STATUS",AN30))))))+4*(OR(ISNUMBER(FIND("WORKORDER",AN30)),AND(LEFT(AN30,2)="WO",OR(ISNUMBER(FIND("NUM",AN30)),RIGHT(AN30,2)="NO"))))+8*(LEFT(AN30,3)="SEQ")+16*(AND(LEFT(AN30,4)="ITEM",NOT(ISNUMBER(FIND("DESC",AN30)))))+32*(AND(ISNUMBER(FIND("DESC",AN30)),NOT(ISNUMBER(FIND("CAP",AN30)))))+64*(OR(RIGHT(AN30,5)="COUNT",RIGHT(AN30,2)="CT"))+128*(ISNUMBER(FIND("BULK",AN30)))+256*(ISNUMBER(FIND("SIZE",AN30)))+512*(LEFT(AN30,3)="CAP")+1024*(ISNUMBER(FIND("ALLERG",AN30)))+2048*(OR(ISNUMBER(FIND("REMARK",AN30)),ISNUMBER(FIND("COMMENT",AN30))))+4096*(OR(ISNUMBER(FIND("QTY",AN30)),ISNUMBER(FIND("QUANTITY",AN30))))+8192*(AND(OR(ISNUMBER(FIND("COMPLETE",AN30)),ISNUMBER(FIND("PCT",AN30)),ISNUMBER(FIND("PERCENT",AN30))),NOT(ISNUMBER(FIND("ACTUAL",AN30))),LEN(AN30)&lt;=16))+32768*(OR(ISNUMBER(FIND("DESIC",AN30)),ISNUMBER(FIND("DESSIC",AN30)))))</f>
        <v/>
      </c>
      <c r="AO165">
        <f>IF(AO30="",0,2*(OR(ISNUMBER(FIND("WORKCENTER",AO30)),AND(LEFT(AO30,4)="LINE",NOT(ISNUMBER(FIND("STATUS",AO30))))))+4*(OR(ISNUMBER(FIND("WORKORDER",AO30)),AND(LEFT(AO30,2)="WO",OR(ISNUMBER(FIND("NUM",AO30)),RIGHT(AO30,2)="NO"))))+8*(LEFT(AO30,3)="SEQ")+16*(AND(LEFT(AO30,4)="ITEM",NOT(ISNUMBER(FIND("DESC",AO30)))))+32*(AND(ISNUMBER(FIND("DESC",AO30)),NOT(ISNUMBER(FIND("CAP",AO30)))))+64*(OR(RIGHT(AO30,5)="COUNT",RIGHT(AO30,2)="CT"))+128*(ISNUMBER(FIND("BULK",AO30)))+256*(ISNUMBER(FIND("SIZE",AO30)))+512*(LEFT(AO30,3)="CAP")+1024*(ISNUMBER(FIND("ALLERG",AO30)))+2048*(OR(ISNUMBER(FIND("REMARK",AO30)),ISNUMBER(FIND("COMMENT",AO30))))+4096*(OR(ISNUMBER(FIND("QTY",AO30)),ISNUMBER(FIND("QUANTITY",AO30))))+8192*(AND(OR(ISNUMBER(FIND("COMPLETE",AO30)),ISNUMBER(FIND("PCT",AO30)),ISNUMBER(FIND("PERCENT",AO30))),NOT(ISNUMBER(FIND("ACTUAL",AO30))),LEN(AO30)&lt;=16))+32768*(OR(ISNUMBER(FIND("DESIC",AO30)),ISNUMBER(FIND("DESSIC",AO30)))))</f>
        <v/>
      </c>
      <c r="AP165">
        <f>IF(AP30="",0,2*(OR(ISNUMBER(FIND("WORKCENTER",AP30)),AND(LEFT(AP30,4)="LINE",NOT(ISNUMBER(FIND("STATUS",AP30))))))+4*(OR(ISNUMBER(FIND("WORKORDER",AP30)),AND(LEFT(AP30,2)="WO",OR(ISNUMBER(FIND("NUM",AP30)),RIGHT(AP30,2)="NO"))))+8*(LEFT(AP30,3)="SEQ")+16*(AND(LEFT(AP30,4)="ITEM",NOT(ISNUMBER(FIND("DESC",AP30)))))+32*(AND(ISNUMBER(FIND("DESC",AP30)),NOT(ISNUMBER(FIND("CAP",AP30)))))+64*(OR(RIGHT(AP30,5)="COUNT",RIGHT(AP30,2)="CT"))+128*(ISNUMBER(FIND("BULK",AP30)))+256*(ISNUMBER(FIND("SIZE",AP30)))+512*(LEFT(AP30,3)="CAP")+1024*(ISNUMBER(FIND("ALLERG",AP30)))+2048*(OR(ISNUMBER(FIND("REMARK",AP30)),ISNUMBER(FIND("COMMENT",AP30))))+4096*(OR(ISNUMBER(FIND("QTY",AP30)),ISNUMBER(FIND("QUANTITY",AP30))))+8192*(AND(OR(ISNUMBER(FIND("COMPLETE",AP30)),ISNUMBER(FIND("PCT",AP30)),ISNUMBER(FIND("PERCENT",AP30))),NOT(ISNUMBER(FIND("ACTUAL",AP30))),LEN(AP30)&lt;=16))+32768*(OR(ISNUMBER(FIND("DESIC",AP30)),ISNUMBER(FIND("DESSIC",AP30)))))</f>
        <v/>
      </c>
      <c r="AQ165">
        <f>IF(AQ30="",0,2*(OR(ISNUMBER(FIND("WORKCENTER",AQ30)),AND(LEFT(AQ30,4)="LINE",NOT(ISNUMBER(FIND("STATUS",AQ30))))))+4*(OR(ISNUMBER(FIND("WORKORDER",AQ30)),AND(LEFT(AQ30,2)="WO",OR(ISNUMBER(FIND("NUM",AQ30)),RIGHT(AQ30,2)="NO"))))+8*(LEFT(AQ30,3)="SEQ")+16*(AND(LEFT(AQ30,4)="ITEM",NOT(ISNUMBER(FIND("DESC",AQ30)))))+32*(AND(ISNUMBER(FIND("DESC",AQ30)),NOT(ISNUMBER(FIND("CAP",AQ30)))))+64*(OR(RIGHT(AQ30,5)="COUNT",RIGHT(AQ30,2)="CT"))+128*(ISNUMBER(FIND("BULK",AQ30)))+256*(ISNUMBER(FIND("SIZE",AQ30)))+512*(LEFT(AQ30,3)="CAP")+1024*(ISNUMBER(FIND("ALLERG",AQ30)))+2048*(OR(ISNUMBER(FIND("REMARK",AQ30)),ISNUMBER(FIND("COMMENT",AQ30))))+4096*(OR(ISNUMBER(FIND("QTY",AQ30)),ISNUMBER(FIND("QUANTITY",AQ30))))+8192*(AND(OR(ISNUMBER(FIND("COMPLETE",AQ30)),ISNUMBER(FIND("PCT",AQ30)),ISNUMBER(FIND("PERCENT",AQ30))),NOT(ISNUMBER(FIND("ACTUAL",AQ30))),LEN(AQ30)&lt;=16))+32768*(OR(ISNUMBER(FIND("DESIC",AQ30)),ISNUMBER(FIND("DESSIC",AQ30)))))</f>
        <v/>
      </c>
      <c r="AR165">
        <f>IF(AR30="",0,2*(OR(ISNUMBER(FIND("WORKCENTER",AR30)),AND(LEFT(AR30,4)="LINE",NOT(ISNUMBER(FIND("STATUS",AR30))))))+4*(OR(ISNUMBER(FIND("WORKORDER",AR30)),AND(LEFT(AR30,2)="WO",OR(ISNUMBER(FIND("NUM",AR30)),RIGHT(AR30,2)="NO"))))+8*(LEFT(AR30,3)="SEQ")+16*(AND(LEFT(AR30,4)="ITEM",NOT(ISNUMBER(FIND("DESC",AR30)))))+32*(AND(ISNUMBER(FIND("DESC",AR30)),NOT(ISNUMBER(FIND("CAP",AR30)))))+64*(OR(RIGHT(AR30,5)="COUNT",RIGHT(AR30,2)="CT"))+128*(ISNUMBER(FIND("BULK",AR30)))+256*(ISNUMBER(FIND("SIZE",AR30)))+512*(LEFT(AR30,3)="CAP")+1024*(ISNUMBER(FIND("ALLERG",AR30)))+2048*(OR(ISNUMBER(FIND("REMARK",AR30)),ISNUMBER(FIND("COMMENT",AR30))))+4096*(OR(ISNUMBER(FIND("QTY",AR30)),ISNUMBER(FIND("QUANTITY",AR30))))+8192*(AND(OR(ISNUMBER(FIND("COMPLETE",AR30)),ISNUMBER(FIND("PCT",AR30)),ISNUMBER(FIND("PERCENT",AR30))),NOT(ISNUMBER(FIND("ACTUAL",AR30))),LEN(AR30)&lt;=16))+32768*(OR(ISNUMBER(FIND("DESIC",AR30)),ISNUMBER(FIND("DESSIC",AR30)))))</f>
        <v/>
      </c>
      <c r="AS165">
        <f>IF(AS30="",0,2*(OR(ISNUMBER(FIND("WORKCENTER",AS30)),AND(LEFT(AS30,4)="LINE",NOT(ISNUMBER(FIND("STATUS",AS30))))))+4*(OR(ISNUMBER(FIND("WORKORDER",AS30)),AND(LEFT(AS30,2)="WO",OR(ISNUMBER(FIND("NUM",AS30)),RIGHT(AS30,2)="NO"))))+8*(LEFT(AS30,3)="SEQ")+16*(AND(LEFT(AS30,4)="ITEM",NOT(ISNUMBER(FIND("DESC",AS30)))))+32*(AND(ISNUMBER(FIND("DESC",AS30)),NOT(ISNUMBER(FIND("CAP",AS30)))))+64*(OR(RIGHT(AS30,5)="COUNT",RIGHT(AS30,2)="CT"))+128*(ISNUMBER(FIND("BULK",AS30)))+256*(ISNUMBER(FIND("SIZE",AS30)))+512*(LEFT(AS30,3)="CAP")+1024*(ISNUMBER(FIND("ALLERG",AS30)))+2048*(OR(ISNUMBER(FIND("REMARK",AS30)),ISNUMBER(FIND("COMMENT",AS30))))+4096*(OR(ISNUMBER(FIND("QTY",AS30)),ISNUMBER(FIND("QUANTITY",AS30))))+8192*(AND(OR(ISNUMBER(FIND("COMPLETE",AS30)),ISNUMBER(FIND("PCT",AS30)),ISNUMBER(FIND("PERCENT",AS30))),NOT(ISNUMBER(FIND("ACTUAL",AS30))),LEN(AS30)&lt;=16))+32768*(OR(ISNUMBER(FIND("DESIC",AS30)),ISNUMBER(FIND("DESSIC",AS30)))))</f>
        <v/>
      </c>
      <c r="AT165">
        <f>IF(AT30="",0,2*(OR(ISNUMBER(FIND("WORKCENTER",AT30)),AND(LEFT(AT30,4)="LINE",NOT(ISNUMBER(FIND("STATUS",AT30))))))+4*(OR(ISNUMBER(FIND("WORKORDER",AT30)),AND(LEFT(AT30,2)="WO",OR(ISNUMBER(FIND("NUM",AT30)),RIGHT(AT30,2)="NO"))))+8*(LEFT(AT30,3)="SEQ")+16*(AND(LEFT(AT30,4)="ITEM",NOT(ISNUMBER(FIND("DESC",AT30)))))+32*(AND(ISNUMBER(FIND("DESC",AT30)),NOT(ISNUMBER(FIND("CAP",AT30)))))+64*(OR(RIGHT(AT30,5)="COUNT",RIGHT(AT30,2)="CT"))+128*(ISNUMBER(FIND("BULK",AT30)))+256*(ISNUMBER(FIND("SIZE",AT30)))+512*(LEFT(AT30,3)="CAP")+1024*(ISNUMBER(FIND("ALLERG",AT30)))+2048*(OR(ISNUMBER(FIND("REMARK",AT30)),ISNUMBER(FIND("COMMENT",AT30))))+4096*(OR(ISNUMBER(FIND("QTY",AT30)),ISNUMBER(FIND("QUANTITY",AT30))))+8192*(AND(OR(ISNUMBER(FIND("COMPLETE",AT30)),ISNUMBER(FIND("PCT",AT30)),ISNUMBER(FIND("PERCENT",AT30))),NOT(ISNUMBER(FIND("ACTUAL",AT30))),LEN(AT30)&lt;=16))+32768*(OR(ISNUMBER(FIND("DESIC",AT30)),ISNUMBER(FIND("DESSIC",AT30)))))</f>
        <v/>
      </c>
      <c r="AU165">
        <f>IF(AU30="",0,2*(OR(ISNUMBER(FIND("WORKCENTER",AU30)),AND(LEFT(AU30,4)="LINE",NOT(ISNUMBER(FIND("STATUS",AU30))))))+4*(OR(ISNUMBER(FIND("WORKORDER",AU30)),AND(LEFT(AU30,2)="WO",OR(ISNUMBER(FIND("NUM",AU30)),RIGHT(AU30,2)="NO"))))+8*(LEFT(AU30,3)="SEQ")+16*(AND(LEFT(AU30,4)="ITEM",NOT(ISNUMBER(FIND("DESC",AU30)))))+32*(AND(ISNUMBER(FIND("DESC",AU30)),NOT(ISNUMBER(FIND("CAP",AU30)))))+64*(OR(RIGHT(AU30,5)="COUNT",RIGHT(AU30,2)="CT"))+128*(ISNUMBER(FIND("BULK",AU30)))+256*(ISNUMBER(FIND("SIZE",AU30)))+512*(LEFT(AU30,3)="CAP")+1024*(ISNUMBER(FIND("ALLERG",AU30)))+2048*(OR(ISNUMBER(FIND("REMARK",AU30)),ISNUMBER(FIND("COMMENT",AU30))))+4096*(OR(ISNUMBER(FIND("QTY",AU30)),ISNUMBER(FIND("QUANTITY",AU30))))+8192*(AND(OR(ISNUMBER(FIND("COMPLETE",AU30)),ISNUMBER(FIND("PCT",AU30)),ISNUMBER(FIND("PERCENT",AU30))),NOT(ISNUMBER(FIND("ACTUAL",AU30))),LEN(AU30)&lt;=16))+32768*(OR(ISNUMBER(FIND("DESIC",AU30)),ISNUMBER(FIND("DESSIC",AU30)))))</f>
        <v/>
      </c>
      <c r="AV165">
        <f>IF(AV30="",0,2*(OR(ISNUMBER(FIND("WORKCENTER",AV30)),AND(LEFT(AV30,4)="LINE",NOT(ISNUMBER(FIND("STATUS",AV30))))))+4*(OR(ISNUMBER(FIND("WORKORDER",AV30)),AND(LEFT(AV30,2)="WO",OR(ISNUMBER(FIND("NUM",AV30)),RIGHT(AV30,2)="NO"))))+8*(LEFT(AV30,3)="SEQ")+16*(AND(LEFT(AV30,4)="ITEM",NOT(ISNUMBER(FIND("DESC",AV30)))))+32*(AND(ISNUMBER(FIND("DESC",AV30)),NOT(ISNUMBER(FIND("CAP",AV30)))))+64*(OR(RIGHT(AV30,5)="COUNT",RIGHT(AV30,2)="CT"))+128*(ISNUMBER(FIND("BULK",AV30)))+256*(ISNUMBER(FIND("SIZE",AV30)))+512*(LEFT(AV30,3)="CAP")+1024*(ISNUMBER(FIND("ALLERG",AV30)))+2048*(OR(ISNUMBER(FIND("REMARK",AV30)),ISNUMBER(FIND("COMMENT",AV30))))+4096*(OR(ISNUMBER(FIND("QTY",AV30)),ISNUMBER(FIND("QUANTITY",AV30))))+8192*(AND(OR(ISNUMBER(FIND("COMPLETE",AV30)),ISNUMBER(FIND("PCT",AV30)),ISNUMBER(FIND("PERCENT",AV30))),NOT(ISNUMBER(FIND("ACTUAL",AV30))),LEN(AV30)&lt;=16))+32768*(OR(ISNUMBER(FIND("DESIC",AV30)),ISNUMBER(FIND("DESSIC",AV30)))))</f>
        <v/>
      </c>
      <c r="AW165">
        <f>IF(AW30="",0,2*(OR(ISNUMBER(FIND("WORKCENTER",AW30)),AND(LEFT(AW30,4)="LINE",NOT(ISNUMBER(FIND("STATUS",AW30))))))+4*(OR(ISNUMBER(FIND("WORKORDER",AW30)),AND(LEFT(AW30,2)="WO",OR(ISNUMBER(FIND("NUM",AW30)),RIGHT(AW30,2)="NO"))))+8*(LEFT(AW30,3)="SEQ")+16*(AND(LEFT(AW30,4)="ITEM",NOT(ISNUMBER(FIND("DESC",AW30)))))+32*(AND(ISNUMBER(FIND("DESC",AW30)),NOT(ISNUMBER(FIND("CAP",AW30)))))+64*(OR(RIGHT(AW30,5)="COUNT",RIGHT(AW30,2)="CT"))+128*(ISNUMBER(FIND("BULK",AW30)))+256*(ISNUMBER(FIND("SIZE",AW30)))+512*(LEFT(AW30,3)="CAP")+1024*(ISNUMBER(FIND("ALLERG",AW30)))+2048*(OR(ISNUMBER(FIND("REMARK",AW30)),ISNUMBER(FIND("COMMENT",AW30))))+4096*(OR(ISNUMBER(FIND("QTY",AW30)),ISNUMBER(FIND("QUANTITY",AW30))))+8192*(AND(OR(ISNUMBER(FIND("COMPLETE",AW30)),ISNUMBER(FIND("PCT",AW30)),ISNUMBER(FIND("PERCENT",AW30))),NOT(ISNUMBER(FIND("ACTUAL",AW30))),LEN(AW30)&lt;=16))+32768*(OR(ISNUMBER(FIND("DESIC",AW30)),ISNUMBER(FIND("DESSIC",AW30)))))</f>
        <v/>
      </c>
      <c r="AX165">
        <f>IF(AX30="",0,2*(OR(ISNUMBER(FIND("WORKCENTER",AX30)),AND(LEFT(AX30,4)="LINE",NOT(ISNUMBER(FIND("STATUS",AX30))))))+4*(OR(ISNUMBER(FIND("WORKORDER",AX30)),AND(LEFT(AX30,2)="WO",OR(ISNUMBER(FIND("NUM",AX30)),RIGHT(AX30,2)="NO"))))+8*(LEFT(AX30,3)="SEQ")+16*(AND(LEFT(AX30,4)="ITEM",NOT(ISNUMBER(FIND("DESC",AX30)))))+32*(AND(ISNUMBER(FIND("DESC",AX30)),NOT(ISNUMBER(FIND("CAP",AX30)))))+64*(OR(RIGHT(AX30,5)="COUNT",RIGHT(AX30,2)="CT"))+128*(ISNUMBER(FIND("BULK",AX30)))+256*(ISNUMBER(FIND("SIZE",AX30)))+512*(LEFT(AX30,3)="CAP")+1024*(ISNUMBER(FIND("ALLERG",AX30)))+2048*(OR(ISNUMBER(FIND("REMARK",AX30)),ISNUMBER(FIND("COMMENT",AX30))))+4096*(OR(ISNUMBER(FIND("QTY",AX30)),ISNUMBER(FIND("QUANTITY",AX30))))+8192*(AND(OR(ISNUMBER(FIND("COMPLETE",AX30)),ISNUMBER(FIND("PCT",AX30)),ISNUMBER(FIND("PERCENT",AX30))),NOT(ISNUMBER(FIND("ACTUAL",AX30))),LEN(AX30)&lt;=16))+32768*(OR(ISNUMBER(FIND("DESIC",AX30)),ISNUMBER(FIND("DESSIC",AX30)))))</f>
        <v/>
      </c>
      <c r="AY165">
        <f>IF(AY30="",0,2*(OR(ISNUMBER(FIND("WORKCENTER",AY30)),AND(LEFT(AY30,4)="LINE",NOT(ISNUMBER(FIND("STATUS",AY30))))))+4*(OR(ISNUMBER(FIND("WORKORDER",AY30)),AND(LEFT(AY30,2)="WO",OR(ISNUMBER(FIND("NUM",AY30)),RIGHT(AY30,2)="NO"))))+8*(LEFT(AY30,3)="SEQ")+16*(AND(LEFT(AY30,4)="ITEM",NOT(ISNUMBER(FIND("DESC",AY30)))))+32*(AND(ISNUMBER(FIND("DESC",AY30)),NOT(ISNUMBER(FIND("CAP",AY30)))))+64*(OR(RIGHT(AY30,5)="COUNT",RIGHT(AY30,2)="CT"))+128*(ISNUMBER(FIND("BULK",AY30)))+256*(ISNUMBER(FIND("SIZE",AY30)))+512*(LEFT(AY30,3)="CAP")+1024*(ISNUMBER(FIND("ALLERG",AY30)))+2048*(OR(ISNUMBER(FIND("REMARK",AY30)),ISNUMBER(FIND("COMMENT",AY30))))+4096*(OR(ISNUMBER(FIND("QTY",AY30)),ISNUMBER(FIND("QUANTITY",AY30))))+8192*(AND(OR(ISNUMBER(FIND("COMPLETE",AY30)),ISNUMBER(FIND("PCT",AY30)),ISNUMBER(FIND("PERCENT",AY30))),NOT(ISNUMBER(FIND("ACTUAL",AY30))),LEN(AY30)&lt;=16))+32768*(OR(ISNUMBER(FIND("DESIC",AY30)),ISNUMBER(FIND("DESSIC",AY30)))))</f>
        <v/>
      </c>
      <c r="AZ165">
        <f>IF(AZ30="",0,2*(OR(ISNUMBER(FIND("WORKCENTER",AZ30)),AND(LEFT(AZ30,4)="LINE",NOT(ISNUMBER(FIND("STATUS",AZ30))))))+4*(OR(ISNUMBER(FIND("WORKORDER",AZ30)),AND(LEFT(AZ30,2)="WO",OR(ISNUMBER(FIND("NUM",AZ30)),RIGHT(AZ30,2)="NO"))))+8*(LEFT(AZ30,3)="SEQ")+16*(AND(LEFT(AZ30,4)="ITEM",NOT(ISNUMBER(FIND("DESC",AZ30)))))+32*(AND(ISNUMBER(FIND("DESC",AZ30)),NOT(ISNUMBER(FIND("CAP",AZ30)))))+64*(OR(RIGHT(AZ30,5)="COUNT",RIGHT(AZ30,2)="CT"))+128*(ISNUMBER(FIND("BULK",AZ30)))+256*(ISNUMBER(FIND("SIZE",AZ30)))+512*(LEFT(AZ30,3)="CAP")+1024*(ISNUMBER(FIND("ALLERG",AZ30)))+2048*(OR(ISNUMBER(FIND("REMARK",AZ30)),ISNUMBER(FIND("COMMENT",AZ30))))+4096*(OR(ISNUMBER(FIND("QTY",AZ30)),ISNUMBER(FIND("QUANTITY",AZ30))))+8192*(AND(OR(ISNUMBER(FIND("COMPLETE",AZ30)),ISNUMBER(FIND("PCT",AZ30)),ISNUMBER(FIND("PERCENT",AZ30))),NOT(ISNUMBER(FIND("ACTUAL",AZ30))),LEN(AZ30)&lt;=16))+32768*(OR(ISNUMBER(FIND("DESIC",AZ30)),ISNUMBER(FIND("DESSIC",AZ30)))))</f>
        <v/>
      </c>
      <c r="BA165">
        <f>IF(BA30="",0,2*(OR(ISNUMBER(FIND("WORKCENTER",BA30)),AND(LEFT(BA30,4)="LINE",NOT(ISNUMBER(FIND("STATUS",BA30))))))+4*(OR(ISNUMBER(FIND("WORKORDER",BA30)),AND(LEFT(BA30,2)="WO",OR(ISNUMBER(FIND("NUM",BA30)),RIGHT(BA30,2)="NO"))))+8*(LEFT(BA30,3)="SEQ")+16*(AND(LEFT(BA30,4)="ITEM",NOT(ISNUMBER(FIND("DESC",BA30)))))+32*(AND(ISNUMBER(FIND("DESC",BA30)),NOT(ISNUMBER(FIND("CAP",BA30)))))+64*(OR(RIGHT(BA30,5)="COUNT",RIGHT(BA30,2)="CT"))+128*(ISNUMBER(FIND("BULK",BA30)))+256*(ISNUMBER(FIND("SIZE",BA30)))+512*(LEFT(BA30,3)="CAP")+1024*(ISNUMBER(FIND("ALLERG",BA30)))+2048*(OR(ISNUMBER(FIND("REMARK",BA30)),ISNUMBER(FIND("COMMENT",BA30))))+4096*(OR(ISNUMBER(FIND("QTY",BA30)),ISNUMBER(FIND("QUANTITY",BA30))))+8192*(AND(OR(ISNUMBER(FIND("COMPLETE",BA30)),ISNUMBER(FIND("PCT",BA30)),ISNUMBER(FIND("PERCENT",BA30))),NOT(ISNUMBER(FIND("ACTUAL",BA30))),LEN(BA30)&lt;=16))+32768*(OR(ISNUMBER(FIND("DESIC",BA30)),ISNUMBER(FIND("DESSIC",BA30)))))</f>
        <v/>
      </c>
      <c r="BB165">
        <f>IF(BB30="",0,2*(OR(ISNUMBER(FIND("WORKCENTER",BB30)),AND(LEFT(BB30,4)="LINE",NOT(ISNUMBER(FIND("STATUS",BB30))))))+4*(OR(ISNUMBER(FIND("WORKORDER",BB30)),AND(LEFT(BB30,2)="WO",OR(ISNUMBER(FIND("NUM",BB30)),RIGHT(BB30,2)="NO"))))+8*(LEFT(BB30,3)="SEQ")+16*(AND(LEFT(BB30,4)="ITEM",NOT(ISNUMBER(FIND("DESC",BB30)))))+32*(AND(ISNUMBER(FIND("DESC",BB30)),NOT(ISNUMBER(FIND("CAP",BB30)))))+64*(OR(RIGHT(BB30,5)="COUNT",RIGHT(BB30,2)="CT"))+128*(ISNUMBER(FIND("BULK",BB30)))+256*(ISNUMBER(FIND("SIZE",BB30)))+512*(LEFT(BB30,3)="CAP")+1024*(ISNUMBER(FIND("ALLERG",BB30)))+2048*(OR(ISNUMBER(FIND("REMARK",BB30)),ISNUMBER(FIND("COMMENT",BB30))))+4096*(OR(ISNUMBER(FIND("QTY",BB30)),ISNUMBER(FIND("QUANTITY",BB30))))+8192*(AND(OR(ISNUMBER(FIND("COMPLETE",BB30)),ISNUMBER(FIND("PCT",BB30)),ISNUMBER(FIND("PERCENT",BB30))),NOT(ISNUMBER(FIND("ACTUAL",BB30))),LEN(BB30)&lt;=16))+32768*(OR(ISNUMBER(FIND("DESIC",BB30)),ISNUMBER(FIND("DESSIC",BB30)))))</f>
        <v/>
      </c>
      <c r="BC165">
        <f>IF(BC30="",0,2*(OR(ISNUMBER(FIND("WORKCENTER",BC30)),AND(LEFT(BC30,4)="LINE",NOT(ISNUMBER(FIND("STATUS",BC30))))))+4*(OR(ISNUMBER(FIND("WORKORDER",BC30)),AND(LEFT(BC30,2)="WO",OR(ISNUMBER(FIND("NUM",BC30)),RIGHT(BC30,2)="NO"))))+8*(LEFT(BC30,3)="SEQ")+16*(AND(LEFT(BC30,4)="ITEM",NOT(ISNUMBER(FIND("DESC",BC30)))))+32*(AND(ISNUMBER(FIND("DESC",BC30)),NOT(ISNUMBER(FIND("CAP",BC30)))))+64*(OR(RIGHT(BC30,5)="COUNT",RIGHT(BC30,2)="CT"))+128*(ISNUMBER(FIND("BULK",BC30)))+256*(ISNUMBER(FIND("SIZE",BC30)))+512*(LEFT(BC30,3)="CAP")+1024*(ISNUMBER(FIND("ALLERG",BC30)))+2048*(OR(ISNUMBER(FIND("REMARK",BC30)),ISNUMBER(FIND("COMMENT",BC30))))+4096*(OR(ISNUMBER(FIND("QTY",BC30)),ISNUMBER(FIND("QUANTITY",BC30))))+8192*(AND(OR(ISNUMBER(FIND("COMPLETE",BC30)),ISNUMBER(FIND("PCT",BC30)),ISNUMBER(FIND("PERCENT",BC30))),NOT(ISNUMBER(FIND("ACTUAL",BC30))),LEN(BC30)&lt;=16))+32768*(OR(ISNUMBER(FIND("DESIC",BC30)),ISNUMBER(FIND("DESSIC",BC30)))))</f>
        <v/>
      </c>
      <c r="BD165">
        <f>IF(BD30="",0,2*(OR(ISNUMBER(FIND("WORKCENTER",BD30)),AND(LEFT(BD30,4)="LINE",NOT(ISNUMBER(FIND("STATUS",BD30))))))+4*(OR(ISNUMBER(FIND("WORKORDER",BD30)),AND(LEFT(BD30,2)="WO",OR(ISNUMBER(FIND("NUM",BD30)),RIGHT(BD30,2)="NO"))))+8*(LEFT(BD30,3)="SEQ")+16*(AND(LEFT(BD30,4)="ITEM",NOT(ISNUMBER(FIND("DESC",BD30)))))+32*(AND(ISNUMBER(FIND("DESC",BD30)),NOT(ISNUMBER(FIND("CAP",BD30)))))+64*(OR(RIGHT(BD30,5)="COUNT",RIGHT(BD30,2)="CT"))+128*(ISNUMBER(FIND("BULK",BD30)))+256*(ISNUMBER(FIND("SIZE",BD30)))+512*(LEFT(BD30,3)="CAP")+1024*(ISNUMBER(FIND("ALLERG",BD30)))+2048*(OR(ISNUMBER(FIND("REMARK",BD30)),ISNUMBER(FIND("COMMENT",BD30))))+4096*(OR(ISNUMBER(FIND("QTY",BD30)),ISNUMBER(FIND("QUANTITY",BD30))))+8192*(AND(OR(ISNUMBER(FIND("COMPLETE",BD30)),ISNUMBER(FIND("PCT",BD30)),ISNUMBER(FIND("PERCENT",BD30))),NOT(ISNUMBER(FIND("ACTUAL",BD30))),LEN(BD30)&lt;=16))+32768*(OR(ISNUMBER(FIND("DESIC",BD30)),ISNUMBER(FIND("DESSIC",BD30)))))</f>
        <v/>
      </c>
      <c r="BE165">
        <f>IF(BE30="",0,2*(OR(ISNUMBER(FIND("WORKCENTER",BE30)),AND(LEFT(BE30,4)="LINE",NOT(ISNUMBER(FIND("STATUS",BE30))))))+4*(OR(ISNUMBER(FIND("WORKORDER",BE30)),AND(LEFT(BE30,2)="WO",OR(ISNUMBER(FIND("NUM",BE30)),RIGHT(BE30,2)="NO"))))+8*(LEFT(BE30,3)="SEQ")+16*(AND(LEFT(BE30,4)="ITEM",NOT(ISNUMBER(FIND("DESC",BE30)))))+32*(AND(ISNUMBER(FIND("DESC",BE30)),NOT(ISNUMBER(FIND("CAP",BE30)))))+64*(OR(RIGHT(BE30,5)="COUNT",RIGHT(BE30,2)="CT"))+128*(ISNUMBER(FIND("BULK",BE30)))+256*(ISNUMBER(FIND("SIZE",BE30)))+512*(LEFT(BE30,3)="CAP")+1024*(ISNUMBER(FIND("ALLERG",BE30)))+2048*(OR(ISNUMBER(FIND("REMARK",BE30)),ISNUMBER(FIND("COMMENT",BE30))))+4096*(OR(ISNUMBER(FIND("QTY",BE30)),ISNUMBER(FIND("QUANTITY",BE30))))+8192*(AND(OR(ISNUMBER(FIND("COMPLETE",BE30)),ISNUMBER(FIND("PCT",BE30)),ISNUMBER(FIND("PERCENT",BE30))),NOT(ISNUMBER(FIND("ACTUAL",BE30))),LEN(BE30)&lt;=16))+32768*(OR(ISNUMBER(FIND("DESIC",BE30)),ISNUMBER(FIND("DESSIC",BE30)))))</f>
        <v/>
      </c>
      <c r="BF165">
        <f>IF(BF30="",0,2*(OR(ISNUMBER(FIND("WORKCENTER",BF30)),AND(LEFT(BF30,4)="LINE",NOT(ISNUMBER(FIND("STATUS",BF30))))))+4*(OR(ISNUMBER(FIND("WORKORDER",BF30)),AND(LEFT(BF30,2)="WO",OR(ISNUMBER(FIND("NUM",BF30)),RIGHT(BF30,2)="NO"))))+8*(LEFT(BF30,3)="SEQ")+16*(AND(LEFT(BF30,4)="ITEM",NOT(ISNUMBER(FIND("DESC",BF30)))))+32*(AND(ISNUMBER(FIND("DESC",BF30)),NOT(ISNUMBER(FIND("CAP",BF30)))))+64*(OR(RIGHT(BF30,5)="COUNT",RIGHT(BF30,2)="CT"))+128*(ISNUMBER(FIND("BULK",BF30)))+256*(ISNUMBER(FIND("SIZE",BF30)))+512*(LEFT(BF30,3)="CAP")+1024*(ISNUMBER(FIND("ALLERG",BF30)))+2048*(OR(ISNUMBER(FIND("REMARK",BF30)),ISNUMBER(FIND("COMMENT",BF30))))+4096*(OR(ISNUMBER(FIND("QTY",BF30)),ISNUMBER(FIND("QUANTITY",BF30))))+8192*(AND(OR(ISNUMBER(FIND("COMPLETE",BF30)),ISNUMBER(FIND("PCT",BF30)),ISNUMBER(FIND("PERCENT",BF30))),NOT(ISNUMBER(FIND("ACTUAL",BF30))),LEN(BF30)&lt;=16))+32768*(OR(ISNUMBER(FIND("DESIC",BF30)),ISNUMBER(FIND("DESSIC",BF30)))))</f>
        <v/>
      </c>
      <c r="BG165">
        <f>IF(BG30="",0,2*(OR(ISNUMBER(FIND("WORKCENTER",BG30)),AND(LEFT(BG30,4)="LINE",NOT(ISNUMBER(FIND("STATUS",BG30))))))+4*(OR(ISNUMBER(FIND("WORKORDER",BG30)),AND(LEFT(BG30,2)="WO",OR(ISNUMBER(FIND("NUM",BG30)),RIGHT(BG30,2)="NO"))))+8*(LEFT(BG30,3)="SEQ")+16*(AND(LEFT(BG30,4)="ITEM",NOT(ISNUMBER(FIND("DESC",BG30)))))+32*(AND(ISNUMBER(FIND("DESC",BG30)),NOT(ISNUMBER(FIND("CAP",BG30)))))+64*(OR(RIGHT(BG30,5)="COUNT",RIGHT(BG30,2)="CT"))+128*(ISNUMBER(FIND("BULK",BG30)))+256*(ISNUMBER(FIND("SIZE",BG30)))+512*(LEFT(BG30,3)="CAP")+1024*(ISNUMBER(FIND("ALLERG",BG30)))+2048*(OR(ISNUMBER(FIND("REMARK",BG30)),ISNUMBER(FIND("COMMENT",BG30))))+4096*(OR(ISNUMBER(FIND("QTY",BG30)),ISNUMBER(FIND("QUANTITY",BG30))))+8192*(AND(OR(ISNUMBER(FIND("COMPLETE",BG30)),ISNUMBER(FIND("PCT",BG30)),ISNUMBER(FIND("PERCENT",BG30))),NOT(ISNUMBER(FIND("ACTUAL",BG30))),LEN(BG30)&lt;=16))+32768*(OR(ISNUMBER(FIND("DESIC",BG30)),ISNUMBER(FIND("DESSIC",BG30)))))</f>
        <v/>
      </c>
      <c r="BH165">
        <f>IF(BH30="",0,2*(OR(ISNUMBER(FIND("WORKCENTER",BH30)),AND(LEFT(BH30,4)="LINE",NOT(ISNUMBER(FIND("STATUS",BH30))))))+4*(OR(ISNUMBER(FIND("WORKORDER",BH30)),AND(LEFT(BH30,2)="WO",OR(ISNUMBER(FIND("NUM",BH30)),RIGHT(BH30,2)="NO"))))+8*(LEFT(BH30,3)="SEQ")+16*(AND(LEFT(BH30,4)="ITEM",NOT(ISNUMBER(FIND("DESC",BH30)))))+32*(AND(ISNUMBER(FIND("DESC",BH30)),NOT(ISNUMBER(FIND("CAP",BH30)))))+64*(OR(RIGHT(BH30,5)="COUNT",RIGHT(BH30,2)="CT"))+128*(ISNUMBER(FIND("BULK",BH30)))+256*(ISNUMBER(FIND("SIZE",BH30)))+512*(LEFT(BH30,3)="CAP")+1024*(ISNUMBER(FIND("ALLERG",BH30)))+2048*(OR(ISNUMBER(FIND("REMARK",BH30)),ISNUMBER(FIND("COMMENT",BH30))))+4096*(OR(ISNUMBER(FIND("QTY",BH30)),ISNUMBER(FIND("QUANTITY",BH30))))+8192*(AND(OR(ISNUMBER(FIND("COMPLETE",BH30)),ISNUMBER(FIND("PCT",BH30)),ISNUMBER(FIND("PERCENT",BH30))),NOT(ISNUMBER(FIND("ACTUAL",BH30))),LEN(BH30)&lt;=16))+32768*(OR(ISNUMBER(FIND("DESIC",BH30)),ISNUMBER(FIND("DESSIC",BH30)))))</f>
        <v/>
      </c>
      <c r="BI165">
        <f>IF(BI30="",0,2*(OR(ISNUMBER(FIND("WORKCENTER",BI30)),AND(LEFT(BI30,4)="LINE",NOT(ISNUMBER(FIND("STATUS",BI30))))))+4*(OR(ISNUMBER(FIND("WORKORDER",BI30)),AND(LEFT(BI30,2)="WO",OR(ISNUMBER(FIND("NUM",BI30)),RIGHT(BI30,2)="NO"))))+8*(LEFT(BI30,3)="SEQ")+16*(AND(LEFT(BI30,4)="ITEM",NOT(ISNUMBER(FIND("DESC",BI30)))))+32*(AND(ISNUMBER(FIND("DESC",BI30)),NOT(ISNUMBER(FIND("CAP",BI30)))))+64*(OR(RIGHT(BI30,5)="COUNT",RIGHT(BI30,2)="CT"))+128*(ISNUMBER(FIND("BULK",BI30)))+256*(ISNUMBER(FIND("SIZE",BI30)))+512*(LEFT(BI30,3)="CAP")+1024*(ISNUMBER(FIND("ALLERG",BI30)))+2048*(OR(ISNUMBER(FIND("REMARK",BI30)),ISNUMBER(FIND("COMMENT",BI30))))+4096*(OR(ISNUMBER(FIND("QTY",BI30)),ISNUMBER(FIND("QUANTITY",BI30))))+8192*(AND(OR(ISNUMBER(FIND("COMPLETE",BI30)),ISNUMBER(FIND("PCT",BI30)),ISNUMBER(FIND("PERCENT",BI30))),NOT(ISNUMBER(FIND("ACTUAL",BI30))),LEN(BI30)&lt;=16))+32768*(OR(ISNUMBER(FIND("DESIC",BI30)),ISNUMBER(FIND("DESSIC",BI30)))))</f>
        <v/>
      </c>
      <c r="BJ165">
        <f>IF(BJ30="",0,2*(OR(ISNUMBER(FIND("WORKCENTER",BJ30)),AND(LEFT(BJ30,4)="LINE",NOT(ISNUMBER(FIND("STATUS",BJ30))))))+4*(OR(ISNUMBER(FIND("WORKORDER",BJ30)),AND(LEFT(BJ30,2)="WO",OR(ISNUMBER(FIND("NUM",BJ30)),RIGHT(BJ30,2)="NO"))))+8*(LEFT(BJ30,3)="SEQ")+16*(AND(LEFT(BJ30,4)="ITEM",NOT(ISNUMBER(FIND("DESC",BJ30)))))+32*(AND(ISNUMBER(FIND("DESC",BJ30)),NOT(ISNUMBER(FIND("CAP",BJ30)))))+64*(OR(RIGHT(BJ30,5)="COUNT",RIGHT(BJ30,2)="CT"))+128*(ISNUMBER(FIND("BULK",BJ30)))+256*(ISNUMBER(FIND("SIZE",BJ30)))+512*(LEFT(BJ30,3)="CAP")+1024*(ISNUMBER(FIND("ALLERG",BJ30)))+2048*(OR(ISNUMBER(FIND("REMARK",BJ30)),ISNUMBER(FIND("COMMENT",BJ30))))+4096*(OR(ISNUMBER(FIND("QTY",BJ30)),ISNUMBER(FIND("QUANTITY",BJ30))))+8192*(AND(OR(ISNUMBER(FIND("COMPLETE",BJ30)),ISNUMBER(FIND("PCT",BJ30)),ISNUMBER(FIND("PERCENT",BJ30))),NOT(ISNUMBER(FIND("ACTUAL",BJ30))),LEN(BJ30)&lt;=16))+32768*(OR(ISNUMBER(FIND("DESIC",BJ30)),ISNUMBER(FIND("DESSIC",BJ30)))))</f>
        <v/>
      </c>
      <c r="BK165">
        <f>IF(BK30="",0,2*(OR(ISNUMBER(FIND("WORKCENTER",BK30)),AND(LEFT(BK30,4)="LINE",NOT(ISNUMBER(FIND("STATUS",BK30))))))+4*(OR(ISNUMBER(FIND("WORKORDER",BK30)),AND(LEFT(BK30,2)="WO",OR(ISNUMBER(FIND("NUM",BK30)),RIGHT(BK30,2)="NO"))))+8*(LEFT(BK30,3)="SEQ")+16*(AND(LEFT(BK30,4)="ITEM",NOT(ISNUMBER(FIND("DESC",BK30)))))+32*(AND(ISNUMBER(FIND("DESC",BK30)),NOT(ISNUMBER(FIND("CAP",BK30)))))+64*(OR(RIGHT(BK30,5)="COUNT",RIGHT(BK30,2)="CT"))+128*(ISNUMBER(FIND("BULK",BK30)))+256*(ISNUMBER(FIND("SIZE",BK30)))+512*(LEFT(BK30,3)="CAP")+1024*(ISNUMBER(FIND("ALLERG",BK30)))+2048*(OR(ISNUMBER(FIND("REMARK",BK30)),ISNUMBER(FIND("COMMENT",BK30))))+4096*(OR(ISNUMBER(FIND("QTY",BK30)),ISNUMBER(FIND("QUANTITY",BK30))))+8192*(AND(OR(ISNUMBER(FIND("COMPLETE",BK30)),ISNUMBER(FIND("PCT",BK30)),ISNUMBER(FIND("PERCENT",BK30))),NOT(ISNUMBER(FIND("ACTUAL",BK30))),LEN(BK30)&lt;=16))+32768*(OR(ISNUMBER(FIND("DESIC",BK30)),ISNUMBER(FIND("DESSIC",BK30)))))</f>
        <v/>
      </c>
      <c r="BL165">
        <f>IF(BL30="",0,2*(OR(ISNUMBER(FIND("WORKCENTER",BL30)),AND(LEFT(BL30,4)="LINE",NOT(ISNUMBER(FIND("STATUS",BL30))))))+4*(OR(ISNUMBER(FIND("WORKORDER",BL30)),AND(LEFT(BL30,2)="WO",OR(ISNUMBER(FIND("NUM",BL30)),RIGHT(BL30,2)="NO"))))+8*(LEFT(BL30,3)="SEQ")+16*(AND(LEFT(BL30,4)="ITEM",NOT(ISNUMBER(FIND("DESC",BL30)))))+32*(AND(ISNUMBER(FIND("DESC",BL30)),NOT(ISNUMBER(FIND("CAP",BL30)))))+64*(OR(RIGHT(BL30,5)="COUNT",RIGHT(BL30,2)="CT"))+128*(ISNUMBER(FIND("BULK",BL30)))+256*(ISNUMBER(FIND("SIZE",BL30)))+512*(LEFT(BL30,3)="CAP")+1024*(ISNUMBER(FIND("ALLERG",BL30)))+2048*(OR(ISNUMBER(FIND("REMARK",BL30)),ISNUMBER(FIND("COMMENT",BL30))))+4096*(OR(ISNUMBER(FIND("QTY",BL30)),ISNUMBER(FIND("QUANTITY",BL30))))+8192*(AND(OR(ISNUMBER(FIND("COMPLETE",BL30)),ISNUMBER(FIND("PCT",BL30)),ISNUMBER(FIND("PERCENT",BL30))),NOT(ISNUMBER(FIND("ACTUAL",BL30))),LEN(BL30)&lt;=16))+32768*(OR(ISNUMBER(FIND("DESIC",BL30)),ISNUMBER(FIND("DESSIC",BL30)))))</f>
        <v/>
      </c>
      <c r="BM165">
        <f>IF(BM30="",0,2*(OR(ISNUMBER(FIND("WORKCENTER",BM30)),AND(LEFT(BM30,4)="LINE",NOT(ISNUMBER(FIND("STATUS",BM30))))))+4*(OR(ISNUMBER(FIND("WORKORDER",BM30)),AND(LEFT(BM30,2)="WO",OR(ISNUMBER(FIND("NUM",BM30)),RIGHT(BM30,2)="NO"))))+8*(LEFT(BM30,3)="SEQ")+16*(AND(LEFT(BM30,4)="ITEM",NOT(ISNUMBER(FIND("DESC",BM30)))))+32*(AND(ISNUMBER(FIND("DESC",BM30)),NOT(ISNUMBER(FIND("CAP",BM30)))))+64*(OR(RIGHT(BM30,5)="COUNT",RIGHT(BM30,2)="CT"))+128*(ISNUMBER(FIND("BULK",BM30)))+256*(ISNUMBER(FIND("SIZE",BM30)))+512*(LEFT(BM30,3)="CAP")+1024*(ISNUMBER(FIND("ALLERG",BM30)))+2048*(OR(ISNUMBER(FIND("REMARK",BM30)),ISNUMBER(FIND("COMMENT",BM30))))+4096*(OR(ISNUMBER(FIND("QTY",BM30)),ISNUMBER(FIND("QUANTITY",BM30))))+8192*(AND(OR(ISNUMBER(FIND("COMPLETE",BM30)),ISNUMBER(FIND("PCT",BM30)),ISNUMBER(FIND("PERCENT",BM30))),NOT(ISNUMBER(FIND("ACTUAL",BM30))),LEN(BM30)&lt;=16))+32768*(OR(ISNUMBER(FIND("DESIC",BM30)),ISNUMBER(FIND("DESSIC",BM30)))))</f>
        <v/>
      </c>
      <c r="BN165">
        <f>IF(BN30="",0,2*(OR(ISNUMBER(FIND("WORKCENTER",BN30)),AND(LEFT(BN30,4)="LINE",NOT(ISNUMBER(FIND("STATUS",BN30))))))+4*(OR(ISNUMBER(FIND("WORKORDER",BN30)),AND(LEFT(BN30,2)="WO",OR(ISNUMBER(FIND("NUM",BN30)),RIGHT(BN30,2)="NO"))))+8*(LEFT(BN30,3)="SEQ")+16*(AND(LEFT(BN30,4)="ITEM",NOT(ISNUMBER(FIND("DESC",BN30)))))+32*(AND(ISNUMBER(FIND("DESC",BN30)),NOT(ISNUMBER(FIND("CAP",BN30)))))+64*(OR(RIGHT(BN30,5)="COUNT",RIGHT(BN30,2)="CT"))+128*(ISNUMBER(FIND("BULK",BN30)))+256*(ISNUMBER(FIND("SIZE",BN30)))+512*(LEFT(BN30,3)="CAP")+1024*(ISNUMBER(FIND("ALLERG",BN30)))+2048*(OR(ISNUMBER(FIND("REMARK",BN30)),ISNUMBER(FIND("COMMENT",BN30))))+4096*(OR(ISNUMBER(FIND("QTY",BN30)),ISNUMBER(FIND("QUANTITY",BN30))))+8192*(AND(OR(ISNUMBER(FIND("COMPLETE",BN30)),ISNUMBER(FIND("PCT",BN30)),ISNUMBER(FIND("PERCENT",BN30))),NOT(ISNUMBER(FIND("ACTUAL",BN30))),LEN(BN30)&lt;=16))+32768*(OR(ISNUMBER(FIND("DESIC",BN30)),ISNUMBER(FIND("DESSIC",BN30)))))</f>
        <v/>
      </c>
      <c r="BO165">
        <f>IF(BO30="",0,2*(OR(ISNUMBER(FIND("WORKCENTER",BO30)),AND(LEFT(BO30,4)="LINE",NOT(ISNUMBER(FIND("STATUS",BO30))))))+4*(OR(ISNUMBER(FIND("WORKORDER",BO30)),AND(LEFT(BO30,2)="WO",OR(ISNUMBER(FIND("NUM",BO30)),RIGHT(BO30,2)="NO"))))+8*(LEFT(BO30,3)="SEQ")+16*(AND(LEFT(BO30,4)="ITEM",NOT(ISNUMBER(FIND("DESC",BO30)))))+32*(AND(ISNUMBER(FIND("DESC",BO30)),NOT(ISNUMBER(FIND("CAP",BO30)))))+64*(OR(RIGHT(BO30,5)="COUNT",RIGHT(BO30,2)="CT"))+128*(ISNUMBER(FIND("BULK",BO30)))+256*(ISNUMBER(FIND("SIZE",BO30)))+512*(LEFT(BO30,3)="CAP")+1024*(ISNUMBER(FIND("ALLERG",BO30)))+2048*(OR(ISNUMBER(FIND("REMARK",BO30)),ISNUMBER(FIND("COMMENT",BO30))))+4096*(OR(ISNUMBER(FIND("QTY",BO30)),ISNUMBER(FIND("QUANTITY",BO30))))+8192*(AND(OR(ISNUMBER(FIND("COMPLETE",BO30)),ISNUMBER(FIND("PCT",BO30)),ISNUMBER(FIND("PERCENT",BO30))),NOT(ISNUMBER(FIND("ACTUAL",BO30))),LEN(BO30)&lt;=16))+32768*(OR(ISNUMBER(FIND("DESIC",BO30)),ISNUMBER(FIND("DESSIC",BO30)))))</f>
        <v/>
      </c>
      <c r="BP165">
        <f>IF(BP30="",0,2*(OR(ISNUMBER(FIND("WORKCENTER",BP30)),AND(LEFT(BP30,4)="LINE",NOT(ISNUMBER(FIND("STATUS",BP30))))))+4*(OR(ISNUMBER(FIND("WORKORDER",BP30)),AND(LEFT(BP30,2)="WO",OR(ISNUMBER(FIND("NUM",BP30)),RIGHT(BP30,2)="NO"))))+8*(LEFT(BP30,3)="SEQ")+16*(AND(LEFT(BP30,4)="ITEM",NOT(ISNUMBER(FIND("DESC",BP30)))))+32*(AND(ISNUMBER(FIND("DESC",BP30)),NOT(ISNUMBER(FIND("CAP",BP30)))))+64*(OR(RIGHT(BP30,5)="COUNT",RIGHT(BP30,2)="CT"))+128*(ISNUMBER(FIND("BULK",BP30)))+256*(ISNUMBER(FIND("SIZE",BP30)))+512*(LEFT(BP30,3)="CAP")+1024*(ISNUMBER(FIND("ALLERG",BP30)))+2048*(OR(ISNUMBER(FIND("REMARK",BP30)),ISNUMBER(FIND("COMMENT",BP30))))+4096*(OR(ISNUMBER(FIND("QTY",BP30)),ISNUMBER(FIND("QUANTITY",BP30))))+8192*(AND(OR(ISNUMBER(FIND("COMPLETE",BP30)),ISNUMBER(FIND("PCT",BP30)),ISNUMBER(FIND("PERCENT",BP30))),NOT(ISNUMBER(FIND("ACTUAL",BP30))),LEN(BP30)&lt;=16))+32768*(OR(ISNUMBER(FIND("DESIC",BP30)),ISNUMBER(FIND("DESSIC",BP30)))))</f>
        <v/>
      </c>
      <c r="BQ165">
        <f>IF(BQ30="",0,2*(OR(ISNUMBER(FIND("WORKCENTER",BQ30)),AND(LEFT(BQ30,4)="LINE",NOT(ISNUMBER(FIND("STATUS",BQ30))))))+4*(OR(ISNUMBER(FIND("WORKORDER",BQ30)),AND(LEFT(BQ30,2)="WO",OR(ISNUMBER(FIND("NUM",BQ30)),RIGHT(BQ30,2)="NO"))))+8*(LEFT(BQ30,3)="SEQ")+16*(AND(LEFT(BQ30,4)="ITEM",NOT(ISNUMBER(FIND("DESC",BQ30)))))+32*(AND(ISNUMBER(FIND("DESC",BQ30)),NOT(ISNUMBER(FIND("CAP",BQ30)))))+64*(OR(RIGHT(BQ30,5)="COUNT",RIGHT(BQ30,2)="CT"))+128*(ISNUMBER(FIND("BULK",BQ30)))+256*(ISNUMBER(FIND("SIZE",BQ30)))+512*(LEFT(BQ30,3)="CAP")+1024*(ISNUMBER(FIND("ALLERG",BQ30)))+2048*(OR(ISNUMBER(FIND("REMARK",BQ30)),ISNUMBER(FIND("COMMENT",BQ30))))+4096*(OR(ISNUMBER(FIND("QTY",BQ30)),ISNUMBER(FIND("QUANTITY",BQ30))))+8192*(AND(OR(ISNUMBER(FIND("COMPLETE",BQ30)),ISNUMBER(FIND("PCT",BQ30)),ISNUMBER(FIND("PERCENT",BQ30))),NOT(ISNUMBER(FIND("ACTUAL",BQ30))),LEN(BQ30)&lt;=16))+32768*(OR(ISNUMBER(FIND("DESIC",BQ30)),ISNUMBER(FIND("DESSIC",BQ30)))))</f>
        <v/>
      </c>
      <c r="BR165">
        <f>IF(BR30="",0,2*(OR(ISNUMBER(FIND("WORKCENTER",BR30)),AND(LEFT(BR30,4)="LINE",NOT(ISNUMBER(FIND("STATUS",BR30))))))+4*(OR(ISNUMBER(FIND("WORKORDER",BR30)),AND(LEFT(BR30,2)="WO",OR(ISNUMBER(FIND("NUM",BR30)),RIGHT(BR30,2)="NO"))))+8*(LEFT(BR30,3)="SEQ")+16*(AND(LEFT(BR30,4)="ITEM",NOT(ISNUMBER(FIND("DESC",BR30)))))+32*(AND(ISNUMBER(FIND("DESC",BR30)),NOT(ISNUMBER(FIND("CAP",BR30)))))+64*(OR(RIGHT(BR30,5)="COUNT",RIGHT(BR30,2)="CT"))+128*(ISNUMBER(FIND("BULK",BR30)))+256*(ISNUMBER(FIND("SIZE",BR30)))+512*(LEFT(BR30,3)="CAP")+1024*(ISNUMBER(FIND("ALLERG",BR30)))+2048*(OR(ISNUMBER(FIND("REMARK",BR30)),ISNUMBER(FIND("COMMENT",BR30))))+4096*(OR(ISNUMBER(FIND("QTY",BR30)),ISNUMBER(FIND("QUANTITY",BR30))))+8192*(AND(OR(ISNUMBER(FIND("COMPLETE",BR30)),ISNUMBER(FIND("PCT",BR30)),ISNUMBER(FIND("PERCENT",BR30))),NOT(ISNUMBER(FIND("ACTUAL",BR30))),LEN(BR30)&lt;=16))+32768*(OR(ISNUMBER(FIND("DESIC",BR30)),ISNUMBER(FIND("DESSIC",BR30)))))</f>
        <v/>
      </c>
      <c r="BS165">
        <f>IF(BS30="",0,2*(OR(ISNUMBER(FIND("WORKCENTER",BS30)),AND(LEFT(BS30,4)="LINE",NOT(ISNUMBER(FIND("STATUS",BS30))))))+4*(OR(ISNUMBER(FIND("WORKORDER",BS30)),AND(LEFT(BS30,2)="WO",OR(ISNUMBER(FIND("NUM",BS30)),RIGHT(BS30,2)="NO"))))+8*(LEFT(BS30,3)="SEQ")+16*(AND(LEFT(BS30,4)="ITEM",NOT(ISNUMBER(FIND("DESC",BS30)))))+32*(AND(ISNUMBER(FIND("DESC",BS30)),NOT(ISNUMBER(FIND("CAP",BS30)))))+64*(OR(RIGHT(BS30,5)="COUNT",RIGHT(BS30,2)="CT"))+128*(ISNUMBER(FIND("BULK",BS30)))+256*(ISNUMBER(FIND("SIZE",BS30)))+512*(LEFT(BS30,3)="CAP")+1024*(ISNUMBER(FIND("ALLERG",BS30)))+2048*(OR(ISNUMBER(FIND("REMARK",BS30)),ISNUMBER(FIND("COMMENT",BS30))))+4096*(OR(ISNUMBER(FIND("QTY",BS30)),ISNUMBER(FIND("QUANTITY",BS30))))+8192*(AND(OR(ISNUMBER(FIND("COMPLETE",BS30)),ISNUMBER(FIND("PCT",BS30)),ISNUMBER(FIND("PERCENT",BS30))),NOT(ISNUMBER(FIND("ACTUAL",BS30))),LEN(BS30)&lt;=16))+32768*(OR(ISNUMBER(FIND("DESIC",BS30)),ISNUMBER(FIND("DESSIC",BS30)))))</f>
        <v/>
      </c>
      <c r="BT165">
        <f>IF(BT30="",0,2*(OR(ISNUMBER(FIND("WORKCENTER",BT30)),AND(LEFT(BT30,4)="LINE",NOT(ISNUMBER(FIND("STATUS",BT30))))))+4*(OR(ISNUMBER(FIND("WORKORDER",BT30)),AND(LEFT(BT30,2)="WO",OR(ISNUMBER(FIND("NUM",BT30)),RIGHT(BT30,2)="NO"))))+8*(LEFT(BT30,3)="SEQ")+16*(AND(LEFT(BT30,4)="ITEM",NOT(ISNUMBER(FIND("DESC",BT30)))))+32*(AND(ISNUMBER(FIND("DESC",BT30)),NOT(ISNUMBER(FIND("CAP",BT30)))))+64*(OR(RIGHT(BT30,5)="COUNT",RIGHT(BT30,2)="CT"))+128*(ISNUMBER(FIND("BULK",BT30)))+256*(ISNUMBER(FIND("SIZE",BT30)))+512*(LEFT(BT30,3)="CAP")+1024*(ISNUMBER(FIND("ALLERG",BT30)))+2048*(OR(ISNUMBER(FIND("REMARK",BT30)),ISNUMBER(FIND("COMMENT",BT30))))+4096*(OR(ISNUMBER(FIND("QTY",BT30)),ISNUMBER(FIND("QUANTITY",BT30))))+8192*(AND(OR(ISNUMBER(FIND("COMPLETE",BT30)),ISNUMBER(FIND("PCT",BT30)),ISNUMBER(FIND("PERCENT",BT30))),NOT(ISNUMBER(FIND("ACTUAL",BT30))),LEN(BT30)&lt;=16))+32768*(OR(ISNUMBER(FIND("DESIC",BT30)),ISNUMBER(FIND("DESSIC",BT30)))))</f>
        <v/>
      </c>
      <c r="BU165">
        <f>IF(BU30="",0,2*(OR(ISNUMBER(FIND("WORKCENTER",BU30)),AND(LEFT(BU30,4)="LINE",NOT(ISNUMBER(FIND("STATUS",BU30))))))+4*(OR(ISNUMBER(FIND("WORKORDER",BU30)),AND(LEFT(BU30,2)="WO",OR(ISNUMBER(FIND("NUM",BU30)),RIGHT(BU30,2)="NO"))))+8*(LEFT(BU30,3)="SEQ")+16*(AND(LEFT(BU30,4)="ITEM",NOT(ISNUMBER(FIND("DESC",BU30)))))+32*(AND(ISNUMBER(FIND("DESC",BU30)),NOT(ISNUMBER(FIND("CAP",BU30)))))+64*(OR(RIGHT(BU30,5)="COUNT",RIGHT(BU30,2)="CT"))+128*(ISNUMBER(FIND("BULK",BU30)))+256*(ISNUMBER(FIND("SIZE",BU30)))+512*(LEFT(BU30,3)="CAP")+1024*(ISNUMBER(FIND("ALLERG",BU30)))+2048*(OR(ISNUMBER(FIND("REMARK",BU30)),ISNUMBER(FIND("COMMENT",BU30))))+4096*(OR(ISNUMBER(FIND("QTY",BU30)),ISNUMBER(FIND("QUANTITY",BU30))))+8192*(AND(OR(ISNUMBER(FIND("COMPLETE",BU30)),ISNUMBER(FIND("PCT",BU30)),ISNUMBER(FIND("PERCENT",BU30))),NOT(ISNUMBER(FIND("ACTUAL",BU30))),LEN(BU30)&lt;=16))+32768*(OR(ISNUMBER(FIND("DESIC",BU30)),ISNUMBER(FIND("DESSIC",BU30)))))</f>
        <v/>
      </c>
      <c r="BV165">
        <f>IF(BV30="",0,2*(OR(ISNUMBER(FIND("WORKCENTER",BV30)),AND(LEFT(BV30,4)="LINE",NOT(ISNUMBER(FIND("STATUS",BV30))))))+4*(OR(ISNUMBER(FIND("WORKORDER",BV30)),AND(LEFT(BV30,2)="WO",OR(ISNUMBER(FIND("NUM",BV30)),RIGHT(BV30,2)="NO"))))+8*(LEFT(BV30,3)="SEQ")+16*(AND(LEFT(BV30,4)="ITEM",NOT(ISNUMBER(FIND("DESC",BV30)))))+32*(AND(ISNUMBER(FIND("DESC",BV30)),NOT(ISNUMBER(FIND("CAP",BV30)))))+64*(OR(RIGHT(BV30,5)="COUNT",RIGHT(BV30,2)="CT"))+128*(ISNUMBER(FIND("BULK",BV30)))+256*(ISNUMBER(FIND("SIZE",BV30)))+512*(LEFT(BV30,3)="CAP")+1024*(ISNUMBER(FIND("ALLERG",BV30)))+2048*(OR(ISNUMBER(FIND("REMARK",BV30)),ISNUMBER(FIND("COMMENT",BV30))))+4096*(OR(ISNUMBER(FIND("QTY",BV30)),ISNUMBER(FIND("QUANTITY",BV30))))+8192*(AND(OR(ISNUMBER(FIND("COMPLETE",BV30)),ISNUMBER(FIND("PCT",BV30)),ISNUMBER(FIND("PERCENT",BV30))),NOT(ISNUMBER(FIND("ACTUAL",BV30))),LEN(BV30)&lt;=16))+32768*(OR(ISNUMBER(FIND("DESIC",BV30)),ISNUMBER(FIND("DESSIC",BV30)))))</f>
        <v/>
      </c>
      <c r="BW165">
        <f>IF(BW30="",0,2*(OR(ISNUMBER(FIND("WORKCENTER",BW30)),AND(LEFT(BW30,4)="LINE",NOT(ISNUMBER(FIND("STATUS",BW30))))))+4*(OR(ISNUMBER(FIND("WORKORDER",BW30)),AND(LEFT(BW30,2)="WO",OR(ISNUMBER(FIND("NUM",BW30)),RIGHT(BW30,2)="NO"))))+8*(LEFT(BW30,3)="SEQ")+16*(AND(LEFT(BW30,4)="ITEM",NOT(ISNUMBER(FIND("DESC",BW30)))))+32*(AND(ISNUMBER(FIND("DESC",BW30)),NOT(ISNUMBER(FIND("CAP",BW30)))))+64*(OR(RIGHT(BW30,5)="COUNT",RIGHT(BW30,2)="CT"))+128*(ISNUMBER(FIND("BULK",BW30)))+256*(ISNUMBER(FIND("SIZE",BW30)))+512*(LEFT(BW30,3)="CAP")+1024*(ISNUMBER(FIND("ALLERG",BW30)))+2048*(OR(ISNUMBER(FIND("REMARK",BW30)),ISNUMBER(FIND("COMMENT",BW30))))+4096*(OR(ISNUMBER(FIND("QTY",BW30)),ISNUMBER(FIND("QUANTITY",BW30))))+8192*(AND(OR(ISNUMBER(FIND("COMPLETE",BW30)),ISNUMBER(FIND("PCT",BW30)),ISNUMBER(FIND("PERCENT",BW30))),NOT(ISNUMBER(FIND("ACTUAL",BW30))),LEN(BW30)&lt;=16))+32768*(OR(ISNUMBER(FIND("DESIC",BW30)),ISNUMBER(FIND("DESSIC",BW30)))))</f>
        <v/>
      </c>
      <c r="BX165">
        <f>IF(BX30="",0,2*(OR(ISNUMBER(FIND("WORKCENTER",BX30)),AND(LEFT(BX30,4)="LINE",NOT(ISNUMBER(FIND("STATUS",BX30))))))+4*(OR(ISNUMBER(FIND("WORKORDER",BX30)),AND(LEFT(BX30,2)="WO",OR(ISNUMBER(FIND("NUM",BX30)),RIGHT(BX30,2)="NO"))))+8*(LEFT(BX30,3)="SEQ")+16*(AND(LEFT(BX30,4)="ITEM",NOT(ISNUMBER(FIND("DESC",BX30)))))+32*(AND(ISNUMBER(FIND("DESC",BX30)),NOT(ISNUMBER(FIND("CAP",BX30)))))+64*(OR(RIGHT(BX30,5)="COUNT",RIGHT(BX30,2)="CT"))+128*(ISNUMBER(FIND("BULK",BX30)))+256*(ISNUMBER(FIND("SIZE",BX30)))+512*(LEFT(BX30,3)="CAP")+1024*(ISNUMBER(FIND("ALLERG",BX30)))+2048*(OR(ISNUMBER(FIND("REMARK",BX30)),ISNUMBER(FIND("COMMENT",BX30))))+4096*(OR(ISNUMBER(FIND("QTY",BX30)),ISNUMBER(FIND("QUANTITY",BX30))))+8192*(AND(OR(ISNUMBER(FIND("COMPLETE",BX30)),ISNUMBER(FIND("PCT",BX30)),ISNUMBER(FIND("PERCENT",BX30))),NOT(ISNUMBER(FIND("ACTUAL",BX30))),LEN(BX30)&lt;=16))+32768*(OR(ISNUMBER(FIND("DESIC",BX30)),ISNUMBER(FIND("DESSIC",BX30)))))</f>
        <v/>
      </c>
      <c r="BY165">
        <f>IF(BY30="",0,2*(OR(ISNUMBER(FIND("WORKCENTER",BY30)),AND(LEFT(BY30,4)="LINE",NOT(ISNUMBER(FIND("STATUS",BY30))))))+4*(OR(ISNUMBER(FIND("WORKORDER",BY30)),AND(LEFT(BY30,2)="WO",OR(ISNUMBER(FIND("NUM",BY30)),RIGHT(BY30,2)="NO"))))+8*(LEFT(BY30,3)="SEQ")+16*(AND(LEFT(BY30,4)="ITEM",NOT(ISNUMBER(FIND("DESC",BY30)))))+32*(AND(ISNUMBER(FIND("DESC",BY30)),NOT(ISNUMBER(FIND("CAP",BY30)))))+64*(OR(RIGHT(BY30,5)="COUNT",RIGHT(BY30,2)="CT"))+128*(ISNUMBER(FIND("BULK",BY30)))+256*(ISNUMBER(FIND("SIZE",BY30)))+512*(LEFT(BY30,3)="CAP")+1024*(ISNUMBER(FIND("ALLERG",BY30)))+2048*(OR(ISNUMBER(FIND("REMARK",BY30)),ISNUMBER(FIND("COMMENT",BY30))))+4096*(OR(ISNUMBER(FIND("QTY",BY30)),ISNUMBER(FIND("QUANTITY",BY30))))+8192*(AND(OR(ISNUMBER(FIND("COMPLETE",BY30)),ISNUMBER(FIND("PCT",BY30)),ISNUMBER(FIND("PERCENT",BY30))),NOT(ISNUMBER(FIND("ACTUAL",BY30))),LEN(BY30)&lt;=16))+32768*(OR(ISNUMBER(FIND("DESIC",BY30)),ISNUMBER(FIND("DESSIC",BY30)))))</f>
        <v/>
      </c>
      <c r="BZ165">
        <f>IF(BZ30="",0,2*(OR(ISNUMBER(FIND("WORKCENTER",BZ30)),AND(LEFT(BZ30,4)="LINE",NOT(ISNUMBER(FIND("STATUS",BZ30))))))+4*(OR(ISNUMBER(FIND("WORKORDER",BZ30)),AND(LEFT(BZ30,2)="WO",OR(ISNUMBER(FIND("NUM",BZ30)),RIGHT(BZ30,2)="NO"))))+8*(LEFT(BZ30,3)="SEQ")+16*(AND(LEFT(BZ30,4)="ITEM",NOT(ISNUMBER(FIND("DESC",BZ30)))))+32*(AND(ISNUMBER(FIND("DESC",BZ30)),NOT(ISNUMBER(FIND("CAP",BZ30)))))+64*(OR(RIGHT(BZ30,5)="COUNT",RIGHT(BZ30,2)="CT"))+128*(ISNUMBER(FIND("BULK",BZ30)))+256*(ISNUMBER(FIND("SIZE",BZ30)))+512*(LEFT(BZ30,3)="CAP")+1024*(ISNUMBER(FIND("ALLERG",BZ30)))+2048*(OR(ISNUMBER(FIND("REMARK",BZ30)),ISNUMBER(FIND("COMMENT",BZ30))))+4096*(OR(ISNUMBER(FIND("QTY",BZ30)),ISNUMBER(FIND("QUANTITY",BZ30))))+8192*(AND(OR(ISNUMBER(FIND("COMPLETE",BZ30)),ISNUMBER(FIND("PCT",BZ30)),ISNUMBER(FIND("PERCENT",BZ30))),NOT(ISNUMBER(FIND("ACTUAL",BZ30))),LEN(BZ30)&lt;=16))+32768*(OR(ISNUMBER(FIND("DESIC",BZ30)),ISNUMBER(FIND("DESSIC",BZ30)))))</f>
        <v/>
      </c>
      <c r="CA165">
        <f>IF(CA30="",0,2*(OR(ISNUMBER(FIND("WORKCENTER",CA30)),AND(LEFT(CA30,4)="LINE",NOT(ISNUMBER(FIND("STATUS",CA30))))))+4*(OR(ISNUMBER(FIND("WORKORDER",CA30)),AND(LEFT(CA30,2)="WO",OR(ISNUMBER(FIND("NUM",CA30)),RIGHT(CA30,2)="NO"))))+8*(LEFT(CA30,3)="SEQ")+16*(AND(LEFT(CA30,4)="ITEM",NOT(ISNUMBER(FIND("DESC",CA30)))))+32*(AND(ISNUMBER(FIND("DESC",CA30)),NOT(ISNUMBER(FIND("CAP",CA30)))))+64*(OR(RIGHT(CA30,5)="COUNT",RIGHT(CA30,2)="CT"))+128*(ISNUMBER(FIND("BULK",CA30)))+256*(ISNUMBER(FIND("SIZE",CA30)))+512*(LEFT(CA30,3)="CAP")+1024*(ISNUMBER(FIND("ALLERG",CA30)))+2048*(OR(ISNUMBER(FIND("REMARK",CA30)),ISNUMBER(FIND("COMMENT",CA30))))+4096*(OR(ISNUMBER(FIND("QTY",CA30)),ISNUMBER(FIND("QUANTITY",CA30))))+8192*(AND(OR(ISNUMBER(FIND("COMPLETE",CA30)),ISNUMBER(FIND("PCT",CA30)),ISNUMBER(FIND("PERCENT",CA30))),NOT(ISNUMBER(FIND("ACTUAL",CA30))),LEN(CA30)&lt;=16))+32768*(OR(ISNUMBER(FIND("DESIC",CA30)),ISNUMBER(FIND("DESSIC",CA30)))))</f>
        <v/>
      </c>
      <c r="CB165">
        <f>IF(CB30="",0,2*(OR(ISNUMBER(FIND("WORKCENTER",CB30)),AND(LEFT(CB30,4)="LINE",NOT(ISNUMBER(FIND("STATUS",CB30))))))+4*(OR(ISNUMBER(FIND("WORKORDER",CB30)),AND(LEFT(CB30,2)="WO",OR(ISNUMBER(FIND("NUM",CB30)),RIGHT(CB30,2)="NO"))))+8*(LEFT(CB30,3)="SEQ")+16*(AND(LEFT(CB30,4)="ITEM",NOT(ISNUMBER(FIND("DESC",CB30)))))+32*(AND(ISNUMBER(FIND("DESC",CB30)),NOT(ISNUMBER(FIND("CAP",CB30)))))+64*(OR(RIGHT(CB30,5)="COUNT",RIGHT(CB30,2)="CT"))+128*(ISNUMBER(FIND("BULK",CB30)))+256*(ISNUMBER(FIND("SIZE",CB30)))+512*(LEFT(CB30,3)="CAP")+1024*(ISNUMBER(FIND("ALLERG",CB30)))+2048*(OR(ISNUMBER(FIND("REMARK",CB30)),ISNUMBER(FIND("COMMENT",CB30))))+4096*(OR(ISNUMBER(FIND("QTY",CB30)),ISNUMBER(FIND("QUANTITY",CB30))))+8192*(AND(OR(ISNUMBER(FIND("COMPLETE",CB30)),ISNUMBER(FIND("PCT",CB30)),ISNUMBER(FIND("PERCENT",CB30))),NOT(ISNUMBER(FIND("ACTUAL",CB30))),LEN(CB30)&lt;=16))+32768*(OR(ISNUMBER(FIND("DESIC",CB30)),ISNUMBER(FIND("DESSIC",CB30)))))</f>
        <v/>
      </c>
      <c r="CC165">
        <f>IF(CC30="",0,2*(OR(ISNUMBER(FIND("WORKCENTER",CC30)),AND(LEFT(CC30,4)="LINE",NOT(ISNUMBER(FIND("STATUS",CC30))))))+4*(OR(ISNUMBER(FIND("WORKORDER",CC30)),AND(LEFT(CC30,2)="WO",OR(ISNUMBER(FIND("NUM",CC30)),RIGHT(CC30,2)="NO"))))+8*(LEFT(CC30,3)="SEQ")+16*(AND(LEFT(CC30,4)="ITEM",NOT(ISNUMBER(FIND("DESC",CC30)))))+32*(AND(ISNUMBER(FIND("DESC",CC30)),NOT(ISNUMBER(FIND("CAP",CC30)))))+64*(OR(RIGHT(CC30,5)="COUNT",RIGHT(CC30,2)="CT"))+128*(ISNUMBER(FIND("BULK",CC30)))+256*(ISNUMBER(FIND("SIZE",CC30)))+512*(LEFT(CC30,3)="CAP")+1024*(ISNUMBER(FIND("ALLERG",CC30)))+2048*(OR(ISNUMBER(FIND("REMARK",CC30)),ISNUMBER(FIND("COMMENT",CC30))))+4096*(OR(ISNUMBER(FIND("QTY",CC30)),ISNUMBER(FIND("QUANTITY",CC30))))+8192*(AND(OR(ISNUMBER(FIND("COMPLETE",CC30)),ISNUMBER(FIND("PCT",CC30)),ISNUMBER(FIND("PERCENT",CC30))),NOT(ISNUMBER(FIND("ACTUAL",CC30))),LEN(CC30)&lt;=16))+32768*(OR(ISNUMBER(FIND("DESIC",CC30)),ISNUMBER(FIND("DESSIC",CC30)))))</f>
        <v/>
      </c>
      <c r="CD165">
        <f>IF(CD30="",0,2*(OR(ISNUMBER(FIND("WORKCENTER",CD30)),AND(LEFT(CD30,4)="LINE",NOT(ISNUMBER(FIND("STATUS",CD30))))))+4*(OR(ISNUMBER(FIND("WORKORDER",CD30)),AND(LEFT(CD30,2)="WO",OR(ISNUMBER(FIND("NUM",CD30)),RIGHT(CD30,2)="NO"))))+8*(LEFT(CD30,3)="SEQ")+16*(AND(LEFT(CD30,4)="ITEM",NOT(ISNUMBER(FIND("DESC",CD30)))))+32*(AND(ISNUMBER(FIND("DESC",CD30)),NOT(ISNUMBER(FIND("CAP",CD30)))))+64*(OR(RIGHT(CD30,5)="COUNT",RIGHT(CD30,2)="CT"))+128*(ISNUMBER(FIND("BULK",CD30)))+256*(ISNUMBER(FIND("SIZE",CD30)))+512*(LEFT(CD30,3)="CAP")+1024*(ISNUMBER(FIND("ALLERG",CD30)))+2048*(OR(ISNUMBER(FIND("REMARK",CD30)),ISNUMBER(FIND("COMMENT",CD30))))+4096*(OR(ISNUMBER(FIND("QTY",CD30)),ISNUMBER(FIND("QUANTITY",CD30))))+8192*(AND(OR(ISNUMBER(FIND("COMPLETE",CD30)),ISNUMBER(FIND("PCT",CD30)),ISNUMBER(FIND("PERCENT",CD30))),NOT(ISNUMBER(FIND("ACTUAL",CD30))),LEN(CD30)&lt;=16))+32768*(OR(ISNUMBER(FIND("DESIC",CD30)),ISNUMBER(FIND("DESSIC",CD30)))))</f>
        <v/>
      </c>
      <c r="CE165">
        <f>IF(CE30="",0,2*(OR(ISNUMBER(FIND("WORKCENTER",CE30)),AND(LEFT(CE30,4)="LINE",NOT(ISNUMBER(FIND("STATUS",CE30))))))+4*(OR(ISNUMBER(FIND("WORKORDER",CE30)),AND(LEFT(CE30,2)="WO",OR(ISNUMBER(FIND("NUM",CE30)),RIGHT(CE30,2)="NO"))))+8*(LEFT(CE30,3)="SEQ")+16*(AND(LEFT(CE30,4)="ITEM",NOT(ISNUMBER(FIND("DESC",CE30)))))+32*(AND(ISNUMBER(FIND("DESC",CE30)),NOT(ISNUMBER(FIND("CAP",CE30)))))+64*(OR(RIGHT(CE30,5)="COUNT",RIGHT(CE30,2)="CT"))+128*(ISNUMBER(FIND("BULK",CE30)))+256*(ISNUMBER(FIND("SIZE",CE30)))+512*(LEFT(CE30,3)="CAP")+1024*(ISNUMBER(FIND("ALLERG",CE30)))+2048*(OR(ISNUMBER(FIND("REMARK",CE30)),ISNUMBER(FIND("COMMENT",CE30))))+4096*(OR(ISNUMBER(FIND("QTY",CE30)),ISNUMBER(FIND("QUANTITY",CE30))))+8192*(AND(OR(ISNUMBER(FIND("COMPLETE",CE30)),ISNUMBER(FIND("PCT",CE30)),ISNUMBER(FIND("PERCENT",CE30))),NOT(ISNUMBER(FIND("ACTUAL",CE30))),LEN(CE30)&lt;=16))+32768*(OR(ISNUMBER(FIND("DESIC",CE30)),ISNUMBER(FIND("DESSIC",CE30)))))</f>
        <v/>
      </c>
      <c r="CF165">
        <f>IF(CF30="",0,2*(OR(ISNUMBER(FIND("WORKCENTER",CF30)),AND(LEFT(CF30,4)="LINE",NOT(ISNUMBER(FIND("STATUS",CF30))))))+4*(OR(ISNUMBER(FIND("WORKORDER",CF30)),AND(LEFT(CF30,2)="WO",OR(ISNUMBER(FIND("NUM",CF30)),RIGHT(CF30,2)="NO"))))+8*(LEFT(CF30,3)="SEQ")+16*(AND(LEFT(CF30,4)="ITEM",NOT(ISNUMBER(FIND("DESC",CF30)))))+32*(AND(ISNUMBER(FIND("DESC",CF30)),NOT(ISNUMBER(FIND("CAP",CF30)))))+64*(OR(RIGHT(CF30,5)="COUNT",RIGHT(CF30,2)="CT"))+128*(ISNUMBER(FIND("BULK",CF30)))+256*(ISNUMBER(FIND("SIZE",CF30)))+512*(LEFT(CF30,3)="CAP")+1024*(ISNUMBER(FIND("ALLERG",CF30)))+2048*(OR(ISNUMBER(FIND("REMARK",CF30)),ISNUMBER(FIND("COMMENT",CF30))))+4096*(OR(ISNUMBER(FIND("QTY",CF30)),ISNUMBER(FIND("QUANTITY",CF30))))+8192*(AND(OR(ISNUMBER(FIND("COMPLETE",CF30)),ISNUMBER(FIND("PCT",CF30)),ISNUMBER(FIND("PERCENT",CF30))),NOT(ISNUMBER(FIND("ACTUAL",CF30))),LEN(CF30)&lt;=16))+32768*(OR(ISNUMBER(FIND("DESIC",CF30)),ISNUMBER(FIND("DESSIC",CF30)))))</f>
        <v/>
      </c>
      <c r="DA165" t="n">
        <v>161</v>
      </c>
      <c r="DB165">
        <f>IF($B$37=0,"",IFERROR(TRIM(SUBSTITUTE(SUBSTITUTE(SUBSTITUTE(SUBSTITUTE(INDEX(PASTE_ALL,161,$B$37)," "," "),CHAR(9)," "),CHAR(10)," "),CHAR(13)," ")),""))</f>
        <v/>
      </c>
      <c r="DC165">
        <f>IF(AND(161&gt;HEADER_ROW,UPPER(DB165)="LEGEND"),1,0)</f>
        <v/>
      </c>
      <c r="DE165" t="n">
        <v>161</v>
      </c>
      <c r="DF165">
        <f>HEADER_ROW+$DE165</f>
        <v/>
      </c>
      <c r="DG165">
        <f>IF(AND($DF165&lt;=1000,$DF165&lt;$B$8),1,0)</f>
        <v/>
      </c>
      <c r="DH165">
        <f>IF($DG165=1,IFERROR(INDEX($DB$5:$DB$1004,$DF165),""),"")</f>
        <v/>
      </c>
      <c r="DI165">
        <f>IF(AND($DG165=1,$DH165&lt;&gt;""),IFERROR(SUBSTITUTE(SUBSTITUTE(TRIM(SUBSTITUTE(SUBSTITUTE(SUBSTITUTE(SUBSTITUTE(IFERROR(INDEX(PASTE_ALL,$DF165,1)&amp;"","")&amp;"␟"&amp;IFERROR(INDEX(PASTE_ALL,$DF165,2)&amp;"","")&amp;"␟"&amp;IFERROR(INDEX(PASTE_ALL,$DF165,3)&amp;"","")&amp;"␟"&amp;IFERROR(INDEX(PASTE_ALL,$DF165,4)&amp;"","")&amp;"␟"&amp;IFERROR(INDEX(PASTE_ALL,$DF165,5)&amp;"","")&amp;"␟"&amp;IFERROR(INDEX(PASTE_ALL,$DF165,6)&amp;"","")&amp;"␟"&amp;IFERROR(INDEX(PASTE_ALL,$DF165,7)&amp;"","")&amp;"␟"&amp;IFERROR(INDEX(PASTE_ALL,$DF165,8)&amp;"","")&amp;"␟"&amp;IFERROR(INDEX(PASTE_ALL,$DF165,9)&amp;"","")&amp;"␟"&amp;IFERROR(INDEX(PASTE_ALL,$DF165,10)&amp;"","")&amp;"␟"&amp;IFERROR(INDEX(PASTE_ALL,$DF165,11)&amp;"","")&amp;"␟"&amp;IFERROR(INDEX(PASTE_ALL,$DF165,12)&amp;"","")&amp;"␟"&amp;IFERROR(INDEX(PASTE_ALL,$DF165,13)&amp;"","")&amp;"␟"&amp;IFERROR(INDEX(PASTE_ALL,$DF165,14)&amp;"","")&amp;"␟"&amp;IFERROR(INDEX(PASTE_ALL,$DF165,15)&amp;"","")&amp;"␟"&amp;IFERROR(INDEX(PASTE_ALL,$DF165,16)&amp;"","")&amp;"␟"&amp;IFERROR(INDEX(PASTE_ALL,$DF165,17)&amp;"","")&amp;"␟"&amp;IFERROR(INDEX(PASTE_ALL,$DF165,18)&amp;"","")&amp;"␟"&amp;IFERROR(INDEX(PASTE_ALL,$DF165,19)&amp;"","")&amp;"␟"&amp;IFERROR(INDEX(PASTE_ALL,$DF165,20)&amp;"","")&amp;"␟"&amp;IFERROR(INDEX(PASTE_ALL,$DF165,21)&amp;"","")&amp;"␟"&amp;IFERROR(INDEX(PASTE_ALL,$DF165,22)&amp;"","")&amp;"␟"&amp;IFERROR(INDEX(PASTE_ALL,$DF165,23)&amp;"","")&amp;"␟"&amp;IFERROR(INDEX(PASTE_ALL,$DF165,24)&amp;"","")&amp;"␟"&amp;IFERROR(INDEX(PASTE_ALL,$DF165,25)&amp;"","")&amp;"␟"&amp;IFERROR(INDEX(PASTE_ALL,$DF165,26)&amp;"","")&amp;"␟"&amp;IFERROR(INDEX(PASTE_ALL,$DF165,27)&amp;"","")&amp;"␟"&amp;IFERROR(INDEX(PASTE_ALL,$DF165,28)&amp;"","")&amp;"␟"&amp;IFERROR(INDEX(PASTE_ALL,$DF165,29)&amp;"","")&amp;"␟"&amp;IFERROR(INDEX(PASTE_ALL,$DF165,30)&amp;"","")&amp;"␟"&amp;IFERROR(INDEX(PASTE_ALL,$DF165,31)&amp;"","")&amp;"␟"&amp;IFERROR(INDEX(PASTE_ALL,$DF165,32)&amp;"","")&amp;"␟"&amp;IFERROR(INDEX(PASTE_ALL,$DF165,33)&amp;"","")&amp;"␟"&amp;IFERROR(INDEX(PASTE_ALL,$DF165,34)&amp;"","")&amp;"␟"&amp;IFERROR(INDEX(PASTE_ALL,$DF165,35)&amp;"","")&amp;"␟"&amp;IFERROR(INDEX(PASTE_ALL,$DF165,36)&amp;"","")&amp;"␟"&amp;IFERROR(INDEX(PASTE_ALL,$DF165,37)&amp;"","")&amp;"␟"&amp;IFERROR(INDEX(PASTE_ALL,$DF165,38)&amp;"","")&amp;"␟"&amp;IFERROR(INDEX(PASTE_ALL,$DF165,39)&amp;"","")&amp;"␟"&amp;IFERROR(INDEX(PASTE_ALL,$DF165,40)&amp;"","")&amp;"␟"&amp;IFERROR(INDEX(PASTE_ALL,$DF165,41)&amp;"","")&amp;"␟"&amp;IFERROR(INDEX(PASTE_ALL,$DF165,42)&amp;"","")&amp;"␟"&amp;IFERROR(INDEX(PASTE_ALL,$DF165,43)&amp;"","")&amp;"␟"&amp;IFERROR(INDEX(PASTE_ALL,$DF165,44)&amp;"","")&amp;"␟"&amp;IFERROR(INDEX(PASTE_ALL,$DF165,45)&amp;"","")&amp;"␟"&amp;IFERROR(INDEX(PASTE_ALL,$DF165,46)&amp;"","")&amp;"␟"&amp;IFERROR(INDEX(PASTE_ALL,$DF165,47)&amp;"","")&amp;"␟"&amp;IFERROR(INDEX(PASTE_ALL,$DF165,48)&amp;"","")&amp;"␟"&amp;IFERROR(INDEX(PASTE_ALL,$DF165,49)&amp;"","")&amp;"␟"&amp;IFERROR(INDEX(PASTE_ALL,$DF165,50)&amp;"","")&amp;"␟"&amp;IFERROR(INDEX(PASTE_ALL,$DF165,51)&amp;"","")&amp;"␟"&amp;IFERROR(INDEX(PASTE_ALL,$DF165,52)&amp;"","")&amp;"␟"&amp;IFERROR(INDEX(PASTE_ALL,$DF165,53)&amp;"","")&amp;"␟"&amp;IFERROR(INDEX(PASTE_ALL,$DF165,54)&amp;"","")&amp;"␟"&amp;IFERROR(INDEX(PASTE_ALL,$DF165,55)&amp;"","")&amp;"␟"&amp;IFERROR(INDEX(PASTE_ALL,$DF165,56)&amp;"","")&amp;"␟"&amp;IFERROR(INDEX(PASTE_ALL,$DF165,57)&amp;"","")&amp;"␟"&amp;IFERROR(INDEX(PASTE_ALL,$DF165,58)&amp;"","")&amp;"␟"&amp;IFERROR(INDEX(PASTE_ALL,$DF165,59)&amp;"","")&amp;"␟"&amp;IFERROR(INDEX(PASTE_ALL,$DF165,60)&amp;"","")," "," "),CHAR(9)," "),CHAR(10)," "),CHAR(13)," "))," ␟","␟"),"␟ ","␟"),"#"&amp;$DE165),"")</f>
        <v/>
      </c>
      <c r="DJ165">
        <f>IF($DI165="",0,IF(SUMPRODUCT(--EXACT($DI$4:DI164,$DI165))&gt;0,1,0))</f>
        <v/>
      </c>
      <c r="DK165">
        <f>IF(AND($DI165&lt;&gt;"",$DJ165=0),1,0)</f>
        <v/>
      </c>
      <c r="DL165">
        <f>DL164+$DK165</f>
        <v/>
      </c>
      <c r="DM165">
        <f>IF(AND($DK165=1,$DL165&lt;=600),1,0)</f>
        <v/>
      </c>
      <c r="DN165">
        <f>IF($DM165=0,"",IF($L$6=0,"",IFERROR(IF(ISNUMBER(INDEX(PASTE_ALL,$DF165,$L$6)),INDEX(PASTE_ALL,$DF165,$L$6),TRIM(SUBSTITUTE(SUBSTITUTE(SUBSTITUTE(SUBSTITUTE(INDEX(PASTE_ALL,$DF165,$L$6)," "," "),CHAR(9)," "),CHAR(10)," "),CHAR(13)," "))),"")))</f>
        <v/>
      </c>
      <c r="DO165">
        <f>IF($DM165=0,"",IF($L$7=0,"",IFERROR(IF(ISNUMBER(INDEX(PASTE_ALL,$DF165,$L$7)),INDEX(PASTE_ALL,$DF165,$L$7),TRIM(SUBSTITUTE(SUBSTITUTE(SUBSTITUTE(SUBSTITUTE(INDEX(PASTE_ALL,$DF165,$L$7)," "," "),CHAR(9)," "),CHAR(10)," "),CHAR(13)," "))),"")))</f>
        <v/>
      </c>
      <c r="DP165">
        <f>IF($DM165=0,"",IF($L$8=0,"",IFERROR(IF(ISNUMBER(INDEX(PASTE_ALL,$DF165,$L$8)),INDEX(PASTE_ALL,$DF165,$L$8),TRIM(SUBSTITUTE(SUBSTITUTE(SUBSTITUTE(SUBSTITUTE(INDEX(PASTE_ALL,$DF165,$L$8)," "," "),CHAR(9)," "),CHAR(10)," "),CHAR(13)," "))),"")))</f>
        <v/>
      </c>
      <c r="DQ165">
        <f>IF($DM165=0,"",IF($L$9=0,"",IFERROR(IF(ISNUMBER(INDEX(PASTE_ALL,$DF165,$L$9)),INDEX(PASTE_ALL,$DF165,$L$9),TRIM(SUBSTITUTE(SUBSTITUTE(SUBSTITUTE(SUBSTITUTE(INDEX(PASTE_ALL,$DF165,$L$9)," "," "),CHAR(9)," "),CHAR(10)," "),CHAR(13)," "))),"")))</f>
        <v/>
      </c>
      <c r="DR165">
        <f>IF($DM165=0,"",IF($L$10=0,"",IFERROR(IF(ISNUMBER(INDEX(PASTE_ALL,$DF165,$L$10)),INDEX(PASTE_ALL,$DF165,$L$10),TRIM(SUBSTITUTE(SUBSTITUTE(SUBSTITUTE(SUBSTITUTE(INDEX(PASTE_ALL,$DF165,$L$10)," "," "),CHAR(9)," "),CHAR(10)," "),CHAR(13)," "))),"")))</f>
        <v/>
      </c>
      <c r="DS165">
        <f>IF($DM165=0,"",IF($L$11=0,"",IFERROR(IF(ISNUMBER(INDEX(PASTE_ALL,$DF165,$L$11)),INDEX(PASTE_ALL,$DF165,$L$11),TRIM(SUBSTITUTE(SUBSTITUTE(SUBSTITUTE(SUBSTITUTE(INDEX(PASTE_ALL,$DF165,$L$11)," "," "),CHAR(9)," "),CHAR(10)," "),CHAR(13)," "))),"")))</f>
        <v/>
      </c>
      <c r="DT165">
        <f>IF($DM165=0,"",IF($L$12=0,"",IFERROR(IF(ISNUMBER(INDEX(PASTE_ALL,$DF165,$L$12)),INDEX(PASTE_ALL,$DF165,$L$12),TRIM(SUBSTITUTE(SUBSTITUTE(SUBSTITUTE(SUBSTITUTE(INDEX(PASTE_ALL,$DF165,$L$12)," "," "),CHAR(9)," "),CHAR(10)," "),CHAR(13)," "))),"")))</f>
        <v/>
      </c>
      <c r="DU165">
        <f>IF($DM165=0,"",IF($L$13=0,"",IFERROR(IF(ISNUMBER(INDEX(PASTE_ALL,$DF165,$L$13)),INDEX(PASTE_ALL,$DF165,$L$13),TRIM(SUBSTITUTE(SUBSTITUTE(SUBSTITUTE(SUBSTITUTE(INDEX(PASTE_ALL,$DF165,$L$13)," "," "),CHAR(9)," "),CHAR(10)," "),CHAR(13)," "))),"")))</f>
        <v/>
      </c>
      <c r="DV165">
        <f>IF($DM165=0,"",IF($L$14=0,"",IFERROR(IF(ISNUMBER(INDEX(PASTE_ALL,$DF165,$L$14)),INDEX(PASTE_ALL,$DF165,$L$14),TRIM(SUBSTITUTE(SUBSTITUTE(SUBSTITUTE(SUBSTITUTE(INDEX(PASTE_ALL,$DF165,$L$14)," "," "),CHAR(9)," "),CHAR(10)," "),CHAR(13)," "))),"")))</f>
        <v/>
      </c>
      <c r="DW165">
        <f>IF($DM165=0,"",IF($L$15=0,"",IFERROR(IF(ISNUMBER(INDEX(PASTE_ALL,$DF165,$L$15)),INDEX(PASTE_ALL,$DF165,$L$15),IF(SUMPRODUCT(--ISNUMBER(FIND({"A","B","C","D","E","F","G","H","I","J","K","L","M","N","O","P","Q","R","S","T","U","V","W","X","Y","Z","0","1","2","3","4","5","6","7","8","9"},UPPER(TRIM(SUBSTITUTE(SUBSTITUTE(SUBSTITUTE(SUBSTITUTE(INDEX(PASTE_ALL,$DF165,$L$15)," "," "),CHAR(9)," "),CHAR(10)," "),CHAR(13)," "))))))&gt;0,TRIM(SUBSTITUTE(SUBSTITUTE(SUBSTITUTE(SUBSTITUTE(INDEX(PASTE_ALL,$DF165,$L$15)," "," "),CHAR(9)," "),CHAR(10)," "),CHAR(13)," ")),"")),"")))</f>
        <v/>
      </c>
      <c r="DX165">
        <f>IF($DM165=0,"",IF($L$16=0,"",IFERROR(IF(ISNUMBER(INDEX(PASTE_ALL,$DF165,$L$16)),INDEX(PASTE_ALL,$DF165,$L$16),SUBSTITUTE(SUBSTITUTE(TRIM(SUBSTITUTE(SUBSTITUTE(SUBSTITUTE(SUBSTITUTE(INDEX(PASTE_ALL,$DF165,$L$16)," "," "),CHAR(9)," "),CHAR(10)," "),CHAR(13)," ")),",",""),"%","")),"")))</f>
        <v/>
      </c>
      <c r="DY165">
        <f>IF($DM165=0,"",IFERROR(IF(ISNUMBER($DX165),$DX165,IF($DX165="","",IF(TRIM($DX165)="",0,IF(AND(AND(SUBSTITUTE(SUBSTITUTE(SUBSTITUTE(SUBSTITUTE(SUBSTITUTE(SUBSTITUTE(SUBSTITUTE(SUBSTITUTE(SUBSTITUTE(SUBSTITUTE(SUBSTITUTE(SUBSTITUTE(SUBSTITUTE(SUBSTITUTE(UPPER(TRIM($DX165)),"0",""),"1",""),"2",""),"3",""),"4",""),"5",""),"6",""),"7",""),"8",""),"9",""),".",""),"+",""),"-",""),"E","")="",LEN(SUBSTITUTE(SUBSTITUTE(MID(UPPER(TRIM($DX165)),1+OR(LEFT(UPPER(TRIM($DX165)),1)="+",LEFT(UPPER(TRIM($DX165)),1)="-"),999),"E+","E"),"E-","E"))=LEN(SUBSTITUTE(SUBSTITUTE(SUBSTITUTE(SUBSTITUTE(MID(UPPER(TRIM($DX165)),1+OR(LEFT(UPPER(TRIM($DX165)),1)="+",LEFT(UPPER(TRIM($DX165)),1)="-"),999),"E+","E"),"E-","E"),"+",""),"-","")),LEN(UPPER(TRIM($DX165)))-LEN(SUBSTITUTE(UPPER(TRIM($DX165)),"E",""))&lt;2,LEN(UPPER(TRIM($DX165)))-LEN(SUBSTITUTE(UPPER(TRIM($DX165)),".",""))&lt;2,IFERROR(FIND(".",UPPER(TRIM($DX165))),0)&lt;IFERROR(FIND("E",UPPER(TRIM($DX165))),999)),ISNUMBER(VALUE(TRIM($DX165)))),VALUE(TRIM($DX165)),"")))),""))</f>
        <v/>
      </c>
      <c r="DZ165">
        <f>IF($DM165=0,"",IF($L$17=0,"",IFERROR(IF(ISNUMBER(INDEX(PASTE_ALL,$DF165,$L$17)),INDEX(PASTE_ALL,$DF165,$L$17),SUBSTITUTE(SUBSTITUTE(TRIM(SUBSTITUTE(SUBSTITUTE(SUBSTITUTE(SUBSTITUTE(INDEX(PASTE_ALL,$DF165,$L$17)," "," "),CHAR(9)," "),CHAR(10)," "),CHAR(13)," ")),",",""),"%","")),"")))</f>
        <v/>
      </c>
      <c r="EA165">
        <f>IF($DM165=0,"",IFERROR(IF(ISNUMBER($DZ165),$DZ165,IF($DZ165="","",IF(TRIM($DZ165)="",0,IF(AND(AND(SUBSTITUTE(SUBSTITUTE(SUBSTITUTE(SUBSTITUTE(SUBSTITUTE(SUBSTITUTE(SUBSTITUTE(SUBSTITUTE(SUBSTITUTE(SUBSTITUTE(SUBSTITUTE(SUBSTITUTE(SUBSTITUTE(SUBSTITUTE(UPPER(TRIM($DZ165)),"0",""),"1",""),"2",""),"3",""),"4",""),"5",""),"6",""),"7",""),"8",""),"9",""),".",""),"+",""),"-",""),"E","")="",LEN(SUBSTITUTE(SUBSTITUTE(MID(UPPER(TRIM($DZ165)),1+OR(LEFT(UPPER(TRIM($DZ165)),1)="+",LEFT(UPPER(TRIM($DZ165)),1)="-"),999),"E+","E"),"E-","E"))=LEN(SUBSTITUTE(SUBSTITUTE(SUBSTITUTE(SUBSTITUTE(MID(UPPER(TRIM($DZ165)),1+OR(LEFT(UPPER(TRIM($DZ165)),1)="+",LEFT(UPPER(TRIM($DZ165)),1)="-"),999),"E+","E"),"E-","E"),"+",""),"-","")),LEN(UPPER(TRIM($DZ165)))-LEN(SUBSTITUTE(UPPER(TRIM($DZ165)),"E",""))&lt;2,LEN(UPPER(TRIM($DZ165)))-LEN(SUBSTITUTE(UPPER(TRIM($DZ165)),".",""))&lt;2,IFERROR(FIND(".",UPPER(TRIM($DZ165))),0)&lt;IFERROR(FIND("E",UPPER(TRIM($DZ165))),999)),ISNUMBER(VALUE(TRIM($DZ165)))),VALUE(TRIM($DZ165)),"")))),""))</f>
        <v/>
      </c>
      <c r="EB165">
        <f>IF($DM165=0,"",IF($L$18=0,"",IFERROR(IF(UPPER(TRIM(SUBSTITUTE(SUBSTITUTE(SUBSTITUTE(SUBSTITUTE(INDEX(PASTE_ALL,$DF165,$L$18)," "," "),CHAR(9)," "),CHAR(10)," "),CHAR(13)," ")))="READY","Ready",IF(UPPER(TRIM(SUBSTITUTE(SUBSTITUTE(SUBSTITUTE(SUBSTITUTE(INDEX(PASTE_ALL,$DF165,$L$18)," "," "),CHAR(9)," "),CHAR(10)," "),CHAR(13)," ")))="PM","PM",IF(OR(UPPER(TRIM(SUBSTITUTE(SUBSTITUTE(SUBSTITUTE(SUBSTITUTE(INDEX(PASTE_ALL,$DF165,$L$18)," "," "),CHAR(9)," "),CHAR(10)," "),CHAR(13)," ")))="OT",UPPER(TRIM(SUBSTITUTE(SUBSTITUTE(SUBSTITUTE(SUBSTITUTE(INDEX(PASTE_ALL,$DF165,$L$18)," "," "),CHAR(9)," "),CHAR(10)," "),CHAR(13)," ")))="OVERTIME",UPPER(TRIM(SUBSTITUTE(SUBSTITUTE(SUBSTITUTE(SUBSTITUTE(INDEX(PASTE_ALL,$DF165,$L$18)," "," "),CHAR(9)," "),CHAR(10)," "),CHAR(13)," ")))="TRIAL"),"OT",TRIM(SUBSTITUTE(SUBSTITUTE(SUBSTITUTE(SUBSTITUTE(INDEX(PASTE_ALL,$DF165,$L$18)," "," "),CHAR(9)," "),CHAR(10)," "),CHAR(13)," "))))),"")))</f>
        <v/>
      </c>
      <c r="EC165">
        <f>IF($DM165=0,"",IF($L$19=0,"",IFERROR(IF(ISNUMBER(INDEX(PASTE_ALL,$DF165,$L$19)),INDEX(PASTE_ALL,$DF165,$L$19),TRIM(SUBSTITUTE(SUBSTITUTE(SUBSTITUTE(SUBSTITUTE(INDEX(PASTE_ALL,$DF165,$L$19)," "," "),CHAR(9)," "),CHAR(10)," "),CHAR(13)," "))),"")))</f>
        <v/>
      </c>
      <c r="ED165">
        <f>IF($DM165=0,"",MATCH(1,INDEX(EXACT($DH$5:DH165,$DH165)*$DM$5:DM165,0),0))</f>
        <v/>
      </c>
      <c r="EE165">
        <f>IF($DM165=0,0,IF($ED165=$DE165,1,0))</f>
        <v/>
      </c>
      <c r="EF165">
        <f>EF164+$EE165</f>
        <v/>
      </c>
      <c r="EG165">
        <f>IF($DM165=0,"",INDEX($EF$5:$EF$1003,$ED165))</f>
        <v/>
      </c>
      <c r="EH165">
        <f>IF($DM165=0,"",IF($DO165&lt;&gt;"","",IFERROR(LOOKUP(2,1/(($EG$4:EG164=$EG165)*($DO$4:DO164&lt;&gt;"")),$DO$4:DO164),"")))</f>
        <v/>
      </c>
      <c r="EI165">
        <f>IF($DM165=0,"",IF($DO165&lt;&gt;"",$DO165,$EH165))</f>
        <v/>
      </c>
      <c r="EJ165">
        <f>IF($DM165=0,"",IF($EI165="",0,IF(OR(ISNUMBER($EI165),AND(AND(SUBSTITUTE(SUBSTITUTE(SUBSTITUTE(SUBSTITUTE(SUBSTITUTE(SUBSTITUTE(SUBSTITUTE(SUBSTITUTE(SUBSTITUTE(SUBSTITUTE(SUBSTITUTE(SUBSTITUTE(SUBSTITUTE(SUBSTITUTE(UPPER($EI165),"0",""),"1",""),"2",""),"3",""),"4",""),"5",""),"6",""),"7",""),"8",""),"9",""),".",""),"+",""),"-",""),"E","")="",LEN(SUBSTITUTE(SUBSTITUTE(MID(UPPER($EI165),1+OR(LEFT(UPPER($EI165),1)="+",LEFT(UPPER($EI165),1)="-"),999),"E+","E"),"E-","E"))=LEN(SUBSTITUTE(SUBSTITUTE(SUBSTITUTE(SUBSTITUTE(MID(UPPER($EI165),1+OR(LEFT(UPPER($EI165),1)="+",LEFT(UPPER($EI165),1)="-"),999),"E+","E"),"E-","E"),"+",""),"-","")),LEN(UPPER($EI165))-LEN(SUBSTITUTE(UPPER($EI165),"E",""))&lt;2,LEN(UPPER($EI165))-LEN(SUBSTITUTE(UPPER($EI165),".",""))&lt;2,IFERROR(FIND(".",UPPER($EI165)),0)&lt;IFERROR(FIND("E",UPPER($EI165)),999)),ISNUMBER(VALUE($EI165)))),1,2)))</f>
        <v/>
      </c>
      <c r="EK165">
        <f>IF($DM165=0,"",IF($EJ165=1,IF(ISNUMBER($EI165),$EI165,VALUE($EI165)),IF($EJ165=2,$DE165,0)))</f>
        <v/>
      </c>
      <c r="EL165">
        <f>IF($DM165=0,"",COUNTIF($EG$5:$EG$1003,"&lt;"&amp;$EG165)+SUMPRODUCT(($EG$5:$EG$1003=$EG165)*(($EJ$5:$EJ$1003&lt;$EJ165)+($EJ$5:$EJ$1003=$EJ165)*(($EK$5:$EK$1003&lt;$EK165)+($EK$5:$EK$1003=$EK165)*($DE$5:$DE$1003&lt;$DE165))))+1)</f>
        <v/>
      </c>
      <c r="EM165">
        <f>IF($DM165=0,"",$EL165+$EG165-1)</f>
        <v/>
      </c>
      <c r="EN165">
        <f>IF($DM165=0,0,IFERROR(MATCH(1,INDEX(--(TRIM(SUBSTITUTE(SUBSTITUTE(SUBSTITUTE(SUBSTITUTE(LINES_NAME&amp;""," "," "),CHAR(9)," "),CHAR(10)," "),CHAR(13)," "))=$DH165),0),0),0))</f>
        <v/>
      </c>
      <c r="EO165">
        <f>IF($EN165=0,0,IF(OR(UPPER(TRIM(INDEX(LINES_SCHEDULED,$EN165)&amp;""))="YES",UPPER(TRIM(INDEX(LINES_SCHEDULED,$EN165)&amp;""))="Y",UPPER(TRIM(INDEX(LINES_SCHEDULED,$EN165)&amp;""))="X"),1,0))</f>
        <v/>
      </c>
      <c r="EP165">
        <f>IF($DM165=0,"",IF(COUNTIFS($EG$5:$EG$1003,$EG165,$EB$5:$EB$1003,"Ready")&gt;0,"READY",IF(COUNTIFS($EG$5:$EG$1003,$EG165,$EB$5:$EB$1003,"PM")&gt;0,"PM",IF(COUNTIFS($EG$5:$EG$1003,$EG165,$EB$5:$EB$1003,"OT")&gt;0,"OT",""))))</f>
        <v/>
      </c>
      <c r="EQ165">
        <f>IF($EN165=0,"",UPPER(TRIM(INDEX(LINES_STATUS,$EN165)&amp;"")))</f>
        <v/>
      </c>
      <c r="ER165">
        <f>IF($DM165=0,"",IF(OR($EQ165="READY",$EQ165="PM",$EQ165="OT"),$EQ165,$EP165))</f>
        <v/>
      </c>
      <c r="ES165">
        <f>IF($DM165=0,"",IF(AND($DV165&lt;&gt;"",UPPER($DV165)&lt;&gt;"N"),"allergen",IF(ISNUMBER(SEARCH("oil",$DQ165)),"oil",IF(OR(EXACT($DS165,"A662"),EXACT($DS165,"A624")),"bulk",""))))</f>
        <v/>
      </c>
      <c r="ET165">
        <f>IF($DM165=0,"",IF(OR($EA165="",$EA165=0),"",$EA165/100))</f>
        <v/>
      </c>
      <c r="EU165">
        <f>IF(OR($ET165="",$DY165=""),"",INT($DY165*(1-$ET165)+0.5))</f>
        <v/>
      </c>
      <c r="EW165" t="n">
        <v>161</v>
      </c>
      <c r="EX165">
        <f>IFERROR(MATCH($EW165,$EM$5:$EM$1003,0),0)</f>
        <v/>
      </c>
      <c r="EY165">
        <f>IF($EW165&gt;$B$12,"",IF($EX165&gt;0,"row","spacer"))</f>
        <v/>
      </c>
      <c r="EZ165">
        <f>IF(AND($EY165="row",$EY164&lt;&gt;"row"),1,0)</f>
        <v/>
      </c>
      <c r="FA165">
        <f>IF(AND($EY165="row",$EY166&lt;&gt;"row"),1,0)</f>
        <v/>
      </c>
      <c r="FB165">
        <f>IF($EZ165=1,IFERROR(IF(ISNUMBER(INDEX(PASTE_ALL,INDEX($DF$5:$DF$1003,$EX165),$B$37)),INDEX(PASTE_ALL,INDEX($DF$5:$DF$1003,$EX165),$B$37),INDEX($DH$5:$DH$1003,$EX165)),INDEX($DH$5:$DH$1003,$EX165)),"")</f>
        <v/>
      </c>
      <c r="FC165">
        <f>IF($EY165="row",INDEX($ER$5:$ER$1003,$EX165),"")</f>
        <v/>
      </c>
      <c r="FD165">
        <f>IF($EY165="row",INDEX($DN$5:$DN$1003,$EX165),"")</f>
        <v/>
      </c>
      <c r="FE165">
        <f>IF($EY165="row",INDEX($DO$5:$DO$1003,$EX165),"")</f>
        <v/>
      </c>
      <c r="FF165">
        <f>IF($EY165="row",INDEX($DP$5:$DP$1003,$EX165),"")</f>
        <v/>
      </c>
      <c r="FG165">
        <f>IF($EY165="row",INDEX($DQ$5:$DQ$1003,$EX165),"")</f>
        <v/>
      </c>
      <c r="FH165">
        <f>IF($EY165="row",INDEX($DR$5:$DR$1003,$EX165),"")</f>
        <v/>
      </c>
      <c r="FI165">
        <f>IF($EY165="row",INDEX($DS$5:$DS$1003,$EX165),"")</f>
        <v/>
      </c>
      <c r="FJ165">
        <f>IF($EY165="row",INDEX($DT$5:$DT$1003,$EX165),"")</f>
        <v/>
      </c>
      <c r="FK165">
        <f>IF($EY165="row",INDEX($DU$5:$DU$1003,$EX165),"")</f>
        <v/>
      </c>
      <c r="FL165">
        <f>IF($EY165="row",INDEX($DV$5:$DV$1003,$EX165),"")</f>
        <v/>
      </c>
      <c r="FM165">
        <f>IF($EY165="row",INDEX($DW$5:$DW$1003,$EX165),"")</f>
        <v/>
      </c>
      <c r="FN165">
        <f>IF($EY165="row",INDEX($DY$5:$DY$1003,$EX165),"")</f>
        <v/>
      </c>
      <c r="FO165">
        <f>IF($EY165="row",INDEX($EA$5:$EA$1003,$EX165),"")</f>
        <v/>
      </c>
      <c r="FP165">
        <f>IF($EY165="row",INDEX($EC$5:$EC$1003,$EX165),"")</f>
        <v/>
      </c>
      <c r="FQ165">
        <f>IF($EY165="row",INDEX($ET$5:$ET$1003,$EX165),"")</f>
        <v/>
      </c>
      <c r="FR165">
        <f>IF($EY165="row",INDEX($EU$5:$EU$1003,$EX165),"")</f>
        <v/>
      </c>
      <c r="FS165">
        <f>IF(AND($EY165="row",$EY164="row"),IF(OR(INDEX($DT$5:$DT$1003,$EX164)="",INDEX($DT$5:$DT$1003,$EX165)=""),"",IF(NOT(EXACT(INDEX($DT$5:$DT$1003,$EX164),INDEX($DT$5:$DT$1003,$EX165))),"S4",IF(NOT(EXACT(INDEX($DS$5:$DS$1003,$EX164),INDEX($DS$5:$DS$1003,$EX165))),"S3",IF(NOT(EXACT(INDEX($DR$5:$DR$1003,$EX164),INDEX($DR$5:$DR$1003,$EX165))),"S1 Count Change","S1")))),"")</f>
        <v/>
      </c>
      <c r="FT165">
        <f>IF($EY165="row",INDEX($ES$5:$ES$1003,$EX165),"")</f>
        <v/>
      </c>
      <c r="FU165">
        <f>IF($EY165="row",INDEX($EO$5:$EO$1003,$EX165),0)</f>
        <v/>
      </c>
      <c r="FV165">
        <f>IF($FS165="S1 Count Change",1,0)</f>
        <v/>
      </c>
    </row>
    <row r="166">
      <c r="Y166">
        <f>IF(Y31="",0,2*(OR(ISNUMBER(FIND("WORKCENTER",Y31)),AND(LEFT(Y31,4)="LINE",NOT(ISNUMBER(FIND("STATUS",Y31))))))+4*(OR(ISNUMBER(FIND("WORKORDER",Y31)),AND(LEFT(Y31,2)="WO",OR(ISNUMBER(FIND("NUM",Y31)),RIGHT(Y31,2)="NO"))))+8*(LEFT(Y31,3)="SEQ")+16*(AND(LEFT(Y31,4)="ITEM",NOT(ISNUMBER(FIND("DESC",Y31)))))+32*(AND(ISNUMBER(FIND("DESC",Y31)),NOT(ISNUMBER(FIND("CAP",Y31)))))+64*(OR(RIGHT(Y31,5)="COUNT",RIGHT(Y31,2)="CT"))+128*(ISNUMBER(FIND("BULK",Y31)))+256*(ISNUMBER(FIND("SIZE",Y31)))+512*(LEFT(Y31,3)="CAP")+1024*(ISNUMBER(FIND("ALLERG",Y31)))+2048*(OR(ISNUMBER(FIND("REMARK",Y31)),ISNUMBER(FIND("COMMENT",Y31))))+4096*(OR(ISNUMBER(FIND("QTY",Y31)),ISNUMBER(FIND("QUANTITY",Y31))))+8192*(AND(OR(ISNUMBER(FIND("COMPLETE",Y31)),ISNUMBER(FIND("PCT",Y31)),ISNUMBER(FIND("PERCENT",Y31))),NOT(ISNUMBER(FIND("ACTUAL",Y31))),LEN(Y31)&lt;=16))+32768*(OR(ISNUMBER(FIND("DESIC",Y31)),ISNUMBER(FIND("DESSIC",Y31)))))</f>
        <v/>
      </c>
      <c r="Z166">
        <f>IF(Z31="",0,2*(OR(ISNUMBER(FIND("WORKCENTER",Z31)),AND(LEFT(Z31,4)="LINE",NOT(ISNUMBER(FIND("STATUS",Z31))))))+4*(OR(ISNUMBER(FIND("WORKORDER",Z31)),AND(LEFT(Z31,2)="WO",OR(ISNUMBER(FIND("NUM",Z31)),RIGHT(Z31,2)="NO"))))+8*(LEFT(Z31,3)="SEQ")+16*(AND(LEFT(Z31,4)="ITEM",NOT(ISNUMBER(FIND("DESC",Z31)))))+32*(AND(ISNUMBER(FIND("DESC",Z31)),NOT(ISNUMBER(FIND("CAP",Z31)))))+64*(OR(RIGHT(Z31,5)="COUNT",RIGHT(Z31,2)="CT"))+128*(ISNUMBER(FIND("BULK",Z31)))+256*(ISNUMBER(FIND("SIZE",Z31)))+512*(LEFT(Z31,3)="CAP")+1024*(ISNUMBER(FIND("ALLERG",Z31)))+2048*(OR(ISNUMBER(FIND("REMARK",Z31)),ISNUMBER(FIND("COMMENT",Z31))))+4096*(OR(ISNUMBER(FIND("QTY",Z31)),ISNUMBER(FIND("QUANTITY",Z31))))+8192*(AND(OR(ISNUMBER(FIND("COMPLETE",Z31)),ISNUMBER(FIND("PCT",Z31)),ISNUMBER(FIND("PERCENT",Z31))),NOT(ISNUMBER(FIND("ACTUAL",Z31))),LEN(Z31)&lt;=16))+32768*(OR(ISNUMBER(FIND("DESIC",Z31)),ISNUMBER(FIND("DESSIC",Z31)))))</f>
        <v/>
      </c>
      <c r="AA166">
        <f>IF(AA31="",0,2*(OR(ISNUMBER(FIND("WORKCENTER",AA31)),AND(LEFT(AA31,4)="LINE",NOT(ISNUMBER(FIND("STATUS",AA31))))))+4*(OR(ISNUMBER(FIND("WORKORDER",AA31)),AND(LEFT(AA31,2)="WO",OR(ISNUMBER(FIND("NUM",AA31)),RIGHT(AA31,2)="NO"))))+8*(LEFT(AA31,3)="SEQ")+16*(AND(LEFT(AA31,4)="ITEM",NOT(ISNUMBER(FIND("DESC",AA31)))))+32*(AND(ISNUMBER(FIND("DESC",AA31)),NOT(ISNUMBER(FIND("CAP",AA31)))))+64*(OR(RIGHT(AA31,5)="COUNT",RIGHT(AA31,2)="CT"))+128*(ISNUMBER(FIND("BULK",AA31)))+256*(ISNUMBER(FIND("SIZE",AA31)))+512*(LEFT(AA31,3)="CAP")+1024*(ISNUMBER(FIND("ALLERG",AA31)))+2048*(OR(ISNUMBER(FIND("REMARK",AA31)),ISNUMBER(FIND("COMMENT",AA31))))+4096*(OR(ISNUMBER(FIND("QTY",AA31)),ISNUMBER(FIND("QUANTITY",AA31))))+8192*(AND(OR(ISNUMBER(FIND("COMPLETE",AA31)),ISNUMBER(FIND("PCT",AA31)),ISNUMBER(FIND("PERCENT",AA31))),NOT(ISNUMBER(FIND("ACTUAL",AA31))),LEN(AA31)&lt;=16))+32768*(OR(ISNUMBER(FIND("DESIC",AA31)),ISNUMBER(FIND("DESSIC",AA31)))))</f>
        <v/>
      </c>
      <c r="AB166">
        <f>IF(AB31="",0,2*(OR(ISNUMBER(FIND("WORKCENTER",AB31)),AND(LEFT(AB31,4)="LINE",NOT(ISNUMBER(FIND("STATUS",AB31))))))+4*(OR(ISNUMBER(FIND("WORKORDER",AB31)),AND(LEFT(AB31,2)="WO",OR(ISNUMBER(FIND("NUM",AB31)),RIGHT(AB31,2)="NO"))))+8*(LEFT(AB31,3)="SEQ")+16*(AND(LEFT(AB31,4)="ITEM",NOT(ISNUMBER(FIND("DESC",AB31)))))+32*(AND(ISNUMBER(FIND("DESC",AB31)),NOT(ISNUMBER(FIND("CAP",AB31)))))+64*(OR(RIGHT(AB31,5)="COUNT",RIGHT(AB31,2)="CT"))+128*(ISNUMBER(FIND("BULK",AB31)))+256*(ISNUMBER(FIND("SIZE",AB31)))+512*(LEFT(AB31,3)="CAP")+1024*(ISNUMBER(FIND("ALLERG",AB31)))+2048*(OR(ISNUMBER(FIND("REMARK",AB31)),ISNUMBER(FIND("COMMENT",AB31))))+4096*(OR(ISNUMBER(FIND("QTY",AB31)),ISNUMBER(FIND("QUANTITY",AB31))))+8192*(AND(OR(ISNUMBER(FIND("COMPLETE",AB31)),ISNUMBER(FIND("PCT",AB31)),ISNUMBER(FIND("PERCENT",AB31))),NOT(ISNUMBER(FIND("ACTUAL",AB31))),LEN(AB31)&lt;=16))+32768*(OR(ISNUMBER(FIND("DESIC",AB31)),ISNUMBER(FIND("DESSIC",AB31)))))</f>
        <v/>
      </c>
      <c r="AC166">
        <f>IF(AC31="",0,2*(OR(ISNUMBER(FIND("WORKCENTER",AC31)),AND(LEFT(AC31,4)="LINE",NOT(ISNUMBER(FIND("STATUS",AC31))))))+4*(OR(ISNUMBER(FIND("WORKORDER",AC31)),AND(LEFT(AC31,2)="WO",OR(ISNUMBER(FIND("NUM",AC31)),RIGHT(AC31,2)="NO"))))+8*(LEFT(AC31,3)="SEQ")+16*(AND(LEFT(AC31,4)="ITEM",NOT(ISNUMBER(FIND("DESC",AC31)))))+32*(AND(ISNUMBER(FIND("DESC",AC31)),NOT(ISNUMBER(FIND("CAP",AC31)))))+64*(OR(RIGHT(AC31,5)="COUNT",RIGHT(AC31,2)="CT"))+128*(ISNUMBER(FIND("BULK",AC31)))+256*(ISNUMBER(FIND("SIZE",AC31)))+512*(LEFT(AC31,3)="CAP")+1024*(ISNUMBER(FIND("ALLERG",AC31)))+2048*(OR(ISNUMBER(FIND("REMARK",AC31)),ISNUMBER(FIND("COMMENT",AC31))))+4096*(OR(ISNUMBER(FIND("QTY",AC31)),ISNUMBER(FIND("QUANTITY",AC31))))+8192*(AND(OR(ISNUMBER(FIND("COMPLETE",AC31)),ISNUMBER(FIND("PCT",AC31)),ISNUMBER(FIND("PERCENT",AC31))),NOT(ISNUMBER(FIND("ACTUAL",AC31))),LEN(AC31)&lt;=16))+32768*(OR(ISNUMBER(FIND("DESIC",AC31)),ISNUMBER(FIND("DESSIC",AC31)))))</f>
        <v/>
      </c>
      <c r="AD166">
        <f>IF(AD31="",0,2*(OR(ISNUMBER(FIND("WORKCENTER",AD31)),AND(LEFT(AD31,4)="LINE",NOT(ISNUMBER(FIND("STATUS",AD31))))))+4*(OR(ISNUMBER(FIND("WORKORDER",AD31)),AND(LEFT(AD31,2)="WO",OR(ISNUMBER(FIND("NUM",AD31)),RIGHT(AD31,2)="NO"))))+8*(LEFT(AD31,3)="SEQ")+16*(AND(LEFT(AD31,4)="ITEM",NOT(ISNUMBER(FIND("DESC",AD31)))))+32*(AND(ISNUMBER(FIND("DESC",AD31)),NOT(ISNUMBER(FIND("CAP",AD31)))))+64*(OR(RIGHT(AD31,5)="COUNT",RIGHT(AD31,2)="CT"))+128*(ISNUMBER(FIND("BULK",AD31)))+256*(ISNUMBER(FIND("SIZE",AD31)))+512*(LEFT(AD31,3)="CAP")+1024*(ISNUMBER(FIND("ALLERG",AD31)))+2048*(OR(ISNUMBER(FIND("REMARK",AD31)),ISNUMBER(FIND("COMMENT",AD31))))+4096*(OR(ISNUMBER(FIND("QTY",AD31)),ISNUMBER(FIND("QUANTITY",AD31))))+8192*(AND(OR(ISNUMBER(FIND("COMPLETE",AD31)),ISNUMBER(FIND("PCT",AD31)),ISNUMBER(FIND("PERCENT",AD31))),NOT(ISNUMBER(FIND("ACTUAL",AD31))),LEN(AD31)&lt;=16))+32768*(OR(ISNUMBER(FIND("DESIC",AD31)),ISNUMBER(FIND("DESSIC",AD31)))))</f>
        <v/>
      </c>
      <c r="AE166">
        <f>IF(AE31="",0,2*(OR(ISNUMBER(FIND("WORKCENTER",AE31)),AND(LEFT(AE31,4)="LINE",NOT(ISNUMBER(FIND("STATUS",AE31))))))+4*(OR(ISNUMBER(FIND("WORKORDER",AE31)),AND(LEFT(AE31,2)="WO",OR(ISNUMBER(FIND("NUM",AE31)),RIGHT(AE31,2)="NO"))))+8*(LEFT(AE31,3)="SEQ")+16*(AND(LEFT(AE31,4)="ITEM",NOT(ISNUMBER(FIND("DESC",AE31)))))+32*(AND(ISNUMBER(FIND("DESC",AE31)),NOT(ISNUMBER(FIND("CAP",AE31)))))+64*(OR(RIGHT(AE31,5)="COUNT",RIGHT(AE31,2)="CT"))+128*(ISNUMBER(FIND("BULK",AE31)))+256*(ISNUMBER(FIND("SIZE",AE31)))+512*(LEFT(AE31,3)="CAP")+1024*(ISNUMBER(FIND("ALLERG",AE31)))+2048*(OR(ISNUMBER(FIND("REMARK",AE31)),ISNUMBER(FIND("COMMENT",AE31))))+4096*(OR(ISNUMBER(FIND("QTY",AE31)),ISNUMBER(FIND("QUANTITY",AE31))))+8192*(AND(OR(ISNUMBER(FIND("COMPLETE",AE31)),ISNUMBER(FIND("PCT",AE31)),ISNUMBER(FIND("PERCENT",AE31))),NOT(ISNUMBER(FIND("ACTUAL",AE31))),LEN(AE31)&lt;=16))+32768*(OR(ISNUMBER(FIND("DESIC",AE31)),ISNUMBER(FIND("DESSIC",AE31)))))</f>
        <v/>
      </c>
      <c r="AF166">
        <f>IF(AF31="",0,2*(OR(ISNUMBER(FIND("WORKCENTER",AF31)),AND(LEFT(AF31,4)="LINE",NOT(ISNUMBER(FIND("STATUS",AF31))))))+4*(OR(ISNUMBER(FIND("WORKORDER",AF31)),AND(LEFT(AF31,2)="WO",OR(ISNUMBER(FIND("NUM",AF31)),RIGHT(AF31,2)="NO"))))+8*(LEFT(AF31,3)="SEQ")+16*(AND(LEFT(AF31,4)="ITEM",NOT(ISNUMBER(FIND("DESC",AF31)))))+32*(AND(ISNUMBER(FIND("DESC",AF31)),NOT(ISNUMBER(FIND("CAP",AF31)))))+64*(OR(RIGHT(AF31,5)="COUNT",RIGHT(AF31,2)="CT"))+128*(ISNUMBER(FIND("BULK",AF31)))+256*(ISNUMBER(FIND("SIZE",AF31)))+512*(LEFT(AF31,3)="CAP")+1024*(ISNUMBER(FIND("ALLERG",AF31)))+2048*(OR(ISNUMBER(FIND("REMARK",AF31)),ISNUMBER(FIND("COMMENT",AF31))))+4096*(OR(ISNUMBER(FIND("QTY",AF31)),ISNUMBER(FIND("QUANTITY",AF31))))+8192*(AND(OR(ISNUMBER(FIND("COMPLETE",AF31)),ISNUMBER(FIND("PCT",AF31)),ISNUMBER(FIND("PERCENT",AF31))),NOT(ISNUMBER(FIND("ACTUAL",AF31))),LEN(AF31)&lt;=16))+32768*(OR(ISNUMBER(FIND("DESIC",AF31)),ISNUMBER(FIND("DESSIC",AF31)))))</f>
        <v/>
      </c>
      <c r="AG166">
        <f>IF(AG31="",0,2*(OR(ISNUMBER(FIND("WORKCENTER",AG31)),AND(LEFT(AG31,4)="LINE",NOT(ISNUMBER(FIND("STATUS",AG31))))))+4*(OR(ISNUMBER(FIND("WORKORDER",AG31)),AND(LEFT(AG31,2)="WO",OR(ISNUMBER(FIND("NUM",AG31)),RIGHT(AG31,2)="NO"))))+8*(LEFT(AG31,3)="SEQ")+16*(AND(LEFT(AG31,4)="ITEM",NOT(ISNUMBER(FIND("DESC",AG31)))))+32*(AND(ISNUMBER(FIND("DESC",AG31)),NOT(ISNUMBER(FIND("CAP",AG31)))))+64*(OR(RIGHT(AG31,5)="COUNT",RIGHT(AG31,2)="CT"))+128*(ISNUMBER(FIND("BULK",AG31)))+256*(ISNUMBER(FIND("SIZE",AG31)))+512*(LEFT(AG31,3)="CAP")+1024*(ISNUMBER(FIND("ALLERG",AG31)))+2048*(OR(ISNUMBER(FIND("REMARK",AG31)),ISNUMBER(FIND("COMMENT",AG31))))+4096*(OR(ISNUMBER(FIND("QTY",AG31)),ISNUMBER(FIND("QUANTITY",AG31))))+8192*(AND(OR(ISNUMBER(FIND("COMPLETE",AG31)),ISNUMBER(FIND("PCT",AG31)),ISNUMBER(FIND("PERCENT",AG31))),NOT(ISNUMBER(FIND("ACTUAL",AG31))),LEN(AG31)&lt;=16))+32768*(OR(ISNUMBER(FIND("DESIC",AG31)),ISNUMBER(FIND("DESSIC",AG31)))))</f>
        <v/>
      </c>
      <c r="AH166">
        <f>IF(AH31="",0,2*(OR(ISNUMBER(FIND("WORKCENTER",AH31)),AND(LEFT(AH31,4)="LINE",NOT(ISNUMBER(FIND("STATUS",AH31))))))+4*(OR(ISNUMBER(FIND("WORKORDER",AH31)),AND(LEFT(AH31,2)="WO",OR(ISNUMBER(FIND("NUM",AH31)),RIGHT(AH31,2)="NO"))))+8*(LEFT(AH31,3)="SEQ")+16*(AND(LEFT(AH31,4)="ITEM",NOT(ISNUMBER(FIND("DESC",AH31)))))+32*(AND(ISNUMBER(FIND("DESC",AH31)),NOT(ISNUMBER(FIND("CAP",AH31)))))+64*(OR(RIGHT(AH31,5)="COUNT",RIGHT(AH31,2)="CT"))+128*(ISNUMBER(FIND("BULK",AH31)))+256*(ISNUMBER(FIND("SIZE",AH31)))+512*(LEFT(AH31,3)="CAP")+1024*(ISNUMBER(FIND("ALLERG",AH31)))+2048*(OR(ISNUMBER(FIND("REMARK",AH31)),ISNUMBER(FIND("COMMENT",AH31))))+4096*(OR(ISNUMBER(FIND("QTY",AH31)),ISNUMBER(FIND("QUANTITY",AH31))))+8192*(AND(OR(ISNUMBER(FIND("COMPLETE",AH31)),ISNUMBER(FIND("PCT",AH31)),ISNUMBER(FIND("PERCENT",AH31))),NOT(ISNUMBER(FIND("ACTUAL",AH31))),LEN(AH31)&lt;=16))+32768*(OR(ISNUMBER(FIND("DESIC",AH31)),ISNUMBER(FIND("DESSIC",AH31)))))</f>
        <v/>
      </c>
      <c r="AI166">
        <f>IF(AI31="",0,2*(OR(ISNUMBER(FIND("WORKCENTER",AI31)),AND(LEFT(AI31,4)="LINE",NOT(ISNUMBER(FIND("STATUS",AI31))))))+4*(OR(ISNUMBER(FIND("WORKORDER",AI31)),AND(LEFT(AI31,2)="WO",OR(ISNUMBER(FIND("NUM",AI31)),RIGHT(AI31,2)="NO"))))+8*(LEFT(AI31,3)="SEQ")+16*(AND(LEFT(AI31,4)="ITEM",NOT(ISNUMBER(FIND("DESC",AI31)))))+32*(AND(ISNUMBER(FIND("DESC",AI31)),NOT(ISNUMBER(FIND("CAP",AI31)))))+64*(OR(RIGHT(AI31,5)="COUNT",RIGHT(AI31,2)="CT"))+128*(ISNUMBER(FIND("BULK",AI31)))+256*(ISNUMBER(FIND("SIZE",AI31)))+512*(LEFT(AI31,3)="CAP")+1024*(ISNUMBER(FIND("ALLERG",AI31)))+2048*(OR(ISNUMBER(FIND("REMARK",AI31)),ISNUMBER(FIND("COMMENT",AI31))))+4096*(OR(ISNUMBER(FIND("QTY",AI31)),ISNUMBER(FIND("QUANTITY",AI31))))+8192*(AND(OR(ISNUMBER(FIND("COMPLETE",AI31)),ISNUMBER(FIND("PCT",AI31)),ISNUMBER(FIND("PERCENT",AI31))),NOT(ISNUMBER(FIND("ACTUAL",AI31))),LEN(AI31)&lt;=16))+32768*(OR(ISNUMBER(FIND("DESIC",AI31)),ISNUMBER(FIND("DESSIC",AI31)))))</f>
        <v/>
      </c>
      <c r="AJ166">
        <f>IF(AJ31="",0,2*(OR(ISNUMBER(FIND("WORKCENTER",AJ31)),AND(LEFT(AJ31,4)="LINE",NOT(ISNUMBER(FIND("STATUS",AJ31))))))+4*(OR(ISNUMBER(FIND("WORKORDER",AJ31)),AND(LEFT(AJ31,2)="WO",OR(ISNUMBER(FIND("NUM",AJ31)),RIGHT(AJ31,2)="NO"))))+8*(LEFT(AJ31,3)="SEQ")+16*(AND(LEFT(AJ31,4)="ITEM",NOT(ISNUMBER(FIND("DESC",AJ31)))))+32*(AND(ISNUMBER(FIND("DESC",AJ31)),NOT(ISNUMBER(FIND("CAP",AJ31)))))+64*(OR(RIGHT(AJ31,5)="COUNT",RIGHT(AJ31,2)="CT"))+128*(ISNUMBER(FIND("BULK",AJ31)))+256*(ISNUMBER(FIND("SIZE",AJ31)))+512*(LEFT(AJ31,3)="CAP")+1024*(ISNUMBER(FIND("ALLERG",AJ31)))+2048*(OR(ISNUMBER(FIND("REMARK",AJ31)),ISNUMBER(FIND("COMMENT",AJ31))))+4096*(OR(ISNUMBER(FIND("QTY",AJ31)),ISNUMBER(FIND("QUANTITY",AJ31))))+8192*(AND(OR(ISNUMBER(FIND("COMPLETE",AJ31)),ISNUMBER(FIND("PCT",AJ31)),ISNUMBER(FIND("PERCENT",AJ31))),NOT(ISNUMBER(FIND("ACTUAL",AJ31))),LEN(AJ31)&lt;=16))+32768*(OR(ISNUMBER(FIND("DESIC",AJ31)),ISNUMBER(FIND("DESSIC",AJ31)))))</f>
        <v/>
      </c>
      <c r="AK166">
        <f>IF(AK31="",0,2*(OR(ISNUMBER(FIND("WORKCENTER",AK31)),AND(LEFT(AK31,4)="LINE",NOT(ISNUMBER(FIND("STATUS",AK31))))))+4*(OR(ISNUMBER(FIND("WORKORDER",AK31)),AND(LEFT(AK31,2)="WO",OR(ISNUMBER(FIND("NUM",AK31)),RIGHT(AK31,2)="NO"))))+8*(LEFT(AK31,3)="SEQ")+16*(AND(LEFT(AK31,4)="ITEM",NOT(ISNUMBER(FIND("DESC",AK31)))))+32*(AND(ISNUMBER(FIND("DESC",AK31)),NOT(ISNUMBER(FIND("CAP",AK31)))))+64*(OR(RIGHT(AK31,5)="COUNT",RIGHT(AK31,2)="CT"))+128*(ISNUMBER(FIND("BULK",AK31)))+256*(ISNUMBER(FIND("SIZE",AK31)))+512*(LEFT(AK31,3)="CAP")+1024*(ISNUMBER(FIND("ALLERG",AK31)))+2048*(OR(ISNUMBER(FIND("REMARK",AK31)),ISNUMBER(FIND("COMMENT",AK31))))+4096*(OR(ISNUMBER(FIND("QTY",AK31)),ISNUMBER(FIND("QUANTITY",AK31))))+8192*(AND(OR(ISNUMBER(FIND("COMPLETE",AK31)),ISNUMBER(FIND("PCT",AK31)),ISNUMBER(FIND("PERCENT",AK31))),NOT(ISNUMBER(FIND("ACTUAL",AK31))),LEN(AK31)&lt;=16))+32768*(OR(ISNUMBER(FIND("DESIC",AK31)),ISNUMBER(FIND("DESSIC",AK31)))))</f>
        <v/>
      </c>
      <c r="AL166">
        <f>IF(AL31="",0,2*(OR(ISNUMBER(FIND("WORKCENTER",AL31)),AND(LEFT(AL31,4)="LINE",NOT(ISNUMBER(FIND("STATUS",AL31))))))+4*(OR(ISNUMBER(FIND("WORKORDER",AL31)),AND(LEFT(AL31,2)="WO",OR(ISNUMBER(FIND("NUM",AL31)),RIGHT(AL31,2)="NO"))))+8*(LEFT(AL31,3)="SEQ")+16*(AND(LEFT(AL31,4)="ITEM",NOT(ISNUMBER(FIND("DESC",AL31)))))+32*(AND(ISNUMBER(FIND("DESC",AL31)),NOT(ISNUMBER(FIND("CAP",AL31)))))+64*(OR(RIGHT(AL31,5)="COUNT",RIGHT(AL31,2)="CT"))+128*(ISNUMBER(FIND("BULK",AL31)))+256*(ISNUMBER(FIND("SIZE",AL31)))+512*(LEFT(AL31,3)="CAP")+1024*(ISNUMBER(FIND("ALLERG",AL31)))+2048*(OR(ISNUMBER(FIND("REMARK",AL31)),ISNUMBER(FIND("COMMENT",AL31))))+4096*(OR(ISNUMBER(FIND("QTY",AL31)),ISNUMBER(FIND("QUANTITY",AL31))))+8192*(AND(OR(ISNUMBER(FIND("COMPLETE",AL31)),ISNUMBER(FIND("PCT",AL31)),ISNUMBER(FIND("PERCENT",AL31))),NOT(ISNUMBER(FIND("ACTUAL",AL31))),LEN(AL31)&lt;=16))+32768*(OR(ISNUMBER(FIND("DESIC",AL31)),ISNUMBER(FIND("DESSIC",AL31)))))</f>
        <v/>
      </c>
      <c r="AM166">
        <f>IF(AM31="",0,2*(OR(ISNUMBER(FIND("WORKCENTER",AM31)),AND(LEFT(AM31,4)="LINE",NOT(ISNUMBER(FIND("STATUS",AM31))))))+4*(OR(ISNUMBER(FIND("WORKORDER",AM31)),AND(LEFT(AM31,2)="WO",OR(ISNUMBER(FIND("NUM",AM31)),RIGHT(AM31,2)="NO"))))+8*(LEFT(AM31,3)="SEQ")+16*(AND(LEFT(AM31,4)="ITEM",NOT(ISNUMBER(FIND("DESC",AM31)))))+32*(AND(ISNUMBER(FIND("DESC",AM31)),NOT(ISNUMBER(FIND("CAP",AM31)))))+64*(OR(RIGHT(AM31,5)="COUNT",RIGHT(AM31,2)="CT"))+128*(ISNUMBER(FIND("BULK",AM31)))+256*(ISNUMBER(FIND("SIZE",AM31)))+512*(LEFT(AM31,3)="CAP")+1024*(ISNUMBER(FIND("ALLERG",AM31)))+2048*(OR(ISNUMBER(FIND("REMARK",AM31)),ISNUMBER(FIND("COMMENT",AM31))))+4096*(OR(ISNUMBER(FIND("QTY",AM31)),ISNUMBER(FIND("QUANTITY",AM31))))+8192*(AND(OR(ISNUMBER(FIND("COMPLETE",AM31)),ISNUMBER(FIND("PCT",AM31)),ISNUMBER(FIND("PERCENT",AM31))),NOT(ISNUMBER(FIND("ACTUAL",AM31))),LEN(AM31)&lt;=16))+32768*(OR(ISNUMBER(FIND("DESIC",AM31)),ISNUMBER(FIND("DESSIC",AM31)))))</f>
        <v/>
      </c>
      <c r="AN166">
        <f>IF(AN31="",0,2*(OR(ISNUMBER(FIND("WORKCENTER",AN31)),AND(LEFT(AN31,4)="LINE",NOT(ISNUMBER(FIND("STATUS",AN31))))))+4*(OR(ISNUMBER(FIND("WORKORDER",AN31)),AND(LEFT(AN31,2)="WO",OR(ISNUMBER(FIND("NUM",AN31)),RIGHT(AN31,2)="NO"))))+8*(LEFT(AN31,3)="SEQ")+16*(AND(LEFT(AN31,4)="ITEM",NOT(ISNUMBER(FIND("DESC",AN31)))))+32*(AND(ISNUMBER(FIND("DESC",AN31)),NOT(ISNUMBER(FIND("CAP",AN31)))))+64*(OR(RIGHT(AN31,5)="COUNT",RIGHT(AN31,2)="CT"))+128*(ISNUMBER(FIND("BULK",AN31)))+256*(ISNUMBER(FIND("SIZE",AN31)))+512*(LEFT(AN31,3)="CAP")+1024*(ISNUMBER(FIND("ALLERG",AN31)))+2048*(OR(ISNUMBER(FIND("REMARK",AN31)),ISNUMBER(FIND("COMMENT",AN31))))+4096*(OR(ISNUMBER(FIND("QTY",AN31)),ISNUMBER(FIND("QUANTITY",AN31))))+8192*(AND(OR(ISNUMBER(FIND("COMPLETE",AN31)),ISNUMBER(FIND("PCT",AN31)),ISNUMBER(FIND("PERCENT",AN31))),NOT(ISNUMBER(FIND("ACTUAL",AN31))),LEN(AN31)&lt;=16))+32768*(OR(ISNUMBER(FIND("DESIC",AN31)),ISNUMBER(FIND("DESSIC",AN31)))))</f>
        <v/>
      </c>
      <c r="AO166">
        <f>IF(AO31="",0,2*(OR(ISNUMBER(FIND("WORKCENTER",AO31)),AND(LEFT(AO31,4)="LINE",NOT(ISNUMBER(FIND("STATUS",AO31))))))+4*(OR(ISNUMBER(FIND("WORKORDER",AO31)),AND(LEFT(AO31,2)="WO",OR(ISNUMBER(FIND("NUM",AO31)),RIGHT(AO31,2)="NO"))))+8*(LEFT(AO31,3)="SEQ")+16*(AND(LEFT(AO31,4)="ITEM",NOT(ISNUMBER(FIND("DESC",AO31)))))+32*(AND(ISNUMBER(FIND("DESC",AO31)),NOT(ISNUMBER(FIND("CAP",AO31)))))+64*(OR(RIGHT(AO31,5)="COUNT",RIGHT(AO31,2)="CT"))+128*(ISNUMBER(FIND("BULK",AO31)))+256*(ISNUMBER(FIND("SIZE",AO31)))+512*(LEFT(AO31,3)="CAP")+1024*(ISNUMBER(FIND("ALLERG",AO31)))+2048*(OR(ISNUMBER(FIND("REMARK",AO31)),ISNUMBER(FIND("COMMENT",AO31))))+4096*(OR(ISNUMBER(FIND("QTY",AO31)),ISNUMBER(FIND("QUANTITY",AO31))))+8192*(AND(OR(ISNUMBER(FIND("COMPLETE",AO31)),ISNUMBER(FIND("PCT",AO31)),ISNUMBER(FIND("PERCENT",AO31))),NOT(ISNUMBER(FIND("ACTUAL",AO31))),LEN(AO31)&lt;=16))+32768*(OR(ISNUMBER(FIND("DESIC",AO31)),ISNUMBER(FIND("DESSIC",AO31)))))</f>
        <v/>
      </c>
      <c r="AP166">
        <f>IF(AP31="",0,2*(OR(ISNUMBER(FIND("WORKCENTER",AP31)),AND(LEFT(AP31,4)="LINE",NOT(ISNUMBER(FIND("STATUS",AP31))))))+4*(OR(ISNUMBER(FIND("WORKORDER",AP31)),AND(LEFT(AP31,2)="WO",OR(ISNUMBER(FIND("NUM",AP31)),RIGHT(AP31,2)="NO"))))+8*(LEFT(AP31,3)="SEQ")+16*(AND(LEFT(AP31,4)="ITEM",NOT(ISNUMBER(FIND("DESC",AP31)))))+32*(AND(ISNUMBER(FIND("DESC",AP31)),NOT(ISNUMBER(FIND("CAP",AP31)))))+64*(OR(RIGHT(AP31,5)="COUNT",RIGHT(AP31,2)="CT"))+128*(ISNUMBER(FIND("BULK",AP31)))+256*(ISNUMBER(FIND("SIZE",AP31)))+512*(LEFT(AP31,3)="CAP")+1024*(ISNUMBER(FIND("ALLERG",AP31)))+2048*(OR(ISNUMBER(FIND("REMARK",AP31)),ISNUMBER(FIND("COMMENT",AP31))))+4096*(OR(ISNUMBER(FIND("QTY",AP31)),ISNUMBER(FIND("QUANTITY",AP31))))+8192*(AND(OR(ISNUMBER(FIND("COMPLETE",AP31)),ISNUMBER(FIND("PCT",AP31)),ISNUMBER(FIND("PERCENT",AP31))),NOT(ISNUMBER(FIND("ACTUAL",AP31))),LEN(AP31)&lt;=16))+32768*(OR(ISNUMBER(FIND("DESIC",AP31)),ISNUMBER(FIND("DESSIC",AP31)))))</f>
        <v/>
      </c>
      <c r="AQ166">
        <f>IF(AQ31="",0,2*(OR(ISNUMBER(FIND("WORKCENTER",AQ31)),AND(LEFT(AQ31,4)="LINE",NOT(ISNUMBER(FIND("STATUS",AQ31))))))+4*(OR(ISNUMBER(FIND("WORKORDER",AQ31)),AND(LEFT(AQ31,2)="WO",OR(ISNUMBER(FIND("NUM",AQ31)),RIGHT(AQ31,2)="NO"))))+8*(LEFT(AQ31,3)="SEQ")+16*(AND(LEFT(AQ31,4)="ITEM",NOT(ISNUMBER(FIND("DESC",AQ31)))))+32*(AND(ISNUMBER(FIND("DESC",AQ31)),NOT(ISNUMBER(FIND("CAP",AQ31)))))+64*(OR(RIGHT(AQ31,5)="COUNT",RIGHT(AQ31,2)="CT"))+128*(ISNUMBER(FIND("BULK",AQ31)))+256*(ISNUMBER(FIND("SIZE",AQ31)))+512*(LEFT(AQ31,3)="CAP")+1024*(ISNUMBER(FIND("ALLERG",AQ31)))+2048*(OR(ISNUMBER(FIND("REMARK",AQ31)),ISNUMBER(FIND("COMMENT",AQ31))))+4096*(OR(ISNUMBER(FIND("QTY",AQ31)),ISNUMBER(FIND("QUANTITY",AQ31))))+8192*(AND(OR(ISNUMBER(FIND("COMPLETE",AQ31)),ISNUMBER(FIND("PCT",AQ31)),ISNUMBER(FIND("PERCENT",AQ31))),NOT(ISNUMBER(FIND("ACTUAL",AQ31))),LEN(AQ31)&lt;=16))+32768*(OR(ISNUMBER(FIND("DESIC",AQ31)),ISNUMBER(FIND("DESSIC",AQ31)))))</f>
        <v/>
      </c>
      <c r="AR166">
        <f>IF(AR31="",0,2*(OR(ISNUMBER(FIND("WORKCENTER",AR31)),AND(LEFT(AR31,4)="LINE",NOT(ISNUMBER(FIND("STATUS",AR31))))))+4*(OR(ISNUMBER(FIND("WORKORDER",AR31)),AND(LEFT(AR31,2)="WO",OR(ISNUMBER(FIND("NUM",AR31)),RIGHT(AR31,2)="NO"))))+8*(LEFT(AR31,3)="SEQ")+16*(AND(LEFT(AR31,4)="ITEM",NOT(ISNUMBER(FIND("DESC",AR31)))))+32*(AND(ISNUMBER(FIND("DESC",AR31)),NOT(ISNUMBER(FIND("CAP",AR31)))))+64*(OR(RIGHT(AR31,5)="COUNT",RIGHT(AR31,2)="CT"))+128*(ISNUMBER(FIND("BULK",AR31)))+256*(ISNUMBER(FIND("SIZE",AR31)))+512*(LEFT(AR31,3)="CAP")+1024*(ISNUMBER(FIND("ALLERG",AR31)))+2048*(OR(ISNUMBER(FIND("REMARK",AR31)),ISNUMBER(FIND("COMMENT",AR31))))+4096*(OR(ISNUMBER(FIND("QTY",AR31)),ISNUMBER(FIND("QUANTITY",AR31))))+8192*(AND(OR(ISNUMBER(FIND("COMPLETE",AR31)),ISNUMBER(FIND("PCT",AR31)),ISNUMBER(FIND("PERCENT",AR31))),NOT(ISNUMBER(FIND("ACTUAL",AR31))),LEN(AR31)&lt;=16))+32768*(OR(ISNUMBER(FIND("DESIC",AR31)),ISNUMBER(FIND("DESSIC",AR31)))))</f>
        <v/>
      </c>
      <c r="AS166">
        <f>IF(AS31="",0,2*(OR(ISNUMBER(FIND("WORKCENTER",AS31)),AND(LEFT(AS31,4)="LINE",NOT(ISNUMBER(FIND("STATUS",AS31))))))+4*(OR(ISNUMBER(FIND("WORKORDER",AS31)),AND(LEFT(AS31,2)="WO",OR(ISNUMBER(FIND("NUM",AS31)),RIGHT(AS31,2)="NO"))))+8*(LEFT(AS31,3)="SEQ")+16*(AND(LEFT(AS31,4)="ITEM",NOT(ISNUMBER(FIND("DESC",AS31)))))+32*(AND(ISNUMBER(FIND("DESC",AS31)),NOT(ISNUMBER(FIND("CAP",AS31)))))+64*(OR(RIGHT(AS31,5)="COUNT",RIGHT(AS31,2)="CT"))+128*(ISNUMBER(FIND("BULK",AS31)))+256*(ISNUMBER(FIND("SIZE",AS31)))+512*(LEFT(AS31,3)="CAP")+1024*(ISNUMBER(FIND("ALLERG",AS31)))+2048*(OR(ISNUMBER(FIND("REMARK",AS31)),ISNUMBER(FIND("COMMENT",AS31))))+4096*(OR(ISNUMBER(FIND("QTY",AS31)),ISNUMBER(FIND("QUANTITY",AS31))))+8192*(AND(OR(ISNUMBER(FIND("COMPLETE",AS31)),ISNUMBER(FIND("PCT",AS31)),ISNUMBER(FIND("PERCENT",AS31))),NOT(ISNUMBER(FIND("ACTUAL",AS31))),LEN(AS31)&lt;=16))+32768*(OR(ISNUMBER(FIND("DESIC",AS31)),ISNUMBER(FIND("DESSIC",AS31)))))</f>
        <v/>
      </c>
      <c r="AT166">
        <f>IF(AT31="",0,2*(OR(ISNUMBER(FIND("WORKCENTER",AT31)),AND(LEFT(AT31,4)="LINE",NOT(ISNUMBER(FIND("STATUS",AT31))))))+4*(OR(ISNUMBER(FIND("WORKORDER",AT31)),AND(LEFT(AT31,2)="WO",OR(ISNUMBER(FIND("NUM",AT31)),RIGHT(AT31,2)="NO"))))+8*(LEFT(AT31,3)="SEQ")+16*(AND(LEFT(AT31,4)="ITEM",NOT(ISNUMBER(FIND("DESC",AT31)))))+32*(AND(ISNUMBER(FIND("DESC",AT31)),NOT(ISNUMBER(FIND("CAP",AT31)))))+64*(OR(RIGHT(AT31,5)="COUNT",RIGHT(AT31,2)="CT"))+128*(ISNUMBER(FIND("BULK",AT31)))+256*(ISNUMBER(FIND("SIZE",AT31)))+512*(LEFT(AT31,3)="CAP")+1024*(ISNUMBER(FIND("ALLERG",AT31)))+2048*(OR(ISNUMBER(FIND("REMARK",AT31)),ISNUMBER(FIND("COMMENT",AT31))))+4096*(OR(ISNUMBER(FIND("QTY",AT31)),ISNUMBER(FIND("QUANTITY",AT31))))+8192*(AND(OR(ISNUMBER(FIND("COMPLETE",AT31)),ISNUMBER(FIND("PCT",AT31)),ISNUMBER(FIND("PERCENT",AT31))),NOT(ISNUMBER(FIND("ACTUAL",AT31))),LEN(AT31)&lt;=16))+32768*(OR(ISNUMBER(FIND("DESIC",AT31)),ISNUMBER(FIND("DESSIC",AT31)))))</f>
        <v/>
      </c>
      <c r="AU166">
        <f>IF(AU31="",0,2*(OR(ISNUMBER(FIND("WORKCENTER",AU31)),AND(LEFT(AU31,4)="LINE",NOT(ISNUMBER(FIND("STATUS",AU31))))))+4*(OR(ISNUMBER(FIND("WORKORDER",AU31)),AND(LEFT(AU31,2)="WO",OR(ISNUMBER(FIND("NUM",AU31)),RIGHT(AU31,2)="NO"))))+8*(LEFT(AU31,3)="SEQ")+16*(AND(LEFT(AU31,4)="ITEM",NOT(ISNUMBER(FIND("DESC",AU31)))))+32*(AND(ISNUMBER(FIND("DESC",AU31)),NOT(ISNUMBER(FIND("CAP",AU31)))))+64*(OR(RIGHT(AU31,5)="COUNT",RIGHT(AU31,2)="CT"))+128*(ISNUMBER(FIND("BULK",AU31)))+256*(ISNUMBER(FIND("SIZE",AU31)))+512*(LEFT(AU31,3)="CAP")+1024*(ISNUMBER(FIND("ALLERG",AU31)))+2048*(OR(ISNUMBER(FIND("REMARK",AU31)),ISNUMBER(FIND("COMMENT",AU31))))+4096*(OR(ISNUMBER(FIND("QTY",AU31)),ISNUMBER(FIND("QUANTITY",AU31))))+8192*(AND(OR(ISNUMBER(FIND("COMPLETE",AU31)),ISNUMBER(FIND("PCT",AU31)),ISNUMBER(FIND("PERCENT",AU31))),NOT(ISNUMBER(FIND("ACTUAL",AU31))),LEN(AU31)&lt;=16))+32768*(OR(ISNUMBER(FIND("DESIC",AU31)),ISNUMBER(FIND("DESSIC",AU31)))))</f>
        <v/>
      </c>
      <c r="AV166">
        <f>IF(AV31="",0,2*(OR(ISNUMBER(FIND("WORKCENTER",AV31)),AND(LEFT(AV31,4)="LINE",NOT(ISNUMBER(FIND("STATUS",AV31))))))+4*(OR(ISNUMBER(FIND("WORKORDER",AV31)),AND(LEFT(AV31,2)="WO",OR(ISNUMBER(FIND("NUM",AV31)),RIGHT(AV31,2)="NO"))))+8*(LEFT(AV31,3)="SEQ")+16*(AND(LEFT(AV31,4)="ITEM",NOT(ISNUMBER(FIND("DESC",AV31)))))+32*(AND(ISNUMBER(FIND("DESC",AV31)),NOT(ISNUMBER(FIND("CAP",AV31)))))+64*(OR(RIGHT(AV31,5)="COUNT",RIGHT(AV31,2)="CT"))+128*(ISNUMBER(FIND("BULK",AV31)))+256*(ISNUMBER(FIND("SIZE",AV31)))+512*(LEFT(AV31,3)="CAP")+1024*(ISNUMBER(FIND("ALLERG",AV31)))+2048*(OR(ISNUMBER(FIND("REMARK",AV31)),ISNUMBER(FIND("COMMENT",AV31))))+4096*(OR(ISNUMBER(FIND("QTY",AV31)),ISNUMBER(FIND("QUANTITY",AV31))))+8192*(AND(OR(ISNUMBER(FIND("COMPLETE",AV31)),ISNUMBER(FIND("PCT",AV31)),ISNUMBER(FIND("PERCENT",AV31))),NOT(ISNUMBER(FIND("ACTUAL",AV31))),LEN(AV31)&lt;=16))+32768*(OR(ISNUMBER(FIND("DESIC",AV31)),ISNUMBER(FIND("DESSIC",AV31)))))</f>
        <v/>
      </c>
      <c r="AW166">
        <f>IF(AW31="",0,2*(OR(ISNUMBER(FIND("WORKCENTER",AW31)),AND(LEFT(AW31,4)="LINE",NOT(ISNUMBER(FIND("STATUS",AW31))))))+4*(OR(ISNUMBER(FIND("WORKORDER",AW31)),AND(LEFT(AW31,2)="WO",OR(ISNUMBER(FIND("NUM",AW31)),RIGHT(AW31,2)="NO"))))+8*(LEFT(AW31,3)="SEQ")+16*(AND(LEFT(AW31,4)="ITEM",NOT(ISNUMBER(FIND("DESC",AW31)))))+32*(AND(ISNUMBER(FIND("DESC",AW31)),NOT(ISNUMBER(FIND("CAP",AW31)))))+64*(OR(RIGHT(AW31,5)="COUNT",RIGHT(AW31,2)="CT"))+128*(ISNUMBER(FIND("BULK",AW31)))+256*(ISNUMBER(FIND("SIZE",AW31)))+512*(LEFT(AW31,3)="CAP")+1024*(ISNUMBER(FIND("ALLERG",AW31)))+2048*(OR(ISNUMBER(FIND("REMARK",AW31)),ISNUMBER(FIND("COMMENT",AW31))))+4096*(OR(ISNUMBER(FIND("QTY",AW31)),ISNUMBER(FIND("QUANTITY",AW31))))+8192*(AND(OR(ISNUMBER(FIND("COMPLETE",AW31)),ISNUMBER(FIND("PCT",AW31)),ISNUMBER(FIND("PERCENT",AW31))),NOT(ISNUMBER(FIND("ACTUAL",AW31))),LEN(AW31)&lt;=16))+32768*(OR(ISNUMBER(FIND("DESIC",AW31)),ISNUMBER(FIND("DESSIC",AW31)))))</f>
        <v/>
      </c>
      <c r="AX166">
        <f>IF(AX31="",0,2*(OR(ISNUMBER(FIND("WORKCENTER",AX31)),AND(LEFT(AX31,4)="LINE",NOT(ISNUMBER(FIND("STATUS",AX31))))))+4*(OR(ISNUMBER(FIND("WORKORDER",AX31)),AND(LEFT(AX31,2)="WO",OR(ISNUMBER(FIND("NUM",AX31)),RIGHT(AX31,2)="NO"))))+8*(LEFT(AX31,3)="SEQ")+16*(AND(LEFT(AX31,4)="ITEM",NOT(ISNUMBER(FIND("DESC",AX31)))))+32*(AND(ISNUMBER(FIND("DESC",AX31)),NOT(ISNUMBER(FIND("CAP",AX31)))))+64*(OR(RIGHT(AX31,5)="COUNT",RIGHT(AX31,2)="CT"))+128*(ISNUMBER(FIND("BULK",AX31)))+256*(ISNUMBER(FIND("SIZE",AX31)))+512*(LEFT(AX31,3)="CAP")+1024*(ISNUMBER(FIND("ALLERG",AX31)))+2048*(OR(ISNUMBER(FIND("REMARK",AX31)),ISNUMBER(FIND("COMMENT",AX31))))+4096*(OR(ISNUMBER(FIND("QTY",AX31)),ISNUMBER(FIND("QUANTITY",AX31))))+8192*(AND(OR(ISNUMBER(FIND("COMPLETE",AX31)),ISNUMBER(FIND("PCT",AX31)),ISNUMBER(FIND("PERCENT",AX31))),NOT(ISNUMBER(FIND("ACTUAL",AX31))),LEN(AX31)&lt;=16))+32768*(OR(ISNUMBER(FIND("DESIC",AX31)),ISNUMBER(FIND("DESSIC",AX31)))))</f>
        <v/>
      </c>
      <c r="AY166">
        <f>IF(AY31="",0,2*(OR(ISNUMBER(FIND("WORKCENTER",AY31)),AND(LEFT(AY31,4)="LINE",NOT(ISNUMBER(FIND("STATUS",AY31))))))+4*(OR(ISNUMBER(FIND("WORKORDER",AY31)),AND(LEFT(AY31,2)="WO",OR(ISNUMBER(FIND("NUM",AY31)),RIGHT(AY31,2)="NO"))))+8*(LEFT(AY31,3)="SEQ")+16*(AND(LEFT(AY31,4)="ITEM",NOT(ISNUMBER(FIND("DESC",AY31)))))+32*(AND(ISNUMBER(FIND("DESC",AY31)),NOT(ISNUMBER(FIND("CAP",AY31)))))+64*(OR(RIGHT(AY31,5)="COUNT",RIGHT(AY31,2)="CT"))+128*(ISNUMBER(FIND("BULK",AY31)))+256*(ISNUMBER(FIND("SIZE",AY31)))+512*(LEFT(AY31,3)="CAP")+1024*(ISNUMBER(FIND("ALLERG",AY31)))+2048*(OR(ISNUMBER(FIND("REMARK",AY31)),ISNUMBER(FIND("COMMENT",AY31))))+4096*(OR(ISNUMBER(FIND("QTY",AY31)),ISNUMBER(FIND("QUANTITY",AY31))))+8192*(AND(OR(ISNUMBER(FIND("COMPLETE",AY31)),ISNUMBER(FIND("PCT",AY31)),ISNUMBER(FIND("PERCENT",AY31))),NOT(ISNUMBER(FIND("ACTUAL",AY31))),LEN(AY31)&lt;=16))+32768*(OR(ISNUMBER(FIND("DESIC",AY31)),ISNUMBER(FIND("DESSIC",AY31)))))</f>
        <v/>
      </c>
      <c r="AZ166">
        <f>IF(AZ31="",0,2*(OR(ISNUMBER(FIND("WORKCENTER",AZ31)),AND(LEFT(AZ31,4)="LINE",NOT(ISNUMBER(FIND("STATUS",AZ31))))))+4*(OR(ISNUMBER(FIND("WORKORDER",AZ31)),AND(LEFT(AZ31,2)="WO",OR(ISNUMBER(FIND("NUM",AZ31)),RIGHT(AZ31,2)="NO"))))+8*(LEFT(AZ31,3)="SEQ")+16*(AND(LEFT(AZ31,4)="ITEM",NOT(ISNUMBER(FIND("DESC",AZ31)))))+32*(AND(ISNUMBER(FIND("DESC",AZ31)),NOT(ISNUMBER(FIND("CAP",AZ31)))))+64*(OR(RIGHT(AZ31,5)="COUNT",RIGHT(AZ31,2)="CT"))+128*(ISNUMBER(FIND("BULK",AZ31)))+256*(ISNUMBER(FIND("SIZE",AZ31)))+512*(LEFT(AZ31,3)="CAP")+1024*(ISNUMBER(FIND("ALLERG",AZ31)))+2048*(OR(ISNUMBER(FIND("REMARK",AZ31)),ISNUMBER(FIND("COMMENT",AZ31))))+4096*(OR(ISNUMBER(FIND("QTY",AZ31)),ISNUMBER(FIND("QUANTITY",AZ31))))+8192*(AND(OR(ISNUMBER(FIND("COMPLETE",AZ31)),ISNUMBER(FIND("PCT",AZ31)),ISNUMBER(FIND("PERCENT",AZ31))),NOT(ISNUMBER(FIND("ACTUAL",AZ31))),LEN(AZ31)&lt;=16))+32768*(OR(ISNUMBER(FIND("DESIC",AZ31)),ISNUMBER(FIND("DESSIC",AZ31)))))</f>
        <v/>
      </c>
      <c r="BA166">
        <f>IF(BA31="",0,2*(OR(ISNUMBER(FIND("WORKCENTER",BA31)),AND(LEFT(BA31,4)="LINE",NOT(ISNUMBER(FIND("STATUS",BA31))))))+4*(OR(ISNUMBER(FIND("WORKORDER",BA31)),AND(LEFT(BA31,2)="WO",OR(ISNUMBER(FIND("NUM",BA31)),RIGHT(BA31,2)="NO"))))+8*(LEFT(BA31,3)="SEQ")+16*(AND(LEFT(BA31,4)="ITEM",NOT(ISNUMBER(FIND("DESC",BA31)))))+32*(AND(ISNUMBER(FIND("DESC",BA31)),NOT(ISNUMBER(FIND("CAP",BA31)))))+64*(OR(RIGHT(BA31,5)="COUNT",RIGHT(BA31,2)="CT"))+128*(ISNUMBER(FIND("BULK",BA31)))+256*(ISNUMBER(FIND("SIZE",BA31)))+512*(LEFT(BA31,3)="CAP")+1024*(ISNUMBER(FIND("ALLERG",BA31)))+2048*(OR(ISNUMBER(FIND("REMARK",BA31)),ISNUMBER(FIND("COMMENT",BA31))))+4096*(OR(ISNUMBER(FIND("QTY",BA31)),ISNUMBER(FIND("QUANTITY",BA31))))+8192*(AND(OR(ISNUMBER(FIND("COMPLETE",BA31)),ISNUMBER(FIND("PCT",BA31)),ISNUMBER(FIND("PERCENT",BA31))),NOT(ISNUMBER(FIND("ACTUAL",BA31))),LEN(BA31)&lt;=16))+32768*(OR(ISNUMBER(FIND("DESIC",BA31)),ISNUMBER(FIND("DESSIC",BA31)))))</f>
        <v/>
      </c>
      <c r="BB166">
        <f>IF(BB31="",0,2*(OR(ISNUMBER(FIND("WORKCENTER",BB31)),AND(LEFT(BB31,4)="LINE",NOT(ISNUMBER(FIND("STATUS",BB31))))))+4*(OR(ISNUMBER(FIND("WORKORDER",BB31)),AND(LEFT(BB31,2)="WO",OR(ISNUMBER(FIND("NUM",BB31)),RIGHT(BB31,2)="NO"))))+8*(LEFT(BB31,3)="SEQ")+16*(AND(LEFT(BB31,4)="ITEM",NOT(ISNUMBER(FIND("DESC",BB31)))))+32*(AND(ISNUMBER(FIND("DESC",BB31)),NOT(ISNUMBER(FIND("CAP",BB31)))))+64*(OR(RIGHT(BB31,5)="COUNT",RIGHT(BB31,2)="CT"))+128*(ISNUMBER(FIND("BULK",BB31)))+256*(ISNUMBER(FIND("SIZE",BB31)))+512*(LEFT(BB31,3)="CAP")+1024*(ISNUMBER(FIND("ALLERG",BB31)))+2048*(OR(ISNUMBER(FIND("REMARK",BB31)),ISNUMBER(FIND("COMMENT",BB31))))+4096*(OR(ISNUMBER(FIND("QTY",BB31)),ISNUMBER(FIND("QUANTITY",BB31))))+8192*(AND(OR(ISNUMBER(FIND("COMPLETE",BB31)),ISNUMBER(FIND("PCT",BB31)),ISNUMBER(FIND("PERCENT",BB31))),NOT(ISNUMBER(FIND("ACTUAL",BB31))),LEN(BB31)&lt;=16))+32768*(OR(ISNUMBER(FIND("DESIC",BB31)),ISNUMBER(FIND("DESSIC",BB31)))))</f>
        <v/>
      </c>
      <c r="BC166">
        <f>IF(BC31="",0,2*(OR(ISNUMBER(FIND("WORKCENTER",BC31)),AND(LEFT(BC31,4)="LINE",NOT(ISNUMBER(FIND("STATUS",BC31))))))+4*(OR(ISNUMBER(FIND("WORKORDER",BC31)),AND(LEFT(BC31,2)="WO",OR(ISNUMBER(FIND("NUM",BC31)),RIGHT(BC31,2)="NO"))))+8*(LEFT(BC31,3)="SEQ")+16*(AND(LEFT(BC31,4)="ITEM",NOT(ISNUMBER(FIND("DESC",BC31)))))+32*(AND(ISNUMBER(FIND("DESC",BC31)),NOT(ISNUMBER(FIND("CAP",BC31)))))+64*(OR(RIGHT(BC31,5)="COUNT",RIGHT(BC31,2)="CT"))+128*(ISNUMBER(FIND("BULK",BC31)))+256*(ISNUMBER(FIND("SIZE",BC31)))+512*(LEFT(BC31,3)="CAP")+1024*(ISNUMBER(FIND("ALLERG",BC31)))+2048*(OR(ISNUMBER(FIND("REMARK",BC31)),ISNUMBER(FIND("COMMENT",BC31))))+4096*(OR(ISNUMBER(FIND("QTY",BC31)),ISNUMBER(FIND("QUANTITY",BC31))))+8192*(AND(OR(ISNUMBER(FIND("COMPLETE",BC31)),ISNUMBER(FIND("PCT",BC31)),ISNUMBER(FIND("PERCENT",BC31))),NOT(ISNUMBER(FIND("ACTUAL",BC31))),LEN(BC31)&lt;=16))+32768*(OR(ISNUMBER(FIND("DESIC",BC31)),ISNUMBER(FIND("DESSIC",BC31)))))</f>
        <v/>
      </c>
      <c r="BD166">
        <f>IF(BD31="",0,2*(OR(ISNUMBER(FIND("WORKCENTER",BD31)),AND(LEFT(BD31,4)="LINE",NOT(ISNUMBER(FIND("STATUS",BD31))))))+4*(OR(ISNUMBER(FIND("WORKORDER",BD31)),AND(LEFT(BD31,2)="WO",OR(ISNUMBER(FIND("NUM",BD31)),RIGHT(BD31,2)="NO"))))+8*(LEFT(BD31,3)="SEQ")+16*(AND(LEFT(BD31,4)="ITEM",NOT(ISNUMBER(FIND("DESC",BD31)))))+32*(AND(ISNUMBER(FIND("DESC",BD31)),NOT(ISNUMBER(FIND("CAP",BD31)))))+64*(OR(RIGHT(BD31,5)="COUNT",RIGHT(BD31,2)="CT"))+128*(ISNUMBER(FIND("BULK",BD31)))+256*(ISNUMBER(FIND("SIZE",BD31)))+512*(LEFT(BD31,3)="CAP")+1024*(ISNUMBER(FIND("ALLERG",BD31)))+2048*(OR(ISNUMBER(FIND("REMARK",BD31)),ISNUMBER(FIND("COMMENT",BD31))))+4096*(OR(ISNUMBER(FIND("QTY",BD31)),ISNUMBER(FIND("QUANTITY",BD31))))+8192*(AND(OR(ISNUMBER(FIND("COMPLETE",BD31)),ISNUMBER(FIND("PCT",BD31)),ISNUMBER(FIND("PERCENT",BD31))),NOT(ISNUMBER(FIND("ACTUAL",BD31))),LEN(BD31)&lt;=16))+32768*(OR(ISNUMBER(FIND("DESIC",BD31)),ISNUMBER(FIND("DESSIC",BD31)))))</f>
        <v/>
      </c>
      <c r="BE166">
        <f>IF(BE31="",0,2*(OR(ISNUMBER(FIND("WORKCENTER",BE31)),AND(LEFT(BE31,4)="LINE",NOT(ISNUMBER(FIND("STATUS",BE31))))))+4*(OR(ISNUMBER(FIND("WORKORDER",BE31)),AND(LEFT(BE31,2)="WO",OR(ISNUMBER(FIND("NUM",BE31)),RIGHT(BE31,2)="NO"))))+8*(LEFT(BE31,3)="SEQ")+16*(AND(LEFT(BE31,4)="ITEM",NOT(ISNUMBER(FIND("DESC",BE31)))))+32*(AND(ISNUMBER(FIND("DESC",BE31)),NOT(ISNUMBER(FIND("CAP",BE31)))))+64*(OR(RIGHT(BE31,5)="COUNT",RIGHT(BE31,2)="CT"))+128*(ISNUMBER(FIND("BULK",BE31)))+256*(ISNUMBER(FIND("SIZE",BE31)))+512*(LEFT(BE31,3)="CAP")+1024*(ISNUMBER(FIND("ALLERG",BE31)))+2048*(OR(ISNUMBER(FIND("REMARK",BE31)),ISNUMBER(FIND("COMMENT",BE31))))+4096*(OR(ISNUMBER(FIND("QTY",BE31)),ISNUMBER(FIND("QUANTITY",BE31))))+8192*(AND(OR(ISNUMBER(FIND("COMPLETE",BE31)),ISNUMBER(FIND("PCT",BE31)),ISNUMBER(FIND("PERCENT",BE31))),NOT(ISNUMBER(FIND("ACTUAL",BE31))),LEN(BE31)&lt;=16))+32768*(OR(ISNUMBER(FIND("DESIC",BE31)),ISNUMBER(FIND("DESSIC",BE31)))))</f>
        <v/>
      </c>
      <c r="BF166">
        <f>IF(BF31="",0,2*(OR(ISNUMBER(FIND("WORKCENTER",BF31)),AND(LEFT(BF31,4)="LINE",NOT(ISNUMBER(FIND("STATUS",BF31))))))+4*(OR(ISNUMBER(FIND("WORKORDER",BF31)),AND(LEFT(BF31,2)="WO",OR(ISNUMBER(FIND("NUM",BF31)),RIGHT(BF31,2)="NO"))))+8*(LEFT(BF31,3)="SEQ")+16*(AND(LEFT(BF31,4)="ITEM",NOT(ISNUMBER(FIND("DESC",BF31)))))+32*(AND(ISNUMBER(FIND("DESC",BF31)),NOT(ISNUMBER(FIND("CAP",BF31)))))+64*(OR(RIGHT(BF31,5)="COUNT",RIGHT(BF31,2)="CT"))+128*(ISNUMBER(FIND("BULK",BF31)))+256*(ISNUMBER(FIND("SIZE",BF31)))+512*(LEFT(BF31,3)="CAP")+1024*(ISNUMBER(FIND("ALLERG",BF31)))+2048*(OR(ISNUMBER(FIND("REMARK",BF31)),ISNUMBER(FIND("COMMENT",BF31))))+4096*(OR(ISNUMBER(FIND("QTY",BF31)),ISNUMBER(FIND("QUANTITY",BF31))))+8192*(AND(OR(ISNUMBER(FIND("COMPLETE",BF31)),ISNUMBER(FIND("PCT",BF31)),ISNUMBER(FIND("PERCENT",BF31))),NOT(ISNUMBER(FIND("ACTUAL",BF31))),LEN(BF31)&lt;=16))+32768*(OR(ISNUMBER(FIND("DESIC",BF31)),ISNUMBER(FIND("DESSIC",BF31)))))</f>
        <v/>
      </c>
      <c r="BG166">
        <f>IF(BG31="",0,2*(OR(ISNUMBER(FIND("WORKCENTER",BG31)),AND(LEFT(BG31,4)="LINE",NOT(ISNUMBER(FIND("STATUS",BG31))))))+4*(OR(ISNUMBER(FIND("WORKORDER",BG31)),AND(LEFT(BG31,2)="WO",OR(ISNUMBER(FIND("NUM",BG31)),RIGHT(BG31,2)="NO"))))+8*(LEFT(BG31,3)="SEQ")+16*(AND(LEFT(BG31,4)="ITEM",NOT(ISNUMBER(FIND("DESC",BG31)))))+32*(AND(ISNUMBER(FIND("DESC",BG31)),NOT(ISNUMBER(FIND("CAP",BG31)))))+64*(OR(RIGHT(BG31,5)="COUNT",RIGHT(BG31,2)="CT"))+128*(ISNUMBER(FIND("BULK",BG31)))+256*(ISNUMBER(FIND("SIZE",BG31)))+512*(LEFT(BG31,3)="CAP")+1024*(ISNUMBER(FIND("ALLERG",BG31)))+2048*(OR(ISNUMBER(FIND("REMARK",BG31)),ISNUMBER(FIND("COMMENT",BG31))))+4096*(OR(ISNUMBER(FIND("QTY",BG31)),ISNUMBER(FIND("QUANTITY",BG31))))+8192*(AND(OR(ISNUMBER(FIND("COMPLETE",BG31)),ISNUMBER(FIND("PCT",BG31)),ISNUMBER(FIND("PERCENT",BG31))),NOT(ISNUMBER(FIND("ACTUAL",BG31))),LEN(BG31)&lt;=16))+32768*(OR(ISNUMBER(FIND("DESIC",BG31)),ISNUMBER(FIND("DESSIC",BG31)))))</f>
        <v/>
      </c>
      <c r="BH166">
        <f>IF(BH31="",0,2*(OR(ISNUMBER(FIND("WORKCENTER",BH31)),AND(LEFT(BH31,4)="LINE",NOT(ISNUMBER(FIND("STATUS",BH31))))))+4*(OR(ISNUMBER(FIND("WORKORDER",BH31)),AND(LEFT(BH31,2)="WO",OR(ISNUMBER(FIND("NUM",BH31)),RIGHT(BH31,2)="NO"))))+8*(LEFT(BH31,3)="SEQ")+16*(AND(LEFT(BH31,4)="ITEM",NOT(ISNUMBER(FIND("DESC",BH31)))))+32*(AND(ISNUMBER(FIND("DESC",BH31)),NOT(ISNUMBER(FIND("CAP",BH31)))))+64*(OR(RIGHT(BH31,5)="COUNT",RIGHT(BH31,2)="CT"))+128*(ISNUMBER(FIND("BULK",BH31)))+256*(ISNUMBER(FIND("SIZE",BH31)))+512*(LEFT(BH31,3)="CAP")+1024*(ISNUMBER(FIND("ALLERG",BH31)))+2048*(OR(ISNUMBER(FIND("REMARK",BH31)),ISNUMBER(FIND("COMMENT",BH31))))+4096*(OR(ISNUMBER(FIND("QTY",BH31)),ISNUMBER(FIND("QUANTITY",BH31))))+8192*(AND(OR(ISNUMBER(FIND("COMPLETE",BH31)),ISNUMBER(FIND("PCT",BH31)),ISNUMBER(FIND("PERCENT",BH31))),NOT(ISNUMBER(FIND("ACTUAL",BH31))),LEN(BH31)&lt;=16))+32768*(OR(ISNUMBER(FIND("DESIC",BH31)),ISNUMBER(FIND("DESSIC",BH31)))))</f>
        <v/>
      </c>
      <c r="BI166">
        <f>IF(BI31="",0,2*(OR(ISNUMBER(FIND("WORKCENTER",BI31)),AND(LEFT(BI31,4)="LINE",NOT(ISNUMBER(FIND("STATUS",BI31))))))+4*(OR(ISNUMBER(FIND("WORKORDER",BI31)),AND(LEFT(BI31,2)="WO",OR(ISNUMBER(FIND("NUM",BI31)),RIGHT(BI31,2)="NO"))))+8*(LEFT(BI31,3)="SEQ")+16*(AND(LEFT(BI31,4)="ITEM",NOT(ISNUMBER(FIND("DESC",BI31)))))+32*(AND(ISNUMBER(FIND("DESC",BI31)),NOT(ISNUMBER(FIND("CAP",BI31)))))+64*(OR(RIGHT(BI31,5)="COUNT",RIGHT(BI31,2)="CT"))+128*(ISNUMBER(FIND("BULK",BI31)))+256*(ISNUMBER(FIND("SIZE",BI31)))+512*(LEFT(BI31,3)="CAP")+1024*(ISNUMBER(FIND("ALLERG",BI31)))+2048*(OR(ISNUMBER(FIND("REMARK",BI31)),ISNUMBER(FIND("COMMENT",BI31))))+4096*(OR(ISNUMBER(FIND("QTY",BI31)),ISNUMBER(FIND("QUANTITY",BI31))))+8192*(AND(OR(ISNUMBER(FIND("COMPLETE",BI31)),ISNUMBER(FIND("PCT",BI31)),ISNUMBER(FIND("PERCENT",BI31))),NOT(ISNUMBER(FIND("ACTUAL",BI31))),LEN(BI31)&lt;=16))+32768*(OR(ISNUMBER(FIND("DESIC",BI31)),ISNUMBER(FIND("DESSIC",BI31)))))</f>
        <v/>
      </c>
      <c r="BJ166">
        <f>IF(BJ31="",0,2*(OR(ISNUMBER(FIND("WORKCENTER",BJ31)),AND(LEFT(BJ31,4)="LINE",NOT(ISNUMBER(FIND("STATUS",BJ31))))))+4*(OR(ISNUMBER(FIND("WORKORDER",BJ31)),AND(LEFT(BJ31,2)="WO",OR(ISNUMBER(FIND("NUM",BJ31)),RIGHT(BJ31,2)="NO"))))+8*(LEFT(BJ31,3)="SEQ")+16*(AND(LEFT(BJ31,4)="ITEM",NOT(ISNUMBER(FIND("DESC",BJ31)))))+32*(AND(ISNUMBER(FIND("DESC",BJ31)),NOT(ISNUMBER(FIND("CAP",BJ31)))))+64*(OR(RIGHT(BJ31,5)="COUNT",RIGHT(BJ31,2)="CT"))+128*(ISNUMBER(FIND("BULK",BJ31)))+256*(ISNUMBER(FIND("SIZE",BJ31)))+512*(LEFT(BJ31,3)="CAP")+1024*(ISNUMBER(FIND("ALLERG",BJ31)))+2048*(OR(ISNUMBER(FIND("REMARK",BJ31)),ISNUMBER(FIND("COMMENT",BJ31))))+4096*(OR(ISNUMBER(FIND("QTY",BJ31)),ISNUMBER(FIND("QUANTITY",BJ31))))+8192*(AND(OR(ISNUMBER(FIND("COMPLETE",BJ31)),ISNUMBER(FIND("PCT",BJ31)),ISNUMBER(FIND("PERCENT",BJ31))),NOT(ISNUMBER(FIND("ACTUAL",BJ31))),LEN(BJ31)&lt;=16))+32768*(OR(ISNUMBER(FIND("DESIC",BJ31)),ISNUMBER(FIND("DESSIC",BJ31)))))</f>
        <v/>
      </c>
      <c r="BK166">
        <f>IF(BK31="",0,2*(OR(ISNUMBER(FIND("WORKCENTER",BK31)),AND(LEFT(BK31,4)="LINE",NOT(ISNUMBER(FIND("STATUS",BK31))))))+4*(OR(ISNUMBER(FIND("WORKORDER",BK31)),AND(LEFT(BK31,2)="WO",OR(ISNUMBER(FIND("NUM",BK31)),RIGHT(BK31,2)="NO"))))+8*(LEFT(BK31,3)="SEQ")+16*(AND(LEFT(BK31,4)="ITEM",NOT(ISNUMBER(FIND("DESC",BK31)))))+32*(AND(ISNUMBER(FIND("DESC",BK31)),NOT(ISNUMBER(FIND("CAP",BK31)))))+64*(OR(RIGHT(BK31,5)="COUNT",RIGHT(BK31,2)="CT"))+128*(ISNUMBER(FIND("BULK",BK31)))+256*(ISNUMBER(FIND("SIZE",BK31)))+512*(LEFT(BK31,3)="CAP")+1024*(ISNUMBER(FIND("ALLERG",BK31)))+2048*(OR(ISNUMBER(FIND("REMARK",BK31)),ISNUMBER(FIND("COMMENT",BK31))))+4096*(OR(ISNUMBER(FIND("QTY",BK31)),ISNUMBER(FIND("QUANTITY",BK31))))+8192*(AND(OR(ISNUMBER(FIND("COMPLETE",BK31)),ISNUMBER(FIND("PCT",BK31)),ISNUMBER(FIND("PERCENT",BK31))),NOT(ISNUMBER(FIND("ACTUAL",BK31))),LEN(BK31)&lt;=16))+32768*(OR(ISNUMBER(FIND("DESIC",BK31)),ISNUMBER(FIND("DESSIC",BK31)))))</f>
        <v/>
      </c>
      <c r="BL166">
        <f>IF(BL31="",0,2*(OR(ISNUMBER(FIND("WORKCENTER",BL31)),AND(LEFT(BL31,4)="LINE",NOT(ISNUMBER(FIND("STATUS",BL31))))))+4*(OR(ISNUMBER(FIND("WORKORDER",BL31)),AND(LEFT(BL31,2)="WO",OR(ISNUMBER(FIND("NUM",BL31)),RIGHT(BL31,2)="NO"))))+8*(LEFT(BL31,3)="SEQ")+16*(AND(LEFT(BL31,4)="ITEM",NOT(ISNUMBER(FIND("DESC",BL31)))))+32*(AND(ISNUMBER(FIND("DESC",BL31)),NOT(ISNUMBER(FIND("CAP",BL31)))))+64*(OR(RIGHT(BL31,5)="COUNT",RIGHT(BL31,2)="CT"))+128*(ISNUMBER(FIND("BULK",BL31)))+256*(ISNUMBER(FIND("SIZE",BL31)))+512*(LEFT(BL31,3)="CAP")+1024*(ISNUMBER(FIND("ALLERG",BL31)))+2048*(OR(ISNUMBER(FIND("REMARK",BL31)),ISNUMBER(FIND("COMMENT",BL31))))+4096*(OR(ISNUMBER(FIND("QTY",BL31)),ISNUMBER(FIND("QUANTITY",BL31))))+8192*(AND(OR(ISNUMBER(FIND("COMPLETE",BL31)),ISNUMBER(FIND("PCT",BL31)),ISNUMBER(FIND("PERCENT",BL31))),NOT(ISNUMBER(FIND("ACTUAL",BL31))),LEN(BL31)&lt;=16))+32768*(OR(ISNUMBER(FIND("DESIC",BL31)),ISNUMBER(FIND("DESSIC",BL31)))))</f>
        <v/>
      </c>
      <c r="BM166">
        <f>IF(BM31="",0,2*(OR(ISNUMBER(FIND("WORKCENTER",BM31)),AND(LEFT(BM31,4)="LINE",NOT(ISNUMBER(FIND("STATUS",BM31))))))+4*(OR(ISNUMBER(FIND("WORKORDER",BM31)),AND(LEFT(BM31,2)="WO",OR(ISNUMBER(FIND("NUM",BM31)),RIGHT(BM31,2)="NO"))))+8*(LEFT(BM31,3)="SEQ")+16*(AND(LEFT(BM31,4)="ITEM",NOT(ISNUMBER(FIND("DESC",BM31)))))+32*(AND(ISNUMBER(FIND("DESC",BM31)),NOT(ISNUMBER(FIND("CAP",BM31)))))+64*(OR(RIGHT(BM31,5)="COUNT",RIGHT(BM31,2)="CT"))+128*(ISNUMBER(FIND("BULK",BM31)))+256*(ISNUMBER(FIND("SIZE",BM31)))+512*(LEFT(BM31,3)="CAP")+1024*(ISNUMBER(FIND("ALLERG",BM31)))+2048*(OR(ISNUMBER(FIND("REMARK",BM31)),ISNUMBER(FIND("COMMENT",BM31))))+4096*(OR(ISNUMBER(FIND("QTY",BM31)),ISNUMBER(FIND("QUANTITY",BM31))))+8192*(AND(OR(ISNUMBER(FIND("COMPLETE",BM31)),ISNUMBER(FIND("PCT",BM31)),ISNUMBER(FIND("PERCENT",BM31))),NOT(ISNUMBER(FIND("ACTUAL",BM31))),LEN(BM31)&lt;=16))+32768*(OR(ISNUMBER(FIND("DESIC",BM31)),ISNUMBER(FIND("DESSIC",BM31)))))</f>
        <v/>
      </c>
      <c r="BN166">
        <f>IF(BN31="",0,2*(OR(ISNUMBER(FIND("WORKCENTER",BN31)),AND(LEFT(BN31,4)="LINE",NOT(ISNUMBER(FIND("STATUS",BN31))))))+4*(OR(ISNUMBER(FIND("WORKORDER",BN31)),AND(LEFT(BN31,2)="WO",OR(ISNUMBER(FIND("NUM",BN31)),RIGHT(BN31,2)="NO"))))+8*(LEFT(BN31,3)="SEQ")+16*(AND(LEFT(BN31,4)="ITEM",NOT(ISNUMBER(FIND("DESC",BN31)))))+32*(AND(ISNUMBER(FIND("DESC",BN31)),NOT(ISNUMBER(FIND("CAP",BN31)))))+64*(OR(RIGHT(BN31,5)="COUNT",RIGHT(BN31,2)="CT"))+128*(ISNUMBER(FIND("BULK",BN31)))+256*(ISNUMBER(FIND("SIZE",BN31)))+512*(LEFT(BN31,3)="CAP")+1024*(ISNUMBER(FIND("ALLERG",BN31)))+2048*(OR(ISNUMBER(FIND("REMARK",BN31)),ISNUMBER(FIND("COMMENT",BN31))))+4096*(OR(ISNUMBER(FIND("QTY",BN31)),ISNUMBER(FIND("QUANTITY",BN31))))+8192*(AND(OR(ISNUMBER(FIND("COMPLETE",BN31)),ISNUMBER(FIND("PCT",BN31)),ISNUMBER(FIND("PERCENT",BN31))),NOT(ISNUMBER(FIND("ACTUAL",BN31))),LEN(BN31)&lt;=16))+32768*(OR(ISNUMBER(FIND("DESIC",BN31)),ISNUMBER(FIND("DESSIC",BN31)))))</f>
        <v/>
      </c>
      <c r="BO166">
        <f>IF(BO31="",0,2*(OR(ISNUMBER(FIND("WORKCENTER",BO31)),AND(LEFT(BO31,4)="LINE",NOT(ISNUMBER(FIND("STATUS",BO31))))))+4*(OR(ISNUMBER(FIND("WORKORDER",BO31)),AND(LEFT(BO31,2)="WO",OR(ISNUMBER(FIND("NUM",BO31)),RIGHT(BO31,2)="NO"))))+8*(LEFT(BO31,3)="SEQ")+16*(AND(LEFT(BO31,4)="ITEM",NOT(ISNUMBER(FIND("DESC",BO31)))))+32*(AND(ISNUMBER(FIND("DESC",BO31)),NOT(ISNUMBER(FIND("CAP",BO31)))))+64*(OR(RIGHT(BO31,5)="COUNT",RIGHT(BO31,2)="CT"))+128*(ISNUMBER(FIND("BULK",BO31)))+256*(ISNUMBER(FIND("SIZE",BO31)))+512*(LEFT(BO31,3)="CAP")+1024*(ISNUMBER(FIND("ALLERG",BO31)))+2048*(OR(ISNUMBER(FIND("REMARK",BO31)),ISNUMBER(FIND("COMMENT",BO31))))+4096*(OR(ISNUMBER(FIND("QTY",BO31)),ISNUMBER(FIND("QUANTITY",BO31))))+8192*(AND(OR(ISNUMBER(FIND("COMPLETE",BO31)),ISNUMBER(FIND("PCT",BO31)),ISNUMBER(FIND("PERCENT",BO31))),NOT(ISNUMBER(FIND("ACTUAL",BO31))),LEN(BO31)&lt;=16))+32768*(OR(ISNUMBER(FIND("DESIC",BO31)),ISNUMBER(FIND("DESSIC",BO31)))))</f>
        <v/>
      </c>
      <c r="BP166">
        <f>IF(BP31="",0,2*(OR(ISNUMBER(FIND("WORKCENTER",BP31)),AND(LEFT(BP31,4)="LINE",NOT(ISNUMBER(FIND("STATUS",BP31))))))+4*(OR(ISNUMBER(FIND("WORKORDER",BP31)),AND(LEFT(BP31,2)="WO",OR(ISNUMBER(FIND("NUM",BP31)),RIGHT(BP31,2)="NO"))))+8*(LEFT(BP31,3)="SEQ")+16*(AND(LEFT(BP31,4)="ITEM",NOT(ISNUMBER(FIND("DESC",BP31)))))+32*(AND(ISNUMBER(FIND("DESC",BP31)),NOT(ISNUMBER(FIND("CAP",BP31)))))+64*(OR(RIGHT(BP31,5)="COUNT",RIGHT(BP31,2)="CT"))+128*(ISNUMBER(FIND("BULK",BP31)))+256*(ISNUMBER(FIND("SIZE",BP31)))+512*(LEFT(BP31,3)="CAP")+1024*(ISNUMBER(FIND("ALLERG",BP31)))+2048*(OR(ISNUMBER(FIND("REMARK",BP31)),ISNUMBER(FIND("COMMENT",BP31))))+4096*(OR(ISNUMBER(FIND("QTY",BP31)),ISNUMBER(FIND("QUANTITY",BP31))))+8192*(AND(OR(ISNUMBER(FIND("COMPLETE",BP31)),ISNUMBER(FIND("PCT",BP31)),ISNUMBER(FIND("PERCENT",BP31))),NOT(ISNUMBER(FIND("ACTUAL",BP31))),LEN(BP31)&lt;=16))+32768*(OR(ISNUMBER(FIND("DESIC",BP31)),ISNUMBER(FIND("DESSIC",BP31)))))</f>
        <v/>
      </c>
      <c r="BQ166">
        <f>IF(BQ31="",0,2*(OR(ISNUMBER(FIND("WORKCENTER",BQ31)),AND(LEFT(BQ31,4)="LINE",NOT(ISNUMBER(FIND("STATUS",BQ31))))))+4*(OR(ISNUMBER(FIND("WORKORDER",BQ31)),AND(LEFT(BQ31,2)="WO",OR(ISNUMBER(FIND("NUM",BQ31)),RIGHT(BQ31,2)="NO"))))+8*(LEFT(BQ31,3)="SEQ")+16*(AND(LEFT(BQ31,4)="ITEM",NOT(ISNUMBER(FIND("DESC",BQ31)))))+32*(AND(ISNUMBER(FIND("DESC",BQ31)),NOT(ISNUMBER(FIND("CAP",BQ31)))))+64*(OR(RIGHT(BQ31,5)="COUNT",RIGHT(BQ31,2)="CT"))+128*(ISNUMBER(FIND("BULK",BQ31)))+256*(ISNUMBER(FIND("SIZE",BQ31)))+512*(LEFT(BQ31,3)="CAP")+1024*(ISNUMBER(FIND("ALLERG",BQ31)))+2048*(OR(ISNUMBER(FIND("REMARK",BQ31)),ISNUMBER(FIND("COMMENT",BQ31))))+4096*(OR(ISNUMBER(FIND("QTY",BQ31)),ISNUMBER(FIND("QUANTITY",BQ31))))+8192*(AND(OR(ISNUMBER(FIND("COMPLETE",BQ31)),ISNUMBER(FIND("PCT",BQ31)),ISNUMBER(FIND("PERCENT",BQ31))),NOT(ISNUMBER(FIND("ACTUAL",BQ31))),LEN(BQ31)&lt;=16))+32768*(OR(ISNUMBER(FIND("DESIC",BQ31)),ISNUMBER(FIND("DESSIC",BQ31)))))</f>
        <v/>
      </c>
      <c r="BR166">
        <f>IF(BR31="",0,2*(OR(ISNUMBER(FIND("WORKCENTER",BR31)),AND(LEFT(BR31,4)="LINE",NOT(ISNUMBER(FIND("STATUS",BR31))))))+4*(OR(ISNUMBER(FIND("WORKORDER",BR31)),AND(LEFT(BR31,2)="WO",OR(ISNUMBER(FIND("NUM",BR31)),RIGHT(BR31,2)="NO"))))+8*(LEFT(BR31,3)="SEQ")+16*(AND(LEFT(BR31,4)="ITEM",NOT(ISNUMBER(FIND("DESC",BR31)))))+32*(AND(ISNUMBER(FIND("DESC",BR31)),NOT(ISNUMBER(FIND("CAP",BR31)))))+64*(OR(RIGHT(BR31,5)="COUNT",RIGHT(BR31,2)="CT"))+128*(ISNUMBER(FIND("BULK",BR31)))+256*(ISNUMBER(FIND("SIZE",BR31)))+512*(LEFT(BR31,3)="CAP")+1024*(ISNUMBER(FIND("ALLERG",BR31)))+2048*(OR(ISNUMBER(FIND("REMARK",BR31)),ISNUMBER(FIND("COMMENT",BR31))))+4096*(OR(ISNUMBER(FIND("QTY",BR31)),ISNUMBER(FIND("QUANTITY",BR31))))+8192*(AND(OR(ISNUMBER(FIND("COMPLETE",BR31)),ISNUMBER(FIND("PCT",BR31)),ISNUMBER(FIND("PERCENT",BR31))),NOT(ISNUMBER(FIND("ACTUAL",BR31))),LEN(BR31)&lt;=16))+32768*(OR(ISNUMBER(FIND("DESIC",BR31)),ISNUMBER(FIND("DESSIC",BR31)))))</f>
        <v/>
      </c>
      <c r="BS166">
        <f>IF(BS31="",0,2*(OR(ISNUMBER(FIND("WORKCENTER",BS31)),AND(LEFT(BS31,4)="LINE",NOT(ISNUMBER(FIND("STATUS",BS31))))))+4*(OR(ISNUMBER(FIND("WORKORDER",BS31)),AND(LEFT(BS31,2)="WO",OR(ISNUMBER(FIND("NUM",BS31)),RIGHT(BS31,2)="NO"))))+8*(LEFT(BS31,3)="SEQ")+16*(AND(LEFT(BS31,4)="ITEM",NOT(ISNUMBER(FIND("DESC",BS31)))))+32*(AND(ISNUMBER(FIND("DESC",BS31)),NOT(ISNUMBER(FIND("CAP",BS31)))))+64*(OR(RIGHT(BS31,5)="COUNT",RIGHT(BS31,2)="CT"))+128*(ISNUMBER(FIND("BULK",BS31)))+256*(ISNUMBER(FIND("SIZE",BS31)))+512*(LEFT(BS31,3)="CAP")+1024*(ISNUMBER(FIND("ALLERG",BS31)))+2048*(OR(ISNUMBER(FIND("REMARK",BS31)),ISNUMBER(FIND("COMMENT",BS31))))+4096*(OR(ISNUMBER(FIND("QTY",BS31)),ISNUMBER(FIND("QUANTITY",BS31))))+8192*(AND(OR(ISNUMBER(FIND("COMPLETE",BS31)),ISNUMBER(FIND("PCT",BS31)),ISNUMBER(FIND("PERCENT",BS31))),NOT(ISNUMBER(FIND("ACTUAL",BS31))),LEN(BS31)&lt;=16))+32768*(OR(ISNUMBER(FIND("DESIC",BS31)),ISNUMBER(FIND("DESSIC",BS31)))))</f>
        <v/>
      </c>
      <c r="BT166">
        <f>IF(BT31="",0,2*(OR(ISNUMBER(FIND("WORKCENTER",BT31)),AND(LEFT(BT31,4)="LINE",NOT(ISNUMBER(FIND("STATUS",BT31))))))+4*(OR(ISNUMBER(FIND("WORKORDER",BT31)),AND(LEFT(BT31,2)="WO",OR(ISNUMBER(FIND("NUM",BT31)),RIGHT(BT31,2)="NO"))))+8*(LEFT(BT31,3)="SEQ")+16*(AND(LEFT(BT31,4)="ITEM",NOT(ISNUMBER(FIND("DESC",BT31)))))+32*(AND(ISNUMBER(FIND("DESC",BT31)),NOT(ISNUMBER(FIND("CAP",BT31)))))+64*(OR(RIGHT(BT31,5)="COUNT",RIGHT(BT31,2)="CT"))+128*(ISNUMBER(FIND("BULK",BT31)))+256*(ISNUMBER(FIND("SIZE",BT31)))+512*(LEFT(BT31,3)="CAP")+1024*(ISNUMBER(FIND("ALLERG",BT31)))+2048*(OR(ISNUMBER(FIND("REMARK",BT31)),ISNUMBER(FIND("COMMENT",BT31))))+4096*(OR(ISNUMBER(FIND("QTY",BT31)),ISNUMBER(FIND("QUANTITY",BT31))))+8192*(AND(OR(ISNUMBER(FIND("COMPLETE",BT31)),ISNUMBER(FIND("PCT",BT31)),ISNUMBER(FIND("PERCENT",BT31))),NOT(ISNUMBER(FIND("ACTUAL",BT31))),LEN(BT31)&lt;=16))+32768*(OR(ISNUMBER(FIND("DESIC",BT31)),ISNUMBER(FIND("DESSIC",BT31)))))</f>
        <v/>
      </c>
      <c r="BU166">
        <f>IF(BU31="",0,2*(OR(ISNUMBER(FIND("WORKCENTER",BU31)),AND(LEFT(BU31,4)="LINE",NOT(ISNUMBER(FIND("STATUS",BU31))))))+4*(OR(ISNUMBER(FIND("WORKORDER",BU31)),AND(LEFT(BU31,2)="WO",OR(ISNUMBER(FIND("NUM",BU31)),RIGHT(BU31,2)="NO"))))+8*(LEFT(BU31,3)="SEQ")+16*(AND(LEFT(BU31,4)="ITEM",NOT(ISNUMBER(FIND("DESC",BU31)))))+32*(AND(ISNUMBER(FIND("DESC",BU31)),NOT(ISNUMBER(FIND("CAP",BU31)))))+64*(OR(RIGHT(BU31,5)="COUNT",RIGHT(BU31,2)="CT"))+128*(ISNUMBER(FIND("BULK",BU31)))+256*(ISNUMBER(FIND("SIZE",BU31)))+512*(LEFT(BU31,3)="CAP")+1024*(ISNUMBER(FIND("ALLERG",BU31)))+2048*(OR(ISNUMBER(FIND("REMARK",BU31)),ISNUMBER(FIND("COMMENT",BU31))))+4096*(OR(ISNUMBER(FIND("QTY",BU31)),ISNUMBER(FIND("QUANTITY",BU31))))+8192*(AND(OR(ISNUMBER(FIND("COMPLETE",BU31)),ISNUMBER(FIND("PCT",BU31)),ISNUMBER(FIND("PERCENT",BU31))),NOT(ISNUMBER(FIND("ACTUAL",BU31))),LEN(BU31)&lt;=16))+32768*(OR(ISNUMBER(FIND("DESIC",BU31)),ISNUMBER(FIND("DESSIC",BU31)))))</f>
        <v/>
      </c>
      <c r="BV166">
        <f>IF(BV31="",0,2*(OR(ISNUMBER(FIND("WORKCENTER",BV31)),AND(LEFT(BV31,4)="LINE",NOT(ISNUMBER(FIND("STATUS",BV31))))))+4*(OR(ISNUMBER(FIND("WORKORDER",BV31)),AND(LEFT(BV31,2)="WO",OR(ISNUMBER(FIND("NUM",BV31)),RIGHT(BV31,2)="NO"))))+8*(LEFT(BV31,3)="SEQ")+16*(AND(LEFT(BV31,4)="ITEM",NOT(ISNUMBER(FIND("DESC",BV31)))))+32*(AND(ISNUMBER(FIND("DESC",BV31)),NOT(ISNUMBER(FIND("CAP",BV31)))))+64*(OR(RIGHT(BV31,5)="COUNT",RIGHT(BV31,2)="CT"))+128*(ISNUMBER(FIND("BULK",BV31)))+256*(ISNUMBER(FIND("SIZE",BV31)))+512*(LEFT(BV31,3)="CAP")+1024*(ISNUMBER(FIND("ALLERG",BV31)))+2048*(OR(ISNUMBER(FIND("REMARK",BV31)),ISNUMBER(FIND("COMMENT",BV31))))+4096*(OR(ISNUMBER(FIND("QTY",BV31)),ISNUMBER(FIND("QUANTITY",BV31))))+8192*(AND(OR(ISNUMBER(FIND("COMPLETE",BV31)),ISNUMBER(FIND("PCT",BV31)),ISNUMBER(FIND("PERCENT",BV31))),NOT(ISNUMBER(FIND("ACTUAL",BV31))),LEN(BV31)&lt;=16))+32768*(OR(ISNUMBER(FIND("DESIC",BV31)),ISNUMBER(FIND("DESSIC",BV31)))))</f>
        <v/>
      </c>
      <c r="BW166">
        <f>IF(BW31="",0,2*(OR(ISNUMBER(FIND("WORKCENTER",BW31)),AND(LEFT(BW31,4)="LINE",NOT(ISNUMBER(FIND("STATUS",BW31))))))+4*(OR(ISNUMBER(FIND("WORKORDER",BW31)),AND(LEFT(BW31,2)="WO",OR(ISNUMBER(FIND("NUM",BW31)),RIGHT(BW31,2)="NO"))))+8*(LEFT(BW31,3)="SEQ")+16*(AND(LEFT(BW31,4)="ITEM",NOT(ISNUMBER(FIND("DESC",BW31)))))+32*(AND(ISNUMBER(FIND("DESC",BW31)),NOT(ISNUMBER(FIND("CAP",BW31)))))+64*(OR(RIGHT(BW31,5)="COUNT",RIGHT(BW31,2)="CT"))+128*(ISNUMBER(FIND("BULK",BW31)))+256*(ISNUMBER(FIND("SIZE",BW31)))+512*(LEFT(BW31,3)="CAP")+1024*(ISNUMBER(FIND("ALLERG",BW31)))+2048*(OR(ISNUMBER(FIND("REMARK",BW31)),ISNUMBER(FIND("COMMENT",BW31))))+4096*(OR(ISNUMBER(FIND("QTY",BW31)),ISNUMBER(FIND("QUANTITY",BW31))))+8192*(AND(OR(ISNUMBER(FIND("COMPLETE",BW31)),ISNUMBER(FIND("PCT",BW31)),ISNUMBER(FIND("PERCENT",BW31))),NOT(ISNUMBER(FIND("ACTUAL",BW31))),LEN(BW31)&lt;=16))+32768*(OR(ISNUMBER(FIND("DESIC",BW31)),ISNUMBER(FIND("DESSIC",BW31)))))</f>
        <v/>
      </c>
      <c r="BX166">
        <f>IF(BX31="",0,2*(OR(ISNUMBER(FIND("WORKCENTER",BX31)),AND(LEFT(BX31,4)="LINE",NOT(ISNUMBER(FIND("STATUS",BX31))))))+4*(OR(ISNUMBER(FIND("WORKORDER",BX31)),AND(LEFT(BX31,2)="WO",OR(ISNUMBER(FIND("NUM",BX31)),RIGHT(BX31,2)="NO"))))+8*(LEFT(BX31,3)="SEQ")+16*(AND(LEFT(BX31,4)="ITEM",NOT(ISNUMBER(FIND("DESC",BX31)))))+32*(AND(ISNUMBER(FIND("DESC",BX31)),NOT(ISNUMBER(FIND("CAP",BX31)))))+64*(OR(RIGHT(BX31,5)="COUNT",RIGHT(BX31,2)="CT"))+128*(ISNUMBER(FIND("BULK",BX31)))+256*(ISNUMBER(FIND("SIZE",BX31)))+512*(LEFT(BX31,3)="CAP")+1024*(ISNUMBER(FIND("ALLERG",BX31)))+2048*(OR(ISNUMBER(FIND("REMARK",BX31)),ISNUMBER(FIND("COMMENT",BX31))))+4096*(OR(ISNUMBER(FIND("QTY",BX31)),ISNUMBER(FIND("QUANTITY",BX31))))+8192*(AND(OR(ISNUMBER(FIND("COMPLETE",BX31)),ISNUMBER(FIND("PCT",BX31)),ISNUMBER(FIND("PERCENT",BX31))),NOT(ISNUMBER(FIND("ACTUAL",BX31))),LEN(BX31)&lt;=16))+32768*(OR(ISNUMBER(FIND("DESIC",BX31)),ISNUMBER(FIND("DESSIC",BX31)))))</f>
        <v/>
      </c>
      <c r="BY166">
        <f>IF(BY31="",0,2*(OR(ISNUMBER(FIND("WORKCENTER",BY31)),AND(LEFT(BY31,4)="LINE",NOT(ISNUMBER(FIND("STATUS",BY31))))))+4*(OR(ISNUMBER(FIND("WORKORDER",BY31)),AND(LEFT(BY31,2)="WO",OR(ISNUMBER(FIND("NUM",BY31)),RIGHT(BY31,2)="NO"))))+8*(LEFT(BY31,3)="SEQ")+16*(AND(LEFT(BY31,4)="ITEM",NOT(ISNUMBER(FIND("DESC",BY31)))))+32*(AND(ISNUMBER(FIND("DESC",BY31)),NOT(ISNUMBER(FIND("CAP",BY31)))))+64*(OR(RIGHT(BY31,5)="COUNT",RIGHT(BY31,2)="CT"))+128*(ISNUMBER(FIND("BULK",BY31)))+256*(ISNUMBER(FIND("SIZE",BY31)))+512*(LEFT(BY31,3)="CAP")+1024*(ISNUMBER(FIND("ALLERG",BY31)))+2048*(OR(ISNUMBER(FIND("REMARK",BY31)),ISNUMBER(FIND("COMMENT",BY31))))+4096*(OR(ISNUMBER(FIND("QTY",BY31)),ISNUMBER(FIND("QUANTITY",BY31))))+8192*(AND(OR(ISNUMBER(FIND("COMPLETE",BY31)),ISNUMBER(FIND("PCT",BY31)),ISNUMBER(FIND("PERCENT",BY31))),NOT(ISNUMBER(FIND("ACTUAL",BY31))),LEN(BY31)&lt;=16))+32768*(OR(ISNUMBER(FIND("DESIC",BY31)),ISNUMBER(FIND("DESSIC",BY31)))))</f>
        <v/>
      </c>
      <c r="BZ166">
        <f>IF(BZ31="",0,2*(OR(ISNUMBER(FIND("WORKCENTER",BZ31)),AND(LEFT(BZ31,4)="LINE",NOT(ISNUMBER(FIND("STATUS",BZ31))))))+4*(OR(ISNUMBER(FIND("WORKORDER",BZ31)),AND(LEFT(BZ31,2)="WO",OR(ISNUMBER(FIND("NUM",BZ31)),RIGHT(BZ31,2)="NO"))))+8*(LEFT(BZ31,3)="SEQ")+16*(AND(LEFT(BZ31,4)="ITEM",NOT(ISNUMBER(FIND("DESC",BZ31)))))+32*(AND(ISNUMBER(FIND("DESC",BZ31)),NOT(ISNUMBER(FIND("CAP",BZ31)))))+64*(OR(RIGHT(BZ31,5)="COUNT",RIGHT(BZ31,2)="CT"))+128*(ISNUMBER(FIND("BULK",BZ31)))+256*(ISNUMBER(FIND("SIZE",BZ31)))+512*(LEFT(BZ31,3)="CAP")+1024*(ISNUMBER(FIND("ALLERG",BZ31)))+2048*(OR(ISNUMBER(FIND("REMARK",BZ31)),ISNUMBER(FIND("COMMENT",BZ31))))+4096*(OR(ISNUMBER(FIND("QTY",BZ31)),ISNUMBER(FIND("QUANTITY",BZ31))))+8192*(AND(OR(ISNUMBER(FIND("COMPLETE",BZ31)),ISNUMBER(FIND("PCT",BZ31)),ISNUMBER(FIND("PERCENT",BZ31))),NOT(ISNUMBER(FIND("ACTUAL",BZ31))),LEN(BZ31)&lt;=16))+32768*(OR(ISNUMBER(FIND("DESIC",BZ31)),ISNUMBER(FIND("DESSIC",BZ31)))))</f>
        <v/>
      </c>
      <c r="CA166">
        <f>IF(CA31="",0,2*(OR(ISNUMBER(FIND("WORKCENTER",CA31)),AND(LEFT(CA31,4)="LINE",NOT(ISNUMBER(FIND("STATUS",CA31))))))+4*(OR(ISNUMBER(FIND("WORKORDER",CA31)),AND(LEFT(CA31,2)="WO",OR(ISNUMBER(FIND("NUM",CA31)),RIGHT(CA31,2)="NO"))))+8*(LEFT(CA31,3)="SEQ")+16*(AND(LEFT(CA31,4)="ITEM",NOT(ISNUMBER(FIND("DESC",CA31)))))+32*(AND(ISNUMBER(FIND("DESC",CA31)),NOT(ISNUMBER(FIND("CAP",CA31)))))+64*(OR(RIGHT(CA31,5)="COUNT",RIGHT(CA31,2)="CT"))+128*(ISNUMBER(FIND("BULK",CA31)))+256*(ISNUMBER(FIND("SIZE",CA31)))+512*(LEFT(CA31,3)="CAP")+1024*(ISNUMBER(FIND("ALLERG",CA31)))+2048*(OR(ISNUMBER(FIND("REMARK",CA31)),ISNUMBER(FIND("COMMENT",CA31))))+4096*(OR(ISNUMBER(FIND("QTY",CA31)),ISNUMBER(FIND("QUANTITY",CA31))))+8192*(AND(OR(ISNUMBER(FIND("COMPLETE",CA31)),ISNUMBER(FIND("PCT",CA31)),ISNUMBER(FIND("PERCENT",CA31))),NOT(ISNUMBER(FIND("ACTUAL",CA31))),LEN(CA31)&lt;=16))+32768*(OR(ISNUMBER(FIND("DESIC",CA31)),ISNUMBER(FIND("DESSIC",CA31)))))</f>
        <v/>
      </c>
      <c r="CB166">
        <f>IF(CB31="",0,2*(OR(ISNUMBER(FIND("WORKCENTER",CB31)),AND(LEFT(CB31,4)="LINE",NOT(ISNUMBER(FIND("STATUS",CB31))))))+4*(OR(ISNUMBER(FIND("WORKORDER",CB31)),AND(LEFT(CB31,2)="WO",OR(ISNUMBER(FIND("NUM",CB31)),RIGHT(CB31,2)="NO"))))+8*(LEFT(CB31,3)="SEQ")+16*(AND(LEFT(CB31,4)="ITEM",NOT(ISNUMBER(FIND("DESC",CB31)))))+32*(AND(ISNUMBER(FIND("DESC",CB31)),NOT(ISNUMBER(FIND("CAP",CB31)))))+64*(OR(RIGHT(CB31,5)="COUNT",RIGHT(CB31,2)="CT"))+128*(ISNUMBER(FIND("BULK",CB31)))+256*(ISNUMBER(FIND("SIZE",CB31)))+512*(LEFT(CB31,3)="CAP")+1024*(ISNUMBER(FIND("ALLERG",CB31)))+2048*(OR(ISNUMBER(FIND("REMARK",CB31)),ISNUMBER(FIND("COMMENT",CB31))))+4096*(OR(ISNUMBER(FIND("QTY",CB31)),ISNUMBER(FIND("QUANTITY",CB31))))+8192*(AND(OR(ISNUMBER(FIND("COMPLETE",CB31)),ISNUMBER(FIND("PCT",CB31)),ISNUMBER(FIND("PERCENT",CB31))),NOT(ISNUMBER(FIND("ACTUAL",CB31))),LEN(CB31)&lt;=16))+32768*(OR(ISNUMBER(FIND("DESIC",CB31)),ISNUMBER(FIND("DESSIC",CB31)))))</f>
        <v/>
      </c>
      <c r="CC166">
        <f>IF(CC31="",0,2*(OR(ISNUMBER(FIND("WORKCENTER",CC31)),AND(LEFT(CC31,4)="LINE",NOT(ISNUMBER(FIND("STATUS",CC31))))))+4*(OR(ISNUMBER(FIND("WORKORDER",CC31)),AND(LEFT(CC31,2)="WO",OR(ISNUMBER(FIND("NUM",CC31)),RIGHT(CC31,2)="NO"))))+8*(LEFT(CC31,3)="SEQ")+16*(AND(LEFT(CC31,4)="ITEM",NOT(ISNUMBER(FIND("DESC",CC31)))))+32*(AND(ISNUMBER(FIND("DESC",CC31)),NOT(ISNUMBER(FIND("CAP",CC31)))))+64*(OR(RIGHT(CC31,5)="COUNT",RIGHT(CC31,2)="CT"))+128*(ISNUMBER(FIND("BULK",CC31)))+256*(ISNUMBER(FIND("SIZE",CC31)))+512*(LEFT(CC31,3)="CAP")+1024*(ISNUMBER(FIND("ALLERG",CC31)))+2048*(OR(ISNUMBER(FIND("REMARK",CC31)),ISNUMBER(FIND("COMMENT",CC31))))+4096*(OR(ISNUMBER(FIND("QTY",CC31)),ISNUMBER(FIND("QUANTITY",CC31))))+8192*(AND(OR(ISNUMBER(FIND("COMPLETE",CC31)),ISNUMBER(FIND("PCT",CC31)),ISNUMBER(FIND("PERCENT",CC31))),NOT(ISNUMBER(FIND("ACTUAL",CC31))),LEN(CC31)&lt;=16))+32768*(OR(ISNUMBER(FIND("DESIC",CC31)),ISNUMBER(FIND("DESSIC",CC31)))))</f>
        <v/>
      </c>
      <c r="CD166">
        <f>IF(CD31="",0,2*(OR(ISNUMBER(FIND("WORKCENTER",CD31)),AND(LEFT(CD31,4)="LINE",NOT(ISNUMBER(FIND("STATUS",CD31))))))+4*(OR(ISNUMBER(FIND("WORKORDER",CD31)),AND(LEFT(CD31,2)="WO",OR(ISNUMBER(FIND("NUM",CD31)),RIGHT(CD31,2)="NO"))))+8*(LEFT(CD31,3)="SEQ")+16*(AND(LEFT(CD31,4)="ITEM",NOT(ISNUMBER(FIND("DESC",CD31)))))+32*(AND(ISNUMBER(FIND("DESC",CD31)),NOT(ISNUMBER(FIND("CAP",CD31)))))+64*(OR(RIGHT(CD31,5)="COUNT",RIGHT(CD31,2)="CT"))+128*(ISNUMBER(FIND("BULK",CD31)))+256*(ISNUMBER(FIND("SIZE",CD31)))+512*(LEFT(CD31,3)="CAP")+1024*(ISNUMBER(FIND("ALLERG",CD31)))+2048*(OR(ISNUMBER(FIND("REMARK",CD31)),ISNUMBER(FIND("COMMENT",CD31))))+4096*(OR(ISNUMBER(FIND("QTY",CD31)),ISNUMBER(FIND("QUANTITY",CD31))))+8192*(AND(OR(ISNUMBER(FIND("COMPLETE",CD31)),ISNUMBER(FIND("PCT",CD31)),ISNUMBER(FIND("PERCENT",CD31))),NOT(ISNUMBER(FIND("ACTUAL",CD31))),LEN(CD31)&lt;=16))+32768*(OR(ISNUMBER(FIND("DESIC",CD31)),ISNUMBER(FIND("DESSIC",CD31)))))</f>
        <v/>
      </c>
      <c r="CE166">
        <f>IF(CE31="",0,2*(OR(ISNUMBER(FIND("WORKCENTER",CE31)),AND(LEFT(CE31,4)="LINE",NOT(ISNUMBER(FIND("STATUS",CE31))))))+4*(OR(ISNUMBER(FIND("WORKORDER",CE31)),AND(LEFT(CE31,2)="WO",OR(ISNUMBER(FIND("NUM",CE31)),RIGHT(CE31,2)="NO"))))+8*(LEFT(CE31,3)="SEQ")+16*(AND(LEFT(CE31,4)="ITEM",NOT(ISNUMBER(FIND("DESC",CE31)))))+32*(AND(ISNUMBER(FIND("DESC",CE31)),NOT(ISNUMBER(FIND("CAP",CE31)))))+64*(OR(RIGHT(CE31,5)="COUNT",RIGHT(CE31,2)="CT"))+128*(ISNUMBER(FIND("BULK",CE31)))+256*(ISNUMBER(FIND("SIZE",CE31)))+512*(LEFT(CE31,3)="CAP")+1024*(ISNUMBER(FIND("ALLERG",CE31)))+2048*(OR(ISNUMBER(FIND("REMARK",CE31)),ISNUMBER(FIND("COMMENT",CE31))))+4096*(OR(ISNUMBER(FIND("QTY",CE31)),ISNUMBER(FIND("QUANTITY",CE31))))+8192*(AND(OR(ISNUMBER(FIND("COMPLETE",CE31)),ISNUMBER(FIND("PCT",CE31)),ISNUMBER(FIND("PERCENT",CE31))),NOT(ISNUMBER(FIND("ACTUAL",CE31))),LEN(CE31)&lt;=16))+32768*(OR(ISNUMBER(FIND("DESIC",CE31)),ISNUMBER(FIND("DESSIC",CE31)))))</f>
        <v/>
      </c>
      <c r="CF166">
        <f>IF(CF31="",0,2*(OR(ISNUMBER(FIND("WORKCENTER",CF31)),AND(LEFT(CF31,4)="LINE",NOT(ISNUMBER(FIND("STATUS",CF31))))))+4*(OR(ISNUMBER(FIND("WORKORDER",CF31)),AND(LEFT(CF31,2)="WO",OR(ISNUMBER(FIND("NUM",CF31)),RIGHT(CF31,2)="NO"))))+8*(LEFT(CF31,3)="SEQ")+16*(AND(LEFT(CF31,4)="ITEM",NOT(ISNUMBER(FIND("DESC",CF31)))))+32*(AND(ISNUMBER(FIND("DESC",CF31)),NOT(ISNUMBER(FIND("CAP",CF31)))))+64*(OR(RIGHT(CF31,5)="COUNT",RIGHT(CF31,2)="CT"))+128*(ISNUMBER(FIND("BULK",CF31)))+256*(ISNUMBER(FIND("SIZE",CF31)))+512*(LEFT(CF31,3)="CAP")+1024*(ISNUMBER(FIND("ALLERG",CF31)))+2048*(OR(ISNUMBER(FIND("REMARK",CF31)),ISNUMBER(FIND("COMMENT",CF31))))+4096*(OR(ISNUMBER(FIND("QTY",CF31)),ISNUMBER(FIND("QUANTITY",CF31))))+8192*(AND(OR(ISNUMBER(FIND("COMPLETE",CF31)),ISNUMBER(FIND("PCT",CF31)),ISNUMBER(FIND("PERCENT",CF31))),NOT(ISNUMBER(FIND("ACTUAL",CF31))),LEN(CF31)&lt;=16))+32768*(OR(ISNUMBER(FIND("DESIC",CF31)),ISNUMBER(FIND("DESSIC",CF31)))))</f>
        <v/>
      </c>
      <c r="DA166" t="n">
        <v>162</v>
      </c>
      <c r="DB166">
        <f>IF($B$37=0,"",IFERROR(TRIM(SUBSTITUTE(SUBSTITUTE(SUBSTITUTE(SUBSTITUTE(INDEX(PASTE_ALL,162,$B$37)," "," "),CHAR(9)," "),CHAR(10)," "),CHAR(13)," ")),""))</f>
        <v/>
      </c>
      <c r="DC166">
        <f>IF(AND(162&gt;HEADER_ROW,UPPER(DB166)="LEGEND"),1,0)</f>
        <v/>
      </c>
      <c r="DE166" t="n">
        <v>162</v>
      </c>
      <c r="DF166">
        <f>HEADER_ROW+$DE166</f>
        <v/>
      </c>
      <c r="DG166">
        <f>IF(AND($DF166&lt;=1000,$DF166&lt;$B$8),1,0)</f>
        <v/>
      </c>
      <c r="DH166">
        <f>IF($DG166=1,IFERROR(INDEX($DB$5:$DB$1004,$DF166),""),"")</f>
        <v/>
      </c>
      <c r="DI166">
        <f>IF(AND($DG166=1,$DH166&lt;&gt;""),IFERROR(SUBSTITUTE(SUBSTITUTE(TRIM(SUBSTITUTE(SUBSTITUTE(SUBSTITUTE(SUBSTITUTE(IFERROR(INDEX(PASTE_ALL,$DF166,1)&amp;"","")&amp;"␟"&amp;IFERROR(INDEX(PASTE_ALL,$DF166,2)&amp;"","")&amp;"␟"&amp;IFERROR(INDEX(PASTE_ALL,$DF166,3)&amp;"","")&amp;"␟"&amp;IFERROR(INDEX(PASTE_ALL,$DF166,4)&amp;"","")&amp;"␟"&amp;IFERROR(INDEX(PASTE_ALL,$DF166,5)&amp;"","")&amp;"␟"&amp;IFERROR(INDEX(PASTE_ALL,$DF166,6)&amp;"","")&amp;"␟"&amp;IFERROR(INDEX(PASTE_ALL,$DF166,7)&amp;"","")&amp;"␟"&amp;IFERROR(INDEX(PASTE_ALL,$DF166,8)&amp;"","")&amp;"␟"&amp;IFERROR(INDEX(PASTE_ALL,$DF166,9)&amp;"","")&amp;"␟"&amp;IFERROR(INDEX(PASTE_ALL,$DF166,10)&amp;"","")&amp;"␟"&amp;IFERROR(INDEX(PASTE_ALL,$DF166,11)&amp;"","")&amp;"␟"&amp;IFERROR(INDEX(PASTE_ALL,$DF166,12)&amp;"","")&amp;"␟"&amp;IFERROR(INDEX(PASTE_ALL,$DF166,13)&amp;"","")&amp;"␟"&amp;IFERROR(INDEX(PASTE_ALL,$DF166,14)&amp;"","")&amp;"␟"&amp;IFERROR(INDEX(PASTE_ALL,$DF166,15)&amp;"","")&amp;"␟"&amp;IFERROR(INDEX(PASTE_ALL,$DF166,16)&amp;"","")&amp;"␟"&amp;IFERROR(INDEX(PASTE_ALL,$DF166,17)&amp;"","")&amp;"␟"&amp;IFERROR(INDEX(PASTE_ALL,$DF166,18)&amp;"","")&amp;"␟"&amp;IFERROR(INDEX(PASTE_ALL,$DF166,19)&amp;"","")&amp;"␟"&amp;IFERROR(INDEX(PASTE_ALL,$DF166,20)&amp;"","")&amp;"␟"&amp;IFERROR(INDEX(PASTE_ALL,$DF166,21)&amp;"","")&amp;"␟"&amp;IFERROR(INDEX(PASTE_ALL,$DF166,22)&amp;"","")&amp;"␟"&amp;IFERROR(INDEX(PASTE_ALL,$DF166,23)&amp;"","")&amp;"␟"&amp;IFERROR(INDEX(PASTE_ALL,$DF166,24)&amp;"","")&amp;"␟"&amp;IFERROR(INDEX(PASTE_ALL,$DF166,25)&amp;"","")&amp;"␟"&amp;IFERROR(INDEX(PASTE_ALL,$DF166,26)&amp;"","")&amp;"␟"&amp;IFERROR(INDEX(PASTE_ALL,$DF166,27)&amp;"","")&amp;"␟"&amp;IFERROR(INDEX(PASTE_ALL,$DF166,28)&amp;"","")&amp;"␟"&amp;IFERROR(INDEX(PASTE_ALL,$DF166,29)&amp;"","")&amp;"␟"&amp;IFERROR(INDEX(PASTE_ALL,$DF166,30)&amp;"","")&amp;"␟"&amp;IFERROR(INDEX(PASTE_ALL,$DF166,31)&amp;"","")&amp;"␟"&amp;IFERROR(INDEX(PASTE_ALL,$DF166,32)&amp;"","")&amp;"␟"&amp;IFERROR(INDEX(PASTE_ALL,$DF166,33)&amp;"","")&amp;"␟"&amp;IFERROR(INDEX(PASTE_ALL,$DF166,34)&amp;"","")&amp;"␟"&amp;IFERROR(INDEX(PASTE_ALL,$DF166,35)&amp;"","")&amp;"␟"&amp;IFERROR(INDEX(PASTE_ALL,$DF166,36)&amp;"","")&amp;"␟"&amp;IFERROR(INDEX(PASTE_ALL,$DF166,37)&amp;"","")&amp;"␟"&amp;IFERROR(INDEX(PASTE_ALL,$DF166,38)&amp;"","")&amp;"␟"&amp;IFERROR(INDEX(PASTE_ALL,$DF166,39)&amp;"","")&amp;"␟"&amp;IFERROR(INDEX(PASTE_ALL,$DF166,40)&amp;"","")&amp;"␟"&amp;IFERROR(INDEX(PASTE_ALL,$DF166,41)&amp;"","")&amp;"␟"&amp;IFERROR(INDEX(PASTE_ALL,$DF166,42)&amp;"","")&amp;"␟"&amp;IFERROR(INDEX(PASTE_ALL,$DF166,43)&amp;"","")&amp;"␟"&amp;IFERROR(INDEX(PASTE_ALL,$DF166,44)&amp;"","")&amp;"␟"&amp;IFERROR(INDEX(PASTE_ALL,$DF166,45)&amp;"","")&amp;"␟"&amp;IFERROR(INDEX(PASTE_ALL,$DF166,46)&amp;"","")&amp;"␟"&amp;IFERROR(INDEX(PASTE_ALL,$DF166,47)&amp;"","")&amp;"␟"&amp;IFERROR(INDEX(PASTE_ALL,$DF166,48)&amp;"","")&amp;"␟"&amp;IFERROR(INDEX(PASTE_ALL,$DF166,49)&amp;"","")&amp;"␟"&amp;IFERROR(INDEX(PASTE_ALL,$DF166,50)&amp;"","")&amp;"␟"&amp;IFERROR(INDEX(PASTE_ALL,$DF166,51)&amp;"","")&amp;"␟"&amp;IFERROR(INDEX(PASTE_ALL,$DF166,52)&amp;"","")&amp;"␟"&amp;IFERROR(INDEX(PASTE_ALL,$DF166,53)&amp;"","")&amp;"␟"&amp;IFERROR(INDEX(PASTE_ALL,$DF166,54)&amp;"","")&amp;"␟"&amp;IFERROR(INDEX(PASTE_ALL,$DF166,55)&amp;"","")&amp;"␟"&amp;IFERROR(INDEX(PASTE_ALL,$DF166,56)&amp;"","")&amp;"␟"&amp;IFERROR(INDEX(PASTE_ALL,$DF166,57)&amp;"","")&amp;"␟"&amp;IFERROR(INDEX(PASTE_ALL,$DF166,58)&amp;"","")&amp;"␟"&amp;IFERROR(INDEX(PASTE_ALL,$DF166,59)&amp;"","")&amp;"␟"&amp;IFERROR(INDEX(PASTE_ALL,$DF166,60)&amp;"","")," "," "),CHAR(9)," "),CHAR(10)," "),CHAR(13)," "))," ␟","␟"),"␟ ","␟"),"#"&amp;$DE166),"")</f>
        <v/>
      </c>
      <c r="DJ166">
        <f>IF($DI166="",0,IF(SUMPRODUCT(--EXACT($DI$4:DI165,$DI166))&gt;0,1,0))</f>
        <v/>
      </c>
      <c r="DK166">
        <f>IF(AND($DI166&lt;&gt;"",$DJ166=0),1,0)</f>
        <v/>
      </c>
      <c r="DL166">
        <f>DL165+$DK166</f>
        <v/>
      </c>
      <c r="DM166">
        <f>IF(AND($DK166=1,$DL166&lt;=600),1,0)</f>
        <v/>
      </c>
      <c r="DN166">
        <f>IF($DM166=0,"",IF($L$6=0,"",IFERROR(IF(ISNUMBER(INDEX(PASTE_ALL,$DF166,$L$6)),INDEX(PASTE_ALL,$DF166,$L$6),TRIM(SUBSTITUTE(SUBSTITUTE(SUBSTITUTE(SUBSTITUTE(INDEX(PASTE_ALL,$DF166,$L$6)," "," "),CHAR(9)," "),CHAR(10)," "),CHAR(13)," "))),"")))</f>
        <v/>
      </c>
      <c r="DO166">
        <f>IF($DM166=0,"",IF($L$7=0,"",IFERROR(IF(ISNUMBER(INDEX(PASTE_ALL,$DF166,$L$7)),INDEX(PASTE_ALL,$DF166,$L$7),TRIM(SUBSTITUTE(SUBSTITUTE(SUBSTITUTE(SUBSTITUTE(INDEX(PASTE_ALL,$DF166,$L$7)," "," "),CHAR(9)," "),CHAR(10)," "),CHAR(13)," "))),"")))</f>
        <v/>
      </c>
      <c r="DP166">
        <f>IF($DM166=0,"",IF($L$8=0,"",IFERROR(IF(ISNUMBER(INDEX(PASTE_ALL,$DF166,$L$8)),INDEX(PASTE_ALL,$DF166,$L$8),TRIM(SUBSTITUTE(SUBSTITUTE(SUBSTITUTE(SUBSTITUTE(INDEX(PASTE_ALL,$DF166,$L$8)," "," "),CHAR(9)," "),CHAR(10)," "),CHAR(13)," "))),"")))</f>
        <v/>
      </c>
      <c r="DQ166">
        <f>IF($DM166=0,"",IF($L$9=0,"",IFERROR(IF(ISNUMBER(INDEX(PASTE_ALL,$DF166,$L$9)),INDEX(PASTE_ALL,$DF166,$L$9),TRIM(SUBSTITUTE(SUBSTITUTE(SUBSTITUTE(SUBSTITUTE(INDEX(PASTE_ALL,$DF166,$L$9)," "," "),CHAR(9)," "),CHAR(10)," "),CHAR(13)," "))),"")))</f>
        <v/>
      </c>
      <c r="DR166">
        <f>IF($DM166=0,"",IF($L$10=0,"",IFERROR(IF(ISNUMBER(INDEX(PASTE_ALL,$DF166,$L$10)),INDEX(PASTE_ALL,$DF166,$L$10),TRIM(SUBSTITUTE(SUBSTITUTE(SUBSTITUTE(SUBSTITUTE(INDEX(PASTE_ALL,$DF166,$L$10)," "," "),CHAR(9)," "),CHAR(10)," "),CHAR(13)," "))),"")))</f>
        <v/>
      </c>
      <c r="DS166">
        <f>IF($DM166=0,"",IF($L$11=0,"",IFERROR(IF(ISNUMBER(INDEX(PASTE_ALL,$DF166,$L$11)),INDEX(PASTE_ALL,$DF166,$L$11),TRIM(SUBSTITUTE(SUBSTITUTE(SUBSTITUTE(SUBSTITUTE(INDEX(PASTE_ALL,$DF166,$L$11)," "," "),CHAR(9)," "),CHAR(10)," "),CHAR(13)," "))),"")))</f>
        <v/>
      </c>
      <c r="DT166">
        <f>IF($DM166=0,"",IF($L$12=0,"",IFERROR(IF(ISNUMBER(INDEX(PASTE_ALL,$DF166,$L$12)),INDEX(PASTE_ALL,$DF166,$L$12),TRIM(SUBSTITUTE(SUBSTITUTE(SUBSTITUTE(SUBSTITUTE(INDEX(PASTE_ALL,$DF166,$L$12)," "," "),CHAR(9)," "),CHAR(10)," "),CHAR(13)," "))),"")))</f>
        <v/>
      </c>
      <c r="DU166">
        <f>IF($DM166=0,"",IF($L$13=0,"",IFERROR(IF(ISNUMBER(INDEX(PASTE_ALL,$DF166,$L$13)),INDEX(PASTE_ALL,$DF166,$L$13),TRIM(SUBSTITUTE(SUBSTITUTE(SUBSTITUTE(SUBSTITUTE(INDEX(PASTE_ALL,$DF166,$L$13)," "," "),CHAR(9)," "),CHAR(10)," "),CHAR(13)," "))),"")))</f>
        <v/>
      </c>
      <c r="DV166">
        <f>IF($DM166=0,"",IF($L$14=0,"",IFERROR(IF(ISNUMBER(INDEX(PASTE_ALL,$DF166,$L$14)),INDEX(PASTE_ALL,$DF166,$L$14),TRIM(SUBSTITUTE(SUBSTITUTE(SUBSTITUTE(SUBSTITUTE(INDEX(PASTE_ALL,$DF166,$L$14)," "," "),CHAR(9)," "),CHAR(10)," "),CHAR(13)," "))),"")))</f>
        <v/>
      </c>
      <c r="DW166">
        <f>IF($DM166=0,"",IF($L$15=0,"",IFERROR(IF(ISNUMBER(INDEX(PASTE_ALL,$DF166,$L$15)),INDEX(PASTE_ALL,$DF166,$L$15),IF(SUMPRODUCT(--ISNUMBER(FIND({"A","B","C","D","E","F","G","H","I","J","K","L","M","N","O","P","Q","R","S","T","U","V","W","X","Y","Z","0","1","2","3","4","5","6","7","8","9"},UPPER(TRIM(SUBSTITUTE(SUBSTITUTE(SUBSTITUTE(SUBSTITUTE(INDEX(PASTE_ALL,$DF166,$L$15)," "," "),CHAR(9)," "),CHAR(10)," "),CHAR(13)," "))))))&gt;0,TRIM(SUBSTITUTE(SUBSTITUTE(SUBSTITUTE(SUBSTITUTE(INDEX(PASTE_ALL,$DF166,$L$15)," "," "),CHAR(9)," "),CHAR(10)," "),CHAR(13)," ")),"")),"")))</f>
        <v/>
      </c>
      <c r="DX166">
        <f>IF($DM166=0,"",IF($L$16=0,"",IFERROR(IF(ISNUMBER(INDEX(PASTE_ALL,$DF166,$L$16)),INDEX(PASTE_ALL,$DF166,$L$16),SUBSTITUTE(SUBSTITUTE(TRIM(SUBSTITUTE(SUBSTITUTE(SUBSTITUTE(SUBSTITUTE(INDEX(PASTE_ALL,$DF166,$L$16)," "," "),CHAR(9)," "),CHAR(10)," "),CHAR(13)," ")),",",""),"%","")),"")))</f>
        <v/>
      </c>
      <c r="DY166">
        <f>IF($DM166=0,"",IFERROR(IF(ISNUMBER($DX166),$DX166,IF($DX166="","",IF(TRIM($DX166)="",0,IF(AND(AND(SUBSTITUTE(SUBSTITUTE(SUBSTITUTE(SUBSTITUTE(SUBSTITUTE(SUBSTITUTE(SUBSTITUTE(SUBSTITUTE(SUBSTITUTE(SUBSTITUTE(SUBSTITUTE(SUBSTITUTE(SUBSTITUTE(SUBSTITUTE(UPPER(TRIM($DX166)),"0",""),"1",""),"2",""),"3",""),"4",""),"5",""),"6",""),"7",""),"8",""),"9",""),".",""),"+",""),"-",""),"E","")="",LEN(SUBSTITUTE(SUBSTITUTE(MID(UPPER(TRIM($DX166)),1+OR(LEFT(UPPER(TRIM($DX166)),1)="+",LEFT(UPPER(TRIM($DX166)),1)="-"),999),"E+","E"),"E-","E"))=LEN(SUBSTITUTE(SUBSTITUTE(SUBSTITUTE(SUBSTITUTE(MID(UPPER(TRIM($DX166)),1+OR(LEFT(UPPER(TRIM($DX166)),1)="+",LEFT(UPPER(TRIM($DX166)),1)="-"),999),"E+","E"),"E-","E"),"+",""),"-","")),LEN(UPPER(TRIM($DX166)))-LEN(SUBSTITUTE(UPPER(TRIM($DX166)),"E",""))&lt;2,LEN(UPPER(TRIM($DX166)))-LEN(SUBSTITUTE(UPPER(TRIM($DX166)),".",""))&lt;2,IFERROR(FIND(".",UPPER(TRIM($DX166))),0)&lt;IFERROR(FIND("E",UPPER(TRIM($DX166))),999)),ISNUMBER(VALUE(TRIM($DX166)))),VALUE(TRIM($DX166)),"")))),""))</f>
        <v/>
      </c>
      <c r="DZ166">
        <f>IF($DM166=0,"",IF($L$17=0,"",IFERROR(IF(ISNUMBER(INDEX(PASTE_ALL,$DF166,$L$17)),INDEX(PASTE_ALL,$DF166,$L$17),SUBSTITUTE(SUBSTITUTE(TRIM(SUBSTITUTE(SUBSTITUTE(SUBSTITUTE(SUBSTITUTE(INDEX(PASTE_ALL,$DF166,$L$17)," "," "),CHAR(9)," "),CHAR(10)," "),CHAR(13)," ")),",",""),"%","")),"")))</f>
        <v/>
      </c>
      <c r="EA166">
        <f>IF($DM166=0,"",IFERROR(IF(ISNUMBER($DZ166),$DZ166,IF($DZ166="","",IF(TRIM($DZ166)="",0,IF(AND(AND(SUBSTITUTE(SUBSTITUTE(SUBSTITUTE(SUBSTITUTE(SUBSTITUTE(SUBSTITUTE(SUBSTITUTE(SUBSTITUTE(SUBSTITUTE(SUBSTITUTE(SUBSTITUTE(SUBSTITUTE(SUBSTITUTE(SUBSTITUTE(UPPER(TRIM($DZ166)),"0",""),"1",""),"2",""),"3",""),"4",""),"5",""),"6",""),"7",""),"8",""),"9",""),".",""),"+",""),"-",""),"E","")="",LEN(SUBSTITUTE(SUBSTITUTE(MID(UPPER(TRIM($DZ166)),1+OR(LEFT(UPPER(TRIM($DZ166)),1)="+",LEFT(UPPER(TRIM($DZ166)),1)="-"),999),"E+","E"),"E-","E"))=LEN(SUBSTITUTE(SUBSTITUTE(SUBSTITUTE(SUBSTITUTE(MID(UPPER(TRIM($DZ166)),1+OR(LEFT(UPPER(TRIM($DZ166)),1)="+",LEFT(UPPER(TRIM($DZ166)),1)="-"),999),"E+","E"),"E-","E"),"+",""),"-","")),LEN(UPPER(TRIM($DZ166)))-LEN(SUBSTITUTE(UPPER(TRIM($DZ166)),"E",""))&lt;2,LEN(UPPER(TRIM($DZ166)))-LEN(SUBSTITUTE(UPPER(TRIM($DZ166)),".",""))&lt;2,IFERROR(FIND(".",UPPER(TRIM($DZ166))),0)&lt;IFERROR(FIND("E",UPPER(TRIM($DZ166))),999)),ISNUMBER(VALUE(TRIM($DZ166)))),VALUE(TRIM($DZ166)),"")))),""))</f>
        <v/>
      </c>
      <c r="EB166">
        <f>IF($DM166=0,"",IF($L$18=0,"",IFERROR(IF(UPPER(TRIM(SUBSTITUTE(SUBSTITUTE(SUBSTITUTE(SUBSTITUTE(INDEX(PASTE_ALL,$DF166,$L$18)," "," "),CHAR(9)," "),CHAR(10)," "),CHAR(13)," ")))="READY","Ready",IF(UPPER(TRIM(SUBSTITUTE(SUBSTITUTE(SUBSTITUTE(SUBSTITUTE(INDEX(PASTE_ALL,$DF166,$L$18)," "," "),CHAR(9)," "),CHAR(10)," "),CHAR(13)," ")))="PM","PM",IF(OR(UPPER(TRIM(SUBSTITUTE(SUBSTITUTE(SUBSTITUTE(SUBSTITUTE(INDEX(PASTE_ALL,$DF166,$L$18)," "," "),CHAR(9)," "),CHAR(10)," "),CHAR(13)," ")))="OT",UPPER(TRIM(SUBSTITUTE(SUBSTITUTE(SUBSTITUTE(SUBSTITUTE(INDEX(PASTE_ALL,$DF166,$L$18)," "," "),CHAR(9)," "),CHAR(10)," "),CHAR(13)," ")))="OVERTIME",UPPER(TRIM(SUBSTITUTE(SUBSTITUTE(SUBSTITUTE(SUBSTITUTE(INDEX(PASTE_ALL,$DF166,$L$18)," "," "),CHAR(9)," "),CHAR(10)," "),CHAR(13)," ")))="TRIAL"),"OT",TRIM(SUBSTITUTE(SUBSTITUTE(SUBSTITUTE(SUBSTITUTE(INDEX(PASTE_ALL,$DF166,$L$18)," "," "),CHAR(9)," "),CHAR(10)," "),CHAR(13)," "))))),"")))</f>
        <v/>
      </c>
      <c r="EC166">
        <f>IF($DM166=0,"",IF($L$19=0,"",IFERROR(IF(ISNUMBER(INDEX(PASTE_ALL,$DF166,$L$19)),INDEX(PASTE_ALL,$DF166,$L$19),TRIM(SUBSTITUTE(SUBSTITUTE(SUBSTITUTE(SUBSTITUTE(INDEX(PASTE_ALL,$DF166,$L$19)," "," "),CHAR(9)," "),CHAR(10)," "),CHAR(13)," "))),"")))</f>
        <v/>
      </c>
      <c r="ED166">
        <f>IF($DM166=0,"",MATCH(1,INDEX(EXACT($DH$5:DH166,$DH166)*$DM$5:DM166,0),0))</f>
        <v/>
      </c>
      <c r="EE166">
        <f>IF($DM166=0,0,IF($ED166=$DE166,1,0))</f>
        <v/>
      </c>
      <c r="EF166">
        <f>EF165+$EE166</f>
        <v/>
      </c>
      <c r="EG166">
        <f>IF($DM166=0,"",INDEX($EF$5:$EF$1003,$ED166))</f>
        <v/>
      </c>
      <c r="EH166">
        <f>IF($DM166=0,"",IF($DO166&lt;&gt;"","",IFERROR(LOOKUP(2,1/(($EG$4:EG165=$EG166)*($DO$4:DO165&lt;&gt;"")),$DO$4:DO165),"")))</f>
        <v/>
      </c>
      <c r="EI166">
        <f>IF($DM166=0,"",IF($DO166&lt;&gt;"",$DO166,$EH166))</f>
        <v/>
      </c>
      <c r="EJ166">
        <f>IF($DM166=0,"",IF($EI166="",0,IF(OR(ISNUMBER($EI166),AND(AND(SUBSTITUTE(SUBSTITUTE(SUBSTITUTE(SUBSTITUTE(SUBSTITUTE(SUBSTITUTE(SUBSTITUTE(SUBSTITUTE(SUBSTITUTE(SUBSTITUTE(SUBSTITUTE(SUBSTITUTE(SUBSTITUTE(SUBSTITUTE(UPPER($EI166),"0",""),"1",""),"2",""),"3",""),"4",""),"5",""),"6",""),"7",""),"8",""),"9",""),".",""),"+",""),"-",""),"E","")="",LEN(SUBSTITUTE(SUBSTITUTE(MID(UPPER($EI166),1+OR(LEFT(UPPER($EI166),1)="+",LEFT(UPPER($EI166),1)="-"),999),"E+","E"),"E-","E"))=LEN(SUBSTITUTE(SUBSTITUTE(SUBSTITUTE(SUBSTITUTE(MID(UPPER($EI166),1+OR(LEFT(UPPER($EI166),1)="+",LEFT(UPPER($EI166),1)="-"),999),"E+","E"),"E-","E"),"+",""),"-","")),LEN(UPPER($EI166))-LEN(SUBSTITUTE(UPPER($EI166),"E",""))&lt;2,LEN(UPPER($EI166))-LEN(SUBSTITUTE(UPPER($EI166),".",""))&lt;2,IFERROR(FIND(".",UPPER($EI166)),0)&lt;IFERROR(FIND("E",UPPER($EI166)),999)),ISNUMBER(VALUE($EI166)))),1,2)))</f>
        <v/>
      </c>
      <c r="EK166">
        <f>IF($DM166=0,"",IF($EJ166=1,IF(ISNUMBER($EI166),$EI166,VALUE($EI166)),IF($EJ166=2,$DE166,0)))</f>
        <v/>
      </c>
      <c r="EL166">
        <f>IF($DM166=0,"",COUNTIF($EG$5:$EG$1003,"&lt;"&amp;$EG166)+SUMPRODUCT(($EG$5:$EG$1003=$EG166)*(($EJ$5:$EJ$1003&lt;$EJ166)+($EJ$5:$EJ$1003=$EJ166)*(($EK$5:$EK$1003&lt;$EK166)+($EK$5:$EK$1003=$EK166)*($DE$5:$DE$1003&lt;$DE166))))+1)</f>
        <v/>
      </c>
      <c r="EM166">
        <f>IF($DM166=0,"",$EL166+$EG166-1)</f>
        <v/>
      </c>
      <c r="EN166">
        <f>IF($DM166=0,0,IFERROR(MATCH(1,INDEX(--(TRIM(SUBSTITUTE(SUBSTITUTE(SUBSTITUTE(SUBSTITUTE(LINES_NAME&amp;""," "," "),CHAR(9)," "),CHAR(10)," "),CHAR(13)," "))=$DH166),0),0),0))</f>
        <v/>
      </c>
      <c r="EO166">
        <f>IF($EN166=0,0,IF(OR(UPPER(TRIM(INDEX(LINES_SCHEDULED,$EN166)&amp;""))="YES",UPPER(TRIM(INDEX(LINES_SCHEDULED,$EN166)&amp;""))="Y",UPPER(TRIM(INDEX(LINES_SCHEDULED,$EN166)&amp;""))="X"),1,0))</f>
        <v/>
      </c>
      <c r="EP166">
        <f>IF($DM166=0,"",IF(COUNTIFS($EG$5:$EG$1003,$EG166,$EB$5:$EB$1003,"Ready")&gt;0,"READY",IF(COUNTIFS($EG$5:$EG$1003,$EG166,$EB$5:$EB$1003,"PM")&gt;0,"PM",IF(COUNTIFS($EG$5:$EG$1003,$EG166,$EB$5:$EB$1003,"OT")&gt;0,"OT",""))))</f>
        <v/>
      </c>
      <c r="EQ166">
        <f>IF($EN166=0,"",UPPER(TRIM(INDEX(LINES_STATUS,$EN166)&amp;"")))</f>
        <v/>
      </c>
      <c r="ER166">
        <f>IF($DM166=0,"",IF(OR($EQ166="READY",$EQ166="PM",$EQ166="OT"),$EQ166,$EP166))</f>
        <v/>
      </c>
      <c r="ES166">
        <f>IF($DM166=0,"",IF(AND($DV166&lt;&gt;"",UPPER($DV166)&lt;&gt;"N"),"allergen",IF(ISNUMBER(SEARCH("oil",$DQ166)),"oil",IF(OR(EXACT($DS166,"A662"),EXACT($DS166,"A624")),"bulk",""))))</f>
        <v/>
      </c>
      <c r="ET166">
        <f>IF($DM166=0,"",IF(OR($EA166="",$EA166=0),"",$EA166/100))</f>
        <v/>
      </c>
      <c r="EU166">
        <f>IF(OR($ET166="",$DY166=""),"",INT($DY166*(1-$ET166)+0.5))</f>
        <v/>
      </c>
      <c r="EW166" t="n">
        <v>162</v>
      </c>
      <c r="EX166">
        <f>IFERROR(MATCH($EW166,$EM$5:$EM$1003,0),0)</f>
        <v/>
      </c>
      <c r="EY166">
        <f>IF($EW166&gt;$B$12,"",IF($EX166&gt;0,"row","spacer"))</f>
        <v/>
      </c>
      <c r="EZ166">
        <f>IF(AND($EY166="row",$EY165&lt;&gt;"row"),1,0)</f>
        <v/>
      </c>
      <c r="FA166">
        <f>IF(AND($EY166="row",$EY167&lt;&gt;"row"),1,0)</f>
        <v/>
      </c>
      <c r="FB166">
        <f>IF($EZ166=1,IFERROR(IF(ISNUMBER(INDEX(PASTE_ALL,INDEX($DF$5:$DF$1003,$EX166),$B$37)),INDEX(PASTE_ALL,INDEX($DF$5:$DF$1003,$EX166),$B$37),INDEX($DH$5:$DH$1003,$EX166)),INDEX($DH$5:$DH$1003,$EX166)),"")</f>
        <v/>
      </c>
      <c r="FC166">
        <f>IF($EY166="row",INDEX($ER$5:$ER$1003,$EX166),"")</f>
        <v/>
      </c>
      <c r="FD166">
        <f>IF($EY166="row",INDEX($DN$5:$DN$1003,$EX166),"")</f>
        <v/>
      </c>
      <c r="FE166">
        <f>IF($EY166="row",INDEX($DO$5:$DO$1003,$EX166),"")</f>
        <v/>
      </c>
      <c r="FF166">
        <f>IF($EY166="row",INDEX($DP$5:$DP$1003,$EX166),"")</f>
        <v/>
      </c>
      <c r="FG166">
        <f>IF($EY166="row",INDEX($DQ$5:$DQ$1003,$EX166),"")</f>
        <v/>
      </c>
      <c r="FH166">
        <f>IF($EY166="row",INDEX($DR$5:$DR$1003,$EX166),"")</f>
        <v/>
      </c>
      <c r="FI166">
        <f>IF($EY166="row",INDEX($DS$5:$DS$1003,$EX166),"")</f>
        <v/>
      </c>
      <c r="FJ166">
        <f>IF($EY166="row",INDEX($DT$5:$DT$1003,$EX166),"")</f>
        <v/>
      </c>
      <c r="FK166">
        <f>IF($EY166="row",INDEX($DU$5:$DU$1003,$EX166),"")</f>
        <v/>
      </c>
      <c r="FL166">
        <f>IF($EY166="row",INDEX($DV$5:$DV$1003,$EX166),"")</f>
        <v/>
      </c>
      <c r="FM166">
        <f>IF($EY166="row",INDEX($DW$5:$DW$1003,$EX166),"")</f>
        <v/>
      </c>
      <c r="FN166">
        <f>IF($EY166="row",INDEX($DY$5:$DY$1003,$EX166),"")</f>
        <v/>
      </c>
      <c r="FO166">
        <f>IF($EY166="row",INDEX($EA$5:$EA$1003,$EX166),"")</f>
        <v/>
      </c>
      <c r="FP166">
        <f>IF($EY166="row",INDEX($EC$5:$EC$1003,$EX166),"")</f>
        <v/>
      </c>
      <c r="FQ166">
        <f>IF($EY166="row",INDEX($ET$5:$ET$1003,$EX166),"")</f>
        <v/>
      </c>
      <c r="FR166">
        <f>IF($EY166="row",INDEX($EU$5:$EU$1003,$EX166),"")</f>
        <v/>
      </c>
      <c r="FS166">
        <f>IF(AND($EY166="row",$EY165="row"),IF(OR(INDEX($DT$5:$DT$1003,$EX165)="",INDEX($DT$5:$DT$1003,$EX166)=""),"",IF(NOT(EXACT(INDEX($DT$5:$DT$1003,$EX165),INDEX($DT$5:$DT$1003,$EX166))),"S4",IF(NOT(EXACT(INDEX($DS$5:$DS$1003,$EX165),INDEX($DS$5:$DS$1003,$EX166))),"S3",IF(NOT(EXACT(INDEX($DR$5:$DR$1003,$EX165),INDEX($DR$5:$DR$1003,$EX166))),"S1 Count Change","S1")))),"")</f>
        <v/>
      </c>
      <c r="FT166">
        <f>IF($EY166="row",INDEX($ES$5:$ES$1003,$EX166),"")</f>
        <v/>
      </c>
      <c r="FU166">
        <f>IF($EY166="row",INDEX($EO$5:$EO$1003,$EX166),0)</f>
        <v/>
      </c>
      <c r="FV166">
        <f>IF($FS166="S1 Count Change",1,0)</f>
        <v/>
      </c>
    </row>
    <row r="167">
      <c r="Y167">
        <f>IF(Y32="",0,2*(OR(ISNUMBER(FIND("WORKCENTER",Y32)),AND(LEFT(Y32,4)="LINE",NOT(ISNUMBER(FIND("STATUS",Y32))))))+4*(OR(ISNUMBER(FIND("WORKORDER",Y32)),AND(LEFT(Y32,2)="WO",OR(ISNUMBER(FIND("NUM",Y32)),RIGHT(Y32,2)="NO"))))+8*(LEFT(Y32,3)="SEQ")+16*(AND(LEFT(Y32,4)="ITEM",NOT(ISNUMBER(FIND("DESC",Y32)))))+32*(AND(ISNUMBER(FIND("DESC",Y32)),NOT(ISNUMBER(FIND("CAP",Y32)))))+64*(OR(RIGHT(Y32,5)="COUNT",RIGHT(Y32,2)="CT"))+128*(ISNUMBER(FIND("BULK",Y32)))+256*(ISNUMBER(FIND("SIZE",Y32)))+512*(LEFT(Y32,3)="CAP")+1024*(ISNUMBER(FIND("ALLERG",Y32)))+2048*(OR(ISNUMBER(FIND("REMARK",Y32)),ISNUMBER(FIND("COMMENT",Y32))))+4096*(OR(ISNUMBER(FIND("QTY",Y32)),ISNUMBER(FIND("QUANTITY",Y32))))+8192*(AND(OR(ISNUMBER(FIND("COMPLETE",Y32)),ISNUMBER(FIND("PCT",Y32)),ISNUMBER(FIND("PERCENT",Y32))),NOT(ISNUMBER(FIND("ACTUAL",Y32))),LEN(Y32)&lt;=16))+32768*(OR(ISNUMBER(FIND("DESIC",Y32)),ISNUMBER(FIND("DESSIC",Y32)))))</f>
        <v/>
      </c>
      <c r="Z167">
        <f>IF(Z32="",0,2*(OR(ISNUMBER(FIND("WORKCENTER",Z32)),AND(LEFT(Z32,4)="LINE",NOT(ISNUMBER(FIND("STATUS",Z32))))))+4*(OR(ISNUMBER(FIND("WORKORDER",Z32)),AND(LEFT(Z32,2)="WO",OR(ISNUMBER(FIND("NUM",Z32)),RIGHT(Z32,2)="NO"))))+8*(LEFT(Z32,3)="SEQ")+16*(AND(LEFT(Z32,4)="ITEM",NOT(ISNUMBER(FIND("DESC",Z32)))))+32*(AND(ISNUMBER(FIND("DESC",Z32)),NOT(ISNUMBER(FIND("CAP",Z32)))))+64*(OR(RIGHT(Z32,5)="COUNT",RIGHT(Z32,2)="CT"))+128*(ISNUMBER(FIND("BULK",Z32)))+256*(ISNUMBER(FIND("SIZE",Z32)))+512*(LEFT(Z32,3)="CAP")+1024*(ISNUMBER(FIND("ALLERG",Z32)))+2048*(OR(ISNUMBER(FIND("REMARK",Z32)),ISNUMBER(FIND("COMMENT",Z32))))+4096*(OR(ISNUMBER(FIND("QTY",Z32)),ISNUMBER(FIND("QUANTITY",Z32))))+8192*(AND(OR(ISNUMBER(FIND("COMPLETE",Z32)),ISNUMBER(FIND("PCT",Z32)),ISNUMBER(FIND("PERCENT",Z32))),NOT(ISNUMBER(FIND("ACTUAL",Z32))),LEN(Z32)&lt;=16))+32768*(OR(ISNUMBER(FIND("DESIC",Z32)),ISNUMBER(FIND("DESSIC",Z32)))))</f>
        <v/>
      </c>
      <c r="AA167">
        <f>IF(AA32="",0,2*(OR(ISNUMBER(FIND("WORKCENTER",AA32)),AND(LEFT(AA32,4)="LINE",NOT(ISNUMBER(FIND("STATUS",AA32))))))+4*(OR(ISNUMBER(FIND("WORKORDER",AA32)),AND(LEFT(AA32,2)="WO",OR(ISNUMBER(FIND("NUM",AA32)),RIGHT(AA32,2)="NO"))))+8*(LEFT(AA32,3)="SEQ")+16*(AND(LEFT(AA32,4)="ITEM",NOT(ISNUMBER(FIND("DESC",AA32)))))+32*(AND(ISNUMBER(FIND("DESC",AA32)),NOT(ISNUMBER(FIND("CAP",AA32)))))+64*(OR(RIGHT(AA32,5)="COUNT",RIGHT(AA32,2)="CT"))+128*(ISNUMBER(FIND("BULK",AA32)))+256*(ISNUMBER(FIND("SIZE",AA32)))+512*(LEFT(AA32,3)="CAP")+1024*(ISNUMBER(FIND("ALLERG",AA32)))+2048*(OR(ISNUMBER(FIND("REMARK",AA32)),ISNUMBER(FIND("COMMENT",AA32))))+4096*(OR(ISNUMBER(FIND("QTY",AA32)),ISNUMBER(FIND("QUANTITY",AA32))))+8192*(AND(OR(ISNUMBER(FIND("COMPLETE",AA32)),ISNUMBER(FIND("PCT",AA32)),ISNUMBER(FIND("PERCENT",AA32))),NOT(ISNUMBER(FIND("ACTUAL",AA32))),LEN(AA32)&lt;=16))+32768*(OR(ISNUMBER(FIND("DESIC",AA32)),ISNUMBER(FIND("DESSIC",AA32)))))</f>
        <v/>
      </c>
      <c r="AB167">
        <f>IF(AB32="",0,2*(OR(ISNUMBER(FIND("WORKCENTER",AB32)),AND(LEFT(AB32,4)="LINE",NOT(ISNUMBER(FIND("STATUS",AB32))))))+4*(OR(ISNUMBER(FIND("WORKORDER",AB32)),AND(LEFT(AB32,2)="WO",OR(ISNUMBER(FIND("NUM",AB32)),RIGHT(AB32,2)="NO"))))+8*(LEFT(AB32,3)="SEQ")+16*(AND(LEFT(AB32,4)="ITEM",NOT(ISNUMBER(FIND("DESC",AB32)))))+32*(AND(ISNUMBER(FIND("DESC",AB32)),NOT(ISNUMBER(FIND("CAP",AB32)))))+64*(OR(RIGHT(AB32,5)="COUNT",RIGHT(AB32,2)="CT"))+128*(ISNUMBER(FIND("BULK",AB32)))+256*(ISNUMBER(FIND("SIZE",AB32)))+512*(LEFT(AB32,3)="CAP")+1024*(ISNUMBER(FIND("ALLERG",AB32)))+2048*(OR(ISNUMBER(FIND("REMARK",AB32)),ISNUMBER(FIND("COMMENT",AB32))))+4096*(OR(ISNUMBER(FIND("QTY",AB32)),ISNUMBER(FIND("QUANTITY",AB32))))+8192*(AND(OR(ISNUMBER(FIND("COMPLETE",AB32)),ISNUMBER(FIND("PCT",AB32)),ISNUMBER(FIND("PERCENT",AB32))),NOT(ISNUMBER(FIND("ACTUAL",AB32))),LEN(AB32)&lt;=16))+32768*(OR(ISNUMBER(FIND("DESIC",AB32)),ISNUMBER(FIND("DESSIC",AB32)))))</f>
        <v/>
      </c>
      <c r="AC167">
        <f>IF(AC32="",0,2*(OR(ISNUMBER(FIND("WORKCENTER",AC32)),AND(LEFT(AC32,4)="LINE",NOT(ISNUMBER(FIND("STATUS",AC32))))))+4*(OR(ISNUMBER(FIND("WORKORDER",AC32)),AND(LEFT(AC32,2)="WO",OR(ISNUMBER(FIND("NUM",AC32)),RIGHT(AC32,2)="NO"))))+8*(LEFT(AC32,3)="SEQ")+16*(AND(LEFT(AC32,4)="ITEM",NOT(ISNUMBER(FIND("DESC",AC32)))))+32*(AND(ISNUMBER(FIND("DESC",AC32)),NOT(ISNUMBER(FIND("CAP",AC32)))))+64*(OR(RIGHT(AC32,5)="COUNT",RIGHT(AC32,2)="CT"))+128*(ISNUMBER(FIND("BULK",AC32)))+256*(ISNUMBER(FIND("SIZE",AC32)))+512*(LEFT(AC32,3)="CAP")+1024*(ISNUMBER(FIND("ALLERG",AC32)))+2048*(OR(ISNUMBER(FIND("REMARK",AC32)),ISNUMBER(FIND("COMMENT",AC32))))+4096*(OR(ISNUMBER(FIND("QTY",AC32)),ISNUMBER(FIND("QUANTITY",AC32))))+8192*(AND(OR(ISNUMBER(FIND("COMPLETE",AC32)),ISNUMBER(FIND("PCT",AC32)),ISNUMBER(FIND("PERCENT",AC32))),NOT(ISNUMBER(FIND("ACTUAL",AC32))),LEN(AC32)&lt;=16))+32768*(OR(ISNUMBER(FIND("DESIC",AC32)),ISNUMBER(FIND("DESSIC",AC32)))))</f>
        <v/>
      </c>
      <c r="AD167">
        <f>IF(AD32="",0,2*(OR(ISNUMBER(FIND("WORKCENTER",AD32)),AND(LEFT(AD32,4)="LINE",NOT(ISNUMBER(FIND("STATUS",AD32))))))+4*(OR(ISNUMBER(FIND("WORKORDER",AD32)),AND(LEFT(AD32,2)="WO",OR(ISNUMBER(FIND("NUM",AD32)),RIGHT(AD32,2)="NO"))))+8*(LEFT(AD32,3)="SEQ")+16*(AND(LEFT(AD32,4)="ITEM",NOT(ISNUMBER(FIND("DESC",AD32)))))+32*(AND(ISNUMBER(FIND("DESC",AD32)),NOT(ISNUMBER(FIND("CAP",AD32)))))+64*(OR(RIGHT(AD32,5)="COUNT",RIGHT(AD32,2)="CT"))+128*(ISNUMBER(FIND("BULK",AD32)))+256*(ISNUMBER(FIND("SIZE",AD32)))+512*(LEFT(AD32,3)="CAP")+1024*(ISNUMBER(FIND("ALLERG",AD32)))+2048*(OR(ISNUMBER(FIND("REMARK",AD32)),ISNUMBER(FIND("COMMENT",AD32))))+4096*(OR(ISNUMBER(FIND("QTY",AD32)),ISNUMBER(FIND("QUANTITY",AD32))))+8192*(AND(OR(ISNUMBER(FIND("COMPLETE",AD32)),ISNUMBER(FIND("PCT",AD32)),ISNUMBER(FIND("PERCENT",AD32))),NOT(ISNUMBER(FIND("ACTUAL",AD32))),LEN(AD32)&lt;=16))+32768*(OR(ISNUMBER(FIND("DESIC",AD32)),ISNUMBER(FIND("DESSIC",AD32)))))</f>
        <v/>
      </c>
      <c r="AE167">
        <f>IF(AE32="",0,2*(OR(ISNUMBER(FIND("WORKCENTER",AE32)),AND(LEFT(AE32,4)="LINE",NOT(ISNUMBER(FIND("STATUS",AE32))))))+4*(OR(ISNUMBER(FIND("WORKORDER",AE32)),AND(LEFT(AE32,2)="WO",OR(ISNUMBER(FIND("NUM",AE32)),RIGHT(AE32,2)="NO"))))+8*(LEFT(AE32,3)="SEQ")+16*(AND(LEFT(AE32,4)="ITEM",NOT(ISNUMBER(FIND("DESC",AE32)))))+32*(AND(ISNUMBER(FIND("DESC",AE32)),NOT(ISNUMBER(FIND("CAP",AE32)))))+64*(OR(RIGHT(AE32,5)="COUNT",RIGHT(AE32,2)="CT"))+128*(ISNUMBER(FIND("BULK",AE32)))+256*(ISNUMBER(FIND("SIZE",AE32)))+512*(LEFT(AE32,3)="CAP")+1024*(ISNUMBER(FIND("ALLERG",AE32)))+2048*(OR(ISNUMBER(FIND("REMARK",AE32)),ISNUMBER(FIND("COMMENT",AE32))))+4096*(OR(ISNUMBER(FIND("QTY",AE32)),ISNUMBER(FIND("QUANTITY",AE32))))+8192*(AND(OR(ISNUMBER(FIND("COMPLETE",AE32)),ISNUMBER(FIND("PCT",AE32)),ISNUMBER(FIND("PERCENT",AE32))),NOT(ISNUMBER(FIND("ACTUAL",AE32))),LEN(AE32)&lt;=16))+32768*(OR(ISNUMBER(FIND("DESIC",AE32)),ISNUMBER(FIND("DESSIC",AE32)))))</f>
        <v/>
      </c>
      <c r="AF167">
        <f>IF(AF32="",0,2*(OR(ISNUMBER(FIND("WORKCENTER",AF32)),AND(LEFT(AF32,4)="LINE",NOT(ISNUMBER(FIND("STATUS",AF32))))))+4*(OR(ISNUMBER(FIND("WORKORDER",AF32)),AND(LEFT(AF32,2)="WO",OR(ISNUMBER(FIND("NUM",AF32)),RIGHT(AF32,2)="NO"))))+8*(LEFT(AF32,3)="SEQ")+16*(AND(LEFT(AF32,4)="ITEM",NOT(ISNUMBER(FIND("DESC",AF32)))))+32*(AND(ISNUMBER(FIND("DESC",AF32)),NOT(ISNUMBER(FIND("CAP",AF32)))))+64*(OR(RIGHT(AF32,5)="COUNT",RIGHT(AF32,2)="CT"))+128*(ISNUMBER(FIND("BULK",AF32)))+256*(ISNUMBER(FIND("SIZE",AF32)))+512*(LEFT(AF32,3)="CAP")+1024*(ISNUMBER(FIND("ALLERG",AF32)))+2048*(OR(ISNUMBER(FIND("REMARK",AF32)),ISNUMBER(FIND("COMMENT",AF32))))+4096*(OR(ISNUMBER(FIND("QTY",AF32)),ISNUMBER(FIND("QUANTITY",AF32))))+8192*(AND(OR(ISNUMBER(FIND("COMPLETE",AF32)),ISNUMBER(FIND("PCT",AF32)),ISNUMBER(FIND("PERCENT",AF32))),NOT(ISNUMBER(FIND("ACTUAL",AF32))),LEN(AF32)&lt;=16))+32768*(OR(ISNUMBER(FIND("DESIC",AF32)),ISNUMBER(FIND("DESSIC",AF32)))))</f>
        <v/>
      </c>
      <c r="AG167">
        <f>IF(AG32="",0,2*(OR(ISNUMBER(FIND("WORKCENTER",AG32)),AND(LEFT(AG32,4)="LINE",NOT(ISNUMBER(FIND("STATUS",AG32))))))+4*(OR(ISNUMBER(FIND("WORKORDER",AG32)),AND(LEFT(AG32,2)="WO",OR(ISNUMBER(FIND("NUM",AG32)),RIGHT(AG32,2)="NO"))))+8*(LEFT(AG32,3)="SEQ")+16*(AND(LEFT(AG32,4)="ITEM",NOT(ISNUMBER(FIND("DESC",AG32)))))+32*(AND(ISNUMBER(FIND("DESC",AG32)),NOT(ISNUMBER(FIND("CAP",AG32)))))+64*(OR(RIGHT(AG32,5)="COUNT",RIGHT(AG32,2)="CT"))+128*(ISNUMBER(FIND("BULK",AG32)))+256*(ISNUMBER(FIND("SIZE",AG32)))+512*(LEFT(AG32,3)="CAP")+1024*(ISNUMBER(FIND("ALLERG",AG32)))+2048*(OR(ISNUMBER(FIND("REMARK",AG32)),ISNUMBER(FIND("COMMENT",AG32))))+4096*(OR(ISNUMBER(FIND("QTY",AG32)),ISNUMBER(FIND("QUANTITY",AG32))))+8192*(AND(OR(ISNUMBER(FIND("COMPLETE",AG32)),ISNUMBER(FIND("PCT",AG32)),ISNUMBER(FIND("PERCENT",AG32))),NOT(ISNUMBER(FIND("ACTUAL",AG32))),LEN(AG32)&lt;=16))+32768*(OR(ISNUMBER(FIND("DESIC",AG32)),ISNUMBER(FIND("DESSIC",AG32)))))</f>
        <v/>
      </c>
      <c r="AH167">
        <f>IF(AH32="",0,2*(OR(ISNUMBER(FIND("WORKCENTER",AH32)),AND(LEFT(AH32,4)="LINE",NOT(ISNUMBER(FIND("STATUS",AH32))))))+4*(OR(ISNUMBER(FIND("WORKORDER",AH32)),AND(LEFT(AH32,2)="WO",OR(ISNUMBER(FIND("NUM",AH32)),RIGHT(AH32,2)="NO"))))+8*(LEFT(AH32,3)="SEQ")+16*(AND(LEFT(AH32,4)="ITEM",NOT(ISNUMBER(FIND("DESC",AH32)))))+32*(AND(ISNUMBER(FIND("DESC",AH32)),NOT(ISNUMBER(FIND("CAP",AH32)))))+64*(OR(RIGHT(AH32,5)="COUNT",RIGHT(AH32,2)="CT"))+128*(ISNUMBER(FIND("BULK",AH32)))+256*(ISNUMBER(FIND("SIZE",AH32)))+512*(LEFT(AH32,3)="CAP")+1024*(ISNUMBER(FIND("ALLERG",AH32)))+2048*(OR(ISNUMBER(FIND("REMARK",AH32)),ISNUMBER(FIND("COMMENT",AH32))))+4096*(OR(ISNUMBER(FIND("QTY",AH32)),ISNUMBER(FIND("QUANTITY",AH32))))+8192*(AND(OR(ISNUMBER(FIND("COMPLETE",AH32)),ISNUMBER(FIND("PCT",AH32)),ISNUMBER(FIND("PERCENT",AH32))),NOT(ISNUMBER(FIND("ACTUAL",AH32))),LEN(AH32)&lt;=16))+32768*(OR(ISNUMBER(FIND("DESIC",AH32)),ISNUMBER(FIND("DESSIC",AH32)))))</f>
        <v/>
      </c>
      <c r="AI167">
        <f>IF(AI32="",0,2*(OR(ISNUMBER(FIND("WORKCENTER",AI32)),AND(LEFT(AI32,4)="LINE",NOT(ISNUMBER(FIND("STATUS",AI32))))))+4*(OR(ISNUMBER(FIND("WORKORDER",AI32)),AND(LEFT(AI32,2)="WO",OR(ISNUMBER(FIND("NUM",AI32)),RIGHT(AI32,2)="NO"))))+8*(LEFT(AI32,3)="SEQ")+16*(AND(LEFT(AI32,4)="ITEM",NOT(ISNUMBER(FIND("DESC",AI32)))))+32*(AND(ISNUMBER(FIND("DESC",AI32)),NOT(ISNUMBER(FIND("CAP",AI32)))))+64*(OR(RIGHT(AI32,5)="COUNT",RIGHT(AI32,2)="CT"))+128*(ISNUMBER(FIND("BULK",AI32)))+256*(ISNUMBER(FIND("SIZE",AI32)))+512*(LEFT(AI32,3)="CAP")+1024*(ISNUMBER(FIND("ALLERG",AI32)))+2048*(OR(ISNUMBER(FIND("REMARK",AI32)),ISNUMBER(FIND("COMMENT",AI32))))+4096*(OR(ISNUMBER(FIND("QTY",AI32)),ISNUMBER(FIND("QUANTITY",AI32))))+8192*(AND(OR(ISNUMBER(FIND("COMPLETE",AI32)),ISNUMBER(FIND("PCT",AI32)),ISNUMBER(FIND("PERCENT",AI32))),NOT(ISNUMBER(FIND("ACTUAL",AI32))),LEN(AI32)&lt;=16))+32768*(OR(ISNUMBER(FIND("DESIC",AI32)),ISNUMBER(FIND("DESSIC",AI32)))))</f>
        <v/>
      </c>
      <c r="AJ167">
        <f>IF(AJ32="",0,2*(OR(ISNUMBER(FIND("WORKCENTER",AJ32)),AND(LEFT(AJ32,4)="LINE",NOT(ISNUMBER(FIND("STATUS",AJ32))))))+4*(OR(ISNUMBER(FIND("WORKORDER",AJ32)),AND(LEFT(AJ32,2)="WO",OR(ISNUMBER(FIND("NUM",AJ32)),RIGHT(AJ32,2)="NO"))))+8*(LEFT(AJ32,3)="SEQ")+16*(AND(LEFT(AJ32,4)="ITEM",NOT(ISNUMBER(FIND("DESC",AJ32)))))+32*(AND(ISNUMBER(FIND("DESC",AJ32)),NOT(ISNUMBER(FIND("CAP",AJ32)))))+64*(OR(RIGHT(AJ32,5)="COUNT",RIGHT(AJ32,2)="CT"))+128*(ISNUMBER(FIND("BULK",AJ32)))+256*(ISNUMBER(FIND("SIZE",AJ32)))+512*(LEFT(AJ32,3)="CAP")+1024*(ISNUMBER(FIND("ALLERG",AJ32)))+2048*(OR(ISNUMBER(FIND("REMARK",AJ32)),ISNUMBER(FIND("COMMENT",AJ32))))+4096*(OR(ISNUMBER(FIND("QTY",AJ32)),ISNUMBER(FIND("QUANTITY",AJ32))))+8192*(AND(OR(ISNUMBER(FIND("COMPLETE",AJ32)),ISNUMBER(FIND("PCT",AJ32)),ISNUMBER(FIND("PERCENT",AJ32))),NOT(ISNUMBER(FIND("ACTUAL",AJ32))),LEN(AJ32)&lt;=16))+32768*(OR(ISNUMBER(FIND("DESIC",AJ32)),ISNUMBER(FIND("DESSIC",AJ32)))))</f>
        <v/>
      </c>
      <c r="AK167">
        <f>IF(AK32="",0,2*(OR(ISNUMBER(FIND("WORKCENTER",AK32)),AND(LEFT(AK32,4)="LINE",NOT(ISNUMBER(FIND("STATUS",AK32))))))+4*(OR(ISNUMBER(FIND("WORKORDER",AK32)),AND(LEFT(AK32,2)="WO",OR(ISNUMBER(FIND("NUM",AK32)),RIGHT(AK32,2)="NO"))))+8*(LEFT(AK32,3)="SEQ")+16*(AND(LEFT(AK32,4)="ITEM",NOT(ISNUMBER(FIND("DESC",AK32)))))+32*(AND(ISNUMBER(FIND("DESC",AK32)),NOT(ISNUMBER(FIND("CAP",AK32)))))+64*(OR(RIGHT(AK32,5)="COUNT",RIGHT(AK32,2)="CT"))+128*(ISNUMBER(FIND("BULK",AK32)))+256*(ISNUMBER(FIND("SIZE",AK32)))+512*(LEFT(AK32,3)="CAP")+1024*(ISNUMBER(FIND("ALLERG",AK32)))+2048*(OR(ISNUMBER(FIND("REMARK",AK32)),ISNUMBER(FIND("COMMENT",AK32))))+4096*(OR(ISNUMBER(FIND("QTY",AK32)),ISNUMBER(FIND("QUANTITY",AK32))))+8192*(AND(OR(ISNUMBER(FIND("COMPLETE",AK32)),ISNUMBER(FIND("PCT",AK32)),ISNUMBER(FIND("PERCENT",AK32))),NOT(ISNUMBER(FIND("ACTUAL",AK32))),LEN(AK32)&lt;=16))+32768*(OR(ISNUMBER(FIND("DESIC",AK32)),ISNUMBER(FIND("DESSIC",AK32)))))</f>
        <v/>
      </c>
      <c r="AL167">
        <f>IF(AL32="",0,2*(OR(ISNUMBER(FIND("WORKCENTER",AL32)),AND(LEFT(AL32,4)="LINE",NOT(ISNUMBER(FIND("STATUS",AL32))))))+4*(OR(ISNUMBER(FIND("WORKORDER",AL32)),AND(LEFT(AL32,2)="WO",OR(ISNUMBER(FIND("NUM",AL32)),RIGHT(AL32,2)="NO"))))+8*(LEFT(AL32,3)="SEQ")+16*(AND(LEFT(AL32,4)="ITEM",NOT(ISNUMBER(FIND("DESC",AL32)))))+32*(AND(ISNUMBER(FIND("DESC",AL32)),NOT(ISNUMBER(FIND("CAP",AL32)))))+64*(OR(RIGHT(AL32,5)="COUNT",RIGHT(AL32,2)="CT"))+128*(ISNUMBER(FIND("BULK",AL32)))+256*(ISNUMBER(FIND("SIZE",AL32)))+512*(LEFT(AL32,3)="CAP")+1024*(ISNUMBER(FIND("ALLERG",AL32)))+2048*(OR(ISNUMBER(FIND("REMARK",AL32)),ISNUMBER(FIND("COMMENT",AL32))))+4096*(OR(ISNUMBER(FIND("QTY",AL32)),ISNUMBER(FIND("QUANTITY",AL32))))+8192*(AND(OR(ISNUMBER(FIND("COMPLETE",AL32)),ISNUMBER(FIND("PCT",AL32)),ISNUMBER(FIND("PERCENT",AL32))),NOT(ISNUMBER(FIND("ACTUAL",AL32))),LEN(AL32)&lt;=16))+32768*(OR(ISNUMBER(FIND("DESIC",AL32)),ISNUMBER(FIND("DESSIC",AL32)))))</f>
        <v/>
      </c>
      <c r="AM167">
        <f>IF(AM32="",0,2*(OR(ISNUMBER(FIND("WORKCENTER",AM32)),AND(LEFT(AM32,4)="LINE",NOT(ISNUMBER(FIND("STATUS",AM32))))))+4*(OR(ISNUMBER(FIND("WORKORDER",AM32)),AND(LEFT(AM32,2)="WO",OR(ISNUMBER(FIND("NUM",AM32)),RIGHT(AM32,2)="NO"))))+8*(LEFT(AM32,3)="SEQ")+16*(AND(LEFT(AM32,4)="ITEM",NOT(ISNUMBER(FIND("DESC",AM32)))))+32*(AND(ISNUMBER(FIND("DESC",AM32)),NOT(ISNUMBER(FIND("CAP",AM32)))))+64*(OR(RIGHT(AM32,5)="COUNT",RIGHT(AM32,2)="CT"))+128*(ISNUMBER(FIND("BULK",AM32)))+256*(ISNUMBER(FIND("SIZE",AM32)))+512*(LEFT(AM32,3)="CAP")+1024*(ISNUMBER(FIND("ALLERG",AM32)))+2048*(OR(ISNUMBER(FIND("REMARK",AM32)),ISNUMBER(FIND("COMMENT",AM32))))+4096*(OR(ISNUMBER(FIND("QTY",AM32)),ISNUMBER(FIND("QUANTITY",AM32))))+8192*(AND(OR(ISNUMBER(FIND("COMPLETE",AM32)),ISNUMBER(FIND("PCT",AM32)),ISNUMBER(FIND("PERCENT",AM32))),NOT(ISNUMBER(FIND("ACTUAL",AM32))),LEN(AM32)&lt;=16))+32768*(OR(ISNUMBER(FIND("DESIC",AM32)),ISNUMBER(FIND("DESSIC",AM32)))))</f>
        <v/>
      </c>
      <c r="AN167">
        <f>IF(AN32="",0,2*(OR(ISNUMBER(FIND("WORKCENTER",AN32)),AND(LEFT(AN32,4)="LINE",NOT(ISNUMBER(FIND("STATUS",AN32))))))+4*(OR(ISNUMBER(FIND("WORKORDER",AN32)),AND(LEFT(AN32,2)="WO",OR(ISNUMBER(FIND("NUM",AN32)),RIGHT(AN32,2)="NO"))))+8*(LEFT(AN32,3)="SEQ")+16*(AND(LEFT(AN32,4)="ITEM",NOT(ISNUMBER(FIND("DESC",AN32)))))+32*(AND(ISNUMBER(FIND("DESC",AN32)),NOT(ISNUMBER(FIND("CAP",AN32)))))+64*(OR(RIGHT(AN32,5)="COUNT",RIGHT(AN32,2)="CT"))+128*(ISNUMBER(FIND("BULK",AN32)))+256*(ISNUMBER(FIND("SIZE",AN32)))+512*(LEFT(AN32,3)="CAP")+1024*(ISNUMBER(FIND("ALLERG",AN32)))+2048*(OR(ISNUMBER(FIND("REMARK",AN32)),ISNUMBER(FIND("COMMENT",AN32))))+4096*(OR(ISNUMBER(FIND("QTY",AN32)),ISNUMBER(FIND("QUANTITY",AN32))))+8192*(AND(OR(ISNUMBER(FIND("COMPLETE",AN32)),ISNUMBER(FIND("PCT",AN32)),ISNUMBER(FIND("PERCENT",AN32))),NOT(ISNUMBER(FIND("ACTUAL",AN32))),LEN(AN32)&lt;=16))+32768*(OR(ISNUMBER(FIND("DESIC",AN32)),ISNUMBER(FIND("DESSIC",AN32)))))</f>
        <v/>
      </c>
      <c r="AO167">
        <f>IF(AO32="",0,2*(OR(ISNUMBER(FIND("WORKCENTER",AO32)),AND(LEFT(AO32,4)="LINE",NOT(ISNUMBER(FIND("STATUS",AO32))))))+4*(OR(ISNUMBER(FIND("WORKORDER",AO32)),AND(LEFT(AO32,2)="WO",OR(ISNUMBER(FIND("NUM",AO32)),RIGHT(AO32,2)="NO"))))+8*(LEFT(AO32,3)="SEQ")+16*(AND(LEFT(AO32,4)="ITEM",NOT(ISNUMBER(FIND("DESC",AO32)))))+32*(AND(ISNUMBER(FIND("DESC",AO32)),NOT(ISNUMBER(FIND("CAP",AO32)))))+64*(OR(RIGHT(AO32,5)="COUNT",RIGHT(AO32,2)="CT"))+128*(ISNUMBER(FIND("BULK",AO32)))+256*(ISNUMBER(FIND("SIZE",AO32)))+512*(LEFT(AO32,3)="CAP")+1024*(ISNUMBER(FIND("ALLERG",AO32)))+2048*(OR(ISNUMBER(FIND("REMARK",AO32)),ISNUMBER(FIND("COMMENT",AO32))))+4096*(OR(ISNUMBER(FIND("QTY",AO32)),ISNUMBER(FIND("QUANTITY",AO32))))+8192*(AND(OR(ISNUMBER(FIND("COMPLETE",AO32)),ISNUMBER(FIND("PCT",AO32)),ISNUMBER(FIND("PERCENT",AO32))),NOT(ISNUMBER(FIND("ACTUAL",AO32))),LEN(AO32)&lt;=16))+32768*(OR(ISNUMBER(FIND("DESIC",AO32)),ISNUMBER(FIND("DESSIC",AO32)))))</f>
        <v/>
      </c>
      <c r="AP167">
        <f>IF(AP32="",0,2*(OR(ISNUMBER(FIND("WORKCENTER",AP32)),AND(LEFT(AP32,4)="LINE",NOT(ISNUMBER(FIND("STATUS",AP32))))))+4*(OR(ISNUMBER(FIND("WORKORDER",AP32)),AND(LEFT(AP32,2)="WO",OR(ISNUMBER(FIND("NUM",AP32)),RIGHT(AP32,2)="NO"))))+8*(LEFT(AP32,3)="SEQ")+16*(AND(LEFT(AP32,4)="ITEM",NOT(ISNUMBER(FIND("DESC",AP32)))))+32*(AND(ISNUMBER(FIND("DESC",AP32)),NOT(ISNUMBER(FIND("CAP",AP32)))))+64*(OR(RIGHT(AP32,5)="COUNT",RIGHT(AP32,2)="CT"))+128*(ISNUMBER(FIND("BULK",AP32)))+256*(ISNUMBER(FIND("SIZE",AP32)))+512*(LEFT(AP32,3)="CAP")+1024*(ISNUMBER(FIND("ALLERG",AP32)))+2048*(OR(ISNUMBER(FIND("REMARK",AP32)),ISNUMBER(FIND("COMMENT",AP32))))+4096*(OR(ISNUMBER(FIND("QTY",AP32)),ISNUMBER(FIND("QUANTITY",AP32))))+8192*(AND(OR(ISNUMBER(FIND("COMPLETE",AP32)),ISNUMBER(FIND("PCT",AP32)),ISNUMBER(FIND("PERCENT",AP32))),NOT(ISNUMBER(FIND("ACTUAL",AP32))),LEN(AP32)&lt;=16))+32768*(OR(ISNUMBER(FIND("DESIC",AP32)),ISNUMBER(FIND("DESSIC",AP32)))))</f>
        <v/>
      </c>
      <c r="AQ167">
        <f>IF(AQ32="",0,2*(OR(ISNUMBER(FIND("WORKCENTER",AQ32)),AND(LEFT(AQ32,4)="LINE",NOT(ISNUMBER(FIND("STATUS",AQ32))))))+4*(OR(ISNUMBER(FIND("WORKORDER",AQ32)),AND(LEFT(AQ32,2)="WO",OR(ISNUMBER(FIND("NUM",AQ32)),RIGHT(AQ32,2)="NO"))))+8*(LEFT(AQ32,3)="SEQ")+16*(AND(LEFT(AQ32,4)="ITEM",NOT(ISNUMBER(FIND("DESC",AQ32)))))+32*(AND(ISNUMBER(FIND("DESC",AQ32)),NOT(ISNUMBER(FIND("CAP",AQ32)))))+64*(OR(RIGHT(AQ32,5)="COUNT",RIGHT(AQ32,2)="CT"))+128*(ISNUMBER(FIND("BULK",AQ32)))+256*(ISNUMBER(FIND("SIZE",AQ32)))+512*(LEFT(AQ32,3)="CAP")+1024*(ISNUMBER(FIND("ALLERG",AQ32)))+2048*(OR(ISNUMBER(FIND("REMARK",AQ32)),ISNUMBER(FIND("COMMENT",AQ32))))+4096*(OR(ISNUMBER(FIND("QTY",AQ32)),ISNUMBER(FIND("QUANTITY",AQ32))))+8192*(AND(OR(ISNUMBER(FIND("COMPLETE",AQ32)),ISNUMBER(FIND("PCT",AQ32)),ISNUMBER(FIND("PERCENT",AQ32))),NOT(ISNUMBER(FIND("ACTUAL",AQ32))),LEN(AQ32)&lt;=16))+32768*(OR(ISNUMBER(FIND("DESIC",AQ32)),ISNUMBER(FIND("DESSIC",AQ32)))))</f>
        <v/>
      </c>
      <c r="AR167">
        <f>IF(AR32="",0,2*(OR(ISNUMBER(FIND("WORKCENTER",AR32)),AND(LEFT(AR32,4)="LINE",NOT(ISNUMBER(FIND("STATUS",AR32))))))+4*(OR(ISNUMBER(FIND("WORKORDER",AR32)),AND(LEFT(AR32,2)="WO",OR(ISNUMBER(FIND("NUM",AR32)),RIGHT(AR32,2)="NO"))))+8*(LEFT(AR32,3)="SEQ")+16*(AND(LEFT(AR32,4)="ITEM",NOT(ISNUMBER(FIND("DESC",AR32)))))+32*(AND(ISNUMBER(FIND("DESC",AR32)),NOT(ISNUMBER(FIND("CAP",AR32)))))+64*(OR(RIGHT(AR32,5)="COUNT",RIGHT(AR32,2)="CT"))+128*(ISNUMBER(FIND("BULK",AR32)))+256*(ISNUMBER(FIND("SIZE",AR32)))+512*(LEFT(AR32,3)="CAP")+1024*(ISNUMBER(FIND("ALLERG",AR32)))+2048*(OR(ISNUMBER(FIND("REMARK",AR32)),ISNUMBER(FIND("COMMENT",AR32))))+4096*(OR(ISNUMBER(FIND("QTY",AR32)),ISNUMBER(FIND("QUANTITY",AR32))))+8192*(AND(OR(ISNUMBER(FIND("COMPLETE",AR32)),ISNUMBER(FIND("PCT",AR32)),ISNUMBER(FIND("PERCENT",AR32))),NOT(ISNUMBER(FIND("ACTUAL",AR32))),LEN(AR32)&lt;=16))+32768*(OR(ISNUMBER(FIND("DESIC",AR32)),ISNUMBER(FIND("DESSIC",AR32)))))</f>
        <v/>
      </c>
      <c r="AS167">
        <f>IF(AS32="",0,2*(OR(ISNUMBER(FIND("WORKCENTER",AS32)),AND(LEFT(AS32,4)="LINE",NOT(ISNUMBER(FIND("STATUS",AS32))))))+4*(OR(ISNUMBER(FIND("WORKORDER",AS32)),AND(LEFT(AS32,2)="WO",OR(ISNUMBER(FIND("NUM",AS32)),RIGHT(AS32,2)="NO"))))+8*(LEFT(AS32,3)="SEQ")+16*(AND(LEFT(AS32,4)="ITEM",NOT(ISNUMBER(FIND("DESC",AS32)))))+32*(AND(ISNUMBER(FIND("DESC",AS32)),NOT(ISNUMBER(FIND("CAP",AS32)))))+64*(OR(RIGHT(AS32,5)="COUNT",RIGHT(AS32,2)="CT"))+128*(ISNUMBER(FIND("BULK",AS32)))+256*(ISNUMBER(FIND("SIZE",AS32)))+512*(LEFT(AS32,3)="CAP")+1024*(ISNUMBER(FIND("ALLERG",AS32)))+2048*(OR(ISNUMBER(FIND("REMARK",AS32)),ISNUMBER(FIND("COMMENT",AS32))))+4096*(OR(ISNUMBER(FIND("QTY",AS32)),ISNUMBER(FIND("QUANTITY",AS32))))+8192*(AND(OR(ISNUMBER(FIND("COMPLETE",AS32)),ISNUMBER(FIND("PCT",AS32)),ISNUMBER(FIND("PERCENT",AS32))),NOT(ISNUMBER(FIND("ACTUAL",AS32))),LEN(AS32)&lt;=16))+32768*(OR(ISNUMBER(FIND("DESIC",AS32)),ISNUMBER(FIND("DESSIC",AS32)))))</f>
        <v/>
      </c>
      <c r="AT167">
        <f>IF(AT32="",0,2*(OR(ISNUMBER(FIND("WORKCENTER",AT32)),AND(LEFT(AT32,4)="LINE",NOT(ISNUMBER(FIND("STATUS",AT32))))))+4*(OR(ISNUMBER(FIND("WORKORDER",AT32)),AND(LEFT(AT32,2)="WO",OR(ISNUMBER(FIND("NUM",AT32)),RIGHT(AT32,2)="NO"))))+8*(LEFT(AT32,3)="SEQ")+16*(AND(LEFT(AT32,4)="ITEM",NOT(ISNUMBER(FIND("DESC",AT32)))))+32*(AND(ISNUMBER(FIND("DESC",AT32)),NOT(ISNUMBER(FIND("CAP",AT32)))))+64*(OR(RIGHT(AT32,5)="COUNT",RIGHT(AT32,2)="CT"))+128*(ISNUMBER(FIND("BULK",AT32)))+256*(ISNUMBER(FIND("SIZE",AT32)))+512*(LEFT(AT32,3)="CAP")+1024*(ISNUMBER(FIND("ALLERG",AT32)))+2048*(OR(ISNUMBER(FIND("REMARK",AT32)),ISNUMBER(FIND("COMMENT",AT32))))+4096*(OR(ISNUMBER(FIND("QTY",AT32)),ISNUMBER(FIND("QUANTITY",AT32))))+8192*(AND(OR(ISNUMBER(FIND("COMPLETE",AT32)),ISNUMBER(FIND("PCT",AT32)),ISNUMBER(FIND("PERCENT",AT32))),NOT(ISNUMBER(FIND("ACTUAL",AT32))),LEN(AT32)&lt;=16))+32768*(OR(ISNUMBER(FIND("DESIC",AT32)),ISNUMBER(FIND("DESSIC",AT32)))))</f>
        <v/>
      </c>
      <c r="AU167">
        <f>IF(AU32="",0,2*(OR(ISNUMBER(FIND("WORKCENTER",AU32)),AND(LEFT(AU32,4)="LINE",NOT(ISNUMBER(FIND("STATUS",AU32))))))+4*(OR(ISNUMBER(FIND("WORKORDER",AU32)),AND(LEFT(AU32,2)="WO",OR(ISNUMBER(FIND("NUM",AU32)),RIGHT(AU32,2)="NO"))))+8*(LEFT(AU32,3)="SEQ")+16*(AND(LEFT(AU32,4)="ITEM",NOT(ISNUMBER(FIND("DESC",AU32)))))+32*(AND(ISNUMBER(FIND("DESC",AU32)),NOT(ISNUMBER(FIND("CAP",AU32)))))+64*(OR(RIGHT(AU32,5)="COUNT",RIGHT(AU32,2)="CT"))+128*(ISNUMBER(FIND("BULK",AU32)))+256*(ISNUMBER(FIND("SIZE",AU32)))+512*(LEFT(AU32,3)="CAP")+1024*(ISNUMBER(FIND("ALLERG",AU32)))+2048*(OR(ISNUMBER(FIND("REMARK",AU32)),ISNUMBER(FIND("COMMENT",AU32))))+4096*(OR(ISNUMBER(FIND("QTY",AU32)),ISNUMBER(FIND("QUANTITY",AU32))))+8192*(AND(OR(ISNUMBER(FIND("COMPLETE",AU32)),ISNUMBER(FIND("PCT",AU32)),ISNUMBER(FIND("PERCENT",AU32))),NOT(ISNUMBER(FIND("ACTUAL",AU32))),LEN(AU32)&lt;=16))+32768*(OR(ISNUMBER(FIND("DESIC",AU32)),ISNUMBER(FIND("DESSIC",AU32)))))</f>
        <v/>
      </c>
      <c r="AV167">
        <f>IF(AV32="",0,2*(OR(ISNUMBER(FIND("WORKCENTER",AV32)),AND(LEFT(AV32,4)="LINE",NOT(ISNUMBER(FIND("STATUS",AV32))))))+4*(OR(ISNUMBER(FIND("WORKORDER",AV32)),AND(LEFT(AV32,2)="WO",OR(ISNUMBER(FIND("NUM",AV32)),RIGHT(AV32,2)="NO"))))+8*(LEFT(AV32,3)="SEQ")+16*(AND(LEFT(AV32,4)="ITEM",NOT(ISNUMBER(FIND("DESC",AV32)))))+32*(AND(ISNUMBER(FIND("DESC",AV32)),NOT(ISNUMBER(FIND("CAP",AV32)))))+64*(OR(RIGHT(AV32,5)="COUNT",RIGHT(AV32,2)="CT"))+128*(ISNUMBER(FIND("BULK",AV32)))+256*(ISNUMBER(FIND("SIZE",AV32)))+512*(LEFT(AV32,3)="CAP")+1024*(ISNUMBER(FIND("ALLERG",AV32)))+2048*(OR(ISNUMBER(FIND("REMARK",AV32)),ISNUMBER(FIND("COMMENT",AV32))))+4096*(OR(ISNUMBER(FIND("QTY",AV32)),ISNUMBER(FIND("QUANTITY",AV32))))+8192*(AND(OR(ISNUMBER(FIND("COMPLETE",AV32)),ISNUMBER(FIND("PCT",AV32)),ISNUMBER(FIND("PERCENT",AV32))),NOT(ISNUMBER(FIND("ACTUAL",AV32))),LEN(AV32)&lt;=16))+32768*(OR(ISNUMBER(FIND("DESIC",AV32)),ISNUMBER(FIND("DESSIC",AV32)))))</f>
        <v/>
      </c>
      <c r="AW167">
        <f>IF(AW32="",0,2*(OR(ISNUMBER(FIND("WORKCENTER",AW32)),AND(LEFT(AW32,4)="LINE",NOT(ISNUMBER(FIND("STATUS",AW32))))))+4*(OR(ISNUMBER(FIND("WORKORDER",AW32)),AND(LEFT(AW32,2)="WO",OR(ISNUMBER(FIND("NUM",AW32)),RIGHT(AW32,2)="NO"))))+8*(LEFT(AW32,3)="SEQ")+16*(AND(LEFT(AW32,4)="ITEM",NOT(ISNUMBER(FIND("DESC",AW32)))))+32*(AND(ISNUMBER(FIND("DESC",AW32)),NOT(ISNUMBER(FIND("CAP",AW32)))))+64*(OR(RIGHT(AW32,5)="COUNT",RIGHT(AW32,2)="CT"))+128*(ISNUMBER(FIND("BULK",AW32)))+256*(ISNUMBER(FIND("SIZE",AW32)))+512*(LEFT(AW32,3)="CAP")+1024*(ISNUMBER(FIND("ALLERG",AW32)))+2048*(OR(ISNUMBER(FIND("REMARK",AW32)),ISNUMBER(FIND("COMMENT",AW32))))+4096*(OR(ISNUMBER(FIND("QTY",AW32)),ISNUMBER(FIND("QUANTITY",AW32))))+8192*(AND(OR(ISNUMBER(FIND("COMPLETE",AW32)),ISNUMBER(FIND("PCT",AW32)),ISNUMBER(FIND("PERCENT",AW32))),NOT(ISNUMBER(FIND("ACTUAL",AW32))),LEN(AW32)&lt;=16))+32768*(OR(ISNUMBER(FIND("DESIC",AW32)),ISNUMBER(FIND("DESSIC",AW32)))))</f>
        <v/>
      </c>
      <c r="AX167">
        <f>IF(AX32="",0,2*(OR(ISNUMBER(FIND("WORKCENTER",AX32)),AND(LEFT(AX32,4)="LINE",NOT(ISNUMBER(FIND("STATUS",AX32))))))+4*(OR(ISNUMBER(FIND("WORKORDER",AX32)),AND(LEFT(AX32,2)="WO",OR(ISNUMBER(FIND("NUM",AX32)),RIGHT(AX32,2)="NO"))))+8*(LEFT(AX32,3)="SEQ")+16*(AND(LEFT(AX32,4)="ITEM",NOT(ISNUMBER(FIND("DESC",AX32)))))+32*(AND(ISNUMBER(FIND("DESC",AX32)),NOT(ISNUMBER(FIND("CAP",AX32)))))+64*(OR(RIGHT(AX32,5)="COUNT",RIGHT(AX32,2)="CT"))+128*(ISNUMBER(FIND("BULK",AX32)))+256*(ISNUMBER(FIND("SIZE",AX32)))+512*(LEFT(AX32,3)="CAP")+1024*(ISNUMBER(FIND("ALLERG",AX32)))+2048*(OR(ISNUMBER(FIND("REMARK",AX32)),ISNUMBER(FIND("COMMENT",AX32))))+4096*(OR(ISNUMBER(FIND("QTY",AX32)),ISNUMBER(FIND("QUANTITY",AX32))))+8192*(AND(OR(ISNUMBER(FIND("COMPLETE",AX32)),ISNUMBER(FIND("PCT",AX32)),ISNUMBER(FIND("PERCENT",AX32))),NOT(ISNUMBER(FIND("ACTUAL",AX32))),LEN(AX32)&lt;=16))+32768*(OR(ISNUMBER(FIND("DESIC",AX32)),ISNUMBER(FIND("DESSIC",AX32)))))</f>
        <v/>
      </c>
      <c r="AY167">
        <f>IF(AY32="",0,2*(OR(ISNUMBER(FIND("WORKCENTER",AY32)),AND(LEFT(AY32,4)="LINE",NOT(ISNUMBER(FIND("STATUS",AY32))))))+4*(OR(ISNUMBER(FIND("WORKORDER",AY32)),AND(LEFT(AY32,2)="WO",OR(ISNUMBER(FIND("NUM",AY32)),RIGHT(AY32,2)="NO"))))+8*(LEFT(AY32,3)="SEQ")+16*(AND(LEFT(AY32,4)="ITEM",NOT(ISNUMBER(FIND("DESC",AY32)))))+32*(AND(ISNUMBER(FIND("DESC",AY32)),NOT(ISNUMBER(FIND("CAP",AY32)))))+64*(OR(RIGHT(AY32,5)="COUNT",RIGHT(AY32,2)="CT"))+128*(ISNUMBER(FIND("BULK",AY32)))+256*(ISNUMBER(FIND("SIZE",AY32)))+512*(LEFT(AY32,3)="CAP")+1024*(ISNUMBER(FIND("ALLERG",AY32)))+2048*(OR(ISNUMBER(FIND("REMARK",AY32)),ISNUMBER(FIND("COMMENT",AY32))))+4096*(OR(ISNUMBER(FIND("QTY",AY32)),ISNUMBER(FIND("QUANTITY",AY32))))+8192*(AND(OR(ISNUMBER(FIND("COMPLETE",AY32)),ISNUMBER(FIND("PCT",AY32)),ISNUMBER(FIND("PERCENT",AY32))),NOT(ISNUMBER(FIND("ACTUAL",AY32))),LEN(AY32)&lt;=16))+32768*(OR(ISNUMBER(FIND("DESIC",AY32)),ISNUMBER(FIND("DESSIC",AY32)))))</f>
        <v/>
      </c>
      <c r="AZ167">
        <f>IF(AZ32="",0,2*(OR(ISNUMBER(FIND("WORKCENTER",AZ32)),AND(LEFT(AZ32,4)="LINE",NOT(ISNUMBER(FIND("STATUS",AZ32))))))+4*(OR(ISNUMBER(FIND("WORKORDER",AZ32)),AND(LEFT(AZ32,2)="WO",OR(ISNUMBER(FIND("NUM",AZ32)),RIGHT(AZ32,2)="NO"))))+8*(LEFT(AZ32,3)="SEQ")+16*(AND(LEFT(AZ32,4)="ITEM",NOT(ISNUMBER(FIND("DESC",AZ32)))))+32*(AND(ISNUMBER(FIND("DESC",AZ32)),NOT(ISNUMBER(FIND("CAP",AZ32)))))+64*(OR(RIGHT(AZ32,5)="COUNT",RIGHT(AZ32,2)="CT"))+128*(ISNUMBER(FIND("BULK",AZ32)))+256*(ISNUMBER(FIND("SIZE",AZ32)))+512*(LEFT(AZ32,3)="CAP")+1024*(ISNUMBER(FIND("ALLERG",AZ32)))+2048*(OR(ISNUMBER(FIND("REMARK",AZ32)),ISNUMBER(FIND("COMMENT",AZ32))))+4096*(OR(ISNUMBER(FIND("QTY",AZ32)),ISNUMBER(FIND("QUANTITY",AZ32))))+8192*(AND(OR(ISNUMBER(FIND("COMPLETE",AZ32)),ISNUMBER(FIND("PCT",AZ32)),ISNUMBER(FIND("PERCENT",AZ32))),NOT(ISNUMBER(FIND("ACTUAL",AZ32))),LEN(AZ32)&lt;=16))+32768*(OR(ISNUMBER(FIND("DESIC",AZ32)),ISNUMBER(FIND("DESSIC",AZ32)))))</f>
        <v/>
      </c>
      <c r="BA167">
        <f>IF(BA32="",0,2*(OR(ISNUMBER(FIND("WORKCENTER",BA32)),AND(LEFT(BA32,4)="LINE",NOT(ISNUMBER(FIND("STATUS",BA32))))))+4*(OR(ISNUMBER(FIND("WORKORDER",BA32)),AND(LEFT(BA32,2)="WO",OR(ISNUMBER(FIND("NUM",BA32)),RIGHT(BA32,2)="NO"))))+8*(LEFT(BA32,3)="SEQ")+16*(AND(LEFT(BA32,4)="ITEM",NOT(ISNUMBER(FIND("DESC",BA32)))))+32*(AND(ISNUMBER(FIND("DESC",BA32)),NOT(ISNUMBER(FIND("CAP",BA32)))))+64*(OR(RIGHT(BA32,5)="COUNT",RIGHT(BA32,2)="CT"))+128*(ISNUMBER(FIND("BULK",BA32)))+256*(ISNUMBER(FIND("SIZE",BA32)))+512*(LEFT(BA32,3)="CAP")+1024*(ISNUMBER(FIND("ALLERG",BA32)))+2048*(OR(ISNUMBER(FIND("REMARK",BA32)),ISNUMBER(FIND("COMMENT",BA32))))+4096*(OR(ISNUMBER(FIND("QTY",BA32)),ISNUMBER(FIND("QUANTITY",BA32))))+8192*(AND(OR(ISNUMBER(FIND("COMPLETE",BA32)),ISNUMBER(FIND("PCT",BA32)),ISNUMBER(FIND("PERCENT",BA32))),NOT(ISNUMBER(FIND("ACTUAL",BA32))),LEN(BA32)&lt;=16))+32768*(OR(ISNUMBER(FIND("DESIC",BA32)),ISNUMBER(FIND("DESSIC",BA32)))))</f>
        <v/>
      </c>
      <c r="BB167">
        <f>IF(BB32="",0,2*(OR(ISNUMBER(FIND("WORKCENTER",BB32)),AND(LEFT(BB32,4)="LINE",NOT(ISNUMBER(FIND("STATUS",BB32))))))+4*(OR(ISNUMBER(FIND("WORKORDER",BB32)),AND(LEFT(BB32,2)="WO",OR(ISNUMBER(FIND("NUM",BB32)),RIGHT(BB32,2)="NO"))))+8*(LEFT(BB32,3)="SEQ")+16*(AND(LEFT(BB32,4)="ITEM",NOT(ISNUMBER(FIND("DESC",BB32)))))+32*(AND(ISNUMBER(FIND("DESC",BB32)),NOT(ISNUMBER(FIND("CAP",BB32)))))+64*(OR(RIGHT(BB32,5)="COUNT",RIGHT(BB32,2)="CT"))+128*(ISNUMBER(FIND("BULK",BB32)))+256*(ISNUMBER(FIND("SIZE",BB32)))+512*(LEFT(BB32,3)="CAP")+1024*(ISNUMBER(FIND("ALLERG",BB32)))+2048*(OR(ISNUMBER(FIND("REMARK",BB32)),ISNUMBER(FIND("COMMENT",BB32))))+4096*(OR(ISNUMBER(FIND("QTY",BB32)),ISNUMBER(FIND("QUANTITY",BB32))))+8192*(AND(OR(ISNUMBER(FIND("COMPLETE",BB32)),ISNUMBER(FIND("PCT",BB32)),ISNUMBER(FIND("PERCENT",BB32))),NOT(ISNUMBER(FIND("ACTUAL",BB32))),LEN(BB32)&lt;=16))+32768*(OR(ISNUMBER(FIND("DESIC",BB32)),ISNUMBER(FIND("DESSIC",BB32)))))</f>
        <v/>
      </c>
      <c r="BC167">
        <f>IF(BC32="",0,2*(OR(ISNUMBER(FIND("WORKCENTER",BC32)),AND(LEFT(BC32,4)="LINE",NOT(ISNUMBER(FIND("STATUS",BC32))))))+4*(OR(ISNUMBER(FIND("WORKORDER",BC32)),AND(LEFT(BC32,2)="WO",OR(ISNUMBER(FIND("NUM",BC32)),RIGHT(BC32,2)="NO"))))+8*(LEFT(BC32,3)="SEQ")+16*(AND(LEFT(BC32,4)="ITEM",NOT(ISNUMBER(FIND("DESC",BC32)))))+32*(AND(ISNUMBER(FIND("DESC",BC32)),NOT(ISNUMBER(FIND("CAP",BC32)))))+64*(OR(RIGHT(BC32,5)="COUNT",RIGHT(BC32,2)="CT"))+128*(ISNUMBER(FIND("BULK",BC32)))+256*(ISNUMBER(FIND("SIZE",BC32)))+512*(LEFT(BC32,3)="CAP")+1024*(ISNUMBER(FIND("ALLERG",BC32)))+2048*(OR(ISNUMBER(FIND("REMARK",BC32)),ISNUMBER(FIND("COMMENT",BC32))))+4096*(OR(ISNUMBER(FIND("QTY",BC32)),ISNUMBER(FIND("QUANTITY",BC32))))+8192*(AND(OR(ISNUMBER(FIND("COMPLETE",BC32)),ISNUMBER(FIND("PCT",BC32)),ISNUMBER(FIND("PERCENT",BC32))),NOT(ISNUMBER(FIND("ACTUAL",BC32))),LEN(BC32)&lt;=16))+32768*(OR(ISNUMBER(FIND("DESIC",BC32)),ISNUMBER(FIND("DESSIC",BC32)))))</f>
        <v/>
      </c>
      <c r="BD167">
        <f>IF(BD32="",0,2*(OR(ISNUMBER(FIND("WORKCENTER",BD32)),AND(LEFT(BD32,4)="LINE",NOT(ISNUMBER(FIND("STATUS",BD32))))))+4*(OR(ISNUMBER(FIND("WORKORDER",BD32)),AND(LEFT(BD32,2)="WO",OR(ISNUMBER(FIND("NUM",BD32)),RIGHT(BD32,2)="NO"))))+8*(LEFT(BD32,3)="SEQ")+16*(AND(LEFT(BD32,4)="ITEM",NOT(ISNUMBER(FIND("DESC",BD32)))))+32*(AND(ISNUMBER(FIND("DESC",BD32)),NOT(ISNUMBER(FIND("CAP",BD32)))))+64*(OR(RIGHT(BD32,5)="COUNT",RIGHT(BD32,2)="CT"))+128*(ISNUMBER(FIND("BULK",BD32)))+256*(ISNUMBER(FIND("SIZE",BD32)))+512*(LEFT(BD32,3)="CAP")+1024*(ISNUMBER(FIND("ALLERG",BD32)))+2048*(OR(ISNUMBER(FIND("REMARK",BD32)),ISNUMBER(FIND("COMMENT",BD32))))+4096*(OR(ISNUMBER(FIND("QTY",BD32)),ISNUMBER(FIND("QUANTITY",BD32))))+8192*(AND(OR(ISNUMBER(FIND("COMPLETE",BD32)),ISNUMBER(FIND("PCT",BD32)),ISNUMBER(FIND("PERCENT",BD32))),NOT(ISNUMBER(FIND("ACTUAL",BD32))),LEN(BD32)&lt;=16))+32768*(OR(ISNUMBER(FIND("DESIC",BD32)),ISNUMBER(FIND("DESSIC",BD32)))))</f>
        <v/>
      </c>
      <c r="BE167">
        <f>IF(BE32="",0,2*(OR(ISNUMBER(FIND("WORKCENTER",BE32)),AND(LEFT(BE32,4)="LINE",NOT(ISNUMBER(FIND("STATUS",BE32))))))+4*(OR(ISNUMBER(FIND("WORKORDER",BE32)),AND(LEFT(BE32,2)="WO",OR(ISNUMBER(FIND("NUM",BE32)),RIGHT(BE32,2)="NO"))))+8*(LEFT(BE32,3)="SEQ")+16*(AND(LEFT(BE32,4)="ITEM",NOT(ISNUMBER(FIND("DESC",BE32)))))+32*(AND(ISNUMBER(FIND("DESC",BE32)),NOT(ISNUMBER(FIND("CAP",BE32)))))+64*(OR(RIGHT(BE32,5)="COUNT",RIGHT(BE32,2)="CT"))+128*(ISNUMBER(FIND("BULK",BE32)))+256*(ISNUMBER(FIND("SIZE",BE32)))+512*(LEFT(BE32,3)="CAP")+1024*(ISNUMBER(FIND("ALLERG",BE32)))+2048*(OR(ISNUMBER(FIND("REMARK",BE32)),ISNUMBER(FIND("COMMENT",BE32))))+4096*(OR(ISNUMBER(FIND("QTY",BE32)),ISNUMBER(FIND("QUANTITY",BE32))))+8192*(AND(OR(ISNUMBER(FIND("COMPLETE",BE32)),ISNUMBER(FIND("PCT",BE32)),ISNUMBER(FIND("PERCENT",BE32))),NOT(ISNUMBER(FIND("ACTUAL",BE32))),LEN(BE32)&lt;=16))+32768*(OR(ISNUMBER(FIND("DESIC",BE32)),ISNUMBER(FIND("DESSIC",BE32)))))</f>
        <v/>
      </c>
      <c r="BF167">
        <f>IF(BF32="",0,2*(OR(ISNUMBER(FIND("WORKCENTER",BF32)),AND(LEFT(BF32,4)="LINE",NOT(ISNUMBER(FIND("STATUS",BF32))))))+4*(OR(ISNUMBER(FIND("WORKORDER",BF32)),AND(LEFT(BF32,2)="WO",OR(ISNUMBER(FIND("NUM",BF32)),RIGHT(BF32,2)="NO"))))+8*(LEFT(BF32,3)="SEQ")+16*(AND(LEFT(BF32,4)="ITEM",NOT(ISNUMBER(FIND("DESC",BF32)))))+32*(AND(ISNUMBER(FIND("DESC",BF32)),NOT(ISNUMBER(FIND("CAP",BF32)))))+64*(OR(RIGHT(BF32,5)="COUNT",RIGHT(BF32,2)="CT"))+128*(ISNUMBER(FIND("BULK",BF32)))+256*(ISNUMBER(FIND("SIZE",BF32)))+512*(LEFT(BF32,3)="CAP")+1024*(ISNUMBER(FIND("ALLERG",BF32)))+2048*(OR(ISNUMBER(FIND("REMARK",BF32)),ISNUMBER(FIND("COMMENT",BF32))))+4096*(OR(ISNUMBER(FIND("QTY",BF32)),ISNUMBER(FIND("QUANTITY",BF32))))+8192*(AND(OR(ISNUMBER(FIND("COMPLETE",BF32)),ISNUMBER(FIND("PCT",BF32)),ISNUMBER(FIND("PERCENT",BF32))),NOT(ISNUMBER(FIND("ACTUAL",BF32))),LEN(BF32)&lt;=16))+32768*(OR(ISNUMBER(FIND("DESIC",BF32)),ISNUMBER(FIND("DESSIC",BF32)))))</f>
        <v/>
      </c>
      <c r="BG167">
        <f>IF(BG32="",0,2*(OR(ISNUMBER(FIND("WORKCENTER",BG32)),AND(LEFT(BG32,4)="LINE",NOT(ISNUMBER(FIND("STATUS",BG32))))))+4*(OR(ISNUMBER(FIND("WORKORDER",BG32)),AND(LEFT(BG32,2)="WO",OR(ISNUMBER(FIND("NUM",BG32)),RIGHT(BG32,2)="NO"))))+8*(LEFT(BG32,3)="SEQ")+16*(AND(LEFT(BG32,4)="ITEM",NOT(ISNUMBER(FIND("DESC",BG32)))))+32*(AND(ISNUMBER(FIND("DESC",BG32)),NOT(ISNUMBER(FIND("CAP",BG32)))))+64*(OR(RIGHT(BG32,5)="COUNT",RIGHT(BG32,2)="CT"))+128*(ISNUMBER(FIND("BULK",BG32)))+256*(ISNUMBER(FIND("SIZE",BG32)))+512*(LEFT(BG32,3)="CAP")+1024*(ISNUMBER(FIND("ALLERG",BG32)))+2048*(OR(ISNUMBER(FIND("REMARK",BG32)),ISNUMBER(FIND("COMMENT",BG32))))+4096*(OR(ISNUMBER(FIND("QTY",BG32)),ISNUMBER(FIND("QUANTITY",BG32))))+8192*(AND(OR(ISNUMBER(FIND("COMPLETE",BG32)),ISNUMBER(FIND("PCT",BG32)),ISNUMBER(FIND("PERCENT",BG32))),NOT(ISNUMBER(FIND("ACTUAL",BG32))),LEN(BG32)&lt;=16))+32768*(OR(ISNUMBER(FIND("DESIC",BG32)),ISNUMBER(FIND("DESSIC",BG32)))))</f>
        <v/>
      </c>
      <c r="BH167">
        <f>IF(BH32="",0,2*(OR(ISNUMBER(FIND("WORKCENTER",BH32)),AND(LEFT(BH32,4)="LINE",NOT(ISNUMBER(FIND("STATUS",BH32))))))+4*(OR(ISNUMBER(FIND("WORKORDER",BH32)),AND(LEFT(BH32,2)="WO",OR(ISNUMBER(FIND("NUM",BH32)),RIGHT(BH32,2)="NO"))))+8*(LEFT(BH32,3)="SEQ")+16*(AND(LEFT(BH32,4)="ITEM",NOT(ISNUMBER(FIND("DESC",BH32)))))+32*(AND(ISNUMBER(FIND("DESC",BH32)),NOT(ISNUMBER(FIND("CAP",BH32)))))+64*(OR(RIGHT(BH32,5)="COUNT",RIGHT(BH32,2)="CT"))+128*(ISNUMBER(FIND("BULK",BH32)))+256*(ISNUMBER(FIND("SIZE",BH32)))+512*(LEFT(BH32,3)="CAP")+1024*(ISNUMBER(FIND("ALLERG",BH32)))+2048*(OR(ISNUMBER(FIND("REMARK",BH32)),ISNUMBER(FIND("COMMENT",BH32))))+4096*(OR(ISNUMBER(FIND("QTY",BH32)),ISNUMBER(FIND("QUANTITY",BH32))))+8192*(AND(OR(ISNUMBER(FIND("COMPLETE",BH32)),ISNUMBER(FIND("PCT",BH32)),ISNUMBER(FIND("PERCENT",BH32))),NOT(ISNUMBER(FIND("ACTUAL",BH32))),LEN(BH32)&lt;=16))+32768*(OR(ISNUMBER(FIND("DESIC",BH32)),ISNUMBER(FIND("DESSIC",BH32)))))</f>
        <v/>
      </c>
      <c r="BI167">
        <f>IF(BI32="",0,2*(OR(ISNUMBER(FIND("WORKCENTER",BI32)),AND(LEFT(BI32,4)="LINE",NOT(ISNUMBER(FIND("STATUS",BI32))))))+4*(OR(ISNUMBER(FIND("WORKORDER",BI32)),AND(LEFT(BI32,2)="WO",OR(ISNUMBER(FIND("NUM",BI32)),RIGHT(BI32,2)="NO"))))+8*(LEFT(BI32,3)="SEQ")+16*(AND(LEFT(BI32,4)="ITEM",NOT(ISNUMBER(FIND("DESC",BI32)))))+32*(AND(ISNUMBER(FIND("DESC",BI32)),NOT(ISNUMBER(FIND("CAP",BI32)))))+64*(OR(RIGHT(BI32,5)="COUNT",RIGHT(BI32,2)="CT"))+128*(ISNUMBER(FIND("BULK",BI32)))+256*(ISNUMBER(FIND("SIZE",BI32)))+512*(LEFT(BI32,3)="CAP")+1024*(ISNUMBER(FIND("ALLERG",BI32)))+2048*(OR(ISNUMBER(FIND("REMARK",BI32)),ISNUMBER(FIND("COMMENT",BI32))))+4096*(OR(ISNUMBER(FIND("QTY",BI32)),ISNUMBER(FIND("QUANTITY",BI32))))+8192*(AND(OR(ISNUMBER(FIND("COMPLETE",BI32)),ISNUMBER(FIND("PCT",BI32)),ISNUMBER(FIND("PERCENT",BI32))),NOT(ISNUMBER(FIND("ACTUAL",BI32))),LEN(BI32)&lt;=16))+32768*(OR(ISNUMBER(FIND("DESIC",BI32)),ISNUMBER(FIND("DESSIC",BI32)))))</f>
        <v/>
      </c>
      <c r="BJ167">
        <f>IF(BJ32="",0,2*(OR(ISNUMBER(FIND("WORKCENTER",BJ32)),AND(LEFT(BJ32,4)="LINE",NOT(ISNUMBER(FIND("STATUS",BJ32))))))+4*(OR(ISNUMBER(FIND("WORKORDER",BJ32)),AND(LEFT(BJ32,2)="WO",OR(ISNUMBER(FIND("NUM",BJ32)),RIGHT(BJ32,2)="NO"))))+8*(LEFT(BJ32,3)="SEQ")+16*(AND(LEFT(BJ32,4)="ITEM",NOT(ISNUMBER(FIND("DESC",BJ32)))))+32*(AND(ISNUMBER(FIND("DESC",BJ32)),NOT(ISNUMBER(FIND("CAP",BJ32)))))+64*(OR(RIGHT(BJ32,5)="COUNT",RIGHT(BJ32,2)="CT"))+128*(ISNUMBER(FIND("BULK",BJ32)))+256*(ISNUMBER(FIND("SIZE",BJ32)))+512*(LEFT(BJ32,3)="CAP")+1024*(ISNUMBER(FIND("ALLERG",BJ32)))+2048*(OR(ISNUMBER(FIND("REMARK",BJ32)),ISNUMBER(FIND("COMMENT",BJ32))))+4096*(OR(ISNUMBER(FIND("QTY",BJ32)),ISNUMBER(FIND("QUANTITY",BJ32))))+8192*(AND(OR(ISNUMBER(FIND("COMPLETE",BJ32)),ISNUMBER(FIND("PCT",BJ32)),ISNUMBER(FIND("PERCENT",BJ32))),NOT(ISNUMBER(FIND("ACTUAL",BJ32))),LEN(BJ32)&lt;=16))+32768*(OR(ISNUMBER(FIND("DESIC",BJ32)),ISNUMBER(FIND("DESSIC",BJ32)))))</f>
        <v/>
      </c>
      <c r="BK167">
        <f>IF(BK32="",0,2*(OR(ISNUMBER(FIND("WORKCENTER",BK32)),AND(LEFT(BK32,4)="LINE",NOT(ISNUMBER(FIND("STATUS",BK32))))))+4*(OR(ISNUMBER(FIND("WORKORDER",BK32)),AND(LEFT(BK32,2)="WO",OR(ISNUMBER(FIND("NUM",BK32)),RIGHT(BK32,2)="NO"))))+8*(LEFT(BK32,3)="SEQ")+16*(AND(LEFT(BK32,4)="ITEM",NOT(ISNUMBER(FIND("DESC",BK32)))))+32*(AND(ISNUMBER(FIND("DESC",BK32)),NOT(ISNUMBER(FIND("CAP",BK32)))))+64*(OR(RIGHT(BK32,5)="COUNT",RIGHT(BK32,2)="CT"))+128*(ISNUMBER(FIND("BULK",BK32)))+256*(ISNUMBER(FIND("SIZE",BK32)))+512*(LEFT(BK32,3)="CAP")+1024*(ISNUMBER(FIND("ALLERG",BK32)))+2048*(OR(ISNUMBER(FIND("REMARK",BK32)),ISNUMBER(FIND("COMMENT",BK32))))+4096*(OR(ISNUMBER(FIND("QTY",BK32)),ISNUMBER(FIND("QUANTITY",BK32))))+8192*(AND(OR(ISNUMBER(FIND("COMPLETE",BK32)),ISNUMBER(FIND("PCT",BK32)),ISNUMBER(FIND("PERCENT",BK32))),NOT(ISNUMBER(FIND("ACTUAL",BK32))),LEN(BK32)&lt;=16))+32768*(OR(ISNUMBER(FIND("DESIC",BK32)),ISNUMBER(FIND("DESSIC",BK32)))))</f>
        <v/>
      </c>
      <c r="BL167">
        <f>IF(BL32="",0,2*(OR(ISNUMBER(FIND("WORKCENTER",BL32)),AND(LEFT(BL32,4)="LINE",NOT(ISNUMBER(FIND("STATUS",BL32))))))+4*(OR(ISNUMBER(FIND("WORKORDER",BL32)),AND(LEFT(BL32,2)="WO",OR(ISNUMBER(FIND("NUM",BL32)),RIGHT(BL32,2)="NO"))))+8*(LEFT(BL32,3)="SEQ")+16*(AND(LEFT(BL32,4)="ITEM",NOT(ISNUMBER(FIND("DESC",BL32)))))+32*(AND(ISNUMBER(FIND("DESC",BL32)),NOT(ISNUMBER(FIND("CAP",BL32)))))+64*(OR(RIGHT(BL32,5)="COUNT",RIGHT(BL32,2)="CT"))+128*(ISNUMBER(FIND("BULK",BL32)))+256*(ISNUMBER(FIND("SIZE",BL32)))+512*(LEFT(BL32,3)="CAP")+1024*(ISNUMBER(FIND("ALLERG",BL32)))+2048*(OR(ISNUMBER(FIND("REMARK",BL32)),ISNUMBER(FIND("COMMENT",BL32))))+4096*(OR(ISNUMBER(FIND("QTY",BL32)),ISNUMBER(FIND("QUANTITY",BL32))))+8192*(AND(OR(ISNUMBER(FIND("COMPLETE",BL32)),ISNUMBER(FIND("PCT",BL32)),ISNUMBER(FIND("PERCENT",BL32))),NOT(ISNUMBER(FIND("ACTUAL",BL32))),LEN(BL32)&lt;=16))+32768*(OR(ISNUMBER(FIND("DESIC",BL32)),ISNUMBER(FIND("DESSIC",BL32)))))</f>
        <v/>
      </c>
      <c r="BM167">
        <f>IF(BM32="",0,2*(OR(ISNUMBER(FIND("WORKCENTER",BM32)),AND(LEFT(BM32,4)="LINE",NOT(ISNUMBER(FIND("STATUS",BM32))))))+4*(OR(ISNUMBER(FIND("WORKORDER",BM32)),AND(LEFT(BM32,2)="WO",OR(ISNUMBER(FIND("NUM",BM32)),RIGHT(BM32,2)="NO"))))+8*(LEFT(BM32,3)="SEQ")+16*(AND(LEFT(BM32,4)="ITEM",NOT(ISNUMBER(FIND("DESC",BM32)))))+32*(AND(ISNUMBER(FIND("DESC",BM32)),NOT(ISNUMBER(FIND("CAP",BM32)))))+64*(OR(RIGHT(BM32,5)="COUNT",RIGHT(BM32,2)="CT"))+128*(ISNUMBER(FIND("BULK",BM32)))+256*(ISNUMBER(FIND("SIZE",BM32)))+512*(LEFT(BM32,3)="CAP")+1024*(ISNUMBER(FIND("ALLERG",BM32)))+2048*(OR(ISNUMBER(FIND("REMARK",BM32)),ISNUMBER(FIND("COMMENT",BM32))))+4096*(OR(ISNUMBER(FIND("QTY",BM32)),ISNUMBER(FIND("QUANTITY",BM32))))+8192*(AND(OR(ISNUMBER(FIND("COMPLETE",BM32)),ISNUMBER(FIND("PCT",BM32)),ISNUMBER(FIND("PERCENT",BM32))),NOT(ISNUMBER(FIND("ACTUAL",BM32))),LEN(BM32)&lt;=16))+32768*(OR(ISNUMBER(FIND("DESIC",BM32)),ISNUMBER(FIND("DESSIC",BM32)))))</f>
        <v/>
      </c>
      <c r="BN167">
        <f>IF(BN32="",0,2*(OR(ISNUMBER(FIND("WORKCENTER",BN32)),AND(LEFT(BN32,4)="LINE",NOT(ISNUMBER(FIND("STATUS",BN32))))))+4*(OR(ISNUMBER(FIND("WORKORDER",BN32)),AND(LEFT(BN32,2)="WO",OR(ISNUMBER(FIND("NUM",BN32)),RIGHT(BN32,2)="NO"))))+8*(LEFT(BN32,3)="SEQ")+16*(AND(LEFT(BN32,4)="ITEM",NOT(ISNUMBER(FIND("DESC",BN32)))))+32*(AND(ISNUMBER(FIND("DESC",BN32)),NOT(ISNUMBER(FIND("CAP",BN32)))))+64*(OR(RIGHT(BN32,5)="COUNT",RIGHT(BN32,2)="CT"))+128*(ISNUMBER(FIND("BULK",BN32)))+256*(ISNUMBER(FIND("SIZE",BN32)))+512*(LEFT(BN32,3)="CAP")+1024*(ISNUMBER(FIND("ALLERG",BN32)))+2048*(OR(ISNUMBER(FIND("REMARK",BN32)),ISNUMBER(FIND("COMMENT",BN32))))+4096*(OR(ISNUMBER(FIND("QTY",BN32)),ISNUMBER(FIND("QUANTITY",BN32))))+8192*(AND(OR(ISNUMBER(FIND("COMPLETE",BN32)),ISNUMBER(FIND("PCT",BN32)),ISNUMBER(FIND("PERCENT",BN32))),NOT(ISNUMBER(FIND("ACTUAL",BN32))),LEN(BN32)&lt;=16))+32768*(OR(ISNUMBER(FIND("DESIC",BN32)),ISNUMBER(FIND("DESSIC",BN32)))))</f>
        <v/>
      </c>
      <c r="BO167">
        <f>IF(BO32="",0,2*(OR(ISNUMBER(FIND("WORKCENTER",BO32)),AND(LEFT(BO32,4)="LINE",NOT(ISNUMBER(FIND("STATUS",BO32))))))+4*(OR(ISNUMBER(FIND("WORKORDER",BO32)),AND(LEFT(BO32,2)="WO",OR(ISNUMBER(FIND("NUM",BO32)),RIGHT(BO32,2)="NO"))))+8*(LEFT(BO32,3)="SEQ")+16*(AND(LEFT(BO32,4)="ITEM",NOT(ISNUMBER(FIND("DESC",BO32)))))+32*(AND(ISNUMBER(FIND("DESC",BO32)),NOT(ISNUMBER(FIND("CAP",BO32)))))+64*(OR(RIGHT(BO32,5)="COUNT",RIGHT(BO32,2)="CT"))+128*(ISNUMBER(FIND("BULK",BO32)))+256*(ISNUMBER(FIND("SIZE",BO32)))+512*(LEFT(BO32,3)="CAP")+1024*(ISNUMBER(FIND("ALLERG",BO32)))+2048*(OR(ISNUMBER(FIND("REMARK",BO32)),ISNUMBER(FIND("COMMENT",BO32))))+4096*(OR(ISNUMBER(FIND("QTY",BO32)),ISNUMBER(FIND("QUANTITY",BO32))))+8192*(AND(OR(ISNUMBER(FIND("COMPLETE",BO32)),ISNUMBER(FIND("PCT",BO32)),ISNUMBER(FIND("PERCENT",BO32))),NOT(ISNUMBER(FIND("ACTUAL",BO32))),LEN(BO32)&lt;=16))+32768*(OR(ISNUMBER(FIND("DESIC",BO32)),ISNUMBER(FIND("DESSIC",BO32)))))</f>
        <v/>
      </c>
      <c r="BP167">
        <f>IF(BP32="",0,2*(OR(ISNUMBER(FIND("WORKCENTER",BP32)),AND(LEFT(BP32,4)="LINE",NOT(ISNUMBER(FIND("STATUS",BP32))))))+4*(OR(ISNUMBER(FIND("WORKORDER",BP32)),AND(LEFT(BP32,2)="WO",OR(ISNUMBER(FIND("NUM",BP32)),RIGHT(BP32,2)="NO"))))+8*(LEFT(BP32,3)="SEQ")+16*(AND(LEFT(BP32,4)="ITEM",NOT(ISNUMBER(FIND("DESC",BP32)))))+32*(AND(ISNUMBER(FIND("DESC",BP32)),NOT(ISNUMBER(FIND("CAP",BP32)))))+64*(OR(RIGHT(BP32,5)="COUNT",RIGHT(BP32,2)="CT"))+128*(ISNUMBER(FIND("BULK",BP32)))+256*(ISNUMBER(FIND("SIZE",BP32)))+512*(LEFT(BP32,3)="CAP")+1024*(ISNUMBER(FIND("ALLERG",BP32)))+2048*(OR(ISNUMBER(FIND("REMARK",BP32)),ISNUMBER(FIND("COMMENT",BP32))))+4096*(OR(ISNUMBER(FIND("QTY",BP32)),ISNUMBER(FIND("QUANTITY",BP32))))+8192*(AND(OR(ISNUMBER(FIND("COMPLETE",BP32)),ISNUMBER(FIND("PCT",BP32)),ISNUMBER(FIND("PERCENT",BP32))),NOT(ISNUMBER(FIND("ACTUAL",BP32))),LEN(BP32)&lt;=16))+32768*(OR(ISNUMBER(FIND("DESIC",BP32)),ISNUMBER(FIND("DESSIC",BP32)))))</f>
        <v/>
      </c>
      <c r="BQ167">
        <f>IF(BQ32="",0,2*(OR(ISNUMBER(FIND("WORKCENTER",BQ32)),AND(LEFT(BQ32,4)="LINE",NOT(ISNUMBER(FIND("STATUS",BQ32))))))+4*(OR(ISNUMBER(FIND("WORKORDER",BQ32)),AND(LEFT(BQ32,2)="WO",OR(ISNUMBER(FIND("NUM",BQ32)),RIGHT(BQ32,2)="NO"))))+8*(LEFT(BQ32,3)="SEQ")+16*(AND(LEFT(BQ32,4)="ITEM",NOT(ISNUMBER(FIND("DESC",BQ32)))))+32*(AND(ISNUMBER(FIND("DESC",BQ32)),NOT(ISNUMBER(FIND("CAP",BQ32)))))+64*(OR(RIGHT(BQ32,5)="COUNT",RIGHT(BQ32,2)="CT"))+128*(ISNUMBER(FIND("BULK",BQ32)))+256*(ISNUMBER(FIND("SIZE",BQ32)))+512*(LEFT(BQ32,3)="CAP")+1024*(ISNUMBER(FIND("ALLERG",BQ32)))+2048*(OR(ISNUMBER(FIND("REMARK",BQ32)),ISNUMBER(FIND("COMMENT",BQ32))))+4096*(OR(ISNUMBER(FIND("QTY",BQ32)),ISNUMBER(FIND("QUANTITY",BQ32))))+8192*(AND(OR(ISNUMBER(FIND("COMPLETE",BQ32)),ISNUMBER(FIND("PCT",BQ32)),ISNUMBER(FIND("PERCENT",BQ32))),NOT(ISNUMBER(FIND("ACTUAL",BQ32))),LEN(BQ32)&lt;=16))+32768*(OR(ISNUMBER(FIND("DESIC",BQ32)),ISNUMBER(FIND("DESSIC",BQ32)))))</f>
        <v/>
      </c>
      <c r="BR167">
        <f>IF(BR32="",0,2*(OR(ISNUMBER(FIND("WORKCENTER",BR32)),AND(LEFT(BR32,4)="LINE",NOT(ISNUMBER(FIND("STATUS",BR32))))))+4*(OR(ISNUMBER(FIND("WORKORDER",BR32)),AND(LEFT(BR32,2)="WO",OR(ISNUMBER(FIND("NUM",BR32)),RIGHT(BR32,2)="NO"))))+8*(LEFT(BR32,3)="SEQ")+16*(AND(LEFT(BR32,4)="ITEM",NOT(ISNUMBER(FIND("DESC",BR32)))))+32*(AND(ISNUMBER(FIND("DESC",BR32)),NOT(ISNUMBER(FIND("CAP",BR32)))))+64*(OR(RIGHT(BR32,5)="COUNT",RIGHT(BR32,2)="CT"))+128*(ISNUMBER(FIND("BULK",BR32)))+256*(ISNUMBER(FIND("SIZE",BR32)))+512*(LEFT(BR32,3)="CAP")+1024*(ISNUMBER(FIND("ALLERG",BR32)))+2048*(OR(ISNUMBER(FIND("REMARK",BR32)),ISNUMBER(FIND("COMMENT",BR32))))+4096*(OR(ISNUMBER(FIND("QTY",BR32)),ISNUMBER(FIND("QUANTITY",BR32))))+8192*(AND(OR(ISNUMBER(FIND("COMPLETE",BR32)),ISNUMBER(FIND("PCT",BR32)),ISNUMBER(FIND("PERCENT",BR32))),NOT(ISNUMBER(FIND("ACTUAL",BR32))),LEN(BR32)&lt;=16))+32768*(OR(ISNUMBER(FIND("DESIC",BR32)),ISNUMBER(FIND("DESSIC",BR32)))))</f>
        <v/>
      </c>
      <c r="BS167">
        <f>IF(BS32="",0,2*(OR(ISNUMBER(FIND("WORKCENTER",BS32)),AND(LEFT(BS32,4)="LINE",NOT(ISNUMBER(FIND("STATUS",BS32))))))+4*(OR(ISNUMBER(FIND("WORKORDER",BS32)),AND(LEFT(BS32,2)="WO",OR(ISNUMBER(FIND("NUM",BS32)),RIGHT(BS32,2)="NO"))))+8*(LEFT(BS32,3)="SEQ")+16*(AND(LEFT(BS32,4)="ITEM",NOT(ISNUMBER(FIND("DESC",BS32)))))+32*(AND(ISNUMBER(FIND("DESC",BS32)),NOT(ISNUMBER(FIND("CAP",BS32)))))+64*(OR(RIGHT(BS32,5)="COUNT",RIGHT(BS32,2)="CT"))+128*(ISNUMBER(FIND("BULK",BS32)))+256*(ISNUMBER(FIND("SIZE",BS32)))+512*(LEFT(BS32,3)="CAP")+1024*(ISNUMBER(FIND("ALLERG",BS32)))+2048*(OR(ISNUMBER(FIND("REMARK",BS32)),ISNUMBER(FIND("COMMENT",BS32))))+4096*(OR(ISNUMBER(FIND("QTY",BS32)),ISNUMBER(FIND("QUANTITY",BS32))))+8192*(AND(OR(ISNUMBER(FIND("COMPLETE",BS32)),ISNUMBER(FIND("PCT",BS32)),ISNUMBER(FIND("PERCENT",BS32))),NOT(ISNUMBER(FIND("ACTUAL",BS32))),LEN(BS32)&lt;=16))+32768*(OR(ISNUMBER(FIND("DESIC",BS32)),ISNUMBER(FIND("DESSIC",BS32)))))</f>
        <v/>
      </c>
      <c r="BT167">
        <f>IF(BT32="",0,2*(OR(ISNUMBER(FIND("WORKCENTER",BT32)),AND(LEFT(BT32,4)="LINE",NOT(ISNUMBER(FIND("STATUS",BT32))))))+4*(OR(ISNUMBER(FIND("WORKORDER",BT32)),AND(LEFT(BT32,2)="WO",OR(ISNUMBER(FIND("NUM",BT32)),RIGHT(BT32,2)="NO"))))+8*(LEFT(BT32,3)="SEQ")+16*(AND(LEFT(BT32,4)="ITEM",NOT(ISNUMBER(FIND("DESC",BT32)))))+32*(AND(ISNUMBER(FIND("DESC",BT32)),NOT(ISNUMBER(FIND("CAP",BT32)))))+64*(OR(RIGHT(BT32,5)="COUNT",RIGHT(BT32,2)="CT"))+128*(ISNUMBER(FIND("BULK",BT32)))+256*(ISNUMBER(FIND("SIZE",BT32)))+512*(LEFT(BT32,3)="CAP")+1024*(ISNUMBER(FIND("ALLERG",BT32)))+2048*(OR(ISNUMBER(FIND("REMARK",BT32)),ISNUMBER(FIND("COMMENT",BT32))))+4096*(OR(ISNUMBER(FIND("QTY",BT32)),ISNUMBER(FIND("QUANTITY",BT32))))+8192*(AND(OR(ISNUMBER(FIND("COMPLETE",BT32)),ISNUMBER(FIND("PCT",BT32)),ISNUMBER(FIND("PERCENT",BT32))),NOT(ISNUMBER(FIND("ACTUAL",BT32))),LEN(BT32)&lt;=16))+32768*(OR(ISNUMBER(FIND("DESIC",BT32)),ISNUMBER(FIND("DESSIC",BT32)))))</f>
        <v/>
      </c>
      <c r="BU167">
        <f>IF(BU32="",0,2*(OR(ISNUMBER(FIND("WORKCENTER",BU32)),AND(LEFT(BU32,4)="LINE",NOT(ISNUMBER(FIND("STATUS",BU32))))))+4*(OR(ISNUMBER(FIND("WORKORDER",BU32)),AND(LEFT(BU32,2)="WO",OR(ISNUMBER(FIND("NUM",BU32)),RIGHT(BU32,2)="NO"))))+8*(LEFT(BU32,3)="SEQ")+16*(AND(LEFT(BU32,4)="ITEM",NOT(ISNUMBER(FIND("DESC",BU32)))))+32*(AND(ISNUMBER(FIND("DESC",BU32)),NOT(ISNUMBER(FIND("CAP",BU32)))))+64*(OR(RIGHT(BU32,5)="COUNT",RIGHT(BU32,2)="CT"))+128*(ISNUMBER(FIND("BULK",BU32)))+256*(ISNUMBER(FIND("SIZE",BU32)))+512*(LEFT(BU32,3)="CAP")+1024*(ISNUMBER(FIND("ALLERG",BU32)))+2048*(OR(ISNUMBER(FIND("REMARK",BU32)),ISNUMBER(FIND("COMMENT",BU32))))+4096*(OR(ISNUMBER(FIND("QTY",BU32)),ISNUMBER(FIND("QUANTITY",BU32))))+8192*(AND(OR(ISNUMBER(FIND("COMPLETE",BU32)),ISNUMBER(FIND("PCT",BU32)),ISNUMBER(FIND("PERCENT",BU32))),NOT(ISNUMBER(FIND("ACTUAL",BU32))),LEN(BU32)&lt;=16))+32768*(OR(ISNUMBER(FIND("DESIC",BU32)),ISNUMBER(FIND("DESSIC",BU32)))))</f>
        <v/>
      </c>
      <c r="BV167">
        <f>IF(BV32="",0,2*(OR(ISNUMBER(FIND("WORKCENTER",BV32)),AND(LEFT(BV32,4)="LINE",NOT(ISNUMBER(FIND("STATUS",BV32))))))+4*(OR(ISNUMBER(FIND("WORKORDER",BV32)),AND(LEFT(BV32,2)="WO",OR(ISNUMBER(FIND("NUM",BV32)),RIGHT(BV32,2)="NO"))))+8*(LEFT(BV32,3)="SEQ")+16*(AND(LEFT(BV32,4)="ITEM",NOT(ISNUMBER(FIND("DESC",BV32)))))+32*(AND(ISNUMBER(FIND("DESC",BV32)),NOT(ISNUMBER(FIND("CAP",BV32)))))+64*(OR(RIGHT(BV32,5)="COUNT",RIGHT(BV32,2)="CT"))+128*(ISNUMBER(FIND("BULK",BV32)))+256*(ISNUMBER(FIND("SIZE",BV32)))+512*(LEFT(BV32,3)="CAP")+1024*(ISNUMBER(FIND("ALLERG",BV32)))+2048*(OR(ISNUMBER(FIND("REMARK",BV32)),ISNUMBER(FIND("COMMENT",BV32))))+4096*(OR(ISNUMBER(FIND("QTY",BV32)),ISNUMBER(FIND("QUANTITY",BV32))))+8192*(AND(OR(ISNUMBER(FIND("COMPLETE",BV32)),ISNUMBER(FIND("PCT",BV32)),ISNUMBER(FIND("PERCENT",BV32))),NOT(ISNUMBER(FIND("ACTUAL",BV32))),LEN(BV32)&lt;=16))+32768*(OR(ISNUMBER(FIND("DESIC",BV32)),ISNUMBER(FIND("DESSIC",BV32)))))</f>
        <v/>
      </c>
      <c r="BW167">
        <f>IF(BW32="",0,2*(OR(ISNUMBER(FIND("WORKCENTER",BW32)),AND(LEFT(BW32,4)="LINE",NOT(ISNUMBER(FIND("STATUS",BW32))))))+4*(OR(ISNUMBER(FIND("WORKORDER",BW32)),AND(LEFT(BW32,2)="WO",OR(ISNUMBER(FIND("NUM",BW32)),RIGHT(BW32,2)="NO"))))+8*(LEFT(BW32,3)="SEQ")+16*(AND(LEFT(BW32,4)="ITEM",NOT(ISNUMBER(FIND("DESC",BW32)))))+32*(AND(ISNUMBER(FIND("DESC",BW32)),NOT(ISNUMBER(FIND("CAP",BW32)))))+64*(OR(RIGHT(BW32,5)="COUNT",RIGHT(BW32,2)="CT"))+128*(ISNUMBER(FIND("BULK",BW32)))+256*(ISNUMBER(FIND("SIZE",BW32)))+512*(LEFT(BW32,3)="CAP")+1024*(ISNUMBER(FIND("ALLERG",BW32)))+2048*(OR(ISNUMBER(FIND("REMARK",BW32)),ISNUMBER(FIND("COMMENT",BW32))))+4096*(OR(ISNUMBER(FIND("QTY",BW32)),ISNUMBER(FIND("QUANTITY",BW32))))+8192*(AND(OR(ISNUMBER(FIND("COMPLETE",BW32)),ISNUMBER(FIND("PCT",BW32)),ISNUMBER(FIND("PERCENT",BW32))),NOT(ISNUMBER(FIND("ACTUAL",BW32))),LEN(BW32)&lt;=16))+32768*(OR(ISNUMBER(FIND("DESIC",BW32)),ISNUMBER(FIND("DESSIC",BW32)))))</f>
        <v/>
      </c>
      <c r="BX167">
        <f>IF(BX32="",0,2*(OR(ISNUMBER(FIND("WORKCENTER",BX32)),AND(LEFT(BX32,4)="LINE",NOT(ISNUMBER(FIND("STATUS",BX32))))))+4*(OR(ISNUMBER(FIND("WORKORDER",BX32)),AND(LEFT(BX32,2)="WO",OR(ISNUMBER(FIND("NUM",BX32)),RIGHT(BX32,2)="NO"))))+8*(LEFT(BX32,3)="SEQ")+16*(AND(LEFT(BX32,4)="ITEM",NOT(ISNUMBER(FIND("DESC",BX32)))))+32*(AND(ISNUMBER(FIND("DESC",BX32)),NOT(ISNUMBER(FIND("CAP",BX32)))))+64*(OR(RIGHT(BX32,5)="COUNT",RIGHT(BX32,2)="CT"))+128*(ISNUMBER(FIND("BULK",BX32)))+256*(ISNUMBER(FIND("SIZE",BX32)))+512*(LEFT(BX32,3)="CAP")+1024*(ISNUMBER(FIND("ALLERG",BX32)))+2048*(OR(ISNUMBER(FIND("REMARK",BX32)),ISNUMBER(FIND("COMMENT",BX32))))+4096*(OR(ISNUMBER(FIND("QTY",BX32)),ISNUMBER(FIND("QUANTITY",BX32))))+8192*(AND(OR(ISNUMBER(FIND("COMPLETE",BX32)),ISNUMBER(FIND("PCT",BX32)),ISNUMBER(FIND("PERCENT",BX32))),NOT(ISNUMBER(FIND("ACTUAL",BX32))),LEN(BX32)&lt;=16))+32768*(OR(ISNUMBER(FIND("DESIC",BX32)),ISNUMBER(FIND("DESSIC",BX32)))))</f>
        <v/>
      </c>
      <c r="BY167">
        <f>IF(BY32="",0,2*(OR(ISNUMBER(FIND("WORKCENTER",BY32)),AND(LEFT(BY32,4)="LINE",NOT(ISNUMBER(FIND("STATUS",BY32))))))+4*(OR(ISNUMBER(FIND("WORKORDER",BY32)),AND(LEFT(BY32,2)="WO",OR(ISNUMBER(FIND("NUM",BY32)),RIGHT(BY32,2)="NO"))))+8*(LEFT(BY32,3)="SEQ")+16*(AND(LEFT(BY32,4)="ITEM",NOT(ISNUMBER(FIND("DESC",BY32)))))+32*(AND(ISNUMBER(FIND("DESC",BY32)),NOT(ISNUMBER(FIND("CAP",BY32)))))+64*(OR(RIGHT(BY32,5)="COUNT",RIGHT(BY32,2)="CT"))+128*(ISNUMBER(FIND("BULK",BY32)))+256*(ISNUMBER(FIND("SIZE",BY32)))+512*(LEFT(BY32,3)="CAP")+1024*(ISNUMBER(FIND("ALLERG",BY32)))+2048*(OR(ISNUMBER(FIND("REMARK",BY32)),ISNUMBER(FIND("COMMENT",BY32))))+4096*(OR(ISNUMBER(FIND("QTY",BY32)),ISNUMBER(FIND("QUANTITY",BY32))))+8192*(AND(OR(ISNUMBER(FIND("COMPLETE",BY32)),ISNUMBER(FIND("PCT",BY32)),ISNUMBER(FIND("PERCENT",BY32))),NOT(ISNUMBER(FIND("ACTUAL",BY32))),LEN(BY32)&lt;=16))+32768*(OR(ISNUMBER(FIND("DESIC",BY32)),ISNUMBER(FIND("DESSIC",BY32)))))</f>
        <v/>
      </c>
      <c r="BZ167">
        <f>IF(BZ32="",0,2*(OR(ISNUMBER(FIND("WORKCENTER",BZ32)),AND(LEFT(BZ32,4)="LINE",NOT(ISNUMBER(FIND("STATUS",BZ32))))))+4*(OR(ISNUMBER(FIND("WORKORDER",BZ32)),AND(LEFT(BZ32,2)="WO",OR(ISNUMBER(FIND("NUM",BZ32)),RIGHT(BZ32,2)="NO"))))+8*(LEFT(BZ32,3)="SEQ")+16*(AND(LEFT(BZ32,4)="ITEM",NOT(ISNUMBER(FIND("DESC",BZ32)))))+32*(AND(ISNUMBER(FIND("DESC",BZ32)),NOT(ISNUMBER(FIND("CAP",BZ32)))))+64*(OR(RIGHT(BZ32,5)="COUNT",RIGHT(BZ32,2)="CT"))+128*(ISNUMBER(FIND("BULK",BZ32)))+256*(ISNUMBER(FIND("SIZE",BZ32)))+512*(LEFT(BZ32,3)="CAP")+1024*(ISNUMBER(FIND("ALLERG",BZ32)))+2048*(OR(ISNUMBER(FIND("REMARK",BZ32)),ISNUMBER(FIND("COMMENT",BZ32))))+4096*(OR(ISNUMBER(FIND("QTY",BZ32)),ISNUMBER(FIND("QUANTITY",BZ32))))+8192*(AND(OR(ISNUMBER(FIND("COMPLETE",BZ32)),ISNUMBER(FIND("PCT",BZ32)),ISNUMBER(FIND("PERCENT",BZ32))),NOT(ISNUMBER(FIND("ACTUAL",BZ32))),LEN(BZ32)&lt;=16))+32768*(OR(ISNUMBER(FIND("DESIC",BZ32)),ISNUMBER(FIND("DESSIC",BZ32)))))</f>
        <v/>
      </c>
      <c r="CA167">
        <f>IF(CA32="",0,2*(OR(ISNUMBER(FIND("WORKCENTER",CA32)),AND(LEFT(CA32,4)="LINE",NOT(ISNUMBER(FIND("STATUS",CA32))))))+4*(OR(ISNUMBER(FIND("WORKORDER",CA32)),AND(LEFT(CA32,2)="WO",OR(ISNUMBER(FIND("NUM",CA32)),RIGHT(CA32,2)="NO"))))+8*(LEFT(CA32,3)="SEQ")+16*(AND(LEFT(CA32,4)="ITEM",NOT(ISNUMBER(FIND("DESC",CA32)))))+32*(AND(ISNUMBER(FIND("DESC",CA32)),NOT(ISNUMBER(FIND("CAP",CA32)))))+64*(OR(RIGHT(CA32,5)="COUNT",RIGHT(CA32,2)="CT"))+128*(ISNUMBER(FIND("BULK",CA32)))+256*(ISNUMBER(FIND("SIZE",CA32)))+512*(LEFT(CA32,3)="CAP")+1024*(ISNUMBER(FIND("ALLERG",CA32)))+2048*(OR(ISNUMBER(FIND("REMARK",CA32)),ISNUMBER(FIND("COMMENT",CA32))))+4096*(OR(ISNUMBER(FIND("QTY",CA32)),ISNUMBER(FIND("QUANTITY",CA32))))+8192*(AND(OR(ISNUMBER(FIND("COMPLETE",CA32)),ISNUMBER(FIND("PCT",CA32)),ISNUMBER(FIND("PERCENT",CA32))),NOT(ISNUMBER(FIND("ACTUAL",CA32))),LEN(CA32)&lt;=16))+32768*(OR(ISNUMBER(FIND("DESIC",CA32)),ISNUMBER(FIND("DESSIC",CA32)))))</f>
        <v/>
      </c>
      <c r="CB167">
        <f>IF(CB32="",0,2*(OR(ISNUMBER(FIND("WORKCENTER",CB32)),AND(LEFT(CB32,4)="LINE",NOT(ISNUMBER(FIND("STATUS",CB32))))))+4*(OR(ISNUMBER(FIND("WORKORDER",CB32)),AND(LEFT(CB32,2)="WO",OR(ISNUMBER(FIND("NUM",CB32)),RIGHT(CB32,2)="NO"))))+8*(LEFT(CB32,3)="SEQ")+16*(AND(LEFT(CB32,4)="ITEM",NOT(ISNUMBER(FIND("DESC",CB32)))))+32*(AND(ISNUMBER(FIND("DESC",CB32)),NOT(ISNUMBER(FIND("CAP",CB32)))))+64*(OR(RIGHT(CB32,5)="COUNT",RIGHT(CB32,2)="CT"))+128*(ISNUMBER(FIND("BULK",CB32)))+256*(ISNUMBER(FIND("SIZE",CB32)))+512*(LEFT(CB32,3)="CAP")+1024*(ISNUMBER(FIND("ALLERG",CB32)))+2048*(OR(ISNUMBER(FIND("REMARK",CB32)),ISNUMBER(FIND("COMMENT",CB32))))+4096*(OR(ISNUMBER(FIND("QTY",CB32)),ISNUMBER(FIND("QUANTITY",CB32))))+8192*(AND(OR(ISNUMBER(FIND("COMPLETE",CB32)),ISNUMBER(FIND("PCT",CB32)),ISNUMBER(FIND("PERCENT",CB32))),NOT(ISNUMBER(FIND("ACTUAL",CB32))),LEN(CB32)&lt;=16))+32768*(OR(ISNUMBER(FIND("DESIC",CB32)),ISNUMBER(FIND("DESSIC",CB32)))))</f>
        <v/>
      </c>
      <c r="CC167">
        <f>IF(CC32="",0,2*(OR(ISNUMBER(FIND("WORKCENTER",CC32)),AND(LEFT(CC32,4)="LINE",NOT(ISNUMBER(FIND("STATUS",CC32))))))+4*(OR(ISNUMBER(FIND("WORKORDER",CC32)),AND(LEFT(CC32,2)="WO",OR(ISNUMBER(FIND("NUM",CC32)),RIGHT(CC32,2)="NO"))))+8*(LEFT(CC32,3)="SEQ")+16*(AND(LEFT(CC32,4)="ITEM",NOT(ISNUMBER(FIND("DESC",CC32)))))+32*(AND(ISNUMBER(FIND("DESC",CC32)),NOT(ISNUMBER(FIND("CAP",CC32)))))+64*(OR(RIGHT(CC32,5)="COUNT",RIGHT(CC32,2)="CT"))+128*(ISNUMBER(FIND("BULK",CC32)))+256*(ISNUMBER(FIND("SIZE",CC32)))+512*(LEFT(CC32,3)="CAP")+1024*(ISNUMBER(FIND("ALLERG",CC32)))+2048*(OR(ISNUMBER(FIND("REMARK",CC32)),ISNUMBER(FIND("COMMENT",CC32))))+4096*(OR(ISNUMBER(FIND("QTY",CC32)),ISNUMBER(FIND("QUANTITY",CC32))))+8192*(AND(OR(ISNUMBER(FIND("COMPLETE",CC32)),ISNUMBER(FIND("PCT",CC32)),ISNUMBER(FIND("PERCENT",CC32))),NOT(ISNUMBER(FIND("ACTUAL",CC32))),LEN(CC32)&lt;=16))+32768*(OR(ISNUMBER(FIND("DESIC",CC32)),ISNUMBER(FIND("DESSIC",CC32)))))</f>
        <v/>
      </c>
      <c r="CD167">
        <f>IF(CD32="",0,2*(OR(ISNUMBER(FIND("WORKCENTER",CD32)),AND(LEFT(CD32,4)="LINE",NOT(ISNUMBER(FIND("STATUS",CD32))))))+4*(OR(ISNUMBER(FIND("WORKORDER",CD32)),AND(LEFT(CD32,2)="WO",OR(ISNUMBER(FIND("NUM",CD32)),RIGHT(CD32,2)="NO"))))+8*(LEFT(CD32,3)="SEQ")+16*(AND(LEFT(CD32,4)="ITEM",NOT(ISNUMBER(FIND("DESC",CD32)))))+32*(AND(ISNUMBER(FIND("DESC",CD32)),NOT(ISNUMBER(FIND("CAP",CD32)))))+64*(OR(RIGHT(CD32,5)="COUNT",RIGHT(CD32,2)="CT"))+128*(ISNUMBER(FIND("BULK",CD32)))+256*(ISNUMBER(FIND("SIZE",CD32)))+512*(LEFT(CD32,3)="CAP")+1024*(ISNUMBER(FIND("ALLERG",CD32)))+2048*(OR(ISNUMBER(FIND("REMARK",CD32)),ISNUMBER(FIND("COMMENT",CD32))))+4096*(OR(ISNUMBER(FIND("QTY",CD32)),ISNUMBER(FIND("QUANTITY",CD32))))+8192*(AND(OR(ISNUMBER(FIND("COMPLETE",CD32)),ISNUMBER(FIND("PCT",CD32)),ISNUMBER(FIND("PERCENT",CD32))),NOT(ISNUMBER(FIND("ACTUAL",CD32))),LEN(CD32)&lt;=16))+32768*(OR(ISNUMBER(FIND("DESIC",CD32)),ISNUMBER(FIND("DESSIC",CD32)))))</f>
        <v/>
      </c>
      <c r="CE167">
        <f>IF(CE32="",0,2*(OR(ISNUMBER(FIND("WORKCENTER",CE32)),AND(LEFT(CE32,4)="LINE",NOT(ISNUMBER(FIND("STATUS",CE32))))))+4*(OR(ISNUMBER(FIND("WORKORDER",CE32)),AND(LEFT(CE32,2)="WO",OR(ISNUMBER(FIND("NUM",CE32)),RIGHT(CE32,2)="NO"))))+8*(LEFT(CE32,3)="SEQ")+16*(AND(LEFT(CE32,4)="ITEM",NOT(ISNUMBER(FIND("DESC",CE32)))))+32*(AND(ISNUMBER(FIND("DESC",CE32)),NOT(ISNUMBER(FIND("CAP",CE32)))))+64*(OR(RIGHT(CE32,5)="COUNT",RIGHT(CE32,2)="CT"))+128*(ISNUMBER(FIND("BULK",CE32)))+256*(ISNUMBER(FIND("SIZE",CE32)))+512*(LEFT(CE32,3)="CAP")+1024*(ISNUMBER(FIND("ALLERG",CE32)))+2048*(OR(ISNUMBER(FIND("REMARK",CE32)),ISNUMBER(FIND("COMMENT",CE32))))+4096*(OR(ISNUMBER(FIND("QTY",CE32)),ISNUMBER(FIND("QUANTITY",CE32))))+8192*(AND(OR(ISNUMBER(FIND("COMPLETE",CE32)),ISNUMBER(FIND("PCT",CE32)),ISNUMBER(FIND("PERCENT",CE32))),NOT(ISNUMBER(FIND("ACTUAL",CE32))),LEN(CE32)&lt;=16))+32768*(OR(ISNUMBER(FIND("DESIC",CE32)),ISNUMBER(FIND("DESSIC",CE32)))))</f>
        <v/>
      </c>
      <c r="CF167">
        <f>IF(CF32="",0,2*(OR(ISNUMBER(FIND("WORKCENTER",CF32)),AND(LEFT(CF32,4)="LINE",NOT(ISNUMBER(FIND("STATUS",CF32))))))+4*(OR(ISNUMBER(FIND("WORKORDER",CF32)),AND(LEFT(CF32,2)="WO",OR(ISNUMBER(FIND("NUM",CF32)),RIGHT(CF32,2)="NO"))))+8*(LEFT(CF32,3)="SEQ")+16*(AND(LEFT(CF32,4)="ITEM",NOT(ISNUMBER(FIND("DESC",CF32)))))+32*(AND(ISNUMBER(FIND("DESC",CF32)),NOT(ISNUMBER(FIND("CAP",CF32)))))+64*(OR(RIGHT(CF32,5)="COUNT",RIGHT(CF32,2)="CT"))+128*(ISNUMBER(FIND("BULK",CF32)))+256*(ISNUMBER(FIND("SIZE",CF32)))+512*(LEFT(CF32,3)="CAP")+1024*(ISNUMBER(FIND("ALLERG",CF32)))+2048*(OR(ISNUMBER(FIND("REMARK",CF32)),ISNUMBER(FIND("COMMENT",CF32))))+4096*(OR(ISNUMBER(FIND("QTY",CF32)),ISNUMBER(FIND("QUANTITY",CF32))))+8192*(AND(OR(ISNUMBER(FIND("COMPLETE",CF32)),ISNUMBER(FIND("PCT",CF32)),ISNUMBER(FIND("PERCENT",CF32))),NOT(ISNUMBER(FIND("ACTUAL",CF32))),LEN(CF32)&lt;=16))+32768*(OR(ISNUMBER(FIND("DESIC",CF32)),ISNUMBER(FIND("DESSIC",CF32)))))</f>
        <v/>
      </c>
      <c r="DA167" t="n">
        <v>163</v>
      </c>
      <c r="DB167">
        <f>IF($B$37=0,"",IFERROR(TRIM(SUBSTITUTE(SUBSTITUTE(SUBSTITUTE(SUBSTITUTE(INDEX(PASTE_ALL,163,$B$37)," "," "),CHAR(9)," "),CHAR(10)," "),CHAR(13)," ")),""))</f>
        <v/>
      </c>
      <c r="DC167">
        <f>IF(AND(163&gt;HEADER_ROW,UPPER(DB167)="LEGEND"),1,0)</f>
        <v/>
      </c>
      <c r="DE167" t="n">
        <v>163</v>
      </c>
      <c r="DF167">
        <f>HEADER_ROW+$DE167</f>
        <v/>
      </c>
      <c r="DG167">
        <f>IF(AND($DF167&lt;=1000,$DF167&lt;$B$8),1,0)</f>
        <v/>
      </c>
      <c r="DH167">
        <f>IF($DG167=1,IFERROR(INDEX($DB$5:$DB$1004,$DF167),""),"")</f>
        <v/>
      </c>
      <c r="DI167">
        <f>IF(AND($DG167=1,$DH167&lt;&gt;""),IFERROR(SUBSTITUTE(SUBSTITUTE(TRIM(SUBSTITUTE(SUBSTITUTE(SUBSTITUTE(SUBSTITUTE(IFERROR(INDEX(PASTE_ALL,$DF167,1)&amp;"","")&amp;"␟"&amp;IFERROR(INDEX(PASTE_ALL,$DF167,2)&amp;"","")&amp;"␟"&amp;IFERROR(INDEX(PASTE_ALL,$DF167,3)&amp;"","")&amp;"␟"&amp;IFERROR(INDEX(PASTE_ALL,$DF167,4)&amp;"","")&amp;"␟"&amp;IFERROR(INDEX(PASTE_ALL,$DF167,5)&amp;"","")&amp;"␟"&amp;IFERROR(INDEX(PASTE_ALL,$DF167,6)&amp;"","")&amp;"␟"&amp;IFERROR(INDEX(PASTE_ALL,$DF167,7)&amp;"","")&amp;"␟"&amp;IFERROR(INDEX(PASTE_ALL,$DF167,8)&amp;"","")&amp;"␟"&amp;IFERROR(INDEX(PASTE_ALL,$DF167,9)&amp;"","")&amp;"␟"&amp;IFERROR(INDEX(PASTE_ALL,$DF167,10)&amp;"","")&amp;"␟"&amp;IFERROR(INDEX(PASTE_ALL,$DF167,11)&amp;"","")&amp;"␟"&amp;IFERROR(INDEX(PASTE_ALL,$DF167,12)&amp;"","")&amp;"␟"&amp;IFERROR(INDEX(PASTE_ALL,$DF167,13)&amp;"","")&amp;"␟"&amp;IFERROR(INDEX(PASTE_ALL,$DF167,14)&amp;"","")&amp;"␟"&amp;IFERROR(INDEX(PASTE_ALL,$DF167,15)&amp;"","")&amp;"␟"&amp;IFERROR(INDEX(PASTE_ALL,$DF167,16)&amp;"","")&amp;"␟"&amp;IFERROR(INDEX(PASTE_ALL,$DF167,17)&amp;"","")&amp;"␟"&amp;IFERROR(INDEX(PASTE_ALL,$DF167,18)&amp;"","")&amp;"␟"&amp;IFERROR(INDEX(PASTE_ALL,$DF167,19)&amp;"","")&amp;"␟"&amp;IFERROR(INDEX(PASTE_ALL,$DF167,20)&amp;"","")&amp;"␟"&amp;IFERROR(INDEX(PASTE_ALL,$DF167,21)&amp;"","")&amp;"␟"&amp;IFERROR(INDEX(PASTE_ALL,$DF167,22)&amp;"","")&amp;"␟"&amp;IFERROR(INDEX(PASTE_ALL,$DF167,23)&amp;"","")&amp;"␟"&amp;IFERROR(INDEX(PASTE_ALL,$DF167,24)&amp;"","")&amp;"␟"&amp;IFERROR(INDEX(PASTE_ALL,$DF167,25)&amp;"","")&amp;"␟"&amp;IFERROR(INDEX(PASTE_ALL,$DF167,26)&amp;"","")&amp;"␟"&amp;IFERROR(INDEX(PASTE_ALL,$DF167,27)&amp;"","")&amp;"␟"&amp;IFERROR(INDEX(PASTE_ALL,$DF167,28)&amp;"","")&amp;"␟"&amp;IFERROR(INDEX(PASTE_ALL,$DF167,29)&amp;"","")&amp;"␟"&amp;IFERROR(INDEX(PASTE_ALL,$DF167,30)&amp;"","")&amp;"␟"&amp;IFERROR(INDEX(PASTE_ALL,$DF167,31)&amp;"","")&amp;"␟"&amp;IFERROR(INDEX(PASTE_ALL,$DF167,32)&amp;"","")&amp;"␟"&amp;IFERROR(INDEX(PASTE_ALL,$DF167,33)&amp;"","")&amp;"␟"&amp;IFERROR(INDEX(PASTE_ALL,$DF167,34)&amp;"","")&amp;"␟"&amp;IFERROR(INDEX(PASTE_ALL,$DF167,35)&amp;"","")&amp;"␟"&amp;IFERROR(INDEX(PASTE_ALL,$DF167,36)&amp;"","")&amp;"␟"&amp;IFERROR(INDEX(PASTE_ALL,$DF167,37)&amp;"","")&amp;"␟"&amp;IFERROR(INDEX(PASTE_ALL,$DF167,38)&amp;"","")&amp;"␟"&amp;IFERROR(INDEX(PASTE_ALL,$DF167,39)&amp;"","")&amp;"␟"&amp;IFERROR(INDEX(PASTE_ALL,$DF167,40)&amp;"","")&amp;"␟"&amp;IFERROR(INDEX(PASTE_ALL,$DF167,41)&amp;"","")&amp;"␟"&amp;IFERROR(INDEX(PASTE_ALL,$DF167,42)&amp;"","")&amp;"␟"&amp;IFERROR(INDEX(PASTE_ALL,$DF167,43)&amp;"","")&amp;"␟"&amp;IFERROR(INDEX(PASTE_ALL,$DF167,44)&amp;"","")&amp;"␟"&amp;IFERROR(INDEX(PASTE_ALL,$DF167,45)&amp;"","")&amp;"␟"&amp;IFERROR(INDEX(PASTE_ALL,$DF167,46)&amp;"","")&amp;"␟"&amp;IFERROR(INDEX(PASTE_ALL,$DF167,47)&amp;"","")&amp;"␟"&amp;IFERROR(INDEX(PASTE_ALL,$DF167,48)&amp;"","")&amp;"␟"&amp;IFERROR(INDEX(PASTE_ALL,$DF167,49)&amp;"","")&amp;"␟"&amp;IFERROR(INDEX(PASTE_ALL,$DF167,50)&amp;"","")&amp;"␟"&amp;IFERROR(INDEX(PASTE_ALL,$DF167,51)&amp;"","")&amp;"␟"&amp;IFERROR(INDEX(PASTE_ALL,$DF167,52)&amp;"","")&amp;"␟"&amp;IFERROR(INDEX(PASTE_ALL,$DF167,53)&amp;"","")&amp;"␟"&amp;IFERROR(INDEX(PASTE_ALL,$DF167,54)&amp;"","")&amp;"␟"&amp;IFERROR(INDEX(PASTE_ALL,$DF167,55)&amp;"","")&amp;"␟"&amp;IFERROR(INDEX(PASTE_ALL,$DF167,56)&amp;"","")&amp;"␟"&amp;IFERROR(INDEX(PASTE_ALL,$DF167,57)&amp;"","")&amp;"␟"&amp;IFERROR(INDEX(PASTE_ALL,$DF167,58)&amp;"","")&amp;"␟"&amp;IFERROR(INDEX(PASTE_ALL,$DF167,59)&amp;"","")&amp;"␟"&amp;IFERROR(INDEX(PASTE_ALL,$DF167,60)&amp;"","")," "," "),CHAR(9)," "),CHAR(10)," "),CHAR(13)," "))," ␟","␟"),"␟ ","␟"),"#"&amp;$DE167),"")</f>
        <v/>
      </c>
      <c r="DJ167">
        <f>IF($DI167="",0,IF(SUMPRODUCT(--EXACT($DI$4:DI166,$DI167))&gt;0,1,0))</f>
        <v/>
      </c>
      <c r="DK167">
        <f>IF(AND($DI167&lt;&gt;"",$DJ167=0),1,0)</f>
        <v/>
      </c>
      <c r="DL167">
        <f>DL166+$DK167</f>
        <v/>
      </c>
      <c r="DM167">
        <f>IF(AND($DK167=1,$DL167&lt;=600),1,0)</f>
        <v/>
      </c>
      <c r="DN167">
        <f>IF($DM167=0,"",IF($L$6=0,"",IFERROR(IF(ISNUMBER(INDEX(PASTE_ALL,$DF167,$L$6)),INDEX(PASTE_ALL,$DF167,$L$6),TRIM(SUBSTITUTE(SUBSTITUTE(SUBSTITUTE(SUBSTITUTE(INDEX(PASTE_ALL,$DF167,$L$6)," "," "),CHAR(9)," "),CHAR(10)," "),CHAR(13)," "))),"")))</f>
        <v/>
      </c>
      <c r="DO167">
        <f>IF($DM167=0,"",IF($L$7=0,"",IFERROR(IF(ISNUMBER(INDEX(PASTE_ALL,$DF167,$L$7)),INDEX(PASTE_ALL,$DF167,$L$7),TRIM(SUBSTITUTE(SUBSTITUTE(SUBSTITUTE(SUBSTITUTE(INDEX(PASTE_ALL,$DF167,$L$7)," "," "),CHAR(9)," "),CHAR(10)," "),CHAR(13)," "))),"")))</f>
        <v/>
      </c>
      <c r="DP167">
        <f>IF($DM167=0,"",IF($L$8=0,"",IFERROR(IF(ISNUMBER(INDEX(PASTE_ALL,$DF167,$L$8)),INDEX(PASTE_ALL,$DF167,$L$8),TRIM(SUBSTITUTE(SUBSTITUTE(SUBSTITUTE(SUBSTITUTE(INDEX(PASTE_ALL,$DF167,$L$8)," "," "),CHAR(9)," "),CHAR(10)," "),CHAR(13)," "))),"")))</f>
        <v/>
      </c>
      <c r="DQ167">
        <f>IF($DM167=0,"",IF($L$9=0,"",IFERROR(IF(ISNUMBER(INDEX(PASTE_ALL,$DF167,$L$9)),INDEX(PASTE_ALL,$DF167,$L$9),TRIM(SUBSTITUTE(SUBSTITUTE(SUBSTITUTE(SUBSTITUTE(INDEX(PASTE_ALL,$DF167,$L$9)," "," "),CHAR(9)," "),CHAR(10)," "),CHAR(13)," "))),"")))</f>
        <v/>
      </c>
      <c r="DR167">
        <f>IF($DM167=0,"",IF($L$10=0,"",IFERROR(IF(ISNUMBER(INDEX(PASTE_ALL,$DF167,$L$10)),INDEX(PASTE_ALL,$DF167,$L$10),TRIM(SUBSTITUTE(SUBSTITUTE(SUBSTITUTE(SUBSTITUTE(INDEX(PASTE_ALL,$DF167,$L$10)," "," "),CHAR(9)," "),CHAR(10)," "),CHAR(13)," "))),"")))</f>
        <v/>
      </c>
      <c r="DS167">
        <f>IF($DM167=0,"",IF($L$11=0,"",IFERROR(IF(ISNUMBER(INDEX(PASTE_ALL,$DF167,$L$11)),INDEX(PASTE_ALL,$DF167,$L$11),TRIM(SUBSTITUTE(SUBSTITUTE(SUBSTITUTE(SUBSTITUTE(INDEX(PASTE_ALL,$DF167,$L$11)," "," "),CHAR(9)," "),CHAR(10)," "),CHAR(13)," "))),"")))</f>
        <v/>
      </c>
      <c r="DT167">
        <f>IF($DM167=0,"",IF($L$12=0,"",IFERROR(IF(ISNUMBER(INDEX(PASTE_ALL,$DF167,$L$12)),INDEX(PASTE_ALL,$DF167,$L$12),TRIM(SUBSTITUTE(SUBSTITUTE(SUBSTITUTE(SUBSTITUTE(INDEX(PASTE_ALL,$DF167,$L$12)," "," "),CHAR(9)," "),CHAR(10)," "),CHAR(13)," "))),"")))</f>
        <v/>
      </c>
      <c r="DU167">
        <f>IF($DM167=0,"",IF($L$13=0,"",IFERROR(IF(ISNUMBER(INDEX(PASTE_ALL,$DF167,$L$13)),INDEX(PASTE_ALL,$DF167,$L$13),TRIM(SUBSTITUTE(SUBSTITUTE(SUBSTITUTE(SUBSTITUTE(INDEX(PASTE_ALL,$DF167,$L$13)," "," "),CHAR(9)," "),CHAR(10)," "),CHAR(13)," "))),"")))</f>
        <v/>
      </c>
      <c r="DV167">
        <f>IF($DM167=0,"",IF($L$14=0,"",IFERROR(IF(ISNUMBER(INDEX(PASTE_ALL,$DF167,$L$14)),INDEX(PASTE_ALL,$DF167,$L$14),TRIM(SUBSTITUTE(SUBSTITUTE(SUBSTITUTE(SUBSTITUTE(INDEX(PASTE_ALL,$DF167,$L$14)," "," "),CHAR(9)," "),CHAR(10)," "),CHAR(13)," "))),"")))</f>
        <v/>
      </c>
      <c r="DW167">
        <f>IF($DM167=0,"",IF($L$15=0,"",IFERROR(IF(ISNUMBER(INDEX(PASTE_ALL,$DF167,$L$15)),INDEX(PASTE_ALL,$DF167,$L$15),IF(SUMPRODUCT(--ISNUMBER(FIND({"A","B","C","D","E","F","G","H","I","J","K","L","M","N","O","P","Q","R","S","T","U","V","W","X","Y","Z","0","1","2","3","4","5","6","7","8","9"},UPPER(TRIM(SUBSTITUTE(SUBSTITUTE(SUBSTITUTE(SUBSTITUTE(INDEX(PASTE_ALL,$DF167,$L$15)," "," "),CHAR(9)," "),CHAR(10)," "),CHAR(13)," "))))))&gt;0,TRIM(SUBSTITUTE(SUBSTITUTE(SUBSTITUTE(SUBSTITUTE(INDEX(PASTE_ALL,$DF167,$L$15)," "," "),CHAR(9)," "),CHAR(10)," "),CHAR(13)," ")),"")),"")))</f>
        <v/>
      </c>
      <c r="DX167">
        <f>IF($DM167=0,"",IF($L$16=0,"",IFERROR(IF(ISNUMBER(INDEX(PASTE_ALL,$DF167,$L$16)),INDEX(PASTE_ALL,$DF167,$L$16),SUBSTITUTE(SUBSTITUTE(TRIM(SUBSTITUTE(SUBSTITUTE(SUBSTITUTE(SUBSTITUTE(INDEX(PASTE_ALL,$DF167,$L$16)," "," "),CHAR(9)," "),CHAR(10)," "),CHAR(13)," ")),",",""),"%","")),"")))</f>
        <v/>
      </c>
      <c r="DY167">
        <f>IF($DM167=0,"",IFERROR(IF(ISNUMBER($DX167),$DX167,IF($DX167="","",IF(TRIM($DX167)="",0,IF(AND(AND(SUBSTITUTE(SUBSTITUTE(SUBSTITUTE(SUBSTITUTE(SUBSTITUTE(SUBSTITUTE(SUBSTITUTE(SUBSTITUTE(SUBSTITUTE(SUBSTITUTE(SUBSTITUTE(SUBSTITUTE(SUBSTITUTE(SUBSTITUTE(UPPER(TRIM($DX167)),"0",""),"1",""),"2",""),"3",""),"4",""),"5",""),"6",""),"7",""),"8",""),"9",""),".",""),"+",""),"-",""),"E","")="",LEN(SUBSTITUTE(SUBSTITUTE(MID(UPPER(TRIM($DX167)),1+OR(LEFT(UPPER(TRIM($DX167)),1)="+",LEFT(UPPER(TRIM($DX167)),1)="-"),999),"E+","E"),"E-","E"))=LEN(SUBSTITUTE(SUBSTITUTE(SUBSTITUTE(SUBSTITUTE(MID(UPPER(TRIM($DX167)),1+OR(LEFT(UPPER(TRIM($DX167)),1)="+",LEFT(UPPER(TRIM($DX167)),1)="-"),999),"E+","E"),"E-","E"),"+",""),"-","")),LEN(UPPER(TRIM($DX167)))-LEN(SUBSTITUTE(UPPER(TRIM($DX167)),"E",""))&lt;2,LEN(UPPER(TRIM($DX167)))-LEN(SUBSTITUTE(UPPER(TRIM($DX167)),".",""))&lt;2,IFERROR(FIND(".",UPPER(TRIM($DX167))),0)&lt;IFERROR(FIND("E",UPPER(TRIM($DX167))),999)),ISNUMBER(VALUE(TRIM($DX167)))),VALUE(TRIM($DX167)),"")))),""))</f>
        <v/>
      </c>
      <c r="DZ167">
        <f>IF($DM167=0,"",IF($L$17=0,"",IFERROR(IF(ISNUMBER(INDEX(PASTE_ALL,$DF167,$L$17)),INDEX(PASTE_ALL,$DF167,$L$17),SUBSTITUTE(SUBSTITUTE(TRIM(SUBSTITUTE(SUBSTITUTE(SUBSTITUTE(SUBSTITUTE(INDEX(PASTE_ALL,$DF167,$L$17)," "," "),CHAR(9)," "),CHAR(10)," "),CHAR(13)," ")),",",""),"%","")),"")))</f>
        <v/>
      </c>
      <c r="EA167">
        <f>IF($DM167=0,"",IFERROR(IF(ISNUMBER($DZ167),$DZ167,IF($DZ167="","",IF(TRIM($DZ167)="",0,IF(AND(AND(SUBSTITUTE(SUBSTITUTE(SUBSTITUTE(SUBSTITUTE(SUBSTITUTE(SUBSTITUTE(SUBSTITUTE(SUBSTITUTE(SUBSTITUTE(SUBSTITUTE(SUBSTITUTE(SUBSTITUTE(SUBSTITUTE(SUBSTITUTE(UPPER(TRIM($DZ167)),"0",""),"1",""),"2",""),"3",""),"4",""),"5",""),"6",""),"7",""),"8",""),"9",""),".",""),"+",""),"-",""),"E","")="",LEN(SUBSTITUTE(SUBSTITUTE(MID(UPPER(TRIM($DZ167)),1+OR(LEFT(UPPER(TRIM($DZ167)),1)="+",LEFT(UPPER(TRIM($DZ167)),1)="-"),999),"E+","E"),"E-","E"))=LEN(SUBSTITUTE(SUBSTITUTE(SUBSTITUTE(SUBSTITUTE(MID(UPPER(TRIM($DZ167)),1+OR(LEFT(UPPER(TRIM($DZ167)),1)="+",LEFT(UPPER(TRIM($DZ167)),1)="-"),999),"E+","E"),"E-","E"),"+",""),"-","")),LEN(UPPER(TRIM($DZ167)))-LEN(SUBSTITUTE(UPPER(TRIM($DZ167)),"E",""))&lt;2,LEN(UPPER(TRIM($DZ167)))-LEN(SUBSTITUTE(UPPER(TRIM($DZ167)),".",""))&lt;2,IFERROR(FIND(".",UPPER(TRIM($DZ167))),0)&lt;IFERROR(FIND("E",UPPER(TRIM($DZ167))),999)),ISNUMBER(VALUE(TRIM($DZ167)))),VALUE(TRIM($DZ167)),"")))),""))</f>
        <v/>
      </c>
      <c r="EB167">
        <f>IF($DM167=0,"",IF($L$18=0,"",IFERROR(IF(UPPER(TRIM(SUBSTITUTE(SUBSTITUTE(SUBSTITUTE(SUBSTITUTE(INDEX(PASTE_ALL,$DF167,$L$18)," "," "),CHAR(9)," "),CHAR(10)," "),CHAR(13)," ")))="READY","Ready",IF(UPPER(TRIM(SUBSTITUTE(SUBSTITUTE(SUBSTITUTE(SUBSTITUTE(INDEX(PASTE_ALL,$DF167,$L$18)," "," "),CHAR(9)," "),CHAR(10)," "),CHAR(13)," ")))="PM","PM",IF(OR(UPPER(TRIM(SUBSTITUTE(SUBSTITUTE(SUBSTITUTE(SUBSTITUTE(INDEX(PASTE_ALL,$DF167,$L$18)," "," "),CHAR(9)," "),CHAR(10)," "),CHAR(13)," ")))="OT",UPPER(TRIM(SUBSTITUTE(SUBSTITUTE(SUBSTITUTE(SUBSTITUTE(INDEX(PASTE_ALL,$DF167,$L$18)," "," "),CHAR(9)," "),CHAR(10)," "),CHAR(13)," ")))="OVERTIME",UPPER(TRIM(SUBSTITUTE(SUBSTITUTE(SUBSTITUTE(SUBSTITUTE(INDEX(PASTE_ALL,$DF167,$L$18)," "," "),CHAR(9)," "),CHAR(10)," "),CHAR(13)," ")))="TRIAL"),"OT",TRIM(SUBSTITUTE(SUBSTITUTE(SUBSTITUTE(SUBSTITUTE(INDEX(PASTE_ALL,$DF167,$L$18)," "," "),CHAR(9)," "),CHAR(10)," "),CHAR(13)," "))))),"")))</f>
        <v/>
      </c>
      <c r="EC167">
        <f>IF($DM167=0,"",IF($L$19=0,"",IFERROR(IF(ISNUMBER(INDEX(PASTE_ALL,$DF167,$L$19)),INDEX(PASTE_ALL,$DF167,$L$19),TRIM(SUBSTITUTE(SUBSTITUTE(SUBSTITUTE(SUBSTITUTE(INDEX(PASTE_ALL,$DF167,$L$19)," "," "),CHAR(9)," "),CHAR(10)," "),CHAR(13)," "))),"")))</f>
        <v/>
      </c>
      <c r="ED167">
        <f>IF($DM167=0,"",MATCH(1,INDEX(EXACT($DH$5:DH167,$DH167)*$DM$5:DM167,0),0))</f>
        <v/>
      </c>
      <c r="EE167">
        <f>IF($DM167=0,0,IF($ED167=$DE167,1,0))</f>
        <v/>
      </c>
      <c r="EF167">
        <f>EF166+$EE167</f>
        <v/>
      </c>
      <c r="EG167">
        <f>IF($DM167=0,"",INDEX($EF$5:$EF$1003,$ED167))</f>
        <v/>
      </c>
      <c r="EH167">
        <f>IF($DM167=0,"",IF($DO167&lt;&gt;"","",IFERROR(LOOKUP(2,1/(($EG$4:EG166=$EG167)*($DO$4:DO166&lt;&gt;"")),$DO$4:DO166),"")))</f>
        <v/>
      </c>
      <c r="EI167">
        <f>IF($DM167=0,"",IF($DO167&lt;&gt;"",$DO167,$EH167))</f>
        <v/>
      </c>
      <c r="EJ167">
        <f>IF($DM167=0,"",IF($EI167="",0,IF(OR(ISNUMBER($EI167),AND(AND(SUBSTITUTE(SUBSTITUTE(SUBSTITUTE(SUBSTITUTE(SUBSTITUTE(SUBSTITUTE(SUBSTITUTE(SUBSTITUTE(SUBSTITUTE(SUBSTITUTE(SUBSTITUTE(SUBSTITUTE(SUBSTITUTE(SUBSTITUTE(UPPER($EI167),"0",""),"1",""),"2",""),"3",""),"4",""),"5",""),"6",""),"7",""),"8",""),"9",""),".",""),"+",""),"-",""),"E","")="",LEN(SUBSTITUTE(SUBSTITUTE(MID(UPPER($EI167),1+OR(LEFT(UPPER($EI167),1)="+",LEFT(UPPER($EI167),1)="-"),999),"E+","E"),"E-","E"))=LEN(SUBSTITUTE(SUBSTITUTE(SUBSTITUTE(SUBSTITUTE(MID(UPPER($EI167),1+OR(LEFT(UPPER($EI167),1)="+",LEFT(UPPER($EI167),1)="-"),999),"E+","E"),"E-","E"),"+",""),"-","")),LEN(UPPER($EI167))-LEN(SUBSTITUTE(UPPER($EI167),"E",""))&lt;2,LEN(UPPER($EI167))-LEN(SUBSTITUTE(UPPER($EI167),".",""))&lt;2,IFERROR(FIND(".",UPPER($EI167)),0)&lt;IFERROR(FIND("E",UPPER($EI167)),999)),ISNUMBER(VALUE($EI167)))),1,2)))</f>
        <v/>
      </c>
      <c r="EK167">
        <f>IF($DM167=0,"",IF($EJ167=1,IF(ISNUMBER($EI167),$EI167,VALUE($EI167)),IF($EJ167=2,$DE167,0)))</f>
        <v/>
      </c>
      <c r="EL167">
        <f>IF($DM167=0,"",COUNTIF($EG$5:$EG$1003,"&lt;"&amp;$EG167)+SUMPRODUCT(($EG$5:$EG$1003=$EG167)*(($EJ$5:$EJ$1003&lt;$EJ167)+($EJ$5:$EJ$1003=$EJ167)*(($EK$5:$EK$1003&lt;$EK167)+($EK$5:$EK$1003=$EK167)*($DE$5:$DE$1003&lt;$DE167))))+1)</f>
        <v/>
      </c>
      <c r="EM167">
        <f>IF($DM167=0,"",$EL167+$EG167-1)</f>
        <v/>
      </c>
      <c r="EN167">
        <f>IF($DM167=0,0,IFERROR(MATCH(1,INDEX(--(TRIM(SUBSTITUTE(SUBSTITUTE(SUBSTITUTE(SUBSTITUTE(LINES_NAME&amp;""," "," "),CHAR(9)," "),CHAR(10)," "),CHAR(13)," "))=$DH167),0),0),0))</f>
        <v/>
      </c>
      <c r="EO167">
        <f>IF($EN167=0,0,IF(OR(UPPER(TRIM(INDEX(LINES_SCHEDULED,$EN167)&amp;""))="YES",UPPER(TRIM(INDEX(LINES_SCHEDULED,$EN167)&amp;""))="Y",UPPER(TRIM(INDEX(LINES_SCHEDULED,$EN167)&amp;""))="X"),1,0))</f>
        <v/>
      </c>
      <c r="EP167">
        <f>IF($DM167=0,"",IF(COUNTIFS($EG$5:$EG$1003,$EG167,$EB$5:$EB$1003,"Ready")&gt;0,"READY",IF(COUNTIFS($EG$5:$EG$1003,$EG167,$EB$5:$EB$1003,"PM")&gt;0,"PM",IF(COUNTIFS($EG$5:$EG$1003,$EG167,$EB$5:$EB$1003,"OT")&gt;0,"OT",""))))</f>
        <v/>
      </c>
      <c r="EQ167">
        <f>IF($EN167=0,"",UPPER(TRIM(INDEX(LINES_STATUS,$EN167)&amp;"")))</f>
        <v/>
      </c>
      <c r="ER167">
        <f>IF($DM167=0,"",IF(OR($EQ167="READY",$EQ167="PM",$EQ167="OT"),$EQ167,$EP167))</f>
        <v/>
      </c>
      <c r="ES167">
        <f>IF($DM167=0,"",IF(AND($DV167&lt;&gt;"",UPPER($DV167)&lt;&gt;"N"),"allergen",IF(ISNUMBER(SEARCH("oil",$DQ167)),"oil",IF(OR(EXACT($DS167,"A662"),EXACT($DS167,"A624")),"bulk",""))))</f>
        <v/>
      </c>
      <c r="ET167">
        <f>IF($DM167=0,"",IF(OR($EA167="",$EA167=0),"",$EA167/100))</f>
        <v/>
      </c>
      <c r="EU167">
        <f>IF(OR($ET167="",$DY167=""),"",INT($DY167*(1-$ET167)+0.5))</f>
        <v/>
      </c>
      <c r="EW167" t="n">
        <v>163</v>
      </c>
      <c r="EX167">
        <f>IFERROR(MATCH($EW167,$EM$5:$EM$1003,0),0)</f>
        <v/>
      </c>
      <c r="EY167">
        <f>IF($EW167&gt;$B$12,"",IF($EX167&gt;0,"row","spacer"))</f>
        <v/>
      </c>
      <c r="EZ167">
        <f>IF(AND($EY167="row",$EY166&lt;&gt;"row"),1,0)</f>
        <v/>
      </c>
      <c r="FA167">
        <f>IF(AND($EY167="row",$EY168&lt;&gt;"row"),1,0)</f>
        <v/>
      </c>
      <c r="FB167">
        <f>IF($EZ167=1,IFERROR(IF(ISNUMBER(INDEX(PASTE_ALL,INDEX($DF$5:$DF$1003,$EX167),$B$37)),INDEX(PASTE_ALL,INDEX($DF$5:$DF$1003,$EX167),$B$37),INDEX($DH$5:$DH$1003,$EX167)),INDEX($DH$5:$DH$1003,$EX167)),"")</f>
        <v/>
      </c>
      <c r="FC167">
        <f>IF($EY167="row",INDEX($ER$5:$ER$1003,$EX167),"")</f>
        <v/>
      </c>
      <c r="FD167">
        <f>IF($EY167="row",INDEX($DN$5:$DN$1003,$EX167),"")</f>
        <v/>
      </c>
      <c r="FE167">
        <f>IF($EY167="row",INDEX($DO$5:$DO$1003,$EX167),"")</f>
        <v/>
      </c>
      <c r="FF167">
        <f>IF($EY167="row",INDEX($DP$5:$DP$1003,$EX167),"")</f>
        <v/>
      </c>
      <c r="FG167">
        <f>IF($EY167="row",INDEX($DQ$5:$DQ$1003,$EX167),"")</f>
        <v/>
      </c>
      <c r="FH167">
        <f>IF($EY167="row",INDEX($DR$5:$DR$1003,$EX167),"")</f>
        <v/>
      </c>
      <c r="FI167">
        <f>IF($EY167="row",INDEX($DS$5:$DS$1003,$EX167),"")</f>
        <v/>
      </c>
      <c r="FJ167">
        <f>IF($EY167="row",INDEX($DT$5:$DT$1003,$EX167),"")</f>
        <v/>
      </c>
      <c r="FK167">
        <f>IF($EY167="row",INDEX($DU$5:$DU$1003,$EX167),"")</f>
        <v/>
      </c>
      <c r="FL167">
        <f>IF($EY167="row",INDEX($DV$5:$DV$1003,$EX167),"")</f>
        <v/>
      </c>
      <c r="FM167">
        <f>IF($EY167="row",INDEX($DW$5:$DW$1003,$EX167),"")</f>
        <v/>
      </c>
      <c r="FN167">
        <f>IF($EY167="row",INDEX($DY$5:$DY$1003,$EX167),"")</f>
        <v/>
      </c>
      <c r="FO167">
        <f>IF($EY167="row",INDEX($EA$5:$EA$1003,$EX167),"")</f>
        <v/>
      </c>
      <c r="FP167">
        <f>IF($EY167="row",INDEX($EC$5:$EC$1003,$EX167),"")</f>
        <v/>
      </c>
      <c r="FQ167">
        <f>IF($EY167="row",INDEX($ET$5:$ET$1003,$EX167),"")</f>
        <v/>
      </c>
      <c r="FR167">
        <f>IF($EY167="row",INDEX($EU$5:$EU$1003,$EX167),"")</f>
        <v/>
      </c>
      <c r="FS167">
        <f>IF(AND($EY167="row",$EY166="row"),IF(OR(INDEX($DT$5:$DT$1003,$EX166)="",INDEX($DT$5:$DT$1003,$EX167)=""),"",IF(NOT(EXACT(INDEX($DT$5:$DT$1003,$EX166),INDEX($DT$5:$DT$1003,$EX167))),"S4",IF(NOT(EXACT(INDEX($DS$5:$DS$1003,$EX166),INDEX($DS$5:$DS$1003,$EX167))),"S3",IF(NOT(EXACT(INDEX($DR$5:$DR$1003,$EX166),INDEX($DR$5:$DR$1003,$EX167))),"S1 Count Change","S1")))),"")</f>
        <v/>
      </c>
      <c r="FT167">
        <f>IF($EY167="row",INDEX($ES$5:$ES$1003,$EX167),"")</f>
        <v/>
      </c>
      <c r="FU167">
        <f>IF($EY167="row",INDEX($EO$5:$EO$1003,$EX167),0)</f>
        <v/>
      </c>
      <c r="FV167">
        <f>IF($FS167="S1 Count Change",1,0)</f>
        <v/>
      </c>
    </row>
    <row r="168">
      <c r="Y168">
        <f>IF(Y33="",0,2*(OR(ISNUMBER(FIND("WORKCENTER",Y33)),AND(LEFT(Y33,4)="LINE",NOT(ISNUMBER(FIND("STATUS",Y33))))))+4*(OR(ISNUMBER(FIND("WORKORDER",Y33)),AND(LEFT(Y33,2)="WO",OR(ISNUMBER(FIND("NUM",Y33)),RIGHT(Y33,2)="NO"))))+8*(LEFT(Y33,3)="SEQ")+16*(AND(LEFT(Y33,4)="ITEM",NOT(ISNUMBER(FIND("DESC",Y33)))))+32*(AND(ISNUMBER(FIND("DESC",Y33)),NOT(ISNUMBER(FIND("CAP",Y33)))))+64*(OR(RIGHT(Y33,5)="COUNT",RIGHT(Y33,2)="CT"))+128*(ISNUMBER(FIND("BULK",Y33)))+256*(ISNUMBER(FIND("SIZE",Y33)))+512*(LEFT(Y33,3)="CAP")+1024*(ISNUMBER(FIND("ALLERG",Y33)))+2048*(OR(ISNUMBER(FIND("REMARK",Y33)),ISNUMBER(FIND("COMMENT",Y33))))+4096*(OR(ISNUMBER(FIND("QTY",Y33)),ISNUMBER(FIND("QUANTITY",Y33))))+8192*(AND(OR(ISNUMBER(FIND("COMPLETE",Y33)),ISNUMBER(FIND("PCT",Y33)),ISNUMBER(FIND("PERCENT",Y33))),NOT(ISNUMBER(FIND("ACTUAL",Y33))),LEN(Y33)&lt;=16))+32768*(OR(ISNUMBER(FIND("DESIC",Y33)),ISNUMBER(FIND("DESSIC",Y33)))))</f>
        <v/>
      </c>
      <c r="Z168">
        <f>IF(Z33="",0,2*(OR(ISNUMBER(FIND("WORKCENTER",Z33)),AND(LEFT(Z33,4)="LINE",NOT(ISNUMBER(FIND("STATUS",Z33))))))+4*(OR(ISNUMBER(FIND("WORKORDER",Z33)),AND(LEFT(Z33,2)="WO",OR(ISNUMBER(FIND("NUM",Z33)),RIGHT(Z33,2)="NO"))))+8*(LEFT(Z33,3)="SEQ")+16*(AND(LEFT(Z33,4)="ITEM",NOT(ISNUMBER(FIND("DESC",Z33)))))+32*(AND(ISNUMBER(FIND("DESC",Z33)),NOT(ISNUMBER(FIND("CAP",Z33)))))+64*(OR(RIGHT(Z33,5)="COUNT",RIGHT(Z33,2)="CT"))+128*(ISNUMBER(FIND("BULK",Z33)))+256*(ISNUMBER(FIND("SIZE",Z33)))+512*(LEFT(Z33,3)="CAP")+1024*(ISNUMBER(FIND("ALLERG",Z33)))+2048*(OR(ISNUMBER(FIND("REMARK",Z33)),ISNUMBER(FIND("COMMENT",Z33))))+4096*(OR(ISNUMBER(FIND("QTY",Z33)),ISNUMBER(FIND("QUANTITY",Z33))))+8192*(AND(OR(ISNUMBER(FIND("COMPLETE",Z33)),ISNUMBER(FIND("PCT",Z33)),ISNUMBER(FIND("PERCENT",Z33))),NOT(ISNUMBER(FIND("ACTUAL",Z33))),LEN(Z33)&lt;=16))+32768*(OR(ISNUMBER(FIND("DESIC",Z33)),ISNUMBER(FIND("DESSIC",Z33)))))</f>
        <v/>
      </c>
      <c r="AA168">
        <f>IF(AA33="",0,2*(OR(ISNUMBER(FIND("WORKCENTER",AA33)),AND(LEFT(AA33,4)="LINE",NOT(ISNUMBER(FIND("STATUS",AA33))))))+4*(OR(ISNUMBER(FIND("WORKORDER",AA33)),AND(LEFT(AA33,2)="WO",OR(ISNUMBER(FIND("NUM",AA33)),RIGHT(AA33,2)="NO"))))+8*(LEFT(AA33,3)="SEQ")+16*(AND(LEFT(AA33,4)="ITEM",NOT(ISNUMBER(FIND("DESC",AA33)))))+32*(AND(ISNUMBER(FIND("DESC",AA33)),NOT(ISNUMBER(FIND("CAP",AA33)))))+64*(OR(RIGHT(AA33,5)="COUNT",RIGHT(AA33,2)="CT"))+128*(ISNUMBER(FIND("BULK",AA33)))+256*(ISNUMBER(FIND("SIZE",AA33)))+512*(LEFT(AA33,3)="CAP")+1024*(ISNUMBER(FIND("ALLERG",AA33)))+2048*(OR(ISNUMBER(FIND("REMARK",AA33)),ISNUMBER(FIND("COMMENT",AA33))))+4096*(OR(ISNUMBER(FIND("QTY",AA33)),ISNUMBER(FIND("QUANTITY",AA33))))+8192*(AND(OR(ISNUMBER(FIND("COMPLETE",AA33)),ISNUMBER(FIND("PCT",AA33)),ISNUMBER(FIND("PERCENT",AA33))),NOT(ISNUMBER(FIND("ACTUAL",AA33))),LEN(AA33)&lt;=16))+32768*(OR(ISNUMBER(FIND("DESIC",AA33)),ISNUMBER(FIND("DESSIC",AA33)))))</f>
        <v/>
      </c>
      <c r="AB168">
        <f>IF(AB33="",0,2*(OR(ISNUMBER(FIND("WORKCENTER",AB33)),AND(LEFT(AB33,4)="LINE",NOT(ISNUMBER(FIND("STATUS",AB33))))))+4*(OR(ISNUMBER(FIND("WORKORDER",AB33)),AND(LEFT(AB33,2)="WO",OR(ISNUMBER(FIND("NUM",AB33)),RIGHT(AB33,2)="NO"))))+8*(LEFT(AB33,3)="SEQ")+16*(AND(LEFT(AB33,4)="ITEM",NOT(ISNUMBER(FIND("DESC",AB33)))))+32*(AND(ISNUMBER(FIND("DESC",AB33)),NOT(ISNUMBER(FIND("CAP",AB33)))))+64*(OR(RIGHT(AB33,5)="COUNT",RIGHT(AB33,2)="CT"))+128*(ISNUMBER(FIND("BULK",AB33)))+256*(ISNUMBER(FIND("SIZE",AB33)))+512*(LEFT(AB33,3)="CAP")+1024*(ISNUMBER(FIND("ALLERG",AB33)))+2048*(OR(ISNUMBER(FIND("REMARK",AB33)),ISNUMBER(FIND("COMMENT",AB33))))+4096*(OR(ISNUMBER(FIND("QTY",AB33)),ISNUMBER(FIND("QUANTITY",AB33))))+8192*(AND(OR(ISNUMBER(FIND("COMPLETE",AB33)),ISNUMBER(FIND("PCT",AB33)),ISNUMBER(FIND("PERCENT",AB33))),NOT(ISNUMBER(FIND("ACTUAL",AB33))),LEN(AB33)&lt;=16))+32768*(OR(ISNUMBER(FIND("DESIC",AB33)),ISNUMBER(FIND("DESSIC",AB33)))))</f>
        <v/>
      </c>
      <c r="AC168">
        <f>IF(AC33="",0,2*(OR(ISNUMBER(FIND("WORKCENTER",AC33)),AND(LEFT(AC33,4)="LINE",NOT(ISNUMBER(FIND("STATUS",AC33))))))+4*(OR(ISNUMBER(FIND("WORKORDER",AC33)),AND(LEFT(AC33,2)="WO",OR(ISNUMBER(FIND("NUM",AC33)),RIGHT(AC33,2)="NO"))))+8*(LEFT(AC33,3)="SEQ")+16*(AND(LEFT(AC33,4)="ITEM",NOT(ISNUMBER(FIND("DESC",AC33)))))+32*(AND(ISNUMBER(FIND("DESC",AC33)),NOT(ISNUMBER(FIND("CAP",AC33)))))+64*(OR(RIGHT(AC33,5)="COUNT",RIGHT(AC33,2)="CT"))+128*(ISNUMBER(FIND("BULK",AC33)))+256*(ISNUMBER(FIND("SIZE",AC33)))+512*(LEFT(AC33,3)="CAP")+1024*(ISNUMBER(FIND("ALLERG",AC33)))+2048*(OR(ISNUMBER(FIND("REMARK",AC33)),ISNUMBER(FIND("COMMENT",AC33))))+4096*(OR(ISNUMBER(FIND("QTY",AC33)),ISNUMBER(FIND("QUANTITY",AC33))))+8192*(AND(OR(ISNUMBER(FIND("COMPLETE",AC33)),ISNUMBER(FIND("PCT",AC33)),ISNUMBER(FIND("PERCENT",AC33))),NOT(ISNUMBER(FIND("ACTUAL",AC33))),LEN(AC33)&lt;=16))+32768*(OR(ISNUMBER(FIND("DESIC",AC33)),ISNUMBER(FIND("DESSIC",AC33)))))</f>
        <v/>
      </c>
      <c r="AD168">
        <f>IF(AD33="",0,2*(OR(ISNUMBER(FIND("WORKCENTER",AD33)),AND(LEFT(AD33,4)="LINE",NOT(ISNUMBER(FIND("STATUS",AD33))))))+4*(OR(ISNUMBER(FIND("WORKORDER",AD33)),AND(LEFT(AD33,2)="WO",OR(ISNUMBER(FIND("NUM",AD33)),RIGHT(AD33,2)="NO"))))+8*(LEFT(AD33,3)="SEQ")+16*(AND(LEFT(AD33,4)="ITEM",NOT(ISNUMBER(FIND("DESC",AD33)))))+32*(AND(ISNUMBER(FIND("DESC",AD33)),NOT(ISNUMBER(FIND("CAP",AD33)))))+64*(OR(RIGHT(AD33,5)="COUNT",RIGHT(AD33,2)="CT"))+128*(ISNUMBER(FIND("BULK",AD33)))+256*(ISNUMBER(FIND("SIZE",AD33)))+512*(LEFT(AD33,3)="CAP")+1024*(ISNUMBER(FIND("ALLERG",AD33)))+2048*(OR(ISNUMBER(FIND("REMARK",AD33)),ISNUMBER(FIND("COMMENT",AD33))))+4096*(OR(ISNUMBER(FIND("QTY",AD33)),ISNUMBER(FIND("QUANTITY",AD33))))+8192*(AND(OR(ISNUMBER(FIND("COMPLETE",AD33)),ISNUMBER(FIND("PCT",AD33)),ISNUMBER(FIND("PERCENT",AD33))),NOT(ISNUMBER(FIND("ACTUAL",AD33))),LEN(AD33)&lt;=16))+32768*(OR(ISNUMBER(FIND("DESIC",AD33)),ISNUMBER(FIND("DESSIC",AD33)))))</f>
        <v/>
      </c>
      <c r="AE168">
        <f>IF(AE33="",0,2*(OR(ISNUMBER(FIND("WORKCENTER",AE33)),AND(LEFT(AE33,4)="LINE",NOT(ISNUMBER(FIND("STATUS",AE33))))))+4*(OR(ISNUMBER(FIND("WORKORDER",AE33)),AND(LEFT(AE33,2)="WO",OR(ISNUMBER(FIND("NUM",AE33)),RIGHT(AE33,2)="NO"))))+8*(LEFT(AE33,3)="SEQ")+16*(AND(LEFT(AE33,4)="ITEM",NOT(ISNUMBER(FIND("DESC",AE33)))))+32*(AND(ISNUMBER(FIND("DESC",AE33)),NOT(ISNUMBER(FIND("CAP",AE33)))))+64*(OR(RIGHT(AE33,5)="COUNT",RIGHT(AE33,2)="CT"))+128*(ISNUMBER(FIND("BULK",AE33)))+256*(ISNUMBER(FIND("SIZE",AE33)))+512*(LEFT(AE33,3)="CAP")+1024*(ISNUMBER(FIND("ALLERG",AE33)))+2048*(OR(ISNUMBER(FIND("REMARK",AE33)),ISNUMBER(FIND("COMMENT",AE33))))+4096*(OR(ISNUMBER(FIND("QTY",AE33)),ISNUMBER(FIND("QUANTITY",AE33))))+8192*(AND(OR(ISNUMBER(FIND("COMPLETE",AE33)),ISNUMBER(FIND("PCT",AE33)),ISNUMBER(FIND("PERCENT",AE33))),NOT(ISNUMBER(FIND("ACTUAL",AE33))),LEN(AE33)&lt;=16))+32768*(OR(ISNUMBER(FIND("DESIC",AE33)),ISNUMBER(FIND("DESSIC",AE33)))))</f>
        <v/>
      </c>
      <c r="AF168">
        <f>IF(AF33="",0,2*(OR(ISNUMBER(FIND("WORKCENTER",AF33)),AND(LEFT(AF33,4)="LINE",NOT(ISNUMBER(FIND("STATUS",AF33))))))+4*(OR(ISNUMBER(FIND("WORKORDER",AF33)),AND(LEFT(AF33,2)="WO",OR(ISNUMBER(FIND("NUM",AF33)),RIGHT(AF33,2)="NO"))))+8*(LEFT(AF33,3)="SEQ")+16*(AND(LEFT(AF33,4)="ITEM",NOT(ISNUMBER(FIND("DESC",AF33)))))+32*(AND(ISNUMBER(FIND("DESC",AF33)),NOT(ISNUMBER(FIND("CAP",AF33)))))+64*(OR(RIGHT(AF33,5)="COUNT",RIGHT(AF33,2)="CT"))+128*(ISNUMBER(FIND("BULK",AF33)))+256*(ISNUMBER(FIND("SIZE",AF33)))+512*(LEFT(AF33,3)="CAP")+1024*(ISNUMBER(FIND("ALLERG",AF33)))+2048*(OR(ISNUMBER(FIND("REMARK",AF33)),ISNUMBER(FIND("COMMENT",AF33))))+4096*(OR(ISNUMBER(FIND("QTY",AF33)),ISNUMBER(FIND("QUANTITY",AF33))))+8192*(AND(OR(ISNUMBER(FIND("COMPLETE",AF33)),ISNUMBER(FIND("PCT",AF33)),ISNUMBER(FIND("PERCENT",AF33))),NOT(ISNUMBER(FIND("ACTUAL",AF33))),LEN(AF33)&lt;=16))+32768*(OR(ISNUMBER(FIND("DESIC",AF33)),ISNUMBER(FIND("DESSIC",AF33)))))</f>
        <v/>
      </c>
      <c r="AG168">
        <f>IF(AG33="",0,2*(OR(ISNUMBER(FIND("WORKCENTER",AG33)),AND(LEFT(AG33,4)="LINE",NOT(ISNUMBER(FIND("STATUS",AG33))))))+4*(OR(ISNUMBER(FIND("WORKORDER",AG33)),AND(LEFT(AG33,2)="WO",OR(ISNUMBER(FIND("NUM",AG33)),RIGHT(AG33,2)="NO"))))+8*(LEFT(AG33,3)="SEQ")+16*(AND(LEFT(AG33,4)="ITEM",NOT(ISNUMBER(FIND("DESC",AG33)))))+32*(AND(ISNUMBER(FIND("DESC",AG33)),NOT(ISNUMBER(FIND("CAP",AG33)))))+64*(OR(RIGHT(AG33,5)="COUNT",RIGHT(AG33,2)="CT"))+128*(ISNUMBER(FIND("BULK",AG33)))+256*(ISNUMBER(FIND("SIZE",AG33)))+512*(LEFT(AG33,3)="CAP")+1024*(ISNUMBER(FIND("ALLERG",AG33)))+2048*(OR(ISNUMBER(FIND("REMARK",AG33)),ISNUMBER(FIND("COMMENT",AG33))))+4096*(OR(ISNUMBER(FIND("QTY",AG33)),ISNUMBER(FIND("QUANTITY",AG33))))+8192*(AND(OR(ISNUMBER(FIND("COMPLETE",AG33)),ISNUMBER(FIND("PCT",AG33)),ISNUMBER(FIND("PERCENT",AG33))),NOT(ISNUMBER(FIND("ACTUAL",AG33))),LEN(AG33)&lt;=16))+32768*(OR(ISNUMBER(FIND("DESIC",AG33)),ISNUMBER(FIND("DESSIC",AG33)))))</f>
        <v/>
      </c>
      <c r="AH168">
        <f>IF(AH33="",0,2*(OR(ISNUMBER(FIND("WORKCENTER",AH33)),AND(LEFT(AH33,4)="LINE",NOT(ISNUMBER(FIND("STATUS",AH33))))))+4*(OR(ISNUMBER(FIND("WORKORDER",AH33)),AND(LEFT(AH33,2)="WO",OR(ISNUMBER(FIND("NUM",AH33)),RIGHT(AH33,2)="NO"))))+8*(LEFT(AH33,3)="SEQ")+16*(AND(LEFT(AH33,4)="ITEM",NOT(ISNUMBER(FIND("DESC",AH33)))))+32*(AND(ISNUMBER(FIND("DESC",AH33)),NOT(ISNUMBER(FIND("CAP",AH33)))))+64*(OR(RIGHT(AH33,5)="COUNT",RIGHT(AH33,2)="CT"))+128*(ISNUMBER(FIND("BULK",AH33)))+256*(ISNUMBER(FIND("SIZE",AH33)))+512*(LEFT(AH33,3)="CAP")+1024*(ISNUMBER(FIND("ALLERG",AH33)))+2048*(OR(ISNUMBER(FIND("REMARK",AH33)),ISNUMBER(FIND("COMMENT",AH33))))+4096*(OR(ISNUMBER(FIND("QTY",AH33)),ISNUMBER(FIND("QUANTITY",AH33))))+8192*(AND(OR(ISNUMBER(FIND("COMPLETE",AH33)),ISNUMBER(FIND("PCT",AH33)),ISNUMBER(FIND("PERCENT",AH33))),NOT(ISNUMBER(FIND("ACTUAL",AH33))),LEN(AH33)&lt;=16))+32768*(OR(ISNUMBER(FIND("DESIC",AH33)),ISNUMBER(FIND("DESSIC",AH33)))))</f>
        <v/>
      </c>
      <c r="AI168">
        <f>IF(AI33="",0,2*(OR(ISNUMBER(FIND("WORKCENTER",AI33)),AND(LEFT(AI33,4)="LINE",NOT(ISNUMBER(FIND("STATUS",AI33))))))+4*(OR(ISNUMBER(FIND("WORKORDER",AI33)),AND(LEFT(AI33,2)="WO",OR(ISNUMBER(FIND("NUM",AI33)),RIGHT(AI33,2)="NO"))))+8*(LEFT(AI33,3)="SEQ")+16*(AND(LEFT(AI33,4)="ITEM",NOT(ISNUMBER(FIND("DESC",AI33)))))+32*(AND(ISNUMBER(FIND("DESC",AI33)),NOT(ISNUMBER(FIND("CAP",AI33)))))+64*(OR(RIGHT(AI33,5)="COUNT",RIGHT(AI33,2)="CT"))+128*(ISNUMBER(FIND("BULK",AI33)))+256*(ISNUMBER(FIND("SIZE",AI33)))+512*(LEFT(AI33,3)="CAP")+1024*(ISNUMBER(FIND("ALLERG",AI33)))+2048*(OR(ISNUMBER(FIND("REMARK",AI33)),ISNUMBER(FIND("COMMENT",AI33))))+4096*(OR(ISNUMBER(FIND("QTY",AI33)),ISNUMBER(FIND("QUANTITY",AI33))))+8192*(AND(OR(ISNUMBER(FIND("COMPLETE",AI33)),ISNUMBER(FIND("PCT",AI33)),ISNUMBER(FIND("PERCENT",AI33))),NOT(ISNUMBER(FIND("ACTUAL",AI33))),LEN(AI33)&lt;=16))+32768*(OR(ISNUMBER(FIND("DESIC",AI33)),ISNUMBER(FIND("DESSIC",AI33)))))</f>
        <v/>
      </c>
      <c r="AJ168">
        <f>IF(AJ33="",0,2*(OR(ISNUMBER(FIND("WORKCENTER",AJ33)),AND(LEFT(AJ33,4)="LINE",NOT(ISNUMBER(FIND("STATUS",AJ33))))))+4*(OR(ISNUMBER(FIND("WORKORDER",AJ33)),AND(LEFT(AJ33,2)="WO",OR(ISNUMBER(FIND("NUM",AJ33)),RIGHT(AJ33,2)="NO"))))+8*(LEFT(AJ33,3)="SEQ")+16*(AND(LEFT(AJ33,4)="ITEM",NOT(ISNUMBER(FIND("DESC",AJ33)))))+32*(AND(ISNUMBER(FIND("DESC",AJ33)),NOT(ISNUMBER(FIND("CAP",AJ33)))))+64*(OR(RIGHT(AJ33,5)="COUNT",RIGHT(AJ33,2)="CT"))+128*(ISNUMBER(FIND("BULK",AJ33)))+256*(ISNUMBER(FIND("SIZE",AJ33)))+512*(LEFT(AJ33,3)="CAP")+1024*(ISNUMBER(FIND("ALLERG",AJ33)))+2048*(OR(ISNUMBER(FIND("REMARK",AJ33)),ISNUMBER(FIND("COMMENT",AJ33))))+4096*(OR(ISNUMBER(FIND("QTY",AJ33)),ISNUMBER(FIND("QUANTITY",AJ33))))+8192*(AND(OR(ISNUMBER(FIND("COMPLETE",AJ33)),ISNUMBER(FIND("PCT",AJ33)),ISNUMBER(FIND("PERCENT",AJ33))),NOT(ISNUMBER(FIND("ACTUAL",AJ33))),LEN(AJ33)&lt;=16))+32768*(OR(ISNUMBER(FIND("DESIC",AJ33)),ISNUMBER(FIND("DESSIC",AJ33)))))</f>
        <v/>
      </c>
      <c r="AK168">
        <f>IF(AK33="",0,2*(OR(ISNUMBER(FIND("WORKCENTER",AK33)),AND(LEFT(AK33,4)="LINE",NOT(ISNUMBER(FIND("STATUS",AK33))))))+4*(OR(ISNUMBER(FIND("WORKORDER",AK33)),AND(LEFT(AK33,2)="WO",OR(ISNUMBER(FIND("NUM",AK33)),RIGHT(AK33,2)="NO"))))+8*(LEFT(AK33,3)="SEQ")+16*(AND(LEFT(AK33,4)="ITEM",NOT(ISNUMBER(FIND("DESC",AK33)))))+32*(AND(ISNUMBER(FIND("DESC",AK33)),NOT(ISNUMBER(FIND("CAP",AK33)))))+64*(OR(RIGHT(AK33,5)="COUNT",RIGHT(AK33,2)="CT"))+128*(ISNUMBER(FIND("BULK",AK33)))+256*(ISNUMBER(FIND("SIZE",AK33)))+512*(LEFT(AK33,3)="CAP")+1024*(ISNUMBER(FIND("ALLERG",AK33)))+2048*(OR(ISNUMBER(FIND("REMARK",AK33)),ISNUMBER(FIND("COMMENT",AK33))))+4096*(OR(ISNUMBER(FIND("QTY",AK33)),ISNUMBER(FIND("QUANTITY",AK33))))+8192*(AND(OR(ISNUMBER(FIND("COMPLETE",AK33)),ISNUMBER(FIND("PCT",AK33)),ISNUMBER(FIND("PERCENT",AK33))),NOT(ISNUMBER(FIND("ACTUAL",AK33))),LEN(AK33)&lt;=16))+32768*(OR(ISNUMBER(FIND("DESIC",AK33)),ISNUMBER(FIND("DESSIC",AK33)))))</f>
        <v/>
      </c>
      <c r="AL168">
        <f>IF(AL33="",0,2*(OR(ISNUMBER(FIND("WORKCENTER",AL33)),AND(LEFT(AL33,4)="LINE",NOT(ISNUMBER(FIND("STATUS",AL33))))))+4*(OR(ISNUMBER(FIND("WORKORDER",AL33)),AND(LEFT(AL33,2)="WO",OR(ISNUMBER(FIND("NUM",AL33)),RIGHT(AL33,2)="NO"))))+8*(LEFT(AL33,3)="SEQ")+16*(AND(LEFT(AL33,4)="ITEM",NOT(ISNUMBER(FIND("DESC",AL33)))))+32*(AND(ISNUMBER(FIND("DESC",AL33)),NOT(ISNUMBER(FIND("CAP",AL33)))))+64*(OR(RIGHT(AL33,5)="COUNT",RIGHT(AL33,2)="CT"))+128*(ISNUMBER(FIND("BULK",AL33)))+256*(ISNUMBER(FIND("SIZE",AL33)))+512*(LEFT(AL33,3)="CAP")+1024*(ISNUMBER(FIND("ALLERG",AL33)))+2048*(OR(ISNUMBER(FIND("REMARK",AL33)),ISNUMBER(FIND("COMMENT",AL33))))+4096*(OR(ISNUMBER(FIND("QTY",AL33)),ISNUMBER(FIND("QUANTITY",AL33))))+8192*(AND(OR(ISNUMBER(FIND("COMPLETE",AL33)),ISNUMBER(FIND("PCT",AL33)),ISNUMBER(FIND("PERCENT",AL33))),NOT(ISNUMBER(FIND("ACTUAL",AL33))),LEN(AL33)&lt;=16))+32768*(OR(ISNUMBER(FIND("DESIC",AL33)),ISNUMBER(FIND("DESSIC",AL33)))))</f>
        <v/>
      </c>
      <c r="AM168">
        <f>IF(AM33="",0,2*(OR(ISNUMBER(FIND("WORKCENTER",AM33)),AND(LEFT(AM33,4)="LINE",NOT(ISNUMBER(FIND("STATUS",AM33))))))+4*(OR(ISNUMBER(FIND("WORKORDER",AM33)),AND(LEFT(AM33,2)="WO",OR(ISNUMBER(FIND("NUM",AM33)),RIGHT(AM33,2)="NO"))))+8*(LEFT(AM33,3)="SEQ")+16*(AND(LEFT(AM33,4)="ITEM",NOT(ISNUMBER(FIND("DESC",AM33)))))+32*(AND(ISNUMBER(FIND("DESC",AM33)),NOT(ISNUMBER(FIND("CAP",AM33)))))+64*(OR(RIGHT(AM33,5)="COUNT",RIGHT(AM33,2)="CT"))+128*(ISNUMBER(FIND("BULK",AM33)))+256*(ISNUMBER(FIND("SIZE",AM33)))+512*(LEFT(AM33,3)="CAP")+1024*(ISNUMBER(FIND("ALLERG",AM33)))+2048*(OR(ISNUMBER(FIND("REMARK",AM33)),ISNUMBER(FIND("COMMENT",AM33))))+4096*(OR(ISNUMBER(FIND("QTY",AM33)),ISNUMBER(FIND("QUANTITY",AM33))))+8192*(AND(OR(ISNUMBER(FIND("COMPLETE",AM33)),ISNUMBER(FIND("PCT",AM33)),ISNUMBER(FIND("PERCENT",AM33))),NOT(ISNUMBER(FIND("ACTUAL",AM33))),LEN(AM33)&lt;=16))+32768*(OR(ISNUMBER(FIND("DESIC",AM33)),ISNUMBER(FIND("DESSIC",AM33)))))</f>
        <v/>
      </c>
      <c r="AN168">
        <f>IF(AN33="",0,2*(OR(ISNUMBER(FIND("WORKCENTER",AN33)),AND(LEFT(AN33,4)="LINE",NOT(ISNUMBER(FIND("STATUS",AN33))))))+4*(OR(ISNUMBER(FIND("WORKORDER",AN33)),AND(LEFT(AN33,2)="WO",OR(ISNUMBER(FIND("NUM",AN33)),RIGHT(AN33,2)="NO"))))+8*(LEFT(AN33,3)="SEQ")+16*(AND(LEFT(AN33,4)="ITEM",NOT(ISNUMBER(FIND("DESC",AN33)))))+32*(AND(ISNUMBER(FIND("DESC",AN33)),NOT(ISNUMBER(FIND("CAP",AN33)))))+64*(OR(RIGHT(AN33,5)="COUNT",RIGHT(AN33,2)="CT"))+128*(ISNUMBER(FIND("BULK",AN33)))+256*(ISNUMBER(FIND("SIZE",AN33)))+512*(LEFT(AN33,3)="CAP")+1024*(ISNUMBER(FIND("ALLERG",AN33)))+2048*(OR(ISNUMBER(FIND("REMARK",AN33)),ISNUMBER(FIND("COMMENT",AN33))))+4096*(OR(ISNUMBER(FIND("QTY",AN33)),ISNUMBER(FIND("QUANTITY",AN33))))+8192*(AND(OR(ISNUMBER(FIND("COMPLETE",AN33)),ISNUMBER(FIND("PCT",AN33)),ISNUMBER(FIND("PERCENT",AN33))),NOT(ISNUMBER(FIND("ACTUAL",AN33))),LEN(AN33)&lt;=16))+32768*(OR(ISNUMBER(FIND("DESIC",AN33)),ISNUMBER(FIND("DESSIC",AN33)))))</f>
        <v/>
      </c>
      <c r="AO168">
        <f>IF(AO33="",0,2*(OR(ISNUMBER(FIND("WORKCENTER",AO33)),AND(LEFT(AO33,4)="LINE",NOT(ISNUMBER(FIND("STATUS",AO33))))))+4*(OR(ISNUMBER(FIND("WORKORDER",AO33)),AND(LEFT(AO33,2)="WO",OR(ISNUMBER(FIND("NUM",AO33)),RIGHT(AO33,2)="NO"))))+8*(LEFT(AO33,3)="SEQ")+16*(AND(LEFT(AO33,4)="ITEM",NOT(ISNUMBER(FIND("DESC",AO33)))))+32*(AND(ISNUMBER(FIND("DESC",AO33)),NOT(ISNUMBER(FIND("CAP",AO33)))))+64*(OR(RIGHT(AO33,5)="COUNT",RIGHT(AO33,2)="CT"))+128*(ISNUMBER(FIND("BULK",AO33)))+256*(ISNUMBER(FIND("SIZE",AO33)))+512*(LEFT(AO33,3)="CAP")+1024*(ISNUMBER(FIND("ALLERG",AO33)))+2048*(OR(ISNUMBER(FIND("REMARK",AO33)),ISNUMBER(FIND("COMMENT",AO33))))+4096*(OR(ISNUMBER(FIND("QTY",AO33)),ISNUMBER(FIND("QUANTITY",AO33))))+8192*(AND(OR(ISNUMBER(FIND("COMPLETE",AO33)),ISNUMBER(FIND("PCT",AO33)),ISNUMBER(FIND("PERCENT",AO33))),NOT(ISNUMBER(FIND("ACTUAL",AO33))),LEN(AO33)&lt;=16))+32768*(OR(ISNUMBER(FIND("DESIC",AO33)),ISNUMBER(FIND("DESSIC",AO33)))))</f>
        <v/>
      </c>
      <c r="AP168">
        <f>IF(AP33="",0,2*(OR(ISNUMBER(FIND("WORKCENTER",AP33)),AND(LEFT(AP33,4)="LINE",NOT(ISNUMBER(FIND("STATUS",AP33))))))+4*(OR(ISNUMBER(FIND("WORKORDER",AP33)),AND(LEFT(AP33,2)="WO",OR(ISNUMBER(FIND("NUM",AP33)),RIGHT(AP33,2)="NO"))))+8*(LEFT(AP33,3)="SEQ")+16*(AND(LEFT(AP33,4)="ITEM",NOT(ISNUMBER(FIND("DESC",AP33)))))+32*(AND(ISNUMBER(FIND("DESC",AP33)),NOT(ISNUMBER(FIND("CAP",AP33)))))+64*(OR(RIGHT(AP33,5)="COUNT",RIGHT(AP33,2)="CT"))+128*(ISNUMBER(FIND("BULK",AP33)))+256*(ISNUMBER(FIND("SIZE",AP33)))+512*(LEFT(AP33,3)="CAP")+1024*(ISNUMBER(FIND("ALLERG",AP33)))+2048*(OR(ISNUMBER(FIND("REMARK",AP33)),ISNUMBER(FIND("COMMENT",AP33))))+4096*(OR(ISNUMBER(FIND("QTY",AP33)),ISNUMBER(FIND("QUANTITY",AP33))))+8192*(AND(OR(ISNUMBER(FIND("COMPLETE",AP33)),ISNUMBER(FIND("PCT",AP33)),ISNUMBER(FIND("PERCENT",AP33))),NOT(ISNUMBER(FIND("ACTUAL",AP33))),LEN(AP33)&lt;=16))+32768*(OR(ISNUMBER(FIND("DESIC",AP33)),ISNUMBER(FIND("DESSIC",AP33)))))</f>
        <v/>
      </c>
      <c r="AQ168">
        <f>IF(AQ33="",0,2*(OR(ISNUMBER(FIND("WORKCENTER",AQ33)),AND(LEFT(AQ33,4)="LINE",NOT(ISNUMBER(FIND("STATUS",AQ33))))))+4*(OR(ISNUMBER(FIND("WORKORDER",AQ33)),AND(LEFT(AQ33,2)="WO",OR(ISNUMBER(FIND("NUM",AQ33)),RIGHT(AQ33,2)="NO"))))+8*(LEFT(AQ33,3)="SEQ")+16*(AND(LEFT(AQ33,4)="ITEM",NOT(ISNUMBER(FIND("DESC",AQ33)))))+32*(AND(ISNUMBER(FIND("DESC",AQ33)),NOT(ISNUMBER(FIND("CAP",AQ33)))))+64*(OR(RIGHT(AQ33,5)="COUNT",RIGHT(AQ33,2)="CT"))+128*(ISNUMBER(FIND("BULK",AQ33)))+256*(ISNUMBER(FIND("SIZE",AQ33)))+512*(LEFT(AQ33,3)="CAP")+1024*(ISNUMBER(FIND("ALLERG",AQ33)))+2048*(OR(ISNUMBER(FIND("REMARK",AQ33)),ISNUMBER(FIND("COMMENT",AQ33))))+4096*(OR(ISNUMBER(FIND("QTY",AQ33)),ISNUMBER(FIND("QUANTITY",AQ33))))+8192*(AND(OR(ISNUMBER(FIND("COMPLETE",AQ33)),ISNUMBER(FIND("PCT",AQ33)),ISNUMBER(FIND("PERCENT",AQ33))),NOT(ISNUMBER(FIND("ACTUAL",AQ33))),LEN(AQ33)&lt;=16))+32768*(OR(ISNUMBER(FIND("DESIC",AQ33)),ISNUMBER(FIND("DESSIC",AQ33)))))</f>
        <v/>
      </c>
      <c r="AR168">
        <f>IF(AR33="",0,2*(OR(ISNUMBER(FIND("WORKCENTER",AR33)),AND(LEFT(AR33,4)="LINE",NOT(ISNUMBER(FIND("STATUS",AR33))))))+4*(OR(ISNUMBER(FIND("WORKORDER",AR33)),AND(LEFT(AR33,2)="WO",OR(ISNUMBER(FIND("NUM",AR33)),RIGHT(AR33,2)="NO"))))+8*(LEFT(AR33,3)="SEQ")+16*(AND(LEFT(AR33,4)="ITEM",NOT(ISNUMBER(FIND("DESC",AR33)))))+32*(AND(ISNUMBER(FIND("DESC",AR33)),NOT(ISNUMBER(FIND("CAP",AR33)))))+64*(OR(RIGHT(AR33,5)="COUNT",RIGHT(AR33,2)="CT"))+128*(ISNUMBER(FIND("BULK",AR33)))+256*(ISNUMBER(FIND("SIZE",AR33)))+512*(LEFT(AR33,3)="CAP")+1024*(ISNUMBER(FIND("ALLERG",AR33)))+2048*(OR(ISNUMBER(FIND("REMARK",AR33)),ISNUMBER(FIND("COMMENT",AR33))))+4096*(OR(ISNUMBER(FIND("QTY",AR33)),ISNUMBER(FIND("QUANTITY",AR33))))+8192*(AND(OR(ISNUMBER(FIND("COMPLETE",AR33)),ISNUMBER(FIND("PCT",AR33)),ISNUMBER(FIND("PERCENT",AR33))),NOT(ISNUMBER(FIND("ACTUAL",AR33))),LEN(AR33)&lt;=16))+32768*(OR(ISNUMBER(FIND("DESIC",AR33)),ISNUMBER(FIND("DESSIC",AR33)))))</f>
        <v/>
      </c>
      <c r="AS168">
        <f>IF(AS33="",0,2*(OR(ISNUMBER(FIND("WORKCENTER",AS33)),AND(LEFT(AS33,4)="LINE",NOT(ISNUMBER(FIND("STATUS",AS33))))))+4*(OR(ISNUMBER(FIND("WORKORDER",AS33)),AND(LEFT(AS33,2)="WO",OR(ISNUMBER(FIND("NUM",AS33)),RIGHT(AS33,2)="NO"))))+8*(LEFT(AS33,3)="SEQ")+16*(AND(LEFT(AS33,4)="ITEM",NOT(ISNUMBER(FIND("DESC",AS33)))))+32*(AND(ISNUMBER(FIND("DESC",AS33)),NOT(ISNUMBER(FIND("CAP",AS33)))))+64*(OR(RIGHT(AS33,5)="COUNT",RIGHT(AS33,2)="CT"))+128*(ISNUMBER(FIND("BULK",AS33)))+256*(ISNUMBER(FIND("SIZE",AS33)))+512*(LEFT(AS33,3)="CAP")+1024*(ISNUMBER(FIND("ALLERG",AS33)))+2048*(OR(ISNUMBER(FIND("REMARK",AS33)),ISNUMBER(FIND("COMMENT",AS33))))+4096*(OR(ISNUMBER(FIND("QTY",AS33)),ISNUMBER(FIND("QUANTITY",AS33))))+8192*(AND(OR(ISNUMBER(FIND("COMPLETE",AS33)),ISNUMBER(FIND("PCT",AS33)),ISNUMBER(FIND("PERCENT",AS33))),NOT(ISNUMBER(FIND("ACTUAL",AS33))),LEN(AS33)&lt;=16))+32768*(OR(ISNUMBER(FIND("DESIC",AS33)),ISNUMBER(FIND("DESSIC",AS33)))))</f>
        <v/>
      </c>
      <c r="AT168">
        <f>IF(AT33="",0,2*(OR(ISNUMBER(FIND("WORKCENTER",AT33)),AND(LEFT(AT33,4)="LINE",NOT(ISNUMBER(FIND("STATUS",AT33))))))+4*(OR(ISNUMBER(FIND("WORKORDER",AT33)),AND(LEFT(AT33,2)="WO",OR(ISNUMBER(FIND("NUM",AT33)),RIGHT(AT33,2)="NO"))))+8*(LEFT(AT33,3)="SEQ")+16*(AND(LEFT(AT33,4)="ITEM",NOT(ISNUMBER(FIND("DESC",AT33)))))+32*(AND(ISNUMBER(FIND("DESC",AT33)),NOT(ISNUMBER(FIND("CAP",AT33)))))+64*(OR(RIGHT(AT33,5)="COUNT",RIGHT(AT33,2)="CT"))+128*(ISNUMBER(FIND("BULK",AT33)))+256*(ISNUMBER(FIND("SIZE",AT33)))+512*(LEFT(AT33,3)="CAP")+1024*(ISNUMBER(FIND("ALLERG",AT33)))+2048*(OR(ISNUMBER(FIND("REMARK",AT33)),ISNUMBER(FIND("COMMENT",AT33))))+4096*(OR(ISNUMBER(FIND("QTY",AT33)),ISNUMBER(FIND("QUANTITY",AT33))))+8192*(AND(OR(ISNUMBER(FIND("COMPLETE",AT33)),ISNUMBER(FIND("PCT",AT33)),ISNUMBER(FIND("PERCENT",AT33))),NOT(ISNUMBER(FIND("ACTUAL",AT33))),LEN(AT33)&lt;=16))+32768*(OR(ISNUMBER(FIND("DESIC",AT33)),ISNUMBER(FIND("DESSIC",AT33)))))</f>
        <v/>
      </c>
      <c r="AU168">
        <f>IF(AU33="",0,2*(OR(ISNUMBER(FIND("WORKCENTER",AU33)),AND(LEFT(AU33,4)="LINE",NOT(ISNUMBER(FIND("STATUS",AU33))))))+4*(OR(ISNUMBER(FIND("WORKORDER",AU33)),AND(LEFT(AU33,2)="WO",OR(ISNUMBER(FIND("NUM",AU33)),RIGHT(AU33,2)="NO"))))+8*(LEFT(AU33,3)="SEQ")+16*(AND(LEFT(AU33,4)="ITEM",NOT(ISNUMBER(FIND("DESC",AU33)))))+32*(AND(ISNUMBER(FIND("DESC",AU33)),NOT(ISNUMBER(FIND("CAP",AU33)))))+64*(OR(RIGHT(AU33,5)="COUNT",RIGHT(AU33,2)="CT"))+128*(ISNUMBER(FIND("BULK",AU33)))+256*(ISNUMBER(FIND("SIZE",AU33)))+512*(LEFT(AU33,3)="CAP")+1024*(ISNUMBER(FIND("ALLERG",AU33)))+2048*(OR(ISNUMBER(FIND("REMARK",AU33)),ISNUMBER(FIND("COMMENT",AU33))))+4096*(OR(ISNUMBER(FIND("QTY",AU33)),ISNUMBER(FIND("QUANTITY",AU33))))+8192*(AND(OR(ISNUMBER(FIND("COMPLETE",AU33)),ISNUMBER(FIND("PCT",AU33)),ISNUMBER(FIND("PERCENT",AU33))),NOT(ISNUMBER(FIND("ACTUAL",AU33))),LEN(AU33)&lt;=16))+32768*(OR(ISNUMBER(FIND("DESIC",AU33)),ISNUMBER(FIND("DESSIC",AU33)))))</f>
        <v/>
      </c>
      <c r="AV168">
        <f>IF(AV33="",0,2*(OR(ISNUMBER(FIND("WORKCENTER",AV33)),AND(LEFT(AV33,4)="LINE",NOT(ISNUMBER(FIND("STATUS",AV33))))))+4*(OR(ISNUMBER(FIND("WORKORDER",AV33)),AND(LEFT(AV33,2)="WO",OR(ISNUMBER(FIND("NUM",AV33)),RIGHT(AV33,2)="NO"))))+8*(LEFT(AV33,3)="SEQ")+16*(AND(LEFT(AV33,4)="ITEM",NOT(ISNUMBER(FIND("DESC",AV33)))))+32*(AND(ISNUMBER(FIND("DESC",AV33)),NOT(ISNUMBER(FIND("CAP",AV33)))))+64*(OR(RIGHT(AV33,5)="COUNT",RIGHT(AV33,2)="CT"))+128*(ISNUMBER(FIND("BULK",AV33)))+256*(ISNUMBER(FIND("SIZE",AV33)))+512*(LEFT(AV33,3)="CAP")+1024*(ISNUMBER(FIND("ALLERG",AV33)))+2048*(OR(ISNUMBER(FIND("REMARK",AV33)),ISNUMBER(FIND("COMMENT",AV33))))+4096*(OR(ISNUMBER(FIND("QTY",AV33)),ISNUMBER(FIND("QUANTITY",AV33))))+8192*(AND(OR(ISNUMBER(FIND("COMPLETE",AV33)),ISNUMBER(FIND("PCT",AV33)),ISNUMBER(FIND("PERCENT",AV33))),NOT(ISNUMBER(FIND("ACTUAL",AV33))),LEN(AV33)&lt;=16))+32768*(OR(ISNUMBER(FIND("DESIC",AV33)),ISNUMBER(FIND("DESSIC",AV33)))))</f>
        <v/>
      </c>
      <c r="AW168">
        <f>IF(AW33="",0,2*(OR(ISNUMBER(FIND("WORKCENTER",AW33)),AND(LEFT(AW33,4)="LINE",NOT(ISNUMBER(FIND("STATUS",AW33))))))+4*(OR(ISNUMBER(FIND("WORKORDER",AW33)),AND(LEFT(AW33,2)="WO",OR(ISNUMBER(FIND("NUM",AW33)),RIGHT(AW33,2)="NO"))))+8*(LEFT(AW33,3)="SEQ")+16*(AND(LEFT(AW33,4)="ITEM",NOT(ISNUMBER(FIND("DESC",AW33)))))+32*(AND(ISNUMBER(FIND("DESC",AW33)),NOT(ISNUMBER(FIND("CAP",AW33)))))+64*(OR(RIGHT(AW33,5)="COUNT",RIGHT(AW33,2)="CT"))+128*(ISNUMBER(FIND("BULK",AW33)))+256*(ISNUMBER(FIND("SIZE",AW33)))+512*(LEFT(AW33,3)="CAP")+1024*(ISNUMBER(FIND("ALLERG",AW33)))+2048*(OR(ISNUMBER(FIND("REMARK",AW33)),ISNUMBER(FIND("COMMENT",AW33))))+4096*(OR(ISNUMBER(FIND("QTY",AW33)),ISNUMBER(FIND("QUANTITY",AW33))))+8192*(AND(OR(ISNUMBER(FIND("COMPLETE",AW33)),ISNUMBER(FIND("PCT",AW33)),ISNUMBER(FIND("PERCENT",AW33))),NOT(ISNUMBER(FIND("ACTUAL",AW33))),LEN(AW33)&lt;=16))+32768*(OR(ISNUMBER(FIND("DESIC",AW33)),ISNUMBER(FIND("DESSIC",AW33)))))</f>
        <v/>
      </c>
      <c r="AX168">
        <f>IF(AX33="",0,2*(OR(ISNUMBER(FIND("WORKCENTER",AX33)),AND(LEFT(AX33,4)="LINE",NOT(ISNUMBER(FIND("STATUS",AX33))))))+4*(OR(ISNUMBER(FIND("WORKORDER",AX33)),AND(LEFT(AX33,2)="WO",OR(ISNUMBER(FIND("NUM",AX33)),RIGHT(AX33,2)="NO"))))+8*(LEFT(AX33,3)="SEQ")+16*(AND(LEFT(AX33,4)="ITEM",NOT(ISNUMBER(FIND("DESC",AX33)))))+32*(AND(ISNUMBER(FIND("DESC",AX33)),NOT(ISNUMBER(FIND("CAP",AX33)))))+64*(OR(RIGHT(AX33,5)="COUNT",RIGHT(AX33,2)="CT"))+128*(ISNUMBER(FIND("BULK",AX33)))+256*(ISNUMBER(FIND("SIZE",AX33)))+512*(LEFT(AX33,3)="CAP")+1024*(ISNUMBER(FIND("ALLERG",AX33)))+2048*(OR(ISNUMBER(FIND("REMARK",AX33)),ISNUMBER(FIND("COMMENT",AX33))))+4096*(OR(ISNUMBER(FIND("QTY",AX33)),ISNUMBER(FIND("QUANTITY",AX33))))+8192*(AND(OR(ISNUMBER(FIND("COMPLETE",AX33)),ISNUMBER(FIND("PCT",AX33)),ISNUMBER(FIND("PERCENT",AX33))),NOT(ISNUMBER(FIND("ACTUAL",AX33))),LEN(AX33)&lt;=16))+32768*(OR(ISNUMBER(FIND("DESIC",AX33)),ISNUMBER(FIND("DESSIC",AX33)))))</f>
        <v/>
      </c>
      <c r="AY168">
        <f>IF(AY33="",0,2*(OR(ISNUMBER(FIND("WORKCENTER",AY33)),AND(LEFT(AY33,4)="LINE",NOT(ISNUMBER(FIND("STATUS",AY33))))))+4*(OR(ISNUMBER(FIND("WORKORDER",AY33)),AND(LEFT(AY33,2)="WO",OR(ISNUMBER(FIND("NUM",AY33)),RIGHT(AY33,2)="NO"))))+8*(LEFT(AY33,3)="SEQ")+16*(AND(LEFT(AY33,4)="ITEM",NOT(ISNUMBER(FIND("DESC",AY33)))))+32*(AND(ISNUMBER(FIND("DESC",AY33)),NOT(ISNUMBER(FIND("CAP",AY33)))))+64*(OR(RIGHT(AY33,5)="COUNT",RIGHT(AY33,2)="CT"))+128*(ISNUMBER(FIND("BULK",AY33)))+256*(ISNUMBER(FIND("SIZE",AY33)))+512*(LEFT(AY33,3)="CAP")+1024*(ISNUMBER(FIND("ALLERG",AY33)))+2048*(OR(ISNUMBER(FIND("REMARK",AY33)),ISNUMBER(FIND("COMMENT",AY33))))+4096*(OR(ISNUMBER(FIND("QTY",AY33)),ISNUMBER(FIND("QUANTITY",AY33))))+8192*(AND(OR(ISNUMBER(FIND("COMPLETE",AY33)),ISNUMBER(FIND("PCT",AY33)),ISNUMBER(FIND("PERCENT",AY33))),NOT(ISNUMBER(FIND("ACTUAL",AY33))),LEN(AY33)&lt;=16))+32768*(OR(ISNUMBER(FIND("DESIC",AY33)),ISNUMBER(FIND("DESSIC",AY33)))))</f>
        <v/>
      </c>
      <c r="AZ168">
        <f>IF(AZ33="",0,2*(OR(ISNUMBER(FIND("WORKCENTER",AZ33)),AND(LEFT(AZ33,4)="LINE",NOT(ISNUMBER(FIND("STATUS",AZ33))))))+4*(OR(ISNUMBER(FIND("WORKORDER",AZ33)),AND(LEFT(AZ33,2)="WO",OR(ISNUMBER(FIND("NUM",AZ33)),RIGHT(AZ33,2)="NO"))))+8*(LEFT(AZ33,3)="SEQ")+16*(AND(LEFT(AZ33,4)="ITEM",NOT(ISNUMBER(FIND("DESC",AZ33)))))+32*(AND(ISNUMBER(FIND("DESC",AZ33)),NOT(ISNUMBER(FIND("CAP",AZ33)))))+64*(OR(RIGHT(AZ33,5)="COUNT",RIGHT(AZ33,2)="CT"))+128*(ISNUMBER(FIND("BULK",AZ33)))+256*(ISNUMBER(FIND("SIZE",AZ33)))+512*(LEFT(AZ33,3)="CAP")+1024*(ISNUMBER(FIND("ALLERG",AZ33)))+2048*(OR(ISNUMBER(FIND("REMARK",AZ33)),ISNUMBER(FIND("COMMENT",AZ33))))+4096*(OR(ISNUMBER(FIND("QTY",AZ33)),ISNUMBER(FIND("QUANTITY",AZ33))))+8192*(AND(OR(ISNUMBER(FIND("COMPLETE",AZ33)),ISNUMBER(FIND("PCT",AZ33)),ISNUMBER(FIND("PERCENT",AZ33))),NOT(ISNUMBER(FIND("ACTUAL",AZ33))),LEN(AZ33)&lt;=16))+32768*(OR(ISNUMBER(FIND("DESIC",AZ33)),ISNUMBER(FIND("DESSIC",AZ33)))))</f>
        <v/>
      </c>
      <c r="BA168">
        <f>IF(BA33="",0,2*(OR(ISNUMBER(FIND("WORKCENTER",BA33)),AND(LEFT(BA33,4)="LINE",NOT(ISNUMBER(FIND("STATUS",BA33))))))+4*(OR(ISNUMBER(FIND("WORKORDER",BA33)),AND(LEFT(BA33,2)="WO",OR(ISNUMBER(FIND("NUM",BA33)),RIGHT(BA33,2)="NO"))))+8*(LEFT(BA33,3)="SEQ")+16*(AND(LEFT(BA33,4)="ITEM",NOT(ISNUMBER(FIND("DESC",BA33)))))+32*(AND(ISNUMBER(FIND("DESC",BA33)),NOT(ISNUMBER(FIND("CAP",BA33)))))+64*(OR(RIGHT(BA33,5)="COUNT",RIGHT(BA33,2)="CT"))+128*(ISNUMBER(FIND("BULK",BA33)))+256*(ISNUMBER(FIND("SIZE",BA33)))+512*(LEFT(BA33,3)="CAP")+1024*(ISNUMBER(FIND("ALLERG",BA33)))+2048*(OR(ISNUMBER(FIND("REMARK",BA33)),ISNUMBER(FIND("COMMENT",BA33))))+4096*(OR(ISNUMBER(FIND("QTY",BA33)),ISNUMBER(FIND("QUANTITY",BA33))))+8192*(AND(OR(ISNUMBER(FIND("COMPLETE",BA33)),ISNUMBER(FIND("PCT",BA33)),ISNUMBER(FIND("PERCENT",BA33))),NOT(ISNUMBER(FIND("ACTUAL",BA33))),LEN(BA33)&lt;=16))+32768*(OR(ISNUMBER(FIND("DESIC",BA33)),ISNUMBER(FIND("DESSIC",BA33)))))</f>
        <v/>
      </c>
      <c r="BB168">
        <f>IF(BB33="",0,2*(OR(ISNUMBER(FIND("WORKCENTER",BB33)),AND(LEFT(BB33,4)="LINE",NOT(ISNUMBER(FIND("STATUS",BB33))))))+4*(OR(ISNUMBER(FIND("WORKORDER",BB33)),AND(LEFT(BB33,2)="WO",OR(ISNUMBER(FIND("NUM",BB33)),RIGHT(BB33,2)="NO"))))+8*(LEFT(BB33,3)="SEQ")+16*(AND(LEFT(BB33,4)="ITEM",NOT(ISNUMBER(FIND("DESC",BB33)))))+32*(AND(ISNUMBER(FIND("DESC",BB33)),NOT(ISNUMBER(FIND("CAP",BB33)))))+64*(OR(RIGHT(BB33,5)="COUNT",RIGHT(BB33,2)="CT"))+128*(ISNUMBER(FIND("BULK",BB33)))+256*(ISNUMBER(FIND("SIZE",BB33)))+512*(LEFT(BB33,3)="CAP")+1024*(ISNUMBER(FIND("ALLERG",BB33)))+2048*(OR(ISNUMBER(FIND("REMARK",BB33)),ISNUMBER(FIND("COMMENT",BB33))))+4096*(OR(ISNUMBER(FIND("QTY",BB33)),ISNUMBER(FIND("QUANTITY",BB33))))+8192*(AND(OR(ISNUMBER(FIND("COMPLETE",BB33)),ISNUMBER(FIND("PCT",BB33)),ISNUMBER(FIND("PERCENT",BB33))),NOT(ISNUMBER(FIND("ACTUAL",BB33))),LEN(BB33)&lt;=16))+32768*(OR(ISNUMBER(FIND("DESIC",BB33)),ISNUMBER(FIND("DESSIC",BB33)))))</f>
        <v/>
      </c>
      <c r="BC168">
        <f>IF(BC33="",0,2*(OR(ISNUMBER(FIND("WORKCENTER",BC33)),AND(LEFT(BC33,4)="LINE",NOT(ISNUMBER(FIND("STATUS",BC33))))))+4*(OR(ISNUMBER(FIND("WORKORDER",BC33)),AND(LEFT(BC33,2)="WO",OR(ISNUMBER(FIND("NUM",BC33)),RIGHT(BC33,2)="NO"))))+8*(LEFT(BC33,3)="SEQ")+16*(AND(LEFT(BC33,4)="ITEM",NOT(ISNUMBER(FIND("DESC",BC33)))))+32*(AND(ISNUMBER(FIND("DESC",BC33)),NOT(ISNUMBER(FIND("CAP",BC33)))))+64*(OR(RIGHT(BC33,5)="COUNT",RIGHT(BC33,2)="CT"))+128*(ISNUMBER(FIND("BULK",BC33)))+256*(ISNUMBER(FIND("SIZE",BC33)))+512*(LEFT(BC33,3)="CAP")+1024*(ISNUMBER(FIND("ALLERG",BC33)))+2048*(OR(ISNUMBER(FIND("REMARK",BC33)),ISNUMBER(FIND("COMMENT",BC33))))+4096*(OR(ISNUMBER(FIND("QTY",BC33)),ISNUMBER(FIND("QUANTITY",BC33))))+8192*(AND(OR(ISNUMBER(FIND("COMPLETE",BC33)),ISNUMBER(FIND("PCT",BC33)),ISNUMBER(FIND("PERCENT",BC33))),NOT(ISNUMBER(FIND("ACTUAL",BC33))),LEN(BC33)&lt;=16))+32768*(OR(ISNUMBER(FIND("DESIC",BC33)),ISNUMBER(FIND("DESSIC",BC33)))))</f>
        <v/>
      </c>
      <c r="BD168">
        <f>IF(BD33="",0,2*(OR(ISNUMBER(FIND("WORKCENTER",BD33)),AND(LEFT(BD33,4)="LINE",NOT(ISNUMBER(FIND("STATUS",BD33))))))+4*(OR(ISNUMBER(FIND("WORKORDER",BD33)),AND(LEFT(BD33,2)="WO",OR(ISNUMBER(FIND("NUM",BD33)),RIGHT(BD33,2)="NO"))))+8*(LEFT(BD33,3)="SEQ")+16*(AND(LEFT(BD33,4)="ITEM",NOT(ISNUMBER(FIND("DESC",BD33)))))+32*(AND(ISNUMBER(FIND("DESC",BD33)),NOT(ISNUMBER(FIND("CAP",BD33)))))+64*(OR(RIGHT(BD33,5)="COUNT",RIGHT(BD33,2)="CT"))+128*(ISNUMBER(FIND("BULK",BD33)))+256*(ISNUMBER(FIND("SIZE",BD33)))+512*(LEFT(BD33,3)="CAP")+1024*(ISNUMBER(FIND("ALLERG",BD33)))+2048*(OR(ISNUMBER(FIND("REMARK",BD33)),ISNUMBER(FIND("COMMENT",BD33))))+4096*(OR(ISNUMBER(FIND("QTY",BD33)),ISNUMBER(FIND("QUANTITY",BD33))))+8192*(AND(OR(ISNUMBER(FIND("COMPLETE",BD33)),ISNUMBER(FIND("PCT",BD33)),ISNUMBER(FIND("PERCENT",BD33))),NOT(ISNUMBER(FIND("ACTUAL",BD33))),LEN(BD33)&lt;=16))+32768*(OR(ISNUMBER(FIND("DESIC",BD33)),ISNUMBER(FIND("DESSIC",BD33)))))</f>
        <v/>
      </c>
      <c r="BE168">
        <f>IF(BE33="",0,2*(OR(ISNUMBER(FIND("WORKCENTER",BE33)),AND(LEFT(BE33,4)="LINE",NOT(ISNUMBER(FIND("STATUS",BE33))))))+4*(OR(ISNUMBER(FIND("WORKORDER",BE33)),AND(LEFT(BE33,2)="WO",OR(ISNUMBER(FIND("NUM",BE33)),RIGHT(BE33,2)="NO"))))+8*(LEFT(BE33,3)="SEQ")+16*(AND(LEFT(BE33,4)="ITEM",NOT(ISNUMBER(FIND("DESC",BE33)))))+32*(AND(ISNUMBER(FIND("DESC",BE33)),NOT(ISNUMBER(FIND("CAP",BE33)))))+64*(OR(RIGHT(BE33,5)="COUNT",RIGHT(BE33,2)="CT"))+128*(ISNUMBER(FIND("BULK",BE33)))+256*(ISNUMBER(FIND("SIZE",BE33)))+512*(LEFT(BE33,3)="CAP")+1024*(ISNUMBER(FIND("ALLERG",BE33)))+2048*(OR(ISNUMBER(FIND("REMARK",BE33)),ISNUMBER(FIND("COMMENT",BE33))))+4096*(OR(ISNUMBER(FIND("QTY",BE33)),ISNUMBER(FIND("QUANTITY",BE33))))+8192*(AND(OR(ISNUMBER(FIND("COMPLETE",BE33)),ISNUMBER(FIND("PCT",BE33)),ISNUMBER(FIND("PERCENT",BE33))),NOT(ISNUMBER(FIND("ACTUAL",BE33))),LEN(BE33)&lt;=16))+32768*(OR(ISNUMBER(FIND("DESIC",BE33)),ISNUMBER(FIND("DESSIC",BE33)))))</f>
        <v/>
      </c>
      <c r="BF168">
        <f>IF(BF33="",0,2*(OR(ISNUMBER(FIND("WORKCENTER",BF33)),AND(LEFT(BF33,4)="LINE",NOT(ISNUMBER(FIND("STATUS",BF33))))))+4*(OR(ISNUMBER(FIND("WORKORDER",BF33)),AND(LEFT(BF33,2)="WO",OR(ISNUMBER(FIND("NUM",BF33)),RIGHT(BF33,2)="NO"))))+8*(LEFT(BF33,3)="SEQ")+16*(AND(LEFT(BF33,4)="ITEM",NOT(ISNUMBER(FIND("DESC",BF33)))))+32*(AND(ISNUMBER(FIND("DESC",BF33)),NOT(ISNUMBER(FIND("CAP",BF33)))))+64*(OR(RIGHT(BF33,5)="COUNT",RIGHT(BF33,2)="CT"))+128*(ISNUMBER(FIND("BULK",BF33)))+256*(ISNUMBER(FIND("SIZE",BF33)))+512*(LEFT(BF33,3)="CAP")+1024*(ISNUMBER(FIND("ALLERG",BF33)))+2048*(OR(ISNUMBER(FIND("REMARK",BF33)),ISNUMBER(FIND("COMMENT",BF33))))+4096*(OR(ISNUMBER(FIND("QTY",BF33)),ISNUMBER(FIND("QUANTITY",BF33))))+8192*(AND(OR(ISNUMBER(FIND("COMPLETE",BF33)),ISNUMBER(FIND("PCT",BF33)),ISNUMBER(FIND("PERCENT",BF33))),NOT(ISNUMBER(FIND("ACTUAL",BF33))),LEN(BF33)&lt;=16))+32768*(OR(ISNUMBER(FIND("DESIC",BF33)),ISNUMBER(FIND("DESSIC",BF33)))))</f>
        <v/>
      </c>
      <c r="BG168">
        <f>IF(BG33="",0,2*(OR(ISNUMBER(FIND("WORKCENTER",BG33)),AND(LEFT(BG33,4)="LINE",NOT(ISNUMBER(FIND("STATUS",BG33))))))+4*(OR(ISNUMBER(FIND("WORKORDER",BG33)),AND(LEFT(BG33,2)="WO",OR(ISNUMBER(FIND("NUM",BG33)),RIGHT(BG33,2)="NO"))))+8*(LEFT(BG33,3)="SEQ")+16*(AND(LEFT(BG33,4)="ITEM",NOT(ISNUMBER(FIND("DESC",BG33)))))+32*(AND(ISNUMBER(FIND("DESC",BG33)),NOT(ISNUMBER(FIND("CAP",BG33)))))+64*(OR(RIGHT(BG33,5)="COUNT",RIGHT(BG33,2)="CT"))+128*(ISNUMBER(FIND("BULK",BG33)))+256*(ISNUMBER(FIND("SIZE",BG33)))+512*(LEFT(BG33,3)="CAP")+1024*(ISNUMBER(FIND("ALLERG",BG33)))+2048*(OR(ISNUMBER(FIND("REMARK",BG33)),ISNUMBER(FIND("COMMENT",BG33))))+4096*(OR(ISNUMBER(FIND("QTY",BG33)),ISNUMBER(FIND("QUANTITY",BG33))))+8192*(AND(OR(ISNUMBER(FIND("COMPLETE",BG33)),ISNUMBER(FIND("PCT",BG33)),ISNUMBER(FIND("PERCENT",BG33))),NOT(ISNUMBER(FIND("ACTUAL",BG33))),LEN(BG33)&lt;=16))+32768*(OR(ISNUMBER(FIND("DESIC",BG33)),ISNUMBER(FIND("DESSIC",BG33)))))</f>
        <v/>
      </c>
      <c r="BH168">
        <f>IF(BH33="",0,2*(OR(ISNUMBER(FIND("WORKCENTER",BH33)),AND(LEFT(BH33,4)="LINE",NOT(ISNUMBER(FIND("STATUS",BH33))))))+4*(OR(ISNUMBER(FIND("WORKORDER",BH33)),AND(LEFT(BH33,2)="WO",OR(ISNUMBER(FIND("NUM",BH33)),RIGHT(BH33,2)="NO"))))+8*(LEFT(BH33,3)="SEQ")+16*(AND(LEFT(BH33,4)="ITEM",NOT(ISNUMBER(FIND("DESC",BH33)))))+32*(AND(ISNUMBER(FIND("DESC",BH33)),NOT(ISNUMBER(FIND("CAP",BH33)))))+64*(OR(RIGHT(BH33,5)="COUNT",RIGHT(BH33,2)="CT"))+128*(ISNUMBER(FIND("BULK",BH33)))+256*(ISNUMBER(FIND("SIZE",BH33)))+512*(LEFT(BH33,3)="CAP")+1024*(ISNUMBER(FIND("ALLERG",BH33)))+2048*(OR(ISNUMBER(FIND("REMARK",BH33)),ISNUMBER(FIND("COMMENT",BH33))))+4096*(OR(ISNUMBER(FIND("QTY",BH33)),ISNUMBER(FIND("QUANTITY",BH33))))+8192*(AND(OR(ISNUMBER(FIND("COMPLETE",BH33)),ISNUMBER(FIND("PCT",BH33)),ISNUMBER(FIND("PERCENT",BH33))),NOT(ISNUMBER(FIND("ACTUAL",BH33))),LEN(BH33)&lt;=16))+32768*(OR(ISNUMBER(FIND("DESIC",BH33)),ISNUMBER(FIND("DESSIC",BH33)))))</f>
        <v/>
      </c>
      <c r="BI168">
        <f>IF(BI33="",0,2*(OR(ISNUMBER(FIND("WORKCENTER",BI33)),AND(LEFT(BI33,4)="LINE",NOT(ISNUMBER(FIND("STATUS",BI33))))))+4*(OR(ISNUMBER(FIND("WORKORDER",BI33)),AND(LEFT(BI33,2)="WO",OR(ISNUMBER(FIND("NUM",BI33)),RIGHT(BI33,2)="NO"))))+8*(LEFT(BI33,3)="SEQ")+16*(AND(LEFT(BI33,4)="ITEM",NOT(ISNUMBER(FIND("DESC",BI33)))))+32*(AND(ISNUMBER(FIND("DESC",BI33)),NOT(ISNUMBER(FIND("CAP",BI33)))))+64*(OR(RIGHT(BI33,5)="COUNT",RIGHT(BI33,2)="CT"))+128*(ISNUMBER(FIND("BULK",BI33)))+256*(ISNUMBER(FIND("SIZE",BI33)))+512*(LEFT(BI33,3)="CAP")+1024*(ISNUMBER(FIND("ALLERG",BI33)))+2048*(OR(ISNUMBER(FIND("REMARK",BI33)),ISNUMBER(FIND("COMMENT",BI33))))+4096*(OR(ISNUMBER(FIND("QTY",BI33)),ISNUMBER(FIND("QUANTITY",BI33))))+8192*(AND(OR(ISNUMBER(FIND("COMPLETE",BI33)),ISNUMBER(FIND("PCT",BI33)),ISNUMBER(FIND("PERCENT",BI33))),NOT(ISNUMBER(FIND("ACTUAL",BI33))),LEN(BI33)&lt;=16))+32768*(OR(ISNUMBER(FIND("DESIC",BI33)),ISNUMBER(FIND("DESSIC",BI33)))))</f>
        <v/>
      </c>
      <c r="BJ168">
        <f>IF(BJ33="",0,2*(OR(ISNUMBER(FIND("WORKCENTER",BJ33)),AND(LEFT(BJ33,4)="LINE",NOT(ISNUMBER(FIND("STATUS",BJ33))))))+4*(OR(ISNUMBER(FIND("WORKORDER",BJ33)),AND(LEFT(BJ33,2)="WO",OR(ISNUMBER(FIND("NUM",BJ33)),RIGHT(BJ33,2)="NO"))))+8*(LEFT(BJ33,3)="SEQ")+16*(AND(LEFT(BJ33,4)="ITEM",NOT(ISNUMBER(FIND("DESC",BJ33)))))+32*(AND(ISNUMBER(FIND("DESC",BJ33)),NOT(ISNUMBER(FIND("CAP",BJ33)))))+64*(OR(RIGHT(BJ33,5)="COUNT",RIGHT(BJ33,2)="CT"))+128*(ISNUMBER(FIND("BULK",BJ33)))+256*(ISNUMBER(FIND("SIZE",BJ33)))+512*(LEFT(BJ33,3)="CAP")+1024*(ISNUMBER(FIND("ALLERG",BJ33)))+2048*(OR(ISNUMBER(FIND("REMARK",BJ33)),ISNUMBER(FIND("COMMENT",BJ33))))+4096*(OR(ISNUMBER(FIND("QTY",BJ33)),ISNUMBER(FIND("QUANTITY",BJ33))))+8192*(AND(OR(ISNUMBER(FIND("COMPLETE",BJ33)),ISNUMBER(FIND("PCT",BJ33)),ISNUMBER(FIND("PERCENT",BJ33))),NOT(ISNUMBER(FIND("ACTUAL",BJ33))),LEN(BJ33)&lt;=16))+32768*(OR(ISNUMBER(FIND("DESIC",BJ33)),ISNUMBER(FIND("DESSIC",BJ33)))))</f>
        <v/>
      </c>
      <c r="BK168">
        <f>IF(BK33="",0,2*(OR(ISNUMBER(FIND("WORKCENTER",BK33)),AND(LEFT(BK33,4)="LINE",NOT(ISNUMBER(FIND("STATUS",BK33))))))+4*(OR(ISNUMBER(FIND("WORKORDER",BK33)),AND(LEFT(BK33,2)="WO",OR(ISNUMBER(FIND("NUM",BK33)),RIGHT(BK33,2)="NO"))))+8*(LEFT(BK33,3)="SEQ")+16*(AND(LEFT(BK33,4)="ITEM",NOT(ISNUMBER(FIND("DESC",BK33)))))+32*(AND(ISNUMBER(FIND("DESC",BK33)),NOT(ISNUMBER(FIND("CAP",BK33)))))+64*(OR(RIGHT(BK33,5)="COUNT",RIGHT(BK33,2)="CT"))+128*(ISNUMBER(FIND("BULK",BK33)))+256*(ISNUMBER(FIND("SIZE",BK33)))+512*(LEFT(BK33,3)="CAP")+1024*(ISNUMBER(FIND("ALLERG",BK33)))+2048*(OR(ISNUMBER(FIND("REMARK",BK33)),ISNUMBER(FIND("COMMENT",BK33))))+4096*(OR(ISNUMBER(FIND("QTY",BK33)),ISNUMBER(FIND("QUANTITY",BK33))))+8192*(AND(OR(ISNUMBER(FIND("COMPLETE",BK33)),ISNUMBER(FIND("PCT",BK33)),ISNUMBER(FIND("PERCENT",BK33))),NOT(ISNUMBER(FIND("ACTUAL",BK33))),LEN(BK33)&lt;=16))+32768*(OR(ISNUMBER(FIND("DESIC",BK33)),ISNUMBER(FIND("DESSIC",BK33)))))</f>
        <v/>
      </c>
      <c r="BL168">
        <f>IF(BL33="",0,2*(OR(ISNUMBER(FIND("WORKCENTER",BL33)),AND(LEFT(BL33,4)="LINE",NOT(ISNUMBER(FIND("STATUS",BL33))))))+4*(OR(ISNUMBER(FIND("WORKORDER",BL33)),AND(LEFT(BL33,2)="WO",OR(ISNUMBER(FIND("NUM",BL33)),RIGHT(BL33,2)="NO"))))+8*(LEFT(BL33,3)="SEQ")+16*(AND(LEFT(BL33,4)="ITEM",NOT(ISNUMBER(FIND("DESC",BL33)))))+32*(AND(ISNUMBER(FIND("DESC",BL33)),NOT(ISNUMBER(FIND("CAP",BL33)))))+64*(OR(RIGHT(BL33,5)="COUNT",RIGHT(BL33,2)="CT"))+128*(ISNUMBER(FIND("BULK",BL33)))+256*(ISNUMBER(FIND("SIZE",BL33)))+512*(LEFT(BL33,3)="CAP")+1024*(ISNUMBER(FIND("ALLERG",BL33)))+2048*(OR(ISNUMBER(FIND("REMARK",BL33)),ISNUMBER(FIND("COMMENT",BL33))))+4096*(OR(ISNUMBER(FIND("QTY",BL33)),ISNUMBER(FIND("QUANTITY",BL33))))+8192*(AND(OR(ISNUMBER(FIND("COMPLETE",BL33)),ISNUMBER(FIND("PCT",BL33)),ISNUMBER(FIND("PERCENT",BL33))),NOT(ISNUMBER(FIND("ACTUAL",BL33))),LEN(BL33)&lt;=16))+32768*(OR(ISNUMBER(FIND("DESIC",BL33)),ISNUMBER(FIND("DESSIC",BL33)))))</f>
        <v/>
      </c>
      <c r="BM168">
        <f>IF(BM33="",0,2*(OR(ISNUMBER(FIND("WORKCENTER",BM33)),AND(LEFT(BM33,4)="LINE",NOT(ISNUMBER(FIND("STATUS",BM33))))))+4*(OR(ISNUMBER(FIND("WORKORDER",BM33)),AND(LEFT(BM33,2)="WO",OR(ISNUMBER(FIND("NUM",BM33)),RIGHT(BM33,2)="NO"))))+8*(LEFT(BM33,3)="SEQ")+16*(AND(LEFT(BM33,4)="ITEM",NOT(ISNUMBER(FIND("DESC",BM33)))))+32*(AND(ISNUMBER(FIND("DESC",BM33)),NOT(ISNUMBER(FIND("CAP",BM33)))))+64*(OR(RIGHT(BM33,5)="COUNT",RIGHT(BM33,2)="CT"))+128*(ISNUMBER(FIND("BULK",BM33)))+256*(ISNUMBER(FIND("SIZE",BM33)))+512*(LEFT(BM33,3)="CAP")+1024*(ISNUMBER(FIND("ALLERG",BM33)))+2048*(OR(ISNUMBER(FIND("REMARK",BM33)),ISNUMBER(FIND("COMMENT",BM33))))+4096*(OR(ISNUMBER(FIND("QTY",BM33)),ISNUMBER(FIND("QUANTITY",BM33))))+8192*(AND(OR(ISNUMBER(FIND("COMPLETE",BM33)),ISNUMBER(FIND("PCT",BM33)),ISNUMBER(FIND("PERCENT",BM33))),NOT(ISNUMBER(FIND("ACTUAL",BM33))),LEN(BM33)&lt;=16))+32768*(OR(ISNUMBER(FIND("DESIC",BM33)),ISNUMBER(FIND("DESSIC",BM33)))))</f>
        <v/>
      </c>
      <c r="BN168">
        <f>IF(BN33="",0,2*(OR(ISNUMBER(FIND("WORKCENTER",BN33)),AND(LEFT(BN33,4)="LINE",NOT(ISNUMBER(FIND("STATUS",BN33))))))+4*(OR(ISNUMBER(FIND("WORKORDER",BN33)),AND(LEFT(BN33,2)="WO",OR(ISNUMBER(FIND("NUM",BN33)),RIGHT(BN33,2)="NO"))))+8*(LEFT(BN33,3)="SEQ")+16*(AND(LEFT(BN33,4)="ITEM",NOT(ISNUMBER(FIND("DESC",BN33)))))+32*(AND(ISNUMBER(FIND("DESC",BN33)),NOT(ISNUMBER(FIND("CAP",BN33)))))+64*(OR(RIGHT(BN33,5)="COUNT",RIGHT(BN33,2)="CT"))+128*(ISNUMBER(FIND("BULK",BN33)))+256*(ISNUMBER(FIND("SIZE",BN33)))+512*(LEFT(BN33,3)="CAP")+1024*(ISNUMBER(FIND("ALLERG",BN33)))+2048*(OR(ISNUMBER(FIND("REMARK",BN33)),ISNUMBER(FIND("COMMENT",BN33))))+4096*(OR(ISNUMBER(FIND("QTY",BN33)),ISNUMBER(FIND("QUANTITY",BN33))))+8192*(AND(OR(ISNUMBER(FIND("COMPLETE",BN33)),ISNUMBER(FIND("PCT",BN33)),ISNUMBER(FIND("PERCENT",BN33))),NOT(ISNUMBER(FIND("ACTUAL",BN33))),LEN(BN33)&lt;=16))+32768*(OR(ISNUMBER(FIND("DESIC",BN33)),ISNUMBER(FIND("DESSIC",BN33)))))</f>
        <v/>
      </c>
      <c r="BO168">
        <f>IF(BO33="",0,2*(OR(ISNUMBER(FIND("WORKCENTER",BO33)),AND(LEFT(BO33,4)="LINE",NOT(ISNUMBER(FIND("STATUS",BO33))))))+4*(OR(ISNUMBER(FIND("WORKORDER",BO33)),AND(LEFT(BO33,2)="WO",OR(ISNUMBER(FIND("NUM",BO33)),RIGHT(BO33,2)="NO"))))+8*(LEFT(BO33,3)="SEQ")+16*(AND(LEFT(BO33,4)="ITEM",NOT(ISNUMBER(FIND("DESC",BO33)))))+32*(AND(ISNUMBER(FIND("DESC",BO33)),NOT(ISNUMBER(FIND("CAP",BO33)))))+64*(OR(RIGHT(BO33,5)="COUNT",RIGHT(BO33,2)="CT"))+128*(ISNUMBER(FIND("BULK",BO33)))+256*(ISNUMBER(FIND("SIZE",BO33)))+512*(LEFT(BO33,3)="CAP")+1024*(ISNUMBER(FIND("ALLERG",BO33)))+2048*(OR(ISNUMBER(FIND("REMARK",BO33)),ISNUMBER(FIND("COMMENT",BO33))))+4096*(OR(ISNUMBER(FIND("QTY",BO33)),ISNUMBER(FIND("QUANTITY",BO33))))+8192*(AND(OR(ISNUMBER(FIND("COMPLETE",BO33)),ISNUMBER(FIND("PCT",BO33)),ISNUMBER(FIND("PERCENT",BO33))),NOT(ISNUMBER(FIND("ACTUAL",BO33))),LEN(BO33)&lt;=16))+32768*(OR(ISNUMBER(FIND("DESIC",BO33)),ISNUMBER(FIND("DESSIC",BO33)))))</f>
        <v/>
      </c>
      <c r="BP168">
        <f>IF(BP33="",0,2*(OR(ISNUMBER(FIND("WORKCENTER",BP33)),AND(LEFT(BP33,4)="LINE",NOT(ISNUMBER(FIND("STATUS",BP33))))))+4*(OR(ISNUMBER(FIND("WORKORDER",BP33)),AND(LEFT(BP33,2)="WO",OR(ISNUMBER(FIND("NUM",BP33)),RIGHT(BP33,2)="NO"))))+8*(LEFT(BP33,3)="SEQ")+16*(AND(LEFT(BP33,4)="ITEM",NOT(ISNUMBER(FIND("DESC",BP33)))))+32*(AND(ISNUMBER(FIND("DESC",BP33)),NOT(ISNUMBER(FIND("CAP",BP33)))))+64*(OR(RIGHT(BP33,5)="COUNT",RIGHT(BP33,2)="CT"))+128*(ISNUMBER(FIND("BULK",BP33)))+256*(ISNUMBER(FIND("SIZE",BP33)))+512*(LEFT(BP33,3)="CAP")+1024*(ISNUMBER(FIND("ALLERG",BP33)))+2048*(OR(ISNUMBER(FIND("REMARK",BP33)),ISNUMBER(FIND("COMMENT",BP33))))+4096*(OR(ISNUMBER(FIND("QTY",BP33)),ISNUMBER(FIND("QUANTITY",BP33))))+8192*(AND(OR(ISNUMBER(FIND("COMPLETE",BP33)),ISNUMBER(FIND("PCT",BP33)),ISNUMBER(FIND("PERCENT",BP33))),NOT(ISNUMBER(FIND("ACTUAL",BP33))),LEN(BP33)&lt;=16))+32768*(OR(ISNUMBER(FIND("DESIC",BP33)),ISNUMBER(FIND("DESSIC",BP33)))))</f>
        <v/>
      </c>
      <c r="BQ168">
        <f>IF(BQ33="",0,2*(OR(ISNUMBER(FIND("WORKCENTER",BQ33)),AND(LEFT(BQ33,4)="LINE",NOT(ISNUMBER(FIND("STATUS",BQ33))))))+4*(OR(ISNUMBER(FIND("WORKORDER",BQ33)),AND(LEFT(BQ33,2)="WO",OR(ISNUMBER(FIND("NUM",BQ33)),RIGHT(BQ33,2)="NO"))))+8*(LEFT(BQ33,3)="SEQ")+16*(AND(LEFT(BQ33,4)="ITEM",NOT(ISNUMBER(FIND("DESC",BQ33)))))+32*(AND(ISNUMBER(FIND("DESC",BQ33)),NOT(ISNUMBER(FIND("CAP",BQ33)))))+64*(OR(RIGHT(BQ33,5)="COUNT",RIGHT(BQ33,2)="CT"))+128*(ISNUMBER(FIND("BULK",BQ33)))+256*(ISNUMBER(FIND("SIZE",BQ33)))+512*(LEFT(BQ33,3)="CAP")+1024*(ISNUMBER(FIND("ALLERG",BQ33)))+2048*(OR(ISNUMBER(FIND("REMARK",BQ33)),ISNUMBER(FIND("COMMENT",BQ33))))+4096*(OR(ISNUMBER(FIND("QTY",BQ33)),ISNUMBER(FIND("QUANTITY",BQ33))))+8192*(AND(OR(ISNUMBER(FIND("COMPLETE",BQ33)),ISNUMBER(FIND("PCT",BQ33)),ISNUMBER(FIND("PERCENT",BQ33))),NOT(ISNUMBER(FIND("ACTUAL",BQ33))),LEN(BQ33)&lt;=16))+32768*(OR(ISNUMBER(FIND("DESIC",BQ33)),ISNUMBER(FIND("DESSIC",BQ33)))))</f>
        <v/>
      </c>
      <c r="BR168">
        <f>IF(BR33="",0,2*(OR(ISNUMBER(FIND("WORKCENTER",BR33)),AND(LEFT(BR33,4)="LINE",NOT(ISNUMBER(FIND("STATUS",BR33))))))+4*(OR(ISNUMBER(FIND("WORKORDER",BR33)),AND(LEFT(BR33,2)="WO",OR(ISNUMBER(FIND("NUM",BR33)),RIGHT(BR33,2)="NO"))))+8*(LEFT(BR33,3)="SEQ")+16*(AND(LEFT(BR33,4)="ITEM",NOT(ISNUMBER(FIND("DESC",BR33)))))+32*(AND(ISNUMBER(FIND("DESC",BR33)),NOT(ISNUMBER(FIND("CAP",BR33)))))+64*(OR(RIGHT(BR33,5)="COUNT",RIGHT(BR33,2)="CT"))+128*(ISNUMBER(FIND("BULK",BR33)))+256*(ISNUMBER(FIND("SIZE",BR33)))+512*(LEFT(BR33,3)="CAP")+1024*(ISNUMBER(FIND("ALLERG",BR33)))+2048*(OR(ISNUMBER(FIND("REMARK",BR33)),ISNUMBER(FIND("COMMENT",BR33))))+4096*(OR(ISNUMBER(FIND("QTY",BR33)),ISNUMBER(FIND("QUANTITY",BR33))))+8192*(AND(OR(ISNUMBER(FIND("COMPLETE",BR33)),ISNUMBER(FIND("PCT",BR33)),ISNUMBER(FIND("PERCENT",BR33))),NOT(ISNUMBER(FIND("ACTUAL",BR33))),LEN(BR33)&lt;=16))+32768*(OR(ISNUMBER(FIND("DESIC",BR33)),ISNUMBER(FIND("DESSIC",BR33)))))</f>
        <v/>
      </c>
      <c r="BS168">
        <f>IF(BS33="",0,2*(OR(ISNUMBER(FIND("WORKCENTER",BS33)),AND(LEFT(BS33,4)="LINE",NOT(ISNUMBER(FIND("STATUS",BS33))))))+4*(OR(ISNUMBER(FIND("WORKORDER",BS33)),AND(LEFT(BS33,2)="WO",OR(ISNUMBER(FIND("NUM",BS33)),RIGHT(BS33,2)="NO"))))+8*(LEFT(BS33,3)="SEQ")+16*(AND(LEFT(BS33,4)="ITEM",NOT(ISNUMBER(FIND("DESC",BS33)))))+32*(AND(ISNUMBER(FIND("DESC",BS33)),NOT(ISNUMBER(FIND("CAP",BS33)))))+64*(OR(RIGHT(BS33,5)="COUNT",RIGHT(BS33,2)="CT"))+128*(ISNUMBER(FIND("BULK",BS33)))+256*(ISNUMBER(FIND("SIZE",BS33)))+512*(LEFT(BS33,3)="CAP")+1024*(ISNUMBER(FIND("ALLERG",BS33)))+2048*(OR(ISNUMBER(FIND("REMARK",BS33)),ISNUMBER(FIND("COMMENT",BS33))))+4096*(OR(ISNUMBER(FIND("QTY",BS33)),ISNUMBER(FIND("QUANTITY",BS33))))+8192*(AND(OR(ISNUMBER(FIND("COMPLETE",BS33)),ISNUMBER(FIND("PCT",BS33)),ISNUMBER(FIND("PERCENT",BS33))),NOT(ISNUMBER(FIND("ACTUAL",BS33))),LEN(BS33)&lt;=16))+32768*(OR(ISNUMBER(FIND("DESIC",BS33)),ISNUMBER(FIND("DESSIC",BS33)))))</f>
        <v/>
      </c>
      <c r="BT168">
        <f>IF(BT33="",0,2*(OR(ISNUMBER(FIND("WORKCENTER",BT33)),AND(LEFT(BT33,4)="LINE",NOT(ISNUMBER(FIND("STATUS",BT33))))))+4*(OR(ISNUMBER(FIND("WORKORDER",BT33)),AND(LEFT(BT33,2)="WO",OR(ISNUMBER(FIND("NUM",BT33)),RIGHT(BT33,2)="NO"))))+8*(LEFT(BT33,3)="SEQ")+16*(AND(LEFT(BT33,4)="ITEM",NOT(ISNUMBER(FIND("DESC",BT33)))))+32*(AND(ISNUMBER(FIND("DESC",BT33)),NOT(ISNUMBER(FIND("CAP",BT33)))))+64*(OR(RIGHT(BT33,5)="COUNT",RIGHT(BT33,2)="CT"))+128*(ISNUMBER(FIND("BULK",BT33)))+256*(ISNUMBER(FIND("SIZE",BT33)))+512*(LEFT(BT33,3)="CAP")+1024*(ISNUMBER(FIND("ALLERG",BT33)))+2048*(OR(ISNUMBER(FIND("REMARK",BT33)),ISNUMBER(FIND("COMMENT",BT33))))+4096*(OR(ISNUMBER(FIND("QTY",BT33)),ISNUMBER(FIND("QUANTITY",BT33))))+8192*(AND(OR(ISNUMBER(FIND("COMPLETE",BT33)),ISNUMBER(FIND("PCT",BT33)),ISNUMBER(FIND("PERCENT",BT33))),NOT(ISNUMBER(FIND("ACTUAL",BT33))),LEN(BT33)&lt;=16))+32768*(OR(ISNUMBER(FIND("DESIC",BT33)),ISNUMBER(FIND("DESSIC",BT33)))))</f>
        <v/>
      </c>
      <c r="BU168">
        <f>IF(BU33="",0,2*(OR(ISNUMBER(FIND("WORKCENTER",BU33)),AND(LEFT(BU33,4)="LINE",NOT(ISNUMBER(FIND("STATUS",BU33))))))+4*(OR(ISNUMBER(FIND("WORKORDER",BU33)),AND(LEFT(BU33,2)="WO",OR(ISNUMBER(FIND("NUM",BU33)),RIGHT(BU33,2)="NO"))))+8*(LEFT(BU33,3)="SEQ")+16*(AND(LEFT(BU33,4)="ITEM",NOT(ISNUMBER(FIND("DESC",BU33)))))+32*(AND(ISNUMBER(FIND("DESC",BU33)),NOT(ISNUMBER(FIND("CAP",BU33)))))+64*(OR(RIGHT(BU33,5)="COUNT",RIGHT(BU33,2)="CT"))+128*(ISNUMBER(FIND("BULK",BU33)))+256*(ISNUMBER(FIND("SIZE",BU33)))+512*(LEFT(BU33,3)="CAP")+1024*(ISNUMBER(FIND("ALLERG",BU33)))+2048*(OR(ISNUMBER(FIND("REMARK",BU33)),ISNUMBER(FIND("COMMENT",BU33))))+4096*(OR(ISNUMBER(FIND("QTY",BU33)),ISNUMBER(FIND("QUANTITY",BU33))))+8192*(AND(OR(ISNUMBER(FIND("COMPLETE",BU33)),ISNUMBER(FIND("PCT",BU33)),ISNUMBER(FIND("PERCENT",BU33))),NOT(ISNUMBER(FIND("ACTUAL",BU33))),LEN(BU33)&lt;=16))+32768*(OR(ISNUMBER(FIND("DESIC",BU33)),ISNUMBER(FIND("DESSIC",BU33)))))</f>
        <v/>
      </c>
      <c r="BV168">
        <f>IF(BV33="",0,2*(OR(ISNUMBER(FIND("WORKCENTER",BV33)),AND(LEFT(BV33,4)="LINE",NOT(ISNUMBER(FIND("STATUS",BV33))))))+4*(OR(ISNUMBER(FIND("WORKORDER",BV33)),AND(LEFT(BV33,2)="WO",OR(ISNUMBER(FIND("NUM",BV33)),RIGHT(BV33,2)="NO"))))+8*(LEFT(BV33,3)="SEQ")+16*(AND(LEFT(BV33,4)="ITEM",NOT(ISNUMBER(FIND("DESC",BV33)))))+32*(AND(ISNUMBER(FIND("DESC",BV33)),NOT(ISNUMBER(FIND("CAP",BV33)))))+64*(OR(RIGHT(BV33,5)="COUNT",RIGHT(BV33,2)="CT"))+128*(ISNUMBER(FIND("BULK",BV33)))+256*(ISNUMBER(FIND("SIZE",BV33)))+512*(LEFT(BV33,3)="CAP")+1024*(ISNUMBER(FIND("ALLERG",BV33)))+2048*(OR(ISNUMBER(FIND("REMARK",BV33)),ISNUMBER(FIND("COMMENT",BV33))))+4096*(OR(ISNUMBER(FIND("QTY",BV33)),ISNUMBER(FIND("QUANTITY",BV33))))+8192*(AND(OR(ISNUMBER(FIND("COMPLETE",BV33)),ISNUMBER(FIND("PCT",BV33)),ISNUMBER(FIND("PERCENT",BV33))),NOT(ISNUMBER(FIND("ACTUAL",BV33))),LEN(BV33)&lt;=16))+32768*(OR(ISNUMBER(FIND("DESIC",BV33)),ISNUMBER(FIND("DESSIC",BV33)))))</f>
        <v/>
      </c>
      <c r="BW168">
        <f>IF(BW33="",0,2*(OR(ISNUMBER(FIND("WORKCENTER",BW33)),AND(LEFT(BW33,4)="LINE",NOT(ISNUMBER(FIND("STATUS",BW33))))))+4*(OR(ISNUMBER(FIND("WORKORDER",BW33)),AND(LEFT(BW33,2)="WO",OR(ISNUMBER(FIND("NUM",BW33)),RIGHT(BW33,2)="NO"))))+8*(LEFT(BW33,3)="SEQ")+16*(AND(LEFT(BW33,4)="ITEM",NOT(ISNUMBER(FIND("DESC",BW33)))))+32*(AND(ISNUMBER(FIND("DESC",BW33)),NOT(ISNUMBER(FIND("CAP",BW33)))))+64*(OR(RIGHT(BW33,5)="COUNT",RIGHT(BW33,2)="CT"))+128*(ISNUMBER(FIND("BULK",BW33)))+256*(ISNUMBER(FIND("SIZE",BW33)))+512*(LEFT(BW33,3)="CAP")+1024*(ISNUMBER(FIND("ALLERG",BW33)))+2048*(OR(ISNUMBER(FIND("REMARK",BW33)),ISNUMBER(FIND("COMMENT",BW33))))+4096*(OR(ISNUMBER(FIND("QTY",BW33)),ISNUMBER(FIND("QUANTITY",BW33))))+8192*(AND(OR(ISNUMBER(FIND("COMPLETE",BW33)),ISNUMBER(FIND("PCT",BW33)),ISNUMBER(FIND("PERCENT",BW33))),NOT(ISNUMBER(FIND("ACTUAL",BW33))),LEN(BW33)&lt;=16))+32768*(OR(ISNUMBER(FIND("DESIC",BW33)),ISNUMBER(FIND("DESSIC",BW33)))))</f>
        <v/>
      </c>
      <c r="BX168">
        <f>IF(BX33="",0,2*(OR(ISNUMBER(FIND("WORKCENTER",BX33)),AND(LEFT(BX33,4)="LINE",NOT(ISNUMBER(FIND("STATUS",BX33))))))+4*(OR(ISNUMBER(FIND("WORKORDER",BX33)),AND(LEFT(BX33,2)="WO",OR(ISNUMBER(FIND("NUM",BX33)),RIGHT(BX33,2)="NO"))))+8*(LEFT(BX33,3)="SEQ")+16*(AND(LEFT(BX33,4)="ITEM",NOT(ISNUMBER(FIND("DESC",BX33)))))+32*(AND(ISNUMBER(FIND("DESC",BX33)),NOT(ISNUMBER(FIND("CAP",BX33)))))+64*(OR(RIGHT(BX33,5)="COUNT",RIGHT(BX33,2)="CT"))+128*(ISNUMBER(FIND("BULK",BX33)))+256*(ISNUMBER(FIND("SIZE",BX33)))+512*(LEFT(BX33,3)="CAP")+1024*(ISNUMBER(FIND("ALLERG",BX33)))+2048*(OR(ISNUMBER(FIND("REMARK",BX33)),ISNUMBER(FIND("COMMENT",BX33))))+4096*(OR(ISNUMBER(FIND("QTY",BX33)),ISNUMBER(FIND("QUANTITY",BX33))))+8192*(AND(OR(ISNUMBER(FIND("COMPLETE",BX33)),ISNUMBER(FIND("PCT",BX33)),ISNUMBER(FIND("PERCENT",BX33))),NOT(ISNUMBER(FIND("ACTUAL",BX33))),LEN(BX33)&lt;=16))+32768*(OR(ISNUMBER(FIND("DESIC",BX33)),ISNUMBER(FIND("DESSIC",BX33)))))</f>
        <v/>
      </c>
      <c r="BY168">
        <f>IF(BY33="",0,2*(OR(ISNUMBER(FIND("WORKCENTER",BY33)),AND(LEFT(BY33,4)="LINE",NOT(ISNUMBER(FIND("STATUS",BY33))))))+4*(OR(ISNUMBER(FIND("WORKORDER",BY33)),AND(LEFT(BY33,2)="WO",OR(ISNUMBER(FIND("NUM",BY33)),RIGHT(BY33,2)="NO"))))+8*(LEFT(BY33,3)="SEQ")+16*(AND(LEFT(BY33,4)="ITEM",NOT(ISNUMBER(FIND("DESC",BY33)))))+32*(AND(ISNUMBER(FIND("DESC",BY33)),NOT(ISNUMBER(FIND("CAP",BY33)))))+64*(OR(RIGHT(BY33,5)="COUNT",RIGHT(BY33,2)="CT"))+128*(ISNUMBER(FIND("BULK",BY33)))+256*(ISNUMBER(FIND("SIZE",BY33)))+512*(LEFT(BY33,3)="CAP")+1024*(ISNUMBER(FIND("ALLERG",BY33)))+2048*(OR(ISNUMBER(FIND("REMARK",BY33)),ISNUMBER(FIND("COMMENT",BY33))))+4096*(OR(ISNUMBER(FIND("QTY",BY33)),ISNUMBER(FIND("QUANTITY",BY33))))+8192*(AND(OR(ISNUMBER(FIND("COMPLETE",BY33)),ISNUMBER(FIND("PCT",BY33)),ISNUMBER(FIND("PERCENT",BY33))),NOT(ISNUMBER(FIND("ACTUAL",BY33))),LEN(BY33)&lt;=16))+32768*(OR(ISNUMBER(FIND("DESIC",BY33)),ISNUMBER(FIND("DESSIC",BY33)))))</f>
        <v/>
      </c>
      <c r="BZ168">
        <f>IF(BZ33="",0,2*(OR(ISNUMBER(FIND("WORKCENTER",BZ33)),AND(LEFT(BZ33,4)="LINE",NOT(ISNUMBER(FIND("STATUS",BZ33))))))+4*(OR(ISNUMBER(FIND("WORKORDER",BZ33)),AND(LEFT(BZ33,2)="WO",OR(ISNUMBER(FIND("NUM",BZ33)),RIGHT(BZ33,2)="NO"))))+8*(LEFT(BZ33,3)="SEQ")+16*(AND(LEFT(BZ33,4)="ITEM",NOT(ISNUMBER(FIND("DESC",BZ33)))))+32*(AND(ISNUMBER(FIND("DESC",BZ33)),NOT(ISNUMBER(FIND("CAP",BZ33)))))+64*(OR(RIGHT(BZ33,5)="COUNT",RIGHT(BZ33,2)="CT"))+128*(ISNUMBER(FIND("BULK",BZ33)))+256*(ISNUMBER(FIND("SIZE",BZ33)))+512*(LEFT(BZ33,3)="CAP")+1024*(ISNUMBER(FIND("ALLERG",BZ33)))+2048*(OR(ISNUMBER(FIND("REMARK",BZ33)),ISNUMBER(FIND("COMMENT",BZ33))))+4096*(OR(ISNUMBER(FIND("QTY",BZ33)),ISNUMBER(FIND("QUANTITY",BZ33))))+8192*(AND(OR(ISNUMBER(FIND("COMPLETE",BZ33)),ISNUMBER(FIND("PCT",BZ33)),ISNUMBER(FIND("PERCENT",BZ33))),NOT(ISNUMBER(FIND("ACTUAL",BZ33))),LEN(BZ33)&lt;=16))+32768*(OR(ISNUMBER(FIND("DESIC",BZ33)),ISNUMBER(FIND("DESSIC",BZ33)))))</f>
        <v/>
      </c>
      <c r="CA168">
        <f>IF(CA33="",0,2*(OR(ISNUMBER(FIND("WORKCENTER",CA33)),AND(LEFT(CA33,4)="LINE",NOT(ISNUMBER(FIND("STATUS",CA33))))))+4*(OR(ISNUMBER(FIND("WORKORDER",CA33)),AND(LEFT(CA33,2)="WO",OR(ISNUMBER(FIND("NUM",CA33)),RIGHT(CA33,2)="NO"))))+8*(LEFT(CA33,3)="SEQ")+16*(AND(LEFT(CA33,4)="ITEM",NOT(ISNUMBER(FIND("DESC",CA33)))))+32*(AND(ISNUMBER(FIND("DESC",CA33)),NOT(ISNUMBER(FIND("CAP",CA33)))))+64*(OR(RIGHT(CA33,5)="COUNT",RIGHT(CA33,2)="CT"))+128*(ISNUMBER(FIND("BULK",CA33)))+256*(ISNUMBER(FIND("SIZE",CA33)))+512*(LEFT(CA33,3)="CAP")+1024*(ISNUMBER(FIND("ALLERG",CA33)))+2048*(OR(ISNUMBER(FIND("REMARK",CA33)),ISNUMBER(FIND("COMMENT",CA33))))+4096*(OR(ISNUMBER(FIND("QTY",CA33)),ISNUMBER(FIND("QUANTITY",CA33))))+8192*(AND(OR(ISNUMBER(FIND("COMPLETE",CA33)),ISNUMBER(FIND("PCT",CA33)),ISNUMBER(FIND("PERCENT",CA33))),NOT(ISNUMBER(FIND("ACTUAL",CA33))),LEN(CA33)&lt;=16))+32768*(OR(ISNUMBER(FIND("DESIC",CA33)),ISNUMBER(FIND("DESSIC",CA33)))))</f>
        <v/>
      </c>
      <c r="CB168">
        <f>IF(CB33="",0,2*(OR(ISNUMBER(FIND("WORKCENTER",CB33)),AND(LEFT(CB33,4)="LINE",NOT(ISNUMBER(FIND("STATUS",CB33))))))+4*(OR(ISNUMBER(FIND("WORKORDER",CB33)),AND(LEFT(CB33,2)="WO",OR(ISNUMBER(FIND("NUM",CB33)),RIGHT(CB33,2)="NO"))))+8*(LEFT(CB33,3)="SEQ")+16*(AND(LEFT(CB33,4)="ITEM",NOT(ISNUMBER(FIND("DESC",CB33)))))+32*(AND(ISNUMBER(FIND("DESC",CB33)),NOT(ISNUMBER(FIND("CAP",CB33)))))+64*(OR(RIGHT(CB33,5)="COUNT",RIGHT(CB33,2)="CT"))+128*(ISNUMBER(FIND("BULK",CB33)))+256*(ISNUMBER(FIND("SIZE",CB33)))+512*(LEFT(CB33,3)="CAP")+1024*(ISNUMBER(FIND("ALLERG",CB33)))+2048*(OR(ISNUMBER(FIND("REMARK",CB33)),ISNUMBER(FIND("COMMENT",CB33))))+4096*(OR(ISNUMBER(FIND("QTY",CB33)),ISNUMBER(FIND("QUANTITY",CB33))))+8192*(AND(OR(ISNUMBER(FIND("COMPLETE",CB33)),ISNUMBER(FIND("PCT",CB33)),ISNUMBER(FIND("PERCENT",CB33))),NOT(ISNUMBER(FIND("ACTUAL",CB33))),LEN(CB33)&lt;=16))+32768*(OR(ISNUMBER(FIND("DESIC",CB33)),ISNUMBER(FIND("DESSIC",CB33)))))</f>
        <v/>
      </c>
      <c r="CC168">
        <f>IF(CC33="",0,2*(OR(ISNUMBER(FIND("WORKCENTER",CC33)),AND(LEFT(CC33,4)="LINE",NOT(ISNUMBER(FIND("STATUS",CC33))))))+4*(OR(ISNUMBER(FIND("WORKORDER",CC33)),AND(LEFT(CC33,2)="WO",OR(ISNUMBER(FIND("NUM",CC33)),RIGHT(CC33,2)="NO"))))+8*(LEFT(CC33,3)="SEQ")+16*(AND(LEFT(CC33,4)="ITEM",NOT(ISNUMBER(FIND("DESC",CC33)))))+32*(AND(ISNUMBER(FIND("DESC",CC33)),NOT(ISNUMBER(FIND("CAP",CC33)))))+64*(OR(RIGHT(CC33,5)="COUNT",RIGHT(CC33,2)="CT"))+128*(ISNUMBER(FIND("BULK",CC33)))+256*(ISNUMBER(FIND("SIZE",CC33)))+512*(LEFT(CC33,3)="CAP")+1024*(ISNUMBER(FIND("ALLERG",CC33)))+2048*(OR(ISNUMBER(FIND("REMARK",CC33)),ISNUMBER(FIND("COMMENT",CC33))))+4096*(OR(ISNUMBER(FIND("QTY",CC33)),ISNUMBER(FIND("QUANTITY",CC33))))+8192*(AND(OR(ISNUMBER(FIND("COMPLETE",CC33)),ISNUMBER(FIND("PCT",CC33)),ISNUMBER(FIND("PERCENT",CC33))),NOT(ISNUMBER(FIND("ACTUAL",CC33))),LEN(CC33)&lt;=16))+32768*(OR(ISNUMBER(FIND("DESIC",CC33)),ISNUMBER(FIND("DESSIC",CC33)))))</f>
        <v/>
      </c>
      <c r="CD168">
        <f>IF(CD33="",0,2*(OR(ISNUMBER(FIND("WORKCENTER",CD33)),AND(LEFT(CD33,4)="LINE",NOT(ISNUMBER(FIND("STATUS",CD33))))))+4*(OR(ISNUMBER(FIND("WORKORDER",CD33)),AND(LEFT(CD33,2)="WO",OR(ISNUMBER(FIND("NUM",CD33)),RIGHT(CD33,2)="NO"))))+8*(LEFT(CD33,3)="SEQ")+16*(AND(LEFT(CD33,4)="ITEM",NOT(ISNUMBER(FIND("DESC",CD33)))))+32*(AND(ISNUMBER(FIND("DESC",CD33)),NOT(ISNUMBER(FIND("CAP",CD33)))))+64*(OR(RIGHT(CD33,5)="COUNT",RIGHT(CD33,2)="CT"))+128*(ISNUMBER(FIND("BULK",CD33)))+256*(ISNUMBER(FIND("SIZE",CD33)))+512*(LEFT(CD33,3)="CAP")+1024*(ISNUMBER(FIND("ALLERG",CD33)))+2048*(OR(ISNUMBER(FIND("REMARK",CD33)),ISNUMBER(FIND("COMMENT",CD33))))+4096*(OR(ISNUMBER(FIND("QTY",CD33)),ISNUMBER(FIND("QUANTITY",CD33))))+8192*(AND(OR(ISNUMBER(FIND("COMPLETE",CD33)),ISNUMBER(FIND("PCT",CD33)),ISNUMBER(FIND("PERCENT",CD33))),NOT(ISNUMBER(FIND("ACTUAL",CD33))),LEN(CD33)&lt;=16))+32768*(OR(ISNUMBER(FIND("DESIC",CD33)),ISNUMBER(FIND("DESSIC",CD33)))))</f>
        <v/>
      </c>
      <c r="CE168">
        <f>IF(CE33="",0,2*(OR(ISNUMBER(FIND("WORKCENTER",CE33)),AND(LEFT(CE33,4)="LINE",NOT(ISNUMBER(FIND("STATUS",CE33))))))+4*(OR(ISNUMBER(FIND("WORKORDER",CE33)),AND(LEFT(CE33,2)="WO",OR(ISNUMBER(FIND("NUM",CE33)),RIGHT(CE33,2)="NO"))))+8*(LEFT(CE33,3)="SEQ")+16*(AND(LEFT(CE33,4)="ITEM",NOT(ISNUMBER(FIND("DESC",CE33)))))+32*(AND(ISNUMBER(FIND("DESC",CE33)),NOT(ISNUMBER(FIND("CAP",CE33)))))+64*(OR(RIGHT(CE33,5)="COUNT",RIGHT(CE33,2)="CT"))+128*(ISNUMBER(FIND("BULK",CE33)))+256*(ISNUMBER(FIND("SIZE",CE33)))+512*(LEFT(CE33,3)="CAP")+1024*(ISNUMBER(FIND("ALLERG",CE33)))+2048*(OR(ISNUMBER(FIND("REMARK",CE33)),ISNUMBER(FIND("COMMENT",CE33))))+4096*(OR(ISNUMBER(FIND("QTY",CE33)),ISNUMBER(FIND("QUANTITY",CE33))))+8192*(AND(OR(ISNUMBER(FIND("COMPLETE",CE33)),ISNUMBER(FIND("PCT",CE33)),ISNUMBER(FIND("PERCENT",CE33))),NOT(ISNUMBER(FIND("ACTUAL",CE33))),LEN(CE33)&lt;=16))+32768*(OR(ISNUMBER(FIND("DESIC",CE33)),ISNUMBER(FIND("DESSIC",CE33)))))</f>
        <v/>
      </c>
      <c r="CF168">
        <f>IF(CF33="",0,2*(OR(ISNUMBER(FIND("WORKCENTER",CF33)),AND(LEFT(CF33,4)="LINE",NOT(ISNUMBER(FIND("STATUS",CF33))))))+4*(OR(ISNUMBER(FIND("WORKORDER",CF33)),AND(LEFT(CF33,2)="WO",OR(ISNUMBER(FIND("NUM",CF33)),RIGHT(CF33,2)="NO"))))+8*(LEFT(CF33,3)="SEQ")+16*(AND(LEFT(CF33,4)="ITEM",NOT(ISNUMBER(FIND("DESC",CF33)))))+32*(AND(ISNUMBER(FIND("DESC",CF33)),NOT(ISNUMBER(FIND("CAP",CF33)))))+64*(OR(RIGHT(CF33,5)="COUNT",RIGHT(CF33,2)="CT"))+128*(ISNUMBER(FIND("BULK",CF33)))+256*(ISNUMBER(FIND("SIZE",CF33)))+512*(LEFT(CF33,3)="CAP")+1024*(ISNUMBER(FIND("ALLERG",CF33)))+2048*(OR(ISNUMBER(FIND("REMARK",CF33)),ISNUMBER(FIND("COMMENT",CF33))))+4096*(OR(ISNUMBER(FIND("QTY",CF33)),ISNUMBER(FIND("QUANTITY",CF33))))+8192*(AND(OR(ISNUMBER(FIND("COMPLETE",CF33)),ISNUMBER(FIND("PCT",CF33)),ISNUMBER(FIND("PERCENT",CF33))),NOT(ISNUMBER(FIND("ACTUAL",CF33))),LEN(CF33)&lt;=16))+32768*(OR(ISNUMBER(FIND("DESIC",CF33)),ISNUMBER(FIND("DESSIC",CF33)))))</f>
        <v/>
      </c>
      <c r="DA168" t="n">
        <v>164</v>
      </c>
      <c r="DB168">
        <f>IF($B$37=0,"",IFERROR(TRIM(SUBSTITUTE(SUBSTITUTE(SUBSTITUTE(SUBSTITUTE(INDEX(PASTE_ALL,164,$B$37)," "," "),CHAR(9)," "),CHAR(10)," "),CHAR(13)," ")),""))</f>
        <v/>
      </c>
      <c r="DC168">
        <f>IF(AND(164&gt;HEADER_ROW,UPPER(DB168)="LEGEND"),1,0)</f>
        <v/>
      </c>
      <c r="DE168" t="n">
        <v>164</v>
      </c>
      <c r="DF168">
        <f>HEADER_ROW+$DE168</f>
        <v/>
      </c>
      <c r="DG168">
        <f>IF(AND($DF168&lt;=1000,$DF168&lt;$B$8),1,0)</f>
        <v/>
      </c>
      <c r="DH168">
        <f>IF($DG168=1,IFERROR(INDEX($DB$5:$DB$1004,$DF168),""),"")</f>
        <v/>
      </c>
      <c r="DI168">
        <f>IF(AND($DG168=1,$DH168&lt;&gt;""),IFERROR(SUBSTITUTE(SUBSTITUTE(TRIM(SUBSTITUTE(SUBSTITUTE(SUBSTITUTE(SUBSTITUTE(IFERROR(INDEX(PASTE_ALL,$DF168,1)&amp;"","")&amp;"␟"&amp;IFERROR(INDEX(PASTE_ALL,$DF168,2)&amp;"","")&amp;"␟"&amp;IFERROR(INDEX(PASTE_ALL,$DF168,3)&amp;"","")&amp;"␟"&amp;IFERROR(INDEX(PASTE_ALL,$DF168,4)&amp;"","")&amp;"␟"&amp;IFERROR(INDEX(PASTE_ALL,$DF168,5)&amp;"","")&amp;"␟"&amp;IFERROR(INDEX(PASTE_ALL,$DF168,6)&amp;"","")&amp;"␟"&amp;IFERROR(INDEX(PASTE_ALL,$DF168,7)&amp;"","")&amp;"␟"&amp;IFERROR(INDEX(PASTE_ALL,$DF168,8)&amp;"","")&amp;"␟"&amp;IFERROR(INDEX(PASTE_ALL,$DF168,9)&amp;"","")&amp;"␟"&amp;IFERROR(INDEX(PASTE_ALL,$DF168,10)&amp;"","")&amp;"␟"&amp;IFERROR(INDEX(PASTE_ALL,$DF168,11)&amp;"","")&amp;"␟"&amp;IFERROR(INDEX(PASTE_ALL,$DF168,12)&amp;"","")&amp;"␟"&amp;IFERROR(INDEX(PASTE_ALL,$DF168,13)&amp;"","")&amp;"␟"&amp;IFERROR(INDEX(PASTE_ALL,$DF168,14)&amp;"","")&amp;"␟"&amp;IFERROR(INDEX(PASTE_ALL,$DF168,15)&amp;"","")&amp;"␟"&amp;IFERROR(INDEX(PASTE_ALL,$DF168,16)&amp;"","")&amp;"␟"&amp;IFERROR(INDEX(PASTE_ALL,$DF168,17)&amp;"","")&amp;"␟"&amp;IFERROR(INDEX(PASTE_ALL,$DF168,18)&amp;"","")&amp;"␟"&amp;IFERROR(INDEX(PASTE_ALL,$DF168,19)&amp;"","")&amp;"␟"&amp;IFERROR(INDEX(PASTE_ALL,$DF168,20)&amp;"","")&amp;"␟"&amp;IFERROR(INDEX(PASTE_ALL,$DF168,21)&amp;"","")&amp;"␟"&amp;IFERROR(INDEX(PASTE_ALL,$DF168,22)&amp;"","")&amp;"␟"&amp;IFERROR(INDEX(PASTE_ALL,$DF168,23)&amp;"","")&amp;"␟"&amp;IFERROR(INDEX(PASTE_ALL,$DF168,24)&amp;"","")&amp;"␟"&amp;IFERROR(INDEX(PASTE_ALL,$DF168,25)&amp;"","")&amp;"␟"&amp;IFERROR(INDEX(PASTE_ALL,$DF168,26)&amp;"","")&amp;"␟"&amp;IFERROR(INDEX(PASTE_ALL,$DF168,27)&amp;"","")&amp;"␟"&amp;IFERROR(INDEX(PASTE_ALL,$DF168,28)&amp;"","")&amp;"␟"&amp;IFERROR(INDEX(PASTE_ALL,$DF168,29)&amp;"","")&amp;"␟"&amp;IFERROR(INDEX(PASTE_ALL,$DF168,30)&amp;"","")&amp;"␟"&amp;IFERROR(INDEX(PASTE_ALL,$DF168,31)&amp;"","")&amp;"␟"&amp;IFERROR(INDEX(PASTE_ALL,$DF168,32)&amp;"","")&amp;"␟"&amp;IFERROR(INDEX(PASTE_ALL,$DF168,33)&amp;"","")&amp;"␟"&amp;IFERROR(INDEX(PASTE_ALL,$DF168,34)&amp;"","")&amp;"␟"&amp;IFERROR(INDEX(PASTE_ALL,$DF168,35)&amp;"","")&amp;"␟"&amp;IFERROR(INDEX(PASTE_ALL,$DF168,36)&amp;"","")&amp;"␟"&amp;IFERROR(INDEX(PASTE_ALL,$DF168,37)&amp;"","")&amp;"␟"&amp;IFERROR(INDEX(PASTE_ALL,$DF168,38)&amp;"","")&amp;"␟"&amp;IFERROR(INDEX(PASTE_ALL,$DF168,39)&amp;"","")&amp;"␟"&amp;IFERROR(INDEX(PASTE_ALL,$DF168,40)&amp;"","")&amp;"␟"&amp;IFERROR(INDEX(PASTE_ALL,$DF168,41)&amp;"","")&amp;"␟"&amp;IFERROR(INDEX(PASTE_ALL,$DF168,42)&amp;"","")&amp;"␟"&amp;IFERROR(INDEX(PASTE_ALL,$DF168,43)&amp;"","")&amp;"␟"&amp;IFERROR(INDEX(PASTE_ALL,$DF168,44)&amp;"","")&amp;"␟"&amp;IFERROR(INDEX(PASTE_ALL,$DF168,45)&amp;"","")&amp;"␟"&amp;IFERROR(INDEX(PASTE_ALL,$DF168,46)&amp;"","")&amp;"␟"&amp;IFERROR(INDEX(PASTE_ALL,$DF168,47)&amp;"","")&amp;"␟"&amp;IFERROR(INDEX(PASTE_ALL,$DF168,48)&amp;"","")&amp;"␟"&amp;IFERROR(INDEX(PASTE_ALL,$DF168,49)&amp;"","")&amp;"␟"&amp;IFERROR(INDEX(PASTE_ALL,$DF168,50)&amp;"","")&amp;"␟"&amp;IFERROR(INDEX(PASTE_ALL,$DF168,51)&amp;"","")&amp;"␟"&amp;IFERROR(INDEX(PASTE_ALL,$DF168,52)&amp;"","")&amp;"␟"&amp;IFERROR(INDEX(PASTE_ALL,$DF168,53)&amp;"","")&amp;"␟"&amp;IFERROR(INDEX(PASTE_ALL,$DF168,54)&amp;"","")&amp;"␟"&amp;IFERROR(INDEX(PASTE_ALL,$DF168,55)&amp;"","")&amp;"␟"&amp;IFERROR(INDEX(PASTE_ALL,$DF168,56)&amp;"","")&amp;"␟"&amp;IFERROR(INDEX(PASTE_ALL,$DF168,57)&amp;"","")&amp;"␟"&amp;IFERROR(INDEX(PASTE_ALL,$DF168,58)&amp;"","")&amp;"␟"&amp;IFERROR(INDEX(PASTE_ALL,$DF168,59)&amp;"","")&amp;"␟"&amp;IFERROR(INDEX(PASTE_ALL,$DF168,60)&amp;"","")," "," "),CHAR(9)," "),CHAR(10)," "),CHAR(13)," "))," ␟","␟"),"␟ ","␟"),"#"&amp;$DE168),"")</f>
        <v/>
      </c>
      <c r="DJ168">
        <f>IF($DI168="",0,IF(SUMPRODUCT(--EXACT($DI$4:DI167,$DI168))&gt;0,1,0))</f>
        <v/>
      </c>
      <c r="DK168">
        <f>IF(AND($DI168&lt;&gt;"",$DJ168=0),1,0)</f>
        <v/>
      </c>
      <c r="DL168">
        <f>DL167+$DK168</f>
        <v/>
      </c>
      <c r="DM168">
        <f>IF(AND($DK168=1,$DL168&lt;=600),1,0)</f>
        <v/>
      </c>
      <c r="DN168">
        <f>IF($DM168=0,"",IF($L$6=0,"",IFERROR(IF(ISNUMBER(INDEX(PASTE_ALL,$DF168,$L$6)),INDEX(PASTE_ALL,$DF168,$L$6),TRIM(SUBSTITUTE(SUBSTITUTE(SUBSTITUTE(SUBSTITUTE(INDEX(PASTE_ALL,$DF168,$L$6)," "," "),CHAR(9)," "),CHAR(10)," "),CHAR(13)," "))),"")))</f>
        <v/>
      </c>
      <c r="DO168">
        <f>IF($DM168=0,"",IF($L$7=0,"",IFERROR(IF(ISNUMBER(INDEX(PASTE_ALL,$DF168,$L$7)),INDEX(PASTE_ALL,$DF168,$L$7),TRIM(SUBSTITUTE(SUBSTITUTE(SUBSTITUTE(SUBSTITUTE(INDEX(PASTE_ALL,$DF168,$L$7)," "," "),CHAR(9)," "),CHAR(10)," "),CHAR(13)," "))),"")))</f>
        <v/>
      </c>
      <c r="DP168">
        <f>IF($DM168=0,"",IF($L$8=0,"",IFERROR(IF(ISNUMBER(INDEX(PASTE_ALL,$DF168,$L$8)),INDEX(PASTE_ALL,$DF168,$L$8),TRIM(SUBSTITUTE(SUBSTITUTE(SUBSTITUTE(SUBSTITUTE(INDEX(PASTE_ALL,$DF168,$L$8)," "," "),CHAR(9)," "),CHAR(10)," "),CHAR(13)," "))),"")))</f>
        <v/>
      </c>
      <c r="DQ168">
        <f>IF($DM168=0,"",IF($L$9=0,"",IFERROR(IF(ISNUMBER(INDEX(PASTE_ALL,$DF168,$L$9)),INDEX(PASTE_ALL,$DF168,$L$9),TRIM(SUBSTITUTE(SUBSTITUTE(SUBSTITUTE(SUBSTITUTE(INDEX(PASTE_ALL,$DF168,$L$9)," "," "),CHAR(9)," "),CHAR(10)," "),CHAR(13)," "))),"")))</f>
        <v/>
      </c>
      <c r="DR168">
        <f>IF($DM168=0,"",IF($L$10=0,"",IFERROR(IF(ISNUMBER(INDEX(PASTE_ALL,$DF168,$L$10)),INDEX(PASTE_ALL,$DF168,$L$10),TRIM(SUBSTITUTE(SUBSTITUTE(SUBSTITUTE(SUBSTITUTE(INDEX(PASTE_ALL,$DF168,$L$10)," "," "),CHAR(9)," "),CHAR(10)," "),CHAR(13)," "))),"")))</f>
        <v/>
      </c>
      <c r="DS168">
        <f>IF($DM168=0,"",IF($L$11=0,"",IFERROR(IF(ISNUMBER(INDEX(PASTE_ALL,$DF168,$L$11)),INDEX(PASTE_ALL,$DF168,$L$11),TRIM(SUBSTITUTE(SUBSTITUTE(SUBSTITUTE(SUBSTITUTE(INDEX(PASTE_ALL,$DF168,$L$11)," "," "),CHAR(9)," "),CHAR(10)," "),CHAR(13)," "))),"")))</f>
        <v/>
      </c>
      <c r="DT168">
        <f>IF($DM168=0,"",IF($L$12=0,"",IFERROR(IF(ISNUMBER(INDEX(PASTE_ALL,$DF168,$L$12)),INDEX(PASTE_ALL,$DF168,$L$12),TRIM(SUBSTITUTE(SUBSTITUTE(SUBSTITUTE(SUBSTITUTE(INDEX(PASTE_ALL,$DF168,$L$12)," "," "),CHAR(9)," "),CHAR(10)," "),CHAR(13)," "))),"")))</f>
        <v/>
      </c>
      <c r="DU168">
        <f>IF($DM168=0,"",IF($L$13=0,"",IFERROR(IF(ISNUMBER(INDEX(PASTE_ALL,$DF168,$L$13)),INDEX(PASTE_ALL,$DF168,$L$13),TRIM(SUBSTITUTE(SUBSTITUTE(SUBSTITUTE(SUBSTITUTE(INDEX(PASTE_ALL,$DF168,$L$13)," "," "),CHAR(9)," "),CHAR(10)," "),CHAR(13)," "))),"")))</f>
        <v/>
      </c>
      <c r="DV168">
        <f>IF($DM168=0,"",IF($L$14=0,"",IFERROR(IF(ISNUMBER(INDEX(PASTE_ALL,$DF168,$L$14)),INDEX(PASTE_ALL,$DF168,$L$14),TRIM(SUBSTITUTE(SUBSTITUTE(SUBSTITUTE(SUBSTITUTE(INDEX(PASTE_ALL,$DF168,$L$14)," "," "),CHAR(9)," "),CHAR(10)," "),CHAR(13)," "))),"")))</f>
        <v/>
      </c>
      <c r="DW168">
        <f>IF($DM168=0,"",IF($L$15=0,"",IFERROR(IF(ISNUMBER(INDEX(PASTE_ALL,$DF168,$L$15)),INDEX(PASTE_ALL,$DF168,$L$15),IF(SUMPRODUCT(--ISNUMBER(FIND({"A","B","C","D","E","F","G","H","I","J","K","L","M","N","O","P","Q","R","S","T","U","V","W","X","Y","Z","0","1","2","3","4","5","6","7","8","9"},UPPER(TRIM(SUBSTITUTE(SUBSTITUTE(SUBSTITUTE(SUBSTITUTE(INDEX(PASTE_ALL,$DF168,$L$15)," "," "),CHAR(9)," "),CHAR(10)," "),CHAR(13)," "))))))&gt;0,TRIM(SUBSTITUTE(SUBSTITUTE(SUBSTITUTE(SUBSTITUTE(INDEX(PASTE_ALL,$DF168,$L$15)," "," "),CHAR(9)," "),CHAR(10)," "),CHAR(13)," ")),"")),"")))</f>
        <v/>
      </c>
      <c r="DX168">
        <f>IF($DM168=0,"",IF($L$16=0,"",IFERROR(IF(ISNUMBER(INDEX(PASTE_ALL,$DF168,$L$16)),INDEX(PASTE_ALL,$DF168,$L$16),SUBSTITUTE(SUBSTITUTE(TRIM(SUBSTITUTE(SUBSTITUTE(SUBSTITUTE(SUBSTITUTE(INDEX(PASTE_ALL,$DF168,$L$16)," "," "),CHAR(9)," "),CHAR(10)," "),CHAR(13)," ")),",",""),"%","")),"")))</f>
        <v/>
      </c>
      <c r="DY168">
        <f>IF($DM168=0,"",IFERROR(IF(ISNUMBER($DX168),$DX168,IF($DX168="","",IF(TRIM($DX168)="",0,IF(AND(AND(SUBSTITUTE(SUBSTITUTE(SUBSTITUTE(SUBSTITUTE(SUBSTITUTE(SUBSTITUTE(SUBSTITUTE(SUBSTITUTE(SUBSTITUTE(SUBSTITUTE(SUBSTITUTE(SUBSTITUTE(SUBSTITUTE(SUBSTITUTE(UPPER(TRIM($DX168)),"0",""),"1",""),"2",""),"3",""),"4",""),"5",""),"6",""),"7",""),"8",""),"9",""),".",""),"+",""),"-",""),"E","")="",LEN(SUBSTITUTE(SUBSTITUTE(MID(UPPER(TRIM($DX168)),1+OR(LEFT(UPPER(TRIM($DX168)),1)="+",LEFT(UPPER(TRIM($DX168)),1)="-"),999),"E+","E"),"E-","E"))=LEN(SUBSTITUTE(SUBSTITUTE(SUBSTITUTE(SUBSTITUTE(MID(UPPER(TRIM($DX168)),1+OR(LEFT(UPPER(TRIM($DX168)),1)="+",LEFT(UPPER(TRIM($DX168)),1)="-"),999),"E+","E"),"E-","E"),"+",""),"-","")),LEN(UPPER(TRIM($DX168)))-LEN(SUBSTITUTE(UPPER(TRIM($DX168)),"E",""))&lt;2,LEN(UPPER(TRIM($DX168)))-LEN(SUBSTITUTE(UPPER(TRIM($DX168)),".",""))&lt;2,IFERROR(FIND(".",UPPER(TRIM($DX168))),0)&lt;IFERROR(FIND("E",UPPER(TRIM($DX168))),999)),ISNUMBER(VALUE(TRIM($DX168)))),VALUE(TRIM($DX168)),"")))),""))</f>
        <v/>
      </c>
      <c r="DZ168">
        <f>IF($DM168=0,"",IF($L$17=0,"",IFERROR(IF(ISNUMBER(INDEX(PASTE_ALL,$DF168,$L$17)),INDEX(PASTE_ALL,$DF168,$L$17),SUBSTITUTE(SUBSTITUTE(TRIM(SUBSTITUTE(SUBSTITUTE(SUBSTITUTE(SUBSTITUTE(INDEX(PASTE_ALL,$DF168,$L$17)," "," "),CHAR(9)," "),CHAR(10)," "),CHAR(13)," ")),",",""),"%","")),"")))</f>
        <v/>
      </c>
      <c r="EA168">
        <f>IF($DM168=0,"",IFERROR(IF(ISNUMBER($DZ168),$DZ168,IF($DZ168="","",IF(TRIM($DZ168)="",0,IF(AND(AND(SUBSTITUTE(SUBSTITUTE(SUBSTITUTE(SUBSTITUTE(SUBSTITUTE(SUBSTITUTE(SUBSTITUTE(SUBSTITUTE(SUBSTITUTE(SUBSTITUTE(SUBSTITUTE(SUBSTITUTE(SUBSTITUTE(SUBSTITUTE(UPPER(TRIM($DZ168)),"0",""),"1",""),"2",""),"3",""),"4",""),"5",""),"6",""),"7",""),"8",""),"9",""),".",""),"+",""),"-",""),"E","")="",LEN(SUBSTITUTE(SUBSTITUTE(MID(UPPER(TRIM($DZ168)),1+OR(LEFT(UPPER(TRIM($DZ168)),1)="+",LEFT(UPPER(TRIM($DZ168)),1)="-"),999),"E+","E"),"E-","E"))=LEN(SUBSTITUTE(SUBSTITUTE(SUBSTITUTE(SUBSTITUTE(MID(UPPER(TRIM($DZ168)),1+OR(LEFT(UPPER(TRIM($DZ168)),1)="+",LEFT(UPPER(TRIM($DZ168)),1)="-"),999),"E+","E"),"E-","E"),"+",""),"-","")),LEN(UPPER(TRIM($DZ168)))-LEN(SUBSTITUTE(UPPER(TRIM($DZ168)),"E",""))&lt;2,LEN(UPPER(TRIM($DZ168)))-LEN(SUBSTITUTE(UPPER(TRIM($DZ168)),".",""))&lt;2,IFERROR(FIND(".",UPPER(TRIM($DZ168))),0)&lt;IFERROR(FIND("E",UPPER(TRIM($DZ168))),999)),ISNUMBER(VALUE(TRIM($DZ168)))),VALUE(TRIM($DZ168)),"")))),""))</f>
        <v/>
      </c>
      <c r="EB168">
        <f>IF($DM168=0,"",IF($L$18=0,"",IFERROR(IF(UPPER(TRIM(SUBSTITUTE(SUBSTITUTE(SUBSTITUTE(SUBSTITUTE(INDEX(PASTE_ALL,$DF168,$L$18)," "," "),CHAR(9)," "),CHAR(10)," "),CHAR(13)," ")))="READY","Ready",IF(UPPER(TRIM(SUBSTITUTE(SUBSTITUTE(SUBSTITUTE(SUBSTITUTE(INDEX(PASTE_ALL,$DF168,$L$18)," "," "),CHAR(9)," "),CHAR(10)," "),CHAR(13)," ")))="PM","PM",IF(OR(UPPER(TRIM(SUBSTITUTE(SUBSTITUTE(SUBSTITUTE(SUBSTITUTE(INDEX(PASTE_ALL,$DF168,$L$18)," "," "),CHAR(9)," "),CHAR(10)," "),CHAR(13)," ")))="OT",UPPER(TRIM(SUBSTITUTE(SUBSTITUTE(SUBSTITUTE(SUBSTITUTE(INDEX(PASTE_ALL,$DF168,$L$18)," "," "),CHAR(9)," "),CHAR(10)," "),CHAR(13)," ")))="OVERTIME",UPPER(TRIM(SUBSTITUTE(SUBSTITUTE(SUBSTITUTE(SUBSTITUTE(INDEX(PASTE_ALL,$DF168,$L$18)," "," "),CHAR(9)," "),CHAR(10)," "),CHAR(13)," ")))="TRIAL"),"OT",TRIM(SUBSTITUTE(SUBSTITUTE(SUBSTITUTE(SUBSTITUTE(INDEX(PASTE_ALL,$DF168,$L$18)," "," "),CHAR(9)," "),CHAR(10)," "),CHAR(13)," "))))),"")))</f>
        <v/>
      </c>
      <c r="EC168">
        <f>IF($DM168=0,"",IF($L$19=0,"",IFERROR(IF(ISNUMBER(INDEX(PASTE_ALL,$DF168,$L$19)),INDEX(PASTE_ALL,$DF168,$L$19),TRIM(SUBSTITUTE(SUBSTITUTE(SUBSTITUTE(SUBSTITUTE(INDEX(PASTE_ALL,$DF168,$L$19)," "," "),CHAR(9)," "),CHAR(10)," "),CHAR(13)," "))),"")))</f>
        <v/>
      </c>
      <c r="ED168">
        <f>IF($DM168=0,"",MATCH(1,INDEX(EXACT($DH$5:DH168,$DH168)*$DM$5:DM168,0),0))</f>
        <v/>
      </c>
      <c r="EE168">
        <f>IF($DM168=0,0,IF($ED168=$DE168,1,0))</f>
        <v/>
      </c>
      <c r="EF168">
        <f>EF167+$EE168</f>
        <v/>
      </c>
      <c r="EG168">
        <f>IF($DM168=0,"",INDEX($EF$5:$EF$1003,$ED168))</f>
        <v/>
      </c>
      <c r="EH168">
        <f>IF($DM168=0,"",IF($DO168&lt;&gt;"","",IFERROR(LOOKUP(2,1/(($EG$4:EG167=$EG168)*($DO$4:DO167&lt;&gt;"")),$DO$4:DO167),"")))</f>
        <v/>
      </c>
      <c r="EI168">
        <f>IF($DM168=0,"",IF($DO168&lt;&gt;"",$DO168,$EH168))</f>
        <v/>
      </c>
      <c r="EJ168">
        <f>IF($DM168=0,"",IF($EI168="",0,IF(OR(ISNUMBER($EI168),AND(AND(SUBSTITUTE(SUBSTITUTE(SUBSTITUTE(SUBSTITUTE(SUBSTITUTE(SUBSTITUTE(SUBSTITUTE(SUBSTITUTE(SUBSTITUTE(SUBSTITUTE(SUBSTITUTE(SUBSTITUTE(SUBSTITUTE(SUBSTITUTE(UPPER($EI168),"0",""),"1",""),"2",""),"3",""),"4",""),"5",""),"6",""),"7",""),"8",""),"9",""),".",""),"+",""),"-",""),"E","")="",LEN(SUBSTITUTE(SUBSTITUTE(MID(UPPER($EI168),1+OR(LEFT(UPPER($EI168),1)="+",LEFT(UPPER($EI168),1)="-"),999),"E+","E"),"E-","E"))=LEN(SUBSTITUTE(SUBSTITUTE(SUBSTITUTE(SUBSTITUTE(MID(UPPER($EI168),1+OR(LEFT(UPPER($EI168),1)="+",LEFT(UPPER($EI168),1)="-"),999),"E+","E"),"E-","E"),"+",""),"-","")),LEN(UPPER($EI168))-LEN(SUBSTITUTE(UPPER($EI168),"E",""))&lt;2,LEN(UPPER($EI168))-LEN(SUBSTITUTE(UPPER($EI168),".",""))&lt;2,IFERROR(FIND(".",UPPER($EI168)),0)&lt;IFERROR(FIND("E",UPPER($EI168)),999)),ISNUMBER(VALUE($EI168)))),1,2)))</f>
        <v/>
      </c>
      <c r="EK168">
        <f>IF($DM168=0,"",IF($EJ168=1,IF(ISNUMBER($EI168),$EI168,VALUE($EI168)),IF($EJ168=2,$DE168,0)))</f>
        <v/>
      </c>
      <c r="EL168">
        <f>IF($DM168=0,"",COUNTIF($EG$5:$EG$1003,"&lt;"&amp;$EG168)+SUMPRODUCT(($EG$5:$EG$1003=$EG168)*(($EJ$5:$EJ$1003&lt;$EJ168)+($EJ$5:$EJ$1003=$EJ168)*(($EK$5:$EK$1003&lt;$EK168)+($EK$5:$EK$1003=$EK168)*($DE$5:$DE$1003&lt;$DE168))))+1)</f>
        <v/>
      </c>
      <c r="EM168">
        <f>IF($DM168=0,"",$EL168+$EG168-1)</f>
        <v/>
      </c>
      <c r="EN168">
        <f>IF($DM168=0,0,IFERROR(MATCH(1,INDEX(--(TRIM(SUBSTITUTE(SUBSTITUTE(SUBSTITUTE(SUBSTITUTE(LINES_NAME&amp;""," "," "),CHAR(9)," "),CHAR(10)," "),CHAR(13)," "))=$DH168),0),0),0))</f>
        <v/>
      </c>
      <c r="EO168">
        <f>IF($EN168=0,0,IF(OR(UPPER(TRIM(INDEX(LINES_SCHEDULED,$EN168)&amp;""))="YES",UPPER(TRIM(INDEX(LINES_SCHEDULED,$EN168)&amp;""))="Y",UPPER(TRIM(INDEX(LINES_SCHEDULED,$EN168)&amp;""))="X"),1,0))</f>
        <v/>
      </c>
      <c r="EP168">
        <f>IF($DM168=0,"",IF(COUNTIFS($EG$5:$EG$1003,$EG168,$EB$5:$EB$1003,"Ready")&gt;0,"READY",IF(COUNTIFS($EG$5:$EG$1003,$EG168,$EB$5:$EB$1003,"PM")&gt;0,"PM",IF(COUNTIFS($EG$5:$EG$1003,$EG168,$EB$5:$EB$1003,"OT")&gt;0,"OT",""))))</f>
        <v/>
      </c>
      <c r="EQ168">
        <f>IF($EN168=0,"",UPPER(TRIM(INDEX(LINES_STATUS,$EN168)&amp;"")))</f>
        <v/>
      </c>
      <c r="ER168">
        <f>IF($DM168=0,"",IF(OR($EQ168="READY",$EQ168="PM",$EQ168="OT"),$EQ168,$EP168))</f>
        <v/>
      </c>
      <c r="ES168">
        <f>IF($DM168=0,"",IF(AND($DV168&lt;&gt;"",UPPER($DV168)&lt;&gt;"N"),"allergen",IF(ISNUMBER(SEARCH("oil",$DQ168)),"oil",IF(OR(EXACT($DS168,"A662"),EXACT($DS168,"A624")),"bulk",""))))</f>
        <v/>
      </c>
      <c r="ET168">
        <f>IF($DM168=0,"",IF(OR($EA168="",$EA168=0),"",$EA168/100))</f>
        <v/>
      </c>
      <c r="EU168">
        <f>IF(OR($ET168="",$DY168=""),"",INT($DY168*(1-$ET168)+0.5))</f>
        <v/>
      </c>
      <c r="EW168" t="n">
        <v>164</v>
      </c>
      <c r="EX168">
        <f>IFERROR(MATCH($EW168,$EM$5:$EM$1003,0),0)</f>
        <v/>
      </c>
      <c r="EY168">
        <f>IF($EW168&gt;$B$12,"",IF($EX168&gt;0,"row","spacer"))</f>
        <v/>
      </c>
      <c r="EZ168">
        <f>IF(AND($EY168="row",$EY167&lt;&gt;"row"),1,0)</f>
        <v/>
      </c>
      <c r="FA168">
        <f>IF(AND($EY168="row",$EY169&lt;&gt;"row"),1,0)</f>
        <v/>
      </c>
      <c r="FB168">
        <f>IF($EZ168=1,IFERROR(IF(ISNUMBER(INDEX(PASTE_ALL,INDEX($DF$5:$DF$1003,$EX168),$B$37)),INDEX(PASTE_ALL,INDEX($DF$5:$DF$1003,$EX168),$B$37),INDEX($DH$5:$DH$1003,$EX168)),INDEX($DH$5:$DH$1003,$EX168)),"")</f>
        <v/>
      </c>
      <c r="FC168">
        <f>IF($EY168="row",INDEX($ER$5:$ER$1003,$EX168),"")</f>
        <v/>
      </c>
      <c r="FD168">
        <f>IF($EY168="row",INDEX($DN$5:$DN$1003,$EX168),"")</f>
        <v/>
      </c>
      <c r="FE168">
        <f>IF($EY168="row",INDEX($DO$5:$DO$1003,$EX168),"")</f>
        <v/>
      </c>
      <c r="FF168">
        <f>IF($EY168="row",INDEX($DP$5:$DP$1003,$EX168),"")</f>
        <v/>
      </c>
      <c r="FG168">
        <f>IF($EY168="row",INDEX($DQ$5:$DQ$1003,$EX168),"")</f>
        <v/>
      </c>
      <c r="FH168">
        <f>IF($EY168="row",INDEX($DR$5:$DR$1003,$EX168),"")</f>
        <v/>
      </c>
      <c r="FI168">
        <f>IF($EY168="row",INDEX($DS$5:$DS$1003,$EX168),"")</f>
        <v/>
      </c>
      <c r="FJ168">
        <f>IF($EY168="row",INDEX($DT$5:$DT$1003,$EX168),"")</f>
        <v/>
      </c>
      <c r="FK168">
        <f>IF($EY168="row",INDEX($DU$5:$DU$1003,$EX168),"")</f>
        <v/>
      </c>
      <c r="FL168">
        <f>IF($EY168="row",INDEX($DV$5:$DV$1003,$EX168),"")</f>
        <v/>
      </c>
      <c r="FM168">
        <f>IF($EY168="row",INDEX($DW$5:$DW$1003,$EX168),"")</f>
        <v/>
      </c>
      <c r="FN168">
        <f>IF($EY168="row",INDEX($DY$5:$DY$1003,$EX168),"")</f>
        <v/>
      </c>
      <c r="FO168">
        <f>IF($EY168="row",INDEX($EA$5:$EA$1003,$EX168),"")</f>
        <v/>
      </c>
      <c r="FP168">
        <f>IF($EY168="row",INDEX($EC$5:$EC$1003,$EX168),"")</f>
        <v/>
      </c>
      <c r="FQ168">
        <f>IF($EY168="row",INDEX($ET$5:$ET$1003,$EX168),"")</f>
        <v/>
      </c>
      <c r="FR168">
        <f>IF($EY168="row",INDEX($EU$5:$EU$1003,$EX168),"")</f>
        <v/>
      </c>
      <c r="FS168">
        <f>IF(AND($EY168="row",$EY167="row"),IF(OR(INDEX($DT$5:$DT$1003,$EX167)="",INDEX($DT$5:$DT$1003,$EX168)=""),"",IF(NOT(EXACT(INDEX($DT$5:$DT$1003,$EX167),INDEX($DT$5:$DT$1003,$EX168))),"S4",IF(NOT(EXACT(INDEX($DS$5:$DS$1003,$EX167),INDEX($DS$5:$DS$1003,$EX168))),"S3",IF(NOT(EXACT(INDEX($DR$5:$DR$1003,$EX167),INDEX($DR$5:$DR$1003,$EX168))),"S1 Count Change","S1")))),"")</f>
        <v/>
      </c>
      <c r="FT168">
        <f>IF($EY168="row",INDEX($ES$5:$ES$1003,$EX168),"")</f>
        <v/>
      </c>
      <c r="FU168">
        <f>IF($EY168="row",INDEX($EO$5:$EO$1003,$EX168),0)</f>
        <v/>
      </c>
      <c r="FV168">
        <f>IF($FS168="S1 Count Change",1,0)</f>
        <v/>
      </c>
    </row>
    <row r="169">
      <c r="Y169">
        <f>IF(Y34="",0,2*(OR(ISNUMBER(FIND("WORKCENTER",Y34)),AND(LEFT(Y34,4)="LINE",NOT(ISNUMBER(FIND("STATUS",Y34))))))+4*(OR(ISNUMBER(FIND("WORKORDER",Y34)),AND(LEFT(Y34,2)="WO",OR(ISNUMBER(FIND("NUM",Y34)),RIGHT(Y34,2)="NO"))))+8*(LEFT(Y34,3)="SEQ")+16*(AND(LEFT(Y34,4)="ITEM",NOT(ISNUMBER(FIND("DESC",Y34)))))+32*(AND(ISNUMBER(FIND("DESC",Y34)),NOT(ISNUMBER(FIND("CAP",Y34)))))+64*(OR(RIGHT(Y34,5)="COUNT",RIGHT(Y34,2)="CT"))+128*(ISNUMBER(FIND("BULK",Y34)))+256*(ISNUMBER(FIND("SIZE",Y34)))+512*(LEFT(Y34,3)="CAP")+1024*(ISNUMBER(FIND("ALLERG",Y34)))+2048*(OR(ISNUMBER(FIND("REMARK",Y34)),ISNUMBER(FIND("COMMENT",Y34))))+4096*(OR(ISNUMBER(FIND("QTY",Y34)),ISNUMBER(FIND("QUANTITY",Y34))))+8192*(AND(OR(ISNUMBER(FIND("COMPLETE",Y34)),ISNUMBER(FIND("PCT",Y34)),ISNUMBER(FIND("PERCENT",Y34))),NOT(ISNUMBER(FIND("ACTUAL",Y34))),LEN(Y34)&lt;=16))+32768*(OR(ISNUMBER(FIND("DESIC",Y34)),ISNUMBER(FIND("DESSIC",Y34)))))</f>
        <v/>
      </c>
      <c r="Z169">
        <f>IF(Z34="",0,2*(OR(ISNUMBER(FIND("WORKCENTER",Z34)),AND(LEFT(Z34,4)="LINE",NOT(ISNUMBER(FIND("STATUS",Z34))))))+4*(OR(ISNUMBER(FIND("WORKORDER",Z34)),AND(LEFT(Z34,2)="WO",OR(ISNUMBER(FIND("NUM",Z34)),RIGHT(Z34,2)="NO"))))+8*(LEFT(Z34,3)="SEQ")+16*(AND(LEFT(Z34,4)="ITEM",NOT(ISNUMBER(FIND("DESC",Z34)))))+32*(AND(ISNUMBER(FIND("DESC",Z34)),NOT(ISNUMBER(FIND("CAP",Z34)))))+64*(OR(RIGHT(Z34,5)="COUNT",RIGHT(Z34,2)="CT"))+128*(ISNUMBER(FIND("BULK",Z34)))+256*(ISNUMBER(FIND("SIZE",Z34)))+512*(LEFT(Z34,3)="CAP")+1024*(ISNUMBER(FIND("ALLERG",Z34)))+2048*(OR(ISNUMBER(FIND("REMARK",Z34)),ISNUMBER(FIND("COMMENT",Z34))))+4096*(OR(ISNUMBER(FIND("QTY",Z34)),ISNUMBER(FIND("QUANTITY",Z34))))+8192*(AND(OR(ISNUMBER(FIND("COMPLETE",Z34)),ISNUMBER(FIND("PCT",Z34)),ISNUMBER(FIND("PERCENT",Z34))),NOT(ISNUMBER(FIND("ACTUAL",Z34))),LEN(Z34)&lt;=16))+32768*(OR(ISNUMBER(FIND("DESIC",Z34)),ISNUMBER(FIND("DESSIC",Z34)))))</f>
        <v/>
      </c>
      <c r="AA169">
        <f>IF(AA34="",0,2*(OR(ISNUMBER(FIND("WORKCENTER",AA34)),AND(LEFT(AA34,4)="LINE",NOT(ISNUMBER(FIND("STATUS",AA34))))))+4*(OR(ISNUMBER(FIND("WORKORDER",AA34)),AND(LEFT(AA34,2)="WO",OR(ISNUMBER(FIND("NUM",AA34)),RIGHT(AA34,2)="NO"))))+8*(LEFT(AA34,3)="SEQ")+16*(AND(LEFT(AA34,4)="ITEM",NOT(ISNUMBER(FIND("DESC",AA34)))))+32*(AND(ISNUMBER(FIND("DESC",AA34)),NOT(ISNUMBER(FIND("CAP",AA34)))))+64*(OR(RIGHT(AA34,5)="COUNT",RIGHT(AA34,2)="CT"))+128*(ISNUMBER(FIND("BULK",AA34)))+256*(ISNUMBER(FIND("SIZE",AA34)))+512*(LEFT(AA34,3)="CAP")+1024*(ISNUMBER(FIND("ALLERG",AA34)))+2048*(OR(ISNUMBER(FIND("REMARK",AA34)),ISNUMBER(FIND("COMMENT",AA34))))+4096*(OR(ISNUMBER(FIND("QTY",AA34)),ISNUMBER(FIND("QUANTITY",AA34))))+8192*(AND(OR(ISNUMBER(FIND("COMPLETE",AA34)),ISNUMBER(FIND("PCT",AA34)),ISNUMBER(FIND("PERCENT",AA34))),NOT(ISNUMBER(FIND("ACTUAL",AA34))),LEN(AA34)&lt;=16))+32768*(OR(ISNUMBER(FIND("DESIC",AA34)),ISNUMBER(FIND("DESSIC",AA34)))))</f>
        <v/>
      </c>
      <c r="AB169">
        <f>IF(AB34="",0,2*(OR(ISNUMBER(FIND("WORKCENTER",AB34)),AND(LEFT(AB34,4)="LINE",NOT(ISNUMBER(FIND("STATUS",AB34))))))+4*(OR(ISNUMBER(FIND("WORKORDER",AB34)),AND(LEFT(AB34,2)="WO",OR(ISNUMBER(FIND("NUM",AB34)),RIGHT(AB34,2)="NO"))))+8*(LEFT(AB34,3)="SEQ")+16*(AND(LEFT(AB34,4)="ITEM",NOT(ISNUMBER(FIND("DESC",AB34)))))+32*(AND(ISNUMBER(FIND("DESC",AB34)),NOT(ISNUMBER(FIND("CAP",AB34)))))+64*(OR(RIGHT(AB34,5)="COUNT",RIGHT(AB34,2)="CT"))+128*(ISNUMBER(FIND("BULK",AB34)))+256*(ISNUMBER(FIND("SIZE",AB34)))+512*(LEFT(AB34,3)="CAP")+1024*(ISNUMBER(FIND("ALLERG",AB34)))+2048*(OR(ISNUMBER(FIND("REMARK",AB34)),ISNUMBER(FIND("COMMENT",AB34))))+4096*(OR(ISNUMBER(FIND("QTY",AB34)),ISNUMBER(FIND("QUANTITY",AB34))))+8192*(AND(OR(ISNUMBER(FIND("COMPLETE",AB34)),ISNUMBER(FIND("PCT",AB34)),ISNUMBER(FIND("PERCENT",AB34))),NOT(ISNUMBER(FIND("ACTUAL",AB34))),LEN(AB34)&lt;=16))+32768*(OR(ISNUMBER(FIND("DESIC",AB34)),ISNUMBER(FIND("DESSIC",AB34)))))</f>
        <v/>
      </c>
      <c r="AC169">
        <f>IF(AC34="",0,2*(OR(ISNUMBER(FIND("WORKCENTER",AC34)),AND(LEFT(AC34,4)="LINE",NOT(ISNUMBER(FIND("STATUS",AC34))))))+4*(OR(ISNUMBER(FIND("WORKORDER",AC34)),AND(LEFT(AC34,2)="WO",OR(ISNUMBER(FIND("NUM",AC34)),RIGHT(AC34,2)="NO"))))+8*(LEFT(AC34,3)="SEQ")+16*(AND(LEFT(AC34,4)="ITEM",NOT(ISNUMBER(FIND("DESC",AC34)))))+32*(AND(ISNUMBER(FIND("DESC",AC34)),NOT(ISNUMBER(FIND("CAP",AC34)))))+64*(OR(RIGHT(AC34,5)="COUNT",RIGHT(AC34,2)="CT"))+128*(ISNUMBER(FIND("BULK",AC34)))+256*(ISNUMBER(FIND("SIZE",AC34)))+512*(LEFT(AC34,3)="CAP")+1024*(ISNUMBER(FIND("ALLERG",AC34)))+2048*(OR(ISNUMBER(FIND("REMARK",AC34)),ISNUMBER(FIND("COMMENT",AC34))))+4096*(OR(ISNUMBER(FIND("QTY",AC34)),ISNUMBER(FIND("QUANTITY",AC34))))+8192*(AND(OR(ISNUMBER(FIND("COMPLETE",AC34)),ISNUMBER(FIND("PCT",AC34)),ISNUMBER(FIND("PERCENT",AC34))),NOT(ISNUMBER(FIND("ACTUAL",AC34))),LEN(AC34)&lt;=16))+32768*(OR(ISNUMBER(FIND("DESIC",AC34)),ISNUMBER(FIND("DESSIC",AC34)))))</f>
        <v/>
      </c>
      <c r="AD169">
        <f>IF(AD34="",0,2*(OR(ISNUMBER(FIND("WORKCENTER",AD34)),AND(LEFT(AD34,4)="LINE",NOT(ISNUMBER(FIND("STATUS",AD34))))))+4*(OR(ISNUMBER(FIND("WORKORDER",AD34)),AND(LEFT(AD34,2)="WO",OR(ISNUMBER(FIND("NUM",AD34)),RIGHT(AD34,2)="NO"))))+8*(LEFT(AD34,3)="SEQ")+16*(AND(LEFT(AD34,4)="ITEM",NOT(ISNUMBER(FIND("DESC",AD34)))))+32*(AND(ISNUMBER(FIND("DESC",AD34)),NOT(ISNUMBER(FIND("CAP",AD34)))))+64*(OR(RIGHT(AD34,5)="COUNT",RIGHT(AD34,2)="CT"))+128*(ISNUMBER(FIND("BULK",AD34)))+256*(ISNUMBER(FIND("SIZE",AD34)))+512*(LEFT(AD34,3)="CAP")+1024*(ISNUMBER(FIND("ALLERG",AD34)))+2048*(OR(ISNUMBER(FIND("REMARK",AD34)),ISNUMBER(FIND("COMMENT",AD34))))+4096*(OR(ISNUMBER(FIND("QTY",AD34)),ISNUMBER(FIND("QUANTITY",AD34))))+8192*(AND(OR(ISNUMBER(FIND("COMPLETE",AD34)),ISNUMBER(FIND("PCT",AD34)),ISNUMBER(FIND("PERCENT",AD34))),NOT(ISNUMBER(FIND("ACTUAL",AD34))),LEN(AD34)&lt;=16))+32768*(OR(ISNUMBER(FIND("DESIC",AD34)),ISNUMBER(FIND("DESSIC",AD34)))))</f>
        <v/>
      </c>
      <c r="AE169">
        <f>IF(AE34="",0,2*(OR(ISNUMBER(FIND("WORKCENTER",AE34)),AND(LEFT(AE34,4)="LINE",NOT(ISNUMBER(FIND("STATUS",AE34))))))+4*(OR(ISNUMBER(FIND("WORKORDER",AE34)),AND(LEFT(AE34,2)="WO",OR(ISNUMBER(FIND("NUM",AE34)),RIGHT(AE34,2)="NO"))))+8*(LEFT(AE34,3)="SEQ")+16*(AND(LEFT(AE34,4)="ITEM",NOT(ISNUMBER(FIND("DESC",AE34)))))+32*(AND(ISNUMBER(FIND("DESC",AE34)),NOT(ISNUMBER(FIND("CAP",AE34)))))+64*(OR(RIGHT(AE34,5)="COUNT",RIGHT(AE34,2)="CT"))+128*(ISNUMBER(FIND("BULK",AE34)))+256*(ISNUMBER(FIND("SIZE",AE34)))+512*(LEFT(AE34,3)="CAP")+1024*(ISNUMBER(FIND("ALLERG",AE34)))+2048*(OR(ISNUMBER(FIND("REMARK",AE34)),ISNUMBER(FIND("COMMENT",AE34))))+4096*(OR(ISNUMBER(FIND("QTY",AE34)),ISNUMBER(FIND("QUANTITY",AE34))))+8192*(AND(OR(ISNUMBER(FIND("COMPLETE",AE34)),ISNUMBER(FIND("PCT",AE34)),ISNUMBER(FIND("PERCENT",AE34))),NOT(ISNUMBER(FIND("ACTUAL",AE34))),LEN(AE34)&lt;=16))+32768*(OR(ISNUMBER(FIND("DESIC",AE34)),ISNUMBER(FIND("DESSIC",AE34)))))</f>
        <v/>
      </c>
      <c r="AF169">
        <f>IF(AF34="",0,2*(OR(ISNUMBER(FIND("WORKCENTER",AF34)),AND(LEFT(AF34,4)="LINE",NOT(ISNUMBER(FIND("STATUS",AF34))))))+4*(OR(ISNUMBER(FIND("WORKORDER",AF34)),AND(LEFT(AF34,2)="WO",OR(ISNUMBER(FIND("NUM",AF34)),RIGHT(AF34,2)="NO"))))+8*(LEFT(AF34,3)="SEQ")+16*(AND(LEFT(AF34,4)="ITEM",NOT(ISNUMBER(FIND("DESC",AF34)))))+32*(AND(ISNUMBER(FIND("DESC",AF34)),NOT(ISNUMBER(FIND("CAP",AF34)))))+64*(OR(RIGHT(AF34,5)="COUNT",RIGHT(AF34,2)="CT"))+128*(ISNUMBER(FIND("BULK",AF34)))+256*(ISNUMBER(FIND("SIZE",AF34)))+512*(LEFT(AF34,3)="CAP")+1024*(ISNUMBER(FIND("ALLERG",AF34)))+2048*(OR(ISNUMBER(FIND("REMARK",AF34)),ISNUMBER(FIND("COMMENT",AF34))))+4096*(OR(ISNUMBER(FIND("QTY",AF34)),ISNUMBER(FIND("QUANTITY",AF34))))+8192*(AND(OR(ISNUMBER(FIND("COMPLETE",AF34)),ISNUMBER(FIND("PCT",AF34)),ISNUMBER(FIND("PERCENT",AF34))),NOT(ISNUMBER(FIND("ACTUAL",AF34))),LEN(AF34)&lt;=16))+32768*(OR(ISNUMBER(FIND("DESIC",AF34)),ISNUMBER(FIND("DESSIC",AF34)))))</f>
        <v/>
      </c>
      <c r="AG169">
        <f>IF(AG34="",0,2*(OR(ISNUMBER(FIND("WORKCENTER",AG34)),AND(LEFT(AG34,4)="LINE",NOT(ISNUMBER(FIND("STATUS",AG34))))))+4*(OR(ISNUMBER(FIND("WORKORDER",AG34)),AND(LEFT(AG34,2)="WO",OR(ISNUMBER(FIND("NUM",AG34)),RIGHT(AG34,2)="NO"))))+8*(LEFT(AG34,3)="SEQ")+16*(AND(LEFT(AG34,4)="ITEM",NOT(ISNUMBER(FIND("DESC",AG34)))))+32*(AND(ISNUMBER(FIND("DESC",AG34)),NOT(ISNUMBER(FIND("CAP",AG34)))))+64*(OR(RIGHT(AG34,5)="COUNT",RIGHT(AG34,2)="CT"))+128*(ISNUMBER(FIND("BULK",AG34)))+256*(ISNUMBER(FIND("SIZE",AG34)))+512*(LEFT(AG34,3)="CAP")+1024*(ISNUMBER(FIND("ALLERG",AG34)))+2048*(OR(ISNUMBER(FIND("REMARK",AG34)),ISNUMBER(FIND("COMMENT",AG34))))+4096*(OR(ISNUMBER(FIND("QTY",AG34)),ISNUMBER(FIND("QUANTITY",AG34))))+8192*(AND(OR(ISNUMBER(FIND("COMPLETE",AG34)),ISNUMBER(FIND("PCT",AG34)),ISNUMBER(FIND("PERCENT",AG34))),NOT(ISNUMBER(FIND("ACTUAL",AG34))),LEN(AG34)&lt;=16))+32768*(OR(ISNUMBER(FIND("DESIC",AG34)),ISNUMBER(FIND("DESSIC",AG34)))))</f>
        <v/>
      </c>
      <c r="AH169">
        <f>IF(AH34="",0,2*(OR(ISNUMBER(FIND("WORKCENTER",AH34)),AND(LEFT(AH34,4)="LINE",NOT(ISNUMBER(FIND("STATUS",AH34))))))+4*(OR(ISNUMBER(FIND("WORKORDER",AH34)),AND(LEFT(AH34,2)="WO",OR(ISNUMBER(FIND("NUM",AH34)),RIGHT(AH34,2)="NO"))))+8*(LEFT(AH34,3)="SEQ")+16*(AND(LEFT(AH34,4)="ITEM",NOT(ISNUMBER(FIND("DESC",AH34)))))+32*(AND(ISNUMBER(FIND("DESC",AH34)),NOT(ISNUMBER(FIND("CAP",AH34)))))+64*(OR(RIGHT(AH34,5)="COUNT",RIGHT(AH34,2)="CT"))+128*(ISNUMBER(FIND("BULK",AH34)))+256*(ISNUMBER(FIND("SIZE",AH34)))+512*(LEFT(AH34,3)="CAP")+1024*(ISNUMBER(FIND("ALLERG",AH34)))+2048*(OR(ISNUMBER(FIND("REMARK",AH34)),ISNUMBER(FIND("COMMENT",AH34))))+4096*(OR(ISNUMBER(FIND("QTY",AH34)),ISNUMBER(FIND("QUANTITY",AH34))))+8192*(AND(OR(ISNUMBER(FIND("COMPLETE",AH34)),ISNUMBER(FIND("PCT",AH34)),ISNUMBER(FIND("PERCENT",AH34))),NOT(ISNUMBER(FIND("ACTUAL",AH34))),LEN(AH34)&lt;=16))+32768*(OR(ISNUMBER(FIND("DESIC",AH34)),ISNUMBER(FIND("DESSIC",AH34)))))</f>
        <v/>
      </c>
      <c r="AI169">
        <f>IF(AI34="",0,2*(OR(ISNUMBER(FIND("WORKCENTER",AI34)),AND(LEFT(AI34,4)="LINE",NOT(ISNUMBER(FIND("STATUS",AI34))))))+4*(OR(ISNUMBER(FIND("WORKORDER",AI34)),AND(LEFT(AI34,2)="WO",OR(ISNUMBER(FIND("NUM",AI34)),RIGHT(AI34,2)="NO"))))+8*(LEFT(AI34,3)="SEQ")+16*(AND(LEFT(AI34,4)="ITEM",NOT(ISNUMBER(FIND("DESC",AI34)))))+32*(AND(ISNUMBER(FIND("DESC",AI34)),NOT(ISNUMBER(FIND("CAP",AI34)))))+64*(OR(RIGHT(AI34,5)="COUNT",RIGHT(AI34,2)="CT"))+128*(ISNUMBER(FIND("BULK",AI34)))+256*(ISNUMBER(FIND("SIZE",AI34)))+512*(LEFT(AI34,3)="CAP")+1024*(ISNUMBER(FIND("ALLERG",AI34)))+2048*(OR(ISNUMBER(FIND("REMARK",AI34)),ISNUMBER(FIND("COMMENT",AI34))))+4096*(OR(ISNUMBER(FIND("QTY",AI34)),ISNUMBER(FIND("QUANTITY",AI34))))+8192*(AND(OR(ISNUMBER(FIND("COMPLETE",AI34)),ISNUMBER(FIND("PCT",AI34)),ISNUMBER(FIND("PERCENT",AI34))),NOT(ISNUMBER(FIND("ACTUAL",AI34))),LEN(AI34)&lt;=16))+32768*(OR(ISNUMBER(FIND("DESIC",AI34)),ISNUMBER(FIND("DESSIC",AI34)))))</f>
        <v/>
      </c>
      <c r="AJ169">
        <f>IF(AJ34="",0,2*(OR(ISNUMBER(FIND("WORKCENTER",AJ34)),AND(LEFT(AJ34,4)="LINE",NOT(ISNUMBER(FIND("STATUS",AJ34))))))+4*(OR(ISNUMBER(FIND("WORKORDER",AJ34)),AND(LEFT(AJ34,2)="WO",OR(ISNUMBER(FIND("NUM",AJ34)),RIGHT(AJ34,2)="NO"))))+8*(LEFT(AJ34,3)="SEQ")+16*(AND(LEFT(AJ34,4)="ITEM",NOT(ISNUMBER(FIND("DESC",AJ34)))))+32*(AND(ISNUMBER(FIND("DESC",AJ34)),NOT(ISNUMBER(FIND("CAP",AJ34)))))+64*(OR(RIGHT(AJ34,5)="COUNT",RIGHT(AJ34,2)="CT"))+128*(ISNUMBER(FIND("BULK",AJ34)))+256*(ISNUMBER(FIND("SIZE",AJ34)))+512*(LEFT(AJ34,3)="CAP")+1024*(ISNUMBER(FIND("ALLERG",AJ34)))+2048*(OR(ISNUMBER(FIND("REMARK",AJ34)),ISNUMBER(FIND("COMMENT",AJ34))))+4096*(OR(ISNUMBER(FIND("QTY",AJ34)),ISNUMBER(FIND("QUANTITY",AJ34))))+8192*(AND(OR(ISNUMBER(FIND("COMPLETE",AJ34)),ISNUMBER(FIND("PCT",AJ34)),ISNUMBER(FIND("PERCENT",AJ34))),NOT(ISNUMBER(FIND("ACTUAL",AJ34))),LEN(AJ34)&lt;=16))+32768*(OR(ISNUMBER(FIND("DESIC",AJ34)),ISNUMBER(FIND("DESSIC",AJ34)))))</f>
        <v/>
      </c>
      <c r="AK169">
        <f>IF(AK34="",0,2*(OR(ISNUMBER(FIND("WORKCENTER",AK34)),AND(LEFT(AK34,4)="LINE",NOT(ISNUMBER(FIND("STATUS",AK34))))))+4*(OR(ISNUMBER(FIND("WORKORDER",AK34)),AND(LEFT(AK34,2)="WO",OR(ISNUMBER(FIND("NUM",AK34)),RIGHT(AK34,2)="NO"))))+8*(LEFT(AK34,3)="SEQ")+16*(AND(LEFT(AK34,4)="ITEM",NOT(ISNUMBER(FIND("DESC",AK34)))))+32*(AND(ISNUMBER(FIND("DESC",AK34)),NOT(ISNUMBER(FIND("CAP",AK34)))))+64*(OR(RIGHT(AK34,5)="COUNT",RIGHT(AK34,2)="CT"))+128*(ISNUMBER(FIND("BULK",AK34)))+256*(ISNUMBER(FIND("SIZE",AK34)))+512*(LEFT(AK34,3)="CAP")+1024*(ISNUMBER(FIND("ALLERG",AK34)))+2048*(OR(ISNUMBER(FIND("REMARK",AK34)),ISNUMBER(FIND("COMMENT",AK34))))+4096*(OR(ISNUMBER(FIND("QTY",AK34)),ISNUMBER(FIND("QUANTITY",AK34))))+8192*(AND(OR(ISNUMBER(FIND("COMPLETE",AK34)),ISNUMBER(FIND("PCT",AK34)),ISNUMBER(FIND("PERCENT",AK34))),NOT(ISNUMBER(FIND("ACTUAL",AK34))),LEN(AK34)&lt;=16))+32768*(OR(ISNUMBER(FIND("DESIC",AK34)),ISNUMBER(FIND("DESSIC",AK34)))))</f>
        <v/>
      </c>
      <c r="AL169">
        <f>IF(AL34="",0,2*(OR(ISNUMBER(FIND("WORKCENTER",AL34)),AND(LEFT(AL34,4)="LINE",NOT(ISNUMBER(FIND("STATUS",AL34))))))+4*(OR(ISNUMBER(FIND("WORKORDER",AL34)),AND(LEFT(AL34,2)="WO",OR(ISNUMBER(FIND("NUM",AL34)),RIGHT(AL34,2)="NO"))))+8*(LEFT(AL34,3)="SEQ")+16*(AND(LEFT(AL34,4)="ITEM",NOT(ISNUMBER(FIND("DESC",AL34)))))+32*(AND(ISNUMBER(FIND("DESC",AL34)),NOT(ISNUMBER(FIND("CAP",AL34)))))+64*(OR(RIGHT(AL34,5)="COUNT",RIGHT(AL34,2)="CT"))+128*(ISNUMBER(FIND("BULK",AL34)))+256*(ISNUMBER(FIND("SIZE",AL34)))+512*(LEFT(AL34,3)="CAP")+1024*(ISNUMBER(FIND("ALLERG",AL34)))+2048*(OR(ISNUMBER(FIND("REMARK",AL34)),ISNUMBER(FIND("COMMENT",AL34))))+4096*(OR(ISNUMBER(FIND("QTY",AL34)),ISNUMBER(FIND("QUANTITY",AL34))))+8192*(AND(OR(ISNUMBER(FIND("COMPLETE",AL34)),ISNUMBER(FIND("PCT",AL34)),ISNUMBER(FIND("PERCENT",AL34))),NOT(ISNUMBER(FIND("ACTUAL",AL34))),LEN(AL34)&lt;=16))+32768*(OR(ISNUMBER(FIND("DESIC",AL34)),ISNUMBER(FIND("DESSIC",AL34)))))</f>
        <v/>
      </c>
      <c r="AM169">
        <f>IF(AM34="",0,2*(OR(ISNUMBER(FIND("WORKCENTER",AM34)),AND(LEFT(AM34,4)="LINE",NOT(ISNUMBER(FIND("STATUS",AM34))))))+4*(OR(ISNUMBER(FIND("WORKORDER",AM34)),AND(LEFT(AM34,2)="WO",OR(ISNUMBER(FIND("NUM",AM34)),RIGHT(AM34,2)="NO"))))+8*(LEFT(AM34,3)="SEQ")+16*(AND(LEFT(AM34,4)="ITEM",NOT(ISNUMBER(FIND("DESC",AM34)))))+32*(AND(ISNUMBER(FIND("DESC",AM34)),NOT(ISNUMBER(FIND("CAP",AM34)))))+64*(OR(RIGHT(AM34,5)="COUNT",RIGHT(AM34,2)="CT"))+128*(ISNUMBER(FIND("BULK",AM34)))+256*(ISNUMBER(FIND("SIZE",AM34)))+512*(LEFT(AM34,3)="CAP")+1024*(ISNUMBER(FIND("ALLERG",AM34)))+2048*(OR(ISNUMBER(FIND("REMARK",AM34)),ISNUMBER(FIND("COMMENT",AM34))))+4096*(OR(ISNUMBER(FIND("QTY",AM34)),ISNUMBER(FIND("QUANTITY",AM34))))+8192*(AND(OR(ISNUMBER(FIND("COMPLETE",AM34)),ISNUMBER(FIND("PCT",AM34)),ISNUMBER(FIND("PERCENT",AM34))),NOT(ISNUMBER(FIND("ACTUAL",AM34))),LEN(AM34)&lt;=16))+32768*(OR(ISNUMBER(FIND("DESIC",AM34)),ISNUMBER(FIND("DESSIC",AM34)))))</f>
        <v/>
      </c>
      <c r="AN169">
        <f>IF(AN34="",0,2*(OR(ISNUMBER(FIND("WORKCENTER",AN34)),AND(LEFT(AN34,4)="LINE",NOT(ISNUMBER(FIND("STATUS",AN34))))))+4*(OR(ISNUMBER(FIND("WORKORDER",AN34)),AND(LEFT(AN34,2)="WO",OR(ISNUMBER(FIND("NUM",AN34)),RIGHT(AN34,2)="NO"))))+8*(LEFT(AN34,3)="SEQ")+16*(AND(LEFT(AN34,4)="ITEM",NOT(ISNUMBER(FIND("DESC",AN34)))))+32*(AND(ISNUMBER(FIND("DESC",AN34)),NOT(ISNUMBER(FIND("CAP",AN34)))))+64*(OR(RIGHT(AN34,5)="COUNT",RIGHT(AN34,2)="CT"))+128*(ISNUMBER(FIND("BULK",AN34)))+256*(ISNUMBER(FIND("SIZE",AN34)))+512*(LEFT(AN34,3)="CAP")+1024*(ISNUMBER(FIND("ALLERG",AN34)))+2048*(OR(ISNUMBER(FIND("REMARK",AN34)),ISNUMBER(FIND("COMMENT",AN34))))+4096*(OR(ISNUMBER(FIND("QTY",AN34)),ISNUMBER(FIND("QUANTITY",AN34))))+8192*(AND(OR(ISNUMBER(FIND("COMPLETE",AN34)),ISNUMBER(FIND("PCT",AN34)),ISNUMBER(FIND("PERCENT",AN34))),NOT(ISNUMBER(FIND("ACTUAL",AN34))),LEN(AN34)&lt;=16))+32768*(OR(ISNUMBER(FIND("DESIC",AN34)),ISNUMBER(FIND("DESSIC",AN34)))))</f>
        <v/>
      </c>
      <c r="AO169">
        <f>IF(AO34="",0,2*(OR(ISNUMBER(FIND("WORKCENTER",AO34)),AND(LEFT(AO34,4)="LINE",NOT(ISNUMBER(FIND("STATUS",AO34))))))+4*(OR(ISNUMBER(FIND("WORKORDER",AO34)),AND(LEFT(AO34,2)="WO",OR(ISNUMBER(FIND("NUM",AO34)),RIGHT(AO34,2)="NO"))))+8*(LEFT(AO34,3)="SEQ")+16*(AND(LEFT(AO34,4)="ITEM",NOT(ISNUMBER(FIND("DESC",AO34)))))+32*(AND(ISNUMBER(FIND("DESC",AO34)),NOT(ISNUMBER(FIND("CAP",AO34)))))+64*(OR(RIGHT(AO34,5)="COUNT",RIGHT(AO34,2)="CT"))+128*(ISNUMBER(FIND("BULK",AO34)))+256*(ISNUMBER(FIND("SIZE",AO34)))+512*(LEFT(AO34,3)="CAP")+1024*(ISNUMBER(FIND("ALLERG",AO34)))+2048*(OR(ISNUMBER(FIND("REMARK",AO34)),ISNUMBER(FIND("COMMENT",AO34))))+4096*(OR(ISNUMBER(FIND("QTY",AO34)),ISNUMBER(FIND("QUANTITY",AO34))))+8192*(AND(OR(ISNUMBER(FIND("COMPLETE",AO34)),ISNUMBER(FIND("PCT",AO34)),ISNUMBER(FIND("PERCENT",AO34))),NOT(ISNUMBER(FIND("ACTUAL",AO34))),LEN(AO34)&lt;=16))+32768*(OR(ISNUMBER(FIND("DESIC",AO34)),ISNUMBER(FIND("DESSIC",AO34)))))</f>
        <v/>
      </c>
      <c r="AP169">
        <f>IF(AP34="",0,2*(OR(ISNUMBER(FIND("WORKCENTER",AP34)),AND(LEFT(AP34,4)="LINE",NOT(ISNUMBER(FIND("STATUS",AP34))))))+4*(OR(ISNUMBER(FIND("WORKORDER",AP34)),AND(LEFT(AP34,2)="WO",OR(ISNUMBER(FIND("NUM",AP34)),RIGHT(AP34,2)="NO"))))+8*(LEFT(AP34,3)="SEQ")+16*(AND(LEFT(AP34,4)="ITEM",NOT(ISNUMBER(FIND("DESC",AP34)))))+32*(AND(ISNUMBER(FIND("DESC",AP34)),NOT(ISNUMBER(FIND("CAP",AP34)))))+64*(OR(RIGHT(AP34,5)="COUNT",RIGHT(AP34,2)="CT"))+128*(ISNUMBER(FIND("BULK",AP34)))+256*(ISNUMBER(FIND("SIZE",AP34)))+512*(LEFT(AP34,3)="CAP")+1024*(ISNUMBER(FIND("ALLERG",AP34)))+2048*(OR(ISNUMBER(FIND("REMARK",AP34)),ISNUMBER(FIND("COMMENT",AP34))))+4096*(OR(ISNUMBER(FIND("QTY",AP34)),ISNUMBER(FIND("QUANTITY",AP34))))+8192*(AND(OR(ISNUMBER(FIND("COMPLETE",AP34)),ISNUMBER(FIND("PCT",AP34)),ISNUMBER(FIND("PERCENT",AP34))),NOT(ISNUMBER(FIND("ACTUAL",AP34))),LEN(AP34)&lt;=16))+32768*(OR(ISNUMBER(FIND("DESIC",AP34)),ISNUMBER(FIND("DESSIC",AP34)))))</f>
        <v/>
      </c>
      <c r="AQ169">
        <f>IF(AQ34="",0,2*(OR(ISNUMBER(FIND("WORKCENTER",AQ34)),AND(LEFT(AQ34,4)="LINE",NOT(ISNUMBER(FIND("STATUS",AQ34))))))+4*(OR(ISNUMBER(FIND("WORKORDER",AQ34)),AND(LEFT(AQ34,2)="WO",OR(ISNUMBER(FIND("NUM",AQ34)),RIGHT(AQ34,2)="NO"))))+8*(LEFT(AQ34,3)="SEQ")+16*(AND(LEFT(AQ34,4)="ITEM",NOT(ISNUMBER(FIND("DESC",AQ34)))))+32*(AND(ISNUMBER(FIND("DESC",AQ34)),NOT(ISNUMBER(FIND("CAP",AQ34)))))+64*(OR(RIGHT(AQ34,5)="COUNT",RIGHT(AQ34,2)="CT"))+128*(ISNUMBER(FIND("BULK",AQ34)))+256*(ISNUMBER(FIND("SIZE",AQ34)))+512*(LEFT(AQ34,3)="CAP")+1024*(ISNUMBER(FIND("ALLERG",AQ34)))+2048*(OR(ISNUMBER(FIND("REMARK",AQ34)),ISNUMBER(FIND("COMMENT",AQ34))))+4096*(OR(ISNUMBER(FIND("QTY",AQ34)),ISNUMBER(FIND("QUANTITY",AQ34))))+8192*(AND(OR(ISNUMBER(FIND("COMPLETE",AQ34)),ISNUMBER(FIND("PCT",AQ34)),ISNUMBER(FIND("PERCENT",AQ34))),NOT(ISNUMBER(FIND("ACTUAL",AQ34))),LEN(AQ34)&lt;=16))+32768*(OR(ISNUMBER(FIND("DESIC",AQ34)),ISNUMBER(FIND("DESSIC",AQ34)))))</f>
        <v/>
      </c>
      <c r="AR169">
        <f>IF(AR34="",0,2*(OR(ISNUMBER(FIND("WORKCENTER",AR34)),AND(LEFT(AR34,4)="LINE",NOT(ISNUMBER(FIND("STATUS",AR34))))))+4*(OR(ISNUMBER(FIND("WORKORDER",AR34)),AND(LEFT(AR34,2)="WO",OR(ISNUMBER(FIND("NUM",AR34)),RIGHT(AR34,2)="NO"))))+8*(LEFT(AR34,3)="SEQ")+16*(AND(LEFT(AR34,4)="ITEM",NOT(ISNUMBER(FIND("DESC",AR34)))))+32*(AND(ISNUMBER(FIND("DESC",AR34)),NOT(ISNUMBER(FIND("CAP",AR34)))))+64*(OR(RIGHT(AR34,5)="COUNT",RIGHT(AR34,2)="CT"))+128*(ISNUMBER(FIND("BULK",AR34)))+256*(ISNUMBER(FIND("SIZE",AR34)))+512*(LEFT(AR34,3)="CAP")+1024*(ISNUMBER(FIND("ALLERG",AR34)))+2048*(OR(ISNUMBER(FIND("REMARK",AR34)),ISNUMBER(FIND("COMMENT",AR34))))+4096*(OR(ISNUMBER(FIND("QTY",AR34)),ISNUMBER(FIND("QUANTITY",AR34))))+8192*(AND(OR(ISNUMBER(FIND("COMPLETE",AR34)),ISNUMBER(FIND("PCT",AR34)),ISNUMBER(FIND("PERCENT",AR34))),NOT(ISNUMBER(FIND("ACTUAL",AR34))),LEN(AR34)&lt;=16))+32768*(OR(ISNUMBER(FIND("DESIC",AR34)),ISNUMBER(FIND("DESSIC",AR34)))))</f>
        <v/>
      </c>
      <c r="AS169">
        <f>IF(AS34="",0,2*(OR(ISNUMBER(FIND("WORKCENTER",AS34)),AND(LEFT(AS34,4)="LINE",NOT(ISNUMBER(FIND("STATUS",AS34))))))+4*(OR(ISNUMBER(FIND("WORKORDER",AS34)),AND(LEFT(AS34,2)="WO",OR(ISNUMBER(FIND("NUM",AS34)),RIGHT(AS34,2)="NO"))))+8*(LEFT(AS34,3)="SEQ")+16*(AND(LEFT(AS34,4)="ITEM",NOT(ISNUMBER(FIND("DESC",AS34)))))+32*(AND(ISNUMBER(FIND("DESC",AS34)),NOT(ISNUMBER(FIND("CAP",AS34)))))+64*(OR(RIGHT(AS34,5)="COUNT",RIGHT(AS34,2)="CT"))+128*(ISNUMBER(FIND("BULK",AS34)))+256*(ISNUMBER(FIND("SIZE",AS34)))+512*(LEFT(AS34,3)="CAP")+1024*(ISNUMBER(FIND("ALLERG",AS34)))+2048*(OR(ISNUMBER(FIND("REMARK",AS34)),ISNUMBER(FIND("COMMENT",AS34))))+4096*(OR(ISNUMBER(FIND("QTY",AS34)),ISNUMBER(FIND("QUANTITY",AS34))))+8192*(AND(OR(ISNUMBER(FIND("COMPLETE",AS34)),ISNUMBER(FIND("PCT",AS34)),ISNUMBER(FIND("PERCENT",AS34))),NOT(ISNUMBER(FIND("ACTUAL",AS34))),LEN(AS34)&lt;=16))+32768*(OR(ISNUMBER(FIND("DESIC",AS34)),ISNUMBER(FIND("DESSIC",AS34)))))</f>
        <v/>
      </c>
      <c r="AT169">
        <f>IF(AT34="",0,2*(OR(ISNUMBER(FIND("WORKCENTER",AT34)),AND(LEFT(AT34,4)="LINE",NOT(ISNUMBER(FIND("STATUS",AT34))))))+4*(OR(ISNUMBER(FIND("WORKORDER",AT34)),AND(LEFT(AT34,2)="WO",OR(ISNUMBER(FIND("NUM",AT34)),RIGHT(AT34,2)="NO"))))+8*(LEFT(AT34,3)="SEQ")+16*(AND(LEFT(AT34,4)="ITEM",NOT(ISNUMBER(FIND("DESC",AT34)))))+32*(AND(ISNUMBER(FIND("DESC",AT34)),NOT(ISNUMBER(FIND("CAP",AT34)))))+64*(OR(RIGHT(AT34,5)="COUNT",RIGHT(AT34,2)="CT"))+128*(ISNUMBER(FIND("BULK",AT34)))+256*(ISNUMBER(FIND("SIZE",AT34)))+512*(LEFT(AT34,3)="CAP")+1024*(ISNUMBER(FIND("ALLERG",AT34)))+2048*(OR(ISNUMBER(FIND("REMARK",AT34)),ISNUMBER(FIND("COMMENT",AT34))))+4096*(OR(ISNUMBER(FIND("QTY",AT34)),ISNUMBER(FIND("QUANTITY",AT34))))+8192*(AND(OR(ISNUMBER(FIND("COMPLETE",AT34)),ISNUMBER(FIND("PCT",AT34)),ISNUMBER(FIND("PERCENT",AT34))),NOT(ISNUMBER(FIND("ACTUAL",AT34))),LEN(AT34)&lt;=16))+32768*(OR(ISNUMBER(FIND("DESIC",AT34)),ISNUMBER(FIND("DESSIC",AT34)))))</f>
        <v/>
      </c>
      <c r="AU169">
        <f>IF(AU34="",0,2*(OR(ISNUMBER(FIND("WORKCENTER",AU34)),AND(LEFT(AU34,4)="LINE",NOT(ISNUMBER(FIND("STATUS",AU34))))))+4*(OR(ISNUMBER(FIND("WORKORDER",AU34)),AND(LEFT(AU34,2)="WO",OR(ISNUMBER(FIND("NUM",AU34)),RIGHT(AU34,2)="NO"))))+8*(LEFT(AU34,3)="SEQ")+16*(AND(LEFT(AU34,4)="ITEM",NOT(ISNUMBER(FIND("DESC",AU34)))))+32*(AND(ISNUMBER(FIND("DESC",AU34)),NOT(ISNUMBER(FIND("CAP",AU34)))))+64*(OR(RIGHT(AU34,5)="COUNT",RIGHT(AU34,2)="CT"))+128*(ISNUMBER(FIND("BULK",AU34)))+256*(ISNUMBER(FIND("SIZE",AU34)))+512*(LEFT(AU34,3)="CAP")+1024*(ISNUMBER(FIND("ALLERG",AU34)))+2048*(OR(ISNUMBER(FIND("REMARK",AU34)),ISNUMBER(FIND("COMMENT",AU34))))+4096*(OR(ISNUMBER(FIND("QTY",AU34)),ISNUMBER(FIND("QUANTITY",AU34))))+8192*(AND(OR(ISNUMBER(FIND("COMPLETE",AU34)),ISNUMBER(FIND("PCT",AU34)),ISNUMBER(FIND("PERCENT",AU34))),NOT(ISNUMBER(FIND("ACTUAL",AU34))),LEN(AU34)&lt;=16))+32768*(OR(ISNUMBER(FIND("DESIC",AU34)),ISNUMBER(FIND("DESSIC",AU34)))))</f>
        <v/>
      </c>
      <c r="AV169">
        <f>IF(AV34="",0,2*(OR(ISNUMBER(FIND("WORKCENTER",AV34)),AND(LEFT(AV34,4)="LINE",NOT(ISNUMBER(FIND("STATUS",AV34))))))+4*(OR(ISNUMBER(FIND("WORKORDER",AV34)),AND(LEFT(AV34,2)="WO",OR(ISNUMBER(FIND("NUM",AV34)),RIGHT(AV34,2)="NO"))))+8*(LEFT(AV34,3)="SEQ")+16*(AND(LEFT(AV34,4)="ITEM",NOT(ISNUMBER(FIND("DESC",AV34)))))+32*(AND(ISNUMBER(FIND("DESC",AV34)),NOT(ISNUMBER(FIND("CAP",AV34)))))+64*(OR(RIGHT(AV34,5)="COUNT",RIGHT(AV34,2)="CT"))+128*(ISNUMBER(FIND("BULK",AV34)))+256*(ISNUMBER(FIND("SIZE",AV34)))+512*(LEFT(AV34,3)="CAP")+1024*(ISNUMBER(FIND("ALLERG",AV34)))+2048*(OR(ISNUMBER(FIND("REMARK",AV34)),ISNUMBER(FIND("COMMENT",AV34))))+4096*(OR(ISNUMBER(FIND("QTY",AV34)),ISNUMBER(FIND("QUANTITY",AV34))))+8192*(AND(OR(ISNUMBER(FIND("COMPLETE",AV34)),ISNUMBER(FIND("PCT",AV34)),ISNUMBER(FIND("PERCENT",AV34))),NOT(ISNUMBER(FIND("ACTUAL",AV34))),LEN(AV34)&lt;=16))+32768*(OR(ISNUMBER(FIND("DESIC",AV34)),ISNUMBER(FIND("DESSIC",AV34)))))</f>
        <v/>
      </c>
      <c r="AW169">
        <f>IF(AW34="",0,2*(OR(ISNUMBER(FIND("WORKCENTER",AW34)),AND(LEFT(AW34,4)="LINE",NOT(ISNUMBER(FIND("STATUS",AW34))))))+4*(OR(ISNUMBER(FIND("WORKORDER",AW34)),AND(LEFT(AW34,2)="WO",OR(ISNUMBER(FIND("NUM",AW34)),RIGHT(AW34,2)="NO"))))+8*(LEFT(AW34,3)="SEQ")+16*(AND(LEFT(AW34,4)="ITEM",NOT(ISNUMBER(FIND("DESC",AW34)))))+32*(AND(ISNUMBER(FIND("DESC",AW34)),NOT(ISNUMBER(FIND("CAP",AW34)))))+64*(OR(RIGHT(AW34,5)="COUNT",RIGHT(AW34,2)="CT"))+128*(ISNUMBER(FIND("BULK",AW34)))+256*(ISNUMBER(FIND("SIZE",AW34)))+512*(LEFT(AW34,3)="CAP")+1024*(ISNUMBER(FIND("ALLERG",AW34)))+2048*(OR(ISNUMBER(FIND("REMARK",AW34)),ISNUMBER(FIND("COMMENT",AW34))))+4096*(OR(ISNUMBER(FIND("QTY",AW34)),ISNUMBER(FIND("QUANTITY",AW34))))+8192*(AND(OR(ISNUMBER(FIND("COMPLETE",AW34)),ISNUMBER(FIND("PCT",AW34)),ISNUMBER(FIND("PERCENT",AW34))),NOT(ISNUMBER(FIND("ACTUAL",AW34))),LEN(AW34)&lt;=16))+32768*(OR(ISNUMBER(FIND("DESIC",AW34)),ISNUMBER(FIND("DESSIC",AW34)))))</f>
        <v/>
      </c>
      <c r="AX169">
        <f>IF(AX34="",0,2*(OR(ISNUMBER(FIND("WORKCENTER",AX34)),AND(LEFT(AX34,4)="LINE",NOT(ISNUMBER(FIND("STATUS",AX34))))))+4*(OR(ISNUMBER(FIND("WORKORDER",AX34)),AND(LEFT(AX34,2)="WO",OR(ISNUMBER(FIND("NUM",AX34)),RIGHT(AX34,2)="NO"))))+8*(LEFT(AX34,3)="SEQ")+16*(AND(LEFT(AX34,4)="ITEM",NOT(ISNUMBER(FIND("DESC",AX34)))))+32*(AND(ISNUMBER(FIND("DESC",AX34)),NOT(ISNUMBER(FIND("CAP",AX34)))))+64*(OR(RIGHT(AX34,5)="COUNT",RIGHT(AX34,2)="CT"))+128*(ISNUMBER(FIND("BULK",AX34)))+256*(ISNUMBER(FIND("SIZE",AX34)))+512*(LEFT(AX34,3)="CAP")+1024*(ISNUMBER(FIND("ALLERG",AX34)))+2048*(OR(ISNUMBER(FIND("REMARK",AX34)),ISNUMBER(FIND("COMMENT",AX34))))+4096*(OR(ISNUMBER(FIND("QTY",AX34)),ISNUMBER(FIND("QUANTITY",AX34))))+8192*(AND(OR(ISNUMBER(FIND("COMPLETE",AX34)),ISNUMBER(FIND("PCT",AX34)),ISNUMBER(FIND("PERCENT",AX34))),NOT(ISNUMBER(FIND("ACTUAL",AX34))),LEN(AX34)&lt;=16))+32768*(OR(ISNUMBER(FIND("DESIC",AX34)),ISNUMBER(FIND("DESSIC",AX34)))))</f>
        <v/>
      </c>
      <c r="AY169">
        <f>IF(AY34="",0,2*(OR(ISNUMBER(FIND("WORKCENTER",AY34)),AND(LEFT(AY34,4)="LINE",NOT(ISNUMBER(FIND("STATUS",AY34))))))+4*(OR(ISNUMBER(FIND("WORKORDER",AY34)),AND(LEFT(AY34,2)="WO",OR(ISNUMBER(FIND("NUM",AY34)),RIGHT(AY34,2)="NO"))))+8*(LEFT(AY34,3)="SEQ")+16*(AND(LEFT(AY34,4)="ITEM",NOT(ISNUMBER(FIND("DESC",AY34)))))+32*(AND(ISNUMBER(FIND("DESC",AY34)),NOT(ISNUMBER(FIND("CAP",AY34)))))+64*(OR(RIGHT(AY34,5)="COUNT",RIGHT(AY34,2)="CT"))+128*(ISNUMBER(FIND("BULK",AY34)))+256*(ISNUMBER(FIND("SIZE",AY34)))+512*(LEFT(AY34,3)="CAP")+1024*(ISNUMBER(FIND("ALLERG",AY34)))+2048*(OR(ISNUMBER(FIND("REMARK",AY34)),ISNUMBER(FIND("COMMENT",AY34))))+4096*(OR(ISNUMBER(FIND("QTY",AY34)),ISNUMBER(FIND("QUANTITY",AY34))))+8192*(AND(OR(ISNUMBER(FIND("COMPLETE",AY34)),ISNUMBER(FIND("PCT",AY34)),ISNUMBER(FIND("PERCENT",AY34))),NOT(ISNUMBER(FIND("ACTUAL",AY34))),LEN(AY34)&lt;=16))+32768*(OR(ISNUMBER(FIND("DESIC",AY34)),ISNUMBER(FIND("DESSIC",AY34)))))</f>
        <v/>
      </c>
      <c r="AZ169">
        <f>IF(AZ34="",0,2*(OR(ISNUMBER(FIND("WORKCENTER",AZ34)),AND(LEFT(AZ34,4)="LINE",NOT(ISNUMBER(FIND("STATUS",AZ34))))))+4*(OR(ISNUMBER(FIND("WORKORDER",AZ34)),AND(LEFT(AZ34,2)="WO",OR(ISNUMBER(FIND("NUM",AZ34)),RIGHT(AZ34,2)="NO"))))+8*(LEFT(AZ34,3)="SEQ")+16*(AND(LEFT(AZ34,4)="ITEM",NOT(ISNUMBER(FIND("DESC",AZ34)))))+32*(AND(ISNUMBER(FIND("DESC",AZ34)),NOT(ISNUMBER(FIND("CAP",AZ34)))))+64*(OR(RIGHT(AZ34,5)="COUNT",RIGHT(AZ34,2)="CT"))+128*(ISNUMBER(FIND("BULK",AZ34)))+256*(ISNUMBER(FIND("SIZE",AZ34)))+512*(LEFT(AZ34,3)="CAP")+1024*(ISNUMBER(FIND("ALLERG",AZ34)))+2048*(OR(ISNUMBER(FIND("REMARK",AZ34)),ISNUMBER(FIND("COMMENT",AZ34))))+4096*(OR(ISNUMBER(FIND("QTY",AZ34)),ISNUMBER(FIND("QUANTITY",AZ34))))+8192*(AND(OR(ISNUMBER(FIND("COMPLETE",AZ34)),ISNUMBER(FIND("PCT",AZ34)),ISNUMBER(FIND("PERCENT",AZ34))),NOT(ISNUMBER(FIND("ACTUAL",AZ34))),LEN(AZ34)&lt;=16))+32768*(OR(ISNUMBER(FIND("DESIC",AZ34)),ISNUMBER(FIND("DESSIC",AZ34)))))</f>
        <v/>
      </c>
      <c r="BA169">
        <f>IF(BA34="",0,2*(OR(ISNUMBER(FIND("WORKCENTER",BA34)),AND(LEFT(BA34,4)="LINE",NOT(ISNUMBER(FIND("STATUS",BA34))))))+4*(OR(ISNUMBER(FIND("WORKORDER",BA34)),AND(LEFT(BA34,2)="WO",OR(ISNUMBER(FIND("NUM",BA34)),RIGHT(BA34,2)="NO"))))+8*(LEFT(BA34,3)="SEQ")+16*(AND(LEFT(BA34,4)="ITEM",NOT(ISNUMBER(FIND("DESC",BA34)))))+32*(AND(ISNUMBER(FIND("DESC",BA34)),NOT(ISNUMBER(FIND("CAP",BA34)))))+64*(OR(RIGHT(BA34,5)="COUNT",RIGHT(BA34,2)="CT"))+128*(ISNUMBER(FIND("BULK",BA34)))+256*(ISNUMBER(FIND("SIZE",BA34)))+512*(LEFT(BA34,3)="CAP")+1024*(ISNUMBER(FIND("ALLERG",BA34)))+2048*(OR(ISNUMBER(FIND("REMARK",BA34)),ISNUMBER(FIND("COMMENT",BA34))))+4096*(OR(ISNUMBER(FIND("QTY",BA34)),ISNUMBER(FIND("QUANTITY",BA34))))+8192*(AND(OR(ISNUMBER(FIND("COMPLETE",BA34)),ISNUMBER(FIND("PCT",BA34)),ISNUMBER(FIND("PERCENT",BA34))),NOT(ISNUMBER(FIND("ACTUAL",BA34))),LEN(BA34)&lt;=16))+32768*(OR(ISNUMBER(FIND("DESIC",BA34)),ISNUMBER(FIND("DESSIC",BA34)))))</f>
        <v/>
      </c>
      <c r="BB169">
        <f>IF(BB34="",0,2*(OR(ISNUMBER(FIND("WORKCENTER",BB34)),AND(LEFT(BB34,4)="LINE",NOT(ISNUMBER(FIND("STATUS",BB34))))))+4*(OR(ISNUMBER(FIND("WORKORDER",BB34)),AND(LEFT(BB34,2)="WO",OR(ISNUMBER(FIND("NUM",BB34)),RIGHT(BB34,2)="NO"))))+8*(LEFT(BB34,3)="SEQ")+16*(AND(LEFT(BB34,4)="ITEM",NOT(ISNUMBER(FIND("DESC",BB34)))))+32*(AND(ISNUMBER(FIND("DESC",BB34)),NOT(ISNUMBER(FIND("CAP",BB34)))))+64*(OR(RIGHT(BB34,5)="COUNT",RIGHT(BB34,2)="CT"))+128*(ISNUMBER(FIND("BULK",BB34)))+256*(ISNUMBER(FIND("SIZE",BB34)))+512*(LEFT(BB34,3)="CAP")+1024*(ISNUMBER(FIND("ALLERG",BB34)))+2048*(OR(ISNUMBER(FIND("REMARK",BB34)),ISNUMBER(FIND("COMMENT",BB34))))+4096*(OR(ISNUMBER(FIND("QTY",BB34)),ISNUMBER(FIND("QUANTITY",BB34))))+8192*(AND(OR(ISNUMBER(FIND("COMPLETE",BB34)),ISNUMBER(FIND("PCT",BB34)),ISNUMBER(FIND("PERCENT",BB34))),NOT(ISNUMBER(FIND("ACTUAL",BB34))),LEN(BB34)&lt;=16))+32768*(OR(ISNUMBER(FIND("DESIC",BB34)),ISNUMBER(FIND("DESSIC",BB34)))))</f>
        <v/>
      </c>
      <c r="BC169">
        <f>IF(BC34="",0,2*(OR(ISNUMBER(FIND("WORKCENTER",BC34)),AND(LEFT(BC34,4)="LINE",NOT(ISNUMBER(FIND("STATUS",BC34))))))+4*(OR(ISNUMBER(FIND("WORKORDER",BC34)),AND(LEFT(BC34,2)="WO",OR(ISNUMBER(FIND("NUM",BC34)),RIGHT(BC34,2)="NO"))))+8*(LEFT(BC34,3)="SEQ")+16*(AND(LEFT(BC34,4)="ITEM",NOT(ISNUMBER(FIND("DESC",BC34)))))+32*(AND(ISNUMBER(FIND("DESC",BC34)),NOT(ISNUMBER(FIND("CAP",BC34)))))+64*(OR(RIGHT(BC34,5)="COUNT",RIGHT(BC34,2)="CT"))+128*(ISNUMBER(FIND("BULK",BC34)))+256*(ISNUMBER(FIND("SIZE",BC34)))+512*(LEFT(BC34,3)="CAP")+1024*(ISNUMBER(FIND("ALLERG",BC34)))+2048*(OR(ISNUMBER(FIND("REMARK",BC34)),ISNUMBER(FIND("COMMENT",BC34))))+4096*(OR(ISNUMBER(FIND("QTY",BC34)),ISNUMBER(FIND("QUANTITY",BC34))))+8192*(AND(OR(ISNUMBER(FIND("COMPLETE",BC34)),ISNUMBER(FIND("PCT",BC34)),ISNUMBER(FIND("PERCENT",BC34))),NOT(ISNUMBER(FIND("ACTUAL",BC34))),LEN(BC34)&lt;=16))+32768*(OR(ISNUMBER(FIND("DESIC",BC34)),ISNUMBER(FIND("DESSIC",BC34)))))</f>
        <v/>
      </c>
      <c r="BD169">
        <f>IF(BD34="",0,2*(OR(ISNUMBER(FIND("WORKCENTER",BD34)),AND(LEFT(BD34,4)="LINE",NOT(ISNUMBER(FIND("STATUS",BD34))))))+4*(OR(ISNUMBER(FIND("WORKORDER",BD34)),AND(LEFT(BD34,2)="WO",OR(ISNUMBER(FIND("NUM",BD34)),RIGHT(BD34,2)="NO"))))+8*(LEFT(BD34,3)="SEQ")+16*(AND(LEFT(BD34,4)="ITEM",NOT(ISNUMBER(FIND("DESC",BD34)))))+32*(AND(ISNUMBER(FIND("DESC",BD34)),NOT(ISNUMBER(FIND("CAP",BD34)))))+64*(OR(RIGHT(BD34,5)="COUNT",RIGHT(BD34,2)="CT"))+128*(ISNUMBER(FIND("BULK",BD34)))+256*(ISNUMBER(FIND("SIZE",BD34)))+512*(LEFT(BD34,3)="CAP")+1024*(ISNUMBER(FIND("ALLERG",BD34)))+2048*(OR(ISNUMBER(FIND("REMARK",BD34)),ISNUMBER(FIND("COMMENT",BD34))))+4096*(OR(ISNUMBER(FIND("QTY",BD34)),ISNUMBER(FIND("QUANTITY",BD34))))+8192*(AND(OR(ISNUMBER(FIND("COMPLETE",BD34)),ISNUMBER(FIND("PCT",BD34)),ISNUMBER(FIND("PERCENT",BD34))),NOT(ISNUMBER(FIND("ACTUAL",BD34))),LEN(BD34)&lt;=16))+32768*(OR(ISNUMBER(FIND("DESIC",BD34)),ISNUMBER(FIND("DESSIC",BD34)))))</f>
        <v/>
      </c>
      <c r="BE169">
        <f>IF(BE34="",0,2*(OR(ISNUMBER(FIND("WORKCENTER",BE34)),AND(LEFT(BE34,4)="LINE",NOT(ISNUMBER(FIND("STATUS",BE34))))))+4*(OR(ISNUMBER(FIND("WORKORDER",BE34)),AND(LEFT(BE34,2)="WO",OR(ISNUMBER(FIND("NUM",BE34)),RIGHT(BE34,2)="NO"))))+8*(LEFT(BE34,3)="SEQ")+16*(AND(LEFT(BE34,4)="ITEM",NOT(ISNUMBER(FIND("DESC",BE34)))))+32*(AND(ISNUMBER(FIND("DESC",BE34)),NOT(ISNUMBER(FIND("CAP",BE34)))))+64*(OR(RIGHT(BE34,5)="COUNT",RIGHT(BE34,2)="CT"))+128*(ISNUMBER(FIND("BULK",BE34)))+256*(ISNUMBER(FIND("SIZE",BE34)))+512*(LEFT(BE34,3)="CAP")+1024*(ISNUMBER(FIND("ALLERG",BE34)))+2048*(OR(ISNUMBER(FIND("REMARK",BE34)),ISNUMBER(FIND("COMMENT",BE34))))+4096*(OR(ISNUMBER(FIND("QTY",BE34)),ISNUMBER(FIND("QUANTITY",BE34))))+8192*(AND(OR(ISNUMBER(FIND("COMPLETE",BE34)),ISNUMBER(FIND("PCT",BE34)),ISNUMBER(FIND("PERCENT",BE34))),NOT(ISNUMBER(FIND("ACTUAL",BE34))),LEN(BE34)&lt;=16))+32768*(OR(ISNUMBER(FIND("DESIC",BE34)),ISNUMBER(FIND("DESSIC",BE34)))))</f>
        <v/>
      </c>
      <c r="BF169">
        <f>IF(BF34="",0,2*(OR(ISNUMBER(FIND("WORKCENTER",BF34)),AND(LEFT(BF34,4)="LINE",NOT(ISNUMBER(FIND("STATUS",BF34))))))+4*(OR(ISNUMBER(FIND("WORKORDER",BF34)),AND(LEFT(BF34,2)="WO",OR(ISNUMBER(FIND("NUM",BF34)),RIGHT(BF34,2)="NO"))))+8*(LEFT(BF34,3)="SEQ")+16*(AND(LEFT(BF34,4)="ITEM",NOT(ISNUMBER(FIND("DESC",BF34)))))+32*(AND(ISNUMBER(FIND("DESC",BF34)),NOT(ISNUMBER(FIND("CAP",BF34)))))+64*(OR(RIGHT(BF34,5)="COUNT",RIGHT(BF34,2)="CT"))+128*(ISNUMBER(FIND("BULK",BF34)))+256*(ISNUMBER(FIND("SIZE",BF34)))+512*(LEFT(BF34,3)="CAP")+1024*(ISNUMBER(FIND("ALLERG",BF34)))+2048*(OR(ISNUMBER(FIND("REMARK",BF34)),ISNUMBER(FIND("COMMENT",BF34))))+4096*(OR(ISNUMBER(FIND("QTY",BF34)),ISNUMBER(FIND("QUANTITY",BF34))))+8192*(AND(OR(ISNUMBER(FIND("COMPLETE",BF34)),ISNUMBER(FIND("PCT",BF34)),ISNUMBER(FIND("PERCENT",BF34))),NOT(ISNUMBER(FIND("ACTUAL",BF34))),LEN(BF34)&lt;=16))+32768*(OR(ISNUMBER(FIND("DESIC",BF34)),ISNUMBER(FIND("DESSIC",BF34)))))</f>
        <v/>
      </c>
      <c r="BG169">
        <f>IF(BG34="",0,2*(OR(ISNUMBER(FIND("WORKCENTER",BG34)),AND(LEFT(BG34,4)="LINE",NOT(ISNUMBER(FIND("STATUS",BG34))))))+4*(OR(ISNUMBER(FIND("WORKORDER",BG34)),AND(LEFT(BG34,2)="WO",OR(ISNUMBER(FIND("NUM",BG34)),RIGHT(BG34,2)="NO"))))+8*(LEFT(BG34,3)="SEQ")+16*(AND(LEFT(BG34,4)="ITEM",NOT(ISNUMBER(FIND("DESC",BG34)))))+32*(AND(ISNUMBER(FIND("DESC",BG34)),NOT(ISNUMBER(FIND("CAP",BG34)))))+64*(OR(RIGHT(BG34,5)="COUNT",RIGHT(BG34,2)="CT"))+128*(ISNUMBER(FIND("BULK",BG34)))+256*(ISNUMBER(FIND("SIZE",BG34)))+512*(LEFT(BG34,3)="CAP")+1024*(ISNUMBER(FIND("ALLERG",BG34)))+2048*(OR(ISNUMBER(FIND("REMARK",BG34)),ISNUMBER(FIND("COMMENT",BG34))))+4096*(OR(ISNUMBER(FIND("QTY",BG34)),ISNUMBER(FIND("QUANTITY",BG34))))+8192*(AND(OR(ISNUMBER(FIND("COMPLETE",BG34)),ISNUMBER(FIND("PCT",BG34)),ISNUMBER(FIND("PERCENT",BG34))),NOT(ISNUMBER(FIND("ACTUAL",BG34))),LEN(BG34)&lt;=16))+32768*(OR(ISNUMBER(FIND("DESIC",BG34)),ISNUMBER(FIND("DESSIC",BG34)))))</f>
        <v/>
      </c>
      <c r="BH169">
        <f>IF(BH34="",0,2*(OR(ISNUMBER(FIND("WORKCENTER",BH34)),AND(LEFT(BH34,4)="LINE",NOT(ISNUMBER(FIND("STATUS",BH34))))))+4*(OR(ISNUMBER(FIND("WORKORDER",BH34)),AND(LEFT(BH34,2)="WO",OR(ISNUMBER(FIND("NUM",BH34)),RIGHT(BH34,2)="NO"))))+8*(LEFT(BH34,3)="SEQ")+16*(AND(LEFT(BH34,4)="ITEM",NOT(ISNUMBER(FIND("DESC",BH34)))))+32*(AND(ISNUMBER(FIND("DESC",BH34)),NOT(ISNUMBER(FIND("CAP",BH34)))))+64*(OR(RIGHT(BH34,5)="COUNT",RIGHT(BH34,2)="CT"))+128*(ISNUMBER(FIND("BULK",BH34)))+256*(ISNUMBER(FIND("SIZE",BH34)))+512*(LEFT(BH34,3)="CAP")+1024*(ISNUMBER(FIND("ALLERG",BH34)))+2048*(OR(ISNUMBER(FIND("REMARK",BH34)),ISNUMBER(FIND("COMMENT",BH34))))+4096*(OR(ISNUMBER(FIND("QTY",BH34)),ISNUMBER(FIND("QUANTITY",BH34))))+8192*(AND(OR(ISNUMBER(FIND("COMPLETE",BH34)),ISNUMBER(FIND("PCT",BH34)),ISNUMBER(FIND("PERCENT",BH34))),NOT(ISNUMBER(FIND("ACTUAL",BH34))),LEN(BH34)&lt;=16))+32768*(OR(ISNUMBER(FIND("DESIC",BH34)),ISNUMBER(FIND("DESSIC",BH34)))))</f>
        <v/>
      </c>
      <c r="BI169">
        <f>IF(BI34="",0,2*(OR(ISNUMBER(FIND("WORKCENTER",BI34)),AND(LEFT(BI34,4)="LINE",NOT(ISNUMBER(FIND("STATUS",BI34))))))+4*(OR(ISNUMBER(FIND("WORKORDER",BI34)),AND(LEFT(BI34,2)="WO",OR(ISNUMBER(FIND("NUM",BI34)),RIGHT(BI34,2)="NO"))))+8*(LEFT(BI34,3)="SEQ")+16*(AND(LEFT(BI34,4)="ITEM",NOT(ISNUMBER(FIND("DESC",BI34)))))+32*(AND(ISNUMBER(FIND("DESC",BI34)),NOT(ISNUMBER(FIND("CAP",BI34)))))+64*(OR(RIGHT(BI34,5)="COUNT",RIGHT(BI34,2)="CT"))+128*(ISNUMBER(FIND("BULK",BI34)))+256*(ISNUMBER(FIND("SIZE",BI34)))+512*(LEFT(BI34,3)="CAP")+1024*(ISNUMBER(FIND("ALLERG",BI34)))+2048*(OR(ISNUMBER(FIND("REMARK",BI34)),ISNUMBER(FIND("COMMENT",BI34))))+4096*(OR(ISNUMBER(FIND("QTY",BI34)),ISNUMBER(FIND("QUANTITY",BI34))))+8192*(AND(OR(ISNUMBER(FIND("COMPLETE",BI34)),ISNUMBER(FIND("PCT",BI34)),ISNUMBER(FIND("PERCENT",BI34))),NOT(ISNUMBER(FIND("ACTUAL",BI34))),LEN(BI34)&lt;=16))+32768*(OR(ISNUMBER(FIND("DESIC",BI34)),ISNUMBER(FIND("DESSIC",BI34)))))</f>
        <v/>
      </c>
      <c r="BJ169">
        <f>IF(BJ34="",0,2*(OR(ISNUMBER(FIND("WORKCENTER",BJ34)),AND(LEFT(BJ34,4)="LINE",NOT(ISNUMBER(FIND("STATUS",BJ34))))))+4*(OR(ISNUMBER(FIND("WORKORDER",BJ34)),AND(LEFT(BJ34,2)="WO",OR(ISNUMBER(FIND("NUM",BJ34)),RIGHT(BJ34,2)="NO"))))+8*(LEFT(BJ34,3)="SEQ")+16*(AND(LEFT(BJ34,4)="ITEM",NOT(ISNUMBER(FIND("DESC",BJ34)))))+32*(AND(ISNUMBER(FIND("DESC",BJ34)),NOT(ISNUMBER(FIND("CAP",BJ34)))))+64*(OR(RIGHT(BJ34,5)="COUNT",RIGHT(BJ34,2)="CT"))+128*(ISNUMBER(FIND("BULK",BJ34)))+256*(ISNUMBER(FIND("SIZE",BJ34)))+512*(LEFT(BJ34,3)="CAP")+1024*(ISNUMBER(FIND("ALLERG",BJ34)))+2048*(OR(ISNUMBER(FIND("REMARK",BJ34)),ISNUMBER(FIND("COMMENT",BJ34))))+4096*(OR(ISNUMBER(FIND("QTY",BJ34)),ISNUMBER(FIND("QUANTITY",BJ34))))+8192*(AND(OR(ISNUMBER(FIND("COMPLETE",BJ34)),ISNUMBER(FIND("PCT",BJ34)),ISNUMBER(FIND("PERCENT",BJ34))),NOT(ISNUMBER(FIND("ACTUAL",BJ34))),LEN(BJ34)&lt;=16))+32768*(OR(ISNUMBER(FIND("DESIC",BJ34)),ISNUMBER(FIND("DESSIC",BJ34)))))</f>
        <v/>
      </c>
      <c r="BK169">
        <f>IF(BK34="",0,2*(OR(ISNUMBER(FIND("WORKCENTER",BK34)),AND(LEFT(BK34,4)="LINE",NOT(ISNUMBER(FIND("STATUS",BK34))))))+4*(OR(ISNUMBER(FIND("WORKORDER",BK34)),AND(LEFT(BK34,2)="WO",OR(ISNUMBER(FIND("NUM",BK34)),RIGHT(BK34,2)="NO"))))+8*(LEFT(BK34,3)="SEQ")+16*(AND(LEFT(BK34,4)="ITEM",NOT(ISNUMBER(FIND("DESC",BK34)))))+32*(AND(ISNUMBER(FIND("DESC",BK34)),NOT(ISNUMBER(FIND("CAP",BK34)))))+64*(OR(RIGHT(BK34,5)="COUNT",RIGHT(BK34,2)="CT"))+128*(ISNUMBER(FIND("BULK",BK34)))+256*(ISNUMBER(FIND("SIZE",BK34)))+512*(LEFT(BK34,3)="CAP")+1024*(ISNUMBER(FIND("ALLERG",BK34)))+2048*(OR(ISNUMBER(FIND("REMARK",BK34)),ISNUMBER(FIND("COMMENT",BK34))))+4096*(OR(ISNUMBER(FIND("QTY",BK34)),ISNUMBER(FIND("QUANTITY",BK34))))+8192*(AND(OR(ISNUMBER(FIND("COMPLETE",BK34)),ISNUMBER(FIND("PCT",BK34)),ISNUMBER(FIND("PERCENT",BK34))),NOT(ISNUMBER(FIND("ACTUAL",BK34))),LEN(BK34)&lt;=16))+32768*(OR(ISNUMBER(FIND("DESIC",BK34)),ISNUMBER(FIND("DESSIC",BK34)))))</f>
        <v/>
      </c>
      <c r="BL169">
        <f>IF(BL34="",0,2*(OR(ISNUMBER(FIND("WORKCENTER",BL34)),AND(LEFT(BL34,4)="LINE",NOT(ISNUMBER(FIND("STATUS",BL34))))))+4*(OR(ISNUMBER(FIND("WORKORDER",BL34)),AND(LEFT(BL34,2)="WO",OR(ISNUMBER(FIND("NUM",BL34)),RIGHT(BL34,2)="NO"))))+8*(LEFT(BL34,3)="SEQ")+16*(AND(LEFT(BL34,4)="ITEM",NOT(ISNUMBER(FIND("DESC",BL34)))))+32*(AND(ISNUMBER(FIND("DESC",BL34)),NOT(ISNUMBER(FIND("CAP",BL34)))))+64*(OR(RIGHT(BL34,5)="COUNT",RIGHT(BL34,2)="CT"))+128*(ISNUMBER(FIND("BULK",BL34)))+256*(ISNUMBER(FIND("SIZE",BL34)))+512*(LEFT(BL34,3)="CAP")+1024*(ISNUMBER(FIND("ALLERG",BL34)))+2048*(OR(ISNUMBER(FIND("REMARK",BL34)),ISNUMBER(FIND("COMMENT",BL34))))+4096*(OR(ISNUMBER(FIND("QTY",BL34)),ISNUMBER(FIND("QUANTITY",BL34))))+8192*(AND(OR(ISNUMBER(FIND("COMPLETE",BL34)),ISNUMBER(FIND("PCT",BL34)),ISNUMBER(FIND("PERCENT",BL34))),NOT(ISNUMBER(FIND("ACTUAL",BL34))),LEN(BL34)&lt;=16))+32768*(OR(ISNUMBER(FIND("DESIC",BL34)),ISNUMBER(FIND("DESSIC",BL34)))))</f>
        <v/>
      </c>
      <c r="BM169">
        <f>IF(BM34="",0,2*(OR(ISNUMBER(FIND("WORKCENTER",BM34)),AND(LEFT(BM34,4)="LINE",NOT(ISNUMBER(FIND("STATUS",BM34))))))+4*(OR(ISNUMBER(FIND("WORKORDER",BM34)),AND(LEFT(BM34,2)="WO",OR(ISNUMBER(FIND("NUM",BM34)),RIGHT(BM34,2)="NO"))))+8*(LEFT(BM34,3)="SEQ")+16*(AND(LEFT(BM34,4)="ITEM",NOT(ISNUMBER(FIND("DESC",BM34)))))+32*(AND(ISNUMBER(FIND("DESC",BM34)),NOT(ISNUMBER(FIND("CAP",BM34)))))+64*(OR(RIGHT(BM34,5)="COUNT",RIGHT(BM34,2)="CT"))+128*(ISNUMBER(FIND("BULK",BM34)))+256*(ISNUMBER(FIND("SIZE",BM34)))+512*(LEFT(BM34,3)="CAP")+1024*(ISNUMBER(FIND("ALLERG",BM34)))+2048*(OR(ISNUMBER(FIND("REMARK",BM34)),ISNUMBER(FIND("COMMENT",BM34))))+4096*(OR(ISNUMBER(FIND("QTY",BM34)),ISNUMBER(FIND("QUANTITY",BM34))))+8192*(AND(OR(ISNUMBER(FIND("COMPLETE",BM34)),ISNUMBER(FIND("PCT",BM34)),ISNUMBER(FIND("PERCENT",BM34))),NOT(ISNUMBER(FIND("ACTUAL",BM34))),LEN(BM34)&lt;=16))+32768*(OR(ISNUMBER(FIND("DESIC",BM34)),ISNUMBER(FIND("DESSIC",BM34)))))</f>
        <v/>
      </c>
      <c r="BN169">
        <f>IF(BN34="",0,2*(OR(ISNUMBER(FIND("WORKCENTER",BN34)),AND(LEFT(BN34,4)="LINE",NOT(ISNUMBER(FIND("STATUS",BN34))))))+4*(OR(ISNUMBER(FIND("WORKORDER",BN34)),AND(LEFT(BN34,2)="WO",OR(ISNUMBER(FIND("NUM",BN34)),RIGHT(BN34,2)="NO"))))+8*(LEFT(BN34,3)="SEQ")+16*(AND(LEFT(BN34,4)="ITEM",NOT(ISNUMBER(FIND("DESC",BN34)))))+32*(AND(ISNUMBER(FIND("DESC",BN34)),NOT(ISNUMBER(FIND("CAP",BN34)))))+64*(OR(RIGHT(BN34,5)="COUNT",RIGHT(BN34,2)="CT"))+128*(ISNUMBER(FIND("BULK",BN34)))+256*(ISNUMBER(FIND("SIZE",BN34)))+512*(LEFT(BN34,3)="CAP")+1024*(ISNUMBER(FIND("ALLERG",BN34)))+2048*(OR(ISNUMBER(FIND("REMARK",BN34)),ISNUMBER(FIND("COMMENT",BN34))))+4096*(OR(ISNUMBER(FIND("QTY",BN34)),ISNUMBER(FIND("QUANTITY",BN34))))+8192*(AND(OR(ISNUMBER(FIND("COMPLETE",BN34)),ISNUMBER(FIND("PCT",BN34)),ISNUMBER(FIND("PERCENT",BN34))),NOT(ISNUMBER(FIND("ACTUAL",BN34))),LEN(BN34)&lt;=16))+32768*(OR(ISNUMBER(FIND("DESIC",BN34)),ISNUMBER(FIND("DESSIC",BN34)))))</f>
        <v/>
      </c>
      <c r="BO169">
        <f>IF(BO34="",0,2*(OR(ISNUMBER(FIND("WORKCENTER",BO34)),AND(LEFT(BO34,4)="LINE",NOT(ISNUMBER(FIND("STATUS",BO34))))))+4*(OR(ISNUMBER(FIND("WORKORDER",BO34)),AND(LEFT(BO34,2)="WO",OR(ISNUMBER(FIND("NUM",BO34)),RIGHT(BO34,2)="NO"))))+8*(LEFT(BO34,3)="SEQ")+16*(AND(LEFT(BO34,4)="ITEM",NOT(ISNUMBER(FIND("DESC",BO34)))))+32*(AND(ISNUMBER(FIND("DESC",BO34)),NOT(ISNUMBER(FIND("CAP",BO34)))))+64*(OR(RIGHT(BO34,5)="COUNT",RIGHT(BO34,2)="CT"))+128*(ISNUMBER(FIND("BULK",BO34)))+256*(ISNUMBER(FIND("SIZE",BO34)))+512*(LEFT(BO34,3)="CAP")+1024*(ISNUMBER(FIND("ALLERG",BO34)))+2048*(OR(ISNUMBER(FIND("REMARK",BO34)),ISNUMBER(FIND("COMMENT",BO34))))+4096*(OR(ISNUMBER(FIND("QTY",BO34)),ISNUMBER(FIND("QUANTITY",BO34))))+8192*(AND(OR(ISNUMBER(FIND("COMPLETE",BO34)),ISNUMBER(FIND("PCT",BO34)),ISNUMBER(FIND("PERCENT",BO34))),NOT(ISNUMBER(FIND("ACTUAL",BO34))),LEN(BO34)&lt;=16))+32768*(OR(ISNUMBER(FIND("DESIC",BO34)),ISNUMBER(FIND("DESSIC",BO34)))))</f>
        <v/>
      </c>
      <c r="BP169">
        <f>IF(BP34="",0,2*(OR(ISNUMBER(FIND("WORKCENTER",BP34)),AND(LEFT(BP34,4)="LINE",NOT(ISNUMBER(FIND("STATUS",BP34))))))+4*(OR(ISNUMBER(FIND("WORKORDER",BP34)),AND(LEFT(BP34,2)="WO",OR(ISNUMBER(FIND("NUM",BP34)),RIGHT(BP34,2)="NO"))))+8*(LEFT(BP34,3)="SEQ")+16*(AND(LEFT(BP34,4)="ITEM",NOT(ISNUMBER(FIND("DESC",BP34)))))+32*(AND(ISNUMBER(FIND("DESC",BP34)),NOT(ISNUMBER(FIND("CAP",BP34)))))+64*(OR(RIGHT(BP34,5)="COUNT",RIGHT(BP34,2)="CT"))+128*(ISNUMBER(FIND("BULK",BP34)))+256*(ISNUMBER(FIND("SIZE",BP34)))+512*(LEFT(BP34,3)="CAP")+1024*(ISNUMBER(FIND("ALLERG",BP34)))+2048*(OR(ISNUMBER(FIND("REMARK",BP34)),ISNUMBER(FIND("COMMENT",BP34))))+4096*(OR(ISNUMBER(FIND("QTY",BP34)),ISNUMBER(FIND("QUANTITY",BP34))))+8192*(AND(OR(ISNUMBER(FIND("COMPLETE",BP34)),ISNUMBER(FIND("PCT",BP34)),ISNUMBER(FIND("PERCENT",BP34))),NOT(ISNUMBER(FIND("ACTUAL",BP34))),LEN(BP34)&lt;=16))+32768*(OR(ISNUMBER(FIND("DESIC",BP34)),ISNUMBER(FIND("DESSIC",BP34)))))</f>
        <v/>
      </c>
      <c r="BQ169">
        <f>IF(BQ34="",0,2*(OR(ISNUMBER(FIND("WORKCENTER",BQ34)),AND(LEFT(BQ34,4)="LINE",NOT(ISNUMBER(FIND("STATUS",BQ34))))))+4*(OR(ISNUMBER(FIND("WORKORDER",BQ34)),AND(LEFT(BQ34,2)="WO",OR(ISNUMBER(FIND("NUM",BQ34)),RIGHT(BQ34,2)="NO"))))+8*(LEFT(BQ34,3)="SEQ")+16*(AND(LEFT(BQ34,4)="ITEM",NOT(ISNUMBER(FIND("DESC",BQ34)))))+32*(AND(ISNUMBER(FIND("DESC",BQ34)),NOT(ISNUMBER(FIND("CAP",BQ34)))))+64*(OR(RIGHT(BQ34,5)="COUNT",RIGHT(BQ34,2)="CT"))+128*(ISNUMBER(FIND("BULK",BQ34)))+256*(ISNUMBER(FIND("SIZE",BQ34)))+512*(LEFT(BQ34,3)="CAP")+1024*(ISNUMBER(FIND("ALLERG",BQ34)))+2048*(OR(ISNUMBER(FIND("REMARK",BQ34)),ISNUMBER(FIND("COMMENT",BQ34))))+4096*(OR(ISNUMBER(FIND("QTY",BQ34)),ISNUMBER(FIND("QUANTITY",BQ34))))+8192*(AND(OR(ISNUMBER(FIND("COMPLETE",BQ34)),ISNUMBER(FIND("PCT",BQ34)),ISNUMBER(FIND("PERCENT",BQ34))),NOT(ISNUMBER(FIND("ACTUAL",BQ34))),LEN(BQ34)&lt;=16))+32768*(OR(ISNUMBER(FIND("DESIC",BQ34)),ISNUMBER(FIND("DESSIC",BQ34)))))</f>
        <v/>
      </c>
      <c r="BR169">
        <f>IF(BR34="",0,2*(OR(ISNUMBER(FIND("WORKCENTER",BR34)),AND(LEFT(BR34,4)="LINE",NOT(ISNUMBER(FIND("STATUS",BR34))))))+4*(OR(ISNUMBER(FIND("WORKORDER",BR34)),AND(LEFT(BR34,2)="WO",OR(ISNUMBER(FIND("NUM",BR34)),RIGHT(BR34,2)="NO"))))+8*(LEFT(BR34,3)="SEQ")+16*(AND(LEFT(BR34,4)="ITEM",NOT(ISNUMBER(FIND("DESC",BR34)))))+32*(AND(ISNUMBER(FIND("DESC",BR34)),NOT(ISNUMBER(FIND("CAP",BR34)))))+64*(OR(RIGHT(BR34,5)="COUNT",RIGHT(BR34,2)="CT"))+128*(ISNUMBER(FIND("BULK",BR34)))+256*(ISNUMBER(FIND("SIZE",BR34)))+512*(LEFT(BR34,3)="CAP")+1024*(ISNUMBER(FIND("ALLERG",BR34)))+2048*(OR(ISNUMBER(FIND("REMARK",BR34)),ISNUMBER(FIND("COMMENT",BR34))))+4096*(OR(ISNUMBER(FIND("QTY",BR34)),ISNUMBER(FIND("QUANTITY",BR34))))+8192*(AND(OR(ISNUMBER(FIND("COMPLETE",BR34)),ISNUMBER(FIND("PCT",BR34)),ISNUMBER(FIND("PERCENT",BR34))),NOT(ISNUMBER(FIND("ACTUAL",BR34))),LEN(BR34)&lt;=16))+32768*(OR(ISNUMBER(FIND("DESIC",BR34)),ISNUMBER(FIND("DESSIC",BR34)))))</f>
        <v/>
      </c>
      <c r="BS169">
        <f>IF(BS34="",0,2*(OR(ISNUMBER(FIND("WORKCENTER",BS34)),AND(LEFT(BS34,4)="LINE",NOT(ISNUMBER(FIND("STATUS",BS34))))))+4*(OR(ISNUMBER(FIND("WORKORDER",BS34)),AND(LEFT(BS34,2)="WO",OR(ISNUMBER(FIND("NUM",BS34)),RIGHT(BS34,2)="NO"))))+8*(LEFT(BS34,3)="SEQ")+16*(AND(LEFT(BS34,4)="ITEM",NOT(ISNUMBER(FIND("DESC",BS34)))))+32*(AND(ISNUMBER(FIND("DESC",BS34)),NOT(ISNUMBER(FIND("CAP",BS34)))))+64*(OR(RIGHT(BS34,5)="COUNT",RIGHT(BS34,2)="CT"))+128*(ISNUMBER(FIND("BULK",BS34)))+256*(ISNUMBER(FIND("SIZE",BS34)))+512*(LEFT(BS34,3)="CAP")+1024*(ISNUMBER(FIND("ALLERG",BS34)))+2048*(OR(ISNUMBER(FIND("REMARK",BS34)),ISNUMBER(FIND("COMMENT",BS34))))+4096*(OR(ISNUMBER(FIND("QTY",BS34)),ISNUMBER(FIND("QUANTITY",BS34))))+8192*(AND(OR(ISNUMBER(FIND("COMPLETE",BS34)),ISNUMBER(FIND("PCT",BS34)),ISNUMBER(FIND("PERCENT",BS34))),NOT(ISNUMBER(FIND("ACTUAL",BS34))),LEN(BS34)&lt;=16))+32768*(OR(ISNUMBER(FIND("DESIC",BS34)),ISNUMBER(FIND("DESSIC",BS34)))))</f>
        <v/>
      </c>
      <c r="BT169">
        <f>IF(BT34="",0,2*(OR(ISNUMBER(FIND("WORKCENTER",BT34)),AND(LEFT(BT34,4)="LINE",NOT(ISNUMBER(FIND("STATUS",BT34))))))+4*(OR(ISNUMBER(FIND("WORKORDER",BT34)),AND(LEFT(BT34,2)="WO",OR(ISNUMBER(FIND("NUM",BT34)),RIGHT(BT34,2)="NO"))))+8*(LEFT(BT34,3)="SEQ")+16*(AND(LEFT(BT34,4)="ITEM",NOT(ISNUMBER(FIND("DESC",BT34)))))+32*(AND(ISNUMBER(FIND("DESC",BT34)),NOT(ISNUMBER(FIND("CAP",BT34)))))+64*(OR(RIGHT(BT34,5)="COUNT",RIGHT(BT34,2)="CT"))+128*(ISNUMBER(FIND("BULK",BT34)))+256*(ISNUMBER(FIND("SIZE",BT34)))+512*(LEFT(BT34,3)="CAP")+1024*(ISNUMBER(FIND("ALLERG",BT34)))+2048*(OR(ISNUMBER(FIND("REMARK",BT34)),ISNUMBER(FIND("COMMENT",BT34))))+4096*(OR(ISNUMBER(FIND("QTY",BT34)),ISNUMBER(FIND("QUANTITY",BT34))))+8192*(AND(OR(ISNUMBER(FIND("COMPLETE",BT34)),ISNUMBER(FIND("PCT",BT34)),ISNUMBER(FIND("PERCENT",BT34))),NOT(ISNUMBER(FIND("ACTUAL",BT34))),LEN(BT34)&lt;=16))+32768*(OR(ISNUMBER(FIND("DESIC",BT34)),ISNUMBER(FIND("DESSIC",BT34)))))</f>
        <v/>
      </c>
      <c r="BU169">
        <f>IF(BU34="",0,2*(OR(ISNUMBER(FIND("WORKCENTER",BU34)),AND(LEFT(BU34,4)="LINE",NOT(ISNUMBER(FIND("STATUS",BU34))))))+4*(OR(ISNUMBER(FIND("WORKORDER",BU34)),AND(LEFT(BU34,2)="WO",OR(ISNUMBER(FIND("NUM",BU34)),RIGHT(BU34,2)="NO"))))+8*(LEFT(BU34,3)="SEQ")+16*(AND(LEFT(BU34,4)="ITEM",NOT(ISNUMBER(FIND("DESC",BU34)))))+32*(AND(ISNUMBER(FIND("DESC",BU34)),NOT(ISNUMBER(FIND("CAP",BU34)))))+64*(OR(RIGHT(BU34,5)="COUNT",RIGHT(BU34,2)="CT"))+128*(ISNUMBER(FIND("BULK",BU34)))+256*(ISNUMBER(FIND("SIZE",BU34)))+512*(LEFT(BU34,3)="CAP")+1024*(ISNUMBER(FIND("ALLERG",BU34)))+2048*(OR(ISNUMBER(FIND("REMARK",BU34)),ISNUMBER(FIND("COMMENT",BU34))))+4096*(OR(ISNUMBER(FIND("QTY",BU34)),ISNUMBER(FIND("QUANTITY",BU34))))+8192*(AND(OR(ISNUMBER(FIND("COMPLETE",BU34)),ISNUMBER(FIND("PCT",BU34)),ISNUMBER(FIND("PERCENT",BU34))),NOT(ISNUMBER(FIND("ACTUAL",BU34))),LEN(BU34)&lt;=16))+32768*(OR(ISNUMBER(FIND("DESIC",BU34)),ISNUMBER(FIND("DESSIC",BU34)))))</f>
        <v/>
      </c>
      <c r="BV169">
        <f>IF(BV34="",0,2*(OR(ISNUMBER(FIND("WORKCENTER",BV34)),AND(LEFT(BV34,4)="LINE",NOT(ISNUMBER(FIND("STATUS",BV34))))))+4*(OR(ISNUMBER(FIND("WORKORDER",BV34)),AND(LEFT(BV34,2)="WO",OR(ISNUMBER(FIND("NUM",BV34)),RIGHT(BV34,2)="NO"))))+8*(LEFT(BV34,3)="SEQ")+16*(AND(LEFT(BV34,4)="ITEM",NOT(ISNUMBER(FIND("DESC",BV34)))))+32*(AND(ISNUMBER(FIND("DESC",BV34)),NOT(ISNUMBER(FIND("CAP",BV34)))))+64*(OR(RIGHT(BV34,5)="COUNT",RIGHT(BV34,2)="CT"))+128*(ISNUMBER(FIND("BULK",BV34)))+256*(ISNUMBER(FIND("SIZE",BV34)))+512*(LEFT(BV34,3)="CAP")+1024*(ISNUMBER(FIND("ALLERG",BV34)))+2048*(OR(ISNUMBER(FIND("REMARK",BV34)),ISNUMBER(FIND("COMMENT",BV34))))+4096*(OR(ISNUMBER(FIND("QTY",BV34)),ISNUMBER(FIND("QUANTITY",BV34))))+8192*(AND(OR(ISNUMBER(FIND("COMPLETE",BV34)),ISNUMBER(FIND("PCT",BV34)),ISNUMBER(FIND("PERCENT",BV34))),NOT(ISNUMBER(FIND("ACTUAL",BV34))),LEN(BV34)&lt;=16))+32768*(OR(ISNUMBER(FIND("DESIC",BV34)),ISNUMBER(FIND("DESSIC",BV34)))))</f>
        <v/>
      </c>
      <c r="BW169">
        <f>IF(BW34="",0,2*(OR(ISNUMBER(FIND("WORKCENTER",BW34)),AND(LEFT(BW34,4)="LINE",NOT(ISNUMBER(FIND("STATUS",BW34))))))+4*(OR(ISNUMBER(FIND("WORKORDER",BW34)),AND(LEFT(BW34,2)="WO",OR(ISNUMBER(FIND("NUM",BW34)),RIGHT(BW34,2)="NO"))))+8*(LEFT(BW34,3)="SEQ")+16*(AND(LEFT(BW34,4)="ITEM",NOT(ISNUMBER(FIND("DESC",BW34)))))+32*(AND(ISNUMBER(FIND("DESC",BW34)),NOT(ISNUMBER(FIND("CAP",BW34)))))+64*(OR(RIGHT(BW34,5)="COUNT",RIGHT(BW34,2)="CT"))+128*(ISNUMBER(FIND("BULK",BW34)))+256*(ISNUMBER(FIND("SIZE",BW34)))+512*(LEFT(BW34,3)="CAP")+1024*(ISNUMBER(FIND("ALLERG",BW34)))+2048*(OR(ISNUMBER(FIND("REMARK",BW34)),ISNUMBER(FIND("COMMENT",BW34))))+4096*(OR(ISNUMBER(FIND("QTY",BW34)),ISNUMBER(FIND("QUANTITY",BW34))))+8192*(AND(OR(ISNUMBER(FIND("COMPLETE",BW34)),ISNUMBER(FIND("PCT",BW34)),ISNUMBER(FIND("PERCENT",BW34))),NOT(ISNUMBER(FIND("ACTUAL",BW34))),LEN(BW34)&lt;=16))+32768*(OR(ISNUMBER(FIND("DESIC",BW34)),ISNUMBER(FIND("DESSIC",BW34)))))</f>
        <v/>
      </c>
      <c r="BX169">
        <f>IF(BX34="",0,2*(OR(ISNUMBER(FIND("WORKCENTER",BX34)),AND(LEFT(BX34,4)="LINE",NOT(ISNUMBER(FIND("STATUS",BX34))))))+4*(OR(ISNUMBER(FIND("WORKORDER",BX34)),AND(LEFT(BX34,2)="WO",OR(ISNUMBER(FIND("NUM",BX34)),RIGHT(BX34,2)="NO"))))+8*(LEFT(BX34,3)="SEQ")+16*(AND(LEFT(BX34,4)="ITEM",NOT(ISNUMBER(FIND("DESC",BX34)))))+32*(AND(ISNUMBER(FIND("DESC",BX34)),NOT(ISNUMBER(FIND("CAP",BX34)))))+64*(OR(RIGHT(BX34,5)="COUNT",RIGHT(BX34,2)="CT"))+128*(ISNUMBER(FIND("BULK",BX34)))+256*(ISNUMBER(FIND("SIZE",BX34)))+512*(LEFT(BX34,3)="CAP")+1024*(ISNUMBER(FIND("ALLERG",BX34)))+2048*(OR(ISNUMBER(FIND("REMARK",BX34)),ISNUMBER(FIND("COMMENT",BX34))))+4096*(OR(ISNUMBER(FIND("QTY",BX34)),ISNUMBER(FIND("QUANTITY",BX34))))+8192*(AND(OR(ISNUMBER(FIND("COMPLETE",BX34)),ISNUMBER(FIND("PCT",BX34)),ISNUMBER(FIND("PERCENT",BX34))),NOT(ISNUMBER(FIND("ACTUAL",BX34))),LEN(BX34)&lt;=16))+32768*(OR(ISNUMBER(FIND("DESIC",BX34)),ISNUMBER(FIND("DESSIC",BX34)))))</f>
        <v/>
      </c>
      <c r="BY169">
        <f>IF(BY34="",0,2*(OR(ISNUMBER(FIND("WORKCENTER",BY34)),AND(LEFT(BY34,4)="LINE",NOT(ISNUMBER(FIND("STATUS",BY34))))))+4*(OR(ISNUMBER(FIND("WORKORDER",BY34)),AND(LEFT(BY34,2)="WO",OR(ISNUMBER(FIND("NUM",BY34)),RIGHT(BY34,2)="NO"))))+8*(LEFT(BY34,3)="SEQ")+16*(AND(LEFT(BY34,4)="ITEM",NOT(ISNUMBER(FIND("DESC",BY34)))))+32*(AND(ISNUMBER(FIND("DESC",BY34)),NOT(ISNUMBER(FIND("CAP",BY34)))))+64*(OR(RIGHT(BY34,5)="COUNT",RIGHT(BY34,2)="CT"))+128*(ISNUMBER(FIND("BULK",BY34)))+256*(ISNUMBER(FIND("SIZE",BY34)))+512*(LEFT(BY34,3)="CAP")+1024*(ISNUMBER(FIND("ALLERG",BY34)))+2048*(OR(ISNUMBER(FIND("REMARK",BY34)),ISNUMBER(FIND("COMMENT",BY34))))+4096*(OR(ISNUMBER(FIND("QTY",BY34)),ISNUMBER(FIND("QUANTITY",BY34))))+8192*(AND(OR(ISNUMBER(FIND("COMPLETE",BY34)),ISNUMBER(FIND("PCT",BY34)),ISNUMBER(FIND("PERCENT",BY34))),NOT(ISNUMBER(FIND("ACTUAL",BY34))),LEN(BY34)&lt;=16))+32768*(OR(ISNUMBER(FIND("DESIC",BY34)),ISNUMBER(FIND("DESSIC",BY34)))))</f>
        <v/>
      </c>
      <c r="BZ169">
        <f>IF(BZ34="",0,2*(OR(ISNUMBER(FIND("WORKCENTER",BZ34)),AND(LEFT(BZ34,4)="LINE",NOT(ISNUMBER(FIND("STATUS",BZ34))))))+4*(OR(ISNUMBER(FIND("WORKORDER",BZ34)),AND(LEFT(BZ34,2)="WO",OR(ISNUMBER(FIND("NUM",BZ34)),RIGHT(BZ34,2)="NO"))))+8*(LEFT(BZ34,3)="SEQ")+16*(AND(LEFT(BZ34,4)="ITEM",NOT(ISNUMBER(FIND("DESC",BZ34)))))+32*(AND(ISNUMBER(FIND("DESC",BZ34)),NOT(ISNUMBER(FIND("CAP",BZ34)))))+64*(OR(RIGHT(BZ34,5)="COUNT",RIGHT(BZ34,2)="CT"))+128*(ISNUMBER(FIND("BULK",BZ34)))+256*(ISNUMBER(FIND("SIZE",BZ34)))+512*(LEFT(BZ34,3)="CAP")+1024*(ISNUMBER(FIND("ALLERG",BZ34)))+2048*(OR(ISNUMBER(FIND("REMARK",BZ34)),ISNUMBER(FIND("COMMENT",BZ34))))+4096*(OR(ISNUMBER(FIND("QTY",BZ34)),ISNUMBER(FIND("QUANTITY",BZ34))))+8192*(AND(OR(ISNUMBER(FIND("COMPLETE",BZ34)),ISNUMBER(FIND("PCT",BZ34)),ISNUMBER(FIND("PERCENT",BZ34))),NOT(ISNUMBER(FIND("ACTUAL",BZ34))),LEN(BZ34)&lt;=16))+32768*(OR(ISNUMBER(FIND("DESIC",BZ34)),ISNUMBER(FIND("DESSIC",BZ34)))))</f>
        <v/>
      </c>
      <c r="CA169">
        <f>IF(CA34="",0,2*(OR(ISNUMBER(FIND("WORKCENTER",CA34)),AND(LEFT(CA34,4)="LINE",NOT(ISNUMBER(FIND("STATUS",CA34))))))+4*(OR(ISNUMBER(FIND("WORKORDER",CA34)),AND(LEFT(CA34,2)="WO",OR(ISNUMBER(FIND("NUM",CA34)),RIGHT(CA34,2)="NO"))))+8*(LEFT(CA34,3)="SEQ")+16*(AND(LEFT(CA34,4)="ITEM",NOT(ISNUMBER(FIND("DESC",CA34)))))+32*(AND(ISNUMBER(FIND("DESC",CA34)),NOT(ISNUMBER(FIND("CAP",CA34)))))+64*(OR(RIGHT(CA34,5)="COUNT",RIGHT(CA34,2)="CT"))+128*(ISNUMBER(FIND("BULK",CA34)))+256*(ISNUMBER(FIND("SIZE",CA34)))+512*(LEFT(CA34,3)="CAP")+1024*(ISNUMBER(FIND("ALLERG",CA34)))+2048*(OR(ISNUMBER(FIND("REMARK",CA34)),ISNUMBER(FIND("COMMENT",CA34))))+4096*(OR(ISNUMBER(FIND("QTY",CA34)),ISNUMBER(FIND("QUANTITY",CA34))))+8192*(AND(OR(ISNUMBER(FIND("COMPLETE",CA34)),ISNUMBER(FIND("PCT",CA34)),ISNUMBER(FIND("PERCENT",CA34))),NOT(ISNUMBER(FIND("ACTUAL",CA34))),LEN(CA34)&lt;=16))+32768*(OR(ISNUMBER(FIND("DESIC",CA34)),ISNUMBER(FIND("DESSIC",CA34)))))</f>
        <v/>
      </c>
      <c r="CB169">
        <f>IF(CB34="",0,2*(OR(ISNUMBER(FIND("WORKCENTER",CB34)),AND(LEFT(CB34,4)="LINE",NOT(ISNUMBER(FIND("STATUS",CB34))))))+4*(OR(ISNUMBER(FIND("WORKORDER",CB34)),AND(LEFT(CB34,2)="WO",OR(ISNUMBER(FIND("NUM",CB34)),RIGHT(CB34,2)="NO"))))+8*(LEFT(CB34,3)="SEQ")+16*(AND(LEFT(CB34,4)="ITEM",NOT(ISNUMBER(FIND("DESC",CB34)))))+32*(AND(ISNUMBER(FIND("DESC",CB34)),NOT(ISNUMBER(FIND("CAP",CB34)))))+64*(OR(RIGHT(CB34,5)="COUNT",RIGHT(CB34,2)="CT"))+128*(ISNUMBER(FIND("BULK",CB34)))+256*(ISNUMBER(FIND("SIZE",CB34)))+512*(LEFT(CB34,3)="CAP")+1024*(ISNUMBER(FIND("ALLERG",CB34)))+2048*(OR(ISNUMBER(FIND("REMARK",CB34)),ISNUMBER(FIND("COMMENT",CB34))))+4096*(OR(ISNUMBER(FIND("QTY",CB34)),ISNUMBER(FIND("QUANTITY",CB34))))+8192*(AND(OR(ISNUMBER(FIND("COMPLETE",CB34)),ISNUMBER(FIND("PCT",CB34)),ISNUMBER(FIND("PERCENT",CB34))),NOT(ISNUMBER(FIND("ACTUAL",CB34))),LEN(CB34)&lt;=16))+32768*(OR(ISNUMBER(FIND("DESIC",CB34)),ISNUMBER(FIND("DESSIC",CB34)))))</f>
        <v/>
      </c>
      <c r="CC169">
        <f>IF(CC34="",0,2*(OR(ISNUMBER(FIND("WORKCENTER",CC34)),AND(LEFT(CC34,4)="LINE",NOT(ISNUMBER(FIND("STATUS",CC34))))))+4*(OR(ISNUMBER(FIND("WORKORDER",CC34)),AND(LEFT(CC34,2)="WO",OR(ISNUMBER(FIND("NUM",CC34)),RIGHT(CC34,2)="NO"))))+8*(LEFT(CC34,3)="SEQ")+16*(AND(LEFT(CC34,4)="ITEM",NOT(ISNUMBER(FIND("DESC",CC34)))))+32*(AND(ISNUMBER(FIND("DESC",CC34)),NOT(ISNUMBER(FIND("CAP",CC34)))))+64*(OR(RIGHT(CC34,5)="COUNT",RIGHT(CC34,2)="CT"))+128*(ISNUMBER(FIND("BULK",CC34)))+256*(ISNUMBER(FIND("SIZE",CC34)))+512*(LEFT(CC34,3)="CAP")+1024*(ISNUMBER(FIND("ALLERG",CC34)))+2048*(OR(ISNUMBER(FIND("REMARK",CC34)),ISNUMBER(FIND("COMMENT",CC34))))+4096*(OR(ISNUMBER(FIND("QTY",CC34)),ISNUMBER(FIND("QUANTITY",CC34))))+8192*(AND(OR(ISNUMBER(FIND("COMPLETE",CC34)),ISNUMBER(FIND("PCT",CC34)),ISNUMBER(FIND("PERCENT",CC34))),NOT(ISNUMBER(FIND("ACTUAL",CC34))),LEN(CC34)&lt;=16))+32768*(OR(ISNUMBER(FIND("DESIC",CC34)),ISNUMBER(FIND("DESSIC",CC34)))))</f>
        <v/>
      </c>
      <c r="CD169">
        <f>IF(CD34="",0,2*(OR(ISNUMBER(FIND("WORKCENTER",CD34)),AND(LEFT(CD34,4)="LINE",NOT(ISNUMBER(FIND("STATUS",CD34))))))+4*(OR(ISNUMBER(FIND("WORKORDER",CD34)),AND(LEFT(CD34,2)="WO",OR(ISNUMBER(FIND("NUM",CD34)),RIGHT(CD34,2)="NO"))))+8*(LEFT(CD34,3)="SEQ")+16*(AND(LEFT(CD34,4)="ITEM",NOT(ISNUMBER(FIND("DESC",CD34)))))+32*(AND(ISNUMBER(FIND("DESC",CD34)),NOT(ISNUMBER(FIND("CAP",CD34)))))+64*(OR(RIGHT(CD34,5)="COUNT",RIGHT(CD34,2)="CT"))+128*(ISNUMBER(FIND("BULK",CD34)))+256*(ISNUMBER(FIND("SIZE",CD34)))+512*(LEFT(CD34,3)="CAP")+1024*(ISNUMBER(FIND("ALLERG",CD34)))+2048*(OR(ISNUMBER(FIND("REMARK",CD34)),ISNUMBER(FIND("COMMENT",CD34))))+4096*(OR(ISNUMBER(FIND("QTY",CD34)),ISNUMBER(FIND("QUANTITY",CD34))))+8192*(AND(OR(ISNUMBER(FIND("COMPLETE",CD34)),ISNUMBER(FIND("PCT",CD34)),ISNUMBER(FIND("PERCENT",CD34))),NOT(ISNUMBER(FIND("ACTUAL",CD34))),LEN(CD34)&lt;=16))+32768*(OR(ISNUMBER(FIND("DESIC",CD34)),ISNUMBER(FIND("DESSIC",CD34)))))</f>
        <v/>
      </c>
      <c r="CE169">
        <f>IF(CE34="",0,2*(OR(ISNUMBER(FIND("WORKCENTER",CE34)),AND(LEFT(CE34,4)="LINE",NOT(ISNUMBER(FIND("STATUS",CE34))))))+4*(OR(ISNUMBER(FIND("WORKORDER",CE34)),AND(LEFT(CE34,2)="WO",OR(ISNUMBER(FIND("NUM",CE34)),RIGHT(CE34,2)="NO"))))+8*(LEFT(CE34,3)="SEQ")+16*(AND(LEFT(CE34,4)="ITEM",NOT(ISNUMBER(FIND("DESC",CE34)))))+32*(AND(ISNUMBER(FIND("DESC",CE34)),NOT(ISNUMBER(FIND("CAP",CE34)))))+64*(OR(RIGHT(CE34,5)="COUNT",RIGHT(CE34,2)="CT"))+128*(ISNUMBER(FIND("BULK",CE34)))+256*(ISNUMBER(FIND("SIZE",CE34)))+512*(LEFT(CE34,3)="CAP")+1024*(ISNUMBER(FIND("ALLERG",CE34)))+2048*(OR(ISNUMBER(FIND("REMARK",CE34)),ISNUMBER(FIND("COMMENT",CE34))))+4096*(OR(ISNUMBER(FIND("QTY",CE34)),ISNUMBER(FIND("QUANTITY",CE34))))+8192*(AND(OR(ISNUMBER(FIND("COMPLETE",CE34)),ISNUMBER(FIND("PCT",CE34)),ISNUMBER(FIND("PERCENT",CE34))),NOT(ISNUMBER(FIND("ACTUAL",CE34))),LEN(CE34)&lt;=16))+32768*(OR(ISNUMBER(FIND("DESIC",CE34)),ISNUMBER(FIND("DESSIC",CE34)))))</f>
        <v/>
      </c>
      <c r="CF169">
        <f>IF(CF34="",0,2*(OR(ISNUMBER(FIND("WORKCENTER",CF34)),AND(LEFT(CF34,4)="LINE",NOT(ISNUMBER(FIND("STATUS",CF34))))))+4*(OR(ISNUMBER(FIND("WORKORDER",CF34)),AND(LEFT(CF34,2)="WO",OR(ISNUMBER(FIND("NUM",CF34)),RIGHT(CF34,2)="NO"))))+8*(LEFT(CF34,3)="SEQ")+16*(AND(LEFT(CF34,4)="ITEM",NOT(ISNUMBER(FIND("DESC",CF34)))))+32*(AND(ISNUMBER(FIND("DESC",CF34)),NOT(ISNUMBER(FIND("CAP",CF34)))))+64*(OR(RIGHT(CF34,5)="COUNT",RIGHT(CF34,2)="CT"))+128*(ISNUMBER(FIND("BULK",CF34)))+256*(ISNUMBER(FIND("SIZE",CF34)))+512*(LEFT(CF34,3)="CAP")+1024*(ISNUMBER(FIND("ALLERG",CF34)))+2048*(OR(ISNUMBER(FIND("REMARK",CF34)),ISNUMBER(FIND("COMMENT",CF34))))+4096*(OR(ISNUMBER(FIND("QTY",CF34)),ISNUMBER(FIND("QUANTITY",CF34))))+8192*(AND(OR(ISNUMBER(FIND("COMPLETE",CF34)),ISNUMBER(FIND("PCT",CF34)),ISNUMBER(FIND("PERCENT",CF34))),NOT(ISNUMBER(FIND("ACTUAL",CF34))),LEN(CF34)&lt;=16))+32768*(OR(ISNUMBER(FIND("DESIC",CF34)),ISNUMBER(FIND("DESSIC",CF34)))))</f>
        <v/>
      </c>
      <c r="DA169" t="n">
        <v>165</v>
      </c>
      <c r="DB169">
        <f>IF($B$37=0,"",IFERROR(TRIM(SUBSTITUTE(SUBSTITUTE(SUBSTITUTE(SUBSTITUTE(INDEX(PASTE_ALL,165,$B$37)," "," "),CHAR(9)," "),CHAR(10)," "),CHAR(13)," ")),""))</f>
        <v/>
      </c>
      <c r="DC169">
        <f>IF(AND(165&gt;HEADER_ROW,UPPER(DB169)="LEGEND"),1,0)</f>
        <v/>
      </c>
      <c r="DE169" t="n">
        <v>165</v>
      </c>
      <c r="DF169">
        <f>HEADER_ROW+$DE169</f>
        <v/>
      </c>
      <c r="DG169">
        <f>IF(AND($DF169&lt;=1000,$DF169&lt;$B$8),1,0)</f>
        <v/>
      </c>
      <c r="DH169">
        <f>IF($DG169=1,IFERROR(INDEX($DB$5:$DB$1004,$DF169),""),"")</f>
        <v/>
      </c>
      <c r="DI169">
        <f>IF(AND($DG169=1,$DH169&lt;&gt;""),IFERROR(SUBSTITUTE(SUBSTITUTE(TRIM(SUBSTITUTE(SUBSTITUTE(SUBSTITUTE(SUBSTITUTE(IFERROR(INDEX(PASTE_ALL,$DF169,1)&amp;"","")&amp;"␟"&amp;IFERROR(INDEX(PASTE_ALL,$DF169,2)&amp;"","")&amp;"␟"&amp;IFERROR(INDEX(PASTE_ALL,$DF169,3)&amp;"","")&amp;"␟"&amp;IFERROR(INDEX(PASTE_ALL,$DF169,4)&amp;"","")&amp;"␟"&amp;IFERROR(INDEX(PASTE_ALL,$DF169,5)&amp;"","")&amp;"␟"&amp;IFERROR(INDEX(PASTE_ALL,$DF169,6)&amp;"","")&amp;"␟"&amp;IFERROR(INDEX(PASTE_ALL,$DF169,7)&amp;"","")&amp;"␟"&amp;IFERROR(INDEX(PASTE_ALL,$DF169,8)&amp;"","")&amp;"␟"&amp;IFERROR(INDEX(PASTE_ALL,$DF169,9)&amp;"","")&amp;"␟"&amp;IFERROR(INDEX(PASTE_ALL,$DF169,10)&amp;"","")&amp;"␟"&amp;IFERROR(INDEX(PASTE_ALL,$DF169,11)&amp;"","")&amp;"␟"&amp;IFERROR(INDEX(PASTE_ALL,$DF169,12)&amp;"","")&amp;"␟"&amp;IFERROR(INDEX(PASTE_ALL,$DF169,13)&amp;"","")&amp;"␟"&amp;IFERROR(INDEX(PASTE_ALL,$DF169,14)&amp;"","")&amp;"␟"&amp;IFERROR(INDEX(PASTE_ALL,$DF169,15)&amp;"","")&amp;"␟"&amp;IFERROR(INDEX(PASTE_ALL,$DF169,16)&amp;"","")&amp;"␟"&amp;IFERROR(INDEX(PASTE_ALL,$DF169,17)&amp;"","")&amp;"␟"&amp;IFERROR(INDEX(PASTE_ALL,$DF169,18)&amp;"","")&amp;"␟"&amp;IFERROR(INDEX(PASTE_ALL,$DF169,19)&amp;"","")&amp;"␟"&amp;IFERROR(INDEX(PASTE_ALL,$DF169,20)&amp;"","")&amp;"␟"&amp;IFERROR(INDEX(PASTE_ALL,$DF169,21)&amp;"","")&amp;"␟"&amp;IFERROR(INDEX(PASTE_ALL,$DF169,22)&amp;"","")&amp;"␟"&amp;IFERROR(INDEX(PASTE_ALL,$DF169,23)&amp;"","")&amp;"␟"&amp;IFERROR(INDEX(PASTE_ALL,$DF169,24)&amp;"","")&amp;"␟"&amp;IFERROR(INDEX(PASTE_ALL,$DF169,25)&amp;"","")&amp;"␟"&amp;IFERROR(INDEX(PASTE_ALL,$DF169,26)&amp;"","")&amp;"␟"&amp;IFERROR(INDEX(PASTE_ALL,$DF169,27)&amp;"","")&amp;"␟"&amp;IFERROR(INDEX(PASTE_ALL,$DF169,28)&amp;"","")&amp;"␟"&amp;IFERROR(INDEX(PASTE_ALL,$DF169,29)&amp;"","")&amp;"␟"&amp;IFERROR(INDEX(PASTE_ALL,$DF169,30)&amp;"","")&amp;"␟"&amp;IFERROR(INDEX(PASTE_ALL,$DF169,31)&amp;"","")&amp;"␟"&amp;IFERROR(INDEX(PASTE_ALL,$DF169,32)&amp;"","")&amp;"␟"&amp;IFERROR(INDEX(PASTE_ALL,$DF169,33)&amp;"","")&amp;"␟"&amp;IFERROR(INDEX(PASTE_ALL,$DF169,34)&amp;"","")&amp;"␟"&amp;IFERROR(INDEX(PASTE_ALL,$DF169,35)&amp;"","")&amp;"␟"&amp;IFERROR(INDEX(PASTE_ALL,$DF169,36)&amp;"","")&amp;"␟"&amp;IFERROR(INDEX(PASTE_ALL,$DF169,37)&amp;"","")&amp;"␟"&amp;IFERROR(INDEX(PASTE_ALL,$DF169,38)&amp;"","")&amp;"␟"&amp;IFERROR(INDEX(PASTE_ALL,$DF169,39)&amp;"","")&amp;"␟"&amp;IFERROR(INDEX(PASTE_ALL,$DF169,40)&amp;"","")&amp;"␟"&amp;IFERROR(INDEX(PASTE_ALL,$DF169,41)&amp;"","")&amp;"␟"&amp;IFERROR(INDEX(PASTE_ALL,$DF169,42)&amp;"","")&amp;"␟"&amp;IFERROR(INDEX(PASTE_ALL,$DF169,43)&amp;"","")&amp;"␟"&amp;IFERROR(INDEX(PASTE_ALL,$DF169,44)&amp;"","")&amp;"␟"&amp;IFERROR(INDEX(PASTE_ALL,$DF169,45)&amp;"","")&amp;"␟"&amp;IFERROR(INDEX(PASTE_ALL,$DF169,46)&amp;"","")&amp;"␟"&amp;IFERROR(INDEX(PASTE_ALL,$DF169,47)&amp;"","")&amp;"␟"&amp;IFERROR(INDEX(PASTE_ALL,$DF169,48)&amp;"","")&amp;"␟"&amp;IFERROR(INDEX(PASTE_ALL,$DF169,49)&amp;"","")&amp;"␟"&amp;IFERROR(INDEX(PASTE_ALL,$DF169,50)&amp;"","")&amp;"␟"&amp;IFERROR(INDEX(PASTE_ALL,$DF169,51)&amp;"","")&amp;"␟"&amp;IFERROR(INDEX(PASTE_ALL,$DF169,52)&amp;"","")&amp;"␟"&amp;IFERROR(INDEX(PASTE_ALL,$DF169,53)&amp;"","")&amp;"␟"&amp;IFERROR(INDEX(PASTE_ALL,$DF169,54)&amp;"","")&amp;"␟"&amp;IFERROR(INDEX(PASTE_ALL,$DF169,55)&amp;"","")&amp;"␟"&amp;IFERROR(INDEX(PASTE_ALL,$DF169,56)&amp;"","")&amp;"␟"&amp;IFERROR(INDEX(PASTE_ALL,$DF169,57)&amp;"","")&amp;"␟"&amp;IFERROR(INDEX(PASTE_ALL,$DF169,58)&amp;"","")&amp;"␟"&amp;IFERROR(INDEX(PASTE_ALL,$DF169,59)&amp;"","")&amp;"␟"&amp;IFERROR(INDEX(PASTE_ALL,$DF169,60)&amp;"","")," "," "),CHAR(9)," "),CHAR(10)," "),CHAR(13)," "))," ␟","␟"),"␟ ","␟"),"#"&amp;$DE169),"")</f>
        <v/>
      </c>
      <c r="DJ169">
        <f>IF($DI169="",0,IF(SUMPRODUCT(--EXACT($DI$4:DI168,$DI169))&gt;0,1,0))</f>
        <v/>
      </c>
      <c r="DK169">
        <f>IF(AND($DI169&lt;&gt;"",$DJ169=0),1,0)</f>
        <v/>
      </c>
      <c r="DL169">
        <f>DL168+$DK169</f>
        <v/>
      </c>
      <c r="DM169">
        <f>IF(AND($DK169=1,$DL169&lt;=600),1,0)</f>
        <v/>
      </c>
      <c r="DN169">
        <f>IF($DM169=0,"",IF($L$6=0,"",IFERROR(IF(ISNUMBER(INDEX(PASTE_ALL,$DF169,$L$6)),INDEX(PASTE_ALL,$DF169,$L$6),TRIM(SUBSTITUTE(SUBSTITUTE(SUBSTITUTE(SUBSTITUTE(INDEX(PASTE_ALL,$DF169,$L$6)," "," "),CHAR(9)," "),CHAR(10)," "),CHAR(13)," "))),"")))</f>
        <v/>
      </c>
      <c r="DO169">
        <f>IF($DM169=0,"",IF($L$7=0,"",IFERROR(IF(ISNUMBER(INDEX(PASTE_ALL,$DF169,$L$7)),INDEX(PASTE_ALL,$DF169,$L$7),TRIM(SUBSTITUTE(SUBSTITUTE(SUBSTITUTE(SUBSTITUTE(INDEX(PASTE_ALL,$DF169,$L$7)," "," "),CHAR(9)," "),CHAR(10)," "),CHAR(13)," "))),"")))</f>
        <v/>
      </c>
      <c r="DP169">
        <f>IF($DM169=0,"",IF($L$8=0,"",IFERROR(IF(ISNUMBER(INDEX(PASTE_ALL,$DF169,$L$8)),INDEX(PASTE_ALL,$DF169,$L$8),TRIM(SUBSTITUTE(SUBSTITUTE(SUBSTITUTE(SUBSTITUTE(INDEX(PASTE_ALL,$DF169,$L$8)," "," "),CHAR(9)," "),CHAR(10)," "),CHAR(13)," "))),"")))</f>
        <v/>
      </c>
      <c r="DQ169">
        <f>IF($DM169=0,"",IF($L$9=0,"",IFERROR(IF(ISNUMBER(INDEX(PASTE_ALL,$DF169,$L$9)),INDEX(PASTE_ALL,$DF169,$L$9),TRIM(SUBSTITUTE(SUBSTITUTE(SUBSTITUTE(SUBSTITUTE(INDEX(PASTE_ALL,$DF169,$L$9)," "," "),CHAR(9)," "),CHAR(10)," "),CHAR(13)," "))),"")))</f>
        <v/>
      </c>
      <c r="DR169">
        <f>IF($DM169=0,"",IF($L$10=0,"",IFERROR(IF(ISNUMBER(INDEX(PASTE_ALL,$DF169,$L$10)),INDEX(PASTE_ALL,$DF169,$L$10),TRIM(SUBSTITUTE(SUBSTITUTE(SUBSTITUTE(SUBSTITUTE(INDEX(PASTE_ALL,$DF169,$L$10)," "," "),CHAR(9)," "),CHAR(10)," "),CHAR(13)," "))),"")))</f>
        <v/>
      </c>
      <c r="DS169">
        <f>IF($DM169=0,"",IF($L$11=0,"",IFERROR(IF(ISNUMBER(INDEX(PASTE_ALL,$DF169,$L$11)),INDEX(PASTE_ALL,$DF169,$L$11),TRIM(SUBSTITUTE(SUBSTITUTE(SUBSTITUTE(SUBSTITUTE(INDEX(PASTE_ALL,$DF169,$L$11)," "," "),CHAR(9)," "),CHAR(10)," "),CHAR(13)," "))),"")))</f>
        <v/>
      </c>
      <c r="DT169">
        <f>IF($DM169=0,"",IF($L$12=0,"",IFERROR(IF(ISNUMBER(INDEX(PASTE_ALL,$DF169,$L$12)),INDEX(PASTE_ALL,$DF169,$L$12),TRIM(SUBSTITUTE(SUBSTITUTE(SUBSTITUTE(SUBSTITUTE(INDEX(PASTE_ALL,$DF169,$L$12)," "," "),CHAR(9)," "),CHAR(10)," "),CHAR(13)," "))),"")))</f>
        <v/>
      </c>
      <c r="DU169">
        <f>IF($DM169=0,"",IF($L$13=0,"",IFERROR(IF(ISNUMBER(INDEX(PASTE_ALL,$DF169,$L$13)),INDEX(PASTE_ALL,$DF169,$L$13),TRIM(SUBSTITUTE(SUBSTITUTE(SUBSTITUTE(SUBSTITUTE(INDEX(PASTE_ALL,$DF169,$L$13)," "," "),CHAR(9)," "),CHAR(10)," "),CHAR(13)," "))),"")))</f>
        <v/>
      </c>
      <c r="DV169">
        <f>IF($DM169=0,"",IF($L$14=0,"",IFERROR(IF(ISNUMBER(INDEX(PASTE_ALL,$DF169,$L$14)),INDEX(PASTE_ALL,$DF169,$L$14),TRIM(SUBSTITUTE(SUBSTITUTE(SUBSTITUTE(SUBSTITUTE(INDEX(PASTE_ALL,$DF169,$L$14)," "," "),CHAR(9)," "),CHAR(10)," "),CHAR(13)," "))),"")))</f>
        <v/>
      </c>
      <c r="DW169">
        <f>IF($DM169=0,"",IF($L$15=0,"",IFERROR(IF(ISNUMBER(INDEX(PASTE_ALL,$DF169,$L$15)),INDEX(PASTE_ALL,$DF169,$L$15),IF(SUMPRODUCT(--ISNUMBER(FIND({"A","B","C","D","E","F","G","H","I","J","K","L","M","N","O","P","Q","R","S","T","U","V","W","X","Y","Z","0","1","2","3","4","5","6","7","8","9"},UPPER(TRIM(SUBSTITUTE(SUBSTITUTE(SUBSTITUTE(SUBSTITUTE(INDEX(PASTE_ALL,$DF169,$L$15)," "," "),CHAR(9)," "),CHAR(10)," "),CHAR(13)," "))))))&gt;0,TRIM(SUBSTITUTE(SUBSTITUTE(SUBSTITUTE(SUBSTITUTE(INDEX(PASTE_ALL,$DF169,$L$15)," "," "),CHAR(9)," "),CHAR(10)," "),CHAR(13)," ")),"")),"")))</f>
        <v/>
      </c>
      <c r="DX169">
        <f>IF($DM169=0,"",IF($L$16=0,"",IFERROR(IF(ISNUMBER(INDEX(PASTE_ALL,$DF169,$L$16)),INDEX(PASTE_ALL,$DF169,$L$16),SUBSTITUTE(SUBSTITUTE(TRIM(SUBSTITUTE(SUBSTITUTE(SUBSTITUTE(SUBSTITUTE(INDEX(PASTE_ALL,$DF169,$L$16)," "," "),CHAR(9)," "),CHAR(10)," "),CHAR(13)," ")),",",""),"%","")),"")))</f>
        <v/>
      </c>
      <c r="DY169">
        <f>IF($DM169=0,"",IFERROR(IF(ISNUMBER($DX169),$DX169,IF($DX169="","",IF(TRIM($DX169)="",0,IF(AND(AND(SUBSTITUTE(SUBSTITUTE(SUBSTITUTE(SUBSTITUTE(SUBSTITUTE(SUBSTITUTE(SUBSTITUTE(SUBSTITUTE(SUBSTITUTE(SUBSTITUTE(SUBSTITUTE(SUBSTITUTE(SUBSTITUTE(SUBSTITUTE(UPPER(TRIM($DX169)),"0",""),"1",""),"2",""),"3",""),"4",""),"5",""),"6",""),"7",""),"8",""),"9",""),".",""),"+",""),"-",""),"E","")="",LEN(SUBSTITUTE(SUBSTITUTE(MID(UPPER(TRIM($DX169)),1+OR(LEFT(UPPER(TRIM($DX169)),1)="+",LEFT(UPPER(TRIM($DX169)),1)="-"),999),"E+","E"),"E-","E"))=LEN(SUBSTITUTE(SUBSTITUTE(SUBSTITUTE(SUBSTITUTE(MID(UPPER(TRIM($DX169)),1+OR(LEFT(UPPER(TRIM($DX169)),1)="+",LEFT(UPPER(TRIM($DX169)),1)="-"),999),"E+","E"),"E-","E"),"+",""),"-","")),LEN(UPPER(TRIM($DX169)))-LEN(SUBSTITUTE(UPPER(TRIM($DX169)),"E",""))&lt;2,LEN(UPPER(TRIM($DX169)))-LEN(SUBSTITUTE(UPPER(TRIM($DX169)),".",""))&lt;2,IFERROR(FIND(".",UPPER(TRIM($DX169))),0)&lt;IFERROR(FIND("E",UPPER(TRIM($DX169))),999)),ISNUMBER(VALUE(TRIM($DX169)))),VALUE(TRIM($DX169)),"")))),""))</f>
        <v/>
      </c>
      <c r="DZ169">
        <f>IF($DM169=0,"",IF($L$17=0,"",IFERROR(IF(ISNUMBER(INDEX(PASTE_ALL,$DF169,$L$17)),INDEX(PASTE_ALL,$DF169,$L$17),SUBSTITUTE(SUBSTITUTE(TRIM(SUBSTITUTE(SUBSTITUTE(SUBSTITUTE(SUBSTITUTE(INDEX(PASTE_ALL,$DF169,$L$17)," "," "),CHAR(9)," "),CHAR(10)," "),CHAR(13)," ")),",",""),"%","")),"")))</f>
        <v/>
      </c>
      <c r="EA169">
        <f>IF($DM169=0,"",IFERROR(IF(ISNUMBER($DZ169),$DZ169,IF($DZ169="","",IF(TRIM($DZ169)="",0,IF(AND(AND(SUBSTITUTE(SUBSTITUTE(SUBSTITUTE(SUBSTITUTE(SUBSTITUTE(SUBSTITUTE(SUBSTITUTE(SUBSTITUTE(SUBSTITUTE(SUBSTITUTE(SUBSTITUTE(SUBSTITUTE(SUBSTITUTE(SUBSTITUTE(UPPER(TRIM($DZ169)),"0",""),"1",""),"2",""),"3",""),"4",""),"5",""),"6",""),"7",""),"8",""),"9",""),".",""),"+",""),"-",""),"E","")="",LEN(SUBSTITUTE(SUBSTITUTE(MID(UPPER(TRIM($DZ169)),1+OR(LEFT(UPPER(TRIM($DZ169)),1)="+",LEFT(UPPER(TRIM($DZ169)),1)="-"),999),"E+","E"),"E-","E"))=LEN(SUBSTITUTE(SUBSTITUTE(SUBSTITUTE(SUBSTITUTE(MID(UPPER(TRIM($DZ169)),1+OR(LEFT(UPPER(TRIM($DZ169)),1)="+",LEFT(UPPER(TRIM($DZ169)),1)="-"),999),"E+","E"),"E-","E"),"+",""),"-","")),LEN(UPPER(TRIM($DZ169)))-LEN(SUBSTITUTE(UPPER(TRIM($DZ169)),"E",""))&lt;2,LEN(UPPER(TRIM($DZ169)))-LEN(SUBSTITUTE(UPPER(TRIM($DZ169)),".",""))&lt;2,IFERROR(FIND(".",UPPER(TRIM($DZ169))),0)&lt;IFERROR(FIND("E",UPPER(TRIM($DZ169))),999)),ISNUMBER(VALUE(TRIM($DZ169)))),VALUE(TRIM($DZ169)),"")))),""))</f>
        <v/>
      </c>
      <c r="EB169">
        <f>IF($DM169=0,"",IF($L$18=0,"",IFERROR(IF(UPPER(TRIM(SUBSTITUTE(SUBSTITUTE(SUBSTITUTE(SUBSTITUTE(INDEX(PASTE_ALL,$DF169,$L$18)," "," "),CHAR(9)," "),CHAR(10)," "),CHAR(13)," ")))="READY","Ready",IF(UPPER(TRIM(SUBSTITUTE(SUBSTITUTE(SUBSTITUTE(SUBSTITUTE(INDEX(PASTE_ALL,$DF169,$L$18)," "," "),CHAR(9)," "),CHAR(10)," "),CHAR(13)," ")))="PM","PM",IF(OR(UPPER(TRIM(SUBSTITUTE(SUBSTITUTE(SUBSTITUTE(SUBSTITUTE(INDEX(PASTE_ALL,$DF169,$L$18)," "," "),CHAR(9)," "),CHAR(10)," "),CHAR(13)," ")))="OT",UPPER(TRIM(SUBSTITUTE(SUBSTITUTE(SUBSTITUTE(SUBSTITUTE(INDEX(PASTE_ALL,$DF169,$L$18)," "," "),CHAR(9)," "),CHAR(10)," "),CHAR(13)," ")))="OVERTIME",UPPER(TRIM(SUBSTITUTE(SUBSTITUTE(SUBSTITUTE(SUBSTITUTE(INDEX(PASTE_ALL,$DF169,$L$18)," "," "),CHAR(9)," "),CHAR(10)," "),CHAR(13)," ")))="TRIAL"),"OT",TRIM(SUBSTITUTE(SUBSTITUTE(SUBSTITUTE(SUBSTITUTE(INDEX(PASTE_ALL,$DF169,$L$18)," "," "),CHAR(9)," "),CHAR(10)," "),CHAR(13)," "))))),"")))</f>
        <v/>
      </c>
      <c r="EC169">
        <f>IF($DM169=0,"",IF($L$19=0,"",IFERROR(IF(ISNUMBER(INDEX(PASTE_ALL,$DF169,$L$19)),INDEX(PASTE_ALL,$DF169,$L$19),TRIM(SUBSTITUTE(SUBSTITUTE(SUBSTITUTE(SUBSTITUTE(INDEX(PASTE_ALL,$DF169,$L$19)," "," "),CHAR(9)," "),CHAR(10)," "),CHAR(13)," "))),"")))</f>
        <v/>
      </c>
      <c r="ED169">
        <f>IF($DM169=0,"",MATCH(1,INDEX(EXACT($DH$5:DH169,$DH169)*$DM$5:DM169,0),0))</f>
        <v/>
      </c>
      <c r="EE169">
        <f>IF($DM169=0,0,IF($ED169=$DE169,1,0))</f>
        <v/>
      </c>
      <c r="EF169">
        <f>EF168+$EE169</f>
        <v/>
      </c>
      <c r="EG169">
        <f>IF($DM169=0,"",INDEX($EF$5:$EF$1003,$ED169))</f>
        <v/>
      </c>
      <c r="EH169">
        <f>IF($DM169=0,"",IF($DO169&lt;&gt;"","",IFERROR(LOOKUP(2,1/(($EG$4:EG168=$EG169)*($DO$4:DO168&lt;&gt;"")),$DO$4:DO168),"")))</f>
        <v/>
      </c>
      <c r="EI169">
        <f>IF($DM169=0,"",IF($DO169&lt;&gt;"",$DO169,$EH169))</f>
        <v/>
      </c>
      <c r="EJ169">
        <f>IF($DM169=0,"",IF($EI169="",0,IF(OR(ISNUMBER($EI169),AND(AND(SUBSTITUTE(SUBSTITUTE(SUBSTITUTE(SUBSTITUTE(SUBSTITUTE(SUBSTITUTE(SUBSTITUTE(SUBSTITUTE(SUBSTITUTE(SUBSTITUTE(SUBSTITUTE(SUBSTITUTE(SUBSTITUTE(SUBSTITUTE(UPPER($EI169),"0",""),"1",""),"2",""),"3",""),"4",""),"5",""),"6",""),"7",""),"8",""),"9",""),".",""),"+",""),"-",""),"E","")="",LEN(SUBSTITUTE(SUBSTITUTE(MID(UPPER($EI169),1+OR(LEFT(UPPER($EI169),1)="+",LEFT(UPPER($EI169),1)="-"),999),"E+","E"),"E-","E"))=LEN(SUBSTITUTE(SUBSTITUTE(SUBSTITUTE(SUBSTITUTE(MID(UPPER($EI169),1+OR(LEFT(UPPER($EI169),1)="+",LEFT(UPPER($EI169),1)="-"),999),"E+","E"),"E-","E"),"+",""),"-","")),LEN(UPPER($EI169))-LEN(SUBSTITUTE(UPPER($EI169),"E",""))&lt;2,LEN(UPPER($EI169))-LEN(SUBSTITUTE(UPPER($EI169),".",""))&lt;2,IFERROR(FIND(".",UPPER($EI169)),0)&lt;IFERROR(FIND("E",UPPER($EI169)),999)),ISNUMBER(VALUE($EI169)))),1,2)))</f>
        <v/>
      </c>
      <c r="EK169">
        <f>IF($DM169=0,"",IF($EJ169=1,IF(ISNUMBER($EI169),$EI169,VALUE($EI169)),IF($EJ169=2,$DE169,0)))</f>
        <v/>
      </c>
      <c r="EL169">
        <f>IF($DM169=0,"",COUNTIF($EG$5:$EG$1003,"&lt;"&amp;$EG169)+SUMPRODUCT(($EG$5:$EG$1003=$EG169)*(($EJ$5:$EJ$1003&lt;$EJ169)+($EJ$5:$EJ$1003=$EJ169)*(($EK$5:$EK$1003&lt;$EK169)+($EK$5:$EK$1003=$EK169)*($DE$5:$DE$1003&lt;$DE169))))+1)</f>
        <v/>
      </c>
      <c r="EM169">
        <f>IF($DM169=0,"",$EL169+$EG169-1)</f>
        <v/>
      </c>
      <c r="EN169">
        <f>IF($DM169=0,0,IFERROR(MATCH(1,INDEX(--(TRIM(SUBSTITUTE(SUBSTITUTE(SUBSTITUTE(SUBSTITUTE(LINES_NAME&amp;""," "," "),CHAR(9)," "),CHAR(10)," "),CHAR(13)," "))=$DH169),0),0),0))</f>
        <v/>
      </c>
      <c r="EO169">
        <f>IF($EN169=0,0,IF(OR(UPPER(TRIM(INDEX(LINES_SCHEDULED,$EN169)&amp;""))="YES",UPPER(TRIM(INDEX(LINES_SCHEDULED,$EN169)&amp;""))="Y",UPPER(TRIM(INDEX(LINES_SCHEDULED,$EN169)&amp;""))="X"),1,0))</f>
        <v/>
      </c>
      <c r="EP169">
        <f>IF($DM169=0,"",IF(COUNTIFS($EG$5:$EG$1003,$EG169,$EB$5:$EB$1003,"Ready")&gt;0,"READY",IF(COUNTIFS($EG$5:$EG$1003,$EG169,$EB$5:$EB$1003,"PM")&gt;0,"PM",IF(COUNTIFS($EG$5:$EG$1003,$EG169,$EB$5:$EB$1003,"OT")&gt;0,"OT",""))))</f>
        <v/>
      </c>
      <c r="EQ169">
        <f>IF($EN169=0,"",UPPER(TRIM(INDEX(LINES_STATUS,$EN169)&amp;"")))</f>
        <v/>
      </c>
      <c r="ER169">
        <f>IF($DM169=0,"",IF(OR($EQ169="READY",$EQ169="PM",$EQ169="OT"),$EQ169,$EP169))</f>
        <v/>
      </c>
      <c r="ES169">
        <f>IF($DM169=0,"",IF(AND($DV169&lt;&gt;"",UPPER($DV169)&lt;&gt;"N"),"allergen",IF(ISNUMBER(SEARCH("oil",$DQ169)),"oil",IF(OR(EXACT($DS169,"A662"),EXACT($DS169,"A624")),"bulk",""))))</f>
        <v/>
      </c>
      <c r="ET169">
        <f>IF($DM169=0,"",IF(OR($EA169="",$EA169=0),"",$EA169/100))</f>
        <v/>
      </c>
      <c r="EU169">
        <f>IF(OR($ET169="",$DY169=""),"",INT($DY169*(1-$ET169)+0.5))</f>
        <v/>
      </c>
      <c r="EW169" t="n">
        <v>165</v>
      </c>
      <c r="EX169">
        <f>IFERROR(MATCH($EW169,$EM$5:$EM$1003,0),0)</f>
        <v/>
      </c>
      <c r="EY169">
        <f>IF($EW169&gt;$B$12,"",IF($EX169&gt;0,"row","spacer"))</f>
        <v/>
      </c>
      <c r="EZ169">
        <f>IF(AND($EY169="row",$EY168&lt;&gt;"row"),1,0)</f>
        <v/>
      </c>
      <c r="FA169">
        <f>IF(AND($EY169="row",$EY170&lt;&gt;"row"),1,0)</f>
        <v/>
      </c>
      <c r="FB169">
        <f>IF($EZ169=1,IFERROR(IF(ISNUMBER(INDEX(PASTE_ALL,INDEX($DF$5:$DF$1003,$EX169),$B$37)),INDEX(PASTE_ALL,INDEX($DF$5:$DF$1003,$EX169),$B$37),INDEX($DH$5:$DH$1003,$EX169)),INDEX($DH$5:$DH$1003,$EX169)),"")</f>
        <v/>
      </c>
      <c r="FC169">
        <f>IF($EY169="row",INDEX($ER$5:$ER$1003,$EX169),"")</f>
        <v/>
      </c>
      <c r="FD169">
        <f>IF($EY169="row",INDEX($DN$5:$DN$1003,$EX169),"")</f>
        <v/>
      </c>
      <c r="FE169">
        <f>IF($EY169="row",INDEX($DO$5:$DO$1003,$EX169),"")</f>
        <v/>
      </c>
      <c r="FF169">
        <f>IF($EY169="row",INDEX($DP$5:$DP$1003,$EX169),"")</f>
        <v/>
      </c>
      <c r="FG169">
        <f>IF($EY169="row",INDEX($DQ$5:$DQ$1003,$EX169),"")</f>
        <v/>
      </c>
      <c r="FH169">
        <f>IF($EY169="row",INDEX($DR$5:$DR$1003,$EX169),"")</f>
        <v/>
      </c>
      <c r="FI169">
        <f>IF($EY169="row",INDEX($DS$5:$DS$1003,$EX169),"")</f>
        <v/>
      </c>
      <c r="FJ169">
        <f>IF($EY169="row",INDEX($DT$5:$DT$1003,$EX169),"")</f>
        <v/>
      </c>
      <c r="FK169">
        <f>IF($EY169="row",INDEX($DU$5:$DU$1003,$EX169),"")</f>
        <v/>
      </c>
      <c r="FL169">
        <f>IF($EY169="row",INDEX($DV$5:$DV$1003,$EX169),"")</f>
        <v/>
      </c>
      <c r="FM169">
        <f>IF($EY169="row",INDEX($DW$5:$DW$1003,$EX169),"")</f>
        <v/>
      </c>
      <c r="FN169">
        <f>IF($EY169="row",INDEX($DY$5:$DY$1003,$EX169),"")</f>
        <v/>
      </c>
      <c r="FO169">
        <f>IF($EY169="row",INDEX($EA$5:$EA$1003,$EX169),"")</f>
        <v/>
      </c>
      <c r="FP169">
        <f>IF($EY169="row",INDEX($EC$5:$EC$1003,$EX169),"")</f>
        <v/>
      </c>
      <c r="FQ169">
        <f>IF($EY169="row",INDEX($ET$5:$ET$1003,$EX169),"")</f>
        <v/>
      </c>
      <c r="FR169">
        <f>IF($EY169="row",INDEX($EU$5:$EU$1003,$EX169),"")</f>
        <v/>
      </c>
      <c r="FS169">
        <f>IF(AND($EY169="row",$EY168="row"),IF(OR(INDEX($DT$5:$DT$1003,$EX168)="",INDEX($DT$5:$DT$1003,$EX169)=""),"",IF(NOT(EXACT(INDEX($DT$5:$DT$1003,$EX168),INDEX($DT$5:$DT$1003,$EX169))),"S4",IF(NOT(EXACT(INDEX($DS$5:$DS$1003,$EX168),INDEX($DS$5:$DS$1003,$EX169))),"S3",IF(NOT(EXACT(INDEX($DR$5:$DR$1003,$EX168),INDEX($DR$5:$DR$1003,$EX169))),"S1 Count Change","S1")))),"")</f>
        <v/>
      </c>
      <c r="FT169">
        <f>IF($EY169="row",INDEX($ES$5:$ES$1003,$EX169),"")</f>
        <v/>
      </c>
      <c r="FU169">
        <f>IF($EY169="row",INDEX($EO$5:$EO$1003,$EX169),0)</f>
        <v/>
      </c>
      <c r="FV169">
        <f>IF($FS169="S1 Count Change",1,0)</f>
        <v/>
      </c>
    </row>
    <row r="170">
      <c r="Y170">
        <f>IF(Y35="",0,2*(OR(ISNUMBER(FIND("WORKCENTER",Y35)),AND(LEFT(Y35,4)="LINE",NOT(ISNUMBER(FIND("STATUS",Y35))))))+4*(OR(ISNUMBER(FIND("WORKORDER",Y35)),AND(LEFT(Y35,2)="WO",OR(ISNUMBER(FIND("NUM",Y35)),RIGHT(Y35,2)="NO"))))+8*(LEFT(Y35,3)="SEQ")+16*(AND(LEFT(Y35,4)="ITEM",NOT(ISNUMBER(FIND("DESC",Y35)))))+32*(AND(ISNUMBER(FIND("DESC",Y35)),NOT(ISNUMBER(FIND("CAP",Y35)))))+64*(OR(RIGHT(Y35,5)="COUNT",RIGHT(Y35,2)="CT"))+128*(ISNUMBER(FIND("BULK",Y35)))+256*(ISNUMBER(FIND("SIZE",Y35)))+512*(LEFT(Y35,3)="CAP")+1024*(ISNUMBER(FIND("ALLERG",Y35)))+2048*(OR(ISNUMBER(FIND("REMARK",Y35)),ISNUMBER(FIND("COMMENT",Y35))))+4096*(OR(ISNUMBER(FIND("QTY",Y35)),ISNUMBER(FIND("QUANTITY",Y35))))+8192*(AND(OR(ISNUMBER(FIND("COMPLETE",Y35)),ISNUMBER(FIND("PCT",Y35)),ISNUMBER(FIND("PERCENT",Y35))),NOT(ISNUMBER(FIND("ACTUAL",Y35))),LEN(Y35)&lt;=16))+32768*(OR(ISNUMBER(FIND("DESIC",Y35)),ISNUMBER(FIND("DESSIC",Y35)))))</f>
        <v/>
      </c>
      <c r="Z170">
        <f>IF(Z35="",0,2*(OR(ISNUMBER(FIND("WORKCENTER",Z35)),AND(LEFT(Z35,4)="LINE",NOT(ISNUMBER(FIND("STATUS",Z35))))))+4*(OR(ISNUMBER(FIND("WORKORDER",Z35)),AND(LEFT(Z35,2)="WO",OR(ISNUMBER(FIND("NUM",Z35)),RIGHT(Z35,2)="NO"))))+8*(LEFT(Z35,3)="SEQ")+16*(AND(LEFT(Z35,4)="ITEM",NOT(ISNUMBER(FIND("DESC",Z35)))))+32*(AND(ISNUMBER(FIND("DESC",Z35)),NOT(ISNUMBER(FIND("CAP",Z35)))))+64*(OR(RIGHT(Z35,5)="COUNT",RIGHT(Z35,2)="CT"))+128*(ISNUMBER(FIND("BULK",Z35)))+256*(ISNUMBER(FIND("SIZE",Z35)))+512*(LEFT(Z35,3)="CAP")+1024*(ISNUMBER(FIND("ALLERG",Z35)))+2048*(OR(ISNUMBER(FIND("REMARK",Z35)),ISNUMBER(FIND("COMMENT",Z35))))+4096*(OR(ISNUMBER(FIND("QTY",Z35)),ISNUMBER(FIND("QUANTITY",Z35))))+8192*(AND(OR(ISNUMBER(FIND("COMPLETE",Z35)),ISNUMBER(FIND("PCT",Z35)),ISNUMBER(FIND("PERCENT",Z35))),NOT(ISNUMBER(FIND("ACTUAL",Z35))),LEN(Z35)&lt;=16))+32768*(OR(ISNUMBER(FIND("DESIC",Z35)),ISNUMBER(FIND("DESSIC",Z35)))))</f>
        <v/>
      </c>
      <c r="AA170">
        <f>IF(AA35="",0,2*(OR(ISNUMBER(FIND("WORKCENTER",AA35)),AND(LEFT(AA35,4)="LINE",NOT(ISNUMBER(FIND("STATUS",AA35))))))+4*(OR(ISNUMBER(FIND("WORKORDER",AA35)),AND(LEFT(AA35,2)="WO",OR(ISNUMBER(FIND("NUM",AA35)),RIGHT(AA35,2)="NO"))))+8*(LEFT(AA35,3)="SEQ")+16*(AND(LEFT(AA35,4)="ITEM",NOT(ISNUMBER(FIND("DESC",AA35)))))+32*(AND(ISNUMBER(FIND("DESC",AA35)),NOT(ISNUMBER(FIND("CAP",AA35)))))+64*(OR(RIGHT(AA35,5)="COUNT",RIGHT(AA35,2)="CT"))+128*(ISNUMBER(FIND("BULK",AA35)))+256*(ISNUMBER(FIND("SIZE",AA35)))+512*(LEFT(AA35,3)="CAP")+1024*(ISNUMBER(FIND("ALLERG",AA35)))+2048*(OR(ISNUMBER(FIND("REMARK",AA35)),ISNUMBER(FIND("COMMENT",AA35))))+4096*(OR(ISNUMBER(FIND("QTY",AA35)),ISNUMBER(FIND("QUANTITY",AA35))))+8192*(AND(OR(ISNUMBER(FIND("COMPLETE",AA35)),ISNUMBER(FIND("PCT",AA35)),ISNUMBER(FIND("PERCENT",AA35))),NOT(ISNUMBER(FIND("ACTUAL",AA35))),LEN(AA35)&lt;=16))+32768*(OR(ISNUMBER(FIND("DESIC",AA35)),ISNUMBER(FIND("DESSIC",AA35)))))</f>
        <v/>
      </c>
      <c r="AB170">
        <f>IF(AB35="",0,2*(OR(ISNUMBER(FIND("WORKCENTER",AB35)),AND(LEFT(AB35,4)="LINE",NOT(ISNUMBER(FIND("STATUS",AB35))))))+4*(OR(ISNUMBER(FIND("WORKORDER",AB35)),AND(LEFT(AB35,2)="WO",OR(ISNUMBER(FIND("NUM",AB35)),RIGHT(AB35,2)="NO"))))+8*(LEFT(AB35,3)="SEQ")+16*(AND(LEFT(AB35,4)="ITEM",NOT(ISNUMBER(FIND("DESC",AB35)))))+32*(AND(ISNUMBER(FIND("DESC",AB35)),NOT(ISNUMBER(FIND("CAP",AB35)))))+64*(OR(RIGHT(AB35,5)="COUNT",RIGHT(AB35,2)="CT"))+128*(ISNUMBER(FIND("BULK",AB35)))+256*(ISNUMBER(FIND("SIZE",AB35)))+512*(LEFT(AB35,3)="CAP")+1024*(ISNUMBER(FIND("ALLERG",AB35)))+2048*(OR(ISNUMBER(FIND("REMARK",AB35)),ISNUMBER(FIND("COMMENT",AB35))))+4096*(OR(ISNUMBER(FIND("QTY",AB35)),ISNUMBER(FIND("QUANTITY",AB35))))+8192*(AND(OR(ISNUMBER(FIND("COMPLETE",AB35)),ISNUMBER(FIND("PCT",AB35)),ISNUMBER(FIND("PERCENT",AB35))),NOT(ISNUMBER(FIND("ACTUAL",AB35))),LEN(AB35)&lt;=16))+32768*(OR(ISNUMBER(FIND("DESIC",AB35)),ISNUMBER(FIND("DESSIC",AB35)))))</f>
        <v/>
      </c>
      <c r="AC170">
        <f>IF(AC35="",0,2*(OR(ISNUMBER(FIND("WORKCENTER",AC35)),AND(LEFT(AC35,4)="LINE",NOT(ISNUMBER(FIND("STATUS",AC35))))))+4*(OR(ISNUMBER(FIND("WORKORDER",AC35)),AND(LEFT(AC35,2)="WO",OR(ISNUMBER(FIND("NUM",AC35)),RIGHT(AC35,2)="NO"))))+8*(LEFT(AC35,3)="SEQ")+16*(AND(LEFT(AC35,4)="ITEM",NOT(ISNUMBER(FIND("DESC",AC35)))))+32*(AND(ISNUMBER(FIND("DESC",AC35)),NOT(ISNUMBER(FIND("CAP",AC35)))))+64*(OR(RIGHT(AC35,5)="COUNT",RIGHT(AC35,2)="CT"))+128*(ISNUMBER(FIND("BULK",AC35)))+256*(ISNUMBER(FIND("SIZE",AC35)))+512*(LEFT(AC35,3)="CAP")+1024*(ISNUMBER(FIND("ALLERG",AC35)))+2048*(OR(ISNUMBER(FIND("REMARK",AC35)),ISNUMBER(FIND("COMMENT",AC35))))+4096*(OR(ISNUMBER(FIND("QTY",AC35)),ISNUMBER(FIND("QUANTITY",AC35))))+8192*(AND(OR(ISNUMBER(FIND("COMPLETE",AC35)),ISNUMBER(FIND("PCT",AC35)),ISNUMBER(FIND("PERCENT",AC35))),NOT(ISNUMBER(FIND("ACTUAL",AC35))),LEN(AC35)&lt;=16))+32768*(OR(ISNUMBER(FIND("DESIC",AC35)),ISNUMBER(FIND("DESSIC",AC35)))))</f>
        <v/>
      </c>
      <c r="AD170">
        <f>IF(AD35="",0,2*(OR(ISNUMBER(FIND("WORKCENTER",AD35)),AND(LEFT(AD35,4)="LINE",NOT(ISNUMBER(FIND("STATUS",AD35))))))+4*(OR(ISNUMBER(FIND("WORKORDER",AD35)),AND(LEFT(AD35,2)="WO",OR(ISNUMBER(FIND("NUM",AD35)),RIGHT(AD35,2)="NO"))))+8*(LEFT(AD35,3)="SEQ")+16*(AND(LEFT(AD35,4)="ITEM",NOT(ISNUMBER(FIND("DESC",AD35)))))+32*(AND(ISNUMBER(FIND("DESC",AD35)),NOT(ISNUMBER(FIND("CAP",AD35)))))+64*(OR(RIGHT(AD35,5)="COUNT",RIGHT(AD35,2)="CT"))+128*(ISNUMBER(FIND("BULK",AD35)))+256*(ISNUMBER(FIND("SIZE",AD35)))+512*(LEFT(AD35,3)="CAP")+1024*(ISNUMBER(FIND("ALLERG",AD35)))+2048*(OR(ISNUMBER(FIND("REMARK",AD35)),ISNUMBER(FIND("COMMENT",AD35))))+4096*(OR(ISNUMBER(FIND("QTY",AD35)),ISNUMBER(FIND("QUANTITY",AD35))))+8192*(AND(OR(ISNUMBER(FIND("COMPLETE",AD35)),ISNUMBER(FIND("PCT",AD35)),ISNUMBER(FIND("PERCENT",AD35))),NOT(ISNUMBER(FIND("ACTUAL",AD35))),LEN(AD35)&lt;=16))+32768*(OR(ISNUMBER(FIND("DESIC",AD35)),ISNUMBER(FIND("DESSIC",AD35)))))</f>
        <v/>
      </c>
      <c r="AE170">
        <f>IF(AE35="",0,2*(OR(ISNUMBER(FIND("WORKCENTER",AE35)),AND(LEFT(AE35,4)="LINE",NOT(ISNUMBER(FIND("STATUS",AE35))))))+4*(OR(ISNUMBER(FIND("WORKORDER",AE35)),AND(LEFT(AE35,2)="WO",OR(ISNUMBER(FIND("NUM",AE35)),RIGHT(AE35,2)="NO"))))+8*(LEFT(AE35,3)="SEQ")+16*(AND(LEFT(AE35,4)="ITEM",NOT(ISNUMBER(FIND("DESC",AE35)))))+32*(AND(ISNUMBER(FIND("DESC",AE35)),NOT(ISNUMBER(FIND("CAP",AE35)))))+64*(OR(RIGHT(AE35,5)="COUNT",RIGHT(AE35,2)="CT"))+128*(ISNUMBER(FIND("BULK",AE35)))+256*(ISNUMBER(FIND("SIZE",AE35)))+512*(LEFT(AE35,3)="CAP")+1024*(ISNUMBER(FIND("ALLERG",AE35)))+2048*(OR(ISNUMBER(FIND("REMARK",AE35)),ISNUMBER(FIND("COMMENT",AE35))))+4096*(OR(ISNUMBER(FIND("QTY",AE35)),ISNUMBER(FIND("QUANTITY",AE35))))+8192*(AND(OR(ISNUMBER(FIND("COMPLETE",AE35)),ISNUMBER(FIND("PCT",AE35)),ISNUMBER(FIND("PERCENT",AE35))),NOT(ISNUMBER(FIND("ACTUAL",AE35))),LEN(AE35)&lt;=16))+32768*(OR(ISNUMBER(FIND("DESIC",AE35)),ISNUMBER(FIND("DESSIC",AE35)))))</f>
        <v/>
      </c>
      <c r="AF170">
        <f>IF(AF35="",0,2*(OR(ISNUMBER(FIND("WORKCENTER",AF35)),AND(LEFT(AF35,4)="LINE",NOT(ISNUMBER(FIND("STATUS",AF35))))))+4*(OR(ISNUMBER(FIND("WORKORDER",AF35)),AND(LEFT(AF35,2)="WO",OR(ISNUMBER(FIND("NUM",AF35)),RIGHT(AF35,2)="NO"))))+8*(LEFT(AF35,3)="SEQ")+16*(AND(LEFT(AF35,4)="ITEM",NOT(ISNUMBER(FIND("DESC",AF35)))))+32*(AND(ISNUMBER(FIND("DESC",AF35)),NOT(ISNUMBER(FIND("CAP",AF35)))))+64*(OR(RIGHT(AF35,5)="COUNT",RIGHT(AF35,2)="CT"))+128*(ISNUMBER(FIND("BULK",AF35)))+256*(ISNUMBER(FIND("SIZE",AF35)))+512*(LEFT(AF35,3)="CAP")+1024*(ISNUMBER(FIND("ALLERG",AF35)))+2048*(OR(ISNUMBER(FIND("REMARK",AF35)),ISNUMBER(FIND("COMMENT",AF35))))+4096*(OR(ISNUMBER(FIND("QTY",AF35)),ISNUMBER(FIND("QUANTITY",AF35))))+8192*(AND(OR(ISNUMBER(FIND("COMPLETE",AF35)),ISNUMBER(FIND("PCT",AF35)),ISNUMBER(FIND("PERCENT",AF35))),NOT(ISNUMBER(FIND("ACTUAL",AF35))),LEN(AF35)&lt;=16))+32768*(OR(ISNUMBER(FIND("DESIC",AF35)),ISNUMBER(FIND("DESSIC",AF35)))))</f>
        <v/>
      </c>
      <c r="AG170">
        <f>IF(AG35="",0,2*(OR(ISNUMBER(FIND("WORKCENTER",AG35)),AND(LEFT(AG35,4)="LINE",NOT(ISNUMBER(FIND("STATUS",AG35))))))+4*(OR(ISNUMBER(FIND("WORKORDER",AG35)),AND(LEFT(AG35,2)="WO",OR(ISNUMBER(FIND("NUM",AG35)),RIGHT(AG35,2)="NO"))))+8*(LEFT(AG35,3)="SEQ")+16*(AND(LEFT(AG35,4)="ITEM",NOT(ISNUMBER(FIND("DESC",AG35)))))+32*(AND(ISNUMBER(FIND("DESC",AG35)),NOT(ISNUMBER(FIND("CAP",AG35)))))+64*(OR(RIGHT(AG35,5)="COUNT",RIGHT(AG35,2)="CT"))+128*(ISNUMBER(FIND("BULK",AG35)))+256*(ISNUMBER(FIND("SIZE",AG35)))+512*(LEFT(AG35,3)="CAP")+1024*(ISNUMBER(FIND("ALLERG",AG35)))+2048*(OR(ISNUMBER(FIND("REMARK",AG35)),ISNUMBER(FIND("COMMENT",AG35))))+4096*(OR(ISNUMBER(FIND("QTY",AG35)),ISNUMBER(FIND("QUANTITY",AG35))))+8192*(AND(OR(ISNUMBER(FIND("COMPLETE",AG35)),ISNUMBER(FIND("PCT",AG35)),ISNUMBER(FIND("PERCENT",AG35))),NOT(ISNUMBER(FIND("ACTUAL",AG35))),LEN(AG35)&lt;=16))+32768*(OR(ISNUMBER(FIND("DESIC",AG35)),ISNUMBER(FIND("DESSIC",AG35)))))</f>
        <v/>
      </c>
      <c r="AH170">
        <f>IF(AH35="",0,2*(OR(ISNUMBER(FIND("WORKCENTER",AH35)),AND(LEFT(AH35,4)="LINE",NOT(ISNUMBER(FIND("STATUS",AH35))))))+4*(OR(ISNUMBER(FIND("WORKORDER",AH35)),AND(LEFT(AH35,2)="WO",OR(ISNUMBER(FIND("NUM",AH35)),RIGHT(AH35,2)="NO"))))+8*(LEFT(AH35,3)="SEQ")+16*(AND(LEFT(AH35,4)="ITEM",NOT(ISNUMBER(FIND("DESC",AH35)))))+32*(AND(ISNUMBER(FIND("DESC",AH35)),NOT(ISNUMBER(FIND("CAP",AH35)))))+64*(OR(RIGHT(AH35,5)="COUNT",RIGHT(AH35,2)="CT"))+128*(ISNUMBER(FIND("BULK",AH35)))+256*(ISNUMBER(FIND("SIZE",AH35)))+512*(LEFT(AH35,3)="CAP")+1024*(ISNUMBER(FIND("ALLERG",AH35)))+2048*(OR(ISNUMBER(FIND("REMARK",AH35)),ISNUMBER(FIND("COMMENT",AH35))))+4096*(OR(ISNUMBER(FIND("QTY",AH35)),ISNUMBER(FIND("QUANTITY",AH35))))+8192*(AND(OR(ISNUMBER(FIND("COMPLETE",AH35)),ISNUMBER(FIND("PCT",AH35)),ISNUMBER(FIND("PERCENT",AH35))),NOT(ISNUMBER(FIND("ACTUAL",AH35))),LEN(AH35)&lt;=16))+32768*(OR(ISNUMBER(FIND("DESIC",AH35)),ISNUMBER(FIND("DESSIC",AH35)))))</f>
        <v/>
      </c>
      <c r="AI170">
        <f>IF(AI35="",0,2*(OR(ISNUMBER(FIND("WORKCENTER",AI35)),AND(LEFT(AI35,4)="LINE",NOT(ISNUMBER(FIND("STATUS",AI35))))))+4*(OR(ISNUMBER(FIND("WORKORDER",AI35)),AND(LEFT(AI35,2)="WO",OR(ISNUMBER(FIND("NUM",AI35)),RIGHT(AI35,2)="NO"))))+8*(LEFT(AI35,3)="SEQ")+16*(AND(LEFT(AI35,4)="ITEM",NOT(ISNUMBER(FIND("DESC",AI35)))))+32*(AND(ISNUMBER(FIND("DESC",AI35)),NOT(ISNUMBER(FIND("CAP",AI35)))))+64*(OR(RIGHT(AI35,5)="COUNT",RIGHT(AI35,2)="CT"))+128*(ISNUMBER(FIND("BULK",AI35)))+256*(ISNUMBER(FIND("SIZE",AI35)))+512*(LEFT(AI35,3)="CAP")+1024*(ISNUMBER(FIND("ALLERG",AI35)))+2048*(OR(ISNUMBER(FIND("REMARK",AI35)),ISNUMBER(FIND("COMMENT",AI35))))+4096*(OR(ISNUMBER(FIND("QTY",AI35)),ISNUMBER(FIND("QUANTITY",AI35))))+8192*(AND(OR(ISNUMBER(FIND("COMPLETE",AI35)),ISNUMBER(FIND("PCT",AI35)),ISNUMBER(FIND("PERCENT",AI35))),NOT(ISNUMBER(FIND("ACTUAL",AI35))),LEN(AI35)&lt;=16))+32768*(OR(ISNUMBER(FIND("DESIC",AI35)),ISNUMBER(FIND("DESSIC",AI35)))))</f>
        <v/>
      </c>
      <c r="AJ170">
        <f>IF(AJ35="",0,2*(OR(ISNUMBER(FIND("WORKCENTER",AJ35)),AND(LEFT(AJ35,4)="LINE",NOT(ISNUMBER(FIND("STATUS",AJ35))))))+4*(OR(ISNUMBER(FIND("WORKORDER",AJ35)),AND(LEFT(AJ35,2)="WO",OR(ISNUMBER(FIND("NUM",AJ35)),RIGHT(AJ35,2)="NO"))))+8*(LEFT(AJ35,3)="SEQ")+16*(AND(LEFT(AJ35,4)="ITEM",NOT(ISNUMBER(FIND("DESC",AJ35)))))+32*(AND(ISNUMBER(FIND("DESC",AJ35)),NOT(ISNUMBER(FIND("CAP",AJ35)))))+64*(OR(RIGHT(AJ35,5)="COUNT",RIGHT(AJ35,2)="CT"))+128*(ISNUMBER(FIND("BULK",AJ35)))+256*(ISNUMBER(FIND("SIZE",AJ35)))+512*(LEFT(AJ35,3)="CAP")+1024*(ISNUMBER(FIND("ALLERG",AJ35)))+2048*(OR(ISNUMBER(FIND("REMARK",AJ35)),ISNUMBER(FIND("COMMENT",AJ35))))+4096*(OR(ISNUMBER(FIND("QTY",AJ35)),ISNUMBER(FIND("QUANTITY",AJ35))))+8192*(AND(OR(ISNUMBER(FIND("COMPLETE",AJ35)),ISNUMBER(FIND("PCT",AJ35)),ISNUMBER(FIND("PERCENT",AJ35))),NOT(ISNUMBER(FIND("ACTUAL",AJ35))),LEN(AJ35)&lt;=16))+32768*(OR(ISNUMBER(FIND("DESIC",AJ35)),ISNUMBER(FIND("DESSIC",AJ35)))))</f>
        <v/>
      </c>
      <c r="AK170">
        <f>IF(AK35="",0,2*(OR(ISNUMBER(FIND("WORKCENTER",AK35)),AND(LEFT(AK35,4)="LINE",NOT(ISNUMBER(FIND("STATUS",AK35))))))+4*(OR(ISNUMBER(FIND("WORKORDER",AK35)),AND(LEFT(AK35,2)="WO",OR(ISNUMBER(FIND("NUM",AK35)),RIGHT(AK35,2)="NO"))))+8*(LEFT(AK35,3)="SEQ")+16*(AND(LEFT(AK35,4)="ITEM",NOT(ISNUMBER(FIND("DESC",AK35)))))+32*(AND(ISNUMBER(FIND("DESC",AK35)),NOT(ISNUMBER(FIND("CAP",AK35)))))+64*(OR(RIGHT(AK35,5)="COUNT",RIGHT(AK35,2)="CT"))+128*(ISNUMBER(FIND("BULK",AK35)))+256*(ISNUMBER(FIND("SIZE",AK35)))+512*(LEFT(AK35,3)="CAP")+1024*(ISNUMBER(FIND("ALLERG",AK35)))+2048*(OR(ISNUMBER(FIND("REMARK",AK35)),ISNUMBER(FIND("COMMENT",AK35))))+4096*(OR(ISNUMBER(FIND("QTY",AK35)),ISNUMBER(FIND("QUANTITY",AK35))))+8192*(AND(OR(ISNUMBER(FIND("COMPLETE",AK35)),ISNUMBER(FIND("PCT",AK35)),ISNUMBER(FIND("PERCENT",AK35))),NOT(ISNUMBER(FIND("ACTUAL",AK35))),LEN(AK35)&lt;=16))+32768*(OR(ISNUMBER(FIND("DESIC",AK35)),ISNUMBER(FIND("DESSIC",AK35)))))</f>
        <v/>
      </c>
      <c r="AL170">
        <f>IF(AL35="",0,2*(OR(ISNUMBER(FIND("WORKCENTER",AL35)),AND(LEFT(AL35,4)="LINE",NOT(ISNUMBER(FIND("STATUS",AL35))))))+4*(OR(ISNUMBER(FIND("WORKORDER",AL35)),AND(LEFT(AL35,2)="WO",OR(ISNUMBER(FIND("NUM",AL35)),RIGHT(AL35,2)="NO"))))+8*(LEFT(AL35,3)="SEQ")+16*(AND(LEFT(AL35,4)="ITEM",NOT(ISNUMBER(FIND("DESC",AL35)))))+32*(AND(ISNUMBER(FIND("DESC",AL35)),NOT(ISNUMBER(FIND("CAP",AL35)))))+64*(OR(RIGHT(AL35,5)="COUNT",RIGHT(AL35,2)="CT"))+128*(ISNUMBER(FIND("BULK",AL35)))+256*(ISNUMBER(FIND("SIZE",AL35)))+512*(LEFT(AL35,3)="CAP")+1024*(ISNUMBER(FIND("ALLERG",AL35)))+2048*(OR(ISNUMBER(FIND("REMARK",AL35)),ISNUMBER(FIND("COMMENT",AL35))))+4096*(OR(ISNUMBER(FIND("QTY",AL35)),ISNUMBER(FIND("QUANTITY",AL35))))+8192*(AND(OR(ISNUMBER(FIND("COMPLETE",AL35)),ISNUMBER(FIND("PCT",AL35)),ISNUMBER(FIND("PERCENT",AL35))),NOT(ISNUMBER(FIND("ACTUAL",AL35))),LEN(AL35)&lt;=16))+32768*(OR(ISNUMBER(FIND("DESIC",AL35)),ISNUMBER(FIND("DESSIC",AL35)))))</f>
        <v/>
      </c>
      <c r="AM170">
        <f>IF(AM35="",0,2*(OR(ISNUMBER(FIND("WORKCENTER",AM35)),AND(LEFT(AM35,4)="LINE",NOT(ISNUMBER(FIND("STATUS",AM35))))))+4*(OR(ISNUMBER(FIND("WORKORDER",AM35)),AND(LEFT(AM35,2)="WO",OR(ISNUMBER(FIND("NUM",AM35)),RIGHT(AM35,2)="NO"))))+8*(LEFT(AM35,3)="SEQ")+16*(AND(LEFT(AM35,4)="ITEM",NOT(ISNUMBER(FIND("DESC",AM35)))))+32*(AND(ISNUMBER(FIND("DESC",AM35)),NOT(ISNUMBER(FIND("CAP",AM35)))))+64*(OR(RIGHT(AM35,5)="COUNT",RIGHT(AM35,2)="CT"))+128*(ISNUMBER(FIND("BULK",AM35)))+256*(ISNUMBER(FIND("SIZE",AM35)))+512*(LEFT(AM35,3)="CAP")+1024*(ISNUMBER(FIND("ALLERG",AM35)))+2048*(OR(ISNUMBER(FIND("REMARK",AM35)),ISNUMBER(FIND("COMMENT",AM35))))+4096*(OR(ISNUMBER(FIND("QTY",AM35)),ISNUMBER(FIND("QUANTITY",AM35))))+8192*(AND(OR(ISNUMBER(FIND("COMPLETE",AM35)),ISNUMBER(FIND("PCT",AM35)),ISNUMBER(FIND("PERCENT",AM35))),NOT(ISNUMBER(FIND("ACTUAL",AM35))),LEN(AM35)&lt;=16))+32768*(OR(ISNUMBER(FIND("DESIC",AM35)),ISNUMBER(FIND("DESSIC",AM35)))))</f>
        <v/>
      </c>
      <c r="AN170">
        <f>IF(AN35="",0,2*(OR(ISNUMBER(FIND("WORKCENTER",AN35)),AND(LEFT(AN35,4)="LINE",NOT(ISNUMBER(FIND("STATUS",AN35))))))+4*(OR(ISNUMBER(FIND("WORKORDER",AN35)),AND(LEFT(AN35,2)="WO",OR(ISNUMBER(FIND("NUM",AN35)),RIGHT(AN35,2)="NO"))))+8*(LEFT(AN35,3)="SEQ")+16*(AND(LEFT(AN35,4)="ITEM",NOT(ISNUMBER(FIND("DESC",AN35)))))+32*(AND(ISNUMBER(FIND("DESC",AN35)),NOT(ISNUMBER(FIND("CAP",AN35)))))+64*(OR(RIGHT(AN35,5)="COUNT",RIGHT(AN35,2)="CT"))+128*(ISNUMBER(FIND("BULK",AN35)))+256*(ISNUMBER(FIND("SIZE",AN35)))+512*(LEFT(AN35,3)="CAP")+1024*(ISNUMBER(FIND("ALLERG",AN35)))+2048*(OR(ISNUMBER(FIND("REMARK",AN35)),ISNUMBER(FIND("COMMENT",AN35))))+4096*(OR(ISNUMBER(FIND("QTY",AN35)),ISNUMBER(FIND("QUANTITY",AN35))))+8192*(AND(OR(ISNUMBER(FIND("COMPLETE",AN35)),ISNUMBER(FIND("PCT",AN35)),ISNUMBER(FIND("PERCENT",AN35))),NOT(ISNUMBER(FIND("ACTUAL",AN35))),LEN(AN35)&lt;=16))+32768*(OR(ISNUMBER(FIND("DESIC",AN35)),ISNUMBER(FIND("DESSIC",AN35)))))</f>
        <v/>
      </c>
      <c r="AO170">
        <f>IF(AO35="",0,2*(OR(ISNUMBER(FIND("WORKCENTER",AO35)),AND(LEFT(AO35,4)="LINE",NOT(ISNUMBER(FIND("STATUS",AO35))))))+4*(OR(ISNUMBER(FIND("WORKORDER",AO35)),AND(LEFT(AO35,2)="WO",OR(ISNUMBER(FIND("NUM",AO35)),RIGHT(AO35,2)="NO"))))+8*(LEFT(AO35,3)="SEQ")+16*(AND(LEFT(AO35,4)="ITEM",NOT(ISNUMBER(FIND("DESC",AO35)))))+32*(AND(ISNUMBER(FIND("DESC",AO35)),NOT(ISNUMBER(FIND("CAP",AO35)))))+64*(OR(RIGHT(AO35,5)="COUNT",RIGHT(AO35,2)="CT"))+128*(ISNUMBER(FIND("BULK",AO35)))+256*(ISNUMBER(FIND("SIZE",AO35)))+512*(LEFT(AO35,3)="CAP")+1024*(ISNUMBER(FIND("ALLERG",AO35)))+2048*(OR(ISNUMBER(FIND("REMARK",AO35)),ISNUMBER(FIND("COMMENT",AO35))))+4096*(OR(ISNUMBER(FIND("QTY",AO35)),ISNUMBER(FIND("QUANTITY",AO35))))+8192*(AND(OR(ISNUMBER(FIND("COMPLETE",AO35)),ISNUMBER(FIND("PCT",AO35)),ISNUMBER(FIND("PERCENT",AO35))),NOT(ISNUMBER(FIND("ACTUAL",AO35))),LEN(AO35)&lt;=16))+32768*(OR(ISNUMBER(FIND("DESIC",AO35)),ISNUMBER(FIND("DESSIC",AO35)))))</f>
        <v/>
      </c>
      <c r="AP170">
        <f>IF(AP35="",0,2*(OR(ISNUMBER(FIND("WORKCENTER",AP35)),AND(LEFT(AP35,4)="LINE",NOT(ISNUMBER(FIND("STATUS",AP35))))))+4*(OR(ISNUMBER(FIND("WORKORDER",AP35)),AND(LEFT(AP35,2)="WO",OR(ISNUMBER(FIND("NUM",AP35)),RIGHT(AP35,2)="NO"))))+8*(LEFT(AP35,3)="SEQ")+16*(AND(LEFT(AP35,4)="ITEM",NOT(ISNUMBER(FIND("DESC",AP35)))))+32*(AND(ISNUMBER(FIND("DESC",AP35)),NOT(ISNUMBER(FIND("CAP",AP35)))))+64*(OR(RIGHT(AP35,5)="COUNT",RIGHT(AP35,2)="CT"))+128*(ISNUMBER(FIND("BULK",AP35)))+256*(ISNUMBER(FIND("SIZE",AP35)))+512*(LEFT(AP35,3)="CAP")+1024*(ISNUMBER(FIND("ALLERG",AP35)))+2048*(OR(ISNUMBER(FIND("REMARK",AP35)),ISNUMBER(FIND("COMMENT",AP35))))+4096*(OR(ISNUMBER(FIND("QTY",AP35)),ISNUMBER(FIND("QUANTITY",AP35))))+8192*(AND(OR(ISNUMBER(FIND("COMPLETE",AP35)),ISNUMBER(FIND("PCT",AP35)),ISNUMBER(FIND("PERCENT",AP35))),NOT(ISNUMBER(FIND("ACTUAL",AP35))),LEN(AP35)&lt;=16))+32768*(OR(ISNUMBER(FIND("DESIC",AP35)),ISNUMBER(FIND("DESSIC",AP35)))))</f>
        <v/>
      </c>
      <c r="AQ170">
        <f>IF(AQ35="",0,2*(OR(ISNUMBER(FIND("WORKCENTER",AQ35)),AND(LEFT(AQ35,4)="LINE",NOT(ISNUMBER(FIND("STATUS",AQ35))))))+4*(OR(ISNUMBER(FIND("WORKORDER",AQ35)),AND(LEFT(AQ35,2)="WO",OR(ISNUMBER(FIND("NUM",AQ35)),RIGHT(AQ35,2)="NO"))))+8*(LEFT(AQ35,3)="SEQ")+16*(AND(LEFT(AQ35,4)="ITEM",NOT(ISNUMBER(FIND("DESC",AQ35)))))+32*(AND(ISNUMBER(FIND("DESC",AQ35)),NOT(ISNUMBER(FIND("CAP",AQ35)))))+64*(OR(RIGHT(AQ35,5)="COUNT",RIGHT(AQ35,2)="CT"))+128*(ISNUMBER(FIND("BULK",AQ35)))+256*(ISNUMBER(FIND("SIZE",AQ35)))+512*(LEFT(AQ35,3)="CAP")+1024*(ISNUMBER(FIND("ALLERG",AQ35)))+2048*(OR(ISNUMBER(FIND("REMARK",AQ35)),ISNUMBER(FIND("COMMENT",AQ35))))+4096*(OR(ISNUMBER(FIND("QTY",AQ35)),ISNUMBER(FIND("QUANTITY",AQ35))))+8192*(AND(OR(ISNUMBER(FIND("COMPLETE",AQ35)),ISNUMBER(FIND("PCT",AQ35)),ISNUMBER(FIND("PERCENT",AQ35))),NOT(ISNUMBER(FIND("ACTUAL",AQ35))),LEN(AQ35)&lt;=16))+32768*(OR(ISNUMBER(FIND("DESIC",AQ35)),ISNUMBER(FIND("DESSIC",AQ35)))))</f>
        <v/>
      </c>
      <c r="AR170">
        <f>IF(AR35="",0,2*(OR(ISNUMBER(FIND("WORKCENTER",AR35)),AND(LEFT(AR35,4)="LINE",NOT(ISNUMBER(FIND("STATUS",AR35))))))+4*(OR(ISNUMBER(FIND("WORKORDER",AR35)),AND(LEFT(AR35,2)="WO",OR(ISNUMBER(FIND("NUM",AR35)),RIGHT(AR35,2)="NO"))))+8*(LEFT(AR35,3)="SEQ")+16*(AND(LEFT(AR35,4)="ITEM",NOT(ISNUMBER(FIND("DESC",AR35)))))+32*(AND(ISNUMBER(FIND("DESC",AR35)),NOT(ISNUMBER(FIND("CAP",AR35)))))+64*(OR(RIGHT(AR35,5)="COUNT",RIGHT(AR35,2)="CT"))+128*(ISNUMBER(FIND("BULK",AR35)))+256*(ISNUMBER(FIND("SIZE",AR35)))+512*(LEFT(AR35,3)="CAP")+1024*(ISNUMBER(FIND("ALLERG",AR35)))+2048*(OR(ISNUMBER(FIND("REMARK",AR35)),ISNUMBER(FIND("COMMENT",AR35))))+4096*(OR(ISNUMBER(FIND("QTY",AR35)),ISNUMBER(FIND("QUANTITY",AR35))))+8192*(AND(OR(ISNUMBER(FIND("COMPLETE",AR35)),ISNUMBER(FIND("PCT",AR35)),ISNUMBER(FIND("PERCENT",AR35))),NOT(ISNUMBER(FIND("ACTUAL",AR35))),LEN(AR35)&lt;=16))+32768*(OR(ISNUMBER(FIND("DESIC",AR35)),ISNUMBER(FIND("DESSIC",AR35)))))</f>
        <v/>
      </c>
      <c r="AS170">
        <f>IF(AS35="",0,2*(OR(ISNUMBER(FIND("WORKCENTER",AS35)),AND(LEFT(AS35,4)="LINE",NOT(ISNUMBER(FIND("STATUS",AS35))))))+4*(OR(ISNUMBER(FIND("WORKORDER",AS35)),AND(LEFT(AS35,2)="WO",OR(ISNUMBER(FIND("NUM",AS35)),RIGHT(AS35,2)="NO"))))+8*(LEFT(AS35,3)="SEQ")+16*(AND(LEFT(AS35,4)="ITEM",NOT(ISNUMBER(FIND("DESC",AS35)))))+32*(AND(ISNUMBER(FIND("DESC",AS35)),NOT(ISNUMBER(FIND("CAP",AS35)))))+64*(OR(RIGHT(AS35,5)="COUNT",RIGHT(AS35,2)="CT"))+128*(ISNUMBER(FIND("BULK",AS35)))+256*(ISNUMBER(FIND("SIZE",AS35)))+512*(LEFT(AS35,3)="CAP")+1024*(ISNUMBER(FIND("ALLERG",AS35)))+2048*(OR(ISNUMBER(FIND("REMARK",AS35)),ISNUMBER(FIND("COMMENT",AS35))))+4096*(OR(ISNUMBER(FIND("QTY",AS35)),ISNUMBER(FIND("QUANTITY",AS35))))+8192*(AND(OR(ISNUMBER(FIND("COMPLETE",AS35)),ISNUMBER(FIND("PCT",AS35)),ISNUMBER(FIND("PERCENT",AS35))),NOT(ISNUMBER(FIND("ACTUAL",AS35))),LEN(AS35)&lt;=16))+32768*(OR(ISNUMBER(FIND("DESIC",AS35)),ISNUMBER(FIND("DESSIC",AS35)))))</f>
        <v/>
      </c>
      <c r="AT170">
        <f>IF(AT35="",0,2*(OR(ISNUMBER(FIND("WORKCENTER",AT35)),AND(LEFT(AT35,4)="LINE",NOT(ISNUMBER(FIND("STATUS",AT35))))))+4*(OR(ISNUMBER(FIND("WORKORDER",AT35)),AND(LEFT(AT35,2)="WO",OR(ISNUMBER(FIND("NUM",AT35)),RIGHT(AT35,2)="NO"))))+8*(LEFT(AT35,3)="SEQ")+16*(AND(LEFT(AT35,4)="ITEM",NOT(ISNUMBER(FIND("DESC",AT35)))))+32*(AND(ISNUMBER(FIND("DESC",AT35)),NOT(ISNUMBER(FIND("CAP",AT35)))))+64*(OR(RIGHT(AT35,5)="COUNT",RIGHT(AT35,2)="CT"))+128*(ISNUMBER(FIND("BULK",AT35)))+256*(ISNUMBER(FIND("SIZE",AT35)))+512*(LEFT(AT35,3)="CAP")+1024*(ISNUMBER(FIND("ALLERG",AT35)))+2048*(OR(ISNUMBER(FIND("REMARK",AT35)),ISNUMBER(FIND("COMMENT",AT35))))+4096*(OR(ISNUMBER(FIND("QTY",AT35)),ISNUMBER(FIND("QUANTITY",AT35))))+8192*(AND(OR(ISNUMBER(FIND("COMPLETE",AT35)),ISNUMBER(FIND("PCT",AT35)),ISNUMBER(FIND("PERCENT",AT35))),NOT(ISNUMBER(FIND("ACTUAL",AT35))),LEN(AT35)&lt;=16))+32768*(OR(ISNUMBER(FIND("DESIC",AT35)),ISNUMBER(FIND("DESSIC",AT35)))))</f>
        <v/>
      </c>
      <c r="AU170">
        <f>IF(AU35="",0,2*(OR(ISNUMBER(FIND("WORKCENTER",AU35)),AND(LEFT(AU35,4)="LINE",NOT(ISNUMBER(FIND("STATUS",AU35))))))+4*(OR(ISNUMBER(FIND("WORKORDER",AU35)),AND(LEFT(AU35,2)="WO",OR(ISNUMBER(FIND("NUM",AU35)),RIGHT(AU35,2)="NO"))))+8*(LEFT(AU35,3)="SEQ")+16*(AND(LEFT(AU35,4)="ITEM",NOT(ISNUMBER(FIND("DESC",AU35)))))+32*(AND(ISNUMBER(FIND("DESC",AU35)),NOT(ISNUMBER(FIND("CAP",AU35)))))+64*(OR(RIGHT(AU35,5)="COUNT",RIGHT(AU35,2)="CT"))+128*(ISNUMBER(FIND("BULK",AU35)))+256*(ISNUMBER(FIND("SIZE",AU35)))+512*(LEFT(AU35,3)="CAP")+1024*(ISNUMBER(FIND("ALLERG",AU35)))+2048*(OR(ISNUMBER(FIND("REMARK",AU35)),ISNUMBER(FIND("COMMENT",AU35))))+4096*(OR(ISNUMBER(FIND("QTY",AU35)),ISNUMBER(FIND("QUANTITY",AU35))))+8192*(AND(OR(ISNUMBER(FIND("COMPLETE",AU35)),ISNUMBER(FIND("PCT",AU35)),ISNUMBER(FIND("PERCENT",AU35))),NOT(ISNUMBER(FIND("ACTUAL",AU35))),LEN(AU35)&lt;=16))+32768*(OR(ISNUMBER(FIND("DESIC",AU35)),ISNUMBER(FIND("DESSIC",AU35)))))</f>
        <v/>
      </c>
      <c r="AV170">
        <f>IF(AV35="",0,2*(OR(ISNUMBER(FIND("WORKCENTER",AV35)),AND(LEFT(AV35,4)="LINE",NOT(ISNUMBER(FIND("STATUS",AV35))))))+4*(OR(ISNUMBER(FIND("WORKORDER",AV35)),AND(LEFT(AV35,2)="WO",OR(ISNUMBER(FIND("NUM",AV35)),RIGHT(AV35,2)="NO"))))+8*(LEFT(AV35,3)="SEQ")+16*(AND(LEFT(AV35,4)="ITEM",NOT(ISNUMBER(FIND("DESC",AV35)))))+32*(AND(ISNUMBER(FIND("DESC",AV35)),NOT(ISNUMBER(FIND("CAP",AV35)))))+64*(OR(RIGHT(AV35,5)="COUNT",RIGHT(AV35,2)="CT"))+128*(ISNUMBER(FIND("BULK",AV35)))+256*(ISNUMBER(FIND("SIZE",AV35)))+512*(LEFT(AV35,3)="CAP")+1024*(ISNUMBER(FIND("ALLERG",AV35)))+2048*(OR(ISNUMBER(FIND("REMARK",AV35)),ISNUMBER(FIND("COMMENT",AV35))))+4096*(OR(ISNUMBER(FIND("QTY",AV35)),ISNUMBER(FIND("QUANTITY",AV35))))+8192*(AND(OR(ISNUMBER(FIND("COMPLETE",AV35)),ISNUMBER(FIND("PCT",AV35)),ISNUMBER(FIND("PERCENT",AV35))),NOT(ISNUMBER(FIND("ACTUAL",AV35))),LEN(AV35)&lt;=16))+32768*(OR(ISNUMBER(FIND("DESIC",AV35)),ISNUMBER(FIND("DESSIC",AV35)))))</f>
        <v/>
      </c>
      <c r="AW170">
        <f>IF(AW35="",0,2*(OR(ISNUMBER(FIND("WORKCENTER",AW35)),AND(LEFT(AW35,4)="LINE",NOT(ISNUMBER(FIND("STATUS",AW35))))))+4*(OR(ISNUMBER(FIND("WORKORDER",AW35)),AND(LEFT(AW35,2)="WO",OR(ISNUMBER(FIND("NUM",AW35)),RIGHT(AW35,2)="NO"))))+8*(LEFT(AW35,3)="SEQ")+16*(AND(LEFT(AW35,4)="ITEM",NOT(ISNUMBER(FIND("DESC",AW35)))))+32*(AND(ISNUMBER(FIND("DESC",AW35)),NOT(ISNUMBER(FIND("CAP",AW35)))))+64*(OR(RIGHT(AW35,5)="COUNT",RIGHT(AW35,2)="CT"))+128*(ISNUMBER(FIND("BULK",AW35)))+256*(ISNUMBER(FIND("SIZE",AW35)))+512*(LEFT(AW35,3)="CAP")+1024*(ISNUMBER(FIND("ALLERG",AW35)))+2048*(OR(ISNUMBER(FIND("REMARK",AW35)),ISNUMBER(FIND("COMMENT",AW35))))+4096*(OR(ISNUMBER(FIND("QTY",AW35)),ISNUMBER(FIND("QUANTITY",AW35))))+8192*(AND(OR(ISNUMBER(FIND("COMPLETE",AW35)),ISNUMBER(FIND("PCT",AW35)),ISNUMBER(FIND("PERCENT",AW35))),NOT(ISNUMBER(FIND("ACTUAL",AW35))),LEN(AW35)&lt;=16))+32768*(OR(ISNUMBER(FIND("DESIC",AW35)),ISNUMBER(FIND("DESSIC",AW35)))))</f>
        <v/>
      </c>
      <c r="AX170">
        <f>IF(AX35="",0,2*(OR(ISNUMBER(FIND("WORKCENTER",AX35)),AND(LEFT(AX35,4)="LINE",NOT(ISNUMBER(FIND("STATUS",AX35))))))+4*(OR(ISNUMBER(FIND("WORKORDER",AX35)),AND(LEFT(AX35,2)="WO",OR(ISNUMBER(FIND("NUM",AX35)),RIGHT(AX35,2)="NO"))))+8*(LEFT(AX35,3)="SEQ")+16*(AND(LEFT(AX35,4)="ITEM",NOT(ISNUMBER(FIND("DESC",AX35)))))+32*(AND(ISNUMBER(FIND("DESC",AX35)),NOT(ISNUMBER(FIND("CAP",AX35)))))+64*(OR(RIGHT(AX35,5)="COUNT",RIGHT(AX35,2)="CT"))+128*(ISNUMBER(FIND("BULK",AX35)))+256*(ISNUMBER(FIND("SIZE",AX35)))+512*(LEFT(AX35,3)="CAP")+1024*(ISNUMBER(FIND("ALLERG",AX35)))+2048*(OR(ISNUMBER(FIND("REMARK",AX35)),ISNUMBER(FIND("COMMENT",AX35))))+4096*(OR(ISNUMBER(FIND("QTY",AX35)),ISNUMBER(FIND("QUANTITY",AX35))))+8192*(AND(OR(ISNUMBER(FIND("COMPLETE",AX35)),ISNUMBER(FIND("PCT",AX35)),ISNUMBER(FIND("PERCENT",AX35))),NOT(ISNUMBER(FIND("ACTUAL",AX35))),LEN(AX35)&lt;=16))+32768*(OR(ISNUMBER(FIND("DESIC",AX35)),ISNUMBER(FIND("DESSIC",AX35)))))</f>
        <v/>
      </c>
      <c r="AY170">
        <f>IF(AY35="",0,2*(OR(ISNUMBER(FIND("WORKCENTER",AY35)),AND(LEFT(AY35,4)="LINE",NOT(ISNUMBER(FIND("STATUS",AY35))))))+4*(OR(ISNUMBER(FIND("WORKORDER",AY35)),AND(LEFT(AY35,2)="WO",OR(ISNUMBER(FIND("NUM",AY35)),RIGHT(AY35,2)="NO"))))+8*(LEFT(AY35,3)="SEQ")+16*(AND(LEFT(AY35,4)="ITEM",NOT(ISNUMBER(FIND("DESC",AY35)))))+32*(AND(ISNUMBER(FIND("DESC",AY35)),NOT(ISNUMBER(FIND("CAP",AY35)))))+64*(OR(RIGHT(AY35,5)="COUNT",RIGHT(AY35,2)="CT"))+128*(ISNUMBER(FIND("BULK",AY35)))+256*(ISNUMBER(FIND("SIZE",AY35)))+512*(LEFT(AY35,3)="CAP")+1024*(ISNUMBER(FIND("ALLERG",AY35)))+2048*(OR(ISNUMBER(FIND("REMARK",AY35)),ISNUMBER(FIND("COMMENT",AY35))))+4096*(OR(ISNUMBER(FIND("QTY",AY35)),ISNUMBER(FIND("QUANTITY",AY35))))+8192*(AND(OR(ISNUMBER(FIND("COMPLETE",AY35)),ISNUMBER(FIND("PCT",AY35)),ISNUMBER(FIND("PERCENT",AY35))),NOT(ISNUMBER(FIND("ACTUAL",AY35))),LEN(AY35)&lt;=16))+32768*(OR(ISNUMBER(FIND("DESIC",AY35)),ISNUMBER(FIND("DESSIC",AY35)))))</f>
        <v/>
      </c>
      <c r="AZ170">
        <f>IF(AZ35="",0,2*(OR(ISNUMBER(FIND("WORKCENTER",AZ35)),AND(LEFT(AZ35,4)="LINE",NOT(ISNUMBER(FIND("STATUS",AZ35))))))+4*(OR(ISNUMBER(FIND("WORKORDER",AZ35)),AND(LEFT(AZ35,2)="WO",OR(ISNUMBER(FIND("NUM",AZ35)),RIGHT(AZ35,2)="NO"))))+8*(LEFT(AZ35,3)="SEQ")+16*(AND(LEFT(AZ35,4)="ITEM",NOT(ISNUMBER(FIND("DESC",AZ35)))))+32*(AND(ISNUMBER(FIND("DESC",AZ35)),NOT(ISNUMBER(FIND("CAP",AZ35)))))+64*(OR(RIGHT(AZ35,5)="COUNT",RIGHT(AZ35,2)="CT"))+128*(ISNUMBER(FIND("BULK",AZ35)))+256*(ISNUMBER(FIND("SIZE",AZ35)))+512*(LEFT(AZ35,3)="CAP")+1024*(ISNUMBER(FIND("ALLERG",AZ35)))+2048*(OR(ISNUMBER(FIND("REMARK",AZ35)),ISNUMBER(FIND("COMMENT",AZ35))))+4096*(OR(ISNUMBER(FIND("QTY",AZ35)),ISNUMBER(FIND("QUANTITY",AZ35))))+8192*(AND(OR(ISNUMBER(FIND("COMPLETE",AZ35)),ISNUMBER(FIND("PCT",AZ35)),ISNUMBER(FIND("PERCENT",AZ35))),NOT(ISNUMBER(FIND("ACTUAL",AZ35))),LEN(AZ35)&lt;=16))+32768*(OR(ISNUMBER(FIND("DESIC",AZ35)),ISNUMBER(FIND("DESSIC",AZ35)))))</f>
        <v/>
      </c>
      <c r="BA170">
        <f>IF(BA35="",0,2*(OR(ISNUMBER(FIND("WORKCENTER",BA35)),AND(LEFT(BA35,4)="LINE",NOT(ISNUMBER(FIND("STATUS",BA35))))))+4*(OR(ISNUMBER(FIND("WORKORDER",BA35)),AND(LEFT(BA35,2)="WO",OR(ISNUMBER(FIND("NUM",BA35)),RIGHT(BA35,2)="NO"))))+8*(LEFT(BA35,3)="SEQ")+16*(AND(LEFT(BA35,4)="ITEM",NOT(ISNUMBER(FIND("DESC",BA35)))))+32*(AND(ISNUMBER(FIND("DESC",BA35)),NOT(ISNUMBER(FIND("CAP",BA35)))))+64*(OR(RIGHT(BA35,5)="COUNT",RIGHT(BA35,2)="CT"))+128*(ISNUMBER(FIND("BULK",BA35)))+256*(ISNUMBER(FIND("SIZE",BA35)))+512*(LEFT(BA35,3)="CAP")+1024*(ISNUMBER(FIND("ALLERG",BA35)))+2048*(OR(ISNUMBER(FIND("REMARK",BA35)),ISNUMBER(FIND("COMMENT",BA35))))+4096*(OR(ISNUMBER(FIND("QTY",BA35)),ISNUMBER(FIND("QUANTITY",BA35))))+8192*(AND(OR(ISNUMBER(FIND("COMPLETE",BA35)),ISNUMBER(FIND("PCT",BA35)),ISNUMBER(FIND("PERCENT",BA35))),NOT(ISNUMBER(FIND("ACTUAL",BA35))),LEN(BA35)&lt;=16))+32768*(OR(ISNUMBER(FIND("DESIC",BA35)),ISNUMBER(FIND("DESSIC",BA35)))))</f>
        <v/>
      </c>
      <c r="BB170">
        <f>IF(BB35="",0,2*(OR(ISNUMBER(FIND("WORKCENTER",BB35)),AND(LEFT(BB35,4)="LINE",NOT(ISNUMBER(FIND("STATUS",BB35))))))+4*(OR(ISNUMBER(FIND("WORKORDER",BB35)),AND(LEFT(BB35,2)="WO",OR(ISNUMBER(FIND("NUM",BB35)),RIGHT(BB35,2)="NO"))))+8*(LEFT(BB35,3)="SEQ")+16*(AND(LEFT(BB35,4)="ITEM",NOT(ISNUMBER(FIND("DESC",BB35)))))+32*(AND(ISNUMBER(FIND("DESC",BB35)),NOT(ISNUMBER(FIND("CAP",BB35)))))+64*(OR(RIGHT(BB35,5)="COUNT",RIGHT(BB35,2)="CT"))+128*(ISNUMBER(FIND("BULK",BB35)))+256*(ISNUMBER(FIND("SIZE",BB35)))+512*(LEFT(BB35,3)="CAP")+1024*(ISNUMBER(FIND("ALLERG",BB35)))+2048*(OR(ISNUMBER(FIND("REMARK",BB35)),ISNUMBER(FIND("COMMENT",BB35))))+4096*(OR(ISNUMBER(FIND("QTY",BB35)),ISNUMBER(FIND("QUANTITY",BB35))))+8192*(AND(OR(ISNUMBER(FIND("COMPLETE",BB35)),ISNUMBER(FIND("PCT",BB35)),ISNUMBER(FIND("PERCENT",BB35))),NOT(ISNUMBER(FIND("ACTUAL",BB35))),LEN(BB35)&lt;=16))+32768*(OR(ISNUMBER(FIND("DESIC",BB35)),ISNUMBER(FIND("DESSIC",BB35)))))</f>
        <v/>
      </c>
      <c r="BC170">
        <f>IF(BC35="",0,2*(OR(ISNUMBER(FIND("WORKCENTER",BC35)),AND(LEFT(BC35,4)="LINE",NOT(ISNUMBER(FIND("STATUS",BC35))))))+4*(OR(ISNUMBER(FIND("WORKORDER",BC35)),AND(LEFT(BC35,2)="WO",OR(ISNUMBER(FIND("NUM",BC35)),RIGHT(BC35,2)="NO"))))+8*(LEFT(BC35,3)="SEQ")+16*(AND(LEFT(BC35,4)="ITEM",NOT(ISNUMBER(FIND("DESC",BC35)))))+32*(AND(ISNUMBER(FIND("DESC",BC35)),NOT(ISNUMBER(FIND("CAP",BC35)))))+64*(OR(RIGHT(BC35,5)="COUNT",RIGHT(BC35,2)="CT"))+128*(ISNUMBER(FIND("BULK",BC35)))+256*(ISNUMBER(FIND("SIZE",BC35)))+512*(LEFT(BC35,3)="CAP")+1024*(ISNUMBER(FIND("ALLERG",BC35)))+2048*(OR(ISNUMBER(FIND("REMARK",BC35)),ISNUMBER(FIND("COMMENT",BC35))))+4096*(OR(ISNUMBER(FIND("QTY",BC35)),ISNUMBER(FIND("QUANTITY",BC35))))+8192*(AND(OR(ISNUMBER(FIND("COMPLETE",BC35)),ISNUMBER(FIND("PCT",BC35)),ISNUMBER(FIND("PERCENT",BC35))),NOT(ISNUMBER(FIND("ACTUAL",BC35))),LEN(BC35)&lt;=16))+32768*(OR(ISNUMBER(FIND("DESIC",BC35)),ISNUMBER(FIND("DESSIC",BC35)))))</f>
        <v/>
      </c>
      <c r="BD170">
        <f>IF(BD35="",0,2*(OR(ISNUMBER(FIND("WORKCENTER",BD35)),AND(LEFT(BD35,4)="LINE",NOT(ISNUMBER(FIND("STATUS",BD35))))))+4*(OR(ISNUMBER(FIND("WORKORDER",BD35)),AND(LEFT(BD35,2)="WO",OR(ISNUMBER(FIND("NUM",BD35)),RIGHT(BD35,2)="NO"))))+8*(LEFT(BD35,3)="SEQ")+16*(AND(LEFT(BD35,4)="ITEM",NOT(ISNUMBER(FIND("DESC",BD35)))))+32*(AND(ISNUMBER(FIND("DESC",BD35)),NOT(ISNUMBER(FIND("CAP",BD35)))))+64*(OR(RIGHT(BD35,5)="COUNT",RIGHT(BD35,2)="CT"))+128*(ISNUMBER(FIND("BULK",BD35)))+256*(ISNUMBER(FIND("SIZE",BD35)))+512*(LEFT(BD35,3)="CAP")+1024*(ISNUMBER(FIND("ALLERG",BD35)))+2048*(OR(ISNUMBER(FIND("REMARK",BD35)),ISNUMBER(FIND("COMMENT",BD35))))+4096*(OR(ISNUMBER(FIND("QTY",BD35)),ISNUMBER(FIND("QUANTITY",BD35))))+8192*(AND(OR(ISNUMBER(FIND("COMPLETE",BD35)),ISNUMBER(FIND("PCT",BD35)),ISNUMBER(FIND("PERCENT",BD35))),NOT(ISNUMBER(FIND("ACTUAL",BD35))),LEN(BD35)&lt;=16))+32768*(OR(ISNUMBER(FIND("DESIC",BD35)),ISNUMBER(FIND("DESSIC",BD35)))))</f>
        <v/>
      </c>
      <c r="BE170">
        <f>IF(BE35="",0,2*(OR(ISNUMBER(FIND("WORKCENTER",BE35)),AND(LEFT(BE35,4)="LINE",NOT(ISNUMBER(FIND("STATUS",BE35))))))+4*(OR(ISNUMBER(FIND("WORKORDER",BE35)),AND(LEFT(BE35,2)="WO",OR(ISNUMBER(FIND("NUM",BE35)),RIGHT(BE35,2)="NO"))))+8*(LEFT(BE35,3)="SEQ")+16*(AND(LEFT(BE35,4)="ITEM",NOT(ISNUMBER(FIND("DESC",BE35)))))+32*(AND(ISNUMBER(FIND("DESC",BE35)),NOT(ISNUMBER(FIND("CAP",BE35)))))+64*(OR(RIGHT(BE35,5)="COUNT",RIGHT(BE35,2)="CT"))+128*(ISNUMBER(FIND("BULK",BE35)))+256*(ISNUMBER(FIND("SIZE",BE35)))+512*(LEFT(BE35,3)="CAP")+1024*(ISNUMBER(FIND("ALLERG",BE35)))+2048*(OR(ISNUMBER(FIND("REMARK",BE35)),ISNUMBER(FIND("COMMENT",BE35))))+4096*(OR(ISNUMBER(FIND("QTY",BE35)),ISNUMBER(FIND("QUANTITY",BE35))))+8192*(AND(OR(ISNUMBER(FIND("COMPLETE",BE35)),ISNUMBER(FIND("PCT",BE35)),ISNUMBER(FIND("PERCENT",BE35))),NOT(ISNUMBER(FIND("ACTUAL",BE35))),LEN(BE35)&lt;=16))+32768*(OR(ISNUMBER(FIND("DESIC",BE35)),ISNUMBER(FIND("DESSIC",BE35)))))</f>
        <v/>
      </c>
      <c r="BF170">
        <f>IF(BF35="",0,2*(OR(ISNUMBER(FIND("WORKCENTER",BF35)),AND(LEFT(BF35,4)="LINE",NOT(ISNUMBER(FIND("STATUS",BF35))))))+4*(OR(ISNUMBER(FIND("WORKORDER",BF35)),AND(LEFT(BF35,2)="WO",OR(ISNUMBER(FIND("NUM",BF35)),RIGHT(BF35,2)="NO"))))+8*(LEFT(BF35,3)="SEQ")+16*(AND(LEFT(BF35,4)="ITEM",NOT(ISNUMBER(FIND("DESC",BF35)))))+32*(AND(ISNUMBER(FIND("DESC",BF35)),NOT(ISNUMBER(FIND("CAP",BF35)))))+64*(OR(RIGHT(BF35,5)="COUNT",RIGHT(BF35,2)="CT"))+128*(ISNUMBER(FIND("BULK",BF35)))+256*(ISNUMBER(FIND("SIZE",BF35)))+512*(LEFT(BF35,3)="CAP")+1024*(ISNUMBER(FIND("ALLERG",BF35)))+2048*(OR(ISNUMBER(FIND("REMARK",BF35)),ISNUMBER(FIND("COMMENT",BF35))))+4096*(OR(ISNUMBER(FIND("QTY",BF35)),ISNUMBER(FIND("QUANTITY",BF35))))+8192*(AND(OR(ISNUMBER(FIND("COMPLETE",BF35)),ISNUMBER(FIND("PCT",BF35)),ISNUMBER(FIND("PERCENT",BF35))),NOT(ISNUMBER(FIND("ACTUAL",BF35))),LEN(BF35)&lt;=16))+32768*(OR(ISNUMBER(FIND("DESIC",BF35)),ISNUMBER(FIND("DESSIC",BF35)))))</f>
        <v/>
      </c>
      <c r="BG170">
        <f>IF(BG35="",0,2*(OR(ISNUMBER(FIND("WORKCENTER",BG35)),AND(LEFT(BG35,4)="LINE",NOT(ISNUMBER(FIND("STATUS",BG35))))))+4*(OR(ISNUMBER(FIND("WORKORDER",BG35)),AND(LEFT(BG35,2)="WO",OR(ISNUMBER(FIND("NUM",BG35)),RIGHT(BG35,2)="NO"))))+8*(LEFT(BG35,3)="SEQ")+16*(AND(LEFT(BG35,4)="ITEM",NOT(ISNUMBER(FIND("DESC",BG35)))))+32*(AND(ISNUMBER(FIND("DESC",BG35)),NOT(ISNUMBER(FIND("CAP",BG35)))))+64*(OR(RIGHT(BG35,5)="COUNT",RIGHT(BG35,2)="CT"))+128*(ISNUMBER(FIND("BULK",BG35)))+256*(ISNUMBER(FIND("SIZE",BG35)))+512*(LEFT(BG35,3)="CAP")+1024*(ISNUMBER(FIND("ALLERG",BG35)))+2048*(OR(ISNUMBER(FIND("REMARK",BG35)),ISNUMBER(FIND("COMMENT",BG35))))+4096*(OR(ISNUMBER(FIND("QTY",BG35)),ISNUMBER(FIND("QUANTITY",BG35))))+8192*(AND(OR(ISNUMBER(FIND("COMPLETE",BG35)),ISNUMBER(FIND("PCT",BG35)),ISNUMBER(FIND("PERCENT",BG35))),NOT(ISNUMBER(FIND("ACTUAL",BG35))),LEN(BG35)&lt;=16))+32768*(OR(ISNUMBER(FIND("DESIC",BG35)),ISNUMBER(FIND("DESSIC",BG35)))))</f>
        <v/>
      </c>
      <c r="BH170">
        <f>IF(BH35="",0,2*(OR(ISNUMBER(FIND("WORKCENTER",BH35)),AND(LEFT(BH35,4)="LINE",NOT(ISNUMBER(FIND("STATUS",BH35))))))+4*(OR(ISNUMBER(FIND("WORKORDER",BH35)),AND(LEFT(BH35,2)="WO",OR(ISNUMBER(FIND("NUM",BH35)),RIGHT(BH35,2)="NO"))))+8*(LEFT(BH35,3)="SEQ")+16*(AND(LEFT(BH35,4)="ITEM",NOT(ISNUMBER(FIND("DESC",BH35)))))+32*(AND(ISNUMBER(FIND("DESC",BH35)),NOT(ISNUMBER(FIND("CAP",BH35)))))+64*(OR(RIGHT(BH35,5)="COUNT",RIGHT(BH35,2)="CT"))+128*(ISNUMBER(FIND("BULK",BH35)))+256*(ISNUMBER(FIND("SIZE",BH35)))+512*(LEFT(BH35,3)="CAP")+1024*(ISNUMBER(FIND("ALLERG",BH35)))+2048*(OR(ISNUMBER(FIND("REMARK",BH35)),ISNUMBER(FIND("COMMENT",BH35))))+4096*(OR(ISNUMBER(FIND("QTY",BH35)),ISNUMBER(FIND("QUANTITY",BH35))))+8192*(AND(OR(ISNUMBER(FIND("COMPLETE",BH35)),ISNUMBER(FIND("PCT",BH35)),ISNUMBER(FIND("PERCENT",BH35))),NOT(ISNUMBER(FIND("ACTUAL",BH35))),LEN(BH35)&lt;=16))+32768*(OR(ISNUMBER(FIND("DESIC",BH35)),ISNUMBER(FIND("DESSIC",BH35)))))</f>
        <v/>
      </c>
      <c r="BI170">
        <f>IF(BI35="",0,2*(OR(ISNUMBER(FIND("WORKCENTER",BI35)),AND(LEFT(BI35,4)="LINE",NOT(ISNUMBER(FIND("STATUS",BI35))))))+4*(OR(ISNUMBER(FIND("WORKORDER",BI35)),AND(LEFT(BI35,2)="WO",OR(ISNUMBER(FIND("NUM",BI35)),RIGHT(BI35,2)="NO"))))+8*(LEFT(BI35,3)="SEQ")+16*(AND(LEFT(BI35,4)="ITEM",NOT(ISNUMBER(FIND("DESC",BI35)))))+32*(AND(ISNUMBER(FIND("DESC",BI35)),NOT(ISNUMBER(FIND("CAP",BI35)))))+64*(OR(RIGHT(BI35,5)="COUNT",RIGHT(BI35,2)="CT"))+128*(ISNUMBER(FIND("BULK",BI35)))+256*(ISNUMBER(FIND("SIZE",BI35)))+512*(LEFT(BI35,3)="CAP")+1024*(ISNUMBER(FIND("ALLERG",BI35)))+2048*(OR(ISNUMBER(FIND("REMARK",BI35)),ISNUMBER(FIND("COMMENT",BI35))))+4096*(OR(ISNUMBER(FIND("QTY",BI35)),ISNUMBER(FIND("QUANTITY",BI35))))+8192*(AND(OR(ISNUMBER(FIND("COMPLETE",BI35)),ISNUMBER(FIND("PCT",BI35)),ISNUMBER(FIND("PERCENT",BI35))),NOT(ISNUMBER(FIND("ACTUAL",BI35))),LEN(BI35)&lt;=16))+32768*(OR(ISNUMBER(FIND("DESIC",BI35)),ISNUMBER(FIND("DESSIC",BI35)))))</f>
        <v/>
      </c>
      <c r="BJ170">
        <f>IF(BJ35="",0,2*(OR(ISNUMBER(FIND("WORKCENTER",BJ35)),AND(LEFT(BJ35,4)="LINE",NOT(ISNUMBER(FIND("STATUS",BJ35))))))+4*(OR(ISNUMBER(FIND("WORKORDER",BJ35)),AND(LEFT(BJ35,2)="WO",OR(ISNUMBER(FIND("NUM",BJ35)),RIGHT(BJ35,2)="NO"))))+8*(LEFT(BJ35,3)="SEQ")+16*(AND(LEFT(BJ35,4)="ITEM",NOT(ISNUMBER(FIND("DESC",BJ35)))))+32*(AND(ISNUMBER(FIND("DESC",BJ35)),NOT(ISNUMBER(FIND("CAP",BJ35)))))+64*(OR(RIGHT(BJ35,5)="COUNT",RIGHT(BJ35,2)="CT"))+128*(ISNUMBER(FIND("BULK",BJ35)))+256*(ISNUMBER(FIND("SIZE",BJ35)))+512*(LEFT(BJ35,3)="CAP")+1024*(ISNUMBER(FIND("ALLERG",BJ35)))+2048*(OR(ISNUMBER(FIND("REMARK",BJ35)),ISNUMBER(FIND("COMMENT",BJ35))))+4096*(OR(ISNUMBER(FIND("QTY",BJ35)),ISNUMBER(FIND("QUANTITY",BJ35))))+8192*(AND(OR(ISNUMBER(FIND("COMPLETE",BJ35)),ISNUMBER(FIND("PCT",BJ35)),ISNUMBER(FIND("PERCENT",BJ35))),NOT(ISNUMBER(FIND("ACTUAL",BJ35))),LEN(BJ35)&lt;=16))+32768*(OR(ISNUMBER(FIND("DESIC",BJ35)),ISNUMBER(FIND("DESSIC",BJ35)))))</f>
        <v/>
      </c>
      <c r="BK170">
        <f>IF(BK35="",0,2*(OR(ISNUMBER(FIND("WORKCENTER",BK35)),AND(LEFT(BK35,4)="LINE",NOT(ISNUMBER(FIND("STATUS",BK35))))))+4*(OR(ISNUMBER(FIND("WORKORDER",BK35)),AND(LEFT(BK35,2)="WO",OR(ISNUMBER(FIND("NUM",BK35)),RIGHT(BK35,2)="NO"))))+8*(LEFT(BK35,3)="SEQ")+16*(AND(LEFT(BK35,4)="ITEM",NOT(ISNUMBER(FIND("DESC",BK35)))))+32*(AND(ISNUMBER(FIND("DESC",BK35)),NOT(ISNUMBER(FIND("CAP",BK35)))))+64*(OR(RIGHT(BK35,5)="COUNT",RIGHT(BK35,2)="CT"))+128*(ISNUMBER(FIND("BULK",BK35)))+256*(ISNUMBER(FIND("SIZE",BK35)))+512*(LEFT(BK35,3)="CAP")+1024*(ISNUMBER(FIND("ALLERG",BK35)))+2048*(OR(ISNUMBER(FIND("REMARK",BK35)),ISNUMBER(FIND("COMMENT",BK35))))+4096*(OR(ISNUMBER(FIND("QTY",BK35)),ISNUMBER(FIND("QUANTITY",BK35))))+8192*(AND(OR(ISNUMBER(FIND("COMPLETE",BK35)),ISNUMBER(FIND("PCT",BK35)),ISNUMBER(FIND("PERCENT",BK35))),NOT(ISNUMBER(FIND("ACTUAL",BK35))),LEN(BK35)&lt;=16))+32768*(OR(ISNUMBER(FIND("DESIC",BK35)),ISNUMBER(FIND("DESSIC",BK35)))))</f>
        <v/>
      </c>
      <c r="BL170">
        <f>IF(BL35="",0,2*(OR(ISNUMBER(FIND("WORKCENTER",BL35)),AND(LEFT(BL35,4)="LINE",NOT(ISNUMBER(FIND("STATUS",BL35))))))+4*(OR(ISNUMBER(FIND("WORKORDER",BL35)),AND(LEFT(BL35,2)="WO",OR(ISNUMBER(FIND("NUM",BL35)),RIGHT(BL35,2)="NO"))))+8*(LEFT(BL35,3)="SEQ")+16*(AND(LEFT(BL35,4)="ITEM",NOT(ISNUMBER(FIND("DESC",BL35)))))+32*(AND(ISNUMBER(FIND("DESC",BL35)),NOT(ISNUMBER(FIND("CAP",BL35)))))+64*(OR(RIGHT(BL35,5)="COUNT",RIGHT(BL35,2)="CT"))+128*(ISNUMBER(FIND("BULK",BL35)))+256*(ISNUMBER(FIND("SIZE",BL35)))+512*(LEFT(BL35,3)="CAP")+1024*(ISNUMBER(FIND("ALLERG",BL35)))+2048*(OR(ISNUMBER(FIND("REMARK",BL35)),ISNUMBER(FIND("COMMENT",BL35))))+4096*(OR(ISNUMBER(FIND("QTY",BL35)),ISNUMBER(FIND("QUANTITY",BL35))))+8192*(AND(OR(ISNUMBER(FIND("COMPLETE",BL35)),ISNUMBER(FIND("PCT",BL35)),ISNUMBER(FIND("PERCENT",BL35))),NOT(ISNUMBER(FIND("ACTUAL",BL35))),LEN(BL35)&lt;=16))+32768*(OR(ISNUMBER(FIND("DESIC",BL35)),ISNUMBER(FIND("DESSIC",BL35)))))</f>
        <v/>
      </c>
      <c r="BM170">
        <f>IF(BM35="",0,2*(OR(ISNUMBER(FIND("WORKCENTER",BM35)),AND(LEFT(BM35,4)="LINE",NOT(ISNUMBER(FIND("STATUS",BM35))))))+4*(OR(ISNUMBER(FIND("WORKORDER",BM35)),AND(LEFT(BM35,2)="WO",OR(ISNUMBER(FIND("NUM",BM35)),RIGHT(BM35,2)="NO"))))+8*(LEFT(BM35,3)="SEQ")+16*(AND(LEFT(BM35,4)="ITEM",NOT(ISNUMBER(FIND("DESC",BM35)))))+32*(AND(ISNUMBER(FIND("DESC",BM35)),NOT(ISNUMBER(FIND("CAP",BM35)))))+64*(OR(RIGHT(BM35,5)="COUNT",RIGHT(BM35,2)="CT"))+128*(ISNUMBER(FIND("BULK",BM35)))+256*(ISNUMBER(FIND("SIZE",BM35)))+512*(LEFT(BM35,3)="CAP")+1024*(ISNUMBER(FIND("ALLERG",BM35)))+2048*(OR(ISNUMBER(FIND("REMARK",BM35)),ISNUMBER(FIND("COMMENT",BM35))))+4096*(OR(ISNUMBER(FIND("QTY",BM35)),ISNUMBER(FIND("QUANTITY",BM35))))+8192*(AND(OR(ISNUMBER(FIND("COMPLETE",BM35)),ISNUMBER(FIND("PCT",BM35)),ISNUMBER(FIND("PERCENT",BM35))),NOT(ISNUMBER(FIND("ACTUAL",BM35))),LEN(BM35)&lt;=16))+32768*(OR(ISNUMBER(FIND("DESIC",BM35)),ISNUMBER(FIND("DESSIC",BM35)))))</f>
        <v/>
      </c>
      <c r="BN170">
        <f>IF(BN35="",0,2*(OR(ISNUMBER(FIND("WORKCENTER",BN35)),AND(LEFT(BN35,4)="LINE",NOT(ISNUMBER(FIND("STATUS",BN35))))))+4*(OR(ISNUMBER(FIND("WORKORDER",BN35)),AND(LEFT(BN35,2)="WO",OR(ISNUMBER(FIND("NUM",BN35)),RIGHT(BN35,2)="NO"))))+8*(LEFT(BN35,3)="SEQ")+16*(AND(LEFT(BN35,4)="ITEM",NOT(ISNUMBER(FIND("DESC",BN35)))))+32*(AND(ISNUMBER(FIND("DESC",BN35)),NOT(ISNUMBER(FIND("CAP",BN35)))))+64*(OR(RIGHT(BN35,5)="COUNT",RIGHT(BN35,2)="CT"))+128*(ISNUMBER(FIND("BULK",BN35)))+256*(ISNUMBER(FIND("SIZE",BN35)))+512*(LEFT(BN35,3)="CAP")+1024*(ISNUMBER(FIND("ALLERG",BN35)))+2048*(OR(ISNUMBER(FIND("REMARK",BN35)),ISNUMBER(FIND("COMMENT",BN35))))+4096*(OR(ISNUMBER(FIND("QTY",BN35)),ISNUMBER(FIND("QUANTITY",BN35))))+8192*(AND(OR(ISNUMBER(FIND("COMPLETE",BN35)),ISNUMBER(FIND("PCT",BN35)),ISNUMBER(FIND("PERCENT",BN35))),NOT(ISNUMBER(FIND("ACTUAL",BN35))),LEN(BN35)&lt;=16))+32768*(OR(ISNUMBER(FIND("DESIC",BN35)),ISNUMBER(FIND("DESSIC",BN35)))))</f>
        <v/>
      </c>
      <c r="BO170">
        <f>IF(BO35="",0,2*(OR(ISNUMBER(FIND("WORKCENTER",BO35)),AND(LEFT(BO35,4)="LINE",NOT(ISNUMBER(FIND("STATUS",BO35))))))+4*(OR(ISNUMBER(FIND("WORKORDER",BO35)),AND(LEFT(BO35,2)="WO",OR(ISNUMBER(FIND("NUM",BO35)),RIGHT(BO35,2)="NO"))))+8*(LEFT(BO35,3)="SEQ")+16*(AND(LEFT(BO35,4)="ITEM",NOT(ISNUMBER(FIND("DESC",BO35)))))+32*(AND(ISNUMBER(FIND("DESC",BO35)),NOT(ISNUMBER(FIND("CAP",BO35)))))+64*(OR(RIGHT(BO35,5)="COUNT",RIGHT(BO35,2)="CT"))+128*(ISNUMBER(FIND("BULK",BO35)))+256*(ISNUMBER(FIND("SIZE",BO35)))+512*(LEFT(BO35,3)="CAP")+1024*(ISNUMBER(FIND("ALLERG",BO35)))+2048*(OR(ISNUMBER(FIND("REMARK",BO35)),ISNUMBER(FIND("COMMENT",BO35))))+4096*(OR(ISNUMBER(FIND("QTY",BO35)),ISNUMBER(FIND("QUANTITY",BO35))))+8192*(AND(OR(ISNUMBER(FIND("COMPLETE",BO35)),ISNUMBER(FIND("PCT",BO35)),ISNUMBER(FIND("PERCENT",BO35))),NOT(ISNUMBER(FIND("ACTUAL",BO35))),LEN(BO35)&lt;=16))+32768*(OR(ISNUMBER(FIND("DESIC",BO35)),ISNUMBER(FIND("DESSIC",BO35)))))</f>
        <v/>
      </c>
      <c r="BP170">
        <f>IF(BP35="",0,2*(OR(ISNUMBER(FIND("WORKCENTER",BP35)),AND(LEFT(BP35,4)="LINE",NOT(ISNUMBER(FIND("STATUS",BP35))))))+4*(OR(ISNUMBER(FIND("WORKORDER",BP35)),AND(LEFT(BP35,2)="WO",OR(ISNUMBER(FIND("NUM",BP35)),RIGHT(BP35,2)="NO"))))+8*(LEFT(BP35,3)="SEQ")+16*(AND(LEFT(BP35,4)="ITEM",NOT(ISNUMBER(FIND("DESC",BP35)))))+32*(AND(ISNUMBER(FIND("DESC",BP35)),NOT(ISNUMBER(FIND("CAP",BP35)))))+64*(OR(RIGHT(BP35,5)="COUNT",RIGHT(BP35,2)="CT"))+128*(ISNUMBER(FIND("BULK",BP35)))+256*(ISNUMBER(FIND("SIZE",BP35)))+512*(LEFT(BP35,3)="CAP")+1024*(ISNUMBER(FIND("ALLERG",BP35)))+2048*(OR(ISNUMBER(FIND("REMARK",BP35)),ISNUMBER(FIND("COMMENT",BP35))))+4096*(OR(ISNUMBER(FIND("QTY",BP35)),ISNUMBER(FIND("QUANTITY",BP35))))+8192*(AND(OR(ISNUMBER(FIND("COMPLETE",BP35)),ISNUMBER(FIND("PCT",BP35)),ISNUMBER(FIND("PERCENT",BP35))),NOT(ISNUMBER(FIND("ACTUAL",BP35))),LEN(BP35)&lt;=16))+32768*(OR(ISNUMBER(FIND("DESIC",BP35)),ISNUMBER(FIND("DESSIC",BP35)))))</f>
        <v/>
      </c>
      <c r="BQ170">
        <f>IF(BQ35="",0,2*(OR(ISNUMBER(FIND("WORKCENTER",BQ35)),AND(LEFT(BQ35,4)="LINE",NOT(ISNUMBER(FIND("STATUS",BQ35))))))+4*(OR(ISNUMBER(FIND("WORKORDER",BQ35)),AND(LEFT(BQ35,2)="WO",OR(ISNUMBER(FIND("NUM",BQ35)),RIGHT(BQ35,2)="NO"))))+8*(LEFT(BQ35,3)="SEQ")+16*(AND(LEFT(BQ35,4)="ITEM",NOT(ISNUMBER(FIND("DESC",BQ35)))))+32*(AND(ISNUMBER(FIND("DESC",BQ35)),NOT(ISNUMBER(FIND("CAP",BQ35)))))+64*(OR(RIGHT(BQ35,5)="COUNT",RIGHT(BQ35,2)="CT"))+128*(ISNUMBER(FIND("BULK",BQ35)))+256*(ISNUMBER(FIND("SIZE",BQ35)))+512*(LEFT(BQ35,3)="CAP")+1024*(ISNUMBER(FIND("ALLERG",BQ35)))+2048*(OR(ISNUMBER(FIND("REMARK",BQ35)),ISNUMBER(FIND("COMMENT",BQ35))))+4096*(OR(ISNUMBER(FIND("QTY",BQ35)),ISNUMBER(FIND("QUANTITY",BQ35))))+8192*(AND(OR(ISNUMBER(FIND("COMPLETE",BQ35)),ISNUMBER(FIND("PCT",BQ35)),ISNUMBER(FIND("PERCENT",BQ35))),NOT(ISNUMBER(FIND("ACTUAL",BQ35))),LEN(BQ35)&lt;=16))+32768*(OR(ISNUMBER(FIND("DESIC",BQ35)),ISNUMBER(FIND("DESSIC",BQ35)))))</f>
        <v/>
      </c>
      <c r="BR170">
        <f>IF(BR35="",0,2*(OR(ISNUMBER(FIND("WORKCENTER",BR35)),AND(LEFT(BR35,4)="LINE",NOT(ISNUMBER(FIND("STATUS",BR35))))))+4*(OR(ISNUMBER(FIND("WORKORDER",BR35)),AND(LEFT(BR35,2)="WO",OR(ISNUMBER(FIND("NUM",BR35)),RIGHT(BR35,2)="NO"))))+8*(LEFT(BR35,3)="SEQ")+16*(AND(LEFT(BR35,4)="ITEM",NOT(ISNUMBER(FIND("DESC",BR35)))))+32*(AND(ISNUMBER(FIND("DESC",BR35)),NOT(ISNUMBER(FIND("CAP",BR35)))))+64*(OR(RIGHT(BR35,5)="COUNT",RIGHT(BR35,2)="CT"))+128*(ISNUMBER(FIND("BULK",BR35)))+256*(ISNUMBER(FIND("SIZE",BR35)))+512*(LEFT(BR35,3)="CAP")+1024*(ISNUMBER(FIND("ALLERG",BR35)))+2048*(OR(ISNUMBER(FIND("REMARK",BR35)),ISNUMBER(FIND("COMMENT",BR35))))+4096*(OR(ISNUMBER(FIND("QTY",BR35)),ISNUMBER(FIND("QUANTITY",BR35))))+8192*(AND(OR(ISNUMBER(FIND("COMPLETE",BR35)),ISNUMBER(FIND("PCT",BR35)),ISNUMBER(FIND("PERCENT",BR35))),NOT(ISNUMBER(FIND("ACTUAL",BR35))),LEN(BR35)&lt;=16))+32768*(OR(ISNUMBER(FIND("DESIC",BR35)),ISNUMBER(FIND("DESSIC",BR35)))))</f>
        <v/>
      </c>
      <c r="BS170">
        <f>IF(BS35="",0,2*(OR(ISNUMBER(FIND("WORKCENTER",BS35)),AND(LEFT(BS35,4)="LINE",NOT(ISNUMBER(FIND("STATUS",BS35))))))+4*(OR(ISNUMBER(FIND("WORKORDER",BS35)),AND(LEFT(BS35,2)="WO",OR(ISNUMBER(FIND("NUM",BS35)),RIGHT(BS35,2)="NO"))))+8*(LEFT(BS35,3)="SEQ")+16*(AND(LEFT(BS35,4)="ITEM",NOT(ISNUMBER(FIND("DESC",BS35)))))+32*(AND(ISNUMBER(FIND("DESC",BS35)),NOT(ISNUMBER(FIND("CAP",BS35)))))+64*(OR(RIGHT(BS35,5)="COUNT",RIGHT(BS35,2)="CT"))+128*(ISNUMBER(FIND("BULK",BS35)))+256*(ISNUMBER(FIND("SIZE",BS35)))+512*(LEFT(BS35,3)="CAP")+1024*(ISNUMBER(FIND("ALLERG",BS35)))+2048*(OR(ISNUMBER(FIND("REMARK",BS35)),ISNUMBER(FIND("COMMENT",BS35))))+4096*(OR(ISNUMBER(FIND("QTY",BS35)),ISNUMBER(FIND("QUANTITY",BS35))))+8192*(AND(OR(ISNUMBER(FIND("COMPLETE",BS35)),ISNUMBER(FIND("PCT",BS35)),ISNUMBER(FIND("PERCENT",BS35))),NOT(ISNUMBER(FIND("ACTUAL",BS35))),LEN(BS35)&lt;=16))+32768*(OR(ISNUMBER(FIND("DESIC",BS35)),ISNUMBER(FIND("DESSIC",BS35)))))</f>
        <v/>
      </c>
      <c r="BT170">
        <f>IF(BT35="",0,2*(OR(ISNUMBER(FIND("WORKCENTER",BT35)),AND(LEFT(BT35,4)="LINE",NOT(ISNUMBER(FIND("STATUS",BT35))))))+4*(OR(ISNUMBER(FIND("WORKORDER",BT35)),AND(LEFT(BT35,2)="WO",OR(ISNUMBER(FIND("NUM",BT35)),RIGHT(BT35,2)="NO"))))+8*(LEFT(BT35,3)="SEQ")+16*(AND(LEFT(BT35,4)="ITEM",NOT(ISNUMBER(FIND("DESC",BT35)))))+32*(AND(ISNUMBER(FIND("DESC",BT35)),NOT(ISNUMBER(FIND("CAP",BT35)))))+64*(OR(RIGHT(BT35,5)="COUNT",RIGHT(BT35,2)="CT"))+128*(ISNUMBER(FIND("BULK",BT35)))+256*(ISNUMBER(FIND("SIZE",BT35)))+512*(LEFT(BT35,3)="CAP")+1024*(ISNUMBER(FIND("ALLERG",BT35)))+2048*(OR(ISNUMBER(FIND("REMARK",BT35)),ISNUMBER(FIND("COMMENT",BT35))))+4096*(OR(ISNUMBER(FIND("QTY",BT35)),ISNUMBER(FIND("QUANTITY",BT35))))+8192*(AND(OR(ISNUMBER(FIND("COMPLETE",BT35)),ISNUMBER(FIND("PCT",BT35)),ISNUMBER(FIND("PERCENT",BT35))),NOT(ISNUMBER(FIND("ACTUAL",BT35))),LEN(BT35)&lt;=16))+32768*(OR(ISNUMBER(FIND("DESIC",BT35)),ISNUMBER(FIND("DESSIC",BT35)))))</f>
        <v/>
      </c>
      <c r="BU170">
        <f>IF(BU35="",0,2*(OR(ISNUMBER(FIND("WORKCENTER",BU35)),AND(LEFT(BU35,4)="LINE",NOT(ISNUMBER(FIND("STATUS",BU35))))))+4*(OR(ISNUMBER(FIND("WORKORDER",BU35)),AND(LEFT(BU35,2)="WO",OR(ISNUMBER(FIND("NUM",BU35)),RIGHT(BU35,2)="NO"))))+8*(LEFT(BU35,3)="SEQ")+16*(AND(LEFT(BU35,4)="ITEM",NOT(ISNUMBER(FIND("DESC",BU35)))))+32*(AND(ISNUMBER(FIND("DESC",BU35)),NOT(ISNUMBER(FIND("CAP",BU35)))))+64*(OR(RIGHT(BU35,5)="COUNT",RIGHT(BU35,2)="CT"))+128*(ISNUMBER(FIND("BULK",BU35)))+256*(ISNUMBER(FIND("SIZE",BU35)))+512*(LEFT(BU35,3)="CAP")+1024*(ISNUMBER(FIND("ALLERG",BU35)))+2048*(OR(ISNUMBER(FIND("REMARK",BU35)),ISNUMBER(FIND("COMMENT",BU35))))+4096*(OR(ISNUMBER(FIND("QTY",BU35)),ISNUMBER(FIND("QUANTITY",BU35))))+8192*(AND(OR(ISNUMBER(FIND("COMPLETE",BU35)),ISNUMBER(FIND("PCT",BU35)),ISNUMBER(FIND("PERCENT",BU35))),NOT(ISNUMBER(FIND("ACTUAL",BU35))),LEN(BU35)&lt;=16))+32768*(OR(ISNUMBER(FIND("DESIC",BU35)),ISNUMBER(FIND("DESSIC",BU35)))))</f>
        <v/>
      </c>
      <c r="BV170">
        <f>IF(BV35="",0,2*(OR(ISNUMBER(FIND("WORKCENTER",BV35)),AND(LEFT(BV35,4)="LINE",NOT(ISNUMBER(FIND("STATUS",BV35))))))+4*(OR(ISNUMBER(FIND("WORKORDER",BV35)),AND(LEFT(BV35,2)="WO",OR(ISNUMBER(FIND("NUM",BV35)),RIGHT(BV35,2)="NO"))))+8*(LEFT(BV35,3)="SEQ")+16*(AND(LEFT(BV35,4)="ITEM",NOT(ISNUMBER(FIND("DESC",BV35)))))+32*(AND(ISNUMBER(FIND("DESC",BV35)),NOT(ISNUMBER(FIND("CAP",BV35)))))+64*(OR(RIGHT(BV35,5)="COUNT",RIGHT(BV35,2)="CT"))+128*(ISNUMBER(FIND("BULK",BV35)))+256*(ISNUMBER(FIND("SIZE",BV35)))+512*(LEFT(BV35,3)="CAP")+1024*(ISNUMBER(FIND("ALLERG",BV35)))+2048*(OR(ISNUMBER(FIND("REMARK",BV35)),ISNUMBER(FIND("COMMENT",BV35))))+4096*(OR(ISNUMBER(FIND("QTY",BV35)),ISNUMBER(FIND("QUANTITY",BV35))))+8192*(AND(OR(ISNUMBER(FIND("COMPLETE",BV35)),ISNUMBER(FIND("PCT",BV35)),ISNUMBER(FIND("PERCENT",BV35))),NOT(ISNUMBER(FIND("ACTUAL",BV35))),LEN(BV35)&lt;=16))+32768*(OR(ISNUMBER(FIND("DESIC",BV35)),ISNUMBER(FIND("DESSIC",BV35)))))</f>
        <v/>
      </c>
      <c r="BW170">
        <f>IF(BW35="",0,2*(OR(ISNUMBER(FIND("WORKCENTER",BW35)),AND(LEFT(BW35,4)="LINE",NOT(ISNUMBER(FIND("STATUS",BW35))))))+4*(OR(ISNUMBER(FIND("WORKORDER",BW35)),AND(LEFT(BW35,2)="WO",OR(ISNUMBER(FIND("NUM",BW35)),RIGHT(BW35,2)="NO"))))+8*(LEFT(BW35,3)="SEQ")+16*(AND(LEFT(BW35,4)="ITEM",NOT(ISNUMBER(FIND("DESC",BW35)))))+32*(AND(ISNUMBER(FIND("DESC",BW35)),NOT(ISNUMBER(FIND("CAP",BW35)))))+64*(OR(RIGHT(BW35,5)="COUNT",RIGHT(BW35,2)="CT"))+128*(ISNUMBER(FIND("BULK",BW35)))+256*(ISNUMBER(FIND("SIZE",BW35)))+512*(LEFT(BW35,3)="CAP")+1024*(ISNUMBER(FIND("ALLERG",BW35)))+2048*(OR(ISNUMBER(FIND("REMARK",BW35)),ISNUMBER(FIND("COMMENT",BW35))))+4096*(OR(ISNUMBER(FIND("QTY",BW35)),ISNUMBER(FIND("QUANTITY",BW35))))+8192*(AND(OR(ISNUMBER(FIND("COMPLETE",BW35)),ISNUMBER(FIND("PCT",BW35)),ISNUMBER(FIND("PERCENT",BW35))),NOT(ISNUMBER(FIND("ACTUAL",BW35))),LEN(BW35)&lt;=16))+32768*(OR(ISNUMBER(FIND("DESIC",BW35)),ISNUMBER(FIND("DESSIC",BW35)))))</f>
        <v/>
      </c>
      <c r="BX170">
        <f>IF(BX35="",0,2*(OR(ISNUMBER(FIND("WORKCENTER",BX35)),AND(LEFT(BX35,4)="LINE",NOT(ISNUMBER(FIND("STATUS",BX35))))))+4*(OR(ISNUMBER(FIND("WORKORDER",BX35)),AND(LEFT(BX35,2)="WO",OR(ISNUMBER(FIND("NUM",BX35)),RIGHT(BX35,2)="NO"))))+8*(LEFT(BX35,3)="SEQ")+16*(AND(LEFT(BX35,4)="ITEM",NOT(ISNUMBER(FIND("DESC",BX35)))))+32*(AND(ISNUMBER(FIND("DESC",BX35)),NOT(ISNUMBER(FIND("CAP",BX35)))))+64*(OR(RIGHT(BX35,5)="COUNT",RIGHT(BX35,2)="CT"))+128*(ISNUMBER(FIND("BULK",BX35)))+256*(ISNUMBER(FIND("SIZE",BX35)))+512*(LEFT(BX35,3)="CAP")+1024*(ISNUMBER(FIND("ALLERG",BX35)))+2048*(OR(ISNUMBER(FIND("REMARK",BX35)),ISNUMBER(FIND("COMMENT",BX35))))+4096*(OR(ISNUMBER(FIND("QTY",BX35)),ISNUMBER(FIND("QUANTITY",BX35))))+8192*(AND(OR(ISNUMBER(FIND("COMPLETE",BX35)),ISNUMBER(FIND("PCT",BX35)),ISNUMBER(FIND("PERCENT",BX35))),NOT(ISNUMBER(FIND("ACTUAL",BX35))),LEN(BX35)&lt;=16))+32768*(OR(ISNUMBER(FIND("DESIC",BX35)),ISNUMBER(FIND("DESSIC",BX35)))))</f>
        <v/>
      </c>
      <c r="BY170">
        <f>IF(BY35="",0,2*(OR(ISNUMBER(FIND("WORKCENTER",BY35)),AND(LEFT(BY35,4)="LINE",NOT(ISNUMBER(FIND("STATUS",BY35))))))+4*(OR(ISNUMBER(FIND("WORKORDER",BY35)),AND(LEFT(BY35,2)="WO",OR(ISNUMBER(FIND("NUM",BY35)),RIGHT(BY35,2)="NO"))))+8*(LEFT(BY35,3)="SEQ")+16*(AND(LEFT(BY35,4)="ITEM",NOT(ISNUMBER(FIND("DESC",BY35)))))+32*(AND(ISNUMBER(FIND("DESC",BY35)),NOT(ISNUMBER(FIND("CAP",BY35)))))+64*(OR(RIGHT(BY35,5)="COUNT",RIGHT(BY35,2)="CT"))+128*(ISNUMBER(FIND("BULK",BY35)))+256*(ISNUMBER(FIND("SIZE",BY35)))+512*(LEFT(BY35,3)="CAP")+1024*(ISNUMBER(FIND("ALLERG",BY35)))+2048*(OR(ISNUMBER(FIND("REMARK",BY35)),ISNUMBER(FIND("COMMENT",BY35))))+4096*(OR(ISNUMBER(FIND("QTY",BY35)),ISNUMBER(FIND("QUANTITY",BY35))))+8192*(AND(OR(ISNUMBER(FIND("COMPLETE",BY35)),ISNUMBER(FIND("PCT",BY35)),ISNUMBER(FIND("PERCENT",BY35))),NOT(ISNUMBER(FIND("ACTUAL",BY35))),LEN(BY35)&lt;=16))+32768*(OR(ISNUMBER(FIND("DESIC",BY35)),ISNUMBER(FIND("DESSIC",BY35)))))</f>
        <v/>
      </c>
      <c r="BZ170">
        <f>IF(BZ35="",0,2*(OR(ISNUMBER(FIND("WORKCENTER",BZ35)),AND(LEFT(BZ35,4)="LINE",NOT(ISNUMBER(FIND("STATUS",BZ35))))))+4*(OR(ISNUMBER(FIND("WORKORDER",BZ35)),AND(LEFT(BZ35,2)="WO",OR(ISNUMBER(FIND("NUM",BZ35)),RIGHT(BZ35,2)="NO"))))+8*(LEFT(BZ35,3)="SEQ")+16*(AND(LEFT(BZ35,4)="ITEM",NOT(ISNUMBER(FIND("DESC",BZ35)))))+32*(AND(ISNUMBER(FIND("DESC",BZ35)),NOT(ISNUMBER(FIND("CAP",BZ35)))))+64*(OR(RIGHT(BZ35,5)="COUNT",RIGHT(BZ35,2)="CT"))+128*(ISNUMBER(FIND("BULK",BZ35)))+256*(ISNUMBER(FIND("SIZE",BZ35)))+512*(LEFT(BZ35,3)="CAP")+1024*(ISNUMBER(FIND("ALLERG",BZ35)))+2048*(OR(ISNUMBER(FIND("REMARK",BZ35)),ISNUMBER(FIND("COMMENT",BZ35))))+4096*(OR(ISNUMBER(FIND("QTY",BZ35)),ISNUMBER(FIND("QUANTITY",BZ35))))+8192*(AND(OR(ISNUMBER(FIND("COMPLETE",BZ35)),ISNUMBER(FIND("PCT",BZ35)),ISNUMBER(FIND("PERCENT",BZ35))),NOT(ISNUMBER(FIND("ACTUAL",BZ35))),LEN(BZ35)&lt;=16))+32768*(OR(ISNUMBER(FIND("DESIC",BZ35)),ISNUMBER(FIND("DESSIC",BZ35)))))</f>
        <v/>
      </c>
      <c r="CA170">
        <f>IF(CA35="",0,2*(OR(ISNUMBER(FIND("WORKCENTER",CA35)),AND(LEFT(CA35,4)="LINE",NOT(ISNUMBER(FIND("STATUS",CA35))))))+4*(OR(ISNUMBER(FIND("WORKORDER",CA35)),AND(LEFT(CA35,2)="WO",OR(ISNUMBER(FIND("NUM",CA35)),RIGHT(CA35,2)="NO"))))+8*(LEFT(CA35,3)="SEQ")+16*(AND(LEFT(CA35,4)="ITEM",NOT(ISNUMBER(FIND("DESC",CA35)))))+32*(AND(ISNUMBER(FIND("DESC",CA35)),NOT(ISNUMBER(FIND("CAP",CA35)))))+64*(OR(RIGHT(CA35,5)="COUNT",RIGHT(CA35,2)="CT"))+128*(ISNUMBER(FIND("BULK",CA35)))+256*(ISNUMBER(FIND("SIZE",CA35)))+512*(LEFT(CA35,3)="CAP")+1024*(ISNUMBER(FIND("ALLERG",CA35)))+2048*(OR(ISNUMBER(FIND("REMARK",CA35)),ISNUMBER(FIND("COMMENT",CA35))))+4096*(OR(ISNUMBER(FIND("QTY",CA35)),ISNUMBER(FIND("QUANTITY",CA35))))+8192*(AND(OR(ISNUMBER(FIND("COMPLETE",CA35)),ISNUMBER(FIND("PCT",CA35)),ISNUMBER(FIND("PERCENT",CA35))),NOT(ISNUMBER(FIND("ACTUAL",CA35))),LEN(CA35)&lt;=16))+32768*(OR(ISNUMBER(FIND("DESIC",CA35)),ISNUMBER(FIND("DESSIC",CA35)))))</f>
        <v/>
      </c>
      <c r="CB170">
        <f>IF(CB35="",0,2*(OR(ISNUMBER(FIND("WORKCENTER",CB35)),AND(LEFT(CB35,4)="LINE",NOT(ISNUMBER(FIND("STATUS",CB35))))))+4*(OR(ISNUMBER(FIND("WORKORDER",CB35)),AND(LEFT(CB35,2)="WO",OR(ISNUMBER(FIND("NUM",CB35)),RIGHT(CB35,2)="NO"))))+8*(LEFT(CB35,3)="SEQ")+16*(AND(LEFT(CB35,4)="ITEM",NOT(ISNUMBER(FIND("DESC",CB35)))))+32*(AND(ISNUMBER(FIND("DESC",CB35)),NOT(ISNUMBER(FIND("CAP",CB35)))))+64*(OR(RIGHT(CB35,5)="COUNT",RIGHT(CB35,2)="CT"))+128*(ISNUMBER(FIND("BULK",CB35)))+256*(ISNUMBER(FIND("SIZE",CB35)))+512*(LEFT(CB35,3)="CAP")+1024*(ISNUMBER(FIND("ALLERG",CB35)))+2048*(OR(ISNUMBER(FIND("REMARK",CB35)),ISNUMBER(FIND("COMMENT",CB35))))+4096*(OR(ISNUMBER(FIND("QTY",CB35)),ISNUMBER(FIND("QUANTITY",CB35))))+8192*(AND(OR(ISNUMBER(FIND("COMPLETE",CB35)),ISNUMBER(FIND("PCT",CB35)),ISNUMBER(FIND("PERCENT",CB35))),NOT(ISNUMBER(FIND("ACTUAL",CB35))),LEN(CB35)&lt;=16))+32768*(OR(ISNUMBER(FIND("DESIC",CB35)),ISNUMBER(FIND("DESSIC",CB35)))))</f>
        <v/>
      </c>
      <c r="CC170">
        <f>IF(CC35="",0,2*(OR(ISNUMBER(FIND("WORKCENTER",CC35)),AND(LEFT(CC35,4)="LINE",NOT(ISNUMBER(FIND("STATUS",CC35))))))+4*(OR(ISNUMBER(FIND("WORKORDER",CC35)),AND(LEFT(CC35,2)="WO",OR(ISNUMBER(FIND("NUM",CC35)),RIGHT(CC35,2)="NO"))))+8*(LEFT(CC35,3)="SEQ")+16*(AND(LEFT(CC35,4)="ITEM",NOT(ISNUMBER(FIND("DESC",CC35)))))+32*(AND(ISNUMBER(FIND("DESC",CC35)),NOT(ISNUMBER(FIND("CAP",CC35)))))+64*(OR(RIGHT(CC35,5)="COUNT",RIGHT(CC35,2)="CT"))+128*(ISNUMBER(FIND("BULK",CC35)))+256*(ISNUMBER(FIND("SIZE",CC35)))+512*(LEFT(CC35,3)="CAP")+1024*(ISNUMBER(FIND("ALLERG",CC35)))+2048*(OR(ISNUMBER(FIND("REMARK",CC35)),ISNUMBER(FIND("COMMENT",CC35))))+4096*(OR(ISNUMBER(FIND("QTY",CC35)),ISNUMBER(FIND("QUANTITY",CC35))))+8192*(AND(OR(ISNUMBER(FIND("COMPLETE",CC35)),ISNUMBER(FIND("PCT",CC35)),ISNUMBER(FIND("PERCENT",CC35))),NOT(ISNUMBER(FIND("ACTUAL",CC35))),LEN(CC35)&lt;=16))+32768*(OR(ISNUMBER(FIND("DESIC",CC35)),ISNUMBER(FIND("DESSIC",CC35)))))</f>
        <v/>
      </c>
      <c r="CD170">
        <f>IF(CD35="",0,2*(OR(ISNUMBER(FIND("WORKCENTER",CD35)),AND(LEFT(CD35,4)="LINE",NOT(ISNUMBER(FIND("STATUS",CD35))))))+4*(OR(ISNUMBER(FIND("WORKORDER",CD35)),AND(LEFT(CD35,2)="WO",OR(ISNUMBER(FIND("NUM",CD35)),RIGHT(CD35,2)="NO"))))+8*(LEFT(CD35,3)="SEQ")+16*(AND(LEFT(CD35,4)="ITEM",NOT(ISNUMBER(FIND("DESC",CD35)))))+32*(AND(ISNUMBER(FIND("DESC",CD35)),NOT(ISNUMBER(FIND("CAP",CD35)))))+64*(OR(RIGHT(CD35,5)="COUNT",RIGHT(CD35,2)="CT"))+128*(ISNUMBER(FIND("BULK",CD35)))+256*(ISNUMBER(FIND("SIZE",CD35)))+512*(LEFT(CD35,3)="CAP")+1024*(ISNUMBER(FIND("ALLERG",CD35)))+2048*(OR(ISNUMBER(FIND("REMARK",CD35)),ISNUMBER(FIND("COMMENT",CD35))))+4096*(OR(ISNUMBER(FIND("QTY",CD35)),ISNUMBER(FIND("QUANTITY",CD35))))+8192*(AND(OR(ISNUMBER(FIND("COMPLETE",CD35)),ISNUMBER(FIND("PCT",CD35)),ISNUMBER(FIND("PERCENT",CD35))),NOT(ISNUMBER(FIND("ACTUAL",CD35))),LEN(CD35)&lt;=16))+32768*(OR(ISNUMBER(FIND("DESIC",CD35)),ISNUMBER(FIND("DESSIC",CD35)))))</f>
        <v/>
      </c>
      <c r="CE170">
        <f>IF(CE35="",0,2*(OR(ISNUMBER(FIND("WORKCENTER",CE35)),AND(LEFT(CE35,4)="LINE",NOT(ISNUMBER(FIND("STATUS",CE35))))))+4*(OR(ISNUMBER(FIND("WORKORDER",CE35)),AND(LEFT(CE35,2)="WO",OR(ISNUMBER(FIND("NUM",CE35)),RIGHT(CE35,2)="NO"))))+8*(LEFT(CE35,3)="SEQ")+16*(AND(LEFT(CE35,4)="ITEM",NOT(ISNUMBER(FIND("DESC",CE35)))))+32*(AND(ISNUMBER(FIND("DESC",CE35)),NOT(ISNUMBER(FIND("CAP",CE35)))))+64*(OR(RIGHT(CE35,5)="COUNT",RIGHT(CE35,2)="CT"))+128*(ISNUMBER(FIND("BULK",CE35)))+256*(ISNUMBER(FIND("SIZE",CE35)))+512*(LEFT(CE35,3)="CAP")+1024*(ISNUMBER(FIND("ALLERG",CE35)))+2048*(OR(ISNUMBER(FIND("REMARK",CE35)),ISNUMBER(FIND("COMMENT",CE35))))+4096*(OR(ISNUMBER(FIND("QTY",CE35)),ISNUMBER(FIND("QUANTITY",CE35))))+8192*(AND(OR(ISNUMBER(FIND("COMPLETE",CE35)),ISNUMBER(FIND("PCT",CE35)),ISNUMBER(FIND("PERCENT",CE35))),NOT(ISNUMBER(FIND("ACTUAL",CE35))),LEN(CE35)&lt;=16))+32768*(OR(ISNUMBER(FIND("DESIC",CE35)),ISNUMBER(FIND("DESSIC",CE35)))))</f>
        <v/>
      </c>
      <c r="CF170">
        <f>IF(CF35="",0,2*(OR(ISNUMBER(FIND("WORKCENTER",CF35)),AND(LEFT(CF35,4)="LINE",NOT(ISNUMBER(FIND("STATUS",CF35))))))+4*(OR(ISNUMBER(FIND("WORKORDER",CF35)),AND(LEFT(CF35,2)="WO",OR(ISNUMBER(FIND("NUM",CF35)),RIGHT(CF35,2)="NO"))))+8*(LEFT(CF35,3)="SEQ")+16*(AND(LEFT(CF35,4)="ITEM",NOT(ISNUMBER(FIND("DESC",CF35)))))+32*(AND(ISNUMBER(FIND("DESC",CF35)),NOT(ISNUMBER(FIND("CAP",CF35)))))+64*(OR(RIGHT(CF35,5)="COUNT",RIGHT(CF35,2)="CT"))+128*(ISNUMBER(FIND("BULK",CF35)))+256*(ISNUMBER(FIND("SIZE",CF35)))+512*(LEFT(CF35,3)="CAP")+1024*(ISNUMBER(FIND("ALLERG",CF35)))+2048*(OR(ISNUMBER(FIND("REMARK",CF35)),ISNUMBER(FIND("COMMENT",CF35))))+4096*(OR(ISNUMBER(FIND("QTY",CF35)),ISNUMBER(FIND("QUANTITY",CF35))))+8192*(AND(OR(ISNUMBER(FIND("COMPLETE",CF35)),ISNUMBER(FIND("PCT",CF35)),ISNUMBER(FIND("PERCENT",CF35))),NOT(ISNUMBER(FIND("ACTUAL",CF35))),LEN(CF35)&lt;=16))+32768*(OR(ISNUMBER(FIND("DESIC",CF35)),ISNUMBER(FIND("DESSIC",CF35)))))</f>
        <v/>
      </c>
      <c r="DA170" t="n">
        <v>166</v>
      </c>
      <c r="DB170">
        <f>IF($B$37=0,"",IFERROR(TRIM(SUBSTITUTE(SUBSTITUTE(SUBSTITUTE(SUBSTITUTE(INDEX(PASTE_ALL,166,$B$37)," "," "),CHAR(9)," "),CHAR(10)," "),CHAR(13)," ")),""))</f>
        <v/>
      </c>
      <c r="DC170">
        <f>IF(AND(166&gt;HEADER_ROW,UPPER(DB170)="LEGEND"),1,0)</f>
        <v/>
      </c>
      <c r="DE170" t="n">
        <v>166</v>
      </c>
      <c r="DF170">
        <f>HEADER_ROW+$DE170</f>
        <v/>
      </c>
      <c r="DG170">
        <f>IF(AND($DF170&lt;=1000,$DF170&lt;$B$8),1,0)</f>
        <v/>
      </c>
      <c r="DH170">
        <f>IF($DG170=1,IFERROR(INDEX($DB$5:$DB$1004,$DF170),""),"")</f>
        <v/>
      </c>
      <c r="DI170">
        <f>IF(AND($DG170=1,$DH170&lt;&gt;""),IFERROR(SUBSTITUTE(SUBSTITUTE(TRIM(SUBSTITUTE(SUBSTITUTE(SUBSTITUTE(SUBSTITUTE(IFERROR(INDEX(PASTE_ALL,$DF170,1)&amp;"","")&amp;"␟"&amp;IFERROR(INDEX(PASTE_ALL,$DF170,2)&amp;"","")&amp;"␟"&amp;IFERROR(INDEX(PASTE_ALL,$DF170,3)&amp;"","")&amp;"␟"&amp;IFERROR(INDEX(PASTE_ALL,$DF170,4)&amp;"","")&amp;"␟"&amp;IFERROR(INDEX(PASTE_ALL,$DF170,5)&amp;"","")&amp;"␟"&amp;IFERROR(INDEX(PASTE_ALL,$DF170,6)&amp;"","")&amp;"␟"&amp;IFERROR(INDEX(PASTE_ALL,$DF170,7)&amp;"","")&amp;"␟"&amp;IFERROR(INDEX(PASTE_ALL,$DF170,8)&amp;"","")&amp;"␟"&amp;IFERROR(INDEX(PASTE_ALL,$DF170,9)&amp;"","")&amp;"␟"&amp;IFERROR(INDEX(PASTE_ALL,$DF170,10)&amp;"","")&amp;"␟"&amp;IFERROR(INDEX(PASTE_ALL,$DF170,11)&amp;"","")&amp;"␟"&amp;IFERROR(INDEX(PASTE_ALL,$DF170,12)&amp;"","")&amp;"␟"&amp;IFERROR(INDEX(PASTE_ALL,$DF170,13)&amp;"","")&amp;"␟"&amp;IFERROR(INDEX(PASTE_ALL,$DF170,14)&amp;"","")&amp;"␟"&amp;IFERROR(INDEX(PASTE_ALL,$DF170,15)&amp;"","")&amp;"␟"&amp;IFERROR(INDEX(PASTE_ALL,$DF170,16)&amp;"","")&amp;"␟"&amp;IFERROR(INDEX(PASTE_ALL,$DF170,17)&amp;"","")&amp;"␟"&amp;IFERROR(INDEX(PASTE_ALL,$DF170,18)&amp;"","")&amp;"␟"&amp;IFERROR(INDEX(PASTE_ALL,$DF170,19)&amp;"","")&amp;"␟"&amp;IFERROR(INDEX(PASTE_ALL,$DF170,20)&amp;"","")&amp;"␟"&amp;IFERROR(INDEX(PASTE_ALL,$DF170,21)&amp;"","")&amp;"␟"&amp;IFERROR(INDEX(PASTE_ALL,$DF170,22)&amp;"","")&amp;"␟"&amp;IFERROR(INDEX(PASTE_ALL,$DF170,23)&amp;"","")&amp;"␟"&amp;IFERROR(INDEX(PASTE_ALL,$DF170,24)&amp;"","")&amp;"␟"&amp;IFERROR(INDEX(PASTE_ALL,$DF170,25)&amp;"","")&amp;"␟"&amp;IFERROR(INDEX(PASTE_ALL,$DF170,26)&amp;"","")&amp;"␟"&amp;IFERROR(INDEX(PASTE_ALL,$DF170,27)&amp;"","")&amp;"␟"&amp;IFERROR(INDEX(PASTE_ALL,$DF170,28)&amp;"","")&amp;"␟"&amp;IFERROR(INDEX(PASTE_ALL,$DF170,29)&amp;"","")&amp;"␟"&amp;IFERROR(INDEX(PASTE_ALL,$DF170,30)&amp;"","")&amp;"␟"&amp;IFERROR(INDEX(PASTE_ALL,$DF170,31)&amp;"","")&amp;"␟"&amp;IFERROR(INDEX(PASTE_ALL,$DF170,32)&amp;"","")&amp;"␟"&amp;IFERROR(INDEX(PASTE_ALL,$DF170,33)&amp;"","")&amp;"␟"&amp;IFERROR(INDEX(PASTE_ALL,$DF170,34)&amp;"","")&amp;"␟"&amp;IFERROR(INDEX(PASTE_ALL,$DF170,35)&amp;"","")&amp;"␟"&amp;IFERROR(INDEX(PASTE_ALL,$DF170,36)&amp;"","")&amp;"␟"&amp;IFERROR(INDEX(PASTE_ALL,$DF170,37)&amp;"","")&amp;"␟"&amp;IFERROR(INDEX(PASTE_ALL,$DF170,38)&amp;"","")&amp;"␟"&amp;IFERROR(INDEX(PASTE_ALL,$DF170,39)&amp;"","")&amp;"␟"&amp;IFERROR(INDEX(PASTE_ALL,$DF170,40)&amp;"","")&amp;"␟"&amp;IFERROR(INDEX(PASTE_ALL,$DF170,41)&amp;"","")&amp;"␟"&amp;IFERROR(INDEX(PASTE_ALL,$DF170,42)&amp;"","")&amp;"␟"&amp;IFERROR(INDEX(PASTE_ALL,$DF170,43)&amp;"","")&amp;"␟"&amp;IFERROR(INDEX(PASTE_ALL,$DF170,44)&amp;"","")&amp;"␟"&amp;IFERROR(INDEX(PASTE_ALL,$DF170,45)&amp;"","")&amp;"␟"&amp;IFERROR(INDEX(PASTE_ALL,$DF170,46)&amp;"","")&amp;"␟"&amp;IFERROR(INDEX(PASTE_ALL,$DF170,47)&amp;"","")&amp;"␟"&amp;IFERROR(INDEX(PASTE_ALL,$DF170,48)&amp;"","")&amp;"␟"&amp;IFERROR(INDEX(PASTE_ALL,$DF170,49)&amp;"","")&amp;"␟"&amp;IFERROR(INDEX(PASTE_ALL,$DF170,50)&amp;"","")&amp;"␟"&amp;IFERROR(INDEX(PASTE_ALL,$DF170,51)&amp;"","")&amp;"␟"&amp;IFERROR(INDEX(PASTE_ALL,$DF170,52)&amp;"","")&amp;"␟"&amp;IFERROR(INDEX(PASTE_ALL,$DF170,53)&amp;"","")&amp;"␟"&amp;IFERROR(INDEX(PASTE_ALL,$DF170,54)&amp;"","")&amp;"␟"&amp;IFERROR(INDEX(PASTE_ALL,$DF170,55)&amp;"","")&amp;"␟"&amp;IFERROR(INDEX(PASTE_ALL,$DF170,56)&amp;"","")&amp;"␟"&amp;IFERROR(INDEX(PASTE_ALL,$DF170,57)&amp;"","")&amp;"␟"&amp;IFERROR(INDEX(PASTE_ALL,$DF170,58)&amp;"","")&amp;"␟"&amp;IFERROR(INDEX(PASTE_ALL,$DF170,59)&amp;"","")&amp;"␟"&amp;IFERROR(INDEX(PASTE_ALL,$DF170,60)&amp;"","")," "," "),CHAR(9)," "),CHAR(10)," "),CHAR(13)," "))," ␟","␟"),"␟ ","␟"),"#"&amp;$DE170),"")</f>
        <v/>
      </c>
      <c r="DJ170">
        <f>IF($DI170="",0,IF(SUMPRODUCT(--EXACT($DI$4:DI169,$DI170))&gt;0,1,0))</f>
        <v/>
      </c>
      <c r="DK170">
        <f>IF(AND($DI170&lt;&gt;"",$DJ170=0),1,0)</f>
        <v/>
      </c>
      <c r="DL170">
        <f>DL169+$DK170</f>
        <v/>
      </c>
      <c r="DM170">
        <f>IF(AND($DK170=1,$DL170&lt;=600),1,0)</f>
        <v/>
      </c>
      <c r="DN170">
        <f>IF($DM170=0,"",IF($L$6=0,"",IFERROR(IF(ISNUMBER(INDEX(PASTE_ALL,$DF170,$L$6)),INDEX(PASTE_ALL,$DF170,$L$6),TRIM(SUBSTITUTE(SUBSTITUTE(SUBSTITUTE(SUBSTITUTE(INDEX(PASTE_ALL,$DF170,$L$6)," "," "),CHAR(9)," "),CHAR(10)," "),CHAR(13)," "))),"")))</f>
        <v/>
      </c>
      <c r="DO170">
        <f>IF($DM170=0,"",IF($L$7=0,"",IFERROR(IF(ISNUMBER(INDEX(PASTE_ALL,$DF170,$L$7)),INDEX(PASTE_ALL,$DF170,$L$7),TRIM(SUBSTITUTE(SUBSTITUTE(SUBSTITUTE(SUBSTITUTE(INDEX(PASTE_ALL,$DF170,$L$7)," "," "),CHAR(9)," "),CHAR(10)," "),CHAR(13)," "))),"")))</f>
        <v/>
      </c>
      <c r="DP170">
        <f>IF($DM170=0,"",IF($L$8=0,"",IFERROR(IF(ISNUMBER(INDEX(PASTE_ALL,$DF170,$L$8)),INDEX(PASTE_ALL,$DF170,$L$8),TRIM(SUBSTITUTE(SUBSTITUTE(SUBSTITUTE(SUBSTITUTE(INDEX(PASTE_ALL,$DF170,$L$8)," "," "),CHAR(9)," "),CHAR(10)," "),CHAR(13)," "))),"")))</f>
        <v/>
      </c>
      <c r="DQ170">
        <f>IF($DM170=0,"",IF($L$9=0,"",IFERROR(IF(ISNUMBER(INDEX(PASTE_ALL,$DF170,$L$9)),INDEX(PASTE_ALL,$DF170,$L$9),TRIM(SUBSTITUTE(SUBSTITUTE(SUBSTITUTE(SUBSTITUTE(INDEX(PASTE_ALL,$DF170,$L$9)," "," "),CHAR(9)," "),CHAR(10)," "),CHAR(13)," "))),"")))</f>
        <v/>
      </c>
      <c r="DR170">
        <f>IF($DM170=0,"",IF($L$10=0,"",IFERROR(IF(ISNUMBER(INDEX(PASTE_ALL,$DF170,$L$10)),INDEX(PASTE_ALL,$DF170,$L$10),TRIM(SUBSTITUTE(SUBSTITUTE(SUBSTITUTE(SUBSTITUTE(INDEX(PASTE_ALL,$DF170,$L$10)," "," "),CHAR(9)," "),CHAR(10)," "),CHAR(13)," "))),"")))</f>
        <v/>
      </c>
      <c r="DS170">
        <f>IF($DM170=0,"",IF($L$11=0,"",IFERROR(IF(ISNUMBER(INDEX(PASTE_ALL,$DF170,$L$11)),INDEX(PASTE_ALL,$DF170,$L$11),TRIM(SUBSTITUTE(SUBSTITUTE(SUBSTITUTE(SUBSTITUTE(INDEX(PASTE_ALL,$DF170,$L$11)," "," "),CHAR(9)," "),CHAR(10)," "),CHAR(13)," "))),"")))</f>
        <v/>
      </c>
      <c r="DT170">
        <f>IF($DM170=0,"",IF($L$12=0,"",IFERROR(IF(ISNUMBER(INDEX(PASTE_ALL,$DF170,$L$12)),INDEX(PASTE_ALL,$DF170,$L$12),TRIM(SUBSTITUTE(SUBSTITUTE(SUBSTITUTE(SUBSTITUTE(INDEX(PASTE_ALL,$DF170,$L$12)," "," "),CHAR(9)," "),CHAR(10)," "),CHAR(13)," "))),"")))</f>
        <v/>
      </c>
      <c r="DU170">
        <f>IF($DM170=0,"",IF($L$13=0,"",IFERROR(IF(ISNUMBER(INDEX(PASTE_ALL,$DF170,$L$13)),INDEX(PASTE_ALL,$DF170,$L$13),TRIM(SUBSTITUTE(SUBSTITUTE(SUBSTITUTE(SUBSTITUTE(INDEX(PASTE_ALL,$DF170,$L$13)," "," "),CHAR(9)," "),CHAR(10)," "),CHAR(13)," "))),"")))</f>
        <v/>
      </c>
      <c r="DV170">
        <f>IF($DM170=0,"",IF($L$14=0,"",IFERROR(IF(ISNUMBER(INDEX(PASTE_ALL,$DF170,$L$14)),INDEX(PASTE_ALL,$DF170,$L$14),TRIM(SUBSTITUTE(SUBSTITUTE(SUBSTITUTE(SUBSTITUTE(INDEX(PASTE_ALL,$DF170,$L$14)," "," "),CHAR(9)," "),CHAR(10)," "),CHAR(13)," "))),"")))</f>
        <v/>
      </c>
      <c r="DW170">
        <f>IF($DM170=0,"",IF($L$15=0,"",IFERROR(IF(ISNUMBER(INDEX(PASTE_ALL,$DF170,$L$15)),INDEX(PASTE_ALL,$DF170,$L$15),IF(SUMPRODUCT(--ISNUMBER(FIND({"A","B","C","D","E","F","G","H","I","J","K","L","M","N","O","P","Q","R","S","T","U","V","W","X","Y","Z","0","1","2","3","4","5","6","7","8","9"},UPPER(TRIM(SUBSTITUTE(SUBSTITUTE(SUBSTITUTE(SUBSTITUTE(INDEX(PASTE_ALL,$DF170,$L$15)," "," "),CHAR(9)," "),CHAR(10)," "),CHAR(13)," "))))))&gt;0,TRIM(SUBSTITUTE(SUBSTITUTE(SUBSTITUTE(SUBSTITUTE(INDEX(PASTE_ALL,$DF170,$L$15)," "," "),CHAR(9)," "),CHAR(10)," "),CHAR(13)," ")),"")),"")))</f>
        <v/>
      </c>
      <c r="DX170">
        <f>IF($DM170=0,"",IF($L$16=0,"",IFERROR(IF(ISNUMBER(INDEX(PASTE_ALL,$DF170,$L$16)),INDEX(PASTE_ALL,$DF170,$L$16),SUBSTITUTE(SUBSTITUTE(TRIM(SUBSTITUTE(SUBSTITUTE(SUBSTITUTE(SUBSTITUTE(INDEX(PASTE_ALL,$DF170,$L$16)," "," "),CHAR(9)," "),CHAR(10)," "),CHAR(13)," ")),",",""),"%","")),"")))</f>
        <v/>
      </c>
      <c r="DY170">
        <f>IF($DM170=0,"",IFERROR(IF(ISNUMBER($DX170),$DX170,IF($DX170="","",IF(TRIM($DX170)="",0,IF(AND(AND(SUBSTITUTE(SUBSTITUTE(SUBSTITUTE(SUBSTITUTE(SUBSTITUTE(SUBSTITUTE(SUBSTITUTE(SUBSTITUTE(SUBSTITUTE(SUBSTITUTE(SUBSTITUTE(SUBSTITUTE(SUBSTITUTE(SUBSTITUTE(UPPER(TRIM($DX170)),"0",""),"1",""),"2",""),"3",""),"4",""),"5",""),"6",""),"7",""),"8",""),"9",""),".",""),"+",""),"-",""),"E","")="",LEN(SUBSTITUTE(SUBSTITUTE(MID(UPPER(TRIM($DX170)),1+OR(LEFT(UPPER(TRIM($DX170)),1)="+",LEFT(UPPER(TRIM($DX170)),1)="-"),999),"E+","E"),"E-","E"))=LEN(SUBSTITUTE(SUBSTITUTE(SUBSTITUTE(SUBSTITUTE(MID(UPPER(TRIM($DX170)),1+OR(LEFT(UPPER(TRIM($DX170)),1)="+",LEFT(UPPER(TRIM($DX170)),1)="-"),999),"E+","E"),"E-","E"),"+",""),"-","")),LEN(UPPER(TRIM($DX170)))-LEN(SUBSTITUTE(UPPER(TRIM($DX170)),"E",""))&lt;2,LEN(UPPER(TRIM($DX170)))-LEN(SUBSTITUTE(UPPER(TRIM($DX170)),".",""))&lt;2,IFERROR(FIND(".",UPPER(TRIM($DX170))),0)&lt;IFERROR(FIND("E",UPPER(TRIM($DX170))),999)),ISNUMBER(VALUE(TRIM($DX170)))),VALUE(TRIM($DX170)),"")))),""))</f>
        <v/>
      </c>
      <c r="DZ170">
        <f>IF($DM170=0,"",IF($L$17=0,"",IFERROR(IF(ISNUMBER(INDEX(PASTE_ALL,$DF170,$L$17)),INDEX(PASTE_ALL,$DF170,$L$17),SUBSTITUTE(SUBSTITUTE(TRIM(SUBSTITUTE(SUBSTITUTE(SUBSTITUTE(SUBSTITUTE(INDEX(PASTE_ALL,$DF170,$L$17)," "," "),CHAR(9)," "),CHAR(10)," "),CHAR(13)," ")),",",""),"%","")),"")))</f>
        <v/>
      </c>
      <c r="EA170">
        <f>IF($DM170=0,"",IFERROR(IF(ISNUMBER($DZ170),$DZ170,IF($DZ170="","",IF(TRIM($DZ170)="",0,IF(AND(AND(SUBSTITUTE(SUBSTITUTE(SUBSTITUTE(SUBSTITUTE(SUBSTITUTE(SUBSTITUTE(SUBSTITUTE(SUBSTITUTE(SUBSTITUTE(SUBSTITUTE(SUBSTITUTE(SUBSTITUTE(SUBSTITUTE(SUBSTITUTE(UPPER(TRIM($DZ170)),"0",""),"1",""),"2",""),"3",""),"4",""),"5",""),"6",""),"7",""),"8",""),"9",""),".",""),"+",""),"-",""),"E","")="",LEN(SUBSTITUTE(SUBSTITUTE(MID(UPPER(TRIM($DZ170)),1+OR(LEFT(UPPER(TRIM($DZ170)),1)="+",LEFT(UPPER(TRIM($DZ170)),1)="-"),999),"E+","E"),"E-","E"))=LEN(SUBSTITUTE(SUBSTITUTE(SUBSTITUTE(SUBSTITUTE(MID(UPPER(TRIM($DZ170)),1+OR(LEFT(UPPER(TRIM($DZ170)),1)="+",LEFT(UPPER(TRIM($DZ170)),1)="-"),999),"E+","E"),"E-","E"),"+",""),"-","")),LEN(UPPER(TRIM($DZ170)))-LEN(SUBSTITUTE(UPPER(TRIM($DZ170)),"E",""))&lt;2,LEN(UPPER(TRIM($DZ170)))-LEN(SUBSTITUTE(UPPER(TRIM($DZ170)),".",""))&lt;2,IFERROR(FIND(".",UPPER(TRIM($DZ170))),0)&lt;IFERROR(FIND("E",UPPER(TRIM($DZ170))),999)),ISNUMBER(VALUE(TRIM($DZ170)))),VALUE(TRIM($DZ170)),"")))),""))</f>
        <v/>
      </c>
      <c r="EB170">
        <f>IF($DM170=0,"",IF($L$18=0,"",IFERROR(IF(UPPER(TRIM(SUBSTITUTE(SUBSTITUTE(SUBSTITUTE(SUBSTITUTE(INDEX(PASTE_ALL,$DF170,$L$18)," "," "),CHAR(9)," "),CHAR(10)," "),CHAR(13)," ")))="READY","Ready",IF(UPPER(TRIM(SUBSTITUTE(SUBSTITUTE(SUBSTITUTE(SUBSTITUTE(INDEX(PASTE_ALL,$DF170,$L$18)," "," "),CHAR(9)," "),CHAR(10)," "),CHAR(13)," ")))="PM","PM",IF(OR(UPPER(TRIM(SUBSTITUTE(SUBSTITUTE(SUBSTITUTE(SUBSTITUTE(INDEX(PASTE_ALL,$DF170,$L$18)," "," "),CHAR(9)," "),CHAR(10)," "),CHAR(13)," ")))="OT",UPPER(TRIM(SUBSTITUTE(SUBSTITUTE(SUBSTITUTE(SUBSTITUTE(INDEX(PASTE_ALL,$DF170,$L$18)," "," "),CHAR(9)," "),CHAR(10)," "),CHAR(13)," ")))="OVERTIME",UPPER(TRIM(SUBSTITUTE(SUBSTITUTE(SUBSTITUTE(SUBSTITUTE(INDEX(PASTE_ALL,$DF170,$L$18)," "," "),CHAR(9)," "),CHAR(10)," "),CHAR(13)," ")))="TRIAL"),"OT",TRIM(SUBSTITUTE(SUBSTITUTE(SUBSTITUTE(SUBSTITUTE(INDEX(PASTE_ALL,$DF170,$L$18)," "," "),CHAR(9)," "),CHAR(10)," "),CHAR(13)," "))))),"")))</f>
        <v/>
      </c>
      <c r="EC170">
        <f>IF($DM170=0,"",IF($L$19=0,"",IFERROR(IF(ISNUMBER(INDEX(PASTE_ALL,$DF170,$L$19)),INDEX(PASTE_ALL,$DF170,$L$19),TRIM(SUBSTITUTE(SUBSTITUTE(SUBSTITUTE(SUBSTITUTE(INDEX(PASTE_ALL,$DF170,$L$19)," "," "),CHAR(9)," "),CHAR(10)," "),CHAR(13)," "))),"")))</f>
        <v/>
      </c>
      <c r="ED170">
        <f>IF($DM170=0,"",MATCH(1,INDEX(EXACT($DH$5:DH170,$DH170)*$DM$5:DM170,0),0))</f>
        <v/>
      </c>
      <c r="EE170">
        <f>IF($DM170=0,0,IF($ED170=$DE170,1,0))</f>
        <v/>
      </c>
      <c r="EF170">
        <f>EF169+$EE170</f>
        <v/>
      </c>
      <c r="EG170">
        <f>IF($DM170=0,"",INDEX($EF$5:$EF$1003,$ED170))</f>
        <v/>
      </c>
      <c r="EH170">
        <f>IF($DM170=0,"",IF($DO170&lt;&gt;"","",IFERROR(LOOKUP(2,1/(($EG$4:EG169=$EG170)*($DO$4:DO169&lt;&gt;"")),$DO$4:DO169),"")))</f>
        <v/>
      </c>
      <c r="EI170">
        <f>IF($DM170=0,"",IF($DO170&lt;&gt;"",$DO170,$EH170))</f>
        <v/>
      </c>
      <c r="EJ170">
        <f>IF($DM170=0,"",IF($EI170="",0,IF(OR(ISNUMBER($EI170),AND(AND(SUBSTITUTE(SUBSTITUTE(SUBSTITUTE(SUBSTITUTE(SUBSTITUTE(SUBSTITUTE(SUBSTITUTE(SUBSTITUTE(SUBSTITUTE(SUBSTITUTE(SUBSTITUTE(SUBSTITUTE(SUBSTITUTE(SUBSTITUTE(UPPER($EI170),"0",""),"1",""),"2",""),"3",""),"4",""),"5",""),"6",""),"7",""),"8",""),"9",""),".",""),"+",""),"-",""),"E","")="",LEN(SUBSTITUTE(SUBSTITUTE(MID(UPPER($EI170),1+OR(LEFT(UPPER($EI170),1)="+",LEFT(UPPER($EI170),1)="-"),999),"E+","E"),"E-","E"))=LEN(SUBSTITUTE(SUBSTITUTE(SUBSTITUTE(SUBSTITUTE(MID(UPPER($EI170),1+OR(LEFT(UPPER($EI170),1)="+",LEFT(UPPER($EI170),1)="-"),999),"E+","E"),"E-","E"),"+",""),"-","")),LEN(UPPER($EI170))-LEN(SUBSTITUTE(UPPER($EI170),"E",""))&lt;2,LEN(UPPER($EI170))-LEN(SUBSTITUTE(UPPER($EI170),".",""))&lt;2,IFERROR(FIND(".",UPPER($EI170)),0)&lt;IFERROR(FIND("E",UPPER($EI170)),999)),ISNUMBER(VALUE($EI170)))),1,2)))</f>
        <v/>
      </c>
      <c r="EK170">
        <f>IF($DM170=0,"",IF($EJ170=1,IF(ISNUMBER($EI170),$EI170,VALUE($EI170)),IF($EJ170=2,$DE170,0)))</f>
        <v/>
      </c>
      <c r="EL170">
        <f>IF($DM170=0,"",COUNTIF($EG$5:$EG$1003,"&lt;"&amp;$EG170)+SUMPRODUCT(($EG$5:$EG$1003=$EG170)*(($EJ$5:$EJ$1003&lt;$EJ170)+($EJ$5:$EJ$1003=$EJ170)*(($EK$5:$EK$1003&lt;$EK170)+($EK$5:$EK$1003=$EK170)*($DE$5:$DE$1003&lt;$DE170))))+1)</f>
        <v/>
      </c>
      <c r="EM170">
        <f>IF($DM170=0,"",$EL170+$EG170-1)</f>
        <v/>
      </c>
      <c r="EN170">
        <f>IF($DM170=0,0,IFERROR(MATCH(1,INDEX(--(TRIM(SUBSTITUTE(SUBSTITUTE(SUBSTITUTE(SUBSTITUTE(LINES_NAME&amp;""," "," "),CHAR(9)," "),CHAR(10)," "),CHAR(13)," "))=$DH170),0),0),0))</f>
        <v/>
      </c>
      <c r="EO170">
        <f>IF($EN170=0,0,IF(OR(UPPER(TRIM(INDEX(LINES_SCHEDULED,$EN170)&amp;""))="YES",UPPER(TRIM(INDEX(LINES_SCHEDULED,$EN170)&amp;""))="Y",UPPER(TRIM(INDEX(LINES_SCHEDULED,$EN170)&amp;""))="X"),1,0))</f>
        <v/>
      </c>
      <c r="EP170">
        <f>IF($DM170=0,"",IF(COUNTIFS($EG$5:$EG$1003,$EG170,$EB$5:$EB$1003,"Ready")&gt;0,"READY",IF(COUNTIFS($EG$5:$EG$1003,$EG170,$EB$5:$EB$1003,"PM")&gt;0,"PM",IF(COUNTIFS($EG$5:$EG$1003,$EG170,$EB$5:$EB$1003,"OT")&gt;0,"OT",""))))</f>
        <v/>
      </c>
      <c r="EQ170">
        <f>IF($EN170=0,"",UPPER(TRIM(INDEX(LINES_STATUS,$EN170)&amp;"")))</f>
        <v/>
      </c>
      <c r="ER170">
        <f>IF($DM170=0,"",IF(OR($EQ170="READY",$EQ170="PM",$EQ170="OT"),$EQ170,$EP170))</f>
        <v/>
      </c>
      <c r="ES170">
        <f>IF($DM170=0,"",IF(AND($DV170&lt;&gt;"",UPPER($DV170)&lt;&gt;"N"),"allergen",IF(ISNUMBER(SEARCH("oil",$DQ170)),"oil",IF(OR(EXACT($DS170,"A662"),EXACT($DS170,"A624")),"bulk",""))))</f>
        <v/>
      </c>
      <c r="ET170">
        <f>IF($DM170=0,"",IF(OR($EA170="",$EA170=0),"",$EA170/100))</f>
        <v/>
      </c>
      <c r="EU170">
        <f>IF(OR($ET170="",$DY170=""),"",INT($DY170*(1-$ET170)+0.5))</f>
        <v/>
      </c>
      <c r="EW170" t="n">
        <v>166</v>
      </c>
      <c r="EX170">
        <f>IFERROR(MATCH($EW170,$EM$5:$EM$1003,0),0)</f>
        <v/>
      </c>
      <c r="EY170">
        <f>IF($EW170&gt;$B$12,"",IF($EX170&gt;0,"row","spacer"))</f>
        <v/>
      </c>
      <c r="EZ170">
        <f>IF(AND($EY170="row",$EY169&lt;&gt;"row"),1,0)</f>
        <v/>
      </c>
      <c r="FA170">
        <f>IF(AND($EY170="row",$EY171&lt;&gt;"row"),1,0)</f>
        <v/>
      </c>
      <c r="FB170">
        <f>IF($EZ170=1,IFERROR(IF(ISNUMBER(INDEX(PASTE_ALL,INDEX($DF$5:$DF$1003,$EX170),$B$37)),INDEX(PASTE_ALL,INDEX($DF$5:$DF$1003,$EX170),$B$37),INDEX($DH$5:$DH$1003,$EX170)),INDEX($DH$5:$DH$1003,$EX170)),"")</f>
        <v/>
      </c>
      <c r="FC170">
        <f>IF($EY170="row",INDEX($ER$5:$ER$1003,$EX170),"")</f>
        <v/>
      </c>
      <c r="FD170">
        <f>IF($EY170="row",INDEX($DN$5:$DN$1003,$EX170),"")</f>
        <v/>
      </c>
      <c r="FE170">
        <f>IF($EY170="row",INDEX($DO$5:$DO$1003,$EX170),"")</f>
        <v/>
      </c>
      <c r="FF170">
        <f>IF($EY170="row",INDEX($DP$5:$DP$1003,$EX170),"")</f>
        <v/>
      </c>
      <c r="FG170">
        <f>IF($EY170="row",INDEX($DQ$5:$DQ$1003,$EX170),"")</f>
        <v/>
      </c>
      <c r="FH170">
        <f>IF($EY170="row",INDEX($DR$5:$DR$1003,$EX170),"")</f>
        <v/>
      </c>
      <c r="FI170">
        <f>IF($EY170="row",INDEX($DS$5:$DS$1003,$EX170),"")</f>
        <v/>
      </c>
      <c r="FJ170">
        <f>IF($EY170="row",INDEX($DT$5:$DT$1003,$EX170),"")</f>
        <v/>
      </c>
      <c r="FK170">
        <f>IF($EY170="row",INDEX($DU$5:$DU$1003,$EX170),"")</f>
        <v/>
      </c>
      <c r="FL170">
        <f>IF($EY170="row",INDEX($DV$5:$DV$1003,$EX170),"")</f>
        <v/>
      </c>
      <c r="FM170">
        <f>IF($EY170="row",INDEX($DW$5:$DW$1003,$EX170),"")</f>
        <v/>
      </c>
      <c r="FN170">
        <f>IF($EY170="row",INDEX($DY$5:$DY$1003,$EX170),"")</f>
        <v/>
      </c>
      <c r="FO170">
        <f>IF($EY170="row",INDEX($EA$5:$EA$1003,$EX170),"")</f>
        <v/>
      </c>
      <c r="FP170">
        <f>IF($EY170="row",INDEX($EC$5:$EC$1003,$EX170),"")</f>
        <v/>
      </c>
      <c r="FQ170">
        <f>IF($EY170="row",INDEX($ET$5:$ET$1003,$EX170),"")</f>
        <v/>
      </c>
      <c r="FR170">
        <f>IF($EY170="row",INDEX($EU$5:$EU$1003,$EX170),"")</f>
        <v/>
      </c>
      <c r="FS170">
        <f>IF(AND($EY170="row",$EY169="row"),IF(OR(INDEX($DT$5:$DT$1003,$EX169)="",INDEX($DT$5:$DT$1003,$EX170)=""),"",IF(NOT(EXACT(INDEX($DT$5:$DT$1003,$EX169),INDEX($DT$5:$DT$1003,$EX170))),"S4",IF(NOT(EXACT(INDEX($DS$5:$DS$1003,$EX169),INDEX($DS$5:$DS$1003,$EX170))),"S3",IF(NOT(EXACT(INDEX($DR$5:$DR$1003,$EX169),INDEX($DR$5:$DR$1003,$EX170))),"S1 Count Change","S1")))),"")</f>
        <v/>
      </c>
      <c r="FT170">
        <f>IF($EY170="row",INDEX($ES$5:$ES$1003,$EX170),"")</f>
        <v/>
      </c>
      <c r="FU170">
        <f>IF($EY170="row",INDEX($EO$5:$EO$1003,$EX170),0)</f>
        <v/>
      </c>
      <c r="FV170">
        <f>IF($FS170="S1 Count Change",1,0)</f>
        <v/>
      </c>
    </row>
    <row r="171">
      <c r="Y171">
        <f>IF(Y36="",0,2*(OR(ISNUMBER(FIND("WORKCENTER",Y36)),AND(LEFT(Y36,4)="LINE",NOT(ISNUMBER(FIND("STATUS",Y36))))))+4*(OR(ISNUMBER(FIND("WORKORDER",Y36)),AND(LEFT(Y36,2)="WO",OR(ISNUMBER(FIND("NUM",Y36)),RIGHT(Y36,2)="NO"))))+8*(LEFT(Y36,3)="SEQ")+16*(AND(LEFT(Y36,4)="ITEM",NOT(ISNUMBER(FIND("DESC",Y36)))))+32*(AND(ISNUMBER(FIND("DESC",Y36)),NOT(ISNUMBER(FIND("CAP",Y36)))))+64*(OR(RIGHT(Y36,5)="COUNT",RIGHT(Y36,2)="CT"))+128*(ISNUMBER(FIND("BULK",Y36)))+256*(ISNUMBER(FIND("SIZE",Y36)))+512*(LEFT(Y36,3)="CAP")+1024*(ISNUMBER(FIND("ALLERG",Y36)))+2048*(OR(ISNUMBER(FIND("REMARK",Y36)),ISNUMBER(FIND("COMMENT",Y36))))+4096*(OR(ISNUMBER(FIND("QTY",Y36)),ISNUMBER(FIND("QUANTITY",Y36))))+8192*(AND(OR(ISNUMBER(FIND("COMPLETE",Y36)),ISNUMBER(FIND("PCT",Y36)),ISNUMBER(FIND("PERCENT",Y36))),NOT(ISNUMBER(FIND("ACTUAL",Y36))),LEN(Y36)&lt;=16))+32768*(OR(ISNUMBER(FIND("DESIC",Y36)),ISNUMBER(FIND("DESSIC",Y36)))))</f>
        <v/>
      </c>
      <c r="Z171">
        <f>IF(Z36="",0,2*(OR(ISNUMBER(FIND("WORKCENTER",Z36)),AND(LEFT(Z36,4)="LINE",NOT(ISNUMBER(FIND("STATUS",Z36))))))+4*(OR(ISNUMBER(FIND("WORKORDER",Z36)),AND(LEFT(Z36,2)="WO",OR(ISNUMBER(FIND("NUM",Z36)),RIGHT(Z36,2)="NO"))))+8*(LEFT(Z36,3)="SEQ")+16*(AND(LEFT(Z36,4)="ITEM",NOT(ISNUMBER(FIND("DESC",Z36)))))+32*(AND(ISNUMBER(FIND("DESC",Z36)),NOT(ISNUMBER(FIND("CAP",Z36)))))+64*(OR(RIGHT(Z36,5)="COUNT",RIGHT(Z36,2)="CT"))+128*(ISNUMBER(FIND("BULK",Z36)))+256*(ISNUMBER(FIND("SIZE",Z36)))+512*(LEFT(Z36,3)="CAP")+1024*(ISNUMBER(FIND("ALLERG",Z36)))+2048*(OR(ISNUMBER(FIND("REMARK",Z36)),ISNUMBER(FIND("COMMENT",Z36))))+4096*(OR(ISNUMBER(FIND("QTY",Z36)),ISNUMBER(FIND("QUANTITY",Z36))))+8192*(AND(OR(ISNUMBER(FIND("COMPLETE",Z36)),ISNUMBER(FIND("PCT",Z36)),ISNUMBER(FIND("PERCENT",Z36))),NOT(ISNUMBER(FIND("ACTUAL",Z36))),LEN(Z36)&lt;=16))+32768*(OR(ISNUMBER(FIND("DESIC",Z36)),ISNUMBER(FIND("DESSIC",Z36)))))</f>
        <v/>
      </c>
      <c r="AA171">
        <f>IF(AA36="",0,2*(OR(ISNUMBER(FIND("WORKCENTER",AA36)),AND(LEFT(AA36,4)="LINE",NOT(ISNUMBER(FIND("STATUS",AA36))))))+4*(OR(ISNUMBER(FIND("WORKORDER",AA36)),AND(LEFT(AA36,2)="WO",OR(ISNUMBER(FIND("NUM",AA36)),RIGHT(AA36,2)="NO"))))+8*(LEFT(AA36,3)="SEQ")+16*(AND(LEFT(AA36,4)="ITEM",NOT(ISNUMBER(FIND("DESC",AA36)))))+32*(AND(ISNUMBER(FIND("DESC",AA36)),NOT(ISNUMBER(FIND("CAP",AA36)))))+64*(OR(RIGHT(AA36,5)="COUNT",RIGHT(AA36,2)="CT"))+128*(ISNUMBER(FIND("BULK",AA36)))+256*(ISNUMBER(FIND("SIZE",AA36)))+512*(LEFT(AA36,3)="CAP")+1024*(ISNUMBER(FIND("ALLERG",AA36)))+2048*(OR(ISNUMBER(FIND("REMARK",AA36)),ISNUMBER(FIND("COMMENT",AA36))))+4096*(OR(ISNUMBER(FIND("QTY",AA36)),ISNUMBER(FIND("QUANTITY",AA36))))+8192*(AND(OR(ISNUMBER(FIND("COMPLETE",AA36)),ISNUMBER(FIND("PCT",AA36)),ISNUMBER(FIND("PERCENT",AA36))),NOT(ISNUMBER(FIND("ACTUAL",AA36))),LEN(AA36)&lt;=16))+32768*(OR(ISNUMBER(FIND("DESIC",AA36)),ISNUMBER(FIND("DESSIC",AA36)))))</f>
        <v/>
      </c>
      <c r="AB171">
        <f>IF(AB36="",0,2*(OR(ISNUMBER(FIND("WORKCENTER",AB36)),AND(LEFT(AB36,4)="LINE",NOT(ISNUMBER(FIND("STATUS",AB36))))))+4*(OR(ISNUMBER(FIND("WORKORDER",AB36)),AND(LEFT(AB36,2)="WO",OR(ISNUMBER(FIND("NUM",AB36)),RIGHT(AB36,2)="NO"))))+8*(LEFT(AB36,3)="SEQ")+16*(AND(LEFT(AB36,4)="ITEM",NOT(ISNUMBER(FIND("DESC",AB36)))))+32*(AND(ISNUMBER(FIND("DESC",AB36)),NOT(ISNUMBER(FIND("CAP",AB36)))))+64*(OR(RIGHT(AB36,5)="COUNT",RIGHT(AB36,2)="CT"))+128*(ISNUMBER(FIND("BULK",AB36)))+256*(ISNUMBER(FIND("SIZE",AB36)))+512*(LEFT(AB36,3)="CAP")+1024*(ISNUMBER(FIND("ALLERG",AB36)))+2048*(OR(ISNUMBER(FIND("REMARK",AB36)),ISNUMBER(FIND("COMMENT",AB36))))+4096*(OR(ISNUMBER(FIND("QTY",AB36)),ISNUMBER(FIND("QUANTITY",AB36))))+8192*(AND(OR(ISNUMBER(FIND("COMPLETE",AB36)),ISNUMBER(FIND("PCT",AB36)),ISNUMBER(FIND("PERCENT",AB36))),NOT(ISNUMBER(FIND("ACTUAL",AB36))),LEN(AB36)&lt;=16))+32768*(OR(ISNUMBER(FIND("DESIC",AB36)),ISNUMBER(FIND("DESSIC",AB36)))))</f>
        <v/>
      </c>
      <c r="AC171">
        <f>IF(AC36="",0,2*(OR(ISNUMBER(FIND("WORKCENTER",AC36)),AND(LEFT(AC36,4)="LINE",NOT(ISNUMBER(FIND("STATUS",AC36))))))+4*(OR(ISNUMBER(FIND("WORKORDER",AC36)),AND(LEFT(AC36,2)="WO",OR(ISNUMBER(FIND("NUM",AC36)),RIGHT(AC36,2)="NO"))))+8*(LEFT(AC36,3)="SEQ")+16*(AND(LEFT(AC36,4)="ITEM",NOT(ISNUMBER(FIND("DESC",AC36)))))+32*(AND(ISNUMBER(FIND("DESC",AC36)),NOT(ISNUMBER(FIND("CAP",AC36)))))+64*(OR(RIGHT(AC36,5)="COUNT",RIGHT(AC36,2)="CT"))+128*(ISNUMBER(FIND("BULK",AC36)))+256*(ISNUMBER(FIND("SIZE",AC36)))+512*(LEFT(AC36,3)="CAP")+1024*(ISNUMBER(FIND("ALLERG",AC36)))+2048*(OR(ISNUMBER(FIND("REMARK",AC36)),ISNUMBER(FIND("COMMENT",AC36))))+4096*(OR(ISNUMBER(FIND("QTY",AC36)),ISNUMBER(FIND("QUANTITY",AC36))))+8192*(AND(OR(ISNUMBER(FIND("COMPLETE",AC36)),ISNUMBER(FIND("PCT",AC36)),ISNUMBER(FIND("PERCENT",AC36))),NOT(ISNUMBER(FIND("ACTUAL",AC36))),LEN(AC36)&lt;=16))+32768*(OR(ISNUMBER(FIND("DESIC",AC36)),ISNUMBER(FIND("DESSIC",AC36)))))</f>
        <v/>
      </c>
      <c r="AD171">
        <f>IF(AD36="",0,2*(OR(ISNUMBER(FIND("WORKCENTER",AD36)),AND(LEFT(AD36,4)="LINE",NOT(ISNUMBER(FIND("STATUS",AD36))))))+4*(OR(ISNUMBER(FIND("WORKORDER",AD36)),AND(LEFT(AD36,2)="WO",OR(ISNUMBER(FIND("NUM",AD36)),RIGHT(AD36,2)="NO"))))+8*(LEFT(AD36,3)="SEQ")+16*(AND(LEFT(AD36,4)="ITEM",NOT(ISNUMBER(FIND("DESC",AD36)))))+32*(AND(ISNUMBER(FIND("DESC",AD36)),NOT(ISNUMBER(FIND("CAP",AD36)))))+64*(OR(RIGHT(AD36,5)="COUNT",RIGHT(AD36,2)="CT"))+128*(ISNUMBER(FIND("BULK",AD36)))+256*(ISNUMBER(FIND("SIZE",AD36)))+512*(LEFT(AD36,3)="CAP")+1024*(ISNUMBER(FIND("ALLERG",AD36)))+2048*(OR(ISNUMBER(FIND("REMARK",AD36)),ISNUMBER(FIND("COMMENT",AD36))))+4096*(OR(ISNUMBER(FIND("QTY",AD36)),ISNUMBER(FIND("QUANTITY",AD36))))+8192*(AND(OR(ISNUMBER(FIND("COMPLETE",AD36)),ISNUMBER(FIND("PCT",AD36)),ISNUMBER(FIND("PERCENT",AD36))),NOT(ISNUMBER(FIND("ACTUAL",AD36))),LEN(AD36)&lt;=16))+32768*(OR(ISNUMBER(FIND("DESIC",AD36)),ISNUMBER(FIND("DESSIC",AD36)))))</f>
        <v/>
      </c>
      <c r="AE171">
        <f>IF(AE36="",0,2*(OR(ISNUMBER(FIND("WORKCENTER",AE36)),AND(LEFT(AE36,4)="LINE",NOT(ISNUMBER(FIND("STATUS",AE36))))))+4*(OR(ISNUMBER(FIND("WORKORDER",AE36)),AND(LEFT(AE36,2)="WO",OR(ISNUMBER(FIND("NUM",AE36)),RIGHT(AE36,2)="NO"))))+8*(LEFT(AE36,3)="SEQ")+16*(AND(LEFT(AE36,4)="ITEM",NOT(ISNUMBER(FIND("DESC",AE36)))))+32*(AND(ISNUMBER(FIND("DESC",AE36)),NOT(ISNUMBER(FIND("CAP",AE36)))))+64*(OR(RIGHT(AE36,5)="COUNT",RIGHT(AE36,2)="CT"))+128*(ISNUMBER(FIND("BULK",AE36)))+256*(ISNUMBER(FIND("SIZE",AE36)))+512*(LEFT(AE36,3)="CAP")+1024*(ISNUMBER(FIND("ALLERG",AE36)))+2048*(OR(ISNUMBER(FIND("REMARK",AE36)),ISNUMBER(FIND("COMMENT",AE36))))+4096*(OR(ISNUMBER(FIND("QTY",AE36)),ISNUMBER(FIND("QUANTITY",AE36))))+8192*(AND(OR(ISNUMBER(FIND("COMPLETE",AE36)),ISNUMBER(FIND("PCT",AE36)),ISNUMBER(FIND("PERCENT",AE36))),NOT(ISNUMBER(FIND("ACTUAL",AE36))),LEN(AE36)&lt;=16))+32768*(OR(ISNUMBER(FIND("DESIC",AE36)),ISNUMBER(FIND("DESSIC",AE36)))))</f>
        <v/>
      </c>
      <c r="AF171">
        <f>IF(AF36="",0,2*(OR(ISNUMBER(FIND("WORKCENTER",AF36)),AND(LEFT(AF36,4)="LINE",NOT(ISNUMBER(FIND("STATUS",AF36))))))+4*(OR(ISNUMBER(FIND("WORKORDER",AF36)),AND(LEFT(AF36,2)="WO",OR(ISNUMBER(FIND("NUM",AF36)),RIGHT(AF36,2)="NO"))))+8*(LEFT(AF36,3)="SEQ")+16*(AND(LEFT(AF36,4)="ITEM",NOT(ISNUMBER(FIND("DESC",AF36)))))+32*(AND(ISNUMBER(FIND("DESC",AF36)),NOT(ISNUMBER(FIND("CAP",AF36)))))+64*(OR(RIGHT(AF36,5)="COUNT",RIGHT(AF36,2)="CT"))+128*(ISNUMBER(FIND("BULK",AF36)))+256*(ISNUMBER(FIND("SIZE",AF36)))+512*(LEFT(AF36,3)="CAP")+1024*(ISNUMBER(FIND("ALLERG",AF36)))+2048*(OR(ISNUMBER(FIND("REMARK",AF36)),ISNUMBER(FIND("COMMENT",AF36))))+4096*(OR(ISNUMBER(FIND("QTY",AF36)),ISNUMBER(FIND("QUANTITY",AF36))))+8192*(AND(OR(ISNUMBER(FIND("COMPLETE",AF36)),ISNUMBER(FIND("PCT",AF36)),ISNUMBER(FIND("PERCENT",AF36))),NOT(ISNUMBER(FIND("ACTUAL",AF36))),LEN(AF36)&lt;=16))+32768*(OR(ISNUMBER(FIND("DESIC",AF36)),ISNUMBER(FIND("DESSIC",AF36)))))</f>
        <v/>
      </c>
      <c r="AG171">
        <f>IF(AG36="",0,2*(OR(ISNUMBER(FIND("WORKCENTER",AG36)),AND(LEFT(AG36,4)="LINE",NOT(ISNUMBER(FIND("STATUS",AG36))))))+4*(OR(ISNUMBER(FIND("WORKORDER",AG36)),AND(LEFT(AG36,2)="WO",OR(ISNUMBER(FIND("NUM",AG36)),RIGHT(AG36,2)="NO"))))+8*(LEFT(AG36,3)="SEQ")+16*(AND(LEFT(AG36,4)="ITEM",NOT(ISNUMBER(FIND("DESC",AG36)))))+32*(AND(ISNUMBER(FIND("DESC",AG36)),NOT(ISNUMBER(FIND("CAP",AG36)))))+64*(OR(RIGHT(AG36,5)="COUNT",RIGHT(AG36,2)="CT"))+128*(ISNUMBER(FIND("BULK",AG36)))+256*(ISNUMBER(FIND("SIZE",AG36)))+512*(LEFT(AG36,3)="CAP")+1024*(ISNUMBER(FIND("ALLERG",AG36)))+2048*(OR(ISNUMBER(FIND("REMARK",AG36)),ISNUMBER(FIND("COMMENT",AG36))))+4096*(OR(ISNUMBER(FIND("QTY",AG36)),ISNUMBER(FIND("QUANTITY",AG36))))+8192*(AND(OR(ISNUMBER(FIND("COMPLETE",AG36)),ISNUMBER(FIND("PCT",AG36)),ISNUMBER(FIND("PERCENT",AG36))),NOT(ISNUMBER(FIND("ACTUAL",AG36))),LEN(AG36)&lt;=16))+32768*(OR(ISNUMBER(FIND("DESIC",AG36)),ISNUMBER(FIND("DESSIC",AG36)))))</f>
        <v/>
      </c>
      <c r="AH171">
        <f>IF(AH36="",0,2*(OR(ISNUMBER(FIND("WORKCENTER",AH36)),AND(LEFT(AH36,4)="LINE",NOT(ISNUMBER(FIND("STATUS",AH36))))))+4*(OR(ISNUMBER(FIND("WORKORDER",AH36)),AND(LEFT(AH36,2)="WO",OR(ISNUMBER(FIND("NUM",AH36)),RIGHT(AH36,2)="NO"))))+8*(LEFT(AH36,3)="SEQ")+16*(AND(LEFT(AH36,4)="ITEM",NOT(ISNUMBER(FIND("DESC",AH36)))))+32*(AND(ISNUMBER(FIND("DESC",AH36)),NOT(ISNUMBER(FIND("CAP",AH36)))))+64*(OR(RIGHT(AH36,5)="COUNT",RIGHT(AH36,2)="CT"))+128*(ISNUMBER(FIND("BULK",AH36)))+256*(ISNUMBER(FIND("SIZE",AH36)))+512*(LEFT(AH36,3)="CAP")+1024*(ISNUMBER(FIND("ALLERG",AH36)))+2048*(OR(ISNUMBER(FIND("REMARK",AH36)),ISNUMBER(FIND("COMMENT",AH36))))+4096*(OR(ISNUMBER(FIND("QTY",AH36)),ISNUMBER(FIND("QUANTITY",AH36))))+8192*(AND(OR(ISNUMBER(FIND("COMPLETE",AH36)),ISNUMBER(FIND("PCT",AH36)),ISNUMBER(FIND("PERCENT",AH36))),NOT(ISNUMBER(FIND("ACTUAL",AH36))),LEN(AH36)&lt;=16))+32768*(OR(ISNUMBER(FIND("DESIC",AH36)),ISNUMBER(FIND("DESSIC",AH36)))))</f>
        <v/>
      </c>
      <c r="AI171">
        <f>IF(AI36="",0,2*(OR(ISNUMBER(FIND("WORKCENTER",AI36)),AND(LEFT(AI36,4)="LINE",NOT(ISNUMBER(FIND("STATUS",AI36))))))+4*(OR(ISNUMBER(FIND("WORKORDER",AI36)),AND(LEFT(AI36,2)="WO",OR(ISNUMBER(FIND("NUM",AI36)),RIGHT(AI36,2)="NO"))))+8*(LEFT(AI36,3)="SEQ")+16*(AND(LEFT(AI36,4)="ITEM",NOT(ISNUMBER(FIND("DESC",AI36)))))+32*(AND(ISNUMBER(FIND("DESC",AI36)),NOT(ISNUMBER(FIND("CAP",AI36)))))+64*(OR(RIGHT(AI36,5)="COUNT",RIGHT(AI36,2)="CT"))+128*(ISNUMBER(FIND("BULK",AI36)))+256*(ISNUMBER(FIND("SIZE",AI36)))+512*(LEFT(AI36,3)="CAP")+1024*(ISNUMBER(FIND("ALLERG",AI36)))+2048*(OR(ISNUMBER(FIND("REMARK",AI36)),ISNUMBER(FIND("COMMENT",AI36))))+4096*(OR(ISNUMBER(FIND("QTY",AI36)),ISNUMBER(FIND("QUANTITY",AI36))))+8192*(AND(OR(ISNUMBER(FIND("COMPLETE",AI36)),ISNUMBER(FIND("PCT",AI36)),ISNUMBER(FIND("PERCENT",AI36))),NOT(ISNUMBER(FIND("ACTUAL",AI36))),LEN(AI36)&lt;=16))+32768*(OR(ISNUMBER(FIND("DESIC",AI36)),ISNUMBER(FIND("DESSIC",AI36)))))</f>
        <v/>
      </c>
      <c r="AJ171">
        <f>IF(AJ36="",0,2*(OR(ISNUMBER(FIND("WORKCENTER",AJ36)),AND(LEFT(AJ36,4)="LINE",NOT(ISNUMBER(FIND("STATUS",AJ36))))))+4*(OR(ISNUMBER(FIND("WORKORDER",AJ36)),AND(LEFT(AJ36,2)="WO",OR(ISNUMBER(FIND("NUM",AJ36)),RIGHT(AJ36,2)="NO"))))+8*(LEFT(AJ36,3)="SEQ")+16*(AND(LEFT(AJ36,4)="ITEM",NOT(ISNUMBER(FIND("DESC",AJ36)))))+32*(AND(ISNUMBER(FIND("DESC",AJ36)),NOT(ISNUMBER(FIND("CAP",AJ36)))))+64*(OR(RIGHT(AJ36,5)="COUNT",RIGHT(AJ36,2)="CT"))+128*(ISNUMBER(FIND("BULK",AJ36)))+256*(ISNUMBER(FIND("SIZE",AJ36)))+512*(LEFT(AJ36,3)="CAP")+1024*(ISNUMBER(FIND("ALLERG",AJ36)))+2048*(OR(ISNUMBER(FIND("REMARK",AJ36)),ISNUMBER(FIND("COMMENT",AJ36))))+4096*(OR(ISNUMBER(FIND("QTY",AJ36)),ISNUMBER(FIND("QUANTITY",AJ36))))+8192*(AND(OR(ISNUMBER(FIND("COMPLETE",AJ36)),ISNUMBER(FIND("PCT",AJ36)),ISNUMBER(FIND("PERCENT",AJ36))),NOT(ISNUMBER(FIND("ACTUAL",AJ36))),LEN(AJ36)&lt;=16))+32768*(OR(ISNUMBER(FIND("DESIC",AJ36)),ISNUMBER(FIND("DESSIC",AJ36)))))</f>
        <v/>
      </c>
      <c r="AK171">
        <f>IF(AK36="",0,2*(OR(ISNUMBER(FIND("WORKCENTER",AK36)),AND(LEFT(AK36,4)="LINE",NOT(ISNUMBER(FIND("STATUS",AK36))))))+4*(OR(ISNUMBER(FIND("WORKORDER",AK36)),AND(LEFT(AK36,2)="WO",OR(ISNUMBER(FIND("NUM",AK36)),RIGHT(AK36,2)="NO"))))+8*(LEFT(AK36,3)="SEQ")+16*(AND(LEFT(AK36,4)="ITEM",NOT(ISNUMBER(FIND("DESC",AK36)))))+32*(AND(ISNUMBER(FIND("DESC",AK36)),NOT(ISNUMBER(FIND("CAP",AK36)))))+64*(OR(RIGHT(AK36,5)="COUNT",RIGHT(AK36,2)="CT"))+128*(ISNUMBER(FIND("BULK",AK36)))+256*(ISNUMBER(FIND("SIZE",AK36)))+512*(LEFT(AK36,3)="CAP")+1024*(ISNUMBER(FIND("ALLERG",AK36)))+2048*(OR(ISNUMBER(FIND("REMARK",AK36)),ISNUMBER(FIND("COMMENT",AK36))))+4096*(OR(ISNUMBER(FIND("QTY",AK36)),ISNUMBER(FIND("QUANTITY",AK36))))+8192*(AND(OR(ISNUMBER(FIND("COMPLETE",AK36)),ISNUMBER(FIND("PCT",AK36)),ISNUMBER(FIND("PERCENT",AK36))),NOT(ISNUMBER(FIND("ACTUAL",AK36))),LEN(AK36)&lt;=16))+32768*(OR(ISNUMBER(FIND("DESIC",AK36)),ISNUMBER(FIND("DESSIC",AK36)))))</f>
        <v/>
      </c>
      <c r="AL171">
        <f>IF(AL36="",0,2*(OR(ISNUMBER(FIND("WORKCENTER",AL36)),AND(LEFT(AL36,4)="LINE",NOT(ISNUMBER(FIND("STATUS",AL36))))))+4*(OR(ISNUMBER(FIND("WORKORDER",AL36)),AND(LEFT(AL36,2)="WO",OR(ISNUMBER(FIND("NUM",AL36)),RIGHT(AL36,2)="NO"))))+8*(LEFT(AL36,3)="SEQ")+16*(AND(LEFT(AL36,4)="ITEM",NOT(ISNUMBER(FIND("DESC",AL36)))))+32*(AND(ISNUMBER(FIND("DESC",AL36)),NOT(ISNUMBER(FIND("CAP",AL36)))))+64*(OR(RIGHT(AL36,5)="COUNT",RIGHT(AL36,2)="CT"))+128*(ISNUMBER(FIND("BULK",AL36)))+256*(ISNUMBER(FIND("SIZE",AL36)))+512*(LEFT(AL36,3)="CAP")+1024*(ISNUMBER(FIND("ALLERG",AL36)))+2048*(OR(ISNUMBER(FIND("REMARK",AL36)),ISNUMBER(FIND("COMMENT",AL36))))+4096*(OR(ISNUMBER(FIND("QTY",AL36)),ISNUMBER(FIND("QUANTITY",AL36))))+8192*(AND(OR(ISNUMBER(FIND("COMPLETE",AL36)),ISNUMBER(FIND("PCT",AL36)),ISNUMBER(FIND("PERCENT",AL36))),NOT(ISNUMBER(FIND("ACTUAL",AL36))),LEN(AL36)&lt;=16))+32768*(OR(ISNUMBER(FIND("DESIC",AL36)),ISNUMBER(FIND("DESSIC",AL36)))))</f>
        <v/>
      </c>
      <c r="AM171">
        <f>IF(AM36="",0,2*(OR(ISNUMBER(FIND("WORKCENTER",AM36)),AND(LEFT(AM36,4)="LINE",NOT(ISNUMBER(FIND("STATUS",AM36))))))+4*(OR(ISNUMBER(FIND("WORKORDER",AM36)),AND(LEFT(AM36,2)="WO",OR(ISNUMBER(FIND("NUM",AM36)),RIGHT(AM36,2)="NO"))))+8*(LEFT(AM36,3)="SEQ")+16*(AND(LEFT(AM36,4)="ITEM",NOT(ISNUMBER(FIND("DESC",AM36)))))+32*(AND(ISNUMBER(FIND("DESC",AM36)),NOT(ISNUMBER(FIND("CAP",AM36)))))+64*(OR(RIGHT(AM36,5)="COUNT",RIGHT(AM36,2)="CT"))+128*(ISNUMBER(FIND("BULK",AM36)))+256*(ISNUMBER(FIND("SIZE",AM36)))+512*(LEFT(AM36,3)="CAP")+1024*(ISNUMBER(FIND("ALLERG",AM36)))+2048*(OR(ISNUMBER(FIND("REMARK",AM36)),ISNUMBER(FIND("COMMENT",AM36))))+4096*(OR(ISNUMBER(FIND("QTY",AM36)),ISNUMBER(FIND("QUANTITY",AM36))))+8192*(AND(OR(ISNUMBER(FIND("COMPLETE",AM36)),ISNUMBER(FIND("PCT",AM36)),ISNUMBER(FIND("PERCENT",AM36))),NOT(ISNUMBER(FIND("ACTUAL",AM36))),LEN(AM36)&lt;=16))+32768*(OR(ISNUMBER(FIND("DESIC",AM36)),ISNUMBER(FIND("DESSIC",AM36)))))</f>
        <v/>
      </c>
      <c r="AN171">
        <f>IF(AN36="",0,2*(OR(ISNUMBER(FIND("WORKCENTER",AN36)),AND(LEFT(AN36,4)="LINE",NOT(ISNUMBER(FIND("STATUS",AN36))))))+4*(OR(ISNUMBER(FIND("WORKORDER",AN36)),AND(LEFT(AN36,2)="WO",OR(ISNUMBER(FIND("NUM",AN36)),RIGHT(AN36,2)="NO"))))+8*(LEFT(AN36,3)="SEQ")+16*(AND(LEFT(AN36,4)="ITEM",NOT(ISNUMBER(FIND("DESC",AN36)))))+32*(AND(ISNUMBER(FIND("DESC",AN36)),NOT(ISNUMBER(FIND("CAP",AN36)))))+64*(OR(RIGHT(AN36,5)="COUNT",RIGHT(AN36,2)="CT"))+128*(ISNUMBER(FIND("BULK",AN36)))+256*(ISNUMBER(FIND("SIZE",AN36)))+512*(LEFT(AN36,3)="CAP")+1024*(ISNUMBER(FIND("ALLERG",AN36)))+2048*(OR(ISNUMBER(FIND("REMARK",AN36)),ISNUMBER(FIND("COMMENT",AN36))))+4096*(OR(ISNUMBER(FIND("QTY",AN36)),ISNUMBER(FIND("QUANTITY",AN36))))+8192*(AND(OR(ISNUMBER(FIND("COMPLETE",AN36)),ISNUMBER(FIND("PCT",AN36)),ISNUMBER(FIND("PERCENT",AN36))),NOT(ISNUMBER(FIND("ACTUAL",AN36))),LEN(AN36)&lt;=16))+32768*(OR(ISNUMBER(FIND("DESIC",AN36)),ISNUMBER(FIND("DESSIC",AN36)))))</f>
        <v/>
      </c>
      <c r="AO171">
        <f>IF(AO36="",0,2*(OR(ISNUMBER(FIND("WORKCENTER",AO36)),AND(LEFT(AO36,4)="LINE",NOT(ISNUMBER(FIND("STATUS",AO36))))))+4*(OR(ISNUMBER(FIND("WORKORDER",AO36)),AND(LEFT(AO36,2)="WO",OR(ISNUMBER(FIND("NUM",AO36)),RIGHT(AO36,2)="NO"))))+8*(LEFT(AO36,3)="SEQ")+16*(AND(LEFT(AO36,4)="ITEM",NOT(ISNUMBER(FIND("DESC",AO36)))))+32*(AND(ISNUMBER(FIND("DESC",AO36)),NOT(ISNUMBER(FIND("CAP",AO36)))))+64*(OR(RIGHT(AO36,5)="COUNT",RIGHT(AO36,2)="CT"))+128*(ISNUMBER(FIND("BULK",AO36)))+256*(ISNUMBER(FIND("SIZE",AO36)))+512*(LEFT(AO36,3)="CAP")+1024*(ISNUMBER(FIND("ALLERG",AO36)))+2048*(OR(ISNUMBER(FIND("REMARK",AO36)),ISNUMBER(FIND("COMMENT",AO36))))+4096*(OR(ISNUMBER(FIND("QTY",AO36)),ISNUMBER(FIND("QUANTITY",AO36))))+8192*(AND(OR(ISNUMBER(FIND("COMPLETE",AO36)),ISNUMBER(FIND("PCT",AO36)),ISNUMBER(FIND("PERCENT",AO36))),NOT(ISNUMBER(FIND("ACTUAL",AO36))),LEN(AO36)&lt;=16))+32768*(OR(ISNUMBER(FIND("DESIC",AO36)),ISNUMBER(FIND("DESSIC",AO36)))))</f>
        <v/>
      </c>
      <c r="AP171">
        <f>IF(AP36="",0,2*(OR(ISNUMBER(FIND("WORKCENTER",AP36)),AND(LEFT(AP36,4)="LINE",NOT(ISNUMBER(FIND("STATUS",AP36))))))+4*(OR(ISNUMBER(FIND("WORKORDER",AP36)),AND(LEFT(AP36,2)="WO",OR(ISNUMBER(FIND("NUM",AP36)),RIGHT(AP36,2)="NO"))))+8*(LEFT(AP36,3)="SEQ")+16*(AND(LEFT(AP36,4)="ITEM",NOT(ISNUMBER(FIND("DESC",AP36)))))+32*(AND(ISNUMBER(FIND("DESC",AP36)),NOT(ISNUMBER(FIND("CAP",AP36)))))+64*(OR(RIGHT(AP36,5)="COUNT",RIGHT(AP36,2)="CT"))+128*(ISNUMBER(FIND("BULK",AP36)))+256*(ISNUMBER(FIND("SIZE",AP36)))+512*(LEFT(AP36,3)="CAP")+1024*(ISNUMBER(FIND("ALLERG",AP36)))+2048*(OR(ISNUMBER(FIND("REMARK",AP36)),ISNUMBER(FIND("COMMENT",AP36))))+4096*(OR(ISNUMBER(FIND("QTY",AP36)),ISNUMBER(FIND("QUANTITY",AP36))))+8192*(AND(OR(ISNUMBER(FIND("COMPLETE",AP36)),ISNUMBER(FIND("PCT",AP36)),ISNUMBER(FIND("PERCENT",AP36))),NOT(ISNUMBER(FIND("ACTUAL",AP36))),LEN(AP36)&lt;=16))+32768*(OR(ISNUMBER(FIND("DESIC",AP36)),ISNUMBER(FIND("DESSIC",AP36)))))</f>
        <v/>
      </c>
      <c r="AQ171">
        <f>IF(AQ36="",0,2*(OR(ISNUMBER(FIND("WORKCENTER",AQ36)),AND(LEFT(AQ36,4)="LINE",NOT(ISNUMBER(FIND("STATUS",AQ36))))))+4*(OR(ISNUMBER(FIND("WORKORDER",AQ36)),AND(LEFT(AQ36,2)="WO",OR(ISNUMBER(FIND("NUM",AQ36)),RIGHT(AQ36,2)="NO"))))+8*(LEFT(AQ36,3)="SEQ")+16*(AND(LEFT(AQ36,4)="ITEM",NOT(ISNUMBER(FIND("DESC",AQ36)))))+32*(AND(ISNUMBER(FIND("DESC",AQ36)),NOT(ISNUMBER(FIND("CAP",AQ36)))))+64*(OR(RIGHT(AQ36,5)="COUNT",RIGHT(AQ36,2)="CT"))+128*(ISNUMBER(FIND("BULK",AQ36)))+256*(ISNUMBER(FIND("SIZE",AQ36)))+512*(LEFT(AQ36,3)="CAP")+1024*(ISNUMBER(FIND("ALLERG",AQ36)))+2048*(OR(ISNUMBER(FIND("REMARK",AQ36)),ISNUMBER(FIND("COMMENT",AQ36))))+4096*(OR(ISNUMBER(FIND("QTY",AQ36)),ISNUMBER(FIND("QUANTITY",AQ36))))+8192*(AND(OR(ISNUMBER(FIND("COMPLETE",AQ36)),ISNUMBER(FIND("PCT",AQ36)),ISNUMBER(FIND("PERCENT",AQ36))),NOT(ISNUMBER(FIND("ACTUAL",AQ36))),LEN(AQ36)&lt;=16))+32768*(OR(ISNUMBER(FIND("DESIC",AQ36)),ISNUMBER(FIND("DESSIC",AQ36)))))</f>
        <v/>
      </c>
      <c r="AR171">
        <f>IF(AR36="",0,2*(OR(ISNUMBER(FIND("WORKCENTER",AR36)),AND(LEFT(AR36,4)="LINE",NOT(ISNUMBER(FIND("STATUS",AR36))))))+4*(OR(ISNUMBER(FIND("WORKORDER",AR36)),AND(LEFT(AR36,2)="WO",OR(ISNUMBER(FIND("NUM",AR36)),RIGHT(AR36,2)="NO"))))+8*(LEFT(AR36,3)="SEQ")+16*(AND(LEFT(AR36,4)="ITEM",NOT(ISNUMBER(FIND("DESC",AR36)))))+32*(AND(ISNUMBER(FIND("DESC",AR36)),NOT(ISNUMBER(FIND("CAP",AR36)))))+64*(OR(RIGHT(AR36,5)="COUNT",RIGHT(AR36,2)="CT"))+128*(ISNUMBER(FIND("BULK",AR36)))+256*(ISNUMBER(FIND("SIZE",AR36)))+512*(LEFT(AR36,3)="CAP")+1024*(ISNUMBER(FIND("ALLERG",AR36)))+2048*(OR(ISNUMBER(FIND("REMARK",AR36)),ISNUMBER(FIND("COMMENT",AR36))))+4096*(OR(ISNUMBER(FIND("QTY",AR36)),ISNUMBER(FIND("QUANTITY",AR36))))+8192*(AND(OR(ISNUMBER(FIND("COMPLETE",AR36)),ISNUMBER(FIND("PCT",AR36)),ISNUMBER(FIND("PERCENT",AR36))),NOT(ISNUMBER(FIND("ACTUAL",AR36))),LEN(AR36)&lt;=16))+32768*(OR(ISNUMBER(FIND("DESIC",AR36)),ISNUMBER(FIND("DESSIC",AR36)))))</f>
        <v/>
      </c>
      <c r="AS171">
        <f>IF(AS36="",0,2*(OR(ISNUMBER(FIND("WORKCENTER",AS36)),AND(LEFT(AS36,4)="LINE",NOT(ISNUMBER(FIND("STATUS",AS36))))))+4*(OR(ISNUMBER(FIND("WORKORDER",AS36)),AND(LEFT(AS36,2)="WO",OR(ISNUMBER(FIND("NUM",AS36)),RIGHT(AS36,2)="NO"))))+8*(LEFT(AS36,3)="SEQ")+16*(AND(LEFT(AS36,4)="ITEM",NOT(ISNUMBER(FIND("DESC",AS36)))))+32*(AND(ISNUMBER(FIND("DESC",AS36)),NOT(ISNUMBER(FIND("CAP",AS36)))))+64*(OR(RIGHT(AS36,5)="COUNT",RIGHT(AS36,2)="CT"))+128*(ISNUMBER(FIND("BULK",AS36)))+256*(ISNUMBER(FIND("SIZE",AS36)))+512*(LEFT(AS36,3)="CAP")+1024*(ISNUMBER(FIND("ALLERG",AS36)))+2048*(OR(ISNUMBER(FIND("REMARK",AS36)),ISNUMBER(FIND("COMMENT",AS36))))+4096*(OR(ISNUMBER(FIND("QTY",AS36)),ISNUMBER(FIND("QUANTITY",AS36))))+8192*(AND(OR(ISNUMBER(FIND("COMPLETE",AS36)),ISNUMBER(FIND("PCT",AS36)),ISNUMBER(FIND("PERCENT",AS36))),NOT(ISNUMBER(FIND("ACTUAL",AS36))),LEN(AS36)&lt;=16))+32768*(OR(ISNUMBER(FIND("DESIC",AS36)),ISNUMBER(FIND("DESSIC",AS36)))))</f>
        <v/>
      </c>
      <c r="AT171">
        <f>IF(AT36="",0,2*(OR(ISNUMBER(FIND("WORKCENTER",AT36)),AND(LEFT(AT36,4)="LINE",NOT(ISNUMBER(FIND("STATUS",AT36))))))+4*(OR(ISNUMBER(FIND("WORKORDER",AT36)),AND(LEFT(AT36,2)="WO",OR(ISNUMBER(FIND("NUM",AT36)),RIGHT(AT36,2)="NO"))))+8*(LEFT(AT36,3)="SEQ")+16*(AND(LEFT(AT36,4)="ITEM",NOT(ISNUMBER(FIND("DESC",AT36)))))+32*(AND(ISNUMBER(FIND("DESC",AT36)),NOT(ISNUMBER(FIND("CAP",AT36)))))+64*(OR(RIGHT(AT36,5)="COUNT",RIGHT(AT36,2)="CT"))+128*(ISNUMBER(FIND("BULK",AT36)))+256*(ISNUMBER(FIND("SIZE",AT36)))+512*(LEFT(AT36,3)="CAP")+1024*(ISNUMBER(FIND("ALLERG",AT36)))+2048*(OR(ISNUMBER(FIND("REMARK",AT36)),ISNUMBER(FIND("COMMENT",AT36))))+4096*(OR(ISNUMBER(FIND("QTY",AT36)),ISNUMBER(FIND("QUANTITY",AT36))))+8192*(AND(OR(ISNUMBER(FIND("COMPLETE",AT36)),ISNUMBER(FIND("PCT",AT36)),ISNUMBER(FIND("PERCENT",AT36))),NOT(ISNUMBER(FIND("ACTUAL",AT36))),LEN(AT36)&lt;=16))+32768*(OR(ISNUMBER(FIND("DESIC",AT36)),ISNUMBER(FIND("DESSIC",AT36)))))</f>
        <v/>
      </c>
      <c r="AU171">
        <f>IF(AU36="",0,2*(OR(ISNUMBER(FIND("WORKCENTER",AU36)),AND(LEFT(AU36,4)="LINE",NOT(ISNUMBER(FIND("STATUS",AU36))))))+4*(OR(ISNUMBER(FIND("WORKORDER",AU36)),AND(LEFT(AU36,2)="WO",OR(ISNUMBER(FIND("NUM",AU36)),RIGHT(AU36,2)="NO"))))+8*(LEFT(AU36,3)="SEQ")+16*(AND(LEFT(AU36,4)="ITEM",NOT(ISNUMBER(FIND("DESC",AU36)))))+32*(AND(ISNUMBER(FIND("DESC",AU36)),NOT(ISNUMBER(FIND("CAP",AU36)))))+64*(OR(RIGHT(AU36,5)="COUNT",RIGHT(AU36,2)="CT"))+128*(ISNUMBER(FIND("BULK",AU36)))+256*(ISNUMBER(FIND("SIZE",AU36)))+512*(LEFT(AU36,3)="CAP")+1024*(ISNUMBER(FIND("ALLERG",AU36)))+2048*(OR(ISNUMBER(FIND("REMARK",AU36)),ISNUMBER(FIND("COMMENT",AU36))))+4096*(OR(ISNUMBER(FIND("QTY",AU36)),ISNUMBER(FIND("QUANTITY",AU36))))+8192*(AND(OR(ISNUMBER(FIND("COMPLETE",AU36)),ISNUMBER(FIND("PCT",AU36)),ISNUMBER(FIND("PERCENT",AU36))),NOT(ISNUMBER(FIND("ACTUAL",AU36))),LEN(AU36)&lt;=16))+32768*(OR(ISNUMBER(FIND("DESIC",AU36)),ISNUMBER(FIND("DESSIC",AU36)))))</f>
        <v/>
      </c>
      <c r="AV171">
        <f>IF(AV36="",0,2*(OR(ISNUMBER(FIND("WORKCENTER",AV36)),AND(LEFT(AV36,4)="LINE",NOT(ISNUMBER(FIND("STATUS",AV36))))))+4*(OR(ISNUMBER(FIND("WORKORDER",AV36)),AND(LEFT(AV36,2)="WO",OR(ISNUMBER(FIND("NUM",AV36)),RIGHT(AV36,2)="NO"))))+8*(LEFT(AV36,3)="SEQ")+16*(AND(LEFT(AV36,4)="ITEM",NOT(ISNUMBER(FIND("DESC",AV36)))))+32*(AND(ISNUMBER(FIND("DESC",AV36)),NOT(ISNUMBER(FIND("CAP",AV36)))))+64*(OR(RIGHT(AV36,5)="COUNT",RIGHT(AV36,2)="CT"))+128*(ISNUMBER(FIND("BULK",AV36)))+256*(ISNUMBER(FIND("SIZE",AV36)))+512*(LEFT(AV36,3)="CAP")+1024*(ISNUMBER(FIND("ALLERG",AV36)))+2048*(OR(ISNUMBER(FIND("REMARK",AV36)),ISNUMBER(FIND("COMMENT",AV36))))+4096*(OR(ISNUMBER(FIND("QTY",AV36)),ISNUMBER(FIND("QUANTITY",AV36))))+8192*(AND(OR(ISNUMBER(FIND("COMPLETE",AV36)),ISNUMBER(FIND("PCT",AV36)),ISNUMBER(FIND("PERCENT",AV36))),NOT(ISNUMBER(FIND("ACTUAL",AV36))),LEN(AV36)&lt;=16))+32768*(OR(ISNUMBER(FIND("DESIC",AV36)),ISNUMBER(FIND("DESSIC",AV36)))))</f>
        <v/>
      </c>
      <c r="AW171">
        <f>IF(AW36="",0,2*(OR(ISNUMBER(FIND("WORKCENTER",AW36)),AND(LEFT(AW36,4)="LINE",NOT(ISNUMBER(FIND("STATUS",AW36))))))+4*(OR(ISNUMBER(FIND("WORKORDER",AW36)),AND(LEFT(AW36,2)="WO",OR(ISNUMBER(FIND("NUM",AW36)),RIGHT(AW36,2)="NO"))))+8*(LEFT(AW36,3)="SEQ")+16*(AND(LEFT(AW36,4)="ITEM",NOT(ISNUMBER(FIND("DESC",AW36)))))+32*(AND(ISNUMBER(FIND("DESC",AW36)),NOT(ISNUMBER(FIND("CAP",AW36)))))+64*(OR(RIGHT(AW36,5)="COUNT",RIGHT(AW36,2)="CT"))+128*(ISNUMBER(FIND("BULK",AW36)))+256*(ISNUMBER(FIND("SIZE",AW36)))+512*(LEFT(AW36,3)="CAP")+1024*(ISNUMBER(FIND("ALLERG",AW36)))+2048*(OR(ISNUMBER(FIND("REMARK",AW36)),ISNUMBER(FIND("COMMENT",AW36))))+4096*(OR(ISNUMBER(FIND("QTY",AW36)),ISNUMBER(FIND("QUANTITY",AW36))))+8192*(AND(OR(ISNUMBER(FIND("COMPLETE",AW36)),ISNUMBER(FIND("PCT",AW36)),ISNUMBER(FIND("PERCENT",AW36))),NOT(ISNUMBER(FIND("ACTUAL",AW36))),LEN(AW36)&lt;=16))+32768*(OR(ISNUMBER(FIND("DESIC",AW36)),ISNUMBER(FIND("DESSIC",AW36)))))</f>
        <v/>
      </c>
      <c r="AX171">
        <f>IF(AX36="",0,2*(OR(ISNUMBER(FIND("WORKCENTER",AX36)),AND(LEFT(AX36,4)="LINE",NOT(ISNUMBER(FIND("STATUS",AX36))))))+4*(OR(ISNUMBER(FIND("WORKORDER",AX36)),AND(LEFT(AX36,2)="WO",OR(ISNUMBER(FIND("NUM",AX36)),RIGHT(AX36,2)="NO"))))+8*(LEFT(AX36,3)="SEQ")+16*(AND(LEFT(AX36,4)="ITEM",NOT(ISNUMBER(FIND("DESC",AX36)))))+32*(AND(ISNUMBER(FIND("DESC",AX36)),NOT(ISNUMBER(FIND("CAP",AX36)))))+64*(OR(RIGHT(AX36,5)="COUNT",RIGHT(AX36,2)="CT"))+128*(ISNUMBER(FIND("BULK",AX36)))+256*(ISNUMBER(FIND("SIZE",AX36)))+512*(LEFT(AX36,3)="CAP")+1024*(ISNUMBER(FIND("ALLERG",AX36)))+2048*(OR(ISNUMBER(FIND("REMARK",AX36)),ISNUMBER(FIND("COMMENT",AX36))))+4096*(OR(ISNUMBER(FIND("QTY",AX36)),ISNUMBER(FIND("QUANTITY",AX36))))+8192*(AND(OR(ISNUMBER(FIND("COMPLETE",AX36)),ISNUMBER(FIND("PCT",AX36)),ISNUMBER(FIND("PERCENT",AX36))),NOT(ISNUMBER(FIND("ACTUAL",AX36))),LEN(AX36)&lt;=16))+32768*(OR(ISNUMBER(FIND("DESIC",AX36)),ISNUMBER(FIND("DESSIC",AX36)))))</f>
        <v/>
      </c>
      <c r="AY171">
        <f>IF(AY36="",0,2*(OR(ISNUMBER(FIND("WORKCENTER",AY36)),AND(LEFT(AY36,4)="LINE",NOT(ISNUMBER(FIND("STATUS",AY36))))))+4*(OR(ISNUMBER(FIND("WORKORDER",AY36)),AND(LEFT(AY36,2)="WO",OR(ISNUMBER(FIND("NUM",AY36)),RIGHT(AY36,2)="NO"))))+8*(LEFT(AY36,3)="SEQ")+16*(AND(LEFT(AY36,4)="ITEM",NOT(ISNUMBER(FIND("DESC",AY36)))))+32*(AND(ISNUMBER(FIND("DESC",AY36)),NOT(ISNUMBER(FIND("CAP",AY36)))))+64*(OR(RIGHT(AY36,5)="COUNT",RIGHT(AY36,2)="CT"))+128*(ISNUMBER(FIND("BULK",AY36)))+256*(ISNUMBER(FIND("SIZE",AY36)))+512*(LEFT(AY36,3)="CAP")+1024*(ISNUMBER(FIND("ALLERG",AY36)))+2048*(OR(ISNUMBER(FIND("REMARK",AY36)),ISNUMBER(FIND("COMMENT",AY36))))+4096*(OR(ISNUMBER(FIND("QTY",AY36)),ISNUMBER(FIND("QUANTITY",AY36))))+8192*(AND(OR(ISNUMBER(FIND("COMPLETE",AY36)),ISNUMBER(FIND("PCT",AY36)),ISNUMBER(FIND("PERCENT",AY36))),NOT(ISNUMBER(FIND("ACTUAL",AY36))),LEN(AY36)&lt;=16))+32768*(OR(ISNUMBER(FIND("DESIC",AY36)),ISNUMBER(FIND("DESSIC",AY36)))))</f>
        <v/>
      </c>
      <c r="AZ171">
        <f>IF(AZ36="",0,2*(OR(ISNUMBER(FIND("WORKCENTER",AZ36)),AND(LEFT(AZ36,4)="LINE",NOT(ISNUMBER(FIND("STATUS",AZ36))))))+4*(OR(ISNUMBER(FIND("WORKORDER",AZ36)),AND(LEFT(AZ36,2)="WO",OR(ISNUMBER(FIND("NUM",AZ36)),RIGHT(AZ36,2)="NO"))))+8*(LEFT(AZ36,3)="SEQ")+16*(AND(LEFT(AZ36,4)="ITEM",NOT(ISNUMBER(FIND("DESC",AZ36)))))+32*(AND(ISNUMBER(FIND("DESC",AZ36)),NOT(ISNUMBER(FIND("CAP",AZ36)))))+64*(OR(RIGHT(AZ36,5)="COUNT",RIGHT(AZ36,2)="CT"))+128*(ISNUMBER(FIND("BULK",AZ36)))+256*(ISNUMBER(FIND("SIZE",AZ36)))+512*(LEFT(AZ36,3)="CAP")+1024*(ISNUMBER(FIND("ALLERG",AZ36)))+2048*(OR(ISNUMBER(FIND("REMARK",AZ36)),ISNUMBER(FIND("COMMENT",AZ36))))+4096*(OR(ISNUMBER(FIND("QTY",AZ36)),ISNUMBER(FIND("QUANTITY",AZ36))))+8192*(AND(OR(ISNUMBER(FIND("COMPLETE",AZ36)),ISNUMBER(FIND("PCT",AZ36)),ISNUMBER(FIND("PERCENT",AZ36))),NOT(ISNUMBER(FIND("ACTUAL",AZ36))),LEN(AZ36)&lt;=16))+32768*(OR(ISNUMBER(FIND("DESIC",AZ36)),ISNUMBER(FIND("DESSIC",AZ36)))))</f>
        <v/>
      </c>
      <c r="BA171">
        <f>IF(BA36="",0,2*(OR(ISNUMBER(FIND("WORKCENTER",BA36)),AND(LEFT(BA36,4)="LINE",NOT(ISNUMBER(FIND("STATUS",BA36))))))+4*(OR(ISNUMBER(FIND("WORKORDER",BA36)),AND(LEFT(BA36,2)="WO",OR(ISNUMBER(FIND("NUM",BA36)),RIGHT(BA36,2)="NO"))))+8*(LEFT(BA36,3)="SEQ")+16*(AND(LEFT(BA36,4)="ITEM",NOT(ISNUMBER(FIND("DESC",BA36)))))+32*(AND(ISNUMBER(FIND("DESC",BA36)),NOT(ISNUMBER(FIND("CAP",BA36)))))+64*(OR(RIGHT(BA36,5)="COUNT",RIGHT(BA36,2)="CT"))+128*(ISNUMBER(FIND("BULK",BA36)))+256*(ISNUMBER(FIND("SIZE",BA36)))+512*(LEFT(BA36,3)="CAP")+1024*(ISNUMBER(FIND("ALLERG",BA36)))+2048*(OR(ISNUMBER(FIND("REMARK",BA36)),ISNUMBER(FIND("COMMENT",BA36))))+4096*(OR(ISNUMBER(FIND("QTY",BA36)),ISNUMBER(FIND("QUANTITY",BA36))))+8192*(AND(OR(ISNUMBER(FIND("COMPLETE",BA36)),ISNUMBER(FIND("PCT",BA36)),ISNUMBER(FIND("PERCENT",BA36))),NOT(ISNUMBER(FIND("ACTUAL",BA36))),LEN(BA36)&lt;=16))+32768*(OR(ISNUMBER(FIND("DESIC",BA36)),ISNUMBER(FIND("DESSIC",BA36)))))</f>
        <v/>
      </c>
      <c r="BB171">
        <f>IF(BB36="",0,2*(OR(ISNUMBER(FIND("WORKCENTER",BB36)),AND(LEFT(BB36,4)="LINE",NOT(ISNUMBER(FIND("STATUS",BB36))))))+4*(OR(ISNUMBER(FIND("WORKORDER",BB36)),AND(LEFT(BB36,2)="WO",OR(ISNUMBER(FIND("NUM",BB36)),RIGHT(BB36,2)="NO"))))+8*(LEFT(BB36,3)="SEQ")+16*(AND(LEFT(BB36,4)="ITEM",NOT(ISNUMBER(FIND("DESC",BB36)))))+32*(AND(ISNUMBER(FIND("DESC",BB36)),NOT(ISNUMBER(FIND("CAP",BB36)))))+64*(OR(RIGHT(BB36,5)="COUNT",RIGHT(BB36,2)="CT"))+128*(ISNUMBER(FIND("BULK",BB36)))+256*(ISNUMBER(FIND("SIZE",BB36)))+512*(LEFT(BB36,3)="CAP")+1024*(ISNUMBER(FIND("ALLERG",BB36)))+2048*(OR(ISNUMBER(FIND("REMARK",BB36)),ISNUMBER(FIND("COMMENT",BB36))))+4096*(OR(ISNUMBER(FIND("QTY",BB36)),ISNUMBER(FIND("QUANTITY",BB36))))+8192*(AND(OR(ISNUMBER(FIND("COMPLETE",BB36)),ISNUMBER(FIND("PCT",BB36)),ISNUMBER(FIND("PERCENT",BB36))),NOT(ISNUMBER(FIND("ACTUAL",BB36))),LEN(BB36)&lt;=16))+32768*(OR(ISNUMBER(FIND("DESIC",BB36)),ISNUMBER(FIND("DESSIC",BB36)))))</f>
        <v/>
      </c>
      <c r="BC171">
        <f>IF(BC36="",0,2*(OR(ISNUMBER(FIND("WORKCENTER",BC36)),AND(LEFT(BC36,4)="LINE",NOT(ISNUMBER(FIND("STATUS",BC36))))))+4*(OR(ISNUMBER(FIND("WORKORDER",BC36)),AND(LEFT(BC36,2)="WO",OR(ISNUMBER(FIND("NUM",BC36)),RIGHT(BC36,2)="NO"))))+8*(LEFT(BC36,3)="SEQ")+16*(AND(LEFT(BC36,4)="ITEM",NOT(ISNUMBER(FIND("DESC",BC36)))))+32*(AND(ISNUMBER(FIND("DESC",BC36)),NOT(ISNUMBER(FIND("CAP",BC36)))))+64*(OR(RIGHT(BC36,5)="COUNT",RIGHT(BC36,2)="CT"))+128*(ISNUMBER(FIND("BULK",BC36)))+256*(ISNUMBER(FIND("SIZE",BC36)))+512*(LEFT(BC36,3)="CAP")+1024*(ISNUMBER(FIND("ALLERG",BC36)))+2048*(OR(ISNUMBER(FIND("REMARK",BC36)),ISNUMBER(FIND("COMMENT",BC36))))+4096*(OR(ISNUMBER(FIND("QTY",BC36)),ISNUMBER(FIND("QUANTITY",BC36))))+8192*(AND(OR(ISNUMBER(FIND("COMPLETE",BC36)),ISNUMBER(FIND("PCT",BC36)),ISNUMBER(FIND("PERCENT",BC36))),NOT(ISNUMBER(FIND("ACTUAL",BC36))),LEN(BC36)&lt;=16))+32768*(OR(ISNUMBER(FIND("DESIC",BC36)),ISNUMBER(FIND("DESSIC",BC36)))))</f>
        <v/>
      </c>
      <c r="BD171">
        <f>IF(BD36="",0,2*(OR(ISNUMBER(FIND("WORKCENTER",BD36)),AND(LEFT(BD36,4)="LINE",NOT(ISNUMBER(FIND("STATUS",BD36))))))+4*(OR(ISNUMBER(FIND("WORKORDER",BD36)),AND(LEFT(BD36,2)="WO",OR(ISNUMBER(FIND("NUM",BD36)),RIGHT(BD36,2)="NO"))))+8*(LEFT(BD36,3)="SEQ")+16*(AND(LEFT(BD36,4)="ITEM",NOT(ISNUMBER(FIND("DESC",BD36)))))+32*(AND(ISNUMBER(FIND("DESC",BD36)),NOT(ISNUMBER(FIND("CAP",BD36)))))+64*(OR(RIGHT(BD36,5)="COUNT",RIGHT(BD36,2)="CT"))+128*(ISNUMBER(FIND("BULK",BD36)))+256*(ISNUMBER(FIND("SIZE",BD36)))+512*(LEFT(BD36,3)="CAP")+1024*(ISNUMBER(FIND("ALLERG",BD36)))+2048*(OR(ISNUMBER(FIND("REMARK",BD36)),ISNUMBER(FIND("COMMENT",BD36))))+4096*(OR(ISNUMBER(FIND("QTY",BD36)),ISNUMBER(FIND("QUANTITY",BD36))))+8192*(AND(OR(ISNUMBER(FIND("COMPLETE",BD36)),ISNUMBER(FIND("PCT",BD36)),ISNUMBER(FIND("PERCENT",BD36))),NOT(ISNUMBER(FIND("ACTUAL",BD36))),LEN(BD36)&lt;=16))+32768*(OR(ISNUMBER(FIND("DESIC",BD36)),ISNUMBER(FIND("DESSIC",BD36)))))</f>
        <v/>
      </c>
      <c r="BE171">
        <f>IF(BE36="",0,2*(OR(ISNUMBER(FIND("WORKCENTER",BE36)),AND(LEFT(BE36,4)="LINE",NOT(ISNUMBER(FIND("STATUS",BE36))))))+4*(OR(ISNUMBER(FIND("WORKORDER",BE36)),AND(LEFT(BE36,2)="WO",OR(ISNUMBER(FIND("NUM",BE36)),RIGHT(BE36,2)="NO"))))+8*(LEFT(BE36,3)="SEQ")+16*(AND(LEFT(BE36,4)="ITEM",NOT(ISNUMBER(FIND("DESC",BE36)))))+32*(AND(ISNUMBER(FIND("DESC",BE36)),NOT(ISNUMBER(FIND("CAP",BE36)))))+64*(OR(RIGHT(BE36,5)="COUNT",RIGHT(BE36,2)="CT"))+128*(ISNUMBER(FIND("BULK",BE36)))+256*(ISNUMBER(FIND("SIZE",BE36)))+512*(LEFT(BE36,3)="CAP")+1024*(ISNUMBER(FIND("ALLERG",BE36)))+2048*(OR(ISNUMBER(FIND("REMARK",BE36)),ISNUMBER(FIND("COMMENT",BE36))))+4096*(OR(ISNUMBER(FIND("QTY",BE36)),ISNUMBER(FIND("QUANTITY",BE36))))+8192*(AND(OR(ISNUMBER(FIND("COMPLETE",BE36)),ISNUMBER(FIND("PCT",BE36)),ISNUMBER(FIND("PERCENT",BE36))),NOT(ISNUMBER(FIND("ACTUAL",BE36))),LEN(BE36)&lt;=16))+32768*(OR(ISNUMBER(FIND("DESIC",BE36)),ISNUMBER(FIND("DESSIC",BE36)))))</f>
        <v/>
      </c>
      <c r="BF171">
        <f>IF(BF36="",0,2*(OR(ISNUMBER(FIND("WORKCENTER",BF36)),AND(LEFT(BF36,4)="LINE",NOT(ISNUMBER(FIND("STATUS",BF36))))))+4*(OR(ISNUMBER(FIND("WORKORDER",BF36)),AND(LEFT(BF36,2)="WO",OR(ISNUMBER(FIND("NUM",BF36)),RIGHT(BF36,2)="NO"))))+8*(LEFT(BF36,3)="SEQ")+16*(AND(LEFT(BF36,4)="ITEM",NOT(ISNUMBER(FIND("DESC",BF36)))))+32*(AND(ISNUMBER(FIND("DESC",BF36)),NOT(ISNUMBER(FIND("CAP",BF36)))))+64*(OR(RIGHT(BF36,5)="COUNT",RIGHT(BF36,2)="CT"))+128*(ISNUMBER(FIND("BULK",BF36)))+256*(ISNUMBER(FIND("SIZE",BF36)))+512*(LEFT(BF36,3)="CAP")+1024*(ISNUMBER(FIND("ALLERG",BF36)))+2048*(OR(ISNUMBER(FIND("REMARK",BF36)),ISNUMBER(FIND("COMMENT",BF36))))+4096*(OR(ISNUMBER(FIND("QTY",BF36)),ISNUMBER(FIND("QUANTITY",BF36))))+8192*(AND(OR(ISNUMBER(FIND("COMPLETE",BF36)),ISNUMBER(FIND("PCT",BF36)),ISNUMBER(FIND("PERCENT",BF36))),NOT(ISNUMBER(FIND("ACTUAL",BF36))),LEN(BF36)&lt;=16))+32768*(OR(ISNUMBER(FIND("DESIC",BF36)),ISNUMBER(FIND("DESSIC",BF36)))))</f>
        <v/>
      </c>
      <c r="BG171">
        <f>IF(BG36="",0,2*(OR(ISNUMBER(FIND("WORKCENTER",BG36)),AND(LEFT(BG36,4)="LINE",NOT(ISNUMBER(FIND("STATUS",BG36))))))+4*(OR(ISNUMBER(FIND("WORKORDER",BG36)),AND(LEFT(BG36,2)="WO",OR(ISNUMBER(FIND("NUM",BG36)),RIGHT(BG36,2)="NO"))))+8*(LEFT(BG36,3)="SEQ")+16*(AND(LEFT(BG36,4)="ITEM",NOT(ISNUMBER(FIND("DESC",BG36)))))+32*(AND(ISNUMBER(FIND("DESC",BG36)),NOT(ISNUMBER(FIND("CAP",BG36)))))+64*(OR(RIGHT(BG36,5)="COUNT",RIGHT(BG36,2)="CT"))+128*(ISNUMBER(FIND("BULK",BG36)))+256*(ISNUMBER(FIND("SIZE",BG36)))+512*(LEFT(BG36,3)="CAP")+1024*(ISNUMBER(FIND("ALLERG",BG36)))+2048*(OR(ISNUMBER(FIND("REMARK",BG36)),ISNUMBER(FIND("COMMENT",BG36))))+4096*(OR(ISNUMBER(FIND("QTY",BG36)),ISNUMBER(FIND("QUANTITY",BG36))))+8192*(AND(OR(ISNUMBER(FIND("COMPLETE",BG36)),ISNUMBER(FIND("PCT",BG36)),ISNUMBER(FIND("PERCENT",BG36))),NOT(ISNUMBER(FIND("ACTUAL",BG36))),LEN(BG36)&lt;=16))+32768*(OR(ISNUMBER(FIND("DESIC",BG36)),ISNUMBER(FIND("DESSIC",BG36)))))</f>
        <v/>
      </c>
      <c r="BH171">
        <f>IF(BH36="",0,2*(OR(ISNUMBER(FIND("WORKCENTER",BH36)),AND(LEFT(BH36,4)="LINE",NOT(ISNUMBER(FIND("STATUS",BH36))))))+4*(OR(ISNUMBER(FIND("WORKORDER",BH36)),AND(LEFT(BH36,2)="WO",OR(ISNUMBER(FIND("NUM",BH36)),RIGHT(BH36,2)="NO"))))+8*(LEFT(BH36,3)="SEQ")+16*(AND(LEFT(BH36,4)="ITEM",NOT(ISNUMBER(FIND("DESC",BH36)))))+32*(AND(ISNUMBER(FIND("DESC",BH36)),NOT(ISNUMBER(FIND("CAP",BH36)))))+64*(OR(RIGHT(BH36,5)="COUNT",RIGHT(BH36,2)="CT"))+128*(ISNUMBER(FIND("BULK",BH36)))+256*(ISNUMBER(FIND("SIZE",BH36)))+512*(LEFT(BH36,3)="CAP")+1024*(ISNUMBER(FIND("ALLERG",BH36)))+2048*(OR(ISNUMBER(FIND("REMARK",BH36)),ISNUMBER(FIND("COMMENT",BH36))))+4096*(OR(ISNUMBER(FIND("QTY",BH36)),ISNUMBER(FIND("QUANTITY",BH36))))+8192*(AND(OR(ISNUMBER(FIND("COMPLETE",BH36)),ISNUMBER(FIND("PCT",BH36)),ISNUMBER(FIND("PERCENT",BH36))),NOT(ISNUMBER(FIND("ACTUAL",BH36))),LEN(BH36)&lt;=16))+32768*(OR(ISNUMBER(FIND("DESIC",BH36)),ISNUMBER(FIND("DESSIC",BH36)))))</f>
        <v/>
      </c>
      <c r="BI171">
        <f>IF(BI36="",0,2*(OR(ISNUMBER(FIND("WORKCENTER",BI36)),AND(LEFT(BI36,4)="LINE",NOT(ISNUMBER(FIND("STATUS",BI36))))))+4*(OR(ISNUMBER(FIND("WORKORDER",BI36)),AND(LEFT(BI36,2)="WO",OR(ISNUMBER(FIND("NUM",BI36)),RIGHT(BI36,2)="NO"))))+8*(LEFT(BI36,3)="SEQ")+16*(AND(LEFT(BI36,4)="ITEM",NOT(ISNUMBER(FIND("DESC",BI36)))))+32*(AND(ISNUMBER(FIND("DESC",BI36)),NOT(ISNUMBER(FIND("CAP",BI36)))))+64*(OR(RIGHT(BI36,5)="COUNT",RIGHT(BI36,2)="CT"))+128*(ISNUMBER(FIND("BULK",BI36)))+256*(ISNUMBER(FIND("SIZE",BI36)))+512*(LEFT(BI36,3)="CAP")+1024*(ISNUMBER(FIND("ALLERG",BI36)))+2048*(OR(ISNUMBER(FIND("REMARK",BI36)),ISNUMBER(FIND("COMMENT",BI36))))+4096*(OR(ISNUMBER(FIND("QTY",BI36)),ISNUMBER(FIND("QUANTITY",BI36))))+8192*(AND(OR(ISNUMBER(FIND("COMPLETE",BI36)),ISNUMBER(FIND("PCT",BI36)),ISNUMBER(FIND("PERCENT",BI36))),NOT(ISNUMBER(FIND("ACTUAL",BI36))),LEN(BI36)&lt;=16))+32768*(OR(ISNUMBER(FIND("DESIC",BI36)),ISNUMBER(FIND("DESSIC",BI36)))))</f>
        <v/>
      </c>
      <c r="BJ171">
        <f>IF(BJ36="",0,2*(OR(ISNUMBER(FIND("WORKCENTER",BJ36)),AND(LEFT(BJ36,4)="LINE",NOT(ISNUMBER(FIND("STATUS",BJ36))))))+4*(OR(ISNUMBER(FIND("WORKORDER",BJ36)),AND(LEFT(BJ36,2)="WO",OR(ISNUMBER(FIND("NUM",BJ36)),RIGHT(BJ36,2)="NO"))))+8*(LEFT(BJ36,3)="SEQ")+16*(AND(LEFT(BJ36,4)="ITEM",NOT(ISNUMBER(FIND("DESC",BJ36)))))+32*(AND(ISNUMBER(FIND("DESC",BJ36)),NOT(ISNUMBER(FIND("CAP",BJ36)))))+64*(OR(RIGHT(BJ36,5)="COUNT",RIGHT(BJ36,2)="CT"))+128*(ISNUMBER(FIND("BULK",BJ36)))+256*(ISNUMBER(FIND("SIZE",BJ36)))+512*(LEFT(BJ36,3)="CAP")+1024*(ISNUMBER(FIND("ALLERG",BJ36)))+2048*(OR(ISNUMBER(FIND("REMARK",BJ36)),ISNUMBER(FIND("COMMENT",BJ36))))+4096*(OR(ISNUMBER(FIND("QTY",BJ36)),ISNUMBER(FIND("QUANTITY",BJ36))))+8192*(AND(OR(ISNUMBER(FIND("COMPLETE",BJ36)),ISNUMBER(FIND("PCT",BJ36)),ISNUMBER(FIND("PERCENT",BJ36))),NOT(ISNUMBER(FIND("ACTUAL",BJ36))),LEN(BJ36)&lt;=16))+32768*(OR(ISNUMBER(FIND("DESIC",BJ36)),ISNUMBER(FIND("DESSIC",BJ36)))))</f>
        <v/>
      </c>
      <c r="BK171">
        <f>IF(BK36="",0,2*(OR(ISNUMBER(FIND("WORKCENTER",BK36)),AND(LEFT(BK36,4)="LINE",NOT(ISNUMBER(FIND("STATUS",BK36))))))+4*(OR(ISNUMBER(FIND("WORKORDER",BK36)),AND(LEFT(BK36,2)="WO",OR(ISNUMBER(FIND("NUM",BK36)),RIGHT(BK36,2)="NO"))))+8*(LEFT(BK36,3)="SEQ")+16*(AND(LEFT(BK36,4)="ITEM",NOT(ISNUMBER(FIND("DESC",BK36)))))+32*(AND(ISNUMBER(FIND("DESC",BK36)),NOT(ISNUMBER(FIND("CAP",BK36)))))+64*(OR(RIGHT(BK36,5)="COUNT",RIGHT(BK36,2)="CT"))+128*(ISNUMBER(FIND("BULK",BK36)))+256*(ISNUMBER(FIND("SIZE",BK36)))+512*(LEFT(BK36,3)="CAP")+1024*(ISNUMBER(FIND("ALLERG",BK36)))+2048*(OR(ISNUMBER(FIND("REMARK",BK36)),ISNUMBER(FIND("COMMENT",BK36))))+4096*(OR(ISNUMBER(FIND("QTY",BK36)),ISNUMBER(FIND("QUANTITY",BK36))))+8192*(AND(OR(ISNUMBER(FIND("COMPLETE",BK36)),ISNUMBER(FIND("PCT",BK36)),ISNUMBER(FIND("PERCENT",BK36))),NOT(ISNUMBER(FIND("ACTUAL",BK36))),LEN(BK36)&lt;=16))+32768*(OR(ISNUMBER(FIND("DESIC",BK36)),ISNUMBER(FIND("DESSIC",BK36)))))</f>
        <v/>
      </c>
      <c r="BL171">
        <f>IF(BL36="",0,2*(OR(ISNUMBER(FIND("WORKCENTER",BL36)),AND(LEFT(BL36,4)="LINE",NOT(ISNUMBER(FIND("STATUS",BL36))))))+4*(OR(ISNUMBER(FIND("WORKORDER",BL36)),AND(LEFT(BL36,2)="WO",OR(ISNUMBER(FIND("NUM",BL36)),RIGHT(BL36,2)="NO"))))+8*(LEFT(BL36,3)="SEQ")+16*(AND(LEFT(BL36,4)="ITEM",NOT(ISNUMBER(FIND("DESC",BL36)))))+32*(AND(ISNUMBER(FIND("DESC",BL36)),NOT(ISNUMBER(FIND("CAP",BL36)))))+64*(OR(RIGHT(BL36,5)="COUNT",RIGHT(BL36,2)="CT"))+128*(ISNUMBER(FIND("BULK",BL36)))+256*(ISNUMBER(FIND("SIZE",BL36)))+512*(LEFT(BL36,3)="CAP")+1024*(ISNUMBER(FIND("ALLERG",BL36)))+2048*(OR(ISNUMBER(FIND("REMARK",BL36)),ISNUMBER(FIND("COMMENT",BL36))))+4096*(OR(ISNUMBER(FIND("QTY",BL36)),ISNUMBER(FIND("QUANTITY",BL36))))+8192*(AND(OR(ISNUMBER(FIND("COMPLETE",BL36)),ISNUMBER(FIND("PCT",BL36)),ISNUMBER(FIND("PERCENT",BL36))),NOT(ISNUMBER(FIND("ACTUAL",BL36))),LEN(BL36)&lt;=16))+32768*(OR(ISNUMBER(FIND("DESIC",BL36)),ISNUMBER(FIND("DESSIC",BL36)))))</f>
        <v/>
      </c>
      <c r="BM171">
        <f>IF(BM36="",0,2*(OR(ISNUMBER(FIND("WORKCENTER",BM36)),AND(LEFT(BM36,4)="LINE",NOT(ISNUMBER(FIND("STATUS",BM36))))))+4*(OR(ISNUMBER(FIND("WORKORDER",BM36)),AND(LEFT(BM36,2)="WO",OR(ISNUMBER(FIND("NUM",BM36)),RIGHT(BM36,2)="NO"))))+8*(LEFT(BM36,3)="SEQ")+16*(AND(LEFT(BM36,4)="ITEM",NOT(ISNUMBER(FIND("DESC",BM36)))))+32*(AND(ISNUMBER(FIND("DESC",BM36)),NOT(ISNUMBER(FIND("CAP",BM36)))))+64*(OR(RIGHT(BM36,5)="COUNT",RIGHT(BM36,2)="CT"))+128*(ISNUMBER(FIND("BULK",BM36)))+256*(ISNUMBER(FIND("SIZE",BM36)))+512*(LEFT(BM36,3)="CAP")+1024*(ISNUMBER(FIND("ALLERG",BM36)))+2048*(OR(ISNUMBER(FIND("REMARK",BM36)),ISNUMBER(FIND("COMMENT",BM36))))+4096*(OR(ISNUMBER(FIND("QTY",BM36)),ISNUMBER(FIND("QUANTITY",BM36))))+8192*(AND(OR(ISNUMBER(FIND("COMPLETE",BM36)),ISNUMBER(FIND("PCT",BM36)),ISNUMBER(FIND("PERCENT",BM36))),NOT(ISNUMBER(FIND("ACTUAL",BM36))),LEN(BM36)&lt;=16))+32768*(OR(ISNUMBER(FIND("DESIC",BM36)),ISNUMBER(FIND("DESSIC",BM36)))))</f>
        <v/>
      </c>
      <c r="BN171">
        <f>IF(BN36="",0,2*(OR(ISNUMBER(FIND("WORKCENTER",BN36)),AND(LEFT(BN36,4)="LINE",NOT(ISNUMBER(FIND("STATUS",BN36))))))+4*(OR(ISNUMBER(FIND("WORKORDER",BN36)),AND(LEFT(BN36,2)="WO",OR(ISNUMBER(FIND("NUM",BN36)),RIGHT(BN36,2)="NO"))))+8*(LEFT(BN36,3)="SEQ")+16*(AND(LEFT(BN36,4)="ITEM",NOT(ISNUMBER(FIND("DESC",BN36)))))+32*(AND(ISNUMBER(FIND("DESC",BN36)),NOT(ISNUMBER(FIND("CAP",BN36)))))+64*(OR(RIGHT(BN36,5)="COUNT",RIGHT(BN36,2)="CT"))+128*(ISNUMBER(FIND("BULK",BN36)))+256*(ISNUMBER(FIND("SIZE",BN36)))+512*(LEFT(BN36,3)="CAP")+1024*(ISNUMBER(FIND("ALLERG",BN36)))+2048*(OR(ISNUMBER(FIND("REMARK",BN36)),ISNUMBER(FIND("COMMENT",BN36))))+4096*(OR(ISNUMBER(FIND("QTY",BN36)),ISNUMBER(FIND("QUANTITY",BN36))))+8192*(AND(OR(ISNUMBER(FIND("COMPLETE",BN36)),ISNUMBER(FIND("PCT",BN36)),ISNUMBER(FIND("PERCENT",BN36))),NOT(ISNUMBER(FIND("ACTUAL",BN36))),LEN(BN36)&lt;=16))+32768*(OR(ISNUMBER(FIND("DESIC",BN36)),ISNUMBER(FIND("DESSIC",BN36)))))</f>
        <v/>
      </c>
      <c r="BO171">
        <f>IF(BO36="",0,2*(OR(ISNUMBER(FIND("WORKCENTER",BO36)),AND(LEFT(BO36,4)="LINE",NOT(ISNUMBER(FIND("STATUS",BO36))))))+4*(OR(ISNUMBER(FIND("WORKORDER",BO36)),AND(LEFT(BO36,2)="WO",OR(ISNUMBER(FIND("NUM",BO36)),RIGHT(BO36,2)="NO"))))+8*(LEFT(BO36,3)="SEQ")+16*(AND(LEFT(BO36,4)="ITEM",NOT(ISNUMBER(FIND("DESC",BO36)))))+32*(AND(ISNUMBER(FIND("DESC",BO36)),NOT(ISNUMBER(FIND("CAP",BO36)))))+64*(OR(RIGHT(BO36,5)="COUNT",RIGHT(BO36,2)="CT"))+128*(ISNUMBER(FIND("BULK",BO36)))+256*(ISNUMBER(FIND("SIZE",BO36)))+512*(LEFT(BO36,3)="CAP")+1024*(ISNUMBER(FIND("ALLERG",BO36)))+2048*(OR(ISNUMBER(FIND("REMARK",BO36)),ISNUMBER(FIND("COMMENT",BO36))))+4096*(OR(ISNUMBER(FIND("QTY",BO36)),ISNUMBER(FIND("QUANTITY",BO36))))+8192*(AND(OR(ISNUMBER(FIND("COMPLETE",BO36)),ISNUMBER(FIND("PCT",BO36)),ISNUMBER(FIND("PERCENT",BO36))),NOT(ISNUMBER(FIND("ACTUAL",BO36))),LEN(BO36)&lt;=16))+32768*(OR(ISNUMBER(FIND("DESIC",BO36)),ISNUMBER(FIND("DESSIC",BO36)))))</f>
        <v/>
      </c>
      <c r="BP171">
        <f>IF(BP36="",0,2*(OR(ISNUMBER(FIND("WORKCENTER",BP36)),AND(LEFT(BP36,4)="LINE",NOT(ISNUMBER(FIND("STATUS",BP36))))))+4*(OR(ISNUMBER(FIND("WORKORDER",BP36)),AND(LEFT(BP36,2)="WO",OR(ISNUMBER(FIND("NUM",BP36)),RIGHT(BP36,2)="NO"))))+8*(LEFT(BP36,3)="SEQ")+16*(AND(LEFT(BP36,4)="ITEM",NOT(ISNUMBER(FIND("DESC",BP36)))))+32*(AND(ISNUMBER(FIND("DESC",BP36)),NOT(ISNUMBER(FIND("CAP",BP36)))))+64*(OR(RIGHT(BP36,5)="COUNT",RIGHT(BP36,2)="CT"))+128*(ISNUMBER(FIND("BULK",BP36)))+256*(ISNUMBER(FIND("SIZE",BP36)))+512*(LEFT(BP36,3)="CAP")+1024*(ISNUMBER(FIND("ALLERG",BP36)))+2048*(OR(ISNUMBER(FIND("REMARK",BP36)),ISNUMBER(FIND("COMMENT",BP36))))+4096*(OR(ISNUMBER(FIND("QTY",BP36)),ISNUMBER(FIND("QUANTITY",BP36))))+8192*(AND(OR(ISNUMBER(FIND("COMPLETE",BP36)),ISNUMBER(FIND("PCT",BP36)),ISNUMBER(FIND("PERCENT",BP36))),NOT(ISNUMBER(FIND("ACTUAL",BP36))),LEN(BP36)&lt;=16))+32768*(OR(ISNUMBER(FIND("DESIC",BP36)),ISNUMBER(FIND("DESSIC",BP36)))))</f>
        <v/>
      </c>
      <c r="BQ171">
        <f>IF(BQ36="",0,2*(OR(ISNUMBER(FIND("WORKCENTER",BQ36)),AND(LEFT(BQ36,4)="LINE",NOT(ISNUMBER(FIND("STATUS",BQ36))))))+4*(OR(ISNUMBER(FIND("WORKORDER",BQ36)),AND(LEFT(BQ36,2)="WO",OR(ISNUMBER(FIND("NUM",BQ36)),RIGHT(BQ36,2)="NO"))))+8*(LEFT(BQ36,3)="SEQ")+16*(AND(LEFT(BQ36,4)="ITEM",NOT(ISNUMBER(FIND("DESC",BQ36)))))+32*(AND(ISNUMBER(FIND("DESC",BQ36)),NOT(ISNUMBER(FIND("CAP",BQ36)))))+64*(OR(RIGHT(BQ36,5)="COUNT",RIGHT(BQ36,2)="CT"))+128*(ISNUMBER(FIND("BULK",BQ36)))+256*(ISNUMBER(FIND("SIZE",BQ36)))+512*(LEFT(BQ36,3)="CAP")+1024*(ISNUMBER(FIND("ALLERG",BQ36)))+2048*(OR(ISNUMBER(FIND("REMARK",BQ36)),ISNUMBER(FIND("COMMENT",BQ36))))+4096*(OR(ISNUMBER(FIND("QTY",BQ36)),ISNUMBER(FIND("QUANTITY",BQ36))))+8192*(AND(OR(ISNUMBER(FIND("COMPLETE",BQ36)),ISNUMBER(FIND("PCT",BQ36)),ISNUMBER(FIND("PERCENT",BQ36))),NOT(ISNUMBER(FIND("ACTUAL",BQ36))),LEN(BQ36)&lt;=16))+32768*(OR(ISNUMBER(FIND("DESIC",BQ36)),ISNUMBER(FIND("DESSIC",BQ36)))))</f>
        <v/>
      </c>
      <c r="BR171">
        <f>IF(BR36="",0,2*(OR(ISNUMBER(FIND("WORKCENTER",BR36)),AND(LEFT(BR36,4)="LINE",NOT(ISNUMBER(FIND("STATUS",BR36))))))+4*(OR(ISNUMBER(FIND("WORKORDER",BR36)),AND(LEFT(BR36,2)="WO",OR(ISNUMBER(FIND("NUM",BR36)),RIGHT(BR36,2)="NO"))))+8*(LEFT(BR36,3)="SEQ")+16*(AND(LEFT(BR36,4)="ITEM",NOT(ISNUMBER(FIND("DESC",BR36)))))+32*(AND(ISNUMBER(FIND("DESC",BR36)),NOT(ISNUMBER(FIND("CAP",BR36)))))+64*(OR(RIGHT(BR36,5)="COUNT",RIGHT(BR36,2)="CT"))+128*(ISNUMBER(FIND("BULK",BR36)))+256*(ISNUMBER(FIND("SIZE",BR36)))+512*(LEFT(BR36,3)="CAP")+1024*(ISNUMBER(FIND("ALLERG",BR36)))+2048*(OR(ISNUMBER(FIND("REMARK",BR36)),ISNUMBER(FIND("COMMENT",BR36))))+4096*(OR(ISNUMBER(FIND("QTY",BR36)),ISNUMBER(FIND("QUANTITY",BR36))))+8192*(AND(OR(ISNUMBER(FIND("COMPLETE",BR36)),ISNUMBER(FIND("PCT",BR36)),ISNUMBER(FIND("PERCENT",BR36))),NOT(ISNUMBER(FIND("ACTUAL",BR36))),LEN(BR36)&lt;=16))+32768*(OR(ISNUMBER(FIND("DESIC",BR36)),ISNUMBER(FIND("DESSIC",BR36)))))</f>
        <v/>
      </c>
      <c r="BS171">
        <f>IF(BS36="",0,2*(OR(ISNUMBER(FIND("WORKCENTER",BS36)),AND(LEFT(BS36,4)="LINE",NOT(ISNUMBER(FIND("STATUS",BS36))))))+4*(OR(ISNUMBER(FIND("WORKORDER",BS36)),AND(LEFT(BS36,2)="WO",OR(ISNUMBER(FIND("NUM",BS36)),RIGHT(BS36,2)="NO"))))+8*(LEFT(BS36,3)="SEQ")+16*(AND(LEFT(BS36,4)="ITEM",NOT(ISNUMBER(FIND("DESC",BS36)))))+32*(AND(ISNUMBER(FIND("DESC",BS36)),NOT(ISNUMBER(FIND("CAP",BS36)))))+64*(OR(RIGHT(BS36,5)="COUNT",RIGHT(BS36,2)="CT"))+128*(ISNUMBER(FIND("BULK",BS36)))+256*(ISNUMBER(FIND("SIZE",BS36)))+512*(LEFT(BS36,3)="CAP")+1024*(ISNUMBER(FIND("ALLERG",BS36)))+2048*(OR(ISNUMBER(FIND("REMARK",BS36)),ISNUMBER(FIND("COMMENT",BS36))))+4096*(OR(ISNUMBER(FIND("QTY",BS36)),ISNUMBER(FIND("QUANTITY",BS36))))+8192*(AND(OR(ISNUMBER(FIND("COMPLETE",BS36)),ISNUMBER(FIND("PCT",BS36)),ISNUMBER(FIND("PERCENT",BS36))),NOT(ISNUMBER(FIND("ACTUAL",BS36))),LEN(BS36)&lt;=16))+32768*(OR(ISNUMBER(FIND("DESIC",BS36)),ISNUMBER(FIND("DESSIC",BS36)))))</f>
        <v/>
      </c>
      <c r="BT171">
        <f>IF(BT36="",0,2*(OR(ISNUMBER(FIND("WORKCENTER",BT36)),AND(LEFT(BT36,4)="LINE",NOT(ISNUMBER(FIND("STATUS",BT36))))))+4*(OR(ISNUMBER(FIND("WORKORDER",BT36)),AND(LEFT(BT36,2)="WO",OR(ISNUMBER(FIND("NUM",BT36)),RIGHT(BT36,2)="NO"))))+8*(LEFT(BT36,3)="SEQ")+16*(AND(LEFT(BT36,4)="ITEM",NOT(ISNUMBER(FIND("DESC",BT36)))))+32*(AND(ISNUMBER(FIND("DESC",BT36)),NOT(ISNUMBER(FIND("CAP",BT36)))))+64*(OR(RIGHT(BT36,5)="COUNT",RIGHT(BT36,2)="CT"))+128*(ISNUMBER(FIND("BULK",BT36)))+256*(ISNUMBER(FIND("SIZE",BT36)))+512*(LEFT(BT36,3)="CAP")+1024*(ISNUMBER(FIND("ALLERG",BT36)))+2048*(OR(ISNUMBER(FIND("REMARK",BT36)),ISNUMBER(FIND("COMMENT",BT36))))+4096*(OR(ISNUMBER(FIND("QTY",BT36)),ISNUMBER(FIND("QUANTITY",BT36))))+8192*(AND(OR(ISNUMBER(FIND("COMPLETE",BT36)),ISNUMBER(FIND("PCT",BT36)),ISNUMBER(FIND("PERCENT",BT36))),NOT(ISNUMBER(FIND("ACTUAL",BT36))),LEN(BT36)&lt;=16))+32768*(OR(ISNUMBER(FIND("DESIC",BT36)),ISNUMBER(FIND("DESSIC",BT36)))))</f>
        <v/>
      </c>
      <c r="BU171">
        <f>IF(BU36="",0,2*(OR(ISNUMBER(FIND("WORKCENTER",BU36)),AND(LEFT(BU36,4)="LINE",NOT(ISNUMBER(FIND("STATUS",BU36))))))+4*(OR(ISNUMBER(FIND("WORKORDER",BU36)),AND(LEFT(BU36,2)="WO",OR(ISNUMBER(FIND("NUM",BU36)),RIGHT(BU36,2)="NO"))))+8*(LEFT(BU36,3)="SEQ")+16*(AND(LEFT(BU36,4)="ITEM",NOT(ISNUMBER(FIND("DESC",BU36)))))+32*(AND(ISNUMBER(FIND("DESC",BU36)),NOT(ISNUMBER(FIND("CAP",BU36)))))+64*(OR(RIGHT(BU36,5)="COUNT",RIGHT(BU36,2)="CT"))+128*(ISNUMBER(FIND("BULK",BU36)))+256*(ISNUMBER(FIND("SIZE",BU36)))+512*(LEFT(BU36,3)="CAP")+1024*(ISNUMBER(FIND("ALLERG",BU36)))+2048*(OR(ISNUMBER(FIND("REMARK",BU36)),ISNUMBER(FIND("COMMENT",BU36))))+4096*(OR(ISNUMBER(FIND("QTY",BU36)),ISNUMBER(FIND("QUANTITY",BU36))))+8192*(AND(OR(ISNUMBER(FIND("COMPLETE",BU36)),ISNUMBER(FIND("PCT",BU36)),ISNUMBER(FIND("PERCENT",BU36))),NOT(ISNUMBER(FIND("ACTUAL",BU36))),LEN(BU36)&lt;=16))+32768*(OR(ISNUMBER(FIND("DESIC",BU36)),ISNUMBER(FIND("DESSIC",BU36)))))</f>
        <v/>
      </c>
      <c r="BV171">
        <f>IF(BV36="",0,2*(OR(ISNUMBER(FIND("WORKCENTER",BV36)),AND(LEFT(BV36,4)="LINE",NOT(ISNUMBER(FIND("STATUS",BV36))))))+4*(OR(ISNUMBER(FIND("WORKORDER",BV36)),AND(LEFT(BV36,2)="WO",OR(ISNUMBER(FIND("NUM",BV36)),RIGHT(BV36,2)="NO"))))+8*(LEFT(BV36,3)="SEQ")+16*(AND(LEFT(BV36,4)="ITEM",NOT(ISNUMBER(FIND("DESC",BV36)))))+32*(AND(ISNUMBER(FIND("DESC",BV36)),NOT(ISNUMBER(FIND("CAP",BV36)))))+64*(OR(RIGHT(BV36,5)="COUNT",RIGHT(BV36,2)="CT"))+128*(ISNUMBER(FIND("BULK",BV36)))+256*(ISNUMBER(FIND("SIZE",BV36)))+512*(LEFT(BV36,3)="CAP")+1024*(ISNUMBER(FIND("ALLERG",BV36)))+2048*(OR(ISNUMBER(FIND("REMARK",BV36)),ISNUMBER(FIND("COMMENT",BV36))))+4096*(OR(ISNUMBER(FIND("QTY",BV36)),ISNUMBER(FIND("QUANTITY",BV36))))+8192*(AND(OR(ISNUMBER(FIND("COMPLETE",BV36)),ISNUMBER(FIND("PCT",BV36)),ISNUMBER(FIND("PERCENT",BV36))),NOT(ISNUMBER(FIND("ACTUAL",BV36))),LEN(BV36)&lt;=16))+32768*(OR(ISNUMBER(FIND("DESIC",BV36)),ISNUMBER(FIND("DESSIC",BV36)))))</f>
        <v/>
      </c>
      <c r="BW171">
        <f>IF(BW36="",0,2*(OR(ISNUMBER(FIND("WORKCENTER",BW36)),AND(LEFT(BW36,4)="LINE",NOT(ISNUMBER(FIND("STATUS",BW36))))))+4*(OR(ISNUMBER(FIND("WORKORDER",BW36)),AND(LEFT(BW36,2)="WO",OR(ISNUMBER(FIND("NUM",BW36)),RIGHT(BW36,2)="NO"))))+8*(LEFT(BW36,3)="SEQ")+16*(AND(LEFT(BW36,4)="ITEM",NOT(ISNUMBER(FIND("DESC",BW36)))))+32*(AND(ISNUMBER(FIND("DESC",BW36)),NOT(ISNUMBER(FIND("CAP",BW36)))))+64*(OR(RIGHT(BW36,5)="COUNT",RIGHT(BW36,2)="CT"))+128*(ISNUMBER(FIND("BULK",BW36)))+256*(ISNUMBER(FIND("SIZE",BW36)))+512*(LEFT(BW36,3)="CAP")+1024*(ISNUMBER(FIND("ALLERG",BW36)))+2048*(OR(ISNUMBER(FIND("REMARK",BW36)),ISNUMBER(FIND("COMMENT",BW36))))+4096*(OR(ISNUMBER(FIND("QTY",BW36)),ISNUMBER(FIND("QUANTITY",BW36))))+8192*(AND(OR(ISNUMBER(FIND("COMPLETE",BW36)),ISNUMBER(FIND("PCT",BW36)),ISNUMBER(FIND("PERCENT",BW36))),NOT(ISNUMBER(FIND("ACTUAL",BW36))),LEN(BW36)&lt;=16))+32768*(OR(ISNUMBER(FIND("DESIC",BW36)),ISNUMBER(FIND("DESSIC",BW36)))))</f>
        <v/>
      </c>
      <c r="BX171">
        <f>IF(BX36="",0,2*(OR(ISNUMBER(FIND("WORKCENTER",BX36)),AND(LEFT(BX36,4)="LINE",NOT(ISNUMBER(FIND("STATUS",BX36))))))+4*(OR(ISNUMBER(FIND("WORKORDER",BX36)),AND(LEFT(BX36,2)="WO",OR(ISNUMBER(FIND("NUM",BX36)),RIGHT(BX36,2)="NO"))))+8*(LEFT(BX36,3)="SEQ")+16*(AND(LEFT(BX36,4)="ITEM",NOT(ISNUMBER(FIND("DESC",BX36)))))+32*(AND(ISNUMBER(FIND("DESC",BX36)),NOT(ISNUMBER(FIND("CAP",BX36)))))+64*(OR(RIGHT(BX36,5)="COUNT",RIGHT(BX36,2)="CT"))+128*(ISNUMBER(FIND("BULK",BX36)))+256*(ISNUMBER(FIND("SIZE",BX36)))+512*(LEFT(BX36,3)="CAP")+1024*(ISNUMBER(FIND("ALLERG",BX36)))+2048*(OR(ISNUMBER(FIND("REMARK",BX36)),ISNUMBER(FIND("COMMENT",BX36))))+4096*(OR(ISNUMBER(FIND("QTY",BX36)),ISNUMBER(FIND("QUANTITY",BX36))))+8192*(AND(OR(ISNUMBER(FIND("COMPLETE",BX36)),ISNUMBER(FIND("PCT",BX36)),ISNUMBER(FIND("PERCENT",BX36))),NOT(ISNUMBER(FIND("ACTUAL",BX36))),LEN(BX36)&lt;=16))+32768*(OR(ISNUMBER(FIND("DESIC",BX36)),ISNUMBER(FIND("DESSIC",BX36)))))</f>
        <v/>
      </c>
      <c r="BY171">
        <f>IF(BY36="",0,2*(OR(ISNUMBER(FIND("WORKCENTER",BY36)),AND(LEFT(BY36,4)="LINE",NOT(ISNUMBER(FIND("STATUS",BY36))))))+4*(OR(ISNUMBER(FIND("WORKORDER",BY36)),AND(LEFT(BY36,2)="WO",OR(ISNUMBER(FIND("NUM",BY36)),RIGHT(BY36,2)="NO"))))+8*(LEFT(BY36,3)="SEQ")+16*(AND(LEFT(BY36,4)="ITEM",NOT(ISNUMBER(FIND("DESC",BY36)))))+32*(AND(ISNUMBER(FIND("DESC",BY36)),NOT(ISNUMBER(FIND("CAP",BY36)))))+64*(OR(RIGHT(BY36,5)="COUNT",RIGHT(BY36,2)="CT"))+128*(ISNUMBER(FIND("BULK",BY36)))+256*(ISNUMBER(FIND("SIZE",BY36)))+512*(LEFT(BY36,3)="CAP")+1024*(ISNUMBER(FIND("ALLERG",BY36)))+2048*(OR(ISNUMBER(FIND("REMARK",BY36)),ISNUMBER(FIND("COMMENT",BY36))))+4096*(OR(ISNUMBER(FIND("QTY",BY36)),ISNUMBER(FIND("QUANTITY",BY36))))+8192*(AND(OR(ISNUMBER(FIND("COMPLETE",BY36)),ISNUMBER(FIND("PCT",BY36)),ISNUMBER(FIND("PERCENT",BY36))),NOT(ISNUMBER(FIND("ACTUAL",BY36))),LEN(BY36)&lt;=16))+32768*(OR(ISNUMBER(FIND("DESIC",BY36)),ISNUMBER(FIND("DESSIC",BY36)))))</f>
        <v/>
      </c>
      <c r="BZ171">
        <f>IF(BZ36="",0,2*(OR(ISNUMBER(FIND("WORKCENTER",BZ36)),AND(LEFT(BZ36,4)="LINE",NOT(ISNUMBER(FIND("STATUS",BZ36))))))+4*(OR(ISNUMBER(FIND("WORKORDER",BZ36)),AND(LEFT(BZ36,2)="WO",OR(ISNUMBER(FIND("NUM",BZ36)),RIGHT(BZ36,2)="NO"))))+8*(LEFT(BZ36,3)="SEQ")+16*(AND(LEFT(BZ36,4)="ITEM",NOT(ISNUMBER(FIND("DESC",BZ36)))))+32*(AND(ISNUMBER(FIND("DESC",BZ36)),NOT(ISNUMBER(FIND("CAP",BZ36)))))+64*(OR(RIGHT(BZ36,5)="COUNT",RIGHT(BZ36,2)="CT"))+128*(ISNUMBER(FIND("BULK",BZ36)))+256*(ISNUMBER(FIND("SIZE",BZ36)))+512*(LEFT(BZ36,3)="CAP")+1024*(ISNUMBER(FIND("ALLERG",BZ36)))+2048*(OR(ISNUMBER(FIND("REMARK",BZ36)),ISNUMBER(FIND("COMMENT",BZ36))))+4096*(OR(ISNUMBER(FIND("QTY",BZ36)),ISNUMBER(FIND("QUANTITY",BZ36))))+8192*(AND(OR(ISNUMBER(FIND("COMPLETE",BZ36)),ISNUMBER(FIND("PCT",BZ36)),ISNUMBER(FIND("PERCENT",BZ36))),NOT(ISNUMBER(FIND("ACTUAL",BZ36))),LEN(BZ36)&lt;=16))+32768*(OR(ISNUMBER(FIND("DESIC",BZ36)),ISNUMBER(FIND("DESSIC",BZ36)))))</f>
        <v/>
      </c>
      <c r="CA171">
        <f>IF(CA36="",0,2*(OR(ISNUMBER(FIND("WORKCENTER",CA36)),AND(LEFT(CA36,4)="LINE",NOT(ISNUMBER(FIND("STATUS",CA36))))))+4*(OR(ISNUMBER(FIND("WORKORDER",CA36)),AND(LEFT(CA36,2)="WO",OR(ISNUMBER(FIND("NUM",CA36)),RIGHT(CA36,2)="NO"))))+8*(LEFT(CA36,3)="SEQ")+16*(AND(LEFT(CA36,4)="ITEM",NOT(ISNUMBER(FIND("DESC",CA36)))))+32*(AND(ISNUMBER(FIND("DESC",CA36)),NOT(ISNUMBER(FIND("CAP",CA36)))))+64*(OR(RIGHT(CA36,5)="COUNT",RIGHT(CA36,2)="CT"))+128*(ISNUMBER(FIND("BULK",CA36)))+256*(ISNUMBER(FIND("SIZE",CA36)))+512*(LEFT(CA36,3)="CAP")+1024*(ISNUMBER(FIND("ALLERG",CA36)))+2048*(OR(ISNUMBER(FIND("REMARK",CA36)),ISNUMBER(FIND("COMMENT",CA36))))+4096*(OR(ISNUMBER(FIND("QTY",CA36)),ISNUMBER(FIND("QUANTITY",CA36))))+8192*(AND(OR(ISNUMBER(FIND("COMPLETE",CA36)),ISNUMBER(FIND("PCT",CA36)),ISNUMBER(FIND("PERCENT",CA36))),NOT(ISNUMBER(FIND("ACTUAL",CA36))),LEN(CA36)&lt;=16))+32768*(OR(ISNUMBER(FIND("DESIC",CA36)),ISNUMBER(FIND("DESSIC",CA36)))))</f>
        <v/>
      </c>
      <c r="CB171">
        <f>IF(CB36="",0,2*(OR(ISNUMBER(FIND("WORKCENTER",CB36)),AND(LEFT(CB36,4)="LINE",NOT(ISNUMBER(FIND("STATUS",CB36))))))+4*(OR(ISNUMBER(FIND("WORKORDER",CB36)),AND(LEFT(CB36,2)="WO",OR(ISNUMBER(FIND("NUM",CB36)),RIGHT(CB36,2)="NO"))))+8*(LEFT(CB36,3)="SEQ")+16*(AND(LEFT(CB36,4)="ITEM",NOT(ISNUMBER(FIND("DESC",CB36)))))+32*(AND(ISNUMBER(FIND("DESC",CB36)),NOT(ISNUMBER(FIND("CAP",CB36)))))+64*(OR(RIGHT(CB36,5)="COUNT",RIGHT(CB36,2)="CT"))+128*(ISNUMBER(FIND("BULK",CB36)))+256*(ISNUMBER(FIND("SIZE",CB36)))+512*(LEFT(CB36,3)="CAP")+1024*(ISNUMBER(FIND("ALLERG",CB36)))+2048*(OR(ISNUMBER(FIND("REMARK",CB36)),ISNUMBER(FIND("COMMENT",CB36))))+4096*(OR(ISNUMBER(FIND("QTY",CB36)),ISNUMBER(FIND("QUANTITY",CB36))))+8192*(AND(OR(ISNUMBER(FIND("COMPLETE",CB36)),ISNUMBER(FIND("PCT",CB36)),ISNUMBER(FIND("PERCENT",CB36))),NOT(ISNUMBER(FIND("ACTUAL",CB36))),LEN(CB36)&lt;=16))+32768*(OR(ISNUMBER(FIND("DESIC",CB36)),ISNUMBER(FIND("DESSIC",CB36)))))</f>
        <v/>
      </c>
      <c r="CC171">
        <f>IF(CC36="",0,2*(OR(ISNUMBER(FIND("WORKCENTER",CC36)),AND(LEFT(CC36,4)="LINE",NOT(ISNUMBER(FIND("STATUS",CC36))))))+4*(OR(ISNUMBER(FIND("WORKORDER",CC36)),AND(LEFT(CC36,2)="WO",OR(ISNUMBER(FIND("NUM",CC36)),RIGHT(CC36,2)="NO"))))+8*(LEFT(CC36,3)="SEQ")+16*(AND(LEFT(CC36,4)="ITEM",NOT(ISNUMBER(FIND("DESC",CC36)))))+32*(AND(ISNUMBER(FIND("DESC",CC36)),NOT(ISNUMBER(FIND("CAP",CC36)))))+64*(OR(RIGHT(CC36,5)="COUNT",RIGHT(CC36,2)="CT"))+128*(ISNUMBER(FIND("BULK",CC36)))+256*(ISNUMBER(FIND("SIZE",CC36)))+512*(LEFT(CC36,3)="CAP")+1024*(ISNUMBER(FIND("ALLERG",CC36)))+2048*(OR(ISNUMBER(FIND("REMARK",CC36)),ISNUMBER(FIND("COMMENT",CC36))))+4096*(OR(ISNUMBER(FIND("QTY",CC36)),ISNUMBER(FIND("QUANTITY",CC36))))+8192*(AND(OR(ISNUMBER(FIND("COMPLETE",CC36)),ISNUMBER(FIND("PCT",CC36)),ISNUMBER(FIND("PERCENT",CC36))),NOT(ISNUMBER(FIND("ACTUAL",CC36))),LEN(CC36)&lt;=16))+32768*(OR(ISNUMBER(FIND("DESIC",CC36)),ISNUMBER(FIND("DESSIC",CC36)))))</f>
        <v/>
      </c>
      <c r="CD171">
        <f>IF(CD36="",0,2*(OR(ISNUMBER(FIND("WORKCENTER",CD36)),AND(LEFT(CD36,4)="LINE",NOT(ISNUMBER(FIND("STATUS",CD36))))))+4*(OR(ISNUMBER(FIND("WORKORDER",CD36)),AND(LEFT(CD36,2)="WO",OR(ISNUMBER(FIND("NUM",CD36)),RIGHT(CD36,2)="NO"))))+8*(LEFT(CD36,3)="SEQ")+16*(AND(LEFT(CD36,4)="ITEM",NOT(ISNUMBER(FIND("DESC",CD36)))))+32*(AND(ISNUMBER(FIND("DESC",CD36)),NOT(ISNUMBER(FIND("CAP",CD36)))))+64*(OR(RIGHT(CD36,5)="COUNT",RIGHT(CD36,2)="CT"))+128*(ISNUMBER(FIND("BULK",CD36)))+256*(ISNUMBER(FIND("SIZE",CD36)))+512*(LEFT(CD36,3)="CAP")+1024*(ISNUMBER(FIND("ALLERG",CD36)))+2048*(OR(ISNUMBER(FIND("REMARK",CD36)),ISNUMBER(FIND("COMMENT",CD36))))+4096*(OR(ISNUMBER(FIND("QTY",CD36)),ISNUMBER(FIND("QUANTITY",CD36))))+8192*(AND(OR(ISNUMBER(FIND("COMPLETE",CD36)),ISNUMBER(FIND("PCT",CD36)),ISNUMBER(FIND("PERCENT",CD36))),NOT(ISNUMBER(FIND("ACTUAL",CD36))),LEN(CD36)&lt;=16))+32768*(OR(ISNUMBER(FIND("DESIC",CD36)),ISNUMBER(FIND("DESSIC",CD36)))))</f>
        <v/>
      </c>
      <c r="CE171">
        <f>IF(CE36="",0,2*(OR(ISNUMBER(FIND("WORKCENTER",CE36)),AND(LEFT(CE36,4)="LINE",NOT(ISNUMBER(FIND("STATUS",CE36))))))+4*(OR(ISNUMBER(FIND("WORKORDER",CE36)),AND(LEFT(CE36,2)="WO",OR(ISNUMBER(FIND("NUM",CE36)),RIGHT(CE36,2)="NO"))))+8*(LEFT(CE36,3)="SEQ")+16*(AND(LEFT(CE36,4)="ITEM",NOT(ISNUMBER(FIND("DESC",CE36)))))+32*(AND(ISNUMBER(FIND("DESC",CE36)),NOT(ISNUMBER(FIND("CAP",CE36)))))+64*(OR(RIGHT(CE36,5)="COUNT",RIGHT(CE36,2)="CT"))+128*(ISNUMBER(FIND("BULK",CE36)))+256*(ISNUMBER(FIND("SIZE",CE36)))+512*(LEFT(CE36,3)="CAP")+1024*(ISNUMBER(FIND("ALLERG",CE36)))+2048*(OR(ISNUMBER(FIND("REMARK",CE36)),ISNUMBER(FIND("COMMENT",CE36))))+4096*(OR(ISNUMBER(FIND("QTY",CE36)),ISNUMBER(FIND("QUANTITY",CE36))))+8192*(AND(OR(ISNUMBER(FIND("COMPLETE",CE36)),ISNUMBER(FIND("PCT",CE36)),ISNUMBER(FIND("PERCENT",CE36))),NOT(ISNUMBER(FIND("ACTUAL",CE36))),LEN(CE36)&lt;=16))+32768*(OR(ISNUMBER(FIND("DESIC",CE36)),ISNUMBER(FIND("DESSIC",CE36)))))</f>
        <v/>
      </c>
      <c r="CF171">
        <f>IF(CF36="",0,2*(OR(ISNUMBER(FIND("WORKCENTER",CF36)),AND(LEFT(CF36,4)="LINE",NOT(ISNUMBER(FIND("STATUS",CF36))))))+4*(OR(ISNUMBER(FIND("WORKORDER",CF36)),AND(LEFT(CF36,2)="WO",OR(ISNUMBER(FIND("NUM",CF36)),RIGHT(CF36,2)="NO"))))+8*(LEFT(CF36,3)="SEQ")+16*(AND(LEFT(CF36,4)="ITEM",NOT(ISNUMBER(FIND("DESC",CF36)))))+32*(AND(ISNUMBER(FIND("DESC",CF36)),NOT(ISNUMBER(FIND("CAP",CF36)))))+64*(OR(RIGHT(CF36,5)="COUNT",RIGHT(CF36,2)="CT"))+128*(ISNUMBER(FIND("BULK",CF36)))+256*(ISNUMBER(FIND("SIZE",CF36)))+512*(LEFT(CF36,3)="CAP")+1024*(ISNUMBER(FIND("ALLERG",CF36)))+2048*(OR(ISNUMBER(FIND("REMARK",CF36)),ISNUMBER(FIND("COMMENT",CF36))))+4096*(OR(ISNUMBER(FIND("QTY",CF36)),ISNUMBER(FIND("QUANTITY",CF36))))+8192*(AND(OR(ISNUMBER(FIND("COMPLETE",CF36)),ISNUMBER(FIND("PCT",CF36)),ISNUMBER(FIND("PERCENT",CF36))),NOT(ISNUMBER(FIND("ACTUAL",CF36))),LEN(CF36)&lt;=16))+32768*(OR(ISNUMBER(FIND("DESIC",CF36)),ISNUMBER(FIND("DESSIC",CF36)))))</f>
        <v/>
      </c>
      <c r="DA171" t="n">
        <v>167</v>
      </c>
      <c r="DB171">
        <f>IF($B$37=0,"",IFERROR(TRIM(SUBSTITUTE(SUBSTITUTE(SUBSTITUTE(SUBSTITUTE(INDEX(PASTE_ALL,167,$B$37)," "," "),CHAR(9)," "),CHAR(10)," "),CHAR(13)," ")),""))</f>
        <v/>
      </c>
      <c r="DC171">
        <f>IF(AND(167&gt;HEADER_ROW,UPPER(DB171)="LEGEND"),1,0)</f>
        <v/>
      </c>
      <c r="DE171" t="n">
        <v>167</v>
      </c>
      <c r="DF171">
        <f>HEADER_ROW+$DE171</f>
        <v/>
      </c>
      <c r="DG171">
        <f>IF(AND($DF171&lt;=1000,$DF171&lt;$B$8),1,0)</f>
        <v/>
      </c>
      <c r="DH171">
        <f>IF($DG171=1,IFERROR(INDEX($DB$5:$DB$1004,$DF171),""),"")</f>
        <v/>
      </c>
      <c r="DI171">
        <f>IF(AND($DG171=1,$DH171&lt;&gt;""),IFERROR(SUBSTITUTE(SUBSTITUTE(TRIM(SUBSTITUTE(SUBSTITUTE(SUBSTITUTE(SUBSTITUTE(IFERROR(INDEX(PASTE_ALL,$DF171,1)&amp;"","")&amp;"␟"&amp;IFERROR(INDEX(PASTE_ALL,$DF171,2)&amp;"","")&amp;"␟"&amp;IFERROR(INDEX(PASTE_ALL,$DF171,3)&amp;"","")&amp;"␟"&amp;IFERROR(INDEX(PASTE_ALL,$DF171,4)&amp;"","")&amp;"␟"&amp;IFERROR(INDEX(PASTE_ALL,$DF171,5)&amp;"","")&amp;"␟"&amp;IFERROR(INDEX(PASTE_ALL,$DF171,6)&amp;"","")&amp;"␟"&amp;IFERROR(INDEX(PASTE_ALL,$DF171,7)&amp;"","")&amp;"␟"&amp;IFERROR(INDEX(PASTE_ALL,$DF171,8)&amp;"","")&amp;"␟"&amp;IFERROR(INDEX(PASTE_ALL,$DF171,9)&amp;"","")&amp;"␟"&amp;IFERROR(INDEX(PASTE_ALL,$DF171,10)&amp;"","")&amp;"␟"&amp;IFERROR(INDEX(PASTE_ALL,$DF171,11)&amp;"","")&amp;"␟"&amp;IFERROR(INDEX(PASTE_ALL,$DF171,12)&amp;"","")&amp;"␟"&amp;IFERROR(INDEX(PASTE_ALL,$DF171,13)&amp;"","")&amp;"␟"&amp;IFERROR(INDEX(PASTE_ALL,$DF171,14)&amp;"","")&amp;"␟"&amp;IFERROR(INDEX(PASTE_ALL,$DF171,15)&amp;"","")&amp;"␟"&amp;IFERROR(INDEX(PASTE_ALL,$DF171,16)&amp;"","")&amp;"␟"&amp;IFERROR(INDEX(PASTE_ALL,$DF171,17)&amp;"","")&amp;"␟"&amp;IFERROR(INDEX(PASTE_ALL,$DF171,18)&amp;"","")&amp;"␟"&amp;IFERROR(INDEX(PASTE_ALL,$DF171,19)&amp;"","")&amp;"␟"&amp;IFERROR(INDEX(PASTE_ALL,$DF171,20)&amp;"","")&amp;"␟"&amp;IFERROR(INDEX(PASTE_ALL,$DF171,21)&amp;"","")&amp;"␟"&amp;IFERROR(INDEX(PASTE_ALL,$DF171,22)&amp;"","")&amp;"␟"&amp;IFERROR(INDEX(PASTE_ALL,$DF171,23)&amp;"","")&amp;"␟"&amp;IFERROR(INDEX(PASTE_ALL,$DF171,24)&amp;"","")&amp;"␟"&amp;IFERROR(INDEX(PASTE_ALL,$DF171,25)&amp;"","")&amp;"␟"&amp;IFERROR(INDEX(PASTE_ALL,$DF171,26)&amp;"","")&amp;"␟"&amp;IFERROR(INDEX(PASTE_ALL,$DF171,27)&amp;"","")&amp;"␟"&amp;IFERROR(INDEX(PASTE_ALL,$DF171,28)&amp;"","")&amp;"␟"&amp;IFERROR(INDEX(PASTE_ALL,$DF171,29)&amp;"","")&amp;"␟"&amp;IFERROR(INDEX(PASTE_ALL,$DF171,30)&amp;"","")&amp;"␟"&amp;IFERROR(INDEX(PASTE_ALL,$DF171,31)&amp;"","")&amp;"␟"&amp;IFERROR(INDEX(PASTE_ALL,$DF171,32)&amp;"","")&amp;"␟"&amp;IFERROR(INDEX(PASTE_ALL,$DF171,33)&amp;"","")&amp;"␟"&amp;IFERROR(INDEX(PASTE_ALL,$DF171,34)&amp;"","")&amp;"␟"&amp;IFERROR(INDEX(PASTE_ALL,$DF171,35)&amp;"","")&amp;"␟"&amp;IFERROR(INDEX(PASTE_ALL,$DF171,36)&amp;"","")&amp;"␟"&amp;IFERROR(INDEX(PASTE_ALL,$DF171,37)&amp;"","")&amp;"␟"&amp;IFERROR(INDEX(PASTE_ALL,$DF171,38)&amp;"","")&amp;"␟"&amp;IFERROR(INDEX(PASTE_ALL,$DF171,39)&amp;"","")&amp;"␟"&amp;IFERROR(INDEX(PASTE_ALL,$DF171,40)&amp;"","")&amp;"␟"&amp;IFERROR(INDEX(PASTE_ALL,$DF171,41)&amp;"","")&amp;"␟"&amp;IFERROR(INDEX(PASTE_ALL,$DF171,42)&amp;"","")&amp;"␟"&amp;IFERROR(INDEX(PASTE_ALL,$DF171,43)&amp;"","")&amp;"␟"&amp;IFERROR(INDEX(PASTE_ALL,$DF171,44)&amp;"","")&amp;"␟"&amp;IFERROR(INDEX(PASTE_ALL,$DF171,45)&amp;"","")&amp;"␟"&amp;IFERROR(INDEX(PASTE_ALL,$DF171,46)&amp;"","")&amp;"␟"&amp;IFERROR(INDEX(PASTE_ALL,$DF171,47)&amp;"","")&amp;"␟"&amp;IFERROR(INDEX(PASTE_ALL,$DF171,48)&amp;"","")&amp;"␟"&amp;IFERROR(INDEX(PASTE_ALL,$DF171,49)&amp;"","")&amp;"␟"&amp;IFERROR(INDEX(PASTE_ALL,$DF171,50)&amp;"","")&amp;"␟"&amp;IFERROR(INDEX(PASTE_ALL,$DF171,51)&amp;"","")&amp;"␟"&amp;IFERROR(INDEX(PASTE_ALL,$DF171,52)&amp;"","")&amp;"␟"&amp;IFERROR(INDEX(PASTE_ALL,$DF171,53)&amp;"","")&amp;"␟"&amp;IFERROR(INDEX(PASTE_ALL,$DF171,54)&amp;"","")&amp;"␟"&amp;IFERROR(INDEX(PASTE_ALL,$DF171,55)&amp;"","")&amp;"␟"&amp;IFERROR(INDEX(PASTE_ALL,$DF171,56)&amp;"","")&amp;"␟"&amp;IFERROR(INDEX(PASTE_ALL,$DF171,57)&amp;"","")&amp;"␟"&amp;IFERROR(INDEX(PASTE_ALL,$DF171,58)&amp;"","")&amp;"␟"&amp;IFERROR(INDEX(PASTE_ALL,$DF171,59)&amp;"","")&amp;"␟"&amp;IFERROR(INDEX(PASTE_ALL,$DF171,60)&amp;"","")," "," "),CHAR(9)," "),CHAR(10)," "),CHAR(13)," "))," ␟","␟"),"␟ ","␟"),"#"&amp;$DE171),"")</f>
        <v/>
      </c>
      <c r="DJ171">
        <f>IF($DI171="",0,IF(SUMPRODUCT(--EXACT($DI$4:DI170,$DI171))&gt;0,1,0))</f>
        <v/>
      </c>
      <c r="DK171">
        <f>IF(AND($DI171&lt;&gt;"",$DJ171=0),1,0)</f>
        <v/>
      </c>
      <c r="DL171">
        <f>DL170+$DK171</f>
        <v/>
      </c>
      <c r="DM171">
        <f>IF(AND($DK171=1,$DL171&lt;=600),1,0)</f>
        <v/>
      </c>
      <c r="DN171">
        <f>IF($DM171=0,"",IF($L$6=0,"",IFERROR(IF(ISNUMBER(INDEX(PASTE_ALL,$DF171,$L$6)),INDEX(PASTE_ALL,$DF171,$L$6),TRIM(SUBSTITUTE(SUBSTITUTE(SUBSTITUTE(SUBSTITUTE(INDEX(PASTE_ALL,$DF171,$L$6)," "," "),CHAR(9)," "),CHAR(10)," "),CHAR(13)," "))),"")))</f>
        <v/>
      </c>
      <c r="DO171">
        <f>IF($DM171=0,"",IF($L$7=0,"",IFERROR(IF(ISNUMBER(INDEX(PASTE_ALL,$DF171,$L$7)),INDEX(PASTE_ALL,$DF171,$L$7),TRIM(SUBSTITUTE(SUBSTITUTE(SUBSTITUTE(SUBSTITUTE(INDEX(PASTE_ALL,$DF171,$L$7)," "," "),CHAR(9)," "),CHAR(10)," "),CHAR(13)," "))),"")))</f>
        <v/>
      </c>
      <c r="DP171">
        <f>IF($DM171=0,"",IF($L$8=0,"",IFERROR(IF(ISNUMBER(INDEX(PASTE_ALL,$DF171,$L$8)),INDEX(PASTE_ALL,$DF171,$L$8),TRIM(SUBSTITUTE(SUBSTITUTE(SUBSTITUTE(SUBSTITUTE(INDEX(PASTE_ALL,$DF171,$L$8)," "," "),CHAR(9)," "),CHAR(10)," "),CHAR(13)," "))),"")))</f>
        <v/>
      </c>
      <c r="DQ171">
        <f>IF($DM171=0,"",IF($L$9=0,"",IFERROR(IF(ISNUMBER(INDEX(PASTE_ALL,$DF171,$L$9)),INDEX(PASTE_ALL,$DF171,$L$9),TRIM(SUBSTITUTE(SUBSTITUTE(SUBSTITUTE(SUBSTITUTE(INDEX(PASTE_ALL,$DF171,$L$9)," "," "),CHAR(9)," "),CHAR(10)," "),CHAR(13)," "))),"")))</f>
        <v/>
      </c>
      <c r="DR171">
        <f>IF($DM171=0,"",IF($L$10=0,"",IFERROR(IF(ISNUMBER(INDEX(PASTE_ALL,$DF171,$L$10)),INDEX(PASTE_ALL,$DF171,$L$10),TRIM(SUBSTITUTE(SUBSTITUTE(SUBSTITUTE(SUBSTITUTE(INDEX(PASTE_ALL,$DF171,$L$10)," "," "),CHAR(9)," "),CHAR(10)," "),CHAR(13)," "))),"")))</f>
        <v/>
      </c>
      <c r="DS171">
        <f>IF($DM171=0,"",IF($L$11=0,"",IFERROR(IF(ISNUMBER(INDEX(PASTE_ALL,$DF171,$L$11)),INDEX(PASTE_ALL,$DF171,$L$11),TRIM(SUBSTITUTE(SUBSTITUTE(SUBSTITUTE(SUBSTITUTE(INDEX(PASTE_ALL,$DF171,$L$11)," "," "),CHAR(9)," "),CHAR(10)," "),CHAR(13)," "))),"")))</f>
        <v/>
      </c>
      <c r="DT171">
        <f>IF($DM171=0,"",IF($L$12=0,"",IFERROR(IF(ISNUMBER(INDEX(PASTE_ALL,$DF171,$L$12)),INDEX(PASTE_ALL,$DF171,$L$12),TRIM(SUBSTITUTE(SUBSTITUTE(SUBSTITUTE(SUBSTITUTE(INDEX(PASTE_ALL,$DF171,$L$12)," "," "),CHAR(9)," "),CHAR(10)," "),CHAR(13)," "))),"")))</f>
        <v/>
      </c>
      <c r="DU171">
        <f>IF($DM171=0,"",IF($L$13=0,"",IFERROR(IF(ISNUMBER(INDEX(PASTE_ALL,$DF171,$L$13)),INDEX(PASTE_ALL,$DF171,$L$13),TRIM(SUBSTITUTE(SUBSTITUTE(SUBSTITUTE(SUBSTITUTE(INDEX(PASTE_ALL,$DF171,$L$13)," "," "),CHAR(9)," "),CHAR(10)," "),CHAR(13)," "))),"")))</f>
        <v/>
      </c>
      <c r="DV171">
        <f>IF($DM171=0,"",IF($L$14=0,"",IFERROR(IF(ISNUMBER(INDEX(PASTE_ALL,$DF171,$L$14)),INDEX(PASTE_ALL,$DF171,$L$14),TRIM(SUBSTITUTE(SUBSTITUTE(SUBSTITUTE(SUBSTITUTE(INDEX(PASTE_ALL,$DF171,$L$14)," "," "),CHAR(9)," "),CHAR(10)," "),CHAR(13)," "))),"")))</f>
        <v/>
      </c>
      <c r="DW171">
        <f>IF($DM171=0,"",IF($L$15=0,"",IFERROR(IF(ISNUMBER(INDEX(PASTE_ALL,$DF171,$L$15)),INDEX(PASTE_ALL,$DF171,$L$15),IF(SUMPRODUCT(--ISNUMBER(FIND({"A","B","C","D","E","F","G","H","I","J","K","L","M","N","O","P","Q","R","S","T","U","V","W","X","Y","Z","0","1","2","3","4","5","6","7","8","9"},UPPER(TRIM(SUBSTITUTE(SUBSTITUTE(SUBSTITUTE(SUBSTITUTE(INDEX(PASTE_ALL,$DF171,$L$15)," "," "),CHAR(9)," "),CHAR(10)," "),CHAR(13)," "))))))&gt;0,TRIM(SUBSTITUTE(SUBSTITUTE(SUBSTITUTE(SUBSTITUTE(INDEX(PASTE_ALL,$DF171,$L$15)," "," "),CHAR(9)," "),CHAR(10)," "),CHAR(13)," ")),"")),"")))</f>
        <v/>
      </c>
      <c r="DX171">
        <f>IF($DM171=0,"",IF($L$16=0,"",IFERROR(IF(ISNUMBER(INDEX(PASTE_ALL,$DF171,$L$16)),INDEX(PASTE_ALL,$DF171,$L$16),SUBSTITUTE(SUBSTITUTE(TRIM(SUBSTITUTE(SUBSTITUTE(SUBSTITUTE(SUBSTITUTE(INDEX(PASTE_ALL,$DF171,$L$16)," "," "),CHAR(9)," "),CHAR(10)," "),CHAR(13)," ")),",",""),"%","")),"")))</f>
        <v/>
      </c>
      <c r="DY171">
        <f>IF($DM171=0,"",IFERROR(IF(ISNUMBER($DX171),$DX171,IF($DX171="","",IF(TRIM($DX171)="",0,IF(AND(AND(SUBSTITUTE(SUBSTITUTE(SUBSTITUTE(SUBSTITUTE(SUBSTITUTE(SUBSTITUTE(SUBSTITUTE(SUBSTITUTE(SUBSTITUTE(SUBSTITUTE(SUBSTITUTE(SUBSTITUTE(SUBSTITUTE(SUBSTITUTE(UPPER(TRIM($DX171)),"0",""),"1",""),"2",""),"3",""),"4",""),"5",""),"6",""),"7",""),"8",""),"9",""),".",""),"+",""),"-",""),"E","")="",LEN(SUBSTITUTE(SUBSTITUTE(MID(UPPER(TRIM($DX171)),1+OR(LEFT(UPPER(TRIM($DX171)),1)="+",LEFT(UPPER(TRIM($DX171)),1)="-"),999),"E+","E"),"E-","E"))=LEN(SUBSTITUTE(SUBSTITUTE(SUBSTITUTE(SUBSTITUTE(MID(UPPER(TRIM($DX171)),1+OR(LEFT(UPPER(TRIM($DX171)),1)="+",LEFT(UPPER(TRIM($DX171)),1)="-"),999),"E+","E"),"E-","E"),"+",""),"-","")),LEN(UPPER(TRIM($DX171)))-LEN(SUBSTITUTE(UPPER(TRIM($DX171)),"E",""))&lt;2,LEN(UPPER(TRIM($DX171)))-LEN(SUBSTITUTE(UPPER(TRIM($DX171)),".",""))&lt;2,IFERROR(FIND(".",UPPER(TRIM($DX171))),0)&lt;IFERROR(FIND("E",UPPER(TRIM($DX171))),999)),ISNUMBER(VALUE(TRIM($DX171)))),VALUE(TRIM($DX171)),"")))),""))</f>
        <v/>
      </c>
      <c r="DZ171">
        <f>IF($DM171=0,"",IF($L$17=0,"",IFERROR(IF(ISNUMBER(INDEX(PASTE_ALL,$DF171,$L$17)),INDEX(PASTE_ALL,$DF171,$L$17),SUBSTITUTE(SUBSTITUTE(TRIM(SUBSTITUTE(SUBSTITUTE(SUBSTITUTE(SUBSTITUTE(INDEX(PASTE_ALL,$DF171,$L$17)," "," "),CHAR(9)," "),CHAR(10)," "),CHAR(13)," ")),",",""),"%","")),"")))</f>
        <v/>
      </c>
      <c r="EA171">
        <f>IF($DM171=0,"",IFERROR(IF(ISNUMBER($DZ171),$DZ171,IF($DZ171="","",IF(TRIM($DZ171)="",0,IF(AND(AND(SUBSTITUTE(SUBSTITUTE(SUBSTITUTE(SUBSTITUTE(SUBSTITUTE(SUBSTITUTE(SUBSTITUTE(SUBSTITUTE(SUBSTITUTE(SUBSTITUTE(SUBSTITUTE(SUBSTITUTE(SUBSTITUTE(SUBSTITUTE(UPPER(TRIM($DZ171)),"0",""),"1",""),"2",""),"3",""),"4",""),"5",""),"6",""),"7",""),"8",""),"9",""),".",""),"+",""),"-",""),"E","")="",LEN(SUBSTITUTE(SUBSTITUTE(MID(UPPER(TRIM($DZ171)),1+OR(LEFT(UPPER(TRIM($DZ171)),1)="+",LEFT(UPPER(TRIM($DZ171)),1)="-"),999),"E+","E"),"E-","E"))=LEN(SUBSTITUTE(SUBSTITUTE(SUBSTITUTE(SUBSTITUTE(MID(UPPER(TRIM($DZ171)),1+OR(LEFT(UPPER(TRIM($DZ171)),1)="+",LEFT(UPPER(TRIM($DZ171)),1)="-"),999),"E+","E"),"E-","E"),"+",""),"-","")),LEN(UPPER(TRIM($DZ171)))-LEN(SUBSTITUTE(UPPER(TRIM($DZ171)),"E",""))&lt;2,LEN(UPPER(TRIM($DZ171)))-LEN(SUBSTITUTE(UPPER(TRIM($DZ171)),".",""))&lt;2,IFERROR(FIND(".",UPPER(TRIM($DZ171))),0)&lt;IFERROR(FIND("E",UPPER(TRIM($DZ171))),999)),ISNUMBER(VALUE(TRIM($DZ171)))),VALUE(TRIM($DZ171)),"")))),""))</f>
        <v/>
      </c>
      <c r="EB171">
        <f>IF($DM171=0,"",IF($L$18=0,"",IFERROR(IF(UPPER(TRIM(SUBSTITUTE(SUBSTITUTE(SUBSTITUTE(SUBSTITUTE(INDEX(PASTE_ALL,$DF171,$L$18)," "," "),CHAR(9)," "),CHAR(10)," "),CHAR(13)," ")))="READY","Ready",IF(UPPER(TRIM(SUBSTITUTE(SUBSTITUTE(SUBSTITUTE(SUBSTITUTE(INDEX(PASTE_ALL,$DF171,$L$18)," "," "),CHAR(9)," "),CHAR(10)," "),CHAR(13)," ")))="PM","PM",IF(OR(UPPER(TRIM(SUBSTITUTE(SUBSTITUTE(SUBSTITUTE(SUBSTITUTE(INDEX(PASTE_ALL,$DF171,$L$18)," "," "),CHAR(9)," "),CHAR(10)," "),CHAR(13)," ")))="OT",UPPER(TRIM(SUBSTITUTE(SUBSTITUTE(SUBSTITUTE(SUBSTITUTE(INDEX(PASTE_ALL,$DF171,$L$18)," "," "),CHAR(9)," "),CHAR(10)," "),CHAR(13)," ")))="OVERTIME",UPPER(TRIM(SUBSTITUTE(SUBSTITUTE(SUBSTITUTE(SUBSTITUTE(INDEX(PASTE_ALL,$DF171,$L$18)," "," "),CHAR(9)," "),CHAR(10)," "),CHAR(13)," ")))="TRIAL"),"OT",TRIM(SUBSTITUTE(SUBSTITUTE(SUBSTITUTE(SUBSTITUTE(INDEX(PASTE_ALL,$DF171,$L$18)," "," "),CHAR(9)," "),CHAR(10)," "),CHAR(13)," "))))),"")))</f>
        <v/>
      </c>
      <c r="EC171">
        <f>IF($DM171=0,"",IF($L$19=0,"",IFERROR(IF(ISNUMBER(INDEX(PASTE_ALL,$DF171,$L$19)),INDEX(PASTE_ALL,$DF171,$L$19),TRIM(SUBSTITUTE(SUBSTITUTE(SUBSTITUTE(SUBSTITUTE(INDEX(PASTE_ALL,$DF171,$L$19)," "," "),CHAR(9)," "),CHAR(10)," "),CHAR(13)," "))),"")))</f>
        <v/>
      </c>
      <c r="ED171">
        <f>IF($DM171=0,"",MATCH(1,INDEX(EXACT($DH$5:DH171,$DH171)*$DM$5:DM171,0),0))</f>
        <v/>
      </c>
      <c r="EE171">
        <f>IF($DM171=0,0,IF($ED171=$DE171,1,0))</f>
        <v/>
      </c>
      <c r="EF171">
        <f>EF170+$EE171</f>
        <v/>
      </c>
      <c r="EG171">
        <f>IF($DM171=0,"",INDEX($EF$5:$EF$1003,$ED171))</f>
        <v/>
      </c>
      <c r="EH171">
        <f>IF($DM171=0,"",IF($DO171&lt;&gt;"","",IFERROR(LOOKUP(2,1/(($EG$4:EG170=$EG171)*($DO$4:DO170&lt;&gt;"")),$DO$4:DO170),"")))</f>
        <v/>
      </c>
      <c r="EI171">
        <f>IF($DM171=0,"",IF($DO171&lt;&gt;"",$DO171,$EH171))</f>
        <v/>
      </c>
      <c r="EJ171">
        <f>IF($DM171=0,"",IF($EI171="",0,IF(OR(ISNUMBER($EI171),AND(AND(SUBSTITUTE(SUBSTITUTE(SUBSTITUTE(SUBSTITUTE(SUBSTITUTE(SUBSTITUTE(SUBSTITUTE(SUBSTITUTE(SUBSTITUTE(SUBSTITUTE(SUBSTITUTE(SUBSTITUTE(SUBSTITUTE(SUBSTITUTE(UPPER($EI171),"0",""),"1",""),"2",""),"3",""),"4",""),"5",""),"6",""),"7",""),"8",""),"9",""),".",""),"+",""),"-",""),"E","")="",LEN(SUBSTITUTE(SUBSTITUTE(MID(UPPER($EI171),1+OR(LEFT(UPPER($EI171),1)="+",LEFT(UPPER($EI171),1)="-"),999),"E+","E"),"E-","E"))=LEN(SUBSTITUTE(SUBSTITUTE(SUBSTITUTE(SUBSTITUTE(MID(UPPER($EI171),1+OR(LEFT(UPPER($EI171),1)="+",LEFT(UPPER($EI171),1)="-"),999),"E+","E"),"E-","E"),"+",""),"-","")),LEN(UPPER($EI171))-LEN(SUBSTITUTE(UPPER($EI171),"E",""))&lt;2,LEN(UPPER($EI171))-LEN(SUBSTITUTE(UPPER($EI171),".",""))&lt;2,IFERROR(FIND(".",UPPER($EI171)),0)&lt;IFERROR(FIND("E",UPPER($EI171)),999)),ISNUMBER(VALUE($EI171)))),1,2)))</f>
        <v/>
      </c>
      <c r="EK171">
        <f>IF($DM171=0,"",IF($EJ171=1,IF(ISNUMBER($EI171),$EI171,VALUE($EI171)),IF($EJ171=2,$DE171,0)))</f>
        <v/>
      </c>
      <c r="EL171">
        <f>IF($DM171=0,"",COUNTIF($EG$5:$EG$1003,"&lt;"&amp;$EG171)+SUMPRODUCT(($EG$5:$EG$1003=$EG171)*(($EJ$5:$EJ$1003&lt;$EJ171)+($EJ$5:$EJ$1003=$EJ171)*(($EK$5:$EK$1003&lt;$EK171)+($EK$5:$EK$1003=$EK171)*($DE$5:$DE$1003&lt;$DE171))))+1)</f>
        <v/>
      </c>
      <c r="EM171">
        <f>IF($DM171=0,"",$EL171+$EG171-1)</f>
        <v/>
      </c>
      <c r="EN171">
        <f>IF($DM171=0,0,IFERROR(MATCH(1,INDEX(--(TRIM(SUBSTITUTE(SUBSTITUTE(SUBSTITUTE(SUBSTITUTE(LINES_NAME&amp;""," "," "),CHAR(9)," "),CHAR(10)," "),CHAR(13)," "))=$DH171),0),0),0))</f>
        <v/>
      </c>
      <c r="EO171">
        <f>IF($EN171=0,0,IF(OR(UPPER(TRIM(INDEX(LINES_SCHEDULED,$EN171)&amp;""))="YES",UPPER(TRIM(INDEX(LINES_SCHEDULED,$EN171)&amp;""))="Y",UPPER(TRIM(INDEX(LINES_SCHEDULED,$EN171)&amp;""))="X"),1,0))</f>
        <v/>
      </c>
      <c r="EP171">
        <f>IF($DM171=0,"",IF(COUNTIFS($EG$5:$EG$1003,$EG171,$EB$5:$EB$1003,"Ready")&gt;0,"READY",IF(COUNTIFS($EG$5:$EG$1003,$EG171,$EB$5:$EB$1003,"PM")&gt;0,"PM",IF(COUNTIFS($EG$5:$EG$1003,$EG171,$EB$5:$EB$1003,"OT")&gt;0,"OT",""))))</f>
        <v/>
      </c>
      <c r="EQ171">
        <f>IF($EN171=0,"",UPPER(TRIM(INDEX(LINES_STATUS,$EN171)&amp;"")))</f>
        <v/>
      </c>
      <c r="ER171">
        <f>IF($DM171=0,"",IF(OR($EQ171="READY",$EQ171="PM",$EQ171="OT"),$EQ171,$EP171))</f>
        <v/>
      </c>
      <c r="ES171">
        <f>IF($DM171=0,"",IF(AND($DV171&lt;&gt;"",UPPER($DV171)&lt;&gt;"N"),"allergen",IF(ISNUMBER(SEARCH("oil",$DQ171)),"oil",IF(OR(EXACT($DS171,"A662"),EXACT($DS171,"A624")),"bulk",""))))</f>
        <v/>
      </c>
      <c r="ET171">
        <f>IF($DM171=0,"",IF(OR($EA171="",$EA171=0),"",$EA171/100))</f>
        <v/>
      </c>
      <c r="EU171">
        <f>IF(OR($ET171="",$DY171=""),"",INT($DY171*(1-$ET171)+0.5))</f>
        <v/>
      </c>
      <c r="EW171" t="n">
        <v>167</v>
      </c>
      <c r="EX171">
        <f>IFERROR(MATCH($EW171,$EM$5:$EM$1003,0),0)</f>
        <v/>
      </c>
      <c r="EY171">
        <f>IF($EW171&gt;$B$12,"",IF($EX171&gt;0,"row","spacer"))</f>
        <v/>
      </c>
      <c r="EZ171">
        <f>IF(AND($EY171="row",$EY170&lt;&gt;"row"),1,0)</f>
        <v/>
      </c>
      <c r="FA171">
        <f>IF(AND($EY171="row",$EY172&lt;&gt;"row"),1,0)</f>
        <v/>
      </c>
      <c r="FB171">
        <f>IF($EZ171=1,IFERROR(IF(ISNUMBER(INDEX(PASTE_ALL,INDEX($DF$5:$DF$1003,$EX171),$B$37)),INDEX(PASTE_ALL,INDEX($DF$5:$DF$1003,$EX171),$B$37),INDEX($DH$5:$DH$1003,$EX171)),INDEX($DH$5:$DH$1003,$EX171)),"")</f>
        <v/>
      </c>
      <c r="FC171">
        <f>IF($EY171="row",INDEX($ER$5:$ER$1003,$EX171),"")</f>
        <v/>
      </c>
      <c r="FD171">
        <f>IF($EY171="row",INDEX($DN$5:$DN$1003,$EX171),"")</f>
        <v/>
      </c>
      <c r="FE171">
        <f>IF($EY171="row",INDEX($DO$5:$DO$1003,$EX171),"")</f>
        <v/>
      </c>
      <c r="FF171">
        <f>IF($EY171="row",INDEX($DP$5:$DP$1003,$EX171),"")</f>
        <v/>
      </c>
      <c r="FG171">
        <f>IF($EY171="row",INDEX($DQ$5:$DQ$1003,$EX171),"")</f>
        <v/>
      </c>
      <c r="FH171">
        <f>IF($EY171="row",INDEX($DR$5:$DR$1003,$EX171),"")</f>
        <v/>
      </c>
      <c r="FI171">
        <f>IF($EY171="row",INDEX($DS$5:$DS$1003,$EX171),"")</f>
        <v/>
      </c>
      <c r="FJ171">
        <f>IF($EY171="row",INDEX($DT$5:$DT$1003,$EX171),"")</f>
        <v/>
      </c>
      <c r="FK171">
        <f>IF($EY171="row",INDEX($DU$5:$DU$1003,$EX171),"")</f>
        <v/>
      </c>
      <c r="FL171">
        <f>IF($EY171="row",INDEX($DV$5:$DV$1003,$EX171),"")</f>
        <v/>
      </c>
      <c r="FM171">
        <f>IF($EY171="row",INDEX($DW$5:$DW$1003,$EX171),"")</f>
        <v/>
      </c>
      <c r="FN171">
        <f>IF($EY171="row",INDEX($DY$5:$DY$1003,$EX171),"")</f>
        <v/>
      </c>
      <c r="FO171">
        <f>IF($EY171="row",INDEX($EA$5:$EA$1003,$EX171),"")</f>
        <v/>
      </c>
      <c r="FP171">
        <f>IF($EY171="row",INDEX($EC$5:$EC$1003,$EX171),"")</f>
        <v/>
      </c>
      <c r="FQ171">
        <f>IF($EY171="row",INDEX($ET$5:$ET$1003,$EX171),"")</f>
        <v/>
      </c>
      <c r="FR171">
        <f>IF($EY171="row",INDEX($EU$5:$EU$1003,$EX171),"")</f>
        <v/>
      </c>
      <c r="FS171">
        <f>IF(AND($EY171="row",$EY170="row"),IF(OR(INDEX($DT$5:$DT$1003,$EX170)="",INDEX($DT$5:$DT$1003,$EX171)=""),"",IF(NOT(EXACT(INDEX($DT$5:$DT$1003,$EX170),INDEX($DT$5:$DT$1003,$EX171))),"S4",IF(NOT(EXACT(INDEX($DS$5:$DS$1003,$EX170),INDEX($DS$5:$DS$1003,$EX171))),"S3",IF(NOT(EXACT(INDEX($DR$5:$DR$1003,$EX170),INDEX($DR$5:$DR$1003,$EX171))),"S1 Count Change","S1")))),"")</f>
        <v/>
      </c>
      <c r="FT171">
        <f>IF($EY171="row",INDEX($ES$5:$ES$1003,$EX171),"")</f>
        <v/>
      </c>
      <c r="FU171">
        <f>IF($EY171="row",INDEX($EO$5:$EO$1003,$EX171),0)</f>
        <v/>
      </c>
      <c r="FV171">
        <f>IF($FS171="S1 Count Change",1,0)</f>
        <v/>
      </c>
    </row>
    <row r="172">
      <c r="Y172">
        <f>IF(Y37="",0,2*(OR(ISNUMBER(FIND("WORKCENTER",Y37)),AND(LEFT(Y37,4)="LINE",NOT(ISNUMBER(FIND("STATUS",Y37))))))+4*(OR(ISNUMBER(FIND("WORKORDER",Y37)),AND(LEFT(Y37,2)="WO",OR(ISNUMBER(FIND("NUM",Y37)),RIGHT(Y37,2)="NO"))))+8*(LEFT(Y37,3)="SEQ")+16*(AND(LEFT(Y37,4)="ITEM",NOT(ISNUMBER(FIND("DESC",Y37)))))+32*(AND(ISNUMBER(FIND("DESC",Y37)),NOT(ISNUMBER(FIND("CAP",Y37)))))+64*(OR(RIGHT(Y37,5)="COUNT",RIGHT(Y37,2)="CT"))+128*(ISNUMBER(FIND("BULK",Y37)))+256*(ISNUMBER(FIND("SIZE",Y37)))+512*(LEFT(Y37,3)="CAP")+1024*(ISNUMBER(FIND("ALLERG",Y37)))+2048*(OR(ISNUMBER(FIND("REMARK",Y37)),ISNUMBER(FIND("COMMENT",Y37))))+4096*(OR(ISNUMBER(FIND("QTY",Y37)),ISNUMBER(FIND("QUANTITY",Y37))))+8192*(AND(OR(ISNUMBER(FIND("COMPLETE",Y37)),ISNUMBER(FIND("PCT",Y37)),ISNUMBER(FIND("PERCENT",Y37))),NOT(ISNUMBER(FIND("ACTUAL",Y37))),LEN(Y37)&lt;=16))+32768*(OR(ISNUMBER(FIND("DESIC",Y37)),ISNUMBER(FIND("DESSIC",Y37)))))</f>
        <v/>
      </c>
      <c r="Z172">
        <f>IF(Z37="",0,2*(OR(ISNUMBER(FIND("WORKCENTER",Z37)),AND(LEFT(Z37,4)="LINE",NOT(ISNUMBER(FIND("STATUS",Z37))))))+4*(OR(ISNUMBER(FIND("WORKORDER",Z37)),AND(LEFT(Z37,2)="WO",OR(ISNUMBER(FIND("NUM",Z37)),RIGHT(Z37,2)="NO"))))+8*(LEFT(Z37,3)="SEQ")+16*(AND(LEFT(Z37,4)="ITEM",NOT(ISNUMBER(FIND("DESC",Z37)))))+32*(AND(ISNUMBER(FIND("DESC",Z37)),NOT(ISNUMBER(FIND("CAP",Z37)))))+64*(OR(RIGHT(Z37,5)="COUNT",RIGHT(Z37,2)="CT"))+128*(ISNUMBER(FIND("BULK",Z37)))+256*(ISNUMBER(FIND("SIZE",Z37)))+512*(LEFT(Z37,3)="CAP")+1024*(ISNUMBER(FIND("ALLERG",Z37)))+2048*(OR(ISNUMBER(FIND("REMARK",Z37)),ISNUMBER(FIND("COMMENT",Z37))))+4096*(OR(ISNUMBER(FIND("QTY",Z37)),ISNUMBER(FIND("QUANTITY",Z37))))+8192*(AND(OR(ISNUMBER(FIND("COMPLETE",Z37)),ISNUMBER(FIND("PCT",Z37)),ISNUMBER(FIND("PERCENT",Z37))),NOT(ISNUMBER(FIND("ACTUAL",Z37))),LEN(Z37)&lt;=16))+32768*(OR(ISNUMBER(FIND("DESIC",Z37)),ISNUMBER(FIND("DESSIC",Z37)))))</f>
        <v/>
      </c>
      <c r="AA172">
        <f>IF(AA37="",0,2*(OR(ISNUMBER(FIND("WORKCENTER",AA37)),AND(LEFT(AA37,4)="LINE",NOT(ISNUMBER(FIND("STATUS",AA37))))))+4*(OR(ISNUMBER(FIND("WORKORDER",AA37)),AND(LEFT(AA37,2)="WO",OR(ISNUMBER(FIND("NUM",AA37)),RIGHT(AA37,2)="NO"))))+8*(LEFT(AA37,3)="SEQ")+16*(AND(LEFT(AA37,4)="ITEM",NOT(ISNUMBER(FIND("DESC",AA37)))))+32*(AND(ISNUMBER(FIND("DESC",AA37)),NOT(ISNUMBER(FIND("CAP",AA37)))))+64*(OR(RIGHT(AA37,5)="COUNT",RIGHT(AA37,2)="CT"))+128*(ISNUMBER(FIND("BULK",AA37)))+256*(ISNUMBER(FIND("SIZE",AA37)))+512*(LEFT(AA37,3)="CAP")+1024*(ISNUMBER(FIND("ALLERG",AA37)))+2048*(OR(ISNUMBER(FIND("REMARK",AA37)),ISNUMBER(FIND("COMMENT",AA37))))+4096*(OR(ISNUMBER(FIND("QTY",AA37)),ISNUMBER(FIND("QUANTITY",AA37))))+8192*(AND(OR(ISNUMBER(FIND("COMPLETE",AA37)),ISNUMBER(FIND("PCT",AA37)),ISNUMBER(FIND("PERCENT",AA37))),NOT(ISNUMBER(FIND("ACTUAL",AA37))),LEN(AA37)&lt;=16))+32768*(OR(ISNUMBER(FIND("DESIC",AA37)),ISNUMBER(FIND("DESSIC",AA37)))))</f>
        <v/>
      </c>
      <c r="AB172">
        <f>IF(AB37="",0,2*(OR(ISNUMBER(FIND("WORKCENTER",AB37)),AND(LEFT(AB37,4)="LINE",NOT(ISNUMBER(FIND("STATUS",AB37))))))+4*(OR(ISNUMBER(FIND("WORKORDER",AB37)),AND(LEFT(AB37,2)="WO",OR(ISNUMBER(FIND("NUM",AB37)),RIGHT(AB37,2)="NO"))))+8*(LEFT(AB37,3)="SEQ")+16*(AND(LEFT(AB37,4)="ITEM",NOT(ISNUMBER(FIND("DESC",AB37)))))+32*(AND(ISNUMBER(FIND("DESC",AB37)),NOT(ISNUMBER(FIND("CAP",AB37)))))+64*(OR(RIGHT(AB37,5)="COUNT",RIGHT(AB37,2)="CT"))+128*(ISNUMBER(FIND("BULK",AB37)))+256*(ISNUMBER(FIND("SIZE",AB37)))+512*(LEFT(AB37,3)="CAP")+1024*(ISNUMBER(FIND("ALLERG",AB37)))+2048*(OR(ISNUMBER(FIND("REMARK",AB37)),ISNUMBER(FIND("COMMENT",AB37))))+4096*(OR(ISNUMBER(FIND("QTY",AB37)),ISNUMBER(FIND("QUANTITY",AB37))))+8192*(AND(OR(ISNUMBER(FIND("COMPLETE",AB37)),ISNUMBER(FIND("PCT",AB37)),ISNUMBER(FIND("PERCENT",AB37))),NOT(ISNUMBER(FIND("ACTUAL",AB37))),LEN(AB37)&lt;=16))+32768*(OR(ISNUMBER(FIND("DESIC",AB37)),ISNUMBER(FIND("DESSIC",AB37)))))</f>
        <v/>
      </c>
      <c r="AC172">
        <f>IF(AC37="",0,2*(OR(ISNUMBER(FIND("WORKCENTER",AC37)),AND(LEFT(AC37,4)="LINE",NOT(ISNUMBER(FIND("STATUS",AC37))))))+4*(OR(ISNUMBER(FIND("WORKORDER",AC37)),AND(LEFT(AC37,2)="WO",OR(ISNUMBER(FIND("NUM",AC37)),RIGHT(AC37,2)="NO"))))+8*(LEFT(AC37,3)="SEQ")+16*(AND(LEFT(AC37,4)="ITEM",NOT(ISNUMBER(FIND("DESC",AC37)))))+32*(AND(ISNUMBER(FIND("DESC",AC37)),NOT(ISNUMBER(FIND("CAP",AC37)))))+64*(OR(RIGHT(AC37,5)="COUNT",RIGHT(AC37,2)="CT"))+128*(ISNUMBER(FIND("BULK",AC37)))+256*(ISNUMBER(FIND("SIZE",AC37)))+512*(LEFT(AC37,3)="CAP")+1024*(ISNUMBER(FIND("ALLERG",AC37)))+2048*(OR(ISNUMBER(FIND("REMARK",AC37)),ISNUMBER(FIND("COMMENT",AC37))))+4096*(OR(ISNUMBER(FIND("QTY",AC37)),ISNUMBER(FIND("QUANTITY",AC37))))+8192*(AND(OR(ISNUMBER(FIND("COMPLETE",AC37)),ISNUMBER(FIND("PCT",AC37)),ISNUMBER(FIND("PERCENT",AC37))),NOT(ISNUMBER(FIND("ACTUAL",AC37))),LEN(AC37)&lt;=16))+32768*(OR(ISNUMBER(FIND("DESIC",AC37)),ISNUMBER(FIND("DESSIC",AC37)))))</f>
        <v/>
      </c>
      <c r="AD172">
        <f>IF(AD37="",0,2*(OR(ISNUMBER(FIND("WORKCENTER",AD37)),AND(LEFT(AD37,4)="LINE",NOT(ISNUMBER(FIND("STATUS",AD37))))))+4*(OR(ISNUMBER(FIND("WORKORDER",AD37)),AND(LEFT(AD37,2)="WO",OR(ISNUMBER(FIND("NUM",AD37)),RIGHT(AD37,2)="NO"))))+8*(LEFT(AD37,3)="SEQ")+16*(AND(LEFT(AD37,4)="ITEM",NOT(ISNUMBER(FIND("DESC",AD37)))))+32*(AND(ISNUMBER(FIND("DESC",AD37)),NOT(ISNUMBER(FIND("CAP",AD37)))))+64*(OR(RIGHT(AD37,5)="COUNT",RIGHT(AD37,2)="CT"))+128*(ISNUMBER(FIND("BULK",AD37)))+256*(ISNUMBER(FIND("SIZE",AD37)))+512*(LEFT(AD37,3)="CAP")+1024*(ISNUMBER(FIND("ALLERG",AD37)))+2048*(OR(ISNUMBER(FIND("REMARK",AD37)),ISNUMBER(FIND("COMMENT",AD37))))+4096*(OR(ISNUMBER(FIND("QTY",AD37)),ISNUMBER(FIND("QUANTITY",AD37))))+8192*(AND(OR(ISNUMBER(FIND("COMPLETE",AD37)),ISNUMBER(FIND("PCT",AD37)),ISNUMBER(FIND("PERCENT",AD37))),NOT(ISNUMBER(FIND("ACTUAL",AD37))),LEN(AD37)&lt;=16))+32768*(OR(ISNUMBER(FIND("DESIC",AD37)),ISNUMBER(FIND("DESSIC",AD37)))))</f>
        <v/>
      </c>
      <c r="AE172">
        <f>IF(AE37="",0,2*(OR(ISNUMBER(FIND("WORKCENTER",AE37)),AND(LEFT(AE37,4)="LINE",NOT(ISNUMBER(FIND("STATUS",AE37))))))+4*(OR(ISNUMBER(FIND("WORKORDER",AE37)),AND(LEFT(AE37,2)="WO",OR(ISNUMBER(FIND("NUM",AE37)),RIGHT(AE37,2)="NO"))))+8*(LEFT(AE37,3)="SEQ")+16*(AND(LEFT(AE37,4)="ITEM",NOT(ISNUMBER(FIND("DESC",AE37)))))+32*(AND(ISNUMBER(FIND("DESC",AE37)),NOT(ISNUMBER(FIND("CAP",AE37)))))+64*(OR(RIGHT(AE37,5)="COUNT",RIGHT(AE37,2)="CT"))+128*(ISNUMBER(FIND("BULK",AE37)))+256*(ISNUMBER(FIND("SIZE",AE37)))+512*(LEFT(AE37,3)="CAP")+1024*(ISNUMBER(FIND("ALLERG",AE37)))+2048*(OR(ISNUMBER(FIND("REMARK",AE37)),ISNUMBER(FIND("COMMENT",AE37))))+4096*(OR(ISNUMBER(FIND("QTY",AE37)),ISNUMBER(FIND("QUANTITY",AE37))))+8192*(AND(OR(ISNUMBER(FIND("COMPLETE",AE37)),ISNUMBER(FIND("PCT",AE37)),ISNUMBER(FIND("PERCENT",AE37))),NOT(ISNUMBER(FIND("ACTUAL",AE37))),LEN(AE37)&lt;=16))+32768*(OR(ISNUMBER(FIND("DESIC",AE37)),ISNUMBER(FIND("DESSIC",AE37)))))</f>
        <v/>
      </c>
      <c r="AF172">
        <f>IF(AF37="",0,2*(OR(ISNUMBER(FIND("WORKCENTER",AF37)),AND(LEFT(AF37,4)="LINE",NOT(ISNUMBER(FIND("STATUS",AF37))))))+4*(OR(ISNUMBER(FIND("WORKORDER",AF37)),AND(LEFT(AF37,2)="WO",OR(ISNUMBER(FIND("NUM",AF37)),RIGHT(AF37,2)="NO"))))+8*(LEFT(AF37,3)="SEQ")+16*(AND(LEFT(AF37,4)="ITEM",NOT(ISNUMBER(FIND("DESC",AF37)))))+32*(AND(ISNUMBER(FIND("DESC",AF37)),NOT(ISNUMBER(FIND("CAP",AF37)))))+64*(OR(RIGHT(AF37,5)="COUNT",RIGHT(AF37,2)="CT"))+128*(ISNUMBER(FIND("BULK",AF37)))+256*(ISNUMBER(FIND("SIZE",AF37)))+512*(LEFT(AF37,3)="CAP")+1024*(ISNUMBER(FIND("ALLERG",AF37)))+2048*(OR(ISNUMBER(FIND("REMARK",AF37)),ISNUMBER(FIND("COMMENT",AF37))))+4096*(OR(ISNUMBER(FIND("QTY",AF37)),ISNUMBER(FIND("QUANTITY",AF37))))+8192*(AND(OR(ISNUMBER(FIND("COMPLETE",AF37)),ISNUMBER(FIND("PCT",AF37)),ISNUMBER(FIND("PERCENT",AF37))),NOT(ISNUMBER(FIND("ACTUAL",AF37))),LEN(AF37)&lt;=16))+32768*(OR(ISNUMBER(FIND("DESIC",AF37)),ISNUMBER(FIND("DESSIC",AF37)))))</f>
        <v/>
      </c>
      <c r="AG172">
        <f>IF(AG37="",0,2*(OR(ISNUMBER(FIND("WORKCENTER",AG37)),AND(LEFT(AG37,4)="LINE",NOT(ISNUMBER(FIND("STATUS",AG37))))))+4*(OR(ISNUMBER(FIND("WORKORDER",AG37)),AND(LEFT(AG37,2)="WO",OR(ISNUMBER(FIND("NUM",AG37)),RIGHT(AG37,2)="NO"))))+8*(LEFT(AG37,3)="SEQ")+16*(AND(LEFT(AG37,4)="ITEM",NOT(ISNUMBER(FIND("DESC",AG37)))))+32*(AND(ISNUMBER(FIND("DESC",AG37)),NOT(ISNUMBER(FIND("CAP",AG37)))))+64*(OR(RIGHT(AG37,5)="COUNT",RIGHT(AG37,2)="CT"))+128*(ISNUMBER(FIND("BULK",AG37)))+256*(ISNUMBER(FIND("SIZE",AG37)))+512*(LEFT(AG37,3)="CAP")+1024*(ISNUMBER(FIND("ALLERG",AG37)))+2048*(OR(ISNUMBER(FIND("REMARK",AG37)),ISNUMBER(FIND("COMMENT",AG37))))+4096*(OR(ISNUMBER(FIND("QTY",AG37)),ISNUMBER(FIND("QUANTITY",AG37))))+8192*(AND(OR(ISNUMBER(FIND("COMPLETE",AG37)),ISNUMBER(FIND("PCT",AG37)),ISNUMBER(FIND("PERCENT",AG37))),NOT(ISNUMBER(FIND("ACTUAL",AG37))),LEN(AG37)&lt;=16))+32768*(OR(ISNUMBER(FIND("DESIC",AG37)),ISNUMBER(FIND("DESSIC",AG37)))))</f>
        <v/>
      </c>
      <c r="AH172">
        <f>IF(AH37="",0,2*(OR(ISNUMBER(FIND("WORKCENTER",AH37)),AND(LEFT(AH37,4)="LINE",NOT(ISNUMBER(FIND("STATUS",AH37))))))+4*(OR(ISNUMBER(FIND("WORKORDER",AH37)),AND(LEFT(AH37,2)="WO",OR(ISNUMBER(FIND("NUM",AH37)),RIGHT(AH37,2)="NO"))))+8*(LEFT(AH37,3)="SEQ")+16*(AND(LEFT(AH37,4)="ITEM",NOT(ISNUMBER(FIND("DESC",AH37)))))+32*(AND(ISNUMBER(FIND("DESC",AH37)),NOT(ISNUMBER(FIND("CAP",AH37)))))+64*(OR(RIGHT(AH37,5)="COUNT",RIGHT(AH37,2)="CT"))+128*(ISNUMBER(FIND("BULK",AH37)))+256*(ISNUMBER(FIND("SIZE",AH37)))+512*(LEFT(AH37,3)="CAP")+1024*(ISNUMBER(FIND("ALLERG",AH37)))+2048*(OR(ISNUMBER(FIND("REMARK",AH37)),ISNUMBER(FIND("COMMENT",AH37))))+4096*(OR(ISNUMBER(FIND("QTY",AH37)),ISNUMBER(FIND("QUANTITY",AH37))))+8192*(AND(OR(ISNUMBER(FIND("COMPLETE",AH37)),ISNUMBER(FIND("PCT",AH37)),ISNUMBER(FIND("PERCENT",AH37))),NOT(ISNUMBER(FIND("ACTUAL",AH37))),LEN(AH37)&lt;=16))+32768*(OR(ISNUMBER(FIND("DESIC",AH37)),ISNUMBER(FIND("DESSIC",AH37)))))</f>
        <v/>
      </c>
      <c r="AI172">
        <f>IF(AI37="",0,2*(OR(ISNUMBER(FIND("WORKCENTER",AI37)),AND(LEFT(AI37,4)="LINE",NOT(ISNUMBER(FIND("STATUS",AI37))))))+4*(OR(ISNUMBER(FIND("WORKORDER",AI37)),AND(LEFT(AI37,2)="WO",OR(ISNUMBER(FIND("NUM",AI37)),RIGHT(AI37,2)="NO"))))+8*(LEFT(AI37,3)="SEQ")+16*(AND(LEFT(AI37,4)="ITEM",NOT(ISNUMBER(FIND("DESC",AI37)))))+32*(AND(ISNUMBER(FIND("DESC",AI37)),NOT(ISNUMBER(FIND("CAP",AI37)))))+64*(OR(RIGHT(AI37,5)="COUNT",RIGHT(AI37,2)="CT"))+128*(ISNUMBER(FIND("BULK",AI37)))+256*(ISNUMBER(FIND("SIZE",AI37)))+512*(LEFT(AI37,3)="CAP")+1024*(ISNUMBER(FIND("ALLERG",AI37)))+2048*(OR(ISNUMBER(FIND("REMARK",AI37)),ISNUMBER(FIND("COMMENT",AI37))))+4096*(OR(ISNUMBER(FIND("QTY",AI37)),ISNUMBER(FIND("QUANTITY",AI37))))+8192*(AND(OR(ISNUMBER(FIND("COMPLETE",AI37)),ISNUMBER(FIND("PCT",AI37)),ISNUMBER(FIND("PERCENT",AI37))),NOT(ISNUMBER(FIND("ACTUAL",AI37))),LEN(AI37)&lt;=16))+32768*(OR(ISNUMBER(FIND("DESIC",AI37)),ISNUMBER(FIND("DESSIC",AI37)))))</f>
        <v/>
      </c>
      <c r="AJ172">
        <f>IF(AJ37="",0,2*(OR(ISNUMBER(FIND("WORKCENTER",AJ37)),AND(LEFT(AJ37,4)="LINE",NOT(ISNUMBER(FIND("STATUS",AJ37))))))+4*(OR(ISNUMBER(FIND("WORKORDER",AJ37)),AND(LEFT(AJ37,2)="WO",OR(ISNUMBER(FIND("NUM",AJ37)),RIGHT(AJ37,2)="NO"))))+8*(LEFT(AJ37,3)="SEQ")+16*(AND(LEFT(AJ37,4)="ITEM",NOT(ISNUMBER(FIND("DESC",AJ37)))))+32*(AND(ISNUMBER(FIND("DESC",AJ37)),NOT(ISNUMBER(FIND("CAP",AJ37)))))+64*(OR(RIGHT(AJ37,5)="COUNT",RIGHT(AJ37,2)="CT"))+128*(ISNUMBER(FIND("BULK",AJ37)))+256*(ISNUMBER(FIND("SIZE",AJ37)))+512*(LEFT(AJ37,3)="CAP")+1024*(ISNUMBER(FIND("ALLERG",AJ37)))+2048*(OR(ISNUMBER(FIND("REMARK",AJ37)),ISNUMBER(FIND("COMMENT",AJ37))))+4096*(OR(ISNUMBER(FIND("QTY",AJ37)),ISNUMBER(FIND("QUANTITY",AJ37))))+8192*(AND(OR(ISNUMBER(FIND("COMPLETE",AJ37)),ISNUMBER(FIND("PCT",AJ37)),ISNUMBER(FIND("PERCENT",AJ37))),NOT(ISNUMBER(FIND("ACTUAL",AJ37))),LEN(AJ37)&lt;=16))+32768*(OR(ISNUMBER(FIND("DESIC",AJ37)),ISNUMBER(FIND("DESSIC",AJ37)))))</f>
        <v/>
      </c>
      <c r="AK172">
        <f>IF(AK37="",0,2*(OR(ISNUMBER(FIND("WORKCENTER",AK37)),AND(LEFT(AK37,4)="LINE",NOT(ISNUMBER(FIND("STATUS",AK37))))))+4*(OR(ISNUMBER(FIND("WORKORDER",AK37)),AND(LEFT(AK37,2)="WO",OR(ISNUMBER(FIND("NUM",AK37)),RIGHT(AK37,2)="NO"))))+8*(LEFT(AK37,3)="SEQ")+16*(AND(LEFT(AK37,4)="ITEM",NOT(ISNUMBER(FIND("DESC",AK37)))))+32*(AND(ISNUMBER(FIND("DESC",AK37)),NOT(ISNUMBER(FIND("CAP",AK37)))))+64*(OR(RIGHT(AK37,5)="COUNT",RIGHT(AK37,2)="CT"))+128*(ISNUMBER(FIND("BULK",AK37)))+256*(ISNUMBER(FIND("SIZE",AK37)))+512*(LEFT(AK37,3)="CAP")+1024*(ISNUMBER(FIND("ALLERG",AK37)))+2048*(OR(ISNUMBER(FIND("REMARK",AK37)),ISNUMBER(FIND("COMMENT",AK37))))+4096*(OR(ISNUMBER(FIND("QTY",AK37)),ISNUMBER(FIND("QUANTITY",AK37))))+8192*(AND(OR(ISNUMBER(FIND("COMPLETE",AK37)),ISNUMBER(FIND("PCT",AK37)),ISNUMBER(FIND("PERCENT",AK37))),NOT(ISNUMBER(FIND("ACTUAL",AK37))),LEN(AK37)&lt;=16))+32768*(OR(ISNUMBER(FIND("DESIC",AK37)),ISNUMBER(FIND("DESSIC",AK37)))))</f>
        <v/>
      </c>
      <c r="AL172">
        <f>IF(AL37="",0,2*(OR(ISNUMBER(FIND("WORKCENTER",AL37)),AND(LEFT(AL37,4)="LINE",NOT(ISNUMBER(FIND("STATUS",AL37))))))+4*(OR(ISNUMBER(FIND("WORKORDER",AL37)),AND(LEFT(AL37,2)="WO",OR(ISNUMBER(FIND("NUM",AL37)),RIGHT(AL37,2)="NO"))))+8*(LEFT(AL37,3)="SEQ")+16*(AND(LEFT(AL37,4)="ITEM",NOT(ISNUMBER(FIND("DESC",AL37)))))+32*(AND(ISNUMBER(FIND("DESC",AL37)),NOT(ISNUMBER(FIND("CAP",AL37)))))+64*(OR(RIGHT(AL37,5)="COUNT",RIGHT(AL37,2)="CT"))+128*(ISNUMBER(FIND("BULK",AL37)))+256*(ISNUMBER(FIND("SIZE",AL37)))+512*(LEFT(AL37,3)="CAP")+1024*(ISNUMBER(FIND("ALLERG",AL37)))+2048*(OR(ISNUMBER(FIND("REMARK",AL37)),ISNUMBER(FIND("COMMENT",AL37))))+4096*(OR(ISNUMBER(FIND("QTY",AL37)),ISNUMBER(FIND("QUANTITY",AL37))))+8192*(AND(OR(ISNUMBER(FIND("COMPLETE",AL37)),ISNUMBER(FIND("PCT",AL37)),ISNUMBER(FIND("PERCENT",AL37))),NOT(ISNUMBER(FIND("ACTUAL",AL37))),LEN(AL37)&lt;=16))+32768*(OR(ISNUMBER(FIND("DESIC",AL37)),ISNUMBER(FIND("DESSIC",AL37)))))</f>
        <v/>
      </c>
      <c r="AM172">
        <f>IF(AM37="",0,2*(OR(ISNUMBER(FIND("WORKCENTER",AM37)),AND(LEFT(AM37,4)="LINE",NOT(ISNUMBER(FIND("STATUS",AM37))))))+4*(OR(ISNUMBER(FIND("WORKORDER",AM37)),AND(LEFT(AM37,2)="WO",OR(ISNUMBER(FIND("NUM",AM37)),RIGHT(AM37,2)="NO"))))+8*(LEFT(AM37,3)="SEQ")+16*(AND(LEFT(AM37,4)="ITEM",NOT(ISNUMBER(FIND("DESC",AM37)))))+32*(AND(ISNUMBER(FIND("DESC",AM37)),NOT(ISNUMBER(FIND("CAP",AM37)))))+64*(OR(RIGHT(AM37,5)="COUNT",RIGHT(AM37,2)="CT"))+128*(ISNUMBER(FIND("BULK",AM37)))+256*(ISNUMBER(FIND("SIZE",AM37)))+512*(LEFT(AM37,3)="CAP")+1024*(ISNUMBER(FIND("ALLERG",AM37)))+2048*(OR(ISNUMBER(FIND("REMARK",AM37)),ISNUMBER(FIND("COMMENT",AM37))))+4096*(OR(ISNUMBER(FIND("QTY",AM37)),ISNUMBER(FIND("QUANTITY",AM37))))+8192*(AND(OR(ISNUMBER(FIND("COMPLETE",AM37)),ISNUMBER(FIND("PCT",AM37)),ISNUMBER(FIND("PERCENT",AM37))),NOT(ISNUMBER(FIND("ACTUAL",AM37))),LEN(AM37)&lt;=16))+32768*(OR(ISNUMBER(FIND("DESIC",AM37)),ISNUMBER(FIND("DESSIC",AM37)))))</f>
        <v/>
      </c>
      <c r="AN172">
        <f>IF(AN37="",0,2*(OR(ISNUMBER(FIND("WORKCENTER",AN37)),AND(LEFT(AN37,4)="LINE",NOT(ISNUMBER(FIND("STATUS",AN37))))))+4*(OR(ISNUMBER(FIND("WORKORDER",AN37)),AND(LEFT(AN37,2)="WO",OR(ISNUMBER(FIND("NUM",AN37)),RIGHT(AN37,2)="NO"))))+8*(LEFT(AN37,3)="SEQ")+16*(AND(LEFT(AN37,4)="ITEM",NOT(ISNUMBER(FIND("DESC",AN37)))))+32*(AND(ISNUMBER(FIND("DESC",AN37)),NOT(ISNUMBER(FIND("CAP",AN37)))))+64*(OR(RIGHT(AN37,5)="COUNT",RIGHT(AN37,2)="CT"))+128*(ISNUMBER(FIND("BULK",AN37)))+256*(ISNUMBER(FIND("SIZE",AN37)))+512*(LEFT(AN37,3)="CAP")+1024*(ISNUMBER(FIND("ALLERG",AN37)))+2048*(OR(ISNUMBER(FIND("REMARK",AN37)),ISNUMBER(FIND("COMMENT",AN37))))+4096*(OR(ISNUMBER(FIND("QTY",AN37)),ISNUMBER(FIND("QUANTITY",AN37))))+8192*(AND(OR(ISNUMBER(FIND("COMPLETE",AN37)),ISNUMBER(FIND("PCT",AN37)),ISNUMBER(FIND("PERCENT",AN37))),NOT(ISNUMBER(FIND("ACTUAL",AN37))),LEN(AN37)&lt;=16))+32768*(OR(ISNUMBER(FIND("DESIC",AN37)),ISNUMBER(FIND("DESSIC",AN37)))))</f>
        <v/>
      </c>
      <c r="AO172">
        <f>IF(AO37="",0,2*(OR(ISNUMBER(FIND("WORKCENTER",AO37)),AND(LEFT(AO37,4)="LINE",NOT(ISNUMBER(FIND("STATUS",AO37))))))+4*(OR(ISNUMBER(FIND("WORKORDER",AO37)),AND(LEFT(AO37,2)="WO",OR(ISNUMBER(FIND("NUM",AO37)),RIGHT(AO37,2)="NO"))))+8*(LEFT(AO37,3)="SEQ")+16*(AND(LEFT(AO37,4)="ITEM",NOT(ISNUMBER(FIND("DESC",AO37)))))+32*(AND(ISNUMBER(FIND("DESC",AO37)),NOT(ISNUMBER(FIND("CAP",AO37)))))+64*(OR(RIGHT(AO37,5)="COUNT",RIGHT(AO37,2)="CT"))+128*(ISNUMBER(FIND("BULK",AO37)))+256*(ISNUMBER(FIND("SIZE",AO37)))+512*(LEFT(AO37,3)="CAP")+1024*(ISNUMBER(FIND("ALLERG",AO37)))+2048*(OR(ISNUMBER(FIND("REMARK",AO37)),ISNUMBER(FIND("COMMENT",AO37))))+4096*(OR(ISNUMBER(FIND("QTY",AO37)),ISNUMBER(FIND("QUANTITY",AO37))))+8192*(AND(OR(ISNUMBER(FIND("COMPLETE",AO37)),ISNUMBER(FIND("PCT",AO37)),ISNUMBER(FIND("PERCENT",AO37))),NOT(ISNUMBER(FIND("ACTUAL",AO37))),LEN(AO37)&lt;=16))+32768*(OR(ISNUMBER(FIND("DESIC",AO37)),ISNUMBER(FIND("DESSIC",AO37)))))</f>
        <v/>
      </c>
      <c r="AP172">
        <f>IF(AP37="",0,2*(OR(ISNUMBER(FIND("WORKCENTER",AP37)),AND(LEFT(AP37,4)="LINE",NOT(ISNUMBER(FIND("STATUS",AP37))))))+4*(OR(ISNUMBER(FIND("WORKORDER",AP37)),AND(LEFT(AP37,2)="WO",OR(ISNUMBER(FIND("NUM",AP37)),RIGHT(AP37,2)="NO"))))+8*(LEFT(AP37,3)="SEQ")+16*(AND(LEFT(AP37,4)="ITEM",NOT(ISNUMBER(FIND("DESC",AP37)))))+32*(AND(ISNUMBER(FIND("DESC",AP37)),NOT(ISNUMBER(FIND("CAP",AP37)))))+64*(OR(RIGHT(AP37,5)="COUNT",RIGHT(AP37,2)="CT"))+128*(ISNUMBER(FIND("BULK",AP37)))+256*(ISNUMBER(FIND("SIZE",AP37)))+512*(LEFT(AP37,3)="CAP")+1024*(ISNUMBER(FIND("ALLERG",AP37)))+2048*(OR(ISNUMBER(FIND("REMARK",AP37)),ISNUMBER(FIND("COMMENT",AP37))))+4096*(OR(ISNUMBER(FIND("QTY",AP37)),ISNUMBER(FIND("QUANTITY",AP37))))+8192*(AND(OR(ISNUMBER(FIND("COMPLETE",AP37)),ISNUMBER(FIND("PCT",AP37)),ISNUMBER(FIND("PERCENT",AP37))),NOT(ISNUMBER(FIND("ACTUAL",AP37))),LEN(AP37)&lt;=16))+32768*(OR(ISNUMBER(FIND("DESIC",AP37)),ISNUMBER(FIND("DESSIC",AP37)))))</f>
        <v/>
      </c>
      <c r="AQ172">
        <f>IF(AQ37="",0,2*(OR(ISNUMBER(FIND("WORKCENTER",AQ37)),AND(LEFT(AQ37,4)="LINE",NOT(ISNUMBER(FIND("STATUS",AQ37))))))+4*(OR(ISNUMBER(FIND("WORKORDER",AQ37)),AND(LEFT(AQ37,2)="WO",OR(ISNUMBER(FIND("NUM",AQ37)),RIGHT(AQ37,2)="NO"))))+8*(LEFT(AQ37,3)="SEQ")+16*(AND(LEFT(AQ37,4)="ITEM",NOT(ISNUMBER(FIND("DESC",AQ37)))))+32*(AND(ISNUMBER(FIND("DESC",AQ37)),NOT(ISNUMBER(FIND("CAP",AQ37)))))+64*(OR(RIGHT(AQ37,5)="COUNT",RIGHT(AQ37,2)="CT"))+128*(ISNUMBER(FIND("BULK",AQ37)))+256*(ISNUMBER(FIND("SIZE",AQ37)))+512*(LEFT(AQ37,3)="CAP")+1024*(ISNUMBER(FIND("ALLERG",AQ37)))+2048*(OR(ISNUMBER(FIND("REMARK",AQ37)),ISNUMBER(FIND("COMMENT",AQ37))))+4096*(OR(ISNUMBER(FIND("QTY",AQ37)),ISNUMBER(FIND("QUANTITY",AQ37))))+8192*(AND(OR(ISNUMBER(FIND("COMPLETE",AQ37)),ISNUMBER(FIND("PCT",AQ37)),ISNUMBER(FIND("PERCENT",AQ37))),NOT(ISNUMBER(FIND("ACTUAL",AQ37))),LEN(AQ37)&lt;=16))+32768*(OR(ISNUMBER(FIND("DESIC",AQ37)),ISNUMBER(FIND("DESSIC",AQ37)))))</f>
        <v/>
      </c>
      <c r="AR172">
        <f>IF(AR37="",0,2*(OR(ISNUMBER(FIND("WORKCENTER",AR37)),AND(LEFT(AR37,4)="LINE",NOT(ISNUMBER(FIND("STATUS",AR37))))))+4*(OR(ISNUMBER(FIND("WORKORDER",AR37)),AND(LEFT(AR37,2)="WO",OR(ISNUMBER(FIND("NUM",AR37)),RIGHT(AR37,2)="NO"))))+8*(LEFT(AR37,3)="SEQ")+16*(AND(LEFT(AR37,4)="ITEM",NOT(ISNUMBER(FIND("DESC",AR37)))))+32*(AND(ISNUMBER(FIND("DESC",AR37)),NOT(ISNUMBER(FIND("CAP",AR37)))))+64*(OR(RIGHT(AR37,5)="COUNT",RIGHT(AR37,2)="CT"))+128*(ISNUMBER(FIND("BULK",AR37)))+256*(ISNUMBER(FIND("SIZE",AR37)))+512*(LEFT(AR37,3)="CAP")+1024*(ISNUMBER(FIND("ALLERG",AR37)))+2048*(OR(ISNUMBER(FIND("REMARK",AR37)),ISNUMBER(FIND("COMMENT",AR37))))+4096*(OR(ISNUMBER(FIND("QTY",AR37)),ISNUMBER(FIND("QUANTITY",AR37))))+8192*(AND(OR(ISNUMBER(FIND("COMPLETE",AR37)),ISNUMBER(FIND("PCT",AR37)),ISNUMBER(FIND("PERCENT",AR37))),NOT(ISNUMBER(FIND("ACTUAL",AR37))),LEN(AR37)&lt;=16))+32768*(OR(ISNUMBER(FIND("DESIC",AR37)),ISNUMBER(FIND("DESSIC",AR37)))))</f>
        <v/>
      </c>
      <c r="AS172">
        <f>IF(AS37="",0,2*(OR(ISNUMBER(FIND("WORKCENTER",AS37)),AND(LEFT(AS37,4)="LINE",NOT(ISNUMBER(FIND("STATUS",AS37))))))+4*(OR(ISNUMBER(FIND("WORKORDER",AS37)),AND(LEFT(AS37,2)="WO",OR(ISNUMBER(FIND("NUM",AS37)),RIGHT(AS37,2)="NO"))))+8*(LEFT(AS37,3)="SEQ")+16*(AND(LEFT(AS37,4)="ITEM",NOT(ISNUMBER(FIND("DESC",AS37)))))+32*(AND(ISNUMBER(FIND("DESC",AS37)),NOT(ISNUMBER(FIND("CAP",AS37)))))+64*(OR(RIGHT(AS37,5)="COUNT",RIGHT(AS37,2)="CT"))+128*(ISNUMBER(FIND("BULK",AS37)))+256*(ISNUMBER(FIND("SIZE",AS37)))+512*(LEFT(AS37,3)="CAP")+1024*(ISNUMBER(FIND("ALLERG",AS37)))+2048*(OR(ISNUMBER(FIND("REMARK",AS37)),ISNUMBER(FIND("COMMENT",AS37))))+4096*(OR(ISNUMBER(FIND("QTY",AS37)),ISNUMBER(FIND("QUANTITY",AS37))))+8192*(AND(OR(ISNUMBER(FIND("COMPLETE",AS37)),ISNUMBER(FIND("PCT",AS37)),ISNUMBER(FIND("PERCENT",AS37))),NOT(ISNUMBER(FIND("ACTUAL",AS37))),LEN(AS37)&lt;=16))+32768*(OR(ISNUMBER(FIND("DESIC",AS37)),ISNUMBER(FIND("DESSIC",AS37)))))</f>
        <v/>
      </c>
      <c r="AT172">
        <f>IF(AT37="",0,2*(OR(ISNUMBER(FIND("WORKCENTER",AT37)),AND(LEFT(AT37,4)="LINE",NOT(ISNUMBER(FIND("STATUS",AT37))))))+4*(OR(ISNUMBER(FIND("WORKORDER",AT37)),AND(LEFT(AT37,2)="WO",OR(ISNUMBER(FIND("NUM",AT37)),RIGHT(AT37,2)="NO"))))+8*(LEFT(AT37,3)="SEQ")+16*(AND(LEFT(AT37,4)="ITEM",NOT(ISNUMBER(FIND("DESC",AT37)))))+32*(AND(ISNUMBER(FIND("DESC",AT37)),NOT(ISNUMBER(FIND("CAP",AT37)))))+64*(OR(RIGHT(AT37,5)="COUNT",RIGHT(AT37,2)="CT"))+128*(ISNUMBER(FIND("BULK",AT37)))+256*(ISNUMBER(FIND("SIZE",AT37)))+512*(LEFT(AT37,3)="CAP")+1024*(ISNUMBER(FIND("ALLERG",AT37)))+2048*(OR(ISNUMBER(FIND("REMARK",AT37)),ISNUMBER(FIND("COMMENT",AT37))))+4096*(OR(ISNUMBER(FIND("QTY",AT37)),ISNUMBER(FIND("QUANTITY",AT37))))+8192*(AND(OR(ISNUMBER(FIND("COMPLETE",AT37)),ISNUMBER(FIND("PCT",AT37)),ISNUMBER(FIND("PERCENT",AT37))),NOT(ISNUMBER(FIND("ACTUAL",AT37))),LEN(AT37)&lt;=16))+32768*(OR(ISNUMBER(FIND("DESIC",AT37)),ISNUMBER(FIND("DESSIC",AT37)))))</f>
        <v/>
      </c>
      <c r="AU172">
        <f>IF(AU37="",0,2*(OR(ISNUMBER(FIND("WORKCENTER",AU37)),AND(LEFT(AU37,4)="LINE",NOT(ISNUMBER(FIND("STATUS",AU37))))))+4*(OR(ISNUMBER(FIND("WORKORDER",AU37)),AND(LEFT(AU37,2)="WO",OR(ISNUMBER(FIND("NUM",AU37)),RIGHT(AU37,2)="NO"))))+8*(LEFT(AU37,3)="SEQ")+16*(AND(LEFT(AU37,4)="ITEM",NOT(ISNUMBER(FIND("DESC",AU37)))))+32*(AND(ISNUMBER(FIND("DESC",AU37)),NOT(ISNUMBER(FIND("CAP",AU37)))))+64*(OR(RIGHT(AU37,5)="COUNT",RIGHT(AU37,2)="CT"))+128*(ISNUMBER(FIND("BULK",AU37)))+256*(ISNUMBER(FIND("SIZE",AU37)))+512*(LEFT(AU37,3)="CAP")+1024*(ISNUMBER(FIND("ALLERG",AU37)))+2048*(OR(ISNUMBER(FIND("REMARK",AU37)),ISNUMBER(FIND("COMMENT",AU37))))+4096*(OR(ISNUMBER(FIND("QTY",AU37)),ISNUMBER(FIND("QUANTITY",AU37))))+8192*(AND(OR(ISNUMBER(FIND("COMPLETE",AU37)),ISNUMBER(FIND("PCT",AU37)),ISNUMBER(FIND("PERCENT",AU37))),NOT(ISNUMBER(FIND("ACTUAL",AU37))),LEN(AU37)&lt;=16))+32768*(OR(ISNUMBER(FIND("DESIC",AU37)),ISNUMBER(FIND("DESSIC",AU37)))))</f>
        <v/>
      </c>
      <c r="AV172">
        <f>IF(AV37="",0,2*(OR(ISNUMBER(FIND("WORKCENTER",AV37)),AND(LEFT(AV37,4)="LINE",NOT(ISNUMBER(FIND("STATUS",AV37))))))+4*(OR(ISNUMBER(FIND("WORKORDER",AV37)),AND(LEFT(AV37,2)="WO",OR(ISNUMBER(FIND("NUM",AV37)),RIGHT(AV37,2)="NO"))))+8*(LEFT(AV37,3)="SEQ")+16*(AND(LEFT(AV37,4)="ITEM",NOT(ISNUMBER(FIND("DESC",AV37)))))+32*(AND(ISNUMBER(FIND("DESC",AV37)),NOT(ISNUMBER(FIND("CAP",AV37)))))+64*(OR(RIGHT(AV37,5)="COUNT",RIGHT(AV37,2)="CT"))+128*(ISNUMBER(FIND("BULK",AV37)))+256*(ISNUMBER(FIND("SIZE",AV37)))+512*(LEFT(AV37,3)="CAP")+1024*(ISNUMBER(FIND("ALLERG",AV37)))+2048*(OR(ISNUMBER(FIND("REMARK",AV37)),ISNUMBER(FIND("COMMENT",AV37))))+4096*(OR(ISNUMBER(FIND("QTY",AV37)),ISNUMBER(FIND("QUANTITY",AV37))))+8192*(AND(OR(ISNUMBER(FIND("COMPLETE",AV37)),ISNUMBER(FIND("PCT",AV37)),ISNUMBER(FIND("PERCENT",AV37))),NOT(ISNUMBER(FIND("ACTUAL",AV37))),LEN(AV37)&lt;=16))+32768*(OR(ISNUMBER(FIND("DESIC",AV37)),ISNUMBER(FIND("DESSIC",AV37)))))</f>
        <v/>
      </c>
      <c r="AW172">
        <f>IF(AW37="",0,2*(OR(ISNUMBER(FIND("WORKCENTER",AW37)),AND(LEFT(AW37,4)="LINE",NOT(ISNUMBER(FIND("STATUS",AW37))))))+4*(OR(ISNUMBER(FIND("WORKORDER",AW37)),AND(LEFT(AW37,2)="WO",OR(ISNUMBER(FIND("NUM",AW37)),RIGHT(AW37,2)="NO"))))+8*(LEFT(AW37,3)="SEQ")+16*(AND(LEFT(AW37,4)="ITEM",NOT(ISNUMBER(FIND("DESC",AW37)))))+32*(AND(ISNUMBER(FIND("DESC",AW37)),NOT(ISNUMBER(FIND("CAP",AW37)))))+64*(OR(RIGHT(AW37,5)="COUNT",RIGHT(AW37,2)="CT"))+128*(ISNUMBER(FIND("BULK",AW37)))+256*(ISNUMBER(FIND("SIZE",AW37)))+512*(LEFT(AW37,3)="CAP")+1024*(ISNUMBER(FIND("ALLERG",AW37)))+2048*(OR(ISNUMBER(FIND("REMARK",AW37)),ISNUMBER(FIND("COMMENT",AW37))))+4096*(OR(ISNUMBER(FIND("QTY",AW37)),ISNUMBER(FIND("QUANTITY",AW37))))+8192*(AND(OR(ISNUMBER(FIND("COMPLETE",AW37)),ISNUMBER(FIND("PCT",AW37)),ISNUMBER(FIND("PERCENT",AW37))),NOT(ISNUMBER(FIND("ACTUAL",AW37))),LEN(AW37)&lt;=16))+32768*(OR(ISNUMBER(FIND("DESIC",AW37)),ISNUMBER(FIND("DESSIC",AW37)))))</f>
        <v/>
      </c>
      <c r="AX172">
        <f>IF(AX37="",0,2*(OR(ISNUMBER(FIND("WORKCENTER",AX37)),AND(LEFT(AX37,4)="LINE",NOT(ISNUMBER(FIND("STATUS",AX37))))))+4*(OR(ISNUMBER(FIND("WORKORDER",AX37)),AND(LEFT(AX37,2)="WO",OR(ISNUMBER(FIND("NUM",AX37)),RIGHT(AX37,2)="NO"))))+8*(LEFT(AX37,3)="SEQ")+16*(AND(LEFT(AX37,4)="ITEM",NOT(ISNUMBER(FIND("DESC",AX37)))))+32*(AND(ISNUMBER(FIND("DESC",AX37)),NOT(ISNUMBER(FIND("CAP",AX37)))))+64*(OR(RIGHT(AX37,5)="COUNT",RIGHT(AX37,2)="CT"))+128*(ISNUMBER(FIND("BULK",AX37)))+256*(ISNUMBER(FIND("SIZE",AX37)))+512*(LEFT(AX37,3)="CAP")+1024*(ISNUMBER(FIND("ALLERG",AX37)))+2048*(OR(ISNUMBER(FIND("REMARK",AX37)),ISNUMBER(FIND("COMMENT",AX37))))+4096*(OR(ISNUMBER(FIND("QTY",AX37)),ISNUMBER(FIND("QUANTITY",AX37))))+8192*(AND(OR(ISNUMBER(FIND("COMPLETE",AX37)),ISNUMBER(FIND("PCT",AX37)),ISNUMBER(FIND("PERCENT",AX37))),NOT(ISNUMBER(FIND("ACTUAL",AX37))),LEN(AX37)&lt;=16))+32768*(OR(ISNUMBER(FIND("DESIC",AX37)),ISNUMBER(FIND("DESSIC",AX37)))))</f>
        <v/>
      </c>
      <c r="AY172">
        <f>IF(AY37="",0,2*(OR(ISNUMBER(FIND("WORKCENTER",AY37)),AND(LEFT(AY37,4)="LINE",NOT(ISNUMBER(FIND("STATUS",AY37))))))+4*(OR(ISNUMBER(FIND("WORKORDER",AY37)),AND(LEFT(AY37,2)="WO",OR(ISNUMBER(FIND("NUM",AY37)),RIGHT(AY37,2)="NO"))))+8*(LEFT(AY37,3)="SEQ")+16*(AND(LEFT(AY37,4)="ITEM",NOT(ISNUMBER(FIND("DESC",AY37)))))+32*(AND(ISNUMBER(FIND("DESC",AY37)),NOT(ISNUMBER(FIND("CAP",AY37)))))+64*(OR(RIGHT(AY37,5)="COUNT",RIGHT(AY37,2)="CT"))+128*(ISNUMBER(FIND("BULK",AY37)))+256*(ISNUMBER(FIND("SIZE",AY37)))+512*(LEFT(AY37,3)="CAP")+1024*(ISNUMBER(FIND("ALLERG",AY37)))+2048*(OR(ISNUMBER(FIND("REMARK",AY37)),ISNUMBER(FIND("COMMENT",AY37))))+4096*(OR(ISNUMBER(FIND("QTY",AY37)),ISNUMBER(FIND("QUANTITY",AY37))))+8192*(AND(OR(ISNUMBER(FIND("COMPLETE",AY37)),ISNUMBER(FIND("PCT",AY37)),ISNUMBER(FIND("PERCENT",AY37))),NOT(ISNUMBER(FIND("ACTUAL",AY37))),LEN(AY37)&lt;=16))+32768*(OR(ISNUMBER(FIND("DESIC",AY37)),ISNUMBER(FIND("DESSIC",AY37)))))</f>
        <v/>
      </c>
      <c r="AZ172">
        <f>IF(AZ37="",0,2*(OR(ISNUMBER(FIND("WORKCENTER",AZ37)),AND(LEFT(AZ37,4)="LINE",NOT(ISNUMBER(FIND("STATUS",AZ37))))))+4*(OR(ISNUMBER(FIND("WORKORDER",AZ37)),AND(LEFT(AZ37,2)="WO",OR(ISNUMBER(FIND("NUM",AZ37)),RIGHT(AZ37,2)="NO"))))+8*(LEFT(AZ37,3)="SEQ")+16*(AND(LEFT(AZ37,4)="ITEM",NOT(ISNUMBER(FIND("DESC",AZ37)))))+32*(AND(ISNUMBER(FIND("DESC",AZ37)),NOT(ISNUMBER(FIND("CAP",AZ37)))))+64*(OR(RIGHT(AZ37,5)="COUNT",RIGHT(AZ37,2)="CT"))+128*(ISNUMBER(FIND("BULK",AZ37)))+256*(ISNUMBER(FIND("SIZE",AZ37)))+512*(LEFT(AZ37,3)="CAP")+1024*(ISNUMBER(FIND("ALLERG",AZ37)))+2048*(OR(ISNUMBER(FIND("REMARK",AZ37)),ISNUMBER(FIND("COMMENT",AZ37))))+4096*(OR(ISNUMBER(FIND("QTY",AZ37)),ISNUMBER(FIND("QUANTITY",AZ37))))+8192*(AND(OR(ISNUMBER(FIND("COMPLETE",AZ37)),ISNUMBER(FIND("PCT",AZ37)),ISNUMBER(FIND("PERCENT",AZ37))),NOT(ISNUMBER(FIND("ACTUAL",AZ37))),LEN(AZ37)&lt;=16))+32768*(OR(ISNUMBER(FIND("DESIC",AZ37)),ISNUMBER(FIND("DESSIC",AZ37)))))</f>
        <v/>
      </c>
      <c r="BA172">
        <f>IF(BA37="",0,2*(OR(ISNUMBER(FIND("WORKCENTER",BA37)),AND(LEFT(BA37,4)="LINE",NOT(ISNUMBER(FIND("STATUS",BA37))))))+4*(OR(ISNUMBER(FIND("WORKORDER",BA37)),AND(LEFT(BA37,2)="WO",OR(ISNUMBER(FIND("NUM",BA37)),RIGHT(BA37,2)="NO"))))+8*(LEFT(BA37,3)="SEQ")+16*(AND(LEFT(BA37,4)="ITEM",NOT(ISNUMBER(FIND("DESC",BA37)))))+32*(AND(ISNUMBER(FIND("DESC",BA37)),NOT(ISNUMBER(FIND("CAP",BA37)))))+64*(OR(RIGHT(BA37,5)="COUNT",RIGHT(BA37,2)="CT"))+128*(ISNUMBER(FIND("BULK",BA37)))+256*(ISNUMBER(FIND("SIZE",BA37)))+512*(LEFT(BA37,3)="CAP")+1024*(ISNUMBER(FIND("ALLERG",BA37)))+2048*(OR(ISNUMBER(FIND("REMARK",BA37)),ISNUMBER(FIND("COMMENT",BA37))))+4096*(OR(ISNUMBER(FIND("QTY",BA37)),ISNUMBER(FIND("QUANTITY",BA37))))+8192*(AND(OR(ISNUMBER(FIND("COMPLETE",BA37)),ISNUMBER(FIND("PCT",BA37)),ISNUMBER(FIND("PERCENT",BA37))),NOT(ISNUMBER(FIND("ACTUAL",BA37))),LEN(BA37)&lt;=16))+32768*(OR(ISNUMBER(FIND("DESIC",BA37)),ISNUMBER(FIND("DESSIC",BA37)))))</f>
        <v/>
      </c>
      <c r="BB172">
        <f>IF(BB37="",0,2*(OR(ISNUMBER(FIND("WORKCENTER",BB37)),AND(LEFT(BB37,4)="LINE",NOT(ISNUMBER(FIND("STATUS",BB37))))))+4*(OR(ISNUMBER(FIND("WORKORDER",BB37)),AND(LEFT(BB37,2)="WO",OR(ISNUMBER(FIND("NUM",BB37)),RIGHT(BB37,2)="NO"))))+8*(LEFT(BB37,3)="SEQ")+16*(AND(LEFT(BB37,4)="ITEM",NOT(ISNUMBER(FIND("DESC",BB37)))))+32*(AND(ISNUMBER(FIND("DESC",BB37)),NOT(ISNUMBER(FIND("CAP",BB37)))))+64*(OR(RIGHT(BB37,5)="COUNT",RIGHT(BB37,2)="CT"))+128*(ISNUMBER(FIND("BULK",BB37)))+256*(ISNUMBER(FIND("SIZE",BB37)))+512*(LEFT(BB37,3)="CAP")+1024*(ISNUMBER(FIND("ALLERG",BB37)))+2048*(OR(ISNUMBER(FIND("REMARK",BB37)),ISNUMBER(FIND("COMMENT",BB37))))+4096*(OR(ISNUMBER(FIND("QTY",BB37)),ISNUMBER(FIND("QUANTITY",BB37))))+8192*(AND(OR(ISNUMBER(FIND("COMPLETE",BB37)),ISNUMBER(FIND("PCT",BB37)),ISNUMBER(FIND("PERCENT",BB37))),NOT(ISNUMBER(FIND("ACTUAL",BB37))),LEN(BB37)&lt;=16))+32768*(OR(ISNUMBER(FIND("DESIC",BB37)),ISNUMBER(FIND("DESSIC",BB37)))))</f>
        <v/>
      </c>
      <c r="BC172">
        <f>IF(BC37="",0,2*(OR(ISNUMBER(FIND("WORKCENTER",BC37)),AND(LEFT(BC37,4)="LINE",NOT(ISNUMBER(FIND("STATUS",BC37))))))+4*(OR(ISNUMBER(FIND("WORKORDER",BC37)),AND(LEFT(BC37,2)="WO",OR(ISNUMBER(FIND("NUM",BC37)),RIGHT(BC37,2)="NO"))))+8*(LEFT(BC37,3)="SEQ")+16*(AND(LEFT(BC37,4)="ITEM",NOT(ISNUMBER(FIND("DESC",BC37)))))+32*(AND(ISNUMBER(FIND("DESC",BC37)),NOT(ISNUMBER(FIND("CAP",BC37)))))+64*(OR(RIGHT(BC37,5)="COUNT",RIGHT(BC37,2)="CT"))+128*(ISNUMBER(FIND("BULK",BC37)))+256*(ISNUMBER(FIND("SIZE",BC37)))+512*(LEFT(BC37,3)="CAP")+1024*(ISNUMBER(FIND("ALLERG",BC37)))+2048*(OR(ISNUMBER(FIND("REMARK",BC37)),ISNUMBER(FIND("COMMENT",BC37))))+4096*(OR(ISNUMBER(FIND("QTY",BC37)),ISNUMBER(FIND("QUANTITY",BC37))))+8192*(AND(OR(ISNUMBER(FIND("COMPLETE",BC37)),ISNUMBER(FIND("PCT",BC37)),ISNUMBER(FIND("PERCENT",BC37))),NOT(ISNUMBER(FIND("ACTUAL",BC37))),LEN(BC37)&lt;=16))+32768*(OR(ISNUMBER(FIND("DESIC",BC37)),ISNUMBER(FIND("DESSIC",BC37)))))</f>
        <v/>
      </c>
      <c r="BD172">
        <f>IF(BD37="",0,2*(OR(ISNUMBER(FIND("WORKCENTER",BD37)),AND(LEFT(BD37,4)="LINE",NOT(ISNUMBER(FIND("STATUS",BD37))))))+4*(OR(ISNUMBER(FIND("WORKORDER",BD37)),AND(LEFT(BD37,2)="WO",OR(ISNUMBER(FIND("NUM",BD37)),RIGHT(BD37,2)="NO"))))+8*(LEFT(BD37,3)="SEQ")+16*(AND(LEFT(BD37,4)="ITEM",NOT(ISNUMBER(FIND("DESC",BD37)))))+32*(AND(ISNUMBER(FIND("DESC",BD37)),NOT(ISNUMBER(FIND("CAP",BD37)))))+64*(OR(RIGHT(BD37,5)="COUNT",RIGHT(BD37,2)="CT"))+128*(ISNUMBER(FIND("BULK",BD37)))+256*(ISNUMBER(FIND("SIZE",BD37)))+512*(LEFT(BD37,3)="CAP")+1024*(ISNUMBER(FIND("ALLERG",BD37)))+2048*(OR(ISNUMBER(FIND("REMARK",BD37)),ISNUMBER(FIND("COMMENT",BD37))))+4096*(OR(ISNUMBER(FIND("QTY",BD37)),ISNUMBER(FIND("QUANTITY",BD37))))+8192*(AND(OR(ISNUMBER(FIND("COMPLETE",BD37)),ISNUMBER(FIND("PCT",BD37)),ISNUMBER(FIND("PERCENT",BD37))),NOT(ISNUMBER(FIND("ACTUAL",BD37))),LEN(BD37)&lt;=16))+32768*(OR(ISNUMBER(FIND("DESIC",BD37)),ISNUMBER(FIND("DESSIC",BD37)))))</f>
        <v/>
      </c>
      <c r="BE172">
        <f>IF(BE37="",0,2*(OR(ISNUMBER(FIND("WORKCENTER",BE37)),AND(LEFT(BE37,4)="LINE",NOT(ISNUMBER(FIND("STATUS",BE37))))))+4*(OR(ISNUMBER(FIND("WORKORDER",BE37)),AND(LEFT(BE37,2)="WO",OR(ISNUMBER(FIND("NUM",BE37)),RIGHT(BE37,2)="NO"))))+8*(LEFT(BE37,3)="SEQ")+16*(AND(LEFT(BE37,4)="ITEM",NOT(ISNUMBER(FIND("DESC",BE37)))))+32*(AND(ISNUMBER(FIND("DESC",BE37)),NOT(ISNUMBER(FIND("CAP",BE37)))))+64*(OR(RIGHT(BE37,5)="COUNT",RIGHT(BE37,2)="CT"))+128*(ISNUMBER(FIND("BULK",BE37)))+256*(ISNUMBER(FIND("SIZE",BE37)))+512*(LEFT(BE37,3)="CAP")+1024*(ISNUMBER(FIND("ALLERG",BE37)))+2048*(OR(ISNUMBER(FIND("REMARK",BE37)),ISNUMBER(FIND("COMMENT",BE37))))+4096*(OR(ISNUMBER(FIND("QTY",BE37)),ISNUMBER(FIND("QUANTITY",BE37))))+8192*(AND(OR(ISNUMBER(FIND("COMPLETE",BE37)),ISNUMBER(FIND("PCT",BE37)),ISNUMBER(FIND("PERCENT",BE37))),NOT(ISNUMBER(FIND("ACTUAL",BE37))),LEN(BE37)&lt;=16))+32768*(OR(ISNUMBER(FIND("DESIC",BE37)),ISNUMBER(FIND("DESSIC",BE37)))))</f>
        <v/>
      </c>
      <c r="BF172">
        <f>IF(BF37="",0,2*(OR(ISNUMBER(FIND("WORKCENTER",BF37)),AND(LEFT(BF37,4)="LINE",NOT(ISNUMBER(FIND("STATUS",BF37))))))+4*(OR(ISNUMBER(FIND("WORKORDER",BF37)),AND(LEFT(BF37,2)="WO",OR(ISNUMBER(FIND("NUM",BF37)),RIGHT(BF37,2)="NO"))))+8*(LEFT(BF37,3)="SEQ")+16*(AND(LEFT(BF37,4)="ITEM",NOT(ISNUMBER(FIND("DESC",BF37)))))+32*(AND(ISNUMBER(FIND("DESC",BF37)),NOT(ISNUMBER(FIND("CAP",BF37)))))+64*(OR(RIGHT(BF37,5)="COUNT",RIGHT(BF37,2)="CT"))+128*(ISNUMBER(FIND("BULK",BF37)))+256*(ISNUMBER(FIND("SIZE",BF37)))+512*(LEFT(BF37,3)="CAP")+1024*(ISNUMBER(FIND("ALLERG",BF37)))+2048*(OR(ISNUMBER(FIND("REMARK",BF37)),ISNUMBER(FIND("COMMENT",BF37))))+4096*(OR(ISNUMBER(FIND("QTY",BF37)),ISNUMBER(FIND("QUANTITY",BF37))))+8192*(AND(OR(ISNUMBER(FIND("COMPLETE",BF37)),ISNUMBER(FIND("PCT",BF37)),ISNUMBER(FIND("PERCENT",BF37))),NOT(ISNUMBER(FIND("ACTUAL",BF37))),LEN(BF37)&lt;=16))+32768*(OR(ISNUMBER(FIND("DESIC",BF37)),ISNUMBER(FIND("DESSIC",BF37)))))</f>
        <v/>
      </c>
      <c r="BG172">
        <f>IF(BG37="",0,2*(OR(ISNUMBER(FIND("WORKCENTER",BG37)),AND(LEFT(BG37,4)="LINE",NOT(ISNUMBER(FIND("STATUS",BG37))))))+4*(OR(ISNUMBER(FIND("WORKORDER",BG37)),AND(LEFT(BG37,2)="WO",OR(ISNUMBER(FIND("NUM",BG37)),RIGHT(BG37,2)="NO"))))+8*(LEFT(BG37,3)="SEQ")+16*(AND(LEFT(BG37,4)="ITEM",NOT(ISNUMBER(FIND("DESC",BG37)))))+32*(AND(ISNUMBER(FIND("DESC",BG37)),NOT(ISNUMBER(FIND("CAP",BG37)))))+64*(OR(RIGHT(BG37,5)="COUNT",RIGHT(BG37,2)="CT"))+128*(ISNUMBER(FIND("BULK",BG37)))+256*(ISNUMBER(FIND("SIZE",BG37)))+512*(LEFT(BG37,3)="CAP")+1024*(ISNUMBER(FIND("ALLERG",BG37)))+2048*(OR(ISNUMBER(FIND("REMARK",BG37)),ISNUMBER(FIND("COMMENT",BG37))))+4096*(OR(ISNUMBER(FIND("QTY",BG37)),ISNUMBER(FIND("QUANTITY",BG37))))+8192*(AND(OR(ISNUMBER(FIND("COMPLETE",BG37)),ISNUMBER(FIND("PCT",BG37)),ISNUMBER(FIND("PERCENT",BG37))),NOT(ISNUMBER(FIND("ACTUAL",BG37))),LEN(BG37)&lt;=16))+32768*(OR(ISNUMBER(FIND("DESIC",BG37)),ISNUMBER(FIND("DESSIC",BG37)))))</f>
        <v/>
      </c>
      <c r="BH172">
        <f>IF(BH37="",0,2*(OR(ISNUMBER(FIND("WORKCENTER",BH37)),AND(LEFT(BH37,4)="LINE",NOT(ISNUMBER(FIND("STATUS",BH37))))))+4*(OR(ISNUMBER(FIND("WORKORDER",BH37)),AND(LEFT(BH37,2)="WO",OR(ISNUMBER(FIND("NUM",BH37)),RIGHT(BH37,2)="NO"))))+8*(LEFT(BH37,3)="SEQ")+16*(AND(LEFT(BH37,4)="ITEM",NOT(ISNUMBER(FIND("DESC",BH37)))))+32*(AND(ISNUMBER(FIND("DESC",BH37)),NOT(ISNUMBER(FIND("CAP",BH37)))))+64*(OR(RIGHT(BH37,5)="COUNT",RIGHT(BH37,2)="CT"))+128*(ISNUMBER(FIND("BULK",BH37)))+256*(ISNUMBER(FIND("SIZE",BH37)))+512*(LEFT(BH37,3)="CAP")+1024*(ISNUMBER(FIND("ALLERG",BH37)))+2048*(OR(ISNUMBER(FIND("REMARK",BH37)),ISNUMBER(FIND("COMMENT",BH37))))+4096*(OR(ISNUMBER(FIND("QTY",BH37)),ISNUMBER(FIND("QUANTITY",BH37))))+8192*(AND(OR(ISNUMBER(FIND("COMPLETE",BH37)),ISNUMBER(FIND("PCT",BH37)),ISNUMBER(FIND("PERCENT",BH37))),NOT(ISNUMBER(FIND("ACTUAL",BH37))),LEN(BH37)&lt;=16))+32768*(OR(ISNUMBER(FIND("DESIC",BH37)),ISNUMBER(FIND("DESSIC",BH37)))))</f>
        <v/>
      </c>
      <c r="BI172">
        <f>IF(BI37="",0,2*(OR(ISNUMBER(FIND("WORKCENTER",BI37)),AND(LEFT(BI37,4)="LINE",NOT(ISNUMBER(FIND("STATUS",BI37))))))+4*(OR(ISNUMBER(FIND("WORKORDER",BI37)),AND(LEFT(BI37,2)="WO",OR(ISNUMBER(FIND("NUM",BI37)),RIGHT(BI37,2)="NO"))))+8*(LEFT(BI37,3)="SEQ")+16*(AND(LEFT(BI37,4)="ITEM",NOT(ISNUMBER(FIND("DESC",BI37)))))+32*(AND(ISNUMBER(FIND("DESC",BI37)),NOT(ISNUMBER(FIND("CAP",BI37)))))+64*(OR(RIGHT(BI37,5)="COUNT",RIGHT(BI37,2)="CT"))+128*(ISNUMBER(FIND("BULK",BI37)))+256*(ISNUMBER(FIND("SIZE",BI37)))+512*(LEFT(BI37,3)="CAP")+1024*(ISNUMBER(FIND("ALLERG",BI37)))+2048*(OR(ISNUMBER(FIND("REMARK",BI37)),ISNUMBER(FIND("COMMENT",BI37))))+4096*(OR(ISNUMBER(FIND("QTY",BI37)),ISNUMBER(FIND("QUANTITY",BI37))))+8192*(AND(OR(ISNUMBER(FIND("COMPLETE",BI37)),ISNUMBER(FIND("PCT",BI37)),ISNUMBER(FIND("PERCENT",BI37))),NOT(ISNUMBER(FIND("ACTUAL",BI37))),LEN(BI37)&lt;=16))+32768*(OR(ISNUMBER(FIND("DESIC",BI37)),ISNUMBER(FIND("DESSIC",BI37)))))</f>
        <v/>
      </c>
      <c r="BJ172">
        <f>IF(BJ37="",0,2*(OR(ISNUMBER(FIND("WORKCENTER",BJ37)),AND(LEFT(BJ37,4)="LINE",NOT(ISNUMBER(FIND("STATUS",BJ37))))))+4*(OR(ISNUMBER(FIND("WORKORDER",BJ37)),AND(LEFT(BJ37,2)="WO",OR(ISNUMBER(FIND("NUM",BJ37)),RIGHT(BJ37,2)="NO"))))+8*(LEFT(BJ37,3)="SEQ")+16*(AND(LEFT(BJ37,4)="ITEM",NOT(ISNUMBER(FIND("DESC",BJ37)))))+32*(AND(ISNUMBER(FIND("DESC",BJ37)),NOT(ISNUMBER(FIND("CAP",BJ37)))))+64*(OR(RIGHT(BJ37,5)="COUNT",RIGHT(BJ37,2)="CT"))+128*(ISNUMBER(FIND("BULK",BJ37)))+256*(ISNUMBER(FIND("SIZE",BJ37)))+512*(LEFT(BJ37,3)="CAP")+1024*(ISNUMBER(FIND("ALLERG",BJ37)))+2048*(OR(ISNUMBER(FIND("REMARK",BJ37)),ISNUMBER(FIND("COMMENT",BJ37))))+4096*(OR(ISNUMBER(FIND("QTY",BJ37)),ISNUMBER(FIND("QUANTITY",BJ37))))+8192*(AND(OR(ISNUMBER(FIND("COMPLETE",BJ37)),ISNUMBER(FIND("PCT",BJ37)),ISNUMBER(FIND("PERCENT",BJ37))),NOT(ISNUMBER(FIND("ACTUAL",BJ37))),LEN(BJ37)&lt;=16))+32768*(OR(ISNUMBER(FIND("DESIC",BJ37)),ISNUMBER(FIND("DESSIC",BJ37)))))</f>
        <v/>
      </c>
      <c r="BK172">
        <f>IF(BK37="",0,2*(OR(ISNUMBER(FIND("WORKCENTER",BK37)),AND(LEFT(BK37,4)="LINE",NOT(ISNUMBER(FIND("STATUS",BK37))))))+4*(OR(ISNUMBER(FIND("WORKORDER",BK37)),AND(LEFT(BK37,2)="WO",OR(ISNUMBER(FIND("NUM",BK37)),RIGHT(BK37,2)="NO"))))+8*(LEFT(BK37,3)="SEQ")+16*(AND(LEFT(BK37,4)="ITEM",NOT(ISNUMBER(FIND("DESC",BK37)))))+32*(AND(ISNUMBER(FIND("DESC",BK37)),NOT(ISNUMBER(FIND("CAP",BK37)))))+64*(OR(RIGHT(BK37,5)="COUNT",RIGHT(BK37,2)="CT"))+128*(ISNUMBER(FIND("BULK",BK37)))+256*(ISNUMBER(FIND("SIZE",BK37)))+512*(LEFT(BK37,3)="CAP")+1024*(ISNUMBER(FIND("ALLERG",BK37)))+2048*(OR(ISNUMBER(FIND("REMARK",BK37)),ISNUMBER(FIND("COMMENT",BK37))))+4096*(OR(ISNUMBER(FIND("QTY",BK37)),ISNUMBER(FIND("QUANTITY",BK37))))+8192*(AND(OR(ISNUMBER(FIND("COMPLETE",BK37)),ISNUMBER(FIND("PCT",BK37)),ISNUMBER(FIND("PERCENT",BK37))),NOT(ISNUMBER(FIND("ACTUAL",BK37))),LEN(BK37)&lt;=16))+32768*(OR(ISNUMBER(FIND("DESIC",BK37)),ISNUMBER(FIND("DESSIC",BK37)))))</f>
        <v/>
      </c>
      <c r="BL172">
        <f>IF(BL37="",0,2*(OR(ISNUMBER(FIND("WORKCENTER",BL37)),AND(LEFT(BL37,4)="LINE",NOT(ISNUMBER(FIND("STATUS",BL37))))))+4*(OR(ISNUMBER(FIND("WORKORDER",BL37)),AND(LEFT(BL37,2)="WO",OR(ISNUMBER(FIND("NUM",BL37)),RIGHT(BL37,2)="NO"))))+8*(LEFT(BL37,3)="SEQ")+16*(AND(LEFT(BL37,4)="ITEM",NOT(ISNUMBER(FIND("DESC",BL37)))))+32*(AND(ISNUMBER(FIND("DESC",BL37)),NOT(ISNUMBER(FIND("CAP",BL37)))))+64*(OR(RIGHT(BL37,5)="COUNT",RIGHT(BL37,2)="CT"))+128*(ISNUMBER(FIND("BULK",BL37)))+256*(ISNUMBER(FIND("SIZE",BL37)))+512*(LEFT(BL37,3)="CAP")+1024*(ISNUMBER(FIND("ALLERG",BL37)))+2048*(OR(ISNUMBER(FIND("REMARK",BL37)),ISNUMBER(FIND("COMMENT",BL37))))+4096*(OR(ISNUMBER(FIND("QTY",BL37)),ISNUMBER(FIND("QUANTITY",BL37))))+8192*(AND(OR(ISNUMBER(FIND("COMPLETE",BL37)),ISNUMBER(FIND("PCT",BL37)),ISNUMBER(FIND("PERCENT",BL37))),NOT(ISNUMBER(FIND("ACTUAL",BL37))),LEN(BL37)&lt;=16))+32768*(OR(ISNUMBER(FIND("DESIC",BL37)),ISNUMBER(FIND("DESSIC",BL37)))))</f>
        <v/>
      </c>
      <c r="BM172">
        <f>IF(BM37="",0,2*(OR(ISNUMBER(FIND("WORKCENTER",BM37)),AND(LEFT(BM37,4)="LINE",NOT(ISNUMBER(FIND("STATUS",BM37))))))+4*(OR(ISNUMBER(FIND("WORKORDER",BM37)),AND(LEFT(BM37,2)="WO",OR(ISNUMBER(FIND("NUM",BM37)),RIGHT(BM37,2)="NO"))))+8*(LEFT(BM37,3)="SEQ")+16*(AND(LEFT(BM37,4)="ITEM",NOT(ISNUMBER(FIND("DESC",BM37)))))+32*(AND(ISNUMBER(FIND("DESC",BM37)),NOT(ISNUMBER(FIND("CAP",BM37)))))+64*(OR(RIGHT(BM37,5)="COUNT",RIGHT(BM37,2)="CT"))+128*(ISNUMBER(FIND("BULK",BM37)))+256*(ISNUMBER(FIND("SIZE",BM37)))+512*(LEFT(BM37,3)="CAP")+1024*(ISNUMBER(FIND("ALLERG",BM37)))+2048*(OR(ISNUMBER(FIND("REMARK",BM37)),ISNUMBER(FIND("COMMENT",BM37))))+4096*(OR(ISNUMBER(FIND("QTY",BM37)),ISNUMBER(FIND("QUANTITY",BM37))))+8192*(AND(OR(ISNUMBER(FIND("COMPLETE",BM37)),ISNUMBER(FIND("PCT",BM37)),ISNUMBER(FIND("PERCENT",BM37))),NOT(ISNUMBER(FIND("ACTUAL",BM37))),LEN(BM37)&lt;=16))+32768*(OR(ISNUMBER(FIND("DESIC",BM37)),ISNUMBER(FIND("DESSIC",BM37)))))</f>
        <v/>
      </c>
      <c r="BN172">
        <f>IF(BN37="",0,2*(OR(ISNUMBER(FIND("WORKCENTER",BN37)),AND(LEFT(BN37,4)="LINE",NOT(ISNUMBER(FIND("STATUS",BN37))))))+4*(OR(ISNUMBER(FIND("WORKORDER",BN37)),AND(LEFT(BN37,2)="WO",OR(ISNUMBER(FIND("NUM",BN37)),RIGHT(BN37,2)="NO"))))+8*(LEFT(BN37,3)="SEQ")+16*(AND(LEFT(BN37,4)="ITEM",NOT(ISNUMBER(FIND("DESC",BN37)))))+32*(AND(ISNUMBER(FIND("DESC",BN37)),NOT(ISNUMBER(FIND("CAP",BN37)))))+64*(OR(RIGHT(BN37,5)="COUNT",RIGHT(BN37,2)="CT"))+128*(ISNUMBER(FIND("BULK",BN37)))+256*(ISNUMBER(FIND("SIZE",BN37)))+512*(LEFT(BN37,3)="CAP")+1024*(ISNUMBER(FIND("ALLERG",BN37)))+2048*(OR(ISNUMBER(FIND("REMARK",BN37)),ISNUMBER(FIND("COMMENT",BN37))))+4096*(OR(ISNUMBER(FIND("QTY",BN37)),ISNUMBER(FIND("QUANTITY",BN37))))+8192*(AND(OR(ISNUMBER(FIND("COMPLETE",BN37)),ISNUMBER(FIND("PCT",BN37)),ISNUMBER(FIND("PERCENT",BN37))),NOT(ISNUMBER(FIND("ACTUAL",BN37))),LEN(BN37)&lt;=16))+32768*(OR(ISNUMBER(FIND("DESIC",BN37)),ISNUMBER(FIND("DESSIC",BN37)))))</f>
        <v/>
      </c>
      <c r="BO172">
        <f>IF(BO37="",0,2*(OR(ISNUMBER(FIND("WORKCENTER",BO37)),AND(LEFT(BO37,4)="LINE",NOT(ISNUMBER(FIND("STATUS",BO37))))))+4*(OR(ISNUMBER(FIND("WORKORDER",BO37)),AND(LEFT(BO37,2)="WO",OR(ISNUMBER(FIND("NUM",BO37)),RIGHT(BO37,2)="NO"))))+8*(LEFT(BO37,3)="SEQ")+16*(AND(LEFT(BO37,4)="ITEM",NOT(ISNUMBER(FIND("DESC",BO37)))))+32*(AND(ISNUMBER(FIND("DESC",BO37)),NOT(ISNUMBER(FIND("CAP",BO37)))))+64*(OR(RIGHT(BO37,5)="COUNT",RIGHT(BO37,2)="CT"))+128*(ISNUMBER(FIND("BULK",BO37)))+256*(ISNUMBER(FIND("SIZE",BO37)))+512*(LEFT(BO37,3)="CAP")+1024*(ISNUMBER(FIND("ALLERG",BO37)))+2048*(OR(ISNUMBER(FIND("REMARK",BO37)),ISNUMBER(FIND("COMMENT",BO37))))+4096*(OR(ISNUMBER(FIND("QTY",BO37)),ISNUMBER(FIND("QUANTITY",BO37))))+8192*(AND(OR(ISNUMBER(FIND("COMPLETE",BO37)),ISNUMBER(FIND("PCT",BO37)),ISNUMBER(FIND("PERCENT",BO37))),NOT(ISNUMBER(FIND("ACTUAL",BO37))),LEN(BO37)&lt;=16))+32768*(OR(ISNUMBER(FIND("DESIC",BO37)),ISNUMBER(FIND("DESSIC",BO37)))))</f>
        <v/>
      </c>
      <c r="BP172">
        <f>IF(BP37="",0,2*(OR(ISNUMBER(FIND("WORKCENTER",BP37)),AND(LEFT(BP37,4)="LINE",NOT(ISNUMBER(FIND("STATUS",BP37))))))+4*(OR(ISNUMBER(FIND("WORKORDER",BP37)),AND(LEFT(BP37,2)="WO",OR(ISNUMBER(FIND("NUM",BP37)),RIGHT(BP37,2)="NO"))))+8*(LEFT(BP37,3)="SEQ")+16*(AND(LEFT(BP37,4)="ITEM",NOT(ISNUMBER(FIND("DESC",BP37)))))+32*(AND(ISNUMBER(FIND("DESC",BP37)),NOT(ISNUMBER(FIND("CAP",BP37)))))+64*(OR(RIGHT(BP37,5)="COUNT",RIGHT(BP37,2)="CT"))+128*(ISNUMBER(FIND("BULK",BP37)))+256*(ISNUMBER(FIND("SIZE",BP37)))+512*(LEFT(BP37,3)="CAP")+1024*(ISNUMBER(FIND("ALLERG",BP37)))+2048*(OR(ISNUMBER(FIND("REMARK",BP37)),ISNUMBER(FIND("COMMENT",BP37))))+4096*(OR(ISNUMBER(FIND("QTY",BP37)),ISNUMBER(FIND("QUANTITY",BP37))))+8192*(AND(OR(ISNUMBER(FIND("COMPLETE",BP37)),ISNUMBER(FIND("PCT",BP37)),ISNUMBER(FIND("PERCENT",BP37))),NOT(ISNUMBER(FIND("ACTUAL",BP37))),LEN(BP37)&lt;=16))+32768*(OR(ISNUMBER(FIND("DESIC",BP37)),ISNUMBER(FIND("DESSIC",BP37)))))</f>
        <v/>
      </c>
      <c r="BQ172">
        <f>IF(BQ37="",0,2*(OR(ISNUMBER(FIND("WORKCENTER",BQ37)),AND(LEFT(BQ37,4)="LINE",NOT(ISNUMBER(FIND("STATUS",BQ37))))))+4*(OR(ISNUMBER(FIND("WORKORDER",BQ37)),AND(LEFT(BQ37,2)="WO",OR(ISNUMBER(FIND("NUM",BQ37)),RIGHT(BQ37,2)="NO"))))+8*(LEFT(BQ37,3)="SEQ")+16*(AND(LEFT(BQ37,4)="ITEM",NOT(ISNUMBER(FIND("DESC",BQ37)))))+32*(AND(ISNUMBER(FIND("DESC",BQ37)),NOT(ISNUMBER(FIND("CAP",BQ37)))))+64*(OR(RIGHT(BQ37,5)="COUNT",RIGHT(BQ37,2)="CT"))+128*(ISNUMBER(FIND("BULK",BQ37)))+256*(ISNUMBER(FIND("SIZE",BQ37)))+512*(LEFT(BQ37,3)="CAP")+1024*(ISNUMBER(FIND("ALLERG",BQ37)))+2048*(OR(ISNUMBER(FIND("REMARK",BQ37)),ISNUMBER(FIND("COMMENT",BQ37))))+4096*(OR(ISNUMBER(FIND("QTY",BQ37)),ISNUMBER(FIND("QUANTITY",BQ37))))+8192*(AND(OR(ISNUMBER(FIND("COMPLETE",BQ37)),ISNUMBER(FIND("PCT",BQ37)),ISNUMBER(FIND("PERCENT",BQ37))),NOT(ISNUMBER(FIND("ACTUAL",BQ37))),LEN(BQ37)&lt;=16))+32768*(OR(ISNUMBER(FIND("DESIC",BQ37)),ISNUMBER(FIND("DESSIC",BQ37)))))</f>
        <v/>
      </c>
      <c r="BR172">
        <f>IF(BR37="",0,2*(OR(ISNUMBER(FIND("WORKCENTER",BR37)),AND(LEFT(BR37,4)="LINE",NOT(ISNUMBER(FIND("STATUS",BR37))))))+4*(OR(ISNUMBER(FIND("WORKORDER",BR37)),AND(LEFT(BR37,2)="WO",OR(ISNUMBER(FIND("NUM",BR37)),RIGHT(BR37,2)="NO"))))+8*(LEFT(BR37,3)="SEQ")+16*(AND(LEFT(BR37,4)="ITEM",NOT(ISNUMBER(FIND("DESC",BR37)))))+32*(AND(ISNUMBER(FIND("DESC",BR37)),NOT(ISNUMBER(FIND("CAP",BR37)))))+64*(OR(RIGHT(BR37,5)="COUNT",RIGHT(BR37,2)="CT"))+128*(ISNUMBER(FIND("BULK",BR37)))+256*(ISNUMBER(FIND("SIZE",BR37)))+512*(LEFT(BR37,3)="CAP")+1024*(ISNUMBER(FIND("ALLERG",BR37)))+2048*(OR(ISNUMBER(FIND("REMARK",BR37)),ISNUMBER(FIND("COMMENT",BR37))))+4096*(OR(ISNUMBER(FIND("QTY",BR37)),ISNUMBER(FIND("QUANTITY",BR37))))+8192*(AND(OR(ISNUMBER(FIND("COMPLETE",BR37)),ISNUMBER(FIND("PCT",BR37)),ISNUMBER(FIND("PERCENT",BR37))),NOT(ISNUMBER(FIND("ACTUAL",BR37))),LEN(BR37)&lt;=16))+32768*(OR(ISNUMBER(FIND("DESIC",BR37)),ISNUMBER(FIND("DESSIC",BR37)))))</f>
        <v/>
      </c>
      <c r="BS172">
        <f>IF(BS37="",0,2*(OR(ISNUMBER(FIND("WORKCENTER",BS37)),AND(LEFT(BS37,4)="LINE",NOT(ISNUMBER(FIND("STATUS",BS37))))))+4*(OR(ISNUMBER(FIND("WORKORDER",BS37)),AND(LEFT(BS37,2)="WO",OR(ISNUMBER(FIND("NUM",BS37)),RIGHT(BS37,2)="NO"))))+8*(LEFT(BS37,3)="SEQ")+16*(AND(LEFT(BS37,4)="ITEM",NOT(ISNUMBER(FIND("DESC",BS37)))))+32*(AND(ISNUMBER(FIND("DESC",BS37)),NOT(ISNUMBER(FIND("CAP",BS37)))))+64*(OR(RIGHT(BS37,5)="COUNT",RIGHT(BS37,2)="CT"))+128*(ISNUMBER(FIND("BULK",BS37)))+256*(ISNUMBER(FIND("SIZE",BS37)))+512*(LEFT(BS37,3)="CAP")+1024*(ISNUMBER(FIND("ALLERG",BS37)))+2048*(OR(ISNUMBER(FIND("REMARK",BS37)),ISNUMBER(FIND("COMMENT",BS37))))+4096*(OR(ISNUMBER(FIND("QTY",BS37)),ISNUMBER(FIND("QUANTITY",BS37))))+8192*(AND(OR(ISNUMBER(FIND("COMPLETE",BS37)),ISNUMBER(FIND("PCT",BS37)),ISNUMBER(FIND("PERCENT",BS37))),NOT(ISNUMBER(FIND("ACTUAL",BS37))),LEN(BS37)&lt;=16))+32768*(OR(ISNUMBER(FIND("DESIC",BS37)),ISNUMBER(FIND("DESSIC",BS37)))))</f>
        <v/>
      </c>
      <c r="BT172">
        <f>IF(BT37="",0,2*(OR(ISNUMBER(FIND("WORKCENTER",BT37)),AND(LEFT(BT37,4)="LINE",NOT(ISNUMBER(FIND("STATUS",BT37))))))+4*(OR(ISNUMBER(FIND("WORKORDER",BT37)),AND(LEFT(BT37,2)="WO",OR(ISNUMBER(FIND("NUM",BT37)),RIGHT(BT37,2)="NO"))))+8*(LEFT(BT37,3)="SEQ")+16*(AND(LEFT(BT37,4)="ITEM",NOT(ISNUMBER(FIND("DESC",BT37)))))+32*(AND(ISNUMBER(FIND("DESC",BT37)),NOT(ISNUMBER(FIND("CAP",BT37)))))+64*(OR(RIGHT(BT37,5)="COUNT",RIGHT(BT37,2)="CT"))+128*(ISNUMBER(FIND("BULK",BT37)))+256*(ISNUMBER(FIND("SIZE",BT37)))+512*(LEFT(BT37,3)="CAP")+1024*(ISNUMBER(FIND("ALLERG",BT37)))+2048*(OR(ISNUMBER(FIND("REMARK",BT37)),ISNUMBER(FIND("COMMENT",BT37))))+4096*(OR(ISNUMBER(FIND("QTY",BT37)),ISNUMBER(FIND("QUANTITY",BT37))))+8192*(AND(OR(ISNUMBER(FIND("COMPLETE",BT37)),ISNUMBER(FIND("PCT",BT37)),ISNUMBER(FIND("PERCENT",BT37))),NOT(ISNUMBER(FIND("ACTUAL",BT37))),LEN(BT37)&lt;=16))+32768*(OR(ISNUMBER(FIND("DESIC",BT37)),ISNUMBER(FIND("DESSIC",BT37)))))</f>
        <v/>
      </c>
      <c r="BU172">
        <f>IF(BU37="",0,2*(OR(ISNUMBER(FIND("WORKCENTER",BU37)),AND(LEFT(BU37,4)="LINE",NOT(ISNUMBER(FIND("STATUS",BU37))))))+4*(OR(ISNUMBER(FIND("WORKORDER",BU37)),AND(LEFT(BU37,2)="WO",OR(ISNUMBER(FIND("NUM",BU37)),RIGHT(BU37,2)="NO"))))+8*(LEFT(BU37,3)="SEQ")+16*(AND(LEFT(BU37,4)="ITEM",NOT(ISNUMBER(FIND("DESC",BU37)))))+32*(AND(ISNUMBER(FIND("DESC",BU37)),NOT(ISNUMBER(FIND("CAP",BU37)))))+64*(OR(RIGHT(BU37,5)="COUNT",RIGHT(BU37,2)="CT"))+128*(ISNUMBER(FIND("BULK",BU37)))+256*(ISNUMBER(FIND("SIZE",BU37)))+512*(LEFT(BU37,3)="CAP")+1024*(ISNUMBER(FIND("ALLERG",BU37)))+2048*(OR(ISNUMBER(FIND("REMARK",BU37)),ISNUMBER(FIND("COMMENT",BU37))))+4096*(OR(ISNUMBER(FIND("QTY",BU37)),ISNUMBER(FIND("QUANTITY",BU37))))+8192*(AND(OR(ISNUMBER(FIND("COMPLETE",BU37)),ISNUMBER(FIND("PCT",BU37)),ISNUMBER(FIND("PERCENT",BU37))),NOT(ISNUMBER(FIND("ACTUAL",BU37))),LEN(BU37)&lt;=16))+32768*(OR(ISNUMBER(FIND("DESIC",BU37)),ISNUMBER(FIND("DESSIC",BU37)))))</f>
        <v/>
      </c>
      <c r="BV172">
        <f>IF(BV37="",0,2*(OR(ISNUMBER(FIND("WORKCENTER",BV37)),AND(LEFT(BV37,4)="LINE",NOT(ISNUMBER(FIND("STATUS",BV37))))))+4*(OR(ISNUMBER(FIND("WORKORDER",BV37)),AND(LEFT(BV37,2)="WO",OR(ISNUMBER(FIND("NUM",BV37)),RIGHT(BV37,2)="NO"))))+8*(LEFT(BV37,3)="SEQ")+16*(AND(LEFT(BV37,4)="ITEM",NOT(ISNUMBER(FIND("DESC",BV37)))))+32*(AND(ISNUMBER(FIND("DESC",BV37)),NOT(ISNUMBER(FIND("CAP",BV37)))))+64*(OR(RIGHT(BV37,5)="COUNT",RIGHT(BV37,2)="CT"))+128*(ISNUMBER(FIND("BULK",BV37)))+256*(ISNUMBER(FIND("SIZE",BV37)))+512*(LEFT(BV37,3)="CAP")+1024*(ISNUMBER(FIND("ALLERG",BV37)))+2048*(OR(ISNUMBER(FIND("REMARK",BV37)),ISNUMBER(FIND("COMMENT",BV37))))+4096*(OR(ISNUMBER(FIND("QTY",BV37)),ISNUMBER(FIND("QUANTITY",BV37))))+8192*(AND(OR(ISNUMBER(FIND("COMPLETE",BV37)),ISNUMBER(FIND("PCT",BV37)),ISNUMBER(FIND("PERCENT",BV37))),NOT(ISNUMBER(FIND("ACTUAL",BV37))),LEN(BV37)&lt;=16))+32768*(OR(ISNUMBER(FIND("DESIC",BV37)),ISNUMBER(FIND("DESSIC",BV37)))))</f>
        <v/>
      </c>
      <c r="BW172">
        <f>IF(BW37="",0,2*(OR(ISNUMBER(FIND("WORKCENTER",BW37)),AND(LEFT(BW37,4)="LINE",NOT(ISNUMBER(FIND("STATUS",BW37))))))+4*(OR(ISNUMBER(FIND("WORKORDER",BW37)),AND(LEFT(BW37,2)="WO",OR(ISNUMBER(FIND("NUM",BW37)),RIGHT(BW37,2)="NO"))))+8*(LEFT(BW37,3)="SEQ")+16*(AND(LEFT(BW37,4)="ITEM",NOT(ISNUMBER(FIND("DESC",BW37)))))+32*(AND(ISNUMBER(FIND("DESC",BW37)),NOT(ISNUMBER(FIND("CAP",BW37)))))+64*(OR(RIGHT(BW37,5)="COUNT",RIGHT(BW37,2)="CT"))+128*(ISNUMBER(FIND("BULK",BW37)))+256*(ISNUMBER(FIND("SIZE",BW37)))+512*(LEFT(BW37,3)="CAP")+1024*(ISNUMBER(FIND("ALLERG",BW37)))+2048*(OR(ISNUMBER(FIND("REMARK",BW37)),ISNUMBER(FIND("COMMENT",BW37))))+4096*(OR(ISNUMBER(FIND("QTY",BW37)),ISNUMBER(FIND("QUANTITY",BW37))))+8192*(AND(OR(ISNUMBER(FIND("COMPLETE",BW37)),ISNUMBER(FIND("PCT",BW37)),ISNUMBER(FIND("PERCENT",BW37))),NOT(ISNUMBER(FIND("ACTUAL",BW37))),LEN(BW37)&lt;=16))+32768*(OR(ISNUMBER(FIND("DESIC",BW37)),ISNUMBER(FIND("DESSIC",BW37)))))</f>
        <v/>
      </c>
      <c r="BX172">
        <f>IF(BX37="",0,2*(OR(ISNUMBER(FIND("WORKCENTER",BX37)),AND(LEFT(BX37,4)="LINE",NOT(ISNUMBER(FIND("STATUS",BX37))))))+4*(OR(ISNUMBER(FIND("WORKORDER",BX37)),AND(LEFT(BX37,2)="WO",OR(ISNUMBER(FIND("NUM",BX37)),RIGHT(BX37,2)="NO"))))+8*(LEFT(BX37,3)="SEQ")+16*(AND(LEFT(BX37,4)="ITEM",NOT(ISNUMBER(FIND("DESC",BX37)))))+32*(AND(ISNUMBER(FIND("DESC",BX37)),NOT(ISNUMBER(FIND("CAP",BX37)))))+64*(OR(RIGHT(BX37,5)="COUNT",RIGHT(BX37,2)="CT"))+128*(ISNUMBER(FIND("BULK",BX37)))+256*(ISNUMBER(FIND("SIZE",BX37)))+512*(LEFT(BX37,3)="CAP")+1024*(ISNUMBER(FIND("ALLERG",BX37)))+2048*(OR(ISNUMBER(FIND("REMARK",BX37)),ISNUMBER(FIND("COMMENT",BX37))))+4096*(OR(ISNUMBER(FIND("QTY",BX37)),ISNUMBER(FIND("QUANTITY",BX37))))+8192*(AND(OR(ISNUMBER(FIND("COMPLETE",BX37)),ISNUMBER(FIND("PCT",BX37)),ISNUMBER(FIND("PERCENT",BX37))),NOT(ISNUMBER(FIND("ACTUAL",BX37))),LEN(BX37)&lt;=16))+32768*(OR(ISNUMBER(FIND("DESIC",BX37)),ISNUMBER(FIND("DESSIC",BX37)))))</f>
        <v/>
      </c>
      <c r="BY172">
        <f>IF(BY37="",0,2*(OR(ISNUMBER(FIND("WORKCENTER",BY37)),AND(LEFT(BY37,4)="LINE",NOT(ISNUMBER(FIND("STATUS",BY37))))))+4*(OR(ISNUMBER(FIND("WORKORDER",BY37)),AND(LEFT(BY37,2)="WO",OR(ISNUMBER(FIND("NUM",BY37)),RIGHT(BY37,2)="NO"))))+8*(LEFT(BY37,3)="SEQ")+16*(AND(LEFT(BY37,4)="ITEM",NOT(ISNUMBER(FIND("DESC",BY37)))))+32*(AND(ISNUMBER(FIND("DESC",BY37)),NOT(ISNUMBER(FIND("CAP",BY37)))))+64*(OR(RIGHT(BY37,5)="COUNT",RIGHT(BY37,2)="CT"))+128*(ISNUMBER(FIND("BULK",BY37)))+256*(ISNUMBER(FIND("SIZE",BY37)))+512*(LEFT(BY37,3)="CAP")+1024*(ISNUMBER(FIND("ALLERG",BY37)))+2048*(OR(ISNUMBER(FIND("REMARK",BY37)),ISNUMBER(FIND("COMMENT",BY37))))+4096*(OR(ISNUMBER(FIND("QTY",BY37)),ISNUMBER(FIND("QUANTITY",BY37))))+8192*(AND(OR(ISNUMBER(FIND("COMPLETE",BY37)),ISNUMBER(FIND("PCT",BY37)),ISNUMBER(FIND("PERCENT",BY37))),NOT(ISNUMBER(FIND("ACTUAL",BY37))),LEN(BY37)&lt;=16))+32768*(OR(ISNUMBER(FIND("DESIC",BY37)),ISNUMBER(FIND("DESSIC",BY37)))))</f>
        <v/>
      </c>
      <c r="BZ172">
        <f>IF(BZ37="",0,2*(OR(ISNUMBER(FIND("WORKCENTER",BZ37)),AND(LEFT(BZ37,4)="LINE",NOT(ISNUMBER(FIND("STATUS",BZ37))))))+4*(OR(ISNUMBER(FIND("WORKORDER",BZ37)),AND(LEFT(BZ37,2)="WO",OR(ISNUMBER(FIND("NUM",BZ37)),RIGHT(BZ37,2)="NO"))))+8*(LEFT(BZ37,3)="SEQ")+16*(AND(LEFT(BZ37,4)="ITEM",NOT(ISNUMBER(FIND("DESC",BZ37)))))+32*(AND(ISNUMBER(FIND("DESC",BZ37)),NOT(ISNUMBER(FIND("CAP",BZ37)))))+64*(OR(RIGHT(BZ37,5)="COUNT",RIGHT(BZ37,2)="CT"))+128*(ISNUMBER(FIND("BULK",BZ37)))+256*(ISNUMBER(FIND("SIZE",BZ37)))+512*(LEFT(BZ37,3)="CAP")+1024*(ISNUMBER(FIND("ALLERG",BZ37)))+2048*(OR(ISNUMBER(FIND("REMARK",BZ37)),ISNUMBER(FIND("COMMENT",BZ37))))+4096*(OR(ISNUMBER(FIND("QTY",BZ37)),ISNUMBER(FIND("QUANTITY",BZ37))))+8192*(AND(OR(ISNUMBER(FIND("COMPLETE",BZ37)),ISNUMBER(FIND("PCT",BZ37)),ISNUMBER(FIND("PERCENT",BZ37))),NOT(ISNUMBER(FIND("ACTUAL",BZ37))),LEN(BZ37)&lt;=16))+32768*(OR(ISNUMBER(FIND("DESIC",BZ37)),ISNUMBER(FIND("DESSIC",BZ37)))))</f>
        <v/>
      </c>
      <c r="CA172">
        <f>IF(CA37="",0,2*(OR(ISNUMBER(FIND("WORKCENTER",CA37)),AND(LEFT(CA37,4)="LINE",NOT(ISNUMBER(FIND("STATUS",CA37))))))+4*(OR(ISNUMBER(FIND("WORKORDER",CA37)),AND(LEFT(CA37,2)="WO",OR(ISNUMBER(FIND("NUM",CA37)),RIGHT(CA37,2)="NO"))))+8*(LEFT(CA37,3)="SEQ")+16*(AND(LEFT(CA37,4)="ITEM",NOT(ISNUMBER(FIND("DESC",CA37)))))+32*(AND(ISNUMBER(FIND("DESC",CA37)),NOT(ISNUMBER(FIND("CAP",CA37)))))+64*(OR(RIGHT(CA37,5)="COUNT",RIGHT(CA37,2)="CT"))+128*(ISNUMBER(FIND("BULK",CA37)))+256*(ISNUMBER(FIND("SIZE",CA37)))+512*(LEFT(CA37,3)="CAP")+1024*(ISNUMBER(FIND("ALLERG",CA37)))+2048*(OR(ISNUMBER(FIND("REMARK",CA37)),ISNUMBER(FIND("COMMENT",CA37))))+4096*(OR(ISNUMBER(FIND("QTY",CA37)),ISNUMBER(FIND("QUANTITY",CA37))))+8192*(AND(OR(ISNUMBER(FIND("COMPLETE",CA37)),ISNUMBER(FIND("PCT",CA37)),ISNUMBER(FIND("PERCENT",CA37))),NOT(ISNUMBER(FIND("ACTUAL",CA37))),LEN(CA37)&lt;=16))+32768*(OR(ISNUMBER(FIND("DESIC",CA37)),ISNUMBER(FIND("DESSIC",CA37)))))</f>
        <v/>
      </c>
      <c r="CB172">
        <f>IF(CB37="",0,2*(OR(ISNUMBER(FIND("WORKCENTER",CB37)),AND(LEFT(CB37,4)="LINE",NOT(ISNUMBER(FIND("STATUS",CB37))))))+4*(OR(ISNUMBER(FIND("WORKORDER",CB37)),AND(LEFT(CB37,2)="WO",OR(ISNUMBER(FIND("NUM",CB37)),RIGHT(CB37,2)="NO"))))+8*(LEFT(CB37,3)="SEQ")+16*(AND(LEFT(CB37,4)="ITEM",NOT(ISNUMBER(FIND("DESC",CB37)))))+32*(AND(ISNUMBER(FIND("DESC",CB37)),NOT(ISNUMBER(FIND("CAP",CB37)))))+64*(OR(RIGHT(CB37,5)="COUNT",RIGHT(CB37,2)="CT"))+128*(ISNUMBER(FIND("BULK",CB37)))+256*(ISNUMBER(FIND("SIZE",CB37)))+512*(LEFT(CB37,3)="CAP")+1024*(ISNUMBER(FIND("ALLERG",CB37)))+2048*(OR(ISNUMBER(FIND("REMARK",CB37)),ISNUMBER(FIND("COMMENT",CB37))))+4096*(OR(ISNUMBER(FIND("QTY",CB37)),ISNUMBER(FIND("QUANTITY",CB37))))+8192*(AND(OR(ISNUMBER(FIND("COMPLETE",CB37)),ISNUMBER(FIND("PCT",CB37)),ISNUMBER(FIND("PERCENT",CB37))),NOT(ISNUMBER(FIND("ACTUAL",CB37))),LEN(CB37)&lt;=16))+32768*(OR(ISNUMBER(FIND("DESIC",CB37)),ISNUMBER(FIND("DESSIC",CB37)))))</f>
        <v/>
      </c>
      <c r="CC172">
        <f>IF(CC37="",0,2*(OR(ISNUMBER(FIND("WORKCENTER",CC37)),AND(LEFT(CC37,4)="LINE",NOT(ISNUMBER(FIND("STATUS",CC37))))))+4*(OR(ISNUMBER(FIND("WORKORDER",CC37)),AND(LEFT(CC37,2)="WO",OR(ISNUMBER(FIND("NUM",CC37)),RIGHT(CC37,2)="NO"))))+8*(LEFT(CC37,3)="SEQ")+16*(AND(LEFT(CC37,4)="ITEM",NOT(ISNUMBER(FIND("DESC",CC37)))))+32*(AND(ISNUMBER(FIND("DESC",CC37)),NOT(ISNUMBER(FIND("CAP",CC37)))))+64*(OR(RIGHT(CC37,5)="COUNT",RIGHT(CC37,2)="CT"))+128*(ISNUMBER(FIND("BULK",CC37)))+256*(ISNUMBER(FIND("SIZE",CC37)))+512*(LEFT(CC37,3)="CAP")+1024*(ISNUMBER(FIND("ALLERG",CC37)))+2048*(OR(ISNUMBER(FIND("REMARK",CC37)),ISNUMBER(FIND("COMMENT",CC37))))+4096*(OR(ISNUMBER(FIND("QTY",CC37)),ISNUMBER(FIND("QUANTITY",CC37))))+8192*(AND(OR(ISNUMBER(FIND("COMPLETE",CC37)),ISNUMBER(FIND("PCT",CC37)),ISNUMBER(FIND("PERCENT",CC37))),NOT(ISNUMBER(FIND("ACTUAL",CC37))),LEN(CC37)&lt;=16))+32768*(OR(ISNUMBER(FIND("DESIC",CC37)),ISNUMBER(FIND("DESSIC",CC37)))))</f>
        <v/>
      </c>
      <c r="CD172">
        <f>IF(CD37="",0,2*(OR(ISNUMBER(FIND("WORKCENTER",CD37)),AND(LEFT(CD37,4)="LINE",NOT(ISNUMBER(FIND("STATUS",CD37))))))+4*(OR(ISNUMBER(FIND("WORKORDER",CD37)),AND(LEFT(CD37,2)="WO",OR(ISNUMBER(FIND("NUM",CD37)),RIGHT(CD37,2)="NO"))))+8*(LEFT(CD37,3)="SEQ")+16*(AND(LEFT(CD37,4)="ITEM",NOT(ISNUMBER(FIND("DESC",CD37)))))+32*(AND(ISNUMBER(FIND("DESC",CD37)),NOT(ISNUMBER(FIND("CAP",CD37)))))+64*(OR(RIGHT(CD37,5)="COUNT",RIGHT(CD37,2)="CT"))+128*(ISNUMBER(FIND("BULK",CD37)))+256*(ISNUMBER(FIND("SIZE",CD37)))+512*(LEFT(CD37,3)="CAP")+1024*(ISNUMBER(FIND("ALLERG",CD37)))+2048*(OR(ISNUMBER(FIND("REMARK",CD37)),ISNUMBER(FIND("COMMENT",CD37))))+4096*(OR(ISNUMBER(FIND("QTY",CD37)),ISNUMBER(FIND("QUANTITY",CD37))))+8192*(AND(OR(ISNUMBER(FIND("COMPLETE",CD37)),ISNUMBER(FIND("PCT",CD37)),ISNUMBER(FIND("PERCENT",CD37))),NOT(ISNUMBER(FIND("ACTUAL",CD37))),LEN(CD37)&lt;=16))+32768*(OR(ISNUMBER(FIND("DESIC",CD37)),ISNUMBER(FIND("DESSIC",CD37)))))</f>
        <v/>
      </c>
      <c r="CE172">
        <f>IF(CE37="",0,2*(OR(ISNUMBER(FIND("WORKCENTER",CE37)),AND(LEFT(CE37,4)="LINE",NOT(ISNUMBER(FIND("STATUS",CE37))))))+4*(OR(ISNUMBER(FIND("WORKORDER",CE37)),AND(LEFT(CE37,2)="WO",OR(ISNUMBER(FIND("NUM",CE37)),RIGHT(CE37,2)="NO"))))+8*(LEFT(CE37,3)="SEQ")+16*(AND(LEFT(CE37,4)="ITEM",NOT(ISNUMBER(FIND("DESC",CE37)))))+32*(AND(ISNUMBER(FIND("DESC",CE37)),NOT(ISNUMBER(FIND("CAP",CE37)))))+64*(OR(RIGHT(CE37,5)="COUNT",RIGHT(CE37,2)="CT"))+128*(ISNUMBER(FIND("BULK",CE37)))+256*(ISNUMBER(FIND("SIZE",CE37)))+512*(LEFT(CE37,3)="CAP")+1024*(ISNUMBER(FIND("ALLERG",CE37)))+2048*(OR(ISNUMBER(FIND("REMARK",CE37)),ISNUMBER(FIND("COMMENT",CE37))))+4096*(OR(ISNUMBER(FIND("QTY",CE37)),ISNUMBER(FIND("QUANTITY",CE37))))+8192*(AND(OR(ISNUMBER(FIND("COMPLETE",CE37)),ISNUMBER(FIND("PCT",CE37)),ISNUMBER(FIND("PERCENT",CE37))),NOT(ISNUMBER(FIND("ACTUAL",CE37))),LEN(CE37)&lt;=16))+32768*(OR(ISNUMBER(FIND("DESIC",CE37)),ISNUMBER(FIND("DESSIC",CE37)))))</f>
        <v/>
      </c>
      <c r="CF172">
        <f>IF(CF37="",0,2*(OR(ISNUMBER(FIND("WORKCENTER",CF37)),AND(LEFT(CF37,4)="LINE",NOT(ISNUMBER(FIND("STATUS",CF37))))))+4*(OR(ISNUMBER(FIND("WORKORDER",CF37)),AND(LEFT(CF37,2)="WO",OR(ISNUMBER(FIND("NUM",CF37)),RIGHT(CF37,2)="NO"))))+8*(LEFT(CF37,3)="SEQ")+16*(AND(LEFT(CF37,4)="ITEM",NOT(ISNUMBER(FIND("DESC",CF37)))))+32*(AND(ISNUMBER(FIND("DESC",CF37)),NOT(ISNUMBER(FIND("CAP",CF37)))))+64*(OR(RIGHT(CF37,5)="COUNT",RIGHT(CF37,2)="CT"))+128*(ISNUMBER(FIND("BULK",CF37)))+256*(ISNUMBER(FIND("SIZE",CF37)))+512*(LEFT(CF37,3)="CAP")+1024*(ISNUMBER(FIND("ALLERG",CF37)))+2048*(OR(ISNUMBER(FIND("REMARK",CF37)),ISNUMBER(FIND("COMMENT",CF37))))+4096*(OR(ISNUMBER(FIND("QTY",CF37)),ISNUMBER(FIND("QUANTITY",CF37))))+8192*(AND(OR(ISNUMBER(FIND("COMPLETE",CF37)),ISNUMBER(FIND("PCT",CF37)),ISNUMBER(FIND("PERCENT",CF37))),NOT(ISNUMBER(FIND("ACTUAL",CF37))),LEN(CF37)&lt;=16))+32768*(OR(ISNUMBER(FIND("DESIC",CF37)),ISNUMBER(FIND("DESSIC",CF37)))))</f>
        <v/>
      </c>
      <c r="DA172" t="n">
        <v>168</v>
      </c>
      <c r="DB172">
        <f>IF($B$37=0,"",IFERROR(TRIM(SUBSTITUTE(SUBSTITUTE(SUBSTITUTE(SUBSTITUTE(INDEX(PASTE_ALL,168,$B$37)," "," "),CHAR(9)," "),CHAR(10)," "),CHAR(13)," ")),""))</f>
        <v/>
      </c>
      <c r="DC172">
        <f>IF(AND(168&gt;HEADER_ROW,UPPER(DB172)="LEGEND"),1,0)</f>
        <v/>
      </c>
      <c r="DE172" t="n">
        <v>168</v>
      </c>
      <c r="DF172">
        <f>HEADER_ROW+$DE172</f>
        <v/>
      </c>
      <c r="DG172">
        <f>IF(AND($DF172&lt;=1000,$DF172&lt;$B$8),1,0)</f>
        <v/>
      </c>
      <c r="DH172">
        <f>IF($DG172=1,IFERROR(INDEX($DB$5:$DB$1004,$DF172),""),"")</f>
        <v/>
      </c>
      <c r="DI172">
        <f>IF(AND($DG172=1,$DH172&lt;&gt;""),IFERROR(SUBSTITUTE(SUBSTITUTE(TRIM(SUBSTITUTE(SUBSTITUTE(SUBSTITUTE(SUBSTITUTE(IFERROR(INDEX(PASTE_ALL,$DF172,1)&amp;"","")&amp;"␟"&amp;IFERROR(INDEX(PASTE_ALL,$DF172,2)&amp;"","")&amp;"␟"&amp;IFERROR(INDEX(PASTE_ALL,$DF172,3)&amp;"","")&amp;"␟"&amp;IFERROR(INDEX(PASTE_ALL,$DF172,4)&amp;"","")&amp;"␟"&amp;IFERROR(INDEX(PASTE_ALL,$DF172,5)&amp;"","")&amp;"␟"&amp;IFERROR(INDEX(PASTE_ALL,$DF172,6)&amp;"","")&amp;"␟"&amp;IFERROR(INDEX(PASTE_ALL,$DF172,7)&amp;"","")&amp;"␟"&amp;IFERROR(INDEX(PASTE_ALL,$DF172,8)&amp;"","")&amp;"␟"&amp;IFERROR(INDEX(PASTE_ALL,$DF172,9)&amp;"","")&amp;"␟"&amp;IFERROR(INDEX(PASTE_ALL,$DF172,10)&amp;"","")&amp;"␟"&amp;IFERROR(INDEX(PASTE_ALL,$DF172,11)&amp;"","")&amp;"␟"&amp;IFERROR(INDEX(PASTE_ALL,$DF172,12)&amp;"","")&amp;"␟"&amp;IFERROR(INDEX(PASTE_ALL,$DF172,13)&amp;"","")&amp;"␟"&amp;IFERROR(INDEX(PASTE_ALL,$DF172,14)&amp;"","")&amp;"␟"&amp;IFERROR(INDEX(PASTE_ALL,$DF172,15)&amp;"","")&amp;"␟"&amp;IFERROR(INDEX(PASTE_ALL,$DF172,16)&amp;"","")&amp;"␟"&amp;IFERROR(INDEX(PASTE_ALL,$DF172,17)&amp;"","")&amp;"␟"&amp;IFERROR(INDEX(PASTE_ALL,$DF172,18)&amp;"","")&amp;"␟"&amp;IFERROR(INDEX(PASTE_ALL,$DF172,19)&amp;"","")&amp;"␟"&amp;IFERROR(INDEX(PASTE_ALL,$DF172,20)&amp;"","")&amp;"␟"&amp;IFERROR(INDEX(PASTE_ALL,$DF172,21)&amp;"","")&amp;"␟"&amp;IFERROR(INDEX(PASTE_ALL,$DF172,22)&amp;"","")&amp;"␟"&amp;IFERROR(INDEX(PASTE_ALL,$DF172,23)&amp;"","")&amp;"␟"&amp;IFERROR(INDEX(PASTE_ALL,$DF172,24)&amp;"","")&amp;"␟"&amp;IFERROR(INDEX(PASTE_ALL,$DF172,25)&amp;"","")&amp;"␟"&amp;IFERROR(INDEX(PASTE_ALL,$DF172,26)&amp;"","")&amp;"␟"&amp;IFERROR(INDEX(PASTE_ALL,$DF172,27)&amp;"","")&amp;"␟"&amp;IFERROR(INDEX(PASTE_ALL,$DF172,28)&amp;"","")&amp;"␟"&amp;IFERROR(INDEX(PASTE_ALL,$DF172,29)&amp;"","")&amp;"␟"&amp;IFERROR(INDEX(PASTE_ALL,$DF172,30)&amp;"","")&amp;"␟"&amp;IFERROR(INDEX(PASTE_ALL,$DF172,31)&amp;"","")&amp;"␟"&amp;IFERROR(INDEX(PASTE_ALL,$DF172,32)&amp;"","")&amp;"␟"&amp;IFERROR(INDEX(PASTE_ALL,$DF172,33)&amp;"","")&amp;"␟"&amp;IFERROR(INDEX(PASTE_ALL,$DF172,34)&amp;"","")&amp;"␟"&amp;IFERROR(INDEX(PASTE_ALL,$DF172,35)&amp;"","")&amp;"␟"&amp;IFERROR(INDEX(PASTE_ALL,$DF172,36)&amp;"","")&amp;"␟"&amp;IFERROR(INDEX(PASTE_ALL,$DF172,37)&amp;"","")&amp;"␟"&amp;IFERROR(INDEX(PASTE_ALL,$DF172,38)&amp;"","")&amp;"␟"&amp;IFERROR(INDEX(PASTE_ALL,$DF172,39)&amp;"","")&amp;"␟"&amp;IFERROR(INDEX(PASTE_ALL,$DF172,40)&amp;"","")&amp;"␟"&amp;IFERROR(INDEX(PASTE_ALL,$DF172,41)&amp;"","")&amp;"␟"&amp;IFERROR(INDEX(PASTE_ALL,$DF172,42)&amp;"","")&amp;"␟"&amp;IFERROR(INDEX(PASTE_ALL,$DF172,43)&amp;"","")&amp;"␟"&amp;IFERROR(INDEX(PASTE_ALL,$DF172,44)&amp;"","")&amp;"␟"&amp;IFERROR(INDEX(PASTE_ALL,$DF172,45)&amp;"","")&amp;"␟"&amp;IFERROR(INDEX(PASTE_ALL,$DF172,46)&amp;"","")&amp;"␟"&amp;IFERROR(INDEX(PASTE_ALL,$DF172,47)&amp;"","")&amp;"␟"&amp;IFERROR(INDEX(PASTE_ALL,$DF172,48)&amp;"","")&amp;"␟"&amp;IFERROR(INDEX(PASTE_ALL,$DF172,49)&amp;"","")&amp;"␟"&amp;IFERROR(INDEX(PASTE_ALL,$DF172,50)&amp;"","")&amp;"␟"&amp;IFERROR(INDEX(PASTE_ALL,$DF172,51)&amp;"","")&amp;"␟"&amp;IFERROR(INDEX(PASTE_ALL,$DF172,52)&amp;"","")&amp;"␟"&amp;IFERROR(INDEX(PASTE_ALL,$DF172,53)&amp;"","")&amp;"␟"&amp;IFERROR(INDEX(PASTE_ALL,$DF172,54)&amp;"","")&amp;"␟"&amp;IFERROR(INDEX(PASTE_ALL,$DF172,55)&amp;"","")&amp;"␟"&amp;IFERROR(INDEX(PASTE_ALL,$DF172,56)&amp;"","")&amp;"␟"&amp;IFERROR(INDEX(PASTE_ALL,$DF172,57)&amp;"","")&amp;"␟"&amp;IFERROR(INDEX(PASTE_ALL,$DF172,58)&amp;"","")&amp;"␟"&amp;IFERROR(INDEX(PASTE_ALL,$DF172,59)&amp;"","")&amp;"␟"&amp;IFERROR(INDEX(PASTE_ALL,$DF172,60)&amp;"","")," "," "),CHAR(9)," "),CHAR(10)," "),CHAR(13)," "))," ␟","␟"),"␟ ","␟"),"#"&amp;$DE172),"")</f>
        <v/>
      </c>
      <c r="DJ172">
        <f>IF($DI172="",0,IF(SUMPRODUCT(--EXACT($DI$4:DI171,$DI172))&gt;0,1,0))</f>
        <v/>
      </c>
      <c r="DK172">
        <f>IF(AND($DI172&lt;&gt;"",$DJ172=0),1,0)</f>
        <v/>
      </c>
      <c r="DL172">
        <f>DL171+$DK172</f>
        <v/>
      </c>
      <c r="DM172">
        <f>IF(AND($DK172=1,$DL172&lt;=600),1,0)</f>
        <v/>
      </c>
      <c r="DN172">
        <f>IF($DM172=0,"",IF($L$6=0,"",IFERROR(IF(ISNUMBER(INDEX(PASTE_ALL,$DF172,$L$6)),INDEX(PASTE_ALL,$DF172,$L$6),TRIM(SUBSTITUTE(SUBSTITUTE(SUBSTITUTE(SUBSTITUTE(INDEX(PASTE_ALL,$DF172,$L$6)," "," "),CHAR(9)," "),CHAR(10)," "),CHAR(13)," "))),"")))</f>
        <v/>
      </c>
      <c r="DO172">
        <f>IF($DM172=0,"",IF($L$7=0,"",IFERROR(IF(ISNUMBER(INDEX(PASTE_ALL,$DF172,$L$7)),INDEX(PASTE_ALL,$DF172,$L$7),TRIM(SUBSTITUTE(SUBSTITUTE(SUBSTITUTE(SUBSTITUTE(INDEX(PASTE_ALL,$DF172,$L$7)," "," "),CHAR(9)," "),CHAR(10)," "),CHAR(13)," "))),"")))</f>
        <v/>
      </c>
      <c r="DP172">
        <f>IF($DM172=0,"",IF($L$8=0,"",IFERROR(IF(ISNUMBER(INDEX(PASTE_ALL,$DF172,$L$8)),INDEX(PASTE_ALL,$DF172,$L$8),TRIM(SUBSTITUTE(SUBSTITUTE(SUBSTITUTE(SUBSTITUTE(INDEX(PASTE_ALL,$DF172,$L$8)," "," "),CHAR(9)," "),CHAR(10)," "),CHAR(13)," "))),"")))</f>
        <v/>
      </c>
      <c r="DQ172">
        <f>IF($DM172=0,"",IF($L$9=0,"",IFERROR(IF(ISNUMBER(INDEX(PASTE_ALL,$DF172,$L$9)),INDEX(PASTE_ALL,$DF172,$L$9),TRIM(SUBSTITUTE(SUBSTITUTE(SUBSTITUTE(SUBSTITUTE(INDEX(PASTE_ALL,$DF172,$L$9)," "," "),CHAR(9)," "),CHAR(10)," "),CHAR(13)," "))),"")))</f>
        <v/>
      </c>
      <c r="DR172">
        <f>IF($DM172=0,"",IF($L$10=0,"",IFERROR(IF(ISNUMBER(INDEX(PASTE_ALL,$DF172,$L$10)),INDEX(PASTE_ALL,$DF172,$L$10),TRIM(SUBSTITUTE(SUBSTITUTE(SUBSTITUTE(SUBSTITUTE(INDEX(PASTE_ALL,$DF172,$L$10)," "," "),CHAR(9)," "),CHAR(10)," "),CHAR(13)," "))),"")))</f>
        <v/>
      </c>
      <c r="DS172">
        <f>IF($DM172=0,"",IF($L$11=0,"",IFERROR(IF(ISNUMBER(INDEX(PASTE_ALL,$DF172,$L$11)),INDEX(PASTE_ALL,$DF172,$L$11),TRIM(SUBSTITUTE(SUBSTITUTE(SUBSTITUTE(SUBSTITUTE(INDEX(PASTE_ALL,$DF172,$L$11)," "," "),CHAR(9)," "),CHAR(10)," "),CHAR(13)," "))),"")))</f>
        <v/>
      </c>
      <c r="DT172">
        <f>IF($DM172=0,"",IF($L$12=0,"",IFERROR(IF(ISNUMBER(INDEX(PASTE_ALL,$DF172,$L$12)),INDEX(PASTE_ALL,$DF172,$L$12),TRIM(SUBSTITUTE(SUBSTITUTE(SUBSTITUTE(SUBSTITUTE(INDEX(PASTE_ALL,$DF172,$L$12)," "," "),CHAR(9)," "),CHAR(10)," "),CHAR(13)," "))),"")))</f>
        <v/>
      </c>
      <c r="DU172">
        <f>IF($DM172=0,"",IF($L$13=0,"",IFERROR(IF(ISNUMBER(INDEX(PASTE_ALL,$DF172,$L$13)),INDEX(PASTE_ALL,$DF172,$L$13),TRIM(SUBSTITUTE(SUBSTITUTE(SUBSTITUTE(SUBSTITUTE(INDEX(PASTE_ALL,$DF172,$L$13)," "," "),CHAR(9)," "),CHAR(10)," "),CHAR(13)," "))),"")))</f>
        <v/>
      </c>
      <c r="DV172">
        <f>IF($DM172=0,"",IF($L$14=0,"",IFERROR(IF(ISNUMBER(INDEX(PASTE_ALL,$DF172,$L$14)),INDEX(PASTE_ALL,$DF172,$L$14),TRIM(SUBSTITUTE(SUBSTITUTE(SUBSTITUTE(SUBSTITUTE(INDEX(PASTE_ALL,$DF172,$L$14)," "," "),CHAR(9)," "),CHAR(10)," "),CHAR(13)," "))),"")))</f>
        <v/>
      </c>
      <c r="DW172">
        <f>IF($DM172=0,"",IF($L$15=0,"",IFERROR(IF(ISNUMBER(INDEX(PASTE_ALL,$DF172,$L$15)),INDEX(PASTE_ALL,$DF172,$L$15),IF(SUMPRODUCT(--ISNUMBER(FIND({"A","B","C","D","E","F","G","H","I","J","K","L","M","N","O","P","Q","R","S","T","U","V","W","X","Y","Z","0","1","2","3","4","5","6","7","8","9"},UPPER(TRIM(SUBSTITUTE(SUBSTITUTE(SUBSTITUTE(SUBSTITUTE(INDEX(PASTE_ALL,$DF172,$L$15)," "," "),CHAR(9)," "),CHAR(10)," "),CHAR(13)," "))))))&gt;0,TRIM(SUBSTITUTE(SUBSTITUTE(SUBSTITUTE(SUBSTITUTE(INDEX(PASTE_ALL,$DF172,$L$15)," "," "),CHAR(9)," "),CHAR(10)," "),CHAR(13)," ")),"")),"")))</f>
        <v/>
      </c>
      <c r="DX172">
        <f>IF($DM172=0,"",IF($L$16=0,"",IFERROR(IF(ISNUMBER(INDEX(PASTE_ALL,$DF172,$L$16)),INDEX(PASTE_ALL,$DF172,$L$16),SUBSTITUTE(SUBSTITUTE(TRIM(SUBSTITUTE(SUBSTITUTE(SUBSTITUTE(SUBSTITUTE(INDEX(PASTE_ALL,$DF172,$L$16)," "," "),CHAR(9)," "),CHAR(10)," "),CHAR(13)," ")),",",""),"%","")),"")))</f>
        <v/>
      </c>
      <c r="DY172">
        <f>IF($DM172=0,"",IFERROR(IF(ISNUMBER($DX172),$DX172,IF($DX172="","",IF(TRIM($DX172)="",0,IF(AND(AND(SUBSTITUTE(SUBSTITUTE(SUBSTITUTE(SUBSTITUTE(SUBSTITUTE(SUBSTITUTE(SUBSTITUTE(SUBSTITUTE(SUBSTITUTE(SUBSTITUTE(SUBSTITUTE(SUBSTITUTE(SUBSTITUTE(SUBSTITUTE(UPPER(TRIM($DX172)),"0",""),"1",""),"2",""),"3",""),"4",""),"5",""),"6",""),"7",""),"8",""),"9",""),".",""),"+",""),"-",""),"E","")="",LEN(SUBSTITUTE(SUBSTITUTE(MID(UPPER(TRIM($DX172)),1+OR(LEFT(UPPER(TRIM($DX172)),1)="+",LEFT(UPPER(TRIM($DX172)),1)="-"),999),"E+","E"),"E-","E"))=LEN(SUBSTITUTE(SUBSTITUTE(SUBSTITUTE(SUBSTITUTE(MID(UPPER(TRIM($DX172)),1+OR(LEFT(UPPER(TRIM($DX172)),1)="+",LEFT(UPPER(TRIM($DX172)),1)="-"),999),"E+","E"),"E-","E"),"+",""),"-","")),LEN(UPPER(TRIM($DX172)))-LEN(SUBSTITUTE(UPPER(TRIM($DX172)),"E",""))&lt;2,LEN(UPPER(TRIM($DX172)))-LEN(SUBSTITUTE(UPPER(TRIM($DX172)),".",""))&lt;2,IFERROR(FIND(".",UPPER(TRIM($DX172))),0)&lt;IFERROR(FIND("E",UPPER(TRIM($DX172))),999)),ISNUMBER(VALUE(TRIM($DX172)))),VALUE(TRIM($DX172)),"")))),""))</f>
        <v/>
      </c>
      <c r="DZ172">
        <f>IF($DM172=0,"",IF($L$17=0,"",IFERROR(IF(ISNUMBER(INDEX(PASTE_ALL,$DF172,$L$17)),INDEX(PASTE_ALL,$DF172,$L$17),SUBSTITUTE(SUBSTITUTE(TRIM(SUBSTITUTE(SUBSTITUTE(SUBSTITUTE(SUBSTITUTE(INDEX(PASTE_ALL,$DF172,$L$17)," "," "),CHAR(9)," "),CHAR(10)," "),CHAR(13)," ")),",",""),"%","")),"")))</f>
        <v/>
      </c>
      <c r="EA172">
        <f>IF($DM172=0,"",IFERROR(IF(ISNUMBER($DZ172),$DZ172,IF($DZ172="","",IF(TRIM($DZ172)="",0,IF(AND(AND(SUBSTITUTE(SUBSTITUTE(SUBSTITUTE(SUBSTITUTE(SUBSTITUTE(SUBSTITUTE(SUBSTITUTE(SUBSTITUTE(SUBSTITUTE(SUBSTITUTE(SUBSTITUTE(SUBSTITUTE(SUBSTITUTE(SUBSTITUTE(UPPER(TRIM($DZ172)),"0",""),"1",""),"2",""),"3",""),"4",""),"5",""),"6",""),"7",""),"8",""),"9",""),".",""),"+",""),"-",""),"E","")="",LEN(SUBSTITUTE(SUBSTITUTE(MID(UPPER(TRIM($DZ172)),1+OR(LEFT(UPPER(TRIM($DZ172)),1)="+",LEFT(UPPER(TRIM($DZ172)),1)="-"),999),"E+","E"),"E-","E"))=LEN(SUBSTITUTE(SUBSTITUTE(SUBSTITUTE(SUBSTITUTE(MID(UPPER(TRIM($DZ172)),1+OR(LEFT(UPPER(TRIM($DZ172)),1)="+",LEFT(UPPER(TRIM($DZ172)),1)="-"),999),"E+","E"),"E-","E"),"+",""),"-","")),LEN(UPPER(TRIM($DZ172)))-LEN(SUBSTITUTE(UPPER(TRIM($DZ172)),"E",""))&lt;2,LEN(UPPER(TRIM($DZ172)))-LEN(SUBSTITUTE(UPPER(TRIM($DZ172)),".",""))&lt;2,IFERROR(FIND(".",UPPER(TRIM($DZ172))),0)&lt;IFERROR(FIND("E",UPPER(TRIM($DZ172))),999)),ISNUMBER(VALUE(TRIM($DZ172)))),VALUE(TRIM($DZ172)),"")))),""))</f>
        <v/>
      </c>
      <c r="EB172">
        <f>IF($DM172=0,"",IF($L$18=0,"",IFERROR(IF(UPPER(TRIM(SUBSTITUTE(SUBSTITUTE(SUBSTITUTE(SUBSTITUTE(INDEX(PASTE_ALL,$DF172,$L$18)," "," "),CHAR(9)," "),CHAR(10)," "),CHAR(13)," ")))="READY","Ready",IF(UPPER(TRIM(SUBSTITUTE(SUBSTITUTE(SUBSTITUTE(SUBSTITUTE(INDEX(PASTE_ALL,$DF172,$L$18)," "," "),CHAR(9)," "),CHAR(10)," "),CHAR(13)," ")))="PM","PM",IF(OR(UPPER(TRIM(SUBSTITUTE(SUBSTITUTE(SUBSTITUTE(SUBSTITUTE(INDEX(PASTE_ALL,$DF172,$L$18)," "," "),CHAR(9)," "),CHAR(10)," "),CHAR(13)," ")))="OT",UPPER(TRIM(SUBSTITUTE(SUBSTITUTE(SUBSTITUTE(SUBSTITUTE(INDEX(PASTE_ALL,$DF172,$L$18)," "," "),CHAR(9)," "),CHAR(10)," "),CHAR(13)," ")))="OVERTIME",UPPER(TRIM(SUBSTITUTE(SUBSTITUTE(SUBSTITUTE(SUBSTITUTE(INDEX(PASTE_ALL,$DF172,$L$18)," "," "),CHAR(9)," "),CHAR(10)," "),CHAR(13)," ")))="TRIAL"),"OT",TRIM(SUBSTITUTE(SUBSTITUTE(SUBSTITUTE(SUBSTITUTE(INDEX(PASTE_ALL,$DF172,$L$18)," "," "),CHAR(9)," "),CHAR(10)," "),CHAR(13)," "))))),"")))</f>
        <v/>
      </c>
      <c r="EC172">
        <f>IF($DM172=0,"",IF($L$19=0,"",IFERROR(IF(ISNUMBER(INDEX(PASTE_ALL,$DF172,$L$19)),INDEX(PASTE_ALL,$DF172,$L$19),TRIM(SUBSTITUTE(SUBSTITUTE(SUBSTITUTE(SUBSTITUTE(INDEX(PASTE_ALL,$DF172,$L$19)," "," "),CHAR(9)," "),CHAR(10)," "),CHAR(13)," "))),"")))</f>
        <v/>
      </c>
      <c r="ED172">
        <f>IF($DM172=0,"",MATCH(1,INDEX(EXACT($DH$5:DH172,$DH172)*$DM$5:DM172,0),0))</f>
        <v/>
      </c>
      <c r="EE172">
        <f>IF($DM172=0,0,IF($ED172=$DE172,1,0))</f>
        <v/>
      </c>
      <c r="EF172">
        <f>EF171+$EE172</f>
        <v/>
      </c>
      <c r="EG172">
        <f>IF($DM172=0,"",INDEX($EF$5:$EF$1003,$ED172))</f>
        <v/>
      </c>
      <c r="EH172">
        <f>IF($DM172=0,"",IF($DO172&lt;&gt;"","",IFERROR(LOOKUP(2,1/(($EG$4:EG171=$EG172)*($DO$4:DO171&lt;&gt;"")),$DO$4:DO171),"")))</f>
        <v/>
      </c>
      <c r="EI172">
        <f>IF($DM172=0,"",IF($DO172&lt;&gt;"",$DO172,$EH172))</f>
        <v/>
      </c>
      <c r="EJ172">
        <f>IF($DM172=0,"",IF($EI172="",0,IF(OR(ISNUMBER($EI172),AND(AND(SUBSTITUTE(SUBSTITUTE(SUBSTITUTE(SUBSTITUTE(SUBSTITUTE(SUBSTITUTE(SUBSTITUTE(SUBSTITUTE(SUBSTITUTE(SUBSTITUTE(SUBSTITUTE(SUBSTITUTE(SUBSTITUTE(SUBSTITUTE(UPPER($EI172),"0",""),"1",""),"2",""),"3",""),"4",""),"5",""),"6",""),"7",""),"8",""),"9",""),".",""),"+",""),"-",""),"E","")="",LEN(SUBSTITUTE(SUBSTITUTE(MID(UPPER($EI172),1+OR(LEFT(UPPER($EI172),1)="+",LEFT(UPPER($EI172),1)="-"),999),"E+","E"),"E-","E"))=LEN(SUBSTITUTE(SUBSTITUTE(SUBSTITUTE(SUBSTITUTE(MID(UPPER($EI172),1+OR(LEFT(UPPER($EI172),1)="+",LEFT(UPPER($EI172),1)="-"),999),"E+","E"),"E-","E"),"+",""),"-","")),LEN(UPPER($EI172))-LEN(SUBSTITUTE(UPPER($EI172),"E",""))&lt;2,LEN(UPPER($EI172))-LEN(SUBSTITUTE(UPPER($EI172),".",""))&lt;2,IFERROR(FIND(".",UPPER($EI172)),0)&lt;IFERROR(FIND("E",UPPER($EI172)),999)),ISNUMBER(VALUE($EI172)))),1,2)))</f>
        <v/>
      </c>
      <c r="EK172">
        <f>IF($DM172=0,"",IF($EJ172=1,IF(ISNUMBER($EI172),$EI172,VALUE($EI172)),IF($EJ172=2,$DE172,0)))</f>
        <v/>
      </c>
      <c r="EL172">
        <f>IF($DM172=0,"",COUNTIF($EG$5:$EG$1003,"&lt;"&amp;$EG172)+SUMPRODUCT(($EG$5:$EG$1003=$EG172)*(($EJ$5:$EJ$1003&lt;$EJ172)+($EJ$5:$EJ$1003=$EJ172)*(($EK$5:$EK$1003&lt;$EK172)+($EK$5:$EK$1003=$EK172)*($DE$5:$DE$1003&lt;$DE172))))+1)</f>
        <v/>
      </c>
      <c r="EM172">
        <f>IF($DM172=0,"",$EL172+$EG172-1)</f>
        <v/>
      </c>
      <c r="EN172">
        <f>IF($DM172=0,0,IFERROR(MATCH(1,INDEX(--(TRIM(SUBSTITUTE(SUBSTITUTE(SUBSTITUTE(SUBSTITUTE(LINES_NAME&amp;""," "," "),CHAR(9)," "),CHAR(10)," "),CHAR(13)," "))=$DH172),0),0),0))</f>
        <v/>
      </c>
      <c r="EO172">
        <f>IF($EN172=0,0,IF(OR(UPPER(TRIM(INDEX(LINES_SCHEDULED,$EN172)&amp;""))="YES",UPPER(TRIM(INDEX(LINES_SCHEDULED,$EN172)&amp;""))="Y",UPPER(TRIM(INDEX(LINES_SCHEDULED,$EN172)&amp;""))="X"),1,0))</f>
        <v/>
      </c>
      <c r="EP172">
        <f>IF($DM172=0,"",IF(COUNTIFS($EG$5:$EG$1003,$EG172,$EB$5:$EB$1003,"Ready")&gt;0,"READY",IF(COUNTIFS($EG$5:$EG$1003,$EG172,$EB$5:$EB$1003,"PM")&gt;0,"PM",IF(COUNTIFS($EG$5:$EG$1003,$EG172,$EB$5:$EB$1003,"OT")&gt;0,"OT",""))))</f>
        <v/>
      </c>
      <c r="EQ172">
        <f>IF($EN172=0,"",UPPER(TRIM(INDEX(LINES_STATUS,$EN172)&amp;"")))</f>
        <v/>
      </c>
      <c r="ER172">
        <f>IF($DM172=0,"",IF(OR($EQ172="READY",$EQ172="PM",$EQ172="OT"),$EQ172,$EP172))</f>
        <v/>
      </c>
      <c r="ES172">
        <f>IF($DM172=0,"",IF(AND($DV172&lt;&gt;"",UPPER($DV172)&lt;&gt;"N"),"allergen",IF(ISNUMBER(SEARCH("oil",$DQ172)),"oil",IF(OR(EXACT($DS172,"A662"),EXACT($DS172,"A624")),"bulk",""))))</f>
        <v/>
      </c>
      <c r="ET172">
        <f>IF($DM172=0,"",IF(OR($EA172="",$EA172=0),"",$EA172/100))</f>
        <v/>
      </c>
      <c r="EU172">
        <f>IF(OR($ET172="",$DY172=""),"",INT($DY172*(1-$ET172)+0.5))</f>
        <v/>
      </c>
      <c r="EW172" t="n">
        <v>168</v>
      </c>
      <c r="EX172">
        <f>IFERROR(MATCH($EW172,$EM$5:$EM$1003,0),0)</f>
        <v/>
      </c>
      <c r="EY172">
        <f>IF($EW172&gt;$B$12,"",IF($EX172&gt;0,"row","spacer"))</f>
        <v/>
      </c>
      <c r="EZ172">
        <f>IF(AND($EY172="row",$EY171&lt;&gt;"row"),1,0)</f>
        <v/>
      </c>
      <c r="FA172">
        <f>IF(AND($EY172="row",$EY173&lt;&gt;"row"),1,0)</f>
        <v/>
      </c>
      <c r="FB172">
        <f>IF($EZ172=1,IFERROR(IF(ISNUMBER(INDEX(PASTE_ALL,INDEX($DF$5:$DF$1003,$EX172),$B$37)),INDEX(PASTE_ALL,INDEX($DF$5:$DF$1003,$EX172),$B$37),INDEX($DH$5:$DH$1003,$EX172)),INDEX($DH$5:$DH$1003,$EX172)),"")</f>
        <v/>
      </c>
      <c r="FC172">
        <f>IF($EY172="row",INDEX($ER$5:$ER$1003,$EX172),"")</f>
        <v/>
      </c>
      <c r="FD172">
        <f>IF($EY172="row",INDEX($DN$5:$DN$1003,$EX172),"")</f>
        <v/>
      </c>
      <c r="FE172">
        <f>IF($EY172="row",INDEX($DO$5:$DO$1003,$EX172),"")</f>
        <v/>
      </c>
      <c r="FF172">
        <f>IF($EY172="row",INDEX($DP$5:$DP$1003,$EX172),"")</f>
        <v/>
      </c>
      <c r="FG172">
        <f>IF($EY172="row",INDEX($DQ$5:$DQ$1003,$EX172),"")</f>
        <v/>
      </c>
      <c r="FH172">
        <f>IF($EY172="row",INDEX($DR$5:$DR$1003,$EX172),"")</f>
        <v/>
      </c>
      <c r="FI172">
        <f>IF($EY172="row",INDEX($DS$5:$DS$1003,$EX172),"")</f>
        <v/>
      </c>
      <c r="FJ172">
        <f>IF($EY172="row",INDEX($DT$5:$DT$1003,$EX172),"")</f>
        <v/>
      </c>
      <c r="FK172">
        <f>IF($EY172="row",INDEX($DU$5:$DU$1003,$EX172),"")</f>
        <v/>
      </c>
      <c r="FL172">
        <f>IF($EY172="row",INDEX($DV$5:$DV$1003,$EX172),"")</f>
        <v/>
      </c>
      <c r="FM172">
        <f>IF($EY172="row",INDEX($DW$5:$DW$1003,$EX172),"")</f>
        <v/>
      </c>
      <c r="FN172">
        <f>IF($EY172="row",INDEX($DY$5:$DY$1003,$EX172),"")</f>
        <v/>
      </c>
      <c r="FO172">
        <f>IF($EY172="row",INDEX($EA$5:$EA$1003,$EX172),"")</f>
        <v/>
      </c>
      <c r="FP172">
        <f>IF($EY172="row",INDEX($EC$5:$EC$1003,$EX172),"")</f>
        <v/>
      </c>
      <c r="FQ172">
        <f>IF($EY172="row",INDEX($ET$5:$ET$1003,$EX172),"")</f>
        <v/>
      </c>
      <c r="FR172">
        <f>IF($EY172="row",INDEX($EU$5:$EU$1003,$EX172),"")</f>
        <v/>
      </c>
      <c r="FS172">
        <f>IF(AND($EY172="row",$EY171="row"),IF(OR(INDEX($DT$5:$DT$1003,$EX171)="",INDEX($DT$5:$DT$1003,$EX172)=""),"",IF(NOT(EXACT(INDEX($DT$5:$DT$1003,$EX171),INDEX($DT$5:$DT$1003,$EX172))),"S4",IF(NOT(EXACT(INDEX($DS$5:$DS$1003,$EX171),INDEX($DS$5:$DS$1003,$EX172))),"S3",IF(NOT(EXACT(INDEX($DR$5:$DR$1003,$EX171),INDEX($DR$5:$DR$1003,$EX172))),"S1 Count Change","S1")))),"")</f>
        <v/>
      </c>
      <c r="FT172">
        <f>IF($EY172="row",INDEX($ES$5:$ES$1003,$EX172),"")</f>
        <v/>
      </c>
      <c r="FU172">
        <f>IF($EY172="row",INDEX($EO$5:$EO$1003,$EX172),0)</f>
        <v/>
      </c>
      <c r="FV172">
        <f>IF($FS172="S1 Count Change",1,0)</f>
        <v/>
      </c>
    </row>
    <row r="173">
      <c r="Y173">
        <f>IF(Y38="",0,2*(OR(ISNUMBER(FIND("WORKCENTER",Y38)),AND(LEFT(Y38,4)="LINE",NOT(ISNUMBER(FIND("STATUS",Y38))))))+4*(OR(ISNUMBER(FIND("WORKORDER",Y38)),AND(LEFT(Y38,2)="WO",OR(ISNUMBER(FIND("NUM",Y38)),RIGHT(Y38,2)="NO"))))+8*(LEFT(Y38,3)="SEQ")+16*(AND(LEFT(Y38,4)="ITEM",NOT(ISNUMBER(FIND("DESC",Y38)))))+32*(AND(ISNUMBER(FIND("DESC",Y38)),NOT(ISNUMBER(FIND("CAP",Y38)))))+64*(OR(RIGHT(Y38,5)="COUNT",RIGHT(Y38,2)="CT"))+128*(ISNUMBER(FIND("BULK",Y38)))+256*(ISNUMBER(FIND("SIZE",Y38)))+512*(LEFT(Y38,3)="CAP")+1024*(ISNUMBER(FIND("ALLERG",Y38)))+2048*(OR(ISNUMBER(FIND("REMARK",Y38)),ISNUMBER(FIND("COMMENT",Y38))))+4096*(OR(ISNUMBER(FIND("QTY",Y38)),ISNUMBER(FIND("QUANTITY",Y38))))+8192*(AND(OR(ISNUMBER(FIND("COMPLETE",Y38)),ISNUMBER(FIND("PCT",Y38)),ISNUMBER(FIND("PERCENT",Y38))),NOT(ISNUMBER(FIND("ACTUAL",Y38))),LEN(Y38)&lt;=16))+32768*(OR(ISNUMBER(FIND("DESIC",Y38)),ISNUMBER(FIND("DESSIC",Y38)))))</f>
        <v/>
      </c>
      <c r="Z173">
        <f>IF(Z38="",0,2*(OR(ISNUMBER(FIND("WORKCENTER",Z38)),AND(LEFT(Z38,4)="LINE",NOT(ISNUMBER(FIND("STATUS",Z38))))))+4*(OR(ISNUMBER(FIND("WORKORDER",Z38)),AND(LEFT(Z38,2)="WO",OR(ISNUMBER(FIND("NUM",Z38)),RIGHT(Z38,2)="NO"))))+8*(LEFT(Z38,3)="SEQ")+16*(AND(LEFT(Z38,4)="ITEM",NOT(ISNUMBER(FIND("DESC",Z38)))))+32*(AND(ISNUMBER(FIND("DESC",Z38)),NOT(ISNUMBER(FIND("CAP",Z38)))))+64*(OR(RIGHT(Z38,5)="COUNT",RIGHT(Z38,2)="CT"))+128*(ISNUMBER(FIND("BULK",Z38)))+256*(ISNUMBER(FIND("SIZE",Z38)))+512*(LEFT(Z38,3)="CAP")+1024*(ISNUMBER(FIND("ALLERG",Z38)))+2048*(OR(ISNUMBER(FIND("REMARK",Z38)),ISNUMBER(FIND("COMMENT",Z38))))+4096*(OR(ISNUMBER(FIND("QTY",Z38)),ISNUMBER(FIND("QUANTITY",Z38))))+8192*(AND(OR(ISNUMBER(FIND("COMPLETE",Z38)),ISNUMBER(FIND("PCT",Z38)),ISNUMBER(FIND("PERCENT",Z38))),NOT(ISNUMBER(FIND("ACTUAL",Z38))),LEN(Z38)&lt;=16))+32768*(OR(ISNUMBER(FIND("DESIC",Z38)),ISNUMBER(FIND("DESSIC",Z38)))))</f>
        <v/>
      </c>
      <c r="AA173">
        <f>IF(AA38="",0,2*(OR(ISNUMBER(FIND("WORKCENTER",AA38)),AND(LEFT(AA38,4)="LINE",NOT(ISNUMBER(FIND("STATUS",AA38))))))+4*(OR(ISNUMBER(FIND("WORKORDER",AA38)),AND(LEFT(AA38,2)="WO",OR(ISNUMBER(FIND("NUM",AA38)),RIGHT(AA38,2)="NO"))))+8*(LEFT(AA38,3)="SEQ")+16*(AND(LEFT(AA38,4)="ITEM",NOT(ISNUMBER(FIND("DESC",AA38)))))+32*(AND(ISNUMBER(FIND("DESC",AA38)),NOT(ISNUMBER(FIND("CAP",AA38)))))+64*(OR(RIGHT(AA38,5)="COUNT",RIGHT(AA38,2)="CT"))+128*(ISNUMBER(FIND("BULK",AA38)))+256*(ISNUMBER(FIND("SIZE",AA38)))+512*(LEFT(AA38,3)="CAP")+1024*(ISNUMBER(FIND("ALLERG",AA38)))+2048*(OR(ISNUMBER(FIND("REMARK",AA38)),ISNUMBER(FIND("COMMENT",AA38))))+4096*(OR(ISNUMBER(FIND("QTY",AA38)),ISNUMBER(FIND("QUANTITY",AA38))))+8192*(AND(OR(ISNUMBER(FIND("COMPLETE",AA38)),ISNUMBER(FIND("PCT",AA38)),ISNUMBER(FIND("PERCENT",AA38))),NOT(ISNUMBER(FIND("ACTUAL",AA38))),LEN(AA38)&lt;=16))+32768*(OR(ISNUMBER(FIND("DESIC",AA38)),ISNUMBER(FIND("DESSIC",AA38)))))</f>
        <v/>
      </c>
      <c r="AB173">
        <f>IF(AB38="",0,2*(OR(ISNUMBER(FIND("WORKCENTER",AB38)),AND(LEFT(AB38,4)="LINE",NOT(ISNUMBER(FIND("STATUS",AB38))))))+4*(OR(ISNUMBER(FIND("WORKORDER",AB38)),AND(LEFT(AB38,2)="WO",OR(ISNUMBER(FIND("NUM",AB38)),RIGHT(AB38,2)="NO"))))+8*(LEFT(AB38,3)="SEQ")+16*(AND(LEFT(AB38,4)="ITEM",NOT(ISNUMBER(FIND("DESC",AB38)))))+32*(AND(ISNUMBER(FIND("DESC",AB38)),NOT(ISNUMBER(FIND("CAP",AB38)))))+64*(OR(RIGHT(AB38,5)="COUNT",RIGHT(AB38,2)="CT"))+128*(ISNUMBER(FIND("BULK",AB38)))+256*(ISNUMBER(FIND("SIZE",AB38)))+512*(LEFT(AB38,3)="CAP")+1024*(ISNUMBER(FIND("ALLERG",AB38)))+2048*(OR(ISNUMBER(FIND("REMARK",AB38)),ISNUMBER(FIND("COMMENT",AB38))))+4096*(OR(ISNUMBER(FIND("QTY",AB38)),ISNUMBER(FIND("QUANTITY",AB38))))+8192*(AND(OR(ISNUMBER(FIND("COMPLETE",AB38)),ISNUMBER(FIND("PCT",AB38)),ISNUMBER(FIND("PERCENT",AB38))),NOT(ISNUMBER(FIND("ACTUAL",AB38))),LEN(AB38)&lt;=16))+32768*(OR(ISNUMBER(FIND("DESIC",AB38)),ISNUMBER(FIND("DESSIC",AB38)))))</f>
        <v/>
      </c>
      <c r="AC173">
        <f>IF(AC38="",0,2*(OR(ISNUMBER(FIND("WORKCENTER",AC38)),AND(LEFT(AC38,4)="LINE",NOT(ISNUMBER(FIND("STATUS",AC38))))))+4*(OR(ISNUMBER(FIND("WORKORDER",AC38)),AND(LEFT(AC38,2)="WO",OR(ISNUMBER(FIND("NUM",AC38)),RIGHT(AC38,2)="NO"))))+8*(LEFT(AC38,3)="SEQ")+16*(AND(LEFT(AC38,4)="ITEM",NOT(ISNUMBER(FIND("DESC",AC38)))))+32*(AND(ISNUMBER(FIND("DESC",AC38)),NOT(ISNUMBER(FIND("CAP",AC38)))))+64*(OR(RIGHT(AC38,5)="COUNT",RIGHT(AC38,2)="CT"))+128*(ISNUMBER(FIND("BULK",AC38)))+256*(ISNUMBER(FIND("SIZE",AC38)))+512*(LEFT(AC38,3)="CAP")+1024*(ISNUMBER(FIND("ALLERG",AC38)))+2048*(OR(ISNUMBER(FIND("REMARK",AC38)),ISNUMBER(FIND("COMMENT",AC38))))+4096*(OR(ISNUMBER(FIND("QTY",AC38)),ISNUMBER(FIND("QUANTITY",AC38))))+8192*(AND(OR(ISNUMBER(FIND("COMPLETE",AC38)),ISNUMBER(FIND("PCT",AC38)),ISNUMBER(FIND("PERCENT",AC38))),NOT(ISNUMBER(FIND("ACTUAL",AC38))),LEN(AC38)&lt;=16))+32768*(OR(ISNUMBER(FIND("DESIC",AC38)),ISNUMBER(FIND("DESSIC",AC38)))))</f>
        <v/>
      </c>
      <c r="AD173">
        <f>IF(AD38="",0,2*(OR(ISNUMBER(FIND("WORKCENTER",AD38)),AND(LEFT(AD38,4)="LINE",NOT(ISNUMBER(FIND("STATUS",AD38))))))+4*(OR(ISNUMBER(FIND("WORKORDER",AD38)),AND(LEFT(AD38,2)="WO",OR(ISNUMBER(FIND("NUM",AD38)),RIGHT(AD38,2)="NO"))))+8*(LEFT(AD38,3)="SEQ")+16*(AND(LEFT(AD38,4)="ITEM",NOT(ISNUMBER(FIND("DESC",AD38)))))+32*(AND(ISNUMBER(FIND("DESC",AD38)),NOT(ISNUMBER(FIND("CAP",AD38)))))+64*(OR(RIGHT(AD38,5)="COUNT",RIGHT(AD38,2)="CT"))+128*(ISNUMBER(FIND("BULK",AD38)))+256*(ISNUMBER(FIND("SIZE",AD38)))+512*(LEFT(AD38,3)="CAP")+1024*(ISNUMBER(FIND("ALLERG",AD38)))+2048*(OR(ISNUMBER(FIND("REMARK",AD38)),ISNUMBER(FIND("COMMENT",AD38))))+4096*(OR(ISNUMBER(FIND("QTY",AD38)),ISNUMBER(FIND("QUANTITY",AD38))))+8192*(AND(OR(ISNUMBER(FIND("COMPLETE",AD38)),ISNUMBER(FIND("PCT",AD38)),ISNUMBER(FIND("PERCENT",AD38))),NOT(ISNUMBER(FIND("ACTUAL",AD38))),LEN(AD38)&lt;=16))+32768*(OR(ISNUMBER(FIND("DESIC",AD38)),ISNUMBER(FIND("DESSIC",AD38)))))</f>
        <v/>
      </c>
      <c r="AE173">
        <f>IF(AE38="",0,2*(OR(ISNUMBER(FIND("WORKCENTER",AE38)),AND(LEFT(AE38,4)="LINE",NOT(ISNUMBER(FIND("STATUS",AE38))))))+4*(OR(ISNUMBER(FIND("WORKORDER",AE38)),AND(LEFT(AE38,2)="WO",OR(ISNUMBER(FIND("NUM",AE38)),RIGHT(AE38,2)="NO"))))+8*(LEFT(AE38,3)="SEQ")+16*(AND(LEFT(AE38,4)="ITEM",NOT(ISNUMBER(FIND("DESC",AE38)))))+32*(AND(ISNUMBER(FIND("DESC",AE38)),NOT(ISNUMBER(FIND("CAP",AE38)))))+64*(OR(RIGHT(AE38,5)="COUNT",RIGHT(AE38,2)="CT"))+128*(ISNUMBER(FIND("BULK",AE38)))+256*(ISNUMBER(FIND("SIZE",AE38)))+512*(LEFT(AE38,3)="CAP")+1024*(ISNUMBER(FIND("ALLERG",AE38)))+2048*(OR(ISNUMBER(FIND("REMARK",AE38)),ISNUMBER(FIND("COMMENT",AE38))))+4096*(OR(ISNUMBER(FIND("QTY",AE38)),ISNUMBER(FIND("QUANTITY",AE38))))+8192*(AND(OR(ISNUMBER(FIND("COMPLETE",AE38)),ISNUMBER(FIND("PCT",AE38)),ISNUMBER(FIND("PERCENT",AE38))),NOT(ISNUMBER(FIND("ACTUAL",AE38))),LEN(AE38)&lt;=16))+32768*(OR(ISNUMBER(FIND("DESIC",AE38)),ISNUMBER(FIND("DESSIC",AE38)))))</f>
        <v/>
      </c>
      <c r="AF173">
        <f>IF(AF38="",0,2*(OR(ISNUMBER(FIND("WORKCENTER",AF38)),AND(LEFT(AF38,4)="LINE",NOT(ISNUMBER(FIND("STATUS",AF38))))))+4*(OR(ISNUMBER(FIND("WORKORDER",AF38)),AND(LEFT(AF38,2)="WO",OR(ISNUMBER(FIND("NUM",AF38)),RIGHT(AF38,2)="NO"))))+8*(LEFT(AF38,3)="SEQ")+16*(AND(LEFT(AF38,4)="ITEM",NOT(ISNUMBER(FIND("DESC",AF38)))))+32*(AND(ISNUMBER(FIND("DESC",AF38)),NOT(ISNUMBER(FIND("CAP",AF38)))))+64*(OR(RIGHT(AF38,5)="COUNT",RIGHT(AF38,2)="CT"))+128*(ISNUMBER(FIND("BULK",AF38)))+256*(ISNUMBER(FIND("SIZE",AF38)))+512*(LEFT(AF38,3)="CAP")+1024*(ISNUMBER(FIND("ALLERG",AF38)))+2048*(OR(ISNUMBER(FIND("REMARK",AF38)),ISNUMBER(FIND("COMMENT",AF38))))+4096*(OR(ISNUMBER(FIND("QTY",AF38)),ISNUMBER(FIND("QUANTITY",AF38))))+8192*(AND(OR(ISNUMBER(FIND("COMPLETE",AF38)),ISNUMBER(FIND("PCT",AF38)),ISNUMBER(FIND("PERCENT",AF38))),NOT(ISNUMBER(FIND("ACTUAL",AF38))),LEN(AF38)&lt;=16))+32768*(OR(ISNUMBER(FIND("DESIC",AF38)),ISNUMBER(FIND("DESSIC",AF38)))))</f>
        <v/>
      </c>
      <c r="AG173">
        <f>IF(AG38="",0,2*(OR(ISNUMBER(FIND("WORKCENTER",AG38)),AND(LEFT(AG38,4)="LINE",NOT(ISNUMBER(FIND("STATUS",AG38))))))+4*(OR(ISNUMBER(FIND("WORKORDER",AG38)),AND(LEFT(AG38,2)="WO",OR(ISNUMBER(FIND("NUM",AG38)),RIGHT(AG38,2)="NO"))))+8*(LEFT(AG38,3)="SEQ")+16*(AND(LEFT(AG38,4)="ITEM",NOT(ISNUMBER(FIND("DESC",AG38)))))+32*(AND(ISNUMBER(FIND("DESC",AG38)),NOT(ISNUMBER(FIND("CAP",AG38)))))+64*(OR(RIGHT(AG38,5)="COUNT",RIGHT(AG38,2)="CT"))+128*(ISNUMBER(FIND("BULK",AG38)))+256*(ISNUMBER(FIND("SIZE",AG38)))+512*(LEFT(AG38,3)="CAP")+1024*(ISNUMBER(FIND("ALLERG",AG38)))+2048*(OR(ISNUMBER(FIND("REMARK",AG38)),ISNUMBER(FIND("COMMENT",AG38))))+4096*(OR(ISNUMBER(FIND("QTY",AG38)),ISNUMBER(FIND("QUANTITY",AG38))))+8192*(AND(OR(ISNUMBER(FIND("COMPLETE",AG38)),ISNUMBER(FIND("PCT",AG38)),ISNUMBER(FIND("PERCENT",AG38))),NOT(ISNUMBER(FIND("ACTUAL",AG38))),LEN(AG38)&lt;=16))+32768*(OR(ISNUMBER(FIND("DESIC",AG38)),ISNUMBER(FIND("DESSIC",AG38)))))</f>
        <v/>
      </c>
      <c r="AH173">
        <f>IF(AH38="",0,2*(OR(ISNUMBER(FIND("WORKCENTER",AH38)),AND(LEFT(AH38,4)="LINE",NOT(ISNUMBER(FIND("STATUS",AH38))))))+4*(OR(ISNUMBER(FIND("WORKORDER",AH38)),AND(LEFT(AH38,2)="WO",OR(ISNUMBER(FIND("NUM",AH38)),RIGHT(AH38,2)="NO"))))+8*(LEFT(AH38,3)="SEQ")+16*(AND(LEFT(AH38,4)="ITEM",NOT(ISNUMBER(FIND("DESC",AH38)))))+32*(AND(ISNUMBER(FIND("DESC",AH38)),NOT(ISNUMBER(FIND("CAP",AH38)))))+64*(OR(RIGHT(AH38,5)="COUNT",RIGHT(AH38,2)="CT"))+128*(ISNUMBER(FIND("BULK",AH38)))+256*(ISNUMBER(FIND("SIZE",AH38)))+512*(LEFT(AH38,3)="CAP")+1024*(ISNUMBER(FIND("ALLERG",AH38)))+2048*(OR(ISNUMBER(FIND("REMARK",AH38)),ISNUMBER(FIND("COMMENT",AH38))))+4096*(OR(ISNUMBER(FIND("QTY",AH38)),ISNUMBER(FIND("QUANTITY",AH38))))+8192*(AND(OR(ISNUMBER(FIND("COMPLETE",AH38)),ISNUMBER(FIND("PCT",AH38)),ISNUMBER(FIND("PERCENT",AH38))),NOT(ISNUMBER(FIND("ACTUAL",AH38))),LEN(AH38)&lt;=16))+32768*(OR(ISNUMBER(FIND("DESIC",AH38)),ISNUMBER(FIND("DESSIC",AH38)))))</f>
        <v/>
      </c>
      <c r="AI173">
        <f>IF(AI38="",0,2*(OR(ISNUMBER(FIND("WORKCENTER",AI38)),AND(LEFT(AI38,4)="LINE",NOT(ISNUMBER(FIND("STATUS",AI38))))))+4*(OR(ISNUMBER(FIND("WORKORDER",AI38)),AND(LEFT(AI38,2)="WO",OR(ISNUMBER(FIND("NUM",AI38)),RIGHT(AI38,2)="NO"))))+8*(LEFT(AI38,3)="SEQ")+16*(AND(LEFT(AI38,4)="ITEM",NOT(ISNUMBER(FIND("DESC",AI38)))))+32*(AND(ISNUMBER(FIND("DESC",AI38)),NOT(ISNUMBER(FIND("CAP",AI38)))))+64*(OR(RIGHT(AI38,5)="COUNT",RIGHT(AI38,2)="CT"))+128*(ISNUMBER(FIND("BULK",AI38)))+256*(ISNUMBER(FIND("SIZE",AI38)))+512*(LEFT(AI38,3)="CAP")+1024*(ISNUMBER(FIND("ALLERG",AI38)))+2048*(OR(ISNUMBER(FIND("REMARK",AI38)),ISNUMBER(FIND("COMMENT",AI38))))+4096*(OR(ISNUMBER(FIND("QTY",AI38)),ISNUMBER(FIND("QUANTITY",AI38))))+8192*(AND(OR(ISNUMBER(FIND("COMPLETE",AI38)),ISNUMBER(FIND("PCT",AI38)),ISNUMBER(FIND("PERCENT",AI38))),NOT(ISNUMBER(FIND("ACTUAL",AI38))),LEN(AI38)&lt;=16))+32768*(OR(ISNUMBER(FIND("DESIC",AI38)),ISNUMBER(FIND("DESSIC",AI38)))))</f>
        <v/>
      </c>
      <c r="AJ173">
        <f>IF(AJ38="",0,2*(OR(ISNUMBER(FIND("WORKCENTER",AJ38)),AND(LEFT(AJ38,4)="LINE",NOT(ISNUMBER(FIND("STATUS",AJ38))))))+4*(OR(ISNUMBER(FIND("WORKORDER",AJ38)),AND(LEFT(AJ38,2)="WO",OR(ISNUMBER(FIND("NUM",AJ38)),RIGHT(AJ38,2)="NO"))))+8*(LEFT(AJ38,3)="SEQ")+16*(AND(LEFT(AJ38,4)="ITEM",NOT(ISNUMBER(FIND("DESC",AJ38)))))+32*(AND(ISNUMBER(FIND("DESC",AJ38)),NOT(ISNUMBER(FIND("CAP",AJ38)))))+64*(OR(RIGHT(AJ38,5)="COUNT",RIGHT(AJ38,2)="CT"))+128*(ISNUMBER(FIND("BULK",AJ38)))+256*(ISNUMBER(FIND("SIZE",AJ38)))+512*(LEFT(AJ38,3)="CAP")+1024*(ISNUMBER(FIND("ALLERG",AJ38)))+2048*(OR(ISNUMBER(FIND("REMARK",AJ38)),ISNUMBER(FIND("COMMENT",AJ38))))+4096*(OR(ISNUMBER(FIND("QTY",AJ38)),ISNUMBER(FIND("QUANTITY",AJ38))))+8192*(AND(OR(ISNUMBER(FIND("COMPLETE",AJ38)),ISNUMBER(FIND("PCT",AJ38)),ISNUMBER(FIND("PERCENT",AJ38))),NOT(ISNUMBER(FIND("ACTUAL",AJ38))),LEN(AJ38)&lt;=16))+32768*(OR(ISNUMBER(FIND("DESIC",AJ38)),ISNUMBER(FIND("DESSIC",AJ38)))))</f>
        <v/>
      </c>
      <c r="AK173">
        <f>IF(AK38="",0,2*(OR(ISNUMBER(FIND("WORKCENTER",AK38)),AND(LEFT(AK38,4)="LINE",NOT(ISNUMBER(FIND("STATUS",AK38))))))+4*(OR(ISNUMBER(FIND("WORKORDER",AK38)),AND(LEFT(AK38,2)="WO",OR(ISNUMBER(FIND("NUM",AK38)),RIGHT(AK38,2)="NO"))))+8*(LEFT(AK38,3)="SEQ")+16*(AND(LEFT(AK38,4)="ITEM",NOT(ISNUMBER(FIND("DESC",AK38)))))+32*(AND(ISNUMBER(FIND("DESC",AK38)),NOT(ISNUMBER(FIND("CAP",AK38)))))+64*(OR(RIGHT(AK38,5)="COUNT",RIGHT(AK38,2)="CT"))+128*(ISNUMBER(FIND("BULK",AK38)))+256*(ISNUMBER(FIND("SIZE",AK38)))+512*(LEFT(AK38,3)="CAP")+1024*(ISNUMBER(FIND("ALLERG",AK38)))+2048*(OR(ISNUMBER(FIND("REMARK",AK38)),ISNUMBER(FIND("COMMENT",AK38))))+4096*(OR(ISNUMBER(FIND("QTY",AK38)),ISNUMBER(FIND("QUANTITY",AK38))))+8192*(AND(OR(ISNUMBER(FIND("COMPLETE",AK38)),ISNUMBER(FIND("PCT",AK38)),ISNUMBER(FIND("PERCENT",AK38))),NOT(ISNUMBER(FIND("ACTUAL",AK38))),LEN(AK38)&lt;=16))+32768*(OR(ISNUMBER(FIND("DESIC",AK38)),ISNUMBER(FIND("DESSIC",AK38)))))</f>
        <v/>
      </c>
      <c r="AL173">
        <f>IF(AL38="",0,2*(OR(ISNUMBER(FIND("WORKCENTER",AL38)),AND(LEFT(AL38,4)="LINE",NOT(ISNUMBER(FIND("STATUS",AL38))))))+4*(OR(ISNUMBER(FIND("WORKORDER",AL38)),AND(LEFT(AL38,2)="WO",OR(ISNUMBER(FIND("NUM",AL38)),RIGHT(AL38,2)="NO"))))+8*(LEFT(AL38,3)="SEQ")+16*(AND(LEFT(AL38,4)="ITEM",NOT(ISNUMBER(FIND("DESC",AL38)))))+32*(AND(ISNUMBER(FIND("DESC",AL38)),NOT(ISNUMBER(FIND("CAP",AL38)))))+64*(OR(RIGHT(AL38,5)="COUNT",RIGHT(AL38,2)="CT"))+128*(ISNUMBER(FIND("BULK",AL38)))+256*(ISNUMBER(FIND("SIZE",AL38)))+512*(LEFT(AL38,3)="CAP")+1024*(ISNUMBER(FIND("ALLERG",AL38)))+2048*(OR(ISNUMBER(FIND("REMARK",AL38)),ISNUMBER(FIND("COMMENT",AL38))))+4096*(OR(ISNUMBER(FIND("QTY",AL38)),ISNUMBER(FIND("QUANTITY",AL38))))+8192*(AND(OR(ISNUMBER(FIND("COMPLETE",AL38)),ISNUMBER(FIND("PCT",AL38)),ISNUMBER(FIND("PERCENT",AL38))),NOT(ISNUMBER(FIND("ACTUAL",AL38))),LEN(AL38)&lt;=16))+32768*(OR(ISNUMBER(FIND("DESIC",AL38)),ISNUMBER(FIND("DESSIC",AL38)))))</f>
        <v/>
      </c>
      <c r="AM173">
        <f>IF(AM38="",0,2*(OR(ISNUMBER(FIND("WORKCENTER",AM38)),AND(LEFT(AM38,4)="LINE",NOT(ISNUMBER(FIND("STATUS",AM38))))))+4*(OR(ISNUMBER(FIND("WORKORDER",AM38)),AND(LEFT(AM38,2)="WO",OR(ISNUMBER(FIND("NUM",AM38)),RIGHT(AM38,2)="NO"))))+8*(LEFT(AM38,3)="SEQ")+16*(AND(LEFT(AM38,4)="ITEM",NOT(ISNUMBER(FIND("DESC",AM38)))))+32*(AND(ISNUMBER(FIND("DESC",AM38)),NOT(ISNUMBER(FIND("CAP",AM38)))))+64*(OR(RIGHT(AM38,5)="COUNT",RIGHT(AM38,2)="CT"))+128*(ISNUMBER(FIND("BULK",AM38)))+256*(ISNUMBER(FIND("SIZE",AM38)))+512*(LEFT(AM38,3)="CAP")+1024*(ISNUMBER(FIND("ALLERG",AM38)))+2048*(OR(ISNUMBER(FIND("REMARK",AM38)),ISNUMBER(FIND("COMMENT",AM38))))+4096*(OR(ISNUMBER(FIND("QTY",AM38)),ISNUMBER(FIND("QUANTITY",AM38))))+8192*(AND(OR(ISNUMBER(FIND("COMPLETE",AM38)),ISNUMBER(FIND("PCT",AM38)),ISNUMBER(FIND("PERCENT",AM38))),NOT(ISNUMBER(FIND("ACTUAL",AM38))),LEN(AM38)&lt;=16))+32768*(OR(ISNUMBER(FIND("DESIC",AM38)),ISNUMBER(FIND("DESSIC",AM38)))))</f>
        <v/>
      </c>
      <c r="AN173">
        <f>IF(AN38="",0,2*(OR(ISNUMBER(FIND("WORKCENTER",AN38)),AND(LEFT(AN38,4)="LINE",NOT(ISNUMBER(FIND("STATUS",AN38))))))+4*(OR(ISNUMBER(FIND("WORKORDER",AN38)),AND(LEFT(AN38,2)="WO",OR(ISNUMBER(FIND("NUM",AN38)),RIGHT(AN38,2)="NO"))))+8*(LEFT(AN38,3)="SEQ")+16*(AND(LEFT(AN38,4)="ITEM",NOT(ISNUMBER(FIND("DESC",AN38)))))+32*(AND(ISNUMBER(FIND("DESC",AN38)),NOT(ISNUMBER(FIND("CAP",AN38)))))+64*(OR(RIGHT(AN38,5)="COUNT",RIGHT(AN38,2)="CT"))+128*(ISNUMBER(FIND("BULK",AN38)))+256*(ISNUMBER(FIND("SIZE",AN38)))+512*(LEFT(AN38,3)="CAP")+1024*(ISNUMBER(FIND("ALLERG",AN38)))+2048*(OR(ISNUMBER(FIND("REMARK",AN38)),ISNUMBER(FIND("COMMENT",AN38))))+4096*(OR(ISNUMBER(FIND("QTY",AN38)),ISNUMBER(FIND("QUANTITY",AN38))))+8192*(AND(OR(ISNUMBER(FIND("COMPLETE",AN38)),ISNUMBER(FIND("PCT",AN38)),ISNUMBER(FIND("PERCENT",AN38))),NOT(ISNUMBER(FIND("ACTUAL",AN38))),LEN(AN38)&lt;=16))+32768*(OR(ISNUMBER(FIND("DESIC",AN38)),ISNUMBER(FIND("DESSIC",AN38)))))</f>
        <v/>
      </c>
      <c r="AO173">
        <f>IF(AO38="",0,2*(OR(ISNUMBER(FIND("WORKCENTER",AO38)),AND(LEFT(AO38,4)="LINE",NOT(ISNUMBER(FIND("STATUS",AO38))))))+4*(OR(ISNUMBER(FIND("WORKORDER",AO38)),AND(LEFT(AO38,2)="WO",OR(ISNUMBER(FIND("NUM",AO38)),RIGHT(AO38,2)="NO"))))+8*(LEFT(AO38,3)="SEQ")+16*(AND(LEFT(AO38,4)="ITEM",NOT(ISNUMBER(FIND("DESC",AO38)))))+32*(AND(ISNUMBER(FIND("DESC",AO38)),NOT(ISNUMBER(FIND("CAP",AO38)))))+64*(OR(RIGHT(AO38,5)="COUNT",RIGHT(AO38,2)="CT"))+128*(ISNUMBER(FIND("BULK",AO38)))+256*(ISNUMBER(FIND("SIZE",AO38)))+512*(LEFT(AO38,3)="CAP")+1024*(ISNUMBER(FIND("ALLERG",AO38)))+2048*(OR(ISNUMBER(FIND("REMARK",AO38)),ISNUMBER(FIND("COMMENT",AO38))))+4096*(OR(ISNUMBER(FIND("QTY",AO38)),ISNUMBER(FIND("QUANTITY",AO38))))+8192*(AND(OR(ISNUMBER(FIND("COMPLETE",AO38)),ISNUMBER(FIND("PCT",AO38)),ISNUMBER(FIND("PERCENT",AO38))),NOT(ISNUMBER(FIND("ACTUAL",AO38))),LEN(AO38)&lt;=16))+32768*(OR(ISNUMBER(FIND("DESIC",AO38)),ISNUMBER(FIND("DESSIC",AO38)))))</f>
        <v/>
      </c>
      <c r="AP173">
        <f>IF(AP38="",0,2*(OR(ISNUMBER(FIND("WORKCENTER",AP38)),AND(LEFT(AP38,4)="LINE",NOT(ISNUMBER(FIND("STATUS",AP38))))))+4*(OR(ISNUMBER(FIND("WORKORDER",AP38)),AND(LEFT(AP38,2)="WO",OR(ISNUMBER(FIND("NUM",AP38)),RIGHT(AP38,2)="NO"))))+8*(LEFT(AP38,3)="SEQ")+16*(AND(LEFT(AP38,4)="ITEM",NOT(ISNUMBER(FIND("DESC",AP38)))))+32*(AND(ISNUMBER(FIND("DESC",AP38)),NOT(ISNUMBER(FIND("CAP",AP38)))))+64*(OR(RIGHT(AP38,5)="COUNT",RIGHT(AP38,2)="CT"))+128*(ISNUMBER(FIND("BULK",AP38)))+256*(ISNUMBER(FIND("SIZE",AP38)))+512*(LEFT(AP38,3)="CAP")+1024*(ISNUMBER(FIND("ALLERG",AP38)))+2048*(OR(ISNUMBER(FIND("REMARK",AP38)),ISNUMBER(FIND("COMMENT",AP38))))+4096*(OR(ISNUMBER(FIND("QTY",AP38)),ISNUMBER(FIND("QUANTITY",AP38))))+8192*(AND(OR(ISNUMBER(FIND("COMPLETE",AP38)),ISNUMBER(FIND("PCT",AP38)),ISNUMBER(FIND("PERCENT",AP38))),NOT(ISNUMBER(FIND("ACTUAL",AP38))),LEN(AP38)&lt;=16))+32768*(OR(ISNUMBER(FIND("DESIC",AP38)),ISNUMBER(FIND("DESSIC",AP38)))))</f>
        <v/>
      </c>
      <c r="AQ173">
        <f>IF(AQ38="",0,2*(OR(ISNUMBER(FIND("WORKCENTER",AQ38)),AND(LEFT(AQ38,4)="LINE",NOT(ISNUMBER(FIND("STATUS",AQ38))))))+4*(OR(ISNUMBER(FIND("WORKORDER",AQ38)),AND(LEFT(AQ38,2)="WO",OR(ISNUMBER(FIND("NUM",AQ38)),RIGHT(AQ38,2)="NO"))))+8*(LEFT(AQ38,3)="SEQ")+16*(AND(LEFT(AQ38,4)="ITEM",NOT(ISNUMBER(FIND("DESC",AQ38)))))+32*(AND(ISNUMBER(FIND("DESC",AQ38)),NOT(ISNUMBER(FIND("CAP",AQ38)))))+64*(OR(RIGHT(AQ38,5)="COUNT",RIGHT(AQ38,2)="CT"))+128*(ISNUMBER(FIND("BULK",AQ38)))+256*(ISNUMBER(FIND("SIZE",AQ38)))+512*(LEFT(AQ38,3)="CAP")+1024*(ISNUMBER(FIND("ALLERG",AQ38)))+2048*(OR(ISNUMBER(FIND("REMARK",AQ38)),ISNUMBER(FIND("COMMENT",AQ38))))+4096*(OR(ISNUMBER(FIND("QTY",AQ38)),ISNUMBER(FIND("QUANTITY",AQ38))))+8192*(AND(OR(ISNUMBER(FIND("COMPLETE",AQ38)),ISNUMBER(FIND("PCT",AQ38)),ISNUMBER(FIND("PERCENT",AQ38))),NOT(ISNUMBER(FIND("ACTUAL",AQ38))),LEN(AQ38)&lt;=16))+32768*(OR(ISNUMBER(FIND("DESIC",AQ38)),ISNUMBER(FIND("DESSIC",AQ38)))))</f>
        <v/>
      </c>
      <c r="AR173">
        <f>IF(AR38="",0,2*(OR(ISNUMBER(FIND("WORKCENTER",AR38)),AND(LEFT(AR38,4)="LINE",NOT(ISNUMBER(FIND("STATUS",AR38))))))+4*(OR(ISNUMBER(FIND("WORKORDER",AR38)),AND(LEFT(AR38,2)="WO",OR(ISNUMBER(FIND("NUM",AR38)),RIGHT(AR38,2)="NO"))))+8*(LEFT(AR38,3)="SEQ")+16*(AND(LEFT(AR38,4)="ITEM",NOT(ISNUMBER(FIND("DESC",AR38)))))+32*(AND(ISNUMBER(FIND("DESC",AR38)),NOT(ISNUMBER(FIND("CAP",AR38)))))+64*(OR(RIGHT(AR38,5)="COUNT",RIGHT(AR38,2)="CT"))+128*(ISNUMBER(FIND("BULK",AR38)))+256*(ISNUMBER(FIND("SIZE",AR38)))+512*(LEFT(AR38,3)="CAP")+1024*(ISNUMBER(FIND("ALLERG",AR38)))+2048*(OR(ISNUMBER(FIND("REMARK",AR38)),ISNUMBER(FIND("COMMENT",AR38))))+4096*(OR(ISNUMBER(FIND("QTY",AR38)),ISNUMBER(FIND("QUANTITY",AR38))))+8192*(AND(OR(ISNUMBER(FIND("COMPLETE",AR38)),ISNUMBER(FIND("PCT",AR38)),ISNUMBER(FIND("PERCENT",AR38))),NOT(ISNUMBER(FIND("ACTUAL",AR38))),LEN(AR38)&lt;=16))+32768*(OR(ISNUMBER(FIND("DESIC",AR38)),ISNUMBER(FIND("DESSIC",AR38)))))</f>
        <v/>
      </c>
      <c r="AS173">
        <f>IF(AS38="",0,2*(OR(ISNUMBER(FIND("WORKCENTER",AS38)),AND(LEFT(AS38,4)="LINE",NOT(ISNUMBER(FIND("STATUS",AS38))))))+4*(OR(ISNUMBER(FIND("WORKORDER",AS38)),AND(LEFT(AS38,2)="WO",OR(ISNUMBER(FIND("NUM",AS38)),RIGHT(AS38,2)="NO"))))+8*(LEFT(AS38,3)="SEQ")+16*(AND(LEFT(AS38,4)="ITEM",NOT(ISNUMBER(FIND("DESC",AS38)))))+32*(AND(ISNUMBER(FIND("DESC",AS38)),NOT(ISNUMBER(FIND("CAP",AS38)))))+64*(OR(RIGHT(AS38,5)="COUNT",RIGHT(AS38,2)="CT"))+128*(ISNUMBER(FIND("BULK",AS38)))+256*(ISNUMBER(FIND("SIZE",AS38)))+512*(LEFT(AS38,3)="CAP")+1024*(ISNUMBER(FIND("ALLERG",AS38)))+2048*(OR(ISNUMBER(FIND("REMARK",AS38)),ISNUMBER(FIND("COMMENT",AS38))))+4096*(OR(ISNUMBER(FIND("QTY",AS38)),ISNUMBER(FIND("QUANTITY",AS38))))+8192*(AND(OR(ISNUMBER(FIND("COMPLETE",AS38)),ISNUMBER(FIND("PCT",AS38)),ISNUMBER(FIND("PERCENT",AS38))),NOT(ISNUMBER(FIND("ACTUAL",AS38))),LEN(AS38)&lt;=16))+32768*(OR(ISNUMBER(FIND("DESIC",AS38)),ISNUMBER(FIND("DESSIC",AS38)))))</f>
        <v/>
      </c>
      <c r="AT173">
        <f>IF(AT38="",0,2*(OR(ISNUMBER(FIND("WORKCENTER",AT38)),AND(LEFT(AT38,4)="LINE",NOT(ISNUMBER(FIND("STATUS",AT38))))))+4*(OR(ISNUMBER(FIND("WORKORDER",AT38)),AND(LEFT(AT38,2)="WO",OR(ISNUMBER(FIND("NUM",AT38)),RIGHT(AT38,2)="NO"))))+8*(LEFT(AT38,3)="SEQ")+16*(AND(LEFT(AT38,4)="ITEM",NOT(ISNUMBER(FIND("DESC",AT38)))))+32*(AND(ISNUMBER(FIND("DESC",AT38)),NOT(ISNUMBER(FIND("CAP",AT38)))))+64*(OR(RIGHT(AT38,5)="COUNT",RIGHT(AT38,2)="CT"))+128*(ISNUMBER(FIND("BULK",AT38)))+256*(ISNUMBER(FIND("SIZE",AT38)))+512*(LEFT(AT38,3)="CAP")+1024*(ISNUMBER(FIND("ALLERG",AT38)))+2048*(OR(ISNUMBER(FIND("REMARK",AT38)),ISNUMBER(FIND("COMMENT",AT38))))+4096*(OR(ISNUMBER(FIND("QTY",AT38)),ISNUMBER(FIND("QUANTITY",AT38))))+8192*(AND(OR(ISNUMBER(FIND("COMPLETE",AT38)),ISNUMBER(FIND("PCT",AT38)),ISNUMBER(FIND("PERCENT",AT38))),NOT(ISNUMBER(FIND("ACTUAL",AT38))),LEN(AT38)&lt;=16))+32768*(OR(ISNUMBER(FIND("DESIC",AT38)),ISNUMBER(FIND("DESSIC",AT38)))))</f>
        <v/>
      </c>
      <c r="AU173">
        <f>IF(AU38="",0,2*(OR(ISNUMBER(FIND("WORKCENTER",AU38)),AND(LEFT(AU38,4)="LINE",NOT(ISNUMBER(FIND("STATUS",AU38))))))+4*(OR(ISNUMBER(FIND("WORKORDER",AU38)),AND(LEFT(AU38,2)="WO",OR(ISNUMBER(FIND("NUM",AU38)),RIGHT(AU38,2)="NO"))))+8*(LEFT(AU38,3)="SEQ")+16*(AND(LEFT(AU38,4)="ITEM",NOT(ISNUMBER(FIND("DESC",AU38)))))+32*(AND(ISNUMBER(FIND("DESC",AU38)),NOT(ISNUMBER(FIND("CAP",AU38)))))+64*(OR(RIGHT(AU38,5)="COUNT",RIGHT(AU38,2)="CT"))+128*(ISNUMBER(FIND("BULK",AU38)))+256*(ISNUMBER(FIND("SIZE",AU38)))+512*(LEFT(AU38,3)="CAP")+1024*(ISNUMBER(FIND("ALLERG",AU38)))+2048*(OR(ISNUMBER(FIND("REMARK",AU38)),ISNUMBER(FIND("COMMENT",AU38))))+4096*(OR(ISNUMBER(FIND("QTY",AU38)),ISNUMBER(FIND("QUANTITY",AU38))))+8192*(AND(OR(ISNUMBER(FIND("COMPLETE",AU38)),ISNUMBER(FIND("PCT",AU38)),ISNUMBER(FIND("PERCENT",AU38))),NOT(ISNUMBER(FIND("ACTUAL",AU38))),LEN(AU38)&lt;=16))+32768*(OR(ISNUMBER(FIND("DESIC",AU38)),ISNUMBER(FIND("DESSIC",AU38)))))</f>
        <v/>
      </c>
      <c r="AV173">
        <f>IF(AV38="",0,2*(OR(ISNUMBER(FIND("WORKCENTER",AV38)),AND(LEFT(AV38,4)="LINE",NOT(ISNUMBER(FIND("STATUS",AV38))))))+4*(OR(ISNUMBER(FIND("WORKORDER",AV38)),AND(LEFT(AV38,2)="WO",OR(ISNUMBER(FIND("NUM",AV38)),RIGHT(AV38,2)="NO"))))+8*(LEFT(AV38,3)="SEQ")+16*(AND(LEFT(AV38,4)="ITEM",NOT(ISNUMBER(FIND("DESC",AV38)))))+32*(AND(ISNUMBER(FIND("DESC",AV38)),NOT(ISNUMBER(FIND("CAP",AV38)))))+64*(OR(RIGHT(AV38,5)="COUNT",RIGHT(AV38,2)="CT"))+128*(ISNUMBER(FIND("BULK",AV38)))+256*(ISNUMBER(FIND("SIZE",AV38)))+512*(LEFT(AV38,3)="CAP")+1024*(ISNUMBER(FIND("ALLERG",AV38)))+2048*(OR(ISNUMBER(FIND("REMARK",AV38)),ISNUMBER(FIND("COMMENT",AV38))))+4096*(OR(ISNUMBER(FIND("QTY",AV38)),ISNUMBER(FIND("QUANTITY",AV38))))+8192*(AND(OR(ISNUMBER(FIND("COMPLETE",AV38)),ISNUMBER(FIND("PCT",AV38)),ISNUMBER(FIND("PERCENT",AV38))),NOT(ISNUMBER(FIND("ACTUAL",AV38))),LEN(AV38)&lt;=16))+32768*(OR(ISNUMBER(FIND("DESIC",AV38)),ISNUMBER(FIND("DESSIC",AV38)))))</f>
        <v/>
      </c>
      <c r="AW173">
        <f>IF(AW38="",0,2*(OR(ISNUMBER(FIND("WORKCENTER",AW38)),AND(LEFT(AW38,4)="LINE",NOT(ISNUMBER(FIND("STATUS",AW38))))))+4*(OR(ISNUMBER(FIND("WORKORDER",AW38)),AND(LEFT(AW38,2)="WO",OR(ISNUMBER(FIND("NUM",AW38)),RIGHT(AW38,2)="NO"))))+8*(LEFT(AW38,3)="SEQ")+16*(AND(LEFT(AW38,4)="ITEM",NOT(ISNUMBER(FIND("DESC",AW38)))))+32*(AND(ISNUMBER(FIND("DESC",AW38)),NOT(ISNUMBER(FIND("CAP",AW38)))))+64*(OR(RIGHT(AW38,5)="COUNT",RIGHT(AW38,2)="CT"))+128*(ISNUMBER(FIND("BULK",AW38)))+256*(ISNUMBER(FIND("SIZE",AW38)))+512*(LEFT(AW38,3)="CAP")+1024*(ISNUMBER(FIND("ALLERG",AW38)))+2048*(OR(ISNUMBER(FIND("REMARK",AW38)),ISNUMBER(FIND("COMMENT",AW38))))+4096*(OR(ISNUMBER(FIND("QTY",AW38)),ISNUMBER(FIND("QUANTITY",AW38))))+8192*(AND(OR(ISNUMBER(FIND("COMPLETE",AW38)),ISNUMBER(FIND("PCT",AW38)),ISNUMBER(FIND("PERCENT",AW38))),NOT(ISNUMBER(FIND("ACTUAL",AW38))),LEN(AW38)&lt;=16))+32768*(OR(ISNUMBER(FIND("DESIC",AW38)),ISNUMBER(FIND("DESSIC",AW38)))))</f>
        <v/>
      </c>
      <c r="AX173">
        <f>IF(AX38="",0,2*(OR(ISNUMBER(FIND("WORKCENTER",AX38)),AND(LEFT(AX38,4)="LINE",NOT(ISNUMBER(FIND("STATUS",AX38))))))+4*(OR(ISNUMBER(FIND("WORKORDER",AX38)),AND(LEFT(AX38,2)="WO",OR(ISNUMBER(FIND("NUM",AX38)),RIGHT(AX38,2)="NO"))))+8*(LEFT(AX38,3)="SEQ")+16*(AND(LEFT(AX38,4)="ITEM",NOT(ISNUMBER(FIND("DESC",AX38)))))+32*(AND(ISNUMBER(FIND("DESC",AX38)),NOT(ISNUMBER(FIND("CAP",AX38)))))+64*(OR(RIGHT(AX38,5)="COUNT",RIGHT(AX38,2)="CT"))+128*(ISNUMBER(FIND("BULK",AX38)))+256*(ISNUMBER(FIND("SIZE",AX38)))+512*(LEFT(AX38,3)="CAP")+1024*(ISNUMBER(FIND("ALLERG",AX38)))+2048*(OR(ISNUMBER(FIND("REMARK",AX38)),ISNUMBER(FIND("COMMENT",AX38))))+4096*(OR(ISNUMBER(FIND("QTY",AX38)),ISNUMBER(FIND("QUANTITY",AX38))))+8192*(AND(OR(ISNUMBER(FIND("COMPLETE",AX38)),ISNUMBER(FIND("PCT",AX38)),ISNUMBER(FIND("PERCENT",AX38))),NOT(ISNUMBER(FIND("ACTUAL",AX38))),LEN(AX38)&lt;=16))+32768*(OR(ISNUMBER(FIND("DESIC",AX38)),ISNUMBER(FIND("DESSIC",AX38)))))</f>
        <v/>
      </c>
      <c r="AY173">
        <f>IF(AY38="",0,2*(OR(ISNUMBER(FIND("WORKCENTER",AY38)),AND(LEFT(AY38,4)="LINE",NOT(ISNUMBER(FIND("STATUS",AY38))))))+4*(OR(ISNUMBER(FIND("WORKORDER",AY38)),AND(LEFT(AY38,2)="WO",OR(ISNUMBER(FIND("NUM",AY38)),RIGHT(AY38,2)="NO"))))+8*(LEFT(AY38,3)="SEQ")+16*(AND(LEFT(AY38,4)="ITEM",NOT(ISNUMBER(FIND("DESC",AY38)))))+32*(AND(ISNUMBER(FIND("DESC",AY38)),NOT(ISNUMBER(FIND("CAP",AY38)))))+64*(OR(RIGHT(AY38,5)="COUNT",RIGHT(AY38,2)="CT"))+128*(ISNUMBER(FIND("BULK",AY38)))+256*(ISNUMBER(FIND("SIZE",AY38)))+512*(LEFT(AY38,3)="CAP")+1024*(ISNUMBER(FIND("ALLERG",AY38)))+2048*(OR(ISNUMBER(FIND("REMARK",AY38)),ISNUMBER(FIND("COMMENT",AY38))))+4096*(OR(ISNUMBER(FIND("QTY",AY38)),ISNUMBER(FIND("QUANTITY",AY38))))+8192*(AND(OR(ISNUMBER(FIND("COMPLETE",AY38)),ISNUMBER(FIND("PCT",AY38)),ISNUMBER(FIND("PERCENT",AY38))),NOT(ISNUMBER(FIND("ACTUAL",AY38))),LEN(AY38)&lt;=16))+32768*(OR(ISNUMBER(FIND("DESIC",AY38)),ISNUMBER(FIND("DESSIC",AY38)))))</f>
        <v/>
      </c>
      <c r="AZ173">
        <f>IF(AZ38="",0,2*(OR(ISNUMBER(FIND("WORKCENTER",AZ38)),AND(LEFT(AZ38,4)="LINE",NOT(ISNUMBER(FIND("STATUS",AZ38))))))+4*(OR(ISNUMBER(FIND("WORKORDER",AZ38)),AND(LEFT(AZ38,2)="WO",OR(ISNUMBER(FIND("NUM",AZ38)),RIGHT(AZ38,2)="NO"))))+8*(LEFT(AZ38,3)="SEQ")+16*(AND(LEFT(AZ38,4)="ITEM",NOT(ISNUMBER(FIND("DESC",AZ38)))))+32*(AND(ISNUMBER(FIND("DESC",AZ38)),NOT(ISNUMBER(FIND("CAP",AZ38)))))+64*(OR(RIGHT(AZ38,5)="COUNT",RIGHT(AZ38,2)="CT"))+128*(ISNUMBER(FIND("BULK",AZ38)))+256*(ISNUMBER(FIND("SIZE",AZ38)))+512*(LEFT(AZ38,3)="CAP")+1024*(ISNUMBER(FIND("ALLERG",AZ38)))+2048*(OR(ISNUMBER(FIND("REMARK",AZ38)),ISNUMBER(FIND("COMMENT",AZ38))))+4096*(OR(ISNUMBER(FIND("QTY",AZ38)),ISNUMBER(FIND("QUANTITY",AZ38))))+8192*(AND(OR(ISNUMBER(FIND("COMPLETE",AZ38)),ISNUMBER(FIND("PCT",AZ38)),ISNUMBER(FIND("PERCENT",AZ38))),NOT(ISNUMBER(FIND("ACTUAL",AZ38))),LEN(AZ38)&lt;=16))+32768*(OR(ISNUMBER(FIND("DESIC",AZ38)),ISNUMBER(FIND("DESSIC",AZ38)))))</f>
        <v/>
      </c>
      <c r="BA173">
        <f>IF(BA38="",0,2*(OR(ISNUMBER(FIND("WORKCENTER",BA38)),AND(LEFT(BA38,4)="LINE",NOT(ISNUMBER(FIND("STATUS",BA38))))))+4*(OR(ISNUMBER(FIND("WORKORDER",BA38)),AND(LEFT(BA38,2)="WO",OR(ISNUMBER(FIND("NUM",BA38)),RIGHT(BA38,2)="NO"))))+8*(LEFT(BA38,3)="SEQ")+16*(AND(LEFT(BA38,4)="ITEM",NOT(ISNUMBER(FIND("DESC",BA38)))))+32*(AND(ISNUMBER(FIND("DESC",BA38)),NOT(ISNUMBER(FIND("CAP",BA38)))))+64*(OR(RIGHT(BA38,5)="COUNT",RIGHT(BA38,2)="CT"))+128*(ISNUMBER(FIND("BULK",BA38)))+256*(ISNUMBER(FIND("SIZE",BA38)))+512*(LEFT(BA38,3)="CAP")+1024*(ISNUMBER(FIND("ALLERG",BA38)))+2048*(OR(ISNUMBER(FIND("REMARK",BA38)),ISNUMBER(FIND("COMMENT",BA38))))+4096*(OR(ISNUMBER(FIND("QTY",BA38)),ISNUMBER(FIND("QUANTITY",BA38))))+8192*(AND(OR(ISNUMBER(FIND("COMPLETE",BA38)),ISNUMBER(FIND("PCT",BA38)),ISNUMBER(FIND("PERCENT",BA38))),NOT(ISNUMBER(FIND("ACTUAL",BA38))),LEN(BA38)&lt;=16))+32768*(OR(ISNUMBER(FIND("DESIC",BA38)),ISNUMBER(FIND("DESSIC",BA38)))))</f>
        <v/>
      </c>
      <c r="BB173">
        <f>IF(BB38="",0,2*(OR(ISNUMBER(FIND("WORKCENTER",BB38)),AND(LEFT(BB38,4)="LINE",NOT(ISNUMBER(FIND("STATUS",BB38))))))+4*(OR(ISNUMBER(FIND("WORKORDER",BB38)),AND(LEFT(BB38,2)="WO",OR(ISNUMBER(FIND("NUM",BB38)),RIGHT(BB38,2)="NO"))))+8*(LEFT(BB38,3)="SEQ")+16*(AND(LEFT(BB38,4)="ITEM",NOT(ISNUMBER(FIND("DESC",BB38)))))+32*(AND(ISNUMBER(FIND("DESC",BB38)),NOT(ISNUMBER(FIND("CAP",BB38)))))+64*(OR(RIGHT(BB38,5)="COUNT",RIGHT(BB38,2)="CT"))+128*(ISNUMBER(FIND("BULK",BB38)))+256*(ISNUMBER(FIND("SIZE",BB38)))+512*(LEFT(BB38,3)="CAP")+1024*(ISNUMBER(FIND("ALLERG",BB38)))+2048*(OR(ISNUMBER(FIND("REMARK",BB38)),ISNUMBER(FIND("COMMENT",BB38))))+4096*(OR(ISNUMBER(FIND("QTY",BB38)),ISNUMBER(FIND("QUANTITY",BB38))))+8192*(AND(OR(ISNUMBER(FIND("COMPLETE",BB38)),ISNUMBER(FIND("PCT",BB38)),ISNUMBER(FIND("PERCENT",BB38))),NOT(ISNUMBER(FIND("ACTUAL",BB38))),LEN(BB38)&lt;=16))+32768*(OR(ISNUMBER(FIND("DESIC",BB38)),ISNUMBER(FIND("DESSIC",BB38)))))</f>
        <v/>
      </c>
      <c r="BC173">
        <f>IF(BC38="",0,2*(OR(ISNUMBER(FIND("WORKCENTER",BC38)),AND(LEFT(BC38,4)="LINE",NOT(ISNUMBER(FIND("STATUS",BC38))))))+4*(OR(ISNUMBER(FIND("WORKORDER",BC38)),AND(LEFT(BC38,2)="WO",OR(ISNUMBER(FIND("NUM",BC38)),RIGHT(BC38,2)="NO"))))+8*(LEFT(BC38,3)="SEQ")+16*(AND(LEFT(BC38,4)="ITEM",NOT(ISNUMBER(FIND("DESC",BC38)))))+32*(AND(ISNUMBER(FIND("DESC",BC38)),NOT(ISNUMBER(FIND("CAP",BC38)))))+64*(OR(RIGHT(BC38,5)="COUNT",RIGHT(BC38,2)="CT"))+128*(ISNUMBER(FIND("BULK",BC38)))+256*(ISNUMBER(FIND("SIZE",BC38)))+512*(LEFT(BC38,3)="CAP")+1024*(ISNUMBER(FIND("ALLERG",BC38)))+2048*(OR(ISNUMBER(FIND("REMARK",BC38)),ISNUMBER(FIND("COMMENT",BC38))))+4096*(OR(ISNUMBER(FIND("QTY",BC38)),ISNUMBER(FIND("QUANTITY",BC38))))+8192*(AND(OR(ISNUMBER(FIND("COMPLETE",BC38)),ISNUMBER(FIND("PCT",BC38)),ISNUMBER(FIND("PERCENT",BC38))),NOT(ISNUMBER(FIND("ACTUAL",BC38))),LEN(BC38)&lt;=16))+32768*(OR(ISNUMBER(FIND("DESIC",BC38)),ISNUMBER(FIND("DESSIC",BC38)))))</f>
        <v/>
      </c>
      <c r="BD173">
        <f>IF(BD38="",0,2*(OR(ISNUMBER(FIND("WORKCENTER",BD38)),AND(LEFT(BD38,4)="LINE",NOT(ISNUMBER(FIND("STATUS",BD38))))))+4*(OR(ISNUMBER(FIND("WORKORDER",BD38)),AND(LEFT(BD38,2)="WO",OR(ISNUMBER(FIND("NUM",BD38)),RIGHT(BD38,2)="NO"))))+8*(LEFT(BD38,3)="SEQ")+16*(AND(LEFT(BD38,4)="ITEM",NOT(ISNUMBER(FIND("DESC",BD38)))))+32*(AND(ISNUMBER(FIND("DESC",BD38)),NOT(ISNUMBER(FIND("CAP",BD38)))))+64*(OR(RIGHT(BD38,5)="COUNT",RIGHT(BD38,2)="CT"))+128*(ISNUMBER(FIND("BULK",BD38)))+256*(ISNUMBER(FIND("SIZE",BD38)))+512*(LEFT(BD38,3)="CAP")+1024*(ISNUMBER(FIND("ALLERG",BD38)))+2048*(OR(ISNUMBER(FIND("REMARK",BD38)),ISNUMBER(FIND("COMMENT",BD38))))+4096*(OR(ISNUMBER(FIND("QTY",BD38)),ISNUMBER(FIND("QUANTITY",BD38))))+8192*(AND(OR(ISNUMBER(FIND("COMPLETE",BD38)),ISNUMBER(FIND("PCT",BD38)),ISNUMBER(FIND("PERCENT",BD38))),NOT(ISNUMBER(FIND("ACTUAL",BD38))),LEN(BD38)&lt;=16))+32768*(OR(ISNUMBER(FIND("DESIC",BD38)),ISNUMBER(FIND("DESSIC",BD38)))))</f>
        <v/>
      </c>
      <c r="BE173">
        <f>IF(BE38="",0,2*(OR(ISNUMBER(FIND("WORKCENTER",BE38)),AND(LEFT(BE38,4)="LINE",NOT(ISNUMBER(FIND("STATUS",BE38))))))+4*(OR(ISNUMBER(FIND("WORKORDER",BE38)),AND(LEFT(BE38,2)="WO",OR(ISNUMBER(FIND("NUM",BE38)),RIGHT(BE38,2)="NO"))))+8*(LEFT(BE38,3)="SEQ")+16*(AND(LEFT(BE38,4)="ITEM",NOT(ISNUMBER(FIND("DESC",BE38)))))+32*(AND(ISNUMBER(FIND("DESC",BE38)),NOT(ISNUMBER(FIND("CAP",BE38)))))+64*(OR(RIGHT(BE38,5)="COUNT",RIGHT(BE38,2)="CT"))+128*(ISNUMBER(FIND("BULK",BE38)))+256*(ISNUMBER(FIND("SIZE",BE38)))+512*(LEFT(BE38,3)="CAP")+1024*(ISNUMBER(FIND("ALLERG",BE38)))+2048*(OR(ISNUMBER(FIND("REMARK",BE38)),ISNUMBER(FIND("COMMENT",BE38))))+4096*(OR(ISNUMBER(FIND("QTY",BE38)),ISNUMBER(FIND("QUANTITY",BE38))))+8192*(AND(OR(ISNUMBER(FIND("COMPLETE",BE38)),ISNUMBER(FIND("PCT",BE38)),ISNUMBER(FIND("PERCENT",BE38))),NOT(ISNUMBER(FIND("ACTUAL",BE38))),LEN(BE38)&lt;=16))+32768*(OR(ISNUMBER(FIND("DESIC",BE38)),ISNUMBER(FIND("DESSIC",BE38)))))</f>
        <v/>
      </c>
      <c r="BF173">
        <f>IF(BF38="",0,2*(OR(ISNUMBER(FIND("WORKCENTER",BF38)),AND(LEFT(BF38,4)="LINE",NOT(ISNUMBER(FIND("STATUS",BF38))))))+4*(OR(ISNUMBER(FIND("WORKORDER",BF38)),AND(LEFT(BF38,2)="WO",OR(ISNUMBER(FIND("NUM",BF38)),RIGHT(BF38,2)="NO"))))+8*(LEFT(BF38,3)="SEQ")+16*(AND(LEFT(BF38,4)="ITEM",NOT(ISNUMBER(FIND("DESC",BF38)))))+32*(AND(ISNUMBER(FIND("DESC",BF38)),NOT(ISNUMBER(FIND("CAP",BF38)))))+64*(OR(RIGHT(BF38,5)="COUNT",RIGHT(BF38,2)="CT"))+128*(ISNUMBER(FIND("BULK",BF38)))+256*(ISNUMBER(FIND("SIZE",BF38)))+512*(LEFT(BF38,3)="CAP")+1024*(ISNUMBER(FIND("ALLERG",BF38)))+2048*(OR(ISNUMBER(FIND("REMARK",BF38)),ISNUMBER(FIND("COMMENT",BF38))))+4096*(OR(ISNUMBER(FIND("QTY",BF38)),ISNUMBER(FIND("QUANTITY",BF38))))+8192*(AND(OR(ISNUMBER(FIND("COMPLETE",BF38)),ISNUMBER(FIND("PCT",BF38)),ISNUMBER(FIND("PERCENT",BF38))),NOT(ISNUMBER(FIND("ACTUAL",BF38))),LEN(BF38)&lt;=16))+32768*(OR(ISNUMBER(FIND("DESIC",BF38)),ISNUMBER(FIND("DESSIC",BF38)))))</f>
        <v/>
      </c>
      <c r="BG173">
        <f>IF(BG38="",0,2*(OR(ISNUMBER(FIND("WORKCENTER",BG38)),AND(LEFT(BG38,4)="LINE",NOT(ISNUMBER(FIND("STATUS",BG38))))))+4*(OR(ISNUMBER(FIND("WORKORDER",BG38)),AND(LEFT(BG38,2)="WO",OR(ISNUMBER(FIND("NUM",BG38)),RIGHT(BG38,2)="NO"))))+8*(LEFT(BG38,3)="SEQ")+16*(AND(LEFT(BG38,4)="ITEM",NOT(ISNUMBER(FIND("DESC",BG38)))))+32*(AND(ISNUMBER(FIND("DESC",BG38)),NOT(ISNUMBER(FIND("CAP",BG38)))))+64*(OR(RIGHT(BG38,5)="COUNT",RIGHT(BG38,2)="CT"))+128*(ISNUMBER(FIND("BULK",BG38)))+256*(ISNUMBER(FIND("SIZE",BG38)))+512*(LEFT(BG38,3)="CAP")+1024*(ISNUMBER(FIND("ALLERG",BG38)))+2048*(OR(ISNUMBER(FIND("REMARK",BG38)),ISNUMBER(FIND("COMMENT",BG38))))+4096*(OR(ISNUMBER(FIND("QTY",BG38)),ISNUMBER(FIND("QUANTITY",BG38))))+8192*(AND(OR(ISNUMBER(FIND("COMPLETE",BG38)),ISNUMBER(FIND("PCT",BG38)),ISNUMBER(FIND("PERCENT",BG38))),NOT(ISNUMBER(FIND("ACTUAL",BG38))),LEN(BG38)&lt;=16))+32768*(OR(ISNUMBER(FIND("DESIC",BG38)),ISNUMBER(FIND("DESSIC",BG38)))))</f>
        <v/>
      </c>
      <c r="BH173">
        <f>IF(BH38="",0,2*(OR(ISNUMBER(FIND("WORKCENTER",BH38)),AND(LEFT(BH38,4)="LINE",NOT(ISNUMBER(FIND("STATUS",BH38))))))+4*(OR(ISNUMBER(FIND("WORKORDER",BH38)),AND(LEFT(BH38,2)="WO",OR(ISNUMBER(FIND("NUM",BH38)),RIGHT(BH38,2)="NO"))))+8*(LEFT(BH38,3)="SEQ")+16*(AND(LEFT(BH38,4)="ITEM",NOT(ISNUMBER(FIND("DESC",BH38)))))+32*(AND(ISNUMBER(FIND("DESC",BH38)),NOT(ISNUMBER(FIND("CAP",BH38)))))+64*(OR(RIGHT(BH38,5)="COUNT",RIGHT(BH38,2)="CT"))+128*(ISNUMBER(FIND("BULK",BH38)))+256*(ISNUMBER(FIND("SIZE",BH38)))+512*(LEFT(BH38,3)="CAP")+1024*(ISNUMBER(FIND("ALLERG",BH38)))+2048*(OR(ISNUMBER(FIND("REMARK",BH38)),ISNUMBER(FIND("COMMENT",BH38))))+4096*(OR(ISNUMBER(FIND("QTY",BH38)),ISNUMBER(FIND("QUANTITY",BH38))))+8192*(AND(OR(ISNUMBER(FIND("COMPLETE",BH38)),ISNUMBER(FIND("PCT",BH38)),ISNUMBER(FIND("PERCENT",BH38))),NOT(ISNUMBER(FIND("ACTUAL",BH38))),LEN(BH38)&lt;=16))+32768*(OR(ISNUMBER(FIND("DESIC",BH38)),ISNUMBER(FIND("DESSIC",BH38)))))</f>
        <v/>
      </c>
      <c r="BI173">
        <f>IF(BI38="",0,2*(OR(ISNUMBER(FIND("WORKCENTER",BI38)),AND(LEFT(BI38,4)="LINE",NOT(ISNUMBER(FIND("STATUS",BI38))))))+4*(OR(ISNUMBER(FIND("WORKORDER",BI38)),AND(LEFT(BI38,2)="WO",OR(ISNUMBER(FIND("NUM",BI38)),RIGHT(BI38,2)="NO"))))+8*(LEFT(BI38,3)="SEQ")+16*(AND(LEFT(BI38,4)="ITEM",NOT(ISNUMBER(FIND("DESC",BI38)))))+32*(AND(ISNUMBER(FIND("DESC",BI38)),NOT(ISNUMBER(FIND("CAP",BI38)))))+64*(OR(RIGHT(BI38,5)="COUNT",RIGHT(BI38,2)="CT"))+128*(ISNUMBER(FIND("BULK",BI38)))+256*(ISNUMBER(FIND("SIZE",BI38)))+512*(LEFT(BI38,3)="CAP")+1024*(ISNUMBER(FIND("ALLERG",BI38)))+2048*(OR(ISNUMBER(FIND("REMARK",BI38)),ISNUMBER(FIND("COMMENT",BI38))))+4096*(OR(ISNUMBER(FIND("QTY",BI38)),ISNUMBER(FIND("QUANTITY",BI38))))+8192*(AND(OR(ISNUMBER(FIND("COMPLETE",BI38)),ISNUMBER(FIND("PCT",BI38)),ISNUMBER(FIND("PERCENT",BI38))),NOT(ISNUMBER(FIND("ACTUAL",BI38))),LEN(BI38)&lt;=16))+32768*(OR(ISNUMBER(FIND("DESIC",BI38)),ISNUMBER(FIND("DESSIC",BI38)))))</f>
        <v/>
      </c>
      <c r="BJ173">
        <f>IF(BJ38="",0,2*(OR(ISNUMBER(FIND("WORKCENTER",BJ38)),AND(LEFT(BJ38,4)="LINE",NOT(ISNUMBER(FIND("STATUS",BJ38))))))+4*(OR(ISNUMBER(FIND("WORKORDER",BJ38)),AND(LEFT(BJ38,2)="WO",OR(ISNUMBER(FIND("NUM",BJ38)),RIGHT(BJ38,2)="NO"))))+8*(LEFT(BJ38,3)="SEQ")+16*(AND(LEFT(BJ38,4)="ITEM",NOT(ISNUMBER(FIND("DESC",BJ38)))))+32*(AND(ISNUMBER(FIND("DESC",BJ38)),NOT(ISNUMBER(FIND("CAP",BJ38)))))+64*(OR(RIGHT(BJ38,5)="COUNT",RIGHT(BJ38,2)="CT"))+128*(ISNUMBER(FIND("BULK",BJ38)))+256*(ISNUMBER(FIND("SIZE",BJ38)))+512*(LEFT(BJ38,3)="CAP")+1024*(ISNUMBER(FIND("ALLERG",BJ38)))+2048*(OR(ISNUMBER(FIND("REMARK",BJ38)),ISNUMBER(FIND("COMMENT",BJ38))))+4096*(OR(ISNUMBER(FIND("QTY",BJ38)),ISNUMBER(FIND("QUANTITY",BJ38))))+8192*(AND(OR(ISNUMBER(FIND("COMPLETE",BJ38)),ISNUMBER(FIND("PCT",BJ38)),ISNUMBER(FIND("PERCENT",BJ38))),NOT(ISNUMBER(FIND("ACTUAL",BJ38))),LEN(BJ38)&lt;=16))+32768*(OR(ISNUMBER(FIND("DESIC",BJ38)),ISNUMBER(FIND("DESSIC",BJ38)))))</f>
        <v/>
      </c>
      <c r="BK173">
        <f>IF(BK38="",0,2*(OR(ISNUMBER(FIND("WORKCENTER",BK38)),AND(LEFT(BK38,4)="LINE",NOT(ISNUMBER(FIND("STATUS",BK38))))))+4*(OR(ISNUMBER(FIND("WORKORDER",BK38)),AND(LEFT(BK38,2)="WO",OR(ISNUMBER(FIND("NUM",BK38)),RIGHT(BK38,2)="NO"))))+8*(LEFT(BK38,3)="SEQ")+16*(AND(LEFT(BK38,4)="ITEM",NOT(ISNUMBER(FIND("DESC",BK38)))))+32*(AND(ISNUMBER(FIND("DESC",BK38)),NOT(ISNUMBER(FIND("CAP",BK38)))))+64*(OR(RIGHT(BK38,5)="COUNT",RIGHT(BK38,2)="CT"))+128*(ISNUMBER(FIND("BULK",BK38)))+256*(ISNUMBER(FIND("SIZE",BK38)))+512*(LEFT(BK38,3)="CAP")+1024*(ISNUMBER(FIND("ALLERG",BK38)))+2048*(OR(ISNUMBER(FIND("REMARK",BK38)),ISNUMBER(FIND("COMMENT",BK38))))+4096*(OR(ISNUMBER(FIND("QTY",BK38)),ISNUMBER(FIND("QUANTITY",BK38))))+8192*(AND(OR(ISNUMBER(FIND("COMPLETE",BK38)),ISNUMBER(FIND("PCT",BK38)),ISNUMBER(FIND("PERCENT",BK38))),NOT(ISNUMBER(FIND("ACTUAL",BK38))),LEN(BK38)&lt;=16))+32768*(OR(ISNUMBER(FIND("DESIC",BK38)),ISNUMBER(FIND("DESSIC",BK38)))))</f>
        <v/>
      </c>
      <c r="BL173">
        <f>IF(BL38="",0,2*(OR(ISNUMBER(FIND("WORKCENTER",BL38)),AND(LEFT(BL38,4)="LINE",NOT(ISNUMBER(FIND("STATUS",BL38))))))+4*(OR(ISNUMBER(FIND("WORKORDER",BL38)),AND(LEFT(BL38,2)="WO",OR(ISNUMBER(FIND("NUM",BL38)),RIGHT(BL38,2)="NO"))))+8*(LEFT(BL38,3)="SEQ")+16*(AND(LEFT(BL38,4)="ITEM",NOT(ISNUMBER(FIND("DESC",BL38)))))+32*(AND(ISNUMBER(FIND("DESC",BL38)),NOT(ISNUMBER(FIND("CAP",BL38)))))+64*(OR(RIGHT(BL38,5)="COUNT",RIGHT(BL38,2)="CT"))+128*(ISNUMBER(FIND("BULK",BL38)))+256*(ISNUMBER(FIND("SIZE",BL38)))+512*(LEFT(BL38,3)="CAP")+1024*(ISNUMBER(FIND("ALLERG",BL38)))+2048*(OR(ISNUMBER(FIND("REMARK",BL38)),ISNUMBER(FIND("COMMENT",BL38))))+4096*(OR(ISNUMBER(FIND("QTY",BL38)),ISNUMBER(FIND("QUANTITY",BL38))))+8192*(AND(OR(ISNUMBER(FIND("COMPLETE",BL38)),ISNUMBER(FIND("PCT",BL38)),ISNUMBER(FIND("PERCENT",BL38))),NOT(ISNUMBER(FIND("ACTUAL",BL38))),LEN(BL38)&lt;=16))+32768*(OR(ISNUMBER(FIND("DESIC",BL38)),ISNUMBER(FIND("DESSIC",BL38)))))</f>
        <v/>
      </c>
      <c r="BM173">
        <f>IF(BM38="",0,2*(OR(ISNUMBER(FIND("WORKCENTER",BM38)),AND(LEFT(BM38,4)="LINE",NOT(ISNUMBER(FIND("STATUS",BM38))))))+4*(OR(ISNUMBER(FIND("WORKORDER",BM38)),AND(LEFT(BM38,2)="WO",OR(ISNUMBER(FIND("NUM",BM38)),RIGHT(BM38,2)="NO"))))+8*(LEFT(BM38,3)="SEQ")+16*(AND(LEFT(BM38,4)="ITEM",NOT(ISNUMBER(FIND("DESC",BM38)))))+32*(AND(ISNUMBER(FIND("DESC",BM38)),NOT(ISNUMBER(FIND("CAP",BM38)))))+64*(OR(RIGHT(BM38,5)="COUNT",RIGHT(BM38,2)="CT"))+128*(ISNUMBER(FIND("BULK",BM38)))+256*(ISNUMBER(FIND("SIZE",BM38)))+512*(LEFT(BM38,3)="CAP")+1024*(ISNUMBER(FIND("ALLERG",BM38)))+2048*(OR(ISNUMBER(FIND("REMARK",BM38)),ISNUMBER(FIND("COMMENT",BM38))))+4096*(OR(ISNUMBER(FIND("QTY",BM38)),ISNUMBER(FIND("QUANTITY",BM38))))+8192*(AND(OR(ISNUMBER(FIND("COMPLETE",BM38)),ISNUMBER(FIND("PCT",BM38)),ISNUMBER(FIND("PERCENT",BM38))),NOT(ISNUMBER(FIND("ACTUAL",BM38))),LEN(BM38)&lt;=16))+32768*(OR(ISNUMBER(FIND("DESIC",BM38)),ISNUMBER(FIND("DESSIC",BM38)))))</f>
        <v/>
      </c>
      <c r="BN173">
        <f>IF(BN38="",0,2*(OR(ISNUMBER(FIND("WORKCENTER",BN38)),AND(LEFT(BN38,4)="LINE",NOT(ISNUMBER(FIND("STATUS",BN38))))))+4*(OR(ISNUMBER(FIND("WORKORDER",BN38)),AND(LEFT(BN38,2)="WO",OR(ISNUMBER(FIND("NUM",BN38)),RIGHT(BN38,2)="NO"))))+8*(LEFT(BN38,3)="SEQ")+16*(AND(LEFT(BN38,4)="ITEM",NOT(ISNUMBER(FIND("DESC",BN38)))))+32*(AND(ISNUMBER(FIND("DESC",BN38)),NOT(ISNUMBER(FIND("CAP",BN38)))))+64*(OR(RIGHT(BN38,5)="COUNT",RIGHT(BN38,2)="CT"))+128*(ISNUMBER(FIND("BULK",BN38)))+256*(ISNUMBER(FIND("SIZE",BN38)))+512*(LEFT(BN38,3)="CAP")+1024*(ISNUMBER(FIND("ALLERG",BN38)))+2048*(OR(ISNUMBER(FIND("REMARK",BN38)),ISNUMBER(FIND("COMMENT",BN38))))+4096*(OR(ISNUMBER(FIND("QTY",BN38)),ISNUMBER(FIND("QUANTITY",BN38))))+8192*(AND(OR(ISNUMBER(FIND("COMPLETE",BN38)),ISNUMBER(FIND("PCT",BN38)),ISNUMBER(FIND("PERCENT",BN38))),NOT(ISNUMBER(FIND("ACTUAL",BN38))),LEN(BN38)&lt;=16))+32768*(OR(ISNUMBER(FIND("DESIC",BN38)),ISNUMBER(FIND("DESSIC",BN38)))))</f>
        <v/>
      </c>
      <c r="BO173">
        <f>IF(BO38="",0,2*(OR(ISNUMBER(FIND("WORKCENTER",BO38)),AND(LEFT(BO38,4)="LINE",NOT(ISNUMBER(FIND("STATUS",BO38))))))+4*(OR(ISNUMBER(FIND("WORKORDER",BO38)),AND(LEFT(BO38,2)="WO",OR(ISNUMBER(FIND("NUM",BO38)),RIGHT(BO38,2)="NO"))))+8*(LEFT(BO38,3)="SEQ")+16*(AND(LEFT(BO38,4)="ITEM",NOT(ISNUMBER(FIND("DESC",BO38)))))+32*(AND(ISNUMBER(FIND("DESC",BO38)),NOT(ISNUMBER(FIND("CAP",BO38)))))+64*(OR(RIGHT(BO38,5)="COUNT",RIGHT(BO38,2)="CT"))+128*(ISNUMBER(FIND("BULK",BO38)))+256*(ISNUMBER(FIND("SIZE",BO38)))+512*(LEFT(BO38,3)="CAP")+1024*(ISNUMBER(FIND("ALLERG",BO38)))+2048*(OR(ISNUMBER(FIND("REMARK",BO38)),ISNUMBER(FIND("COMMENT",BO38))))+4096*(OR(ISNUMBER(FIND("QTY",BO38)),ISNUMBER(FIND("QUANTITY",BO38))))+8192*(AND(OR(ISNUMBER(FIND("COMPLETE",BO38)),ISNUMBER(FIND("PCT",BO38)),ISNUMBER(FIND("PERCENT",BO38))),NOT(ISNUMBER(FIND("ACTUAL",BO38))),LEN(BO38)&lt;=16))+32768*(OR(ISNUMBER(FIND("DESIC",BO38)),ISNUMBER(FIND("DESSIC",BO38)))))</f>
        <v/>
      </c>
      <c r="BP173">
        <f>IF(BP38="",0,2*(OR(ISNUMBER(FIND("WORKCENTER",BP38)),AND(LEFT(BP38,4)="LINE",NOT(ISNUMBER(FIND("STATUS",BP38))))))+4*(OR(ISNUMBER(FIND("WORKORDER",BP38)),AND(LEFT(BP38,2)="WO",OR(ISNUMBER(FIND("NUM",BP38)),RIGHT(BP38,2)="NO"))))+8*(LEFT(BP38,3)="SEQ")+16*(AND(LEFT(BP38,4)="ITEM",NOT(ISNUMBER(FIND("DESC",BP38)))))+32*(AND(ISNUMBER(FIND("DESC",BP38)),NOT(ISNUMBER(FIND("CAP",BP38)))))+64*(OR(RIGHT(BP38,5)="COUNT",RIGHT(BP38,2)="CT"))+128*(ISNUMBER(FIND("BULK",BP38)))+256*(ISNUMBER(FIND("SIZE",BP38)))+512*(LEFT(BP38,3)="CAP")+1024*(ISNUMBER(FIND("ALLERG",BP38)))+2048*(OR(ISNUMBER(FIND("REMARK",BP38)),ISNUMBER(FIND("COMMENT",BP38))))+4096*(OR(ISNUMBER(FIND("QTY",BP38)),ISNUMBER(FIND("QUANTITY",BP38))))+8192*(AND(OR(ISNUMBER(FIND("COMPLETE",BP38)),ISNUMBER(FIND("PCT",BP38)),ISNUMBER(FIND("PERCENT",BP38))),NOT(ISNUMBER(FIND("ACTUAL",BP38))),LEN(BP38)&lt;=16))+32768*(OR(ISNUMBER(FIND("DESIC",BP38)),ISNUMBER(FIND("DESSIC",BP38)))))</f>
        <v/>
      </c>
      <c r="BQ173">
        <f>IF(BQ38="",0,2*(OR(ISNUMBER(FIND("WORKCENTER",BQ38)),AND(LEFT(BQ38,4)="LINE",NOT(ISNUMBER(FIND("STATUS",BQ38))))))+4*(OR(ISNUMBER(FIND("WORKORDER",BQ38)),AND(LEFT(BQ38,2)="WO",OR(ISNUMBER(FIND("NUM",BQ38)),RIGHT(BQ38,2)="NO"))))+8*(LEFT(BQ38,3)="SEQ")+16*(AND(LEFT(BQ38,4)="ITEM",NOT(ISNUMBER(FIND("DESC",BQ38)))))+32*(AND(ISNUMBER(FIND("DESC",BQ38)),NOT(ISNUMBER(FIND("CAP",BQ38)))))+64*(OR(RIGHT(BQ38,5)="COUNT",RIGHT(BQ38,2)="CT"))+128*(ISNUMBER(FIND("BULK",BQ38)))+256*(ISNUMBER(FIND("SIZE",BQ38)))+512*(LEFT(BQ38,3)="CAP")+1024*(ISNUMBER(FIND("ALLERG",BQ38)))+2048*(OR(ISNUMBER(FIND("REMARK",BQ38)),ISNUMBER(FIND("COMMENT",BQ38))))+4096*(OR(ISNUMBER(FIND("QTY",BQ38)),ISNUMBER(FIND("QUANTITY",BQ38))))+8192*(AND(OR(ISNUMBER(FIND("COMPLETE",BQ38)),ISNUMBER(FIND("PCT",BQ38)),ISNUMBER(FIND("PERCENT",BQ38))),NOT(ISNUMBER(FIND("ACTUAL",BQ38))),LEN(BQ38)&lt;=16))+32768*(OR(ISNUMBER(FIND("DESIC",BQ38)),ISNUMBER(FIND("DESSIC",BQ38)))))</f>
        <v/>
      </c>
      <c r="BR173">
        <f>IF(BR38="",0,2*(OR(ISNUMBER(FIND("WORKCENTER",BR38)),AND(LEFT(BR38,4)="LINE",NOT(ISNUMBER(FIND("STATUS",BR38))))))+4*(OR(ISNUMBER(FIND("WORKORDER",BR38)),AND(LEFT(BR38,2)="WO",OR(ISNUMBER(FIND("NUM",BR38)),RIGHT(BR38,2)="NO"))))+8*(LEFT(BR38,3)="SEQ")+16*(AND(LEFT(BR38,4)="ITEM",NOT(ISNUMBER(FIND("DESC",BR38)))))+32*(AND(ISNUMBER(FIND("DESC",BR38)),NOT(ISNUMBER(FIND("CAP",BR38)))))+64*(OR(RIGHT(BR38,5)="COUNT",RIGHT(BR38,2)="CT"))+128*(ISNUMBER(FIND("BULK",BR38)))+256*(ISNUMBER(FIND("SIZE",BR38)))+512*(LEFT(BR38,3)="CAP")+1024*(ISNUMBER(FIND("ALLERG",BR38)))+2048*(OR(ISNUMBER(FIND("REMARK",BR38)),ISNUMBER(FIND("COMMENT",BR38))))+4096*(OR(ISNUMBER(FIND("QTY",BR38)),ISNUMBER(FIND("QUANTITY",BR38))))+8192*(AND(OR(ISNUMBER(FIND("COMPLETE",BR38)),ISNUMBER(FIND("PCT",BR38)),ISNUMBER(FIND("PERCENT",BR38))),NOT(ISNUMBER(FIND("ACTUAL",BR38))),LEN(BR38)&lt;=16))+32768*(OR(ISNUMBER(FIND("DESIC",BR38)),ISNUMBER(FIND("DESSIC",BR38)))))</f>
        <v/>
      </c>
      <c r="BS173">
        <f>IF(BS38="",0,2*(OR(ISNUMBER(FIND("WORKCENTER",BS38)),AND(LEFT(BS38,4)="LINE",NOT(ISNUMBER(FIND("STATUS",BS38))))))+4*(OR(ISNUMBER(FIND("WORKORDER",BS38)),AND(LEFT(BS38,2)="WO",OR(ISNUMBER(FIND("NUM",BS38)),RIGHT(BS38,2)="NO"))))+8*(LEFT(BS38,3)="SEQ")+16*(AND(LEFT(BS38,4)="ITEM",NOT(ISNUMBER(FIND("DESC",BS38)))))+32*(AND(ISNUMBER(FIND("DESC",BS38)),NOT(ISNUMBER(FIND("CAP",BS38)))))+64*(OR(RIGHT(BS38,5)="COUNT",RIGHT(BS38,2)="CT"))+128*(ISNUMBER(FIND("BULK",BS38)))+256*(ISNUMBER(FIND("SIZE",BS38)))+512*(LEFT(BS38,3)="CAP")+1024*(ISNUMBER(FIND("ALLERG",BS38)))+2048*(OR(ISNUMBER(FIND("REMARK",BS38)),ISNUMBER(FIND("COMMENT",BS38))))+4096*(OR(ISNUMBER(FIND("QTY",BS38)),ISNUMBER(FIND("QUANTITY",BS38))))+8192*(AND(OR(ISNUMBER(FIND("COMPLETE",BS38)),ISNUMBER(FIND("PCT",BS38)),ISNUMBER(FIND("PERCENT",BS38))),NOT(ISNUMBER(FIND("ACTUAL",BS38))),LEN(BS38)&lt;=16))+32768*(OR(ISNUMBER(FIND("DESIC",BS38)),ISNUMBER(FIND("DESSIC",BS38)))))</f>
        <v/>
      </c>
      <c r="BT173">
        <f>IF(BT38="",0,2*(OR(ISNUMBER(FIND("WORKCENTER",BT38)),AND(LEFT(BT38,4)="LINE",NOT(ISNUMBER(FIND("STATUS",BT38))))))+4*(OR(ISNUMBER(FIND("WORKORDER",BT38)),AND(LEFT(BT38,2)="WO",OR(ISNUMBER(FIND("NUM",BT38)),RIGHT(BT38,2)="NO"))))+8*(LEFT(BT38,3)="SEQ")+16*(AND(LEFT(BT38,4)="ITEM",NOT(ISNUMBER(FIND("DESC",BT38)))))+32*(AND(ISNUMBER(FIND("DESC",BT38)),NOT(ISNUMBER(FIND("CAP",BT38)))))+64*(OR(RIGHT(BT38,5)="COUNT",RIGHT(BT38,2)="CT"))+128*(ISNUMBER(FIND("BULK",BT38)))+256*(ISNUMBER(FIND("SIZE",BT38)))+512*(LEFT(BT38,3)="CAP")+1024*(ISNUMBER(FIND("ALLERG",BT38)))+2048*(OR(ISNUMBER(FIND("REMARK",BT38)),ISNUMBER(FIND("COMMENT",BT38))))+4096*(OR(ISNUMBER(FIND("QTY",BT38)),ISNUMBER(FIND("QUANTITY",BT38))))+8192*(AND(OR(ISNUMBER(FIND("COMPLETE",BT38)),ISNUMBER(FIND("PCT",BT38)),ISNUMBER(FIND("PERCENT",BT38))),NOT(ISNUMBER(FIND("ACTUAL",BT38))),LEN(BT38)&lt;=16))+32768*(OR(ISNUMBER(FIND("DESIC",BT38)),ISNUMBER(FIND("DESSIC",BT38)))))</f>
        <v/>
      </c>
      <c r="BU173">
        <f>IF(BU38="",0,2*(OR(ISNUMBER(FIND("WORKCENTER",BU38)),AND(LEFT(BU38,4)="LINE",NOT(ISNUMBER(FIND("STATUS",BU38))))))+4*(OR(ISNUMBER(FIND("WORKORDER",BU38)),AND(LEFT(BU38,2)="WO",OR(ISNUMBER(FIND("NUM",BU38)),RIGHT(BU38,2)="NO"))))+8*(LEFT(BU38,3)="SEQ")+16*(AND(LEFT(BU38,4)="ITEM",NOT(ISNUMBER(FIND("DESC",BU38)))))+32*(AND(ISNUMBER(FIND("DESC",BU38)),NOT(ISNUMBER(FIND("CAP",BU38)))))+64*(OR(RIGHT(BU38,5)="COUNT",RIGHT(BU38,2)="CT"))+128*(ISNUMBER(FIND("BULK",BU38)))+256*(ISNUMBER(FIND("SIZE",BU38)))+512*(LEFT(BU38,3)="CAP")+1024*(ISNUMBER(FIND("ALLERG",BU38)))+2048*(OR(ISNUMBER(FIND("REMARK",BU38)),ISNUMBER(FIND("COMMENT",BU38))))+4096*(OR(ISNUMBER(FIND("QTY",BU38)),ISNUMBER(FIND("QUANTITY",BU38))))+8192*(AND(OR(ISNUMBER(FIND("COMPLETE",BU38)),ISNUMBER(FIND("PCT",BU38)),ISNUMBER(FIND("PERCENT",BU38))),NOT(ISNUMBER(FIND("ACTUAL",BU38))),LEN(BU38)&lt;=16))+32768*(OR(ISNUMBER(FIND("DESIC",BU38)),ISNUMBER(FIND("DESSIC",BU38)))))</f>
        <v/>
      </c>
      <c r="BV173">
        <f>IF(BV38="",0,2*(OR(ISNUMBER(FIND("WORKCENTER",BV38)),AND(LEFT(BV38,4)="LINE",NOT(ISNUMBER(FIND("STATUS",BV38))))))+4*(OR(ISNUMBER(FIND("WORKORDER",BV38)),AND(LEFT(BV38,2)="WO",OR(ISNUMBER(FIND("NUM",BV38)),RIGHT(BV38,2)="NO"))))+8*(LEFT(BV38,3)="SEQ")+16*(AND(LEFT(BV38,4)="ITEM",NOT(ISNUMBER(FIND("DESC",BV38)))))+32*(AND(ISNUMBER(FIND("DESC",BV38)),NOT(ISNUMBER(FIND("CAP",BV38)))))+64*(OR(RIGHT(BV38,5)="COUNT",RIGHT(BV38,2)="CT"))+128*(ISNUMBER(FIND("BULK",BV38)))+256*(ISNUMBER(FIND("SIZE",BV38)))+512*(LEFT(BV38,3)="CAP")+1024*(ISNUMBER(FIND("ALLERG",BV38)))+2048*(OR(ISNUMBER(FIND("REMARK",BV38)),ISNUMBER(FIND("COMMENT",BV38))))+4096*(OR(ISNUMBER(FIND("QTY",BV38)),ISNUMBER(FIND("QUANTITY",BV38))))+8192*(AND(OR(ISNUMBER(FIND("COMPLETE",BV38)),ISNUMBER(FIND("PCT",BV38)),ISNUMBER(FIND("PERCENT",BV38))),NOT(ISNUMBER(FIND("ACTUAL",BV38))),LEN(BV38)&lt;=16))+32768*(OR(ISNUMBER(FIND("DESIC",BV38)),ISNUMBER(FIND("DESSIC",BV38)))))</f>
        <v/>
      </c>
      <c r="BW173">
        <f>IF(BW38="",0,2*(OR(ISNUMBER(FIND("WORKCENTER",BW38)),AND(LEFT(BW38,4)="LINE",NOT(ISNUMBER(FIND("STATUS",BW38))))))+4*(OR(ISNUMBER(FIND("WORKORDER",BW38)),AND(LEFT(BW38,2)="WO",OR(ISNUMBER(FIND("NUM",BW38)),RIGHT(BW38,2)="NO"))))+8*(LEFT(BW38,3)="SEQ")+16*(AND(LEFT(BW38,4)="ITEM",NOT(ISNUMBER(FIND("DESC",BW38)))))+32*(AND(ISNUMBER(FIND("DESC",BW38)),NOT(ISNUMBER(FIND("CAP",BW38)))))+64*(OR(RIGHT(BW38,5)="COUNT",RIGHT(BW38,2)="CT"))+128*(ISNUMBER(FIND("BULK",BW38)))+256*(ISNUMBER(FIND("SIZE",BW38)))+512*(LEFT(BW38,3)="CAP")+1024*(ISNUMBER(FIND("ALLERG",BW38)))+2048*(OR(ISNUMBER(FIND("REMARK",BW38)),ISNUMBER(FIND("COMMENT",BW38))))+4096*(OR(ISNUMBER(FIND("QTY",BW38)),ISNUMBER(FIND("QUANTITY",BW38))))+8192*(AND(OR(ISNUMBER(FIND("COMPLETE",BW38)),ISNUMBER(FIND("PCT",BW38)),ISNUMBER(FIND("PERCENT",BW38))),NOT(ISNUMBER(FIND("ACTUAL",BW38))),LEN(BW38)&lt;=16))+32768*(OR(ISNUMBER(FIND("DESIC",BW38)),ISNUMBER(FIND("DESSIC",BW38)))))</f>
        <v/>
      </c>
      <c r="BX173">
        <f>IF(BX38="",0,2*(OR(ISNUMBER(FIND("WORKCENTER",BX38)),AND(LEFT(BX38,4)="LINE",NOT(ISNUMBER(FIND("STATUS",BX38))))))+4*(OR(ISNUMBER(FIND("WORKORDER",BX38)),AND(LEFT(BX38,2)="WO",OR(ISNUMBER(FIND("NUM",BX38)),RIGHT(BX38,2)="NO"))))+8*(LEFT(BX38,3)="SEQ")+16*(AND(LEFT(BX38,4)="ITEM",NOT(ISNUMBER(FIND("DESC",BX38)))))+32*(AND(ISNUMBER(FIND("DESC",BX38)),NOT(ISNUMBER(FIND("CAP",BX38)))))+64*(OR(RIGHT(BX38,5)="COUNT",RIGHT(BX38,2)="CT"))+128*(ISNUMBER(FIND("BULK",BX38)))+256*(ISNUMBER(FIND("SIZE",BX38)))+512*(LEFT(BX38,3)="CAP")+1024*(ISNUMBER(FIND("ALLERG",BX38)))+2048*(OR(ISNUMBER(FIND("REMARK",BX38)),ISNUMBER(FIND("COMMENT",BX38))))+4096*(OR(ISNUMBER(FIND("QTY",BX38)),ISNUMBER(FIND("QUANTITY",BX38))))+8192*(AND(OR(ISNUMBER(FIND("COMPLETE",BX38)),ISNUMBER(FIND("PCT",BX38)),ISNUMBER(FIND("PERCENT",BX38))),NOT(ISNUMBER(FIND("ACTUAL",BX38))),LEN(BX38)&lt;=16))+32768*(OR(ISNUMBER(FIND("DESIC",BX38)),ISNUMBER(FIND("DESSIC",BX38)))))</f>
        <v/>
      </c>
      <c r="BY173">
        <f>IF(BY38="",0,2*(OR(ISNUMBER(FIND("WORKCENTER",BY38)),AND(LEFT(BY38,4)="LINE",NOT(ISNUMBER(FIND("STATUS",BY38))))))+4*(OR(ISNUMBER(FIND("WORKORDER",BY38)),AND(LEFT(BY38,2)="WO",OR(ISNUMBER(FIND("NUM",BY38)),RIGHT(BY38,2)="NO"))))+8*(LEFT(BY38,3)="SEQ")+16*(AND(LEFT(BY38,4)="ITEM",NOT(ISNUMBER(FIND("DESC",BY38)))))+32*(AND(ISNUMBER(FIND("DESC",BY38)),NOT(ISNUMBER(FIND("CAP",BY38)))))+64*(OR(RIGHT(BY38,5)="COUNT",RIGHT(BY38,2)="CT"))+128*(ISNUMBER(FIND("BULK",BY38)))+256*(ISNUMBER(FIND("SIZE",BY38)))+512*(LEFT(BY38,3)="CAP")+1024*(ISNUMBER(FIND("ALLERG",BY38)))+2048*(OR(ISNUMBER(FIND("REMARK",BY38)),ISNUMBER(FIND("COMMENT",BY38))))+4096*(OR(ISNUMBER(FIND("QTY",BY38)),ISNUMBER(FIND("QUANTITY",BY38))))+8192*(AND(OR(ISNUMBER(FIND("COMPLETE",BY38)),ISNUMBER(FIND("PCT",BY38)),ISNUMBER(FIND("PERCENT",BY38))),NOT(ISNUMBER(FIND("ACTUAL",BY38))),LEN(BY38)&lt;=16))+32768*(OR(ISNUMBER(FIND("DESIC",BY38)),ISNUMBER(FIND("DESSIC",BY38)))))</f>
        <v/>
      </c>
      <c r="BZ173">
        <f>IF(BZ38="",0,2*(OR(ISNUMBER(FIND("WORKCENTER",BZ38)),AND(LEFT(BZ38,4)="LINE",NOT(ISNUMBER(FIND("STATUS",BZ38))))))+4*(OR(ISNUMBER(FIND("WORKORDER",BZ38)),AND(LEFT(BZ38,2)="WO",OR(ISNUMBER(FIND("NUM",BZ38)),RIGHT(BZ38,2)="NO"))))+8*(LEFT(BZ38,3)="SEQ")+16*(AND(LEFT(BZ38,4)="ITEM",NOT(ISNUMBER(FIND("DESC",BZ38)))))+32*(AND(ISNUMBER(FIND("DESC",BZ38)),NOT(ISNUMBER(FIND("CAP",BZ38)))))+64*(OR(RIGHT(BZ38,5)="COUNT",RIGHT(BZ38,2)="CT"))+128*(ISNUMBER(FIND("BULK",BZ38)))+256*(ISNUMBER(FIND("SIZE",BZ38)))+512*(LEFT(BZ38,3)="CAP")+1024*(ISNUMBER(FIND("ALLERG",BZ38)))+2048*(OR(ISNUMBER(FIND("REMARK",BZ38)),ISNUMBER(FIND("COMMENT",BZ38))))+4096*(OR(ISNUMBER(FIND("QTY",BZ38)),ISNUMBER(FIND("QUANTITY",BZ38))))+8192*(AND(OR(ISNUMBER(FIND("COMPLETE",BZ38)),ISNUMBER(FIND("PCT",BZ38)),ISNUMBER(FIND("PERCENT",BZ38))),NOT(ISNUMBER(FIND("ACTUAL",BZ38))),LEN(BZ38)&lt;=16))+32768*(OR(ISNUMBER(FIND("DESIC",BZ38)),ISNUMBER(FIND("DESSIC",BZ38)))))</f>
        <v/>
      </c>
      <c r="CA173">
        <f>IF(CA38="",0,2*(OR(ISNUMBER(FIND("WORKCENTER",CA38)),AND(LEFT(CA38,4)="LINE",NOT(ISNUMBER(FIND("STATUS",CA38))))))+4*(OR(ISNUMBER(FIND("WORKORDER",CA38)),AND(LEFT(CA38,2)="WO",OR(ISNUMBER(FIND("NUM",CA38)),RIGHT(CA38,2)="NO"))))+8*(LEFT(CA38,3)="SEQ")+16*(AND(LEFT(CA38,4)="ITEM",NOT(ISNUMBER(FIND("DESC",CA38)))))+32*(AND(ISNUMBER(FIND("DESC",CA38)),NOT(ISNUMBER(FIND("CAP",CA38)))))+64*(OR(RIGHT(CA38,5)="COUNT",RIGHT(CA38,2)="CT"))+128*(ISNUMBER(FIND("BULK",CA38)))+256*(ISNUMBER(FIND("SIZE",CA38)))+512*(LEFT(CA38,3)="CAP")+1024*(ISNUMBER(FIND("ALLERG",CA38)))+2048*(OR(ISNUMBER(FIND("REMARK",CA38)),ISNUMBER(FIND("COMMENT",CA38))))+4096*(OR(ISNUMBER(FIND("QTY",CA38)),ISNUMBER(FIND("QUANTITY",CA38))))+8192*(AND(OR(ISNUMBER(FIND("COMPLETE",CA38)),ISNUMBER(FIND("PCT",CA38)),ISNUMBER(FIND("PERCENT",CA38))),NOT(ISNUMBER(FIND("ACTUAL",CA38))),LEN(CA38)&lt;=16))+32768*(OR(ISNUMBER(FIND("DESIC",CA38)),ISNUMBER(FIND("DESSIC",CA38)))))</f>
        <v/>
      </c>
      <c r="CB173">
        <f>IF(CB38="",0,2*(OR(ISNUMBER(FIND("WORKCENTER",CB38)),AND(LEFT(CB38,4)="LINE",NOT(ISNUMBER(FIND("STATUS",CB38))))))+4*(OR(ISNUMBER(FIND("WORKORDER",CB38)),AND(LEFT(CB38,2)="WO",OR(ISNUMBER(FIND("NUM",CB38)),RIGHT(CB38,2)="NO"))))+8*(LEFT(CB38,3)="SEQ")+16*(AND(LEFT(CB38,4)="ITEM",NOT(ISNUMBER(FIND("DESC",CB38)))))+32*(AND(ISNUMBER(FIND("DESC",CB38)),NOT(ISNUMBER(FIND("CAP",CB38)))))+64*(OR(RIGHT(CB38,5)="COUNT",RIGHT(CB38,2)="CT"))+128*(ISNUMBER(FIND("BULK",CB38)))+256*(ISNUMBER(FIND("SIZE",CB38)))+512*(LEFT(CB38,3)="CAP")+1024*(ISNUMBER(FIND("ALLERG",CB38)))+2048*(OR(ISNUMBER(FIND("REMARK",CB38)),ISNUMBER(FIND("COMMENT",CB38))))+4096*(OR(ISNUMBER(FIND("QTY",CB38)),ISNUMBER(FIND("QUANTITY",CB38))))+8192*(AND(OR(ISNUMBER(FIND("COMPLETE",CB38)),ISNUMBER(FIND("PCT",CB38)),ISNUMBER(FIND("PERCENT",CB38))),NOT(ISNUMBER(FIND("ACTUAL",CB38))),LEN(CB38)&lt;=16))+32768*(OR(ISNUMBER(FIND("DESIC",CB38)),ISNUMBER(FIND("DESSIC",CB38)))))</f>
        <v/>
      </c>
      <c r="CC173">
        <f>IF(CC38="",0,2*(OR(ISNUMBER(FIND("WORKCENTER",CC38)),AND(LEFT(CC38,4)="LINE",NOT(ISNUMBER(FIND("STATUS",CC38))))))+4*(OR(ISNUMBER(FIND("WORKORDER",CC38)),AND(LEFT(CC38,2)="WO",OR(ISNUMBER(FIND("NUM",CC38)),RIGHT(CC38,2)="NO"))))+8*(LEFT(CC38,3)="SEQ")+16*(AND(LEFT(CC38,4)="ITEM",NOT(ISNUMBER(FIND("DESC",CC38)))))+32*(AND(ISNUMBER(FIND("DESC",CC38)),NOT(ISNUMBER(FIND("CAP",CC38)))))+64*(OR(RIGHT(CC38,5)="COUNT",RIGHT(CC38,2)="CT"))+128*(ISNUMBER(FIND("BULK",CC38)))+256*(ISNUMBER(FIND("SIZE",CC38)))+512*(LEFT(CC38,3)="CAP")+1024*(ISNUMBER(FIND("ALLERG",CC38)))+2048*(OR(ISNUMBER(FIND("REMARK",CC38)),ISNUMBER(FIND("COMMENT",CC38))))+4096*(OR(ISNUMBER(FIND("QTY",CC38)),ISNUMBER(FIND("QUANTITY",CC38))))+8192*(AND(OR(ISNUMBER(FIND("COMPLETE",CC38)),ISNUMBER(FIND("PCT",CC38)),ISNUMBER(FIND("PERCENT",CC38))),NOT(ISNUMBER(FIND("ACTUAL",CC38))),LEN(CC38)&lt;=16))+32768*(OR(ISNUMBER(FIND("DESIC",CC38)),ISNUMBER(FIND("DESSIC",CC38)))))</f>
        <v/>
      </c>
      <c r="CD173">
        <f>IF(CD38="",0,2*(OR(ISNUMBER(FIND("WORKCENTER",CD38)),AND(LEFT(CD38,4)="LINE",NOT(ISNUMBER(FIND("STATUS",CD38))))))+4*(OR(ISNUMBER(FIND("WORKORDER",CD38)),AND(LEFT(CD38,2)="WO",OR(ISNUMBER(FIND("NUM",CD38)),RIGHT(CD38,2)="NO"))))+8*(LEFT(CD38,3)="SEQ")+16*(AND(LEFT(CD38,4)="ITEM",NOT(ISNUMBER(FIND("DESC",CD38)))))+32*(AND(ISNUMBER(FIND("DESC",CD38)),NOT(ISNUMBER(FIND("CAP",CD38)))))+64*(OR(RIGHT(CD38,5)="COUNT",RIGHT(CD38,2)="CT"))+128*(ISNUMBER(FIND("BULK",CD38)))+256*(ISNUMBER(FIND("SIZE",CD38)))+512*(LEFT(CD38,3)="CAP")+1024*(ISNUMBER(FIND("ALLERG",CD38)))+2048*(OR(ISNUMBER(FIND("REMARK",CD38)),ISNUMBER(FIND("COMMENT",CD38))))+4096*(OR(ISNUMBER(FIND("QTY",CD38)),ISNUMBER(FIND("QUANTITY",CD38))))+8192*(AND(OR(ISNUMBER(FIND("COMPLETE",CD38)),ISNUMBER(FIND("PCT",CD38)),ISNUMBER(FIND("PERCENT",CD38))),NOT(ISNUMBER(FIND("ACTUAL",CD38))),LEN(CD38)&lt;=16))+32768*(OR(ISNUMBER(FIND("DESIC",CD38)),ISNUMBER(FIND("DESSIC",CD38)))))</f>
        <v/>
      </c>
      <c r="CE173">
        <f>IF(CE38="",0,2*(OR(ISNUMBER(FIND("WORKCENTER",CE38)),AND(LEFT(CE38,4)="LINE",NOT(ISNUMBER(FIND("STATUS",CE38))))))+4*(OR(ISNUMBER(FIND("WORKORDER",CE38)),AND(LEFT(CE38,2)="WO",OR(ISNUMBER(FIND("NUM",CE38)),RIGHT(CE38,2)="NO"))))+8*(LEFT(CE38,3)="SEQ")+16*(AND(LEFT(CE38,4)="ITEM",NOT(ISNUMBER(FIND("DESC",CE38)))))+32*(AND(ISNUMBER(FIND("DESC",CE38)),NOT(ISNUMBER(FIND("CAP",CE38)))))+64*(OR(RIGHT(CE38,5)="COUNT",RIGHT(CE38,2)="CT"))+128*(ISNUMBER(FIND("BULK",CE38)))+256*(ISNUMBER(FIND("SIZE",CE38)))+512*(LEFT(CE38,3)="CAP")+1024*(ISNUMBER(FIND("ALLERG",CE38)))+2048*(OR(ISNUMBER(FIND("REMARK",CE38)),ISNUMBER(FIND("COMMENT",CE38))))+4096*(OR(ISNUMBER(FIND("QTY",CE38)),ISNUMBER(FIND("QUANTITY",CE38))))+8192*(AND(OR(ISNUMBER(FIND("COMPLETE",CE38)),ISNUMBER(FIND("PCT",CE38)),ISNUMBER(FIND("PERCENT",CE38))),NOT(ISNUMBER(FIND("ACTUAL",CE38))),LEN(CE38)&lt;=16))+32768*(OR(ISNUMBER(FIND("DESIC",CE38)),ISNUMBER(FIND("DESSIC",CE38)))))</f>
        <v/>
      </c>
      <c r="CF173">
        <f>IF(CF38="",0,2*(OR(ISNUMBER(FIND("WORKCENTER",CF38)),AND(LEFT(CF38,4)="LINE",NOT(ISNUMBER(FIND("STATUS",CF38))))))+4*(OR(ISNUMBER(FIND("WORKORDER",CF38)),AND(LEFT(CF38,2)="WO",OR(ISNUMBER(FIND("NUM",CF38)),RIGHT(CF38,2)="NO"))))+8*(LEFT(CF38,3)="SEQ")+16*(AND(LEFT(CF38,4)="ITEM",NOT(ISNUMBER(FIND("DESC",CF38)))))+32*(AND(ISNUMBER(FIND("DESC",CF38)),NOT(ISNUMBER(FIND("CAP",CF38)))))+64*(OR(RIGHT(CF38,5)="COUNT",RIGHT(CF38,2)="CT"))+128*(ISNUMBER(FIND("BULK",CF38)))+256*(ISNUMBER(FIND("SIZE",CF38)))+512*(LEFT(CF38,3)="CAP")+1024*(ISNUMBER(FIND("ALLERG",CF38)))+2048*(OR(ISNUMBER(FIND("REMARK",CF38)),ISNUMBER(FIND("COMMENT",CF38))))+4096*(OR(ISNUMBER(FIND("QTY",CF38)),ISNUMBER(FIND("QUANTITY",CF38))))+8192*(AND(OR(ISNUMBER(FIND("COMPLETE",CF38)),ISNUMBER(FIND("PCT",CF38)),ISNUMBER(FIND("PERCENT",CF38))),NOT(ISNUMBER(FIND("ACTUAL",CF38))),LEN(CF38)&lt;=16))+32768*(OR(ISNUMBER(FIND("DESIC",CF38)),ISNUMBER(FIND("DESSIC",CF38)))))</f>
        <v/>
      </c>
      <c r="DA173" t="n">
        <v>169</v>
      </c>
      <c r="DB173">
        <f>IF($B$37=0,"",IFERROR(TRIM(SUBSTITUTE(SUBSTITUTE(SUBSTITUTE(SUBSTITUTE(INDEX(PASTE_ALL,169,$B$37)," "," "),CHAR(9)," "),CHAR(10)," "),CHAR(13)," ")),""))</f>
        <v/>
      </c>
      <c r="DC173">
        <f>IF(AND(169&gt;HEADER_ROW,UPPER(DB173)="LEGEND"),1,0)</f>
        <v/>
      </c>
      <c r="DE173" t="n">
        <v>169</v>
      </c>
      <c r="DF173">
        <f>HEADER_ROW+$DE173</f>
        <v/>
      </c>
      <c r="DG173">
        <f>IF(AND($DF173&lt;=1000,$DF173&lt;$B$8),1,0)</f>
        <v/>
      </c>
      <c r="DH173">
        <f>IF($DG173=1,IFERROR(INDEX($DB$5:$DB$1004,$DF173),""),"")</f>
        <v/>
      </c>
      <c r="DI173">
        <f>IF(AND($DG173=1,$DH173&lt;&gt;""),IFERROR(SUBSTITUTE(SUBSTITUTE(TRIM(SUBSTITUTE(SUBSTITUTE(SUBSTITUTE(SUBSTITUTE(IFERROR(INDEX(PASTE_ALL,$DF173,1)&amp;"","")&amp;"␟"&amp;IFERROR(INDEX(PASTE_ALL,$DF173,2)&amp;"","")&amp;"␟"&amp;IFERROR(INDEX(PASTE_ALL,$DF173,3)&amp;"","")&amp;"␟"&amp;IFERROR(INDEX(PASTE_ALL,$DF173,4)&amp;"","")&amp;"␟"&amp;IFERROR(INDEX(PASTE_ALL,$DF173,5)&amp;"","")&amp;"␟"&amp;IFERROR(INDEX(PASTE_ALL,$DF173,6)&amp;"","")&amp;"␟"&amp;IFERROR(INDEX(PASTE_ALL,$DF173,7)&amp;"","")&amp;"␟"&amp;IFERROR(INDEX(PASTE_ALL,$DF173,8)&amp;"","")&amp;"␟"&amp;IFERROR(INDEX(PASTE_ALL,$DF173,9)&amp;"","")&amp;"␟"&amp;IFERROR(INDEX(PASTE_ALL,$DF173,10)&amp;"","")&amp;"␟"&amp;IFERROR(INDEX(PASTE_ALL,$DF173,11)&amp;"","")&amp;"␟"&amp;IFERROR(INDEX(PASTE_ALL,$DF173,12)&amp;"","")&amp;"␟"&amp;IFERROR(INDEX(PASTE_ALL,$DF173,13)&amp;"","")&amp;"␟"&amp;IFERROR(INDEX(PASTE_ALL,$DF173,14)&amp;"","")&amp;"␟"&amp;IFERROR(INDEX(PASTE_ALL,$DF173,15)&amp;"","")&amp;"␟"&amp;IFERROR(INDEX(PASTE_ALL,$DF173,16)&amp;"","")&amp;"␟"&amp;IFERROR(INDEX(PASTE_ALL,$DF173,17)&amp;"","")&amp;"␟"&amp;IFERROR(INDEX(PASTE_ALL,$DF173,18)&amp;"","")&amp;"␟"&amp;IFERROR(INDEX(PASTE_ALL,$DF173,19)&amp;"","")&amp;"␟"&amp;IFERROR(INDEX(PASTE_ALL,$DF173,20)&amp;"","")&amp;"␟"&amp;IFERROR(INDEX(PASTE_ALL,$DF173,21)&amp;"","")&amp;"␟"&amp;IFERROR(INDEX(PASTE_ALL,$DF173,22)&amp;"","")&amp;"␟"&amp;IFERROR(INDEX(PASTE_ALL,$DF173,23)&amp;"","")&amp;"␟"&amp;IFERROR(INDEX(PASTE_ALL,$DF173,24)&amp;"","")&amp;"␟"&amp;IFERROR(INDEX(PASTE_ALL,$DF173,25)&amp;"","")&amp;"␟"&amp;IFERROR(INDEX(PASTE_ALL,$DF173,26)&amp;"","")&amp;"␟"&amp;IFERROR(INDEX(PASTE_ALL,$DF173,27)&amp;"","")&amp;"␟"&amp;IFERROR(INDEX(PASTE_ALL,$DF173,28)&amp;"","")&amp;"␟"&amp;IFERROR(INDEX(PASTE_ALL,$DF173,29)&amp;"","")&amp;"␟"&amp;IFERROR(INDEX(PASTE_ALL,$DF173,30)&amp;"","")&amp;"␟"&amp;IFERROR(INDEX(PASTE_ALL,$DF173,31)&amp;"","")&amp;"␟"&amp;IFERROR(INDEX(PASTE_ALL,$DF173,32)&amp;"","")&amp;"␟"&amp;IFERROR(INDEX(PASTE_ALL,$DF173,33)&amp;"","")&amp;"␟"&amp;IFERROR(INDEX(PASTE_ALL,$DF173,34)&amp;"","")&amp;"␟"&amp;IFERROR(INDEX(PASTE_ALL,$DF173,35)&amp;"","")&amp;"␟"&amp;IFERROR(INDEX(PASTE_ALL,$DF173,36)&amp;"","")&amp;"␟"&amp;IFERROR(INDEX(PASTE_ALL,$DF173,37)&amp;"","")&amp;"␟"&amp;IFERROR(INDEX(PASTE_ALL,$DF173,38)&amp;"","")&amp;"␟"&amp;IFERROR(INDEX(PASTE_ALL,$DF173,39)&amp;"","")&amp;"␟"&amp;IFERROR(INDEX(PASTE_ALL,$DF173,40)&amp;"","")&amp;"␟"&amp;IFERROR(INDEX(PASTE_ALL,$DF173,41)&amp;"","")&amp;"␟"&amp;IFERROR(INDEX(PASTE_ALL,$DF173,42)&amp;"","")&amp;"␟"&amp;IFERROR(INDEX(PASTE_ALL,$DF173,43)&amp;"","")&amp;"␟"&amp;IFERROR(INDEX(PASTE_ALL,$DF173,44)&amp;"","")&amp;"␟"&amp;IFERROR(INDEX(PASTE_ALL,$DF173,45)&amp;"","")&amp;"␟"&amp;IFERROR(INDEX(PASTE_ALL,$DF173,46)&amp;"","")&amp;"␟"&amp;IFERROR(INDEX(PASTE_ALL,$DF173,47)&amp;"","")&amp;"␟"&amp;IFERROR(INDEX(PASTE_ALL,$DF173,48)&amp;"","")&amp;"␟"&amp;IFERROR(INDEX(PASTE_ALL,$DF173,49)&amp;"","")&amp;"␟"&amp;IFERROR(INDEX(PASTE_ALL,$DF173,50)&amp;"","")&amp;"␟"&amp;IFERROR(INDEX(PASTE_ALL,$DF173,51)&amp;"","")&amp;"␟"&amp;IFERROR(INDEX(PASTE_ALL,$DF173,52)&amp;"","")&amp;"␟"&amp;IFERROR(INDEX(PASTE_ALL,$DF173,53)&amp;"","")&amp;"␟"&amp;IFERROR(INDEX(PASTE_ALL,$DF173,54)&amp;"","")&amp;"␟"&amp;IFERROR(INDEX(PASTE_ALL,$DF173,55)&amp;"","")&amp;"␟"&amp;IFERROR(INDEX(PASTE_ALL,$DF173,56)&amp;"","")&amp;"␟"&amp;IFERROR(INDEX(PASTE_ALL,$DF173,57)&amp;"","")&amp;"␟"&amp;IFERROR(INDEX(PASTE_ALL,$DF173,58)&amp;"","")&amp;"␟"&amp;IFERROR(INDEX(PASTE_ALL,$DF173,59)&amp;"","")&amp;"␟"&amp;IFERROR(INDEX(PASTE_ALL,$DF173,60)&amp;"","")," "," "),CHAR(9)," "),CHAR(10)," "),CHAR(13)," "))," ␟","␟"),"␟ ","␟"),"#"&amp;$DE173),"")</f>
        <v/>
      </c>
      <c r="DJ173">
        <f>IF($DI173="",0,IF(SUMPRODUCT(--EXACT($DI$4:DI172,$DI173))&gt;0,1,0))</f>
        <v/>
      </c>
      <c r="DK173">
        <f>IF(AND($DI173&lt;&gt;"",$DJ173=0),1,0)</f>
        <v/>
      </c>
      <c r="DL173">
        <f>DL172+$DK173</f>
        <v/>
      </c>
      <c r="DM173">
        <f>IF(AND($DK173=1,$DL173&lt;=600),1,0)</f>
        <v/>
      </c>
      <c r="DN173">
        <f>IF($DM173=0,"",IF($L$6=0,"",IFERROR(IF(ISNUMBER(INDEX(PASTE_ALL,$DF173,$L$6)),INDEX(PASTE_ALL,$DF173,$L$6),TRIM(SUBSTITUTE(SUBSTITUTE(SUBSTITUTE(SUBSTITUTE(INDEX(PASTE_ALL,$DF173,$L$6)," "," "),CHAR(9)," "),CHAR(10)," "),CHAR(13)," "))),"")))</f>
        <v/>
      </c>
      <c r="DO173">
        <f>IF($DM173=0,"",IF($L$7=0,"",IFERROR(IF(ISNUMBER(INDEX(PASTE_ALL,$DF173,$L$7)),INDEX(PASTE_ALL,$DF173,$L$7),TRIM(SUBSTITUTE(SUBSTITUTE(SUBSTITUTE(SUBSTITUTE(INDEX(PASTE_ALL,$DF173,$L$7)," "," "),CHAR(9)," "),CHAR(10)," "),CHAR(13)," "))),"")))</f>
        <v/>
      </c>
      <c r="DP173">
        <f>IF($DM173=0,"",IF($L$8=0,"",IFERROR(IF(ISNUMBER(INDEX(PASTE_ALL,$DF173,$L$8)),INDEX(PASTE_ALL,$DF173,$L$8),TRIM(SUBSTITUTE(SUBSTITUTE(SUBSTITUTE(SUBSTITUTE(INDEX(PASTE_ALL,$DF173,$L$8)," "," "),CHAR(9)," "),CHAR(10)," "),CHAR(13)," "))),"")))</f>
        <v/>
      </c>
      <c r="DQ173">
        <f>IF($DM173=0,"",IF($L$9=0,"",IFERROR(IF(ISNUMBER(INDEX(PASTE_ALL,$DF173,$L$9)),INDEX(PASTE_ALL,$DF173,$L$9),TRIM(SUBSTITUTE(SUBSTITUTE(SUBSTITUTE(SUBSTITUTE(INDEX(PASTE_ALL,$DF173,$L$9)," "," "),CHAR(9)," "),CHAR(10)," "),CHAR(13)," "))),"")))</f>
        <v/>
      </c>
      <c r="DR173">
        <f>IF($DM173=0,"",IF($L$10=0,"",IFERROR(IF(ISNUMBER(INDEX(PASTE_ALL,$DF173,$L$10)),INDEX(PASTE_ALL,$DF173,$L$10),TRIM(SUBSTITUTE(SUBSTITUTE(SUBSTITUTE(SUBSTITUTE(INDEX(PASTE_ALL,$DF173,$L$10)," "," "),CHAR(9)," "),CHAR(10)," "),CHAR(13)," "))),"")))</f>
        <v/>
      </c>
      <c r="DS173">
        <f>IF($DM173=0,"",IF($L$11=0,"",IFERROR(IF(ISNUMBER(INDEX(PASTE_ALL,$DF173,$L$11)),INDEX(PASTE_ALL,$DF173,$L$11),TRIM(SUBSTITUTE(SUBSTITUTE(SUBSTITUTE(SUBSTITUTE(INDEX(PASTE_ALL,$DF173,$L$11)," "," "),CHAR(9)," "),CHAR(10)," "),CHAR(13)," "))),"")))</f>
        <v/>
      </c>
      <c r="DT173">
        <f>IF($DM173=0,"",IF($L$12=0,"",IFERROR(IF(ISNUMBER(INDEX(PASTE_ALL,$DF173,$L$12)),INDEX(PASTE_ALL,$DF173,$L$12),TRIM(SUBSTITUTE(SUBSTITUTE(SUBSTITUTE(SUBSTITUTE(INDEX(PASTE_ALL,$DF173,$L$12)," "," "),CHAR(9)," "),CHAR(10)," "),CHAR(13)," "))),"")))</f>
        <v/>
      </c>
      <c r="DU173">
        <f>IF($DM173=0,"",IF($L$13=0,"",IFERROR(IF(ISNUMBER(INDEX(PASTE_ALL,$DF173,$L$13)),INDEX(PASTE_ALL,$DF173,$L$13),TRIM(SUBSTITUTE(SUBSTITUTE(SUBSTITUTE(SUBSTITUTE(INDEX(PASTE_ALL,$DF173,$L$13)," "," "),CHAR(9)," "),CHAR(10)," "),CHAR(13)," "))),"")))</f>
        <v/>
      </c>
      <c r="DV173">
        <f>IF($DM173=0,"",IF($L$14=0,"",IFERROR(IF(ISNUMBER(INDEX(PASTE_ALL,$DF173,$L$14)),INDEX(PASTE_ALL,$DF173,$L$14),TRIM(SUBSTITUTE(SUBSTITUTE(SUBSTITUTE(SUBSTITUTE(INDEX(PASTE_ALL,$DF173,$L$14)," "," "),CHAR(9)," "),CHAR(10)," "),CHAR(13)," "))),"")))</f>
        <v/>
      </c>
      <c r="DW173">
        <f>IF($DM173=0,"",IF($L$15=0,"",IFERROR(IF(ISNUMBER(INDEX(PASTE_ALL,$DF173,$L$15)),INDEX(PASTE_ALL,$DF173,$L$15),IF(SUMPRODUCT(--ISNUMBER(FIND({"A","B","C","D","E","F","G","H","I","J","K","L","M","N","O","P","Q","R","S","T","U","V","W","X","Y","Z","0","1","2","3","4","5","6","7","8","9"},UPPER(TRIM(SUBSTITUTE(SUBSTITUTE(SUBSTITUTE(SUBSTITUTE(INDEX(PASTE_ALL,$DF173,$L$15)," "," "),CHAR(9)," "),CHAR(10)," "),CHAR(13)," "))))))&gt;0,TRIM(SUBSTITUTE(SUBSTITUTE(SUBSTITUTE(SUBSTITUTE(INDEX(PASTE_ALL,$DF173,$L$15)," "," "),CHAR(9)," "),CHAR(10)," "),CHAR(13)," ")),"")),"")))</f>
        <v/>
      </c>
      <c r="DX173">
        <f>IF($DM173=0,"",IF($L$16=0,"",IFERROR(IF(ISNUMBER(INDEX(PASTE_ALL,$DF173,$L$16)),INDEX(PASTE_ALL,$DF173,$L$16),SUBSTITUTE(SUBSTITUTE(TRIM(SUBSTITUTE(SUBSTITUTE(SUBSTITUTE(SUBSTITUTE(INDEX(PASTE_ALL,$DF173,$L$16)," "," "),CHAR(9)," "),CHAR(10)," "),CHAR(13)," ")),",",""),"%","")),"")))</f>
        <v/>
      </c>
      <c r="DY173">
        <f>IF($DM173=0,"",IFERROR(IF(ISNUMBER($DX173),$DX173,IF($DX173="","",IF(TRIM($DX173)="",0,IF(AND(AND(SUBSTITUTE(SUBSTITUTE(SUBSTITUTE(SUBSTITUTE(SUBSTITUTE(SUBSTITUTE(SUBSTITUTE(SUBSTITUTE(SUBSTITUTE(SUBSTITUTE(SUBSTITUTE(SUBSTITUTE(SUBSTITUTE(SUBSTITUTE(UPPER(TRIM($DX173)),"0",""),"1",""),"2",""),"3",""),"4",""),"5",""),"6",""),"7",""),"8",""),"9",""),".",""),"+",""),"-",""),"E","")="",LEN(SUBSTITUTE(SUBSTITUTE(MID(UPPER(TRIM($DX173)),1+OR(LEFT(UPPER(TRIM($DX173)),1)="+",LEFT(UPPER(TRIM($DX173)),1)="-"),999),"E+","E"),"E-","E"))=LEN(SUBSTITUTE(SUBSTITUTE(SUBSTITUTE(SUBSTITUTE(MID(UPPER(TRIM($DX173)),1+OR(LEFT(UPPER(TRIM($DX173)),1)="+",LEFT(UPPER(TRIM($DX173)),1)="-"),999),"E+","E"),"E-","E"),"+",""),"-","")),LEN(UPPER(TRIM($DX173)))-LEN(SUBSTITUTE(UPPER(TRIM($DX173)),"E",""))&lt;2,LEN(UPPER(TRIM($DX173)))-LEN(SUBSTITUTE(UPPER(TRIM($DX173)),".",""))&lt;2,IFERROR(FIND(".",UPPER(TRIM($DX173))),0)&lt;IFERROR(FIND("E",UPPER(TRIM($DX173))),999)),ISNUMBER(VALUE(TRIM($DX173)))),VALUE(TRIM($DX173)),"")))),""))</f>
        <v/>
      </c>
      <c r="DZ173">
        <f>IF($DM173=0,"",IF($L$17=0,"",IFERROR(IF(ISNUMBER(INDEX(PASTE_ALL,$DF173,$L$17)),INDEX(PASTE_ALL,$DF173,$L$17),SUBSTITUTE(SUBSTITUTE(TRIM(SUBSTITUTE(SUBSTITUTE(SUBSTITUTE(SUBSTITUTE(INDEX(PASTE_ALL,$DF173,$L$17)," "," "),CHAR(9)," "),CHAR(10)," "),CHAR(13)," ")),",",""),"%","")),"")))</f>
        <v/>
      </c>
      <c r="EA173">
        <f>IF($DM173=0,"",IFERROR(IF(ISNUMBER($DZ173),$DZ173,IF($DZ173="","",IF(TRIM($DZ173)="",0,IF(AND(AND(SUBSTITUTE(SUBSTITUTE(SUBSTITUTE(SUBSTITUTE(SUBSTITUTE(SUBSTITUTE(SUBSTITUTE(SUBSTITUTE(SUBSTITUTE(SUBSTITUTE(SUBSTITUTE(SUBSTITUTE(SUBSTITUTE(SUBSTITUTE(UPPER(TRIM($DZ173)),"0",""),"1",""),"2",""),"3",""),"4",""),"5",""),"6",""),"7",""),"8",""),"9",""),".",""),"+",""),"-",""),"E","")="",LEN(SUBSTITUTE(SUBSTITUTE(MID(UPPER(TRIM($DZ173)),1+OR(LEFT(UPPER(TRIM($DZ173)),1)="+",LEFT(UPPER(TRIM($DZ173)),1)="-"),999),"E+","E"),"E-","E"))=LEN(SUBSTITUTE(SUBSTITUTE(SUBSTITUTE(SUBSTITUTE(MID(UPPER(TRIM($DZ173)),1+OR(LEFT(UPPER(TRIM($DZ173)),1)="+",LEFT(UPPER(TRIM($DZ173)),1)="-"),999),"E+","E"),"E-","E"),"+",""),"-","")),LEN(UPPER(TRIM($DZ173)))-LEN(SUBSTITUTE(UPPER(TRIM($DZ173)),"E",""))&lt;2,LEN(UPPER(TRIM($DZ173)))-LEN(SUBSTITUTE(UPPER(TRIM($DZ173)),".",""))&lt;2,IFERROR(FIND(".",UPPER(TRIM($DZ173))),0)&lt;IFERROR(FIND("E",UPPER(TRIM($DZ173))),999)),ISNUMBER(VALUE(TRIM($DZ173)))),VALUE(TRIM($DZ173)),"")))),""))</f>
        <v/>
      </c>
      <c r="EB173">
        <f>IF($DM173=0,"",IF($L$18=0,"",IFERROR(IF(UPPER(TRIM(SUBSTITUTE(SUBSTITUTE(SUBSTITUTE(SUBSTITUTE(INDEX(PASTE_ALL,$DF173,$L$18)," "," "),CHAR(9)," "),CHAR(10)," "),CHAR(13)," ")))="READY","Ready",IF(UPPER(TRIM(SUBSTITUTE(SUBSTITUTE(SUBSTITUTE(SUBSTITUTE(INDEX(PASTE_ALL,$DF173,$L$18)," "," "),CHAR(9)," "),CHAR(10)," "),CHAR(13)," ")))="PM","PM",IF(OR(UPPER(TRIM(SUBSTITUTE(SUBSTITUTE(SUBSTITUTE(SUBSTITUTE(INDEX(PASTE_ALL,$DF173,$L$18)," "," "),CHAR(9)," "),CHAR(10)," "),CHAR(13)," ")))="OT",UPPER(TRIM(SUBSTITUTE(SUBSTITUTE(SUBSTITUTE(SUBSTITUTE(INDEX(PASTE_ALL,$DF173,$L$18)," "," "),CHAR(9)," "),CHAR(10)," "),CHAR(13)," ")))="OVERTIME",UPPER(TRIM(SUBSTITUTE(SUBSTITUTE(SUBSTITUTE(SUBSTITUTE(INDEX(PASTE_ALL,$DF173,$L$18)," "," "),CHAR(9)," "),CHAR(10)," "),CHAR(13)," ")))="TRIAL"),"OT",TRIM(SUBSTITUTE(SUBSTITUTE(SUBSTITUTE(SUBSTITUTE(INDEX(PASTE_ALL,$DF173,$L$18)," "," "),CHAR(9)," "),CHAR(10)," "),CHAR(13)," "))))),"")))</f>
        <v/>
      </c>
      <c r="EC173">
        <f>IF($DM173=0,"",IF($L$19=0,"",IFERROR(IF(ISNUMBER(INDEX(PASTE_ALL,$DF173,$L$19)),INDEX(PASTE_ALL,$DF173,$L$19),TRIM(SUBSTITUTE(SUBSTITUTE(SUBSTITUTE(SUBSTITUTE(INDEX(PASTE_ALL,$DF173,$L$19)," "," "),CHAR(9)," "),CHAR(10)," "),CHAR(13)," "))),"")))</f>
        <v/>
      </c>
      <c r="ED173">
        <f>IF($DM173=0,"",MATCH(1,INDEX(EXACT($DH$5:DH173,$DH173)*$DM$5:DM173,0),0))</f>
        <v/>
      </c>
      <c r="EE173">
        <f>IF($DM173=0,0,IF($ED173=$DE173,1,0))</f>
        <v/>
      </c>
      <c r="EF173">
        <f>EF172+$EE173</f>
        <v/>
      </c>
      <c r="EG173">
        <f>IF($DM173=0,"",INDEX($EF$5:$EF$1003,$ED173))</f>
        <v/>
      </c>
      <c r="EH173">
        <f>IF($DM173=0,"",IF($DO173&lt;&gt;"","",IFERROR(LOOKUP(2,1/(($EG$4:EG172=$EG173)*($DO$4:DO172&lt;&gt;"")),$DO$4:DO172),"")))</f>
        <v/>
      </c>
      <c r="EI173">
        <f>IF($DM173=0,"",IF($DO173&lt;&gt;"",$DO173,$EH173))</f>
        <v/>
      </c>
      <c r="EJ173">
        <f>IF($DM173=0,"",IF($EI173="",0,IF(OR(ISNUMBER($EI173),AND(AND(SUBSTITUTE(SUBSTITUTE(SUBSTITUTE(SUBSTITUTE(SUBSTITUTE(SUBSTITUTE(SUBSTITUTE(SUBSTITUTE(SUBSTITUTE(SUBSTITUTE(SUBSTITUTE(SUBSTITUTE(SUBSTITUTE(SUBSTITUTE(UPPER($EI173),"0",""),"1",""),"2",""),"3",""),"4",""),"5",""),"6",""),"7",""),"8",""),"9",""),".",""),"+",""),"-",""),"E","")="",LEN(SUBSTITUTE(SUBSTITUTE(MID(UPPER($EI173),1+OR(LEFT(UPPER($EI173),1)="+",LEFT(UPPER($EI173),1)="-"),999),"E+","E"),"E-","E"))=LEN(SUBSTITUTE(SUBSTITUTE(SUBSTITUTE(SUBSTITUTE(MID(UPPER($EI173),1+OR(LEFT(UPPER($EI173),1)="+",LEFT(UPPER($EI173),1)="-"),999),"E+","E"),"E-","E"),"+",""),"-","")),LEN(UPPER($EI173))-LEN(SUBSTITUTE(UPPER($EI173),"E",""))&lt;2,LEN(UPPER($EI173))-LEN(SUBSTITUTE(UPPER($EI173),".",""))&lt;2,IFERROR(FIND(".",UPPER($EI173)),0)&lt;IFERROR(FIND("E",UPPER($EI173)),999)),ISNUMBER(VALUE($EI173)))),1,2)))</f>
        <v/>
      </c>
      <c r="EK173">
        <f>IF($DM173=0,"",IF($EJ173=1,IF(ISNUMBER($EI173),$EI173,VALUE($EI173)),IF($EJ173=2,$DE173,0)))</f>
        <v/>
      </c>
      <c r="EL173">
        <f>IF($DM173=0,"",COUNTIF($EG$5:$EG$1003,"&lt;"&amp;$EG173)+SUMPRODUCT(($EG$5:$EG$1003=$EG173)*(($EJ$5:$EJ$1003&lt;$EJ173)+($EJ$5:$EJ$1003=$EJ173)*(($EK$5:$EK$1003&lt;$EK173)+($EK$5:$EK$1003=$EK173)*($DE$5:$DE$1003&lt;$DE173))))+1)</f>
        <v/>
      </c>
      <c r="EM173">
        <f>IF($DM173=0,"",$EL173+$EG173-1)</f>
        <v/>
      </c>
      <c r="EN173">
        <f>IF($DM173=0,0,IFERROR(MATCH(1,INDEX(--(TRIM(SUBSTITUTE(SUBSTITUTE(SUBSTITUTE(SUBSTITUTE(LINES_NAME&amp;""," "," "),CHAR(9)," "),CHAR(10)," "),CHAR(13)," "))=$DH173),0),0),0))</f>
        <v/>
      </c>
      <c r="EO173">
        <f>IF($EN173=0,0,IF(OR(UPPER(TRIM(INDEX(LINES_SCHEDULED,$EN173)&amp;""))="YES",UPPER(TRIM(INDEX(LINES_SCHEDULED,$EN173)&amp;""))="Y",UPPER(TRIM(INDEX(LINES_SCHEDULED,$EN173)&amp;""))="X"),1,0))</f>
        <v/>
      </c>
      <c r="EP173">
        <f>IF($DM173=0,"",IF(COUNTIFS($EG$5:$EG$1003,$EG173,$EB$5:$EB$1003,"Ready")&gt;0,"READY",IF(COUNTIFS($EG$5:$EG$1003,$EG173,$EB$5:$EB$1003,"PM")&gt;0,"PM",IF(COUNTIFS($EG$5:$EG$1003,$EG173,$EB$5:$EB$1003,"OT")&gt;0,"OT",""))))</f>
        <v/>
      </c>
      <c r="EQ173">
        <f>IF($EN173=0,"",UPPER(TRIM(INDEX(LINES_STATUS,$EN173)&amp;"")))</f>
        <v/>
      </c>
      <c r="ER173">
        <f>IF($DM173=0,"",IF(OR($EQ173="READY",$EQ173="PM",$EQ173="OT"),$EQ173,$EP173))</f>
        <v/>
      </c>
      <c r="ES173">
        <f>IF($DM173=0,"",IF(AND($DV173&lt;&gt;"",UPPER($DV173)&lt;&gt;"N"),"allergen",IF(ISNUMBER(SEARCH("oil",$DQ173)),"oil",IF(OR(EXACT($DS173,"A662"),EXACT($DS173,"A624")),"bulk",""))))</f>
        <v/>
      </c>
      <c r="ET173">
        <f>IF($DM173=0,"",IF(OR($EA173="",$EA173=0),"",$EA173/100))</f>
        <v/>
      </c>
      <c r="EU173">
        <f>IF(OR($ET173="",$DY173=""),"",INT($DY173*(1-$ET173)+0.5))</f>
        <v/>
      </c>
      <c r="EW173" t="n">
        <v>169</v>
      </c>
      <c r="EX173">
        <f>IFERROR(MATCH($EW173,$EM$5:$EM$1003,0),0)</f>
        <v/>
      </c>
      <c r="EY173">
        <f>IF($EW173&gt;$B$12,"",IF($EX173&gt;0,"row","spacer"))</f>
        <v/>
      </c>
      <c r="EZ173">
        <f>IF(AND($EY173="row",$EY172&lt;&gt;"row"),1,0)</f>
        <v/>
      </c>
      <c r="FA173">
        <f>IF(AND($EY173="row",$EY174&lt;&gt;"row"),1,0)</f>
        <v/>
      </c>
      <c r="FB173">
        <f>IF($EZ173=1,IFERROR(IF(ISNUMBER(INDEX(PASTE_ALL,INDEX($DF$5:$DF$1003,$EX173),$B$37)),INDEX(PASTE_ALL,INDEX($DF$5:$DF$1003,$EX173),$B$37),INDEX($DH$5:$DH$1003,$EX173)),INDEX($DH$5:$DH$1003,$EX173)),"")</f>
        <v/>
      </c>
      <c r="FC173">
        <f>IF($EY173="row",INDEX($ER$5:$ER$1003,$EX173),"")</f>
        <v/>
      </c>
      <c r="FD173">
        <f>IF($EY173="row",INDEX($DN$5:$DN$1003,$EX173),"")</f>
        <v/>
      </c>
      <c r="FE173">
        <f>IF($EY173="row",INDEX($DO$5:$DO$1003,$EX173),"")</f>
        <v/>
      </c>
      <c r="FF173">
        <f>IF($EY173="row",INDEX($DP$5:$DP$1003,$EX173),"")</f>
        <v/>
      </c>
      <c r="FG173">
        <f>IF($EY173="row",INDEX($DQ$5:$DQ$1003,$EX173),"")</f>
        <v/>
      </c>
      <c r="FH173">
        <f>IF($EY173="row",INDEX($DR$5:$DR$1003,$EX173),"")</f>
        <v/>
      </c>
      <c r="FI173">
        <f>IF($EY173="row",INDEX($DS$5:$DS$1003,$EX173),"")</f>
        <v/>
      </c>
      <c r="FJ173">
        <f>IF($EY173="row",INDEX($DT$5:$DT$1003,$EX173),"")</f>
        <v/>
      </c>
      <c r="FK173">
        <f>IF($EY173="row",INDEX($DU$5:$DU$1003,$EX173),"")</f>
        <v/>
      </c>
      <c r="FL173">
        <f>IF($EY173="row",INDEX($DV$5:$DV$1003,$EX173),"")</f>
        <v/>
      </c>
      <c r="FM173">
        <f>IF($EY173="row",INDEX($DW$5:$DW$1003,$EX173),"")</f>
        <v/>
      </c>
      <c r="FN173">
        <f>IF($EY173="row",INDEX($DY$5:$DY$1003,$EX173),"")</f>
        <v/>
      </c>
      <c r="FO173">
        <f>IF($EY173="row",INDEX($EA$5:$EA$1003,$EX173),"")</f>
        <v/>
      </c>
      <c r="FP173">
        <f>IF($EY173="row",INDEX($EC$5:$EC$1003,$EX173),"")</f>
        <v/>
      </c>
      <c r="FQ173">
        <f>IF($EY173="row",INDEX($ET$5:$ET$1003,$EX173),"")</f>
        <v/>
      </c>
      <c r="FR173">
        <f>IF($EY173="row",INDEX($EU$5:$EU$1003,$EX173),"")</f>
        <v/>
      </c>
      <c r="FS173">
        <f>IF(AND($EY173="row",$EY172="row"),IF(OR(INDEX($DT$5:$DT$1003,$EX172)="",INDEX($DT$5:$DT$1003,$EX173)=""),"",IF(NOT(EXACT(INDEX($DT$5:$DT$1003,$EX172),INDEX($DT$5:$DT$1003,$EX173))),"S4",IF(NOT(EXACT(INDEX($DS$5:$DS$1003,$EX172),INDEX($DS$5:$DS$1003,$EX173))),"S3",IF(NOT(EXACT(INDEX($DR$5:$DR$1003,$EX172),INDEX($DR$5:$DR$1003,$EX173))),"S1 Count Change","S1")))),"")</f>
        <v/>
      </c>
      <c r="FT173">
        <f>IF($EY173="row",INDEX($ES$5:$ES$1003,$EX173),"")</f>
        <v/>
      </c>
      <c r="FU173">
        <f>IF($EY173="row",INDEX($EO$5:$EO$1003,$EX173),0)</f>
        <v/>
      </c>
      <c r="FV173">
        <f>IF($FS173="S1 Count Change",1,0)</f>
        <v/>
      </c>
    </row>
    <row r="174">
      <c r="Y174">
        <f>IF(Y39="",0,2*(OR(ISNUMBER(FIND("WORKCENTER",Y39)),AND(LEFT(Y39,4)="LINE",NOT(ISNUMBER(FIND("STATUS",Y39))))))+4*(OR(ISNUMBER(FIND("WORKORDER",Y39)),AND(LEFT(Y39,2)="WO",OR(ISNUMBER(FIND("NUM",Y39)),RIGHT(Y39,2)="NO"))))+8*(LEFT(Y39,3)="SEQ")+16*(AND(LEFT(Y39,4)="ITEM",NOT(ISNUMBER(FIND("DESC",Y39)))))+32*(AND(ISNUMBER(FIND("DESC",Y39)),NOT(ISNUMBER(FIND("CAP",Y39)))))+64*(OR(RIGHT(Y39,5)="COUNT",RIGHT(Y39,2)="CT"))+128*(ISNUMBER(FIND("BULK",Y39)))+256*(ISNUMBER(FIND("SIZE",Y39)))+512*(LEFT(Y39,3)="CAP")+1024*(ISNUMBER(FIND("ALLERG",Y39)))+2048*(OR(ISNUMBER(FIND("REMARK",Y39)),ISNUMBER(FIND("COMMENT",Y39))))+4096*(OR(ISNUMBER(FIND("QTY",Y39)),ISNUMBER(FIND("QUANTITY",Y39))))+8192*(AND(OR(ISNUMBER(FIND("COMPLETE",Y39)),ISNUMBER(FIND("PCT",Y39)),ISNUMBER(FIND("PERCENT",Y39))),NOT(ISNUMBER(FIND("ACTUAL",Y39))),LEN(Y39)&lt;=16))+32768*(OR(ISNUMBER(FIND("DESIC",Y39)),ISNUMBER(FIND("DESSIC",Y39)))))</f>
        <v/>
      </c>
      <c r="Z174">
        <f>IF(Z39="",0,2*(OR(ISNUMBER(FIND("WORKCENTER",Z39)),AND(LEFT(Z39,4)="LINE",NOT(ISNUMBER(FIND("STATUS",Z39))))))+4*(OR(ISNUMBER(FIND("WORKORDER",Z39)),AND(LEFT(Z39,2)="WO",OR(ISNUMBER(FIND("NUM",Z39)),RIGHT(Z39,2)="NO"))))+8*(LEFT(Z39,3)="SEQ")+16*(AND(LEFT(Z39,4)="ITEM",NOT(ISNUMBER(FIND("DESC",Z39)))))+32*(AND(ISNUMBER(FIND("DESC",Z39)),NOT(ISNUMBER(FIND("CAP",Z39)))))+64*(OR(RIGHT(Z39,5)="COUNT",RIGHT(Z39,2)="CT"))+128*(ISNUMBER(FIND("BULK",Z39)))+256*(ISNUMBER(FIND("SIZE",Z39)))+512*(LEFT(Z39,3)="CAP")+1024*(ISNUMBER(FIND("ALLERG",Z39)))+2048*(OR(ISNUMBER(FIND("REMARK",Z39)),ISNUMBER(FIND("COMMENT",Z39))))+4096*(OR(ISNUMBER(FIND("QTY",Z39)),ISNUMBER(FIND("QUANTITY",Z39))))+8192*(AND(OR(ISNUMBER(FIND("COMPLETE",Z39)),ISNUMBER(FIND("PCT",Z39)),ISNUMBER(FIND("PERCENT",Z39))),NOT(ISNUMBER(FIND("ACTUAL",Z39))),LEN(Z39)&lt;=16))+32768*(OR(ISNUMBER(FIND("DESIC",Z39)),ISNUMBER(FIND("DESSIC",Z39)))))</f>
        <v/>
      </c>
      <c r="AA174">
        <f>IF(AA39="",0,2*(OR(ISNUMBER(FIND("WORKCENTER",AA39)),AND(LEFT(AA39,4)="LINE",NOT(ISNUMBER(FIND("STATUS",AA39))))))+4*(OR(ISNUMBER(FIND("WORKORDER",AA39)),AND(LEFT(AA39,2)="WO",OR(ISNUMBER(FIND("NUM",AA39)),RIGHT(AA39,2)="NO"))))+8*(LEFT(AA39,3)="SEQ")+16*(AND(LEFT(AA39,4)="ITEM",NOT(ISNUMBER(FIND("DESC",AA39)))))+32*(AND(ISNUMBER(FIND("DESC",AA39)),NOT(ISNUMBER(FIND("CAP",AA39)))))+64*(OR(RIGHT(AA39,5)="COUNT",RIGHT(AA39,2)="CT"))+128*(ISNUMBER(FIND("BULK",AA39)))+256*(ISNUMBER(FIND("SIZE",AA39)))+512*(LEFT(AA39,3)="CAP")+1024*(ISNUMBER(FIND("ALLERG",AA39)))+2048*(OR(ISNUMBER(FIND("REMARK",AA39)),ISNUMBER(FIND("COMMENT",AA39))))+4096*(OR(ISNUMBER(FIND("QTY",AA39)),ISNUMBER(FIND("QUANTITY",AA39))))+8192*(AND(OR(ISNUMBER(FIND("COMPLETE",AA39)),ISNUMBER(FIND("PCT",AA39)),ISNUMBER(FIND("PERCENT",AA39))),NOT(ISNUMBER(FIND("ACTUAL",AA39))),LEN(AA39)&lt;=16))+32768*(OR(ISNUMBER(FIND("DESIC",AA39)),ISNUMBER(FIND("DESSIC",AA39)))))</f>
        <v/>
      </c>
      <c r="AB174">
        <f>IF(AB39="",0,2*(OR(ISNUMBER(FIND("WORKCENTER",AB39)),AND(LEFT(AB39,4)="LINE",NOT(ISNUMBER(FIND("STATUS",AB39))))))+4*(OR(ISNUMBER(FIND("WORKORDER",AB39)),AND(LEFT(AB39,2)="WO",OR(ISNUMBER(FIND("NUM",AB39)),RIGHT(AB39,2)="NO"))))+8*(LEFT(AB39,3)="SEQ")+16*(AND(LEFT(AB39,4)="ITEM",NOT(ISNUMBER(FIND("DESC",AB39)))))+32*(AND(ISNUMBER(FIND("DESC",AB39)),NOT(ISNUMBER(FIND("CAP",AB39)))))+64*(OR(RIGHT(AB39,5)="COUNT",RIGHT(AB39,2)="CT"))+128*(ISNUMBER(FIND("BULK",AB39)))+256*(ISNUMBER(FIND("SIZE",AB39)))+512*(LEFT(AB39,3)="CAP")+1024*(ISNUMBER(FIND("ALLERG",AB39)))+2048*(OR(ISNUMBER(FIND("REMARK",AB39)),ISNUMBER(FIND("COMMENT",AB39))))+4096*(OR(ISNUMBER(FIND("QTY",AB39)),ISNUMBER(FIND("QUANTITY",AB39))))+8192*(AND(OR(ISNUMBER(FIND("COMPLETE",AB39)),ISNUMBER(FIND("PCT",AB39)),ISNUMBER(FIND("PERCENT",AB39))),NOT(ISNUMBER(FIND("ACTUAL",AB39))),LEN(AB39)&lt;=16))+32768*(OR(ISNUMBER(FIND("DESIC",AB39)),ISNUMBER(FIND("DESSIC",AB39)))))</f>
        <v/>
      </c>
      <c r="AC174">
        <f>IF(AC39="",0,2*(OR(ISNUMBER(FIND("WORKCENTER",AC39)),AND(LEFT(AC39,4)="LINE",NOT(ISNUMBER(FIND("STATUS",AC39))))))+4*(OR(ISNUMBER(FIND("WORKORDER",AC39)),AND(LEFT(AC39,2)="WO",OR(ISNUMBER(FIND("NUM",AC39)),RIGHT(AC39,2)="NO"))))+8*(LEFT(AC39,3)="SEQ")+16*(AND(LEFT(AC39,4)="ITEM",NOT(ISNUMBER(FIND("DESC",AC39)))))+32*(AND(ISNUMBER(FIND("DESC",AC39)),NOT(ISNUMBER(FIND("CAP",AC39)))))+64*(OR(RIGHT(AC39,5)="COUNT",RIGHT(AC39,2)="CT"))+128*(ISNUMBER(FIND("BULK",AC39)))+256*(ISNUMBER(FIND("SIZE",AC39)))+512*(LEFT(AC39,3)="CAP")+1024*(ISNUMBER(FIND("ALLERG",AC39)))+2048*(OR(ISNUMBER(FIND("REMARK",AC39)),ISNUMBER(FIND("COMMENT",AC39))))+4096*(OR(ISNUMBER(FIND("QTY",AC39)),ISNUMBER(FIND("QUANTITY",AC39))))+8192*(AND(OR(ISNUMBER(FIND("COMPLETE",AC39)),ISNUMBER(FIND("PCT",AC39)),ISNUMBER(FIND("PERCENT",AC39))),NOT(ISNUMBER(FIND("ACTUAL",AC39))),LEN(AC39)&lt;=16))+32768*(OR(ISNUMBER(FIND("DESIC",AC39)),ISNUMBER(FIND("DESSIC",AC39)))))</f>
        <v/>
      </c>
      <c r="AD174">
        <f>IF(AD39="",0,2*(OR(ISNUMBER(FIND("WORKCENTER",AD39)),AND(LEFT(AD39,4)="LINE",NOT(ISNUMBER(FIND("STATUS",AD39))))))+4*(OR(ISNUMBER(FIND("WORKORDER",AD39)),AND(LEFT(AD39,2)="WO",OR(ISNUMBER(FIND("NUM",AD39)),RIGHT(AD39,2)="NO"))))+8*(LEFT(AD39,3)="SEQ")+16*(AND(LEFT(AD39,4)="ITEM",NOT(ISNUMBER(FIND("DESC",AD39)))))+32*(AND(ISNUMBER(FIND("DESC",AD39)),NOT(ISNUMBER(FIND("CAP",AD39)))))+64*(OR(RIGHT(AD39,5)="COUNT",RIGHT(AD39,2)="CT"))+128*(ISNUMBER(FIND("BULK",AD39)))+256*(ISNUMBER(FIND("SIZE",AD39)))+512*(LEFT(AD39,3)="CAP")+1024*(ISNUMBER(FIND("ALLERG",AD39)))+2048*(OR(ISNUMBER(FIND("REMARK",AD39)),ISNUMBER(FIND("COMMENT",AD39))))+4096*(OR(ISNUMBER(FIND("QTY",AD39)),ISNUMBER(FIND("QUANTITY",AD39))))+8192*(AND(OR(ISNUMBER(FIND("COMPLETE",AD39)),ISNUMBER(FIND("PCT",AD39)),ISNUMBER(FIND("PERCENT",AD39))),NOT(ISNUMBER(FIND("ACTUAL",AD39))),LEN(AD39)&lt;=16))+32768*(OR(ISNUMBER(FIND("DESIC",AD39)),ISNUMBER(FIND("DESSIC",AD39)))))</f>
        <v/>
      </c>
      <c r="AE174">
        <f>IF(AE39="",0,2*(OR(ISNUMBER(FIND("WORKCENTER",AE39)),AND(LEFT(AE39,4)="LINE",NOT(ISNUMBER(FIND("STATUS",AE39))))))+4*(OR(ISNUMBER(FIND("WORKORDER",AE39)),AND(LEFT(AE39,2)="WO",OR(ISNUMBER(FIND("NUM",AE39)),RIGHT(AE39,2)="NO"))))+8*(LEFT(AE39,3)="SEQ")+16*(AND(LEFT(AE39,4)="ITEM",NOT(ISNUMBER(FIND("DESC",AE39)))))+32*(AND(ISNUMBER(FIND("DESC",AE39)),NOT(ISNUMBER(FIND("CAP",AE39)))))+64*(OR(RIGHT(AE39,5)="COUNT",RIGHT(AE39,2)="CT"))+128*(ISNUMBER(FIND("BULK",AE39)))+256*(ISNUMBER(FIND("SIZE",AE39)))+512*(LEFT(AE39,3)="CAP")+1024*(ISNUMBER(FIND("ALLERG",AE39)))+2048*(OR(ISNUMBER(FIND("REMARK",AE39)),ISNUMBER(FIND("COMMENT",AE39))))+4096*(OR(ISNUMBER(FIND("QTY",AE39)),ISNUMBER(FIND("QUANTITY",AE39))))+8192*(AND(OR(ISNUMBER(FIND("COMPLETE",AE39)),ISNUMBER(FIND("PCT",AE39)),ISNUMBER(FIND("PERCENT",AE39))),NOT(ISNUMBER(FIND("ACTUAL",AE39))),LEN(AE39)&lt;=16))+32768*(OR(ISNUMBER(FIND("DESIC",AE39)),ISNUMBER(FIND("DESSIC",AE39)))))</f>
        <v/>
      </c>
      <c r="AF174">
        <f>IF(AF39="",0,2*(OR(ISNUMBER(FIND("WORKCENTER",AF39)),AND(LEFT(AF39,4)="LINE",NOT(ISNUMBER(FIND("STATUS",AF39))))))+4*(OR(ISNUMBER(FIND("WORKORDER",AF39)),AND(LEFT(AF39,2)="WO",OR(ISNUMBER(FIND("NUM",AF39)),RIGHT(AF39,2)="NO"))))+8*(LEFT(AF39,3)="SEQ")+16*(AND(LEFT(AF39,4)="ITEM",NOT(ISNUMBER(FIND("DESC",AF39)))))+32*(AND(ISNUMBER(FIND("DESC",AF39)),NOT(ISNUMBER(FIND("CAP",AF39)))))+64*(OR(RIGHT(AF39,5)="COUNT",RIGHT(AF39,2)="CT"))+128*(ISNUMBER(FIND("BULK",AF39)))+256*(ISNUMBER(FIND("SIZE",AF39)))+512*(LEFT(AF39,3)="CAP")+1024*(ISNUMBER(FIND("ALLERG",AF39)))+2048*(OR(ISNUMBER(FIND("REMARK",AF39)),ISNUMBER(FIND("COMMENT",AF39))))+4096*(OR(ISNUMBER(FIND("QTY",AF39)),ISNUMBER(FIND("QUANTITY",AF39))))+8192*(AND(OR(ISNUMBER(FIND("COMPLETE",AF39)),ISNUMBER(FIND("PCT",AF39)),ISNUMBER(FIND("PERCENT",AF39))),NOT(ISNUMBER(FIND("ACTUAL",AF39))),LEN(AF39)&lt;=16))+32768*(OR(ISNUMBER(FIND("DESIC",AF39)),ISNUMBER(FIND("DESSIC",AF39)))))</f>
        <v/>
      </c>
      <c r="AG174">
        <f>IF(AG39="",0,2*(OR(ISNUMBER(FIND("WORKCENTER",AG39)),AND(LEFT(AG39,4)="LINE",NOT(ISNUMBER(FIND("STATUS",AG39))))))+4*(OR(ISNUMBER(FIND("WORKORDER",AG39)),AND(LEFT(AG39,2)="WO",OR(ISNUMBER(FIND("NUM",AG39)),RIGHT(AG39,2)="NO"))))+8*(LEFT(AG39,3)="SEQ")+16*(AND(LEFT(AG39,4)="ITEM",NOT(ISNUMBER(FIND("DESC",AG39)))))+32*(AND(ISNUMBER(FIND("DESC",AG39)),NOT(ISNUMBER(FIND("CAP",AG39)))))+64*(OR(RIGHT(AG39,5)="COUNT",RIGHT(AG39,2)="CT"))+128*(ISNUMBER(FIND("BULK",AG39)))+256*(ISNUMBER(FIND("SIZE",AG39)))+512*(LEFT(AG39,3)="CAP")+1024*(ISNUMBER(FIND("ALLERG",AG39)))+2048*(OR(ISNUMBER(FIND("REMARK",AG39)),ISNUMBER(FIND("COMMENT",AG39))))+4096*(OR(ISNUMBER(FIND("QTY",AG39)),ISNUMBER(FIND("QUANTITY",AG39))))+8192*(AND(OR(ISNUMBER(FIND("COMPLETE",AG39)),ISNUMBER(FIND("PCT",AG39)),ISNUMBER(FIND("PERCENT",AG39))),NOT(ISNUMBER(FIND("ACTUAL",AG39))),LEN(AG39)&lt;=16))+32768*(OR(ISNUMBER(FIND("DESIC",AG39)),ISNUMBER(FIND("DESSIC",AG39)))))</f>
        <v/>
      </c>
      <c r="AH174">
        <f>IF(AH39="",0,2*(OR(ISNUMBER(FIND("WORKCENTER",AH39)),AND(LEFT(AH39,4)="LINE",NOT(ISNUMBER(FIND("STATUS",AH39))))))+4*(OR(ISNUMBER(FIND("WORKORDER",AH39)),AND(LEFT(AH39,2)="WO",OR(ISNUMBER(FIND("NUM",AH39)),RIGHT(AH39,2)="NO"))))+8*(LEFT(AH39,3)="SEQ")+16*(AND(LEFT(AH39,4)="ITEM",NOT(ISNUMBER(FIND("DESC",AH39)))))+32*(AND(ISNUMBER(FIND("DESC",AH39)),NOT(ISNUMBER(FIND("CAP",AH39)))))+64*(OR(RIGHT(AH39,5)="COUNT",RIGHT(AH39,2)="CT"))+128*(ISNUMBER(FIND("BULK",AH39)))+256*(ISNUMBER(FIND("SIZE",AH39)))+512*(LEFT(AH39,3)="CAP")+1024*(ISNUMBER(FIND("ALLERG",AH39)))+2048*(OR(ISNUMBER(FIND("REMARK",AH39)),ISNUMBER(FIND("COMMENT",AH39))))+4096*(OR(ISNUMBER(FIND("QTY",AH39)),ISNUMBER(FIND("QUANTITY",AH39))))+8192*(AND(OR(ISNUMBER(FIND("COMPLETE",AH39)),ISNUMBER(FIND("PCT",AH39)),ISNUMBER(FIND("PERCENT",AH39))),NOT(ISNUMBER(FIND("ACTUAL",AH39))),LEN(AH39)&lt;=16))+32768*(OR(ISNUMBER(FIND("DESIC",AH39)),ISNUMBER(FIND("DESSIC",AH39)))))</f>
        <v/>
      </c>
      <c r="AI174">
        <f>IF(AI39="",0,2*(OR(ISNUMBER(FIND("WORKCENTER",AI39)),AND(LEFT(AI39,4)="LINE",NOT(ISNUMBER(FIND("STATUS",AI39))))))+4*(OR(ISNUMBER(FIND("WORKORDER",AI39)),AND(LEFT(AI39,2)="WO",OR(ISNUMBER(FIND("NUM",AI39)),RIGHT(AI39,2)="NO"))))+8*(LEFT(AI39,3)="SEQ")+16*(AND(LEFT(AI39,4)="ITEM",NOT(ISNUMBER(FIND("DESC",AI39)))))+32*(AND(ISNUMBER(FIND("DESC",AI39)),NOT(ISNUMBER(FIND("CAP",AI39)))))+64*(OR(RIGHT(AI39,5)="COUNT",RIGHT(AI39,2)="CT"))+128*(ISNUMBER(FIND("BULK",AI39)))+256*(ISNUMBER(FIND("SIZE",AI39)))+512*(LEFT(AI39,3)="CAP")+1024*(ISNUMBER(FIND("ALLERG",AI39)))+2048*(OR(ISNUMBER(FIND("REMARK",AI39)),ISNUMBER(FIND("COMMENT",AI39))))+4096*(OR(ISNUMBER(FIND("QTY",AI39)),ISNUMBER(FIND("QUANTITY",AI39))))+8192*(AND(OR(ISNUMBER(FIND("COMPLETE",AI39)),ISNUMBER(FIND("PCT",AI39)),ISNUMBER(FIND("PERCENT",AI39))),NOT(ISNUMBER(FIND("ACTUAL",AI39))),LEN(AI39)&lt;=16))+32768*(OR(ISNUMBER(FIND("DESIC",AI39)),ISNUMBER(FIND("DESSIC",AI39)))))</f>
        <v/>
      </c>
      <c r="AJ174">
        <f>IF(AJ39="",0,2*(OR(ISNUMBER(FIND("WORKCENTER",AJ39)),AND(LEFT(AJ39,4)="LINE",NOT(ISNUMBER(FIND("STATUS",AJ39))))))+4*(OR(ISNUMBER(FIND("WORKORDER",AJ39)),AND(LEFT(AJ39,2)="WO",OR(ISNUMBER(FIND("NUM",AJ39)),RIGHT(AJ39,2)="NO"))))+8*(LEFT(AJ39,3)="SEQ")+16*(AND(LEFT(AJ39,4)="ITEM",NOT(ISNUMBER(FIND("DESC",AJ39)))))+32*(AND(ISNUMBER(FIND("DESC",AJ39)),NOT(ISNUMBER(FIND("CAP",AJ39)))))+64*(OR(RIGHT(AJ39,5)="COUNT",RIGHT(AJ39,2)="CT"))+128*(ISNUMBER(FIND("BULK",AJ39)))+256*(ISNUMBER(FIND("SIZE",AJ39)))+512*(LEFT(AJ39,3)="CAP")+1024*(ISNUMBER(FIND("ALLERG",AJ39)))+2048*(OR(ISNUMBER(FIND("REMARK",AJ39)),ISNUMBER(FIND("COMMENT",AJ39))))+4096*(OR(ISNUMBER(FIND("QTY",AJ39)),ISNUMBER(FIND("QUANTITY",AJ39))))+8192*(AND(OR(ISNUMBER(FIND("COMPLETE",AJ39)),ISNUMBER(FIND("PCT",AJ39)),ISNUMBER(FIND("PERCENT",AJ39))),NOT(ISNUMBER(FIND("ACTUAL",AJ39))),LEN(AJ39)&lt;=16))+32768*(OR(ISNUMBER(FIND("DESIC",AJ39)),ISNUMBER(FIND("DESSIC",AJ39)))))</f>
        <v/>
      </c>
      <c r="AK174">
        <f>IF(AK39="",0,2*(OR(ISNUMBER(FIND("WORKCENTER",AK39)),AND(LEFT(AK39,4)="LINE",NOT(ISNUMBER(FIND("STATUS",AK39))))))+4*(OR(ISNUMBER(FIND("WORKORDER",AK39)),AND(LEFT(AK39,2)="WO",OR(ISNUMBER(FIND("NUM",AK39)),RIGHT(AK39,2)="NO"))))+8*(LEFT(AK39,3)="SEQ")+16*(AND(LEFT(AK39,4)="ITEM",NOT(ISNUMBER(FIND("DESC",AK39)))))+32*(AND(ISNUMBER(FIND("DESC",AK39)),NOT(ISNUMBER(FIND("CAP",AK39)))))+64*(OR(RIGHT(AK39,5)="COUNT",RIGHT(AK39,2)="CT"))+128*(ISNUMBER(FIND("BULK",AK39)))+256*(ISNUMBER(FIND("SIZE",AK39)))+512*(LEFT(AK39,3)="CAP")+1024*(ISNUMBER(FIND("ALLERG",AK39)))+2048*(OR(ISNUMBER(FIND("REMARK",AK39)),ISNUMBER(FIND("COMMENT",AK39))))+4096*(OR(ISNUMBER(FIND("QTY",AK39)),ISNUMBER(FIND("QUANTITY",AK39))))+8192*(AND(OR(ISNUMBER(FIND("COMPLETE",AK39)),ISNUMBER(FIND("PCT",AK39)),ISNUMBER(FIND("PERCENT",AK39))),NOT(ISNUMBER(FIND("ACTUAL",AK39))),LEN(AK39)&lt;=16))+32768*(OR(ISNUMBER(FIND("DESIC",AK39)),ISNUMBER(FIND("DESSIC",AK39)))))</f>
        <v/>
      </c>
      <c r="AL174">
        <f>IF(AL39="",0,2*(OR(ISNUMBER(FIND("WORKCENTER",AL39)),AND(LEFT(AL39,4)="LINE",NOT(ISNUMBER(FIND("STATUS",AL39))))))+4*(OR(ISNUMBER(FIND("WORKORDER",AL39)),AND(LEFT(AL39,2)="WO",OR(ISNUMBER(FIND("NUM",AL39)),RIGHT(AL39,2)="NO"))))+8*(LEFT(AL39,3)="SEQ")+16*(AND(LEFT(AL39,4)="ITEM",NOT(ISNUMBER(FIND("DESC",AL39)))))+32*(AND(ISNUMBER(FIND("DESC",AL39)),NOT(ISNUMBER(FIND("CAP",AL39)))))+64*(OR(RIGHT(AL39,5)="COUNT",RIGHT(AL39,2)="CT"))+128*(ISNUMBER(FIND("BULK",AL39)))+256*(ISNUMBER(FIND("SIZE",AL39)))+512*(LEFT(AL39,3)="CAP")+1024*(ISNUMBER(FIND("ALLERG",AL39)))+2048*(OR(ISNUMBER(FIND("REMARK",AL39)),ISNUMBER(FIND("COMMENT",AL39))))+4096*(OR(ISNUMBER(FIND("QTY",AL39)),ISNUMBER(FIND("QUANTITY",AL39))))+8192*(AND(OR(ISNUMBER(FIND("COMPLETE",AL39)),ISNUMBER(FIND("PCT",AL39)),ISNUMBER(FIND("PERCENT",AL39))),NOT(ISNUMBER(FIND("ACTUAL",AL39))),LEN(AL39)&lt;=16))+32768*(OR(ISNUMBER(FIND("DESIC",AL39)),ISNUMBER(FIND("DESSIC",AL39)))))</f>
        <v/>
      </c>
      <c r="AM174">
        <f>IF(AM39="",0,2*(OR(ISNUMBER(FIND("WORKCENTER",AM39)),AND(LEFT(AM39,4)="LINE",NOT(ISNUMBER(FIND("STATUS",AM39))))))+4*(OR(ISNUMBER(FIND("WORKORDER",AM39)),AND(LEFT(AM39,2)="WO",OR(ISNUMBER(FIND("NUM",AM39)),RIGHT(AM39,2)="NO"))))+8*(LEFT(AM39,3)="SEQ")+16*(AND(LEFT(AM39,4)="ITEM",NOT(ISNUMBER(FIND("DESC",AM39)))))+32*(AND(ISNUMBER(FIND("DESC",AM39)),NOT(ISNUMBER(FIND("CAP",AM39)))))+64*(OR(RIGHT(AM39,5)="COUNT",RIGHT(AM39,2)="CT"))+128*(ISNUMBER(FIND("BULK",AM39)))+256*(ISNUMBER(FIND("SIZE",AM39)))+512*(LEFT(AM39,3)="CAP")+1024*(ISNUMBER(FIND("ALLERG",AM39)))+2048*(OR(ISNUMBER(FIND("REMARK",AM39)),ISNUMBER(FIND("COMMENT",AM39))))+4096*(OR(ISNUMBER(FIND("QTY",AM39)),ISNUMBER(FIND("QUANTITY",AM39))))+8192*(AND(OR(ISNUMBER(FIND("COMPLETE",AM39)),ISNUMBER(FIND("PCT",AM39)),ISNUMBER(FIND("PERCENT",AM39))),NOT(ISNUMBER(FIND("ACTUAL",AM39))),LEN(AM39)&lt;=16))+32768*(OR(ISNUMBER(FIND("DESIC",AM39)),ISNUMBER(FIND("DESSIC",AM39)))))</f>
        <v/>
      </c>
      <c r="AN174">
        <f>IF(AN39="",0,2*(OR(ISNUMBER(FIND("WORKCENTER",AN39)),AND(LEFT(AN39,4)="LINE",NOT(ISNUMBER(FIND("STATUS",AN39))))))+4*(OR(ISNUMBER(FIND("WORKORDER",AN39)),AND(LEFT(AN39,2)="WO",OR(ISNUMBER(FIND("NUM",AN39)),RIGHT(AN39,2)="NO"))))+8*(LEFT(AN39,3)="SEQ")+16*(AND(LEFT(AN39,4)="ITEM",NOT(ISNUMBER(FIND("DESC",AN39)))))+32*(AND(ISNUMBER(FIND("DESC",AN39)),NOT(ISNUMBER(FIND("CAP",AN39)))))+64*(OR(RIGHT(AN39,5)="COUNT",RIGHT(AN39,2)="CT"))+128*(ISNUMBER(FIND("BULK",AN39)))+256*(ISNUMBER(FIND("SIZE",AN39)))+512*(LEFT(AN39,3)="CAP")+1024*(ISNUMBER(FIND("ALLERG",AN39)))+2048*(OR(ISNUMBER(FIND("REMARK",AN39)),ISNUMBER(FIND("COMMENT",AN39))))+4096*(OR(ISNUMBER(FIND("QTY",AN39)),ISNUMBER(FIND("QUANTITY",AN39))))+8192*(AND(OR(ISNUMBER(FIND("COMPLETE",AN39)),ISNUMBER(FIND("PCT",AN39)),ISNUMBER(FIND("PERCENT",AN39))),NOT(ISNUMBER(FIND("ACTUAL",AN39))),LEN(AN39)&lt;=16))+32768*(OR(ISNUMBER(FIND("DESIC",AN39)),ISNUMBER(FIND("DESSIC",AN39)))))</f>
        <v/>
      </c>
      <c r="AO174">
        <f>IF(AO39="",0,2*(OR(ISNUMBER(FIND("WORKCENTER",AO39)),AND(LEFT(AO39,4)="LINE",NOT(ISNUMBER(FIND("STATUS",AO39))))))+4*(OR(ISNUMBER(FIND("WORKORDER",AO39)),AND(LEFT(AO39,2)="WO",OR(ISNUMBER(FIND("NUM",AO39)),RIGHT(AO39,2)="NO"))))+8*(LEFT(AO39,3)="SEQ")+16*(AND(LEFT(AO39,4)="ITEM",NOT(ISNUMBER(FIND("DESC",AO39)))))+32*(AND(ISNUMBER(FIND("DESC",AO39)),NOT(ISNUMBER(FIND("CAP",AO39)))))+64*(OR(RIGHT(AO39,5)="COUNT",RIGHT(AO39,2)="CT"))+128*(ISNUMBER(FIND("BULK",AO39)))+256*(ISNUMBER(FIND("SIZE",AO39)))+512*(LEFT(AO39,3)="CAP")+1024*(ISNUMBER(FIND("ALLERG",AO39)))+2048*(OR(ISNUMBER(FIND("REMARK",AO39)),ISNUMBER(FIND("COMMENT",AO39))))+4096*(OR(ISNUMBER(FIND("QTY",AO39)),ISNUMBER(FIND("QUANTITY",AO39))))+8192*(AND(OR(ISNUMBER(FIND("COMPLETE",AO39)),ISNUMBER(FIND("PCT",AO39)),ISNUMBER(FIND("PERCENT",AO39))),NOT(ISNUMBER(FIND("ACTUAL",AO39))),LEN(AO39)&lt;=16))+32768*(OR(ISNUMBER(FIND("DESIC",AO39)),ISNUMBER(FIND("DESSIC",AO39)))))</f>
        <v/>
      </c>
      <c r="AP174">
        <f>IF(AP39="",0,2*(OR(ISNUMBER(FIND("WORKCENTER",AP39)),AND(LEFT(AP39,4)="LINE",NOT(ISNUMBER(FIND("STATUS",AP39))))))+4*(OR(ISNUMBER(FIND("WORKORDER",AP39)),AND(LEFT(AP39,2)="WO",OR(ISNUMBER(FIND("NUM",AP39)),RIGHT(AP39,2)="NO"))))+8*(LEFT(AP39,3)="SEQ")+16*(AND(LEFT(AP39,4)="ITEM",NOT(ISNUMBER(FIND("DESC",AP39)))))+32*(AND(ISNUMBER(FIND("DESC",AP39)),NOT(ISNUMBER(FIND("CAP",AP39)))))+64*(OR(RIGHT(AP39,5)="COUNT",RIGHT(AP39,2)="CT"))+128*(ISNUMBER(FIND("BULK",AP39)))+256*(ISNUMBER(FIND("SIZE",AP39)))+512*(LEFT(AP39,3)="CAP")+1024*(ISNUMBER(FIND("ALLERG",AP39)))+2048*(OR(ISNUMBER(FIND("REMARK",AP39)),ISNUMBER(FIND("COMMENT",AP39))))+4096*(OR(ISNUMBER(FIND("QTY",AP39)),ISNUMBER(FIND("QUANTITY",AP39))))+8192*(AND(OR(ISNUMBER(FIND("COMPLETE",AP39)),ISNUMBER(FIND("PCT",AP39)),ISNUMBER(FIND("PERCENT",AP39))),NOT(ISNUMBER(FIND("ACTUAL",AP39))),LEN(AP39)&lt;=16))+32768*(OR(ISNUMBER(FIND("DESIC",AP39)),ISNUMBER(FIND("DESSIC",AP39)))))</f>
        <v/>
      </c>
      <c r="AQ174">
        <f>IF(AQ39="",0,2*(OR(ISNUMBER(FIND("WORKCENTER",AQ39)),AND(LEFT(AQ39,4)="LINE",NOT(ISNUMBER(FIND("STATUS",AQ39))))))+4*(OR(ISNUMBER(FIND("WORKORDER",AQ39)),AND(LEFT(AQ39,2)="WO",OR(ISNUMBER(FIND("NUM",AQ39)),RIGHT(AQ39,2)="NO"))))+8*(LEFT(AQ39,3)="SEQ")+16*(AND(LEFT(AQ39,4)="ITEM",NOT(ISNUMBER(FIND("DESC",AQ39)))))+32*(AND(ISNUMBER(FIND("DESC",AQ39)),NOT(ISNUMBER(FIND("CAP",AQ39)))))+64*(OR(RIGHT(AQ39,5)="COUNT",RIGHT(AQ39,2)="CT"))+128*(ISNUMBER(FIND("BULK",AQ39)))+256*(ISNUMBER(FIND("SIZE",AQ39)))+512*(LEFT(AQ39,3)="CAP")+1024*(ISNUMBER(FIND("ALLERG",AQ39)))+2048*(OR(ISNUMBER(FIND("REMARK",AQ39)),ISNUMBER(FIND("COMMENT",AQ39))))+4096*(OR(ISNUMBER(FIND("QTY",AQ39)),ISNUMBER(FIND("QUANTITY",AQ39))))+8192*(AND(OR(ISNUMBER(FIND("COMPLETE",AQ39)),ISNUMBER(FIND("PCT",AQ39)),ISNUMBER(FIND("PERCENT",AQ39))),NOT(ISNUMBER(FIND("ACTUAL",AQ39))),LEN(AQ39)&lt;=16))+32768*(OR(ISNUMBER(FIND("DESIC",AQ39)),ISNUMBER(FIND("DESSIC",AQ39)))))</f>
        <v/>
      </c>
      <c r="AR174">
        <f>IF(AR39="",0,2*(OR(ISNUMBER(FIND("WORKCENTER",AR39)),AND(LEFT(AR39,4)="LINE",NOT(ISNUMBER(FIND("STATUS",AR39))))))+4*(OR(ISNUMBER(FIND("WORKORDER",AR39)),AND(LEFT(AR39,2)="WO",OR(ISNUMBER(FIND("NUM",AR39)),RIGHT(AR39,2)="NO"))))+8*(LEFT(AR39,3)="SEQ")+16*(AND(LEFT(AR39,4)="ITEM",NOT(ISNUMBER(FIND("DESC",AR39)))))+32*(AND(ISNUMBER(FIND("DESC",AR39)),NOT(ISNUMBER(FIND("CAP",AR39)))))+64*(OR(RIGHT(AR39,5)="COUNT",RIGHT(AR39,2)="CT"))+128*(ISNUMBER(FIND("BULK",AR39)))+256*(ISNUMBER(FIND("SIZE",AR39)))+512*(LEFT(AR39,3)="CAP")+1024*(ISNUMBER(FIND("ALLERG",AR39)))+2048*(OR(ISNUMBER(FIND("REMARK",AR39)),ISNUMBER(FIND("COMMENT",AR39))))+4096*(OR(ISNUMBER(FIND("QTY",AR39)),ISNUMBER(FIND("QUANTITY",AR39))))+8192*(AND(OR(ISNUMBER(FIND("COMPLETE",AR39)),ISNUMBER(FIND("PCT",AR39)),ISNUMBER(FIND("PERCENT",AR39))),NOT(ISNUMBER(FIND("ACTUAL",AR39))),LEN(AR39)&lt;=16))+32768*(OR(ISNUMBER(FIND("DESIC",AR39)),ISNUMBER(FIND("DESSIC",AR39)))))</f>
        <v/>
      </c>
      <c r="AS174">
        <f>IF(AS39="",0,2*(OR(ISNUMBER(FIND("WORKCENTER",AS39)),AND(LEFT(AS39,4)="LINE",NOT(ISNUMBER(FIND("STATUS",AS39))))))+4*(OR(ISNUMBER(FIND("WORKORDER",AS39)),AND(LEFT(AS39,2)="WO",OR(ISNUMBER(FIND("NUM",AS39)),RIGHT(AS39,2)="NO"))))+8*(LEFT(AS39,3)="SEQ")+16*(AND(LEFT(AS39,4)="ITEM",NOT(ISNUMBER(FIND("DESC",AS39)))))+32*(AND(ISNUMBER(FIND("DESC",AS39)),NOT(ISNUMBER(FIND("CAP",AS39)))))+64*(OR(RIGHT(AS39,5)="COUNT",RIGHT(AS39,2)="CT"))+128*(ISNUMBER(FIND("BULK",AS39)))+256*(ISNUMBER(FIND("SIZE",AS39)))+512*(LEFT(AS39,3)="CAP")+1024*(ISNUMBER(FIND("ALLERG",AS39)))+2048*(OR(ISNUMBER(FIND("REMARK",AS39)),ISNUMBER(FIND("COMMENT",AS39))))+4096*(OR(ISNUMBER(FIND("QTY",AS39)),ISNUMBER(FIND("QUANTITY",AS39))))+8192*(AND(OR(ISNUMBER(FIND("COMPLETE",AS39)),ISNUMBER(FIND("PCT",AS39)),ISNUMBER(FIND("PERCENT",AS39))),NOT(ISNUMBER(FIND("ACTUAL",AS39))),LEN(AS39)&lt;=16))+32768*(OR(ISNUMBER(FIND("DESIC",AS39)),ISNUMBER(FIND("DESSIC",AS39)))))</f>
        <v/>
      </c>
      <c r="AT174">
        <f>IF(AT39="",0,2*(OR(ISNUMBER(FIND("WORKCENTER",AT39)),AND(LEFT(AT39,4)="LINE",NOT(ISNUMBER(FIND("STATUS",AT39))))))+4*(OR(ISNUMBER(FIND("WORKORDER",AT39)),AND(LEFT(AT39,2)="WO",OR(ISNUMBER(FIND("NUM",AT39)),RIGHT(AT39,2)="NO"))))+8*(LEFT(AT39,3)="SEQ")+16*(AND(LEFT(AT39,4)="ITEM",NOT(ISNUMBER(FIND("DESC",AT39)))))+32*(AND(ISNUMBER(FIND("DESC",AT39)),NOT(ISNUMBER(FIND("CAP",AT39)))))+64*(OR(RIGHT(AT39,5)="COUNT",RIGHT(AT39,2)="CT"))+128*(ISNUMBER(FIND("BULK",AT39)))+256*(ISNUMBER(FIND("SIZE",AT39)))+512*(LEFT(AT39,3)="CAP")+1024*(ISNUMBER(FIND("ALLERG",AT39)))+2048*(OR(ISNUMBER(FIND("REMARK",AT39)),ISNUMBER(FIND("COMMENT",AT39))))+4096*(OR(ISNUMBER(FIND("QTY",AT39)),ISNUMBER(FIND("QUANTITY",AT39))))+8192*(AND(OR(ISNUMBER(FIND("COMPLETE",AT39)),ISNUMBER(FIND("PCT",AT39)),ISNUMBER(FIND("PERCENT",AT39))),NOT(ISNUMBER(FIND("ACTUAL",AT39))),LEN(AT39)&lt;=16))+32768*(OR(ISNUMBER(FIND("DESIC",AT39)),ISNUMBER(FIND("DESSIC",AT39)))))</f>
        <v/>
      </c>
      <c r="AU174">
        <f>IF(AU39="",0,2*(OR(ISNUMBER(FIND("WORKCENTER",AU39)),AND(LEFT(AU39,4)="LINE",NOT(ISNUMBER(FIND("STATUS",AU39))))))+4*(OR(ISNUMBER(FIND("WORKORDER",AU39)),AND(LEFT(AU39,2)="WO",OR(ISNUMBER(FIND("NUM",AU39)),RIGHT(AU39,2)="NO"))))+8*(LEFT(AU39,3)="SEQ")+16*(AND(LEFT(AU39,4)="ITEM",NOT(ISNUMBER(FIND("DESC",AU39)))))+32*(AND(ISNUMBER(FIND("DESC",AU39)),NOT(ISNUMBER(FIND("CAP",AU39)))))+64*(OR(RIGHT(AU39,5)="COUNT",RIGHT(AU39,2)="CT"))+128*(ISNUMBER(FIND("BULK",AU39)))+256*(ISNUMBER(FIND("SIZE",AU39)))+512*(LEFT(AU39,3)="CAP")+1024*(ISNUMBER(FIND("ALLERG",AU39)))+2048*(OR(ISNUMBER(FIND("REMARK",AU39)),ISNUMBER(FIND("COMMENT",AU39))))+4096*(OR(ISNUMBER(FIND("QTY",AU39)),ISNUMBER(FIND("QUANTITY",AU39))))+8192*(AND(OR(ISNUMBER(FIND("COMPLETE",AU39)),ISNUMBER(FIND("PCT",AU39)),ISNUMBER(FIND("PERCENT",AU39))),NOT(ISNUMBER(FIND("ACTUAL",AU39))),LEN(AU39)&lt;=16))+32768*(OR(ISNUMBER(FIND("DESIC",AU39)),ISNUMBER(FIND("DESSIC",AU39)))))</f>
        <v/>
      </c>
      <c r="AV174">
        <f>IF(AV39="",0,2*(OR(ISNUMBER(FIND("WORKCENTER",AV39)),AND(LEFT(AV39,4)="LINE",NOT(ISNUMBER(FIND("STATUS",AV39))))))+4*(OR(ISNUMBER(FIND("WORKORDER",AV39)),AND(LEFT(AV39,2)="WO",OR(ISNUMBER(FIND("NUM",AV39)),RIGHT(AV39,2)="NO"))))+8*(LEFT(AV39,3)="SEQ")+16*(AND(LEFT(AV39,4)="ITEM",NOT(ISNUMBER(FIND("DESC",AV39)))))+32*(AND(ISNUMBER(FIND("DESC",AV39)),NOT(ISNUMBER(FIND("CAP",AV39)))))+64*(OR(RIGHT(AV39,5)="COUNT",RIGHT(AV39,2)="CT"))+128*(ISNUMBER(FIND("BULK",AV39)))+256*(ISNUMBER(FIND("SIZE",AV39)))+512*(LEFT(AV39,3)="CAP")+1024*(ISNUMBER(FIND("ALLERG",AV39)))+2048*(OR(ISNUMBER(FIND("REMARK",AV39)),ISNUMBER(FIND("COMMENT",AV39))))+4096*(OR(ISNUMBER(FIND("QTY",AV39)),ISNUMBER(FIND("QUANTITY",AV39))))+8192*(AND(OR(ISNUMBER(FIND("COMPLETE",AV39)),ISNUMBER(FIND("PCT",AV39)),ISNUMBER(FIND("PERCENT",AV39))),NOT(ISNUMBER(FIND("ACTUAL",AV39))),LEN(AV39)&lt;=16))+32768*(OR(ISNUMBER(FIND("DESIC",AV39)),ISNUMBER(FIND("DESSIC",AV39)))))</f>
        <v/>
      </c>
      <c r="AW174">
        <f>IF(AW39="",0,2*(OR(ISNUMBER(FIND("WORKCENTER",AW39)),AND(LEFT(AW39,4)="LINE",NOT(ISNUMBER(FIND("STATUS",AW39))))))+4*(OR(ISNUMBER(FIND("WORKORDER",AW39)),AND(LEFT(AW39,2)="WO",OR(ISNUMBER(FIND("NUM",AW39)),RIGHT(AW39,2)="NO"))))+8*(LEFT(AW39,3)="SEQ")+16*(AND(LEFT(AW39,4)="ITEM",NOT(ISNUMBER(FIND("DESC",AW39)))))+32*(AND(ISNUMBER(FIND("DESC",AW39)),NOT(ISNUMBER(FIND("CAP",AW39)))))+64*(OR(RIGHT(AW39,5)="COUNT",RIGHT(AW39,2)="CT"))+128*(ISNUMBER(FIND("BULK",AW39)))+256*(ISNUMBER(FIND("SIZE",AW39)))+512*(LEFT(AW39,3)="CAP")+1024*(ISNUMBER(FIND("ALLERG",AW39)))+2048*(OR(ISNUMBER(FIND("REMARK",AW39)),ISNUMBER(FIND("COMMENT",AW39))))+4096*(OR(ISNUMBER(FIND("QTY",AW39)),ISNUMBER(FIND("QUANTITY",AW39))))+8192*(AND(OR(ISNUMBER(FIND("COMPLETE",AW39)),ISNUMBER(FIND("PCT",AW39)),ISNUMBER(FIND("PERCENT",AW39))),NOT(ISNUMBER(FIND("ACTUAL",AW39))),LEN(AW39)&lt;=16))+32768*(OR(ISNUMBER(FIND("DESIC",AW39)),ISNUMBER(FIND("DESSIC",AW39)))))</f>
        <v/>
      </c>
      <c r="AX174">
        <f>IF(AX39="",0,2*(OR(ISNUMBER(FIND("WORKCENTER",AX39)),AND(LEFT(AX39,4)="LINE",NOT(ISNUMBER(FIND("STATUS",AX39))))))+4*(OR(ISNUMBER(FIND("WORKORDER",AX39)),AND(LEFT(AX39,2)="WO",OR(ISNUMBER(FIND("NUM",AX39)),RIGHT(AX39,2)="NO"))))+8*(LEFT(AX39,3)="SEQ")+16*(AND(LEFT(AX39,4)="ITEM",NOT(ISNUMBER(FIND("DESC",AX39)))))+32*(AND(ISNUMBER(FIND("DESC",AX39)),NOT(ISNUMBER(FIND("CAP",AX39)))))+64*(OR(RIGHT(AX39,5)="COUNT",RIGHT(AX39,2)="CT"))+128*(ISNUMBER(FIND("BULK",AX39)))+256*(ISNUMBER(FIND("SIZE",AX39)))+512*(LEFT(AX39,3)="CAP")+1024*(ISNUMBER(FIND("ALLERG",AX39)))+2048*(OR(ISNUMBER(FIND("REMARK",AX39)),ISNUMBER(FIND("COMMENT",AX39))))+4096*(OR(ISNUMBER(FIND("QTY",AX39)),ISNUMBER(FIND("QUANTITY",AX39))))+8192*(AND(OR(ISNUMBER(FIND("COMPLETE",AX39)),ISNUMBER(FIND("PCT",AX39)),ISNUMBER(FIND("PERCENT",AX39))),NOT(ISNUMBER(FIND("ACTUAL",AX39))),LEN(AX39)&lt;=16))+32768*(OR(ISNUMBER(FIND("DESIC",AX39)),ISNUMBER(FIND("DESSIC",AX39)))))</f>
        <v/>
      </c>
      <c r="AY174">
        <f>IF(AY39="",0,2*(OR(ISNUMBER(FIND("WORKCENTER",AY39)),AND(LEFT(AY39,4)="LINE",NOT(ISNUMBER(FIND("STATUS",AY39))))))+4*(OR(ISNUMBER(FIND("WORKORDER",AY39)),AND(LEFT(AY39,2)="WO",OR(ISNUMBER(FIND("NUM",AY39)),RIGHT(AY39,2)="NO"))))+8*(LEFT(AY39,3)="SEQ")+16*(AND(LEFT(AY39,4)="ITEM",NOT(ISNUMBER(FIND("DESC",AY39)))))+32*(AND(ISNUMBER(FIND("DESC",AY39)),NOT(ISNUMBER(FIND("CAP",AY39)))))+64*(OR(RIGHT(AY39,5)="COUNT",RIGHT(AY39,2)="CT"))+128*(ISNUMBER(FIND("BULK",AY39)))+256*(ISNUMBER(FIND("SIZE",AY39)))+512*(LEFT(AY39,3)="CAP")+1024*(ISNUMBER(FIND("ALLERG",AY39)))+2048*(OR(ISNUMBER(FIND("REMARK",AY39)),ISNUMBER(FIND("COMMENT",AY39))))+4096*(OR(ISNUMBER(FIND("QTY",AY39)),ISNUMBER(FIND("QUANTITY",AY39))))+8192*(AND(OR(ISNUMBER(FIND("COMPLETE",AY39)),ISNUMBER(FIND("PCT",AY39)),ISNUMBER(FIND("PERCENT",AY39))),NOT(ISNUMBER(FIND("ACTUAL",AY39))),LEN(AY39)&lt;=16))+32768*(OR(ISNUMBER(FIND("DESIC",AY39)),ISNUMBER(FIND("DESSIC",AY39)))))</f>
        <v/>
      </c>
      <c r="AZ174">
        <f>IF(AZ39="",0,2*(OR(ISNUMBER(FIND("WORKCENTER",AZ39)),AND(LEFT(AZ39,4)="LINE",NOT(ISNUMBER(FIND("STATUS",AZ39))))))+4*(OR(ISNUMBER(FIND("WORKORDER",AZ39)),AND(LEFT(AZ39,2)="WO",OR(ISNUMBER(FIND("NUM",AZ39)),RIGHT(AZ39,2)="NO"))))+8*(LEFT(AZ39,3)="SEQ")+16*(AND(LEFT(AZ39,4)="ITEM",NOT(ISNUMBER(FIND("DESC",AZ39)))))+32*(AND(ISNUMBER(FIND("DESC",AZ39)),NOT(ISNUMBER(FIND("CAP",AZ39)))))+64*(OR(RIGHT(AZ39,5)="COUNT",RIGHT(AZ39,2)="CT"))+128*(ISNUMBER(FIND("BULK",AZ39)))+256*(ISNUMBER(FIND("SIZE",AZ39)))+512*(LEFT(AZ39,3)="CAP")+1024*(ISNUMBER(FIND("ALLERG",AZ39)))+2048*(OR(ISNUMBER(FIND("REMARK",AZ39)),ISNUMBER(FIND("COMMENT",AZ39))))+4096*(OR(ISNUMBER(FIND("QTY",AZ39)),ISNUMBER(FIND("QUANTITY",AZ39))))+8192*(AND(OR(ISNUMBER(FIND("COMPLETE",AZ39)),ISNUMBER(FIND("PCT",AZ39)),ISNUMBER(FIND("PERCENT",AZ39))),NOT(ISNUMBER(FIND("ACTUAL",AZ39))),LEN(AZ39)&lt;=16))+32768*(OR(ISNUMBER(FIND("DESIC",AZ39)),ISNUMBER(FIND("DESSIC",AZ39)))))</f>
        <v/>
      </c>
      <c r="BA174">
        <f>IF(BA39="",0,2*(OR(ISNUMBER(FIND("WORKCENTER",BA39)),AND(LEFT(BA39,4)="LINE",NOT(ISNUMBER(FIND("STATUS",BA39))))))+4*(OR(ISNUMBER(FIND("WORKORDER",BA39)),AND(LEFT(BA39,2)="WO",OR(ISNUMBER(FIND("NUM",BA39)),RIGHT(BA39,2)="NO"))))+8*(LEFT(BA39,3)="SEQ")+16*(AND(LEFT(BA39,4)="ITEM",NOT(ISNUMBER(FIND("DESC",BA39)))))+32*(AND(ISNUMBER(FIND("DESC",BA39)),NOT(ISNUMBER(FIND("CAP",BA39)))))+64*(OR(RIGHT(BA39,5)="COUNT",RIGHT(BA39,2)="CT"))+128*(ISNUMBER(FIND("BULK",BA39)))+256*(ISNUMBER(FIND("SIZE",BA39)))+512*(LEFT(BA39,3)="CAP")+1024*(ISNUMBER(FIND("ALLERG",BA39)))+2048*(OR(ISNUMBER(FIND("REMARK",BA39)),ISNUMBER(FIND("COMMENT",BA39))))+4096*(OR(ISNUMBER(FIND("QTY",BA39)),ISNUMBER(FIND("QUANTITY",BA39))))+8192*(AND(OR(ISNUMBER(FIND("COMPLETE",BA39)),ISNUMBER(FIND("PCT",BA39)),ISNUMBER(FIND("PERCENT",BA39))),NOT(ISNUMBER(FIND("ACTUAL",BA39))),LEN(BA39)&lt;=16))+32768*(OR(ISNUMBER(FIND("DESIC",BA39)),ISNUMBER(FIND("DESSIC",BA39)))))</f>
        <v/>
      </c>
      <c r="BB174">
        <f>IF(BB39="",0,2*(OR(ISNUMBER(FIND("WORKCENTER",BB39)),AND(LEFT(BB39,4)="LINE",NOT(ISNUMBER(FIND("STATUS",BB39))))))+4*(OR(ISNUMBER(FIND("WORKORDER",BB39)),AND(LEFT(BB39,2)="WO",OR(ISNUMBER(FIND("NUM",BB39)),RIGHT(BB39,2)="NO"))))+8*(LEFT(BB39,3)="SEQ")+16*(AND(LEFT(BB39,4)="ITEM",NOT(ISNUMBER(FIND("DESC",BB39)))))+32*(AND(ISNUMBER(FIND("DESC",BB39)),NOT(ISNUMBER(FIND("CAP",BB39)))))+64*(OR(RIGHT(BB39,5)="COUNT",RIGHT(BB39,2)="CT"))+128*(ISNUMBER(FIND("BULK",BB39)))+256*(ISNUMBER(FIND("SIZE",BB39)))+512*(LEFT(BB39,3)="CAP")+1024*(ISNUMBER(FIND("ALLERG",BB39)))+2048*(OR(ISNUMBER(FIND("REMARK",BB39)),ISNUMBER(FIND("COMMENT",BB39))))+4096*(OR(ISNUMBER(FIND("QTY",BB39)),ISNUMBER(FIND("QUANTITY",BB39))))+8192*(AND(OR(ISNUMBER(FIND("COMPLETE",BB39)),ISNUMBER(FIND("PCT",BB39)),ISNUMBER(FIND("PERCENT",BB39))),NOT(ISNUMBER(FIND("ACTUAL",BB39))),LEN(BB39)&lt;=16))+32768*(OR(ISNUMBER(FIND("DESIC",BB39)),ISNUMBER(FIND("DESSIC",BB39)))))</f>
        <v/>
      </c>
      <c r="BC174">
        <f>IF(BC39="",0,2*(OR(ISNUMBER(FIND("WORKCENTER",BC39)),AND(LEFT(BC39,4)="LINE",NOT(ISNUMBER(FIND("STATUS",BC39))))))+4*(OR(ISNUMBER(FIND("WORKORDER",BC39)),AND(LEFT(BC39,2)="WO",OR(ISNUMBER(FIND("NUM",BC39)),RIGHT(BC39,2)="NO"))))+8*(LEFT(BC39,3)="SEQ")+16*(AND(LEFT(BC39,4)="ITEM",NOT(ISNUMBER(FIND("DESC",BC39)))))+32*(AND(ISNUMBER(FIND("DESC",BC39)),NOT(ISNUMBER(FIND("CAP",BC39)))))+64*(OR(RIGHT(BC39,5)="COUNT",RIGHT(BC39,2)="CT"))+128*(ISNUMBER(FIND("BULK",BC39)))+256*(ISNUMBER(FIND("SIZE",BC39)))+512*(LEFT(BC39,3)="CAP")+1024*(ISNUMBER(FIND("ALLERG",BC39)))+2048*(OR(ISNUMBER(FIND("REMARK",BC39)),ISNUMBER(FIND("COMMENT",BC39))))+4096*(OR(ISNUMBER(FIND("QTY",BC39)),ISNUMBER(FIND("QUANTITY",BC39))))+8192*(AND(OR(ISNUMBER(FIND("COMPLETE",BC39)),ISNUMBER(FIND("PCT",BC39)),ISNUMBER(FIND("PERCENT",BC39))),NOT(ISNUMBER(FIND("ACTUAL",BC39))),LEN(BC39)&lt;=16))+32768*(OR(ISNUMBER(FIND("DESIC",BC39)),ISNUMBER(FIND("DESSIC",BC39)))))</f>
        <v/>
      </c>
      <c r="BD174">
        <f>IF(BD39="",0,2*(OR(ISNUMBER(FIND("WORKCENTER",BD39)),AND(LEFT(BD39,4)="LINE",NOT(ISNUMBER(FIND("STATUS",BD39))))))+4*(OR(ISNUMBER(FIND("WORKORDER",BD39)),AND(LEFT(BD39,2)="WO",OR(ISNUMBER(FIND("NUM",BD39)),RIGHT(BD39,2)="NO"))))+8*(LEFT(BD39,3)="SEQ")+16*(AND(LEFT(BD39,4)="ITEM",NOT(ISNUMBER(FIND("DESC",BD39)))))+32*(AND(ISNUMBER(FIND("DESC",BD39)),NOT(ISNUMBER(FIND("CAP",BD39)))))+64*(OR(RIGHT(BD39,5)="COUNT",RIGHT(BD39,2)="CT"))+128*(ISNUMBER(FIND("BULK",BD39)))+256*(ISNUMBER(FIND("SIZE",BD39)))+512*(LEFT(BD39,3)="CAP")+1024*(ISNUMBER(FIND("ALLERG",BD39)))+2048*(OR(ISNUMBER(FIND("REMARK",BD39)),ISNUMBER(FIND("COMMENT",BD39))))+4096*(OR(ISNUMBER(FIND("QTY",BD39)),ISNUMBER(FIND("QUANTITY",BD39))))+8192*(AND(OR(ISNUMBER(FIND("COMPLETE",BD39)),ISNUMBER(FIND("PCT",BD39)),ISNUMBER(FIND("PERCENT",BD39))),NOT(ISNUMBER(FIND("ACTUAL",BD39))),LEN(BD39)&lt;=16))+32768*(OR(ISNUMBER(FIND("DESIC",BD39)),ISNUMBER(FIND("DESSIC",BD39)))))</f>
        <v/>
      </c>
      <c r="BE174">
        <f>IF(BE39="",0,2*(OR(ISNUMBER(FIND("WORKCENTER",BE39)),AND(LEFT(BE39,4)="LINE",NOT(ISNUMBER(FIND("STATUS",BE39))))))+4*(OR(ISNUMBER(FIND("WORKORDER",BE39)),AND(LEFT(BE39,2)="WO",OR(ISNUMBER(FIND("NUM",BE39)),RIGHT(BE39,2)="NO"))))+8*(LEFT(BE39,3)="SEQ")+16*(AND(LEFT(BE39,4)="ITEM",NOT(ISNUMBER(FIND("DESC",BE39)))))+32*(AND(ISNUMBER(FIND("DESC",BE39)),NOT(ISNUMBER(FIND("CAP",BE39)))))+64*(OR(RIGHT(BE39,5)="COUNT",RIGHT(BE39,2)="CT"))+128*(ISNUMBER(FIND("BULK",BE39)))+256*(ISNUMBER(FIND("SIZE",BE39)))+512*(LEFT(BE39,3)="CAP")+1024*(ISNUMBER(FIND("ALLERG",BE39)))+2048*(OR(ISNUMBER(FIND("REMARK",BE39)),ISNUMBER(FIND("COMMENT",BE39))))+4096*(OR(ISNUMBER(FIND("QTY",BE39)),ISNUMBER(FIND("QUANTITY",BE39))))+8192*(AND(OR(ISNUMBER(FIND("COMPLETE",BE39)),ISNUMBER(FIND("PCT",BE39)),ISNUMBER(FIND("PERCENT",BE39))),NOT(ISNUMBER(FIND("ACTUAL",BE39))),LEN(BE39)&lt;=16))+32768*(OR(ISNUMBER(FIND("DESIC",BE39)),ISNUMBER(FIND("DESSIC",BE39)))))</f>
        <v/>
      </c>
      <c r="BF174">
        <f>IF(BF39="",0,2*(OR(ISNUMBER(FIND("WORKCENTER",BF39)),AND(LEFT(BF39,4)="LINE",NOT(ISNUMBER(FIND("STATUS",BF39))))))+4*(OR(ISNUMBER(FIND("WORKORDER",BF39)),AND(LEFT(BF39,2)="WO",OR(ISNUMBER(FIND("NUM",BF39)),RIGHT(BF39,2)="NO"))))+8*(LEFT(BF39,3)="SEQ")+16*(AND(LEFT(BF39,4)="ITEM",NOT(ISNUMBER(FIND("DESC",BF39)))))+32*(AND(ISNUMBER(FIND("DESC",BF39)),NOT(ISNUMBER(FIND("CAP",BF39)))))+64*(OR(RIGHT(BF39,5)="COUNT",RIGHT(BF39,2)="CT"))+128*(ISNUMBER(FIND("BULK",BF39)))+256*(ISNUMBER(FIND("SIZE",BF39)))+512*(LEFT(BF39,3)="CAP")+1024*(ISNUMBER(FIND("ALLERG",BF39)))+2048*(OR(ISNUMBER(FIND("REMARK",BF39)),ISNUMBER(FIND("COMMENT",BF39))))+4096*(OR(ISNUMBER(FIND("QTY",BF39)),ISNUMBER(FIND("QUANTITY",BF39))))+8192*(AND(OR(ISNUMBER(FIND("COMPLETE",BF39)),ISNUMBER(FIND("PCT",BF39)),ISNUMBER(FIND("PERCENT",BF39))),NOT(ISNUMBER(FIND("ACTUAL",BF39))),LEN(BF39)&lt;=16))+32768*(OR(ISNUMBER(FIND("DESIC",BF39)),ISNUMBER(FIND("DESSIC",BF39)))))</f>
        <v/>
      </c>
      <c r="BG174">
        <f>IF(BG39="",0,2*(OR(ISNUMBER(FIND("WORKCENTER",BG39)),AND(LEFT(BG39,4)="LINE",NOT(ISNUMBER(FIND("STATUS",BG39))))))+4*(OR(ISNUMBER(FIND("WORKORDER",BG39)),AND(LEFT(BG39,2)="WO",OR(ISNUMBER(FIND("NUM",BG39)),RIGHT(BG39,2)="NO"))))+8*(LEFT(BG39,3)="SEQ")+16*(AND(LEFT(BG39,4)="ITEM",NOT(ISNUMBER(FIND("DESC",BG39)))))+32*(AND(ISNUMBER(FIND("DESC",BG39)),NOT(ISNUMBER(FIND("CAP",BG39)))))+64*(OR(RIGHT(BG39,5)="COUNT",RIGHT(BG39,2)="CT"))+128*(ISNUMBER(FIND("BULK",BG39)))+256*(ISNUMBER(FIND("SIZE",BG39)))+512*(LEFT(BG39,3)="CAP")+1024*(ISNUMBER(FIND("ALLERG",BG39)))+2048*(OR(ISNUMBER(FIND("REMARK",BG39)),ISNUMBER(FIND("COMMENT",BG39))))+4096*(OR(ISNUMBER(FIND("QTY",BG39)),ISNUMBER(FIND("QUANTITY",BG39))))+8192*(AND(OR(ISNUMBER(FIND("COMPLETE",BG39)),ISNUMBER(FIND("PCT",BG39)),ISNUMBER(FIND("PERCENT",BG39))),NOT(ISNUMBER(FIND("ACTUAL",BG39))),LEN(BG39)&lt;=16))+32768*(OR(ISNUMBER(FIND("DESIC",BG39)),ISNUMBER(FIND("DESSIC",BG39)))))</f>
        <v/>
      </c>
      <c r="BH174">
        <f>IF(BH39="",0,2*(OR(ISNUMBER(FIND("WORKCENTER",BH39)),AND(LEFT(BH39,4)="LINE",NOT(ISNUMBER(FIND("STATUS",BH39))))))+4*(OR(ISNUMBER(FIND("WORKORDER",BH39)),AND(LEFT(BH39,2)="WO",OR(ISNUMBER(FIND("NUM",BH39)),RIGHT(BH39,2)="NO"))))+8*(LEFT(BH39,3)="SEQ")+16*(AND(LEFT(BH39,4)="ITEM",NOT(ISNUMBER(FIND("DESC",BH39)))))+32*(AND(ISNUMBER(FIND("DESC",BH39)),NOT(ISNUMBER(FIND("CAP",BH39)))))+64*(OR(RIGHT(BH39,5)="COUNT",RIGHT(BH39,2)="CT"))+128*(ISNUMBER(FIND("BULK",BH39)))+256*(ISNUMBER(FIND("SIZE",BH39)))+512*(LEFT(BH39,3)="CAP")+1024*(ISNUMBER(FIND("ALLERG",BH39)))+2048*(OR(ISNUMBER(FIND("REMARK",BH39)),ISNUMBER(FIND("COMMENT",BH39))))+4096*(OR(ISNUMBER(FIND("QTY",BH39)),ISNUMBER(FIND("QUANTITY",BH39))))+8192*(AND(OR(ISNUMBER(FIND("COMPLETE",BH39)),ISNUMBER(FIND("PCT",BH39)),ISNUMBER(FIND("PERCENT",BH39))),NOT(ISNUMBER(FIND("ACTUAL",BH39))),LEN(BH39)&lt;=16))+32768*(OR(ISNUMBER(FIND("DESIC",BH39)),ISNUMBER(FIND("DESSIC",BH39)))))</f>
        <v/>
      </c>
      <c r="BI174">
        <f>IF(BI39="",0,2*(OR(ISNUMBER(FIND("WORKCENTER",BI39)),AND(LEFT(BI39,4)="LINE",NOT(ISNUMBER(FIND("STATUS",BI39))))))+4*(OR(ISNUMBER(FIND("WORKORDER",BI39)),AND(LEFT(BI39,2)="WO",OR(ISNUMBER(FIND("NUM",BI39)),RIGHT(BI39,2)="NO"))))+8*(LEFT(BI39,3)="SEQ")+16*(AND(LEFT(BI39,4)="ITEM",NOT(ISNUMBER(FIND("DESC",BI39)))))+32*(AND(ISNUMBER(FIND("DESC",BI39)),NOT(ISNUMBER(FIND("CAP",BI39)))))+64*(OR(RIGHT(BI39,5)="COUNT",RIGHT(BI39,2)="CT"))+128*(ISNUMBER(FIND("BULK",BI39)))+256*(ISNUMBER(FIND("SIZE",BI39)))+512*(LEFT(BI39,3)="CAP")+1024*(ISNUMBER(FIND("ALLERG",BI39)))+2048*(OR(ISNUMBER(FIND("REMARK",BI39)),ISNUMBER(FIND("COMMENT",BI39))))+4096*(OR(ISNUMBER(FIND("QTY",BI39)),ISNUMBER(FIND("QUANTITY",BI39))))+8192*(AND(OR(ISNUMBER(FIND("COMPLETE",BI39)),ISNUMBER(FIND("PCT",BI39)),ISNUMBER(FIND("PERCENT",BI39))),NOT(ISNUMBER(FIND("ACTUAL",BI39))),LEN(BI39)&lt;=16))+32768*(OR(ISNUMBER(FIND("DESIC",BI39)),ISNUMBER(FIND("DESSIC",BI39)))))</f>
        <v/>
      </c>
      <c r="BJ174">
        <f>IF(BJ39="",0,2*(OR(ISNUMBER(FIND("WORKCENTER",BJ39)),AND(LEFT(BJ39,4)="LINE",NOT(ISNUMBER(FIND("STATUS",BJ39))))))+4*(OR(ISNUMBER(FIND("WORKORDER",BJ39)),AND(LEFT(BJ39,2)="WO",OR(ISNUMBER(FIND("NUM",BJ39)),RIGHT(BJ39,2)="NO"))))+8*(LEFT(BJ39,3)="SEQ")+16*(AND(LEFT(BJ39,4)="ITEM",NOT(ISNUMBER(FIND("DESC",BJ39)))))+32*(AND(ISNUMBER(FIND("DESC",BJ39)),NOT(ISNUMBER(FIND("CAP",BJ39)))))+64*(OR(RIGHT(BJ39,5)="COUNT",RIGHT(BJ39,2)="CT"))+128*(ISNUMBER(FIND("BULK",BJ39)))+256*(ISNUMBER(FIND("SIZE",BJ39)))+512*(LEFT(BJ39,3)="CAP")+1024*(ISNUMBER(FIND("ALLERG",BJ39)))+2048*(OR(ISNUMBER(FIND("REMARK",BJ39)),ISNUMBER(FIND("COMMENT",BJ39))))+4096*(OR(ISNUMBER(FIND("QTY",BJ39)),ISNUMBER(FIND("QUANTITY",BJ39))))+8192*(AND(OR(ISNUMBER(FIND("COMPLETE",BJ39)),ISNUMBER(FIND("PCT",BJ39)),ISNUMBER(FIND("PERCENT",BJ39))),NOT(ISNUMBER(FIND("ACTUAL",BJ39))),LEN(BJ39)&lt;=16))+32768*(OR(ISNUMBER(FIND("DESIC",BJ39)),ISNUMBER(FIND("DESSIC",BJ39)))))</f>
        <v/>
      </c>
      <c r="BK174">
        <f>IF(BK39="",0,2*(OR(ISNUMBER(FIND("WORKCENTER",BK39)),AND(LEFT(BK39,4)="LINE",NOT(ISNUMBER(FIND("STATUS",BK39))))))+4*(OR(ISNUMBER(FIND("WORKORDER",BK39)),AND(LEFT(BK39,2)="WO",OR(ISNUMBER(FIND("NUM",BK39)),RIGHT(BK39,2)="NO"))))+8*(LEFT(BK39,3)="SEQ")+16*(AND(LEFT(BK39,4)="ITEM",NOT(ISNUMBER(FIND("DESC",BK39)))))+32*(AND(ISNUMBER(FIND("DESC",BK39)),NOT(ISNUMBER(FIND("CAP",BK39)))))+64*(OR(RIGHT(BK39,5)="COUNT",RIGHT(BK39,2)="CT"))+128*(ISNUMBER(FIND("BULK",BK39)))+256*(ISNUMBER(FIND("SIZE",BK39)))+512*(LEFT(BK39,3)="CAP")+1024*(ISNUMBER(FIND("ALLERG",BK39)))+2048*(OR(ISNUMBER(FIND("REMARK",BK39)),ISNUMBER(FIND("COMMENT",BK39))))+4096*(OR(ISNUMBER(FIND("QTY",BK39)),ISNUMBER(FIND("QUANTITY",BK39))))+8192*(AND(OR(ISNUMBER(FIND("COMPLETE",BK39)),ISNUMBER(FIND("PCT",BK39)),ISNUMBER(FIND("PERCENT",BK39))),NOT(ISNUMBER(FIND("ACTUAL",BK39))),LEN(BK39)&lt;=16))+32768*(OR(ISNUMBER(FIND("DESIC",BK39)),ISNUMBER(FIND("DESSIC",BK39)))))</f>
        <v/>
      </c>
      <c r="BL174">
        <f>IF(BL39="",0,2*(OR(ISNUMBER(FIND("WORKCENTER",BL39)),AND(LEFT(BL39,4)="LINE",NOT(ISNUMBER(FIND("STATUS",BL39))))))+4*(OR(ISNUMBER(FIND("WORKORDER",BL39)),AND(LEFT(BL39,2)="WO",OR(ISNUMBER(FIND("NUM",BL39)),RIGHT(BL39,2)="NO"))))+8*(LEFT(BL39,3)="SEQ")+16*(AND(LEFT(BL39,4)="ITEM",NOT(ISNUMBER(FIND("DESC",BL39)))))+32*(AND(ISNUMBER(FIND("DESC",BL39)),NOT(ISNUMBER(FIND("CAP",BL39)))))+64*(OR(RIGHT(BL39,5)="COUNT",RIGHT(BL39,2)="CT"))+128*(ISNUMBER(FIND("BULK",BL39)))+256*(ISNUMBER(FIND("SIZE",BL39)))+512*(LEFT(BL39,3)="CAP")+1024*(ISNUMBER(FIND("ALLERG",BL39)))+2048*(OR(ISNUMBER(FIND("REMARK",BL39)),ISNUMBER(FIND("COMMENT",BL39))))+4096*(OR(ISNUMBER(FIND("QTY",BL39)),ISNUMBER(FIND("QUANTITY",BL39))))+8192*(AND(OR(ISNUMBER(FIND("COMPLETE",BL39)),ISNUMBER(FIND("PCT",BL39)),ISNUMBER(FIND("PERCENT",BL39))),NOT(ISNUMBER(FIND("ACTUAL",BL39))),LEN(BL39)&lt;=16))+32768*(OR(ISNUMBER(FIND("DESIC",BL39)),ISNUMBER(FIND("DESSIC",BL39)))))</f>
        <v/>
      </c>
      <c r="BM174">
        <f>IF(BM39="",0,2*(OR(ISNUMBER(FIND("WORKCENTER",BM39)),AND(LEFT(BM39,4)="LINE",NOT(ISNUMBER(FIND("STATUS",BM39))))))+4*(OR(ISNUMBER(FIND("WORKORDER",BM39)),AND(LEFT(BM39,2)="WO",OR(ISNUMBER(FIND("NUM",BM39)),RIGHT(BM39,2)="NO"))))+8*(LEFT(BM39,3)="SEQ")+16*(AND(LEFT(BM39,4)="ITEM",NOT(ISNUMBER(FIND("DESC",BM39)))))+32*(AND(ISNUMBER(FIND("DESC",BM39)),NOT(ISNUMBER(FIND("CAP",BM39)))))+64*(OR(RIGHT(BM39,5)="COUNT",RIGHT(BM39,2)="CT"))+128*(ISNUMBER(FIND("BULK",BM39)))+256*(ISNUMBER(FIND("SIZE",BM39)))+512*(LEFT(BM39,3)="CAP")+1024*(ISNUMBER(FIND("ALLERG",BM39)))+2048*(OR(ISNUMBER(FIND("REMARK",BM39)),ISNUMBER(FIND("COMMENT",BM39))))+4096*(OR(ISNUMBER(FIND("QTY",BM39)),ISNUMBER(FIND("QUANTITY",BM39))))+8192*(AND(OR(ISNUMBER(FIND("COMPLETE",BM39)),ISNUMBER(FIND("PCT",BM39)),ISNUMBER(FIND("PERCENT",BM39))),NOT(ISNUMBER(FIND("ACTUAL",BM39))),LEN(BM39)&lt;=16))+32768*(OR(ISNUMBER(FIND("DESIC",BM39)),ISNUMBER(FIND("DESSIC",BM39)))))</f>
        <v/>
      </c>
      <c r="BN174">
        <f>IF(BN39="",0,2*(OR(ISNUMBER(FIND("WORKCENTER",BN39)),AND(LEFT(BN39,4)="LINE",NOT(ISNUMBER(FIND("STATUS",BN39))))))+4*(OR(ISNUMBER(FIND("WORKORDER",BN39)),AND(LEFT(BN39,2)="WO",OR(ISNUMBER(FIND("NUM",BN39)),RIGHT(BN39,2)="NO"))))+8*(LEFT(BN39,3)="SEQ")+16*(AND(LEFT(BN39,4)="ITEM",NOT(ISNUMBER(FIND("DESC",BN39)))))+32*(AND(ISNUMBER(FIND("DESC",BN39)),NOT(ISNUMBER(FIND("CAP",BN39)))))+64*(OR(RIGHT(BN39,5)="COUNT",RIGHT(BN39,2)="CT"))+128*(ISNUMBER(FIND("BULK",BN39)))+256*(ISNUMBER(FIND("SIZE",BN39)))+512*(LEFT(BN39,3)="CAP")+1024*(ISNUMBER(FIND("ALLERG",BN39)))+2048*(OR(ISNUMBER(FIND("REMARK",BN39)),ISNUMBER(FIND("COMMENT",BN39))))+4096*(OR(ISNUMBER(FIND("QTY",BN39)),ISNUMBER(FIND("QUANTITY",BN39))))+8192*(AND(OR(ISNUMBER(FIND("COMPLETE",BN39)),ISNUMBER(FIND("PCT",BN39)),ISNUMBER(FIND("PERCENT",BN39))),NOT(ISNUMBER(FIND("ACTUAL",BN39))),LEN(BN39)&lt;=16))+32768*(OR(ISNUMBER(FIND("DESIC",BN39)),ISNUMBER(FIND("DESSIC",BN39)))))</f>
        <v/>
      </c>
      <c r="BO174">
        <f>IF(BO39="",0,2*(OR(ISNUMBER(FIND("WORKCENTER",BO39)),AND(LEFT(BO39,4)="LINE",NOT(ISNUMBER(FIND("STATUS",BO39))))))+4*(OR(ISNUMBER(FIND("WORKORDER",BO39)),AND(LEFT(BO39,2)="WO",OR(ISNUMBER(FIND("NUM",BO39)),RIGHT(BO39,2)="NO"))))+8*(LEFT(BO39,3)="SEQ")+16*(AND(LEFT(BO39,4)="ITEM",NOT(ISNUMBER(FIND("DESC",BO39)))))+32*(AND(ISNUMBER(FIND("DESC",BO39)),NOT(ISNUMBER(FIND("CAP",BO39)))))+64*(OR(RIGHT(BO39,5)="COUNT",RIGHT(BO39,2)="CT"))+128*(ISNUMBER(FIND("BULK",BO39)))+256*(ISNUMBER(FIND("SIZE",BO39)))+512*(LEFT(BO39,3)="CAP")+1024*(ISNUMBER(FIND("ALLERG",BO39)))+2048*(OR(ISNUMBER(FIND("REMARK",BO39)),ISNUMBER(FIND("COMMENT",BO39))))+4096*(OR(ISNUMBER(FIND("QTY",BO39)),ISNUMBER(FIND("QUANTITY",BO39))))+8192*(AND(OR(ISNUMBER(FIND("COMPLETE",BO39)),ISNUMBER(FIND("PCT",BO39)),ISNUMBER(FIND("PERCENT",BO39))),NOT(ISNUMBER(FIND("ACTUAL",BO39))),LEN(BO39)&lt;=16))+32768*(OR(ISNUMBER(FIND("DESIC",BO39)),ISNUMBER(FIND("DESSIC",BO39)))))</f>
        <v/>
      </c>
      <c r="BP174">
        <f>IF(BP39="",0,2*(OR(ISNUMBER(FIND("WORKCENTER",BP39)),AND(LEFT(BP39,4)="LINE",NOT(ISNUMBER(FIND("STATUS",BP39))))))+4*(OR(ISNUMBER(FIND("WORKORDER",BP39)),AND(LEFT(BP39,2)="WO",OR(ISNUMBER(FIND("NUM",BP39)),RIGHT(BP39,2)="NO"))))+8*(LEFT(BP39,3)="SEQ")+16*(AND(LEFT(BP39,4)="ITEM",NOT(ISNUMBER(FIND("DESC",BP39)))))+32*(AND(ISNUMBER(FIND("DESC",BP39)),NOT(ISNUMBER(FIND("CAP",BP39)))))+64*(OR(RIGHT(BP39,5)="COUNT",RIGHT(BP39,2)="CT"))+128*(ISNUMBER(FIND("BULK",BP39)))+256*(ISNUMBER(FIND("SIZE",BP39)))+512*(LEFT(BP39,3)="CAP")+1024*(ISNUMBER(FIND("ALLERG",BP39)))+2048*(OR(ISNUMBER(FIND("REMARK",BP39)),ISNUMBER(FIND("COMMENT",BP39))))+4096*(OR(ISNUMBER(FIND("QTY",BP39)),ISNUMBER(FIND("QUANTITY",BP39))))+8192*(AND(OR(ISNUMBER(FIND("COMPLETE",BP39)),ISNUMBER(FIND("PCT",BP39)),ISNUMBER(FIND("PERCENT",BP39))),NOT(ISNUMBER(FIND("ACTUAL",BP39))),LEN(BP39)&lt;=16))+32768*(OR(ISNUMBER(FIND("DESIC",BP39)),ISNUMBER(FIND("DESSIC",BP39)))))</f>
        <v/>
      </c>
      <c r="BQ174">
        <f>IF(BQ39="",0,2*(OR(ISNUMBER(FIND("WORKCENTER",BQ39)),AND(LEFT(BQ39,4)="LINE",NOT(ISNUMBER(FIND("STATUS",BQ39))))))+4*(OR(ISNUMBER(FIND("WORKORDER",BQ39)),AND(LEFT(BQ39,2)="WO",OR(ISNUMBER(FIND("NUM",BQ39)),RIGHT(BQ39,2)="NO"))))+8*(LEFT(BQ39,3)="SEQ")+16*(AND(LEFT(BQ39,4)="ITEM",NOT(ISNUMBER(FIND("DESC",BQ39)))))+32*(AND(ISNUMBER(FIND("DESC",BQ39)),NOT(ISNUMBER(FIND("CAP",BQ39)))))+64*(OR(RIGHT(BQ39,5)="COUNT",RIGHT(BQ39,2)="CT"))+128*(ISNUMBER(FIND("BULK",BQ39)))+256*(ISNUMBER(FIND("SIZE",BQ39)))+512*(LEFT(BQ39,3)="CAP")+1024*(ISNUMBER(FIND("ALLERG",BQ39)))+2048*(OR(ISNUMBER(FIND("REMARK",BQ39)),ISNUMBER(FIND("COMMENT",BQ39))))+4096*(OR(ISNUMBER(FIND("QTY",BQ39)),ISNUMBER(FIND("QUANTITY",BQ39))))+8192*(AND(OR(ISNUMBER(FIND("COMPLETE",BQ39)),ISNUMBER(FIND("PCT",BQ39)),ISNUMBER(FIND("PERCENT",BQ39))),NOT(ISNUMBER(FIND("ACTUAL",BQ39))),LEN(BQ39)&lt;=16))+32768*(OR(ISNUMBER(FIND("DESIC",BQ39)),ISNUMBER(FIND("DESSIC",BQ39)))))</f>
        <v/>
      </c>
      <c r="BR174">
        <f>IF(BR39="",0,2*(OR(ISNUMBER(FIND("WORKCENTER",BR39)),AND(LEFT(BR39,4)="LINE",NOT(ISNUMBER(FIND("STATUS",BR39))))))+4*(OR(ISNUMBER(FIND("WORKORDER",BR39)),AND(LEFT(BR39,2)="WO",OR(ISNUMBER(FIND("NUM",BR39)),RIGHT(BR39,2)="NO"))))+8*(LEFT(BR39,3)="SEQ")+16*(AND(LEFT(BR39,4)="ITEM",NOT(ISNUMBER(FIND("DESC",BR39)))))+32*(AND(ISNUMBER(FIND("DESC",BR39)),NOT(ISNUMBER(FIND("CAP",BR39)))))+64*(OR(RIGHT(BR39,5)="COUNT",RIGHT(BR39,2)="CT"))+128*(ISNUMBER(FIND("BULK",BR39)))+256*(ISNUMBER(FIND("SIZE",BR39)))+512*(LEFT(BR39,3)="CAP")+1024*(ISNUMBER(FIND("ALLERG",BR39)))+2048*(OR(ISNUMBER(FIND("REMARK",BR39)),ISNUMBER(FIND("COMMENT",BR39))))+4096*(OR(ISNUMBER(FIND("QTY",BR39)),ISNUMBER(FIND("QUANTITY",BR39))))+8192*(AND(OR(ISNUMBER(FIND("COMPLETE",BR39)),ISNUMBER(FIND("PCT",BR39)),ISNUMBER(FIND("PERCENT",BR39))),NOT(ISNUMBER(FIND("ACTUAL",BR39))),LEN(BR39)&lt;=16))+32768*(OR(ISNUMBER(FIND("DESIC",BR39)),ISNUMBER(FIND("DESSIC",BR39)))))</f>
        <v/>
      </c>
      <c r="BS174">
        <f>IF(BS39="",0,2*(OR(ISNUMBER(FIND("WORKCENTER",BS39)),AND(LEFT(BS39,4)="LINE",NOT(ISNUMBER(FIND("STATUS",BS39))))))+4*(OR(ISNUMBER(FIND("WORKORDER",BS39)),AND(LEFT(BS39,2)="WO",OR(ISNUMBER(FIND("NUM",BS39)),RIGHT(BS39,2)="NO"))))+8*(LEFT(BS39,3)="SEQ")+16*(AND(LEFT(BS39,4)="ITEM",NOT(ISNUMBER(FIND("DESC",BS39)))))+32*(AND(ISNUMBER(FIND("DESC",BS39)),NOT(ISNUMBER(FIND("CAP",BS39)))))+64*(OR(RIGHT(BS39,5)="COUNT",RIGHT(BS39,2)="CT"))+128*(ISNUMBER(FIND("BULK",BS39)))+256*(ISNUMBER(FIND("SIZE",BS39)))+512*(LEFT(BS39,3)="CAP")+1024*(ISNUMBER(FIND("ALLERG",BS39)))+2048*(OR(ISNUMBER(FIND("REMARK",BS39)),ISNUMBER(FIND("COMMENT",BS39))))+4096*(OR(ISNUMBER(FIND("QTY",BS39)),ISNUMBER(FIND("QUANTITY",BS39))))+8192*(AND(OR(ISNUMBER(FIND("COMPLETE",BS39)),ISNUMBER(FIND("PCT",BS39)),ISNUMBER(FIND("PERCENT",BS39))),NOT(ISNUMBER(FIND("ACTUAL",BS39))),LEN(BS39)&lt;=16))+32768*(OR(ISNUMBER(FIND("DESIC",BS39)),ISNUMBER(FIND("DESSIC",BS39)))))</f>
        <v/>
      </c>
      <c r="BT174">
        <f>IF(BT39="",0,2*(OR(ISNUMBER(FIND("WORKCENTER",BT39)),AND(LEFT(BT39,4)="LINE",NOT(ISNUMBER(FIND("STATUS",BT39))))))+4*(OR(ISNUMBER(FIND("WORKORDER",BT39)),AND(LEFT(BT39,2)="WO",OR(ISNUMBER(FIND("NUM",BT39)),RIGHT(BT39,2)="NO"))))+8*(LEFT(BT39,3)="SEQ")+16*(AND(LEFT(BT39,4)="ITEM",NOT(ISNUMBER(FIND("DESC",BT39)))))+32*(AND(ISNUMBER(FIND("DESC",BT39)),NOT(ISNUMBER(FIND("CAP",BT39)))))+64*(OR(RIGHT(BT39,5)="COUNT",RIGHT(BT39,2)="CT"))+128*(ISNUMBER(FIND("BULK",BT39)))+256*(ISNUMBER(FIND("SIZE",BT39)))+512*(LEFT(BT39,3)="CAP")+1024*(ISNUMBER(FIND("ALLERG",BT39)))+2048*(OR(ISNUMBER(FIND("REMARK",BT39)),ISNUMBER(FIND("COMMENT",BT39))))+4096*(OR(ISNUMBER(FIND("QTY",BT39)),ISNUMBER(FIND("QUANTITY",BT39))))+8192*(AND(OR(ISNUMBER(FIND("COMPLETE",BT39)),ISNUMBER(FIND("PCT",BT39)),ISNUMBER(FIND("PERCENT",BT39))),NOT(ISNUMBER(FIND("ACTUAL",BT39))),LEN(BT39)&lt;=16))+32768*(OR(ISNUMBER(FIND("DESIC",BT39)),ISNUMBER(FIND("DESSIC",BT39)))))</f>
        <v/>
      </c>
      <c r="BU174">
        <f>IF(BU39="",0,2*(OR(ISNUMBER(FIND("WORKCENTER",BU39)),AND(LEFT(BU39,4)="LINE",NOT(ISNUMBER(FIND("STATUS",BU39))))))+4*(OR(ISNUMBER(FIND("WORKORDER",BU39)),AND(LEFT(BU39,2)="WO",OR(ISNUMBER(FIND("NUM",BU39)),RIGHT(BU39,2)="NO"))))+8*(LEFT(BU39,3)="SEQ")+16*(AND(LEFT(BU39,4)="ITEM",NOT(ISNUMBER(FIND("DESC",BU39)))))+32*(AND(ISNUMBER(FIND("DESC",BU39)),NOT(ISNUMBER(FIND("CAP",BU39)))))+64*(OR(RIGHT(BU39,5)="COUNT",RIGHT(BU39,2)="CT"))+128*(ISNUMBER(FIND("BULK",BU39)))+256*(ISNUMBER(FIND("SIZE",BU39)))+512*(LEFT(BU39,3)="CAP")+1024*(ISNUMBER(FIND("ALLERG",BU39)))+2048*(OR(ISNUMBER(FIND("REMARK",BU39)),ISNUMBER(FIND("COMMENT",BU39))))+4096*(OR(ISNUMBER(FIND("QTY",BU39)),ISNUMBER(FIND("QUANTITY",BU39))))+8192*(AND(OR(ISNUMBER(FIND("COMPLETE",BU39)),ISNUMBER(FIND("PCT",BU39)),ISNUMBER(FIND("PERCENT",BU39))),NOT(ISNUMBER(FIND("ACTUAL",BU39))),LEN(BU39)&lt;=16))+32768*(OR(ISNUMBER(FIND("DESIC",BU39)),ISNUMBER(FIND("DESSIC",BU39)))))</f>
        <v/>
      </c>
      <c r="BV174">
        <f>IF(BV39="",0,2*(OR(ISNUMBER(FIND("WORKCENTER",BV39)),AND(LEFT(BV39,4)="LINE",NOT(ISNUMBER(FIND("STATUS",BV39))))))+4*(OR(ISNUMBER(FIND("WORKORDER",BV39)),AND(LEFT(BV39,2)="WO",OR(ISNUMBER(FIND("NUM",BV39)),RIGHT(BV39,2)="NO"))))+8*(LEFT(BV39,3)="SEQ")+16*(AND(LEFT(BV39,4)="ITEM",NOT(ISNUMBER(FIND("DESC",BV39)))))+32*(AND(ISNUMBER(FIND("DESC",BV39)),NOT(ISNUMBER(FIND("CAP",BV39)))))+64*(OR(RIGHT(BV39,5)="COUNT",RIGHT(BV39,2)="CT"))+128*(ISNUMBER(FIND("BULK",BV39)))+256*(ISNUMBER(FIND("SIZE",BV39)))+512*(LEFT(BV39,3)="CAP")+1024*(ISNUMBER(FIND("ALLERG",BV39)))+2048*(OR(ISNUMBER(FIND("REMARK",BV39)),ISNUMBER(FIND("COMMENT",BV39))))+4096*(OR(ISNUMBER(FIND("QTY",BV39)),ISNUMBER(FIND("QUANTITY",BV39))))+8192*(AND(OR(ISNUMBER(FIND("COMPLETE",BV39)),ISNUMBER(FIND("PCT",BV39)),ISNUMBER(FIND("PERCENT",BV39))),NOT(ISNUMBER(FIND("ACTUAL",BV39))),LEN(BV39)&lt;=16))+32768*(OR(ISNUMBER(FIND("DESIC",BV39)),ISNUMBER(FIND("DESSIC",BV39)))))</f>
        <v/>
      </c>
      <c r="BW174">
        <f>IF(BW39="",0,2*(OR(ISNUMBER(FIND("WORKCENTER",BW39)),AND(LEFT(BW39,4)="LINE",NOT(ISNUMBER(FIND("STATUS",BW39))))))+4*(OR(ISNUMBER(FIND("WORKORDER",BW39)),AND(LEFT(BW39,2)="WO",OR(ISNUMBER(FIND("NUM",BW39)),RIGHT(BW39,2)="NO"))))+8*(LEFT(BW39,3)="SEQ")+16*(AND(LEFT(BW39,4)="ITEM",NOT(ISNUMBER(FIND("DESC",BW39)))))+32*(AND(ISNUMBER(FIND("DESC",BW39)),NOT(ISNUMBER(FIND("CAP",BW39)))))+64*(OR(RIGHT(BW39,5)="COUNT",RIGHT(BW39,2)="CT"))+128*(ISNUMBER(FIND("BULK",BW39)))+256*(ISNUMBER(FIND("SIZE",BW39)))+512*(LEFT(BW39,3)="CAP")+1024*(ISNUMBER(FIND("ALLERG",BW39)))+2048*(OR(ISNUMBER(FIND("REMARK",BW39)),ISNUMBER(FIND("COMMENT",BW39))))+4096*(OR(ISNUMBER(FIND("QTY",BW39)),ISNUMBER(FIND("QUANTITY",BW39))))+8192*(AND(OR(ISNUMBER(FIND("COMPLETE",BW39)),ISNUMBER(FIND("PCT",BW39)),ISNUMBER(FIND("PERCENT",BW39))),NOT(ISNUMBER(FIND("ACTUAL",BW39))),LEN(BW39)&lt;=16))+32768*(OR(ISNUMBER(FIND("DESIC",BW39)),ISNUMBER(FIND("DESSIC",BW39)))))</f>
        <v/>
      </c>
      <c r="BX174">
        <f>IF(BX39="",0,2*(OR(ISNUMBER(FIND("WORKCENTER",BX39)),AND(LEFT(BX39,4)="LINE",NOT(ISNUMBER(FIND("STATUS",BX39))))))+4*(OR(ISNUMBER(FIND("WORKORDER",BX39)),AND(LEFT(BX39,2)="WO",OR(ISNUMBER(FIND("NUM",BX39)),RIGHT(BX39,2)="NO"))))+8*(LEFT(BX39,3)="SEQ")+16*(AND(LEFT(BX39,4)="ITEM",NOT(ISNUMBER(FIND("DESC",BX39)))))+32*(AND(ISNUMBER(FIND("DESC",BX39)),NOT(ISNUMBER(FIND("CAP",BX39)))))+64*(OR(RIGHT(BX39,5)="COUNT",RIGHT(BX39,2)="CT"))+128*(ISNUMBER(FIND("BULK",BX39)))+256*(ISNUMBER(FIND("SIZE",BX39)))+512*(LEFT(BX39,3)="CAP")+1024*(ISNUMBER(FIND("ALLERG",BX39)))+2048*(OR(ISNUMBER(FIND("REMARK",BX39)),ISNUMBER(FIND("COMMENT",BX39))))+4096*(OR(ISNUMBER(FIND("QTY",BX39)),ISNUMBER(FIND("QUANTITY",BX39))))+8192*(AND(OR(ISNUMBER(FIND("COMPLETE",BX39)),ISNUMBER(FIND("PCT",BX39)),ISNUMBER(FIND("PERCENT",BX39))),NOT(ISNUMBER(FIND("ACTUAL",BX39))),LEN(BX39)&lt;=16))+32768*(OR(ISNUMBER(FIND("DESIC",BX39)),ISNUMBER(FIND("DESSIC",BX39)))))</f>
        <v/>
      </c>
      <c r="BY174">
        <f>IF(BY39="",0,2*(OR(ISNUMBER(FIND("WORKCENTER",BY39)),AND(LEFT(BY39,4)="LINE",NOT(ISNUMBER(FIND("STATUS",BY39))))))+4*(OR(ISNUMBER(FIND("WORKORDER",BY39)),AND(LEFT(BY39,2)="WO",OR(ISNUMBER(FIND("NUM",BY39)),RIGHT(BY39,2)="NO"))))+8*(LEFT(BY39,3)="SEQ")+16*(AND(LEFT(BY39,4)="ITEM",NOT(ISNUMBER(FIND("DESC",BY39)))))+32*(AND(ISNUMBER(FIND("DESC",BY39)),NOT(ISNUMBER(FIND("CAP",BY39)))))+64*(OR(RIGHT(BY39,5)="COUNT",RIGHT(BY39,2)="CT"))+128*(ISNUMBER(FIND("BULK",BY39)))+256*(ISNUMBER(FIND("SIZE",BY39)))+512*(LEFT(BY39,3)="CAP")+1024*(ISNUMBER(FIND("ALLERG",BY39)))+2048*(OR(ISNUMBER(FIND("REMARK",BY39)),ISNUMBER(FIND("COMMENT",BY39))))+4096*(OR(ISNUMBER(FIND("QTY",BY39)),ISNUMBER(FIND("QUANTITY",BY39))))+8192*(AND(OR(ISNUMBER(FIND("COMPLETE",BY39)),ISNUMBER(FIND("PCT",BY39)),ISNUMBER(FIND("PERCENT",BY39))),NOT(ISNUMBER(FIND("ACTUAL",BY39))),LEN(BY39)&lt;=16))+32768*(OR(ISNUMBER(FIND("DESIC",BY39)),ISNUMBER(FIND("DESSIC",BY39)))))</f>
        <v/>
      </c>
      <c r="BZ174">
        <f>IF(BZ39="",0,2*(OR(ISNUMBER(FIND("WORKCENTER",BZ39)),AND(LEFT(BZ39,4)="LINE",NOT(ISNUMBER(FIND("STATUS",BZ39))))))+4*(OR(ISNUMBER(FIND("WORKORDER",BZ39)),AND(LEFT(BZ39,2)="WO",OR(ISNUMBER(FIND("NUM",BZ39)),RIGHT(BZ39,2)="NO"))))+8*(LEFT(BZ39,3)="SEQ")+16*(AND(LEFT(BZ39,4)="ITEM",NOT(ISNUMBER(FIND("DESC",BZ39)))))+32*(AND(ISNUMBER(FIND("DESC",BZ39)),NOT(ISNUMBER(FIND("CAP",BZ39)))))+64*(OR(RIGHT(BZ39,5)="COUNT",RIGHT(BZ39,2)="CT"))+128*(ISNUMBER(FIND("BULK",BZ39)))+256*(ISNUMBER(FIND("SIZE",BZ39)))+512*(LEFT(BZ39,3)="CAP")+1024*(ISNUMBER(FIND("ALLERG",BZ39)))+2048*(OR(ISNUMBER(FIND("REMARK",BZ39)),ISNUMBER(FIND("COMMENT",BZ39))))+4096*(OR(ISNUMBER(FIND("QTY",BZ39)),ISNUMBER(FIND("QUANTITY",BZ39))))+8192*(AND(OR(ISNUMBER(FIND("COMPLETE",BZ39)),ISNUMBER(FIND("PCT",BZ39)),ISNUMBER(FIND("PERCENT",BZ39))),NOT(ISNUMBER(FIND("ACTUAL",BZ39))),LEN(BZ39)&lt;=16))+32768*(OR(ISNUMBER(FIND("DESIC",BZ39)),ISNUMBER(FIND("DESSIC",BZ39)))))</f>
        <v/>
      </c>
      <c r="CA174">
        <f>IF(CA39="",0,2*(OR(ISNUMBER(FIND("WORKCENTER",CA39)),AND(LEFT(CA39,4)="LINE",NOT(ISNUMBER(FIND("STATUS",CA39))))))+4*(OR(ISNUMBER(FIND("WORKORDER",CA39)),AND(LEFT(CA39,2)="WO",OR(ISNUMBER(FIND("NUM",CA39)),RIGHT(CA39,2)="NO"))))+8*(LEFT(CA39,3)="SEQ")+16*(AND(LEFT(CA39,4)="ITEM",NOT(ISNUMBER(FIND("DESC",CA39)))))+32*(AND(ISNUMBER(FIND("DESC",CA39)),NOT(ISNUMBER(FIND("CAP",CA39)))))+64*(OR(RIGHT(CA39,5)="COUNT",RIGHT(CA39,2)="CT"))+128*(ISNUMBER(FIND("BULK",CA39)))+256*(ISNUMBER(FIND("SIZE",CA39)))+512*(LEFT(CA39,3)="CAP")+1024*(ISNUMBER(FIND("ALLERG",CA39)))+2048*(OR(ISNUMBER(FIND("REMARK",CA39)),ISNUMBER(FIND("COMMENT",CA39))))+4096*(OR(ISNUMBER(FIND("QTY",CA39)),ISNUMBER(FIND("QUANTITY",CA39))))+8192*(AND(OR(ISNUMBER(FIND("COMPLETE",CA39)),ISNUMBER(FIND("PCT",CA39)),ISNUMBER(FIND("PERCENT",CA39))),NOT(ISNUMBER(FIND("ACTUAL",CA39))),LEN(CA39)&lt;=16))+32768*(OR(ISNUMBER(FIND("DESIC",CA39)),ISNUMBER(FIND("DESSIC",CA39)))))</f>
        <v/>
      </c>
      <c r="CB174">
        <f>IF(CB39="",0,2*(OR(ISNUMBER(FIND("WORKCENTER",CB39)),AND(LEFT(CB39,4)="LINE",NOT(ISNUMBER(FIND("STATUS",CB39))))))+4*(OR(ISNUMBER(FIND("WORKORDER",CB39)),AND(LEFT(CB39,2)="WO",OR(ISNUMBER(FIND("NUM",CB39)),RIGHT(CB39,2)="NO"))))+8*(LEFT(CB39,3)="SEQ")+16*(AND(LEFT(CB39,4)="ITEM",NOT(ISNUMBER(FIND("DESC",CB39)))))+32*(AND(ISNUMBER(FIND("DESC",CB39)),NOT(ISNUMBER(FIND("CAP",CB39)))))+64*(OR(RIGHT(CB39,5)="COUNT",RIGHT(CB39,2)="CT"))+128*(ISNUMBER(FIND("BULK",CB39)))+256*(ISNUMBER(FIND("SIZE",CB39)))+512*(LEFT(CB39,3)="CAP")+1024*(ISNUMBER(FIND("ALLERG",CB39)))+2048*(OR(ISNUMBER(FIND("REMARK",CB39)),ISNUMBER(FIND("COMMENT",CB39))))+4096*(OR(ISNUMBER(FIND("QTY",CB39)),ISNUMBER(FIND("QUANTITY",CB39))))+8192*(AND(OR(ISNUMBER(FIND("COMPLETE",CB39)),ISNUMBER(FIND("PCT",CB39)),ISNUMBER(FIND("PERCENT",CB39))),NOT(ISNUMBER(FIND("ACTUAL",CB39))),LEN(CB39)&lt;=16))+32768*(OR(ISNUMBER(FIND("DESIC",CB39)),ISNUMBER(FIND("DESSIC",CB39)))))</f>
        <v/>
      </c>
      <c r="CC174">
        <f>IF(CC39="",0,2*(OR(ISNUMBER(FIND("WORKCENTER",CC39)),AND(LEFT(CC39,4)="LINE",NOT(ISNUMBER(FIND("STATUS",CC39))))))+4*(OR(ISNUMBER(FIND("WORKORDER",CC39)),AND(LEFT(CC39,2)="WO",OR(ISNUMBER(FIND("NUM",CC39)),RIGHT(CC39,2)="NO"))))+8*(LEFT(CC39,3)="SEQ")+16*(AND(LEFT(CC39,4)="ITEM",NOT(ISNUMBER(FIND("DESC",CC39)))))+32*(AND(ISNUMBER(FIND("DESC",CC39)),NOT(ISNUMBER(FIND("CAP",CC39)))))+64*(OR(RIGHT(CC39,5)="COUNT",RIGHT(CC39,2)="CT"))+128*(ISNUMBER(FIND("BULK",CC39)))+256*(ISNUMBER(FIND("SIZE",CC39)))+512*(LEFT(CC39,3)="CAP")+1024*(ISNUMBER(FIND("ALLERG",CC39)))+2048*(OR(ISNUMBER(FIND("REMARK",CC39)),ISNUMBER(FIND("COMMENT",CC39))))+4096*(OR(ISNUMBER(FIND("QTY",CC39)),ISNUMBER(FIND("QUANTITY",CC39))))+8192*(AND(OR(ISNUMBER(FIND("COMPLETE",CC39)),ISNUMBER(FIND("PCT",CC39)),ISNUMBER(FIND("PERCENT",CC39))),NOT(ISNUMBER(FIND("ACTUAL",CC39))),LEN(CC39)&lt;=16))+32768*(OR(ISNUMBER(FIND("DESIC",CC39)),ISNUMBER(FIND("DESSIC",CC39)))))</f>
        <v/>
      </c>
      <c r="CD174">
        <f>IF(CD39="",0,2*(OR(ISNUMBER(FIND("WORKCENTER",CD39)),AND(LEFT(CD39,4)="LINE",NOT(ISNUMBER(FIND("STATUS",CD39))))))+4*(OR(ISNUMBER(FIND("WORKORDER",CD39)),AND(LEFT(CD39,2)="WO",OR(ISNUMBER(FIND("NUM",CD39)),RIGHT(CD39,2)="NO"))))+8*(LEFT(CD39,3)="SEQ")+16*(AND(LEFT(CD39,4)="ITEM",NOT(ISNUMBER(FIND("DESC",CD39)))))+32*(AND(ISNUMBER(FIND("DESC",CD39)),NOT(ISNUMBER(FIND("CAP",CD39)))))+64*(OR(RIGHT(CD39,5)="COUNT",RIGHT(CD39,2)="CT"))+128*(ISNUMBER(FIND("BULK",CD39)))+256*(ISNUMBER(FIND("SIZE",CD39)))+512*(LEFT(CD39,3)="CAP")+1024*(ISNUMBER(FIND("ALLERG",CD39)))+2048*(OR(ISNUMBER(FIND("REMARK",CD39)),ISNUMBER(FIND("COMMENT",CD39))))+4096*(OR(ISNUMBER(FIND("QTY",CD39)),ISNUMBER(FIND("QUANTITY",CD39))))+8192*(AND(OR(ISNUMBER(FIND("COMPLETE",CD39)),ISNUMBER(FIND("PCT",CD39)),ISNUMBER(FIND("PERCENT",CD39))),NOT(ISNUMBER(FIND("ACTUAL",CD39))),LEN(CD39)&lt;=16))+32768*(OR(ISNUMBER(FIND("DESIC",CD39)),ISNUMBER(FIND("DESSIC",CD39)))))</f>
        <v/>
      </c>
      <c r="CE174">
        <f>IF(CE39="",0,2*(OR(ISNUMBER(FIND("WORKCENTER",CE39)),AND(LEFT(CE39,4)="LINE",NOT(ISNUMBER(FIND("STATUS",CE39))))))+4*(OR(ISNUMBER(FIND("WORKORDER",CE39)),AND(LEFT(CE39,2)="WO",OR(ISNUMBER(FIND("NUM",CE39)),RIGHT(CE39,2)="NO"))))+8*(LEFT(CE39,3)="SEQ")+16*(AND(LEFT(CE39,4)="ITEM",NOT(ISNUMBER(FIND("DESC",CE39)))))+32*(AND(ISNUMBER(FIND("DESC",CE39)),NOT(ISNUMBER(FIND("CAP",CE39)))))+64*(OR(RIGHT(CE39,5)="COUNT",RIGHT(CE39,2)="CT"))+128*(ISNUMBER(FIND("BULK",CE39)))+256*(ISNUMBER(FIND("SIZE",CE39)))+512*(LEFT(CE39,3)="CAP")+1024*(ISNUMBER(FIND("ALLERG",CE39)))+2048*(OR(ISNUMBER(FIND("REMARK",CE39)),ISNUMBER(FIND("COMMENT",CE39))))+4096*(OR(ISNUMBER(FIND("QTY",CE39)),ISNUMBER(FIND("QUANTITY",CE39))))+8192*(AND(OR(ISNUMBER(FIND("COMPLETE",CE39)),ISNUMBER(FIND("PCT",CE39)),ISNUMBER(FIND("PERCENT",CE39))),NOT(ISNUMBER(FIND("ACTUAL",CE39))),LEN(CE39)&lt;=16))+32768*(OR(ISNUMBER(FIND("DESIC",CE39)),ISNUMBER(FIND("DESSIC",CE39)))))</f>
        <v/>
      </c>
      <c r="CF174">
        <f>IF(CF39="",0,2*(OR(ISNUMBER(FIND("WORKCENTER",CF39)),AND(LEFT(CF39,4)="LINE",NOT(ISNUMBER(FIND("STATUS",CF39))))))+4*(OR(ISNUMBER(FIND("WORKORDER",CF39)),AND(LEFT(CF39,2)="WO",OR(ISNUMBER(FIND("NUM",CF39)),RIGHT(CF39,2)="NO"))))+8*(LEFT(CF39,3)="SEQ")+16*(AND(LEFT(CF39,4)="ITEM",NOT(ISNUMBER(FIND("DESC",CF39)))))+32*(AND(ISNUMBER(FIND("DESC",CF39)),NOT(ISNUMBER(FIND("CAP",CF39)))))+64*(OR(RIGHT(CF39,5)="COUNT",RIGHT(CF39,2)="CT"))+128*(ISNUMBER(FIND("BULK",CF39)))+256*(ISNUMBER(FIND("SIZE",CF39)))+512*(LEFT(CF39,3)="CAP")+1024*(ISNUMBER(FIND("ALLERG",CF39)))+2048*(OR(ISNUMBER(FIND("REMARK",CF39)),ISNUMBER(FIND("COMMENT",CF39))))+4096*(OR(ISNUMBER(FIND("QTY",CF39)),ISNUMBER(FIND("QUANTITY",CF39))))+8192*(AND(OR(ISNUMBER(FIND("COMPLETE",CF39)),ISNUMBER(FIND("PCT",CF39)),ISNUMBER(FIND("PERCENT",CF39))),NOT(ISNUMBER(FIND("ACTUAL",CF39))),LEN(CF39)&lt;=16))+32768*(OR(ISNUMBER(FIND("DESIC",CF39)),ISNUMBER(FIND("DESSIC",CF39)))))</f>
        <v/>
      </c>
      <c r="DA174" t="n">
        <v>170</v>
      </c>
      <c r="DB174">
        <f>IF($B$37=0,"",IFERROR(TRIM(SUBSTITUTE(SUBSTITUTE(SUBSTITUTE(SUBSTITUTE(INDEX(PASTE_ALL,170,$B$37)," "," "),CHAR(9)," "),CHAR(10)," "),CHAR(13)," ")),""))</f>
        <v/>
      </c>
      <c r="DC174">
        <f>IF(AND(170&gt;HEADER_ROW,UPPER(DB174)="LEGEND"),1,0)</f>
        <v/>
      </c>
      <c r="DE174" t="n">
        <v>170</v>
      </c>
      <c r="DF174">
        <f>HEADER_ROW+$DE174</f>
        <v/>
      </c>
      <c r="DG174">
        <f>IF(AND($DF174&lt;=1000,$DF174&lt;$B$8),1,0)</f>
        <v/>
      </c>
      <c r="DH174">
        <f>IF($DG174=1,IFERROR(INDEX($DB$5:$DB$1004,$DF174),""),"")</f>
        <v/>
      </c>
      <c r="DI174">
        <f>IF(AND($DG174=1,$DH174&lt;&gt;""),IFERROR(SUBSTITUTE(SUBSTITUTE(TRIM(SUBSTITUTE(SUBSTITUTE(SUBSTITUTE(SUBSTITUTE(IFERROR(INDEX(PASTE_ALL,$DF174,1)&amp;"","")&amp;"␟"&amp;IFERROR(INDEX(PASTE_ALL,$DF174,2)&amp;"","")&amp;"␟"&amp;IFERROR(INDEX(PASTE_ALL,$DF174,3)&amp;"","")&amp;"␟"&amp;IFERROR(INDEX(PASTE_ALL,$DF174,4)&amp;"","")&amp;"␟"&amp;IFERROR(INDEX(PASTE_ALL,$DF174,5)&amp;"","")&amp;"␟"&amp;IFERROR(INDEX(PASTE_ALL,$DF174,6)&amp;"","")&amp;"␟"&amp;IFERROR(INDEX(PASTE_ALL,$DF174,7)&amp;"","")&amp;"␟"&amp;IFERROR(INDEX(PASTE_ALL,$DF174,8)&amp;"","")&amp;"␟"&amp;IFERROR(INDEX(PASTE_ALL,$DF174,9)&amp;"","")&amp;"␟"&amp;IFERROR(INDEX(PASTE_ALL,$DF174,10)&amp;"","")&amp;"␟"&amp;IFERROR(INDEX(PASTE_ALL,$DF174,11)&amp;"","")&amp;"␟"&amp;IFERROR(INDEX(PASTE_ALL,$DF174,12)&amp;"","")&amp;"␟"&amp;IFERROR(INDEX(PASTE_ALL,$DF174,13)&amp;"","")&amp;"␟"&amp;IFERROR(INDEX(PASTE_ALL,$DF174,14)&amp;"","")&amp;"␟"&amp;IFERROR(INDEX(PASTE_ALL,$DF174,15)&amp;"","")&amp;"␟"&amp;IFERROR(INDEX(PASTE_ALL,$DF174,16)&amp;"","")&amp;"␟"&amp;IFERROR(INDEX(PASTE_ALL,$DF174,17)&amp;"","")&amp;"␟"&amp;IFERROR(INDEX(PASTE_ALL,$DF174,18)&amp;"","")&amp;"␟"&amp;IFERROR(INDEX(PASTE_ALL,$DF174,19)&amp;"","")&amp;"␟"&amp;IFERROR(INDEX(PASTE_ALL,$DF174,20)&amp;"","")&amp;"␟"&amp;IFERROR(INDEX(PASTE_ALL,$DF174,21)&amp;"","")&amp;"␟"&amp;IFERROR(INDEX(PASTE_ALL,$DF174,22)&amp;"","")&amp;"␟"&amp;IFERROR(INDEX(PASTE_ALL,$DF174,23)&amp;"","")&amp;"␟"&amp;IFERROR(INDEX(PASTE_ALL,$DF174,24)&amp;"","")&amp;"␟"&amp;IFERROR(INDEX(PASTE_ALL,$DF174,25)&amp;"","")&amp;"␟"&amp;IFERROR(INDEX(PASTE_ALL,$DF174,26)&amp;"","")&amp;"␟"&amp;IFERROR(INDEX(PASTE_ALL,$DF174,27)&amp;"","")&amp;"␟"&amp;IFERROR(INDEX(PASTE_ALL,$DF174,28)&amp;"","")&amp;"␟"&amp;IFERROR(INDEX(PASTE_ALL,$DF174,29)&amp;"","")&amp;"␟"&amp;IFERROR(INDEX(PASTE_ALL,$DF174,30)&amp;"","")&amp;"␟"&amp;IFERROR(INDEX(PASTE_ALL,$DF174,31)&amp;"","")&amp;"␟"&amp;IFERROR(INDEX(PASTE_ALL,$DF174,32)&amp;"","")&amp;"␟"&amp;IFERROR(INDEX(PASTE_ALL,$DF174,33)&amp;"","")&amp;"␟"&amp;IFERROR(INDEX(PASTE_ALL,$DF174,34)&amp;"","")&amp;"␟"&amp;IFERROR(INDEX(PASTE_ALL,$DF174,35)&amp;"","")&amp;"␟"&amp;IFERROR(INDEX(PASTE_ALL,$DF174,36)&amp;"","")&amp;"␟"&amp;IFERROR(INDEX(PASTE_ALL,$DF174,37)&amp;"","")&amp;"␟"&amp;IFERROR(INDEX(PASTE_ALL,$DF174,38)&amp;"","")&amp;"␟"&amp;IFERROR(INDEX(PASTE_ALL,$DF174,39)&amp;"","")&amp;"␟"&amp;IFERROR(INDEX(PASTE_ALL,$DF174,40)&amp;"","")&amp;"␟"&amp;IFERROR(INDEX(PASTE_ALL,$DF174,41)&amp;"","")&amp;"␟"&amp;IFERROR(INDEX(PASTE_ALL,$DF174,42)&amp;"","")&amp;"␟"&amp;IFERROR(INDEX(PASTE_ALL,$DF174,43)&amp;"","")&amp;"␟"&amp;IFERROR(INDEX(PASTE_ALL,$DF174,44)&amp;"","")&amp;"␟"&amp;IFERROR(INDEX(PASTE_ALL,$DF174,45)&amp;"","")&amp;"␟"&amp;IFERROR(INDEX(PASTE_ALL,$DF174,46)&amp;"","")&amp;"␟"&amp;IFERROR(INDEX(PASTE_ALL,$DF174,47)&amp;"","")&amp;"␟"&amp;IFERROR(INDEX(PASTE_ALL,$DF174,48)&amp;"","")&amp;"␟"&amp;IFERROR(INDEX(PASTE_ALL,$DF174,49)&amp;"","")&amp;"␟"&amp;IFERROR(INDEX(PASTE_ALL,$DF174,50)&amp;"","")&amp;"␟"&amp;IFERROR(INDEX(PASTE_ALL,$DF174,51)&amp;"","")&amp;"␟"&amp;IFERROR(INDEX(PASTE_ALL,$DF174,52)&amp;"","")&amp;"␟"&amp;IFERROR(INDEX(PASTE_ALL,$DF174,53)&amp;"","")&amp;"␟"&amp;IFERROR(INDEX(PASTE_ALL,$DF174,54)&amp;"","")&amp;"␟"&amp;IFERROR(INDEX(PASTE_ALL,$DF174,55)&amp;"","")&amp;"␟"&amp;IFERROR(INDEX(PASTE_ALL,$DF174,56)&amp;"","")&amp;"␟"&amp;IFERROR(INDEX(PASTE_ALL,$DF174,57)&amp;"","")&amp;"␟"&amp;IFERROR(INDEX(PASTE_ALL,$DF174,58)&amp;"","")&amp;"␟"&amp;IFERROR(INDEX(PASTE_ALL,$DF174,59)&amp;"","")&amp;"␟"&amp;IFERROR(INDEX(PASTE_ALL,$DF174,60)&amp;"","")," "," "),CHAR(9)," "),CHAR(10)," "),CHAR(13)," "))," ␟","␟"),"␟ ","␟"),"#"&amp;$DE174),"")</f>
        <v/>
      </c>
      <c r="DJ174">
        <f>IF($DI174="",0,IF(SUMPRODUCT(--EXACT($DI$4:DI173,$DI174))&gt;0,1,0))</f>
        <v/>
      </c>
      <c r="DK174">
        <f>IF(AND($DI174&lt;&gt;"",$DJ174=0),1,0)</f>
        <v/>
      </c>
      <c r="DL174">
        <f>DL173+$DK174</f>
        <v/>
      </c>
      <c r="DM174">
        <f>IF(AND($DK174=1,$DL174&lt;=600),1,0)</f>
        <v/>
      </c>
      <c r="DN174">
        <f>IF($DM174=0,"",IF($L$6=0,"",IFERROR(IF(ISNUMBER(INDEX(PASTE_ALL,$DF174,$L$6)),INDEX(PASTE_ALL,$DF174,$L$6),TRIM(SUBSTITUTE(SUBSTITUTE(SUBSTITUTE(SUBSTITUTE(INDEX(PASTE_ALL,$DF174,$L$6)," "," "),CHAR(9)," "),CHAR(10)," "),CHAR(13)," "))),"")))</f>
        <v/>
      </c>
      <c r="DO174">
        <f>IF($DM174=0,"",IF($L$7=0,"",IFERROR(IF(ISNUMBER(INDEX(PASTE_ALL,$DF174,$L$7)),INDEX(PASTE_ALL,$DF174,$L$7),TRIM(SUBSTITUTE(SUBSTITUTE(SUBSTITUTE(SUBSTITUTE(INDEX(PASTE_ALL,$DF174,$L$7)," "," "),CHAR(9)," "),CHAR(10)," "),CHAR(13)," "))),"")))</f>
        <v/>
      </c>
      <c r="DP174">
        <f>IF($DM174=0,"",IF($L$8=0,"",IFERROR(IF(ISNUMBER(INDEX(PASTE_ALL,$DF174,$L$8)),INDEX(PASTE_ALL,$DF174,$L$8),TRIM(SUBSTITUTE(SUBSTITUTE(SUBSTITUTE(SUBSTITUTE(INDEX(PASTE_ALL,$DF174,$L$8)," "," "),CHAR(9)," "),CHAR(10)," "),CHAR(13)," "))),"")))</f>
        <v/>
      </c>
      <c r="DQ174">
        <f>IF($DM174=0,"",IF($L$9=0,"",IFERROR(IF(ISNUMBER(INDEX(PASTE_ALL,$DF174,$L$9)),INDEX(PASTE_ALL,$DF174,$L$9),TRIM(SUBSTITUTE(SUBSTITUTE(SUBSTITUTE(SUBSTITUTE(INDEX(PASTE_ALL,$DF174,$L$9)," "," "),CHAR(9)," "),CHAR(10)," "),CHAR(13)," "))),"")))</f>
        <v/>
      </c>
      <c r="DR174">
        <f>IF($DM174=0,"",IF($L$10=0,"",IFERROR(IF(ISNUMBER(INDEX(PASTE_ALL,$DF174,$L$10)),INDEX(PASTE_ALL,$DF174,$L$10),TRIM(SUBSTITUTE(SUBSTITUTE(SUBSTITUTE(SUBSTITUTE(INDEX(PASTE_ALL,$DF174,$L$10)," "," "),CHAR(9)," "),CHAR(10)," "),CHAR(13)," "))),"")))</f>
        <v/>
      </c>
      <c r="DS174">
        <f>IF($DM174=0,"",IF($L$11=0,"",IFERROR(IF(ISNUMBER(INDEX(PASTE_ALL,$DF174,$L$11)),INDEX(PASTE_ALL,$DF174,$L$11),TRIM(SUBSTITUTE(SUBSTITUTE(SUBSTITUTE(SUBSTITUTE(INDEX(PASTE_ALL,$DF174,$L$11)," "," "),CHAR(9)," "),CHAR(10)," "),CHAR(13)," "))),"")))</f>
        <v/>
      </c>
      <c r="DT174">
        <f>IF($DM174=0,"",IF($L$12=0,"",IFERROR(IF(ISNUMBER(INDEX(PASTE_ALL,$DF174,$L$12)),INDEX(PASTE_ALL,$DF174,$L$12),TRIM(SUBSTITUTE(SUBSTITUTE(SUBSTITUTE(SUBSTITUTE(INDEX(PASTE_ALL,$DF174,$L$12)," "," "),CHAR(9)," "),CHAR(10)," "),CHAR(13)," "))),"")))</f>
        <v/>
      </c>
      <c r="DU174">
        <f>IF($DM174=0,"",IF($L$13=0,"",IFERROR(IF(ISNUMBER(INDEX(PASTE_ALL,$DF174,$L$13)),INDEX(PASTE_ALL,$DF174,$L$13),TRIM(SUBSTITUTE(SUBSTITUTE(SUBSTITUTE(SUBSTITUTE(INDEX(PASTE_ALL,$DF174,$L$13)," "," "),CHAR(9)," "),CHAR(10)," "),CHAR(13)," "))),"")))</f>
        <v/>
      </c>
      <c r="DV174">
        <f>IF($DM174=0,"",IF($L$14=0,"",IFERROR(IF(ISNUMBER(INDEX(PASTE_ALL,$DF174,$L$14)),INDEX(PASTE_ALL,$DF174,$L$14),TRIM(SUBSTITUTE(SUBSTITUTE(SUBSTITUTE(SUBSTITUTE(INDEX(PASTE_ALL,$DF174,$L$14)," "," "),CHAR(9)," "),CHAR(10)," "),CHAR(13)," "))),"")))</f>
        <v/>
      </c>
      <c r="DW174">
        <f>IF($DM174=0,"",IF($L$15=0,"",IFERROR(IF(ISNUMBER(INDEX(PASTE_ALL,$DF174,$L$15)),INDEX(PASTE_ALL,$DF174,$L$15),IF(SUMPRODUCT(--ISNUMBER(FIND({"A","B","C","D","E","F","G","H","I","J","K","L","M","N","O","P","Q","R","S","T","U","V","W","X","Y","Z","0","1","2","3","4","5","6","7","8","9"},UPPER(TRIM(SUBSTITUTE(SUBSTITUTE(SUBSTITUTE(SUBSTITUTE(INDEX(PASTE_ALL,$DF174,$L$15)," "," "),CHAR(9)," "),CHAR(10)," "),CHAR(13)," "))))))&gt;0,TRIM(SUBSTITUTE(SUBSTITUTE(SUBSTITUTE(SUBSTITUTE(INDEX(PASTE_ALL,$DF174,$L$15)," "," "),CHAR(9)," "),CHAR(10)," "),CHAR(13)," ")),"")),"")))</f>
        <v/>
      </c>
      <c r="DX174">
        <f>IF($DM174=0,"",IF($L$16=0,"",IFERROR(IF(ISNUMBER(INDEX(PASTE_ALL,$DF174,$L$16)),INDEX(PASTE_ALL,$DF174,$L$16),SUBSTITUTE(SUBSTITUTE(TRIM(SUBSTITUTE(SUBSTITUTE(SUBSTITUTE(SUBSTITUTE(INDEX(PASTE_ALL,$DF174,$L$16)," "," "),CHAR(9)," "),CHAR(10)," "),CHAR(13)," ")),",",""),"%","")),"")))</f>
        <v/>
      </c>
      <c r="DY174">
        <f>IF($DM174=0,"",IFERROR(IF(ISNUMBER($DX174),$DX174,IF($DX174="","",IF(TRIM($DX174)="",0,IF(AND(AND(SUBSTITUTE(SUBSTITUTE(SUBSTITUTE(SUBSTITUTE(SUBSTITUTE(SUBSTITUTE(SUBSTITUTE(SUBSTITUTE(SUBSTITUTE(SUBSTITUTE(SUBSTITUTE(SUBSTITUTE(SUBSTITUTE(SUBSTITUTE(UPPER(TRIM($DX174)),"0",""),"1",""),"2",""),"3",""),"4",""),"5",""),"6",""),"7",""),"8",""),"9",""),".",""),"+",""),"-",""),"E","")="",LEN(SUBSTITUTE(SUBSTITUTE(MID(UPPER(TRIM($DX174)),1+OR(LEFT(UPPER(TRIM($DX174)),1)="+",LEFT(UPPER(TRIM($DX174)),1)="-"),999),"E+","E"),"E-","E"))=LEN(SUBSTITUTE(SUBSTITUTE(SUBSTITUTE(SUBSTITUTE(MID(UPPER(TRIM($DX174)),1+OR(LEFT(UPPER(TRIM($DX174)),1)="+",LEFT(UPPER(TRIM($DX174)),1)="-"),999),"E+","E"),"E-","E"),"+",""),"-","")),LEN(UPPER(TRIM($DX174)))-LEN(SUBSTITUTE(UPPER(TRIM($DX174)),"E",""))&lt;2,LEN(UPPER(TRIM($DX174)))-LEN(SUBSTITUTE(UPPER(TRIM($DX174)),".",""))&lt;2,IFERROR(FIND(".",UPPER(TRIM($DX174))),0)&lt;IFERROR(FIND("E",UPPER(TRIM($DX174))),999)),ISNUMBER(VALUE(TRIM($DX174)))),VALUE(TRIM($DX174)),"")))),""))</f>
        <v/>
      </c>
      <c r="DZ174">
        <f>IF($DM174=0,"",IF($L$17=0,"",IFERROR(IF(ISNUMBER(INDEX(PASTE_ALL,$DF174,$L$17)),INDEX(PASTE_ALL,$DF174,$L$17),SUBSTITUTE(SUBSTITUTE(TRIM(SUBSTITUTE(SUBSTITUTE(SUBSTITUTE(SUBSTITUTE(INDEX(PASTE_ALL,$DF174,$L$17)," "," "),CHAR(9)," "),CHAR(10)," "),CHAR(13)," ")),",",""),"%","")),"")))</f>
        <v/>
      </c>
      <c r="EA174">
        <f>IF($DM174=0,"",IFERROR(IF(ISNUMBER($DZ174),$DZ174,IF($DZ174="","",IF(TRIM($DZ174)="",0,IF(AND(AND(SUBSTITUTE(SUBSTITUTE(SUBSTITUTE(SUBSTITUTE(SUBSTITUTE(SUBSTITUTE(SUBSTITUTE(SUBSTITUTE(SUBSTITUTE(SUBSTITUTE(SUBSTITUTE(SUBSTITUTE(SUBSTITUTE(SUBSTITUTE(UPPER(TRIM($DZ174)),"0",""),"1",""),"2",""),"3",""),"4",""),"5",""),"6",""),"7",""),"8",""),"9",""),".",""),"+",""),"-",""),"E","")="",LEN(SUBSTITUTE(SUBSTITUTE(MID(UPPER(TRIM($DZ174)),1+OR(LEFT(UPPER(TRIM($DZ174)),1)="+",LEFT(UPPER(TRIM($DZ174)),1)="-"),999),"E+","E"),"E-","E"))=LEN(SUBSTITUTE(SUBSTITUTE(SUBSTITUTE(SUBSTITUTE(MID(UPPER(TRIM($DZ174)),1+OR(LEFT(UPPER(TRIM($DZ174)),1)="+",LEFT(UPPER(TRIM($DZ174)),1)="-"),999),"E+","E"),"E-","E"),"+",""),"-","")),LEN(UPPER(TRIM($DZ174)))-LEN(SUBSTITUTE(UPPER(TRIM($DZ174)),"E",""))&lt;2,LEN(UPPER(TRIM($DZ174)))-LEN(SUBSTITUTE(UPPER(TRIM($DZ174)),".",""))&lt;2,IFERROR(FIND(".",UPPER(TRIM($DZ174))),0)&lt;IFERROR(FIND("E",UPPER(TRIM($DZ174))),999)),ISNUMBER(VALUE(TRIM($DZ174)))),VALUE(TRIM($DZ174)),"")))),""))</f>
        <v/>
      </c>
      <c r="EB174">
        <f>IF($DM174=0,"",IF($L$18=0,"",IFERROR(IF(UPPER(TRIM(SUBSTITUTE(SUBSTITUTE(SUBSTITUTE(SUBSTITUTE(INDEX(PASTE_ALL,$DF174,$L$18)," "," "),CHAR(9)," "),CHAR(10)," "),CHAR(13)," ")))="READY","Ready",IF(UPPER(TRIM(SUBSTITUTE(SUBSTITUTE(SUBSTITUTE(SUBSTITUTE(INDEX(PASTE_ALL,$DF174,$L$18)," "," "),CHAR(9)," "),CHAR(10)," "),CHAR(13)," ")))="PM","PM",IF(OR(UPPER(TRIM(SUBSTITUTE(SUBSTITUTE(SUBSTITUTE(SUBSTITUTE(INDEX(PASTE_ALL,$DF174,$L$18)," "," "),CHAR(9)," "),CHAR(10)," "),CHAR(13)," ")))="OT",UPPER(TRIM(SUBSTITUTE(SUBSTITUTE(SUBSTITUTE(SUBSTITUTE(INDEX(PASTE_ALL,$DF174,$L$18)," "," "),CHAR(9)," "),CHAR(10)," "),CHAR(13)," ")))="OVERTIME",UPPER(TRIM(SUBSTITUTE(SUBSTITUTE(SUBSTITUTE(SUBSTITUTE(INDEX(PASTE_ALL,$DF174,$L$18)," "," "),CHAR(9)," "),CHAR(10)," "),CHAR(13)," ")))="TRIAL"),"OT",TRIM(SUBSTITUTE(SUBSTITUTE(SUBSTITUTE(SUBSTITUTE(INDEX(PASTE_ALL,$DF174,$L$18)," "," "),CHAR(9)," "),CHAR(10)," "),CHAR(13)," "))))),"")))</f>
        <v/>
      </c>
      <c r="EC174">
        <f>IF($DM174=0,"",IF($L$19=0,"",IFERROR(IF(ISNUMBER(INDEX(PASTE_ALL,$DF174,$L$19)),INDEX(PASTE_ALL,$DF174,$L$19),TRIM(SUBSTITUTE(SUBSTITUTE(SUBSTITUTE(SUBSTITUTE(INDEX(PASTE_ALL,$DF174,$L$19)," "," "),CHAR(9)," "),CHAR(10)," "),CHAR(13)," "))),"")))</f>
        <v/>
      </c>
      <c r="ED174">
        <f>IF($DM174=0,"",MATCH(1,INDEX(EXACT($DH$5:DH174,$DH174)*$DM$5:DM174,0),0))</f>
        <v/>
      </c>
      <c r="EE174">
        <f>IF($DM174=0,0,IF($ED174=$DE174,1,0))</f>
        <v/>
      </c>
      <c r="EF174">
        <f>EF173+$EE174</f>
        <v/>
      </c>
      <c r="EG174">
        <f>IF($DM174=0,"",INDEX($EF$5:$EF$1003,$ED174))</f>
        <v/>
      </c>
      <c r="EH174">
        <f>IF($DM174=0,"",IF($DO174&lt;&gt;"","",IFERROR(LOOKUP(2,1/(($EG$4:EG173=$EG174)*($DO$4:DO173&lt;&gt;"")),$DO$4:DO173),"")))</f>
        <v/>
      </c>
      <c r="EI174">
        <f>IF($DM174=0,"",IF($DO174&lt;&gt;"",$DO174,$EH174))</f>
        <v/>
      </c>
      <c r="EJ174">
        <f>IF($DM174=0,"",IF($EI174="",0,IF(OR(ISNUMBER($EI174),AND(AND(SUBSTITUTE(SUBSTITUTE(SUBSTITUTE(SUBSTITUTE(SUBSTITUTE(SUBSTITUTE(SUBSTITUTE(SUBSTITUTE(SUBSTITUTE(SUBSTITUTE(SUBSTITUTE(SUBSTITUTE(SUBSTITUTE(SUBSTITUTE(UPPER($EI174),"0",""),"1",""),"2",""),"3",""),"4",""),"5",""),"6",""),"7",""),"8",""),"9",""),".",""),"+",""),"-",""),"E","")="",LEN(SUBSTITUTE(SUBSTITUTE(MID(UPPER($EI174),1+OR(LEFT(UPPER($EI174),1)="+",LEFT(UPPER($EI174),1)="-"),999),"E+","E"),"E-","E"))=LEN(SUBSTITUTE(SUBSTITUTE(SUBSTITUTE(SUBSTITUTE(MID(UPPER($EI174),1+OR(LEFT(UPPER($EI174),1)="+",LEFT(UPPER($EI174),1)="-"),999),"E+","E"),"E-","E"),"+",""),"-","")),LEN(UPPER($EI174))-LEN(SUBSTITUTE(UPPER($EI174),"E",""))&lt;2,LEN(UPPER($EI174))-LEN(SUBSTITUTE(UPPER($EI174),".",""))&lt;2,IFERROR(FIND(".",UPPER($EI174)),0)&lt;IFERROR(FIND("E",UPPER($EI174)),999)),ISNUMBER(VALUE($EI174)))),1,2)))</f>
        <v/>
      </c>
      <c r="EK174">
        <f>IF($DM174=0,"",IF($EJ174=1,IF(ISNUMBER($EI174),$EI174,VALUE($EI174)),IF($EJ174=2,$DE174,0)))</f>
        <v/>
      </c>
      <c r="EL174">
        <f>IF($DM174=0,"",COUNTIF($EG$5:$EG$1003,"&lt;"&amp;$EG174)+SUMPRODUCT(($EG$5:$EG$1003=$EG174)*(($EJ$5:$EJ$1003&lt;$EJ174)+($EJ$5:$EJ$1003=$EJ174)*(($EK$5:$EK$1003&lt;$EK174)+($EK$5:$EK$1003=$EK174)*($DE$5:$DE$1003&lt;$DE174))))+1)</f>
        <v/>
      </c>
      <c r="EM174">
        <f>IF($DM174=0,"",$EL174+$EG174-1)</f>
        <v/>
      </c>
      <c r="EN174">
        <f>IF($DM174=0,0,IFERROR(MATCH(1,INDEX(--(TRIM(SUBSTITUTE(SUBSTITUTE(SUBSTITUTE(SUBSTITUTE(LINES_NAME&amp;""," "," "),CHAR(9)," "),CHAR(10)," "),CHAR(13)," "))=$DH174),0),0),0))</f>
        <v/>
      </c>
      <c r="EO174">
        <f>IF($EN174=0,0,IF(OR(UPPER(TRIM(INDEX(LINES_SCHEDULED,$EN174)&amp;""))="YES",UPPER(TRIM(INDEX(LINES_SCHEDULED,$EN174)&amp;""))="Y",UPPER(TRIM(INDEX(LINES_SCHEDULED,$EN174)&amp;""))="X"),1,0))</f>
        <v/>
      </c>
      <c r="EP174">
        <f>IF($DM174=0,"",IF(COUNTIFS($EG$5:$EG$1003,$EG174,$EB$5:$EB$1003,"Ready")&gt;0,"READY",IF(COUNTIFS($EG$5:$EG$1003,$EG174,$EB$5:$EB$1003,"PM")&gt;0,"PM",IF(COUNTIFS($EG$5:$EG$1003,$EG174,$EB$5:$EB$1003,"OT")&gt;0,"OT",""))))</f>
        <v/>
      </c>
      <c r="EQ174">
        <f>IF($EN174=0,"",UPPER(TRIM(INDEX(LINES_STATUS,$EN174)&amp;"")))</f>
        <v/>
      </c>
      <c r="ER174">
        <f>IF($DM174=0,"",IF(OR($EQ174="READY",$EQ174="PM",$EQ174="OT"),$EQ174,$EP174))</f>
        <v/>
      </c>
      <c r="ES174">
        <f>IF($DM174=0,"",IF(AND($DV174&lt;&gt;"",UPPER($DV174)&lt;&gt;"N"),"allergen",IF(ISNUMBER(SEARCH("oil",$DQ174)),"oil",IF(OR(EXACT($DS174,"A662"),EXACT($DS174,"A624")),"bulk",""))))</f>
        <v/>
      </c>
      <c r="ET174">
        <f>IF($DM174=0,"",IF(OR($EA174="",$EA174=0),"",$EA174/100))</f>
        <v/>
      </c>
      <c r="EU174">
        <f>IF(OR($ET174="",$DY174=""),"",INT($DY174*(1-$ET174)+0.5))</f>
        <v/>
      </c>
      <c r="EW174" t="n">
        <v>170</v>
      </c>
      <c r="EX174">
        <f>IFERROR(MATCH($EW174,$EM$5:$EM$1003,0),0)</f>
        <v/>
      </c>
      <c r="EY174">
        <f>IF($EW174&gt;$B$12,"",IF($EX174&gt;0,"row","spacer"))</f>
        <v/>
      </c>
      <c r="EZ174">
        <f>IF(AND($EY174="row",$EY173&lt;&gt;"row"),1,0)</f>
        <v/>
      </c>
      <c r="FA174">
        <f>IF(AND($EY174="row",$EY175&lt;&gt;"row"),1,0)</f>
        <v/>
      </c>
      <c r="FB174">
        <f>IF($EZ174=1,IFERROR(IF(ISNUMBER(INDEX(PASTE_ALL,INDEX($DF$5:$DF$1003,$EX174),$B$37)),INDEX(PASTE_ALL,INDEX($DF$5:$DF$1003,$EX174),$B$37),INDEX($DH$5:$DH$1003,$EX174)),INDEX($DH$5:$DH$1003,$EX174)),"")</f>
        <v/>
      </c>
      <c r="FC174">
        <f>IF($EY174="row",INDEX($ER$5:$ER$1003,$EX174),"")</f>
        <v/>
      </c>
      <c r="FD174">
        <f>IF($EY174="row",INDEX($DN$5:$DN$1003,$EX174),"")</f>
        <v/>
      </c>
      <c r="FE174">
        <f>IF($EY174="row",INDEX($DO$5:$DO$1003,$EX174),"")</f>
        <v/>
      </c>
      <c r="FF174">
        <f>IF($EY174="row",INDEX($DP$5:$DP$1003,$EX174),"")</f>
        <v/>
      </c>
      <c r="FG174">
        <f>IF($EY174="row",INDEX($DQ$5:$DQ$1003,$EX174),"")</f>
        <v/>
      </c>
      <c r="FH174">
        <f>IF($EY174="row",INDEX($DR$5:$DR$1003,$EX174),"")</f>
        <v/>
      </c>
      <c r="FI174">
        <f>IF($EY174="row",INDEX($DS$5:$DS$1003,$EX174),"")</f>
        <v/>
      </c>
      <c r="FJ174">
        <f>IF($EY174="row",INDEX($DT$5:$DT$1003,$EX174),"")</f>
        <v/>
      </c>
      <c r="FK174">
        <f>IF($EY174="row",INDEX($DU$5:$DU$1003,$EX174),"")</f>
        <v/>
      </c>
      <c r="FL174">
        <f>IF($EY174="row",INDEX($DV$5:$DV$1003,$EX174),"")</f>
        <v/>
      </c>
      <c r="FM174">
        <f>IF($EY174="row",INDEX($DW$5:$DW$1003,$EX174),"")</f>
        <v/>
      </c>
      <c r="FN174">
        <f>IF($EY174="row",INDEX($DY$5:$DY$1003,$EX174),"")</f>
        <v/>
      </c>
      <c r="FO174">
        <f>IF($EY174="row",INDEX($EA$5:$EA$1003,$EX174),"")</f>
        <v/>
      </c>
      <c r="FP174">
        <f>IF($EY174="row",INDEX($EC$5:$EC$1003,$EX174),"")</f>
        <v/>
      </c>
      <c r="FQ174">
        <f>IF($EY174="row",INDEX($ET$5:$ET$1003,$EX174),"")</f>
        <v/>
      </c>
      <c r="FR174">
        <f>IF($EY174="row",INDEX($EU$5:$EU$1003,$EX174),"")</f>
        <v/>
      </c>
      <c r="FS174">
        <f>IF(AND($EY174="row",$EY173="row"),IF(OR(INDEX($DT$5:$DT$1003,$EX173)="",INDEX($DT$5:$DT$1003,$EX174)=""),"",IF(NOT(EXACT(INDEX($DT$5:$DT$1003,$EX173),INDEX($DT$5:$DT$1003,$EX174))),"S4",IF(NOT(EXACT(INDEX($DS$5:$DS$1003,$EX173),INDEX($DS$5:$DS$1003,$EX174))),"S3",IF(NOT(EXACT(INDEX($DR$5:$DR$1003,$EX173),INDEX($DR$5:$DR$1003,$EX174))),"S1 Count Change","S1")))),"")</f>
        <v/>
      </c>
      <c r="FT174">
        <f>IF($EY174="row",INDEX($ES$5:$ES$1003,$EX174),"")</f>
        <v/>
      </c>
      <c r="FU174">
        <f>IF($EY174="row",INDEX($EO$5:$EO$1003,$EX174),0)</f>
        <v/>
      </c>
      <c r="FV174">
        <f>IF($FS174="S1 Count Change",1,0)</f>
        <v/>
      </c>
    </row>
    <row r="175">
      <c r="Y175">
        <f>IF(Y40="",0,2*(OR(ISNUMBER(FIND("WORKCENTER",Y40)),AND(LEFT(Y40,4)="LINE",NOT(ISNUMBER(FIND("STATUS",Y40))))))+4*(OR(ISNUMBER(FIND("WORKORDER",Y40)),AND(LEFT(Y40,2)="WO",OR(ISNUMBER(FIND("NUM",Y40)),RIGHT(Y40,2)="NO"))))+8*(LEFT(Y40,3)="SEQ")+16*(AND(LEFT(Y40,4)="ITEM",NOT(ISNUMBER(FIND("DESC",Y40)))))+32*(AND(ISNUMBER(FIND("DESC",Y40)),NOT(ISNUMBER(FIND("CAP",Y40)))))+64*(OR(RIGHT(Y40,5)="COUNT",RIGHT(Y40,2)="CT"))+128*(ISNUMBER(FIND("BULK",Y40)))+256*(ISNUMBER(FIND("SIZE",Y40)))+512*(LEFT(Y40,3)="CAP")+1024*(ISNUMBER(FIND("ALLERG",Y40)))+2048*(OR(ISNUMBER(FIND("REMARK",Y40)),ISNUMBER(FIND("COMMENT",Y40))))+4096*(OR(ISNUMBER(FIND("QTY",Y40)),ISNUMBER(FIND("QUANTITY",Y40))))+8192*(AND(OR(ISNUMBER(FIND("COMPLETE",Y40)),ISNUMBER(FIND("PCT",Y40)),ISNUMBER(FIND("PERCENT",Y40))),NOT(ISNUMBER(FIND("ACTUAL",Y40))),LEN(Y40)&lt;=16))+32768*(OR(ISNUMBER(FIND("DESIC",Y40)),ISNUMBER(FIND("DESSIC",Y40)))))</f>
        <v/>
      </c>
      <c r="Z175">
        <f>IF(Z40="",0,2*(OR(ISNUMBER(FIND("WORKCENTER",Z40)),AND(LEFT(Z40,4)="LINE",NOT(ISNUMBER(FIND("STATUS",Z40))))))+4*(OR(ISNUMBER(FIND("WORKORDER",Z40)),AND(LEFT(Z40,2)="WO",OR(ISNUMBER(FIND("NUM",Z40)),RIGHT(Z40,2)="NO"))))+8*(LEFT(Z40,3)="SEQ")+16*(AND(LEFT(Z40,4)="ITEM",NOT(ISNUMBER(FIND("DESC",Z40)))))+32*(AND(ISNUMBER(FIND("DESC",Z40)),NOT(ISNUMBER(FIND("CAP",Z40)))))+64*(OR(RIGHT(Z40,5)="COUNT",RIGHT(Z40,2)="CT"))+128*(ISNUMBER(FIND("BULK",Z40)))+256*(ISNUMBER(FIND("SIZE",Z40)))+512*(LEFT(Z40,3)="CAP")+1024*(ISNUMBER(FIND("ALLERG",Z40)))+2048*(OR(ISNUMBER(FIND("REMARK",Z40)),ISNUMBER(FIND("COMMENT",Z40))))+4096*(OR(ISNUMBER(FIND("QTY",Z40)),ISNUMBER(FIND("QUANTITY",Z40))))+8192*(AND(OR(ISNUMBER(FIND("COMPLETE",Z40)),ISNUMBER(FIND("PCT",Z40)),ISNUMBER(FIND("PERCENT",Z40))),NOT(ISNUMBER(FIND("ACTUAL",Z40))),LEN(Z40)&lt;=16))+32768*(OR(ISNUMBER(FIND("DESIC",Z40)),ISNUMBER(FIND("DESSIC",Z40)))))</f>
        <v/>
      </c>
      <c r="AA175">
        <f>IF(AA40="",0,2*(OR(ISNUMBER(FIND("WORKCENTER",AA40)),AND(LEFT(AA40,4)="LINE",NOT(ISNUMBER(FIND("STATUS",AA40))))))+4*(OR(ISNUMBER(FIND("WORKORDER",AA40)),AND(LEFT(AA40,2)="WO",OR(ISNUMBER(FIND("NUM",AA40)),RIGHT(AA40,2)="NO"))))+8*(LEFT(AA40,3)="SEQ")+16*(AND(LEFT(AA40,4)="ITEM",NOT(ISNUMBER(FIND("DESC",AA40)))))+32*(AND(ISNUMBER(FIND("DESC",AA40)),NOT(ISNUMBER(FIND("CAP",AA40)))))+64*(OR(RIGHT(AA40,5)="COUNT",RIGHT(AA40,2)="CT"))+128*(ISNUMBER(FIND("BULK",AA40)))+256*(ISNUMBER(FIND("SIZE",AA40)))+512*(LEFT(AA40,3)="CAP")+1024*(ISNUMBER(FIND("ALLERG",AA40)))+2048*(OR(ISNUMBER(FIND("REMARK",AA40)),ISNUMBER(FIND("COMMENT",AA40))))+4096*(OR(ISNUMBER(FIND("QTY",AA40)),ISNUMBER(FIND("QUANTITY",AA40))))+8192*(AND(OR(ISNUMBER(FIND("COMPLETE",AA40)),ISNUMBER(FIND("PCT",AA40)),ISNUMBER(FIND("PERCENT",AA40))),NOT(ISNUMBER(FIND("ACTUAL",AA40))),LEN(AA40)&lt;=16))+32768*(OR(ISNUMBER(FIND("DESIC",AA40)),ISNUMBER(FIND("DESSIC",AA40)))))</f>
        <v/>
      </c>
      <c r="AB175">
        <f>IF(AB40="",0,2*(OR(ISNUMBER(FIND("WORKCENTER",AB40)),AND(LEFT(AB40,4)="LINE",NOT(ISNUMBER(FIND("STATUS",AB40))))))+4*(OR(ISNUMBER(FIND("WORKORDER",AB40)),AND(LEFT(AB40,2)="WO",OR(ISNUMBER(FIND("NUM",AB40)),RIGHT(AB40,2)="NO"))))+8*(LEFT(AB40,3)="SEQ")+16*(AND(LEFT(AB40,4)="ITEM",NOT(ISNUMBER(FIND("DESC",AB40)))))+32*(AND(ISNUMBER(FIND("DESC",AB40)),NOT(ISNUMBER(FIND("CAP",AB40)))))+64*(OR(RIGHT(AB40,5)="COUNT",RIGHT(AB40,2)="CT"))+128*(ISNUMBER(FIND("BULK",AB40)))+256*(ISNUMBER(FIND("SIZE",AB40)))+512*(LEFT(AB40,3)="CAP")+1024*(ISNUMBER(FIND("ALLERG",AB40)))+2048*(OR(ISNUMBER(FIND("REMARK",AB40)),ISNUMBER(FIND("COMMENT",AB40))))+4096*(OR(ISNUMBER(FIND("QTY",AB40)),ISNUMBER(FIND("QUANTITY",AB40))))+8192*(AND(OR(ISNUMBER(FIND("COMPLETE",AB40)),ISNUMBER(FIND("PCT",AB40)),ISNUMBER(FIND("PERCENT",AB40))),NOT(ISNUMBER(FIND("ACTUAL",AB40))),LEN(AB40)&lt;=16))+32768*(OR(ISNUMBER(FIND("DESIC",AB40)),ISNUMBER(FIND("DESSIC",AB40)))))</f>
        <v/>
      </c>
      <c r="AC175">
        <f>IF(AC40="",0,2*(OR(ISNUMBER(FIND("WORKCENTER",AC40)),AND(LEFT(AC40,4)="LINE",NOT(ISNUMBER(FIND("STATUS",AC40))))))+4*(OR(ISNUMBER(FIND("WORKORDER",AC40)),AND(LEFT(AC40,2)="WO",OR(ISNUMBER(FIND("NUM",AC40)),RIGHT(AC40,2)="NO"))))+8*(LEFT(AC40,3)="SEQ")+16*(AND(LEFT(AC40,4)="ITEM",NOT(ISNUMBER(FIND("DESC",AC40)))))+32*(AND(ISNUMBER(FIND("DESC",AC40)),NOT(ISNUMBER(FIND("CAP",AC40)))))+64*(OR(RIGHT(AC40,5)="COUNT",RIGHT(AC40,2)="CT"))+128*(ISNUMBER(FIND("BULK",AC40)))+256*(ISNUMBER(FIND("SIZE",AC40)))+512*(LEFT(AC40,3)="CAP")+1024*(ISNUMBER(FIND("ALLERG",AC40)))+2048*(OR(ISNUMBER(FIND("REMARK",AC40)),ISNUMBER(FIND("COMMENT",AC40))))+4096*(OR(ISNUMBER(FIND("QTY",AC40)),ISNUMBER(FIND("QUANTITY",AC40))))+8192*(AND(OR(ISNUMBER(FIND("COMPLETE",AC40)),ISNUMBER(FIND("PCT",AC40)),ISNUMBER(FIND("PERCENT",AC40))),NOT(ISNUMBER(FIND("ACTUAL",AC40))),LEN(AC40)&lt;=16))+32768*(OR(ISNUMBER(FIND("DESIC",AC40)),ISNUMBER(FIND("DESSIC",AC40)))))</f>
        <v/>
      </c>
      <c r="AD175">
        <f>IF(AD40="",0,2*(OR(ISNUMBER(FIND("WORKCENTER",AD40)),AND(LEFT(AD40,4)="LINE",NOT(ISNUMBER(FIND("STATUS",AD40))))))+4*(OR(ISNUMBER(FIND("WORKORDER",AD40)),AND(LEFT(AD40,2)="WO",OR(ISNUMBER(FIND("NUM",AD40)),RIGHT(AD40,2)="NO"))))+8*(LEFT(AD40,3)="SEQ")+16*(AND(LEFT(AD40,4)="ITEM",NOT(ISNUMBER(FIND("DESC",AD40)))))+32*(AND(ISNUMBER(FIND("DESC",AD40)),NOT(ISNUMBER(FIND("CAP",AD40)))))+64*(OR(RIGHT(AD40,5)="COUNT",RIGHT(AD40,2)="CT"))+128*(ISNUMBER(FIND("BULK",AD40)))+256*(ISNUMBER(FIND("SIZE",AD40)))+512*(LEFT(AD40,3)="CAP")+1024*(ISNUMBER(FIND("ALLERG",AD40)))+2048*(OR(ISNUMBER(FIND("REMARK",AD40)),ISNUMBER(FIND("COMMENT",AD40))))+4096*(OR(ISNUMBER(FIND("QTY",AD40)),ISNUMBER(FIND("QUANTITY",AD40))))+8192*(AND(OR(ISNUMBER(FIND("COMPLETE",AD40)),ISNUMBER(FIND("PCT",AD40)),ISNUMBER(FIND("PERCENT",AD40))),NOT(ISNUMBER(FIND("ACTUAL",AD40))),LEN(AD40)&lt;=16))+32768*(OR(ISNUMBER(FIND("DESIC",AD40)),ISNUMBER(FIND("DESSIC",AD40)))))</f>
        <v/>
      </c>
      <c r="AE175">
        <f>IF(AE40="",0,2*(OR(ISNUMBER(FIND("WORKCENTER",AE40)),AND(LEFT(AE40,4)="LINE",NOT(ISNUMBER(FIND("STATUS",AE40))))))+4*(OR(ISNUMBER(FIND("WORKORDER",AE40)),AND(LEFT(AE40,2)="WO",OR(ISNUMBER(FIND("NUM",AE40)),RIGHT(AE40,2)="NO"))))+8*(LEFT(AE40,3)="SEQ")+16*(AND(LEFT(AE40,4)="ITEM",NOT(ISNUMBER(FIND("DESC",AE40)))))+32*(AND(ISNUMBER(FIND("DESC",AE40)),NOT(ISNUMBER(FIND("CAP",AE40)))))+64*(OR(RIGHT(AE40,5)="COUNT",RIGHT(AE40,2)="CT"))+128*(ISNUMBER(FIND("BULK",AE40)))+256*(ISNUMBER(FIND("SIZE",AE40)))+512*(LEFT(AE40,3)="CAP")+1024*(ISNUMBER(FIND("ALLERG",AE40)))+2048*(OR(ISNUMBER(FIND("REMARK",AE40)),ISNUMBER(FIND("COMMENT",AE40))))+4096*(OR(ISNUMBER(FIND("QTY",AE40)),ISNUMBER(FIND("QUANTITY",AE40))))+8192*(AND(OR(ISNUMBER(FIND("COMPLETE",AE40)),ISNUMBER(FIND("PCT",AE40)),ISNUMBER(FIND("PERCENT",AE40))),NOT(ISNUMBER(FIND("ACTUAL",AE40))),LEN(AE40)&lt;=16))+32768*(OR(ISNUMBER(FIND("DESIC",AE40)),ISNUMBER(FIND("DESSIC",AE40)))))</f>
        <v/>
      </c>
      <c r="AF175">
        <f>IF(AF40="",0,2*(OR(ISNUMBER(FIND("WORKCENTER",AF40)),AND(LEFT(AF40,4)="LINE",NOT(ISNUMBER(FIND("STATUS",AF40))))))+4*(OR(ISNUMBER(FIND("WORKORDER",AF40)),AND(LEFT(AF40,2)="WO",OR(ISNUMBER(FIND("NUM",AF40)),RIGHT(AF40,2)="NO"))))+8*(LEFT(AF40,3)="SEQ")+16*(AND(LEFT(AF40,4)="ITEM",NOT(ISNUMBER(FIND("DESC",AF40)))))+32*(AND(ISNUMBER(FIND("DESC",AF40)),NOT(ISNUMBER(FIND("CAP",AF40)))))+64*(OR(RIGHT(AF40,5)="COUNT",RIGHT(AF40,2)="CT"))+128*(ISNUMBER(FIND("BULK",AF40)))+256*(ISNUMBER(FIND("SIZE",AF40)))+512*(LEFT(AF40,3)="CAP")+1024*(ISNUMBER(FIND("ALLERG",AF40)))+2048*(OR(ISNUMBER(FIND("REMARK",AF40)),ISNUMBER(FIND("COMMENT",AF40))))+4096*(OR(ISNUMBER(FIND("QTY",AF40)),ISNUMBER(FIND("QUANTITY",AF40))))+8192*(AND(OR(ISNUMBER(FIND("COMPLETE",AF40)),ISNUMBER(FIND("PCT",AF40)),ISNUMBER(FIND("PERCENT",AF40))),NOT(ISNUMBER(FIND("ACTUAL",AF40))),LEN(AF40)&lt;=16))+32768*(OR(ISNUMBER(FIND("DESIC",AF40)),ISNUMBER(FIND("DESSIC",AF40)))))</f>
        <v/>
      </c>
      <c r="AG175">
        <f>IF(AG40="",0,2*(OR(ISNUMBER(FIND("WORKCENTER",AG40)),AND(LEFT(AG40,4)="LINE",NOT(ISNUMBER(FIND("STATUS",AG40))))))+4*(OR(ISNUMBER(FIND("WORKORDER",AG40)),AND(LEFT(AG40,2)="WO",OR(ISNUMBER(FIND("NUM",AG40)),RIGHT(AG40,2)="NO"))))+8*(LEFT(AG40,3)="SEQ")+16*(AND(LEFT(AG40,4)="ITEM",NOT(ISNUMBER(FIND("DESC",AG40)))))+32*(AND(ISNUMBER(FIND("DESC",AG40)),NOT(ISNUMBER(FIND("CAP",AG40)))))+64*(OR(RIGHT(AG40,5)="COUNT",RIGHT(AG40,2)="CT"))+128*(ISNUMBER(FIND("BULK",AG40)))+256*(ISNUMBER(FIND("SIZE",AG40)))+512*(LEFT(AG40,3)="CAP")+1024*(ISNUMBER(FIND("ALLERG",AG40)))+2048*(OR(ISNUMBER(FIND("REMARK",AG40)),ISNUMBER(FIND("COMMENT",AG40))))+4096*(OR(ISNUMBER(FIND("QTY",AG40)),ISNUMBER(FIND("QUANTITY",AG40))))+8192*(AND(OR(ISNUMBER(FIND("COMPLETE",AG40)),ISNUMBER(FIND("PCT",AG40)),ISNUMBER(FIND("PERCENT",AG40))),NOT(ISNUMBER(FIND("ACTUAL",AG40))),LEN(AG40)&lt;=16))+32768*(OR(ISNUMBER(FIND("DESIC",AG40)),ISNUMBER(FIND("DESSIC",AG40)))))</f>
        <v/>
      </c>
      <c r="AH175">
        <f>IF(AH40="",0,2*(OR(ISNUMBER(FIND("WORKCENTER",AH40)),AND(LEFT(AH40,4)="LINE",NOT(ISNUMBER(FIND("STATUS",AH40))))))+4*(OR(ISNUMBER(FIND("WORKORDER",AH40)),AND(LEFT(AH40,2)="WO",OR(ISNUMBER(FIND("NUM",AH40)),RIGHT(AH40,2)="NO"))))+8*(LEFT(AH40,3)="SEQ")+16*(AND(LEFT(AH40,4)="ITEM",NOT(ISNUMBER(FIND("DESC",AH40)))))+32*(AND(ISNUMBER(FIND("DESC",AH40)),NOT(ISNUMBER(FIND("CAP",AH40)))))+64*(OR(RIGHT(AH40,5)="COUNT",RIGHT(AH40,2)="CT"))+128*(ISNUMBER(FIND("BULK",AH40)))+256*(ISNUMBER(FIND("SIZE",AH40)))+512*(LEFT(AH40,3)="CAP")+1024*(ISNUMBER(FIND("ALLERG",AH40)))+2048*(OR(ISNUMBER(FIND("REMARK",AH40)),ISNUMBER(FIND("COMMENT",AH40))))+4096*(OR(ISNUMBER(FIND("QTY",AH40)),ISNUMBER(FIND("QUANTITY",AH40))))+8192*(AND(OR(ISNUMBER(FIND("COMPLETE",AH40)),ISNUMBER(FIND("PCT",AH40)),ISNUMBER(FIND("PERCENT",AH40))),NOT(ISNUMBER(FIND("ACTUAL",AH40))),LEN(AH40)&lt;=16))+32768*(OR(ISNUMBER(FIND("DESIC",AH40)),ISNUMBER(FIND("DESSIC",AH40)))))</f>
        <v/>
      </c>
      <c r="AI175">
        <f>IF(AI40="",0,2*(OR(ISNUMBER(FIND("WORKCENTER",AI40)),AND(LEFT(AI40,4)="LINE",NOT(ISNUMBER(FIND("STATUS",AI40))))))+4*(OR(ISNUMBER(FIND("WORKORDER",AI40)),AND(LEFT(AI40,2)="WO",OR(ISNUMBER(FIND("NUM",AI40)),RIGHT(AI40,2)="NO"))))+8*(LEFT(AI40,3)="SEQ")+16*(AND(LEFT(AI40,4)="ITEM",NOT(ISNUMBER(FIND("DESC",AI40)))))+32*(AND(ISNUMBER(FIND("DESC",AI40)),NOT(ISNUMBER(FIND("CAP",AI40)))))+64*(OR(RIGHT(AI40,5)="COUNT",RIGHT(AI40,2)="CT"))+128*(ISNUMBER(FIND("BULK",AI40)))+256*(ISNUMBER(FIND("SIZE",AI40)))+512*(LEFT(AI40,3)="CAP")+1024*(ISNUMBER(FIND("ALLERG",AI40)))+2048*(OR(ISNUMBER(FIND("REMARK",AI40)),ISNUMBER(FIND("COMMENT",AI40))))+4096*(OR(ISNUMBER(FIND("QTY",AI40)),ISNUMBER(FIND("QUANTITY",AI40))))+8192*(AND(OR(ISNUMBER(FIND("COMPLETE",AI40)),ISNUMBER(FIND("PCT",AI40)),ISNUMBER(FIND("PERCENT",AI40))),NOT(ISNUMBER(FIND("ACTUAL",AI40))),LEN(AI40)&lt;=16))+32768*(OR(ISNUMBER(FIND("DESIC",AI40)),ISNUMBER(FIND("DESSIC",AI40)))))</f>
        <v/>
      </c>
      <c r="AJ175">
        <f>IF(AJ40="",0,2*(OR(ISNUMBER(FIND("WORKCENTER",AJ40)),AND(LEFT(AJ40,4)="LINE",NOT(ISNUMBER(FIND("STATUS",AJ40))))))+4*(OR(ISNUMBER(FIND("WORKORDER",AJ40)),AND(LEFT(AJ40,2)="WO",OR(ISNUMBER(FIND("NUM",AJ40)),RIGHT(AJ40,2)="NO"))))+8*(LEFT(AJ40,3)="SEQ")+16*(AND(LEFT(AJ40,4)="ITEM",NOT(ISNUMBER(FIND("DESC",AJ40)))))+32*(AND(ISNUMBER(FIND("DESC",AJ40)),NOT(ISNUMBER(FIND("CAP",AJ40)))))+64*(OR(RIGHT(AJ40,5)="COUNT",RIGHT(AJ40,2)="CT"))+128*(ISNUMBER(FIND("BULK",AJ40)))+256*(ISNUMBER(FIND("SIZE",AJ40)))+512*(LEFT(AJ40,3)="CAP")+1024*(ISNUMBER(FIND("ALLERG",AJ40)))+2048*(OR(ISNUMBER(FIND("REMARK",AJ40)),ISNUMBER(FIND("COMMENT",AJ40))))+4096*(OR(ISNUMBER(FIND("QTY",AJ40)),ISNUMBER(FIND("QUANTITY",AJ40))))+8192*(AND(OR(ISNUMBER(FIND("COMPLETE",AJ40)),ISNUMBER(FIND("PCT",AJ40)),ISNUMBER(FIND("PERCENT",AJ40))),NOT(ISNUMBER(FIND("ACTUAL",AJ40))),LEN(AJ40)&lt;=16))+32768*(OR(ISNUMBER(FIND("DESIC",AJ40)),ISNUMBER(FIND("DESSIC",AJ40)))))</f>
        <v/>
      </c>
      <c r="AK175">
        <f>IF(AK40="",0,2*(OR(ISNUMBER(FIND("WORKCENTER",AK40)),AND(LEFT(AK40,4)="LINE",NOT(ISNUMBER(FIND("STATUS",AK40))))))+4*(OR(ISNUMBER(FIND("WORKORDER",AK40)),AND(LEFT(AK40,2)="WO",OR(ISNUMBER(FIND("NUM",AK40)),RIGHT(AK40,2)="NO"))))+8*(LEFT(AK40,3)="SEQ")+16*(AND(LEFT(AK40,4)="ITEM",NOT(ISNUMBER(FIND("DESC",AK40)))))+32*(AND(ISNUMBER(FIND("DESC",AK40)),NOT(ISNUMBER(FIND("CAP",AK40)))))+64*(OR(RIGHT(AK40,5)="COUNT",RIGHT(AK40,2)="CT"))+128*(ISNUMBER(FIND("BULK",AK40)))+256*(ISNUMBER(FIND("SIZE",AK40)))+512*(LEFT(AK40,3)="CAP")+1024*(ISNUMBER(FIND("ALLERG",AK40)))+2048*(OR(ISNUMBER(FIND("REMARK",AK40)),ISNUMBER(FIND("COMMENT",AK40))))+4096*(OR(ISNUMBER(FIND("QTY",AK40)),ISNUMBER(FIND("QUANTITY",AK40))))+8192*(AND(OR(ISNUMBER(FIND("COMPLETE",AK40)),ISNUMBER(FIND("PCT",AK40)),ISNUMBER(FIND("PERCENT",AK40))),NOT(ISNUMBER(FIND("ACTUAL",AK40))),LEN(AK40)&lt;=16))+32768*(OR(ISNUMBER(FIND("DESIC",AK40)),ISNUMBER(FIND("DESSIC",AK40)))))</f>
        <v/>
      </c>
      <c r="AL175">
        <f>IF(AL40="",0,2*(OR(ISNUMBER(FIND("WORKCENTER",AL40)),AND(LEFT(AL40,4)="LINE",NOT(ISNUMBER(FIND("STATUS",AL40))))))+4*(OR(ISNUMBER(FIND("WORKORDER",AL40)),AND(LEFT(AL40,2)="WO",OR(ISNUMBER(FIND("NUM",AL40)),RIGHT(AL40,2)="NO"))))+8*(LEFT(AL40,3)="SEQ")+16*(AND(LEFT(AL40,4)="ITEM",NOT(ISNUMBER(FIND("DESC",AL40)))))+32*(AND(ISNUMBER(FIND("DESC",AL40)),NOT(ISNUMBER(FIND("CAP",AL40)))))+64*(OR(RIGHT(AL40,5)="COUNT",RIGHT(AL40,2)="CT"))+128*(ISNUMBER(FIND("BULK",AL40)))+256*(ISNUMBER(FIND("SIZE",AL40)))+512*(LEFT(AL40,3)="CAP")+1024*(ISNUMBER(FIND("ALLERG",AL40)))+2048*(OR(ISNUMBER(FIND("REMARK",AL40)),ISNUMBER(FIND("COMMENT",AL40))))+4096*(OR(ISNUMBER(FIND("QTY",AL40)),ISNUMBER(FIND("QUANTITY",AL40))))+8192*(AND(OR(ISNUMBER(FIND("COMPLETE",AL40)),ISNUMBER(FIND("PCT",AL40)),ISNUMBER(FIND("PERCENT",AL40))),NOT(ISNUMBER(FIND("ACTUAL",AL40))),LEN(AL40)&lt;=16))+32768*(OR(ISNUMBER(FIND("DESIC",AL40)),ISNUMBER(FIND("DESSIC",AL40)))))</f>
        <v/>
      </c>
      <c r="AM175">
        <f>IF(AM40="",0,2*(OR(ISNUMBER(FIND("WORKCENTER",AM40)),AND(LEFT(AM40,4)="LINE",NOT(ISNUMBER(FIND("STATUS",AM40))))))+4*(OR(ISNUMBER(FIND("WORKORDER",AM40)),AND(LEFT(AM40,2)="WO",OR(ISNUMBER(FIND("NUM",AM40)),RIGHT(AM40,2)="NO"))))+8*(LEFT(AM40,3)="SEQ")+16*(AND(LEFT(AM40,4)="ITEM",NOT(ISNUMBER(FIND("DESC",AM40)))))+32*(AND(ISNUMBER(FIND("DESC",AM40)),NOT(ISNUMBER(FIND("CAP",AM40)))))+64*(OR(RIGHT(AM40,5)="COUNT",RIGHT(AM40,2)="CT"))+128*(ISNUMBER(FIND("BULK",AM40)))+256*(ISNUMBER(FIND("SIZE",AM40)))+512*(LEFT(AM40,3)="CAP")+1024*(ISNUMBER(FIND("ALLERG",AM40)))+2048*(OR(ISNUMBER(FIND("REMARK",AM40)),ISNUMBER(FIND("COMMENT",AM40))))+4096*(OR(ISNUMBER(FIND("QTY",AM40)),ISNUMBER(FIND("QUANTITY",AM40))))+8192*(AND(OR(ISNUMBER(FIND("COMPLETE",AM40)),ISNUMBER(FIND("PCT",AM40)),ISNUMBER(FIND("PERCENT",AM40))),NOT(ISNUMBER(FIND("ACTUAL",AM40))),LEN(AM40)&lt;=16))+32768*(OR(ISNUMBER(FIND("DESIC",AM40)),ISNUMBER(FIND("DESSIC",AM40)))))</f>
        <v/>
      </c>
      <c r="AN175">
        <f>IF(AN40="",0,2*(OR(ISNUMBER(FIND("WORKCENTER",AN40)),AND(LEFT(AN40,4)="LINE",NOT(ISNUMBER(FIND("STATUS",AN40))))))+4*(OR(ISNUMBER(FIND("WORKORDER",AN40)),AND(LEFT(AN40,2)="WO",OR(ISNUMBER(FIND("NUM",AN40)),RIGHT(AN40,2)="NO"))))+8*(LEFT(AN40,3)="SEQ")+16*(AND(LEFT(AN40,4)="ITEM",NOT(ISNUMBER(FIND("DESC",AN40)))))+32*(AND(ISNUMBER(FIND("DESC",AN40)),NOT(ISNUMBER(FIND("CAP",AN40)))))+64*(OR(RIGHT(AN40,5)="COUNT",RIGHT(AN40,2)="CT"))+128*(ISNUMBER(FIND("BULK",AN40)))+256*(ISNUMBER(FIND("SIZE",AN40)))+512*(LEFT(AN40,3)="CAP")+1024*(ISNUMBER(FIND("ALLERG",AN40)))+2048*(OR(ISNUMBER(FIND("REMARK",AN40)),ISNUMBER(FIND("COMMENT",AN40))))+4096*(OR(ISNUMBER(FIND("QTY",AN40)),ISNUMBER(FIND("QUANTITY",AN40))))+8192*(AND(OR(ISNUMBER(FIND("COMPLETE",AN40)),ISNUMBER(FIND("PCT",AN40)),ISNUMBER(FIND("PERCENT",AN40))),NOT(ISNUMBER(FIND("ACTUAL",AN40))),LEN(AN40)&lt;=16))+32768*(OR(ISNUMBER(FIND("DESIC",AN40)),ISNUMBER(FIND("DESSIC",AN40)))))</f>
        <v/>
      </c>
      <c r="AO175">
        <f>IF(AO40="",0,2*(OR(ISNUMBER(FIND("WORKCENTER",AO40)),AND(LEFT(AO40,4)="LINE",NOT(ISNUMBER(FIND("STATUS",AO40))))))+4*(OR(ISNUMBER(FIND("WORKORDER",AO40)),AND(LEFT(AO40,2)="WO",OR(ISNUMBER(FIND("NUM",AO40)),RIGHT(AO40,2)="NO"))))+8*(LEFT(AO40,3)="SEQ")+16*(AND(LEFT(AO40,4)="ITEM",NOT(ISNUMBER(FIND("DESC",AO40)))))+32*(AND(ISNUMBER(FIND("DESC",AO40)),NOT(ISNUMBER(FIND("CAP",AO40)))))+64*(OR(RIGHT(AO40,5)="COUNT",RIGHT(AO40,2)="CT"))+128*(ISNUMBER(FIND("BULK",AO40)))+256*(ISNUMBER(FIND("SIZE",AO40)))+512*(LEFT(AO40,3)="CAP")+1024*(ISNUMBER(FIND("ALLERG",AO40)))+2048*(OR(ISNUMBER(FIND("REMARK",AO40)),ISNUMBER(FIND("COMMENT",AO40))))+4096*(OR(ISNUMBER(FIND("QTY",AO40)),ISNUMBER(FIND("QUANTITY",AO40))))+8192*(AND(OR(ISNUMBER(FIND("COMPLETE",AO40)),ISNUMBER(FIND("PCT",AO40)),ISNUMBER(FIND("PERCENT",AO40))),NOT(ISNUMBER(FIND("ACTUAL",AO40))),LEN(AO40)&lt;=16))+32768*(OR(ISNUMBER(FIND("DESIC",AO40)),ISNUMBER(FIND("DESSIC",AO40)))))</f>
        <v/>
      </c>
      <c r="AP175">
        <f>IF(AP40="",0,2*(OR(ISNUMBER(FIND("WORKCENTER",AP40)),AND(LEFT(AP40,4)="LINE",NOT(ISNUMBER(FIND("STATUS",AP40))))))+4*(OR(ISNUMBER(FIND("WORKORDER",AP40)),AND(LEFT(AP40,2)="WO",OR(ISNUMBER(FIND("NUM",AP40)),RIGHT(AP40,2)="NO"))))+8*(LEFT(AP40,3)="SEQ")+16*(AND(LEFT(AP40,4)="ITEM",NOT(ISNUMBER(FIND("DESC",AP40)))))+32*(AND(ISNUMBER(FIND("DESC",AP40)),NOT(ISNUMBER(FIND("CAP",AP40)))))+64*(OR(RIGHT(AP40,5)="COUNT",RIGHT(AP40,2)="CT"))+128*(ISNUMBER(FIND("BULK",AP40)))+256*(ISNUMBER(FIND("SIZE",AP40)))+512*(LEFT(AP40,3)="CAP")+1024*(ISNUMBER(FIND("ALLERG",AP40)))+2048*(OR(ISNUMBER(FIND("REMARK",AP40)),ISNUMBER(FIND("COMMENT",AP40))))+4096*(OR(ISNUMBER(FIND("QTY",AP40)),ISNUMBER(FIND("QUANTITY",AP40))))+8192*(AND(OR(ISNUMBER(FIND("COMPLETE",AP40)),ISNUMBER(FIND("PCT",AP40)),ISNUMBER(FIND("PERCENT",AP40))),NOT(ISNUMBER(FIND("ACTUAL",AP40))),LEN(AP40)&lt;=16))+32768*(OR(ISNUMBER(FIND("DESIC",AP40)),ISNUMBER(FIND("DESSIC",AP40)))))</f>
        <v/>
      </c>
      <c r="AQ175">
        <f>IF(AQ40="",0,2*(OR(ISNUMBER(FIND("WORKCENTER",AQ40)),AND(LEFT(AQ40,4)="LINE",NOT(ISNUMBER(FIND("STATUS",AQ40))))))+4*(OR(ISNUMBER(FIND("WORKORDER",AQ40)),AND(LEFT(AQ40,2)="WO",OR(ISNUMBER(FIND("NUM",AQ40)),RIGHT(AQ40,2)="NO"))))+8*(LEFT(AQ40,3)="SEQ")+16*(AND(LEFT(AQ40,4)="ITEM",NOT(ISNUMBER(FIND("DESC",AQ40)))))+32*(AND(ISNUMBER(FIND("DESC",AQ40)),NOT(ISNUMBER(FIND("CAP",AQ40)))))+64*(OR(RIGHT(AQ40,5)="COUNT",RIGHT(AQ40,2)="CT"))+128*(ISNUMBER(FIND("BULK",AQ40)))+256*(ISNUMBER(FIND("SIZE",AQ40)))+512*(LEFT(AQ40,3)="CAP")+1024*(ISNUMBER(FIND("ALLERG",AQ40)))+2048*(OR(ISNUMBER(FIND("REMARK",AQ40)),ISNUMBER(FIND("COMMENT",AQ40))))+4096*(OR(ISNUMBER(FIND("QTY",AQ40)),ISNUMBER(FIND("QUANTITY",AQ40))))+8192*(AND(OR(ISNUMBER(FIND("COMPLETE",AQ40)),ISNUMBER(FIND("PCT",AQ40)),ISNUMBER(FIND("PERCENT",AQ40))),NOT(ISNUMBER(FIND("ACTUAL",AQ40))),LEN(AQ40)&lt;=16))+32768*(OR(ISNUMBER(FIND("DESIC",AQ40)),ISNUMBER(FIND("DESSIC",AQ40)))))</f>
        <v/>
      </c>
      <c r="AR175">
        <f>IF(AR40="",0,2*(OR(ISNUMBER(FIND("WORKCENTER",AR40)),AND(LEFT(AR40,4)="LINE",NOT(ISNUMBER(FIND("STATUS",AR40))))))+4*(OR(ISNUMBER(FIND("WORKORDER",AR40)),AND(LEFT(AR40,2)="WO",OR(ISNUMBER(FIND("NUM",AR40)),RIGHT(AR40,2)="NO"))))+8*(LEFT(AR40,3)="SEQ")+16*(AND(LEFT(AR40,4)="ITEM",NOT(ISNUMBER(FIND("DESC",AR40)))))+32*(AND(ISNUMBER(FIND("DESC",AR40)),NOT(ISNUMBER(FIND("CAP",AR40)))))+64*(OR(RIGHT(AR40,5)="COUNT",RIGHT(AR40,2)="CT"))+128*(ISNUMBER(FIND("BULK",AR40)))+256*(ISNUMBER(FIND("SIZE",AR40)))+512*(LEFT(AR40,3)="CAP")+1024*(ISNUMBER(FIND("ALLERG",AR40)))+2048*(OR(ISNUMBER(FIND("REMARK",AR40)),ISNUMBER(FIND("COMMENT",AR40))))+4096*(OR(ISNUMBER(FIND("QTY",AR40)),ISNUMBER(FIND("QUANTITY",AR40))))+8192*(AND(OR(ISNUMBER(FIND("COMPLETE",AR40)),ISNUMBER(FIND("PCT",AR40)),ISNUMBER(FIND("PERCENT",AR40))),NOT(ISNUMBER(FIND("ACTUAL",AR40))),LEN(AR40)&lt;=16))+32768*(OR(ISNUMBER(FIND("DESIC",AR40)),ISNUMBER(FIND("DESSIC",AR40)))))</f>
        <v/>
      </c>
      <c r="AS175">
        <f>IF(AS40="",0,2*(OR(ISNUMBER(FIND("WORKCENTER",AS40)),AND(LEFT(AS40,4)="LINE",NOT(ISNUMBER(FIND("STATUS",AS40))))))+4*(OR(ISNUMBER(FIND("WORKORDER",AS40)),AND(LEFT(AS40,2)="WO",OR(ISNUMBER(FIND("NUM",AS40)),RIGHT(AS40,2)="NO"))))+8*(LEFT(AS40,3)="SEQ")+16*(AND(LEFT(AS40,4)="ITEM",NOT(ISNUMBER(FIND("DESC",AS40)))))+32*(AND(ISNUMBER(FIND("DESC",AS40)),NOT(ISNUMBER(FIND("CAP",AS40)))))+64*(OR(RIGHT(AS40,5)="COUNT",RIGHT(AS40,2)="CT"))+128*(ISNUMBER(FIND("BULK",AS40)))+256*(ISNUMBER(FIND("SIZE",AS40)))+512*(LEFT(AS40,3)="CAP")+1024*(ISNUMBER(FIND("ALLERG",AS40)))+2048*(OR(ISNUMBER(FIND("REMARK",AS40)),ISNUMBER(FIND("COMMENT",AS40))))+4096*(OR(ISNUMBER(FIND("QTY",AS40)),ISNUMBER(FIND("QUANTITY",AS40))))+8192*(AND(OR(ISNUMBER(FIND("COMPLETE",AS40)),ISNUMBER(FIND("PCT",AS40)),ISNUMBER(FIND("PERCENT",AS40))),NOT(ISNUMBER(FIND("ACTUAL",AS40))),LEN(AS40)&lt;=16))+32768*(OR(ISNUMBER(FIND("DESIC",AS40)),ISNUMBER(FIND("DESSIC",AS40)))))</f>
        <v/>
      </c>
      <c r="AT175">
        <f>IF(AT40="",0,2*(OR(ISNUMBER(FIND("WORKCENTER",AT40)),AND(LEFT(AT40,4)="LINE",NOT(ISNUMBER(FIND("STATUS",AT40))))))+4*(OR(ISNUMBER(FIND("WORKORDER",AT40)),AND(LEFT(AT40,2)="WO",OR(ISNUMBER(FIND("NUM",AT40)),RIGHT(AT40,2)="NO"))))+8*(LEFT(AT40,3)="SEQ")+16*(AND(LEFT(AT40,4)="ITEM",NOT(ISNUMBER(FIND("DESC",AT40)))))+32*(AND(ISNUMBER(FIND("DESC",AT40)),NOT(ISNUMBER(FIND("CAP",AT40)))))+64*(OR(RIGHT(AT40,5)="COUNT",RIGHT(AT40,2)="CT"))+128*(ISNUMBER(FIND("BULK",AT40)))+256*(ISNUMBER(FIND("SIZE",AT40)))+512*(LEFT(AT40,3)="CAP")+1024*(ISNUMBER(FIND("ALLERG",AT40)))+2048*(OR(ISNUMBER(FIND("REMARK",AT40)),ISNUMBER(FIND("COMMENT",AT40))))+4096*(OR(ISNUMBER(FIND("QTY",AT40)),ISNUMBER(FIND("QUANTITY",AT40))))+8192*(AND(OR(ISNUMBER(FIND("COMPLETE",AT40)),ISNUMBER(FIND("PCT",AT40)),ISNUMBER(FIND("PERCENT",AT40))),NOT(ISNUMBER(FIND("ACTUAL",AT40))),LEN(AT40)&lt;=16))+32768*(OR(ISNUMBER(FIND("DESIC",AT40)),ISNUMBER(FIND("DESSIC",AT40)))))</f>
        <v/>
      </c>
      <c r="AU175">
        <f>IF(AU40="",0,2*(OR(ISNUMBER(FIND("WORKCENTER",AU40)),AND(LEFT(AU40,4)="LINE",NOT(ISNUMBER(FIND("STATUS",AU40))))))+4*(OR(ISNUMBER(FIND("WORKORDER",AU40)),AND(LEFT(AU40,2)="WO",OR(ISNUMBER(FIND("NUM",AU40)),RIGHT(AU40,2)="NO"))))+8*(LEFT(AU40,3)="SEQ")+16*(AND(LEFT(AU40,4)="ITEM",NOT(ISNUMBER(FIND("DESC",AU40)))))+32*(AND(ISNUMBER(FIND("DESC",AU40)),NOT(ISNUMBER(FIND("CAP",AU40)))))+64*(OR(RIGHT(AU40,5)="COUNT",RIGHT(AU40,2)="CT"))+128*(ISNUMBER(FIND("BULK",AU40)))+256*(ISNUMBER(FIND("SIZE",AU40)))+512*(LEFT(AU40,3)="CAP")+1024*(ISNUMBER(FIND("ALLERG",AU40)))+2048*(OR(ISNUMBER(FIND("REMARK",AU40)),ISNUMBER(FIND("COMMENT",AU40))))+4096*(OR(ISNUMBER(FIND("QTY",AU40)),ISNUMBER(FIND("QUANTITY",AU40))))+8192*(AND(OR(ISNUMBER(FIND("COMPLETE",AU40)),ISNUMBER(FIND("PCT",AU40)),ISNUMBER(FIND("PERCENT",AU40))),NOT(ISNUMBER(FIND("ACTUAL",AU40))),LEN(AU40)&lt;=16))+32768*(OR(ISNUMBER(FIND("DESIC",AU40)),ISNUMBER(FIND("DESSIC",AU40)))))</f>
        <v/>
      </c>
      <c r="AV175">
        <f>IF(AV40="",0,2*(OR(ISNUMBER(FIND("WORKCENTER",AV40)),AND(LEFT(AV40,4)="LINE",NOT(ISNUMBER(FIND("STATUS",AV40))))))+4*(OR(ISNUMBER(FIND("WORKORDER",AV40)),AND(LEFT(AV40,2)="WO",OR(ISNUMBER(FIND("NUM",AV40)),RIGHT(AV40,2)="NO"))))+8*(LEFT(AV40,3)="SEQ")+16*(AND(LEFT(AV40,4)="ITEM",NOT(ISNUMBER(FIND("DESC",AV40)))))+32*(AND(ISNUMBER(FIND("DESC",AV40)),NOT(ISNUMBER(FIND("CAP",AV40)))))+64*(OR(RIGHT(AV40,5)="COUNT",RIGHT(AV40,2)="CT"))+128*(ISNUMBER(FIND("BULK",AV40)))+256*(ISNUMBER(FIND("SIZE",AV40)))+512*(LEFT(AV40,3)="CAP")+1024*(ISNUMBER(FIND("ALLERG",AV40)))+2048*(OR(ISNUMBER(FIND("REMARK",AV40)),ISNUMBER(FIND("COMMENT",AV40))))+4096*(OR(ISNUMBER(FIND("QTY",AV40)),ISNUMBER(FIND("QUANTITY",AV40))))+8192*(AND(OR(ISNUMBER(FIND("COMPLETE",AV40)),ISNUMBER(FIND("PCT",AV40)),ISNUMBER(FIND("PERCENT",AV40))),NOT(ISNUMBER(FIND("ACTUAL",AV40))),LEN(AV40)&lt;=16))+32768*(OR(ISNUMBER(FIND("DESIC",AV40)),ISNUMBER(FIND("DESSIC",AV40)))))</f>
        <v/>
      </c>
      <c r="AW175">
        <f>IF(AW40="",0,2*(OR(ISNUMBER(FIND("WORKCENTER",AW40)),AND(LEFT(AW40,4)="LINE",NOT(ISNUMBER(FIND("STATUS",AW40))))))+4*(OR(ISNUMBER(FIND("WORKORDER",AW40)),AND(LEFT(AW40,2)="WO",OR(ISNUMBER(FIND("NUM",AW40)),RIGHT(AW40,2)="NO"))))+8*(LEFT(AW40,3)="SEQ")+16*(AND(LEFT(AW40,4)="ITEM",NOT(ISNUMBER(FIND("DESC",AW40)))))+32*(AND(ISNUMBER(FIND("DESC",AW40)),NOT(ISNUMBER(FIND("CAP",AW40)))))+64*(OR(RIGHT(AW40,5)="COUNT",RIGHT(AW40,2)="CT"))+128*(ISNUMBER(FIND("BULK",AW40)))+256*(ISNUMBER(FIND("SIZE",AW40)))+512*(LEFT(AW40,3)="CAP")+1024*(ISNUMBER(FIND("ALLERG",AW40)))+2048*(OR(ISNUMBER(FIND("REMARK",AW40)),ISNUMBER(FIND("COMMENT",AW40))))+4096*(OR(ISNUMBER(FIND("QTY",AW40)),ISNUMBER(FIND("QUANTITY",AW40))))+8192*(AND(OR(ISNUMBER(FIND("COMPLETE",AW40)),ISNUMBER(FIND("PCT",AW40)),ISNUMBER(FIND("PERCENT",AW40))),NOT(ISNUMBER(FIND("ACTUAL",AW40))),LEN(AW40)&lt;=16))+32768*(OR(ISNUMBER(FIND("DESIC",AW40)),ISNUMBER(FIND("DESSIC",AW40)))))</f>
        <v/>
      </c>
      <c r="AX175">
        <f>IF(AX40="",0,2*(OR(ISNUMBER(FIND("WORKCENTER",AX40)),AND(LEFT(AX40,4)="LINE",NOT(ISNUMBER(FIND("STATUS",AX40))))))+4*(OR(ISNUMBER(FIND("WORKORDER",AX40)),AND(LEFT(AX40,2)="WO",OR(ISNUMBER(FIND("NUM",AX40)),RIGHT(AX40,2)="NO"))))+8*(LEFT(AX40,3)="SEQ")+16*(AND(LEFT(AX40,4)="ITEM",NOT(ISNUMBER(FIND("DESC",AX40)))))+32*(AND(ISNUMBER(FIND("DESC",AX40)),NOT(ISNUMBER(FIND("CAP",AX40)))))+64*(OR(RIGHT(AX40,5)="COUNT",RIGHT(AX40,2)="CT"))+128*(ISNUMBER(FIND("BULK",AX40)))+256*(ISNUMBER(FIND("SIZE",AX40)))+512*(LEFT(AX40,3)="CAP")+1024*(ISNUMBER(FIND("ALLERG",AX40)))+2048*(OR(ISNUMBER(FIND("REMARK",AX40)),ISNUMBER(FIND("COMMENT",AX40))))+4096*(OR(ISNUMBER(FIND("QTY",AX40)),ISNUMBER(FIND("QUANTITY",AX40))))+8192*(AND(OR(ISNUMBER(FIND("COMPLETE",AX40)),ISNUMBER(FIND("PCT",AX40)),ISNUMBER(FIND("PERCENT",AX40))),NOT(ISNUMBER(FIND("ACTUAL",AX40))),LEN(AX40)&lt;=16))+32768*(OR(ISNUMBER(FIND("DESIC",AX40)),ISNUMBER(FIND("DESSIC",AX40)))))</f>
        <v/>
      </c>
      <c r="AY175">
        <f>IF(AY40="",0,2*(OR(ISNUMBER(FIND("WORKCENTER",AY40)),AND(LEFT(AY40,4)="LINE",NOT(ISNUMBER(FIND("STATUS",AY40))))))+4*(OR(ISNUMBER(FIND("WORKORDER",AY40)),AND(LEFT(AY40,2)="WO",OR(ISNUMBER(FIND("NUM",AY40)),RIGHT(AY40,2)="NO"))))+8*(LEFT(AY40,3)="SEQ")+16*(AND(LEFT(AY40,4)="ITEM",NOT(ISNUMBER(FIND("DESC",AY40)))))+32*(AND(ISNUMBER(FIND("DESC",AY40)),NOT(ISNUMBER(FIND("CAP",AY40)))))+64*(OR(RIGHT(AY40,5)="COUNT",RIGHT(AY40,2)="CT"))+128*(ISNUMBER(FIND("BULK",AY40)))+256*(ISNUMBER(FIND("SIZE",AY40)))+512*(LEFT(AY40,3)="CAP")+1024*(ISNUMBER(FIND("ALLERG",AY40)))+2048*(OR(ISNUMBER(FIND("REMARK",AY40)),ISNUMBER(FIND("COMMENT",AY40))))+4096*(OR(ISNUMBER(FIND("QTY",AY40)),ISNUMBER(FIND("QUANTITY",AY40))))+8192*(AND(OR(ISNUMBER(FIND("COMPLETE",AY40)),ISNUMBER(FIND("PCT",AY40)),ISNUMBER(FIND("PERCENT",AY40))),NOT(ISNUMBER(FIND("ACTUAL",AY40))),LEN(AY40)&lt;=16))+32768*(OR(ISNUMBER(FIND("DESIC",AY40)),ISNUMBER(FIND("DESSIC",AY40)))))</f>
        <v/>
      </c>
      <c r="AZ175">
        <f>IF(AZ40="",0,2*(OR(ISNUMBER(FIND("WORKCENTER",AZ40)),AND(LEFT(AZ40,4)="LINE",NOT(ISNUMBER(FIND("STATUS",AZ40))))))+4*(OR(ISNUMBER(FIND("WORKORDER",AZ40)),AND(LEFT(AZ40,2)="WO",OR(ISNUMBER(FIND("NUM",AZ40)),RIGHT(AZ40,2)="NO"))))+8*(LEFT(AZ40,3)="SEQ")+16*(AND(LEFT(AZ40,4)="ITEM",NOT(ISNUMBER(FIND("DESC",AZ40)))))+32*(AND(ISNUMBER(FIND("DESC",AZ40)),NOT(ISNUMBER(FIND("CAP",AZ40)))))+64*(OR(RIGHT(AZ40,5)="COUNT",RIGHT(AZ40,2)="CT"))+128*(ISNUMBER(FIND("BULK",AZ40)))+256*(ISNUMBER(FIND("SIZE",AZ40)))+512*(LEFT(AZ40,3)="CAP")+1024*(ISNUMBER(FIND("ALLERG",AZ40)))+2048*(OR(ISNUMBER(FIND("REMARK",AZ40)),ISNUMBER(FIND("COMMENT",AZ40))))+4096*(OR(ISNUMBER(FIND("QTY",AZ40)),ISNUMBER(FIND("QUANTITY",AZ40))))+8192*(AND(OR(ISNUMBER(FIND("COMPLETE",AZ40)),ISNUMBER(FIND("PCT",AZ40)),ISNUMBER(FIND("PERCENT",AZ40))),NOT(ISNUMBER(FIND("ACTUAL",AZ40))),LEN(AZ40)&lt;=16))+32768*(OR(ISNUMBER(FIND("DESIC",AZ40)),ISNUMBER(FIND("DESSIC",AZ40)))))</f>
        <v/>
      </c>
      <c r="BA175">
        <f>IF(BA40="",0,2*(OR(ISNUMBER(FIND("WORKCENTER",BA40)),AND(LEFT(BA40,4)="LINE",NOT(ISNUMBER(FIND("STATUS",BA40))))))+4*(OR(ISNUMBER(FIND("WORKORDER",BA40)),AND(LEFT(BA40,2)="WO",OR(ISNUMBER(FIND("NUM",BA40)),RIGHT(BA40,2)="NO"))))+8*(LEFT(BA40,3)="SEQ")+16*(AND(LEFT(BA40,4)="ITEM",NOT(ISNUMBER(FIND("DESC",BA40)))))+32*(AND(ISNUMBER(FIND("DESC",BA40)),NOT(ISNUMBER(FIND("CAP",BA40)))))+64*(OR(RIGHT(BA40,5)="COUNT",RIGHT(BA40,2)="CT"))+128*(ISNUMBER(FIND("BULK",BA40)))+256*(ISNUMBER(FIND("SIZE",BA40)))+512*(LEFT(BA40,3)="CAP")+1024*(ISNUMBER(FIND("ALLERG",BA40)))+2048*(OR(ISNUMBER(FIND("REMARK",BA40)),ISNUMBER(FIND("COMMENT",BA40))))+4096*(OR(ISNUMBER(FIND("QTY",BA40)),ISNUMBER(FIND("QUANTITY",BA40))))+8192*(AND(OR(ISNUMBER(FIND("COMPLETE",BA40)),ISNUMBER(FIND("PCT",BA40)),ISNUMBER(FIND("PERCENT",BA40))),NOT(ISNUMBER(FIND("ACTUAL",BA40))),LEN(BA40)&lt;=16))+32768*(OR(ISNUMBER(FIND("DESIC",BA40)),ISNUMBER(FIND("DESSIC",BA40)))))</f>
        <v/>
      </c>
      <c r="BB175">
        <f>IF(BB40="",0,2*(OR(ISNUMBER(FIND("WORKCENTER",BB40)),AND(LEFT(BB40,4)="LINE",NOT(ISNUMBER(FIND("STATUS",BB40))))))+4*(OR(ISNUMBER(FIND("WORKORDER",BB40)),AND(LEFT(BB40,2)="WO",OR(ISNUMBER(FIND("NUM",BB40)),RIGHT(BB40,2)="NO"))))+8*(LEFT(BB40,3)="SEQ")+16*(AND(LEFT(BB40,4)="ITEM",NOT(ISNUMBER(FIND("DESC",BB40)))))+32*(AND(ISNUMBER(FIND("DESC",BB40)),NOT(ISNUMBER(FIND("CAP",BB40)))))+64*(OR(RIGHT(BB40,5)="COUNT",RIGHT(BB40,2)="CT"))+128*(ISNUMBER(FIND("BULK",BB40)))+256*(ISNUMBER(FIND("SIZE",BB40)))+512*(LEFT(BB40,3)="CAP")+1024*(ISNUMBER(FIND("ALLERG",BB40)))+2048*(OR(ISNUMBER(FIND("REMARK",BB40)),ISNUMBER(FIND("COMMENT",BB40))))+4096*(OR(ISNUMBER(FIND("QTY",BB40)),ISNUMBER(FIND("QUANTITY",BB40))))+8192*(AND(OR(ISNUMBER(FIND("COMPLETE",BB40)),ISNUMBER(FIND("PCT",BB40)),ISNUMBER(FIND("PERCENT",BB40))),NOT(ISNUMBER(FIND("ACTUAL",BB40))),LEN(BB40)&lt;=16))+32768*(OR(ISNUMBER(FIND("DESIC",BB40)),ISNUMBER(FIND("DESSIC",BB40)))))</f>
        <v/>
      </c>
      <c r="BC175">
        <f>IF(BC40="",0,2*(OR(ISNUMBER(FIND("WORKCENTER",BC40)),AND(LEFT(BC40,4)="LINE",NOT(ISNUMBER(FIND("STATUS",BC40))))))+4*(OR(ISNUMBER(FIND("WORKORDER",BC40)),AND(LEFT(BC40,2)="WO",OR(ISNUMBER(FIND("NUM",BC40)),RIGHT(BC40,2)="NO"))))+8*(LEFT(BC40,3)="SEQ")+16*(AND(LEFT(BC40,4)="ITEM",NOT(ISNUMBER(FIND("DESC",BC40)))))+32*(AND(ISNUMBER(FIND("DESC",BC40)),NOT(ISNUMBER(FIND("CAP",BC40)))))+64*(OR(RIGHT(BC40,5)="COUNT",RIGHT(BC40,2)="CT"))+128*(ISNUMBER(FIND("BULK",BC40)))+256*(ISNUMBER(FIND("SIZE",BC40)))+512*(LEFT(BC40,3)="CAP")+1024*(ISNUMBER(FIND("ALLERG",BC40)))+2048*(OR(ISNUMBER(FIND("REMARK",BC40)),ISNUMBER(FIND("COMMENT",BC40))))+4096*(OR(ISNUMBER(FIND("QTY",BC40)),ISNUMBER(FIND("QUANTITY",BC40))))+8192*(AND(OR(ISNUMBER(FIND("COMPLETE",BC40)),ISNUMBER(FIND("PCT",BC40)),ISNUMBER(FIND("PERCENT",BC40))),NOT(ISNUMBER(FIND("ACTUAL",BC40))),LEN(BC40)&lt;=16))+32768*(OR(ISNUMBER(FIND("DESIC",BC40)),ISNUMBER(FIND("DESSIC",BC40)))))</f>
        <v/>
      </c>
      <c r="BD175">
        <f>IF(BD40="",0,2*(OR(ISNUMBER(FIND("WORKCENTER",BD40)),AND(LEFT(BD40,4)="LINE",NOT(ISNUMBER(FIND("STATUS",BD40))))))+4*(OR(ISNUMBER(FIND("WORKORDER",BD40)),AND(LEFT(BD40,2)="WO",OR(ISNUMBER(FIND("NUM",BD40)),RIGHT(BD40,2)="NO"))))+8*(LEFT(BD40,3)="SEQ")+16*(AND(LEFT(BD40,4)="ITEM",NOT(ISNUMBER(FIND("DESC",BD40)))))+32*(AND(ISNUMBER(FIND("DESC",BD40)),NOT(ISNUMBER(FIND("CAP",BD40)))))+64*(OR(RIGHT(BD40,5)="COUNT",RIGHT(BD40,2)="CT"))+128*(ISNUMBER(FIND("BULK",BD40)))+256*(ISNUMBER(FIND("SIZE",BD40)))+512*(LEFT(BD40,3)="CAP")+1024*(ISNUMBER(FIND("ALLERG",BD40)))+2048*(OR(ISNUMBER(FIND("REMARK",BD40)),ISNUMBER(FIND("COMMENT",BD40))))+4096*(OR(ISNUMBER(FIND("QTY",BD40)),ISNUMBER(FIND("QUANTITY",BD40))))+8192*(AND(OR(ISNUMBER(FIND("COMPLETE",BD40)),ISNUMBER(FIND("PCT",BD40)),ISNUMBER(FIND("PERCENT",BD40))),NOT(ISNUMBER(FIND("ACTUAL",BD40))),LEN(BD40)&lt;=16))+32768*(OR(ISNUMBER(FIND("DESIC",BD40)),ISNUMBER(FIND("DESSIC",BD40)))))</f>
        <v/>
      </c>
      <c r="BE175">
        <f>IF(BE40="",0,2*(OR(ISNUMBER(FIND("WORKCENTER",BE40)),AND(LEFT(BE40,4)="LINE",NOT(ISNUMBER(FIND("STATUS",BE40))))))+4*(OR(ISNUMBER(FIND("WORKORDER",BE40)),AND(LEFT(BE40,2)="WO",OR(ISNUMBER(FIND("NUM",BE40)),RIGHT(BE40,2)="NO"))))+8*(LEFT(BE40,3)="SEQ")+16*(AND(LEFT(BE40,4)="ITEM",NOT(ISNUMBER(FIND("DESC",BE40)))))+32*(AND(ISNUMBER(FIND("DESC",BE40)),NOT(ISNUMBER(FIND("CAP",BE40)))))+64*(OR(RIGHT(BE40,5)="COUNT",RIGHT(BE40,2)="CT"))+128*(ISNUMBER(FIND("BULK",BE40)))+256*(ISNUMBER(FIND("SIZE",BE40)))+512*(LEFT(BE40,3)="CAP")+1024*(ISNUMBER(FIND("ALLERG",BE40)))+2048*(OR(ISNUMBER(FIND("REMARK",BE40)),ISNUMBER(FIND("COMMENT",BE40))))+4096*(OR(ISNUMBER(FIND("QTY",BE40)),ISNUMBER(FIND("QUANTITY",BE40))))+8192*(AND(OR(ISNUMBER(FIND("COMPLETE",BE40)),ISNUMBER(FIND("PCT",BE40)),ISNUMBER(FIND("PERCENT",BE40))),NOT(ISNUMBER(FIND("ACTUAL",BE40))),LEN(BE40)&lt;=16))+32768*(OR(ISNUMBER(FIND("DESIC",BE40)),ISNUMBER(FIND("DESSIC",BE40)))))</f>
        <v/>
      </c>
      <c r="BF175">
        <f>IF(BF40="",0,2*(OR(ISNUMBER(FIND("WORKCENTER",BF40)),AND(LEFT(BF40,4)="LINE",NOT(ISNUMBER(FIND("STATUS",BF40))))))+4*(OR(ISNUMBER(FIND("WORKORDER",BF40)),AND(LEFT(BF40,2)="WO",OR(ISNUMBER(FIND("NUM",BF40)),RIGHT(BF40,2)="NO"))))+8*(LEFT(BF40,3)="SEQ")+16*(AND(LEFT(BF40,4)="ITEM",NOT(ISNUMBER(FIND("DESC",BF40)))))+32*(AND(ISNUMBER(FIND("DESC",BF40)),NOT(ISNUMBER(FIND("CAP",BF40)))))+64*(OR(RIGHT(BF40,5)="COUNT",RIGHT(BF40,2)="CT"))+128*(ISNUMBER(FIND("BULK",BF40)))+256*(ISNUMBER(FIND("SIZE",BF40)))+512*(LEFT(BF40,3)="CAP")+1024*(ISNUMBER(FIND("ALLERG",BF40)))+2048*(OR(ISNUMBER(FIND("REMARK",BF40)),ISNUMBER(FIND("COMMENT",BF40))))+4096*(OR(ISNUMBER(FIND("QTY",BF40)),ISNUMBER(FIND("QUANTITY",BF40))))+8192*(AND(OR(ISNUMBER(FIND("COMPLETE",BF40)),ISNUMBER(FIND("PCT",BF40)),ISNUMBER(FIND("PERCENT",BF40))),NOT(ISNUMBER(FIND("ACTUAL",BF40))),LEN(BF40)&lt;=16))+32768*(OR(ISNUMBER(FIND("DESIC",BF40)),ISNUMBER(FIND("DESSIC",BF40)))))</f>
        <v/>
      </c>
      <c r="BG175">
        <f>IF(BG40="",0,2*(OR(ISNUMBER(FIND("WORKCENTER",BG40)),AND(LEFT(BG40,4)="LINE",NOT(ISNUMBER(FIND("STATUS",BG40))))))+4*(OR(ISNUMBER(FIND("WORKORDER",BG40)),AND(LEFT(BG40,2)="WO",OR(ISNUMBER(FIND("NUM",BG40)),RIGHT(BG40,2)="NO"))))+8*(LEFT(BG40,3)="SEQ")+16*(AND(LEFT(BG40,4)="ITEM",NOT(ISNUMBER(FIND("DESC",BG40)))))+32*(AND(ISNUMBER(FIND("DESC",BG40)),NOT(ISNUMBER(FIND("CAP",BG40)))))+64*(OR(RIGHT(BG40,5)="COUNT",RIGHT(BG40,2)="CT"))+128*(ISNUMBER(FIND("BULK",BG40)))+256*(ISNUMBER(FIND("SIZE",BG40)))+512*(LEFT(BG40,3)="CAP")+1024*(ISNUMBER(FIND("ALLERG",BG40)))+2048*(OR(ISNUMBER(FIND("REMARK",BG40)),ISNUMBER(FIND("COMMENT",BG40))))+4096*(OR(ISNUMBER(FIND("QTY",BG40)),ISNUMBER(FIND("QUANTITY",BG40))))+8192*(AND(OR(ISNUMBER(FIND("COMPLETE",BG40)),ISNUMBER(FIND("PCT",BG40)),ISNUMBER(FIND("PERCENT",BG40))),NOT(ISNUMBER(FIND("ACTUAL",BG40))),LEN(BG40)&lt;=16))+32768*(OR(ISNUMBER(FIND("DESIC",BG40)),ISNUMBER(FIND("DESSIC",BG40)))))</f>
        <v/>
      </c>
      <c r="BH175">
        <f>IF(BH40="",0,2*(OR(ISNUMBER(FIND("WORKCENTER",BH40)),AND(LEFT(BH40,4)="LINE",NOT(ISNUMBER(FIND("STATUS",BH40))))))+4*(OR(ISNUMBER(FIND("WORKORDER",BH40)),AND(LEFT(BH40,2)="WO",OR(ISNUMBER(FIND("NUM",BH40)),RIGHT(BH40,2)="NO"))))+8*(LEFT(BH40,3)="SEQ")+16*(AND(LEFT(BH40,4)="ITEM",NOT(ISNUMBER(FIND("DESC",BH40)))))+32*(AND(ISNUMBER(FIND("DESC",BH40)),NOT(ISNUMBER(FIND("CAP",BH40)))))+64*(OR(RIGHT(BH40,5)="COUNT",RIGHT(BH40,2)="CT"))+128*(ISNUMBER(FIND("BULK",BH40)))+256*(ISNUMBER(FIND("SIZE",BH40)))+512*(LEFT(BH40,3)="CAP")+1024*(ISNUMBER(FIND("ALLERG",BH40)))+2048*(OR(ISNUMBER(FIND("REMARK",BH40)),ISNUMBER(FIND("COMMENT",BH40))))+4096*(OR(ISNUMBER(FIND("QTY",BH40)),ISNUMBER(FIND("QUANTITY",BH40))))+8192*(AND(OR(ISNUMBER(FIND("COMPLETE",BH40)),ISNUMBER(FIND("PCT",BH40)),ISNUMBER(FIND("PERCENT",BH40))),NOT(ISNUMBER(FIND("ACTUAL",BH40))),LEN(BH40)&lt;=16))+32768*(OR(ISNUMBER(FIND("DESIC",BH40)),ISNUMBER(FIND("DESSIC",BH40)))))</f>
        <v/>
      </c>
      <c r="BI175">
        <f>IF(BI40="",0,2*(OR(ISNUMBER(FIND("WORKCENTER",BI40)),AND(LEFT(BI40,4)="LINE",NOT(ISNUMBER(FIND("STATUS",BI40))))))+4*(OR(ISNUMBER(FIND("WORKORDER",BI40)),AND(LEFT(BI40,2)="WO",OR(ISNUMBER(FIND("NUM",BI40)),RIGHT(BI40,2)="NO"))))+8*(LEFT(BI40,3)="SEQ")+16*(AND(LEFT(BI40,4)="ITEM",NOT(ISNUMBER(FIND("DESC",BI40)))))+32*(AND(ISNUMBER(FIND("DESC",BI40)),NOT(ISNUMBER(FIND("CAP",BI40)))))+64*(OR(RIGHT(BI40,5)="COUNT",RIGHT(BI40,2)="CT"))+128*(ISNUMBER(FIND("BULK",BI40)))+256*(ISNUMBER(FIND("SIZE",BI40)))+512*(LEFT(BI40,3)="CAP")+1024*(ISNUMBER(FIND("ALLERG",BI40)))+2048*(OR(ISNUMBER(FIND("REMARK",BI40)),ISNUMBER(FIND("COMMENT",BI40))))+4096*(OR(ISNUMBER(FIND("QTY",BI40)),ISNUMBER(FIND("QUANTITY",BI40))))+8192*(AND(OR(ISNUMBER(FIND("COMPLETE",BI40)),ISNUMBER(FIND("PCT",BI40)),ISNUMBER(FIND("PERCENT",BI40))),NOT(ISNUMBER(FIND("ACTUAL",BI40))),LEN(BI40)&lt;=16))+32768*(OR(ISNUMBER(FIND("DESIC",BI40)),ISNUMBER(FIND("DESSIC",BI40)))))</f>
        <v/>
      </c>
      <c r="BJ175">
        <f>IF(BJ40="",0,2*(OR(ISNUMBER(FIND("WORKCENTER",BJ40)),AND(LEFT(BJ40,4)="LINE",NOT(ISNUMBER(FIND("STATUS",BJ40))))))+4*(OR(ISNUMBER(FIND("WORKORDER",BJ40)),AND(LEFT(BJ40,2)="WO",OR(ISNUMBER(FIND("NUM",BJ40)),RIGHT(BJ40,2)="NO"))))+8*(LEFT(BJ40,3)="SEQ")+16*(AND(LEFT(BJ40,4)="ITEM",NOT(ISNUMBER(FIND("DESC",BJ40)))))+32*(AND(ISNUMBER(FIND("DESC",BJ40)),NOT(ISNUMBER(FIND("CAP",BJ40)))))+64*(OR(RIGHT(BJ40,5)="COUNT",RIGHT(BJ40,2)="CT"))+128*(ISNUMBER(FIND("BULK",BJ40)))+256*(ISNUMBER(FIND("SIZE",BJ40)))+512*(LEFT(BJ40,3)="CAP")+1024*(ISNUMBER(FIND("ALLERG",BJ40)))+2048*(OR(ISNUMBER(FIND("REMARK",BJ40)),ISNUMBER(FIND("COMMENT",BJ40))))+4096*(OR(ISNUMBER(FIND("QTY",BJ40)),ISNUMBER(FIND("QUANTITY",BJ40))))+8192*(AND(OR(ISNUMBER(FIND("COMPLETE",BJ40)),ISNUMBER(FIND("PCT",BJ40)),ISNUMBER(FIND("PERCENT",BJ40))),NOT(ISNUMBER(FIND("ACTUAL",BJ40))),LEN(BJ40)&lt;=16))+32768*(OR(ISNUMBER(FIND("DESIC",BJ40)),ISNUMBER(FIND("DESSIC",BJ40)))))</f>
        <v/>
      </c>
      <c r="BK175">
        <f>IF(BK40="",0,2*(OR(ISNUMBER(FIND("WORKCENTER",BK40)),AND(LEFT(BK40,4)="LINE",NOT(ISNUMBER(FIND("STATUS",BK40))))))+4*(OR(ISNUMBER(FIND("WORKORDER",BK40)),AND(LEFT(BK40,2)="WO",OR(ISNUMBER(FIND("NUM",BK40)),RIGHT(BK40,2)="NO"))))+8*(LEFT(BK40,3)="SEQ")+16*(AND(LEFT(BK40,4)="ITEM",NOT(ISNUMBER(FIND("DESC",BK40)))))+32*(AND(ISNUMBER(FIND("DESC",BK40)),NOT(ISNUMBER(FIND("CAP",BK40)))))+64*(OR(RIGHT(BK40,5)="COUNT",RIGHT(BK40,2)="CT"))+128*(ISNUMBER(FIND("BULK",BK40)))+256*(ISNUMBER(FIND("SIZE",BK40)))+512*(LEFT(BK40,3)="CAP")+1024*(ISNUMBER(FIND("ALLERG",BK40)))+2048*(OR(ISNUMBER(FIND("REMARK",BK40)),ISNUMBER(FIND("COMMENT",BK40))))+4096*(OR(ISNUMBER(FIND("QTY",BK40)),ISNUMBER(FIND("QUANTITY",BK40))))+8192*(AND(OR(ISNUMBER(FIND("COMPLETE",BK40)),ISNUMBER(FIND("PCT",BK40)),ISNUMBER(FIND("PERCENT",BK40))),NOT(ISNUMBER(FIND("ACTUAL",BK40))),LEN(BK40)&lt;=16))+32768*(OR(ISNUMBER(FIND("DESIC",BK40)),ISNUMBER(FIND("DESSIC",BK40)))))</f>
        <v/>
      </c>
      <c r="BL175">
        <f>IF(BL40="",0,2*(OR(ISNUMBER(FIND("WORKCENTER",BL40)),AND(LEFT(BL40,4)="LINE",NOT(ISNUMBER(FIND("STATUS",BL40))))))+4*(OR(ISNUMBER(FIND("WORKORDER",BL40)),AND(LEFT(BL40,2)="WO",OR(ISNUMBER(FIND("NUM",BL40)),RIGHT(BL40,2)="NO"))))+8*(LEFT(BL40,3)="SEQ")+16*(AND(LEFT(BL40,4)="ITEM",NOT(ISNUMBER(FIND("DESC",BL40)))))+32*(AND(ISNUMBER(FIND("DESC",BL40)),NOT(ISNUMBER(FIND("CAP",BL40)))))+64*(OR(RIGHT(BL40,5)="COUNT",RIGHT(BL40,2)="CT"))+128*(ISNUMBER(FIND("BULK",BL40)))+256*(ISNUMBER(FIND("SIZE",BL40)))+512*(LEFT(BL40,3)="CAP")+1024*(ISNUMBER(FIND("ALLERG",BL40)))+2048*(OR(ISNUMBER(FIND("REMARK",BL40)),ISNUMBER(FIND("COMMENT",BL40))))+4096*(OR(ISNUMBER(FIND("QTY",BL40)),ISNUMBER(FIND("QUANTITY",BL40))))+8192*(AND(OR(ISNUMBER(FIND("COMPLETE",BL40)),ISNUMBER(FIND("PCT",BL40)),ISNUMBER(FIND("PERCENT",BL40))),NOT(ISNUMBER(FIND("ACTUAL",BL40))),LEN(BL40)&lt;=16))+32768*(OR(ISNUMBER(FIND("DESIC",BL40)),ISNUMBER(FIND("DESSIC",BL40)))))</f>
        <v/>
      </c>
      <c r="BM175">
        <f>IF(BM40="",0,2*(OR(ISNUMBER(FIND("WORKCENTER",BM40)),AND(LEFT(BM40,4)="LINE",NOT(ISNUMBER(FIND("STATUS",BM40))))))+4*(OR(ISNUMBER(FIND("WORKORDER",BM40)),AND(LEFT(BM40,2)="WO",OR(ISNUMBER(FIND("NUM",BM40)),RIGHT(BM40,2)="NO"))))+8*(LEFT(BM40,3)="SEQ")+16*(AND(LEFT(BM40,4)="ITEM",NOT(ISNUMBER(FIND("DESC",BM40)))))+32*(AND(ISNUMBER(FIND("DESC",BM40)),NOT(ISNUMBER(FIND("CAP",BM40)))))+64*(OR(RIGHT(BM40,5)="COUNT",RIGHT(BM40,2)="CT"))+128*(ISNUMBER(FIND("BULK",BM40)))+256*(ISNUMBER(FIND("SIZE",BM40)))+512*(LEFT(BM40,3)="CAP")+1024*(ISNUMBER(FIND("ALLERG",BM40)))+2048*(OR(ISNUMBER(FIND("REMARK",BM40)),ISNUMBER(FIND("COMMENT",BM40))))+4096*(OR(ISNUMBER(FIND("QTY",BM40)),ISNUMBER(FIND("QUANTITY",BM40))))+8192*(AND(OR(ISNUMBER(FIND("COMPLETE",BM40)),ISNUMBER(FIND("PCT",BM40)),ISNUMBER(FIND("PERCENT",BM40))),NOT(ISNUMBER(FIND("ACTUAL",BM40))),LEN(BM40)&lt;=16))+32768*(OR(ISNUMBER(FIND("DESIC",BM40)),ISNUMBER(FIND("DESSIC",BM40)))))</f>
        <v/>
      </c>
      <c r="BN175">
        <f>IF(BN40="",0,2*(OR(ISNUMBER(FIND("WORKCENTER",BN40)),AND(LEFT(BN40,4)="LINE",NOT(ISNUMBER(FIND("STATUS",BN40))))))+4*(OR(ISNUMBER(FIND("WORKORDER",BN40)),AND(LEFT(BN40,2)="WO",OR(ISNUMBER(FIND("NUM",BN40)),RIGHT(BN40,2)="NO"))))+8*(LEFT(BN40,3)="SEQ")+16*(AND(LEFT(BN40,4)="ITEM",NOT(ISNUMBER(FIND("DESC",BN40)))))+32*(AND(ISNUMBER(FIND("DESC",BN40)),NOT(ISNUMBER(FIND("CAP",BN40)))))+64*(OR(RIGHT(BN40,5)="COUNT",RIGHT(BN40,2)="CT"))+128*(ISNUMBER(FIND("BULK",BN40)))+256*(ISNUMBER(FIND("SIZE",BN40)))+512*(LEFT(BN40,3)="CAP")+1024*(ISNUMBER(FIND("ALLERG",BN40)))+2048*(OR(ISNUMBER(FIND("REMARK",BN40)),ISNUMBER(FIND("COMMENT",BN40))))+4096*(OR(ISNUMBER(FIND("QTY",BN40)),ISNUMBER(FIND("QUANTITY",BN40))))+8192*(AND(OR(ISNUMBER(FIND("COMPLETE",BN40)),ISNUMBER(FIND("PCT",BN40)),ISNUMBER(FIND("PERCENT",BN40))),NOT(ISNUMBER(FIND("ACTUAL",BN40))),LEN(BN40)&lt;=16))+32768*(OR(ISNUMBER(FIND("DESIC",BN40)),ISNUMBER(FIND("DESSIC",BN40)))))</f>
        <v/>
      </c>
      <c r="BO175">
        <f>IF(BO40="",0,2*(OR(ISNUMBER(FIND("WORKCENTER",BO40)),AND(LEFT(BO40,4)="LINE",NOT(ISNUMBER(FIND("STATUS",BO40))))))+4*(OR(ISNUMBER(FIND("WORKORDER",BO40)),AND(LEFT(BO40,2)="WO",OR(ISNUMBER(FIND("NUM",BO40)),RIGHT(BO40,2)="NO"))))+8*(LEFT(BO40,3)="SEQ")+16*(AND(LEFT(BO40,4)="ITEM",NOT(ISNUMBER(FIND("DESC",BO40)))))+32*(AND(ISNUMBER(FIND("DESC",BO40)),NOT(ISNUMBER(FIND("CAP",BO40)))))+64*(OR(RIGHT(BO40,5)="COUNT",RIGHT(BO40,2)="CT"))+128*(ISNUMBER(FIND("BULK",BO40)))+256*(ISNUMBER(FIND("SIZE",BO40)))+512*(LEFT(BO40,3)="CAP")+1024*(ISNUMBER(FIND("ALLERG",BO40)))+2048*(OR(ISNUMBER(FIND("REMARK",BO40)),ISNUMBER(FIND("COMMENT",BO40))))+4096*(OR(ISNUMBER(FIND("QTY",BO40)),ISNUMBER(FIND("QUANTITY",BO40))))+8192*(AND(OR(ISNUMBER(FIND("COMPLETE",BO40)),ISNUMBER(FIND("PCT",BO40)),ISNUMBER(FIND("PERCENT",BO40))),NOT(ISNUMBER(FIND("ACTUAL",BO40))),LEN(BO40)&lt;=16))+32768*(OR(ISNUMBER(FIND("DESIC",BO40)),ISNUMBER(FIND("DESSIC",BO40)))))</f>
        <v/>
      </c>
      <c r="BP175">
        <f>IF(BP40="",0,2*(OR(ISNUMBER(FIND("WORKCENTER",BP40)),AND(LEFT(BP40,4)="LINE",NOT(ISNUMBER(FIND("STATUS",BP40))))))+4*(OR(ISNUMBER(FIND("WORKORDER",BP40)),AND(LEFT(BP40,2)="WO",OR(ISNUMBER(FIND("NUM",BP40)),RIGHT(BP40,2)="NO"))))+8*(LEFT(BP40,3)="SEQ")+16*(AND(LEFT(BP40,4)="ITEM",NOT(ISNUMBER(FIND("DESC",BP40)))))+32*(AND(ISNUMBER(FIND("DESC",BP40)),NOT(ISNUMBER(FIND("CAP",BP40)))))+64*(OR(RIGHT(BP40,5)="COUNT",RIGHT(BP40,2)="CT"))+128*(ISNUMBER(FIND("BULK",BP40)))+256*(ISNUMBER(FIND("SIZE",BP40)))+512*(LEFT(BP40,3)="CAP")+1024*(ISNUMBER(FIND("ALLERG",BP40)))+2048*(OR(ISNUMBER(FIND("REMARK",BP40)),ISNUMBER(FIND("COMMENT",BP40))))+4096*(OR(ISNUMBER(FIND("QTY",BP40)),ISNUMBER(FIND("QUANTITY",BP40))))+8192*(AND(OR(ISNUMBER(FIND("COMPLETE",BP40)),ISNUMBER(FIND("PCT",BP40)),ISNUMBER(FIND("PERCENT",BP40))),NOT(ISNUMBER(FIND("ACTUAL",BP40))),LEN(BP40)&lt;=16))+32768*(OR(ISNUMBER(FIND("DESIC",BP40)),ISNUMBER(FIND("DESSIC",BP40)))))</f>
        <v/>
      </c>
      <c r="BQ175">
        <f>IF(BQ40="",0,2*(OR(ISNUMBER(FIND("WORKCENTER",BQ40)),AND(LEFT(BQ40,4)="LINE",NOT(ISNUMBER(FIND("STATUS",BQ40))))))+4*(OR(ISNUMBER(FIND("WORKORDER",BQ40)),AND(LEFT(BQ40,2)="WO",OR(ISNUMBER(FIND("NUM",BQ40)),RIGHT(BQ40,2)="NO"))))+8*(LEFT(BQ40,3)="SEQ")+16*(AND(LEFT(BQ40,4)="ITEM",NOT(ISNUMBER(FIND("DESC",BQ40)))))+32*(AND(ISNUMBER(FIND("DESC",BQ40)),NOT(ISNUMBER(FIND("CAP",BQ40)))))+64*(OR(RIGHT(BQ40,5)="COUNT",RIGHT(BQ40,2)="CT"))+128*(ISNUMBER(FIND("BULK",BQ40)))+256*(ISNUMBER(FIND("SIZE",BQ40)))+512*(LEFT(BQ40,3)="CAP")+1024*(ISNUMBER(FIND("ALLERG",BQ40)))+2048*(OR(ISNUMBER(FIND("REMARK",BQ40)),ISNUMBER(FIND("COMMENT",BQ40))))+4096*(OR(ISNUMBER(FIND("QTY",BQ40)),ISNUMBER(FIND("QUANTITY",BQ40))))+8192*(AND(OR(ISNUMBER(FIND("COMPLETE",BQ40)),ISNUMBER(FIND("PCT",BQ40)),ISNUMBER(FIND("PERCENT",BQ40))),NOT(ISNUMBER(FIND("ACTUAL",BQ40))),LEN(BQ40)&lt;=16))+32768*(OR(ISNUMBER(FIND("DESIC",BQ40)),ISNUMBER(FIND("DESSIC",BQ40)))))</f>
        <v/>
      </c>
      <c r="BR175">
        <f>IF(BR40="",0,2*(OR(ISNUMBER(FIND("WORKCENTER",BR40)),AND(LEFT(BR40,4)="LINE",NOT(ISNUMBER(FIND("STATUS",BR40))))))+4*(OR(ISNUMBER(FIND("WORKORDER",BR40)),AND(LEFT(BR40,2)="WO",OR(ISNUMBER(FIND("NUM",BR40)),RIGHT(BR40,2)="NO"))))+8*(LEFT(BR40,3)="SEQ")+16*(AND(LEFT(BR40,4)="ITEM",NOT(ISNUMBER(FIND("DESC",BR40)))))+32*(AND(ISNUMBER(FIND("DESC",BR40)),NOT(ISNUMBER(FIND("CAP",BR40)))))+64*(OR(RIGHT(BR40,5)="COUNT",RIGHT(BR40,2)="CT"))+128*(ISNUMBER(FIND("BULK",BR40)))+256*(ISNUMBER(FIND("SIZE",BR40)))+512*(LEFT(BR40,3)="CAP")+1024*(ISNUMBER(FIND("ALLERG",BR40)))+2048*(OR(ISNUMBER(FIND("REMARK",BR40)),ISNUMBER(FIND("COMMENT",BR40))))+4096*(OR(ISNUMBER(FIND("QTY",BR40)),ISNUMBER(FIND("QUANTITY",BR40))))+8192*(AND(OR(ISNUMBER(FIND("COMPLETE",BR40)),ISNUMBER(FIND("PCT",BR40)),ISNUMBER(FIND("PERCENT",BR40))),NOT(ISNUMBER(FIND("ACTUAL",BR40))),LEN(BR40)&lt;=16))+32768*(OR(ISNUMBER(FIND("DESIC",BR40)),ISNUMBER(FIND("DESSIC",BR40)))))</f>
        <v/>
      </c>
      <c r="BS175">
        <f>IF(BS40="",0,2*(OR(ISNUMBER(FIND("WORKCENTER",BS40)),AND(LEFT(BS40,4)="LINE",NOT(ISNUMBER(FIND("STATUS",BS40))))))+4*(OR(ISNUMBER(FIND("WORKORDER",BS40)),AND(LEFT(BS40,2)="WO",OR(ISNUMBER(FIND("NUM",BS40)),RIGHT(BS40,2)="NO"))))+8*(LEFT(BS40,3)="SEQ")+16*(AND(LEFT(BS40,4)="ITEM",NOT(ISNUMBER(FIND("DESC",BS40)))))+32*(AND(ISNUMBER(FIND("DESC",BS40)),NOT(ISNUMBER(FIND("CAP",BS40)))))+64*(OR(RIGHT(BS40,5)="COUNT",RIGHT(BS40,2)="CT"))+128*(ISNUMBER(FIND("BULK",BS40)))+256*(ISNUMBER(FIND("SIZE",BS40)))+512*(LEFT(BS40,3)="CAP")+1024*(ISNUMBER(FIND("ALLERG",BS40)))+2048*(OR(ISNUMBER(FIND("REMARK",BS40)),ISNUMBER(FIND("COMMENT",BS40))))+4096*(OR(ISNUMBER(FIND("QTY",BS40)),ISNUMBER(FIND("QUANTITY",BS40))))+8192*(AND(OR(ISNUMBER(FIND("COMPLETE",BS40)),ISNUMBER(FIND("PCT",BS40)),ISNUMBER(FIND("PERCENT",BS40))),NOT(ISNUMBER(FIND("ACTUAL",BS40))),LEN(BS40)&lt;=16))+32768*(OR(ISNUMBER(FIND("DESIC",BS40)),ISNUMBER(FIND("DESSIC",BS40)))))</f>
        <v/>
      </c>
      <c r="BT175">
        <f>IF(BT40="",0,2*(OR(ISNUMBER(FIND("WORKCENTER",BT40)),AND(LEFT(BT40,4)="LINE",NOT(ISNUMBER(FIND("STATUS",BT40))))))+4*(OR(ISNUMBER(FIND("WORKORDER",BT40)),AND(LEFT(BT40,2)="WO",OR(ISNUMBER(FIND("NUM",BT40)),RIGHT(BT40,2)="NO"))))+8*(LEFT(BT40,3)="SEQ")+16*(AND(LEFT(BT40,4)="ITEM",NOT(ISNUMBER(FIND("DESC",BT40)))))+32*(AND(ISNUMBER(FIND("DESC",BT40)),NOT(ISNUMBER(FIND("CAP",BT40)))))+64*(OR(RIGHT(BT40,5)="COUNT",RIGHT(BT40,2)="CT"))+128*(ISNUMBER(FIND("BULK",BT40)))+256*(ISNUMBER(FIND("SIZE",BT40)))+512*(LEFT(BT40,3)="CAP")+1024*(ISNUMBER(FIND("ALLERG",BT40)))+2048*(OR(ISNUMBER(FIND("REMARK",BT40)),ISNUMBER(FIND("COMMENT",BT40))))+4096*(OR(ISNUMBER(FIND("QTY",BT40)),ISNUMBER(FIND("QUANTITY",BT40))))+8192*(AND(OR(ISNUMBER(FIND("COMPLETE",BT40)),ISNUMBER(FIND("PCT",BT40)),ISNUMBER(FIND("PERCENT",BT40))),NOT(ISNUMBER(FIND("ACTUAL",BT40))),LEN(BT40)&lt;=16))+32768*(OR(ISNUMBER(FIND("DESIC",BT40)),ISNUMBER(FIND("DESSIC",BT40)))))</f>
        <v/>
      </c>
      <c r="BU175">
        <f>IF(BU40="",0,2*(OR(ISNUMBER(FIND("WORKCENTER",BU40)),AND(LEFT(BU40,4)="LINE",NOT(ISNUMBER(FIND("STATUS",BU40))))))+4*(OR(ISNUMBER(FIND("WORKORDER",BU40)),AND(LEFT(BU40,2)="WO",OR(ISNUMBER(FIND("NUM",BU40)),RIGHT(BU40,2)="NO"))))+8*(LEFT(BU40,3)="SEQ")+16*(AND(LEFT(BU40,4)="ITEM",NOT(ISNUMBER(FIND("DESC",BU40)))))+32*(AND(ISNUMBER(FIND("DESC",BU40)),NOT(ISNUMBER(FIND("CAP",BU40)))))+64*(OR(RIGHT(BU40,5)="COUNT",RIGHT(BU40,2)="CT"))+128*(ISNUMBER(FIND("BULK",BU40)))+256*(ISNUMBER(FIND("SIZE",BU40)))+512*(LEFT(BU40,3)="CAP")+1024*(ISNUMBER(FIND("ALLERG",BU40)))+2048*(OR(ISNUMBER(FIND("REMARK",BU40)),ISNUMBER(FIND("COMMENT",BU40))))+4096*(OR(ISNUMBER(FIND("QTY",BU40)),ISNUMBER(FIND("QUANTITY",BU40))))+8192*(AND(OR(ISNUMBER(FIND("COMPLETE",BU40)),ISNUMBER(FIND("PCT",BU40)),ISNUMBER(FIND("PERCENT",BU40))),NOT(ISNUMBER(FIND("ACTUAL",BU40))),LEN(BU40)&lt;=16))+32768*(OR(ISNUMBER(FIND("DESIC",BU40)),ISNUMBER(FIND("DESSIC",BU40)))))</f>
        <v/>
      </c>
      <c r="BV175">
        <f>IF(BV40="",0,2*(OR(ISNUMBER(FIND("WORKCENTER",BV40)),AND(LEFT(BV40,4)="LINE",NOT(ISNUMBER(FIND("STATUS",BV40))))))+4*(OR(ISNUMBER(FIND("WORKORDER",BV40)),AND(LEFT(BV40,2)="WO",OR(ISNUMBER(FIND("NUM",BV40)),RIGHT(BV40,2)="NO"))))+8*(LEFT(BV40,3)="SEQ")+16*(AND(LEFT(BV40,4)="ITEM",NOT(ISNUMBER(FIND("DESC",BV40)))))+32*(AND(ISNUMBER(FIND("DESC",BV40)),NOT(ISNUMBER(FIND("CAP",BV40)))))+64*(OR(RIGHT(BV40,5)="COUNT",RIGHT(BV40,2)="CT"))+128*(ISNUMBER(FIND("BULK",BV40)))+256*(ISNUMBER(FIND("SIZE",BV40)))+512*(LEFT(BV40,3)="CAP")+1024*(ISNUMBER(FIND("ALLERG",BV40)))+2048*(OR(ISNUMBER(FIND("REMARK",BV40)),ISNUMBER(FIND("COMMENT",BV40))))+4096*(OR(ISNUMBER(FIND("QTY",BV40)),ISNUMBER(FIND("QUANTITY",BV40))))+8192*(AND(OR(ISNUMBER(FIND("COMPLETE",BV40)),ISNUMBER(FIND("PCT",BV40)),ISNUMBER(FIND("PERCENT",BV40))),NOT(ISNUMBER(FIND("ACTUAL",BV40))),LEN(BV40)&lt;=16))+32768*(OR(ISNUMBER(FIND("DESIC",BV40)),ISNUMBER(FIND("DESSIC",BV40)))))</f>
        <v/>
      </c>
      <c r="BW175">
        <f>IF(BW40="",0,2*(OR(ISNUMBER(FIND("WORKCENTER",BW40)),AND(LEFT(BW40,4)="LINE",NOT(ISNUMBER(FIND("STATUS",BW40))))))+4*(OR(ISNUMBER(FIND("WORKORDER",BW40)),AND(LEFT(BW40,2)="WO",OR(ISNUMBER(FIND("NUM",BW40)),RIGHT(BW40,2)="NO"))))+8*(LEFT(BW40,3)="SEQ")+16*(AND(LEFT(BW40,4)="ITEM",NOT(ISNUMBER(FIND("DESC",BW40)))))+32*(AND(ISNUMBER(FIND("DESC",BW40)),NOT(ISNUMBER(FIND("CAP",BW40)))))+64*(OR(RIGHT(BW40,5)="COUNT",RIGHT(BW40,2)="CT"))+128*(ISNUMBER(FIND("BULK",BW40)))+256*(ISNUMBER(FIND("SIZE",BW40)))+512*(LEFT(BW40,3)="CAP")+1024*(ISNUMBER(FIND("ALLERG",BW40)))+2048*(OR(ISNUMBER(FIND("REMARK",BW40)),ISNUMBER(FIND("COMMENT",BW40))))+4096*(OR(ISNUMBER(FIND("QTY",BW40)),ISNUMBER(FIND("QUANTITY",BW40))))+8192*(AND(OR(ISNUMBER(FIND("COMPLETE",BW40)),ISNUMBER(FIND("PCT",BW40)),ISNUMBER(FIND("PERCENT",BW40))),NOT(ISNUMBER(FIND("ACTUAL",BW40))),LEN(BW40)&lt;=16))+32768*(OR(ISNUMBER(FIND("DESIC",BW40)),ISNUMBER(FIND("DESSIC",BW40)))))</f>
        <v/>
      </c>
      <c r="BX175">
        <f>IF(BX40="",0,2*(OR(ISNUMBER(FIND("WORKCENTER",BX40)),AND(LEFT(BX40,4)="LINE",NOT(ISNUMBER(FIND("STATUS",BX40))))))+4*(OR(ISNUMBER(FIND("WORKORDER",BX40)),AND(LEFT(BX40,2)="WO",OR(ISNUMBER(FIND("NUM",BX40)),RIGHT(BX40,2)="NO"))))+8*(LEFT(BX40,3)="SEQ")+16*(AND(LEFT(BX40,4)="ITEM",NOT(ISNUMBER(FIND("DESC",BX40)))))+32*(AND(ISNUMBER(FIND("DESC",BX40)),NOT(ISNUMBER(FIND("CAP",BX40)))))+64*(OR(RIGHT(BX40,5)="COUNT",RIGHT(BX40,2)="CT"))+128*(ISNUMBER(FIND("BULK",BX40)))+256*(ISNUMBER(FIND("SIZE",BX40)))+512*(LEFT(BX40,3)="CAP")+1024*(ISNUMBER(FIND("ALLERG",BX40)))+2048*(OR(ISNUMBER(FIND("REMARK",BX40)),ISNUMBER(FIND("COMMENT",BX40))))+4096*(OR(ISNUMBER(FIND("QTY",BX40)),ISNUMBER(FIND("QUANTITY",BX40))))+8192*(AND(OR(ISNUMBER(FIND("COMPLETE",BX40)),ISNUMBER(FIND("PCT",BX40)),ISNUMBER(FIND("PERCENT",BX40))),NOT(ISNUMBER(FIND("ACTUAL",BX40))),LEN(BX40)&lt;=16))+32768*(OR(ISNUMBER(FIND("DESIC",BX40)),ISNUMBER(FIND("DESSIC",BX40)))))</f>
        <v/>
      </c>
      <c r="BY175">
        <f>IF(BY40="",0,2*(OR(ISNUMBER(FIND("WORKCENTER",BY40)),AND(LEFT(BY40,4)="LINE",NOT(ISNUMBER(FIND("STATUS",BY40))))))+4*(OR(ISNUMBER(FIND("WORKORDER",BY40)),AND(LEFT(BY40,2)="WO",OR(ISNUMBER(FIND("NUM",BY40)),RIGHT(BY40,2)="NO"))))+8*(LEFT(BY40,3)="SEQ")+16*(AND(LEFT(BY40,4)="ITEM",NOT(ISNUMBER(FIND("DESC",BY40)))))+32*(AND(ISNUMBER(FIND("DESC",BY40)),NOT(ISNUMBER(FIND("CAP",BY40)))))+64*(OR(RIGHT(BY40,5)="COUNT",RIGHT(BY40,2)="CT"))+128*(ISNUMBER(FIND("BULK",BY40)))+256*(ISNUMBER(FIND("SIZE",BY40)))+512*(LEFT(BY40,3)="CAP")+1024*(ISNUMBER(FIND("ALLERG",BY40)))+2048*(OR(ISNUMBER(FIND("REMARK",BY40)),ISNUMBER(FIND("COMMENT",BY40))))+4096*(OR(ISNUMBER(FIND("QTY",BY40)),ISNUMBER(FIND("QUANTITY",BY40))))+8192*(AND(OR(ISNUMBER(FIND("COMPLETE",BY40)),ISNUMBER(FIND("PCT",BY40)),ISNUMBER(FIND("PERCENT",BY40))),NOT(ISNUMBER(FIND("ACTUAL",BY40))),LEN(BY40)&lt;=16))+32768*(OR(ISNUMBER(FIND("DESIC",BY40)),ISNUMBER(FIND("DESSIC",BY40)))))</f>
        <v/>
      </c>
      <c r="BZ175">
        <f>IF(BZ40="",0,2*(OR(ISNUMBER(FIND("WORKCENTER",BZ40)),AND(LEFT(BZ40,4)="LINE",NOT(ISNUMBER(FIND("STATUS",BZ40))))))+4*(OR(ISNUMBER(FIND("WORKORDER",BZ40)),AND(LEFT(BZ40,2)="WO",OR(ISNUMBER(FIND("NUM",BZ40)),RIGHT(BZ40,2)="NO"))))+8*(LEFT(BZ40,3)="SEQ")+16*(AND(LEFT(BZ40,4)="ITEM",NOT(ISNUMBER(FIND("DESC",BZ40)))))+32*(AND(ISNUMBER(FIND("DESC",BZ40)),NOT(ISNUMBER(FIND("CAP",BZ40)))))+64*(OR(RIGHT(BZ40,5)="COUNT",RIGHT(BZ40,2)="CT"))+128*(ISNUMBER(FIND("BULK",BZ40)))+256*(ISNUMBER(FIND("SIZE",BZ40)))+512*(LEFT(BZ40,3)="CAP")+1024*(ISNUMBER(FIND("ALLERG",BZ40)))+2048*(OR(ISNUMBER(FIND("REMARK",BZ40)),ISNUMBER(FIND("COMMENT",BZ40))))+4096*(OR(ISNUMBER(FIND("QTY",BZ40)),ISNUMBER(FIND("QUANTITY",BZ40))))+8192*(AND(OR(ISNUMBER(FIND("COMPLETE",BZ40)),ISNUMBER(FIND("PCT",BZ40)),ISNUMBER(FIND("PERCENT",BZ40))),NOT(ISNUMBER(FIND("ACTUAL",BZ40))),LEN(BZ40)&lt;=16))+32768*(OR(ISNUMBER(FIND("DESIC",BZ40)),ISNUMBER(FIND("DESSIC",BZ40)))))</f>
        <v/>
      </c>
      <c r="CA175">
        <f>IF(CA40="",0,2*(OR(ISNUMBER(FIND("WORKCENTER",CA40)),AND(LEFT(CA40,4)="LINE",NOT(ISNUMBER(FIND("STATUS",CA40))))))+4*(OR(ISNUMBER(FIND("WORKORDER",CA40)),AND(LEFT(CA40,2)="WO",OR(ISNUMBER(FIND("NUM",CA40)),RIGHT(CA40,2)="NO"))))+8*(LEFT(CA40,3)="SEQ")+16*(AND(LEFT(CA40,4)="ITEM",NOT(ISNUMBER(FIND("DESC",CA40)))))+32*(AND(ISNUMBER(FIND("DESC",CA40)),NOT(ISNUMBER(FIND("CAP",CA40)))))+64*(OR(RIGHT(CA40,5)="COUNT",RIGHT(CA40,2)="CT"))+128*(ISNUMBER(FIND("BULK",CA40)))+256*(ISNUMBER(FIND("SIZE",CA40)))+512*(LEFT(CA40,3)="CAP")+1024*(ISNUMBER(FIND("ALLERG",CA40)))+2048*(OR(ISNUMBER(FIND("REMARK",CA40)),ISNUMBER(FIND("COMMENT",CA40))))+4096*(OR(ISNUMBER(FIND("QTY",CA40)),ISNUMBER(FIND("QUANTITY",CA40))))+8192*(AND(OR(ISNUMBER(FIND("COMPLETE",CA40)),ISNUMBER(FIND("PCT",CA40)),ISNUMBER(FIND("PERCENT",CA40))),NOT(ISNUMBER(FIND("ACTUAL",CA40))),LEN(CA40)&lt;=16))+32768*(OR(ISNUMBER(FIND("DESIC",CA40)),ISNUMBER(FIND("DESSIC",CA40)))))</f>
        <v/>
      </c>
      <c r="CB175">
        <f>IF(CB40="",0,2*(OR(ISNUMBER(FIND("WORKCENTER",CB40)),AND(LEFT(CB40,4)="LINE",NOT(ISNUMBER(FIND("STATUS",CB40))))))+4*(OR(ISNUMBER(FIND("WORKORDER",CB40)),AND(LEFT(CB40,2)="WO",OR(ISNUMBER(FIND("NUM",CB40)),RIGHT(CB40,2)="NO"))))+8*(LEFT(CB40,3)="SEQ")+16*(AND(LEFT(CB40,4)="ITEM",NOT(ISNUMBER(FIND("DESC",CB40)))))+32*(AND(ISNUMBER(FIND("DESC",CB40)),NOT(ISNUMBER(FIND("CAP",CB40)))))+64*(OR(RIGHT(CB40,5)="COUNT",RIGHT(CB40,2)="CT"))+128*(ISNUMBER(FIND("BULK",CB40)))+256*(ISNUMBER(FIND("SIZE",CB40)))+512*(LEFT(CB40,3)="CAP")+1024*(ISNUMBER(FIND("ALLERG",CB40)))+2048*(OR(ISNUMBER(FIND("REMARK",CB40)),ISNUMBER(FIND("COMMENT",CB40))))+4096*(OR(ISNUMBER(FIND("QTY",CB40)),ISNUMBER(FIND("QUANTITY",CB40))))+8192*(AND(OR(ISNUMBER(FIND("COMPLETE",CB40)),ISNUMBER(FIND("PCT",CB40)),ISNUMBER(FIND("PERCENT",CB40))),NOT(ISNUMBER(FIND("ACTUAL",CB40))),LEN(CB40)&lt;=16))+32768*(OR(ISNUMBER(FIND("DESIC",CB40)),ISNUMBER(FIND("DESSIC",CB40)))))</f>
        <v/>
      </c>
      <c r="CC175">
        <f>IF(CC40="",0,2*(OR(ISNUMBER(FIND("WORKCENTER",CC40)),AND(LEFT(CC40,4)="LINE",NOT(ISNUMBER(FIND("STATUS",CC40))))))+4*(OR(ISNUMBER(FIND("WORKORDER",CC40)),AND(LEFT(CC40,2)="WO",OR(ISNUMBER(FIND("NUM",CC40)),RIGHT(CC40,2)="NO"))))+8*(LEFT(CC40,3)="SEQ")+16*(AND(LEFT(CC40,4)="ITEM",NOT(ISNUMBER(FIND("DESC",CC40)))))+32*(AND(ISNUMBER(FIND("DESC",CC40)),NOT(ISNUMBER(FIND("CAP",CC40)))))+64*(OR(RIGHT(CC40,5)="COUNT",RIGHT(CC40,2)="CT"))+128*(ISNUMBER(FIND("BULK",CC40)))+256*(ISNUMBER(FIND("SIZE",CC40)))+512*(LEFT(CC40,3)="CAP")+1024*(ISNUMBER(FIND("ALLERG",CC40)))+2048*(OR(ISNUMBER(FIND("REMARK",CC40)),ISNUMBER(FIND("COMMENT",CC40))))+4096*(OR(ISNUMBER(FIND("QTY",CC40)),ISNUMBER(FIND("QUANTITY",CC40))))+8192*(AND(OR(ISNUMBER(FIND("COMPLETE",CC40)),ISNUMBER(FIND("PCT",CC40)),ISNUMBER(FIND("PERCENT",CC40))),NOT(ISNUMBER(FIND("ACTUAL",CC40))),LEN(CC40)&lt;=16))+32768*(OR(ISNUMBER(FIND("DESIC",CC40)),ISNUMBER(FIND("DESSIC",CC40)))))</f>
        <v/>
      </c>
      <c r="CD175">
        <f>IF(CD40="",0,2*(OR(ISNUMBER(FIND("WORKCENTER",CD40)),AND(LEFT(CD40,4)="LINE",NOT(ISNUMBER(FIND("STATUS",CD40))))))+4*(OR(ISNUMBER(FIND("WORKORDER",CD40)),AND(LEFT(CD40,2)="WO",OR(ISNUMBER(FIND("NUM",CD40)),RIGHT(CD40,2)="NO"))))+8*(LEFT(CD40,3)="SEQ")+16*(AND(LEFT(CD40,4)="ITEM",NOT(ISNUMBER(FIND("DESC",CD40)))))+32*(AND(ISNUMBER(FIND("DESC",CD40)),NOT(ISNUMBER(FIND("CAP",CD40)))))+64*(OR(RIGHT(CD40,5)="COUNT",RIGHT(CD40,2)="CT"))+128*(ISNUMBER(FIND("BULK",CD40)))+256*(ISNUMBER(FIND("SIZE",CD40)))+512*(LEFT(CD40,3)="CAP")+1024*(ISNUMBER(FIND("ALLERG",CD40)))+2048*(OR(ISNUMBER(FIND("REMARK",CD40)),ISNUMBER(FIND("COMMENT",CD40))))+4096*(OR(ISNUMBER(FIND("QTY",CD40)),ISNUMBER(FIND("QUANTITY",CD40))))+8192*(AND(OR(ISNUMBER(FIND("COMPLETE",CD40)),ISNUMBER(FIND("PCT",CD40)),ISNUMBER(FIND("PERCENT",CD40))),NOT(ISNUMBER(FIND("ACTUAL",CD40))),LEN(CD40)&lt;=16))+32768*(OR(ISNUMBER(FIND("DESIC",CD40)),ISNUMBER(FIND("DESSIC",CD40)))))</f>
        <v/>
      </c>
      <c r="CE175">
        <f>IF(CE40="",0,2*(OR(ISNUMBER(FIND("WORKCENTER",CE40)),AND(LEFT(CE40,4)="LINE",NOT(ISNUMBER(FIND("STATUS",CE40))))))+4*(OR(ISNUMBER(FIND("WORKORDER",CE40)),AND(LEFT(CE40,2)="WO",OR(ISNUMBER(FIND("NUM",CE40)),RIGHT(CE40,2)="NO"))))+8*(LEFT(CE40,3)="SEQ")+16*(AND(LEFT(CE40,4)="ITEM",NOT(ISNUMBER(FIND("DESC",CE40)))))+32*(AND(ISNUMBER(FIND("DESC",CE40)),NOT(ISNUMBER(FIND("CAP",CE40)))))+64*(OR(RIGHT(CE40,5)="COUNT",RIGHT(CE40,2)="CT"))+128*(ISNUMBER(FIND("BULK",CE40)))+256*(ISNUMBER(FIND("SIZE",CE40)))+512*(LEFT(CE40,3)="CAP")+1024*(ISNUMBER(FIND("ALLERG",CE40)))+2048*(OR(ISNUMBER(FIND("REMARK",CE40)),ISNUMBER(FIND("COMMENT",CE40))))+4096*(OR(ISNUMBER(FIND("QTY",CE40)),ISNUMBER(FIND("QUANTITY",CE40))))+8192*(AND(OR(ISNUMBER(FIND("COMPLETE",CE40)),ISNUMBER(FIND("PCT",CE40)),ISNUMBER(FIND("PERCENT",CE40))),NOT(ISNUMBER(FIND("ACTUAL",CE40))),LEN(CE40)&lt;=16))+32768*(OR(ISNUMBER(FIND("DESIC",CE40)),ISNUMBER(FIND("DESSIC",CE40)))))</f>
        <v/>
      </c>
      <c r="CF175">
        <f>IF(CF40="",0,2*(OR(ISNUMBER(FIND("WORKCENTER",CF40)),AND(LEFT(CF40,4)="LINE",NOT(ISNUMBER(FIND("STATUS",CF40))))))+4*(OR(ISNUMBER(FIND("WORKORDER",CF40)),AND(LEFT(CF40,2)="WO",OR(ISNUMBER(FIND("NUM",CF40)),RIGHT(CF40,2)="NO"))))+8*(LEFT(CF40,3)="SEQ")+16*(AND(LEFT(CF40,4)="ITEM",NOT(ISNUMBER(FIND("DESC",CF40)))))+32*(AND(ISNUMBER(FIND("DESC",CF40)),NOT(ISNUMBER(FIND("CAP",CF40)))))+64*(OR(RIGHT(CF40,5)="COUNT",RIGHT(CF40,2)="CT"))+128*(ISNUMBER(FIND("BULK",CF40)))+256*(ISNUMBER(FIND("SIZE",CF40)))+512*(LEFT(CF40,3)="CAP")+1024*(ISNUMBER(FIND("ALLERG",CF40)))+2048*(OR(ISNUMBER(FIND("REMARK",CF40)),ISNUMBER(FIND("COMMENT",CF40))))+4096*(OR(ISNUMBER(FIND("QTY",CF40)),ISNUMBER(FIND("QUANTITY",CF40))))+8192*(AND(OR(ISNUMBER(FIND("COMPLETE",CF40)),ISNUMBER(FIND("PCT",CF40)),ISNUMBER(FIND("PERCENT",CF40))),NOT(ISNUMBER(FIND("ACTUAL",CF40))),LEN(CF40)&lt;=16))+32768*(OR(ISNUMBER(FIND("DESIC",CF40)),ISNUMBER(FIND("DESSIC",CF40)))))</f>
        <v/>
      </c>
      <c r="DA175" t="n">
        <v>171</v>
      </c>
      <c r="DB175">
        <f>IF($B$37=0,"",IFERROR(TRIM(SUBSTITUTE(SUBSTITUTE(SUBSTITUTE(SUBSTITUTE(INDEX(PASTE_ALL,171,$B$37)," "," "),CHAR(9)," "),CHAR(10)," "),CHAR(13)," ")),""))</f>
        <v/>
      </c>
      <c r="DC175">
        <f>IF(AND(171&gt;HEADER_ROW,UPPER(DB175)="LEGEND"),1,0)</f>
        <v/>
      </c>
      <c r="DE175" t="n">
        <v>171</v>
      </c>
      <c r="DF175">
        <f>HEADER_ROW+$DE175</f>
        <v/>
      </c>
      <c r="DG175">
        <f>IF(AND($DF175&lt;=1000,$DF175&lt;$B$8),1,0)</f>
        <v/>
      </c>
      <c r="DH175">
        <f>IF($DG175=1,IFERROR(INDEX($DB$5:$DB$1004,$DF175),""),"")</f>
        <v/>
      </c>
      <c r="DI175">
        <f>IF(AND($DG175=1,$DH175&lt;&gt;""),IFERROR(SUBSTITUTE(SUBSTITUTE(TRIM(SUBSTITUTE(SUBSTITUTE(SUBSTITUTE(SUBSTITUTE(IFERROR(INDEX(PASTE_ALL,$DF175,1)&amp;"","")&amp;"␟"&amp;IFERROR(INDEX(PASTE_ALL,$DF175,2)&amp;"","")&amp;"␟"&amp;IFERROR(INDEX(PASTE_ALL,$DF175,3)&amp;"","")&amp;"␟"&amp;IFERROR(INDEX(PASTE_ALL,$DF175,4)&amp;"","")&amp;"␟"&amp;IFERROR(INDEX(PASTE_ALL,$DF175,5)&amp;"","")&amp;"␟"&amp;IFERROR(INDEX(PASTE_ALL,$DF175,6)&amp;"","")&amp;"␟"&amp;IFERROR(INDEX(PASTE_ALL,$DF175,7)&amp;"","")&amp;"␟"&amp;IFERROR(INDEX(PASTE_ALL,$DF175,8)&amp;"","")&amp;"␟"&amp;IFERROR(INDEX(PASTE_ALL,$DF175,9)&amp;"","")&amp;"␟"&amp;IFERROR(INDEX(PASTE_ALL,$DF175,10)&amp;"","")&amp;"␟"&amp;IFERROR(INDEX(PASTE_ALL,$DF175,11)&amp;"","")&amp;"␟"&amp;IFERROR(INDEX(PASTE_ALL,$DF175,12)&amp;"","")&amp;"␟"&amp;IFERROR(INDEX(PASTE_ALL,$DF175,13)&amp;"","")&amp;"␟"&amp;IFERROR(INDEX(PASTE_ALL,$DF175,14)&amp;"","")&amp;"␟"&amp;IFERROR(INDEX(PASTE_ALL,$DF175,15)&amp;"","")&amp;"␟"&amp;IFERROR(INDEX(PASTE_ALL,$DF175,16)&amp;"","")&amp;"␟"&amp;IFERROR(INDEX(PASTE_ALL,$DF175,17)&amp;"","")&amp;"␟"&amp;IFERROR(INDEX(PASTE_ALL,$DF175,18)&amp;"","")&amp;"␟"&amp;IFERROR(INDEX(PASTE_ALL,$DF175,19)&amp;"","")&amp;"␟"&amp;IFERROR(INDEX(PASTE_ALL,$DF175,20)&amp;"","")&amp;"␟"&amp;IFERROR(INDEX(PASTE_ALL,$DF175,21)&amp;"","")&amp;"␟"&amp;IFERROR(INDEX(PASTE_ALL,$DF175,22)&amp;"","")&amp;"␟"&amp;IFERROR(INDEX(PASTE_ALL,$DF175,23)&amp;"","")&amp;"␟"&amp;IFERROR(INDEX(PASTE_ALL,$DF175,24)&amp;"","")&amp;"␟"&amp;IFERROR(INDEX(PASTE_ALL,$DF175,25)&amp;"","")&amp;"␟"&amp;IFERROR(INDEX(PASTE_ALL,$DF175,26)&amp;"","")&amp;"␟"&amp;IFERROR(INDEX(PASTE_ALL,$DF175,27)&amp;"","")&amp;"␟"&amp;IFERROR(INDEX(PASTE_ALL,$DF175,28)&amp;"","")&amp;"␟"&amp;IFERROR(INDEX(PASTE_ALL,$DF175,29)&amp;"","")&amp;"␟"&amp;IFERROR(INDEX(PASTE_ALL,$DF175,30)&amp;"","")&amp;"␟"&amp;IFERROR(INDEX(PASTE_ALL,$DF175,31)&amp;"","")&amp;"␟"&amp;IFERROR(INDEX(PASTE_ALL,$DF175,32)&amp;"","")&amp;"␟"&amp;IFERROR(INDEX(PASTE_ALL,$DF175,33)&amp;"","")&amp;"␟"&amp;IFERROR(INDEX(PASTE_ALL,$DF175,34)&amp;"","")&amp;"␟"&amp;IFERROR(INDEX(PASTE_ALL,$DF175,35)&amp;"","")&amp;"␟"&amp;IFERROR(INDEX(PASTE_ALL,$DF175,36)&amp;"","")&amp;"␟"&amp;IFERROR(INDEX(PASTE_ALL,$DF175,37)&amp;"","")&amp;"␟"&amp;IFERROR(INDEX(PASTE_ALL,$DF175,38)&amp;"","")&amp;"␟"&amp;IFERROR(INDEX(PASTE_ALL,$DF175,39)&amp;"","")&amp;"␟"&amp;IFERROR(INDEX(PASTE_ALL,$DF175,40)&amp;"","")&amp;"␟"&amp;IFERROR(INDEX(PASTE_ALL,$DF175,41)&amp;"","")&amp;"␟"&amp;IFERROR(INDEX(PASTE_ALL,$DF175,42)&amp;"","")&amp;"␟"&amp;IFERROR(INDEX(PASTE_ALL,$DF175,43)&amp;"","")&amp;"␟"&amp;IFERROR(INDEX(PASTE_ALL,$DF175,44)&amp;"","")&amp;"␟"&amp;IFERROR(INDEX(PASTE_ALL,$DF175,45)&amp;"","")&amp;"␟"&amp;IFERROR(INDEX(PASTE_ALL,$DF175,46)&amp;"","")&amp;"␟"&amp;IFERROR(INDEX(PASTE_ALL,$DF175,47)&amp;"","")&amp;"␟"&amp;IFERROR(INDEX(PASTE_ALL,$DF175,48)&amp;"","")&amp;"␟"&amp;IFERROR(INDEX(PASTE_ALL,$DF175,49)&amp;"","")&amp;"␟"&amp;IFERROR(INDEX(PASTE_ALL,$DF175,50)&amp;"","")&amp;"␟"&amp;IFERROR(INDEX(PASTE_ALL,$DF175,51)&amp;"","")&amp;"␟"&amp;IFERROR(INDEX(PASTE_ALL,$DF175,52)&amp;"","")&amp;"␟"&amp;IFERROR(INDEX(PASTE_ALL,$DF175,53)&amp;"","")&amp;"␟"&amp;IFERROR(INDEX(PASTE_ALL,$DF175,54)&amp;"","")&amp;"␟"&amp;IFERROR(INDEX(PASTE_ALL,$DF175,55)&amp;"","")&amp;"␟"&amp;IFERROR(INDEX(PASTE_ALL,$DF175,56)&amp;"","")&amp;"␟"&amp;IFERROR(INDEX(PASTE_ALL,$DF175,57)&amp;"","")&amp;"␟"&amp;IFERROR(INDEX(PASTE_ALL,$DF175,58)&amp;"","")&amp;"␟"&amp;IFERROR(INDEX(PASTE_ALL,$DF175,59)&amp;"","")&amp;"␟"&amp;IFERROR(INDEX(PASTE_ALL,$DF175,60)&amp;"","")," "," "),CHAR(9)," "),CHAR(10)," "),CHAR(13)," "))," ␟","␟"),"␟ ","␟"),"#"&amp;$DE175),"")</f>
        <v/>
      </c>
      <c r="DJ175">
        <f>IF($DI175="",0,IF(SUMPRODUCT(--EXACT($DI$4:DI174,$DI175))&gt;0,1,0))</f>
        <v/>
      </c>
      <c r="DK175">
        <f>IF(AND($DI175&lt;&gt;"",$DJ175=0),1,0)</f>
        <v/>
      </c>
      <c r="DL175">
        <f>DL174+$DK175</f>
        <v/>
      </c>
      <c r="DM175">
        <f>IF(AND($DK175=1,$DL175&lt;=600),1,0)</f>
        <v/>
      </c>
      <c r="DN175">
        <f>IF($DM175=0,"",IF($L$6=0,"",IFERROR(IF(ISNUMBER(INDEX(PASTE_ALL,$DF175,$L$6)),INDEX(PASTE_ALL,$DF175,$L$6),TRIM(SUBSTITUTE(SUBSTITUTE(SUBSTITUTE(SUBSTITUTE(INDEX(PASTE_ALL,$DF175,$L$6)," "," "),CHAR(9)," "),CHAR(10)," "),CHAR(13)," "))),"")))</f>
        <v/>
      </c>
      <c r="DO175">
        <f>IF($DM175=0,"",IF($L$7=0,"",IFERROR(IF(ISNUMBER(INDEX(PASTE_ALL,$DF175,$L$7)),INDEX(PASTE_ALL,$DF175,$L$7),TRIM(SUBSTITUTE(SUBSTITUTE(SUBSTITUTE(SUBSTITUTE(INDEX(PASTE_ALL,$DF175,$L$7)," "," "),CHAR(9)," "),CHAR(10)," "),CHAR(13)," "))),"")))</f>
        <v/>
      </c>
      <c r="DP175">
        <f>IF($DM175=0,"",IF($L$8=0,"",IFERROR(IF(ISNUMBER(INDEX(PASTE_ALL,$DF175,$L$8)),INDEX(PASTE_ALL,$DF175,$L$8),TRIM(SUBSTITUTE(SUBSTITUTE(SUBSTITUTE(SUBSTITUTE(INDEX(PASTE_ALL,$DF175,$L$8)," "," "),CHAR(9)," "),CHAR(10)," "),CHAR(13)," "))),"")))</f>
        <v/>
      </c>
      <c r="DQ175">
        <f>IF($DM175=0,"",IF($L$9=0,"",IFERROR(IF(ISNUMBER(INDEX(PASTE_ALL,$DF175,$L$9)),INDEX(PASTE_ALL,$DF175,$L$9),TRIM(SUBSTITUTE(SUBSTITUTE(SUBSTITUTE(SUBSTITUTE(INDEX(PASTE_ALL,$DF175,$L$9)," "," "),CHAR(9)," "),CHAR(10)," "),CHAR(13)," "))),"")))</f>
        <v/>
      </c>
      <c r="DR175">
        <f>IF($DM175=0,"",IF($L$10=0,"",IFERROR(IF(ISNUMBER(INDEX(PASTE_ALL,$DF175,$L$10)),INDEX(PASTE_ALL,$DF175,$L$10),TRIM(SUBSTITUTE(SUBSTITUTE(SUBSTITUTE(SUBSTITUTE(INDEX(PASTE_ALL,$DF175,$L$10)," "," "),CHAR(9)," "),CHAR(10)," "),CHAR(13)," "))),"")))</f>
        <v/>
      </c>
      <c r="DS175">
        <f>IF($DM175=0,"",IF($L$11=0,"",IFERROR(IF(ISNUMBER(INDEX(PASTE_ALL,$DF175,$L$11)),INDEX(PASTE_ALL,$DF175,$L$11),TRIM(SUBSTITUTE(SUBSTITUTE(SUBSTITUTE(SUBSTITUTE(INDEX(PASTE_ALL,$DF175,$L$11)," "," "),CHAR(9)," "),CHAR(10)," "),CHAR(13)," "))),"")))</f>
        <v/>
      </c>
      <c r="DT175">
        <f>IF($DM175=0,"",IF($L$12=0,"",IFERROR(IF(ISNUMBER(INDEX(PASTE_ALL,$DF175,$L$12)),INDEX(PASTE_ALL,$DF175,$L$12),TRIM(SUBSTITUTE(SUBSTITUTE(SUBSTITUTE(SUBSTITUTE(INDEX(PASTE_ALL,$DF175,$L$12)," "," "),CHAR(9)," "),CHAR(10)," "),CHAR(13)," "))),"")))</f>
        <v/>
      </c>
      <c r="DU175">
        <f>IF($DM175=0,"",IF($L$13=0,"",IFERROR(IF(ISNUMBER(INDEX(PASTE_ALL,$DF175,$L$13)),INDEX(PASTE_ALL,$DF175,$L$13),TRIM(SUBSTITUTE(SUBSTITUTE(SUBSTITUTE(SUBSTITUTE(INDEX(PASTE_ALL,$DF175,$L$13)," "," "),CHAR(9)," "),CHAR(10)," "),CHAR(13)," "))),"")))</f>
        <v/>
      </c>
      <c r="DV175">
        <f>IF($DM175=0,"",IF($L$14=0,"",IFERROR(IF(ISNUMBER(INDEX(PASTE_ALL,$DF175,$L$14)),INDEX(PASTE_ALL,$DF175,$L$14),TRIM(SUBSTITUTE(SUBSTITUTE(SUBSTITUTE(SUBSTITUTE(INDEX(PASTE_ALL,$DF175,$L$14)," "," "),CHAR(9)," "),CHAR(10)," "),CHAR(13)," "))),"")))</f>
        <v/>
      </c>
      <c r="DW175">
        <f>IF($DM175=0,"",IF($L$15=0,"",IFERROR(IF(ISNUMBER(INDEX(PASTE_ALL,$DF175,$L$15)),INDEX(PASTE_ALL,$DF175,$L$15),IF(SUMPRODUCT(--ISNUMBER(FIND({"A","B","C","D","E","F","G","H","I","J","K","L","M","N","O","P","Q","R","S","T","U","V","W","X","Y","Z","0","1","2","3","4","5","6","7","8","9"},UPPER(TRIM(SUBSTITUTE(SUBSTITUTE(SUBSTITUTE(SUBSTITUTE(INDEX(PASTE_ALL,$DF175,$L$15)," "," "),CHAR(9)," "),CHAR(10)," "),CHAR(13)," "))))))&gt;0,TRIM(SUBSTITUTE(SUBSTITUTE(SUBSTITUTE(SUBSTITUTE(INDEX(PASTE_ALL,$DF175,$L$15)," "," "),CHAR(9)," "),CHAR(10)," "),CHAR(13)," ")),"")),"")))</f>
        <v/>
      </c>
      <c r="DX175">
        <f>IF($DM175=0,"",IF($L$16=0,"",IFERROR(IF(ISNUMBER(INDEX(PASTE_ALL,$DF175,$L$16)),INDEX(PASTE_ALL,$DF175,$L$16),SUBSTITUTE(SUBSTITUTE(TRIM(SUBSTITUTE(SUBSTITUTE(SUBSTITUTE(SUBSTITUTE(INDEX(PASTE_ALL,$DF175,$L$16)," "," "),CHAR(9)," "),CHAR(10)," "),CHAR(13)," ")),",",""),"%","")),"")))</f>
        <v/>
      </c>
      <c r="DY175">
        <f>IF($DM175=0,"",IFERROR(IF(ISNUMBER($DX175),$DX175,IF($DX175="","",IF(TRIM($DX175)="",0,IF(AND(AND(SUBSTITUTE(SUBSTITUTE(SUBSTITUTE(SUBSTITUTE(SUBSTITUTE(SUBSTITUTE(SUBSTITUTE(SUBSTITUTE(SUBSTITUTE(SUBSTITUTE(SUBSTITUTE(SUBSTITUTE(SUBSTITUTE(SUBSTITUTE(UPPER(TRIM($DX175)),"0",""),"1",""),"2",""),"3",""),"4",""),"5",""),"6",""),"7",""),"8",""),"9",""),".",""),"+",""),"-",""),"E","")="",LEN(SUBSTITUTE(SUBSTITUTE(MID(UPPER(TRIM($DX175)),1+OR(LEFT(UPPER(TRIM($DX175)),1)="+",LEFT(UPPER(TRIM($DX175)),1)="-"),999),"E+","E"),"E-","E"))=LEN(SUBSTITUTE(SUBSTITUTE(SUBSTITUTE(SUBSTITUTE(MID(UPPER(TRIM($DX175)),1+OR(LEFT(UPPER(TRIM($DX175)),1)="+",LEFT(UPPER(TRIM($DX175)),1)="-"),999),"E+","E"),"E-","E"),"+",""),"-","")),LEN(UPPER(TRIM($DX175)))-LEN(SUBSTITUTE(UPPER(TRIM($DX175)),"E",""))&lt;2,LEN(UPPER(TRIM($DX175)))-LEN(SUBSTITUTE(UPPER(TRIM($DX175)),".",""))&lt;2,IFERROR(FIND(".",UPPER(TRIM($DX175))),0)&lt;IFERROR(FIND("E",UPPER(TRIM($DX175))),999)),ISNUMBER(VALUE(TRIM($DX175)))),VALUE(TRIM($DX175)),"")))),""))</f>
        <v/>
      </c>
      <c r="DZ175">
        <f>IF($DM175=0,"",IF($L$17=0,"",IFERROR(IF(ISNUMBER(INDEX(PASTE_ALL,$DF175,$L$17)),INDEX(PASTE_ALL,$DF175,$L$17),SUBSTITUTE(SUBSTITUTE(TRIM(SUBSTITUTE(SUBSTITUTE(SUBSTITUTE(SUBSTITUTE(INDEX(PASTE_ALL,$DF175,$L$17)," "," "),CHAR(9)," "),CHAR(10)," "),CHAR(13)," ")),",",""),"%","")),"")))</f>
        <v/>
      </c>
      <c r="EA175">
        <f>IF($DM175=0,"",IFERROR(IF(ISNUMBER($DZ175),$DZ175,IF($DZ175="","",IF(TRIM($DZ175)="",0,IF(AND(AND(SUBSTITUTE(SUBSTITUTE(SUBSTITUTE(SUBSTITUTE(SUBSTITUTE(SUBSTITUTE(SUBSTITUTE(SUBSTITUTE(SUBSTITUTE(SUBSTITUTE(SUBSTITUTE(SUBSTITUTE(SUBSTITUTE(SUBSTITUTE(UPPER(TRIM($DZ175)),"0",""),"1",""),"2",""),"3",""),"4",""),"5",""),"6",""),"7",""),"8",""),"9",""),".",""),"+",""),"-",""),"E","")="",LEN(SUBSTITUTE(SUBSTITUTE(MID(UPPER(TRIM($DZ175)),1+OR(LEFT(UPPER(TRIM($DZ175)),1)="+",LEFT(UPPER(TRIM($DZ175)),1)="-"),999),"E+","E"),"E-","E"))=LEN(SUBSTITUTE(SUBSTITUTE(SUBSTITUTE(SUBSTITUTE(MID(UPPER(TRIM($DZ175)),1+OR(LEFT(UPPER(TRIM($DZ175)),1)="+",LEFT(UPPER(TRIM($DZ175)),1)="-"),999),"E+","E"),"E-","E"),"+",""),"-","")),LEN(UPPER(TRIM($DZ175)))-LEN(SUBSTITUTE(UPPER(TRIM($DZ175)),"E",""))&lt;2,LEN(UPPER(TRIM($DZ175)))-LEN(SUBSTITUTE(UPPER(TRIM($DZ175)),".",""))&lt;2,IFERROR(FIND(".",UPPER(TRIM($DZ175))),0)&lt;IFERROR(FIND("E",UPPER(TRIM($DZ175))),999)),ISNUMBER(VALUE(TRIM($DZ175)))),VALUE(TRIM($DZ175)),"")))),""))</f>
        <v/>
      </c>
      <c r="EB175">
        <f>IF($DM175=0,"",IF($L$18=0,"",IFERROR(IF(UPPER(TRIM(SUBSTITUTE(SUBSTITUTE(SUBSTITUTE(SUBSTITUTE(INDEX(PASTE_ALL,$DF175,$L$18)," "," "),CHAR(9)," "),CHAR(10)," "),CHAR(13)," ")))="READY","Ready",IF(UPPER(TRIM(SUBSTITUTE(SUBSTITUTE(SUBSTITUTE(SUBSTITUTE(INDEX(PASTE_ALL,$DF175,$L$18)," "," "),CHAR(9)," "),CHAR(10)," "),CHAR(13)," ")))="PM","PM",IF(OR(UPPER(TRIM(SUBSTITUTE(SUBSTITUTE(SUBSTITUTE(SUBSTITUTE(INDEX(PASTE_ALL,$DF175,$L$18)," "," "),CHAR(9)," "),CHAR(10)," "),CHAR(13)," ")))="OT",UPPER(TRIM(SUBSTITUTE(SUBSTITUTE(SUBSTITUTE(SUBSTITUTE(INDEX(PASTE_ALL,$DF175,$L$18)," "," "),CHAR(9)," "),CHAR(10)," "),CHAR(13)," ")))="OVERTIME",UPPER(TRIM(SUBSTITUTE(SUBSTITUTE(SUBSTITUTE(SUBSTITUTE(INDEX(PASTE_ALL,$DF175,$L$18)," "," "),CHAR(9)," "),CHAR(10)," "),CHAR(13)," ")))="TRIAL"),"OT",TRIM(SUBSTITUTE(SUBSTITUTE(SUBSTITUTE(SUBSTITUTE(INDEX(PASTE_ALL,$DF175,$L$18)," "," "),CHAR(9)," "),CHAR(10)," "),CHAR(13)," "))))),"")))</f>
        <v/>
      </c>
      <c r="EC175">
        <f>IF($DM175=0,"",IF($L$19=0,"",IFERROR(IF(ISNUMBER(INDEX(PASTE_ALL,$DF175,$L$19)),INDEX(PASTE_ALL,$DF175,$L$19),TRIM(SUBSTITUTE(SUBSTITUTE(SUBSTITUTE(SUBSTITUTE(INDEX(PASTE_ALL,$DF175,$L$19)," "," "),CHAR(9)," "),CHAR(10)," "),CHAR(13)," "))),"")))</f>
        <v/>
      </c>
      <c r="ED175">
        <f>IF($DM175=0,"",MATCH(1,INDEX(EXACT($DH$5:DH175,$DH175)*$DM$5:DM175,0),0))</f>
        <v/>
      </c>
      <c r="EE175">
        <f>IF($DM175=0,0,IF($ED175=$DE175,1,0))</f>
        <v/>
      </c>
      <c r="EF175">
        <f>EF174+$EE175</f>
        <v/>
      </c>
      <c r="EG175">
        <f>IF($DM175=0,"",INDEX($EF$5:$EF$1003,$ED175))</f>
        <v/>
      </c>
      <c r="EH175">
        <f>IF($DM175=0,"",IF($DO175&lt;&gt;"","",IFERROR(LOOKUP(2,1/(($EG$4:EG174=$EG175)*($DO$4:DO174&lt;&gt;"")),$DO$4:DO174),"")))</f>
        <v/>
      </c>
      <c r="EI175">
        <f>IF($DM175=0,"",IF($DO175&lt;&gt;"",$DO175,$EH175))</f>
        <v/>
      </c>
      <c r="EJ175">
        <f>IF($DM175=0,"",IF($EI175="",0,IF(OR(ISNUMBER($EI175),AND(AND(SUBSTITUTE(SUBSTITUTE(SUBSTITUTE(SUBSTITUTE(SUBSTITUTE(SUBSTITUTE(SUBSTITUTE(SUBSTITUTE(SUBSTITUTE(SUBSTITUTE(SUBSTITUTE(SUBSTITUTE(SUBSTITUTE(SUBSTITUTE(UPPER($EI175),"0",""),"1",""),"2",""),"3",""),"4",""),"5",""),"6",""),"7",""),"8",""),"9",""),".",""),"+",""),"-",""),"E","")="",LEN(SUBSTITUTE(SUBSTITUTE(MID(UPPER($EI175),1+OR(LEFT(UPPER($EI175),1)="+",LEFT(UPPER($EI175),1)="-"),999),"E+","E"),"E-","E"))=LEN(SUBSTITUTE(SUBSTITUTE(SUBSTITUTE(SUBSTITUTE(MID(UPPER($EI175),1+OR(LEFT(UPPER($EI175),1)="+",LEFT(UPPER($EI175),1)="-"),999),"E+","E"),"E-","E"),"+",""),"-","")),LEN(UPPER($EI175))-LEN(SUBSTITUTE(UPPER($EI175),"E",""))&lt;2,LEN(UPPER($EI175))-LEN(SUBSTITUTE(UPPER($EI175),".",""))&lt;2,IFERROR(FIND(".",UPPER($EI175)),0)&lt;IFERROR(FIND("E",UPPER($EI175)),999)),ISNUMBER(VALUE($EI175)))),1,2)))</f>
        <v/>
      </c>
      <c r="EK175">
        <f>IF($DM175=0,"",IF($EJ175=1,IF(ISNUMBER($EI175),$EI175,VALUE($EI175)),IF($EJ175=2,$DE175,0)))</f>
        <v/>
      </c>
      <c r="EL175">
        <f>IF($DM175=0,"",COUNTIF($EG$5:$EG$1003,"&lt;"&amp;$EG175)+SUMPRODUCT(($EG$5:$EG$1003=$EG175)*(($EJ$5:$EJ$1003&lt;$EJ175)+($EJ$5:$EJ$1003=$EJ175)*(($EK$5:$EK$1003&lt;$EK175)+($EK$5:$EK$1003=$EK175)*($DE$5:$DE$1003&lt;$DE175))))+1)</f>
        <v/>
      </c>
      <c r="EM175">
        <f>IF($DM175=0,"",$EL175+$EG175-1)</f>
        <v/>
      </c>
      <c r="EN175">
        <f>IF($DM175=0,0,IFERROR(MATCH(1,INDEX(--(TRIM(SUBSTITUTE(SUBSTITUTE(SUBSTITUTE(SUBSTITUTE(LINES_NAME&amp;""," "," "),CHAR(9)," "),CHAR(10)," "),CHAR(13)," "))=$DH175),0),0),0))</f>
        <v/>
      </c>
      <c r="EO175">
        <f>IF($EN175=0,0,IF(OR(UPPER(TRIM(INDEX(LINES_SCHEDULED,$EN175)&amp;""))="YES",UPPER(TRIM(INDEX(LINES_SCHEDULED,$EN175)&amp;""))="Y",UPPER(TRIM(INDEX(LINES_SCHEDULED,$EN175)&amp;""))="X"),1,0))</f>
        <v/>
      </c>
      <c r="EP175">
        <f>IF($DM175=0,"",IF(COUNTIFS($EG$5:$EG$1003,$EG175,$EB$5:$EB$1003,"Ready")&gt;0,"READY",IF(COUNTIFS($EG$5:$EG$1003,$EG175,$EB$5:$EB$1003,"PM")&gt;0,"PM",IF(COUNTIFS($EG$5:$EG$1003,$EG175,$EB$5:$EB$1003,"OT")&gt;0,"OT",""))))</f>
        <v/>
      </c>
      <c r="EQ175">
        <f>IF($EN175=0,"",UPPER(TRIM(INDEX(LINES_STATUS,$EN175)&amp;"")))</f>
        <v/>
      </c>
      <c r="ER175">
        <f>IF($DM175=0,"",IF(OR($EQ175="READY",$EQ175="PM",$EQ175="OT"),$EQ175,$EP175))</f>
        <v/>
      </c>
      <c r="ES175">
        <f>IF($DM175=0,"",IF(AND($DV175&lt;&gt;"",UPPER($DV175)&lt;&gt;"N"),"allergen",IF(ISNUMBER(SEARCH("oil",$DQ175)),"oil",IF(OR(EXACT($DS175,"A662"),EXACT($DS175,"A624")),"bulk",""))))</f>
        <v/>
      </c>
      <c r="ET175">
        <f>IF($DM175=0,"",IF(OR($EA175="",$EA175=0),"",$EA175/100))</f>
        <v/>
      </c>
      <c r="EU175">
        <f>IF(OR($ET175="",$DY175=""),"",INT($DY175*(1-$ET175)+0.5))</f>
        <v/>
      </c>
      <c r="EW175" t="n">
        <v>171</v>
      </c>
      <c r="EX175">
        <f>IFERROR(MATCH($EW175,$EM$5:$EM$1003,0),0)</f>
        <v/>
      </c>
      <c r="EY175">
        <f>IF($EW175&gt;$B$12,"",IF($EX175&gt;0,"row","spacer"))</f>
        <v/>
      </c>
      <c r="EZ175">
        <f>IF(AND($EY175="row",$EY174&lt;&gt;"row"),1,0)</f>
        <v/>
      </c>
      <c r="FA175">
        <f>IF(AND($EY175="row",$EY176&lt;&gt;"row"),1,0)</f>
        <v/>
      </c>
      <c r="FB175">
        <f>IF($EZ175=1,IFERROR(IF(ISNUMBER(INDEX(PASTE_ALL,INDEX($DF$5:$DF$1003,$EX175),$B$37)),INDEX(PASTE_ALL,INDEX($DF$5:$DF$1003,$EX175),$B$37),INDEX($DH$5:$DH$1003,$EX175)),INDEX($DH$5:$DH$1003,$EX175)),"")</f>
        <v/>
      </c>
      <c r="FC175">
        <f>IF($EY175="row",INDEX($ER$5:$ER$1003,$EX175),"")</f>
        <v/>
      </c>
      <c r="FD175">
        <f>IF($EY175="row",INDEX($DN$5:$DN$1003,$EX175),"")</f>
        <v/>
      </c>
      <c r="FE175">
        <f>IF($EY175="row",INDEX($DO$5:$DO$1003,$EX175),"")</f>
        <v/>
      </c>
      <c r="FF175">
        <f>IF($EY175="row",INDEX($DP$5:$DP$1003,$EX175),"")</f>
        <v/>
      </c>
      <c r="FG175">
        <f>IF($EY175="row",INDEX($DQ$5:$DQ$1003,$EX175),"")</f>
        <v/>
      </c>
      <c r="FH175">
        <f>IF($EY175="row",INDEX($DR$5:$DR$1003,$EX175),"")</f>
        <v/>
      </c>
      <c r="FI175">
        <f>IF($EY175="row",INDEX($DS$5:$DS$1003,$EX175),"")</f>
        <v/>
      </c>
      <c r="FJ175">
        <f>IF($EY175="row",INDEX($DT$5:$DT$1003,$EX175),"")</f>
        <v/>
      </c>
      <c r="FK175">
        <f>IF($EY175="row",INDEX($DU$5:$DU$1003,$EX175),"")</f>
        <v/>
      </c>
      <c r="FL175">
        <f>IF($EY175="row",INDEX($DV$5:$DV$1003,$EX175),"")</f>
        <v/>
      </c>
      <c r="FM175">
        <f>IF($EY175="row",INDEX($DW$5:$DW$1003,$EX175),"")</f>
        <v/>
      </c>
      <c r="FN175">
        <f>IF($EY175="row",INDEX($DY$5:$DY$1003,$EX175),"")</f>
        <v/>
      </c>
      <c r="FO175">
        <f>IF($EY175="row",INDEX($EA$5:$EA$1003,$EX175),"")</f>
        <v/>
      </c>
      <c r="FP175">
        <f>IF($EY175="row",INDEX($EC$5:$EC$1003,$EX175),"")</f>
        <v/>
      </c>
      <c r="FQ175">
        <f>IF($EY175="row",INDEX($ET$5:$ET$1003,$EX175),"")</f>
        <v/>
      </c>
      <c r="FR175">
        <f>IF($EY175="row",INDEX($EU$5:$EU$1003,$EX175),"")</f>
        <v/>
      </c>
      <c r="FS175">
        <f>IF(AND($EY175="row",$EY174="row"),IF(OR(INDEX($DT$5:$DT$1003,$EX174)="",INDEX($DT$5:$DT$1003,$EX175)=""),"",IF(NOT(EXACT(INDEX($DT$5:$DT$1003,$EX174),INDEX($DT$5:$DT$1003,$EX175))),"S4",IF(NOT(EXACT(INDEX($DS$5:$DS$1003,$EX174),INDEX($DS$5:$DS$1003,$EX175))),"S3",IF(NOT(EXACT(INDEX($DR$5:$DR$1003,$EX174),INDEX($DR$5:$DR$1003,$EX175))),"S1 Count Change","S1")))),"")</f>
        <v/>
      </c>
      <c r="FT175">
        <f>IF($EY175="row",INDEX($ES$5:$ES$1003,$EX175),"")</f>
        <v/>
      </c>
      <c r="FU175">
        <f>IF($EY175="row",INDEX($EO$5:$EO$1003,$EX175),0)</f>
        <v/>
      </c>
      <c r="FV175">
        <f>IF($FS175="S1 Count Change",1,0)</f>
        <v/>
      </c>
    </row>
    <row r="176">
      <c r="Y176">
        <f>IF(Y41="",0,2*(OR(ISNUMBER(FIND("WORKCENTER",Y41)),AND(LEFT(Y41,4)="LINE",NOT(ISNUMBER(FIND("STATUS",Y41))))))+4*(OR(ISNUMBER(FIND("WORKORDER",Y41)),AND(LEFT(Y41,2)="WO",OR(ISNUMBER(FIND("NUM",Y41)),RIGHT(Y41,2)="NO"))))+8*(LEFT(Y41,3)="SEQ")+16*(AND(LEFT(Y41,4)="ITEM",NOT(ISNUMBER(FIND("DESC",Y41)))))+32*(AND(ISNUMBER(FIND("DESC",Y41)),NOT(ISNUMBER(FIND("CAP",Y41)))))+64*(OR(RIGHT(Y41,5)="COUNT",RIGHT(Y41,2)="CT"))+128*(ISNUMBER(FIND("BULK",Y41)))+256*(ISNUMBER(FIND("SIZE",Y41)))+512*(LEFT(Y41,3)="CAP")+1024*(ISNUMBER(FIND("ALLERG",Y41)))+2048*(OR(ISNUMBER(FIND("REMARK",Y41)),ISNUMBER(FIND("COMMENT",Y41))))+4096*(OR(ISNUMBER(FIND("QTY",Y41)),ISNUMBER(FIND("QUANTITY",Y41))))+8192*(AND(OR(ISNUMBER(FIND("COMPLETE",Y41)),ISNUMBER(FIND("PCT",Y41)),ISNUMBER(FIND("PERCENT",Y41))),NOT(ISNUMBER(FIND("ACTUAL",Y41))),LEN(Y41)&lt;=16))+32768*(OR(ISNUMBER(FIND("DESIC",Y41)),ISNUMBER(FIND("DESSIC",Y41)))))</f>
        <v/>
      </c>
      <c r="Z176">
        <f>IF(Z41="",0,2*(OR(ISNUMBER(FIND("WORKCENTER",Z41)),AND(LEFT(Z41,4)="LINE",NOT(ISNUMBER(FIND("STATUS",Z41))))))+4*(OR(ISNUMBER(FIND("WORKORDER",Z41)),AND(LEFT(Z41,2)="WO",OR(ISNUMBER(FIND("NUM",Z41)),RIGHT(Z41,2)="NO"))))+8*(LEFT(Z41,3)="SEQ")+16*(AND(LEFT(Z41,4)="ITEM",NOT(ISNUMBER(FIND("DESC",Z41)))))+32*(AND(ISNUMBER(FIND("DESC",Z41)),NOT(ISNUMBER(FIND("CAP",Z41)))))+64*(OR(RIGHT(Z41,5)="COUNT",RIGHT(Z41,2)="CT"))+128*(ISNUMBER(FIND("BULK",Z41)))+256*(ISNUMBER(FIND("SIZE",Z41)))+512*(LEFT(Z41,3)="CAP")+1024*(ISNUMBER(FIND("ALLERG",Z41)))+2048*(OR(ISNUMBER(FIND("REMARK",Z41)),ISNUMBER(FIND("COMMENT",Z41))))+4096*(OR(ISNUMBER(FIND("QTY",Z41)),ISNUMBER(FIND("QUANTITY",Z41))))+8192*(AND(OR(ISNUMBER(FIND("COMPLETE",Z41)),ISNUMBER(FIND("PCT",Z41)),ISNUMBER(FIND("PERCENT",Z41))),NOT(ISNUMBER(FIND("ACTUAL",Z41))),LEN(Z41)&lt;=16))+32768*(OR(ISNUMBER(FIND("DESIC",Z41)),ISNUMBER(FIND("DESSIC",Z41)))))</f>
        <v/>
      </c>
      <c r="AA176">
        <f>IF(AA41="",0,2*(OR(ISNUMBER(FIND("WORKCENTER",AA41)),AND(LEFT(AA41,4)="LINE",NOT(ISNUMBER(FIND("STATUS",AA41))))))+4*(OR(ISNUMBER(FIND("WORKORDER",AA41)),AND(LEFT(AA41,2)="WO",OR(ISNUMBER(FIND("NUM",AA41)),RIGHT(AA41,2)="NO"))))+8*(LEFT(AA41,3)="SEQ")+16*(AND(LEFT(AA41,4)="ITEM",NOT(ISNUMBER(FIND("DESC",AA41)))))+32*(AND(ISNUMBER(FIND("DESC",AA41)),NOT(ISNUMBER(FIND("CAP",AA41)))))+64*(OR(RIGHT(AA41,5)="COUNT",RIGHT(AA41,2)="CT"))+128*(ISNUMBER(FIND("BULK",AA41)))+256*(ISNUMBER(FIND("SIZE",AA41)))+512*(LEFT(AA41,3)="CAP")+1024*(ISNUMBER(FIND("ALLERG",AA41)))+2048*(OR(ISNUMBER(FIND("REMARK",AA41)),ISNUMBER(FIND("COMMENT",AA41))))+4096*(OR(ISNUMBER(FIND("QTY",AA41)),ISNUMBER(FIND("QUANTITY",AA41))))+8192*(AND(OR(ISNUMBER(FIND("COMPLETE",AA41)),ISNUMBER(FIND("PCT",AA41)),ISNUMBER(FIND("PERCENT",AA41))),NOT(ISNUMBER(FIND("ACTUAL",AA41))),LEN(AA41)&lt;=16))+32768*(OR(ISNUMBER(FIND("DESIC",AA41)),ISNUMBER(FIND("DESSIC",AA41)))))</f>
        <v/>
      </c>
      <c r="AB176">
        <f>IF(AB41="",0,2*(OR(ISNUMBER(FIND("WORKCENTER",AB41)),AND(LEFT(AB41,4)="LINE",NOT(ISNUMBER(FIND("STATUS",AB41))))))+4*(OR(ISNUMBER(FIND("WORKORDER",AB41)),AND(LEFT(AB41,2)="WO",OR(ISNUMBER(FIND("NUM",AB41)),RIGHT(AB41,2)="NO"))))+8*(LEFT(AB41,3)="SEQ")+16*(AND(LEFT(AB41,4)="ITEM",NOT(ISNUMBER(FIND("DESC",AB41)))))+32*(AND(ISNUMBER(FIND("DESC",AB41)),NOT(ISNUMBER(FIND("CAP",AB41)))))+64*(OR(RIGHT(AB41,5)="COUNT",RIGHT(AB41,2)="CT"))+128*(ISNUMBER(FIND("BULK",AB41)))+256*(ISNUMBER(FIND("SIZE",AB41)))+512*(LEFT(AB41,3)="CAP")+1024*(ISNUMBER(FIND("ALLERG",AB41)))+2048*(OR(ISNUMBER(FIND("REMARK",AB41)),ISNUMBER(FIND("COMMENT",AB41))))+4096*(OR(ISNUMBER(FIND("QTY",AB41)),ISNUMBER(FIND("QUANTITY",AB41))))+8192*(AND(OR(ISNUMBER(FIND("COMPLETE",AB41)),ISNUMBER(FIND("PCT",AB41)),ISNUMBER(FIND("PERCENT",AB41))),NOT(ISNUMBER(FIND("ACTUAL",AB41))),LEN(AB41)&lt;=16))+32768*(OR(ISNUMBER(FIND("DESIC",AB41)),ISNUMBER(FIND("DESSIC",AB41)))))</f>
        <v/>
      </c>
      <c r="AC176">
        <f>IF(AC41="",0,2*(OR(ISNUMBER(FIND("WORKCENTER",AC41)),AND(LEFT(AC41,4)="LINE",NOT(ISNUMBER(FIND("STATUS",AC41))))))+4*(OR(ISNUMBER(FIND("WORKORDER",AC41)),AND(LEFT(AC41,2)="WO",OR(ISNUMBER(FIND("NUM",AC41)),RIGHT(AC41,2)="NO"))))+8*(LEFT(AC41,3)="SEQ")+16*(AND(LEFT(AC41,4)="ITEM",NOT(ISNUMBER(FIND("DESC",AC41)))))+32*(AND(ISNUMBER(FIND("DESC",AC41)),NOT(ISNUMBER(FIND("CAP",AC41)))))+64*(OR(RIGHT(AC41,5)="COUNT",RIGHT(AC41,2)="CT"))+128*(ISNUMBER(FIND("BULK",AC41)))+256*(ISNUMBER(FIND("SIZE",AC41)))+512*(LEFT(AC41,3)="CAP")+1024*(ISNUMBER(FIND("ALLERG",AC41)))+2048*(OR(ISNUMBER(FIND("REMARK",AC41)),ISNUMBER(FIND("COMMENT",AC41))))+4096*(OR(ISNUMBER(FIND("QTY",AC41)),ISNUMBER(FIND("QUANTITY",AC41))))+8192*(AND(OR(ISNUMBER(FIND("COMPLETE",AC41)),ISNUMBER(FIND("PCT",AC41)),ISNUMBER(FIND("PERCENT",AC41))),NOT(ISNUMBER(FIND("ACTUAL",AC41))),LEN(AC41)&lt;=16))+32768*(OR(ISNUMBER(FIND("DESIC",AC41)),ISNUMBER(FIND("DESSIC",AC41)))))</f>
        <v/>
      </c>
      <c r="AD176">
        <f>IF(AD41="",0,2*(OR(ISNUMBER(FIND("WORKCENTER",AD41)),AND(LEFT(AD41,4)="LINE",NOT(ISNUMBER(FIND("STATUS",AD41))))))+4*(OR(ISNUMBER(FIND("WORKORDER",AD41)),AND(LEFT(AD41,2)="WO",OR(ISNUMBER(FIND("NUM",AD41)),RIGHT(AD41,2)="NO"))))+8*(LEFT(AD41,3)="SEQ")+16*(AND(LEFT(AD41,4)="ITEM",NOT(ISNUMBER(FIND("DESC",AD41)))))+32*(AND(ISNUMBER(FIND("DESC",AD41)),NOT(ISNUMBER(FIND("CAP",AD41)))))+64*(OR(RIGHT(AD41,5)="COUNT",RIGHT(AD41,2)="CT"))+128*(ISNUMBER(FIND("BULK",AD41)))+256*(ISNUMBER(FIND("SIZE",AD41)))+512*(LEFT(AD41,3)="CAP")+1024*(ISNUMBER(FIND("ALLERG",AD41)))+2048*(OR(ISNUMBER(FIND("REMARK",AD41)),ISNUMBER(FIND("COMMENT",AD41))))+4096*(OR(ISNUMBER(FIND("QTY",AD41)),ISNUMBER(FIND("QUANTITY",AD41))))+8192*(AND(OR(ISNUMBER(FIND("COMPLETE",AD41)),ISNUMBER(FIND("PCT",AD41)),ISNUMBER(FIND("PERCENT",AD41))),NOT(ISNUMBER(FIND("ACTUAL",AD41))),LEN(AD41)&lt;=16))+32768*(OR(ISNUMBER(FIND("DESIC",AD41)),ISNUMBER(FIND("DESSIC",AD41)))))</f>
        <v/>
      </c>
      <c r="AE176">
        <f>IF(AE41="",0,2*(OR(ISNUMBER(FIND("WORKCENTER",AE41)),AND(LEFT(AE41,4)="LINE",NOT(ISNUMBER(FIND("STATUS",AE41))))))+4*(OR(ISNUMBER(FIND("WORKORDER",AE41)),AND(LEFT(AE41,2)="WO",OR(ISNUMBER(FIND("NUM",AE41)),RIGHT(AE41,2)="NO"))))+8*(LEFT(AE41,3)="SEQ")+16*(AND(LEFT(AE41,4)="ITEM",NOT(ISNUMBER(FIND("DESC",AE41)))))+32*(AND(ISNUMBER(FIND("DESC",AE41)),NOT(ISNUMBER(FIND("CAP",AE41)))))+64*(OR(RIGHT(AE41,5)="COUNT",RIGHT(AE41,2)="CT"))+128*(ISNUMBER(FIND("BULK",AE41)))+256*(ISNUMBER(FIND("SIZE",AE41)))+512*(LEFT(AE41,3)="CAP")+1024*(ISNUMBER(FIND("ALLERG",AE41)))+2048*(OR(ISNUMBER(FIND("REMARK",AE41)),ISNUMBER(FIND("COMMENT",AE41))))+4096*(OR(ISNUMBER(FIND("QTY",AE41)),ISNUMBER(FIND("QUANTITY",AE41))))+8192*(AND(OR(ISNUMBER(FIND("COMPLETE",AE41)),ISNUMBER(FIND("PCT",AE41)),ISNUMBER(FIND("PERCENT",AE41))),NOT(ISNUMBER(FIND("ACTUAL",AE41))),LEN(AE41)&lt;=16))+32768*(OR(ISNUMBER(FIND("DESIC",AE41)),ISNUMBER(FIND("DESSIC",AE41)))))</f>
        <v/>
      </c>
      <c r="AF176">
        <f>IF(AF41="",0,2*(OR(ISNUMBER(FIND("WORKCENTER",AF41)),AND(LEFT(AF41,4)="LINE",NOT(ISNUMBER(FIND("STATUS",AF41))))))+4*(OR(ISNUMBER(FIND("WORKORDER",AF41)),AND(LEFT(AF41,2)="WO",OR(ISNUMBER(FIND("NUM",AF41)),RIGHT(AF41,2)="NO"))))+8*(LEFT(AF41,3)="SEQ")+16*(AND(LEFT(AF41,4)="ITEM",NOT(ISNUMBER(FIND("DESC",AF41)))))+32*(AND(ISNUMBER(FIND("DESC",AF41)),NOT(ISNUMBER(FIND("CAP",AF41)))))+64*(OR(RIGHT(AF41,5)="COUNT",RIGHT(AF41,2)="CT"))+128*(ISNUMBER(FIND("BULK",AF41)))+256*(ISNUMBER(FIND("SIZE",AF41)))+512*(LEFT(AF41,3)="CAP")+1024*(ISNUMBER(FIND("ALLERG",AF41)))+2048*(OR(ISNUMBER(FIND("REMARK",AF41)),ISNUMBER(FIND("COMMENT",AF41))))+4096*(OR(ISNUMBER(FIND("QTY",AF41)),ISNUMBER(FIND("QUANTITY",AF41))))+8192*(AND(OR(ISNUMBER(FIND("COMPLETE",AF41)),ISNUMBER(FIND("PCT",AF41)),ISNUMBER(FIND("PERCENT",AF41))),NOT(ISNUMBER(FIND("ACTUAL",AF41))),LEN(AF41)&lt;=16))+32768*(OR(ISNUMBER(FIND("DESIC",AF41)),ISNUMBER(FIND("DESSIC",AF41)))))</f>
        <v/>
      </c>
      <c r="AG176">
        <f>IF(AG41="",0,2*(OR(ISNUMBER(FIND("WORKCENTER",AG41)),AND(LEFT(AG41,4)="LINE",NOT(ISNUMBER(FIND("STATUS",AG41))))))+4*(OR(ISNUMBER(FIND("WORKORDER",AG41)),AND(LEFT(AG41,2)="WO",OR(ISNUMBER(FIND("NUM",AG41)),RIGHT(AG41,2)="NO"))))+8*(LEFT(AG41,3)="SEQ")+16*(AND(LEFT(AG41,4)="ITEM",NOT(ISNUMBER(FIND("DESC",AG41)))))+32*(AND(ISNUMBER(FIND("DESC",AG41)),NOT(ISNUMBER(FIND("CAP",AG41)))))+64*(OR(RIGHT(AG41,5)="COUNT",RIGHT(AG41,2)="CT"))+128*(ISNUMBER(FIND("BULK",AG41)))+256*(ISNUMBER(FIND("SIZE",AG41)))+512*(LEFT(AG41,3)="CAP")+1024*(ISNUMBER(FIND("ALLERG",AG41)))+2048*(OR(ISNUMBER(FIND("REMARK",AG41)),ISNUMBER(FIND("COMMENT",AG41))))+4096*(OR(ISNUMBER(FIND("QTY",AG41)),ISNUMBER(FIND("QUANTITY",AG41))))+8192*(AND(OR(ISNUMBER(FIND("COMPLETE",AG41)),ISNUMBER(FIND("PCT",AG41)),ISNUMBER(FIND("PERCENT",AG41))),NOT(ISNUMBER(FIND("ACTUAL",AG41))),LEN(AG41)&lt;=16))+32768*(OR(ISNUMBER(FIND("DESIC",AG41)),ISNUMBER(FIND("DESSIC",AG41)))))</f>
        <v/>
      </c>
      <c r="AH176">
        <f>IF(AH41="",0,2*(OR(ISNUMBER(FIND("WORKCENTER",AH41)),AND(LEFT(AH41,4)="LINE",NOT(ISNUMBER(FIND("STATUS",AH41))))))+4*(OR(ISNUMBER(FIND("WORKORDER",AH41)),AND(LEFT(AH41,2)="WO",OR(ISNUMBER(FIND("NUM",AH41)),RIGHT(AH41,2)="NO"))))+8*(LEFT(AH41,3)="SEQ")+16*(AND(LEFT(AH41,4)="ITEM",NOT(ISNUMBER(FIND("DESC",AH41)))))+32*(AND(ISNUMBER(FIND("DESC",AH41)),NOT(ISNUMBER(FIND("CAP",AH41)))))+64*(OR(RIGHT(AH41,5)="COUNT",RIGHT(AH41,2)="CT"))+128*(ISNUMBER(FIND("BULK",AH41)))+256*(ISNUMBER(FIND("SIZE",AH41)))+512*(LEFT(AH41,3)="CAP")+1024*(ISNUMBER(FIND("ALLERG",AH41)))+2048*(OR(ISNUMBER(FIND("REMARK",AH41)),ISNUMBER(FIND("COMMENT",AH41))))+4096*(OR(ISNUMBER(FIND("QTY",AH41)),ISNUMBER(FIND("QUANTITY",AH41))))+8192*(AND(OR(ISNUMBER(FIND("COMPLETE",AH41)),ISNUMBER(FIND("PCT",AH41)),ISNUMBER(FIND("PERCENT",AH41))),NOT(ISNUMBER(FIND("ACTUAL",AH41))),LEN(AH41)&lt;=16))+32768*(OR(ISNUMBER(FIND("DESIC",AH41)),ISNUMBER(FIND("DESSIC",AH41)))))</f>
        <v/>
      </c>
      <c r="AI176">
        <f>IF(AI41="",0,2*(OR(ISNUMBER(FIND("WORKCENTER",AI41)),AND(LEFT(AI41,4)="LINE",NOT(ISNUMBER(FIND("STATUS",AI41))))))+4*(OR(ISNUMBER(FIND("WORKORDER",AI41)),AND(LEFT(AI41,2)="WO",OR(ISNUMBER(FIND("NUM",AI41)),RIGHT(AI41,2)="NO"))))+8*(LEFT(AI41,3)="SEQ")+16*(AND(LEFT(AI41,4)="ITEM",NOT(ISNUMBER(FIND("DESC",AI41)))))+32*(AND(ISNUMBER(FIND("DESC",AI41)),NOT(ISNUMBER(FIND("CAP",AI41)))))+64*(OR(RIGHT(AI41,5)="COUNT",RIGHT(AI41,2)="CT"))+128*(ISNUMBER(FIND("BULK",AI41)))+256*(ISNUMBER(FIND("SIZE",AI41)))+512*(LEFT(AI41,3)="CAP")+1024*(ISNUMBER(FIND("ALLERG",AI41)))+2048*(OR(ISNUMBER(FIND("REMARK",AI41)),ISNUMBER(FIND("COMMENT",AI41))))+4096*(OR(ISNUMBER(FIND("QTY",AI41)),ISNUMBER(FIND("QUANTITY",AI41))))+8192*(AND(OR(ISNUMBER(FIND("COMPLETE",AI41)),ISNUMBER(FIND("PCT",AI41)),ISNUMBER(FIND("PERCENT",AI41))),NOT(ISNUMBER(FIND("ACTUAL",AI41))),LEN(AI41)&lt;=16))+32768*(OR(ISNUMBER(FIND("DESIC",AI41)),ISNUMBER(FIND("DESSIC",AI41)))))</f>
        <v/>
      </c>
      <c r="AJ176">
        <f>IF(AJ41="",0,2*(OR(ISNUMBER(FIND("WORKCENTER",AJ41)),AND(LEFT(AJ41,4)="LINE",NOT(ISNUMBER(FIND("STATUS",AJ41))))))+4*(OR(ISNUMBER(FIND("WORKORDER",AJ41)),AND(LEFT(AJ41,2)="WO",OR(ISNUMBER(FIND("NUM",AJ41)),RIGHT(AJ41,2)="NO"))))+8*(LEFT(AJ41,3)="SEQ")+16*(AND(LEFT(AJ41,4)="ITEM",NOT(ISNUMBER(FIND("DESC",AJ41)))))+32*(AND(ISNUMBER(FIND("DESC",AJ41)),NOT(ISNUMBER(FIND("CAP",AJ41)))))+64*(OR(RIGHT(AJ41,5)="COUNT",RIGHT(AJ41,2)="CT"))+128*(ISNUMBER(FIND("BULK",AJ41)))+256*(ISNUMBER(FIND("SIZE",AJ41)))+512*(LEFT(AJ41,3)="CAP")+1024*(ISNUMBER(FIND("ALLERG",AJ41)))+2048*(OR(ISNUMBER(FIND("REMARK",AJ41)),ISNUMBER(FIND("COMMENT",AJ41))))+4096*(OR(ISNUMBER(FIND("QTY",AJ41)),ISNUMBER(FIND("QUANTITY",AJ41))))+8192*(AND(OR(ISNUMBER(FIND("COMPLETE",AJ41)),ISNUMBER(FIND("PCT",AJ41)),ISNUMBER(FIND("PERCENT",AJ41))),NOT(ISNUMBER(FIND("ACTUAL",AJ41))),LEN(AJ41)&lt;=16))+32768*(OR(ISNUMBER(FIND("DESIC",AJ41)),ISNUMBER(FIND("DESSIC",AJ41)))))</f>
        <v/>
      </c>
      <c r="AK176">
        <f>IF(AK41="",0,2*(OR(ISNUMBER(FIND("WORKCENTER",AK41)),AND(LEFT(AK41,4)="LINE",NOT(ISNUMBER(FIND("STATUS",AK41))))))+4*(OR(ISNUMBER(FIND("WORKORDER",AK41)),AND(LEFT(AK41,2)="WO",OR(ISNUMBER(FIND("NUM",AK41)),RIGHT(AK41,2)="NO"))))+8*(LEFT(AK41,3)="SEQ")+16*(AND(LEFT(AK41,4)="ITEM",NOT(ISNUMBER(FIND("DESC",AK41)))))+32*(AND(ISNUMBER(FIND("DESC",AK41)),NOT(ISNUMBER(FIND("CAP",AK41)))))+64*(OR(RIGHT(AK41,5)="COUNT",RIGHT(AK41,2)="CT"))+128*(ISNUMBER(FIND("BULK",AK41)))+256*(ISNUMBER(FIND("SIZE",AK41)))+512*(LEFT(AK41,3)="CAP")+1024*(ISNUMBER(FIND("ALLERG",AK41)))+2048*(OR(ISNUMBER(FIND("REMARK",AK41)),ISNUMBER(FIND("COMMENT",AK41))))+4096*(OR(ISNUMBER(FIND("QTY",AK41)),ISNUMBER(FIND("QUANTITY",AK41))))+8192*(AND(OR(ISNUMBER(FIND("COMPLETE",AK41)),ISNUMBER(FIND("PCT",AK41)),ISNUMBER(FIND("PERCENT",AK41))),NOT(ISNUMBER(FIND("ACTUAL",AK41))),LEN(AK41)&lt;=16))+32768*(OR(ISNUMBER(FIND("DESIC",AK41)),ISNUMBER(FIND("DESSIC",AK41)))))</f>
        <v/>
      </c>
      <c r="AL176">
        <f>IF(AL41="",0,2*(OR(ISNUMBER(FIND("WORKCENTER",AL41)),AND(LEFT(AL41,4)="LINE",NOT(ISNUMBER(FIND("STATUS",AL41))))))+4*(OR(ISNUMBER(FIND("WORKORDER",AL41)),AND(LEFT(AL41,2)="WO",OR(ISNUMBER(FIND("NUM",AL41)),RIGHT(AL41,2)="NO"))))+8*(LEFT(AL41,3)="SEQ")+16*(AND(LEFT(AL41,4)="ITEM",NOT(ISNUMBER(FIND("DESC",AL41)))))+32*(AND(ISNUMBER(FIND("DESC",AL41)),NOT(ISNUMBER(FIND("CAP",AL41)))))+64*(OR(RIGHT(AL41,5)="COUNT",RIGHT(AL41,2)="CT"))+128*(ISNUMBER(FIND("BULK",AL41)))+256*(ISNUMBER(FIND("SIZE",AL41)))+512*(LEFT(AL41,3)="CAP")+1024*(ISNUMBER(FIND("ALLERG",AL41)))+2048*(OR(ISNUMBER(FIND("REMARK",AL41)),ISNUMBER(FIND("COMMENT",AL41))))+4096*(OR(ISNUMBER(FIND("QTY",AL41)),ISNUMBER(FIND("QUANTITY",AL41))))+8192*(AND(OR(ISNUMBER(FIND("COMPLETE",AL41)),ISNUMBER(FIND("PCT",AL41)),ISNUMBER(FIND("PERCENT",AL41))),NOT(ISNUMBER(FIND("ACTUAL",AL41))),LEN(AL41)&lt;=16))+32768*(OR(ISNUMBER(FIND("DESIC",AL41)),ISNUMBER(FIND("DESSIC",AL41)))))</f>
        <v/>
      </c>
      <c r="AM176">
        <f>IF(AM41="",0,2*(OR(ISNUMBER(FIND("WORKCENTER",AM41)),AND(LEFT(AM41,4)="LINE",NOT(ISNUMBER(FIND("STATUS",AM41))))))+4*(OR(ISNUMBER(FIND("WORKORDER",AM41)),AND(LEFT(AM41,2)="WO",OR(ISNUMBER(FIND("NUM",AM41)),RIGHT(AM41,2)="NO"))))+8*(LEFT(AM41,3)="SEQ")+16*(AND(LEFT(AM41,4)="ITEM",NOT(ISNUMBER(FIND("DESC",AM41)))))+32*(AND(ISNUMBER(FIND("DESC",AM41)),NOT(ISNUMBER(FIND("CAP",AM41)))))+64*(OR(RIGHT(AM41,5)="COUNT",RIGHT(AM41,2)="CT"))+128*(ISNUMBER(FIND("BULK",AM41)))+256*(ISNUMBER(FIND("SIZE",AM41)))+512*(LEFT(AM41,3)="CAP")+1024*(ISNUMBER(FIND("ALLERG",AM41)))+2048*(OR(ISNUMBER(FIND("REMARK",AM41)),ISNUMBER(FIND("COMMENT",AM41))))+4096*(OR(ISNUMBER(FIND("QTY",AM41)),ISNUMBER(FIND("QUANTITY",AM41))))+8192*(AND(OR(ISNUMBER(FIND("COMPLETE",AM41)),ISNUMBER(FIND("PCT",AM41)),ISNUMBER(FIND("PERCENT",AM41))),NOT(ISNUMBER(FIND("ACTUAL",AM41))),LEN(AM41)&lt;=16))+32768*(OR(ISNUMBER(FIND("DESIC",AM41)),ISNUMBER(FIND("DESSIC",AM41)))))</f>
        <v/>
      </c>
      <c r="AN176">
        <f>IF(AN41="",0,2*(OR(ISNUMBER(FIND("WORKCENTER",AN41)),AND(LEFT(AN41,4)="LINE",NOT(ISNUMBER(FIND("STATUS",AN41))))))+4*(OR(ISNUMBER(FIND("WORKORDER",AN41)),AND(LEFT(AN41,2)="WO",OR(ISNUMBER(FIND("NUM",AN41)),RIGHT(AN41,2)="NO"))))+8*(LEFT(AN41,3)="SEQ")+16*(AND(LEFT(AN41,4)="ITEM",NOT(ISNUMBER(FIND("DESC",AN41)))))+32*(AND(ISNUMBER(FIND("DESC",AN41)),NOT(ISNUMBER(FIND("CAP",AN41)))))+64*(OR(RIGHT(AN41,5)="COUNT",RIGHT(AN41,2)="CT"))+128*(ISNUMBER(FIND("BULK",AN41)))+256*(ISNUMBER(FIND("SIZE",AN41)))+512*(LEFT(AN41,3)="CAP")+1024*(ISNUMBER(FIND("ALLERG",AN41)))+2048*(OR(ISNUMBER(FIND("REMARK",AN41)),ISNUMBER(FIND("COMMENT",AN41))))+4096*(OR(ISNUMBER(FIND("QTY",AN41)),ISNUMBER(FIND("QUANTITY",AN41))))+8192*(AND(OR(ISNUMBER(FIND("COMPLETE",AN41)),ISNUMBER(FIND("PCT",AN41)),ISNUMBER(FIND("PERCENT",AN41))),NOT(ISNUMBER(FIND("ACTUAL",AN41))),LEN(AN41)&lt;=16))+32768*(OR(ISNUMBER(FIND("DESIC",AN41)),ISNUMBER(FIND("DESSIC",AN41)))))</f>
        <v/>
      </c>
      <c r="AO176">
        <f>IF(AO41="",0,2*(OR(ISNUMBER(FIND("WORKCENTER",AO41)),AND(LEFT(AO41,4)="LINE",NOT(ISNUMBER(FIND("STATUS",AO41))))))+4*(OR(ISNUMBER(FIND("WORKORDER",AO41)),AND(LEFT(AO41,2)="WO",OR(ISNUMBER(FIND("NUM",AO41)),RIGHT(AO41,2)="NO"))))+8*(LEFT(AO41,3)="SEQ")+16*(AND(LEFT(AO41,4)="ITEM",NOT(ISNUMBER(FIND("DESC",AO41)))))+32*(AND(ISNUMBER(FIND("DESC",AO41)),NOT(ISNUMBER(FIND("CAP",AO41)))))+64*(OR(RIGHT(AO41,5)="COUNT",RIGHT(AO41,2)="CT"))+128*(ISNUMBER(FIND("BULK",AO41)))+256*(ISNUMBER(FIND("SIZE",AO41)))+512*(LEFT(AO41,3)="CAP")+1024*(ISNUMBER(FIND("ALLERG",AO41)))+2048*(OR(ISNUMBER(FIND("REMARK",AO41)),ISNUMBER(FIND("COMMENT",AO41))))+4096*(OR(ISNUMBER(FIND("QTY",AO41)),ISNUMBER(FIND("QUANTITY",AO41))))+8192*(AND(OR(ISNUMBER(FIND("COMPLETE",AO41)),ISNUMBER(FIND("PCT",AO41)),ISNUMBER(FIND("PERCENT",AO41))),NOT(ISNUMBER(FIND("ACTUAL",AO41))),LEN(AO41)&lt;=16))+32768*(OR(ISNUMBER(FIND("DESIC",AO41)),ISNUMBER(FIND("DESSIC",AO41)))))</f>
        <v/>
      </c>
      <c r="AP176">
        <f>IF(AP41="",0,2*(OR(ISNUMBER(FIND("WORKCENTER",AP41)),AND(LEFT(AP41,4)="LINE",NOT(ISNUMBER(FIND("STATUS",AP41))))))+4*(OR(ISNUMBER(FIND("WORKORDER",AP41)),AND(LEFT(AP41,2)="WO",OR(ISNUMBER(FIND("NUM",AP41)),RIGHT(AP41,2)="NO"))))+8*(LEFT(AP41,3)="SEQ")+16*(AND(LEFT(AP41,4)="ITEM",NOT(ISNUMBER(FIND("DESC",AP41)))))+32*(AND(ISNUMBER(FIND("DESC",AP41)),NOT(ISNUMBER(FIND("CAP",AP41)))))+64*(OR(RIGHT(AP41,5)="COUNT",RIGHT(AP41,2)="CT"))+128*(ISNUMBER(FIND("BULK",AP41)))+256*(ISNUMBER(FIND("SIZE",AP41)))+512*(LEFT(AP41,3)="CAP")+1024*(ISNUMBER(FIND("ALLERG",AP41)))+2048*(OR(ISNUMBER(FIND("REMARK",AP41)),ISNUMBER(FIND("COMMENT",AP41))))+4096*(OR(ISNUMBER(FIND("QTY",AP41)),ISNUMBER(FIND("QUANTITY",AP41))))+8192*(AND(OR(ISNUMBER(FIND("COMPLETE",AP41)),ISNUMBER(FIND("PCT",AP41)),ISNUMBER(FIND("PERCENT",AP41))),NOT(ISNUMBER(FIND("ACTUAL",AP41))),LEN(AP41)&lt;=16))+32768*(OR(ISNUMBER(FIND("DESIC",AP41)),ISNUMBER(FIND("DESSIC",AP41)))))</f>
        <v/>
      </c>
      <c r="AQ176">
        <f>IF(AQ41="",0,2*(OR(ISNUMBER(FIND("WORKCENTER",AQ41)),AND(LEFT(AQ41,4)="LINE",NOT(ISNUMBER(FIND("STATUS",AQ41))))))+4*(OR(ISNUMBER(FIND("WORKORDER",AQ41)),AND(LEFT(AQ41,2)="WO",OR(ISNUMBER(FIND("NUM",AQ41)),RIGHT(AQ41,2)="NO"))))+8*(LEFT(AQ41,3)="SEQ")+16*(AND(LEFT(AQ41,4)="ITEM",NOT(ISNUMBER(FIND("DESC",AQ41)))))+32*(AND(ISNUMBER(FIND("DESC",AQ41)),NOT(ISNUMBER(FIND("CAP",AQ41)))))+64*(OR(RIGHT(AQ41,5)="COUNT",RIGHT(AQ41,2)="CT"))+128*(ISNUMBER(FIND("BULK",AQ41)))+256*(ISNUMBER(FIND("SIZE",AQ41)))+512*(LEFT(AQ41,3)="CAP")+1024*(ISNUMBER(FIND("ALLERG",AQ41)))+2048*(OR(ISNUMBER(FIND("REMARK",AQ41)),ISNUMBER(FIND("COMMENT",AQ41))))+4096*(OR(ISNUMBER(FIND("QTY",AQ41)),ISNUMBER(FIND("QUANTITY",AQ41))))+8192*(AND(OR(ISNUMBER(FIND("COMPLETE",AQ41)),ISNUMBER(FIND("PCT",AQ41)),ISNUMBER(FIND("PERCENT",AQ41))),NOT(ISNUMBER(FIND("ACTUAL",AQ41))),LEN(AQ41)&lt;=16))+32768*(OR(ISNUMBER(FIND("DESIC",AQ41)),ISNUMBER(FIND("DESSIC",AQ41)))))</f>
        <v/>
      </c>
      <c r="AR176">
        <f>IF(AR41="",0,2*(OR(ISNUMBER(FIND("WORKCENTER",AR41)),AND(LEFT(AR41,4)="LINE",NOT(ISNUMBER(FIND("STATUS",AR41))))))+4*(OR(ISNUMBER(FIND("WORKORDER",AR41)),AND(LEFT(AR41,2)="WO",OR(ISNUMBER(FIND("NUM",AR41)),RIGHT(AR41,2)="NO"))))+8*(LEFT(AR41,3)="SEQ")+16*(AND(LEFT(AR41,4)="ITEM",NOT(ISNUMBER(FIND("DESC",AR41)))))+32*(AND(ISNUMBER(FIND("DESC",AR41)),NOT(ISNUMBER(FIND("CAP",AR41)))))+64*(OR(RIGHT(AR41,5)="COUNT",RIGHT(AR41,2)="CT"))+128*(ISNUMBER(FIND("BULK",AR41)))+256*(ISNUMBER(FIND("SIZE",AR41)))+512*(LEFT(AR41,3)="CAP")+1024*(ISNUMBER(FIND("ALLERG",AR41)))+2048*(OR(ISNUMBER(FIND("REMARK",AR41)),ISNUMBER(FIND("COMMENT",AR41))))+4096*(OR(ISNUMBER(FIND("QTY",AR41)),ISNUMBER(FIND("QUANTITY",AR41))))+8192*(AND(OR(ISNUMBER(FIND("COMPLETE",AR41)),ISNUMBER(FIND("PCT",AR41)),ISNUMBER(FIND("PERCENT",AR41))),NOT(ISNUMBER(FIND("ACTUAL",AR41))),LEN(AR41)&lt;=16))+32768*(OR(ISNUMBER(FIND("DESIC",AR41)),ISNUMBER(FIND("DESSIC",AR41)))))</f>
        <v/>
      </c>
      <c r="AS176">
        <f>IF(AS41="",0,2*(OR(ISNUMBER(FIND("WORKCENTER",AS41)),AND(LEFT(AS41,4)="LINE",NOT(ISNUMBER(FIND("STATUS",AS41))))))+4*(OR(ISNUMBER(FIND("WORKORDER",AS41)),AND(LEFT(AS41,2)="WO",OR(ISNUMBER(FIND("NUM",AS41)),RIGHT(AS41,2)="NO"))))+8*(LEFT(AS41,3)="SEQ")+16*(AND(LEFT(AS41,4)="ITEM",NOT(ISNUMBER(FIND("DESC",AS41)))))+32*(AND(ISNUMBER(FIND("DESC",AS41)),NOT(ISNUMBER(FIND("CAP",AS41)))))+64*(OR(RIGHT(AS41,5)="COUNT",RIGHT(AS41,2)="CT"))+128*(ISNUMBER(FIND("BULK",AS41)))+256*(ISNUMBER(FIND("SIZE",AS41)))+512*(LEFT(AS41,3)="CAP")+1024*(ISNUMBER(FIND("ALLERG",AS41)))+2048*(OR(ISNUMBER(FIND("REMARK",AS41)),ISNUMBER(FIND("COMMENT",AS41))))+4096*(OR(ISNUMBER(FIND("QTY",AS41)),ISNUMBER(FIND("QUANTITY",AS41))))+8192*(AND(OR(ISNUMBER(FIND("COMPLETE",AS41)),ISNUMBER(FIND("PCT",AS41)),ISNUMBER(FIND("PERCENT",AS41))),NOT(ISNUMBER(FIND("ACTUAL",AS41))),LEN(AS41)&lt;=16))+32768*(OR(ISNUMBER(FIND("DESIC",AS41)),ISNUMBER(FIND("DESSIC",AS41)))))</f>
        <v/>
      </c>
      <c r="AT176">
        <f>IF(AT41="",0,2*(OR(ISNUMBER(FIND("WORKCENTER",AT41)),AND(LEFT(AT41,4)="LINE",NOT(ISNUMBER(FIND("STATUS",AT41))))))+4*(OR(ISNUMBER(FIND("WORKORDER",AT41)),AND(LEFT(AT41,2)="WO",OR(ISNUMBER(FIND("NUM",AT41)),RIGHT(AT41,2)="NO"))))+8*(LEFT(AT41,3)="SEQ")+16*(AND(LEFT(AT41,4)="ITEM",NOT(ISNUMBER(FIND("DESC",AT41)))))+32*(AND(ISNUMBER(FIND("DESC",AT41)),NOT(ISNUMBER(FIND("CAP",AT41)))))+64*(OR(RIGHT(AT41,5)="COUNT",RIGHT(AT41,2)="CT"))+128*(ISNUMBER(FIND("BULK",AT41)))+256*(ISNUMBER(FIND("SIZE",AT41)))+512*(LEFT(AT41,3)="CAP")+1024*(ISNUMBER(FIND("ALLERG",AT41)))+2048*(OR(ISNUMBER(FIND("REMARK",AT41)),ISNUMBER(FIND("COMMENT",AT41))))+4096*(OR(ISNUMBER(FIND("QTY",AT41)),ISNUMBER(FIND("QUANTITY",AT41))))+8192*(AND(OR(ISNUMBER(FIND("COMPLETE",AT41)),ISNUMBER(FIND("PCT",AT41)),ISNUMBER(FIND("PERCENT",AT41))),NOT(ISNUMBER(FIND("ACTUAL",AT41))),LEN(AT41)&lt;=16))+32768*(OR(ISNUMBER(FIND("DESIC",AT41)),ISNUMBER(FIND("DESSIC",AT41)))))</f>
        <v/>
      </c>
      <c r="AU176">
        <f>IF(AU41="",0,2*(OR(ISNUMBER(FIND("WORKCENTER",AU41)),AND(LEFT(AU41,4)="LINE",NOT(ISNUMBER(FIND("STATUS",AU41))))))+4*(OR(ISNUMBER(FIND("WORKORDER",AU41)),AND(LEFT(AU41,2)="WO",OR(ISNUMBER(FIND("NUM",AU41)),RIGHT(AU41,2)="NO"))))+8*(LEFT(AU41,3)="SEQ")+16*(AND(LEFT(AU41,4)="ITEM",NOT(ISNUMBER(FIND("DESC",AU41)))))+32*(AND(ISNUMBER(FIND("DESC",AU41)),NOT(ISNUMBER(FIND("CAP",AU41)))))+64*(OR(RIGHT(AU41,5)="COUNT",RIGHT(AU41,2)="CT"))+128*(ISNUMBER(FIND("BULK",AU41)))+256*(ISNUMBER(FIND("SIZE",AU41)))+512*(LEFT(AU41,3)="CAP")+1024*(ISNUMBER(FIND("ALLERG",AU41)))+2048*(OR(ISNUMBER(FIND("REMARK",AU41)),ISNUMBER(FIND("COMMENT",AU41))))+4096*(OR(ISNUMBER(FIND("QTY",AU41)),ISNUMBER(FIND("QUANTITY",AU41))))+8192*(AND(OR(ISNUMBER(FIND("COMPLETE",AU41)),ISNUMBER(FIND("PCT",AU41)),ISNUMBER(FIND("PERCENT",AU41))),NOT(ISNUMBER(FIND("ACTUAL",AU41))),LEN(AU41)&lt;=16))+32768*(OR(ISNUMBER(FIND("DESIC",AU41)),ISNUMBER(FIND("DESSIC",AU41)))))</f>
        <v/>
      </c>
      <c r="AV176">
        <f>IF(AV41="",0,2*(OR(ISNUMBER(FIND("WORKCENTER",AV41)),AND(LEFT(AV41,4)="LINE",NOT(ISNUMBER(FIND("STATUS",AV41))))))+4*(OR(ISNUMBER(FIND("WORKORDER",AV41)),AND(LEFT(AV41,2)="WO",OR(ISNUMBER(FIND("NUM",AV41)),RIGHT(AV41,2)="NO"))))+8*(LEFT(AV41,3)="SEQ")+16*(AND(LEFT(AV41,4)="ITEM",NOT(ISNUMBER(FIND("DESC",AV41)))))+32*(AND(ISNUMBER(FIND("DESC",AV41)),NOT(ISNUMBER(FIND("CAP",AV41)))))+64*(OR(RIGHT(AV41,5)="COUNT",RIGHT(AV41,2)="CT"))+128*(ISNUMBER(FIND("BULK",AV41)))+256*(ISNUMBER(FIND("SIZE",AV41)))+512*(LEFT(AV41,3)="CAP")+1024*(ISNUMBER(FIND("ALLERG",AV41)))+2048*(OR(ISNUMBER(FIND("REMARK",AV41)),ISNUMBER(FIND("COMMENT",AV41))))+4096*(OR(ISNUMBER(FIND("QTY",AV41)),ISNUMBER(FIND("QUANTITY",AV41))))+8192*(AND(OR(ISNUMBER(FIND("COMPLETE",AV41)),ISNUMBER(FIND("PCT",AV41)),ISNUMBER(FIND("PERCENT",AV41))),NOT(ISNUMBER(FIND("ACTUAL",AV41))),LEN(AV41)&lt;=16))+32768*(OR(ISNUMBER(FIND("DESIC",AV41)),ISNUMBER(FIND("DESSIC",AV41)))))</f>
        <v/>
      </c>
      <c r="AW176">
        <f>IF(AW41="",0,2*(OR(ISNUMBER(FIND("WORKCENTER",AW41)),AND(LEFT(AW41,4)="LINE",NOT(ISNUMBER(FIND("STATUS",AW41))))))+4*(OR(ISNUMBER(FIND("WORKORDER",AW41)),AND(LEFT(AW41,2)="WO",OR(ISNUMBER(FIND("NUM",AW41)),RIGHT(AW41,2)="NO"))))+8*(LEFT(AW41,3)="SEQ")+16*(AND(LEFT(AW41,4)="ITEM",NOT(ISNUMBER(FIND("DESC",AW41)))))+32*(AND(ISNUMBER(FIND("DESC",AW41)),NOT(ISNUMBER(FIND("CAP",AW41)))))+64*(OR(RIGHT(AW41,5)="COUNT",RIGHT(AW41,2)="CT"))+128*(ISNUMBER(FIND("BULK",AW41)))+256*(ISNUMBER(FIND("SIZE",AW41)))+512*(LEFT(AW41,3)="CAP")+1024*(ISNUMBER(FIND("ALLERG",AW41)))+2048*(OR(ISNUMBER(FIND("REMARK",AW41)),ISNUMBER(FIND("COMMENT",AW41))))+4096*(OR(ISNUMBER(FIND("QTY",AW41)),ISNUMBER(FIND("QUANTITY",AW41))))+8192*(AND(OR(ISNUMBER(FIND("COMPLETE",AW41)),ISNUMBER(FIND("PCT",AW41)),ISNUMBER(FIND("PERCENT",AW41))),NOT(ISNUMBER(FIND("ACTUAL",AW41))),LEN(AW41)&lt;=16))+32768*(OR(ISNUMBER(FIND("DESIC",AW41)),ISNUMBER(FIND("DESSIC",AW41)))))</f>
        <v/>
      </c>
      <c r="AX176">
        <f>IF(AX41="",0,2*(OR(ISNUMBER(FIND("WORKCENTER",AX41)),AND(LEFT(AX41,4)="LINE",NOT(ISNUMBER(FIND("STATUS",AX41))))))+4*(OR(ISNUMBER(FIND("WORKORDER",AX41)),AND(LEFT(AX41,2)="WO",OR(ISNUMBER(FIND("NUM",AX41)),RIGHT(AX41,2)="NO"))))+8*(LEFT(AX41,3)="SEQ")+16*(AND(LEFT(AX41,4)="ITEM",NOT(ISNUMBER(FIND("DESC",AX41)))))+32*(AND(ISNUMBER(FIND("DESC",AX41)),NOT(ISNUMBER(FIND("CAP",AX41)))))+64*(OR(RIGHT(AX41,5)="COUNT",RIGHT(AX41,2)="CT"))+128*(ISNUMBER(FIND("BULK",AX41)))+256*(ISNUMBER(FIND("SIZE",AX41)))+512*(LEFT(AX41,3)="CAP")+1024*(ISNUMBER(FIND("ALLERG",AX41)))+2048*(OR(ISNUMBER(FIND("REMARK",AX41)),ISNUMBER(FIND("COMMENT",AX41))))+4096*(OR(ISNUMBER(FIND("QTY",AX41)),ISNUMBER(FIND("QUANTITY",AX41))))+8192*(AND(OR(ISNUMBER(FIND("COMPLETE",AX41)),ISNUMBER(FIND("PCT",AX41)),ISNUMBER(FIND("PERCENT",AX41))),NOT(ISNUMBER(FIND("ACTUAL",AX41))),LEN(AX41)&lt;=16))+32768*(OR(ISNUMBER(FIND("DESIC",AX41)),ISNUMBER(FIND("DESSIC",AX41)))))</f>
        <v/>
      </c>
      <c r="AY176">
        <f>IF(AY41="",0,2*(OR(ISNUMBER(FIND("WORKCENTER",AY41)),AND(LEFT(AY41,4)="LINE",NOT(ISNUMBER(FIND("STATUS",AY41))))))+4*(OR(ISNUMBER(FIND("WORKORDER",AY41)),AND(LEFT(AY41,2)="WO",OR(ISNUMBER(FIND("NUM",AY41)),RIGHT(AY41,2)="NO"))))+8*(LEFT(AY41,3)="SEQ")+16*(AND(LEFT(AY41,4)="ITEM",NOT(ISNUMBER(FIND("DESC",AY41)))))+32*(AND(ISNUMBER(FIND("DESC",AY41)),NOT(ISNUMBER(FIND("CAP",AY41)))))+64*(OR(RIGHT(AY41,5)="COUNT",RIGHT(AY41,2)="CT"))+128*(ISNUMBER(FIND("BULK",AY41)))+256*(ISNUMBER(FIND("SIZE",AY41)))+512*(LEFT(AY41,3)="CAP")+1024*(ISNUMBER(FIND("ALLERG",AY41)))+2048*(OR(ISNUMBER(FIND("REMARK",AY41)),ISNUMBER(FIND("COMMENT",AY41))))+4096*(OR(ISNUMBER(FIND("QTY",AY41)),ISNUMBER(FIND("QUANTITY",AY41))))+8192*(AND(OR(ISNUMBER(FIND("COMPLETE",AY41)),ISNUMBER(FIND("PCT",AY41)),ISNUMBER(FIND("PERCENT",AY41))),NOT(ISNUMBER(FIND("ACTUAL",AY41))),LEN(AY41)&lt;=16))+32768*(OR(ISNUMBER(FIND("DESIC",AY41)),ISNUMBER(FIND("DESSIC",AY41)))))</f>
        <v/>
      </c>
      <c r="AZ176">
        <f>IF(AZ41="",0,2*(OR(ISNUMBER(FIND("WORKCENTER",AZ41)),AND(LEFT(AZ41,4)="LINE",NOT(ISNUMBER(FIND("STATUS",AZ41))))))+4*(OR(ISNUMBER(FIND("WORKORDER",AZ41)),AND(LEFT(AZ41,2)="WO",OR(ISNUMBER(FIND("NUM",AZ41)),RIGHT(AZ41,2)="NO"))))+8*(LEFT(AZ41,3)="SEQ")+16*(AND(LEFT(AZ41,4)="ITEM",NOT(ISNUMBER(FIND("DESC",AZ41)))))+32*(AND(ISNUMBER(FIND("DESC",AZ41)),NOT(ISNUMBER(FIND("CAP",AZ41)))))+64*(OR(RIGHT(AZ41,5)="COUNT",RIGHT(AZ41,2)="CT"))+128*(ISNUMBER(FIND("BULK",AZ41)))+256*(ISNUMBER(FIND("SIZE",AZ41)))+512*(LEFT(AZ41,3)="CAP")+1024*(ISNUMBER(FIND("ALLERG",AZ41)))+2048*(OR(ISNUMBER(FIND("REMARK",AZ41)),ISNUMBER(FIND("COMMENT",AZ41))))+4096*(OR(ISNUMBER(FIND("QTY",AZ41)),ISNUMBER(FIND("QUANTITY",AZ41))))+8192*(AND(OR(ISNUMBER(FIND("COMPLETE",AZ41)),ISNUMBER(FIND("PCT",AZ41)),ISNUMBER(FIND("PERCENT",AZ41))),NOT(ISNUMBER(FIND("ACTUAL",AZ41))),LEN(AZ41)&lt;=16))+32768*(OR(ISNUMBER(FIND("DESIC",AZ41)),ISNUMBER(FIND("DESSIC",AZ41)))))</f>
        <v/>
      </c>
      <c r="BA176">
        <f>IF(BA41="",0,2*(OR(ISNUMBER(FIND("WORKCENTER",BA41)),AND(LEFT(BA41,4)="LINE",NOT(ISNUMBER(FIND("STATUS",BA41))))))+4*(OR(ISNUMBER(FIND("WORKORDER",BA41)),AND(LEFT(BA41,2)="WO",OR(ISNUMBER(FIND("NUM",BA41)),RIGHT(BA41,2)="NO"))))+8*(LEFT(BA41,3)="SEQ")+16*(AND(LEFT(BA41,4)="ITEM",NOT(ISNUMBER(FIND("DESC",BA41)))))+32*(AND(ISNUMBER(FIND("DESC",BA41)),NOT(ISNUMBER(FIND("CAP",BA41)))))+64*(OR(RIGHT(BA41,5)="COUNT",RIGHT(BA41,2)="CT"))+128*(ISNUMBER(FIND("BULK",BA41)))+256*(ISNUMBER(FIND("SIZE",BA41)))+512*(LEFT(BA41,3)="CAP")+1024*(ISNUMBER(FIND("ALLERG",BA41)))+2048*(OR(ISNUMBER(FIND("REMARK",BA41)),ISNUMBER(FIND("COMMENT",BA41))))+4096*(OR(ISNUMBER(FIND("QTY",BA41)),ISNUMBER(FIND("QUANTITY",BA41))))+8192*(AND(OR(ISNUMBER(FIND("COMPLETE",BA41)),ISNUMBER(FIND("PCT",BA41)),ISNUMBER(FIND("PERCENT",BA41))),NOT(ISNUMBER(FIND("ACTUAL",BA41))),LEN(BA41)&lt;=16))+32768*(OR(ISNUMBER(FIND("DESIC",BA41)),ISNUMBER(FIND("DESSIC",BA41)))))</f>
        <v/>
      </c>
      <c r="BB176">
        <f>IF(BB41="",0,2*(OR(ISNUMBER(FIND("WORKCENTER",BB41)),AND(LEFT(BB41,4)="LINE",NOT(ISNUMBER(FIND("STATUS",BB41))))))+4*(OR(ISNUMBER(FIND("WORKORDER",BB41)),AND(LEFT(BB41,2)="WO",OR(ISNUMBER(FIND("NUM",BB41)),RIGHT(BB41,2)="NO"))))+8*(LEFT(BB41,3)="SEQ")+16*(AND(LEFT(BB41,4)="ITEM",NOT(ISNUMBER(FIND("DESC",BB41)))))+32*(AND(ISNUMBER(FIND("DESC",BB41)),NOT(ISNUMBER(FIND("CAP",BB41)))))+64*(OR(RIGHT(BB41,5)="COUNT",RIGHT(BB41,2)="CT"))+128*(ISNUMBER(FIND("BULK",BB41)))+256*(ISNUMBER(FIND("SIZE",BB41)))+512*(LEFT(BB41,3)="CAP")+1024*(ISNUMBER(FIND("ALLERG",BB41)))+2048*(OR(ISNUMBER(FIND("REMARK",BB41)),ISNUMBER(FIND("COMMENT",BB41))))+4096*(OR(ISNUMBER(FIND("QTY",BB41)),ISNUMBER(FIND("QUANTITY",BB41))))+8192*(AND(OR(ISNUMBER(FIND("COMPLETE",BB41)),ISNUMBER(FIND("PCT",BB41)),ISNUMBER(FIND("PERCENT",BB41))),NOT(ISNUMBER(FIND("ACTUAL",BB41))),LEN(BB41)&lt;=16))+32768*(OR(ISNUMBER(FIND("DESIC",BB41)),ISNUMBER(FIND("DESSIC",BB41)))))</f>
        <v/>
      </c>
      <c r="BC176">
        <f>IF(BC41="",0,2*(OR(ISNUMBER(FIND("WORKCENTER",BC41)),AND(LEFT(BC41,4)="LINE",NOT(ISNUMBER(FIND("STATUS",BC41))))))+4*(OR(ISNUMBER(FIND("WORKORDER",BC41)),AND(LEFT(BC41,2)="WO",OR(ISNUMBER(FIND("NUM",BC41)),RIGHT(BC41,2)="NO"))))+8*(LEFT(BC41,3)="SEQ")+16*(AND(LEFT(BC41,4)="ITEM",NOT(ISNUMBER(FIND("DESC",BC41)))))+32*(AND(ISNUMBER(FIND("DESC",BC41)),NOT(ISNUMBER(FIND("CAP",BC41)))))+64*(OR(RIGHT(BC41,5)="COUNT",RIGHT(BC41,2)="CT"))+128*(ISNUMBER(FIND("BULK",BC41)))+256*(ISNUMBER(FIND("SIZE",BC41)))+512*(LEFT(BC41,3)="CAP")+1024*(ISNUMBER(FIND("ALLERG",BC41)))+2048*(OR(ISNUMBER(FIND("REMARK",BC41)),ISNUMBER(FIND("COMMENT",BC41))))+4096*(OR(ISNUMBER(FIND("QTY",BC41)),ISNUMBER(FIND("QUANTITY",BC41))))+8192*(AND(OR(ISNUMBER(FIND("COMPLETE",BC41)),ISNUMBER(FIND("PCT",BC41)),ISNUMBER(FIND("PERCENT",BC41))),NOT(ISNUMBER(FIND("ACTUAL",BC41))),LEN(BC41)&lt;=16))+32768*(OR(ISNUMBER(FIND("DESIC",BC41)),ISNUMBER(FIND("DESSIC",BC41)))))</f>
        <v/>
      </c>
      <c r="BD176">
        <f>IF(BD41="",0,2*(OR(ISNUMBER(FIND("WORKCENTER",BD41)),AND(LEFT(BD41,4)="LINE",NOT(ISNUMBER(FIND("STATUS",BD41))))))+4*(OR(ISNUMBER(FIND("WORKORDER",BD41)),AND(LEFT(BD41,2)="WO",OR(ISNUMBER(FIND("NUM",BD41)),RIGHT(BD41,2)="NO"))))+8*(LEFT(BD41,3)="SEQ")+16*(AND(LEFT(BD41,4)="ITEM",NOT(ISNUMBER(FIND("DESC",BD41)))))+32*(AND(ISNUMBER(FIND("DESC",BD41)),NOT(ISNUMBER(FIND("CAP",BD41)))))+64*(OR(RIGHT(BD41,5)="COUNT",RIGHT(BD41,2)="CT"))+128*(ISNUMBER(FIND("BULK",BD41)))+256*(ISNUMBER(FIND("SIZE",BD41)))+512*(LEFT(BD41,3)="CAP")+1024*(ISNUMBER(FIND("ALLERG",BD41)))+2048*(OR(ISNUMBER(FIND("REMARK",BD41)),ISNUMBER(FIND("COMMENT",BD41))))+4096*(OR(ISNUMBER(FIND("QTY",BD41)),ISNUMBER(FIND("QUANTITY",BD41))))+8192*(AND(OR(ISNUMBER(FIND("COMPLETE",BD41)),ISNUMBER(FIND("PCT",BD41)),ISNUMBER(FIND("PERCENT",BD41))),NOT(ISNUMBER(FIND("ACTUAL",BD41))),LEN(BD41)&lt;=16))+32768*(OR(ISNUMBER(FIND("DESIC",BD41)),ISNUMBER(FIND("DESSIC",BD41)))))</f>
        <v/>
      </c>
      <c r="BE176">
        <f>IF(BE41="",0,2*(OR(ISNUMBER(FIND("WORKCENTER",BE41)),AND(LEFT(BE41,4)="LINE",NOT(ISNUMBER(FIND("STATUS",BE41))))))+4*(OR(ISNUMBER(FIND("WORKORDER",BE41)),AND(LEFT(BE41,2)="WO",OR(ISNUMBER(FIND("NUM",BE41)),RIGHT(BE41,2)="NO"))))+8*(LEFT(BE41,3)="SEQ")+16*(AND(LEFT(BE41,4)="ITEM",NOT(ISNUMBER(FIND("DESC",BE41)))))+32*(AND(ISNUMBER(FIND("DESC",BE41)),NOT(ISNUMBER(FIND("CAP",BE41)))))+64*(OR(RIGHT(BE41,5)="COUNT",RIGHT(BE41,2)="CT"))+128*(ISNUMBER(FIND("BULK",BE41)))+256*(ISNUMBER(FIND("SIZE",BE41)))+512*(LEFT(BE41,3)="CAP")+1024*(ISNUMBER(FIND("ALLERG",BE41)))+2048*(OR(ISNUMBER(FIND("REMARK",BE41)),ISNUMBER(FIND("COMMENT",BE41))))+4096*(OR(ISNUMBER(FIND("QTY",BE41)),ISNUMBER(FIND("QUANTITY",BE41))))+8192*(AND(OR(ISNUMBER(FIND("COMPLETE",BE41)),ISNUMBER(FIND("PCT",BE41)),ISNUMBER(FIND("PERCENT",BE41))),NOT(ISNUMBER(FIND("ACTUAL",BE41))),LEN(BE41)&lt;=16))+32768*(OR(ISNUMBER(FIND("DESIC",BE41)),ISNUMBER(FIND("DESSIC",BE41)))))</f>
        <v/>
      </c>
      <c r="BF176">
        <f>IF(BF41="",0,2*(OR(ISNUMBER(FIND("WORKCENTER",BF41)),AND(LEFT(BF41,4)="LINE",NOT(ISNUMBER(FIND("STATUS",BF41))))))+4*(OR(ISNUMBER(FIND("WORKORDER",BF41)),AND(LEFT(BF41,2)="WO",OR(ISNUMBER(FIND("NUM",BF41)),RIGHT(BF41,2)="NO"))))+8*(LEFT(BF41,3)="SEQ")+16*(AND(LEFT(BF41,4)="ITEM",NOT(ISNUMBER(FIND("DESC",BF41)))))+32*(AND(ISNUMBER(FIND("DESC",BF41)),NOT(ISNUMBER(FIND("CAP",BF41)))))+64*(OR(RIGHT(BF41,5)="COUNT",RIGHT(BF41,2)="CT"))+128*(ISNUMBER(FIND("BULK",BF41)))+256*(ISNUMBER(FIND("SIZE",BF41)))+512*(LEFT(BF41,3)="CAP")+1024*(ISNUMBER(FIND("ALLERG",BF41)))+2048*(OR(ISNUMBER(FIND("REMARK",BF41)),ISNUMBER(FIND("COMMENT",BF41))))+4096*(OR(ISNUMBER(FIND("QTY",BF41)),ISNUMBER(FIND("QUANTITY",BF41))))+8192*(AND(OR(ISNUMBER(FIND("COMPLETE",BF41)),ISNUMBER(FIND("PCT",BF41)),ISNUMBER(FIND("PERCENT",BF41))),NOT(ISNUMBER(FIND("ACTUAL",BF41))),LEN(BF41)&lt;=16))+32768*(OR(ISNUMBER(FIND("DESIC",BF41)),ISNUMBER(FIND("DESSIC",BF41)))))</f>
        <v/>
      </c>
      <c r="BG176">
        <f>IF(BG41="",0,2*(OR(ISNUMBER(FIND("WORKCENTER",BG41)),AND(LEFT(BG41,4)="LINE",NOT(ISNUMBER(FIND("STATUS",BG41))))))+4*(OR(ISNUMBER(FIND("WORKORDER",BG41)),AND(LEFT(BG41,2)="WO",OR(ISNUMBER(FIND("NUM",BG41)),RIGHT(BG41,2)="NO"))))+8*(LEFT(BG41,3)="SEQ")+16*(AND(LEFT(BG41,4)="ITEM",NOT(ISNUMBER(FIND("DESC",BG41)))))+32*(AND(ISNUMBER(FIND("DESC",BG41)),NOT(ISNUMBER(FIND("CAP",BG41)))))+64*(OR(RIGHT(BG41,5)="COUNT",RIGHT(BG41,2)="CT"))+128*(ISNUMBER(FIND("BULK",BG41)))+256*(ISNUMBER(FIND("SIZE",BG41)))+512*(LEFT(BG41,3)="CAP")+1024*(ISNUMBER(FIND("ALLERG",BG41)))+2048*(OR(ISNUMBER(FIND("REMARK",BG41)),ISNUMBER(FIND("COMMENT",BG41))))+4096*(OR(ISNUMBER(FIND("QTY",BG41)),ISNUMBER(FIND("QUANTITY",BG41))))+8192*(AND(OR(ISNUMBER(FIND("COMPLETE",BG41)),ISNUMBER(FIND("PCT",BG41)),ISNUMBER(FIND("PERCENT",BG41))),NOT(ISNUMBER(FIND("ACTUAL",BG41))),LEN(BG41)&lt;=16))+32768*(OR(ISNUMBER(FIND("DESIC",BG41)),ISNUMBER(FIND("DESSIC",BG41)))))</f>
        <v/>
      </c>
      <c r="BH176">
        <f>IF(BH41="",0,2*(OR(ISNUMBER(FIND("WORKCENTER",BH41)),AND(LEFT(BH41,4)="LINE",NOT(ISNUMBER(FIND("STATUS",BH41))))))+4*(OR(ISNUMBER(FIND("WORKORDER",BH41)),AND(LEFT(BH41,2)="WO",OR(ISNUMBER(FIND("NUM",BH41)),RIGHT(BH41,2)="NO"))))+8*(LEFT(BH41,3)="SEQ")+16*(AND(LEFT(BH41,4)="ITEM",NOT(ISNUMBER(FIND("DESC",BH41)))))+32*(AND(ISNUMBER(FIND("DESC",BH41)),NOT(ISNUMBER(FIND("CAP",BH41)))))+64*(OR(RIGHT(BH41,5)="COUNT",RIGHT(BH41,2)="CT"))+128*(ISNUMBER(FIND("BULK",BH41)))+256*(ISNUMBER(FIND("SIZE",BH41)))+512*(LEFT(BH41,3)="CAP")+1024*(ISNUMBER(FIND("ALLERG",BH41)))+2048*(OR(ISNUMBER(FIND("REMARK",BH41)),ISNUMBER(FIND("COMMENT",BH41))))+4096*(OR(ISNUMBER(FIND("QTY",BH41)),ISNUMBER(FIND("QUANTITY",BH41))))+8192*(AND(OR(ISNUMBER(FIND("COMPLETE",BH41)),ISNUMBER(FIND("PCT",BH41)),ISNUMBER(FIND("PERCENT",BH41))),NOT(ISNUMBER(FIND("ACTUAL",BH41))),LEN(BH41)&lt;=16))+32768*(OR(ISNUMBER(FIND("DESIC",BH41)),ISNUMBER(FIND("DESSIC",BH41)))))</f>
        <v/>
      </c>
      <c r="BI176">
        <f>IF(BI41="",0,2*(OR(ISNUMBER(FIND("WORKCENTER",BI41)),AND(LEFT(BI41,4)="LINE",NOT(ISNUMBER(FIND("STATUS",BI41))))))+4*(OR(ISNUMBER(FIND("WORKORDER",BI41)),AND(LEFT(BI41,2)="WO",OR(ISNUMBER(FIND("NUM",BI41)),RIGHT(BI41,2)="NO"))))+8*(LEFT(BI41,3)="SEQ")+16*(AND(LEFT(BI41,4)="ITEM",NOT(ISNUMBER(FIND("DESC",BI41)))))+32*(AND(ISNUMBER(FIND("DESC",BI41)),NOT(ISNUMBER(FIND("CAP",BI41)))))+64*(OR(RIGHT(BI41,5)="COUNT",RIGHT(BI41,2)="CT"))+128*(ISNUMBER(FIND("BULK",BI41)))+256*(ISNUMBER(FIND("SIZE",BI41)))+512*(LEFT(BI41,3)="CAP")+1024*(ISNUMBER(FIND("ALLERG",BI41)))+2048*(OR(ISNUMBER(FIND("REMARK",BI41)),ISNUMBER(FIND("COMMENT",BI41))))+4096*(OR(ISNUMBER(FIND("QTY",BI41)),ISNUMBER(FIND("QUANTITY",BI41))))+8192*(AND(OR(ISNUMBER(FIND("COMPLETE",BI41)),ISNUMBER(FIND("PCT",BI41)),ISNUMBER(FIND("PERCENT",BI41))),NOT(ISNUMBER(FIND("ACTUAL",BI41))),LEN(BI41)&lt;=16))+32768*(OR(ISNUMBER(FIND("DESIC",BI41)),ISNUMBER(FIND("DESSIC",BI41)))))</f>
        <v/>
      </c>
      <c r="BJ176">
        <f>IF(BJ41="",0,2*(OR(ISNUMBER(FIND("WORKCENTER",BJ41)),AND(LEFT(BJ41,4)="LINE",NOT(ISNUMBER(FIND("STATUS",BJ41))))))+4*(OR(ISNUMBER(FIND("WORKORDER",BJ41)),AND(LEFT(BJ41,2)="WO",OR(ISNUMBER(FIND("NUM",BJ41)),RIGHT(BJ41,2)="NO"))))+8*(LEFT(BJ41,3)="SEQ")+16*(AND(LEFT(BJ41,4)="ITEM",NOT(ISNUMBER(FIND("DESC",BJ41)))))+32*(AND(ISNUMBER(FIND("DESC",BJ41)),NOT(ISNUMBER(FIND("CAP",BJ41)))))+64*(OR(RIGHT(BJ41,5)="COUNT",RIGHT(BJ41,2)="CT"))+128*(ISNUMBER(FIND("BULK",BJ41)))+256*(ISNUMBER(FIND("SIZE",BJ41)))+512*(LEFT(BJ41,3)="CAP")+1024*(ISNUMBER(FIND("ALLERG",BJ41)))+2048*(OR(ISNUMBER(FIND("REMARK",BJ41)),ISNUMBER(FIND("COMMENT",BJ41))))+4096*(OR(ISNUMBER(FIND("QTY",BJ41)),ISNUMBER(FIND("QUANTITY",BJ41))))+8192*(AND(OR(ISNUMBER(FIND("COMPLETE",BJ41)),ISNUMBER(FIND("PCT",BJ41)),ISNUMBER(FIND("PERCENT",BJ41))),NOT(ISNUMBER(FIND("ACTUAL",BJ41))),LEN(BJ41)&lt;=16))+32768*(OR(ISNUMBER(FIND("DESIC",BJ41)),ISNUMBER(FIND("DESSIC",BJ41)))))</f>
        <v/>
      </c>
      <c r="BK176">
        <f>IF(BK41="",0,2*(OR(ISNUMBER(FIND("WORKCENTER",BK41)),AND(LEFT(BK41,4)="LINE",NOT(ISNUMBER(FIND("STATUS",BK41))))))+4*(OR(ISNUMBER(FIND("WORKORDER",BK41)),AND(LEFT(BK41,2)="WO",OR(ISNUMBER(FIND("NUM",BK41)),RIGHT(BK41,2)="NO"))))+8*(LEFT(BK41,3)="SEQ")+16*(AND(LEFT(BK41,4)="ITEM",NOT(ISNUMBER(FIND("DESC",BK41)))))+32*(AND(ISNUMBER(FIND("DESC",BK41)),NOT(ISNUMBER(FIND("CAP",BK41)))))+64*(OR(RIGHT(BK41,5)="COUNT",RIGHT(BK41,2)="CT"))+128*(ISNUMBER(FIND("BULK",BK41)))+256*(ISNUMBER(FIND("SIZE",BK41)))+512*(LEFT(BK41,3)="CAP")+1024*(ISNUMBER(FIND("ALLERG",BK41)))+2048*(OR(ISNUMBER(FIND("REMARK",BK41)),ISNUMBER(FIND("COMMENT",BK41))))+4096*(OR(ISNUMBER(FIND("QTY",BK41)),ISNUMBER(FIND("QUANTITY",BK41))))+8192*(AND(OR(ISNUMBER(FIND("COMPLETE",BK41)),ISNUMBER(FIND("PCT",BK41)),ISNUMBER(FIND("PERCENT",BK41))),NOT(ISNUMBER(FIND("ACTUAL",BK41))),LEN(BK41)&lt;=16))+32768*(OR(ISNUMBER(FIND("DESIC",BK41)),ISNUMBER(FIND("DESSIC",BK41)))))</f>
        <v/>
      </c>
      <c r="BL176">
        <f>IF(BL41="",0,2*(OR(ISNUMBER(FIND("WORKCENTER",BL41)),AND(LEFT(BL41,4)="LINE",NOT(ISNUMBER(FIND("STATUS",BL41))))))+4*(OR(ISNUMBER(FIND("WORKORDER",BL41)),AND(LEFT(BL41,2)="WO",OR(ISNUMBER(FIND("NUM",BL41)),RIGHT(BL41,2)="NO"))))+8*(LEFT(BL41,3)="SEQ")+16*(AND(LEFT(BL41,4)="ITEM",NOT(ISNUMBER(FIND("DESC",BL41)))))+32*(AND(ISNUMBER(FIND("DESC",BL41)),NOT(ISNUMBER(FIND("CAP",BL41)))))+64*(OR(RIGHT(BL41,5)="COUNT",RIGHT(BL41,2)="CT"))+128*(ISNUMBER(FIND("BULK",BL41)))+256*(ISNUMBER(FIND("SIZE",BL41)))+512*(LEFT(BL41,3)="CAP")+1024*(ISNUMBER(FIND("ALLERG",BL41)))+2048*(OR(ISNUMBER(FIND("REMARK",BL41)),ISNUMBER(FIND("COMMENT",BL41))))+4096*(OR(ISNUMBER(FIND("QTY",BL41)),ISNUMBER(FIND("QUANTITY",BL41))))+8192*(AND(OR(ISNUMBER(FIND("COMPLETE",BL41)),ISNUMBER(FIND("PCT",BL41)),ISNUMBER(FIND("PERCENT",BL41))),NOT(ISNUMBER(FIND("ACTUAL",BL41))),LEN(BL41)&lt;=16))+32768*(OR(ISNUMBER(FIND("DESIC",BL41)),ISNUMBER(FIND("DESSIC",BL41)))))</f>
        <v/>
      </c>
      <c r="BM176">
        <f>IF(BM41="",0,2*(OR(ISNUMBER(FIND("WORKCENTER",BM41)),AND(LEFT(BM41,4)="LINE",NOT(ISNUMBER(FIND("STATUS",BM41))))))+4*(OR(ISNUMBER(FIND("WORKORDER",BM41)),AND(LEFT(BM41,2)="WO",OR(ISNUMBER(FIND("NUM",BM41)),RIGHT(BM41,2)="NO"))))+8*(LEFT(BM41,3)="SEQ")+16*(AND(LEFT(BM41,4)="ITEM",NOT(ISNUMBER(FIND("DESC",BM41)))))+32*(AND(ISNUMBER(FIND("DESC",BM41)),NOT(ISNUMBER(FIND("CAP",BM41)))))+64*(OR(RIGHT(BM41,5)="COUNT",RIGHT(BM41,2)="CT"))+128*(ISNUMBER(FIND("BULK",BM41)))+256*(ISNUMBER(FIND("SIZE",BM41)))+512*(LEFT(BM41,3)="CAP")+1024*(ISNUMBER(FIND("ALLERG",BM41)))+2048*(OR(ISNUMBER(FIND("REMARK",BM41)),ISNUMBER(FIND("COMMENT",BM41))))+4096*(OR(ISNUMBER(FIND("QTY",BM41)),ISNUMBER(FIND("QUANTITY",BM41))))+8192*(AND(OR(ISNUMBER(FIND("COMPLETE",BM41)),ISNUMBER(FIND("PCT",BM41)),ISNUMBER(FIND("PERCENT",BM41))),NOT(ISNUMBER(FIND("ACTUAL",BM41))),LEN(BM41)&lt;=16))+32768*(OR(ISNUMBER(FIND("DESIC",BM41)),ISNUMBER(FIND("DESSIC",BM41)))))</f>
        <v/>
      </c>
      <c r="BN176">
        <f>IF(BN41="",0,2*(OR(ISNUMBER(FIND("WORKCENTER",BN41)),AND(LEFT(BN41,4)="LINE",NOT(ISNUMBER(FIND("STATUS",BN41))))))+4*(OR(ISNUMBER(FIND("WORKORDER",BN41)),AND(LEFT(BN41,2)="WO",OR(ISNUMBER(FIND("NUM",BN41)),RIGHT(BN41,2)="NO"))))+8*(LEFT(BN41,3)="SEQ")+16*(AND(LEFT(BN41,4)="ITEM",NOT(ISNUMBER(FIND("DESC",BN41)))))+32*(AND(ISNUMBER(FIND("DESC",BN41)),NOT(ISNUMBER(FIND("CAP",BN41)))))+64*(OR(RIGHT(BN41,5)="COUNT",RIGHT(BN41,2)="CT"))+128*(ISNUMBER(FIND("BULK",BN41)))+256*(ISNUMBER(FIND("SIZE",BN41)))+512*(LEFT(BN41,3)="CAP")+1024*(ISNUMBER(FIND("ALLERG",BN41)))+2048*(OR(ISNUMBER(FIND("REMARK",BN41)),ISNUMBER(FIND("COMMENT",BN41))))+4096*(OR(ISNUMBER(FIND("QTY",BN41)),ISNUMBER(FIND("QUANTITY",BN41))))+8192*(AND(OR(ISNUMBER(FIND("COMPLETE",BN41)),ISNUMBER(FIND("PCT",BN41)),ISNUMBER(FIND("PERCENT",BN41))),NOT(ISNUMBER(FIND("ACTUAL",BN41))),LEN(BN41)&lt;=16))+32768*(OR(ISNUMBER(FIND("DESIC",BN41)),ISNUMBER(FIND("DESSIC",BN41)))))</f>
        <v/>
      </c>
      <c r="BO176">
        <f>IF(BO41="",0,2*(OR(ISNUMBER(FIND("WORKCENTER",BO41)),AND(LEFT(BO41,4)="LINE",NOT(ISNUMBER(FIND("STATUS",BO41))))))+4*(OR(ISNUMBER(FIND("WORKORDER",BO41)),AND(LEFT(BO41,2)="WO",OR(ISNUMBER(FIND("NUM",BO41)),RIGHT(BO41,2)="NO"))))+8*(LEFT(BO41,3)="SEQ")+16*(AND(LEFT(BO41,4)="ITEM",NOT(ISNUMBER(FIND("DESC",BO41)))))+32*(AND(ISNUMBER(FIND("DESC",BO41)),NOT(ISNUMBER(FIND("CAP",BO41)))))+64*(OR(RIGHT(BO41,5)="COUNT",RIGHT(BO41,2)="CT"))+128*(ISNUMBER(FIND("BULK",BO41)))+256*(ISNUMBER(FIND("SIZE",BO41)))+512*(LEFT(BO41,3)="CAP")+1024*(ISNUMBER(FIND("ALLERG",BO41)))+2048*(OR(ISNUMBER(FIND("REMARK",BO41)),ISNUMBER(FIND("COMMENT",BO41))))+4096*(OR(ISNUMBER(FIND("QTY",BO41)),ISNUMBER(FIND("QUANTITY",BO41))))+8192*(AND(OR(ISNUMBER(FIND("COMPLETE",BO41)),ISNUMBER(FIND("PCT",BO41)),ISNUMBER(FIND("PERCENT",BO41))),NOT(ISNUMBER(FIND("ACTUAL",BO41))),LEN(BO41)&lt;=16))+32768*(OR(ISNUMBER(FIND("DESIC",BO41)),ISNUMBER(FIND("DESSIC",BO41)))))</f>
        <v/>
      </c>
      <c r="BP176">
        <f>IF(BP41="",0,2*(OR(ISNUMBER(FIND("WORKCENTER",BP41)),AND(LEFT(BP41,4)="LINE",NOT(ISNUMBER(FIND("STATUS",BP41))))))+4*(OR(ISNUMBER(FIND("WORKORDER",BP41)),AND(LEFT(BP41,2)="WO",OR(ISNUMBER(FIND("NUM",BP41)),RIGHT(BP41,2)="NO"))))+8*(LEFT(BP41,3)="SEQ")+16*(AND(LEFT(BP41,4)="ITEM",NOT(ISNUMBER(FIND("DESC",BP41)))))+32*(AND(ISNUMBER(FIND("DESC",BP41)),NOT(ISNUMBER(FIND("CAP",BP41)))))+64*(OR(RIGHT(BP41,5)="COUNT",RIGHT(BP41,2)="CT"))+128*(ISNUMBER(FIND("BULK",BP41)))+256*(ISNUMBER(FIND("SIZE",BP41)))+512*(LEFT(BP41,3)="CAP")+1024*(ISNUMBER(FIND("ALLERG",BP41)))+2048*(OR(ISNUMBER(FIND("REMARK",BP41)),ISNUMBER(FIND("COMMENT",BP41))))+4096*(OR(ISNUMBER(FIND("QTY",BP41)),ISNUMBER(FIND("QUANTITY",BP41))))+8192*(AND(OR(ISNUMBER(FIND("COMPLETE",BP41)),ISNUMBER(FIND("PCT",BP41)),ISNUMBER(FIND("PERCENT",BP41))),NOT(ISNUMBER(FIND("ACTUAL",BP41))),LEN(BP41)&lt;=16))+32768*(OR(ISNUMBER(FIND("DESIC",BP41)),ISNUMBER(FIND("DESSIC",BP41)))))</f>
        <v/>
      </c>
      <c r="BQ176">
        <f>IF(BQ41="",0,2*(OR(ISNUMBER(FIND("WORKCENTER",BQ41)),AND(LEFT(BQ41,4)="LINE",NOT(ISNUMBER(FIND("STATUS",BQ41))))))+4*(OR(ISNUMBER(FIND("WORKORDER",BQ41)),AND(LEFT(BQ41,2)="WO",OR(ISNUMBER(FIND("NUM",BQ41)),RIGHT(BQ41,2)="NO"))))+8*(LEFT(BQ41,3)="SEQ")+16*(AND(LEFT(BQ41,4)="ITEM",NOT(ISNUMBER(FIND("DESC",BQ41)))))+32*(AND(ISNUMBER(FIND("DESC",BQ41)),NOT(ISNUMBER(FIND("CAP",BQ41)))))+64*(OR(RIGHT(BQ41,5)="COUNT",RIGHT(BQ41,2)="CT"))+128*(ISNUMBER(FIND("BULK",BQ41)))+256*(ISNUMBER(FIND("SIZE",BQ41)))+512*(LEFT(BQ41,3)="CAP")+1024*(ISNUMBER(FIND("ALLERG",BQ41)))+2048*(OR(ISNUMBER(FIND("REMARK",BQ41)),ISNUMBER(FIND("COMMENT",BQ41))))+4096*(OR(ISNUMBER(FIND("QTY",BQ41)),ISNUMBER(FIND("QUANTITY",BQ41))))+8192*(AND(OR(ISNUMBER(FIND("COMPLETE",BQ41)),ISNUMBER(FIND("PCT",BQ41)),ISNUMBER(FIND("PERCENT",BQ41))),NOT(ISNUMBER(FIND("ACTUAL",BQ41))),LEN(BQ41)&lt;=16))+32768*(OR(ISNUMBER(FIND("DESIC",BQ41)),ISNUMBER(FIND("DESSIC",BQ41)))))</f>
        <v/>
      </c>
      <c r="BR176">
        <f>IF(BR41="",0,2*(OR(ISNUMBER(FIND("WORKCENTER",BR41)),AND(LEFT(BR41,4)="LINE",NOT(ISNUMBER(FIND("STATUS",BR41))))))+4*(OR(ISNUMBER(FIND("WORKORDER",BR41)),AND(LEFT(BR41,2)="WO",OR(ISNUMBER(FIND("NUM",BR41)),RIGHT(BR41,2)="NO"))))+8*(LEFT(BR41,3)="SEQ")+16*(AND(LEFT(BR41,4)="ITEM",NOT(ISNUMBER(FIND("DESC",BR41)))))+32*(AND(ISNUMBER(FIND("DESC",BR41)),NOT(ISNUMBER(FIND("CAP",BR41)))))+64*(OR(RIGHT(BR41,5)="COUNT",RIGHT(BR41,2)="CT"))+128*(ISNUMBER(FIND("BULK",BR41)))+256*(ISNUMBER(FIND("SIZE",BR41)))+512*(LEFT(BR41,3)="CAP")+1024*(ISNUMBER(FIND("ALLERG",BR41)))+2048*(OR(ISNUMBER(FIND("REMARK",BR41)),ISNUMBER(FIND("COMMENT",BR41))))+4096*(OR(ISNUMBER(FIND("QTY",BR41)),ISNUMBER(FIND("QUANTITY",BR41))))+8192*(AND(OR(ISNUMBER(FIND("COMPLETE",BR41)),ISNUMBER(FIND("PCT",BR41)),ISNUMBER(FIND("PERCENT",BR41))),NOT(ISNUMBER(FIND("ACTUAL",BR41))),LEN(BR41)&lt;=16))+32768*(OR(ISNUMBER(FIND("DESIC",BR41)),ISNUMBER(FIND("DESSIC",BR41)))))</f>
        <v/>
      </c>
      <c r="BS176">
        <f>IF(BS41="",0,2*(OR(ISNUMBER(FIND("WORKCENTER",BS41)),AND(LEFT(BS41,4)="LINE",NOT(ISNUMBER(FIND("STATUS",BS41))))))+4*(OR(ISNUMBER(FIND("WORKORDER",BS41)),AND(LEFT(BS41,2)="WO",OR(ISNUMBER(FIND("NUM",BS41)),RIGHT(BS41,2)="NO"))))+8*(LEFT(BS41,3)="SEQ")+16*(AND(LEFT(BS41,4)="ITEM",NOT(ISNUMBER(FIND("DESC",BS41)))))+32*(AND(ISNUMBER(FIND("DESC",BS41)),NOT(ISNUMBER(FIND("CAP",BS41)))))+64*(OR(RIGHT(BS41,5)="COUNT",RIGHT(BS41,2)="CT"))+128*(ISNUMBER(FIND("BULK",BS41)))+256*(ISNUMBER(FIND("SIZE",BS41)))+512*(LEFT(BS41,3)="CAP")+1024*(ISNUMBER(FIND("ALLERG",BS41)))+2048*(OR(ISNUMBER(FIND("REMARK",BS41)),ISNUMBER(FIND("COMMENT",BS41))))+4096*(OR(ISNUMBER(FIND("QTY",BS41)),ISNUMBER(FIND("QUANTITY",BS41))))+8192*(AND(OR(ISNUMBER(FIND("COMPLETE",BS41)),ISNUMBER(FIND("PCT",BS41)),ISNUMBER(FIND("PERCENT",BS41))),NOT(ISNUMBER(FIND("ACTUAL",BS41))),LEN(BS41)&lt;=16))+32768*(OR(ISNUMBER(FIND("DESIC",BS41)),ISNUMBER(FIND("DESSIC",BS41)))))</f>
        <v/>
      </c>
      <c r="BT176">
        <f>IF(BT41="",0,2*(OR(ISNUMBER(FIND("WORKCENTER",BT41)),AND(LEFT(BT41,4)="LINE",NOT(ISNUMBER(FIND("STATUS",BT41))))))+4*(OR(ISNUMBER(FIND("WORKORDER",BT41)),AND(LEFT(BT41,2)="WO",OR(ISNUMBER(FIND("NUM",BT41)),RIGHT(BT41,2)="NO"))))+8*(LEFT(BT41,3)="SEQ")+16*(AND(LEFT(BT41,4)="ITEM",NOT(ISNUMBER(FIND("DESC",BT41)))))+32*(AND(ISNUMBER(FIND("DESC",BT41)),NOT(ISNUMBER(FIND("CAP",BT41)))))+64*(OR(RIGHT(BT41,5)="COUNT",RIGHT(BT41,2)="CT"))+128*(ISNUMBER(FIND("BULK",BT41)))+256*(ISNUMBER(FIND("SIZE",BT41)))+512*(LEFT(BT41,3)="CAP")+1024*(ISNUMBER(FIND("ALLERG",BT41)))+2048*(OR(ISNUMBER(FIND("REMARK",BT41)),ISNUMBER(FIND("COMMENT",BT41))))+4096*(OR(ISNUMBER(FIND("QTY",BT41)),ISNUMBER(FIND("QUANTITY",BT41))))+8192*(AND(OR(ISNUMBER(FIND("COMPLETE",BT41)),ISNUMBER(FIND("PCT",BT41)),ISNUMBER(FIND("PERCENT",BT41))),NOT(ISNUMBER(FIND("ACTUAL",BT41))),LEN(BT41)&lt;=16))+32768*(OR(ISNUMBER(FIND("DESIC",BT41)),ISNUMBER(FIND("DESSIC",BT41)))))</f>
        <v/>
      </c>
      <c r="BU176">
        <f>IF(BU41="",0,2*(OR(ISNUMBER(FIND("WORKCENTER",BU41)),AND(LEFT(BU41,4)="LINE",NOT(ISNUMBER(FIND("STATUS",BU41))))))+4*(OR(ISNUMBER(FIND("WORKORDER",BU41)),AND(LEFT(BU41,2)="WO",OR(ISNUMBER(FIND("NUM",BU41)),RIGHT(BU41,2)="NO"))))+8*(LEFT(BU41,3)="SEQ")+16*(AND(LEFT(BU41,4)="ITEM",NOT(ISNUMBER(FIND("DESC",BU41)))))+32*(AND(ISNUMBER(FIND("DESC",BU41)),NOT(ISNUMBER(FIND("CAP",BU41)))))+64*(OR(RIGHT(BU41,5)="COUNT",RIGHT(BU41,2)="CT"))+128*(ISNUMBER(FIND("BULK",BU41)))+256*(ISNUMBER(FIND("SIZE",BU41)))+512*(LEFT(BU41,3)="CAP")+1024*(ISNUMBER(FIND("ALLERG",BU41)))+2048*(OR(ISNUMBER(FIND("REMARK",BU41)),ISNUMBER(FIND("COMMENT",BU41))))+4096*(OR(ISNUMBER(FIND("QTY",BU41)),ISNUMBER(FIND("QUANTITY",BU41))))+8192*(AND(OR(ISNUMBER(FIND("COMPLETE",BU41)),ISNUMBER(FIND("PCT",BU41)),ISNUMBER(FIND("PERCENT",BU41))),NOT(ISNUMBER(FIND("ACTUAL",BU41))),LEN(BU41)&lt;=16))+32768*(OR(ISNUMBER(FIND("DESIC",BU41)),ISNUMBER(FIND("DESSIC",BU41)))))</f>
        <v/>
      </c>
      <c r="BV176">
        <f>IF(BV41="",0,2*(OR(ISNUMBER(FIND("WORKCENTER",BV41)),AND(LEFT(BV41,4)="LINE",NOT(ISNUMBER(FIND("STATUS",BV41))))))+4*(OR(ISNUMBER(FIND("WORKORDER",BV41)),AND(LEFT(BV41,2)="WO",OR(ISNUMBER(FIND("NUM",BV41)),RIGHT(BV41,2)="NO"))))+8*(LEFT(BV41,3)="SEQ")+16*(AND(LEFT(BV41,4)="ITEM",NOT(ISNUMBER(FIND("DESC",BV41)))))+32*(AND(ISNUMBER(FIND("DESC",BV41)),NOT(ISNUMBER(FIND("CAP",BV41)))))+64*(OR(RIGHT(BV41,5)="COUNT",RIGHT(BV41,2)="CT"))+128*(ISNUMBER(FIND("BULK",BV41)))+256*(ISNUMBER(FIND("SIZE",BV41)))+512*(LEFT(BV41,3)="CAP")+1024*(ISNUMBER(FIND("ALLERG",BV41)))+2048*(OR(ISNUMBER(FIND("REMARK",BV41)),ISNUMBER(FIND("COMMENT",BV41))))+4096*(OR(ISNUMBER(FIND("QTY",BV41)),ISNUMBER(FIND("QUANTITY",BV41))))+8192*(AND(OR(ISNUMBER(FIND("COMPLETE",BV41)),ISNUMBER(FIND("PCT",BV41)),ISNUMBER(FIND("PERCENT",BV41))),NOT(ISNUMBER(FIND("ACTUAL",BV41))),LEN(BV41)&lt;=16))+32768*(OR(ISNUMBER(FIND("DESIC",BV41)),ISNUMBER(FIND("DESSIC",BV41)))))</f>
        <v/>
      </c>
      <c r="BW176">
        <f>IF(BW41="",0,2*(OR(ISNUMBER(FIND("WORKCENTER",BW41)),AND(LEFT(BW41,4)="LINE",NOT(ISNUMBER(FIND("STATUS",BW41))))))+4*(OR(ISNUMBER(FIND("WORKORDER",BW41)),AND(LEFT(BW41,2)="WO",OR(ISNUMBER(FIND("NUM",BW41)),RIGHT(BW41,2)="NO"))))+8*(LEFT(BW41,3)="SEQ")+16*(AND(LEFT(BW41,4)="ITEM",NOT(ISNUMBER(FIND("DESC",BW41)))))+32*(AND(ISNUMBER(FIND("DESC",BW41)),NOT(ISNUMBER(FIND("CAP",BW41)))))+64*(OR(RIGHT(BW41,5)="COUNT",RIGHT(BW41,2)="CT"))+128*(ISNUMBER(FIND("BULK",BW41)))+256*(ISNUMBER(FIND("SIZE",BW41)))+512*(LEFT(BW41,3)="CAP")+1024*(ISNUMBER(FIND("ALLERG",BW41)))+2048*(OR(ISNUMBER(FIND("REMARK",BW41)),ISNUMBER(FIND("COMMENT",BW41))))+4096*(OR(ISNUMBER(FIND("QTY",BW41)),ISNUMBER(FIND("QUANTITY",BW41))))+8192*(AND(OR(ISNUMBER(FIND("COMPLETE",BW41)),ISNUMBER(FIND("PCT",BW41)),ISNUMBER(FIND("PERCENT",BW41))),NOT(ISNUMBER(FIND("ACTUAL",BW41))),LEN(BW41)&lt;=16))+32768*(OR(ISNUMBER(FIND("DESIC",BW41)),ISNUMBER(FIND("DESSIC",BW41)))))</f>
        <v/>
      </c>
      <c r="BX176">
        <f>IF(BX41="",0,2*(OR(ISNUMBER(FIND("WORKCENTER",BX41)),AND(LEFT(BX41,4)="LINE",NOT(ISNUMBER(FIND("STATUS",BX41))))))+4*(OR(ISNUMBER(FIND("WORKORDER",BX41)),AND(LEFT(BX41,2)="WO",OR(ISNUMBER(FIND("NUM",BX41)),RIGHT(BX41,2)="NO"))))+8*(LEFT(BX41,3)="SEQ")+16*(AND(LEFT(BX41,4)="ITEM",NOT(ISNUMBER(FIND("DESC",BX41)))))+32*(AND(ISNUMBER(FIND("DESC",BX41)),NOT(ISNUMBER(FIND("CAP",BX41)))))+64*(OR(RIGHT(BX41,5)="COUNT",RIGHT(BX41,2)="CT"))+128*(ISNUMBER(FIND("BULK",BX41)))+256*(ISNUMBER(FIND("SIZE",BX41)))+512*(LEFT(BX41,3)="CAP")+1024*(ISNUMBER(FIND("ALLERG",BX41)))+2048*(OR(ISNUMBER(FIND("REMARK",BX41)),ISNUMBER(FIND("COMMENT",BX41))))+4096*(OR(ISNUMBER(FIND("QTY",BX41)),ISNUMBER(FIND("QUANTITY",BX41))))+8192*(AND(OR(ISNUMBER(FIND("COMPLETE",BX41)),ISNUMBER(FIND("PCT",BX41)),ISNUMBER(FIND("PERCENT",BX41))),NOT(ISNUMBER(FIND("ACTUAL",BX41))),LEN(BX41)&lt;=16))+32768*(OR(ISNUMBER(FIND("DESIC",BX41)),ISNUMBER(FIND("DESSIC",BX41)))))</f>
        <v/>
      </c>
      <c r="BY176">
        <f>IF(BY41="",0,2*(OR(ISNUMBER(FIND("WORKCENTER",BY41)),AND(LEFT(BY41,4)="LINE",NOT(ISNUMBER(FIND("STATUS",BY41))))))+4*(OR(ISNUMBER(FIND("WORKORDER",BY41)),AND(LEFT(BY41,2)="WO",OR(ISNUMBER(FIND("NUM",BY41)),RIGHT(BY41,2)="NO"))))+8*(LEFT(BY41,3)="SEQ")+16*(AND(LEFT(BY41,4)="ITEM",NOT(ISNUMBER(FIND("DESC",BY41)))))+32*(AND(ISNUMBER(FIND("DESC",BY41)),NOT(ISNUMBER(FIND("CAP",BY41)))))+64*(OR(RIGHT(BY41,5)="COUNT",RIGHT(BY41,2)="CT"))+128*(ISNUMBER(FIND("BULK",BY41)))+256*(ISNUMBER(FIND("SIZE",BY41)))+512*(LEFT(BY41,3)="CAP")+1024*(ISNUMBER(FIND("ALLERG",BY41)))+2048*(OR(ISNUMBER(FIND("REMARK",BY41)),ISNUMBER(FIND("COMMENT",BY41))))+4096*(OR(ISNUMBER(FIND("QTY",BY41)),ISNUMBER(FIND("QUANTITY",BY41))))+8192*(AND(OR(ISNUMBER(FIND("COMPLETE",BY41)),ISNUMBER(FIND("PCT",BY41)),ISNUMBER(FIND("PERCENT",BY41))),NOT(ISNUMBER(FIND("ACTUAL",BY41))),LEN(BY41)&lt;=16))+32768*(OR(ISNUMBER(FIND("DESIC",BY41)),ISNUMBER(FIND("DESSIC",BY41)))))</f>
        <v/>
      </c>
      <c r="BZ176">
        <f>IF(BZ41="",0,2*(OR(ISNUMBER(FIND("WORKCENTER",BZ41)),AND(LEFT(BZ41,4)="LINE",NOT(ISNUMBER(FIND("STATUS",BZ41))))))+4*(OR(ISNUMBER(FIND("WORKORDER",BZ41)),AND(LEFT(BZ41,2)="WO",OR(ISNUMBER(FIND("NUM",BZ41)),RIGHT(BZ41,2)="NO"))))+8*(LEFT(BZ41,3)="SEQ")+16*(AND(LEFT(BZ41,4)="ITEM",NOT(ISNUMBER(FIND("DESC",BZ41)))))+32*(AND(ISNUMBER(FIND("DESC",BZ41)),NOT(ISNUMBER(FIND("CAP",BZ41)))))+64*(OR(RIGHT(BZ41,5)="COUNT",RIGHT(BZ41,2)="CT"))+128*(ISNUMBER(FIND("BULK",BZ41)))+256*(ISNUMBER(FIND("SIZE",BZ41)))+512*(LEFT(BZ41,3)="CAP")+1024*(ISNUMBER(FIND("ALLERG",BZ41)))+2048*(OR(ISNUMBER(FIND("REMARK",BZ41)),ISNUMBER(FIND("COMMENT",BZ41))))+4096*(OR(ISNUMBER(FIND("QTY",BZ41)),ISNUMBER(FIND("QUANTITY",BZ41))))+8192*(AND(OR(ISNUMBER(FIND("COMPLETE",BZ41)),ISNUMBER(FIND("PCT",BZ41)),ISNUMBER(FIND("PERCENT",BZ41))),NOT(ISNUMBER(FIND("ACTUAL",BZ41))),LEN(BZ41)&lt;=16))+32768*(OR(ISNUMBER(FIND("DESIC",BZ41)),ISNUMBER(FIND("DESSIC",BZ41)))))</f>
        <v/>
      </c>
      <c r="CA176">
        <f>IF(CA41="",0,2*(OR(ISNUMBER(FIND("WORKCENTER",CA41)),AND(LEFT(CA41,4)="LINE",NOT(ISNUMBER(FIND("STATUS",CA41))))))+4*(OR(ISNUMBER(FIND("WORKORDER",CA41)),AND(LEFT(CA41,2)="WO",OR(ISNUMBER(FIND("NUM",CA41)),RIGHT(CA41,2)="NO"))))+8*(LEFT(CA41,3)="SEQ")+16*(AND(LEFT(CA41,4)="ITEM",NOT(ISNUMBER(FIND("DESC",CA41)))))+32*(AND(ISNUMBER(FIND("DESC",CA41)),NOT(ISNUMBER(FIND("CAP",CA41)))))+64*(OR(RIGHT(CA41,5)="COUNT",RIGHT(CA41,2)="CT"))+128*(ISNUMBER(FIND("BULK",CA41)))+256*(ISNUMBER(FIND("SIZE",CA41)))+512*(LEFT(CA41,3)="CAP")+1024*(ISNUMBER(FIND("ALLERG",CA41)))+2048*(OR(ISNUMBER(FIND("REMARK",CA41)),ISNUMBER(FIND("COMMENT",CA41))))+4096*(OR(ISNUMBER(FIND("QTY",CA41)),ISNUMBER(FIND("QUANTITY",CA41))))+8192*(AND(OR(ISNUMBER(FIND("COMPLETE",CA41)),ISNUMBER(FIND("PCT",CA41)),ISNUMBER(FIND("PERCENT",CA41))),NOT(ISNUMBER(FIND("ACTUAL",CA41))),LEN(CA41)&lt;=16))+32768*(OR(ISNUMBER(FIND("DESIC",CA41)),ISNUMBER(FIND("DESSIC",CA41)))))</f>
        <v/>
      </c>
      <c r="CB176">
        <f>IF(CB41="",0,2*(OR(ISNUMBER(FIND("WORKCENTER",CB41)),AND(LEFT(CB41,4)="LINE",NOT(ISNUMBER(FIND("STATUS",CB41))))))+4*(OR(ISNUMBER(FIND("WORKORDER",CB41)),AND(LEFT(CB41,2)="WO",OR(ISNUMBER(FIND("NUM",CB41)),RIGHT(CB41,2)="NO"))))+8*(LEFT(CB41,3)="SEQ")+16*(AND(LEFT(CB41,4)="ITEM",NOT(ISNUMBER(FIND("DESC",CB41)))))+32*(AND(ISNUMBER(FIND("DESC",CB41)),NOT(ISNUMBER(FIND("CAP",CB41)))))+64*(OR(RIGHT(CB41,5)="COUNT",RIGHT(CB41,2)="CT"))+128*(ISNUMBER(FIND("BULK",CB41)))+256*(ISNUMBER(FIND("SIZE",CB41)))+512*(LEFT(CB41,3)="CAP")+1024*(ISNUMBER(FIND("ALLERG",CB41)))+2048*(OR(ISNUMBER(FIND("REMARK",CB41)),ISNUMBER(FIND("COMMENT",CB41))))+4096*(OR(ISNUMBER(FIND("QTY",CB41)),ISNUMBER(FIND("QUANTITY",CB41))))+8192*(AND(OR(ISNUMBER(FIND("COMPLETE",CB41)),ISNUMBER(FIND("PCT",CB41)),ISNUMBER(FIND("PERCENT",CB41))),NOT(ISNUMBER(FIND("ACTUAL",CB41))),LEN(CB41)&lt;=16))+32768*(OR(ISNUMBER(FIND("DESIC",CB41)),ISNUMBER(FIND("DESSIC",CB41)))))</f>
        <v/>
      </c>
      <c r="CC176">
        <f>IF(CC41="",0,2*(OR(ISNUMBER(FIND("WORKCENTER",CC41)),AND(LEFT(CC41,4)="LINE",NOT(ISNUMBER(FIND("STATUS",CC41))))))+4*(OR(ISNUMBER(FIND("WORKORDER",CC41)),AND(LEFT(CC41,2)="WO",OR(ISNUMBER(FIND("NUM",CC41)),RIGHT(CC41,2)="NO"))))+8*(LEFT(CC41,3)="SEQ")+16*(AND(LEFT(CC41,4)="ITEM",NOT(ISNUMBER(FIND("DESC",CC41)))))+32*(AND(ISNUMBER(FIND("DESC",CC41)),NOT(ISNUMBER(FIND("CAP",CC41)))))+64*(OR(RIGHT(CC41,5)="COUNT",RIGHT(CC41,2)="CT"))+128*(ISNUMBER(FIND("BULK",CC41)))+256*(ISNUMBER(FIND("SIZE",CC41)))+512*(LEFT(CC41,3)="CAP")+1024*(ISNUMBER(FIND("ALLERG",CC41)))+2048*(OR(ISNUMBER(FIND("REMARK",CC41)),ISNUMBER(FIND("COMMENT",CC41))))+4096*(OR(ISNUMBER(FIND("QTY",CC41)),ISNUMBER(FIND("QUANTITY",CC41))))+8192*(AND(OR(ISNUMBER(FIND("COMPLETE",CC41)),ISNUMBER(FIND("PCT",CC41)),ISNUMBER(FIND("PERCENT",CC41))),NOT(ISNUMBER(FIND("ACTUAL",CC41))),LEN(CC41)&lt;=16))+32768*(OR(ISNUMBER(FIND("DESIC",CC41)),ISNUMBER(FIND("DESSIC",CC41)))))</f>
        <v/>
      </c>
      <c r="CD176">
        <f>IF(CD41="",0,2*(OR(ISNUMBER(FIND("WORKCENTER",CD41)),AND(LEFT(CD41,4)="LINE",NOT(ISNUMBER(FIND("STATUS",CD41))))))+4*(OR(ISNUMBER(FIND("WORKORDER",CD41)),AND(LEFT(CD41,2)="WO",OR(ISNUMBER(FIND("NUM",CD41)),RIGHT(CD41,2)="NO"))))+8*(LEFT(CD41,3)="SEQ")+16*(AND(LEFT(CD41,4)="ITEM",NOT(ISNUMBER(FIND("DESC",CD41)))))+32*(AND(ISNUMBER(FIND("DESC",CD41)),NOT(ISNUMBER(FIND("CAP",CD41)))))+64*(OR(RIGHT(CD41,5)="COUNT",RIGHT(CD41,2)="CT"))+128*(ISNUMBER(FIND("BULK",CD41)))+256*(ISNUMBER(FIND("SIZE",CD41)))+512*(LEFT(CD41,3)="CAP")+1024*(ISNUMBER(FIND("ALLERG",CD41)))+2048*(OR(ISNUMBER(FIND("REMARK",CD41)),ISNUMBER(FIND("COMMENT",CD41))))+4096*(OR(ISNUMBER(FIND("QTY",CD41)),ISNUMBER(FIND("QUANTITY",CD41))))+8192*(AND(OR(ISNUMBER(FIND("COMPLETE",CD41)),ISNUMBER(FIND("PCT",CD41)),ISNUMBER(FIND("PERCENT",CD41))),NOT(ISNUMBER(FIND("ACTUAL",CD41))),LEN(CD41)&lt;=16))+32768*(OR(ISNUMBER(FIND("DESIC",CD41)),ISNUMBER(FIND("DESSIC",CD41)))))</f>
        <v/>
      </c>
      <c r="CE176">
        <f>IF(CE41="",0,2*(OR(ISNUMBER(FIND("WORKCENTER",CE41)),AND(LEFT(CE41,4)="LINE",NOT(ISNUMBER(FIND("STATUS",CE41))))))+4*(OR(ISNUMBER(FIND("WORKORDER",CE41)),AND(LEFT(CE41,2)="WO",OR(ISNUMBER(FIND("NUM",CE41)),RIGHT(CE41,2)="NO"))))+8*(LEFT(CE41,3)="SEQ")+16*(AND(LEFT(CE41,4)="ITEM",NOT(ISNUMBER(FIND("DESC",CE41)))))+32*(AND(ISNUMBER(FIND("DESC",CE41)),NOT(ISNUMBER(FIND("CAP",CE41)))))+64*(OR(RIGHT(CE41,5)="COUNT",RIGHT(CE41,2)="CT"))+128*(ISNUMBER(FIND("BULK",CE41)))+256*(ISNUMBER(FIND("SIZE",CE41)))+512*(LEFT(CE41,3)="CAP")+1024*(ISNUMBER(FIND("ALLERG",CE41)))+2048*(OR(ISNUMBER(FIND("REMARK",CE41)),ISNUMBER(FIND("COMMENT",CE41))))+4096*(OR(ISNUMBER(FIND("QTY",CE41)),ISNUMBER(FIND("QUANTITY",CE41))))+8192*(AND(OR(ISNUMBER(FIND("COMPLETE",CE41)),ISNUMBER(FIND("PCT",CE41)),ISNUMBER(FIND("PERCENT",CE41))),NOT(ISNUMBER(FIND("ACTUAL",CE41))),LEN(CE41)&lt;=16))+32768*(OR(ISNUMBER(FIND("DESIC",CE41)),ISNUMBER(FIND("DESSIC",CE41)))))</f>
        <v/>
      </c>
      <c r="CF176">
        <f>IF(CF41="",0,2*(OR(ISNUMBER(FIND("WORKCENTER",CF41)),AND(LEFT(CF41,4)="LINE",NOT(ISNUMBER(FIND("STATUS",CF41))))))+4*(OR(ISNUMBER(FIND("WORKORDER",CF41)),AND(LEFT(CF41,2)="WO",OR(ISNUMBER(FIND("NUM",CF41)),RIGHT(CF41,2)="NO"))))+8*(LEFT(CF41,3)="SEQ")+16*(AND(LEFT(CF41,4)="ITEM",NOT(ISNUMBER(FIND("DESC",CF41)))))+32*(AND(ISNUMBER(FIND("DESC",CF41)),NOT(ISNUMBER(FIND("CAP",CF41)))))+64*(OR(RIGHT(CF41,5)="COUNT",RIGHT(CF41,2)="CT"))+128*(ISNUMBER(FIND("BULK",CF41)))+256*(ISNUMBER(FIND("SIZE",CF41)))+512*(LEFT(CF41,3)="CAP")+1024*(ISNUMBER(FIND("ALLERG",CF41)))+2048*(OR(ISNUMBER(FIND("REMARK",CF41)),ISNUMBER(FIND("COMMENT",CF41))))+4096*(OR(ISNUMBER(FIND("QTY",CF41)),ISNUMBER(FIND("QUANTITY",CF41))))+8192*(AND(OR(ISNUMBER(FIND("COMPLETE",CF41)),ISNUMBER(FIND("PCT",CF41)),ISNUMBER(FIND("PERCENT",CF41))),NOT(ISNUMBER(FIND("ACTUAL",CF41))),LEN(CF41)&lt;=16))+32768*(OR(ISNUMBER(FIND("DESIC",CF41)),ISNUMBER(FIND("DESSIC",CF41)))))</f>
        <v/>
      </c>
      <c r="DA176" t="n">
        <v>172</v>
      </c>
      <c r="DB176">
        <f>IF($B$37=0,"",IFERROR(TRIM(SUBSTITUTE(SUBSTITUTE(SUBSTITUTE(SUBSTITUTE(INDEX(PASTE_ALL,172,$B$37)," "," "),CHAR(9)," "),CHAR(10)," "),CHAR(13)," ")),""))</f>
        <v/>
      </c>
      <c r="DC176">
        <f>IF(AND(172&gt;HEADER_ROW,UPPER(DB176)="LEGEND"),1,0)</f>
        <v/>
      </c>
      <c r="DE176" t="n">
        <v>172</v>
      </c>
      <c r="DF176">
        <f>HEADER_ROW+$DE176</f>
        <v/>
      </c>
      <c r="DG176">
        <f>IF(AND($DF176&lt;=1000,$DF176&lt;$B$8),1,0)</f>
        <v/>
      </c>
      <c r="DH176">
        <f>IF($DG176=1,IFERROR(INDEX($DB$5:$DB$1004,$DF176),""),"")</f>
        <v/>
      </c>
      <c r="DI176">
        <f>IF(AND($DG176=1,$DH176&lt;&gt;""),IFERROR(SUBSTITUTE(SUBSTITUTE(TRIM(SUBSTITUTE(SUBSTITUTE(SUBSTITUTE(SUBSTITUTE(IFERROR(INDEX(PASTE_ALL,$DF176,1)&amp;"","")&amp;"␟"&amp;IFERROR(INDEX(PASTE_ALL,$DF176,2)&amp;"","")&amp;"␟"&amp;IFERROR(INDEX(PASTE_ALL,$DF176,3)&amp;"","")&amp;"␟"&amp;IFERROR(INDEX(PASTE_ALL,$DF176,4)&amp;"","")&amp;"␟"&amp;IFERROR(INDEX(PASTE_ALL,$DF176,5)&amp;"","")&amp;"␟"&amp;IFERROR(INDEX(PASTE_ALL,$DF176,6)&amp;"","")&amp;"␟"&amp;IFERROR(INDEX(PASTE_ALL,$DF176,7)&amp;"","")&amp;"␟"&amp;IFERROR(INDEX(PASTE_ALL,$DF176,8)&amp;"","")&amp;"␟"&amp;IFERROR(INDEX(PASTE_ALL,$DF176,9)&amp;"","")&amp;"␟"&amp;IFERROR(INDEX(PASTE_ALL,$DF176,10)&amp;"","")&amp;"␟"&amp;IFERROR(INDEX(PASTE_ALL,$DF176,11)&amp;"","")&amp;"␟"&amp;IFERROR(INDEX(PASTE_ALL,$DF176,12)&amp;"","")&amp;"␟"&amp;IFERROR(INDEX(PASTE_ALL,$DF176,13)&amp;"","")&amp;"␟"&amp;IFERROR(INDEX(PASTE_ALL,$DF176,14)&amp;"","")&amp;"␟"&amp;IFERROR(INDEX(PASTE_ALL,$DF176,15)&amp;"","")&amp;"␟"&amp;IFERROR(INDEX(PASTE_ALL,$DF176,16)&amp;"","")&amp;"␟"&amp;IFERROR(INDEX(PASTE_ALL,$DF176,17)&amp;"","")&amp;"␟"&amp;IFERROR(INDEX(PASTE_ALL,$DF176,18)&amp;"","")&amp;"␟"&amp;IFERROR(INDEX(PASTE_ALL,$DF176,19)&amp;"","")&amp;"␟"&amp;IFERROR(INDEX(PASTE_ALL,$DF176,20)&amp;"","")&amp;"␟"&amp;IFERROR(INDEX(PASTE_ALL,$DF176,21)&amp;"","")&amp;"␟"&amp;IFERROR(INDEX(PASTE_ALL,$DF176,22)&amp;"","")&amp;"␟"&amp;IFERROR(INDEX(PASTE_ALL,$DF176,23)&amp;"","")&amp;"␟"&amp;IFERROR(INDEX(PASTE_ALL,$DF176,24)&amp;"","")&amp;"␟"&amp;IFERROR(INDEX(PASTE_ALL,$DF176,25)&amp;"","")&amp;"␟"&amp;IFERROR(INDEX(PASTE_ALL,$DF176,26)&amp;"","")&amp;"␟"&amp;IFERROR(INDEX(PASTE_ALL,$DF176,27)&amp;"","")&amp;"␟"&amp;IFERROR(INDEX(PASTE_ALL,$DF176,28)&amp;"","")&amp;"␟"&amp;IFERROR(INDEX(PASTE_ALL,$DF176,29)&amp;"","")&amp;"␟"&amp;IFERROR(INDEX(PASTE_ALL,$DF176,30)&amp;"","")&amp;"␟"&amp;IFERROR(INDEX(PASTE_ALL,$DF176,31)&amp;"","")&amp;"␟"&amp;IFERROR(INDEX(PASTE_ALL,$DF176,32)&amp;"","")&amp;"␟"&amp;IFERROR(INDEX(PASTE_ALL,$DF176,33)&amp;"","")&amp;"␟"&amp;IFERROR(INDEX(PASTE_ALL,$DF176,34)&amp;"","")&amp;"␟"&amp;IFERROR(INDEX(PASTE_ALL,$DF176,35)&amp;"","")&amp;"␟"&amp;IFERROR(INDEX(PASTE_ALL,$DF176,36)&amp;"","")&amp;"␟"&amp;IFERROR(INDEX(PASTE_ALL,$DF176,37)&amp;"","")&amp;"␟"&amp;IFERROR(INDEX(PASTE_ALL,$DF176,38)&amp;"","")&amp;"␟"&amp;IFERROR(INDEX(PASTE_ALL,$DF176,39)&amp;"","")&amp;"␟"&amp;IFERROR(INDEX(PASTE_ALL,$DF176,40)&amp;"","")&amp;"␟"&amp;IFERROR(INDEX(PASTE_ALL,$DF176,41)&amp;"","")&amp;"␟"&amp;IFERROR(INDEX(PASTE_ALL,$DF176,42)&amp;"","")&amp;"␟"&amp;IFERROR(INDEX(PASTE_ALL,$DF176,43)&amp;"","")&amp;"␟"&amp;IFERROR(INDEX(PASTE_ALL,$DF176,44)&amp;"","")&amp;"␟"&amp;IFERROR(INDEX(PASTE_ALL,$DF176,45)&amp;"","")&amp;"␟"&amp;IFERROR(INDEX(PASTE_ALL,$DF176,46)&amp;"","")&amp;"␟"&amp;IFERROR(INDEX(PASTE_ALL,$DF176,47)&amp;"","")&amp;"␟"&amp;IFERROR(INDEX(PASTE_ALL,$DF176,48)&amp;"","")&amp;"␟"&amp;IFERROR(INDEX(PASTE_ALL,$DF176,49)&amp;"","")&amp;"␟"&amp;IFERROR(INDEX(PASTE_ALL,$DF176,50)&amp;"","")&amp;"␟"&amp;IFERROR(INDEX(PASTE_ALL,$DF176,51)&amp;"","")&amp;"␟"&amp;IFERROR(INDEX(PASTE_ALL,$DF176,52)&amp;"","")&amp;"␟"&amp;IFERROR(INDEX(PASTE_ALL,$DF176,53)&amp;"","")&amp;"␟"&amp;IFERROR(INDEX(PASTE_ALL,$DF176,54)&amp;"","")&amp;"␟"&amp;IFERROR(INDEX(PASTE_ALL,$DF176,55)&amp;"","")&amp;"␟"&amp;IFERROR(INDEX(PASTE_ALL,$DF176,56)&amp;"","")&amp;"␟"&amp;IFERROR(INDEX(PASTE_ALL,$DF176,57)&amp;"","")&amp;"␟"&amp;IFERROR(INDEX(PASTE_ALL,$DF176,58)&amp;"","")&amp;"␟"&amp;IFERROR(INDEX(PASTE_ALL,$DF176,59)&amp;"","")&amp;"␟"&amp;IFERROR(INDEX(PASTE_ALL,$DF176,60)&amp;"","")," "," "),CHAR(9)," "),CHAR(10)," "),CHAR(13)," "))," ␟","␟"),"␟ ","␟"),"#"&amp;$DE176),"")</f>
        <v/>
      </c>
      <c r="DJ176">
        <f>IF($DI176="",0,IF(SUMPRODUCT(--EXACT($DI$4:DI175,$DI176))&gt;0,1,0))</f>
        <v/>
      </c>
      <c r="DK176">
        <f>IF(AND($DI176&lt;&gt;"",$DJ176=0),1,0)</f>
        <v/>
      </c>
      <c r="DL176">
        <f>DL175+$DK176</f>
        <v/>
      </c>
      <c r="DM176">
        <f>IF(AND($DK176=1,$DL176&lt;=600),1,0)</f>
        <v/>
      </c>
      <c r="DN176">
        <f>IF($DM176=0,"",IF($L$6=0,"",IFERROR(IF(ISNUMBER(INDEX(PASTE_ALL,$DF176,$L$6)),INDEX(PASTE_ALL,$DF176,$L$6),TRIM(SUBSTITUTE(SUBSTITUTE(SUBSTITUTE(SUBSTITUTE(INDEX(PASTE_ALL,$DF176,$L$6)," "," "),CHAR(9)," "),CHAR(10)," "),CHAR(13)," "))),"")))</f>
        <v/>
      </c>
      <c r="DO176">
        <f>IF($DM176=0,"",IF($L$7=0,"",IFERROR(IF(ISNUMBER(INDEX(PASTE_ALL,$DF176,$L$7)),INDEX(PASTE_ALL,$DF176,$L$7),TRIM(SUBSTITUTE(SUBSTITUTE(SUBSTITUTE(SUBSTITUTE(INDEX(PASTE_ALL,$DF176,$L$7)," "," "),CHAR(9)," "),CHAR(10)," "),CHAR(13)," "))),"")))</f>
        <v/>
      </c>
      <c r="DP176">
        <f>IF($DM176=0,"",IF($L$8=0,"",IFERROR(IF(ISNUMBER(INDEX(PASTE_ALL,$DF176,$L$8)),INDEX(PASTE_ALL,$DF176,$L$8),TRIM(SUBSTITUTE(SUBSTITUTE(SUBSTITUTE(SUBSTITUTE(INDEX(PASTE_ALL,$DF176,$L$8)," "," "),CHAR(9)," "),CHAR(10)," "),CHAR(13)," "))),"")))</f>
        <v/>
      </c>
      <c r="DQ176">
        <f>IF($DM176=0,"",IF($L$9=0,"",IFERROR(IF(ISNUMBER(INDEX(PASTE_ALL,$DF176,$L$9)),INDEX(PASTE_ALL,$DF176,$L$9),TRIM(SUBSTITUTE(SUBSTITUTE(SUBSTITUTE(SUBSTITUTE(INDEX(PASTE_ALL,$DF176,$L$9)," "," "),CHAR(9)," "),CHAR(10)," "),CHAR(13)," "))),"")))</f>
        <v/>
      </c>
      <c r="DR176">
        <f>IF($DM176=0,"",IF($L$10=0,"",IFERROR(IF(ISNUMBER(INDEX(PASTE_ALL,$DF176,$L$10)),INDEX(PASTE_ALL,$DF176,$L$10),TRIM(SUBSTITUTE(SUBSTITUTE(SUBSTITUTE(SUBSTITUTE(INDEX(PASTE_ALL,$DF176,$L$10)," "," "),CHAR(9)," "),CHAR(10)," "),CHAR(13)," "))),"")))</f>
        <v/>
      </c>
      <c r="DS176">
        <f>IF($DM176=0,"",IF($L$11=0,"",IFERROR(IF(ISNUMBER(INDEX(PASTE_ALL,$DF176,$L$11)),INDEX(PASTE_ALL,$DF176,$L$11),TRIM(SUBSTITUTE(SUBSTITUTE(SUBSTITUTE(SUBSTITUTE(INDEX(PASTE_ALL,$DF176,$L$11)," "," "),CHAR(9)," "),CHAR(10)," "),CHAR(13)," "))),"")))</f>
        <v/>
      </c>
      <c r="DT176">
        <f>IF($DM176=0,"",IF($L$12=0,"",IFERROR(IF(ISNUMBER(INDEX(PASTE_ALL,$DF176,$L$12)),INDEX(PASTE_ALL,$DF176,$L$12),TRIM(SUBSTITUTE(SUBSTITUTE(SUBSTITUTE(SUBSTITUTE(INDEX(PASTE_ALL,$DF176,$L$12)," "," "),CHAR(9)," "),CHAR(10)," "),CHAR(13)," "))),"")))</f>
        <v/>
      </c>
      <c r="DU176">
        <f>IF($DM176=0,"",IF($L$13=0,"",IFERROR(IF(ISNUMBER(INDEX(PASTE_ALL,$DF176,$L$13)),INDEX(PASTE_ALL,$DF176,$L$13),TRIM(SUBSTITUTE(SUBSTITUTE(SUBSTITUTE(SUBSTITUTE(INDEX(PASTE_ALL,$DF176,$L$13)," "," "),CHAR(9)," "),CHAR(10)," "),CHAR(13)," "))),"")))</f>
        <v/>
      </c>
      <c r="DV176">
        <f>IF($DM176=0,"",IF($L$14=0,"",IFERROR(IF(ISNUMBER(INDEX(PASTE_ALL,$DF176,$L$14)),INDEX(PASTE_ALL,$DF176,$L$14),TRIM(SUBSTITUTE(SUBSTITUTE(SUBSTITUTE(SUBSTITUTE(INDEX(PASTE_ALL,$DF176,$L$14)," "," "),CHAR(9)," "),CHAR(10)," "),CHAR(13)," "))),"")))</f>
        <v/>
      </c>
      <c r="DW176">
        <f>IF($DM176=0,"",IF($L$15=0,"",IFERROR(IF(ISNUMBER(INDEX(PASTE_ALL,$DF176,$L$15)),INDEX(PASTE_ALL,$DF176,$L$15),IF(SUMPRODUCT(--ISNUMBER(FIND({"A","B","C","D","E","F","G","H","I","J","K","L","M","N","O","P","Q","R","S","T","U","V","W","X","Y","Z","0","1","2","3","4","5","6","7","8","9"},UPPER(TRIM(SUBSTITUTE(SUBSTITUTE(SUBSTITUTE(SUBSTITUTE(INDEX(PASTE_ALL,$DF176,$L$15)," "," "),CHAR(9)," "),CHAR(10)," "),CHAR(13)," "))))))&gt;0,TRIM(SUBSTITUTE(SUBSTITUTE(SUBSTITUTE(SUBSTITUTE(INDEX(PASTE_ALL,$DF176,$L$15)," "," "),CHAR(9)," "),CHAR(10)," "),CHAR(13)," ")),"")),"")))</f>
        <v/>
      </c>
      <c r="DX176">
        <f>IF($DM176=0,"",IF($L$16=0,"",IFERROR(IF(ISNUMBER(INDEX(PASTE_ALL,$DF176,$L$16)),INDEX(PASTE_ALL,$DF176,$L$16),SUBSTITUTE(SUBSTITUTE(TRIM(SUBSTITUTE(SUBSTITUTE(SUBSTITUTE(SUBSTITUTE(INDEX(PASTE_ALL,$DF176,$L$16)," "," "),CHAR(9)," "),CHAR(10)," "),CHAR(13)," ")),",",""),"%","")),"")))</f>
        <v/>
      </c>
      <c r="DY176">
        <f>IF($DM176=0,"",IFERROR(IF(ISNUMBER($DX176),$DX176,IF($DX176="","",IF(TRIM($DX176)="",0,IF(AND(AND(SUBSTITUTE(SUBSTITUTE(SUBSTITUTE(SUBSTITUTE(SUBSTITUTE(SUBSTITUTE(SUBSTITUTE(SUBSTITUTE(SUBSTITUTE(SUBSTITUTE(SUBSTITUTE(SUBSTITUTE(SUBSTITUTE(SUBSTITUTE(UPPER(TRIM($DX176)),"0",""),"1",""),"2",""),"3",""),"4",""),"5",""),"6",""),"7",""),"8",""),"9",""),".",""),"+",""),"-",""),"E","")="",LEN(SUBSTITUTE(SUBSTITUTE(MID(UPPER(TRIM($DX176)),1+OR(LEFT(UPPER(TRIM($DX176)),1)="+",LEFT(UPPER(TRIM($DX176)),1)="-"),999),"E+","E"),"E-","E"))=LEN(SUBSTITUTE(SUBSTITUTE(SUBSTITUTE(SUBSTITUTE(MID(UPPER(TRIM($DX176)),1+OR(LEFT(UPPER(TRIM($DX176)),1)="+",LEFT(UPPER(TRIM($DX176)),1)="-"),999),"E+","E"),"E-","E"),"+",""),"-","")),LEN(UPPER(TRIM($DX176)))-LEN(SUBSTITUTE(UPPER(TRIM($DX176)),"E",""))&lt;2,LEN(UPPER(TRIM($DX176)))-LEN(SUBSTITUTE(UPPER(TRIM($DX176)),".",""))&lt;2,IFERROR(FIND(".",UPPER(TRIM($DX176))),0)&lt;IFERROR(FIND("E",UPPER(TRIM($DX176))),999)),ISNUMBER(VALUE(TRIM($DX176)))),VALUE(TRIM($DX176)),"")))),""))</f>
        <v/>
      </c>
      <c r="DZ176">
        <f>IF($DM176=0,"",IF($L$17=0,"",IFERROR(IF(ISNUMBER(INDEX(PASTE_ALL,$DF176,$L$17)),INDEX(PASTE_ALL,$DF176,$L$17),SUBSTITUTE(SUBSTITUTE(TRIM(SUBSTITUTE(SUBSTITUTE(SUBSTITUTE(SUBSTITUTE(INDEX(PASTE_ALL,$DF176,$L$17)," "," "),CHAR(9)," "),CHAR(10)," "),CHAR(13)," ")),",",""),"%","")),"")))</f>
        <v/>
      </c>
      <c r="EA176">
        <f>IF($DM176=0,"",IFERROR(IF(ISNUMBER($DZ176),$DZ176,IF($DZ176="","",IF(TRIM($DZ176)="",0,IF(AND(AND(SUBSTITUTE(SUBSTITUTE(SUBSTITUTE(SUBSTITUTE(SUBSTITUTE(SUBSTITUTE(SUBSTITUTE(SUBSTITUTE(SUBSTITUTE(SUBSTITUTE(SUBSTITUTE(SUBSTITUTE(SUBSTITUTE(SUBSTITUTE(UPPER(TRIM($DZ176)),"0",""),"1",""),"2",""),"3",""),"4",""),"5",""),"6",""),"7",""),"8",""),"9",""),".",""),"+",""),"-",""),"E","")="",LEN(SUBSTITUTE(SUBSTITUTE(MID(UPPER(TRIM($DZ176)),1+OR(LEFT(UPPER(TRIM($DZ176)),1)="+",LEFT(UPPER(TRIM($DZ176)),1)="-"),999),"E+","E"),"E-","E"))=LEN(SUBSTITUTE(SUBSTITUTE(SUBSTITUTE(SUBSTITUTE(MID(UPPER(TRIM($DZ176)),1+OR(LEFT(UPPER(TRIM($DZ176)),1)="+",LEFT(UPPER(TRIM($DZ176)),1)="-"),999),"E+","E"),"E-","E"),"+",""),"-","")),LEN(UPPER(TRIM($DZ176)))-LEN(SUBSTITUTE(UPPER(TRIM($DZ176)),"E",""))&lt;2,LEN(UPPER(TRIM($DZ176)))-LEN(SUBSTITUTE(UPPER(TRIM($DZ176)),".",""))&lt;2,IFERROR(FIND(".",UPPER(TRIM($DZ176))),0)&lt;IFERROR(FIND("E",UPPER(TRIM($DZ176))),999)),ISNUMBER(VALUE(TRIM($DZ176)))),VALUE(TRIM($DZ176)),"")))),""))</f>
        <v/>
      </c>
      <c r="EB176">
        <f>IF($DM176=0,"",IF($L$18=0,"",IFERROR(IF(UPPER(TRIM(SUBSTITUTE(SUBSTITUTE(SUBSTITUTE(SUBSTITUTE(INDEX(PASTE_ALL,$DF176,$L$18)," "," "),CHAR(9)," "),CHAR(10)," "),CHAR(13)," ")))="READY","Ready",IF(UPPER(TRIM(SUBSTITUTE(SUBSTITUTE(SUBSTITUTE(SUBSTITUTE(INDEX(PASTE_ALL,$DF176,$L$18)," "," "),CHAR(9)," "),CHAR(10)," "),CHAR(13)," ")))="PM","PM",IF(OR(UPPER(TRIM(SUBSTITUTE(SUBSTITUTE(SUBSTITUTE(SUBSTITUTE(INDEX(PASTE_ALL,$DF176,$L$18)," "," "),CHAR(9)," "),CHAR(10)," "),CHAR(13)," ")))="OT",UPPER(TRIM(SUBSTITUTE(SUBSTITUTE(SUBSTITUTE(SUBSTITUTE(INDEX(PASTE_ALL,$DF176,$L$18)," "," "),CHAR(9)," "),CHAR(10)," "),CHAR(13)," ")))="OVERTIME",UPPER(TRIM(SUBSTITUTE(SUBSTITUTE(SUBSTITUTE(SUBSTITUTE(INDEX(PASTE_ALL,$DF176,$L$18)," "," "),CHAR(9)," "),CHAR(10)," "),CHAR(13)," ")))="TRIAL"),"OT",TRIM(SUBSTITUTE(SUBSTITUTE(SUBSTITUTE(SUBSTITUTE(INDEX(PASTE_ALL,$DF176,$L$18)," "," "),CHAR(9)," "),CHAR(10)," "),CHAR(13)," "))))),"")))</f>
        <v/>
      </c>
      <c r="EC176">
        <f>IF($DM176=0,"",IF($L$19=0,"",IFERROR(IF(ISNUMBER(INDEX(PASTE_ALL,$DF176,$L$19)),INDEX(PASTE_ALL,$DF176,$L$19),TRIM(SUBSTITUTE(SUBSTITUTE(SUBSTITUTE(SUBSTITUTE(INDEX(PASTE_ALL,$DF176,$L$19)," "," "),CHAR(9)," "),CHAR(10)," "),CHAR(13)," "))),"")))</f>
        <v/>
      </c>
      <c r="ED176">
        <f>IF($DM176=0,"",MATCH(1,INDEX(EXACT($DH$5:DH176,$DH176)*$DM$5:DM176,0),0))</f>
        <v/>
      </c>
      <c r="EE176">
        <f>IF($DM176=0,0,IF($ED176=$DE176,1,0))</f>
        <v/>
      </c>
      <c r="EF176">
        <f>EF175+$EE176</f>
        <v/>
      </c>
      <c r="EG176">
        <f>IF($DM176=0,"",INDEX($EF$5:$EF$1003,$ED176))</f>
        <v/>
      </c>
      <c r="EH176">
        <f>IF($DM176=0,"",IF($DO176&lt;&gt;"","",IFERROR(LOOKUP(2,1/(($EG$4:EG175=$EG176)*($DO$4:DO175&lt;&gt;"")),$DO$4:DO175),"")))</f>
        <v/>
      </c>
      <c r="EI176">
        <f>IF($DM176=0,"",IF($DO176&lt;&gt;"",$DO176,$EH176))</f>
        <v/>
      </c>
      <c r="EJ176">
        <f>IF($DM176=0,"",IF($EI176="",0,IF(OR(ISNUMBER($EI176),AND(AND(SUBSTITUTE(SUBSTITUTE(SUBSTITUTE(SUBSTITUTE(SUBSTITUTE(SUBSTITUTE(SUBSTITUTE(SUBSTITUTE(SUBSTITUTE(SUBSTITUTE(SUBSTITUTE(SUBSTITUTE(SUBSTITUTE(SUBSTITUTE(UPPER($EI176),"0",""),"1",""),"2",""),"3",""),"4",""),"5",""),"6",""),"7",""),"8",""),"9",""),".",""),"+",""),"-",""),"E","")="",LEN(SUBSTITUTE(SUBSTITUTE(MID(UPPER($EI176),1+OR(LEFT(UPPER($EI176),1)="+",LEFT(UPPER($EI176),1)="-"),999),"E+","E"),"E-","E"))=LEN(SUBSTITUTE(SUBSTITUTE(SUBSTITUTE(SUBSTITUTE(MID(UPPER($EI176),1+OR(LEFT(UPPER($EI176),1)="+",LEFT(UPPER($EI176),1)="-"),999),"E+","E"),"E-","E"),"+",""),"-","")),LEN(UPPER($EI176))-LEN(SUBSTITUTE(UPPER($EI176),"E",""))&lt;2,LEN(UPPER($EI176))-LEN(SUBSTITUTE(UPPER($EI176),".",""))&lt;2,IFERROR(FIND(".",UPPER($EI176)),0)&lt;IFERROR(FIND("E",UPPER($EI176)),999)),ISNUMBER(VALUE($EI176)))),1,2)))</f>
        <v/>
      </c>
      <c r="EK176">
        <f>IF($DM176=0,"",IF($EJ176=1,IF(ISNUMBER($EI176),$EI176,VALUE($EI176)),IF($EJ176=2,$DE176,0)))</f>
        <v/>
      </c>
      <c r="EL176">
        <f>IF($DM176=0,"",COUNTIF($EG$5:$EG$1003,"&lt;"&amp;$EG176)+SUMPRODUCT(($EG$5:$EG$1003=$EG176)*(($EJ$5:$EJ$1003&lt;$EJ176)+($EJ$5:$EJ$1003=$EJ176)*(($EK$5:$EK$1003&lt;$EK176)+($EK$5:$EK$1003=$EK176)*($DE$5:$DE$1003&lt;$DE176))))+1)</f>
        <v/>
      </c>
      <c r="EM176">
        <f>IF($DM176=0,"",$EL176+$EG176-1)</f>
        <v/>
      </c>
      <c r="EN176">
        <f>IF($DM176=0,0,IFERROR(MATCH(1,INDEX(--(TRIM(SUBSTITUTE(SUBSTITUTE(SUBSTITUTE(SUBSTITUTE(LINES_NAME&amp;""," "," "),CHAR(9)," "),CHAR(10)," "),CHAR(13)," "))=$DH176),0),0),0))</f>
        <v/>
      </c>
      <c r="EO176">
        <f>IF($EN176=0,0,IF(OR(UPPER(TRIM(INDEX(LINES_SCHEDULED,$EN176)&amp;""))="YES",UPPER(TRIM(INDEX(LINES_SCHEDULED,$EN176)&amp;""))="Y",UPPER(TRIM(INDEX(LINES_SCHEDULED,$EN176)&amp;""))="X"),1,0))</f>
        <v/>
      </c>
      <c r="EP176">
        <f>IF($DM176=0,"",IF(COUNTIFS($EG$5:$EG$1003,$EG176,$EB$5:$EB$1003,"Ready")&gt;0,"READY",IF(COUNTIFS($EG$5:$EG$1003,$EG176,$EB$5:$EB$1003,"PM")&gt;0,"PM",IF(COUNTIFS($EG$5:$EG$1003,$EG176,$EB$5:$EB$1003,"OT")&gt;0,"OT",""))))</f>
        <v/>
      </c>
      <c r="EQ176">
        <f>IF($EN176=0,"",UPPER(TRIM(INDEX(LINES_STATUS,$EN176)&amp;"")))</f>
        <v/>
      </c>
      <c r="ER176">
        <f>IF($DM176=0,"",IF(OR($EQ176="READY",$EQ176="PM",$EQ176="OT"),$EQ176,$EP176))</f>
        <v/>
      </c>
      <c r="ES176">
        <f>IF($DM176=0,"",IF(AND($DV176&lt;&gt;"",UPPER($DV176)&lt;&gt;"N"),"allergen",IF(ISNUMBER(SEARCH("oil",$DQ176)),"oil",IF(OR(EXACT($DS176,"A662"),EXACT($DS176,"A624")),"bulk",""))))</f>
        <v/>
      </c>
      <c r="ET176">
        <f>IF($DM176=0,"",IF(OR($EA176="",$EA176=0),"",$EA176/100))</f>
        <v/>
      </c>
      <c r="EU176">
        <f>IF(OR($ET176="",$DY176=""),"",INT($DY176*(1-$ET176)+0.5))</f>
        <v/>
      </c>
      <c r="EW176" t="n">
        <v>172</v>
      </c>
      <c r="EX176">
        <f>IFERROR(MATCH($EW176,$EM$5:$EM$1003,0),0)</f>
        <v/>
      </c>
      <c r="EY176">
        <f>IF($EW176&gt;$B$12,"",IF($EX176&gt;0,"row","spacer"))</f>
        <v/>
      </c>
      <c r="EZ176">
        <f>IF(AND($EY176="row",$EY175&lt;&gt;"row"),1,0)</f>
        <v/>
      </c>
      <c r="FA176">
        <f>IF(AND($EY176="row",$EY177&lt;&gt;"row"),1,0)</f>
        <v/>
      </c>
      <c r="FB176">
        <f>IF($EZ176=1,IFERROR(IF(ISNUMBER(INDEX(PASTE_ALL,INDEX($DF$5:$DF$1003,$EX176),$B$37)),INDEX(PASTE_ALL,INDEX($DF$5:$DF$1003,$EX176),$B$37),INDEX($DH$5:$DH$1003,$EX176)),INDEX($DH$5:$DH$1003,$EX176)),"")</f>
        <v/>
      </c>
      <c r="FC176">
        <f>IF($EY176="row",INDEX($ER$5:$ER$1003,$EX176),"")</f>
        <v/>
      </c>
      <c r="FD176">
        <f>IF($EY176="row",INDEX($DN$5:$DN$1003,$EX176),"")</f>
        <v/>
      </c>
      <c r="FE176">
        <f>IF($EY176="row",INDEX($DO$5:$DO$1003,$EX176),"")</f>
        <v/>
      </c>
      <c r="FF176">
        <f>IF($EY176="row",INDEX($DP$5:$DP$1003,$EX176),"")</f>
        <v/>
      </c>
      <c r="FG176">
        <f>IF($EY176="row",INDEX($DQ$5:$DQ$1003,$EX176),"")</f>
        <v/>
      </c>
      <c r="FH176">
        <f>IF($EY176="row",INDEX($DR$5:$DR$1003,$EX176),"")</f>
        <v/>
      </c>
      <c r="FI176">
        <f>IF($EY176="row",INDEX($DS$5:$DS$1003,$EX176),"")</f>
        <v/>
      </c>
      <c r="FJ176">
        <f>IF($EY176="row",INDEX($DT$5:$DT$1003,$EX176),"")</f>
        <v/>
      </c>
      <c r="FK176">
        <f>IF($EY176="row",INDEX($DU$5:$DU$1003,$EX176),"")</f>
        <v/>
      </c>
      <c r="FL176">
        <f>IF($EY176="row",INDEX($DV$5:$DV$1003,$EX176),"")</f>
        <v/>
      </c>
      <c r="FM176">
        <f>IF($EY176="row",INDEX($DW$5:$DW$1003,$EX176),"")</f>
        <v/>
      </c>
      <c r="FN176">
        <f>IF($EY176="row",INDEX($DY$5:$DY$1003,$EX176),"")</f>
        <v/>
      </c>
      <c r="FO176">
        <f>IF($EY176="row",INDEX($EA$5:$EA$1003,$EX176),"")</f>
        <v/>
      </c>
      <c r="FP176">
        <f>IF($EY176="row",INDEX($EC$5:$EC$1003,$EX176),"")</f>
        <v/>
      </c>
      <c r="FQ176">
        <f>IF($EY176="row",INDEX($ET$5:$ET$1003,$EX176),"")</f>
        <v/>
      </c>
      <c r="FR176">
        <f>IF($EY176="row",INDEX($EU$5:$EU$1003,$EX176),"")</f>
        <v/>
      </c>
      <c r="FS176">
        <f>IF(AND($EY176="row",$EY175="row"),IF(OR(INDEX($DT$5:$DT$1003,$EX175)="",INDEX($DT$5:$DT$1003,$EX176)=""),"",IF(NOT(EXACT(INDEX($DT$5:$DT$1003,$EX175),INDEX($DT$5:$DT$1003,$EX176))),"S4",IF(NOT(EXACT(INDEX($DS$5:$DS$1003,$EX175),INDEX($DS$5:$DS$1003,$EX176))),"S3",IF(NOT(EXACT(INDEX($DR$5:$DR$1003,$EX175),INDEX($DR$5:$DR$1003,$EX176))),"S1 Count Change","S1")))),"")</f>
        <v/>
      </c>
      <c r="FT176">
        <f>IF($EY176="row",INDEX($ES$5:$ES$1003,$EX176),"")</f>
        <v/>
      </c>
      <c r="FU176">
        <f>IF($EY176="row",INDEX($EO$5:$EO$1003,$EX176),0)</f>
        <v/>
      </c>
      <c r="FV176">
        <f>IF($FS176="S1 Count Change",1,0)</f>
        <v/>
      </c>
    </row>
    <row r="177">
      <c r="Y177">
        <f>IF(Y42="",0,2*(OR(ISNUMBER(FIND("WORKCENTER",Y42)),AND(LEFT(Y42,4)="LINE",NOT(ISNUMBER(FIND("STATUS",Y42))))))+4*(OR(ISNUMBER(FIND("WORKORDER",Y42)),AND(LEFT(Y42,2)="WO",OR(ISNUMBER(FIND("NUM",Y42)),RIGHT(Y42,2)="NO"))))+8*(LEFT(Y42,3)="SEQ")+16*(AND(LEFT(Y42,4)="ITEM",NOT(ISNUMBER(FIND("DESC",Y42)))))+32*(AND(ISNUMBER(FIND("DESC",Y42)),NOT(ISNUMBER(FIND("CAP",Y42)))))+64*(OR(RIGHT(Y42,5)="COUNT",RIGHT(Y42,2)="CT"))+128*(ISNUMBER(FIND("BULK",Y42)))+256*(ISNUMBER(FIND("SIZE",Y42)))+512*(LEFT(Y42,3)="CAP")+1024*(ISNUMBER(FIND("ALLERG",Y42)))+2048*(OR(ISNUMBER(FIND("REMARK",Y42)),ISNUMBER(FIND("COMMENT",Y42))))+4096*(OR(ISNUMBER(FIND("QTY",Y42)),ISNUMBER(FIND("QUANTITY",Y42))))+8192*(AND(OR(ISNUMBER(FIND("COMPLETE",Y42)),ISNUMBER(FIND("PCT",Y42)),ISNUMBER(FIND("PERCENT",Y42))),NOT(ISNUMBER(FIND("ACTUAL",Y42))),LEN(Y42)&lt;=16))+32768*(OR(ISNUMBER(FIND("DESIC",Y42)),ISNUMBER(FIND("DESSIC",Y42)))))</f>
        <v/>
      </c>
      <c r="Z177">
        <f>IF(Z42="",0,2*(OR(ISNUMBER(FIND("WORKCENTER",Z42)),AND(LEFT(Z42,4)="LINE",NOT(ISNUMBER(FIND("STATUS",Z42))))))+4*(OR(ISNUMBER(FIND("WORKORDER",Z42)),AND(LEFT(Z42,2)="WO",OR(ISNUMBER(FIND("NUM",Z42)),RIGHT(Z42,2)="NO"))))+8*(LEFT(Z42,3)="SEQ")+16*(AND(LEFT(Z42,4)="ITEM",NOT(ISNUMBER(FIND("DESC",Z42)))))+32*(AND(ISNUMBER(FIND("DESC",Z42)),NOT(ISNUMBER(FIND("CAP",Z42)))))+64*(OR(RIGHT(Z42,5)="COUNT",RIGHT(Z42,2)="CT"))+128*(ISNUMBER(FIND("BULK",Z42)))+256*(ISNUMBER(FIND("SIZE",Z42)))+512*(LEFT(Z42,3)="CAP")+1024*(ISNUMBER(FIND("ALLERG",Z42)))+2048*(OR(ISNUMBER(FIND("REMARK",Z42)),ISNUMBER(FIND("COMMENT",Z42))))+4096*(OR(ISNUMBER(FIND("QTY",Z42)),ISNUMBER(FIND("QUANTITY",Z42))))+8192*(AND(OR(ISNUMBER(FIND("COMPLETE",Z42)),ISNUMBER(FIND("PCT",Z42)),ISNUMBER(FIND("PERCENT",Z42))),NOT(ISNUMBER(FIND("ACTUAL",Z42))),LEN(Z42)&lt;=16))+32768*(OR(ISNUMBER(FIND("DESIC",Z42)),ISNUMBER(FIND("DESSIC",Z42)))))</f>
        <v/>
      </c>
      <c r="AA177">
        <f>IF(AA42="",0,2*(OR(ISNUMBER(FIND("WORKCENTER",AA42)),AND(LEFT(AA42,4)="LINE",NOT(ISNUMBER(FIND("STATUS",AA42))))))+4*(OR(ISNUMBER(FIND("WORKORDER",AA42)),AND(LEFT(AA42,2)="WO",OR(ISNUMBER(FIND("NUM",AA42)),RIGHT(AA42,2)="NO"))))+8*(LEFT(AA42,3)="SEQ")+16*(AND(LEFT(AA42,4)="ITEM",NOT(ISNUMBER(FIND("DESC",AA42)))))+32*(AND(ISNUMBER(FIND("DESC",AA42)),NOT(ISNUMBER(FIND("CAP",AA42)))))+64*(OR(RIGHT(AA42,5)="COUNT",RIGHT(AA42,2)="CT"))+128*(ISNUMBER(FIND("BULK",AA42)))+256*(ISNUMBER(FIND("SIZE",AA42)))+512*(LEFT(AA42,3)="CAP")+1024*(ISNUMBER(FIND("ALLERG",AA42)))+2048*(OR(ISNUMBER(FIND("REMARK",AA42)),ISNUMBER(FIND("COMMENT",AA42))))+4096*(OR(ISNUMBER(FIND("QTY",AA42)),ISNUMBER(FIND("QUANTITY",AA42))))+8192*(AND(OR(ISNUMBER(FIND("COMPLETE",AA42)),ISNUMBER(FIND("PCT",AA42)),ISNUMBER(FIND("PERCENT",AA42))),NOT(ISNUMBER(FIND("ACTUAL",AA42))),LEN(AA42)&lt;=16))+32768*(OR(ISNUMBER(FIND("DESIC",AA42)),ISNUMBER(FIND("DESSIC",AA42)))))</f>
        <v/>
      </c>
      <c r="AB177">
        <f>IF(AB42="",0,2*(OR(ISNUMBER(FIND("WORKCENTER",AB42)),AND(LEFT(AB42,4)="LINE",NOT(ISNUMBER(FIND("STATUS",AB42))))))+4*(OR(ISNUMBER(FIND("WORKORDER",AB42)),AND(LEFT(AB42,2)="WO",OR(ISNUMBER(FIND("NUM",AB42)),RIGHT(AB42,2)="NO"))))+8*(LEFT(AB42,3)="SEQ")+16*(AND(LEFT(AB42,4)="ITEM",NOT(ISNUMBER(FIND("DESC",AB42)))))+32*(AND(ISNUMBER(FIND("DESC",AB42)),NOT(ISNUMBER(FIND("CAP",AB42)))))+64*(OR(RIGHT(AB42,5)="COUNT",RIGHT(AB42,2)="CT"))+128*(ISNUMBER(FIND("BULK",AB42)))+256*(ISNUMBER(FIND("SIZE",AB42)))+512*(LEFT(AB42,3)="CAP")+1024*(ISNUMBER(FIND("ALLERG",AB42)))+2048*(OR(ISNUMBER(FIND("REMARK",AB42)),ISNUMBER(FIND("COMMENT",AB42))))+4096*(OR(ISNUMBER(FIND("QTY",AB42)),ISNUMBER(FIND("QUANTITY",AB42))))+8192*(AND(OR(ISNUMBER(FIND("COMPLETE",AB42)),ISNUMBER(FIND("PCT",AB42)),ISNUMBER(FIND("PERCENT",AB42))),NOT(ISNUMBER(FIND("ACTUAL",AB42))),LEN(AB42)&lt;=16))+32768*(OR(ISNUMBER(FIND("DESIC",AB42)),ISNUMBER(FIND("DESSIC",AB42)))))</f>
        <v/>
      </c>
      <c r="AC177">
        <f>IF(AC42="",0,2*(OR(ISNUMBER(FIND("WORKCENTER",AC42)),AND(LEFT(AC42,4)="LINE",NOT(ISNUMBER(FIND("STATUS",AC42))))))+4*(OR(ISNUMBER(FIND("WORKORDER",AC42)),AND(LEFT(AC42,2)="WO",OR(ISNUMBER(FIND("NUM",AC42)),RIGHT(AC42,2)="NO"))))+8*(LEFT(AC42,3)="SEQ")+16*(AND(LEFT(AC42,4)="ITEM",NOT(ISNUMBER(FIND("DESC",AC42)))))+32*(AND(ISNUMBER(FIND("DESC",AC42)),NOT(ISNUMBER(FIND("CAP",AC42)))))+64*(OR(RIGHT(AC42,5)="COUNT",RIGHT(AC42,2)="CT"))+128*(ISNUMBER(FIND("BULK",AC42)))+256*(ISNUMBER(FIND("SIZE",AC42)))+512*(LEFT(AC42,3)="CAP")+1024*(ISNUMBER(FIND("ALLERG",AC42)))+2048*(OR(ISNUMBER(FIND("REMARK",AC42)),ISNUMBER(FIND("COMMENT",AC42))))+4096*(OR(ISNUMBER(FIND("QTY",AC42)),ISNUMBER(FIND("QUANTITY",AC42))))+8192*(AND(OR(ISNUMBER(FIND("COMPLETE",AC42)),ISNUMBER(FIND("PCT",AC42)),ISNUMBER(FIND("PERCENT",AC42))),NOT(ISNUMBER(FIND("ACTUAL",AC42))),LEN(AC42)&lt;=16))+32768*(OR(ISNUMBER(FIND("DESIC",AC42)),ISNUMBER(FIND("DESSIC",AC42)))))</f>
        <v/>
      </c>
      <c r="AD177">
        <f>IF(AD42="",0,2*(OR(ISNUMBER(FIND("WORKCENTER",AD42)),AND(LEFT(AD42,4)="LINE",NOT(ISNUMBER(FIND("STATUS",AD42))))))+4*(OR(ISNUMBER(FIND("WORKORDER",AD42)),AND(LEFT(AD42,2)="WO",OR(ISNUMBER(FIND("NUM",AD42)),RIGHT(AD42,2)="NO"))))+8*(LEFT(AD42,3)="SEQ")+16*(AND(LEFT(AD42,4)="ITEM",NOT(ISNUMBER(FIND("DESC",AD42)))))+32*(AND(ISNUMBER(FIND("DESC",AD42)),NOT(ISNUMBER(FIND("CAP",AD42)))))+64*(OR(RIGHT(AD42,5)="COUNT",RIGHT(AD42,2)="CT"))+128*(ISNUMBER(FIND("BULK",AD42)))+256*(ISNUMBER(FIND("SIZE",AD42)))+512*(LEFT(AD42,3)="CAP")+1024*(ISNUMBER(FIND("ALLERG",AD42)))+2048*(OR(ISNUMBER(FIND("REMARK",AD42)),ISNUMBER(FIND("COMMENT",AD42))))+4096*(OR(ISNUMBER(FIND("QTY",AD42)),ISNUMBER(FIND("QUANTITY",AD42))))+8192*(AND(OR(ISNUMBER(FIND("COMPLETE",AD42)),ISNUMBER(FIND("PCT",AD42)),ISNUMBER(FIND("PERCENT",AD42))),NOT(ISNUMBER(FIND("ACTUAL",AD42))),LEN(AD42)&lt;=16))+32768*(OR(ISNUMBER(FIND("DESIC",AD42)),ISNUMBER(FIND("DESSIC",AD42)))))</f>
        <v/>
      </c>
      <c r="AE177">
        <f>IF(AE42="",0,2*(OR(ISNUMBER(FIND("WORKCENTER",AE42)),AND(LEFT(AE42,4)="LINE",NOT(ISNUMBER(FIND("STATUS",AE42))))))+4*(OR(ISNUMBER(FIND("WORKORDER",AE42)),AND(LEFT(AE42,2)="WO",OR(ISNUMBER(FIND("NUM",AE42)),RIGHT(AE42,2)="NO"))))+8*(LEFT(AE42,3)="SEQ")+16*(AND(LEFT(AE42,4)="ITEM",NOT(ISNUMBER(FIND("DESC",AE42)))))+32*(AND(ISNUMBER(FIND("DESC",AE42)),NOT(ISNUMBER(FIND("CAP",AE42)))))+64*(OR(RIGHT(AE42,5)="COUNT",RIGHT(AE42,2)="CT"))+128*(ISNUMBER(FIND("BULK",AE42)))+256*(ISNUMBER(FIND("SIZE",AE42)))+512*(LEFT(AE42,3)="CAP")+1024*(ISNUMBER(FIND("ALLERG",AE42)))+2048*(OR(ISNUMBER(FIND("REMARK",AE42)),ISNUMBER(FIND("COMMENT",AE42))))+4096*(OR(ISNUMBER(FIND("QTY",AE42)),ISNUMBER(FIND("QUANTITY",AE42))))+8192*(AND(OR(ISNUMBER(FIND("COMPLETE",AE42)),ISNUMBER(FIND("PCT",AE42)),ISNUMBER(FIND("PERCENT",AE42))),NOT(ISNUMBER(FIND("ACTUAL",AE42))),LEN(AE42)&lt;=16))+32768*(OR(ISNUMBER(FIND("DESIC",AE42)),ISNUMBER(FIND("DESSIC",AE42)))))</f>
        <v/>
      </c>
      <c r="AF177">
        <f>IF(AF42="",0,2*(OR(ISNUMBER(FIND("WORKCENTER",AF42)),AND(LEFT(AF42,4)="LINE",NOT(ISNUMBER(FIND("STATUS",AF42))))))+4*(OR(ISNUMBER(FIND("WORKORDER",AF42)),AND(LEFT(AF42,2)="WO",OR(ISNUMBER(FIND("NUM",AF42)),RIGHT(AF42,2)="NO"))))+8*(LEFT(AF42,3)="SEQ")+16*(AND(LEFT(AF42,4)="ITEM",NOT(ISNUMBER(FIND("DESC",AF42)))))+32*(AND(ISNUMBER(FIND("DESC",AF42)),NOT(ISNUMBER(FIND("CAP",AF42)))))+64*(OR(RIGHT(AF42,5)="COUNT",RIGHT(AF42,2)="CT"))+128*(ISNUMBER(FIND("BULK",AF42)))+256*(ISNUMBER(FIND("SIZE",AF42)))+512*(LEFT(AF42,3)="CAP")+1024*(ISNUMBER(FIND("ALLERG",AF42)))+2048*(OR(ISNUMBER(FIND("REMARK",AF42)),ISNUMBER(FIND("COMMENT",AF42))))+4096*(OR(ISNUMBER(FIND("QTY",AF42)),ISNUMBER(FIND("QUANTITY",AF42))))+8192*(AND(OR(ISNUMBER(FIND("COMPLETE",AF42)),ISNUMBER(FIND("PCT",AF42)),ISNUMBER(FIND("PERCENT",AF42))),NOT(ISNUMBER(FIND("ACTUAL",AF42))),LEN(AF42)&lt;=16))+32768*(OR(ISNUMBER(FIND("DESIC",AF42)),ISNUMBER(FIND("DESSIC",AF42)))))</f>
        <v/>
      </c>
      <c r="AG177">
        <f>IF(AG42="",0,2*(OR(ISNUMBER(FIND("WORKCENTER",AG42)),AND(LEFT(AG42,4)="LINE",NOT(ISNUMBER(FIND("STATUS",AG42))))))+4*(OR(ISNUMBER(FIND("WORKORDER",AG42)),AND(LEFT(AG42,2)="WO",OR(ISNUMBER(FIND("NUM",AG42)),RIGHT(AG42,2)="NO"))))+8*(LEFT(AG42,3)="SEQ")+16*(AND(LEFT(AG42,4)="ITEM",NOT(ISNUMBER(FIND("DESC",AG42)))))+32*(AND(ISNUMBER(FIND("DESC",AG42)),NOT(ISNUMBER(FIND("CAP",AG42)))))+64*(OR(RIGHT(AG42,5)="COUNT",RIGHT(AG42,2)="CT"))+128*(ISNUMBER(FIND("BULK",AG42)))+256*(ISNUMBER(FIND("SIZE",AG42)))+512*(LEFT(AG42,3)="CAP")+1024*(ISNUMBER(FIND("ALLERG",AG42)))+2048*(OR(ISNUMBER(FIND("REMARK",AG42)),ISNUMBER(FIND("COMMENT",AG42))))+4096*(OR(ISNUMBER(FIND("QTY",AG42)),ISNUMBER(FIND("QUANTITY",AG42))))+8192*(AND(OR(ISNUMBER(FIND("COMPLETE",AG42)),ISNUMBER(FIND("PCT",AG42)),ISNUMBER(FIND("PERCENT",AG42))),NOT(ISNUMBER(FIND("ACTUAL",AG42))),LEN(AG42)&lt;=16))+32768*(OR(ISNUMBER(FIND("DESIC",AG42)),ISNUMBER(FIND("DESSIC",AG42)))))</f>
        <v/>
      </c>
      <c r="AH177">
        <f>IF(AH42="",0,2*(OR(ISNUMBER(FIND("WORKCENTER",AH42)),AND(LEFT(AH42,4)="LINE",NOT(ISNUMBER(FIND("STATUS",AH42))))))+4*(OR(ISNUMBER(FIND("WORKORDER",AH42)),AND(LEFT(AH42,2)="WO",OR(ISNUMBER(FIND("NUM",AH42)),RIGHT(AH42,2)="NO"))))+8*(LEFT(AH42,3)="SEQ")+16*(AND(LEFT(AH42,4)="ITEM",NOT(ISNUMBER(FIND("DESC",AH42)))))+32*(AND(ISNUMBER(FIND("DESC",AH42)),NOT(ISNUMBER(FIND("CAP",AH42)))))+64*(OR(RIGHT(AH42,5)="COUNT",RIGHT(AH42,2)="CT"))+128*(ISNUMBER(FIND("BULK",AH42)))+256*(ISNUMBER(FIND("SIZE",AH42)))+512*(LEFT(AH42,3)="CAP")+1024*(ISNUMBER(FIND("ALLERG",AH42)))+2048*(OR(ISNUMBER(FIND("REMARK",AH42)),ISNUMBER(FIND("COMMENT",AH42))))+4096*(OR(ISNUMBER(FIND("QTY",AH42)),ISNUMBER(FIND("QUANTITY",AH42))))+8192*(AND(OR(ISNUMBER(FIND("COMPLETE",AH42)),ISNUMBER(FIND("PCT",AH42)),ISNUMBER(FIND("PERCENT",AH42))),NOT(ISNUMBER(FIND("ACTUAL",AH42))),LEN(AH42)&lt;=16))+32768*(OR(ISNUMBER(FIND("DESIC",AH42)),ISNUMBER(FIND("DESSIC",AH42)))))</f>
        <v/>
      </c>
      <c r="AI177">
        <f>IF(AI42="",0,2*(OR(ISNUMBER(FIND("WORKCENTER",AI42)),AND(LEFT(AI42,4)="LINE",NOT(ISNUMBER(FIND("STATUS",AI42))))))+4*(OR(ISNUMBER(FIND("WORKORDER",AI42)),AND(LEFT(AI42,2)="WO",OR(ISNUMBER(FIND("NUM",AI42)),RIGHT(AI42,2)="NO"))))+8*(LEFT(AI42,3)="SEQ")+16*(AND(LEFT(AI42,4)="ITEM",NOT(ISNUMBER(FIND("DESC",AI42)))))+32*(AND(ISNUMBER(FIND("DESC",AI42)),NOT(ISNUMBER(FIND("CAP",AI42)))))+64*(OR(RIGHT(AI42,5)="COUNT",RIGHT(AI42,2)="CT"))+128*(ISNUMBER(FIND("BULK",AI42)))+256*(ISNUMBER(FIND("SIZE",AI42)))+512*(LEFT(AI42,3)="CAP")+1024*(ISNUMBER(FIND("ALLERG",AI42)))+2048*(OR(ISNUMBER(FIND("REMARK",AI42)),ISNUMBER(FIND("COMMENT",AI42))))+4096*(OR(ISNUMBER(FIND("QTY",AI42)),ISNUMBER(FIND("QUANTITY",AI42))))+8192*(AND(OR(ISNUMBER(FIND("COMPLETE",AI42)),ISNUMBER(FIND("PCT",AI42)),ISNUMBER(FIND("PERCENT",AI42))),NOT(ISNUMBER(FIND("ACTUAL",AI42))),LEN(AI42)&lt;=16))+32768*(OR(ISNUMBER(FIND("DESIC",AI42)),ISNUMBER(FIND("DESSIC",AI42)))))</f>
        <v/>
      </c>
      <c r="AJ177">
        <f>IF(AJ42="",0,2*(OR(ISNUMBER(FIND("WORKCENTER",AJ42)),AND(LEFT(AJ42,4)="LINE",NOT(ISNUMBER(FIND("STATUS",AJ42))))))+4*(OR(ISNUMBER(FIND("WORKORDER",AJ42)),AND(LEFT(AJ42,2)="WO",OR(ISNUMBER(FIND("NUM",AJ42)),RIGHT(AJ42,2)="NO"))))+8*(LEFT(AJ42,3)="SEQ")+16*(AND(LEFT(AJ42,4)="ITEM",NOT(ISNUMBER(FIND("DESC",AJ42)))))+32*(AND(ISNUMBER(FIND("DESC",AJ42)),NOT(ISNUMBER(FIND("CAP",AJ42)))))+64*(OR(RIGHT(AJ42,5)="COUNT",RIGHT(AJ42,2)="CT"))+128*(ISNUMBER(FIND("BULK",AJ42)))+256*(ISNUMBER(FIND("SIZE",AJ42)))+512*(LEFT(AJ42,3)="CAP")+1024*(ISNUMBER(FIND("ALLERG",AJ42)))+2048*(OR(ISNUMBER(FIND("REMARK",AJ42)),ISNUMBER(FIND("COMMENT",AJ42))))+4096*(OR(ISNUMBER(FIND("QTY",AJ42)),ISNUMBER(FIND("QUANTITY",AJ42))))+8192*(AND(OR(ISNUMBER(FIND("COMPLETE",AJ42)),ISNUMBER(FIND("PCT",AJ42)),ISNUMBER(FIND("PERCENT",AJ42))),NOT(ISNUMBER(FIND("ACTUAL",AJ42))),LEN(AJ42)&lt;=16))+32768*(OR(ISNUMBER(FIND("DESIC",AJ42)),ISNUMBER(FIND("DESSIC",AJ42)))))</f>
        <v/>
      </c>
      <c r="AK177">
        <f>IF(AK42="",0,2*(OR(ISNUMBER(FIND("WORKCENTER",AK42)),AND(LEFT(AK42,4)="LINE",NOT(ISNUMBER(FIND("STATUS",AK42))))))+4*(OR(ISNUMBER(FIND("WORKORDER",AK42)),AND(LEFT(AK42,2)="WO",OR(ISNUMBER(FIND("NUM",AK42)),RIGHT(AK42,2)="NO"))))+8*(LEFT(AK42,3)="SEQ")+16*(AND(LEFT(AK42,4)="ITEM",NOT(ISNUMBER(FIND("DESC",AK42)))))+32*(AND(ISNUMBER(FIND("DESC",AK42)),NOT(ISNUMBER(FIND("CAP",AK42)))))+64*(OR(RIGHT(AK42,5)="COUNT",RIGHT(AK42,2)="CT"))+128*(ISNUMBER(FIND("BULK",AK42)))+256*(ISNUMBER(FIND("SIZE",AK42)))+512*(LEFT(AK42,3)="CAP")+1024*(ISNUMBER(FIND("ALLERG",AK42)))+2048*(OR(ISNUMBER(FIND("REMARK",AK42)),ISNUMBER(FIND("COMMENT",AK42))))+4096*(OR(ISNUMBER(FIND("QTY",AK42)),ISNUMBER(FIND("QUANTITY",AK42))))+8192*(AND(OR(ISNUMBER(FIND("COMPLETE",AK42)),ISNUMBER(FIND("PCT",AK42)),ISNUMBER(FIND("PERCENT",AK42))),NOT(ISNUMBER(FIND("ACTUAL",AK42))),LEN(AK42)&lt;=16))+32768*(OR(ISNUMBER(FIND("DESIC",AK42)),ISNUMBER(FIND("DESSIC",AK42)))))</f>
        <v/>
      </c>
      <c r="AL177">
        <f>IF(AL42="",0,2*(OR(ISNUMBER(FIND("WORKCENTER",AL42)),AND(LEFT(AL42,4)="LINE",NOT(ISNUMBER(FIND("STATUS",AL42))))))+4*(OR(ISNUMBER(FIND("WORKORDER",AL42)),AND(LEFT(AL42,2)="WO",OR(ISNUMBER(FIND("NUM",AL42)),RIGHT(AL42,2)="NO"))))+8*(LEFT(AL42,3)="SEQ")+16*(AND(LEFT(AL42,4)="ITEM",NOT(ISNUMBER(FIND("DESC",AL42)))))+32*(AND(ISNUMBER(FIND("DESC",AL42)),NOT(ISNUMBER(FIND("CAP",AL42)))))+64*(OR(RIGHT(AL42,5)="COUNT",RIGHT(AL42,2)="CT"))+128*(ISNUMBER(FIND("BULK",AL42)))+256*(ISNUMBER(FIND("SIZE",AL42)))+512*(LEFT(AL42,3)="CAP")+1024*(ISNUMBER(FIND("ALLERG",AL42)))+2048*(OR(ISNUMBER(FIND("REMARK",AL42)),ISNUMBER(FIND("COMMENT",AL42))))+4096*(OR(ISNUMBER(FIND("QTY",AL42)),ISNUMBER(FIND("QUANTITY",AL42))))+8192*(AND(OR(ISNUMBER(FIND("COMPLETE",AL42)),ISNUMBER(FIND("PCT",AL42)),ISNUMBER(FIND("PERCENT",AL42))),NOT(ISNUMBER(FIND("ACTUAL",AL42))),LEN(AL42)&lt;=16))+32768*(OR(ISNUMBER(FIND("DESIC",AL42)),ISNUMBER(FIND("DESSIC",AL42)))))</f>
        <v/>
      </c>
      <c r="AM177">
        <f>IF(AM42="",0,2*(OR(ISNUMBER(FIND("WORKCENTER",AM42)),AND(LEFT(AM42,4)="LINE",NOT(ISNUMBER(FIND("STATUS",AM42))))))+4*(OR(ISNUMBER(FIND("WORKORDER",AM42)),AND(LEFT(AM42,2)="WO",OR(ISNUMBER(FIND("NUM",AM42)),RIGHT(AM42,2)="NO"))))+8*(LEFT(AM42,3)="SEQ")+16*(AND(LEFT(AM42,4)="ITEM",NOT(ISNUMBER(FIND("DESC",AM42)))))+32*(AND(ISNUMBER(FIND("DESC",AM42)),NOT(ISNUMBER(FIND("CAP",AM42)))))+64*(OR(RIGHT(AM42,5)="COUNT",RIGHT(AM42,2)="CT"))+128*(ISNUMBER(FIND("BULK",AM42)))+256*(ISNUMBER(FIND("SIZE",AM42)))+512*(LEFT(AM42,3)="CAP")+1024*(ISNUMBER(FIND("ALLERG",AM42)))+2048*(OR(ISNUMBER(FIND("REMARK",AM42)),ISNUMBER(FIND("COMMENT",AM42))))+4096*(OR(ISNUMBER(FIND("QTY",AM42)),ISNUMBER(FIND("QUANTITY",AM42))))+8192*(AND(OR(ISNUMBER(FIND("COMPLETE",AM42)),ISNUMBER(FIND("PCT",AM42)),ISNUMBER(FIND("PERCENT",AM42))),NOT(ISNUMBER(FIND("ACTUAL",AM42))),LEN(AM42)&lt;=16))+32768*(OR(ISNUMBER(FIND("DESIC",AM42)),ISNUMBER(FIND("DESSIC",AM42)))))</f>
        <v/>
      </c>
      <c r="AN177">
        <f>IF(AN42="",0,2*(OR(ISNUMBER(FIND("WORKCENTER",AN42)),AND(LEFT(AN42,4)="LINE",NOT(ISNUMBER(FIND("STATUS",AN42))))))+4*(OR(ISNUMBER(FIND("WORKORDER",AN42)),AND(LEFT(AN42,2)="WO",OR(ISNUMBER(FIND("NUM",AN42)),RIGHT(AN42,2)="NO"))))+8*(LEFT(AN42,3)="SEQ")+16*(AND(LEFT(AN42,4)="ITEM",NOT(ISNUMBER(FIND("DESC",AN42)))))+32*(AND(ISNUMBER(FIND("DESC",AN42)),NOT(ISNUMBER(FIND("CAP",AN42)))))+64*(OR(RIGHT(AN42,5)="COUNT",RIGHT(AN42,2)="CT"))+128*(ISNUMBER(FIND("BULK",AN42)))+256*(ISNUMBER(FIND("SIZE",AN42)))+512*(LEFT(AN42,3)="CAP")+1024*(ISNUMBER(FIND("ALLERG",AN42)))+2048*(OR(ISNUMBER(FIND("REMARK",AN42)),ISNUMBER(FIND("COMMENT",AN42))))+4096*(OR(ISNUMBER(FIND("QTY",AN42)),ISNUMBER(FIND("QUANTITY",AN42))))+8192*(AND(OR(ISNUMBER(FIND("COMPLETE",AN42)),ISNUMBER(FIND("PCT",AN42)),ISNUMBER(FIND("PERCENT",AN42))),NOT(ISNUMBER(FIND("ACTUAL",AN42))),LEN(AN42)&lt;=16))+32768*(OR(ISNUMBER(FIND("DESIC",AN42)),ISNUMBER(FIND("DESSIC",AN42)))))</f>
        <v/>
      </c>
      <c r="AO177">
        <f>IF(AO42="",0,2*(OR(ISNUMBER(FIND("WORKCENTER",AO42)),AND(LEFT(AO42,4)="LINE",NOT(ISNUMBER(FIND("STATUS",AO42))))))+4*(OR(ISNUMBER(FIND("WORKORDER",AO42)),AND(LEFT(AO42,2)="WO",OR(ISNUMBER(FIND("NUM",AO42)),RIGHT(AO42,2)="NO"))))+8*(LEFT(AO42,3)="SEQ")+16*(AND(LEFT(AO42,4)="ITEM",NOT(ISNUMBER(FIND("DESC",AO42)))))+32*(AND(ISNUMBER(FIND("DESC",AO42)),NOT(ISNUMBER(FIND("CAP",AO42)))))+64*(OR(RIGHT(AO42,5)="COUNT",RIGHT(AO42,2)="CT"))+128*(ISNUMBER(FIND("BULK",AO42)))+256*(ISNUMBER(FIND("SIZE",AO42)))+512*(LEFT(AO42,3)="CAP")+1024*(ISNUMBER(FIND("ALLERG",AO42)))+2048*(OR(ISNUMBER(FIND("REMARK",AO42)),ISNUMBER(FIND("COMMENT",AO42))))+4096*(OR(ISNUMBER(FIND("QTY",AO42)),ISNUMBER(FIND("QUANTITY",AO42))))+8192*(AND(OR(ISNUMBER(FIND("COMPLETE",AO42)),ISNUMBER(FIND("PCT",AO42)),ISNUMBER(FIND("PERCENT",AO42))),NOT(ISNUMBER(FIND("ACTUAL",AO42))),LEN(AO42)&lt;=16))+32768*(OR(ISNUMBER(FIND("DESIC",AO42)),ISNUMBER(FIND("DESSIC",AO42)))))</f>
        <v/>
      </c>
      <c r="AP177">
        <f>IF(AP42="",0,2*(OR(ISNUMBER(FIND("WORKCENTER",AP42)),AND(LEFT(AP42,4)="LINE",NOT(ISNUMBER(FIND("STATUS",AP42))))))+4*(OR(ISNUMBER(FIND("WORKORDER",AP42)),AND(LEFT(AP42,2)="WO",OR(ISNUMBER(FIND("NUM",AP42)),RIGHT(AP42,2)="NO"))))+8*(LEFT(AP42,3)="SEQ")+16*(AND(LEFT(AP42,4)="ITEM",NOT(ISNUMBER(FIND("DESC",AP42)))))+32*(AND(ISNUMBER(FIND("DESC",AP42)),NOT(ISNUMBER(FIND("CAP",AP42)))))+64*(OR(RIGHT(AP42,5)="COUNT",RIGHT(AP42,2)="CT"))+128*(ISNUMBER(FIND("BULK",AP42)))+256*(ISNUMBER(FIND("SIZE",AP42)))+512*(LEFT(AP42,3)="CAP")+1024*(ISNUMBER(FIND("ALLERG",AP42)))+2048*(OR(ISNUMBER(FIND("REMARK",AP42)),ISNUMBER(FIND("COMMENT",AP42))))+4096*(OR(ISNUMBER(FIND("QTY",AP42)),ISNUMBER(FIND("QUANTITY",AP42))))+8192*(AND(OR(ISNUMBER(FIND("COMPLETE",AP42)),ISNUMBER(FIND("PCT",AP42)),ISNUMBER(FIND("PERCENT",AP42))),NOT(ISNUMBER(FIND("ACTUAL",AP42))),LEN(AP42)&lt;=16))+32768*(OR(ISNUMBER(FIND("DESIC",AP42)),ISNUMBER(FIND("DESSIC",AP42)))))</f>
        <v/>
      </c>
      <c r="AQ177">
        <f>IF(AQ42="",0,2*(OR(ISNUMBER(FIND("WORKCENTER",AQ42)),AND(LEFT(AQ42,4)="LINE",NOT(ISNUMBER(FIND("STATUS",AQ42))))))+4*(OR(ISNUMBER(FIND("WORKORDER",AQ42)),AND(LEFT(AQ42,2)="WO",OR(ISNUMBER(FIND("NUM",AQ42)),RIGHT(AQ42,2)="NO"))))+8*(LEFT(AQ42,3)="SEQ")+16*(AND(LEFT(AQ42,4)="ITEM",NOT(ISNUMBER(FIND("DESC",AQ42)))))+32*(AND(ISNUMBER(FIND("DESC",AQ42)),NOT(ISNUMBER(FIND("CAP",AQ42)))))+64*(OR(RIGHT(AQ42,5)="COUNT",RIGHT(AQ42,2)="CT"))+128*(ISNUMBER(FIND("BULK",AQ42)))+256*(ISNUMBER(FIND("SIZE",AQ42)))+512*(LEFT(AQ42,3)="CAP")+1024*(ISNUMBER(FIND("ALLERG",AQ42)))+2048*(OR(ISNUMBER(FIND("REMARK",AQ42)),ISNUMBER(FIND("COMMENT",AQ42))))+4096*(OR(ISNUMBER(FIND("QTY",AQ42)),ISNUMBER(FIND("QUANTITY",AQ42))))+8192*(AND(OR(ISNUMBER(FIND("COMPLETE",AQ42)),ISNUMBER(FIND("PCT",AQ42)),ISNUMBER(FIND("PERCENT",AQ42))),NOT(ISNUMBER(FIND("ACTUAL",AQ42))),LEN(AQ42)&lt;=16))+32768*(OR(ISNUMBER(FIND("DESIC",AQ42)),ISNUMBER(FIND("DESSIC",AQ42)))))</f>
        <v/>
      </c>
      <c r="AR177">
        <f>IF(AR42="",0,2*(OR(ISNUMBER(FIND("WORKCENTER",AR42)),AND(LEFT(AR42,4)="LINE",NOT(ISNUMBER(FIND("STATUS",AR42))))))+4*(OR(ISNUMBER(FIND("WORKORDER",AR42)),AND(LEFT(AR42,2)="WO",OR(ISNUMBER(FIND("NUM",AR42)),RIGHT(AR42,2)="NO"))))+8*(LEFT(AR42,3)="SEQ")+16*(AND(LEFT(AR42,4)="ITEM",NOT(ISNUMBER(FIND("DESC",AR42)))))+32*(AND(ISNUMBER(FIND("DESC",AR42)),NOT(ISNUMBER(FIND("CAP",AR42)))))+64*(OR(RIGHT(AR42,5)="COUNT",RIGHT(AR42,2)="CT"))+128*(ISNUMBER(FIND("BULK",AR42)))+256*(ISNUMBER(FIND("SIZE",AR42)))+512*(LEFT(AR42,3)="CAP")+1024*(ISNUMBER(FIND("ALLERG",AR42)))+2048*(OR(ISNUMBER(FIND("REMARK",AR42)),ISNUMBER(FIND("COMMENT",AR42))))+4096*(OR(ISNUMBER(FIND("QTY",AR42)),ISNUMBER(FIND("QUANTITY",AR42))))+8192*(AND(OR(ISNUMBER(FIND("COMPLETE",AR42)),ISNUMBER(FIND("PCT",AR42)),ISNUMBER(FIND("PERCENT",AR42))),NOT(ISNUMBER(FIND("ACTUAL",AR42))),LEN(AR42)&lt;=16))+32768*(OR(ISNUMBER(FIND("DESIC",AR42)),ISNUMBER(FIND("DESSIC",AR42)))))</f>
        <v/>
      </c>
      <c r="AS177">
        <f>IF(AS42="",0,2*(OR(ISNUMBER(FIND("WORKCENTER",AS42)),AND(LEFT(AS42,4)="LINE",NOT(ISNUMBER(FIND("STATUS",AS42))))))+4*(OR(ISNUMBER(FIND("WORKORDER",AS42)),AND(LEFT(AS42,2)="WO",OR(ISNUMBER(FIND("NUM",AS42)),RIGHT(AS42,2)="NO"))))+8*(LEFT(AS42,3)="SEQ")+16*(AND(LEFT(AS42,4)="ITEM",NOT(ISNUMBER(FIND("DESC",AS42)))))+32*(AND(ISNUMBER(FIND("DESC",AS42)),NOT(ISNUMBER(FIND("CAP",AS42)))))+64*(OR(RIGHT(AS42,5)="COUNT",RIGHT(AS42,2)="CT"))+128*(ISNUMBER(FIND("BULK",AS42)))+256*(ISNUMBER(FIND("SIZE",AS42)))+512*(LEFT(AS42,3)="CAP")+1024*(ISNUMBER(FIND("ALLERG",AS42)))+2048*(OR(ISNUMBER(FIND("REMARK",AS42)),ISNUMBER(FIND("COMMENT",AS42))))+4096*(OR(ISNUMBER(FIND("QTY",AS42)),ISNUMBER(FIND("QUANTITY",AS42))))+8192*(AND(OR(ISNUMBER(FIND("COMPLETE",AS42)),ISNUMBER(FIND("PCT",AS42)),ISNUMBER(FIND("PERCENT",AS42))),NOT(ISNUMBER(FIND("ACTUAL",AS42))),LEN(AS42)&lt;=16))+32768*(OR(ISNUMBER(FIND("DESIC",AS42)),ISNUMBER(FIND("DESSIC",AS42)))))</f>
        <v/>
      </c>
      <c r="AT177">
        <f>IF(AT42="",0,2*(OR(ISNUMBER(FIND("WORKCENTER",AT42)),AND(LEFT(AT42,4)="LINE",NOT(ISNUMBER(FIND("STATUS",AT42))))))+4*(OR(ISNUMBER(FIND("WORKORDER",AT42)),AND(LEFT(AT42,2)="WO",OR(ISNUMBER(FIND("NUM",AT42)),RIGHT(AT42,2)="NO"))))+8*(LEFT(AT42,3)="SEQ")+16*(AND(LEFT(AT42,4)="ITEM",NOT(ISNUMBER(FIND("DESC",AT42)))))+32*(AND(ISNUMBER(FIND("DESC",AT42)),NOT(ISNUMBER(FIND("CAP",AT42)))))+64*(OR(RIGHT(AT42,5)="COUNT",RIGHT(AT42,2)="CT"))+128*(ISNUMBER(FIND("BULK",AT42)))+256*(ISNUMBER(FIND("SIZE",AT42)))+512*(LEFT(AT42,3)="CAP")+1024*(ISNUMBER(FIND("ALLERG",AT42)))+2048*(OR(ISNUMBER(FIND("REMARK",AT42)),ISNUMBER(FIND("COMMENT",AT42))))+4096*(OR(ISNUMBER(FIND("QTY",AT42)),ISNUMBER(FIND("QUANTITY",AT42))))+8192*(AND(OR(ISNUMBER(FIND("COMPLETE",AT42)),ISNUMBER(FIND("PCT",AT42)),ISNUMBER(FIND("PERCENT",AT42))),NOT(ISNUMBER(FIND("ACTUAL",AT42))),LEN(AT42)&lt;=16))+32768*(OR(ISNUMBER(FIND("DESIC",AT42)),ISNUMBER(FIND("DESSIC",AT42)))))</f>
        <v/>
      </c>
      <c r="AU177">
        <f>IF(AU42="",0,2*(OR(ISNUMBER(FIND("WORKCENTER",AU42)),AND(LEFT(AU42,4)="LINE",NOT(ISNUMBER(FIND("STATUS",AU42))))))+4*(OR(ISNUMBER(FIND("WORKORDER",AU42)),AND(LEFT(AU42,2)="WO",OR(ISNUMBER(FIND("NUM",AU42)),RIGHT(AU42,2)="NO"))))+8*(LEFT(AU42,3)="SEQ")+16*(AND(LEFT(AU42,4)="ITEM",NOT(ISNUMBER(FIND("DESC",AU42)))))+32*(AND(ISNUMBER(FIND("DESC",AU42)),NOT(ISNUMBER(FIND("CAP",AU42)))))+64*(OR(RIGHT(AU42,5)="COUNT",RIGHT(AU42,2)="CT"))+128*(ISNUMBER(FIND("BULK",AU42)))+256*(ISNUMBER(FIND("SIZE",AU42)))+512*(LEFT(AU42,3)="CAP")+1024*(ISNUMBER(FIND("ALLERG",AU42)))+2048*(OR(ISNUMBER(FIND("REMARK",AU42)),ISNUMBER(FIND("COMMENT",AU42))))+4096*(OR(ISNUMBER(FIND("QTY",AU42)),ISNUMBER(FIND("QUANTITY",AU42))))+8192*(AND(OR(ISNUMBER(FIND("COMPLETE",AU42)),ISNUMBER(FIND("PCT",AU42)),ISNUMBER(FIND("PERCENT",AU42))),NOT(ISNUMBER(FIND("ACTUAL",AU42))),LEN(AU42)&lt;=16))+32768*(OR(ISNUMBER(FIND("DESIC",AU42)),ISNUMBER(FIND("DESSIC",AU42)))))</f>
        <v/>
      </c>
      <c r="AV177">
        <f>IF(AV42="",0,2*(OR(ISNUMBER(FIND("WORKCENTER",AV42)),AND(LEFT(AV42,4)="LINE",NOT(ISNUMBER(FIND("STATUS",AV42))))))+4*(OR(ISNUMBER(FIND("WORKORDER",AV42)),AND(LEFT(AV42,2)="WO",OR(ISNUMBER(FIND("NUM",AV42)),RIGHT(AV42,2)="NO"))))+8*(LEFT(AV42,3)="SEQ")+16*(AND(LEFT(AV42,4)="ITEM",NOT(ISNUMBER(FIND("DESC",AV42)))))+32*(AND(ISNUMBER(FIND("DESC",AV42)),NOT(ISNUMBER(FIND("CAP",AV42)))))+64*(OR(RIGHT(AV42,5)="COUNT",RIGHT(AV42,2)="CT"))+128*(ISNUMBER(FIND("BULK",AV42)))+256*(ISNUMBER(FIND("SIZE",AV42)))+512*(LEFT(AV42,3)="CAP")+1024*(ISNUMBER(FIND("ALLERG",AV42)))+2048*(OR(ISNUMBER(FIND("REMARK",AV42)),ISNUMBER(FIND("COMMENT",AV42))))+4096*(OR(ISNUMBER(FIND("QTY",AV42)),ISNUMBER(FIND("QUANTITY",AV42))))+8192*(AND(OR(ISNUMBER(FIND("COMPLETE",AV42)),ISNUMBER(FIND("PCT",AV42)),ISNUMBER(FIND("PERCENT",AV42))),NOT(ISNUMBER(FIND("ACTUAL",AV42))),LEN(AV42)&lt;=16))+32768*(OR(ISNUMBER(FIND("DESIC",AV42)),ISNUMBER(FIND("DESSIC",AV42)))))</f>
        <v/>
      </c>
      <c r="AW177">
        <f>IF(AW42="",0,2*(OR(ISNUMBER(FIND("WORKCENTER",AW42)),AND(LEFT(AW42,4)="LINE",NOT(ISNUMBER(FIND("STATUS",AW42))))))+4*(OR(ISNUMBER(FIND("WORKORDER",AW42)),AND(LEFT(AW42,2)="WO",OR(ISNUMBER(FIND("NUM",AW42)),RIGHT(AW42,2)="NO"))))+8*(LEFT(AW42,3)="SEQ")+16*(AND(LEFT(AW42,4)="ITEM",NOT(ISNUMBER(FIND("DESC",AW42)))))+32*(AND(ISNUMBER(FIND("DESC",AW42)),NOT(ISNUMBER(FIND("CAP",AW42)))))+64*(OR(RIGHT(AW42,5)="COUNT",RIGHT(AW42,2)="CT"))+128*(ISNUMBER(FIND("BULK",AW42)))+256*(ISNUMBER(FIND("SIZE",AW42)))+512*(LEFT(AW42,3)="CAP")+1024*(ISNUMBER(FIND("ALLERG",AW42)))+2048*(OR(ISNUMBER(FIND("REMARK",AW42)),ISNUMBER(FIND("COMMENT",AW42))))+4096*(OR(ISNUMBER(FIND("QTY",AW42)),ISNUMBER(FIND("QUANTITY",AW42))))+8192*(AND(OR(ISNUMBER(FIND("COMPLETE",AW42)),ISNUMBER(FIND("PCT",AW42)),ISNUMBER(FIND("PERCENT",AW42))),NOT(ISNUMBER(FIND("ACTUAL",AW42))),LEN(AW42)&lt;=16))+32768*(OR(ISNUMBER(FIND("DESIC",AW42)),ISNUMBER(FIND("DESSIC",AW42)))))</f>
        <v/>
      </c>
      <c r="AX177">
        <f>IF(AX42="",0,2*(OR(ISNUMBER(FIND("WORKCENTER",AX42)),AND(LEFT(AX42,4)="LINE",NOT(ISNUMBER(FIND("STATUS",AX42))))))+4*(OR(ISNUMBER(FIND("WORKORDER",AX42)),AND(LEFT(AX42,2)="WO",OR(ISNUMBER(FIND("NUM",AX42)),RIGHT(AX42,2)="NO"))))+8*(LEFT(AX42,3)="SEQ")+16*(AND(LEFT(AX42,4)="ITEM",NOT(ISNUMBER(FIND("DESC",AX42)))))+32*(AND(ISNUMBER(FIND("DESC",AX42)),NOT(ISNUMBER(FIND("CAP",AX42)))))+64*(OR(RIGHT(AX42,5)="COUNT",RIGHT(AX42,2)="CT"))+128*(ISNUMBER(FIND("BULK",AX42)))+256*(ISNUMBER(FIND("SIZE",AX42)))+512*(LEFT(AX42,3)="CAP")+1024*(ISNUMBER(FIND("ALLERG",AX42)))+2048*(OR(ISNUMBER(FIND("REMARK",AX42)),ISNUMBER(FIND("COMMENT",AX42))))+4096*(OR(ISNUMBER(FIND("QTY",AX42)),ISNUMBER(FIND("QUANTITY",AX42))))+8192*(AND(OR(ISNUMBER(FIND("COMPLETE",AX42)),ISNUMBER(FIND("PCT",AX42)),ISNUMBER(FIND("PERCENT",AX42))),NOT(ISNUMBER(FIND("ACTUAL",AX42))),LEN(AX42)&lt;=16))+32768*(OR(ISNUMBER(FIND("DESIC",AX42)),ISNUMBER(FIND("DESSIC",AX42)))))</f>
        <v/>
      </c>
      <c r="AY177">
        <f>IF(AY42="",0,2*(OR(ISNUMBER(FIND("WORKCENTER",AY42)),AND(LEFT(AY42,4)="LINE",NOT(ISNUMBER(FIND("STATUS",AY42))))))+4*(OR(ISNUMBER(FIND("WORKORDER",AY42)),AND(LEFT(AY42,2)="WO",OR(ISNUMBER(FIND("NUM",AY42)),RIGHT(AY42,2)="NO"))))+8*(LEFT(AY42,3)="SEQ")+16*(AND(LEFT(AY42,4)="ITEM",NOT(ISNUMBER(FIND("DESC",AY42)))))+32*(AND(ISNUMBER(FIND("DESC",AY42)),NOT(ISNUMBER(FIND("CAP",AY42)))))+64*(OR(RIGHT(AY42,5)="COUNT",RIGHT(AY42,2)="CT"))+128*(ISNUMBER(FIND("BULK",AY42)))+256*(ISNUMBER(FIND("SIZE",AY42)))+512*(LEFT(AY42,3)="CAP")+1024*(ISNUMBER(FIND("ALLERG",AY42)))+2048*(OR(ISNUMBER(FIND("REMARK",AY42)),ISNUMBER(FIND("COMMENT",AY42))))+4096*(OR(ISNUMBER(FIND("QTY",AY42)),ISNUMBER(FIND("QUANTITY",AY42))))+8192*(AND(OR(ISNUMBER(FIND("COMPLETE",AY42)),ISNUMBER(FIND("PCT",AY42)),ISNUMBER(FIND("PERCENT",AY42))),NOT(ISNUMBER(FIND("ACTUAL",AY42))),LEN(AY42)&lt;=16))+32768*(OR(ISNUMBER(FIND("DESIC",AY42)),ISNUMBER(FIND("DESSIC",AY42)))))</f>
        <v/>
      </c>
      <c r="AZ177">
        <f>IF(AZ42="",0,2*(OR(ISNUMBER(FIND("WORKCENTER",AZ42)),AND(LEFT(AZ42,4)="LINE",NOT(ISNUMBER(FIND("STATUS",AZ42))))))+4*(OR(ISNUMBER(FIND("WORKORDER",AZ42)),AND(LEFT(AZ42,2)="WO",OR(ISNUMBER(FIND("NUM",AZ42)),RIGHT(AZ42,2)="NO"))))+8*(LEFT(AZ42,3)="SEQ")+16*(AND(LEFT(AZ42,4)="ITEM",NOT(ISNUMBER(FIND("DESC",AZ42)))))+32*(AND(ISNUMBER(FIND("DESC",AZ42)),NOT(ISNUMBER(FIND("CAP",AZ42)))))+64*(OR(RIGHT(AZ42,5)="COUNT",RIGHT(AZ42,2)="CT"))+128*(ISNUMBER(FIND("BULK",AZ42)))+256*(ISNUMBER(FIND("SIZE",AZ42)))+512*(LEFT(AZ42,3)="CAP")+1024*(ISNUMBER(FIND("ALLERG",AZ42)))+2048*(OR(ISNUMBER(FIND("REMARK",AZ42)),ISNUMBER(FIND("COMMENT",AZ42))))+4096*(OR(ISNUMBER(FIND("QTY",AZ42)),ISNUMBER(FIND("QUANTITY",AZ42))))+8192*(AND(OR(ISNUMBER(FIND("COMPLETE",AZ42)),ISNUMBER(FIND("PCT",AZ42)),ISNUMBER(FIND("PERCENT",AZ42))),NOT(ISNUMBER(FIND("ACTUAL",AZ42))),LEN(AZ42)&lt;=16))+32768*(OR(ISNUMBER(FIND("DESIC",AZ42)),ISNUMBER(FIND("DESSIC",AZ42)))))</f>
        <v/>
      </c>
      <c r="BA177">
        <f>IF(BA42="",0,2*(OR(ISNUMBER(FIND("WORKCENTER",BA42)),AND(LEFT(BA42,4)="LINE",NOT(ISNUMBER(FIND("STATUS",BA42))))))+4*(OR(ISNUMBER(FIND("WORKORDER",BA42)),AND(LEFT(BA42,2)="WO",OR(ISNUMBER(FIND("NUM",BA42)),RIGHT(BA42,2)="NO"))))+8*(LEFT(BA42,3)="SEQ")+16*(AND(LEFT(BA42,4)="ITEM",NOT(ISNUMBER(FIND("DESC",BA42)))))+32*(AND(ISNUMBER(FIND("DESC",BA42)),NOT(ISNUMBER(FIND("CAP",BA42)))))+64*(OR(RIGHT(BA42,5)="COUNT",RIGHT(BA42,2)="CT"))+128*(ISNUMBER(FIND("BULK",BA42)))+256*(ISNUMBER(FIND("SIZE",BA42)))+512*(LEFT(BA42,3)="CAP")+1024*(ISNUMBER(FIND("ALLERG",BA42)))+2048*(OR(ISNUMBER(FIND("REMARK",BA42)),ISNUMBER(FIND("COMMENT",BA42))))+4096*(OR(ISNUMBER(FIND("QTY",BA42)),ISNUMBER(FIND("QUANTITY",BA42))))+8192*(AND(OR(ISNUMBER(FIND("COMPLETE",BA42)),ISNUMBER(FIND("PCT",BA42)),ISNUMBER(FIND("PERCENT",BA42))),NOT(ISNUMBER(FIND("ACTUAL",BA42))),LEN(BA42)&lt;=16))+32768*(OR(ISNUMBER(FIND("DESIC",BA42)),ISNUMBER(FIND("DESSIC",BA42)))))</f>
        <v/>
      </c>
      <c r="BB177">
        <f>IF(BB42="",0,2*(OR(ISNUMBER(FIND("WORKCENTER",BB42)),AND(LEFT(BB42,4)="LINE",NOT(ISNUMBER(FIND("STATUS",BB42))))))+4*(OR(ISNUMBER(FIND("WORKORDER",BB42)),AND(LEFT(BB42,2)="WO",OR(ISNUMBER(FIND("NUM",BB42)),RIGHT(BB42,2)="NO"))))+8*(LEFT(BB42,3)="SEQ")+16*(AND(LEFT(BB42,4)="ITEM",NOT(ISNUMBER(FIND("DESC",BB42)))))+32*(AND(ISNUMBER(FIND("DESC",BB42)),NOT(ISNUMBER(FIND("CAP",BB42)))))+64*(OR(RIGHT(BB42,5)="COUNT",RIGHT(BB42,2)="CT"))+128*(ISNUMBER(FIND("BULK",BB42)))+256*(ISNUMBER(FIND("SIZE",BB42)))+512*(LEFT(BB42,3)="CAP")+1024*(ISNUMBER(FIND("ALLERG",BB42)))+2048*(OR(ISNUMBER(FIND("REMARK",BB42)),ISNUMBER(FIND("COMMENT",BB42))))+4096*(OR(ISNUMBER(FIND("QTY",BB42)),ISNUMBER(FIND("QUANTITY",BB42))))+8192*(AND(OR(ISNUMBER(FIND("COMPLETE",BB42)),ISNUMBER(FIND("PCT",BB42)),ISNUMBER(FIND("PERCENT",BB42))),NOT(ISNUMBER(FIND("ACTUAL",BB42))),LEN(BB42)&lt;=16))+32768*(OR(ISNUMBER(FIND("DESIC",BB42)),ISNUMBER(FIND("DESSIC",BB42)))))</f>
        <v/>
      </c>
      <c r="BC177">
        <f>IF(BC42="",0,2*(OR(ISNUMBER(FIND("WORKCENTER",BC42)),AND(LEFT(BC42,4)="LINE",NOT(ISNUMBER(FIND("STATUS",BC42))))))+4*(OR(ISNUMBER(FIND("WORKORDER",BC42)),AND(LEFT(BC42,2)="WO",OR(ISNUMBER(FIND("NUM",BC42)),RIGHT(BC42,2)="NO"))))+8*(LEFT(BC42,3)="SEQ")+16*(AND(LEFT(BC42,4)="ITEM",NOT(ISNUMBER(FIND("DESC",BC42)))))+32*(AND(ISNUMBER(FIND("DESC",BC42)),NOT(ISNUMBER(FIND("CAP",BC42)))))+64*(OR(RIGHT(BC42,5)="COUNT",RIGHT(BC42,2)="CT"))+128*(ISNUMBER(FIND("BULK",BC42)))+256*(ISNUMBER(FIND("SIZE",BC42)))+512*(LEFT(BC42,3)="CAP")+1024*(ISNUMBER(FIND("ALLERG",BC42)))+2048*(OR(ISNUMBER(FIND("REMARK",BC42)),ISNUMBER(FIND("COMMENT",BC42))))+4096*(OR(ISNUMBER(FIND("QTY",BC42)),ISNUMBER(FIND("QUANTITY",BC42))))+8192*(AND(OR(ISNUMBER(FIND("COMPLETE",BC42)),ISNUMBER(FIND("PCT",BC42)),ISNUMBER(FIND("PERCENT",BC42))),NOT(ISNUMBER(FIND("ACTUAL",BC42))),LEN(BC42)&lt;=16))+32768*(OR(ISNUMBER(FIND("DESIC",BC42)),ISNUMBER(FIND("DESSIC",BC42)))))</f>
        <v/>
      </c>
      <c r="BD177">
        <f>IF(BD42="",0,2*(OR(ISNUMBER(FIND("WORKCENTER",BD42)),AND(LEFT(BD42,4)="LINE",NOT(ISNUMBER(FIND("STATUS",BD42))))))+4*(OR(ISNUMBER(FIND("WORKORDER",BD42)),AND(LEFT(BD42,2)="WO",OR(ISNUMBER(FIND("NUM",BD42)),RIGHT(BD42,2)="NO"))))+8*(LEFT(BD42,3)="SEQ")+16*(AND(LEFT(BD42,4)="ITEM",NOT(ISNUMBER(FIND("DESC",BD42)))))+32*(AND(ISNUMBER(FIND("DESC",BD42)),NOT(ISNUMBER(FIND("CAP",BD42)))))+64*(OR(RIGHT(BD42,5)="COUNT",RIGHT(BD42,2)="CT"))+128*(ISNUMBER(FIND("BULK",BD42)))+256*(ISNUMBER(FIND("SIZE",BD42)))+512*(LEFT(BD42,3)="CAP")+1024*(ISNUMBER(FIND("ALLERG",BD42)))+2048*(OR(ISNUMBER(FIND("REMARK",BD42)),ISNUMBER(FIND("COMMENT",BD42))))+4096*(OR(ISNUMBER(FIND("QTY",BD42)),ISNUMBER(FIND("QUANTITY",BD42))))+8192*(AND(OR(ISNUMBER(FIND("COMPLETE",BD42)),ISNUMBER(FIND("PCT",BD42)),ISNUMBER(FIND("PERCENT",BD42))),NOT(ISNUMBER(FIND("ACTUAL",BD42))),LEN(BD42)&lt;=16))+32768*(OR(ISNUMBER(FIND("DESIC",BD42)),ISNUMBER(FIND("DESSIC",BD42)))))</f>
        <v/>
      </c>
      <c r="BE177">
        <f>IF(BE42="",0,2*(OR(ISNUMBER(FIND("WORKCENTER",BE42)),AND(LEFT(BE42,4)="LINE",NOT(ISNUMBER(FIND("STATUS",BE42))))))+4*(OR(ISNUMBER(FIND("WORKORDER",BE42)),AND(LEFT(BE42,2)="WO",OR(ISNUMBER(FIND("NUM",BE42)),RIGHT(BE42,2)="NO"))))+8*(LEFT(BE42,3)="SEQ")+16*(AND(LEFT(BE42,4)="ITEM",NOT(ISNUMBER(FIND("DESC",BE42)))))+32*(AND(ISNUMBER(FIND("DESC",BE42)),NOT(ISNUMBER(FIND("CAP",BE42)))))+64*(OR(RIGHT(BE42,5)="COUNT",RIGHT(BE42,2)="CT"))+128*(ISNUMBER(FIND("BULK",BE42)))+256*(ISNUMBER(FIND("SIZE",BE42)))+512*(LEFT(BE42,3)="CAP")+1024*(ISNUMBER(FIND("ALLERG",BE42)))+2048*(OR(ISNUMBER(FIND("REMARK",BE42)),ISNUMBER(FIND("COMMENT",BE42))))+4096*(OR(ISNUMBER(FIND("QTY",BE42)),ISNUMBER(FIND("QUANTITY",BE42))))+8192*(AND(OR(ISNUMBER(FIND("COMPLETE",BE42)),ISNUMBER(FIND("PCT",BE42)),ISNUMBER(FIND("PERCENT",BE42))),NOT(ISNUMBER(FIND("ACTUAL",BE42))),LEN(BE42)&lt;=16))+32768*(OR(ISNUMBER(FIND("DESIC",BE42)),ISNUMBER(FIND("DESSIC",BE42)))))</f>
        <v/>
      </c>
      <c r="BF177">
        <f>IF(BF42="",0,2*(OR(ISNUMBER(FIND("WORKCENTER",BF42)),AND(LEFT(BF42,4)="LINE",NOT(ISNUMBER(FIND("STATUS",BF42))))))+4*(OR(ISNUMBER(FIND("WORKORDER",BF42)),AND(LEFT(BF42,2)="WO",OR(ISNUMBER(FIND("NUM",BF42)),RIGHT(BF42,2)="NO"))))+8*(LEFT(BF42,3)="SEQ")+16*(AND(LEFT(BF42,4)="ITEM",NOT(ISNUMBER(FIND("DESC",BF42)))))+32*(AND(ISNUMBER(FIND("DESC",BF42)),NOT(ISNUMBER(FIND("CAP",BF42)))))+64*(OR(RIGHT(BF42,5)="COUNT",RIGHT(BF42,2)="CT"))+128*(ISNUMBER(FIND("BULK",BF42)))+256*(ISNUMBER(FIND("SIZE",BF42)))+512*(LEFT(BF42,3)="CAP")+1024*(ISNUMBER(FIND("ALLERG",BF42)))+2048*(OR(ISNUMBER(FIND("REMARK",BF42)),ISNUMBER(FIND("COMMENT",BF42))))+4096*(OR(ISNUMBER(FIND("QTY",BF42)),ISNUMBER(FIND("QUANTITY",BF42))))+8192*(AND(OR(ISNUMBER(FIND("COMPLETE",BF42)),ISNUMBER(FIND("PCT",BF42)),ISNUMBER(FIND("PERCENT",BF42))),NOT(ISNUMBER(FIND("ACTUAL",BF42))),LEN(BF42)&lt;=16))+32768*(OR(ISNUMBER(FIND("DESIC",BF42)),ISNUMBER(FIND("DESSIC",BF42)))))</f>
        <v/>
      </c>
      <c r="BG177">
        <f>IF(BG42="",0,2*(OR(ISNUMBER(FIND("WORKCENTER",BG42)),AND(LEFT(BG42,4)="LINE",NOT(ISNUMBER(FIND("STATUS",BG42))))))+4*(OR(ISNUMBER(FIND("WORKORDER",BG42)),AND(LEFT(BG42,2)="WO",OR(ISNUMBER(FIND("NUM",BG42)),RIGHT(BG42,2)="NO"))))+8*(LEFT(BG42,3)="SEQ")+16*(AND(LEFT(BG42,4)="ITEM",NOT(ISNUMBER(FIND("DESC",BG42)))))+32*(AND(ISNUMBER(FIND("DESC",BG42)),NOT(ISNUMBER(FIND("CAP",BG42)))))+64*(OR(RIGHT(BG42,5)="COUNT",RIGHT(BG42,2)="CT"))+128*(ISNUMBER(FIND("BULK",BG42)))+256*(ISNUMBER(FIND("SIZE",BG42)))+512*(LEFT(BG42,3)="CAP")+1024*(ISNUMBER(FIND("ALLERG",BG42)))+2048*(OR(ISNUMBER(FIND("REMARK",BG42)),ISNUMBER(FIND("COMMENT",BG42))))+4096*(OR(ISNUMBER(FIND("QTY",BG42)),ISNUMBER(FIND("QUANTITY",BG42))))+8192*(AND(OR(ISNUMBER(FIND("COMPLETE",BG42)),ISNUMBER(FIND("PCT",BG42)),ISNUMBER(FIND("PERCENT",BG42))),NOT(ISNUMBER(FIND("ACTUAL",BG42))),LEN(BG42)&lt;=16))+32768*(OR(ISNUMBER(FIND("DESIC",BG42)),ISNUMBER(FIND("DESSIC",BG42)))))</f>
        <v/>
      </c>
      <c r="BH177">
        <f>IF(BH42="",0,2*(OR(ISNUMBER(FIND("WORKCENTER",BH42)),AND(LEFT(BH42,4)="LINE",NOT(ISNUMBER(FIND("STATUS",BH42))))))+4*(OR(ISNUMBER(FIND("WORKORDER",BH42)),AND(LEFT(BH42,2)="WO",OR(ISNUMBER(FIND("NUM",BH42)),RIGHT(BH42,2)="NO"))))+8*(LEFT(BH42,3)="SEQ")+16*(AND(LEFT(BH42,4)="ITEM",NOT(ISNUMBER(FIND("DESC",BH42)))))+32*(AND(ISNUMBER(FIND("DESC",BH42)),NOT(ISNUMBER(FIND("CAP",BH42)))))+64*(OR(RIGHT(BH42,5)="COUNT",RIGHT(BH42,2)="CT"))+128*(ISNUMBER(FIND("BULK",BH42)))+256*(ISNUMBER(FIND("SIZE",BH42)))+512*(LEFT(BH42,3)="CAP")+1024*(ISNUMBER(FIND("ALLERG",BH42)))+2048*(OR(ISNUMBER(FIND("REMARK",BH42)),ISNUMBER(FIND("COMMENT",BH42))))+4096*(OR(ISNUMBER(FIND("QTY",BH42)),ISNUMBER(FIND("QUANTITY",BH42))))+8192*(AND(OR(ISNUMBER(FIND("COMPLETE",BH42)),ISNUMBER(FIND("PCT",BH42)),ISNUMBER(FIND("PERCENT",BH42))),NOT(ISNUMBER(FIND("ACTUAL",BH42))),LEN(BH42)&lt;=16))+32768*(OR(ISNUMBER(FIND("DESIC",BH42)),ISNUMBER(FIND("DESSIC",BH42)))))</f>
        <v/>
      </c>
      <c r="BI177">
        <f>IF(BI42="",0,2*(OR(ISNUMBER(FIND("WORKCENTER",BI42)),AND(LEFT(BI42,4)="LINE",NOT(ISNUMBER(FIND("STATUS",BI42))))))+4*(OR(ISNUMBER(FIND("WORKORDER",BI42)),AND(LEFT(BI42,2)="WO",OR(ISNUMBER(FIND("NUM",BI42)),RIGHT(BI42,2)="NO"))))+8*(LEFT(BI42,3)="SEQ")+16*(AND(LEFT(BI42,4)="ITEM",NOT(ISNUMBER(FIND("DESC",BI42)))))+32*(AND(ISNUMBER(FIND("DESC",BI42)),NOT(ISNUMBER(FIND("CAP",BI42)))))+64*(OR(RIGHT(BI42,5)="COUNT",RIGHT(BI42,2)="CT"))+128*(ISNUMBER(FIND("BULK",BI42)))+256*(ISNUMBER(FIND("SIZE",BI42)))+512*(LEFT(BI42,3)="CAP")+1024*(ISNUMBER(FIND("ALLERG",BI42)))+2048*(OR(ISNUMBER(FIND("REMARK",BI42)),ISNUMBER(FIND("COMMENT",BI42))))+4096*(OR(ISNUMBER(FIND("QTY",BI42)),ISNUMBER(FIND("QUANTITY",BI42))))+8192*(AND(OR(ISNUMBER(FIND("COMPLETE",BI42)),ISNUMBER(FIND("PCT",BI42)),ISNUMBER(FIND("PERCENT",BI42))),NOT(ISNUMBER(FIND("ACTUAL",BI42))),LEN(BI42)&lt;=16))+32768*(OR(ISNUMBER(FIND("DESIC",BI42)),ISNUMBER(FIND("DESSIC",BI42)))))</f>
        <v/>
      </c>
      <c r="BJ177">
        <f>IF(BJ42="",0,2*(OR(ISNUMBER(FIND("WORKCENTER",BJ42)),AND(LEFT(BJ42,4)="LINE",NOT(ISNUMBER(FIND("STATUS",BJ42))))))+4*(OR(ISNUMBER(FIND("WORKORDER",BJ42)),AND(LEFT(BJ42,2)="WO",OR(ISNUMBER(FIND("NUM",BJ42)),RIGHT(BJ42,2)="NO"))))+8*(LEFT(BJ42,3)="SEQ")+16*(AND(LEFT(BJ42,4)="ITEM",NOT(ISNUMBER(FIND("DESC",BJ42)))))+32*(AND(ISNUMBER(FIND("DESC",BJ42)),NOT(ISNUMBER(FIND("CAP",BJ42)))))+64*(OR(RIGHT(BJ42,5)="COUNT",RIGHT(BJ42,2)="CT"))+128*(ISNUMBER(FIND("BULK",BJ42)))+256*(ISNUMBER(FIND("SIZE",BJ42)))+512*(LEFT(BJ42,3)="CAP")+1024*(ISNUMBER(FIND("ALLERG",BJ42)))+2048*(OR(ISNUMBER(FIND("REMARK",BJ42)),ISNUMBER(FIND("COMMENT",BJ42))))+4096*(OR(ISNUMBER(FIND("QTY",BJ42)),ISNUMBER(FIND("QUANTITY",BJ42))))+8192*(AND(OR(ISNUMBER(FIND("COMPLETE",BJ42)),ISNUMBER(FIND("PCT",BJ42)),ISNUMBER(FIND("PERCENT",BJ42))),NOT(ISNUMBER(FIND("ACTUAL",BJ42))),LEN(BJ42)&lt;=16))+32768*(OR(ISNUMBER(FIND("DESIC",BJ42)),ISNUMBER(FIND("DESSIC",BJ42)))))</f>
        <v/>
      </c>
      <c r="BK177">
        <f>IF(BK42="",0,2*(OR(ISNUMBER(FIND("WORKCENTER",BK42)),AND(LEFT(BK42,4)="LINE",NOT(ISNUMBER(FIND("STATUS",BK42))))))+4*(OR(ISNUMBER(FIND("WORKORDER",BK42)),AND(LEFT(BK42,2)="WO",OR(ISNUMBER(FIND("NUM",BK42)),RIGHT(BK42,2)="NO"))))+8*(LEFT(BK42,3)="SEQ")+16*(AND(LEFT(BK42,4)="ITEM",NOT(ISNUMBER(FIND("DESC",BK42)))))+32*(AND(ISNUMBER(FIND("DESC",BK42)),NOT(ISNUMBER(FIND("CAP",BK42)))))+64*(OR(RIGHT(BK42,5)="COUNT",RIGHT(BK42,2)="CT"))+128*(ISNUMBER(FIND("BULK",BK42)))+256*(ISNUMBER(FIND("SIZE",BK42)))+512*(LEFT(BK42,3)="CAP")+1024*(ISNUMBER(FIND("ALLERG",BK42)))+2048*(OR(ISNUMBER(FIND("REMARK",BK42)),ISNUMBER(FIND("COMMENT",BK42))))+4096*(OR(ISNUMBER(FIND("QTY",BK42)),ISNUMBER(FIND("QUANTITY",BK42))))+8192*(AND(OR(ISNUMBER(FIND("COMPLETE",BK42)),ISNUMBER(FIND("PCT",BK42)),ISNUMBER(FIND("PERCENT",BK42))),NOT(ISNUMBER(FIND("ACTUAL",BK42))),LEN(BK42)&lt;=16))+32768*(OR(ISNUMBER(FIND("DESIC",BK42)),ISNUMBER(FIND("DESSIC",BK42)))))</f>
        <v/>
      </c>
      <c r="BL177">
        <f>IF(BL42="",0,2*(OR(ISNUMBER(FIND("WORKCENTER",BL42)),AND(LEFT(BL42,4)="LINE",NOT(ISNUMBER(FIND("STATUS",BL42))))))+4*(OR(ISNUMBER(FIND("WORKORDER",BL42)),AND(LEFT(BL42,2)="WO",OR(ISNUMBER(FIND("NUM",BL42)),RIGHT(BL42,2)="NO"))))+8*(LEFT(BL42,3)="SEQ")+16*(AND(LEFT(BL42,4)="ITEM",NOT(ISNUMBER(FIND("DESC",BL42)))))+32*(AND(ISNUMBER(FIND("DESC",BL42)),NOT(ISNUMBER(FIND("CAP",BL42)))))+64*(OR(RIGHT(BL42,5)="COUNT",RIGHT(BL42,2)="CT"))+128*(ISNUMBER(FIND("BULK",BL42)))+256*(ISNUMBER(FIND("SIZE",BL42)))+512*(LEFT(BL42,3)="CAP")+1024*(ISNUMBER(FIND("ALLERG",BL42)))+2048*(OR(ISNUMBER(FIND("REMARK",BL42)),ISNUMBER(FIND("COMMENT",BL42))))+4096*(OR(ISNUMBER(FIND("QTY",BL42)),ISNUMBER(FIND("QUANTITY",BL42))))+8192*(AND(OR(ISNUMBER(FIND("COMPLETE",BL42)),ISNUMBER(FIND("PCT",BL42)),ISNUMBER(FIND("PERCENT",BL42))),NOT(ISNUMBER(FIND("ACTUAL",BL42))),LEN(BL42)&lt;=16))+32768*(OR(ISNUMBER(FIND("DESIC",BL42)),ISNUMBER(FIND("DESSIC",BL42)))))</f>
        <v/>
      </c>
      <c r="BM177">
        <f>IF(BM42="",0,2*(OR(ISNUMBER(FIND("WORKCENTER",BM42)),AND(LEFT(BM42,4)="LINE",NOT(ISNUMBER(FIND("STATUS",BM42))))))+4*(OR(ISNUMBER(FIND("WORKORDER",BM42)),AND(LEFT(BM42,2)="WO",OR(ISNUMBER(FIND("NUM",BM42)),RIGHT(BM42,2)="NO"))))+8*(LEFT(BM42,3)="SEQ")+16*(AND(LEFT(BM42,4)="ITEM",NOT(ISNUMBER(FIND("DESC",BM42)))))+32*(AND(ISNUMBER(FIND("DESC",BM42)),NOT(ISNUMBER(FIND("CAP",BM42)))))+64*(OR(RIGHT(BM42,5)="COUNT",RIGHT(BM42,2)="CT"))+128*(ISNUMBER(FIND("BULK",BM42)))+256*(ISNUMBER(FIND("SIZE",BM42)))+512*(LEFT(BM42,3)="CAP")+1024*(ISNUMBER(FIND("ALLERG",BM42)))+2048*(OR(ISNUMBER(FIND("REMARK",BM42)),ISNUMBER(FIND("COMMENT",BM42))))+4096*(OR(ISNUMBER(FIND("QTY",BM42)),ISNUMBER(FIND("QUANTITY",BM42))))+8192*(AND(OR(ISNUMBER(FIND("COMPLETE",BM42)),ISNUMBER(FIND("PCT",BM42)),ISNUMBER(FIND("PERCENT",BM42))),NOT(ISNUMBER(FIND("ACTUAL",BM42))),LEN(BM42)&lt;=16))+32768*(OR(ISNUMBER(FIND("DESIC",BM42)),ISNUMBER(FIND("DESSIC",BM42)))))</f>
        <v/>
      </c>
      <c r="BN177">
        <f>IF(BN42="",0,2*(OR(ISNUMBER(FIND("WORKCENTER",BN42)),AND(LEFT(BN42,4)="LINE",NOT(ISNUMBER(FIND("STATUS",BN42))))))+4*(OR(ISNUMBER(FIND("WORKORDER",BN42)),AND(LEFT(BN42,2)="WO",OR(ISNUMBER(FIND("NUM",BN42)),RIGHT(BN42,2)="NO"))))+8*(LEFT(BN42,3)="SEQ")+16*(AND(LEFT(BN42,4)="ITEM",NOT(ISNUMBER(FIND("DESC",BN42)))))+32*(AND(ISNUMBER(FIND("DESC",BN42)),NOT(ISNUMBER(FIND("CAP",BN42)))))+64*(OR(RIGHT(BN42,5)="COUNT",RIGHT(BN42,2)="CT"))+128*(ISNUMBER(FIND("BULK",BN42)))+256*(ISNUMBER(FIND("SIZE",BN42)))+512*(LEFT(BN42,3)="CAP")+1024*(ISNUMBER(FIND("ALLERG",BN42)))+2048*(OR(ISNUMBER(FIND("REMARK",BN42)),ISNUMBER(FIND("COMMENT",BN42))))+4096*(OR(ISNUMBER(FIND("QTY",BN42)),ISNUMBER(FIND("QUANTITY",BN42))))+8192*(AND(OR(ISNUMBER(FIND("COMPLETE",BN42)),ISNUMBER(FIND("PCT",BN42)),ISNUMBER(FIND("PERCENT",BN42))),NOT(ISNUMBER(FIND("ACTUAL",BN42))),LEN(BN42)&lt;=16))+32768*(OR(ISNUMBER(FIND("DESIC",BN42)),ISNUMBER(FIND("DESSIC",BN42)))))</f>
        <v/>
      </c>
      <c r="BO177">
        <f>IF(BO42="",0,2*(OR(ISNUMBER(FIND("WORKCENTER",BO42)),AND(LEFT(BO42,4)="LINE",NOT(ISNUMBER(FIND("STATUS",BO42))))))+4*(OR(ISNUMBER(FIND("WORKORDER",BO42)),AND(LEFT(BO42,2)="WO",OR(ISNUMBER(FIND("NUM",BO42)),RIGHT(BO42,2)="NO"))))+8*(LEFT(BO42,3)="SEQ")+16*(AND(LEFT(BO42,4)="ITEM",NOT(ISNUMBER(FIND("DESC",BO42)))))+32*(AND(ISNUMBER(FIND("DESC",BO42)),NOT(ISNUMBER(FIND("CAP",BO42)))))+64*(OR(RIGHT(BO42,5)="COUNT",RIGHT(BO42,2)="CT"))+128*(ISNUMBER(FIND("BULK",BO42)))+256*(ISNUMBER(FIND("SIZE",BO42)))+512*(LEFT(BO42,3)="CAP")+1024*(ISNUMBER(FIND("ALLERG",BO42)))+2048*(OR(ISNUMBER(FIND("REMARK",BO42)),ISNUMBER(FIND("COMMENT",BO42))))+4096*(OR(ISNUMBER(FIND("QTY",BO42)),ISNUMBER(FIND("QUANTITY",BO42))))+8192*(AND(OR(ISNUMBER(FIND("COMPLETE",BO42)),ISNUMBER(FIND("PCT",BO42)),ISNUMBER(FIND("PERCENT",BO42))),NOT(ISNUMBER(FIND("ACTUAL",BO42))),LEN(BO42)&lt;=16))+32768*(OR(ISNUMBER(FIND("DESIC",BO42)),ISNUMBER(FIND("DESSIC",BO42)))))</f>
        <v/>
      </c>
      <c r="BP177">
        <f>IF(BP42="",0,2*(OR(ISNUMBER(FIND("WORKCENTER",BP42)),AND(LEFT(BP42,4)="LINE",NOT(ISNUMBER(FIND("STATUS",BP42))))))+4*(OR(ISNUMBER(FIND("WORKORDER",BP42)),AND(LEFT(BP42,2)="WO",OR(ISNUMBER(FIND("NUM",BP42)),RIGHT(BP42,2)="NO"))))+8*(LEFT(BP42,3)="SEQ")+16*(AND(LEFT(BP42,4)="ITEM",NOT(ISNUMBER(FIND("DESC",BP42)))))+32*(AND(ISNUMBER(FIND("DESC",BP42)),NOT(ISNUMBER(FIND("CAP",BP42)))))+64*(OR(RIGHT(BP42,5)="COUNT",RIGHT(BP42,2)="CT"))+128*(ISNUMBER(FIND("BULK",BP42)))+256*(ISNUMBER(FIND("SIZE",BP42)))+512*(LEFT(BP42,3)="CAP")+1024*(ISNUMBER(FIND("ALLERG",BP42)))+2048*(OR(ISNUMBER(FIND("REMARK",BP42)),ISNUMBER(FIND("COMMENT",BP42))))+4096*(OR(ISNUMBER(FIND("QTY",BP42)),ISNUMBER(FIND("QUANTITY",BP42))))+8192*(AND(OR(ISNUMBER(FIND("COMPLETE",BP42)),ISNUMBER(FIND("PCT",BP42)),ISNUMBER(FIND("PERCENT",BP42))),NOT(ISNUMBER(FIND("ACTUAL",BP42))),LEN(BP42)&lt;=16))+32768*(OR(ISNUMBER(FIND("DESIC",BP42)),ISNUMBER(FIND("DESSIC",BP42)))))</f>
        <v/>
      </c>
      <c r="BQ177">
        <f>IF(BQ42="",0,2*(OR(ISNUMBER(FIND("WORKCENTER",BQ42)),AND(LEFT(BQ42,4)="LINE",NOT(ISNUMBER(FIND("STATUS",BQ42))))))+4*(OR(ISNUMBER(FIND("WORKORDER",BQ42)),AND(LEFT(BQ42,2)="WO",OR(ISNUMBER(FIND("NUM",BQ42)),RIGHT(BQ42,2)="NO"))))+8*(LEFT(BQ42,3)="SEQ")+16*(AND(LEFT(BQ42,4)="ITEM",NOT(ISNUMBER(FIND("DESC",BQ42)))))+32*(AND(ISNUMBER(FIND("DESC",BQ42)),NOT(ISNUMBER(FIND("CAP",BQ42)))))+64*(OR(RIGHT(BQ42,5)="COUNT",RIGHT(BQ42,2)="CT"))+128*(ISNUMBER(FIND("BULK",BQ42)))+256*(ISNUMBER(FIND("SIZE",BQ42)))+512*(LEFT(BQ42,3)="CAP")+1024*(ISNUMBER(FIND("ALLERG",BQ42)))+2048*(OR(ISNUMBER(FIND("REMARK",BQ42)),ISNUMBER(FIND("COMMENT",BQ42))))+4096*(OR(ISNUMBER(FIND("QTY",BQ42)),ISNUMBER(FIND("QUANTITY",BQ42))))+8192*(AND(OR(ISNUMBER(FIND("COMPLETE",BQ42)),ISNUMBER(FIND("PCT",BQ42)),ISNUMBER(FIND("PERCENT",BQ42))),NOT(ISNUMBER(FIND("ACTUAL",BQ42))),LEN(BQ42)&lt;=16))+32768*(OR(ISNUMBER(FIND("DESIC",BQ42)),ISNUMBER(FIND("DESSIC",BQ42)))))</f>
        <v/>
      </c>
      <c r="BR177">
        <f>IF(BR42="",0,2*(OR(ISNUMBER(FIND("WORKCENTER",BR42)),AND(LEFT(BR42,4)="LINE",NOT(ISNUMBER(FIND("STATUS",BR42))))))+4*(OR(ISNUMBER(FIND("WORKORDER",BR42)),AND(LEFT(BR42,2)="WO",OR(ISNUMBER(FIND("NUM",BR42)),RIGHT(BR42,2)="NO"))))+8*(LEFT(BR42,3)="SEQ")+16*(AND(LEFT(BR42,4)="ITEM",NOT(ISNUMBER(FIND("DESC",BR42)))))+32*(AND(ISNUMBER(FIND("DESC",BR42)),NOT(ISNUMBER(FIND("CAP",BR42)))))+64*(OR(RIGHT(BR42,5)="COUNT",RIGHT(BR42,2)="CT"))+128*(ISNUMBER(FIND("BULK",BR42)))+256*(ISNUMBER(FIND("SIZE",BR42)))+512*(LEFT(BR42,3)="CAP")+1024*(ISNUMBER(FIND("ALLERG",BR42)))+2048*(OR(ISNUMBER(FIND("REMARK",BR42)),ISNUMBER(FIND("COMMENT",BR42))))+4096*(OR(ISNUMBER(FIND("QTY",BR42)),ISNUMBER(FIND("QUANTITY",BR42))))+8192*(AND(OR(ISNUMBER(FIND("COMPLETE",BR42)),ISNUMBER(FIND("PCT",BR42)),ISNUMBER(FIND("PERCENT",BR42))),NOT(ISNUMBER(FIND("ACTUAL",BR42))),LEN(BR42)&lt;=16))+32768*(OR(ISNUMBER(FIND("DESIC",BR42)),ISNUMBER(FIND("DESSIC",BR42)))))</f>
        <v/>
      </c>
      <c r="BS177">
        <f>IF(BS42="",0,2*(OR(ISNUMBER(FIND("WORKCENTER",BS42)),AND(LEFT(BS42,4)="LINE",NOT(ISNUMBER(FIND("STATUS",BS42))))))+4*(OR(ISNUMBER(FIND("WORKORDER",BS42)),AND(LEFT(BS42,2)="WO",OR(ISNUMBER(FIND("NUM",BS42)),RIGHT(BS42,2)="NO"))))+8*(LEFT(BS42,3)="SEQ")+16*(AND(LEFT(BS42,4)="ITEM",NOT(ISNUMBER(FIND("DESC",BS42)))))+32*(AND(ISNUMBER(FIND("DESC",BS42)),NOT(ISNUMBER(FIND("CAP",BS42)))))+64*(OR(RIGHT(BS42,5)="COUNT",RIGHT(BS42,2)="CT"))+128*(ISNUMBER(FIND("BULK",BS42)))+256*(ISNUMBER(FIND("SIZE",BS42)))+512*(LEFT(BS42,3)="CAP")+1024*(ISNUMBER(FIND("ALLERG",BS42)))+2048*(OR(ISNUMBER(FIND("REMARK",BS42)),ISNUMBER(FIND("COMMENT",BS42))))+4096*(OR(ISNUMBER(FIND("QTY",BS42)),ISNUMBER(FIND("QUANTITY",BS42))))+8192*(AND(OR(ISNUMBER(FIND("COMPLETE",BS42)),ISNUMBER(FIND("PCT",BS42)),ISNUMBER(FIND("PERCENT",BS42))),NOT(ISNUMBER(FIND("ACTUAL",BS42))),LEN(BS42)&lt;=16))+32768*(OR(ISNUMBER(FIND("DESIC",BS42)),ISNUMBER(FIND("DESSIC",BS42)))))</f>
        <v/>
      </c>
      <c r="BT177">
        <f>IF(BT42="",0,2*(OR(ISNUMBER(FIND("WORKCENTER",BT42)),AND(LEFT(BT42,4)="LINE",NOT(ISNUMBER(FIND("STATUS",BT42))))))+4*(OR(ISNUMBER(FIND("WORKORDER",BT42)),AND(LEFT(BT42,2)="WO",OR(ISNUMBER(FIND("NUM",BT42)),RIGHT(BT42,2)="NO"))))+8*(LEFT(BT42,3)="SEQ")+16*(AND(LEFT(BT42,4)="ITEM",NOT(ISNUMBER(FIND("DESC",BT42)))))+32*(AND(ISNUMBER(FIND("DESC",BT42)),NOT(ISNUMBER(FIND("CAP",BT42)))))+64*(OR(RIGHT(BT42,5)="COUNT",RIGHT(BT42,2)="CT"))+128*(ISNUMBER(FIND("BULK",BT42)))+256*(ISNUMBER(FIND("SIZE",BT42)))+512*(LEFT(BT42,3)="CAP")+1024*(ISNUMBER(FIND("ALLERG",BT42)))+2048*(OR(ISNUMBER(FIND("REMARK",BT42)),ISNUMBER(FIND("COMMENT",BT42))))+4096*(OR(ISNUMBER(FIND("QTY",BT42)),ISNUMBER(FIND("QUANTITY",BT42))))+8192*(AND(OR(ISNUMBER(FIND("COMPLETE",BT42)),ISNUMBER(FIND("PCT",BT42)),ISNUMBER(FIND("PERCENT",BT42))),NOT(ISNUMBER(FIND("ACTUAL",BT42))),LEN(BT42)&lt;=16))+32768*(OR(ISNUMBER(FIND("DESIC",BT42)),ISNUMBER(FIND("DESSIC",BT42)))))</f>
        <v/>
      </c>
      <c r="BU177">
        <f>IF(BU42="",0,2*(OR(ISNUMBER(FIND("WORKCENTER",BU42)),AND(LEFT(BU42,4)="LINE",NOT(ISNUMBER(FIND("STATUS",BU42))))))+4*(OR(ISNUMBER(FIND("WORKORDER",BU42)),AND(LEFT(BU42,2)="WO",OR(ISNUMBER(FIND("NUM",BU42)),RIGHT(BU42,2)="NO"))))+8*(LEFT(BU42,3)="SEQ")+16*(AND(LEFT(BU42,4)="ITEM",NOT(ISNUMBER(FIND("DESC",BU42)))))+32*(AND(ISNUMBER(FIND("DESC",BU42)),NOT(ISNUMBER(FIND("CAP",BU42)))))+64*(OR(RIGHT(BU42,5)="COUNT",RIGHT(BU42,2)="CT"))+128*(ISNUMBER(FIND("BULK",BU42)))+256*(ISNUMBER(FIND("SIZE",BU42)))+512*(LEFT(BU42,3)="CAP")+1024*(ISNUMBER(FIND("ALLERG",BU42)))+2048*(OR(ISNUMBER(FIND("REMARK",BU42)),ISNUMBER(FIND("COMMENT",BU42))))+4096*(OR(ISNUMBER(FIND("QTY",BU42)),ISNUMBER(FIND("QUANTITY",BU42))))+8192*(AND(OR(ISNUMBER(FIND("COMPLETE",BU42)),ISNUMBER(FIND("PCT",BU42)),ISNUMBER(FIND("PERCENT",BU42))),NOT(ISNUMBER(FIND("ACTUAL",BU42))),LEN(BU42)&lt;=16))+32768*(OR(ISNUMBER(FIND("DESIC",BU42)),ISNUMBER(FIND("DESSIC",BU42)))))</f>
        <v/>
      </c>
      <c r="BV177">
        <f>IF(BV42="",0,2*(OR(ISNUMBER(FIND("WORKCENTER",BV42)),AND(LEFT(BV42,4)="LINE",NOT(ISNUMBER(FIND("STATUS",BV42))))))+4*(OR(ISNUMBER(FIND("WORKORDER",BV42)),AND(LEFT(BV42,2)="WO",OR(ISNUMBER(FIND("NUM",BV42)),RIGHT(BV42,2)="NO"))))+8*(LEFT(BV42,3)="SEQ")+16*(AND(LEFT(BV42,4)="ITEM",NOT(ISNUMBER(FIND("DESC",BV42)))))+32*(AND(ISNUMBER(FIND("DESC",BV42)),NOT(ISNUMBER(FIND("CAP",BV42)))))+64*(OR(RIGHT(BV42,5)="COUNT",RIGHT(BV42,2)="CT"))+128*(ISNUMBER(FIND("BULK",BV42)))+256*(ISNUMBER(FIND("SIZE",BV42)))+512*(LEFT(BV42,3)="CAP")+1024*(ISNUMBER(FIND("ALLERG",BV42)))+2048*(OR(ISNUMBER(FIND("REMARK",BV42)),ISNUMBER(FIND("COMMENT",BV42))))+4096*(OR(ISNUMBER(FIND("QTY",BV42)),ISNUMBER(FIND("QUANTITY",BV42))))+8192*(AND(OR(ISNUMBER(FIND("COMPLETE",BV42)),ISNUMBER(FIND("PCT",BV42)),ISNUMBER(FIND("PERCENT",BV42))),NOT(ISNUMBER(FIND("ACTUAL",BV42))),LEN(BV42)&lt;=16))+32768*(OR(ISNUMBER(FIND("DESIC",BV42)),ISNUMBER(FIND("DESSIC",BV42)))))</f>
        <v/>
      </c>
      <c r="BW177">
        <f>IF(BW42="",0,2*(OR(ISNUMBER(FIND("WORKCENTER",BW42)),AND(LEFT(BW42,4)="LINE",NOT(ISNUMBER(FIND("STATUS",BW42))))))+4*(OR(ISNUMBER(FIND("WORKORDER",BW42)),AND(LEFT(BW42,2)="WO",OR(ISNUMBER(FIND("NUM",BW42)),RIGHT(BW42,2)="NO"))))+8*(LEFT(BW42,3)="SEQ")+16*(AND(LEFT(BW42,4)="ITEM",NOT(ISNUMBER(FIND("DESC",BW42)))))+32*(AND(ISNUMBER(FIND("DESC",BW42)),NOT(ISNUMBER(FIND("CAP",BW42)))))+64*(OR(RIGHT(BW42,5)="COUNT",RIGHT(BW42,2)="CT"))+128*(ISNUMBER(FIND("BULK",BW42)))+256*(ISNUMBER(FIND("SIZE",BW42)))+512*(LEFT(BW42,3)="CAP")+1024*(ISNUMBER(FIND("ALLERG",BW42)))+2048*(OR(ISNUMBER(FIND("REMARK",BW42)),ISNUMBER(FIND("COMMENT",BW42))))+4096*(OR(ISNUMBER(FIND("QTY",BW42)),ISNUMBER(FIND("QUANTITY",BW42))))+8192*(AND(OR(ISNUMBER(FIND("COMPLETE",BW42)),ISNUMBER(FIND("PCT",BW42)),ISNUMBER(FIND("PERCENT",BW42))),NOT(ISNUMBER(FIND("ACTUAL",BW42))),LEN(BW42)&lt;=16))+32768*(OR(ISNUMBER(FIND("DESIC",BW42)),ISNUMBER(FIND("DESSIC",BW42)))))</f>
        <v/>
      </c>
      <c r="BX177">
        <f>IF(BX42="",0,2*(OR(ISNUMBER(FIND("WORKCENTER",BX42)),AND(LEFT(BX42,4)="LINE",NOT(ISNUMBER(FIND("STATUS",BX42))))))+4*(OR(ISNUMBER(FIND("WORKORDER",BX42)),AND(LEFT(BX42,2)="WO",OR(ISNUMBER(FIND("NUM",BX42)),RIGHT(BX42,2)="NO"))))+8*(LEFT(BX42,3)="SEQ")+16*(AND(LEFT(BX42,4)="ITEM",NOT(ISNUMBER(FIND("DESC",BX42)))))+32*(AND(ISNUMBER(FIND("DESC",BX42)),NOT(ISNUMBER(FIND("CAP",BX42)))))+64*(OR(RIGHT(BX42,5)="COUNT",RIGHT(BX42,2)="CT"))+128*(ISNUMBER(FIND("BULK",BX42)))+256*(ISNUMBER(FIND("SIZE",BX42)))+512*(LEFT(BX42,3)="CAP")+1024*(ISNUMBER(FIND("ALLERG",BX42)))+2048*(OR(ISNUMBER(FIND("REMARK",BX42)),ISNUMBER(FIND("COMMENT",BX42))))+4096*(OR(ISNUMBER(FIND("QTY",BX42)),ISNUMBER(FIND("QUANTITY",BX42))))+8192*(AND(OR(ISNUMBER(FIND("COMPLETE",BX42)),ISNUMBER(FIND("PCT",BX42)),ISNUMBER(FIND("PERCENT",BX42))),NOT(ISNUMBER(FIND("ACTUAL",BX42))),LEN(BX42)&lt;=16))+32768*(OR(ISNUMBER(FIND("DESIC",BX42)),ISNUMBER(FIND("DESSIC",BX42)))))</f>
        <v/>
      </c>
      <c r="BY177">
        <f>IF(BY42="",0,2*(OR(ISNUMBER(FIND("WORKCENTER",BY42)),AND(LEFT(BY42,4)="LINE",NOT(ISNUMBER(FIND("STATUS",BY42))))))+4*(OR(ISNUMBER(FIND("WORKORDER",BY42)),AND(LEFT(BY42,2)="WO",OR(ISNUMBER(FIND("NUM",BY42)),RIGHT(BY42,2)="NO"))))+8*(LEFT(BY42,3)="SEQ")+16*(AND(LEFT(BY42,4)="ITEM",NOT(ISNUMBER(FIND("DESC",BY42)))))+32*(AND(ISNUMBER(FIND("DESC",BY42)),NOT(ISNUMBER(FIND("CAP",BY42)))))+64*(OR(RIGHT(BY42,5)="COUNT",RIGHT(BY42,2)="CT"))+128*(ISNUMBER(FIND("BULK",BY42)))+256*(ISNUMBER(FIND("SIZE",BY42)))+512*(LEFT(BY42,3)="CAP")+1024*(ISNUMBER(FIND("ALLERG",BY42)))+2048*(OR(ISNUMBER(FIND("REMARK",BY42)),ISNUMBER(FIND("COMMENT",BY42))))+4096*(OR(ISNUMBER(FIND("QTY",BY42)),ISNUMBER(FIND("QUANTITY",BY42))))+8192*(AND(OR(ISNUMBER(FIND("COMPLETE",BY42)),ISNUMBER(FIND("PCT",BY42)),ISNUMBER(FIND("PERCENT",BY42))),NOT(ISNUMBER(FIND("ACTUAL",BY42))),LEN(BY42)&lt;=16))+32768*(OR(ISNUMBER(FIND("DESIC",BY42)),ISNUMBER(FIND("DESSIC",BY42)))))</f>
        <v/>
      </c>
      <c r="BZ177">
        <f>IF(BZ42="",0,2*(OR(ISNUMBER(FIND("WORKCENTER",BZ42)),AND(LEFT(BZ42,4)="LINE",NOT(ISNUMBER(FIND("STATUS",BZ42))))))+4*(OR(ISNUMBER(FIND("WORKORDER",BZ42)),AND(LEFT(BZ42,2)="WO",OR(ISNUMBER(FIND("NUM",BZ42)),RIGHT(BZ42,2)="NO"))))+8*(LEFT(BZ42,3)="SEQ")+16*(AND(LEFT(BZ42,4)="ITEM",NOT(ISNUMBER(FIND("DESC",BZ42)))))+32*(AND(ISNUMBER(FIND("DESC",BZ42)),NOT(ISNUMBER(FIND("CAP",BZ42)))))+64*(OR(RIGHT(BZ42,5)="COUNT",RIGHT(BZ42,2)="CT"))+128*(ISNUMBER(FIND("BULK",BZ42)))+256*(ISNUMBER(FIND("SIZE",BZ42)))+512*(LEFT(BZ42,3)="CAP")+1024*(ISNUMBER(FIND("ALLERG",BZ42)))+2048*(OR(ISNUMBER(FIND("REMARK",BZ42)),ISNUMBER(FIND("COMMENT",BZ42))))+4096*(OR(ISNUMBER(FIND("QTY",BZ42)),ISNUMBER(FIND("QUANTITY",BZ42))))+8192*(AND(OR(ISNUMBER(FIND("COMPLETE",BZ42)),ISNUMBER(FIND("PCT",BZ42)),ISNUMBER(FIND("PERCENT",BZ42))),NOT(ISNUMBER(FIND("ACTUAL",BZ42))),LEN(BZ42)&lt;=16))+32768*(OR(ISNUMBER(FIND("DESIC",BZ42)),ISNUMBER(FIND("DESSIC",BZ42)))))</f>
        <v/>
      </c>
      <c r="CA177">
        <f>IF(CA42="",0,2*(OR(ISNUMBER(FIND("WORKCENTER",CA42)),AND(LEFT(CA42,4)="LINE",NOT(ISNUMBER(FIND("STATUS",CA42))))))+4*(OR(ISNUMBER(FIND("WORKORDER",CA42)),AND(LEFT(CA42,2)="WO",OR(ISNUMBER(FIND("NUM",CA42)),RIGHT(CA42,2)="NO"))))+8*(LEFT(CA42,3)="SEQ")+16*(AND(LEFT(CA42,4)="ITEM",NOT(ISNUMBER(FIND("DESC",CA42)))))+32*(AND(ISNUMBER(FIND("DESC",CA42)),NOT(ISNUMBER(FIND("CAP",CA42)))))+64*(OR(RIGHT(CA42,5)="COUNT",RIGHT(CA42,2)="CT"))+128*(ISNUMBER(FIND("BULK",CA42)))+256*(ISNUMBER(FIND("SIZE",CA42)))+512*(LEFT(CA42,3)="CAP")+1024*(ISNUMBER(FIND("ALLERG",CA42)))+2048*(OR(ISNUMBER(FIND("REMARK",CA42)),ISNUMBER(FIND("COMMENT",CA42))))+4096*(OR(ISNUMBER(FIND("QTY",CA42)),ISNUMBER(FIND("QUANTITY",CA42))))+8192*(AND(OR(ISNUMBER(FIND("COMPLETE",CA42)),ISNUMBER(FIND("PCT",CA42)),ISNUMBER(FIND("PERCENT",CA42))),NOT(ISNUMBER(FIND("ACTUAL",CA42))),LEN(CA42)&lt;=16))+32768*(OR(ISNUMBER(FIND("DESIC",CA42)),ISNUMBER(FIND("DESSIC",CA42)))))</f>
        <v/>
      </c>
      <c r="CB177">
        <f>IF(CB42="",0,2*(OR(ISNUMBER(FIND("WORKCENTER",CB42)),AND(LEFT(CB42,4)="LINE",NOT(ISNUMBER(FIND("STATUS",CB42))))))+4*(OR(ISNUMBER(FIND("WORKORDER",CB42)),AND(LEFT(CB42,2)="WO",OR(ISNUMBER(FIND("NUM",CB42)),RIGHT(CB42,2)="NO"))))+8*(LEFT(CB42,3)="SEQ")+16*(AND(LEFT(CB42,4)="ITEM",NOT(ISNUMBER(FIND("DESC",CB42)))))+32*(AND(ISNUMBER(FIND("DESC",CB42)),NOT(ISNUMBER(FIND("CAP",CB42)))))+64*(OR(RIGHT(CB42,5)="COUNT",RIGHT(CB42,2)="CT"))+128*(ISNUMBER(FIND("BULK",CB42)))+256*(ISNUMBER(FIND("SIZE",CB42)))+512*(LEFT(CB42,3)="CAP")+1024*(ISNUMBER(FIND("ALLERG",CB42)))+2048*(OR(ISNUMBER(FIND("REMARK",CB42)),ISNUMBER(FIND("COMMENT",CB42))))+4096*(OR(ISNUMBER(FIND("QTY",CB42)),ISNUMBER(FIND("QUANTITY",CB42))))+8192*(AND(OR(ISNUMBER(FIND("COMPLETE",CB42)),ISNUMBER(FIND("PCT",CB42)),ISNUMBER(FIND("PERCENT",CB42))),NOT(ISNUMBER(FIND("ACTUAL",CB42))),LEN(CB42)&lt;=16))+32768*(OR(ISNUMBER(FIND("DESIC",CB42)),ISNUMBER(FIND("DESSIC",CB42)))))</f>
        <v/>
      </c>
      <c r="CC177">
        <f>IF(CC42="",0,2*(OR(ISNUMBER(FIND("WORKCENTER",CC42)),AND(LEFT(CC42,4)="LINE",NOT(ISNUMBER(FIND("STATUS",CC42))))))+4*(OR(ISNUMBER(FIND("WORKORDER",CC42)),AND(LEFT(CC42,2)="WO",OR(ISNUMBER(FIND("NUM",CC42)),RIGHT(CC42,2)="NO"))))+8*(LEFT(CC42,3)="SEQ")+16*(AND(LEFT(CC42,4)="ITEM",NOT(ISNUMBER(FIND("DESC",CC42)))))+32*(AND(ISNUMBER(FIND("DESC",CC42)),NOT(ISNUMBER(FIND("CAP",CC42)))))+64*(OR(RIGHT(CC42,5)="COUNT",RIGHT(CC42,2)="CT"))+128*(ISNUMBER(FIND("BULK",CC42)))+256*(ISNUMBER(FIND("SIZE",CC42)))+512*(LEFT(CC42,3)="CAP")+1024*(ISNUMBER(FIND("ALLERG",CC42)))+2048*(OR(ISNUMBER(FIND("REMARK",CC42)),ISNUMBER(FIND("COMMENT",CC42))))+4096*(OR(ISNUMBER(FIND("QTY",CC42)),ISNUMBER(FIND("QUANTITY",CC42))))+8192*(AND(OR(ISNUMBER(FIND("COMPLETE",CC42)),ISNUMBER(FIND("PCT",CC42)),ISNUMBER(FIND("PERCENT",CC42))),NOT(ISNUMBER(FIND("ACTUAL",CC42))),LEN(CC42)&lt;=16))+32768*(OR(ISNUMBER(FIND("DESIC",CC42)),ISNUMBER(FIND("DESSIC",CC42)))))</f>
        <v/>
      </c>
      <c r="CD177">
        <f>IF(CD42="",0,2*(OR(ISNUMBER(FIND("WORKCENTER",CD42)),AND(LEFT(CD42,4)="LINE",NOT(ISNUMBER(FIND("STATUS",CD42))))))+4*(OR(ISNUMBER(FIND("WORKORDER",CD42)),AND(LEFT(CD42,2)="WO",OR(ISNUMBER(FIND("NUM",CD42)),RIGHT(CD42,2)="NO"))))+8*(LEFT(CD42,3)="SEQ")+16*(AND(LEFT(CD42,4)="ITEM",NOT(ISNUMBER(FIND("DESC",CD42)))))+32*(AND(ISNUMBER(FIND("DESC",CD42)),NOT(ISNUMBER(FIND("CAP",CD42)))))+64*(OR(RIGHT(CD42,5)="COUNT",RIGHT(CD42,2)="CT"))+128*(ISNUMBER(FIND("BULK",CD42)))+256*(ISNUMBER(FIND("SIZE",CD42)))+512*(LEFT(CD42,3)="CAP")+1024*(ISNUMBER(FIND("ALLERG",CD42)))+2048*(OR(ISNUMBER(FIND("REMARK",CD42)),ISNUMBER(FIND("COMMENT",CD42))))+4096*(OR(ISNUMBER(FIND("QTY",CD42)),ISNUMBER(FIND("QUANTITY",CD42))))+8192*(AND(OR(ISNUMBER(FIND("COMPLETE",CD42)),ISNUMBER(FIND("PCT",CD42)),ISNUMBER(FIND("PERCENT",CD42))),NOT(ISNUMBER(FIND("ACTUAL",CD42))),LEN(CD42)&lt;=16))+32768*(OR(ISNUMBER(FIND("DESIC",CD42)),ISNUMBER(FIND("DESSIC",CD42)))))</f>
        <v/>
      </c>
      <c r="CE177">
        <f>IF(CE42="",0,2*(OR(ISNUMBER(FIND("WORKCENTER",CE42)),AND(LEFT(CE42,4)="LINE",NOT(ISNUMBER(FIND("STATUS",CE42))))))+4*(OR(ISNUMBER(FIND("WORKORDER",CE42)),AND(LEFT(CE42,2)="WO",OR(ISNUMBER(FIND("NUM",CE42)),RIGHT(CE42,2)="NO"))))+8*(LEFT(CE42,3)="SEQ")+16*(AND(LEFT(CE42,4)="ITEM",NOT(ISNUMBER(FIND("DESC",CE42)))))+32*(AND(ISNUMBER(FIND("DESC",CE42)),NOT(ISNUMBER(FIND("CAP",CE42)))))+64*(OR(RIGHT(CE42,5)="COUNT",RIGHT(CE42,2)="CT"))+128*(ISNUMBER(FIND("BULK",CE42)))+256*(ISNUMBER(FIND("SIZE",CE42)))+512*(LEFT(CE42,3)="CAP")+1024*(ISNUMBER(FIND("ALLERG",CE42)))+2048*(OR(ISNUMBER(FIND("REMARK",CE42)),ISNUMBER(FIND("COMMENT",CE42))))+4096*(OR(ISNUMBER(FIND("QTY",CE42)),ISNUMBER(FIND("QUANTITY",CE42))))+8192*(AND(OR(ISNUMBER(FIND("COMPLETE",CE42)),ISNUMBER(FIND("PCT",CE42)),ISNUMBER(FIND("PERCENT",CE42))),NOT(ISNUMBER(FIND("ACTUAL",CE42))),LEN(CE42)&lt;=16))+32768*(OR(ISNUMBER(FIND("DESIC",CE42)),ISNUMBER(FIND("DESSIC",CE42)))))</f>
        <v/>
      </c>
      <c r="CF177">
        <f>IF(CF42="",0,2*(OR(ISNUMBER(FIND("WORKCENTER",CF42)),AND(LEFT(CF42,4)="LINE",NOT(ISNUMBER(FIND("STATUS",CF42))))))+4*(OR(ISNUMBER(FIND("WORKORDER",CF42)),AND(LEFT(CF42,2)="WO",OR(ISNUMBER(FIND("NUM",CF42)),RIGHT(CF42,2)="NO"))))+8*(LEFT(CF42,3)="SEQ")+16*(AND(LEFT(CF42,4)="ITEM",NOT(ISNUMBER(FIND("DESC",CF42)))))+32*(AND(ISNUMBER(FIND("DESC",CF42)),NOT(ISNUMBER(FIND("CAP",CF42)))))+64*(OR(RIGHT(CF42,5)="COUNT",RIGHT(CF42,2)="CT"))+128*(ISNUMBER(FIND("BULK",CF42)))+256*(ISNUMBER(FIND("SIZE",CF42)))+512*(LEFT(CF42,3)="CAP")+1024*(ISNUMBER(FIND("ALLERG",CF42)))+2048*(OR(ISNUMBER(FIND("REMARK",CF42)),ISNUMBER(FIND("COMMENT",CF42))))+4096*(OR(ISNUMBER(FIND("QTY",CF42)),ISNUMBER(FIND("QUANTITY",CF42))))+8192*(AND(OR(ISNUMBER(FIND("COMPLETE",CF42)),ISNUMBER(FIND("PCT",CF42)),ISNUMBER(FIND("PERCENT",CF42))),NOT(ISNUMBER(FIND("ACTUAL",CF42))),LEN(CF42)&lt;=16))+32768*(OR(ISNUMBER(FIND("DESIC",CF42)),ISNUMBER(FIND("DESSIC",CF42)))))</f>
        <v/>
      </c>
      <c r="DA177" t="n">
        <v>173</v>
      </c>
      <c r="DB177">
        <f>IF($B$37=0,"",IFERROR(TRIM(SUBSTITUTE(SUBSTITUTE(SUBSTITUTE(SUBSTITUTE(INDEX(PASTE_ALL,173,$B$37)," "," "),CHAR(9)," "),CHAR(10)," "),CHAR(13)," ")),""))</f>
        <v/>
      </c>
      <c r="DC177">
        <f>IF(AND(173&gt;HEADER_ROW,UPPER(DB177)="LEGEND"),1,0)</f>
        <v/>
      </c>
      <c r="DE177" t="n">
        <v>173</v>
      </c>
      <c r="DF177">
        <f>HEADER_ROW+$DE177</f>
        <v/>
      </c>
      <c r="DG177">
        <f>IF(AND($DF177&lt;=1000,$DF177&lt;$B$8),1,0)</f>
        <v/>
      </c>
      <c r="DH177">
        <f>IF($DG177=1,IFERROR(INDEX($DB$5:$DB$1004,$DF177),""),"")</f>
        <v/>
      </c>
      <c r="DI177">
        <f>IF(AND($DG177=1,$DH177&lt;&gt;""),IFERROR(SUBSTITUTE(SUBSTITUTE(TRIM(SUBSTITUTE(SUBSTITUTE(SUBSTITUTE(SUBSTITUTE(IFERROR(INDEX(PASTE_ALL,$DF177,1)&amp;"","")&amp;"␟"&amp;IFERROR(INDEX(PASTE_ALL,$DF177,2)&amp;"","")&amp;"␟"&amp;IFERROR(INDEX(PASTE_ALL,$DF177,3)&amp;"","")&amp;"␟"&amp;IFERROR(INDEX(PASTE_ALL,$DF177,4)&amp;"","")&amp;"␟"&amp;IFERROR(INDEX(PASTE_ALL,$DF177,5)&amp;"","")&amp;"␟"&amp;IFERROR(INDEX(PASTE_ALL,$DF177,6)&amp;"","")&amp;"␟"&amp;IFERROR(INDEX(PASTE_ALL,$DF177,7)&amp;"","")&amp;"␟"&amp;IFERROR(INDEX(PASTE_ALL,$DF177,8)&amp;"","")&amp;"␟"&amp;IFERROR(INDEX(PASTE_ALL,$DF177,9)&amp;"","")&amp;"␟"&amp;IFERROR(INDEX(PASTE_ALL,$DF177,10)&amp;"","")&amp;"␟"&amp;IFERROR(INDEX(PASTE_ALL,$DF177,11)&amp;"","")&amp;"␟"&amp;IFERROR(INDEX(PASTE_ALL,$DF177,12)&amp;"","")&amp;"␟"&amp;IFERROR(INDEX(PASTE_ALL,$DF177,13)&amp;"","")&amp;"␟"&amp;IFERROR(INDEX(PASTE_ALL,$DF177,14)&amp;"","")&amp;"␟"&amp;IFERROR(INDEX(PASTE_ALL,$DF177,15)&amp;"","")&amp;"␟"&amp;IFERROR(INDEX(PASTE_ALL,$DF177,16)&amp;"","")&amp;"␟"&amp;IFERROR(INDEX(PASTE_ALL,$DF177,17)&amp;"","")&amp;"␟"&amp;IFERROR(INDEX(PASTE_ALL,$DF177,18)&amp;"","")&amp;"␟"&amp;IFERROR(INDEX(PASTE_ALL,$DF177,19)&amp;"","")&amp;"␟"&amp;IFERROR(INDEX(PASTE_ALL,$DF177,20)&amp;"","")&amp;"␟"&amp;IFERROR(INDEX(PASTE_ALL,$DF177,21)&amp;"","")&amp;"␟"&amp;IFERROR(INDEX(PASTE_ALL,$DF177,22)&amp;"","")&amp;"␟"&amp;IFERROR(INDEX(PASTE_ALL,$DF177,23)&amp;"","")&amp;"␟"&amp;IFERROR(INDEX(PASTE_ALL,$DF177,24)&amp;"","")&amp;"␟"&amp;IFERROR(INDEX(PASTE_ALL,$DF177,25)&amp;"","")&amp;"␟"&amp;IFERROR(INDEX(PASTE_ALL,$DF177,26)&amp;"","")&amp;"␟"&amp;IFERROR(INDEX(PASTE_ALL,$DF177,27)&amp;"","")&amp;"␟"&amp;IFERROR(INDEX(PASTE_ALL,$DF177,28)&amp;"","")&amp;"␟"&amp;IFERROR(INDEX(PASTE_ALL,$DF177,29)&amp;"","")&amp;"␟"&amp;IFERROR(INDEX(PASTE_ALL,$DF177,30)&amp;"","")&amp;"␟"&amp;IFERROR(INDEX(PASTE_ALL,$DF177,31)&amp;"","")&amp;"␟"&amp;IFERROR(INDEX(PASTE_ALL,$DF177,32)&amp;"","")&amp;"␟"&amp;IFERROR(INDEX(PASTE_ALL,$DF177,33)&amp;"","")&amp;"␟"&amp;IFERROR(INDEX(PASTE_ALL,$DF177,34)&amp;"","")&amp;"␟"&amp;IFERROR(INDEX(PASTE_ALL,$DF177,35)&amp;"","")&amp;"␟"&amp;IFERROR(INDEX(PASTE_ALL,$DF177,36)&amp;"","")&amp;"␟"&amp;IFERROR(INDEX(PASTE_ALL,$DF177,37)&amp;"","")&amp;"␟"&amp;IFERROR(INDEX(PASTE_ALL,$DF177,38)&amp;"","")&amp;"␟"&amp;IFERROR(INDEX(PASTE_ALL,$DF177,39)&amp;"","")&amp;"␟"&amp;IFERROR(INDEX(PASTE_ALL,$DF177,40)&amp;"","")&amp;"␟"&amp;IFERROR(INDEX(PASTE_ALL,$DF177,41)&amp;"","")&amp;"␟"&amp;IFERROR(INDEX(PASTE_ALL,$DF177,42)&amp;"","")&amp;"␟"&amp;IFERROR(INDEX(PASTE_ALL,$DF177,43)&amp;"","")&amp;"␟"&amp;IFERROR(INDEX(PASTE_ALL,$DF177,44)&amp;"","")&amp;"␟"&amp;IFERROR(INDEX(PASTE_ALL,$DF177,45)&amp;"","")&amp;"␟"&amp;IFERROR(INDEX(PASTE_ALL,$DF177,46)&amp;"","")&amp;"␟"&amp;IFERROR(INDEX(PASTE_ALL,$DF177,47)&amp;"","")&amp;"␟"&amp;IFERROR(INDEX(PASTE_ALL,$DF177,48)&amp;"","")&amp;"␟"&amp;IFERROR(INDEX(PASTE_ALL,$DF177,49)&amp;"","")&amp;"␟"&amp;IFERROR(INDEX(PASTE_ALL,$DF177,50)&amp;"","")&amp;"␟"&amp;IFERROR(INDEX(PASTE_ALL,$DF177,51)&amp;"","")&amp;"␟"&amp;IFERROR(INDEX(PASTE_ALL,$DF177,52)&amp;"","")&amp;"␟"&amp;IFERROR(INDEX(PASTE_ALL,$DF177,53)&amp;"","")&amp;"␟"&amp;IFERROR(INDEX(PASTE_ALL,$DF177,54)&amp;"","")&amp;"␟"&amp;IFERROR(INDEX(PASTE_ALL,$DF177,55)&amp;"","")&amp;"␟"&amp;IFERROR(INDEX(PASTE_ALL,$DF177,56)&amp;"","")&amp;"␟"&amp;IFERROR(INDEX(PASTE_ALL,$DF177,57)&amp;"","")&amp;"␟"&amp;IFERROR(INDEX(PASTE_ALL,$DF177,58)&amp;"","")&amp;"␟"&amp;IFERROR(INDEX(PASTE_ALL,$DF177,59)&amp;"","")&amp;"␟"&amp;IFERROR(INDEX(PASTE_ALL,$DF177,60)&amp;"","")," "," "),CHAR(9)," "),CHAR(10)," "),CHAR(13)," "))," ␟","␟"),"␟ ","␟"),"#"&amp;$DE177),"")</f>
        <v/>
      </c>
      <c r="DJ177">
        <f>IF($DI177="",0,IF(SUMPRODUCT(--EXACT($DI$4:DI176,$DI177))&gt;0,1,0))</f>
        <v/>
      </c>
      <c r="DK177">
        <f>IF(AND($DI177&lt;&gt;"",$DJ177=0),1,0)</f>
        <v/>
      </c>
      <c r="DL177">
        <f>DL176+$DK177</f>
        <v/>
      </c>
      <c r="DM177">
        <f>IF(AND($DK177=1,$DL177&lt;=600),1,0)</f>
        <v/>
      </c>
      <c r="DN177">
        <f>IF($DM177=0,"",IF($L$6=0,"",IFERROR(IF(ISNUMBER(INDEX(PASTE_ALL,$DF177,$L$6)),INDEX(PASTE_ALL,$DF177,$L$6),TRIM(SUBSTITUTE(SUBSTITUTE(SUBSTITUTE(SUBSTITUTE(INDEX(PASTE_ALL,$DF177,$L$6)," "," "),CHAR(9)," "),CHAR(10)," "),CHAR(13)," "))),"")))</f>
        <v/>
      </c>
      <c r="DO177">
        <f>IF($DM177=0,"",IF($L$7=0,"",IFERROR(IF(ISNUMBER(INDEX(PASTE_ALL,$DF177,$L$7)),INDEX(PASTE_ALL,$DF177,$L$7),TRIM(SUBSTITUTE(SUBSTITUTE(SUBSTITUTE(SUBSTITUTE(INDEX(PASTE_ALL,$DF177,$L$7)," "," "),CHAR(9)," "),CHAR(10)," "),CHAR(13)," "))),"")))</f>
        <v/>
      </c>
      <c r="DP177">
        <f>IF($DM177=0,"",IF($L$8=0,"",IFERROR(IF(ISNUMBER(INDEX(PASTE_ALL,$DF177,$L$8)),INDEX(PASTE_ALL,$DF177,$L$8),TRIM(SUBSTITUTE(SUBSTITUTE(SUBSTITUTE(SUBSTITUTE(INDEX(PASTE_ALL,$DF177,$L$8)," "," "),CHAR(9)," "),CHAR(10)," "),CHAR(13)," "))),"")))</f>
        <v/>
      </c>
      <c r="DQ177">
        <f>IF($DM177=0,"",IF($L$9=0,"",IFERROR(IF(ISNUMBER(INDEX(PASTE_ALL,$DF177,$L$9)),INDEX(PASTE_ALL,$DF177,$L$9),TRIM(SUBSTITUTE(SUBSTITUTE(SUBSTITUTE(SUBSTITUTE(INDEX(PASTE_ALL,$DF177,$L$9)," "," "),CHAR(9)," "),CHAR(10)," "),CHAR(13)," "))),"")))</f>
        <v/>
      </c>
      <c r="DR177">
        <f>IF($DM177=0,"",IF($L$10=0,"",IFERROR(IF(ISNUMBER(INDEX(PASTE_ALL,$DF177,$L$10)),INDEX(PASTE_ALL,$DF177,$L$10),TRIM(SUBSTITUTE(SUBSTITUTE(SUBSTITUTE(SUBSTITUTE(INDEX(PASTE_ALL,$DF177,$L$10)," "," "),CHAR(9)," "),CHAR(10)," "),CHAR(13)," "))),"")))</f>
        <v/>
      </c>
      <c r="DS177">
        <f>IF($DM177=0,"",IF($L$11=0,"",IFERROR(IF(ISNUMBER(INDEX(PASTE_ALL,$DF177,$L$11)),INDEX(PASTE_ALL,$DF177,$L$11),TRIM(SUBSTITUTE(SUBSTITUTE(SUBSTITUTE(SUBSTITUTE(INDEX(PASTE_ALL,$DF177,$L$11)," "," "),CHAR(9)," "),CHAR(10)," "),CHAR(13)," "))),"")))</f>
        <v/>
      </c>
      <c r="DT177">
        <f>IF($DM177=0,"",IF($L$12=0,"",IFERROR(IF(ISNUMBER(INDEX(PASTE_ALL,$DF177,$L$12)),INDEX(PASTE_ALL,$DF177,$L$12),TRIM(SUBSTITUTE(SUBSTITUTE(SUBSTITUTE(SUBSTITUTE(INDEX(PASTE_ALL,$DF177,$L$12)," "," "),CHAR(9)," "),CHAR(10)," "),CHAR(13)," "))),"")))</f>
        <v/>
      </c>
      <c r="DU177">
        <f>IF($DM177=0,"",IF($L$13=0,"",IFERROR(IF(ISNUMBER(INDEX(PASTE_ALL,$DF177,$L$13)),INDEX(PASTE_ALL,$DF177,$L$13),TRIM(SUBSTITUTE(SUBSTITUTE(SUBSTITUTE(SUBSTITUTE(INDEX(PASTE_ALL,$DF177,$L$13)," "," "),CHAR(9)," "),CHAR(10)," "),CHAR(13)," "))),"")))</f>
        <v/>
      </c>
      <c r="DV177">
        <f>IF($DM177=0,"",IF($L$14=0,"",IFERROR(IF(ISNUMBER(INDEX(PASTE_ALL,$DF177,$L$14)),INDEX(PASTE_ALL,$DF177,$L$14),TRIM(SUBSTITUTE(SUBSTITUTE(SUBSTITUTE(SUBSTITUTE(INDEX(PASTE_ALL,$DF177,$L$14)," "," "),CHAR(9)," "),CHAR(10)," "),CHAR(13)," "))),"")))</f>
        <v/>
      </c>
      <c r="DW177">
        <f>IF($DM177=0,"",IF($L$15=0,"",IFERROR(IF(ISNUMBER(INDEX(PASTE_ALL,$DF177,$L$15)),INDEX(PASTE_ALL,$DF177,$L$15),IF(SUMPRODUCT(--ISNUMBER(FIND({"A","B","C","D","E","F","G","H","I","J","K","L","M","N","O","P","Q","R","S","T","U","V","W","X","Y","Z","0","1","2","3","4","5","6","7","8","9"},UPPER(TRIM(SUBSTITUTE(SUBSTITUTE(SUBSTITUTE(SUBSTITUTE(INDEX(PASTE_ALL,$DF177,$L$15)," "," "),CHAR(9)," "),CHAR(10)," "),CHAR(13)," "))))))&gt;0,TRIM(SUBSTITUTE(SUBSTITUTE(SUBSTITUTE(SUBSTITUTE(INDEX(PASTE_ALL,$DF177,$L$15)," "," "),CHAR(9)," "),CHAR(10)," "),CHAR(13)," ")),"")),"")))</f>
        <v/>
      </c>
      <c r="DX177">
        <f>IF($DM177=0,"",IF($L$16=0,"",IFERROR(IF(ISNUMBER(INDEX(PASTE_ALL,$DF177,$L$16)),INDEX(PASTE_ALL,$DF177,$L$16),SUBSTITUTE(SUBSTITUTE(TRIM(SUBSTITUTE(SUBSTITUTE(SUBSTITUTE(SUBSTITUTE(INDEX(PASTE_ALL,$DF177,$L$16)," "," "),CHAR(9)," "),CHAR(10)," "),CHAR(13)," ")),",",""),"%","")),"")))</f>
        <v/>
      </c>
      <c r="DY177">
        <f>IF($DM177=0,"",IFERROR(IF(ISNUMBER($DX177),$DX177,IF($DX177="","",IF(TRIM($DX177)="",0,IF(AND(AND(SUBSTITUTE(SUBSTITUTE(SUBSTITUTE(SUBSTITUTE(SUBSTITUTE(SUBSTITUTE(SUBSTITUTE(SUBSTITUTE(SUBSTITUTE(SUBSTITUTE(SUBSTITUTE(SUBSTITUTE(SUBSTITUTE(SUBSTITUTE(UPPER(TRIM($DX177)),"0",""),"1",""),"2",""),"3",""),"4",""),"5",""),"6",""),"7",""),"8",""),"9",""),".",""),"+",""),"-",""),"E","")="",LEN(SUBSTITUTE(SUBSTITUTE(MID(UPPER(TRIM($DX177)),1+OR(LEFT(UPPER(TRIM($DX177)),1)="+",LEFT(UPPER(TRIM($DX177)),1)="-"),999),"E+","E"),"E-","E"))=LEN(SUBSTITUTE(SUBSTITUTE(SUBSTITUTE(SUBSTITUTE(MID(UPPER(TRIM($DX177)),1+OR(LEFT(UPPER(TRIM($DX177)),1)="+",LEFT(UPPER(TRIM($DX177)),1)="-"),999),"E+","E"),"E-","E"),"+",""),"-","")),LEN(UPPER(TRIM($DX177)))-LEN(SUBSTITUTE(UPPER(TRIM($DX177)),"E",""))&lt;2,LEN(UPPER(TRIM($DX177)))-LEN(SUBSTITUTE(UPPER(TRIM($DX177)),".",""))&lt;2,IFERROR(FIND(".",UPPER(TRIM($DX177))),0)&lt;IFERROR(FIND("E",UPPER(TRIM($DX177))),999)),ISNUMBER(VALUE(TRIM($DX177)))),VALUE(TRIM($DX177)),"")))),""))</f>
        <v/>
      </c>
      <c r="DZ177">
        <f>IF($DM177=0,"",IF($L$17=0,"",IFERROR(IF(ISNUMBER(INDEX(PASTE_ALL,$DF177,$L$17)),INDEX(PASTE_ALL,$DF177,$L$17),SUBSTITUTE(SUBSTITUTE(TRIM(SUBSTITUTE(SUBSTITUTE(SUBSTITUTE(SUBSTITUTE(INDEX(PASTE_ALL,$DF177,$L$17)," "," "),CHAR(9)," "),CHAR(10)," "),CHAR(13)," ")),",",""),"%","")),"")))</f>
        <v/>
      </c>
      <c r="EA177">
        <f>IF($DM177=0,"",IFERROR(IF(ISNUMBER($DZ177),$DZ177,IF($DZ177="","",IF(TRIM($DZ177)="",0,IF(AND(AND(SUBSTITUTE(SUBSTITUTE(SUBSTITUTE(SUBSTITUTE(SUBSTITUTE(SUBSTITUTE(SUBSTITUTE(SUBSTITUTE(SUBSTITUTE(SUBSTITUTE(SUBSTITUTE(SUBSTITUTE(SUBSTITUTE(SUBSTITUTE(UPPER(TRIM($DZ177)),"0",""),"1",""),"2",""),"3",""),"4",""),"5",""),"6",""),"7",""),"8",""),"9",""),".",""),"+",""),"-",""),"E","")="",LEN(SUBSTITUTE(SUBSTITUTE(MID(UPPER(TRIM($DZ177)),1+OR(LEFT(UPPER(TRIM($DZ177)),1)="+",LEFT(UPPER(TRIM($DZ177)),1)="-"),999),"E+","E"),"E-","E"))=LEN(SUBSTITUTE(SUBSTITUTE(SUBSTITUTE(SUBSTITUTE(MID(UPPER(TRIM($DZ177)),1+OR(LEFT(UPPER(TRIM($DZ177)),1)="+",LEFT(UPPER(TRIM($DZ177)),1)="-"),999),"E+","E"),"E-","E"),"+",""),"-","")),LEN(UPPER(TRIM($DZ177)))-LEN(SUBSTITUTE(UPPER(TRIM($DZ177)),"E",""))&lt;2,LEN(UPPER(TRIM($DZ177)))-LEN(SUBSTITUTE(UPPER(TRIM($DZ177)),".",""))&lt;2,IFERROR(FIND(".",UPPER(TRIM($DZ177))),0)&lt;IFERROR(FIND("E",UPPER(TRIM($DZ177))),999)),ISNUMBER(VALUE(TRIM($DZ177)))),VALUE(TRIM($DZ177)),"")))),""))</f>
        <v/>
      </c>
      <c r="EB177">
        <f>IF($DM177=0,"",IF($L$18=0,"",IFERROR(IF(UPPER(TRIM(SUBSTITUTE(SUBSTITUTE(SUBSTITUTE(SUBSTITUTE(INDEX(PASTE_ALL,$DF177,$L$18)," "," "),CHAR(9)," "),CHAR(10)," "),CHAR(13)," ")))="READY","Ready",IF(UPPER(TRIM(SUBSTITUTE(SUBSTITUTE(SUBSTITUTE(SUBSTITUTE(INDEX(PASTE_ALL,$DF177,$L$18)," "," "),CHAR(9)," "),CHAR(10)," "),CHAR(13)," ")))="PM","PM",IF(OR(UPPER(TRIM(SUBSTITUTE(SUBSTITUTE(SUBSTITUTE(SUBSTITUTE(INDEX(PASTE_ALL,$DF177,$L$18)," "," "),CHAR(9)," "),CHAR(10)," "),CHAR(13)," ")))="OT",UPPER(TRIM(SUBSTITUTE(SUBSTITUTE(SUBSTITUTE(SUBSTITUTE(INDEX(PASTE_ALL,$DF177,$L$18)," "," "),CHAR(9)," "),CHAR(10)," "),CHAR(13)," ")))="OVERTIME",UPPER(TRIM(SUBSTITUTE(SUBSTITUTE(SUBSTITUTE(SUBSTITUTE(INDEX(PASTE_ALL,$DF177,$L$18)," "," "),CHAR(9)," "),CHAR(10)," "),CHAR(13)," ")))="TRIAL"),"OT",TRIM(SUBSTITUTE(SUBSTITUTE(SUBSTITUTE(SUBSTITUTE(INDEX(PASTE_ALL,$DF177,$L$18)," "," "),CHAR(9)," "),CHAR(10)," "),CHAR(13)," "))))),"")))</f>
        <v/>
      </c>
      <c r="EC177">
        <f>IF($DM177=0,"",IF($L$19=0,"",IFERROR(IF(ISNUMBER(INDEX(PASTE_ALL,$DF177,$L$19)),INDEX(PASTE_ALL,$DF177,$L$19),TRIM(SUBSTITUTE(SUBSTITUTE(SUBSTITUTE(SUBSTITUTE(INDEX(PASTE_ALL,$DF177,$L$19)," "," "),CHAR(9)," "),CHAR(10)," "),CHAR(13)," "))),"")))</f>
        <v/>
      </c>
      <c r="ED177">
        <f>IF($DM177=0,"",MATCH(1,INDEX(EXACT($DH$5:DH177,$DH177)*$DM$5:DM177,0),0))</f>
        <v/>
      </c>
      <c r="EE177">
        <f>IF($DM177=0,0,IF($ED177=$DE177,1,0))</f>
        <v/>
      </c>
      <c r="EF177">
        <f>EF176+$EE177</f>
        <v/>
      </c>
      <c r="EG177">
        <f>IF($DM177=0,"",INDEX($EF$5:$EF$1003,$ED177))</f>
        <v/>
      </c>
      <c r="EH177">
        <f>IF($DM177=0,"",IF($DO177&lt;&gt;"","",IFERROR(LOOKUP(2,1/(($EG$4:EG176=$EG177)*($DO$4:DO176&lt;&gt;"")),$DO$4:DO176),"")))</f>
        <v/>
      </c>
      <c r="EI177">
        <f>IF($DM177=0,"",IF($DO177&lt;&gt;"",$DO177,$EH177))</f>
        <v/>
      </c>
      <c r="EJ177">
        <f>IF($DM177=0,"",IF($EI177="",0,IF(OR(ISNUMBER($EI177),AND(AND(SUBSTITUTE(SUBSTITUTE(SUBSTITUTE(SUBSTITUTE(SUBSTITUTE(SUBSTITUTE(SUBSTITUTE(SUBSTITUTE(SUBSTITUTE(SUBSTITUTE(SUBSTITUTE(SUBSTITUTE(SUBSTITUTE(SUBSTITUTE(UPPER($EI177),"0",""),"1",""),"2",""),"3",""),"4",""),"5",""),"6",""),"7",""),"8",""),"9",""),".",""),"+",""),"-",""),"E","")="",LEN(SUBSTITUTE(SUBSTITUTE(MID(UPPER($EI177),1+OR(LEFT(UPPER($EI177),1)="+",LEFT(UPPER($EI177),1)="-"),999),"E+","E"),"E-","E"))=LEN(SUBSTITUTE(SUBSTITUTE(SUBSTITUTE(SUBSTITUTE(MID(UPPER($EI177),1+OR(LEFT(UPPER($EI177),1)="+",LEFT(UPPER($EI177),1)="-"),999),"E+","E"),"E-","E"),"+",""),"-","")),LEN(UPPER($EI177))-LEN(SUBSTITUTE(UPPER($EI177),"E",""))&lt;2,LEN(UPPER($EI177))-LEN(SUBSTITUTE(UPPER($EI177),".",""))&lt;2,IFERROR(FIND(".",UPPER($EI177)),0)&lt;IFERROR(FIND("E",UPPER($EI177)),999)),ISNUMBER(VALUE($EI177)))),1,2)))</f>
        <v/>
      </c>
      <c r="EK177">
        <f>IF($DM177=0,"",IF($EJ177=1,IF(ISNUMBER($EI177),$EI177,VALUE($EI177)),IF($EJ177=2,$DE177,0)))</f>
        <v/>
      </c>
      <c r="EL177">
        <f>IF($DM177=0,"",COUNTIF($EG$5:$EG$1003,"&lt;"&amp;$EG177)+SUMPRODUCT(($EG$5:$EG$1003=$EG177)*(($EJ$5:$EJ$1003&lt;$EJ177)+($EJ$5:$EJ$1003=$EJ177)*(($EK$5:$EK$1003&lt;$EK177)+($EK$5:$EK$1003=$EK177)*($DE$5:$DE$1003&lt;$DE177))))+1)</f>
        <v/>
      </c>
      <c r="EM177">
        <f>IF($DM177=0,"",$EL177+$EG177-1)</f>
        <v/>
      </c>
      <c r="EN177">
        <f>IF($DM177=0,0,IFERROR(MATCH(1,INDEX(--(TRIM(SUBSTITUTE(SUBSTITUTE(SUBSTITUTE(SUBSTITUTE(LINES_NAME&amp;""," "," "),CHAR(9)," "),CHAR(10)," "),CHAR(13)," "))=$DH177),0),0),0))</f>
        <v/>
      </c>
      <c r="EO177">
        <f>IF($EN177=0,0,IF(OR(UPPER(TRIM(INDEX(LINES_SCHEDULED,$EN177)&amp;""))="YES",UPPER(TRIM(INDEX(LINES_SCHEDULED,$EN177)&amp;""))="Y",UPPER(TRIM(INDEX(LINES_SCHEDULED,$EN177)&amp;""))="X"),1,0))</f>
        <v/>
      </c>
      <c r="EP177">
        <f>IF($DM177=0,"",IF(COUNTIFS($EG$5:$EG$1003,$EG177,$EB$5:$EB$1003,"Ready")&gt;0,"READY",IF(COUNTIFS($EG$5:$EG$1003,$EG177,$EB$5:$EB$1003,"PM")&gt;0,"PM",IF(COUNTIFS($EG$5:$EG$1003,$EG177,$EB$5:$EB$1003,"OT")&gt;0,"OT",""))))</f>
        <v/>
      </c>
      <c r="EQ177">
        <f>IF($EN177=0,"",UPPER(TRIM(INDEX(LINES_STATUS,$EN177)&amp;"")))</f>
        <v/>
      </c>
      <c r="ER177">
        <f>IF($DM177=0,"",IF(OR($EQ177="READY",$EQ177="PM",$EQ177="OT"),$EQ177,$EP177))</f>
        <v/>
      </c>
      <c r="ES177">
        <f>IF($DM177=0,"",IF(AND($DV177&lt;&gt;"",UPPER($DV177)&lt;&gt;"N"),"allergen",IF(ISNUMBER(SEARCH("oil",$DQ177)),"oil",IF(OR(EXACT($DS177,"A662"),EXACT($DS177,"A624")),"bulk",""))))</f>
        <v/>
      </c>
      <c r="ET177">
        <f>IF($DM177=0,"",IF(OR($EA177="",$EA177=0),"",$EA177/100))</f>
        <v/>
      </c>
      <c r="EU177">
        <f>IF(OR($ET177="",$DY177=""),"",INT($DY177*(1-$ET177)+0.5))</f>
        <v/>
      </c>
      <c r="EW177" t="n">
        <v>173</v>
      </c>
      <c r="EX177">
        <f>IFERROR(MATCH($EW177,$EM$5:$EM$1003,0),0)</f>
        <v/>
      </c>
      <c r="EY177">
        <f>IF($EW177&gt;$B$12,"",IF($EX177&gt;0,"row","spacer"))</f>
        <v/>
      </c>
      <c r="EZ177">
        <f>IF(AND($EY177="row",$EY176&lt;&gt;"row"),1,0)</f>
        <v/>
      </c>
      <c r="FA177">
        <f>IF(AND($EY177="row",$EY178&lt;&gt;"row"),1,0)</f>
        <v/>
      </c>
      <c r="FB177">
        <f>IF($EZ177=1,IFERROR(IF(ISNUMBER(INDEX(PASTE_ALL,INDEX($DF$5:$DF$1003,$EX177),$B$37)),INDEX(PASTE_ALL,INDEX($DF$5:$DF$1003,$EX177),$B$37),INDEX($DH$5:$DH$1003,$EX177)),INDEX($DH$5:$DH$1003,$EX177)),"")</f>
        <v/>
      </c>
      <c r="FC177">
        <f>IF($EY177="row",INDEX($ER$5:$ER$1003,$EX177),"")</f>
        <v/>
      </c>
      <c r="FD177">
        <f>IF($EY177="row",INDEX($DN$5:$DN$1003,$EX177),"")</f>
        <v/>
      </c>
      <c r="FE177">
        <f>IF($EY177="row",INDEX($DO$5:$DO$1003,$EX177),"")</f>
        <v/>
      </c>
      <c r="FF177">
        <f>IF($EY177="row",INDEX($DP$5:$DP$1003,$EX177),"")</f>
        <v/>
      </c>
      <c r="FG177">
        <f>IF($EY177="row",INDEX($DQ$5:$DQ$1003,$EX177),"")</f>
        <v/>
      </c>
      <c r="FH177">
        <f>IF($EY177="row",INDEX($DR$5:$DR$1003,$EX177),"")</f>
        <v/>
      </c>
      <c r="FI177">
        <f>IF($EY177="row",INDEX($DS$5:$DS$1003,$EX177),"")</f>
        <v/>
      </c>
      <c r="FJ177">
        <f>IF($EY177="row",INDEX($DT$5:$DT$1003,$EX177),"")</f>
        <v/>
      </c>
      <c r="FK177">
        <f>IF($EY177="row",INDEX($DU$5:$DU$1003,$EX177),"")</f>
        <v/>
      </c>
      <c r="FL177">
        <f>IF($EY177="row",INDEX($DV$5:$DV$1003,$EX177),"")</f>
        <v/>
      </c>
      <c r="FM177">
        <f>IF($EY177="row",INDEX($DW$5:$DW$1003,$EX177),"")</f>
        <v/>
      </c>
      <c r="FN177">
        <f>IF($EY177="row",INDEX($DY$5:$DY$1003,$EX177),"")</f>
        <v/>
      </c>
      <c r="FO177">
        <f>IF($EY177="row",INDEX($EA$5:$EA$1003,$EX177),"")</f>
        <v/>
      </c>
      <c r="FP177">
        <f>IF($EY177="row",INDEX($EC$5:$EC$1003,$EX177),"")</f>
        <v/>
      </c>
      <c r="FQ177">
        <f>IF($EY177="row",INDEX($ET$5:$ET$1003,$EX177),"")</f>
        <v/>
      </c>
      <c r="FR177">
        <f>IF($EY177="row",INDEX($EU$5:$EU$1003,$EX177),"")</f>
        <v/>
      </c>
      <c r="FS177">
        <f>IF(AND($EY177="row",$EY176="row"),IF(OR(INDEX($DT$5:$DT$1003,$EX176)="",INDEX($DT$5:$DT$1003,$EX177)=""),"",IF(NOT(EXACT(INDEX($DT$5:$DT$1003,$EX176),INDEX($DT$5:$DT$1003,$EX177))),"S4",IF(NOT(EXACT(INDEX($DS$5:$DS$1003,$EX176),INDEX($DS$5:$DS$1003,$EX177))),"S3",IF(NOT(EXACT(INDEX($DR$5:$DR$1003,$EX176),INDEX($DR$5:$DR$1003,$EX177))),"S1 Count Change","S1")))),"")</f>
        <v/>
      </c>
      <c r="FT177">
        <f>IF($EY177="row",INDEX($ES$5:$ES$1003,$EX177),"")</f>
        <v/>
      </c>
      <c r="FU177">
        <f>IF($EY177="row",INDEX($EO$5:$EO$1003,$EX177),0)</f>
        <v/>
      </c>
      <c r="FV177">
        <f>IF($FS177="S1 Count Change",1,0)</f>
        <v/>
      </c>
    </row>
    <row r="178">
      <c r="Y178">
        <f>IF(Y43="",0,2*(OR(ISNUMBER(FIND("WORKCENTER",Y43)),AND(LEFT(Y43,4)="LINE",NOT(ISNUMBER(FIND("STATUS",Y43))))))+4*(OR(ISNUMBER(FIND("WORKORDER",Y43)),AND(LEFT(Y43,2)="WO",OR(ISNUMBER(FIND("NUM",Y43)),RIGHT(Y43,2)="NO"))))+8*(LEFT(Y43,3)="SEQ")+16*(AND(LEFT(Y43,4)="ITEM",NOT(ISNUMBER(FIND("DESC",Y43)))))+32*(AND(ISNUMBER(FIND("DESC",Y43)),NOT(ISNUMBER(FIND("CAP",Y43)))))+64*(OR(RIGHT(Y43,5)="COUNT",RIGHT(Y43,2)="CT"))+128*(ISNUMBER(FIND("BULK",Y43)))+256*(ISNUMBER(FIND("SIZE",Y43)))+512*(LEFT(Y43,3)="CAP")+1024*(ISNUMBER(FIND("ALLERG",Y43)))+2048*(OR(ISNUMBER(FIND("REMARK",Y43)),ISNUMBER(FIND("COMMENT",Y43))))+4096*(OR(ISNUMBER(FIND("QTY",Y43)),ISNUMBER(FIND("QUANTITY",Y43))))+8192*(AND(OR(ISNUMBER(FIND("COMPLETE",Y43)),ISNUMBER(FIND("PCT",Y43)),ISNUMBER(FIND("PERCENT",Y43))),NOT(ISNUMBER(FIND("ACTUAL",Y43))),LEN(Y43)&lt;=16))+32768*(OR(ISNUMBER(FIND("DESIC",Y43)),ISNUMBER(FIND("DESSIC",Y43)))))</f>
        <v/>
      </c>
      <c r="Z178">
        <f>IF(Z43="",0,2*(OR(ISNUMBER(FIND("WORKCENTER",Z43)),AND(LEFT(Z43,4)="LINE",NOT(ISNUMBER(FIND("STATUS",Z43))))))+4*(OR(ISNUMBER(FIND("WORKORDER",Z43)),AND(LEFT(Z43,2)="WO",OR(ISNUMBER(FIND("NUM",Z43)),RIGHT(Z43,2)="NO"))))+8*(LEFT(Z43,3)="SEQ")+16*(AND(LEFT(Z43,4)="ITEM",NOT(ISNUMBER(FIND("DESC",Z43)))))+32*(AND(ISNUMBER(FIND("DESC",Z43)),NOT(ISNUMBER(FIND("CAP",Z43)))))+64*(OR(RIGHT(Z43,5)="COUNT",RIGHT(Z43,2)="CT"))+128*(ISNUMBER(FIND("BULK",Z43)))+256*(ISNUMBER(FIND("SIZE",Z43)))+512*(LEFT(Z43,3)="CAP")+1024*(ISNUMBER(FIND("ALLERG",Z43)))+2048*(OR(ISNUMBER(FIND("REMARK",Z43)),ISNUMBER(FIND("COMMENT",Z43))))+4096*(OR(ISNUMBER(FIND("QTY",Z43)),ISNUMBER(FIND("QUANTITY",Z43))))+8192*(AND(OR(ISNUMBER(FIND("COMPLETE",Z43)),ISNUMBER(FIND("PCT",Z43)),ISNUMBER(FIND("PERCENT",Z43))),NOT(ISNUMBER(FIND("ACTUAL",Z43))),LEN(Z43)&lt;=16))+32768*(OR(ISNUMBER(FIND("DESIC",Z43)),ISNUMBER(FIND("DESSIC",Z43)))))</f>
        <v/>
      </c>
      <c r="AA178">
        <f>IF(AA43="",0,2*(OR(ISNUMBER(FIND("WORKCENTER",AA43)),AND(LEFT(AA43,4)="LINE",NOT(ISNUMBER(FIND("STATUS",AA43))))))+4*(OR(ISNUMBER(FIND("WORKORDER",AA43)),AND(LEFT(AA43,2)="WO",OR(ISNUMBER(FIND("NUM",AA43)),RIGHT(AA43,2)="NO"))))+8*(LEFT(AA43,3)="SEQ")+16*(AND(LEFT(AA43,4)="ITEM",NOT(ISNUMBER(FIND("DESC",AA43)))))+32*(AND(ISNUMBER(FIND("DESC",AA43)),NOT(ISNUMBER(FIND("CAP",AA43)))))+64*(OR(RIGHT(AA43,5)="COUNT",RIGHT(AA43,2)="CT"))+128*(ISNUMBER(FIND("BULK",AA43)))+256*(ISNUMBER(FIND("SIZE",AA43)))+512*(LEFT(AA43,3)="CAP")+1024*(ISNUMBER(FIND("ALLERG",AA43)))+2048*(OR(ISNUMBER(FIND("REMARK",AA43)),ISNUMBER(FIND("COMMENT",AA43))))+4096*(OR(ISNUMBER(FIND("QTY",AA43)),ISNUMBER(FIND("QUANTITY",AA43))))+8192*(AND(OR(ISNUMBER(FIND("COMPLETE",AA43)),ISNUMBER(FIND("PCT",AA43)),ISNUMBER(FIND("PERCENT",AA43))),NOT(ISNUMBER(FIND("ACTUAL",AA43))),LEN(AA43)&lt;=16))+32768*(OR(ISNUMBER(FIND("DESIC",AA43)),ISNUMBER(FIND("DESSIC",AA43)))))</f>
        <v/>
      </c>
      <c r="AB178">
        <f>IF(AB43="",0,2*(OR(ISNUMBER(FIND("WORKCENTER",AB43)),AND(LEFT(AB43,4)="LINE",NOT(ISNUMBER(FIND("STATUS",AB43))))))+4*(OR(ISNUMBER(FIND("WORKORDER",AB43)),AND(LEFT(AB43,2)="WO",OR(ISNUMBER(FIND("NUM",AB43)),RIGHT(AB43,2)="NO"))))+8*(LEFT(AB43,3)="SEQ")+16*(AND(LEFT(AB43,4)="ITEM",NOT(ISNUMBER(FIND("DESC",AB43)))))+32*(AND(ISNUMBER(FIND("DESC",AB43)),NOT(ISNUMBER(FIND("CAP",AB43)))))+64*(OR(RIGHT(AB43,5)="COUNT",RIGHT(AB43,2)="CT"))+128*(ISNUMBER(FIND("BULK",AB43)))+256*(ISNUMBER(FIND("SIZE",AB43)))+512*(LEFT(AB43,3)="CAP")+1024*(ISNUMBER(FIND("ALLERG",AB43)))+2048*(OR(ISNUMBER(FIND("REMARK",AB43)),ISNUMBER(FIND("COMMENT",AB43))))+4096*(OR(ISNUMBER(FIND("QTY",AB43)),ISNUMBER(FIND("QUANTITY",AB43))))+8192*(AND(OR(ISNUMBER(FIND("COMPLETE",AB43)),ISNUMBER(FIND("PCT",AB43)),ISNUMBER(FIND("PERCENT",AB43))),NOT(ISNUMBER(FIND("ACTUAL",AB43))),LEN(AB43)&lt;=16))+32768*(OR(ISNUMBER(FIND("DESIC",AB43)),ISNUMBER(FIND("DESSIC",AB43)))))</f>
        <v/>
      </c>
      <c r="AC178">
        <f>IF(AC43="",0,2*(OR(ISNUMBER(FIND("WORKCENTER",AC43)),AND(LEFT(AC43,4)="LINE",NOT(ISNUMBER(FIND("STATUS",AC43))))))+4*(OR(ISNUMBER(FIND("WORKORDER",AC43)),AND(LEFT(AC43,2)="WO",OR(ISNUMBER(FIND("NUM",AC43)),RIGHT(AC43,2)="NO"))))+8*(LEFT(AC43,3)="SEQ")+16*(AND(LEFT(AC43,4)="ITEM",NOT(ISNUMBER(FIND("DESC",AC43)))))+32*(AND(ISNUMBER(FIND("DESC",AC43)),NOT(ISNUMBER(FIND("CAP",AC43)))))+64*(OR(RIGHT(AC43,5)="COUNT",RIGHT(AC43,2)="CT"))+128*(ISNUMBER(FIND("BULK",AC43)))+256*(ISNUMBER(FIND("SIZE",AC43)))+512*(LEFT(AC43,3)="CAP")+1024*(ISNUMBER(FIND("ALLERG",AC43)))+2048*(OR(ISNUMBER(FIND("REMARK",AC43)),ISNUMBER(FIND("COMMENT",AC43))))+4096*(OR(ISNUMBER(FIND("QTY",AC43)),ISNUMBER(FIND("QUANTITY",AC43))))+8192*(AND(OR(ISNUMBER(FIND("COMPLETE",AC43)),ISNUMBER(FIND("PCT",AC43)),ISNUMBER(FIND("PERCENT",AC43))),NOT(ISNUMBER(FIND("ACTUAL",AC43))),LEN(AC43)&lt;=16))+32768*(OR(ISNUMBER(FIND("DESIC",AC43)),ISNUMBER(FIND("DESSIC",AC43)))))</f>
        <v/>
      </c>
      <c r="AD178">
        <f>IF(AD43="",0,2*(OR(ISNUMBER(FIND("WORKCENTER",AD43)),AND(LEFT(AD43,4)="LINE",NOT(ISNUMBER(FIND("STATUS",AD43))))))+4*(OR(ISNUMBER(FIND("WORKORDER",AD43)),AND(LEFT(AD43,2)="WO",OR(ISNUMBER(FIND("NUM",AD43)),RIGHT(AD43,2)="NO"))))+8*(LEFT(AD43,3)="SEQ")+16*(AND(LEFT(AD43,4)="ITEM",NOT(ISNUMBER(FIND("DESC",AD43)))))+32*(AND(ISNUMBER(FIND("DESC",AD43)),NOT(ISNUMBER(FIND("CAP",AD43)))))+64*(OR(RIGHT(AD43,5)="COUNT",RIGHT(AD43,2)="CT"))+128*(ISNUMBER(FIND("BULK",AD43)))+256*(ISNUMBER(FIND("SIZE",AD43)))+512*(LEFT(AD43,3)="CAP")+1024*(ISNUMBER(FIND("ALLERG",AD43)))+2048*(OR(ISNUMBER(FIND("REMARK",AD43)),ISNUMBER(FIND("COMMENT",AD43))))+4096*(OR(ISNUMBER(FIND("QTY",AD43)),ISNUMBER(FIND("QUANTITY",AD43))))+8192*(AND(OR(ISNUMBER(FIND("COMPLETE",AD43)),ISNUMBER(FIND("PCT",AD43)),ISNUMBER(FIND("PERCENT",AD43))),NOT(ISNUMBER(FIND("ACTUAL",AD43))),LEN(AD43)&lt;=16))+32768*(OR(ISNUMBER(FIND("DESIC",AD43)),ISNUMBER(FIND("DESSIC",AD43)))))</f>
        <v/>
      </c>
      <c r="AE178">
        <f>IF(AE43="",0,2*(OR(ISNUMBER(FIND("WORKCENTER",AE43)),AND(LEFT(AE43,4)="LINE",NOT(ISNUMBER(FIND("STATUS",AE43))))))+4*(OR(ISNUMBER(FIND("WORKORDER",AE43)),AND(LEFT(AE43,2)="WO",OR(ISNUMBER(FIND("NUM",AE43)),RIGHT(AE43,2)="NO"))))+8*(LEFT(AE43,3)="SEQ")+16*(AND(LEFT(AE43,4)="ITEM",NOT(ISNUMBER(FIND("DESC",AE43)))))+32*(AND(ISNUMBER(FIND("DESC",AE43)),NOT(ISNUMBER(FIND("CAP",AE43)))))+64*(OR(RIGHT(AE43,5)="COUNT",RIGHT(AE43,2)="CT"))+128*(ISNUMBER(FIND("BULK",AE43)))+256*(ISNUMBER(FIND("SIZE",AE43)))+512*(LEFT(AE43,3)="CAP")+1024*(ISNUMBER(FIND("ALLERG",AE43)))+2048*(OR(ISNUMBER(FIND("REMARK",AE43)),ISNUMBER(FIND("COMMENT",AE43))))+4096*(OR(ISNUMBER(FIND("QTY",AE43)),ISNUMBER(FIND("QUANTITY",AE43))))+8192*(AND(OR(ISNUMBER(FIND("COMPLETE",AE43)),ISNUMBER(FIND("PCT",AE43)),ISNUMBER(FIND("PERCENT",AE43))),NOT(ISNUMBER(FIND("ACTUAL",AE43))),LEN(AE43)&lt;=16))+32768*(OR(ISNUMBER(FIND("DESIC",AE43)),ISNUMBER(FIND("DESSIC",AE43)))))</f>
        <v/>
      </c>
      <c r="AF178">
        <f>IF(AF43="",0,2*(OR(ISNUMBER(FIND("WORKCENTER",AF43)),AND(LEFT(AF43,4)="LINE",NOT(ISNUMBER(FIND("STATUS",AF43))))))+4*(OR(ISNUMBER(FIND("WORKORDER",AF43)),AND(LEFT(AF43,2)="WO",OR(ISNUMBER(FIND("NUM",AF43)),RIGHT(AF43,2)="NO"))))+8*(LEFT(AF43,3)="SEQ")+16*(AND(LEFT(AF43,4)="ITEM",NOT(ISNUMBER(FIND("DESC",AF43)))))+32*(AND(ISNUMBER(FIND("DESC",AF43)),NOT(ISNUMBER(FIND("CAP",AF43)))))+64*(OR(RIGHT(AF43,5)="COUNT",RIGHT(AF43,2)="CT"))+128*(ISNUMBER(FIND("BULK",AF43)))+256*(ISNUMBER(FIND("SIZE",AF43)))+512*(LEFT(AF43,3)="CAP")+1024*(ISNUMBER(FIND("ALLERG",AF43)))+2048*(OR(ISNUMBER(FIND("REMARK",AF43)),ISNUMBER(FIND("COMMENT",AF43))))+4096*(OR(ISNUMBER(FIND("QTY",AF43)),ISNUMBER(FIND("QUANTITY",AF43))))+8192*(AND(OR(ISNUMBER(FIND("COMPLETE",AF43)),ISNUMBER(FIND("PCT",AF43)),ISNUMBER(FIND("PERCENT",AF43))),NOT(ISNUMBER(FIND("ACTUAL",AF43))),LEN(AF43)&lt;=16))+32768*(OR(ISNUMBER(FIND("DESIC",AF43)),ISNUMBER(FIND("DESSIC",AF43)))))</f>
        <v/>
      </c>
      <c r="AG178">
        <f>IF(AG43="",0,2*(OR(ISNUMBER(FIND("WORKCENTER",AG43)),AND(LEFT(AG43,4)="LINE",NOT(ISNUMBER(FIND("STATUS",AG43))))))+4*(OR(ISNUMBER(FIND("WORKORDER",AG43)),AND(LEFT(AG43,2)="WO",OR(ISNUMBER(FIND("NUM",AG43)),RIGHT(AG43,2)="NO"))))+8*(LEFT(AG43,3)="SEQ")+16*(AND(LEFT(AG43,4)="ITEM",NOT(ISNUMBER(FIND("DESC",AG43)))))+32*(AND(ISNUMBER(FIND("DESC",AG43)),NOT(ISNUMBER(FIND("CAP",AG43)))))+64*(OR(RIGHT(AG43,5)="COUNT",RIGHT(AG43,2)="CT"))+128*(ISNUMBER(FIND("BULK",AG43)))+256*(ISNUMBER(FIND("SIZE",AG43)))+512*(LEFT(AG43,3)="CAP")+1024*(ISNUMBER(FIND("ALLERG",AG43)))+2048*(OR(ISNUMBER(FIND("REMARK",AG43)),ISNUMBER(FIND("COMMENT",AG43))))+4096*(OR(ISNUMBER(FIND("QTY",AG43)),ISNUMBER(FIND("QUANTITY",AG43))))+8192*(AND(OR(ISNUMBER(FIND("COMPLETE",AG43)),ISNUMBER(FIND("PCT",AG43)),ISNUMBER(FIND("PERCENT",AG43))),NOT(ISNUMBER(FIND("ACTUAL",AG43))),LEN(AG43)&lt;=16))+32768*(OR(ISNUMBER(FIND("DESIC",AG43)),ISNUMBER(FIND("DESSIC",AG43)))))</f>
        <v/>
      </c>
      <c r="AH178">
        <f>IF(AH43="",0,2*(OR(ISNUMBER(FIND("WORKCENTER",AH43)),AND(LEFT(AH43,4)="LINE",NOT(ISNUMBER(FIND("STATUS",AH43))))))+4*(OR(ISNUMBER(FIND("WORKORDER",AH43)),AND(LEFT(AH43,2)="WO",OR(ISNUMBER(FIND("NUM",AH43)),RIGHT(AH43,2)="NO"))))+8*(LEFT(AH43,3)="SEQ")+16*(AND(LEFT(AH43,4)="ITEM",NOT(ISNUMBER(FIND("DESC",AH43)))))+32*(AND(ISNUMBER(FIND("DESC",AH43)),NOT(ISNUMBER(FIND("CAP",AH43)))))+64*(OR(RIGHT(AH43,5)="COUNT",RIGHT(AH43,2)="CT"))+128*(ISNUMBER(FIND("BULK",AH43)))+256*(ISNUMBER(FIND("SIZE",AH43)))+512*(LEFT(AH43,3)="CAP")+1024*(ISNUMBER(FIND("ALLERG",AH43)))+2048*(OR(ISNUMBER(FIND("REMARK",AH43)),ISNUMBER(FIND("COMMENT",AH43))))+4096*(OR(ISNUMBER(FIND("QTY",AH43)),ISNUMBER(FIND("QUANTITY",AH43))))+8192*(AND(OR(ISNUMBER(FIND("COMPLETE",AH43)),ISNUMBER(FIND("PCT",AH43)),ISNUMBER(FIND("PERCENT",AH43))),NOT(ISNUMBER(FIND("ACTUAL",AH43))),LEN(AH43)&lt;=16))+32768*(OR(ISNUMBER(FIND("DESIC",AH43)),ISNUMBER(FIND("DESSIC",AH43)))))</f>
        <v/>
      </c>
      <c r="AI178">
        <f>IF(AI43="",0,2*(OR(ISNUMBER(FIND("WORKCENTER",AI43)),AND(LEFT(AI43,4)="LINE",NOT(ISNUMBER(FIND("STATUS",AI43))))))+4*(OR(ISNUMBER(FIND("WORKORDER",AI43)),AND(LEFT(AI43,2)="WO",OR(ISNUMBER(FIND("NUM",AI43)),RIGHT(AI43,2)="NO"))))+8*(LEFT(AI43,3)="SEQ")+16*(AND(LEFT(AI43,4)="ITEM",NOT(ISNUMBER(FIND("DESC",AI43)))))+32*(AND(ISNUMBER(FIND("DESC",AI43)),NOT(ISNUMBER(FIND("CAP",AI43)))))+64*(OR(RIGHT(AI43,5)="COUNT",RIGHT(AI43,2)="CT"))+128*(ISNUMBER(FIND("BULK",AI43)))+256*(ISNUMBER(FIND("SIZE",AI43)))+512*(LEFT(AI43,3)="CAP")+1024*(ISNUMBER(FIND("ALLERG",AI43)))+2048*(OR(ISNUMBER(FIND("REMARK",AI43)),ISNUMBER(FIND("COMMENT",AI43))))+4096*(OR(ISNUMBER(FIND("QTY",AI43)),ISNUMBER(FIND("QUANTITY",AI43))))+8192*(AND(OR(ISNUMBER(FIND("COMPLETE",AI43)),ISNUMBER(FIND("PCT",AI43)),ISNUMBER(FIND("PERCENT",AI43))),NOT(ISNUMBER(FIND("ACTUAL",AI43))),LEN(AI43)&lt;=16))+32768*(OR(ISNUMBER(FIND("DESIC",AI43)),ISNUMBER(FIND("DESSIC",AI43)))))</f>
        <v/>
      </c>
      <c r="AJ178">
        <f>IF(AJ43="",0,2*(OR(ISNUMBER(FIND("WORKCENTER",AJ43)),AND(LEFT(AJ43,4)="LINE",NOT(ISNUMBER(FIND("STATUS",AJ43))))))+4*(OR(ISNUMBER(FIND("WORKORDER",AJ43)),AND(LEFT(AJ43,2)="WO",OR(ISNUMBER(FIND("NUM",AJ43)),RIGHT(AJ43,2)="NO"))))+8*(LEFT(AJ43,3)="SEQ")+16*(AND(LEFT(AJ43,4)="ITEM",NOT(ISNUMBER(FIND("DESC",AJ43)))))+32*(AND(ISNUMBER(FIND("DESC",AJ43)),NOT(ISNUMBER(FIND("CAP",AJ43)))))+64*(OR(RIGHT(AJ43,5)="COUNT",RIGHT(AJ43,2)="CT"))+128*(ISNUMBER(FIND("BULK",AJ43)))+256*(ISNUMBER(FIND("SIZE",AJ43)))+512*(LEFT(AJ43,3)="CAP")+1024*(ISNUMBER(FIND("ALLERG",AJ43)))+2048*(OR(ISNUMBER(FIND("REMARK",AJ43)),ISNUMBER(FIND("COMMENT",AJ43))))+4096*(OR(ISNUMBER(FIND("QTY",AJ43)),ISNUMBER(FIND("QUANTITY",AJ43))))+8192*(AND(OR(ISNUMBER(FIND("COMPLETE",AJ43)),ISNUMBER(FIND("PCT",AJ43)),ISNUMBER(FIND("PERCENT",AJ43))),NOT(ISNUMBER(FIND("ACTUAL",AJ43))),LEN(AJ43)&lt;=16))+32768*(OR(ISNUMBER(FIND("DESIC",AJ43)),ISNUMBER(FIND("DESSIC",AJ43)))))</f>
        <v/>
      </c>
      <c r="AK178">
        <f>IF(AK43="",0,2*(OR(ISNUMBER(FIND("WORKCENTER",AK43)),AND(LEFT(AK43,4)="LINE",NOT(ISNUMBER(FIND("STATUS",AK43))))))+4*(OR(ISNUMBER(FIND("WORKORDER",AK43)),AND(LEFT(AK43,2)="WO",OR(ISNUMBER(FIND("NUM",AK43)),RIGHT(AK43,2)="NO"))))+8*(LEFT(AK43,3)="SEQ")+16*(AND(LEFT(AK43,4)="ITEM",NOT(ISNUMBER(FIND("DESC",AK43)))))+32*(AND(ISNUMBER(FIND("DESC",AK43)),NOT(ISNUMBER(FIND("CAP",AK43)))))+64*(OR(RIGHT(AK43,5)="COUNT",RIGHT(AK43,2)="CT"))+128*(ISNUMBER(FIND("BULK",AK43)))+256*(ISNUMBER(FIND("SIZE",AK43)))+512*(LEFT(AK43,3)="CAP")+1024*(ISNUMBER(FIND("ALLERG",AK43)))+2048*(OR(ISNUMBER(FIND("REMARK",AK43)),ISNUMBER(FIND("COMMENT",AK43))))+4096*(OR(ISNUMBER(FIND("QTY",AK43)),ISNUMBER(FIND("QUANTITY",AK43))))+8192*(AND(OR(ISNUMBER(FIND("COMPLETE",AK43)),ISNUMBER(FIND("PCT",AK43)),ISNUMBER(FIND("PERCENT",AK43))),NOT(ISNUMBER(FIND("ACTUAL",AK43))),LEN(AK43)&lt;=16))+32768*(OR(ISNUMBER(FIND("DESIC",AK43)),ISNUMBER(FIND("DESSIC",AK43)))))</f>
        <v/>
      </c>
      <c r="AL178">
        <f>IF(AL43="",0,2*(OR(ISNUMBER(FIND("WORKCENTER",AL43)),AND(LEFT(AL43,4)="LINE",NOT(ISNUMBER(FIND("STATUS",AL43))))))+4*(OR(ISNUMBER(FIND("WORKORDER",AL43)),AND(LEFT(AL43,2)="WO",OR(ISNUMBER(FIND("NUM",AL43)),RIGHT(AL43,2)="NO"))))+8*(LEFT(AL43,3)="SEQ")+16*(AND(LEFT(AL43,4)="ITEM",NOT(ISNUMBER(FIND("DESC",AL43)))))+32*(AND(ISNUMBER(FIND("DESC",AL43)),NOT(ISNUMBER(FIND("CAP",AL43)))))+64*(OR(RIGHT(AL43,5)="COUNT",RIGHT(AL43,2)="CT"))+128*(ISNUMBER(FIND("BULK",AL43)))+256*(ISNUMBER(FIND("SIZE",AL43)))+512*(LEFT(AL43,3)="CAP")+1024*(ISNUMBER(FIND("ALLERG",AL43)))+2048*(OR(ISNUMBER(FIND("REMARK",AL43)),ISNUMBER(FIND("COMMENT",AL43))))+4096*(OR(ISNUMBER(FIND("QTY",AL43)),ISNUMBER(FIND("QUANTITY",AL43))))+8192*(AND(OR(ISNUMBER(FIND("COMPLETE",AL43)),ISNUMBER(FIND("PCT",AL43)),ISNUMBER(FIND("PERCENT",AL43))),NOT(ISNUMBER(FIND("ACTUAL",AL43))),LEN(AL43)&lt;=16))+32768*(OR(ISNUMBER(FIND("DESIC",AL43)),ISNUMBER(FIND("DESSIC",AL43)))))</f>
        <v/>
      </c>
      <c r="AM178">
        <f>IF(AM43="",0,2*(OR(ISNUMBER(FIND("WORKCENTER",AM43)),AND(LEFT(AM43,4)="LINE",NOT(ISNUMBER(FIND("STATUS",AM43))))))+4*(OR(ISNUMBER(FIND("WORKORDER",AM43)),AND(LEFT(AM43,2)="WO",OR(ISNUMBER(FIND("NUM",AM43)),RIGHT(AM43,2)="NO"))))+8*(LEFT(AM43,3)="SEQ")+16*(AND(LEFT(AM43,4)="ITEM",NOT(ISNUMBER(FIND("DESC",AM43)))))+32*(AND(ISNUMBER(FIND("DESC",AM43)),NOT(ISNUMBER(FIND("CAP",AM43)))))+64*(OR(RIGHT(AM43,5)="COUNT",RIGHT(AM43,2)="CT"))+128*(ISNUMBER(FIND("BULK",AM43)))+256*(ISNUMBER(FIND("SIZE",AM43)))+512*(LEFT(AM43,3)="CAP")+1024*(ISNUMBER(FIND("ALLERG",AM43)))+2048*(OR(ISNUMBER(FIND("REMARK",AM43)),ISNUMBER(FIND("COMMENT",AM43))))+4096*(OR(ISNUMBER(FIND("QTY",AM43)),ISNUMBER(FIND("QUANTITY",AM43))))+8192*(AND(OR(ISNUMBER(FIND("COMPLETE",AM43)),ISNUMBER(FIND("PCT",AM43)),ISNUMBER(FIND("PERCENT",AM43))),NOT(ISNUMBER(FIND("ACTUAL",AM43))),LEN(AM43)&lt;=16))+32768*(OR(ISNUMBER(FIND("DESIC",AM43)),ISNUMBER(FIND("DESSIC",AM43)))))</f>
        <v/>
      </c>
      <c r="AN178">
        <f>IF(AN43="",0,2*(OR(ISNUMBER(FIND("WORKCENTER",AN43)),AND(LEFT(AN43,4)="LINE",NOT(ISNUMBER(FIND("STATUS",AN43))))))+4*(OR(ISNUMBER(FIND("WORKORDER",AN43)),AND(LEFT(AN43,2)="WO",OR(ISNUMBER(FIND("NUM",AN43)),RIGHT(AN43,2)="NO"))))+8*(LEFT(AN43,3)="SEQ")+16*(AND(LEFT(AN43,4)="ITEM",NOT(ISNUMBER(FIND("DESC",AN43)))))+32*(AND(ISNUMBER(FIND("DESC",AN43)),NOT(ISNUMBER(FIND("CAP",AN43)))))+64*(OR(RIGHT(AN43,5)="COUNT",RIGHT(AN43,2)="CT"))+128*(ISNUMBER(FIND("BULK",AN43)))+256*(ISNUMBER(FIND("SIZE",AN43)))+512*(LEFT(AN43,3)="CAP")+1024*(ISNUMBER(FIND("ALLERG",AN43)))+2048*(OR(ISNUMBER(FIND("REMARK",AN43)),ISNUMBER(FIND("COMMENT",AN43))))+4096*(OR(ISNUMBER(FIND("QTY",AN43)),ISNUMBER(FIND("QUANTITY",AN43))))+8192*(AND(OR(ISNUMBER(FIND("COMPLETE",AN43)),ISNUMBER(FIND("PCT",AN43)),ISNUMBER(FIND("PERCENT",AN43))),NOT(ISNUMBER(FIND("ACTUAL",AN43))),LEN(AN43)&lt;=16))+32768*(OR(ISNUMBER(FIND("DESIC",AN43)),ISNUMBER(FIND("DESSIC",AN43)))))</f>
        <v/>
      </c>
      <c r="AO178">
        <f>IF(AO43="",0,2*(OR(ISNUMBER(FIND("WORKCENTER",AO43)),AND(LEFT(AO43,4)="LINE",NOT(ISNUMBER(FIND("STATUS",AO43))))))+4*(OR(ISNUMBER(FIND("WORKORDER",AO43)),AND(LEFT(AO43,2)="WO",OR(ISNUMBER(FIND("NUM",AO43)),RIGHT(AO43,2)="NO"))))+8*(LEFT(AO43,3)="SEQ")+16*(AND(LEFT(AO43,4)="ITEM",NOT(ISNUMBER(FIND("DESC",AO43)))))+32*(AND(ISNUMBER(FIND("DESC",AO43)),NOT(ISNUMBER(FIND("CAP",AO43)))))+64*(OR(RIGHT(AO43,5)="COUNT",RIGHT(AO43,2)="CT"))+128*(ISNUMBER(FIND("BULK",AO43)))+256*(ISNUMBER(FIND("SIZE",AO43)))+512*(LEFT(AO43,3)="CAP")+1024*(ISNUMBER(FIND("ALLERG",AO43)))+2048*(OR(ISNUMBER(FIND("REMARK",AO43)),ISNUMBER(FIND("COMMENT",AO43))))+4096*(OR(ISNUMBER(FIND("QTY",AO43)),ISNUMBER(FIND("QUANTITY",AO43))))+8192*(AND(OR(ISNUMBER(FIND("COMPLETE",AO43)),ISNUMBER(FIND("PCT",AO43)),ISNUMBER(FIND("PERCENT",AO43))),NOT(ISNUMBER(FIND("ACTUAL",AO43))),LEN(AO43)&lt;=16))+32768*(OR(ISNUMBER(FIND("DESIC",AO43)),ISNUMBER(FIND("DESSIC",AO43)))))</f>
        <v/>
      </c>
      <c r="AP178">
        <f>IF(AP43="",0,2*(OR(ISNUMBER(FIND("WORKCENTER",AP43)),AND(LEFT(AP43,4)="LINE",NOT(ISNUMBER(FIND("STATUS",AP43))))))+4*(OR(ISNUMBER(FIND("WORKORDER",AP43)),AND(LEFT(AP43,2)="WO",OR(ISNUMBER(FIND("NUM",AP43)),RIGHT(AP43,2)="NO"))))+8*(LEFT(AP43,3)="SEQ")+16*(AND(LEFT(AP43,4)="ITEM",NOT(ISNUMBER(FIND("DESC",AP43)))))+32*(AND(ISNUMBER(FIND("DESC",AP43)),NOT(ISNUMBER(FIND("CAP",AP43)))))+64*(OR(RIGHT(AP43,5)="COUNT",RIGHT(AP43,2)="CT"))+128*(ISNUMBER(FIND("BULK",AP43)))+256*(ISNUMBER(FIND("SIZE",AP43)))+512*(LEFT(AP43,3)="CAP")+1024*(ISNUMBER(FIND("ALLERG",AP43)))+2048*(OR(ISNUMBER(FIND("REMARK",AP43)),ISNUMBER(FIND("COMMENT",AP43))))+4096*(OR(ISNUMBER(FIND("QTY",AP43)),ISNUMBER(FIND("QUANTITY",AP43))))+8192*(AND(OR(ISNUMBER(FIND("COMPLETE",AP43)),ISNUMBER(FIND("PCT",AP43)),ISNUMBER(FIND("PERCENT",AP43))),NOT(ISNUMBER(FIND("ACTUAL",AP43))),LEN(AP43)&lt;=16))+32768*(OR(ISNUMBER(FIND("DESIC",AP43)),ISNUMBER(FIND("DESSIC",AP43)))))</f>
        <v/>
      </c>
      <c r="AQ178">
        <f>IF(AQ43="",0,2*(OR(ISNUMBER(FIND("WORKCENTER",AQ43)),AND(LEFT(AQ43,4)="LINE",NOT(ISNUMBER(FIND("STATUS",AQ43))))))+4*(OR(ISNUMBER(FIND("WORKORDER",AQ43)),AND(LEFT(AQ43,2)="WO",OR(ISNUMBER(FIND("NUM",AQ43)),RIGHT(AQ43,2)="NO"))))+8*(LEFT(AQ43,3)="SEQ")+16*(AND(LEFT(AQ43,4)="ITEM",NOT(ISNUMBER(FIND("DESC",AQ43)))))+32*(AND(ISNUMBER(FIND("DESC",AQ43)),NOT(ISNUMBER(FIND("CAP",AQ43)))))+64*(OR(RIGHT(AQ43,5)="COUNT",RIGHT(AQ43,2)="CT"))+128*(ISNUMBER(FIND("BULK",AQ43)))+256*(ISNUMBER(FIND("SIZE",AQ43)))+512*(LEFT(AQ43,3)="CAP")+1024*(ISNUMBER(FIND("ALLERG",AQ43)))+2048*(OR(ISNUMBER(FIND("REMARK",AQ43)),ISNUMBER(FIND("COMMENT",AQ43))))+4096*(OR(ISNUMBER(FIND("QTY",AQ43)),ISNUMBER(FIND("QUANTITY",AQ43))))+8192*(AND(OR(ISNUMBER(FIND("COMPLETE",AQ43)),ISNUMBER(FIND("PCT",AQ43)),ISNUMBER(FIND("PERCENT",AQ43))),NOT(ISNUMBER(FIND("ACTUAL",AQ43))),LEN(AQ43)&lt;=16))+32768*(OR(ISNUMBER(FIND("DESIC",AQ43)),ISNUMBER(FIND("DESSIC",AQ43)))))</f>
        <v/>
      </c>
      <c r="AR178">
        <f>IF(AR43="",0,2*(OR(ISNUMBER(FIND("WORKCENTER",AR43)),AND(LEFT(AR43,4)="LINE",NOT(ISNUMBER(FIND("STATUS",AR43))))))+4*(OR(ISNUMBER(FIND("WORKORDER",AR43)),AND(LEFT(AR43,2)="WO",OR(ISNUMBER(FIND("NUM",AR43)),RIGHT(AR43,2)="NO"))))+8*(LEFT(AR43,3)="SEQ")+16*(AND(LEFT(AR43,4)="ITEM",NOT(ISNUMBER(FIND("DESC",AR43)))))+32*(AND(ISNUMBER(FIND("DESC",AR43)),NOT(ISNUMBER(FIND("CAP",AR43)))))+64*(OR(RIGHT(AR43,5)="COUNT",RIGHT(AR43,2)="CT"))+128*(ISNUMBER(FIND("BULK",AR43)))+256*(ISNUMBER(FIND("SIZE",AR43)))+512*(LEFT(AR43,3)="CAP")+1024*(ISNUMBER(FIND("ALLERG",AR43)))+2048*(OR(ISNUMBER(FIND("REMARK",AR43)),ISNUMBER(FIND("COMMENT",AR43))))+4096*(OR(ISNUMBER(FIND("QTY",AR43)),ISNUMBER(FIND("QUANTITY",AR43))))+8192*(AND(OR(ISNUMBER(FIND("COMPLETE",AR43)),ISNUMBER(FIND("PCT",AR43)),ISNUMBER(FIND("PERCENT",AR43))),NOT(ISNUMBER(FIND("ACTUAL",AR43))),LEN(AR43)&lt;=16))+32768*(OR(ISNUMBER(FIND("DESIC",AR43)),ISNUMBER(FIND("DESSIC",AR43)))))</f>
        <v/>
      </c>
      <c r="AS178">
        <f>IF(AS43="",0,2*(OR(ISNUMBER(FIND("WORKCENTER",AS43)),AND(LEFT(AS43,4)="LINE",NOT(ISNUMBER(FIND("STATUS",AS43))))))+4*(OR(ISNUMBER(FIND("WORKORDER",AS43)),AND(LEFT(AS43,2)="WO",OR(ISNUMBER(FIND("NUM",AS43)),RIGHT(AS43,2)="NO"))))+8*(LEFT(AS43,3)="SEQ")+16*(AND(LEFT(AS43,4)="ITEM",NOT(ISNUMBER(FIND("DESC",AS43)))))+32*(AND(ISNUMBER(FIND("DESC",AS43)),NOT(ISNUMBER(FIND("CAP",AS43)))))+64*(OR(RIGHT(AS43,5)="COUNT",RIGHT(AS43,2)="CT"))+128*(ISNUMBER(FIND("BULK",AS43)))+256*(ISNUMBER(FIND("SIZE",AS43)))+512*(LEFT(AS43,3)="CAP")+1024*(ISNUMBER(FIND("ALLERG",AS43)))+2048*(OR(ISNUMBER(FIND("REMARK",AS43)),ISNUMBER(FIND("COMMENT",AS43))))+4096*(OR(ISNUMBER(FIND("QTY",AS43)),ISNUMBER(FIND("QUANTITY",AS43))))+8192*(AND(OR(ISNUMBER(FIND("COMPLETE",AS43)),ISNUMBER(FIND("PCT",AS43)),ISNUMBER(FIND("PERCENT",AS43))),NOT(ISNUMBER(FIND("ACTUAL",AS43))),LEN(AS43)&lt;=16))+32768*(OR(ISNUMBER(FIND("DESIC",AS43)),ISNUMBER(FIND("DESSIC",AS43)))))</f>
        <v/>
      </c>
      <c r="AT178">
        <f>IF(AT43="",0,2*(OR(ISNUMBER(FIND("WORKCENTER",AT43)),AND(LEFT(AT43,4)="LINE",NOT(ISNUMBER(FIND("STATUS",AT43))))))+4*(OR(ISNUMBER(FIND("WORKORDER",AT43)),AND(LEFT(AT43,2)="WO",OR(ISNUMBER(FIND("NUM",AT43)),RIGHT(AT43,2)="NO"))))+8*(LEFT(AT43,3)="SEQ")+16*(AND(LEFT(AT43,4)="ITEM",NOT(ISNUMBER(FIND("DESC",AT43)))))+32*(AND(ISNUMBER(FIND("DESC",AT43)),NOT(ISNUMBER(FIND("CAP",AT43)))))+64*(OR(RIGHT(AT43,5)="COUNT",RIGHT(AT43,2)="CT"))+128*(ISNUMBER(FIND("BULK",AT43)))+256*(ISNUMBER(FIND("SIZE",AT43)))+512*(LEFT(AT43,3)="CAP")+1024*(ISNUMBER(FIND("ALLERG",AT43)))+2048*(OR(ISNUMBER(FIND("REMARK",AT43)),ISNUMBER(FIND("COMMENT",AT43))))+4096*(OR(ISNUMBER(FIND("QTY",AT43)),ISNUMBER(FIND("QUANTITY",AT43))))+8192*(AND(OR(ISNUMBER(FIND("COMPLETE",AT43)),ISNUMBER(FIND("PCT",AT43)),ISNUMBER(FIND("PERCENT",AT43))),NOT(ISNUMBER(FIND("ACTUAL",AT43))),LEN(AT43)&lt;=16))+32768*(OR(ISNUMBER(FIND("DESIC",AT43)),ISNUMBER(FIND("DESSIC",AT43)))))</f>
        <v/>
      </c>
      <c r="AU178">
        <f>IF(AU43="",0,2*(OR(ISNUMBER(FIND("WORKCENTER",AU43)),AND(LEFT(AU43,4)="LINE",NOT(ISNUMBER(FIND("STATUS",AU43))))))+4*(OR(ISNUMBER(FIND("WORKORDER",AU43)),AND(LEFT(AU43,2)="WO",OR(ISNUMBER(FIND("NUM",AU43)),RIGHT(AU43,2)="NO"))))+8*(LEFT(AU43,3)="SEQ")+16*(AND(LEFT(AU43,4)="ITEM",NOT(ISNUMBER(FIND("DESC",AU43)))))+32*(AND(ISNUMBER(FIND("DESC",AU43)),NOT(ISNUMBER(FIND("CAP",AU43)))))+64*(OR(RIGHT(AU43,5)="COUNT",RIGHT(AU43,2)="CT"))+128*(ISNUMBER(FIND("BULK",AU43)))+256*(ISNUMBER(FIND("SIZE",AU43)))+512*(LEFT(AU43,3)="CAP")+1024*(ISNUMBER(FIND("ALLERG",AU43)))+2048*(OR(ISNUMBER(FIND("REMARK",AU43)),ISNUMBER(FIND("COMMENT",AU43))))+4096*(OR(ISNUMBER(FIND("QTY",AU43)),ISNUMBER(FIND("QUANTITY",AU43))))+8192*(AND(OR(ISNUMBER(FIND("COMPLETE",AU43)),ISNUMBER(FIND("PCT",AU43)),ISNUMBER(FIND("PERCENT",AU43))),NOT(ISNUMBER(FIND("ACTUAL",AU43))),LEN(AU43)&lt;=16))+32768*(OR(ISNUMBER(FIND("DESIC",AU43)),ISNUMBER(FIND("DESSIC",AU43)))))</f>
        <v/>
      </c>
      <c r="AV178">
        <f>IF(AV43="",0,2*(OR(ISNUMBER(FIND("WORKCENTER",AV43)),AND(LEFT(AV43,4)="LINE",NOT(ISNUMBER(FIND("STATUS",AV43))))))+4*(OR(ISNUMBER(FIND("WORKORDER",AV43)),AND(LEFT(AV43,2)="WO",OR(ISNUMBER(FIND("NUM",AV43)),RIGHT(AV43,2)="NO"))))+8*(LEFT(AV43,3)="SEQ")+16*(AND(LEFT(AV43,4)="ITEM",NOT(ISNUMBER(FIND("DESC",AV43)))))+32*(AND(ISNUMBER(FIND("DESC",AV43)),NOT(ISNUMBER(FIND("CAP",AV43)))))+64*(OR(RIGHT(AV43,5)="COUNT",RIGHT(AV43,2)="CT"))+128*(ISNUMBER(FIND("BULK",AV43)))+256*(ISNUMBER(FIND("SIZE",AV43)))+512*(LEFT(AV43,3)="CAP")+1024*(ISNUMBER(FIND("ALLERG",AV43)))+2048*(OR(ISNUMBER(FIND("REMARK",AV43)),ISNUMBER(FIND("COMMENT",AV43))))+4096*(OR(ISNUMBER(FIND("QTY",AV43)),ISNUMBER(FIND("QUANTITY",AV43))))+8192*(AND(OR(ISNUMBER(FIND("COMPLETE",AV43)),ISNUMBER(FIND("PCT",AV43)),ISNUMBER(FIND("PERCENT",AV43))),NOT(ISNUMBER(FIND("ACTUAL",AV43))),LEN(AV43)&lt;=16))+32768*(OR(ISNUMBER(FIND("DESIC",AV43)),ISNUMBER(FIND("DESSIC",AV43)))))</f>
        <v/>
      </c>
      <c r="AW178">
        <f>IF(AW43="",0,2*(OR(ISNUMBER(FIND("WORKCENTER",AW43)),AND(LEFT(AW43,4)="LINE",NOT(ISNUMBER(FIND("STATUS",AW43))))))+4*(OR(ISNUMBER(FIND("WORKORDER",AW43)),AND(LEFT(AW43,2)="WO",OR(ISNUMBER(FIND("NUM",AW43)),RIGHT(AW43,2)="NO"))))+8*(LEFT(AW43,3)="SEQ")+16*(AND(LEFT(AW43,4)="ITEM",NOT(ISNUMBER(FIND("DESC",AW43)))))+32*(AND(ISNUMBER(FIND("DESC",AW43)),NOT(ISNUMBER(FIND("CAP",AW43)))))+64*(OR(RIGHT(AW43,5)="COUNT",RIGHT(AW43,2)="CT"))+128*(ISNUMBER(FIND("BULK",AW43)))+256*(ISNUMBER(FIND("SIZE",AW43)))+512*(LEFT(AW43,3)="CAP")+1024*(ISNUMBER(FIND("ALLERG",AW43)))+2048*(OR(ISNUMBER(FIND("REMARK",AW43)),ISNUMBER(FIND("COMMENT",AW43))))+4096*(OR(ISNUMBER(FIND("QTY",AW43)),ISNUMBER(FIND("QUANTITY",AW43))))+8192*(AND(OR(ISNUMBER(FIND("COMPLETE",AW43)),ISNUMBER(FIND("PCT",AW43)),ISNUMBER(FIND("PERCENT",AW43))),NOT(ISNUMBER(FIND("ACTUAL",AW43))),LEN(AW43)&lt;=16))+32768*(OR(ISNUMBER(FIND("DESIC",AW43)),ISNUMBER(FIND("DESSIC",AW43)))))</f>
        <v/>
      </c>
      <c r="AX178">
        <f>IF(AX43="",0,2*(OR(ISNUMBER(FIND("WORKCENTER",AX43)),AND(LEFT(AX43,4)="LINE",NOT(ISNUMBER(FIND("STATUS",AX43))))))+4*(OR(ISNUMBER(FIND("WORKORDER",AX43)),AND(LEFT(AX43,2)="WO",OR(ISNUMBER(FIND("NUM",AX43)),RIGHT(AX43,2)="NO"))))+8*(LEFT(AX43,3)="SEQ")+16*(AND(LEFT(AX43,4)="ITEM",NOT(ISNUMBER(FIND("DESC",AX43)))))+32*(AND(ISNUMBER(FIND("DESC",AX43)),NOT(ISNUMBER(FIND("CAP",AX43)))))+64*(OR(RIGHT(AX43,5)="COUNT",RIGHT(AX43,2)="CT"))+128*(ISNUMBER(FIND("BULK",AX43)))+256*(ISNUMBER(FIND("SIZE",AX43)))+512*(LEFT(AX43,3)="CAP")+1024*(ISNUMBER(FIND("ALLERG",AX43)))+2048*(OR(ISNUMBER(FIND("REMARK",AX43)),ISNUMBER(FIND("COMMENT",AX43))))+4096*(OR(ISNUMBER(FIND("QTY",AX43)),ISNUMBER(FIND("QUANTITY",AX43))))+8192*(AND(OR(ISNUMBER(FIND("COMPLETE",AX43)),ISNUMBER(FIND("PCT",AX43)),ISNUMBER(FIND("PERCENT",AX43))),NOT(ISNUMBER(FIND("ACTUAL",AX43))),LEN(AX43)&lt;=16))+32768*(OR(ISNUMBER(FIND("DESIC",AX43)),ISNUMBER(FIND("DESSIC",AX43)))))</f>
        <v/>
      </c>
      <c r="AY178">
        <f>IF(AY43="",0,2*(OR(ISNUMBER(FIND("WORKCENTER",AY43)),AND(LEFT(AY43,4)="LINE",NOT(ISNUMBER(FIND("STATUS",AY43))))))+4*(OR(ISNUMBER(FIND("WORKORDER",AY43)),AND(LEFT(AY43,2)="WO",OR(ISNUMBER(FIND("NUM",AY43)),RIGHT(AY43,2)="NO"))))+8*(LEFT(AY43,3)="SEQ")+16*(AND(LEFT(AY43,4)="ITEM",NOT(ISNUMBER(FIND("DESC",AY43)))))+32*(AND(ISNUMBER(FIND("DESC",AY43)),NOT(ISNUMBER(FIND("CAP",AY43)))))+64*(OR(RIGHT(AY43,5)="COUNT",RIGHT(AY43,2)="CT"))+128*(ISNUMBER(FIND("BULK",AY43)))+256*(ISNUMBER(FIND("SIZE",AY43)))+512*(LEFT(AY43,3)="CAP")+1024*(ISNUMBER(FIND("ALLERG",AY43)))+2048*(OR(ISNUMBER(FIND("REMARK",AY43)),ISNUMBER(FIND("COMMENT",AY43))))+4096*(OR(ISNUMBER(FIND("QTY",AY43)),ISNUMBER(FIND("QUANTITY",AY43))))+8192*(AND(OR(ISNUMBER(FIND("COMPLETE",AY43)),ISNUMBER(FIND("PCT",AY43)),ISNUMBER(FIND("PERCENT",AY43))),NOT(ISNUMBER(FIND("ACTUAL",AY43))),LEN(AY43)&lt;=16))+32768*(OR(ISNUMBER(FIND("DESIC",AY43)),ISNUMBER(FIND("DESSIC",AY43)))))</f>
        <v/>
      </c>
      <c r="AZ178">
        <f>IF(AZ43="",0,2*(OR(ISNUMBER(FIND("WORKCENTER",AZ43)),AND(LEFT(AZ43,4)="LINE",NOT(ISNUMBER(FIND("STATUS",AZ43))))))+4*(OR(ISNUMBER(FIND("WORKORDER",AZ43)),AND(LEFT(AZ43,2)="WO",OR(ISNUMBER(FIND("NUM",AZ43)),RIGHT(AZ43,2)="NO"))))+8*(LEFT(AZ43,3)="SEQ")+16*(AND(LEFT(AZ43,4)="ITEM",NOT(ISNUMBER(FIND("DESC",AZ43)))))+32*(AND(ISNUMBER(FIND("DESC",AZ43)),NOT(ISNUMBER(FIND("CAP",AZ43)))))+64*(OR(RIGHT(AZ43,5)="COUNT",RIGHT(AZ43,2)="CT"))+128*(ISNUMBER(FIND("BULK",AZ43)))+256*(ISNUMBER(FIND("SIZE",AZ43)))+512*(LEFT(AZ43,3)="CAP")+1024*(ISNUMBER(FIND("ALLERG",AZ43)))+2048*(OR(ISNUMBER(FIND("REMARK",AZ43)),ISNUMBER(FIND("COMMENT",AZ43))))+4096*(OR(ISNUMBER(FIND("QTY",AZ43)),ISNUMBER(FIND("QUANTITY",AZ43))))+8192*(AND(OR(ISNUMBER(FIND("COMPLETE",AZ43)),ISNUMBER(FIND("PCT",AZ43)),ISNUMBER(FIND("PERCENT",AZ43))),NOT(ISNUMBER(FIND("ACTUAL",AZ43))),LEN(AZ43)&lt;=16))+32768*(OR(ISNUMBER(FIND("DESIC",AZ43)),ISNUMBER(FIND("DESSIC",AZ43)))))</f>
        <v/>
      </c>
      <c r="BA178">
        <f>IF(BA43="",0,2*(OR(ISNUMBER(FIND("WORKCENTER",BA43)),AND(LEFT(BA43,4)="LINE",NOT(ISNUMBER(FIND("STATUS",BA43))))))+4*(OR(ISNUMBER(FIND("WORKORDER",BA43)),AND(LEFT(BA43,2)="WO",OR(ISNUMBER(FIND("NUM",BA43)),RIGHT(BA43,2)="NO"))))+8*(LEFT(BA43,3)="SEQ")+16*(AND(LEFT(BA43,4)="ITEM",NOT(ISNUMBER(FIND("DESC",BA43)))))+32*(AND(ISNUMBER(FIND("DESC",BA43)),NOT(ISNUMBER(FIND("CAP",BA43)))))+64*(OR(RIGHT(BA43,5)="COUNT",RIGHT(BA43,2)="CT"))+128*(ISNUMBER(FIND("BULK",BA43)))+256*(ISNUMBER(FIND("SIZE",BA43)))+512*(LEFT(BA43,3)="CAP")+1024*(ISNUMBER(FIND("ALLERG",BA43)))+2048*(OR(ISNUMBER(FIND("REMARK",BA43)),ISNUMBER(FIND("COMMENT",BA43))))+4096*(OR(ISNUMBER(FIND("QTY",BA43)),ISNUMBER(FIND("QUANTITY",BA43))))+8192*(AND(OR(ISNUMBER(FIND("COMPLETE",BA43)),ISNUMBER(FIND("PCT",BA43)),ISNUMBER(FIND("PERCENT",BA43))),NOT(ISNUMBER(FIND("ACTUAL",BA43))),LEN(BA43)&lt;=16))+32768*(OR(ISNUMBER(FIND("DESIC",BA43)),ISNUMBER(FIND("DESSIC",BA43)))))</f>
        <v/>
      </c>
      <c r="BB178">
        <f>IF(BB43="",0,2*(OR(ISNUMBER(FIND("WORKCENTER",BB43)),AND(LEFT(BB43,4)="LINE",NOT(ISNUMBER(FIND("STATUS",BB43))))))+4*(OR(ISNUMBER(FIND("WORKORDER",BB43)),AND(LEFT(BB43,2)="WO",OR(ISNUMBER(FIND("NUM",BB43)),RIGHT(BB43,2)="NO"))))+8*(LEFT(BB43,3)="SEQ")+16*(AND(LEFT(BB43,4)="ITEM",NOT(ISNUMBER(FIND("DESC",BB43)))))+32*(AND(ISNUMBER(FIND("DESC",BB43)),NOT(ISNUMBER(FIND("CAP",BB43)))))+64*(OR(RIGHT(BB43,5)="COUNT",RIGHT(BB43,2)="CT"))+128*(ISNUMBER(FIND("BULK",BB43)))+256*(ISNUMBER(FIND("SIZE",BB43)))+512*(LEFT(BB43,3)="CAP")+1024*(ISNUMBER(FIND("ALLERG",BB43)))+2048*(OR(ISNUMBER(FIND("REMARK",BB43)),ISNUMBER(FIND("COMMENT",BB43))))+4096*(OR(ISNUMBER(FIND("QTY",BB43)),ISNUMBER(FIND("QUANTITY",BB43))))+8192*(AND(OR(ISNUMBER(FIND("COMPLETE",BB43)),ISNUMBER(FIND("PCT",BB43)),ISNUMBER(FIND("PERCENT",BB43))),NOT(ISNUMBER(FIND("ACTUAL",BB43))),LEN(BB43)&lt;=16))+32768*(OR(ISNUMBER(FIND("DESIC",BB43)),ISNUMBER(FIND("DESSIC",BB43)))))</f>
        <v/>
      </c>
      <c r="BC178">
        <f>IF(BC43="",0,2*(OR(ISNUMBER(FIND("WORKCENTER",BC43)),AND(LEFT(BC43,4)="LINE",NOT(ISNUMBER(FIND("STATUS",BC43))))))+4*(OR(ISNUMBER(FIND("WORKORDER",BC43)),AND(LEFT(BC43,2)="WO",OR(ISNUMBER(FIND("NUM",BC43)),RIGHT(BC43,2)="NO"))))+8*(LEFT(BC43,3)="SEQ")+16*(AND(LEFT(BC43,4)="ITEM",NOT(ISNUMBER(FIND("DESC",BC43)))))+32*(AND(ISNUMBER(FIND("DESC",BC43)),NOT(ISNUMBER(FIND("CAP",BC43)))))+64*(OR(RIGHT(BC43,5)="COUNT",RIGHT(BC43,2)="CT"))+128*(ISNUMBER(FIND("BULK",BC43)))+256*(ISNUMBER(FIND("SIZE",BC43)))+512*(LEFT(BC43,3)="CAP")+1024*(ISNUMBER(FIND("ALLERG",BC43)))+2048*(OR(ISNUMBER(FIND("REMARK",BC43)),ISNUMBER(FIND("COMMENT",BC43))))+4096*(OR(ISNUMBER(FIND("QTY",BC43)),ISNUMBER(FIND("QUANTITY",BC43))))+8192*(AND(OR(ISNUMBER(FIND("COMPLETE",BC43)),ISNUMBER(FIND("PCT",BC43)),ISNUMBER(FIND("PERCENT",BC43))),NOT(ISNUMBER(FIND("ACTUAL",BC43))),LEN(BC43)&lt;=16))+32768*(OR(ISNUMBER(FIND("DESIC",BC43)),ISNUMBER(FIND("DESSIC",BC43)))))</f>
        <v/>
      </c>
      <c r="BD178">
        <f>IF(BD43="",0,2*(OR(ISNUMBER(FIND("WORKCENTER",BD43)),AND(LEFT(BD43,4)="LINE",NOT(ISNUMBER(FIND("STATUS",BD43))))))+4*(OR(ISNUMBER(FIND("WORKORDER",BD43)),AND(LEFT(BD43,2)="WO",OR(ISNUMBER(FIND("NUM",BD43)),RIGHT(BD43,2)="NO"))))+8*(LEFT(BD43,3)="SEQ")+16*(AND(LEFT(BD43,4)="ITEM",NOT(ISNUMBER(FIND("DESC",BD43)))))+32*(AND(ISNUMBER(FIND("DESC",BD43)),NOT(ISNUMBER(FIND("CAP",BD43)))))+64*(OR(RIGHT(BD43,5)="COUNT",RIGHT(BD43,2)="CT"))+128*(ISNUMBER(FIND("BULK",BD43)))+256*(ISNUMBER(FIND("SIZE",BD43)))+512*(LEFT(BD43,3)="CAP")+1024*(ISNUMBER(FIND("ALLERG",BD43)))+2048*(OR(ISNUMBER(FIND("REMARK",BD43)),ISNUMBER(FIND("COMMENT",BD43))))+4096*(OR(ISNUMBER(FIND("QTY",BD43)),ISNUMBER(FIND("QUANTITY",BD43))))+8192*(AND(OR(ISNUMBER(FIND("COMPLETE",BD43)),ISNUMBER(FIND("PCT",BD43)),ISNUMBER(FIND("PERCENT",BD43))),NOT(ISNUMBER(FIND("ACTUAL",BD43))),LEN(BD43)&lt;=16))+32768*(OR(ISNUMBER(FIND("DESIC",BD43)),ISNUMBER(FIND("DESSIC",BD43)))))</f>
        <v/>
      </c>
      <c r="BE178">
        <f>IF(BE43="",0,2*(OR(ISNUMBER(FIND("WORKCENTER",BE43)),AND(LEFT(BE43,4)="LINE",NOT(ISNUMBER(FIND("STATUS",BE43))))))+4*(OR(ISNUMBER(FIND("WORKORDER",BE43)),AND(LEFT(BE43,2)="WO",OR(ISNUMBER(FIND("NUM",BE43)),RIGHT(BE43,2)="NO"))))+8*(LEFT(BE43,3)="SEQ")+16*(AND(LEFT(BE43,4)="ITEM",NOT(ISNUMBER(FIND("DESC",BE43)))))+32*(AND(ISNUMBER(FIND("DESC",BE43)),NOT(ISNUMBER(FIND("CAP",BE43)))))+64*(OR(RIGHT(BE43,5)="COUNT",RIGHT(BE43,2)="CT"))+128*(ISNUMBER(FIND("BULK",BE43)))+256*(ISNUMBER(FIND("SIZE",BE43)))+512*(LEFT(BE43,3)="CAP")+1024*(ISNUMBER(FIND("ALLERG",BE43)))+2048*(OR(ISNUMBER(FIND("REMARK",BE43)),ISNUMBER(FIND("COMMENT",BE43))))+4096*(OR(ISNUMBER(FIND("QTY",BE43)),ISNUMBER(FIND("QUANTITY",BE43))))+8192*(AND(OR(ISNUMBER(FIND("COMPLETE",BE43)),ISNUMBER(FIND("PCT",BE43)),ISNUMBER(FIND("PERCENT",BE43))),NOT(ISNUMBER(FIND("ACTUAL",BE43))),LEN(BE43)&lt;=16))+32768*(OR(ISNUMBER(FIND("DESIC",BE43)),ISNUMBER(FIND("DESSIC",BE43)))))</f>
        <v/>
      </c>
      <c r="BF178">
        <f>IF(BF43="",0,2*(OR(ISNUMBER(FIND("WORKCENTER",BF43)),AND(LEFT(BF43,4)="LINE",NOT(ISNUMBER(FIND("STATUS",BF43))))))+4*(OR(ISNUMBER(FIND("WORKORDER",BF43)),AND(LEFT(BF43,2)="WO",OR(ISNUMBER(FIND("NUM",BF43)),RIGHT(BF43,2)="NO"))))+8*(LEFT(BF43,3)="SEQ")+16*(AND(LEFT(BF43,4)="ITEM",NOT(ISNUMBER(FIND("DESC",BF43)))))+32*(AND(ISNUMBER(FIND("DESC",BF43)),NOT(ISNUMBER(FIND("CAP",BF43)))))+64*(OR(RIGHT(BF43,5)="COUNT",RIGHT(BF43,2)="CT"))+128*(ISNUMBER(FIND("BULK",BF43)))+256*(ISNUMBER(FIND("SIZE",BF43)))+512*(LEFT(BF43,3)="CAP")+1024*(ISNUMBER(FIND("ALLERG",BF43)))+2048*(OR(ISNUMBER(FIND("REMARK",BF43)),ISNUMBER(FIND("COMMENT",BF43))))+4096*(OR(ISNUMBER(FIND("QTY",BF43)),ISNUMBER(FIND("QUANTITY",BF43))))+8192*(AND(OR(ISNUMBER(FIND("COMPLETE",BF43)),ISNUMBER(FIND("PCT",BF43)),ISNUMBER(FIND("PERCENT",BF43))),NOT(ISNUMBER(FIND("ACTUAL",BF43))),LEN(BF43)&lt;=16))+32768*(OR(ISNUMBER(FIND("DESIC",BF43)),ISNUMBER(FIND("DESSIC",BF43)))))</f>
        <v/>
      </c>
      <c r="BG178">
        <f>IF(BG43="",0,2*(OR(ISNUMBER(FIND("WORKCENTER",BG43)),AND(LEFT(BG43,4)="LINE",NOT(ISNUMBER(FIND("STATUS",BG43))))))+4*(OR(ISNUMBER(FIND("WORKORDER",BG43)),AND(LEFT(BG43,2)="WO",OR(ISNUMBER(FIND("NUM",BG43)),RIGHT(BG43,2)="NO"))))+8*(LEFT(BG43,3)="SEQ")+16*(AND(LEFT(BG43,4)="ITEM",NOT(ISNUMBER(FIND("DESC",BG43)))))+32*(AND(ISNUMBER(FIND("DESC",BG43)),NOT(ISNUMBER(FIND("CAP",BG43)))))+64*(OR(RIGHT(BG43,5)="COUNT",RIGHT(BG43,2)="CT"))+128*(ISNUMBER(FIND("BULK",BG43)))+256*(ISNUMBER(FIND("SIZE",BG43)))+512*(LEFT(BG43,3)="CAP")+1024*(ISNUMBER(FIND("ALLERG",BG43)))+2048*(OR(ISNUMBER(FIND("REMARK",BG43)),ISNUMBER(FIND("COMMENT",BG43))))+4096*(OR(ISNUMBER(FIND("QTY",BG43)),ISNUMBER(FIND("QUANTITY",BG43))))+8192*(AND(OR(ISNUMBER(FIND("COMPLETE",BG43)),ISNUMBER(FIND("PCT",BG43)),ISNUMBER(FIND("PERCENT",BG43))),NOT(ISNUMBER(FIND("ACTUAL",BG43))),LEN(BG43)&lt;=16))+32768*(OR(ISNUMBER(FIND("DESIC",BG43)),ISNUMBER(FIND("DESSIC",BG43)))))</f>
        <v/>
      </c>
      <c r="BH178">
        <f>IF(BH43="",0,2*(OR(ISNUMBER(FIND("WORKCENTER",BH43)),AND(LEFT(BH43,4)="LINE",NOT(ISNUMBER(FIND("STATUS",BH43))))))+4*(OR(ISNUMBER(FIND("WORKORDER",BH43)),AND(LEFT(BH43,2)="WO",OR(ISNUMBER(FIND("NUM",BH43)),RIGHT(BH43,2)="NO"))))+8*(LEFT(BH43,3)="SEQ")+16*(AND(LEFT(BH43,4)="ITEM",NOT(ISNUMBER(FIND("DESC",BH43)))))+32*(AND(ISNUMBER(FIND("DESC",BH43)),NOT(ISNUMBER(FIND("CAP",BH43)))))+64*(OR(RIGHT(BH43,5)="COUNT",RIGHT(BH43,2)="CT"))+128*(ISNUMBER(FIND("BULK",BH43)))+256*(ISNUMBER(FIND("SIZE",BH43)))+512*(LEFT(BH43,3)="CAP")+1024*(ISNUMBER(FIND("ALLERG",BH43)))+2048*(OR(ISNUMBER(FIND("REMARK",BH43)),ISNUMBER(FIND("COMMENT",BH43))))+4096*(OR(ISNUMBER(FIND("QTY",BH43)),ISNUMBER(FIND("QUANTITY",BH43))))+8192*(AND(OR(ISNUMBER(FIND("COMPLETE",BH43)),ISNUMBER(FIND("PCT",BH43)),ISNUMBER(FIND("PERCENT",BH43))),NOT(ISNUMBER(FIND("ACTUAL",BH43))),LEN(BH43)&lt;=16))+32768*(OR(ISNUMBER(FIND("DESIC",BH43)),ISNUMBER(FIND("DESSIC",BH43)))))</f>
        <v/>
      </c>
      <c r="BI178">
        <f>IF(BI43="",0,2*(OR(ISNUMBER(FIND("WORKCENTER",BI43)),AND(LEFT(BI43,4)="LINE",NOT(ISNUMBER(FIND("STATUS",BI43))))))+4*(OR(ISNUMBER(FIND("WORKORDER",BI43)),AND(LEFT(BI43,2)="WO",OR(ISNUMBER(FIND("NUM",BI43)),RIGHT(BI43,2)="NO"))))+8*(LEFT(BI43,3)="SEQ")+16*(AND(LEFT(BI43,4)="ITEM",NOT(ISNUMBER(FIND("DESC",BI43)))))+32*(AND(ISNUMBER(FIND("DESC",BI43)),NOT(ISNUMBER(FIND("CAP",BI43)))))+64*(OR(RIGHT(BI43,5)="COUNT",RIGHT(BI43,2)="CT"))+128*(ISNUMBER(FIND("BULK",BI43)))+256*(ISNUMBER(FIND("SIZE",BI43)))+512*(LEFT(BI43,3)="CAP")+1024*(ISNUMBER(FIND("ALLERG",BI43)))+2048*(OR(ISNUMBER(FIND("REMARK",BI43)),ISNUMBER(FIND("COMMENT",BI43))))+4096*(OR(ISNUMBER(FIND("QTY",BI43)),ISNUMBER(FIND("QUANTITY",BI43))))+8192*(AND(OR(ISNUMBER(FIND("COMPLETE",BI43)),ISNUMBER(FIND("PCT",BI43)),ISNUMBER(FIND("PERCENT",BI43))),NOT(ISNUMBER(FIND("ACTUAL",BI43))),LEN(BI43)&lt;=16))+32768*(OR(ISNUMBER(FIND("DESIC",BI43)),ISNUMBER(FIND("DESSIC",BI43)))))</f>
        <v/>
      </c>
      <c r="BJ178">
        <f>IF(BJ43="",0,2*(OR(ISNUMBER(FIND("WORKCENTER",BJ43)),AND(LEFT(BJ43,4)="LINE",NOT(ISNUMBER(FIND("STATUS",BJ43))))))+4*(OR(ISNUMBER(FIND("WORKORDER",BJ43)),AND(LEFT(BJ43,2)="WO",OR(ISNUMBER(FIND("NUM",BJ43)),RIGHT(BJ43,2)="NO"))))+8*(LEFT(BJ43,3)="SEQ")+16*(AND(LEFT(BJ43,4)="ITEM",NOT(ISNUMBER(FIND("DESC",BJ43)))))+32*(AND(ISNUMBER(FIND("DESC",BJ43)),NOT(ISNUMBER(FIND("CAP",BJ43)))))+64*(OR(RIGHT(BJ43,5)="COUNT",RIGHT(BJ43,2)="CT"))+128*(ISNUMBER(FIND("BULK",BJ43)))+256*(ISNUMBER(FIND("SIZE",BJ43)))+512*(LEFT(BJ43,3)="CAP")+1024*(ISNUMBER(FIND("ALLERG",BJ43)))+2048*(OR(ISNUMBER(FIND("REMARK",BJ43)),ISNUMBER(FIND("COMMENT",BJ43))))+4096*(OR(ISNUMBER(FIND("QTY",BJ43)),ISNUMBER(FIND("QUANTITY",BJ43))))+8192*(AND(OR(ISNUMBER(FIND("COMPLETE",BJ43)),ISNUMBER(FIND("PCT",BJ43)),ISNUMBER(FIND("PERCENT",BJ43))),NOT(ISNUMBER(FIND("ACTUAL",BJ43))),LEN(BJ43)&lt;=16))+32768*(OR(ISNUMBER(FIND("DESIC",BJ43)),ISNUMBER(FIND("DESSIC",BJ43)))))</f>
        <v/>
      </c>
      <c r="BK178">
        <f>IF(BK43="",0,2*(OR(ISNUMBER(FIND("WORKCENTER",BK43)),AND(LEFT(BK43,4)="LINE",NOT(ISNUMBER(FIND("STATUS",BK43))))))+4*(OR(ISNUMBER(FIND("WORKORDER",BK43)),AND(LEFT(BK43,2)="WO",OR(ISNUMBER(FIND("NUM",BK43)),RIGHT(BK43,2)="NO"))))+8*(LEFT(BK43,3)="SEQ")+16*(AND(LEFT(BK43,4)="ITEM",NOT(ISNUMBER(FIND("DESC",BK43)))))+32*(AND(ISNUMBER(FIND("DESC",BK43)),NOT(ISNUMBER(FIND("CAP",BK43)))))+64*(OR(RIGHT(BK43,5)="COUNT",RIGHT(BK43,2)="CT"))+128*(ISNUMBER(FIND("BULK",BK43)))+256*(ISNUMBER(FIND("SIZE",BK43)))+512*(LEFT(BK43,3)="CAP")+1024*(ISNUMBER(FIND("ALLERG",BK43)))+2048*(OR(ISNUMBER(FIND("REMARK",BK43)),ISNUMBER(FIND("COMMENT",BK43))))+4096*(OR(ISNUMBER(FIND("QTY",BK43)),ISNUMBER(FIND("QUANTITY",BK43))))+8192*(AND(OR(ISNUMBER(FIND("COMPLETE",BK43)),ISNUMBER(FIND("PCT",BK43)),ISNUMBER(FIND("PERCENT",BK43))),NOT(ISNUMBER(FIND("ACTUAL",BK43))),LEN(BK43)&lt;=16))+32768*(OR(ISNUMBER(FIND("DESIC",BK43)),ISNUMBER(FIND("DESSIC",BK43)))))</f>
        <v/>
      </c>
      <c r="BL178">
        <f>IF(BL43="",0,2*(OR(ISNUMBER(FIND("WORKCENTER",BL43)),AND(LEFT(BL43,4)="LINE",NOT(ISNUMBER(FIND("STATUS",BL43))))))+4*(OR(ISNUMBER(FIND("WORKORDER",BL43)),AND(LEFT(BL43,2)="WO",OR(ISNUMBER(FIND("NUM",BL43)),RIGHT(BL43,2)="NO"))))+8*(LEFT(BL43,3)="SEQ")+16*(AND(LEFT(BL43,4)="ITEM",NOT(ISNUMBER(FIND("DESC",BL43)))))+32*(AND(ISNUMBER(FIND("DESC",BL43)),NOT(ISNUMBER(FIND("CAP",BL43)))))+64*(OR(RIGHT(BL43,5)="COUNT",RIGHT(BL43,2)="CT"))+128*(ISNUMBER(FIND("BULK",BL43)))+256*(ISNUMBER(FIND("SIZE",BL43)))+512*(LEFT(BL43,3)="CAP")+1024*(ISNUMBER(FIND("ALLERG",BL43)))+2048*(OR(ISNUMBER(FIND("REMARK",BL43)),ISNUMBER(FIND("COMMENT",BL43))))+4096*(OR(ISNUMBER(FIND("QTY",BL43)),ISNUMBER(FIND("QUANTITY",BL43))))+8192*(AND(OR(ISNUMBER(FIND("COMPLETE",BL43)),ISNUMBER(FIND("PCT",BL43)),ISNUMBER(FIND("PERCENT",BL43))),NOT(ISNUMBER(FIND("ACTUAL",BL43))),LEN(BL43)&lt;=16))+32768*(OR(ISNUMBER(FIND("DESIC",BL43)),ISNUMBER(FIND("DESSIC",BL43)))))</f>
        <v/>
      </c>
      <c r="BM178">
        <f>IF(BM43="",0,2*(OR(ISNUMBER(FIND("WORKCENTER",BM43)),AND(LEFT(BM43,4)="LINE",NOT(ISNUMBER(FIND("STATUS",BM43))))))+4*(OR(ISNUMBER(FIND("WORKORDER",BM43)),AND(LEFT(BM43,2)="WO",OR(ISNUMBER(FIND("NUM",BM43)),RIGHT(BM43,2)="NO"))))+8*(LEFT(BM43,3)="SEQ")+16*(AND(LEFT(BM43,4)="ITEM",NOT(ISNUMBER(FIND("DESC",BM43)))))+32*(AND(ISNUMBER(FIND("DESC",BM43)),NOT(ISNUMBER(FIND("CAP",BM43)))))+64*(OR(RIGHT(BM43,5)="COUNT",RIGHT(BM43,2)="CT"))+128*(ISNUMBER(FIND("BULK",BM43)))+256*(ISNUMBER(FIND("SIZE",BM43)))+512*(LEFT(BM43,3)="CAP")+1024*(ISNUMBER(FIND("ALLERG",BM43)))+2048*(OR(ISNUMBER(FIND("REMARK",BM43)),ISNUMBER(FIND("COMMENT",BM43))))+4096*(OR(ISNUMBER(FIND("QTY",BM43)),ISNUMBER(FIND("QUANTITY",BM43))))+8192*(AND(OR(ISNUMBER(FIND("COMPLETE",BM43)),ISNUMBER(FIND("PCT",BM43)),ISNUMBER(FIND("PERCENT",BM43))),NOT(ISNUMBER(FIND("ACTUAL",BM43))),LEN(BM43)&lt;=16))+32768*(OR(ISNUMBER(FIND("DESIC",BM43)),ISNUMBER(FIND("DESSIC",BM43)))))</f>
        <v/>
      </c>
      <c r="BN178">
        <f>IF(BN43="",0,2*(OR(ISNUMBER(FIND("WORKCENTER",BN43)),AND(LEFT(BN43,4)="LINE",NOT(ISNUMBER(FIND("STATUS",BN43))))))+4*(OR(ISNUMBER(FIND("WORKORDER",BN43)),AND(LEFT(BN43,2)="WO",OR(ISNUMBER(FIND("NUM",BN43)),RIGHT(BN43,2)="NO"))))+8*(LEFT(BN43,3)="SEQ")+16*(AND(LEFT(BN43,4)="ITEM",NOT(ISNUMBER(FIND("DESC",BN43)))))+32*(AND(ISNUMBER(FIND("DESC",BN43)),NOT(ISNUMBER(FIND("CAP",BN43)))))+64*(OR(RIGHT(BN43,5)="COUNT",RIGHT(BN43,2)="CT"))+128*(ISNUMBER(FIND("BULK",BN43)))+256*(ISNUMBER(FIND("SIZE",BN43)))+512*(LEFT(BN43,3)="CAP")+1024*(ISNUMBER(FIND("ALLERG",BN43)))+2048*(OR(ISNUMBER(FIND("REMARK",BN43)),ISNUMBER(FIND("COMMENT",BN43))))+4096*(OR(ISNUMBER(FIND("QTY",BN43)),ISNUMBER(FIND("QUANTITY",BN43))))+8192*(AND(OR(ISNUMBER(FIND("COMPLETE",BN43)),ISNUMBER(FIND("PCT",BN43)),ISNUMBER(FIND("PERCENT",BN43))),NOT(ISNUMBER(FIND("ACTUAL",BN43))),LEN(BN43)&lt;=16))+32768*(OR(ISNUMBER(FIND("DESIC",BN43)),ISNUMBER(FIND("DESSIC",BN43)))))</f>
        <v/>
      </c>
      <c r="BO178">
        <f>IF(BO43="",0,2*(OR(ISNUMBER(FIND("WORKCENTER",BO43)),AND(LEFT(BO43,4)="LINE",NOT(ISNUMBER(FIND("STATUS",BO43))))))+4*(OR(ISNUMBER(FIND("WORKORDER",BO43)),AND(LEFT(BO43,2)="WO",OR(ISNUMBER(FIND("NUM",BO43)),RIGHT(BO43,2)="NO"))))+8*(LEFT(BO43,3)="SEQ")+16*(AND(LEFT(BO43,4)="ITEM",NOT(ISNUMBER(FIND("DESC",BO43)))))+32*(AND(ISNUMBER(FIND("DESC",BO43)),NOT(ISNUMBER(FIND("CAP",BO43)))))+64*(OR(RIGHT(BO43,5)="COUNT",RIGHT(BO43,2)="CT"))+128*(ISNUMBER(FIND("BULK",BO43)))+256*(ISNUMBER(FIND("SIZE",BO43)))+512*(LEFT(BO43,3)="CAP")+1024*(ISNUMBER(FIND("ALLERG",BO43)))+2048*(OR(ISNUMBER(FIND("REMARK",BO43)),ISNUMBER(FIND("COMMENT",BO43))))+4096*(OR(ISNUMBER(FIND("QTY",BO43)),ISNUMBER(FIND("QUANTITY",BO43))))+8192*(AND(OR(ISNUMBER(FIND("COMPLETE",BO43)),ISNUMBER(FIND("PCT",BO43)),ISNUMBER(FIND("PERCENT",BO43))),NOT(ISNUMBER(FIND("ACTUAL",BO43))),LEN(BO43)&lt;=16))+32768*(OR(ISNUMBER(FIND("DESIC",BO43)),ISNUMBER(FIND("DESSIC",BO43)))))</f>
        <v/>
      </c>
      <c r="BP178">
        <f>IF(BP43="",0,2*(OR(ISNUMBER(FIND("WORKCENTER",BP43)),AND(LEFT(BP43,4)="LINE",NOT(ISNUMBER(FIND("STATUS",BP43))))))+4*(OR(ISNUMBER(FIND("WORKORDER",BP43)),AND(LEFT(BP43,2)="WO",OR(ISNUMBER(FIND("NUM",BP43)),RIGHT(BP43,2)="NO"))))+8*(LEFT(BP43,3)="SEQ")+16*(AND(LEFT(BP43,4)="ITEM",NOT(ISNUMBER(FIND("DESC",BP43)))))+32*(AND(ISNUMBER(FIND("DESC",BP43)),NOT(ISNUMBER(FIND("CAP",BP43)))))+64*(OR(RIGHT(BP43,5)="COUNT",RIGHT(BP43,2)="CT"))+128*(ISNUMBER(FIND("BULK",BP43)))+256*(ISNUMBER(FIND("SIZE",BP43)))+512*(LEFT(BP43,3)="CAP")+1024*(ISNUMBER(FIND("ALLERG",BP43)))+2048*(OR(ISNUMBER(FIND("REMARK",BP43)),ISNUMBER(FIND("COMMENT",BP43))))+4096*(OR(ISNUMBER(FIND("QTY",BP43)),ISNUMBER(FIND("QUANTITY",BP43))))+8192*(AND(OR(ISNUMBER(FIND("COMPLETE",BP43)),ISNUMBER(FIND("PCT",BP43)),ISNUMBER(FIND("PERCENT",BP43))),NOT(ISNUMBER(FIND("ACTUAL",BP43))),LEN(BP43)&lt;=16))+32768*(OR(ISNUMBER(FIND("DESIC",BP43)),ISNUMBER(FIND("DESSIC",BP43)))))</f>
        <v/>
      </c>
      <c r="BQ178">
        <f>IF(BQ43="",0,2*(OR(ISNUMBER(FIND("WORKCENTER",BQ43)),AND(LEFT(BQ43,4)="LINE",NOT(ISNUMBER(FIND("STATUS",BQ43))))))+4*(OR(ISNUMBER(FIND("WORKORDER",BQ43)),AND(LEFT(BQ43,2)="WO",OR(ISNUMBER(FIND("NUM",BQ43)),RIGHT(BQ43,2)="NO"))))+8*(LEFT(BQ43,3)="SEQ")+16*(AND(LEFT(BQ43,4)="ITEM",NOT(ISNUMBER(FIND("DESC",BQ43)))))+32*(AND(ISNUMBER(FIND("DESC",BQ43)),NOT(ISNUMBER(FIND("CAP",BQ43)))))+64*(OR(RIGHT(BQ43,5)="COUNT",RIGHT(BQ43,2)="CT"))+128*(ISNUMBER(FIND("BULK",BQ43)))+256*(ISNUMBER(FIND("SIZE",BQ43)))+512*(LEFT(BQ43,3)="CAP")+1024*(ISNUMBER(FIND("ALLERG",BQ43)))+2048*(OR(ISNUMBER(FIND("REMARK",BQ43)),ISNUMBER(FIND("COMMENT",BQ43))))+4096*(OR(ISNUMBER(FIND("QTY",BQ43)),ISNUMBER(FIND("QUANTITY",BQ43))))+8192*(AND(OR(ISNUMBER(FIND("COMPLETE",BQ43)),ISNUMBER(FIND("PCT",BQ43)),ISNUMBER(FIND("PERCENT",BQ43))),NOT(ISNUMBER(FIND("ACTUAL",BQ43))),LEN(BQ43)&lt;=16))+32768*(OR(ISNUMBER(FIND("DESIC",BQ43)),ISNUMBER(FIND("DESSIC",BQ43)))))</f>
        <v/>
      </c>
      <c r="BR178">
        <f>IF(BR43="",0,2*(OR(ISNUMBER(FIND("WORKCENTER",BR43)),AND(LEFT(BR43,4)="LINE",NOT(ISNUMBER(FIND("STATUS",BR43))))))+4*(OR(ISNUMBER(FIND("WORKORDER",BR43)),AND(LEFT(BR43,2)="WO",OR(ISNUMBER(FIND("NUM",BR43)),RIGHT(BR43,2)="NO"))))+8*(LEFT(BR43,3)="SEQ")+16*(AND(LEFT(BR43,4)="ITEM",NOT(ISNUMBER(FIND("DESC",BR43)))))+32*(AND(ISNUMBER(FIND("DESC",BR43)),NOT(ISNUMBER(FIND("CAP",BR43)))))+64*(OR(RIGHT(BR43,5)="COUNT",RIGHT(BR43,2)="CT"))+128*(ISNUMBER(FIND("BULK",BR43)))+256*(ISNUMBER(FIND("SIZE",BR43)))+512*(LEFT(BR43,3)="CAP")+1024*(ISNUMBER(FIND("ALLERG",BR43)))+2048*(OR(ISNUMBER(FIND("REMARK",BR43)),ISNUMBER(FIND("COMMENT",BR43))))+4096*(OR(ISNUMBER(FIND("QTY",BR43)),ISNUMBER(FIND("QUANTITY",BR43))))+8192*(AND(OR(ISNUMBER(FIND("COMPLETE",BR43)),ISNUMBER(FIND("PCT",BR43)),ISNUMBER(FIND("PERCENT",BR43))),NOT(ISNUMBER(FIND("ACTUAL",BR43))),LEN(BR43)&lt;=16))+32768*(OR(ISNUMBER(FIND("DESIC",BR43)),ISNUMBER(FIND("DESSIC",BR43)))))</f>
        <v/>
      </c>
      <c r="BS178">
        <f>IF(BS43="",0,2*(OR(ISNUMBER(FIND("WORKCENTER",BS43)),AND(LEFT(BS43,4)="LINE",NOT(ISNUMBER(FIND("STATUS",BS43))))))+4*(OR(ISNUMBER(FIND("WORKORDER",BS43)),AND(LEFT(BS43,2)="WO",OR(ISNUMBER(FIND("NUM",BS43)),RIGHT(BS43,2)="NO"))))+8*(LEFT(BS43,3)="SEQ")+16*(AND(LEFT(BS43,4)="ITEM",NOT(ISNUMBER(FIND("DESC",BS43)))))+32*(AND(ISNUMBER(FIND("DESC",BS43)),NOT(ISNUMBER(FIND("CAP",BS43)))))+64*(OR(RIGHT(BS43,5)="COUNT",RIGHT(BS43,2)="CT"))+128*(ISNUMBER(FIND("BULK",BS43)))+256*(ISNUMBER(FIND("SIZE",BS43)))+512*(LEFT(BS43,3)="CAP")+1024*(ISNUMBER(FIND("ALLERG",BS43)))+2048*(OR(ISNUMBER(FIND("REMARK",BS43)),ISNUMBER(FIND("COMMENT",BS43))))+4096*(OR(ISNUMBER(FIND("QTY",BS43)),ISNUMBER(FIND("QUANTITY",BS43))))+8192*(AND(OR(ISNUMBER(FIND("COMPLETE",BS43)),ISNUMBER(FIND("PCT",BS43)),ISNUMBER(FIND("PERCENT",BS43))),NOT(ISNUMBER(FIND("ACTUAL",BS43))),LEN(BS43)&lt;=16))+32768*(OR(ISNUMBER(FIND("DESIC",BS43)),ISNUMBER(FIND("DESSIC",BS43)))))</f>
        <v/>
      </c>
      <c r="BT178">
        <f>IF(BT43="",0,2*(OR(ISNUMBER(FIND("WORKCENTER",BT43)),AND(LEFT(BT43,4)="LINE",NOT(ISNUMBER(FIND("STATUS",BT43))))))+4*(OR(ISNUMBER(FIND("WORKORDER",BT43)),AND(LEFT(BT43,2)="WO",OR(ISNUMBER(FIND("NUM",BT43)),RIGHT(BT43,2)="NO"))))+8*(LEFT(BT43,3)="SEQ")+16*(AND(LEFT(BT43,4)="ITEM",NOT(ISNUMBER(FIND("DESC",BT43)))))+32*(AND(ISNUMBER(FIND("DESC",BT43)),NOT(ISNUMBER(FIND("CAP",BT43)))))+64*(OR(RIGHT(BT43,5)="COUNT",RIGHT(BT43,2)="CT"))+128*(ISNUMBER(FIND("BULK",BT43)))+256*(ISNUMBER(FIND("SIZE",BT43)))+512*(LEFT(BT43,3)="CAP")+1024*(ISNUMBER(FIND("ALLERG",BT43)))+2048*(OR(ISNUMBER(FIND("REMARK",BT43)),ISNUMBER(FIND("COMMENT",BT43))))+4096*(OR(ISNUMBER(FIND("QTY",BT43)),ISNUMBER(FIND("QUANTITY",BT43))))+8192*(AND(OR(ISNUMBER(FIND("COMPLETE",BT43)),ISNUMBER(FIND("PCT",BT43)),ISNUMBER(FIND("PERCENT",BT43))),NOT(ISNUMBER(FIND("ACTUAL",BT43))),LEN(BT43)&lt;=16))+32768*(OR(ISNUMBER(FIND("DESIC",BT43)),ISNUMBER(FIND("DESSIC",BT43)))))</f>
        <v/>
      </c>
      <c r="BU178">
        <f>IF(BU43="",0,2*(OR(ISNUMBER(FIND("WORKCENTER",BU43)),AND(LEFT(BU43,4)="LINE",NOT(ISNUMBER(FIND("STATUS",BU43))))))+4*(OR(ISNUMBER(FIND("WORKORDER",BU43)),AND(LEFT(BU43,2)="WO",OR(ISNUMBER(FIND("NUM",BU43)),RIGHT(BU43,2)="NO"))))+8*(LEFT(BU43,3)="SEQ")+16*(AND(LEFT(BU43,4)="ITEM",NOT(ISNUMBER(FIND("DESC",BU43)))))+32*(AND(ISNUMBER(FIND("DESC",BU43)),NOT(ISNUMBER(FIND("CAP",BU43)))))+64*(OR(RIGHT(BU43,5)="COUNT",RIGHT(BU43,2)="CT"))+128*(ISNUMBER(FIND("BULK",BU43)))+256*(ISNUMBER(FIND("SIZE",BU43)))+512*(LEFT(BU43,3)="CAP")+1024*(ISNUMBER(FIND("ALLERG",BU43)))+2048*(OR(ISNUMBER(FIND("REMARK",BU43)),ISNUMBER(FIND("COMMENT",BU43))))+4096*(OR(ISNUMBER(FIND("QTY",BU43)),ISNUMBER(FIND("QUANTITY",BU43))))+8192*(AND(OR(ISNUMBER(FIND("COMPLETE",BU43)),ISNUMBER(FIND("PCT",BU43)),ISNUMBER(FIND("PERCENT",BU43))),NOT(ISNUMBER(FIND("ACTUAL",BU43))),LEN(BU43)&lt;=16))+32768*(OR(ISNUMBER(FIND("DESIC",BU43)),ISNUMBER(FIND("DESSIC",BU43)))))</f>
        <v/>
      </c>
      <c r="BV178">
        <f>IF(BV43="",0,2*(OR(ISNUMBER(FIND("WORKCENTER",BV43)),AND(LEFT(BV43,4)="LINE",NOT(ISNUMBER(FIND("STATUS",BV43))))))+4*(OR(ISNUMBER(FIND("WORKORDER",BV43)),AND(LEFT(BV43,2)="WO",OR(ISNUMBER(FIND("NUM",BV43)),RIGHT(BV43,2)="NO"))))+8*(LEFT(BV43,3)="SEQ")+16*(AND(LEFT(BV43,4)="ITEM",NOT(ISNUMBER(FIND("DESC",BV43)))))+32*(AND(ISNUMBER(FIND("DESC",BV43)),NOT(ISNUMBER(FIND("CAP",BV43)))))+64*(OR(RIGHT(BV43,5)="COUNT",RIGHT(BV43,2)="CT"))+128*(ISNUMBER(FIND("BULK",BV43)))+256*(ISNUMBER(FIND("SIZE",BV43)))+512*(LEFT(BV43,3)="CAP")+1024*(ISNUMBER(FIND("ALLERG",BV43)))+2048*(OR(ISNUMBER(FIND("REMARK",BV43)),ISNUMBER(FIND("COMMENT",BV43))))+4096*(OR(ISNUMBER(FIND("QTY",BV43)),ISNUMBER(FIND("QUANTITY",BV43))))+8192*(AND(OR(ISNUMBER(FIND("COMPLETE",BV43)),ISNUMBER(FIND("PCT",BV43)),ISNUMBER(FIND("PERCENT",BV43))),NOT(ISNUMBER(FIND("ACTUAL",BV43))),LEN(BV43)&lt;=16))+32768*(OR(ISNUMBER(FIND("DESIC",BV43)),ISNUMBER(FIND("DESSIC",BV43)))))</f>
        <v/>
      </c>
      <c r="BW178">
        <f>IF(BW43="",0,2*(OR(ISNUMBER(FIND("WORKCENTER",BW43)),AND(LEFT(BW43,4)="LINE",NOT(ISNUMBER(FIND("STATUS",BW43))))))+4*(OR(ISNUMBER(FIND("WORKORDER",BW43)),AND(LEFT(BW43,2)="WO",OR(ISNUMBER(FIND("NUM",BW43)),RIGHT(BW43,2)="NO"))))+8*(LEFT(BW43,3)="SEQ")+16*(AND(LEFT(BW43,4)="ITEM",NOT(ISNUMBER(FIND("DESC",BW43)))))+32*(AND(ISNUMBER(FIND("DESC",BW43)),NOT(ISNUMBER(FIND("CAP",BW43)))))+64*(OR(RIGHT(BW43,5)="COUNT",RIGHT(BW43,2)="CT"))+128*(ISNUMBER(FIND("BULK",BW43)))+256*(ISNUMBER(FIND("SIZE",BW43)))+512*(LEFT(BW43,3)="CAP")+1024*(ISNUMBER(FIND("ALLERG",BW43)))+2048*(OR(ISNUMBER(FIND("REMARK",BW43)),ISNUMBER(FIND("COMMENT",BW43))))+4096*(OR(ISNUMBER(FIND("QTY",BW43)),ISNUMBER(FIND("QUANTITY",BW43))))+8192*(AND(OR(ISNUMBER(FIND("COMPLETE",BW43)),ISNUMBER(FIND("PCT",BW43)),ISNUMBER(FIND("PERCENT",BW43))),NOT(ISNUMBER(FIND("ACTUAL",BW43))),LEN(BW43)&lt;=16))+32768*(OR(ISNUMBER(FIND("DESIC",BW43)),ISNUMBER(FIND("DESSIC",BW43)))))</f>
        <v/>
      </c>
      <c r="BX178">
        <f>IF(BX43="",0,2*(OR(ISNUMBER(FIND("WORKCENTER",BX43)),AND(LEFT(BX43,4)="LINE",NOT(ISNUMBER(FIND("STATUS",BX43))))))+4*(OR(ISNUMBER(FIND("WORKORDER",BX43)),AND(LEFT(BX43,2)="WO",OR(ISNUMBER(FIND("NUM",BX43)),RIGHT(BX43,2)="NO"))))+8*(LEFT(BX43,3)="SEQ")+16*(AND(LEFT(BX43,4)="ITEM",NOT(ISNUMBER(FIND("DESC",BX43)))))+32*(AND(ISNUMBER(FIND("DESC",BX43)),NOT(ISNUMBER(FIND("CAP",BX43)))))+64*(OR(RIGHT(BX43,5)="COUNT",RIGHT(BX43,2)="CT"))+128*(ISNUMBER(FIND("BULK",BX43)))+256*(ISNUMBER(FIND("SIZE",BX43)))+512*(LEFT(BX43,3)="CAP")+1024*(ISNUMBER(FIND("ALLERG",BX43)))+2048*(OR(ISNUMBER(FIND("REMARK",BX43)),ISNUMBER(FIND("COMMENT",BX43))))+4096*(OR(ISNUMBER(FIND("QTY",BX43)),ISNUMBER(FIND("QUANTITY",BX43))))+8192*(AND(OR(ISNUMBER(FIND("COMPLETE",BX43)),ISNUMBER(FIND("PCT",BX43)),ISNUMBER(FIND("PERCENT",BX43))),NOT(ISNUMBER(FIND("ACTUAL",BX43))),LEN(BX43)&lt;=16))+32768*(OR(ISNUMBER(FIND("DESIC",BX43)),ISNUMBER(FIND("DESSIC",BX43)))))</f>
        <v/>
      </c>
      <c r="BY178">
        <f>IF(BY43="",0,2*(OR(ISNUMBER(FIND("WORKCENTER",BY43)),AND(LEFT(BY43,4)="LINE",NOT(ISNUMBER(FIND("STATUS",BY43))))))+4*(OR(ISNUMBER(FIND("WORKORDER",BY43)),AND(LEFT(BY43,2)="WO",OR(ISNUMBER(FIND("NUM",BY43)),RIGHT(BY43,2)="NO"))))+8*(LEFT(BY43,3)="SEQ")+16*(AND(LEFT(BY43,4)="ITEM",NOT(ISNUMBER(FIND("DESC",BY43)))))+32*(AND(ISNUMBER(FIND("DESC",BY43)),NOT(ISNUMBER(FIND("CAP",BY43)))))+64*(OR(RIGHT(BY43,5)="COUNT",RIGHT(BY43,2)="CT"))+128*(ISNUMBER(FIND("BULK",BY43)))+256*(ISNUMBER(FIND("SIZE",BY43)))+512*(LEFT(BY43,3)="CAP")+1024*(ISNUMBER(FIND("ALLERG",BY43)))+2048*(OR(ISNUMBER(FIND("REMARK",BY43)),ISNUMBER(FIND("COMMENT",BY43))))+4096*(OR(ISNUMBER(FIND("QTY",BY43)),ISNUMBER(FIND("QUANTITY",BY43))))+8192*(AND(OR(ISNUMBER(FIND("COMPLETE",BY43)),ISNUMBER(FIND("PCT",BY43)),ISNUMBER(FIND("PERCENT",BY43))),NOT(ISNUMBER(FIND("ACTUAL",BY43))),LEN(BY43)&lt;=16))+32768*(OR(ISNUMBER(FIND("DESIC",BY43)),ISNUMBER(FIND("DESSIC",BY43)))))</f>
        <v/>
      </c>
      <c r="BZ178">
        <f>IF(BZ43="",0,2*(OR(ISNUMBER(FIND("WORKCENTER",BZ43)),AND(LEFT(BZ43,4)="LINE",NOT(ISNUMBER(FIND("STATUS",BZ43))))))+4*(OR(ISNUMBER(FIND("WORKORDER",BZ43)),AND(LEFT(BZ43,2)="WO",OR(ISNUMBER(FIND("NUM",BZ43)),RIGHT(BZ43,2)="NO"))))+8*(LEFT(BZ43,3)="SEQ")+16*(AND(LEFT(BZ43,4)="ITEM",NOT(ISNUMBER(FIND("DESC",BZ43)))))+32*(AND(ISNUMBER(FIND("DESC",BZ43)),NOT(ISNUMBER(FIND("CAP",BZ43)))))+64*(OR(RIGHT(BZ43,5)="COUNT",RIGHT(BZ43,2)="CT"))+128*(ISNUMBER(FIND("BULK",BZ43)))+256*(ISNUMBER(FIND("SIZE",BZ43)))+512*(LEFT(BZ43,3)="CAP")+1024*(ISNUMBER(FIND("ALLERG",BZ43)))+2048*(OR(ISNUMBER(FIND("REMARK",BZ43)),ISNUMBER(FIND("COMMENT",BZ43))))+4096*(OR(ISNUMBER(FIND("QTY",BZ43)),ISNUMBER(FIND("QUANTITY",BZ43))))+8192*(AND(OR(ISNUMBER(FIND("COMPLETE",BZ43)),ISNUMBER(FIND("PCT",BZ43)),ISNUMBER(FIND("PERCENT",BZ43))),NOT(ISNUMBER(FIND("ACTUAL",BZ43))),LEN(BZ43)&lt;=16))+32768*(OR(ISNUMBER(FIND("DESIC",BZ43)),ISNUMBER(FIND("DESSIC",BZ43)))))</f>
        <v/>
      </c>
      <c r="CA178">
        <f>IF(CA43="",0,2*(OR(ISNUMBER(FIND("WORKCENTER",CA43)),AND(LEFT(CA43,4)="LINE",NOT(ISNUMBER(FIND("STATUS",CA43))))))+4*(OR(ISNUMBER(FIND("WORKORDER",CA43)),AND(LEFT(CA43,2)="WO",OR(ISNUMBER(FIND("NUM",CA43)),RIGHT(CA43,2)="NO"))))+8*(LEFT(CA43,3)="SEQ")+16*(AND(LEFT(CA43,4)="ITEM",NOT(ISNUMBER(FIND("DESC",CA43)))))+32*(AND(ISNUMBER(FIND("DESC",CA43)),NOT(ISNUMBER(FIND("CAP",CA43)))))+64*(OR(RIGHT(CA43,5)="COUNT",RIGHT(CA43,2)="CT"))+128*(ISNUMBER(FIND("BULK",CA43)))+256*(ISNUMBER(FIND("SIZE",CA43)))+512*(LEFT(CA43,3)="CAP")+1024*(ISNUMBER(FIND("ALLERG",CA43)))+2048*(OR(ISNUMBER(FIND("REMARK",CA43)),ISNUMBER(FIND("COMMENT",CA43))))+4096*(OR(ISNUMBER(FIND("QTY",CA43)),ISNUMBER(FIND("QUANTITY",CA43))))+8192*(AND(OR(ISNUMBER(FIND("COMPLETE",CA43)),ISNUMBER(FIND("PCT",CA43)),ISNUMBER(FIND("PERCENT",CA43))),NOT(ISNUMBER(FIND("ACTUAL",CA43))),LEN(CA43)&lt;=16))+32768*(OR(ISNUMBER(FIND("DESIC",CA43)),ISNUMBER(FIND("DESSIC",CA43)))))</f>
        <v/>
      </c>
      <c r="CB178">
        <f>IF(CB43="",0,2*(OR(ISNUMBER(FIND("WORKCENTER",CB43)),AND(LEFT(CB43,4)="LINE",NOT(ISNUMBER(FIND("STATUS",CB43))))))+4*(OR(ISNUMBER(FIND("WORKORDER",CB43)),AND(LEFT(CB43,2)="WO",OR(ISNUMBER(FIND("NUM",CB43)),RIGHT(CB43,2)="NO"))))+8*(LEFT(CB43,3)="SEQ")+16*(AND(LEFT(CB43,4)="ITEM",NOT(ISNUMBER(FIND("DESC",CB43)))))+32*(AND(ISNUMBER(FIND("DESC",CB43)),NOT(ISNUMBER(FIND("CAP",CB43)))))+64*(OR(RIGHT(CB43,5)="COUNT",RIGHT(CB43,2)="CT"))+128*(ISNUMBER(FIND("BULK",CB43)))+256*(ISNUMBER(FIND("SIZE",CB43)))+512*(LEFT(CB43,3)="CAP")+1024*(ISNUMBER(FIND("ALLERG",CB43)))+2048*(OR(ISNUMBER(FIND("REMARK",CB43)),ISNUMBER(FIND("COMMENT",CB43))))+4096*(OR(ISNUMBER(FIND("QTY",CB43)),ISNUMBER(FIND("QUANTITY",CB43))))+8192*(AND(OR(ISNUMBER(FIND("COMPLETE",CB43)),ISNUMBER(FIND("PCT",CB43)),ISNUMBER(FIND("PERCENT",CB43))),NOT(ISNUMBER(FIND("ACTUAL",CB43))),LEN(CB43)&lt;=16))+32768*(OR(ISNUMBER(FIND("DESIC",CB43)),ISNUMBER(FIND("DESSIC",CB43)))))</f>
        <v/>
      </c>
      <c r="CC178">
        <f>IF(CC43="",0,2*(OR(ISNUMBER(FIND("WORKCENTER",CC43)),AND(LEFT(CC43,4)="LINE",NOT(ISNUMBER(FIND("STATUS",CC43))))))+4*(OR(ISNUMBER(FIND("WORKORDER",CC43)),AND(LEFT(CC43,2)="WO",OR(ISNUMBER(FIND("NUM",CC43)),RIGHT(CC43,2)="NO"))))+8*(LEFT(CC43,3)="SEQ")+16*(AND(LEFT(CC43,4)="ITEM",NOT(ISNUMBER(FIND("DESC",CC43)))))+32*(AND(ISNUMBER(FIND("DESC",CC43)),NOT(ISNUMBER(FIND("CAP",CC43)))))+64*(OR(RIGHT(CC43,5)="COUNT",RIGHT(CC43,2)="CT"))+128*(ISNUMBER(FIND("BULK",CC43)))+256*(ISNUMBER(FIND("SIZE",CC43)))+512*(LEFT(CC43,3)="CAP")+1024*(ISNUMBER(FIND("ALLERG",CC43)))+2048*(OR(ISNUMBER(FIND("REMARK",CC43)),ISNUMBER(FIND("COMMENT",CC43))))+4096*(OR(ISNUMBER(FIND("QTY",CC43)),ISNUMBER(FIND("QUANTITY",CC43))))+8192*(AND(OR(ISNUMBER(FIND("COMPLETE",CC43)),ISNUMBER(FIND("PCT",CC43)),ISNUMBER(FIND("PERCENT",CC43))),NOT(ISNUMBER(FIND("ACTUAL",CC43))),LEN(CC43)&lt;=16))+32768*(OR(ISNUMBER(FIND("DESIC",CC43)),ISNUMBER(FIND("DESSIC",CC43)))))</f>
        <v/>
      </c>
      <c r="CD178">
        <f>IF(CD43="",0,2*(OR(ISNUMBER(FIND("WORKCENTER",CD43)),AND(LEFT(CD43,4)="LINE",NOT(ISNUMBER(FIND("STATUS",CD43))))))+4*(OR(ISNUMBER(FIND("WORKORDER",CD43)),AND(LEFT(CD43,2)="WO",OR(ISNUMBER(FIND("NUM",CD43)),RIGHT(CD43,2)="NO"))))+8*(LEFT(CD43,3)="SEQ")+16*(AND(LEFT(CD43,4)="ITEM",NOT(ISNUMBER(FIND("DESC",CD43)))))+32*(AND(ISNUMBER(FIND("DESC",CD43)),NOT(ISNUMBER(FIND("CAP",CD43)))))+64*(OR(RIGHT(CD43,5)="COUNT",RIGHT(CD43,2)="CT"))+128*(ISNUMBER(FIND("BULK",CD43)))+256*(ISNUMBER(FIND("SIZE",CD43)))+512*(LEFT(CD43,3)="CAP")+1024*(ISNUMBER(FIND("ALLERG",CD43)))+2048*(OR(ISNUMBER(FIND("REMARK",CD43)),ISNUMBER(FIND("COMMENT",CD43))))+4096*(OR(ISNUMBER(FIND("QTY",CD43)),ISNUMBER(FIND("QUANTITY",CD43))))+8192*(AND(OR(ISNUMBER(FIND("COMPLETE",CD43)),ISNUMBER(FIND("PCT",CD43)),ISNUMBER(FIND("PERCENT",CD43))),NOT(ISNUMBER(FIND("ACTUAL",CD43))),LEN(CD43)&lt;=16))+32768*(OR(ISNUMBER(FIND("DESIC",CD43)),ISNUMBER(FIND("DESSIC",CD43)))))</f>
        <v/>
      </c>
      <c r="CE178">
        <f>IF(CE43="",0,2*(OR(ISNUMBER(FIND("WORKCENTER",CE43)),AND(LEFT(CE43,4)="LINE",NOT(ISNUMBER(FIND("STATUS",CE43))))))+4*(OR(ISNUMBER(FIND("WORKORDER",CE43)),AND(LEFT(CE43,2)="WO",OR(ISNUMBER(FIND("NUM",CE43)),RIGHT(CE43,2)="NO"))))+8*(LEFT(CE43,3)="SEQ")+16*(AND(LEFT(CE43,4)="ITEM",NOT(ISNUMBER(FIND("DESC",CE43)))))+32*(AND(ISNUMBER(FIND("DESC",CE43)),NOT(ISNUMBER(FIND("CAP",CE43)))))+64*(OR(RIGHT(CE43,5)="COUNT",RIGHT(CE43,2)="CT"))+128*(ISNUMBER(FIND("BULK",CE43)))+256*(ISNUMBER(FIND("SIZE",CE43)))+512*(LEFT(CE43,3)="CAP")+1024*(ISNUMBER(FIND("ALLERG",CE43)))+2048*(OR(ISNUMBER(FIND("REMARK",CE43)),ISNUMBER(FIND("COMMENT",CE43))))+4096*(OR(ISNUMBER(FIND("QTY",CE43)),ISNUMBER(FIND("QUANTITY",CE43))))+8192*(AND(OR(ISNUMBER(FIND("COMPLETE",CE43)),ISNUMBER(FIND("PCT",CE43)),ISNUMBER(FIND("PERCENT",CE43))),NOT(ISNUMBER(FIND("ACTUAL",CE43))),LEN(CE43)&lt;=16))+32768*(OR(ISNUMBER(FIND("DESIC",CE43)),ISNUMBER(FIND("DESSIC",CE43)))))</f>
        <v/>
      </c>
      <c r="CF178">
        <f>IF(CF43="",0,2*(OR(ISNUMBER(FIND("WORKCENTER",CF43)),AND(LEFT(CF43,4)="LINE",NOT(ISNUMBER(FIND("STATUS",CF43))))))+4*(OR(ISNUMBER(FIND("WORKORDER",CF43)),AND(LEFT(CF43,2)="WO",OR(ISNUMBER(FIND("NUM",CF43)),RIGHT(CF43,2)="NO"))))+8*(LEFT(CF43,3)="SEQ")+16*(AND(LEFT(CF43,4)="ITEM",NOT(ISNUMBER(FIND("DESC",CF43)))))+32*(AND(ISNUMBER(FIND("DESC",CF43)),NOT(ISNUMBER(FIND("CAP",CF43)))))+64*(OR(RIGHT(CF43,5)="COUNT",RIGHT(CF43,2)="CT"))+128*(ISNUMBER(FIND("BULK",CF43)))+256*(ISNUMBER(FIND("SIZE",CF43)))+512*(LEFT(CF43,3)="CAP")+1024*(ISNUMBER(FIND("ALLERG",CF43)))+2048*(OR(ISNUMBER(FIND("REMARK",CF43)),ISNUMBER(FIND("COMMENT",CF43))))+4096*(OR(ISNUMBER(FIND("QTY",CF43)),ISNUMBER(FIND("QUANTITY",CF43))))+8192*(AND(OR(ISNUMBER(FIND("COMPLETE",CF43)),ISNUMBER(FIND("PCT",CF43)),ISNUMBER(FIND("PERCENT",CF43))),NOT(ISNUMBER(FIND("ACTUAL",CF43))),LEN(CF43)&lt;=16))+32768*(OR(ISNUMBER(FIND("DESIC",CF43)),ISNUMBER(FIND("DESSIC",CF43)))))</f>
        <v/>
      </c>
      <c r="DA178" t="n">
        <v>174</v>
      </c>
      <c r="DB178">
        <f>IF($B$37=0,"",IFERROR(TRIM(SUBSTITUTE(SUBSTITUTE(SUBSTITUTE(SUBSTITUTE(INDEX(PASTE_ALL,174,$B$37)," "," "),CHAR(9)," "),CHAR(10)," "),CHAR(13)," ")),""))</f>
        <v/>
      </c>
      <c r="DC178">
        <f>IF(AND(174&gt;HEADER_ROW,UPPER(DB178)="LEGEND"),1,0)</f>
        <v/>
      </c>
      <c r="DE178" t="n">
        <v>174</v>
      </c>
      <c r="DF178">
        <f>HEADER_ROW+$DE178</f>
        <v/>
      </c>
      <c r="DG178">
        <f>IF(AND($DF178&lt;=1000,$DF178&lt;$B$8),1,0)</f>
        <v/>
      </c>
      <c r="DH178">
        <f>IF($DG178=1,IFERROR(INDEX($DB$5:$DB$1004,$DF178),""),"")</f>
        <v/>
      </c>
      <c r="DI178">
        <f>IF(AND($DG178=1,$DH178&lt;&gt;""),IFERROR(SUBSTITUTE(SUBSTITUTE(TRIM(SUBSTITUTE(SUBSTITUTE(SUBSTITUTE(SUBSTITUTE(IFERROR(INDEX(PASTE_ALL,$DF178,1)&amp;"","")&amp;"␟"&amp;IFERROR(INDEX(PASTE_ALL,$DF178,2)&amp;"","")&amp;"␟"&amp;IFERROR(INDEX(PASTE_ALL,$DF178,3)&amp;"","")&amp;"␟"&amp;IFERROR(INDEX(PASTE_ALL,$DF178,4)&amp;"","")&amp;"␟"&amp;IFERROR(INDEX(PASTE_ALL,$DF178,5)&amp;"","")&amp;"␟"&amp;IFERROR(INDEX(PASTE_ALL,$DF178,6)&amp;"","")&amp;"␟"&amp;IFERROR(INDEX(PASTE_ALL,$DF178,7)&amp;"","")&amp;"␟"&amp;IFERROR(INDEX(PASTE_ALL,$DF178,8)&amp;"","")&amp;"␟"&amp;IFERROR(INDEX(PASTE_ALL,$DF178,9)&amp;"","")&amp;"␟"&amp;IFERROR(INDEX(PASTE_ALL,$DF178,10)&amp;"","")&amp;"␟"&amp;IFERROR(INDEX(PASTE_ALL,$DF178,11)&amp;"","")&amp;"␟"&amp;IFERROR(INDEX(PASTE_ALL,$DF178,12)&amp;"","")&amp;"␟"&amp;IFERROR(INDEX(PASTE_ALL,$DF178,13)&amp;"","")&amp;"␟"&amp;IFERROR(INDEX(PASTE_ALL,$DF178,14)&amp;"","")&amp;"␟"&amp;IFERROR(INDEX(PASTE_ALL,$DF178,15)&amp;"","")&amp;"␟"&amp;IFERROR(INDEX(PASTE_ALL,$DF178,16)&amp;"","")&amp;"␟"&amp;IFERROR(INDEX(PASTE_ALL,$DF178,17)&amp;"","")&amp;"␟"&amp;IFERROR(INDEX(PASTE_ALL,$DF178,18)&amp;"","")&amp;"␟"&amp;IFERROR(INDEX(PASTE_ALL,$DF178,19)&amp;"","")&amp;"␟"&amp;IFERROR(INDEX(PASTE_ALL,$DF178,20)&amp;"","")&amp;"␟"&amp;IFERROR(INDEX(PASTE_ALL,$DF178,21)&amp;"","")&amp;"␟"&amp;IFERROR(INDEX(PASTE_ALL,$DF178,22)&amp;"","")&amp;"␟"&amp;IFERROR(INDEX(PASTE_ALL,$DF178,23)&amp;"","")&amp;"␟"&amp;IFERROR(INDEX(PASTE_ALL,$DF178,24)&amp;"","")&amp;"␟"&amp;IFERROR(INDEX(PASTE_ALL,$DF178,25)&amp;"","")&amp;"␟"&amp;IFERROR(INDEX(PASTE_ALL,$DF178,26)&amp;"","")&amp;"␟"&amp;IFERROR(INDEX(PASTE_ALL,$DF178,27)&amp;"","")&amp;"␟"&amp;IFERROR(INDEX(PASTE_ALL,$DF178,28)&amp;"","")&amp;"␟"&amp;IFERROR(INDEX(PASTE_ALL,$DF178,29)&amp;"","")&amp;"␟"&amp;IFERROR(INDEX(PASTE_ALL,$DF178,30)&amp;"","")&amp;"␟"&amp;IFERROR(INDEX(PASTE_ALL,$DF178,31)&amp;"","")&amp;"␟"&amp;IFERROR(INDEX(PASTE_ALL,$DF178,32)&amp;"","")&amp;"␟"&amp;IFERROR(INDEX(PASTE_ALL,$DF178,33)&amp;"","")&amp;"␟"&amp;IFERROR(INDEX(PASTE_ALL,$DF178,34)&amp;"","")&amp;"␟"&amp;IFERROR(INDEX(PASTE_ALL,$DF178,35)&amp;"","")&amp;"␟"&amp;IFERROR(INDEX(PASTE_ALL,$DF178,36)&amp;"","")&amp;"␟"&amp;IFERROR(INDEX(PASTE_ALL,$DF178,37)&amp;"","")&amp;"␟"&amp;IFERROR(INDEX(PASTE_ALL,$DF178,38)&amp;"","")&amp;"␟"&amp;IFERROR(INDEX(PASTE_ALL,$DF178,39)&amp;"","")&amp;"␟"&amp;IFERROR(INDEX(PASTE_ALL,$DF178,40)&amp;"","")&amp;"␟"&amp;IFERROR(INDEX(PASTE_ALL,$DF178,41)&amp;"","")&amp;"␟"&amp;IFERROR(INDEX(PASTE_ALL,$DF178,42)&amp;"","")&amp;"␟"&amp;IFERROR(INDEX(PASTE_ALL,$DF178,43)&amp;"","")&amp;"␟"&amp;IFERROR(INDEX(PASTE_ALL,$DF178,44)&amp;"","")&amp;"␟"&amp;IFERROR(INDEX(PASTE_ALL,$DF178,45)&amp;"","")&amp;"␟"&amp;IFERROR(INDEX(PASTE_ALL,$DF178,46)&amp;"","")&amp;"␟"&amp;IFERROR(INDEX(PASTE_ALL,$DF178,47)&amp;"","")&amp;"␟"&amp;IFERROR(INDEX(PASTE_ALL,$DF178,48)&amp;"","")&amp;"␟"&amp;IFERROR(INDEX(PASTE_ALL,$DF178,49)&amp;"","")&amp;"␟"&amp;IFERROR(INDEX(PASTE_ALL,$DF178,50)&amp;"","")&amp;"␟"&amp;IFERROR(INDEX(PASTE_ALL,$DF178,51)&amp;"","")&amp;"␟"&amp;IFERROR(INDEX(PASTE_ALL,$DF178,52)&amp;"","")&amp;"␟"&amp;IFERROR(INDEX(PASTE_ALL,$DF178,53)&amp;"","")&amp;"␟"&amp;IFERROR(INDEX(PASTE_ALL,$DF178,54)&amp;"","")&amp;"␟"&amp;IFERROR(INDEX(PASTE_ALL,$DF178,55)&amp;"","")&amp;"␟"&amp;IFERROR(INDEX(PASTE_ALL,$DF178,56)&amp;"","")&amp;"␟"&amp;IFERROR(INDEX(PASTE_ALL,$DF178,57)&amp;"","")&amp;"␟"&amp;IFERROR(INDEX(PASTE_ALL,$DF178,58)&amp;"","")&amp;"␟"&amp;IFERROR(INDEX(PASTE_ALL,$DF178,59)&amp;"","")&amp;"␟"&amp;IFERROR(INDEX(PASTE_ALL,$DF178,60)&amp;"","")," "," "),CHAR(9)," "),CHAR(10)," "),CHAR(13)," "))," ␟","␟"),"␟ ","␟"),"#"&amp;$DE178),"")</f>
        <v/>
      </c>
      <c r="DJ178">
        <f>IF($DI178="",0,IF(SUMPRODUCT(--EXACT($DI$4:DI177,$DI178))&gt;0,1,0))</f>
        <v/>
      </c>
      <c r="DK178">
        <f>IF(AND($DI178&lt;&gt;"",$DJ178=0),1,0)</f>
        <v/>
      </c>
      <c r="DL178">
        <f>DL177+$DK178</f>
        <v/>
      </c>
      <c r="DM178">
        <f>IF(AND($DK178=1,$DL178&lt;=600),1,0)</f>
        <v/>
      </c>
      <c r="DN178">
        <f>IF($DM178=0,"",IF($L$6=0,"",IFERROR(IF(ISNUMBER(INDEX(PASTE_ALL,$DF178,$L$6)),INDEX(PASTE_ALL,$DF178,$L$6),TRIM(SUBSTITUTE(SUBSTITUTE(SUBSTITUTE(SUBSTITUTE(INDEX(PASTE_ALL,$DF178,$L$6)," "," "),CHAR(9)," "),CHAR(10)," "),CHAR(13)," "))),"")))</f>
        <v/>
      </c>
      <c r="DO178">
        <f>IF($DM178=0,"",IF($L$7=0,"",IFERROR(IF(ISNUMBER(INDEX(PASTE_ALL,$DF178,$L$7)),INDEX(PASTE_ALL,$DF178,$L$7),TRIM(SUBSTITUTE(SUBSTITUTE(SUBSTITUTE(SUBSTITUTE(INDEX(PASTE_ALL,$DF178,$L$7)," "," "),CHAR(9)," "),CHAR(10)," "),CHAR(13)," "))),"")))</f>
        <v/>
      </c>
      <c r="DP178">
        <f>IF($DM178=0,"",IF($L$8=0,"",IFERROR(IF(ISNUMBER(INDEX(PASTE_ALL,$DF178,$L$8)),INDEX(PASTE_ALL,$DF178,$L$8),TRIM(SUBSTITUTE(SUBSTITUTE(SUBSTITUTE(SUBSTITUTE(INDEX(PASTE_ALL,$DF178,$L$8)," "," "),CHAR(9)," "),CHAR(10)," "),CHAR(13)," "))),"")))</f>
        <v/>
      </c>
      <c r="DQ178">
        <f>IF($DM178=0,"",IF($L$9=0,"",IFERROR(IF(ISNUMBER(INDEX(PASTE_ALL,$DF178,$L$9)),INDEX(PASTE_ALL,$DF178,$L$9),TRIM(SUBSTITUTE(SUBSTITUTE(SUBSTITUTE(SUBSTITUTE(INDEX(PASTE_ALL,$DF178,$L$9)," "," "),CHAR(9)," "),CHAR(10)," "),CHAR(13)," "))),"")))</f>
        <v/>
      </c>
      <c r="DR178">
        <f>IF($DM178=0,"",IF($L$10=0,"",IFERROR(IF(ISNUMBER(INDEX(PASTE_ALL,$DF178,$L$10)),INDEX(PASTE_ALL,$DF178,$L$10),TRIM(SUBSTITUTE(SUBSTITUTE(SUBSTITUTE(SUBSTITUTE(INDEX(PASTE_ALL,$DF178,$L$10)," "," "),CHAR(9)," "),CHAR(10)," "),CHAR(13)," "))),"")))</f>
        <v/>
      </c>
      <c r="DS178">
        <f>IF($DM178=0,"",IF($L$11=0,"",IFERROR(IF(ISNUMBER(INDEX(PASTE_ALL,$DF178,$L$11)),INDEX(PASTE_ALL,$DF178,$L$11),TRIM(SUBSTITUTE(SUBSTITUTE(SUBSTITUTE(SUBSTITUTE(INDEX(PASTE_ALL,$DF178,$L$11)," "," "),CHAR(9)," "),CHAR(10)," "),CHAR(13)," "))),"")))</f>
        <v/>
      </c>
      <c r="DT178">
        <f>IF($DM178=0,"",IF($L$12=0,"",IFERROR(IF(ISNUMBER(INDEX(PASTE_ALL,$DF178,$L$12)),INDEX(PASTE_ALL,$DF178,$L$12),TRIM(SUBSTITUTE(SUBSTITUTE(SUBSTITUTE(SUBSTITUTE(INDEX(PASTE_ALL,$DF178,$L$12)," "," "),CHAR(9)," "),CHAR(10)," "),CHAR(13)," "))),"")))</f>
        <v/>
      </c>
      <c r="DU178">
        <f>IF($DM178=0,"",IF($L$13=0,"",IFERROR(IF(ISNUMBER(INDEX(PASTE_ALL,$DF178,$L$13)),INDEX(PASTE_ALL,$DF178,$L$13),TRIM(SUBSTITUTE(SUBSTITUTE(SUBSTITUTE(SUBSTITUTE(INDEX(PASTE_ALL,$DF178,$L$13)," "," "),CHAR(9)," "),CHAR(10)," "),CHAR(13)," "))),"")))</f>
        <v/>
      </c>
      <c r="DV178">
        <f>IF($DM178=0,"",IF($L$14=0,"",IFERROR(IF(ISNUMBER(INDEX(PASTE_ALL,$DF178,$L$14)),INDEX(PASTE_ALL,$DF178,$L$14),TRIM(SUBSTITUTE(SUBSTITUTE(SUBSTITUTE(SUBSTITUTE(INDEX(PASTE_ALL,$DF178,$L$14)," "," "),CHAR(9)," "),CHAR(10)," "),CHAR(13)," "))),"")))</f>
        <v/>
      </c>
      <c r="DW178">
        <f>IF($DM178=0,"",IF($L$15=0,"",IFERROR(IF(ISNUMBER(INDEX(PASTE_ALL,$DF178,$L$15)),INDEX(PASTE_ALL,$DF178,$L$15),IF(SUMPRODUCT(--ISNUMBER(FIND({"A","B","C","D","E","F","G","H","I","J","K","L","M","N","O","P","Q","R","S","T","U","V","W","X","Y","Z","0","1","2","3","4","5","6","7","8","9"},UPPER(TRIM(SUBSTITUTE(SUBSTITUTE(SUBSTITUTE(SUBSTITUTE(INDEX(PASTE_ALL,$DF178,$L$15)," "," "),CHAR(9)," "),CHAR(10)," "),CHAR(13)," "))))))&gt;0,TRIM(SUBSTITUTE(SUBSTITUTE(SUBSTITUTE(SUBSTITUTE(INDEX(PASTE_ALL,$DF178,$L$15)," "," "),CHAR(9)," "),CHAR(10)," "),CHAR(13)," ")),"")),"")))</f>
        <v/>
      </c>
      <c r="DX178">
        <f>IF($DM178=0,"",IF($L$16=0,"",IFERROR(IF(ISNUMBER(INDEX(PASTE_ALL,$DF178,$L$16)),INDEX(PASTE_ALL,$DF178,$L$16),SUBSTITUTE(SUBSTITUTE(TRIM(SUBSTITUTE(SUBSTITUTE(SUBSTITUTE(SUBSTITUTE(INDEX(PASTE_ALL,$DF178,$L$16)," "," "),CHAR(9)," "),CHAR(10)," "),CHAR(13)," ")),",",""),"%","")),"")))</f>
        <v/>
      </c>
      <c r="DY178">
        <f>IF($DM178=0,"",IFERROR(IF(ISNUMBER($DX178),$DX178,IF($DX178="","",IF(TRIM($DX178)="",0,IF(AND(AND(SUBSTITUTE(SUBSTITUTE(SUBSTITUTE(SUBSTITUTE(SUBSTITUTE(SUBSTITUTE(SUBSTITUTE(SUBSTITUTE(SUBSTITUTE(SUBSTITUTE(SUBSTITUTE(SUBSTITUTE(SUBSTITUTE(SUBSTITUTE(UPPER(TRIM($DX178)),"0",""),"1",""),"2",""),"3",""),"4",""),"5",""),"6",""),"7",""),"8",""),"9",""),".",""),"+",""),"-",""),"E","")="",LEN(SUBSTITUTE(SUBSTITUTE(MID(UPPER(TRIM($DX178)),1+OR(LEFT(UPPER(TRIM($DX178)),1)="+",LEFT(UPPER(TRIM($DX178)),1)="-"),999),"E+","E"),"E-","E"))=LEN(SUBSTITUTE(SUBSTITUTE(SUBSTITUTE(SUBSTITUTE(MID(UPPER(TRIM($DX178)),1+OR(LEFT(UPPER(TRIM($DX178)),1)="+",LEFT(UPPER(TRIM($DX178)),1)="-"),999),"E+","E"),"E-","E"),"+",""),"-","")),LEN(UPPER(TRIM($DX178)))-LEN(SUBSTITUTE(UPPER(TRIM($DX178)),"E",""))&lt;2,LEN(UPPER(TRIM($DX178)))-LEN(SUBSTITUTE(UPPER(TRIM($DX178)),".",""))&lt;2,IFERROR(FIND(".",UPPER(TRIM($DX178))),0)&lt;IFERROR(FIND("E",UPPER(TRIM($DX178))),999)),ISNUMBER(VALUE(TRIM($DX178)))),VALUE(TRIM($DX178)),"")))),""))</f>
        <v/>
      </c>
      <c r="DZ178">
        <f>IF($DM178=0,"",IF($L$17=0,"",IFERROR(IF(ISNUMBER(INDEX(PASTE_ALL,$DF178,$L$17)),INDEX(PASTE_ALL,$DF178,$L$17),SUBSTITUTE(SUBSTITUTE(TRIM(SUBSTITUTE(SUBSTITUTE(SUBSTITUTE(SUBSTITUTE(INDEX(PASTE_ALL,$DF178,$L$17)," "," "),CHAR(9)," "),CHAR(10)," "),CHAR(13)," ")),",",""),"%","")),"")))</f>
        <v/>
      </c>
      <c r="EA178">
        <f>IF($DM178=0,"",IFERROR(IF(ISNUMBER($DZ178),$DZ178,IF($DZ178="","",IF(TRIM($DZ178)="",0,IF(AND(AND(SUBSTITUTE(SUBSTITUTE(SUBSTITUTE(SUBSTITUTE(SUBSTITUTE(SUBSTITUTE(SUBSTITUTE(SUBSTITUTE(SUBSTITUTE(SUBSTITUTE(SUBSTITUTE(SUBSTITUTE(SUBSTITUTE(SUBSTITUTE(UPPER(TRIM($DZ178)),"0",""),"1",""),"2",""),"3",""),"4",""),"5",""),"6",""),"7",""),"8",""),"9",""),".",""),"+",""),"-",""),"E","")="",LEN(SUBSTITUTE(SUBSTITUTE(MID(UPPER(TRIM($DZ178)),1+OR(LEFT(UPPER(TRIM($DZ178)),1)="+",LEFT(UPPER(TRIM($DZ178)),1)="-"),999),"E+","E"),"E-","E"))=LEN(SUBSTITUTE(SUBSTITUTE(SUBSTITUTE(SUBSTITUTE(MID(UPPER(TRIM($DZ178)),1+OR(LEFT(UPPER(TRIM($DZ178)),1)="+",LEFT(UPPER(TRIM($DZ178)),1)="-"),999),"E+","E"),"E-","E"),"+",""),"-","")),LEN(UPPER(TRIM($DZ178)))-LEN(SUBSTITUTE(UPPER(TRIM($DZ178)),"E",""))&lt;2,LEN(UPPER(TRIM($DZ178)))-LEN(SUBSTITUTE(UPPER(TRIM($DZ178)),".",""))&lt;2,IFERROR(FIND(".",UPPER(TRIM($DZ178))),0)&lt;IFERROR(FIND("E",UPPER(TRIM($DZ178))),999)),ISNUMBER(VALUE(TRIM($DZ178)))),VALUE(TRIM($DZ178)),"")))),""))</f>
        <v/>
      </c>
      <c r="EB178">
        <f>IF($DM178=0,"",IF($L$18=0,"",IFERROR(IF(UPPER(TRIM(SUBSTITUTE(SUBSTITUTE(SUBSTITUTE(SUBSTITUTE(INDEX(PASTE_ALL,$DF178,$L$18)," "," "),CHAR(9)," "),CHAR(10)," "),CHAR(13)," ")))="READY","Ready",IF(UPPER(TRIM(SUBSTITUTE(SUBSTITUTE(SUBSTITUTE(SUBSTITUTE(INDEX(PASTE_ALL,$DF178,$L$18)," "," "),CHAR(9)," "),CHAR(10)," "),CHAR(13)," ")))="PM","PM",IF(OR(UPPER(TRIM(SUBSTITUTE(SUBSTITUTE(SUBSTITUTE(SUBSTITUTE(INDEX(PASTE_ALL,$DF178,$L$18)," "," "),CHAR(9)," "),CHAR(10)," "),CHAR(13)," ")))="OT",UPPER(TRIM(SUBSTITUTE(SUBSTITUTE(SUBSTITUTE(SUBSTITUTE(INDEX(PASTE_ALL,$DF178,$L$18)," "," "),CHAR(9)," "),CHAR(10)," "),CHAR(13)," ")))="OVERTIME",UPPER(TRIM(SUBSTITUTE(SUBSTITUTE(SUBSTITUTE(SUBSTITUTE(INDEX(PASTE_ALL,$DF178,$L$18)," "," "),CHAR(9)," "),CHAR(10)," "),CHAR(13)," ")))="TRIAL"),"OT",TRIM(SUBSTITUTE(SUBSTITUTE(SUBSTITUTE(SUBSTITUTE(INDEX(PASTE_ALL,$DF178,$L$18)," "," "),CHAR(9)," "),CHAR(10)," "),CHAR(13)," "))))),"")))</f>
        <v/>
      </c>
      <c r="EC178">
        <f>IF($DM178=0,"",IF($L$19=0,"",IFERROR(IF(ISNUMBER(INDEX(PASTE_ALL,$DF178,$L$19)),INDEX(PASTE_ALL,$DF178,$L$19),TRIM(SUBSTITUTE(SUBSTITUTE(SUBSTITUTE(SUBSTITUTE(INDEX(PASTE_ALL,$DF178,$L$19)," "," "),CHAR(9)," "),CHAR(10)," "),CHAR(13)," "))),"")))</f>
        <v/>
      </c>
      <c r="ED178">
        <f>IF($DM178=0,"",MATCH(1,INDEX(EXACT($DH$5:DH178,$DH178)*$DM$5:DM178,0),0))</f>
        <v/>
      </c>
      <c r="EE178">
        <f>IF($DM178=0,0,IF($ED178=$DE178,1,0))</f>
        <v/>
      </c>
      <c r="EF178">
        <f>EF177+$EE178</f>
        <v/>
      </c>
      <c r="EG178">
        <f>IF($DM178=0,"",INDEX($EF$5:$EF$1003,$ED178))</f>
        <v/>
      </c>
      <c r="EH178">
        <f>IF($DM178=0,"",IF($DO178&lt;&gt;"","",IFERROR(LOOKUP(2,1/(($EG$4:EG177=$EG178)*($DO$4:DO177&lt;&gt;"")),$DO$4:DO177),"")))</f>
        <v/>
      </c>
      <c r="EI178">
        <f>IF($DM178=0,"",IF($DO178&lt;&gt;"",$DO178,$EH178))</f>
        <v/>
      </c>
      <c r="EJ178">
        <f>IF($DM178=0,"",IF($EI178="",0,IF(OR(ISNUMBER($EI178),AND(AND(SUBSTITUTE(SUBSTITUTE(SUBSTITUTE(SUBSTITUTE(SUBSTITUTE(SUBSTITUTE(SUBSTITUTE(SUBSTITUTE(SUBSTITUTE(SUBSTITUTE(SUBSTITUTE(SUBSTITUTE(SUBSTITUTE(SUBSTITUTE(UPPER($EI178),"0",""),"1",""),"2",""),"3",""),"4",""),"5",""),"6",""),"7",""),"8",""),"9",""),".",""),"+",""),"-",""),"E","")="",LEN(SUBSTITUTE(SUBSTITUTE(MID(UPPER($EI178),1+OR(LEFT(UPPER($EI178),1)="+",LEFT(UPPER($EI178),1)="-"),999),"E+","E"),"E-","E"))=LEN(SUBSTITUTE(SUBSTITUTE(SUBSTITUTE(SUBSTITUTE(MID(UPPER($EI178),1+OR(LEFT(UPPER($EI178),1)="+",LEFT(UPPER($EI178),1)="-"),999),"E+","E"),"E-","E"),"+",""),"-","")),LEN(UPPER($EI178))-LEN(SUBSTITUTE(UPPER($EI178),"E",""))&lt;2,LEN(UPPER($EI178))-LEN(SUBSTITUTE(UPPER($EI178),".",""))&lt;2,IFERROR(FIND(".",UPPER($EI178)),0)&lt;IFERROR(FIND("E",UPPER($EI178)),999)),ISNUMBER(VALUE($EI178)))),1,2)))</f>
        <v/>
      </c>
      <c r="EK178">
        <f>IF($DM178=0,"",IF($EJ178=1,IF(ISNUMBER($EI178),$EI178,VALUE($EI178)),IF($EJ178=2,$DE178,0)))</f>
        <v/>
      </c>
      <c r="EL178">
        <f>IF($DM178=0,"",COUNTIF($EG$5:$EG$1003,"&lt;"&amp;$EG178)+SUMPRODUCT(($EG$5:$EG$1003=$EG178)*(($EJ$5:$EJ$1003&lt;$EJ178)+($EJ$5:$EJ$1003=$EJ178)*(($EK$5:$EK$1003&lt;$EK178)+($EK$5:$EK$1003=$EK178)*($DE$5:$DE$1003&lt;$DE178))))+1)</f>
        <v/>
      </c>
      <c r="EM178">
        <f>IF($DM178=0,"",$EL178+$EG178-1)</f>
        <v/>
      </c>
      <c r="EN178">
        <f>IF($DM178=0,0,IFERROR(MATCH(1,INDEX(--(TRIM(SUBSTITUTE(SUBSTITUTE(SUBSTITUTE(SUBSTITUTE(LINES_NAME&amp;""," "," "),CHAR(9)," "),CHAR(10)," "),CHAR(13)," "))=$DH178),0),0),0))</f>
        <v/>
      </c>
      <c r="EO178">
        <f>IF($EN178=0,0,IF(OR(UPPER(TRIM(INDEX(LINES_SCHEDULED,$EN178)&amp;""))="YES",UPPER(TRIM(INDEX(LINES_SCHEDULED,$EN178)&amp;""))="Y",UPPER(TRIM(INDEX(LINES_SCHEDULED,$EN178)&amp;""))="X"),1,0))</f>
        <v/>
      </c>
      <c r="EP178">
        <f>IF($DM178=0,"",IF(COUNTIFS($EG$5:$EG$1003,$EG178,$EB$5:$EB$1003,"Ready")&gt;0,"READY",IF(COUNTIFS($EG$5:$EG$1003,$EG178,$EB$5:$EB$1003,"PM")&gt;0,"PM",IF(COUNTIFS($EG$5:$EG$1003,$EG178,$EB$5:$EB$1003,"OT")&gt;0,"OT",""))))</f>
        <v/>
      </c>
      <c r="EQ178">
        <f>IF($EN178=0,"",UPPER(TRIM(INDEX(LINES_STATUS,$EN178)&amp;"")))</f>
        <v/>
      </c>
      <c r="ER178">
        <f>IF($DM178=0,"",IF(OR($EQ178="READY",$EQ178="PM",$EQ178="OT"),$EQ178,$EP178))</f>
        <v/>
      </c>
      <c r="ES178">
        <f>IF($DM178=0,"",IF(AND($DV178&lt;&gt;"",UPPER($DV178)&lt;&gt;"N"),"allergen",IF(ISNUMBER(SEARCH("oil",$DQ178)),"oil",IF(OR(EXACT($DS178,"A662"),EXACT($DS178,"A624")),"bulk",""))))</f>
        <v/>
      </c>
      <c r="ET178">
        <f>IF($DM178=0,"",IF(OR($EA178="",$EA178=0),"",$EA178/100))</f>
        <v/>
      </c>
      <c r="EU178">
        <f>IF(OR($ET178="",$DY178=""),"",INT($DY178*(1-$ET178)+0.5))</f>
        <v/>
      </c>
      <c r="EW178" t="n">
        <v>174</v>
      </c>
      <c r="EX178">
        <f>IFERROR(MATCH($EW178,$EM$5:$EM$1003,0),0)</f>
        <v/>
      </c>
      <c r="EY178">
        <f>IF($EW178&gt;$B$12,"",IF($EX178&gt;0,"row","spacer"))</f>
        <v/>
      </c>
      <c r="EZ178">
        <f>IF(AND($EY178="row",$EY177&lt;&gt;"row"),1,0)</f>
        <v/>
      </c>
      <c r="FA178">
        <f>IF(AND($EY178="row",$EY179&lt;&gt;"row"),1,0)</f>
        <v/>
      </c>
      <c r="FB178">
        <f>IF($EZ178=1,IFERROR(IF(ISNUMBER(INDEX(PASTE_ALL,INDEX($DF$5:$DF$1003,$EX178),$B$37)),INDEX(PASTE_ALL,INDEX($DF$5:$DF$1003,$EX178),$B$37),INDEX($DH$5:$DH$1003,$EX178)),INDEX($DH$5:$DH$1003,$EX178)),"")</f>
        <v/>
      </c>
      <c r="FC178">
        <f>IF($EY178="row",INDEX($ER$5:$ER$1003,$EX178),"")</f>
        <v/>
      </c>
      <c r="FD178">
        <f>IF($EY178="row",INDEX($DN$5:$DN$1003,$EX178),"")</f>
        <v/>
      </c>
      <c r="FE178">
        <f>IF($EY178="row",INDEX($DO$5:$DO$1003,$EX178),"")</f>
        <v/>
      </c>
      <c r="FF178">
        <f>IF($EY178="row",INDEX($DP$5:$DP$1003,$EX178),"")</f>
        <v/>
      </c>
      <c r="FG178">
        <f>IF($EY178="row",INDEX($DQ$5:$DQ$1003,$EX178),"")</f>
        <v/>
      </c>
      <c r="FH178">
        <f>IF($EY178="row",INDEX($DR$5:$DR$1003,$EX178),"")</f>
        <v/>
      </c>
      <c r="FI178">
        <f>IF($EY178="row",INDEX($DS$5:$DS$1003,$EX178),"")</f>
        <v/>
      </c>
      <c r="FJ178">
        <f>IF($EY178="row",INDEX($DT$5:$DT$1003,$EX178),"")</f>
        <v/>
      </c>
      <c r="FK178">
        <f>IF($EY178="row",INDEX($DU$5:$DU$1003,$EX178),"")</f>
        <v/>
      </c>
      <c r="FL178">
        <f>IF($EY178="row",INDEX($DV$5:$DV$1003,$EX178),"")</f>
        <v/>
      </c>
      <c r="FM178">
        <f>IF($EY178="row",INDEX($DW$5:$DW$1003,$EX178),"")</f>
        <v/>
      </c>
      <c r="FN178">
        <f>IF($EY178="row",INDEX($DY$5:$DY$1003,$EX178),"")</f>
        <v/>
      </c>
      <c r="FO178">
        <f>IF($EY178="row",INDEX($EA$5:$EA$1003,$EX178),"")</f>
        <v/>
      </c>
      <c r="FP178">
        <f>IF($EY178="row",INDEX($EC$5:$EC$1003,$EX178),"")</f>
        <v/>
      </c>
      <c r="FQ178">
        <f>IF($EY178="row",INDEX($ET$5:$ET$1003,$EX178),"")</f>
        <v/>
      </c>
      <c r="FR178">
        <f>IF($EY178="row",INDEX($EU$5:$EU$1003,$EX178),"")</f>
        <v/>
      </c>
      <c r="FS178">
        <f>IF(AND($EY178="row",$EY177="row"),IF(OR(INDEX($DT$5:$DT$1003,$EX177)="",INDEX($DT$5:$DT$1003,$EX178)=""),"",IF(NOT(EXACT(INDEX($DT$5:$DT$1003,$EX177),INDEX($DT$5:$DT$1003,$EX178))),"S4",IF(NOT(EXACT(INDEX($DS$5:$DS$1003,$EX177),INDEX($DS$5:$DS$1003,$EX178))),"S3",IF(NOT(EXACT(INDEX($DR$5:$DR$1003,$EX177),INDEX($DR$5:$DR$1003,$EX178))),"S1 Count Change","S1")))),"")</f>
        <v/>
      </c>
      <c r="FT178">
        <f>IF($EY178="row",INDEX($ES$5:$ES$1003,$EX178),"")</f>
        <v/>
      </c>
      <c r="FU178">
        <f>IF($EY178="row",INDEX($EO$5:$EO$1003,$EX178),0)</f>
        <v/>
      </c>
      <c r="FV178">
        <f>IF($FS178="S1 Count Change",1,0)</f>
        <v/>
      </c>
    </row>
    <row r="179">
      <c r="Y179">
        <f>IF(Y44="",0,2*(OR(ISNUMBER(FIND("WORKCENTER",Y44)),AND(LEFT(Y44,4)="LINE",NOT(ISNUMBER(FIND("STATUS",Y44))))))+4*(OR(ISNUMBER(FIND("WORKORDER",Y44)),AND(LEFT(Y44,2)="WO",OR(ISNUMBER(FIND("NUM",Y44)),RIGHT(Y44,2)="NO"))))+8*(LEFT(Y44,3)="SEQ")+16*(AND(LEFT(Y44,4)="ITEM",NOT(ISNUMBER(FIND("DESC",Y44)))))+32*(AND(ISNUMBER(FIND("DESC",Y44)),NOT(ISNUMBER(FIND("CAP",Y44)))))+64*(OR(RIGHT(Y44,5)="COUNT",RIGHT(Y44,2)="CT"))+128*(ISNUMBER(FIND("BULK",Y44)))+256*(ISNUMBER(FIND("SIZE",Y44)))+512*(LEFT(Y44,3)="CAP")+1024*(ISNUMBER(FIND("ALLERG",Y44)))+2048*(OR(ISNUMBER(FIND("REMARK",Y44)),ISNUMBER(FIND("COMMENT",Y44))))+4096*(OR(ISNUMBER(FIND("QTY",Y44)),ISNUMBER(FIND("QUANTITY",Y44))))+8192*(AND(OR(ISNUMBER(FIND("COMPLETE",Y44)),ISNUMBER(FIND("PCT",Y44)),ISNUMBER(FIND("PERCENT",Y44))),NOT(ISNUMBER(FIND("ACTUAL",Y44))),LEN(Y44)&lt;=16))+32768*(OR(ISNUMBER(FIND("DESIC",Y44)),ISNUMBER(FIND("DESSIC",Y44)))))</f>
        <v/>
      </c>
      <c r="Z179">
        <f>IF(Z44="",0,2*(OR(ISNUMBER(FIND("WORKCENTER",Z44)),AND(LEFT(Z44,4)="LINE",NOT(ISNUMBER(FIND("STATUS",Z44))))))+4*(OR(ISNUMBER(FIND("WORKORDER",Z44)),AND(LEFT(Z44,2)="WO",OR(ISNUMBER(FIND("NUM",Z44)),RIGHT(Z44,2)="NO"))))+8*(LEFT(Z44,3)="SEQ")+16*(AND(LEFT(Z44,4)="ITEM",NOT(ISNUMBER(FIND("DESC",Z44)))))+32*(AND(ISNUMBER(FIND("DESC",Z44)),NOT(ISNUMBER(FIND("CAP",Z44)))))+64*(OR(RIGHT(Z44,5)="COUNT",RIGHT(Z44,2)="CT"))+128*(ISNUMBER(FIND("BULK",Z44)))+256*(ISNUMBER(FIND("SIZE",Z44)))+512*(LEFT(Z44,3)="CAP")+1024*(ISNUMBER(FIND("ALLERG",Z44)))+2048*(OR(ISNUMBER(FIND("REMARK",Z44)),ISNUMBER(FIND("COMMENT",Z44))))+4096*(OR(ISNUMBER(FIND("QTY",Z44)),ISNUMBER(FIND("QUANTITY",Z44))))+8192*(AND(OR(ISNUMBER(FIND("COMPLETE",Z44)),ISNUMBER(FIND("PCT",Z44)),ISNUMBER(FIND("PERCENT",Z44))),NOT(ISNUMBER(FIND("ACTUAL",Z44))),LEN(Z44)&lt;=16))+32768*(OR(ISNUMBER(FIND("DESIC",Z44)),ISNUMBER(FIND("DESSIC",Z44)))))</f>
        <v/>
      </c>
      <c r="AA179">
        <f>IF(AA44="",0,2*(OR(ISNUMBER(FIND("WORKCENTER",AA44)),AND(LEFT(AA44,4)="LINE",NOT(ISNUMBER(FIND("STATUS",AA44))))))+4*(OR(ISNUMBER(FIND("WORKORDER",AA44)),AND(LEFT(AA44,2)="WO",OR(ISNUMBER(FIND("NUM",AA44)),RIGHT(AA44,2)="NO"))))+8*(LEFT(AA44,3)="SEQ")+16*(AND(LEFT(AA44,4)="ITEM",NOT(ISNUMBER(FIND("DESC",AA44)))))+32*(AND(ISNUMBER(FIND("DESC",AA44)),NOT(ISNUMBER(FIND("CAP",AA44)))))+64*(OR(RIGHT(AA44,5)="COUNT",RIGHT(AA44,2)="CT"))+128*(ISNUMBER(FIND("BULK",AA44)))+256*(ISNUMBER(FIND("SIZE",AA44)))+512*(LEFT(AA44,3)="CAP")+1024*(ISNUMBER(FIND("ALLERG",AA44)))+2048*(OR(ISNUMBER(FIND("REMARK",AA44)),ISNUMBER(FIND("COMMENT",AA44))))+4096*(OR(ISNUMBER(FIND("QTY",AA44)),ISNUMBER(FIND("QUANTITY",AA44))))+8192*(AND(OR(ISNUMBER(FIND("COMPLETE",AA44)),ISNUMBER(FIND("PCT",AA44)),ISNUMBER(FIND("PERCENT",AA44))),NOT(ISNUMBER(FIND("ACTUAL",AA44))),LEN(AA44)&lt;=16))+32768*(OR(ISNUMBER(FIND("DESIC",AA44)),ISNUMBER(FIND("DESSIC",AA44)))))</f>
        <v/>
      </c>
      <c r="AB179">
        <f>IF(AB44="",0,2*(OR(ISNUMBER(FIND("WORKCENTER",AB44)),AND(LEFT(AB44,4)="LINE",NOT(ISNUMBER(FIND("STATUS",AB44))))))+4*(OR(ISNUMBER(FIND("WORKORDER",AB44)),AND(LEFT(AB44,2)="WO",OR(ISNUMBER(FIND("NUM",AB44)),RIGHT(AB44,2)="NO"))))+8*(LEFT(AB44,3)="SEQ")+16*(AND(LEFT(AB44,4)="ITEM",NOT(ISNUMBER(FIND("DESC",AB44)))))+32*(AND(ISNUMBER(FIND("DESC",AB44)),NOT(ISNUMBER(FIND("CAP",AB44)))))+64*(OR(RIGHT(AB44,5)="COUNT",RIGHT(AB44,2)="CT"))+128*(ISNUMBER(FIND("BULK",AB44)))+256*(ISNUMBER(FIND("SIZE",AB44)))+512*(LEFT(AB44,3)="CAP")+1024*(ISNUMBER(FIND("ALLERG",AB44)))+2048*(OR(ISNUMBER(FIND("REMARK",AB44)),ISNUMBER(FIND("COMMENT",AB44))))+4096*(OR(ISNUMBER(FIND("QTY",AB44)),ISNUMBER(FIND("QUANTITY",AB44))))+8192*(AND(OR(ISNUMBER(FIND("COMPLETE",AB44)),ISNUMBER(FIND("PCT",AB44)),ISNUMBER(FIND("PERCENT",AB44))),NOT(ISNUMBER(FIND("ACTUAL",AB44))),LEN(AB44)&lt;=16))+32768*(OR(ISNUMBER(FIND("DESIC",AB44)),ISNUMBER(FIND("DESSIC",AB44)))))</f>
        <v/>
      </c>
      <c r="AC179">
        <f>IF(AC44="",0,2*(OR(ISNUMBER(FIND("WORKCENTER",AC44)),AND(LEFT(AC44,4)="LINE",NOT(ISNUMBER(FIND("STATUS",AC44))))))+4*(OR(ISNUMBER(FIND("WORKORDER",AC44)),AND(LEFT(AC44,2)="WO",OR(ISNUMBER(FIND("NUM",AC44)),RIGHT(AC44,2)="NO"))))+8*(LEFT(AC44,3)="SEQ")+16*(AND(LEFT(AC44,4)="ITEM",NOT(ISNUMBER(FIND("DESC",AC44)))))+32*(AND(ISNUMBER(FIND("DESC",AC44)),NOT(ISNUMBER(FIND("CAP",AC44)))))+64*(OR(RIGHT(AC44,5)="COUNT",RIGHT(AC44,2)="CT"))+128*(ISNUMBER(FIND("BULK",AC44)))+256*(ISNUMBER(FIND("SIZE",AC44)))+512*(LEFT(AC44,3)="CAP")+1024*(ISNUMBER(FIND("ALLERG",AC44)))+2048*(OR(ISNUMBER(FIND("REMARK",AC44)),ISNUMBER(FIND("COMMENT",AC44))))+4096*(OR(ISNUMBER(FIND("QTY",AC44)),ISNUMBER(FIND("QUANTITY",AC44))))+8192*(AND(OR(ISNUMBER(FIND("COMPLETE",AC44)),ISNUMBER(FIND("PCT",AC44)),ISNUMBER(FIND("PERCENT",AC44))),NOT(ISNUMBER(FIND("ACTUAL",AC44))),LEN(AC44)&lt;=16))+32768*(OR(ISNUMBER(FIND("DESIC",AC44)),ISNUMBER(FIND("DESSIC",AC44)))))</f>
        <v/>
      </c>
      <c r="AD179">
        <f>IF(AD44="",0,2*(OR(ISNUMBER(FIND("WORKCENTER",AD44)),AND(LEFT(AD44,4)="LINE",NOT(ISNUMBER(FIND("STATUS",AD44))))))+4*(OR(ISNUMBER(FIND("WORKORDER",AD44)),AND(LEFT(AD44,2)="WO",OR(ISNUMBER(FIND("NUM",AD44)),RIGHT(AD44,2)="NO"))))+8*(LEFT(AD44,3)="SEQ")+16*(AND(LEFT(AD44,4)="ITEM",NOT(ISNUMBER(FIND("DESC",AD44)))))+32*(AND(ISNUMBER(FIND("DESC",AD44)),NOT(ISNUMBER(FIND("CAP",AD44)))))+64*(OR(RIGHT(AD44,5)="COUNT",RIGHT(AD44,2)="CT"))+128*(ISNUMBER(FIND("BULK",AD44)))+256*(ISNUMBER(FIND("SIZE",AD44)))+512*(LEFT(AD44,3)="CAP")+1024*(ISNUMBER(FIND("ALLERG",AD44)))+2048*(OR(ISNUMBER(FIND("REMARK",AD44)),ISNUMBER(FIND("COMMENT",AD44))))+4096*(OR(ISNUMBER(FIND("QTY",AD44)),ISNUMBER(FIND("QUANTITY",AD44))))+8192*(AND(OR(ISNUMBER(FIND("COMPLETE",AD44)),ISNUMBER(FIND("PCT",AD44)),ISNUMBER(FIND("PERCENT",AD44))),NOT(ISNUMBER(FIND("ACTUAL",AD44))),LEN(AD44)&lt;=16))+32768*(OR(ISNUMBER(FIND("DESIC",AD44)),ISNUMBER(FIND("DESSIC",AD44)))))</f>
        <v/>
      </c>
      <c r="AE179">
        <f>IF(AE44="",0,2*(OR(ISNUMBER(FIND("WORKCENTER",AE44)),AND(LEFT(AE44,4)="LINE",NOT(ISNUMBER(FIND("STATUS",AE44))))))+4*(OR(ISNUMBER(FIND("WORKORDER",AE44)),AND(LEFT(AE44,2)="WO",OR(ISNUMBER(FIND("NUM",AE44)),RIGHT(AE44,2)="NO"))))+8*(LEFT(AE44,3)="SEQ")+16*(AND(LEFT(AE44,4)="ITEM",NOT(ISNUMBER(FIND("DESC",AE44)))))+32*(AND(ISNUMBER(FIND("DESC",AE44)),NOT(ISNUMBER(FIND("CAP",AE44)))))+64*(OR(RIGHT(AE44,5)="COUNT",RIGHT(AE44,2)="CT"))+128*(ISNUMBER(FIND("BULK",AE44)))+256*(ISNUMBER(FIND("SIZE",AE44)))+512*(LEFT(AE44,3)="CAP")+1024*(ISNUMBER(FIND("ALLERG",AE44)))+2048*(OR(ISNUMBER(FIND("REMARK",AE44)),ISNUMBER(FIND("COMMENT",AE44))))+4096*(OR(ISNUMBER(FIND("QTY",AE44)),ISNUMBER(FIND("QUANTITY",AE44))))+8192*(AND(OR(ISNUMBER(FIND("COMPLETE",AE44)),ISNUMBER(FIND("PCT",AE44)),ISNUMBER(FIND("PERCENT",AE44))),NOT(ISNUMBER(FIND("ACTUAL",AE44))),LEN(AE44)&lt;=16))+32768*(OR(ISNUMBER(FIND("DESIC",AE44)),ISNUMBER(FIND("DESSIC",AE44)))))</f>
        <v/>
      </c>
      <c r="AF179">
        <f>IF(AF44="",0,2*(OR(ISNUMBER(FIND("WORKCENTER",AF44)),AND(LEFT(AF44,4)="LINE",NOT(ISNUMBER(FIND("STATUS",AF44))))))+4*(OR(ISNUMBER(FIND("WORKORDER",AF44)),AND(LEFT(AF44,2)="WO",OR(ISNUMBER(FIND("NUM",AF44)),RIGHT(AF44,2)="NO"))))+8*(LEFT(AF44,3)="SEQ")+16*(AND(LEFT(AF44,4)="ITEM",NOT(ISNUMBER(FIND("DESC",AF44)))))+32*(AND(ISNUMBER(FIND("DESC",AF44)),NOT(ISNUMBER(FIND("CAP",AF44)))))+64*(OR(RIGHT(AF44,5)="COUNT",RIGHT(AF44,2)="CT"))+128*(ISNUMBER(FIND("BULK",AF44)))+256*(ISNUMBER(FIND("SIZE",AF44)))+512*(LEFT(AF44,3)="CAP")+1024*(ISNUMBER(FIND("ALLERG",AF44)))+2048*(OR(ISNUMBER(FIND("REMARK",AF44)),ISNUMBER(FIND("COMMENT",AF44))))+4096*(OR(ISNUMBER(FIND("QTY",AF44)),ISNUMBER(FIND("QUANTITY",AF44))))+8192*(AND(OR(ISNUMBER(FIND("COMPLETE",AF44)),ISNUMBER(FIND("PCT",AF44)),ISNUMBER(FIND("PERCENT",AF44))),NOT(ISNUMBER(FIND("ACTUAL",AF44))),LEN(AF44)&lt;=16))+32768*(OR(ISNUMBER(FIND("DESIC",AF44)),ISNUMBER(FIND("DESSIC",AF44)))))</f>
        <v/>
      </c>
      <c r="AG179">
        <f>IF(AG44="",0,2*(OR(ISNUMBER(FIND("WORKCENTER",AG44)),AND(LEFT(AG44,4)="LINE",NOT(ISNUMBER(FIND("STATUS",AG44))))))+4*(OR(ISNUMBER(FIND("WORKORDER",AG44)),AND(LEFT(AG44,2)="WO",OR(ISNUMBER(FIND("NUM",AG44)),RIGHT(AG44,2)="NO"))))+8*(LEFT(AG44,3)="SEQ")+16*(AND(LEFT(AG44,4)="ITEM",NOT(ISNUMBER(FIND("DESC",AG44)))))+32*(AND(ISNUMBER(FIND("DESC",AG44)),NOT(ISNUMBER(FIND("CAP",AG44)))))+64*(OR(RIGHT(AG44,5)="COUNT",RIGHT(AG44,2)="CT"))+128*(ISNUMBER(FIND("BULK",AG44)))+256*(ISNUMBER(FIND("SIZE",AG44)))+512*(LEFT(AG44,3)="CAP")+1024*(ISNUMBER(FIND("ALLERG",AG44)))+2048*(OR(ISNUMBER(FIND("REMARK",AG44)),ISNUMBER(FIND("COMMENT",AG44))))+4096*(OR(ISNUMBER(FIND("QTY",AG44)),ISNUMBER(FIND("QUANTITY",AG44))))+8192*(AND(OR(ISNUMBER(FIND("COMPLETE",AG44)),ISNUMBER(FIND("PCT",AG44)),ISNUMBER(FIND("PERCENT",AG44))),NOT(ISNUMBER(FIND("ACTUAL",AG44))),LEN(AG44)&lt;=16))+32768*(OR(ISNUMBER(FIND("DESIC",AG44)),ISNUMBER(FIND("DESSIC",AG44)))))</f>
        <v/>
      </c>
      <c r="AH179">
        <f>IF(AH44="",0,2*(OR(ISNUMBER(FIND("WORKCENTER",AH44)),AND(LEFT(AH44,4)="LINE",NOT(ISNUMBER(FIND("STATUS",AH44))))))+4*(OR(ISNUMBER(FIND("WORKORDER",AH44)),AND(LEFT(AH44,2)="WO",OR(ISNUMBER(FIND("NUM",AH44)),RIGHT(AH44,2)="NO"))))+8*(LEFT(AH44,3)="SEQ")+16*(AND(LEFT(AH44,4)="ITEM",NOT(ISNUMBER(FIND("DESC",AH44)))))+32*(AND(ISNUMBER(FIND("DESC",AH44)),NOT(ISNUMBER(FIND("CAP",AH44)))))+64*(OR(RIGHT(AH44,5)="COUNT",RIGHT(AH44,2)="CT"))+128*(ISNUMBER(FIND("BULK",AH44)))+256*(ISNUMBER(FIND("SIZE",AH44)))+512*(LEFT(AH44,3)="CAP")+1024*(ISNUMBER(FIND("ALLERG",AH44)))+2048*(OR(ISNUMBER(FIND("REMARK",AH44)),ISNUMBER(FIND("COMMENT",AH44))))+4096*(OR(ISNUMBER(FIND("QTY",AH44)),ISNUMBER(FIND("QUANTITY",AH44))))+8192*(AND(OR(ISNUMBER(FIND("COMPLETE",AH44)),ISNUMBER(FIND("PCT",AH44)),ISNUMBER(FIND("PERCENT",AH44))),NOT(ISNUMBER(FIND("ACTUAL",AH44))),LEN(AH44)&lt;=16))+32768*(OR(ISNUMBER(FIND("DESIC",AH44)),ISNUMBER(FIND("DESSIC",AH44)))))</f>
        <v/>
      </c>
      <c r="AI179">
        <f>IF(AI44="",0,2*(OR(ISNUMBER(FIND("WORKCENTER",AI44)),AND(LEFT(AI44,4)="LINE",NOT(ISNUMBER(FIND("STATUS",AI44))))))+4*(OR(ISNUMBER(FIND("WORKORDER",AI44)),AND(LEFT(AI44,2)="WO",OR(ISNUMBER(FIND("NUM",AI44)),RIGHT(AI44,2)="NO"))))+8*(LEFT(AI44,3)="SEQ")+16*(AND(LEFT(AI44,4)="ITEM",NOT(ISNUMBER(FIND("DESC",AI44)))))+32*(AND(ISNUMBER(FIND("DESC",AI44)),NOT(ISNUMBER(FIND("CAP",AI44)))))+64*(OR(RIGHT(AI44,5)="COUNT",RIGHT(AI44,2)="CT"))+128*(ISNUMBER(FIND("BULK",AI44)))+256*(ISNUMBER(FIND("SIZE",AI44)))+512*(LEFT(AI44,3)="CAP")+1024*(ISNUMBER(FIND("ALLERG",AI44)))+2048*(OR(ISNUMBER(FIND("REMARK",AI44)),ISNUMBER(FIND("COMMENT",AI44))))+4096*(OR(ISNUMBER(FIND("QTY",AI44)),ISNUMBER(FIND("QUANTITY",AI44))))+8192*(AND(OR(ISNUMBER(FIND("COMPLETE",AI44)),ISNUMBER(FIND("PCT",AI44)),ISNUMBER(FIND("PERCENT",AI44))),NOT(ISNUMBER(FIND("ACTUAL",AI44))),LEN(AI44)&lt;=16))+32768*(OR(ISNUMBER(FIND("DESIC",AI44)),ISNUMBER(FIND("DESSIC",AI44)))))</f>
        <v/>
      </c>
      <c r="AJ179">
        <f>IF(AJ44="",0,2*(OR(ISNUMBER(FIND("WORKCENTER",AJ44)),AND(LEFT(AJ44,4)="LINE",NOT(ISNUMBER(FIND("STATUS",AJ44))))))+4*(OR(ISNUMBER(FIND("WORKORDER",AJ44)),AND(LEFT(AJ44,2)="WO",OR(ISNUMBER(FIND("NUM",AJ44)),RIGHT(AJ44,2)="NO"))))+8*(LEFT(AJ44,3)="SEQ")+16*(AND(LEFT(AJ44,4)="ITEM",NOT(ISNUMBER(FIND("DESC",AJ44)))))+32*(AND(ISNUMBER(FIND("DESC",AJ44)),NOT(ISNUMBER(FIND("CAP",AJ44)))))+64*(OR(RIGHT(AJ44,5)="COUNT",RIGHT(AJ44,2)="CT"))+128*(ISNUMBER(FIND("BULK",AJ44)))+256*(ISNUMBER(FIND("SIZE",AJ44)))+512*(LEFT(AJ44,3)="CAP")+1024*(ISNUMBER(FIND("ALLERG",AJ44)))+2048*(OR(ISNUMBER(FIND("REMARK",AJ44)),ISNUMBER(FIND("COMMENT",AJ44))))+4096*(OR(ISNUMBER(FIND("QTY",AJ44)),ISNUMBER(FIND("QUANTITY",AJ44))))+8192*(AND(OR(ISNUMBER(FIND("COMPLETE",AJ44)),ISNUMBER(FIND("PCT",AJ44)),ISNUMBER(FIND("PERCENT",AJ44))),NOT(ISNUMBER(FIND("ACTUAL",AJ44))),LEN(AJ44)&lt;=16))+32768*(OR(ISNUMBER(FIND("DESIC",AJ44)),ISNUMBER(FIND("DESSIC",AJ44)))))</f>
        <v/>
      </c>
      <c r="AK179">
        <f>IF(AK44="",0,2*(OR(ISNUMBER(FIND("WORKCENTER",AK44)),AND(LEFT(AK44,4)="LINE",NOT(ISNUMBER(FIND("STATUS",AK44))))))+4*(OR(ISNUMBER(FIND("WORKORDER",AK44)),AND(LEFT(AK44,2)="WO",OR(ISNUMBER(FIND("NUM",AK44)),RIGHT(AK44,2)="NO"))))+8*(LEFT(AK44,3)="SEQ")+16*(AND(LEFT(AK44,4)="ITEM",NOT(ISNUMBER(FIND("DESC",AK44)))))+32*(AND(ISNUMBER(FIND("DESC",AK44)),NOT(ISNUMBER(FIND("CAP",AK44)))))+64*(OR(RIGHT(AK44,5)="COUNT",RIGHT(AK44,2)="CT"))+128*(ISNUMBER(FIND("BULK",AK44)))+256*(ISNUMBER(FIND("SIZE",AK44)))+512*(LEFT(AK44,3)="CAP")+1024*(ISNUMBER(FIND("ALLERG",AK44)))+2048*(OR(ISNUMBER(FIND("REMARK",AK44)),ISNUMBER(FIND("COMMENT",AK44))))+4096*(OR(ISNUMBER(FIND("QTY",AK44)),ISNUMBER(FIND("QUANTITY",AK44))))+8192*(AND(OR(ISNUMBER(FIND("COMPLETE",AK44)),ISNUMBER(FIND("PCT",AK44)),ISNUMBER(FIND("PERCENT",AK44))),NOT(ISNUMBER(FIND("ACTUAL",AK44))),LEN(AK44)&lt;=16))+32768*(OR(ISNUMBER(FIND("DESIC",AK44)),ISNUMBER(FIND("DESSIC",AK44)))))</f>
        <v/>
      </c>
      <c r="AL179">
        <f>IF(AL44="",0,2*(OR(ISNUMBER(FIND("WORKCENTER",AL44)),AND(LEFT(AL44,4)="LINE",NOT(ISNUMBER(FIND("STATUS",AL44))))))+4*(OR(ISNUMBER(FIND("WORKORDER",AL44)),AND(LEFT(AL44,2)="WO",OR(ISNUMBER(FIND("NUM",AL44)),RIGHT(AL44,2)="NO"))))+8*(LEFT(AL44,3)="SEQ")+16*(AND(LEFT(AL44,4)="ITEM",NOT(ISNUMBER(FIND("DESC",AL44)))))+32*(AND(ISNUMBER(FIND("DESC",AL44)),NOT(ISNUMBER(FIND("CAP",AL44)))))+64*(OR(RIGHT(AL44,5)="COUNT",RIGHT(AL44,2)="CT"))+128*(ISNUMBER(FIND("BULK",AL44)))+256*(ISNUMBER(FIND("SIZE",AL44)))+512*(LEFT(AL44,3)="CAP")+1024*(ISNUMBER(FIND("ALLERG",AL44)))+2048*(OR(ISNUMBER(FIND("REMARK",AL44)),ISNUMBER(FIND("COMMENT",AL44))))+4096*(OR(ISNUMBER(FIND("QTY",AL44)),ISNUMBER(FIND("QUANTITY",AL44))))+8192*(AND(OR(ISNUMBER(FIND("COMPLETE",AL44)),ISNUMBER(FIND("PCT",AL44)),ISNUMBER(FIND("PERCENT",AL44))),NOT(ISNUMBER(FIND("ACTUAL",AL44))),LEN(AL44)&lt;=16))+32768*(OR(ISNUMBER(FIND("DESIC",AL44)),ISNUMBER(FIND("DESSIC",AL44)))))</f>
        <v/>
      </c>
      <c r="AM179">
        <f>IF(AM44="",0,2*(OR(ISNUMBER(FIND("WORKCENTER",AM44)),AND(LEFT(AM44,4)="LINE",NOT(ISNUMBER(FIND("STATUS",AM44))))))+4*(OR(ISNUMBER(FIND("WORKORDER",AM44)),AND(LEFT(AM44,2)="WO",OR(ISNUMBER(FIND("NUM",AM44)),RIGHT(AM44,2)="NO"))))+8*(LEFT(AM44,3)="SEQ")+16*(AND(LEFT(AM44,4)="ITEM",NOT(ISNUMBER(FIND("DESC",AM44)))))+32*(AND(ISNUMBER(FIND("DESC",AM44)),NOT(ISNUMBER(FIND("CAP",AM44)))))+64*(OR(RIGHT(AM44,5)="COUNT",RIGHT(AM44,2)="CT"))+128*(ISNUMBER(FIND("BULK",AM44)))+256*(ISNUMBER(FIND("SIZE",AM44)))+512*(LEFT(AM44,3)="CAP")+1024*(ISNUMBER(FIND("ALLERG",AM44)))+2048*(OR(ISNUMBER(FIND("REMARK",AM44)),ISNUMBER(FIND("COMMENT",AM44))))+4096*(OR(ISNUMBER(FIND("QTY",AM44)),ISNUMBER(FIND("QUANTITY",AM44))))+8192*(AND(OR(ISNUMBER(FIND("COMPLETE",AM44)),ISNUMBER(FIND("PCT",AM44)),ISNUMBER(FIND("PERCENT",AM44))),NOT(ISNUMBER(FIND("ACTUAL",AM44))),LEN(AM44)&lt;=16))+32768*(OR(ISNUMBER(FIND("DESIC",AM44)),ISNUMBER(FIND("DESSIC",AM44)))))</f>
        <v/>
      </c>
      <c r="AN179">
        <f>IF(AN44="",0,2*(OR(ISNUMBER(FIND("WORKCENTER",AN44)),AND(LEFT(AN44,4)="LINE",NOT(ISNUMBER(FIND("STATUS",AN44))))))+4*(OR(ISNUMBER(FIND("WORKORDER",AN44)),AND(LEFT(AN44,2)="WO",OR(ISNUMBER(FIND("NUM",AN44)),RIGHT(AN44,2)="NO"))))+8*(LEFT(AN44,3)="SEQ")+16*(AND(LEFT(AN44,4)="ITEM",NOT(ISNUMBER(FIND("DESC",AN44)))))+32*(AND(ISNUMBER(FIND("DESC",AN44)),NOT(ISNUMBER(FIND("CAP",AN44)))))+64*(OR(RIGHT(AN44,5)="COUNT",RIGHT(AN44,2)="CT"))+128*(ISNUMBER(FIND("BULK",AN44)))+256*(ISNUMBER(FIND("SIZE",AN44)))+512*(LEFT(AN44,3)="CAP")+1024*(ISNUMBER(FIND("ALLERG",AN44)))+2048*(OR(ISNUMBER(FIND("REMARK",AN44)),ISNUMBER(FIND("COMMENT",AN44))))+4096*(OR(ISNUMBER(FIND("QTY",AN44)),ISNUMBER(FIND("QUANTITY",AN44))))+8192*(AND(OR(ISNUMBER(FIND("COMPLETE",AN44)),ISNUMBER(FIND("PCT",AN44)),ISNUMBER(FIND("PERCENT",AN44))),NOT(ISNUMBER(FIND("ACTUAL",AN44))),LEN(AN44)&lt;=16))+32768*(OR(ISNUMBER(FIND("DESIC",AN44)),ISNUMBER(FIND("DESSIC",AN44)))))</f>
        <v/>
      </c>
      <c r="AO179">
        <f>IF(AO44="",0,2*(OR(ISNUMBER(FIND("WORKCENTER",AO44)),AND(LEFT(AO44,4)="LINE",NOT(ISNUMBER(FIND("STATUS",AO44))))))+4*(OR(ISNUMBER(FIND("WORKORDER",AO44)),AND(LEFT(AO44,2)="WO",OR(ISNUMBER(FIND("NUM",AO44)),RIGHT(AO44,2)="NO"))))+8*(LEFT(AO44,3)="SEQ")+16*(AND(LEFT(AO44,4)="ITEM",NOT(ISNUMBER(FIND("DESC",AO44)))))+32*(AND(ISNUMBER(FIND("DESC",AO44)),NOT(ISNUMBER(FIND("CAP",AO44)))))+64*(OR(RIGHT(AO44,5)="COUNT",RIGHT(AO44,2)="CT"))+128*(ISNUMBER(FIND("BULK",AO44)))+256*(ISNUMBER(FIND("SIZE",AO44)))+512*(LEFT(AO44,3)="CAP")+1024*(ISNUMBER(FIND("ALLERG",AO44)))+2048*(OR(ISNUMBER(FIND("REMARK",AO44)),ISNUMBER(FIND("COMMENT",AO44))))+4096*(OR(ISNUMBER(FIND("QTY",AO44)),ISNUMBER(FIND("QUANTITY",AO44))))+8192*(AND(OR(ISNUMBER(FIND("COMPLETE",AO44)),ISNUMBER(FIND("PCT",AO44)),ISNUMBER(FIND("PERCENT",AO44))),NOT(ISNUMBER(FIND("ACTUAL",AO44))),LEN(AO44)&lt;=16))+32768*(OR(ISNUMBER(FIND("DESIC",AO44)),ISNUMBER(FIND("DESSIC",AO44)))))</f>
        <v/>
      </c>
      <c r="AP179">
        <f>IF(AP44="",0,2*(OR(ISNUMBER(FIND("WORKCENTER",AP44)),AND(LEFT(AP44,4)="LINE",NOT(ISNUMBER(FIND("STATUS",AP44))))))+4*(OR(ISNUMBER(FIND("WORKORDER",AP44)),AND(LEFT(AP44,2)="WO",OR(ISNUMBER(FIND("NUM",AP44)),RIGHT(AP44,2)="NO"))))+8*(LEFT(AP44,3)="SEQ")+16*(AND(LEFT(AP44,4)="ITEM",NOT(ISNUMBER(FIND("DESC",AP44)))))+32*(AND(ISNUMBER(FIND("DESC",AP44)),NOT(ISNUMBER(FIND("CAP",AP44)))))+64*(OR(RIGHT(AP44,5)="COUNT",RIGHT(AP44,2)="CT"))+128*(ISNUMBER(FIND("BULK",AP44)))+256*(ISNUMBER(FIND("SIZE",AP44)))+512*(LEFT(AP44,3)="CAP")+1024*(ISNUMBER(FIND("ALLERG",AP44)))+2048*(OR(ISNUMBER(FIND("REMARK",AP44)),ISNUMBER(FIND("COMMENT",AP44))))+4096*(OR(ISNUMBER(FIND("QTY",AP44)),ISNUMBER(FIND("QUANTITY",AP44))))+8192*(AND(OR(ISNUMBER(FIND("COMPLETE",AP44)),ISNUMBER(FIND("PCT",AP44)),ISNUMBER(FIND("PERCENT",AP44))),NOT(ISNUMBER(FIND("ACTUAL",AP44))),LEN(AP44)&lt;=16))+32768*(OR(ISNUMBER(FIND("DESIC",AP44)),ISNUMBER(FIND("DESSIC",AP44)))))</f>
        <v/>
      </c>
      <c r="AQ179">
        <f>IF(AQ44="",0,2*(OR(ISNUMBER(FIND("WORKCENTER",AQ44)),AND(LEFT(AQ44,4)="LINE",NOT(ISNUMBER(FIND("STATUS",AQ44))))))+4*(OR(ISNUMBER(FIND("WORKORDER",AQ44)),AND(LEFT(AQ44,2)="WO",OR(ISNUMBER(FIND("NUM",AQ44)),RIGHT(AQ44,2)="NO"))))+8*(LEFT(AQ44,3)="SEQ")+16*(AND(LEFT(AQ44,4)="ITEM",NOT(ISNUMBER(FIND("DESC",AQ44)))))+32*(AND(ISNUMBER(FIND("DESC",AQ44)),NOT(ISNUMBER(FIND("CAP",AQ44)))))+64*(OR(RIGHT(AQ44,5)="COUNT",RIGHT(AQ44,2)="CT"))+128*(ISNUMBER(FIND("BULK",AQ44)))+256*(ISNUMBER(FIND("SIZE",AQ44)))+512*(LEFT(AQ44,3)="CAP")+1024*(ISNUMBER(FIND("ALLERG",AQ44)))+2048*(OR(ISNUMBER(FIND("REMARK",AQ44)),ISNUMBER(FIND("COMMENT",AQ44))))+4096*(OR(ISNUMBER(FIND("QTY",AQ44)),ISNUMBER(FIND("QUANTITY",AQ44))))+8192*(AND(OR(ISNUMBER(FIND("COMPLETE",AQ44)),ISNUMBER(FIND("PCT",AQ44)),ISNUMBER(FIND("PERCENT",AQ44))),NOT(ISNUMBER(FIND("ACTUAL",AQ44))),LEN(AQ44)&lt;=16))+32768*(OR(ISNUMBER(FIND("DESIC",AQ44)),ISNUMBER(FIND("DESSIC",AQ44)))))</f>
        <v/>
      </c>
      <c r="AR179">
        <f>IF(AR44="",0,2*(OR(ISNUMBER(FIND("WORKCENTER",AR44)),AND(LEFT(AR44,4)="LINE",NOT(ISNUMBER(FIND("STATUS",AR44))))))+4*(OR(ISNUMBER(FIND("WORKORDER",AR44)),AND(LEFT(AR44,2)="WO",OR(ISNUMBER(FIND("NUM",AR44)),RIGHT(AR44,2)="NO"))))+8*(LEFT(AR44,3)="SEQ")+16*(AND(LEFT(AR44,4)="ITEM",NOT(ISNUMBER(FIND("DESC",AR44)))))+32*(AND(ISNUMBER(FIND("DESC",AR44)),NOT(ISNUMBER(FIND("CAP",AR44)))))+64*(OR(RIGHT(AR44,5)="COUNT",RIGHT(AR44,2)="CT"))+128*(ISNUMBER(FIND("BULK",AR44)))+256*(ISNUMBER(FIND("SIZE",AR44)))+512*(LEFT(AR44,3)="CAP")+1024*(ISNUMBER(FIND("ALLERG",AR44)))+2048*(OR(ISNUMBER(FIND("REMARK",AR44)),ISNUMBER(FIND("COMMENT",AR44))))+4096*(OR(ISNUMBER(FIND("QTY",AR44)),ISNUMBER(FIND("QUANTITY",AR44))))+8192*(AND(OR(ISNUMBER(FIND("COMPLETE",AR44)),ISNUMBER(FIND("PCT",AR44)),ISNUMBER(FIND("PERCENT",AR44))),NOT(ISNUMBER(FIND("ACTUAL",AR44))),LEN(AR44)&lt;=16))+32768*(OR(ISNUMBER(FIND("DESIC",AR44)),ISNUMBER(FIND("DESSIC",AR44)))))</f>
        <v/>
      </c>
      <c r="AS179">
        <f>IF(AS44="",0,2*(OR(ISNUMBER(FIND("WORKCENTER",AS44)),AND(LEFT(AS44,4)="LINE",NOT(ISNUMBER(FIND("STATUS",AS44))))))+4*(OR(ISNUMBER(FIND("WORKORDER",AS44)),AND(LEFT(AS44,2)="WO",OR(ISNUMBER(FIND("NUM",AS44)),RIGHT(AS44,2)="NO"))))+8*(LEFT(AS44,3)="SEQ")+16*(AND(LEFT(AS44,4)="ITEM",NOT(ISNUMBER(FIND("DESC",AS44)))))+32*(AND(ISNUMBER(FIND("DESC",AS44)),NOT(ISNUMBER(FIND("CAP",AS44)))))+64*(OR(RIGHT(AS44,5)="COUNT",RIGHT(AS44,2)="CT"))+128*(ISNUMBER(FIND("BULK",AS44)))+256*(ISNUMBER(FIND("SIZE",AS44)))+512*(LEFT(AS44,3)="CAP")+1024*(ISNUMBER(FIND("ALLERG",AS44)))+2048*(OR(ISNUMBER(FIND("REMARK",AS44)),ISNUMBER(FIND("COMMENT",AS44))))+4096*(OR(ISNUMBER(FIND("QTY",AS44)),ISNUMBER(FIND("QUANTITY",AS44))))+8192*(AND(OR(ISNUMBER(FIND("COMPLETE",AS44)),ISNUMBER(FIND("PCT",AS44)),ISNUMBER(FIND("PERCENT",AS44))),NOT(ISNUMBER(FIND("ACTUAL",AS44))),LEN(AS44)&lt;=16))+32768*(OR(ISNUMBER(FIND("DESIC",AS44)),ISNUMBER(FIND("DESSIC",AS44)))))</f>
        <v/>
      </c>
      <c r="AT179">
        <f>IF(AT44="",0,2*(OR(ISNUMBER(FIND("WORKCENTER",AT44)),AND(LEFT(AT44,4)="LINE",NOT(ISNUMBER(FIND("STATUS",AT44))))))+4*(OR(ISNUMBER(FIND("WORKORDER",AT44)),AND(LEFT(AT44,2)="WO",OR(ISNUMBER(FIND("NUM",AT44)),RIGHT(AT44,2)="NO"))))+8*(LEFT(AT44,3)="SEQ")+16*(AND(LEFT(AT44,4)="ITEM",NOT(ISNUMBER(FIND("DESC",AT44)))))+32*(AND(ISNUMBER(FIND("DESC",AT44)),NOT(ISNUMBER(FIND("CAP",AT44)))))+64*(OR(RIGHT(AT44,5)="COUNT",RIGHT(AT44,2)="CT"))+128*(ISNUMBER(FIND("BULK",AT44)))+256*(ISNUMBER(FIND("SIZE",AT44)))+512*(LEFT(AT44,3)="CAP")+1024*(ISNUMBER(FIND("ALLERG",AT44)))+2048*(OR(ISNUMBER(FIND("REMARK",AT44)),ISNUMBER(FIND("COMMENT",AT44))))+4096*(OR(ISNUMBER(FIND("QTY",AT44)),ISNUMBER(FIND("QUANTITY",AT44))))+8192*(AND(OR(ISNUMBER(FIND("COMPLETE",AT44)),ISNUMBER(FIND("PCT",AT44)),ISNUMBER(FIND("PERCENT",AT44))),NOT(ISNUMBER(FIND("ACTUAL",AT44))),LEN(AT44)&lt;=16))+32768*(OR(ISNUMBER(FIND("DESIC",AT44)),ISNUMBER(FIND("DESSIC",AT44)))))</f>
        <v/>
      </c>
      <c r="AU179">
        <f>IF(AU44="",0,2*(OR(ISNUMBER(FIND("WORKCENTER",AU44)),AND(LEFT(AU44,4)="LINE",NOT(ISNUMBER(FIND("STATUS",AU44))))))+4*(OR(ISNUMBER(FIND("WORKORDER",AU44)),AND(LEFT(AU44,2)="WO",OR(ISNUMBER(FIND("NUM",AU44)),RIGHT(AU44,2)="NO"))))+8*(LEFT(AU44,3)="SEQ")+16*(AND(LEFT(AU44,4)="ITEM",NOT(ISNUMBER(FIND("DESC",AU44)))))+32*(AND(ISNUMBER(FIND("DESC",AU44)),NOT(ISNUMBER(FIND("CAP",AU44)))))+64*(OR(RIGHT(AU44,5)="COUNT",RIGHT(AU44,2)="CT"))+128*(ISNUMBER(FIND("BULK",AU44)))+256*(ISNUMBER(FIND("SIZE",AU44)))+512*(LEFT(AU44,3)="CAP")+1024*(ISNUMBER(FIND("ALLERG",AU44)))+2048*(OR(ISNUMBER(FIND("REMARK",AU44)),ISNUMBER(FIND("COMMENT",AU44))))+4096*(OR(ISNUMBER(FIND("QTY",AU44)),ISNUMBER(FIND("QUANTITY",AU44))))+8192*(AND(OR(ISNUMBER(FIND("COMPLETE",AU44)),ISNUMBER(FIND("PCT",AU44)),ISNUMBER(FIND("PERCENT",AU44))),NOT(ISNUMBER(FIND("ACTUAL",AU44))),LEN(AU44)&lt;=16))+32768*(OR(ISNUMBER(FIND("DESIC",AU44)),ISNUMBER(FIND("DESSIC",AU44)))))</f>
        <v/>
      </c>
      <c r="AV179">
        <f>IF(AV44="",0,2*(OR(ISNUMBER(FIND("WORKCENTER",AV44)),AND(LEFT(AV44,4)="LINE",NOT(ISNUMBER(FIND("STATUS",AV44))))))+4*(OR(ISNUMBER(FIND("WORKORDER",AV44)),AND(LEFT(AV44,2)="WO",OR(ISNUMBER(FIND("NUM",AV44)),RIGHT(AV44,2)="NO"))))+8*(LEFT(AV44,3)="SEQ")+16*(AND(LEFT(AV44,4)="ITEM",NOT(ISNUMBER(FIND("DESC",AV44)))))+32*(AND(ISNUMBER(FIND("DESC",AV44)),NOT(ISNUMBER(FIND("CAP",AV44)))))+64*(OR(RIGHT(AV44,5)="COUNT",RIGHT(AV44,2)="CT"))+128*(ISNUMBER(FIND("BULK",AV44)))+256*(ISNUMBER(FIND("SIZE",AV44)))+512*(LEFT(AV44,3)="CAP")+1024*(ISNUMBER(FIND("ALLERG",AV44)))+2048*(OR(ISNUMBER(FIND("REMARK",AV44)),ISNUMBER(FIND("COMMENT",AV44))))+4096*(OR(ISNUMBER(FIND("QTY",AV44)),ISNUMBER(FIND("QUANTITY",AV44))))+8192*(AND(OR(ISNUMBER(FIND("COMPLETE",AV44)),ISNUMBER(FIND("PCT",AV44)),ISNUMBER(FIND("PERCENT",AV44))),NOT(ISNUMBER(FIND("ACTUAL",AV44))),LEN(AV44)&lt;=16))+32768*(OR(ISNUMBER(FIND("DESIC",AV44)),ISNUMBER(FIND("DESSIC",AV44)))))</f>
        <v/>
      </c>
      <c r="AW179">
        <f>IF(AW44="",0,2*(OR(ISNUMBER(FIND("WORKCENTER",AW44)),AND(LEFT(AW44,4)="LINE",NOT(ISNUMBER(FIND("STATUS",AW44))))))+4*(OR(ISNUMBER(FIND("WORKORDER",AW44)),AND(LEFT(AW44,2)="WO",OR(ISNUMBER(FIND("NUM",AW44)),RIGHT(AW44,2)="NO"))))+8*(LEFT(AW44,3)="SEQ")+16*(AND(LEFT(AW44,4)="ITEM",NOT(ISNUMBER(FIND("DESC",AW44)))))+32*(AND(ISNUMBER(FIND("DESC",AW44)),NOT(ISNUMBER(FIND("CAP",AW44)))))+64*(OR(RIGHT(AW44,5)="COUNT",RIGHT(AW44,2)="CT"))+128*(ISNUMBER(FIND("BULK",AW44)))+256*(ISNUMBER(FIND("SIZE",AW44)))+512*(LEFT(AW44,3)="CAP")+1024*(ISNUMBER(FIND("ALLERG",AW44)))+2048*(OR(ISNUMBER(FIND("REMARK",AW44)),ISNUMBER(FIND("COMMENT",AW44))))+4096*(OR(ISNUMBER(FIND("QTY",AW44)),ISNUMBER(FIND("QUANTITY",AW44))))+8192*(AND(OR(ISNUMBER(FIND("COMPLETE",AW44)),ISNUMBER(FIND("PCT",AW44)),ISNUMBER(FIND("PERCENT",AW44))),NOT(ISNUMBER(FIND("ACTUAL",AW44))),LEN(AW44)&lt;=16))+32768*(OR(ISNUMBER(FIND("DESIC",AW44)),ISNUMBER(FIND("DESSIC",AW44)))))</f>
        <v/>
      </c>
      <c r="AX179">
        <f>IF(AX44="",0,2*(OR(ISNUMBER(FIND("WORKCENTER",AX44)),AND(LEFT(AX44,4)="LINE",NOT(ISNUMBER(FIND("STATUS",AX44))))))+4*(OR(ISNUMBER(FIND("WORKORDER",AX44)),AND(LEFT(AX44,2)="WO",OR(ISNUMBER(FIND("NUM",AX44)),RIGHT(AX44,2)="NO"))))+8*(LEFT(AX44,3)="SEQ")+16*(AND(LEFT(AX44,4)="ITEM",NOT(ISNUMBER(FIND("DESC",AX44)))))+32*(AND(ISNUMBER(FIND("DESC",AX44)),NOT(ISNUMBER(FIND("CAP",AX44)))))+64*(OR(RIGHT(AX44,5)="COUNT",RIGHT(AX44,2)="CT"))+128*(ISNUMBER(FIND("BULK",AX44)))+256*(ISNUMBER(FIND("SIZE",AX44)))+512*(LEFT(AX44,3)="CAP")+1024*(ISNUMBER(FIND("ALLERG",AX44)))+2048*(OR(ISNUMBER(FIND("REMARK",AX44)),ISNUMBER(FIND("COMMENT",AX44))))+4096*(OR(ISNUMBER(FIND("QTY",AX44)),ISNUMBER(FIND("QUANTITY",AX44))))+8192*(AND(OR(ISNUMBER(FIND("COMPLETE",AX44)),ISNUMBER(FIND("PCT",AX44)),ISNUMBER(FIND("PERCENT",AX44))),NOT(ISNUMBER(FIND("ACTUAL",AX44))),LEN(AX44)&lt;=16))+32768*(OR(ISNUMBER(FIND("DESIC",AX44)),ISNUMBER(FIND("DESSIC",AX44)))))</f>
        <v/>
      </c>
      <c r="AY179">
        <f>IF(AY44="",0,2*(OR(ISNUMBER(FIND("WORKCENTER",AY44)),AND(LEFT(AY44,4)="LINE",NOT(ISNUMBER(FIND("STATUS",AY44))))))+4*(OR(ISNUMBER(FIND("WORKORDER",AY44)),AND(LEFT(AY44,2)="WO",OR(ISNUMBER(FIND("NUM",AY44)),RIGHT(AY44,2)="NO"))))+8*(LEFT(AY44,3)="SEQ")+16*(AND(LEFT(AY44,4)="ITEM",NOT(ISNUMBER(FIND("DESC",AY44)))))+32*(AND(ISNUMBER(FIND("DESC",AY44)),NOT(ISNUMBER(FIND("CAP",AY44)))))+64*(OR(RIGHT(AY44,5)="COUNT",RIGHT(AY44,2)="CT"))+128*(ISNUMBER(FIND("BULK",AY44)))+256*(ISNUMBER(FIND("SIZE",AY44)))+512*(LEFT(AY44,3)="CAP")+1024*(ISNUMBER(FIND("ALLERG",AY44)))+2048*(OR(ISNUMBER(FIND("REMARK",AY44)),ISNUMBER(FIND("COMMENT",AY44))))+4096*(OR(ISNUMBER(FIND("QTY",AY44)),ISNUMBER(FIND("QUANTITY",AY44))))+8192*(AND(OR(ISNUMBER(FIND("COMPLETE",AY44)),ISNUMBER(FIND("PCT",AY44)),ISNUMBER(FIND("PERCENT",AY44))),NOT(ISNUMBER(FIND("ACTUAL",AY44))),LEN(AY44)&lt;=16))+32768*(OR(ISNUMBER(FIND("DESIC",AY44)),ISNUMBER(FIND("DESSIC",AY44)))))</f>
        <v/>
      </c>
      <c r="AZ179">
        <f>IF(AZ44="",0,2*(OR(ISNUMBER(FIND("WORKCENTER",AZ44)),AND(LEFT(AZ44,4)="LINE",NOT(ISNUMBER(FIND("STATUS",AZ44))))))+4*(OR(ISNUMBER(FIND("WORKORDER",AZ44)),AND(LEFT(AZ44,2)="WO",OR(ISNUMBER(FIND("NUM",AZ44)),RIGHT(AZ44,2)="NO"))))+8*(LEFT(AZ44,3)="SEQ")+16*(AND(LEFT(AZ44,4)="ITEM",NOT(ISNUMBER(FIND("DESC",AZ44)))))+32*(AND(ISNUMBER(FIND("DESC",AZ44)),NOT(ISNUMBER(FIND("CAP",AZ44)))))+64*(OR(RIGHT(AZ44,5)="COUNT",RIGHT(AZ44,2)="CT"))+128*(ISNUMBER(FIND("BULK",AZ44)))+256*(ISNUMBER(FIND("SIZE",AZ44)))+512*(LEFT(AZ44,3)="CAP")+1024*(ISNUMBER(FIND("ALLERG",AZ44)))+2048*(OR(ISNUMBER(FIND("REMARK",AZ44)),ISNUMBER(FIND("COMMENT",AZ44))))+4096*(OR(ISNUMBER(FIND("QTY",AZ44)),ISNUMBER(FIND("QUANTITY",AZ44))))+8192*(AND(OR(ISNUMBER(FIND("COMPLETE",AZ44)),ISNUMBER(FIND("PCT",AZ44)),ISNUMBER(FIND("PERCENT",AZ44))),NOT(ISNUMBER(FIND("ACTUAL",AZ44))),LEN(AZ44)&lt;=16))+32768*(OR(ISNUMBER(FIND("DESIC",AZ44)),ISNUMBER(FIND("DESSIC",AZ44)))))</f>
        <v/>
      </c>
      <c r="BA179">
        <f>IF(BA44="",0,2*(OR(ISNUMBER(FIND("WORKCENTER",BA44)),AND(LEFT(BA44,4)="LINE",NOT(ISNUMBER(FIND("STATUS",BA44))))))+4*(OR(ISNUMBER(FIND("WORKORDER",BA44)),AND(LEFT(BA44,2)="WO",OR(ISNUMBER(FIND("NUM",BA44)),RIGHT(BA44,2)="NO"))))+8*(LEFT(BA44,3)="SEQ")+16*(AND(LEFT(BA44,4)="ITEM",NOT(ISNUMBER(FIND("DESC",BA44)))))+32*(AND(ISNUMBER(FIND("DESC",BA44)),NOT(ISNUMBER(FIND("CAP",BA44)))))+64*(OR(RIGHT(BA44,5)="COUNT",RIGHT(BA44,2)="CT"))+128*(ISNUMBER(FIND("BULK",BA44)))+256*(ISNUMBER(FIND("SIZE",BA44)))+512*(LEFT(BA44,3)="CAP")+1024*(ISNUMBER(FIND("ALLERG",BA44)))+2048*(OR(ISNUMBER(FIND("REMARK",BA44)),ISNUMBER(FIND("COMMENT",BA44))))+4096*(OR(ISNUMBER(FIND("QTY",BA44)),ISNUMBER(FIND("QUANTITY",BA44))))+8192*(AND(OR(ISNUMBER(FIND("COMPLETE",BA44)),ISNUMBER(FIND("PCT",BA44)),ISNUMBER(FIND("PERCENT",BA44))),NOT(ISNUMBER(FIND("ACTUAL",BA44))),LEN(BA44)&lt;=16))+32768*(OR(ISNUMBER(FIND("DESIC",BA44)),ISNUMBER(FIND("DESSIC",BA44)))))</f>
        <v/>
      </c>
      <c r="BB179">
        <f>IF(BB44="",0,2*(OR(ISNUMBER(FIND("WORKCENTER",BB44)),AND(LEFT(BB44,4)="LINE",NOT(ISNUMBER(FIND("STATUS",BB44))))))+4*(OR(ISNUMBER(FIND("WORKORDER",BB44)),AND(LEFT(BB44,2)="WO",OR(ISNUMBER(FIND("NUM",BB44)),RIGHT(BB44,2)="NO"))))+8*(LEFT(BB44,3)="SEQ")+16*(AND(LEFT(BB44,4)="ITEM",NOT(ISNUMBER(FIND("DESC",BB44)))))+32*(AND(ISNUMBER(FIND("DESC",BB44)),NOT(ISNUMBER(FIND("CAP",BB44)))))+64*(OR(RIGHT(BB44,5)="COUNT",RIGHT(BB44,2)="CT"))+128*(ISNUMBER(FIND("BULK",BB44)))+256*(ISNUMBER(FIND("SIZE",BB44)))+512*(LEFT(BB44,3)="CAP")+1024*(ISNUMBER(FIND("ALLERG",BB44)))+2048*(OR(ISNUMBER(FIND("REMARK",BB44)),ISNUMBER(FIND("COMMENT",BB44))))+4096*(OR(ISNUMBER(FIND("QTY",BB44)),ISNUMBER(FIND("QUANTITY",BB44))))+8192*(AND(OR(ISNUMBER(FIND("COMPLETE",BB44)),ISNUMBER(FIND("PCT",BB44)),ISNUMBER(FIND("PERCENT",BB44))),NOT(ISNUMBER(FIND("ACTUAL",BB44))),LEN(BB44)&lt;=16))+32768*(OR(ISNUMBER(FIND("DESIC",BB44)),ISNUMBER(FIND("DESSIC",BB44)))))</f>
        <v/>
      </c>
      <c r="BC179">
        <f>IF(BC44="",0,2*(OR(ISNUMBER(FIND("WORKCENTER",BC44)),AND(LEFT(BC44,4)="LINE",NOT(ISNUMBER(FIND("STATUS",BC44))))))+4*(OR(ISNUMBER(FIND("WORKORDER",BC44)),AND(LEFT(BC44,2)="WO",OR(ISNUMBER(FIND("NUM",BC44)),RIGHT(BC44,2)="NO"))))+8*(LEFT(BC44,3)="SEQ")+16*(AND(LEFT(BC44,4)="ITEM",NOT(ISNUMBER(FIND("DESC",BC44)))))+32*(AND(ISNUMBER(FIND("DESC",BC44)),NOT(ISNUMBER(FIND("CAP",BC44)))))+64*(OR(RIGHT(BC44,5)="COUNT",RIGHT(BC44,2)="CT"))+128*(ISNUMBER(FIND("BULK",BC44)))+256*(ISNUMBER(FIND("SIZE",BC44)))+512*(LEFT(BC44,3)="CAP")+1024*(ISNUMBER(FIND("ALLERG",BC44)))+2048*(OR(ISNUMBER(FIND("REMARK",BC44)),ISNUMBER(FIND("COMMENT",BC44))))+4096*(OR(ISNUMBER(FIND("QTY",BC44)),ISNUMBER(FIND("QUANTITY",BC44))))+8192*(AND(OR(ISNUMBER(FIND("COMPLETE",BC44)),ISNUMBER(FIND("PCT",BC44)),ISNUMBER(FIND("PERCENT",BC44))),NOT(ISNUMBER(FIND("ACTUAL",BC44))),LEN(BC44)&lt;=16))+32768*(OR(ISNUMBER(FIND("DESIC",BC44)),ISNUMBER(FIND("DESSIC",BC44)))))</f>
        <v/>
      </c>
      <c r="BD179">
        <f>IF(BD44="",0,2*(OR(ISNUMBER(FIND("WORKCENTER",BD44)),AND(LEFT(BD44,4)="LINE",NOT(ISNUMBER(FIND("STATUS",BD44))))))+4*(OR(ISNUMBER(FIND("WORKORDER",BD44)),AND(LEFT(BD44,2)="WO",OR(ISNUMBER(FIND("NUM",BD44)),RIGHT(BD44,2)="NO"))))+8*(LEFT(BD44,3)="SEQ")+16*(AND(LEFT(BD44,4)="ITEM",NOT(ISNUMBER(FIND("DESC",BD44)))))+32*(AND(ISNUMBER(FIND("DESC",BD44)),NOT(ISNUMBER(FIND("CAP",BD44)))))+64*(OR(RIGHT(BD44,5)="COUNT",RIGHT(BD44,2)="CT"))+128*(ISNUMBER(FIND("BULK",BD44)))+256*(ISNUMBER(FIND("SIZE",BD44)))+512*(LEFT(BD44,3)="CAP")+1024*(ISNUMBER(FIND("ALLERG",BD44)))+2048*(OR(ISNUMBER(FIND("REMARK",BD44)),ISNUMBER(FIND("COMMENT",BD44))))+4096*(OR(ISNUMBER(FIND("QTY",BD44)),ISNUMBER(FIND("QUANTITY",BD44))))+8192*(AND(OR(ISNUMBER(FIND("COMPLETE",BD44)),ISNUMBER(FIND("PCT",BD44)),ISNUMBER(FIND("PERCENT",BD44))),NOT(ISNUMBER(FIND("ACTUAL",BD44))),LEN(BD44)&lt;=16))+32768*(OR(ISNUMBER(FIND("DESIC",BD44)),ISNUMBER(FIND("DESSIC",BD44)))))</f>
        <v/>
      </c>
      <c r="BE179">
        <f>IF(BE44="",0,2*(OR(ISNUMBER(FIND("WORKCENTER",BE44)),AND(LEFT(BE44,4)="LINE",NOT(ISNUMBER(FIND("STATUS",BE44))))))+4*(OR(ISNUMBER(FIND("WORKORDER",BE44)),AND(LEFT(BE44,2)="WO",OR(ISNUMBER(FIND("NUM",BE44)),RIGHT(BE44,2)="NO"))))+8*(LEFT(BE44,3)="SEQ")+16*(AND(LEFT(BE44,4)="ITEM",NOT(ISNUMBER(FIND("DESC",BE44)))))+32*(AND(ISNUMBER(FIND("DESC",BE44)),NOT(ISNUMBER(FIND("CAP",BE44)))))+64*(OR(RIGHT(BE44,5)="COUNT",RIGHT(BE44,2)="CT"))+128*(ISNUMBER(FIND("BULK",BE44)))+256*(ISNUMBER(FIND("SIZE",BE44)))+512*(LEFT(BE44,3)="CAP")+1024*(ISNUMBER(FIND("ALLERG",BE44)))+2048*(OR(ISNUMBER(FIND("REMARK",BE44)),ISNUMBER(FIND("COMMENT",BE44))))+4096*(OR(ISNUMBER(FIND("QTY",BE44)),ISNUMBER(FIND("QUANTITY",BE44))))+8192*(AND(OR(ISNUMBER(FIND("COMPLETE",BE44)),ISNUMBER(FIND("PCT",BE44)),ISNUMBER(FIND("PERCENT",BE44))),NOT(ISNUMBER(FIND("ACTUAL",BE44))),LEN(BE44)&lt;=16))+32768*(OR(ISNUMBER(FIND("DESIC",BE44)),ISNUMBER(FIND("DESSIC",BE44)))))</f>
        <v/>
      </c>
      <c r="BF179">
        <f>IF(BF44="",0,2*(OR(ISNUMBER(FIND("WORKCENTER",BF44)),AND(LEFT(BF44,4)="LINE",NOT(ISNUMBER(FIND("STATUS",BF44))))))+4*(OR(ISNUMBER(FIND("WORKORDER",BF44)),AND(LEFT(BF44,2)="WO",OR(ISNUMBER(FIND("NUM",BF44)),RIGHT(BF44,2)="NO"))))+8*(LEFT(BF44,3)="SEQ")+16*(AND(LEFT(BF44,4)="ITEM",NOT(ISNUMBER(FIND("DESC",BF44)))))+32*(AND(ISNUMBER(FIND("DESC",BF44)),NOT(ISNUMBER(FIND("CAP",BF44)))))+64*(OR(RIGHT(BF44,5)="COUNT",RIGHT(BF44,2)="CT"))+128*(ISNUMBER(FIND("BULK",BF44)))+256*(ISNUMBER(FIND("SIZE",BF44)))+512*(LEFT(BF44,3)="CAP")+1024*(ISNUMBER(FIND("ALLERG",BF44)))+2048*(OR(ISNUMBER(FIND("REMARK",BF44)),ISNUMBER(FIND("COMMENT",BF44))))+4096*(OR(ISNUMBER(FIND("QTY",BF44)),ISNUMBER(FIND("QUANTITY",BF44))))+8192*(AND(OR(ISNUMBER(FIND("COMPLETE",BF44)),ISNUMBER(FIND("PCT",BF44)),ISNUMBER(FIND("PERCENT",BF44))),NOT(ISNUMBER(FIND("ACTUAL",BF44))),LEN(BF44)&lt;=16))+32768*(OR(ISNUMBER(FIND("DESIC",BF44)),ISNUMBER(FIND("DESSIC",BF44)))))</f>
        <v/>
      </c>
      <c r="BG179">
        <f>IF(BG44="",0,2*(OR(ISNUMBER(FIND("WORKCENTER",BG44)),AND(LEFT(BG44,4)="LINE",NOT(ISNUMBER(FIND("STATUS",BG44))))))+4*(OR(ISNUMBER(FIND("WORKORDER",BG44)),AND(LEFT(BG44,2)="WO",OR(ISNUMBER(FIND("NUM",BG44)),RIGHT(BG44,2)="NO"))))+8*(LEFT(BG44,3)="SEQ")+16*(AND(LEFT(BG44,4)="ITEM",NOT(ISNUMBER(FIND("DESC",BG44)))))+32*(AND(ISNUMBER(FIND("DESC",BG44)),NOT(ISNUMBER(FIND("CAP",BG44)))))+64*(OR(RIGHT(BG44,5)="COUNT",RIGHT(BG44,2)="CT"))+128*(ISNUMBER(FIND("BULK",BG44)))+256*(ISNUMBER(FIND("SIZE",BG44)))+512*(LEFT(BG44,3)="CAP")+1024*(ISNUMBER(FIND("ALLERG",BG44)))+2048*(OR(ISNUMBER(FIND("REMARK",BG44)),ISNUMBER(FIND("COMMENT",BG44))))+4096*(OR(ISNUMBER(FIND("QTY",BG44)),ISNUMBER(FIND("QUANTITY",BG44))))+8192*(AND(OR(ISNUMBER(FIND("COMPLETE",BG44)),ISNUMBER(FIND("PCT",BG44)),ISNUMBER(FIND("PERCENT",BG44))),NOT(ISNUMBER(FIND("ACTUAL",BG44))),LEN(BG44)&lt;=16))+32768*(OR(ISNUMBER(FIND("DESIC",BG44)),ISNUMBER(FIND("DESSIC",BG44)))))</f>
        <v/>
      </c>
      <c r="BH179">
        <f>IF(BH44="",0,2*(OR(ISNUMBER(FIND("WORKCENTER",BH44)),AND(LEFT(BH44,4)="LINE",NOT(ISNUMBER(FIND("STATUS",BH44))))))+4*(OR(ISNUMBER(FIND("WORKORDER",BH44)),AND(LEFT(BH44,2)="WO",OR(ISNUMBER(FIND("NUM",BH44)),RIGHT(BH44,2)="NO"))))+8*(LEFT(BH44,3)="SEQ")+16*(AND(LEFT(BH44,4)="ITEM",NOT(ISNUMBER(FIND("DESC",BH44)))))+32*(AND(ISNUMBER(FIND("DESC",BH44)),NOT(ISNUMBER(FIND("CAP",BH44)))))+64*(OR(RIGHT(BH44,5)="COUNT",RIGHT(BH44,2)="CT"))+128*(ISNUMBER(FIND("BULK",BH44)))+256*(ISNUMBER(FIND("SIZE",BH44)))+512*(LEFT(BH44,3)="CAP")+1024*(ISNUMBER(FIND("ALLERG",BH44)))+2048*(OR(ISNUMBER(FIND("REMARK",BH44)),ISNUMBER(FIND("COMMENT",BH44))))+4096*(OR(ISNUMBER(FIND("QTY",BH44)),ISNUMBER(FIND("QUANTITY",BH44))))+8192*(AND(OR(ISNUMBER(FIND("COMPLETE",BH44)),ISNUMBER(FIND("PCT",BH44)),ISNUMBER(FIND("PERCENT",BH44))),NOT(ISNUMBER(FIND("ACTUAL",BH44))),LEN(BH44)&lt;=16))+32768*(OR(ISNUMBER(FIND("DESIC",BH44)),ISNUMBER(FIND("DESSIC",BH44)))))</f>
        <v/>
      </c>
      <c r="BI179">
        <f>IF(BI44="",0,2*(OR(ISNUMBER(FIND("WORKCENTER",BI44)),AND(LEFT(BI44,4)="LINE",NOT(ISNUMBER(FIND("STATUS",BI44))))))+4*(OR(ISNUMBER(FIND("WORKORDER",BI44)),AND(LEFT(BI44,2)="WO",OR(ISNUMBER(FIND("NUM",BI44)),RIGHT(BI44,2)="NO"))))+8*(LEFT(BI44,3)="SEQ")+16*(AND(LEFT(BI44,4)="ITEM",NOT(ISNUMBER(FIND("DESC",BI44)))))+32*(AND(ISNUMBER(FIND("DESC",BI44)),NOT(ISNUMBER(FIND("CAP",BI44)))))+64*(OR(RIGHT(BI44,5)="COUNT",RIGHT(BI44,2)="CT"))+128*(ISNUMBER(FIND("BULK",BI44)))+256*(ISNUMBER(FIND("SIZE",BI44)))+512*(LEFT(BI44,3)="CAP")+1024*(ISNUMBER(FIND("ALLERG",BI44)))+2048*(OR(ISNUMBER(FIND("REMARK",BI44)),ISNUMBER(FIND("COMMENT",BI44))))+4096*(OR(ISNUMBER(FIND("QTY",BI44)),ISNUMBER(FIND("QUANTITY",BI44))))+8192*(AND(OR(ISNUMBER(FIND("COMPLETE",BI44)),ISNUMBER(FIND("PCT",BI44)),ISNUMBER(FIND("PERCENT",BI44))),NOT(ISNUMBER(FIND("ACTUAL",BI44))),LEN(BI44)&lt;=16))+32768*(OR(ISNUMBER(FIND("DESIC",BI44)),ISNUMBER(FIND("DESSIC",BI44)))))</f>
        <v/>
      </c>
      <c r="BJ179">
        <f>IF(BJ44="",0,2*(OR(ISNUMBER(FIND("WORKCENTER",BJ44)),AND(LEFT(BJ44,4)="LINE",NOT(ISNUMBER(FIND("STATUS",BJ44))))))+4*(OR(ISNUMBER(FIND("WORKORDER",BJ44)),AND(LEFT(BJ44,2)="WO",OR(ISNUMBER(FIND("NUM",BJ44)),RIGHT(BJ44,2)="NO"))))+8*(LEFT(BJ44,3)="SEQ")+16*(AND(LEFT(BJ44,4)="ITEM",NOT(ISNUMBER(FIND("DESC",BJ44)))))+32*(AND(ISNUMBER(FIND("DESC",BJ44)),NOT(ISNUMBER(FIND("CAP",BJ44)))))+64*(OR(RIGHT(BJ44,5)="COUNT",RIGHT(BJ44,2)="CT"))+128*(ISNUMBER(FIND("BULK",BJ44)))+256*(ISNUMBER(FIND("SIZE",BJ44)))+512*(LEFT(BJ44,3)="CAP")+1024*(ISNUMBER(FIND("ALLERG",BJ44)))+2048*(OR(ISNUMBER(FIND("REMARK",BJ44)),ISNUMBER(FIND("COMMENT",BJ44))))+4096*(OR(ISNUMBER(FIND("QTY",BJ44)),ISNUMBER(FIND("QUANTITY",BJ44))))+8192*(AND(OR(ISNUMBER(FIND("COMPLETE",BJ44)),ISNUMBER(FIND("PCT",BJ44)),ISNUMBER(FIND("PERCENT",BJ44))),NOT(ISNUMBER(FIND("ACTUAL",BJ44))),LEN(BJ44)&lt;=16))+32768*(OR(ISNUMBER(FIND("DESIC",BJ44)),ISNUMBER(FIND("DESSIC",BJ44)))))</f>
        <v/>
      </c>
      <c r="BK179">
        <f>IF(BK44="",0,2*(OR(ISNUMBER(FIND("WORKCENTER",BK44)),AND(LEFT(BK44,4)="LINE",NOT(ISNUMBER(FIND("STATUS",BK44))))))+4*(OR(ISNUMBER(FIND("WORKORDER",BK44)),AND(LEFT(BK44,2)="WO",OR(ISNUMBER(FIND("NUM",BK44)),RIGHT(BK44,2)="NO"))))+8*(LEFT(BK44,3)="SEQ")+16*(AND(LEFT(BK44,4)="ITEM",NOT(ISNUMBER(FIND("DESC",BK44)))))+32*(AND(ISNUMBER(FIND("DESC",BK44)),NOT(ISNUMBER(FIND("CAP",BK44)))))+64*(OR(RIGHT(BK44,5)="COUNT",RIGHT(BK44,2)="CT"))+128*(ISNUMBER(FIND("BULK",BK44)))+256*(ISNUMBER(FIND("SIZE",BK44)))+512*(LEFT(BK44,3)="CAP")+1024*(ISNUMBER(FIND("ALLERG",BK44)))+2048*(OR(ISNUMBER(FIND("REMARK",BK44)),ISNUMBER(FIND("COMMENT",BK44))))+4096*(OR(ISNUMBER(FIND("QTY",BK44)),ISNUMBER(FIND("QUANTITY",BK44))))+8192*(AND(OR(ISNUMBER(FIND("COMPLETE",BK44)),ISNUMBER(FIND("PCT",BK44)),ISNUMBER(FIND("PERCENT",BK44))),NOT(ISNUMBER(FIND("ACTUAL",BK44))),LEN(BK44)&lt;=16))+32768*(OR(ISNUMBER(FIND("DESIC",BK44)),ISNUMBER(FIND("DESSIC",BK44)))))</f>
        <v/>
      </c>
      <c r="BL179">
        <f>IF(BL44="",0,2*(OR(ISNUMBER(FIND("WORKCENTER",BL44)),AND(LEFT(BL44,4)="LINE",NOT(ISNUMBER(FIND("STATUS",BL44))))))+4*(OR(ISNUMBER(FIND("WORKORDER",BL44)),AND(LEFT(BL44,2)="WO",OR(ISNUMBER(FIND("NUM",BL44)),RIGHT(BL44,2)="NO"))))+8*(LEFT(BL44,3)="SEQ")+16*(AND(LEFT(BL44,4)="ITEM",NOT(ISNUMBER(FIND("DESC",BL44)))))+32*(AND(ISNUMBER(FIND("DESC",BL44)),NOT(ISNUMBER(FIND("CAP",BL44)))))+64*(OR(RIGHT(BL44,5)="COUNT",RIGHT(BL44,2)="CT"))+128*(ISNUMBER(FIND("BULK",BL44)))+256*(ISNUMBER(FIND("SIZE",BL44)))+512*(LEFT(BL44,3)="CAP")+1024*(ISNUMBER(FIND("ALLERG",BL44)))+2048*(OR(ISNUMBER(FIND("REMARK",BL44)),ISNUMBER(FIND("COMMENT",BL44))))+4096*(OR(ISNUMBER(FIND("QTY",BL44)),ISNUMBER(FIND("QUANTITY",BL44))))+8192*(AND(OR(ISNUMBER(FIND("COMPLETE",BL44)),ISNUMBER(FIND("PCT",BL44)),ISNUMBER(FIND("PERCENT",BL44))),NOT(ISNUMBER(FIND("ACTUAL",BL44))),LEN(BL44)&lt;=16))+32768*(OR(ISNUMBER(FIND("DESIC",BL44)),ISNUMBER(FIND("DESSIC",BL44)))))</f>
        <v/>
      </c>
      <c r="BM179">
        <f>IF(BM44="",0,2*(OR(ISNUMBER(FIND("WORKCENTER",BM44)),AND(LEFT(BM44,4)="LINE",NOT(ISNUMBER(FIND("STATUS",BM44))))))+4*(OR(ISNUMBER(FIND("WORKORDER",BM44)),AND(LEFT(BM44,2)="WO",OR(ISNUMBER(FIND("NUM",BM44)),RIGHT(BM44,2)="NO"))))+8*(LEFT(BM44,3)="SEQ")+16*(AND(LEFT(BM44,4)="ITEM",NOT(ISNUMBER(FIND("DESC",BM44)))))+32*(AND(ISNUMBER(FIND("DESC",BM44)),NOT(ISNUMBER(FIND("CAP",BM44)))))+64*(OR(RIGHT(BM44,5)="COUNT",RIGHT(BM44,2)="CT"))+128*(ISNUMBER(FIND("BULK",BM44)))+256*(ISNUMBER(FIND("SIZE",BM44)))+512*(LEFT(BM44,3)="CAP")+1024*(ISNUMBER(FIND("ALLERG",BM44)))+2048*(OR(ISNUMBER(FIND("REMARK",BM44)),ISNUMBER(FIND("COMMENT",BM44))))+4096*(OR(ISNUMBER(FIND("QTY",BM44)),ISNUMBER(FIND("QUANTITY",BM44))))+8192*(AND(OR(ISNUMBER(FIND("COMPLETE",BM44)),ISNUMBER(FIND("PCT",BM44)),ISNUMBER(FIND("PERCENT",BM44))),NOT(ISNUMBER(FIND("ACTUAL",BM44))),LEN(BM44)&lt;=16))+32768*(OR(ISNUMBER(FIND("DESIC",BM44)),ISNUMBER(FIND("DESSIC",BM44)))))</f>
        <v/>
      </c>
      <c r="BN179">
        <f>IF(BN44="",0,2*(OR(ISNUMBER(FIND("WORKCENTER",BN44)),AND(LEFT(BN44,4)="LINE",NOT(ISNUMBER(FIND("STATUS",BN44))))))+4*(OR(ISNUMBER(FIND("WORKORDER",BN44)),AND(LEFT(BN44,2)="WO",OR(ISNUMBER(FIND("NUM",BN44)),RIGHT(BN44,2)="NO"))))+8*(LEFT(BN44,3)="SEQ")+16*(AND(LEFT(BN44,4)="ITEM",NOT(ISNUMBER(FIND("DESC",BN44)))))+32*(AND(ISNUMBER(FIND("DESC",BN44)),NOT(ISNUMBER(FIND("CAP",BN44)))))+64*(OR(RIGHT(BN44,5)="COUNT",RIGHT(BN44,2)="CT"))+128*(ISNUMBER(FIND("BULK",BN44)))+256*(ISNUMBER(FIND("SIZE",BN44)))+512*(LEFT(BN44,3)="CAP")+1024*(ISNUMBER(FIND("ALLERG",BN44)))+2048*(OR(ISNUMBER(FIND("REMARK",BN44)),ISNUMBER(FIND("COMMENT",BN44))))+4096*(OR(ISNUMBER(FIND("QTY",BN44)),ISNUMBER(FIND("QUANTITY",BN44))))+8192*(AND(OR(ISNUMBER(FIND("COMPLETE",BN44)),ISNUMBER(FIND("PCT",BN44)),ISNUMBER(FIND("PERCENT",BN44))),NOT(ISNUMBER(FIND("ACTUAL",BN44))),LEN(BN44)&lt;=16))+32768*(OR(ISNUMBER(FIND("DESIC",BN44)),ISNUMBER(FIND("DESSIC",BN44)))))</f>
        <v/>
      </c>
      <c r="BO179">
        <f>IF(BO44="",0,2*(OR(ISNUMBER(FIND("WORKCENTER",BO44)),AND(LEFT(BO44,4)="LINE",NOT(ISNUMBER(FIND("STATUS",BO44))))))+4*(OR(ISNUMBER(FIND("WORKORDER",BO44)),AND(LEFT(BO44,2)="WO",OR(ISNUMBER(FIND("NUM",BO44)),RIGHT(BO44,2)="NO"))))+8*(LEFT(BO44,3)="SEQ")+16*(AND(LEFT(BO44,4)="ITEM",NOT(ISNUMBER(FIND("DESC",BO44)))))+32*(AND(ISNUMBER(FIND("DESC",BO44)),NOT(ISNUMBER(FIND("CAP",BO44)))))+64*(OR(RIGHT(BO44,5)="COUNT",RIGHT(BO44,2)="CT"))+128*(ISNUMBER(FIND("BULK",BO44)))+256*(ISNUMBER(FIND("SIZE",BO44)))+512*(LEFT(BO44,3)="CAP")+1024*(ISNUMBER(FIND("ALLERG",BO44)))+2048*(OR(ISNUMBER(FIND("REMARK",BO44)),ISNUMBER(FIND("COMMENT",BO44))))+4096*(OR(ISNUMBER(FIND("QTY",BO44)),ISNUMBER(FIND("QUANTITY",BO44))))+8192*(AND(OR(ISNUMBER(FIND("COMPLETE",BO44)),ISNUMBER(FIND("PCT",BO44)),ISNUMBER(FIND("PERCENT",BO44))),NOT(ISNUMBER(FIND("ACTUAL",BO44))),LEN(BO44)&lt;=16))+32768*(OR(ISNUMBER(FIND("DESIC",BO44)),ISNUMBER(FIND("DESSIC",BO44)))))</f>
        <v/>
      </c>
      <c r="BP179">
        <f>IF(BP44="",0,2*(OR(ISNUMBER(FIND("WORKCENTER",BP44)),AND(LEFT(BP44,4)="LINE",NOT(ISNUMBER(FIND("STATUS",BP44))))))+4*(OR(ISNUMBER(FIND("WORKORDER",BP44)),AND(LEFT(BP44,2)="WO",OR(ISNUMBER(FIND("NUM",BP44)),RIGHT(BP44,2)="NO"))))+8*(LEFT(BP44,3)="SEQ")+16*(AND(LEFT(BP44,4)="ITEM",NOT(ISNUMBER(FIND("DESC",BP44)))))+32*(AND(ISNUMBER(FIND("DESC",BP44)),NOT(ISNUMBER(FIND("CAP",BP44)))))+64*(OR(RIGHT(BP44,5)="COUNT",RIGHT(BP44,2)="CT"))+128*(ISNUMBER(FIND("BULK",BP44)))+256*(ISNUMBER(FIND("SIZE",BP44)))+512*(LEFT(BP44,3)="CAP")+1024*(ISNUMBER(FIND("ALLERG",BP44)))+2048*(OR(ISNUMBER(FIND("REMARK",BP44)),ISNUMBER(FIND("COMMENT",BP44))))+4096*(OR(ISNUMBER(FIND("QTY",BP44)),ISNUMBER(FIND("QUANTITY",BP44))))+8192*(AND(OR(ISNUMBER(FIND("COMPLETE",BP44)),ISNUMBER(FIND("PCT",BP44)),ISNUMBER(FIND("PERCENT",BP44))),NOT(ISNUMBER(FIND("ACTUAL",BP44))),LEN(BP44)&lt;=16))+32768*(OR(ISNUMBER(FIND("DESIC",BP44)),ISNUMBER(FIND("DESSIC",BP44)))))</f>
        <v/>
      </c>
      <c r="BQ179">
        <f>IF(BQ44="",0,2*(OR(ISNUMBER(FIND("WORKCENTER",BQ44)),AND(LEFT(BQ44,4)="LINE",NOT(ISNUMBER(FIND("STATUS",BQ44))))))+4*(OR(ISNUMBER(FIND("WORKORDER",BQ44)),AND(LEFT(BQ44,2)="WO",OR(ISNUMBER(FIND("NUM",BQ44)),RIGHT(BQ44,2)="NO"))))+8*(LEFT(BQ44,3)="SEQ")+16*(AND(LEFT(BQ44,4)="ITEM",NOT(ISNUMBER(FIND("DESC",BQ44)))))+32*(AND(ISNUMBER(FIND("DESC",BQ44)),NOT(ISNUMBER(FIND("CAP",BQ44)))))+64*(OR(RIGHT(BQ44,5)="COUNT",RIGHT(BQ44,2)="CT"))+128*(ISNUMBER(FIND("BULK",BQ44)))+256*(ISNUMBER(FIND("SIZE",BQ44)))+512*(LEFT(BQ44,3)="CAP")+1024*(ISNUMBER(FIND("ALLERG",BQ44)))+2048*(OR(ISNUMBER(FIND("REMARK",BQ44)),ISNUMBER(FIND("COMMENT",BQ44))))+4096*(OR(ISNUMBER(FIND("QTY",BQ44)),ISNUMBER(FIND("QUANTITY",BQ44))))+8192*(AND(OR(ISNUMBER(FIND("COMPLETE",BQ44)),ISNUMBER(FIND("PCT",BQ44)),ISNUMBER(FIND("PERCENT",BQ44))),NOT(ISNUMBER(FIND("ACTUAL",BQ44))),LEN(BQ44)&lt;=16))+32768*(OR(ISNUMBER(FIND("DESIC",BQ44)),ISNUMBER(FIND("DESSIC",BQ44)))))</f>
        <v/>
      </c>
      <c r="BR179">
        <f>IF(BR44="",0,2*(OR(ISNUMBER(FIND("WORKCENTER",BR44)),AND(LEFT(BR44,4)="LINE",NOT(ISNUMBER(FIND("STATUS",BR44))))))+4*(OR(ISNUMBER(FIND("WORKORDER",BR44)),AND(LEFT(BR44,2)="WO",OR(ISNUMBER(FIND("NUM",BR44)),RIGHT(BR44,2)="NO"))))+8*(LEFT(BR44,3)="SEQ")+16*(AND(LEFT(BR44,4)="ITEM",NOT(ISNUMBER(FIND("DESC",BR44)))))+32*(AND(ISNUMBER(FIND("DESC",BR44)),NOT(ISNUMBER(FIND("CAP",BR44)))))+64*(OR(RIGHT(BR44,5)="COUNT",RIGHT(BR44,2)="CT"))+128*(ISNUMBER(FIND("BULK",BR44)))+256*(ISNUMBER(FIND("SIZE",BR44)))+512*(LEFT(BR44,3)="CAP")+1024*(ISNUMBER(FIND("ALLERG",BR44)))+2048*(OR(ISNUMBER(FIND("REMARK",BR44)),ISNUMBER(FIND("COMMENT",BR44))))+4096*(OR(ISNUMBER(FIND("QTY",BR44)),ISNUMBER(FIND("QUANTITY",BR44))))+8192*(AND(OR(ISNUMBER(FIND("COMPLETE",BR44)),ISNUMBER(FIND("PCT",BR44)),ISNUMBER(FIND("PERCENT",BR44))),NOT(ISNUMBER(FIND("ACTUAL",BR44))),LEN(BR44)&lt;=16))+32768*(OR(ISNUMBER(FIND("DESIC",BR44)),ISNUMBER(FIND("DESSIC",BR44)))))</f>
        <v/>
      </c>
      <c r="BS179">
        <f>IF(BS44="",0,2*(OR(ISNUMBER(FIND("WORKCENTER",BS44)),AND(LEFT(BS44,4)="LINE",NOT(ISNUMBER(FIND("STATUS",BS44))))))+4*(OR(ISNUMBER(FIND("WORKORDER",BS44)),AND(LEFT(BS44,2)="WO",OR(ISNUMBER(FIND("NUM",BS44)),RIGHT(BS44,2)="NO"))))+8*(LEFT(BS44,3)="SEQ")+16*(AND(LEFT(BS44,4)="ITEM",NOT(ISNUMBER(FIND("DESC",BS44)))))+32*(AND(ISNUMBER(FIND("DESC",BS44)),NOT(ISNUMBER(FIND("CAP",BS44)))))+64*(OR(RIGHT(BS44,5)="COUNT",RIGHT(BS44,2)="CT"))+128*(ISNUMBER(FIND("BULK",BS44)))+256*(ISNUMBER(FIND("SIZE",BS44)))+512*(LEFT(BS44,3)="CAP")+1024*(ISNUMBER(FIND("ALLERG",BS44)))+2048*(OR(ISNUMBER(FIND("REMARK",BS44)),ISNUMBER(FIND("COMMENT",BS44))))+4096*(OR(ISNUMBER(FIND("QTY",BS44)),ISNUMBER(FIND("QUANTITY",BS44))))+8192*(AND(OR(ISNUMBER(FIND("COMPLETE",BS44)),ISNUMBER(FIND("PCT",BS44)),ISNUMBER(FIND("PERCENT",BS44))),NOT(ISNUMBER(FIND("ACTUAL",BS44))),LEN(BS44)&lt;=16))+32768*(OR(ISNUMBER(FIND("DESIC",BS44)),ISNUMBER(FIND("DESSIC",BS44)))))</f>
        <v/>
      </c>
      <c r="BT179">
        <f>IF(BT44="",0,2*(OR(ISNUMBER(FIND("WORKCENTER",BT44)),AND(LEFT(BT44,4)="LINE",NOT(ISNUMBER(FIND("STATUS",BT44))))))+4*(OR(ISNUMBER(FIND("WORKORDER",BT44)),AND(LEFT(BT44,2)="WO",OR(ISNUMBER(FIND("NUM",BT44)),RIGHT(BT44,2)="NO"))))+8*(LEFT(BT44,3)="SEQ")+16*(AND(LEFT(BT44,4)="ITEM",NOT(ISNUMBER(FIND("DESC",BT44)))))+32*(AND(ISNUMBER(FIND("DESC",BT44)),NOT(ISNUMBER(FIND("CAP",BT44)))))+64*(OR(RIGHT(BT44,5)="COUNT",RIGHT(BT44,2)="CT"))+128*(ISNUMBER(FIND("BULK",BT44)))+256*(ISNUMBER(FIND("SIZE",BT44)))+512*(LEFT(BT44,3)="CAP")+1024*(ISNUMBER(FIND("ALLERG",BT44)))+2048*(OR(ISNUMBER(FIND("REMARK",BT44)),ISNUMBER(FIND("COMMENT",BT44))))+4096*(OR(ISNUMBER(FIND("QTY",BT44)),ISNUMBER(FIND("QUANTITY",BT44))))+8192*(AND(OR(ISNUMBER(FIND("COMPLETE",BT44)),ISNUMBER(FIND("PCT",BT44)),ISNUMBER(FIND("PERCENT",BT44))),NOT(ISNUMBER(FIND("ACTUAL",BT44))),LEN(BT44)&lt;=16))+32768*(OR(ISNUMBER(FIND("DESIC",BT44)),ISNUMBER(FIND("DESSIC",BT44)))))</f>
        <v/>
      </c>
      <c r="BU179">
        <f>IF(BU44="",0,2*(OR(ISNUMBER(FIND("WORKCENTER",BU44)),AND(LEFT(BU44,4)="LINE",NOT(ISNUMBER(FIND("STATUS",BU44))))))+4*(OR(ISNUMBER(FIND("WORKORDER",BU44)),AND(LEFT(BU44,2)="WO",OR(ISNUMBER(FIND("NUM",BU44)),RIGHT(BU44,2)="NO"))))+8*(LEFT(BU44,3)="SEQ")+16*(AND(LEFT(BU44,4)="ITEM",NOT(ISNUMBER(FIND("DESC",BU44)))))+32*(AND(ISNUMBER(FIND("DESC",BU44)),NOT(ISNUMBER(FIND("CAP",BU44)))))+64*(OR(RIGHT(BU44,5)="COUNT",RIGHT(BU44,2)="CT"))+128*(ISNUMBER(FIND("BULK",BU44)))+256*(ISNUMBER(FIND("SIZE",BU44)))+512*(LEFT(BU44,3)="CAP")+1024*(ISNUMBER(FIND("ALLERG",BU44)))+2048*(OR(ISNUMBER(FIND("REMARK",BU44)),ISNUMBER(FIND("COMMENT",BU44))))+4096*(OR(ISNUMBER(FIND("QTY",BU44)),ISNUMBER(FIND("QUANTITY",BU44))))+8192*(AND(OR(ISNUMBER(FIND("COMPLETE",BU44)),ISNUMBER(FIND("PCT",BU44)),ISNUMBER(FIND("PERCENT",BU44))),NOT(ISNUMBER(FIND("ACTUAL",BU44))),LEN(BU44)&lt;=16))+32768*(OR(ISNUMBER(FIND("DESIC",BU44)),ISNUMBER(FIND("DESSIC",BU44)))))</f>
        <v/>
      </c>
      <c r="BV179">
        <f>IF(BV44="",0,2*(OR(ISNUMBER(FIND("WORKCENTER",BV44)),AND(LEFT(BV44,4)="LINE",NOT(ISNUMBER(FIND("STATUS",BV44))))))+4*(OR(ISNUMBER(FIND("WORKORDER",BV44)),AND(LEFT(BV44,2)="WO",OR(ISNUMBER(FIND("NUM",BV44)),RIGHT(BV44,2)="NO"))))+8*(LEFT(BV44,3)="SEQ")+16*(AND(LEFT(BV44,4)="ITEM",NOT(ISNUMBER(FIND("DESC",BV44)))))+32*(AND(ISNUMBER(FIND("DESC",BV44)),NOT(ISNUMBER(FIND("CAP",BV44)))))+64*(OR(RIGHT(BV44,5)="COUNT",RIGHT(BV44,2)="CT"))+128*(ISNUMBER(FIND("BULK",BV44)))+256*(ISNUMBER(FIND("SIZE",BV44)))+512*(LEFT(BV44,3)="CAP")+1024*(ISNUMBER(FIND("ALLERG",BV44)))+2048*(OR(ISNUMBER(FIND("REMARK",BV44)),ISNUMBER(FIND("COMMENT",BV44))))+4096*(OR(ISNUMBER(FIND("QTY",BV44)),ISNUMBER(FIND("QUANTITY",BV44))))+8192*(AND(OR(ISNUMBER(FIND("COMPLETE",BV44)),ISNUMBER(FIND("PCT",BV44)),ISNUMBER(FIND("PERCENT",BV44))),NOT(ISNUMBER(FIND("ACTUAL",BV44))),LEN(BV44)&lt;=16))+32768*(OR(ISNUMBER(FIND("DESIC",BV44)),ISNUMBER(FIND("DESSIC",BV44)))))</f>
        <v/>
      </c>
      <c r="BW179">
        <f>IF(BW44="",0,2*(OR(ISNUMBER(FIND("WORKCENTER",BW44)),AND(LEFT(BW44,4)="LINE",NOT(ISNUMBER(FIND("STATUS",BW44))))))+4*(OR(ISNUMBER(FIND("WORKORDER",BW44)),AND(LEFT(BW44,2)="WO",OR(ISNUMBER(FIND("NUM",BW44)),RIGHT(BW44,2)="NO"))))+8*(LEFT(BW44,3)="SEQ")+16*(AND(LEFT(BW44,4)="ITEM",NOT(ISNUMBER(FIND("DESC",BW44)))))+32*(AND(ISNUMBER(FIND("DESC",BW44)),NOT(ISNUMBER(FIND("CAP",BW44)))))+64*(OR(RIGHT(BW44,5)="COUNT",RIGHT(BW44,2)="CT"))+128*(ISNUMBER(FIND("BULK",BW44)))+256*(ISNUMBER(FIND("SIZE",BW44)))+512*(LEFT(BW44,3)="CAP")+1024*(ISNUMBER(FIND("ALLERG",BW44)))+2048*(OR(ISNUMBER(FIND("REMARK",BW44)),ISNUMBER(FIND("COMMENT",BW44))))+4096*(OR(ISNUMBER(FIND("QTY",BW44)),ISNUMBER(FIND("QUANTITY",BW44))))+8192*(AND(OR(ISNUMBER(FIND("COMPLETE",BW44)),ISNUMBER(FIND("PCT",BW44)),ISNUMBER(FIND("PERCENT",BW44))),NOT(ISNUMBER(FIND("ACTUAL",BW44))),LEN(BW44)&lt;=16))+32768*(OR(ISNUMBER(FIND("DESIC",BW44)),ISNUMBER(FIND("DESSIC",BW44)))))</f>
        <v/>
      </c>
      <c r="BX179">
        <f>IF(BX44="",0,2*(OR(ISNUMBER(FIND("WORKCENTER",BX44)),AND(LEFT(BX44,4)="LINE",NOT(ISNUMBER(FIND("STATUS",BX44))))))+4*(OR(ISNUMBER(FIND("WORKORDER",BX44)),AND(LEFT(BX44,2)="WO",OR(ISNUMBER(FIND("NUM",BX44)),RIGHT(BX44,2)="NO"))))+8*(LEFT(BX44,3)="SEQ")+16*(AND(LEFT(BX44,4)="ITEM",NOT(ISNUMBER(FIND("DESC",BX44)))))+32*(AND(ISNUMBER(FIND("DESC",BX44)),NOT(ISNUMBER(FIND("CAP",BX44)))))+64*(OR(RIGHT(BX44,5)="COUNT",RIGHT(BX44,2)="CT"))+128*(ISNUMBER(FIND("BULK",BX44)))+256*(ISNUMBER(FIND("SIZE",BX44)))+512*(LEFT(BX44,3)="CAP")+1024*(ISNUMBER(FIND("ALLERG",BX44)))+2048*(OR(ISNUMBER(FIND("REMARK",BX44)),ISNUMBER(FIND("COMMENT",BX44))))+4096*(OR(ISNUMBER(FIND("QTY",BX44)),ISNUMBER(FIND("QUANTITY",BX44))))+8192*(AND(OR(ISNUMBER(FIND("COMPLETE",BX44)),ISNUMBER(FIND("PCT",BX44)),ISNUMBER(FIND("PERCENT",BX44))),NOT(ISNUMBER(FIND("ACTUAL",BX44))),LEN(BX44)&lt;=16))+32768*(OR(ISNUMBER(FIND("DESIC",BX44)),ISNUMBER(FIND("DESSIC",BX44)))))</f>
        <v/>
      </c>
      <c r="BY179">
        <f>IF(BY44="",0,2*(OR(ISNUMBER(FIND("WORKCENTER",BY44)),AND(LEFT(BY44,4)="LINE",NOT(ISNUMBER(FIND("STATUS",BY44))))))+4*(OR(ISNUMBER(FIND("WORKORDER",BY44)),AND(LEFT(BY44,2)="WO",OR(ISNUMBER(FIND("NUM",BY44)),RIGHT(BY44,2)="NO"))))+8*(LEFT(BY44,3)="SEQ")+16*(AND(LEFT(BY44,4)="ITEM",NOT(ISNUMBER(FIND("DESC",BY44)))))+32*(AND(ISNUMBER(FIND("DESC",BY44)),NOT(ISNUMBER(FIND("CAP",BY44)))))+64*(OR(RIGHT(BY44,5)="COUNT",RIGHT(BY44,2)="CT"))+128*(ISNUMBER(FIND("BULK",BY44)))+256*(ISNUMBER(FIND("SIZE",BY44)))+512*(LEFT(BY44,3)="CAP")+1024*(ISNUMBER(FIND("ALLERG",BY44)))+2048*(OR(ISNUMBER(FIND("REMARK",BY44)),ISNUMBER(FIND("COMMENT",BY44))))+4096*(OR(ISNUMBER(FIND("QTY",BY44)),ISNUMBER(FIND("QUANTITY",BY44))))+8192*(AND(OR(ISNUMBER(FIND("COMPLETE",BY44)),ISNUMBER(FIND("PCT",BY44)),ISNUMBER(FIND("PERCENT",BY44))),NOT(ISNUMBER(FIND("ACTUAL",BY44))),LEN(BY44)&lt;=16))+32768*(OR(ISNUMBER(FIND("DESIC",BY44)),ISNUMBER(FIND("DESSIC",BY44)))))</f>
        <v/>
      </c>
      <c r="BZ179">
        <f>IF(BZ44="",0,2*(OR(ISNUMBER(FIND("WORKCENTER",BZ44)),AND(LEFT(BZ44,4)="LINE",NOT(ISNUMBER(FIND("STATUS",BZ44))))))+4*(OR(ISNUMBER(FIND("WORKORDER",BZ44)),AND(LEFT(BZ44,2)="WO",OR(ISNUMBER(FIND("NUM",BZ44)),RIGHT(BZ44,2)="NO"))))+8*(LEFT(BZ44,3)="SEQ")+16*(AND(LEFT(BZ44,4)="ITEM",NOT(ISNUMBER(FIND("DESC",BZ44)))))+32*(AND(ISNUMBER(FIND("DESC",BZ44)),NOT(ISNUMBER(FIND("CAP",BZ44)))))+64*(OR(RIGHT(BZ44,5)="COUNT",RIGHT(BZ44,2)="CT"))+128*(ISNUMBER(FIND("BULK",BZ44)))+256*(ISNUMBER(FIND("SIZE",BZ44)))+512*(LEFT(BZ44,3)="CAP")+1024*(ISNUMBER(FIND("ALLERG",BZ44)))+2048*(OR(ISNUMBER(FIND("REMARK",BZ44)),ISNUMBER(FIND("COMMENT",BZ44))))+4096*(OR(ISNUMBER(FIND("QTY",BZ44)),ISNUMBER(FIND("QUANTITY",BZ44))))+8192*(AND(OR(ISNUMBER(FIND("COMPLETE",BZ44)),ISNUMBER(FIND("PCT",BZ44)),ISNUMBER(FIND("PERCENT",BZ44))),NOT(ISNUMBER(FIND("ACTUAL",BZ44))),LEN(BZ44)&lt;=16))+32768*(OR(ISNUMBER(FIND("DESIC",BZ44)),ISNUMBER(FIND("DESSIC",BZ44)))))</f>
        <v/>
      </c>
      <c r="CA179">
        <f>IF(CA44="",0,2*(OR(ISNUMBER(FIND("WORKCENTER",CA44)),AND(LEFT(CA44,4)="LINE",NOT(ISNUMBER(FIND("STATUS",CA44))))))+4*(OR(ISNUMBER(FIND("WORKORDER",CA44)),AND(LEFT(CA44,2)="WO",OR(ISNUMBER(FIND("NUM",CA44)),RIGHT(CA44,2)="NO"))))+8*(LEFT(CA44,3)="SEQ")+16*(AND(LEFT(CA44,4)="ITEM",NOT(ISNUMBER(FIND("DESC",CA44)))))+32*(AND(ISNUMBER(FIND("DESC",CA44)),NOT(ISNUMBER(FIND("CAP",CA44)))))+64*(OR(RIGHT(CA44,5)="COUNT",RIGHT(CA44,2)="CT"))+128*(ISNUMBER(FIND("BULK",CA44)))+256*(ISNUMBER(FIND("SIZE",CA44)))+512*(LEFT(CA44,3)="CAP")+1024*(ISNUMBER(FIND("ALLERG",CA44)))+2048*(OR(ISNUMBER(FIND("REMARK",CA44)),ISNUMBER(FIND("COMMENT",CA44))))+4096*(OR(ISNUMBER(FIND("QTY",CA44)),ISNUMBER(FIND("QUANTITY",CA44))))+8192*(AND(OR(ISNUMBER(FIND("COMPLETE",CA44)),ISNUMBER(FIND("PCT",CA44)),ISNUMBER(FIND("PERCENT",CA44))),NOT(ISNUMBER(FIND("ACTUAL",CA44))),LEN(CA44)&lt;=16))+32768*(OR(ISNUMBER(FIND("DESIC",CA44)),ISNUMBER(FIND("DESSIC",CA44)))))</f>
        <v/>
      </c>
      <c r="CB179">
        <f>IF(CB44="",0,2*(OR(ISNUMBER(FIND("WORKCENTER",CB44)),AND(LEFT(CB44,4)="LINE",NOT(ISNUMBER(FIND("STATUS",CB44))))))+4*(OR(ISNUMBER(FIND("WORKORDER",CB44)),AND(LEFT(CB44,2)="WO",OR(ISNUMBER(FIND("NUM",CB44)),RIGHT(CB44,2)="NO"))))+8*(LEFT(CB44,3)="SEQ")+16*(AND(LEFT(CB44,4)="ITEM",NOT(ISNUMBER(FIND("DESC",CB44)))))+32*(AND(ISNUMBER(FIND("DESC",CB44)),NOT(ISNUMBER(FIND("CAP",CB44)))))+64*(OR(RIGHT(CB44,5)="COUNT",RIGHT(CB44,2)="CT"))+128*(ISNUMBER(FIND("BULK",CB44)))+256*(ISNUMBER(FIND("SIZE",CB44)))+512*(LEFT(CB44,3)="CAP")+1024*(ISNUMBER(FIND("ALLERG",CB44)))+2048*(OR(ISNUMBER(FIND("REMARK",CB44)),ISNUMBER(FIND("COMMENT",CB44))))+4096*(OR(ISNUMBER(FIND("QTY",CB44)),ISNUMBER(FIND("QUANTITY",CB44))))+8192*(AND(OR(ISNUMBER(FIND("COMPLETE",CB44)),ISNUMBER(FIND("PCT",CB44)),ISNUMBER(FIND("PERCENT",CB44))),NOT(ISNUMBER(FIND("ACTUAL",CB44))),LEN(CB44)&lt;=16))+32768*(OR(ISNUMBER(FIND("DESIC",CB44)),ISNUMBER(FIND("DESSIC",CB44)))))</f>
        <v/>
      </c>
      <c r="CC179">
        <f>IF(CC44="",0,2*(OR(ISNUMBER(FIND("WORKCENTER",CC44)),AND(LEFT(CC44,4)="LINE",NOT(ISNUMBER(FIND("STATUS",CC44))))))+4*(OR(ISNUMBER(FIND("WORKORDER",CC44)),AND(LEFT(CC44,2)="WO",OR(ISNUMBER(FIND("NUM",CC44)),RIGHT(CC44,2)="NO"))))+8*(LEFT(CC44,3)="SEQ")+16*(AND(LEFT(CC44,4)="ITEM",NOT(ISNUMBER(FIND("DESC",CC44)))))+32*(AND(ISNUMBER(FIND("DESC",CC44)),NOT(ISNUMBER(FIND("CAP",CC44)))))+64*(OR(RIGHT(CC44,5)="COUNT",RIGHT(CC44,2)="CT"))+128*(ISNUMBER(FIND("BULK",CC44)))+256*(ISNUMBER(FIND("SIZE",CC44)))+512*(LEFT(CC44,3)="CAP")+1024*(ISNUMBER(FIND("ALLERG",CC44)))+2048*(OR(ISNUMBER(FIND("REMARK",CC44)),ISNUMBER(FIND("COMMENT",CC44))))+4096*(OR(ISNUMBER(FIND("QTY",CC44)),ISNUMBER(FIND("QUANTITY",CC44))))+8192*(AND(OR(ISNUMBER(FIND("COMPLETE",CC44)),ISNUMBER(FIND("PCT",CC44)),ISNUMBER(FIND("PERCENT",CC44))),NOT(ISNUMBER(FIND("ACTUAL",CC44))),LEN(CC44)&lt;=16))+32768*(OR(ISNUMBER(FIND("DESIC",CC44)),ISNUMBER(FIND("DESSIC",CC44)))))</f>
        <v/>
      </c>
      <c r="CD179">
        <f>IF(CD44="",0,2*(OR(ISNUMBER(FIND("WORKCENTER",CD44)),AND(LEFT(CD44,4)="LINE",NOT(ISNUMBER(FIND("STATUS",CD44))))))+4*(OR(ISNUMBER(FIND("WORKORDER",CD44)),AND(LEFT(CD44,2)="WO",OR(ISNUMBER(FIND("NUM",CD44)),RIGHT(CD44,2)="NO"))))+8*(LEFT(CD44,3)="SEQ")+16*(AND(LEFT(CD44,4)="ITEM",NOT(ISNUMBER(FIND("DESC",CD44)))))+32*(AND(ISNUMBER(FIND("DESC",CD44)),NOT(ISNUMBER(FIND("CAP",CD44)))))+64*(OR(RIGHT(CD44,5)="COUNT",RIGHT(CD44,2)="CT"))+128*(ISNUMBER(FIND("BULK",CD44)))+256*(ISNUMBER(FIND("SIZE",CD44)))+512*(LEFT(CD44,3)="CAP")+1024*(ISNUMBER(FIND("ALLERG",CD44)))+2048*(OR(ISNUMBER(FIND("REMARK",CD44)),ISNUMBER(FIND("COMMENT",CD44))))+4096*(OR(ISNUMBER(FIND("QTY",CD44)),ISNUMBER(FIND("QUANTITY",CD44))))+8192*(AND(OR(ISNUMBER(FIND("COMPLETE",CD44)),ISNUMBER(FIND("PCT",CD44)),ISNUMBER(FIND("PERCENT",CD44))),NOT(ISNUMBER(FIND("ACTUAL",CD44))),LEN(CD44)&lt;=16))+32768*(OR(ISNUMBER(FIND("DESIC",CD44)),ISNUMBER(FIND("DESSIC",CD44)))))</f>
        <v/>
      </c>
      <c r="CE179">
        <f>IF(CE44="",0,2*(OR(ISNUMBER(FIND("WORKCENTER",CE44)),AND(LEFT(CE44,4)="LINE",NOT(ISNUMBER(FIND("STATUS",CE44))))))+4*(OR(ISNUMBER(FIND("WORKORDER",CE44)),AND(LEFT(CE44,2)="WO",OR(ISNUMBER(FIND("NUM",CE44)),RIGHT(CE44,2)="NO"))))+8*(LEFT(CE44,3)="SEQ")+16*(AND(LEFT(CE44,4)="ITEM",NOT(ISNUMBER(FIND("DESC",CE44)))))+32*(AND(ISNUMBER(FIND("DESC",CE44)),NOT(ISNUMBER(FIND("CAP",CE44)))))+64*(OR(RIGHT(CE44,5)="COUNT",RIGHT(CE44,2)="CT"))+128*(ISNUMBER(FIND("BULK",CE44)))+256*(ISNUMBER(FIND("SIZE",CE44)))+512*(LEFT(CE44,3)="CAP")+1024*(ISNUMBER(FIND("ALLERG",CE44)))+2048*(OR(ISNUMBER(FIND("REMARK",CE44)),ISNUMBER(FIND("COMMENT",CE44))))+4096*(OR(ISNUMBER(FIND("QTY",CE44)),ISNUMBER(FIND("QUANTITY",CE44))))+8192*(AND(OR(ISNUMBER(FIND("COMPLETE",CE44)),ISNUMBER(FIND("PCT",CE44)),ISNUMBER(FIND("PERCENT",CE44))),NOT(ISNUMBER(FIND("ACTUAL",CE44))),LEN(CE44)&lt;=16))+32768*(OR(ISNUMBER(FIND("DESIC",CE44)),ISNUMBER(FIND("DESSIC",CE44)))))</f>
        <v/>
      </c>
      <c r="CF179">
        <f>IF(CF44="",0,2*(OR(ISNUMBER(FIND("WORKCENTER",CF44)),AND(LEFT(CF44,4)="LINE",NOT(ISNUMBER(FIND("STATUS",CF44))))))+4*(OR(ISNUMBER(FIND("WORKORDER",CF44)),AND(LEFT(CF44,2)="WO",OR(ISNUMBER(FIND("NUM",CF44)),RIGHT(CF44,2)="NO"))))+8*(LEFT(CF44,3)="SEQ")+16*(AND(LEFT(CF44,4)="ITEM",NOT(ISNUMBER(FIND("DESC",CF44)))))+32*(AND(ISNUMBER(FIND("DESC",CF44)),NOT(ISNUMBER(FIND("CAP",CF44)))))+64*(OR(RIGHT(CF44,5)="COUNT",RIGHT(CF44,2)="CT"))+128*(ISNUMBER(FIND("BULK",CF44)))+256*(ISNUMBER(FIND("SIZE",CF44)))+512*(LEFT(CF44,3)="CAP")+1024*(ISNUMBER(FIND("ALLERG",CF44)))+2048*(OR(ISNUMBER(FIND("REMARK",CF44)),ISNUMBER(FIND("COMMENT",CF44))))+4096*(OR(ISNUMBER(FIND("QTY",CF44)),ISNUMBER(FIND("QUANTITY",CF44))))+8192*(AND(OR(ISNUMBER(FIND("COMPLETE",CF44)),ISNUMBER(FIND("PCT",CF44)),ISNUMBER(FIND("PERCENT",CF44))),NOT(ISNUMBER(FIND("ACTUAL",CF44))),LEN(CF44)&lt;=16))+32768*(OR(ISNUMBER(FIND("DESIC",CF44)),ISNUMBER(FIND("DESSIC",CF44)))))</f>
        <v/>
      </c>
      <c r="DA179" t="n">
        <v>175</v>
      </c>
      <c r="DB179">
        <f>IF($B$37=0,"",IFERROR(TRIM(SUBSTITUTE(SUBSTITUTE(SUBSTITUTE(SUBSTITUTE(INDEX(PASTE_ALL,175,$B$37)," "," "),CHAR(9)," "),CHAR(10)," "),CHAR(13)," ")),""))</f>
        <v/>
      </c>
      <c r="DC179">
        <f>IF(AND(175&gt;HEADER_ROW,UPPER(DB179)="LEGEND"),1,0)</f>
        <v/>
      </c>
      <c r="DE179" t="n">
        <v>175</v>
      </c>
      <c r="DF179">
        <f>HEADER_ROW+$DE179</f>
        <v/>
      </c>
      <c r="DG179">
        <f>IF(AND($DF179&lt;=1000,$DF179&lt;$B$8),1,0)</f>
        <v/>
      </c>
      <c r="DH179">
        <f>IF($DG179=1,IFERROR(INDEX($DB$5:$DB$1004,$DF179),""),"")</f>
        <v/>
      </c>
      <c r="DI179">
        <f>IF(AND($DG179=1,$DH179&lt;&gt;""),IFERROR(SUBSTITUTE(SUBSTITUTE(TRIM(SUBSTITUTE(SUBSTITUTE(SUBSTITUTE(SUBSTITUTE(IFERROR(INDEX(PASTE_ALL,$DF179,1)&amp;"","")&amp;"␟"&amp;IFERROR(INDEX(PASTE_ALL,$DF179,2)&amp;"","")&amp;"␟"&amp;IFERROR(INDEX(PASTE_ALL,$DF179,3)&amp;"","")&amp;"␟"&amp;IFERROR(INDEX(PASTE_ALL,$DF179,4)&amp;"","")&amp;"␟"&amp;IFERROR(INDEX(PASTE_ALL,$DF179,5)&amp;"","")&amp;"␟"&amp;IFERROR(INDEX(PASTE_ALL,$DF179,6)&amp;"","")&amp;"␟"&amp;IFERROR(INDEX(PASTE_ALL,$DF179,7)&amp;"","")&amp;"␟"&amp;IFERROR(INDEX(PASTE_ALL,$DF179,8)&amp;"","")&amp;"␟"&amp;IFERROR(INDEX(PASTE_ALL,$DF179,9)&amp;"","")&amp;"␟"&amp;IFERROR(INDEX(PASTE_ALL,$DF179,10)&amp;"","")&amp;"␟"&amp;IFERROR(INDEX(PASTE_ALL,$DF179,11)&amp;"","")&amp;"␟"&amp;IFERROR(INDEX(PASTE_ALL,$DF179,12)&amp;"","")&amp;"␟"&amp;IFERROR(INDEX(PASTE_ALL,$DF179,13)&amp;"","")&amp;"␟"&amp;IFERROR(INDEX(PASTE_ALL,$DF179,14)&amp;"","")&amp;"␟"&amp;IFERROR(INDEX(PASTE_ALL,$DF179,15)&amp;"","")&amp;"␟"&amp;IFERROR(INDEX(PASTE_ALL,$DF179,16)&amp;"","")&amp;"␟"&amp;IFERROR(INDEX(PASTE_ALL,$DF179,17)&amp;"","")&amp;"␟"&amp;IFERROR(INDEX(PASTE_ALL,$DF179,18)&amp;"","")&amp;"␟"&amp;IFERROR(INDEX(PASTE_ALL,$DF179,19)&amp;"","")&amp;"␟"&amp;IFERROR(INDEX(PASTE_ALL,$DF179,20)&amp;"","")&amp;"␟"&amp;IFERROR(INDEX(PASTE_ALL,$DF179,21)&amp;"","")&amp;"␟"&amp;IFERROR(INDEX(PASTE_ALL,$DF179,22)&amp;"","")&amp;"␟"&amp;IFERROR(INDEX(PASTE_ALL,$DF179,23)&amp;"","")&amp;"␟"&amp;IFERROR(INDEX(PASTE_ALL,$DF179,24)&amp;"","")&amp;"␟"&amp;IFERROR(INDEX(PASTE_ALL,$DF179,25)&amp;"","")&amp;"␟"&amp;IFERROR(INDEX(PASTE_ALL,$DF179,26)&amp;"","")&amp;"␟"&amp;IFERROR(INDEX(PASTE_ALL,$DF179,27)&amp;"","")&amp;"␟"&amp;IFERROR(INDEX(PASTE_ALL,$DF179,28)&amp;"","")&amp;"␟"&amp;IFERROR(INDEX(PASTE_ALL,$DF179,29)&amp;"","")&amp;"␟"&amp;IFERROR(INDEX(PASTE_ALL,$DF179,30)&amp;"","")&amp;"␟"&amp;IFERROR(INDEX(PASTE_ALL,$DF179,31)&amp;"","")&amp;"␟"&amp;IFERROR(INDEX(PASTE_ALL,$DF179,32)&amp;"","")&amp;"␟"&amp;IFERROR(INDEX(PASTE_ALL,$DF179,33)&amp;"","")&amp;"␟"&amp;IFERROR(INDEX(PASTE_ALL,$DF179,34)&amp;"","")&amp;"␟"&amp;IFERROR(INDEX(PASTE_ALL,$DF179,35)&amp;"","")&amp;"␟"&amp;IFERROR(INDEX(PASTE_ALL,$DF179,36)&amp;"","")&amp;"␟"&amp;IFERROR(INDEX(PASTE_ALL,$DF179,37)&amp;"","")&amp;"␟"&amp;IFERROR(INDEX(PASTE_ALL,$DF179,38)&amp;"","")&amp;"␟"&amp;IFERROR(INDEX(PASTE_ALL,$DF179,39)&amp;"","")&amp;"␟"&amp;IFERROR(INDEX(PASTE_ALL,$DF179,40)&amp;"","")&amp;"␟"&amp;IFERROR(INDEX(PASTE_ALL,$DF179,41)&amp;"","")&amp;"␟"&amp;IFERROR(INDEX(PASTE_ALL,$DF179,42)&amp;"","")&amp;"␟"&amp;IFERROR(INDEX(PASTE_ALL,$DF179,43)&amp;"","")&amp;"␟"&amp;IFERROR(INDEX(PASTE_ALL,$DF179,44)&amp;"","")&amp;"␟"&amp;IFERROR(INDEX(PASTE_ALL,$DF179,45)&amp;"","")&amp;"␟"&amp;IFERROR(INDEX(PASTE_ALL,$DF179,46)&amp;"","")&amp;"␟"&amp;IFERROR(INDEX(PASTE_ALL,$DF179,47)&amp;"","")&amp;"␟"&amp;IFERROR(INDEX(PASTE_ALL,$DF179,48)&amp;"","")&amp;"␟"&amp;IFERROR(INDEX(PASTE_ALL,$DF179,49)&amp;"","")&amp;"␟"&amp;IFERROR(INDEX(PASTE_ALL,$DF179,50)&amp;"","")&amp;"␟"&amp;IFERROR(INDEX(PASTE_ALL,$DF179,51)&amp;"","")&amp;"␟"&amp;IFERROR(INDEX(PASTE_ALL,$DF179,52)&amp;"","")&amp;"␟"&amp;IFERROR(INDEX(PASTE_ALL,$DF179,53)&amp;"","")&amp;"␟"&amp;IFERROR(INDEX(PASTE_ALL,$DF179,54)&amp;"","")&amp;"␟"&amp;IFERROR(INDEX(PASTE_ALL,$DF179,55)&amp;"","")&amp;"␟"&amp;IFERROR(INDEX(PASTE_ALL,$DF179,56)&amp;"","")&amp;"␟"&amp;IFERROR(INDEX(PASTE_ALL,$DF179,57)&amp;"","")&amp;"␟"&amp;IFERROR(INDEX(PASTE_ALL,$DF179,58)&amp;"","")&amp;"␟"&amp;IFERROR(INDEX(PASTE_ALL,$DF179,59)&amp;"","")&amp;"␟"&amp;IFERROR(INDEX(PASTE_ALL,$DF179,60)&amp;"","")," "," "),CHAR(9)," "),CHAR(10)," "),CHAR(13)," "))," ␟","␟"),"␟ ","␟"),"#"&amp;$DE179),"")</f>
        <v/>
      </c>
      <c r="DJ179">
        <f>IF($DI179="",0,IF(SUMPRODUCT(--EXACT($DI$4:DI178,$DI179))&gt;0,1,0))</f>
        <v/>
      </c>
      <c r="DK179">
        <f>IF(AND($DI179&lt;&gt;"",$DJ179=0),1,0)</f>
        <v/>
      </c>
      <c r="DL179">
        <f>DL178+$DK179</f>
        <v/>
      </c>
      <c r="DM179">
        <f>IF(AND($DK179=1,$DL179&lt;=600),1,0)</f>
        <v/>
      </c>
      <c r="DN179">
        <f>IF($DM179=0,"",IF($L$6=0,"",IFERROR(IF(ISNUMBER(INDEX(PASTE_ALL,$DF179,$L$6)),INDEX(PASTE_ALL,$DF179,$L$6),TRIM(SUBSTITUTE(SUBSTITUTE(SUBSTITUTE(SUBSTITUTE(INDEX(PASTE_ALL,$DF179,$L$6)," "," "),CHAR(9)," "),CHAR(10)," "),CHAR(13)," "))),"")))</f>
        <v/>
      </c>
      <c r="DO179">
        <f>IF($DM179=0,"",IF($L$7=0,"",IFERROR(IF(ISNUMBER(INDEX(PASTE_ALL,$DF179,$L$7)),INDEX(PASTE_ALL,$DF179,$L$7),TRIM(SUBSTITUTE(SUBSTITUTE(SUBSTITUTE(SUBSTITUTE(INDEX(PASTE_ALL,$DF179,$L$7)," "," "),CHAR(9)," "),CHAR(10)," "),CHAR(13)," "))),"")))</f>
        <v/>
      </c>
      <c r="DP179">
        <f>IF($DM179=0,"",IF($L$8=0,"",IFERROR(IF(ISNUMBER(INDEX(PASTE_ALL,$DF179,$L$8)),INDEX(PASTE_ALL,$DF179,$L$8),TRIM(SUBSTITUTE(SUBSTITUTE(SUBSTITUTE(SUBSTITUTE(INDEX(PASTE_ALL,$DF179,$L$8)," "," "),CHAR(9)," "),CHAR(10)," "),CHAR(13)," "))),"")))</f>
        <v/>
      </c>
      <c r="DQ179">
        <f>IF($DM179=0,"",IF($L$9=0,"",IFERROR(IF(ISNUMBER(INDEX(PASTE_ALL,$DF179,$L$9)),INDEX(PASTE_ALL,$DF179,$L$9),TRIM(SUBSTITUTE(SUBSTITUTE(SUBSTITUTE(SUBSTITUTE(INDEX(PASTE_ALL,$DF179,$L$9)," "," "),CHAR(9)," "),CHAR(10)," "),CHAR(13)," "))),"")))</f>
        <v/>
      </c>
      <c r="DR179">
        <f>IF($DM179=0,"",IF($L$10=0,"",IFERROR(IF(ISNUMBER(INDEX(PASTE_ALL,$DF179,$L$10)),INDEX(PASTE_ALL,$DF179,$L$10),TRIM(SUBSTITUTE(SUBSTITUTE(SUBSTITUTE(SUBSTITUTE(INDEX(PASTE_ALL,$DF179,$L$10)," "," "),CHAR(9)," "),CHAR(10)," "),CHAR(13)," "))),"")))</f>
        <v/>
      </c>
      <c r="DS179">
        <f>IF($DM179=0,"",IF($L$11=0,"",IFERROR(IF(ISNUMBER(INDEX(PASTE_ALL,$DF179,$L$11)),INDEX(PASTE_ALL,$DF179,$L$11),TRIM(SUBSTITUTE(SUBSTITUTE(SUBSTITUTE(SUBSTITUTE(INDEX(PASTE_ALL,$DF179,$L$11)," "," "),CHAR(9)," "),CHAR(10)," "),CHAR(13)," "))),"")))</f>
        <v/>
      </c>
      <c r="DT179">
        <f>IF($DM179=0,"",IF($L$12=0,"",IFERROR(IF(ISNUMBER(INDEX(PASTE_ALL,$DF179,$L$12)),INDEX(PASTE_ALL,$DF179,$L$12),TRIM(SUBSTITUTE(SUBSTITUTE(SUBSTITUTE(SUBSTITUTE(INDEX(PASTE_ALL,$DF179,$L$12)," "," "),CHAR(9)," "),CHAR(10)," "),CHAR(13)," "))),"")))</f>
        <v/>
      </c>
      <c r="DU179">
        <f>IF($DM179=0,"",IF($L$13=0,"",IFERROR(IF(ISNUMBER(INDEX(PASTE_ALL,$DF179,$L$13)),INDEX(PASTE_ALL,$DF179,$L$13),TRIM(SUBSTITUTE(SUBSTITUTE(SUBSTITUTE(SUBSTITUTE(INDEX(PASTE_ALL,$DF179,$L$13)," "," "),CHAR(9)," "),CHAR(10)," "),CHAR(13)," "))),"")))</f>
        <v/>
      </c>
      <c r="DV179">
        <f>IF($DM179=0,"",IF($L$14=0,"",IFERROR(IF(ISNUMBER(INDEX(PASTE_ALL,$DF179,$L$14)),INDEX(PASTE_ALL,$DF179,$L$14),TRIM(SUBSTITUTE(SUBSTITUTE(SUBSTITUTE(SUBSTITUTE(INDEX(PASTE_ALL,$DF179,$L$14)," "," "),CHAR(9)," "),CHAR(10)," "),CHAR(13)," "))),"")))</f>
        <v/>
      </c>
      <c r="DW179">
        <f>IF($DM179=0,"",IF($L$15=0,"",IFERROR(IF(ISNUMBER(INDEX(PASTE_ALL,$DF179,$L$15)),INDEX(PASTE_ALL,$DF179,$L$15),IF(SUMPRODUCT(--ISNUMBER(FIND({"A","B","C","D","E","F","G","H","I","J","K","L","M","N","O","P","Q","R","S","T","U","V","W","X","Y","Z","0","1","2","3","4","5","6","7","8","9"},UPPER(TRIM(SUBSTITUTE(SUBSTITUTE(SUBSTITUTE(SUBSTITUTE(INDEX(PASTE_ALL,$DF179,$L$15)," "," "),CHAR(9)," "),CHAR(10)," "),CHAR(13)," "))))))&gt;0,TRIM(SUBSTITUTE(SUBSTITUTE(SUBSTITUTE(SUBSTITUTE(INDEX(PASTE_ALL,$DF179,$L$15)," "," "),CHAR(9)," "),CHAR(10)," "),CHAR(13)," ")),"")),"")))</f>
        <v/>
      </c>
      <c r="DX179">
        <f>IF($DM179=0,"",IF($L$16=0,"",IFERROR(IF(ISNUMBER(INDEX(PASTE_ALL,$DF179,$L$16)),INDEX(PASTE_ALL,$DF179,$L$16),SUBSTITUTE(SUBSTITUTE(TRIM(SUBSTITUTE(SUBSTITUTE(SUBSTITUTE(SUBSTITUTE(INDEX(PASTE_ALL,$DF179,$L$16)," "," "),CHAR(9)," "),CHAR(10)," "),CHAR(13)," ")),",",""),"%","")),"")))</f>
        <v/>
      </c>
      <c r="DY179">
        <f>IF($DM179=0,"",IFERROR(IF(ISNUMBER($DX179),$DX179,IF($DX179="","",IF(TRIM($DX179)="",0,IF(AND(AND(SUBSTITUTE(SUBSTITUTE(SUBSTITUTE(SUBSTITUTE(SUBSTITUTE(SUBSTITUTE(SUBSTITUTE(SUBSTITUTE(SUBSTITUTE(SUBSTITUTE(SUBSTITUTE(SUBSTITUTE(SUBSTITUTE(SUBSTITUTE(UPPER(TRIM($DX179)),"0",""),"1",""),"2",""),"3",""),"4",""),"5",""),"6",""),"7",""),"8",""),"9",""),".",""),"+",""),"-",""),"E","")="",LEN(SUBSTITUTE(SUBSTITUTE(MID(UPPER(TRIM($DX179)),1+OR(LEFT(UPPER(TRIM($DX179)),1)="+",LEFT(UPPER(TRIM($DX179)),1)="-"),999),"E+","E"),"E-","E"))=LEN(SUBSTITUTE(SUBSTITUTE(SUBSTITUTE(SUBSTITUTE(MID(UPPER(TRIM($DX179)),1+OR(LEFT(UPPER(TRIM($DX179)),1)="+",LEFT(UPPER(TRIM($DX179)),1)="-"),999),"E+","E"),"E-","E"),"+",""),"-","")),LEN(UPPER(TRIM($DX179)))-LEN(SUBSTITUTE(UPPER(TRIM($DX179)),"E",""))&lt;2,LEN(UPPER(TRIM($DX179)))-LEN(SUBSTITUTE(UPPER(TRIM($DX179)),".",""))&lt;2,IFERROR(FIND(".",UPPER(TRIM($DX179))),0)&lt;IFERROR(FIND("E",UPPER(TRIM($DX179))),999)),ISNUMBER(VALUE(TRIM($DX179)))),VALUE(TRIM($DX179)),"")))),""))</f>
        <v/>
      </c>
      <c r="DZ179">
        <f>IF($DM179=0,"",IF($L$17=0,"",IFERROR(IF(ISNUMBER(INDEX(PASTE_ALL,$DF179,$L$17)),INDEX(PASTE_ALL,$DF179,$L$17),SUBSTITUTE(SUBSTITUTE(TRIM(SUBSTITUTE(SUBSTITUTE(SUBSTITUTE(SUBSTITUTE(INDEX(PASTE_ALL,$DF179,$L$17)," "," "),CHAR(9)," "),CHAR(10)," "),CHAR(13)," ")),",",""),"%","")),"")))</f>
        <v/>
      </c>
      <c r="EA179">
        <f>IF($DM179=0,"",IFERROR(IF(ISNUMBER($DZ179),$DZ179,IF($DZ179="","",IF(TRIM($DZ179)="",0,IF(AND(AND(SUBSTITUTE(SUBSTITUTE(SUBSTITUTE(SUBSTITUTE(SUBSTITUTE(SUBSTITUTE(SUBSTITUTE(SUBSTITUTE(SUBSTITUTE(SUBSTITUTE(SUBSTITUTE(SUBSTITUTE(SUBSTITUTE(SUBSTITUTE(UPPER(TRIM($DZ179)),"0",""),"1",""),"2",""),"3",""),"4",""),"5",""),"6",""),"7",""),"8",""),"9",""),".",""),"+",""),"-",""),"E","")="",LEN(SUBSTITUTE(SUBSTITUTE(MID(UPPER(TRIM($DZ179)),1+OR(LEFT(UPPER(TRIM($DZ179)),1)="+",LEFT(UPPER(TRIM($DZ179)),1)="-"),999),"E+","E"),"E-","E"))=LEN(SUBSTITUTE(SUBSTITUTE(SUBSTITUTE(SUBSTITUTE(MID(UPPER(TRIM($DZ179)),1+OR(LEFT(UPPER(TRIM($DZ179)),1)="+",LEFT(UPPER(TRIM($DZ179)),1)="-"),999),"E+","E"),"E-","E"),"+",""),"-","")),LEN(UPPER(TRIM($DZ179)))-LEN(SUBSTITUTE(UPPER(TRIM($DZ179)),"E",""))&lt;2,LEN(UPPER(TRIM($DZ179)))-LEN(SUBSTITUTE(UPPER(TRIM($DZ179)),".",""))&lt;2,IFERROR(FIND(".",UPPER(TRIM($DZ179))),0)&lt;IFERROR(FIND("E",UPPER(TRIM($DZ179))),999)),ISNUMBER(VALUE(TRIM($DZ179)))),VALUE(TRIM($DZ179)),"")))),""))</f>
        <v/>
      </c>
      <c r="EB179">
        <f>IF($DM179=0,"",IF($L$18=0,"",IFERROR(IF(UPPER(TRIM(SUBSTITUTE(SUBSTITUTE(SUBSTITUTE(SUBSTITUTE(INDEX(PASTE_ALL,$DF179,$L$18)," "," "),CHAR(9)," "),CHAR(10)," "),CHAR(13)," ")))="READY","Ready",IF(UPPER(TRIM(SUBSTITUTE(SUBSTITUTE(SUBSTITUTE(SUBSTITUTE(INDEX(PASTE_ALL,$DF179,$L$18)," "," "),CHAR(9)," "),CHAR(10)," "),CHAR(13)," ")))="PM","PM",IF(OR(UPPER(TRIM(SUBSTITUTE(SUBSTITUTE(SUBSTITUTE(SUBSTITUTE(INDEX(PASTE_ALL,$DF179,$L$18)," "," "),CHAR(9)," "),CHAR(10)," "),CHAR(13)," ")))="OT",UPPER(TRIM(SUBSTITUTE(SUBSTITUTE(SUBSTITUTE(SUBSTITUTE(INDEX(PASTE_ALL,$DF179,$L$18)," "," "),CHAR(9)," "),CHAR(10)," "),CHAR(13)," ")))="OVERTIME",UPPER(TRIM(SUBSTITUTE(SUBSTITUTE(SUBSTITUTE(SUBSTITUTE(INDEX(PASTE_ALL,$DF179,$L$18)," "," "),CHAR(9)," "),CHAR(10)," "),CHAR(13)," ")))="TRIAL"),"OT",TRIM(SUBSTITUTE(SUBSTITUTE(SUBSTITUTE(SUBSTITUTE(INDEX(PASTE_ALL,$DF179,$L$18)," "," "),CHAR(9)," "),CHAR(10)," "),CHAR(13)," "))))),"")))</f>
        <v/>
      </c>
      <c r="EC179">
        <f>IF($DM179=0,"",IF($L$19=0,"",IFERROR(IF(ISNUMBER(INDEX(PASTE_ALL,$DF179,$L$19)),INDEX(PASTE_ALL,$DF179,$L$19),TRIM(SUBSTITUTE(SUBSTITUTE(SUBSTITUTE(SUBSTITUTE(INDEX(PASTE_ALL,$DF179,$L$19)," "," "),CHAR(9)," "),CHAR(10)," "),CHAR(13)," "))),"")))</f>
        <v/>
      </c>
      <c r="ED179">
        <f>IF($DM179=0,"",MATCH(1,INDEX(EXACT($DH$5:DH179,$DH179)*$DM$5:DM179,0),0))</f>
        <v/>
      </c>
      <c r="EE179">
        <f>IF($DM179=0,0,IF($ED179=$DE179,1,0))</f>
        <v/>
      </c>
      <c r="EF179">
        <f>EF178+$EE179</f>
        <v/>
      </c>
      <c r="EG179">
        <f>IF($DM179=0,"",INDEX($EF$5:$EF$1003,$ED179))</f>
        <v/>
      </c>
      <c r="EH179">
        <f>IF($DM179=0,"",IF($DO179&lt;&gt;"","",IFERROR(LOOKUP(2,1/(($EG$4:EG178=$EG179)*($DO$4:DO178&lt;&gt;"")),$DO$4:DO178),"")))</f>
        <v/>
      </c>
      <c r="EI179">
        <f>IF($DM179=0,"",IF($DO179&lt;&gt;"",$DO179,$EH179))</f>
        <v/>
      </c>
      <c r="EJ179">
        <f>IF($DM179=0,"",IF($EI179="",0,IF(OR(ISNUMBER($EI179),AND(AND(SUBSTITUTE(SUBSTITUTE(SUBSTITUTE(SUBSTITUTE(SUBSTITUTE(SUBSTITUTE(SUBSTITUTE(SUBSTITUTE(SUBSTITUTE(SUBSTITUTE(SUBSTITUTE(SUBSTITUTE(SUBSTITUTE(SUBSTITUTE(UPPER($EI179),"0",""),"1",""),"2",""),"3",""),"4",""),"5",""),"6",""),"7",""),"8",""),"9",""),".",""),"+",""),"-",""),"E","")="",LEN(SUBSTITUTE(SUBSTITUTE(MID(UPPER($EI179),1+OR(LEFT(UPPER($EI179),1)="+",LEFT(UPPER($EI179),1)="-"),999),"E+","E"),"E-","E"))=LEN(SUBSTITUTE(SUBSTITUTE(SUBSTITUTE(SUBSTITUTE(MID(UPPER($EI179),1+OR(LEFT(UPPER($EI179),1)="+",LEFT(UPPER($EI179),1)="-"),999),"E+","E"),"E-","E"),"+",""),"-","")),LEN(UPPER($EI179))-LEN(SUBSTITUTE(UPPER($EI179),"E",""))&lt;2,LEN(UPPER($EI179))-LEN(SUBSTITUTE(UPPER($EI179),".",""))&lt;2,IFERROR(FIND(".",UPPER($EI179)),0)&lt;IFERROR(FIND("E",UPPER($EI179)),999)),ISNUMBER(VALUE($EI179)))),1,2)))</f>
        <v/>
      </c>
      <c r="EK179">
        <f>IF($DM179=0,"",IF($EJ179=1,IF(ISNUMBER($EI179),$EI179,VALUE($EI179)),IF($EJ179=2,$DE179,0)))</f>
        <v/>
      </c>
      <c r="EL179">
        <f>IF($DM179=0,"",COUNTIF($EG$5:$EG$1003,"&lt;"&amp;$EG179)+SUMPRODUCT(($EG$5:$EG$1003=$EG179)*(($EJ$5:$EJ$1003&lt;$EJ179)+($EJ$5:$EJ$1003=$EJ179)*(($EK$5:$EK$1003&lt;$EK179)+($EK$5:$EK$1003=$EK179)*($DE$5:$DE$1003&lt;$DE179))))+1)</f>
        <v/>
      </c>
      <c r="EM179">
        <f>IF($DM179=0,"",$EL179+$EG179-1)</f>
        <v/>
      </c>
      <c r="EN179">
        <f>IF($DM179=0,0,IFERROR(MATCH(1,INDEX(--(TRIM(SUBSTITUTE(SUBSTITUTE(SUBSTITUTE(SUBSTITUTE(LINES_NAME&amp;""," "," "),CHAR(9)," "),CHAR(10)," "),CHAR(13)," "))=$DH179),0),0),0))</f>
        <v/>
      </c>
      <c r="EO179">
        <f>IF($EN179=0,0,IF(OR(UPPER(TRIM(INDEX(LINES_SCHEDULED,$EN179)&amp;""))="YES",UPPER(TRIM(INDEX(LINES_SCHEDULED,$EN179)&amp;""))="Y",UPPER(TRIM(INDEX(LINES_SCHEDULED,$EN179)&amp;""))="X"),1,0))</f>
        <v/>
      </c>
      <c r="EP179">
        <f>IF($DM179=0,"",IF(COUNTIFS($EG$5:$EG$1003,$EG179,$EB$5:$EB$1003,"Ready")&gt;0,"READY",IF(COUNTIFS($EG$5:$EG$1003,$EG179,$EB$5:$EB$1003,"PM")&gt;0,"PM",IF(COUNTIFS($EG$5:$EG$1003,$EG179,$EB$5:$EB$1003,"OT")&gt;0,"OT",""))))</f>
        <v/>
      </c>
      <c r="EQ179">
        <f>IF($EN179=0,"",UPPER(TRIM(INDEX(LINES_STATUS,$EN179)&amp;"")))</f>
        <v/>
      </c>
      <c r="ER179">
        <f>IF($DM179=0,"",IF(OR($EQ179="READY",$EQ179="PM",$EQ179="OT"),$EQ179,$EP179))</f>
        <v/>
      </c>
      <c r="ES179">
        <f>IF($DM179=0,"",IF(AND($DV179&lt;&gt;"",UPPER($DV179)&lt;&gt;"N"),"allergen",IF(ISNUMBER(SEARCH("oil",$DQ179)),"oil",IF(OR(EXACT($DS179,"A662"),EXACT($DS179,"A624")),"bulk",""))))</f>
        <v/>
      </c>
      <c r="ET179">
        <f>IF($DM179=0,"",IF(OR($EA179="",$EA179=0),"",$EA179/100))</f>
        <v/>
      </c>
      <c r="EU179">
        <f>IF(OR($ET179="",$DY179=""),"",INT($DY179*(1-$ET179)+0.5))</f>
        <v/>
      </c>
      <c r="EW179" t="n">
        <v>175</v>
      </c>
      <c r="EX179">
        <f>IFERROR(MATCH($EW179,$EM$5:$EM$1003,0),0)</f>
        <v/>
      </c>
      <c r="EY179">
        <f>IF($EW179&gt;$B$12,"",IF($EX179&gt;0,"row","spacer"))</f>
        <v/>
      </c>
      <c r="EZ179">
        <f>IF(AND($EY179="row",$EY178&lt;&gt;"row"),1,0)</f>
        <v/>
      </c>
      <c r="FA179">
        <f>IF(AND($EY179="row",$EY180&lt;&gt;"row"),1,0)</f>
        <v/>
      </c>
      <c r="FB179">
        <f>IF($EZ179=1,IFERROR(IF(ISNUMBER(INDEX(PASTE_ALL,INDEX($DF$5:$DF$1003,$EX179),$B$37)),INDEX(PASTE_ALL,INDEX($DF$5:$DF$1003,$EX179),$B$37),INDEX($DH$5:$DH$1003,$EX179)),INDEX($DH$5:$DH$1003,$EX179)),"")</f>
        <v/>
      </c>
      <c r="FC179">
        <f>IF($EY179="row",INDEX($ER$5:$ER$1003,$EX179),"")</f>
        <v/>
      </c>
      <c r="FD179">
        <f>IF($EY179="row",INDEX($DN$5:$DN$1003,$EX179),"")</f>
        <v/>
      </c>
      <c r="FE179">
        <f>IF($EY179="row",INDEX($DO$5:$DO$1003,$EX179),"")</f>
        <v/>
      </c>
      <c r="FF179">
        <f>IF($EY179="row",INDEX($DP$5:$DP$1003,$EX179),"")</f>
        <v/>
      </c>
      <c r="FG179">
        <f>IF($EY179="row",INDEX($DQ$5:$DQ$1003,$EX179),"")</f>
        <v/>
      </c>
      <c r="FH179">
        <f>IF($EY179="row",INDEX($DR$5:$DR$1003,$EX179),"")</f>
        <v/>
      </c>
      <c r="FI179">
        <f>IF($EY179="row",INDEX($DS$5:$DS$1003,$EX179),"")</f>
        <v/>
      </c>
      <c r="FJ179">
        <f>IF($EY179="row",INDEX($DT$5:$DT$1003,$EX179),"")</f>
        <v/>
      </c>
      <c r="FK179">
        <f>IF($EY179="row",INDEX($DU$5:$DU$1003,$EX179),"")</f>
        <v/>
      </c>
      <c r="FL179">
        <f>IF($EY179="row",INDEX($DV$5:$DV$1003,$EX179),"")</f>
        <v/>
      </c>
      <c r="FM179">
        <f>IF($EY179="row",INDEX($DW$5:$DW$1003,$EX179),"")</f>
        <v/>
      </c>
      <c r="FN179">
        <f>IF($EY179="row",INDEX($DY$5:$DY$1003,$EX179),"")</f>
        <v/>
      </c>
      <c r="FO179">
        <f>IF($EY179="row",INDEX($EA$5:$EA$1003,$EX179),"")</f>
        <v/>
      </c>
      <c r="FP179">
        <f>IF($EY179="row",INDEX($EC$5:$EC$1003,$EX179),"")</f>
        <v/>
      </c>
      <c r="FQ179">
        <f>IF($EY179="row",INDEX($ET$5:$ET$1003,$EX179),"")</f>
        <v/>
      </c>
      <c r="FR179">
        <f>IF($EY179="row",INDEX($EU$5:$EU$1003,$EX179),"")</f>
        <v/>
      </c>
      <c r="FS179">
        <f>IF(AND($EY179="row",$EY178="row"),IF(OR(INDEX($DT$5:$DT$1003,$EX178)="",INDEX($DT$5:$DT$1003,$EX179)=""),"",IF(NOT(EXACT(INDEX($DT$5:$DT$1003,$EX178),INDEX($DT$5:$DT$1003,$EX179))),"S4",IF(NOT(EXACT(INDEX($DS$5:$DS$1003,$EX178),INDEX($DS$5:$DS$1003,$EX179))),"S3",IF(NOT(EXACT(INDEX($DR$5:$DR$1003,$EX178),INDEX($DR$5:$DR$1003,$EX179))),"S1 Count Change","S1")))),"")</f>
        <v/>
      </c>
      <c r="FT179">
        <f>IF($EY179="row",INDEX($ES$5:$ES$1003,$EX179),"")</f>
        <v/>
      </c>
      <c r="FU179">
        <f>IF($EY179="row",INDEX($EO$5:$EO$1003,$EX179),0)</f>
        <v/>
      </c>
      <c r="FV179">
        <f>IF($FS179="S1 Count Change",1,0)</f>
        <v/>
      </c>
    </row>
    <row r="180">
      <c r="DA180" t="n">
        <v>176</v>
      </c>
      <c r="DB180">
        <f>IF($B$37=0,"",IFERROR(TRIM(SUBSTITUTE(SUBSTITUTE(SUBSTITUTE(SUBSTITUTE(INDEX(PASTE_ALL,176,$B$37)," "," "),CHAR(9)," "),CHAR(10)," "),CHAR(13)," ")),""))</f>
        <v/>
      </c>
      <c r="DC180">
        <f>IF(AND(176&gt;HEADER_ROW,UPPER(DB180)="LEGEND"),1,0)</f>
        <v/>
      </c>
      <c r="DE180" t="n">
        <v>176</v>
      </c>
      <c r="DF180">
        <f>HEADER_ROW+$DE180</f>
        <v/>
      </c>
      <c r="DG180">
        <f>IF(AND($DF180&lt;=1000,$DF180&lt;$B$8),1,0)</f>
        <v/>
      </c>
      <c r="DH180">
        <f>IF($DG180=1,IFERROR(INDEX($DB$5:$DB$1004,$DF180),""),"")</f>
        <v/>
      </c>
      <c r="DI180">
        <f>IF(AND($DG180=1,$DH180&lt;&gt;""),IFERROR(SUBSTITUTE(SUBSTITUTE(TRIM(SUBSTITUTE(SUBSTITUTE(SUBSTITUTE(SUBSTITUTE(IFERROR(INDEX(PASTE_ALL,$DF180,1)&amp;"","")&amp;"␟"&amp;IFERROR(INDEX(PASTE_ALL,$DF180,2)&amp;"","")&amp;"␟"&amp;IFERROR(INDEX(PASTE_ALL,$DF180,3)&amp;"","")&amp;"␟"&amp;IFERROR(INDEX(PASTE_ALL,$DF180,4)&amp;"","")&amp;"␟"&amp;IFERROR(INDEX(PASTE_ALL,$DF180,5)&amp;"","")&amp;"␟"&amp;IFERROR(INDEX(PASTE_ALL,$DF180,6)&amp;"","")&amp;"␟"&amp;IFERROR(INDEX(PASTE_ALL,$DF180,7)&amp;"","")&amp;"␟"&amp;IFERROR(INDEX(PASTE_ALL,$DF180,8)&amp;"","")&amp;"␟"&amp;IFERROR(INDEX(PASTE_ALL,$DF180,9)&amp;"","")&amp;"␟"&amp;IFERROR(INDEX(PASTE_ALL,$DF180,10)&amp;"","")&amp;"␟"&amp;IFERROR(INDEX(PASTE_ALL,$DF180,11)&amp;"","")&amp;"␟"&amp;IFERROR(INDEX(PASTE_ALL,$DF180,12)&amp;"","")&amp;"␟"&amp;IFERROR(INDEX(PASTE_ALL,$DF180,13)&amp;"","")&amp;"␟"&amp;IFERROR(INDEX(PASTE_ALL,$DF180,14)&amp;"","")&amp;"␟"&amp;IFERROR(INDEX(PASTE_ALL,$DF180,15)&amp;"","")&amp;"␟"&amp;IFERROR(INDEX(PASTE_ALL,$DF180,16)&amp;"","")&amp;"␟"&amp;IFERROR(INDEX(PASTE_ALL,$DF180,17)&amp;"","")&amp;"␟"&amp;IFERROR(INDEX(PASTE_ALL,$DF180,18)&amp;"","")&amp;"␟"&amp;IFERROR(INDEX(PASTE_ALL,$DF180,19)&amp;"","")&amp;"␟"&amp;IFERROR(INDEX(PASTE_ALL,$DF180,20)&amp;"","")&amp;"␟"&amp;IFERROR(INDEX(PASTE_ALL,$DF180,21)&amp;"","")&amp;"␟"&amp;IFERROR(INDEX(PASTE_ALL,$DF180,22)&amp;"","")&amp;"␟"&amp;IFERROR(INDEX(PASTE_ALL,$DF180,23)&amp;"","")&amp;"␟"&amp;IFERROR(INDEX(PASTE_ALL,$DF180,24)&amp;"","")&amp;"␟"&amp;IFERROR(INDEX(PASTE_ALL,$DF180,25)&amp;"","")&amp;"␟"&amp;IFERROR(INDEX(PASTE_ALL,$DF180,26)&amp;"","")&amp;"␟"&amp;IFERROR(INDEX(PASTE_ALL,$DF180,27)&amp;"","")&amp;"␟"&amp;IFERROR(INDEX(PASTE_ALL,$DF180,28)&amp;"","")&amp;"␟"&amp;IFERROR(INDEX(PASTE_ALL,$DF180,29)&amp;"","")&amp;"␟"&amp;IFERROR(INDEX(PASTE_ALL,$DF180,30)&amp;"","")&amp;"␟"&amp;IFERROR(INDEX(PASTE_ALL,$DF180,31)&amp;"","")&amp;"␟"&amp;IFERROR(INDEX(PASTE_ALL,$DF180,32)&amp;"","")&amp;"␟"&amp;IFERROR(INDEX(PASTE_ALL,$DF180,33)&amp;"","")&amp;"␟"&amp;IFERROR(INDEX(PASTE_ALL,$DF180,34)&amp;"","")&amp;"␟"&amp;IFERROR(INDEX(PASTE_ALL,$DF180,35)&amp;"","")&amp;"␟"&amp;IFERROR(INDEX(PASTE_ALL,$DF180,36)&amp;"","")&amp;"␟"&amp;IFERROR(INDEX(PASTE_ALL,$DF180,37)&amp;"","")&amp;"␟"&amp;IFERROR(INDEX(PASTE_ALL,$DF180,38)&amp;"","")&amp;"␟"&amp;IFERROR(INDEX(PASTE_ALL,$DF180,39)&amp;"","")&amp;"␟"&amp;IFERROR(INDEX(PASTE_ALL,$DF180,40)&amp;"","")&amp;"␟"&amp;IFERROR(INDEX(PASTE_ALL,$DF180,41)&amp;"","")&amp;"␟"&amp;IFERROR(INDEX(PASTE_ALL,$DF180,42)&amp;"","")&amp;"␟"&amp;IFERROR(INDEX(PASTE_ALL,$DF180,43)&amp;"","")&amp;"␟"&amp;IFERROR(INDEX(PASTE_ALL,$DF180,44)&amp;"","")&amp;"␟"&amp;IFERROR(INDEX(PASTE_ALL,$DF180,45)&amp;"","")&amp;"␟"&amp;IFERROR(INDEX(PASTE_ALL,$DF180,46)&amp;"","")&amp;"␟"&amp;IFERROR(INDEX(PASTE_ALL,$DF180,47)&amp;"","")&amp;"␟"&amp;IFERROR(INDEX(PASTE_ALL,$DF180,48)&amp;"","")&amp;"␟"&amp;IFERROR(INDEX(PASTE_ALL,$DF180,49)&amp;"","")&amp;"␟"&amp;IFERROR(INDEX(PASTE_ALL,$DF180,50)&amp;"","")&amp;"␟"&amp;IFERROR(INDEX(PASTE_ALL,$DF180,51)&amp;"","")&amp;"␟"&amp;IFERROR(INDEX(PASTE_ALL,$DF180,52)&amp;"","")&amp;"␟"&amp;IFERROR(INDEX(PASTE_ALL,$DF180,53)&amp;"","")&amp;"␟"&amp;IFERROR(INDEX(PASTE_ALL,$DF180,54)&amp;"","")&amp;"␟"&amp;IFERROR(INDEX(PASTE_ALL,$DF180,55)&amp;"","")&amp;"␟"&amp;IFERROR(INDEX(PASTE_ALL,$DF180,56)&amp;"","")&amp;"␟"&amp;IFERROR(INDEX(PASTE_ALL,$DF180,57)&amp;"","")&amp;"␟"&amp;IFERROR(INDEX(PASTE_ALL,$DF180,58)&amp;"","")&amp;"␟"&amp;IFERROR(INDEX(PASTE_ALL,$DF180,59)&amp;"","")&amp;"␟"&amp;IFERROR(INDEX(PASTE_ALL,$DF180,60)&amp;"","")," "," "),CHAR(9)," "),CHAR(10)," "),CHAR(13)," "))," ␟","␟"),"␟ ","␟"),"#"&amp;$DE180),"")</f>
        <v/>
      </c>
      <c r="DJ180">
        <f>IF($DI180="",0,IF(SUMPRODUCT(--EXACT($DI$4:DI179,$DI180))&gt;0,1,0))</f>
        <v/>
      </c>
      <c r="DK180">
        <f>IF(AND($DI180&lt;&gt;"",$DJ180=0),1,0)</f>
        <v/>
      </c>
      <c r="DL180">
        <f>DL179+$DK180</f>
        <v/>
      </c>
      <c r="DM180">
        <f>IF(AND($DK180=1,$DL180&lt;=600),1,0)</f>
        <v/>
      </c>
      <c r="DN180">
        <f>IF($DM180=0,"",IF($L$6=0,"",IFERROR(IF(ISNUMBER(INDEX(PASTE_ALL,$DF180,$L$6)),INDEX(PASTE_ALL,$DF180,$L$6),TRIM(SUBSTITUTE(SUBSTITUTE(SUBSTITUTE(SUBSTITUTE(INDEX(PASTE_ALL,$DF180,$L$6)," "," "),CHAR(9)," "),CHAR(10)," "),CHAR(13)," "))),"")))</f>
        <v/>
      </c>
      <c r="DO180">
        <f>IF($DM180=0,"",IF($L$7=0,"",IFERROR(IF(ISNUMBER(INDEX(PASTE_ALL,$DF180,$L$7)),INDEX(PASTE_ALL,$DF180,$L$7),TRIM(SUBSTITUTE(SUBSTITUTE(SUBSTITUTE(SUBSTITUTE(INDEX(PASTE_ALL,$DF180,$L$7)," "," "),CHAR(9)," "),CHAR(10)," "),CHAR(13)," "))),"")))</f>
        <v/>
      </c>
      <c r="DP180">
        <f>IF($DM180=0,"",IF($L$8=0,"",IFERROR(IF(ISNUMBER(INDEX(PASTE_ALL,$DF180,$L$8)),INDEX(PASTE_ALL,$DF180,$L$8),TRIM(SUBSTITUTE(SUBSTITUTE(SUBSTITUTE(SUBSTITUTE(INDEX(PASTE_ALL,$DF180,$L$8)," "," "),CHAR(9)," "),CHAR(10)," "),CHAR(13)," "))),"")))</f>
        <v/>
      </c>
      <c r="DQ180">
        <f>IF($DM180=0,"",IF($L$9=0,"",IFERROR(IF(ISNUMBER(INDEX(PASTE_ALL,$DF180,$L$9)),INDEX(PASTE_ALL,$DF180,$L$9),TRIM(SUBSTITUTE(SUBSTITUTE(SUBSTITUTE(SUBSTITUTE(INDEX(PASTE_ALL,$DF180,$L$9)," "," "),CHAR(9)," "),CHAR(10)," "),CHAR(13)," "))),"")))</f>
        <v/>
      </c>
      <c r="DR180">
        <f>IF($DM180=0,"",IF($L$10=0,"",IFERROR(IF(ISNUMBER(INDEX(PASTE_ALL,$DF180,$L$10)),INDEX(PASTE_ALL,$DF180,$L$10),TRIM(SUBSTITUTE(SUBSTITUTE(SUBSTITUTE(SUBSTITUTE(INDEX(PASTE_ALL,$DF180,$L$10)," "," "),CHAR(9)," "),CHAR(10)," "),CHAR(13)," "))),"")))</f>
        <v/>
      </c>
      <c r="DS180">
        <f>IF($DM180=0,"",IF($L$11=0,"",IFERROR(IF(ISNUMBER(INDEX(PASTE_ALL,$DF180,$L$11)),INDEX(PASTE_ALL,$DF180,$L$11),TRIM(SUBSTITUTE(SUBSTITUTE(SUBSTITUTE(SUBSTITUTE(INDEX(PASTE_ALL,$DF180,$L$11)," "," "),CHAR(9)," "),CHAR(10)," "),CHAR(13)," "))),"")))</f>
        <v/>
      </c>
      <c r="DT180">
        <f>IF($DM180=0,"",IF($L$12=0,"",IFERROR(IF(ISNUMBER(INDEX(PASTE_ALL,$DF180,$L$12)),INDEX(PASTE_ALL,$DF180,$L$12),TRIM(SUBSTITUTE(SUBSTITUTE(SUBSTITUTE(SUBSTITUTE(INDEX(PASTE_ALL,$DF180,$L$12)," "," "),CHAR(9)," "),CHAR(10)," "),CHAR(13)," "))),"")))</f>
        <v/>
      </c>
      <c r="DU180">
        <f>IF($DM180=0,"",IF($L$13=0,"",IFERROR(IF(ISNUMBER(INDEX(PASTE_ALL,$DF180,$L$13)),INDEX(PASTE_ALL,$DF180,$L$13),TRIM(SUBSTITUTE(SUBSTITUTE(SUBSTITUTE(SUBSTITUTE(INDEX(PASTE_ALL,$DF180,$L$13)," "," "),CHAR(9)," "),CHAR(10)," "),CHAR(13)," "))),"")))</f>
        <v/>
      </c>
      <c r="DV180">
        <f>IF($DM180=0,"",IF($L$14=0,"",IFERROR(IF(ISNUMBER(INDEX(PASTE_ALL,$DF180,$L$14)),INDEX(PASTE_ALL,$DF180,$L$14),TRIM(SUBSTITUTE(SUBSTITUTE(SUBSTITUTE(SUBSTITUTE(INDEX(PASTE_ALL,$DF180,$L$14)," "," "),CHAR(9)," "),CHAR(10)," "),CHAR(13)," "))),"")))</f>
        <v/>
      </c>
      <c r="DW180">
        <f>IF($DM180=0,"",IF($L$15=0,"",IFERROR(IF(ISNUMBER(INDEX(PASTE_ALL,$DF180,$L$15)),INDEX(PASTE_ALL,$DF180,$L$15),IF(SUMPRODUCT(--ISNUMBER(FIND({"A","B","C","D","E","F","G","H","I","J","K","L","M","N","O","P","Q","R","S","T","U","V","W","X","Y","Z","0","1","2","3","4","5","6","7","8","9"},UPPER(TRIM(SUBSTITUTE(SUBSTITUTE(SUBSTITUTE(SUBSTITUTE(INDEX(PASTE_ALL,$DF180,$L$15)," "," "),CHAR(9)," "),CHAR(10)," "),CHAR(13)," "))))))&gt;0,TRIM(SUBSTITUTE(SUBSTITUTE(SUBSTITUTE(SUBSTITUTE(INDEX(PASTE_ALL,$DF180,$L$15)," "," "),CHAR(9)," "),CHAR(10)," "),CHAR(13)," ")),"")),"")))</f>
        <v/>
      </c>
      <c r="DX180">
        <f>IF($DM180=0,"",IF($L$16=0,"",IFERROR(IF(ISNUMBER(INDEX(PASTE_ALL,$DF180,$L$16)),INDEX(PASTE_ALL,$DF180,$L$16),SUBSTITUTE(SUBSTITUTE(TRIM(SUBSTITUTE(SUBSTITUTE(SUBSTITUTE(SUBSTITUTE(INDEX(PASTE_ALL,$DF180,$L$16)," "," "),CHAR(9)," "),CHAR(10)," "),CHAR(13)," ")),",",""),"%","")),"")))</f>
        <v/>
      </c>
      <c r="DY180">
        <f>IF($DM180=0,"",IFERROR(IF(ISNUMBER($DX180),$DX180,IF($DX180="","",IF(TRIM($DX180)="",0,IF(AND(AND(SUBSTITUTE(SUBSTITUTE(SUBSTITUTE(SUBSTITUTE(SUBSTITUTE(SUBSTITUTE(SUBSTITUTE(SUBSTITUTE(SUBSTITUTE(SUBSTITUTE(SUBSTITUTE(SUBSTITUTE(SUBSTITUTE(SUBSTITUTE(UPPER(TRIM($DX180)),"0",""),"1",""),"2",""),"3",""),"4",""),"5",""),"6",""),"7",""),"8",""),"9",""),".",""),"+",""),"-",""),"E","")="",LEN(SUBSTITUTE(SUBSTITUTE(MID(UPPER(TRIM($DX180)),1+OR(LEFT(UPPER(TRIM($DX180)),1)="+",LEFT(UPPER(TRIM($DX180)),1)="-"),999),"E+","E"),"E-","E"))=LEN(SUBSTITUTE(SUBSTITUTE(SUBSTITUTE(SUBSTITUTE(MID(UPPER(TRIM($DX180)),1+OR(LEFT(UPPER(TRIM($DX180)),1)="+",LEFT(UPPER(TRIM($DX180)),1)="-"),999),"E+","E"),"E-","E"),"+",""),"-","")),LEN(UPPER(TRIM($DX180)))-LEN(SUBSTITUTE(UPPER(TRIM($DX180)),"E",""))&lt;2,LEN(UPPER(TRIM($DX180)))-LEN(SUBSTITUTE(UPPER(TRIM($DX180)),".",""))&lt;2,IFERROR(FIND(".",UPPER(TRIM($DX180))),0)&lt;IFERROR(FIND("E",UPPER(TRIM($DX180))),999)),ISNUMBER(VALUE(TRIM($DX180)))),VALUE(TRIM($DX180)),"")))),""))</f>
        <v/>
      </c>
      <c r="DZ180">
        <f>IF($DM180=0,"",IF($L$17=0,"",IFERROR(IF(ISNUMBER(INDEX(PASTE_ALL,$DF180,$L$17)),INDEX(PASTE_ALL,$DF180,$L$17),SUBSTITUTE(SUBSTITUTE(TRIM(SUBSTITUTE(SUBSTITUTE(SUBSTITUTE(SUBSTITUTE(INDEX(PASTE_ALL,$DF180,$L$17)," "," "),CHAR(9)," "),CHAR(10)," "),CHAR(13)," ")),",",""),"%","")),"")))</f>
        <v/>
      </c>
      <c r="EA180">
        <f>IF($DM180=0,"",IFERROR(IF(ISNUMBER($DZ180),$DZ180,IF($DZ180="","",IF(TRIM($DZ180)="",0,IF(AND(AND(SUBSTITUTE(SUBSTITUTE(SUBSTITUTE(SUBSTITUTE(SUBSTITUTE(SUBSTITUTE(SUBSTITUTE(SUBSTITUTE(SUBSTITUTE(SUBSTITUTE(SUBSTITUTE(SUBSTITUTE(SUBSTITUTE(SUBSTITUTE(UPPER(TRIM($DZ180)),"0",""),"1",""),"2",""),"3",""),"4",""),"5",""),"6",""),"7",""),"8",""),"9",""),".",""),"+",""),"-",""),"E","")="",LEN(SUBSTITUTE(SUBSTITUTE(MID(UPPER(TRIM($DZ180)),1+OR(LEFT(UPPER(TRIM($DZ180)),1)="+",LEFT(UPPER(TRIM($DZ180)),1)="-"),999),"E+","E"),"E-","E"))=LEN(SUBSTITUTE(SUBSTITUTE(SUBSTITUTE(SUBSTITUTE(MID(UPPER(TRIM($DZ180)),1+OR(LEFT(UPPER(TRIM($DZ180)),1)="+",LEFT(UPPER(TRIM($DZ180)),1)="-"),999),"E+","E"),"E-","E"),"+",""),"-","")),LEN(UPPER(TRIM($DZ180)))-LEN(SUBSTITUTE(UPPER(TRIM($DZ180)),"E",""))&lt;2,LEN(UPPER(TRIM($DZ180)))-LEN(SUBSTITUTE(UPPER(TRIM($DZ180)),".",""))&lt;2,IFERROR(FIND(".",UPPER(TRIM($DZ180))),0)&lt;IFERROR(FIND("E",UPPER(TRIM($DZ180))),999)),ISNUMBER(VALUE(TRIM($DZ180)))),VALUE(TRIM($DZ180)),"")))),""))</f>
        <v/>
      </c>
      <c r="EB180">
        <f>IF($DM180=0,"",IF($L$18=0,"",IFERROR(IF(UPPER(TRIM(SUBSTITUTE(SUBSTITUTE(SUBSTITUTE(SUBSTITUTE(INDEX(PASTE_ALL,$DF180,$L$18)," "," "),CHAR(9)," "),CHAR(10)," "),CHAR(13)," ")))="READY","Ready",IF(UPPER(TRIM(SUBSTITUTE(SUBSTITUTE(SUBSTITUTE(SUBSTITUTE(INDEX(PASTE_ALL,$DF180,$L$18)," "," "),CHAR(9)," "),CHAR(10)," "),CHAR(13)," ")))="PM","PM",IF(OR(UPPER(TRIM(SUBSTITUTE(SUBSTITUTE(SUBSTITUTE(SUBSTITUTE(INDEX(PASTE_ALL,$DF180,$L$18)," "," "),CHAR(9)," "),CHAR(10)," "),CHAR(13)," ")))="OT",UPPER(TRIM(SUBSTITUTE(SUBSTITUTE(SUBSTITUTE(SUBSTITUTE(INDEX(PASTE_ALL,$DF180,$L$18)," "," "),CHAR(9)," "),CHAR(10)," "),CHAR(13)," ")))="OVERTIME",UPPER(TRIM(SUBSTITUTE(SUBSTITUTE(SUBSTITUTE(SUBSTITUTE(INDEX(PASTE_ALL,$DF180,$L$18)," "," "),CHAR(9)," "),CHAR(10)," "),CHAR(13)," ")))="TRIAL"),"OT",TRIM(SUBSTITUTE(SUBSTITUTE(SUBSTITUTE(SUBSTITUTE(INDEX(PASTE_ALL,$DF180,$L$18)," "," "),CHAR(9)," "),CHAR(10)," "),CHAR(13)," "))))),"")))</f>
        <v/>
      </c>
      <c r="EC180">
        <f>IF($DM180=0,"",IF($L$19=0,"",IFERROR(IF(ISNUMBER(INDEX(PASTE_ALL,$DF180,$L$19)),INDEX(PASTE_ALL,$DF180,$L$19),TRIM(SUBSTITUTE(SUBSTITUTE(SUBSTITUTE(SUBSTITUTE(INDEX(PASTE_ALL,$DF180,$L$19)," "," "),CHAR(9)," "),CHAR(10)," "),CHAR(13)," "))),"")))</f>
        <v/>
      </c>
      <c r="ED180">
        <f>IF($DM180=0,"",MATCH(1,INDEX(EXACT($DH$5:DH180,$DH180)*$DM$5:DM180,0),0))</f>
        <v/>
      </c>
      <c r="EE180">
        <f>IF($DM180=0,0,IF($ED180=$DE180,1,0))</f>
        <v/>
      </c>
      <c r="EF180">
        <f>EF179+$EE180</f>
        <v/>
      </c>
      <c r="EG180">
        <f>IF($DM180=0,"",INDEX($EF$5:$EF$1003,$ED180))</f>
        <v/>
      </c>
      <c r="EH180">
        <f>IF($DM180=0,"",IF($DO180&lt;&gt;"","",IFERROR(LOOKUP(2,1/(($EG$4:EG179=$EG180)*($DO$4:DO179&lt;&gt;"")),$DO$4:DO179),"")))</f>
        <v/>
      </c>
      <c r="EI180">
        <f>IF($DM180=0,"",IF($DO180&lt;&gt;"",$DO180,$EH180))</f>
        <v/>
      </c>
      <c r="EJ180">
        <f>IF($DM180=0,"",IF($EI180="",0,IF(OR(ISNUMBER($EI180),AND(AND(SUBSTITUTE(SUBSTITUTE(SUBSTITUTE(SUBSTITUTE(SUBSTITUTE(SUBSTITUTE(SUBSTITUTE(SUBSTITUTE(SUBSTITUTE(SUBSTITUTE(SUBSTITUTE(SUBSTITUTE(SUBSTITUTE(SUBSTITUTE(UPPER($EI180),"0",""),"1",""),"2",""),"3",""),"4",""),"5",""),"6",""),"7",""),"8",""),"9",""),".",""),"+",""),"-",""),"E","")="",LEN(SUBSTITUTE(SUBSTITUTE(MID(UPPER($EI180),1+OR(LEFT(UPPER($EI180),1)="+",LEFT(UPPER($EI180),1)="-"),999),"E+","E"),"E-","E"))=LEN(SUBSTITUTE(SUBSTITUTE(SUBSTITUTE(SUBSTITUTE(MID(UPPER($EI180),1+OR(LEFT(UPPER($EI180),1)="+",LEFT(UPPER($EI180),1)="-"),999),"E+","E"),"E-","E"),"+",""),"-","")),LEN(UPPER($EI180))-LEN(SUBSTITUTE(UPPER($EI180),"E",""))&lt;2,LEN(UPPER($EI180))-LEN(SUBSTITUTE(UPPER($EI180),".",""))&lt;2,IFERROR(FIND(".",UPPER($EI180)),0)&lt;IFERROR(FIND("E",UPPER($EI180)),999)),ISNUMBER(VALUE($EI180)))),1,2)))</f>
        <v/>
      </c>
      <c r="EK180">
        <f>IF($DM180=0,"",IF($EJ180=1,IF(ISNUMBER($EI180),$EI180,VALUE($EI180)),IF($EJ180=2,$DE180,0)))</f>
        <v/>
      </c>
      <c r="EL180">
        <f>IF($DM180=0,"",COUNTIF($EG$5:$EG$1003,"&lt;"&amp;$EG180)+SUMPRODUCT(($EG$5:$EG$1003=$EG180)*(($EJ$5:$EJ$1003&lt;$EJ180)+($EJ$5:$EJ$1003=$EJ180)*(($EK$5:$EK$1003&lt;$EK180)+($EK$5:$EK$1003=$EK180)*($DE$5:$DE$1003&lt;$DE180))))+1)</f>
        <v/>
      </c>
      <c r="EM180">
        <f>IF($DM180=0,"",$EL180+$EG180-1)</f>
        <v/>
      </c>
      <c r="EN180">
        <f>IF($DM180=0,0,IFERROR(MATCH(1,INDEX(--(TRIM(SUBSTITUTE(SUBSTITUTE(SUBSTITUTE(SUBSTITUTE(LINES_NAME&amp;""," "," "),CHAR(9)," "),CHAR(10)," "),CHAR(13)," "))=$DH180),0),0),0))</f>
        <v/>
      </c>
      <c r="EO180">
        <f>IF($EN180=0,0,IF(OR(UPPER(TRIM(INDEX(LINES_SCHEDULED,$EN180)&amp;""))="YES",UPPER(TRIM(INDEX(LINES_SCHEDULED,$EN180)&amp;""))="Y",UPPER(TRIM(INDEX(LINES_SCHEDULED,$EN180)&amp;""))="X"),1,0))</f>
        <v/>
      </c>
      <c r="EP180">
        <f>IF($DM180=0,"",IF(COUNTIFS($EG$5:$EG$1003,$EG180,$EB$5:$EB$1003,"Ready")&gt;0,"READY",IF(COUNTIFS($EG$5:$EG$1003,$EG180,$EB$5:$EB$1003,"PM")&gt;0,"PM",IF(COUNTIFS($EG$5:$EG$1003,$EG180,$EB$5:$EB$1003,"OT")&gt;0,"OT",""))))</f>
        <v/>
      </c>
      <c r="EQ180">
        <f>IF($EN180=0,"",UPPER(TRIM(INDEX(LINES_STATUS,$EN180)&amp;"")))</f>
        <v/>
      </c>
      <c r="ER180">
        <f>IF($DM180=0,"",IF(OR($EQ180="READY",$EQ180="PM",$EQ180="OT"),$EQ180,$EP180))</f>
        <v/>
      </c>
      <c r="ES180">
        <f>IF($DM180=0,"",IF(AND($DV180&lt;&gt;"",UPPER($DV180)&lt;&gt;"N"),"allergen",IF(ISNUMBER(SEARCH("oil",$DQ180)),"oil",IF(OR(EXACT($DS180,"A662"),EXACT($DS180,"A624")),"bulk",""))))</f>
        <v/>
      </c>
      <c r="ET180">
        <f>IF($DM180=0,"",IF(OR($EA180="",$EA180=0),"",$EA180/100))</f>
        <v/>
      </c>
      <c r="EU180">
        <f>IF(OR($ET180="",$DY180=""),"",INT($DY180*(1-$ET180)+0.5))</f>
        <v/>
      </c>
      <c r="EW180" t="n">
        <v>176</v>
      </c>
      <c r="EX180">
        <f>IFERROR(MATCH($EW180,$EM$5:$EM$1003,0),0)</f>
        <v/>
      </c>
      <c r="EY180">
        <f>IF($EW180&gt;$B$12,"",IF($EX180&gt;0,"row","spacer"))</f>
        <v/>
      </c>
      <c r="EZ180">
        <f>IF(AND($EY180="row",$EY179&lt;&gt;"row"),1,0)</f>
        <v/>
      </c>
      <c r="FA180">
        <f>IF(AND($EY180="row",$EY181&lt;&gt;"row"),1,0)</f>
        <v/>
      </c>
      <c r="FB180">
        <f>IF($EZ180=1,IFERROR(IF(ISNUMBER(INDEX(PASTE_ALL,INDEX($DF$5:$DF$1003,$EX180),$B$37)),INDEX(PASTE_ALL,INDEX($DF$5:$DF$1003,$EX180),$B$37),INDEX($DH$5:$DH$1003,$EX180)),INDEX($DH$5:$DH$1003,$EX180)),"")</f>
        <v/>
      </c>
      <c r="FC180">
        <f>IF($EY180="row",INDEX($ER$5:$ER$1003,$EX180),"")</f>
        <v/>
      </c>
      <c r="FD180">
        <f>IF($EY180="row",INDEX($DN$5:$DN$1003,$EX180),"")</f>
        <v/>
      </c>
      <c r="FE180">
        <f>IF($EY180="row",INDEX($DO$5:$DO$1003,$EX180),"")</f>
        <v/>
      </c>
      <c r="FF180">
        <f>IF($EY180="row",INDEX($DP$5:$DP$1003,$EX180),"")</f>
        <v/>
      </c>
      <c r="FG180">
        <f>IF($EY180="row",INDEX($DQ$5:$DQ$1003,$EX180),"")</f>
        <v/>
      </c>
      <c r="FH180">
        <f>IF($EY180="row",INDEX($DR$5:$DR$1003,$EX180),"")</f>
        <v/>
      </c>
      <c r="FI180">
        <f>IF($EY180="row",INDEX($DS$5:$DS$1003,$EX180),"")</f>
        <v/>
      </c>
      <c r="FJ180">
        <f>IF($EY180="row",INDEX($DT$5:$DT$1003,$EX180),"")</f>
        <v/>
      </c>
      <c r="FK180">
        <f>IF($EY180="row",INDEX($DU$5:$DU$1003,$EX180),"")</f>
        <v/>
      </c>
      <c r="FL180">
        <f>IF($EY180="row",INDEX($DV$5:$DV$1003,$EX180),"")</f>
        <v/>
      </c>
      <c r="FM180">
        <f>IF($EY180="row",INDEX($DW$5:$DW$1003,$EX180),"")</f>
        <v/>
      </c>
      <c r="FN180">
        <f>IF($EY180="row",INDEX($DY$5:$DY$1003,$EX180),"")</f>
        <v/>
      </c>
      <c r="FO180">
        <f>IF($EY180="row",INDEX($EA$5:$EA$1003,$EX180),"")</f>
        <v/>
      </c>
      <c r="FP180">
        <f>IF($EY180="row",INDEX($EC$5:$EC$1003,$EX180),"")</f>
        <v/>
      </c>
      <c r="FQ180">
        <f>IF($EY180="row",INDEX($ET$5:$ET$1003,$EX180),"")</f>
        <v/>
      </c>
      <c r="FR180">
        <f>IF($EY180="row",INDEX($EU$5:$EU$1003,$EX180),"")</f>
        <v/>
      </c>
      <c r="FS180">
        <f>IF(AND($EY180="row",$EY179="row"),IF(OR(INDEX($DT$5:$DT$1003,$EX179)="",INDEX($DT$5:$DT$1003,$EX180)=""),"",IF(NOT(EXACT(INDEX($DT$5:$DT$1003,$EX179),INDEX($DT$5:$DT$1003,$EX180))),"S4",IF(NOT(EXACT(INDEX($DS$5:$DS$1003,$EX179),INDEX($DS$5:$DS$1003,$EX180))),"S3",IF(NOT(EXACT(INDEX($DR$5:$DR$1003,$EX179),INDEX($DR$5:$DR$1003,$EX180))),"S1 Count Change","S1")))),"")</f>
        <v/>
      </c>
      <c r="FT180">
        <f>IF($EY180="row",INDEX($ES$5:$ES$1003,$EX180),"")</f>
        <v/>
      </c>
      <c r="FU180">
        <f>IF($EY180="row",INDEX($EO$5:$EO$1003,$EX180),0)</f>
        <v/>
      </c>
      <c r="FV180">
        <f>IF($FS180="S1 Count Change",1,0)</f>
        <v/>
      </c>
    </row>
    <row r="181">
      <c r="DA181" t="n">
        <v>177</v>
      </c>
      <c r="DB181">
        <f>IF($B$37=0,"",IFERROR(TRIM(SUBSTITUTE(SUBSTITUTE(SUBSTITUTE(SUBSTITUTE(INDEX(PASTE_ALL,177,$B$37)," "," "),CHAR(9)," "),CHAR(10)," "),CHAR(13)," ")),""))</f>
        <v/>
      </c>
      <c r="DC181">
        <f>IF(AND(177&gt;HEADER_ROW,UPPER(DB181)="LEGEND"),1,0)</f>
        <v/>
      </c>
      <c r="DE181" t="n">
        <v>177</v>
      </c>
      <c r="DF181">
        <f>HEADER_ROW+$DE181</f>
        <v/>
      </c>
      <c r="DG181">
        <f>IF(AND($DF181&lt;=1000,$DF181&lt;$B$8),1,0)</f>
        <v/>
      </c>
      <c r="DH181">
        <f>IF($DG181=1,IFERROR(INDEX($DB$5:$DB$1004,$DF181),""),"")</f>
        <v/>
      </c>
      <c r="DI181">
        <f>IF(AND($DG181=1,$DH181&lt;&gt;""),IFERROR(SUBSTITUTE(SUBSTITUTE(TRIM(SUBSTITUTE(SUBSTITUTE(SUBSTITUTE(SUBSTITUTE(IFERROR(INDEX(PASTE_ALL,$DF181,1)&amp;"","")&amp;"␟"&amp;IFERROR(INDEX(PASTE_ALL,$DF181,2)&amp;"","")&amp;"␟"&amp;IFERROR(INDEX(PASTE_ALL,$DF181,3)&amp;"","")&amp;"␟"&amp;IFERROR(INDEX(PASTE_ALL,$DF181,4)&amp;"","")&amp;"␟"&amp;IFERROR(INDEX(PASTE_ALL,$DF181,5)&amp;"","")&amp;"␟"&amp;IFERROR(INDEX(PASTE_ALL,$DF181,6)&amp;"","")&amp;"␟"&amp;IFERROR(INDEX(PASTE_ALL,$DF181,7)&amp;"","")&amp;"␟"&amp;IFERROR(INDEX(PASTE_ALL,$DF181,8)&amp;"","")&amp;"␟"&amp;IFERROR(INDEX(PASTE_ALL,$DF181,9)&amp;"","")&amp;"␟"&amp;IFERROR(INDEX(PASTE_ALL,$DF181,10)&amp;"","")&amp;"␟"&amp;IFERROR(INDEX(PASTE_ALL,$DF181,11)&amp;"","")&amp;"␟"&amp;IFERROR(INDEX(PASTE_ALL,$DF181,12)&amp;"","")&amp;"␟"&amp;IFERROR(INDEX(PASTE_ALL,$DF181,13)&amp;"","")&amp;"␟"&amp;IFERROR(INDEX(PASTE_ALL,$DF181,14)&amp;"","")&amp;"␟"&amp;IFERROR(INDEX(PASTE_ALL,$DF181,15)&amp;"","")&amp;"␟"&amp;IFERROR(INDEX(PASTE_ALL,$DF181,16)&amp;"","")&amp;"␟"&amp;IFERROR(INDEX(PASTE_ALL,$DF181,17)&amp;"","")&amp;"␟"&amp;IFERROR(INDEX(PASTE_ALL,$DF181,18)&amp;"","")&amp;"␟"&amp;IFERROR(INDEX(PASTE_ALL,$DF181,19)&amp;"","")&amp;"␟"&amp;IFERROR(INDEX(PASTE_ALL,$DF181,20)&amp;"","")&amp;"␟"&amp;IFERROR(INDEX(PASTE_ALL,$DF181,21)&amp;"","")&amp;"␟"&amp;IFERROR(INDEX(PASTE_ALL,$DF181,22)&amp;"","")&amp;"␟"&amp;IFERROR(INDEX(PASTE_ALL,$DF181,23)&amp;"","")&amp;"␟"&amp;IFERROR(INDEX(PASTE_ALL,$DF181,24)&amp;"","")&amp;"␟"&amp;IFERROR(INDEX(PASTE_ALL,$DF181,25)&amp;"","")&amp;"␟"&amp;IFERROR(INDEX(PASTE_ALL,$DF181,26)&amp;"","")&amp;"␟"&amp;IFERROR(INDEX(PASTE_ALL,$DF181,27)&amp;"","")&amp;"␟"&amp;IFERROR(INDEX(PASTE_ALL,$DF181,28)&amp;"","")&amp;"␟"&amp;IFERROR(INDEX(PASTE_ALL,$DF181,29)&amp;"","")&amp;"␟"&amp;IFERROR(INDEX(PASTE_ALL,$DF181,30)&amp;"","")&amp;"␟"&amp;IFERROR(INDEX(PASTE_ALL,$DF181,31)&amp;"","")&amp;"␟"&amp;IFERROR(INDEX(PASTE_ALL,$DF181,32)&amp;"","")&amp;"␟"&amp;IFERROR(INDEX(PASTE_ALL,$DF181,33)&amp;"","")&amp;"␟"&amp;IFERROR(INDEX(PASTE_ALL,$DF181,34)&amp;"","")&amp;"␟"&amp;IFERROR(INDEX(PASTE_ALL,$DF181,35)&amp;"","")&amp;"␟"&amp;IFERROR(INDEX(PASTE_ALL,$DF181,36)&amp;"","")&amp;"␟"&amp;IFERROR(INDEX(PASTE_ALL,$DF181,37)&amp;"","")&amp;"␟"&amp;IFERROR(INDEX(PASTE_ALL,$DF181,38)&amp;"","")&amp;"␟"&amp;IFERROR(INDEX(PASTE_ALL,$DF181,39)&amp;"","")&amp;"␟"&amp;IFERROR(INDEX(PASTE_ALL,$DF181,40)&amp;"","")&amp;"␟"&amp;IFERROR(INDEX(PASTE_ALL,$DF181,41)&amp;"","")&amp;"␟"&amp;IFERROR(INDEX(PASTE_ALL,$DF181,42)&amp;"","")&amp;"␟"&amp;IFERROR(INDEX(PASTE_ALL,$DF181,43)&amp;"","")&amp;"␟"&amp;IFERROR(INDEX(PASTE_ALL,$DF181,44)&amp;"","")&amp;"␟"&amp;IFERROR(INDEX(PASTE_ALL,$DF181,45)&amp;"","")&amp;"␟"&amp;IFERROR(INDEX(PASTE_ALL,$DF181,46)&amp;"","")&amp;"␟"&amp;IFERROR(INDEX(PASTE_ALL,$DF181,47)&amp;"","")&amp;"␟"&amp;IFERROR(INDEX(PASTE_ALL,$DF181,48)&amp;"","")&amp;"␟"&amp;IFERROR(INDEX(PASTE_ALL,$DF181,49)&amp;"","")&amp;"␟"&amp;IFERROR(INDEX(PASTE_ALL,$DF181,50)&amp;"","")&amp;"␟"&amp;IFERROR(INDEX(PASTE_ALL,$DF181,51)&amp;"","")&amp;"␟"&amp;IFERROR(INDEX(PASTE_ALL,$DF181,52)&amp;"","")&amp;"␟"&amp;IFERROR(INDEX(PASTE_ALL,$DF181,53)&amp;"","")&amp;"␟"&amp;IFERROR(INDEX(PASTE_ALL,$DF181,54)&amp;"","")&amp;"␟"&amp;IFERROR(INDEX(PASTE_ALL,$DF181,55)&amp;"","")&amp;"␟"&amp;IFERROR(INDEX(PASTE_ALL,$DF181,56)&amp;"","")&amp;"␟"&amp;IFERROR(INDEX(PASTE_ALL,$DF181,57)&amp;"","")&amp;"␟"&amp;IFERROR(INDEX(PASTE_ALL,$DF181,58)&amp;"","")&amp;"␟"&amp;IFERROR(INDEX(PASTE_ALL,$DF181,59)&amp;"","")&amp;"␟"&amp;IFERROR(INDEX(PASTE_ALL,$DF181,60)&amp;"","")," "," "),CHAR(9)," "),CHAR(10)," "),CHAR(13)," "))," ␟","␟"),"␟ ","␟"),"#"&amp;$DE181),"")</f>
        <v/>
      </c>
      <c r="DJ181">
        <f>IF($DI181="",0,IF(SUMPRODUCT(--EXACT($DI$4:DI180,$DI181))&gt;0,1,0))</f>
        <v/>
      </c>
      <c r="DK181">
        <f>IF(AND($DI181&lt;&gt;"",$DJ181=0),1,0)</f>
        <v/>
      </c>
      <c r="DL181">
        <f>DL180+$DK181</f>
        <v/>
      </c>
      <c r="DM181">
        <f>IF(AND($DK181=1,$DL181&lt;=600),1,0)</f>
        <v/>
      </c>
      <c r="DN181">
        <f>IF($DM181=0,"",IF($L$6=0,"",IFERROR(IF(ISNUMBER(INDEX(PASTE_ALL,$DF181,$L$6)),INDEX(PASTE_ALL,$DF181,$L$6),TRIM(SUBSTITUTE(SUBSTITUTE(SUBSTITUTE(SUBSTITUTE(INDEX(PASTE_ALL,$DF181,$L$6)," "," "),CHAR(9)," "),CHAR(10)," "),CHAR(13)," "))),"")))</f>
        <v/>
      </c>
      <c r="DO181">
        <f>IF($DM181=0,"",IF($L$7=0,"",IFERROR(IF(ISNUMBER(INDEX(PASTE_ALL,$DF181,$L$7)),INDEX(PASTE_ALL,$DF181,$L$7),TRIM(SUBSTITUTE(SUBSTITUTE(SUBSTITUTE(SUBSTITUTE(INDEX(PASTE_ALL,$DF181,$L$7)," "," "),CHAR(9)," "),CHAR(10)," "),CHAR(13)," "))),"")))</f>
        <v/>
      </c>
      <c r="DP181">
        <f>IF($DM181=0,"",IF($L$8=0,"",IFERROR(IF(ISNUMBER(INDEX(PASTE_ALL,$DF181,$L$8)),INDEX(PASTE_ALL,$DF181,$L$8),TRIM(SUBSTITUTE(SUBSTITUTE(SUBSTITUTE(SUBSTITUTE(INDEX(PASTE_ALL,$DF181,$L$8)," "," "),CHAR(9)," "),CHAR(10)," "),CHAR(13)," "))),"")))</f>
        <v/>
      </c>
      <c r="DQ181">
        <f>IF($DM181=0,"",IF($L$9=0,"",IFERROR(IF(ISNUMBER(INDEX(PASTE_ALL,$DF181,$L$9)),INDEX(PASTE_ALL,$DF181,$L$9),TRIM(SUBSTITUTE(SUBSTITUTE(SUBSTITUTE(SUBSTITUTE(INDEX(PASTE_ALL,$DF181,$L$9)," "," "),CHAR(9)," "),CHAR(10)," "),CHAR(13)," "))),"")))</f>
        <v/>
      </c>
      <c r="DR181">
        <f>IF($DM181=0,"",IF($L$10=0,"",IFERROR(IF(ISNUMBER(INDEX(PASTE_ALL,$DF181,$L$10)),INDEX(PASTE_ALL,$DF181,$L$10),TRIM(SUBSTITUTE(SUBSTITUTE(SUBSTITUTE(SUBSTITUTE(INDEX(PASTE_ALL,$DF181,$L$10)," "," "),CHAR(9)," "),CHAR(10)," "),CHAR(13)," "))),"")))</f>
        <v/>
      </c>
      <c r="DS181">
        <f>IF($DM181=0,"",IF($L$11=0,"",IFERROR(IF(ISNUMBER(INDEX(PASTE_ALL,$DF181,$L$11)),INDEX(PASTE_ALL,$DF181,$L$11),TRIM(SUBSTITUTE(SUBSTITUTE(SUBSTITUTE(SUBSTITUTE(INDEX(PASTE_ALL,$DF181,$L$11)," "," "),CHAR(9)," "),CHAR(10)," "),CHAR(13)," "))),"")))</f>
        <v/>
      </c>
      <c r="DT181">
        <f>IF($DM181=0,"",IF($L$12=0,"",IFERROR(IF(ISNUMBER(INDEX(PASTE_ALL,$DF181,$L$12)),INDEX(PASTE_ALL,$DF181,$L$12),TRIM(SUBSTITUTE(SUBSTITUTE(SUBSTITUTE(SUBSTITUTE(INDEX(PASTE_ALL,$DF181,$L$12)," "," "),CHAR(9)," "),CHAR(10)," "),CHAR(13)," "))),"")))</f>
        <v/>
      </c>
      <c r="DU181">
        <f>IF($DM181=0,"",IF($L$13=0,"",IFERROR(IF(ISNUMBER(INDEX(PASTE_ALL,$DF181,$L$13)),INDEX(PASTE_ALL,$DF181,$L$13),TRIM(SUBSTITUTE(SUBSTITUTE(SUBSTITUTE(SUBSTITUTE(INDEX(PASTE_ALL,$DF181,$L$13)," "," "),CHAR(9)," "),CHAR(10)," "),CHAR(13)," "))),"")))</f>
        <v/>
      </c>
      <c r="DV181">
        <f>IF($DM181=0,"",IF($L$14=0,"",IFERROR(IF(ISNUMBER(INDEX(PASTE_ALL,$DF181,$L$14)),INDEX(PASTE_ALL,$DF181,$L$14),TRIM(SUBSTITUTE(SUBSTITUTE(SUBSTITUTE(SUBSTITUTE(INDEX(PASTE_ALL,$DF181,$L$14)," "," "),CHAR(9)," "),CHAR(10)," "),CHAR(13)," "))),"")))</f>
        <v/>
      </c>
      <c r="DW181">
        <f>IF($DM181=0,"",IF($L$15=0,"",IFERROR(IF(ISNUMBER(INDEX(PASTE_ALL,$DF181,$L$15)),INDEX(PASTE_ALL,$DF181,$L$15),IF(SUMPRODUCT(--ISNUMBER(FIND({"A","B","C","D","E","F","G","H","I","J","K","L","M","N","O","P","Q","R","S","T","U","V","W","X","Y","Z","0","1","2","3","4","5","6","7","8","9"},UPPER(TRIM(SUBSTITUTE(SUBSTITUTE(SUBSTITUTE(SUBSTITUTE(INDEX(PASTE_ALL,$DF181,$L$15)," "," "),CHAR(9)," "),CHAR(10)," "),CHAR(13)," "))))))&gt;0,TRIM(SUBSTITUTE(SUBSTITUTE(SUBSTITUTE(SUBSTITUTE(INDEX(PASTE_ALL,$DF181,$L$15)," "," "),CHAR(9)," "),CHAR(10)," "),CHAR(13)," ")),"")),"")))</f>
        <v/>
      </c>
      <c r="DX181">
        <f>IF($DM181=0,"",IF($L$16=0,"",IFERROR(IF(ISNUMBER(INDEX(PASTE_ALL,$DF181,$L$16)),INDEX(PASTE_ALL,$DF181,$L$16),SUBSTITUTE(SUBSTITUTE(TRIM(SUBSTITUTE(SUBSTITUTE(SUBSTITUTE(SUBSTITUTE(INDEX(PASTE_ALL,$DF181,$L$16)," "," "),CHAR(9)," "),CHAR(10)," "),CHAR(13)," ")),",",""),"%","")),"")))</f>
        <v/>
      </c>
      <c r="DY181">
        <f>IF($DM181=0,"",IFERROR(IF(ISNUMBER($DX181),$DX181,IF($DX181="","",IF(TRIM($DX181)="",0,IF(AND(AND(SUBSTITUTE(SUBSTITUTE(SUBSTITUTE(SUBSTITUTE(SUBSTITUTE(SUBSTITUTE(SUBSTITUTE(SUBSTITUTE(SUBSTITUTE(SUBSTITUTE(SUBSTITUTE(SUBSTITUTE(SUBSTITUTE(SUBSTITUTE(UPPER(TRIM($DX181)),"0",""),"1",""),"2",""),"3",""),"4",""),"5",""),"6",""),"7",""),"8",""),"9",""),".",""),"+",""),"-",""),"E","")="",LEN(SUBSTITUTE(SUBSTITUTE(MID(UPPER(TRIM($DX181)),1+OR(LEFT(UPPER(TRIM($DX181)),1)="+",LEFT(UPPER(TRIM($DX181)),1)="-"),999),"E+","E"),"E-","E"))=LEN(SUBSTITUTE(SUBSTITUTE(SUBSTITUTE(SUBSTITUTE(MID(UPPER(TRIM($DX181)),1+OR(LEFT(UPPER(TRIM($DX181)),1)="+",LEFT(UPPER(TRIM($DX181)),1)="-"),999),"E+","E"),"E-","E"),"+",""),"-","")),LEN(UPPER(TRIM($DX181)))-LEN(SUBSTITUTE(UPPER(TRIM($DX181)),"E",""))&lt;2,LEN(UPPER(TRIM($DX181)))-LEN(SUBSTITUTE(UPPER(TRIM($DX181)),".",""))&lt;2,IFERROR(FIND(".",UPPER(TRIM($DX181))),0)&lt;IFERROR(FIND("E",UPPER(TRIM($DX181))),999)),ISNUMBER(VALUE(TRIM($DX181)))),VALUE(TRIM($DX181)),"")))),""))</f>
        <v/>
      </c>
      <c r="DZ181">
        <f>IF($DM181=0,"",IF($L$17=0,"",IFERROR(IF(ISNUMBER(INDEX(PASTE_ALL,$DF181,$L$17)),INDEX(PASTE_ALL,$DF181,$L$17),SUBSTITUTE(SUBSTITUTE(TRIM(SUBSTITUTE(SUBSTITUTE(SUBSTITUTE(SUBSTITUTE(INDEX(PASTE_ALL,$DF181,$L$17)," "," "),CHAR(9)," "),CHAR(10)," "),CHAR(13)," ")),",",""),"%","")),"")))</f>
        <v/>
      </c>
      <c r="EA181">
        <f>IF($DM181=0,"",IFERROR(IF(ISNUMBER($DZ181),$DZ181,IF($DZ181="","",IF(TRIM($DZ181)="",0,IF(AND(AND(SUBSTITUTE(SUBSTITUTE(SUBSTITUTE(SUBSTITUTE(SUBSTITUTE(SUBSTITUTE(SUBSTITUTE(SUBSTITUTE(SUBSTITUTE(SUBSTITUTE(SUBSTITUTE(SUBSTITUTE(SUBSTITUTE(SUBSTITUTE(UPPER(TRIM($DZ181)),"0",""),"1",""),"2",""),"3",""),"4",""),"5",""),"6",""),"7",""),"8",""),"9",""),".",""),"+",""),"-",""),"E","")="",LEN(SUBSTITUTE(SUBSTITUTE(MID(UPPER(TRIM($DZ181)),1+OR(LEFT(UPPER(TRIM($DZ181)),1)="+",LEFT(UPPER(TRIM($DZ181)),1)="-"),999),"E+","E"),"E-","E"))=LEN(SUBSTITUTE(SUBSTITUTE(SUBSTITUTE(SUBSTITUTE(MID(UPPER(TRIM($DZ181)),1+OR(LEFT(UPPER(TRIM($DZ181)),1)="+",LEFT(UPPER(TRIM($DZ181)),1)="-"),999),"E+","E"),"E-","E"),"+",""),"-","")),LEN(UPPER(TRIM($DZ181)))-LEN(SUBSTITUTE(UPPER(TRIM($DZ181)),"E",""))&lt;2,LEN(UPPER(TRIM($DZ181)))-LEN(SUBSTITUTE(UPPER(TRIM($DZ181)),".",""))&lt;2,IFERROR(FIND(".",UPPER(TRIM($DZ181))),0)&lt;IFERROR(FIND("E",UPPER(TRIM($DZ181))),999)),ISNUMBER(VALUE(TRIM($DZ181)))),VALUE(TRIM($DZ181)),"")))),""))</f>
        <v/>
      </c>
      <c r="EB181">
        <f>IF($DM181=0,"",IF($L$18=0,"",IFERROR(IF(UPPER(TRIM(SUBSTITUTE(SUBSTITUTE(SUBSTITUTE(SUBSTITUTE(INDEX(PASTE_ALL,$DF181,$L$18)," "," "),CHAR(9)," "),CHAR(10)," "),CHAR(13)," ")))="READY","Ready",IF(UPPER(TRIM(SUBSTITUTE(SUBSTITUTE(SUBSTITUTE(SUBSTITUTE(INDEX(PASTE_ALL,$DF181,$L$18)," "," "),CHAR(9)," "),CHAR(10)," "),CHAR(13)," ")))="PM","PM",IF(OR(UPPER(TRIM(SUBSTITUTE(SUBSTITUTE(SUBSTITUTE(SUBSTITUTE(INDEX(PASTE_ALL,$DF181,$L$18)," "," "),CHAR(9)," "),CHAR(10)," "),CHAR(13)," ")))="OT",UPPER(TRIM(SUBSTITUTE(SUBSTITUTE(SUBSTITUTE(SUBSTITUTE(INDEX(PASTE_ALL,$DF181,$L$18)," "," "),CHAR(9)," "),CHAR(10)," "),CHAR(13)," ")))="OVERTIME",UPPER(TRIM(SUBSTITUTE(SUBSTITUTE(SUBSTITUTE(SUBSTITUTE(INDEX(PASTE_ALL,$DF181,$L$18)," "," "),CHAR(9)," "),CHAR(10)," "),CHAR(13)," ")))="TRIAL"),"OT",TRIM(SUBSTITUTE(SUBSTITUTE(SUBSTITUTE(SUBSTITUTE(INDEX(PASTE_ALL,$DF181,$L$18)," "," "),CHAR(9)," "),CHAR(10)," "),CHAR(13)," "))))),"")))</f>
        <v/>
      </c>
      <c r="EC181">
        <f>IF($DM181=0,"",IF($L$19=0,"",IFERROR(IF(ISNUMBER(INDEX(PASTE_ALL,$DF181,$L$19)),INDEX(PASTE_ALL,$DF181,$L$19),TRIM(SUBSTITUTE(SUBSTITUTE(SUBSTITUTE(SUBSTITUTE(INDEX(PASTE_ALL,$DF181,$L$19)," "," "),CHAR(9)," "),CHAR(10)," "),CHAR(13)," "))),"")))</f>
        <v/>
      </c>
      <c r="ED181">
        <f>IF($DM181=0,"",MATCH(1,INDEX(EXACT($DH$5:DH181,$DH181)*$DM$5:DM181,0),0))</f>
        <v/>
      </c>
      <c r="EE181">
        <f>IF($DM181=0,0,IF($ED181=$DE181,1,0))</f>
        <v/>
      </c>
      <c r="EF181">
        <f>EF180+$EE181</f>
        <v/>
      </c>
      <c r="EG181">
        <f>IF($DM181=0,"",INDEX($EF$5:$EF$1003,$ED181))</f>
        <v/>
      </c>
      <c r="EH181">
        <f>IF($DM181=0,"",IF($DO181&lt;&gt;"","",IFERROR(LOOKUP(2,1/(($EG$4:EG180=$EG181)*($DO$4:DO180&lt;&gt;"")),$DO$4:DO180),"")))</f>
        <v/>
      </c>
      <c r="EI181">
        <f>IF($DM181=0,"",IF($DO181&lt;&gt;"",$DO181,$EH181))</f>
        <v/>
      </c>
      <c r="EJ181">
        <f>IF($DM181=0,"",IF($EI181="",0,IF(OR(ISNUMBER($EI181),AND(AND(SUBSTITUTE(SUBSTITUTE(SUBSTITUTE(SUBSTITUTE(SUBSTITUTE(SUBSTITUTE(SUBSTITUTE(SUBSTITUTE(SUBSTITUTE(SUBSTITUTE(SUBSTITUTE(SUBSTITUTE(SUBSTITUTE(SUBSTITUTE(UPPER($EI181),"0",""),"1",""),"2",""),"3",""),"4",""),"5",""),"6",""),"7",""),"8",""),"9",""),".",""),"+",""),"-",""),"E","")="",LEN(SUBSTITUTE(SUBSTITUTE(MID(UPPER($EI181),1+OR(LEFT(UPPER($EI181),1)="+",LEFT(UPPER($EI181),1)="-"),999),"E+","E"),"E-","E"))=LEN(SUBSTITUTE(SUBSTITUTE(SUBSTITUTE(SUBSTITUTE(MID(UPPER($EI181),1+OR(LEFT(UPPER($EI181),1)="+",LEFT(UPPER($EI181),1)="-"),999),"E+","E"),"E-","E"),"+",""),"-","")),LEN(UPPER($EI181))-LEN(SUBSTITUTE(UPPER($EI181),"E",""))&lt;2,LEN(UPPER($EI181))-LEN(SUBSTITUTE(UPPER($EI181),".",""))&lt;2,IFERROR(FIND(".",UPPER($EI181)),0)&lt;IFERROR(FIND("E",UPPER($EI181)),999)),ISNUMBER(VALUE($EI181)))),1,2)))</f>
        <v/>
      </c>
      <c r="EK181">
        <f>IF($DM181=0,"",IF($EJ181=1,IF(ISNUMBER($EI181),$EI181,VALUE($EI181)),IF($EJ181=2,$DE181,0)))</f>
        <v/>
      </c>
      <c r="EL181">
        <f>IF($DM181=0,"",COUNTIF($EG$5:$EG$1003,"&lt;"&amp;$EG181)+SUMPRODUCT(($EG$5:$EG$1003=$EG181)*(($EJ$5:$EJ$1003&lt;$EJ181)+($EJ$5:$EJ$1003=$EJ181)*(($EK$5:$EK$1003&lt;$EK181)+($EK$5:$EK$1003=$EK181)*($DE$5:$DE$1003&lt;$DE181))))+1)</f>
        <v/>
      </c>
      <c r="EM181">
        <f>IF($DM181=0,"",$EL181+$EG181-1)</f>
        <v/>
      </c>
      <c r="EN181">
        <f>IF($DM181=0,0,IFERROR(MATCH(1,INDEX(--(TRIM(SUBSTITUTE(SUBSTITUTE(SUBSTITUTE(SUBSTITUTE(LINES_NAME&amp;""," "," "),CHAR(9)," "),CHAR(10)," "),CHAR(13)," "))=$DH181),0),0),0))</f>
        <v/>
      </c>
      <c r="EO181">
        <f>IF($EN181=0,0,IF(OR(UPPER(TRIM(INDEX(LINES_SCHEDULED,$EN181)&amp;""))="YES",UPPER(TRIM(INDEX(LINES_SCHEDULED,$EN181)&amp;""))="Y",UPPER(TRIM(INDEX(LINES_SCHEDULED,$EN181)&amp;""))="X"),1,0))</f>
        <v/>
      </c>
      <c r="EP181">
        <f>IF($DM181=0,"",IF(COUNTIFS($EG$5:$EG$1003,$EG181,$EB$5:$EB$1003,"Ready")&gt;0,"READY",IF(COUNTIFS($EG$5:$EG$1003,$EG181,$EB$5:$EB$1003,"PM")&gt;0,"PM",IF(COUNTIFS($EG$5:$EG$1003,$EG181,$EB$5:$EB$1003,"OT")&gt;0,"OT",""))))</f>
        <v/>
      </c>
      <c r="EQ181">
        <f>IF($EN181=0,"",UPPER(TRIM(INDEX(LINES_STATUS,$EN181)&amp;"")))</f>
        <v/>
      </c>
      <c r="ER181">
        <f>IF($DM181=0,"",IF(OR($EQ181="READY",$EQ181="PM",$EQ181="OT"),$EQ181,$EP181))</f>
        <v/>
      </c>
      <c r="ES181">
        <f>IF($DM181=0,"",IF(AND($DV181&lt;&gt;"",UPPER($DV181)&lt;&gt;"N"),"allergen",IF(ISNUMBER(SEARCH("oil",$DQ181)),"oil",IF(OR(EXACT($DS181,"A662"),EXACT($DS181,"A624")),"bulk",""))))</f>
        <v/>
      </c>
      <c r="ET181">
        <f>IF($DM181=0,"",IF(OR($EA181="",$EA181=0),"",$EA181/100))</f>
        <v/>
      </c>
      <c r="EU181">
        <f>IF(OR($ET181="",$DY181=""),"",INT($DY181*(1-$ET181)+0.5))</f>
        <v/>
      </c>
      <c r="EW181" t="n">
        <v>177</v>
      </c>
      <c r="EX181">
        <f>IFERROR(MATCH($EW181,$EM$5:$EM$1003,0),0)</f>
        <v/>
      </c>
      <c r="EY181">
        <f>IF($EW181&gt;$B$12,"",IF($EX181&gt;0,"row","spacer"))</f>
        <v/>
      </c>
      <c r="EZ181">
        <f>IF(AND($EY181="row",$EY180&lt;&gt;"row"),1,0)</f>
        <v/>
      </c>
      <c r="FA181">
        <f>IF(AND($EY181="row",$EY182&lt;&gt;"row"),1,0)</f>
        <v/>
      </c>
      <c r="FB181">
        <f>IF($EZ181=1,IFERROR(IF(ISNUMBER(INDEX(PASTE_ALL,INDEX($DF$5:$DF$1003,$EX181),$B$37)),INDEX(PASTE_ALL,INDEX($DF$5:$DF$1003,$EX181),$B$37),INDEX($DH$5:$DH$1003,$EX181)),INDEX($DH$5:$DH$1003,$EX181)),"")</f>
        <v/>
      </c>
      <c r="FC181">
        <f>IF($EY181="row",INDEX($ER$5:$ER$1003,$EX181),"")</f>
        <v/>
      </c>
      <c r="FD181">
        <f>IF($EY181="row",INDEX($DN$5:$DN$1003,$EX181),"")</f>
        <v/>
      </c>
      <c r="FE181">
        <f>IF($EY181="row",INDEX($DO$5:$DO$1003,$EX181),"")</f>
        <v/>
      </c>
      <c r="FF181">
        <f>IF($EY181="row",INDEX($DP$5:$DP$1003,$EX181),"")</f>
        <v/>
      </c>
      <c r="FG181">
        <f>IF($EY181="row",INDEX($DQ$5:$DQ$1003,$EX181),"")</f>
        <v/>
      </c>
      <c r="FH181">
        <f>IF($EY181="row",INDEX($DR$5:$DR$1003,$EX181),"")</f>
        <v/>
      </c>
      <c r="FI181">
        <f>IF($EY181="row",INDEX($DS$5:$DS$1003,$EX181),"")</f>
        <v/>
      </c>
      <c r="FJ181">
        <f>IF($EY181="row",INDEX($DT$5:$DT$1003,$EX181),"")</f>
        <v/>
      </c>
      <c r="FK181">
        <f>IF($EY181="row",INDEX($DU$5:$DU$1003,$EX181),"")</f>
        <v/>
      </c>
      <c r="FL181">
        <f>IF($EY181="row",INDEX($DV$5:$DV$1003,$EX181),"")</f>
        <v/>
      </c>
      <c r="FM181">
        <f>IF($EY181="row",INDEX($DW$5:$DW$1003,$EX181),"")</f>
        <v/>
      </c>
      <c r="FN181">
        <f>IF($EY181="row",INDEX($DY$5:$DY$1003,$EX181),"")</f>
        <v/>
      </c>
      <c r="FO181">
        <f>IF($EY181="row",INDEX($EA$5:$EA$1003,$EX181),"")</f>
        <v/>
      </c>
      <c r="FP181">
        <f>IF($EY181="row",INDEX($EC$5:$EC$1003,$EX181),"")</f>
        <v/>
      </c>
      <c r="FQ181">
        <f>IF($EY181="row",INDEX($ET$5:$ET$1003,$EX181),"")</f>
        <v/>
      </c>
      <c r="FR181">
        <f>IF($EY181="row",INDEX($EU$5:$EU$1003,$EX181),"")</f>
        <v/>
      </c>
      <c r="FS181">
        <f>IF(AND($EY181="row",$EY180="row"),IF(OR(INDEX($DT$5:$DT$1003,$EX180)="",INDEX($DT$5:$DT$1003,$EX181)=""),"",IF(NOT(EXACT(INDEX($DT$5:$DT$1003,$EX180),INDEX($DT$5:$DT$1003,$EX181))),"S4",IF(NOT(EXACT(INDEX($DS$5:$DS$1003,$EX180),INDEX($DS$5:$DS$1003,$EX181))),"S3",IF(NOT(EXACT(INDEX($DR$5:$DR$1003,$EX180),INDEX($DR$5:$DR$1003,$EX181))),"S1 Count Change","S1")))),"")</f>
        <v/>
      </c>
      <c r="FT181">
        <f>IF($EY181="row",INDEX($ES$5:$ES$1003,$EX181),"")</f>
        <v/>
      </c>
      <c r="FU181">
        <f>IF($EY181="row",INDEX($EO$5:$EO$1003,$EX181),0)</f>
        <v/>
      </c>
      <c r="FV181">
        <f>IF($FS181="S1 Count Change",1,0)</f>
        <v/>
      </c>
    </row>
    <row r="182">
      <c r="DA182" t="n">
        <v>178</v>
      </c>
      <c r="DB182">
        <f>IF($B$37=0,"",IFERROR(TRIM(SUBSTITUTE(SUBSTITUTE(SUBSTITUTE(SUBSTITUTE(INDEX(PASTE_ALL,178,$B$37)," "," "),CHAR(9)," "),CHAR(10)," "),CHAR(13)," ")),""))</f>
        <v/>
      </c>
      <c r="DC182">
        <f>IF(AND(178&gt;HEADER_ROW,UPPER(DB182)="LEGEND"),1,0)</f>
        <v/>
      </c>
      <c r="DE182" t="n">
        <v>178</v>
      </c>
      <c r="DF182">
        <f>HEADER_ROW+$DE182</f>
        <v/>
      </c>
      <c r="DG182">
        <f>IF(AND($DF182&lt;=1000,$DF182&lt;$B$8),1,0)</f>
        <v/>
      </c>
      <c r="DH182">
        <f>IF($DG182=1,IFERROR(INDEX($DB$5:$DB$1004,$DF182),""),"")</f>
        <v/>
      </c>
      <c r="DI182">
        <f>IF(AND($DG182=1,$DH182&lt;&gt;""),IFERROR(SUBSTITUTE(SUBSTITUTE(TRIM(SUBSTITUTE(SUBSTITUTE(SUBSTITUTE(SUBSTITUTE(IFERROR(INDEX(PASTE_ALL,$DF182,1)&amp;"","")&amp;"␟"&amp;IFERROR(INDEX(PASTE_ALL,$DF182,2)&amp;"","")&amp;"␟"&amp;IFERROR(INDEX(PASTE_ALL,$DF182,3)&amp;"","")&amp;"␟"&amp;IFERROR(INDEX(PASTE_ALL,$DF182,4)&amp;"","")&amp;"␟"&amp;IFERROR(INDEX(PASTE_ALL,$DF182,5)&amp;"","")&amp;"␟"&amp;IFERROR(INDEX(PASTE_ALL,$DF182,6)&amp;"","")&amp;"␟"&amp;IFERROR(INDEX(PASTE_ALL,$DF182,7)&amp;"","")&amp;"␟"&amp;IFERROR(INDEX(PASTE_ALL,$DF182,8)&amp;"","")&amp;"␟"&amp;IFERROR(INDEX(PASTE_ALL,$DF182,9)&amp;"","")&amp;"␟"&amp;IFERROR(INDEX(PASTE_ALL,$DF182,10)&amp;"","")&amp;"␟"&amp;IFERROR(INDEX(PASTE_ALL,$DF182,11)&amp;"","")&amp;"␟"&amp;IFERROR(INDEX(PASTE_ALL,$DF182,12)&amp;"","")&amp;"␟"&amp;IFERROR(INDEX(PASTE_ALL,$DF182,13)&amp;"","")&amp;"␟"&amp;IFERROR(INDEX(PASTE_ALL,$DF182,14)&amp;"","")&amp;"␟"&amp;IFERROR(INDEX(PASTE_ALL,$DF182,15)&amp;"","")&amp;"␟"&amp;IFERROR(INDEX(PASTE_ALL,$DF182,16)&amp;"","")&amp;"␟"&amp;IFERROR(INDEX(PASTE_ALL,$DF182,17)&amp;"","")&amp;"␟"&amp;IFERROR(INDEX(PASTE_ALL,$DF182,18)&amp;"","")&amp;"␟"&amp;IFERROR(INDEX(PASTE_ALL,$DF182,19)&amp;"","")&amp;"␟"&amp;IFERROR(INDEX(PASTE_ALL,$DF182,20)&amp;"","")&amp;"␟"&amp;IFERROR(INDEX(PASTE_ALL,$DF182,21)&amp;"","")&amp;"␟"&amp;IFERROR(INDEX(PASTE_ALL,$DF182,22)&amp;"","")&amp;"␟"&amp;IFERROR(INDEX(PASTE_ALL,$DF182,23)&amp;"","")&amp;"␟"&amp;IFERROR(INDEX(PASTE_ALL,$DF182,24)&amp;"","")&amp;"␟"&amp;IFERROR(INDEX(PASTE_ALL,$DF182,25)&amp;"","")&amp;"␟"&amp;IFERROR(INDEX(PASTE_ALL,$DF182,26)&amp;"","")&amp;"␟"&amp;IFERROR(INDEX(PASTE_ALL,$DF182,27)&amp;"","")&amp;"␟"&amp;IFERROR(INDEX(PASTE_ALL,$DF182,28)&amp;"","")&amp;"␟"&amp;IFERROR(INDEX(PASTE_ALL,$DF182,29)&amp;"","")&amp;"␟"&amp;IFERROR(INDEX(PASTE_ALL,$DF182,30)&amp;"","")&amp;"␟"&amp;IFERROR(INDEX(PASTE_ALL,$DF182,31)&amp;"","")&amp;"␟"&amp;IFERROR(INDEX(PASTE_ALL,$DF182,32)&amp;"","")&amp;"␟"&amp;IFERROR(INDEX(PASTE_ALL,$DF182,33)&amp;"","")&amp;"␟"&amp;IFERROR(INDEX(PASTE_ALL,$DF182,34)&amp;"","")&amp;"␟"&amp;IFERROR(INDEX(PASTE_ALL,$DF182,35)&amp;"","")&amp;"␟"&amp;IFERROR(INDEX(PASTE_ALL,$DF182,36)&amp;"","")&amp;"␟"&amp;IFERROR(INDEX(PASTE_ALL,$DF182,37)&amp;"","")&amp;"␟"&amp;IFERROR(INDEX(PASTE_ALL,$DF182,38)&amp;"","")&amp;"␟"&amp;IFERROR(INDEX(PASTE_ALL,$DF182,39)&amp;"","")&amp;"␟"&amp;IFERROR(INDEX(PASTE_ALL,$DF182,40)&amp;"","")&amp;"␟"&amp;IFERROR(INDEX(PASTE_ALL,$DF182,41)&amp;"","")&amp;"␟"&amp;IFERROR(INDEX(PASTE_ALL,$DF182,42)&amp;"","")&amp;"␟"&amp;IFERROR(INDEX(PASTE_ALL,$DF182,43)&amp;"","")&amp;"␟"&amp;IFERROR(INDEX(PASTE_ALL,$DF182,44)&amp;"","")&amp;"␟"&amp;IFERROR(INDEX(PASTE_ALL,$DF182,45)&amp;"","")&amp;"␟"&amp;IFERROR(INDEX(PASTE_ALL,$DF182,46)&amp;"","")&amp;"␟"&amp;IFERROR(INDEX(PASTE_ALL,$DF182,47)&amp;"","")&amp;"␟"&amp;IFERROR(INDEX(PASTE_ALL,$DF182,48)&amp;"","")&amp;"␟"&amp;IFERROR(INDEX(PASTE_ALL,$DF182,49)&amp;"","")&amp;"␟"&amp;IFERROR(INDEX(PASTE_ALL,$DF182,50)&amp;"","")&amp;"␟"&amp;IFERROR(INDEX(PASTE_ALL,$DF182,51)&amp;"","")&amp;"␟"&amp;IFERROR(INDEX(PASTE_ALL,$DF182,52)&amp;"","")&amp;"␟"&amp;IFERROR(INDEX(PASTE_ALL,$DF182,53)&amp;"","")&amp;"␟"&amp;IFERROR(INDEX(PASTE_ALL,$DF182,54)&amp;"","")&amp;"␟"&amp;IFERROR(INDEX(PASTE_ALL,$DF182,55)&amp;"","")&amp;"␟"&amp;IFERROR(INDEX(PASTE_ALL,$DF182,56)&amp;"","")&amp;"␟"&amp;IFERROR(INDEX(PASTE_ALL,$DF182,57)&amp;"","")&amp;"␟"&amp;IFERROR(INDEX(PASTE_ALL,$DF182,58)&amp;"","")&amp;"␟"&amp;IFERROR(INDEX(PASTE_ALL,$DF182,59)&amp;"","")&amp;"␟"&amp;IFERROR(INDEX(PASTE_ALL,$DF182,60)&amp;"","")," "," "),CHAR(9)," "),CHAR(10)," "),CHAR(13)," "))," ␟","␟"),"␟ ","␟"),"#"&amp;$DE182),"")</f>
        <v/>
      </c>
      <c r="DJ182">
        <f>IF($DI182="",0,IF(SUMPRODUCT(--EXACT($DI$4:DI181,$DI182))&gt;0,1,0))</f>
        <v/>
      </c>
      <c r="DK182">
        <f>IF(AND($DI182&lt;&gt;"",$DJ182=0),1,0)</f>
        <v/>
      </c>
      <c r="DL182">
        <f>DL181+$DK182</f>
        <v/>
      </c>
      <c r="DM182">
        <f>IF(AND($DK182=1,$DL182&lt;=600),1,0)</f>
        <v/>
      </c>
      <c r="DN182">
        <f>IF($DM182=0,"",IF($L$6=0,"",IFERROR(IF(ISNUMBER(INDEX(PASTE_ALL,$DF182,$L$6)),INDEX(PASTE_ALL,$DF182,$L$6),TRIM(SUBSTITUTE(SUBSTITUTE(SUBSTITUTE(SUBSTITUTE(INDEX(PASTE_ALL,$DF182,$L$6)," "," "),CHAR(9)," "),CHAR(10)," "),CHAR(13)," "))),"")))</f>
        <v/>
      </c>
      <c r="DO182">
        <f>IF($DM182=0,"",IF($L$7=0,"",IFERROR(IF(ISNUMBER(INDEX(PASTE_ALL,$DF182,$L$7)),INDEX(PASTE_ALL,$DF182,$L$7),TRIM(SUBSTITUTE(SUBSTITUTE(SUBSTITUTE(SUBSTITUTE(INDEX(PASTE_ALL,$DF182,$L$7)," "," "),CHAR(9)," "),CHAR(10)," "),CHAR(13)," "))),"")))</f>
        <v/>
      </c>
      <c r="DP182">
        <f>IF($DM182=0,"",IF($L$8=0,"",IFERROR(IF(ISNUMBER(INDEX(PASTE_ALL,$DF182,$L$8)),INDEX(PASTE_ALL,$DF182,$L$8),TRIM(SUBSTITUTE(SUBSTITUTE(SUBSTITUTE(SUBSTITUTE(INDEX(PASTE_ALL,$DF182,$L$8)," "," "),CHAR(9)," "),CHAR(10)," "),CHAR(13)," "))),"")))</f>
        <v/>
      </c>
      <c r="DQ182">
        <f>IF($DM182=0,"",IF($L$9=0,"",IFERROR(IF(ISNUMBER(INDEX(PASTE_ALL,$DF182,$L$9)),INDEX(PASTE_ALL,$DF182,$L$9),TRIM(SUBSTITUTE(SUBSTITUTE(SUBSTITUTE(SUBSTITUTE(INDEX(PASTE_ALL,$DF182,$L$9)," "," "),CHAR(9)," "),CHAR(10)," "),CHAR(13)," "))),"")))</f>
        <v/>
      </c>
      <c r="DR182">
        <f>IF($DM182=0,"",IF($L$10=0,"",IFERROR(IF(ISNUMBER(INDEX(PASTE_ALL,$DF182,$L$10)),INDEX(PASTE_ALL,$DF182,$L$10),TRIM(SUBSTITUTE(SUBSTITUTE(SUBSTITUTE(SUBSTITUTE(INDEX(PASTE_ALL,$DF182,$L$10)," "," "),CHAR(9)," "),CHAR(10)," "),CHAR(13)," "))),"")))</f>
        <v/>
      </c>
      <c r="DS182">
        <f>IF($DM182=0,"",IF($L$11=0,"",IFERROR(IF(ISNUMBER(INDEX(PASTE_ALL,$DF182,$L$11)),INDEX(PASTE_ALL,$DF182,$L$11),TRIM(SUBSTITUTE(SUBSTITUTE(SUBSTITUTE(SUBSTITUTE(INDEX(PASTE_ALL,$DF182,$L$11)," "," "),CHAR(9)," "),CHAR(10)," "),CHAR(13)," "))),"")))</f>
        <v/>
      </c>
      <c r="DT182">
        <f>IF($DM182=0,"",IF($L$12=0,"",IFERROR(IF(ISNUMBER(INDEX(PASTE_ALL,$DF182,$L$12)),INDEX(PASTE_ALL,$DF182,$L$12),TRIM(SUBSTITUTE(SUBSTITUTE(SUBSTITUTE(SUBSTITUTE(INDEX(PASTE_ALL,$DF182,$L$12)," "," "),CHAR(9)," "),CHAR(10)," "),CHAR(13)," "))),"")))</f>
        <v/>
      </c>
      <c r="DU182">
        <f>IF($DM182=0,"",IF($L$13=0,"",IFERROR(IF(ISNUMBER(INDEX(PASTE_ALL,$DF182,$L$13)),INDEX(PASTE_ALL,$DF182,$L$13),TRIM(SUBSTITUTE(SUBSTITUTE(SUBSTITUTE(SUBSTITUTE(INDEX(PASTE_ALL,$DF182,$L$13)," "," "),CHAR(9)," "),CHAR(10)," "),CHAR(13)," "))),"")))</f>
        <v/>
      </c>
      <c r="DV182">
        <f>IF($DM182=0,"",IF($L$14=0,"",IFERROR(IF(ISNUMBER(INDEX(PASTE_ALL,$DF182,$L$14)),INDEX(PASTE_ALL,$DF182,$L$14),TRIM(SUBSTITUTE(SUBSTITUTE(SUBSTITUTE(SUBSTITUTE(INDEX(PASTE_ALL,$DF182,$L$14)," "," "),CHAR(9)," "),CHAR(10)," "),CHAR(13)," "))),"")))</f>
        <v/>
      </c>
      <c r="DW182">
        <f>IF($DM182=0,"",IF($L$15=0,"",IFERROR(IF(ISNUMBER(INDEX(PASTE_ALL,$DF182,$L$15)),INDEX(PASTE_ALL,$DF182,$L$15),IF(SUMPRODUCT(--ISNUMBER(FIND({"A","B","C","D","E","F","G","H","I","J","K","L","M","N","O","P","Q","R","S","T","U","V","W","X","Y","Z","0","1","2","3","4","5","6","7","8","9"},UPPER(TRIM(SUBSTITUTE(SUBSTITUTE(SUBSTITUTE(SUBSTITUTE(INDEX(PASTE_ALL,$DF182,$L$15)," "," "),CHAR(9)," "),CHAR(10)," "),CHAR(13)," "))))))&gt;0,TRIM(SUBSTITUTE(SUBSTITUTE(SUBSTITUTE(SUBSTITUTE(INDEX(PASTE_ALL,$DF182,$L$15)," "," "),CHAR(9)," "),CHAR(10)," "),CHAR(13)," ")),"")),"")))</f>
        <v/>
      </c>
      <c r="DX182">
        <f>IF($DM182=0,"",IF($L$16=0,"",IFERROR(IF(ISNUMBER(INDEX(PASTE_ALL,$DF182,$L$16)),INDEX(PASTE_ALL,$DF182,$L$16),SUBSTITUTE(SUBSTITUTE(TRIM(SUBSTITUTE(SUBSTITUTE(SUBSTITUTE(SUBSTITUTE(INDEX(PASTE_ALL,$DF182,$L$16)," "," "),CHAR(9)," "),CHAR(10)," "),CHAR(13)," ")),",",""),"%","")),"")))</f>
        <v/>
      </c>
      <c r="DY182">
        <f>IF($DM182=0,"",IFERROR(IF(ISNUMBER($DX182),$DX182,IF($DX182="","",IF(TRIM($DX182)="",0,IF(AND(AND(SUBSTITUTE(SUBSTITUTE(SUBSTITUTE(SUBSTITUTE(SUBSTITUTE(SUBSTITUTE(SUBSTITUTE(SUBSTITUTE(SUBSTITUTE(SUBSTITUTE(SUBSTITUTE(SUBSTITUTE(SUBSTITUTE(SUBSTITUTE(UPPER(TRIM($DX182)),"0",""),"1",""),"2",""),"3",""),"4",""),"5",""),"6",""),"7",""),"8",""),"9",""),".",""),"+",""),"-",""),"E","")="",LEN(SUBSTITUTE(SUBSTITUTE(MID(UPPER(TRIM($DX182)),1+OR(LEFT(UPPER(TRIM($DX182)),1)="+",LEFT(UPPER(TRIM($DX182)),1)="-"),999),"E+","E"),"E-","E"))=LEN(SUBSTITUTE(SUBSTITUTE(SUBSTITUTE(SUBSTITUTE(MID(UPPER(TRIM($DX182)),1+OR(LEFT(UPPER(TRIM($DX182)),1)="+",LEFT(UPPER(TRIM($DX182)),1)="-"),999),"E+","E"),"E-","E"),"+",""),"-","")),LEN(UPPER(TRIM($DX182)))-LEN(SUBSTITUTE(UPPER(TRIM($DX182)),"E",""))&lt;2,LEN(UPPER(TRIM($DX182)))-LEN(SUBSTITUTE(UPPER(TRIM($DX182)),".",""))&lt;2,IFERROR(FIND(".",UPPER(TRIM($DX182))),0)&lt;IFERROR(FIND("E",UPPER(TRIM($DX182))),999)),ISNUMBER(VALUE(TRIM($DX182)))),VALUE(TRIM($DX182)),"")))),""))</f>
        <v/>
      </c>
      <c r="DZ182">
        <f>IF($DM182=0,"",IF($L$17=0,"",IFERROR(IF(ISNUMBER(INDEX(PASTE_ALL,$DF182,$L$17)),INDEX(PASTE_ALL,$DF182,$L$17),SUBSTITUTE(SUBSTITUTE(TRIM(SUBSTITUTE(SUBSTITUTE(SUBSTITUTE(SUBSTITUTE(INDEX(PASTE_ALL,$DF182,$L$17)," "," "),CHAR(9)," "),CHAR(10)," "),CHAR(13)," ")),",",""),"%","")),"")))</f>
        <v/>
      </c>
      <c r="EA182">
        <f>IF($DM182=0,"",IFERROR(IF(ISNUMBER($DZ182),$DZ182,IF($DZ182="","",IF(TRIM($DZ182)="",0,IF(AND(AND(SUBSTITUTE(SUBSTITUTE(SUBSTITUTE(SUBSTITUTE(SUBSTITUTE(SUBSTITUTE(SUBSTITUTE(SUBSTITUTE(SUBSTITUTE(SUBSTITUTE(SUBSTITUTE(SUBSTITUTE(SUBSTITUTE(SUBSTITUTE(UPPER(TRIM($DZ182)),"0",""),"1",""),"2",""),"3",""),"4",""),"5",""),"6",""),"7",""),"8",""),"9",""),".",""),"+",""),"-",""),"E","")="",LEN(SUBSTITUTE(SUBSTITUTE(MID(UPPER(TRIM($DZ182)),1+OR(LEFT(UPPER(TRIM($DZ182)),1)="+",LEFT(UPPER(TRIM($DZ182)),1)="-"),999),"E+","E"),"E-","E"))=LEN(SUBSTITUTE(SUBSTITUTE(SUBSTITUTE(SUBSTITUTE(MID(UPPER(TRIM($DZ182)),1+OR(LEFT(UPPER(TRIM($DZ182)),1)="+",LEFT(UPPER(TRIM($DZ182)),1)="-"),999),"E+","E"),"E-","E"),"+",""),"-","")),LEN(UPPER(TRIM($DZ182)))-LEN(SUBSTITUTE(UPPER(TRIM($DZ182)),"E",""))&lt;2,LEN(UPPER(TRIM($DZ182)))-LEN(SUBSTITUTE(UPPER(TRIM($DZ182)),".",""))&lt;2,IFERROR(FIND(".",UPPER(TRIM($DZ182))),0)&lt;IFERROR(FIND("E",UPPER(TRIM($DZ182))),999)),ISNUMBER(VALUE(TRIM($DZ182)))),VALUE(TRIM($DZ182)),"")))),""))</f>
        <v/>
      </c>
      <c r="EB182">
        <f>IF($DM182=0,"",IF($L$18=0,"",IFERROR(IF(UPPER(TRIM(SUBSTITUTE(SUBSTITUTE(SUBSTITUTE(SUBSTITUTE(INDEX(PASTE_ALL,$DF182,$L$18)," "," "),CHAR(9)," "),CHAR(10)," "),CHAR(13)," ")))="READY","Ready",IF(UPPER(TRIM(SUBSTITUTE(SUBSTITUTE(SUBSTITUTE(SUBSTITUTE(INDEX(PASTE_ALL,$DF182,$L$18)," "," "),CHAR(9)," "),CHAR(10)," "),CHAR(13)," ")))="PM","PM",IF(OR(UPPER(TRIM(SUBSTITUTE(SUBSTITUTE(SUBSTITUTE(SUBSTITUTE(INDEX(PASTE_ALL,$DF182,$L$18)," "," "),CHAR(9)," "),CHAR(10)," "),CHAR(13)," ")))="OT",UPPER(TRIM(SUBSTITUTE(SUBSTITUTE(SUBSTITUTE(SUBSTITUTE(INDEX(PASTE_ALL,$DF182,$L$18)," "," "),CHAR(9)," "),CHAR(10)," "),CHAR(13)," ")))="OVERTIME",UPPER(TRIM(SUBSTITUTE(SUBSTITUTE(SUBSTITUTE(SUBSTITUTE(INDEX(PASTE_ALL,$DF182,$L$18)," "," "),CHAR(9)," "),CHAR(10)," "),CHAR(13)," ")))="TRIAL"),"OT",TRIM(SUBSTITUTE(SUBSTITUTE(SUBSTITUTE(SUBSTITUTE(INDEX(PASTE_ALL,$DF182,$L$18)," "," "),CHAR(9)," "),CHAR(10)," "),CHAR(13)," "))))),"")))</f>
        <v/>
      </c>
      <c r="EC182">
        <f>IF($DM182=0,"",IF($L$19=0,"",IFERROR(IF(ISNUMBER(INDEX(PASTE_ALL,$DF182,$L$19)),INDEX(PASTE_ALL,$DF182,$L$19),TRIM(SUBSTITUTE(SUBSTITUTE(SUBSTITUTE(SUBSTITUTE(INDEX(PASTE_ALL,$DF182,$L$19)," "," "),CHAR(9)," "),CHAR(10)," "),CHAR(13)," "))),"")))</f>
        <v/>
      </c>
      <c r="ED182">
        <f>IF($DM182=0,"",MATCH(1,INDEX(EXACT($DH$5:DH182,$DH182)*$DM$5:DM182,0),0))</f>
        <v/>
      </c>
      <c r="EE182">
        <f>IF($DM182=0,0,IF($ED182=$DE182,1,0))</f>
        <v/>
      </c>
      <c r="EF182">
        <f>EF181+$EE182</f>
        <v/>
      </c>
      <c r="EG182">
        <f>IF($DM182=0,"",INDEX($EF$5:$EF$1003,$ED182))</f>
        <v/>
      </c>
      <c r="EH182">
        <f>IF($DM182=0,"",IF($DO182&lt;&gt;"","",IFERROR(LOOKUP(2,1/(($EG$4:EG181=$EG182)*($DO$4:DO181&lt;&gt;"")),$DO$4:DO181),"")))</f>
        <v/>
      </c>
      <c r="EI182">
        <f>IF($DM182=0,"",IF($DO182&lt;&gt;"",$DO182,$EH182))</f>
        <v/>
      </c>
      <c r="EJ182">
        <f>IF($DM182=0,"",IF($EI182="",0,IF(OR(ISNUMBER($EI182),AND(AND(SUBSTITUTE(SUBSTITUTE(SUBSTITUTE(SUBSTITUTE(SUBSTITUTE(SUBSTITUTE(SUBSTITUTE(SUBSTITUTE(SUBSTITUTE(SUBSTITUTE(SUBSTITUTE(SUBSTITUTE(SUBSTITUTE(SUBSTITUTE(UPPER($EI182),"0",""),"1",""),"2",""),"3",""),"4",""),"5",""),"6",""),"7",""),"8",""),"9",""),".",""),"+",""),"-",""),"E","")="",LEN(SUBSTITUTE(SUBSTITUTE(MID(UPPER($EI182),1+OR(LEFT(UPPER($EI182),1)="+",LEFT(UPPER($EI182),1)="-"),999),"E+","E"),"E-","E"))=LEN(SUBSTITUTE(SUBSTITUTE(SUBSTITUTE(SUBSTITUTE(MID(UPPER($EI182),1+OR(LEFT(UPPER($EI182),1)="+",LEFT(UPPER($EI182),1)="-"),999),"E+","E"),"E-","E"),"+",""),"-","")),LEN(UPPER($EI182))-LEN(SUBSTITUTE(UPPER($EI182),"E",""))&lt;2,LEN(UPPER($EI182))-LEN(SUBSTITUTE(UPPER($EI182),".",""))&lt;2,IFERROR(FIND(".",UPPER($EI182)),0)&lt;IFERROR(FIND("E",UPPER($EI182)),999)),ISNUMBER(VALUE($EI182)))),1,2)))</f>
        <v/>
      </c>
      <c r="EK182">
        <f>IF($DM182=0,"",IF($EJ182=1,IF(ISNUMBER($EI182),$EI182,VALUE($EI182)),IF($EJ182=2,$DE182,0)))</f>
        <v/>
      </c>
      <c r="EL182">
        <f>IF($DM182=0,"",COUNTIF($EG$5:$EG$1003,"&lt;"&amp;$EG182)+SUMPRODUCT(($EG$5:$EG$1003=$EG182)*(($EJ$5:$EJ$1003&lt;$EJ182)+($EJ$5:$EJ$1003=$EJ182)*(($EK$5:$EK$1003&lt;$EK182)+($EK$5:$EK$1003=$EK182)*($DE$5:$DE$1003&lt;$DE182))))+1)</f>
        <v/>
      </c>
      <c r="EM182">
        <f>IF($DM182=0,"",$EL182+$EG182-1)</f>
        <v/>
      </c>
      <c r="EN182">
        <f>IF($DM182=0,0,IFERROR(MATCH(1,INDEX(--(TRIM(SUBSTITUTE(SUBSTITUTE(SUBSTITUTE(SUBSTITUTE(LINES_NAME&amp;""," "," "),CHAR(9)," "),CHAR(10)," "),CHAR(13)," "))=$DH182),0),0),0))</f>
        <v/>
      </c>
      <c r="EO182">
        <f>IF($EN182=0,0,IF(OR(UPPER(TRIM(INDEX(LINES_SCHEDULED,$EN182)&amp;""))="YES",UPPER(TRIM(INDEX(LINES_SCHEDULED,$EN182)&amp;""))="Y",UPPER(TRIM(INDEX(LINES_SCHEDULED,$EN182)&amp;""))="X"),1,0))</f>
        <v/>
      </c>
      <c r="EP182">
        <f>IF($DM182=0,"",IF(COUNTIFS($EG$5:$EG$1003,$EG182,$EB$5:$EB$1003,"Ready")&gt;0,"READY",IF(COUNTIFS($EG$5:$EG$1003,$EG182,$EB$5:$EB$1003,"PM")&gt;0,"PM",IF(COUNTIFS($EG$5:$EG$1003,$EG182,$EB$5:$EB$1003,"OT")&gt;0,"OT",""))))</f>
        <v/>
      </c>
      <c r="EQ182">
        <f>IF($EN182=0,"",UPPER(TRIM(INDEX(LINES_STATUS,$EN182)&amp;"")))</f>
        <v/>
      </c>
      <c r="ER182">
        <f>IF($DM182=0,"",IF(OR($EQ182="READY",$EQ182="PM",$EQ182="OT"),$EQ182,$EP182))</f>
        <v/>
      </c>
      <c r="ES182">
        <f>IF($DM182=0,"",IF(AND($DV182&lt;&gt;"",UPPER($DV182)&lt;&gt;"N"),"allergen",IF(ISNUMBER(SEARCH("oil",$DQ182)),"oil",IF(OR(EXACT($DS182,"A662"),EXACT($DS182,"A624")),"bulk",""))))</f>
        <v/>
      </c>
      <c r="ET182">
        <f>IF($DM182=0,"",IF(OR($EA182="",$EA182=0),"",$EA182/100))</f>
        <v/>
      </c>
      <c r="EU182">
        <f>IF(OR($ET182="",$DY182=""),"",INT($DY182*(1-$ET182)+0.5))</f>
        <v/>
      </c>
      <c r="EW182" t="n">
        <v>178</v>
      </c>
      <c r="EX182">
        <f>IFERROR(MATCH($EW182,$EM$5:$EM$1003,0),0)</f>
        <v/>
      </c>
      <c r="EY182">
        <f>IF($EW182&gt;$B$12,"",IF($EX182&gt;0,"row","spacer"))</f>
        <v/>
      </c>
      <c r="EZ182">
        <f>IF(AND($EY182="row",$EY181&lt;&gt;"row"),1,0)</f>
        <v/>
      </c>
      <c r="FA182">
        <f>IF(AND($EY182="row",$EY183&lt;&gt;"row"),1,0)</f>
        <v/>
      </c>
      <c r="FB182">
        <f>IF($EZ182=1,IFERROR(IF(ISNUMBER(INDEX(PASTE_ALL,INDEX($DF$5:$DF$1003,$EX182),$B$37)),INDEX(PASTE_ALL,INDEX($DF$5:$DF$1003,$EX182),$B$37),INDEX($DH$5:$DH$1003,$EX182)),INDEX($DH$5:$DH$1003,$EX182)),"")</f>
        <v/>
      </c>
      <c r="FC182">
        <f>IF($EY182="row",INDEX($ER$5:$ER$1003,$EX182),"")</f>
        <v/>
      </c>
      <c r="FD182">
        <f>IF($EY182="row",INDEX($DN$5:$DN$1003,$EX182),"")</f>
        <v/>
      </c>
      <c r="FE182">
        <f>IF($EY182="row",INDEX($DO$5:$DO$1003,$EX182),"")</f>
        <v/>
      </c>
      <c r="FF182">
        <f>IF($EY182="row",INDEX($DP$5:$DP$1003,$EX182),"")</f>
        <v/>
      </c>
      <c r="FG182">
        <f>IF($EY182="row",INDEX($DQ$5:$DQ$1003,$EX182),"")</f>
        <v/>
      </c>
      <c r="FH182">
        <f>IF($EY182="row",INDEX($DR$5:$DR$1003,$EX182),"")</f>
        <v/>
      </c>
      <c r="FI182">
        <f>IF($EY182="row",INDEX($DS$5:$DS$1003,$EX182),"")</f>
        <v/>
      </c>
      <c r="FJ182">
        <f>IF($EY182="row",INDEX($DT$5:$DT$1003,$EX182),"")</f>
        <v/>
      </c>
      <c r="FK182">
        <f>IF($EY182="row",INDEX($DU$5:$DU$1003,$EX182),"")</f>
        <v/>
      </c>
      <c r="FL182">
        <f>IF($EY182="row",INDEX($DV$5:$DV$1003,$EX182),"")</f>
        <v/>
      </c>
      <c r="FM182">
        <f>IF($EY182="row",INDEX($DW$5:$DW$1003,$EX182),"")</f>
        <v/>
      </c>
      <c r="FN182">
        <f>IF($EY182="row",INDEX($DY$5:$DY$1003,$EX182),"")</f>
        <v/>
      </c>
      <c r="FO182">
        <f>IF($EY182="row",INDEX($EA$5:$EA$1003,$EX182),"")</f>
        <v/>
      </c>
      <c r="FP182">
        <f>IF($EY182="row",INDEX($EC$5:$EC$1003,$EX182),"")</f>
        <v/>
      </c>
      <c r="FQ182">
        <f>IF($EY182="row",INDEX($ET$5:$ET$1003,$EX182),"")</f>
        <v/>
      </c>
      <c r="FR182">
        <f>IF($EY182="row",INDEX($EU$5:$EU$1003,$EX182),"")</f>
        <v/>
      </c>
      <c r="FS182">
        <f>IF(AND($EY182="row",$EY181="row"),IF(OR(INDEX($DT$5:$DT$1003,$EX181)="",INDEX($DT$5:$DT$1003,$EX182)=""),"",IF(NOT(EXACT(INDEX($DT$5:$DT$1003,$EX181),INDEX($DT$5:$DT$1003,$EX182))),"S4",IF(NOT(EXACT(INDEX($DS$5:$DS$1003,$EX181),INDEX($DS$5:$DS$1003,$EX182))),"S3",IF(NOT(EXACT(INDEX($DR$5:$DR$1003,$EX181),INDEX($DR$5:$DR$1003,$EX182))),"S1 Count Change","S1")))),"")</f>
        <v/>
      </c>
      <c r="FT182">
        <f>IF($EY182="row",INDEX($ES$5:$ES$1003,$EX182),"")</f>
        <v/>
      </c>
      <c r="FU182">
        <f>IF($EY182="row",INDEX($EO$5:$EO$1003,$EX182),0)</f>
        <v/>
      </c>
      <c r="FV182">
        <f>IF($FS182="S1 Count Change",1,0)</f>
        <v/>
      </c>
    </row>
    <row r="183">
      <c r="DA183" t="n">
        <v>179</v>
      </c>
      <c r="DB183">
        <f>IF($B$37=0,"",IFERROR(TRIM(SUBSTITUTE(SUBSTITUTE(SUBSTITUTE(SUBSTITUTE(INDEX(PASTE_ALL,179,$B$37)," "," "),CHAR(9)," "),CHAR(10)," "),CHAR(13)," ")),""))</f>
        <v/>
      </c>
      <c r="DC183">
        <f>IF(AND(179&gt;HEADER_ROW,UPPER(DB183)="LEGEND"),1,0)</f>
        <v/>
      </c>
      <c r="DE183" t="n">
        <v>179</v>
      </c>
      <c r="DF183">
        <f>HEADER_ROW+$DE183</f>
        <v/>
      </c>
      <c r="DG183">
        <f>IF(AND($DF183&lt;=1000,$DF183&lt;$B$8),1,0)</f>
        <v/>
      </c>
      <c r="DH183">
        <f>IF($DG183=1,IFERROR(INDEX($DB$5:$DB$1004,$DF183),""),"")</f>
        <v/>
      </c>
      <c r="DI183">
        <f>IF(AND($DG183=1,$DH183&lt;&gt;""),IFERROR(SUBSTITUTE(SUBSTITUTE(TRIM(SUBSTITUTE(SUBSTITUTE(SUBSTITUTE(SUBSTITUTE(IFERROR(INDEX(PASTE_ALL,$DF183,1)&amp;"","")&amp;"␟"&amp;IFERROR(INDEX(PASTE_ALL,$DF183,2)&amp;"","")&amp;"␟"&amp;IFERROR(INDEX(PASTE_ALL,$DF183,3)&amp;"","")&amp;"␟"&amp;IFERROR(INDEX(PASTE_ALL,$DF183,4)&amp;"","")&amp;"␟"&amp;IFERROR(INDEX(PASTE_ALL,$DF183,5)&amp;"","")&amp;"␟"&amp;IFERROR(INDEX(PASTE_ALL,$DF183,6)&amp;"","")&amp;"␟"&amp;IFERROR(INDEX(PASTE_ALL,$DF183,7)&amp;"","")&amp;"␟"&amp;IFERROR(INDEX(PASTE_ALL,$DF183,8)&amp;"","")&amp;"␟"&amp;IFERROR(INDEX(PASTE_ALL,$DF183,9)&amp;"","")&amp;"␟"&amp;IFERROR(INDEX(PASTE_ALL,$DF183,10)&amp;"","")&amp;"␟"&amp;IFERROR(INDEX(PASTE_ALL,$DF183,11)&amp;"","")&amp;"␟"&amp;IFERROR(INDEX(PASTE_ALL,$DF183,12)&amp;"","")&amp;"␟"&amp;IFERROR(INDEX(PASTE_ALL,$DF183,13)&amp;"","")&amp;"␟"&amp;IFERROR(INDEX(PASTE_ALL,$DF183,14)&amp;"","")&amp;"␟"&amp;IFERROR(INDEX(PASTE_ALL,$DF183,15)&amp;"","")&amp;"␟"&amp;IFERROR(INDEX(PASTE_ALL,$DF183,16)&amp;"","")&amp;"␟"&amp;IFERROR(INDEX(PASTE_ALL,$DF183,17)&amp;"","")&amp;"␟"&amp;IFERROR(INDEX(PASTE_ALL,$DF183,18)&amp;"","")&amp;"␟"&amp;IFERROR(INDEX(PASTE_ALL,$DF183,19)&amp;"","")&amp;"␟"&amp;IFERROR(INDEX(PASTE_ALL,$DF183,20)&amp;"","")&amp;"␟"&amp;IFERROR(INDEX(PASTE_ALL,$DF183,21)&amp;"","")&amp;"␟"&amp;IFERROR(INDEX(PASTE_ALL,$DF183,22)&amp;"","")&amp;"␟"&amp;IFERROR(INDEX(PASTE_ALL,$DF183,23)&amp;"","")&amp;"␟"&amp;IFERROR(INDEX(PASTE_ALL,$DF183,24)&amp;"","")&amp;"␟"&amp;IFERROR(INDEX(PASTE_ALL,$DF183,25)&amp;"","")&amp;"␟"&amp;IFERROR(INDEX(PASTE_ALL,$DF183,26)&amp;"","")&amp;"␟"&amp;IFERROR(INDEX(PASTE_ALL,$DF183,27)&amp;"","")&amp;"␟"&amp;IFERROR(INDEX(PASTE_ALL,$DF183,28)&amp;"","")&amp;"␟"&amp;IFERROR(INDEX(PASTE_ALL,$DF183,29)&amp;"","")&amp;"␟"&amp;IFERROR(INDEX(PASTE_ALL,$DF183,30)&amp;"","")&amp;"␟"&amp;IFERROR(INDEX(PASTE_ALL,$DF183,31)&amp;"","")&amp;"␟"&amp;IFERROR(INDEX(PASTE_ALL,$DF183,32)&amp;"","")&amp;"␟"&amp;IFERROR(INDEX(PASTE_ALL,$DF183,33)&amp;"","")&amp;"␟"&amp;IFERROR(INDEX(PASTE_ALL,$DF183,34)&amp;"","")&amp;"␟"&amp;IFERROR(INDEX(PASTE_ALL,$DF183,35)&amp;"","")&amp;"␟"&amp;IFERROR(INDEX(PASTE_ALL,$DF183,36)&amp;"","")&amp;"␟"&amp;IFERROR(INDEX(PASTE_ALL,$DF183,37)&amp;"","")&amp;"␟"&amp;IFERROR(INDEX(PASTE_ALL,$DF183,38)&amp;"","")&amp;"␟"&amp;IFERROR(INDEX(PASTE_ALL,$DF183,39)&amp;"","")&amp;"␟"&amp;IFERROR(INDEX(PASTE_ALL,$DF183,40)&amp;"","")&amp;"␟"&amp;IFERROR(INDEX(PASTE_ALL,$DF183,41)&amp;"","")&amp;"␟"&amp;IFERROR(INDEX(PASTE_ALL,$DF183,42)&amp;"","")&amp;"␟"&amp;IFERROR(INDEX(PASTE_ALL,$DF183,43)&amp;"","")&amp;"␟"&amp;IFERROR(INDEX(PASTE_ALL,$DF183,44)&amp;"","")&amp;"␟"&amp;IFERROR(INDEX(PASTE_ALL,$DF183,45)&amp;"","")&amp;"␟"&amp;IFERROR(INDEX(PASTE_ALL,$DF183,46)&amp;"","")&amp;"␟"&amp;IFERROR(INDEX(PASTE_ALL,$DF183,47)&amp;"","")&amp;"␟"&amp;IFERROR(INDEX(PASTE_ALL,$DF183,48)&amp;"","")&amp;"␟"&amp;IFERROR(INDEX(PASTE_ALL,$DF183,49)&amp;"","")&amp;"␟"&amp;IFERROR(INDEX(PASTE_ALL,$DF183,50)&amp;"","")&amp;"␟"&amp;IFERROR(INDEX(PASTE_ALL,$DF183,51)&amp;"","")&amp;"␟"&amp;IFERROR(INDEX(PASTE_ALL,$DF183,52)&amp;"","")&amp;"␟"&amp;IFERROR(INDEX(PASTE_ALL,$DF183,53)&amp;"","")&amp;"␟"&amp;IFERROR(INDEX(PASTE_ALL,$DF183,54)&amp;"","")&amp;"␟"&amp;IFERROR(INDEX(PASTE_ALL,$DF183,55)&amp;"","")&amp;"␟"&amp;IFERROR(INDEX(PASTE_ALL,$DF183,56)&amp;"","")&amp;"␟"&amp;IFERROR(INDEX(PASTE_ALL,$DF183,57)&amp;"","")&amp;"␟"&amp;IFERROR(INDEX(PASTE_ALL,$DF183,58)&amp;"","")&amp;"␟"&amp;IFERROR(INDEX(PASTE_ALL,$DF183,59)&amp;"","")&amp;"␟"&amp;IFERROR(INDEX(PASTE_ALL,$DF183,60)&amp;"","")," "," "),CHAR(9)," "),CHAR(10)," "),CHAR(13)," "))," ␟","␟"),"␟ ","␟"),"#"&amp;$DE183),"")</f>
        <v/>
      </c>
      <c r="DJ183">
        <f>IF($DI183="",0,IF(SUMPRODUCT(--EXACT($DI$4:DI182,$DI183))&gt;0,1,0))</f>
        <v/>
      </c>
      <c r="DK183">
        <f>IF(AND($DI183&lt;&gt;"",$DJ183=0),1,0)</f>
        <v/>
      </c>
      <c r="DL183">
        <f>DL182+$DK183</f>
        <v/>
      </c>
      <c r="DM183">
        <f>IF(AND($DK183=1,$DL183&lt;=600),1,0)</f>
        <v/>
      </c>
      <c r="DN183">
        <f>IF($DM183=0,"",IF($L$6=0,"",IFERROR(IF(ISNUMBER(INDEX(PASTE_ALL,$DF183,$L$6)),INDEX(PASTE_ALL,$DF183,$L$6),TRIM(SUBSTITUTE(SUBSTITUTE(SUBSTITUTE(SUBSTITUTE(INDEX(PASTE_ALL,$DF183,$L$6)," "," "),CHAR(9)," "),CHAR(10)," "),CHAR(13)," "))),"")))</f>
        <v/>
      </c>
      <c r="DO183">
        <f>IF($DM183=0,"",IF($L$7=0,"",IFERROR(IF(ISNUMBER(INDEX(PASTE_ALL,$DF183,$L$7)),INDEX(PASTE_ALL,$DF183,$L$7),TRIM(SUBSTITUTE(SUBSTITUTE(SUBSTITUTE(SUBSTITUTE(INDEX(PASTE_ALL,$DF183,$L$7)," "," "),CHAR(9)," "),CHAR(10)," "),CHAR(13)," "))),"")))</f>
        <v/>
      </c>
      <c r="DP183">
        <f>IF($DM183=0,"",IF($L$8=0,"",IFERROR(IF(ISNUMBER(INDEX(PASTE_ALL,$DF183,$L$8)),INDEX(PASTE_ALL,$DF183,$L$8),TRIM(SUBSTITUTE(SUBSTITUTE(SUBSTITUTE(SUBSTITUTE(INDEX(PASTE_ALL,$DF183,$L$8)," "," "),CHAR(9)," "),CHAR(10)," "),CHAR(13)," "))),"")))</f>
        <v/>
      </c>
      <c r="DQ183">
        <f>IF($DM183=0,"",IF($L$9=0,"",IFERROR(IF(ISNUMBER(INDEX(PASTE_ALL,$DF183,$L$9)),INDEX(PASTE_ALL,$DF183,$L$9),TRIM(SUBSTITUTE(SUBSTITUTE(SUBSTITUTE(SUBSTITUTE(INDEX(PASTE_ALL,$DF183,$L$9)," "," "),CHAR(9)," "),CHAR(10)," "),CHAR(13)," "))),"")))</f>
        <v/>
      </c>
      <c r="DR183">
        <f>IF($DM183=0,"",IF($L$10=0,"",IFERROR(IF(ISNUMBER(INDEX(PASTE_ALL,$DF183,$L$10)),INDEX(PASTE_ALL,$DF183,$L$10),TRIM(SUBSTITUTE(SUBSTITUTE(SUBSTITUTE(SUBSTITUTE(INDEX(PASTE_ALL,$DF183,$L$10)," "," "),CHAR(9)," "),CHAR(10)," "),CHAR(13)," "))),"")))</f>
        <v/>
      </c>
      <c r="DS183">
        <f>IF($DM183=0,"",IF($L$11=0,"",IFERROR(IF(ISNUMBER(INDEX(PASTE_ALL,$DF183,$L$11)),INDEX(PASTE_ALL,$DF183,$L$11),TRIM(SUBSTITUTE(SUBSTITUTE(SUBSTITUTE(SUBSTITUTE(INDEX(PASTE_ALL,$DF183,$L$11)," "," "),CHAR(9)," "),CHAR(10)," "),CHAR(13)," "))),"")))</f>
        <v/>
      </c>
      <c r="DT183">
        <f>IF($DM183=0,"",IF($L$12=0,"",IFERROR(IF(ISNUMBER(INDEX(PASTE_ALL,$DF183,$L$12)),INDEX(PASTE_ALL,$DF183,$L$12),TRIM(SUBSTITUTE(SUBSTITUTE(SUBSTITUTE(SUBSTITUTE(INDEX(PASTE_ALL,$DF183,$L$12)," "," "),CHAR(9)," "),CHAR(10)," "),CHAR(13)," "))),"")))</f>
        <v/>
      </c>
      <c r="DU183">
        <f>IF($DM183=0,"",IF($L$13=0,"",IFERROR(IF(ISNUMBER(INDEX(PASTE_ALL,$DF183,$L$13)),INDEX(PASTE_ALL,$DF183,$L$13),TRIM(SUBSTITUTE(SUBSTITUTE(SUBSTITUTE(SUBSTITUTE(INDEX(PASTE_ALL,$DF183,$L$13)," "," "),CHAR(9)," "),CHAR(10)," "),CHAR(13)," "))),"")))</f>
        <v/>
      </c>
      <c r="DV183">
        <f>IF($DM183=0,"",IF($L$14=0,"",IFERROR(IF(ISNUMBER(INDEX(PASTE_ALL,$DF183,$L$14)),INDEX(PASTE_ALL,$DF183,$L$14),TRIM(SUBSTITUTE(SUBSTITUTE(SUBSTITUTE(SUBSTITUTE(INDEX(PASTE_ALL,$DF183,$L$14)," "," "),CHAR(9)," "),CHAR(10)," "),CHAR(13)," "))),"")))</f>
        <v/>
      </c>
      <c r="DW183">
        <f>IF($DM183=0,"",IF($L$15=0,"",IFERROR(IF(ISNUMBER(INDEX(PASTE_ALL,$DF183,$L$15)),INDEX(PASTE_ALL,$DF183,$L$15),IF(SUMPRODUCT(--ISNUMBER(FIND({"A","B","C","D","E","F","G","H","I","J","K","L","M","N","O","P","Q","R","S","T","U","V","W","X","Y","Z","0","1","2","3","4","5","6","7","8","9"},UPPER(TRIM(SUBSTITUTE(SUBSTITUTE(SUBSTITUTE(SUBSTITUTE(INDEX(PASTE_ALL,$DF183,$L$15)," "," "),CHAR(9)," "),CHAR(10)," "),CHAR(13)," "))))))&gt;0,TRIM(SUBSTITUTE(SUBSTITUTE(SUBSTITUTE(SUBSTITUTE(INDEX(PASTE_ALL,$DF183,$L$15)," "," "),CHAR(9)," "),CHAR(10)," "),CHAR(13)," ")),"")),"")))</f>
        <v/>
      </c>
      <c r="DX183">
        <f>IF($DM183=0,"",IF($L$16=0,"",IFERROR(IF(ISNUMBER(INDEX(PASTE_ALL,$DF183,$L$16)),INDEX(PASTE_ALL,$DF183,$L$16),SUBSTITUTE(SUBSTITUTE(TRIM(SUBSTITUTE(SUBSTITUTE(SUBSTITUTE(SUBSTITUTE(INDEX(PASTE_ALL,$DF183,$L$16)," "," "),CHAR(9)," "),CHAR(10)," "),CHAR(13)," ")),",",""),"%","")),"")))</f>
        <v/>
      </c>
      <c r="DY183">
        <f>IF($DM183=0,"",IFERROR(IF(ISNUMBER($DX183),$DX183,IF($DX183="","",IF(TRIM($DX183)="",0,IF(AND(AND(SUBSTITUTE(SUBSTITUTE(SUBSTITUTE(SUBSTITUTE(SUBSTITUTE(SUBSTITUTE(SUBSTITUTE(SUBSTITUTE(SUBSTITUTE(SUBSTITUTE(SUBSTITUTE(SUBSTITUTE(SUBSTITUTE(SUBSTITUTE(UPPER(TRIM($DX183)),"0",""),"1",""),"2",""),"3",""),"4",""),"5",""),"6",""),"7",""),"8",""),"9",""),".",""),"+",""),"-",""),"E","")="",LEN(SUBSTITUTE(SUBSTITUTE(MID(UPPER(TRIM($DX183)),1+OR(LEFT(UPPER(TRIM($DX183)),1)="+",LEFT(UPPER(TRIM($DX183)),1)="-"),999),"E+","E"),"E-","E"))=LEN(SUBSTITUTE(SUBSTITUTE(SUBSTITUTE(SUBSTITUTE(MID(UPPER(TRIM($DX183)),1+OR(LEFT(UPPER(TRIM($DX183)),1)="+",LEFT(UPPER(TRIM($DX183)),1)="-"),999),"E+","E"),"E-","E"),"+",""),"-","")),LEN(UPPER(TRIM($DX183)))-LEN(SUBSTITUTE(UPPER(TRIM($DX183)),"E",""))&lt;2,LEN(UPPER(TRIM($DX183)))-LEN(SUBSTITUTE(UPPER(TRIM($DX183)),".",""))&lt;2,IFERROR(FIND(".",UPPER(TRIM($DX183))),0)&lt;IFERROR(FIND("E",UPPER(TRIM($DX183))),999)),ISNUMBER(VALUE(TRIM($DX183)))),VALUE(TRIM($DX183)),"")))),""))</f>
        <v/>
      </c>
      <c r="DZ183">
        <f>IF($DM183=0,"",IF($L$17=0,"",IFERROR(IF(ISNUMBER(INDEX(PASTE_ALL,$DF183,$L$17)),INDEX(PASTE_ALL,$DF183,$L$17),SUBSTITUTE(SUBSTITUTE(TRIM(SUBSTITUTE(SUBSTITUTE(SUBSTITUTE(SUBSTITUTE(INDEX(PASTE_ALL,$DF183,$L$17)," "," "),CHAR(9)," "),CHAR(10)," "),CHAR(13)," ")),",",""),"%","")),"")))</f>
        <v/>
      </c>
      <c r="EA183">
        <f>IF($DM183=0,"",IFERROR(IF(ISNUMBER($DZ183),$DZ183,IF($DZ183="","",IF(TRIM($DZ183)="",0,IF(AND(AND(SUBSTITUTE(SUBSTITUTE(SUBSTITUTE(SUBSTITUTE(SUBSTITUTE(SUBSTITUTE(SUBSTITUTE(SUBSTITUTE(SUBSTITUTE(SUBSTITUTE(SUBSTITUTE(SUBSTITUTE(SUBSTITUTE(SUBSTITUTE(UPPER(TRIM($DZ183)),"0",""),"1",""),"2",""),"3",""),"4",""),"5",""),"6",""),"7",""),"8",""),"9",""),".",""),"+",""),"-",""),"E","")="",LEN(SUBSTITUTE(SUBSTITUTE(MID(UPPER(TRIM($DZ183)),1+OR(LEFT(UPPER(TRIM($DZ183)),1)="+",LEFT(UPPER(TRIM($DZ183)),1)="-"),999),"E+","E"),"E-","E"))=LEN(SUBSTITUTE(SUBSTITUTE(SUBSTITUTE(SUBSTITUTE(MID(UPPER(TRIM($DZ183)),1+OR(LEFT(UPPER(TRIM($DZ183)),1)="+",LEFT(UPPER(TRIM($DZ183)),1)="-"),999),"E+","E"),"E-","E"),"+",""),"-","")),LEN(UPPER(TRIM($DZ183)))-LEN(SUBSTITUTE(UPPER(TRIM($DZ183)),"E",""))&lt;2,LEN(UPPER(TRIM($DZ183)))-LEN(SUBSTITUTE(UPPER(TRIM($DZ183)),".",""))&lt;2,IFERROR(FIND(".",UPPER(TRIM($DZ183))),0)&lt;IFERROR(FIND("E",UPPER(TRIM($DZ183))),999)),ISNUMBER(VALUE(TRIM($DZ183)))),VALUE(TRIM($DZ183)),"")))),""))</f>
        <v/>
      </c>
      <c r="EB183">
        <f>IF($DM183=0,"",IF($L$18=0,"",IFERROR(IF(UPPER(TRIM(SUBSTITUTE(SUBSTITUTE(SUBSTITUTE(SUBSTITUTE(INDEX(PASTE_ALL,$DF183,$L$18)," "," "),CHAR(9)," "),CHAR(10)," "),CHAR(13)," ")))="READY","Ready",IF(UPPER(TRIM(SUBSTITUTE(SUBSTITUTE(SUBSTITUTE(SUBSTITUTE(INDEX(PASTE_ALL,$DF183,$L$18)," "," "),CHAR(9)," "),CHAR(10)," "),CHAR(13)," ")))="PM","PM",IF(OR(UPPER(TRIM(SUBSTITUTE(SUBSTITUTE(SUBSTITUTE(SUBSTITUTE(INDEX(PASTE_ALL,$DF183,$L$18)," "," "),CHAR(9)," "),CHAR(10)," "),CHAR(13)," ")))="OT",UPPER(TRIM(SUBSTITUTE(SUBSTITUTE(SUBSTITUTE(SUBSTITUTE(INDEX(PASTE_ALL,$DF183,$L$18)," "," "),CHAR(9)," "),CHAR(10)," "),CHAR(13)," ")))="OVERTIME",UPPER(TRIM(SUBSTITUTE(SUBSTITUTE(SUBSTITUTE(SUBSTITUTE(INDEX(PASTE_ALL,$DF183,$L$18)," "," "),CHAR(9)," "),CHAR(10)," "),CHAR(13)," ")))="TRIAL"),"OT",TRIM(SUBSTITUTE(SUBSTITUTE(SUBSTITUTE(SUBSTITUTE(INDEX(PASTE_ALL,$DF183,$L$18)," "," "),CHAR(9)," "),CHAR(10)," "),CHAR(13)," "))))),"")))</f>
        <v/>
      </c>
      <c r="EC183">
        <f>IF($DM183=0,"",IF($L$19=0,"",IFERROR(IF(ISNUMBER(INDEX(PASTE_ALL,$DF183,$L$19)),INDEX(PASTE_ALL,$DF183,$L$19),TRIM(SUBSTITUTE(SUBSTITUTE(SUBSTITUTE(SUBSTITUTE(INDEX(PASTE_ALL,$DF183,$L$19)," "," "),CHAR(9)," "),CHAR(10)," "),CHAR(13)," "))),"")))</f>
        <v/>
      </c>
      <c r="ED183">
        <f>IF($DM183=0,"",MATCH(1,INDEX(EXACT($DH$5:DH183,$DH183)*$DM$5:DM183,0),0))</f>
        <v/>
      </c>
      <c r="EE183">
        <f>IF($DM183=0,0,IF($ED183=$DE183,1,0))</f>
        <v/>
      </c>
      <c r="EF183">
        <f>EF182+$EE183</f>
        <v/>
      </c>
      <c r="EG183">
        <f>IF($DM183=0,"",INDEX($EF$5:$EF$1003,$ED183))</f>
        <v/>
      </c>
      <c r="EH183">
        <f>IF($DM183=0,"",IF($DO183&lt;&gt;"","",IFERROR(LOOKUP(2,1/(($EG$4:EG182=$EG183)*($DO$4:DO182&lt;&gt;"")),$DO$4:DO182),"")))</f>
        <v/>
      </c>
      <c r="EI183">
        <f>IF($DM183=0,"",IF($DO183&lt;&gt;"",$DO183,$EH183))</f>
        <v/>
      </c>
      <c r="EJ183">
        <f>IF($DM183=0,"",IF($EI183="",0,IF(OR(ISNUMBER($EI183),AND(AND(SUBSTITUTE(SUBSTITUTE(SUBSTITUTE(SUBSTITUTE(SUBSTITUTE(SUBSTITUTE(SUBSTITUTE(SUBSTITUTE(SUBSTITUTE(SUBSTITUTE(SUBSTITUTE(SUBSTITUTE(SUBSTITUTE(SUBSTITUTE(UPPER($EI183),"0",""),"1",""),"2",""),"3",""),"4",""),"5",""),"6",""),"7",""),"8",""),"9",""),".",""),"+",""),"-",""),"E","")="",LEN(SUBSTITUTE(SUBSTITUTE(MID(UPPER($EI183),1+OR(LEFT(UPPER($EI183),1)="+",LEFT(UPPER($EI183),1)="-"),999),"E+","E"),"E-","E"))=LEN(SUBSTITUTE(SUBSTITUTE(SUBSTITUTE(SUBSTITUTE(MID(UPPER($EI183),1+OR(LEFT(UPPER($EI183),1)="+",LEFT(UPPER($EI183),1)="-"),999),"E+","E"),"E-","E"),"+",""),"-","")),LEN(UPPER($EI183))-LEN(SUBSTITUTE(UPPER($EI183),"E",""))&lt;2,LEN(UPPER($EI183))-LEN(SUBSTITUTE(UPPER($EI183),".",""))&lt;2,IFERROR(FIND(".",UPPER($EI183)),0)&lt;IFERROR(FIND("E",UPPER($EI183)),999)),ISNUMBER(VALUE($EI183)))),1,2)))</f>
        <v/>
      </c>
      <c r="EK183">
        <f>IF($DM183=0,"",IF($EJ183=1,IF(ISNUMBER($EI183),$EI183,VALUE($EI183)),IF($EJ183=2,$DE183,0)))</f>
        <v/>
      </c>
      <c r="EL183">
        <f>IF($DM183=0,"",COUNTIF($EG$5:$EG$1003,"&lt;"&amp;$EG183)+SUMPRODUCT(($EG$5:$EG$1003=$EG183)*(($EJ$5:$EJ$1003&lt;$EJ183)+($EJ$5:$EJ$1003=$EJ183)*(($EK$5:$EK$1003&lt;$EK183)+($EK$5:$EK$1003=$EK183)*($DE$5:$DE$1003&lt;$DE183))))+1)</f>
        <v/>
      </c>
      <c r="EM183">
        <f>IF($DM183=0,"",$EL183+$EG183-1)</f>
        <v/>
      </c>
      <c r="EN183">
        <f>IF($DM183=0,0,IFERROR(MATCH(1,INDEX(--(TRIM(SUBSTITUTE(SUBSTITUTE(SUBSTITUTE(SUBSTITUTE(LINES_NAME&amp;""," "," "),CHAR(9)," "),CHAR(10)," "),CHAR(13)," "))=$DH183),0),0),0))</f>
        <v/>
      </c>
      <c r="EO183">
        <f>IF($EN183=0,0,IF(OR(UPPER(TRIM(INDEX(LINES_SCHEDULED,$EN183)&amp;""))="YES",UPPER(TRIM(INDEX(LINES_SCHEDULED,$EN183)&amp;""))="Y",UPPER(TRIM(INDEX(LINES_SCHEDULED,$EN183)&amp;""))="X"),1,0))</f>
        <v/>
      </c>
      <c r="EP183">
        <f>IF($DM183=0,"",IF(COUNTIFS($EG$5:$EG$1003,$EG183,$EB$5:$EB$1003,"Ready")&gt;0,"READY",IF(COUNTIFS($EG$5:$EG$1003,$EG183,$EB$5:$EB$1003,"PM")&gt;0,"PM",IF(COUNTIFS($EG$5:$EG$1003,$EG183,$EB$5:$EB$1003,"OT")&gt;0,"OT",""))))</f>
        <v/>
      </c>
      <c r="EQ183">
        <f>IF($EN183=0,"",UPPER(TRIM(INDEX(LINES_STATUS,$EN183)&amp;"")))</f>
        <v/>
      </c>
      <c r="ER183">
        <f>IF($DM183=0,"",IF(OR($EQ183="READY",$EQ183="PM",$EQ183="OT"),$EQ183,$EP183))</f>
        <v/>
      </c>
      <c r="ES183">
        <f>IF($DM183=0,"",IF(AND($DV183&lt;&gt;"",UPPER($DV183)&lt;&gt;"N"),"allergen",IF(ISNUMBER(SEARCH("oil",$DQ183)),"oil",IF(OR(EXACT($DS183,"A662"),EXACT($DS183,"A624")),"bulk",""))))</f>
        <v/>
      </c>
      <c r="ET183">
        <f>IF($DM183=0,"",IF(OR($EA183="",$EA183=0),"",$EA183/100))</f>
        <v/>
      </c>
      <c r="EU183">
        <f>IF(OR($ET183="",$DY183=""),"",INT($DY183*(1-$ET183)+0.5))</f>
        <v/>
      </c>
      <c r="EW183" t="n">
        <v>179</v>
      </c>
      <c r="EX183">
        <f>IFERROR(MATCH($EW183,$EM$5:$EM$1003,0),0)</f>
        <v/>
      </c>
      <c r="EY183">
        <f>IF($EW183&gt;$B$12,"",IF($EX183&gt;0,"row","spacer"))</f>
        <v/>
      </c>
      <c r="EZ183">
        <f>IF(AND($EY183="row",$EY182&lt;&gt;"row"),1,0)</f>
        <v/>
      </c>
      <c r="FA183">
        <f>IF(AND($EY183="row",$EY184&lt;&gt;"row"),1,0)</f>
        <v/>
      </c>
      <c r="FB183">
        <f>IF($EZ183=1,IFERROR(IF(ISNUMBER(INDEX(PASTE_ALL,INDEX($DF$5:$DF$1003,$EX183),$B$37)),INDEX(PASTE_ALL,INDEX($DF$5:$DF$1003,$EX183),$B$37),INDEX($DH$5:$DH$1003,$EX183)),INDEX($DH$5:$DH$1003,$EX183)),"")</f>
        <v/>
      </c>
      <c r="FC183">
        <f>IF($EY183="row",INDEX($ER$5:$ER$1003,$EX183),"")</f>
        <v/>
      </c>
      <c r="FD183">
        <f>IF($EY183="row",INDEX($DN$5:$DN$1003,$EX183),"")</f>
        <v/>
      </c>
      <c r="FE183">
        <f>IF($EY183="row",INDEX($DO$5:$DO$1003,$EX183),"")</f>
        <v/>
      </c>
      <c r="FF183">
        <f>IF($EY183="row",INDEX($DP$5:$DP$1003,$EX183),"")</f>
        <v/>
      </c>
      <c r="FG183">
        <f>IF($EY183="row",INDEX($DQ$5:$DQ$1003,$EX183),"")</f>
        <v/>
      </c>
      <c r="FH183">
        <f>IF($EY183="row",INDEX($DR$5:$DR$1003,$EX183),"")</f>
        <v/>
      </c>
      <c r="FI183">
        <f>IF($EY183="row",INDEX($DS$5:$DS$1003,$EX183),"")</f>
        <v/>
      </c>
      <c r="FJ183">
        <f>IF($EY183="row",INDEX($DT$5:$DT$1003,$EX183),"")</f>
        <v/>
      </c>
      <c r="FK183">
        <f>IF($EY183="row",INDEX($DU$5:$DU$1003,$EX183),"")</f>
        <v/>
      </c>
      <c r="FL183">
        <f>IF($EY183="row",INDEX($DV$5:$DV$1003,$EX183),"")</f>
        <v/>
      </c>
      <c r="FM183">
        <f>IF($EY183="row",INDEX($DW$5:$DW$1003,$EX183),"")</f>
        <v/>
      </c>
      <c r="FN183">
        <f>IF($EY183="row",INDEX($DY$5:$DY$1003,$EX183),"")</f>
        <v/>
      </c>
      <c r="FO183">
        <f>IF($EY183="row",INDEX($EA$5:$EA$1003,$EX183),"")</f>
        <v/>
      </c>
      <c r="FP183">
        <f>IF($EY183="row",INDEX($EC$5:$EC$1003,$EX183),"")</f>
        <v/>
      </c>
      <c r="FQ183">
        <f>IF($EY183="row",INDEX($ET$5:$ET$1003,$EX183),"")</f>
        <v/>
      </c>
      <c r="FR183">
        <f>IF($EY183="row",INDEX($EU$5:$EU$1003,$EX183),"")</f>
        <v/>
      </c>
      <c r="FS183">
        <f>IF(AND($EY183="row",$EY182="row"),IF(OR(INDEX($DT$5:$DT$1003,$EX182)="",INDEX($DT$5:$DT$1003,$EX183)=""),"",IF(NOT(EXACT(INDEX($DT$5:$DT$1003,$EX182),INDEX($DT$5:$DT$1003,$EX183))),"S4",IF(NOT(EXACT(INDEX($DS$5:$DS$1003,$EX182),INDEX($DS$5:$DS$1003,$EX183))),"S3",IF(NOT(EXACT(INDEX($DR$5:$DR$1003,$EX182),INDEX($DR$5:$DR$1003,$EX183))),"S1 Count Change","S1")))),"")</f>
        <v/>
      </c>
      <c r="FT183">
        <f>IF($EY183="row",INDEX($ES$5:$ES$1003,$EX183),"")</f>
        <v/>
      </c>
      <c r="FU183">
        <f>IF($EY183="row",INDEX($EO$5:$EO$1003,$EX183),0)</f>
        <v/>
      </c>
      <c r="FV183">
        <f>IF($FS183="S1 Count Change",1,0)</f>
        <v/>
      </c>
    </row>
    <row r="184">
      <c r="DA184" t="n">
        <v>180</v>
      </c>
      <c r="DB184">
        <f>IF($B$37=0,"",IFERROR(TRIM(SUBSTITUTE(SUBSTITUTE(SUBSTITUTE(SUBSTITUTE(INDEX(PASTE_ALL,180,$B$37)," "," "),CHAR(9)," "),CHAR(10)," "),CHAR(13)," ")),""))</f>
        <v/>
      </c>
      <c r="DC184">
        <f>IF(AND(180&gt;HEADER_ROW,UPPER(DB184)="LEGEND"),1,0)</f>
        <v/>
      </c>
      <c r="DE184" t="n">
        <v>180</v>
      </c>
      <c r="DF184">
        <f>HEADER_ROW+$DE184</f>
        <v/>
      </c>
      <c r="DG184">
        <f>IF(AND($DF184&lt;=1000,$DF184&lt;$B$8),1,0)</f>
        <v/>
      </c>
      <c r="DH184">
        <f>IF($DG184=1,IFERROR(INDEX($DB$5:$DB$1004,$DF184),""),"")</f>
        <v/>
      </c>
      <c r="DI184">
        <f>IF(AND($DG184=1,$DH184&lt;&gt;""),IFERROR(SUBSTITUTE(SUBSTITUTE(TRIM(SUBSTITUTE(SUBSTITUTE(SUBSTITUTE(SUBSTITUTE(IFERROR(INDEX(PASTE_ALL,$DF184,1)&amp;"","")&amp;"␟"&amp;IFERROR(INDEX(PASTE_ALL,$DF184,2)&amp;"","")&amp;"␟"&amp;IFERROR(INDEX(PASTE_ALL,$DF184,3)&amp;"","")&amp;"␟"&amp;IFERROR(INDEX(PASTE_ALL,$DF184,4)&amp;"","")&amp;"␟"&amp;IFERROR(INDEX(PASTE_ALL,$DF184,5)&amp;"","")&amp;"␟"&amp;IFERROR(INDEX(PASTE_ALL,$DF184,6)&amp;"","")&amp;"␟"&amp;IFERROR(INDEX(PASTE_ALL,$DF184,7)&amp;"","")&amp;"␟"&amp;IFERROR(INDEX(PASTE_ALL,$DF184,8)&amp;"","")&amp;"␟"&amp;IFERROR(INDEX(PASTE_ALL,$DF184,9)&amp;"","")&amp;"␟"&amp;IFERROR(INDEX(PASTE_ALL,$DF184,10)&amp;"","")&amp;"␟"&amp;IFERROR(INDEX(PASTE_ALL,$DF184,11)&amp;"","")&amp;"␟"&amp;IFERROR(INDEX(PASTE_ALL,$DF184,12)&amp;"","")&amp;"␟"&amp;IFERROR(INDEX(PASTE_ALL,$DF184,13)&amp;"","")&amp;"␟"&amp;IFERROR(INDEX(PASTE_ALL,$DF184,14)&amp;"","")&amp;"␟"&amp;IFERROR(INDEX(PASTE_ALL,$DF184,15)&amp;"","")&amp;"␟"&amp;IFERROR(INDEX(PASTE_ALL,$DF184,16)&amp;"","")&amp;"␟"&amp;IFERROR(INDEX(PASTE_ALL,$DF184,17)&amp;"","")&amp;"␟"&amp;IFERROR(INDEX(PASTE_ALL,$DF184,18)&amp;"","")&amp;"␟"&amp;IFERROR(INDEX(PASTE_ALL,$DF184,19)&amp;"","")&amp;"␟"&amp;IFERROR(INDEX(PASTE_ALL,$DF184,20)&amp;"","")&amp;"␟"&amp;IFERROR(INDEX(PASTE_ALL,$DF184,21)&amp;"","")&amp;"␟"&amp;IFERROR(INDEX(PASTE_ALL,$DF184,22)&amp;"","")&amp;"␟"&amp;IFERROR(INDEX(PASTE_ALL,$DF184,23)&amp;"","")&amp;"␟"&amp;IFERROR(INDEX(PASTE_ALL,$DF184,24)&amp;"","")&amp;"␟"&amp;IFERROR(INDEX(PASTE_ALL,$DF184,25)&amp;"","")&amp;"␟"&amp;IFERROR(INDEX(PASTE_ALL,$DF184,26)&amp;"","")&amp;"␟"&amp;IFERROR(INDEX(PASTE_ALL,$DF184,27)&amp;"","")&amp;"␟"&amp;IFERROR(INDEX(PASTE_ALL,$DF184,28)&amp;"","")&amp;"␟"&amp;IFERROR(INDEX(PASTE_ALL,$DF184,29)&amp;"","")&amp;"␟"&amp;IFERROR(INDEX(PASTE_ALL,$DF184,30)&amp;"","")&amp;"␟"&amp;IFERROR(INDEX(PASTE_ALL,$DF184,31)&amp;"","")&amp;"␟"&amp;IFERROR(INDEX(PASTE_ALL,$DF184,32)&amp;"","")&amp;"␟"&amp;IFERROR(INDEX(PASTE_ALL,$DF184,33)&amp;"","")&amp;"␟"&amp;IFERROR(INDEX(PASTE_ALL,$DF184,34)&amp;"","")&amp;"␟"&amp;IFERROR(INDEX(PASTE_ALL,$DF184,35)&amp;"","")&amp;"␟"&amp;IFERROR(INDEX(PASTE_ALL,$DF184,36)&amp;"","")&amp;"␟"&amp;IFERROR(INDEX(PASTE_ALL,$DF184,37)&amp;"","")&amp;"␟"&amp;IFERROR(INDEX(PASTE_ALL,$DF184,38)&amp;"","")&amp;"␟"&amp;IFERROR(INDEX(PASTE_ALL,$DF184,39)&amp;"","")&amp;"␟"&amp;IFERROR(INDEX(PASTE_ALL,$DF184,40)&amp;"","")&amp;"␟"&amp;IFERROR(INDEX(PASTE_ALL,$DF184,41)&amp;"","")&amp;"␟"&amp;IFERROR(INDEX(PASTE_ALL,$DF184,42)&amp;"","")&amp;"␟"&amp;IFERROR(INDEX(PASTE_ALL,$DF184,43)&amp;"","")&amp;"␟"&amp;IFERROR(INDEX(PASTE_ALL,$DF184,44)&amp;"","")&amp;"␟"&amp;IFERROR(INDEX(PASTE_ALL,$DF184,45)&amp;"","")&amp;"␟"&amp;IFERROR(INDEX(PASTE_ALL,$DF184,46)&amp;"","")&amp;"␟"&amp;IFERROR(INDEX(PASTE_ALL,$DF184,47)&amp;"","")&amp;"␟"&amp;IFERROR(INDEX(PASTE_ALL,$DF184,48)&amp;"","")&amp;"␟"&amp;IFERROR(INDEX(PASTE_ALL,$DF184,49)&amp;"","")&amp;"␟"&amp;IFERROR(INDEX(PASTE_ALL,$DF184,50)&amp;"","")&amp;"␟"&amp;IFERROR(INDEX(PASTE_ALL,$DF184,51)&amp;"","")&amp;"␟"&amp;IFERROR(INDEX(PASTE_ALL,$DF184,52)&amp;"","")&amp;"␟"&amp;IFERROR(INDEX(PASTE_ALL,$DF184,53)&amp;"","")&amp;"␟"&amp;IFERROR(INDEX(PASTE_ALL,$DF184,54)&amp;"","")&amp;"␟"&amp;IFERROR(INDEX(PASTE_ALL,$DF184,55)&amp;"","")&amp;"␟"&amp;IFERROR(INDEX(PASTE_ALL,$DF184,56)&amp;"","")&amp;"␟"&amp;IFERROR(INDEX(PASTE_ALL,$DF184,57)&amp;"","")&amp;"␟"&amp;IFERROR(INDEX(PASTE_ALL,$DF184,58)&amp;"","")&amp;"␟"&amp;IFERROR(INDEX(PASTE_ALL,$DF184,59)&amp;"","")&amp;"␟"&amp;IFERROR(INDEX(PASTE_ALL,$DF184,60)&amp;"","")," "," "),CHAR(9)," "),CHAR(10)," "),CHAR(13)," "))," ␟","␟"),"␟ ","␟"),"#"&amp;$DE184),"")</f>
        <v/>
      </c>
      <c r="DJ184">
        <f>IF($DI184="",0,IF(SUMPRODUCT(--EXACT($DI$4:DI183,$DI184))&gt;0,1,0))</f>
        <v/>
      </c>
      <c r="DK184">
        <f>IF(AND($DI184&lt;&gt;"",$DJ184=0),1,0)</f>
        <v/>
      </c>
      <c r="DL184">
        <f>DL183+$DK184</f>
        <v/>
      </c>
      <c r="DM184">
        <f>IF(AND($DK184=1,$DL184&lt;=600),1,0)</f>
        <v/>
      </c>
      <c r="DN184">
        <f>IF($DM184=0,"",IF($L$6=0,"",IFERROR(IF(ISNUMBER(INDEX(PASTE_ALL,$DF184,$L$6)),INDEX(PASTE_ALL,$DF184,$L$6),TRIM(SUBSTITUTE(SUBSTITUTE(SUBSTITUTE(SUBSTITUTE(INDEX(PASTE_ALL,$DF184,$L$6)," "," "),CHAR(9)," "),CHAR(10)," "),CHAR(13)," "))),"")))</f>
        <v/>
      </c>
      <c r="DO184">
        <f>IF($DM184=0,"",IF($L$7=0,"",IFERROR(IF(ISNUMBER(INDEX(PASTE_ALL,$DF184,$L$7)),INDEX(PASTE_ALL,$DF184,$L$7),TRIM(SUBSTITUTE(SUBSTITUTE(SUBSTITUTE(SUBSTITUTE(INDEX(PASTE_ALL,$DF184,$L$7)," "," "),CHAR(9)," "),CHAR(10)," "),CHAR(13)," "))),"")))</f>
        <v/>
      </c>
      <c r="DP184">
        <f>IF($DM184=0,"",IF($L$8=0,"",IFERROR(IF(ISNUMBER(INDEX(PASTE_ALL,$DF184,$L$8)),INDEX(PASTE_ALL,$DF184,$L$8),TRIM(SUBSTITUTE(SUBSTITUTE(SUBSTITUTE(SUBSTITUTE(INDEX(PASTE_ALL,$DF184,$L$8)," "," "),CHAR(9)," "),CHAR(10)," "),CHAR(13)," "))),"")))</f>
        <v/>
      </c>
      <c r="DQ184">
        <f>IF($DM184=0,"",IF($L$9=0,"",IFERROR(IF(ISNUMBER(INDEX(PASTE_ALL,$DF184,$L$9)),INDEX(PASTE_ALL,$DF184,$L$9),TRIM(SUBSTITUTE(SUBSTITUTE(SUBSTITUTE(SUBSTITUTE(INDEX(PASTE_ALL,$DF184,$L$9)," "," "),CHAR(9)," "),CHAR(10)," "),CHAR(13)," "))),"")))</f>
        <v/>
      </c>
      <c r="DR184">
        <f>IF($DM184=0,"",IF($L$10=0,"",IFERROR(IF(ISNUMBER(INDEX(PASTE_ALL,$DF184,$L$10)),INDEX(PASTE_ALL,$DF184,$L$10),TRIM(SUBSTITUTE(SUBSTITUTE(SUBSTITUTE(SUBSTITUTE(INDEX(PASTE_ALL,$DF184,$L$10)," "," "),CHAR(9)," "),CHAR(10)," "),CHAR(13)," "))),"")))</f>
        <v/>
      </c>
      <c r="DS184">
        <f>IF($DM184=0,"",IF($L$11=0,"",IFERROR(IF(ISNUMBER(INDEX(PASTE_ALL,$DF184,$L$11)),INDEX(PASTE_ALL,$DF184,$L$11),TRIM(SUBSTITUTE(SUBSTITUTE(SUBSTITUTE(SUBSTITUTE(INDEX(PASTE_ALL,$DF184,$L$11)," "," "),CHAR(9)," "),CHAR(10)," "),CHAR(13)," "))),"")))</f>
        <v/>
      </c>
      <c r="DT184">
        <f>IF($DM184=0,"",IF($L$12=0,"",IFERROR(IF(ISNUMBER(INDEX(PASTE_ALL,$DF184,$L$12)),INDEX(PASTE_ALL,$DF184,$L$12),TRIM(SUBSTITUTE(SUBSTITUTE(SUBSTITUTE(SUBSTITUTE(INDEX(PASTE_ALL,$DF184,$L$12)," "," "),CHAR(9)," "),CHAR(10)," "),CHAR(13)," "))),"")))</f>
        <v/>
      </c>
      <c r="DU184">
        <f>IF($DM184=0,"",IF($L$13=0,"",IFERROR(IF(ISNUMBER(INDEX(PASTE_ALL,$DF184,$L$13)),INDEX(PASTE_ALL,$DF184,$L$13),TRIM(SUBSTITUTE(SUBSTITUTE(SUBSTITUTE(SUBSTITUTE(INDEX(PASTE_ALL,$DF184,$L$13)," "," "),CHAR(9)," "),CHAR(10)," "),CHAR(13)," "))),"")))</f>
        <v/>
      </c>
      <c r="DV184">
        <f>IF($DM184=0,"",IF($L$14=0,"",IFERROR(IF(ISNUMBER(INDEX(PASTE_ALL,$DF184,$L$14)),INDEX(PASTE_ALL,$DF184,$L$14),TRIM(SUBSTITUTE(SUBSTITUTE(SUBSTITUTE(SUBSTITUTE(INDEX(PASTE_ALL,$DF184,$L$14)," "," "),CHAR(9)," "),CHAR(10)," "),CHAR(13)," "))),"")))</f>
        <v/>
      </c>
      <c r="DW184">
        <f>IF($DM184=0,"",IF($L$15=0,"",IFERROR(IF(ISNUMBER(INDEX(PASTE_ALL,$DF184,$L$15)),INDEX(PASTE_ALL,$DF184,$L$15),IF(SUMPRODUCT(--ISNUMBER(FIND({"A","B","C","D","E","F","G","H","I","J","K","L","M","N","O","P","Q","R","S","T","U","V","W","X","Y","Z","0","1","2","3","4","5","6","7","8","9"},UPPER(TRIM(SUBSTITUTE(SUBSTITUTE(SUBSTITUTE(SUBSTITUTE(INDEX(PASTE_ALL,$DF184,$L$15)," "," "),CHAR(9)," "),CHAR(10)," "),CHAR(13)," "))))))&gt;0,TRIM(SUBSTITUTE(SUBSTITUTE(SUBSTITUTE(SUBSTITUTE(INDEX(PASTE_ALL,$DF184,$L$15)," "," "),CHAR(9)," "),CHAR(10)," "),CHAR(13)," ")),"")),"")))</f>
        <v/>
      </c>
      <c r="DX184">
        <f>IF($DM184=0,"",IF($L$16=0,"",IFERROR(IF(ISNUMBER(INDEX(PASTE_ALL,$DF184,$L$16)),INDEX(PASTE_ALL,$DF184,$L$16),SUBSTITUTE(SUBSTITUTE(TRIM(SUBSTITUTE(SUBSTITUTE(SUBSTITUTE(SUBSTITUTE(INDEX(PASTE_ALL,$DF184,$L$16)," "," "),CHAR(9)," "),CHAR(10)," "),CHAR(13)," ")),",",""),"%","")),"")))</f>
        <v/>
      </c>
      <c r="DY184">
        <f>IF($DM184=0,"",IFERROR(IF(ISNUMBER($DX184),$DX184,IF($DX184="","",IF(TRIM($DX184)="",0,IF(AND(AND(SUBSTITUTE(SUBSTITUTE(SUBSTITUTE(SUBSTITUTE(SUBSTITUTE(SUBSTITUTE(SUBSTITUTE(SUBSTITUTE(SUBSTITUTE(SUBSTITUTE(SUBSTITUTE(SUBSTITUTE(SUBSTITUTE(SUBSTITUTE(UPPER(TRIM($DX184)),"0",""),"1",""),"2",""),"3",""),"4",""),"5",""),"6",""),"7",""),"8",""),"9",""),".",""),"+",""),"-",""),"E","")="",LEN(SUBSTITUTE(SUBSTITUTE(MID(UPPER(TRIM($DX184)),1+OR(LEFT(UPPER(TRIM($DX184)),1)="+",LEFT(UPPER(TRIM($DX184)),1)="-"),999),"E+","E"),"E-","E"))=LEN(SUBSTITUTE(SUBSTITUTE(SUBSTITUTE(SUBSTITUTE(MID(UPPER(TRIM($DX184)),1+OR(LEFT(UPPER(TRIM($DX184)),1)="+",LEFT(UPPER(TRIM($DX184)),1)="-"),999),"E+","E"),"E-","E"),"+",""),"-","")),LEN(UPPER(TRIM($DX184)))-LEN(SUBSTITUTE(UPPER(TRIM($DX184)),"E",""))&lt;2,LEN(UPPER(TRIM($DX184)))-LEN(SUBSTITUTE(UPPER(TRIM($DX184)),".",""))&lt;2,IFERROR(FIND(".",UPPER(TRIM($DX184))),0)&lt;IFERROR(FIND("E",UPPER(TRIM($DX184))),999)),ISNUMBER(VALUE(TRIM($DX184)))),VALUE(TRIM($DX184)),"")))),""))</f>
        <v/>
      </c>
      <c r="DZ184">
        <f>IF($DM184=0,"",IF($L$17=0,"",IFERROR(IF(ISNUMBER(INDEX(PASTE_ALL,$DF184,$L$17)),INDEX(PASTE_ALL,$DF184,$L$17),SUBSTITUTE(SUBSTITUTE(TRIM(SUBSTITUTE(SUBSTITUTE(SUBSTITUTE(SUBSTITUTE(INDEX(PASTE_ALL,$DF184,$L$17)," "," "),CHAR(9)," "),CHAR(10)," "),CHAR(13)," ")),",",""),"%","")),"")))</f>
        <v/>
      </c>
      <c r="EA184">
        <f>IF($DM184=0,"",IFERROR(IF(ISNUMBER($DZ184),$DZ184,IF($DZ184="","",IF(TRIM($DZ184)="",0,IF(AND(AND(SUBSTITUTE(SUBSTITUTE(SUBSTITUTE(SUBSTITUTE(SUBSTITUTE(SUBSTITUTE(SUBSTITUTE(SUBSTITUTE(SUBSTITUTE(SUBSTITUTE(SUBSTITUTE(SUBSTITUTE(SUBSTITUTE(SUBSTITUTE(UPPER(TRIM($DZ184)),"0",""),"1",""),"2",""),"3",""),"4",""),"5",""),"6",""),"7",""),"8",""),"9",""),".",""),"+",""),"-",""),"E","")="",LEN(SUBSTITUTE(SUBSTITUTE(MID(UPPER(TRIM($DZ184)),1+OR(LEFT(UPPER(TRIM($DZ184)),1)="+",LEFT(UPPER(TRIM($DZ184)),1)="-"),999),"E+","E"),"E-","E"))=LEN(SUBSTITUTE(SUBSTITUTE(SUBSTITUTE(SUBSTITUTE(MID(UPPER(TRIM($DZ184)),1+OR(LEFT(UPPER(TRIM($DZ184)),1)="+",LEFT(UPPER(TRIM($DZ184)),1)="-"),999),"E+","E"),"E-","E"),"+",""),"-","")),LEN(UPPER(TRIM($DZ184)))-LEN(SUBSTITUTE(UPPER(TRIM($DZ184)),"E",""))&lt;2,LEN(UPPER(TRIM($DZ184)))-LEN(SUBSTITUTE(UPPER(TRIM($DZ184)),".",""))&lt;2,IFERROR(FIND(".",UPPER(TRIM($DZ184))),0)&lt;IFERROR(FIND("E",UPPER(TRIM($DZ184))),999)),ISNUMBER(VALUE(TRIM($DZ184)))),VALUE(TRIM($DZ184)),"")))),""))</f>
        <v/>
      </c>
      <c r="EB184">
        <f>IF($DM184=0,"",IF($L$18=0,"",IFERROR(IF(UPPER(TRIM(SUBSTITUTE(SUBSTITUTE(SUBSTITUTE(SUBSTITUTE(INDEX(PASTE_ALL,$DF184,$L$18)," "," "),CHAR(9)," "),CHAR(10)," "),CHAR(13)," ")))="READY","Ready",IF(UPPER(TRIM(SUBSTITUTE(SUBSTITUTE(SUBSTITUTE(SUBSTITUTE(INDEX(PASTE_ALL,$DF184,$L$18)," "," "),CHAR(9)," "),CHAR(10)," "),CHAR(13)," ")))="PM","PM",IF(OR(UPPER(TRIM(SUBSTITUTE(SUBSTITUTE(SUBSTITUTE(SUBSTITUTE(INDEX(PASTE_ALL,$DF184,$L$18)," "," "),CHAR(9)," "),CHAR(10)," "),CHAR(13)," ")))="OT",UPPER(TRIM(SUBSTITUTE(SUBSTITUTE(SUBSTITUTE(SUBSTITUTE(INDEX(PASTE_ALL,$DF184,$L$18)," "," "),CHAR(9)," "),CHAR(10)," "),CHAR(13)," ")))="OVERTIME",UPPER(TRIM(SUBSTITUTE(SUBSTITUTE(SUBSTITUTE(SUBSTITUTE(INDEX(PASTE_ALL,$DF184,$L$18)," "," "),CHAR(9)," "),CHAR(10)," "),CHAR(13)," ")))="TRIAL"),"OT",TRIM(SUBSTITUTE(SUBSTITUTE(SUBSTITUTE(SUBSTITUTE(INDEX(PASTE_ALL,$DF184,$L$18)," "," "),CHAR(9)," "),CHAR(10)," "),CHAR(13)," "))))),"")))</f>
        <v/>
      </c>
      <c r="EC184">
        <f>IF($DM184=0,"",IF($L$19=0,"",IFERROR(IF(ISNUMBER(INDEX(PASTE_ALL,$DF184,$L$19)),INDEX(PASTE_ALL,$DF184,$L$19),TRIM(SUBSTITUTE(SUBSTITUTE(SUBSTITUTE(SUBSTITUTE(INDEX(PASTE_ALL,$DF184,$L$19)," "," "),CHAR(9)," "),CHAR(10)," "),CHAR(13)," "))),"")))</f>
        <v/>
      </c>
      <c r="ED184">
        <f>IF($DM184=0,"",MATCH(1,INDEX(EXACT($DH$5:DH184,$DH184)*$DM$5:DM184,0),0))</f>
        <v/>
      </c>
      <c r="EE184">
        <f>IF($DM184=0,0,IF($ED184=$DE184,1,0))</f>
        <v/>
      </c>
      <c r="EF184">
        <f>EF183+$EE184</f>
        <v/>
      </c>
      <c r="EG184">
        <f>IF($DM184=0,"",INDEX($EF$5:$EF$1003,$ED184))</f>
        <v/>
      </c>
      <c r="EH184">
        <f>IF($DM184=0,"",IF($DO184&lt;&gt;"","",IFERROR(LOOKUP(2,1/(($EG$4:EG183=$EG184)*($DO$4:DO183&lt;&gt;"")),$DO$4:DO183),"")))</f>
        <v/>
      </c>
      <c r="EI184">
        <f>IF($DM184=0,"",IF($DO184&lt;&gt;"",$DO184,$EH184))</f>
        <v/>
      </c>
      <c r="EJ184">
        <f>IF($DM184=0,"",IF($EI184="",0,IF(OR(ISNUMBER($EI184),AND(AND(SUBSTITUTE(SUBSTITUTE(SUBSTITUTE(SUBSTITUTE(SUBSTITUTE(SUBSTITUTE(SUBSTITUTE(SUBSTITUTE(SUBSTITUTE(SUBSTITUTE(SUBSTITUTE(SUBSTITUTE(SUBSTITUTE(SUBSTITUTE(UPPER($EI184),"0",""),"1",""),"2",""),"3",""),"4",""),"5",""),"6",""),"7",""),"8",""),"9",""),".",""),"+",""),"-",""),"E","")="",LEN(SUBSTITUTE(SUBSTITUTE(MID(UPPER($EI184),1+OR(LEFT(UPPER($EI184),1)="+",LEFT(UPPER($EI184),1)="-"),999),"E+","E"),"E-","E"))=LEN(SUBSTITUTE(SUBSTITUTE(SUBSTITUTE(SUBSTITUTE(MID(UPPER($EI184),1+OR(LEFT(UPPER($EI184),1)="+",LEFT(UPPER($EI184),1)="-"),999),"E+","E"),"E-","E"),"+",""),"-","")),LEN(UPPER($EI184))-LEN(SUBSTITUTE(UPPER($EI184),"E",""))&lt;2,LEN(UPPER($EI184))-LEN(SUBSTITUTE(UPPER($EI184),".",""))&lt;2,IFERROR(FIND(".",UPPER($EI184)),0)&lt;IFERROR(FIND("E",UPPER($EI184)),999)),ISNUMBER(VALUE($EI184)))),1,2)))</f>
        <v/>
      </c>
      <c r="EK184">
        <f>IF($DM184=0,"",IF($EJ184=1,IF(ISNUMBER($EI184),$EI184,VALUE($EI184)),IF($EJ184=2,$DE184,0)))</f>
        <v/>
      </c>
      <c r="EL184">
        <f>IF($DM184=0,"",COUNTIF($EG$5:$EG$1003,"&lt;"&amp;$EG184)+SUMPRODUCT(($EG$5:$EG$1003=$EG184)*(($EJ$5:$EJ$1003&lt;$EJ184)+($EJ$5:$EJ$1003=$EJ184)*(($EK$5:$EK$1003&lt;$EK184)+($EK$5:$EK$1003=$EK184)*($DE$5:$DE$1003&lt;$DE184))))+1)</f>
        <v/>
      </c>
      <c r="EM184">
        <f>IF($DM184=0,"",$EL184+$EG184-1)</f>
        <v/>
      </c>
      <c r="EN184">
        <f>IF($DM184=0,0,IFERROR(MATCH(1,INDEX(--(TRIM(SUBSTITUTE(SUBSTITUTE(SUBSTITUTE(SUBSTITUTE(LINES_NAME&amp;""," "," "),CHAR(9)," "),CHAR(10)," "),CHAR(13)," "))=$DH184),0),0),0))</f>
        <v/>
      </c>
      <c r="EO184">
        <f>IF($EN184=0,0,IF(OR(UPPER(TRIM(INDEX(LINES_SCHEDULED,$EN184)&amp;""))="YES",UPPER(TRIM(INDEX(LINES_SCHEDULED,$EN184)&amp;""))="Y",UPPER(TRIM(INDEX(LINES_SCHEDULED,$EN184)&amp;""))="X"),1,0))</f>
        <v/>
      </c>
      <c r="EP184">
        <f>IF($DM184=0,"",IF(COUNTIFS($EG$5:$EG$1003,$EG184,$EB$5:$EB$1003,"Ready")&gt;0,"READY",IF(COUNTIFS($EG$5:$EG$1003,$EG184,$EB$5:$EB$1003,"PM")&gt;0,"PM",IF(COUNTIFS($EG$5:$EG$1003,$EG184,$EB$5:$EB$1003,"OT")&gt;0,"OT",""))))</f>
        <v/>
      </c>
      <c r="EQ184">
        <f>IF($EN184=0,"",UPPER(TRIM(INDEX(LINES_STATUS,$EN184)&amp;"")))</f>
        <v/>
      </c>
      <c r="ER184">
        <f>IF($DM184=0,"",IF(OR($EQ184="READY",$EQ184="PM",$EQ184="OT"),$EQ184,$EP184))</f>
        <v/>
      </c>
      <c r="ES184">
        <f>IF($DM184=0,"",IF(AND($DV184&lt;&gt;"",UPPER($DV184)&lt;&gt;"N"),"allergen",IF(ISNUMBER(SEARCH("oil",$DQ184)),"oil",IF(OR(EXACT($DS184,"A662"),EXACT($DS184,"A624")),"bulk",""))))</f>
        <v/>
      </c>
      <c r="ET184">
        <f>IF($DM184=0,"",IF(OR($EA184="",$EA184=0),"",$EA184/100))</f>
        <v/>
      </c>
      <c r="EU184">
        <f>IF(OR($ET184="",$DY184=""),"",INT($DY184*(1-$ET184)+0.5))</f>
        <v/>
      </c>
      <c r="EW184" t="n">
        <v>180</v>
      </c>
      <c r="EX184">
        <f>IFERROR(MATCH($EW184,$EM$5:$EM$1003,0),0)</f>
        <v/>
      </c>
      <c r="EY184">
        <f>IF($EW184&gt;$B$12,"",IF($EX184&gt;0,"row","spacer"))</f>
        <v/>
      </c>
      <c r="EZ184">
        <f>IF(AND($EY184="row",$EY183&lt;&gt;"row"),1,0)</f>
        <v/>
      </c>
      <c r="FA184">
        <f>IF(AND($EY184="row",$EY185&lt;&gt;"row"),1,0)</f>
        <v/>
      </c>
      <c r="FB184">
        <f>IF($EZ184=1,IFERROR(IF(ISNUMBER(INDEX(PASTE_ALL,INDEX($DF$5:$DF$1003,$EX184),$B$37)),INDEX(PASTE_ALL,INDEX($DF$5:$DF$1003,$EX184),$B$37),INDEX($DH$5:$DH$1003,$EX184)),INDEX($DH$5:$DH$1003,$EX184)),"")</f>
        <v/>
      </c>
      <c r="FC184">
        <f>IF($EY184="row",INDEX($ER$5:$ER$1003,$EX184),"")</f>
        <v/>
      </c>
      <c r="FD184">
        <f>IF($EY184="row",INDEX($DN$5:$DN$1003,$EX184),"")</f>
        <v/>
      </c>
      <c r="FE184">
        <f>IF($EY184="row",INDEX($DO$5:$DO$1003,$EX184),"")</f>
        <v/>
      </c>
      <c r="FF184">
        <f>IF($EY184="row",INDEX($DP$5:$DP$1003,$EX184),"")</f>
        <v/>
      </c>
      <c r="FG184">
        <f>IF($EY184="row",INDEX($DQ$5:$DQ$1003,$EX184),"")</f>
        <v/>
      </c>
      <c r="FH184">
        <f>IF($EY184="row",INDEX($DR$5:$DR$1003,$EX184),"")</f>
        <v/>
      </c>
      <c r="FI184">
        <f>IF($EY184="row",INDEX($DS$5:$DS$1003,$EX184),"")</f>
        <v/>
      </c>
      <c r="FJ184">
        <f>IF($EY184="row",INDEX($DT$5:$DT$1003,$EX184),"")</f>
        <v/>
      </c>
      <c r="FK184">
        <f>IF($EY184="row",INDEX($DU$5:$DU$1003,$EX184),"")</f>
        <v/>
      </c>
      <c r="FL184">
        <f>IF($EY184="row",INDEX($DV$5:$DV$1003,$EX184),"")</f>
        <v/>
      </c>
      <c r="FM184">
        <f>IF($EY184="row",INDEX($DW$5:$DW$1003,$EX184),"")</f>
        <v/>
      </c>
      <c r="FN184">
        <f>IF($EY184="row",INDEX($DY$5:$DY$1003,$EX184),"")</f>
        <v/>
      </c>
      <c r="FO184">
        <f>IF($EY184="row",INDEX($EA$5:$EA$1003,$EX184),"")</f>
        <v/>
      </c>
      <c r="FP184">
        <f>IF($EY184="row",INDEX($EC$5:$EC$1003,$EX184),"")</f>
        <v/>
      </c>
      <c r="FQ184">
        <f>IF($EY184="row",INDEX($ET$5:$ET$1003,$EX184),"")</f>
        <v/>
      </c>
      <c r="FR184">
        <f>IF($EY184="row",INDEX($EU$5:$EU$1003,$EX184),"")</f>
        <v/>
      </c>
      <c r="FS184">
        <f>IF(AND($EY184="row",$EY183="row"),IF(OR(INDEX($DT$5:$DT$1003,$EX183)="",INDEX($DT$5:$DT$1003,$EX184)=""),"",IF(NOT(EXACT(INDEX($DT$5:$DT$1003,$EX183),INDEX($DT$5:$DT$1003,$EX184))),"S4",IF(NOT(EXACT(INDEX($DS$5:$DS$1003,$EX183),INDEX($DS$5:$DS$1003,$EX184))),"S3",IF(NOT(EXACT(INDEX($DR$5:$DR$1003,$EX183),INDEX($DR$5:$DR$1003,$EX184))),"S1 Count Change","S1")))),"")</f>
        <v/>
      </c>
      <c r="FT184">
        <f>IF($EY184="row",INDEX($ES$5:$ES$1003,$EX184),"")</f>
        <v/>
      </c>
      <c r="FU184">
        <f>IF($EY184="row",INDEX($EO$5:$EO$1003,$EX184),0)</f>
        <v/>
      </c>
      <c r="FV184">
        <f>IF($FS184="S1 Count Change",1,0)</f>
        <v/>
      </c>
    </row>
    <row r="185">
      <c r="X185" s="69" t="inlineStr">
        <is>
          <t>CONTAINS running mask</t>
        </is>
      </c>
      <c r="Y185">
        <f>0+IF(Y95&gt;0,0,IF(SUMPRODUCT(MOD(INT(Y140/{2,4,8,16,32,64,128,256,512,1024,2048,4096,8192,16384,32768}),2)*(1-MOD(INT(($CJ5+0)/{2,4,8,16,32,64,128,256,512,1024,2048,4096,8192,16384,32768}),2))*{2,4,8,16,32,64,128,256,512,1024,2048,4096,8192,16384,32768})=0,0,2^SUMPRODUCT(--(MOD(SUMPRODUCT(MOD(INT(Y140/{2,4,8,16,32,64,128,256,512,1024,2048,4096,8192,16384,32768}),2)*(1-MOD(INT(($CJ5+0)/{2,4,8,16,32,64,128,256,512,1024,2048,4096,8192,16384,32768}),2))*{2,4,8,16,32,64,128,256,512,1024,2048,4096,8192,16384,32768}),{2,4,8,16,32,64,128,256,512,1024,2048,4096,8192,16384,32768})=0))))</f>
        <v/>
      </c>
      <c r="Z185">
        <f>Y185+IF(AND(Z95&gt;0,COUNTIF($Y95:Y95,Z95)=0),0,IF(SUMPRODUCT(MOD(INT(Z140/{2,4,8,16,32,64,128,256,512,1024,2048,4096,8192,16384,32768}),2)*(1-MOD(INT(($CJ5+Y185)/{2,4,8,16,32,64,128,256,512,1024,2048,4096,8192,16384,32768}),2))*{2,4,8,16,32,64,128,256,512,1024,2048,4096,8192,16384,32768})=0,0,2^SUMPRODUCT(--(MOD(SUMPRODUCT(MOD(INT(Z140/{2,4,8,16,32,64,128,256,512,1024,2048,4096,8192,16384,32768}),2)*(1-MOD(INT(($CJ5+Y185)/{2,4,8,16,32,64,128,256,512,1024,2048,4096,8192,16384,32768}),2))*{2,4,8,16,32,64,128,256,512,1024,2048,4096,8192,16384,32768}),{2,4,8,16,32,64,128,256,512,1024,2048,4096,8192,16384,32768})=0))))</f>
        <v/>
      </c>
      <c r="AA185">
        <f>Z185+IF(AND(AA95&gt;0,COUNTIF($Y95:Z95,AA95)=0),0,IF(SUMPRODUCT(MOD(INT(AA140/{2,4,8,16,32,64,128,256,512,1024,2048,4096,8192,16384,32768}),2)*(1-MOD(INT(($CJ5+Z185)/{2,4,8,16,32,64,128,256,512,1024,2048,4096,8192,16384,32768}),2))*{2,4,8,16,32,64,128,256,512,1024,2048,4096,8192,16384,32768})=0,0,2^SUMPRODUCT(--(MOD(SUMPRODUCT(MOD(INT(AA140/{2,4,8,16,32,64,128,256,512,1024,2048,4096,8192,16384,32768}),2)*(1-MOD(INT(($CJ5+Z185)/{2,4,8,16,32,64,128,256,512,1024,2048,4096,8192,16384,32768}),2))*{2,4,8,16,32,64,128,256,512,1024,2048,4096,8192,16384,32768}),{2,4,8,16,32,64,128,256,512,1024,2048,4096,8192,16384,32768})=0))))</f>
        <v/>
      </c>
      <c r="AB185">
        <f>AA185+IF(AND(AB95&gt;0,COUNTIF($Y95:AA95,AB95)=0),0,IF(SUMPRODUCT(MOD(INT(AB140/{2,4,8,16,32,64,128,256,512,1024,2048,4096,8192,16384,32768}),2)*(1-MOD(INT(($CJ5+AA185)/{2,4,8,16,32,64,128,256,512,1024,2048,4096,8192,16384,32768}),2))*{2,4,8,16,32,64,128,256,512,1024,2048,4096,8192,16384,32768})=0,0,2^SUMPRODUCT(--(MOD(SUMPRODUCT(MOD(INT(AB140/{2,4,8,16,32,64,128,256,512,1024,2048,4096,8192,16384,32768}),2)*(1-MOD(INT(($CJ5+AA185)/{2,4,8,16,32,64,128,256,512,1024,2048,4096,8192,16384,32768}),2))*{2,4,8,16,32,64,128,256,512,1024,2048,4096,8192,16384,32768}),{2,4,8,16,32,64,128,256,512,1024,2048,4096,8192,16384,32768})=0))))</f>
        <v/>
      </c>
      <c r="AC185">
        <f>AB185+IF(AND(AC95&gt;0,COUNTIF($Y95:AB95,AC95)=0),0,IF(SUMPRODUCT(MOD(INT(AC140/{2,4,8,16,32,64,128,256,512,1024,2048,4096,8192,16384,32768}),2)*(1-MOD(INT(($CJ5+AB185)/{2,4,8,16,32,64,128,256,512,1024,2048,4096,8192,16384,32768}),2))*{2,4,8,16,32,64,128,256,512,1024,2048,4096,8192,16384,32768})=0,0,2^SUMPRODUCT(--(MOD(SUMPRODUCT(MOD(INT(AC140/{2,4,8,16,32,64,128,256,512,1024,2048,4096,8192,16384,32768}),2)*(1-MOD(INT(($CJ5+AB185)/{2,4,8,16,32,64,128,256,512,1024,2048,4096,8192,16384,32768}),2))*{2,4,8,16,32,64,128,256,512,1024,2048,4096,8192,16384,32768}),{2,4,8,16,32,64,128,256,512,1024,2048,4096,8192,16384,32768})=0))))</f>
        <v/>
      </c>
      <c r="AD185">
        <f>AC185+IF(AND(AD95&gt;0,COUNTIF($Y95:AC95,AD95)=0),0,IF(SUMPRODUCT(MOD(INT(AD140/{2,4,8,16,32,64,128,256,512,1024,2048,4096,8192,16384,32768}),2)*(1-MOD(INT(($CJ5+AC185)/{2,4,8,16,32,64,128,256,512,1024,2048,4096,8192,16384,32768}),2))*{2,4,8,16,32,64,128,256,512,1024,2048,4096,8192,16384,32768})=0,0,2^SUMPRODUCT(--(MOD(SUMPRODUCT(MOD(INT(AD140/{2,4,8,16,32,64,128,256,512,1024,2048,4096,8192,16384,32768}),2)*(1-MOD(INT(($CJ5+AC185)/{2,4,8,16,32,64,128,256,512,1024,2048,4096,8192,16384,32768}),2))*{2,4,8,16,32,64,128,256,512,1024,2048,4096,8192,16384,32768}),{2,4,8,16,32,64,128,256,512,1024,2048,4096,8192,16384,32768})=0))))</f>
        <v/>
      </c>
      <c r="AE185">
        <f>AD185+IF(AND(AE95&gt;0,COUNTIF($Y95:AD95,AE95)=0),0,IF(SUMPRODUCT(MOD(INT(AE140/{2,4,8,16,32,64,128,256,512,1024,2048,4096,8192,16384,32768}),2)*(1-MOD(INT(($CJ5+AD185)/{2,4,8,16,32,64,128,256,512,1024,2048,4096,8192,16384,32768}),2))*{2,4,8,16,32,64,128,256,512,1024,2048,4096,8192,16384,32768})=0,0,2^SUMPRODUCT(--(MOD(SUMPRODUCT(MOD(INT(AE140/{2,4,8,16,32,64,128,256,512,1024,2048,4096,8192,16384,32768}),2)*(1-MOD(INT(($CJ5+AD185)/{2,4,8,16,32,64,128,256,512,1024,2048,4096,8192,16384,32768}),2))*{2,4,8,16,32,64,128,256,512,1024,2048,4096,8192,16384,32768}),{2,4,8,16,32,64,128,256,512,1024,2048,4096,8192,16384,32768})=0))))</f>
        <v/>
      </c>
      <c r="AF185">
        <f>AE185+IF(AND(AF95&gt;0,COUNTIF($Y95:AE95,AF95)=0),0,IF(SUMPRODUCT(MOD(INT(AF140/{2,4,8,16,32,64,128,256,512,1024,2048,4096,8192,16384,32768}),2)*(1-MOD(INT(($CJ5+AE185)/{2,4,8,16,32,64,128,256,512,1024,2048,4096,8192,16384,32768}),2))*{2,4,8,16,32,64,128,256,512,1024,2048,4096,8192,16384,32768})=0,0,2^SUMPRODUCT(--(MOD(SUMPRODUCT(MOD(INT(AF140/{2,4,8,16,32,64,128,256,512,1024,2048,4096,8192,16384,32768}),2)*(1-MOD(INT(($CJ5+AE185)/{2,4,8,16,32,64,128,256,512,1024,2048,4096,8192,16384,32768}),2))*{2,4,8,16,32,64,128,256,512,1024,2048,4096,8192,16384,32768}),{2,4,8,16,32,64,128,256,512,1024,2048,4096,8192,16384,32768})=0))))</f>
        <v/>
      </c>
      <c r="AG185">
        <f>AF185+IF(AND(AG95&gt;0,COUNTIF($Y95:AF95,AG95)=0),0,IF(SUMPRODUCT(MOD(INT(AG140/{2,4,8,16,32,64,128,256,512,1024,2048,4096,8192,16384,32768}),2)*(1-MOD(INT(($CJ5+AF185)/{2,4,8,16,32,64,128,256,512,1024,2048,4096,8192,16384,32768}),2))*{2,4,8,16,32,64,128,256,512,1024,2048,4096,8192,16384,32768})=0,0,2^SUMPRODUCT(--(MOD(SUMPRODUCT(MOD(INT(AG140/{2,4,8,16,32,64,128,256,512,1024,2048,4096,8192,16384,32768}),2)*(1-MOD(INT(($CJ5+AF185)/{2,4,8,16,32,64,128,256,512,1024,2048,4096,8192,16384,32768}),2))*{2,4,8,16,32,64,128,256,512,1024,2048,4096,8192,16384,32768}),{2,4,8,16,32,64,128,256,512,1024,2048,4096,8192,16384,32768})=0))))</f>
        <v/>
      </c>
      <c r="AH185">
        <f>AG185+IF(AND(AH95&gt;0,COUNTIF($Y95:AG95,AH95)=0),0,IF(SUMPRODUCT(MOD(INT(AH140/{2,4,8,16,32,64,128,256,512,1024,2048,4096,8192,16384,32768}),2)*(1-MOD(INT(($CJ5+AG185)/{2,4,8,16,32,64,128,256,512,1024,2048,4096,8192,16384,32768}),2))*{2,4,8,16,32,64,128,256,512,1024,2048,4096,8192,16384,32768})=0,0,2^SUMPRODUCT(--(MOD(SUMPRODUCT(MOD(INT(AH140/{2,4,8,16,32,64,128,256,512,1024,2048,4096,8192,16384,32768}),2)*(1-MOD(INT(($CJ5+AG185)/{2,4,8,16,32,64,128,256,512,1024,2048,4096,8192,16384,32768}),2))*{2,4,8,16,32,64,128,256,512,1024,2048,4096,8192,16384,32768}),{2,4,8,16,32,64,128,256,512,1024,2048,4096,8192,16384,32768})=0))))</f>
        <v/>
      </c>
      <c r="AI185">
        <f>AH185+IF(AND(AI95&gt;0,COUNTIF($Y95:AH95,AI95)=0),0,IF(SUMPRODUCT(MOD(INT(AI140/{2,4,8,16,32,64,128,256,512,1024,2048,4096,8192,16384,32768}),2)*(1-MOD(INT(($CJ5+AH185)/{2,4,8,16,32,64,128,256,512,1024,2048,4096,8192,16384,32768}),2))*{2,4,8,16,32,64,128,256,512,1024,2048,4096,8192,16384,32768})=0,0,2^SUMPRODUCT(--(MOD(SUMPRODUCT(MOD(INT(AI140/{2,4,8,16,32,64,128,256,512,1024,2048,4096,8192,16384,32768}),2)*(1-MOD(INT(($CJ5+AH185)/{2,4,8,16,32,64,128,256,512,1024,2048,4096,8192,16384,32768}),2))*{2,4,8,16,32,64,128,256,512,1024,2048,4096,8192,16384,32768}),{2,4,8,16,32,64,128,256,512,1024,2048,4096,8192,16384,32768})=0))))</f>
        <v/>
      </c>
      <c r="AJ185">
        <f>AI185+IF(AND(AJ95&gt;0,COUNTIF($Y95:AI95,AJ95)=0),0,IF(SUMPRODUCT(MOD(INT(AJ140/{2,4,8,16,32,64,128,256,512,1024,2048,4096,8192,16384,32768}),2)*(1-MOD(INT(($CJ5+AI185)/{2,4,8,16,32,64,128,256,512,1024,2048,4096,8192,16384,32768}),2))*{2,4,8,16,32,64,128,256,512,1024,2048,4096,8192,16384,32768})=0,0,2^SUMPRODUCT(--(MOD(SUMPRODUCT(MOD(INT(AJ140/{2,4,8,16,32,64,128,256,512,1024,2048,4096,8192,16384,32768}),2)*(1-MOD(INT(($CJ5+AI185)/{2,4,8,16,32,64,128,256,512,1024,2048,4096,8192,16384,32768}),2))*{2,4,8,16,32,64,128,256,512,1024,2048,4096,8192,16384,32768}),{2,4,8,16,32,64,128,256,512,1024,2048,4096,8192,16384,32768})=0))))</f>
        <v/>
      </c>
      <c r="AK185">
        <f>AJ185+IF(AND(AK95&gt;0,COUNTIF($Y95:AJ95,AK95)=0),0,IF(SUMPRODUCT(MOD(INT(AK140/{2,4,8,16,32,64,128,256,512,1024,2048,4096,8192,16384,32768}),2)*(1-MOD(INT(($CJ5+AJ185)/{2,4,8,16,32,64,128,256,512,1024,2048,4096,8192,16384,32768}),2))*{2,4,8,16,32,64,128,256,512,1024,2048,4096,8192,16384,32768})=0,0,2^SUMPRODUCT(--(MOD(SUMPRODUCT(MOD(INT(AK140/{2,4,8,16,32,64,128,256,512,1024,2048,4096,8192,16384,32768}),2)*(1-MOD(INT(($CJ5+AJ185)/{2,4,8,16,32,64,128,256,512,1024,2048,4096,8192,16384,32768}),2))*{2,4,8,16,32,64,128,256,512,1024,2048,4096,8192,16384,32768}),{2,4,8,16,32,64,128,256,512,1024,2048,4096,8192,16384,32768})=0))))</f>
        <v/>
      </c>
      <c r="AL185">
        <f>AK185+IF(AND(AL95&gt;0,COUNTIF($Y95:AK95,AL95)=0),0,IF(SUMPRODUCT(MOD(INT(AL140/{2,4,8,16,32,64,128,256,512,1024,2048,4096,8192,16384,32768}),2)*(1-MOD(INT(($CJ5+AK185)/{2,4,8,16,32,64,128,256,512,1024,2048,4096,8192,16384,32768}),2))*{2,4,8,16,32,64,128,256,512,1024,2048,4096,8192,16384,32768})=0,0,2^SUMPRODUCT(--(MOD(SUMPRODUCT(MOD(INT(AL140/{2,4,8,16,32,64,128,256,512,1024,2048,4096,8192,16384,32768}),2)*(1-MOD(INT(($CJ5+AK185)/{2,4,8,16,32,64,128,256,512,1024,2048,4096,8192,16384,32768}),2))*{2,4,8,16,32,64,128,256,512,1024,2048,4096,8192,16384,32768}),{2,4,8,16,32,64,128,256,512,1024,2048,4096,8192,16384,32768})=0))))</f>
        <v/>
      </c>
      <c r="AM185">
        <f>AL185+IF(AND(AM95&gt;0,COUNTIF($Y95:AL95,AM95)=0),0,IF(SUMPRODUCT(MOD(INT(AM140/{2,4,8,16,32,64,128,256,512,1024,2048,4096,8192,16384,32768}),2)*(1-MOD(INT(($CJ5+AL185)/{2,4,8,16,32,64,128,256,512,1024,2048,4096,8192,16384,32768}),2))*{2,4,8,16,32,64,128,256,512,1024,2048,4096,8192,16384,32768})=0,0,2^SUMPRODUCT(--(MOD(SUMPRODUCT(MOD(INT(AM140/{2,4,8,16,32,64,128,256,512,1024,2048,4096,8192,16384,32768}),2)*(1-MOD(INT(($CJ5+AL185)/{2,4,8,16,32,64,128,256,512,1024,2048,4096,8192,16384,32768}),2))*{2,4,8,16,32,64,128,256,512,1024,2048,4096,8192,16384,32768}),{2,4,8,16,32,64,128,256,512,1024,2048,4096,8192,16384,32768})=0))))</f>
        <v/>
      </c>
      <c r="AN185">
        <f>AM185+IF(AND(AN95&gt;0,COUNTIF($Y95:AM95,AN95)=0),0,IF(SUMPRODUCT(MOD(INT(AN140/{2,4,8,16,32,64,128,256,512,1024,2048,4096,8192,16384,32768}),2)*(1-MOD(INT(($CJ5+AM185)/{2,4,8,16,32,64,128,256,512,1024,2048,4096,8192,16384,32768}),2))*{2,4,8,16,32,64,128,256,512,1024,2048,4096,8192,16384,32768})=0,0,2^SUMPRODUCT(--(MOD(SUMPRODUCT(MOD(INT(AN140/{2,4,8,16,32,64,128,256,512,1024,2048,4096,8192,16384,32768}),2)*(1-MOD(INT(($CJ5+AM185)/{2,4,8,16,32,64,128,256,512,1024,2048,4096,8192,16384,32768}),2))*{2,4,8,16,32,64,128,256,512,1024,2048,4096,8192,16384,32768}),{2,4,8,16,32,64,128,256,512,1024,2048,4096,8192,16384,32768})=0))))</f>
        <v/>
      </c>
      <c r="AO185">
        <f>AN185+IF(AND(AO95&gt;0,COUNTIF($Y95:AN95,AO95)=0),0,IF(SUMPRODUCT(MOD(INT(AO140/{2,4,8,16,32,64,128,256,512,1024,2048,4096,8192,16384,32768}),2)*(1-MOD(INT(($CJ5+AN185)/{2,4,8,16,32,64,128,256,512,1024,2048,4096,8192,16384,32768}),2))*{2,4,8,16,32,64,128,256,512,1024,2048,4096,8192,16384,32768})=0,0,2^SUMPRODUCT(--(MOD(SUMPRODUCT(MOD(INT(AO140/{2,4,8,16,32,64,128,256,512,1024,2048,4096,8192,16384,32768}),2)*(1-MOD(INT(($CJ5+AN185)/{2,4,8,16,32,64,128,256,512,1024,2048,4096,8192,16384,32768}),2))*{2,4,8,16,32,64,128,256,512,1024,2048,4096,8192,16384,32768}),{2,4,8,16,32,64,128,256,512,1024,2048,4096,8192,16384,32768})=0))))</f>
        <v/>
      </c>
      <c r="AP185">
        <f>AO185+IF(AND(AP95&gt;0,COUNTIF($Y95:AO95,AP95)=0),0,IF(SUMPRODUCT(MOD(INT(AP140/{2,4,8,16,32,64,128,256,512,1024,2048,4096,8192,16384,32768}),2)*(1-MOD(INT(($CJ5+AO185)/{2,4,8,16,32,64,128,256,512,1024,2048,4096,8192,16384,32768}),2))*{2,4,8,16,32,64,128,256,512,1024,2048,4096,8192,16384,32768})=0,0,2^SUMPRODUCT(--(MOD(SUMPRODUCT(MOD(INT(AP140/{2,4,8,16,32,64,128,256,512,1024,2048,4096,8192,16384,32768}),2)*(1-MOD(INT(($CJ5+AO185)/{2,4,8,16,32,64,128,256,512,1024,2048,4096,8192,16384,32768}),2))*{2,4,8,16,32,64,128,256,512,1024,2048,4096,8192,16384,32768}),{2,4,8,16,32,64,128,256,512,1024,2048,4096,8192,16384,32768})=0))))</f>
        <v/>
      </c>
      <c r="AQ185">
        <f>AP185+IF(AND(AQ95&gt;0,COUNTIF($Y95:AP95,AQ95)=0),0,IF(SUMPRODUCT(MOD(INT(AQ140/{2,4,8,16,32,64,128,256,512,1024,2048,4096,8192,16384,32768}),2)*(1-MOD(INT(($CJ5+AP185)/{2,4,8,16,32,64,128,256,512,1024,2048,4096,8192,16384,32768}),2))*{2,4,8,16,32,64,128,256,512,1024,2048,4096,8192,16384,32768})=0,0,2^SUMPRODUCT(--(MOD(SUMPRODUCT(MOD(INT(AQ140/{2,4,8,16,32,64,128,256,512,1024,2048,4096,8192,16384,32768}),2)*(1-MOD(INT(($CJ5+AP185)/{2,4,8,16,32,64,128,256,512,1024,2048,4096,8192,16384,32768}),2))*{2,4,8,16,32,64,128,256,512,1024,2048,4096,8192,16384,32768}),{2,4,8,16,32,64,128,256,512,1024,2048,4096,8192,16384,32768})=0))))</f>
        <v/>
      </c>
      <c r="AR185">
        <f>AQ185+IF(AND(AR95&gt;0,COUNTIF($Y95:AQ95,AR95)=0),0,IF(SUMPRODUCT(MOD(INT(AR140/{2,4,8,16,32,64,128,256,512,1024,2048,4096,8192,16384,32768}),2)*(1-MOD(INT(($CJ5+AQ185)/{2,4,8,16,32,64,128,256,512,1024,2048,4096,8192,16384,32768}),2))*{2,4,8,16,32,64,128,256,512,1024,2048,4096,8192,16384,32768})=0,0,2^SUMPRODUCT(--(MOD(SUMPRODUCT(MOD(INT(AR140/{2,4,8,16,32,64,128,256,512,1024,2048,4096,8192,16384,32768}),2)*(1-MOD(INT(($CJ5+AQ185)/{2,4,8,16,32,64,128,256,512,1024,2048,4096,8192,16384,32768}),2))*{2,4,8,16,32,64,128,256,512,1024,2048,4096,8192,16384,32768}),{2,4,8,16,32,64,128,256,512,1024,2048,4096,8192,16384,32768})=0))))</f>
        <v/>
      </c>
      <c r="AS185">
        <f>AR185+IF(AND(AS95&gt;0,COUNTIF($Y95:AR95,AS95)=0),0,IF(SUMPRODUCT(MOD(INT(AS140/{2,4,8,16,32,64,128,256,512,1024,2048,4096,8192,16384,32768}),2)*(1-MOD(INT(($CJ5+AR185)/{2,4,8,16,32,64,128,256,512,1024,2048,4096,8192,16384,32768}),2))*{2,4,8,16,32,64,128,256,512,1024,2048,4096,8192,16384,32768})=0,0,2^SUMPRODUCT(--(MOD(SUMPRODUCT(MOD(INT(AS140/{2,4,8,16,32,64,128,256,512,1024,2048,4096,8192,16384,32768}),2)*(1-MOD(INT(($CJ5+AR185)/{2,4,8,16,32,64,128,256,512,1024,2048,4096,8192,16384,32768}),2))*{2,4,8,16,32,64,128,256,512,1024,2048,4096,8192,16384,32768}),{2,4,8,16,32,64,128,256,512,1024,2048,4096,8192,16384,32768})=0))))</f>
        <v/>
      </c>
      <c r="AT185">
        <f>AS185+IF(AND(AT95&gt;0,COUNTIF($Y95:AS95,AT95)=0),0,IF(SUMPRODUCT(MOD(INT(AT140/{2,4,8,16,32,64,128,256,512,1024,2048,4096,8192,16384,32768}),2)*(1-MOD(INT(($CJ5+AS185)/{2,4,8,16,32,64,128,256,512,1024,2048,4096,8192,16384,32768}),2))*{2,4,8,16,32,64,128,256,512,1024,2048,4096,8192,16384,32768})=0,0,2^SUMPRODUCT(--(MOD(SUMPRODUCT(MOD(INT(AT140/{2,4,8,16,32,64,128,256,512,1024,2048,4096,8192,16384,32768}),2)*(1-MOD(INT(($CJ5+AS185)/{2,4,8,16,32,64,128,256,512,1024,2048,4096,8192,16384,32768}),2))*{2,4,8,16,32,64,128,256,512,1024,2048,4096,8192,16384,32768}),{2,4,8,16,32,64,128,256,512,1024,2048,4096,8192,16384,32768})=0))))</f>
        <v/>
      </c>
      <c r="AU185">
        <f>AT185+IF(AND(AU95&gt;0,COUNTIF($Y95:AT95,AU95)=0),0,IF(SUMPRODUCT(MOD(INT(AU140/{2,4,8,16,32,64,128,256,512,1024,2048,4096,8192,16384,32768}),2)*(1-MOD(INT(($CJ5+AT185)/{2,4,8,16,32,64,128,256,512,1024,2048,4096,8192,16384,32768}),2))*{2,4,8,16,32,64,128,256,512,1024,2048,4096,8192,16384,32768})=0,0,2^SUMPRODUCT(--(MOD(SUMPRODUCT(MOD(INT(AU140/{2,4,8,16,32,64,128,256,512,1024,2048,4096,8192,16384,32768}),2)*(1-MOD(INT(($CJ5+AT185)/{2,4,8,16,32,64,128,256,512,1024,2048,4096,8192,16384,32768}),2))*{2,4,8,16,32,64,128,256,512,1024,2048,4096,8192,16384,32768}),{2,4,8,16,32,64,128,256,512,1024,2048,4096,8192,16384,32768})=0))))</f>
        <v/>
      </c>
      <c r="AV185">
        <f>AU185+IF(AND(AV95&gt;0,COUNTIF($Y95:AU95,AV95)=0),0,IF(SUMPRODUCT(MOD(INT(AV140/{2,4,8,16,32,64,128,256,512,1024,2048,4096,8192,16384,32768}),2)*(1-MOD(INT(($CJ5+AU185)/{2,4,8,16,32,64,128,256,512,1024,2048,4096,8192,16384,32768}),2))*{2,4,8,16,32,64,128,256,512,1024,2048,4096,8192,16384,32768})=0,0,2^SUMPRODUCT(--(MOD(SUMPRODUCT(MOD(INT(AV140/{2,4,8,16,32,64,128,256,512,1024,2048,4096,8192,16384,32768}),2)*(1-MOD(INT(($CJ5+AU185)/{2,4,8,16,32,64,128,256,512,1024,2048,4096,8192,16384,32768}),2))*{2,4,8,16,32,64,128,256,512,1024,2048,4096,8192,16384,32768}),{2,4,8,16,32,64,128,256,512,1024,2048,4096,8192,16384,32768})=0))))</f>
        <v/>
      </c>
      <c r="AW185">
        <f>AV185+IF(AND(AW95&gt;0,COUNTIF($Y95:AV95,AW95)=0),0,IF(SUMPRODUCT(MOD(INT(AW140/{2,4,8,16,32,64,128,256,512,1024,2048,4096,8192,16384,32768}),2)*(1-MOD(INT(($CJ5+AV185)/{2,4,8,16,32,64,128,256,512,1024,2048,4096,8192,16384,32768}),2))*{2,4,8,16,32,64,128,256,512,1024,2048,4096,8192,16384,32768})=0,0,2^SUMPRODUCT(--(MOD(SUMPRODUCT(MOD(INT(AW140/{2,4,8,16,32,64,128,256,512,1024,2048,4096,8192,16384,32768}),2)*(1-MOD(INT(($CJ5+AV185)/{2,4,8,16,32,64,128,256,512,1024,2048,4096,8192,16384,32768}),2))*{2,4,8,16,32,64,128,256,512,1024,2048,4096,8192,16384,32768}),{2,4,8,16,32,64,128,256,512,1024,2048,4096,8192,16384,32768})=0))))</f>
        <v/>
      </c>
      <c r="AX185">
        <f>AW185+IF(AND(AX95&gt;0,COUNTIF($Y95:AW95,AX95)=0),0,IF(SUMPRODUCT(MOD(INT(AX140/{2,4,8,16,32,64,128,256,512,1024,2048,4096,8192,16384,32768}),2)*(1-MOD(INT(($CJ5+AW185)/{2,4,8,16,32,64,128,256,512,1024,2048,4096,8192,16384,32768}),2))*{2,4,8,16,32,64,128,256,512,1024,2048,4096,8192,16384,32768})=0,0,2^SUMPRODUCT(--(MOD(SUMPRODUCT(MOD(INT(AX140/{2,4,8,16,32,64,128,256,512,1024,2048,4096,8192,16384,32768}),2)*(1-MOD(INT(($CJ5+AW185)/{2,4,8,16,32,64,128,256,512,1024,2048,4096,8192,16384,32768}),2))*{2,4,8,16,32,64,128,256,512,1024,2048,4096,8192,16384,32768}),{2,4,8,16,32,64,128,256,512,1024,2048,4096,8192,16384,32768})=0))))</f>
        <v/>
      </c>
      <c r="AY185">
        <f>AX185+IF(AND(AY95&gt;0,COUNTIF($Y95:AX95,AY95)=0),0,IF(SUMPRODUCT(MOD(INT(AY140/{2,4,8,16,32,64,128,256,512,1024,2048,4096,8192,16384,32768}),2)*(1-MOD(INT(($CJ5+AX185)/{2,4,8,16,32,64,128,256,512,1024,2048,4096,8192,16384,32768}),2))*{2,4,8,16,32,64,128,256,512,1024,2048,4096,8192,16384,32768})=0,0,2^SUMPRODUCT(--(MOD(SUMPRODUCT(MOD(INT(AY140/{2,4,8,16,32,64,128,256,512,1024,2048,4096,8192,16384,32768}),2)*(1-MOD(INT(($CJ5+AX185)/{2,4,8,16,32,64,128,256,512,1024,2048,4096,8192,16384,32768}),2))*{2,4,8,16,32,64,128,256,512,1024,2048,4096,8192,16384,32768}),{2,4,8,16,32,64,128,256,512,1024,2048,4096,8192,16384,32768})=0))))</f>
        <v/>
      </c>
      <c r="AZ185">
        <f>AY185+IF(AND(AZ95&gt;0,COUNTIF($Y95:AY95,AZ95)=0),0,IF(SUMPRODUCT(MOD(INT(AZ140/{2,4,8,16,32,64,128,256,512,1024,2048,4096,8192,16384,32768}),2)*(1-MOD(INT(($CJ5+AY185)/{2,4,8,16,32,64,128,256,512,1024,2048,4096,8192,16384,32768}),2))*{2,4,8,16,32,64,128,256,512,1024,2048,4096,8192,16384,32768})=0,0,2^SUMPRODUCT(--(MOD(SUMPRODUCT(MOD(INT(AZ140/{2,4,8,16,32,64,128,256,512,1024,2048,4096,8192,16384,32768}),2)*(1-MOD(INT(($CJ5+AY185)/{2,4,8,16,32,64,128,256,512,1024,2048,4096,8192,16384,32768}),2))*{2,4,8,16,32,64,128,256,512,1024,2048,4096,8192,16384,32768}),{2,4,8,16,32,64,128,256,512,1024,2048,4096,8192,16384,32768})=0))))</f>
        <v/>
      </c>
      <c r="BA185">
        <f>AZ185+IF(AND(BA95&gt;0,COUNTIF($Y95:AZ95,BA95)=0),0,IF(SUMPRODUCT(MOD(INT(BA140/{2,4,8,16,32,64,128,256,512,1024,2048,4096,8192,16384,32768}),2)*(1-MOD(INT(($CJ5+AZ185)/{2,4,8,16,32,64,128,256,512,1024,2048,4096,8192,16384,32768}),2))*{2,4,8,16,32,64,128,256,512,1024,2048,4096,8192,16384,32768})=0,0,2^SUMPRODUCT(--(MOD(SUMPRODUCT(MOD(INT(BA140/{2,4,8,16,32,64,128,256,512,1024,2048,4096,8192,16384,32768}),2)*(1-MOD(INT(($CJ5+AZ185)/{2,4,8,16,32,64,128,256,512,1024,2048,4096,8192,16384,32768}),2))*{2,4,8,16,32,64,128,256,512,1024,2048,4096,8192,16384,32768}),{2,4,8,16,32,64,128,256,512,1024,2048,4096,8192,16384,32768})=0))))</f>
        <v/>
      </c>
      <c r="BB185">
        <f>BA185+IF(AND(BB95&gt;0,COUNTIF($Y95:BA95,BB95)=0),0,IF(SUMPRODUCT(MOD(INT(BB140/{2,4,8,16,32,64,128,256,512,1024,2048,4096,8192,16384,32768}),2)*(1-MOD(INT(($CJ5+BA185)/{2,4,8,16,32,64,128,256,512,1024,2048,4096,8192,16384,32768}),2))*{2,4,8,16,32,64,128,256,512,1024,2048,4096,8192,16384,32768})=0,0,2^SUMPRODUCT(--(MOD(SUMPRODUCT(MOD(INT(BB140/{2,4,8,16,32,64,128,256,512,1024,2048,4096,8192,16384,32768}),2)*(1-MOD(INT(($CJ5+BA185)/{2,4,8,16,32,64,128,256,512,1024,2048,4096,8192,16384,32768}),2))*{2,4,8,16,32,64,128,256,512,1024,2048,4096,8192,16384,32768}),{2,4,8,16,32,64,128,256,512,1024,2048,4096,8192,16384,32768})=0))))</f>
        <v/>
      </c>
      <c r="BC185">
        <f>BB185+IF(AND(BC95&gt;0,COUNTIF($Y95:BB95,BC95)=0),0,IF(SUMPRODUCT(MOD(INT(BC140/{2,4,8,16,32,64,128,256,512,1024,2048,4096,8192,16384,32768}),2)*(1-MOD(INT(($CJ5+BB185)/{2,4,8,16,32,64,128,256,512,1024,2048,4096,8192,16384,32768}),2))*{2,4,8,16,32,64,128,256,512,1024,2048,4096,8192,16384,32768})=0,0,2^SUMPRODUCT(--(MOD(SUMPRODUCT(MOD(INT(BC140/{2,4,8,16,32,64,128,256,512,1024,2048,4096,8192,16384,32768}),2)*(1-MOD(INT(($CJ5+BB185)/{2,4,8,16,32,64,128,256,512,1024,2048,4096,8192,16384,32768}),2))*{2,4,8,16,32,64,128,256,512,1024,2048,4096,8192,16384,32768}),{2,4,8,16,32,64,128,256,512,1024,2048,4096,8192,16384,32768})=0))))</f>
        <v/>
      </c>
      <c r="BD185">
        <f>BC185+IF(AND(BD95&gt;0,COUNTIF($Y95:BC95,BD95)=0),0,IF(SUMPRODUCT(MOD(INT(BD140/{2,4,8,16,32,64,128,256,512,1024,2048,4096,8192,16384,32768}),2)*(1-MOD(INT(($CJ5+BC185)/{2,4,8,16,32,64,128,256,512,1024,2048,4096,8192,16384,32768}),2))*{2,4,8,16,32,64,128,256,512,1024,2048,4096,8192,16384,32768})=0,0,2^SUMPRODUCT(--(MOD(SUMPRODUCT(MOD(INT(BD140/{2,4,8,16,32,64,128,256,512,1024,2048,4096,8192,16384,32768}),2)*(1-MOD(INT(($CJ5+BC185)/{2,4,8,16,32,64,128,256,512,1024,2048,4096,8192,16384,32768}),2))*{2,4,8,16,32,64,128,256,512,1024,2048,4096,8192,16384,32768}),{2,4,8,16,32,64,128,256,512,1024,2048,4096,8192,16384,32768})=0))))</f>
        <v/>
      </c>
      <c r="BE185">
        <f>BD185+IF(AND(BE95&gt;0,COUNTIF($Y95:BD95,BE95)=0),0,IF(SUMPRODUCT(MOD(INT(BE140/{2,4,8,16,32,64,128,256,512,1024,2048,4096,8192,16384,32768}),2)*(1-MOD(INT(($CJ5+BD185)/{2,4,8,16,32,64,128,256,512,1024,2048,4096,8192,16384,32768}),2))*{2,4,8,16,32,64,128,256,512,1024,2048,4096,8192,16384,32768})=0,0,2^SUMPRODUCT(--(MOD(SUMPRODUCT(MOD(INT(BE140/{2,4,8,16,32,64,128,256,512,1024,2048,4096,8192,16384,32768}),2)*(1-MOD(INT(($CJ5+BD185)/{2,4,8,16,32,64,128,256,512,1024,2048,4096,8192,16384,32768}),2))*{2,4,8,16,32,64,128,256,512,1024,2048,4096,8192,16384,32768}),{2,4,8,16,32,64,128,256,512,1024,2048,4096,8192,16384,32768})=0))))</f>
        <v/>
      </c>
      <c r="BF185">
        <f>BE185+IF(AND(BF95&gt;0,COUNTIF($Y95:BE95,BF95)=0),0,IF(SUMPRODUCT(MOD(INT(BF140/{2,4,8,16,32,64,128,256,512,1024,2048,4096,8192,16384,32768}),2)*(1-MOD(INT(($CJ5+BE185)/{2,4,8,16,32,64,128,256,512,1024,2048,4096,8192,16384,32768}),2))*{2,4,8,16,32,64,128,256,512,1024,2048,4096,8192,16384,32768})=0,0,2^SUMPRODUCT(--(MOD(SUMPRODUCT(MOD(INT(BF140/{2,4,8,16,32,64,128,256,512,1024,2048,4096,8192,16384,32768}),2)*(1-MOD(INT(($CJ5+BE185)/{2,4,8,16,32,64,128,256,512,1024,2048,4096,8192,16384,32768}),2))*{2,4,8,16,32,64,128,256,512,1024,2048,4096,8192,16384,32768}),{2,4,8,16,32,64,128,256,512,1024,2048,4096,8192,16384,32768})=0))))</f>
        <v/>
      </c>
      <c r="BG185">
        <f>BF185+IF(AND(BG95&gt;0,COUNTIF($Y95:BF95,BG95)=0),0,IF(SUMPRODUCT(MOD(INT(BG140/{2,4,8,16,32,64,128,256,512,1024,2048,4096,8192,16384,32768}),2)*(1-MOD(INT(($CJ5+BF185)/{2,4,8,16,32,64,128,256,512,1024,2048,4096,8192,16384,32768}),2))*{2,4,8,16,32,64,128,256,512,1024,2048,4096,8192,16384,32768})=0,0,2^SUMPRODUCT(--(MOD(SUMPRODUCT(MOD(INT(BG140/{2,4,8,16,32,64,128,256,512,1024,2048,4096,8192,16384,32768}),2)*(1-MOD(INT(($CJ5+BF185)/{2,4,8,16,32,64,128,256,512,1024,2048,4096,8192,16384,32768}),2))*{2,4,8,16,32,64,128,256,512,1024,2048,4096,8192,16384,32768}),{2,4,8,16,32,64,128,256,512,1024,2048,4096,8192,16384,32768})=0))))</f>
        <v/>
      </c>
      <c r="BH185">
        <f>BG185+IF(AND(BH95&gt;0,COUNTIF($Y95:BG95,BH95)=0),0,IF(SUMPRODUCT(MOD(INT(BH140/{2,4,8,16,32,64,128,256,512,1024,2048,4096,8192,16384,32768}),2)*(1-MOD(INT(($CJ5+BG185)/{2,4,8,16,32,64,128,256,512,1024,2048,4096,8192,16384,32768}),2))*{2,4,8,16,32,64,128,256,512,1024,2048,4096,8192,16384,32768})=0,0,2^SUMPRODUCT(--(MOD(SUMPRODUCT(MOD(INT(BH140/{2,4,8,16,32,64,128,256,512,1024,2048,4096,8192,16384,32768}),2)*(1-MOD(INT(($CJ5+BG185)/{2,4,8,16,32,64,128,256,512,1024,2048,4096,8192,16384,32768}),2))*{2,4,8,16,32,64,128,256,512,1024,2048,4096,8192,16384,32768}),{2,4,8,16,32,64,128,256,512,1024,2048,4096,8192,16384,32768})=0))))</f>
        <v/>
      </c>
      <c r="BI185">
        <f>BH185+IF(AND(BI95&gt;0,COUNTIF($Y95:BH95,BI95)=0),0,IF(SUMPRODUCT(MOD(INT(BI140/{2,4,8,16,32,64,128,256,512,1024,2048,4096,8192,16384,32768}),2)*(1-MOD(INT(($CJ5+BH185)/{2,4,8,16,32,64,128,256,512,1024,2048,4096,8192,16384,32768}),2))*{2,4,8,16,32,64,128,256,512,1024,2048,4096,8192,16384,32768})=0,0,2^SUMPRODUCT(--(MOD(SUMPRODUCT(MOD(INT(BI140/{2,4,8,16,32,64,128,256,512,1024,2048,4096,8192,16384,32768}),2)*(1-MOD(INT(($CJ5+BH185)/{2,4,8,16,32,64,128,256,512,1024,2048,4096,8192,16384,32768}),2))*{2,4,8,16,32,64,128,256,512,1024,2048,4096,8192,16384,32768}),{2,4,8,16,32,64,128,256,512,1024,2048,4096,8192,16384,32768})=0))))</f>
        <v/>
      </c>
      <c r="BJ185">
        <f>BI185+IF(AND(BJ95&gt;0,COUNTIF($Y95:BI95,BJ95)=0),0,IF(SUMPRODUCT(MOD(INT(BJ140/{2,4,8,16,32,64,128,256,512,1024,2048,4096,8192,16384,32768}),2)*(1-MOD(INT(($CJ5+BI185)/{2,4,8,16,32,64,128,256,512,1024,2048,4096,8192,16384,32768}),2))*{2,4,8,16,32,64,128,256,512,1024,2048,4096,8192,16384,32768})=0,0,2^SUMPRODUCT(--(MOD(SUMPRODUCT(MOD(INT(BJ140/{2,4,8,16,32,64,128,256,512,1024,2048,4096,8192,16384,32768}),2)*(1-MOD(INT(($CJ5+BI185)/{2,4,8,16,32,64,128,256,512,1024,2048,4096,8192,16384,32768}),2))*{2,4,8,16,32,64,128,256,512,1024,2048,4096,8192,16384,32768}),{2,4,8,16,32,64,128,256,512,1024,2048,4096,8192,16384,32768})=0))))</f>
        <v/>
      </c>
      <c r="BK185">
        <f>BJ185+IF(AND(BK95&gt;0,COUNTIF($Y95:BJ95,BK95)=0),0,IF(SUMPRODUCT(MOD(INT(BK140/{2,4,8,16,32,64,128,256,512,1024,2048,4096,8192,16384,32768}),2)*(1-MOD(INT(($CJ5+BJ185)/{2,4,8,16,32,64,128,256,512,1024,2048,4096,8192,16384,32768}),2))*{2,4,8,16,32,64,128,256,512,1024,2048,4096,8192,16384,32768})=0,0,2^SUMPRODUCT(--(MOD(SUMPRODUCT(MOD(INT(BK140/{2,4,8,16,32,64,128,256,512,1024,2048,4096,8192,16384,32768}),2)*(1-MOD(INT(($CJ5+BJ185)/{2,4,8,16,32,64,128,256,512,1024,2048,4096,8192,16384,32768}),2))*{2,4,8,16,32,64,128,256,512,1024,2048,4096,8192,16384,32768}),{2,4,8,16,32,64,128,256,512,1024,2048,4096,8192,16384,32768})=0))))</f>
        <v/>
      </c>
      <c r="BL185">
        <f>BK185+IF(AND(BL95&gt;0,COUNTIF($Y95:BK95,BL95)=0),0,IF(SUMPRODUCT(MOD(INT(BL140/{2,4,8,16,32,64,128,256,512,1024,2048,4096,8192,16384,32768}),2)*(1-MOD(INT(($CJ5+BK185)/{2,4,8,16,32,64,128,256,512,1024,2048,4096,8192,16384,32768}),2))*{2,4,8,16,32,64,128,256,512,1024,2048,4096,8192,16384,32768})=0,0,2^SUMPRODUCT(--(MOD(SUMPRODUCT(MOD(INT(BL140/{2,4,8,16,32,64,128,256,512,1024,2048,4096,8192,16384,32768}),2)*(1-MOD(INT(($CJ5+BK185)/{2,4,8,16,32,64,128,256,512,1024,2048,4096,8192,16384,32768}),2))*{2,4,8,16,32,64,128,256,512,1024,2048,4096,8192,16384,32768}),{2,4,8,16,32,64,128,256,512,1024,2048,4096,8192,16384,32768})=0))))</f>
        <v/>
      </c>
      <c r="BM185">
        <f>BL185+IF(AND(BM95&gt;0,COUNTIF($Y95:BL95,BM95)=0),0,IF(SUMPRODUCT(MOD(INT(BM140/{2,4,8,16,32,64,128,256,512,1024,2048,4096,8192,16384,32768}),2)*(1-MOD(INT(($CJ5+BL185)/{2,4,8,16,32,64,128,256,512,1024,2048,4096,8192,16384,32768}),2))*{2,4,8,16,32,64,128,256,512,1024,2048,4096,8192,16384,32768})=0,0,2^SUMPRODUCT(--(MOD(SUMPRODUCT(MOD(INT(BM140/{2,4,8,16,32,64,128,256,512,1024,2048,4096,8192,16384,32768}),2)*(1-MOD(INT(($CJ5+BL185)/{2,4,8,16,32,64,128,256,512,1024,2048,4096,8192,16384,32768}),2))*{2,4,8,16,32,64,128,256,512,1024,2048,4096,8192,16384,32768}),{2,4,8,16,32,64,128,256,512,1024,2048,4096,8192,16384,32768})=0))))</f>
        <v/>
      </c>
      <c r="BN185">
        <f>BM185+IF(AND(BN95&gt;0,COUNTIF($Y95:BM95,BN95)=0),0,IF(SUMPRODUCT(MOD(INT(BN140/{2,4,8,16,32,64,128,256,512,1024,2048,4096,8192,16384,32768}),2)*(1-MOD(INT(($CJ5+BM185)/{2,4,8,16,32,64,128,256,512,1024,2048,4096,8192,16384,32768}),2))*{2,4,8,16,32,64,128,256,512,1024,2048,4096,8192,16384,32768})=0,0,2^SUMPRODUCT(--(MOD(SUMPRODUCT(MOD(INT(BN140/{2,4,8,16,32,64,128,256,512,1024,2048,4096,8192,16384,32768}),2)*(1-MOD(INT(($CJ5+BM185)/{2,4,8,16,32,64,128,256,512,1024,2048,4096,8192,16384,32768}),2))*{2,4,8,16,32,64,128,256,512,1024,2048,4096,8192,16384,32768}),{2,4,8,16,32,64,128,256,512,1024,2048,4096,8192,16384,32768})=0))))</f>
        <v/>
      </c>
      <c r="BO185">
        <f>BN185+IF(AND(BO95&gt;0,COUNTIF($Y95:BN95,BO95)=0),0,IF(SUMPRODUCT(MOD(INT(BO140/{2,4,8,16,32,64,128,256,512,1024,2048,4096,8192,16384,32768}),2)*(1-MOD(INT(($CJ5+BN185)/{2,4,8,16,32,64,128,256,512,1024,2048,4096,8192,16384,32768}),2))*{2,4,8,16,32,64,128,256,512,1024,2048,4096,8192,16384,32768})=0,0,2^SUMPRODUCT(--(MOD(SUMPRODUCT(MOD(INT(BO140/{2,4,8,16,32,64,128,256,512,1024,2048,4096,8192,16384,32768}),2)*(1-MOD(INT(($CJ5+BN185)/{2,4,8,16,32,64,128,256,512,1024,2048,4096,8192,16384,32768}),2))*{2,4,8,16,32,64,128,256,512,1024,2048,4096,8192,16384,32768}),{2,4,8,16,32,64,128,256,512,1024,2048,4096,8192,16384,32768})=0))))</f>
        <v/>
      </c>
      <c r="BP185">
        <f>BO185+IF(AND(BP95&gt;0,COUNTIF($Y95:BO95,BP95)=0),0,IF(SUMPRODUCT(MOD(INT(BP140/{2,4,8,16,32,64,128,256,512,1024,2048,4096,8192,16384,32768}),2)*(1-MOD(INT(($CJ5+BO185)/{2,4,8,16,32,64,128,256,512,1024,2048,4096,8192,16384,32768}),2))*{2,4,8,16,32,64,128,256,512,1024,2048,4096,8192,16384,32768})=0,0,2^SUMPRODUCT(--(MOD(SUMPRODUCT(MOD(INT(BP140/{2,4,8,16,32,64,128,256,512,1024,2048,4096,8192,16384,32768}),2)*(1-MOD(INT(($CJ5+BO185)/{2,4,8,16,32,64,128,256,512,1024,2048,4096,8192,16384,32768}),2))*{2,4,8,16,32,64,128,256,512,1024,2048,4096,8192,16384,32768}),{2,4,8,16,32,64,128,256,512,1024,2048,4096,8192,16384,32768})=0))))</f>
        <v/>
      </c>
      <c r="BQ185">
        <f>BP185+IF(AND(BQ95&gt;0,COUNTIF($Y95:BP95,BQ95)=0),0,IF(SUMPRODUCT(MOD(INT(BQ140/{2,4,8,16,32,64,128,256,512,1024,2048,4096,8192,16384,32768}),2)*(1-MOD(INT(($CJ5+BP185)/{2,4,8,16,32,64,128,256,512,1024,2048,4096,8192,16384,32768}),2))*{2,4,8,16,32,64,128,256,512,1024,2048,4096,8192,16384,32768})=0,0,2^SUMPRODUCT(--(MOD(SUMPRODUCT(MOD(INT(BQ140/{2,4,8,16,32,64,128,256,512,1024,2048,4096,8192,16384,32768}),2)*(1-MOD(INT(($CJ5+BP185)/{2,4,8,16,32,64,128,256,512,1024,2048,4096,8192,16384,32768}),2))*{2,4,8,16,32,64,128,256,512,1024,2048,4096,8192,16384,32768}),{2,4,8,16,32,64,128,256,512,1024,2048,4096,8192,16384,32768})=0))))</f>
        <v/>
      </c>
      <c r="BR185">
        <f>BQ185+IF(AND(BR95&gt;0,COUNTIF($Y95:BQ95,BR95)=0),0,IF(SUMPRODUCT(MOD(INT(BR140/{2,4,8,16,32,64,128,256,512,1024,2048,4096,8192,16384,32768}),2)*(1-MOD(INT(($CJ5+BQ185)/{2,4,8,16,32,64,128,256,512,1024,2048,4096,8192,16384,32768}),2))*{2,4,8,16,32,64,128,256,512,1024,2048,4096,8192,16384,32768})=0,0,2^SUMPRODUCT(--(MOD(SUMPRODUCT(MOD(INT(BR140/{2,4,8,16,32,64,128,256,512,1024,2048,4096,8192,16384,32768}),2)*(1-MOD(INT(($CJ5+BQ185)/{2,4,8,16,32,64,128,256,512,1024,2048,4096,8192,16384,32768}),2))*{2,4,8,16,32,64,128,256,512,1024,2048,4096,8192,16384,32768}),{2,4,8,16,32,64,128,256,512,1024,2048,4096,8192,16384,32768})=0))))</f>
        <v/>
      </c>
      <c r="BS185">
        <f>BR185+IF(AND(BS95&gt;0,COUNTIF($Y95:BR95,BS95)=0),0,IF(SUMPRODUCT(MOD(INT(BS140/{2,4,8,16,32,64,128,256,512,1024,2048,4096,8192,16384,32768}),2)*(1-MOD(INT(($CJ5+BR185)/{2,4,8,16,32,64,128,256,512,1024,2048,4096,8192,16384,32768}),2))*{2,4,8,16,32,64,128,256,512,1024,2048,4096,8192,16384,32768})=0,0,2^SUMPRODUCT(--(MOD(SUMPRODUCT(MOD(INT(BS140/{2,4,8,16,32,64,128,256,512,1024,2048,4096,8192,16384,32768}),2)*(1-MOD(INT(($CJ5+BR185)/{2,4,8,16,32,64,128,256,512,1024,2048,4096,8192,16384,32768}),2))*{2,4,8,16,32,64,128,256,512,1024,2048,4096,8192,16384,32768}),{2,4,8,16,32,64,128,256,512,1024,2048,4096,8192,16384,32768})=0))))</f>
        <v/>
      </c>
      <c r="BT185">
        <f>BS185+IF(AND(BT95&gt;0,COUNTIF($Y95:BS95,BT95)=0),0,IF(SUMPRODUCT(MOD(INT(BT140/{2,4,8,16,32,64,128,256,512,1024,2048,4096,8192,16384,32768}),2)*(1-MOD(INT(($CJ5+BS185)/{2,4,8,16,32,64,128,256,512,1024,2048,4096,8192,16384,32768}),2))*{2,4,8,16,32,64,128,256,512,1024,2048,4096,8192,16384,32768})=0,0,2^SUMPRODUCT(--(MOD(SUMPRODUCT(MOD(INT(BT140/{2,4,8,16,32,64,128,256,512,1024,2048,4096,8192,16384,32768}),2)*(1-MOD(INT(($CJ5+BS185)/{2,4,8,16,32,64,128,256,512,1024,2048,4096,8192,16384,32768}),2))*{2,4,8,16,32,64,128,256,512,1024,2048,4096,8192,16384,32768}),{2,4,8,16,32,64,128,256,512,1024,2048,4096,8192,16384,32768})=0))))</f>
        <v/>
      </c>
      <c r="BU185">
        <f>BT185+IF(AND(BU95&gt;0,COUNTIF($Y95:BT95,BU95)=0),0,IF(SUMPRODUCT(MOD(INT(BU140/{2,4,8,16,32,64,128,256,512,1024,2048,4096,8192,16384,32768}),2)*(1-MOD(INT(($CJ5+BT185)/{2,4,8,16,32,64,128,256,512,1024,2048,4096,8192,16384,32768}),2))*{2,4,8,16,32,64,128,256,512,1024,2048,4096,8192,16384,32768})=0,0,2^SUMPRODUCT(--(MOD(SUMPRODUCT(MOD(INT(BU140/{2,4,8,16,32,64,128,256,512,1024,2048,4096,8192,16384,32768}),2)*(1-MOD(INT(($CJ5+BT185)/{2,4,8,16,32,64,128,256,512,1024,2048,4096,8192,16384,32768}),2))*{2,4,8,16,32,64,128,256,512,1024,2048,4096,8192,16384,32768}),{2,4,8,16,32,64,128,256,512,1024,2048,4096,8192,16384,32768})=0))))</f>
        <v/>
      </c>
      <c r="BV185">
        <f>BU185+IF(AND(BV95&gt;0,COUNTIF($Y95:BU95,BV95)=0),0,IF(SUMPRODUCT(MOD(INT(BV140/{2,4,8,16,32,64,128,256,512,1024,2048,4096,8192,16384,32768}),2)*(1-MOD(INT(($CJ5+BU185)/{2,4,8,16,32,64,128,256,512,1024,2048,4096,8192,16384,32768}),2))*{2,4,8,16,32,64,128,256,512,1024,2048,4096,8192,16384,32768})=0,0,2^SUMPRODUCT(--(MOD(SUMPRODUCT(MOD(INT(BV140/{2,4,8,16,32,64,128,256,512,1024,2048,4096,8192,16384,32768}),2)*(1-MOD(INT(($CJ5+BU185)/{2,4,8,16,32,64,128,256,512,1024,2048,4096,8192,16384,32768}),2))*{2,4,8,16,32,64,128,256,512,1024,2048,4096,8192,16384,32768}),{2,4,8,16,32,64,128,256,512,1024,2048,4096,8192,16384,32768})=0))))</f>
        <v/>
      </c>
      <c r="BW185">
        <f>BV185+IF(AND(BW95&gt;0,COUNTIF($Y95:BV95,BW95)=0),0,IF(SUMPRODUCT(MOD(INT(BW140/{2,4,8,16,32,64,128,256,512,1024,2048,4096,8192,16384,32768}),2)*(1-MOD(INT(($CJ5+BV185)/{2,4,8,16,32,64,128,256,512,1024,2048,4096,8192,16384,32768}),2))*{2,4,8,16,32,64,128,256,512,1024,2048,4096,8192,16384,32768})=0,0,2^SUMPRODUCT(--(MOD(SUMPRODUCT(MOD(INT(BW140/{2,4,8,16,32,64,128,256,512,1024,2048,4096,8192,16384,32768}),2)*(1-MOD(INT(($CJ5+BV185)/{2,4,8,16,32,64,128,256,512,1024,2048,4096,8192,16384,32768}),2))*{2,4,8,16,32,64,128,256,512,1024,2048,4096,8192,16384,32768}),{2,4,8,16,32,64,128,256,512,1024,2048,4096,8192,16384,32768})=0))))</f>
        <v/>
      </c>
      <c r="BX185">
        <f>BW185+IF(AND(BX95&gt;0,COUNTIF($Y95:BW95,BX95)=0),0,IF(SUMPRODUCT(MOD(INT(BX140/{2,4,8,16,32,64,128,256,512,1024,2048,4096,8192,16384,32768}),2)*(1-MOD(INT(($CJ5+BW185)/{2,4,8,16,32,64,128,256,512,1024,2048,4096,8192,16384,32768}),2))*{2,4,8,16,32,64,128,256,512,1024,2048,4096,8192,16384,32768})=0,0,2^SUMPRODUCT(--(MOD(SUMPRODUCT(MOD(INT(BX140/{2,4,8,16,32,64,128,256,512,1024,2048,4096,8192,16384,32768}),2)*(1-MOD(INT(($CJ5+BW185)/{2,4,8,16,32,64,128,256,512,1024,2048,4096,8192,16384,32768}),2))*{2,4,8,16,32,64,128,256,512,1024,2048,4096,8192,16384,32768}),{2,4,8,16,32,64,128,256,512,1024,2048,4096,8192,16384,32768})=0))))</f>
        <v/>
      </c>
      <c r="BY185">
        <f>BX185+IF(AND(BY95&gt;0,COUNTIF($Y95:BX95,BY95)=0),0,IF(SUMPRODUCT(MOD(INT(BY140/{2,4,8,16,32,64,128,256,512,1024,2048,4096,8192,16384,32768}),2)*(1-MOD(INT(($CJ5+BX185)/{2,4,8,16,32,64,128,256,512,1024,2048,4096,8192,16384,32768}),2))*{2,4,8,16,32,64,128,256,512,1024,2048,4096,8192,16384,32768})=0,0,2^SUMPRODUCT(--(MOD(SUMPRODUCT(MOD(INT(BY140/{2,4,8,16,32,64,128,256,512,1024,2048,4096,8192,16384,32768}),2)*(1-MOD(INT(($CJ5+BX185)/{2,4,8,16,32,64,128,256,512,1024,2048,4096,8192,16384,32768}),2))*{2,4,8,16,32,64,128,256,512,1024,2048,4096,8192,16384,32768}),{2,4,8,16,32,64,128,256,512,1024,2048,4096,8192,16384,32768})=0))))</f>
        <v/>
      </c>
      <c r="BZ185">
        <f>BY185+IF(AND(BZ95&gt;0,COUNTIF($Y95:BY95,BZ95)=0),0,IF(SUMPRODUCT(MOD(INT(BZ140/{2,4,8,16,32,64,128,256,512,1024,2048,4096,8192,16384,32768}),2)*(1-MOD(INT(($CJ5+BY185)/{2,4,8,16,32,64,128,256,512,1024,2048,4096,8192,16384,32768}),2))*{2,4,8,16,32,64,128,256,512,1024,2048,4096,8192,16384,32768})=0,0,2^SUMPRODUCT(--(MOD(SUMPRODUCT(MOD(INT(BZ140/{2,4,8,16,32,64,128,256,512,1024,2048,4096,8192,16384,32768}),2)*(1-MOD(INT(($CJ5+BY185)/{2,4,8,16,32,64,128,256,512,1024,2048,4096,8192,16384,32768}),2))*{2,4,8,16,32,64,128,256,512,1024,2048,4096,8192,16384,32768}),{2,4,8,16,32,64,128,256,512,1024,2048,4096,8192,16384,32768})=0))))</f>
        <v/>
      </c>
      <c r="CA185">
        <f>BZ185+IF(AND(CA95&gt;0,COUNTIF($Y95:BZ95,CA95)=0),0,IF(SUMPRODUCT(MOD(INT(CA140/{2,4,8,16,32,64,128,256,512,1024,2048,4096,8192,16384,32768}),2)*(1-MOD(INT(($CJ5+BZ185)/{2,4,8,16,32,64,128,256,512,1024,2048,4096,8192,16384,32768}),2))*{2,4,8,16,32,64,128,256,512,1024,2048,4096,8192,16384,32768})=0,0,2^SUMPRODUCT(--(MOD(SUMPRODUCT(MOD(INT(CA140/{2,4,8,16,32,64,128,256,512,1024,2048,4096,8192,16384,32768}),2)*(1-MOD(INT(($CJ5+BZ185)/{2,4,8,16,32,64,128,256,512,1024,2048,4096,8192,16384,32768}),2))*{2,4,8,16,32,64,128,256,512,1024,2048,4096,8192,16384,32768}),{2,4,8,16,32,64,128,256,512,1024,2048,4096,8192,16384,32768})=0))))</f>
        <v/>
      </c>
      <c r="CB185">
        <f>CA185+IF(AND(CB95&gt;0,COUNTIF($Y95:CA95,CB95)=0),0,IF(SUMPRODUCT(MOD(INT(CB140/{2,4,8,16,32,64,128,256,512,1024,2048,4096,8192,16384,32768}),2)*(1-MOD(INT(($CJ5+CA185)/{2,4,8,16,32,64,128,256,512,1024,2048,4096,8192,16384,32768}),2))*{2,4,8,16,32,64,128,256,512,1024,2048,4096,8192,16384,32768})=0,0,2^SUMPRODUCT(--(MOD(SUMPRODUCT(MOD(INT(CB140/{2,4,8,16,32,64,128,256,512,1024,2048,4096,8192,16384,32768}),2)*(1-MOD(INT(($CJ5+CA185)/{2,4,8,16,32,64,128,256,512,1024,2048,4096,8192,16384,32768}),2))*{2,4,8,16,32,64,128,256,512,1024,2048,4096,8192,16384,32768}),{2,4,8,16,32,64,128,256,512,1024,2048,4096,8192,16384,32768})=0))))</f>
        <v/>
      </c>
      <c r="CC185">
        <f>CB185+IF(AND(CC95&gt;0,COUNTIF($Y95:CB95,CC95)=0),0,IF(SUMPRODUCT(MOD(INT(CC140/{2,4,8,16,32,64,128,256,512,1024,2048,4096,8192,16384,32768}),2)*(1-MOD(INT(($CJ5+CB185)/{2,4,8,16,32,64,128,256,512,1024,2048,4096,8192,16384,32768}),2))*{2,4,8,16,32,64,128,256,512,1024,2048,4096,8192,16384,32768})=0,0,2^SUMPRODUCT(--(MOD(SUMPRODUCT(MOD(INT(CC140/{2,4,8,16,32,64,128,256,512,1024,2048,4096,8192,16384,32768}),2)*(1-MOD(INT(($CJ5+CB185)/{2,4,8,16,32,64,128,256,512,1024,2048,4096,8192,16384,32768}),2))*{2,4,8,16,32,64,128,256,512,1024,2048,4096,8192,16384,32768}),{2,4,8,16,32,64,128,256,512,1024,2048,4096,8192,16384,32768})=0))))</f>
        <v/>
      </c>
      <c r="CD185">
        <f>CC185+IF(AND(CD95&gt;0,COUNTIF($Y95:CC95,CD95)=0),0,IF(SUMPRODUCT(MOD(INT(CD140/{2,4,8,16,32,64,128,256,512,1024,2048,4096,8192,16384,32768}),2)*(1-MOD(INT(($CJ5+CC185)/{2,4,8,16,32,64,128,256,512,1024,2048,4096,8192,16384,32768}),2))*{2,4,8,16,32,64,128,256,512,1024,2048,4096,8192,16384,32768})=0,0,2^SUMPRODUCT(--(MOD(SUMPRODUCT(MOD(INT(CD140/{2,4,8,16,32,64,128,256,512,1024,2048,4096,8192,16384,32768}),2)*(1-MOD(INT(($CJ5+CC185)/{2,4,8,16,32,64,128,256,512,1024,2048,4096,8192,16384,32768}),2))*{2,4,8,16,32,64,128,256,512,1024,2048,4096,8192,16384,32768}),{2,4,8,16,32,64,128,256,512,1024,2048,4096,8192,16384,32768})=0))))</f>
        <v/>
      </c>
      <c r="CE185">
        <f>CD185+IF(AND(CE95&gt;0,COUNTIF($Y95:CD95,CE95)=0),0,IF(SUMPRODUCT(MOD(INT(CE140/{2,4,8,16,32,64,128,256,512,1024,2048,4096,8192,16384,32768}),2)*(1-MOD(INT(($CJ5+CD185)/{2,4,8,16,32,64,128,256,512,1024,2048,4096,8192,16384,32768}),2))*{2,4,8,16,32,64,128,256,512,1024,2048,4096,8192,16384,32768})=0,0,2^SUMPRODUCT(--(MOD(SUMPRODUCT(MOD(INT(CE140/{2,4,8,16,32,64,128,256,512,1024,2048,4096,8192,16384,32768}),2)*(1-MOD(INT(($CJ5+CD185)/{2,4,8,16,32,64,128,256,512,1024,2048,4096,8192,16384,32768}),2))*{2,4,8,16,32,64,128,256,512,1024,2048,4096,8192,16384,32768}),{2,4,8,16,32,64,128,256,512,1024,2048,4096,8192,16384,32768})=0))))</f>
        <v/>
      </c>
      <c r="CF185">
        <f>CE185+IF(AND(CF95&gt;0,COUNTIF($Y95:CE95,CF95)=0),0,IF(SUMPRODUCT(MOD(INT(CF140/{2,4,8,16,32,64,128,256,512,1024,2048,4096,8192,16384,32768}),2)*(1-MOD(INT(($CJ5+CE185)/{2,4,8,16,32,64,128,256,512,1024,2048,4096,8192,16384,32768}),2))*{2,4,8,16,32,64,128,256,512,1024,2048,4096,8192,16384,32768})=0,0,2^SUMPRODUCT(--(MOD(SUMPRODUCT(MOD(INT(CF140/{2,4,8,16,32,64,128,256,512,1024,2048,4096,8192,16384,32768}),2)*(1-MOD(INT(($CJ5+CE185)/{2,4,8,16,32,64,128,256,512,1024,2048,4096,8192,16384,32768}),2))*{2,4,8,16,32,64,128,256,512,1024,2048,4096,8192,16384,32768}),{2,4,8,16,32,64,128,256,512,1024,2048,4096,8192,16384,32768})=0))))</f>
        <v/>
      </c>
      <c r="DA185" t="n">
        <v>181</v>
      </c>
      <c r="DB185">
        <f>IF($B$37=0,"",IFERROR(TRIM(SUBSTITUTE(SUBSTITUTE(SUBSTITUTE(SUBSTITUTE(INDEX(PASTE_ALL,181,$B$37)," "," "),CHAR(9)," "),CHAR(10)," "),CHAR(13)," ")),""))</f>
        <v/>
      </c>
      <c r="DC185">
        <f>IF(AND(181&gt;HEADER_ROW,UPPER(DB185)="LEGEND"),1,0)</f>
        <v/>
      </c>
      <c r="DE185" t="n">
        <v>181</v>
      </c>
      <c r="DF185">
        <f>HEADER_ROW+$DE185</f>
        <v/>
      </c>
      <c r="DG185">
        <f>IF(AND($DF185&lt;=1000,$DF185&lt;$B$8),1,0)</f>
        <v/>
      </c>
      <c r="DH185">
        <f>IF($DG185=1,IFERROR(INDEX($DB$5:$DB$1004,$DF185),""),"")</f>
        <v/>
      </c>
      <c r="DI185">
        <f>IF(AND($DG185=1,$DH185&lt;&gt;""),IFERROR(SUBSTITUTE(SUBSTITUTE(TRIM(SUBSTITUTE(SUBSTITUTE(SUBSTITUTE(SUBSTITUTE(IFERROR(INDEX(PASTE_ALL,$DF185,1)&amp;"","")&amp;"␟"&amp;IFERROR(INDEX(PASTE_ALL,$DF185,2)&amp;"","")&amp;"␟"&amp;IFERROR(INDEX(PASTE_ALL,$DF185,3)&amp;"","")&amp;"␟"&amp;IFERROR(INDEX(PASTE_ALL,$DF185,4)&amp;"","")&amp;"␟"&amp;IFERROR(INDEX(PASTE_ALL,$DF185,5)&amp;"","")&amp;"␟"&amp;IFERROR(INDEX(PASTE_ALL,$DF185,6)&amp;"","")&amp;"␟"&amp;IFERROR(INDEX(PASTE_ALL,$DF185,7)&amp;"","")&amp;"␟"&amp;IFERROR(INDEX(PASTE_ALL,$DF185,8)&amp;"","")&amp;"␟"&amp;IFERROR(INDEX(PASTE_ALL,$DF185,9)&amp;"","")&amp;"␟"&amp;IFERROR(INDEX(PASTE_ALL,$DF185,10)&amp;"","")&amp;"␟"&amp;IFERROR(INDEX(PASTE_ALL,$DF185,11)&amp;"","")&amp;"␟"&amp;IFERROR(INDEX(PASTE_ALL,$DF185,12)&amp;"","")&amp;"␟"&amp;IFERROR(INDEX(PASTE_ALL,$DF185,13)&amp;"","")&amp;"␟"&amp;IFERROR(INDEX(PASTE_ALL,$DF185,14)&amp;"","")&amp;"␟"&amp;IFERROR(INDEX(PASTE_ALL,$DF185,15)&amp;"","")&amp;"␟"&amp;IFERROR(INDEX(PASTE_ALL,$DF185,16)&amp;"","")&amp;"␟"&amp;IFERROR(INDEX(PASTE_ALL,$DF185,17)&amp;"","")&amp;"␟"&amp;IFERROR(INDEX(PASTE_ALL,$DF185,18)&amp;"","")&amp;"␟"&amp;IFERROR(INDEX(PASTE_ALL,$DF185,19)&amp;"","")&amp;"␟"&amp;IFERROR(INDEX(PASTE_ALL,$DF185,20)&amp;"","")&amp;"␟"&amp;IFERROR(INDEX(PASTE_ALL,$DF185,21)&amp;"","")&amp;"␟"&amp;IFERROR(INDEX(PASTE_ALL,$DF185,22)&amp;"","")&amp;"␟"&amp;IFERROR(INDEX(PASTE_ALL,$DF185,23)&amp;"","")&amp;"␟"&amp;IFERROR(INDEX(PASTE_ALL,$DF185,24)&amp;"","")&amp;"␟"&amp;IFERROR(INDEX(PASTE_ALL,$DF185,25)&amp;"","")&amp;"␟"&amp;IFERROR(INDEX(PASTE_ALL,$DF185,26)&amp;"","")&amp;"␟"&amp;IFERROR(INDEX(PASTE_ALL,$DF185,27)&amp;"","")&amp;"␟"&amp;IFERROR(INDEX(PASTE_ALL,$DF185,28)&amp;"","")&amp;"␟"&amp;IFERROR(INDEX(PASTE_ALL,$DF185,29)&amp;"","")&amp;"␟"&amp;IFERROR(INDEX(PASTE_ALL,$DF185,30)&amp;"","")&amp;"␟"&amp;IFERROR(INDEX(PASTE_ALL,$DF185,31)&amp;"","")&amp;"␟"&amp;IFERROR(INDEX(PASTE_ALL,$DF185,32)&amp;"","")&amp;"␟"&amp;IFERROR(INDEX(PASTE_ALL,$DF185,33)&amp;"","")&amp;"␟"&amp;IFERROR(INDEX(PASTE_ALL,$DF185,34)&amp;"","")&amp;"␟"&amp;IFERROR(INDEX(PASTE_ALL,$DF185,35)&amp;"","")&amp;"␟"&amp;IFERROR(INDEX(PASTE_ALL,$DF185,36)&amp;"","")&amp;"␟"&amp;IFERROR(INDEX(PASTE_ALL,$DF185,37)&amp;"","")&amp;"␟"&amp;IFERROR(INDEX(PASTE_ALL,$DF185,38)&amp;"","")&amp;"␟"&amp;IFERROR(INDEX(PASTE_ALL,$DF185,39)&amp;"","")&amp;"␟"&amp;IFERROR(INDEX(PASTE_ALL,$DF185,40)&amp;"","")&amp;"␟"&amp;IFERROR(INDEX(PASTE_ALL,$DF185,41)&amp;"","")&amp;"␟"&amp;IFERROR(INDEX(PASTE_ALL,$DF185,42)&amp;"","")&amp;"␟"&amp;IFERROR(INDEX(PASTE_ALL,$DF185,43)&amp;"","")&amp;"␟"&amp;IFERROR(INDEX(PASTE_ALL,$DF185,44)&amp;"","")&amp;"␟"&amp;IFERROR(INDEX(PASTE_ALL,$DF185,45)&amp;"","")&amp;"␟"&amp;IFERROR(INDEX(PASTE_ALL,$DF185,46)&amp;"","")&amp;"␟"&amp;IFERROR(INDEX(PASTE_ALL,$DF185,47)&amp;"","")&amp;"␟"&amp;IFERROR(INDEX(PASTE_ALL,$DF185,48)&amp;"","")&amp;"␟"&amp;IFERROR(INDEX(PASTE_ALL,$DF185,49)&amp;"","")&amp;"␟"&amp;IFERROR(INDEX(PASTE_ALL,$DF185,50)&amp;"","")&amp;"␟"&amp;IFERROR(INDEX(PASTE_ALL,$DF185,51)&amp;"","")&amp;"␟"&amp;IFERROR(INDEX(PASTE_ALL,$DF185,52)&amp;"","")&amp;"␟"&amp;IFERROR(INDEX(PASTE_ALL,$DF185,53)&amp;"","")&amp;"␟"&amp;IFERROR(INDEX(PASTE_ALL,$DF185,54)&amp;"","")&amp;"␟"&amp;IFERROR(INDEX(PASTE_ALL,$DF185,55)&amp;"","")&amp;"␟"&amp;IFERROR(INDEX(PASTE_ALL,$DF185,56)&amp;"","")&amp;"␟"&amp;IFERROR(INDEX(PASTE_ALL,$DF185,57)&amp;"","")&amp;"␟"&amp;IFERROR(INDEX(PASTE_ALL,$DF185,58)&amp;"","")&amp;"␟"&amp;IFERROR(INDEX(PASTE_ALL,$DF185,59)&amp;"","")&amp;"␟"&amp;IFERROR(INDEX(PASTE_ALL,$DF185,60)&amp;"","")," "," "),CHAR(9)," "),CHAR(10)," "),CHAR(13)," "))," ␟","␟"),"␟ ","␟"),"#"&amp;$DE185),"")</f>
        <v/>
      </c>
      <c r="DJ185">
        <f>IF($DI185="",0,IF(SUMPRODUCT(--EXACT($DI$4:DI184,$DI185))&gt;0,1,0))</f>
        <v/>
      </c>
      <c r="DK185">
        <f>IF(AND($DI185&lt;&gt;"",$DJ185=0),1,0)</f>
        <v/>
      </c>
      <c r="DL185">
        <f>DL184+$DK185</f>
        <v/>
      </c>
      <c r="DM185">
        <f>IF(AND($DK185=1,$DL185&lt;=600),1,0)</f>
        <v/>
      </c>
      <c r="DN185">
        <f>IF($DM185=0,"",IF($L$6=0,"",IFERROR(IF(ISNUMBER(INDEX(PASTE_ALL,$DF185,$L$6)),INDEX(PASTE_ALL,$DF185,$L$6),TRIM(SUBSTITUTE(SUBSTITUTE(SUBSTITUTE(SUBSTITUTE(INDEX(PASTE_ALL,$DF185,$L$6)," "," "),CHAR(9)," "),CHAR(10)," "),CHAR(13)," "))),"")))</f>
        <v/>
      </c>
      <c r="DO185">
        <f>IF($DM185=0,"",IF($L$7=0,"",IFERROR(IF(ISNUMBER(INDEX(PASTE_ALL,$DF185,$L$7)),INDEX(PASTE_ALL,$DF185,$L$7),TRIM(SUBSTITUTE(SUBSTITUTE(SUBSTITUTE(SUBSTITUTE(INDEX(PASTE_ALL,$DF185,$L$7)," "," "),CHAR(9)," "),CHAR(10)," "),CHAR(13)," "))),"")))</f>
        <v/>
      </c>
      <c r="DP185">
        <f>IF($DM185=0,"",IF($L$8=0,"",IFERROR(IF(ISNUMBER(INDEX(PASTE_ALL,$DF185,$L$8)),INDEX(PASTE_ALL,$DF185,$L$8),TRIM(SUBSTITUTE(SUBSTITUTE(SUBSTITUTE(SUBSTITUTE(INDEX(PASTE_ALL,$DF185,$L$8)," "," "),CHAR(9)," "),CHAR(10)," "),CHAR(13)," "))),"")))</f>
        <v/>
      </c>
      <c r="DQ185">
        <f>IF($DM185=0,"",IF($L$9=0,"",IFERROR(IF(ISNUMBER(INDEX(PASTE_ALL,$DF185,$L$9)),INDEX(PASTE_ALL,$DF185,$L$9),TRIM(SUBSTITUTE(SUBSTITUTE(SUBSTITUTE(SUBSTITUTE(INDEX(PASTE_ALL,$DF185,$L$9)," "," "),CHAR(9)," "),CHAR(10)," "),CHAR(13)," "))),"")))</f>
        <v/>
      </c>
      <c r="DR185">
        <f>IF($DM185=0,"",IF($L$10=0,"",IFERROR(IF(ISNUMBER(INDEX(PASTE_ALL,$DF185,$L$10)),INDEX(PASTE_ALL,$DF185,$L$10),TRIM(SUBSTITUTE(SUBSTITUTE(SUBSTITUTE(SUBSTITUTE(INDEX(PASTE_ALL,$DF185,$L$10)," "," "),CHAR(9)," "),CHAR(10)," "),CHAR(13)," "))),"")))</f>
        <v/>
      </c>
      <c r="DS185">
        <f>IF($DM185=0,"",IF($L$11=0,"",IFERROR(IF(ISNUMBER(INDEX(PASTE_ALL,$DF185,$L$11)),INDEX(PASTE_ALL,$DF185,$L$11),TRIM(SUBSTITUTE(SUBSTITUTE(SUBSTITUTE(SUBSTITUTE(INDEX(PASTE_ALL,$DF185,$L$11)," "," "),CHAR(9)," "),CHAR(10)," "),CHAR(13)," "))),"")))</f>
        <v/>
      </c>
      <c r="DT185">
        <f>IF($DM185=0,"",IF($L$12=0,"",IFERROR(IF(ISNUMBER(INDEX(PASTE_ALL,$DF185,$L$12)),INDEX(PASTE_ALL,$DF185,$L$12),TRIM(SUBSTITUTE(SUBSTITUTE(SUBSTITUTE(SUBSTITUTE(INDEX(PASTE_ALL,$DF185,$L$12)," "," "),CHAR(9)," "),CHAR(10)," "),CHAR(13)," "))),"")))</f>
        <v/>
      </c>
      <c r="DU185">
        <f>IF($DM185=0,"",IF($L$13=0,"",IFERROR(IF(ISNUMBER(INDEX(PASTE_ALL,$DF185,$L$13)),INDEX(PASTE_ALL,$DF185,$L$13),TRIM(SUBSTITUTE(SUBSTITUTE(SUBSTITUTE(SUBSTITUTE(INDEX(PASTE_ALL,$DF185,$L$13)," "," "),CHAR(9)," "),CHAR(10)," "),CHAR(13)," "))),"")))</f>
        <v/>
      </c>
      <c r="DV185">
        <f>IF($DM185=0,"",IF($L$14=0,"",IFERROR(IF(ISNUMBER(INDEX(PASTE_ALL,$DF185,$L$14)),INDEX(PASTE_ALL,$DF185,$L$14),TRIM(SUBSTITUTE(SUBSTITUTE(SUBSTITUTE(SUBSTITUTE(INDEX(PASTE_ALL,$DF185,$L$14)," "," "),CHAR(9)," "),CHAR(10)," "),CHAR(13)," "))),"")))</f>
        <v/>
      </c>
      <c r="DW185">
        <f>IF($DM185=0,"",IF($L$15=0,"",IFERROR(IF(ISNUMBER(INDEX(PASTE_ALL,$DF185,$L$15)),INDEX(PASTE_ALL,$DF185,$L$15),IF(SUMPRODUCT(--ISNUMBER(FIND({"A","B","C","D","E","F","G","H","I","J","K","L","M","N","O","P","Q","R","S","T","U","V","W","X","Y","Z","0","1","2","3","4","5","6","7","8","9"},UPPER(TRIM(SUBSTITUTE(SUBSTITUTE(SUBSTITUTE(SUBSTITUTE(INDEX(PASTE_ALL,$DF185,$L$15)," "," "),CHAR(9)," "),CHAR(10)," "),CHAR(13)," "))))))&gt;0,TRIM(SUBSTITUTE(SUBSTITUTE(SUBSTITUTE(SUBSTITUTE(INDEX(PASTE_ALL,$DF185,$L$15)," "," "),CHAR(9)," "),CHAR(10)," "),CHAR(13)," ")),"")),"")))</f>
        <v/>
      </c>
      <c r="DX185">
        <f>IF($DM185=0,"",IF($L$16=0,"",IFERROR(IF(ISNUMBER(INDEX(PASTE_ALL,$DF185,$L$16)),INDEX(PASTE_ALL,$DF185,$L$16),SUBSTITUTE(SUBSTITUTE(TRIM(SUBSTITUTE(SUBSTITUTE(SUBSTITUTE(SUBSTITUTE(INDEX(PASTE_ALL,$DF185,$L$16)," "," "),CHAR(9)," "),CHAR(10)," "),CHAR(13)," ")),",",""),"%","")),"")))</f>
        <v/>
      </c>
      <c r="DY185">
        <f>IF($DM185=0,"",IFERROR(IF(ISNUMBER($DX185),$DX185,IF($DX185="","",IF(TRIM($DX185)="",0,IF(AND(AND(SUBSTITUTE(SUBSTITUTE(SUBSTITUTE(SUBSTITUTE(SUBSTITUTE(SUBSTITUTE(SUBSTITUTE(SUBSTITUTE(SUBSTITUTE(SUBSTITUTE(SUBSTITUTE(SUBSTITUTE(SUBSTITUTE(SUBSTITUTE(UPPER(TRIM($DX185)),"0",""),"1",""),"2",""),"3",""),"4",""),"5",""),"6",""),"7",""),"8",""),"9",""),".",""),"+",""),"-",""),"E","")="",LEN(SUBSTITUTE(SUBSTITUTE(MID(UPPER(TRIM($DX185)),1+OR(LEFT(UPPER(TRIM($DX185)),1)="+",LEFT(UPPER(TRIM($DX185)),1)="-"),999),"E+","E"),"E-","E"))=LEN(SUBSTITUTE(SUBSTITUTE(SUBSTITUTE(SUBSTITUTE(MID(UPPER(TRIM($DX185)),1+OR(LEFT(UPPER(TRIM($DX185)),1)="+",LEFT(UPPER(TRIM($DX185)),1)="-"),999),"E+","E"),"E-","E"),"+",""),"-","")),LEN(UPPER(TRIM($DX185)))-LEN(SUBSTITUTE(UPPER(TRIM($DX185)),"E",""))&lt;2,LEN(UPPER(TRIM($DX185)))-LEN(SUBSTITUTE(UPPER(TRIM($DX185)),".",""))&lt;2,IFERROR(FIND(".",UPPER(TRIM($DX185))),0)&lt;IFERROR(FIND("E",UPPER(TRIM($DX185))),999)),ISNUMBER(VALUE(TRIM($DX185)))),VALUE(TRIM($DX185)),"")))),""))</f>
        <v/>
      </c>
      <c r="DZ185">
        <f>IF($DM185=0,"",IF($L$17=0,"",IFERROR(IF(ISNUMBER(INDEX(PASTE_ALL,$DF185,$L$17)),INDEX(PASTE_ALL,$DF185,$L$17),SUBSTITUTE(SUBSTITUTE(TRIM(SUBSTITUTE(SUBSTITUTE(SUBSTITUTE(SUBSTITUTE(INDEX(PASTE_ALL,$DF185,$L$17)," "," "),CHAR(9)," "),CHAR(10)," "),CHAR(13)," ")),",",""),"%","")),"")))</f>
        <v/>
      </c>
      <c r="EA185">
        <f>IF($DM185=0,"",IFERROR(IF(ISNUMBER($DZ185),$DZ185,IF($DZ185="","",IF(TRIM($DZ185)="",0,IF(AND(AND(SUBSTITUTE(SUBSTITUTE(SUBSTITUTE(SUBSTITUTE(SUBSTITUTE(SUBSTITUTE(SUBSTITUTE(SUBSTITUTE(SUBSTITUTE(SUBSTITUTE(SUBSTITUTE(SUBSTITUTE(SUBSTITUTE(SUBSTITUTE(UPPER(TRIM($DZ185)),"0",""),"1",""),"2",""),"3",""),"4",""),"5",""),"6",""),"7",""),"8",""),"9",""),".",""),"+",""),"-",""),"E","")="",LEN(SUBSTITUTE(SUBSTITUTE(MID(UPPER(TRIM($DZ185)),1+OR(LEFT(UPPER(TRIM($DZ185)),1)="+",LEFT(UPPER(TRIM($DZ185)),1)="-"),999),"E+","E"),"E-","E"))=LEN(SUBSTITUTE(SUBSTITUTE(SUBSTITUTE(SUBSTITUTE(MID(UPPER(TRIM($DZ185)),1+OR(LEFT(UPPER(TRIM($DZ185)),1)="+",LEFT(UPPER(TRIM($DZ185)),1)="-"),999),"E+","E"),"E-","E"),"+",""),"-","")),LEN(UPPER(TRIM($DZ185)))-LEN(SUBSTITUTE(UPPER(TRIM($DZ185)),"E",""))&lt;2,LEN(UPPER(TRIM($DZ185)))-LEN(SUBSTITUTE(UPPER(TRIM($DZ185)),".",""))&lt;2,IFERROR(FIND(".",UPPER(TRIM($DZ185))),0)&lt;IFERROR(FIND("E",UPPER(TRIM($DZ185))),999)),ISNUMBER(VALUE(TRIM($DZ185)))),VALUE(TRIM($DZ185)),"")))),""))</f>
        <v/>
      </c>
      <c r="EB185">
        <f>IF($DM185=0,"",IF($L$18=0,"",IFERROR(IF(UPPER(TRIM(SUBSTITUTE(SUBSTITUTE(SUBSTITUTE(SUBSTITUTE(INDEX(PASTE_ALL,$DF185,$L$18)," "," "),CHAR(9)," "),CHAR(10)," "),CHAR(13)," ")))="READY","Ready",IF(UPPER(TRIM(SUBSTITUTE(SUBSTITUTE(SUBSTITUTE(SUBSTITUTE(INDEX(PASTE_ALL,$DF185,$L$18)," "," "),CHAR(9)," "),CHAR(10)," "),CHAR(13)," ")))="PM","PM",IF(OR(UPPER(TRIM(SUBSTITUTE(SUBSTITUTE(SUBSTITUTE(SUBSTITUTE(INDEX(PASTE_ALL,$DF185,$L$18)," "," "),CHAR(9)," "),CHAR(10)," "),CHAR(13)," ")))="OT",UPPER(TRIM(SUBSTITUTE(SUBSTITUTE(SUBSTITUTE(SUBSTITUTE(INDEX(PASTE_ALL,$DF185,$L$18)," "," "),CHAR(9)," "),CHAR(10)," "),CHAR(13)," ")))="OVERTIME",UPPER(TRIM(SUBSTITUTE(SUBSTITUTE(SUBSTITUTE(SUBSTITUTE(INDEX(PASTE_ALL,$DF185,$L$18)," "," "),CHAR(9)," "),CHAR(10)," "),CHAR(13)," ")))="TRIAL"),"OT",TRIM(SUBSTITUTE(SUBSTITUTE(SUBSTITUTE(SUBSTITUTE(INDEX(PASTE_ALL,$DF185,$L$18)," "," "),CHAR(9)," "),CHAR(10)," "),CHAR(13)," "))))),"")))</f>
        <v/>
      </c>
      <c r="EC185">
        <f>IF($DM185=0,"",IF($L$19=0,"",IFERROR(IF(ISNUMBER(INDEX(PASTE_ALL,$DF185,$L$19)),INDEX(PASTE_ALL,$DF185,$L$19),TRIM(SUBSTITUTE(SUBSTITUTE(SUBSTITUTE(SUBSTITUTE(INDEX(PASTE_ALL,$DF185,$L$19)," "," "),CHAR(9)," "),CHAR(10)," "),CHAR(13)," "))),"")))</f>
        <v/>
      </c>
      <c r="ED185">
        <f>IF($DM185=0,"",MATCH(1,INDEX(EXACT($DH$5:DH185,$DH185)*$DM$5:DM185,0),0))</f>
        <v/>
      </c>
      <c r="EE185">
        <f>IF($DM185=0,0,IF($ED185=$DE185,1,0))</f>
        <v/>
      </c>
      <c r="EF185">
        <f>EF184+$EE185</f>
        <v/>
      </c>
      <c r="EG185">
        <f>IF($DM185=0,"",INDEX($EF$5:$EF$1003,$ED185))</f>
        <v/>
      </c>
      <c r="EH185">
        <f>IF($DM185=0,"",IF($DO185&lt;&gt;"","",IFERROR(LOOKUP(2,1/(($EG$4:EG184=$EG185)*($DO$4:DO184&lt;&gt;"")),$DO$4:DO184),"")))</f>
        <v/>
      </c>
      <c r="EI185">
        <f>IF($DM185=0,"",IF($DO185&lt;&gt;"",$DO185,$EH185))</f>
        <v/>
      </c>
      <c r="EJ185">
        <f>IF($DM185=0,"",IF($EI185="",0,IF(OR(ISNUMBER($EI185),AND(AND(SUBSTITUTE(SUBSTITUTE(SUBSTITUTE(SUBSTITUTE(SUBSTITUTE(SUBSTITUTE(SUBSTITUTE(SUBSTITUTE(SUBSTITUTE(SUBSTITUTE(SUBSTITUTE(SUBSTITUTE(SUBSTITUTE(SUBSTITUTE(UPPER($EI185),"0",""),"1",""),"2",""),"3",""),"4",""),"5",""),"6",""),"7",""),"8",""),"9",""),".",""),"+",""),"-",""),"E","")="",LEN(SUBSTITUTE(SUBSTITUTE(MID(UPPER($EI185),1+OR(LEFT(UPPER($EI185),1)="+",LEFT(UPPER($EI185),1)="-"),999),"E+","E"),"E-","E"))=LEN(SUBSTITUTE(SUBSTITUTE(SUBSTITUTE(SUBSTITUTE(MID(UPPER($EI185),1+OR(LEFT(UPPER($EI185),1)="+",LEFT(UPPER($EI185),1)="-"),999),"E+","E"),"E-","E"),"+",""),"-","")),LEN(UPPER($EI185))-LEN(SUBSTITUTE(UPPER($EI185),"E",""))&lt;2,LEN(UPPER($EI185))-LEN(SUBSTITUTE(UPPER($EI185),".",""))&lt;2,IFERROR(FIND(".",UPPER($EI185)),0)&lt;IFERROR(FIND("E",UPPER($EI185)),999)),ISNUMBER(VALUE($EI185)))),1,2)))</f>
        <v/>
      </c>
      <c r="EK185">
        <f>IF($DM185=0,"",IF($EJ185=1,IF(ISNUMBER($EI185),$EI185,VALUE($EI185)),IF($EJ185=2,$DE185,0)))</f>
        <v/>
      </c>
      <c r="EL185">
        <f>IF($DM185=0,"",COUNTIF($EG$5:$EG$1003,"&lt;"&amp;$EG185)+SUMPRODUCT(($EG$5:$EG$1003=$EG185)*(($EJ$5:$EJ$1003&lt;$EJ185)+($EJ$5:$EJ$1003=$EJ185)*(($EK$5:$EK$1003&lt;$EK185)+($EK$5:$EK$1003=$EK185)*($DE$5:$DE$1003&lt;$DE185))))+1)</f>
        <v/>
      </c>
      <c r="EM185">
        <f>IF($DM185=0,"",$EL185+$EG185-1)</f>
        <v/>
      </c>
      <c r="EN185">
        <f>IF($DM185=0,0,IFERROR(MATCH(1,INDEX(--(TRIM(SUBSTITUTE(SUBSTITUTE(SUBSTITUTE(SUBSTITUTE(LINES_NAME&amp;""," "," "),CHAR(9)," "),CHAR(10)," "),CHAR(13)," "))=$DH185),0),0),0))</f>
        <v/>
      </c>
      <c r="EO185">
        <f>IF($EN185=0,0,IF(OR(UPPER(TRIM(INDEX(LINES_SCHEDULED,$EN185)&amp;""))="YES",UPPER(TRIM(INDEX(LINES_SCHEDULED,$EN185)&amp;""))="Y",UPPER(TRIM(INDEX(LINES_SCHEDULED,$EN185)&amp;""))="X"),1,0))</f>
        <v/>
      </c>
      <c r="EP185">
        <f>IF($DM185=0,"",IF(COUNTIFS($EG$5:$EG$1003,$EG185,$EB$5:$EB$1003,"Ready")&gt;0,"READY",IF(COUNTIFS($EG$5:$EG$1003,$EG185,$EB$5:$EB$1003,"PM")&gt;0,"PM",IF(COUNTIFS($EG$5:$EG$1003,$EG185,$EB$5:$EB$1003,"OT")&gt;0,"OT",""))))</f>
        <v/>
      </c>
      <c r="EQ185">
        <f>IF($EN185=0,"",UPPER(TRIM(INDEX(LINES_STATUS,$EN185)&amp;"")))</f>
        <v/>
      </c>
      <c r="ER185">
        <f>IF($DM185=0,"",IF(OR($EQ185="READY",$EQ185="PM",$EQ185="OT"),$EQ185,$EP185))</f>
        <v/>
      </c>
      <c r="ES185">
        <f>IF($DM185=0,"",IF(AND($DV185&lt;&gt;"",UPPER($DV185)&lt;&gt;"N"),"allergen",IF(ISNUMBER(SEARCH("oil",$DQ185)),"oil",IF(OR(EXACT($DS185,"A662"),EXACT($DS185,"A624")),"bulk",""))))</f>
        <v/>
      </c>
      <c r="ET185">
        <f>IF($DM185=0,"",IF(OR($EA185="",$EA185=0),"",$EA185/100))</f>
        <v/>
      </c>
      <c r="EU185">
        <f>IF(OR($ET185="",$DY185=""),"",INT($DY185*(1-$ET185)+0.5))</f>
        <v/>
      </c>
      <c r="EW185" t="n">
        <v>181</v>
      </c>
      <c r="EX185">
        <f>IFERROR(MATCH($EW185,$EM$5:$EM$1003,0),0)</f>
        <v/>
      </c>
      <c r="EY185">
        <f>IF($EW185&gt;$B$12,"",IF($EX185&gt;0,"row","spacer"))</f>
        <v/>
      </c>
      <c r="EZ185">
        <f>IF(AND($EY185="row",$EY184&lt;&gt;"row"),1,0)</f>
        <v/>
      </c>
      <c r="FA185">
        <f>IF(AND($EY185="row",$EY186&lt;&gt;"row"),1,0)</f>
        <v/>
      </c>
      <c r="FB185">
        <f>IF($EZ185=1,IFERROR(IF(ISNUMBER(INDEX(PASTE_ALL,INDEX($DF$5:$DF$1003,$EX185),$B$37)),INDEX(PASTE_ALL,INDEX($DF$5:$DF$1003,$EX185),$B$37),INDEX($DH$5:$DH$1003,$EX185)),INDEX($DH$5:$DH$1003,$EX185)),"")</f>
        <v/>
      </c>
      <c r="FC185">
        <f>IF($EY185="row",INDEX($ER$5:$ER$1003,$EX185),"")</f>
        <v/>
      </c>
      <c r="FD185">
        <f>IF($EY185="row",INDEX($DN$5:$DN$1003,$EX185),"")</f>
        <v/>
      </c>
      <c r="FE185">
        <f>IF($EY185="row",INDEX($DO$5:$DO$1003,$EX185),"")</f>
        <v/>
      </c>
      <c r="FF185">
        <f>IF($EY185="row",INDEX($DP$5:$DP$1003,$EX185),"")</f>
        <v/>
      </c>
      <c r="FG185">
        <f>IF($EY185="row",INDEX($DQ$5:$DQ$1003,$EX185),"")</f>
        <v/>
      </c>
      <c r="FH185">
        <f>IF($EY185="row",INDEX($DR$5:$DR$1003,$EX185),"")</f>
        <v/>
      </c>
      <c r="FI185">
        <f>IF($EY185="row",INDEX($DS$5:$DS$1003,$EX185),"")</f>
        <v/>
      </c>
      <c r="FJ185">
        <f>IF($EY185="row",INDEX($DT$5:$DT$1003,$EX185),"")</f>
        <v/>
      </c>
      <c r="FK185">
        <f>IF($EY185="row",INDEX($DU$5:$DU$1003,$EX185),"")</f>
        <v/>
      </c>
      <c r="FL185">
        <f>IF($EY185="row",INDEX($DV$5:$DV$1003,$EX185),"")</f>
        <v/>
      </c>
      <c r="FM185">
        <f>IF($EY185="row",INDEX($DW$5:$DW$1003,$EX185),"")</f>
        <v/>
      </c>
      <c r="FN185">
        <f>IF($EY185="row",INDEX($DY$5:$DY$1003,$EX185),"")</f>
        <v/>
      </c>
      <c r="FO185">
        <f>IF($EY185="row",INDEX($EA$5:$EA$1003,$EX185),"")</f>
        <v/>
      </c>
      <c r="FP185">
        <f>IF($EY185="row",INDEX($EC$5:$EC$1003,$EX185),"")</f>
        <v/>
      </c>
      <c r="FQ185">
        <f>IF($EY185="row",INDEX($ET$5:$ET$1003,$EX185),"")</f>
        <v/>
      </c>
      <c r="FR185">
        <f>IF($EY185="row",INDEX($EU$5:$EU$1003,$EX185),"")</f>
        <v/>
      </c>
      <c r="FS185">
        <f>IF(AND($EY185="row",$EY184="row"),IF(OR(INDEX($DT$5:$DT$1003,$EX184)="",INDEX($DT$5:$DT$1003,$EX185)=""),"",IF(NOT(EXACT(INDEX($DT$5:$DT$1003,$EX184),INDEX($DT$5:$DT$1003,$EX185))),"S4",IF(NOT(EXACT(INDEX($DS$5:$DS$1003,$EX184),INDEX($DS$5:$DS$1003,$EX185))),"S3",IF(NOT(EXACT(INDEX($DR$5:$DR$1003,$EX184),INDEX($DR$5:$DR$1003,$EX185))),"S1 Count Change","S1")))),"")</f>
        <v/>
      </c>
      <c r="FT185">
        <f>IF($EY185="row",INDEX($ES$5:$ES$1003,$EX185),"")</f>
        <v/>
      </c>
      <c r="FU185">
        <f>IF($EY185="row",INDEX($EO$5:$EO$1003,$EX185),0)</f>
        <v/>
      </c>
      <c r="FV185">
        <f>IF($FS185="S1 Count Change",1,0)</f>
        <v/>
      </c>
    </row>
    <row r="186">
      <c r="Y186">
        <f>0+IF(Y96&gt;0,0,IF(SUMPRODUCT(MOD(INT(Y141/{2,4,8,16,32,64,128,256,512,1024,2048,4096,8192,16384,32768}),2)*(1-MOD(INT(($CJ6+0)/{2,4,8,16,32,64,128,256,512,1024,2048,4096,8192,16384,32768}),2))*{2,4,8,16,32,64,128,256,512,1024,2048,4096,8192,16384,32768})=0,0,2^SUMPRODUCT(--(MOD(SUMPRODUCT(MOD(INT(Y141/{2,4,8,16,32,64,128,256,512,1024,2048,4096,8192,16384,32768}),2)*(1-MOD(INT(($CJ6+0)/{2,4,8,16,32,64,128,256,512,1024,2048,4096,8192,16384,32768}),2))*{2,4,8,16,32,64,128,256,512,1024,2048,4096,8192,16384,32768}),{2,4,8,16,32,64,128,256,512,1024,2048,4096,8192,16384,32768})=0))))</f>
        <v/>
      </c>
      <c r="Z186">
        <f>Y186+IF(AND(Z96&gt;0,COUNTIF($Y96:Y96,Z96)=0),0,IF(SUMPRODUCT(MOD(INT(Z141/{2,4,8,16,32,64,128,256,512,1024,2048,4096,8192,16384,32768}),2)*(1-MOD(INT(($CJ6+Y186)/{2,4,8,16,32,64,128,256,512,1024,2048,4096,8192,16384,32768}),2))*{2,4,8,16,32,64,128,256,512,1024,2048,4096,8192,16384,32768})=0,0,2^SUMPRODUCT(--(MOD(SUMPRODUCT(MOD(INT(Z141/{2,4,8,16,32,64,128,256,512,1024,2048,4096,8192,16384,32768}),2)*(1-MOD(INT(($CJ6+Y186)/{2,4,8,16,32,64,128,256,512,1024,2048,4096,8192,16384,32768}),2))*{2,4,8,16,32,64,128,256,512,1024,2048,4096,8192,16384,32768}),{2,4,8,16,32,64,128,256,512,1024,2048,4096,8192,16384,32768})=0))))</f>
        <v/>
      </c>
      <c r="AA186">
        <f>Z186+IF(AND(AA96&gt;0,COUNTIF($Y96:Z96,AA96)=0),0,IF(SUMPRODUCT(MOD(INT(AA141/{2,4,8,16,32,64,128,256,512,1024,2048,4096,8192,16384,32768}),2)*(1-MOD(INT(($CJ6+Z186)/{2,4,8,16,32,64,128,256,512,1024,2048,4096,8192,16384,32768}),2))*{2,4,8,16,32,64,128,256,512,1024,2048,4096,8192,16384,32768})=0,0,2^SUMPRODUCT(--(MOD(SUMPRODUCT(MOD(INT(AA141/{2,4,8,16,32,64,128,256,512,1024,2048,4096,8192,16384,32768}),2)*(1-MOD(INT(($CJ6+Z186)/{2,4,8,16,32,64,128,256,512,1024,2048,4096,8192,16384,32768}),2))*{2,4,8,16,32,64,128,256,512,1024,2048,4096,8192,16384,32768}),{2,4,8,16,32,64,128,256,512,1024,2048,4096,8192,16384,32768})=0))))</f>
        <v/>
      </c>
      <c r="AB186">
        <f>AA186+IF(AND(AB96&gt;0,COUNTIF($Y96:AA96,AB96)=0),0,IF(SUMPRODUCT(MOD(INT(AB141/{2,4,8,16,32,64,128,256,512,1024,2048,4096,8192,16384,32768}),2)*(1-MOD(INT(($CJ6+AA186)/{2,4,8,16,32,64,128,256,512,1024,2048,4096,8192,16384,32768}),2))*{2,4,8,16,32,64,128,256,512,1024,2048,4096,8192,16384,32768})=0,0,2^SUMPRODUCT(--(MOD(SUMPRODUCT(MOD(INT(AB141/{2,4,8,16,32,64,128,256,512,1024,2048,4096,8192,16384,32768}),2)*(1-MOD(INT(($CJ6+AA186)/{2,4,8,16,32,64,128,256,512,1024,2048,4096,8192,16384,32768}),2))*{2,4,8,16,32,64,128,256,512,1024,2048,4096,8192,16384,32768}),{2,4,8,16,32,64,128,256,512,1024,2048,4096,8192,16384,32768})=0))))</f>
        <v/>
      </c>
      <c r="AC186">
        <f>AB186+IF(AND(AC96&gt;0,COUNTIF($Y96:AB96,AC96)=0),0,IF(SUMPRODUCT(MOD(INT(AC141/{2,4,8,16,32,64,128,256,512,1024,2048,4096,8192,16384,32768}),2)*(1-MOD(INT(($CJ6+AB186)/{2,4,8,16,32,64,128,256,512,1024,2048,4096,8192,16384,32768}),2))*{2,4,8,16,32,64,128,256,512,1024,2048,4096,8192,16384,32768})=0,0,2^SUMPRODUCT(--(MOD(SUMPRODUCT(MOD(INT(AC141/{2,4,8,16,32,64,128,256,512,1024,2048,4096,8192,16384,32768}),2)*(1-MOD(INT(($CJ6+AB186)/{2,4,8,16,32,64,128,256,512,1024,2048,4096,8192,16384,32768}),2))*{2,4,8,16,32,64,128,256,512,1024,2048,4096,8192,16384,32768}),{2,4,8,16,32,64,128,256,512,1024,2048,4096,8192,16384,32768})=0))))</f>
        <v/>
      </c>
      <c r="AD186">
        <f>AC186+IF(AND(AD96&gt;0,COUNTIF($Y96:AC96,AD96)=0),0,IF(SUMPRODUCT(MOD(INT(AD141/{2,4,8,16,32,64,128,256,512,1024,2048,4096,8192,16384,32768}),2)*(1-MOD(INT(($CJ6+AC186)/{2,4,8,16,32,64,128,256,512,1024,2048,4096,8192,16384,32768}),2))*{2,4,8,16,32,64,128,256,512,1024,2048,4096,8192,16384,32768})=0,0,2^SUMPRODUCT(--(MOD(SUMPRODUCT(MOD(INT(AD141/{2,4,8,16,32,64,128,256,512,1024,2048,4096,8192,16384,32768}),2)*(1-MOD(INT(($CJ6+AC186)/{2,4,8,16,32,64,128,256,512,1024,2048,4096,8192,16384,32768}),2))*{2,4,8,16,32,64,128,256,512,1024,2048,4096,8192,16384,32768}),{2,4,8,16,32,64,128,256,512,1024,2048,4096,8192,16384,32768})=0))))</f>
        <v/>
      </c>
      <c r="AE186">
        <f>AD186+IF(AND(AE96&gt;0,COUNTIF($Y96:AD96,AE96)=0),0,IF(SUMPRODUCT(MOD(INT(AE141/{2,4,8,16,32,64,128,256,512,1024,2048,4096,8192,16384,32768}),2)*(1-MOD(INT(($CJ6+AD186)/{2,4,8,16,32,64,128,256,512,1024,2048,4096,8192,16384,32768}),2))*{2,4,8,16,32,64,128,256,512,1024,2048,4096,8192,16384,32768})=0,0,2^SUMPRODUCT(--(MOD(SUMPRODUCT(MOD(INT(AE141/{2,4,8,16,32,64,128,256,512,1024,2048,4096,8192,16384,32768}),2)*(1-MOD(INT(($CJ6+AD186)/{2,4,8,16,32,64,128,256,512,1024,2048,4096,8192,16384,32768}),2))*{2,4,8,16,32,64,128,256,512,1024,2048,4096,8192,16384,32768}),{2,4,8,16,32,64,128,256,512,1024,2048,4096,8192,16384,32768})=0))))</f>
        <v/>
      </c>
      <c r="AF186">
        <f>AE186+IF(AND(AF96&gt;0,COUNTIF($Y96:AE96,AF96)=0),0,IF(SUMPRODUCT(MOD(INT(AF141/{2,4,8,16,32,64,128,256,512,1024,2048,4096,8192,16384,32768}),2)*(1-MOD(INT(($CJ6+AE186)/{2,4,8,16,32,64,128,256,512,1024,2048,4096,8192,16384,32768}),2))*{2,4,8,16,32,64,128,256,512,1024,2048,4096,8192,16384,32768})=0,0,2^SUMPRODUCT(--(MOD(SUMPRODUCT(MOD(INT(AF141/{2,4,8,16,32,64,128,256,512,1024,2048,4096,8192,16384,32768}),2)*(1-MOD(INT(($CJ6+AE186)/{2,4,8,16,32,64,128,256,512,1024,2048,4096,8192,16384,32768}),2))*{2,4,8,16,32,64,128,256,512,1024,2048,4096,8192,16384,32768}),{2,4,8,16,32,64,128,256,512,1024,2048,4096,8192,16384,32768})=0))))</f>
        <v/>
      </c>
      <c r="AG186">
        <f>AF186+IF(AND(AG96&gt;0,COUNTIF($Y96:AF96,AG96)=0),0,IF(SUMPRODUCT(MOD(INT(AG141/{2,4,8,16,32,64,128,256,512,1024,2048,4096,8192,16384,32768}),2)*(1-MOD(INT(($CJ6+AF186)/{2,4,8,16,32,64,128,256,512,1024,2048,4096,8192,16384,32768}),2))*{2,4,8,16,32,64,128,256,512,1024,2048,4096,8192,16384,32768})=0,0,2^SUMPRODUCT(--(MOD(SUMPRODUCT(MOD(INT(AG141/{2,4,8,16,32,64,128,256,512,1024,2048,4096,8192,16384,32768}),2)*(1-MOD(INT(($CJ6+AF186)/{2,4,8,16,32,64,128,256,512,1024,2048,4096,8192,16384,32768}),2))*{2,4,8,16,32,64,128,256,512,1024,2048,4096,8192,16384,32768}),{2,4,8,16,32,64,128,256,512,1024,2048,4096,8192,16384,32768})=0))))</f>
        <v/>
      </c>
      <c r="AH186">
        <f>AG186+IF(AND(AH96&gt;0,COUNTIF($Y96:AG96,AH96)=0),0,IF(SUMPRODUCT(MOD(INT(AH141/{2,4,8,16,32,64,128,256,512,1024,2048,4096,8192,16384,32768}),2)*(1-MOD(INT(($CJ6+AG186)/{2,4,8,16,32,64,128,256,512,1024,2048,4096,8192,16384,32768}),2))*{2,4,8,16,32,64,128,256,512,1024,2048,4096,8192,16384,32768})=0,0,2^SUMPRODUCT(--(MOD(SUMPRODUCT(MOD(INT(AH141/{2,4,8,16,32,64,128,256,512,1024,2048,4096,8192,16384,32768}),2)*(1-MOD(INT(($CJ6+AG186)/{2,4,8,16,32,64,128,256,512,1024,2048,4096,8192,16384,32768}),2))*{2,4,8,16,32,64,128,256,512,1024,2048,4096,8192,16384,32768}),{2,4,8,16,32,64,128,256,512,1024,2048,4096,8192,16384,32768})=0))))</f>
        <v/>
      </c>
      <c r="AI186">
        <f>AH186+IF(AND(AI96&gt;0,COUNTIF($Y96:AH96,AI96)=0),0,IF(SUMPRODUCT(MOD(INT(AI141/{2,4,8,16,32,64,128,256,512,1024,2048,4096,8192,16384,32768}),2)*(1-MOD(INT(($CJ6+AH186)/{2,4,8,16,32,64,128,256,512,1024,2048,4096,8192,16384,32768}),2))*{2,4,8,16,32,64,128,256,512,1024,2048,4096,8192,16384,32768})=0,0,2^SUMPRODUCT(--(MOD(SUMPRODUCT(MOD(INT(AI141/{2,4,8,16,32,64,128,256,512,1024,2048,4096,8192,16384,32768}),2)*(1-MOD(INT(($CJ6+AH186)/{2,4,8,16,32,64,128,256,512,1024,2048,4096,8192,16384,32768}),2))*{2,4,8,16,32,64,128,256,512,1024,2048,4096,8192,16384,32768}),{2,4,8,16,32,64,128,256,512,1024,2048,4096,8192,16384,32768})=0))))</f>
        <v/>
      </c>
      <c r="AJ186">
        <f>AI186+IF(AND(AJ96&gt;0,COUNTIF($Y96:AI96,AJ96)=0),0,IF(SUMPRODUCT(MOD(INT(AJ141/{2,4,8,16,32,64,128,256,512,1024,2048,4096,8192,16384,32768}),2)*(1-MOD(INT(($CJ6+AI186)/{2,4,8,16,32,64,128,256,512,1024,2048,4096,8192,16384,32768}),2))*{2,4,8,16,32,64,128,256,512,1024,2048,4096,8192,16384,32768})=0,0,2^SUMPRODUCT(--(MOD(SUMPRODUCT(MOD(INT(AJ141/{2,4,8,16,32,64,128,256,512,1024,2048,4096,8192,16384,32768}),2)*(1-MOD(INT(($CJ6+AI186)/{2,4,8,16,32,64,128,256,512,1024,2048,4096,8192,16384,32768}),2))*{2,4,8,16,32,64,128,256,512,1024,2048,4096,8192,16384,32768}),{2,4,8,16,32,64,128,256,512,1024,2048,4096,8192,16384,32768})=0))))</f>
        <v/>
      </c>
      <c r="AK186">
        <f>AJ186+IF(AND(AK96&gt;0,COUNTIF($Y96:AJ96,AK96)=0),0,IF(SUMPRODUCT(MOD(INT(AK141/{2,4,8,16,32,64,128,256,512,1024,2048,4096,8192,16384,32768}),2)*(1-MOD(INT(($CJ6+AJ186)/{2,4,8,16,32,64,128,256,512,1024,2048,4096,8192,16384,32768}),2))*{2,4,8,16,32,64,128,256,512,1024,2048,4096,8192,16384,32768})=0,0,2^SUMPRODUCT(--(MOD(SUMPRODUCT(MOD(INT(AK141/{2,4,8,16,32,64,128,256,512,1024,2048,4096,8192,16384,32768}),2)*(1-MOD(INT(($CJ6+AJ186)/{2,4,8,16,32,64,128,256,512,1024,2048,4096,8192,16384,32768}),2))*{2,4,8,16,32,64,128,256,512,1024,2048,4096,8192,16384,32768}),{2,4,8,16,32,64,128,256,512,1024,2048,4096,8192,16384,32768})=0))))</f>
        <v/>
      </c>
      <c r="AL186">
        <f>AK186+IF(AND(AL96&gt;0,COUNTIF($Y96:AK96,AL96)=0),0,IF(SUMPRODUCT(MOD(INT(AL141/{2,4,8,16,32,64,128,256,512,1024,2048,4096,8192,16384,32768}),2)*(1-MOD(INT(($CJ6+AK186)/{2,4,8,16,32,64,128,256,512,1024,2048,4096,8192,16384,32768}),2))*{2,4,8,16,32,64,128,256,512,1024,2048,4096,8192,16384,32768})=0,0,2^SUMPRODUCT(--(MOD(SUMPRODUCT(MOD(INT(AL141/{2,4,8,16,32,64,128,256,512,1024,2048,4096,8192,16384,32768}),2)*(1-MOD(INT(($CJ6+AK186)/{2,4,8,16,32,64,128,256,512,1024,2048,4096,8192,16384,32768}),2))*{2,4,8,16,32,64,128,256,512,1024,2048,4096,8192,16384,32768}),{2,4,8,16,32,64,128,256,512,1024,2048,4096,8192,16384,32768})=0))))</f>
        <v/>
      </c>
      <c r="AM186">
        <f>AL186+IF(AND(AM96&gt;0,COUNTIF($Y96:AL96,AM96)=0),0,IF(SUMPRODUCT(MOD(INT(AM141/{2,4,8,16,32,64,128,256,512,1024,2048,4096,8192,16384,32768}),2)*(1-MOD(INT(($CJ6+AL186)/{2,4,8,16,32,64,128,256,512,1024,2048,4096,8192,16384,32768}),2))*{2,4,8,16,32,64,128,256,512,1024,2048,4096,8192,16384,32768})=0,0,2^SUMPRODUCT(--(MOD(SUMPRODUCT(MOD(INT(AM141/{2,4,8,16,32,64,128,256,512,1024,2048,4096,8192,16384,32768}),2)*(1-MOD(INT(($CJ6+AL186)/{2,4,8,16,32,64,128,256,512,1024,2048,4096,8192,16384,32768}),2))*{2,4,8,16,32,64,128,256,512,1024,2048,4096,8192,16384,32768}),{2,4,8,16,32,64,128,256,512,1024,2048,4096,8192,16384,32768})=0))))</f>
        <v/>
      </c>
      <c r="AN186">
        <f>AM186+IF(AND(AN96&gt;0,COUNTIF($Y96:AM96,AN96)=0),0,IF(SUMPRODUCT(MOD(INT(AN141/{2,4,8,16,32,64,128,256,512,1024,2048,4096,8192,16384,32768}),2)*(1-MOD(INT(($CJ6+AM186)/{2,4,8,16,32,64,128,256,512,1024,2048,4096,8192,16384,32768}),2))*{2,4,8,16,32,64,128,256,512,1024,2048,4096,8192,16384,32768})=0,0,2^SUMPRODUCT(--(MOD(SUMPRODUCT(MOD(INT(AN141/{2,4,8,16,32,64,128,256,512,1024,2048,4096,8192,16384,32768}),2)*(1-MOD(INT(($CJ6+AM186)/{2,4,8,16,32,64,128,256,512,1024,2048,4096,8192,16384,32768}),2))*{2,4,8,16,32,64,128,256,512,1024,2048,4096,8192,16384,32768}),{2,4,8,16,32,64,128,256,512,1024,2048,4096,8192,16384,32768})=0))))</f>
        <v/>
      </c>
      <c r="AO186">
        <f>AN186+IF(AND(AO96&gt;0,COUNTIF($Y96:AN96,AO96)=0),0,IF(SUMPRODUCT(MOD(INT(AO141/{2,4,8,16,32,64,128,256,512,1024,2048,4096,8192,16384,32768}),2)*(1-MOD(INT(($CJ6+AN186)/{2,4,8,16,32,64,128,256,512,1024,2048,4096,8192,16384,32768}),2))*{2,4,8,16,32,64,128,256,512,1024,2048,4096,8192,16384,32768})=0,0,2^SUMPRODUCT(--(MOD(SUMPRODUCT(MOD(INT(AO141/{2,4,8,16,32,64,128,256,512,1024,2048,4096,8192,16384,32768}),2)*(1-MOD(INT(($CJ6+AN186)/{2,4,8,16,32,64,128,256,512,1024,2048,4096,8192,16384,32768}),2))*{2,4,8,16,32,64,128,256,512,1024,2048,4096,8192,16384,32768}),{2,4,8,16,32,64,128,256,512,1024,2048,4096,8192,16384,32768})=0))))</f>
        <v/>
      </c>
      <c r="AP186">
        <f>AO186+IF(AND(AP96&gt;0,COUNTIF($Y96:AO96,AP96)=0),0,IF(SUMPRODUCT(MOD(INT(AP141/{2,4,8,16,32,64,128,256,512,1024,2048,4096,8192,16384,32768}),2)*(1-MOD(INT(($CJ6+AO186)/{2,4,8,16,32,64,128,256,512,1024,2048,4096,8192,16384,32768}),2))*{2,4,8,16,32,64,128,256,512,1024,2048,4096,8192,16384,32768})=0,0,2^SUMPRODUCT(--(MOD(SUMPRODUCT(MOD(INT(AP141/{2,4,8,16,32,64,128,256,512,1024,2048,4096,8192,16384,32768}),2)*(1-MOD(INT(($CJ6+AO186)/{2,4,8,16,32,64,128,256,512,1024,2048,4096,8192,16384,32768}),2))*{2,4,8,16,32,64,128,256,512,1024,2048,4096,8192,16384,32768}),{2,4,8,16,32,64,128,256,512,1024,2048,4096,8192,16384,32768})=0))))</f>
        <v/>
      </c>
      <c r="AQ186">
        <f>AP186+IF(AND(AQ96&gt;0,COUNTIF($Y96:AP96,AQ96)=0),0,IF(SUMPRODUCT(MOD(INT(AQ141/{2,4,8,16,32,64,128,256,512,1024,2048,4096,8192,16384,32768}),2)*(1-MOD(INT(($CJ6+AP186)/{2,4,8,16,32,64,128,256,512,1024,2048,4096,8192,16384,32768}),2))*{2,4,8,16,32,64,128,256,512,1024,2048,4096,8192,16384,32768})=0,0,2^SUMPRODUCT(--(MOD(SUMPRODUCT(MOD(INT(AQ141/{2,4,8,16,32,64,128,256,512,1024,2048,4096,8192,16384,32768}),2)*(1-MOD(INT(($CJ6+AP186)/{2,4,8,16,32,64,128,256,512,1024,2048,4096,8192,16384,32768}),2))*{2,4,8,16,32,64,128,256,512,1024,2048,4096,8192,16384,32768}),{2,4,8,16,32,64,128,256,512,1024,2048,4096,8192,16384,32768})=0))))</f>
        <v/>
      </c>
      <c r="AR186">
        <f>AQ186+IF(AND(AR96&gt;0,COUNTIF($Y96:AQ96,AR96)=0),0,IF(SUMPRODUCT(MOD(INT(AR141/{2,4,8,16,32,64,128,256,512,1024,2048,4096,8192,16384,32768}),2)*(1-MOD(INT(($CJ6+AQ186)/{2,4,8,16,32,64,128,256,512,1024,2048,4096,8192,16384,32768}),2))*{2,4,8,16,32,64,128,256,512,1024,2048,4096,8192,16384,32768})=0,0,2^SUMPRODUCT(--(MOD(SUMPRODUCT(MOD(INT(AR141/{2,4,8,16,32,64,128,256,512,1024,2048,4096,8192,16384,32768}),2)*(1-MOD(INT(($CJ6+AQ186)/{2,4,8,16,32,64,128,256,512,1024,2048,4096,8192,16384,32768}),2))*{2,4,8,16,32,64,128,256,512,1024,2048,4096,8192,16384,32768}),{2,4,8,16,32,64,128,256,512,1024,2048,4096,8192,16384,32768})=0))))</f>
        <v/>
      </c>
      <c r="AS186">
        <f>AR186+IF(AND(AS96&gt;0,COUNTIF($Y96:AR96,AS96)=0),0,IF(SUMPRODUCT(MOD(INT(AS141/{2,4,8,16,32,64,128,256,512,1024,2048,4096,8192,16384,32768}),2)*(1-MOD(INT(($CJ6+AR186)/{2,4,8,16,32,64,128,256,512,1024,2048,4096,8192,16384,32768}),2))*{2,4,8,16,32,64,128,256,512,1024,2048,4096,8192,16384,32768})=0,0,2^SUMPRODUCT(--(MOD(SUMPRODUCT(MOD(INT(AS141/{2,4,8,16,32,64,128,256,512,1024,2048,4096,8192,16384,32768}),2)*(1-MOD(INT(($CJ6+AR186)/{2,4,8,16,32,64,128,256,512,1024,2048,4096,8192,16384,32768}),2))*{2,4,8,16,32,64,128,256,512,1024,2048,4096,8192,16384,32768}),{2,4,8,16,32,64,128,256,512,1024,2048,4096,8192,16384,32768})=0))))</f>
        <v/>
      </c>
      <c r="AT186">
        <f>AS186+IF(AND(AT96&gt;0,COUNTIF($Y96:AS96,AT96)=0),0,IF(SUMPRODUCT(MOD(INT(AT141/{2,4,8,16,32,64,128,256,512,1024,2048,4096,8192,16384,32768}),2)*(1-MOD(INT(($CJ6+AS186)/{2,4,8,16,32,64,128,256,512,1024,2048,4096,8192,16384,32768}),2))*{2,4,8,16,32,64,128,256,512,1024,2048,4096,8192,16384,32768})=0,0,2^SUMPRODUCT(--(MOD(SUMPRODUCT(MOD(INT(AT141/{2,4,8,16,32,64,128,256,512,1024,2048,4096,8192,16384,32768}),2)*(1-MOD(INT(($CJ6+AS186)/{2,4,8,16,32,64,128,256,512,1024,2048,4096,8192,16384,32768}),2))*{2,4,8,16,32,64,128,256,512,1024,2048,4096,8192,16384,32768}),{2,4,8,16,32,64,128,256,512,1024,2048,4096,8192,16384,32768})=0))))</f>
        <v/>
      </c>
      <c r="AU186">
        <f>AT186+IF(AND(AU96&gt;0,COUNTIF($Y96:AT96,AU96)=0),0,IF(SUMPRODUCT(MOD(INT(AU141/{2,4,8,16,32,64,128,256,512,1024,2048,4096,8192,16384,32768}),2)*(1-MOD(INT(($CJ6+AT186)/{2,4,8,16,32,64,128,256,512,1024,2048,4096,8192,16384,32768}),2))*{2,4,8,16,32,64,128,256,512,1024,2048,4096,8192,16384,32768})=0,0,2^SUMPRODUCT(--(MOD(SUMPRODUCT(MOD(INT(AU141/{2,4,8,16,32,64,128,256,512,1024,2048,4096,8192,16384,32768}),2)*(1-MOD(INT(($CJ6+AT186)/{2,4,8,16,32,64,128,256,512,1024,2048,4096,8192,16384,32768}),2))*{2,4,8,16,32,64,128,256,512,1024,2048,4096,8192,16384,32768}),{2,4,8,16,32,64,128,256,512,1024,2048,4096,8192,16384,32768})=0))))</f>
        <v/>
      </c>
      <c r="AV186">
        <f>AU186+IF(AND(AV96&gt;0,COUNTIF($Y96:AU96,AV96)=0),0,IF(SUMPRODUCT(MOD(INT(AV141/{2,4,8,16,32,64,128,256,512,1024,2048,4096,8192,16384,32768}),2)*(1-MOD(INT(($CJ6+AU186)/{2,4,8,16,32,64,128,256,512,1024,2048,4096,8192,16384,32768}),2))*{2,4,8,16,32,64,128,256,512,1024,2048,4096,8192,16384,32768})=0,0,2^SUMPRODUCT(--(MOD(SUMPRODUCT(MOD(INT(AV141/{2,4,8,16,32,64,128,256,512,1024,2048,4096,8192,16384,32768}),2)*(1-MOD(INT(($CJ6+AU186)/{2,4,8,16,32,64,128,256,512,1024,2048,4096,8192,16384,32768}),2))*{2,4,8,16,32,64,128,256,512,1024,2048,4096,8192,16384,32768}),{2,4,8,16,32,64,128,256,512,1024,2048,4096,8192,16384,32768})=0))))</f>
        <v/>
      </c>
      <c r="AW186">
        <f>AV186+IF(AND(AW96&gt;0,COUNTIF($Y96:AV96,AW96)=0),0,IF(SUMPRODUCT(MOD(INT(AW141/{2,4,8,16,32,64,128,256,512,1024,2048,4096,8192,16384,32768}),2)*(1-MOD(INT(($CJ6+AV186)/{2,4,8,16,32,64,128,256,512,1024,2048,4096,8192,16384,32768}),2))*{2,4,8,16,32,64,128,256,512,1024,2048,4096,8192,16384,32768})=0,0,2^SUMPRODUCT(--(MOD(SUMPRODUCT(MOD(INT(AW141/{2,4,8,16,32,64,128,256,512,1024,2048,4096,8192,16384,32768}),2)*(1-MOD(INT(($CJ6+AV186)/{2,4,8,16,32,64,128,256,512,1024,2048,4096,8192,16384,32768}),2))*{2,4,8,16,32,64,128,256,512,1024,2048,4096,8192,16384,32768}),{2,4,8,16,32,64,128,256,512,1024,2048,4096,8192,16384,32768})=0))))</f>
        <v/>
      </c>
      <c r="AX186">
        <f>AW186+IF(AND(AX96&gt;0,COUNTIF($Y96:AW96,AX96)=0),0,IF(SUMPRODUCT(MOD(INT(AX141/{2,4,8,16,32,64,128,256,512,1024,2048,4096,8192,16384,32768}),2)*(1-MOD(INT(($CJ6+AW186)/{2,4,8,16,32,64,128,256,512,1024,2048,4096,8192,16384,32768}),2))*{2,4,8,16,32,64,128,256,512,1024,2048,4096,8192,16384,32768})=0,0,2^SUMPRODUCT(--(MOD(SUMPRODUCT(MOD(INT(AX141/{2,4,8,16,32,64,128,256,512,1024,2048,4096,8192,16384,32768}),2)*(1-MOD(INT(($CJ6+AW186)/{2,4,8,16,32,64,128,256,512,1024,2048,4096,8192,16384,32768}),2))*{2,4,8,16,32,64,128,256,512,1024,2048,4096,8192,16384,32768}),{2,4,8,16,32,64,128,256,512,1024,2048,4096,8192,16384,32768})=0))))</f>
        <v/>
      </c>
      <c r="AY186">
        <f>AX186+IF(AND(AY96&gt;0,COUNTIF($Y96:AX96,AY96)=0),0,IF(SUMPRODUCT(MOD(INT(AY141/{2,4,8,16,32,64,128,256,512,1024,2048,4096,8192,16384,32768}),2)*(1-MOD(INT(($CJ6+AX186)/{2,4,8,16,32,64,128,256,512,1024,2048,4096,8192,16384,32768}),2))*{2,4,8,16,32,64,128,256,512,1024,2048,4096,8192,16384,32768})=0,0,2^SUMPRODUCT(--(MOD(SUMPRODUCT(MOD(INT(AY141/{2,4,8,16,32,64,128,256,512,1024,2048,4096,8192,16384,32768}),2)*(1-MOD(INT(($CJ6+AX186)/{2,4,8,16,32,64,128,256,512,1024,2048,4096,8192,16384,32768}),2))*{2,4,8,16,32,64,128,256,512,1024,2048,4096,8192,16384,32768}),{2,4,8,16,32,64,128,256,512,1024,2048,4096,8192,16384,32768})=0))))</f>
        <v/>
      </c>
      <c r="AZ186">
        <f>AY186+IF(AND(AZ96&gt;0,COUNTIF($Y96:AY96,AZ96)=0),0,IF(SUMPRODUCT(MOD(INT(AZ141/{2,4,8,16,32,64,128,256,512,1024,2048,4096,8192,16384,32768}),2)*(1-MOD(INT(($CJ6+AY186)/{2,4,8,16,32,64,128,256,512,1024,2048,4096,8192,16384,32768}),2))*{2,4,8,16,32,64,128,256,512,1024,2048,4096,8192,16384,32768})=0,0,2^SUMPRODUCT(--(MOD(SUMPRODUCT(MOD(INT(AZ141/{2,4,8,16,32,64,128,256,512,1024,2048,4096,8192,16384,32768}),2)*(1-MOD(INT(($CJ6+AY186)/{2,4,8,16,32,64,128,256,512,1024,2048,4096,8192,16384,32768}),2))*{2,4,8,16,32,64,128,256,512,1024,2048,4096,8192,16384,32768}),{2,4,8,16,32,64,128,256,512,1024,2048,4096,8192,16384,32768})=0))))</f>
        <v/>
      </c>
      <c r="BA186">
        <f>AZ186+IF(AND(BA96&gt;0,COUNTIF($Y96:AZ96,BA96)=0),0,IF(SUMPRODUCT(MOD(INT(BA141/{2,4,8,16,32,64,128,256,512,1024,2048,4096,8192,16384,32768}),2)*(1-MOD(INT(($CJ6+AZ186)/{2,4,8,16,32,64,128,256,512,1024,2048,4096,8192,16384,32768}),2))*{2,4,8,16,32,64,128,256,512,1024,2048,4096,8192,16384,32768})=0,0,2^SUMPRODUCT(--(MOD(SUMPRODUCT(MOD(INT(BA141/{2,4,8,16,32,64,128,256,512,1024,2048,4096,8192,16384,32768}),2)*(1-MOD(INT(($CJ6+AZ186)/{2,4,8,16,32,64,128,256,512,1024,2048,4096,8192,16384,32768}),2))*{2,4,8,16,32,64,128,256,512,1024,2048,4096,8192,16384,32768}),{2,4,8,16,32,64,128,256,512,1024,2048,4096,8192,16384,32768})=0))))</f>
        <v/>
      </c>
      <c r="BB186">
        <f>BA186+IF(AND(BB96&gt;0,COUNTIF($Y96:BA96,BB96)=0),0,IF(SUMPRODUCT(MOD(INT(BB141/{2,4,8,16,32,64,128,256,512,1024,2048,4096,8192,16384,32768}),2)*(1-MOD(INT(($CJ6+BA186)/{2,4,8,16,32,64,128,256,512,1024,2048,4096,8192,16384,32768}),2))*{2,4,8,16,32,64,128,256,512,1024,2048,4096,8192,16384,32768})=0,0,2^SUMPRODUCT(--(MOD(SUMPRODUCT(MOD(INT(BB141/{2,4,8,16,32,64,128,256,512,1024,2048,4096,8192,16384,32768}),2)*(1-MOD(INT(($CJ6+BA186)/{2,4,8,16,32,64,128,256,512,1024,2048,4096,8192,16384,32768}),2))*{2,4,8,16,32,64,128,256,512,1024,2048,4096,8192,16384,32768}),{2,4,8,16,32,64,128,256,512,1024,2048,4096,8192,16384,32768})=0))))</f>
        <v/>
      </c>
      <c r="BC186">
        <f>BB186+IF(AND(BC96&gt;0,COUNTIF($Y96:BB96,BC96)=0),0,IF(SUMPRODUCT(MOD(INT(BC141/{2,4,8,16,32,64,128,256,512,1024,2048,4096,8192,16384,32768}),2)*(1-MOD(INT(($CJ6+BB186)/{2,4,8,16,32,64,128,256,512,1024,2048,4096,8192,16384,32768}),2))*{2,4,8,16,32,64,128,256,512,1024,2048,4096,8192,16384,32768})=0,0,2^SUMPRODUCT(--(MOD(SUMPRODUCT(MOD(INT(BC141/{2,4,8,16,32,64,128,256,512,1024,2048,4096,8192,16384,32768}),2)*(1-MOD(INT(($CJ6+BB186)/{2,4,8,16,32,64,128,256,512,1024,2048,4096,8192,16384,32768}),2))*{2,4,8,16,32,64,128,256,512,1024,2048,4096,8192,16384,32768}),{2,4,8,16,32,64,128,256,512,1024,2048,4096,8192,16384,32768})=0))))</f>
        <v/>
      </c>
      <c r="BD186">
        <f>BC186+IF(AND(BD96&gt;0,COUNTIF($Y96:BC96,BD96)=0),0,IF(SUMPRODUCT(MOD(INT(BD141/{2,4,8,16,32,64,128,256,512,1024,2048,4096,8192,16384,32768}),2)*(1-MOD(INT(($CJ6+BC186)/{2,4,8,16,32,64,128,256,512,1024,2048,4096,8192,16384,32768}),2))*{2,4,8,16,32,64,128,256,512,1024,2048,4096,8192,16384,32768})=0,0,2^SUMPRODUCT(--(MOD(SUMPRODUCT(MOD(INT(BD141/{2,4,8,16,32,64,128,256,512,1024,2048,4096,8192,16384,32768}),2)*(1-MOD(INT(($CJ6+BC186)/{2,4,8,16,32,64,128,256,512,1024,2048,4096,8192,16384,32768}),2))*{2,4,8,16,32,64,128,256,512,1024,2048,4096,8192,16384,32768}),{2,4,8,16,32,64,128,256,512,1024,2048,4096,8192,16384,32768})=0))))</f>
        <v/>
      </c>
      <c r="BE186">
        <f>BD186+IF(AND(BE96&gt;0,COUNTIF($Y96:BD96,BE96)=0),0,IF(SUMPRODUCT(MOD(INT(BE141/{2,4,8,16,32,64,128,256,512,1024,2048,4096,8192,16384,32768}),2)*(1-MOD(INT(($CJ6+BD186)/{2,4,8,16,32,64,128,256,512,1024,2048,4096,8192,16384,32768}),2))*{2,4,8,16,32,64,128,256,512,1024,2048,4096,8192,16384,32768})=0,0,2^SUMPRODUCT(--(MOD(SUMPRODUCT(MOD(INT(BE141/{2,4,8,16,32,64,128,256,512,1024,2048,4096,8192,16384,32768}),2)*(1-MOD(INT(($CJ6+BD186)/{2,4,8,16,32,64,128,256,512,1024,2048,4096,8192,16384,32768}),2))*{2,4,8,16,32,64,128,256,512,1024,2048,4096,8192,16384,32768}),{2,4,8,16,32,64,128,256,512,1024,2048,4096,8192,16384,32768})=0))))</f>
        <v/>
      </c>
      <c r="BF186">
        <f>BE186+IF(AND(BF96&gt;0,COUNTIF($Y96:BE96,BF96)=0),0,IF(SUMPRODUCT(MOD(INT(BF141/{2,4,8,16,32,64,128,256,512,1024,2048,4096,8192,16384,32768}),2)*(1-MOD(INT(($CJ6+BE186)/{2,4,8,16,32,64,128,256,512,1024,2048,4096,8192,16384,32768}),2))*{2,4,8,16,32,64,128,256,512,1024,2048,4096,8192,16384,32768})=0,0,2^SUMPRODUCT(--(MOD(SUMPRODUCT(MOD(INT(BF141/{2,4,8,16,32,64,128,256,512,1024,2048,4096,8192,16384,32768}),2)*(1-MOD(INT(($CJ6+BE186)/{2,4,8,16,32,64,128,256,512,1024,2048,4096,8192,16384,32768}),2))*{2,4,8,16,32,64,128,256,512,1024,2048,4096,8192,16384,32768}),{2,4,8,16,32,64,128,256,512,1024,2048,4096,8192,16384,32768})=0))))</f>
        <v/>
      </c>
      <c r="BG186">
        <f>BF186+IF(AND(BG96&gt;0,COUNTIF($Y96:BF96,BG96)=0),0,IF(SUMPRODUCT(MOD(INT(BG141/{2,4,8,16,32,64,128,256,512,1024,2048,4096,8192,16384,32768}),2)*(1-MOD(INT(($CJ6+BF186)/{2,4,8,16,32,64,128,256,512,1024,2048,4096,8192,16384,32768}),2))*{2,4,8,16,32,64,128,256,512,1024,2048,4096,8192,16384,32768})=0,0,2^SUMPRODUCT(--(MOD(SUMPRODUCT(MOD(INT(BG141/{2,4,8,16,32,64,128,256,512,1024,2048,4096,8192,16384,32768}),2)*(1-MOD(INT(($CJ6+BF186)/{2,4,8,16,32,64,128,256,512,1024,2048,4096,8192,16384,32768}),2))*{2,4,8,16,32,64,128,256,512,1024,2048,4096,8192,16384,32768}),{2,4,8,16,32,64,128,256,512,1024,2048,4096,8192,16384,32768})=0))))</f>
        <v/>
      </c>
      <c r="BH186">
        <f>BG186+IF(AND(BH96&gt;0,COUNTIF($Y96:BG96,BH96)=0),0,IF(SUMPRODUCT(MOD(INT(BH141/{2,4,8,16,32,64,128,256,512,1024,2048,4096,8192,16384,32768}),2)*(1-MOD(INT(($CJ6+BG186)/{2,4,8,16,32,64,128,256,512,1024,2048,4096,8192,16384,32768}),2))*{2,4,8,16,32,64,128,256,512,1024,2048,4096,8192,16384,32768})=0,0,2^SUMPRODUCT(--(MOD(SUMPRODUCT(MOD(INT(BH141/{2,4,8,16,32,64,128,256,512,1024,2048,4096,8192,16384,32768}),2)*(1-MOD(INT(($CJ6+BG186)/{2,4,8,16,32,64,128,256,512,1024,2048,4096,8192,16384,32768}),2))*{2,4,8,16,32,64,128,256,512,1024,2048,4096,8192,16384,32768}),{2,4,8,16,32,64,128,256,512,1024,2048,4096,8192,16384,32768})=0))))</f>
        <v/>
      </c>
      <c r="BI186">
        <f>BH186+IF(AND(BI96&gt;0,COUNTIF($Y96:BH96,BI96)=0),0,IF(SUMPRODUCT(MOD(INT(BI141/{2,4,8,16,32,64,128,256,512,1024,2048,4096,8192,16384,32768}),2)*(1-MOD(INT(($CJ6+BH186)/{2,4,8,16,32,64,128,256,512,1024,2048,4096,8192,16384,32768}),2))*{2,4,8,16,32,64,128,256,512,1024,2048,4096,8192,16384,32768})=0,0,2^SUMPRODUCT(--(MOD(SUMPRODUCT(MOD(INT(BI141/{2,4,8,16,32,64,128,256,512,1024,2048,4096,8192,16384,32768}),2)*(1-MOD(INT(($CJ6+BH186)/{2,4,8,16,32,64,128,256,512,1024,2048,4096,8192,16384,32768}),2))*{2,4,8,16,32,64,128,256,512,1024,2048,4096,8192,16384,32768}),{2,4,8,16,32,64,128,256,512,1024,2048,4096,8192,16384,32768})=0))))</f>
        <v/>
      </c>
      <c r="BJ186">
        <f>BI186+IF(AND(BJ96&gt;0,COUNTIF($Y96:BI96,BJ96)=0),0,IF(SUMPRODUCT(MOD(INT(BJ141/{2,4,8,16,32,64,128,256,512,1024,2048,4096,8192,16384,32768}),2)*(1-MOD(INT(($CJ6+BI186)/{2,4,8,16,32,64,128,256,512,1024,2048,4096,8192,16384,32768}),2))*{2,4,8,16,32,64,128,256,512,1024,2048,4096,8192,16384,32768})=0,0,2^SUMPRODUCT(--(MOD(SUMPRODUCT(MOD(INT(BJ141/{2,4,8,16,32,64,128,256,512,1024,2048,4096,8192,16384,32768}),2)*(1-MOD(INT(($CJ6+BI186)/{2,4,8,16,32,64,128,256,512,1024,2048,4096,8192,16384,32768}),2))*{2,4,8,16,32,64,128,256,512,1024,2048,4096,8192,16384,32768}),{2,4,8,16,32,64,128,256,512,1024,2048,4096,8192,16384,32768})=0))))</f>
        <v/>
      </c>
      <c r="BK186">
        <f>BJ186+IF(AND(BK96&gt;0,COUNTIF($Y96:BJ96,BK96)=0),0,IF(SUMPRODUCT(MOD(INT(BK141/{2,4,8,16,32,64,128,256,512,1024,2048,4096,8192,16384,32768}),2)*(1-MOD(INT(($CJ6+BJ186)/{2,4,8,16,32,64,128,256,512,1024,2048,4096,8192,16384,32768}),2))*{2,4,8,16,32,64,128,256,512,1024,2048,4096,8192,16384,32768})=0,0,2^SUMPRODUCT(--(MOD(SUMPRODUCT(MOD(INT(BK141/{2,4,8,16,32,64,128,256,512,1024,2048,4096,8192,16384,32768}),2)*(1-MOD(INT(($CJ6+BJ186)/{2,4,8,16,32,64,128,256,512,1024,2048,4096,8192,16384,32768}),2))*{2,4,8,16,32,64,128,256,512,1024,2048,4096,8192,16384,32768}),{2,4,8,16,32,64,128,256,512,1024,2048,4096,8192,16384,32768})=0))))</f>
        <v/>
      </c>
      <c r="BL186">
        <f>BK186+IF(AND(BL96&gt;0,COUNTIF($Y96:BK96,BL96)=0),0,IF(SUMPRODUCT(MOD(INT(BL141/{2,4,8,16,32,64,128,256,512,1024,2048,4096,8192,16384,32768}),2)*(1-MOD(INT(($CJ6+BK186)/{2,4,8,16,32,64,128,256,512,1024,2048,4096,8192,16384,32768}),2))*{2,4,8,16,32,64,128,256,512,1024,2048,4096,8192,16384,32768})=0,0,2^SUMPRODUCT(--(MOD(SUMPRODUCT(MOD(INT(BL141/{2,4,8,16,32,64,128,256,512,1024,2048,4096,8192,16384,32768}),2)*(1-MOD(INT(($CJ6+BK186)/{2,4,8,16,32,64,128,256,512,1024,2048,4096,8192,16384,32768}),2))*{2,4,8,16,32,64,128,256,512,1024,2048,4096,8192,16384,32768}),{2,4,8,16,32,64,128,256,512,1024,2048,4096,8192,16384,32768})=0))))</f>
        <v/>
      </c>
      <c r="BM186">
        <f>BL186+IF(AND(BM96&gt;0,COUNTIF($Y96:BL96,BM96)=0),0,IF(SUMPRODUCT(MOD(INT(BM141/{2,4,8,16,32,64,128,256,512,1024,2048,4096,8192,16384,32768}),2)*(1-MOD(INT(($CJ6+BL186)/{2,4,8,16,32,64,128,256,512,1024,2048,4096,8192,16384,32768}),2))*{2,4,8,16,32,64,128,256,512,1024,2048,4096,8192,16384,32768})=0,0,2^SUMPRODUCT(--(MOD(SUMPRODUCT(MOD(INT(BM141/{2,4,8,16,32,64,128,256,512,1024,2048,4096,8192,16384,32768}),2)*(1-MOD(INT(($CJ6+BL186)/{2,4,8,16,32,64,128,256,512,1024,2048,4096,8192,16384,32768}),2))*{2,4,8,16,32,64,128,256,512,1024,2048,4096,8192,16384,32768}),{2,4,8,16,32,64,128,256,512,1024,2048,4096,8192,16384,32768})=0))))</f>
        <v/>
      </c>
      <c r="BN186">
        <f>BM186+IF(AND(BN96&gt;0,COUNTIF($Y96:BM96,BN96)=0),0,IF(SUMPRODUCT(MOD(INT(BN141/{2,4,8,16,32,64,128,256,512,1024,2048,4096,8192,16384,32768}),2)*(1-MOD(INT(($CJ6+BM186)/{2,4,8,16,32,64,128,256,512,1024,2048,4096,8192,16384,32768}),2))*{2,4,8,16,32,64,128,256,512,1024,2048,4096,8192,16384,32768})=0,0,2^SUMPRODUCT(--(MOD(SUMPRODUCT(MOD(INT(BN141/{2,4,8,16,32,64,128,256,512,1024,2048,4096,8192,16384,32768}),2)*(1-MOD(INT(($CJ6+BM186)/{2,4,8,16,32,64,128,256,512,1024,2048,4096,8192,16384,32768}),2))*{2,4,8,16,32,64,128,256,512,1024,2048,4096,8192,16384,32768}),{2,4,8,16,32,64,128,256,512,1024,2048,4096,8192,16384,32768})=0))))</f>
        <v/>
      </c>
      <c r="BO186">
        <f>BN186+IF(AND(BO96&gt;0,COUNTIF($Y96:BN96,BO96)=0),0,IF(SUMPRODUCT(MOD(INT(BO141/{2,4,8,16,32,64,128,256,512,1024,2048,4096,8192,16384,32768}),2)*(1-MOD(INT(($CJ6+BN186)/{2,4,8,16,32,64,128,256,512,1024,2048,4096,8192,16384,32768}),2))*{2,4,8,16,32,64,128,256,512,1024,2048,4096,8192,16384,32768})=0,0,2^SUMPRODUCT(--(MOD(SUMPRODUCT(MOD(INT(BO141/{2,4,8,16,32,64,128,256,512,1024,2048,4096,8192,16384,32768}),2)*(1-MOD(INT(($CJ6+BN186)/{2,4,8,16,32,64,128,256,512,1024,2048,4096,8192,16384,32768}),2))*{2,4,8,16,32,64,128,256,512,1024,2048,4096,8192,16384,32768}),{2,4,8,16,32,64,128,256,512,1024,2048,4096,8192,16384,32768})=0))))</f>
        <v/>
      </c>
      <c r="BP186">
        <f>BO186+IF(AND(BP96&gt;0,COUNTIF($Y96:BO96,BP96)=0),0,IF(SUMPRODUCT(MOD(INT(BP141/{2,4,8,16,32,64,128,256,512,1024,2048,4096,8192,16384,32768}),2)*(1-MOD(INT(($CJ6+BO186)/{2,4,8,16,32,64,128,256,512,1024,2048,4096,8192,16384,32768}),2))*{2,4,8,16,32,64,128,256,512,1024,2048,4096,8192,16384,32768})=0,0,2^SUMPRODUCT(--(MOD(SUMPRODUCT(MOD(INT(BP141/{2,4,8,16,32,64,128,256,512,1024,2048,4096,8192,16384,32768}),2)*(1-MOD(INT(($CJ6+BO186)/{2,4,8,16,32,64,128,256,512,1024,2048,4096,8192,16384,32768}),2))*{2,4,8,16,32,64,128,256,512,1024,2048,4096,8192,16384,32768}),{2,4,8,16,32,64,128,256,512,1024,2048,4096,8192,16384,32768})=0))))</f>
        <v/>
      </c>
      <c r="BQ186">
        <f>BP186+IF(AND(BQ96&gt;0,COUNTIF($Y96:BP96,BQ96)=0),0,IF(SUMPRODUCT(MOD(INT(BQ141/{2,4,8,16,32,64,128,256,512,1024,2048,4096,8192,16384,32768}),2)*(1-MOD(INT(($CJ6+BP186)/{2,4,8,16,32,64,128,256,512,1024,2048,4096,8192,16384,32768}),2))*{2,4,8,16,32,64,128,256,512,1024,2048,4096,8192,16384,32768})=0,0,2^SUMPRODUCT(--(MOD(SUMPRODUCT(MOD(INT(BQ141/{2,4,8,16,32,64,128,256,512,1024,2048,4096,8192,16384,32768}),2)*(1-MOD(INT(($CJ6+BP186)/{2,4,8,16,32,64,128,256,512,1024,2048,4096,8192,16384,32768}),2))*{2,4,8,16,32,64,128,256,512,1024,2048,4096,8192,16384,32768}),{2,4,8,16,32,64,128,256,512,1024,2048,4096,8192,16384,32768})=0))))</f>
        <v/>
      </c>
      <c r="BR186">
        <f>BQ186+IF(AND(BR96&gt;0,COUNTIF($Y96:BQ96,BR96)=0),0,IF(SUMPRODUCT(MOD(INT(BR141/{2,4,8,16,32,64,128,256,512,1024,2048,4096,8192,16384,32768}),2)*(1-MOD(INT(($CJ6+BQ186)/{2,4,8,16,32,64,128,256,512,1024,2048,4096,8192,16384,32768}),2))*{2,4,8,16,32,64,128,256,512,1024,2048,4096,8192,16384,32768})=0,0,2^SUMPRODUCT(--(MOD(SUMPRODUCT(MOD(INT(BR141/{2,4,8,16,32,64,128,256,512,1024,2048,4096,8192,16384,32768}),2)*(1-MOD(INT(($CJ6+BQ186)/{2,4,8,16,32,64,128,256,512,1024,2048,4096,8192,16384,32768}),2))*{2,4,8,16,32,64,128,256,512,1024,2048,4096,8192,16384,32768}),{2,4,8,16,32,64,128,256,512,1024,2048,4096,8192,16384,32768})=0))))</f>
        <v/>
      </c>
      <c r="BS186">
        <f>BR186+IF(AND(BS96&gt;0,COUNTIF($Y96:BR96,BS96)=0),0,IF(SUMPRODUCT(MOD(INT(BS141/{2,4,8,16,32,64,128,256,512,1024,2048,4096,8192,16384,32768}),2)*(1-MOD(INT(($CJ6+BR186)/{2,4,8,16,32,64,128,256,512,1024,2048,4096,8192,16384,32768}),2))*{2,4,8,16,32,64,128,256,512,1024,2048,4096,8192,16384,32768})=0,0,2^SUMPRODUCT(--(MOD(SUMPRODUCT(MOD(INT(BS141/{2,4,8,16,32,64,128,256,512,1024,2048,4096,8192,16384,32768}),2)*(1-MOD(INT(($CJ6+BR186)/{2,4,8,16,32,64,128,256,512,1024,2048,4096,8192,16384,32768}),2))*{2,4,8,16,32,64,128,256,512,1024,2048,4096,8192,16384,32768}),{2,4,8,16,32,64,128,256,512,1024,2048,4096,8192,16384,32768})=0))))</f>
        <v/>
      </c>
      <c r="BT186">
        <f>BS186+IF(AND(BT96&gt;0,COUNTIF($Y96:BS96,BT96)=0),0,IF(SUMPRODUCT(MOD(INT(BT141/{2,4,8,16,32,64,128,256,512,1024,2048,4096,8192,16384,32768}),2)*(1-MOD(INT(($CJ6+BS186)/{2,4,8,16,32,64,128,256,512,1024,2048,4096,8192,16384,32768}),2))*{2,4,8,16,32,64,128,256,512,1024,2048,4096,8192,16384,32768})=0,0,2^SUMPRODUCT(--(MOD(SUMPRODUCT(MOD(INT(BT141/{2,4,8,16,32,64,128,256,512,1024,2048,4096,8192,16384,32768}),2)*(1-MOD(INT(($CJ6+BS186)/{2,4,8,16,32,64,128,256,512,1024,2048,4096,8192,16384,32768}),2))*{2,4,8,16,32,64,128,256,512,1024,2048,4096,8192,16384,32768}),{2,4,8,16,32,64,128,256,512,1024,2048,4096,8192,16384,32768})=0))))</f>
        <v/>
      </c>
      <c r="BU186">
        <f>BT186+IF(AND(BU96&gt;0,COUNTIF($Y96:BT96,BU96)=0),0,IF(SUMPRODUCT(MOD(INT(BU141/{2,4,8,16,32,64,128,256,512,1024,2048,4096,8192,16384,32768}),2)*(1-MOD(INT(($CJ6+BT186)/{2,4,8,16,32,64,128,256,512,1024,2048,4096,8192,16384,32768}),2))*{2,4,8,16,32,64,128,256,512,1024,2048,4096,8192,16384,32768})=0,0,2^SUMPRODUCT(--(MOD(SUMPRODUCT(MOD(INT(BU141/{2,4,8,16,32,64,128,256,512,1024,2048,4096,8192,16384,32768}),2)*(1-MOD(INT(($CJ6+BT186)/{2,4,8,16,32,64,128,256,512,1024,2048,4096,8192,16384,32768}),2))*{2,4,8,16,32,64,128,256,512,1024,2048,4096,8192,16384,32768}),{2,4,8,16,32,64,128,256,512,1024,2048,4096,8192,16384,32768})=0))))</f>
        <v/>
      </c>
      <c r="BV186">
        <f>BU186+IF(AND(BV96&gt;0,COUNTIF($Y96:BU96,BV96)=0),0,IF(SUMPRODUCT(MOD(INT(BV141/{2,4,8,16,32,64,128,256,512,1024,2048,4096,8192,16384,32768}),2)*(1-MOD(INT(($CJ6+BU186)/{2,4,8,16,32,64,128,256,512,1024,2048,4096,8192,16384,32768}),2))*{2,4,8,16,32,64,128,256,512,1024,2048,4096,8192,16384,32768})=0,0,2^SUMPRODUCT(--(MOD(SUMPRODUCT(MOD(INT(BV141/{2,4,8,16,32,64,128,256,512,1024,2048,4096,8192,16384,32768}),2)*(1-MOD(INT(($CJ6+BU186)/{2,4,8,16,32,64,128,256,512,1024,2048,4096,8192,16384,32768}),2))*{2,4,8,16,32,64,128,256,512,1024,2048,4096,8192,16384,32768}),{2,4,8,16,32,64,128,256,512,1024,2048,4096,8192,16384,32768})=0))))</f>
        <v/>
      </c>
      <c r="BW186">
        <f>BV186+IF(AND(BW96&gt;0,COUNTIF($Y96:BV96,BW96)=0),0,IF(SUMPRODUCT(MOD(INT(BW141/{2,4,8,16,32,64,128,256,512,1024,2048,4096,8192,16384,32768}),2)*(1-MOD(INT(($CJ6+BV186)/{2,4,8,16,32,64,128,256,512,1024,2048,4096,8192,16384,32768}),2))*{2,4,8,16,32,64,128,256,512,1024,2048,4096,8192,16384,32768})=0,0,2^SUMPRODUCT(--(MOD(SUMPRODUCT(MOD(INT(BW141/{2,4,8,16,32,64,128,256,512,1024,2048,4096,8192,16384,32768}),2)*(1-MOD(INT(($CJ6+BV186)/{2,4,8,16,32,64,128,256,512,1024,2048,4096,8192,16384,32768}),2))*{2,4,8,16,32,64,128,256,512,1024,2048,4096,8192,16384,32768}),{2,4,8,16,32,64,128,256,512,1024,2048,4096,8192,16384,32768})=0))))</f>
        <v/>
      </c>
      <c r="BX186">
        <f>BW186+IF(AND(BX96&gt;0,COUNTIF($Y96:BW96,BX96)=0),0,IF(SUMPRODUCT(MOD(INT(BX141/{2,4,8,16,32,64,128,256,512,1024,2048,4096,8192,16384,32768}),2)*(1-MOD(INT(($CJ6+BW186)/{2,4,8,16,32,64,128,256,512,1024,2048,4096,8192,16384,32768}),2))*{2,4,8,16,32,64,128,256,512,1024,2048,4096,8192,16384,32768})=0,0,2^SUMPRODUCT(--(MOD(SUMPRODUCT(MOD(INT(BX141/{2,4,8,16,32,64,128,256,512,1024,2048,4096,8192,16384,32768}),2)*(1-MOD(INT(($CJ6+BW186)/{2,4,8,16,32,64,128,256,512,1024,2048,4096,8192,16384,32768}),2))*{2,4,8,16,32,64,128,256,512,1024,2048,4096,8192,16384,32768}),{2,4,8,16,32,64,128,256,512,1024,2048,4096,8192,16384,32768})=0))))</f>
        <v/>
      </c>
      <c r="BY186">
        <f>BX186+IF(AND(BY96&gt;0,COUNTIF($Y96:BX96,BY96)=0),0,IF(SUMPRODUCT(MOD(INT(BY141/{2,4,8,16,32,64,128,256,512,1024,2048,4096,8192,16384,32768}),2)*(1-MOD(INT(($CJ6+BX186)/{2,4,8,16,32,64,128,256,512,1024,2048,4096,8192,16384,32768}),2))*{2,4,8,16,32,64,128,256,512,1024,2048,4096,8192,16384,32768})=0,0,2^SUMPRODUCT(--(MOD(SUMPRODUCT(MOD(INT(BY141/{2,4,8,16,32,64,128,256,512,1024,2048,4096,8192,16384,32768}),2)*(1-MOD(INT(($CJ6+BX186)/{2,4,8,16,32,64,128,256,512,1024,2048,4096,8192,16384,32768}),2))*{2,4,8,16,32,64,128,256,512,1024,2048,4096,8192,16384,32768}),{2,4,8,16,32,64,128,256,512,1024,2048,4096,8192,16384,32768})=0))))</f>
        <v/>
      </c>
      <c r="BZ186">
        <f>BY186+IF(AND(BZ96&gt;0,COUNTIF($Y96:BY96,BZ96)=0),0,IF(SUMPRODUCT(MOD(INT(BZ141/{2,4,8,16,32,64,128,256,512,1024,2048,4096,8192,16384,32768}),2)*(1-MOD(INT(($CJ6+BY186)/{2,4,8,16,32,64,128,256,512,1024,2048,4096,8192,16384,32768}),2))*{2,4,8,16,32,64,128,256,512,1024,2048,4096,8192,16384,32768})=0,0,2^SUMPRODUCT(--(MOD(SUMPRODUCT(MOD(INT(BZ141/{2,4,8,16,32,64,128,256,512,1024,2048,4096,8192,16384,32768}),2)*(1-MOD(INT(($CJ6+BY186)/{2,4,8,16,32,64,128,256,512,1024,2048,4096,8192,16384,32768}),2))*{2,4,8,16,32,64,128,256,512,1024,2048,4096,8192,16384,32768}),{2,4,8,16,32,64,128,256,512,1024,2048,4096,8192,16384,32768})=0))))</f>
        <v/>
      </c>
      <c r="CA186">
        <f>BZ186+IF(AND(CA96&gt;0,COUNTIF($Y96:BZ96,CA96)=0),0,IF(SUMPRODUCT(MOD(INT(CA141/{2,4,8,16,32,64,128,256,512,1024,2048,4096,8192,16384,32768}),2)*(1-MOD(INT(($CJ6+BZ186)/{2,4,8,16,32,64,128,256,512,1024,2048,4096,8192,16384,32768}),2))*{2,4,8,16,32,64,128,256,512,1024,2048,4096,8192,16384,32768})=0,0,2^SUMPRODUCT(--(MOD(SUMPRODUCT(MOD(INT(CA141/{2,4,8,16,32,64,128,256,512,1024,2048,4096,8192,16384,32768}),2)*(1-MOD(INT(($CJ6+BZ186)/{2,4,8,16,32,64,128,256,512,1024,2048,4096,8192,16384,32768}),2))*{2,4,8,16,32,64,128,256,512,1024,2048,4096,8192,16384,32768}),{2,4,8,16,32,64,128,256,512,1024,2048,4096,8192,16384,32768})=0))))</f>
        <v/>
      </c>
      <c r="CB186">
        <f>CA186+IF(AND(CB96&gt;0,COUNTIF($Y96:CA96,CB96)=0),0,IF(SUMPRODUCT(MOD(INT(CB141/{2,4,8,16,32,64,128,256,512,1024,2048,4096,8192,16384,32768}),2)*(1-MOD(INT(($CJ6+CA186)/{2,4,8,16,32,64,128,256,512,1024,2048,4096,8192,16384,32768}),2))*{2,4,8,16,32,64,128,256,512,1024,2048,4096,8192,16384,32768})=0,0,2^SUMPRODUCT(--(MOD(SUMPRODUCT(MOD(INT(CB141/{2,4,8,16,32,64,128,256,512,1024,2048,4096,8192,16384,32768}),2)*(1-MOD(INT(($CJ6+CA186)/{2,4,8,16,32,64,128,256,512,1024,2048,4096,8192,16384,32768}),2))*{2,4,8,16,32,64,128,256,512,1024,2048,4096,8192,16384,32768}),{2,4,8,16,32,64,128,256,512,1024,2048,4096,8192,16384,32768})=0))))</f>
        <v/>
      </c>
      <c r="CC186">
        <f>CB186+IF(AND(CC96&gt;0,COUNTIF($Y96:CB96,CC96)=0),0,IF(SUMPRODUCT(MOD(INT(CC141/{2,4,8,16,32,64,128,256,512,1024,2048,4096,8192,16384,32768}),2)*(1-MOD(INT(($CJ6+CB186)/{2,4,8,16,32,64,128,256,512,1024,2048,4096,8192,16384,32768}),2))*{2,4,8,16,32,64,128,256,512,1024,2048,4096,8192,16384,32768})=0,0,2^SUMPRODUCT(--(MOD(SUMPRODUCT(MOD(INT(CC141/{2,4,8,16,32,64,128,256,512,1024,2048,4096,8192,16384,32768}),2)*(1-MOD(INT(($CJ6+CB186)/{2,4,8,16,32,64,128,256,512,1024,2048,4096,8192,16384,32768}),2))*{2,4,8,16,32,64,128,256,512,1024,2048,4096,8192,16384,32768}),{2,4,8,16,32,64,128,256,512,1024,2048,4096,8192,16384,32768})=0))))</f>
        <v/>
      </c>
      <c r="CD186">
        <f>CC186+IF(AND(CD96&gt;0,COUNTIF($Y96:CC96,CD96)=0),0,IF(SUMPRODUCT(MOD(INT(CD141/{2,4,8,16,32,64,128,256,512,1024,2048,4096,8192,16384,32768}),2)*(1-MOD(INT(($CJ6+CC186)/{2,4,8,16,32,64,128,256,512,1024,2048,4096,8192,16384,32768}),2))*{2,4,8,16,32,64,128,256,512,1024,2048,4096,8192,16384,32768})=0,0,2^SUMPRODUCT(--(MOD(SUMPRODUCT(MOD(INT(CD141/{2,4,8,16,32,64,128,256,512,1024,2048,4096,8192,16384,32768}),2)*(1-MOD(INT(($CJ6+CC186)/{2,4,8,16,32,64,128,256,512,1024,2048,4096,8192,16384,32768}),2))*{2,4,8,16,32,64,128,256,512,1024,2048,4096,8192,16384,32768}),{2,4,8,16,32,64,128,256,512,1024,2048,4096,8192,16384,32768})=0))))</f>
        <v/>
      </c>
      <c r="CE186">
        <f>CD186+IF(AND(CE96&gt;0,COUNTIF($Y96:CD96,CE96)=0),0,IF(SUMPRODUCT(MOD(INT(CE141/{2,4,8,16,32,64,128,256,512,1024,2048,4096,8192,16384,32768}),2)*(1-MOD(INT(($CJ6+CD186)/{2,4,8,16,32,64,128,256,512,1024,2048,4096,8192,16384,32768}),2))*{2,4,8,16,32,64,128,256,512,1024,2048,4096,8192,16384,32768})=0,0,2^SUMPRODUCT(--(MOD(SUMPRODUCT(MOD(INT(CE141/{2,4,8,16,32,64,128,256,512,1024,2048,4096,8192,16384,32768}),2)*(1-MOD(INT(($CJ6+CD186)/{2,4,8,16,32,64,128,256,512,1024,2048,4096,8192,16384,32768}),2))*{2,4,8,16,32,64,128,256,512,1024,2048,4096,8192,16384,32768}),{2,4,8,16,32,64,128,256,512,1024,2048,4096,8192,16384,32768})=0))))</f>
        <v/>
      </c>
      <c r="CF186">
        <f>CE186+IF(AND(CF96&gt;0,COUNTIF($Y96:CE96,CF96)=0),0,IF(SUMPRODUCT(MOD(INT(CF141/{2,4,8,16,32,64,128,256,512,1024,2048,4096,8192,16384,32768}),2)*(1-MOD(INT(($CJ6+CE186)/{2,4,8,16,32,64,128,256,512,1024,2048,4096,8192,16384,32768}),2))*{2,4,8,16,32,64,128,256,512,1024,2048,4096,8192,16384,32768})=0,0,2^SUMPRODUCT(--(MOD(SUMPRODUCT(MOD(INT(CF141/{2,4,8,16,32,64,128,256,512,1024,2048,4096,8192,16384,32768}),2)*(1-MOD(INT(($CJ6+CE186)/{2,4,8,16,32,64,128,256,512,1024,2048,4096,8192,16384,32768}),2))*{2,4,8,16,32,64,128,256,512,1024,2048,4096,8192,16384,32768}),{2,4,8,16,32,64,128,256,512,1024,2048,4096,8192,16384,32768})=0))))</f>
        <v/>
      </c>
      <c r="DA186" t="n">
        <v>182</v>
      </c>
      <c r="DB186">
        <f>IF($B$37=0,"",IFERROR(TRIM(SUBSTITUTE(SUBSTITUTE(SUBSTITUTE(SUBSTITUTE(INDEX(PASTE_ALL,182,$B$37)," "," "),CHAR(9)," "),CHAR(10)," "),CHAR(13)," ")),""))</f>
        <v/>
      </c>
      <c r="DC186">
        <f>IF(AND(182&gt;HEADER_ROW,UPPER(DB186)="LEGEND"),1,0)</f>
        <v/>
      </c>
      <c r="DE186" t="n">
        <v>182</v>
      </c>
      <c r="DF186">
        <f>HEADER_ROW+$DE186</f>
        <v/>
      </c>
      <c r="DG186">
        <f>IF(AND($DF186&lt;=1000,$DF186&lt;$B$8),1,0)</f>
        <v/>
      </c>
      <c r="DH186">
        <f>IF($DG186=1,IFERROR(INDEX($DB$5:$DB$1004,$DF186),""),"")</f>
        <v/>
      </c>
      <c r="DI186">
        <f>IF(AND($DG186=1,$DH186&lt;&gt;""),IFERROR(SUBSTITUTE(SUBSTITUTE(TRIM(SUBSTITUTE(SUBSTITUTE(SUBSTITUTE(SUBSTITUTE(IFERROR(INDEX(PASTE_ALL,$DF186,1)&amp;"","")&amp;"␟"&amp;IFERROR(INDEX(PASTE_ALL,$DF186,2)&amp;"","")&amp;"␟"&amp;IFERROR(INDEX(PASTE_ALL,$DF186,3)&amp;"","")&amp;"␟"&amp;IFERROR(INDEX(PASTE_ALL,$DF186,4)&amp;"","")&amp;"␟"&amp;IFERROR(INDEX(PASTE_ALL,$DF186,5)&amp;"","")&amp;"␟"&amp;IFERROR(INDEX(PASTE_ALL,$DF186,6)&amp;"","")&amp;"␟"&amp;IFERROR(INDEX(PASTE_ALL,$DF186,7)&amp;"","")&amp;"␟"&amp;IFERROR(INDEX(PASTE_ALL,$DF186,8)&amp;"","")&amp;"␟"&amp;IFERROR(INDEX(PASTE_ALL,$DF186,9)&amp;"","")&amp;"␟"&amp;IFERROR(INDEX(PASTE_ALL,$DF186,10)&amp;"","")&amp;"␟"&amp;IFERROR(INDEX(PASTE_ALL,$DF186,11)&amp;"","")&amp;"␟"&amp;IFERROR(INDEX(PASTE_ALL,$DF186,12)&amp;"","")&amp;"␟"&amp;IFERROR(INDEX(PASTE_ALL,$DF186,13)&amp;"","")&amp;"␟"&amp;IFERROR(INDEX(PASTE_ALL,$DF186,14)&amp;"","")&amp;"␟"&amp;IFERROR(INDEX(PASTE_ALL,$DF186,15)&amp;"","")&amp;"␟"&amp;IFERROR(INDEX(PASTE_ALL,$DF186,16)&amp;"","")&amp;"␟"&amp;IFERROR(INDEX(PASTE_ALL,$DF186,17)&amp;"","")&amp;"␟"&amp;IFERROR(INDEX(PASTE_ALL,$DF186,18)&amp;"","")&amp;"␟"&amp;IFERROR(INDEX(PASTE_ALL,$DF186,19)&amp;"","")&amp;"␟"&amp;IFERROR(INDEX(PASTE_ALL,$DF186,20)&amp;"","")&amp;"␟"&amp;IFERROR(INDEX(PASTE_ALL,$DF186,21)&amp;"","")&amp;"␟"&amp;IFERROR(INDEX(PASTE_ALL,$DF186,22)&amp;"","")&amp;"␟"&amp;IFERROR(INDEX(PASTE_ALL,$DF186,23)&amp;"","")&amp;"␟"&amp;IFERROR(INDEX(PASTE_ALL,$DF186,24)&amp;"","")&amp;"␟"&amp;IFERROR(INDEX(PASTE_ALL,$DF186,25)&amp;"","")&amp;"␟"&amp;IFERROR(INDEX(PASTE_ALL,$DF186,26)&amp;"","")&amp;"␟"&amp;IFERROR(INDEX(PASTE_ALL,$DF186,27)&amp;"","")&amp;"␟"&amp;IFERROR(INDEX(PASTE_ALL,$DF186,28)&amp;"","")&amp;"␟"&amp;IFERROR(INDEX(PASTE_ALL,$DF186,29)&amp;"","")&amp;"␟"&amp;IFERROR(INDEX(PASTE_ALL,$DF186,30)&amp;"","")&amp;"␟"&amp;IFERROR(INDEX(PASTE_ALL,$DF186,31)&amp;"","")&amp;"␟"&amp;IFERROR(INDEX(PASTE_ALL,$DF186,32)&amp;"","")&amp;"␟"&amp;IFERROR(INDEX(PASTE_ALL,$DF186,33)&amp;"","")&amp;"␟"&amp;IFERROR(INDEX(PASTE_ALL,$DF186,34)&amp;"","")&amp;"␟"&amp;IFERROR(INDEX(PASTE_ALL,$DF186,35)&amp;"","")&amp;"␟"&amp;IFERROR(INDEX(PASTE_ALL,$DF186,36)&amp;"","")&amp;"␟"&amp;IFERROR(INDEX(PASTE_ALL,$DF186,37)&amp;"","")&amp;"␟"&amp;IFERROR(INDEX(PASTE_ALL,$DF186,38)&amp;"","")&amp;"␟"&amp;IFERROR(INDEX(PASTE_ALL,$DF186,39)&amp;"","")&amp;"␟"&amp;IFERROR(INDEX(PASTE_ALL,$DF186,40)&amp;"","")&amp;"␟"&amp;IFERROR(INDEX(PASTE_ALL,$DF186,41)&amp;"","")&amp;"␟"&amp;IFERROR(INDEX(PASTE_ALL,$DF186,42)&amp;"","")&amp;"␟"&amp;IFERROR(INDEX(PASTE_ALL,$DF186,43)&amp;"","")&amp;"␟"&amp;IFERROR(INDEX(PASTE_ALL,$DF186,44)&amp;"","")&amp;"␟"&amp;IFERROR(INDEX(PASTE_ALL,$DF186,45)&amp;"","")&amp;"␟"&amp;IFERROR(INDEX(PASTE_ALL,$DF186,46)&amp;"","")&amp;"␟"&amp;IFERROR(INDEX(PASTE_ALL,$DF186,47)&amp;"","")&amp;"␟"&amp;IFERROR(INDEX(PASTE_ALL,$DF186,48)&amp;"","")&amp;"␟"&amp;IFERROR(INDEX(PASTE_ALL,$DF186,49)&amp;"","")&amp;"␟"&amp;IFERROR(INDEX(PASTE_ALL,$DF186,50)&amp;"","")&amp;"␟"&amp;IFERROR(INDEX(PASTE_ALL,$DF186,51)&amp;"","")&amp;"␟"&amp;IFERROR(INDEX(PASTE_ALL,$DF186,52)&amp;"","")&amp;"␟"&amp;IFERROR(INDEX(PASTE_ALL,$DF186,53)&amp;"","")&amp;"␟"&amp;IFERROR(INDEX(PASTE_ALL,$DF186,54)&amp;"","")&amp;"␟"&amp;IFERROR(INDEX(PASTE_ALL,$DF186,55)&amp;"","")&amp;"␟"&amp;IFERROR(INDEX(PASTE_ALL,$DF186,56)&amp;"","")&amp;"␟"&amp;IFERROR(INDEX(PASTE_ALL,$DF186,57)&amp;"","")&amp;"␟"&amp;IFERROR(INDEX(PASTE_ALL,$DF186,58)&amp;"","")&amp;"␟"&amp;IFERROR(INDEX(PASTE_ALL,$DF186,59)&amp;"","")&amp;"␟"&amp;IFERROR(INDEX(PASTE_ALL,$DF186,60)&amp;"","")," "," "),CHAR(9)," "),CHAR(10)," "),CHAR(13)," "))," ␟","␟"),"␟ ","␟"),"#"&amp;$DE186),"")</f>
        <v/>
      </c>
      <c r="DJ186">
        <f>IF($DI186="",0,IF(SUMPRODUCT(--EXACT($DI$4:DI185,$DI186))&gt;0,1,0))</f>
        <v/>
      </c>
      <c r="DK186">
        <f>IF(AND($DI186&lt;&gt;"",$DJ186=0),1,0)</f>
        <v/>
      </c>
      <c r="DL186">
        <f>DL185+$DK186</f>
        <v/>
      </c>
      <c r="DM186">
        <f>IF(AND($DK186=1,$DL186&lt;=600),1,0)</f>
        <v/>
      </c>
      <c r="DN186">
        <f>IF($DM186=0,"",IF($L$6=0,"",IFERROR(IF(ISNUMBER(INDEX(PASTE_ALL,$DF186,$L$6)),INDEX(PASTE_ALL,$DF186,$L$6),TRIM(SUBSTITUTE(SUBSTITUTE(SUBSTITUTE(SUBSTITUTE(INDEX(PASTE_ALL,$DF186,$L$6)," "," "),CHAR(9)," "),CHAR(10)," "),CHAR(13)," "))),"")))</f>
        <v/>
      </c>
      <c r="DO186">
        <f>IF($DM186=0,"",IF($L$7=0,"",IFERROR(IF(ISNUMBER(INDEX(PASTE_ALL,$DF186,$L$7)),INDEX(PASTE_ALL,$DF186,$L$7),TRIM(SUBSTITUTE(SUBSTITUTE(SUBSTITUTE(SUBSTITUTE(INDEX(PASTE_ALL,$DF186,$L$7)," "," "),CHAR(9)," "),CHAR(10)," "),CHAR(13)," "))),"")))</f>
        <v/>
      </c>
      <c r="DP186">
        <f>IF($DM186=0,"",IF($L$8=0,"",IFERROR(IF(ISNUMBER(INDEX(PASTE_ALL,$DF186,$L$8)),INDEX(PASTE_ALL,$DF186,$L$8),TRIM(SUBSTITUTE(SUBSTITUTE(SUBSTITUTE(SUBSTITUTE(INDEX(PASTE_ALL,$DF186,$L$8)," "," "),CHAR(9)," "),CHAR(10)," "),CHAR(13)," "))),"")))</f>
        <v/>
      </c>
      <c r="DQ186">
        <f>IF($DM186=0,"",IF($L$9=0,"",IFERROR(IF(ISNUMBER(INDEX(PASTE_ALL,$DF186,$L$9)),INDEX(PASTE_ALL,$DF186,$L$9),TRIM(SUBSTITUTE(SUBSTITUTE(SUBSTITUTE(SUBSTITUTE(INDEX(PASTE_ALL,$DF186,$L$9)," "," "),CHAR(9)," "),CHAR(10)," "),CHAR(13)," "))),"")))</f>
        <v/>
      </c>
      <c r="DR186">
        <f>IF($DM186=0,"",IF($L$10=0,"",IFERROR(IF(ISNUMBER(INDEX(PASTE_ALL,$DF186,$L$10)),INDEX(PASTE_ALL,$DF186,$L$10),TRIM(SUBSTITUTE(SUBSTITUTE(SUBSTITUTE(SUBSTITUTE(INDEX(PASTE_ALL,$DF186,$L$10)," "," "),CHAR(9)," "),CHAR(10)," "),CHAR(13)," "))),"")))</f>
        <v/>
      </c>
      <c r="DS186">
        <f>IF($DM186=0,"",IF($L$11=0,"",IFERROR(IF(ISNUMBER(INDEX(PASTE_ALL,$DF186,$L$11)),INDEX(PASTE_ALL,$DF186,$L$11),TRIM(SUBSTITUTE(SUBSTITUTE(SUBSTITUTE(SUBSTITUTE(INDEX(PASTE_ALL,$DF186,$L$11)," "," "),CHAR(9)," "),CHAR(10)," "),CHAR(13)," "))),"")))</f>
        <v/>
      </c>
      <c r="DT186">
        <f>IF($DM186=0,"",IF($L$12=0,"",IFERROR(IF(ISNUMBER(INDEX(PASTE_ALL,$DF186,$L$12)),INDEX(PASTE_ALL,$DF186,$L$12),TRIM(SUBSTITUTE(SUBSTITUTE(SUBSTITUTE(SUBSTITUTE(INDEX(PASTE_ALL,$DF186,$L$12)," "," "),CHAR(9)," "),CHAR(10)," "),CHAR(13)," "))),"")))</f>
        <v/>
      </c>
      <c r="DU186">
        <f>IF($DM186=0,"",IF($L$13=0,"",IFERROR(IF(ISNUMBER(INDEX(PASTE_ALL,$DF186,$L$13)),INDEX(PASTE_ALL,$DF186,$L$13),TRIM(SUBSTITUTE(SUBSTITUTE(SUBSTITUTE(SUBSTITUTE(INDEX(PASTE_ALL,$DF186,$L$13)," "," "),CHAR(9)," "),CHAR(10)," "),CHAR(13)," "))),"")))</f>
        <v/>
      </c>
      <c r="DV186">
        <f>IF($DM186=0,"",IF($L$14=0,"",IFERROR(IF(ISNUMBER(INDEX(PASTE_ALL,$DF186,$L$14)),INDEX(PASTE_ALL,$DF186,$L$14),TRIM(SUBSTITUTE(SUBSTITUTE(SUBSTITUTE(SUBSTITUTE(INDEX(PASTE_ALL,$DF186,$L$14)," "," "),CHAR(9)," "),CHAR(10)," "),CHAR(13)," "))),"")))</f>
        <v/>
      </c>
      <c r="DW186">
        <f>IF($DM186=0,"",IF($L$15=0,"",IFERROR(IF(ISNUMBER(INDEX(PASTE_ALL,$DF186,$L$15)),INDEX(PASTE_ALL,$DF186,$L$15),IF(SUMPRODUCT(--ISNUMBER(FIND({"A","B","C","D","E","F","G","H","I","J","K","L","M","N","O","P","Q","R","S","T","U","V","W","X","Y","Z","0","1","2","3","4","5","6","7","8","9"},UPPER(TRIM(SUBSTITUTE(SUBSTITUTE(SUBSTITUTE(SUBSTITUTE(INDEX(PASTE_ALL,$DF186,$L$15)," "," "),CHAR(9)," "),CHAR(10)," "),CHAR(13)," "))))))&gt;0,TRIM(SUBSTITUTE(SUBSTITUTE(SUBSTITUTE(SUBSTITUTE(INDEX(PASTE_ALL,$DF186,$L$15)," "," "),CHAR(9)," "),CHAR(10)," "),CHAR(13)," ")),"")),"")))</f>
        <v/>
      </c>
      <c r="DX186">
        <f>IF($DM186=0,"",IF($L$16=0,"",IFERROR(IF(ISNUMBER(INDEX(PASTE_ALL,$DF186,$L$16)),INDEX(PASTE_ALL,$DF186,$L$16),SUBSTITUTE(SUBSTITUTE(TRIM(SUBSTITUTE(SUBSTITUTE(SUBSTITUTE(SUBSTITUTE(INDEX(PASTE_ALL,$DF186,$L$16)," "," "),CHAR(9)," "),CHAR(10)," "),CHAR(13)," ")),",",""),"%","")),"")))</f>
        <v/>
      </c>
      <c r="DY186">
        <f>IF($DM186=0,"",IFERROR(IF(ISNUMBER($DX186),$DX186,IF($DX186="","",IF(TRIM($DX186)="",0,IF(AND(AND(SUBSTITUTE(SUBSTITUTE(SUBSTITUTE(SUBSTITUTE(SUBSTITUTE(SUBSTITUTE(SUBSTITUTE(SUBSTITUTE(SUBSTITUTE(SUBSTITUTE(SUBSTITUTE(SUBSTITUTE(SUBSTITUTE(SUBSTITUTE(UPPER(TRIM($DX186)),"0",""),"1",""),"2",""),"3",""),"4",""),"5",""),"6",""),"7",""),"8",""),"9",""),".",""),"+",""),"-",""),"E","")="",LEN(SUBSTITUTE(SUBSTITUTE(MID(UPPER(TRIM($DX186)),1+OR(LEFT(UPPER(TRIM($DX186)),1)="+",LEFT(UPPER(TRIM($DX186)),1)="-"),999),"E+","E"),"E-","E"))=LEN(SUBSTITUTE(SUBSTITUTE(SUBSTITUTE(SUBSTITUTE(MID(UPPER(TRIM($DX186)),1+OR(LEFT(UPPER(TRIM($DX186)),1)="+",LEFT(UPPER(TRIM($DX186)),1)="-"),999),"E+","E"),"E-","E"),"+",""),"-","")),LEN(UPPER(TRIM($DX186)))-LEN(SUBSTITUTE(UPPER(TRIM($DX186)),"E",""))&lt;2,LEN(UPPER(TRIM($DX186)))-LEN(SUBSTITUTE(UPPER(TRIM($DX186)),".",""))&lt;2,IFERROR(FIND(".",UPPER(TRIM($DX186))),0)&lt;IFERROR(FIND("E",UPPER(TRIM($DX186))),999)),ISNUMBER(VALUE(TRIM($DX186)))),VALUE(TRIM($DX186)),"")))),""))</f>
        <v/>
      </c>
      <c r="DZ186">
        <f>IF($DM186=0,"",IF($L$17=0,"",IFERROR(IF(ISNUMBER(INDEX(PASTE_ALL,$DF186,$L$17)),INDEX(PASTE_ALL,$DF186,$L$17),SUBSTITUTE(SUBSTITUTE(TRIM(SUBSTITUTE(SUBSTITUTE(SUBSTITUTE(SUBSTITUTE(INDEX(PASTE_ALL,$DF186,$L$17)," "," "),CHAR(9)," "),CHAR(10)," "),CHAR(13)," ")),",",""),"%","")),"")))</f>
        <v/>
      </c>
      <c r="EA186">
        <f>IF($DM186=0,"",IFERROR(IF(ISNUMBER($DZ186),$DZ186,IF($DZ186="","",IF(TRIM($DZ186)="",0,IF(AND(AND(SUBSTITUTE(SUBSTITUTE(SUBSTITUTE(SUBSTITUTE(SUBSTITUTE(SUBSTITUTE(SUBSTITUTE(SUBSTITUTE(SUBSTITUTE(SUBSTITUTE(SUBSTITUTE(SUBSTITUTE(SUBSTITUTE(SUBSTITUTE(UPPER(TRIM($DZ186)),"0",""),"1",""),"2",""),"3",""),"4",""),"5",""),"6",""),"7",""),"8",""),"9",""),".",""),"+",""),"-",""),"E","")="",LEN(SUBSTITUTE(SUBSTITUTE(MID(UPPER(TRIM($DZ186)),1+OR(LEFT(UPPER(TRIM($DZ186)),1)="+",LEFT(UPPER(TRIM($DZ186)),1)="-"),999),"E+","E"),"E-","E"))=LEN(SUBSTITUTE(SUBSTITUTE(SUBSTITUTE(SUBSTITUTE(MID(UPPER(TRIM($DZ186)),1+OR(LEFT(UPPER(TRIM($DZ186)),1)="+",LEFT(UPPER(TRIM($DZ186)),1)="-"),999),"E+","E"),"E-","E"),"+",""),"-","")),LEN(UPPER(TRIM($DZ186)))-LEN(SUBSTITUTE(UPPER(TRIM($DZ186)),"E",""))&lt;2,LEN(UPPER(TRIM($DZ186)))-LEN(SUBSTITUTE(UPPER(TRIM($DZ186)),".",""))&lt;2,IFERROR(FIND(".",UPPER(TRIM($DZ186))),0)&lt;IFERROR(FIND("E",UPPER(TRIM($DZ186))),999)),ISNUMBER(VALUE(TRIM($DZ186)))),VALUE(TRIM($DZ186)),"")))),""))</f>
        <v/>
      </c>
      <c r="EB186">
        <f>IF($DM186=0,"",IF($L$18=0,"",IFERROR(IF(UPPER(TRIM(SUBSTITUTE(SUBSTITUTE(SUBSTITUTE(SUBSTITUTE(INDEX(PASTE_ALL,$DF186,$L$18)," "," "),CHAR(9)," "),CHAR(10)," "),CHAR(13)," ")))="READY","Ready",IF(UPPER(TRIM(SUBSTITUTE(SUBSTITUTE(SUBSTITUTE(SUBSTITUTE(INDEX(PASTE_ALL,$DF186,$L$18)," "," "),CHAR(9)," "),CHAR(10)," "),CHAR(13)," ")))="PM","PM",IF(OR(UPPER(TRIM(SUBSTITUTE(SUBSTITUTE(SUBSTITUTE(SUBSTITUTE(INDEX(PASTE_ALL,$DF186,$L$18)," "," "),CHAR(9)," "),CHAR(10)," "),CHAR(13)," ")))="OT",UPPER(TRIM(SUBSTITUTE(SUBSTITUTE(SUBSTITUTE(SUBSTITUTE(INDEX(PASTE_ALL,$DF186,$L$18)," "," "),CHAR(9)," "),CHAR(10)," "),CHAR(13)," ")))="OVERTIME",UPPER(TRIM(SUBSTITUTE(SUBSTITUTE(SUBSTITUTE(SUBSTITUTE(INDEX(PASTE_ALL,$DF186,$L$18)," "," "),CHAR(9)," "),CHAR(10)," "),CHAR(13)," ")))="TRIAL"),"OT",TRIM(SUBSTITUTE(SUBSTITUTE(SUBSTITUTE(SUBSTITUTE(INDEX(PASTE_ALL,$DF186,$L$18)," "," "),CHAR(9)," "),CHAR(10)," "),CHAR(13)," "))))),"")))</f>
        <v/>
      </c>
      <c r="EC186">
        <f>IF($DM186=0,"",IF($L$19=0,"",IFERROR(IF(ISNUMBER(INDEX(PASTE_ALL,$DF186,$L$19)),INDEX(PASTE_ALL,$DF186,$L$19),TRIM(SUBSTITUTE(SUBSTITUTE(SUBSTITUTE(SUBSTITUTE(INDEX(PASTE_ALL,$DF186,$L$19)," "," "),CHAR(9)," "),CHAR(10)," "),CHAR(13)," "))),"")))</f>
        <v/>
      </c>
      <c r="ED186">
        <f>IF($DM186=0,"",MATCH(1,INDEX(EXACT($DH$5:DH186,$DH186)*$DM$5:DM186,0),0))</f>
        <v/>
      </c>
      <c r="EE186">
        <f>IF($DM186=0,0,IF($ED186=$DE186,1,0))</f>
        <v/>
      </c>
      <c r="EF186">
        <f>EF185+$EE186</f>
        <v/>
      </c>
      <c r="EG186">
        <f>IF($DM186=0,"",INDEX($EF$5:$EF$1003,$ED186))</f>
        <v/>
      </c>
      <c r="EH186">
        <f>IF($DM186=0,"",IF($DO186&lt;&gt;"","",IFERROR(LOOKUP(2,1/(($EG$4:EG185=$EG186)*($DO$4:DO185&lt;&gt;"")),$DO$4:DO185),"")))</f>
        <v/>
      </c>
      <c r="EI186">
        <f>IF($DM186=0,"",IF($DO186&lt;&gt;"",$DO186,$EH186))</f>
        <v/>
      </c>
      <c r="EJ186">
        <f>IF($DM186=0,"",IF($EI186="",0,IF(OR(ISNUMBER($EI186),AND(AND(SUBSTITUTE(SUBSTITUTE(SUBSTITUTE(SUBSTITUTE(SUBSTITUTE(SUBSTITUTE(SUBSTITUTE(SUBSTITUTE(SUBSTITUTE(SUBSTITUTE(SUBSTITUTE(SUBSTITUTE(SUBSTITUTE(SUBSTITUTE(UPPER($EI186),"0",""),"1",""),"2",""),"3",""),"4",""),"5",""),"6",""),"7",""),"8",""),"9",""),".",""),"+",""),"-",""),"E","")="",LEN(SUBSTITUTE(SUBSTITUTE(MID(UPPER($EI186),1+OR(LEFT(UPPER($EI186),1)="+",LEFT(UPPER($EI186),1)="-"),999),"E+","E"),"E-","E"))=LEN(SUBSTITUTE(SUBSTITUTE(SUBSTITUTE(SUBSTITUTE(MID(UPPER($EI186),1+OR(LEFT(UPPER($EI186),1)="+",LEFT(UPPER($EI186),1)="-"),999),"E+","E"),"E-","E"),"+",""),"-","")),LEN(UPPER($EI186))-LEN(SUBSTITUTE(UPPER($EI186),"E",""))&lt;2,LEN(UPPER($EI186))-LEN(SUBSTITUTE(UPPER($EI186),".",""))&lt;2,IFERROR(FIND(".",UPPER($EI186)),0)&lt;IFERROR(FIND("E",UPPER($EI186)),999)),ISNUMBER(VALUE($EI186)))),1,2)))</f>
        <v/>
      </c>
      <c r="EK186">
        <f>IF($DM186=0,"",IF($EJ186=1,IF(ISNUMBER($EI186),$EI186,VALUE($EI186)),IF($EJ186=2,$DE186,0)))</f>
        <v/>
      </c>
      <c r="EL186">
        <f>IF($DM186=0,"",COUNTIF($EG$5:$EG$1003,"&lt;"&amp;$EG186)+SUMPRODUCT(($EG$5:$EG$1003=$EG186)*(($EJ$5:$EJ$1003&lt;$EJ186)+($EJ$5:$EJ$1003=$EJ186)*(($EK$5:$EK$1003&lt;$EK186)+($EK$5:$EK$1003=$EK186)*($DE$5:$DE$1003&lt;$DE186))))+1)</f>
        <v/>
      </c>
      <c r="EM186">
        <f>IF($DM186=0,"",$EL186+$EG186-1)</f>
        <v/>
      </c>
      <c r="EN186">
        <f>IF($DM186=0,0,IFERROR(MATCH(1,INDEX(--(TRIM(SUBSTITUTE(SUBSTITUTE(SUBSTITUTE(SUBSTITUTE(LINES_NAME&amp;""," "," "),CHAR(9)," "),CHAR(10)," "),CHAR(13)," "))=$DH186),0),0),0))</f>
        <v/>
      </c>
      <c r="EO186">
        <f>IF($EN186=0,0,IF(OR(UPPER(TRIM(INDEX(LINES_SCHEDULED,$EN186)&amp;""))="YES",UPPER(TRIM(INDEX(LINES_SCHEDULED,$EN186)&amp;""))="Y",UPPER(TRIM(INDEX(LINES_SCHEDULED,$EN186)&amp;""))="X"),1,0))</f>
        <v/>
      </c>
      <c r="EP186">
        <f>IF($DM186=0,"",IF(COUNTIFS($EG$5:$EG$1003,$EG186,$EB$5:$EB$1003,"Ready")&gt;0,"READY",IF(COUNTIFS($EG$5:$EG$1003,$EG186,$EB$5:$EB$1003,"PM")&gt;0,"PM",IF(COUNTIFS($EG$5:$EG$1003,$EG186,$EB$5:$EB$1003,"OT")&gt;0,"OT",""))))</f>
        <v/>
      </c>
      <c r="EQ186">
        <f>IF($EN186=0,"",UPPER(TRIM(INDEX(LINES_STATUS,$EN186)&amp;"")))</f>
        <v/>
      </c>
      <c r="ER186">
        <f>IF($DM186=0,"",IF(OR($EQ186="READY",$EQ186="PM",$EQ186="OT"),$EQ186,$EP186))</f>
        <v/>
      </c>
      <c r="ES186">
        <f>IF($DM186=0,"",IF(AND($DV186&lt;&gt;"",UPPER($DV186)&lt;&gt;"N"),"allergen",IF(ISNUMBER(SEARCH("oil",$DQ186)),"oil",IF(OR(EXACT($DS186,"A662"),EXACT($DS186,"A624")),"bulk",""))))</f>
        <v/>
      </c>
      <c r="ET186">
        <f>IF($DM186=0,"",IF(OR($EA186="",$EA186=0),"",$EA186/100))</f>
        <v/>
      </c>
      <c r="EU186">
        <f>IF(OR($ET186="",$DY186=""),"",INT($DY186*(1-$ET186)+0.5))</f>
        <v/>
      </c>
      <c r="EW186" t="n">
        <v>182</v>
      </c>
      <c r="EX186">
        <f>IFERROR(MATCH($EW186,$EM$5:$EM$1003,0),0)</f>
        <v/>
      </c>
      <c r="EY186">
        <f>IF($EW186&gt;$B$12,"",IF($EX186&gt;0,"row","spacer"))</f>
        <v/>
      </c>
      <c r="EZ186">
        <f>IF(AND($EY186="row",$EY185&lt;&gt;"row"),1,0)</f>
        <v/>
      </c>
      <c r="FA186">
        <f>IF(AND($EY186="row",$EY187&lt;&gt;"row"),1,0)</f>
        <v/>
      </c>
      <c r="FB186">
        <f>IF($EZ186=1,IFERROR(IF(ISNUMBER(INDEX(PASTE_ALL,INDEX($DF$5:$DF$1003,$EX186),$B$37)),INDEX(PASTE_ALL,INDEX($DF$5:$DF$1003,$EX186),$B$37),INDEX($DH$5:$DH$1003,$EX186)),INDEX($DH$5:$DH$1003,$EX186)),"")</f>
        <v/>
      </c>
      <c r="FC186">
        <f>IF($EY186="row",INDEX($ER$5:$ER$1003,$EX186),"")</f>
        <v/>
      </c>
      <c r="FD186">
        <f>IF($EY186="row",INDEX($DN$5:$DN$1003,$EX186),"")</f>
        <v/>
      </c>
      <c r="FE186">
        <f>IF($EY186="row",INDEX($DO$5:$DO$1003,$EX186),"")</f>
        <v/>
      </c>
      <c r="FF186">
        <f>IF($EY186="row",INDEX($DP$5:$DP$1003,$EX186),"")</f>
        <v/>
      </c>
      <c r="FG186">
        <f>IF($EY186="row",INDEX($DQ$5:$DQ$1003,$EX186),"")</f>
        <v/>
      </c>
      <c r="FH186">
        <f>IF($EY186="row",INDEX($DR$5:$DR$1003,$EX186),"")</f>
        <v/>
      </c>
      <c r="FI186">
        <f>IF($EY186="row",INDEX($DS$5:$DS$1003,$EX186),"")</f>
        <v/>
      </c>
      <c r="FJ186">
        <f>IF($EY186="row",INDEX($DT$5:$DT$1003,$EX186),"")</f>
        <v/>
      </c>
      <c r="FK186">
        <f>IF($EY186="row",INDEX($DU$5:$DU$1003,$EX186),"")</f>
        <v/>
      </c>
      <c r="FL186">
        <f>IF($EY186="row",INDEX($DV$5:$DV$1003,$EX186),"")</f>
        <v/>
      </c>
      <c r="FM186">
        <f>IF($EY186="row",INDEX($DW$5:$DW$1003,$EX186),"")</f>
        <v/>
      </c>
      <c r="FN186">
        <f>IF($EY186="row",INDEX($DY$5:$DY$1003,$EX186),"")</f>
        <v/>
      </c>
      <c r="FO186">
        <f>IF($EY186="row",INDEX($EA$5:$EA$1003,$EX186),"")</f>
        <v/>
      </c>
      <c r="FP186">
        <f>IF($EY186="row",INDEX($EC$5:$EC$1003,$EX186),"")</f>
        <v/>
      </c>
      <c r="FQ186">
        <f>IF($EY186="row",INDEX($ET$5:$ET$1003,$EX186),"")</f>
        <v/>
      </c>
      <c r="FR186">
        <f>IF($EY186="row",INDEX($EU$5:$EU$1003,$EX186),"")</f>
        <v/>
      </c>
      <c r="FS186">
        <f>IF(AND($EY186="row",$EY185="row"),IF(OR(INDEX($DT$5:$DT$1003,$EX185)="",INDEX($DT$5:$DT$1003,$EX186)=""),"",IF(NOT(EXACT(INDEX($DT$5:$DT$1003,$EX185),INDEX($DT$5:$DT$1003,$EX186))),"S4",IF(NOT(EXACT(INDEX($DS$5:$DS$1003,$EX185),INDEX($DS$5:$DS$1003,$EX186))),"S3",IF(NOT(EXACT(INDEX($DR$5:$DR$1003,$EX185),INDEX($DR$5:$DR$1003,$EX186))),"S1 Count Change","S1")))),"")</f>
        <v/>
      </c>
      <c r="FT186">
        <f>IF($EY186="row",INDEX($ES$5:$ES$1003,$EX186),"")</f>
        <v/>
      </c>
      <c r="FU186">
        <f>IF($EY186="row",INDEX($EO$5:$EO$1003,$EX186),0)</f>
        <v/>
      </c>
      <c r="FV186">
        <f>IF($FS186="S1 Count Change",1,0)</f>
        <v/>
      </c>
    </row>
    <row r="187">
      <c r="Y187">
        <f>0+IF(Y97&gt;0,0,IF(SUMPRODUCT(MOD(INT(Y142/{2,4,8,16,32,64,128,256,512,1024,2048,4096,8192,16384,32768}),2)*(1-MOD(INT(($CJ7+0)/{2,4,8,16,32,64,128,256,512,1024,2048,4096,8192,16384,32768}),2))*{2,4,8,16,32,64,128,256,512,1024,2048,4096,8192,16384,32768})=0,0,2^SUMPRODUCT(--(MOD(SUMPRODUCT(MOD(INT(Y142/{2,4,8,16,32,64,128,256,512,1024,2048,4096,8192,16384,32768}),2)*(1-MOD(INT(($CJ7+0)/{2,4,8,16,32,64,128,256,512,1024,2048,4096,8192,16384,32768}),2))*{2,4,8,16,32,64,128,256,512,1024,2048,4096,8192,16384,32768}),{2,4,8,16,32,64,128,256,512,1024,2048,4096,8192,16384,32768})=0))))</f>
        <v/>
      </c>
      <c r="Z187">
        <f>Y187+IF(AND(Z97&gt;0,COUNTIF($Y97:Y97,Z97)=0),0,IF(SUMPRODUCT(MOD(INT(Z142/{2,4,8,16,32,64,128,256,512,1024,2048,4096,8192,16384,32768}),2)*(1-MOD(INT(($CJ7+Y187)/{2,4,8,16,32,64,128,256,512,1024,2048,4096,8192,16384,32768}),2))*{2,4,8,16,32,64,128,256,512,1024,2048,4096,8192,16384,32768})=0,0,2^SUMPRODUCT(--(MOD(SUMPRODUCT(MOD(INT(Z142/{2,4,8,16,32,64,128,256,512,1024,2048,4096,8192,16384,32768}),2)*(1-MOD(INT(($CJ7+Y187)/{2,4,8,16,32,64,128,256,512,1024,2048,4096,8192,16384,32768}),2))*{2,4,8,16,32,64,128,256,512,1024,2048,4096,8192,16384,32768}),{2,4,8,16,32,64,128,256,512,1024,2048,4096,8192,16384,32768})=0))))</f>
        <v/>
      </c>
      <c r="AA187">
        <f>Z187+IF(AND(AA97&gt;0,COUNTIF($Y97:Z97,AA97)=0),0,IF(SUMPRODUCT(MOD(INT(AA142/{2,4,8,16,32,64,128,256,512,1024,2048,4096,8192,16384,32768}),2)*(1-MOD(INT(($CJ7+Z187)/{2,4,8,16,32,64,128,256,512,1024,2048,4096,8192,16384,32768}),2))*{2,4,8,16,32,64,128,256,512,1024,2048,4096,8192,16384,32768})=0,0,2^SUMPRODUCT(--(MOD(SUMPRODUCT(MOD(INT(AA142/{2,4,8,16,32,64,128,256,512,1024,2048,4096,8192,16384,32768}),2)*(1-MOD(INT(($CJ7+Z187)/{2,4,8,16,32,64,128,256,512,1024,2048,4096,8192,16384,32768}),2))*{2,4,8,16,32,64,128,256,512,1024,2048,4096,8192,16384,32768}),{2,4,8,16,32,64,128,256,512,1024,2048,4096,8192,16384,32768})=0))))</f>
        <v/>
      </c>
      <c r="AB187">
        <f>AA187+IF(AND(AB97&gt;0,COUNTIF($Y97:AA97,AB97)=0),0,IF(SUMPRODUCT(MOD(INT(AB142/{2,4,8,16,32,64,128,256,512,1024,2048,4096,8192,16384,32768}),2)*(1-MOD(INT(($CJ7+AA187)/{2,4,8,16,32,64,128,256,512,1024,2048,4096,8192,16384,32768}),2))*{2,4,8,16,32,64,128,256,512,1024,2048,4096,8192,16384,32768})=0,0,2^SUMPRODUCT(--(MOD(SUMPRODUCT(MOD(INT(AB142/{2,4,8,16,32,64,128,256,512,1024,2048,4096,8192,16384,32768}),2)*(1-MOD(INT(($CJ7+AA187)/{2,4,8,16,32,64,128,256,512,1024,2048,4096,8192,16384,32768}),2))*{2,4,8,16,32,64,128,256,512,1024,2048,4096,8192,16384,32768}),{2,4,8,16,32,64,128,256,512,1024,2048,4096,8192,16384,32768})=0))))</f>
        <v/>
      </c>
      <c r="AC187">
        <f>AB187+IF(AND(AC97&gt;0,COUNTIF($Y97:AB97,AC97)=0),0,IF(SUMPRODUCT(MOD(INT(AC142/{2,4,8,16,32,64,128,256,512,1024,2048,4096,8192,16384,32768}),2)*(1-MOD(INT(($CJ7+AB187)/{2,4,8,16,32,64,128,256,512,1024,2048,4096,8192,16384,32768}),2))*{2,4,8,16,32,64,128,256,512,1024,2048,4096,8192,16384,32768})=0,0,2^SUMPRODUCT(--(MOD(SUMPRODUCT(MOD(INT(AC142/{2,4,8,16,32,64,128,256,512,1024,2048,4096,8192,16384,32768}),2)*(1-MOD(INT(($CJ7+AB187)/{2,4,8,16,32,64,128,256,512,1024,2048,4096,8192,16384,32768}),2))*{2,4,8,16,32,64,128,256,512,1024,2048,4096,8192,16384,32768}),{2,4,8,16,32,64,128,256,512,1024,2048,4096,8192,16384,32768})=0))))</f>
        <v/>
      </c>
      <c r="AD187">
        <f>AC187+IF(AND(AD97&gt;0,COUNTIF($Y97:AC97,AD97)=0),0,IF(SUMPRODUCT(MOD(INT(AD142/{2,4,8,16,32,64,128,256,512,1024,2048,4096,8192,16384,32768}),2)*(1-MOD(INT(($CJ7+AC187)/{2,4,8,16,32,64,128,256,512,1024,2048,4096,8192,16384,32768}),2))*{2,4,8,16,32,64,128,256,512,1024,2048,4096,8192,16384,32768})=0,0,2^SUMPRODUCT(--(MOD(SUMPRODUCT(MOD(INT(AD142/{2,4,8,16,32,64,128,256,512,1024,2048,4096,8192,16384,32768}),2)*(1-MOD(INT(($CJ7+AC187)/{2,4,8,16,32,64,128,256,512,1024,2048,4096,8192,16384,32768}),2))*{2,4,8,16,32,64,128,256,512,1024,2048,4096,8192,16384,32768}),{2,4,8,16,32,64,128,256,512,1024,2048,4096,8192,16384,32768})=0))))</f>
        <v/>
      </c>
      <c r="AE187">
        <f>AD187+IF(AND(AE97&gt;0,COUNTIF($Y97:AD97,AE97)=0),0,IF(SUMPRODUCT(MOD(INT(AE142/{2,4,8,16,32,64,128,256,512,1024,2048,4096,8192,16384,32768}),2)*(1-MOD(INT(($CJ7+AD187)/{2,4,8,16,32,64,128,256,512,1024,2048,4096,8192,16384,32768}),2))*{2,4,8,16,32,64,128,256,512,1024,2048,4096,8192,16384,32768})=0,0,2^SUMPRODUCT(--(MOD(SUMPRODUCT(MOD(INT(AE142/{2,4,8,16,32,64,128,256,512,1024,2048,4096,8192,16384,32768}),2)*(1-MOD(INT(($CJ7+AD187)/{2,4,8,16,32,64,128,256,512,1024,2048,4096,8192,16384,32768}),2))*{2,4,8,16,32,64,128,256,512,1024,2048,4096,8192,16384,32768}),{2,4,8,16,32,64,128,256,512,1024,2048,4096,8192,16384,32768})=0))))</f>
        <v/>
      </c>
      <c r="AF187">
        <f>AE187+IF(AND(AF97&gt;0,COUNTIF($Y97:AE97,AF97)=0),0,IF(SUMPRODUCT(MOD(INT(AF142/{2,4,8,16,32,64,128,256,512,1024,2048,4096,8192,16384,32768}),2)*(1-MOD(INT(($CJ7+AE187)/{2,4,8,16,32,64,128,256,512,1024,2048,4096,8192,16384,32768}),2))*{2,4,8,16,32,64,128,256,512,1024,2048,4096,8192,16384,32768})=0,0,2^SUMPRODUCT(--(MOD(SUMPRODUCT(MOD(INT(AF142/{2,4,8,16,32,64,128,256,512,1024,2048,4096,8192,16384,32768}),2)*(1-MOD(INT(($CJ7+AE187)/{2,4,8,16,32,64,128,256,512,1024,2048,4096,8192,16384,32768}),2))*{2,4,8,16,32,64,128,256,512,1024,2048,4096,8192,16384,32768}),{2,4,8,16,32,64,128,256,512,1024,2048,4096,8192,16384,32768})=0))))</f>
        <v/>
      </c>
      <c r="AG187">
        <f>AF187+IF(AND(AG97&gt;0,COUNTIF($Y97:AF97,AG97)=0),0,IF(SUMPRODUCT(MOD(INT(AG142/{2,4,8,16,32,64,128,256,512,1024,2048,4096,8192,16384,32768}),2)*(1-MOD(INT(($CJ7+AF187)/{2,4,8,16,32,64,128,256,512,1024,2048,4096,8192,16384,32768}),2))*{2,4,8,16,32,64,128,256,512,1024,2048,4096,8192,16384,32768})=0,0,2^SUMPRODUCT(--(MOD(SUMPRODUCT(MOD(INT(AG142/{2,4,8,16,32,64,128,256,512,1024,2048,4096,8192,16384,32768}),2)*(1-MOD(INT(($CJ7+AF187)/{2,4,8,16,32,64,128,256,512,1024,2048,4096,8192,16384,32768}),2))*{2,4,8,16,32,64,128,256,512,1024,2048,4096,8192,16384,32768}),{2,4,8,16,32,64,128,256,512,1024,2048,4096,8192,16384,32768})=0))))</f>
        <v/>
      </c>
      <c r="AH187">
        <f>AG187+IF(AND(AH97&gt;0,COUNTIF($Y97:AG97,AH97)=0),0,IF(SUMPRODUCT(MOD(INT(AH142/{2,4,8,16,32,64,128,256,512,1024,2048,4096,8192,16384,32768}),2)*(1-MOD(INT(($CJ7+AG187)/{2,4,8,16,32,64,128,256,512,1024,2048,4096,8192,16384,32768}),2))*{2,4,8,16,32,64,128,256,512,1024,2048,4096,8192,16384,32768})=0,0,2^SUMPRODUCT(--(MOD(SUMPRODUCT(MOD(INT(AH142/{2,4,8,16,32,64,128,256,512,1024,2048,4096,8192,16384,32768}),2)*(1-MOD(INT(($CJ7+AG187)/{2,4,8,16,32,64,128,256,512,1024,2048,4096,8192,16384,32768}),2))*{2,4,8,16,32,64,128,256,512,1024,2048,4096,8192,16384,32768}),{2,4,8,16,32,64,128,256,512,1024,2048,4096,8192,16384,32768})=0))))</f>
        <v/>
      </c>
      <c r="AI187">
        <f>AH187+IF(AND(AI97&gt;0,COUNTIF($Y97:AH97,AI97)=0),0,IF(SUMPRODUCT(MOD(INT(AI142/{2,4,8,16,32,64,128,256,512,1024,2048,4096,8192,16384,32768}),2)*(1-MOD(INT(($CJ7+AH187)/{2,4,8,16,32,64,128,256,512,1024,2048,4096,8192,16384,32768}),2))*{2,4,8,16,32,64,128,256,512,1024,2048,4096,8192,16384,32768})=0,0,2^SUMPRODUCT(--(MOD(SUMPRODUCT(MOD(INT(AI142/{2,4,8,16,32,64,128,256,512,1024,2048,4096,8192,16384,32768}),2)*(1-MOD(INT(($CJ7+AH187)/{2,4,8,16,32,64,128,256,512,1024,2048,4096,8192,16384,32768}),2))*{2,4,8,16,32,64,128,256,512,1024,2048,4096,8192,16384,32768}),{2,4,8,16,32,64,128,256,512,1024,2048,4096,8192,16384,32768})=0))))</f>
        <v/>
      </c>
      <c r="AJ187">
        <f>AI187+IF(AND(AJ97&gt;0,COUNTIF($Y97:AI97,AJ97)=0),0,IF(SUMPRODUCT(MOD(INT(AJ142/{2,4,8,16,32,64,128,256,512,1024,2048,4096,8192,16384,32768}),2)*(1-MOD(INT(($CJ7+AI187)/{2,4,8,16,32,64,128,256,512,1024,2048,4096,8192,16384,32768}),2))*{2,4,8,16,32,64,128,256,512,1024,2048,4096,8192,16384,32768})=0,0,2^SUMPRODUCT(--(MOD(SUMPRODUCT(MOD(INT(AJ142/{2,4,8,16,32,64,128,256,512,1024,2048,4096,8192,16384,32768}),2)*(1-MOD(INT(($CJ7+AI187)/{2,4,8,16,32,64,128,256,512,1024,2048,4096,8192,16384,32768}),2))*{2,4,8,16,32,64,128,256,512,1024,2048,4096,8192,16384,32768}),{2,4,8,16,32,64,128,256,512,1024,2048,4096,8192,16384,32768})=0))))</f>
        <v/>
      </c>
      <c r="AK187">
        <f>AJ187+IF(AND(AK97&gt;0,COUNTIF($Y97:AJ97,AK97)=0),0,IF(SUMPRODUCT(MOD(INT(AK142/{2,4,8,16,32,64,128,256,512,1024,2048,4096,8192,16384,32768}),2)*(1-MOD(INT(($CJ7+AJ187)/{2,4,8,16,32,64,128,256,512,1024,2048,4096,8192,16384,32768}),2))*{2,4,8,16,32,64,128,256,512,1024,2048,4096,8192,16384,32768})=0,0,2^SUMPRODUCT(--(MOD(SUMPRODUCT(MOD(INT(AK142/{2,4,8,16,32,64,128,256,512,1024,2048,4096,8192,16384,32768}),2)*(1-MOD(INT(($CJ7+AJ187)/{2,4,8,16,32,64,128,256,512,1024,2048,4096,8192,16384,32768}),2))*{2,4,8,16,32,64,128,256,512,1024,2048,4096,8192,16384,32768}),{2,4,8,16,32,64,128,256,512,1024,2048,4096,8192,16384,32768})=0))))</f>
        <v/>
      </c>
      <c r="AL187">
        <f>AK187+IF(AND(AL97&gt;0,COUNTIF($Y97:AK97,AL97)=0),0,IF(SUMPRODUCT(MOD(INT(AL142/{2,4,8,16,32,64,128,256,512,1024,2048,4096,8192,16384,32768}),2)*(1-MOD(INT(($CJ7+AK187)/{2,4,8,16,32,64,128,256,512,1024,2048,4096,8192,16384,32768}),2))*{2,4,8,16,32,64,128,256,512,1024,2048,4096,8192,16384,32768})=0,0,2^SUMPRODUCT(--(MOD(SUMPRODUCT(MOD(INT(AL142/{2,4,8,16,32,64,128,256,512,1024,2048,4096,8192,16384,32768}),2)*(1-MOD(INT(($CJ7+AK187)/{2,4,8,16,32,64,128,256,512,1024,2048,4096,8192,16384,32768}),2))*{2,4,8,16,32,64,128,256,512,1024,2048,4096,8192,16384,32768}),{2,4,8,16,32,64,128,256,512,1024,2048,4096,8192,16384,32768})=0))))</f>
        <v/>
      </c>
      <c r="AM187">
        <f>AL187+IF(AND(AM97&gt;0,COUNTIF($Y97:AL97,AM97)=0),0,IF(SUMPRODUCT(MOD(INT(AM142/{2,4,8,16,32,64,128,256,512,1024,2048,4096,8192,16384,32768}),2)*(1-MOD(INT(($CJ7+AL187)/{2,4,8,16,32,64,128,256,512,1024,2048,4096,8192,16384,32768}),2))*{2,4,8,16,32,64,128,256,512,1024,2048,4096,8192,16384,32768})=0,0,2^SUMPRODUCT(--(MOD(SUMPRODUCT(MOD(INT(AM142/{2,4,8,16,32,64,128,256,512,1024,2048,4096,8192,16384,32768}),2)*(1-MOD(INT(($CJ7+AL187)/{2,4,8,16,32,64,128,256,512,1024,2048,4096,8192,16384,32768}),2))*{2,4,8,16,32,64,128,256,512,1024,2048,4096,8192,16384,32768}),{2,4,8,16,32,64,128,256,512,1024,2048,4096,8192,16384,32768})=0))))</f>
        <v/>
      </c>
      <c r="AN187">
        <f>AM187+IF(AND(AN97&gt;0,COUNTIF($Y97:AM97,AN97)=0),0,IF(SUMPRODUCT(MOD(INT(AN142/{2,4,8,16,32,64,128,256,512,1024,2048,4096,8192,16384,32768}),2)*(1-MOD(INT(($CJ7+AM187)/{2,4,8,16,32,64,128,256,512,1024,2048,4096,8192,16384,32768}),2))*{2,4,8,16,32,64,128,256,512,1024,2048,4096,8192,16384,32768})=0,0,2^SUMPRODUCT(--(MOD(SUMPRODUCT(MOD(INT(AN142/{2,4,8,16,32,64,128,256,512,1024,2048,4096,8192,16384,32768}),2)*(1-MOD(INT(($CJ7+AM187)/{2,4,8,16,32,64,128,256,512,1024,2048,4096,8192,16384,32768}),2))*{2,4,8,16,32,64,128,256,512,1024,2048,4096,8192,16384,32768}),{2,4,8,16,32,64,128,256,512,1024,2048,4096,8192,16384,32768})=0))))</f>
        <v/>
      </c>
      <c r="AO187">
        <f>AN187+IF(AND(AO97&gt;0,COUNTIF($Y97:AN97,AO97)=0),0,IF(SUMPRODUCT(MOD(INT(AO142/{2,4,8,16,32,64,128,256,512,1024,2048,4096,8192,16384,32768}),2)*(1-MOD(INT(($CJ7+AN187)/{2,4,8,16,32,64,128,256,512,1024,2048,4096,8192,16384,32768}),2))*{2,4,8,16,32,64,128,256,512,1024,2048,4096,8192,16384,32768})=0,0,2^SUMPRODUCT(--(MOD(SUMPRODUCT(MOD(INT(AO142/{2,4,8,16,32,64,128,256,512,1024,2048,4096,8192,16384,32768}),2)*(1-MOD(INT(($CJ7+AN187)/{2,4,8,16,32,64,128,256,512,1024,2048,4096,8192,16384,32768}),2))*{2,4,8,16,32,64,128,256,512,1024,2048,4096,8192,16384,32768}),{2,4,8,16,32,64,128,256,512,1024,2048,4096,8192,16384,32768})=0))))</f>
        <v/>
      </c>
      <c r="AP187">
        <f>AO187+IF(AND(AP97&gt;0,COUNTIF($Y97:AO97,AP97)=0),0,IF(SUMPRODUCT(MOD(INT(AP142/{2,4,8,16,32,64,128,256,512,1024,2048,4096,8192,16384,32768}),2)*(1-MOD(INT(($CJ7+AO187)/{2,4,8,16,32,64,128,256,512,1024,2048,4096,8192,16384,32768}),2))*{2,4,8,16,32,64,128,256,512,1024,2048,4096,8192,16384,32768})=0,0,2^SUMPRODUCT(--(MOD(SUMPRODUCT(MOD(INT(AP142/{2,4,8,16,32,64,128,256,512,1024,2048,4096,8192,16384,32768}),2)*(1-MOD(INT(($CJ7+AO187)/{2,4,8,16,32,64,128,256,512,1024,2048,4096,8192,16384,32768}),2))*{2,4,8,16,32,64,128,256,512,1024,2048,4096,8192,16384,32768}),{2,4,8,16,32,64,128,256,512,1024,2048,4096,8192,16384,32768})=0))))</f>
        <v/>
      </c>
      <c r="AQ187">
        <f>AP187+IF(AND(AQ97&gt;0,COUNTIF($Y97:AP97,AQ97)=0),0,IF(SUMPRODUCT(MOD(INT(AQ142/{2,4,8,16,32,64,128,256,512,1024,2048,4096,8192,16384,32768}),2)*(1-MOD(INT(($CJ7+AP187)/{2,4,8,16,32,64,128,256,512,1024,2048,4096,8192,16384,32768}),2))*{2,4,8,16,32,64,128,256,512,1024,2048,4096,8192,16384,32768})=0,0,2^SUMPRODUCT(--(MOD(SUMPRODUCT(MOD(INT(AQ142/{2,4,8,16,32,64,128,256,512,1024,2048,4096,8192,16384,32768}),2)*(1-MOD(INT(($CJ7+AP187)/{2,4,8,16,32,64,128,256,512,1024,2048,4096,8192,16384,32768}),2))*{2,4,8,16,32,64,128,256,512,1024,2048,4096,8192,16384,32768}),{2,4,8,16,32,64,128,256,512,1024,2048,4096,8192,16384,32768})=0))))</f>
        <v/>
      </c>
      <c r="AR187">
        <f>AQ187+IF(AND(AR97&gt;0,COUNTIF($Y97:AQ97,AR97)=0),0,IF(SUMPRODUCT(MOD(INT(AR142/{2,4,8,16,32,64,128,256,512,1024,2048,4096,8192,16384,32768}),2)*(1-MOD(INT(($CJ7+AQ187)/{2,4,8,16,32,64,128,256,512,1024,2048,4096,8192,16384,32768}),2))*{2,4,8,16,32,64,128,256,512,1024,2048,4096,8192,16384,32768})=0,0,2^SUMPRODUCT(--(MOD(SUMPRODUCT(MOD(INT(AR142/{2,4,8,16,32,64,128,256,512,1024,2048,4096,8192,16384,32768}),2)*(1-MOD(INT(($CJ7+AQ187)/{2,4,8,16,32,64,128,256,512,1024,2048,4096,8192,16384,32768}),2))*{2,4,8,16,32,64,128,256,512,1024,2048,4096,8192,16384,32768}),{2,4,8,16,32,64,128,256,512,1024,2048,4096,8192,16384,32768})=0))))</f>
        <v/>
      </c>
      <c r="AS187">
        <f>AR187+IF(AND(AS97&gt;0,COUNTIF($Y97:AR97,AS97)=0),0,IF(SUMPRODUCT(MOD(INT(AS142/{2,4,8,16,32,64,128,256,512,1024,2048,4096,8192,16384,32768}),2)*(1-MOD(INT(($CJ7+AR187)/{2,4,8,16,32,64,128,256,512,1024,2048,4096,8192,16384,32768}),2))*{2,4,8,16,32,64,128,256,512,1024,2048,4096,8192,16384,32768})=0,0,2^SUMPRODUCT(--(MOD(SUMPRODUCT(MOD(INT(AS142/{2,4,8,16,32,64,128,256,512,1024,2048,4096,8192,16384,32768}),2)*(1-MOD(INT(($CJ7+AR187)/{2,4,8,16,32,64,128,256,512,1024,2048,4096,8192,16384,32768}),2))*{2,4,8,16,32,64,128,256,512,1024,2048,4096,8192,16384,32768}),{2,4,8,16,32,64,128,256,512,1024,2048,4096,8192,16384,32768})=0))))</f>
        <v/>
      </c>
      <c r="AT187">
        <f>AS187+IF(AND(AT97&gt;0,COUNTIF($Y97:AS97,AT97)=0),0,IF(SUMPRODUCT(MOD(INT(AT142/{2,4,8,16,32,64,128,256,512,1024,2048,4096,8192,16384,32768}),2)*(1-MOD(INT(($CJ7+AS187)/{2,4,8,16,32,64,128,256,512,1024,2048,4096,8192,16384,32768}),2))*{2,4,8,16,32,64,128,256,512,1024,2048,4096,8192,16384,32768})=0,0,2^SUMPRODUCT(--(MOD(SUMPRODUCT(MOD(INT(AT142/{2,4,8,16,32,64,128,256,512,1024,2048,4096,8192,16384,32768}),2)*(1-MOD(INT(($CJ7+AS187)/{2,4,8,16,32,64,128,256,512,1024,2048,4096,8192,16384,32768}),2))*{2,4,8,16,32,64,128,256,512,1024,2048,4096,8192,16384,32768}),{2,4,8,16,32,64,128,256,512,1024,2048,4096,8192,16384,32768})=0))))</f>
        <v/>
      </c>
      <c r="AU187">
        <f>AT187+IF(AND(AU97&gt;0,COUNTIF($Y97:AT97,AU97)=0),0,IF(SUMPRODUCT(MOD(INT(AU142/{2,4,8,16,32,64,128,256,512,1024,2048,4096,8192,16384,32768}),2)*(1-MOD(INT(($CJ7+AT187)/{2,4,8,16,32,64,128,256,512,1024,2048,4096,8192,16384,32768}),2))*{2,4,8,16,32,64,128,256,512,1024,2048,4096,8192,16384,32768})=0,0,2^SUMPRODUCT(--(MOD(SUMPRODUCT(MOD(INT(AU142/{2,4,8,16,32,64,128,256,512,1024,2048,4096,8192,16384,32768}),2)*(1-MOD(INT(($CJ7+AT187)/{2,4,8,16,32,64,128,256,512,1024,2048,4096,8192,16384,32768}),2))*{2,4,8,16,32,64,128,256,512,1024,2048,4096,8192,16384,32768}),{2,4,8,16,32,64,128,256,512,1024,2048,4096,8192,16384,32768})=0))))</f>
        <v/>
      </c>
      <c r="AV187">
        <f>AU187+IF(AND(AV97&gt;0,COUNTIF($Y97:AU97,AV97)=0),0,IF(SUMPRODUCT(MOD(INT(AV142/{2,4,8,16,32,64,128,256,512,1024,2048,4096,8192,16384,32768}),2)*(1-MOD(INT(($CJ7+AU187)/{2,4,8,16,32,64,128,256,512,1024,2048,4096,8192,16384,32768}),2))*{2,4,8,16,32,64,128,256,512,1024,2048,4096,8192,16384,32768})=0,0,2^SUMPRODUCT(--(MOD(SUMPRODUCT(MOD(INT(AV142/{2,4,8,16,32,64,128,256,512,1024,2048,4096,8192,16384,32768}),2)*(1-MOD(INT(($CJ7+AU187)/{2,4,8,16,32,64,128,256,512,1024,2048,4096,8192,16384,32768}),2))*{2,4,8,16,32,64,128,256,512,1024,2048,4096,8192,16384,32768}),{2,4,8,16,32,64,128,256,512,1024,2048,4096,8192,16384,32768})=0))))</f>
        <v/>
      </c>
      <c r="AW187">
        <f>AV187+IF(AND(AW97&gt;0,COUNTIF($Y97:AV97,AW97)=0),0,IF(SUMPRODUCT(MOD(INT(AW142/{2,4,8,16,32,64,128,256,512,1024,2048,4096,8192,16384,32768}),2)*(1-MOD(INT(($CJ7+AV187)/{2,4,8,16,32,64,128,256,512,1024,2048,4096,8192,16384,32768}),2))*{2,4,8,16,32,64,128,256,512,1024,2048,4096,8192,16384,32768})=0,0,2^SUMPRODUCT(--(MOD(SUMPRODUCT(MOD(INT(AW142/{2,4,8,16,32,64,128,256,512,1024,2048,4096,8192,16384,32768}),2)*(1-MOD(INT(($CJ7+AV187)/{2,4,8,16,32,64,128,256,512,1024,2048,4096,8192,16384,32768}),2))*{2,4,8,16,32,64,128,256,512,1024,2048,4096,8192,16384,32768}),{2,4,8,16,32,64,128,256,512,1024,2048,4096,8192,16384,32768})=0))))</f>
        <v/>
      </c>
      <c r="AX187">
        <f>AW187+IF(AND(AX97&gt;0,COUNTIF($Y97:AW97,AX97)=0),0,IF(SUMPRODUCT(MOD(INT(AX142/{2,4,8,16,32,64,128,256,512,1024,2048,4096,8192,16384,32768}),2)*(1-MOD(INT(($CJ7+AW187)/{2,4,8,16,32,64,128,256,512,1024,2048,4096,8192,16384,32768}),2))*{2,4,8,16,32,64,128,256,512,1024,2048,4096,8192,16384,32768})=0,0,2^SUMPRODUCT(--(MOD(SUMPRODUCT(MOD(INT(AX142/{2,4,8,16,32,64,128,256,512,1024,2048,4096,8192,16384,32768}),2)*(1-MOD(INT(($CJ7+AW187)/{2,4,8,16,32,64,128,256,512,1024,2048,4096,8192,16384,32768}),2))*{2,4,8,16,32,64,128,256,512,1024,2048,4096,8192,16384,32768}),{2,4,8,16,32,64,128,256,512,1024,2048,4096,8192,16384,32768})=0))))</f>
        <v/>
      </c>
      <c r="AY187">
        <f>AX187+IF(AND(AY97&gt;0,COUNTIF($Y97:AX97,AY97)=0),0,IF(SUMPRODUCT(MOD(INT(AY142/{2,4,8,16,32,64,128,256,512,1024,2048,4096,8192,16384,32768}),2)*(1-MOD(INT(($CJ7+AX187)/{2,4,8,16,32,64,128,256,512,1024,2048,4096,8192,16384,32768}),2))*{2,4,8,16,32,64,128,256,512,1024,2048,4096,8192,16384,32768})=0,0,2^SUMPRODUCT(--(MOD(SUMPRODUCT(MOD(INT(AY142/{2,4,8,16,32,64,128,256,512,1024,2048,4096,8192,16384,32768}),2)*(1-MOD(INT(($CJ7+AX187)/{2,4,8,16,32,64,128,256,512,1024,2048,4096,8192,16384,32768}),2))*{2,4,8,16,32,64,128,256,512,1024,2048,4096,8192,16384,32768}),{2,4,8,16,32,64,128,256,512,1024,2048,4096,8192,16384,32768})=0))))</f>
        <v/>
      </c>
      <c r="AZ187">
        <f>AY187+IF(AND(AZ97&gt;0,COUNTIF($Y97:AY97,AZ97)=0),0,IF(SUMPRODUCT(MOD(INT(AZ142/{2,4,8,16,32,64,128,256,512,1024,2048,4096,8192,16384,32768}),2)*(1-MOD(INT(($CJ7+AY187)/{2,4,8,16,32,64,128,256,512,1024,2048,4096,8192,16384,32768}),2))*{2,4,8,16,32,64,128,256,512,1024,2048,4096,8192,16384,32768})=0,0,2^SUMPRODUCT(--(MOD(SUMPRODUCT(MOD(INT(AZ142/{2,4,8,16,32,64,128,256,512,1024,2048,4096,8192,16384,32768}),2)*(1-MOD(INT(($CJ7+AY187)/{2,4,8,16,32,64,128,256,512,1024,2048,4096,8192,16384,32768}),2))*{2,4,8,16,32,64,128,256,512,1024,2048,4096,8192,16384,32768}),{2,4,8,16,32,64,128,256,512,1024,2048,4096,8192,16384,32768})=0))))</f>
        <v/>
      </c>
      <c r="BA187">
        <f>AZ187+IF(AND(BA97&gt;0,COUNTIF($Y97:AZ97,BA97)=0),0,IF(SUMPRODUCT(MOD(INT(BA142/{2,4,8,16,32,64,128,256,512,1024,2048,4096,8192,16384,32768}),2)*(1-MOD(INT(($CJ7+AZ187)/{2,4,8,16,32,64,128,256,512,1024,2048,4096,8192,16384,32768}),2))*{2,4,8,16,32,64,128,256,512,1024,2048,4096,8192,16384,32768})=0,0,2^SUMPRODUCT(--(MOD(SUMPRODUCT(MOD(INT(BA142/{2,4,8,16,32,64,128,256,512,1024,2048,4096,8192,16384,32768}),2)*(1-MOD(INT(($CJ7+AZ187)/{2,4,8,16,32,64,128,256,512,1024,2048,4096,8192,16384,32768}),2))*{2,4,8,16,32,64,128,256,512,1024,2048,4096,8192,16384,32768}),{2,4,8,16,32,64,128,256,512,1024,2048,4096,8192,16384,32768})=0))))</f>
        <v/>
      </c>
      <c r="BB187">
        <f>BA187+IF(AND(BB97&gt;0,COUNTIF($Y97:BA97,BB97)=0),0,IF(SUMPRODUCT(MOD(INT(BB142/{2,4,8,16,32,64,128,256,512,1024,2048,4096,8192,16384,32768}),2)*(1-MOD(INT(($CJ7+BA187)/{2,4,8,16,32,64,128,256,512,1024,2048,4096,8192,16384,32768}),2))*{2,4,8,16,32,64,128,256,512,1024,2048,4096,8192,16384,32768})=0,0,2^SUMPRODUCT(--(MOD(SUMPRODUCT(MOD(INT(BB142/{2,4,8,16,32,64,128,256,512,1024,2048,4096,8192,16384,32768}),2)*(1-MOD(INT(($CJ7+BA187)/{2,4,8,16,32,64,128,256,512,1024,2048,4096,8192,16384,32768}),2))*{2,4,8,16,32,64,128,256,512,1024,2048,4096,8192,16384,32768}),{2,4,8,16,32,64,128,256,512,1024,2048,4096,8192,16384,32768})=0))))</f>
        <v/>
      </c>
      <c r="BC187">
        <f>BB187+IF(AND(BC97&gt;0,COUNTIF($Y97:BB97,BC97)=0),0,IF(SUMPRODUCT(MOD(INT(BC142/{2,4,8,16,32,64,128,256,512,1024,2048,4096,8192,16384,32768}),2)*(1-MOD(INT(($CJ7+BB187)/{2,4,8,16,32,64,128,256,512,1024,2048,4096,8192,16384,32768}),2))*{2,4,8,16,32,64,128,256,512,1024,2048,4096,8192,16384,32768})=0,0,2^SUMPRODUCT(--(MOD(SUMPRODUCT(MOD(INT(BC142/{2,4,8,16,32,64,128,256,512,1024,2048,4096,8192,16384,32768}),2)*(1-MOD(INT(($CJ7+BB187)/{2,4,8,16,32,64,128,256,512,1024,2048,4096,8192,16384,32768}),2))*{2,4,8,16,32,64,128,256,512,1024,2048,4096,8192,16384,32768}),{2,4,8,16,32,64,128,256,512,1024,2048,4096,8192,16384,32768})=0))))</f>
        <v/>
      </c>
      <c r="BD187">
        <f>BC187+IF(AND(BD97&gt;0,COUNTIF($Y97:BC97,BD97)=0),0,IF(SUMPRODUCT(MOD(INT(BD142/{2,4,8,16,32,64,128,256,512,1024,2048,4096,8192,16384,32768}),2)*(1-MOD(INT(($CJ7+BC187)/{2,4,8,16,32,64,128,256,512,1024,2048,4096,8192,16384,32768}),2))*{2,4,8,16,32,64,128,256,512,1024,2048,4096,8192,16384,32768})=0,0,2^SUMPRODUCT(--(MOD(SUMPRODUCT(MOD(INT(BD142/{2,4,8,16,32,64,128,256,512,1024,2048,4096,8192,16384,32768}),2)*(1-MOD(INT(($CJ7+BC187)/{2,4,8,16,32,64,128,256,512,1024,2048,4096,8192,16384,32768}),2))*{2,4,8,16,32,64,128,256,512,1024,2048,4096,8192,16384,32768}),{2,4,8,16,32,64,128,256,512,1024,2048,4096,8192,16384,32768})=0))))</f>
        <v/>
      </c>
      <c r="BE187">
        <f>BD187+IF(AND(BE97&gt;0,COUNTIF($Y97:BD97,BE97)=0),0,IF(SUMPRODUCT(MOD(INT(BE142/{2,4,8,16,32,64,128,256,512,1024,2048,4096,8192,16384,32768}),2)*(1-MOD(INT(($CJ7+BD187)/{2,4,8,16,32,64,128,256,512,1024,2048,4096,8192,16384,32768}),2))*{2,4,8,16,32,64,128,256,512,1024,2048,4096,8192,16384,32768})=0,0,2^SUMPRODUCT(--(MOD(SUMPRODUCT(MOD(INT(BE142/{2,4,8,16,32,64,128,256,512,1024,2048,4096,8192,16384,32768}),2)*(1-MOD(INT(($CJ7+BD187)/{2,4,8,16,32,64,128,256,512,1024,2048,4096,8192,16384,32768}),2))*{2,4,8,16,32,64,128,256,512,1024,2048,4096,8192,16384,32768}),{2,4,8,16,32,64,128,256,512,1024,2048,4096,8192,16384,32768})=0))))</f>
        <v/>
      </c>
      <c r="BF187">
        <f>BE187+IF(AND(BF97&gt;0,COUNTIF($Y97:BE97,BF97)=0),0,IF(SUMPRODUCT(MOD(INT(BF142/{2,4,8,16,32,64,128,256,512,1024,2048,4096,8192,16384,32768}),2)*(1-MOD(INT(($CJ7+BE187)/{2,4,8,16,32,64,128,256,512,1024,2048,4096,8192,16384,32768}),2))*{2,4,8,16,32,64,128,256,512,1024,2048,4096,8192,16384,32768})=0,0,2^SUMPRODUCT(--(MOD(SUMPRODUCT(MOD(INT(BF142/{2,4,8,16,32,64,128,256,512,1024,2048,4096,8192,16384,32768}),2)*(1-MOD(INT(($CJ7+BE187)/{2,4,8,16,32,64,128,256,512,1024,2048,4096,8192,16384,32768}),2))*{2,4,8,16,32,64,128,256,512,1024,2048,4096,8192,16384,32768}),{2,4,8,16,32,64,128,256,512,1024,2048,4096,8192,16384,32768})=0))))</f>
        <v/>
      </c>
      <c r="BG187">
        <f>BF187+IF(AND(BG97&gt;0,COUNTIF($Y97:BF97,BG97)=0),0,IF(SUMPRODUCT(MOD(INT(BG142/{2,4,8,16,32,64,128,256,512,1024,2048,4096,8192,16384,32768}),2)*(1-MOD(INT(($CJ7+BF187)/{2,4,8,16,32,64,128,256,512,1024,2048,4096,8192,16384,32768}),2))*{2,4,8,16,32,64,128,256,512,1024,2048,4096,8192,16384,32768})=0,0,2^SUMPRODUCT(--(MOD(SUMPRODUCT(MOD(INT(BG142/{2,4,8,16,32,64,128,256,512,1024,2048,4096,8192,16384,32768}),2)*(1-MOD(INT(($CJ7+BF187)/{2,4,8,16,32,64,128,256,512,1024,2048,4096,8192,16384,32768}),2))*{2,4,8,16,32,64,128,256,512,1024,2048,4096,8192,16384,32768}),{2,4,8,16,32,64,128,256,512,1024,2048,4096,8192,16384,32768})=0))))</f>
        <v/>
      </c>
      <c r="BH187">
        <f>BG187+IF(AND(BH97&gt;0,COUNTIF($Y97:BG97,BH97)=0),0,IF(SUMPRODUCT(MOD(INT(BH142/{2,4,8,16,32,64,128,256,512,1024,2048,4096,8192,16384,32768}),2)*(1-MOD(INT(($CJ7+BG187)/{2,4,8,16,32,64,128,256,512,1024,2048,4096,8192,16384,32768}),2))*{2,4,8,16,32,64,128,256,512,1024,2048,4096,8192,16384,32768})=0,0,2^SUMPRODUCT(--(MOD(SUMPRODUCT(MOD(INT(BH142/{2,4,8,16,32,64,128,256,512,1024,2048,4096,8192,16384,32768}),2)*(1-MOD(INT(($CJ7+BG187)/{2,4,8,16,32,64,128,256,512,1024,2048,4096,8192,16384,32768}),2))*{2,4,8,16,32,64,128,256,512,1024,2048,4096,8192,16384,32768}),{2,4,8,16,32,64,128,256,512,1024,2048,4096,8192,16384,32768})=0))))</f>
        <v/>
      </c>
      <c r="BI187">
        <f>BH187+IF(AND(BI97&gt;0,COUNTIF($Y97:BH97,BI97)=0),0,IF(SUMPRODUCT(MOD(INT(BI142/{2,4,8,16,32,64,128,256,512,1024,2048,4096,8192,16384,32768}),2)*(1-MOD(INT(($CJ7+BH187)/{2,4,8,16,32,64,128,256,512,1024,2048,4096,8192,16384,32768}),2))*{2,4,8,16,32,64,128,256,512,1024,2048,4096,8192,16384,32768})=0,0,2^SUMPRODUCT(--(MOD(SUMPRODUCT(MOD(INT(BI142/{2,4,8,16,32,64,128,256,512,1024,2048,4096,8192,16384,32768}),2)*(1-MOD(INT(($CJ7+BH187)/{2,4,8,16,32,64,128,256,512,1024,2048,4096,8192,16384,32768}),2))*{2,4,8,16,32,64,128,256,512,1024,2048,4096,8192,16384,32768}),{2,4,8,16,32,64,128,256,512,1024,2048,4096,8192,16384,32768})=0))))</f>
        <v/>
      </c>
      <c r="BJ187">
        <f>BI187+IF(AND(BJ97&gt;0,COUNTIF($Y97:BI97,BJ97)=0),0,IF(SUMPRODUCT(MOD(INT(BJ142/{2,4,8,16,32,64,128,256,512,1024,2048,4096,8192,16384,32768}),2)*(1-MOD(INT(($CJ7+BI187)/{2,4,8,16,32,64,128,256,512,1024,2048,4096,8192,16384,32768}),2))*{2,4,8,16,32,64,128,256,512,1024,2048,4096,8192,16384,32768})=0,0,2^SUMPRODUCT(--(MOD(SUMPRODUCT(MOD(INT(BJ142/{2,4,8,16,32,64,128,256,512,1024,2048,4096,8192,16384,32768}),2)*(1-MOD(INT(($CJ7+BI187)/{2,4,8,16,32,64,128,256,512,1024,2048,4096,8192,16384,32768}),2))*{2,4,8,16,32,64,128,256,512,1024,2048,4096,8192,16384,32768}),{2,4,8,16,32,64,128,256,512,1024,2048,4096,8192,16384,32768})=0))))</f>
        <v/>
      </c>
      <c r="BK187">
        <f>BJ187+IF(AND(BK97&gt;0,COUNTIF($Y97:BJ97,BK97)=0),0,IF(SUMPRODUCT(MOD(INT(BK142/{2,4,8,16,32,64,128,256,512,1024,2048,4096,8192,16384,32768}),2)*(1-MOD(INT(($CJ7+BJ187)/{2,4,8,16,32,64,128,256,512,1024,2048,4096,8192,16384,32768}),2))*{2,4,8,16,32,64,128,256,512,1024,2048,4096,8192,16384,32768})=0,0,2^SUMPRODUCT(--(MOD(SUMPRODUCT(MOD(INT(BK142/{2,4,8,16,32,64,128,256,512,1024,2048,4096,8192,16384,32768}),2)*(1-MOD(INT(($CJ7+BJ187)/{2,4,8,16,32,64,128,256,512,1024,2048,4096,8192,16384,32768}),2))*{2,4,8,16,32,64,128,256,512,1024,2048,4096,8192,16384,32768}),{2,4,8,16,32,64,128,256,512,1024,2048,4096,8192,16384,32768})=0))))</f>
        <v/>
      </c>
      <c r="BL187">
        <f>BK187+IF(AND(BL97&gt;0,COUNTIF($Y97:BK97,BL97)=0),0,IF(SUMPRODUCT(MOD(INT(BL142/{2,4,8,16,32,64,128,256,512,1024,2048,4096,8192,16384,32768}),2)*(1-MOD(INT(($CJ7+BK187)/{2,4,8,16,32,64,128,256,512,1024,2048,4096,8192,16384,32768}),2))*{2,4,8,16,32,64,128,256,512,1024,2048,4096,8192,16384,32768})=0,0,2^SUMPRODUCT(--(MOD(SUMPRODUCT(MOD(INT(BL142/{2,4,8,16,32,64,128,256,512,1024,2048,4096,8192,16384,32768}),2)*(1-MOD(INT(($CJ7+BK187)/{2,4,8,16,32,64,128,256,512,1024,2048,4096,8192,16384,32768}),2))*{2,4,8,16,32,64,128,256,512,1024,2048,4096,8192,16384,32768}),{2,4,8,16,32,64,128,256,512,1024,2048,4096,8192,16384,32768})=0))))</f>
        <v/>
      </c>
      <c r="BM187">
        <f>BL187+IF(AND(BM97&gt;0,COUNTIF($Y97:BL97,BM97)=0),0,IF(SUMPRODUCT(MOD(INT(BM142/{2,4,8,16,32,64,128,256,512,1024,2048,4096,8192,16384,32768}),2)*(1-MOD(INT(($CJ7+BL187)/{2,4,8,16,32,64,128,256,512,1024,2048,4096,8192,16384,32768}),2))*{2,4,8,16,32,64,128,256,512,1024,2048,4096,8192,16384,32768})=0,0,2^SUMPRODUCT(--(MOD(SUMPRODUCT(MOD(INT(BM142/{2,4,8,16,32,64,128,256,512,1024,2048,4096,8192,16384,32768}),2)*(1-MOD(INT(($CJ7+BL187)/{2,4,8,16,32,64,128,256,512,1024,2048,4096,8192,16384,32768}),2))*{2,4,8,16,32,64,128,256,512,1024,2048,4096,8192,16384,32768}),{2,4,8,16,32,64,128,256,512,1024,2048,4096,8192,16384,32768})=0))))</f>
        <v/>
      </c>
      <c r="BN187">
        <f>BM187+IF(AND(BN97&gt;0,COUNTIF($Y97:BM97,BN97)=0),0,IF(SUMPRODUCT(MOD(INT(BN142/{2,4,8,16,32,64,128,256,512,1024,2048,4096,8192,16384,32768}),2)*(1-MOD(INT(($CJ7+BM187)/{2,4,8,16,32,64,128,256,512,1024,2048,4096,8192,16384,32768}),2))*{2,4,8,16,32,64,128,256,512,1024,2048,4096,8192,16384,32768})=0,0,2^SUMPRODUCT(--(MOD(SUMPRODUCT(MOD(INT(BN142/{2,4,8,16,32,64,128,256,512,1024,2048,4096,8192,16384,32768}),2)*(1-MOD(INT(($CJ7+BM187)/{2,4,8,16,32,64,128,256,512,1024,2048,4096,8192,16384,32768}),2))*{2,4,8,16,32,64,128,256,512,1024,2048,4096,8192,16384,32768}),{2,4,8,16,32,64,128,256,512,1024,2048,4096,8192,16384,32768})=0))))</f>
        <v/>
      </c>
      <c r="BO187">
        <f>BN187+IF(AND(BO97&gt;0,COUNTIF($Y97:BN97,BO97)=0),0,IF(SUMPRODUCT(MOD(INT(BO142/{2,4,8,16,32,64,128,256,512,1024,2048,4096,8192,16384,32768}),2)*(1-MOD(INT(($CJ7+BN187)/{2,4,8,16,32,64,128,256,512,1024,2048,4096,8192,16384,32768}),2))*{2,4,8,16,32,64,128,256,512,1024,2048,4096,8192,16384,32768})=0,0,2^SUMPRODUCT(--(MOD(SUMPRODUCT(MOD(INT(BO142/{2,4,8,16,32,64,128,256,512,1024,2048,4096,8192,16384,32768}),2)*(1-MOD(INT(($CJ7+BN187)/{2,4,8,16,32,64,128,256,512,1024,2048,4096,8192,16384,32768}),2))*{2,4,8,16,32,64,128,256,512,1024,2048,4096,8192,16384,32768}),{2,4,8,16,32,64,128,256,512,1024,2048,4096,8192,16384,32768})=0))))</f>
        <v/>
      </c>
      <c r="BP187">
        <f>BO187+IF(AND(BP97&gt;0,COUNTIF($Y97:BO97,BP97)=0),0,IF(SUMPRODUCT(MOD(INT(BP142/{2,4,8,16,32,64,128,256,512,1024,2048,4096,8192,16384,32768}),2)*(1-MOD(INT(($CJ7+BO187)/{2,4,8,16,32,64,128,256,512,1024,2048,4096,8192,16384,32768}),2))*{2,4,8,16,32,64,128,256,512,1024,2048,4096,8192,16384,32768})=0,0,2^SUMPRODUCT(--(MOD(SUMPRODUCT(MOD(INT(BP142/{2,4,8,16,32,64,128,256,512,1024,2048,4096,8192,16384,32768}),2)*(1-MOD(INT(($CJ7+BO187)/{2,4,8,16,32,64,128,256,512,1024,2048,4096,8192,16384,32768}),2))*{2,4,8,16,32,64,128,256,512,1024,2048,4096,8192,16384,32768}),{2,4,8,16,32,64,128,256,512,1024,2048,4096,8192,16384,32768})=0))))</f>
        <v/>
      </c>
      <c r="BQ187">
        <f>BP187+IF(AND(BQ97&gt;0,COUNTIF($Y97:BP97,BQ97)=0),0,IF(SUMPRODUCT(MOD(INT(BQ142/{2,4,8,16,32,64,128,256,512,1024,2048,4096,8192,16384,32768}),2)*(1-MOD(INT(($CJ7+BP187)/{2,4,8,16,32,64,128,256,512,1024,2048,4096,8192,16384,32768}),2))*{2,4,8,16,32,64,128,256,512,1024,2048,4096,8192,16384,32768})=0,0,2^SUMPRODUCT(--(MOD(SUMPRODUCT(MOD(INT(BQ142/{2,4,8,16,32,64,128,256,512,1024,2048,4096,8192,16384,32768}),2)*(1-MOD(INT(($CJ7+BP187)/{2,4,8,16,32,64,128,256,512,1024,2048,4096,8192,16384,32768}),2))*{2,4,8,16,32,64,128,256,512,1024,2048,4096,8192,16384,32768}),{2,4,8,16,32,64,128,256,512,1024,2048,4096,8192,16384,32768})=0))))</f>
        <v/>
      </c>
      <c r="BR187">
        <f>BQ187+IF(AND(BR97&gt;0,COUNTIF($Y97:BQ97,BR97)=0),0,IF(SUMPRODUCT(MOD(INT(BR142/{2,4,8,16,32,64,128,256,512,1024,2048,4096,8192,16384,32768}),2)*(1-MOD(INT(($CJ7+BQ187)/{2,4,8,16,32,64,128,256,512,1024,2048,4096,8192,16384,32768}),2))*{2,4,8,16,32,64,128,256,512,1024,2048,4096,8192,16384,32768})=0,0,2^SUMPRODUCT(--(MOD(SUMPRODUCT(MOD(INT(BR142/{2,4,8,16,32,64,128,256,512,1024,2048,4096,8192,16384,32768}),2)*(1-MOD(INT(($CJ7+BQ187)/{2,4,8,16,32,64,128,256,512,1024,2048,4096,8192,16384,32768}),2))*{2,4,8,16,32,64,128,256,512,1024,2048,4096,8192,16384,32768}),{2,4,8,16,32,64,128,256,512,1024,2048,4096,8192,16384,32768})=0))))</f>
        <v/>
      </c>
      <c r="BS187">
        <f>BR187+IF(AND(BS97&gt;0,COUNTIF($Y97:BR97,BS97)=0),0,IF(SUMPRODUCT(MOD(INT(BS142/{2,4,8,16,32,64,128,256,512,1024,2048,4096,8192,16384,32768}),2)*(1-MOD(INT(($CJ7+BR187)/{2,4,8,16,32,64,128,256,512,1024,2048,4096,8192,16384,32768}),2))*{2,4,8,16,32,64,128,256,512,1024,2048,4096,8192,16384,32768})=0,0,2^SUMPRODUCT(--(MOD(SUMPRODUCT(MOD(INT(BS142/{2,4,8,16,32,64,128,256,512,1024,2048,4096,8192,16384,32768}),2)*(1-MOD(INT(($CJ7+BR187)/{2,4,8,16,32,64,128,256,512,1024,2048,4096,8192,16384,32768}),2))*{2,4,8,16,32,64,128,256,512,1024,2048,4096,8192,16384,32768}),{2,4,8,16,32,64,128,256,512,1024,2048,4096,8192,16384,32768})=0))))</f>
        <v/>
      </c>
      <c r="BT187">
        <f>BS187+IF(AND(BT97&gt;0,COUNTIF($Y97:BS97,BT97)=0),0,IF(SUMPRODUCT(MOD(INT(BT142/{2,4,8,16,32,64,128,256,512,1024,2048,4096,8192,16384,32768}),2)*(1-MOD(INT(($CJ7+BS187)/{2,4,8,16,32,64,128,256,512,1024,2048,4096,8192,16384,32768}),2))*{2,4,8,16,32,64,128,256,512,1024,2048,4096,8192,16384,32768})=0,0,2^SUMPRODUCT(--(MOD(SUMPRODUCT(MOD(INT(BT142/{2,4,8,16,32,64,128,256,512,1024,2048,4096,8192,16384,32768}),2)*(1-MOD(INT(($CJ7+BS187)/{2,4,8,16,32,64,128,256,512,1024,2048,4096,8192,16384,32768}),2))*{2,4,8,16,32,64,128,256,512,1024,2048,4096,8192,16384,32768}),{2,4,8,16,32,64,128,256,512,1024,2048,4096,8192,16384,32768})=0))))</f>
        <v/>
      </c>
      <c r="BU187">
        <f>BT187+IF(AND(BU97&gt;0,COUNTIF($Y97:BT97,BU97)=0),0,IF(SUMPRODUCT(MOD(INT(BU142/{2,4,8,16,32,64,128,256,512,1024,2048,4096,8192,16384,32768}),2)*(1-MOD(INT(($CJ7+BT187)/{2,4,8,16,32,64,128,256,512,1024,2048,4096,8192,16384,32768}),2))*{2,4,8,16,32,64,128,256,512,1024,2048,4096,8192,16384,32768})=0,0,2^SUMPRODUCT(--(MOD(SUMPRODUCT(MOD(INT(BU142/{2,4,8,16,32,64,128,256,512,1024,2048,4096,8192,16384,32768}),2)*(1-MOD(INT(($CJ7+BT187)/{2,4,8,16,32,64,128,256,512,1024,2048,4096,8192,16384,32768}),2))*{2,4,8,16,32,64,128,256,512,1024,2048,4096,8192,16384,32768}),{2,4,8,16,32,64,128,256,512,1024,2048,4096,8192,16384,32768})=0))))</f>
        <v/>
      </c>
      <c r="BV187">
        <f>BU187+IF(AND(BV97&gt;0,COUNTIF($Y97:BU97,BV97)=0),0,IF(SUMPRODUCT(MOD(INT(BV142/{2,4,8,16,32,64,128,256,512,1024,2048,4096,8192,16384,32768}),2)*(1-MOD(INT(($CJ7+BU187)/{2,4,8,16,32,64,128,256,512,1024,2048,4096,8192,16384,32768}),2))*{2,4,8,16,32,64,128,256,512,1024,2048,4096,8192,16384,32768})=0,0,2^SUMPRODUCT(--(MOD(SUMPRODUCT(MOD(INT(BV142/{2,4,8,16,32,64,128,256,512,1024,2048,4096,8192,16384,32768}),2)*(1-MOD(INT(($CJ7+BU187)/{2,4,8,16,32,64,128,256,512,1024,2048,4096,8192,16384,32768}),2))*{2,4,8,16,32,64,128,256,512,1024,2048,4096,8192,16384,32768}),{2,4,8,16,32,64,128,256,512,1024,2048,4096,8192,16384,32768})=0))))</f>
        <v/>
      </c>
      <c r="BW187">
        <f>BV187+IF(AND(BW97&gt;0,COUNTIF($Y97:BV97,BW97)=0),0,IF(SUMPRODUCT(MOD(INT(BW142/{2,4,8,16,32,64,128,256,512,1024,2048,4096,8192,16384,32768}),2)*(1-MOD(INT(($CJ7+BV187)/{2,4,8,16,32,64,128,256,512,1024,2048,4096,8192,16384,32768}),2))*{2,4,8,16,32,64,128,256,512,1024,2048,4096,8192,16384,32768})=0,0,2^SUMPRODUCT(--(MOD(SUMPRODUCT(MOD(INT(BW142/{2,4,8,16,32,64,128,256,512,1024,2048,4096,8192,16384,32768}),2)*(1-MOD(INT(($CJ7+BV187)/{2,4,8,16,32,64,128,256,512,1024,2048,4096,8192,16384,32768}),2))*{2,4,8,16,32,64,128,256,512,1024,2048,4096,8192,16384,32768}),{2,4,8,16,32,64,128,256,512,1024,2048,4096,8192,16384,32768})=0))))</f>
        <v/>
      </c>
      <c r="BX187">
        <f>BW187+IF(AND(BX97&gt;0,COUNTIF($Y97:BW97,BX97)=0),0,IF(SUMPRODUCT(MOD(INT(BX142/{2,4,8,16,32,64,128,256,512,1024,2048,4096,8192,16384,32768}),2)*(1-MOD(INT(($CJ7+BW187)/{2,4,8,16,32,64,128,256,512,1024,2048,4096,8192,16384,32768}),2))*{2,4,8,16,32,64,128,256,512,1024,2048,4096,8192,16384,32768})=0,0,2^SUMPRODUCT(--(MOD(SUMPRODUCT(MOD(INT(BX142/{2,4,8,16,32,64,128,256,512,1024,2048,4096,8192,16384,32768}),2)*(1-MOD(INT(($CJ7+BW187)/{2,4,8,16,32,64,128,256,512,1024,2048,4096,8192,16384,32768}),2))*{2,4,8,16,32,64,128,256,512,1024,2048,4096,8192,16384,32768}),{2,4,8,16,32,64,128,256,512,1024,2048,4096,8192,16384,32768})=0))))</f>
        <v/>
      </c>
      <c r="BY187">
        <f>BX187+IF(AND(BY97&gt;0,COUNTIF($Y97:BX97,BY97)=0),0,IF(SUMPRODUCT(MOD(INT(BY142/{2,4,8,16,32,64,128,256,512,1024,2048,4096,8192,16384,32768}),2)*(1-MOD(INT(($CJ7+BX187)/{2,4,8,16,32,64,128,256,512,1024,2048,4096,8192,16384,32768}),2))*{2,4,8,16,32,64,128,256,512,1024,2048,4096,8192,16384,32768})=0,0,2^SUMPRODUCT(--(MOD(SUMPRODUCT(MOD(INT(BY142/{2,4,8,16,32,64,128,256,512,1024,2048,4096,8192,16384,32768}),2)*(1-MOD(INT(($CJ7+BX187)/{2,4,8,16,32,64,128,256,512,1024,2048,4096,8192,16384,32768}),2))*{2,4,8,16,32,64,128,256,512,1024,2048,4096,8192,16384,32768}),{2,4,8,16,32,64,128,256,512,1024,2048,4096,8192,16384,32768})=0))))</f>
        <v/>
      </c>
      <c r="BZ187">
        <f>BY187+IF(AND(BZ97&gt;0,COUNTIF($Y97:BY97,BZ97)=0),0,IF(SUMPRODUCT(MOD(INT(BZ142/{2,4,8,16,32,64,128,256,512,1024,2048,4096,8192,16384,32768}),2)*(1-MOD(INT(($CJ7+BY187)/{2,4,8,16,32,64,128,256,512,1024,2048,4096,8192,16384,32768}),2))*{2,4,8,16,32,64,128,256,512,1024,2048,4096,8192,16384,32768})=0,0,2^SUMPRODUCT(--(MOD(SUMPRODUCT(MOD(INT(BZ142/{2,4,8,16,32,64,128,256,512,1024,2048,4096,8192,16384,32768}),2)*(1-MOD(INT(($CJ7+BY187)/{2,4,8,16,32,64,128,256,512,1024,2048,4096,8192,16384,32768}),2))*{2,4,8,16,32,64,128,256,512,1024,2048,4096,8192,16384,32768}),{2,4,8,16,32,64,128,256,512,1024,2048,4096,8192,16384,32768})=0))))</f>
        <v/>
      </c>
      <c r="CA187">
        <f>BZ187+IF(AND(CA97&gt;0,COUNTIF($Y97:BZ97,CA97)=0),0,IF(SUMPRODUCT(MOD(INT(CA142/{2,4,8,16,32,64,128,256,512,1024,2048,4096,8192,16384,32768}),2)*(1-MOD(INT(($CJ7+BZ187)/{2,4,8,16,32,64,128,256,512,1024,2048,4096,8192,16384,32768}),2))*{2,4,8,16,32,64,128,256,512,1024,2048,4096,8192,16384,32768})=0,0,2^SUMPRODUCT(--(MOD(SUMPRODUCT(MOD(INT(CA142/{2,4,8,16,32,64,128,256,512,1024,2048,4096,8192,16384,32768}),2)*(1-MOD(INT(($CJ7+BZ187)/{2,4,8,16,32,64,128,256,512,1024,2048,4096,8192,16384,32768}),2))*{2,4,8,16,32,64,128,256,512,1024,2048,4096,8192,16384,32768}),{2,4,8,16,32,64,128,256,512,1024,2048,4096,8192,16384,32768})=0))))</f>
        <v/>
      </c>
      <c r="CB187">
        <f>CA187+IF(AND(CB97&gt;0,COUNTIF($Y97:CA97,CB97)=0),0,IF(SUMPRODUCT(MOD(INT(CB142/{2,4,8,16,32,64,128,256,512,1024,2048,4096,8192,16384,32768}),2)*(1-MOD(INT(($CJ7+CA187)/{2,4,8,16,32,64,128,256,512,1024,2048,4096,8192,16384,32768}),2))*{2,4,8,16,32,64,128,256,512,1024,2048,4096,8192,16384,32768})=0,0,2^SUMPRODUCT(--(MOD(SUMPRODUCT(MOD(INT(CB142/{2,4,8,16,32,64,128,256,512,1024,2048,4096,8192,16384,32768}),2)*(1-MOD(INT(($CJ7+CA187)/{2,4,8,16,32,64,128,256,512,1024,2048,4096,8192,16384,32768}),2))*{2,4,8,16,32,64,128,256,512,1024,2048,4096,8192,16384,32768}),{2,4,8,16,32,64,128,256,512,1024,2048,4096,8192,16384,32768})=0))))</f>
        <v/>
      </c>
      <c r="CC187">
        <f>CB187+IF(AND(CC97&gt;0,COUNTIF($Y97:CB97,CC97)=0),0,IF(SUMPRODUCT(MOD(INT(CC142/{2,4,8,16,32,64,128,256,512,1024,2048,4096,8192,16384,32768}),2)*(1-MOD(INT(($CJ7+CB187)/{2,4,8,16,32,64,128,256,512,1024,2048,4096,8192,16384,32768}),2))*{2,4,8,16,32,64,128,256,512,1024,2048,4096,8192,16384,32768})=0,0,2^SUMPRODUCT(--(MOD(SUMPRODUCT(MOD(INT(CC142/{2,4,8,16,32,64,128,256,512,1024,2048,4096,8192,16384,32768}),2)*(1-MOD(INT(($CJ7+CB187)/{2,4,8,16,32,64,128,256,512,1024,2048,4096,8192,16384,32768}),2))*{2,4,8,16,32,64,128,256,512,1024,2048,4096,8192,16384,32768}),{2,4,8,16,32,64,128,256,512,1024,2048,4096,8192,16384,32768})=0))))</f>
        <v/>
      </c>
      <c r="CD187">
        <f>CC187+IF(AND(CD97&gt;0,COUNTIF($Y97:CC97,CD97)=0),0,IF(SUMPRODUCT(MOD(INT(CD142/{2,4,8,16,32,64,128,256,512,1024,2048,4096,8192,16384,32768}),2)*(1-MOD(INT(($CJ7+CC187)/{2,4,8,16,32,64,128,256,512,1024,2048,4096,8192,16384,32768}),2))*{2,4,8,16,32,64,128,256,512,1024,2048,4096,8192,16384,32768})=0,0,2^SUMPRODUCT(--(MOD(SUMPRODUCT(MOD(INT(CD142/{2,4,8,16,32,64,128,256,512,1024,2048,4096,8192,16384,32768}),2)*(1-MOD(INT(($CJ7+CC187)/{2,4,8,16,32,64,128,256,512,1024,2048,4096,8192,16384,32768}),2))*{2,4,8,16,32,64,128,256,512,1024,2048,4096,8192,16384,32768}),{2,4,8,16,32,64,128,256,512,1024,2048,4096,8192,16384,32768})=0))))</f>
        <v/>
      </c>
      <c r="CE187">
        <f>CD187+IF(AND(CE97&gt;0,COUNTIF($Y97:CD97,CE97)=0),0,IF(SUMPRODUCT(MOD(INT(CE142/{2,4,8,16,32,64,128,256,512,1024,2048,4096,8192,16384,32768}),2)*(1-MOD(INT(($CJ7+CD187)/{2,4,8,16,32,64,128,256,512,1024,2048,4096,8192,16384,32768}),2))*{2,4,8,16,32,64,128,256,512,1024,2048,4096,8192,16384,32768})=0,0,2^SUMPRODUCT(--(MOD(SUMPRODUCT(MOD(INT(CE142/{2,4,8,16,32,64,128,256,512,1024,2048,4096,8192,16384,32768}),2)*(1-MOD(INT(($CJ7+CD187)/{2,4,8,16,32,64,128,256,512,1024,2048,4096,8192,16384,32768}),2))*{2,4,8,16,32,64,128,256,512,1024,2048,4096,8192,16384,32768}),{2,4,8,16,32,64,128,256,512,1024,2048,4096,8192,16384,32768})=0))))</f>
        <v/>
      </c>
      <c r="CF187">
        <f>CE187+IF(AND(CF97&gt;0,COUNTIF($Y97:CE97,CF97)=0),0,IF(SUMPRODUCT(MOD(INT(CF142/{2,4,8,16,32,64,128,256,512,1024,2048,4096,8192,16384,32768}),2)*(1-MOD(INT(($CJ7+CE187)/{2,4,8,16,32,64,128,256,512,1024,2048,4096,8192,16384,32768}),2))*{2,4,8,16,32,64,128,256,512,1024,2048,4096,8192,16384,32768})=0,0,2^SUMPRODUCT(--(MOD(SUMPRODUCT(MOD(INT(CF142/{2,4,8,16,32,64,128,256,512,1024,2048,4096,8192,16384,32768}),2)*(1-MOD(INT(($CJ7+CE187)/{2,4,8,16,32,64,128,256,512,1024,2048,4096,8192,16384,32768}),2))*{2,4,8,16,32,64,128,256,512,1024,2048,4096,8192,16384,32768}),{2,4,8,16,32,64,128,256,512,1024,2048,4096,8192,16384,32768})=0))))</f>
        <v/>
      </c>
      <c r="DA187" t="n">
        <v>183</v>
      </c>
      <c r="DB187">
        <f>IF($B$37=0,"",IFERROR(TRIM(SUBSTITUTE(SUBSTITUTE(SUBSTITUTE(SUBSTITUTE(INDEX(PASTE_ALL,183,$B$37)," "," "),CHAR(9)," "),CHAR(10)," "),CHAR(13)," ")),""))</f>
        <v/>
      </c>
      <c r="DC187">
        <f>IF(AND(183&gt;HEADER_ROW,UPPER(DB187)="LEGEND"),1,0)</f>
        <v/>
      </c>
      <c r="DE187" t="n">
        <v>183</v>
      </c>
      <c r="DF187">
        <f>HEADER_ROW+$DE187</f>
        <v/>
      </c>
      <c r="DG187">
        <f>IF(AND($DF187&lt;=1000,$DF187&lt;$B$8),1,0)</f>
        <v/>
      </c>
      <c r="DH187">
        <f>IF($DG187=1,IFERROR(INDEX($DB$5:$DB$1004,$DF187),""),"")</f>
        <v/>
      </c>
      <c r="DI187">
        <f>IF(AND($DG187=1,$DH187&lt;&gt;""),IFERROR(SUBSTITUTE(SUBSTITUTE(TRIM(SUBSTITUTE(SUBSTITUTE(SUBSTITUTE(SUBSTITUTE(IFERROR(INDEX(PASTE_ALL,$DF187,1)&amp;"","")&amp;"␟"&amp;IFERROR(INDEX(PASTE_ALL,$DF187,2)&amp;"","")&amp;"␟"&amp;IFERROR(INDEX(PASTE_ALL,$DF187,3)&amp;"","")&amp;"␟"&amp;IFERROR(INDEX(PASTE_ALL,$DF187,4)&amp;"","")&amp;"␟"&amp;IFERROR(INDEX(PASTE_ALL,$DF187,5)&amp;"","")&amp;"␟"&amp;IFERROR(INDEX(PASTE_ALL,$DF187,6)&amp;"","")&amp;"␟"&amp;IFERROR(INDEX(PASTE_ALL,$DF187,7)&amp;"","")&amp;"␟"&amp;IFERROR(INDEX(PASTE_ALL,$DF187,8)&amp;"","")&amp;"␟"&amp;IFERROR(INDEX(PASTE_ALL,$DF187,9)&amp;"","")&amp;"␟"&amp;IFERROR(INDEX(PASTE_ALL,$DF187,10)&amp;"","")&amp;"␟"&amp;IFERROR(INDEX(PASTE_ALL,$DF187,11)&amp;"","")&amp;"␟"&amp;IFERROR(INDEX(PASTE_ALL,$DF187,12)&amp;"","")&amp;"␟"&amp;IFERROR(INDEX(PASTE_ALL,$DF187,13)&amp;"","")&amp;"␟"&amp;IFERROR(INDEX(PASTE_ALL,$DF187,14)&amp;"","")&amp;"␟"&amp;IFERROR(INDEX(PASTE_ALL,$DF187,15)&amp;"","")&amp;"␟"&amp;IFERROR(INDEX(PASTE_ALL,$DF187,16)&amp;"","")&amp;"␟"&amp;IFERROR(INDEX(PASTE_ALL,$DF187,17)&amp;"","")&amp;"␟"&amp;IFERROR(INDEX(PASTE_ALL,$DF187,18)&amp;"","")&amp;"␟"&amp;IFERROR(INDEX(PASTE_ALL,$DF187,19)&amp;"","")&amp;"␟"&amp;IFERROR(INDEX(PASTE_ALL,$DF187,20)&amp;"","")&amp;"␟"&amp;IFERROR(INDEX(PASTE_ALL,$DF187,21)&amp;"","")&amp;"␟"&amp;IFERROR(INDEX(PASTE_ALL,$DF187,22)&amp;"","")&amp;"␟"&amp;IFERROR(INDEX(PASTE_ALL,$DF187,23)&amp;"","")&amp;"␟"&amp;IFERROR(INDEX(PASTE_ALL,$DF187,24)&amp;"","")&amp;"␟"&amp;IFERROR(INDEX(PASTE_ALL,$DF187,25)&amp;"","")&amp;"␟"&amp;IFERROR(INDEX(PASTE_ALL,$DF187,26)&amp;"","")&amp;"␟"&amp;IFERROR(INDEX(PASTE_ALL,$DF187,27)&amp;"","")&amp;"␟"&amp;IFERROR(INDEX(PASTE_ALL,$DF187,28)&amp;"","")&amp;"␟"&amp;IFERROR(INDEX(PASTE_ALL,$DF187,29)&amp;"","")&amp;"␟"&amp;IFERROR(INDEX(PASTE_ALL,$DF187,30)&amp;"","")&amp;"␟"&amp;IFERROR(INDEX(PASTE_ALL,$DF187,31)&amp;"","")&amp;"␟"&amp;IFERROR(INDEX(PASTE_ALL,$DF187,32)&amp;"","")&amp;"␟"&amp;IFERROR(INDEX(PASTE_ALL,$DF187,33)&amp;"","")&amp;"␟"&amp;IFERROR(INDEX(PASTE_ALL,$DF187,34)&amp;"","")&amp;"␟"&amp;IFERROR(INDEX(PASTE_ALL,$DF187,35)&amp;"","")&amp;"␟"&amp;IFERROR(INDEX(PASTE_ALL,$DF187,36)&amp;"","")&amp;"␟"&amp;IFERROR(INDEX(PASTE_ALL,$DF187,37)&amp;"","")&amp;"␟"&amp;IFERROR(INDEX(PASTE_ALL,$DF187,38)&amp;"","")&amp;"␟"&amp;IFERROR(INDEX(PASTE_ALL,$DF187,39)&amp;"","")&amp;"␟"&amp;IFERROR(INDEX(PASTE_ALL,$DF187,40)&amp;"","")&amp;"␟"&amp;IFERROR(INDEX(PASTE_ALL,$DF187,41)&amp;"","")&amp;"␟"&amp;IFERROR(INDEX(PASTE_ALL,$DF187,42)&amp;"","")&amp;"␟"&amp;IFERROR(INDEX(PASTE_ALL,$DF187,43)&amp;"","")&amp;"␟"&amp;IFERROR(INDEX(PASTE_ALL,$DF187,44)&amp;"","")&amp;"␟"&amp;IFERROR(INDEX(PASTE_ALL,$DF187,45)&amp;"","")&amp;"␟"&amp;IFERROR(INDEX(PASTE_ALL,$DF187,46)&amp;"","")&amp;"␟"&amp;IFERROR(INDEX(PASTE_ALL,$DF187,47)&amp;"","")&amp;"␟"&amp;IFERROR(INDEX(PASTE_ALL,$DF187,48)&amp;"","")&amp;"␟"&amp;IFERROR(INDEX(PASTE_ALL,$DF187,49)&amp;"","")&amp;"␟"&amp;IFERROR(INDEX(PASTE_ALL,$DF187,50)&amp;"","")&amp;"␟"&amp;IFERROR(INDEX(PASTE_ALL,$DF187,51)&amp;"","")&amp;"␟"&amp;IFERROR(INDEX(PASTE_ALL,$DF187,52)&amp;"","")&amp;"␟"&amp;IFERROR(INDEX(PASTE_ALL,$DF187,53)&amp;"","")&amp;"␟"&amp;IFERROR(INDEX(PASTE_ALL,$DF187,54)&amp;"","")&amp;"␟"&amp;IFERROR(INDEX(PASTE_ALL,$DF187,55)&amp;"","")&amp;"␟"&amp;IFERROR(INDEX(PASTE_ALL,$DF187,56)&amp;"","")&amp;"␟"&amp;IFERROR(INDEX(PASTE_ALL,$DF187,57)&amp;"","")&amp;"␟"&amp;IFERROR(INDEX(PASTE_ALL,$DF187,58)&amp;"","")&amp;"␟"&amp;IFERROR(INDEX(PASTE_ALL,$DF187,59)&amp;"","")&amp;"␟"&amp;IFERROR(INDEX(PASTE_ALL,$DF187,60)&amp;"","")," "," "),CHAR(9)," "),CHAR(10)," "),CHAR(13)," "))," ␟","␟"),"␟ ","␟"),"#"&amp;$DE187),"")</f>
        <v/>
      </c>
      <c r="DJ187">
        <f>IF($DI187="",0,IF(SUMPRODUCT(--EXACT($DI$4:DI186,$DI187))&gt;0,1,0))</f>
        <v/>
      </c>
      <c r="DK187">
        <f>IF(AND($DI187&lt;&gt;"",$DJ187=0),1,0)</f>
        <v/>
      </c>
      <c r="DL187">
        <f>DL186+$DK187</f>
        <v/>
      </c>
      <c r="DM187">
        <f>IF(AND($DK187=1,$DL187&lt;=600),1,0)</f>
        <v/>
      </c>
      <c r="DN187">
        <f>IF($DM187=0,"",IF($L$6=0,"",IFERROR(IF(ISNUMBER(INDEX(PASTE_ALL,$DF187,$L$6)),INDEX(PASTE_ALL,$DF187,$L$6),TRIM(SUBSTITUTE(SUBSTITUTE(SUBSTITUTE(SUBSTITUTE(INDEX(PASTE_ALL,$DF187,$L$6)," "," "),CHAR(9)," "),CHAR(10)," "),CHAR(13)," "))),"")))</f>
        <v/>
      </c>
      <c r="DO187">
        <f>IF($DM187=0,"",IF($L$7=0,"",IFERROR(IF(ISNUMBER(INDEX(PASTE_ALL,$DF187,$L$7)),INDEX(PASTE_ALL,$DF187,$L$7),TRIM(SUBSTITUTE(SUBSTITUTE(SUBSTITUTE(SUBSTITUTE(INDEX(PASTE_ALL,$DF187,$L$7)," "," "),CHAR(9)," "),CHAR(10)," "),CHAR(13)," "))),"")))</f>
        <v/>
      </c>
      <c r="DP187">
        <f>IF($DM187=0,"",IF($L$8=0,"",IFERROR(IF(ISNUMBER(INDEX(PASTE_ALL,$DF187,$L$8)),INDEX(PASTE_ALL,$DF187,$L$8),TRIM(SUBSTITUTE(SUBSTITUTE(SUBSTITUTE(SUBSTITUTE(INDEX(PASTE_ALL,$DF187,$L$8)," "," "),CHAR(9)," "),CHAR(10)," "),CHAR(13)," "))),"")))</f>
        <v/>
      </c>
      <c r="DQ187">
        <f>IF($DM187=0,"",IF($L$9=0,"",IFERROR(IF(ISNUMBER(INDEX(PASTE_ALL,$DF187,$L$9)),INDEX(PASTE_ALL,$DF187,$L$9),TRIM(SUBSTITUTE(SUBSTITUTE(SUBSTITUTE(SUBSTITUTE(INDEX(PASTE_ALL,$DF187,$L$9)," "," "),CHAR(9)," "),CHAR(10)," "),CHAR(13)," "))),"")))</f>
        <v/>
      </c>
      <c r="DR187">
        <f>IF($DM187=0,"",IF($L$10=0,"",IFERROR(IF(ISNUMBER(INDEX(PASTE_ALL,$DF187,$L$10)),INDEX(PASTE_ALL,$DF187,$L$10),TRIM(SUBSTITUTE(SUBSTITUTE(SUBSTITUTE(SUBSTITUTE(INDEX(PASTE_ALL,$DF187,$L$10)," "," "),CHAR(9)," "),CHAR(10)," "),CHAR(13)," "))),"")))</f>
        <v/>
      </c>
      <c r="DS187">
        <f>IF($DM187=0,"",IF($L$11=0,"",IFERROR(IF(ISNUMBER(INDEX(PASTE_ALL,$DF187,$L$11)),INDEX(PASTE_ALL,$DF187,$L$11),TRIM(SUBSTITUTE(SUBSTITUTE(SUBSTITUTE(SUBSTITUTE(INDEX(PASTE_ALL,$DF187,$L$11)," "," "),CHAR(9)," "),CHAR(10)," "),CHAR(13)," "))),"")))</f>
        <v/>
      </c>
      <c r="DT187">
        <f>IF($DM187=0,"",IF($L$12=0,"",IFERROR(IF(ISNUMBER(INDEX(PASTE_ALL,$DF187,$L$12)),INDEX(PASTE_ALL,$DF187,$L$12),TRIM(SUBSTITUTE(SUBSTITUTE(SUBSTITUTE(SUBSTITUTE(INDEX(PASTE_ALL,$DF187,$L$12)," "," "),CHAR(9)," "),CHAR(10)," "),CHAR(13)," "))),"")))</f>
        <v/>
      </c>
      <c r="DU187">
        <f>IF($DM187=0,"",IF($L$13=0,"",IFERROR(IF(ISNUMBER(INDEX(PASTE_ALL,$DF187,$L$13)),INDEX(PASTE_ALL,$DF187,$L$13),TRIM(SUBSTITUTE(SUBSTITUTE(SUBSTITUTE(SUBSTITUTE(INDEX(PASTE_ALL,$DF187,$L$13)," "," "),CHAR(9)," "),CHAR(10)," "),CHAR(13)," "))),"")))</f>
        <v/>
      </c>
      <c r="DV187">
        <f>IF($DM187=0,"",IF($L$14=0,"",IFERROR(IF(ISNUMBER(INDEX(PASTE_ALL,$DF187,$L$14)),INDEX(PASTE_ALL,$DF187,$L$14),TRIM(SUBSTITUTE(SUBSTITUTE(SUBSTITUTE(SUBSTITUTE(INDEX(PASTE_ALL,$DF187,$L$14)," "," "),CHAR(9)," "),CHAR(10)," "),CHAR(13)," "))),"")))</f>
        <v/>
      </c>
      <c r="DW187">
        <f>IF($DM187=0,"",IF($L$15=0,"",IFERROR(IF(ISNUMBER(INDEX(PASTE_ALL,$DF187,$L$15)),INDEX(PASTE_ALL,$DF187,$L$15),IF(SUMPRODUCT(--ISNUMBER(FIND({"A","B","C","D","E","F","G","H","I","J","K","L","M","N","O","P","Q","R","S","T","U","V","W","X","Y","Z","0","1","2","3","4","5","6","7","8","9"},UPPER(TRIM(SUBSTITUTE(SUBSTITUTE(SUBSTITUTE(SUBSTITUTE(INDEX(PASTE_ALL,$DF187,$L$15)," "," "),CHAR(9)," "),CHAR(10)," "),CHAR(13)," "))))))&gt;0,TRIM(SUBSTITUTE(SUBSTITUTE(SUBSTITUTE(SUBSTITUTE(INDEX(PASTE_ALL,$DF187,$L$15)," "," "),CHAR(9)," "),CHAR(10)," "),CHAR(13)," ")),"")),"")))</f>
        <v/>
      </c>
      <c r="DX187">
        <f>IF($DM187=0,"",IF($L$16=0,"",IFERROR(IF(ISNUMBER(INDEX(PASTE_ALL,$DF187,$L$16)),INDEX(PASTE_ALL,$DF187,$L$16),SUBSTITUTE(SUBSTITUTE(TRIM(SUBSTITUTE(SUBSTITUTE(SUBSTITUTE(SUBSTITUTE(INDEX(PASTE_ALL,$DF187,$L$16)," "," "),CHAR(9)," "),CHAR(10)," "),CHAR(13)," ")),",",""),"%","")),"")))</f>
        <v/>
      </c>
      <c r="DY187">
        <f>IF($DM187=0,"",IFERROR(IF(ISNUMBER($DX187),$DX187,IF($DX187="","",IF(TRIM($DX187)="",0,IF(AND(AND(SUBSTITUTE(SUBSTITUTE(SUBSTITUTE(SUBSTITUTE(SUBSTITUTE(SUBSTITUTE(SUBSTITUTE(SUBSTITUTE(SUBSTITUTE(SUBSTITUTE(SUBSTITUTE(SUBSTITUTE(SUBSTITUTE(SUBSTITUTE(UPPER(TRIM($DX187)),"0",""),"1",""),"2",""),"3",""),"4",""),"5",""),"6",""),"7",""),"8",""),"9",""),".",""),"+",""),"-",""),"E","")="",LEN(SUBSTITUTE(SUBSTITUTE(MID(UPPER(TRIM($DX187)),1+OR(LEFT(UPPER(TRIM($DX187)),1)="+",LEFT(UPPER(TRIM($DX187)),1)="-"),999),"E+","E"),"E-","E"))=LEN(SUBSTITUTE(SUBSTITUTE(SUBSTITUTE(SUBSTITUTE(MID(UPPER(TRIM($DX187)),1+OR(LEFT(UPPER(TRIM($DX187)),1)="+",LEFT(UPPER(TRIM($DX187)),1)="-"),999),"E+","E"),"E-","E"),"+",""),"-","")),LEN(UPPER(TRIM($DX187)))-LEN(SUBSTITUTE(UPPER(TRIM($DX187)),"E",""))&lt;2,LEN(UPPER(TRIM($DX187)))-LEN(SUBSTITUTE(UPPER(TRIM($DX187)),".",""))&lt;2,IFERROR(FIND(".",UPPER(TRIM($DX187))),0)&lt;IFERROR(FIND("E",UPPER(TRIM($DX187))),999)),ISNUMBER(VALUE(TRIM($DX187)))),VALUE(TRIM($DX187)),"")))),""))</f>
        <v/>
      </c>
      <c r="DZ187">
        <f>IF($DM187=0,"",IF($L$17=0,"",IFERROR(IF(ISNUMBER(INDEX(PASTE_ALL,$DF187,$L$17)),INDEX(PASTE_ALL,$DF187,$L$17),SUBSTITUTE(SUBSTITUTE(TRIM(SUBSTITUTE(SUBSTITUTE(SUBSTITUTE(SUBSTITUTE(INDEX(PASTE_ALL,$DF187,$L$17)," "," "),CHAR(9)," "),CHAR(10)," "),CHAR(13)," ")),",",""),"%","")),"")))</f>
        <v/>
      </c>
      <c r="EA187">
        <f>IF($DM187=0,"",IFERROR(IF(ISNUMBER($DZ187),$DZ187,IF($DZ187="","",IF(TRIM($DZ187)="",0,IF(AND(AND(SUBSTITUTE(SUBSTITUTE(SUBSTITUTE(SUBSTITUTE(SUBSTITUTE(SUBSTITUTE(SUBSTITUTE(SUBSTITUTE(SUBSTITUTE(SUBSTITUTE(SUBSTITUTE(SUBSTITUTE(SUBSTITUTE(SUBSTITUTE(UPPER(TRIM($DZ187)),"0",""),"1",""),"2",""),"3",""),"4",""),"5",""),"6",""),"7",""),"8",""),"9",""),".",""),"+",""),"-",""),"E","")="",LEN(SUBSTITUTE(SUBSTITUTE(MID(UPPER(TRIM($DZ187)),1+OR(LEFT(UPPER(TRIM($DZ187)),1)="+",LEFT(UPPER(TRIM($DZ187)),1)="-"),999),"E+","E"),"E-","E"))=LEN(SUBSTITUTE(SUBSTITUTE(SUBSTITUTE(SUBSTITUTE(MID(UPPER(TRIM($DZ187)),1+OR(LEFT(UPPER(TRIM($DZ187)),1)="+",LEFT(UPPER(TRIM($DZ187)),1)="-"),999),"E+","E"),"E-","E"),"+",""),"-","")),LEN(UPPER(TRIM($DZ187)))-LEN(SUBSTITUTE(UPPER(TRIM($DZ187)),"E",""))&lt;2,LEN(UPPER(TRIM($DZ187)))-LEN(SUBSTITUTE(UPPER(TRIM($DZ187)),".",""))&lt;2,IFERROR(FIND(".",UPPER(TRIM($DZ187))),0)&lt;IFERROR(FIND("E",UPPER(TRIM($DZ187))),999)),ISNUMBER(VALUE(TRIM($DZ187)))),VALUE(TRIM($DZ187)),"")))),""))</f>
        <v/>
      </c>
      <c r="EB187">
        <f>IF($DM187=0,"",IF($L$18=0,"",IFERROR(IF(UPPER(TRIM(SUBSTITUTE(SUBSTITUTE(SUBSTITUTE(SUBSTITUTE(INDEX(PASTE_ALL,$DF187,$L$18)," "," "),CHAR(9)," "),CHAR(10)," "),CHAR(13)," ")))="READY","Ready",IF(UPPER(TRIM(SUBSTITUTE(SUBSTITUTE(SUBSTITUTE(SUBSTITUTE(INDEX(PASTE_ALL,$DF187,$L$18)," "," "),CHAR(9)," "),CHAR(10)," "),CHAR(13)," ")))="PM","PM",IF(OR(UPPER(TRIM(SUBSTITUTE(SUBSTITUTE(SUBSTITUTE(SUBSTITUTE(INDEX(PASTE_ALL,$DF187,$L$18)," "," "),CHAR(9)," "),CHAR(10)," "),CHAR(13)," ")))="OT",UPPER(TRIM(SUBSTITUTE(SUBSTITUTE(SUBSTITUTE(SUBSTITUTE(INDEX(PASTE_ALL,$DF187,$L$18)," "," "),CHAR(9)," "),CHAR(10)," "),CHAR(13)," ")))="OVERTIME",UPPER(TRIM(SUBSTITUTE(SUBSTITUTE(SUBSTITUTE(SUBSTITUTE(INDEX(PASTE_ALL,$DF187,$L$18)," "," "),CHAR(9)," "),CHAR(10)," "),CHAR(13)," ")))="TRIAL"),"OT",TRIM(SUBSTITUTE(SUBSTITUTE(SUBSTITUTE(SUBSTITUTE(INDEX(PASTE_ALL,$DF187,$L$18)," "," "),CHAR(9)," "),CHAR(10)," "),CHAR(13)," "))))),"")))</f>
        <v/>
      </c>
      <c r="EC187">
        <f>IF($DM187=0,"",IF($L$19=0,"",IFERROR(IF(ISNUMBER(INDEX(PASTE_ALL,$DF187,$L$19)),INDEX(PASTE_ALL,$DF187,$L$19),TRIM(SUBSTITUTE(SUBSTITUTE(SUBSTITUTE(SUBSTITUTE(INDEX(PASTE_ALL,$DF187,$L$19)," "," "),CHAR(9)," "),CHAR(10)," "),CHAR(13)," "))),"")))</f>
        <v/>
      </c>
      <c r="ED187">
        <f>IF($DM187=0,"",MATCH(1,INDEX(EXACT($DH$5:DH187,$DH187)*$DM$5:DM187,0),0))</f>
        <v/>
      </c>
      <c r="EE187">
        <f>IF($DM187=0,0,IF($ED187=$DE187,1,0))</f>
        <v/>
      </c>
      <c r="EF187">
        <f>EF186+$EE187</f>
        <v/>
      </c>
      <c r="EG187">
        <f>IF($DM187=0,"",INDEX($EF$5:$EF$1003,$ED187))</f>
        <v/>
      </c>
      <c r="EH187">
        <f>IF($DM187=0,"",IF($DO187&lt;&gt;"","",IFERROR(LOOKUP(2,1/(($EG$4:EG186=$EG187)*($DO$4:DO186&lt;&gt;"")),$DO$4:DO186),"")))</f>
        <v/>
      </c>
      <c r="EI187">
        <f>IF($DM187=0,"",IF($DO187&lt;&gt;"",$DO187,$EH187))</f>
        <v/>
      </c>
      <c r="EJ187">
        <f>IF($DM187=0,"",IF($EI187="",0,IF(OR(ISNUMBER($EI187),AND(AND(SUBSTITUTE(SUBSTITUTE(SUBSTITUTE(SUBSTITUTE(SUBSTITUTE(SUBSTITUTE(SUBSTITUTE(SUBSTITUTE(SUBSTITUTE(SUBSTITUTE(SUBSTITUTE(SUBSTITUTE(SUBSTITUTE(SUBSTITUTE(UPPER($EI187),"0",""),"1",""),"2",""),"3",""),"4",""),"5",""),"6",""),"7",""),"8",""),"9",""),".",""),"+",""),"-",""),"E","")="",LEN(SUBSTITUTE(SUBSTITUTE(MID(UPPER($EI187),1+OR(LEFT(UPPER($EI187),1)="+",LEFT(UPPER($EI187),1)="-"),999),"E+","E"),"E-","E"))=LEN(SUBSTITUTE(SUBSTITUTE(SUBSTITUTE(SUBSTITUTE(MID(UPPER($EI187),1+OR(LEFT(UPPER($EI187),1)="+",LEFT(UPPER($EI187),1)="-"),999),"E+","E"),"E-","E"),"+",""),"-","")),LEN(UPPER($EI187))-LEN(SUBSTITUTE(UPPER($EI187),"E",""))&lt;2,LEN(UPPER($EI187))-LEN(SUBSTITUTE(UPPER($EI187),".",""))&lt;2,IFERROR(FIND(".",UPPER($EI187)),0)&lt;IFERROR(FIND("E",UPPER($EI187)),999)),ISNUMBER(VALUE($EI187)))),1,2)))</f>
        <v/>
      </c>
      <c r="EK187">
        <f>IF($DM187=0,"",IF($EJ187=1,IF(ISNUMBER($EI187),$EI187,VALUE($EI187)),IF($EJ187=2,$DE187,0)))</f>
        <v/>
      </c>
      <c r="EL187">
        <f>IF($DM187=0,"",COUNTIF($EG$5:$EG$1003,"&lt;"&amp;$EG187)+SUMPRODUCT(($EG$5:$EG$1003=$EG187)*(($EJ$5:$EJ$1003&lt;$EJ187)+($EJ$5:$EJ$1003=$EJ187)*(($EK$5:$EK$1003&lt;$EK187)+($EK$5:$EK$1003=$EK187)*($DE$5:$DE$1003&lt;$DE187))))+1)</f>
        <v/>
      </c>
      <c r="EM187">
        <f>IF($DM187=0,"",$EL187+$EG187-1)</f>
        <v/>
      </c>
      <c r="EN187">
        <f>IF($DM187=0,0,IFERROR(MATCH(1,INDEX(--(TRIM(SUBSTITUTE(SUBSTITUTE(SUBSTITUTE(SUBSTITUTE(LINES_NAME&amp;""," "," "),CHAR(9)," "),CHAR(10)," "),CHAR(13)," "))=$DH187),0),0),0))</f>
        <v/>
      </c>
      <c r="EO187">
        <f>IF($EN187=0,0,IF(OR(UPPER(TRIM(INDEX(LINES_SCHEDULED,$EN187)&amp;""))="YES",UPPER(TRIM(INDEX(LINES_SCHEDULED,$EN187)&amp;""))="Y",UPPER(TRIM(INDEX(LINES_SCHEDULED,$EN187)&amp;""))="X"),1,0))</f>
        <v/>
      </c>
      <c r="EP187">
        <f>IF($DM187=0,"",IF(COUNTIFS($EG$5:$EG$1003,$EG187,$EB$5:$EB$1003,"Ready")&gt;0,"READY",IF(COUNTIFS($EG$5:$EG$1003,$EG187,$EB$5:$EB$1003,"PM")&gt;0,"PM",IF(COUNTIFS($EG$5:$EG$1003,$EG187,$EB$5:$EB$1003,"OT")&gt;0,"OT",""))))</f>
        <v/>
      </c>
      <c r="EQ187">
        <f>IF($EN187=0,"",UPPER(TRIM(INDEX(LINES_STATUS,$EN187)&amp;"")))</f>
        <v/>
      </c>
      <c r="ER187">
        <f>IF($DM187=0,"",IF(OR($EQ187="READY",$EQ187="PM",$EQ187="OT"),$EQ187,$EP187))</f>
        <v/>
      </c>
      <c r="ES187">
        <f>IF($DM187=0,"",IF(AND($DV187&lt;&gt;"",UPPER($DV187)&lt;&gt;"N"),"allergen",IF(ISNUMBER(SEARCH("oil",$DQ187)),"oil",IF(OR(EXACT($DS187,"A662"),EXACT($DS187,"A624")),"bulk",""))))</f>
        <v/>
      </c>
      <c r="ET187">
        <f>IF($DM187=0,"",IF(OR($EA187="",$EA187=0),"",$EA187/100))</f>
        <v/>
      </c>
      <c r="EU187">
        <f>IF(OR($ET187="",$DY187=""),"",INT($DY187*(1-$ET187)+0.5))</f>
        <v/>
      </c>
      <c r="EW187" t="n">
        <v>183</v>
      </c>
      <c r="EX187">
        <f>IFERROR(MATCH($EW187,$EM$5:$EM$1003,0),0)</f>
        <v/>
      </c>
      <c r="EY187">
        <f>IF($EW187&gt;$B$12,"",IF($EX187&gt;0,"row","spacer"))</f>
        <v/>
      </c>
      <c r="EZ187">
        <f>IF(AND($EY187="row",$EY186&lt;&gt;"row"),1,0)</f>
        <v/>
      </c>
      <c r="FA187">
        <f>IF(AND($EY187="row",$EY188&lt;&gt;"row"),1,0)</f>
        <v/>
      </c>
      <c r="FB187">
        <f>IF($EZ187=1,IFERROR(IF(ISNUMBER(INDEX(PASTE_ALL,INDEX($DF$5:$DF$1003,$EX187),$B$37)),INDEX(PASTE_ALL,INDEX($DF$5:$DF$1003,$EX187),$B$37),INDEX($DH$5:$DH$1003,$EX187)),INDEX($DH$5:$DH$1003,$EX187)),"")</f>
        <v/>
      </c>
      <c r="FC187">
        <f>IF($EY187="row",INDEX($ER$5:$ER$1003,$EX187),"")</f>
        <v/>
      </c>
      <c r="FD187">
        <f>IF($EY187="row",INDEX($DN$5:$DN$1003,$EX187),"")</f>
        <v/>
      </c>
      <c r="FE187">
        <f>IF($EY187="row",INDEX($DO$5:$DO$1003,$EX187),"")</f>
        <v/>
      </c>
      <c r="FF187">
        <f>IF($EY187="row",INDEX($DP$5:$DP$1003,$EX187),"")</f>
        <v/>
      </c>
      <c r="FG187">
        <f>IF($EY187="row",INDEX($DQ$5:$DQ$1003,$EX187),"")</f>
        <v/>
      </c>
      <c r="FH187">
        <f>IF($EY187="row",INDEX($DR$5:$DR$1003,$EX187),"")</f>
        <v/>
      </c>
      <c r="FI187">
        <f>IF($EY187="row",INDEX($DS$5:$DS$1003,$EX187),"")</f>
        <v/>
      </c>
      <c r="FJ187">
        <f>IF($EY187="row",INDEX($DT$5:$DT$1003,$EX187),"")</f>
        <v/>
      </c>
      <c r="FK187">
        <f>IF($EY187="row",INDEX($DU$5:$DU$1003,$EX187),"")</f>
        <v/>
      </c>
      <c r="FL187">
        <f>IF($EY187="row",INDEX($DV$5:$DV$1003,$EX187),"")</f>
        <v/>
      </c>
      <c r="FM187">
        <f>IF($EY187="row",INDEX($DW$5:$DW$1003,$EX187),"")</f>
        <v/>
      </c>
      <c r="FN187">
        <f>IF($EY187="row",INDEX($DY$5:$DY$1003,$EX187),"")</f>
        <v/>
      </c>
      <c r="FO187">
        <f>IF($EY187="row",INDEX($EA$5:$EA$1003,$EX187),"")</f>
        <v/>
      </c>
      <c r="FP187">
        <f>IF($EY187="row",INDEX($EC$5:$EC$1003,$EX187),"")</f>
        <v/>
      </c>
      <c r="FQ187">
        <f>IF($EY187="row",INDEX($ET$5:$ET$1003,$EX187),"")</f>
        <v/>
      </c>
      <c r="FR187">
        <f>IF($EY187="row",INDEX($EU$5:$EU$1003,$EX187),"")</f>
        <v/>
      </c>
      <c r="FS187">
        <f>IF(AND($EY187="row",$EY186="row"),IF(OR(INDEX($DT$5:$DT$1003,$EX186)="",INDEX($DT$5:$DT$1003,$EX187)=""),"",IF(NOT(EXACT(INDEX($DT$5:$DT$1003,$EX186),INDEX($DT$5:$DT$1003,$EX187))),"S4",IF(NOT(EXACT(INDEX($DS$5:$DS$1003,$EX186),INDEX($DS$5:$DS$1003,$EX187))),"S3",IF(NOT(EXACT(INDEX($DR$5:$DR$1003,$EX186),INDEX($DR$5:$DR$1003,$EX187))),"S1 Count Change","S1")))),"")</f>
        <v/>
      </c>
      <c r="FT187">
        <f>IF($EY187="row",INDEX($ES$5:$ES$1003,$EX187),"")</f>
        <v/>
      </c>
      <c r="FU187">
        <f>IF($EY187="row",INDEX($EO$5:$EO$1003,$EX187),0)</f>
        <v/>
      </c>
      <c r="FV187">
        <f>IF($FS187="S1 Count Change",1,0)</f>
        <v/>
      </c>
    </row>
    <row r="188">
      <c r="Y188">
        <f>0+IF(Y98&gt;0,0,IF(SUMPRODUCT(MOD(INT(Y143/{2,4,8,16,32,64,128,256,512,1024,2048,4096,8192,16384,32768}),2)*(1-MOD(INT(($CJ8+0)/{2,4,8,16,32,64,128,256,512,1024,2048,4096,8192,16384,32768}),2))*{2,4,8,16,32,64,128,256,512,1024,2048,4096,8192,16384,32768})=0,0,2^SUMPRODUCT(--(MOD(SUMPRODUCT(MOD(INT(Y143/{2,4,8,16,32,64,128,256,512,1024,2048,4096,8192,16384,32768}),2)*(1-MOD(INT(($CJ8+0)/{2,4,8,16,32,64,128,256,512,1024,2048,4096,8192,16384,32768}),2))*{2,4,8,16,32,64,128,256,512,1024,2048,4096,8192,16384,32768}),{2,4,8,16,32,64,128,256,512,1024,2048,4096,8192,16384,32768})=0))))</f>
        <v/>
      </c>
      <c r="Z188">
        <f>Y188+IF(AND(Z98&gt;0,COUNTIF($Y98:Y98,Z98)=0),0,IF(SUMPRODUCT(MOD(INT(Z143/{2,4,8,16,32,64,128,256,512,1024,2048,4096,8192,16384,32768}),2)*(1-MOD(INT(($CJ8+Y188)/{2,4,8,16,32,64,128,256,512,1024,2048,4096,8192,16384,32768}),2))*{2,4,8,16,32,64,128,256,512,1024,2048,4096,8192,16384,32768})=0,0,2^SUMPRODUCT(--(MOD(SUMPRODUCT(MOD(INT(Z143/{2,4,8,16,32,64,128,256,512,1024,2048,4096,8192,16384,32768}),2)*(1-MOD(INT(($CJ8+Y188)/{2,4,8,16,32,64,128,256,512,1024,2048,4096,8192,16384,32768}),2))*{2,4,8,16,32,64,128,256,512,1024,2048,4096,8192,16384,32768}),{2,4,8,16,32,64,128,256,512,1024,2048,4096,8192,16384,32768})=0))))</f>
        <v/>
      </c>
      <c r="AA188">
        <f>Z188+IF(AND(AA98&gt;0,COUNTIF($Y98:Z98,AA98)=0),0,IF(SUMPRODUCT(MOD(INT(AA143/{2,4,8,16,32,64,128,256,512,1024,2048,4096,8192,16384,32768}),2)*(1-MOD(INT(($CJ8+Z188)/{2,4,8,16,32,64,128,256,512,1024,2048,4096,8192,16384,32768}),2))*{2,4,8,16,32,64,128,256,512,1024,2048,4096,8192,16384,32768})=0,0,2^SUMPRODUCT(--(MOD(SUMPRODUCT(MOD(INT(AA143/{2,4,8,16,32,64,128,256,512,1024,2048,4096,8192,16384,32768}),2)*(1-MOD(INT(($CJ8+Z188)/{2,4,8,16,32,64,128,256,512,1024,2048,4096,8192,16384,32768}),2))*{2,4,8,16,32,64,128,256,512,1024,2048,4096,8192,16384,32768}),{2,4,8,16,32,64,128,256,512,1024,2048,4096,8192,16384,32768})=0))))</f>
        <v/>
      </c>
      <c r="AB188">
        <f>AA188+IF(AND(AB98&gt;0,COUNTIF($Y98:AA98,AB98)=0),0,IF(SUMPRODUCT(MOD(INT(AB143/{2,4,8,16,32,64,128,256,512,1024,2048,4096,8192,16384,32768}),2)*(1-MOD(INT(($CJ8+AA188)/{2,4,8,16,32,64,128,256,512,1024,2048,4096,8192,16384,32768}),2))*{2,4,8,16,32,64,128,256,512,1024,2048,4096,8192,16384,32768})=0,0,2^SUMPRODUCT(--(MOD(SUMPRODUCT(MOD(INT(AB143/{2,4,8,16,32,64,128,256,512,1024,2048,4096,8192,16384,32768}),2)*(1-MOD(INT(($CJ8+AA188)/{2,4,8,16,32,64,128,256,512,1024,2048,4096,8192,16384,32768}),2))*{2,4,8,16,32,64,128,256,512,1024,2048,4096,8192,16384,32768}),{2,4,8,16,32,64,128,256,512,1024,2048,4096,8192,16384,32768})=0))))</f>
        <v/>
      </c>
      <c r="AC188">
        <f>AB188+IF(AND(AC98&gt;0,COUNTIF($Y98:AB98,AC98)=0),0,IF(SUMPRODUCT(MOD(INT(AC143/{2,4,8,16,32,64,128,256,512,1024,2048,4096,8192,16384,32768}),2)*(1-MOD(INT(($CJ8+AB188)/{2,4,8,16,32,64,128,256,512,1024,2048,4096,8192,16384,32768}),2))*{2,4,8,16,32,64,128,256,512,1024,2048,4096,8192,16384,32768})=0,0,2^SUMPRODUCT(--(MOD(SUMPRODUCT(MOD(INT(AC143/{2,4,8,16,32,64,128,256,512,1024,2048,4096,8192,16384,32768}),2)*(1-MOD(INT(($CJ8+AB188)/{2,4,8,16,32,64,128,256,512,1024,2048,4096,8192,16384,32768}),2))*{2,4,8,16,32,64,128,256,512,1024,2048,4096,8192,16384,32768}),{2,4,8,16,32,64,128,256,512,1024,2048,4096,8192,16384,32768})=0))))</f>
        <v/>
      </c>
      <c r="AD188">
        <f>AC188+IF(AND(AD98&gt;0,COUNTIF($Y98:AC98,AD98)=0),0,IF(SUMPRODUCT(MOD(INT(AD143/{2,4,8,16,32,64,128,256,512,1024,2048,4096,8192,16384,32768}),2)*(1-MOD(INT(($CJ8+AC188)/{2,4,8,16,32,64,128,256,512,1024,2048,4096,8192,16384,32768}),2))*{2,4,8,16,32,64,128,256,512,1024,2048,4096,8192,16384,32768})=0,0,2^SUMPRODUCT(--(MOD(SUMPRODUCT(MOD(INT(AD143/{2,4,8,16,32,64,128,256,512,1024,2048,4096,8192,16384,32768}),2)*(1-MOD(INT(($CJ8+AC188)/{2,4,8,16,32,64,128,256,512,1024,2048,4096,8192,16384,32768}),2))*{2,4,8,16,32,64,128,256,512,1024,2048,4096,8192,16384,32768}),{2,4,8,16,32,64,128,256,512,1024,2048,4096,8192,16384,32768})=0))))</f>
        <v/>
      </c>
      <c r="AE188">
        <f>AD188+IF(AND(AE98&gt;0,COUNTIF($Y98:AD98,AE98)=0),0,IF(SUMPRODUCT(MOD(INT(AE143/{2,4,8,16,32,64,128,256,512,1024,2048,4096,8192,16384,32768}),2)*(1-MOD(INT(($CJ8+AD188)/{2,4,8,16,32,64,128,256,512,1024,2048,4096,8192,16384,32768}),2))*{2,4,8,16,32,64,128,256,512,1024,2048,4096,8192,16384,32768})=0,0,2^SUMPRODUCT(--(MOD(SUMPRODUCT(MOD(INT(AE143/{2,4,8,16,32,64,128,256,512,1024,2048,4096,8192,16384,32768}),2)*(1-MOD(INT(($CJ8+AD188)/{2,4,8,16,32,64,128,256,512,1024,2048,4096,8192,16384,32768}),2))*{2,4,8,16,32,64,128,256,512,1024,2048,4096,8192,16384,32768}),{2,4,8,16,32,64,128,256,512,1024,2048,4096,8192,16384,32768})=0))))</f>
        <v/>
      </c>
      <c r="AF188">
        <f>AE188+IF(AND(AF98&gt;0,COUNTIF($Y98:AE98,AF98)=0),0,IF(SUMPRODUCT(MOD(INT(AF143/{2,4,8,16,32,64,128,256,512,1024,2048,4096,8192,16384,32768}),2)*(1-MOD(INT(($CJ8+AE188)/{2,4,8,16,32,64,128,256,512,1024,2048,4096,8192,16384,32768}),2))*{2,4,8,16,32,64,128,256,512,1024,2048,4096,8192,16384,32768})=0,0,2^SUMPRODUCT(--(MOD(SUMPRODUCT(MOD(INT(AF143/{2,4,8,16,32,64,128,256,512,1024,2048,4096,8192,16384,32768}),2)*(1-MOD(INT(($CJ8+AE188)/{2,4,8,16,32,64,128,256,512,1024,2048,4096,8192,16384,32768}),2))*{2,4,8,16,32,64,128,256,512,1024,2048,4096,8192,16384,32768}),{2,4,8,16,32,64,128,256,512,1024,2048,4096,8192,16384,32768})=0))))</f>
        <v/>
      </c>
      <c r="AG188">
        <f>AF188+IF(AND(AG98&gt;0,COUNTIF($Y98:AF98,AG98)=0),0,IF(SUMPRODUCT(MOD(INT(AG143/{2,4,8,16,32,64,128,256,512,1024,2048,4096,8192,16384,32768}),2)*(1-MOD(INT(($CJ8+AF188)/{2,4,8,16,32,64,128,256,512,1024,2048,4096,8192,16384,32768}),2))*{2,4,8,16,32,64,128,256,512,1024,2048,4096,8192,16384,32768})=0,0,2^SUMPRODUCT(--(MOD(SUMPRODUCT(MOD(INT(AG143/{2,4,8,16,32,64,128,256,512,1024,2048,4096,8192,16384,32768}),2)*(1-MOD(INT(($CJ8+AF188)/{2,4,8,16,32,64,128,256,512,1024,2048,4096,8192,16384,32768}),2))*{2,4,8,16,32,64,128,256,512,1024,2048,4096,8192,16384,32768}),{2,4,8,16,32,64,128,256,512,1024,2048,4096,8192,16384,32768})=0))))</f>
        <v/>
      </c>
      <c r="AH188">
        <f>AG188+IF(AND(AH98&gt;0,COUNTIF($Y98:AG98,AH98)=0),0,IF(SUMPRODUCT(MOD(INT(AH143/{2,4,8,16,32,64,128,256,512,1024,2048,4096,8192,16384,32768}),2)*(1-MOD(INT(($CJ8+AG188)/{2,4,8,16,32,64,128,256,512,1024,2048,4096,8192,16384,32768}),2))*{2,4,8,16,32,64,128,256,512,1024,2048,4096,8192,16384,32768})=0,0,2^SUMPRODUCT(--(MOD(SUMPRODUCT(MOD(INT(AH143/{2,4,8,16,32,64,128,256,512,1024,2048,4096,8192,16384,32768}),2)*(1-MOD(INT(($CJ8+AG188)/{2,4,8,16,32,64,128,256,512,1024,2048,4096,8192,16384,32768}),2))*{2,4,8,16,32,64,128,256,512,1024,2048,4096,8192,16384,32768}),{2,4,8,16,32,64,128,256,512,1024,2048,4096,8192,16384,32768})=0))))</f>
        <v/>
      </c>
      <c r="AI188">
        <f>AH188+IF(AND(AI98&gt;0,COUNTIF($Y98:AH98,AI98)=0),0,IF(SUMPRODUCT(MOD(INT(AI143/{2,4,8,16,32,64,128,256,512,1024,2048,4096,8192,16384,32768}),2)*(1-MOD(INT(($CJ8+AH188)/{2,4,8,16,32,64,128,256,512,1024,2048,4096,8192,16384,32768}),2))*{2,4,8,16,32,64,128,256,512,1024,2048,4096,8192,16384,32768})=0,0,2^SUMPRODUCT(--(MOD(SUMPRODUCT(MOD(INT(AI143/{2,4,8,16,32,64,128,256,512,1024,2048,4096,8192,16384,32768}),2)*(1-MOD(INT(($CJ8+AH188)/{2,4,8,16,32,64,128,256,512,1024,2048,4096,8192,16384,32768}),2))*{2,4,8,16,32,64,128,256,512,1024,2048,4096,8192,16384,32768}),{2,4,8,16,32,64,128,256,512,1024,2048,4096,8192,16384,32768})=0))))</f>
        <v/>
      </c>
      <c r="AJ188">
        <f>AI188+IF(AND(AJ98&gt;0,COUNTIF($Y98:AI98,AJ98)=0),0,IF(SUMPRODUCT(MOD(INT(AJ143/{2,4,8,16,32,64,128,256,512,1024,2048,4096,8192,16384,32768}),2)*(1-MOD(INT(($CJ8+AI188)/{2,4,8,16,32,64,128,256,512,1024,2048,4096,8192,16384,32768}),2))*{2,4,8,16,32,64,128,256,512,1024,2048,4096,8192,16384,32768})=0,0,2^SUMPRODUCT(--(MOD(SUMPRODUCT(MOD(INT(AJ143/{2,4,8,16,32,64,128,256,512,1024,2048,4096,8192,16384,32768}),2)*(1-MOD(INT(($CJ8+AI188)/{2,4,8,16,32,64,128,256,512,1024,2048,4096,8192,16384,32768}),2))*{2,4,8,16,32,64,128,256,512,1024,2048,4096,8192,16384,32768}),{2,4,8,16,32,64,128,256,512,1024,2048,4096,8192,16384,32768})=0))))</f>
        <v/>
      </c>
      <c r="AK188">
        <f>AJ188+IF(AND(AK98&gt;0,COUNTIF($Y98:AJ98,AK98)=0),0,IF(SUMPRODUCT(MOD(INT(AK143/{2,4,8,16,32,64,128,256,512,1024,2048,4096,8192,16384,32768}),2)*(1-MOD(INT(($CJ8+AJ188)/{2,4,8,16,32,64,128,256,512,1024,2048,4096,8192,16384,32768}),2))*{2,4,8,16,32,64,128,256,512,1024,2048,4096,8192,16384,32768})=0,0,2^SUMPRODUCT(--(MOD(SUMPRODUCT(MOD(INT(AK143/{2,4,8,16,32,64,128,256,512,1024,2048,4096,8192,16384,32768}),2)*(1-MOD(INT(($CJ8+AJ188)/{2,4,8,16,32,64,128,256,512,1024,2048,4096,8192,16384,32768}),2))*{2,4,8,16,32,64,128,256,512,1024,2048,4096,8192,16384,32768}),{2,4,8,16,32,64,128,256,512,1024,2048,4096,8192,16384,32768})=0))))</f>
        <v/>
      </c>
      <c r="AL188">
        <f>AK188+IF(AND(AL98&gt;0,COUNTIF($Y98:AK98,AL98)=0),0,IF(SUMPRODUCT(MOD(INT(AL143/{2,4,8,16,32,64,128,256,512,1024,2048,4096,8192,16384,32768}),2)*(1-MOD(INT(($CJ8+AK188)/{2,4,8,16,32,64,128,256,512,1024,2048,4096,8192,16384,32768}),2))*{2,4,8,16,32,64,128,256,512,1024,2048,4096,8192,16384,32768})=0,0,2^SUMPRODUCT(--(MOD(SUMPRODUCT(MOD(INT(AL143/{2,4,8,16,32,64,128,256,512,1024,2048,4096,8192,16384,32768}),2)*(1-MOD(INT(($CJ8+AK188)/{2,4,8,16,32,64,128,256,512,1024,2048,4096,8192,16384,32768}),2))*{2,4,8,16,32,64,128,256,512,1024,2048,4096,8192,16384,32768}),{2,4,8,16,32,64,128,256,512,1024,2048,4096,8192,16384,32768})=0))))</f>
        <v/>
      </c>
      <c r="AM188">
        <f>AL188+IF(AND(AM98&gt;0,COUNTIF($Y98:AL98,AM98)=0),0,IF(SUMPRODUCT(MOD(INT(AM143/{2,4,8,16,32,64,128,256,512,1024,2048,4096,8192,16384,32768}),2)*(1-MOD(INT(($CJ8+AL188)/{2,4,8,16,32,64,128,256,512,1024,2048,4096,8192,16384,32768}),2))*{2,4,8,16,32,64,128,256,512,1024,2048,4096,8192,16384,32768})=0,0,2^SUMPRODUCT(--(MOD(SUMPRODUCT(MOD(INT(AM143/{2,4,8,16,32,64,128,256,512,1024,2048,4096,8192,16384,32768}),2)*(1-MOD(INT(($CJ8+AL188)/{2,4,8,16,32,64,128,256,512,1024,2048,4096,8192,16384,32768}),2))*{2,4,8,16,32,64,128,256,512,1024,2048,4096,8192,16384,32768}),{2,4,8,16,32,64,128,256,512,1024,2048,4096,8192,16384,32768})=0))))</f>
        <v/>
      </c>
      <c r="AN188">
        <f>AM188+IF(AND(AN98&gt;0,COUNTIF($Y98:AM98,AN98)=0),0,IF(SUMPRODUCT(MOD(INT(AN143/{2,4,8,16,32,64,128,256,512,1024,2048,4096,8192,16384,32768}),2)*(1-MOD(INT(($CJ8+AM188)/{2,4,8,16,32,64,128,256,512,1024,2048,4096,8192,16384,32768}),2))*{2,4,8,16,32,64,128,256,512,1024,2048,4096,8192,16384,32768})=0,0,2^SUMPRODUCT(--(MOD(SUMPRODUCT(MOD(INT(AN143/{2,4,8,16,32,64,128,256,512,1024,2048,4096,8192,16384,32768}),2)*(1-MOD(INT(($CJ8+AM188)/{2,4,8,16,32,64,128,256,512,1024,2048,4096,8192,16384,32768}),2))*{2,4,8,16,32,64,128,256,512,1024,2048,4096,8192,16384,32768}),{2,4,8,16,32,64,128,256,512,1024,2048,4096,8192,16384,32768})=0))))</f>
        <v/>
      </c>
      <c r="AO188">
        <f>AN188+IF(AND(AO98&gt;0,COUNTIF($Y98:AN98,AO98)=0),0,IF(SUMPRODUCT(MOD(INT(AO143/{2,4,8,16,32,64,128,256,512,1024,2048,4096,8192,16384,32768}),2)*(1-MOD(INT(($CJ8+AN188)/{2,4,8,16,32,64,128,256,512,1024,2048,4096,8192,16384,32768}),2))*{2,4,8,16,32,64,128,256,512,1024,2048,4096,8192,16384,32768})=0,0,2^SUMPRODUCT(--(MOD(SUMPRODUCT(MOD(INT(AO143/{2,4,8,16,32,64,128,256,512,1024,2048,4096,8192,16384,32768}),2)*(1-MOD(INT(($CJ8+AN188)/{2,4,8,16,32,64,128,256,512,1024,2048,4096,8192,16384,32768}),2))*{2,4,8,16,32,64,128,256,512,1024,2048,4096,8192,16384,32768}),{2,4,8,16,32,64,128,256,512,1024,2048,4096,8192,16384,32768})=0))))</f>
        <v/>
      </c>
      <c r="AP188">
        <f>AO188+IF(AND(AP98&gt;0,COUNTIF($Y98:AO98,AP98)=0),0,IF(SUMPRODUCT(MOD(INT(AP143/{2,4,8,16,32,64,128,256,512,1024,2048,4096,8192,16384,32768}),2)*(1-MOD(INT(($CJ8+AO188)/{2,4,8,16,32,64,128,256,512,1024,2048,4096,8192,16384,32768}),2))*{2,4,8,16,32,64,128,256,512,1024,2048,4096,8192,16384,32768})=0,0,2^SUMPRODUCT(--(MOD(SUMPRODUCT(MOD(INT(AP143/{2,4,8,16,32,64,128,256,512,1024,2048,4096,8192,16384,32768}),2)*(1-MOD(INT(($CJ8+AO188)/{2,4,8,16,32,64,128,256,512,1024,2048,4096,8192,16384,32768}),2))*{2,4,8,16,32,64,128,256,512,1024,2048,4096,8192,16384,32768}),{2,4,8,16,32,64,128,256,512,1024,2048,4096,8192,16384,32768})=0))))</f>
        <v/>
      </c>
      <c r="AQ188">
        <f>AP188+IF(AND(AQ98&gt;0,COUNTIF($Y98:AP98,AQ98)=0),0,IF(SUMPRODUCT(MOD(INT(AQ143/{2,4,8,16,32,64,128,256,512,1024,2048,4096,8192,16384,32768}),2)*(1-MOD(INT(($CJ8+AP188)/{2,4,8,16,32,64,128,256,512,1024,2048,4096,8192,16384,32768}),2))*{2,4,8,16,32,64,128,256,512,1024,2048,4096,8192,16384,32768})=0,0,2^SUMPRODUCT(--(MOD(SUMPRODUCT(MOD(INT(AQ143/{2,4,8,16,32,64,128,256,512,1024,2048,4096,8192,16384,32768}),2)*(1-MOD(INT(($CJ8+AP188)/{2,4,8,16,32,64,128,256,512,1024,2048,4096,8192,16384,32768}),2))*{2,4,8,16,32,64,128,256,512,1024,2048,4096,8192,16384,32768}),{2,4,8,16,32,64,128,256,512,1024,2048,4096,8192,16384,32768})=0))))</f>
        <v/>
      </c>
      <c r="AR188">
        <f>AQ188+IF(AND(AR98&gt;0,COUNTIF($Y98:AQ98,AR98)=0),0,IF(SUMPRODUCT(MOD(INT(AR143/{2,4,8,16,32,64,128,256,512,1024,2048,4096,8192,16384,32768}),2)*(1-MOD(INT(($CJ8+AQ188)/{2,4,8,16,32,64,128,256,512,1024,2048,4096,8192,16384,32768}),2))*{2,4,8,16,32,64,128,256,512,1024,2048,4096,8192,16384,32768})=0,0,2^SUMPRODUCT(--(MOD(SUMPRODUCT(MOD(INT(AR143/{2,4,8,16,32,64,128,256,512,1024,2048,4096,8192,16384,32768}),2)*(1-MOD(INT(($CJ8+AQ188)/{2,4,8,16,32,64,128,256,512,1024,2048,4096,8192,16384,32768}),2))*{2,4,8,16,32,64,128,256,512,1024,2048,4096,8192,16384,32768}),{2,4,8,16,32,64,128,256,512,1024,2048,4096,8192,16384,32768})=0))))</f>
        <v/>
      </c>
      <c r="AS188">
        <f>AR188+IF(AND(AS98&gt;0,COUNTIF($Y98:AR98,AS98)=0),0,IF(SUMPRODUCT(MOD(INT(AS143/{2,4,8,16,32,64,128,256,512,1024,2048,4096,8192,16384,32768}),2)*(1-MOD(INT(($CJ8+AR188)/{2,4,8,16,32,64,128,256,512,1024,2048,4096,8192,16384,32768}),2))*{2,4,8,16,32,64,128,256,512,1024,2048,4096,8192,16384,32768})=0,0,2^SUMPRODUCT(--(MOD(SUMPRODUCT(MOD(INT(AS143/{2,4,8,16,32,64,128,256,512,1024,2048,4096,8192,16384,32768}),2)*(1-MOD(INT(($CJ8+AR188)/{2,4,8,16,32,64,128,256,512,1024,2048,4096,8192,16384,32768}),2))*{2,4,8,16,32,64,128,256,512,1024,2048,4096,8192,16384,32768}),{2,4,8,16,32,64,128,256,512,1024,2048,4096,8192,16384,32768})=0))))</f>
        <v/>
      </c>
      <c r="AT188">
        <f>AS188+IF(AND(AT98&gt;0,COUNTIF($Y98:AS98,AT98)=0),0,IF(SUMPRODUCT(MOD(INT(AT143/{2,4,8,16,32,64,128,256,512,1024,2048,4096,8192,16384,32768}),2)*(1-MOD(INT(($CJ8+AS188)/{2,4,8,16,32,64,128,256,512,1024,2048,4096,8192,16384,32768}),2))*{2,4,8,16,32,64,128,256,512,1024,2048,4096,8192,16384,32768})=0,0,2^SUMPRODUCT(--(MOD(SUMPRODUCT(MOD(INT(AT143/{2,4,8,16,32,64,128,256,512,1024,2048,4096,8192,16384,32768}),2)*(1-MOD(INT(($CJ8+AS188)/{2,4,8,16,32,64,128,256,512,1024,2048,4096,8192,16384,32768}),2))*{2,4,8,16,32,64,128,256,512,1024,2048,4096,8192,16384,32768}),{2,4,8,16,32,64,128,256,512,1024,2048,4096,8192,16384,32768})=0))))</f>
        <v/>
      </c>
      <c r="AU188">
        <f>AT188+IF(AND(AU98&gt;0,COUNTIF($Y98:AT98,AU98)=0),0,IF(SUMPRODUCT(MOD(INT(AU143/{2,4,8,16,32,64,128,256,512,1024,2048,4096,8192,16384,32768}),2)*(1-MOD(INT(($CJ8+AT188)/{2,4,8,16,32,64,128,256,512,1024,2048,4096,8192,16384,32768}),2))*{2,4,8,16,32,64,128,256,512,1024,2048,4096,8192,16384,32768})=0,0,2^SUMPRODUCT(--(MOD(SUMPRODUCT(MOD(INT(AU143/{2,4,8,16,32,64,128,256,512,1024,2048,4096,8192,16384,32768}),2)*(1-MOD(INT(($CJ8+AT188)/{2,4,8,16,32,64,128,256,512,1024,2048,4096,8192,16384,32768}),2))*{2,4,8,16,32,64,128,256,512,1024,2048,4096,8192,16384,32768}),{2,4,8,16,32,64,128,256,512,1024,2048,4096,8192,16384,32768})=0))))</f>
        <v/>
      </c>
      <c r="AV188">
        <f>AU188+IF(AND(AV98&gt;0,COUNTIF($Y98:AU98,AV98)=0),0,IF(SUMPRODUCT(MOD(INT(AV143/{2,4,8,16,32,64,128,256,512,1024,2048,4096,8192,16384,32768}),2)*(1-MOD(INT(($CJ8+AU188)/{2,4,8,16,32,64,128,256,512,1024,2048,4096,8192,16384,32768}),2))*{2,4,8,16,32,64,128,256,512,1024,2048,4096,8192,16384,32768})=0,0,2^SUMPRODUCT(--(MOD(SUMPRODUCT(MOD(INT(AV143/{2,4,8,16,32,64,128,256,512,1024,2048,4096,8192,16384,32768}),2)*(1-MOD(INT(($CJ8+AU188)/{2,4,8,16,32,64,128,256,512,1024,2048,4096,8192,16384,32768}),2))*{2,4,8,16,32,64,128,256,512,1024,2048,4096,8192,16384,32768}),{2,4,8,16,32,64,128,256,512,1024,2048,4096,8192,16384,32768})=0))))</f>
        <v/>
      </c>
      <c r="AW188">
        <f>AV188+IF(AND(AW98&gt;0,COUNTIF($Y98:AV98,AW98)=0),0,IF(SUMPRODUCT(MOD(INT(AW143/{2,4,8,16,32,64,128,256,512,1024,2048,4096,8192,16384,32768}),2)*(1-MOD(INT(($CJ8+AV188)/{2,4,8,16,32,64,128,256,512,1024,2048,4096,8192,16384,32768}),2))*{2,4,8,16,32,64,128,256,512,1024,2048,4096,8192,16384,32768})=0,0,2^SUMPRODUCT(--(MOD(SUMPRODUCT(MOD(INT(AW143/{2,4,8,16,32,64,128,256,512,1024,2048,4096,8192,16384,32768}),2)*(1-MOD(INT(($CJ8+AV188)/{2,4,8,16,32,64,128,256,512,1024,2048,4096,8192,16384,32768}),2))*{2,4,8,16,32,64,128,256,512,1024,2048,4096,8192,16384,32768}),{2,4,8,16,32,64,128,256,512,1024,2048,4096,8192,16384,32768})=0))))</f>
        <v/>
      </c>
      <c r="AX188">
        <f>AW188+IF(AND(AX98&gt;0,COUNTIF($Y98:AW98,AX98)=0),0,IF(SUMPRODUCT(MOD(INT(AX143/{2,4,8,16,32,64,128,256,512,1024,2048,4096,8192,16384,32768}),2)*(1-MOD(INT(($CJ8+AW188)/{2,4,8,16,32,64,128,256,512,1024,2048,4096,8192,16384,32768}),2))*{2,4,8,16,32,64,128,256,512,1024,2048,4096,8192,16384,32768})=0,0,2^SUMPRODUCT(--(MOD(SUMPRODUCT(MOD(INT(AX143/{2,4,8,16,32,64,128,256,512,1024,2048,4096,8192,16384,32768}),2)*(1-MOD(INT(($CJ8+AW188)/{2,4,8,16,32,64,128,256,512,1024,2048,4096,8192,16384,32768}),2))*{2,4,8,16,32,64,128,256,512,1024,2048,4096,8192,16384,32768}),{2,4,8,16,32,64,128,256,512,1024,2048,4096,8192,16384,32768})=0))))</f>
        <v/>
      </c>
      <c r="AY188">
        <f>AX188+IF(AND(AY98&gt;0,COUNTIF($Y98:AX98,AY98)=0),0,IF(SUMPRODUCT(MOD(INT(AY143/{2,4,8,16,32,64,128,256,512,1024,2048,4096,8192,16384,32768}),2)*(1-MOD(INT(($CJ8+AX188)/{2,4,8,16,32,64,128,256,512,1024,2048,4096,8192,16384,32768}),2))*{2,4,8,16,32,64,128,256,512,1024,2048,4096,8192,16384,32768})=0,0,2^SUMPRODUCT(--(MOD(SUMPRODUCT(MOD(INT(AY143/{2,4,8,16,32,64,128,256,512,1024,2048,4096,8192,16384,32768}),2)*(1-MOD(INT(($CJ8+AX188)/{2,4,8,16,32,64,128,256,512,1024,2048,4096,8192,16384,32768}),2))*{2,4,8,16,32,64,128,256,512,1024,2048,4096,8192,16384,32768}),{2,4,8,16,32,64,128,256,512,1024,2048,4096,8192,16384,32768})=0))))</f>
        <v/>
      </c>
      <c r="AZ188">
        <f>AY188+IF(AND(AZ98&gt;0,COUNTIF($Y98:AY98,AZ98)=0),0,IF(SUMPRODUCT(MOD(INT(AZ143/{2,4,8,16,32,64,128,256,512,1024,2048,4096,8192,16384,32768}),2)*(1-MOD(INT(($CJ8+AY188)/{2,4,8,16,32,64,128,256,512,1024,2048,4096,8192,16384,32768}),2))*{2,4,8,16,32,64,128,256,512,1024,2048,4096,8192,16384,32768})=0,0,2^SUMPRODUCT(--(MOD(SUMPRODUCT(MOD(INT(AZ143/{2,4,8,16,32,64,128,256,512,1024,2048,4096,8192,16384,32768}),2)*(1-MOD(INT(($CJ8+AY188)/{2,4,8,16,32,64,128,256,512,1024,2048,4096,8192,16384,32768}),2))*{2,4,8,16,32,64,128,256,512,1024,2048,4096,8192,16384,32768}),{2,4,8,16,32,64,128,256,512,1024,2048,4096,8192,16384,32768})=0))))</f>
        <v/>
      </c>
      <c r="BA188">
        <f>AZ188+IF(AND(BA98&gt;0,COUNTIF($Y98:AZ98,BA98)=0),0,IF(SUMPRODUCT(MOD(INT(BA143/{2,4,8,16,32,64,128,256,512,1024,2048,4096,8192,16384,32768}),2)*(1-MOD(INT(($CJ8+AZ188)/{2,4,8,16,32,64,128,256,512,1024,2048,4096,8192,16384,32768}),2))*{2,4,8,16,32,64,128,256,512,1024,2048,4096,8192,16384,32768})=0,0,2^SUMPRODUCT(--(MOD(SUMPRODUCT(MOD(INT(BA143/{2,4,8,16,32,64,128,256,512,1024,2048,4096,8192,16384,32768}),2)*(1-MOD(INT(($CJ8+AZ188)/{2,4,8,16,32,64,128,256,512,1024,2048,4096,8192,16384,32768}),2))*{2,4,8,16,32,64,128,256,512,1024,2048,4096,8192,16384,32768}),{2,4,8,16,32,64,128,256,512,1024,2048,4096,8192,16384,32768})=0))))</f>
        <v/>
      </c>
      <c r="BB188">
        <f>BA188+IF(AND(BB98&gt;0,COUNTIF($Y98:BA98,BB98)=0),0,IF(SUMPRODUCT(MOD(INT(BB143/{2,4,8,16,32,64,128,256,512,1024,2048,4096,8192,16384,32768}),2)*(1-MOD(INT(($CJ8+BA188)/{2,4,8,16,32,64,128,256,512,1024,2048,4096,8192,16384,32768}),2))*{2,4,8,16,32,64,128,256,512,1024,2048,4096,8192,16384,32768})=0,0,2^SUMPRODUCT(--(MOD(SUMPRODUCT(MOD(INT(BB143/{2,4,8,16,32,64,128,256,512,1024,2048,4096,8192,16384,32768}),2)*(1-MOD(INT(($CJ8+BA188)/{2,4,8,16,32,64,128,256,512,1024,2048,4096,8192,16384,32768}),2))*{2,4,8,16,32,64,128,256,512,1024,2048,4096,8192,16384,32768}),{2,4,8,16,32,64,128,256,512,1024,2048,4096,8192,16384,32768})=0))))</f>
        <v/>
      </c>
      <c r="BC188">
        <f>BB188+IF(AND(BC98&gt;0,COUNTIF($Y98:BB98,BC98)=0),0,IF(SUMPRODUCT(MOD(INT(BC143/{2,4,8,16,32,64,128,256,512,1024,2048,4096,8192,16384,32768}),2)*(1-MOD(INT(($CJ8+BB188)/{2,4,8,16,32,64,128,256,512,1024,2048,4096,8192,16384,32768}),2))*{2,4,8,16,32,64,128,256,512,1024,2048,4096,8192,16384,32768})=0,0,2^SUMPRODUCT(--(MOD(SUMPRODUCT(MOD(INT(BC143/{2,4,8,16,32,64,128,256,512,1024,2048,4096,8192,16384,32768}),2)*(1-MOD(INT(($CJ8+BB188)/{2,4,8,16,32,64,128,256,512,1024,2048,4096,8192,16384,32768}),2))*{2,4,8,16,32,64,128,256,512,1024,2048,4096,8192,16384,32768}),{2,4,8,16,32,64,128,256,512,1024,2048,4096,8192,16384,32768})=0))))</f>
        <v/>
      </c>
      <c r="BD188">
        <f>BC188+IF(AND(BD98&gt;0,COUNTIF($Y98:BC98,BD98)=0),0,IF(SUMPRODUCT(MOD(INT(BD143/{2,4,8,16,32,64,128,256,512,1024,2048,4096,8192,16384,32768}),2)*(1-MOD(INT(($CJ8+BC188)/{2,4,8,16,32,64,128,256,512,1024,2048,4096,8192,16384,32768}),2))*{2,4,8,16,32,64,128,256,512,1024,2048,4096,8192,16384,32768})=0,0,2^SUMPRODUCT(--(MOD(SUMPRODUCT(MOD(INT(BD143/{2,4,8,16,32,64,128,256,512,1024,2048,4096,8192,16384,32768}),2)*(1-MOD(INT(($CJ8+BC188)/{2,4,8,16,32,64,128,256,512,1024,2048,4096,8192,16384,32768}),2))*{2,4,8,16,32,64,128,256,512,1024,2048,4096,8192,16384,32768}),{2,4,8,16,32,64,128,256,512,1024,2048,4096,8192,16384,32768})=0))))</f>
        <v/>
      </c>
      <c r="BE188">
        <f>BD188+IF(AND(BE98&gt;0,COUNTIF($Y98:BD98,BE98)=0),0,IF(SUMPRODUCT(MOD(INT(BE143/{2,4,8,16,32,64,128,256,512,1024,2048,4096,8192,16384,32768}),2)*(1-MOD(INT(($CJ8+BD188)/{2,4,8,16,32,64,128,256,512,1024,2048,4096,8192,16384,32768}),2))*{2,4,8,16,32,64,128,256,512,1024,2048,4096,8192,16384,32768})=0,0,2^SUMPRODUCT(--(MOD(SUMPRODUCT(MOD(INT(BE143/{2,4,8,16,32,64,128,256,512,1024,2048,4096,8192,16384,32768}),2)*(1-MOD(INT(($CJ8+BD188)/{2,4,8,16,32,64,128,256,512,1024,2048,4096,8192,16384,32768}),2))*{2,4,8,16,32,64,128,256,512,1024,2048,4096,8192,16384,32768}),{2,4,8,16,32,64,128,256,512,1024,2048,4096,8192,16384,32768})=0))))</f>
        <v/>
      </c>
      <c r="BF188">
        <f>BE188+IF(AND(BF98&gt;0,COUNTIF($Y98:BE98,BF98)=0),0,IF(SUMPRODUCT(MOD(INT(BF143/{2,4,8,16,32,64,128,256,512,1024,2048,4096,8192,16384,32768}),2)*(1-MOD(INT(($CJ8+BE188)/{2,4,8,16,32,64,128,256,512,1024,2048,4096,8192,16384,32768}),2))*{2,4,8,16,32,64,128,256,512,1024,2048,4096,8192,16384,32768})=0,0,2^SUMPRODUCT(--(MOD(SUMPRODUCT(MOD(INT(BF143/{2,4,8,16,32,64,128,256,512,1024,2048,4096,8192,16384,32768}),2)*(1-MOD(INT(($CJ8+BE188)/{2,4,8,16,32,64,128,256,512,1024,2048,4096,8192,16384,32768}),2))*{2,4,8,16,32,64,128,256,512,1024,2048,4096,8192,16384,32768}),{2,4,8,16,32,64,128,256,512,1024,2048,4096,8192,16384,32768})=0))))</f>
        <v/>
      </c>
      <c r="BG188">
        <f>BF188+IF(AND(BG98&gt;0,COUNTIF($Y98:BF98,BG98)=0),0,IF(SUMPRODUCT(MOD(INT(BG143/{2,4,8,16,32,64,128,256,512,1024,2048,4096,8192,16384,32768}),2)*(1-MOD(INT(($CJ8+BF188)/{2,4,8,16,32,64,128,256,512,1024,2048,4096,8192,16384,32768}),2))*{2,4,8,16,32,64,128,256,512,1024,2048,4096,8192,16384,32768})=0,0,2^SUMPRODUCT(--(MOD(SUMPRODUCT(MOD(INT(BG143/{2,4,8,16,32,64,128,256,512,1024,2048,4096,8192,16384,32768}),2)*(1-MOD(INT(($CJ8+BF188)/{2,4,8,16,32,64,128,256,512,1024,2048,4096,8192,16384,32768}),2))*{2,4,8,16,32,64,128,256,512,1024,2048,4096,8192,16384,32768}),{2,4,8,16,32,64,128,256,512,1024,2048,4096,8192,16384,32768})=0))))</f>
        <v/>
      </c>
      <c r="BH188">
        <f>BG188+IF(AND(BH98&gt;0,COUNTIF($Y98:BG98,BH98)=0),0,IF(SUMPRODUCT(MOD(INT(BH143/{2,4,8,16,32,64,128,256,512,1024,2048,4096,8192,16384,32768}),2)*(1-MOD(INT(($CJ8+BG188)/{2,4,8,16,32,64,128,256,512,1024,2048,4096,8192,16384,32768}),2))*{2,4,8,16,32,64,128,256,512,1024,2048,4096,8192,16384,32768})=0,0,2^SUMPRODUCT(--(MOD(SUMPRODUCT(MOD(INT(BH143/{2,4,8,16,32,64,128,256,512,1024,2048,4096,8192,16384,32768}),2)*(1-MOD(INT(($CJ8+BG188)/{2,4,8,16,32,64,128,256,512,1024,2048,4096,8192,16384,32768}),2))*{2,4,8,16,32,64,128,256,512,1024,2048,4096,8192,16384,32768}),{2,4,8,16,32,64,128,256,512,1024,2048,4096,8192,16384,32768})=0))))</f>
        <v/>
      </c>
      <c r="BI188">
        <f>BH188+IF(AND(BI98&gt;0,COUNTIF($Y98:BH98,BI98)=0),0,IF(SUMPRODUCT(MOD(INT(BI143/{2,4,8,16,32,64,128,256,512,1024,2048,4096,8192,16384,32768}),2)*(1-MOD(INT(($CJ8+BH188)/{2,4,8,16,32,64,128,256,512,1024,2048,4096,8192,16384,32768}),2))*{2,4,8,16,32,64,128,256,512,1024,2048,4096,8192,16384,32768})=0,0,2^SUMPRODUCT(--(MOD(SUMPRODUCT(MOD(INT(BI143/{2,4,8,16,32,64,128,256,512,1024,2048,4096,8192,16384,32768}),2)*(1-MOD(INT(($CJ8+BH188)/{2,4,8,16,32,64,128,256,512,1024,2048,4096,8192,16384,32768}),2))*{2,4,8,16,32,64,128,256,512,1024,2048,4096,8192,16384,32768}),{2,4,8,16,32,64,128,256,512,1024,2048,4096,8192,16384,32768})=0))))</f>
        <v/>
      </c>
      <c r="BJ188">
        <f>BI188+IF(AND(BJ98&gt;0,COUNTIF($Y98:BI98,BJ98)=0),0,IF(SUMPRODUCT(MOD(INT(BJ143/{2,4,8,16,32,64,128,256,512,1024,2048,4096,8192,16384,32768}),2)*(1-MOD(INT(($CJ8+BI188)/{2,4,8,16,32,64,128,256,512,1024,2048,4096,8192,16384,32768}),2))*{2,4,8,16,32,64,128,256,512,1024,2048,4096,8192,16384,32768})=0,0,2^SUMPRODUCT(--(MOD(SUMPRODUCT(MOD(INT(BJ143/{2,4,8,16,32,64,128,256,512,1024,2048,4096,8192,16384,32768}),2)*(1-MOD(INT(($CJ8+BI188)/{2,4,8,16,32,64,128,256,512,1024,2048,4096,8192,16384,32768}),2))*{2,4,8,16,32,64,128,256,512,1024,2048,4096,8192,16384,32768}),{2,4,8,16,32,64,128,256,512,1024,2048,4096,8192,16384,32768})=0))))</f>
        <v/>
      </c>
      <c r="BK188">
        <f>BJ188+IF(AND(BK98&gt;0,COUNTIF($Y98:BJ98,BK98)=0),0,IF(SUMPRODUCT(MOD(INT(BK143/{2,4,8,16,32,64,128,256,512,1024,2048,4096,8192,16384,32768}),2)*(1-MOD(INT(($CJ8+BJ188)/{2,4,8,16,32,64,128,256,512,1024,2048,4096,8192,16384,32768}),2))*{2,4,8,16,32,64,128,256,512,1024,2048,4096,8192,16384,32768})=0,0,2^SUMPRODUCT(--(MOD(SUMPRODUCT(MOD(INT(BK143/{2,4,8,16,32,64,128,256,512,1024,2048,4096,8192,16384,32768}),2)*(1-MOD(INT(($CJ8+BJ188)/{2,4,8,16,32,64,128,256,512,1024,2048,4096,8192,16384,32768}),2))*{2,4,8,16,32,64,128,256,512,1024,2048,4096,8192,16384,32768}),{2,4,8,16,32,64,128,256,512,1024,2048,4096,8192,16384,32768})=0))))</f>
        <v/>
      </c>
      <c r="BL188">
        <f>BK188+IF(AND(BL98&gt;0,COUNTIF($Y98:BK98,BL98)=0),0,IF(SUMPRODUCT(MOD(INT(BL143/{2,4,8,16,32,64,128,256,512,1024,2048,4096,8192,16384,32768}),2)*(1-MOD(INT(($CJ8+BK188)/{2,4,8,16,32,64,128,256,512,1024,2048,4096,8192,16384,32768}),2))*{2,4,8,16,32,64,128,256,512,1024,2048,4096,8192,16384,32768})=0,0,2^SUMPRODUCT(--(MOD(SUMPRODUCT(MOD(INT(BL143/{2,4,8,16,32,64,128,256,512,1024,2048,4096,8192,16384,32768}),2)*(1-MOD(INT(($CJ8+BK188)/{2,4,8,16,32,64,128,256,512,1024,2048,4096,8192,16384,32768}),2))*{2,4,8,16,32,64,128,256,512,1024,2048,4096,8192,16384,32768}),{2,4,8,16,32,64,128,256,512,1024,2048,4096,8192,16384,32768})=0))))</f>
        <v/>
      </c>
      <c r="BM188">
        <f>BL188+IF(AND(BM98&gt;0,COUNTIF($Y98:BL98,BM98)=0),0,IF(SUMPRODUCT(MOD(INT(BM143/{2,4,8,16,32,64,128,256,512,1024,2048,4096,8192,16384,32768}),2)*(1-MOD(INT(($CJ8+BL188)/{2,4,8,16,32,64,128,256,512,1024,2048,4096,8192,16384,32768}),2))*{2,4,8,16,32,64,128,256,512,1024,2048,4096,8192,16384,32768})=0,0,2^SUMPRODUCT(--(MOD(SUMPRODUCT(MOD(INT(BM143/{2,4,8,16,32,64,128,256,512,1024,2048,4096,8192,16384,32768}),2)*(1-MOD(INT(($CJ8+BL188)/{2,4,8,16,32,64,128,256,512,1024,2048,4096,8192,16384,32768}),2))*{2,4,8,16,32,64,128,256,512,1024,2048,4096,8192,16384,32768}),{2,4,8,16,32,64,128,256,512,1024,2048,4096,8192,16384,32768})=0))))</f>
        <v/>
      </c>
      <c r="BN188">
        <f>BM188+IF(AND(BN98&gt;0,COUNTIF($Y98:BM98,BN98)=0),0,IF(SUMPRODUCT(MOD(INT(BN143/{2,4,8,16,32,64,128,256,512,1024,2048,4096,8192,16384,32768}),2)*(1-MOD(INT(($CJ8+BM188)/{2,4,8,16,32,64,128,256,512,1024,2048,4096,8192,16384,32768}),2))*{2,4,8,16,32,64,128,256,512,1024,2048,4096,8192,16384,32768})=0,0,2^SUMPRODUCT(--(MOD(SUMPRODUCT(MOD(INT(BN143/{2,4,8,16,32,64,128,256,512,1024,2048,4096,8192,16384,32768}),2)*(1-MOD(INT(($CJ8+BM188)/{2,4,8,16,32,64,128,256,512,1024,2048,4096,8192,16384,32768}),2))*{2,4,8,16,32,64,128,256,512,1024,2048,4096,8192,16384,32768}),{2,4,8,16,32,64,128,256,512,1024,2048,4096,8192,16384,32768})=0))))</f>
        <v/>
      </c>
      <c r="BO188">
        <f>BN188+IF(AND(BO98&gt;0,COUNTIF($Y98:BN98,BO98)=0),0,IF(SUMPRODUCT(MOD(INT(BO143/{2,4,8,16,32,64,128,256,512,1024,2048,4096,8192,16384,32768}),2)*(1-MOD(INT(($CJ8+BN188)/{2,4,8,16,32,64,128,256,512,1024,2048,4096,8192,16384,32768}),2))*{2,4,8,16,32,64,128,256,512,1024,2048,4096,8192,16384,32768})=0,0,2^SUMPRODUCT(--(MOD(SUMPRODUCT(MOD(INT(BO143/{2,4,8,16,32,64,128,256,512,1024,2048,4096,8192,16384,32768}),2)*(1-MOD(INT(($CJ8+BN188)/{2,4,8,16,32,64,128,256,512,1024,2048,4096,8192,16384,32768}),2))*{2,4,8,16,32,64,128,256,512,1024,2048,4096,8192,16384,32768}),{2,4,8,16,32,64,128,256,512,1024,2048,4096,8192,16384,32768})=0))))</f>
        <v/>
      </c>
      <c r="BP188">
        <f>BO188+IF(AND(BP98&gt;0,COUNTIF($Y98:BO98,BP98)=0),0,IF(SUMPRODUCT(MOD(INT(BP143/{2,4,8,16,32,64,128,256,512,1024,2048,4096,8192,16384,32768}),2)*(1-MOD(INT(($CJ8+BO188)/{2,4,8,16,32,64,128,256,512,1024,2048,4096,8192,16384,32768}),2))*{2,4,8,16,32,64,128,256,512,1024,2048,4096,8192,16384,32768})=0,0,2^SUMPRODUCT(--(MOD(SUMPRODUCT(MOD(INT(BP143/{2,4,8,16,32,64,128,256,512,1024,2048,4096,8192,16384,32768}),2)*(1-MOD(INT(($CJ8+BO188)/{2,4,8,16,32,64,128,256,512,1024,2048,4096,8192,16384,32768}),2))*{2,4,8,16,32,64,128,256,512,1024,2048,4096,8192,16384,32768}),{2,4,8,16,32,64,128,256,512,1024,2048,4096,8192,16384,32768})=0))))</f>
        <v/>
      </c>
      <c r="BQ188">
        <f>BP188+IF(AND(BQ98&gt;0,COUNTIF($Y98:BP98,BQ98)=0),0,IF(SUMPRODUCT(MOD(INT(BQ143/{2,4,8,16,32,64,128,256,512,1024,2048,4096,8192,16384,32768}),2)*(1-MOD(INT(($CJ8+BP188)/{2,4,8,16,32,64,128,256,512,1024,2048,4096,8192,16384,32768}),2))*{2,4,8,16,32,64,128,256,512,1024,2048,4096,8192,16384,32768})=0,0,2^SUMPRODUCT(--(MOD(SUMPRODUCT(MOD(INT(BQ143/{2,4,8,16,32,64,128,256,512,1024,2048,4096,8192,16384,32768}),2)*(1-MOD(INT(($CJ8+BP188)/{2,4,8,16,32,64,128,256,512,1024,2048,4096,8192,16384,32768}),2))*{2,4,8,16,32,64,128,256,512,1024,2048,4096,8192,16384,32768}),{2,4,8,16,32,64,128,256,512,1024,2048,4096,8192,16384,32768})=0))))</f>
        <v/>
      </c>
      <c r="BR188">
        <f>BQ188+IF(AND(BR98&gt;0,COUNTIF($Y98:BQ98,BR98)=0),0,IF(SUMPRODUCT(MOD(INT(BR143/{2,4,8,16,32,64,128,256,512,1024,2048,4096,8192,16384,32768}),2)*(1-MOD(INT(($CJ8+BQ188)/{2,4,8,16,32,64,128,256,512,1024,2048,4096,8192,16384,32768}),2))*{2,4,8,16,32,64,128,256,512,1024,2048,4096,8192,16384,32768})=0,0,2^SUMPRODUCT(--(MOD(SUMPRODUCT(MOD(INT(BR143/{2,4,8,16,32,64,128,256,512,1024,2048,4096,8192,16384,32768}),2)*(1-MOD(INT(($CJ8+BQ188)/{2,4,8,16,32,64,128,256,512,1024,2048,4096,8192,16384,32768}),2))*{2,4,8,16,32,64,128,256,512,1024,2048,4096,8192,16384,32768}),{2,4,8,16,32,64,128,256,512,1024,2048,4096,8192,16384,32768})=0))))</f>
        <v/>
      </c>
      <c r="BS188">
        <f>BR188+IF(AND(BS98&gt;0,COUNTIF($Y98:BR98,BS98)=0),0,IF(SUMPRODUCT(MOD(INT(BS143/{2,4,8,16,32,64,128,256,512,1024,2048,4096,8192,16384,32768}),2)*(1-MOD(INT(($CJ8+BR188)/{2,4,8,16,32,64,128,256,512,1024,2048,4096,8192,16384,32768}),2))*{2,4,8,16,32,64,128,256,512,1024,2048,4096,8192,16384,32768})=0,0,2^SUMPRODUCT(--(MOD(SUMPRODUCT(MOD(INT(BS143/{2,4,8,16,32,64,128,256,512,1024,2048,4096,8192,16384,32768}),2)*(1-MOD(INT(($CJ8+BR188)/{2,4,8,16,32,64,128,256,512,1024,2048,4096,8192,16384,32768}),2))*{2,4,8,16,32,64,128,256,512,1024,2048,4096,8192,16384,32768}),{2,4,8,16,32,64,128,256,512,1024,2048,4096,8192,16384,32768})=0))))</f>
        <v/>
      </c>
      <c r="BT188">
        <f>BS188+IF(AND(BT98&gt;0,COUNTIF($Y98:BS98,BT98)=0),0,IF(SUMPRODUCT(MOD(INT(BT143/{2,4,8,16,32,64,128,256,512,1024,2048,4096,8192,16384,32768}),2)*(1-MOD(INT(($CJ8+BS188)/{2,4,8,16,32,64,128,256,512,1024,2048,4096,8192,16384,32768}),2))*{2,4,8,16,32,64,128,256,512,1024,2048,4096,8192,16384,32768})=0,0,2^SUMPRODUCT(--(MOD(SUMPRODUCT(MOD(INT(BT143/{2,4,8,16,32,64,128,256,512,1024,2048,4096,8192,16384,32768}),2)*(1-MOD(INT(($CJ8+BS188)/{2,4,8,16,32,64,128,256,512,1024,2048,4096,8192,16384,32768}),2))*{2,4,8,16,32,64,128,256,512,1024,2048,4096,8192,16384,32768}),{2,4,8,16,32,64,128,256,512,1024,2048,4096,8192,16384,32768})=0))))</f>
        <v/>
      </c>
      <c r="BU188">
        <f>BT188+IF(AND(BU98&gt;0,COUNTIF($Y98:BT98,BU98)=0),0,IF(SUMPRODUCT(MOD(INT(BU143/{2,4,8,16,32,64,128,256,512,1024,2048,4096,8192,16384,32768}),2)*(1-MOD(INT(($CJ8+BT188)/{2,4,8,16,32,64,128,256,512,1024,2048,4096,8192,16384,32768}),2))*{2,4,8,16,32,64,128,256,512,1024,2048,4096,8192,16384,32768})=0,0,2^SUMPRODUCT(--(MOD(SUMPRODUCT(MOD(INT(BU143/{2,4,8,16,32,64,128,256,512,1024,2048,4096,8192,16384,32768}),2)*(1-MOD(INT(($CJ8+BT188)/{2,4,8,16,32,64,128,256,512,1024,2048,4096,8192,16384,32768}),2))*{2,4,8,16,32,64,128,256,512,1024,2048,4096,8192,16384,32768}),{2,4,8,16,32,64,128,256,512,1024,2048,4096,8192,16384,32768})=0))))</f>
        <v/>
      </c>
      <c r="BV188">
        <f>BU188+IF(AND(BV98&gt;0,COUNTIF($Y98:BU98,BV98)=0),0,IF(SUMPRODUCT(MOD(INT(BV143/{2,4,8,16,32,64,128,256,512,1024,2048,4096,8192,16384,32768}),2)*(1-MOD(INT(($CJ8+BU188)/{2,4,8,16,32,64,128,256,512,1024,2048,4096,8192,16384,32768}),2))*{2,4,8,16,32,64,128,256,512,1024,2048,4096,8192,16384,32768})=0,0,2^SUMPRODUCT(--(MOD(SUMPRODUCT(MOD(INT(BV143/{2,4,8,16,32,64,128,256,512,1024,2048,4096,8192,16384,32768}),2)*(1-MOD(INT(($CJ8+BU188)/{2,4,8,16,32,64,128,256,512,1024,2048,4096,8192,16384,32768}),2))*{2,4,8,16,32,64,128,256,512,1024,2048,4096,8192,16384,32768}),{2,4,8,16,32,64,128,256,512,1024,2048,4096,8192,16384,32768})=0))))</f>
        <v/>
      </c>
      <c r="BW188">
        <f>BV188+IF(AND(BW98&gt;0,COUNTIF($Y98:BV98,BW98)=0),0,IF(SUMPRODUCT(MOD(INT(BW143/{2,4,8,16,32,64,128,256,512,1024,2048,4096,8192,16384,32768}),2)*(1-MOD(INT(($CJ8+BV188)/{2,4,8,16,32,64,128,256,512,1024,2048,4096,8192,16384,32768}),2))*{2,4,8,16,32,64,128,256,512,1024,2048,4096,8192,16384,32768})=0,0,2^SUMPRODUCT(--(MOD(SUMPRODUCT(MOD(INT(BW143/{2,4,8,16,32,64,128,256,512,1024,2048,4096,8192,16384,32768}),2)*(1-MOD(INT(($CJ8+BV188)/{2,4,8,16,32,64,128,256,512,1024,2048,4096,8192,16384,32768}),2))*{2,4,8,16,32,64,128,256,512,1024,2048,4096,8192,16384,32768}),{2,4,8,16,32,64,128,256,512,1024,2048,4096,8192,16384,32768})=0))))</f>
        <v/>
      </c>
      <c r="BX188">
        <f>BW188+IF(AND(BX98&gt;0,COUNTIF($Y98:BW98,BX98)=0),0,IF(SUMPRODUCT(MOD(INT(BX143/{2,4,8,16,32,64,128,256,512,1024,2048,4096,8192,16384,32768}),2)*(1-MOD(INT(($CJ8+BW188)/{2,4,8,16,32,64,128,256,512,1024,2048,4096,8192,16384,32768}),2))*{2,4,8,16,32,64,128,256,512,1024,2048,4096,8192,16384,32768})=0,0,2^SUMPRODUCT(--(MOD(SUMPRODUCT(MOD(INT(BX143/{2,4,8,16,32,64,128,256,512,1024,2048,4096,8192,16384,32768}),2)*(1-MOD(INT(($CJ8+BW188)/{2,4,8,16,32,64,128,256,512,1024,2048,4096,8192,16384,32768}),2))*{2,4,8,16,32,64,128,256,512,1024,2048,4096,8192,16384,32768}),{2,4,8,16,32,64,128,256,512,1024,2048,4096,8192,16384,32768})=0))))</f>
        <v/>
      </c>
      <c r="BY188">
        <f>BX188+IF(AND(BY98&gt;0,COUNTIF($Y98:BX98,BY98)=0),0,IF(SUMPRODUCT(MOD(INT(BY143/{2,4,8,16,32,64,128,256,512,1024,2048,4096,8192,16384,32768}),2)*(1-MOD(INT(($CJ8+BX188)/{2,4,8,16,32,64,128,256,512,1024,2048,4096,8192,16384,32768}),2))*{2,4,8,16,32,64,128,256,512,1024,2048,4096,8192,16384,32768})=0,0,2^SUMPRODUCT(--(MOD(SUMPRODUCT(MOD(INT(BY143/{2,4,8,16,32,64,128,256,512,1024,2048,4096,8192,16384,32768}),2)*(1-MOD(INT(($CJ8+BX188)/{2,4,8,16,32,64,128,256,512,1024,2048,4096,8192,16384,32768}),2))*{2,4,8,16,32,64,128,256,512,1024,2048,4096,8192,16384,32768}),{2,4,8,16,32,64,128,256,512,1024,2048,4096,8192,16384,32768})=0))))</f>
        <v/>
      </c>
      <c r="BZ188">
        <f>BY188+IF(AND(BZ98&gt;0,COUNTIF($Y98:BY98,BZ98)=0),0,IF(SUMPRODUCT(MOD(INT(BZ143/{2,4,8,16,32,64,128,256,512,1024,2048,4096,8192,16384,32768}),2)*(1-MOD(INT(($CJ8+BY188)/{2,4,8,16,32,64,128,256,512,1024,2048,4096,8192,16384,32768}),2))*{2,4,8,16,32,64,128,256,512,1024,2048,4096,8192,16384,32768})=0,0,2^SUMPRODUCT(--(MOD(SUMPRODUCT(MOD(INT(BZ143/{2,4,8,16,32,64,128,256,512,1024,2048,4096,8192,16384,32768}),2)*(1-MOD(INT(($CJ8+BY188)/{2,4,8,16,32,64,128,256,512,1024,2048,4096,8192,16384,32768}),2))*{2,4,8,16,32,64,128,256,512,1024,2048,4096,8192,16384,32768}),{2,4,8,16,32,64,128,256,512,1024,2048,4096,8192,16384,32768})=0))))</f>
        <v/>
      </c>
      <c r="CA188">
        <f>BZ188+IF(AND(CA98&gt;0,COUNTIF($Y98:BZ98,CA98)=0),0,IF(SUMPRODUCT(MOD(INT(CA143/{2,4,8,16,32,64,128,256,512,1024,2048,4096,8192,16384,32768}),2)*(1-MOD(INT(($CJ8+BZ188)/{2,4,8,16,32,64,128,256,512,1024,2048,4096,8192,16384,32768}),2))*{2,4,8,16,32,64,128,256,512,1024,2048,4096,8192,16384,32768})=0,0,2^SUMPRODUCT(--(MOD(SUMPRODUCT(MOD(INT(CA143/{2,4,8,16,32,64,128,256,512,1024,2048,4096,8192,16384,32768}),2)*(1-MOD(INT(($CJ8+BZ188)/{2,4,8,16,32,64,128,256,512,1024,2048,4096,8192,16384,32768}),2))*{2,4,8,16,32,64,128,256,512,1024,2048,4096,8192,16384,32768}),{2,4,8,16,32,64,128,256,512,1024,2048,4096,8192,16384,32768})=0))))</f>
        <v/>
      </c>
      <c r="CB188">
        <f>CA188+IF(AND(CB98&gt;0,COUNTIF($Y98:CA98,CB98)=0),0,IF(SUMPRODUCT(MOD(INT(CB143/{2,4,8,16,32,64,128,256,512,1024,2048,4096,8192,16384,32768}),2)*(1-MOD(INT(($CJ8+CA188)/{2,4,8,16,32,64,128,256,512,1024,2048,4096,8192,16384,32768}),2))*{2,4,8,16,32,64,128,256,512,1024,2048,4096,8192,16384,32768})=0,0,2^SUMPRODUCT(--(MOD(SUMPRODUCT(MOD(INT(CB143/{2,4,8,16,32,64,128,256,512,1024,2048,4096,8192,16384,32768}),2)*(1-MOD(INT(($CJ8+CA188)/{2,4,8,16,32,64,128,256,512,1024,2048,4096,8192,16384,32768}),2))*{2,4,8,16,32,64,128,256,512,1024,2048,4096,8192,16384,32768}),{2,4,8,16,32,64,128,256,512,1024,2048,4096,8192,16384,32768})=0))))</f>
        <v/>
      </c>
      <c r="CC188">
        <f>CB188+IF(AND(CC98&gt;0,COUNTIF($Y98:CB98,CC98)=0),0,IF(SUMPRODUCT(MOD(INT(CC143/{2,4,8,16,32,64,128,256,512,1024,2048,4096,8192,16384,32768}),2)*(1-MOD(INT(($CJ8+CB188)/{2,4,8,16,32,64,128,256,512,1024,2048,4096,8192,16384,32768}),2))*{2,4,8,16,32,64,128,256,512,1024,2048,4096,8192,16384,32768})=0,0,2^SUMPRODUCT(--(MOD(SUMPRODUCT(MOD(INT(CC143/{2,4,8,16,32,64,128,256,512,1024,2048,4096,8192,16384,32768}),2)*(1-MOD(INT(($CJ8+CB188)/{2,4,8,16,32,64,128,256,512,1024,2048,4096,8192,16384,32768}),2))*{2,4,8,16,32,64,128,256,512,1024,2048,4096,8192,16384,32768}),{2,4,8,16,32,64,128,256,512,1024,2048,4096,8192,16384,32768})=0))))</f>
        <v/>
      </c>
      <c r="CD188">
        <f>CC188+IF(AND(CD98&gt;0,COUNTIF($Y98:CC98,CD98)=0),0,IF(SUMPRODUCT(MOD(INT(CD143/{2,4,8,16,32,64,128,256,512,1024,2048,4096,8192,16384,32768}),2)*(1-MOD(INT(($CJ8+CC188)/{2,4,8,16,32,64,128,256,512,1024,2048,4096,8192,16384,32768}),2))*{2,4,8,16,32,64,128,256,512,1024,2048,4096,8192,16384,32768})=0,0,2^SUMPRODUCT(--(MOD(SUMPRODUCT(MOD(INT(CD143/{2,4,8,16,32,64,128,256,512,1024,2048,4096,8192,16384,32768}),2)*(1-MOD(INT(($CJ8+CC188)/{2,4,8,16,32,64,128,256,512,1024,2048,4096,8192,16384,32768}),2))*{2,4,8,16,32,64,128,256,512,1024,2048,4096,8192,16384,32768}),{2,4,8,16,32,64,128,256,512,1024,2048,4096,8192,16384,32768})=0))))</f>
        <v/>
      </c>
      <c r="CE188">
        <f>CD188+IF(AND(CE98&gt;0,COUNTIF($Y98:CD98,CE98)=0),0,IF(SUMPRODUCT(MOD(INT(CE143/{2,4,8,16,32,64,128,256,512,1024,2048,4096,8192,16384,32768}),2)*(1-MOD(INT(($CJ8+CD188)/{2,4,8,16,32,64,128,256,512,1024,2048,4096,8192,16384,32768}),2))*{2,4,8,16,32,64,128,256,512,1024,2048,4096,8192,16384,32768})=0,0,2^SUMPRODUCT(--(MOD(SUMPRODUCT(MOD(INT(CE143/{2,4,8,16,32,64,128,256,512,1024,2048,4096,8192,16384,32768}),2)*(1-MOD(INT(($CJ8+CD188)/{2,4,8,16,32,64,128,256,512,1024,2048,4096,8192,16384,32768}),2))*{2,4,8,16,32,64,128,256,512,1024,2048,4096,8192,16384,32768}),{2,4,8,16,32,64,128,256,512,1024,2048,4096,8192,16384,32768})=0))))</f>
        <v/>
      </c>
      <c r="CF188">
        <f>CE188+IF(AND(CF98&gt;0,COUNTIF($Y98:CE98,CF98)=0),0,IF(SUMPRODUCT(MOD(INT(CF143/{2,4,8,16,32,64,128,256,512,1024,2048,4096,8192,16384,32768}),2)*(1-MOD(INT(($CJ8+CE188)/{2,4,8,16,32,64,128,256,512,1024,2048,4096,8192,16384,32768}),2))*{2,4,8,16,32,64,128,256,512,1024,2048,4096,8192,16384,32768})=0,0,2^SUMPRODUCT(--(MOD(SUMPRODUCT(MOD(INT(CF143/{2,4,8,16,32,64,128,256,512,1024,2048,4096,8192,16384,32768}),2)*(1-MOD(INT(($CJ8+CE188)/{2,4,8,16,32,64,128,256,512,1024,2048,4096,8192,16384,32768}),2))*{2,4,8,16,32,64,128,256,512,1024,2048,4096,8192,16384,32768}),{2,4,8,16,32,64,128,256,512,1024,2048,4096,8192,16384,32768})=0))))</f>
        <v/>
      </c>
      <c r="DA188" t="n">
        <v>184</v>
      </c>
      <c r="DB188">
        <f>IF($B$37=0,"",IFERROR(TRIM(SUBSTITUTE(SUBSTITUTE(SUBSTITUTE(SUBSTITUTE(INDEX(PASTE_ALL,184,$B$37)," "," "),CHAR(9)," "),CHAR(10)," "),CHAR(13)," ")),""))</f>
        <v/>
      </c>
      <c r="DC188">
        <f>IF(AND(184&gt;HEADER_ROW,UPPER(DB188)="LEGEND"),1,0)</f>
        <v/>
      </c>
      <c r="DE188" t="n">
        <v>184</v>
      </c>
      <c r="DF188">
        <f>HEADER_ROW+$DE188</f>
        <v/>
      </c>
      <c r="DG188">
        <f>IF(AND($DF188&lt;=1000,$DF188&lt;$B$8),1,0)</f>
        <v/>
      </c>
      <c r="DH188">
        <f>IF($DG188=1,IFERROR(INDEX($DB$5:$DB$1004,$DF188),""),"")</f>
        <v/>
      </c>
      <c r="DI188">
        <f>IF(AND($DG188=1,$DH188&lt;&gt;""),IFERROR(SUBSTITUTE(SUBSTITUTE(TRIM(SUBSTITUTE(SUBSTITUTE(SUBSTITUTE(SUBSTITUTE(IFERROR(INDEX(PASTE_ALL,$DF188,1)&amp;"","")&amp;"␟"&amp;IFERROR(INDEX(PASTE_ALL,$DF188,2)&amp;"","")&amp;"␟"&amp;IFERROR(INDEX(PASTE_ALL,$DF188,3)&amp;"","")&amp;"␟"&amp;IFERROR(INDEX(PASTE_ALL,$DF188,4)&amp;"","")&amp;"␟"&amp;IFERROR(INDEX(PASTE_ALL,$DF188,5)&amp;"","")&amp;"␟"&amp;IFERROR(INDEX(PASTE_ALL,$DF188,6)&amp;"","")&amp;"␟"&amp;IFERROR(INDEX(PASTE_ALL,$DF188,7)&amp;"","")&amp;"␟"&amp;IFERROR(INDEX(PASTE_ALL,$DF188,8)&amp;"","")&amp;"␟"&amp;IFERROR(INDEX(PASTE_ALL,$DF188,9)&amp;"","")&amp;"␟"&amp;IFERROR(INDEX(PASTE_ALL,$DF188,10)&amp;"","")&amp;"␟"&amp;IFERROR(INDEX(PASTE_ALL,$DF188,11)&amp;"","")&amp;"␟"&amp;IFERROR(INDEX(PASTE_ALL,$DF188,12)&amp;"","")&amp;"␟"&amp;IFERROR(INDEX(PASTE_ALL,$DF188,13)&amp;"","")&amp;"␟"&amp;IFERROR(INDEX(PASTE_ALL,$DF188,14)&amp;"","")&amp;"␟"&amp;IFERROR(INDEX(PASTE_ALL,$DF188,15)&amp;"","")&amp;"␟"&amp;IFERROR(INDEX(PASTE_ALL,$DF188,16)&amp;"","")&amp;"␟"&amp;IFERROR(INDEX(PASTE_ALL,$DF188,17)&amp;"","")&amp;"␟"&amp;IFERROR(INDEX(PASTE_ALL,$DF188,18)&amp;"","")&amp;"␟"&amp;IFERROR(INDEX(PASTE_ALL,$DF188,19)&amp;"","")&amp;"␟"&amp;IFERROR(INDEX(PASTE_ALL,$DF188,20)&amp;"","")&amp;"␟"&amp;IFERROR(INDEX(PASTE_ALL,$DF188,21)&amp;"","")&amp;"␟"&amp;IFERROR(INDEX(PASTE_ALL,$DF188,22)&amp;"","")&amp;"␟"&amp;IFERROR(INDEX(PASTE_ALL,$DF188,23)&amp;"","")&amp;"␟"&amp;IFERROR(INDEX(PASTE_ALL,$DF188,24)&amp;"","")&amp;"␟"&amp;IFERROR(INDEX(PASTE_ALL,$DF188,25)&amp;"","")&amp;"␟"&amp;IFERROR(INDEX(PASTE_ALL,$DF188,26)&amp;"","")&amp;"␟"&amp;IFERROR(INDEX(PASTE_ALL,$DF188,27)&amp;"","")&amp;"␟"&amp;IFERROR(INDEX(PASTE_ALL,$DF188,28)&amp;"","")&amp;"␟"&amp;IFERROR(INDEX(PASTE_ALL,$DF188,29)&amp;"","")&amp;"␟"&amp;IFERROR(INDEX(PASTE_ALL,$DF188,30)&amp;"","")&amp;"␟"&amp;IFERROR(INDEX(PASTE_ALL,$DF188,31)&amp;"","")&amp;"␟"&amp;IFERROR(INDEX(PASTE_ALL,$DF188,32)&amp;"","")&amp;"␟"&amp;IFERROR(INDEX(PASTE_ALL,$DF188,33)&amp;"","")&amp;"␟"&amp;IFERROR(INDEX(PASTE_ALL,$DF188,34)&amp;"","")&amp;"␟"&amp;IFERROR(INDEX(PASTE_ALL,$DF188,35)&amp;"","")&amp;"␟"&amp;IFERROR(INDEX(PASTE_ALL,$DF188,36)&amp;"","")&amp;"␟"&amp;IFERROR(INDEX(PASTE_ALL,$DF188,37)&amp;"","")&amp;"␟"&amp;IFERROR(INDEX(PASTE_ALL,$DF188,38)&amp;"","")&amp;"␟"&amp;IFERROR(INDEX(PASTE_ALL,$DF188,39)&amp;"","")&amp;"␟"&amp;IFERROR(INDEX(PASTE_ALL,$DF188,40)&amp;"","")&amp;"␟"&amp;IFERROR(INDEX(PASTE_ALL,$DF188,41)&amp;"","")&amp;"␟"&amp;IFERROR(INDEX(PASTE_ALL,$DF188,42)&amp;"","")&amp;"␟"&amp;IFERROR(INDEX(PASTE_ALL,$DF188,43)&amp;"","")&amp;"␟"&amp;IFERROR(INDEX(PASTE_ALL,$DF188,44)&amp;"","")&amp;"␟"&amp;IFERROR(INDEX(PASTE_ALL,$DF188,45)&amp;"","")&amp;"␟"&amp;IFERROR(INDEX(PASTE_ALL,$DF188,46)&amp;"","")&amp;"␟"&amp;IFERROR(INDEX(PASTE_ALL,$DF188,47)&amp;"","")&amp;"␟"&amp;IFERROR(INDEX(PASTE_ALL,$DF188,48)&amp;"","")&amp;"␟"&amp;IFERROR(INDEX(PASTE_ALL,$DF188,49)&amp;"","")&amp;"␟"&amp;IFERROR(INDEX(PASTE_ALL,$DF188,50)&amp;"","")&amp;"␟"&amp;IFERROR(INDEX(PASTE_ALL,$DF188,51)&amp;"","")&amp;"␟"&amp;IFERROR(INDEX(PASTE_ALL,$DF188,52)&amp;"","")&amp;"␟"&amp;IFERROR(INDEX(PASTE_ALL,$DF188,53)&amp;"","")&amp;"␟"&amp;IFERROR(INDEX(PASTE_ALL,$DF188,54)&amp;"","")&amp;"␟"&amp;IFERROR(INDEX(PASTE_ALL,$DF188,55)&amp;"","")&amp;"␟"&amp;IFERROR(INDEX(PASTE_ALL,$DF188,56)&amp;"","")&amp;"␟"&amp;IFERROR(INDEX(PASTE_ALL,$DF188,57)&amp;"","")&amp;"␟"&amp;IFERROR(INDEX(PASTE_ALL,$DF188,58)&amp;"","")&amp;"␟"&amp;IFERROR(INDEX(PASTE_ALL,$DF188,59)&amp;"","")&amp;"␟"&amp;IFERROR(INDEX(PASTE_ALL,$DF188,60)&amp;"","")," "," "),CHAR(9)," "),CHAR(10)," "),CHAR(13)," "))," ␟","␟"),"␟ ","␟"),"#"&amp;$DE188),"")</f>
        <v/>
      </c>
      <c r="DJ188">
        <f>IF($DI188="",0,IF(SUMPRODUCT(--EXACT($DI$4:DI187,$DI188))&gt;0,1,0))</f>
        <v/>
      </c>
      <c r="DK188">
        <f>IF(AND($DI188&lt;&gt;"",$DJ188=0),1,0)</f>
        <v/>
      </c>
      <c r="DL188">
        <f>DL187+$DK188</f>
        <v/>
      </c>
      <c r="DM188">
        <f>IF(AND($DK188=1,$DL188&lt;=600),1,0)</f>
        <v/>
      </c>
      <c r="DN188">
        <f>IF($DM188=0,"",IF($L$6=0,"",IFERROR(IF(ISNUMBER(INDEX(PASTE_ALL,$DF188,$L$6)),INDEX(PASTE_ALL,$DF188,$L$6),TRIM(SUBSTITUTE(SUBSTITUTE(SUBSTITUTE(SUBSTITUTE(INDEX(PASTE_ALL,$DF188,$L$6)," "," "),CHAR(9)," "),CHAR(10)," "),CHAR(13)," "))),"")))</f>
        <v/>
      </c>
      <c r="DO188">
        <f>IF($DM188=0,"",IF($L$7=0,"",IFERROR(IF(ISNUMBER(INDEX(PASTE_ALL,$DF188,$L$7)),INDEX(PASTE_ALL,$DF188,$L$7),TRIM(SUBSTITUTE(SUBSTITUTE(SUBSTITUTE(SUBSTITUTE(INDEX(PASTE_ALL,$DF188,$L$7)," "," "),CHAR(9)," "),CHAR(10)," "),CHAR(13)," "))),"")))</f>
        <v/>
      </c>
      <c r="DP188">
        <f>IF($DM188=0,"",IF($L$8=0,"",IFERROR(IF(ISNUMBER(INDEX(PASTE_ALL,$DF188,$L$8)),INDEX(PASTE_ALL,$DF188,$L$8),TRIM(SUBSTITUTE(SUBSTITUTE(SUBSTITUTE(SUBSTITUTE(INDEX(PASTE_ALL,$DF188,$L$8)," "," "),CHAR(9)," "),CHAR(10)," "),CHAR(13)," "))),"")))</f>
        <v/>
      </c>
      <c r="DQ188">
        <f>IF($DM188=0,"",IF($L$9=0,"",IFERROR(IF(ISNUMBER(INDEX(PASTE_ALL,$DF188,$L$9)),INDEX(PASTE_ALL,$DF188,$L$9),TRIM(SUBSTITUTE(SUBSTITUTE(SUBSTITUTE(SUBSTITUTE(INDEX(PASTE_ALL,$DF188,$L$9)," "," "),CHAR(9)," "),CHAR(10)," "),CHAR(13)," "))),"")))</f>
        <v/>
      </c>
      <c r="DR188">
        <f>IF($DM188=0,"",IF($L$10=0,"",IFERROR(IF(ISNUMBER(INDEX(PASTE_ALL,$DF188,$L$10)),INDEX(PASTE_ALL,$DF188,$L$10),TRIM(SUBSTITUTE(SUBSTITUTE(SUBSTITUTE(SUBSTITUTE(INDEX(PASTE_ALL,$DF188,$L$10)," "," "),CHAR(9)," "),CHAR(10)," "),CHAR(13)," "))),"")))</f>
        <v/>
      </c>
      <c r="DS188">
        <f>IF($DM188=0,"",IF($L$11=0,"",IFERROR(IF(ISNUMBER(INDEX(PASTE_ALL,$DF188,$L$11)),INDEX(PASTE_ALL,$DF188,$L$11),TRIM(SUBSTITUTE(SUBSTITUTE(SUBSTITUTE(SUBSTITUTE(INDEX(PASTE_ALL,$DF188,$L$11)," "," "),CHAR(9)," "),CHAR(10)," "),CHAR(13)," "))),"")))</f>
        <v/>
      </c>
      <c r="DT188">
        <f>IF($DM188=0,"",IF($L$12=0,"",IFERROR(IF(ISNUMBER(INDEX(PASTE_ALL,$DF188,$L$12)),INDEX(PASTE_ALL,$DF188,$L$12),TRIM(SUBSTITUTE(SUBSTITUTE(SUBSTITUTE(SUBSTITUTE(INDEX(PASTE_ALL,$DF188,$L$12)," "," "),CHAR(9)," "),CHAR(10)," "),CHAR(13)," "))),"")))</f>
        <v/>
      </c>
      <c r="DU188">
        <f>IF($DM188=0,"",IF($L$13=0,"",IFERROR(IF(ISNUMBER(INDEX(PASTE_ALL,$DF188,$L$13)),INDEX(PASTE_ALL,$DF188,$L$13),TRIM(SUBSTITUTE(SUBSTITUTE(SUBSTITUTE(SUBSTITUTE(INDEX(PASTE_ALL,$DF188,$L$13)," "," "),CHAR(9)," "),CHAR(10)," "),CHAR(13)," "))),"")))</f>
        <v/>
      </c>
      <c r="DV188">
        <f>IF($DM188=0,"",IF($L$14=0,"",IFERROR(IF(ISNUMBER(INDEX(PASTE_ALL,$DF188,$L$14)),INDEX(PASTE_ALL,$DF188,$L$14),TRIM(SUBSTITUTE(SUBSTITUTE(SUBSTITUTE(SUBSTITUTE(INDEX(PASTE_ALL,$DF188,$L$14)," "," "),CHAR(9)," "),CHAR(10)," "),CHAR(13)," "))),"")))</f>
        <v/>
      </c>
      <c r="DW188">
        <f>IF($DM188=0,"",IF($L$15=0,"",IFERROR(IF(ISNUMBER(INDEX(PASTE_ALL,$DF188,$L$15)),INDEX(PASTE_ALL,$DF188,$L$15),IF(SUMPRODUCT(--ISNUMBER(FIND({"A","B","C","D","E","F","G","H","I","J","K","L","M","N","O","P","Q","R","S","T","U","V","W","X","Y","Z","0","1","2","3","4","5","6","7","8","9"},UPPER(TRIM(SUBSTITUTE(SUBSTITUTE(SUBSTITUTE(SUBSTITUTE(INDEX(PASTE_ALL,$DF188,$L$15)," "," "),CHAR(9)," "),CHAR(10)," "),CHAR(13)," "))))))&gt;0,TRIM(SUBSTITUTE(SUBSTITUTE(SUBSTITUTE(SUBSTITUTE(INDEX(PASTE_ALL,$DF188,$L$15)," "," "),CHAR(9)," "),CHAR(10)," "),CHAR(13)," ")),"")),"")))</f>
        <v/>
      </c>
      <c r="DX188">
        <f>IF($DM188=0,"",IF($L$16=0,"",IFERROR(IF(ISNUMBER(INDEX(PASTE_ALL,$DF188,$L$16)),INDEX(PASTE_ALL,$DF188,$L$16),SUBSTITUTE(SUBSTITUTE(TRIM(SUBSTITUTE(SUBSTITUTE(SUBSTITUTE(SUBSTITUTE(INDEX(PASTE_ALL,$DF188,$L$16)," "," "),CHAR(9)," "),CHAR(10)," "),CHAR(13)," ")),",",""),"%","")),"")))</f>
        <v/>
      </c>
      <c r="DY188">
        <f>IF($DM188=0,"",IFERROR(IF(ISNUMBER($DX188),$DX188,IF($DX188="","",IF(TRIM($DX188)="",0,IF(AND(AND(SUBSTITUTE(SUBSTITUTE(SUBSTITUTE(SUBSTITUTE(SUBSTITUTE(SUBSTITUTE(SUBSTITUTE(SUBSTITUTE(SUBSTITUTE(SUBSTITUTE(SUBSTITUTE(SUBSTITUTE(SUBSTITUTE(SUBSTITUTE(UPPER(TRIM($DX188)),"0",""),"1",""),"2",""),"3",""),"4",""),"5",""),"6",""),"7",""),"8",""),"9",""),".",""),"+",""),"-",""),"E","")="",LEN(SUBSTITUTE(SUBSTITUTE(MID(UPPER(TRIM($DX188)),1+OR(LEFT(UPPER(TRIM($DX188)),1)="+",LEFT(UPPER(TRIM($DX188)),1)="-"),999),"E+","E"),"E-","E"))=LEN(SUBSTITUTE(SUBSTITUTE(SUBSTITUTE(SUBSTITUTE(MID(UPPER(TRIM($DX188)),1+OR(LEFT(UPPER(TRIM($DX188)),1)="+",LEFT(UPPER(TRIM($DX188)),1)="-"),999),"E+","E"),"E-","E"),"+",""),"-","")),LEN(UPPER(TRIM($DX188)))-LEN(SUBSTITUTE(UPPER(TRIM($DX188)),"E",""))&lt;2,LEN(UPPER(TRIM($DX188)))-LEN(SUBSTITUTE(UPPER(TRIM($DX188)),".",""))&lt;2,IFERROR(FIND(".",UPPER(TRIM($DX188))),0)&lt;IFERROR(FIND("E",UPPER(TRIM($DX188))),999)),ISNUMBER(VALUE(TRIM($DX188)))),VALUE(TRIM($DX188)),"")))),""))</f>
        <v/>
      </c>
      <c r="DZ188">
        <f>IF($DM188=0,"",IF($L$17=0,"",IFERROR(IF(ISNUMBER(INDEX(PASTE_ALL,$DF188,$L$17)),INDEX(PASTE_ALL,$DF188,$L$17),SUBSTITUTE(SUBSTITUTE(TRIM(SUBSTITUTE(SUBSTITUTE(SUBSTITUTE(SUBSTITUTE(INDEX(PASTE_ALL,$DF188,$L$17)," "," "),CHAR(9)," "),CHAR(10)," "),CHAR(13)," ")),",",""),"%","")),"")))</f>
        <v/>
      </c>
      <c r="EA188">
        <f>IF($DM188=0,"",IFERROR(IF(ISNUMBER($DZ188),$DZ188,IF($DZ188="","",IF(TRIM($DZ188)="",0,IF(AND(AND(SUBSTITUTE(SUBSTITUTE(SUBSTITUTE(SUBSTITUTE(SUBSTITUTE(SUBSTITUTE(SUBSTITUTE(SUBSTITUTE(SUBSTITUTE(SUBSTITUTE(SUBSTITUTE(SUBSTITUTE(SUBSTITUTE(SUBSTITUTE(UPPER(TRIM($DZ188)),"0",""),"1",""),"2",""),"3",""),"4",""),"5",""),"6",""),"7",""),"8",""),"9",""),".",""),"+",""),"-",""),"E","")="",LEN(SUBSTITUTE(SUBSTITUTE(MID(UPPER(TRIM($DZ188)),1+OR(LEFT(UPPER(TRIM($DZ188)),1)="+",LEFT(UPPER(TRIM($DZ188)),1)="-"),999),"E+","E"),"E-","E"))=LEN(SUBSTITUTE(SUBSTITUTE(SUBSTITUTE(SUBSTITUTE(MID(UPPER(TRIM($DZ188)),1+OR(LEFT(UPPER(TRIM($DZ188)),1)="+",LEFT(UPPER(TRIM($DZ188)),1)="-"),999),"E+","E"),"E-","E"),"+",""),"-","")),LEN(UPPER(TRIM($DZ188)))-LEN(SUBSTITUTE(UPPER(TRIM($DZ188)),"E",""))&lt;2,LEN(UPPER(TRIM($DZ188)))-LEN(SUBSTITUTE(UPPER(TRIM($DZ188)),".",""))&lt;2,IFERROR(FIND(".",UPPER(TRIM($DZ188))),0)&lt;IFERROR(FIND("E",UPPER(TRIM($DZ188))),999)),ISNUMBER(VALUE(TRIM($DZ188)))),VALUE(TRIM($DZ188)),"")))),""))</f>
        <v/>
      </c>
      <c r="EB188">
        <f>IF($DM188=0,"",IF($L$18=0,"",IFERROR(IF(UPPER(TRIM(SUBSTITUTE(SUBSTITUTE(SUBSTITUTE(SUBSTITUTE(INDEX(PASTE_ALL,$DF188,$L$18)," "," "),CHAR(9)," "),CHAR(10)," "),CHAR(13)," ")))="READY","Ready",IF(UPPER(TRIM(SUBSTITUTE(SUBSTITUTE(SUBSTITUTE(SUBSTITUTE(INDEX(PASTE_ALL,$DF188,$L$18)," "," "),CHAR(9)," "),CHAR(10)," "),CHAR(13)," ")))="PM","PM",IF(OR(UPPER(TRIM(SUBSTITUTE(SUBSTITUTE(SUBSTITUTE(SUBSTITUTE(INDEX(PASTE_ALL,$DF188,$L$18)," "," "),CHAR(9)," "),CHAR(10)," "),CHAR(13)," ")))="OT",UPPER(TRIM(SUBSTITUTE(SUBSTITUTE(SUBSTITUTE(SUBSTITUTE(INDEX(PASTE_ALL,$DF188,$L$18)," "," "),CHAR(9)," "),CHAR(10)," "),CHAR(13)," ")))="OVERTIME",UPPER(TRIM(SUBSTITUTE(SUBSTITUTE(SUBSTITUTE(SUBSTITUTE(INDEX(PASTE_ALL,$DF188,$L$18)," "," "),CHAR(9)," "),CHAR(10)," "),CHAR(13)," ")))="TRIAL"),"OT",TRIM(SUBSTITUTE(SUBSTITUTE(SUBSTITUTE(SUBSTITUTE(INDEX(PASTE_ALL,$DF188,$L$18)," "," "),CHAR(9)," "),CHAR(10)," "),CHAR(13)," "))))),"")))</f>
        <v/>
      </c>
      <c r="EC188">
        <f>IF($DM188=0,"",IF($L$19=0,"",IFERROR(IF(ISNUMBER(INDEX(PASTE_ALL,$DF188,$L$19)),INDEX(PASTE_ALL,$DF188,$L$19),TRIM(SUBSTITUTE(SUBSTITUTE(SUBSTITUTE(SUBSTITUTE(INDEX(PASTE_ALL,$DF188,$L$19)," "," "),CHAR(9)," "),CHAR(10)," "),CHAR(13)," "))),"")))</f>
        <v/>
      </c>
      <c r="ED188">
        <f>IF($DM188=0,"",MATCH(1,INDEX(EXACT($DH$5:DH188,$DH188)*$DM$5:DM188,0),0))</f>
        <v/>
      </c>
      <c r="EE188">
        <f>IF($DM188=0,0,IF($ED188=$DE188,1,0))</f>
        <v/>
      </c>
      <c r="EF188">
        <f>EF187+$EE188</f>
        <v/>
      </c>
      <c r="EG188">
        <f>IF($DM188=0,"",INDEX($EF$5:$EF$1003,$ED188))</f>
        <v/>
      </c>
      <c r="EH188">
        <f>IF($DM188=0,"",IF($DO188&lt;&gt;"","",IFERROR(LOOKUP(2,1/(($EG$4:EG187=$EG188)*($DO$4:DO187&lt;&gt;"")),$DO$4:DO187),"")))</f>
        <v/>
      </c>
      <c r="EI188">
        <f>IF($DM188=0,"",IF($DO188&lt;&gt;"",$DO188,$EH188))</f>
        <v/>
      </c>
      <c r="EJ188">
        <f>IF($DM188=0,"",IF($EI188="",0,IF(OR(ISNUMBER($EI188),AND(AND(SUBSTITUTE(SUBSTITUTE(SUBSTITUTE(SUBSTITUTE(SUBSTITUTE(SUBSTITUTE(SUBSTITUTE(SUBSTITUTE(SUBSTITUTE(SUBSTITUTE(SUBSTITUTE(SUBSTITUTE(SUBSTITUTE(SUBSTITUTE(UPPER($EI188),"0",""),"1",""),"2",""),"3",""),"4",""),"5",""),"6",""),"7",""),"8",""),"9",""),".",""),"+",""),"-",""),"E","")="",LEN(SUBSTITUTE(SUBSTITUTE(MID(UPPER($EI188),1+OR(LEFT(UPPER($EI188),1)="+",LEFT(UPPER($EI188),1)="-"),999),"E+","E"),"E-","E"))=LEN(SUBSTITUTE(SUBSTITUTE(SUBSTITUTE(SUBSTITUTE(MID(UPPER($EI188),1+OR(LEFT(UPPER($EI188),1)="+",LEFT(UPPER($EI188),1)="-"),999),"E+","E"),"E-","E"),"+",""),"-","")),LEN(UPPER($EI188))-LEN(SUBSTITUTE(UPPER($EI188),"E",""))&lt;2,LEN(UPPER($EI188))-LEN(SUBSTITUTE(UPPER($EI188),".",""))&lt;2,IFERROR(FIND(".",UPPER($EI188)),0)&lt;IFERROR(FIND("E",UPPER($EI188)),999)),ISNUMBER(VALUE($EI188)))),1,2)))</f>
        <v/>
      </c>
      <c r="EK188">
        <f>IF($DM188=0,"",IF($EJ188=1,IF(ISNUMBER($EI188),$EI188,VALUE($EI188)),IF($EJ188=2,$DE188,0)))</f>
        <v/>
      </c>
      <c r="EL188">
        <f>IF($DM188=0,"",COUNTIF($EG$5:$EG$1003,"&lt;"&amp;$EG188)+SUMPRODUCT(($EG$5:$EG$1003=$EG188)*(($EJ$5:$EJ$1003&lt;$EJ188)+($EJ$5:$EJ$1003=$EJ188)*(($EK$5:$EK$1003&lt;$EK188)+($EK$5:$EK$1003=$EK188)*($DE$5:$DE$1003&lt;$DE188))))+1)</f>
        <v/>
      </c>
      <c r="EM188">
        <f>IF($DM188=0,"",$EL188+$EG188-1)</f>
        <v/>
      </c>
      <c r="EN188">
        <f>IF($DM188=0,0,IFERROR(MATCH(1,INDEX(--(TRIM(SUBSTITUTE(SUBSTITUTE(SUBSTITUTE(SUBSTITUTE(LINES_NAME&amp;""," "," "),CHAR(9)," "),CHAR(10)," "),CHAR(13)," "))=$DH188),0),0),0))</f>
        <v/>
      </c>
      <c r="EO188">
        <f>IF($EN188=0,0,IF(OR(UPPER(TRIM(INDEX(LINES_SCHEDULED,$EN188)&amp;""))="YES",UPPER(TRIM(INDEX(LINES_SCHEDULED,$EN188)&amp;""))="Y",UPPER(TRIM(INDEX(LINES_SCHEDULED,$EN188)&amp;""))="X"),1,0))</f>
        <v/>
      </c>
      <c r="EP188">
        <f>IF($DM188=0,"",IF(COUNTIFS($EG$5:$EG$1003,$EG188,$EB$5:$EB$1003,"Ready")&gt;0,"READY",IF(COUNTIFS($EG$5:$EG$1003,$EG188,$EB$5:$EB$1003,"PM")&gt;0,"PM",IF(COUNTIFS($EG$5:$EG$1003,$EG188,$EB$5:$EB$1003,"OT")&gt;0,"OT",""))))</f>
        <v/>
      </c>
      <c r="EQ188">
        <f>IF($EN188=0,"",UPPER(TRIM(INDEX(LINES_STATUS,$EN188)&amp;"")))</f>
        <v/>
      </c>
      <c r="ER188">
        <f>IF($DM188=0,"",IF(OR($EQ188="READY",$EQ188="PM",$EQ188="OT"),$EQ188,$EP188))</f>
        <v/>
      </c>
      <c r="ES188">
        <f>IF($DM188=0,"",IF(AND($DV188&lt;&gt;"",UPPER($DV188)&lt;&gt;"N"),"allergen",IF(ISNUMBER(SEARCH("oil",$DQ188)),"oil",IF(OR(EXACT($DS188,"A662"),EXACT($DS188,"A624")),"bulk",""))))</f>
        <v/>
      </c>
      <c r="ET188">
        <f>IF($DM188=0,"",IF(OR($EA188="",$EA188=0),"",$EA188/100))</f>
        <v/>
      </c>
      <c r="EU188">
        <f>IF(OR($ET188="",$DY188=""),"",INT($DY188*(1-$ET188)+0.5))</f>
        <v/>
      </c>
      <c r="EW188" t="n">
        <v>184</v>
      </c>
      <c r="EX188">
        <f>IFERROR(MATCH($EW188,$EM$5:$EM$1003,0),0)</f>
        <v/>
      </c>
      <c r="EY188">
        <f>IF($EW188&gt;$B$12,"",IF($EX188&gt;0,"row","spacer"))</f>
        <v/>
      </c>
      <c r="EZ188">
        <f>IF(AND($EY188="row",$EY187&lt;&gt;"row"),1,0)</f>
        <v/>
      </c>
      <c r="FA188">
        <f>IF(AND($EY188="row",$EY189&lt;&gt;"row"),1,0)</f>
        <v/>
      </c>
      <c r="FB188">
        <f>IF($EZ188=1,IFERROR(IF(ISNUMBER(INDEX(PASTE_ALL,INDEX($DF$5:$DF$1003,$EX188),$B$37)),INDEX(PASTE_ALL,INDEX($DF$5:$DF$1003,$EX188),$B$37),INDEX($DH$5:$DH$1003,$EX188)),INDEX($DH$5:$DH$1003,$EX188)),"")</f>
        <v/>
      </c>
      <c r="FC188">
        <f>IF($EY188="row",INDEX($ER$5:$ER$1003,$EX188),"")</f>
        <v/>
      </c>
      <c r="FD188">
        <f>IF($EY188="row",INDEX($DN$5:$DN$1003,$EX188),"")</f>
        <v/>
      </c>
      <c r="FE188">
        <f>IF($EY188="row",INDEX($DO$5:$DO$1003,$EX188),"")</f>
        <v/>
      </c>
      <c r="FF188">
        <f>IF($EY188="row",INDEX($DP$5:$DP$1003,$EX188),"")</f>
        <v/>
      </c>
      <c r="FG188">
        <f>IF($EY188="row",INDEX($DQ$5:$DQ$1003,$EX188),"")</f>
        <v/>
      </c>
      <c r="FH188">
        <f>IF($EY188="row",INDEX($DR$5:$DR$1003,$EX188),"")</f>
        <v/>
      </c>
      <c r="FI188">
        <f>IF($EY188="row",INDEX($DS$5:$DS$1003,$EX188),"")</f>
        <v/>
      </c>
      <c r="FJ188">
        <f>IF($EY188="row",INDEX($DT$5:$DT$1003,$EX188),"")</f>
        <v/>
      </c>
      <c r="FK188">
        <f>IF($EY188="row",INDEX($DU$5:$DU$1003,$EX188),"")</f>
        <v/>
      </c>
      <c r="FL188">
        <f>IF($EY188="row",INDEX($DV$5:$DV$1003,$EX188),"")</f>
        <v/>
      </c>
      <c r="FM188">
        <f>IF($EY188="row",INDEX($DW$5:$DW$1003,$EX188),"")</f>
        <v/>
      </c>
      <c r="FN188">
        <f>IF($EY188="row",INDEX($DY$5:$DY$1003,$EX188),"")</f>
        <v/>
      </c>
      <c r="FO188">
        <f>IF($EY188="row",INDEX($EA$5:$EA$1003,$EX188),"")</f>
        <v/>
      </c>
      <c r="FP188">
        <f>IF($EY188="row",INDEX($EC$5:$EC$1003,$EX188),"")</f>
        <v/>
      </c>
      <c r="FQ188">
        <f>IF($EY188="row",INDEX($ET$5:$ET$1003,$EX188),"")</f>
        <v/>
      </c>
      <c r="FR188">
        <f>IF($EY188="row",INDEX($EU$5:$EU$1003,$EX188),"")</f>
        <v/>
      </c>
      <c r="FS188">
        <f>IF(AND($EY188="row",$EY187="row"),IF(OR(INDEX($DT$5:$DT$1003,$EX187)="",INDEX($DT$5:$DT$1003,$EX188)=""),"",IF(NOT(EXACT(INDEX($DT$5:$DT$1003,$EX187),INDEX($DT$5:$DT$1003,$EX188))),"S4",IF(NOT(EXACT(INDEX($DS$5:$DS$1003,$EX187),INDEX($DS$5:$DS$1003,$EX188))),"S3",IF(NOT(EXACT(INDEX($DR$5:$DR$1003,$EX187),INDEX($DR$5:$DR$1003,$EX188))),"S1 Count Change","S1")))),"")</f>
        <v/>
      </c>
      <c r="FT188">
        <f>IF($EY188="row",INDEX($ES$5:$ES$1003,$EX188),"")</f>
        <v/>
      </c>
      <c r="FU188">
        <f>IF($EY188="row",INDEX($EO$5:$EO$1003,$EX188),0)</f>
        <v/>
      </c>
      <c r="FV188">
        <f>IF($FS188="S1 Count Change",1,0)</f>
        <v/>
      </c>
    </row>
    <row r="189">
      <c r="Y189">
        <f>0+IF(Y99&gt;0,0,IF(SUMPRODUCT(MOD(INT(Y144/{2,4,8,16,32,64,128,256,512,1024,2048,4096,8192,16384,32768}),2)*(1-MOD(INT(($CJ9+0)/{2,4,8,16,32,64,128,256,512,1024,2048,4096,8192,16384,32768}),2))*{2,4,8,16,32,64,128,256,512,1024,2048,4096,8192,16384,32768})=0,0,2^SUMPRODUCT(--(MOD(SUMPRODUCT(MOD(INT(Y144/{2,4,8,16,32,64,128,256,512,1024,2048,4096,8192,16384,32768}),2)*(1-MOD(INT(($CJ9+0)/{2,4,8,16,32,64,128,256,512,1024,2048,4096,8192,16384,32768}),2))*{2,4,8,16,32,64,128,256,512,1024,2048,4096,8192,16384,32768}),{2,4,8,16,32,64,128,256,512,1024,2048,4096,8192,16384,32768})=0))))</f>
        <v/>
      </c>
      <c r="Z189">
        <f>Y189+IF(AND(Z99&gt;0,COUNTIF($Y99:Y99,Z99)=0),0,IF(SUMPRODUCT(MOD(INT(Z144/{2,4,8,16,32,64,128,256,512,1024,2048,4096,8192,16384,32768}),2)*(1-MOD(INT(($CJ9+Y189)/{2,4,8,16,32,64,128,256,512,1024,2048,4096,8192,16384,32768}),2))*{2,4,8,16,32,64,128,256,512,1024,2048,4096,8192,16384,32768})=0,0,2^SUMPRODUCT(--(MOD(SUMPRODUCT(MOD(INT(Z144/{2,4,8,16,32,64,128,256,512,1024,2048,4096,8192,16384,32768}),2)*(1-MOD(INT(($CJ9+Y189)/{2,4,8,16,32,64,128,256,512,1024,2048,4096,8192,16384,32768}),2))*{2,4,8,16,32,64,128,256,512,1024,2048,4096,8192,16384,32768}),{2,4,8,16,32,64,128,256,512,1024,2048,4096,8192,16384,32768})=0))))</f>
        <v/>
      </c>
      <c r="AA189">
        <f>Z189+IF(AND(AA99&gt;0,COUNTIF($Y99:Z99,AA99)=0),0,IF(SUMPRODUCT(MOD(INT(AA144/{2,4,8,16,32,64,128,256,512,1024,2048,4096,8192,16384,32768}),2)*(1-MOD(INT(($CJ9+Z189)/{2,4,8,16,32,64,128,256,512,1024,2048,4096,8192,16384,32768}),2))*{2,4,8,16,32,64,128,256,512,1024,2048,4096,8192,16384,32768})=0,0,2^SUMPRODUCT(--(MOD(SUMPRODUCT(MOD(INT(AA144/{2,4,8,16,32,64,128,256,512,1024,2048,4096,8192,16384,32768}),2)*(1-MOD(INT(($CJ9+Z189)/{2,4,8,16,32,64,128,256,512,1024,2048,4096,8192,16384,32768}),2))*{2,4,8,16,32,64,128,256,512,1024,2048,4096,8192,16384,32768}),{2,4,8,16,32,64,128,256,512,1024,2048,4096,8192,16384,32768})=0))))</f>
        <v/>
      </c>
      <c r="AB189">
        <f>AA189+IF(AND(AB99&gt;0,COUNTIF($Y99:AA99,AB99)=0),0,IF(SUMPRODUCT(MOD(INT(AB144/{2,4,8,16,32,64,128,256,512,1024,2048,4096,8192,16384,32768}),2)*(1-MOD(INT(($CJ9+AA189)/{2,4,8,16,32,64,128,256,512,1024,2048,4096,8192,16384,32768}),2))*{2,4,8,16,32,64,128,256,512,1024,2048,4096,8192,16384,32768})=0,0,2^SUMPRODUCT(--(MOD(SUMPRODUCT(MOD(INT(AB144/{2,4,8,16,32,64,128,256,512,1024,2048,4096,8192,16384,32768}),2)*(1-MOD(INT(($CJ9+AA189)/{2,4,8,16,32,64,128,256,512,1024,2048,4096,8192,16384,32768}),2))*{2,4,8,16,32,64,128,256,512,1024,2048,4096,8192,16384,32768}),{2,4,8,16,32,64,128,256,512,1024,2048,4096,8192,16384,32768})=0))))</f>
        <v/>
      </c>
      <c r="AC189">
        <f>AB189+IF(AND(AC99&gt;0,COUNTIF($Y99:AB99,AC99)=0),0,IF(SUMPRODUCT(MOD(INT(AC144/{2,4,8,16,32,64,128,256,512,1024,2048,4096,8192,16384,32768}),2)*(1-MOD(INT(($CJ9+AB189)/{2,4,8,16,32,64,128,256,512,1024,2048,4096,8192,16384,32768}),2))*{2,4,8,16,32,64,128,256,512,1024,2048,4096,8192,16384,32768})=0,0,2^SUMPRODUCT(--(MOD(SUMPRODUCT(MOD(INT(AC144/{2,4,8,16,32,64,128,256,512,1024,2048,4096,8192,16384,32768}),2)*(1-MOD(INT(($CJ9+AB189)/{2,4,8,16,32,64,128,256,512,1024,2048,4096,8192,16384,32768}),2))*{2,4,8,16,32,64,128,256,512,1024,2048,4096,8192,16384,32768}),{2,4,8,16,32,64,128,256,512,1024,2048,4096,8192,16384,32768})=0))))</f>
        <v/>
      </c>
      <c r="AD189">
        <f>AC189+IF(AND(AD99&gt;0,COUNTIF($Y99:AC99,AD99)=0),0,IF(SUMPRODUCT(MOD(INT(AD144/{2,4,8,16,32,64,128,256,512,1024,2048,4096,8192,16384,32768}),2)*(1-MOD(INT(($CJ9+AC189)/{2,4,8,16,32,64,128,256,512,1024,2048,4096,8192,16384,32768}),2))*{2,4,8,16,32,64,128,256,512,1024,2048,4096,8192,16384,32768})=0,0,2^SUMPRODUCT(--(MOD(SUMPRODUCT(MOD(INT(AD144/{2,4,8,16,32,64,128,256,512,1024,2048,4096,8192,16384,32768}),2)*(1-MOD(INT(($CJ9+AC189)/{2,4,8,16,32,64,128,256,512,1024,2048,4096,8192,16384,32768}),2))*{2,4,8,16,32,64,128,256,512,1024,2048,4096,8192,16384,32768}),{2,4,8,16,32,64,128,256,512,1024,2048,4096,8192,16384,32768})=0))))</f>
        <v/>
      </c>
      <c r="AE189">
        <f>AD189+IF(AND(AE99&gt;0,COUNTIF($Y99:AD99,AE99)=0),0,IF(SUMPRODUCT(MOD(INT(AE144/{2,4,8,16,32,64,128,256,512,1024,2048,4096,8192,16384,32768}),2)*(1-MOD(INT(($CJ9+AD189)/{2,4,8,16,32,64,128,256,512,1024,2048,4096,8192,16384,32768}),2))*{2,4,8,16,32,64,128,256,512,1024,2048,4096,8192,16384,32768})=0,0,2^SUMPRODUCT(--(MOD(SUMPRODUCT(MOD(INT(AE144/{2,4,8,16,32,64,128,256,512,1024,2048,4096,8192,16384,32768}),2)*(1-MOD(INT(($CJ9+AD189)/{2,4,8,16,32,64,128,256,512,1024,2048,4096,8192,16384,32768}),2))*{2,4,8,16,32,64,128,256,512,1024,2048,4096,8192,16384,32768}),{2,4,8,16,32,64,128,256,512,1024,2048,4096,8192,16384,32768})=0))))</f>
        <v/>
      </c>
      <c r="AF189">
        <f>AE189+IF(AND(AF99&gt;0,COUNTIF($Y99:AE99,AF99)=0),0,IF(SUMPRODUCT(MOD(INT(AF144/{2,4,8,16,32,64,128,256,512,1024,2048,4096,8192,16384,32768}),2)*(1-MOD(INT(($CJ9+AE189)/{2,4,8,16,32,64,128,256,512,1024,2048,4096,8192,16384,32768}),2))*{2,4,8,16,32,64,128,256,512,1024,2048,4096,8192,16384,32768})=0,0,2^SUMPRODUCT(--(MOD(SUMPRODUCT(MOD(INT(AF144/{2,4,8,16,32,64,128,256,512,1024,2048,4096,8192,16384,32768}),2)*(1-MOD(INT(($CJ9+AE189)/{2,4,8,16,32,64,128,256,512,1024,2048,4096,8192,16384,32768}),2))*{2,4,8,16,32,64,128,256,512,1024,2048,4096,8192,16384,32768}),{2,4,8,16,32,64,128,256,512,1024,2048,4096,8192,16384,32768})=0))))</f>
        <v/>
      </c>
      <c r="AG189">
        <f>AF189+IF(AND(AG99&gt;0,COUNTIF($Y99:AF99,AG99)=0),0,IF(SUMPRODUCT(MOD(INT(AG144/{2,4,8,16,32,64,128,256,512,1024,2048,4096,8192,16384,32768}),2)*(1-MOD(INT(($CJ9+AF189)/{2,4,8,16,32,64,128,256,512,1024,2048,4096,8192,16384,32768}),2))*{2,4,8,16,32,64,128,256,512,1024,2048,4096,8192,16384,32768})=0,0,2^SUMPRODUCT(--(MOD(SUMPRODUCT(MOD(INT(AG144/{2,4,8,16,32,64,128,256,512,1024,2048,4096,8192,16384,32768}),2)*(1-MOD(INT(($CJ9+AF189)/{2,4,8,16,32,64,128,256,512,1024,2048,4096,8192,16384,32768}),2))*{2,4,8,16,32,64,128,256,512,1024,2048,4096,8192,16384,32768}),{2,4,8,16,32,64,128,256,512,1024,2048,4096,8192,16384,32768})=0))))</f>
        <v/>
      </c>
      <c r="AH189">
        <f>AG189+IF(AND(AH99&gt;0,COUNTIF($Y99:AG99,AH99)=0),0,IF(SUMPRODUCT(MOD(INT(AH144/{2,4,8,16,32,64,128,256,512,1024,2048,4096,8192,16384,32768}),2)*(1-MOD(INT(($CJ9+AG189)/{2,4,8,16,32,64,128,256,512,1024,2048,4096,8192,16384,32768}),2))*{2,4,8,16,32,64,128,256,512,1024,2048,4096,8192,16384,32768})=0,0,2^SUMPRODUCT(--(MOD(SUMPRODUCT(MOD(INT(AH144/{2,4,8,16,32,64,128,256,512,1024,2048,4096,8192,16384,32768}),2)*(1-MOD(INT(($CJ9+AG189)/{2,4,8,16,32,64,128,256,512,1024,2048,4096,8192,16384,32768}),2))*{2,4,8,16,32,64,128,256,512,1024,2048,4096,8192,16384,32768}),{2,4,8,16,32,64,128,256,512,1024,2048,4096,8192,16384,32768})=0))))</f>
        <v/>
      </c>
      <c r="AI189">
        <f>AH189+IF(AND(AI99&gt;0,COUNTIF($Y99:AH99,AI99)=0),0,IF(SUMPRODUCT(MOD(INT(AI144/{2,4,8,16,32,64,128,256,512,1024,2048,4096,8192,16384,32768}),2)*(1-MOD(INT(($CJ9+AH189)/{2,4,8,16,32,64,128,256,512,1024,2048,4096,8192,16384,32768}),2))*{2,4,8,16,32,64,128,256,512,1024,2048,4096,8192,16384,32768})=0,0,2^SUMPRODUCT(--(MOD(SUMPRODUCT(MOD(INT(AI144/{2,4,8,16,32,64,128,256,512,1024,2048,4096,8192,16384,32768}),2)*(1-MOD(INT(($CJ9+AH189)/{2,4,8,16,32,64,128,256,512,1024,2048,4096,8192,16384,32768}),2))*{2,4,8,16,32,64,128,256,512,1024,2048,4096,8192,16384,32768}),{2,4,8,16,32,64,128,256,512,1024,2048,4096,8192,16384,32768})=0))))</f>
        <v/>
      </c>
      <c r="AJ189">
        <f>AI189+IF(AND(AJ99&gt;0,COUNTIF($Y99:AI99,AJ99)=0),0,IF(SUMPRODUCT(MOD(INT(AJ144/{2,4,8,16,32,64,128,256,512,1024,2048,4096,8192,16384,32768}),2)*(1-MOD(INT(($CJ9+AI189)/{2,4,8,16,32,64,128,256,512,1024,2048,4096,8192,16384,32768}),2))*{2,4,8,16,32,64,128,256,512,1024,2048,4096,8192,16384,32768})=0,0,2^SUMPRODUCT(--(MOD(SUMPRODUCT(MOD(INT(AJ144/{2,4,8,16,32,64,128,256,512,1024,2048,4096,8192,16384,32768}),2)*(1-MOD(INT(($CJ9+AI189)/{2,4,8,16,32,64,128,256,512,1024,2048,4096,8192,16384,32768}),2))*{2,4,8,16,32,64,128,256,512,1024,2048,4096,8192,16384,32768}),{2,4,8,16,32,64,128,256,512,1024,2048,4096,8192,16384,32768})=0))))</f>
        <v/>
      </c>
      <c r="AK189">
        <f>AJ189+IF(AND(AK99&gt;0,COUNTIF($Y99:AJ99,AK99)=0),0,IF(SUMPRODUCT(MOD(INT(AK144/{2,4,8,16,32,64,128,256,512,1024,2048,4096,8192,16384,32768}),2)*(1-MOD(INT(($CJ9+AJ189)/{2,4,8,16,32,64,128,256,512,1024,2048,4096,8192,16384,32768}),2))*{2,4,8,16,32,64,128,256,512,1024,2048,4096,8192,16384,32768})=0,0,2^SUMPRODUCT(--(MOD(SUMPRODUCT(MOD(INT(AK144/{2,4,8,16,32,64,128,256,512,1024,2048,4096,8192,16384,32768}),2)*(1-MOD(INT(($CJ9+AJ189)/{2,4,8,16,32,64,128,256,512,1024,2048,4096,8192,16384,32768}),2))*{2,4,8,16,32,64,128,256,512,1024,2048,4096,8192,16384,32768}),{2,4,8,16,32,64,128,256,512,1024,2048,4096,8192,16384,32768})=0))))</f>
        <v/>
      </c>
      <c r="AL189">
        <f>AK189+IF(AND(AL99&gt;0,COUNTIF($Y99:AK99,AL99)=0),0,IF(SUMPRODUCT(MOD(INT(AL144/{2,4,8,16,32,64,128,256,512,1024,2048,4096,8192,16384,32768}),2)*(1-MOD(INT(($CJ9+AK189)/{2,4,8,16,32,64,128,256,512,1024,2048,4096,8192,16384,32768}),2))*{2,4,8,16,32,64,128,256,512,1024,2048,4096,8192,16384,32768})=0,0,2^SUMPRODUCT(--(MOD(SUMPRODUCT(MOD(INT(AL144/{2,4,8,16,32,64,128,256,512,1024,2048,4096,8192,16384,32768}),2)*(1-MOD(INT(($CJ9+AK189)/{2,4,8,16,32,64,128,256,512,1024,2048,4096,8192,16384,32768}),2))*{2,4,8,16,32,64,128,256,512,1024,2048,4096,8192,16384,32768}),{2,4,8,16,32,64,128,256,512,1024,2048,4096,8192,16384,32768})=0))))</f>
        <v/>
      </c>
      <c r="AM189">
        <f>AL189+IF(AND(AM99&gt;0,COUNTIF($Y99:AL99,AM99)=0),0,IF(SUMPRODUCT(MOD(INT(AM144/{2,4,8,16,32,64,128,256,512,1024,2048,4096,8192,16384,32768}),2)*(1-MOD(INT(($CJ9+AL189)/{2,4,8,16,32,64,128,256,512,1024,2048,4096,8192,16384,32768}),2))*{2,4,8,16,32,64,128,256,512,1024,2048,4096,8192,16384,32768})=0,0,2^SUMPRODUCT(--(MOD(SUMPRODUCT(MOD(INT(AM144/{2,4,8,16,32,64,128,256,512,1024,2048,4096,8192,16384,32768}),2)*(1-MOD(INT(($CJ9+AL189)/{2,4,8,16,32,64,128,256,512,1024,2048,4096,8192,16384,32768}),2))*{2,4,8,16,32,64,128,256,512,1024,2048,4096,8192,16384,32768}),{2,4,8,16,32,64,128,256,512,1024,2048,4096,8192,16384,32768})=0))))</f>
        <v/>
      </c>
      <c r="AN189">
        <f>AM189+IF(AND(AN99&gt;0,COUNTIF($Y99:AM99,AN99)=0),0,IF(SUMPRODUCT(MOD(INT(AN144/{2,4,8,16,32,64,128,256,512,1024,2048,4096,8192,16384,32768}),2)*(1-MOD(INT(($CJ9+AM189)/{2,4,8,16,32,64,128,256,512,1024,2048,4096,8192,16384,32768}),2))*{2,4,8,16,32,64,128,256,512,1024,2048,4096,8192,16384,32768})=0,0,2^SUMPRODUCT(--(MOD(SUMPRODUCT(MOD(INT(AN144/{2,4,8,16,32,64,128,256,512,1024,2048,4096,8192,16384,32768}),2)*(1-MOD(INT(($CJ9+AM189)/{2,4,8,16,32,64,128,256,512,1024,2048,4096,8192,16384,32768}),2))*{2,4,8,16,32,64,128,256,512,1024,2048,4096,8192,16384,32768}),{2,4,8,16,32,64,128,256,512,1024,2048,4096,8192,16384,32768})=0))))</f>
        <v/>
      </c>
      <c r="AO189">
        <f>AN189+IF(AND(AO99&gt;0,COUNTIF($Y99:AN99,AO99)=0),0,IF(SUMPRODUCT(MOD(INT(AO144/{2,4,8,16,32,64,128,256,512,1024,2048,4096,8192,16384,32768}),2)*(1-MOD(INT(($CJ9+AN189)/{2,4,8,16,32,64,128,256,512,1024,2048,4096,8192,16384,32768}),2))*{2,4,8,16,32,64,128,256,512,1024,2048,4096,8192,16384,32768})=0,0,2^SUMPRODUCT(--(MOD(SUMPRODUCT(MOD(INT(AO144/{2,4,8,16,32,64,128,256,512,1024,2048,4096,8192,16384,32768}),2)*(1-MOD(INT(($CJ9+AN189)/{2,4,8,16,32,64,128,256,512,1024,2048,4096,8192,16384,32768}),2))*{2,4,8,16,32,64,128,256,512,1024,2048,4096,8192,16384,32768}),{2,4,8,16,32,64,128,256,512,1024,2048,4096,8192,16384,32768})=0))))</f>
        <v/>
      </c>
      <c r="AP189">
        <f>AO189+IF(AND(AP99&gt;0,COUNTIF($Y99:AO99,AP99)=0),0,IF(SUMPRODUCT(MOD(INT(AP144/{2,4,8,16,32,64,128,256,512,1024,2048,4096,8192,16384,32768}),2)*(1-MOD(INT(($CJ9+AO189)/{2,4,8,16,32,64,128,256,512,1024,2048,4096,8192,16384,32768}),2))*{2,4,8,16,32,64,128,256,512,1024,2048,4096,8192,16384,32768})=0,0,2^SUMPRODUCT(--(MOD(SUMPRODUCT(MOD(INT(AP144/{2,4,8,16,32,64,128,256,512,1024,2048,4096,8192,16384,32768}),2)*(1-MOD(INT(($CJ9+AO189)/{2,4,8,16,32,64,128,256,512,1024,2048,4096,8192,16384,32768}),2))*{2,4,8,16,32,64,128,256,512,1024,2048,4096,8192,16384,32768}),{2,4,8,16,32,64,128,256,512,1024,2048,4096,8192,16384,32768})=0))))</f>
        <v/>
      </c>
      <c r="AQ189">
        <f>AP189+IF(AND(AQ99&gt;0,COUNTIF($Y99:AP99,AQ99)=0),0,IF(SUMPRODUCT(MOD(INT(AQ144/{2,4,8,16,32,64,128,256,512,1024,2048,4096,8192,16384,32768}),2)*(1-MOD(INT(($CJ9+AP189)/{2,4,8,16,32,64,128,256,512,1024,2048,4096,8192,16384,32768}),2))*{2,4,8,16,32,64,128,256,512,1024,2048,4096,8192,16384,32768})=0,0,2^SUMPRODUCT(--(MOD(SUMPRODUCT(MOD(INT(AQ144/{2,4,8,16,32,64,128,256,512,1024,2048,4096,8192,16384,32768}),2)*(1-MOD(INT(($CJ9+AP189)/{2,4,8,16,32,64,128,256,512,1024,2048,4096,8192,16384,32768}),2))*{2,4,8,16,32,64,128,256,512,1024,2048,4096,8192,16384,32768}),{2,4,8,16,32,64,128,256,512,1024,2048,4096,8192,16384,32768})=0))))</f>
        <v/>
      </c>
      <c r="AR189">
        <f>AQ189+IF(AND(AR99&gt;0,COUNTIF($Y99:AQ99,AR99)=0),0,IF(SUMPRODUCT(MOD(INT(AR144/{2,4,8,16,32,64,128,256,512,1024,2048,4096,8192,16384,32768}),2)*(1-MOD(INT(($CJ9+AQ189)/{2,4,8,16,32,64,128,256,512,1024,2048,4096,8192,16384,32768}),2))*{2,4,8,16,32,64,128,256,512,1024,2048,4096,8192,16384,32768})=0,0,2^SUMPRODUCT(--(MOD(SUMPRODUCT(MOD(INT(AR144/{2,4,8,16,32,64,128,256,512,1024,2048,4096,8192,16384,32768}),2)*(1-MOD(INT(($CJ9+AQ189)/{2,4,8,16,32,64,128,256,512,1024,2048,4096,8192,16384,32768}),2))*{2,4,8,16,32,64,128,256,512,1024,2048,4096,8192,16384,32768}),{2,4,8,16,32,64,128,256,512,1024,2048,4096,8192,16384,32768})=0))))</f>
        <v/>
      </c>
      <c r="AS189">
        <f>AR189+IF(AND(AS99&gt;0,COUNTIF($Y99:AR99,AS99)=0),0,IF(SUMPRODUCT(MOD(INT(AS144/{2,4,8,16,32,64,128,256,512,1024,2048,4096,8192,16384,32768}),2)*(1-MOD(INT(($CJ9+AR189)/{2,4,8,16,32,64,128,256,512,1024,2048,4096,8192,16384,32768}),2))*{2,4,8,16,32,64,128,256,512,1024,2048,4096,8192,16384,32768})=0,0,2^SUMPRODUCT(--(MOD(SUMPRODUCT(MOD(INT(AS144/{2,4,8,16,32,64,128,256,512,1024,2048,4096,8192,16384,32768}),2)*(1-MOD(INT(($CJ9+AR189)/{2,4,8,16,32,64,128,256,512,1024,2048,4096,8192,16384,32768}),2))*{2,4,8,16,32,64,128,256,512,1024,2048,4096,8192,16384,32768}),{2,4,8,16,32,64,128,256,512,1024,2048,4096,8192,16384,32768})=0))))</f>
        <v/>
      </c>
      <c r="AT189">
        <f>AS189+IF(AND(AT99&gt;0,COUNTIF($Y99:AS99,AT99)=0),0,IF(SUMPRODUCT(MOD(INT(AT144/{2,4,8,16,32,64,128,256,512,1024,2048,4096,8192,16384,32768}),2)*(1-MOD(INT(($CJ9+AS189)/{2,4,8,16,32,64,128,256,512,1024,2048,4096,8192,16384,32768}),2))*{2,4,8,16,32,64,128,256,512,1024,2048,4096,8192,16384,32768})=0,0,2^SUMPRODUCT(--(MOD(SUMPRODUCT(MOD(INT(AT144/{2,4,8,16,32,64,128,256,512,1024,2048,4096,8192,16384,32768}),2)*(1-MOD(INT(($CJ9+AS189)/{2,4,8,16,32,64,128,256,512,1024,2048,4096,8192,16384,32768}),2))*{2,4,8,16,32,64,128,256,512,1024,2048,4096,8192,16384,32768}),{2,4,8,16,32,64,128,256,512,1024,2048,4096,8192,16384,32768})=0))))</f>
        <v/>
      </c>
      <c r="AU189">
        <f>AT189+IF(AND(AU99&gt;0,COUNTIF($Y99:AT99,AU99)=0),0,IF(SUMPRODUCT(MOD(INT(AU144/{2,4,8,16,32,64,128,256,512,1024,2048,4096,8192,16384,32768}),2)*(1-MOD(INT(($CJ9+AT189)/{2,4,8,16,32,64,128,256,512,1024,2048,4096,8192,16384,32768}),2))*{2,4,8,16,32,64,128,256,512,1024,2048,4096,8192,16384,32768})=0,0,2^SUMPRODUCT(--(MOD(SUMPRODUCT(MOD(INT(AU144/{2,4,8,16,32,64,128,256,512,1024,2048,4096,8192,16384,32768}),2)*(1-MOD(INT(($CJ9+AT189)/{2,4,8,16,32,64,128,256,512,1024,2048,4096,8192,16384,32768}),2))*{2,4,8,16,32,64,128,256,512,1024,2048,4096,8192,16384,32768}),{2,4,8,16,32,64,128,256,512,1024,2048,4096,8192,16384,32768})=0))))</f>
        <v/>
      </c>
      <c r="AV189">
        <f>AU189+IF(AND(AV99&gt;0,COUNTIF($Y99:AU99,AV99)=0),0,IF(SUMPRODUCT(MOD(INT(AV144/{2,4,8,16,32,64,128,256,512,1024,2048,4096,8192,16384,32768}),2)*(1-MOD(INT(($CJ9+AU189)/{2,4,8,16,32,64,128,256,512,1024,2048,4096,8192,16384,32768}),2))*{2,4,8,16,32,64,128,256,512,1024,2048,4096,8192,16384,32768})=0,0,2^SUMPRODUCT(--(MOD(SUMPRODUCT(MOD(INT(AV144/{2,4,8,16,32,64,128,256,512,1024,2048,4096,8192,16384,32768}),2)*(1-MOD(INT(($CJ9+AU189)/{2,4,8,16,32,64,128,256,512,1024,2048,4096,8192,16384,32768}),2))*{2,4,8,16,32,64,128,256,512,1024,2048,4096,8192,16384,32768}),{2,4,8,16,32,64,128,256,512,1024,2048,4096,8192,16384,32768})=0))))</f>
        <v/>
      </c>
      <c r="AW189">
        <f>AV189+IF(AND(AW99&gt;0,COUNTIF($Y99:AV99,AW99)=0),0,IF(SUMPRODUCT(MOD(INT(AW144/{2,4,8,16,32,64,128,256,512,1024,2048,4096,8192,16384,32768}),2)*(1-MOD(INT(($CJ9+AV189)/{2,4,8,16,32,64,128,256,512,1024,2048,4096,8192,16384,32768}),2))*{2,4,8,16,32,64,128,256,512,1024,2048,4096,8192,16384,32768})=0,0,2^SUMPRODUCT(--(MOD(SUMPRODUCT(MOD(INT(AW144/{2,4,8,16,32,64,128,256,512,1024,2048,4096,8192,16384,32768}),2)*(1-MOD(INT(($CJ9+AV189)/{2,4,8,16,32,64,128,256,512,1024,2048,4096,8192,16384,32768}),2))*{2,4,8,16,32,64,128,256,512,1024,2048,4096,8192,16384,32768}),{2,4,8,16,32,64,128,256,512,1024,2048,4096,8192,16384,32768})=0))))</f>
        <v/>
      </c>
      <c r="AX189">
        <f>AW189+IF(AND(AX99&gt;0,COUNTIF($Y99:AW99,AX99)=0),0,IF(SUMPRODUCT(MOD(INT(AX144/{2,4,8,16,32,64,128,256,512,1024,2048,4096,8192,16384,32768}),2)*(1-MOD(INT(($CJ9+AW189)/{2,4,8,16,32,64,128,256,512,1024,2048,4096,8192,16384,32768}),2))*{2,4,8,16,32,64,128,256,512,1024,2048,4096,8192,16384,32768})=0,0,2^SUMPRODUCT(--(MOD(SUMPRODUCT(MOD(INT(AX144/{2,4,8,16,32,64,128,256,512,1024,2048,4096,8192,16384,32768}),2)*(1-MOD(INT(($CJ9+AW189)/{2,4,8,16,32,64,128,256,512,1024,2048,4096,8192,16384,32768}),2))*{2,4,8,16,32,64,128,256,512,1024,2048,4096,8192,16384,32768}),{2,4,8,16,32,64,128,256,512,1024,2048,4096,8192,16384,32768})=0))))</f>
        <v/>
      </c>
      <c r="AY189">
        <f>AX189+IF(AND(AY99&gt;0,COUNTIF($Y99:AX99,AY99)=0),0,IF(SUMPRODUCT(MOD(INT(AY144/{2,4,8,16,32,64,128,256,512,1024,2048,4096,8192,16384,32768}),2)*(1-MOD(INT(($CJ9+AX189)/{2,4,8,16,32,64,128,256,512,1024,2048,4096,8192,16384,32768}),2))*{2,4,8,16,32,64,128,256,512,1024,2048,4096,8192,16384,32768})=0,0,2^SUMPRODUCT(--(MOD(SUMPRODUCT(MOD(INT(AY144/{2,4,8,16,32,64,128,256,512,1024,2048,4096,8192,16384,32768}),2)*(1-MOD(INT(($CJ9+AX189)/{2,4,8,16,32,64,128,256,512,1024,2048,4096,8192,16384,32768}),2))*{2,4,8,16,32,64,128,256,512,1024,2048,4096,8192,16384,32768}),{2,4,8,16,32,64,128,256,512,1024,2048,4096,8192,16384,32768})=0))))</f>
        <v/>
      </c>
      <c r="AZ189">
        <f>AY189+IF(AND(AZ99&gt;0,COUNTIF($Y99:AY99,AZ99)=0),0,IF(SUMPRODUCT(MOD(INT(AZ144/{2,4,8,16,32,64,128,256,512,1024,2048,4096,8192,16384,32768}),2)*(1-MOD(INT(($CJ9+AY189)/{2,4,8,16,32,64,128,256,512,1024,2048,4096,8192,16384,32768}),2))*{2,4,8,16,32,64,128,256,512,1024,2048,4096,8192,16384,32768})=0,0,2^SUMPRODUCT(--(MOD(SUMPRODUCT(MOD(INT(AZ144/{2,4,8,16,32,64,128,256,512,1024,2048,4096,8192,16384,32768}),2)*(1-MOD(INT(($CJ9+AY189)/{2,4,8,16,32,64,128,256,512,1024,2048,4096,8192,16384,32768}),2))*{2,4,8,16,32,64,128,256,512,1024,2048,4096,8192,16384,32768}),{2,4,8,16,32,64,128,256,512,1024,2048,4096,8192,16384,32768})=0))))</f>
        <v/>
      </c>
      <c r="BA189">
        <f>AZ189+IF(AND(BA99&gt;0,COUNTIF($Y99:AZ99,BA99)=0),0,IF(SUMPRODUCT(MOD(INT(BA144/{2,4,8,16,32,64,128,256,512,1024,2048,4096,8192,16384,32768}),2)*(1-MOD(INT(($CJ9+AZ189)/{2,4,8,16,32,64,128,256,512,1024,2048,4096,8192,16384,32768}),2))*{2,4,8,16,32,64,128,256,512,1024,2048,4096,8192,16384,32768})=0,0,2^SUMPRODUCT(--(MOD(SUMPRODUCT(MOD(INT(BA144/{2,4,8,16,32,64,128,256,512,1024,2048,4096,8192,16384,32768}),2)*(1-MOD(INT(($CJ9+AZ189)/{2,4,8,16,32,64,128,256,512,1024,2048,4096,8192,16384,32768}),2))*{2,4,8,16,32,64,128,256,512,1024,2048,4096,8192,16384,32768}),{2,4,8,16,32,64,128,256,512,1024,2048,4096,8192,16384,32768})=0))))</f>
        <v/>
      </c>
      <c r="BB189">
        <f>BA189+IF(AND(BB99&gt;0,COUNTIF($Y99:BA99,BB99)=0),0,IF(SUMPRODUCT(MOD(INT(BB144/{2,4,8,16,32,64,128,256,512,1024,2048,4096,8192,16384,32768}),2)*(1-MOD(INT(($CJ9+BA189)/{2,4,8,16,32,64,128,256,512,1024,2048,4096,8192,16384,32768}),2))*{2,4,8,16,32,64,128,256,512,1024,2048,4096,8192,16384,32768})=0,0,2^SUMPRODUCT(--(MOD(SUMPRODUCT(MOD(INT(BB144/{2,4,8,16,32,64,128,256,512,1024,2048,4096,8192,16384,32768}),2)*(1-MOD(INT(($CJ9+BA189)/{2,4,8,16,32,64,128,256,512,1024,2048,4096,8192,16384,32768}),2))*{2,4,8,16,32,64,128,256,512,1024,2048,4096,8192,16384,32768}),{2,4,8,16,32,64,128,256,512,1024,2048,4096,8192,16384,32768})=0))))</f>
        <v/>
      </c>
      <c r="BC189">
        <f>BB189+IF(AND(BC99&gt;0,COUNTIF($Y99:BB99,BC99)=0),0,IF(SUMPRODUCT(MOD(INT(BC144/{2,4,8,16,32,64,128,256,512,1024,2048,4096,8192,16384,32768}),2)*(1-MOD(INT(($CJ9+BB189)/{2,4,8,16,32,64,128,256,512,1024,2048,4096,8192,16384,32768}),2))*{2,4,8,16,32,64,128,256,512,1024,2048,4096,8192,16384,32768})=0,0,2^SUMPRODUCT(--(MOD(SUMPRODUCT(MOD(INT(BC144/{2,4,8,16,32,64,128,256,512,1024,2048,4096,8192,16384,32768}),2)*(1-MOD(INT(($CJ9+BB189)/{2,4,8,16,32,64,128,256,512,1024,2048,4096,8192,16384,32768}),2))*{2,4,8,16,32,64,128,256,512,1024,2048,4096,8192,16384,32768}),{2,4,8,16,32,64,128,256,512,1024,2048,4096,8192,16384,32768})=0))))</f>
        <v/>
      </c>
      <c r="BD189">
        <f>BC189+IF(AND(BD99&gt;0,COUNTIF($Y99:BC99,BD99)=0),0,IF(SUMPRODUCT(MOD(INT(BD144/{2,4,8,16,32,64,128,256,512,1024,2048,4096,8192,16384,32768}),2)*(1-MOD(INT(($CJ9+BC189)/{2,4,8,16,32,64,128,256,512,1024,2048,4096,8192,16384,32768}),2))*{2,4,8,16,32,64,128,256,512,1024,2048,4096,8192,16384,32768})=0,0,2^SUMPRODUCT(--(MOD(SUMPRODUCT(MOD(INT(BD144/{2,4,8,16,32,64,128,256,512,1024,2048,4096,8192,16384,32768}),2)*(1-MOD(INT(($CJ9+BC189)/{2,4,8,16,32,64,128,256,512,1024,2048,4096,8192,16384,32768}),2))*{2,4,8,16,32,64,128,256,512,1024,2048,4096,8192,16384,32768}),{2,4,8,16,32,64,128,256,512,1024,2048,4096,8192,16384,32768})=0))))</f>
        <v/>
      </c>
      <c r="BE189">
        <f>BD189+IF(AND(BE99&gt;0,COUNTIF($Y99:BD99,BE99)=0),0,IF(SUMPRODUCT(MOD(INT(BE144/{2,4,8,16,32,64,128,256,512,1024,2048,4096,8192,16384,32768}),2)*(1-MOD(INT(($CJ9+BD189)/{2,4,8,16,32,64,128,256,512,1024,2048,4096,8192,16384,32768}),2))*{2,4,8,16,32,64,128,256,512,1024,2048,4096,8192,16384,32768})=0,0,2^SUMPRODUCT(--(MOD(SUMPRODUCT(MOD(INT(BE144/{2,4,8,16,32,64,128,256,512,1024,2048,4096,8192,16384,32768}),2)*(1-MOD(INT(($CJ9+BD189)/{2,4,8,16,32,64,128,256,512,1024,2048,4096,8192,16384,32768}),2))*{2,4,8,16,32,64,128,256,512,1024,2048,4096,8192,16384,32768}),{2,4,8,16,32,64,128,256,512,1024,2048,4096,8192,16384,32768})=0))))</f>
        <v/>
      </c>
      <c r="BF189">
        <f>BE189+IF(AND(BF99&gt;0,COUNTIF($Y99:BE99,BF99)=0),0,IF(SUMPRODUCT(MOD(INT(BF144/{2,4,8,16,32,64,128,256,512,1024,2048,4096,8192,16384,32768}),2)*(1-MOD(INT(($CJ9+BE189)/{2,4,8,16,32,64,128,256,512,1024,2048,4096,8192,16384,32768}),2))*{2,4,8,16,32,64,128,256,512,1024,2048,4096,8192,16384,32768})=0,0,2^SUMPRODUCT(--(MOD(SUMPRODUCT(MOD(INT(BF144/{2,4,8,16,32,64,128,256,512,1024,2048,4096,8192,16384,32768}),2)*(1-MOD(INT(($CJ9+BE189)/{2,4,8,16,32,64,128,256,512,1024,2048,4096,8192,16384,32768}),2))*{2,4,8,16,32,64,128,256,512,1024,2048,4096,8192,16384,32768}),{2,4,8,16,32,64,128,256,512,1024,2048,4096,8192,16384,32768})=0))))</f>
        <v/>
      </c>
      <c r="BG189">
        <f>BF189+IF(AND(BG99&gt;0,COUNTIF($Y99:BF99,BG99)=0),0,IF(SUMPRODUCT(MOD(INT(BG144/{2,4,8,16,32,64,128,256,512,1024,2048,4096,8192,16384,32768}),2)*(1-MOD(INT(($CJ9+BF189)/{2,4,8,16,32,64,128,256,512,1024,2048,4096,8192,16384,32768}),2))*{2,4,8,16,32,64,128,256,512,1024,2048,4096,8192,16384,32768})=0,0,2^SUMPRODUCT(--(MOD(SUMPRODUCT(MOD(INT(BG144/{2,4,8,16,32,64,128,256,512,1024,2048,4096,8192,16384,32768}),2)*(1-MOD(INT(($CJ9+BF189)/{2,4,8,16,32,64,128,256,512,1024,2048,4096,8192,16384,32768}),2))*{2,4,8,16,32,64,128,256,512,1024,2048,4096,8192,16384,32768}),{2,4,8,16,32,64,128,256,512,1024,2048,4096,8192,16384,32768})=0))))</f>
        <v/>
      </c>
      <c r="BH189">
        <f>BG189+IF(AND(BH99&gt;0,COUNTIF($Y99:BG99,BH99)=0),0,IF(SUMPRODUCT(MOD(INT(BH144/{2,4,8,16,32,64,128,256,512,1024,2048,4096,8192,16384,32768}),2)*(1-MOD(INT(($CJ9+BG189)/{2,4,8,16,32,64,128,256,512,1024,2048,4096,8192,16384,32768}),2))*{2,4,8,16,32,64,128,256,512,1024,2048,4096,8192,16384,32768})=0,0,2^SUMPRODUCT(--(MOD(SUMPRODUCT(MOD(INT(BH144/{2,4,8,16,32,64,128,256,512,1024,2048,4096,8192,16384,32768}),2)*(1-MOD(INT(($CJ9+BG189)/{2,4,8,16,32,64,128,256,512,1024,2048,4096,8192,16384,32768}),2))*{2,4,8,16,32,64,128,256,512,1024,2048,4096,8192,16384,32768}),{2,4,8,16,32,64,128,256,512,1024,2048,4096,8192,16384,32768})=0))))</f>
        <v/>
      </c>
      <c r="BI189">
        <f>BH189+IF(AND(BI99&gt;0,COUNTIF($Y99:BH99,BI99)=0),0,IF(SUMPRODUCT(MOD(INT(BI144/{2,4,8,16,32,64,128,256,512,1024,2048,4096,8192,16384,32768}),2)*(1-MOD(INT(($CJ9+BH189)/{2,4,8,16,32,64,128,256,512,1024,2048,4096,8192,16384,32768}),2))*{2,4,8,16,32,64,128,256,512,1024,2048,4096,8192,16384,32768})=0,0,2^SUMPRODUCT(--(MOD(SUMPRODUCT(MOD(INT(BI144/{2,4,8,16,32,64,128,256,512,1024,2048,4096,8192,16384,32768}),2)*(1-MOD(INT(($CJ9+BH189)/{2,4,8,16,32,64,128,256,512,1024,2048,4096,8192,16384,32768}),2))*{2,4,8,16,32,64,128,256,512,1024,2048,4096,8192,16384,32768}),{2,4,8,16,32,64,128,256,512,1024,2048,4096,8192,16384,32768})=0))))</f>
        <v/>
      </c>
      <c r="BJ189">
        <f>BI189+IF(AND(BJ99&gt;0,COUNTIF($Y99:BI99,BJ99)=0),0,IF(SUMPRODUCT(MOD(INT(BJ144/{2,4,8,16,32,64,128,256,512,1024,2048,4096,8192,16384,32768}),2)*(1-MOD(INT(($CJ9+BI189)/{2,4,8,16,32,64,128,256,512,1024,2048,4096,8192,16384,32768}),2))*{2,4,8,16,32,64,128,256,512,1024,2048,4096,8192,16384,32768})=0,0,2^SUMPRODUCT(--(MOD(SUMPRODUCT(MOD(INT(BJ144/{2,4,8,16,32,64,128,256,512,1024,2048,4096,8192,16384,32768}),2)*(1-MOD(INT(($CJ9+BI189)/{2,4,8,16,32,64,128,256,512,1024,2048,4096,8192,16384,32768}),2))*{2,4,8,16,32,64,128,256,512,1024,2048,4096,8192,16384,32768}),{2,4,8,16,32,64,128,256,512,1024,2048,4096,8192,16384,32768})=0))))</f>
        <v/>
      </c>
      <c r="BK189">
        <f>BJ189+IF(AND(BK99&gt;0,COUNTIF($Y99:BJ99,BK99)=0),0,IF(SUMPRODUCT(MOD(INT(BK144/{2,4,8,16,32,64,128,256,512,1024,2048,4096,8192,16384,32768}),2)*(1-MOD(INT(($CJ9+BJ189)/{2,4,8,16,32,64,128,256,512,1024,2048,4096,8192,16384,32768}),2))*{2,4,8,16,32,64,128,256,512,1024,2048,4096,8192,16384,32768})=0,0,2^SUMPRODUCT(--(MOD(SUMPRODUCT(MOD(INT(BK144/{2,4,8,16,32,64,128,256,512,1024,2048,4096,8192,16384,32768}),2)*(1-MOD(INT(($CJ9+BJ189)/{2,4,8,16,32,64,128,256,512,1024,2048,4096,8192,16384,32768}),2))*{2,4,8,16,32,64,128,256,512,1024,2048,4096,8192,16384,32768}),{2,4,8,16,32,64,128,256,512,1024,2048,4096,8192,16384,32768})=0))))</f>
        <v/>
      </c>
      <c r="BL189">
        <f>BK189+IF(AND(BL99&gt;0,COUNTIF($Y99:BK99,BL99)=0),0,IF(SUMPRODUCT(MOD(INT(BL144/{2,4,8,16,32,64,128,256,512,1024,2048,4096,8192,16384,32768}),2)*(1-MOD(INT(($CJ9+BK189)/{2,4,8,16,32,64,128,256,512,1024,2048,4096,8192,16384,32768}),2))*{2,4,8,16,32,64,128,256,512,1024,2048,4096,8192,16384,32768})=0,0,2^SUMPRODUCT(--(MOD(SUMPRODUCT(MOD(INT(BL144/{2,4,8,16,32,64,128,256,512,1024,2048,4096,8192,16384,32768}),2)*(1-MOD(INT(($CJ9+BK189)/{2,4,8,16,32,64,128,256,512,1024,2048,4096,8192,16384,32768}),2))*{2,4,8,16,32,64,128,256,512,1024,2048,4096,8192,16384,32768}),{2,4,8,16,32,64,128,256,512,1024,2048,4096,8192,16384,32768})=0))))</f>
        <v/>
      </c>
      <c r="BM189">
        <f>BL189+IF(AND(BM99&gt;0,COUNTIF($Y99:BL99,BM99)=0),0,IF(SUMPRODUCT(MOD(INT(BM144/{2,4,8,16,32,64,128,256,512,1024,2048,4096,8192,16384,32768}),2)*(1-MOD(INT(($CJ9+BL189)/{2,4,8,16,32,64,128,256,512,1024,2048,4096,8192,16384,32768}),2))*{2,4,8,16,32,64,128,256,512,1024,2048,4096,8192,16384,32768})=0,0,2^SUMPRODUCT(--(MOD(SUMPRODUCT(MOD(INT(BM144/{2,4,8,16,32,64,128,256,512,1024,2048,4096,8192,16384,32768}),2)*(1-MOD(INT(($CJ9+BL189)/{2,4,8,16,32,64,128,256,512,1024,2048,4096,8192,16384,32768}),2))*{2,4,8,16,32,64,128,256,512,1024,2048,4096,8192,16384,32768}),{2,4,8,16,32,64,128,256,512,1024,2048,4096,8192,16384,32768})=0))))</f>
        <v/>
      </c>
      <c r="BN189">
        <f>BM189+IF(AND(BN99&gt;0,COUNTIF($Y99:BM99,BN99)=0),0,IF(SUMPRODUCT(MOD(INT(BN144/{2,4,8,16,32,64,128,256,512,1024,2048,4096,8192,16384,32768}),2)*(1-MOD(INT(($CJ9+BM189)/{2,4,8,16,32,64,128,256,512,1024,2048,4096,8192,16384,32768}),2))*{2,4,8,16,32,64,128,256,512,1024,2048,4096,8192,16384,32768})=0,0,2^SUMPRODUCT(--(MOD(SUMPRODUCT(MOD(INT(BN144/{2,4,8,16,32,64,128,256,512,1024,2048,4096,8192,16384,32768}),2)*(1-MOD(INT(($CJ9+BM189)/{2,4,8,16,32,64,128,256,512,1024,2048,4096,8192,16384,32768}),2))*{2,4,8,16,32,64,128,256,512,1024,2048,4096,8192,16384,32768}),{2,4,8,16,32,64,128,256,512,1024,2048,4096,8192,16384,32768})=0))))</f>
        <v/>
      </c>
      <c r="BO189">
        <f>BN189+IF(AND(BO99&gt;0,COUNTIF($Y99:BN99,BO99)=0),0,IF(SUMPRODUCT(MOD(INT(BO144/{2,4,8,16,32,64,128,256,512,1024,2048,4096,8192,16384,32768}),2)*(1-MOD(INT(($CJ9+BN189)/{2,4,8,16,32,64,128,256,512,1024,2048,4096,8192,16384,32768}),2))*{2,4,8,16,32,64,128,256,512,1024,2048,4096,8192,16384,32768})=0,0,2^SUMPRODUCT(--(MOD(SUMPRODUCT(MOD(INT(BO144/{2,4,8,16,32,64,128,256,512,1024,2048,4096,8192,16384,32768}),2)*(1-MOD(INT(($CJ9+BN189)/{2,4,8,16,32,64,128,256,512,1024,2048,4096,8192,16384,32768}),2))*{2,4,8,16,32,64,128,256,512,1024,2048,4096,8192,16384,32768}),{2,4,8,16,32,64,128,256,512,1024,2048,4096,8192,16384,32768})=0))))</f>
        <v/>
      </c>
      <c r="BP189">
        <f>BO189+IF(AND(BP99&gt;0,COUNTIF($Y99:BO99,BP99)=0),0,IF(SUMPRODUCT(MOD(INT(BP144/{2,4,8,16,32,64,128,256,512,1024,2048,4096,8192,16384,32768}),2)*(1-MOD(INT(($CJ9+BO189)/{2,4,8,16,32,64,128,256,512,1024,2048,4096,8192,16384,32768}),2))*{2,4,8,16,32,64,128,256,512,1024,2048,4096,8192,16384,32768})=0,0,2^SUMPRODUCT(--(MOD(SUMPRODUCT(MOD(INT(BP144/{2,4,8,16,32,64,128,256,512,1024,2048,4096,8192,16384,32768}),2)*(1-MOD(INT(($CJ9+BO189)/{2,4,8,16,32,64,128,256,512,1024,2048,4096,8192,16384,32768}),2))*{2,4,8,16,32,64,128,256,512,1024,2048,4096,8192,16384,32768}),{2,4,8,16,32,64,128,256,512,1024,2048,4096,8192,16384,32768})=0))))</f>
        <v/>
      </c>
      <c r="BQ189">
        <f>BP189+IF(AND(BQ99&gt;0,COUNTIF($Y99:BP99,BQ99)=0),0,IF(SUMPRODUCT(MOD(INT(BQ144/{2,4,8,16,32,64,128,256,512,1024,2048,4096,8192,16384,32768}),2)*(1-MOD(INT(($CJ9+BP189)/{2,4,8,16,32,64,128,256,512,1024,2048,4096,8192,16384,32768}),2))*{2,4,8,16,32,64,128,256,512,1024,2048,4096,8192,16384,32768})=0,0,2^SUMPRODUCT(--(MOD(SUMPRODUCT(MOD(INT(BQ144/{2,4,8,16,32,64,128,256,512,1024,2048,4096,8192,16384,32768}),2)*(1-MOD(INT(($CJ9+BP189)/{2,4,8,16,32,64,128,256,512,1024,2048,4096,8192,16384,32768}),2))*{2,4,8,16,32,64,128,256,512,1024,2048,4096,8192,16384,32768}),{2,4,8,16,32,64,128,256,512,1024,2048,4096,8192,16384,32768})=0))))</f>
        <v/>
      </c>
      <c r="BR189">
        <f>BQ189+IF(AND(BR99&gt;0,COUNTIF($Y99:BQ99,BR99)=0),0,IF(SUMPRODUCT(MOD(INT(BR144/{2,4,8,16,32,64,128,256,512,1024,2048,4096,8192,16384,32768}),2)*(1-MOD(INT(($CJ9+BQ189)/{2,4,8,16,32,64,128,256,512,1024,2048,4096,8192,16384,32768}),2))*{2,4,8,16,32,64,128,256,512,1024,2048,4096,8192,16384,32768})=0,0,2^SUMPRODUCT(--(MOD(SUMPRODUCT(MOD(INT(BR144/{2,4,8,16,32,64,128,256,512,1024,2048,4096,8192,16384,32768}),2)*(1-MOD(INT(($CJ9+BQ189)/{2,4,8,16,32,64,128,256,512,1024,2048,4096,8192,16384,32768}),2))*{2,4,8,16,32,64,128,256,512,1024,2048,4096,8192,16384,32768}),{2,4,8,16,32,64,128,256,512,1024,2048,4096,8192,16384,32768})=0))))</f>
        <v/>
      </c>
      <c r="BS189">
        <f>BR189+IF(AND(BS99&gt;0,COUNTIF($Y99:BR99,BS99)=0),0,IF(SUMPRODUCT(MOD(INT(BS144/{2,4,8,16,32,64,128,256,512,1024,2048,4096,8192,16384,32768}),2)*(1-MOD(INT(($CJ9+BR189)/{2,4,8,16,32,64,128,256,512,1024,2048,4096,8192,16384,32768}),2))*{2,4,8,16,32,64,128,256,512,1024,2048,4096,8192,16384,32768})=0,0,2^SUMPRODUCT(--(MOD(SUMPRODUCT(MOD(INT(BS144/{2,4,8,16,32,64,128,256,512,1024,2048,4096,8192,16384,32768}),2)*(1-MOD(INT(($CJ9+BR189)/{2,4,8,16,32,64,128,256,512,1024,2048,4096,8192,16384,32768}),2))*{2,4,8,16,32,64,128,256,512,1024,2048,4096,8192,16384,32768}),{2,4,8,16,32,64,128,256,512,1024,2048,4096,8192,16384,32768})=0))))</f>
        <v/>
      </c>
      <c r="BT189">
        <f>BS189+IF(AND(BT99&gt;0,COUNTIF($Y99:BS99,BT99)=0),0,IF(SUMPRODUCT(MOD(INT(BT144/{2,4,8,16,32,64,128,256,512,1024,2048,4096,8192,16384,32768}),2)*(1-MOD(INT(($CJ9+BS189)/{2,4,8,16,32,64,128,256,512,1024,2048,4096,8192,16384,32768}),2))*{2,4,8,16,32,64,128,256,512,1024,2048,4096,8192,16384,32768})=0,0,2^SUMPRODUCT(--(MOD(SUMPRODUCT(MOD(INT(BT144/{2,4,8,16,32,64,128,256,512,1024,2048,4096,8192,16384,32768}),2)*(1-MOD(INT(($CJ9+BS189)/{2,4,8,16,32,64,128,256,512,1024,2048,4096,8192,16384,32768}),2))*{2,4,8,16,32,64,128,256,512,1024,2048,4096,8192,16384,32768}),{2,4,8,16,32,64,128,256,512,1024,2048,4096,8192,16384,32768})=0))))</f>
        <v/>
      </c>
      <c r="BU189">
        <f>BT189+IF(AND(BU99&gt;0,COUNTIF($Y99:BT99,BU99)=0),0,IF(SUMPRODUCT(MOD(INT(BU144/{2,4,8,16,32,64,128,256,512,1024,2048,4096,8192,16384,32768}),2)*(1-MOD(INT(($CJ9+BT189)/{2,4,8,16,32,64,128,256,512,1024,2048,4096,8192,16384,32768}),2))*{2,4,8,16,32,64,128,256,512,1024,2048,4096,8192,16384,32768})=0,0,2^SUMPRODUCT(--(MOD(SUMPRODUCT(MOD(INT(BU144/{2,4,8,16,32,64,128,256,512,1024,2048,4096,8192,16384,32768}),2)*(1-MOD(INT(($CJ9+BT189)/{2,4,8,16,32,64,128,256,512,1024,2048,4096,8192,16384,32768}),2))*{2,4,8,16,32,64,128,256,512,1024,2048,4096,8192,16384,32768}),{2,4,8,16,32,64,128,256,512,1024,2048,4096,8192,16384,32768})=0))))</f>
        <v/>
      </c>
      <c r="BV189">
        <f>BU189+IF(AND(BV99&gt;0,COUNTIF($Y99:BU99,BV99)=0),0,IF(SUMPRODUCT(MOD(INT(BV144/{2,4,8,16,32,64,128,256,512,1024,2048,4096,8192,16384,32768}),2)*(1-MOD(INT(($CJ9+BU189)/{2,4,8,16,32,64,128,256,512,1024,2048,4096,8192,16384,32768}),2))*{2,4,8,16,32,64,128,256,512,1024,2048,4096,8192,16384,32768})=0,0,2^SUMPRODUCT(--(MOD(SUMPRODUCT(MOD(INT(BV144/{2,4,8,16,32,64,128,256,512,1024,2048,4096,8192,16384,32768}),2)*(1-MOD(INT(($CJ9+BU189)/{2,4,8,16,32,64,128,256,512,1024,2048,4096,8192,16384,32768}),2))*{2,4,8,16,32,64,128,256,512,1024,2048,4096,8192,16384,32768}),{2,4,8,16,32,64,128,256,512,1024,2048,4096,8192,16384,32768})=0))))</f>
        <v/>
      </c>
      <c r="BW189">
        <f>BV189+IF(AND(BW99&gt;0,COUNTIF($Y99:BV99,BW99)=0),0,IF(SUMPRODUCT(MOD(INT(BW144/{2,4,8,16,32,64,128,256,512,1024,2048,4096,8192,16384,32768}),2)*(1-MOD(INT(($CJ9+BV189)/{2,4,8,16,32,64,128,256,512,1024,2048,4096,8192,16384,32768}),2))*{2,4,8,16,32,64,128,256,512,1024,2048,4096,8192,16384,32768})=0,0,2^SUMPRODUCT(--(MOD(SUMPRODUCT(MOD(INT(BW144/{2,4,8,16,32,64,128,256,512,1024,2048,4096,8192,16384,32768}),2)*(1-MOD(INT(($CJ9+BV189)/{2,4,8,16,32,64,128,256,512,1024,2048,4096,8192,16384,32768}),2))*{2,4,8,16,32,64,128,256,512,1024,2048,4096,8192,16384,32768}),{2,4,8,16,32,64,128,256,512,1024,2048,4096,8192,16384,32768})=0))))</f>
        <v/>
      </c>
      <c r="BX189">
        <f>BW189+IF(AND(BX99&gt;0,COUNTIF($Y99:BW99,BX99)=0),0,IF(SUMPRODUCT(MOD(INT(BX144/{2,4,8,16,32,64,128,256,512,1024,2048,4096,8192,16384,32768}),2)*(1-MOD(INT(($CJ9+BW189)/{2,4,8,16,32,64,128,256,512,1024,2048,4096,8192,16384,32768}),2))*{2,4,8,16,32,64,128,256,512,1024,2048,4096,8192,16384,32768})=0,0,2^SUMPRODUCT(--(MOD(SUMPRODUCT(MOD(INT(BX144/{2,4,8,16,32,64,128,256,512,1024,2048,4096,8192,16384,32768}),2)*(1-MOD(INT(($CJ9+BW189)/{2,4,8,16,32,64,128,256,512,1024,2048,4096,8192,16384,32768}),2))*{2,4,8,16,32,64,128,256,512,1024,2048,4096,8192,16384,32768}),{2,4,8,16,32,64,128,256,512,1024,2048,4096,8192,16384,32768})=0))))</f>
        <v/>
      </c>
      <c r="BY189">
        <f>BX189+IF(AND(BY99&gt;0,COUNTIF($Y99:BX99,BY99)=0),0,IF(SUMPRODUCT(MOD(INT(BY144/{2,4,8,16,32,64,128,256,512,1024,2048,4096,8192,16384,32768}),2)*(1-MOD(INT(($CJ9+BX189)/{2,4,8,16,32,64,128,256,512,1024,2048,4096,8192,16384,32768}),2))*{2,4,8,16,32,64,128,256,512,1024,2048,4096,8192,16384,32768})=0,0,2^SUMPRODUCT(--(MOD(SUMPRODUCT(MOD(INT(BY144/{2,4,8,16,32,64,128,256,512,1024,2048,4096,8192,16384,32768}),2)*(1-MOD(INT(($CJ9+BX189)/{2,4,8,16,32,64,128,256,512,1024,2048,4096,8192,16384,32768}),2))*{2,4,8,16,32,64,128,256,512,1024,2048,4096,8192,16384,32768}),{2,4,8,16,32,64,128,256,512,1024,2048,4096,8192,16384,32768})=0))))</f>
        <v/>
      </c>
      <c r="BZ189">
        <f>BY189+IF(AND(BZ99&gt;0,COUNTIF($Y99:BY99,BZ99)=0),0,IF(SUMPRODUCT(MOD(INT(BZ144/{2,4,8,16,32,64,128,256,512,1024,2048,4096,8192,16384,32768}),2)*(1-MOD(INT(($CJ9+BY189)/{2,4,8,16,32,64,128,256,512,1024,2048,4096,8192,16384,32768}),2))*{2,4,8,16,32,64,128,256,512,1024,2048,4096,8192,16384,32768})=0,0,2^SUMPRODUCT(--(MOD(SUMPRODUCT(MOD(INT(BZ144/{2,4,8,16,32,64,128,256,512,1024,2048,4096,8192,16384,32768}),2)*(1-MOD(INT(($CJ9+BY189)/{2,4,8,16,32,64,128,256,512,1024,2048,4096,8192,16384,32768}),2))*{2,4,8,16,32,64,128,256,512,1024,2048,4096,8192,16384,32768}),{2,4,8,16,32,64,128,256,512,1024,2048,4096,8192,16384,32768})=0))))</f>
        <v/>
      </c>
      <c r="CA189">
        <f>BZ189+IF(AND(CA99&gt;0,COUNTIF($Y99:BZ99,CA99)=0),0,IF(SUMPRODUCT(MOD(INT(CA144/{2,4,8,16,32,64,128,256,512,1024,2048,4096,8192,16384,32768}),2)*(1-MOD(INT(($CJ9+BZ189)/{2,4,8,16,32,64,128,256,512,1024,2048,4096,8192,16384,32768}),2))*{2,4,8,16,32,64,128,256,512,1024,2048,4096,8192,16384,32768})=0,0,2^SUMPRODUCT(--(MOD(SUMPRODUCT(MOD(INT(CA144/{2,4,8,16,32,64,128,256,512,1024,2048,4096,8192,16384,32768}),2)*(1-MOD(INT(($CJ9+BZ189)/{2,4,8,16,32,64,128,256,512,1024,2048,4096,8192,16384,32768}),2))*{2,4,8,16,32,64,128,256,512,1024,2048,4096,8192,16384,32768}),{2,4,8,16,32,64,128,256,512,1024,2048,4096,8192,16384,32768})=0))))</f>
        <v/>
      </c>
      <c r="CB189">
        <f>CA189+IF(AND(CB99&gt;0,COUNTIF($Y99:CA99,CB99)=0),0,IF(SUMPRODUCT(MOD(INT(CB144/{2,4,8,16,32,64,128,256,512,1024,2048,4096,8192,16384,32768}),2)*(1-MOD(INT(($CJ9+CA189)/{2,4,8,16,32,64,128,256,512,1024,2048,4096,8192,16384,32768}),2))*{2,4,8,16,32,64,128,256,512,1024,2048,4096,8192,16384,32768})=0,0,2^SUMPRODUCT(--(MOD(SUMPRODUCT(MOD(INT(CB144/{2,4,8,16,32,64,128,256,512,1024,2048,4096,8192,16384,32768}),2)*(1-MOD(INT(($CJ9+CA189)/{2,4,8,16,32,64,128,256,512,1024,2048,4096,8192,16384,32768}),2))*{2,4,8,16,32,64,128,256,512,1024,2048,4096,8192,16384,32768}),{2,4,8,16,32,64,128,256,512,1024,2048,4096,8192,16384,32768})=0))))</f>
        <v/>
      </c>
      <c r="CC189">
        <f>CB189+IF(AND(CC99&gt;0,COUNTIF($Y99:CB99,CC99)=0),0,IF(SUMPRODUCT(MOD(INT(CC144/{2,4,8,16,32,64,128,256,512,1024,2048,4096,8192,16384,32768}),2)*(1-MOD(INT(($CJ9+CB189)/{2,4,8,16,32,64,128,256,512,1024,2048,4096,8192,16384,32768}),2))*{2,4,8,16,32,64,128,256,512,1024,2048,4096,8192,16384,32768})=0,0,2^SUMPRODUCT(--(MOD(SUMPRODUCT(MOD(INT(CC144/{2,4,8,16,32,64,128,256,512,1024,2048,4096,8192,16384,32768}),2)*(1-MOD(INT(($CJ9+CB189)/{2,4,8,16,32,64,128,256,512,1024,2048,4096,8192,16384,32768}),2))*{2,4,8,16,32,64,128,256,512,1024,2048,4096,8192,16384,32768}),{2,4,8,16,32,64,128,256,512,1024,2048,4096,8192,16384,32768})=0))))</f>
        <v/>
      </c>
      <c r="CD189">
        <f>CC189+IF(AND(CD99&gt;0,COUNTIF($Y99:CC99,CD99)=0),0,IF(SUMPRODUCT(MOD(INT(CD144/{2,4,8,16,32,64,128,256,512,1024,2048,4096,8192,16384,32768}),2)*(1-MOD(INT(($CJ9+CC189)/{2,4,8,16,32,64,128,256,512,1024,2048,4096,8192,16384,32768}),2))*{2,4,8,16,32,64,128,256,512,1024,2048,4096,8192,16384,32768})=0,0,2^SUMPRODUCT(--(MOD(SUMPRODUCT(MOD(INT(CD144/{2,4,8,16,32,64,128,256,512,1024,2048,4096,8192,16384,32768}),2)*(1-MOD(INT(($CJ9+CC189)/{2,4,8,16,32,64,128,256,512,1024,2048,4096,8192,16384,32768}),2))*{2,4,8,16,32,64,128,256,512,1024,2048,4096,8192,16384,32768}),{2,4,8,16,32,64,128,256,512,1024,2048,4096,8192,16384,32768})=0))))</f>
        <v/>
      </c>
      <c r="CE189">
        <f>CD189+IF(AND(CE99&gt;0,COUNTIF($Y99:CD99,CE99)=0),0,IF(SUMPRODUCT(MOD(INT(CE144/{2,4,8,16,32,64,128,256,512,1024,2048,4096,8192,16384,32768}),2)*(1-MOD(INT(($CJ9+CD189)/{2,4,8,16,32,64,128,256,512,1024,2048,4096,8192,16384,32768}),2))*{2,4,8,16,32,64,128,256,512,1024,2048,4096,8192,16384,32768})=0,0,2^SUMPRODUCT(--(MOD(SUMPRODUCT(MOD(INT(CE144/{2,4,8,16,32,64,128,256,512,1024,2048,4096,8192,16384,32768}),2)*(1-MOD(INT(($CJ9+CD189)/{2,4,8,16,32,64,128,256,512,1024,2048,4096,8192,16384,32768}),2))*{2,4,8,16,32,64,128,256,512,1024,2048,4096,8192,16384,32768}),{2,4,8,16,32,64,128,256,512,1024,2048,4096,8192,16384,32768})=0))))</f>
        <v/>
      </c>
      <c r="CF189">
        <f>CE189+IF(AND(CF99&gt;0,COUNTIF($Y99:CE99,CF99)=0),0,IF(SUMPRODUCT(MOD(INT(CF144/{2,4,8,16,32,64,128,256,512,1024,2048,4096,8192,16384,32768}),2)*(1-MOD(INT(($CJ9+CE189)/{2,4,8,16,32,64,128,256,512,1024,2048,4096,8192,16384,32768}),2))*{2,4,8,16,32,64,128,256,512,1024,2048,4096,8192,16384,32768})=0,0,2^SUMPRODUCT(--(MOD(SUMPRODUCT(MOD(INT(CF144/{2,4,8,16,32,64,128,256,512,1024,2048,4096,8192,16384,32768}),2)*(1-MOD(INT(($CJ9+CE189)/{2,4,8,16,32,64,128,256,512,1024,2048,4096,8192,16384,32768}),2))*{2,4,8,16,32,64,128,256,512,1024,2048,4096,8192,16384,32768}),{2,4,8,16,32,64,128,256,512,1024,2048,4096,8192,16384,32768})=0))))</f>
        <v/>
      </c>
      <c r="DA189" t="n">
        <v>185</v>
      </c>
      <c r="DB189">
        <f>IF($B$37=0,"",IFERROR(TRIM(SUBSTITUTE(SUBSTITUTE(SUBSTITUTE(SUBSTITUTE(INDEX(PASTE_ALL,185,$B$37)," "," "),CHAR(9)," "),CHAR(10)," "),CHAR(13)," ")),""))</f>
        <v/>
      </c>
      <c r="DC189">
        <f>IF(AND(185&gt;HEADER_ROW,UPPER(DB189)="LEGEND"),1,0)</f>
        <v/>
      </c>
      <c r="DE189" t="n">
        <v>185</v>
      </c>
      <c r="DF189">
        <f>HEADER_ROW+$DE189</f>
        <v/>
      </c>
      <c r="DG189">
        <f>IF(AND($DF189&lt;=1000,$DF189&lt;$B$8),1,0)</f>
        <v/>
      </c>
      <c r="DH189">
        <f>IF($DG189=1,IFERROR(INDEX($DB$5:$DB$1004,$DF189),""),"")</f>
        <v/>
      </c>
      <c r="DI189">
        <f>IF(AND($DG189=1,$DH189&lt;&gt;""),IFERROR(SUBSTITUTE(SUBSTITUTE(TRIM(SUBSTITUTE(SUBSTITUTE(SUBSTITUTE(SUBSTITUTE(IFERROR(INDEX(PASTE_ALL,$DF189,1)&amp;"","")&amp;"␟"&amp;IFERROR(INDEX(PASTE_ALL,$DF189,2)&amp;"","")&amp;"␟"&amp;IFERROR(INDEX(PASTE_ALL,$DF189,3)&amp;"","")&amp;"␟"&amp;IFERROR(INDEX(PASTE_ALL,$DF189,4)&amp;"","")&amp;"␟"&amp;IFERROR(INDEX(PASTE_ALL,$DF189,5)&amp;"","")&amp;"␟"&amp;IFERROR(INDEX(PASTE_ALL,$DF189,6)&amp;"","")&amp;"␟"&amp;IFERROR(INDEX(PASTE_ALL,$DF189,7)&amp;"","")&amp;"␟"&amp;IFERROR(INDEX(PASTE_ALL,$DF189,8)&amp;"","")&amp;"␟"&amp;IFERROR(INDEX(PASTE_ALL,$DF189,9)&amp;"","")&amp;"␟"&amp;IFERROR(INDEX(PASTE_ALL,$DF189,10)&amp;"","")&amp;"␟"&amp;IFERROR(INDEX(PASTE_ALL,$DF189,11)&amp;"","")&amp;"␟"&amp;IFERROR(INDEX(PASTE_ALL,$DF189,12)&amp;"","")&amp;"␟"&amp;IFERROR(INDEX(PASTE_ALL,$DF189,13)&amp;"","")&amp;"␟"&amp;IFERROR(INDEX(PASTE_ALL,$DF189,14)&amp;"","")&amp;"␟"&amp;IFERROR(INDEX(PASTE_ALL,$DF189,15)&amp;"","")&amp;"␟"&amp;IFERROR(INDEX(PASTE_ALL,$DF189,16)&amp;"","")&amp;"␟"&amp;IFERROR(INDEX(PASTE_ALL,$DF189,17)&amp;"","")&amp;"␟"&amp;IFERROR(INDEX(PASTE_ALL,$DF189,18)&amp;"","")&amp;"␟"&amp;IFERROR(INDEX(PASTE_ALL,$DF189,19)&amp;"","")&amp;"␟"&amp;IFERROR(INDEX(PASTE_ALL,$DF189,20)&amp;"","")&amp;"␟"&amp;IFERROR(INDEX(PASTE_ALL,$DF189,21)&amp;"","")&amp;"␟"&amp;IFERROR(INDEX(PASTE_ALL,$DF189,22)&amp;"","")&amp;"␟"&amp;IFERROR(INDEX(PASTE_ALL,$DF189,23)&amp;"","")&amp;"␟"&amp;IFERROR(INDEX(PASTE_ALL,$DF189,24)&amp;"","")&amp;"␟"&amp;IFERROR(INDEX(PASTE_ALL,$DF189,25)&amp;"","")&amp;"␟"&amp;IFERROR(INDEX(PASTE_ALL,$DF189,26)&amp;"","")&amp;"␟"&amp;IFERROR(INDEX(PASTE_ALL,$DF189,27)&amp;"","")&amp;"␟"&amp;IFERROR(INDEX(PASTE_ALL,$DF189,28)&amp;"","")&amp;"␟"&amp;IFERROR(INDEX(PASTE_ALL,$DF189,29)&amp;"","")&amp;"␟"&amp;IFERROR(INDEX(PASTE_ALL,$DF189,30)&amp;"","")&amp;"␟"&amp;IFERROR(INDEX(PASTE_ALL,$DF189,31)&amp;"","")&amp;"␟"&amp;IFERROR(INDEX(PASTE_ALL,$DF189,32)&amp;"","")&amp;"␟"&amp;IFERROR(INDEX(PASTE_ALL,$DF189,33)&amp;"","")&amp;"␟"&amp;IFERROR(INDEX(PASTE_ALL,$DF189,34)&amp;"","")&amp;"␟"&amp;IFERROR(INDEX(PASTE_ALL,$DF189,35)&amp;"","")&amp;"␟"&amp;IFERROR(INDEX(PASTE_ALL,$DF189,36)&amp;"","")&amp;"␟"&amp;IFERROR(INDEX(PASTE_ALL,$DF189,37)&amp;"","")&amp;"␟"&amp;IFERROR(INDEX(PASTE_ALL,$DF189,38)&amp;"","")&amp;"␟"&amp;IFERROR(INDEX(PASTE_ALL,$DF189,39)&amp;"","")&amp;"␟"&amp;IFERROR(INDEX(PASTE_ALL,$DF189,40)&amp;"","")&amp;"␟"&amp;IFERROR(INDEX(PASTE_ALL,$DF189,41)&amp;"","")&amp;"␟"&amp;IFERROR(INDEX(PASTE_ALL,$DF189,42)&amp;"","")&amp;"␟"&amp;IFERROR(INDEX(PASTE_ALL,$DF189,43)&amp;"","")&amp;"␟"&amp;IFERROR(INDEX(PASTE_ALL,$DF189,44)&amp;"","")&amp;"␟"&amp;IFERROR(INDEX(PASTE_ALL,$DF189,45)&amp;"","")&amp;"␟"&amp;IFERROR(INDEX(PASTE_ALL,$DF189,46)&amp;"","")&amp;"␟"&amp;IFERROR(INDEX(PASTE_ALL,$DF189,47)&amp;"","")&amp;"␟"&amp;IFERROR(INDEX(PASTE_ALL,$DF189,48)&amp;"","")&amp;"␟"&amp;IFERROR(INDEX(PASTE_ALL,$DF189,49)&amp;"","")&amp;"␟"&amp;IFERROR(INDEX(PASTE_ALL,$DF189,50)&amp;"","")&amp;"␟"&amp;IFERROR(INDEX(PASTE_ALL,$DF189,51)&amp;"","")&amp;"␟"&amp;IFERROR(INDEX(PASTE_ALL,$DF189,52)&amp;"","")&amp;"␟"&amp;IFERROR(INDEX(PASTE_ALL,$DF189,53)&amp;"","")&amp;"␟"&amp;IFERROR(INDEX(PASTE_ALL,$DF189,54)&amp;"","")&amp;"␟"&amp;IFERROR(INDEX(PASTE_ALL,$DF189,55)&amp;"","")&amp;"␟"&amp;IFERROR(INDEX(PASTE_ALL,$DF189,56)&amp;"","")&amp;"␟"&amp;IFERROR(INDEX(PASTE_ALL,$DF189,57)&amp;"","")&amp;"␟"&amp;IFERROR(INDEX(PASTE_ALL,$DF189,58)&amp;"","")&amp;"␟"&amp;IFERROR(INDEX(PASTE_ALL,$DF189,59)&amp;"","")&amp;"␟"&amp;IFERROR(INDEX(PASTE_ALL,$DF189,60)&amp;"","")," "," "),CHAR(9)," "),CHAR(10)," "),CHAR(13)," "))," ␟","␟"),"␟ ","␟"),"#"&amp;$DE189),"")</f>
        <v/>
      </c>
      <c r="DJ189">
        <f>IF($DI189="",0,IF(SUMPRODUCT(--EXACT($DI$4:DI188,$DI189))&gt;0,1,0))</f>
        <v/>
      </c>
      <c r="DK189">
        <f>IF(AND($DI189&lt;&gt;"",$DJ189=0),1,0)</f>
        <v/>
      </c>
      <c r="DL189">
        <f>DL188+$DK189</f>
        <v/>
      </c>
      <c r="DM189">
        <f>IF(AND($DK189=1,$DL189&lt;=600),1,0)</f>
        <v/>
      </c>
      <c r="DN189">
        <f>IF($DM189=0,"",IF($L$6=0,"",IFERROR(IF(ISNUMBER(INDEX(PASTE_ALL,$DF189,$L$6)),INDEX(PASTE_ALL,$DF189,$L$6),TRIM(SUBSTITUTE(SUBSTITUTE(SUBSTITUTE(SUBSTITUTE(INDEX(PASTE_ALL,$DF189,$L$6)," "," "),CHAR(9)," "),CHAR(10)," "),CHAR(13)," "))),"")))</f>
        <v/>
      </c>
      <c r="DO189">
        <f>IF($DM189=0,"",IF($L$7=0,"",IFERROR(IF(ISNUMBER(INDEX(PASTE_ALL,$DF189,$L$7)),INDEX(PASTE_ALL,$DF189,$L$7),TRIM(SUBSTITUTE(SUBSTITUTE(SUBSTITUTE(SUBSTITUTE(INDEX(PASTE_ALL,$DF189,$L$7)," "," "),CHAR(9)," "),CHAR(10)," "),CHAR(13)," "))),"")))</f>
        <v/>
      </c>
      <c r="DP189">
        <f>IF($DM189=0,"",IF($L$8=0,"",IFERROR(IF(ISNUMBER(INDEX(PASTE_ALL,$DF189,$L$8)),INDEX(PASTE_ALL,$DF189,$L$8),TRIM(SUBSTITUTE(SUBSTITUTE(SUBSTITUTE(SUBSTITUTE(INDEX(PASTE_ALL,$DF189,$L$8)," "," "),CHAR(9)," "),CHAR(10)," "),CHAR(13)," "))),"")))</f>
        <v/>
      </c>
      <c r="DQ189">
        <f>IF($DM189=0,"",IF($L$9=0,"",IFERROR(IF(ISNUMBER(INDEX(PASTE_ALL,$DF189,$L$9)),INDEX(PASTE_ALL,$DF189,$L$9),TRIM(SUBSTITUTE(SUBSTITUTE(SUBSTITUTE(SUBSTITUTE(INDEX(PASTE_ALL,$DF189,$L$9)," "," "),CHAR(9)," "),CHAR(10)," "),CHAR(13)," "))),"")))</f>
        <v/>
      </c>
      <c r="DR189">
        <f>IF($DM189=0,"",IF($L$10=0,"",IFERROR(IF(ISNUMBER(INDEX(PASTE_ALL,$DF189,$L$10)),INDEX(PASTE_ALL,$DF189,$L$10),TRIM(SUBSTITUTE(SUBSTITUTE(SUBSTITUTE(SUBSTITUTE(INDEX(PASTE_ALL,$DF189,$L$10)," "," "),CHAR(9)," "),CHAR(10)," "),CHAR(13)," "))),"")))</f>
        <v/>
      </c>
      <c r="DS189">
        <f>IF($DM189=0,"",IF($L$11=0,"",IFERROR(IF(ISNUMBER(INDEX(PASTE_ALL,$DF189,$L$11)),INDEX(PASTE_ALL,$DF189,$L$11),TRIM(SUBSTITUTE(SUBSTITUTE(SUBSTITUTE(SUBSTITUTE(INDEX(PASTE_ALL,$DF189,$L$11)," "," "),CHAR(9)," "),CHAR(10)," "),CHAR(13)," "))),"")))</f>
        <v/>
      </c>
      <c r="DT189">
        <f>IF($DM189=0,"",IF($L$12=0,"",IFERROR(IF(ISNUMBER(INDEX(PASTE_ALL,$DF189,$L$12)),INDEX(PASTE_ALL,$DF189,$L$12),TRIM(SUBSTITUTE(SUBSTITUTE(SUBSTITUTE(SUBSTITUTE(INDEX(PASTE_ALL,$DF189,$L$12)," "," "),CHAR(9)," "),CHAR(10)," "),CHAR(13)," "))),"")))</f>
        <v/>
      </c>
      <c r="DU189">
        <f>IF($DM189=0,"",IF($L$13=0,"",IFERROR(IF(ISNUMBER(INDEX(PASTE_ALL,$DF189,$L$13)),INDEX(PASTE_ALL,$DF189,$L$13),TRIM(SUBSTITUTE(SUBSTITUTE(SUBSTITUTE(SUBSTITUTE(INDEX(PASTE_ALL,$DF189,$L$13)," "," "),CHAR(9)," "),CHAR(10)," "),CHAR(13)," "))),"")))</f>
        <v/>
      </c>
      <c r="DV189">
        <f>IF($DM189=0,"",IF($L$14=0,"",IFERROR(IF(ISNUMBER(INDEX(PASTE_ALL,$DF189,$L$14)),INDEX(PASTE_ALL,$DF189,$L$14),TRIM(SUBSTITUTE(SUBSTITUTE(SUBSTITUTE(SUBSTITUTE(INDEX(PASTE_ALL,$DF189,$L$14)," "," "),CHAR(9)," "),CHAR(10)," "),CHAR(13)," "))),"")))</f>
        <v/>
      </c>
      <c r="DW189">
        <f>IF($DM189=0,"",IF($L$15=0,"",IFERROR(IF(ISNUMBER(INDEX(PASTE_ALL,$DF189,$L$15)),INDEX(PASTE_ALL,$DF189,$L$15),IF(SUMPRODUCT(--ISNUMBER(FIND({"A","B","C","D","E","F","G","H","I","J","K","L","M","N","O","P","Q","R","S","T","U","V","W","X","Y","Z","0","1","2","3","4","5","6","7","8","9"},UPPER(TRIM(SUBSTITUTE(SUBSTITUTE(SUBSTITUTE(SUBSTITUTE(INDEX(PASTE_ALL,$DF189,$L$15)," "," "),CHAR(9)," "),CHAR(10)," "),CHAR(13)," "))))))&gt;0,TRIM(SUBSTITUTE(SUBSTITUTE(SUBSTITUTE(SUBSTITUTE(INDEX(PASTE_ALL,$DF189,$L$15)," "," "),CHAR(9)," "),CHAR(10)," "),CHAR(13)," ")),"")),"")))</f>
        <v/>
      </c>
      <c r="DX189">
        <f>IF($DM189=0,"",IF($L$16=0,"",IFERROR(IF(ISNUMBER(INDEX(PASTE_ALL,$DF189,$L$16)),INDEX(PASTE_ALL,$DF189,$L$16),SUBSTITUTE(SUBSTITUTE(TRIM(SUBSTITUTE(SUBSTITUTE(SUBSTITUTE(SUBSTITUTE(INDEX(PASTE_ALL,$DF189,$L$16)," "," "),CHAR(9)," "),CHAR(10)," "),CHAR(13)," ")),",",""),"%","")),"")))</f>
        <v/>
      </c>
      <c r="DY189">
        <f>IF($DM189=0,"",IFERROR(IF(ISNUMBER($DX189),$DX189,IF($DX189="","",IF(TRIM($DX189)="",0,IF(AND(AND(SUBSTITUTE(SUBSTITUTE(SUBSTITUTE(SUBSTITUTE(SUBSTITUTE(SUBSTITUTE(SUBSTITUTE(SUBSTITUTE(SUBSTITUTE(SUBSTITUTE(SUBSTITUTE(SUBSTITUTE(SUBSTITUTE(SUBSTITUTE(UPPER(TRIM($DX189)),"0",""),"1",""),"2",""),"3",""),"4",""),"5",""),"6",""),"7",""),"8",""),"9",""),".",""),"+",""),"-",""),"E","")="",LEN(SUBSTITUTE(SUBSTITUTE(MID(UPPER(TRIM($DX189)),1+OR(LEFT(UPPER(TRIM($DX189)),1)="+",LEFT(UPPER(TRIM($DX189)),1)="-"),999),"E+","E"),"E-","E"))=LEN(SUBSTITUTE(SUBSTITUTE(SUBSTITUTE(SUBSTITUTE(MID(UPPER(TRIM($DX189)),1+OR(LEFT(UPPER(TRIM($DX189)),1)="+",LEFT(UPPER(TRIM($DX189)),1)="-"),999),"E+","E"),"E-","E"),"+",""),"-","")),LEN(UPPER(TRIM($DX189)))-LEN(SUBSTITUTE(UPPER(TRIM($DX189)),"E",""))&lt;2,LEN(UPPER(TRIM($DX189)))-LEN(SUBSTITUTE(UPPER(TRIM($DX189)),".",""))&lt;2,IFERROR(FIND(".",UPPER(TRIM($DX189))),0)&lt;IFERROR(FIND("E",UPPER(TRIM($DX189))),999)),ISNUMBER(VALUE(TRIM($DX189)))),VALUE(TRIM($DX189)),"")))),""))</f>
        <v/>
      </c>
      <c r="DZ189">
        <f>IF($DM189=0,"",IF($L$17=0,"",IFERROR(IF(ISNUMBER(INDEX(PASTE_ALL,$DF189,$L$17)),INDEX(PASTE_ALL,$DF189,$L$17),SUBSTITUTE(SUBSTITUTE(TRIM(SUBSTITUTE(SUBSTITUTE(SUBSTITUTE(SUBSTITUTE(INDEX(PASTE_ALL,$DF189,$L$17)," "," "),CHAR(9)," "),CHAR(10)," "),CHAR(13)," ")),",",""),"%","")),"")))</f>
        <v/>
      </c>
      <c r="EA189">
        <f>IF($DM189=0,"",IFERROR(IF(ISNUMBER($DZ189),$DZ189,IF($DZ189="","",IF(TRIM($DZ189)="",0,IF(AND(AND(SUBSTITUTE(SUBSTITUTE(SUBSTITUTE(SUBSTITUTE(SUBSTITUTE(SUBSTITUTE(SUBSTITUTE(SUBSTITUTE(SUBSTITUTE(SUBSTITUTE(SUBSTITUTE(SUBSTITUTE(SUBSTITUTE(SUBSTITUTE(UPPER(TRIM($DZ189)),"0",""),"1",""),"2",""),"3",""),"4",""),"5",""),"6",""),"7",""),"8",""),"9",""),".",""),"+",""),"-",""),"E","")="",LEN(SUBSTITUTE(SUBSTITUTE(MID(UPPER(TRIM($DZ189)),1+OR(LEFT(UPPER(TRIM($DZ189)),1)="+",LEFT(UPPER(TRIM($DZ189)),1)="-"),999),"E+","E"),"E-","E"))=LEN(SUBSTITUTE(SUBSTITUTE(SUBSTITUTE(SUBSTITUTE(MID(UPPER(TRIM($DZ189)),1+OR(LEFT(UPPER(TRIM($DZ189)),1)="+",LEFT(UPPER(TRIM($DZ189)),1)="-"),999),"E+","E"),"E-","E"),"+",""),"-","")),LEN(UPPER(TRIM($DZ189)))-LEN(SUBSTITUTE(UPPER(TRIM($DZ189)),"E",""))&lt;2,LEN(UPPER(TRIM($DZ189)))-LEN(SUBSTITUTE(UPPER(TRIM($DZ189)),".",""))&lt;2,IFERROR(FIND(".",UPPER(TRIM($DZ189))),0)&lt;IFERROR(FIND("E",UPPER(TRIM($DZ189))),999)),ISNUMBER(VALUE(TRIM($DZ189)))),VALUE(TRIM($DZ189)),"")))),""))</f>
        <v/>
      </c>
      <c r="EB189">
        <f>IF($DM189=0,"",IF($L$18=0,"",IFERROR(IF(UPPER(TRIM(SUBSTITUTE(SUBSTITUTE(SUBSTITUTE(SUBSTITUTE(INDEX(PASTE_ALL,$DF189,$L$18)," "," "),CHAR(9)," "),CHAR(10)," "),CHAR(13)," ")))="READY","Ready",IF(UPPER(TRIM(SUBSTITUTE(SUBSTITUTE(SUBSTITUTE(SUBSTITUTE(INDEX(PASTE_ALL,$DF189,$L$18)," "," "),CHAR(9)," "),CHAR(10)," "),CHAR(13)," ")))="PM","PM",IF(OR(UPPER(TRIM(SUBSTITUTE(SUBSTITUTE(SUBSTITUTE(SUBSTITUTE(INDEX(PASTE_ALL,$DF189,$L$18)," "," "),CHAR(9)," "),CHAR(10)," "),CHAR(13)," ")))="OT",UPPER(TRIM(SUBSTITUTE(SUBSTITUTE(SUBSTITUTE(SUBSTITUTE(INDEX(PASTE_ALL,$DF189,$L$18)," "," "),CHAR(9)," "),CHAR(10)," "),CHAR(13)," ")))="OVERTIME",UPPER(TRIM(SUBSTITUTE(SUBSTITUTE(SUBSTITUTE(SUBSTITUTE(INDEX(PASTE_ALL,$DF189,$L$18)," "," "),CHAR(9)," "),CHAR(10)," "),CHAR(13)," ")))="TRIAL"),"OT",TRIM(SUBSTITUTE(SUBSTITUTE(SUBSTITUTE(SUBSTITUTE(INDEX(PASTE_ALL,$DF189,$L$18)," "," "),CHAR(9)," "),CHAR(10)," "),CHAR(13)," "))))),"")))</f>
        <v/>
      </c>
      <c r="EC189">
        <f>IF($DM189=0,"",IF($L$19=0,"",IFERROR(IF(ISNUMBER(INDEX(PASTE_ALL,$DF189,$L$19)),INDEX(PASTE_ALL,$DF189,$L$19),TRIM(SUBSTITUTE(SUBSTITUTE(SUBSTITUTE(SUBSTITUTE(INDEX(PASTE_ALL,$DF189,$L$19)," "," "),CHAR(9)," "),CHAR(10)," "),CHAR(13)," "))),"")))</f>
        <v/>
      </c>
      <c r="ED189">
        <f>IF($DM189=0,"",MATCH(1,INDEX(EXACT($DH$5:DH189,$DH189)*$DM$5:DM189,0),0))</f>
        <v/>
      </c>
      <c r="EE189">
        <f>IF($DM189=0,0,IF($ED189=$DE189,1,0))</f>
        <v/>
      </c>
      <c r="EF189">
        <f>EF188+$EE189</f>
        <v/>
      </c>
      <c r="EG189">
        <f>IF($DM189=0,"",INDEX($EF$5:$EF$1003,$ED189))</f>
        <v/>
      </c>
      <c r="EH189">
        <f>IF($DM189=0,"",IF($DO189&lt;&gt;"","",IFERROR(LOOKUP(2,1/(($EG$4:EG188=$EG189)*($DO$4:DO188&lt;&gt;"")),$DO$4:DO188),"")))</f>
        <v/>
      </c>
      <c r="EI189">
        <f>IF($DM189=0,"",IF($DO189&lt;&gt;"",$DO189,$EH189))</f>
        <v/>
      </c>
      <c r="EJ189">
        <f>IF($DM189=0,"",IF($EI189="",0,IF(OR(ISNUMBER($EI189),AND(AND(SUBSTITUTE(SUBSTITUTE(SUBSTITUTE(SUBSTITUTE(SUBSTITUTE(SUBSTITUTE(SUBSTITUTE(SUBSTITUTE(SUBSTITUTE(SUBSTITUTE(SUBSTITUTE(SUBSTITUTE(SUBSTITUTE(SUBSTITUTE(UPPER($EI189),"0",""),"1",""),"2",""),"3",""),"4",""),"5",""),"6",""),"7",""),"8",""),"9",""),".",""),"+",""),"-",""),"E","")="",LEN(SUBSTITUTE(SUBSTITUTE(MID(UPPER($EI189),1+OR(LEFT(UPPER($EI189),1)="+",LEFT(UPPER($EI189),1)="-"),999),"E+","E"),"E-","E"))=LEN(SUBSTITUTE(SUBSTITUTE(SUBSTITUTE(SUBSTITUTE(MID(UPPER($EI189),1+OR(LEFT(UPPER($EI189),1)="+",LEFT(UPPER($EI189),1)="-"),999),"E+","E"),"E-","E"),"+",""),"-","")),LEN(UPPER($EI189))-LEN(SUBSTITUTE(UPPER($EI189),"E",""))&lt;2,LEN(UPPER($EI189))-LEN(SUBSTITUTE(UPPER($EI189),".",""))&lt;2,IFERROR(FIND(".",UPPER($EI189)),0)&lt;IFERROR(FIND("E",UPPER($EI189)),999)),ISNUMBER(VALUE($EI189)))),1,2)))</f>
        <v/>
      </c>
      <c r="EK189">
        <f>IF($DM189=0,"",IF($EJ189=1,IF(ISNUMBER($EI189),$EI189,VALUE($EI189)),IF($EJ189=2,$DE189,0)))</f>
        <v/>
      </c>
      <c r="EL189">
        <f>IF($DM189=0,"",COUNTIF($EG$5:$EG$1003,"&lt;"&amp;$EG189)+SUMPRODUCT(($EG$5:$EG$1003=$EG189)*(($EJ$5:$EJ$1003&lt;$EJ189)+($EJ$5:$EJ$1003=$EJ189)*(($EK$5:$EK$1003&lt;$EK189)+($EK$5:$EK$1003=$EK189)*($DE$5:$DE$1003&lt;$DE189))))+1)</f>
        <v/>
      </c>
      <c r="EM189">
        <f>IF($DM189=0,"",$EL189+$EG189-1)</f>
        <v/>
      </c>
      <c r="EN189">
        <f>IF($DM189=0,0,IFERROR(MATCH(1,INDEX(--(TRIM(SUBSTITUTE(SUBSTITUTE(SUBSTITUTE(SUBSTITUTE(LINES_NAME&amp;""," "," "),CHAR(9)," "),CHAR(10)," "),CHAR(13)," "))=$DH189),0),0),0))</f>
        <v/>
      </c>
      <c r="EO189">
        <f>IF($EN189=0,0,IF(OR(UPPER(TRIM(INDEX(LINES_SCHEDULED,$EN189)&amp;""))="YES",UPPER(TRIM(INDEX(LINES_SCHEDULED,$EN189)&amp;""))="Y",UPPER(TRIM(INDEX(LINES_SCHEDULED,$EN189)&amp;""))="X"),1,0))</f>
        <v/>
      </c>
      <c r="EP189">
        <f>IF($DM189=0,"",IF(COUNTIFS($EG$5:$EG$1003,$EG189,$EB$5:$EB$1003,"Ready")&gt;0,"READY",IF(COUNTIFS($EG$5:$EG$1003,$EG189,$EB$5:$EB$1003,"PM")&gt;0,"PM",IF(COUNTIFS($EG$5:$EG$1003,$EG189,$EB$5:$EB$1003,"OT")&gt;0,"OT",""))))</f>
        <v/>
      </c>
      <c r="EQ189">
        <f>IF($EN189=0,"",UPPER(TRIM(INDEX(LINES_STATUS,$EN189)&amp;"")))</f>
        <v/>
      </c>
      <c r="ER189">
        <f>IF($DM189=0,"",IF(OR($EQ189="READY",$EQ189="PM",$EQ189="OT"),$EQ189,$EP189))</f>
        <v/>
      </c>
      <c r="ES189">
        <f>IF($DM189=0,"",IF(AND($DV189&lt;&gt;"",UPPER($DV189)&lt;&gt;"N"),"allergen",IF(ISNUMBER(SEARCH("oil",$DQ189)),"oil",IF(OR(EXACT($DS189,"A662"),EXACT($DS189,"A624")),"bulk",""))))</f>
        <v/>
      </c>
      <c r="ET189">
        <f>IF($DM189=0,"",IF(OR($EA189="",$EA189=0),"",$EA189/100))</f>
        <v/>
      </c>
      <c r="EU189">
        <f>IF(OR($ET189="",$DY189=""),"",INT($DY189*(1-$ET189)+0.5))</f>
        <v/>
      </c>
      <c r="EW189" t="n">
        <v>185</v>
      </c>
      <c r="EX189">
        <f>IFERROR(MATCH($EW189,$EM$5:$EM$1003,0),0)</f>
        <v/>
      </c>
      <c r="EY189">
        <f>IF($EW189&gt;$B$12,"",IF($EX189&gt;0,"row","spacer"))</f>
        <v/>
      </c>
      <c r="EZ189">
        <f>IF(AND($EY189="row",$EY188&lt;&gt;"row"),1,0)</f>
        <v/>
      </c>
      <c r="FA189">
        <f>IF(AND($EY189="row",$EY190&lt;&gt;"row"),1,0)</f>
        <v/>
      </c>
      <c r="FB189">
        <f>IF($EZ189=1,IFERROR(IF(ISNUMBER(INDEX(PASTE_ALL,INDEX($DF$5:$DF$1003,$EX189),$B$37)),INDEX(PASTE_ALL,INDEX($DF$5:$DF$1003,$EX189),$B$37),INDEX($DH$5:$DH$1003,$EX189)),INDEX($DH$5:$DH$1003,$EX189)),"")</f>
        <v/>
      </c>
      <c r="FC189">
        <f>IF($EY189="row",INDEX($ER$5:$ER$1003,$EX189),"")</f>
        <v/>
      </c>
      <c r="FD189">
        <f>IF($EY189="row",INDEX($DN$5:$DN$1003,$EX189),"")</f>
        <v/>
      </c>
      <c r="FE189">
        <f>IF($EY189="row",INDEX($DO$5:$DO$1003,$EX189),"")</f>
        <v/>
      </c>
      <c r="FF189">
        <f>IF($EY189="row",INDEX($DP$5:$DP$1003,$EX189),"")</f>
        <v/>
      </c>
      <c r="FG189">
        <f>IF($EY189="row",INDEX($DQ$5:$DQ$1003,$EX189),"")</f>
        <v/>
      </c>
      <c r="FH189">
        <f>IF($EY189="row",INDEX($DR$5:$DR$1003,$EX189),"")</f>
        <v/>
      </c>
      <c r="FI189">
        <f>IF($EY189="row",INDEX($DS$5:$DS$1003,$EX189),"")</f>
        <v/>
      </c>
      <c r="FJ189">
        <f>IF($EY189="row",INDEX($DT$5:$DT$1003,$EX189),"")</f>
        <v/>
      </c>
      <c r="FK189">
        <f>IF($EY189="row",INDEX($DU$5:$DU$1003,$EX189),"")</f>
        <v/>
      </c>
      <c r="FL189">
        <f>IF($EY189="row",INDEX($DV$5:$DV$1003,$EX189),"")</f>
        <v/>
      </c>
      <c r="FM189">
        <f>IF($EY189="row",INDEX($DW$5:$DW$1003,$EX189),"")</f>
        <v/>
      </c>
      <c r="FN189">
        <f>IF($EY189="row",INDEX($DY$5:$DY$1003,$EX189),"")</f>
        <v/>
      </c>
      <c r="FO189">
        <f>IF($EY189="row",INDEX($EA$5:$EA$1003,$EX189),"")</f>
        <v/>
      </c>
      <c r="FP189">
        <f>IF($EY189="row",INDEX($EC$5:$EC$1003,$EX189),"")</f>
        <v/>
      </c>
      <c r="FQ189">
        <f>IF($EY189="row",INDEX($ET$5:$ET$1003,$EX189),"")</f>
        <v/>
      </c>
      <c r="FR189">
        <f>IF($EY189="row",INDEX($EU$5:$EU$1003,$EX189),"")</f>
        <v/>
      </c>
      <c r="FS189">
        <f>IF(AND($EY189="row",$EY188="row"),IF(OR(INDEX($DT$5:$DT$1003,$EX188)="",INDEX($DT$5:$DT$1003,$EX189)=""),"",IF(NOT(EXACT(INDEX($DT$5:$DT$1003,$EX188),INDEX($DT$5:$DT$1003,$EX189))),"S4",IF(NOT(EXACT(INDEX($DS$5:$DS$1003,$EX188),INDEX($DS$5:$DS$1003,$EX189))),"S3",IF(NOT(EXACT(INDEX($DR$5:$DR$1003,$EX188),INDEX($DR$5:$DR$1003,$EX189))),"S1 Count Change","S1")))),"")</f>
        <v/>
      </c>
      <c r="FT189">
        <f>IF($EY189="row",INDEX($ES$5:$ES$1003,$EX189),"")</f>
        <v/>
      </c>
      <c r="FU189">
        <f>IF($EY189="row",INDEX($EO$5:$EO$1003,$EX189),0)</f>
        <v/>
      </c>
      <c r="FV189">
        <f>IF($FS189="S1 Count Change",1,0)</f>
        <v/>
      </c>
    </row>
    <row r="190">
      <c r="Y190">
        <f>0+IF(Y100&gt;0,0,IF(SUMPRODUCT(MOD(INT(Y145/{2,4,8,16,32,64,128,256,512,1024,2048,4096,8192,16384,32768}),2)*(1-MOD(INT(($CJ10+0)/{2,4,8,16,32,64,128,256,512,1024,2048,4096,8192,16384,32768}),2))*{2,4,8,16,32,64,128,256,512,1024,2048,4096,8192,16384,32768})=0,0,2^SUMPRODUCT(--(MOD(SUMPRODUCT(MOD(INT(Y145/{2,4,8,16,32,64,128,256,512,1024,2048,4096,8192,16384,32768}),2)*(1-MOD(INT(($CJ10+0)/{2,4,8,16,32,64,128,256,512,1024,2048,4096,8192,16384,32768}),2))*{2,4,8,16,32,64,128,256,512,1024,2048,4096,8192,16384,32768}),{2,4,8,16,32,64,128,256,512,1024,2048,4096,8192,16384,32768})=0))))</f>
        <v/>
      </c>
      <c r="Z190">
        <f>Y190+IF(AND(Z100&gt;0,COUNTIF($Y100:Y100,Z100)=0),0,IF(SUMPRODUCT(MOD(INT(Z145/{2,4,8,16,32,64,128,256,512,1024,2048,4096,8192,16384,32768}),2)*(1-MOD(INT(($CJ10+Y190)/{2,4,8,16,32,64,128,256,512,1024,2048,4096,8192,16384,32768}),2))*{2,4,8,16,32,64,128,256,512,1024,2048,4096,8192,16384,32768})=0,0,2^SUMPRODUCT(--(MOD(SUMPRODUCT(MOD(INT(Z145/{2,4,8,16,32,64,128,256,512,1024,2048,4096,8192,16384,32768}),2)*(1-MOD(INT(($CJ10+Y190)/{2,4,8,16,32,64,128,256,512,1024,2048,4096,8192,16384,32768}),2))*{2,4,8,16,32,64,128,256,512,1024,2048,4096,8192,16384,32768}),{2,4,8,16,32,64,128,256,512,1024,2048,4096,8192,16384,32768})=0))))</f>
        <v/>
      </c>
      <c r="AA190">
        <f>Z190+IF(AND(AA100&gt;0,COUNTIF($Y100:Z100,AA100)=0),0,IF(SUMPRODUCT(MOD(INT(AA145/{2,4,8,16,32,64,128,256,512,1024,2048,4096,8192,16384,32768}),2)*(1-MOD(INT(($CJ10+Z190)/{2,4,8,16,32,64,128,256,512,1024,2048,4096,8192,16384,32768}),2))*{2,4,8,16,32,64,128,256,512,1024,2048,4096,8192,16384,32768})=0,0,2^SUMPRODUCT(--(MOD(SUMPRODUCT(MOD(INT(AA145/{2,4,8,16,32,64,128,256,512,1024,2048,4096,8192,16384,32768}),2)*(1-MOD(INT(($CJ10+Z190)/{2,4,8,16,32,64,128,256,512,1024,2048,4096,8192,16384,32768}),2))*{2,4,8,16,32,64,128,256,512,1024,2048,4096,8192,16384,32768}),{2,4,8,16,32,64,128,256,512,1024,2048,4096,8192,16384,32768})=0))))</f>
        <v/>
      </c>
      <c r="AB190">
        <f>AA190+IF(AND(AB100&gt;0,COUNTIF($Y100:AA100,AB100)=0),0,IF(SUMPRODUCT(MOD(INT(AB145/{2,4,8,16,32,64,128,256,512,1024,2048,4096,8192,16384,32768}),2)*(1-MOD(INT(($CJ10+AA190)/{2,4,8,16,32,64,128,256,512,1024,2048,4096,8192,16384,32768}),2))*{2,4,8,16,32,64,128,256,512,1024,2048,4096,8192,16384,32768})=0,0,2^SUMPRODUCT(--(MOD(SUMPRODUCT(MOD(INT(AB145/{2,4,8,16,32,64,128,256,512,1024,2048,4096,8192,16384,32768}),2)*(1-MOD(INT(($CJ10+AA190)/{2,4,8,16,32,64,128,256,512,1024,2048,4096,8192,16384,32768}),2))*{2,4,8,16,32,64,128,256,512,1024,2048,4096,8192,16384,32768}),{2,4,8,16,32,64,128,256,512,1024,2048,4096,8192,16384,32768})=0))))</f>
        <v/>
      </c>
      <c r="AC190">
        <f>AB190+IF(AND(AC100&gt;0,COUNTIF($Y100:AB100,AC100)=0),0,IF(SUMPRODUCT(MOD(INT(AC145/{2,4,8,16,32,64,128,256,512,1024,2048,4096,8192,16384,32768}),2)*(1-MOD(INT(($CJ10+AB190)/{2,4,8,16,32,64,128,256,512,1024,2048,4096,8192,16384,32768}),2))*{2,4,8,16,32,64,128,256,512,1024,2048,4096,8192,16384,32768})=0,0,2^SUMPRODUCT(--(MOD(SUMPRODUCT(MOD(INT(AC145/{2,4,8,16,32,64,128,256,512,1024,2048,4096,8192,16384,32768}),2)*(1-MOD(INT(($CJ10+AB190)/{2,4,8,16,32,64,128,256,512,1024,2048,4096,8192,16384,32768}),2))*{2,4,8,16,32,64,128,256,512,1024,2048,4096,8192,16384,32768}),{2,4,8,16,32,64,128,256,512,1024,2048,4096,8192,16384,32768})=0))))</f>
        <v/>
      </c>
      <c r="AD190">
        <f>AC190+IF(AND(AD100&gt;0,COUNTIF($Y100:AC100,AD100)=0),0,IF(SUMPRODUCT(MOD(INT(AD145/{2,4,8,16,32,64,128,256,512,1024,2048,4096,8192,16384,32768}),2)*(1-MOD(INT(($CJ10+AC190)/{2,4,8,16,32,64,128,256,512,1024,2048,4096,8192,16384,32768}),2))*{2,4,8,16,32,64,128,256,512,1024,2048,4096,8192,16384,32768})=0,0,2^SUMPRODUCT(--(MOD(SUMPRODUCT(MOD(INT(AD145/{2,4,8,16,32,64,128,256,512,1024,2048,4096,8192,16384,32768}),2)*(1-MOD(INT(($CJ10+AC190)/{2,4,8,16,32,64,128,256,512,1024,2048,4096,8192,16384,32768}),2))*{2,4,8,16,32,64,128,256,512,1024,2048,4096,8192,16384,32768}),{2,4,8,16,32,64,128,256,512,1024,2048,4096,8192,16384,32768})=0))))</f>
        <v/>
      </c>
      <c r="AE190">
        <f>AD190+IF(AND(AE100&gt;0,COUNTIF($Y100:AD100,AE100)=0),0,IF(SUMPRODUCT(MOD(INT(AE145/{2,4,8,16,32,64,128,256,512,1024,2048,4096,8192,16384,32768}),2)*(1-MOD(INT(($CJ10+AD190)/{2,4,8,16,32,64,128,256,512,1024,2048,4096,8192,16384,32768}),2))*{2,4,8,16,32,64,128,256,512,1024,2048,4096,8192,16384,32768})=0,0,2^SUMPRODUCT(--(MOD(SUMPRODUCT(MOD(INT(AE145/{2,4,8,16,32,64,128,256,512,1024,2048,4096,8192,16384,32768}),2)*(1-MOD(INT(($CJ10+AD190)/{2,4,8,16,32,64,128,256,512,1024,2048,4096,8192,16384,32768}),2))*{2,4,8,16,32,64,128,256,512,1024,2048,4096,8192,16384,32768}),{2,4,8,16,32,64,128,256,512,1024,2048,4096,8192,16384,32768})=0))))</f>
        <v/>
      </c>
      <c r="AF190">
        <f>AE190+IF(AND(AF100&gt;0,COUNTIF($Y100:AE100,AF100)=0),0,IF(SUMPRODUCT(MOD(INT(AF145/{2,4,8,16,32,64,128,256,512,1024,2048,4096,8192,16384,32768}),2)*(1-MOD(INT(($CJ10+AE190)/{2,4,8,16,32,64,128,256,512,1024,2048,4096,8192,16384,32768}),2))*{2,4,8,16,32,64,128,256,512,1024,2048,4096,8192,16384,32768})=0,0,2^SUMPRODUCT(--(MOD(SUMPRODUCT(MOD(INT(AF145/{2,4,8,16,32,64,128,256,512,1024,2048,4096,8192,16384,32768}),2)*(1-MOD(INT(($CJ10+AE190)/{2,4,8,16,32,64,128,256,512,1024,2048,4096,8192,16384,32768}),2))*{2,4,8,16,32,64,128,256,512,1024,2048,4096,8192,16384,32768}),{2,4,8,16,32,64,128,256,512,1024,2048,4096,8192,16384,32768})=0))))</f>
        <v/>
      </c>
      <c r="AG190">
        <f>AF190+IF(AND(AG100&gt;0,COUNTIF($Y100:AF100,AG100)=0),0,IF(SUMPRODUCT(MOD(INT(AG145/{2,4,8,16,32,64,128,256,512,1024,2048,4096,8192,16384,32768}),2)*(1-MOD(INT(($CJ10+AF190)/{2,4,8,16,32,64,128,256,512,1024,2048,4096,8192,16384,32768}),2))*{2,4,8,16,32,64,128,256,512,1024,2048,4096,8192,16384,32768})=0,0,2^SUMPRODUCT(--(MOD(SUMPRODUCT(MOD(INT(AG145/{2,4,8,16,32,64,128,256,512,1024,2048,4096,8192,16384,32768}),2)*(1-MOD(INT(($CJ10+AF190)/{2,4,8,16,32,64,128,256,512,1024,2048,4096,8192,16384,32768}),2))*{2,4,8,16,32,64,128,256,512,1024,2048,4096,8192,16384,32768}),{2,4,8,16,32,64,128,256,512,1024,2048,4096,8192,16384,32768})=0))))</f>
        <v/>
      </c>
      <c r="AH190">
        <f>AG190+IF(AND(AH100&gt;0,COUNTIF($Y100:AG100,AH100)=0),0,IF(SUMPRODUCT(MOD(INT(AH145/{2,4,8,16,32,64,128,256,512,1024,2048,4096,8192,16384,32768}),2)*(1-MOD(INT(($CJ10+AG190)/{2,4,8,16,32,64,128,256,512,1024,2048,4096,8192,16384,32768}),2))*{2,4,8,16,32,64,128,256,512,1024,2048,4096,8192,16384,32768})=0,0,2^SUMPRODUCT(--(MOD(SUMPRODUCT(MOD(INT(AH145/{2,4,8,16,32,64,128,256,512,1024,2048,4096,8192,16384,32768}),2)*(1-MOD(INT(($CJ10+AG190)/{2,4,8,16,32,64,128,256,512,1024,2048,4096,8192,16384,32768}),2))*{2,4,8,16,32,64,128,256,512,1024,2048,4096,8192,16384,32768}),{2,4,8,16,32,64,128,256,512,1024,2048,4096,8192,16384,32768})=0))))</f>
        <v/>
      </c>
      <c r="AI190">
        <f>AH190+IF(AND(AI100&gt;0,COUNTIF($Y100:AH100,AI100)=0),0,IF(SUMPRODUCT(MOD(INT(AI145/{2,4,8,16,32,64,128,256,512,1024,2048,4096,8192,16384,32768}),2)*(1-MOD(INT(($CJ10+AH190)/{2,4,8,16,32,64,128,256,512,1024,2048,4096,8192,16384,32768}),2))*{2,4,8,16,32,64,128,256,512,1024,2048,4096,8192,16384,32768})=0,0,2^SUMPRODUCT(--(MOD(SUMPRODUCT(MOD(INT(AI145/{2,4,8,16,32,64,128,256,512,1024,2048,4096,8192,16384,32768}),2)*(1-MOD(INT(($CJ10+AH190)/{2,4,8,16,32,64,128,256,512,1024,2048,4096,8192,16384,32768}),2))*{2,4,8,16,32,64,128,256,512,1024,2048,4096,8192,16384,32768}),{2,4,8,16,32,64,128,256,512,1024,2048,4096,8192,16384,32768})=0))))</f>
        <v/>
      </c>
      <c r="AJ190">
        <f>AI190+IF(AND(AJ100&gt;0,COUNTIF($Y100:AI100,AJ100)=0),0,IF(SUMPRODUCT(MOD(INT(AJ145/{2,4,8,16,32,64,128,256,512,1024,2048,4096,8192,16384,32768}),2)*(1-MOD(INT(($CJ10+AI190)/{2,4,8,16,32,64,128,256,512,1024,2048,4096,8192,16384,32768}),2))*{2,4,8,16,32,64,128,256,512,1024,2048,4096,8192,16384,32768})=0,0,2^SUMPRODUCT(--(MOD(SUMPRODUCT(MOD(INT(AJ145/{2,4,8,16,32,64,128,256,512,1024,2048,4096,8192,16384,32768}),2)*(1-MOD(INT(($CJ10+AI190)/{2,4,8,16,32,64,128,256,512,1024,2048,4096,8192,16384,32768}),2))*{2,4,8,16,32,64,128,256,512,1024,2048,4096,8192,16384,32768}),{2,4,8,16,32,64,128,256,512,1024,2048,4096,8192,16384,32768})=0))))</f>
        <v/>
      </c>
      <c r="AK190">
        <f>AJ190+IF(AND(AK100&gt;0,COUNTIF($Y100:AJ100,AK100)=0),0,IF(SUMPRODUCT(MOD(INT(AK145/{2,4,8,16,32,64,128,256,512,1024,2048,4096,8192,16384,32768}),2)*(1-MOD(INT(($CJ10+AJ190)/{2,4,8,16,32,64,128,256,512,1024,2048,4096,8192,16384,32768}),2))*{2,4,8,16,32,64,128,256,512,1024,2048,4096,8192,16384,32768})=0,0,2^SUMPRODUCT(--(MOD(SUMPRODUCT(MOD(INT(AK145/{2,4,8,16,32,64,128,256,512,1024,2048,4096,8192,16384,32768}),2)*(1-MOD(INT(($CJ10+AJ190)/{2,4,8,16,32,64,128,256,512,1024,2048,4096,8192,16384,32768}),2))*{2,4,8,16,32,64,128,256,512,1024,2048,4096,8192,16384,32768}),{2,4,8,16,32,64,128,256,512,1024,2048,4096,8192,16384,32768})=0))))</f>
        <v/>
      </c>
      <c r="AL190">
        <f>AK190+IF(AND(AL100&gt;0,COUNTIF($Y100:AK100,AL100)=0),0,IF(SUMPRODUCT(MOD(INT(AL145/{2,4,8,16,32,64,128,256,512,1024,2048,4096,8192,16384,32768}),2)*(1-MOD(INT(($CJ10+AK190)/{2,4,8,16,32,64,128,256,512,1024,2048,4096,8192,16384,32768}),2))*{2,4,8,16,32,64,128,256,512,1024,2048,4096,8192,16384,32768})=0,0,2^SUMPRODUCT(--(MOD(SUMPRODUCT(MOD(INT(AL145/{2,4,8,16,32,64,128,256,512,1024,2048,4096,8192,16384,32768}),2)*(1-MOD(INT(($CJ10+AK190)/{2,4,8,16,32,64,128,256,512,1024,2048,4096,8192,16384,32768}),2))*{2,4,8,16,32,64,128,256,512,1024,2048,4096,8192,16384,32768}),{2,4,8,16,32,64,128,256,512,1024,2048,4096,8192,16384,32768})=0))))</f>
        <v/>
      </c>
      <c r="AM190">
        <f>AL190+IF(AND(AM100&gt;0,COUNTIF($Y100:AL100,AM100)=0),0,IF(SUMPRODUCT(MOD(INT(AM145/{2,4,8,16,32,64,128,256,512,1024,2048,4096,8192,16384,32768}),2)*(1-MOD(INT(($CJ10+AL190)/{2,4,8,16,32,64,128,256,512,1024,2048,4096,8192,16384,32768}),2))*{2,4,8,16,32,64,128,256,512,1024,2048,4096,8192,16384,32768})=0,0,2^SUMPRODUCT(--(MOD(SUMPRODUCT(MOD(INT(AM145/{2,4,8,16,32,64,128,256,512,1024,2048,4096,8192,16384,32768}),2)*(1-MOD(INT(($CJ10+AL190)/{2,4,8,16,32,64,128,256,512,1024,2048,4096,8192,16384,32768}),2))*{2,4,8,16,32,64,128,256,512,1024,2048,4096,8192,16384,32768}),{2,4,8,16,32,64,128,256,512,1024,2048,4096,8192,16384,32768})=0))))</f>
        <v/>
      </c>
      <c r="AN190">
        <f>AM190+IF(AND(AN100&gt;0,COUNTIF($Y100:AM100,AN100)=0),0,IF(SUMPRODUCT(MOD(INT(AN145/{2,4,8,16,32,64,128,256,512,1024,2048,4096,8192,16384,32768}),2)*(1-MOD(INT(($CJ10+AM190)/{2,4,8,16,32,64,128,256,512,1024,2048,4096,8192,16384,32768}),2))*{2,4,8,16,32,64,128,256,512,1024,2048,4096,8192,16384,32768})=0,0,2^SUMPRODUCT(--(MOD(SUMPRODUCT(MOD(INT(AN145/{2,4,8,16,32,64,128,256,512,1024,2048,4096,8192,16384,32768}),2)*(1-MOD(INT(($CJ10+AM190)/{2,4,8,16,32,64,128,256,512,1024,2048,4096,8192,16384,32768}),2))*{2,4,8,16,32,64,128,256,512,1024,2048,4096,8192,16384,32768}),{2,4,8,16,32,64,128,256,512,1024,2048,4096,8192,16384,32768})=0))))</f>
        <v/>
      </c>
      <c r="AO190">
        <f>AN190+IF(AND(AO100&gt;0,COUNTIF($Y100:AN100,AO100)=0),0,IF(SUMPRODUCT(MOD(INT(AO145/{2,4,8,16,32,64,128,256,512,1024,2048,4096,8192,16384,32768}),2)*(1-MOD(INT(($CJ10+AN190)/{2,4,8,16,32,64,128,256,512,1024,2048,4096,8192,16384,32768}),2))*{2,4,8,16,32,64,128,256,512,1024,2048,4096,8192,16384,32768})=0,0,2^SUMPRODUCT(--(MOD(SUMPRODUCT(MOD(INT(AO145/{2,4,8,16,32,64,128,256,512,1024,2048,4096,8192,16384,32768}),2)*(1-MOD(INT(($CJ10+AN190)/{2,4,8,16,32,64,128,256,512,1024,2048,4096,8192,16384,32768}),2))*{2,4,8,16,32,64,128,256,512,1024,2048,4096,8192,16384,32768}),{2,4,8,16,32,64,128,256,512,1024,2048,4096,8192,16384,32768})=0))))</f>
        <v/>
      </c>
      <c r="AP190">
        <f>AO190+IF(AND(AP100&gt;0,COUNTIF($Y100:AO100,AP100)=0),0,IF(SUMPRODUCT(MOD(INT(AP145/{2,4,8,16,32,64,128,256,512,1024,2048,4096,8192,16384,32768}),2)*(1-MOD(INT(($CJ10+AO190)/{2,4,8,16,32,64,128,256,512,1024,2048,4096,8192,16384,32768}),2))*{2,4,8,16,32,64,128,256,512,1024,2048,4096,8192,16384,32768})=0,0,2^SUMPRODUCT(--(MOD(SUMPRODUCT(MOD(INT(AP145/{2,4,8,16,32,64,128,256,512,1024,2048,4096,8192,16384,32768}),2)*(1-MOD(INT(($CJ10+AO190)/{2,4,8,16,32,64,128,256,512,1024,2048,4096,8192,16384,32768}),2))*{2,4,8,16,32,64,128,256,512,1024,2048,4096,8192,16384,32768}),{2,4,8,16,32,64,128,256,512,1024,2048,4096,8192,16384,32768})=0))))</f>
        <v/>
      </c>
      <c r="AQ190">
        <f>AP190+IF(AND(AQ100&gt;0,COUNTIF($Y100:AP100,AQ100)=0),0,IF(SUMPRODUCT(MOD(INT(AQ145/{2,4,8,16,32,64,128,256,512,1024,2048,4096,8192,16384,32768}),2)*(1-MOD(INT(($CJ10+AP190)/{2,4,8,16,32,64,128,256,512,1024,2048,4096,8192,16384,32768}),2))*{2,4,8,16,32,64,128,256,512,1024,2048,4096,8192,16384,32768})=0,0,2^SUMPRODUCT(--(MOD(SUMPRODUCT(MOD(INT(AQ145/{2,4,8,16,32,64,128,256,512,1024,2048,4096,8192,16384,32768}),2)*(1-MOD(INT(($CJ10+AP190)/{2,4,8,16,32,64,128,256,512,1024,2048,4096,8192,16384,32768}),2))*{2,4,8,16,32,64,128,256,512,1024,2048,4096,8192,16384,32768}),{2,4,8,16,32,64,128,256,512,1024,2048,4096,8192,16384,32768})=0))))</f>
        <v/>
      </c>
      <c r="AR190">
        <f>AQ190+IF(AND(AR100&gt;0,COUNTIF($Y100:AQ100,AR100)=0),0,IF(SUMPRODUCT(MOD(INT(AR145/{2,4,8,16,32,64,128,256,512,1024,2048,4096,8192,16384,32768}),2)*(1-MOD(INT(($CJ10+AQ190)/{2,4,8,16,32,64,128,256,512,1024,2048,4096,8192,16384,32768}),2))*{2,4,8,16,32,64,128,256,512,1024,2048,4096,8192,16384,32768})=0,0,2^SUMPRODUCT(--(MOD(SUMPRODUCT(MOD(INT(AR145/{2,4,8,16,32,64,128,256,512,1024,2048,4096,8192,16384,32768}),2)*(1-MOD(INT(($CJ10+AQ190)/{2,4,8,16,32,64,128,256,512,1024,2048,4096,8192,16384,32768}),2))*{2,4,8,16,32,64,128,256,512,1024,2048,4096,8192,16384,32768}),{2,4,8,16,32,64,128,256,512,1024,2048,4096,8192,16384,32768})=0))))</f>
        <v/>
      </c>
      <c r="AS190">
        <f>AR190+IF(AND(AS100&gt;0,COUNTIF($Y100:AR100,AS100)=0),0,IF(SUMPRODUCT(MOD(INT(AS145/{2,4,8,16,32,64,128,256,512,1024,2048,4096,8192,16384,32768}),2)*(1-MOD(INT(($CJ10+AR190)/{2,4,8,16,32,64,128,256,512,1024,2048,4096,8192,16384,32768}),2))*{2,4,8,16,32,64,128,256,512,1024,2048,4096,8192,16384,32768})=0,0,2^SUMPRODUCT(--(MOD(SUMPRODUCT(MOD(INT(AS145/{2,4,8,16,32,64,128,256,512,1024,2048,4096,8192,16384,32768}),2)*(1-MOD(INT(($CJ10+AR190)/{2,4,8,16,32,64,128,256,512,1024,2048,4096,8192,16384,32768}),2))*{2,4,8,16,32,64,128,256,512,1024,2048,4096,8192,16384,32768}),{2,4,8,16,32,64,128,256,512,1024,2048,4096,8192,16384,32768})=0))))</f>
        <v/>
      </c>
      <c r="AT190">
        <f>AS190+IF(AND(AT100&gt;0,COUNTIF($Y100:AS100,AT100)=0),0,IF(SUMPRODUCT(MOD(INT(AT145/{2,4,8,16,32,64,128,256,512,1024,2048,4096,8192,16384,32768}),2)*(1-MOD(INT(($CJ10+AS190)/{2,4,8,16,32,64,128,256,512,1024,2048,4096,8192,16384,32768}),2))*{2,4,8,16,32,64,128,256,512,1024,2048,4096,8192,16384,32768})=0,0,2^SUMPRODUCT(--(MOD(SUMPRODUCT(MOD(INT(AT145/{2,4,8,16,32,64,128,256,512,1024,2048,4096,8192,16384,32768}),2)*(1-MOD(INT(($CJ10+AS190)/{2,4,8,16,32,64,128,256,512,1024,2048,4096,8192,16384,32768}),2))*{2,4,8,16,32,64,128,256,512,1024,2048,4096,8192,16384,32768}),{2,4,8,16,32,64,128,256,512,1024,2048,4096,8192,16384,32768})=0))))</f>
        <v/>
      </c>
      <c r="AU190">
        <f>AT190+IF(AND(AU100&gt;0,COUNTIF($Y100:AT100,AU100)=0),0,IF(SUMPRODUCT(MOD(INT(AU145/{2,4,8,16,32,64,128,256,512,1024,2048,4096,8192,16384,32768}),2)*(1-MOD(INT(($CJ10+AT190)/{2,4,8,16,32,64,128,256,512,1024,2048,4096,8192,16384,32768}),2))*{2,4,8,16,32,64,128,256,512,1024,2048,4096,8192,16384,32768})=0,0,2^SUMPRODUCT(--(MOD(SUMPRODUCT(MOD(INT(AU145/{2,4,8,16,32,64,128,256,512,1024,2048,4096,8192,16384,32768}),2)*(1-MOD(INT(($CJ10+AT190)/{2,4,8,16,32,64,128,256,512,1024,2048,4096,8192,16384,32768}),2))*{2,4,8,16,32,64,128,256,512,1024,2048,4096,8192,16384,32768}),{2,4,8,16,32,64,128,256,512,1024,2048,4096,8192,16384,32768})=0))))</f>
        <v/>
      </c>
      <c r="AV190">
        <f>AU190+IF(AND(AV100&gt;0,COUNTIF($Y100:AU100,AV100)=0),0,IF(SUMPRODUCT(MOD(INT(AV145/{2,4,8,16,32,64,128,256,512,1024,2048,4096,8192,16384,32768}),2)*(1-MOD(INT(($CJ10+AU190)/{2,4,8,16,32,64,128,256,512,1024,2048,4096,8192,16384,32768}),2))*{2,4,8,16,32,64,128,256,512,1024,2048,4096,8192,16384,32768})=0,0,2^SUMPRODUCT(--(MOD(SUMPRODUCT(MOD(INT(AV145/{2,4,8,16,32,64,128,256,512,1024,2048,4096,8192,16384,32768}),2)*(1-MOD(INT(($CJ10+AU190)/{2,4,8,16,32,64,128,256,512,1024,2048,4096,8192,16384,32768}),2))*{2,4,8,16,32,64,128,256,512,1024,2048,4096,8192,16384,32768}),{2,4,8,16,32,64,128,256,512,1024,2048,4096,8192,16384,32768})=0))))</f>
        <v/>
      </c>
      <c r="AW190">
        <f>AV190+IF(AND(AW100&gt;0,COUNTIF($Y100:AV100,AW100)=0),0,IF(SUMPRODUCT(MOD(INT(AW145/{2,4,8,16,32,64,128,256,512,1024,2048,4096,8192,16384,32768}),2)*(1-MOD(INT(($CJ10+AV190)/{2,4,8,16,32,64,128,256,512,1024,2048,4096,8192,16384,32768}),2))*{2,4,8,16,32,64,128,256,512,1024,2048,4096,8192,16384,32768})=0,0,2^SUMPRODUCT(--(MOD(SUMPRODUCT(MOD(INT(AW145/{2,4,8,16,32,64,128,256,512,1024,2048,4096,8192,16384,32768}),2)*(1-MOD(INT(($CJ10+AV190)/{2,4,8,16,32,64,128,256,512,1024,2048,4096,8192,16384,32768}),2))*{2,4,8,16,32,64,128,256,512,1024,2048,4096,8192,16384,32768}),{2,4,8,16,32,64,128,256,512,1024,2048,4096,8192,16384,32768})=0))))</f>
        <v/>
      </c>
      <c r="AX190">
        <f>AW190+IF(AND(AX100&gt;0,COUNTIF($Y100:AW100,AX100)=0),0,IF(SUMPRODUCT(MOD(INT(AX145/{2,4,8,16,32,64,128,256,512,1024,2048,4096,8192,16384,32768}),2)*(1-MOD(INT(($CJ10+AW190)/{2,4,8,16,32,64,128,256,512,1024,2048,4096,8192,16384,32768}),2))*{2,4,8,16,32,64,128,256,512,1024,2048,4096,8192,16384,32768})=0,0,2^SUMPRODUCT(--(MOD(SUMPRODUCT(MOD(INT(AX145/{2,4,8,16,32,64,128,256,512,1024,2048,4096,8192,16384,32768}),2)*(1-MOD(INT(($CJ10+AW190)/{2,4,8,16,32,64,128,256,512,1024,2048,4096,8192,16384,32768}),2))*{2,4,8,16,32,64,128,256,512,1024,2048,4096,8192,16384,32768}),{2,4,8,16,32,64,128,256,512,1024,2048,4096,8192,16384,32768})=0))))</f>
        <v/>
      </c>
      <c r="AY190">
        <f>AX190+IF(AND(AY100&gt;0,COUNTIF($Y100:AX100,AY100)=0),0,IF(SUMPRODUCT(MOD(INT(AY145/{2,4,8,16,32,64,128,256,512,1024,2048,4096,8192,16384,32768}),2)*(1-MOD(INT(($CJ10+AX190)/{2,4,8,16,32,64,128,256,512,1024,2048,4096,8192,16384,32768}),2))*{2,4,8,16,32,64,128,256,512,1024,2048,4096,8192,16384,32768})=0,0,2^SUMPRODUCT(--(MOD(SUMPRODUCT(MOD(INT(AY145/{2,4,8,16,32,64,128,256,512,1024,2048,4096,8192,16384,32768}),2)*(1-MOD(INT(($CJ10+AX190)/{2,4,8,16,32,64,128,256,512,1024,2048,4096,8192,16384,32768}),2))*{2,4,8,16,32,64,128,256,512,1024,2048,4096,8192,16384,32768}),{2,4,8,16,32,64,128,256,512,1024,2048,4096,8192,16384,32768})=0))))</f>
        <v/>
      </c>
      <c r="AZ190">
        <f>AY190+IF(AND(AZ100&gt;0,COUNTIF($Y100:AY100,AZ100)=0),0,IF(SUMPRODUCT(MOD(INT(AZ145/{2,4,8,16,32,64,128,256,512,1024,2048,4096,8192,16384,32768}),2)*(1-MOD(INT(($CJ10+AY190)/{2,4,8,16,32,64,128,256,512,1024,2048,4096,8192,16384,32768}),2))*{2,4,8,16,32,64,128,256,512,1024,2048,4096,8192,16384,32768})=0,0,2^SUMPRODUCT(--(MOD(SUMPRODUCT(MOD(INT(AZ145/{2,4,8,16,32,64,128,256,512,1024,2048,4096,8192,16384,32768}),2)*(1-MOD(INT(($CJ10+AY190)/{2,4,8,16,32,64,128,256,512,1024,2048,4096,8192,16384,32768}),2))*{2,4,8,16,32,64,128,256,512,1024,2048,4096,8192,16384,32768}),{2,4,8,16,32,64,128,256,512,1024,2048,4096,8192,16384,32768})=0))))</f>
        <v/>
      </c>
      <c r="BA190">
        <f>AZ190+IF(AND(BA100&gt;0,COUNTIF($Y100:AZ100,BA100)=0),0,IF(SUMPRODUCT(MOD(INT(BA145/{2,4,8,16,32,64,128,256,512,1024,2048,4096,8192,16384,32768}),2)*(1-MOD(INT(($CJ10+AZ190)/{2,4,8,16,32,64,128,256,512,1024,2048,4096,8192,16384,32768}),2))*{2,4,8,16,32,64,128,256,512,1024,2048,4096,8192,16384,32768})=0,0,2^SUMPRODUCT(--(MOD(SUMPRODUCT(MOD(INT(BA145/{2,4,8,16,32,64,128,256,512,1024,2048,4096,8192,16384,32768}),2)*(1-MOD(INT(($CJ10+AZ190)/{2,4,8,16,32,64,128,256,512,1024,2048,4096,8192,16384,32768}),2))*{2,4,8,16,32,64,128,256,512,1024,2048,4096,8192,16384,32768}),{2,4,8,16,32,64,128,256,512,1024,2048,4096,8192,16384,32768})=0))))</f>
        <v/>
      </c>
      <c r="BB190">
        <f>BA190+IF(AND(BB100&gt;0,COUNTIF($Y100:BA100,BB100)=0),0,IF(SUMPRODUCT(MOD(INT(BB145/{2,4,8,16,32,64,128,256,512,1024,2048,4096,8192,16384,32768}),2)*(1-MOD(INT(($CJ10+BA190)/{2,4,8,16,32,64,128,256,512,1024,2048,4096,8192,16384,32768}),2))*{2,4,8,16,32,64,128,256,512,1024,2048,4096,8192,16384,32768})=0,0,2^SUMPRODUCT(--(MOD(SUMPRODUCT(MOD(INT(BB145/{2,4,8,16,32,64,128,256,512,1024,2048,4096,8192,16384,32768}),2)*(1-MOD(INT(($CJ10+BA190)/{2,4,8,16,32,64,128,256,512,1024,2048,4096,8192,16384,32768}),2))*{2,4,8,16,32,64,128,256,512,1024,2048,4096,8192,16384,32768}),{2,4,8,16,32,64,128,256,512,1024,2048,4096,8192,16384,32768})=0))))</f>
        <v/>
      </c>
      <c r="BC190">
        <f>BB190+IF(AND(BC100&gt;0,COUNTIF($Y100:BB100,BC100)=0),0,IF(SUMPRODUCT(MOD(INT(BC145/{2,4,8,16,32,64,128,256,512,1024,2048,4096,8192,16384,32768}),2)*(1-MOD(INT(($CJ10+BB190)/{2,4,8,16,32,64,128,256,512,1024,2048,4096,8192,16384,32768}),2))*{2,4,8,16,32,64,128,256,512,1024,2048,4096,8192,16384,32768})=0,0,2^SUMPRODUCT(--(MOD(SUMPRODUCT(MOD(INT(BC145/{2,4,8,16,32,64,128,256,512,1024,2048,4096,8192,16384,32768}),2)*(1-MOD(INT(($CJ10+BB190)/{2,4,8,16,32,64,128,256,512,1024,2048,4096,8192,16384,32768}),2))*{2,4,8,16,32,64,128,256,512,1024,2048,4096,8192,16384,32768}),{2,4,8,16,32,64,128,256,512,1024,2048,4096,8192,16384,32768})=0))))</f>
        <v/>
      </c>
      <c r="BD190">
        <f>BC190+IF(AND(BD100&gt;0,COUNTIF($Y100:BC100,BD100)=0),0,IF(SUMPRODUCT(MOD(INT(BD145/{2,4,8,16,32,64,128,256,512,1024,2048,4096,8192,16384,32768}),2)*(1-MOD(INT(($CJ10+BC190)/{2,4,8,16,32,64,128,256,512,1024,2048,4096,8192,16384,32768}),2))*{2,4,8,16,32,64,128,256,512,1024,2048,4096,8192,16384,32768})=0,0,2^SUMPRODUCT(--(MOD(SUMPRODUCT(MOD(INT(BD145/{2,4,8,16,32,64,128,256,512,1024,2048,4096,8192,16384,32768}),2)*(1-MOD(INT(($CJ10+BC190)/{2,4,8,16,32,64,128,256,512,1024,2048,4096,8192,16384,32768}),2))*{2,4,8,16,32,64,128,256,512,1024,2048,4096,8192,16384,32768}),{2,4,8,16,32,64,128,256,512,1024,2048,4096,8192,16384,32768})=0))))</f>
        <v/>
      </c>
      <c r="BE190">
        <f>BD190+IF(AND(BE100&gt;0,COUNTIF($Y100:BD100,BE100)=0),0,IF(SUMPRODUCT(MOD(INT(BE145/{2,4,8,16,32,64,128,256,512,1024,2048,4096,8192,16384,32768}),2)*(1-MOD(INT(($CJ10+BD190)/{2,4,8,16,32,64,128,256,512,1024,2048,4096,8192,16384,32768}),2))*{2,4,8,16,32,64,128,256,512,1024,2048,4096,8192,16384,32768})=0,0,2^SUMPRODUCT(--(MOD(SUMPRODUCT(MOD(INT(BE145/{2,4,8,16,32,64,128,256,512,1024,2048,4096,8192,16384,32768}),2)*(1-MOD(INT(($CJ10+BD190)/{2,4,8,16,32,64,128,256,512,1024,2048,4096,8192,16384,32768}),2))*{2,4,8,16,32,64,128,256,512,1024,2048,4096,8192,16384,32768}),{2,4,8,16,32,64,128,256,512,1024,2048,4096,8192,16384,32768})=0))))</f>
        <v/>
      </c>
      <c r="BF190">
        <f>BE190+IF(AND(BF100&gt;0,COUNTIF($Y100:BE100,BF100)=0),0,IF(SUMPRODUCT(MOD(INT(BF145/{2,4,8,16,32,64,128,256,512,1024,2048,4096,8192,16384,32768}),2)*(1-MOD(INT(($CJ10+BE190)/{2,4,8,16,32,64,128,256,512,1024,2048,4096,8192,16384,32768}),2))*{2,4,8,16,32,64,128,256,512,1024,2048,4096,8192,16384,32768})=0,0,2^SUMPRODUCT(--(MOD(SUMPRODUCT(MOD(INT(BF145/{2,4,8,16,32,64,128,256,512,1024,2048,4096,8192,16384,32768}),2)*(1-MOD(INT(($CJ10+BE190)/{2,4,8,16,32,64,128,256,512,1024,2048,4096,8192,16384,32768}),2))*{2,4,8,16,32,64,128,256,512,1024,2048,4096,8192,16384,32768}),{2,4,8,16,32,64,128,256,512,1024,2048,4096,8192,16384,32768})=0))))</f>
        <v/>
      </c>
      <c r="BG190">
        <f>BF190+IF(AND(BG100&gt;0,COUNTIF($Y100:BF100,BG100)=0),0,IF(SUMPRODUCT(MOD(INT(BG145/{2,4,8,16,32,64,128,256,512,1024,2048,4096,8192,16384,32768}),2)*(1-MOD(INT(($CJ10+BF190)/{2,4,8,16,32,64,128,256,512,1024,2048,4096,8192,16384,32768}),2))*{2,4,8,16,32,64,128,256,512,1024,2048,4096,8192,16384,32768})=0,0,2^SUMPRODUCT(--(MOD(SUMPRODUCT(MOD(INT(BG145/{2,4,8,16,32,64,128,256,512,1024,2048,4096,8192,16384,32768}),2)*(1-MOD(INT(($CJ10+BF190)/{2,4,8,16,32,64,128,256,512,1024,2048,4096,8192,16384,32768}),2))*{2,4,8,16,32,64,128,256,512,1024,2048,4096,8192,16384,32768}),{2,4,8,16,32,64,128,256,512,1024,2048,4096,8192,16384,32768})=0))))</f>
        <v/>
      </c>
      <c r="BH190">
        <f>BG190+IF(AND(BH100&gt;0,COUNTIF($Y100:BG100,BH100)=0),0,IF(SUMPRODUCT(MOD(INT(BH145/{2,4,8,16,32,64,128,256,512,1024,2048,4096,8192,16384,32768}),2)*(1-MOD(INT(($CJ10+BG190)/{2,4,8,16,32,64,128,256,512,1024,2048,4096,8192,16384,32768}),2))*{2,4,8,16,32,64,128,256,512,1024,2048,4096,8192,16384,32768})=0,0,2^SUMPRODUCT(--(MOD(SUMPRODUCT(MOD(INT(BH145/{2,4,8,16,32,64,128,256,512,1024,2048,4096,8192,16384,32768}),2)*(1-MOD(INT(($CJ10+BG190)/{2,4,8,16,32,64,128,256,512,1024,2048,4096,8192,16384,32768}),2))*{2,4,8,16,32,64,128,256,512,1024,2048,4096,8192,16384,32768}),{2,4,8,16,32,64,128,256,512,1024,2048,4096,8192,16384,32768})=0))))</f>
        <v/>
      </c>
      <c r="BI190">
        <f>BH190+IF(AND(BI100&gt;0,COUNTIF($Y100:BH100,BI100)=0),0,IF(SUMPRODUCT(MOD(INT(BI145/{2,4,8,16,32,64,128,256,512,1024,2048,4096,8192,16384,32768}),2)*(1-MOD(INT(($CJ10+BH190)/{2,4,8,16,32,64,128,256,512,1024,2048,4096,8192,16384,32768}),2))*{2,4,8,16,32,64,128,256,512,1024,2048,4096,8192,16384,32768})=0,0,2^SUMPRODUCT(--(MOD(SUMPRODUCT(MOD(INT(BI145/{2,4,8,16,32,64,128,256,512,1024,2048,4096,8192,16384,32768}),2)*(1-MOD(INT(($CJ10+BH190)/{2,4,8,16,32,64,128,256,512,1024,2048,4096,8192,16384,32768}),2))*{2,4,8,16,32,64,128,256,512,1024,2048,4096,8192,16384,32768}),{2,4,8,16,32,64,128,256,512,1024,2048,4096,8192,16384,32768})=0))))</f>
        <v/>
      </c>
      <c r="BJ190">
        <f>BI190+IF(AND(BJ100&gt;0,COUNTIF($Y100:BI100,BJ100)=0),0,IF(SUMPRODUCT(MOD(INT(BJ145/{2,4,8,16,32,64,128,256,512,1024,2048,4096,8192,16384,32768}),2)*(1-MOD(INT(($CJ10+BI190)/{2,4,8,16,32,64,128,256,512,1024,2048,4096,8192,16384,32768}),2))*{2,4,8,16,32,64,128,256,512,1024,2048,4096,8192,16384,32768})=0,0,2^SUMPRODUCT(--(MOD(SUMPRODUCT(MOD(INT(BJ145/{2,4,8,16,32,64,128,256,512,1024,2048,4096,8192,16384,32768}),2)*(1-MOD(INT(($CJ10+BI190)/{2,4,8,16,32,64,128,256,512,1024,2048,4096,8192,16384,32768}),2))*{2,4,8,16,32,64,128,256,512,1024,2048,4096,8192,16384,32768}),{2,4,8,16,32,64,128,256,512,1024,2048,4096,8192,16384,32768})=0))))</f>
        <v/>
      </c>
      <c r="BK190">
        <f>BJ190+IF(AND(BK100&gt;0,COUNTIF($Y100:BJ100,BK100)=0),0,IF(SUMPRODUCT(MOD(INT(BK145/{2,4,8,16,32,64,128,256,512,1024,2048,4096,8192,16384,32768}),2)*(1-MOD(INT(($CJ10+BJ190)/{2,4,8,16,32,64,128,256,512,1024,2048,4096,8192,16384,32768}),2))*{2,4,8,16,32,64,128,256,512,1024,2048,4096,8192,16384,32768})=0,0,2^SUMPRODUCT(--(MOD(SUMPRODUCT(MOD(INT(BK145/{2,4,8,16,32,64,128,256,512,1024,2048,4096,8192,16384,32768}),2)*(1-MOD(INT(($CJ10+BJ190)/{2,4,8,16,32,64,128,256,512,1024,2048,4096,8192,16384,32768}),2))*{2,4,8,16,32,64,128,256,512,1024,2048,4096,8192,16384,32768}),{2,4,8,16,32,64,128,256,512,1024,2048,4096,8192,16384,32768})=0))))</f>
        <v/>
      </c>
      <c r="BL190">
        <f>BK190+IF(AND(BL100&gt;0,COUNTIF($Y100:BK100,BL100)=0),0,IF(SUMPRODUCT(MOD(INT(BL145/{2,4,8,16,32,64,128,256,512,1024,2048,4096,8192,16384,32768}),2)*(1-MOD(INT(($CJ10+BK190)/{2,4,8,16,32,64,128,256,512,1024,2048,4096,8192,16384,32768}),2))*{2,4,8,16,32,64,128,256,512,1024,2048,4096,8192,16384,32768})=0,0,2^SUMPRODUCT(--(MOD(SUMPRODUCT(MOD(INT(BL145/{2,4,8,16,32,64,128,256,512,1024,2048,4096,8192,16384,32768}),2)*(1-MOD(INT(($CJ10+BK190)/{2,4,8,16,32,64,128,256,512,1024,2048,4096,8192,16384,32768}),2))*{2,4,8,16,32,64,128,256,512,1024,2048,4096,8192,16384,32768}),{2,4,8,16,32,64,128,256,512,1024,2048,4096,8192,16384,32768})=0))))</f>
        <v/>
      </c>
      <c r="BM190">
        <f>BL190+IF(AND(BM100&gt;0,COUNTIF($Y100:BL100,BM100)=0),0,IF(SUMPRODUCT(MOD(INT(BM145/{2,4,8,16,32,64,128,256,512,1024,2048,4096,8192,16384,32768}),2)*(1-MOD(INT(($CJ10+BL190)/{2,4,8,16,32,64,128,256,512,1024,2048,4096,8192,16384,32768}),2))*{2,4,8,16,32,64,128,256,512,1024,2048,4096,8192,16384,32768})=0,0,2^SUMPRODUCT(--(MOD(SUMPRODUCT(MOD(INT(BM145/{2,4,8,16,32,64,128,256,512,1024,2048,4096,8192,16384,32768}),2)*(1-MOD(INT(($CJ10+BL190)/{2,4,8,16,32,64,128,256,512,1024,2048,4096,8192,16384,32768}),2))*{2,4,8,16,32,64,128,256,512,1024,2048,4096,8192,16384,32768}),{2,4,8,16,32,64,128,256,512,1024,2048,4096,8192,16384,32768})=0))))</f>
        <v/>
      </c>
      <c r="BN190">
        <f>BM190+IF(AND(BN100&gt;0,COUNTIF($Y100:BM100,BN100)=0),0,IF(SUMPRODUCT(MOD(INT(BN145/{2,4,8,16,32,64,128,256,512,1024,2048,4096,8192,16384,32768}),2)*(1-MOD(INT(($CJ10+BM190)/{2,4,8,16,32,64,128,256,512,1024,2048,4096,8192,16384,32768}),2))*{2,4,8,16,32,64,128,256,512,1024,2048,4096,8192,16384,32768})=0,0,2^SUMPRODUCT(--(MOD(SUMPRODUCT(MOD(INT(BN145/{2,4,8,16,32,64,128,256,512,1024,2048,4096,8192,16384,32768}),2)*(1-MOD(INT(($CJ10+BM190)/{2,4,8,16,32,64,128,256,512,1024,2048,4096,8192,16384,32768}),2))*{2,4,8,16,32,64,128,256,512,1024,2048,4096,8192,16384,32768}),{2,4,8,16,32,64,128,256,512,1024,2048,4096,8192,16384,32768})=0))))</f>
        <v/>
      </c>
      <c r="BO190">
        <f>BN190+IF(AND(BO100&gt;0,COUNTIF($Y100:BN100,BO100)=0),0,IF(SUMPRODUCT(MOD(INT(BO145/{2,4,8,16,32,64,128,256,512,1024,2048,4096,8192,16384,32768}),2)*(1-MOD(INT(($CJ10+BN190)/{2,4,8,16,32,64,128,256,512,1024,2048,4096,8192,16384,32768}),2))*{2,4,8,16,32,64,128,256,512,1024,2048,4096,8192,16384,32768})=0,0,2^SUMPRODUCT(--(MOD(SUMPRODUCT(MOD(INT(BO145/{2,4,8,16,32,64,128,256,512,1024,2048,4096,8192,16384,32768}),2)*(1-MOD(INT(($CJ10+BN190)/{2,4,8,16,32,64,128,256,512,1024,2048,4096,8192,16384,32768}),2))*{2,4,8,16,32,64,128,256,512,1024,2048,4096,8192,16384,32768}),{2,4,8,16,32,64,128,256,512,1024,2048,4096,8192,16384,32768})=0))))</f>
        <v/>
      </c>
      <c r="BP190">
        <f>BO190+IF(AND(BP100&gt;0,COUNTIF($Y100:BO100,BP100)=0),0,IF(SUMPRODUCT(MOD(INT(BP145/{2,4,8,16,32,64,128,256,512,1024,2048,4096,8192,16384,32768}),2)*(1-MOD(INT(($CJ10+BO190)/{2,4,8,16,32,64,128,256,512,1024,2048,4096,8192,16384,32768}),2))*{2,4,8,16,32,64,128,256,512,1024,2048,4096,8192,16384,32768})=0,0,2^SUMPRODUCT(--(MOD(SUMPRODUCT(MOD(INT(BP145/{2,4,8,16,32,64,128,256,512,1024,2048,4096,8192,16384,32768}),2)*(1-MOD(INT(($CJ10+BO190)/{2,4,8,16,32,64,128,256,512,1024,2048,4096,8192,16384,32768}),2))*{2,4,8,16,32,64,128,256,512,1024,2048,4096,8192,16384,32768}),{2,4,8,16,32,64,128,256,512,1024,2048,4096,8192,16384,32768})=0))))</f>
        <v/>
      </c>
      <c r="BQ190">
        <f>BP190+IF(AND(BQ100&gt;0,COUNTIF($Y100:BP100,BQ100)=0),0,IF(SUMPRODUCT(MOD(INT(BQ145/{2,4,8,16,32,64,128,256,512,1024,2048,4096,8192,16384,32768}),2)*(1-MOD(INT(($CJ10+BP190)/{2,4,8,16,32,64,128,256,512,1024,2048,4096,8192,16384,32768}),2))*{2,4,8,16,32,64,128,256,512,1024,2048,4096,8192,16384,32768})=0,0,2^SUMPRODUCT(--(MOD(SUMPRODUCT(MOD(INT(BQ145/{2,4,8,16,32,64,128,256,512,1024,2048,4096,8192,16384,32768}),2)*(1-MOD(INT(($CJ10+BP190)/{2,4,8,16,32,64,128,256,512,1024,2048,4096,8192,16384,32768}),2))*{2,4,8,16,32,64,128,256,512,1024,2048,4096,8192,16384,32768}),{2,4,8,16,32,64,128,256,512,1024,2048,4096,8192,16384,32768})=0))))</f>
        <v/>
      </c>
      <c r="BR190">
        <f>BQ190+IF(AND(BR100&gt;0,COUNTIF($Y100:BQ100,BR100)=0),0,IF(SUMPRODUCT(MOD(INT(BR145/{2,4,8,16,32,64,128,256,512,1024,2048,4096,8192,16384,32768}),2)*(1-MOD(INT(($CJ10+BQ190)/{2,4,8,16,32,64,128,256,512,1024,2048,4096,8192,16384,32768}),2))*{2,4,8,16,32,64,128,256,512,1024,2048,4096,8192,16384,32768})=0,0,2^SUMPRODUCT(--(MOD(SUMPRODUCT(MOD(INT(BR145/{2,4,8,16,32,64,128,256,512,1024,2048,4096,8192,16384,32768}),2)*(1-MOD(INT(($CJ10+BQ190)/{2,4,8,16,32,64,128,256,512,1024,2048,4096,8192,16384,32768}),2))*{2,4,8,16,32,64,128,256,512,1024,2048,4096,8192,16384,32768}),{2,4,8,16,32,64,128,256,512,1024,2048,4096,8192,16384,32768})=0))))</f>
        <v/>
      </c>
      <c r="BS190">
        <f>BR190+IF(AND(BS100&gt;0,COUNTIF($Y100:BR100,BS100)=0),0,IF(SUMPRODUCT(MOD(INT(BS145/{2,4,8,16,32,64,128,256,512,1024,2048,4096,8192,16384,32768}),2)*(1-MOD(INT(($CJ10+BR190)/{2,4,8,16,32,64,128,256,512,1024,2048,4096,8192,16384,32768}),2))*{2,4,8,16,32,64,128,256,512,1024,2048,4096,8192,16384,32768})=0,0,2^SUMPRODUCT(--(MOD(SUMPRODUCT(MOD(INT(BS145/{2,4,8,16,32,64,128,256,512,1024,2048,4096,8192,16384,32768}),2)*(1-MOD(INT(($CJ10+BR190)/{2,4,8,16,32,64,128,256,512,1024,2048,4096,8192,16384,32768}),2))*{2,4,8,16,32,64,128,256,512,1024,2048,4096,8192,16384,32768}),{2,4,8,16,32,64,128,256,512,1024,2048,4096,8192,16384,32768})=0))))</f>
        <v/>
      </c>
      <c r="BT190">
        <f>BS190+IF(AND(BT100&gt;0,COUNTIF($Y100:BS100,BT100)=0),0,IF(SUMPRODUCT(MOD(INT(BT145/{2,4,8,16,32,64,128,256,512,1024,2048,4096,8192,16384,32768}),2)*(1-MOD(INT(($CJ10+BS190)/{2,4,8,16,32,64,128,256,512,1024,2048,4096,8192,16384,32768}),2))*{2,4,8,16,32,64,128,256,512,1024,2048,4096,8192,16384,32768})=0,0,2^SUMPRODUCT(--(MOD(SUMPRODUCT(MOD(INT(BT145/{2,4,8,16,32,64,128,256,512,1024,2048,4096,8192,16384,32768}),2)*(1-MOD(INT(($CJ10+BS190)/{2,4,8,16,32,64,128,256,512,1024,2048,4096,8192,16384,32768}),2))*{2,4,8,16,32,64,128,256,512,1024,2048,4096,8192,16384,32768}),{2,4,8,16,32,64,128,256,512,1024,2048,4096,8192,16384,32768})=0))))</f>
        <v/>
      </c>
      <c r="BU190">
        <f>BT190+IF(AND(BU100&gt;0,COUNTIF($Y100:BT100,BU100)=0),0,IF(SUMPRODUCT(MOD(INT(BU145/{2,4,8,16,32,64,128,256,512,1024,2048,4096,8192,16384,32768}),2)*(1-MOD(INT(($CJ10+BT190)/{2,4,8,16,32,64,128,256,512,1024,2048,4096,8192,16384,32768}),2))*{2,4,8,16,32,64,128,256,512,1024,2048,4096,8192,16384,32768})=0,0,2^SUMPRODUCT(--(MOD(SUMPRODUCT(MOD(INT(BU145/{2,4,8,16,32,64,128,256,512,1024,2048,4096,8192,16384,32768}),2)*(1-MOD(INT(($CJ10+BT190)/{2,4,8,16,32,64,128,256,512,1024,2048,4096,8192,16384,32768}),2))*{2,4,8,16,32,64,128,256,512,1024,2048,4096,8192,16384,32768}),{2,4,8,16,32,64,128,256,512,1024,2048,4096,8192,16384,32768})=0))))</f>
        <v/>
      </c>
      <c r="BV190">
        <f>BU190+IF(AND(BV100&gt;0,COUNTIF($Y100:BU100,BV100)=0),0,IF(SUMPRODUCT(MOD(INT(BV145/{2,4,8,16,32,64,128,256,512,1024,2048,4096,8192,16384,32768}),2)*(1-MOD(INT(($CJ10+BU190)/{2,4,8,16,32,64,128,256,512,1024,2048,4096,8192,16384,32768}),2))*{2,4,8,16,32,64,128,256,512,1024,2048,4096,8192,16384,32768})=0,0,2^SUMPRODUCT(--(MOD(SUMPRODUCT(MOD(INT(BV145/{2,4,8,16,32,64,128,256,512,1024,2048,4096,8192,16384,32768}),2)*(1-MOD(INT(($CJ10+BU190)/{2,4,8,16,32,64,128,256,512,1024,2048,4096,8192,16384,32768}),2))*{2,4,8,16,32,64,128,256,512,1024,2048,4096,8192,16384,32768}),{2,4,8,16,32,64,128,256,512,1024,2048,4096,8192,16384,32768})=0))))</f>
        <v/>
      </c>
      <c r="BW190">
        <f>BV190+IF(AND(BW100&gt;0,COUNTIF($Y100:BV100,BW100)=0),0,IF(SUMPRODUCT(MOD(INT(BW145/{2,4,8,16,32,64,128,256,512,1024,2048,4096,8192,16384,32768}),2)*(1-MOD(INT(($CJ10+BV190)/{2,4,8,16,32,64,128,256,512,1024,2048,4096,8192,16384,32768}),2))*{2,4,8,16,32,64,128,256,512,1024,2048,4096,8192,16384,32768})=0,0,2^SUMPRODUCT(--(MOD(SUMPRODUCT(MOD(INT(BW145/{2,4,8,16,32,64,128,256,512,1024,2048,4096,8192,16384,32768}),2)*(1-MOD(INT(($CJ10+BV190)/{2,4,8,16,32,64,128,256,512,1024,2048,4096,8192,16384,32768}),2))*{2,4,8,16,32,64,128,256,512,1024,2048,4096,8192,16384,32768}),{2,4,8,16,32,64,128,256,512,1024,2048,4096,8192,16384,32768})=0))))</f>
        <v/>
      </c>
      <c r="BX190">
        <f>BW190+IF(AND(BX100&gt;0,COUNTIF($Y100:BW100,BX100)=0),0,IF(SUMPRODUCT(MOD(INT(BX145/{2,4,8,16,32,64,128,256,512,1024,2048,4096,8192,16384,32768}),2)*(1-MOD(INT(($CJ10+BW190)/{2,4,8,16,32,64,128,256,512,1024,2048,4096,8192,16384,32768}),2))*{2,4,8,16,32,64,128,256,512,1024,2048,4096,8192,16384,32768})=0,0,2^SUMPRODUCT(--(MOD(SUMPRODUCT(MOD(INT(BX145/{2,4,8,16,32,64,128,256,512,1024,2048,4096,8192,16384,32768}),2)*(1-MOD(INT(($CJ10+BW190)/{2,4,8,16,32,64,128,256,512,1024,2048,4096,8192,16384,32768}),2))*{2,4,8,16,32,64,128,256,512,1024,2048,4096,8192,16384,32768}),{2,4,8,16,32,64,128,256,512,1024,2048,4096,8192,16384,32768})=0))))</f>
        <v/>
      </c>
      <c r="BY190">
        <f>BX190+IF(AND(BY100&gt;0,COUNTIF($Y100:BX100,BY100)=0),0,IF(SUMPRODUCT(MOD(INT(BY145/{2,4,8,16,32,64,128,256,512,1024,2048,4096,8192,16384,32768}),2)*(1-MOD(INT(($CJ10+BX190)/{2,4,8,16,32,64,128,256,512,1024,2048,4096,8192,16384,32768}),2))*{2,4,8,16,32,64,128,256,512,1024,2048,4096,8192,16384,32768})=0,0,2^SUMPRODUCT(--(MOD(SUMPRODUCT(MOD(INT(BY145/{2,4,8,16,32,64,128,256,512,1024,2048,4096,8192,16384,32768}),2)*(1-MOD(INT(($CJ10+BX190)/{2,4,8,16,32,64,128,256,512,1024,2048,4096,8192,16384,32768}),2))*{2,4,8,16,32,64,128,256,512,1024,2048,4096,8192,16384,32768}),{2,4,8,16,32,64,128,256,512,1024,2048,4096,8192,16384,32768})=0))))</f>
        <v/>
      </c>
      <c r="BZ190">
        <f>BY190+IF(AND(BZ100&gt;0,COUNTIF($Y100:BY100,BZ100)=0),0,IF(SUMPRODUCT(MOD(INT(BZ145/{2,4,8,16,32,64,128,256,512,1024,2048,4096,8192,16384,32768}),2)*(1-MOD(INT(($CJ10+BY190)/{2,4,8,16,32,64,128,256,512,1024,2048,4096,8192,16384,32768}),2))*{2,4,8,16,32,64,128,256,512,1024,2048,4096,8192,16384,32768})=0,0,2^SUMPRODUCT(--(MOD(SUMPRODUCT(MOD(INT(BZ145/{2,4,8,16,32,64,128,256,512,1024,2048,4096,8192,16384,32768}),2)*(1-MOD(INT(($CJ10+BY190)/{2,4,8,16,32,64,128,256,512,1024,2048,4096,8192,16384,32768}),2))*{2,4,8,16,32,64,128,256,512,1024,2048,4096,8192,16384,32768}),{2,4,8,16,32,64,128,256,512,1024,2048,4096,8192,16384,32768})=0))))</f>
        <v/>
      </c>
      <c r="CA190">
        <f>BZ190+IF(AND(CA100&gt;0,COUNTIF($Y100:BZ100,CA100)=0),0,IF(SUMPRODUCT(MOD(INT(CA145/{2,4,8,16,32,64,128,256,512,1024,2048,4096,8192,16384,32768}),2)*(1-MOD(INT(($CJ10+BZ190)/{2,4,8,16,32,64,128,256,512,1024,2048,4096,8192,16384,32768}),2))*{2,4,8,16,32,64,128,256,512,1024,2048,4096,8192,16384,32768})=0,0,2^SUMPRODUCT(--(MOD(SUMPRODUCT(MOD(INT(CA145/{2,4,8,16,32,64,128,256,512,1024,2048,4096,8192,16384,32768}),2)*(1-MOD(INT(($CJ10+BZ190)/{2,4,8,16,32,64,128,256,512,1024,2048,4096,8192,16384,32768}),2))*{2,4,8,16,32,64,128,256,512,1024,2048,4096,8192,16384,32768}),{2,4,8,16,32,64,128,256,512,1024,2048,4096,8192,16384,32768})=0))))</f>
        <v/>
      </c>
      <c r="CB190">
        <f>CA190+IF(AND(CB100&gt;0,COUNTIF($Y100:CA100,CB100)=0),0,IF(SUMPRODUCT(MOD(INT(CB145/{2,4,8,16,32,64,128,256,512,1024,2048,4096,8192,16384,32768}),2)*(1-MOD(INT(($CJ10+CA190)/{2,4,8,16,32,64,128,256,512,1024,2048,4096,8192,16384,32768}),2))*{2,4,8,16,32,64,128,256,512,1024,2048,4096,8192,16384,32768})=0,0,2^SUMPRODUCT(--(MOD(SUMPRODUCT(MOD(INT(CB145/{2,4,8,16,32,64,128,256,512,1024,2048,4096,8192,16384,32768}),2)*(1-MOD(INT(($CJ10+CA190)/{2,4,8,16,32,64,128,256,512,1024,2048,4096,8192,16384,32768}),2))*{2,4,8,16,32,64,128,256,512,1024,2048,4096,8192,16384,32768}),{2,4,8,16,32,64,128,256,512,1024,2048,4096,8192,16384,32768})=0))))</f>
        <v/>
      </c>
      <c r="CC190">
        <f>CB190+IF(AND(CC100&gt;0,COUNTIF($Y100:CB100,CC100)=0),0,IF(SUMPRODUCT(MOD(INT(CC145/{2,4,8,16,32,64,128,256,512,1024,2048,4096,8192,16384,32768}),2)*(1-MOD(INT(($CJ10+CB190)/{2,4,8,16,32,64,128,256,512,1024,2048,4096,8192,16384,32768}),2))*{2,4,8,16,32,64,128,256,512,1024,2048,4096,8192,16384,32768})=0,0,2^SUMPRODUCT(--(MOD(SUMPRODUCT(MOD(INT(CC145/{2,4,8,16,32,64,128,256,512,1024,2048,4096,8192,16384,32768}),2)*(1-MOD(INT(($CJ10+CB190)/{2,4,8,16,32,64,128,256,512,1024,2048,4096,8192,16384,32768}),2))*{2,4,8,16,32,64,128,256,512,1024,2048,4096,8192,16384,32768}),{2,4,8,16,32,64,128,256,512,1024,2048,4096,8192,16384,32768})=0))))</f>
        <v/>
      </c>
      <c r="CD190">
        <f>CC190+IF(AND(CD100&gt;0,COUNTIF($Y100:CC100,CD100)=0),0,IF(SUMPRODUCT(MOD(INT(CD145/{2,4,8,16,32,64,128,256,512,1024,2048,4096,8192,16384,32768}),2)*(1-MOD(INT(($CJ10+CC190)/{2,4,8,16,32,64,128,256,512,1024,2048,4096,8192,16384,32768}),2))*{2,4,8,16,32,64,128,256,512,1024,2048,4096,8192,16384,32768})=0,0,2^SUMPRODUCT(--(MOD(SUMPRODUCT(MOD(INT(CD145/{2,4,8,16,32,64,128,256,512,1024,2048,4096,8192,16384,32768}),2)*(1-MOD(INT(($CJ10+CC190)/{2,4,8,16,32,64,128,256,512,1024,2048,4096,8192,16384,32768}),2))*{2,4,8,16,32,64,128,256,512,1024,2048,4096,8192,16384,32768}),{2,4,8,16,32,64,128,256,512,1024,2048,4096,8192,16384,32768})=0))))</f>
        <v/>
      </c>
      <c r="CE190">
        <f>CD190+IF(AND(CE100&gt;0,COUNTIF($Y100:CD100,CE100)=0),0,IF(SUMPRODUCT(MOD(INT(CE145/{2,4,8,16,32,64,128,256,512,1024,2048,4096,8192,16384,32768}),2)*(1-MOD(INT(($CJ10+CD190)/{2,4,8,16,32,64,128,256,512,1024,2048,4096,8192,16384,32768}),2))*{2,4,8,16,32,64,128,256,512,1024,2048,4096,8192,16384,32768})=0,0,2^SUMPRODUCT(--(MOD(SUMPRODUCT(MOD(INT(CE145/{2,4,8,16,32,64,128,256,512,1024,2048,4096,8192,16384,32768}),2)*(1-MOD(INT(($CJ10+CD190)/{2,4,8,16,32,64,128,256,512,1024,2048,4096,8192,16384,32768}),2))*{2,4,8,16,32,64,128,256,512,1024,2048,4096,8192,16384,32768}),{2,4,8,16,32,64,128,256,512,1024,2048,4096,8192,16384,32768})=0))))</f>
        <v/>
      </c>
      <c r="CF190">
        <f>CE190+IF(AND(CF100&gt;0,COUNTIF($Y100:CE100,CF100)=0),0,IF(SUMPRODUCT(MOD(INT(CF145/{2,4,8,16,32,64,128,256,512,1024,2048,4096,8192,16384,32768}),2)*(1-MOD(INT(($CJ10+CE190)/{2,4,8,16,32,64,128,256,512,1024,2048,4096,8192,16384,32768}),2))*{2,4,8,16,32,64,128,256,512,1024,2048,4096,8192,16384,32768})=0,0,2^SUMPRODUCT(--(MOD(SUMPRODUCT(MOD(INT(CF145/{2,4,8,16,32,64,128,256,512,1024,2048,4096,8192,16384,32768}),2)*(1-MOD(INT(($CJ10+CE190)/{2,4,8,16,32,64,128,256,512,1024,2048,4096,8192,16384,32768}),2))*{2,4,8,16,32,64,128,256,512,1024,2048,4096,8192,16384,32768}),{2,4,8,16,32,64,128,256,512,1024,2048,4096,8192,16384,32768})=0))))</f>
        <v/>
      </c>
      <c r="DA190" t="n">
        <v>186</v>
      </c>
      <c r="DB190">
        <f>IF($B$37=0,"",IFERROR(TRIM(SUBSTITUTE(SUBSTITUTE(SUBSTITUTE(SUBSTITUTE(INDEX(PASTE_ALL,186,$B$37)," "," "),CHAR(9)," "),CHAR(10)," "),CHAR(13)," ")),""))</f>
        <v/>
      </c>
      <c r="DC190">
        <f>IF(AND(186&gt;HEADER_ROW,UPPER(DB190)="LEGEND"),1,0)</f>
        <v/>
      </c>
      <c r="DE190" t="n">
        <v>186</v>
      </c>
      <c r="DF190">
        <f>HEADER_ROW+$DE190</f>
        <v/>
      </c>
      <c r="DG190">
        <f>IF(AND($DF190&lt;=1000,$DF190&lt;$B$8),1,0)</f>
        <v/>
      </c>
      <c r="DH190">
        <f>IF($DG190=1,IFERROR(INDEX($DB$5:$DB$1004,$DF190),""),"")</f>
        <v/>
      </c>
      <c r="DI190">
        <f>IF(AND($DG190=1,$DH190&lt;&gt;""),IFERROR(SUBSTITUTE(SUBSTITUTE(TRIM(SUBSTITUTE(SUBSTITUTE(SUBSTITUTE(SUBSTITUTE(IFERROR(INDEX(PASTE_ALL,$DF190,1)&amp;"","")&amp;"␟"&amp;IFERROR(INDEX(PASTE_ALL,$DF190,2)&amp;"","")&amp;"␟"&amp;IFERROR(INDEX(PASTE_ALL,$DF190,3)&amp;"","")&amp;"␟"&amp;IFERROR(INDEX(PASTE_ALL,$DF190,4)&amp;"","")&amp;"␟"&amp;IFERROR(INDEX(PASTE_ALL,$DF190,5)&amp;"","")&amp;"␟"&amp;IFERROR(INDEX(PASTE_ALL,$DF190,6)&amp;"","")&amp;"␟"&amp;IFERROR(INDEX(PASTE_ALL,$DF190,7)&amp;"","")&amp;"␟"&amp;IFERROR(INDEX(PASTE_ALL,$DF190,8)&amp;"","")&amp;"␟"&amp;IFERROR(INDEX(PASTE_ALL,$DF190,9)&amp;"","")&amp;"␟"&amp;IFERROR(INDEX(PASTE_ALL,$DF190,10)&amp;"","")&amp;"␟"&amp;IFERROR(INDEX(PASTE_ALL,$DF190,11)&amp;"","")&amp;"␟"&amp;IFERROR(INDEX(PASTE_ALL,$DF190,12)&amp;"","")&amp;"␟"&amp;IFERROR(INDEX(PASTE_ALL,$DF190,13)&amp;"","")&amp;"␟"&amp;IFERROR(INDEX(PASTE_ALL,$DF190,14)&amp;"","")&amp;"␟"&amp;IFERROR(INDEX(PASTE_ALL,$DF190,15)&amp;"","")&amp;"␟"&amp;IFERROR(INDEX(PASTE_ALL,$DF190,16)&amp;"","")&amp;"␟"&amp;IFERROR(INDEX(PASTE_ALL,$DF190,17)&amp;"","")&amp;"␟"&amp;IFERROR(INDEX(PASTE_ALL,$DF190,18)&amp;"","")&amp;"␟"&amp;IFERROR(INDEX(PASTE_ALL,$DF190,19)&amp;"","")&amp;"␟"&amp;IFERROR(INDEX(PASTE_ALL,$DF190,20)&amp;"","")&amp;"␟"&amp;IFERROR(INDEX(PASTE_ALL,$DF190,21)&amp;"","")&amp;"␟"&amp;IFERROR(INDEX(PASTE_ALL,$DF190,22)&amp;"","")&amp;"␟"&amp;IFERROR(INDEX(PASTE_ALL,$DF190,23)&amp;"","")&amp;"␟"&amp;IFERROR(INDEX(PASTE_ALL,$DF190,24)&amp;"","")&amp;"␟"&amp;IFERROR(INDEX(PASTE_ALL,$DF190,25)&amp;"","")&amp;"␟"&amp;IFERROR(INDEX(PASTE_ALL,$DF190,26)&amp;"","")&amp;"␟"&amp;IFERROR(INDEX(PASTE_ALL,$DF190,27)&amp;"","")&amp;"␟"&amp;IFERROR(INDEX(PASTE_ALL,$DF190,28)&amp;"","")&amp;"␟"&amp;IFERROR(INDEX(PASTE_ALL,$DF190,29)&amp;"","")&amp;"␟"&amp;IFERROR(INDEX(PASTE_ALL,$DF190,30)&amp;"","")&amp;"␟"&amp;IFERROR(INDEX(PASTE_ALL,$DF190,31)&amp;"","")&amp;"␟"&amp;IFERROR(INDEX(PASTE_ALL,$DF190,32)&amp;"","")&amp;"␟"&amp;IFERROR(INDEX(PASTE_ALL,$DF190,33)&amp;"","")&amp;"␟"&amp;IFERROR(INDEX(PASTE_ALL,$DF190,34)&amp;"","")&amp;"␟"&amp;IFERROR(INDEX(PASTE_ALL,$DF190,35)&amp;"","")&amp;"␟"&amp;IFERROR(INDEX(PASTE_ALL,$DF190,36)&amp;"","")&amp;"␟"&amp;IFERROR(INDEX(PASTE_ALL,$DF190,37)&amp;"","")&amp;"␟"&amp;IFERROR(INDEX(PASTE_ALL,$DF190,38)&amp;"","")&amp;"␟"&amp;IFERROR(INDEX(PASTE_ALL,$DF190,39)&amp;"","")&amp;"␟"&amp;IFERROR(INDEX(PASTE_ALL,$DF190,40)&amp;"","")&amp;"␟"&amp;IFERROR(INDEX(PASTE_ALL,$DF190,41)&amp;"","")&amp;"␟"&amp;IFERROR(INDEX(PASTE_ALL,$DF190,42)&amp;"","")&amp;"␟"&amp;IFERROR(INDEX(PASTE_ALL,$DF190,43)&amp;"","")&amp;"␟"&amp;IFERROR(INDEX(PASTE_ALL,$DF190,44)&amp;"","")&amp;"␟"&amp;IFERROR(INDEX(PASTE_ALL,$DF190,45)&amp;"","")&amp;"␟"&amp;IFERROR(INDEX(PASTE_ALL,$DF190,46)&amp;"","")&amp;"␟"&amp;IFERROR(INDEX(PASTE_ALL,$DF190,47)&amp;"","")&amp;"␟"&amp;IFERROR(INDEX(PASTE_ALL,$DF190,48)&amp;"","")&amp;"␟"&amp;IFERROR(INDEX(PASTE_ALL,$DF190,49)&amp;"","")&amp;"␟"&amp;IFERROR(INDEX(PASTE_ALL,$DF190,50)&amp;"","")&amp;"␟"&amp;IFERROR(INDEX(PASTE_ALL,$DF190,51)&amp;"","")&amp;"␟"&amp;IFERROR(INDEX(PASTE_ALL,$DF190,52)&amp;"","")&amp;"␟"&amp;IFERROR(INDEX(PASTE_ALL,$DF190,53)&amp;"","")&amp;"␟"&amp;IFERROR(INDEX(PASTE_ALL,$DF190,54)&amp;"","")&amp;"␟"&amp;IFERROR(INDEX(PASTE_ALL,$DF190,55)&amp;"","")&amp;"␟"&amp;IFERROR(INDEX(PASTE_ALL,$DF190,56)&amp;"","")&amp;"␟"&amp;IFERROR(INDEX(PASTE_ALL,$DF190,57)&amp;"","")&amp;"␟"&amp;IFERROR(INDEX(PASTE_ALL,$DF190,58)&amp;"","")&amp;"␟"&amp;IFERROR(INDEX(PASTE_ALL,$DF190,59)&amp;"","")&amp;"␟"&amp;IFERROR(INDEX(PASTE_ALL,$DF190,60)&amp;"","")," "," "),CHAR(9)," "),CHAR(10)," "),CHAR(13)," "))," ␟","␟"),"␟ ","␟"),"#"&amp;$DE190),"")</f>
        <v/>
      </c>
      <c r="DJ190">
        <f>IF($DI190="",0,IF(SUMPRODUCT(--EXACT($DI$4:DI189,$DI190))&gt;0,1,0))</f>
        <v/>
      </c>
      <c r="DK190">
        <f>IF(AND($DI190&lt;&gt;"",$DJ190=0),1,0)</f>
        <v/>
      </c>
      <c r="DL190">
        <f>DL189+$DK190</f>
        <v/>
      </c>
      <c r="DM190">
        <f>IF(AND($DK190=1,$DL190&lt;=600),1,0)</f>
        <v/>
      </c>
      <c r="DN190">
        <f>IF($DM190=0,"",IF($L$6=0,"",IFERROR(IF(ISNUMBER(INDEX(PASTE_ALL,$DF190,$L$6)),INDEX(PASTE_ALL,$DF190,$L$6),TRIM(SUBSTITUTE(SUBSTITUTE(SUBSTITUTE(SUBSTITUTE(INDEX(PASTE_ALL,$DF190,$L$6)," "," "),CHAR(9)," "),CHAR(10)," "),CHAR(13)," "))),"")))</f>
        <v/>
      </c>
      <c r="DO190">
        <f>IF($DM190=0,"",IF($L$7=0,"",IFERROR(IF(ISNUMBER(INDEX(PASTE_ALL,$DF190,$L$7)),INDEX(PASTE_ALL,$DF190,$L$7),TRIM(SUBSTITUTE(SUBSTITUTE(SUBSTITUTE(SUBSTITUTE(INDEX(PASTE_ALL,$DF190,$L$7)," "," "),CHAR(9)," "),CHAR(10)," "),CHAR(13)," "))),"")))</f>
        <v/>
      </c>
      <c r="DP190">
        <f>IF($DM190=0,"",IF($L$8=0,"",IFERROR(IF(ISNUMBER(INDEX(PASTE_ALL,$DF190,$L$8)),INDEX(PASTE_ALL,$DF190,$L$8),TRIM(SUBSTITUTE(SUBSTITUTE(SUBSTITUTE(SUBSTITUTE(INDEX(PASTE_ALL,$DF190,$L$8)," "," "),CHAR(9)," "),CHAR(10)," "),CHAR(13)," "))),"")))</f>
        <v/>
      </c>
      <c r="DQ190">
        <f>IF($DM190=0,"",IF($L$9=0,"",IFERROR(IF(ISNUMBER(INDEX(PASTE_ALL,$DF190,$L$9)),INDEX(PASTE_ALL,$DF190,$L$9),TRIM(SUBSTITUTE(SUBSTITUTE(SUBSTITUTE(SUBSTITUTE(INDEX(PASTE_ALL,$DF190,$L$9)," "," "),CHAR(9)," "),CHAR(10)," "),CHAR(13)," "))),"")))</f>
        <v/>
      </c>
      <c r="DR190">
        <f>IF($DM190=0,"",IF($L$10=0,"",IFERROR(IF(ISNUMBER(INDEX(PASTE_ALL,$DF190,$L$10)),INDEX(PASTE_ALL,$DF190,$L$10),TRIM(SUBSTITUTE(SUBSTITUTE(SUBSTITUTE(SUBSTITUTE(INDEX(PASTE_ALL,$DF190,$L$10)," "," "),CHAR(9)," "),CHAR(10)," "),CHAR(13)," "))),"")))</f>
        <v/>
      </c>
      <c r="DS190">
        <f>IF($DM190=0,"",IF($L$11=0,"",IFERROR(IF(ISNUMBER(INDEX(PASTE_ALL,$DF190,$L$11)),INDEX(PASTE_ALL,$DF190,$L$11),TRIM(SUBSTITUTE(SUBSTITUTE(SUBSTITUTE(SUBSTITUTE(INDEX(PASTE_ALL,$DF190,$L$11)," "," "),CHAR(9)," "),CHAR(10)," "),CHAR(13)," "))),"")))</f>
        <v/>
      </c>
      <c r="DT190">
        <f>IF($DM190=0,"",IF($L$12=0,"",IFERROR(IF(ISNUMBER(INDEX(PASTE_ALL,$DF190,$L$12)),INDEX(PASTE_ALL,$DF190,$L$12),TRIM(SUBSTITUTE(SUBSTITUTE(SUBSTITUTE(SUBSTITUTE(INDEX(PASTE_ALL,$DF190,$L$12)," "," "),CHAR(9)," "),CHAR(10)," "),CHAR(13)," "))),"")))</f>
        <v/>
      </c>
      <c r="DU190">
        <f>IF($DM190=0,"",IF($L$13=0,"",IFERROR(IF(ISNUMBER(INDEX(PASTE_ALL,$DF190,$L$13)),INDEX(PASTE_ALL,$DF190,$L$13),TRIM(SUBSTITUTE(SUBSTITUTE(SUBSTITUTE(SUBSTITUTE(INDEX(PASTE_ALL,$DF190,$L$13)," "," "),CHAR(9)," "),CHAR(10)," "),CHAR(13)," "))),"")))</f>
        <v/>
      </c>
      <c r="DV190">
        <f>IF($DM190=0,"",IF($L$14=0,"",IFERROR(IF(ISNUMBER(INDEX(PASTE_ALL,$DF190,$L$14)),INDEX(PASTE_ALL,$DF190,$L$14),TRIM(SUBSTITUTE(SUBSTITUTE(SUBSTITUTE(SUBSTITUTE(INDEX(PASTE_ALL,$DF190,$L$14)," "," "),CHAR(9)," "),CHAR(10)," "),CHAR(13)," "))),"")))</f>
        <v/>
      </c>
      <c r="DW190">
        <f>IF($DM190=0,"",IF($L$15=0,"",IFERROR(IF(ISNUMBER(INDEX(PASTE_ALL,$DF190,$L$15)),INDEX(PASTE_ALL,$DF190,$L$15),IF(SUMPRODUCT(--ISNUMBER(FIND({"A","B","C","D","E","F","G","H","I","J","K","L","M","N","O","P","Q","R","S","T","U","V","W","X","Y","Z","0","1","2","3","4","5","6","7","8","9"},UPPER(TRIM(SUBSTITUTE(SUBSTITUTE(SUBSTITUTE(SUBSTITUTE(INDEX(PASTE_ALL,$DF190,$L$15)," "," "),CHAR(9)," "),CHAR(10)," "),CHAR(13)," "))))))&gt;0,TRIM(SUBSTITUTE(SUBSTITUTE(SUBSTITUTE(SUBSTITUTE(INDEX(PASTE_ALL,$DF190,$L$15)," "," "),CHAR(9)," "),CHAR(10)," "),CHAR(13)," ")),"")),"")))</f>
        <v/>
      </c>
      <c r="DX190">
        <f>IF($DM190=0,"",IF($L$16=0,"",IFERROR(IF(ISNUMBER(INDEX(PASTE_ALL,$DF190,$L$16)),INDEX(PASTE_ALL,$DF190,$L$16),SUBSTITUTE(SUBSTITUTE(TRIM(SUBSTITUTE(SUBSTITUTE(SUBSTITUTE(SUBSTITUTE(INDEX(PASTE_ALL,$DF190,$L$16)," "," "),CHAR(9)," "),CHAR(10)," "),CHAR(13)," ")),",",""),"%","")),"")))</f>
        <v/>
      </c>
      <c r="DY190">
        <f>IF($DM190=0,"",IFERROR(IF(ISNUMBER($DX190),$DX190,IF($DX190="","",IF(TRIM($DX190)="",0,IF(AND(AND(SUBSTITUTE(SUBSTITUTE(SUBSTITUTE(SUBSTITUTE(SUBSTITUTE(SUBSTITUTE(SUBSTITUTE(SUBSTITUTE(SUBSTITUTE(SUBSTITUTE(SUBSTITUTE(SUBSTITUTE(SUBSTITUTE(SUBSTITUTE(UPPER(TRIM($DX190)),"0",""),"1",""),"2",""),"3",""),"4",""),"5",""),"6",""),"7",""),"8",""),"9",""),".",""),"+",""),"-",""),"E","")="",LEN(SUBSTITUTE(SUBSTITUTE(MID(UPPER(TRIM($DX190)),1+OR(LEFT(UPPER(TRIM($DX190)),1)="+",LEFT(UPPER(TRIM($DX190)),1)="-"),999),"E+","E"),"E-","E"))=LEN(SUBSTITUTE(SUBSTITUTE(SUBSTITUTE(SUBSTITUTE(MID(UPPER(TRIM($DX190)),1+OR(LEFT(UPPER(TRIM($DX190)),1)="+",LEFT(UPPER(TRIM($DX190)),1)="-"),999),"E+","E"),"E-","E"),"+",""),"-","")),LEN(UPPER(TRIM($DX190)))-LEN(SUBSTITUTE(UPPER(TRIM($DX190)),"E",""))&lt;2,LEN(UPPER(TRIM($DX190)))-LEN(SUBSTITUTE(UPPER(TRIM($DX190)),".",""))&lt;2,IFERROR(FIND(".",UPPER(TRIM($DX190))),0)&lt;IFERROR(FIND("E",UPPER(TRIM($DX190))),999)),ISNUMBER(VALUE(TRIM($DX190)))),VALUE(TRIM($DX190)),"")))),""))</f>
        <v/>
      </c>
      <c r="DZ190">
        <f>IF($DM190=0,"",IF($L$17=0,"",IFERROR(IF(ISNUMBER(INDEX(PASTE_ALL,$DF190,$L$17)),INDEX(PASTE_ALL,$DF190,$L$17),SUBSTITUTE(SUBSTITUTE(TRIM(SUBSTITUTE(SUBSTITUTE(SUBSTITUTE(SUBSTITUTE(INDEX(PASTE_ALL,$DF190,$L$17)," "," "),CHAR(9)," "),CHAR(10)," "),CHAR(13)," ")),",",""),"%","")),"")))</f>
        <v/>
      </c>
      <c r="EA190">
        <f>IF($DM190=0,"",IFERROR(IF(ISNUMBER($DZ190),$DZ190,IF($DZ190="","",IF(TRIM($DZ190)="",0,IF(AND(AND(SUBSTITUTE(SUBSTITUTE(SUBSTITUTE(SUBSTITUTE(SUBSTITUTE(SUBSTITUTE(SUBSTITUTE(SUBSTITUTE(SUBSTITUTE(SUBSTITUTE(SUBSTITUTE(SUBSTITUTE(SUBSTITUTE(SUBSTITUTE(UPPER(TRIM($DZ190)),"0",""),"1",""),"2",""),"3",""),"4",""),"5",""),"6",""),"7",""),"8",""),"9",""),".",""),"+",""),"-",""),"E","")="",LEN(SUBSTITUTE(SUBSTITUTE(MID(UPPER(TRIM($DZ190)),1+OR(LEFT(UPPER(TRIM($DZ190)),1)="+",LEFT(UPPER(TRIM($DZ190)),1)="-"),999),"E+","E"),"E-","E"))=LEN(SUBSTITUTE(SUBSTITUTE(SUBSTITUTE(SUBSTITUTE(MID(UPPER(TRIM($DZ190)),1+OR(LEFT(UPPER(TRIM($DZ190)),1)="+",LEFT(UPPER(TRIM($DZ190)),1)="-"),999),"E+","E"),"E-","E"),"+",""),"-","")),LEN(UPPER(TRIM($DZ190)))-LEN(SUBSTITUTE(UPPER(TRIM($DZ190)),"E",""))&lt;2,LEN(UPPER(TRIM($DZ190)))-LEN(SUBSTITUTE(UPPER(TRIM($DZ190)),".",""))&lt;2,IFERROR(FIND(".",UPPER(TRIM($DZ190))),0)&lt;IFERROR(FIND("E",UPPER(TRIM($DZ190))),999)),ISNUMBER(VALUE(TRIM($DZ190)))),VALUE(TRIM($DZ190)),"")))),""))</f>
        <v/>
      </c>
      <c r="EB190">
        <f>IF($DM190=0,"",IF($L$18=0,"",IFERROR(IF(UPPER(TRIM(SUBSTITUTE(SUBSTITUTE(SUBSTITUTE(SUBSTITUTE(INDEX(PASTE_ALL,$DF190,$L$18)," "," "),CHAR(9)," "),CHAR(10)," "),CHAR(13)," ")))="READY","Ready",IF(UPPER(TRIM(SUBSTITUTE(SUBSTITUTE(SUBSTITUTE(SUBSTITUTE(INDEX(PASTE_ALL,$DF190,$L$18)," "," "),CHAR(9)," "),CHAR(10)," "),CHAR(13)," ")))="PM","PM",IF(OR(UPPER(TRIM(SUBSTITUTE(SUBSTITUTE(SUBSTITUTE(SUBSTITUTE(INDEX(PASTE_ALL,$DF190,$L$18)," "," "),CHAR(9)," "),CHAR(10)," "),CHAR(13)," ")))="OT",UPPER(TRIM(SUBSTITUTE(SUBSTITUTE(SUBSTITUTE(SUBSTITUTE(INDEX(PASTE_ALL,$DF190,$L$18)," "," "),CHAR(9)," "),CHAR(10)," "),CHAR(13)," ")))="OVERTIME",UPPER(TRIM(SUBSTITUTE(SUBSTITUTE(SUBSTITUTE(SUBSTITUTE(INDEX(PASTE_ALL,$DF190,$L$18)," "," "),CHAR(9)," "),CHAR(10)," "),CHAR(13)," ")))="TRIAL"),"OT",TRIM(SUBSTITUTE(SUBSTITUTE(SUBSTITUTE(SUBSTITUTE(INDEX(PASTE_ALL,$DF190,$L$18)," "," "),CHAR(9)," "),CHAR(10)," "),CHAR(13)," "))))),"")))</f>
        <v/>
      </c>
      <c r="EC190">
        <f>IF($DM190=0,"",IF($L$19=0,"",IFERROR(IF(ISNUMBER(INDEX(PASTE_ALL,$DF190,$L$19)),INDEX(PASTE_ALL,$DF190,$L$19),TRIM(SUBSTITUTE(SUBSTITUTE(SUBSTITUTE(SUBSTITUTE(INDEX(PASTE_ALL,$DF190,$L$19)," "," "),CHAR(9)," "),CHAR(10)," "),CHAR(13)," "))),"")))</f>
        <v/>
      </c>
      <c r="ED190">
        <f>IF($DM190=0,"",MATCH(1,INDEX(EXACT($DH$5:DH190,$DH190)*$DM$5:DM190,0),0))</f>
        <v/>
      </c>
      <c r="EE190">
        <f>IF($DM190=0,0,IF($ED190=$DE190,1,0))</f>
        <v/>
      </c>
      <c r="EF190">
        <f>EF189+$EE190</f>
        <v/>
      </c>
      <c r="EG190">
        <f>IF($DM190=0,"",INDEX($EF$5:$EF$1003,$ED190))</f>
        <v/>
      </c>
      <c r="EH190">
        <f>IF($DM190=0,"",IF($DO190&lt;&gt;"","",IFERROR(LOOKUP(2,1/(($EG$4:EG189=$EG190)*($DO$4:DO189&lt;&gt;"")),$DO$4:DO189),"")))</f>
        <v/>
      </c>
      <c r="EI190">
        <f>IF($DM190=0,"",IF($DO190&lt;&gt;"",$DO190,$EH190))</f>
        <v/>
      </c>
      <c r="EJ190">
        <f>IF($DM190=0,"",IF($EI190="",0,IF(OR(ISNUMBER($EI190),AND(AND(SUBSTITUTE(SUBSTITUTE(SUBSTITUTE(SUBSTITUTE(SUBSTITUTE(SUBSTITUTE(SUBSTITUTE(SUBSTITUTE(SUBSTITUTE(SUBSTITUTE(SUBSTITUTE(SUBSTITUTE(SUBSTITUTE(SUBSTITUTE(UPPER($EI190),"0",""),"1",""),"2",""),"3",""),"4",""),"5",""),"6",""),"7",""),"8",""),"9",""),".",""),"+",""),"-",""),"E","")="",LEN(SUBSTITUTE(SUBSTITUTE(MID(UPPER($EI190),1+OR(LEFT(UPPER($EI190),1)="+",LEFT(UPPER($EI190),1)="-"),999),"E+","E"),"E-","E"))=LEN(SUBSTITUTE(SUBSTITUTE(SUBSTITUTE(SUBSTITUTE(MID(UPPER($EI190),1+OR(LEFT(UPPER($EI190),1)="+",LEFT(UPPER($EI190),1)="-"),999),"E+","E"),"E-","E"),"+",""),"-","")),LEN(UPPER($EI190))-LEN(SUBSTITUTE(UPPER($EI190),"E",""))&lt;2,LEN(UPPER($EI190))-LEN(SUBSTITUTE(UPPER($EI190),".",""))&lt;2,IFERROR(FIND(".",UPPER($EI190)),0)&lt;IFERROR(FIND("E",UPPER($EI190)),999)),ISNUMBER(VALUE($EI190)))),1,2)))</f>
        <v/>
      </c>
      <c r="EK190">
        <f>IF($DM190=0,"",IF($EJ190=1,IF(ISNUMBER($EI190),$EI190,VALUE($EI190)),IF($EJ190=2,$DE190,0)))</f>
        <v/>
      </c>
      <c r="EL190">
        <f>IF($DM190=0,"",COUNTIF($EG$5:$EG$1003,"&lt;"&amp;$EG190)+SUMPRODUCT(($EG$5:$EG$1003=$EG190)*(($EJ$5:$EJ$1003&lt;$EJ190)+($EJ$5:$EJ$1003=$EJ190)*(($EK$5:$EK$1003&lt;$EK190)+($EK$5:$EK$1003=$EK190)*($DE$5:$DE$1003&lt;$DE190))))+1)</f>
        <v/>
      </c>
      <c r="EM190">
        <f>IF($DM190=0,"",$EL190+$EG190-1)</f>
        <v/>
      </c>
      <c r="EN190">
        <f>IF($DM190=0,0,IFERROR(MATCH(1,INDEX(--(TRIM(SUBSTITUTE(SUBSTITUTE(SUBSTITUTE(SUBSTITUTE(LINES_NAME&amp;""," "," "),CHAR(9)," "),CHAR(10)," "),CHAR(13)," "))=$DH190),0),0),0))</f>
        <v/>
      </c>
      <c r="EO190">
        <f>IF($EN190=0,0,IF(OR(UPPER(TRIM(INDEX(LINES_SCHEDULED,$EN190)&amp;""))="YES",UPPER(TRIM(INDEX(LINES_SCHEDULED,$EN190)&amp;""))="Y",UPPER(TRIM(INDEX(LINES_SCHEDULED,$EN190)&amp;""))="X"),1,0))</f>
        <v/>
      </c>
      <c r="EP190">
        <f>IF($DM190=0,"",IF(COUNTIFS($EG$5:$EG$1003,$EG190,$EB$5:$EB$1003,"Ready")&gt;0,"READY",IF(COUNTIFS($EG$5:$EG$1003,$EG190,$EB$5:$EB$1003,"PM")&gt;0,"PM",IF(COUNTIFS($EG$5:$EG$1003,$EG190,$EB$5:$EB$1003,"OT")&gt;0,"OT",""))))</f>
        <v/>
      </c>
      <c r="EQ190">
        <f>IF($EN190=0,"",UPPER(TRIM(INDEX(LINES_STATUS,$EN190)&amp;"")))</f>
        <v/>
      </c>
      <c r="ER190">
        <f>IF($DM190=0,"",IF(OR($EQ190="READY",$EQ190="PM",$EQ190="OT"),$EQ190,$EP190))</f>
        <v/>
      </c>
      <c r="ES190">
        <f>IF($DM190=0,"",IF(AND($DV190&lt;&gt;"",UPPER($DV190)&lt;&gt;"N"),"allergen",IF(ISNUMBER(SEARCH("oil",$DQ190)),"oil",IF(OR(EXACT($DS190,"A662"),EXACT($DS190,"A624")),"bulk",""))))</f>
        <v/>
      </c>
      <c r="ET190">
        <f>IF($DM190=0,"",IF(OR($EA190="",$EA190=0),"",$EA190/100))</f>
        <v/>
      </c>
      <c r="EU190">
        <f>IF(OR($ET190="",$DY190=""),"",INT($DY190*(1-$ET190)+0.5))</f>
        <v/>
      </c>
      <c r="EW190" t="n">
        <v>186</v>
      </c>
      <c r="EX190">
        <f>IFERROR(MATCH($EW190,$EM$5:$EM$1003,0),0)</f>
        <v/>
      </c>
      <c r="EY190">
        <f>IF($EW190&gt;$B$12,"",IF($EX190&gt;0,"row","spacer"))</f>
        <v/>
      </c>
      <c r="EZ190">
        <f>IF(AND($EY190="row",$EY189&lt;&gt;"row"),1,0)</f>
        <v/>
      </c>
      <c r="FA190">
        <f>IF(AND($EY190="row",$EY191&lt;&gt;"row"),1,0)</f>
        <v/>
      </c>
      <c r="FB190">
        <f>IF($EZ190=1,IFERROR(IF(ISNUMBER(INDEX(PASTE_ALL,INDEX($DF$5:$DF$1003,$EX190),$B$37)),INDEX(PASTE_ALL,INDEX($DF$5:$DF$1003,$EX190),$B$37),INDEX($DH$5:$DH$1003,$EX190)),INDEX($DH$5:$DH$1003,$EX190)),"")</f>
        <v/>
      </c>
      <c r="FC190">
        <f>IF($EY190="row",INDEX($ER$5:$ER$1003,$EX190),"")</f>
        <v/>
      </c>
      <c r="FD190">
        <f>IF($EY190="row",INDEX($DN$5:$DN$1003,$EX190),"")</f>
        <v/>
      </c>
      <c r="FE190">
        <f>IF($EY190="row",INDEX($DO$5:$DO$1003,$EX190),"")</f>
        <v/>
      </c>
      <c r="FF190">
        <f>IF($EY190="row",INDEX($DP$5:$DP$1003,$EX190),"")</f>
        <v/>
      </c>
      <c r="FG190">
        <f>IF($EY190="row",INDEX($DQ$5:$DQ$1003,$EX190),"")</f>
        <v/>
      </c>
      <c r="FH190">
        <f>IF($EY190="row",INDEX($DR$5:$DR$1003,$EX190),"")</f>
        <v/>
      </c>
      <c r="FI190">
        <f>IF($EY190="row",INDEX($DS$5:$DS$1003,$EX190),"")</f>
        <v/>
      </c>
      <c r="FJ190">
        <f>IF($EY190="row",INDEX($DT$5:$DT$1003,$EX190),"")</f>
        <v/>
      </c>
      <c r="FK190">
        <f>IF($EY190="row",INDEX($DU$5:$DU$1003,$EX190),"")</f>
        <v/>
      </c>
      <c r="FL190">
        <f>IF($EY190="row",INDEX($DV$5:$DV$1003,$EX190),"")</f>
        <v/>
      </c>
      <c r="FM190">
        <f>IF($EY190="row",INDEX($DW$5:$DW$1003,$EX190),"")</f>
        <v/>
      </c>
      <c r="FN190">
        <f>IF($EY190="row",INDEX($DY$5:$DY$1003,$EX190),"")</f>
        <v/>
      </c>
      <c r="FO190">
        <f>IF($EY190="row",INDEX($EA$5:$EA$1003,$EX190),"")</f>
        <v/>
      </c>
      <c r="FP190">
        <f>IF($EY190="row",INDEX($EC$5:$EC$1003,$EX190),"")</f>
        <v/>
      </c>
      <c r="FQ190">
        <f>IF($EY190="row",INDEX($ET$5:$ET$1003,$EX190),"")</f>
        <v/>
      </c>
      <c r="FR190">
        <f>IF($EY190="row",INDEX($EU$5:$EU$1003,$EX190),"")</f>
        <v/>
      </c>
      <c r="FS190">
        <f>IF(AND($EY190="row",$EY189="row"),IF(OR(INDEX($DT$5:$DT$1003,$EX189)="",INDEX($DT$5:$DT$1003,$EX190)=""),"",IF(NOT(EXACT(INDEX($DT$5:$DT$1003,$EX189),INDEX($DT$5:$DT$1003,$EX190))),"S4",IF(NOT(EXACT(INDEX($DS$5:$DS$1003,$EX189),INDEX($DS$5:$DS$1003,$EX190))),"S3",IF(NOT(EXACT(INDEX($DR$5:$DR$1003,$EX189),INDEX($DR$5:$DR$1003,$EX190))),"S1 Count Change","S1")))),"")</f>
        <v/>
      </c>
      <c r="FT190">
        <f>IF($EY190="row",INDEX($ES$5:$ES$1003,$EX190),"")</f>
        <v/>
      </c>
      <c r="FU190">
        <f>IF($EY190="row",INDEX($EO$5:$EO$1003,$EX190),0)</f>
        <v/>
      </c>
      <c r="FV190">
        <f>IF($FS190="S1 Count Change",1,0)</f>
        <v/>
      </c>
    </row>
    <row r="191">
      <c r="Y191">
        <f>0+IF(Y101&gt;0,0,IF(SUMPRODUCT(MOD(INT(Y146/{2,4,8,16,32,64,128,256,512,1024,2048,4096,8192,16384,32768}),2)*(1-MOD(INT(($CJ11+0)/{2,4,8,16,32,64,128,256,512,1024,2048,4096,8192,16384,32768}),2))*{2,4,8,16,32,64,128,256,512,1024,2048,4096,8192,16384,32768})=0,0,2^SUMPRODUCT(--(MOD(SUMPRODUCT(MOD(INT(Y146/{2,4,8,16,32,64,128,256,512,1024,2048,4096,8192,16384,32768}),2)*(1-MOD(INT(($CJ11+0)/{2,4,8,16,32,64,128,256,512,1024,2048,4096,8192,16384,32768}),2))*{2,4,8,16,32,64,128,256,512,1024,2048,4096,8192,16384,32768}),{2,4,8,16,32,64,128,256,512,1024,2048,4096,8192,16384,32768})=0))))</f>
        <v/>
      </c>
      <c r="Z191">
        <f>Y191+IF(AND(Z101&gt;0,COUNTIF($Y101:Y101,Z101)=0),0,IF(SUMPRODUCT(MOD(INT(Z146/{2,4,8,16,32,64,128,256,512,1024,2048,4096,8192,16384,32768}),2)*(1-MOD(INT(($CJ11+Y191)/{2,4,8,16,32,64,128,256,512,1024,2048,4096,8192,16384,32768}),2))*{2,4,8,16,32,64,128,256,512,1024,2048,4096,8192,16384,32768})=0,0,2^SUMPRODUCT(--(MOD(SUMPRODUCT(MOD(INT(Z146/{2,4,8,16,32,64,128,256,512,1024,2048,4096,8192,16384,32768}),2)*(1-MOD(INT(($CJ11+Y191)/{2,4,8,16,32,64,128,256,512,1024,2048,4096,8192,16384,32768}),2))*{2,4,8,16,32,64,128,256,512,1024,2048,4096,8192,16384,32768}),{2,4,8,16,32,64,128,256,512,1024,2048,4096,8192,16384,32768})=0))))</f>
        <v/>
      </c>
      <c r="AA191">
        <f>Z191+IF(AND(AA101&gt;0,COUNTIF($Y101:Z101,AA101)=0),0,IF(SUMPRODUCT(MOD(INT(AA146/{2,4,8,16,32,64,128,256,512,1024,2048,4096,8192,16384,32768}),2)*(1-MOD(INT(($CJ11+Z191)/{2,4,8,16,32,64,128,256,512,1024,2048,4096,8192,16384,32768}),2))*{2,4,8,16,32,64,128,256,512,1024,2048,4096,8192,16384,32768})=0,0,2^SUMPRODUCT(--(MOD(SUMPRODUCT(MOD(INT(AA146/{2,4,8,16,32,64,128,256,512,1024,2048,4096,8192,16384,32768}),2)*(1-MOD(INT(($CJ11+Z191)/{2,4,8,16,32,64,128,256,512,1024,2048,4096,8192,16384,32768}),2))*{2,4,8,16,32,64,128,256,512,1024,2048,4096,8192,16384,32768}),{2,4,8,16,32,64,128,256,512,1024,2048,4096,8192,16384,32768})=0))))</f>
        <v/>
      </c>
      <c r="AB191">
        <f>AA191+IF(AND(AB101&gt;0,COUNTIF($Y101:AA101,AB101)=0),0,IF(SUMPRODUCT(MOD(INT(AB146/{2,4,8,16,32,64,128,256,512,1024,2048,4096,8192,16384,32768}),2)*(1-MOD(INT(($CJ11+AA191)/{2,4,8,16,32,64,128,256,512,1024,2048,4096,8192,16384,32768}),2))*{2,4,8,16,32,64,128,256,512,1024,2048,4096,8192,16384,32768})=0,0,2^SUMPRODUCT(--(MOD(SUMPRODUCT(MOD(INT(AB146/{2,4,8,16,32,64,128,256,512,1024,2048,4096,8192,16384,32768}),2)*(1-MOD(INT(($CJ11+AA191)/{2,4,8,16,32,64,128,256,512,1024,2048,4096,8192,16384,32768}),2))*{2,4,8,16,32,64,128,256,512,1024,2048,4096,8192,16384,32768}),{2,4,8,16,32,64,128,256,512,1024,2048,4096,8192,16384,32768})=0))))</f>
        <v/>
      </c>
      <c r="AC191">
        <f>AB191+IF(AND(AC101&gt;0,COUNTIF($Y101:AB101,AC101)=0),0,IF(SUMPRODUCT(MOD(INT(AC146/{2,4,8,16,32,64,128,256,512,1024,2048,4096,8192,16384,32768}),2)*(1-MOD(INT(($CJ11+AB191)/{2,4,8,16,32,64,128,256,512,1024,2048,4096,8192,16384,32768}),2))*{2,4,8,16,32,64,128,256,512,1024,2048,4096,8192,16384,32768})=0,0,2^SUMPRODUCT(--(MOD(SUMPRODUCT(MOD(INT(AC146/{2,4,8,16,32,64,128,256,512,1024,2048,4096,8192,16384,32768}),2)*(1-MOD(INT(($CJ11+AB191)/{2,4,8,16,32,64,128,256,512,1024,2048,4096,8192,16384,32768}),2))*{2,4,8,16,32,64,128,256,512,1024,2048,4096,8192,16384,32768}),{2,4,8,16,32,64,128,256,512,1024,2048,4096,8192,16384,32768})=0))))</f>
        <v/>
      </c>
      <c r="AD191">
        <f>AC191+IF(AND(AD101&gt;0,COUNTIF($Y101:AC101,AD101)=0),0,IF(SUMPRODUCT(MOD(INT(AD146/{2,4,8,16,32,64,128,256,512,1024,2048,4096,8192,16384,32768}),2)*(1-MOD(INT(($CJ11+AC191)/{2,4,8,16,32,64,128,256,512,1024,2048,4096,8192,16384,32768}),2))*{2,4,8,16,32,64,128,256,512,1024,2048,4096,8192,16384,32768})=0,0,2^SUMPRODUCT(--(MOD(SUMPRODUCT(MOD(INT(AD146/{2,4,8,16,32,64,128,256,512,1024,2048,4096,8192,16384,32768}),2)*(1-MOD(INT(($CJ11+AC191)/{2,4,8,16,32,64,128,256,512,1024,2048,4096,8192,16384,32768}),2))*{2,4,8,16,32,64,128,256,512,1024,2048,4096,8192,16384,32768}),{2,4,8,16,32,64,128,256,512,1024,2048,4096,8192,16384,32768})=0))))</f>
        <v/>
      </c>
      <c r="AE191">
        <f>AD191+IF(AND(AE101&gt;0,COUNTIF($Y101:AD101,AE101)=0),0,IF(SUMPRODUCT(MOD(INT(AE146/{2,4,8,16,32,64,128,256,512,1024,2048,4096,8192,16384,32768}),2)*(1-MOD(INT(($CJ11+AD191)/{2,4,8,16,32,64,128,256,512,1024,2048,4096,8192,16384,32768}),2))*{2,4,8,16,32,64,128,256,512,1024,2048,4096,8192,16384,32768})=0,0,2^SUMPRODUCT(--(MOD(SUMPRODUCT(MOD(INT(AE146/{2,4,8,16,32,64,128,256,512,1024,2048,4096,8192,16384,32768}),2)*(1-MOD(INT(($CJ11+AD191)/{2,4,8,16,32,64,128,256,512,1024,2048,4096,8192,16384,32768}),2))*{2,4,8,16,32,64,128,256,512,1024,2048,4096,8192,16384,32768}),{2,4,8,16,32,64,128,256,512,1024,2048,4096,8192,16384,32768})=0))))</f>
        <v/>
      </c>
      <c r="AF191">
        <f>AE191+IF(AND(AF101&gt;0,COUNTIF($Y101:AE101,AF101)=0),0,IF(SUMPRODUCT(MOD(INT(AF146/{2,4,8,16,32,64,128,256,512,1024,2048,4096,8192,16384,32768}),2)*(1-MOD(INT(($CJ11+AE191)/{2,4,8,16,32,64,128,256,512,1024,2048,4096,8192,16384,32768}),2))*{2,4,8,16,32,64,128,256,512,1024,2048,4096,8192,16384,32768})=0,0,2^SUMPRODUCT(--(MOD(SUMPRODUCT(MOD(INT(AF146/{2,4,8,16,32,64,128,256,512,1024,2048,4096,8192,16384,32768}),2)*(1-MOD(INT(($CJ11+AE191)/{2,4,8,16,32,64,128,256,512,1024,2048,4096,8192,16384,32768}),2))*{2,4,8,16,32,64,128,256,512,1024,2048,4096,8192,16384,32768}),{2,4,8,16,32,64,128,256,512,1024,2048,4096,8192,16384,32768})=0))))</f>
        <v/>
      </c>
      <c r="AG191">
        <f>AF191+IF(AND(AG101&gt;0,COUNTIF($Y101:AF101,AG101)=0),0,IF(SUMPRODUCT(MOD(INT(AG146/{2,4,8,16,32,64,128,256,512,1024,2048,4096,8192,16384,32768}),2)*(1-MOD(INT(($CJ11+AF191)/{2,4,8,16,32,64,128,256,512,1024,2048,4096,8192,16384,32768}),2))*{2,4,8,16,32,64,128,256,512,1024,2048,4096,8192,16384,32768})=0,0,2^SUMPRODUCT(--(MOD(SUMPRODUCT(MOD(INT(AG146/{2,4,8,16,32,64,128,256,512,1024,2048,4096,8192,16384,32768}),2)*(1-MOD(INT(($CJ11+AF191)/{2,4,8,16,32,64,128,256,512,1024,2048,4096,8192,16384,32768}),2))*{2,4,8,16,32,64,128,256,512,1024,2048,4096,8192,16384,32768}),{2,4,8,16,32,64,128,256,512,1024,2048,4096,8192,16384,32768})=0))))</f>
        <v/>
      </c>
      <c r="AH191">
        <f>AG191+IF(AND(AH101&gt;0,COUNTIF($Y101:AG101,AH101)=0),0,IF(SUMPRODUCT(MOD(INT(AH146/{2,4,8,16,32,64,128,256,512,1024,2048,4096,8192,16384,32768}),2)*(1-MOD(INT(($CJ11+AG191)/{2,4,8,16,32,64,128,256,512,1024,2048,4096,8192,16384,32768}),2))*{2,4,8,16,32,64,128,256,512,1024,2048,4096,8192,16384,32768})=0,0,2^SUMPRODUCT(--(MOD(SUMPRODUCT(MOD(INT(AH146/{2,4,8,16,32,64,128,256,512,1024,2048,4096,8192,16384,32768}),2)*(1-MOD(INT(($CJ11+AG191)/{2,4,8,16,32,64,128,256,512,1024,2048,4096,8192,16384,32768}),2))*{2,4,8,16,32,64,128,256,512,1024,2048,4096,8192,16384,32768}),{2,4,8,16,32,64,128,256,512,1024,2048,4096,8192,16384,32768})=0))))</f>
        <v/>
      </c>
      <c r="AI191">
        <f>AH191+IF(AND(AI101&gt;0,COUNTIF($Y101:AH101,AI101)=0),0,IF(SUMPRODUCT(MOD(INT(AI146/{2,4,8,16,32,64,128,256,512,1024,2048,4096,8192,16384,32768}),2)*(1-MOD(INT(($CJ11+AH191)/{2,4,8,16,32,64,128,256,512,1024,2048,4096,8192,16384,32768}),2))*{2,4,8,16,32,64,128,256,512,1024,2048,4096,8192,16384,32768})=0,0,2^SUMPRODUCT(--(MOD(SUMPRODUCT(MOD(INT(AI146/{2,4,8,16,32,64,128,256,512,1024,2048,4096,8192,16384,32768}),2)*(1-MOD(INT(($CJ11+AH191)/{2,4,8,16,32,64,128,256,512,1024,2048,4096,8192,16384,32768}),2))*{2,4,8,16,32,64,128,256,512,1024,2048,4096,8192,16384,32768}),{2,4,8,16,32,64,128,256,512,1024,2048,4096,8192,16384,32768})=0))))</f>
        <v/>
      </c>
      <c r="AJ191">
        <f>AI191+IF(AND(AJ101&gt;0,COUNTIF($Y101:AI101,AJ101)=0),0,IF(SUMPRODUCT(MOD(INT(AJ146/{2,4,8,16,32,64,128,256,512,1024,2048,4096,8192,16384,32768}),2)*(1-MOD(INT(($CJ11+AI191)/{2,4,8,16,32,64,128,256,512,1024,2048,4096,8192,16384,32768}),2))*{2,4,8,16,32,64,128,256,512,1024,2048,4096,8192,16384,32768})=0,0,2^SUMPRODUCT(--(MOD(SUMPRODUCT(MOD(INT(AJ146/{2,4,8,16,32,64,128,256,512,1024,2048,4096,8192,16384,32768}),2)*(1-MOD(INT(($CJ11+AI191)/{2,4,8,16,32,64,128,256,512,1024,2048,4096,8192,16384,32768}),2))*{2,4,8,16,32,64,128,256,512,1024,2048,4096,8192,16384,32768}),{2,4,8,16,32,64,128,256,512,1024,2048,4096,8192,16384,32768})=0))))</f>
        <v/>
      </c>
      <c r="AK191">
        <f>AJ191+IF(AND(AK101&gt;0,COUNTIF($Y101:AJ101,AK101)=0),0,IF(SUMPRODUCT(MOD(INT(AK146/{2,4,8,16,32,64,128,256,512,1024,2048,4096,8192,16384,32768}),2)*(1-MOD(INT(($CJ11+AJ191)/{2,4,8,16,32,64,128,256,512,1024,2048,4096,8192,16384,32768}),2))*{2,4,8,16,32,64,128,256,512,1024,2048,4096,8192,16384,32768})=0,0,2^SUMPRODUCT(--(MOD(SUMPRODUCT(MOD(INT(AK146/{2,4,8,16,32,64,128,256,512,1024,2048,4096,8192,16384,32768}),2)*(1-MOD(INT(($CJ11+AJ191)/{2,4,8,16,32,64,128,256,512,1024,2048,4096,8192,16384,32768}),2))*{2,4,8,16,32,64,128,256,512,1024,2048,4096,8192,16384,32768}),{2,4,8,16,32,64,128,256,512,1024,2048,4096,8192,16384,32768})=0))))</f>
        <v/>
      </c>
      <c r="AL191">
        <f>AK191+IF(AND(AL101&gt;0,COUNTIF($Y101:AK101,AL101)=0),0,IF(SUMPRODUCT(MOD(INT(AL146/{2,4,8,16,32,64,128,256,512,1024,2048,4096,8192,16384,32768}),2)*(1-MOD(INT(($CJ11+AK191)/{2,4,8,16,32,64,128,256,512,1024,2048,4096,8192,16384,32768}),2))*{2,4,8,16,32,64,128,256,512,1024,2048,4096,8192,16384,32768})=0,0,2^SUMPRODUCT(--(MOD(SUMPRODUCT(MOD(INT(AL146/{2,4,8,16,32,64,128,256,512,1024,2048,4096,8192,16384,32768}),2)*(1-MOD(INT(($CJ11+AK191)/{2,4,8,16,32,64,128,256,512,1024,2048,4096,8192,16384,32768}),2))*{2,4,8,16,32,64,128,256,512,1024,2048,4096,8192,16384,32768}),{2,4,8,16,32,64,128,256,512,1024,2048,4096,8192,16384,32768})=0))))</f>
        <v/>
      </c>
      <c r="AM191">
        <f>AL191+IF(AND(AM101&gt;0,COUNTIF($Y101:AL101,AM101)=0),0,IF(SUMPRODUCT(MOD(INT(AM146/{2,4,8,16,32,64,128,256,512,1024,2048,4096,8192,16384,32768}),2)*(1-MOD(INT(($CJ11+AL191)/{2,4,8,16,32,64,128,256,512,1024,2048,4096,8192,16384,32768}),2))*{2,4,8,16,32,64,128,256,512,1024,2048,4096,8192,16384,32768})=0,0,2^SUMPRODUCT(--(MOD(SUMPRODUCT(MOD(INT(AM146/{2,4,8,16,32,64,128,256,512,1024,2048,4096,8192,16384,32768}),2)*(1-MOD(INT(($CJ11+AL191)/{2,4,8,16,32,64,128,256,512,1024,2048,4096,8192,16384,32768}),2))*{2,4,8,16,32,64,128,256,512,1024,2048,4096,8192,16384,32768}),{2,4,8,16,32,64,128,256,512,1024,2048,4096,8192,16384,32768})=0))))</f>
        <v/>
      </c>
      <c r="AN191">
        <f>AM191+IF(AND(AN101&gt;0,COUNTIF($Y101:AM101,AN101)=0),0,IF(SUMPRODUCT(MOD(INT(AN146/{2,4,8,16,32,64,128,256,512,1024,2048,4096,8192,16384,32768}),2)*(1-MOD(INT(($CJ11+AM191)/{2,4,8,16,32,64,128,256,512,1024,2048,4096,8192,16384,32768}),2))*{2,4,8,16,32,64,128,256,512,1024,2048,4096,8192,16384,32768})=0,0,2^SUMPRODUCT(--(MOD(SUMPRODUCT(MOD(INT(AN146/{2,4,8,16,32,64,128,256,512,1024,2048,4096,8192,16384,32768}),2)*(1-MOD(INT(($CJ11+AM191)/{2,4,8,16,32,64,128,256,512,1024,2048,4096,8192,16384,32768}),2))*{2,4,8,16,32,64,128,256,512,1024,2048,4096,8192,16384,32768}),{2,4,8,16,32,64,128,256,512,1024,2048,4096,8192,16384,32768})=0))))</f>
        <v/>
      </c>
      <c r="AO191">
        <f>AN191+IF(AND(AO101&gt;0,COUNTIF($Y101:AN101,AO101)=0),0,IF(SUMPRODUCT(MOD(INT(AO146/{2,4,8,16,32,64,128,256,512,1024,2048,4096,8192,16384,32768}),2)*(1-MOD(INT(($CJ11+AN191)/{2,4,8,16,32,64,128,256,512,1024,2048,4096,8192,16384,32768}),2))*{2,4,8,16,32,64,128,256,512,1024,2048,4096,8192,16384,32768})=0,0,2^SUMPRODUCT(--(MOD(SUMPRODUCT(MOD(INT(AO146/{2,4,8,16,32,64,128,256,512,1024,2048,4096,8192,16384,32768}),2)*(1-MOD(INT(($CJ11+AN191)/{2,4,8,16,32,64,128,256,512,1024,2048,4096,8192,16384,32768}),2))*{2,4,8,16,32,64,128,256,512,1024,2048,4096,8192,16384,32768}),{2,4,8,16,32,64,128,256,512,1024,2048,4096,8192,16384,32768})=0))))</f>
        <v/>
      </c>
      <c r="AP191">
        <f>AO191+IF(AND(AP101&gt;0,COUNTIF($Y101:AO101,AP101)=0),0,IF(SUMPRODUCT(MOD(INT(AP146/{2,4,8,16,32,64,128,256,512,1024,2048,4096,8192,16384,32768}),2)*(1-MOD(INT(($CJ11+AO191)/{2,4,8,16,32,64,128,256,512,1024,2048,4096,8192,16384,32768}),2))*{2,4,8,16,32,64,128,256,512,1024,2048,4096,8192,16384,32768})=0,0,2^SUMPRODUCT(--(MOD(SUMPRODUCT(MOD(INT(AP146/{2,4,8,16,32,64,128,256,512,1024,2048,4096,8192,16384,32768}),2)*(1-MOD(INT(($CJ11+AO191)/{2,4,8,16,32,64,128,256,512,1024,2048,4096,8192,16384,32768}),2))*{2,4,8,16,32,64,128,256,512,1024,2048,4096,8192,16384,32768}),{2,4,8,16,32,64,128,256,512,1024,2048,4096,8192,16384,32768})=0))))</f>
        <v/>
      </c>
      <c r="AQ191">
        <f>AP191+IF(AND(AQ101&gt;0,COUNTIF($Y101:AP101,AQ101)=0),0,IF(SUMPRODUCT(MOD(INT(AQ146/{2,4,8,16,32,64,128,256,512,1024,2048,4096,8192,16384,32768}),2)*(1-MOD(INT(($CJ11+AP191)/{2,4,8,16,32,64,128,256,512,1024,2048,4096,8192,16384,32768}),2))*{2,4,8,16,32,64,128,256,512,1024,2048,4096,8192,16384,32768})=0,0,2^SUMPRODUCT(--(MOD(SUMPRODUCT(MOD(INT(AQ146/{2,4,8,16,32,64,128,256,512,1024,2048,4096,8192,16384,32768}),2)*(1-MOD(INT(($CJ11+AP191)/{2,4,8,16,32,64,128,256,512,1024,2048,4096,8192,16384,32768}),2))*{2,4,8,16,32,64,128,256,512,1024,2048,4096,8192,16384,32768}),{2,4,8,16,32,64,128,256,512,1024,2048,4096,8192,16384,32768})=0))))</f>
        <v/>
      </c>
      <c r="AR191">
        <f>AQ191+IF(AND(AR101&gt;0,COUNTIF($Y101:AQ101,AR101)=0),0,IF(SUMPRODUCT(MOD(INT(AR146/{2,4,8,16,32,64,128,256,512,1024,2048,4096,8192,16384,32768}),2)*(1-MOD(INT(($CJ11+AQ191)/{2,4,8,16,32,64,128,256,512,1024,2048,4096,8192,16384,32768}),2))*{2,4,8,16,32,64,128,256,512,1024,2048,4096,8192,16384,32768})=0,0,2^SUMPRODUCT(--(MOD(SUMPRODUCT(MOD(INT(AR146/{2,4,8,16,32,64,128,256,512,1024,2048,4096,8192,16384,32768}),2)*(1-MOD(INT(($CJ11+AQ191)/{2,4,8,16,32,64,128,256,512,1024,2048,4096,8192,16384,32768}),2))*{2,4,8,16,32,64,128,256,512,1024,2048,4096,8192,16384,32768}),{2,4,8,16,32,64,128,256,512,1024,2048,4096,8192,16384,32768})=0))))</f>
        <v/>
      </c>
      <c r="AS191">
        <f>AR191+IF(AND(AS101&gt;0,COUNTIF($Y101:AR101,AS101)=0),0,IF(SUMPRODUCT(MOD(INT(AS146/{2,4,8,16,32,64,128,256,512,1024,2048,4096,8192,16384,32768}),2)*(1-MOD(INT(($CJ11+AR191)/{2,4,8,16,32,64,128,256,512,1024,2048,4096,8192,16384,32768}),2))*{2,4,8,16,32,64,128,256,512,1024,2048,4096,8192,16384,32768})=0,0,2^SUMPRODUCT(--(MOD(SUMPRODUCT(MOD(INT(AS146/{2,4,8,16,32,64,128,256,512,1024,2048,4096,8192,16384,32768}),2)*(1-MOD(INT(($CJ11+AR191)/{2,4,8,16,32,64,128,256,512,1024,2048,4096,8192,16384,32768}),2))*{2,4,8,16,32,64,128,256,512,1024,2048,4096,8192,16384,32768}),{2,4,8,16,32,64,128,256,512,1024,2048,4096,8192,16384,32768})=0))))</f>
        <v/>
      </c>
      <c r="AT191">
        <f>AS191+IF(AND(AT101&gt;0,COUNTIF($Y101:AS101,AT101)=0),0,IF(SUMPRODUCT(MOD(INT(AT146/{2,4,8,16,32,64,128,256,512,1024,2048,4096,8192,16384,32768}),2)*(1-MOD(INT(($CJ11+AS191)/{2,4,8,16,32,64,128,256,512,1024,2048,4096,8192,16384,32768}),2))*{2,4,8,16,32,64,128,256,512,1024,2048,4096,8192,16384,32768})=0,0,2^SUMPRODUCT(--(MOD(SUMPRODUCT(MOD(INT(AT146/{2,4,8,16,32,64,128,256,512,1024,2048,4096,8192,16384,32768}),2)*(1-MOD(INT(($CJ11+AS191)/{2,4,8,16,32,64,128,256,512,1024,2048,4096,8192,16384,32768}),2))*{2,4,8,16,32,64,128,256,512,1024,2048,4096,8192,16384,32768}),{2,4,8,16,32,64,128,256,512,1024,2048,4096,8192,16384,32768})=0))))</f>
        <v/>
      </c>
      <c r="AU191">
        <f>AT191+IF(AND(AU101&gt;0,COUNTIF($Y101:AT101,AU101)=0),0,IF(SUMPRODUCT(MOD(INT(AU146/{2,4,8,16,32,64,128,256,512,1024,2048,4096,8192,16384,32768}),2)*(1-MOD(INT(($CJ11+AT191)/{2,4,8,16,32,64,128,256,512,1024,2048,4096,8192,16384,32768}),2))*{2,4,8,16,32,64,128,256,512,1024,2048,4096,8192,16384,32768})=0,0,2^SUMPRODUCT(--(MOD(SUMPRODUCT(MOD(INT(AU146/{2,4,8,16,32,64,128,256,512,1024,2048,4096,8192,16384,32768}),2)*(1-MOD(INT(($CJ11+AT191)/{2,4,8,16,32,64,128,256,512,1024,2048,4096,8192,16384,32768}),2))*{2,4,8,16,32,64,128,256,512,1024,2048,4096,8192,16384,32768}),{2,4,8,16,32,64,128,256,512,1024,2048,4096,8192,16384,32768})=0))))</f>
        <v/>
      </c>
      <c r="AV191">
        <f>AU191+IF(AND(AV101&gt;0,COUNTIF($Y101:AU101,AV101)=0),0,IF(SUMPRODUCT(MOD(INT(AV146/{2,4,8,16,32,64,128,256,512,1024,2048,4096,8192,16384,32768}),2)*(1-MOD(INT(($CJ11+AU191)/{2,4,8,16,32,64,128,256,512,1024,2048,4096,8192,16384,32768}),2))*{2,4,8,16,32,64,128,256,512,1024,2048,4096,8192,16384,32768})=0,0,2^SUMPRODUCT(--(MOD(SUMPRODUCT(MOD(INT(AV146/{2,4,8,16,32,64,128,256,512,1024,2048,4096,8192,16384,32768}),2)*(1-MOD(INT(($CJ11+AU191)/{2,4,8,16,32,64,128,256,512,1024,2048,4096,8192,16384,32768}),2))*{2,4,8,16,32,64,128,256,512,1024,2048,4096,8192,16384,32768}),{2,4,8,16,32,64,128,256,512,1024,2048,4096,8192,16384,32768})=0))))</f>
        <v/>
      </c>
      <c r="AW191">
        <f>AV191+IF(AND(AW101&gt;0,COUNTIF($Y101:AV101,AW101)=0),0,IF(SUMPRODUCT(MOD(INT(AW146/{2,4,8,16,32,64,128,256,512,1024,2048,4096,8192,16384,32768}),2)*(1-MOD(INT(($CJ11+AV191)/{2,4,8,16,32,64,128,256,512,1024,2048,4096,8192,16384,32768}),2))*{2,4,8,16,32,64,128,256,512,1024,2048,4096,8192,16384,32768})=0,0,2^SUMPRODUCT(--(MOD(SUMPRODUCT(MOD(INT(AW146/{2,4,8,16,32,64,128,256,512,1024,2048,4096,8192,16384,32768}),2)*(1-MOD(INT(($CJ11+AV191)/{2,4,8,16,32,64,128,256,512,1024,2048,4096,8192,16384,32768}),2))*{2,4,8,16,32,64,128,256,512,1024,2048,4096,8192,16384,32768}),{2,4,8,16,32,64,128,256,512,1024,2048,4096,8192,16384,32768})=0))))</f>
        <v/>
      </c>
      <c r="AX191">
        <f>AW191+IF(AND(AX101&gt;0,COUNTIF($Y101:AW101,AX101)=0),0,IF(SUMPRODUCT(MOD(INT(AX146/{2,4,8,16,32,64,128,256,512,1024,2048,4096,8192,16384,32768}),2)*(1-MOD(INT(($CJ11+AW191)/{2,4,8,16,32,64,128,256,512,1024,2048,4096,8192,16384,32768}),2))*{2,4,8,16,32,64,128,256,512,1024,2048,4096,8192,16384,32768})=0,0,2^SUMPRODUCT(--(MOD(SUMPRODUCT(MOD(INT(AX146/{2,4,8,16,32,64,128,256,512,1024,2048,4096,8192,16384,32768}),2)*(1-MOD(INT(($CJ11+AW191)/{2,4,8,16,32,64,128,256,512,1024,2048,4096,8192,16384,32768}),2))*{2,4,8,16,32,64,128,256,512,1024,2048,4096,8192,16384,32768}),{2,4,8,16,32,64,128,256,512,1024,2048,4096,8192,16384,32768})=0))))</f>
        <v/>
      </c>
      <c r="AY191">
        <f>AX191+IF(AND(AY101&gt;0,COUNTIF($Y101:AX101,AY101)=0),0,IF(SUMPRODUCT(MOD(INT(AY146/{2,4,8,16,32,64,128,256,512,1024,2048,4096,8192,16384,32768}),2)*(1-MOD(INT(($CJ11+AX191)/{2,4,8,16,32,64,128,256,512,1024,2048,4096,8192,16384,32768}),2))*{2,4,8,16,32,64,128,256,512,1024,2048,4096,8192,16384,32768})=0,0,2^SUMPRODUCT(--(MOD(SUMPRODUCT(MOD(INT(AY146/{2,4,8,16,32,64,128,256,512,1024,2048,4096,8192,16384,32768}),2)*(1-MOD(INT(($CJ11+AX191)/{2,4,8,16,32,64,128,256,512,1024,2048,4096,8192,16384,32768}),2))*{2,4,8,16,32,64,128,256,512,1024,2048,4096,8192,16384,32768}),{2,4,8,16,32,64,128,256,512,1024,2048,4096,8192,16384,32768})=0))))</f>
        <v/>
      </c>
      <c r="AZ191">
        <f>AY191+IF(AND(AZ101&gt;0,COUNTIF($Y101:AY101,AZ101)=0),0,IF(SUMPRODUCT(MOD(INT(AZ146/{2,4,8,16,32,64,128,256,512,1024,2048,4096,8192,16384,32768}),2)*(1-MOD(INT(($CJ11+AY191)/{2,4,8,16,32,64,128,256,512,1024,2048,4096,8192,16384,32768}),2))*{2,4,8,16,32,64,128,256,512,1024,2048,4096,8192,16384,32768})=0,0,2^SUMPRODUCT(--(MOD(SUMPRODUCT(MOD(INT(AZ146/{2,4,8,16,32,64,128,256,512,1024,2048,4096,8192,16384,32768}),2)*(1-MOD(INT(($CJ11+AY191)/{2,4,8,16,32,64,128,256,512,1024,2048,4096,8192,16384,32768}),2))*{2,4,8,16,32,64,128,256,512,1024,2048,4096,8192,16384,32768}),{2,4,8,16,32,64,128,256,512,1024,2048,4096,8192,16384,32768})=0))))</f>
        <v/>
      </c>
      <c r="BA191">
        <f>AZ191+IF(AND(BA101&gt;0,COUNTIF($Y101:AZ101,BA101)=0),0,IF(SUMPRODUCT(MOD(INT(BA146/{2,4,8,16,32,64,128,256,512,1024,2048,4096,8192,16384,32768}),2)*(1-MOD(INT(($CJ11+AZ191)/{2,4,8,16,32,64,128,256,512,1024,2048,4096,8192,16384,32768}),2))*{2,4,8,16,32,64,128,256,512,1024,2048,4096,8192,16384,32768})=0,0,2^SUMPRODUCT(--(MOD(SUMPRODUCT(MOD(INT(BA146/{2,4,8,16,32,64,128,256,512,1024,2048,4096,8192,16384,32768}),2)*(1-MOD(INT(($CJ11+AZ191)/{2,4,8,16,32,64,128,256,512,1024,2048,4096,8192,16384,32768}),2))*{2,4,8,16,32,64,128,256,512,1024,2048,4096,8192,16384,32768}),{2,4,8,16,32,64,128,256,512,1024,2048,4096,8192,16384,32768})=0))))</f>
        <v/>
      </c>
      <c r="BB191">
        <f>BA191+IF(AND(BB101&gt;0,COUNTIF($Y101:BA101,BB101)=0),0,IF(SUMPRODUCT(MOD(INT(BB146/{2,4,8,16,32,64,128,256,512,1024,2048,4096,8192,16384,32768}),2)*(1-MOD(INT(($CJ11+BA191)/{2,4,8,16,32,64,128,256,512,1024,2048,4096,8192,16384,32768}),2))*{2,4,8,16,32,64,128,256,512,1024,2048,4096,8192,16384,32768})=0,0,2^SUMPRODUCT(--(MOD(SUMPRODUCT(MOD(INT(BB146/{2,4,8,16,32,64,128,256,512,1024,2048,4096,8192,16384,32768}),2)*(1-MOD(INT(($CJ11+BA191)/{2,4,8,16,32,64,128,256,512,1024,2048,4096,8192,16384,32768}),2))*{2,4,8,16,32,64,128,256,512,1024,2048,4096,8192,16384,32768}),{2,4,8,16,32,64,128,256,512,1024,2048,4096,8192,16384,32768})=0))))</f>
        <v/>
      </c>
      <c r="BC191">
        <f>BB191+IF(AND(BC101&gt;0,COUNTIF($Y101:BB101,BC101)=0),0,IF(SUMPRODUCT(MOD(INT(BC146/{2,4,8,16,32,64,128,256,512,1024,2048,4096,8192,16384,32768}),2)*(1-MOD(INT(($CJ11+BB191)/{2,4,8,16,32,64,128,256,512,1024,2048,4096,8192,16384,32768}),2))*{2,4,8,16,32,64,128,256,512,1024,2048,4096,8192,16384,32768})=0,0,2^SUMPRODUCT(--(MOD(SUMPRODUCT(MOD(INT(BC146/{2,4,8,16,32,64,128,256,512,1024,2048,4096,8192,16384,32768}),2)*(1-MOD(INT(($CJ11+BB191)/{2,4,8,16,32,64,128,256,512,1024,2048,4096,8192,16384,32768}),2))*{2,4,8,16,32,64,128,256,512,1024,2048,4096,8192,16384,32768}),{2,4,8,16,32,64,128,256,512,1024,2048,4096,8192,16384,32768})=0))))</f>
        <v/>
      </c>
      <c r="BD191">
        <f>BC191+IF(AND(BD101&gt;0,COUNTIF($Y101:BC101,BD101)=0),0,IF(SUMPRODUCT(MOD(INT(BD146/{2,4,8,16,32,64,128,256,512,1024,2048,4096,8192,16384,32768}),2)*(1-MOD(INT(($CJ11+BC191)/{2,4,8,16,32,64,128,256,512,1024,2048,4096,8192,16384,32768}),2))*{2,4,8,16,32,64,128,256,512,1024,2048,4096,8192,16384,32768})=0,0,2^SUMPRODUCT(--(MOD(SUMPRODUCT(MOD(INT(BD146/{2,4,8,16,32,64,128,256,512,1024,2048,4096,8192,16384,32768}),2)*(1-MOD(INT(($CJ11+BC191)/{2,4,8,16,32,64,128,256,512,1024,2048,4096,8192,16384,32768}),2))*{2,4,8,16,32,64,128,256,512,1024,2048,4096,8192,16384,32768}),{2,4,8,16,32,64,128,256,512,1024,2048,4096,8192,16384,32768})=0))))</f>
        <v/>
      </c>
      <c r="BE191">
        <f>BD191+IF(AND(BE101&gt;0,COUNTIF($Y101:BD101,BE101)=0),0,IF(SUMPRODUCT(MOD(INT(BE146/{2,4,8,16,32,64,128,256,512,1024,2048,4096,8192,16384,32768}),2)*(1-MOD(INT(($CJ11+BD191)/{2,4,8,16,32,64,128,256,512,1024,2048,4096,8192,16384,32768}),2))*{2,4,8,16,32,64,128,256,512,1024,2048,4096,8192,16384,32768})=0,0,2^SUMPRODUCT(--(MOD(SUMPRODUCT(MOD(INT(BE146/{2,4,8,16,32,64,128,256,512,1024,2048,4096,8192,16384,32768}),2)*(1-MOD(INT(($CJ11+BD191)/{2,4,8,16,32,64,128,256,512,1024,2048,4096,8192,16384,32768}),2))*{2,4,8,16,32,64,128,256,512,1024,2048,4096,8192,16384,32768}),{2,4,8,16,32,64,128,256,512,1024,2048,4096,8192,16384,32768})=0))))</f>
        <v/>
      </c>
      <c r="BF191">
        <f>BE191+IF(AND(BF101&gt;0,COUNTIF($Y101:BE101,BF101)=0),0,IF(SUMPRODUCT(MOD(INT(BF146/{2,4,8,16,32,64,128,256,512,1024,2048,4096,8192,16384,32768}),2)*(1-MOD(INT(($CJ11+BE191)/{2,4,8,16,32,64,128,256,512,1024,2048,4096,8192,16384,32768}),2))*{2,4,8,16,32,64,128,256,512,1024,2048,4096,8192,16384,32768})=0,0,2^SUMPRODUCT(--(MOD(SUMPRODUCT(MOD(INT(BF146/{2,4,8,16,32,64,128,256,512,1024,2048,4096,8192,16384,32768}),2)*(1-MOD(INT(($CJ11+BE191)/{2,4,8,16,32,64,128,256,512,1024,2048,4096,8192,16384,32768}),2))*{2,4,8,16,32,64,128,256,512,1024,2048,4096,8192,16384,32768}),{2,4,8,16,32,64,128,256,512,1024,2048,4096,8192,16384,32768})=0))))</f>
        <v/>
      </c>
      <c r="BG191">
        <f>BF191+IF(AND(BG101&gt;0,COUNTIF($Y101:BF101,BG101)=0),0,IF(SUMPRODUCT(MOD(INT(BG146/{2,4,8,16,32,64,128,256,512,1024,2048,4096,8192,16384,32768}),2)*(1-MOD(INT(($CJ11+BF191)/{2,4,8,16,32,64,128,256,512,1024,2048,4096,8192,16384,32768}),2))*{2,4,8,16,32,64,128,256,512,1024,2048,4096,8192,16384,32768})=0,0,2^SUMPRODUCT(--(MOD(SUMPRODUCT(MOD(INT(BG146/{2,4,8,16,32,64,128,256,512,1024,2048,4096,8192,16384,32768}),2)*(1-MOD(INT(($CJ11+BF191)/{2,4,8,16,32,64,128,256,512,1024,2048,4096,8192,16384,32768}),2))*{2,4,8,16,32,64,128,256,512,1024,2048,4096,8192,16384,32768}),{2,4,8,16,32,64,128,256,512,1024,2048,4096,8192,16384,32768})=0))))</f>
        <v/>
      </c>
      <c r="BH191">
        <f>BG191+IF(AND(BH101&gt;0,COUNTIF($Y101:BG101,BH101)=0),0,IF(SUMPRODUCT(MOD(INT(BH146/{2,4,8,16,32,64,128,256,512,1024,2048,4096,8192,16384,32768}),2)*(1-MOD(INT(($CJ11+BG191)/{2,4,8,16,32,64,128,256,512,1024,2048,4096,8192,16384,32768}),2))*{2,4,8,16,32,64,128,256,512,1024,2048,4096,8192,16384,32768})=0,0,2^SUMPRODUCT(--(MOD(SUMPRODUCT(MOD(INT(BH146/{2,4,8,16,32,64,128,256,512,1024,2048,4096,8192,16384,32768}),2)*(1-MOD(INT(($CJ11+BG191)/{2,4,8,16,32,64,128,256,512,1024,2048,4096,8192,16384,32768}),2))*{2,4,8,16,32,64,128,256,512,1024,2048,4096,8192,16384,32768}),{2,4,8,16,32,64,128,256,512,1024,2048,4096,8192,16384,32768})=0))))</f>
        <v/>
      </c>
      <c r="BI191">
        <f>BH191+IF(AND(BI101&gt;0,COUNTIF($Y101:BH101,BI101)=0),0,IF(SUMPRODUCT(MOD(INT(BI146/{2,4,8,16,32,64,128,256,512,1024,2048,4096,8192,16384,32768}),2)*(1-MOD(INT(($CJ11+BH191)/{2,4,8,16,32,64,128,256,512,1024,2048,4096,8192,16384,32768}),2))*{2,4,8,16,32,64,128,256,512,1024,2048,4096,8192,16384,32768})=0,0,2^SUMPRODUCT(--(MOD(SUMPRODUCT(MOD(INT(BI146/{2,4,8,16,32,64,128,256,512,1024,2048,4096,8192,16384,32768}),2)*(1-MOD(INT(($CJ11+BH191)/{2,4,8,16,32,64,128,256,512,1024,2048,4096,8192,16384,32768}),2))*{2,4,8,16,32,64,128,256,512,1024,2048,4096,8192,16384,32768}),{2,4,8,16,32,64,128,256,512,1024,2048,4096,8192,16384,32768})=0))))</f>
        <v/>
      </c>
      <c r="BJ191">
        <f>BI191+IF(AND(BJ101&gt;0,COUNTIF($Y101:BI101,BJ101)=0),0,IF(SUMPRODUCT(MOD(INT(BJ146/{2,4,8,16,32,64,128,256,512,1024,2048,4096,8192,16384,32768}),2)*(1-MOD(INT(($CJ11+BI191)/{2,4,8,16,32,64,128,256,512,1024,2048,4096,8192,16384,32768}),2))*{2,4,8,16,32,64,128,256,512,1024,2048,4096,8192,16384,32768})=0,0,2^SUMPRODUCT(--(MOD(SUMPRODUCT(MOD(INT(BJ146/{2,4,8,16,32,64,128,256,512,1024,2048,4096,8192,16384,32768}),2)*(1-MOD(INT(($CJ11+BI191)/{2,4,8,16,32,64,128,256,512,1024,2048,4096,8192,16384,32768}),2))*{2,4,8,16,32,64,128,256,512,1024,2048,4096,8192,16384,32768}),{2,4,8,16,32,64,128,256,512,1024,2048,4096,8192,16384,32768})=0))))</f>
        <v/>
      </c>
      <c r="BK191">
        <f>BJ191+IF(AND(BK101&gt;0,COUNTIF($Y101:BJ101,BK101)=0),0,IF(SUMPRODUCT(MOD(INT(BK146/{2,4,8,16,32,64,128,256,512,1024,2048,4096,8192,16384,32768}),2)*(1-MOD(INT(($CJ11+BJ191)/{2,4,8,16,32,64,128,256,512,1024,2048,4096,8192,16384,32768}),2))*{2,4,8,16,32,64,128,256,512,1024,2048,4096,8192,16384,32768})=0,0,2^SUMPRODUCT(--(MOD(SUMPRODUCT(MOD(INT(BK146/{2,4,8,16,32,64,128,256,512,1024,2048,4096,8192,16384,32768}),2)*(1-MOD(INT(($CJ11+BJ191)/{2,4,8,16,32,64,128,256,512,1024,2048,4096,8192,16384,32768}),2))*{2,4,8,16,32,64,128,256,512,1024,2048,4096,8192,16384,32768}),{2,4,8,16,32,64,128,256,512,1024,2048,4096,8192,16384,32768})=0))))</f>
        <v/>
      </c>
      <c r="BL191">
        <f>BK191+IF(AND(BL101&gt;0,COUNTIF($Y101:BK101,BL101)=0),0,IF(SUMPRODUCT(MOD(INT(BL146/{2,4,8,16,32,64,128,256,512,1024,2048,4096,8192,16384,32768}),2)*(1-MOD(INT(($CJ11+BK191)/{2,4,8,16,32,64,128,256,512,1024,2048,4096,8192,16384,32768}),2))*{2,4,8,16,32,64,128,256,512,1024,2048,4096,8192,16384,32768})=0,0,2^SUMPRODUCT(--(MOD(SUMPRODUCT(MOD(INT(BL146/{2,4,8,16,32,64,128,256,512,1024,2048,4096,8192,16384,32768}),2)*(1-MOD(INT(($CJ11+BK191)/{2,4,8,16,32,64,128,256,512,1024,2048,4096,8192,16384,32768}),2))*{2,4,8,16,32,64,128,256,512,1024,2048,4096,8192,16384,32768}),{2,4,8,16,32,64,128,256,512,1024,2048,4096,8192,16384,32768})=0))))</f>
        <v/>
      </c>
      <c r="BM191">
        <f>BL191+IF(AND(BM101&gt;0,COUNTIF($Y101:BL101,BM101)=0),0,IF(SUMPRODUCT(MOD(INT(BM146/{2,4,8,16,32,64,128,256,512,1024,2048,4096,8192,16384,32768}),2)*(1-MOD(INT(($CJ11+BL191)/{2,4,8,16,32,64,128,256,512,1024,2048,4096,8192,16384,32768}),2))*{2,4,8,16,32,64,128,256,512,1024,2048,4096,8192,16384,32768})=0,0,2^SUMPRODUCT(--(MOD(SUMPRODUCT(MOD(INT(BM146/{2,4,8,16,32,64,128,256,512,1024,2048,4096,8192,16384,32768}),2)*(1-MOD(INT(($CJ11+BL191)/{2,4,8,16,32,64,128,256,512,1024,2048,4096,8192,16384,32768}),2))*{2,4,8,16,32,64,128,256,512,1024,2048,4096,8192,16384,32768}),{2,4,8,16,32,64,128,256,512,1024,2048,4096,8192,16384,32768})=0))))</f>
        <v/>
      </c>
      <c r="BN191">
        <f>BM191+IF(AND(BN101&gt;0,COUNTIF($Y101:BM101,BN101)=0),0,IF(SUMPRODUCT(MOD(INT(BN146/{2,4,8,16,32,64,128,256,512,1024,2048,4096,8192,16384,32768}),2)*(1-MOD(INT(($CJ11+BM191)/{2,4,8,16,32,64,128,256,512,1024,2048,4096,8192,16384,32768}),2))*{2,4,8,16,32,64,128,256,512,1024,2048,4096,8192,16384,32768})=0,0,2^SUMPRODUCT(--(MOD(SUMPRODUCT(MOD(INT(BN146/{2,4,8,16,32,64,128,256,512,1024,2048,4096,8192,16384,32768}),2)*(1-MOD(INT(($CJ11+BM191)/{2,4,8,16,32,64,128,256,512,1024,2048,4096,8192,16384,32768}),2))*{2,4,8,16,32,64,128,256,512,1024,2048,4096,8192,16384,32768}),{2,4,8,16,32,64,128,256,512,1024,2048,4096,8192,16384,32768})=0))))</f>
        <v/>
      </c>
      <c r="BO191">
        <f>BN191+IF(AND(BO101&gt;0,COUNTIF($Y101:BN101,BO101)=0),0,IF(SUMPRODUCT(MOD(INT(BO146/{2,4,8,16,32,64,128,256,512,1024,2048,4096,8192,16384,32768}),2)*(1-MOD(INT(($CJ11+BN191)/{2,4,8,16,32,64,128,256,512,1024,2048,4096,8192,16384,32768}),2))*{2,4,8,16,32,64,128,256,512,1024,2048,4096,8192,16384,32768})=0,0,2^SUMPRODUCT(--(MOD(SUMPRODUCT(MOD(INT(BO146/{2,4,8,16,32,64,128,256,512,1024,2048,4096,8192,16384,32768}),2)*(1-MOD(INT(($CJ11+BN191)/{2,4,8,16,32,64,128,256,512,1024,2048,4096,8192,16384,32768}),2))*{2,4,8,16,32,64,128,256,512,1024,2048,4096,8192,16384,32768}),{2,4,8,16,32,64,128,256,512,1024,2048,4096,8192,16384,32768})=0))))</f>
        <v/>
      </c>
      <c r="BP191">
        <f>BO191+IF(AND(BP101&gt;0,COUNTIF($Y101:BO101,BP101)=0),0,IF(SUMPRODUCT(MOD(INT(BP146/{2,4,8,16,32,64,128,256,512,1024,2048,4096,8192,16384,32768}),2)*(1-MOD(INT(($CJ11+BO191)/{2,4,8,16,32,64,128,256,512,1024,2048,4096,8192,16384,32768}),2))*{2,4,8,16,32,64,128,256,512,1024,2048,4096,8192,16384,32768})=0,0,2^SUMPRODUCT(--(MOD(SUMPRODUCT(MOD(INT(BP146/{2,4,8,16,32,64,128,256,512,1024,2048,4096,8192,16384,32768}),2)*(1-MOD(INT(($CJ11+BO191)/{2,4,8,16,32,64,128,256,512,1024,2048,4096,8192,16384,32768}),2))*{2,4,8,16,32,64,128,256,512,1024,2048,4096,8192,16384,32768}),{2,4,8,16,32,64,128,256,512,1024,2048,4096,8192,16384,32768})=0))))</f>
        <v/>
      </c>
      <c r="BQ191">
        <f>BP191+IF(AND(BQ101&gt;0,COUNTIF($Y101:BP101,BQ101)=0),0,IF(SUMPRODUCT(MOD(INT(BQ146/{2,4,8,16,32,64,128,256,512,1024,2048,4096,8192,16384,32768}),2)*(1-MOD(INT(($CJ11+BP191)/{2,4,8,16,32,64,128,256,512,1024,2048,4096,8192,16384,32768}),2))*{2,4,8,16,32,64,128,256,512,1024,2048,4096,8192,16384,32768})=0,0,2^SUMPRODUCT(--(MOD(SUMPRODUCT(MOD(INT(BQ146/{2,4,8,16,32,64,128,256,512,1024,2048,4096,8192,16384,32768}),2)*(1-MOD(INT(($CJ11+BP191)/{2,4,8,16,32,64,128,256,512,1024,2048,4096,8192,16384,32768}),2))*{2,4,8,16,32,64,128,256,512,1024,2048,4096,8192,16384,32768}),{2,4,8,16,32,64,128,256,512,1024,2048,4096,8192,16384,32768})=0))))</f>
        <v/>
      </c>
      <c r="BR191">
        <f>BQ191+IF(AND(BR101&gt;0,COUNTIF($Y101:BQ101,BR101)=0),0,IF(SUMPRODUCT(MOD(INT(BR146/{2,4,8,16,32,64,128,256,512,1024,2048,4096,8192,16384,32768}),2)*(1-MOD(INT(($CJ11+BQ191)/{2,4,8,16,32,64,128,256,512,1024,2048,4096,8192,16384,32768}),2))*{2,4,8,16,32,64,128,256,512,1024,2048,4096,8192,16384,32768})=0,0,2^SUMPRODUCT(--(MOD(SUMPRODUCT(MOD(INT(BR146/{2,4,8,16,32,64,128,256,512,1024,2048,4096,8192,16384,32768}),2)*(1-MOD(INT(($CJ11+BQ191)/{2,4,8,16,32,64,128,256,512,1024,2048,4096,8192,16384,32768}),2))*{2,4,8,16,32,64,128,256,512,1024,2048,4096,8192,16384,32768}),{2,4,8,16,32,64,128,256,512,1024,2048,4096,8192,16384,32768})=0))))</f>
        <v/>
      </c>
      <c r="BS191">
        <f>BR191+IF(AND(BS101&gt;0,COUNTIF($Y101:BR101,BS101)=0),0,IF(SUMPRODUCT(MOD(INT(BS146/{2,4,8,16,32,64,128,256,512,1024,2048,4096,8192,16384,32768}),2)*(1-MOD(INT(($CJ11+BR191)/{2,4,8,16,32,64,128,256,512,1024,2048,4096,8192,16384,32768}),2))*{2,4,8,16,32,64,128,256,512,1024,2048,4096,8192,16384,32768})=0,0,2^SUMPRODUCT(--(MOD(SUMPRODUCT(MOD(INT(BS146/{2,4,8,16,32,64,128,256,512,1024,2048,4096,8192,16384,32768}),2)*(1-MOD(INT(($CJ11+BR191)/{2,4,8,16,32,64,128,256,512,1024,2048,4096,8192,16384,32768}),2))*{2,4,8,16,32,64,128,256,512,1024,2048,4096,8192,16384,32768}),{2,4,8,16,32,64,128,256,512,1024,2048,4096,8192,16384,32768})=0))))</f>
        <v/>
      </c>
      <c r="BT191">
        <f>BS191+IF(AND(BT101&gt;0,COUNTIF($Y101:BS101,BT101)=0),0,IF(SUMPRODUCT(MOD(INT(BT146/{2,4,8,16,32,64,128,256,512,1024,2048,4096,8192,16384,32768}),2)*(1-MOD(INT(($CJ11+BS191)/{2,4,8,16,32,64,128,256,512,1024,2048,4096,8192,16384,32768}),2))*{2,4,8,16,32,64,128,256,512,1024,2048,4096,8192,16384,32768})=0,0,2^SUMPRODUCT(--(MOD(SUMPRODUCT(MOD(INT(BT146/{2,4,8,16,32,64,128,256,512,1024,2048,4096,8192,16384,32768}),2)*(1-MOD(INT(($CJ11+BS191)/{2,4,8,16,32,64,128,256,512,1024,2048,4096,8192,16384,32768}),2))*{2,4,8,16,32,64,128,256,512,1024,2048,4096,8192,16384,32768}),{2,4,8,16,32,64,128,256,512,1024,2048,4096,8192,16384,32768})=0))))</f>
        <v/>
      </c>
      <c r="BU191">
        <f>BT191+IF(AND(BU101&gt;0,COUNTIF($Y101:BT101,BU101)=0),0,IF(SUMPRODUCT(MOD(INT(BU146/{2,4,8,16,32,64,128,256,512,1024,2048,4096,8192,16384,32768}),2)*(1-MOD(INT(($CJ11+BT191)/{2,4,8,16,32,64,128,256,512,1024,2048,4096,8192,16384,32768}),2))*{2,4,8,16,32,64,128,256,512,1024,2048,4096,8192,16384,32768})=0,0,2^SUMPRODUCT(--(MOD(SUMPRODUCT(MOD(INT(BU146/{2,4,8,16,32,64,128,256,512,1024,2048,4096,8192,16384,32768}),2)*(1-MOD(INT(($CJ11+BT191)/{2,4,8,16,32,64,128,256,512,1024,2048,4096,8192,16384,32768}),2))*{2,4,8,16,32,64,128,256,512,1024,2048,4096,8192,16384,32768}),{2,4,8,16,32,64,128,256,512,1024,2048,4096,8192,16384,32768})=0))))</f>
        <v/>
      </c>
      <c r="BV191">
        <f>BU191+IF(AND(BV101&gt;0,COUNTIF($Y101:BU101,BV101)=0),0,IF(SUMPRODUCT(MOD(INT(BV146/{2,4,8,16,32,64,128,256,512,1024,2048,4096,8192,16384,32768}),2)*(1-MOD(INT(($CJ11+BU191)/{2,4,8,16,32,64,128,256,512,1024,2048,4096,8192,16384,32768}),2))*{2,4,8,16,32,64,128,256,512,1024,2048,4096,8192,16384,32768})=0,0,2^SUMPRODUCT(--(MOD(SUMPRODUCT(MOD(INT(BV146/{2,4,8,16,32,64,128,256,512,1024,2048,4096,8192,16384,32768}),2)*(1-MOD(INT(($CJ11+BU191)/{2,4,8,16,32,64,128,256,512,1024,2048,4096,8192,16384,32768}),2))*{2,4,8,16,32,64,128,256,512,1024,2048,4096,8192,16384,32768}),{2,4,8,16,32,64,128,256,512,1024,2048,4096,8192,16384,32768})=0))))</f>
        <v/>
      </c>
      <c r="BW191">
        <f>BV191+IF(AND(BW101&gt;0,COUNTIF($Y101:BV101,BW101)=0),0,IF(SUMPRODUCT(MOD(INT(BW146/{2,4,8,16,32,64,128,256,512,1024,2048,4096,8192,16384,32768}),2)*(1-MOD(INT(($CJ11+BV191)/{2,4,8,16,32,64,128,256,512,1024,2048,4096,8192,16384,32768}),2))*{2,4,8,16,32,64,128,256,512,1024,2048,4096,8192,16384,32768})=0,0,2^SUMPRODUCT(--(MOD(SUMPRODUCT(MOD(INT(BW146/{2,4,8,16,32,64,128,256,512,1024,2048,4096,8192,16384,32768}),2)*(1-MOD(INT(($CJ11+BV191)/{2,4,8,16,32,64,128,256,512,1024,2048,4096,8192,16384,32768}),2))*{2,4,8,16,32,64,128,256,512,1024,2048,4096,8192,16384,32768}),{2,4,8,16,32,64,128,256,512,1024,2048,4096,8192,16384,32768})=0))))</f>
        <v/>
      </c>
      <c r="BX191">
        <f>BW191+IF(AND(BX101&gt;0,COUNTIF($Y101:BW101,BX101)=0),0,IF(SUMPRODUCT(MOD(INT(BX146/{2,4,8,16,32,64,128,256,512,1024,2048,4096,8192,16384,32768}),2)*(1-MOD(INT(($CJ11+BW191)/{2,4,8,16,32,64,128,256,512,1024,2048,4096,8192,16384,32768}),2))*{2,4,8,16,32,64,128,256,512,1024,2048,4096,8192,16384,32768})=0,0,2^SUMPRODUCT(--(MOD(SUMPRODUCT(MOD(INT(BX146/{2,4,8,16,32,64,128,256,512,1024,2048,4096,8192,16384,32768}),2)*(1-MOD(INT(($CJ11+BW191)/{2,4,8,16,32,64,128,256,512,1024,2048,4096,8192,16384,32768}),2))*{2,4,8,16,32,64,128,256,512,1024,2048,4096,8192,16384,32768}),{2,4,8,16,32,64,128,256,512,1024,2048,4096,8192,16384,32768})=0))))</f>
        <v/>
      </c>
      <c r="BY191">
        <f>BX191+IF(AND(BY101&gt;0,COUNTIF($Y101:BX101,BY101)=0),0,IF(SUMPRODUCT(MOD(INT(BY146/{2,4,8,16,32,64,128,256,512,1024,2048,4096,8192,16384,32768}),2)*(1-MOD(INT(($CJ11+BX191)/{2,4,8,16,32,64,128,256,512,1024,2048,4096,8192,16384,32768}),2))*{2,4,8,16,32,64,128,256,512,1024,2048,4096,8192,16384,32768})=0,0,2^SUMPRODUCT(--(MOD(SUMPRODUCT(MOD(INT(BY146/{2,4,8,16,32,64,128,256,512,1024,2048,4096,8192,16384,32768}),2)*(1-MOD(INT(($CJ11+BX191)/{2,4,8,16,32,64,128,256,512,1024,2048,4096,8192,16384,32768}),2))*{2,4,8,16,32,64,128,256,512,1024,2048,4096,8192,16384,32768}),{2,4,8,16,32,64,128,256,512,1024,2048,4096,8192,16384,32768})=0))))</f>
        <v/>
      </c>
      <c r="BZ191">
        <f>BY191+IF(AND(BZ101&gt;0,COUNTIF($Y101:BY101,BZ101)=0),0,IF(SUMPRODUCT(MOD(INT(BZ146/{2,4,8,16,32,64,128,256,512,1024,2048,4096,8192,16384,32768}),2)*(1-MOD(INT(($CJ11+BY191)/{2,4,8,16,32,64,128,256,512,1024,2048,4096,8192,16384,32768}),2))*{2,4,8,16,32,64,128,256,512,1024,2048,4096,8192,16384,32768})=0,0,2^SUMPRODUCT(--(MOD(SUMPRODUCT(MOD(INT(BZ146/{2,4,8,16,32,64,128,256,512,1024,2048,4096,8192,16384,32768}),2)*(1-MOD(INT(($CJ11+BY191)/{2,4,8,16,32,64,128,256,512,1024,2048,4096,8192,16384,32768}),2))*{2,4,8,16,32,64,128,256,512,1024,2048,4096,8192,16384,32768}),{2,4,8,16,32,64,128,256,512,1024,2048,4096,8192,16384,32768})=0))))</f>
        <v/>
      </c>
      <c r="CA191">
        <f>BZ191+IF(AND(CA101&gt;0,COUNTIF($Y101:BZ101,CA101)=0),0,IF(SUMPRODUCT(MOD(INT(CA146/{2,4,8,16,32,64,128,256,512,1024,2048,4096,8192,16384,32768}),2)*(1-MOD(INT(($CJ11+BZ191)/{2,4,8,16,32,64,128,256,512,1024,2048,4096,8192,16384,32768}),2))*{2,4,8,16,32,64,128,256,512,1024,2048,4096,8192,16384,32768})=0,0,2^SUMPRODUCT(--(MOD(SUMPRODUCT(MOD(INT(CA146/{2,4,8,16,32,64,128,256,512,1024,2048,4096,8192,16384,32768}),2)*(1-MOD(INT(($CJ11+BZ191)/{2,4,8,16,32,64,128,256,512,1024,2048,4096,8192,16384,32768}),2))*{2,4,8,16,32,64,128,256,512,1024,2048,4096,8192,16384,32768}),{2,4,8,16,32,64,128,256,512,1024,2048,4096,8192,16384,32768})=0))))</f>
        <v/>
      </c>
      <c r="CB191">
        <f>CA191+IF(AND(CB101&gt;0,COUNTIF($Y101:CA101,CB101)=0),0,IF(SUMPRODUCT(MOD(INT(CB146/{2,4,8,16,32,64,128,256,512,1024,2048,4096,8192,16384,32768}),2)*(1-MOD(INT(($CJ11+CA191)/{2,4,8,16,32,64,128,256,512,1024,2048,4096,8192,16384,32768}),2))*{2,4,8,16,32,64,128,256,512,1024,2048,4096,8192,16384,32768})=0,0,2^SUMPRODUCT(--(MOD(SUMPRODUCT(MOD(INT(CB146/{2,4,8,16,32,64,128,256,512,1024,2048,4096,8192,16384,32768}),2)*(1-MOD(INT(($CJ11+CA191)/{2,4,8,16,32,64,128,256,512,1024,2048,4096,8192,16384,32768}),2))*{2,4,8,16,32,64,128,256,512,1024,2048,4096,8192,16384,32768}),{2,4,8,16,32,64,128,256,512,1024,2048,4096,8192,16384,32768})=0))))</f>
        <v/>
      </c>
      <c r="CC191">
        <f>CB191+IF(AND(CC101&gt;0,COUNTIF($Y101:CB101,CC101)=0),0,IF(SUMPRODUCT(MOD(INT(CC146/{2,4,8,16,32,64,128,256,512,1024,2048,4096,8192,16384,32768}),2)*(1-MOD(INT(($CJ11+CB191)/{2,4,8,16,32,64,128,256,512,1024,2048,4096,8192,16384,32768}),2))*{2,4,8,16,32,64,128,256,512,1024,2048,4096,8192,16384,32768})=0,0,2^SUMPRODUCT(--(MOD(SUMPRODUCT(MOD(INT(CC146/{2,4,8,16,32,64,128,256,512,1024,2048,4096,8192,16384,32768}),2)*(1-MOD(INT(($CJ11+CB191)/{2,4,8,16,32,64,128,256,512,1024,2048,4096,8192,16384,32768}),2))*{2,4,8,16,32,64,128,256,512,1024,2048,4096,8192,16384,32768}),{2,4,8,16,32,64,128,256,512,1024,2048,4096,8192,16384,32768})=0))))</f>
        <v/>
      </c>
      <c r="CD191">
        <f>CC191+IF(AND(CD101&gt;0,COUNTIF($Y101:CC101,CD101)=0),0,IF(SUMPRODUCT(MOD(INT(CD146/{2,4,8,16,32,64,128,256,512,1024,2048,4096,8192,16384,32768}),2)*(1-MOD(INT(($CJ11+CC191)/{2,4,8,16,32,64,128,256,512,1024,2048,4096,8192,16384,32768}),2))*{2,4,8,16,32,64,128,256,512,1024,2048,4096,8192,16384,32768})=0,0,2^SUMPRODUCT(--(MOD(SUMPRODUCT(MOD(INT(CD146/{2,4,8,16,32,64,128,256,512,1024,2048,4096,8192,16384,32768}),2)*(1-MOD(INT(($CJ11+CC191)/{2,4,8,16,32,64,128,256,512,1024,2048,4096,8192,16384,32768}),2))*{2,4,8,16,32,64,128,256,512,1024,2048,4096,8192,16384,32768}),{2,4,8,16,32,64,128,256,512,1024,2048,4096,8192,16384,32768})=0))))</f>
        <v/>
      </c>
      <c r="CE191">
        <f>CD191+IF(AND(CE101&gt;0,COUNTIF($Y101:CD101,CE101)=0),0,IF(SUMPRODUCT(MOD(INT(CE146/{2,4,8,16,32,64,128,256,512,1024,2048,4096,8192,16384,32768}),2)*(1-MOD(INT(($CJ11+CD191)/{2,4,8,16,32,64,128,256,512,1024,2048,4096,8192,16384,32768}),2))*{2,4,8,16,32,64,128,256,512,1024,2048,4096,8192,16384,32768})=0,0,2^SUMPRODUCT(--(MOD(SUMPRODUCT(MOD(INT(CE146/{2,4,8,16,32,64,128,256,512,1024,2048,4096,8192,16384,32768}),2)*(1-MOD(INT(($CJ11+CD191)/{2,4,8,16,32,64,128,256,512,1024,2048,4096,8192,16384,32768}),2))*{2,4,8,16,32,64,128,256,512,1024,2048,4096,8192,16384,32768}),{2,4,8,16,32,64,128,256,512,1024,2048,4096,8192,16384,32768})=0))))</f>
        <v/>
      </c>
      <c r="CF191">
        <f>CE191+IF(AND(CF101&gt;0,COUNTIF($Y101:CE101,CF101)=0),0,IF(SUMPRODUCT(MOD(INT(CF146/{2,4,8,16,32,64,128,256,512,1024,2048,4096,8192,16384,32768}),2)*(1-MOD(INT(($CJ11+CE191)/{2,4,8,16,32,64,128,256,512,1024,2048,4096,8192,16384,32768}),2))*{2,4,8,16,32,64,128,256,512,1024,2048,4096,8192,16384,32768})=0,0,2^SUMPRODUCT(--(MOD(SUMPRODUCT(MOD(INT(CF146/{2,4,8,16,32,64,128,256,512,1024,2048,4096,8192,16384,32768}),2)*(1-MOD(INT(($CJ11+CE191)/{2,4,8,16,32,64,128,256,512,1024,2048,4096,8192,16384,32768}),2))*{2,4,8,16,32,64,128,256,512,1024,2048,4096,8192,16384,32768}),{2,4,8,16,32,64,128,256,512,1024,2048,4096,8192,16384,32768})=0))))</f>
        <v/>
      </c>
      <c r="DA191" t="n">
        <v>187</v>
      </c>
      <c r="DB191">
        <f>IF($B$37=0,"",IFERROR(TRIM(SUBSTITUTE(SUBSTITUTE(SUBSTITUTE(SUBSTITUTE(INDEX(PASTE_ALL,187,$B$37)," "," "),CHAR(9)," "),CHAR(10)," "),CHAR(13)," ")),""))</f>
        <v/>
      </c>
      <c r="DC191">
        <f>IF(AND(187&gt;HEADER_ROW,UPPER(DB191)="LEGEND"),1,0)</f>
        <v/>
      </c>
      <c r="DE191" t="n">
        <v>187</v>
      </c>
      <c r="DF191">
        <f>HEADER_ROW+$DE191</f>
        <v/>
      </c>
      <c r="DG191">
        <f>IF(AND($DF191&lt;=1000,$DF191&lt;$B$8),1,0)</f>
        <v/>
      </c>
      <c r="DH191">
        <f>IF($DG191=1,IFERROR(INDEX($DB$5:$DB$1004,$DF191),""),"")</f>
        <v/>
      </c>
      <c r="DI191">
        <f>IF(AND($DG191=1,$DH191&lt;&gt;""),IFERROR(SUBSTITUTE(SUBSTITUTE(TRIM(SUBSTITUTE(SUBSTITUTE(SUBSTITUTE(SUBSTITUTE(IFERROR(INDEX(PASTE_ALL,$DF191,1)&amp;"","")&amp;"␟"&amp;IFERROR(INDEX(PASTE_ALL,$DF191,2)&amp;"","")&amp;"␟"&amp;IFERROR(INDEX(PASTE_ALL,$DF191,3)&amp;"","")&amp;"␟"&amp;IFERROR(INDEX(PASTE_ALL,$DF191,4)&amp;"","")&amp;"␟"&amp;IFERROR(INDEX(PASTE_ALL,$DF191,5)&amp;"","")&amp;"␟"&amp;IFERROR(INDEX(PASTE_ALL,$DF191,6)&amp;"","")&amp;"␟"&amp;IFERROR(INDEX(PASTE_ALL,$DF191,7)&amp;"","")&amp;"␟"&amp;IFERROR(INDEX(PASTE_ALL,$DF191,8)&amp;"","")&amp;"␟"&amp;IFERROR(INDEX(PASTE_ALL,$DF191,9)&amp;"","")&amp;"␟"&amp;IFERROR(INDEX(PASTE_ALL,$DF191,10)&amp;"","")&amp;"␟"&amp;IFERROR(INDEX(PASTE_ALL,$DF191,11)&amp;"","")&amp;"␟"&amp;IFERROR(INDEX(PASTE_ALL,$DF191,12)&amp;"","")&amp;"␟"&amp;IFERROR(INDEX(PASTE_ALL,$DF191,13)&amp;"","")&amp;"␟"&amp;IFERROR(INDEX(PASTE_ALL,$DF191,14)&amp;"","")&amp;"␟"&amp;IFERROR(INDEX(PASTE_ALL,$DF191,15)&amp;"","")&amp;"␟"&amp;IFERROR(INDEX(PASTE_ALL,$DF191,16)&amp;"","")&amp;"␟"&amp;IFERROR(INDEX(PASTE_ALL,$DF191,17)&amp;"","")&amp;"␟"&amp;IFERROR(INDEX(PASTE_ALL,$DF191,18)&amp;"","")&amp;"␟"&amp;IFERROR(INDEX(PASTE_ALL,$DF191,19)&amp;"","")&amp;"␟"&amp;IFERROR(INDEX(PASTE_ALL,$DF191,20)&amp;"","")&amp;"␟"&amp;IFERROR(INDEX(PASTE_ALL,$DF191,21)&amp;"","")&amp;"␟"&amp;IFERROR(INDEX(PASTE_ALL,$DF191,22)&amp;"","")&amp;"␟"&amp;IFERROR(INDEX(PASTE_ALL,$DF191,23)&amp;"","")&amp;"␟"&amp;IFERROR(INDEX(PASTE_ALL,$DF191,24)&amp;"","")&amp;"␟"&amp;IFERROR(INDEX(PASTE_ALL,$DF191,25)&amp;"","")&amp;"␟"&amp;IFERROR(INDEX(PASTE_ALL,$DF191,26)&amp;"","")&amp;"␟"&amp;IFERROR(INDEX(PASTE_ALL,$DF191,27)&amp;"","")&amp;"␟"&amp;IFERROR(INDEX(PASTE_ALL,$DF191,28)&amp;"","")&amp;"␟"&amp;IFERROR(INDEX(PASTE_ALL,$DF191,29)&amp;"","")&amp;"␟"&amp;IFERROR(INDEX(PASTE_ALL,$DF191,30)&amp;"","")&amp;"␟"&amp;IFERROR(INDEX(PASTE_ALL,$DF191,31)&amp;"","")&amp;"␟"&amp;IFERROR(INDEX(PASTE_ALL,$DF191,32)&amp;"","")&amp;"␟"&amp;IFERROR(INDEX(PASTE_ALL,$DF191,33)&amp;"","")&amp;"␟"&amp;IFERROR(INDEX(PASTE_ALL,$DF191,34)&amp;"","")&amp;"␟"&amp;IFERROR(INDEX(PASTE_ALL,$DF191,35)&amp;"","")&amp;"␟"&amp;IFERROR(INDEX(PASTE_ALL,$DF191,36)&amp;"","")&amp;"␟"&amp;IFERROR(INDEX(PASTE_ALL,$DF191,37)&amp;"","")&amp;"␟"&amp;IFERROR(INDEX(PASTE_ALL,$DF191,38)&amp;"","")&amp;"␟"&amp;IFERROR(INDEX(PASTE_ALL,$DF191,39)&amp;"","")&amp;"␟"&amp;IFERROR(INDEX(PASTE_ALL,$DF191,40)&amp;"","")&amp;"␟"&amp;IFERROR(INDEX(PASTE_ALL,$DF191,41)&amp;"","")&amp;"␟"&amp;IFERROR(INDEX(PASTE_ALL,$DF191,42)&amp;"","")&amp;"␟"&amp;IFERROR(INDEX(PASTE_ALL,$DF191,43)&amp;"","")&amp;"␟"&amp;IFERROR(INDEX(PASTE_ALL,$DF191,44)&amp;"","")&amp;"␟"&amp;IFERROR(INDEX(PASTE_ALL,$DF191,45)&amp;"","")&amp;"␟"&amp;IFERROR(INDEX(PASTE_ALL,$DF191,46)&amp;"","")&amp;"␟"&amp;IFERROR(INDEX(PASTE_ALL,$DF191,47)&amp;"","")&amp;"␟"&amp;IFERROR(INDEX(PASTE_ALL,$DF191,48)&amp;"","")&amp;"␟"&amp;IFERROR(INDEX(PASTE_ALL,$DF191,49)&amp;"","")&amp;"␟"&amp;IFERROR(INDEX(PASTE_ALL,$DF191,50)&amp;"","")&amp;"␟"&amp;IFERROR(INDEX(PASTE_ALL,$DF191,51)&amp;"","")&amp;"␟"&amp;IFERROR(INDEX(PASTE_ALL,$DF191,52)&amp;"","")&amp;"␟"&amp;IFERROR(INDEX(PASTE_ALL,$DF191,53)&amp;"","")&amp;"␟"&amp;IFERROR(INDEX(PASTE_ALL,$DF191,54)&amp;"","")&amp;"␟"&amp;IFERROR(INDEX(PASTE_ALL,$DF191,55)&amp;"","")&amp;"␟"&amp;IFERROR(INDEX(PASTE_ALL,$DF191,56)&amp;"","")&amp;"␟"&amp;IFERROR(INDEX(PASTE_ALL,$DF191,57)&amp;"","")&amp;"␟"&amp;IFERROR(INDEX(PASTE_ALL,$DF191,58)&amp;"","")&amp;"␟"&amp;IFERROR(INDEX(PASTE_ALL,$DF191,59)&amp;"","")&amp;"␟"&amp;IFERROR(INDEX(PASTE_ALL,$DF191,60)&amp;"","")," "," "),CHAR(9)," "),CHAR(10)," "),CHAR(13)," "))," ␟","␟"),"␟ ","␟"),"#"&amp;$DE191),"")</f>
        <v/>
      </c>
      <c r="DJ191">
        <f>IF($DI191="",0,IF(SUMPRODUCT(--EXACT($DI$4:DI190,$DI191))&gt;0,1,0))</f>
        <v/>
      </c>
      <c r="DK191">
        <f>IF(AND($DI191&lt;&gt;"",$DJ191=0),1,0)</f>
        <v/>
      </c>
      <c r="DL191">
        <f>DL190+$DK191</f>
        <v/>
      </c>
      <c r="DM191">
        <f>IF(AND($DK191=1,$DL191&lt;=600),1,0)</f>
        <v/>
      </c>
      <c r="DN191">
        <f>IF($DM191=0,"",IF($L$6=0,"",IFERROR(IF(ISNUMBER(INDEX(PASTE_ALL,$DF191,$L$6)),INDEX(PASTE_ALL,$DF191,$L$6),TRIM(SUBSTITUTE(SUBSTITUTE(SUBSTITUTE(SUBSTITUTE(INDEX(PASTE_ALL,$DF191,$L$6)," "," "),CHAR(9)," "),CHAR(10)," "),CHAR(13)," "))),"")))</f>
        <v/>
      </c>
      <c r="DO191">
        <f>IF($DM191=0,"",IF($L$7=0,"",IFERROR(IF(ISNUMBER(INDEX(PASTE_ALL,$DF191,$L$7)),INDEX(PASTE_ALL,$DF191,$L$7),TRIM(SUBSTITUTE(SUBSTITUTE(SUBSTITUTE(SUBSTITUTE(INDEX(PASTE_ALL,$DF191,$L$7)," "," "),CHAR(9)," "),CHAR(10)," "),CHAR(13)," "))),"")))</f>
        <v/>
      </c>
      <c r="DP191">
        <f>IF($DM191=0,"",IF($L$8=0,"",IFERROR(IF(ISNUMBER(INDEX(PASTE_ALL,$DF191,$L$8)),INDEX(PASTE_ALL,$DF191,$L$8),TRIM(SUBSTITUTE(SUBSTITUTE(SUBSTITUTE(SUBSTITUTE(INDEX(PASTE_ALL,$DF191,$L$8)," "," "),CHAR(9)," "),CHAR(10)," "),CHAR(13)," "))),"")))</f>
        <v/>
      </c>
      <c r="DQ191">
        <f>IF($DM191=0,"",IF($L$9=0,"",IFERROR(IF(ISNUMBER(INDEX(PASTE_ALL,$DF191,$L$9)),INDEX(PASTE_ALL,$DF191,$L$9),TRIM(SUBSTITUTE(SUBSTITUTE(SUBSTITUTE(SUBSTITUTE(INDEX(PASTE_ALL,$DF191,$L$9)," "," "),CHAR(9)," "),CHAR(10)," "),CHAR(13)," "))),"")))</f>
        <v/>
      </c>
      <c r="DR191">
        <f>IF($DM191=0,"",IF($L$10=0,"",IFERROR(IF(ISNUMBER(INDEX(PASTE_ALL,$DF191,$L$10)),INDEX(PASTE_ALL,$DF191,$L$10),TRIM(SUBSTITUTE(SUBSTITUTE(SUBSTITUTE(SUBSTITUTE(INDEX(PASTE_ALL,$DF191,$L$10)," "," "),CHAR(9)," "),CHAR(10)," "),CHAR(13)," "))),"")))</f>
        <v/>
      </c>
      <c r="DS191">
        <f>IF($DM191=0,"",IF($L$11=0,"",IFERROR(IF(ISNUMBER(INDEX(PASTE_ALL,$DF191,$L$11)),INDEX(PASTE_ALL,$DF191,$L$11),TRIM(SUBSTITUTE(SUBSTITUTE(SUBSTITUTE(SUBSTITUTE(INDEX(PASTE_ALL,$DF191,$L$11)," "," "),CHAR(9)," "),CHAR(10)," "),CHAR(13)," "))),"")))</f>
        <v/>
      </c>
      <c r="DT191">
        <f>IF($DM191=0,"",IF($L$12=0,"",IFERROR(IF(ISNUMBER(INDEX(PASTE_ALL,$DF191,$L$12)),INDEX(PASTE_ALL,$DF191,$L$12),TRIM(SUBSTITUTE(SUBSTITUTE(SUBSTITUTE(SUBSTITUTE(INDEX(PASTE_ALL,$DF191,$L$12)," "," "),CHAR(9)," "),CHAR(10)," "),CHAR(13)," "))),"")))</f>
        <v/>
      </c>
      <c r="DU191">
        <f>IF($DM191=0,"",IF($L$13=0,"",IFERROR(IF(ISNUMBER(INDEX(PASTE_ALL,$DF191,$L$13)),INDEX(PASTE_ALL,$DF191,$L$13),TRIM(SUBSTITUTE(SUBSTITUTE(SUBSTITUTE(SUBSTITUTE(INDEX(PASTE_ALL,$DF191,$L$13)," "," "),CHAR(9)," "),CHAR(10)," "),CHAR(13)," "))),"")))</f>
        <v/>
      </c>
      <c r="DV191">
        <f>IF($DM191=0,"",IF($L$14=0,"",IFERROR(IF(ISNUMBER(INDEX(PASTE_ALL,$DF191,$L$14)),INDEX(PASTE_ALL,$DF191,$L$14),TRIM(SUBSTITUTE(SUBSTITUTE(SUBSTITUTE(SUBSTITUTE(INDEX(PASTE_ALL,$DF191,$L$14)," "," "),CHAR(9)," "),CHAR(10)," "),CHAR(13)," "))),"")))</f>
        <v/>
      </c>
      <c r="DW191">
        <f>IF($DM191=0,"",IF($L$15=0,"",IFERROR(IF(ISNUMBER(INDEX(PASTE_ALL,$DF191,$L$15)),INDEX(PASTE_ALL,$DF191,$L$15),IF(SUMPRODUCT(--ISNUMBER(FIND({"A","B","C","D","E","F","G","H","I","J","K","L","M","N","O","P","Q","R","S","T","U","V","W","X","Y","Z","0","1","2","3","4","5","6","7","8","9"},UPPER(TRIM(SUBSTITUTE(SUBSTITUTE(SUBSTITUTE(SUBSTITUTE(INDEX(PASTE_ALL,$DF191,$L$15)," "," "),CHAR(9)," "),CHAR(10)," "),CHAR(13)," "))))))&gt;0,TRIM(SUBSTITUTE(SUBSTITUTE(SUBSTITUTE(SUBSTITUTE(INDEX(PASTE_ALL,$DF191,$L$15)," "," "),CHAR(9)," "),CHAR(10)," "),CHAR(13)," ")),"")),"")))</f>
        <v/>
      </c>
      <c r="DX191">
        <f>IF($DM191=0,"",IF($L$16=0,"",IFERROR(IF(ISNUMBER(INDEX(PASTE_ALL,$DF191,$L$16)),INDEX(PASTE_ALL,$DF191,$L$16),SUBSTITUTE(SUBSTITUTE(TRIM(SUBSTITUTE(SUBSTITUTE(SUBSTITUTE(SUBSTITUTE(INDEX(PASTE_ALL,$DF191,$L$16)," "," "),CHAR(9)," "),CHAR(10)," "),CHAR(13)," ")),",",""),"%","")),"")))</f>
        <v/>
      </c>
      <c r="DY191">
        <f>IF($DM191=0,"",IFERROR(IF(ISNUMBER($DX191),$DX191,IF($DX191="","",IF(TRIM($DX191)="",0,IF(AND(AND(SUBSTITUTE(SUBSTITUTE(SUBSTITUTE(SUBSTITUTE(SUBSTITUTE(SUBSTITUTE(SUBSTITUTE(SUBSTITUTE(SUBSTITUTE(SUBSTITUTE(SUBSTITUTE(SUBSTITUTE(SUBSTITUTE(SUBSTITUTE(UPPER(TRIM($DX191)),"0",""),"1",""),"2",""),"3",""),"4",""),"5",""),"6",""),"7",""),"8",""),"9",""),".",""),"+",""),"-",""),"E","")="",LEN(SUBSTITUTE(SUBSTITUTE(MID(UPPER(TRIM($DX191)),1+OR(LEFT(UPPER(TRIM($DX191)),1)="+",LEFT(UPPER(TRIM($DX191)),1)="-"),999),"E+","E"),"E-","E"))=LEN(SUBSTITUTE(SUBSTITUTE(SUBSTITUTE(SUBSTITUTE(MID(UPPER(TRIM($DX191)),1+OR(LEFT(UPPER(TRIM($DX191)),1)="+",LEFT(UPPER(TRIM($DX191)),1)="-"),999),"E+","E"),"E-","E"),"+",""),"-","")),LEN(UPPER(TRIM($DX191)))-LEN(SUBSTITUTE(UPPER(TRIM($DX191)),"E",""))&lt;2,LEN(UPPER(TRIM($DX191)))-LEN(SUBSTITUTE(UPPER(TRIM($DX191)),".",""))&lt;2,IFERROR(FIND(".",UPPER(TRIM($DX191))),0)&lt;IFERROR(FIND("E",UPPER(TRIM($DX191))),999)),ISNUMBER(VALUE(TRIM($DX191)))),VALUE(TRIM($DX191)),"")))),""))</f>
        <v/>
      </c>
      <c r="DZ191">
        <f>IF($DM191=0,"",IF($L$17=0,"",IFERROR(IF(ISNUMBER(INDEX(PASTE_ALL,$DF191,$L$17)),INDEX(PASTE_ALL,$DF191,$L$17),SUBSTITUTE(SUBSTITUTE(TRIM(SUBSTITUTE(SUBSTITUTE(SUBSTITUTE(SUBSTITUTE(INDEX(PASTE_ALL,$DF191,$L$17)," "," "),CHAR(9)," "),CHAR(10)," "),CHAR(13)," ")),",",""),"%","")),"")))</f>
        <v/>
      </c>
      <c r="EA191">
        <f>IF($DM191=0,"",IFERROR(IF(ISNUMBER($DZ191),$DZ191,IF($DZ191="","",IF(TRIM($DZ191)="",0,IF(AND(AND(SUBSTITUTE(SUBSTITUTE(SUBSTITUTE(SUBSTITUTE(SUBSTITUTE(SUBSTITUTE(SUBSTITUTE(SUBSTITUTE(SUBSTITUTE(SUBSTITUTE(SUBSTITUTE(SUBSTITUTE(SUBSTITUTE(SUBSTITUTE(UPPER(TRIM($DZ191)),"0",""),"1",""),"2",""),"3",""),"4",""),"5",""),"6",""),"7",""),"8",""),"9",""),".",""),"+",""),"-",""),"E","")="",LEN(SUBSTITUTE(SUBSTITUTE(MID(UPPER(TRIM($DZ191)),1+OR(LEFT(UPPER(TRIM($DZ191)),1)="+",LEFT(UPPER(TRIM($DZ191)),1)="-"),999),"E+","E"),"E-","E"))=LEN(SUBSTITUTE(SUBSTITUTE(SUBSTITUTE(SUBSTITUTE(MID(UPPER(TRIM($DZ191)),1+OR(LEFT(UPPER(TRIM($DZ191)),1)="+",LEFT(UPPER(TRIM($DZ191)),1)="-"),999),"E+","E"),"E-","E"),"+",""),"-","")),LEN(UPPER(TRIM($DZ191)))-LEN(SUBSTITUTE(UPPER(TRIM($DZ191)),"E",""))&lt;2,LEN(UPPER(TRIM($DZ191)))-LEN(SUBSTITUTE(UPPER(TRIM($DZ191)),".",""))&lt;2,IFERROR(FIND(".",UPPER(TRIM($DZ191))),0)&lt;IFERROR(FIND("E",UPPER(TRIM($DZ191))),999)),ISNUMBER(VALUE(TRIM($DZ191)))),VALUE(TRIM($DZ191)),"")))),""))</f>
        <v/>
      </c>
      <c r="EB191">
        <f>IF($DM191=0,"",IF($L$18=0,"",IFERROR(IF(UPPER(TRIM(SUBSTITUTE(SUBSTITUTE(SUBSTITUTE(SUBSTITUTE(INDEX(PASTE_ALL,$DF191,$L$18)," "," "),CHAR(9)," "),CHAR(10)," "),CHAR(13)," ")))="READY","Ready",IF(UPPER(TRIM(SUBSTITUTE(SUBSTITUTE(SUBSTITUTE(SUBSTITUTE(INDEX(PASTE_ALL,$DF191,$L$18)," "," "),CHAR(9)," "),CHAR(10)," "),CHAR(13)," ")))="PM","PM",IF(OR(UPPER(TRIM(SUBSTITUTE(SUBSTITUTE(SUBSTITUTE(SUBSTITUTE(INDEX(PASTE_ALL,$DF191,$L$18)," "," "),CHAR(9)," "),CHAR(10)," "),CHAR(13)," ")))="OT",UPPER(TRIM(SUBSTITUTE(SUBSTITUTE(SUBSTITUTE(SUBSTITUTE(INDEX(PASTE_ALL,$DF191,$L$18)," "," "),CHAR(9)," "),CHAR(10)," "),CHAR(13)," ")))="OVERTIME",UPPER(TRIM(SUBSTITUTE(SUBSTITUTE(SUBSTITUTE(SUBSTITUTE(INDEX(PASTE_ALL,$DF191,$L$18)," "," "),CHAR(9)," "),CHAR(10)," "),CHAR(13)," ")))="TRIAL"),"OT",TRIM(SUBSTITUTE(SUBSTITUTE(SUBSTITUTE(SUBSTITUTE(INDEX(PASTE_ALL,$DF191,$L$18)," "," "),CHAR(9)," "),CHAR(10)," "),CHAR(13)," "))))),"")))</f>
        <v/>
      </c>
      <c r="EC191">
        <f>IF($DM191=0,"",IF($L$19=0,"",IFERROR(IF(ISNUMBER(INDEX(PASTE_ALL,$DF191,$L$19)),INDEX(PASTE_ALL,$DF191,$L$19),TRIM(SUBSTITUTE(SUBSTITUTE(SUBSTITUTE(SUBSTITUTE(INDEX(PASTE_ALL,$DF191,$L$19)," "," "),CHAR(9)," "),CHAR(10)," "),CHAR(13)," "))),"")))</f>
        <v/>
      </c>
      <c r="ED191">
        <f>IF($DM191=0,"",MATCH(1,INDEX(EXACT($DH$5:DH191,$DH191)*$DM$5:DM191,0),0))</f>
        <v/>
      </c>
      <c r="EE191">
        <f>IF($DM191=0,0,IF($ED191=$DE191,1,0))</f>
        <v/>
      </c>
      <c r="EF191">
        <f>EF190+$EE191</f>
        <v/>
      </c>
      <c r="EG191">
        <f>IF($DM191=0,"",INDEX($EF$5:$EF$1003,$ED191))</f>
        <v/>
      </c>
      <c r="EH191">
        <f>IF($DM191=0,"",IF($DO191&lt;&gt;"","",IFERROR(LOOKUP(2,1/(($EG$4:EG190=$EG191)*($DO$4:DO190&lt;&gt;"")),$DO$4:DO190),"")))</f>
        <v/>
      </c>
      <c r="EI191">
        <f>IF($DM191=0,"",IF($DO191&lt;&gt;"",$DO191,$EH191))</f>
        <v/>
      </c>
      <c r="EJ191">
        <f>IF($DM191=0,"",IF($EI191="",0,IF(OR(ISNUMBER($EI191),AND(AND(SUBSTITUTE(SUBSTITUTE(SUBSTITUTE(SUBSTITUTE(SUBSTITUTE(SUBSTITUTE(SUBSTITUTE(SUBSTITUTE(SUBSTITUTE(SUBSTITUTE(SUBSTITUTE(SUBSTITUTE(SUBSTITUTE(SUBSTITUTE(UPPER($EI191),"0",""),"1",""),"2",""),"3",""),"4",""),"5",""),"6",""),"7",""),"8",""),"9",""),".",""),"+",""),"-",""),"E","")="",LEN(SUBSTITUTE(SUBSTITUTE(MID(UPPER($EI191),1+OR(LEFT(UPPER($EI191),1)="+",LEFT(UPPER($EI191),1)="-"),999),"E+","E"),"E-","E"))=LEN(SUBSTITUTE(SUBSTITUTE(SUBSTITUTE(SUBSTITUTE(MID(UPPER($EI191),1+OR(LEFT(UPPER($EI191),1)="+",LEFT(UPPER($EI191),1)="-"),999),"E+","E"),"E-","E"),"+",""),"-","")),LEN(UPPER($EI191))-LEN(SUBSTITUTE(UPPER($EI191),"E",""))&lt;2,LEN(UPPER($EI191))-LEN(SUBSTITUTE(UPPER($EI191),".",""))&lt;2,IFERROR(FIND(".",UPPER($EI191)),0)&lt;IFERROR(FIND("E",UPPER($EI191)),999)),ISNUMBER(VALUE($EI191)))),1,2)))</f>
        <v/>
      </c>
      <c r="EK191">
        <f>IF($DM191=0,"",IF($EJ191=1,IF(ISNUMBER($EI191),$EI191,VALUE($EI191)),IF($EJ191=2,$DE191,0)))</f>
        <v/>
      </c>
      <c r="EL191">
        <f>IF($DM191=0,"",COUNTIF($EG$5:$EG$1003,"&lt;"&amp;$EG191)+SUMPRODUCT(($EG$5:$EG$1003=$EG191)*(($EJ$5:$EJ$1003&lt;$EJ191)+($EJ$5:$EJ$1003=$EJ191)*(($EK$5:$EK$1003&lt;$EK191)+($EK$5:$EK$1003=$EK191)*($DE$5:$DE$1003&lt;$DE191))))+1)</f>
        <v/>
      </c>
      <c r="EM191">
        <f>IF($DM191=0,"",$EL191+$EG191-1)</f>
        <v/>
      </c>
      <c r="EN191">
        <f>IF($DM191=0,0,IFERROR(MATCH(1,INDEX(--(TRIM(SUBSTITUTE(SUBSTITUTE(SUBSTITUTE(SUBSTITUTE(LINES_NAME&amp;""," "," "),CHAR(9)," "),CHAR(10)," "),CHAR(13)," "))=$DH191),0),0),0))</f>
        <v/>
      </c>
      <c r="EO191">
        <f>IF($EN191=0,0,IF(OR(UPPER(TRIM(INDEX(LINES_SCHEDULED,$EN191)&amp;""))="YES",UPPER(TRIM(INDEX(LINES_SCHEDULED,$EN191)&amp;""))="Y",UPPER(TRIM(INDEX(LINES_SCHEDULED,$EN191)&amp;""))="X"),1,0))</f>
        <v/>
      </c>
      <c r="EP191">
        <f>IF($DM191=0,"",IF(COUNTIFS($EG$5:$EG$1003,$EG191,$EB$5:$EB$1003,"Ready")&gt;0,"READY",IF(COUNTIFS($EG$5:$EG$1003,$EG191,$EB$5:$EB$1003,"PM")&gt;0,"PM",IF(COUNTIFS($EG$5:$EG$1003,$EG191,$EB$5:$EB$1003,"OT")&gt;0,"OT",""))))</f>
        <v/>
      </c>
      <c r="EQ191">
        <f>IF($EN191=0,"",UPPER(TRIM(INDEX(LINES_STATUS,$EN191)&amp;"")))</f>
        <v/>
      </c>
      <c r="ER191">
        <f>IF($DM191=0,"",IF(OR($EQ191="READY",$EQ191="PM",$EQ191="OT"),$EQ191,$EP191))</f>
        <v/>
      </c>
      <c r="ES191">
        <f>IF($DM191=0,"",IF(AND($DV191&lt;&gt;"",UPPER($DV191)&lt;&gt;"N"),"allergen",IF(ISNUMBER(SEARCH("oil",$DQ191)),"oil",IF(OR(EXACT($DS191,"A662"),EXACT($DS191,"A624")),"bulk",""))))</f>
        <v/>
      </c>
      <c r="ET191">
        <f>IF($DM191=0,"",IF(OR($EA191="",$EA191=0),"",$EA191/100))</f>
        <v/>
      </c>
      <c r="EU191">
        <f>IF(OR($ET191="",$DY191=""),"",INT($DY191*(1-$ET191)+0.5))</f>
        <v/>
      </c>
      <c r="EW191" t="n">
        <v>187</v>
      </c>
      <c r="EX191">
        <f>IFERROR(MATCH($EW191,$EM$5:$EM$1003,0),0)</f>
        <v/>
      </c>
      <c r="EY191">
        <f>IF($EW191&gt;$B$12,"",IF($EX191&gt;0,"row","spacer"))</f>
        <v/>
      </c>
      <c r="EZ191">
        <f>IF(AND($EY191="row",$EY190&lt;&gt;"row"),1,0)</f>
        <v/>
      </c>
      <c r="FA191">
        <f>IF(AND($EY191="row",$EY192&lt;&gt;"row"),1,0)</f>
        <v/>
      </c>
      <c r="FB191">
        <f>IF($EZ191=1,IFERROR(IF(ISNUMBER(INDEX(PASTE_ALL,INDEX($DF$5:$DF$1003,$EX191),$B$37)),INDEX(PASTE_ALL,INDEX($DF$5:$DF$1003,$EX191),$B$37),INDEX($DH$5:$DH$1003,$EX191)),INDEX($DH$5:$DH$1003,$EX191)),"")</f>
        <v/>
      </c>
      <c r="FC191">
        <f>IF($EY191="row",INDEX($ER$5:$ER$1003,$EX191),"")</f>
        <v/>
      </c>
      <c r="FD191">
        <f>IF($EY191="row",INDEX($DN$5:$DN$1003,$EX191),"")</f>
        <v/>
      </c>
      <c r="FE191">
        <f>IF($EY191="row",INDEX($DO$5:$DO$1003,$EX191),"")</f>
        <v/>
      </c>
      <c r="FF191">
        <f>IF($EY191="row",INDEX($DP$5:$DP$1003,$EX191),"")</f>
        <v/>
      </c>
      <c r="FG191">
        <f>IF($EY191="row",INDEX($DQ$5:$DQ$1003,$EX191),"")</f>
        <v/>
      </c>
      <c r="FH191">
        <f>IF($EY191="row",INDEX($DR$5:$DR$1003,$EX191),"")</f>
        <v/>
      </c>
      <c r="FI191">
        <f>IF($EY191="row",INDEX($DS$5:$DS$1003,$EX191),"")</f>
        <v/>
      </c>
      <c r="FJ191">
        <f>IF($EY191="row",INDEX($DT$5:$DT$1003,$EX191),"")</f>
        <v/>
      </c>
      <c r="FK191">
        <f>IF($EY191="row",INDEX($DU$5:$DU$1003,$EX191),"")</f>
        <v/>
      </c>
      <c r="FL191">
        <f>IF($EY191="row",INDEX($DV$5:$DV$1003,$EX191),"")</f>
        <v/>
      </c>
      <c r="FM191">
        <f>IF($EY191="row",INDEX($DW$5:$DW$1003,$EX191),"")</f>
        <v/>
      </c>
      <c r="FN191">
        <f>IF($EY191="row",INDEX($DY$5:$DY$1003,$EX191),"")</f>
        <v/>
      </c>
      <c r="FO191">
        <f>IF($EY191="row",INDEX($EA$5:$EA$1003,$EX191),"")</f>
        <v/>
      </c>
      <c r="FP191">
        <f>IF($EY191="row",INDEX($EC$5:$EC$1003,$EX191),"")</f>
        <v/>
      </c>
      <c r="FQ191">
        <f>IF($EY191="row",INDEX($ET$5:$ET$1003,$EX191),"")</f>
        <v/>
      </c>
      <c r="FR191">
        <f>IF($EY191="row",INDEX($EU$5:$EU$1003,$EX191),"")</f>
        <v/>
      </c>
      <c r="FS191">
        <f>IF(AND($EY191="row",$EY190="row"),IF(OR(INDEX($DT$5:$DT$1003,$EX190)="",INDEX($DT$5:$DT$1003,$EX191)=""),"",IF(NOT(EXACT(INDEX($DT$5:$DT$1003,$EX190),INDEX($DT$5:$DT$1003,$EX191))),"S4",IF(NOT(EXACT(INDEX($DS$5:$DS$1003,$EX190),INDEX($DS$5:$DS$1003,$EX191))),"S3",IF(NOT(EXACT(INDEX($DR$5:$DR$1003,$EX190),INDEX($DR$5:$DR$1003,$EX191))),"S1 Count Change","S1")))),"")</f>
        <v/>
      </c>
      <c r="FT191">
        <f>IF($EY191="row",INDEX($ES$5:$ES$1003,$EX191),"")</f>
        <v/>
      </c>
      <c r="FU191">
        <f>IF($EY191="row",INDEX($EO$5:$EO$1003,$EX191),0)</f>
        <v/>
      </c>
      <c r="FV191">
        <f>IF($FS191="S1 Count Change",1,0)</f>
        <v/>
      </c>
    </row>
    <row r="192">
      <c r="Y192">
        <f>0+IF(Y102&gt;0,0,IF(SUMPRODUCT(MOD(INT(Y147/{2,4,8,16,32,64,128,256,512,1024,2048,4096,8192,16384,32768}),2)*(1-MOD(INT(($CJ12+0)/{2,4,8,16,32,64,128,256,512,1024,2048,4096,8192,16384,32768}),2))*{2,4,8,16,32,64,128,256,512,1024,2048,4096,8192,16384,32768})=0,0,2^SUMPRODUCT(--(MOD(SUMPRODUCT(MOD(INT(Y147/{2,4,8,16,32,64,128,256,512,1024,2048,4096,8192,16384,32768}),2)*(1-MOD(INT(($CJ12+0)/{2,4,8,16,32,64,128,256,512,1024,2048,4096,8192,16384,32768}),2))*{2,4,8,16,32,64,128,256,512,1024,2048,4096,8192,16384,32768}),{2,4,8,16,32,64,128,256,512,1024,2048,4096,8192,16384,32768})=0))))</f>
        <v/>
      </c>
      <c r="Z192">
        <f>Y192+IF(AND(Z102&gt;0,COUNTIF($Y102:Y102,Z102)=0),0,IF(SUMPRODUCT(MOD(INT(Z147/{2,4,8,16,32,64,128,256,512,1024,2048,4096,8192,16384,32768}),2)*(1-MOD(INT(($CJ12+Y192)/{2,4,8,16,32,64,128,256,512,1024,2048,4096,8192,16384,32768}),2))*{2,4,8,16,32,64,128,256,512,1024,2048,4096,8192,16384,32768})=0,0,2^SUMPRODUCT(--(MOD(SUMPRODUCT(MOD(INT(Z147/{2,4,8,16,32,64,128,256,512,1024,2048,4096,8192,16384,32768}),2)*(1-MOD(INT(($CJ12+Y192)/{2,4,8,16,32,64,128,256,512,1024,2048,4096,8192,16384,32768}),2))*{2,4,8,16,32,64,128,256,512,1024,2048,4096,8192,16384,32768}),{2,4,8,16,32,64,128,256,512,1024,2048,4096,8192,16384,32768})=0))))</f>
        <v/>
      </c>
      <c r="AA192">
        <f>Z192+IF(AND(AA102&gt;0,COUNTIF($Y102:Z102,AA102)=0),0,IF(SUMPRODUCT(MOD(INT(AA147/{2,4,8,16,32,64,128,256,512,1024,2048,4096,8192,16384,32768}),2)*(1-MOD(INT(($CJ12+Z192)/{2,4,8,16,32,64,128,256,512,1024,2048,4096,8192,16384,32768}),2))*{2,4,8,16,32,64,128,256,512,1024,2048,4096,8192,16384,32768})=0,0,2^SUMPRODUCT(--(MOD(SUMPRODUCT(MOD(INT(AA147/{2,4,8,16,32,64,128,256,512,1024,2048,4096,8192,16384,32768}),2)*(1-MOD(INT(($CJ12+Z192)/{2,4,8,16,32,64,128,256,512,1024,2048,4096,8192,16384,32768}),2))*{2,4,8,16,32,64,128,256,512,1024,2048,4096,8192,16384,32768}),{2,4,8,16,32,64,128,256,512,1024,2048,4096,8192,16384,32768})=0))))</f>
        <v/>
      </c>
      <c r="AB192">
        <f>AA192+IF(AND(AB102&gt;0,COUNTIF($Y102:AA102,AB102)=0),0,IF(SUMPRODUCT(MOD(INT(AB147/{2,4,8,16,32,64,128,256,512,1024,2048,4096,8192,16384,32768}),2)*(1-MOD(INT(($CJ12+AA192)/{2,4,8,16,32,64,128,256,512,1024,2048,4096,8192,16384,32768}),2))*{2,4,8,16,32,64,128,256,512,1024,2048,4096,8192,16384,32768})=0,0,2^SUMPRODUCT(--(MOD(SUMPRODUCT(MOD(INT(AB147/{2,4,8,16,32,64,128,256,512,1024,2048,4096,8192,16384,32768}),2)*(1-MOD(INT(($CJ12+AA192)/{2,4,8,16,32,64,128,256,512,1024,2048,4096,8192,16384,32768}),2))*{2,4,8,16,32,64,128,256,512,1024,2048,4096,8192,16384,32768}),{2,4,8,16,32,64,128,256,512,1024,2048,4096,8192,16384,32768})=0))))</f>
        <v/>
      </c>
      <c r="AC192">
        <f>AB192+IF(AND(AC102&gt;0,COUNTIF($Y102:AB102,AC102)=0),0,IF(SUMPRODUCT(MOD(INT(AC147/{2,4,8,16,32,64,128,256,512,1024,2048,4096,8192,16384,32768}),2)*(1-MOD(INT(($CJ12+AB192)/{2,4,8,16,32,64,128,256,512,1024,2048,4096,8192,16384,32768}),2))*{2,4,8,16,32,64,128,256,512,1024,2048,4096,8192,16384,32768})=0,0,2^SUMPRODUCT(--(MOD(SUMPRODUCT(MOD(INT(AC147/{2,4,8,16,32,64,128,256,512,1024,2048,4096,8192,16384,32768}),2)*(1-MOD(INT(($CJ12+AB192)/{2,4,8,16,32,64,128,256,512,1024,2048,4096,8192,16384,32768}),2))*{2,4,8,16,32,64,128,256,512,1024,2048,4096,8192,16384,32768}),{2,4,8,16,32,64,128,256,512,1024,2048,4096,8192,16384,32768})=0))))</f>
        <v/>
      </c>
      <c r="AD192">
        <f>AC192+IF(AND(AD102&gt;0,COUNTIF($Y102:AC102,AD102)=0),0,IF(SUMPRODUCT(MOD(INT(AD147/{2,4,8,16,32,64,128,256,512,1024,2048,4096,8192,16384,32768}),2)*(1-MOD(INT(($CJ12+AC192)/{2,4,8,16,32,64,128,256,512,1024,2048,4096,8192,16384,32768}),2))*{2,4,8,16,32,64,128,256,512,1024,2048,4096,8192,16384,32768})=0,0,2^SUMPRODUCT(--(MOD(SUMPRODUCT(MOD(INT(AD147/{2,4,8,16,32,64,128,256,512,1024,2048,4096,8192,16384,32768}),2)*(1-MOD(INT(($CJ12+AC192)/{2,4,8,16,32,64,128,256,512,1024,2048,4096,8192,16384,32768}),2))*{2,4,8,16,32,64,128,256,512,1024,2048,4096,8192,16384,32768}),{2,4,8,16,32,64,128,256,512,1024,2048,4096,8192,16384,32768})=0))))</f>
        <v/>
      </c>
      <c r="AE192">
        <f>AD192+IF(AND(AE102&gt;0,COUNTIF($Y102:AD102,AE102)=0),0,IF(SUMPRODUCT(MOD(INT(AE147/{2,4,8,16,32,64,128,256,512,1024,2048,4096,8192,16384,32768}),2)*(1-MOD(INT(($CJ12+AD192)/{2,4,8,16,32,64,128,256,512,1024,2048,4096,8192,16384,32768}),2))*{2,4,8,16,32,64,128,256,512,1024,2048,4096,8192,16384,32768})=0,0,2^SUMPRODUCT(--(MOD(SUMPRODUCT(MOD(INT(AE147/{2,4,8,16,32,64,128,256,512,1024,2048,4096,8192,16384,32768}),2)*(1-MOD(INT(($CJ12+AD192)/{2,4,8,16,32,64,128,256,512,1024,2048,4096,8192,16384,32768}),2))*{2,4,8,16,32,64,128,256,512,1024,2048,4096,8192,16384,32768}),{2,4,8,16,32,64,128,256,512,1024,2048,4096,8192,16384,32768})=0))))</f>
        <v/>
      </c>
      <c r="AF192">
        <f>AE192+IF(AND(AF102&gt;0,COUNTIF($Y102:AE102,AF102)=0),0,IF(SUMPRODUCT(MOD(INT(AF147/{2,4,8,16,32,64,128,256,512,1024,2048,4096,8192,16384,32768}),2)*(1-MOD(INT(($CJ12+AE192)/{2,4,8,16,32,64,128,256,512,1024,2048,4096,8192,16384,32768}),2))*{2,4,8,16,32,64,128,256,512,1024,2048,4096,8192,16384,32768})=0,0,2^SUMPRODUCT(--(MOD(SUMPRODUCT(MOD(INT(AF147/{2,4,8,16,32,64,128,256,512,1024,2048,4096,8192,16384,32768}),2)*(1-MOD(INT(($CJ12+AE192)/{2,4,8,16,32,64,128,256,512,1024,2048,4096,8192,16384,32768}),2))*{2,4,8,16,32,64,128,256,512,1024,2048,4096,8192,16384,32768}),{2,4,8,16,32,64,128,256,512,1024,2048,4096,8192,16384,32768})=0))))</f>
        <v/>
      </c>
      <c r="AG192">
        <f>AF192+IF(AND(AG102&gt;0,COUNTIF($Y102:AF102,AG102)=0),0,IF(SUMPRODUCT(MOD(INT(AG147/{2,4,8,16,32,64,128,256,512,1024,2048,4096,8192,16384,32768}),2)*(1-MOD(INT(($CJ12+AF192)/{2,4,8,16,32,64,128,256,512,1024,2048,4096,8192,16384,32768}),2))*{2,4,8,16,32,64,128,256,512,1024,2048,4096,8192,16384,32768})=0,0,2^SUMPRODUCT(--(MOD(SUMPRODUCT(MOD(INT(AG147/{2,4,8,16,32,64,128,256,512,1024,2048,4096,8192,16384,32768}),2)*(1-MOD(INT(($CJ12+AF192)/{2,4,8,16,32,64,128,256,512,1024,2048,4096,8192,16384,32768}),2))*{2,4,8,16,32,64,128,256,512,1024,2048,4096,8192,16384,32768}),{2,4,8,16,32,64,128,256,512,1024,2048,4096,8192,16384,32768})=0))))</f>
        <v/>
      </c>
      <c r="AH192">
        <f>AG192+IF(AND(AH102&gt;0,COUNTIF($Y102:AG102,AH102)=0),0,IF(SUMPRODUCT(MOD(INT(AH147/{2,4,8,16,32,64,128,256,512,1024,2048,4096,8192,16384,32768}),2)*(1-MOD(INT(($CJ12+AG192)/{2,4,8,16,32,64,128,256,512,1024,2048,4096,8192,16384,32768}),2))*{2,4,8,16,32,64,128,256,512,1024,2048,4096,8192,16384,32768})=0,0,2^SUMPRODUCT(--(MOD(SUMPRODUCT(MOD(INT(AH147/{2,4,8,16,32,64,128,256,512,1024,2048,4096,8192,16384,32768}),2)*(1-MOD(INT(($CJ12+AG192)/{2,4,8,16,32,64,128,256,512,1024,2048,4096,8192,16384,32768}),2))*{2,4,8,16,32,64,128,256,512,1024,2048,4096,8192,16384,32768}),{2,4,8,16,32,64,128,256,512,1024,2048,4096,8192,16384,32768})=0))))</f>
        <v/>
      </c>
      <c r="AI192">
        <f>AH192+IF(AND(AI102&gt;0,COUNTIF($Y102:AH102,AI102)=0),0,IF(SUMPRODUCT(MOD(INT(AI147/{2,4,8,16,32,64,128,256,512,1024,2048,4096,8192,16384,32768}),2)*(1-MOD(INT(($CJ12+AH192)/{2,4,8,16,32,64,128,256,512,1024,2048,4096,8192,16384,32768}),2))*{2,4,8,16,32,64,128,256,512,1024,2048,4096,8192,16384,32768})=0,0,2^SUMPRODUCT(--(MOD(SUMPRODUCT(MOD(INT(AI147/{2,4,8,16,32,64,128,256,512,1024,2048,4096,8192,16384,32768}),2)*(1-MOD(INT(($CJ12+AH192)/{2,4,8,16,32,64,128,256,512,1024,2048,4096,8192,16384,32768}),2))*{2,4,8,16,32,64,128,256,512,1024,2048,4096,8192,16384,32768}),{2,4,8,16,32,64,128,256,512,1024,2048,4096,8192,16384,32768})=0))))</f>
        <v/>
      </c>
      <c r="AJ192">
        <f>AI192+IF(AND(AJ102&gt;0,COUNTIF($Y102:AI102,AJ102)=0),0,IF(SUMPRODUCT(MOD(INT(AJ147/{2,4,8,16,32,64,128,256,512,1024,2048,4096,8192,16384,32768}),2)*(1-MOD(INT(($CJ12+AI192)/{2,4,8,16,32,64,128,256,512,1024,2048,4096,8192,16384,32768}),2))*{2,4,8,16,32,64,128,256,512,1024,2048,4096,8192,16384,32768})=0,0,2^SUMPRODUCT(--(MOD(SUMPRODUCT(MOD(INT(AJ147/{2,4,8,16,32,64,128,256,512,1024,2048,4096,8192,16384,32768}),2)*(1-MOD(INT(($CJ12+AI192)/{2,4,8,16,32,64,128,256,512,1024,2048,4096,8192,16384,32768}),2))*{2,4,8,16,32,64,128,256,512,1024,2048,4096,8192,16384,32768}),{2,4,8,16,32,64,128,256,512,1024,2048,4096,8192,16384,32768})=0))))</f>
        <v/>
      </c>
      <c r="AK192">
        <f>AJ192+IF(AND(AK102&gt;0,COUNTIF($Y102:AJ102,AK102)=0),0,IF(SUMPRODUCT(MOD(INT(AK147/{2,4,8,16,32,64,128,256,512,1024,2048,4096,8192,16384,32768}),2)*(1-MOD(INT(($CJ12+AJ192)/{2,4,8,16,32,64,128,256,512,1024,2048,4096,8192,16384,32768}),2))*{2,4,8,16,32,64,128,256,512,1024,2048,4096,8192,16384,32768})=0,0,2^SUMPRODUCT(--(MOD(SUMPRODUCT(MOD(INT(AK147/{2,4,8,16,32,64,128,256,512,1024,2048,4096,8192,16384,32768}),2)*(1-MOD(INT(($CJ12+AJ192)/{2,4,8,16,32,64,128,256,512,1024,2048,4096,8192,16384,32768}),2))*{2,4,8,16,32,64,128,256,512,1024,2048,4096,8192,16384,32768}),{2,4,8,16,32,64,128,256,512,1024,2048,4096,8192,16384,32768})=0))))</f>
        <v/>
      </c>
      <c r="AL192">
        <f>AK192+IF(AND(AL102&gt;0,COUNTIF($Y102:AK102,AL102)=0),0,IF(SUMPRODUCT(MOD(INT(AL147/{2,4,8,16,32,64,128,256,512,1024,2048,4096,8192,16384,32768}),2)*(1-MOD(INT(($CJ12+AK192)/{2,4,8,16,32,64,128,256,512,1024,2048,4096,8192,16384,32768}),2))*{2,4,8,16,32,64,128,256,512,1024,2048,4096,8192,16384,32768})=0,0,2^SUMPRODUCT(--(MOD(SUMPRODUCT(MOD(INT(AL147/{2,4,8,16,32,64,128,256,512,1024,2048,4096,8192,16384,32768}),2)*(1-MOD(INT(($CJ12+AK192)/{2,4,8,16,32,64,128,256,512,1024,2048,4096,8192,16384,32768}),2))*{2,4,8,16,32,64,128,256,512,1024,2048,4096,8192,16384,32768}),{2,4,8,16,32,64,128,256,512,1024,2048,4096,8192,16384,32768})=0))))</f>
        <v/>
      </c>
      <c r="AM192">
        <f>AL192+IF(AND(AM102&gt;0,COUNTIF($Y102:AL102,AM102)=0),0,IF(SUMPRODUCT(MOD(INT(AM147/{2,4,8,16,32,64,128,256,512,1024,2048,4096,8192,16384,32768}),2)*(1-MOD(INT(($CJ12+AL192)/{2,4,8,16,32,64,128,256,512,1024,2048,4096,8192,16384,32768}),2))*{2,4,8,16,32,64,128,256,512,1024,2048,4096,8192,16384,32768})=0,0,2^SUMPRODUCT(--(MOD(SUMPRODUCT(MOD(INT(AM147/{2,4,8,16,32,64,128,256,512,1024,2048,4096,8192,16384,32768}),2)*(1-MOD(INT(($CJ12+AL192)/{2,4,8,16,32,64,128,256,512,1024,2048,4096,8192,16384,32768}),2))*{2,4,8,16,32,64,128,256,512,1024,2048,4096,8192,16384,32768}),{2,4,8,16,32,64,128,256,512,1024,2048,4096,8192,16384,32768})=0))))</f>
        <v/>
      </c>
      <c r="AN192">
        <f>AM192+IF(AND(AN102&gt;0,COUNTIF($Y102:AM102,AN102)=0),0,IF(SUMPRODUCT(MOD(INT(AN147/{2,4,8,16,32,64,128,256,512,1024,2048,4096,8192,16384,32768}),2)*(1-MOD(INT(($CJ12+AM192)/{2,4,8,16,32,64,128,256,512,1024,2048,4096,8192,16384,32768}),2))*{2,4,8,16,32,64,128,256,512,1024,2048,4096,8192,16384,32768})=0,0,2^SUMPRODUCT(--(MOD(SUMPRODUCT(MOD(INT(AN147/{2,4,8,16,32,64,128,256,512,1024,2048,4096,8192,16384,32768}),2)*(1-MOD(INT(($CJ12+AM192)/{2,4,8,16,32,64,128,256,512,1024,2048,4096,8192,16384,32768}),2))*{2,4,8,16,32,64,128,256,512,1024,2048,4096,8192,16384,32768}),{2,4,8,16,32,64,128,256,512,1024,2048,4096,8192,16384,32768})=0))))</f>
        <v/>
      </c>
      <c r="AO192">
        <f>AN192+IF(AND(AO102&gt;0,COUNTIF($Y102:AN102,AO102)=0),0,IF(SUMPRODUCT(MOD(INT(AO147/{2,4,8,16,32,64,128,256,512,1024,2048,4096,8192,16384,32768}),2)*(1-MOD(INT(($CJ12+AN192)/{2,4,8,16,32,64,128,256,512,1024,2048,4096,8192,16384,32768}),2))*{2,4,8,16,32,64,128,256,512,1024,2048,4096,8192,16384,32768})=0,0,2^SUMPRODUCT(--(MOD(SUMPRODUCT(MOD(INT(AO147/{2,4,8,16,32,64,128,256,512,1024,2048,4096,8192,16384,32768}),2)*(1-MOD(INT(($CJ12+AN192)/{2,4,8,16,32,64,128,256,512,1024,2048,4096,8192,16384,32768}),2))*{2,4,8,16,32,64,128,256,512,1024,2048,4096,8192,16384,32768}),{2,4,8,16,32,64,128,256,512,1024,2048,4096,8192,16384,32768})=0))))</f>
        <v/>
      </c>
      <c r="AP192">
        <f>AO192+IF(AND(AP102&gt;0,COUNTIF($Y102:AO102,AP102)=0),0,IF(SUMPRODUCT(MOD(INT(AP147/{2,4,8,16,32,64,128,256,512,1024,2048,4096,8192,16384,32768}),2)*(1-MOD(INT(($CJ12+AO192)/{2,4,8,16,32,64,128,256,512,1024,2048,4096,8192,16384,32768}),2))*{2,4,8,16,32,64,128,256,512,1024,2048,4096,8192,16384,32768})=0,0,2^SUMPRODUCT(--(MOD(SUMPRODUCT(MOD(INT(AP147/{2,4,8,16,32,64,128,256,512,1024,2048,4096,8192,16384,32768}),2)*(1-MOD(INT(($CJ12+AO192)/{2,4,8,16,32,64,128,256,512,1024,2048,4096,8192,16384,32768}),2))*{2,4,8,16,32,64,128,256,512,1024,2048,4096,8192,16384,32768}),{2,4,8,16,32,64,128,256,512,1024,2048,4096,8192,16384,32768})=0))))</f>
        <v/>
      </c>
      <c r="AQ192">
        <f>AP192+IF(AND(AQ102&gt;0,COUNTIF($Y102:AP102,AQ102)=0),0,IF(SUMPRODUCT(MOD(INT(AQ147/{2,4,8,16,32,64,128,256,512,1024,2048,4096,8192,16384,32768}),2)*(1-MOD(INT(($CJ12+AP192)/{2,4,8,16,32,64,128,256,512,1024,2048,4096,8192,16384,32768}),2))*{2,4,8,16,32,64,128,256,512,1024,2048,4096,8192,16384,32768})=0,0,2^SUMPRODUCT(--(MOD(SUMPRODUCT(MOD(INT(AQ147/{2,4,8,16,32,64,128,256,512,1024,2048,4096,8192,16384,32768}),2)*(1-MOD(INT(($CJ12+AP192)/{2,4,8,16,32,64,128,256,512,1024,2048,4096,8192,16384,32768}),2))*{2,4,8,16,32,64,128,256,512,1024,2048,4096,8192,16384,32768}),{2,4,8,16,32,64,128,256,512,1024,2048,4096,8192,16384,32768})=0))))</f>
        <v/>
      </c>
      <c r="AR192">
        <f>AQ192+IF(AND(AR102&gt;0,COUNTIF($Y102:AQ102,AR102)=0),0,IF(SUMPRODUCT(MOD(INT(AR147/{2,4,8,16,32,64,128,256,512,1024,2048,4096,8192,16384,32768}),2)*(1-MOD(INT(($CJ12+AQ192)/{2,4,8,16,32,64,128,256,512,1024,2048,4096,8192,16384,32768}),2))*{2,4,8,16,32,64,128,256,512,1024,2048,4096,8192,16384,32768})=0,0,2^SUMPRODUCT(--(MOD(SUMPRODUCT(MOD(INT(AR147/{2,4,8,16,32,64,128,256,512,1024,2048,4096,8192,16384,32768}),2)*(1-MOD(INT(($CJ12+AQ192)/{2,4,8,16,32,64,128,256,512,1024,2048,4096,8192,16384,32768}),2))*{2,4,8,16,32,64,128,256,512,1024,2048,4096,8192,16384,32768}),{2,4,8,16,32,64,128,256,512,1024,2048,4096,8192,16384,32768})=0))))</f>
        <v/>
      </c>
      <c r="AS192">
        <f>AR192+IF(AND(AS102&gt;0,COUNTIF($Y102:AR102,AS102)=0),0,IF(SUMPRODUCT(MOD(INT(AS147/{2,4,8,16,32,64,128,256,512,1024,2048,4096,8192,16384,32768}),2)*(1-MOD(INT(($CJ12+AR192)/{2,4,8,16,32,64,128,256,512,1024,2048,4096,8192,16384,32768}),2))*{2,4,8,16,32,64,128,256,512,1024,2048,4096,8192,16384,32768})=0,0,2^SUMPRODUCT(--(MOD(SUMPRODUCT(MOD(INT(AS147/{2,4,8,16,32,64,128,256,512,1024,2048,4096,8192,16384,32768}),2)*(1-MOD(INT(($CJ12+AR192)/{2,4,8,16,32,64,128,256,512,1024,2048,4096,8192,16384,32768}),2))*{2,4,8,16,32,64,128,256,512,1024,2048,4096,8192,16384,32768}),{2,4,8,16,32,64,128,256,512,1024,2048,4096,8192,16384,32768})=0))))</f>
        <v/>
      </c>
      <c r="AT192">
        <f>AS192+IF(AND(AT102&gt;0,COUNTIF($Y102:AS102,AT102)=0),0,IF(SUMPRODUCT(MOD(INT(AT147/{2,4,8,16,32,64,128,256,512,1024,2048,4096,8192,16384,32768}),2)*(1-MOD(INT(($CJ12+AS192)/{2,4,8,16,32,64,128,256,512,1024,2048,4096,8192,16384,32768}),2))*{2,4,8,16,32,64,128,256,512,1024,2048,4096,8192,16384,32768})=0,0,2^SUMPRODUCT(--(MOD(SUMPRODUCT(MOD(INT(AT147/{2,4,8,16,32,64,128,256,512,1024,2048,4096,8192,16384,32768}),2)*(1-MOD(INT(($CJ12+AS192)/{2,4,8,16,32,64,128,256,512,1024,2048,4096,8192,16384,32768}),2))*{2,4,8,16,32,64,128,256,512,1024,2048,4096,8192,16384,32768}),{2,4,8,16,32,64,128,256,512,1024,2048,4096,8192,16384,32768})=0))))</f>
        <v/>
      </c>
      <c r="AU192">
        <f>AT192+IF(AND(AU102&gt;0,COUNTIF($Y102:AT102,AU102)=0),0,IF(SUMPRODUCT(MOD(INT(AU147/{2,4,8,16,32,64,128,256,512,1024,2048,4096,8192,16384,32768}),2)*(1-MOD(INT(($CJ12+AT192)/{2,4,8,16,32,64,128,256,512,1024,2048,4096,8192,16384,32768}),2))*{2,4,8,16,32,64,128,256,512,1024,2048,4096,8192,16384,32768})=0,0,2^SUMPRODUCT(--(MOD(SUMPRODUCT(MOD(INT(AU147/{2,4,8,16,32,64,128,256,512,1024,2048,4096,8192,16384,32768}),2)*(1-MOD(INT(($CJ12+AT192)/{2,4,8,16,32,64,128,256,512,1024,2048,4096,8192,16384,32768}),2))*{2,4,8,16,32,64,128,256,512,1024,2048,4096,8192,16384,32768}),{2,4,8,16,32,64,128,256,512,1024,2048,4096,8192,16384,32768})=0))))</f>
        <v/>
      </c>
      <c r="AV192">
        <f>AU192+IF(AND(AV102&gt;0,COUNTIF($Y102:AU102,AV102)=0),0,IF(SUMPRODUCT(MOD(INT(AV147/{2,4,8,16,32,64,128,256,512,1024,2048,4096,8192,16384,32768}),2)*(1-MOD(INT(($CJ12+AU192)/{2,4,8,16,32,64,128,256,512,1024,2048,4096,8192,16384,32768}),2))*{2,4,8,16,32,64,128,256,512,1024,2048,4096,8192,16384,32768})=0,0,2^SUMPRODUCT(--(MOD(SUMPRODUCT(MOD(INT(AV147/{2,4,8,16,32,64,128,256,512,1024,2048,4096,8192,16384,32768}),2)*(1-MOD(INT(($CJ12+AU192)/{2,4,8,16,32,64,128,256,512,1024,2048,4096,8192,16384,32768}),2))*{2,4,8,16,32,64,128,256,512,1024,2048,4096,8192,16384,32768}),{2,4,8,16,32,64,128,256,512,1024,2048,4096,8192,16384,32768})=0))))</f>
        <v/>
      </c>
      <c r="AW192">
        <f>AV192+IF(AND(AW102&gt;0,COUNTIF($Y102:AV102,AW102)=0),0,IF(SUMPRODUCT(MOD(INT(AW147/{2,4,8,16,32,64,128,256,512,1024,2048,4096,8192,16384,32768}),2)*(1-MOD(INT(($CJ12+AV192)/{2,4,8,16,32,64,128,256,512,1024,2048,4096,8192,16384,32768}),2))*{2,4,8,16,32,64,128,256,512,1024,2048,4096,8192,16384,32768})=0,0,2^SUMPRODUCT(--(MOD(SUMPRODUCT(MOD(INT(AW147/{2,4,8,16,32,64,128,256,512,1024,2048,4096,8192,16384,32768}),2)*(1-MOD(INT(($CJ12+AV192)/{2,4,8,16,32,64,128,256,512,1024,2048,4096,8192,16384,32768}),2))*{2,4,8,16,32,64,128,256,512,1024,2048,4096,8192,16384,32768}),{2,4,8,16,32,64,128,256,512,1024,2048,4096,8192,16384,32768})=0))))</f>
        <v/>
      </c>
      <c r="AX192">
        <f>AW192+IF(AND(AX102&gt;0,COUNTIF($Y102:AW102,AX102)=0),0,IF(SUMPRODUCT(MOD(INT(AX147/{2,4,8,16,32,64,128,256,512,1024,2048,4096,8192,16384,32768}),2)*(1-MOD(INT(($CJ12+AW192)/{2,4,8,16,32,64,128,256,512,1024,2048,4096,8192,16384,32768}),2))*{2,4,8,16,32,64,128,256,512,1024,2048,4096,8192,16384,32768})=0,0,2^SUMPRODUCT(--(MOD(SUMPRODUCT(MOD(INT(AX147/{2,4,8,16,32,64,128,256,512,1024,2048,4096,8192,16384,32768}),2)*(1-MOD(INT(($CJ12+AW192)/{2,4,8,16,32,64,128,256,512,1024,2048,4096,8192,16384,32768}),2))*{2,4,8,16,32,64,128,256,512,1024,2048,4096,8192,16384,32768}),{2,4,8,16,32,64,128,256,512,1024,2048,4096,8192,16384,32768})=0))))</f>
        <v/>
      </c>
      <c r="AY192">
        <f>AX192+IF(AND(AY102&gt;0,COUNTIF($Y102:AX102,AY102)=0),0,IF(SUMPRODUCT(MOD(INT(AY147/{2,4,8,16,32,64,128,256,512,1024,2048,4096,8192,16384,32768}),2)*(1-MOD(INT(($CJ12+AX192)/{2,4,8,16,32,64,128,256,512,1024,2048,4096,8192,16384,32768}),2))*{2,4,8,16,32,64,128,256,512,1024,2048,4096,8192,16384,32768})=0,0,2^SUMPRODUCT(--(MOD(SUMPRODUCT(MOD(INT(AY147/{2,4,8,16,32,64,128,256,512,1024,2048,4096,8192,16384,32768}),2)*(1-MOD(INT(($CJ12+AX192)/{2,4,8,16,32,64,128,256,512,1024,2048,4096,8192,16384,32768}),2))*{2,4,8,16,32,64,128,256,512,1024,2048,4096,8192,16384,32768}),{2,4,8,16,32,64,128,256,512,1024,2048,4096,8192,16384,32768})=0))))</f>
        <v/>
      </c>
      <c r="AZ192">
        <f>AY192+IF(AND(AZ102&gt;0,COUNTIF($Y102:AY102,AZ102)=0),0,IF(SUMPRODUCT(MOD(INT(AZ147/{2,4,8,16,32,64,128,256,512,1024,2048,4096,8192,16384,32768}),2)*(1-MOD(INT(($CJ12+AY192)/{2,4,8,16,32,64,128,256,512,1024,2048,4096,8192,16384,32768}),2))*{2,4,8,16,32,64,128,256,512,1024,2048,4096,8192,16384,32768})=0,0,2^SUMPRODUCT(--(MOD(SUMPRODUCT(MOD(INT(AZ147/{2,4,8,16,32,64,128,256,512,1024,2048,4096,8192,16384,32768}),2)*(1-MOD(INT(($CJ12+AY192)/{2,4,8,16,32,64,128,256,512,1024,2048,4096,8192,16384,32768}),2))*{2,4,8,16,32,64,128,256,512,1024,2048,4096,8192,16384,32768}),{2,4,8,16,32,64,128,256,512,1024,2048,4096,8192,16384,32768})=0))))</f>
        <v/>
      </c>
      <c r="BA192">
        <f>AZ192+IF(AND(BA102&gt;0,COUNTIF($Y102:AZ102,BA102)=0),0,IF(SUMPRODUCT(MOD(INT(BA147/{2,4,8,16,32,64,128,256,512,1024,2048,4096,8192,16384,32768}),2)*(1-MOD(INT(($CJ12+AZ192)/{2,4,8,16,32,64,128,256,512,1024,2048,4096,8192,16384,32768}),2))*{2,4,8,16,32,64,128,256,512,1024,2048,4096,8192,16384,32768})=0,0,2^SUMPRODUCT(--(MOD(SUMPRODUCT(MOD(INT(BA147/{2,4,8,16,32,64,128,256,512,1024,2048,4096,8192,16384,32768}),2)*(1-MOD(INT(($CJ12+AZ192)/{2,4,8,16,32,64,128,256,512,1024,2048,4096,8192,16384,32768}),2))*{2,4,8,16,32,64,128,256,512,1024,2048,4096,8192,16384,32768}),{2,4,8,16,32,64,128,256,512,1024,2048,4096,8192,16384,32768})=0))))</f>
        <v/>
      </c>
      <c r="BB192">
        <f>BA192+IF(AND(BB102&gt;0,COUNTIF($Y102:BA102,BB102)=0),0,IF(SUMPRODUCT(MOD(INT(BB147/{2,4,8,16,32,64,128,256,512,1024,2048,4096,8192,16384,32768}),2)*(1-MOD(INT(($CJ12+BA192)/{2,4,8,16,32,64,128,256,512,1024,2048,4096,8192,16384,32768}),2))*{2,4,8,16,32,64,128,256,512,1024,2048,4096,8192,16384,32768})=0,0,2^SUMPRODUCT(--(MOD(SUMPRODUCT(MOD(INT(BB147/{2,4,8,16,32,64,128,256,512,1024,2048,4096,8192,16384,32768}),2)*(1-MOD(INT(($CJ12+BA192)/{2,4,8,16,32,64,128,256,512,1024,2048,4096,8192,16384,32768}),2))*{2,4,8,16,32,64,128,256,512,1024,2048,4096,8192,16384,32768}),{2,4,8,16,32,64,128,256,512,1024,2048,4096,8192,16384,32768})=0))))</f>
        <v/>
      </c>
      <c r="BC192">
        <f>BB192+IF(AND(BC102&gt;0,COUNTIF($Y102:BB102,BC102)=0),0,IF(SUMPRODUCT(MOD(INT(BC147/{2,4,8,16,32,64,128,256,512,1024,2048,4096,8192,16384,32768}),2)*(1-MOD(INT(($CJ12+BB192)/{2,4,8,16,32,64,128,256,512,1024,2048,4096,8192,16384,32768}),2))*{2,4,8,16,32,64,128,256,512,1024,2048,4096,8192,16384,32768})=0,0,2^SUMPRODUCT(--(MOD(SUMPRODUCT(MOD(INT(BC147/{2,4,8,16,32,64,128,256,512,1024,2048,4096,8192,16384,32768}),2)*(1-MOD(INT(($CJ12+BB192)/{2,4,8,16,32,64,128,256,512,1024,2048,4096,8192,16384,32768}),2))*{2,4,8,16,32,64,128,256,512,1024,2048,4096,8192,16384,32768}),{2,4,8,16,32,64,128,256,512,1024,2048,4096,8192,16384,32768})=0))))</f>
        <v/>
      </c>
      <c r="BD192">
        <f>BC192+IF(AND(BD102&gt;0,COUNTIF($Y102:BC102,BD102)=0),0,IF(SUMPRODUCT(MOD(INT(BD147/{2,4,8,16,32,64,128,256,512,1024,2048,4096,8192,16384,32768}),2)*(1-MOD(INT(($CJ12+BC192)/{2,4,8,16,32,64,128,256,512,1024,2048,4096,8192,16384,32768}),2))*{2,4,8,16,32,64,128,256,512,1024,2048,4096,8192,16384,32768})=0,0,2^SUMPRODUCT(--(MOD(SUMPRODUCT(MOD(INT(BD147/{2,4,8,16,32,64,128,256,512,1024,2048,4096,8192,16384,32768}),2)*(1-MOD(INT(($CJ12+BC192)/{2,4,8,16,32,64,128,256,512,1024,2048,4096,8192,16384,32768}),2))*{2,4,8,16,32,64,128,256,512,1024,2048,4096,8192,16384,32768}),{2,4,8,16,32,64,128,256,512,1024,2048,4096,8192,16384,32768})=0))))</f>
        <v/>
      </c>
      <c r="BE192">
        <f>BD192+IF(AND(BE102&gt;0,COUNTIF($Y102:BD102,BE102)=0),0,IF(SUMPRODUCT(MOD(INT(BE147/{2,4,8,16,32,64,128,256,512,1024,2048,4096,8192,16384,32768}),2)*(1-MOD(INT(($CJ12+BD192)/{2,4,8,16,32,64,128,256,512,1024,2048,4096,8192,16384,32768}),2))*{2,4,8,16,32,64,128,256,512,1024,2048,4096,8192,16384,32768})=0,0,2^SUMPRODUCT(--(MOD(SUMPRODUCT(MOD(INT(BE147/{2,4,8,16,32,64,128,256,512,1024,2048,4096,8192,16384,32768}),2)*(1-MOD(INT(($CJ12+BD192)/{2,4,8,16,32,64,128,256,512,1024,2048,4096,8192,16384,32768}),2))*{2,4,8,16,32,64,128,256,512,1024,2048,4096,8192,16384,32768}),{2,4,8,16,32,64,128,256,512,1024,2048,4096,8192,16384,32768})=0))))</f>
        <v/>
      </c>
      <c r="BF192">
        <f>BE192+IF(AND(BF102&gt;0,COUNTIF($Y102:BE102,BF102)=0),0,IF(SUMPRODUCT(MOD(INT(BF147/{2,4,8,16,32,64,128,256,512,1024,2048,4096,8192,16384,32768}),2)*(1-MOD(INT(($CJ12+BE192)/{2,4,8,16,32,64,128,256,512,1024,2048,4096,8192,16384,32768}),2))*{2,4,8,16,32,64,128,256,512,1024,2048,4096,8192,16384,32768})=0,0,2^SUMPRODUCT(--(MOD(SUMPRODUCT(MOD(INT(BF147/{2,4,8,16,32,64,128,256,512,1024,2048,4096,8192,16384,32768}),2)*(1-MOD(INT(($CJ12+BE192)/{2,4,8,16,32,64,128,256,512,1024,2048,4096,8192,16384,32768}),2))*{2,4,8,16,32,64,128,256,512,1024,2048,4096,8192,16384,32768}),{2,4,8,16,32,64,128,256,512,1024,2048,4096,8192,16384,32768})=0))))</f>
        <v/>
      </c>
      <c r="BG192">
        <f>BF192+IF(AND(BG102&gt;0,COUNTIF($Y102:BF102,BG102)=0),0,IF(SUMPRODUCT(MOD(INT(BG147/{2,4,8,16,32,64,128,256,512,1024,2048,4096,8192,16384,32768}),2)*(1-MOD(INT(($CJ12+BF192)/{2,4,8,16,32,64,128,256,512,1024,2048,4096,8192,16384,32768}),2))*{2,4,8,16,32,64,128,256,512,1024,2048,4096,8192,16384,32768})=0,0,2^SUMPRODUCT(--(MOD(SUMPRODUCT(MOD(INT(BG147/{2,4,8,16,32,64,128,256,512,1024,2048,4096,8192,16384,32768}),2)*(1-MOD(INT(($CJ12+BF192)/{2,4,8,16,32,64,128,256,512,1024,2048,4096,8192,16384,32768}),2))*{2,4,8,16,32,64,128,256,512,1024,2048,4096,8192,16384,32768}),{2,4,8,16,32,64,128,256,512,1024,2048,4096,8192,16384,32768})=0))))</f>
        <v/>
      </c>
      <c r="BH192">
        <f>BG192+IF(AND(BH102&gt;0,COUNTIF($Y102:BG102,BH102)=0),0,IF(SUMPRODUCT(MOD(INT(BH147/{2,4,8,16,32,64,128,256,512,1024,2048,4096,8192,16384,32768}),2)*(1-MOD(INT(($CJ12+BG192)/{2,4,8,16,32,64,128,256,512,1024,2048,4096,8192,16384,32768}),2))*{2,4,8,16,32,64,128,256,512,1024,2048,4096,8192,16384,32768})=0,0,2^SUMPRODUCT(--(MOD(SUMPRODUCT(MOD(INT(BH147/{2,4,8,16,32,64,128,256,512,1024,2048,4096,8192,16384,32768}),2)*(1-MOD(INT(($CJ12+BG192)/{2,4,8,16,32,64,128,256,512,1024,2048,4096,8192,16384,32768}),2))*{2,4,8,16,32,64,128,256,512,1024,2048,4096,8192,16384,32768}),{2,4,8,16,32,64,128,256,512,1024,2048,4096,8192,16384,32768})=0))))</f>
        <v/>
      </c>
      <c r="BI192">
        <f>BH192+IF(AND(BI102&gt;0,COUNTIF($Y102:BH102,BI102)=0),0,IF(SUMPRODUCT(MOD(INT(BI147/{2,4,8,16,32,64,128,256,512,1024,2048,4096,8192,16384,32768}),2)*(1-MOD(INT(($CJ12+BH192)/{2,4,8,16,32,64,128,256,512,1024,2048,4096,8192,16384,32768}),2))*{2,4,8,16,32,64,128,256,512,1024,2048,4096,8192,16384,32768})=0,0,2^SUMPRODUCT(--(MOD(SUMPRODUCT(MOD(INT(BI147/{2,4,8,16,32,64,128,256,512,1024,2048,4096,8192,16384,32768}),2)*(1-MOD(INT(($CJ12+BH192)/{2,4,8,16,32,64,128,256,512,1024,2048,4096,8192,16384,32768}),2))*{2,4,8,16,32,64,128,256,512,1024,2048,4096,8192,16384,32768}),{2,4,8,16,32,64,128,256,512,1024,2048,4096,8192,16384,32768})=0))))</f>
        <v/>
      </c>
      <c r="BJ192">
        <f>BI192+IF(AND(BJ102&gt;0,COUNTIF($Y102:BI102,BJ102)=0),0,IF(SUMPRODUCT(MOD(INT(BJ147/{2,4,8,16,32,64,128,256,512,1024,2048,4096,8192,16384,32768}),2)*(1-MOD(INT(($CJ12+BI192)/{2,4,8,16,32,64,128,256,512,1024,2048,4096,8192,16384,32768}),2))*{2,4,8,16,32,64,128,256,512,1024,2048,4096,8192,16384,32768})=0,0,2^SUMPRODUCT(--(MOD(SUMPRODUCT(MOD(INT(BJ147/{2,4,8,16,32,64,128,256,512,1024,2048,4096,8192,16384,32768}),2)*(1-MOD(INT(($CJ12+BI192)/{2,4,8,16,32,64,128,256,512,1024,2048,4096,8192,16384,32768}),2))*{2,4,8,16,32,64,128,256,512,1024,2048,4096,8192,16384,32768}),{2,4,8,16,32,64,128,256,512,1024,2048,4096,8192,16384,32768})=0))))</f>
        <v/>
      </c>
      <c r="BK192">
        <f>BJ192+IF(AND(BK102&gt;0,COUNTIF($Y102:BJ102,BK102)=0),0,IF(SUMPRODUCT(MOD(INT(BK147/{2,4,8,16,32,64,128,256,512,1024,2048,4096,8192,16384,32768}),2)*(1-MOD(INT(($CJ12+BJ192)/{2,4,8,16,32,64,128,256,512,1024,2048,4096,8192,16384,32768}),2))*{2,4,8,16,32,64,128,256,512,1024,2048,4096,8192,16384,32768})=0,0,2^SUMPRODUCT(--(MOD(SUMPRODUCT(MOD(INT(BK147/{2,4,8,16,32,64,128,256,512,1024,2048,4096,8192,16384,32768}),2)*(1-MOD(INT(($CJ12+BJ192)/{2,4,8,16,32,64,128,256,512,1024,2048,4096,8192,16384,32768}),2))*{2,4,8,16,32,64,128,256,512,1024,2048,4096,8192,16384,32768}),{2,4,8,16,32,64,128,256,512,1024,2048,4096,8192,16384,32768})=0))))</f>
        <v/>
      </c>
      <c r="BL192">
        <f>BK192+IF(AND(BL102&gt;0,COUNTIF($Y102:BK102,BL102)=0),0,IF(SUMPRODUCT(MOD(INT(BL147/{2,4,8,16,32,64,128,256,512,1024,2048,4096,8192,16384,32768}),2)*(1-MOD(INT(($CJ12+BK192)/{2,4,8,16,32,64,128,256,512,1024,2048,4096,8192,16384,32768}),2))*{2,4,8,16,32,64,128,256,512,1024,2048,4096,8192,16384,32768})=0,0,2^SUMPRODUCT(--(MOD(SUMPRODUCT(MOD(INT(BL147/{2,4,8,16,32,64,128,256,512,1024,2048,4096,8192,16384,32768}),2)*(1-MOD(INT(($CJ12+BK192)/{2,4,8,16,32,64,128,256,512,1024,2048,4096,8192,16384,32768}),2))*{2,4,8,16,32,64,128,256,512,1024,2048,4096,8192,16384,32768}),{2,4,8,16,32,64,128,256,512,1024,2048,4096,8192,16384,32768})=0))))</f>
        <v/>
      </c>
      <c r="BM192">
        <f>BL192+IF(AND(BM102&gt;0,COUNTIF($Y102:BL102,BM102)=0),0,IF(SUMPRODUCT(MOD(INT(BM147/{2,4,8,16,32,64,128,256,512,1024,2048,4096,8192,16384,32768}),2)*(1-MOD(INT(($CJ12+BL192)/{2,4,8,16,32,64,128,256,512,1024,2048,4096,8192,16384,32768}),2))*{2,4,8,16,32,64,128,256,512,1024,2048,4096,8192,16384,32768})=0,0,2^SUMPRODUCT(--(MOD(SUMPRODUCT(MOD(INT(BM147/{2,4,8,16,32,64,128,256,512,1024,2048,4096,8192,16384,32768}),2)*(1-MOD(INT(($CJ12+BL192)/{2,4,8,16,32,64,128,256,512,1024,2048,4096,8192,16384,32768}),2))*{2,4,8,16,32,64,128,256,512,1024,2048,4096,8192,16384,32768}),{2,4,8,16,32,64,128,256,512,1024,2048,4096,8192,16384,32768})=0))))</f>
        <v/>
      </c>
      <c r="BN192">
        <f>BM192+IF(AND(BN102&gt;0,COUNTIF($Y102:BM102,BN102)=0),0,IF(SUMPRODUCT(MOD(INT(BN147/{2,4,8,16,32,64,128,256,512,1024,2048,4096,8192,16384,32768}),2)*(1-MOD(INT(($CJ12+BM192)/{2,4,8,16,32,64,128,256,512,1024,2048,4096,8192,16384,32768}),2))*{2,4,8,16,32,64,128,256,512,1024,2048,4096,8192,16384,32768})=0,0,2^SUMPRODUCT(--(MOD(SUMPRODUCT(MOD(INT(BN147/{2,4,8,16,32,64,128,256,512,1024,2048,4096,8192,16384,32768}),2)*(1-MOD(INT(($CJ12+BM192)/{2,4,8,16,32,64,128,256,512,1024,2048,4096,8192,16384,32768}),2))*{2,4,8,16,32,64,128,256,512,1024,2048,4096,8192,16384,32768}),{2,4,8,16,32,64,128,256,512,1024,2048,4096,8192,16384,32768})=0))))</f>
        <v/>
      </c>
      <c r="BO192">
        <f>BN192+IF(AND(BO102&gt;0,COUNTIF($Y102:BN102,BO102)=0),0,IF(SUMPRODUCT(MOD(INT(BO147/{2,4,8,16,32,64,128,256,512,1024,2048,4096,8192,16384,32768}),2)*(1-MOD(INT(($CJ12+BN192)/{2,4,8,16,32,64,128,256,512,1024,2048,4096,8192,16384,32768}),2))*{2,4,8,16,32,64,128,256,512,1024,2048,4096,8192,16384,32768})=0,0,2^SUMPRODUCT(--(MOD(SUMPRODUCT(MOD(INT(BO147/{2,4,8,16,32,64,128,256,512,1024,2048,4096,8192,16384,32768}),2)*(1-MOD(INT(($CJ12+BN192)/{2,4,8,16,32,64,128,256,512,1024,2048,4096,8192,16384,32768}),2))*{2,4,8,16,32,64,128,256,512,1024,2048,4096,8192,16384,32768}),{2,4,8,16,32,64,128,256,512,1024,2048,4096,8192,16384,32768})=0))))</f>
        <v/>
      </c>
      <c r="BP192">
        <f>BO192+IF(AND(BP102&gt;0,COUNTIF($Y102:BO102,BP102)=0),0,IF(SUMPRODUCT(MOD(INT(BP147/{2,4,8,16,32,64,128,256,512,1024,2048,4096,8192,16384,32768}),2)*(1-MOD(INT(($CJ12+BO192)/{2,4,8,16,32,64,128,256,512,1024,2048,4096,8192,16384,32768}),2))*{2,4,8,16,32,64,128,256,512,1024,2048,4096,8192,16384,32768})=0,0,2^SUMPRODUCT(--(MOD(SUMPRODUCT(MOD(INT(BP147/{2,4,8,16,32,64,128,256,512,1024,2048,4096,8192,16384,32768}),2)*(1-MOD(INT(($CJ12+BO192)/{2,4,8,16,32,64,128,256,512,1024,2048,4096,8192,16384,32768}),2))*{2,4,8,16,32,64,128,256,512,1024,2048,4096,8192,16384,32768}),{2,4,8,16,32,64,128,256,512,1024,2048,4096,8192,16384,32768})=0))))</f>
        <v/>
      </c>
      <c r="BQ192">
        <f>BP192+IF(AND(BQ102&gt;0,COUNTIF($Y102:BP102,BQ102)=0),0,IF(SUMPRODUCT(MOD(INT(BQ147/{2,4,8,16,32,64,128,256,512,1024,2048,4096,8192,16384,32768}),2)*(1-MOD(INT(($CJ12+BP192)/{2,4,8,16,32,64,128,256,512,1024,2048,4096,8192,16384,32768}),2))*{2,4,8,16,32,64,128,256,512,1024,2048,4096,8192,16384,32768})=0,0,2^SUMPRODUCT(--(MOD(SUMPRODUCT(MOD(INT(BQ147/{2,4,8,16,32,64,128,256,512,1024,2048,4096,8192,16384,32768}),2)*(1-MOD(INT(($CJ12+BP192)/{2,4,8,16,32,64,128,256,512,1024,2048,4096,8192,16384,32768}),2))*{2,4,8,16,32,64,128,256,512,1024,2048,4096,8192,16384,32768}),{2,4,8,16,32,64,128,256,512,1024,2048,4096,8192,16384,32768})=0))))</f>
        <v/>
      </c>
      <c r="BR192">
        <f>BQ192+IF(AND(BR102&gt;0,COUNTIF($Y102:BQ102,BR102)=0),0,IF(SUMPRODUCT(MOD(INT(BR147/{2,4,8,16,32,64,128,256,512,1024,2048,4096,8192,16384,32768}),2)*(1-MOD(INT(($CJ12+BQ192)/{2,4,8,16,32,64,128,256,512,1024,2048,4096,8192,16384,32768}),2))*{2,4,8,16,32,64,128,256,512,1024,2048,4096,8192,16384,32768})=0,0,2^SUMPRODUCT(--(MOD(SUMPRODUCT(MOD(INT(BR147/{2,4,8,16,32,64,128,256,512,1024,2048,4096,8192,16384,32768}),2)*(1-MOD(INT(($CJ12+BQ192)/{2,4,8,16,32,64,128,256,512,1024,2048,4096,8192,16384,32768}),2))*{2,4,8,16,32,64,128,256,512,1024,2048,4096,8192,16384,32768}),{2,4,8,16,32,64,128,256,512,1024,2048,4096,8192,16384,32768})=0))))</f>
        <v/>
      </c>
      <c r="BS192">
        <f>BR192+IF(AND(BS102&gt;0,COUNTIF($Y102:BR102,BS102)=0),0,IF(SUMPRODUCT(MOD(INT(BS147/{2,4,8,16,32,64,128,256,512,1024,2048,4096,8192,16384,32768}),2)*(1-MOD(INT(($CJ12+BR192)/{2,4,8,16,32,64,128,256,512,1024,2048,4096,8192,16384,32768}),2))*{2,4,8,16,32,64,128,256,512,1024,2048,4096,8192,16384,32768})=0,0,2^SUMPRODUCT(--(MOD(SUMPRODUCT(MOD(INT(BS147/{2,4,8,16,32,64,128,256,512,1024,2048,4096,8192,16384,32768}),2)*(1-MOD(INT(($CJ12+BR192)/{2,4,8,16,32,64,128,256,512,1024,2048,4096,8192,16384,32768}),2))*{2,4,8,16,32,64,128,256,512,1024,2048,4096,8192,16384,32768}),{2,4,8,16,32,64,128,256,512,1024,2048,4096,8192,16384,32768})=0))))</f>
        <v/>
      </c>
      <c r="BT192">
        <f>BS192+IF(AND(BT102&gt;0,COUNTIF($Y102:BS102,BT102)=0),0,IF(SUMPRODUCT(MOD(INT(BT147/{2,4,8,16,32,64,128,256,512,1024,2048,4096,8192,16384,32768}),2)*(1-MOD(INT(($CJ12+BS192)/{2,4,8,16,32,64,128,256,512,1024,2048,4096,8192,16384,32768}),2))*{2,4,8,16,32,64,128,256,512,1024,2048,4096,8192,16384,32768})=0,0,2^SUMPRODUCT(--(MOD(SUMPRODUCT(MOD(INT(BT147/{2,4,8,16,32,64,128,256,512,1024,2048,4096,8192,16384,32768}),2)*(1-MOD(INT(($CJ12+BS192)/{2,4,8,16,32,64,128,256,512,1024,2048,4096,8192,16384,32768}),2))*{2,4,8,16,32,64,128,256,512,1024,2048,4096,8192,16384,32768}),{2,4,8,16,32,64,128,256,512,1024,2048,4096,8192,16384,32768})=0))))</f>
        <v/>
      </c>
      <c r="BU192">
        <f>BT192+IF(AND(BU102&gt;0,COUNTIF($Y102:BT102,BU102)=0),0,IF(SUMPRODUCT(MOD(INT(BU147/{2,4,8,16,32,64,128,256,512,1024,2048,4096,8192,16384,32768}),2)*(1-MOD(INT(($CJ12+BT192)/{2,4,8,16,32,64,128,256,512,1024,2048,4096,8192,16384,32768}),2))*{2,4,8,16,32,64,128,256,512,1024,2048,4096,8192,16384,32768})=0,0,2^SUMPRODUCT(--(MOD(SUMPRODUCT(MOD(INT(BU147/{2,4,8,16,32,64,128,256,512,1024,2048,4096,8192,16384,32768}),2)*(1-MOD(INT(($CJ12+BT192)/{2,4,8,16,32,64,128,256,512,1024,2048,4096,8192,16384,32768}),2))*{2,4,8,16,32,64,128,256,512,1024,2048,4096,8192,16384,32768}),{2,4,8,16,32,64,128,256,512,1024,2048,4096,8192,16384,32768})=0))))</f>
        <v/>
      </c>
      <c r="BV192">
        <f>BU192+IF(AND(BV102&gt;0,COUNTIF($Y102:BU102,BV102)=0),0,IF(SUMPRODUCT(MOD(INT(BV147/{2,4,8,16,32,64,128,256,512,1024,2048,4096,8192,16384,32768}),2)*(1-MOD(INT(($CJ12+BU192)/{2,4,8,16,32,64,128,256,512,1024,2048,4096,8192,16384,32768}),2))*{2,4,8,16,32,64,128,256,512,1024,2048,4096,8192,16384,32768})=0,0,2^SUMPRODUCT(--(MOD(SUMPRODUCT(MOD(INT(BV147/{2,4,8,16,32,64,128,256,512,1024,2048,4096,8192,16384,32768}),2)*(1-MOD(INT(($CJ12+BU192)/{2,4,8,16,32,64,128,256,512,1024,2048,4096,8192,16384,32768}),2))*{2,4,8,16,32,64,128,256,512,1024,2048,4096,8192,16384,32768}),{2,4,8,16,32,64,128,256,512,1024,2048,4096,8192,16384,32768})=0))))</f>
        <v/>
      </c>
      <c r="BW192">
        <f>BV192+IF(AND(BW102&gt;0,COUNTIF($Y102:BV102,BW102)=0),0,IF(SUMPRODUCT(MOD(INT(BW147/{2,4,8,16,32,64,128,256,512,1024,2048,4096,8192,16384,32768}),2)*(1-MOD(INT(($CJ12+BV192)/{2,4,8,16,32,64,128,256,512,1024,2048,4096,8192,16384,32768}),2))*{2,4,8,16,32,64,128,256,512,1024,2048,4096,8192,16384,32768})=0,0,2^SUMPRODUCT(--(MOD(SUMPRODUCT(MOD(INT(BW147/{2,4,8,16,32,64,128,256,512,1024,2048,4096,8192,16384,32768}),2)*(1-MOD(INT(($CJ12+BV192)/{2,4,8,16,32,64,128,256,512,1024,2048,4096,8192,16384,32768}),2))*{2,4,8,16,32,64,128,256,512,1024,2048,4096,8192,16384,32768}),{2,4,8,16,32,64,128,256,512,1024,2048,4096,8192,16384,32768})=0))))</f>
        <v/>
      </c>
      <c r="BX192">
        <f>BW192+IF(AND(BX102&gt;0,COUNTIF($Y102:BW102,BX102)=0),0,IF(SUMPRODUCT(MOD(INT(BX147/{2,4,8,16,32,64,128,256,512,1024,2048,4096,8192,16384,32768}),2)*(1-MOD(INT(($CJ12+BW192)/{2,4,8,16,32,64,128,256,512,1024,2048,4096,8192,16384,32768}),2))*{2,4,8,16,32,64,128,256,512,1024,2048,4096,8192,16384,32768})=0,0,2^SUMPRODUCT(--(MOD(SUMPRODUCT(MOD(INT(BX147/{2,4,8,16,32,64,128,256,512,1024,2048,4096,8192,16384,32768}),2)*(1-MOD(INT(($CJ12+BW192)/{2,4,8,16,32,64,128,256,512,1024,2048,4096,8192,16384,32768}),2))*{2,4,8,16,32,64,128,256,512,1024,2048,4096,8192,16384,32768}),{2,4,8,16,32,64,128,256,512,1024,2048,4096,8192,16384,32768})=0))))</f>
        <v/>
      </c>
      <c r="BY192">
        <f>BX192+IF(AND(BY102&gt;0,COUNTIF($Y102:BX102,BY102)=0),0,IF(SUMPRODUCT(MOD(INT(BY147/{2,4,8,16,32,64,128,256,512,1024,2048,4096,8192,16384,32768}),2)*(1-MOD(INT(($CJ12+BX192)/{2,4,8,16,32,64,128,256,512,1024,2048,4096,8192,16384,32768}),2))*{2,4,8,16,32,64,128,256,512,1024,2048,4096,8192,16384,32768})=0,0,2^SUMPRODUCT(--(MOD(SUMPRODUCT(MOD(INT(BY147/{2,4,8,16,32,64,128,256,512,1024,2048,4096,8192,16384,32768}),2)*(1-MOD(INT(($CJ12+BX192)/{2,4,8,16,32,64,128,256,512,1024,2048,4096,8192,16384,32768}),2))*{2,4,8,16,32,64,128,256,512,1024,2048,4096,8192,16384,32768}),{2,4,8,16,32,64,128,256,512,1024,2048,4096,8192,16384,32768})=0))))</f>
        <v/>
      </c>
      <c r="BZ192">
        <f>BY192+IF(AND(BZ102&gt;0,COUNTIF($Y102:BY102,BZ102)=0),0,IF(SUMPRODUCT(MOD(INT(BZ147/{2,4,8,16,32,64,128,256,512,1024,2048,4096,8192,16384,32768}),2)*(1-MOD(INT(($CJ12+BY192)/{2,4,8,16,32,64,128,256,512,1024,2048,4096,8192,16384,32768}),2))*{2,4,8,16,32,64,128,256,512,1024,2048,4096,8192,16384,32768})=0,0,2^SUMPRODUCT(--(MOD(SUMPRODUCT(MOD(INT(BZ147/{2,4,8,16,32,64,128,256,512,1024,2048,4096,8192,16384,32768}),2)*(1-MOD(INT(($CJ12+BY192)/{2,4,8,16,32,64,128,256,512,1024,2048,4096,8192,16384,32768}),2))*{2,4,8,16,32,64,128,256,512,1024,2048,4096,8192,16384,32768}),{2,4,8,16,32,64,128,256,512,1024,2048,4096,8192,16384,32768})=0))))</f>
        <v/>
      </c>
      <c r="CA192">
        <f>BZ192+IF(AND(CA102&gt;0,COUNTIF($Y102:BZ102,CA102)=0),0,IF(SUMPRODUCT(MOD(INT(CA147/{2,4,8,16,32,64,128,256,512,1024,2048,4096,8192,16384,32768}),2)*(1-MOD(INT(($CJ12+BZ192)/{2,4,8,16,32,64,128,256,512,1024,2048,4096,8192,16384,32768}),2))*{2,4,8,16,32,64,128,256,512,1024,2048,4096,8192,16384,32768})=0,0,2^SUMPRODUCT(--(MOD(SUMPRODUCT(MOD(INT(CA147/{2,4,8,16,32,64,128,256,512,1024,2048,4096,8192,16384,32768}),2)*(1-MOD(INT(($CJ12+BZ192)/{2,4,8,16,32,64,128,256,512,1024,2048,4096,8192,16384,32768}),2))*{2,4,8,16,32,64,128,256,512,1024,2048,4096,8192,16384,32768}),{2,4,8,16,32,64,128,256,512,1024,2048,4096,8192,16384,32768})=0))))</f>
        <v/>
      </c>
      <c r="CB192">
        <f>CA192+IF(AND(CB102&gt;0,COUNTIF($Y102:CA102,CB102)=0),0,IF(SUMPRODUCT(MOD(INT(CB147/{2,4,8,16,32,64,128,256,512,1024,2048,4096,8192,16384,32768}),2)*(1-MOD(INT(($CJ12+CA192)/{2,4,8,16,32,64,128,256,512,1024,2048,4096,8192,16384,32768}),2))*{2,4,8,16,32,64,128,256,512,1024,2048,4096,8192,16384,32768})=0,0,2^SUMPRODUCT(--(MOD(SUMPRODUCT(MOD(INT(CB147/{2,4,8,16,32,64,128,256,512,1024,2048,4096,8192,16384,32768}),2)*(1-MOD(INT(($CJ12+CA192)/{2,4,8,16,32,64,128,256,512,1024,2048,4096,8192,16384,32768}),2))*{2,4,8,16,32,64,128,256,512,1024,2048,4096,8192,16384,32768}),{2,4,8,16,32,64,128,256,512,1024,2048,4096,8192,16384,32768})=0))))</f>
        <v/>
      </c>
      <c r="CC192">
        <f>CB192+IF(AND(CC102&gt;0,COUNTIF($Y102:CB102,CC102)=0),0,IF(SUMPRODUCT(MOD(INT(CC147/{2,4,8,16,32,64,128,256,512,1024,2048,4096,8192,16384,32768}),2)*(1-MOD(INT(($CJ12+CB192)/{2,4,8,16,32,64,128,256,512,1024,2048,4096,8192,16384,32768}),2))*{2,4,8,16,32,64,128,256,512,1024,2048,4096,8192,16384,32768})=0,0,2^SUMPRODUCT(--(MOD(SUMPRODUCT(MOD(INT(CC147/{2,4,8,16,32,64,128,256,512,1024,2048,4096,8192,16384,32768}),2)*(1-MOD(INT(($CJ12+CB192)/{2,4,8,16,32,64,128,256,512,1024,2048,4096,8192,16384,32768}),2))*{2,4,8,16,32,64,128,256,512,1024,2048,4096,8192,16384,32768}),{2,4,8,16,32,64,128,256,512,1024,2048,4096,8192,16384,32768})=0))))</f>
        <v/>
      </c>
      <c r="CD192">
        <f>CC192+IF(AND(CD102&gt;0,COUNTIF($Y102:CC102,CD102)=0),0,IF(SUMPRODUCT(MOD(INT(CD147/{2,4,8,16,32,64,128,256,512,1024,2048,4096,8192,16384,32768}),2)*(1-MOD(INT(($CJ12+CC192)/{2,4,8,16,32,64,128,256,512,1024,2048,4096,8192,16384,32768}),2))*{2,4,8,16,32,64,128,256,512,1024,2048,4096,8192,16384,32768})=0,0,2^SUMPRODUCT(--(MOD(SUMPRODUCT(MOD(INT(CD147/{2,4,8,16,32,64,128,256,512,1024,2048,4096,8192,16384,32768}),2)*(1-MOD(INT(($CJ12+CC192)/{2,4,8,16,32,64,128,256,512,1024,2048,4096,8192,16384,32768}),2))*{2,4,8,16,32,64,128,256,512,1024,2048,4096,8192,16384,32768}),{2,4,8,16,32,64,128,256,512,1024,2048,4096,8192,16384,32768})=0))))</f>
        <v/>
      </c>
      <c r="CE192">
        <f>CD192+IF(AND(CE102&gt;0,COUNTIF($Y102:CD102,CE102)=0),0,IF(SUMPRODUCT(MOD(INT(CE147/{2,4,8,16,32,64,128,256,512,1024,2048,4096,8192,16384,32768}),2)*(1-MOD(INT(($CJ12+CD192)/{2,4,8,16,32,64,128,256,512,1024,2048,4096,8192,16384,32768}),2))*{2,4,8,16,32,64,128,256,512,1024,2048,4096,8192,16384,32768})=0,0,2^SUMPRODUCT(--(MOD(SUMPRODUCT(MOD(INT(CE147/{2,4,8,16,32,64,128,256,512,1024,2048,4096,8192,16384,32768}),2)*(1-MOD(INT(($CJ12+CD192)/{2,4,8,16,32,64,128,256,512,1024,2048,4096,8192,16384,32768}),2))*{2,4,8,16,32,64,128,256,512,1024,2048,4096,8192,16384,32768}),{2,4,8,16,32,64,128,256,512,1024,2048,4096,8192,16384,32768})=0))))</f>
        <v/>
      </c>
      <c r="CF192">
        <f>CE192+IF(AND(CF102&gt;0,COUNTIF($Y102:CE102,CF102)=0),0,IF(SUMPRODUCT(MOD(INT(CF147/{2,4,8,16,32,64,128,256,512,1024,2048,4096,8192,16384,32768}),2)*(1-MOD(INT(($CJ12+CE192)/{2,4,8,16,32,64,128,256,512,1024,2048,4096,8192,16384,32768}),2))*{2,4,8,16,32,64,128,256,512,1024,2048,4096,8192,16384,32768})=0,0,2^SUMPRODUCT(--(MOD(SUMPRODUCT(MOD(INT(CF147/{2,4,8,16,32,64,128,256,512,1024,2048,4096,8192,16384,32768}),2)*(1-MOD(INT(($CJ12+CE192)/{2,4,8,16,32,64,128,256,512,1024,2048,4096,8192,16384,32768}),2))*{2,4,8,16,32,64,128,256,512,1024,2048,4096,8192,16384,32768}),{2,4,8,16,32,64,128,256,512,1024,2048,4096,8192,16384,32768})=0))))</f>
        <v/>
      </c>
      <c r="DA192" t="n">
        <v>188</v>
      </c>
      <c r="DB192">
        <f>IF($B$37=0,"",IFERROR(TRIM(SUBSTITUTE(SUBSTITUTE(SUBSTITUTE(SUBSTITUTE(INDEX(PASTE_ALL,188,$B$37)," "," "),CHAR(9)," "),CHAR(10)," "),CHAR(13)," ")),""))</f>
        <v/>
      </c>
      <c r="DC192">
        <f>IF(AND(188&gt;HEADER_ROW,UPPER(DB192)="LEGEND"),1,0)</f>
        <v/>
      </c>
      <c r="DE192" t="n">
        <v>188</v>
      </c>
      <c r="DF192">
        <f>HEADER_ROW+$DE192</f>
        <v/>
      </c>
      <c r="DG192">
        <f>IF(AND($DF192&lt;=1000,$DF192&lt;$B$8),1,0)</f>
        <v/>
      </c>
      <c r="DH192">
        <f>IF($DG192=1,IFERROR(INDEX($DB$5:$DB$1004,$DF192),""),"")</f>
        <v/>
      </c>
      <c r="DI192">
        <f>IF(AND($DG192=1,$DH192&lt;&gt;""),IFERROR(SUBSTITUTE(SUBSTITUTE(TRIM(SUBSTITUTE(SUBSTITUTE(SUBSTITUTE(SUBSTITUTE(IFERROR(INDEX(PASTE_ALL,$DF192,1)&amp;"","")&amp;"␟"&amp;IFERROR(INDEX(PASTE_ALL,$DF192,2)&amp;"","")&amp;"␟"&amp;IFERROR(INDEX(PASTE_ALL,$DF192,3)&amp;"","")&amp;"␟"&amp;IFERROR(INDEX(PASTE_ALL,$DF192,4)&amp;"","")&amp;"␟"&amp;IFERROR(INDEX(PASTE_ALL,$DF192,5)&amp;"","")&amp;"␟"&amp;IFERROR(INDEX(PASTE_ALL,$DF192,6)&amp;"","")&amp;"␟"&amp;IFERROR(INDEX(PASTE_ALL,$DF192,7)&amp;"","")&amp;"␟"&amp;IFERROR(INDEX(PASTE_ALL,$DF192,8)&amp;"","")&amp;"␟"&amp;IFERROR(INDEX(PASTE_ALL,$DF192,9)&amp;"","")&amp;"␟"&amp;IFERROR(INDEX(PASTE_ALL,$DF192,10)&amp;"","")&amp;"␟"&amp;IFERROR(INDEX(PASTE_ALL,$DF192,11)&amp;"","")&amp;"␟"&amp;IFERROR(INDEX(PASTE_ALL,$DF192,12)&amp;"","")&amp;"␟"&amp;IFERROR(INDEX(PASTE_ALL,$DF192,13)&amp;"","")&amp;"␟"&amp;IFERROR(INDEX(PASTE_ALL,$DF192,14)&amp;"","")&amp;"␟"&amp;IFERROR(INDEX(PASTE_ALL,$DF192,15)&amp;"","")&amp;"␟"&amp;IFERROR(INDEX(PASTE_ALL,$DF192,16)&amp;"","")&amp;"␟"&amp;IFERROR(INDEX(PASTE_ALL,$DF192,17)&amp;"","")&amp;"␟"&amp;IFERROR(INDEX(PASTE_ALL,$DF192,18)&amp;"","")&amp;"␟"&amp;IFERROR(INDEX(PASTE_ALL,$DF192,19)&amp;"","")&amp;"␟"&amp;IFERROR(INDEX(PASTE_ALL,$DF192,20)&amp;"","")&amp;"␟"&amp;IFERROR(INDEX(PASTE_ALL,$DF192,21)&amp;"","")&amp;"␟"&amp;IFERROR(INDEX(PASTE_ALL,$DF192,22)&amp;"","")&amp;"␟"&amp;IFERROR(INDEX(PASTE_ALL,$DF192,23)&amp;"","")&amp;"␟"&amp;IFERROR(INDEX(PASTE_ALL,$DF192,24)&amp;"","")&amp;"␟"&amp;IFERROR(INDEX(PASTE_ALL,$DF192,25)&amp;"","")&amp;"␟"&amp;IFERROR(INDEX(PASTE_ALL,$DF192,26)&amp;"","")&amp;"␟"&amp;IFERROR(INDEX(PASTE_ALL,$DF192,27)&amp;"","")&amp;"␟"&amp;IFERROR(INDEX(PASTE_ALL,$DF192,28)&amp;"","")&amp;"␟"&amp;IFERROR(INDEX(PASTE_ALL,$DF192,29)&amp;"","")&amp;"␟"&amp;IFERROR(INDEX(PASTE_ALL,$DF192,30)&amp;"","")&amp;"␟"&amp;IFERROR(INDEX(PASTE_ALL,$DF192,31)&amp;"","")&amp;"␟"&amp;IFERROR(INDEX(PASTE_ALL,$DF192,32)&amp;"","")&amp;"␟"&amp;IFERROR(INDEX(PASTE_ALL,$DF192,33)&amp;"","")&amp;"␟"&amp;IFERROR(INDEX(PASTE_ALL,$DF192,34)&amp;"","")&amp;"␟"&amp;IFERROR(INDEX(PASTE_ALL,$DF192,35)&amp;"","")&amp;"␟"&amp;IFERROR(INDEX(PASTE_ALL,$DF192,36)&amp;"","")&amp;"␟"&amp;IFERROR(INDEX(PASTE_ALL,$DF192,37)&amp;"","")&amp;"␟"&amp;IFERROR(INDEX(PASTE_ALL,$DF192,38)&amp;"","")&amp;"␟"&amp;IFERROR(INDEX(PASTE_ALL,$DF192,39)&amp;"","")&amp;"␟"&amp;IFERROR(INDEX(PASTE_ALL,$DF192,40)&amp;"","")&amp;"␟"&amp;IFERROR(INDEX(PASTE_ALL,$DF192,41)&amp;"","")&amp;"␟"&amp;IFERROR(INDEX(PASTE_ALL,$DF192,42)&amp;"","")&amp;"␟"&amp;IFERROR(INDEX(PASTE_ALL,$DF192,43)&amp;"","")&amp;"␟"&amp;IFERROR(INDEX(PASTE_ALL,$DF192,44)&amp;"","")&amp;"␟"&amp;IFERROR(INDEX(PASTE_ALL,$DF192,45)&amp;"","")&amp;"␟"&amp;IFERROR(INDEX(PASTE_ALL,$DF192,46)&amp;"","")&amp;"␟"&amp;IFERROR(INDEX(PASTE_ALL,$DF192,47)&amp;"","")&amp;"␟"&amp;IFERROR(INDEX(PASTE_ALL,$DF192,48)&amp;"","")&amp;"␟"&amp;IFERROR(INDEX(PASTE_ALL,$DF192,49)&amp;"","")&amp;"␟"&amp;IFERROR(INDEX(PASTE_ALL,$DF192,50)&amp;"","")&amp;"␟"&amp;IFERROR(INDEX(PASTE_ALL,$DF192,51)&amp;"","")&amp;"␟"&amp;IFERROR(INDEX(PASTE_ALL,$DF192,52)&amp;"","")&amp;"␟"&amp;IFERROR(INDEX(PASTE_ALL,$DF192,53)&amp;"","")&amp;"␟"&amp;IFERROR(INDEX(PASTE_ALL,$DF192,54)&amp;"","")&amp;"␟"&amp;IFERROR(INDEX(PASTE_ALL,$DF192,55)&amp;"","")&amp;"␟"&amp;IFERROR(INDEX(PASTE_ALL,$DF192,56)&amp;"","")&amp;"␟"&amp;IFERROR(INDEX(PASTE_ALL,$DF192,57)&amp;"","")&amp;"␟"&amp;IFERROR(INDEX(PASTE_ALL,$DF192,58)&amp;"","")&amp;"␟"&amp;IFERROR(INDEX(PASTE_ALL,$DF192,59)&amp;"","")&amp;"␟"&amp;IFERROR(INDEX(PASTE_ALL,$DF192,60)&amp;"","")," "," "),CHAR(9)," "),CHAR(10)," "),CHAR(13)," "))," ␟","␟"),"␟ ","␟"),"#"&amp;$DE192),"")</f>
        <v/>
      </c>
      <c r="DJ192">
        <f>IF($DI192="",0,IF(SUMPRODUCT(--EXACT($DI$4:DI191,$DI192))&gt;0,1,0))</f>
        <v/>
      </c>
      <c r="DK192">
        <f>IF(AND($DI192&lt;&gt;"",$DJ192=0),1,0)</f>
        <v/>
      </c>
      <c r="DL192">
        <f>DL191+$DK192</f>
        <v/>
      </c>
      <c r="DM192">
        <f>IF(AND($DK192=1,$DL192&lt;=600),1,0)</f>
        <v/>
      </c>
      <c r="DN192">
        <f>IF($DM192=0,"",IF($L$6=0,"",IFERROR(IF(ISNUMBER(INDEX(PASTE_ALL,$DF192,$L$6)),INDEX(PASTE_ALL,$DF192,$L$6),TRIM(SUBSTITUTE(SUBSTITUTE(SUBSTITUTE(SUBSTITUTE(INDEX(PASTE_ALL,$DF192,$L$6)," "," "),CHAR(9)," "),CHAR(10)," "),CHAR(13)," "))),"")))</f>
        <v/>
      </c>
      <c r="DO192">
        <f>IF($DM192=0,"",IF($L$7=0,"",IFERROR(IF(ISNUMBER(INDEX(PASTE_ALL,$DF192,$L$7)),INDEX(PASTE_ALL,$DF192,$L$7),TRIM(SUBSTITUTE(SUBSTITUTE(SUBSTITUTE(SUBSTITUTE(INDEX(PASTE_ALL,$DF192,$L$7)," "," "),CHAR(9)," "),CHAR(10)," "),CHAR(13)," "))),"")))</f>
        <v/>
      </c>
      <c r="DP192">
        <f>IF($DM192=0,"",IF($L$8=0,"",IFERROR(IF(ISNUMBER(INDEX(PASTE_ALL,$DF192,$L$8)),INDEX(PASTE_ALL,$DF192,$L$8),TRIM(SUBSTITUTE(SUBSTITUTE(SUBSTITUTE(SUBSTITUTE(INDEX(PASTE_ALL,$DF192,$L$8)," "," "),CHAR(9)," "),CHAR(10)," "),CHAR(13)," "))),"")))</f>
        <v/>
      </c>
      <c r="DQ192">
        <f>IF($DM192=0,"",IF($L$9=0,"",IFERROR(IF(ISNUMBER(INDEX(PASTE_ALL,$DF192,$L$9)),INDEX(PASTE_ALL,$DF192,$L$9),TRIM(SUBSTITUTE(SUBSTITUTE(SUBSTITUTE(SUBSTITUTE(INDEX(PASTE_ALL,$DF192,$L$9)," "," "),CHAR(9)," "),CHAR(10)," "),CHAR(13)," "))),"")))</f>
        <v/>
      </c>
      <c r="DR192">
        <f>IF($DM192=0,"",IF($L$10=0,"",IFERROR(IF(ISNUMBER(INDEX(PASTE_ALL,$DF192,$L$10)),INDEX(PASTE_ALL,$DF192,$L$10),TRIM(SUBSTITUTE(SUBSTITUTE(SUBSTITUTE(SUBSTITUTE(INDEX(PASTE_ALL,$DF192,$L$10)," "," "),CHAR(9)," "),CHAR(10)," "),CHAR(13)," "))),"")))</f>
        <v/>
      </c>
      <c r="DS192">
        <f>IF($DM192=0,"",IF($L$11=0,"",IFERROR(IF(ISNUMBER(INDEX(PASTE_ALL,$DF192,$L$11)),INDEX(PASTE_ALL,$DF192,$L$11),TRIM(SUBSTITUTE(SUBSTITUTE(SUBSTITUTE(SUBSTITUTE(INDEX(PASTE_ALL,$DF192,$L$11)," "," "),CHAR(9)," "),CHAR(10)," "),CHAR(13)," "))),"")))</f>
        <v/>
      </c>
      <c r="DT192">
        <f>IF($DM192=0,"",IF($L$12=0,"",IFERROR(IF(ISNUMBER(INDEX(PASTE_ALL,$DF192,$L$12)),INDEX(PASTE_ALL,$DF192,$L$12),TRIM(SUBSTITUTE(SUBSTITUTE(SUBSTITUTE(SUBSTITUTE(INDEX(PASTE_ALL,$DF192,$L$12)," "," "),CHAR(9)," "),CHAR(10)," "),CHAR(13)," "))),"")))</f>
        <v/>
      </c>
      <c r="DU192">
        <f>IF($DM192=0,"",IF($L$13=0,"",IFERROR(IF(ISNUMBER(INDEX(PASTE_ALL,$DF192,$L$13)),INDEX(PASTE_ALL,$DF192,$L$13),TRIM(SUBSTITUTE(SUBSTITUTE(SUBSTITUTE(SUBSTITUTE(INDEX(PASTE_ALL,$DF192,$L$13)," "," "),CHAR(9)," "),CHAR(10)," "),CHAR(13)," "))),"")))</f>
        <v/>
      </c>
      <c r="DV192">
        <f>IF($DM192=0,"",IF($L$14=0,"",IFERROR(IF(ISNUMBER(INDEX(PASTE_ALL,$DF192,$L$14)),INDEX(PASTE_ALL,$DF192,$L$14),TRIM(SUBSTITUTE(SUBSTITUTE(SUBSTITUTE(SUBSTITUTE(INDEX(PASTE_ALL,$DF192,$L$14)," "," "),CHAR(9)," "),CHAR(10)," "),CHAR(13)," "))),"")))</f>
        <v/>
      </c>
      <c r="DW192">
        <f>IF($DM192=0,"",IF($L$15=0,"",IFERROR(IF(ISNUMBER(INDEX(PASTE_ALL,$DF192,$L$15)),INDEX(PASTE_ALL,$DF192,$L$15),IF(SUMPRODUCT(--ISNUMBER(FIND({"A","B","C","D","E","F","G","H","I","J","K","L","M","N","O","P","Q","R","S","T","U","V","W","X","Y","Z","0","1","2","3","4","5","6","7","8","9"},UPPER(TRIM(SUBSTITUTE(SUBSTITUTE(SUBSTITUTE(SUBSTITUTE(INDEX(PASTE_ALL,$DF192,$L$15)," "," "),CHAR(9)," "),CHAR(10)," "),CHAR(13)," "))))))&gt;0,TRIM(SUBSTITUTE(SUBSTITUTE(SUBSTITUTE(SUBSTITUTE(INDEX(PASTE_ALL,$DF192,$L$15)," "," "),CHAR(9)," "),CHAR(10)," "),CHAR(13)," ")),"")),"")))</f>
        <v/>
      </c>
      <c r="DX192">
        <f>IF($DM192=0,"",IF($L$16=0,"",IFERROR(IF(ISNUMBER(INDEX(PASTE_ALL,$DF192,$L$16)),INDEX(PASTE_ALL,$DF192,$L$16),SUBSTITUTE(SUBSTITUTE(TRIM(SUBSTITUTE(SUBSTITUTE(SUBSTITUTE(SUBSTITUTE(INDEX(PASTE_ALL,$DF192,$L$16)," "," "),CHAR(9)," "),CHAR(10)," "),CHAR(13)," ")),",",""),"%","")),"")))</f>
        <v/>
      </c>
      <c r="DY192">
        <f>IF($DM192=0,"",IFERROR(IF(ISNUMBER($DX192),$DX192,IF($DX192="","",IF(TRIM($DX192)="",0,IF(AND(AND(SUBSTITUTE(SUBSTITUTE(SUBSTITUTE(SUBSTITUTE(SUBSTITUTE(SUBSTITUTE(SUBSTITUTE(SUBSTITUTE(SUBSTITUTE(SUBSTITUTE(SUBSTITUTE(SUBSTITUTE(SUBSTITUTE(SUBSTITUTE(UPPER(TRIM($DX192)),"0",""),"1",""),"2",""),"3",""),"4",""),"5",""),"6",""),"7",""),"8",""),"9",""),".",""),"+",""),"-",""),"E","")="",LEN(SUBSTITUTE(SUBSTITUTE(MID(UPPER(TRIM($DX192)),1+OR(LEFT(UPPER(TRIM($DX192)),1)="+",LEFT(UPPER(TRIM($DX192)),1)="-"),999),"E+","E"),"E-","E"))=LEN(SUBSTITUTE(SUBSTITUTE(SUBSTITUTE(SUBSTITUTE(MID(UPPER(TRIM($DX192)),1+OR(LEFT(UPPER(TRIM($DX192)),1)="+",LEFT(UPPER(TRIM($DX192)),1)="-"),999),"E+","E"),"E-","E"),"+",""),"-","")),LEN(UPPER(TRIM($DX192)))-LEN(SUBSTITUTE(UPPER(TRIM($DX192)),"E",""))&lt;2,LEN(UPPER(TRIM($DX192)))-LEN(SUBSTITUTE(UPPER(TRIM($DX192)),".",""))&lt;2,IFERROR(FIND(".",UPPER(TRIM($DX192))),0)&lt;IFERROR(FIND("E",UPPER(TRIM($DX192))),999)),ISNUMBER(VALUE(TRIM($DX192)))),VALUE(TRIM($DX192)),"")))),""))</f>
        <v/>
      </c>
      <c r="DZ192">
        <f>IF($DM192=0,"",IF($L$17=0,"",IFERROR(IF(ISNUMBER(INDEX(PASTE_ALL,$DF192,$L$17)),INDEX(PASTE_ALL,$DF192,$L$17),SUBSTITUTE(SUBSTITUTE(TRIM(SUBSTITUTE(SUBSTITUTE(SUBSTITUTE(SUBSTITUTE(INDEX(PASTE_ALL,$DF192,$L$17)," "," "),CHAR(9)," "),CHAR(10)," "),CHAR(13)," ")),",",""),"%","")),"")))</f>
        <v/>
      </c>
      <c r="EA192">
        <f>IF($DM192=0,"",IFERROR(IF(ISNUMBER($DZ192),$DZ192,IF($DZ192="","",IF(TRIM($DZ192)="",0,IF(AND(AND(SUBSTITUTE(SUBSTITUTE(SUBSTITUTE(SUBSTITUTE(SUBSTITUTE(SUBSTITUTE(SUBSTITUTE(SUBSTITUTE(SUBSTITUTE(SUBSTITUTE(SUBSTITUTE(SUBSTITUTE(SUBSTITUTE(SUBSTITUTE(UPPER(TRIM($DZ192)),"0",""),"1",""),"2",""),"3",""),"4",""),"5",""),"6",""),"7",""),"8",""),"9",""),".",""),"+",""),"-",""),"E","")="",LEN(SUBSTITUTE(SUBSTITUTE(MID(UPPER(TRIM($DZ192)),1+OR(LEFT(UPPER(TRIM($DZ192)),1)="+",LEFT(UPPER(TRIM($DZ192)),1)="-"),999),"E+","E"),"E-","E"))=LEN(SUBSTITUTE(SUBSTITUTE(SUBSTITUTE(SUBSTITUTE(MID(UPPER(TRIM($DZ192)),1+OR(LEFT(UPPER(TRIM($DZ192)),1)="+",LEFT(UPPER(TRIM($DZ192)),1)="-"),999),"E+","E"),"E-","E"),"+",""),"-","")),LEN(UPPER(TRIM($DZ192)))-LEN(SUBSTITUTE(UPPER(TRIM($DZ192)),"E",""))&lt;2,LEN(UPPER(TRIM($DZ192)))-LEN(SUBSTITUTE(UPPER(TRIM($DZ192)),".",""))&lt;2,IFERROR(FIND(".",UPPER(TRIM($DZ192))),0)&lt;IFERROR(FIND("E",UPPER(TRIM($DZ192))),999)),ISNUMBER(VALUE(TRIM($DZ192)))),VALUE(TRIM($DZ192)),"")))),""))</f>
        <v/>
      </c>
      <c r="EB192">
        <f>IF($DM192=0,"",IF($L$18=0,"",IFERROR(IF(UPPER(TRIM(SUBSTITUTE(SUBSTITUTE(SUBSTITUTE(SUBSTITUTE(INDEX(PASTE_ALL,$DF192,$L$18)," "," "),CHAR(9)," "),CHAR(10)," "),CHAR(13)," ")))="READY","Ready",IF(UPPER(TRIM(SUBSTITUTE(SUBSTITUTE(SUBSTITUTE(SUBSTITUTE(INDEX(PASTE_ALL,$DF192,$L$18)," "," "),CHAR(9)," "),CHAR(10)," "),CHAR(13)," ")))="PM","PM",IF(OR(UPPER(TRIM(SUBSTITUTE(SUBSTITUTE(SUBSTITUTE(SUBSTITUTE(INDEX(PASTE_ALL,$DF192,$L$18)," "," "),CHAR(9)," "),CHAR(10)," "),CHAR(13)," ")))="OT",UPPER(TRIM(SUBSTITUTE(SUBSTITUTE(SUBSTITUTE(SUBSTITUTE(INDEX(PASTE_ALL,$DF192,$L$18)," "," "),CHAR(9)," "),CHAR(10)," "),CHAR(13)," ")))="OVERTIME",UPPER(TRIM(SUBSTITUTE(SUBSTITUTE(SUBSTITUTE(SUBSTITUTE(INDEX(PASTE_ALL,$DF192,$L$18)," "," "),CHAR(9)," "),CHAR(10)," "),CHAR(13)," ")))="TRIAL"),"OT",TRIM(SUBSTITUTE(SUBSTITUTE(SUBSTITUTE(SUBSTITUTE(INDEX(PASTE_ALL,$DF192,$L$18)," "," "),CHAR(9)," "),CHAR(10)," "),CHAR(13)," "))))),"")))</f>
        <v/>
      </c>
      <c r="EC192">
        <f>IF($DM192=0,"",IF($L$19=0,"",IFERROR(IF(ISNUMBER(INDEX(PASTE_ALL,$DF192,$L$19)),INDEX(PASTE_ALL,$DF192,$L$19),TRIM(SUBSTITUTE(SUBSTITUTE(SUBSTITUTE(SUBSTITUTE(INDEX(PASTE_ALL,$DF192,$L$19)," "," "),CHAR(9)," "),CHAR(10)," "),CHAR(13)," "))),"")))</f>
        <v/>
      </c>
      <c r="ED192">
        <f>IF($DM192=0,"",MATCH(1,INDEX(EXACT($DH$5:DH192,$DH192)*$DM$5:DM192,0),0))</f>
        <v/>
      </c>
      <c r="EE192">
        <f>IF($DM192=0,0,IF($ED192=$DE192,1,0))</f>
        <v/>
      </c>
      <c r="EF192">
        <f>EF191+$EE192</f>
        <v/>
      </c>
      <c r="EG192">
        <f>IF($DM192=0,"",INDEX($EF$5:$EF$1003,$ED192))</f>
        <v/>
      </c>
      <c r="EH192">
        <f>IF($DM192=0,"",IF($DO192&lt;&gt;"","",IFERROR(LOOKUP(2,1/(($EG$4:EG191=$EG192)*($DO$4:DO191&lt;&gt;"")),$DO$4:DO191),"")))</f>
        <v/>
      </c>
      <c r="EI192">
        <f>IF($DM192=0,"",IF($DO192&lt;&gt;"",$DO192,$EH192))</f>
        <v/>
      </c>
      <c r="EJ192">
        <f>IF($DM192=0,"",IF($EI192="",0,IF(OR(ISNUMBER($EI192),AND(AND(SUBSTITUTE(SUBSTITUTE(SUBSTITUTE(SUBSTITUTE(SUBSTITUTE(SUBSTITUTE(SUBSTITUTE(SUBSTITUTE(SUBSTITUTE(SUBSTITUTE(SUBSTITUTE(SUBSTITUTE(SUBSTITUTE(SUBSTITUTE(UPPER($EI192),"0",""),"1",""),"2",""),"3",""),"4",""),"5",""),"6",""),"7",""),"8",""),"9",""),".",""),"+",""),"-",""),"E","")="",LEN(SUBSTITUTE(SUBSTITUTE(MID(UPPER($EI192),1+OR(LEFT(UPPER($EI192),1)="+",LEFT(UPPER($EI192),1)="-"),999),"E+","E"),"E-","E"))=LEN(SUBSTITUTE(SUBSTITUTE(SUBSTITUTE(SUBSTITUTE(MID(UPPER($EI192),1+OR(LEFT(UPPER($EI192),1)="+",LEFT(UPPER($EI192),1)="-"),999),"E+","E"),"E-","E"),"+",""),"-","")),LEN(UPPER($EI192))-LEN(SUBSTITUTE(UPPER($EI192),"E",""))&lt;2,LEN(UPPER($EI192))-LEN(SUBSTITUTE(UPPER($EI192),".",""))&lt;2,IFERROR(FIND(".",UPPER($EI192)),0)&lt;IFERROR(FIND("E",UPPER($EI192)),999)),ISNUMBER(VALUE($EI192)))),1,2)))</f>
        <v/>
      </c>
      <c r="EK192">
        <f>IF($DM192=0,"",IF($EJ192=1,IF(ISNUMBER($EI192),$EI192,VALUE($EI192)),IF($EJ192=2,$DE192,0)))</f>
        <v/>
      </c>
      <c r="EL192">
        <f>IF($DM192=0,"",COUNTIF($EG$5:$EG$1003,"&lt;"&amp;$EG192)+SUMPRODUCT(($EG$5:$EG$1003=$EG192)*(($EJ$5:$EJ$1003&lt;$EJ192)+($EJ$5:$EJ$1003=$EJ192)*(($EK$5:$EK$1003&lt;$EK192)+($EK$5:$EK$1003=$EK192)*($DE$5:$DE$1003&lt;$DE192))))+1)</f>
        <v/>
      </c>
      <c r="EM192">
        <f>IF($DM192=0,"",$EL192+$EG192-1)</f>
        <v/>
      </c>
      <c r="EN192">
        <f>IF($DM192=0,0,IFERROR(MATCH(1,INDEX(--(TRIM(SUBSTITUTE(SUBSTITUTE(SUBSTITUTE(SUBSTITUTE(LINES_NAME&amp;""," "," "),CHAR(9)," "),CHAR(10)," "),CHAR(13)," "))=$DH192),0),0),0))</f>
        <v/>
      </c>
      <c r="EO192">
        <f>IF($EN192=0,0,IF(OR(UPPER(TRIM(INDEX(LINES_SCHEDULED,$EN192)&amp;""))="YES",UPPER(TRIM(INDEX(LINES_SCHEDULED,$EN192)&amp;""))="Y",UPPER(TRIM(INDEX(LINES_SCHEDULED,$EN192)&amp;""))="X"),1,0))</f>
        <v/>
      </c>
      <c r="EP192">
        <f>IF($DM192=0,"",IF(COUNTIFS($EG$5:$EG$1003,$EG192,$EB$5:$EB$1003,"Ready")&gt;0,"READY",IF(COUNTIFS($EG$5:$EG$1003,$EG192,$EB$5:$EB$1003,"PM")&gt;0,"PM",IF(COUNTIFS($EG$5:$EG$1003,$EG192,$EB$5:$EB$1003,"OT")&gt;0,"OT",""))))</f>
        <v/>
      </c>
      <c r="EQ192">
        <f>IF($EN192=0,"",UPPER(TRIM(INDEX(LINES_STATUS,$EN192)&amp;"")))</f>
        <v/>
      </c>
      <c r="ER192">
        <f>IF($DM192=0,"",IF(OR($EQ192="READY",$EQ192="PM",$EQ192="OT"),$EQ192,$EP192))</f>
        <v/>
      </c>
      <c r="ES192">
        <f>IF($DM192=0,"",IF(AND($DV192&lt;&gt;"",UPPER($DV192)&lt;&gt;"N"),"allergen",IF(ISNUMBER(SEARCH("oil",$DQ192)),"oil",IF(OR(EXACT($DS192,"A662"),EXACT($DS192,"A624")),"bulk",""))))</f>
        <v/>
      </c>
      <c r="ET192">
        <f>IF($DM192=0,"",IF(OR($EA192="",$EA192=0),"",$EA192/100))</f>
        <v/>
      </c>
      <c r="EU192">
        <f>IF(OR($ET192="",$DY192=""),"",INT($DY192*(1-$ET192)+0.5))</f>
        <v/>
      </c>
      <c r="EW192" t="n">
        <v>188</v>
      </c>
      <c r="EX192">
        <f>IFERROR(MATCH($EW192,$EM$5:$EM$1003,0),0)</f>
        <v/>
      </c>
      <c r="EY192">
        <f>IF($EW192&gt;$B$12,"",IF($EX192&gt;0,"row","spacer"))</f>
        <v/>
      </c>
      <c r="EZ192">
        <f>IF(AND($EY192="row",$EY191&lt;&gt;"row"),1,0)</f>
        <v/>
      </c>
      <c r="FA192">
        <f>IF(AND($EY192="row",$EY193&lt;&gt;"row"),1,0)</f>
        <v/>
      </c>
      <c r="FB192">
        <f>IF($EZ192=1,IFERROR(IF(ISNUMBER(INDEX(PASTE_ALL,INDEX($DF$5:$DF$1003,$EX192),$B$37)),INDEX(PASTE_ALL,INDEX($DF$5:$DF$1003,$EX192),$B$37),INDEX($DH$5:$DH$1003,$EX192)),INDEX($DH$5:$DH$1003,$EX192)),"")</f>
        <v/>
      </c>
      <c r="FC192">
        <f>IF($EY192="row",INDEX($ER$5:$ER$1003,$EX192),"")</f>
        <v/>
      </c>
      <c r="FD192">
        <f>IF($EY192="row",INDEX($DN$5:$DN$1003,$EX192),"")</f>
        <v/>
      </c>
      <c r="FE192">
        <f>IF($EY192="row",INDEX($DO$5:$DO$1003,$EX192),"")</f>
        <v/>
      </c>
      <c r="FF192">
        <f>IF($EY192="row",INDEX($DP$5:$DP$1003,$EX192),"")</f>
        <v/>
      </c>
      <c r="FG192">
        <f>IF($EY192="row",INDEX($DQ$5:$DQ$1003,$EX192),"")</f>
        <v/>
      </c>
      <c r="FH192">
        <f>IF($EY192="row",INDEX($DR$5:$DR$1003,$EX192),"")</f>
        <v/>
      </c>
      <c r="FI192">
        <f>IF($EY192="row",INDEX($DS$5:$DS$1003,$EX192),"")</f>
        <v/>
      </c>
      <c r="FJ192">
        <f>IF($EY192="row",INDEX($DT$5:$DT$1003,$EX192),"")</f>
        <v/>
      </c>
      <c r="FK192">
        <f>IF($EY192="row",INDEX($DU$5:$DU$1003,$EX192),"")</f>
        <v/>
      </c>
      <c r="FL192">
        <f>IF($EY192="row",INDEX($DV$5:$DV$1003,$EX192),"")</f>
        <v/>
      </c>
      <c r="FM192">
        <f>IF($EY192="row",INDEX($DW$5:$DW$1003,$EX192),"")</f>
        <v/>
      </c>
      <c r="FN192">
        <f>IF($EY192="row",INDEX($DY$5:$DY$1003,$EX192),"")</f>
        <v/>
      </c>
      <c r="FO192">
        <f>IF($EY192="row",INDEX($EA$5:$EA$1003,$EX192),"")</f>
        <v/>
      </c>
      <c r="FP192">
        <f>IF($EY192="row",INDEX($EC$5:$EC$1003,$EX192),"")</f>
        <v/>
      </c>
      <c r="FQ192">
        <f>IF($EY192="row",INDEX($ET$5:$ET$1003,$EX192),"")</f>
        <v/>
      </c>
      <c r="FR192">
        <f>IF($EY192="row",INDEX($EU$5:$EU$1003,$EX192),"")</f>
        <v/>
      </c>
      <c r="FS192">
        <f>IF(AND($EY192="row",$EY191="row"),IF(OR(INDEX($DT$5:$DT$1003,$EX191)="",INDEX($DT$5:$DT$1003,$EX192)=""),"",IF(NOT(EXACT(INDEX($DT$5:$DT$1003,$EX191),INDEX($DT$5:$DT$1003,$EX192))),"S4",IF(NOT(EXACT(INDEX($DS$5:$DS$1003,$EX191),INDEX($DS$5:$DS$1003,$EX192))),"S3",IF(NOT(EXACT(INDEX($DR$5:$DR$1003,$EX191),INDEX($DR$5:$DR$1003,$EX192))),"S1 Count Change","S1")))),"")</f>
        <v/>
      </c>
      <c r="FT192">
        <f>IF($EY192="row",INDEX($ES$5:$ES$1003,$EX192),"")</f>
        <v/>
      </c>
      <c r="FU192">
        <f>IF($EY192="row",INDEX($EO$5:$EO$1003,$EX192),0)</f>
        <v/>
      </c>
      <c r="FV192">
        <f>IF($FS192="S1 Count Change",1,0)</f>
        <v/>
      </c>
    </row>
    <row r="193">
      <c r="Y193">
        <f>0+IF(Y103&gt;0,0,IF(SUMPRODUCT(MOD(INT(Y148/{2,4,8,16,32,64,128,256,512,1024,2048,4096,8192,16384,32768}),2)*(1-MOD(INT(($CJ13+0)/{2,4,8,16,32,64,128,256,512,1024,2048,4096,8192,16384,32768}),2))*{2,4,8,16,32,64,128,256,512,1024,2048,4096,8192,16384,32768})=0,0,2^SUMPRODUCT(--(MOD(SUMPRODUCT(MOD(INT(Y148/{2,4,8,16,32,64,128,256,512,1024,2048,4096,8192,16384,32768}),2)*(1-MOD(INT(($CJ13+0)/{2,4,8,16,32,64,128,256,512,1024,2048,4096,8192,16384,32768}),2))*{2,4,8,16,32,64,128,256,512,1024,2048,4096,8192,16384,32768}),{2,4,8,16,32,64,128,256,512,1024,2048,4096,8192,16384,32768})=0))))</f>
        <v/>
      </c>
      <c r="Z193">
        <f>Y193+IF(AND(Z103&gt;0,COUNTIF($Y103:Y103,Z103)=0),0,IF(SUMPRODUCT(MOD(INT(Z148/{2,4,8,16,32,64,128,256,512,1024,2048,4096,8192,16384,32768}),2)*(1-MOD(INT(($CJ13+Y193)/{2,4,8,16,32,64,128,256,512,1024,2048,4096,8192,16384,32768}),2))*{2,4,8,16,32,64,128,256,512,1024,2048,4096,8192,16384,32768})=0,0,2^SUMPRODUCT(--(MOD(SUMPRODUCT(MOD(INT(Z148/{2,4,8,16,32,64,128,256,512,1024,2048,4096,8192,16384,32768}),2)*(1-MOD(INT(($CJ13+Y193)/{2,4,8,16,32,64,128,256,512,1024,2048,4096,8192,16384,32768}),2))*{2,4,8,16,32,64,128,256,512,1024,2048,4096,8192,16384,32768}),{2,4,8,16,32,64,128,256,512,1024,2048,4096,8192,16384,32768})=0))))</f>
        <v/>
      </c>
      <c r="AA193">
        <f>Z193+IF(AND(AA103&gt;0,COUNTIF($Y103:Z103,AA103)=0),0,IF(SUMPRODUCT(MOD(INT(AA148/{2,4,8,16,32,64,128,256,512,1024,2048,4096,8192,16384,32768}),2)*(1-MOD(INT(($CJ13+Z193)/{2,4,8,16,32,64,128,256,512,1024,2048,4096,8192,16384,32768}),2))*{2,4,8,16,32,64,128,256,512,1024,2048,4096,8192,16384,32768})=0,0,2^SUMPRODUCT(--(MOD(SUMPRODUCT(MOD(INT(AA148/{2,4,8,16,32,64,128,256,512,1024,2048,4096,8192,16384,32768}),2)*(1-MOD(INT(($CJ13+Z193)/{2,4,8,16,32,64,128,256,512,1024,2048,4096,8192,16384,32768}),2))*{2,4,8,16,32,64,128,256,512,1024,2048,4096,8192,16384,32768}),{2,4,8,16,32,64,128,256,512,1024,2048,4096,8192,16384,32768})=0))))</f>
        <v/>
      </c>
      <c r="AB193">
        <f>AA193+IF(AND(AB103&gt;0,COUNTIF($Y103:AA103,AB103)=0),0,IF(SUMPRODUCT(MOD(INT(AB148/{2,4,8,16,32,64,128,256,512,1024,2048,4096,8192,16384,32768}),2)*(1-MOD(INT(($CJ13+AA193)/{2,4,8,16,32,64,128,256,512,1024,2048,4096,8192,16384,32768}),2))*{2,4,8,16,32,64,128,256,512,1024,2048,4096,8192,16384,32768})=0,0,2^SUMPRODUCT(--(MOD(SUMPRODUCT(MOD(INT(AB148/{2,4,8,16,32,64,128,256,512,1024,2048,4096,8192,16384,32768}),2)*(1-MOD(INT(($CJ13+AA193)/{2,4,8,16,32,64,128,256,512,1024,2048,4096,8192,16384,32768}),2))*{2,4,8,16,32,64,128,256,512,1024,2048,4096,8192,16384,32768}),{2,4,8,16,32,64,128,256,512,1024,2048,4096,8192,16384,32768})=0))))</f>
        <v/>
      </c>
      <c r="AC193">
        <f>AB193+IF(AND(AC103&gt;0,COUNTIF($Y103:AB103,AC103)=0),0,IF(SUMPRODUCT(MOD(INT(AC148/{2,4,8,16,32,64,128,256,512,1024,2048,4096,8192,16384,32768}),2)*(1-MOD(INT(($CJ13+AB193)/{2,4,8,16,32,64,128,256,512,1024,2048,4096,8192,16384,32768}),2))*{2,4,8,16,32,64,128,256,512,1024,2048,4096,8192,16384,32768})=0,0,2^SUMPRODUCT(--(MOD(SUMPRODUCT(MOD(INT(AC148/{2,4,8,16,32,64,128,256,512,1024,2048,4096,8192,16384,32768}),2)*(1-MOD(INT(($CJ13+AB193)/{2,4,8,16,32,64,128,256,512,1024,2048,4096,8192,16384,32768}),2))*{2,4,8,16,32,64,128,256,512,1024,2048,4096,8192,16384,32768}),{2,4,8,16,32,64,128,256,512,1024,2048,4096,8192,16384,32768})=0))))</f>
        <v/>
      </c>
      <c r="AD193">
        <f>AC193+IF(AND(AD103&gt;0,COUNTIF($Y103:AC103,AD103)=0),0,IF(SUMPRODUCT(MOD(INT(AD148/{2,4,8,16,32,64,128,256,512,1024,2048,4096,8192,16384,32768}),2)*(1-MOD(INT(($CJ13+AC193)/{2,4,8,16,32,64,128,256,512,1024,2048,4096,8192,16384,32768}),2))*{2,4,8,16,32,64,128,256,512,1024,2048,4096,8192,16384,32768})=0,0,2^SUMPRODUCT(--(MOD(SUMPRODUCT(MOD(INT(AD148/{2,4,8,16,32,64,128,256,512,1024,2048,4096,8192,16384,32768}),2)*(1-MOD(INT(($CJ13+AC193)/{2,4,8,16,32,64,128,256,512,1024,2048,4096,8192,16384,32768}),2))*{2,4,8,16,32,64,128,256,512,1024,2048,4096,8192,16384,32768}),{2,4,8,16,32,64,128,256,512,1024,2048,4096,8192,16384,32768})=0))))</f>
        <v/>
      </c>
      <c r="AE193">
        <f>AD193+IF(AND(AE103&gt;0,COUNTIF($Y103:AD103,AE103)=0),0,IF(SUMPRODUCT(MOD(INT(AE148/{2,4,8,16,32,64,128,256,512,1024,2048,4096,8192,16384,32768}),2)*(1-MOD(INT(($CJ13+AD193)/{2,4,8,16,32,64,128,256,512,1024,2048,4096,8192,16384,32768}),2))*{2,4,8,16,32,64,128,256,512,1024,2048,4096,8192,16384,32768})=0,0,2^SUMPRODUCT(--(MOD(SUMPRODUCT(MOD(INT(AE148/{2,4,8,16,32,64,128,256,512,1024,2048,4096,8192,16384,32768}),2)*(1-MOD(INT(($CJ13+AD193)/{2,4,8,16,32,64,128,256,512,1024,2048,4096,8192,16384,32768}),2))*{2,4,8,16,32,64,128,256,512,1024,2048,4096,8192,16384,32768}),{2,4,8,16,32,64,128,256,512,1024,2048,4096,8192,16384,32768})=0))))</f>
        <v/>
      </c>
      <c r="AF193">
        <f>AE193+IF(AND(AF103&gt;0,COUNTIF($Y103:AE103,AF103)=0),0,IF(SUMPRODUCT(MOD(INT(AF148/{2,4,8,16,32,64,128,256,512,1024,2048,4096,8192,16384,32768}),2)*(1-MOD(INT(($CJ13+AE193)/{2,4,8,16,32,64,128,256,512,1024,2048,4096,8192,16384,32768}),2))*{2,4,8,16,32,64,128,256,512,1024,2048,4096,8192,16384,32768})=0,0,2^SUMPRODUCT(--(MOD(SUMPRODUCT(MOD(INT(AF148/{2,4,8,16,32,64,128,256,512,1024,2048,4096,8192,16384,32768}),2)*(1-MOD(INT(($CJ13+AE193)/{2,4,8,16,32,64,128,256,512,1024,2048,4096,8192,16384,32768}),2))*{2,4,8,16,32,64,128,256,512,1024,2048,4096,8192,16384,32768}),{2,4,8,16,32,64,128,256,512,1024,2048,4096,8192,16384,32768})=0))))</f>
        <v/>
      </c>
      <c r="AG193">
        <f>AF193+IF(AND(AG103&gt;0,COUNTIF($Y103:AF103,AG103)=0),0,IF(SUMPRODUCT(MOD(INT(AG148/{2,4,8,16,32,64,128,256,512,1024,2048,4096,8192,16384,32768}),2)*(1-MOD(INT(($CJ13+AF193)/{2,4,8,16,32,64,128,256,512,1024,2048,4096,8192,16384,32768}),2))*{2,4,8,16,32,64,128,256,512,1024,2048,4096,8192,16384,32768})=0,0,2^SUMPRODUCT(--(MOD(SUMPRODUCT(MOD(INT(AG148/{2,4,8,16,32,64,128,256,512,1024,2048,4096,8192,16384,32768}),2)*(1-MOD(INT(($CJ13+AF193)/{2,4,8,16,32,64,128,256,512,1024,2048,4096,8192,16384,32768}),2))*{2,4,8,16,32,64,128,256,512,1024,2048,4096,8192,16384,32768}),{2,4,8,16,32,64,128,256,512,1024,2048,4096,8192,16384,32768})=0))))</f>
        <v/>
      </c>
      <c r="AH193">
        <f>AG193+IF(AND(AH103&gt;0,COUNTIF($Y103:AG103,AH103)=0),0,IF(SUMPRODUCT(MOD(INT(AH148/{2,4,8,16,32,64,128,256,512,1024,2048,4096,8192,16384,32768}),2)*(1-MOD(INT(($CJ13+AG193)/{2,4,8,16,32,64,128,256,512,1024,2048,4096,8192,16384,32768}),2))*{2,4,8,16,32,64,128,256,512,1024,2048,4096,8192,16384,32768})=0,0,2^SUMPRODUCT(--(MOD(SUMPRODUCT(MOD(INT(AH148/{2,4,8,16,32,64,128,256,512,1024,2048,4096,8192,16384,32768}),2)*(1-MOD(INT(($CJ13+AG193)/{2,4,8,16,32,64,128,256,512,1024,2048,4096,8192,16384,32768}),2))*{2,4,8,16,32,64,128,256,512,1024,2048,4096,8192,16384,32768}),{2,4,8,16,32,64,128,256,512,1024,2048,4096,8192,16384,32768})=0))))</f>
        <v/>
      </c>
      <c r="AI193">
        <f>AH193+IF(AND(AI103&gt;0,COUNTIF($Y103:AH103,AI103)=0),0,IF(SUMPRODUCT(MOD(INT(AI148/{2,4,8,16,32,64,128,256,512,1024,2048,4096,8192,16384,32768}),2)*(1-MOD(INT(($CJ13+AH193)/{2,4,8,16,32,64,128,256,512,1024,2048,4096,8192,16384,32768}),2))*{2,4,8,16,32,64,128,256,512,1024,2048,4096,8192,16384,32768})=0,0,2^SUMPRODUCT(--(MOD(SUMPRODUCT(MOD(INT(AI148/{2,4,8,16,32,64,128,256,512,1024,2048,4096,8192,16384,32768}),2)*(1-MOD(INT(($CJ13+AH193)/{2,4,8,16,32,64,128,256,512,1024,2048,4096,8192,16384,32768}),2))*{2,4,8,16,32,64,128,256,512,1024,2048,4096,8192,16384,32768}),{2,4,8,16,32,64,128,256,512,1024,2048,4096,8192,16384,32768})=0))))</f>
        <v/>
      </c>
      <c r="AJ193">
        <f>AI193+IF(AND(AJ103&gt;0,COUNTIF($Y103:AI103,AJ103)=0),0,IF(SUMPRODUCT(MOD(INT(AJ148/{2,4,8,16,32,64,128,256,512,1024,2048,4096,8192,16384,32768}),2)*(1-MOD(INT(($CJ13+AI193)/{2,4,8,16,32,64,128,256,512,1024,2048,4096,8192,16384,32768}),2))*{2,4,8,16,32,64,128,256,512,1024,2048,4096,8192,16384,32768})=0,0,2^SUMPRODUCT(--(MOD(SUMPRODUCT(MOD(INT(AJ148/{2,4,8,16,32,64,128,256,512,1024,2048,4096,8192,16384,32768}),2)*(1-MOD(INT(($CJ13+AI193)/{2,4,8,16,32,64,128,256,512,1024,2048,4096,8192,16384,32768}),2))*{2,4,8,16,32,64,128,256,512,1024,2048,4096,8192,16384,32768}),{2,4,8,16,32,64,128,256,512,1024,2048,4096,8192,16384,32768})=0))))</f>
        <v/>
      </c>
      <c r="AK193">
        <f>AJ193+IF(AND(AK103&gt;0,COUNTIF($Y103:AJ103,AK103)=0),0,IF(SUMPRODUCT(MOD(INT(AK148/{2,4,8,16,32,64,128,256,512,1024,2048,4096,8192,16384,32768}),2)*(1-MOD(INT(($CJ13+AJ193)/{2,4,8,16,32,64,128,256,512,1024,2048,4096,8192,16384,32768}),2))*{2,4,8,16,32,64,128,256,512,1024,2048,4096,8192,16384,32768})=0,0,2^SUMPRODUCT(--(MOD(SUMPRODUCT(MOD(INT(AK148/{2,4,8,16,32,64,128,256,512,1024,2048,4096,8192,16384,32768}),2)*(1-MOD(INT(($CJ13+AJ193)/{2,4,8,16,32,64,128,256,512,1024,2048,4096,8192,16384,32768}),2))*{2,4,8,16,32,64,128,256,512,1024,2048,4096,8192,16384,32768}),{2,4,8,16,32,64,128,256,512,1024,2048,4096,8192,16384,32768})=0))))</f>
        <v/>
      </c>
      <c r="AL193">
        <f>AK193+IF(AND(AL103&gt;0,COUNTIF($Y103:AK103,AL103)=0),0,IF(SUMPRODUCT(MOD(INT(AL148/{2,4,8,16,32,64,128,256,512,1024,2048,4096,8192,16384,32768}),2)*(1-MOD(INT(($CJ13+AK193)/{2,4,8,16,32,64,128,256,512,1024,2048,4096,8192,16384,32768}),2))*{2,4,8,16,32,64,128,256,512,1024,2048,4096,8192,16384,32768})=0,0,2^SUMPRODUCT(--(MOD(SUMPRODUCT(MOD(INT(AL148/{2,4,8,16,32,64,128,256,512,1024,2048,4096,8192,16384,32768}),2)*(1-MOD(INT(($CJ13+AK193)/{2,4,8,16,32,64,128,256,512,1024,2048,4096,8192,16384,32768}),2))*{2,4,8,16,32,64,128,256,512,1024,2048,4096,8192,16384,32768}),{2,4,8,16,32,64,128,256,512,1024,2048,4096,8192,16384,32768})=0))))</f>
        <v/>
      </c>
      <c r="AM193">
        <f>AL193+IF(AND(AM103&gt;0,COUNTIF($Y103:AL103,AM103)=0),0,IF(SUMPRODUCT(MOD(INT(AM148/{2,4,8,16,32,64,128,256,512,1024,2048,4096,8192,16384,32768}),2)*(1-MOD(INT(($CJ13+AL193)/{2,4,8,16,32,64,128,256,512,1024,2048,4096,8192,16384,32768}),2))*{2,4,8,16,32,64,128,256,512,1024,2048,4096,8192,16384,32768})=0,0,2^SUMPRODUCT(--(MOD(SUMPRODUCT(MOD(INT(AM148/{2,4,8,16,32,64,128,256,512,1024,2048,4096,8192,16384,32768}),2)*(1-MOD(INT(($CJ13+AL193)/{2,4,8,16,32,64,128,256,512,1024,2048,4096,8192,16384,32768}),2))*{2,4,8,16,32,64,128,256,512,1024,2048,4096,8192,16384,32768}),{2,4,8,16,32,64,128,256,512,1024,2048,4096,8192,16384,32768})=0))))</f>
        <v/>
      </c>
      <c r="AN193">
        <f>AM193+IF(AND(AN103&gt;0,COUNTIF($Y103:AM103,AN103)=0),0,IF(SUMPRODUCT(MOD(INT(AN148/{2,4,8,16,32,64,128,256,512,1024,2048,4096,8192,16384,32768}),2)*(1-MOD(INT(($CJ13+AM193)/{2,4,8,16,32,64,128,256,512,1024,2048,4096,8192,16384,32768}),2))*{2,4,8,16,32,64,128,256,512,1024,2048,4096,8192,16384,32768})=0,0,2^SUMPRODUCT(--(MOD(SUMPRODUCT(MOD(INT(AN148/{2,4,8,16,32,64,128,256,512,1024,2048,4096,8192,16384,32768}),2)*(1-MOD(INT(($CJ13+AM193)/{2,4,8,16,32,64,128,256,512,1024,2048,4096,8192,16384,32768}),2))*{2,4,8,16,32,64,128,256,512,1024,2048,4096,8192,16384,32768}),{2,4,8,16,32,64,128,256,512,1024,2048,4096,8192,16384,32768})=0))))</f>
        <v/>
      </c>
      <c r="AO193">
        <f>AN193+IF(AND(AO103&gt;0,COUNTIF($Y103:AN103,AO103)=0),0,IF(SUMPRODUCT(MOD(INT(AO148/{2,4,8,16,32,64,128,256,512,1024,2048,4096,8192,16384,32768}),2)*(1-MOD(INT(($CJ13+AN193)/{2,4,8,16,32,64,128,256,512,1024,2048,4096,8192,16384,32768}),2))*{2,4,8,16,32,64,128,256,512,1024,2048,4096,8192,16384,32768})=0,0,2^SUMPRODUCT(--(MOD(SUMPRODUCT(MOD(INT(AO148/{2,4,8,16,32,64,128,256,512,1024,2048,4096,8192,16384,32768}),2)*(1-MOD(INT(($CJ13+AN193)/{2,4,8,16,32,64,128,256,512,1024,2048,4096,8192,16384,32768}),2))*{2,4,8,16,32,64,128,256,512,1024,2048,4096,8192,16384,32768}),{2,4,8,16,32,64,128,256,512,1024,2048,4096,8192,16384,32768})=0))))</f>
        <v/>
      </c>
      <c r="AP193">
        <f>AO193+IF(AND(AP103&gt;0,COUNTIF($Y103:AO103,AP103)=0),0,IF(SUMPRODUCT(MOD(INT(AP148/{2,4,8,16,32,64,128,256,512,1024,2048,4096,8192,16384,32768}),2)*(1-MOD(INT(($CJ13+AO193)/{2,4,8,16,32,64,128,256,512,1024,2048,4096,8192,16384,32768}),2))*{2,4,8,16,32,64,128,256,512,1024,2048,4096,8192,16384,32768})=0,0,2^SUMPRODUCT(--(MOD(SUMPRODUCT(MOD(INT(AP148/{2,4,8,16,32,64,128,256,512,1024,2048,4096,8192,16384,32768}),2)*(1-MOD(INT(($CJ13+AO193)/{2,4,8,16,32,64,128,256,512,1024,2048,4096,8192,16384,32768}),2))*{2,4,8,16,32,64,128,256,512,1024,2048,4096,8192,16384,32768}),{2,4,8,16,32,64,128,256,512,1024,2048,4096,8192,16384,32768})=0))))</f>
        <v/>
      </c>
      <c r="AQ193">
        <f>AP193+IF(AND(AQ103&gt;0,COUNTIF($Y103:AP103,AQ103)=0),0,IF(SUMPRODUCT(MOD(INT(AQ148/{2,4,8,16,32,64,128,256,512,1024,2048,4096,8192,16384,32768}),2)*(1-MOD(INT(($CJ13+AP193)/{2,4,8,16,32,64,128,256,512,1024,2048,4096,8192,16384,32768}),2))*{2,4,8,16,32,64,128,256,512,1024,2048,4096,8192,16384,32768})=0,0,2^SUMPRODUCT(--(MOD(SUMPRODUCT(MOD(INT(AQ148/{2,4,8,16,32,64,128,256,512,1024,2048,4096,8192,16384,32768}),2)*(1-MOD(INT(($CJ13+AP193)/{2,4,8,16,32,64,128,256,512,1024,2048,4096,8192,16384,32768}),2))*{2,4,8,16,32,64,128,256,512,1024,2048,4096,8192,16384,32768}),{2,4,8,16,32,64,128,256,512,1024,2048,4096,8192,16384,32768})=0))))</f>
        <v/>
      </c>
      <c r="AR193">
        <f>AQ193+IF(AND(AR103&gt;0,COUNTIF($Y103:AQ103,AR103)=0),0,IF(SUMPRODUCT(MOD(INT(AR148/{2,4,8,16,32,64,128,256,512,1024,2048,4096,8192,16384,32768}),2)*(1-MOD(INT(($CJ13+AQ193)/{2,4,8,16,32,64,128,256,512,1024,2048,4096,8192,16384,32768}),2))*{2,4,8,16,32,64,128,256,512,1024,2048,4096,8192,16384,32768})=0,0,2^SUMPRODUCT(--(MOD(SUMPRODUCT(MOD(INT(AR148/{2,4,8,16,32,64,128,256,512,1024,2048,4096,8192,16384,32768}),2)*(1-MOD(INT(($CJ13+AQ193)/{2,4,8,16,32,64,128,256,512,1024,2048,4096,8192,16384,32768}),2))*{2,4,8,16,32,64,128,256,512,1024,2048,4096,8192,16384,32768}),{2,4,8,16,32,64,128,256,512,1024,2048,4096,8192,16384,32768})=0))))</f>
        <v/>
      </c>
      <c r="AS193">
        <f>AR193+IF(AND(AS103&gt;0,COUNTIF($Y103:AR103,AS103)=0),0,IF(SUMPRODUCT(MOD(INT(AS148/{2,4,8,16,32,64,128,256,512,1024,2048,4096,8192,16384,32768}),2)*(1-MOD(INT(($CJ13+AR193)/{2,4,8,16,32,64,128,256,512,1024,2048,4096,8192,16384,32768}),2))*{2,4,8,16,32,64,128,256,512,1024,2048,4096,8192,16384,32768})=0,0,2^SUMPRODUCT(--(MOD(SUMPRODUCT(MOD(INT(AS148/{2,4,8,16,32,64,128,256,512,1024,2048,4096,8192,16384,32768}),2)*(1-MOD(INT(($CJ13+AR193)/{2,4,8,16,32,64,128,256,512,1024,2048,4096,8192,16384,32768}),2))*{2,4,8,16,32,64,128,256,512,1024,2048,4096,8192,16384,32768}),{2,4,8,16,32,64,128,256,512,1024,2048,4096,8192,16384,32768})=0))))</f>
        <v/>
      </c>
      <c r="AT193">
        <f>AS193+IF(AND(AT103&gt;0,COUNTIF($Y103:AS103,AT103)=0),0,IF(SUMPRODUCT(MOD(INT(AT148/{2,4,8,16,32,64,128,256,512,1024,2048,4096,8192,16384,32768}),2)*(1-MOD(INT(($CJ13+AS193)/{2,4,8,16,32,64,128,256,512,1024,2048,4096,8192,16384,32768}),2))*{2,4,8,16,32,64,128,256,512,1024,2048,4096,8192,16384,32768})=0,0,2^SUMPRODUCT(--(MOD(SUMPRODUCT(MOD(INT(AT148/{2,4,8,16,32,64,128,256,512,1024,2048,4096,8192,16384,32768}),2)*(1-MOD(INT(($CJ13+AS193)/{2,4,8,16,32,64,128,256,512,1024,2048,4096,8192,16384,32768}),2))*{2,4,8,16,32,64,128,256,512,1024,2048,4096,8192,16384,32768}),{2,4,8,16,32,64,128,256,512,1024,2048,4096,8192,16384,32768})=0))))</f>
        <v/>
      </c>
      <c r="AU193">
        <f>AT193+IF(AND(AU103&gt;0,COUNTIF($Y103:AT103,AU103)=0),0,IF(SUMPRODUCT(MOD(INT(AU148/{2,4,8,16,32,64,128,256,512,1024,2048,4096,8192,16384,32768}),2)*(1-MOD(INT(($CJ13+AT193)/{2,4,8,16,32,64,128,256,512,1024,2048,4096,8192,16384,32768}),2))*{2,4,8,16,32,64,128,256,512,1024,2048,4096,8192,16384,32768})=0,0,2^SUMPRODUCT(--(MOD(SUMPRODUCT(MOD(INT(AU148/{2,4,8,16,32,64,128,256,512,1024,2048,4096,8192,16384,32768}),2)*(1-MOD(INT(($CJ13+AT193)/{2,4,8,16,32,64,128,256,512,1024,2048,4096,8192,16384,32768}),2))*{2,4,8,16,32,64,128,256,512,1024,2048,4096,8192,16384,32768}),{2,4,8,16,32,64,128,256,512,1024,2048,4096,8192,16384,32768})=0))))</f>
        <v/>
      </c>
      <c r="AV193">
        <f>AU193+IF(AND(AV103&gt;0,COUNTIF($Y103:AU103,AV103)=0),0,IF(SUMPRODUCT(MOD(INT(AV148/{2,4,8,16,32,64,128,256,512,1024,2048,4096,8192,16384,32768}),2)*(1-MOD(INT(($CJ13+AU193)/{2,4,8,16,32,64,128,256,512,1024,2048,4096,8192,16384,32768}),2))*{2,4,8,16,32,64,128,256,512,1024,2048,4096,8192,16384,32768})=0,0,2^SUMPRODUCT(--(MOD(SUMPRODUCT(MOD(INT(AV148/{2,4,8,16,32,64,128,256,512,1024,2048,4096,8192,16384,32768}),2)*(1-MOD(INT(($CJ13+AU193)/{2,4,8,16,32,64,128,256,512,1024,2048,4096,8192,16384,32768}),2))*{2,4,8,16,32,64,128,256,512,1024,2048,4096,8192,16384,32768}),{2,4,8,16,32,64,128,256,512,1024,2048,4096,8192,16384,32768})=0))))</f>
        <v/>
      </c>
      <c r="AW193">
        <f>AV193+IF(AND(AW103&gt;0,COUNTIF($Y103:AV103,AW103)=0),0,IF(SUMPRODUCT(MOD(INT(AW148/{2,4,8,16,32,64,128,256,512,1024,2048,4096,8192,16384,32768}),2)*(1-MOD(INT(($CJ13+AV193)/{2,4,8,16,32,64,128,256,512,1024,2048,4096,8192,16384,32768}),2))*{2,4,8,16,32,64,128,256,512,1024,2048,4096,8192,16384,32768})=0,0,2^SUMPRODUCT(--(MOD(SUMPRODUCT(MOD(INT(AW148/{2,4,8,16,32,64,128,256,512,1024,2048,4096,8192,16384,32768}),2)*(1-MOD(INT(($CJ13+AV193)/{2,4,8,16,32,64,128,256,512,1024,2048,4096,8192,16384,32768}),2))*{2,4,8,16,32,64,128,256,512,1024,2048,4096,8192,16384,32768}),{2,4,8,16,32,64,128,256,512,1024,2048,4096,8192,16384,32768})=0))))</f>
        <v/>
      </c>
      <c r="AX193">
        <f>AW193+IF(AND(AX103&gt;0,COUNTIF($Y103:AW103,AX103)=0),0,IF(SUMPRODUCT(MOD(INT(AX148/{2,4,8,16,32,64,128,256,512,1024,2048,4096,8192,16384,32768}),2)*(1-MOD(INT(($CJ13+AW193)/{2,4,8,16,32,64,128,256,512,1024,2048,4096,8192,16384,32768}),2))*{2,4,8,16,32,64,128,256,512,1024,2048,4096,8192,16384,32768})=0,0,2^SUMPRODUCT(--(MOD(SUMPRODUCT(MOD(INT(AX148/{2,4,8,16,32,64,128,256,512,1024,2048,4096,8192,16384,32768}),2)*(1-MOD(INT(($CJ13+AW193)/{2,4,8,16,32,64,128,256,512,1024,2048,4096,8192,16384,32768}),2))*{2,4,8,16,32,64,128,256,512,1024,2048,4096,8192,16384,32768}),{2,4,8,16,32,64,128,256,512,1024,2048,4096,8192,16384,32768})=0))))</f>
        <v/>
      </c>
      <c r="AY193">
        <f>AX193+IF(AND(AY103&gt;0,COUNTIF($Y103:AX103,AY103)=0),0,IF(SUMPRODUCT(MOD(INT(AY148/{2,4,8,16,32,64,128,256,512,1024,2048,4096,8192,16384,32768}),2)*(1-MOD(INT(($CJ13+AX193)/{2,4,8,16,32,64,128,256,512,1024,2048,4096,8192,16384,32768}),2))*{2,4,8,16,32,64,128,256,512,1024,2048,4096,8192,16384,32768})=0,0,2^SUMPRODUCT(--(MOD(SUMPRODUCT(MOD(INT(AY148/{2,4,8,16,32,64,128,256,512,1024,2048,4096,8192,16384,32768}),2)*(1-MOD(INT(($CJ13+AX193)/{2,4,8,16,32,64,128,256,512,1024,2048,4096,8192,16384,32768}),2))*{2,4,8,16,32,64,128,256,512,1024,2048,4096,8192,16384,32768}),{2,4,8,16,32,64,128,256,512,1024,2048,4096,8192,16384,32768})=0))))</f>
        <v/>
      </c>
      <c r="AZ193">
        <f>AY193+IF(AND(AZ103&gt;0,COUNTIF($Y103:AY103,AZ103)=0),0,IF(SUMPRODUCT(MOD(INT(AZ148/{2,4,8,16,32,64,128,256,512,1024,2048,4096,8192,16384,32768}),2)*(1-MOD(INT(($CJ13+AY193)/{2,4,8,16,32,64,128,256,512,1024,2048,4096,8192,16384,32768}),2))*{2,4,8,16,32,64,128,256,512,1024,2048,4096,8192,16384,32768})=0,0,2^SUMPRODUCT(--(MOD(SUMPRODUCT(MOD(INT(AZ148/{2,4,8,16,32,64,128,256,512,1024,2048,4096,8192,16384,32768}),2)*(1-MOD(INT(($CJ13+AY193)/{2,4,8,16,32,64,128,256,512,1024,2048,4096,8192,16384,32768}),2))*{2,4,8,16,32,64,128,256,512,1024,2048,4096,8192,16384,32768}),{2,4,8,16,32,64,128,256,512,1024,2048,4096,8192,16384,32768})=0))))</f>
        <v/>
      </c>
      <c r="BA193">
        <f>AZ193+IF(AND(BA103&gt;0,COUNTIF($Y103:AZ103,BA103)=0),0,IF(SUMPRODUCT(MOD(INT(BA148/{2,4,8,16,32,64,128,256,512,1024,2048,4096,8192,16384,32768}),2)*(1-MOD(INT(($CJ13+AZ193)/{2,4,8,16,32,64,128,256,512,1024,2048,4096,8192,16384,32768}),2))*{2,4,8,16,32,64,128,256,512,1024,2048,4096,8192,16384,32768})=0,0,2^SUMPRODUCT(--(MOD(SUMPRODUCT(MOD(INT(BA148/{2,4,8,16,32,64,128,256,512,1024,2048,4096,8192,16384,32768}),2)*(1-MOD(INT(($CJ13+AZ193)/{2,4,8,16,32,64,128,256,512,1024,2048,4096,8192,16384,32768}),2))*{2,4,8,16,32,64,128,256,512,1024,2048,4096,8192,16384,32768}),{2,4,8,16,32,64,128,256,512,1024,2048,4096,8192,16384,32768})=0))))</f>
        <v/>
      </c>
      <c r="BB193">
        <f>BA193+IF(AND(BB103&gt;0,COUNTIF($Y103:BA103,BB103)=0),0,IF(SUMPRODUCT(MOD(INT(BB148/{2,4,8,16,32,64,128,256,512,1024,2048,4096,8192,16384,32768}),2)*(1-MOD(INT(($CJ13+BA193)/{2,4,8,16,32,64,128,256,512,1024,2048,4096,8192,16384,32768}),2))*{2,4,8,16,32,64,128,256,512,1024,2048,4096,8192,16384,32768})=0,0,2^SUMPRODUCT(--(MOD(SUMPRODUCT(MOD(INT(BB148/{2,4,8,16,32,64,128,256,512,1024,2048,4096,8192,16384,32768}),2)*(1-MOD(INT(($CJ13+BA193)/{2,4,8,16,32,64,128,256,512,1024,2048,4096,8192,16384,32768}),2))*{2,4,8,16,32,64,128,256,512,1024,2048,4096,8192,16384,32768}),{2,4,8,16,32,64,128,256,512,1024,2048,4096,8192,16384,32768})=0))))</f>
        <v/>
      </c>
      <c r="BC193">
        <f>BB193+IF(AND(BC103&gt;0,COUNTIF($Y103:BB103,BC103)=0),0,IF(SUMPRODUCT(MOD(INT(BC148/{2,4,8,16,32,64,128,256,512,1024,2048,4096,8192,16384,32768}),2)*(1-MOD(INT(($CJ13+BB193)/{2,4,8,16,32,64,128,256,512,1024,2048,4096,8192,16384,32768}),2))*{2,4,8,16,32,64,128,256,512,1024,2048,4096,8192,16384,32768})=0,0,2^SUMPRODUCT(--(MOD(SUMPRODUCT(MOD(INT(BC148/{2,4,8,16,32,64,128,256,512,1024,2048,4096,8192,16384,32768}),2)*(1-MOD(INT(($CJ13+BB193)/{2,4,8,16,32,64,128,256,512,1024,2048,4096,8192,16384,32768}),2))*{2,4,8,16,32,64,128,256,512,1024,2048,4096,8192,16384,32768}),{2,4,8,16,32,64,128,256,512,1024,2048,4096,8192,16384,32768})=0))))</f>
        <v/>
      </c>
      <c r="BD193">
        <f>BC193+IF(AND(BD103&gt;0,COUNTIF($Y103:BC103,BD103)=0),0,IF(SUMPRODUCT(MOD(INT(BD148/{2,4,8,16,32,64,128,256,512,1024,2048,4096,8192,16384,32768}),2)*(1-MOD(INT(($CJ13+BC193)/{2,4,8,16,32,64,128,256,512,1024,2048,4096,8192,16384,32768}),2))*{2,4,8,16,32,64,128,256,512,1024,2048,4096,8192,16384,32768})=0,0,2^SUMPRODUCT(--(MOD(SUMPRODUCT(MOD(INT(BD148/{2,4,8,16,32,64,128,256,512,1024,2048,4096,8192,16384,32768}),2)*(1-MOD(INT(($CJ13+BC193)/{2,4,8,16,32,64,128,256,512,1024,2048,4096,8192,16384,32768}),2))*{2,4,8,16,32,64,128,256,512,1024,2048,4096,8192,16384,32768}),{2,4,8,16,32,64,128,256,512,1024,2048,4096,8192,16384,32768})=0))))</f>
        <v/>
      </c>
      <c r="BE193">
        <f>BD193+IF(AND(BE103&gt;0,COUNTIF($Y103:BD103,BE103)=0),0,IF(SUMPRODUCT(MOD(INT(BE148/{2,4,8,16,32,64,128,256,512,1024,2048,4096,8192,16384,32768}),2)*(1-MOD(INT(($CJ13+BD193)/{2,4,8,16,32,64,128,256,512,1024,2048,4096,8192,16384,32768}),2))*{2,4,8,16,32,64,128,256,512,1024,2048,4096,8192,16384,32768})=0,0,2^SUMPRODUCT(--(MOD(SUMPRODUCT(MOD(INT(BE148/{2,4,8,16,32,64,128,256,512,1024,2048,4096,8192,16384,32768}),2)*(1-MOD(INT(($CJ13+BD193)/{2,4,8,16,32,64,128,256,512,1024,2048,4096,8192,16384,32768}),2))*{2,4,8,16,32,64,128,256,512,1024,2048,4096,8192,16384,32768}),{2,4,8,16,32,64,128,256,512,1024,2048,4096,8192,16384,32768})=0))))</f>
        <v/>
      </c>
      <c r="BF193">
        <f>BE193+IF(AND(BF103&gt;0,COUNTIF($Y103:BE103,BF103)=0),0,IF(SUMPRODUCT(MOD(INT(BF148/{2,4,8,16,32,64,128,256,512,1024,2048,4096,8192,16384,32768}),2)*(1-MOD(INT(($CJ13+BE193)/{2,4,8,16,32,64,128,256,512,1024,2048,4096,8192,16384,32768}),2))*{2,4,8,16,32,64,128,256,512,1024,2048,4096,8192,16384,32768})=0,0,2^SUMPRODUCT(--(MOD(SUMPRODUCT(MOD(INT(BF148/{2,4,8,16,32,64,128,256,512,1024,2048,4096,8192,16384,32768}),2)*(1-MOD(INT(($CJ13+BE193)/{2,4,8,16,32,64,128,256,512,1024,2048,4096,8192,16384,32768}),2))*{2,4,8,16,32,64,128,256,512,1024,2048,4096,8192,16384,32768}),{2,4,8,16,32,64,128,256,512,1024,2048,4096,8192,16384,32768})=0))))</f>
        <v/>
      </c>
      <c r="BG193">
        <f>BF193+IF(AND(BG103&gt;0,COUNTIF($Y103:BF103,BG103)=0),0,IF(SUMPRODUCT(MOD(INT(BG148/{2,4,8,16,32,64,128,256,512,1024,2048,4096,8192,16384,32768}),2)*(1-MOD(INT(($CJ13+BF193)/{2,4,8,16,32,64,128,256,512,1024,2048,4096,8192,16384,32768}),2))*{2,4,8,16,32,64,128,256,512,1024,2048,4096,8192,16384,32768})=0,0,2^SUMPRODUCT(--(MOD(SUMPRODUCT(MOD(INT(BG148/{2,4,8,16,32,64,128,256,512,1024,2048,4096,8192,16384,32768}),2)*(1-MOD(INT(($CJ13+BF193)/{2,4,8,16,32,64,128,256,512,1024,2048,4096,8192,16384,32768}),2))*{2,4,8,16,32,64,128,256,512,1024,2048,4096,8192,16384,32768}),{2,4,8,16,32,64,128,256,512,1024,2048,4096,8192,16384,32768})=0))))</f>
        <v/>
      </c>
      <c r="BH193">
        <f>BG193+IF(AND(BH103&gt;0,COUNTIF($Y103:BG103,BH103)=0),0,IF(SUMPRODUCT(MOD(INT(BH148/{2,4,8,16,32,64,128,256,512,1024,2048,4096,8192,16384,32768}),2)*(1-MOD(INT(($CJ13+BG193)/{2,4,8,16,32,64,128,256,512,1024,2048,4096,8192,16384,32768}),2))*{2,4,8,16,32,64,128,256,512,1024,2048,4096,8192,16384,32768})=0,0,2^SUMPRODUCT(--(MOD(SUMPRODUCT(MOD(INT(BH148/{2,4,8,16,32,64,128,256,512,1024,2048,4096,8192,16384,32768}),2)*(1-MOD(INT(($CJ13+BG193)/{2,4,8,16,32,64,128,256,512,1024,2048,4096,8192,16384,32768}),2))*{2,4,8,16,32,64,128,256,512,1024,2048,4096,8192,16384,32768}),{2,4,8,16,32,64,128,256,512,1024,2048,4096,8192,16384,32768})=0))))</f>
        <v/>
      </c>
      <c r="BI193">
        <f>BH193+IF(AND(BI103&gt;0,COUNTIF($Y103:BH103,BI103)=0),0,IF(SUMPRODUCT(MOD(INT(BI148/{2,4,8,16,32,64,128,256,512,1024,2048,4096,8192,16384,32768}),2)*(1-MOD(INT(($CJ13+BH193)/{2,4,8,16,32,64,128,256,512,1024,2048,4096,8192,16384,32768}),2))*{2,4,8,16,32,64,128,256,512,1024,2048,4096,8192,16384,32768})=0,0,2^SUMPRODUCT(--(MOD(SUMPRODUCT(MOD(INT(BI148/{2,4,8,16,32,64,128,256,512,1024,2048,4096,8192,16384,32768}),2)*(1-MOD(INT(($CJ13+BH193)/{2,4,8,16,32,64,128,256,512,1024,2048,4096,8192,16384,32768}),2))*{2,4,8,16,32,64,128,256,512,1024,2048,4096,8192,16384,32768}),{2,4,8,16,32,64,128,256,512,1024,2048,4096,8192,16384,32768})=0))))</f>
        <v/>
      </c>
      <c r="BJ193">
        <f>BI193+IF(AND(BJ103&gt;0,COUNTIF($Y103:BI103,BJ103)=0),0,IF(SUMPRODUCT(MOD(INT(BJ148/{2,4,8,16,32,64,128,256,512,1024,2048,4096,8192,16384,32768}),2)*(1-MOD(INT(($CJ13+BI193)/{2,4,8,16,32,64,128,256,512,1024,2048,4096,8192,16384,32768}),2))*{2,4,8,16,32,64,128,256,512,1024,2048,4096,8192,16384,32768})=0,0,2^SUMPRODUCT(--(MOD(SUMPRODUCT(MOD(INT(BJ148/{2,4,8,16,32,64,128,256,512,1024,2048,4096,8192,16384,32768}),2)*(1-MOD(INT(($CJ13+BI193)/{2,4,8,16,32,64,128,256,512,1024,2048,4096,8192,16384,32768}),2))*{2,4,8,16,32,64,128,256,512,1024,2048,4096,8192,16384,32768}),{2,4,8,16,32,64,128,256,512,1024,2048,4096,8192,16384,32768})=0))))</f>
        <v/>
      </c>
      <c r="BK193">
        <f>BJ193+IF(AND(BK103&gt;0,COUNTIF($Y103:BJ103,BK103)=0),0,IF(SUMPRODUCT(MOD(INT(BK148/{2,4,8,16,32,64,128,256,512,1024,2048,4096,8192,16384,32768}),2)*(1-MOD(INT(($CJ13+BJ193)/{2,4,8,16,32,64,128,256,512,1024,2048,4096,8192,16384,32768}),2))*{2,4,8,16,32,64,128,256,512,1024,2048,4096,8192,16384,32768})=0,0,2^SUMPRODUCT(--(MOD(SUMPRODUCT(MOD(INT(BK148/{2,4,8,16,32,64,128,256,512,1024,2048,4096,8192,16384,32768}),2)*(1-MOD(INT(($CJ13+BJ193)/{2,4,8,16,32,64,128,256,512,1024,2048,4096,8192,16384,32768}),2))*{2,4,8,16,32,64,128,256,512,1024,2048,4096,8192,16384,32768}),{2,4,8,16,32,64,128,256,512,1024,2048,4096,8192,16384,32768})=0))))</f>
        <v/>
      </c>
      <c r="BL193">
        <f>BK193+IF(AND(BL103&gt;0,COUNTIF($Y103:BK103,BL103)=0),0,IF(SUMPRODUCT(MOD(INT(BL148/{2,4,8,16,32,64,128,256,512,1024,2048,4096,8192,16384,32768}),2)*(1-MOD(INT(($CJ13+BK193)/{2,4,8,16,32,64,128,256,512,1024,2048,4096,8192,16384,32768}),2))*{2,4,8,16,32,64,128,256,512,1024,2048,4096,8192,16384,32768})=0,0,2^SUMPRODUCT(--(MOD(SUMPRODUCT(MOD(INT(BL148/{2,4,8,16,32,64,128,256,512,1024,2048,4096,8192,16384,32768}),2)*(1-MOD(INT(($CJ13+BK193)/{2,4,8,16,32,64,128,256,512,1024,2048,4096,8192,16384,32768}),2))*{2,4,8,16,32,64,128,256,512,1024,2048,4096,8192,16384,32768}),{2,4,8,16,32,64,128,256,512,1024,2048,4096,8192,16384,32768})=0))))</f>
        <v/>
      </c>
      <c r="BM193">
        <f>BL193+IF(AND(BM103&gt;0,COUNTIF($Y103:BL103,BM103)=0),0,IF(SUMPRODUCT(MOD(INT(BM148/{2,4,8,16,32,64,128,256,512,1024,2048,4096,8192,16384,32768}),2)*(1-MOD(INT(($CJ13+BL193)/{2,4,8,16,32,64,128,256,512,1024,2048,4096,8192,16384,32768}),2))*{2,4,8,16,32,64,128,256,512,1024,2048,4096,8192,16384,32768})=0,0,2^SUMPRODUCT(--(MOD(SUMPRODUCT(MOD(INT(BM148/{2,4,8,16,32,64,128,256,512,1024,2048,4096,8192,16384,32768}),2)*(1-MOD(INT(($CJ13+BL193)/{2,4,8,16,32,64,128,256,512,1024,2048,4096,8192,16384,32768}),2))*{2,4,8,16,32,64,128,256,512,1024,2048,4096,8192,16384,32768}),{2,4,8,16,32,64,128,256,512,1024,2048,4096,8192,16384,32768})=0))))</f>
        <v/>
      </c>
      <c r="BN193">
        <f>BM193+IF(AND(BN103&gt;0,COUNTIF($Y103:BM103,BN103)=0),0,IF(SUMPRODUCT(MOD(INT(BN148/{2,4,8,16,32,64,128,256,512,1024,2048,4096,8192,16384,32768}),2)*(1-MOD(INT(($CJ13+BM193)/{2,4,8,16,32,64,128,256,512,1024,2048,4096,8192,16384,32768}),2))*{2,4,8,16,32,64,128,256,512,1024,2048,4096,8192,16384,32768})=0,0,2^SUMPRODUCT(--(MOD(SUMPRODUCT(MOD(INT(BN148/{2,4,8,16,32,64,128,256,512,1024,2048,4096,8192,16384,32768}),2)*(1-MOD(INT(($CJ13+BM193)/{2,4,8,16,32,64,128,256,512,1024,2048,4096,8192,16384,32768}),2))*{2,4,8,16,32,64,128,256,512,1024,2048,4096,8192,16384,32768}),{2,4,8,16,32,64,128,256,512,1024,2048,4096,8192,16384,32768})=0))))</f>
        <v/>
      </c>
      <c r="BO193">
        <f>BN193+IF(AND(BO103&gt;0,COUNTIF($Y103:BN103,BO103)=0),0,IF(SUMPRODUCT(MOD(INT(BO148/{2,4,8,16,32,64,128,256,512,1024,2048,4096,8192,16384,32768}),2)*(1-MOD(INT(($CJ13+BN193)/{2,4,8,16,32,64,128,256,512,1024,2048,4096,8192,16384,32768}),2))*{2,4,8,16,32,64,128,256,512,1024,2048,4096,8192,16384,32768})=0,0,2^SUMPRODUCT(--(MOD(SUMPRODUCT(MOD(INT(BO148/{2,4,8,16,32,64,128,256,512,1024,2048,4096,8192,16384,32768}),2)*(1-MOD(INT(($CJ13+BN193)/{2,4,8,16,32,64,128,256,512,1024,2048,4096,8192,16384,32768}),2))*{2,4,8,16,32,64,128,256,512,1024,2048,4096,8192,16384,32768}),{2,4,8,16,32,64,128,256,512,1024,2048,4096,8192,16384,32768})=0))))</f>
        <v/>
      </c>
      <c r="BP193">
        <f>BO193+IF(AND(BP103&gt;0,COUNTIF($Y103:BO103,BP103)=0),0,IF(SUMPRODUCT(MOD(INT(BP148/{2,4,8,16,32,64,128,256,512,1024,2048,4096,8192,16384,32768}),2)*(1-MOD(INT(($CJ13+BO193)/{2,4,8,16,32,64,128,256,512,1024,2048,4096,8192,16384,32768}),2))*{2,4,8,16,32,64,128,256,512,1024,2048,4096,8192,16384,32768})=0,0,2^SUMPRODUCT(--(MOD(SUMPRODUCT(MOD(INT(BP148/{2,4,8,16,32,64,128,256,512,1024,2048,4096,8192,16384,32768}),2)*(1-MOD(INT(($CJ13+BO193)/{2,4,8,16,32,64,128,256,512,1024,2048,4096,8192,16384,32768}),2))*{2,4,8,16,32,64,128,256,512,1024,2048,4096,8192,16384,32768}),{2,4,8,16,32,64,128,256,512,1024,2048,4096,8192,16384,32768})=0))))</f>
        <v/>
      </c>
      <c r="BQ193">
        <f>BP193+IF(AND(BQ103&gt;0,COUNTIF($Y103:BP103,BQ103)=0),0,IF(SUMPRODUCT(MOD(INT(BQ148/{2,4,8,16,32,64,128,256,512,1024,2048,4096,8192,16384,32768}),2)*(1-MOD(INT(($CJ13+BP193)/{2,4,8,16,32,64,128,256,512,1024,2048,4096,8192,16384,32768}),2))*{2,4,8,16,32,64,128,256,512,1024,2048,4096,8192,16384,32768})=0,0,2^SUMPRODUCT(--(MOD(SUMPRODUCT(MOD(INT(BQ148/{2,4,8,16,32,64,128,256,512,1024,2048,4096,8192,16384,32768}),2)*(1-MOD(INT(($CJ13+BP193)/{2,4,8,16,32,64,128,256,512,1024,2048,4096,8192,16384,32768}),2))*{2,4,8,16,32,64,128,256,512,1024,2048,4096,8192,16384,32768}),{2,4,8,16,32,64,128,256,512,1024,2048,4096,8192,16384,32768})=0))))</f>
        <v/>
      </c>
      <c r="BR193">
        <f>BQ193+IF(AND(BR103&gt;0,COUNTIF($Y103:BQ103,BR103)=0),0,IF(SUMPRODUCT(MOD(INT(BR148/{2,4,8,16,32,64,128,256,512,1024,2048,4096,8192,16384,32768}),2)*(1-MOD(INT(($CJ13+BQ193)/{2,4,8,16,32,64,128,256,512,1024,2048,4096,8192,16384,32768}),2))*{2,4,8,16,32,64,128,256,512,1024,2048,4096,8192,16384,32768})=0,0,2^SUMPRODUCT(--(MOD(SUMPRODUCT(MOD(INT(BR148/{2,4,8,16,32,64,128,256,512,1024,2048,4096,8192,16384,32768}),2)*(1-MOD(INT(($CJ13+BQ193)/{2,4,8,16,32,64,128,256,512,1024,2048,4096,8192,16384,32768}),2))*{2,4,8,16,32,64,128,256,512,1024,2048,4096,8192,16384,32768}),{2,4,8,16,32,64,128,256,512,1024,2048,4096,8192,16384,32768})=0))))</f>
        <v/>
      </c>
      <c r="BS193">
        <f>BR193+IF(AND(BS103&gt;0,COUNTIF($Y103:BR103,BS103)=0),0,IF(SUMPRODUCT(MOD(INT(BS148/{2,4,8,16,32,64,128,256,512,1024,2048,4096,8192,16384,32768}),2)*(1-MOD(INT(($CJ13+BR193)/{2,4,8,16,32,64,128,256,512,1024,2048,4096,8192,16384,32768}),2))*{2,4,8,16,32,64,128,256,512,1024,2048,4096,8192,16384,32768})=0,0,2^SUMPRODUCT(--(MOD(SUMPRODUCT(MOD(INT(BS148/{2,4,8,16,32,64,128,256,512,1024,2048,4096,8192,16384,32768}),2)*(1-MOD(INT(($CJ13+BR193)/{2,4,8,16,32,64,128,256,512,1024,2048,4096,8192,16384,32768}),2))*{2,4,8,16,32,64,128,256,512,1024,2048,4096,8192,16384,32768}),{2,4,8,16,32,64,128,256,512,1024,2048,4096,8192,16384,32768})=0))))</f>
        <v/>
      </c>
      <c r="BT193">
        <f>BS193+IF(AND(BT103&gt;0,COUNTIF($Y103:BS103,BT103)=0),0,IF(SUMPRODUCT(MOD(INT(BT148/{2,4,8,16,32,64,128,256,512,1024,2048,4096,8192,16384,32768}),2)*(1-MOD(INT(($CJ13+BS193)/{2,4,8,16,32,64,128,256,512,1024,2048,4096,8192,16384,32768}),2))*{2,4,8,16,32,64,128,256,512,1024,2048,4096,8192,16384,32768})=0,0,2^SUMPRODUCT(--(MOD(SUMPRODUCT(MOD(INT(BT148/{2,4,8,16,32,64,128,256,512,1024,2048,4096,8192,16384,32768}),2)*(1-MOD(INT(($CJ13+BS193)/{2,4,8,16,32,64,128,256,512,1024,2048,4096,8192,16384,32768}),2))*{2,4,8,16,32,64,128,256,512,1024,2048,4096,8192,16384,32768}),{2,4,8,16,32,64,128,256,512,1024,2048,4096,8192,16384,32768})=0))))</f>
        <v/>
      </c>
      <c r="BU193">
        <f>BT193+IF(AND(BU103&gt;0,COUNTIF($Y103:BT103,BU103)=0),0,IF(SUMPRODUCT(MOD(INT(BU148/{2,4,8,16,32,64,128,256,512,1024,2048,4096,8192,16384,32768}),2)*(1-MOD(INT(($CJ13+BT193)/{2,4,8,16,32,64,128,256,512,1024,2048,4096,8192,16384,32768}),2))*{2,4,8,16,32,64,128,256,512,1024,2048,4096,8192,16384,32768})=0,0,2^SUMPRODUCT(--(MOD(SUMPRODUCT(MOD(INT(BU148/{2,4,8,16,32,64,128,256,512,1024,2048,4096,8192,16384,32768}),2)*(1-MOD(INT(($CJ13+BT193)/{2,4,8,16,32,64,128,256,512,1024,2048,4096,8192,16384,32768}),2))*{2,4,8,16,32,64,128,256,512,1024,2048,4096,8192,16384,32768}),{2,4,8,16,32,64,128,256,512,1024,2048,4096,8192,16384,32768})=0))))</f>
        <v/>
      </c>
      <c r="BV193">
        <f>BU193+IF(AND(BV103&gt;0,COUNTIF($Y103:BU103,BV103)=0),0,IF(SUMPRODUCT(MOD(INT(BV148/{2,4,8,16,32,64,128,256,512,1024,2048,4096,8192,16384,32768}),2)*(1-MOD(INT(($CJ13+BU193)/{2,4,8,16,32,64,128,256,512,1024,2048,4096,8192,16384,32768}),2))*{2,4,8,16,32,64,128,256,512,1024,2048,4096,8192,16384,32768})=0,0,2^SUMPRODUCT(--(MOD(SUMPRODUCT(MOD(INT(BV148/{2,4,8,16,32,64,128,256,512,1024,2048,4096,8192,16384,32768}),2)*(1-MOD(INT(($CJ13+BU193)/{2,4,8,16,32,64,128,256,512,1024,2048,4096,8192,16384,32768}),2))*{2,4,8,16,32,64,128,256,512,1024,2048,4096,8192,16384,32768}),{2,4,8,16,32,64,128,256,512,1024,2048,4096,8192,16384,32768})=0))))</f>
        <v/>
      </c>
      <c r="BW193">
        <f>BV193+IF(AND(BW103&gt;0,COUNTIF($Y103:BV103,BW103)=0),0,IF(SUMPRODUCT(MOD(INT(BW148/{2,4,8,16,32,64,128,256,512,1024,2048,4096,8192,16384,32768}),2)*(1-MOD(INT(($CJ13+BV193)/{2,4,8,16,32,64,128,256,512,1024,2048,4096,8192,16384,32768}),2))*{2,4,8,16,32,64,128,256,512,1024,2048,4096,8192,16384,32768})=0,0,2^SUMPRODUCT(--(MOD(SUMPRODUCT(MOD(INT(BW148/{2,4,8,16,32,64,128,256,512,1024,2048,4096,8192,16384,32768}),2)*(1-MOD(INT(($CJ13+BV193)/{2,4,8,16,32,64,128,256,512,1024,2048,4096,8192,16384,32768}),2))*{2,4,8,16,32,64,128,256,512,1024,2048,4096,8192,16384,32768}),{2,4,8,16,32,64,128,256,512,1024,2048,4096,8192,16384,32768})=0))))</f>
        <v/>
      </c>
      <c r="BX193">
        <f>BW193+IF(AND(BX103&gt;0,COUNTIF($Y103:BW103,BX103)=0),0,IF(SUMPRODUCT(MOD(INT(BX148/{2,4,8,16,32,64,128,256,512,1024,2048,4096,8192,16384,32768}),2)*(1-MOD(INT(($CJ13+BW193)/{2,4,8,16,32,64,128,256,512,1024,2048,4096,8192,16384,32768}),2))*{2,4,8,16,32,64,128,256,512,1024,2048,4096,8192,16384,32768})=0,0,2^SUMPRODUCT(--(MOD(SUMPRODUCT(MOD(INT(BX148/{2,4,8,16,32,64,128,256,512,1024,2048,4096,8192,16384,32768}),2)*(1-MOD(INT(($CJ13+BW193)/{2,4,8,16,32,64,128,256,512,1024,2048,4096,8192,16384,32768}),2))*{2,4,8,16,32,64,128,256,512,1024,2048,4096,8192,16384,32768}),{2,4,8,16,32,64,128,256,512,1024,2048,4096,8192,16384,32768})=0))))</f>
        <v/>
      </c>
      <c r="BY193">
        <f>BX193+IF(AND(BY103&gt;0,COUNTIF($Y103:BX103,BY103)=0),0,IF(SUMPRODUCT(MOD(INT(BY148/{2,4,8,16,32,64,128,256,512,1024,2048,4096,8192,16384,32768}),2)*(1-MOD(INT(($CJ13+BX193)/{2,4,8,16,32,64,128,256,512,1024,2048,4096,8192,16384,32768}),2))*{2,4,8,16,32,64,128,256,512,1024,2048,4096,8192,16384,32768})=0,0,2^SUMPRODUCT(--(MOD(SUMPRODUCT(MOD(INT(BY148/{2,4,8,16,32,64,128,256,512,1024,2048,4096,8192,16384,32768}),2)*(1-MOD(INT(($CJ13+BX193)/{2,4,8,16,32,64,128,256,512,1024,2048,4096,8192,16384,32768}),2))*{2,4,8,16,32,64,128,256,512,1024,2048,4096,8192,16384,32768}),{2,4,8,16,32,64,128,256,512,1024,2048,4096,8192,16384,32768})=0))))</f>
        <v/>
      </c>
      <c r="BZ193">
        <f>BY193+IF(AND(BZ103&gt;0,COUNTIF($Y103:BY103,BZ103)=0),0,IF(SUMPRODUCT(MOD(INT(BZ148/{2,4,8,16,32,64,128,256,512,1024,2048,4096,8192,16384,32768}),2)*(1-MOD(INT(($CJ13+BY193)/{2,4,8,16,32,64,128,256,512,1024,2048,4096,8192,16384,32768}),2))*{2,4,8,16,32,64,128,256,512,1024,2048,4096,8192,16384,32768})=0,0,2^SUMPRODUCT(--(MOD(SUMPRODUCT(MOD(INT(BZ148/{2,4,8,16,32,64,128,256,512,1024,2048,4096,8192,16384,32768}),2)*(1-MOD(INT(($CJ13+BY193)/{2,4,8,16,32,64,128,256,512,1024,2048,4096,8192,16384,32768}),2))*{2,4,8,16,32,64,128,256,512,1024,2048,4096,8192,16384,32768}),{2,4,8,16,32,64,128,256,512,1024,2048,4096,8192,16384,32768})=0))))</f>
        <v/>
      </c>
      <c r="CA193">
        <f>BZ193+IF(AND(CA103&gt;0,COUNTIF($Y103:BZ103,CA103)=0),0,IF(SUMPRODUCT(MOD(INT(CA148/{2,4,8,16,32,64,128,256,512,1024,2048,4096,8192,16384,32768}),2)*(1-MOD(INT(($CJ13+BZ193)/{2,4,8,16,32,64,128,256,512,1024,2048,4096,8192,16384,32768}),2))*{2,4,8,16,32,64,128,256,512,1024,2048,4096,8192,16384,32768})=0,0,2^SUMPRODUCT(--(MOD(SUMPRODUCT(MOD(INT(CA148/{2,4,8,16,32,64,128,256,512,1024,2048,4096,8192,16384,32768}),2)*(1-MOD(INT(($CJ13+BZ193)/{2,4,8,16,32,64,128,256,512,1024,2048,4096,8192,16384,32768}),2))*{2,4,8,16,32,64,128,256,512,1024,2048,4096,8192,16384,32768}),{2,4,8,16,32,64,128,256,512,1024,2048,4096,8192,16384,32768})=0))))</f>
        <v/>
      </c>
      <c r="CB193">
        <f>CA193+IF(AND(CB103&gt;0,COUNTIF($Y103:CA103,CB103)=0),0,IF(SUMPRODUCT(MOD(INT(CB148/{2,4,8,16,32,64,128,256,512,1024,2048,4096,8192,16384,32768}),2)*(1-MOD(INT(($CJ13+CA193)/{2,4,8,16,32,64,128,256,512,1024,2048,4096,8192,16384,32768}),2))*{2,4,8,16,32,64,128,256,512,1024,2048,4096,8192,16384,32768})=0,0,2^SUMPRODUCT(--(MOD(SUMPRODUCT(MOD(INT(CB148/{2,4,8,16,32,64,128,256,512,1024,2048,4096,8192,16384,32768}),2)*(1-MOD(INT(($CJ13+CA193)/{2,4,8,16,32,64,128,256,512,1024,2048,4096,8192,16384,32768}),2))*{2,4,8,16,32,64,128,256,512,1024,2048,4096,8192,16384,32768}),{2,4,8,16,32,64,128,256,512,1024,2048,4096,8192,16384,32768})=0))))</f>
        <v/>
      </c>
      <c r="CC193">
        <f>CB193+IF(AND(CC103&gt;0,COUNTIF($Y103:CB103,CC103)=0),0,IF(SUMPRODUCT(MOD(INT(CC148/{2,4,8,16,32,64,128,256,512,1024,2048,4096,8192,16384,32768}),2)*(1-MOD(INT(($CJ13+CB193)/{2,4,8,16,32,64,128,256,512,1024,2048,4096,8192,16384,32768}),2))*{2,4,8,16,32,64,128,256,512,1024,2048,4096,8192,16384,32768})=0,0,2^SUMPRODUCT(--(MOD(SUMPRODUCT(MOD(INT(CC148/{2,4,8,16,32,64,128,256,512,1024,2048,4096,8192,16384,32768}),2)*(1-MOD(INT(($CJ13+CB193)/{2,4,8,16,32,64,128,256,512,1024,2048,4096,8192,16384,32768}),2))*{2,4,8,16,32,64,128,256,512,1024,2048,4096,8192,16384,32768}),{2,4,8,16,32,64,128,256,512,1024,2048,4096,8192,16384,32768})=0))))</f>
        <v/>
      </c>
      <c r="CD193">
        <f>CC193+IF(AND(CD103&gt;0,COUNTIF($Y103:CC103,CD103)=0),0,IF(SUMPRODUCT(MOD(INT(CD148/{2,4,8,16,32,64,128,256,512,1024,2048,4096,8192,16384,32768}),2)*(1-MOD(INT(($CJ13+CC193)/{2,4,8,16,32,64,128,256,512,1024,2048,4096,8192,16384,32768}),2))*{2,4,8,16,32,64,128,256,512,1024,2048,4096,8192,16384,32768})=0,0,2^SUMPRODUCT(--(MOD(SUMPRODUCT(MOD(INT(CD148/{2,4,8,16,32,64,128,256,512,1024,2048,4096,8192,16384,32768}),2)*(1-MOD(INT(($CJ13+CC193)/{2,4,8,16,32,64,128,256,512,1024,2048,4096,8192,16384,32768}),2))*{2,4,8,16,32,64,128,256,512,1024,2048,4096,8192,16384,32768}),{2,4,8,16,32,64,128,256,512,1024,2048,4096,8192,16384,32768})=0))))</f>
        <v/>
      </c>
      <c r="CE193">
        <f>CD193+IF(AND(CE103&gt;0,COUNTIF($Y103:CD103,CE103)=0),0,IF(SUMPRODUCT(MOD(INT(CE148/{2,4,8,16,32,64,128,256,512,1024,2048,4096,8192,16384,32768}),2)*(1-MOD(INT(($CJ13+CD193)/{2,4,8,16,32,64,128,256,512,1024,2048,4096,8192,16384,32768}),2))*{2,4,8,16,32,64,128,256,512,1024,2048,4096,8192,16384,32768})=0,0,2^SUMPRODUCT(--(MOD(SUMPRODUCT(MOD(INT(CE148/{2,4,8,16,32,64,128,256,512,1024,2048,4096,8192,16384,32768}),2)*(1-MOD(INT(($CJ13+CD193)/{2,4,8,16,32,64,128,256,512,1024,2048,4096,8192,16384,32768}),2))*{2,4,8,16,32,64,128,256,512,1024,2048,4096,8192,16384,32768}),{2,4,8,16,32,64,128,256,512,1024,2048,4096,8192,16384,32768})=0))))</f>
        <v/>
      </c>
      <c r="CF193">
        <f>CE193+IF(AND(CF103&gt;0,COUNTIF($Y103:CE103,CF103)=0),0,IF(SUMPRODUCT(MOD(INT(CF148/{2,4,8,16,32,64,128,256,512,1024,2048,4096,8192,16384,32768}),2)*(1-MOD(INT(($CJ13+CE193)/{2,4,8,16,32,64,128,256,512,1024,2048,4096,8192,16384,32768}),2))*{2,4,8,16,32,64,128,256,512,1024,2048,4096,8192,16384,32768})=0,0,2^SUMPRODUCT(--(MOD(SUMPRODUCT(MOD(INT(CF148/{2,4,8,16,32,64,128,256,512,1024,2048,4096,8192,16384,32768}),2)*(1-MOD(INT(($CJ13+CE193)/{2,4,8,16,32,64,128,256,512,1024,2048,4096,8192,16384,32768}),2))*{2,4,8,16,32,64,128,256,512,1024,2048,4096,8192,16384,32768}),{2,4,8,16,32,64,128,256,512,1024,2048,4096,8192,16384,32768})=0))))</f>
        <v/>
      </c>
      <c r="DA193" t="n">
        <v>189</v>
      </c>
      <c r="DB193">
        <f>IF($B$37=0,"",IFERROR(TRIM(SUBSTITUTE(SUBSTITUTE(SUBSTITUTE(SUBSTITUTE(INDEX(PASTE_ALL,189,$B$37)," "," "),CHAR(9)," "),CHAR(10)," "),CHAR(13)," ")),""))</f>
        <v/>
      </c>
      <c r="DC193">
        <f>IF(AND(189&gt;HEADER_ROW,UPPER(DB193)="LEGEND"),1,0)</f>
        <v/>
      </c>
      <c r="DE193" t="n">
        <v>189</v>
      </c>
      <c r="DF193">
        <f>HEADER_ROW+$DE193</f>
        <v/>
      </c>
      <c r="DG193">
        <f>IF(AND($DF193&lt;=1000,$DF193&lt;$B$8),1,0)</f>
        <v/>
      </c>
      <c r="DH193">
        <f>IF($DG193=1,IFERROR(INDEX($DB$5:$DB$1004,$DF193),""),"")</f>
        <v/>
      </c>
      <c r="DI193">
        <f>IF(AND($DG193=1,$DH193&lt;&gt;""),IFERROR(SUBSTITUTE(SUBSTITUTE(TRIM(SUBSTITUTE(SUBSTITUTE(SUBSTITUTE(SUBSTITUTE(IFERROR(INDEX(PASTE_ALL,$DF193,1)&amp;"","")&amp;"␟"&amp;IFERROR(INDEX(PASTE_ALL,$DF193,2)&amp;"","")&amp;"␟"&amp;IFERROR(INDEX(PASTE_ALL,$DF193,3)&amp;"","")&amp;"␟"&amp;IFERROR(INDEX(PASTE_ALL,$DF193,4)&amp;"","")&amp;"␟"&amp;IFERROR(INDEX(PASTE_ALL,$DF193,5)&amp;"","")&amp;"␟"&amp;IFERROR(INDEX(PASTE_ALL,$DF193,6)&amp;"","")&amp;"␟"&amp;IFERROR(INDEX(PASTE_ALL,$DF193,7)&amp;"","")&amp;"␟"&amp;IFERROR(INDEX(PASTE_ALL,$DF193,8)&amp;"","")&amp;"␟"&amp;IFERROR(INDEX(PASTE_ALL,$DF193,9)&amp;"","")&amp;"␟"&amp;IFERROR(INDEX(PASTE_ALL,$DF193,10)&amp;"","")&amp;"␟"&amp;IFERROR(INDEX(PASTE_ALL,$DF193,11)&amp;"","")&amp;"␟"&amp;IFERROR(INDEX(PASTE_ALL,$DF193,12)&amp;"","")&amp;"␟"&amp;IFERROR(INDEX(PASTE_ALL,$DF193,13)&amp;"","")&amp;"␟"&amp;IFERROR(INDEX(PASTE_ALL,$DF193,14)&amp;"","")&amp;"␟"&amp;IFERROR(INDEX(PASTE_ALL,$DF193,15)&amp;"","")&amp;"␟"&amp;IFERROR(INDEX(PASTE_ALL,$DF193,16)&amp;"","")&amp;"␟"&amp;IFERROR(INDEX(PASTE_ALL,$DF193,17)&amp;"","")&amp;"␟"&amp;IFERROR(INDEX(PASTE_ALL,$DF193,18)&amp;"","")&amp;"␟"&amp;IFERROR(INDEX(PASTE_ALL,$DF193,19)&amp;"","")&amp;"␟"&amp;IFERROR(INDEX(PASTE_ALL,$DF193,20)&amp;"","")&amp;"␟"&amp;IFERROR(INDEX(PASTE_ALL,$DF193,21)&amp;"","")&amp;"␟"&amp;IFERROR(INDEX(PASTE_ALL,$DF193,22)&amp;"","")&amp;"␟"&amp;IFERROR(INDEX(PASTE_ALL,$DF193,23)&amp;"","")&amp;"␟"&amp;IFERROR(INDEX(PASTE_ALL,$DF193,24)&amp;"","")&amp;"␟"&amp;IFERROR(INDEX(PASTE_ALL,$DF193,25)&amp;"","")&amp;"␟"&amp;IFERROR(INDEX(PASTE_ALL,$DF193,26)&amp;"","")&amp;"␟"&amp;IFERROR(INDEX(PASTE_ALL,$DF193,27)&amp;"","")&amp;"␟"&amp;IFERROR(INDEX(PASTE_ALL,$DF193,28)&amp;"","")&amp;"␟"&amp;IFERROR(INDEX(PASTE_ALL,$DF193,29)&amp;"","")&amp;"␟"&amp;IFERROR(INDEX(PASTE_ALL,$DF193,30)&amp;"","")&amp;"␟"&amp;IFERROR(INDEX(PASTE_ALL,$DF193,31)&amp;"","")&amp;"␟"&amp;IFERROR(INDEX(PASTE_ALL,$DF193,32)&amp;"","")&amp;"␟"&amp;IFERROR(INDEX(PASTE_ALL,$DF193,33)&amp;"","")&amp;"␟"&amp;IFERROR(INDEX(PASTE_ALL,$DF193,34)&amp;"","")&amp;"␟"&amp;IFERROR(INDEX(PASTE_ALL,$DF193,35)&amp;"","")&amp;"␟"&amp;IFERROR(INDEX(PASTE_ALL,$DF193,36)&amp;"","")&amp;"␟"&amp;IFERROR(INDEX(PASTE_ALL,$DF193,37)&amp;"","")&amp;"␟"&amp;IFERROR(INDEX(PASTE_ALL,$DF193,38)&amp;"","")&amp;"␟"&amp;IFERROR(INDEX(PASTE_ALL,$DF193,39)&amp;"","")&amp;"␟"&amp;IFERROR(INDEX(PASTE_ALL,$DF193,40)&amp;"","")&amp;"␟"&amp;IFERROR(INDEX(PASTE_ALL,$DF193,41)&amp;"","")&amp;"␟"&amp;IFERROR(INDEX(PASTE_ALL,$DF193,42)&amp;"","")&amp;"␟"&amp;IFERROR(INDEX(PASTE_ALL,$DF193,43)&amp;"","")&amp;"␟"&amp;IFERROR(INDEX(PASTE_ALL,$DF193,44)&amp;"","")&amp;"␟"&amp;IFERROR(INDEX(PASTE_ALL,$DF193,45)&amp;"","")&amp;"␟"&amp;IFERROR(INDEX(PASTE_ALL,$DF193,46)&amp;"","")&amp;"␟"&amp;IFERROR(INDEX(PASTE_ALL,$DF193,47)&amp;"","")&amp;"␟"&amp;IFERROR(INDEX(PASTE_ALL,$DF193,48)&amp;"","")&amp;"␟"&amp;IFERROR(INDEX(PASTE_ALL,$DF193,49)&amp;"","")&amp;"␟"&amp;IFERROR(INDEX(PASTE_ALL,$DF193,50)&amp;"","")&amp;"␟"&amp;IFERROR(INDEX(PASTE_ALL,$DF193,51)&amp;"","")&amp;"␟"&amp;IFERROR(INDEX(PASTE_ALL,$DF193,52)&amp;"","")&amp;"␟"&amp;IFERROR(INDEX(PASTE_ALL,$DF193,53)&amp;"","")&amp;"␟"&amp;IFERROR(INDEX(PASTE_ALL,$DF193,54)&amp;"","")&amp;"␟"&amp;IFERROR(INDEX(PASTE_ALL,$DF193,55)&amp;"","")&amp;"␟"&amp;IFERROR(INDEX(PASTE_ALL,$DF193,56)&amp;"","")&amp;"␟"&amp;IFERROR(INDEX(PASTE_ALL,$DF193,57)&amp;"","")&amp;"␟"&amp;IFERROR(INDEX(PASTE_ALL,$DF193,58)&amp;"","")&amp;"␟"&amp;IFERROR(INDEX(PASTE_ALL,$DF193,59)&amp;"","")&amp;"␟"&amp;IFERROR(INDEX(PASTE_ALL,$DF193,60)&amp;"","")," "," "),CHAR(9)," "),CHAR(10)," "),CHAR(13)," "))," ␟","␟"),"␟ ","␟"),"#"&amp;$DE193),"")</f>
        <v/>
      </c>
      <c r="DJ193">
        <f>IF($DI193="",0,IF(SUMPRODUCT(--EXACT($DI$4:DI192,$DI193))&gt;0,1,0))</f>
        <v/>
      </c>
      <c r="DK193">
        <f>IF(AND($DI193&lt;&gt;"",$DJ193=0),1,0)</f>
        <v/>
      </c>
      <c r="DL193">
        <f>DL192+$DK193</f>
        <v/>
      </c>
      <c r="DM193">
        <f>IF(AND($DK193=1,$DL193&lt;=600),1,0)</f>
        <v/>
      </c>
      <c r="DN193">
        <f>IF($DM193=0,"",IF($L$6=0,"",IFERROR(IF(ISNUMBER(INDEX(PASTE_ALL,$DF193,$L$6)),INDEX(PASTE_ALL,$DF193,$L$6),TRIM(SUBSTITUTE(SUBSTITUTE(SUBSTITUTE(SUBSTITUTE(INDEX(PASTE_ALL,$DF193,$L$6)," "," "),CHAR(9)," "),CHAR(10)," "),CHAR(13)," "))),"")))</f>
        <v/>
      </c>
      <c r="DO193">
        <f>IF($DM193=0,"",IF($L$7=0,"",IFERROR(IF(ISNUMBER(INDEX(PASTE_ALL,$DF193,$L$7)),INDEX(PASTE_ALL,$DF193,$L$7),TRIM(SUBSTITUTE(SUBSTITUTE(SUBSTITUTE(SUBSTITUTE(INDEX(PASTE_ALL,$DF193,$L$7)," "," "),CHAR(9)," "),CHAR(10)," "),CHAR(13)," "))),"")))</f>
        <v/>
      </c>
      <c r="DP193">
        <f>IF($DM193=0,"",IF($L$8=0,"",IFERROR(IF(ISNUMBER(INDEX(PASTE_ALL,$DF193,$L$8)),INDEX(PASTE_ALL,$DF193,$L$8),TRIM(SUBSTITUTE(SUBSTITUTE(SUBSTITUTE(SUBSTITUTE(INDEX(PASTE_ALL,$DF193,$L$8)," "," "),CHAR(9)," "),CHAR(10)," "),CHAR(13)," "))),"")))</f>
        <v/>
      </c>
      <c r="DQ193">
        <f>IF($DM193=0,"",IF($L$9=0,"",IFERROR(IF(ISNUMBER(INDEX(PASTE_ALL,$DF193,$L$9)),INDEX(PASTE_ALL,$DF193,$L$9),TRIM(SUBSTITUTE(SUBSTITUTE(SUBSTITUTE(SUBSTITUTE(INDEX(PASTE_ALL,$DF193,$L$9)," "," "),CHAR(9)," "),CHAR(10)," "),CHAR(13)," "))),"")))</f>
        <v/>
      </c>
      <c r="DR193">
        <f>IF($DM193=0,"",IF($L$10=0,"",IFERROR(IF(ISNUMBER(INDEX(PASTE_ALL,$DF193,$L$10)),INDEX(PASTE_ALL,$DF193,$L$10),TRIM(SUBSTITUTE(SUBSTITUTE(SUBSTITUTE(SUBSTITUTE(INDEX(PASTE_ALL,$DF193,$L$10)," "," "),CHAR(9)," "),CHAR(10)," "),CHAR(13)," "))),"")))</f>
        <v/>
      </c>
      <c r="DS193">
        <f>IF($DM193=0,"",IF($L$11=0,"",IFERROR(IF(ISNUMBER(INDEX(PASTE_ALL,$DF193,$L$11)),INDEX(PASTE_ALL,$DF193,$L$11),TRIM(SUBSTITUTE(SUBSTITUTE(SUBSTITUTE(SUBSTITUTE(INDEX(PASTE_ALL,$DF193,$L$11)," "," "),CHAR(9)," "),CHAR(10)," "),CHAR(13)," "))),"")))</f>
        <v/>
      </c>
      <c r="DT193">
        <f>IF($DM193=0,"",IF($L$12=0,"",IFERROR(IF(ISNUMBER(INDEX(PASTE_ALL,$DF193,$L$12)),INDEX(PASTE_ALL,$DF193,$L$12),TRIM(SUBSTITUTE(SUBSTITUTE(SUBSTITUTE(SUBSTITUTE(INDEX(PASTE_ALL,$DF193,$L$12)," "," "),CHAR(9)," "),CHAR(10)," "),CHAR(13)," "))),"")))</f>
        <v/>
      </c>
      <c r="DU193">
        <f>IF($DM193=0,"",IF($L$13=0,"",IFERROR(IF(ISNUMBER(INDEX(PASTE_ALL,$DF193,$L$13)),INDEX(PASTE_ALL,$DF193,$L$13),TRIM(SUBSTITUTE(SUBSTITUTE(SUBSTITUTE(SUBSTITUTE(INDEX(PASTE_ALL,$DF193,$L$13)," "," "),CHAR(9)," "),CHAR(10)," "),CHAR(13)," "))),"")))</f>
        <v/>
      </c>
      <c r="DV193">
        <f>IF($DM193=0,"",IF($L$14=0,"",IFERROR(IF(ISNUMBER(INDEX(PASTE_ALL,$DF193,$L$14)),INDEX(PASTE_ALL,$DF193,$L$14),TRIM(SUBSTITUTE(SUBSTITUTE(SUBSTITUTE(SUBSTITUTE(INDEX(PASTE_ALL,$DF193,$L$14)," "," "),CHAR(9)," "),CHAR(10)," "),CHAR(13)," "))),"")))</f>
        <v/>
      </c>
      <c r="DW193">
        <f>IF($DM193=0,"",IF($L$15=0,"",IFERROR(IF(ISNUMBER(INDEX(PASTE_ALL,$DF193,$L$15)),INDEX(PASTE_ALL,$DF193,$L$15),IF(SUMPRODUCT(--ISNUMBER(FIND({"A","B","C","D","E","F","G","H","I","J","K","L","M","N","O","P","Q","R","S","T","U","V","W","X","Y","Z","0","1","2","3","4","5","6","7","8","9"},UPPER(TRIM(SUBSTITUTE(SUBSTITUTE(SUBSTITUTE(SUBSTITUTE(INDEX(PASTE_ALL,$DF193,$L$15)," "," "),CHAR(9)," "),CHAR(10)," "),CHAR(13)," "))))))&gt;0,TRIM(SUBSTITUTE(SUBSTITUTE(SUBSTITUTE(SUBSTITUTE(INDEX(PASTE_ALL,$DF193,$L$15)," "," "),CHAR(9)," "),CHAR(10)," "),CHAR(13)," ")),"")),"")))</f>
        <v/>
      </c>
      <c r="DX193">
        <f>IF($DM193=0,"",IF($L$16=0,"",IFERROR(IF(ISNUMBER(INDEX(PASTE_ALL,$DF193,$L$16)),INDEX(PASTE_ALL,$DF193,$L$16),SUBSTITUTE(SUBSTITUTE(TRIM(SUBSTITUTE(SUBSTITUTE(SUBSTITUTE(SUBSTITUTE(INDEX(PASTE_ALL,$DF193,$L$16)," "," "),CHAR(9)," "),CHAR(10)," "),CHAR(13)," ")),",",""),"%","")),"")))</f>
        <v/>
      </c>
      <c r="DY193">
        <f>IF($DM193=0,"",IFERROR(IF(ISNUMBER($DX193),$DX193,IF($DX193="","",IF(TRIM($DX193)="",0,IF(AND(AND(SUBSTITUTE(SUBSTITUTE(SUBSTITUTE(SUBSTITUTE(SUBSTITUTE(SUBSTITUTE(SUBSTITUTE(SUBSTITUTE(SUBSTITUTE(SUBSTITUTE(SUBSTITUTE(SUBSTITUTE(SUBSTITUTE(SUBSTITUTE(UPPER(TRIM($DX193)),"0",""),"1",""),"2",""),"3",""),"4",""),"5",""),"6",""),"7",""),"8",""),"9",""),".",""),"+",""),"-",""),"E","")="",LEN(SUBSTITUTE(SUBSTITUTE(MID(UPPER(TRIM($DX193)),1+OR(LEFT(UPPER(TRIM($DX193)),1)="+",LEFT(UPPER(TRIM($DX193)),1)="-"),999),"E+","E"),"E-","E"))=LEN(SUBSTITUTE(SUBSTITUTE(SUBSTITUTE(SUBSTITUTE(MID(UPPER(TRIM($DX193)),1+OR(LEFT(UPPER(TRIM($DX193)),1)="+",LEFT(UPPER(TRIM($DX193)),1)="-"),999),"E+","E"),"E-","E"),"+",""),"-","")),LEN(UPPER(TRIM($DX193)))-LEN(SUBSTITUTE(UPPER(TRIM($DX193)),"E",""))&lt;2,LEN(UPPER(TRIM($DX193)))-LEN(SUBSTITUTE(UPPER(TRIM($DX193)),".",""))&lt;2,IFERROR(FIND(".",UPPER(TRIM($DX193))),0)&lt;IFERROR(FIND("E",UPPER(TRIM($DX193))),999)),ISNUMBER(VALUE(TRIM($DX193)))),VALUE(TRIM($DX193)),"")))),""))</f>
        <v/>
      </c>
      <c r="DZ193">
        <f>IF($DM193=0,"",IF($L$17=0,"",IFERROR(IF(ISNUMBER(INDEX(PASTE_ALL,$DF193,$L$17)),INDEX(PASTE_ALL,$DF193,$L$17),SUBSTITUTE(SUBSTITUTE(TRIM(SUBSTITUTE(SUBSTITUTE(SUBSTITUTE(SUBSTITUTE(INDEX(PASTE_ALL,$DF193,$L$17)," "," "),CHAR(9)," "),CHAR(10)," "),CHAR(13)," ")),",",""),"%","")),"")))</f>
        <v/>
      </c>
      <c r="EA193">
        <f>IF($DM193=0,"",IFERROR(IF(ISNUMBER($DZ193),$DZ193,IF($DZ193="","",IF(TRIM($DZ193)="",0,IF(AND(AND(SUBSTITUTE(SUBSTITUTE(SUBSTITUTE(SUBSTITUTE(SUBSTITUTE(SUBSTITUTE(SUBSTITUTE(SUBSTITUTE(SUBSTITUTE(SUBSTITUTE(SUBSTITUTE(SUBSTITUTE(SUBSTITUTE(SUBSTITUTE(UPPER(TRIM($DZ193)),"0",""),"1",""),"2",""),"3",""),"4",""),"5",""),"6",""),"7",""),"8",""),"9",""),".",""),"+",""),"-",""),"E","")="",LEN(SUBSTITUTE(SUBSTITUTE(MID(UPPER(TRIM($DZ193)),1+OR(LEFT(UPPER(TRIM($DZ193)),1)="+",LEFT(UPPER(TRIM($DZ193)),1)="-"),999),"E+","E"),"E-","E"))=LEN(SUBSTITUTE(SUBSTITUTE(SUBSTITUTE(SUBSTITUTE(MID(UPPER(TRIM($DZ193)),1+OR(LEFT(UPPER(TRIM($DZ193)),1)="+",LEFT(UPPER(TRIM($DZ193)),1)="-"),999),"E+","E"),"E-","E"),"+",""),"-","")),LEN(UPPER(TRIM($DZ193)))-LEN(SUBSTITUTE(UPPER(TRIM($DZ193)),"E",""))&lt;2,LEN(UPPER(TRIM($DZ193)))-LEN(SUBSTITUTE(UPPER(TRIM($DZ193)),".",""))&lt;2,IFERROR(FIND(".",UPPER(TRIM($DZ193))),0)&lt;IFERROR(FIND("E",UPPER(TRIM($DZ193))),999)),ISNUMBER(VALUE(TRIM($DZ193)))),VALUE(TRIM($DZ193)),"")))),""))</f>
        <v/>
      </c>
      <c r="EB193">
        <f>IF($DM193=0,"",IF($L$18=0,"",IFERROR(IF(UPPER(TRIM(SUBSTITUTE(SUBSTITUTE(SUBSTITUTE(SUBSTITUTE(INDEX(PASTE_ALL,$DF193,$L$18)," "," "),CHAR(9)," "),CHAR(10)," "),CHAR(13)," ")))="READY","Ready",IF(UPPER(TRIM(SUBSTITUTE(SUBSTITUTE(SUBSTITUTE(SUBSTITUTE(INDEX(PASTE_ALL,$DF193,$L$18)," "," "),CHAR(9)," "),CHAR(10)," "),CHAR(13)," ")))="PM","PM",IF(OR(UPPER(TRIM(SUBSTITUTE(SUBSTITUTE(SUBSTITUTE(SUBSTITUTE(INDEX(PASTE_ALL,$DF193,$L$18)," "," "),CHAR(9)," "),CHAR(10)," "),CHAR(13)," ")))="OT",UPPER(TRIM(SUBSTITUTE(SUBSTITUTE(SUBSTITUTE(SUBSTITUTE(INDEX(PASTE_ALL,$DF193,$L$18)," "," "),CHAR(9)," "),CHAR(10)," "),CHAR(13)," ")))="OVERTIME",UPPER(TRIM(SUBSTITUTE(SUBSTITUTE(SUBSTITUTE(SUBSTITUTE(INDEX(PASTE_ALL,$DF193,$L$18)," "," "),CHAR(9)," "),CHAR(10)," "),CHAR(13)," ")))="TRIAL"),"OT",TRIM(SUBSTITUTE(SUBSTITUTE(SUBSTITUTE(SUBSTITUTE(INDEX(PASTE_ALL,$DF193,$L$18)," "," "),CHAR(9)," "),CHAR(10)," "),CHAR(13)," "))))),"")))</f>
        <v/>
      </c>
      <c r="EC193">
        <f>IF($DM193=0,"",IF($L$19=0,"",IFERROR(IF(ISNUMBER(INDEX(PASTE_ALL,$DF193,$L$19)),INDEX(PASTE_ALL,$DF193,$L$19),TRIM(SUBSTITUTE(SUBSTITUTE(SUBSTITUTE(SUBSTITUTE(INDEX(PASTE_ALL,$DF193,$L$19)," "," "),CHAR(9)," "),CHAR(10)," "),CHAR(13)," "))),"")))</f>
        <v/>
      </c>
      <c r="ED193">
        <f>IF($DM193=0,"",MATCH(1,INDEX(EXACT($DH$5:DH193,$DH193)*$DM$5:DM193,0),0))</f>
        <v/>
      </c>
      <c r="EE193">
        <f>IF($DM193=0,0,IF($ED193=$DE193,1,0))</f>
        <v/>
      </c>
      <c r="EF193">
        <f>EF192+$EE193</f>
        <v/>
      </c>
      <c r="EG193">
        <f>IF($DM193=0,"",INDEX($EF$5:$EF$1003,$ED193))</f>
        <v/>
      </c>
      <c r="EH193">
        <f>IF($DM193=0,"",IF($DO193&lt;&gt;"","",IFERROR(LOOKUP(2,1/(($EG$4:EG192=$EG193)*($DO$4:DO192&lt;&gt;"")),$DO$4:DO192),"")))</f>
        <v/>
      </c>
      <c r="EI193">
        <f>IF($DM193=0,"",IF($DO193&lt;&gt;"",$DO193,$EH193))</f>
        <v/>
      </c>
      <c r="EJ193">
        <f>IF($DM193=0,"",IF($EI193="",0,IF(OR(ISNUMBER($EI193),AND(AND(SUBSTITUTE(SUBSTITUTE(SUBSTITUTE(SUBSTITUTE(SUBSTITUTE(SUBSTITUTE(SUBSTITUTE(SUBSTITUTE(SUBSTITUTE(SUBSTITUTE(SUBSTITUTE(SUBSTITUTE(SUBSTITUTE(SUBSTITUTE(UPPER($EI193),"0",""),"1",""),"2",""),"3",""),"4",""),"5",""),"6",""),"7",""),"8",""),"9",""),".",""),"+",""),"-",""),"E","")="",LEN(SUBSTITUTE(SUBSTITUTE(MID(UPPER($EI193),1+OR(LEFT(UPPER($EI193),1)="+",LEFT(UPPER($EI193),1)="-"),999),"E+","E"),"E-","E"))=LEN(SUBSTITUTE(SUBSTITUTE(SUBSTITUTE(SUBSTITUTE(MID(UPPER($EI193),1+OR(LEFT(UPPER($EI193),1)="+",LEFT(UPPER($EI193),1)="-"),999),"E+","E"),"E-","E"),"+",""),"-","")),LEN(UPPER($EI193))-LEN(SUBSTITUTE(UPPER($EI193),"E",""))&lt;2,LEN(UPPER($EI193))-LEN(SUBSTITUTE(UPPER($EI193),".",""))&lt;2,IFERROR(FIND(".",UPPER($EI193)),0)&lt;IFERROR(FIND("E",UPPER($EI193)),999)),ISNUMBER(VALUE($EI193)))),1,2)))</f>
        <v/>
      </c>
      <c r="EK193">
        <f>IF($DM193=0,"",IF($EJ193=1,IF(ISNUMBER($EI193),$EI193,VALUE($EI193)),IF($EJ193=2,$DE193,0)))</f>
        <v/>
      </c>
      <c r="EL193">
        <f>IF($DM193=0,"",COUNTIF($EG$5:$EG$1003,"&lt;"&amp;$EG193)+SUMPRODUCT(($EG$5:$EG$1003=$EG193)*(($EJ$5:$EJ$1003&lt;$EJ193)+($EJ$5:$EJ$1003=$EJ193)*(($EK$5:$EK$1003&lt;$EK193)+($EK$5:$EK$1003=$EK193)*($DE$5:$DE$1003&lt;$DE193))))+1)</f>
        <v/>
      </c>
      <c r="EM193">
        <f>IF($DM193=0,"",$EL193+$EG193-1)</f>
        <v/>
      </c>
      <c r="EN193">
        <f>IF($DM193=0,0,IFERROR(MATCH(1,INDEX(--(TRIM(SUBSTITUTE(SUBSTITUTE(SUBSTITUTE(SUBSTITUTE(LINES_NAME&amp;""," "," "),CHAR(9)," "),CHAR(10)," "),CHAR(13)," "))=$DH193),0),0),0))</f>
        <v/>
      </c>
      <c r="EO193">
        <f>IF($EN193=0,0,IF(OR(UPPER(TRIM(INDEX(LINES_SCHEDULED,$EN193)&amp;""))="YES",UPPER(TRIM(INDEX(LINES_SCHEDULED,$EN193)&amp;""))="Y",UPPER(TRIM(INDEX(LINES_SCHEDULED,$EN193)&amp;""))="X"),1,0))</f>
        <v/>
      </c>
      <c r="EP193">
        <f>IF($DM193=0,"",IF(COUNTIFS($EG$5:$EG$1003,$EG193,$EB$5:$EB$1003,"Ready")&gt;0,"READY",IF(COUNTIFS($EG$5:$EG$1003,$EG193,$EB$5:$EB$1003,"PM")&gt;0,"PM",IF(COUNTIFS($EG$5:$EG$1003,$EG193,$EB$5:$EB$1003,"OT")&gt;0,"OT",""))))</f>
        <v/>
      </c>
      <c r="EQ193">
        <f>IF($EN193=0,"",UPPER(TRIM(INDEX(LINES_STATUS,$EN193)&amp;"")))</f>
        <v/>
      </c>
      <c r="ER193">
        <f>IF($DM193=0,"",IF(OR($EQ193="READY",$EQ193="PM",$EQ193="OT"),$EQ193,$EP193))</f>
        <v/>
      </c>
      <c r="ES193">
        <f>IF($DM193=0,"",IF(AND($DV193&lt;&gt;"",UPPER($DV193)&lt;&gt;"N"),"allergen",IF(ISNUMBER(SEARCH("oil",$DQ193)),"oil",IF(OR(EXACT($DS193,"A662"),EXACT($DS193,"A624")),"bulk",""))))</f>
        <v/>
      </c>
      <c r="ET193">
        <f>IF($DM193=0,"",IF(OR($EA193="",$EA193=0),"",$EA193/100))</f>
        <v/>
      </c>
      <c r="EU193">
        <f>IF(OR($ET193="",$DY193=""),"",INT($DY193*(1-$ET193)+0.5))</f>
        <v/>
      </c>
      <c r="EW193" t="n">
        <v>189</v>
      </c>
      <c r="EX193">
        <f>IFERROR(MATCH($EW193,$EM$5:$EM$1003,0),0)</f>
        <v/>
      </c>
      <c r="EY193">
        <f>IF($EW193&gt;$B$12,"",IF($EX193&gt;0,"row","spacer"))</f>
        <v/>
      </c>
      <c r="EZ193">
        <f>IF(AND($EY193="row",$EY192&lt;&gt;"row"),1,0)</f>
        <v/>
      </c>
      <c r="FA193">
        <f>IF(AND($EY193="row",$EY194&lt;&gt;"row"),1,0)</f>
        <v/>
      </c>
      <c r="FB193">
        <f>IF($EZ193=1,IFERROR(IF(ISNUMBER(INDEX(PASTE_ALL,INDEX($DF$5:$DF$1003,$EX193),$B$37)),INDEX(PASTE_ALL,INDEX($DF$5:$DF$1003,$EX193),$B$37),INDEX($DH$5:$DH$1003,$EX193)),INDEX($DH$5:$DH$1003,$EX193)),"")</f>
        <v/>
      </c>
      <c r="FC193">
        <f>IF($EY193="row",INDEX($ER$5:$ER$1003,$EX193),"")</f>
        <v/>
      </c>
      <c r="FD193">
        <f>IF($EY193="row",INDEX($DN$5:$DN$1003,$EX193),"")</f>
        <v/>
      </c>
      <c r="FE193">
        <f>IF($EY193="row",INDEX($DO$5:$DO$1003,$EX193),"")</f>
        <v/>
      </c>
      <c r="FF193">
        <f>IF($EY193="row",INDEX($DP$5:$DP$1003,$EX193),"")</f>
        <v/>
      </c>
      <c r="FG193">
        <f>IF($EY193="row",INDEX($DQ$5:$DQ$1003,$EX193),"")</f>
        <v/>
      </c>
      <c r="FH193">
        <f>IF($EY193="row",INDEX($DR$5:$DR$1003,$EX193),"")</f>
        <v/>
      </c>
      <c r="FI193">
        <f>IF($EY193="row",INDEX($DS$5:$DS$1003,$EX193),"")</f>
        <v/>
      </c>
      <c r="FJ193">
        <f>IF($EY193="row",INDEX($DT$5:$DT$1003,$EX193),"")</f>
        <v/>
      </c>
      <c r="FK193">
        <f>IF($EY193="row",INDEX($DU$5:$DU$1003,$EX193),"")</f>
        <v/>
      </c>
      <c r="FL193">
        <f>IF($EY193="row",INDEX($DV$5:$DV$1003,$EX193),"")</f>
        <v/>
      </c>
      <c r="FM193">
        <f>IF($EY193="row",INDEX($DW$5:$DW$1003,$EX193),"")</f>
        <v/>
      </c>
      <c r="FN193">
        <f>IF($EY193="row",INDEX($DY$5:$DY$1003,$EX193),"")</f>
        <v/>
      </c>
      <c r="FO193">
        <f>IF($EY193="row",INDEX($EA$5:$EA$1003,$EX193),"")</f>
        <v/>
      </c>
      <c r="FP193">
        <f>IF($EY193="row",INDEX($EC$5:$EC$1003,$EX193),"")</f>
        <v/>
      </c>
      <c r="FQ193">
        <f>IF($EY193="row",INDEX($ET$5:$ET$1003,$EX193),"")</f>
        <v/>
      </c>
      <c r="FR193">
        <f>IF($EY193="row",INDEX($EU$5:$EU$1003,$EX193),"")</f>
        <v/>
      </c>
      <c r="FS193">
        <f>IF(AND($EY193="row",$EY192="row"),IF(OR(INDEX($DT$5:$DT$1003,$EX192)="",INDEX($DT$5:$DT$1003,$EX193)=""),"",IF(NOT(EXACT(INDEX($DT$5:$DT$1003,$EX192),INDEX($DT$5:$DT$1003,$EX193))),"S4",IF(NOT(EXACT(INDEX($DS$5:$DS$1003,$EX192),INDEX($DS$5:$DS$1003,$EX193))),"S3",IF(NOT(EXACT(INDEX($DR$5:$DR$1003,$EX192),INDEX($DR$5:$DR$1003,$EX193))),"S1 Count Change","S1")))),"")</f>
        <v/>
      </c>
      <c r="FT193">
        <f>IF($EY193="row",INDEX($ES$5:$ES$1003,$EX193),"")</f>
        <v/>
      </c>
      <c r="FU193">
        <f>IF($EY193="row",INDEX($EO$5:$EO$1003,$EX193),0)</f>
        <v/>
      </c>
      <c r="FV193">
        <f>IF($FS193="S1 Count Change",1,0)</f>
        <v/>
      </c>
    </row>
    <row r="194">
      <c r="Y194">
        <f>0+IF(Y104&gt;0,0,IF(SUMPRODUCT(MOD(INT(Y149/{2,4,8,16,32,64,128,256,512,1024,2048,4096,8192,16384,32768}),2)*(1-MOD(INT(($CJ14+0)/{2,4,8,16,32,64,128,256,512,1024,2048,4096,8192,16384,32768}),2))*{2,4,8,16,32,64,128,256,512,1024,2048,4096,8192,16384,32768})=0,0,2^SUMPRODUCT(--(MOD(SUMPRODUCT(MOD(INT(Y149/{2,4,8,16,32,64,128,256,512,1024,2048,4096,8192,16384,32768}),2)*(1-MOD(INT(($CJ14+0)/{2,4,8,16,32,64,128,256,512,1024,2048,4096,8192,16384,32768}),2))*{2,4,8,16,32,64,128,256,512,1024,2048,4096,8192,16384,32768}),{2,4,8,16,32,64,128,256,512,1024,2048,4096,8192,16384,32768})=0))))</f>
        <v/>
      </c>
      <c r="Z194">
        <f>Y194+IF(AND(Z104&gt;0,COUNTIF($Y104:Y104,Z104)=0),0,IF(SUMPRODUCT(MOD(INT(Z149/{2,4,8,16,32,64,128,256,512,1024,2048,4096,8192,16384,32768}),2)*(1-MOD(INT(($CJ14+Y194)/{2,4,8,16,32,64,128,256,512,1024,2048,4096,8192,16384,32768}),2))*{2,4,8,16,32,64,128,256,512,1024,2048,4096,8192,16384,32768})=0,0,2^SUMPRODUCT(--(MOD(SUMPRODUCT(MOD(INT(Z149/{2,4,8,16,32,64,128,256,512,1024,2048,4096,8192,16384,32768}),2)*(1-MOD(INT(($CJ14+Y194)/{2,4,8,16,32,64,128,256,512,1024,2048,4096,8192,16384,32768}),2))*{2,4,8,16,32,64,128,256,512,1024,2048,4096,8192,16384,32768}),{2,4,8,16,32,64,128,256,512,1024,2048,4096,8192,16384,32768})=0))))</f>
        <v/>
      </c>
      <c r="AA194">
        <f>Z194+IF(AND(AA104&gt;0,COUNTIF($Y104:Z104,AA104)=0),0,IF(SUMPRODUCT(MOD(INT(AA149/{2,4,8,16,32,64,128,256,512,1024,2048,4096,8192,16384,32768}),2)*(1-MOD(INT(($CJ14+Z194)/{2,4,8,16,32,64,128,256,512,1024,2048,4096,8192,16384,32768}),2))*{2,4,8,16,32,64,128,256,512,1024,2048,4096,8192,16384,32768})=0,0,2^SUMPRODUCT(--(MOD(SUMPRODUCT(MOD(INT(AA149/{2,4,8,16,32,64,128,256,512,1024,2048,4096,8192,16384,32768}),2)*(1-MOD(INT(($CJ14+Z194)/{2,4,8,16,32,64,128,256,512,1024,2048,4096,8192,16384,32768}),2))*{2,4,8,16,32,64,128,256,512,1024,2048,4096,8192,16384,32768}),{2,4,8,16,32,64,128,256,512,1024,2048,4096,8192,16384,32768})=0))))</f>
        <v/>
      </c>
      <c r="AB194">
        <f>AA194+IF(AND(AB104&gt;0,COUNTIF($Y104:AA104,AB104)=0),0,IF(SUMPRODUCT(MOD(INT(AB149/{2,4,8,16,32,64,128,256,512,1024,2048,4096,8192,16384,32768}),2)*(1-MOD(INT(($CJ14+AA194)/{2,4,8,16,32,64,128,256,512,1024,2048,4096,8192,16384,32768}),2))*{2,4,8,16,32,64,128,256,512,1024,2048,4096,8192,16384,32768})=0,0,2^SUMPRODUCT(--(MOD(SUMPRODUCT(MOD(INT(AB149/{2,4,8,16,32,64,128,256,512,1024,2048,4096,8192,16384,32768}),2)*(1-MOD(INT(($CJ14+AA194)/{2,4,8,16,32,64,128,256,512,1024,2048,4096,8192,16384,32768}),2))*{2,4,8,16,32,64,128,256,512,1024,2048,4096,8192,16384,32768}),{2,4,8,16,32,64,128,256,512,1024,2048,4096,8192,16384,32768})=0))))</f>
        <v/>
      </c>
      <c r="AC194">
        <f>AB194+IF(AND(AC104&gt;0,COUNTIF($Y104:AB104,AC104)=0),0,IF(SUMPRODUCT(MOD(INT(AC149/{2,4,8,16,32,64,128,256,512,1024,2048,4096,8192,16384,32768}),2)*(1-MOD(INT(($CJ14+AB194)/{2,4,8,16,32,64,128,256,512,1024,2048,4096,8192,16384,32768}),2))*{2,4,8,16,32,64,128,256,512,1024,2048,4096,8192,16384,32768})=0,0,2^SUMPRODUCT(--(MOD(SUMPRODUCT(MOD(INT(AC149/{2,4,8,16,32,64,128,256,512,1024,2048,4096,8192,16384,32768}),2)*(1-MOD(INT(($CJ14+AB194)/{2,4,8,16,32,64,128,256,512,1024,2048,4096,8192,16384,32768}),2))*{2,4,8,16,32,64,128,256,512,1024,2048,4096,8192,16384,32768}),{2,4,8,16,32,64,128,256,512,1024,2048,4096,8192,16384,32768})=0))))</f>
        <v/>
      </c>
      <c r="AD194">
        <f>AC194+IF(AND(AD104&gt;0,COUNTIF($Y104:AC104,AD104)=0),0,IF(SUMPRODUCT(MOD(INT(AD149/{2,4,8,16,32,64,128,256,512,1024,2048,4096,8192,16384,32768}),2)*(1-MOD(INT(($CJ14+AC194)/{2,4,8,16,32,64,128,256,512,1024,2048,4096,8192,16384,32768}),2))*{2,4,8,16,32,64,128,256,512,1024,2048,4096,8192,16384,32768})=0,0,2^SUMPRODUCT(--(MOD(SUMPRODUCT(MOD(INT(AD149/{2,4,8,16,32,64,128,256,512,1024,2048,4096,8192,16384,32768}),2)*(1-MOD(INT(($CJ14+AC194)/{2,4,8,16,32,64,128,256,512,1024,2048,4096,8192,16384,32768}),2))*{2,4,8,16,32,64,128,256,512,1024,2048,4096,8192,16384,32768}),{2,4,8,16,32,64,128,256,512,1024,2048,4096,8192,16384,32768})=0))))</f>
        <v/>
      </c>
      <c r="AE194">
        <f>AD194+IF(AND(AE104&gt;0,COUNTIF($Y104:AD104,AE104)=0),0,IF(SUMPRODUCT(MOD(INT(AE149/{2,4,8,16,32,64,128,256,512,1024,2048,4096,8192,16384,32768}),2)*(1-MOD(INT(($CJ14+AD194)/{2,4,8,16,32,64,128,256,512,1024,2048,4096,8192,16384,32768}),2))*{2,4,8,16,32,64,128,256,512,1024,2048,4096,8192,16384,32768})=0,0,2^SUMPRODUCT(--(MOD(SUMPRODUCT(MOD(INT(AE149/{2,4,8,16,32,64,128,256,512,1024,2048,4096,8192,16384,32768}),2)*(1-MOD(INT(($CJ14+AD194)/{2,4,8,16,32,64,128,256,512,1024,2048,4096,8192,16384,32768}),2))*{2,4,8,16,32,64,128,256,512,1024,2048,4096,8192,16384,32768}),{2,4,8,16,32,64,128,256,512,1024,2048,4096,8192,16384,32768})=0))))</f>
        <v/>
      </c>
      <c r="AF194">
        <f>AE194+IF(AND(AF104&gt;0,COUNTIF($Y104:AE104,AF104)=0),0,IF(SUMPRODUCT(MOD(INT(AF149/{2,4,8,16,32,64,128,256,512,1024,2048,4096,8192,16384,32768}),2)*(1-MOD(INT(($CJ14+AE194)/{2,4,8,16,32,64,128,256,512,1024,2048,4096,8192,16384,32768}),2))*{2,4,8,16,32,64,128,256,512,1024,2048,4096,8192,16384,32768})=0,0,2^SUMPRODUCT(--(MOD(SUMPRODUCT(MOD(INT(AF149/{2,4,8,16,32,64,128,256,512,1024,2048,4096,8192,16384,32768}),2)*(1-MOD(INT(($CJ14+AE194)/{2,4,8,16,32,64,128,256,512,1024,2048,4096,8192,16384,32768}),2))*{2,4,8,16,32,64,128,256,512,1024,2048,4096,8192,16384,32768}),{2,4,8,16,32,64,128,256,512,1024,2048,4096,8192,16384,32768})=0))))</f>
        <v/>
      </c>
      <c r="AG194">
        <f>AF194+IF(AND(AG104&gt;0,COUNTIF($Y104:AF104,AG104)=0),0,IF(SUMPRODUCT(MOD(INT(AG149/{2,4,8,16,32,64,128,256,512,1024,2048,4096,8192,16384,32768}),2)*(1-MOD(INT(($CJ14+AF194)/{2,4,8,16,32,64,128,256,512,1024,2048,4096,8192,16384,32768}),2))*{2,4,8,16,32,64,128,256,512,1024,2048,4096,8192,16384,32768})=0,0,2^SUMPRODUCT(--(MOD(SUMPRODUCT(MOD(INT(AG149/{2,4,8,16,32,64,128,256,512,1024,2048,4096,8192,16384,32768}),2)*(1-MOD(INT(($CJ14+AF194)/{2,4,8,16,32,64,128,256,512,1024,2048,4096,8192,16384,32768}),2))*{2,4,8,16,32,64,128,256,512,1024,2048,4096,8192,16384,32768}),{2,4,8,16,32,64,128,256,512,1024,2048,4096,8192,16384,32768})=0))))</f>
        <v/>
      </c>
      <c r="AH194">
        <f>AG194+IF(AND(AH104&gt;0,COUNTIF($Y104:AG104,AH104)=0),0,IF(SUMPRODUCT(MOD(INT(AH149/{2,4,8,16,32,64,128,256,512,1024,2048,4096,8192,16384,32768}),2)*(1-MOD(INT(($CJ14+AG194)/{2,4,8,16,32,64,128,256,512,1024,2048,4096,8192,16384,32768}),2))*{2,4,8,16,32,64,128,256,512,1024,2048,4096,8192,16384,32768})=0,0,2^SUMPRODUCT(--(MOD(SUMPRODUCT(MOD(INT(AH149/{2,4,8,16,32,64,128,256,512,1024,2048,4096,8192,16384,32768}),2)*(1-MOD(INT(($CJ14+AG194)/{2,4,8,16,32,64,128,256,512,1024,2048,4096,8192,16384,32768}),2))*{2,4,8,16,32,64,128,256,512,1024,2048,4096,8192,16384,32768}),{2,4,8,16,32,64,128,256,512,1024,2048,4096,8192,16384,32768})=0))))</f>
        <v/>
      </c>
      <c r="AI194">
        <f>AH194+IF(AND(AI104&gt;0,COUNTIF($Y104:AH104,AI104)=0),0,IF(SUMPRODUCT(MOD(INT(AI149/{2,4,8,16,32,64,128,256,512,1024,2048,4096,8192,16384,32768}),2)*(1-MOD(INT(($CJ14+AH194)/{2,4,8,16,32,64,128,256,512,1024,2048,4096,8192,16384,32768}),2))*{2,4,8,16,32,64,128,256,512,1024,2048,4096,8192,16384,32768})=0,0,2^SUMPRODUCT(--(MOD(SUMPRODUCT(MOD(INT(AI149/{2,4,8,16,32,64,128,256,512,1024,2048,4096,8192,16384,32768}),2)*(1-MOD(INT(($CJ14+AH194)/{2,4,8,16,32,64,128,256,512,1024,2048,4096,8192,16384,32768}),2))*{2,4,8,16,32,64,128,256,512,1024,2048,4096,8192,16384,32768}),{2,4,8,16,32,64,128,256,512,1024,2048,4096,8192,16384,32768})=0))))</f>
        <v/>
      </c>
      <c r="AJ194">
        <f>AI194+IF(AND(AJ104&gt;0,COUNTIF($Y104:AI104,AJ104)=0),0,IF(SUMPRODUCT(MOD(INT(AJ149/{2,4,8,16,32,64,128,256,512,1024,2048,4096,8192,16384,32768}),2)*(1-MOD(INT(($CJ14+AI194)/{2,4,8,16,32,64,128,256,512,1024,2048,4096,8192,16384,32768}),2))*{2,4,8,16,32,64,128,256,512,1024,2048,4096,8192,16384,32768})=0,0,2^SUMPRODUCT(--(MOD(SUMPRODUCT(MOD(INT(AJ149/{2,4,8,16,32,64,128,256,512,1024,2048,4096,8192,16384,32768}),2)*(1-MOD(INT(($CJ14+AI194)/{2,4,8,16,32,64,128,256,512,1024,2048,4096,8192,16384,32768}),2))*{2,4,8,16,32,64,128,256,512,1024,2048,4096,8192,16384,32768}),{2,4,8,16,32,64,128,256,512,1024,2048,4096,8192,16384,32768})=0))))</f>
        <v/>
      </c>
      <c r="AK194">
        <f>AJ194+IF(AND(AK104&gt;0,COUNTIF($Y104:AJ104,AK104)=0),0,IF(SUMPRODUCT(MOD(INT(AK149/{2,4,8,16,32,64,128,256,512,1024,2048,4096,8192,16384,32768}),2)*(1-MOD(INT(($CJ14+AJ194)/{2,4,8,16,32,64,128,256,512,1024,2048,4096,8192,16384,32768}),2))*{2,4,8,16,32,64,128,256,512,1024,2048,4096,8192,16384,32768})=0,0,2^SUMPRODUCT(--(MOD(SUMPRODUCT(MOD(INT(AK149/{2,4,8,16,32,64,128,256,512,1024,2048,4096,8192,16384,32768}),2)*(1-MOD(INT(($CJ14+AJ194)/{2,4,8,16,32,64,128,256,512,1024,2048,4096,8192,16384,32768}),2))*{2,4,8,16,32,64,128,256,512,1024,2048,4096,8192,16384,32768}),{2,4,8,16,32,64,128,256,512,1024,2048,4096,8192,16384,32768})=0))))</f>
        <v/>
      </c>
      <c r="AL194">
        <f>AK194+IF(AND(AL104&gt;0,COUNTIF($Y104:AK104,AL104)=0),0,IF(SUMPRODUCT(MOD(INT(AL149/{2,4,8,16,32,64,128,256,512,1024,2048,4096,8192,16384,32768}),2)*(1-MOD(INT(($CJ14+AK194)/{2,4,8,16,32,64,128,256,512,1024,2048,4096,8192,16384,32768}),2))*{2,4,8,16,32,64,128,256,512,1024,2048,4096,8192,16384,32768})=0,0,2^SUMPRODUCT(--(MOD(SUMPRODUCT(MOD(INT(AL149/{2,4,8,16,32,64,128,256,512,1024,2048,4096,8192,16384,32768}),2)*(1-MOD(INT(($CJ14+AK194)/{2,4,8,16,32,64,128,256,512,1024,2048,4096,8192,16384,32768}),2))*{2,4,8,16,32,64,128,256,512,1024,2048,4096,8192,16384,32768}),{2,4,8,16,32,64,128,256,512,1024,2048,4096,8192,16384,32768})=0))))</f>
        <v/>
      </c>
      <c r="AM194">
        <f>AL194+IF(AND(AM104&gt;0,COUNTIF($Y104:AL104,AM104)=0),0,IF(SUMPRODUCT(MOD(INT(AM149/{2,4,8,16,32,64,128,256,512,1024,2048,4096,8192,16384,32768}),2)*(1-MOD(INT(($CJ14+AL194)/{2,4,8,16,32,64,128,256,512,1024,2048,4096,8192,16384,32768}),2))*{2,4,8,16,32,64,128,256,512,1024,2048,4096,8192,16384,32768})=0,0,2^SUMPRODUCT(--(MOD(SUMPRODUCT(MOD(INT(AM149/{2,4,8,16,32,64,128,256,512,1024,2048,4096,8192,16384,32768}),2)*(1-MOD(INT(($CJ14+AL194)/{2,4,8,16,32,64,128,256,512,1024,2048,4096,8192,16384,32768}),2))*{2,4,8,16,32,64,128,256,512,1024,2048,4096,8192,16384,32768}),{2,4,8,16,32,64,128,256,512,1024,2048,4096,8192,16384,32768})=0))))</f>
        <v/>
      </c>
      <c r="AN194">
        <f>AM194+IF(AND(AN104&gt;0,COUNTIF($Y104:AM104,AN104)=0),0,IF(SUMPRODUCT(MOD(INT(AN149/{2,4,8,16,32,64,128,256,512,1024,2048,4096,8192,16384,32768}),2)*(1-MOD(INT(($CJ14+AM194)/{2,4,8,16,32,64,128,256,512,1024,2048,4096,8192,16384,32768}),2))*{2,4,8,16,32,64,128,256,512,1024,2048,4096,8192,16384,32768})=0,0,2^SUMPRODUCT(--(MOD(SUMPRODUCT(MOD(INT(AN149/{2,4,8,16,32,64,128,256,512,1024,2048,4096,8192,16384,32768}),2)*(1-MOD(INT(($CJ14+AM194)/{2,4,8,16,32,64,128,256,512,1024,2048,4096,8192,16384,32768}),2))*{2,4,8,16,32,64,128,256,512,1024,2048,4096,8192,16384,32768}),{2,4,8,16,32,64,128,256,512,1024,2048,4096,8192,16384,32768})=0))))</f>
        <v/>
      </c>
      <c r="AO194">
        <f>AN194+IF(AND(AO104&gt;0,COUNTIF($Y104:AN104,AO104)=0),0,IF(SUMPRODUCT(MOD(INT(AO149/{2,4,8,16,32,64,128,256,512,1024,2048,4096,8192,16384,32768}),2)*(1-MOD(INT(($CJ14+AN194)/{2,4,8,16,32,64,128,256,512,1024,2048,4096,8192,16384,32768}),2))*{2,4,8,16,32,64,128,256,512,1024,2048,4096,8192,16384,32768})=0,0,2^SUMPRODUCT(--(MOD(SUMPRODUCT(MOD(INT(AO149/{2,4,8,16,32,64,128,256,512,1024,2048,4096,8192,16384,32768}),2)*(1-MOD(INT(($CJ14+AN194)/{2,4,8,16,32,64,128,256,512,1024,2048,4096,8192,16384,32768}),2))*{2,4,8,16,32,64,128,256,512,1024,2048,4096,8192,16384,32768}),{2,4,8,16,32,64,128,256,512,1024,2048,4096,8192,16384,32768})=0))))</f>
        <v/>
      </c>
      <c r="AP194">
        <f>AO194+IF(AND(AP104&gt;0,COUNTIF($Y104:AO104,AP104)=0),0,IF(SUMPRODUCT(MOD(INT(AP149/{2,4,8,16,32,64,128,256,512,1024,2048,4096,8192,16384,32768}),2)*(1-MOD(INT(($CJ14+AO194)/{2,4,8,16,32,64,128,256,512,1024,2048,4096,8192,16384,32768}),2))*{2,4,8,16,32,64,128,256,512,1024,2048,4096,8192,16384,32768})=0,0,2^SUMPRODUCT(--(MOD(SUMPRODUCT(MOD(INT(AP149/{2,4,8,16,32,64,128,256,512,1024,2048,4096,8192,16384,32768}),2)*(1-MOD(INT(($CJ14+AO194)/{2,4,8,16,32,64,128,256,512,1024,2048,4096,8192,16384,32768}),2))*{2,4,8,16,32,64,128,256,512,1024,2048,4096,8192,16384,32768}),{2,4,8,16,32,64,128,256,512,1024,2048,4096,8192,16384,32768})=0))))</f>
        <v/>
      </c>
      <c r="AQ194">
        <f>AP194+IF(AND(AQ104&gt;0,COUNTIF($Y104:AP104,AQ104)=0),0,IF(SUMPRODUCT(MOD(INT(AQ149/{2,4,8,16,32,64,128,256,512,1024,2048,4096,8192,16384,32768}),2)*(1-MOD(INT(($CJ14+AP194)/{2,4,8,16,32,64,128,256,512,1024,2048,4096,8192,16384,32768}),2))*{2,4,8,16,32,64,128,256,512,1024,2048,4096,8192,16384,32768})=0,0,2^SUMPRODUCT(--(MOD(SUMPRODUCT(MOD(INT(AQ149/{2,4,8,16,32,64,128,256,512,1024,2048,4096,8192,16384,32768}),2)*(1-MOD(INT(($CJ14+AP194)/{2,4,8,16,32,64,128,256,512,1024,2048,4096,8192,16384,32768}),2))*{2,4,8,16,32,64,128,256,512,1024,2048,4096,8192,16384,32768}),{2,4,8,16,32,64,128,256,512,1024,2048,4096,8192,16384,32768})=0))))</f>
        <v/>
      </c>
      <c r="AR194">
        <f>AQ194+IF(AND(AR104&gt;0,COUNTIF($Y104:AQ104,AR104)=0),0,IF(SUMPRODUCT(MOD(INT(AR149/{2,4,8,16,32,64,128,256,512,1024,2048,4096,8192,16384,32768}),2)*(1-MOD(INT(($CJ14+AQ194)/{2,4,8,16,32,64,128,256,512,1024,2048,4096,8192,16384,32768}),2))*{2,4,8,16,32,64,128,256,512,1024,2048,4096,8192,16384,32768})=0,0,2^SUMPRODUCT(--(MOD(SUMPRODUCT(MOD(INT(AR149/{2,4,8,16,32,64,128,256,512,1024,2048,4096,8192,16384,32768}),2)*(1-MOD(INT(($CJ14+AQ194)/{2,4,8,16,32,64,128,256,512,1024,2048,4096,8192,16384,32768}),2))*{2,4,8,16,32,64,128,256,512,1024,2048,4096,8192,16384,32768}),{2,4,8,16,32,64,128,256,512,1024,2048,4096,8192,16384,32768})=0))))</f>
        <v/>
      </c>
      <c r="AS194">
        <f>AR194+IF(AND(AS104&gt;0,COUNTIF($Y104:AR104,AS104)=0),0,IF(SUMPRODUCT(MOD(INT(AS149/{2,4,8,16,32,64,128,256,512,1024,2048,4096,8192,16384,32768}),2)*(1-MOD(INT(($CJ14+AR194)/{2,4,8,16,32,64,128,256,512,1024,2048,4096,8192,16384,32768}),2))*{2,4,8,16,32,64,128,256,512,1024,2048,4096,8192,16384,32768})=0,0,2^SUMPRODUCT(--(MOD(SUMPRODUCT(MOD(INT(AS149/{2,4,8,16,32,64,128,256,512,1024,2048,4096,8192,16384,32768}),2)*(1-MOD(INT(($CJ14+AR194)/{2,4,8,16,32,64,128,256,512,1024,2048,4096,8192,16384,32768}),2))*{2,4,8,16,32,64,128,256,512,1024,2048,4096,8192,16384,32768}),{2,4,8,16,32,64,128,256,512,1024,2048,4096,8192,16384,32768})=0))))</f>
        <v/>
      </c>
      <c r="AT194">
        <f>AS194+IF(AND(AT104&gt;0,COUNTIF($Y104:AS104,AT104)=0),0,IF(SUMPRODUCT(MOD(INT(AT149/{2,4,8,16,32,64,128,256,512,1024,2048,4096,8192,16384,32768}),2)*(1-MOD(INT(($CJ14+AS194)/{2,4,8,16,32,64,128,256,512,1024,2048,4096,8192,16384,32768}),2))*{2,4,8,16,32,64,128,256,512,1024,2048,4096,8192,16384,32768})=0,0,2^SUMPRODUCT(--(MOD(SUMPRODUCT(MOD(INT(AT149/{2,4,8,16,32,64,128,256,512,1024,2048,4096,8192,16384,32768}),2)*(1-MOD(INT(($CJ14+AS194)/{2,4,8,16,32,64,128,256,512,1024,2048,4096,8192,16384,32768}),2))*{2,4,8,16,32,64,128,256,512,1024,2048,4096,8192,16384,32768}),{2,4,8,16,32,64,128,256,512,1024,2048,4096,8192,16384,32768})=0))))</f>
        <v/>
      </c>
      <c r="AU194">
        <f>AT194+IF(AND(AU104&gt;0,COUNTIF($Y104:AT104,AU104)=0),0,IF(SUMPRODUCT(MOD(INT(AU149/{2,4,8,16,32,64,128,256,512,1024,2048,4096,8192,16384,32768}),2)*(1-MOD(INT(($CJ14+AT194)/{2,4,8,16,32,64,128,256,512,1024,2048,4096,8192,16384,32768}),2))*{2,4,8,16,32,64,128,256,512,1024,2048,4096,8192,16384,32768})=0,0,2^SUMPRODUCT(--(MOD(SUMPRODUCT(MOD(INT(AU149/{2,4,8,16,32,64,128,256,512,1024,2048,4096,8192,16384,32768}),2)*(1-MOD(INT(($CJ14+AT194)/{2,4,8,16,32,64,128,256,512,1024,2048,4096,8192,16384,32768}),2))*{2,4,8,16,32,64,128,256,512,1024,2048,4096,8192,16384,32768}),{2,4,8,16,32,64,128,256,512,1024,2048,4096,8192,16384,32768})=0))))</f>
        <v/>
      </c>
      <c r="AV194">
        <f>AU194+IF(AND(AV104&gt;0,COUNTIF($Y104:AU104,AV104)=0),0,IF(SUMPRODUCT(MOD(INT(AV149/{2,4,8,16,32,64,128,256,512,1024,2048,4096,8192,16384,32768}),2)*(1-MOD(INT(($CJ14+AU194)/{2,4,8,16,32,64,128,256,512,1024,2048,4096,8192,16384,32768}),2))*{2,4,8,16,32,64,128,256,512,1024,2048,4096,8192,16384,32768})=0,0,2^SUMPRODUCT(--(MOD(SUMPRODUCT(MOD(INT(AV149/{2,4,8,16,32,64,128,256,512,1024,2048,4096,8192,16384,32768}),2)*(1-MOD(INT(($CJ14+AU194)/{2,4,8,16,32,64,128,256,512,1024,2048,4096,8192,16384,32768}),2))*{2,4,8,16,32,64,128,256,512,1024,2048,4096,8192,16384,32768}),{2,4,8,16,32,64,128,256,512,1024,2048,4096,8192,16384,32768})=0))))</f>
        <v/>
      </c>
      <c r="AW194">
        <f>AV194+IF(AND(AW104&gt;0,COUNTIF($Y104:AV104,AW104)=0),0,IF(SUMPRODUCT(MOD(INT(AW149/{2,4,8,16,32,64,128,256,512,1024,2048,4096,8192,16384,32768}),2)*(1-MOD(INT(($CJ14+AV194)/{2,4,8,16,32,64,128,256,512,1024,2048,4096,8192,16384,32768}),2))*{2,4,8,16,32,64,128,256,512,1024,2048,4096,8192,16384,32768})=0,0,2^SUMPRODUCT(--(MOD(SUMPRODUCT(MOD(INT(AW149/{2,4,8,16,32,64,128,256,512,1024,2048,4096,8192,16384,32768}),2)*(1-MOD(INT(($CJ14+AV194)/{2,4,8,16,32,64,128,256,512,1024,2048,4096,8192,16384,32768}),2))*{2,4,8,16,32,64,128,256,512,1024,2048,4096,8192,16384,32768}),{2,4,8,16,32,64,128,256,512,1024,2048,4096,8192,16384,32768})=0))))</f>
        <v/>
      </c>
      <c r="AX194">
        <f>AW194+IF(AND(AX104&gt;0,COUNTIF($Y104:AW104,AX104)=0),0,IF(SUMPRODUCT(MOD(INT(AX149/{2,4,8,16,32,64,128,256,512,1024,2048,4096,8192,16384,32768}),2)*(1-MOD(INT(($CJ14+AW194)/{2,4,8,16,32,64,128,256,512,1024,2048,4096,8192,16384,32768}),2))*{2,4,8,16,32,64,128,256,512,1024,2048,4096,8192,16384,32768})=0,0,2^SUMPRODUCT(--(MOD(SUMPRODUCT(MOD(INT(AX149/{2,4,8,16,32,64,128,256,512,1024,2048,4096,8192,16384,32768}),2)*(1-MOD(INT(($CJ14+AW194)/{2,4,8,16,32,64,128,256,512,1024,2048,4096,8192,16384,32768}),2))*{2,4,8,16,32,64,128,256,512,1024,2048,4096,8192,16384,32768}),{2,4,8,16,32,64,128,256,512,1024,2048,4096,8192,16384,32768})=0))))</f>
        <v/>
      </c>
      <c r="AY194">
        <f>AX194+IF(AND(AY104&gt;0,COUNTIF($Y104:AX104,AY104)=0),0,IF(SUMPRODUCT(MOD(INT(AY149/{2,4,8,16,32,64,128,256,512,1024,2048,4096,8192,16384,32768}),2)*(1-MOD(INT(($CJ14+AX194)/{2,4,8,16,32,64,128,256,512,1024,2048,4096,8192,16384,32768}),2))*{2,4,8,16,32,64,128,256,512,1024,2048,4096,8192,16384,32768})=0,0,2^SUMPRODUCT(--(MOD(SUMPRODUCT(MOD(INT(AY149/{2,4,8,16,32,64,128,256,512,1024,2048,4096,8192,16384,32768}),2)*(1-MOD(INT(($CJ14+AX194)/{2,4,8,16,32,64,128,256,512,1024,2048,4096,8192,16384,32768}),2))*{2,4,8,16,32,64,128,256,512,1024,2048,4096,8192,16384,32768}),{2,4,8,16,32,64,128,256,512,1024,2048,4096,8192,16384,32768})=0))))</f>
        <v/>
      </c>
      <c r="AZ194">
        <f>AY194+IF(AND(AZ104&gt;0,COUNTIF($Y104:AY104,AZ104)=0),0,IF(SUMPRODUCT(MOD(INT(AZ149/{2,4,8,16,32,64,128,256,512,1024,2048,4096,8192,16384,32768}),2)*(1-MOD(INT(($CJ14+AY194)/{2,4,8,16,32,64,128,256,512,1024,2048,4096,8192,16384,32768}),2))*{2,4,8,16,32,64,128,256,512,1024,2048,4096,8192,16384,32768})=0,0,2^SUMPRODUCT(--(MOD(SUMPRODUCT(MOD(INT(AZ149/{2,4,8,16,32,64,128,256,512,1024,2048,4096,8192,16384,32768}),2)*(1-MOD(INT(($CJ14+AY194)/{2,4,8,16,32,64,128,256,512,1024,2048,4096,8192,16384,32768}),2))*{2,4,8,16,32,64,128,256,512,1024,2048,4096,8192,16384,32768}),{2,4,8,16,32,64,128,256,512,1024,2048,4096,8192,16384,32768})=0))))</f>
        <v/>
      </c>
      <c r="BA194">
        <f>AZ194+IF(AND(BA104&gt;0,COUNTIF($Y104:AZ104,BA104)=0),0,IF(SUMPRODUCT(MOD(INT(BA149/{2,4,8,16,32,64,128,256,512,1024,2048,4096,8192,16384,32768}),2)*(1-MOD(INT(($CJ14+AZ194)/{2,4,8,16,32,64,128,256,512,1024,2048,4096,8192,16384,32768}),2))*{2,4,8,16,32,64,128,256,512,1024,2048,4096,8192,16384,32768})=0,0,2^SUMPRODUCT(--(MOD(SUMPRODUCT(MOD(INT(BA149/{2,4,8,16,32,64,128,256,512,1024,2048,4096,8192,16384,32768}),2)*(1-MOD(INT(($CJ14+AZ194)/{2,4,8,16,32,64,128,256,512,1024,2048,4096,8192,16384,32768}),2))*{2,4,8,16,32,64,128,256,512,1024,2048,4096,8192,16384,32768}),{2,4,8,16,32,64,128,256,512,1024,2048,4096,8192,16384,32768})=0))))</f>
        <v/>
      </c>
      <c r="BB194">
        <f>BA194+IF(AND(BB104&gt;0,COUNTIF($Y104:BA104,BB104)=0),0,IF(SUMPRODUCT(MOD(INT(BB149/{2,4,8,16,32,64,128,256,512,1024,2048,4096,8192,16384,32768}),2)*(1-MOD(INT(($CJ14+BA194)/{2,4,8,16,32,64,128,256,512,1024,2048,4096,8192,16384,32768}),2))*{2,4,8,16,32,64,128,256,512,1024,2048,4096,8192,16384,32768})=0,0,2^SUMPRODUCT(--(MOD(SUMPRODUCT(MOD(INT(BB149/{2,4,8,16,32,64,128,256,512,1024,2048,4096,8192,16384,32768}),2)*(1-MOD(INT(($CJ14+BA194)/{2,4,8,16,32,64,128,256,512,1024,2048,4096,8192,16384,32768}),2))*{2,4,8,16,32,64,128,256,512,1024,2048,4096,8192,16384,32768}),{2,4,8,16,32,64,128,256,512,1024,2048,4096,8192,16384,32768})=0))))</f>
        <v/>
      </c>
      <c r="BC194">
        <f>BB194+IF(AND(BC104&gt;0,COUNTIF($Y104:BB104,BC104)=0),0,IF(SUMPRODUCT(MOD(INT(BC149/{2,4,8,16,32,64,128,256,512,1024,2048,4096,8192,16384,32768}),2)*(1-MOD(INT(($CJ14+BB194)/{2,4,8,16,32,64,128,256,512,1024,2048,4096,8192,16384,32768}),2))*{2,4,8,16,32,64,128,256,512,1024,2048,4096,8192,16384,32768})=0,0,2^SUMPRODUCT(--(MOD(SUMPRODUCT(MOD(INT(BC149/{2,4,8,16,32,64,128,256,512,1024,2048,4096,8192,16384,32768}),2)*(1-MOD(INT(($CJ14+BB194)/{2,4,8,16,32,64,128,256,512,1024,2048,4096,8192,16384,32768}),2))*{2,4,8,16,32,64,128,256,512,1024,2048,4096,8192,16384,32768}),{2,4,8,16,32,64,128,256,512,1024,2048,4096,8192,16384,32768})=0))))</f>
        <v/>
      </c>
      <c r="BD194">
        <f>BC194+IF(AND(BD104&gt;0,COUNTIF($Y104:BC104,BD104)=0),0,IF(SUMPRODUCT(MOD(INT(BD149/{2,4,8,16,32,64,128,256,512,1024,2048,4096,8192,16384,32768}),2)*(1-MOD(INT(($CJ14+BC194)/{2,4,8,16,32,64,128,256,512,1024,2048,4096,8192,16384,32768}),2))*{2,4,8,16,32,64,128,256,512,1024,2048,4096,8192,16384,32768})=0,0,2^SUMPRODUCT(--(MOD(SUMPRODUCT(MOD(INT(BD149/{2,4,8,16,32,64,128,256,512,1024,2048,4096,8192,16384,32768}),2)*(1-MOD(INT(($CJ14+BC194)/{2,4,8,16,32,64,128,256,512,1024,2048,4096,8192,16384,32768}),2))*{2,4,8,16,32,64,128,256,512,1024,2048,4096,8192,16384,32768}),{2,4,8,16,32,64,128,256,512,1024,2048,4096,8192,16384,32768})=0))))</f>
        <v/>
      </c>
      <c r="BE194">
        <f>BD194+IF(AND(BE104&gt;0,COUNTIF($Y104:BD104,BE104)=0),0,IF(SUMPRODUCT(MOD(INT(BE149/{2,4,8,16,32,64,128,256,512,1024,2048,4096,8192,16384,32768}),2)*(1-MOD(INT(($CJ14+BD194)/{2,4,8,16,32,64,128,256,512,1024,2048,4096,8192,16384,32768}),2))*{2,4,8,16,32,64,128,256,512,1024,2048,4096,8192,16384,32768})=0,0,2^SUMPRODUCT(--(MOD(SUMPRODUCT(MOD(INT(BE149/{2,4,8,16,32,64,128,256,512,1024,2048,4096,8192,16384,32768}),2)*(1-MOD(INT(($CJ14+BD194)/{2,4,8,16,32,64,128,256,512,1024,2048,4096,8192,16384,32768}),2))*{2,4,8,16,32,64,128,256,512,1024,2048,4096,8192,16384,32768}),{2,4,8,16,32,64,128,256,512,1024,2048,4096,8192,16384,32768})=0))))</f>
        <v/>
      </c>
      <c r="BF194">
        <f>BE194+IF(AND(BF104&gt;0,COUNTIF($Y104:BE104,BF104)=0),0,IF(SUMPRODUCT(MOD(INT(BF149/{2,4,8,16,32,64,128,256,512,1024,2048,4096,8192,16384,32768}),2)*(1-MOD(INT(($CJ14+BE194)/{2,4,8,16,32,64,128,256,512,1024,2048,4096,8192,16384,32768}),2))*{2,4,8,16,32,64,128,256,512,1024,2048,4096,8192,16384,32768})=0,0,2^SUMPRODUCT(--(MOD(SUMPRODUCT(MOD(INT(BF149/{2,4,8,16,32,64,128,256,512,1024,2048,4096,8192,16384,32768}),2)*(1-MOD(INT(($CJ14+BE194)/{2,4,8,16,32,64,128,256,512,1024,2048,4096,8192,16384,32768}),2))*{2,4,8,16,32,64,128,256,512,1024,2048,4096,8192,16384,32768}),{2,4,8,16,32,64,128,256,512,1024,2048,4096,8192,16384,32768})=0))))</f>
        <v/>
      </c>
      <c r="BG194">
        <f>BF194+IF(AND(BG104&gt;0,COUNTIF($Y104:BF104,BG104)=0),0,IF(SUMPRODUCT(MOD(INT(BG149/{2,4,8,16,32,64,128,256,512,1024,2048,4096,8192,16384,32768}),2)*(1-MOD(INT(($CJ14+BF194)/{2,4,8,16,32,64,128,256,512,1024,2048,4096,8192,16384,32768}),2))*{2,4,8,16,32,64,128,256,512,1024,2048,4096,8192,16384,32768})=0,0,2^SUMPRODUCT(--(MOD(SUMPRODUCT(MOD(INT(BG149/{2,4,8,16,32,64,128,256,512,1024,2048,4096,8192,16384,32768}),2)*(1-MOD(INT(($CJ14+BF194)/{2,4,8,16,32,64,128,256,512,1024,2048,4096,8192,16384,32768}),2))*{2,4,8,16,32,64,128,256,512,1024,2048,4096,8192,16384,32768}),{2,4,8,16,32,64,128,256,512,1024,2048,4096,8192,16384,32768})=0))))</f>
        <v/>
      </c>
      <c r="BH194">
        <f>BG194+IF(AND(BH104&gt;0,COUNTIF($Y104:BG104,BH104)=0),0,IF(SUMPRODUCT(MOD(INT(BH149/{2,4,8,16,32,64,128,256,512,1024,2048,4096,8192,16384,32768}),2)*(1-MOD(INT(($CJ14+BG194)/{2,4,8,16,32,64,128,256,512,1024,2048,4096,8192,16384,32768}),2))*{2,4,8,16,32,64,128,256,512,1024,2048,4096,8192,16384,32768})=0,0,2^SUMPRODUCT(--(MOD(SUMPRODUCT(MOD(INT(BH149/{2,4,8,16,32,64,128,256,512,1024,2048,4096,8192,16384,32768}),2)*(1-MOD(INT(($CJ14+BG194)/{2,4,8,16,32,64,128,256,512,1024,2048,4096,8192,16384,32768}),2))*{2,4,8,16,32,64,128,256,512,1024,2048,4096,8192,16384,32768}),{2,4,8,16,32,64,128,256,512,1024,2048,4096,8192,16384,32768})=0))))</f>
        <v/>
      </c>
      <c r="BI194">
        <f>BH194+IF(AND(BI104&gt;0,COUNTIF($Y104:BH104,BI104)=0),0,IF(SUMPRODUCT(MOD(INT(BI149/{2,4,8,16,32,64,128,256,512,1024,2048,4096,8192,16384,32768}),2)*(1-MOD(INT(($CJ14+BH194)/{2,4,8,16,32,64,128,256,512,1024,2048,4096,8192,16384,32768}),2))*{2,4,8,16,32,64,128,256,512,1024,2048,4096,8192,16384,32768})=0,0,2^SUMPRODUCT(--(MOD(SUMPRODUCT(MOD(INT(BI149/{2,4,8,16,32,64,128,256,512,1024,2048,4096,8192,16384,32768}),2)*(1-MOD(INT(($CJ14+BH194)/{2,4,8,16,32,64,128,256,512,1024,2048,4096,8192,16384,32768}),2))*{2,4,8,16,32,64,128,256,512,1024,2048,4096,8192,16384,32768}),{2,4,8,16,32,64,128,256,512,1024,2048,4096,8192,16384,32768})=0))))</f>
        <v/>
      </c>
      <c r="BJ194">
        <f>BI194+IF(AND(BJ104&gt;0,COUNTIF($Y104:BI104,BJ104)=0),0,IF(SUMPRODUCT(MOD(INT(BJ149/{2,4,8,16,32,64,128,256,512,1024,2048,4096,8192,16384,32768}),2)*(1-MOD(INT(($CJ14+BI194)/{2,4,8,16,32,64,128,256,512,1024,2048,4096,8192,16384,32768}),2))*{2,4,8,16,32,64,128,256,512,1024,2048,4096,8192,16384,32768})=0,0,2^SUMPRODUCT(--(MOD(SUMPRODUCT(MOD(INT(BJ149/{2,4,8,16,32,64,128,256,512,1024,2048,4096,8192,16384,32768}),2)*(1-MOD(INT(($CJ14+BI194)/{2,4,8,16,32,64,128,256,512,1024,2048,4096,8192,16384,32768}),2))*{2,4,8,16,32,64,128,256,512,1024,2048,4096,8192,16384,32768}),{2,4,8,16,32,64,128,256,512,1024,2048,4096,8192,16384,32768})=0))))</f>
        <v/>
      </c>
      <c r="BK194">
        <f>BJ194+IF(AND(BK104&gt;0,COUNTIF($Y104:BJ104,BK104)=0),0,IF(SUMPRODUCT(MOD(INT(BK149/{2,4,8,16,32,64,128,256,512,1024,2048,4096,8192,16384,32768}),2)*(1-MOD(INT(($CJ14+BJ194)/{2,4,8,16,32,64,128,256,512,1024,2048,4096,8192,16384,32768}),2))*{2,4,8,16,32,64,128,256,512,1024,2048,4096,8192,16384,32768})=0,0,2^SUMPRODUCT(--(MOD(SUMPRODUCT(MOD(INT(BK149/{2,4,8,16,32,64,128,256,512,1024,2048,4096,8192,16384,32768}),2)*(1-MOD(INT(($CJ14+BJ194)/{2,4,8,16,32,64,128,256,512,1024,2048,4096,8192,16384,32768}),2))*{2,4,8,16,32,64,128,256,512,1024,2048,4096,8192,16384,32768}),{2,4,8,16,32,64,128,256,512,1024,2048,4096,8192,16384,32768})=0))))</f>
        <v/>
      </c>
      <c r="BL194">
        <f>BK194+IF(AND(BL104&gt;0,COUNTIF($Y104:BK104,BL104)=0),0,IF(SUMPRODUCT(MOD(INT(BL149/{2,4,8,16,32,64,128,256,512,1024,2048,4096,8192,16384,32768}),2)*(1-MOD(INT(($CJ14+BK194)/{2,4,8,16,32,64,128,256,512,1024,2048,4096,8192,16384,32768}),2))*{2,4,8,16,32,64,128,256,512,1024,2048,4096,8192,16384,32768})=0,0,2^SUMPRODUCT(--(MOD(SUMPRODUCT(MOD(INT(BL149/{2,4,8,16,32,64,128,256,512,1024,2048,4096,8192,16384,32768}),2)*(1-MOD(INT(($CJ14+BK194)/{2,4,8,16,32,64,128,256,512,1024,2048,4096,8192,16384,32768}),2))*{2,4,8,16,32,64,128,256,512,1024,2048,4096,8192,16384,32768}),{2,4,8,16,32,64,128,256,512,1024,2048,4096,8192,16384,32768})=0))))</f>
        <v/>
      </c>
      <c r="BM194">
        <f>BL194+IF(AND(BM104&gt;0,COUNTIF($Y104:BL104,BM104)=0),0,IF(SUMPRODUCT(MOD(INT(BM149/{2,4,8,16,32,64,128,256,512,1024,2048,4096,8192,16384,32768}),2)*(1-MOD(INT(($CJ14+BL194)/{2,4,8,16,32,64,128,256,512,1024,2048,4096,8192,16384,32768}),2))*{2,4,8,16,32,64,128,256,512,1024,2048,4096,8192,16384,32768})=0,0,2^SUMPRODUCT(--(MOD(SUMPRODUCT(MOD(INT(BM149/{2,4,8,16,32,64,128,256,512,1024,2048,4096,8192,16384,32768}),2)*(1-MOD(INT(($CJ14+BL194)/{2,4,8,16,32,64,128,256,512,1024,2048,4096,8192,16384,32768}),2))*{2,4,8,16,32,64,128,256,512,1024,2048,4096,8192,16384,32768}),{2,4,8,16,32,64,128,256,512,1024,2048,4096,8192,16384,32768})=0))))</f>
        <v/>
      </c>
      <c r="BN194">
        <f>BM194+IF(AND(BN104&gt;0,COUNTIF($Y104:BM104,BN104)=0),0,IF(SUMPRODUCT(MOD(INT(BN149/{2,4,8,16,32,64,128,256,512,1024,2048,4096,8192,16384,32768}),2)*(1-MOD(INT(($CJ14+BM194)/{2,4,8,16,32,64,128,256,512,1024,2048,4096,8192,16384,32768}),2))*{2,4,8,16,32,64,128,256,512,1024,2048,4096,8192,16384,32768})=0,0,2^SUMPRODUCT(--(MOD(SUMPRODUCT(MOD(INT(BN149/{2,4,8,16,32,64,128,256,512,1024,2048,4096,8192,16384,32768}),2)*(1-MOD(INT(($CJ14+BM194)/{2,4,8,16,32,64,128,256,512,1024,2048,4096,8192,16384,32768}),2))*{2,4,8,16,32,64,128,256,512,1024,2048,4096,8192,16384,32768}),{2,4,8,16,32,64,128,256,512,1024,2048,4096,8192,16384,32768})=0))))</f>
        <v/>
      </c>
      <c r="BO194">
        <f>BN194+IF(AND(BO104&gt;0,COUNTIF($Y104:BN104,BO104)=0),0,IF(SUMPRODUCT(MOD(INT(BO149/{2,4,8,16,32,64,128,256,512,1024,2048,4096,8192,16384,32768}),2)*(1-MOD(INT(($CJ14+BN194)/{2,4,8,16,32,64,128,256,512,1024,2048,4096,8192,16384,32768}),2))*{2,4,8,16,32,64,128,256,512,1024,2048,4096,8192,16384,32768})=0,0,2^SUMPRODUCT(--(MOD(SUMPRODUCT(MOD(INT(BO149/{2,4,8,16,32,64,128,256,512,1024,2048,4096,8192,16384,32768}),2)*(1-MOD(INT(($CJ14+BN194)/{2,4,8,16,32,64,128,256,512,1024,2048,4096,8192,16384,32768}),2))*{2,4,8,16,32,64,128,256,512,1024,2048,4096,8192,16384,32768}),{2,4,8,16,32,64,128,256,512,1024,2048,4096,8192,16384,32768})=0))))</f>
        <v/>
      </c>
      <c r="BP194">
        <f>BO194+IF(AND(BP104&gt;0,COUNTIF($Y104:BO104,BP104)=0),0,IF(SUMPRODUCT(MOD(INT(BP149/{2,4,8,16,32,64,128,256,512,1024,2048,4096,8192,16384,32768}),2)*(1-MOD(INT(($CJ14+BO194)/{2,4,8,16,32,64,128,256,512,1024,2048,4096,8192,16384,32768}),2))*{2,4,8,16,32,64,128,256,512,1024,2048,4096,8192,16384,32768})=0,0,2^SUMPRODUCT(--(MOD(SUMPRODUCT(MOD(INT(BP149/{2,4,8,16,32,64,128,256,512,1024,2048,4096,8192,16384,32768}),2)*(1-MOD(INT(($CJ14+BO194)/{2,4,8,16,32,64,128,256,512,1024,2048,4096,8192,16384,32768}),2))*{2,4,8,16,32,64,128,256,512,1024,2048,4096,8192,16384,32768}),{2,4,8,16,32,64,128,256,512,1024,2048,4096,8192,16384,32768})=0))))</f>
        <v/>
      </c>
      <c r="BQ194">
        <f>BP194+IF(AND(BQ104&gt;0,COUNTIF($Y104:BP104,BQ104)=0),0,IF(SUMPRODUCT(MOD(INT(BQ149/{2,4,8,16,32,64,128,256,512,1024,2048,4096,8192,16384,32768}),2)*(1-MOD(INT(($CJ14+BP194)/{2,4,8,16,32,64,128,256,512,1024,2048,4096,8192,16384,32768}),2))*{2,4,8,16,32,64,128,256,512,1024,2048,4096,8192,16384,32768})=0,0,2^SUMPRODUCT(--(MOD(SUMPRODUCT(MOD(INT(BQ149/{2,4,8,16,32,64,128,256,512,1024,2048,4096,8192,16384,32768}),2)*(1-MOD(INT(($CJ14+BP194)/{2,4,8,16,32,64,128,256,512,1024,2048,4096,8192,16384,32768}),2))*{2,4,8,16,32,64,128,256,512,1024,2048,4096,8192,16384,32768}),{2,4,8,16,32,64,128,256,512,1024,2048,4096,8192,16384,32768})=0))))</f>
        <v/>
      </c>
      <c r="BR194">
        <f>BQ194+IF(AND(BR104&gt;0,COUNTIF($Y104:BQ104,BR104)=0),0,IF(SUMPRODUCT(MOD(INT(BR149/{2,4,8,16,32,64,128,256,512,1024,2048,4096,8192,16384,32768}),2)*(1-MOD(INT(($CJ14+BQ194)/{2,4,8,16,32,64,128,256,512,1024,2048,4096,8192,16384,32768}),2))*{2,4,8,16,32,64,128,256,512,1024,2048,4096,8192,16384,32768})=0,0,2^SUMPRODUCT(--(MOD(SUMPRODUCT(MOD(INT(BR149/{2,4,8,16,32,64,128,256,512,1024,2048,4096,8192,16384,32768}),2)*(1-MOD(INT(($CJ14+BQ194)/{2,4,8,16,32,64,128,256,512,1024,2048,4096,8192,16384,32768}),2))*{2,4,8,16,32,64,128,256,512,1024,2048,4096,8192,16384,32768}),{2,4,8,16,32,64,128,256,512,1024,2048,4096,8192,16384,32768})=0))))</f>
        <v/>
      </c>
      <c r="BS194">
        <f>BR194+IF(AND(BS104&gt;0,COUNTIF($Y104:BR104,BS104)=0),0,IF(SUMPRODUCT(MOD(INT(BS149/{2,4,8,16,32,64,128,256,512,1024,2048,4096,8192,16384,32768}),2)*(1-MOD(INT(($CJ14+BR194)/{2,4,8,16,32,64,128,256,512,1024,2048,4096,8192,16384,32768}),2))*{2,4,8,16,32,64,128,256,512,1024,2048,4096,8192,16384,32768})=0,0,2^SUMPRODUCT(--(MOD(SUMPRODUCT(MOD(INT(BS149/{2,4,8,16,32,64,128,256,512,1024,2048,4096,8192,16384,32768}),2)*(1-MOD(INT(($CJ14+BR194)/{2,4,8,16,32,64,128,256,512,1024,2048,4096,8192,16384,32768}),2))*{2,4,8,16,32,64,128,256,512,1024,2048,4096,8192,16384,32768}),{2,4,8,16,32,64,128,256,512,1024,2048,4096,8192,16384,32768})=0))))</f>
        <v/>
      </c>
      <c r="BT194">
        <f>BS194+IF(AND(BT104&gt;0,COUNTIF($Y104:BS104,BT104)=0),0,IF(SUMPRODUCT(MOD(INT(BT149/{2,4,8,16,32,64,128,256,512,1024,2048,4096,8192,16384,32768}),2)*(1-MOD(INT(($CJ14+BS194)/{2,4,8,16,32,64,128,256,512,1024,2048,4096,8192,16384,32768}),2))*{2,4,8,16,32,64,128,256,512,1024,2048,4096,8192,16384,32768})=0,0,2^SUMPRODUCT(--(MOD(SUMPRODUCT(MOD(INT(BT149/{2,4,8,16,32,64,128,256,512,1024,2048,4096,8192,16384,32768}),2)*(1-MOD(INT(($CJ14+BS194)/{2,4,8,16,32,64,128,256,512,1024,2048,4096,8192,16384,32768}),2))*{2,4,8,16,32,64,128,256,512,1024,2048,4096,8192,16384,32768}),{2,4,8,16,32,64,128,256,512,1024,2048,4096,8192,16384,32768})=0))))</f>
        <v/>
      </c>
      <c r="BU194">
        <f>BT194+IF(AND(BU104&gt;0,COUNTIF($Y104:BT104,BU104)=0),0,IF(SUMPRODUCT(MOD(INT(BU149/{2,4,8,16,32,64,128,256,512,1024,2048,4096,8192,16384,32768}),2)*(1-MOD(INT(($CJ14+BT194)/{2,4,8,16,32,64,128,256,512,1024,2048,4096,8192,16384,32768}),2))*{2,4,8,16,32,64,128,256,512,1024,2048,4096,8192,16384,32768})=0,0,2^SUMPRODUCT(--(MOD(SUMPRODUCT(MOD(INT(BU149/{2,4,8,16,32,64,128,256,512,1024,2048,4096,8192,16384,32768}),2)*(1-MOD(INT(($CJ14+BT194)/{2,4,8,16,32,64,128,256,512,1024,2048,4096,8192,16384,32768}),2))*{2,4,8,16,32,64,128,256,512,1024,2048,4096,8192,16384,32768}),{2,4,8,16,32,64,128,256,512,1024,2048,4096,8192,16384,32768})=0))))</f>
        <v/>
      </c>
      <c r="BV194">
        <f>BU194+IF(AND(BV104&gt;0,COUNTIF($Y104:BU104,BV104)=0),0,IF(SUMPRODUCT(MOD(INT(BV149/{2,4,8,16,32,64,128,256,512,1024,2048,4096,8192,16384,32768}),2)*(1-MOD(INT(($CJ14+BU194)/{2,4,8,16,32,64,128,256,512,1024,2048,4096,8192,16384,32768}),2))*{2,4,8,16,32,64,128,256,512,1024,2048,4096,8192,16384,32768})=0,0,2^SUMPRODUCT(--(MOD(SUMPRODUCT(MOD(INT(BV149/{2,4,8,16,32,64,128,256,512,1024,2048,4096,8192,16384,32768}),2)*(1-MOD(INT(($CJ14+BU194)/{2,4,8,16,32,64,128,256,512,1024,2048,4096,8192,16384,32768}),2))*{2,4,8,16,32,64,128,256,512,1024,2048,4096,8192,16384,32768}),{2,4,8,16,32,64,128,256,512,1024,2048,4096,8192,16384,32768})=0))))</f>
        <v/>
      </c>
      <c r="BW194">
        <f>BV194+IF(AND(BW104&gt;0,COUNTIF($Y104:BV104,BW104)=0),0,IF(SUMPRODUCT(MOD(INT(BW149/{2,4,8,16,32,64,128,256,512,1024,2048,4096,8192,16384,32768}),2)*(1-MOD(INT(($CJ14+BV194)/{2,4,8,16,32,64,128,256,512,1024,2048,4096,8192,16384,32768}),2))*{2,4,8,16,32,64,128,256,512,1024,2048,4096,8192,16384,32768})=0,0,2^SUMPRODUCT(--(MOD(SUMPRODUCT(MOD(INT(BW149/{2,4,8,16,32,64,128,256,512,1024,2048,4096,8192,16384,32768}),2)*(1-MOD(INT(($CJ14+BV194)/{2,4,8,16,32,64,128,256,512,1024,2048,4096,8192,16384,32768}),2))*{2,4,8,16,32,64,128,256,512,1024,2048,4096,8192,16384,32768}),{2,4,8,16,32,64,128,256,512,1024,2048,4096,8192,16384,32768})=0))))</f>
        <v/>
      </c>
      <c r="BX194">
        <f>BW194+IF(AND(BX104&gt;0,COUNTIF($Y104:BW104,BX104)=0),0,IF(SUMPRODUCT(MOD(INT(BX149/{2,4,8,16,32,64,128,256,512,1024,2048,4096,8192,16384,32768}),2)*(1-MOD(INT(($CJ14+BW194)/{2,4,8,16,32,64,128,256,512,1024,2048,4096,8192,16384,32768}),2))*{2,4,8,16,32,64,128,256,512,1024,2048,4096,8192,16384,32768})=0,0,2^SUMPRODUCT(--(MOD(SUMPRODUCT(MOD(INT(BX149/{2,4,8,16,32,64,128,256,512,1024,2048,4096,8192,16384,32768}),2)*(1-MOD(INT(($CJ14+BW194)/{2,4,8,16,32,64,128,256,512,1024,2048,4096,8192,16384,32768}),2))*{2,4,8,16,32,64,128,256,512,1024,2048,4096,8192,16384,32768}),{2,4,8,16,32,64,128,256,512,1024,2048,4096,8192,16384,32768})=0))))</f>
        <v/>
      </c>
      <c r="BY194">
        <f>BX194+IF(AND(BY104&gt;0,COUNTIF($Y104:BX104,BY104)=0),0,IF(SUMPRODUCT(MOD(INT(BY149/{2,4,8,16,32,64,128,256,512,1024,2048,4096,8192,16384,32768}),2)*(1-MOD(INT(($CJ14+BX194)/{2,4,8,16,32,64,128,256,512,1024,2048,4096,8192,16384,32768}),2))*{2,4,8,16,32,64,128,256,512,1024,2048,4096,8192,16384,32768})=0,0,2^SUMPRODUCT(--(MOD(SUMPRODUCT(MOD(INT(BY149/{2,4,8,16,32,64,128,256,512,1024,2048,4096,8192,16384,32768}),2)*(1-MOD(INT(($CJ14+BX194)/{2,4,8,16,32,64,128,256,512,1024,2048,4096,8192,16384,32768}),2))*{2,4,8,16,32,64,128,256,512,1024,2048,4096,8192,16384,32768}),{2,4,8,16,32,64,128,256,512,1024,2048,4096,8192,16384,32768})=0))))</f>
        <v/>
      </c>
      <c r="BZ194">
        <f>BY194+IF(AND(BZ104&gt;0,COUNTIF($Y104:BY104,BZ104)=0),0,IF(SUMPRODUCT(MOD(INT(BZ149/{2,4,8,16,32,64,128,256,512,1024,2048,4096,8192,16384,32768}),2)*(1-MOD(INT(($CJ14+BY194)/{2,4,8,16,32,64,128,256,512,1024,2048,4096,8192,16384,32768}),2))*{2,4,8,16,32,64,128,256,512,1024,2048,4096,8192,16384,32768})=0,0,2^SUMPRODUCT(--(MOD(SUMPRODUCT(MOD(INT(BZ149/{2,4,8,16,32,64,128,256,512,1024,2048,4096,8192,16384,32768}),2)*(1-MOD(INT(($CJ14+BY194)/{2,4,8,16,32,64,128,256,512,1024,2048,4096,8192,16384,32768}),2))*{2,4,8,16,32,64,128,256,512,1024,2048,4096,8192,16384,32768}),{2,4,8,16,32,64,128,256,512,1024,2048,4096,8192,16384,32768})=0))))</f>
        <v/>
      </c>
      <c r="CA194">
        <f>BZ194+IF(AND(CA104&gt;0,COUNTIF($Y104:BZ104,CA104)=0),0,IF(SUMPRODUCT(MOD(INT(CA149/{2,4,8,16,32,64,128,256,512,1024,2048,4096,8192,16384,32768}),2)*(1-MOD(INT(($CJ14+BZ194)/{2,4,8,16,32,64,128,256,512,1024,2048,4096,8192,16384,32768}),2))*{2,4,8,16,32,64,128,256,512,1024,2048,4096,8192,16384,32768})=0,0,2^SUMPRODUCT(--(MOD(SUMPRODUCT(MOD(INT(CA149/{2,4,8,16,32,64,128,256,512,1024,2048,4096,8192,16384,32768}),2)*(1-MOD(INT(($CJ14+BZ194)/{2,4,8,16,32,64,128,256,512,1024,2048,4096,8192,16384,32768}),2))*{2,4,8,16,32,64,128,256,512,1024,2048,4096,8192,16384,32768}),{2,4,8,16,32,64,128,256,512,1024,2048,4096,8192,16384,32768})=0))))</f>
        <v/>
      </c>
      <c r="CB194">
        <f>CA194+IF(AND(CB104&gt;0,COUNTIF($Y104:CA104,CB104)=0),0,IF(SUMPRODUCT(MOD(INT(CB149/{2,4,8,16,32,64,128,256,512,1024,2048,4096,8192,16384,32768}),2)*(1-MOD(INT(($CJ14+CA194)/{2,4,8,16,32,64,128,256,512,1024,2048,4096,8192,16384,32768}),2))*{2,4,8,16,32,64,128,256,512,1024,2048,4096,8192,16384,32768})=0,0,2^SUMPRODUCT(--(MOD(SUMPRODUCT(MOD(INT(CB149/{2,4,8,16,32,64,128,256,512,1024,2048,4096,8192,16384,32768}),2)*(1-MOD(INT(($CJ14+CA194)/{2,4,8,16,32,64,128,256,512,1024,2048,4096,8192,16384,32768}),2))*{2,4,8,16,32,64,128,256,512,1024,2048,4096,8192,16384,32768}),{2,4,8,16,32,64,128,256,512,1024,2048,4096,8192,16384,32768})=0))))</f>
        <v/>
      </c>
      <c r="CC194">
        <f>CB194+IF(AND(CC104&gt;0,COUNTIF($Y104:CB104,CC104)=0),0,IF(SUMPRODUCT(MOD(INT(CC149/{2,4,8,16,32,64,128,256,512,1024,2048,4096,8192,16384,32768}),2)*(1-MOD(INT(($CJ14+CB194)/{2,4,8,16,32,64,128,256,512,1024,2048,4096,8192,16384,32768}),2))*{2,4,8,16,32,64,128,256,512,1024,2048,4096,8192,16384,32768})=0,0,2^SUMPRODUCT(--(MOD(SUMPRODUCT(MOD(INT(CC149/{2,4,8,16,32,64,128,256,512,1024,2048,4096,8192,16384,32768}),2)*(1-MOD(INT(($CJ14+CB194)/{2,4,8,16,32,64,128,256,512,1024,2048,4096,8192,16384,32768}),2))*{2,4,8,16,32,64,128,256,512,1024,2048,4096,8192,16384,32768}),{2,4,8,16,32,64,128,256,512,1024,2048,4096,8192,16384,32768})=0))))</f>
        <v/>
      </c>
      <c r="CD194">
        <f>CC194+IF(AND(CD104&gt;0,COUNTIF($Y104:CC104,CD104)=0),0,IF(SUMPRODUCT(MOD(INT(CD149/{2,4,8,16,32,64,128,256,512,1024,2048,4096,8192,16384,32768}),2)*(1-MOD(INT(($CJ14+CC194)/{2,4,8,16,32,64,128,256,512,1024,2048,4096,8192,16384,32768}),2))*{2,4,8,16,32,64,128,256,512,1024,2048,4096,8192,16384,32768})=0,0,2^SUMPRODUCT(--(MOD(SUMPRODUCT(MOD(INT(CD149/{2,4,8,16,32,64,128,256,512,1024,2048,4096,8192,16384,32768}),2)*(1-MOD(INT(($CJ14+CC194)/{2,4,8,16,32,64,128,256,512,1024,2048,4096,8192,16384,32768}),2))*{2,4,8,16,32,64,128,256,512,1024,2048,4096,8192,16384,32768}),{2,4,8,16,32,64,128,256,512,1024,2048,4096,8192,16384,32768})=0))))</f>
        <v/>
      </c>
      <c r="CE194">
        <f>CD194+IF(AND(CE104&gt;0,COUNTIF($Y104:CD104,CE104)=0),0,IF(SUMPRODUCT(MOD(INT(CE149/{2,4,8,16,32,64,128,256,512,1024,2048,4096,8192,16384,32768}),2)*(1-MOD(INT(($CJ14+CD194)/{2,4,8,16,32,64,128,256,512,1024,2048,4096,8192,16384,32768}),2))*{2,4,8,16,32,64,128,256,512,1024,2048,4096,8192,16384,32768})=0,0,2^SUMPRODUCT(--(MOD(SUMPRODUCT(MOD(INT(CE149/{2,4,8,16,32,64,128,256,512,1024,2048,4096,8192,16384,32768}),2)*(1-MOD(INT(($CJ14+CD194)/{2,4,8,16,32,64,128,256,512,1024,2048,4096,8192,16384,32768}),2))*{2,4,8,16,32,64,128,256,512,1024,2048,4096,8192,16384,32768}),{2,4,8,16,32,64,128,256,512,1024,2048,4096,8192,16384,32768})=0))))</f>
        <v/>
      </c>
      <c r="CF194">
        <f>CE194+IF(AND(CF104&gt;0,COUNTIF($Y104:CE104,CF104)=0),0,IF(SUMPRODUCT(MOD(INT(CF149/{2,4,8,16,32,64,128,256,512,1024,2048,4096,8192,16384,32768}),2)*(1-MOD(INT(($CJ14+CE194)/{2,4,8,16,32,64,128,256,512,1024,2048,4096,8192,16384,32768}),2))*{2,4,8,16,32,64,128,256,512,1024,2048,4096,8192,16384,32768})=0,0,2^SUMPRODUCT(--(MOD(SUMPRODUCT(MOD(INT(CF149/{2,4,8,16,32,64,128,256,512,1024,2048,4096,8192,16384,32768}),2)*(1-MOD(INT(($CJ14+CE194)/{2,4,8,16,32,64,128,256,512,1024,2048,4096,8192,16384,32768}),2))*{2,4,8,16,32,64,128,256,512,1024,2048,4096,8192,16384,32768}),{2,4,8,16,32,64,128,256,512,1024,2048,4096,8192,16384,32768})=0))))</f>
        <v/>
      </c>
      <c r="DA194" t="n">
        <v>190</v>
      </c>
      <c r="DB194">
        <f>IF($B$37=0,"",IFERROR(TRIM(SUBSTITUTE(SUBSTITUTE(SUBSTITUTE(SUBSTITUTE(INDEX(PASTE_ALL,190,$B$37)," "," "),CHAR(9)," "),CHAR(10)," "),CHAR(13)," ")),""))</f>
        <v/>
      </c>
      <c r="DC194">
        <f>IF(AND(190&gt;HEADER_ROW,UPPER(DB194)="LEGEND"),1,0)</f>
        <v/>
      </c>
      <c r="DE194" t="n">
        <v>190</v>
      </c>
      <c r="DF194">
        <f>HEADER_ROW+$DE194</f>
        <v/>
      </c>
      <c r="DG194">
        <f>IF(AND($DF194&lt;=1000,$DF194&lt;$B$8),1,0)</f>
        <v/>
      </c>
      <c r="DH194">
        <f>IF($DG194=1,IFERROR(INDEX($DB$5:$DB$1004,$DF194),""),"")</f>
        <v/>
      </c>
      <c r="DI194">
        <f>IF(AND($DG194=1,$DH194&lt;&gt;""),IFERROR(SUBSTITUTE(SUBSTITUTE(TRIM(SUBSTITUTE(SUBSTITUTE(SUBSTITUTE(SUBSTITUTE(IFERROR(INDEX(PASTE_ALL,$DF194,1)&amp;"","")&amp;"␟"&amp;IFERROR(INDEX(PASTE_ALL,$DF194,2)&amp;"","")&amp;"␟"&amp;IFERROR(INDEX(PASTE_ALL,$DF194,3)&amp;"","")&amp;"␟"&amp;IFERROR(INDEX(PASTE_ALL,$DF194,4)&amp;"","")&amp;"␟"&amp;IFERROR(INDEX(PASTE_ALL,$DF194,5)&amp;"","")&amp;"␟"&amp;IFERROR(INDEX(PASTE_ALL,$DF194,6)&amp;"","")&amp;"␟"&amp;IFERROR(INDEX(PASTE_ALL,$DF194,7)&amp;"","")&amp;"␟"&amp;IFERROR(INDEX(PASTE_ALL,$DF194,8)&amp;"","")&amp;"␟"&amp;IFERROR(INDEX(PASTE_ALL,$DF194,9)&amp;"","")&amp;"␟"&amp;IFERROR(INDEX(PASTE_ALL,$DF194,10)&amp;"","")&amp;"␟"&amp;IFERROR(INDEX(PASTE_ALL,$DF194,11)&amp;"","")&amp;"␟"&amp;IFERROR(INDEX(PASTE_ALL,$DF194,12)&amp;"","")&amp;"␟"&amp;IFERROR(INDEX(PASTE_ALL,$DF194,13)&amp;"","")&amp;"␟"&amp;IFERROR(INDEX(PASTE_ALL,$DF194,14)&amp;"","")&amp;"␟"&amp;IFERROR(INDEX(PASTE_ALL,$DF194,15)&amp;"","")&amp;"␟"&amp;IFERROR(INDEX(PASTE_ALL,$DF194,16)&amp;"","")&amp;"␟"&amp;IFERROR(INDEX(PASTE_ALL,$DF194,17)&amp;"","")&amp;"␟"&amp;IFERROR(INDEX(PASTE_ALL,$DF194,18)&amp;"","")&amp;"␟"&amp;IFERROR(INDEX(PASTE_ALL,$DF194,19)&amp;"","")&amp;"␟"&amp;IFERROR(INDEX(PASTE_ALL,$DF194,20)&amp;"","")&amp;"␟"&amp;IFERROR(INDEX(PASTE_ALL,$DF194,21)&amp;"","")&amp;"␟"&amp;IFERROR(INDEX(PASTE_ALL,$DF194,22)&amp;"","")&amp;"␟"&amp;IFERROR(INDEX(PASTE_ALL,$DF194,23)&amp;"","")&amp;"␟"&amp;IFERROR(INDEX(PASTE_ALL,$DF194,24)&amp;"","")&amp;"␟"&amp;IFERROR(INDEX(PASTE_ALL,$DF194,25)&amp;"","")&amp;"␟"&amp;IFERROR(INDEX(PASTE_ALL,$DF194,26)&amp;"","")&amp;"␟"&amp;IFERROR(INDEX(PASTE_ALL,$DF194,27)&amp;"","")&amp;"␟"&amp;IFERROR(INDEX(PASTE_ALL,$DF194,28)&amp;"","")&amp;"␟"&amp;IFERROR(INDEX(PASTE_ALL,$DF194,29)&amp;"","")&amp;"␟"&amp;IFERROR(INDEX(PASTE_ALL,$DF194,30)&amp;"","")&amp;"␟"&amp;IFERROR(INDEX(PASTE_ALL,$DF194,31)&amp;"","")&amp;"␟"&amp;IFERROR(INDEX(PASTE_ALL,$DF194,32)&amp;"","")&amp;"␟"&amp;IFERROR(INDEX(PASTE_ALL,$DF194,33)&amp;"","")&amp;"␟"&amp;IFERROR(INDEX(PASTE_ALL,$DF194,34)&amp;"","")&amp;"␟"&amp;IFERROR(INDEX(PASTE_ALL,$DF194,35)&amp;"","")&amp;"␟"&amp;IFERROR(INDEX(PASTE_ALL,$DF194,36)&amp;"","")&amp;"␟"&amp;IFERROR(INDEX(PASTE_ALL,$DF194,37)&amp;"","")&amp;"␟"&amp;IFERROR(INDEX(PASTE_ALL,$DF194,38)&amp;"","")&amp;"␟"&amp;IFERROR(INDEX(PASTE_ALL,$DF194,39)&amp;"","")&amp;"␟"&amp;IFERROR(INDEX(PASTE_ALL,$DF194,40)&amp;"","")&amp;"␟"&amp;IFERROR(INDEX(PASTE_ALL,$DF194,41)&amp;"","")&amp;"␟"&amp;IFERROR(INDEX(PASTE_ALL,$DF194,42)&amp;"","")&amp;"␟"&amp;IFERROR(INDEX(PASTE_ALL,$DF194,43)&amp;"","")&amp;"␟"&amp;IFERROR(INDEX(PASTE_ALL,$DF194,44)&amp;"","")&amp;"␟"&amp;IFERROR(INDEX(PASTE_ALL,$DF194,45)&amp;"","")&amp;"␟"&amp;IFERROR(INDEX(PASTE_ALL,$DF194,46)&amp;"","")&amp;"␟"&amp;IFERROR(INDEX(PASTE_ALL,$DF194,47)&amp;"","")&amp;"␟"&amp;IFERROR(INDEX(PASTE_ALL,$DF194,48)&amp;"","")&amp;"␟"&amp;IFERROR(INDEX(PASTE_ALL,$DF194,49)&amp;"","")&amp;"␟"&amp;IFERROR(INDEX(PASTE_ALL,$DF194,50)&amp;"","")&amp;"␟"&amp;IFERROR(INDEX(PASTE_ALL,$DF194,51)&amp;"","")&amp;"␟"&amp;IFERROR(INDEX(PASTE_ALL,$DF194,52)&amp;"","")&amp;"␟"&amp;IFERROR(INDEX(PASTE_ALL,$DF194,53)&amp;"","")&amp;"␟"&amp;IFERROR(INDEX(PASTE_ALL,$DF194,54)&amp;"","")&amp;"␟"&amp;IFERROR(INDEX(PASTE_ALL,$DF194,55)&amp;"","")&amp;"␟"&amp;IFERROR(INDEX(PASTE_ALL,$DF194,56)&amp;"","")&amp;"␟"&amp;IFERROR(INDEX(PASTE_ALL,$DF194,57)&amp;"","")&amp;"␟"&amp;IFERROR(INDEX(PASTE_ALL,$DF194,58)&amp;"","")&amp;"␟"&amp;IFERROR(INDEX(PASTE_ALL,$DF194,59)&amp;"","")&amp;"␟"&amp;IFERROR(INDEX(PASTE_ALL,$DF194,60)&amp;"","")," "," "),CHAR(9)," "),CHAR(10)," "),CHAR(13)," "))," ␟","␟"),"␟ ","␟"),"#"&amp;$DE194),"")</f>
        <v/>
      </c>
      <c r="DJ194">
        <f>IF($DI194="",0,IF(SUMPRODUCT(--EXACT($DI$4:DI193,$DI194))&gt;0,1,0))</f>
        <v/>
      </c>
      <c r="DK194">
        <f>IF(AND($DI194&lt;&gt;"",$DJ194=0),1,0)</f>
        <v/>
      </c>
      <c r="DL194">
        <f>DL193+$DK194</f>
        <v/>
      </c>
      <c r="DM194">
        <f>IF(AND($DK194=1,$DL194&lt;=600),1,0)</f>
        <v/>
      </c>
      <c r="DN194">
        <f>IF($DM194=0,"",IF($L$6=0,"",IFERROR(IF(ISNUMBER(INDEX(PASTE_ALL,$DF194,$L$6)),INDEX(PASTE_ALL,$DF194,$L$6),TRIM(SUBSTITUTE(SUBSTITUTE(SUBSTITUTE(SUBSTITUTE(INDEX(PASTE_ALL,$DF194,$L$6)," "," "),CHAR(9)," "),CHAR(10)," "),CHAR(13)," "))),"")))</f>
        <v/>
      </c>
      <c r="DO194">
        <f>IF($DM194=0,"",IF($L$7=0,"",IFERROR(IF(ISNUMBER(INDEX(PASTE_ALL,$DF194,$L$7)),INDEX(PASTE_ALL,$DF194,$L$7),TRIM(SUBSTITUTE(SUBSTITUTE(SUBSTITUTE(SUBSTITUTE(INDEX(PASTE_ALL,$DF194,$L$7)," "," "),CHAR(9)," "),CHAR(10)," "),CHAR(13)," "))),"")))</f>
        <v/>
      </c>
      <c r="DP194">
        <f>IF($DM194=0,"",IF($L$8=0,"",IFERROR(IF(ISNUMBER(INDEX(PASTE_ALL,$DF194,$L$8)),INDEX(PASTE_ALL,$DF194,$L$8),TRIM(SUBSTITUTE(SUBSTITUTE(SUBSTITUTE(SUBSTITUTE(INDEX(PASTE_ALL,$DF194,$L$8)," "," "),CHAR(9)," "),CHAR(10)," "),CHAR(13)," "))),"")))</f>
        <v/>
      </c>
      <c r="DQ194">
        <f>IF($DM194=0,"",IF($L$9=0,"",IFERROR(IF(ISNUMBER(INDEX(PASTE_ALL,$DF194,$L$9)),INDEX(PASTE_ALL,$DF194,$L$9),TRIM(SUBSTITUTE(SUBSTITUTE(SUBSTITUTE(SUBSTITUTE(INDEX(PASTE_ALL,$DF194,$L$9)," "," "),CHAR(9)," "),CHAR(10)," "),CHAR(13)," "))),"")))</f>
        <v/>
      </c>
      <c r="DR194">
        <f>IF($DM194=0,"",IF($L$10=0,"",IFERROR(IF(ISNUMBER(INDEX(PASTE_ALL,$DF194,$L$10)),INDEX(PASTE_ALL,$DF194,$L$10),TRIM(SUBSTITUTE(SUBSTITUTE(SUBSTITUTE(SUBSTITUTE(INDEX(PASTE_ALL,$DF194,$L$10)," "," "),CHAR(9)," "),CHAR(10)," "),CHAR(13)," "))),"")))</f>
        <v/>
      </c>
      <c r="DS194">
        <f>IF($DM194=0,"",IF($L$11=0,"",IFERROR(IF(ISNUMBER(INDEX(PASTE_ALL,$DF194,$L$11)),INDEX(PASTE_ALL,$DF194,$L$11),TRIM(SUBSTITUTE(SUBSTITUTE(SUBSTITUTE(SUBSTITUTE(INDEX(PASTE_ALL,$DF194,$L$11)," "," "),CHAR(9)," "),CHAR(10)," "),CHAR(13)," "))),"")))</f>
        <v/>
      </c>
      <c r="DT194">
        <f>IF($DM194=0,"",IF($L$12=0,"",IFERROR(IF(ISNUMBER(INDEX(PASTE_ALL,$DF194,$L$12)),INDEX(PASTE_ALL,$DF194,$L$12),TRIM(SUBSTITUTE(SUBSTITUTE(SUBSTITUTE(SUBSTITUTE(INDEX(PASTE_ALL,$DF194,$L$12)," "," "),CHAR(9)," "),CHAR(10)," "),CHAR(13)," "))),"")))</f>
        <v/>
      </c>
      <c r="DU194">
        <f>IF($DM194=0,"",IF($L$13=0,"",IFERROR(IF(ISNUMBER(INDEX(PASTE_ALL,$DF194,$L$13)),INDEX(PASTE_ALL,$DF194,$L$13),TRIM(SUBSTITUTE(SUBSTITUTE(SUBSTITUTE(SUBSTITUTE(INDEX(PASTE_ALL,$DF194,$L$13)," "," "),CHAR(9)," "),CHAR(10)," "),CHAR(13)," "))),"")))</f>
        <v/>
      </c>
      <c r="DV194">
        <f>IF($DM194=0,"",IF($L$14=0,"",IFERROR(IF(ISNUMBER(INDEX(PASTE_ALL,$DF194,$L$14)),INDEX(PASTE_ALL,$DF194,$L$14),TRIM(SUBSTITUTE(SUBSTITUTE(SUBSTITUTE(SUBSTITUTE(INDEX(PASTE_ALL,$DF194,$L$14)," "," "),CHAR(9)," "),CHAR(10)," "),CHAR(13)," "))),"")))</f>
        <v/>
      </c>
      <c r="DW194">
        <f>IF($DM194=0,"",IF($L$15=0,"",IFERROR(IF(ISNUMBER(INDEX(PASTE_ALL,$DF194,$L$15)),INDEX(PASTE_ALL,$DF194,$L$15),IF(SUMPRODUCT(--ISNUMBER(FIND({"A","B","C","D","E","F","G","H","I","J","K","L","M","N","O","P","Q","R","S","T","U","V","W","X","Y","Z","0","1","2","3","4","5","6","7","8","9"},UPPER(TRIM(SUBSTITUTE(SUBSTITUTE(SUBSTITUTE(SUBSTITUTE(INDEX(PASTE_ALL,$DF194,$L$15)," "," "),CHAR(9)," "),CHAR(10)," "),CHAR(13)," "))))))&gt;0,TRIM(SUBSTITUTE(SUBSTITUTE(SUBSTITUTE(SUBSTITUTE(INDEX(PASTE_ALL,$DF194,$L$15)," "," "),CHAR(9)," "),CHAR(10)," "),CHAR(13)," ")),"")),"")))</f>
        <v/>
      </c>
      <c r="DX194">
        <f>IF($DM194=0,"",IF($L$16=0,"",IFERROR(IF(ISNUMBER(INDEX(PASTE_ALL,$DF194,$L$16)),INDEX(PASTE_ALL,$DF194,$L$16),SUBSTITUTE(SUBSTITUTE(TRIM(SUBSTITUTE(SUBSTITUTE(SUBSTITUTE(SUBSTITUTE(INDEX(PASTE_ALL,$DF194,$L$16)," "," "),CHAR(9)," "),CHAR(10)," "),CHAR(13)," ")),",",""),"%","")),"")))</f>
        <v/>
      </c>
      <c r="DY194">
        <f>IF($DM194=0,"",IFERROR(IF(ISNUMBER($DX194),$DX194,IF($DX194="","",IF(TRIM($DX194)="",0,IF(AND(AND(SUBSTITUTE(SUBSTITUTE(SUBSTITUTE(SUBSTITUTE(SUBSTITUTE(SUBSTITUTE(SUBSTITUTE(SUBSTITUTE(SUBSTITUTE(SUBSTITUTE(SUBSTITUTE(SUBSTITUTE(SUBSTITUTE(SUBSTITUTE(UPPER(TRIM($DX194)),"0",""),"1",""),"2",""),"3",""),"4",""),"5",""),"6",""),"7",""),"8",""),"9",""),".",""),"+",""),"-",""),"E","")="",LEN(SUBSTITUTE(SUBSTITUTE(MID(UPPER(TRIM($DX194)),1+OR(LEFT(UPPER(TRIM($DX194)),1)="+",LEFT(UPPER(TRIM($DX194)),1)="-"),999),"E+","E"),"E-","E"))=LEN(SUBSTITUTE(SUBSTITUTE(SUBSTITUTE(SUBSTITUTE(MID(UPPER(TRIM($DX194)),1+OR(LEFT(UPPER(TRIM($DX194)),1)="+",LEFT(UPPER(TRIM($DX194)),1)="-"),999),"E+","E"),"E-","E"),"+",""),"-","")),LEN(UPPER(TRIM($DX194)))-LEN(SUBSTITUTE(UPPER(TRIM($DX194)),"E",""))&lt;2,LEN(UPPER(TRIM($DX194)))-LEN(SUBSTITUTE(UPPER(TRIM($DX194)),".",""))&lt;2,IFERROR(FIND(".",UPPER(TRIM($DX194))),0)&lt;IFERROR(FIND("E",UPPER(TRIM($DX194))),999)),ISNUMBER(VALUE(TRIM($DX194)))),VALUE(TRIM($DX194)),"")))),""))</f>
        <v/>
      </c>
      <c r="DZ194">
        <f>IF($DM194=0,"",IF($L$17=0,"",IFERROR(IF(ISNUMBER(INDEX(PASTE_ALL,$DF194,$L$17)),INDEX(PASTE_ALL,$DF194,$L$17),SUBSTITUTE(SUBSTITUTE(TRIM(SUBSTITUTE(SUBSTITUTE(SUBSTITUTE(SUBSTITUTE(INDEX(PASTE_ALL,$DF194,$L$17)," "," "),CHAR(9)," "),CHAR(10)," "),CHAR(13)," ")),",",""),"%","")),"")))</f>
        <v/>
      </c>
      <c r="EA194">
        <f>IF($DM194=0,"",IFERROR(IF(ISNUMBER($DZ194),$DZ194,IF($DZ194="","",IF(TRIM($DZ194)="",0,IF(AND(AND(SUBSTITUTE(SUBSTITUTE(SUBSTITUTE(SUBSTITUTE(SUBSTITUTE(SUBSTITUTE(SUBSTITUTE(SUBSTITUTE(SUBSTITUTE(SUBSTITUTE(SUBSTITUTE(SUBSTITUTE(SUBSTITUTE(SUBSTITUTE(UPPER(TRIM($DZ194)),"0",""),"1",""),"2",""),"3",""),"4",""),"5",""),"6",""),"7",""),"8",""),"9",""),".",""),"+",""),"-",""),"E","")="",LEN(SUBSTITUTE(SUBSTITUTE(MID(UPPER(TRIM($DZ194)),1+OR(LEFT(UPPER(TRIM($DZ194)),1)="+",LEFT(UPPER(TRIM($DZ194)),1)="-"),999),"E+","E"),"E-","E"))=LEN(SUBSTITUTE(SUBSTITUTE(SUBSTITUTE(SUBSTITUTE(MID(UPPER(TRIM($DZ194)),1+OR(LEFT(UPPER(TRIM($DZ194)),1)="+",LEFT(UPPER(TRIM($DZ194)),1)="-"),999),"E+","E"),"E-","E"),"+",""),"-","")),LEN(UPPER(TRIM($DZ194)))-LEN(SUBSTITUTE(UPPER(TRIM($DZ194)),"E",""))&lt;2,LEN(UPPER(TRIM($DZ194)))-LEN(SUBSTITUTE(UPPER(TRIM($DZ194)),".",""))&lt;2,IFERROR(FIND(".",UPPER(TRIM($DZ194))),0)&lt;IFERROR(FIND("E",UPPER(TRIM($DZ194))),999)),ISNUMBER(VALUE(TRIM($DZ194)))),VALUE(TRIM($DZ194)),"")))),""))</f>
        <v/>
      </c>
      <c r="EB194">
        <f>IF($DM194=0,"",IF($L$18=0,"",IFERROR(IF(UPPER(TRIM(SUBSTITUTE(SUBSTITUTE(SUBSTITUTE(SUBSTITUTE(INDEX(PASTE_ALL,$DF194,$L$18)," "," "),CHAR(9)," "),CHAR(10)," "),CHAR(13)," ")))="READY","Ready",IF(UPPER(TRIM(SUBSTITUTE(SUBSTITUTE(SUBSTITUTE(SUBSTITUTE(INDEX(PASTE_ALL,$DF194,$L$18)," "," "),CHAR(9)," "),CHAR(10)," "),CHAR(13)," ")))="PM","PM",IF(OR(UPPER(TRIM(SUBSTITUTE(SUBSTITUTE(SUBSTITUTE(SUBSTITUTE(INDEX(PASTE_ALL,$DF194,$L$18)," "," "),CHAR(9)," "),CHAR(10)," "),CHAR(13)," ")))="OT",UPPER(TRIM(SUBSTITUTE(SUBSTITUTE(SUBSTITUTE(SUBSTITUTE(INDEX(PASTE_ALL,$DF194,$L$18)," "," "),CHAR(9)," "),CHAR(10)," "),CHAR(13)," ")))="OVERTIME",UPPER(TRIM(SUBSTITUTE(SUBSTITUTE(SUBSTITUTE(SUBSTITUTE(INDEX(PASTE_ALL,$DF194,$L$18)," "," "),CHAR(9)," "),CHAR(10)," "),CHAR(13)," ")))="TRIAL"),"OT",TRIM(SUBSTITUTE(SUBSTITUTE(SUBSTITUTE(SUBSTITUTE(INDEX(PASTE_ALL,$DF194,$L$18)," "," "),CHAR(9)," "),CHAR(10)," "),CHAR(13)," "))))),"")))</f>
        <v/>
      </c>
      <c r="EC194">
        <f>IF($DM194=0,"",IF($L$19=0,"",IFERROR(IF(ISNUMBER(INDEX(PASTE_ALL,$DF194,$L$19)),INDEX(PASTE_ALL,$DF194,$L$19),TRIM(SUBSTITUTE(SUBSTITUTE(SUBSTITUTE(SUBSTITUTE(INDEX(PASTE_ALL,$DF194,$L$19)," "," "),CHAR(9)," "),CHAR(10)," "),CHAR(13)," "))),"")))</f>
        <v/>
      </c>
      <c r="ED194">
        <f>IF($DM194=0,"",MATCH(1,INDEX(EXACT($DH$5:DH194,$DH194)*$DM$5:DM194,0),0))</f>
        <v/>
      </c>
      <c r="EE194">
        <f>IF($DM194=0,0,IF($ED194=$DE194,1,0))</f>
        <v/>
      </c>
      <c r="EF194">
        <f>EF193+$EE194</f>
        <v/>
      </c>
      <c r="EG194">
        <f>IF($DM194=0,"",INDEX($EF$5:$EF$1003,$ED194))</f>
        <v/>
      </c>
      <c r="EH194">
        <f>IF($DM194=0,"",IF($DO194&lt;&gt;"","",IFERROR(LOOKUP(2,1/(($EG$4:EG193=$EG194)*($DO$4:DO193&lt;&gt;"")),$DO$4:DO193),"")))</f>
        <v/>
      </c>
      <c r="EI194">
        <f>IF($DM194=0,"",IF($DO194&lt;&gt;"",$DO194,$EH194))</f>
        <v/>
      </c>
      <c r="EJ194">
        <f>IF($DM194=0,"",IF($EI194="",0,IF(OR(ISNUMBER($EI194),AND(AND(SUBSTITUTE(SUBSTITUTE(SUBSTITUTE(SUBSTITUTE(SUBSTITUTE(SUBSTITUTE(SUBSTITUTE(SUBSTITUTE(SUBSTITUTE(SUBSTITUTE(SUBSTITUTE(SUBSTITUTE(SUBSTITUTE(SUBSTITUTE(UPPER($EI194),"0",""),"1",""),"2",""),"3",""),"4",""),"5",""),"6",""),"7",""),"8",""),"9",""),".",""),"+",""),"-",""),"E","")="",LEN(SUBSTITUTE(SUBSTITUTE(MID(UPPER($EI194),1+OR(LEFT(UPPER($EI194),1)="+",LEFT(UPPER($EI194),1)="-"),999),"E+","E"),"E-","E"))=LEN(SUBSTITUTE(SUBSTITUTE(SUBSTITUTE(SUBSTITUTE(MID(UPPER($EI194),1+OR(LEFT(UPPER($EI194),1)="+",LEFT(UPPER($EI194),1)="-"),999),"E+","E"),"E-","E"),"+",""),"-","")),LEN(UPPER($EI194))-LEN(SUBSTITUTE(UPPER($EI194),"E",""))&lt;2,LEN(UPPER($EI194))-LEN(SUBSTITUTE(UPPER($EI194),".",""))&lt;2,IFERROR(FIND(".",UPPER($EI194)),0)&lt;IFERROR(FIND("E",UPPER($EI194)),999)),ISNUMBER(VALUE($EI194)))),1,2)))</f>
        <v/>
      </c>
      <c r="EK194">
        <f>IF($DM194=0,"",IF($EJ194=1,IF(ISNUMBER($EI194),$EI194,VALUE($EI194)),IF($EJ194=2,$DE194,0)))</f>
        <v/>
      </c>
      <c r="EL194">
        <f>IF($DM194=0,"",COUNTIF($EG$5:$EG$1003,"&lt;"&amp;$EG194)+SUMPRODUCT(($EG$5:$EG$1003=$EG194)*(($EJ$5:$EJ$1003&lt;$EJ194)+($EJ$5:$EJ$1003=$EJ194)*(($EK$5:$EK$1003&lt;$EK194)+($EK$5:$EK$1003=$EK194)*($DE$5:$DE$1003&lt;$DE194))))+1)</f>
        <v/>
      </c>
      <c r="EM194">
        <f>IF($DM194=0,"",$EL194+$EG194-1)</f>
        <v/>
      </c>
      <c r="EN194">
        <f>IF($DM194=0,0,IFERROR(MATCH(1,INDEX(--(TRIM(SUBSTITUTE(SUBSTITUTE(SUBSTITUTE(SUBSTITUTE(LINES_NAME&amp;""," "," "),CHAR(9)," "),CHAR(10)," "),CHAR(13)," "))=$DH194),0),0),0))</f>
        <v/>
      </c>
      <c r="EO194">
        <f>IF($EN194=0,0,IF(OR(UPPER(TRIM(INDEX(LINES_SCHEDULED,$EN194)&amp;""))="YES",UPPER(TRIM(INDEX(LINES_SCHEDULED,$EN194)&amp;""))="Y",UPPER(TRIM(INDEX(LINES_SCHEDULED,$EN194)&amp;""))="X"),1,0))</f>
        <v/>
      </c>
      <c r="EP194">
        <f>IF($DM194=0,"",IF(COUNTIFS($EG$5:$EG$1003,$EG194,$EB$5:$EB$1003,"Ready")&gt;0,"READY",IF(COUNTIFS($EG$5:$EG$1003,$EG194,$EB$5:$EB$1003,"PM")&gt;0,"PM",IF(COUNTIFS($EG$5:$EG$1003,$EG194,$EB$5:$EB$1003,"OT")&gt;0,"OT",""))))</f>
        <v/>
      </c>
      <c r="EQ194">
        <f>IF($EN194=0,"",UPPER(TRIM(INDEX(LINES_STATUS,$EN194)&amp;"")))</f>
        <v/>
      </c>
      <c r="ER194">
        <f>IF($DM194=0,"",IF(OR($EQ194="READY",$EQ194="PM",$EQ194="OT"),$EQ194,$EP194))</f>
        <v/>
      </c>
      <c r="ES194">
        <f>IF($DM194=0,"",IF(AND($DV194&lt;&gt;"",UPPER($DV194)&lt;&gt;"N"),"allergen",IF(ISNUMBER(SEARCH("oil",$DQ194)),"oil",IF(OR(EXACT($DS194,"A662"),EXACT($DS194,"A624")),"bulk",""))))</f>
        <v/>
      </c>
      <c r="ET194">
        <f>IF($DM194=0,"",IF(OR($EA194="",$EA194=0),"",$EA194/100))</f>
        <v/>
      </c>
      <c r="EU194">
        <f>IF(OR($ET194="",$DY194=""),"",INT($DY194*(1-$ET194)+0.5))</f>
        <v/>
      </c>
      <c r="EW194" t="n">
        <v>190</v>
      </c>
      <c r="EX194">
        <f>IFERROR(MATCH($EW194,$EM$5:$EM$1003,0),0)</f>
        <v/>
      </c>
      <c r="EY194">
        <f>IF($EW194&gt;$B$12,"",IF($EX194&gt;0,"row","spacer"))</f>
        <v/>
      </c>
      <c r="EZ194">
        <f>IF(AND($EY194="row",$EY193&lt;&gt;"row"),1,0)</f>
        <v/>
      </c>
      <c r="FA194">
        <f>IF(AND($EY194="row",$EY195&lt;&gt;"row"),1,0)</f>
        <v/>
      </c>
      <c r="FB194">
        <f>IF($EZ194=1,IFERROR(IF(ISNUMBER(INDEX(PASTE_ALL,INDEX($DF$5:$DF$1003,$EX194),$B$37)),INDEX(PASTE_ALL,INDEX($DF$5:$DF$1003,$EX194),$B$37),INDEX($DH$5:$DH$1003,$EX194)),INDEX($DH$5:$DH$1003,$EX194)),"")</f>
        <v/>
      </c>
      <c r="FC194">
        <f>IF($EY194="row",INDEX($ER$5:$ER$1003,$EX194),"")</f>
        <v/>
      </c>
      <c r="FD194">
        <f>IF($EY194="row",INDEX($DN$5:$DN$1003,$EX194),"")</f>
        <v/>
      </c>
      <c r="FE194">
        <f>IF($EY194="row",INDEX($DO$5:$DO$1003,$EX194),"")</f>
        <v/>
      </c>
      <c r="FF194">
        <f>IF($EY194="row",INDEX($DP$5:$DP$1003,$EX194),"")</f>
        <v/>
      </c>
      <c r="FG194">
        <f>IF($EY194="row",INDEX($DQ$5:$DQ$1003,$EX194),"")</f>
        <v/>
      </c>
      <c r="FH194">
        <f>IF($EY194="row",INDEX($DR$5:$DR$1003,$EX194),"")</f>
        <v/>
      </c>
      <c r="FI194">
        <f>IF($EY194="row",INDEX($DS$5:$DS$1003,$EX194),"")</f>
        <v/>
      </c>
      <c r="FJ194">
        <f>IF($EY194="row",INDEX($DT$5:$DT$1003,$EX194),"")</f>
        <v/>
      </c>
      <c r="FK194">
        <f>IF($EY194="row",INDEX($DU$5:$DU$1003,$EX194),"")</f>
        <v/>
      </c>
      <c r="FL194">
        <f>IF($EY194="row",INDEX($DV$5:$DV$1003,$EX194),"")</f>
        <v/>
      </c>
      <c r="FM194">
        <f>IF($EY194="row",INDEX($DW$5:$DW$1003,$EX194),"")</f>
        <v/>
      </c>
      <c r="FN194">
        <f>IF($EY194="row",INDEX($DY$5:$DY$1003,$EX194),"")</f>
        <v/>
      </c>
      <c r="FO194">
        <f>IF($EY194="row",INDEX($EA$5:$EA$1003,$EX194),"")</f>
        <v/>
      </c>
      <c r="FP194">
        <f>IF($EY194="row",INDEX($EC$5:$EC$1003,$EX194),"")</f>
        <v/>
      </c>
      <c r="FQ194">
        <f>IF($EY194="row",INDEX($ET$5:$ET$1003,$EX194),"")</f>
        <v/>
      </c>
      <c r="FR194">
        <f>IF($EY194="row",INDEX($EU$5:$EU$1003,$EX194),"")</f>
        <v/>
      </c>
      <c r="FS194">
        <f>IF(AND($EY194="row",$EY193="row"),IF(OR(INDEX($DT$5:$DT$1003,$EX193)="",INDEX($DT$5:$DT$1003,$EX194)=""),"",IF(NOT(EXACT(INDEX($DT$5:$DT$1003,$EX193),INDEX($DT$5:$DT$1003,$EX194))),"S4",IF(NOT(EXACT(INDEX($DS$5:$DS$1003,$EX193),INDEX($DS$5:$DS$1003,$EX194))),"S3",IF(NOT(EXACT(INDEX($DR$5:$DR$1003,$EX193),INDEX($DR$5:$DR$1003,$EX194))),"S1 Count Change","S1")))),"")</f>
        <v/>
      </c>
      <c r="FT194">
        <f>IF($EY194="row",INDEX($ES$5:$ES$1003,$EX194),"")</f>
        <v/>
      </c>
      <c r="FU194">
        <f>IF($EY194="row",INDEX($EO$5:$EO$1003,$EX194),0)</f>
        <v/>
      </c>
      <c r="FV194">
        <f>IF($FS194="S1 Count Change",1,0)</f>
        <v/>
      </c>
    </row>
    <row r="195">
      <c r="Y195">
        <f>0+IF(Y105&gt;0,0,IF(SUMPRODUCT(MOD(INT(Y150/{2,4,8,16,32,64,128,256,512,1024,2048,4096,8192,16384,32768}),2)*(1-MOD(INT(($CJ15+0)/{2,4,8,16,32,64,128,256,512,1024,2048,4096,8192,16384,32768}),2))*{2,4,8,16,32,64,128,256,512,1024,2048,4096,8192,16384,32768})=0,0,2^SUMPRODUCT(--(MOD(SUMPRODUCT(MOD(INT(Y150/{2,4,8,16,32,64,128,256,512,1024,2048,4096,8192,16384,32768}),2)*(1-MOD(INT(($CJ15+0)/{2,4,8,16,32,64,128,256,512,1024,2048,4096,8192,16384,32768}),2))*{2,4,8,16,32,64,128,256,512,1024,2048,4096,8192,16384,32768}),{2,4,8,16,32,64,128,256,512,1024,2048,4096,8192,16384,32768})=0))))</f>
        <v/>
      </c>
      <c r="Z195">
        <f>Y195+IF(AND(Z105&gt;0,COUNTIF($Y105:Y105,Z105)=0),0,IF(SUMPRODUCT(MOD(INT(Z150/{2,4,8,16,32,64,128,256,512,1024,2048,4096,8192,16384,32768}),2)*(1-MOD(INT(($CJ15+Y195)/{2,4,8,16,32,64,128,256,512,1024,2048,4096,8192,16384,32768}),2))*{2,4,8,16,32,64,128,256,512,1024,2048,4096,8192,16384,32768})=0,0,2^SUMPRODUCT(--(MOD(SUMPRODUCT(MOD(INT(Z150/{2,4,8,16,32,64,128,256,512,1024,2048,4096,8192,16384,32768}),2)*(1-MOD(INT(($CJ15+Y195)/{2,4,8,16,32,64,128,256,512,1024,2048,4096,8192,16384,32768}),2))*{2,4,8,16,32,64,128,256,512,1024,2048,4096,8192,16384,32768}),{2,4,8,16,32,64,128,256,512,1024,2048,4096,8192,16384,32768})=0))))</f>
        <v/>
      </c>
      <c r="AA195">
        <f>Z195+IF(AND(AA105&gt;0,COUNTIF($Y105:Z105,AA105)=0),0,IF(SUMPRODUCT(MOD(INT(AA150/{2,4,8,16,32,64,128,256,512,1024,2048,4096,8192,16384,32768}),2)*(1-MOD(INT(($CJ15+Z195)/{2,4,8,16,32,64,128,256,512,1024,2048,4096,8192,16384,32768}),2))*{2,4,8,16,32,64,128,256,512,1024,2048,4096,8192,16384,32768})=0,0,2^SUMPRODUCT(--(MOD(SUMPRODUCT(MOD(INT(AA150/{2,4,8,16,32,64,128,256,512,1024,2048,4096,8192,16384,32768}),2)*(1-MOD(INT(($CJ15+Z195)/{2,4,8,16,32,64,128,256,512,1024,2048,4096,8192,16384,32768}),2))*{2,4,8,16,32,64,128,256,512,1024,2048,4096,8192,16384,32768}),{2,4,8,16,32,64,128,256,512,1024,2048,4096,8192,16384,32768})=0))))</f>
        <v/>
      </c>
      <c r="AB195">
        <f>AA195+IF(AND(AB105&gt;0,COUNTIF($Y105:AA105,AB105)=0),0,IF(SUMPRODUCT(MOD(INT(AB150/{2,4,8,16,32,64,128,256,512,1024,2048,4096,8192,16384,32768}),2)*(1-MOD(INT(($CJ15+AA195)/{2,4,8,16,32,64,128,256,512,1024,2048,4096,8192,16384,32768}),2))*{2,4,8,16,32,64,128,256,512,1024,2048,4096,8192,16384,32768})=0,0,2^SUMPRODUCT(--(MOD(SUMPRODUCT(MOD(INT(AB150/{2,4,8,16,32,64,128,256,512,1024,2048,4096,8192,16384,32768}),2)*(1-MOD(INT(($CJ15+AA195)/{2,4,8,16,32,64,128,256,512,1024,2048,4096,8192,16384,32768}),2))*{2,4,8,16,32,64,128,256,512,1024,2048,4096,8192,16384,32768}),{2,4,8,16,32,64,128,256,512,1024,2048,4096,8192,16384,32768})=0))))</f>
        <v/>
      </c>
      <c r="AC195">
        <f>AB195+IF(AND(AC105&gt;0,COUNTIF($Y105:AB105,AC105)=0),0,IF(SUMPRODUCT(MOD(INT(AC150/{2,4,8,16,32,64,128,256,512,1024,2048,4096,8192,16384,32768}),2)*(1-MOD(INT(($CJ15+AB195)/{2,4,8,16,32,64,128,256,512,1024,2048,4096,8192,16384,32768}),2))*{2,4,8,16,32,64,128,256,512,1024,2048,4096,8192,16384,32768})=0,0,2^SUMPRODUCT(--(MOD(SUMPRODUCT(MOD(INT(AC150/{2,4,8,16,32,64,128,256,512,1024,2048,4096,8192,16384,32768}),2)*(1-MOD(INT(($CJ15+AB195)/{2,4,8,16,32,64,128,256,512,1024,2048,4096,8192,16384,32768}),2))*{2,4,8,16,32,64,128,256,512,1024,2048,4096,8192,16384,32768}),{2,4,8,16,32,64,128,256,512,1024,2048,4096,8192,16384,32768})=0))))</f>
        <v/>
      </c>
      <c r="AD195">
        <f>AC195+IF(AND(AD105&gt;0,COUNTIF($Y105:AC105,AD105)=0),0,IF(SUMPRODUCT(MOD(INT(AD150/{2,4,8,16,32,64,128,256,512,1024,2048,4096,8192,16384,32768}),2)*(1-MOD(INT(($CJ15+AC195)/{2,4,8,16,32,64,128,256,512,1024,2048,4096,8192,16384,32768}),2))*{2,4,8,16,32,64,128,256,512,1024,2048,4096,8192,16384,32768})=0,0,2^SUMPRODUCT(--(MOD(SUMPRODUCT(MOD(INT(AD150/{2,4,8,16,32,64,128,256,512,1024,2048,4096,8192,16384,32768}),2)*(1-MOD(INT(($CJ15+AC195)/{2,4,8,16,32,64,128,256,512,1024,2048,4096,8192,16384,32768}),2))*{2,4,8,16,32,64,128,256,512,1024,2048,4096,8192,16384,32768}),{2,4,8,16,32,64,128,256,512,1024,2048,4096,8192,16384,32768})=0))))</f>
        <v/>
      </c>
      <c r="AE195">
        <f>AD195+IF(AND(AE105&gt;0,COUNTIF($Y105:AD105,AE105)=0),0,IF(SUMPRODUCT(MOD(INT(AE150/{2,4,8,16,32,64,128,256,512,1024,2048,4096,8192,16384,32768}),2)*(1-MOD(INT(($CJ15+AD195)/{2,4,8,16,32,64,128,256,512,1024,2048,4096,8192,16384,32768}),2))*{2,4,8,16,32,64,128,256,512,1024,2048,4096,8192,16384,32768})=0,0,2^SUMPRODUCT(--(MOD(SUMPRODUCT(MOD(INT(AE150/{2,4,8,16,32,64,128,256,512,1024,2048,4096,8192,16384,32768}),2)*(1-MOD(INT(($CJ15+AD195)/{2,4,8,16,32,64,128,256,512,1024,2048,4096,8192,16384,32768}),2))*{2,4,8,16,32,64,128,256,512,1024,2048,4096,8192,16384,32768}),{2,4,8,16,32,64,128,256,512,1024,2048,4096,8192,16384,32768})=0))))</f>
        <v/>
      </c>
      <c r="AF195">
        <f>AE195+IF(AND(AF105&gt;0,COUNTIF($Y105:AE105,AF105)=0),0,IF(SUMPRODUCT(MOD(INT(AF150/{2,4,8,16,32,64,128,256,512,1024,2048,4096,8192,16384,32768}),2)*(1-MOD(INT(($CJ15+AE195)/{2,4,8,16,32,64,128,256,512,1024,2048,4096,8192,16384,32768}),2))*{2,4,8,16,32,64,128,256,512,1024,2048,4096,8192,16384,32768})=0,0,2^SUMPRODUCT(--(MOD(SUMPRODUCT(MOD(INT(AF150/{2,4,8,16,32,64,128,256,512,1024,2048,4096,8192,16384,32768}),2)*(1-MOD(INT(($CJ15+AE195)/{2,4,8,16,32,64,128,256,512,1024,2048,4096,8192,16384,32768}),2))*{2,4,8,16,32,64,128,256,512,1024,2048,4096,8192,16384,32768}),{2,4,8,16,32,64,128,256,512,1024,2048,4096,8192,16384,32768})=0))))</f>
        <v/>
      </c>
      <c r="AG195">
        <f>AF195+IF(AND(AG105&gt;0,COUNTIF($Y105:AF105,AG105)=0),0,IF(SUMPRODUCT(MOD(INT(AG150/{2,4,8,16,32,64,128,256,512,1024,2048,4096,8192,16384,32768}),2)*(1-MOD(INT(($CJ15+AF195)/{2,4,8,16,32,64,128,256,512,1024,2048,4096,8192,16384,32768}),2))*{2,4,8,16,32,64,128,256,512,1024,2048,4096,8192,16384,32768})=0,0,2^SUMPRODUCT(--(MOD(SUMPRODUCT(MOD(INT(AG150/{2,4,8,16,32,64,128,256,512,1024,2048,4096,8192,16384,32768}),2)*(1-MOD(INT(($CJ15+AF195)/{2,4,8,16,32,64,128,256,512,1024,2048,4096,8192,16384,32768}),2))*{2,4,8,16,32,64,128,256,512,1024,2048,4096,8192,16384,32768}),{2,4,8,16,32,64,128,256,512,1024,2048,4096,8192,16384,32768})=0))))</f>
        <v/>
      </c>
      <c r="AH195">
        <f>AG195+IF(AND(AH105&gt;0,COUNTIF($Y105:AG105,AH105)=0),0,IF(SUMPRODUCT(MOD(INT(AH150/{2,4,8,16,32,64,128,256,512,1024,2048,4096,8192,16384,32768}),2)*(1-MOD(INT(($CJ15+AG195)/{2,4,8,16,32,64,128,256,512,1024,2048,4096,8192,16384,32768}),2))*{2,4,8,16,32,64,128,256,512,1024,2048,4096,8192,16384,32768})=0,0,2^SUMPRODUCT(--(MOD(SUMPRODUCT(MOD(INT(AH150/{2,4,8,16,32,64,128,256,512,1024,2048,4096,8192,16384,32768}),2)*(1-MOD(INT(($CJ15+AG195)/{2,4,8,16,32,64,128,256,512,1024,2048,4096,8192,16384,32768}),2))*{2,4,8,16,32,64,128,256,512,1024,2048,4096,8192,16384,32768}),{2,4,8,16,32,64,128,256,512,1024,2048,4096,8192,16384,32768})=0))))</f>
        <v/>
      </c>
      <c r="AI195">
        <f>AH195+IF(AND(AI105&gt;0,COUNTIF($Y105:AH105,AI105)=0),0,IF(SUMPRODUCT(MOD(INT(AI150/{2,4,8,16,32,64,128,256,512,1024,2048,4096,8192,16384,32768}),2)*(1-MOD(INT(($CJ15+AH195)/{2,4,8,16,32,64,128,256,512,1024,2048,4096,8192,16384,32768}),2))*{2,4,8,16,32,64,128,256,512,1024,2048,4096,8192,16384,32768})=0,0,2^SUMPRODUCT(--(MOD(SUMPRODUCT(MOD(INT(AI150/{2,4,8,16,32,64,128,256,512,1024,2048,4096,8192,16384,32768}),2)*(1-MOD(INT(($CJ15+AH195)/{2,4,8,16,32,64,128,256,512,1024,2048,4096,8192,16384,32768}),2))*{2,4,8,16,32,64,128,256,512,1024,2048,4096,8192,16384,32768}),{2,4,8,16,32,64,128,256,512,1024,2048,4096,8192,16384,32768})=0))))</f>
        <v/>
      </c>
      <c r="AJ195">
        <f>AI195+IF(AND(AJ105&gt;0,COUNTIF($Y105:AI105,AJ105)=0),0,IF(SUMPRODUCT(MOD(INT(AJ150/{2,4,8,16,32,64,128,256,512,1024,2048,4096,8192,16384,32768}),2)*(1-MOD(INT(($CJ15+AI195)/{2,4,8,16,32,64,128,256,512,1024,2048,4096,8192,16384,32768}),2))*{2,4,8,16,32,64,128,256,512,1024,2048,4096,8192,16384,32768})=0,0,2^SUMPRODUCT(--(MOD(SUMPRODUCT(MOD(INT(AJ150/{2,4,8,16,32,64,128,256,512,1024,2048,4096,8192,16384,32768}),2)*(1-MOD(INT(($CJ15+AI195)/{2,4,8,16,32,64,128,256,512,1024,2048,4096,8192,16384,32768}),2))*{2,4,8,16,32,64,128,256,512,1024,2048,4096,8192,16384,32768}),{2,4,8,16,32,64,128,256,512,1024,2048,4096,8192,16384,32768})=0))))</f>
        <v/>
      </c>
      <c r="AK195">
        <f>AJ195+IF(AND(AK105&gt;0,COUNTIF($Y105:AJ105,AK105)=0),0,IF(SUMPRODUCT(MOD(INT(AK150/{2,4,8,16,32,64,128,256,512,1024,2048,4096,8192,16384,32768}),2)*(1-MOD(INT(($CJ15+AJ195)/{2,4,8,16,32,64,128,256,512,1024,2048,4096,8192,16384,32768}),2))*{2,4,8,16,32,64,128,256,512,1024,2048,4096,8192,16384,32768})=0,0,2^SUMPRODUCT(--(MOD(SUMPRODUCT(MOD(INT(AK150/{2,4,8,16,32,64,128,256,512,1024,2048,4096,8192,16384,32768}),2)*(1-MOD(INT(($CJ15+AJ195)/{2,4,8,16,32,64,128,256,512,1024,2048,4096,8192,16384,32768}),2))*{2,4,8,16,32,64,128,256,512,1024,2048,4096,8192,16384,32768}),{2,4,8,16,32,64,128,256,512,1024,2048,4096,8192,16384,32768})=0))))</f>
        <v/>
      </c>
      <c r="AL195">
        <f>AK195+IF(AND(AL105&gt;0,COUNTIF($Y105:AK105,AL105)=0),0,IF(SUMPRODUCT(MOD(INT(AL150/{2,4,8,16,32,64,128,256,512,1024,2048,4096,8192,16384,32768}),2)*(1-MOD(INT(($CJ15+AK195)/{2,4,8,16,32,64,128,256,512,1024,2048,4096,8192,16384,32768}),2))*{2,4,8,16,32,64,128,256,512,1024,2048,4096,8192,16384,32768})=0,0,2^SUMPRODUCT(--(MOD(SUMPRODUCT(MOD(INT(AL150/{2,4,8,16,32,64,128,256,512,1024,2048,4096,8192,16384,32768}),2)*(1-MOD(INT(($CJ15+AK195)/{2,4,8,16,32,64,128,256,512,1024,2048,4096,8192,16384,32768}),2))*{2,4,8,16,32,64,128,256,512,1024,2048,4096,8192,16384,32768}),{2,4,8,16,32,64,128,256,512,1024,2048,4096,8192,16384,32768})=0))))</f>
        <v/>
      </c>
      <c r="AM195">
        <f>AL195+IF(AND(AM105&gt;0,COUNTIF($Y105:AL105,AM105)=0),0,IF(SUMPRODUCT(MOD(INT(AM150/{2,4,8,16,32,64,128,256,512,1024,2048,4096,8192,16384,32768}),2)*(1-MOD(INT(($CJ15+AL195)/{2,4,8,16,32,64,128,256,512,1024,2048,4096,8192,16384,32768}),2))*{2,4,8,16,32,64,128,256,512,1024,2048,4096,8192,16384,32768})=0,0,2^SUMPRODUCT(--(MOD(SUMPRODUCT(MOD(INT(AM150/{2,4,8,16,32,64,128,256,512,1024,2048,4096,8192,16384,32768}),2)*(1-MOD(INT(($CJ15+AL195)/{2,4,8,16,32,64,128,256,512,1024,2048,4096,8192,16384,32768}),2))*{2,4,8,16,32,64,128,256,512,1024,2048,4096,8192,16384,32768}),{2,4,8,16,32,64,128,256,512,1024,2048,4096,8192,16384,32768})=0))))</f>
        <v/>
      </c>
      <c r="AN195">
        <f>AM195+IF(AND(AN105&gt;0,COUNTIF($Y105:AM105,AN105)=0),0,IF(SUMPRODUCT(MOD(INT(AN150/{2,4,8,16,32,64,128,256,512,1024,2048,4096,8192,16384,32768}),2)*(1-MOD(INT(($CJ15+AM195)/{2,4,8,16,32,64,128,256,512,1024,2048,4096,8192,16384,32768}),2))*{2,4,8,16,32,64,128,256,512,1024,2048,4096,8192,16384,32768})=0,0,2^SUMPRODUCT(--(MOD(SUMPRODUCT(MOD(INT(AN150/{2,4,8,16,32,64,128,256,512,1024,2048,4096,8192,16384,32768}),2)*(1-MOD(INT(($CJ15+AM195)/{2,4,8,16,32,64,128,256,512,1024,2048,4096,8192,16384,32768}),2))*{2,4,8,16,32,64,128,256,512,1024,2048,4096,8192,16384,32768}),{2,4,8,16,32,64,128,256,512,1024,2048,4096,8192,16384,32768})=0))))</f>
        <v/>
      </c>
      <c r="AO195">
        <f>AN195+IF(AND(AO105&gt;0,COUNTIF($Y105:AN105,AO105)=0),0,IF(SUMPRODUCT(MOD(INT(AO150/{2,4,8,16,32,64,128,256,512,1024,2048,4096,8192,16384,32768}),2)*(1-MOD(INT(($CJ15+AN195)/{2,4,8,16,32,64,128,256,512,1024,2048,4096,8192,16384,32768}),2))*{2,4,8,16,32,64,128,256,512,1024,2048,4096,8192,16384,32768})=0,0,2^SUMPRODUCT(--(MOD(SUMPRODUCT(MOD(INT(AO150/{2,4,8,16,32,64,128,256,512,1024,2048,4096,8192,16384,32768}),2)*(1-MOD(INT(($CJ15+AN195)/{2,4,8,16,32,64,128,256,512,1024,2048,4096,8192,16384,32768}),2))*{2,4,8,16,32,64,128,256,512,1024,2048,4096,8192,16384,32768}),{2,4,8,16,32,64,128,256,512,1024,2048,4096,8192,16384,32768})=0))))</f>
        <v/>
      </c>
      <c r="AP195">
        <f>AO195+IF(AND(AP105&gt;0,COUNTIF($Y105:AO105,AP105)=0),0,IF(SUMPRODUCT(MOD(INT(AP150/{2,4,8,16,32,64,128,256,512,1024,2048,4096,8192,16384,32768}),2)*(1-MOD(INT(($CJ15+AO195)/{2,4,8,16,32,64,128,256,512,1024,2048,4096,8192,16384,32768}),2))*{2,4,8,16,32,64,128,256,512,1024,2048,4096,8192,16384,32768})=0,0,2^SUMPRODUCT(--(MOD(SUMPRODUCT(MOD(INT(AP150/{2,4,8,16,32,64,128,256,512,1024,2048,4096,8192,16384,32768}),2)*(1-MOD(INT(($CJ15+AO195)/{2,4,8,16,32,64,128,256,512,1024,2048,4096,8192,16384,32768}),2))*{2,4,8,16,32,64,128,256,512,1024,2048,4096,8192,16384,32768}),{2,4,8,16,32,64,128,256,512,1024,2048,4096,8192,16384,32768})=0))))</f>
        <v/>
      </c>
      <c r="AQ195">
        <f>AP195+IF(AND(AQ105&gt;0,COUNTIF($Y105:AP105,AQ105)=0),0,IF(SUMPRODUCT(MOD(INT(AQ150/{2,4,8,16,32,64,128,256,512,1024,2048,4096,8192,16384,32768}),2)*(1-MOD(INT(($CJ15+AP195)/{2,4,8,16,32,64,128,256,512,1024,2048,4096,8192,16384,32768}),2))*{2,4,8,16,32,64,128,256,512,1024,2048,4096,8192,16384,32768})=0,0,2^SUMPRODUCT(--(MOD(SUMPRODUCT(MOD(INT(AQ150/{2,4,8,16,32,64,128,256,512,1024,2048,4096,8192,16384,32768}),2)*(1-MOD(INT(($CJ15+AP195)/{2,4,8,16,32,64,128,256,512,1024,2048,4096,8192,16384,32768}),2))*{2,4,8,16,32,64,128,256,512,1024,2048,4096,8192,16384,32768}),{2,4,8,16,32,64,128,256,512,1024,2048,4096,8192,16384,32768})=0))))</f>
        <v/>
      </c>
      <c r="AR195">
        <f>AQ195+IF(AND(AR105&gt;0,COUNTIF($Y105:AQ105,AR105)=0),0,IF(SUMPRODUCT(MOD(INT(AR150/{2,4,8,16,32,64,128,256,512,1024,2048,4096,8192,16384,32768}),2)*(1-MOD(INT(($CJ15+AQ195)/{2,4,8,16,32,64,128,256,512,1024,2048,4096,8192,16384,32768}),2))*{2,4,8,16,32,64,128,256,512,1024,2048,4096,8192,16384,32768})=0,0,2^SUMPRODUCT(--(MOD(SUMPRODUCT(MOD(INT(AR150/{2,4,8,16,32,64,128,256,512,1024,2048,4096,8192,16384,32768}),2)*(1-MOD(INT(($CJ15+AQ195)/{2,4,8,16,32,64,128,256,512,1024,2048,4096,8192,16384,32768}),2))*{2,4,8,16,32,64,128,256,512,1024,2048,4096,8192,16384,32768}),{2,4,8,16,32,64,128,256,512,1024,2048,4096,8192,16384,32768})=0))))</f>
        <v/>
      </c>
      <c r="AS195">
        <f>AR195+IF(AND(AS105&gt;0,COUNTIF($Y105:AR105,AS105)=0),0,IF(SUMPRODUCT(MOD(INT(AS150/{2,4,8,16,32,64,128,256,512,1024,2048,4096,8192,16384,32768}),2)*(1-MOD(INT(($CJ15+AR195)/{2,4,8,16,32,64,128,256,512,1024,2048,4096,8192,16384,32768}),2))*{2,4,8,16,32,64,128,256,512,1024,2048,4096,8192,16384,32768})=0,0,2^SUMPRODUCT(--(MOD(SUMPRODUCT(MOD(INT(AS150/{2,4,8,16,32,64,128,256,512,1024,2048,4096,8192,16384,32768}),2)*(1-MOD(INT(($CJ15+AR195)/{2,4,8,16,32,64,128,256,512,1024,2048,4096,8192,16384,32768}),2))*{2,4,8,16,32,64,128,256,512,1024,2048,4096,8192,16384,32768}),{2,4,8,16,32,64,128,256,512,1024,2048,4096,8192,16384,32768})=0))))</f>
        <v/>
      </c>
      <c r="AT195">
        <f>AS195+IF(AND(AT105&gt;0,COUNTIF($Y105:AS105,AT105)=0),0,IF(SUMPRODUCT(MOD(INT(AT150/{2,4,8,16,32,64,128,256,512,1024,2048,4096,8192,16384,32768}),2)*(1-MOD(INT(($CJ15+AS195)/{2,4,8,16,32,64,128,256,512,1024,2048,4096,8192,16384,32768}),2))*{2,4,8,16,32,64,128,256,512,1024,2048,4096,8192,16384,32768})=0,0,2^SUMPRODUCT(--(MOD(SUMPRODUCT(MOD(INT(AT150/{2,4,8,16,32,64,128,256,512,1024,2048,4096,8192,16384,32768}),2)*(1-MOD(INT(($CJ15+AS195)/{2,4,8,16,32,64,128,256,512,1024,2048,4096,8192,16384,32768}),2))*{2,4,8,16,32,64,128,256,512,1024,2048,4096,8192,16384,32768}),{2,4,8,16,32,64,128,256,512,1024,2048,4096,8192,16384,32768})=0))))</f>
        <v/>
      </c>
      <c r="AU195">
        <f>AT195+IF(AND(AU105&gt;0,COUNTIF($Y105:AT105,AU105)=0),0,IF(SUMPRODUCT(MOD(INT(AU150/{2,4,8,16,32,64,128,256,512,1024,2048,4096,8192,16384,32768}),2)*(1-MOD(INT(($CJ15+AT195)/{2,4,8,16,32,64,128,256,512,1024,2048,4096,8192,16384,32768}),2))*{2,4,8,16,32,64,128,256,512,1024,2048,4096,8192,16384,32768})=0,0,2^SUMPRODUCT(--(MOD(SUMPRODUCT(MOD(INT(AU150/{2,4,8,16,32,64,128,256,512,1024,2048,4096,8192,16384,32768}),2)*(1-MOD(INT(($CJ15+AT195)/{2,4,8,16,32,64,128,256,512,1024,2048,4096,8192,16384,32768}),2))*{2,4,8,16,32,64,128,256,512,1024,2048,4096,8192,16384,32768}),{2,4,8,16,32,64,128,256,512,1024,2048,4096,8192,16384,32768})=0))))</f>
        <v/>
      </c>
      <c r="AV195">
        <f>AU195+IF(AND(AV105&gt;0,COUNTIF($Y105:AU105,AV105)=0),0,IF(SUMPRODUCT(MOD(INT(AV150/{2,4,8,16,32,64,128,256,512,1024,2048,4096,8192,16384,32768}),2)*(1-MOD(INT(($CJ15+AU195)/{2,4,8,16,32,64,128,256,512,1024,2048,4096,8192,16384,32768}),2))*{2,4,8,16,32,64,128,256,512,1024,2048,4096,8192,16384,32768})=0,0,2^SUMPRODUCT(--(MOD(SUMPRODUCT(MOD(INT(AV150/{2,4,8,16,32,64,128,256,512,1024,2048,4096,8192,16384,32768}),2)*(1-MOD(INT(($CJ15+AU195)/{2,4,8,16,32,64,128,256,512,1024,2048,4096,8192,16384,32768}),2))*{2,4,8,16,32,64,128,256,512,1024,2048,4096,8192,16384,32768}),{2,4,8,16,32,64,128,256,512,1024,2048,4096,8192,16384,32768})=0))))</f>
        <v/>
      </c>
      <c r="AW195">
        <f>AV195+IF(AND(AW105&gt;0,COUNTIF($Y105:AV105,AW105)=0),0,IF(SUMPRODUCT(MOD(INT(AW150/{2,4,8,16,32,64,128,256,512,1024,2048,4096,8192,16384,32768}),2)*(1-MOD(INT(($CJ15+AV195)/{2,4,8,16,32,64,128,256,512,1024,2048,4096,8192,16384,32768}),2))*{2,4,8,16,32,64,128,256,512,1024,2048,4096,8192,16384,32768})=0,0,2^SUMPRODUCT(--(MOD(SUMPRODUCT(MOD(INT(AW150/{2,4,8,16,32,64,128,256,512,1024,2048,4096,8192,16384,32768}),2)*(1-MOD(INT(($CJ15+AV195)/{2,4,8,16,32,64,128,256,512,1024,2048,4096,8192,16384,32768}),2))*{2,4,8,16,32,64,128,256,512,1024,2048,4096,8192,16384,32768}),{2,4,8,16,32,64,128,256,512,1024,2048,4096,8192,16384,32768})=0))))</f>
        <v/>
      </c>
      <c r="AX195">
        <f>AW195+IF(AND(AX105&gt;0,COUNTIF($Y105:AW105,AX105)=0),0,IF(SUMPRODUCT(MOD(INT(AX150/{2,4,8,16,32,64,128,256,512,1024,2048,4096,8192,16384,32768}),2)*(1-MOD(INT(($CJ15+AW195)/{2,4,8,16,32,64,128,256,512,1024,2048,4096,8192,16384,32768}),2))*{2,4,8,16,32,64,128,256,512,1024,2048,4096,8192,16384,32768})=0,0,2^SUMPRODUCT(--(MOD(SUMPRODUCT(MOD(INT(AX150/{2,4,8,16,32,64,128,256,512,1024,2048,4096,8192,16384,32768}),2)*(1-MOD(INT(($CJ15+AW195)/{2,4,8,16,32,64,128,256,512,1024,2048,4096,8192,16384,32768}),2))*{2,4,8,16,32,64,128,256,512,1024,2048,4096,8192,16384,32768}),{2,4,8,16,32,64,128,256,512,1024,2048,4096,8192,16384,32768})=0))))</f>
        <v/>
      </c>
      <c r="AY195">
        <f>AX195+IF(AND(AY105&gt;0,COUNTIF($Y105:AX105,AY105)=0),0,IF(SUMPRODUCT(MOD(INT(AY150/{2,4,8,16,32,64,128,256,512,1024,2048,4096,8192,16384,32768}),2)*(1-MOD(INT(($CJ15+AX195)/{2,4,8,16,32,64,128,256,512,1024,2048,4096,8192,16384,32768}),2))*{2,4,8,16,32,64,128,256,512,1024,2048,4096,8192,16384,32768})=0,0,2^SUMPRODUCT(--(MOD(SUMPRODUCT(MOD(INT(AY150/{2,4,8,16,32,64,128,256,512,1024,2048,4096,8192,16384,32768}),2)*(1-MOD(INT(($CJ15+AX195)/{2,4,8,16,32,64,128,256,512,1024,2048,4096,8192,16384,32768}),2))*{2,4,8,16,32,64,128,256,512,1024,2048,4096,8192,16384,32768}),{2,4,8,16,32,64,128,256,512,1024,2048,4096,8192,16384,32768})=0))))</f>
        <v/>
      </c>
      <c r="AZ195">
        <f>AY195+IF(AND(AZ105&gt;0,COUNTIF($Y105:AY105,AZ105)=0),0,IF(SUMPRODUCT(MOD(INT(AZ150/{2,4,8,16,32,64,128,256,512,1024,2048,4096,8192,16384,32768}),2)*(1-MOD(INT(($CJ15+AY195)/{2,4,8,16,32,64,128,256,512,1024,2048,4096,8192,16384,32768}),2))*{2,4,8,16,32,64,128,256,512,1024,2048,4096,8192,16384,32768})=0,0,2^SUMPRODUCT(--(MOD(SUMPRODUCT(MOD(INT(AZ150/{2,4,8,16,32,64,128,256,512,1024,2048,4096,8192,16384,32768}),2)*(1-MOD(INT(($CJ15+AY195)/{2,4,8,16,32,64,128,256,512,1024,2048,4096,8192,16384,32768}),2))*{2,4,8,16,32,64,128,256,512,1024,2048,4096,8192,16384,32768}),{2,4,8,16,32,64,128,256,512,1024,2048,4096,8192,16384,32768})=0))))</f>
        <v/>
      </c>
      <c r="BA195">
        <f>AZ195+IF(AND(BA105&gt;0,COUNTIF($Y105:AZ105,BA105)=0),0,IF(SUMPRODUCT(MOD(INT(BA150/{2,4,8,16,32,64,128,256,512,1024,2048,4096,8192,16384,32768}),2)*(1-MOD(INT(($CJ15+AZ195)/{2,4,8,16,32,64,128,256,512,1024,2048,4096,8192,16384,32768}),2))*{2,4,8,16,32,64,128,256,512,1024,2048,4096,8192,16384,32768})=0,0,2^SUMPRODUCT(--(MOD(SUMPRODUCT(MOD(INT(BA150/{2,4,8,16,32,64,128,256,512,1024,2048,4096,8192,16384,32768}),2)*(1-MOD(INT(($CJ15+AZ195)/{2,4,8,16,32,64,128,256,512,1024,2048,4096,8192,16384,32768}),2))*{2,4,8,16,32,64,128,256,512,1024,2048,4096,8192,16384,32768}),{2,4,8,16,32,64,128,256,512,1024,2048,4096,8192,16384,32768})=0))))</f>
        <v/>
      </c>
      <c r="BB195">
        <f>BA195+IF(AND(BB105&gt;0,COUNTIF($Y105:BA105,BB105)=0),0,IF(SUMPRODUCT(MOD(INT(BB150/{2,4,8,16,32,64,128,256,512,1024,2048,4096,8192,16384,32768}),2)*(1-MOD(INT(($CJ15+BA195)/{2,4,8,16,32,64,128,256,512,1024,2048,4096,8192,16384,32768}),2))*{2,4,8,16,32,64,128,256,512,1024,2048,4096,8192,16384,32768})=0,0,2^SUMPRODUCT(--(MOD(SUMPRODUCT(MOD(INT(BB150/{2,4,8,16,32,64,128,256,512,1024,2048,4096,8192,16384,32768}),2)*(1-MOD(INT(($CJ15+BA195)/{2,4,8,16,32,64,128,256,512,1024,2048,4096,8192,16384,32768}),2))*{2,4,8,16,32,64,128,256,512,1024,2048,4096,8192,16384,32768}),{2,4,8,16,32,64,128,256,512,1024,2048,4096,8192,16384,32768})=0))))</f>
        <v/>
      </c>
      <c r="BC195">
        <f>BB195+IF(AND(BC105&gt;0,COUNTIF($Y105:BB105,BC105)=0),0,IF(SUMPRODUCT(MOD(INT(BC150/{2,4,8,16,32,64,128,256,512,1024,2048,4096,8192,16384,32768}),2)*(1-MOD(INT(($CJ15+BB195)/{2,4,8,16,32,64,128,256,512,1024,2048,4096,8192,16384,32768}),2))*{2,4,8,16,32,64,128,256,512,1024,2048,4096,8192,16384,32768})=0,0,2^SUMPRODUCT(--(MOD(SUMPRODUCT(MOD(INT(BC150/{2,4,8,16,32,64,128,256,512,1024,2048,4096,8192,16384,32768}),2)*(1-MOD(INT(($CJ15+BB195)/{2,4,8,16,32,64,128,256,512,1024,2048,4096,8192,16384,32768}),2))*{2,4,8,16,32,64,128,256,512,1024,2048,4096,8192,16384,32768}),{2,4,8,16,32,64,128,256,512,1024,2048,4096,8192,16384,32768})=0))))</f>
        <v/>
      </c>
      <c r="BD195">
        <f>BC195+IF(AND(BD105&gt;0,COUNTIF($Y105:BC105,BD105)=0),0,IF(SUMPRODUCT(MOD(INT(BD150/{2,4,8,16,32,64,128,256,512,1024,2048,4096,8192,16384,32768}),2)*(1-MOD(INT(($CJ15+BC195)/{2,4,8,16,32,64,128,256,512,1024,2048,4096,8192,16384,32768}),2))*{2,4,8,16,32,64,128,256,512,1024,2048,4096,8192,16384,32768})=0,0,2^SUMPRODUCT(--(MOD(SUMPRODUCT(MOD(INT(BD150/{2,4,8,16,32,64,128,256,512,1024,2048,4096,8192,16384,32768}),2)*(1-MOD(INT(($CJ15+BC195)/{2,4,8,16,32,64,128,256,512,1024,2048,4096,8192,16384,32768}),2))*{2,4,8,16,32,64,128,256,512,1024,2048,4096,8192,16384,32768}),{2,4,8,16,32,64,128,256,512,1024,2048,4096,8192,16384,32768})=0))))</f>
        <v/>
      </c>
      <c r="BE195">
        <f>BD195+IF(AND(BE105&gt;0,COUNTIF($Y105:BD105,BE105)=0),0,IF(SUMPRODUCT(MOD(INT(BE150/{2,4,8,16,32,64,128,256,512,1024,2048,4096,8192,16384,32768}),2)*(1-MOD(INT(($CJ15+BD195)/{2,4,8,16,32,64,128,256,512,1024,2048,4096,8192,16384,32768}),2))*{2,4,8,16,32,64,128,256,512,1024,2048,4096,8192,16384,32768})=0,0,2^SUMPRODUCT(--(MOD(SUMPRODUCT(MOD(INT(BE150/{2,4,8,16,32,64,128,256,512,1024,2048,4096,8192,16384,32768}),2)*(1-MOD(INT(($CJ15+BD195)/{2,4,8,16,32,64,128,256,512,1024,2048,4096,8192,16384,32768}),2))*{2,4,8,16,32,64,128,256,512,1024,2048,4096,8192,16384,32768}),{2,4,8,16,32,64,128,256,512,1024,2048,4096,8192,16384,32768})=0))))</f>
        <v/>
      </c>
      <c r="BF195">
        <f>BE195+IF(AND(BF105&gt;0,COUNTIF($Y105:BE105,BF105)=0),0,IF(SUMPRODUCT(MOD(INT(BF150/{2,4,8,16,32,64,128,256,512,1024,2048,4096,8192,16384,32768}),2)*(1-MOD(INT(($CJ15+BE195)/{2,4,8,16,32,64,128,256,512,1024,2048,4096,8192,16384,32768}),2))*{2,4,8,16,32,64,128,256,512,1024,2048,4096,8192,16384,32768})=0,0,2^SUMPRODUCT(--(MOD(SUMPRODUCT(MOD(INT(BF150/{2,4,8,16,32,64,128,256,512,1024,2048,4096,8192,16384,32768}),2)*(1-MOD(INT(($CJ15+BE195)/{2,4,8,16,32,64,128,256,512,1024,2048,4096,8192,16384,32768}),2))*{2,4,8,16,32,64,128,256,512,1024,2048,4096,8192,16384,32768}),{2,4,8,16,32,64,128,256,512,1024,2048,4096,8192,16384,32768})=0))))</f>
        <v/>
      </c>
      <c r="BG195">
        <f>BF195+IF(AND(BG105&gt;0,COUNTIF($Y105:BF105,BG105)=0),0,IF(SUMPRODUCT(MOD(INT(BG150/{2,4,8,16,32,64,128,256,512,1024,2048,4096,8192,16384,32768}),2)*(1-MOD(INT(($CJ15+BF195)/{2,4,8,16,32,64,128,256,512,1024,2048,4096,8192,16384,32768}),2))*{2,4,8,16,32,64,128,256,512,1024,2048,4096,8192,16384,32768})=0,0,2^SUMPRODUCT(--(MOD(SUMPRODUCT(MOD(INT(BG150/{2,4,8,16,32,64,128,256,512,1024,2048,4096,8192,16384,32768}),2)*(1-MOD(INT(($CJ15+BF195)/{2,4,8,16,32,64,128,256,512,1024,2048,4096,8192,16384,32768}),2))*{2,4,8,16,32,64,128,256,512,1024,2048,4096,8192,16384,32768}),{2,4,8,16,32,64,128,256,512,1024,2048,4096,8192,16384,32768})=0))))</f>
        <v/>
      </c>
      <c r="BH195">
        <f>BG195+IF(AND(BH105&gt;0,COUNTIF($Y105:BG105,BH105)=0),0,IF(SUMPRODUCT(MOD(INT(BH150/{2,4,8,16,32,64,128,256,512,1024,2048,4096,8192,16384,32768}),2)*(1-MOD(INT(($CJ15+BG195)/{2,4,8,16,32,64,128,256,512,1024,2048,4096,8192,16384,32768}),2))*{2,4,8,16,32,64,128,256,512,1024,2048,4096,8192,16384,32768})=0,0,2^SUMPRODUCT(--(MOD(SUMPRODUCT(MOD(INT(BH150/{2,4,8,16,32,64,128,256,512,1024,2048,4096,8192,16384,32768}),2)*(1-MOD(INT(($CJ15+BG195)/{2,4,8,16,32,64,128,256,512,1024,2048,4096,8192,16384,32768}),2))*{2,4,8,16,32,64,128,256,512,1024,2048,4096,8192,16384,32768}),{2,4,8,16,32,64,128,256,512,1024,2048,4096,8192,16384,32768})=0))))</f>
        <v/>
      </c>
      <c r="BI195">
        <f>BH195+IF(AND(BI105&gt;0,COUNTIF($Y105:BH105,BI105)=0),0,IF(SUMPRODUCT(MOD(INT(BI150/{2,4,8,16,32,64,128,256,512,1024,2048,4096,8192,16384,32768}),2)*(1-MOD(INT(($CJ15+BH195)/{2,4,8,16,32,64,128,256,512,1024,2048,4096,8192,16384,32768}),2))*{2,4,8,16,32,64,128,256,512,1024,2048,4096,8192,16384,32768})=0,0,2^SUMPRODUCT(--(MOD(SUMPRODUCT(MOD(INT(BI150/{2,4,8,16,32,64,128,256,512,1024,2048,4096,8192,16384,32768}),2)*(1-MOD(INT(($CJ15+BH195)/{2,4,8,16,32,64,128,256,512,1024,2048,4096,8192,16384,32768}),2))*{2,4,8,16,32,64,128,256,512,1024,2048,4096,8192,16384,32768}),{2,4,8,16,32,64,128,256,512,1024,2048,4096,8192,16384,32768})=0))))</f>
        <v/>
      </c>
      <c r="BJ195">
        <f>BI195+IF(AND(BJ105&gt;0,COUNTIF($Y105:BI105,BJ105)=0),0,IF(SUMPRODUCT(MOD(INT(BJ150/{2,4,8,16,32,64,128,256,512,1024,2048,4096,8192,16384,32768}),2)*(1-MOD(INT(($CJ15+BI195)/{2,4,8,16,32,64,128,256,512,1024,2048,4096,8192,16384,32768}),2))*{2,4,8,16,32,64,128,256,512,1024,2048,4096,8192,16384,32768})=0,0,2^SUMPRODUCT(--(MOD(SUMPRODUCT(MOD(INT(BJ150/{2,4,8,16,32,64,128,256,512,1024,2048,4096,8192,16384,32768}),2)*(1-MOD(INT(($CJ15+BI195)/{2,4,8,16,32,64,128,256,512,1024,2048,4096,8192,16384,32768}),2))*{2,4,8,16,32,64,128,256,512,1024,2048,4096,8192,16384,32768}),{2,4,8,16,32,64,128,256,512,1024,2048,4096,8192,16384,32768})=0))))</f>
        <v/>
      </c>
      <c r="BK195">
        <f>BJ195+IF(AND(BK105&gt;0,COUNTIF($Y105:BJ105,BK105)=0),0,IF(SUMPRODUCT(MOD(INT(BK150/{2,4,8,16,32,64,128,256,512,1024,2048,4096,8192,16384,32768}),2)*(1-MOD(INT(($CJ15+BJ195)/{2,4,8,16,32,64,128,256,512,1024,2048,4096,8192,16384,32768}),2))*{2,4,8,16,32,64,128,256,512,1024,2048,4096,8192,16384,32768})=0,0,2^SUMPRODUCT(--(MOD(SUMPRODUCT(MOD(INT(BK150/{2,4,8,16,32,64,128,256,512,1024,2048,4096,8192,16384,32768}),2)*(1-MOD(INT(($CJ15+BJ195)/{2,4,8,16,32,64,128,256,512,1024,2048,4096,8192,16384,32768}),2))*{2,4,8,16,32,64,128,256,512,1024,2048,4096,8192,16384,32768}),{2,4,8,16,32,64,128,256,512,1024,2048,4096,8192,16384,32768})=0))))</f>
        <v/>
      </c>
      <c r="BL195">
        <f>BK195+IF(AND(BL105&gt;0,COUNTIF($Y105:BK105,BL105)=0),0,IF(SUMPRODUCT(MOD(INT(BL150/{2,4,8,16,32,64,128,256,512,1024,2048,4096,8192,16384,32768}),2)*(1-MOD(INT(($CJ15+BK195)/{2,4,8,16,32,64,128,256,512,1024,2048,4096,8192,16384,32768}),2))*{2,4,8,16,32,64,128,256,512,1024,2048,4096,8192,16384,32768})=0,0,2^SUMPRODUCT(--(MOD(SUMPRODUCT(MOD(INT(BL150/{2,4,8,16,32,64,128,256,512,1024,2048,4096,8192,16384,32768}),2)*(1-MOD(INT(($CJ15+BK195)/{2,4,8,16,32,64,128,256,512,1024,2048,4096,8192,16384,32768}),2))*{2,4,8,16,32,64,128,256,512,1024,2048,4096,8192,16384,32768}),{2,4,8,16,32,64,128,256,512,1024,2048,4096,8192,16384,32768})=0))))</f>
        <v/>
      </c>
      <c r="BM195">
        <f>BL195+IF(AND(BM105&gt;0,COUNTIF($Y105:BL105,BM105)=0),0,IF(SUMPRODUCT(MOD(INT(BM150/{2,4,8,16,32,64,128,256,512,1024,2048,4096,8192,16384,32768}),2)*(1-MOD(INT(($CJ15+BL195)/{2,4,8,16,32,64,128,256,512,1024,2048,4096,8192,16384,32768}),2))*{2,4,8,16,32,64,128,256,512,1024,2048,4096,8192,16384,32768})=0,0,2^SUMPRODUCT(--(MOD(SUMPRODUCT(MOD(INT(BM150/{2,4,8,16,32,64,128,256,512,1024,2048,4096,8192,16384,32768}),2)*(1-MOD(INT(($CJ15+BL195)/{2,4,8,16,32,64,128,256,512,1024,2048,4096,8192,16384,32768}),2))*{2,4,8,16,32,64,128,256,512,1024,2048,4096,8192,16384,32768}),{2,4,8,16,32,64,128,256,512,1024,2048,4096,8192,16384,32768})=0))))</f>
        <v/>
      </c>
      <c r="BN195">
        <f>BM195+IF(AND(BN105&gt;0,COUNTIF($Y105:BM105,BN105)=0),0,IF(SUMPRODUCT(MOD(INT(BN150/{2,4,8,16,32,64,128,256,512,1024,2048,4096,8192,16384,32768}),2)*(1-MOD(INT(($CJ15+BM195)/{2,4,8,16,32,64,128,256,512,1024,2048,4096,8192,16384,32768}),2))*{2,4,8,16,32,64,128,256,512,1024,2048,4096,8192,16384,32768})=0,0,2^SUMPRODUCT(--(MOD(SUMPRODUCT(MOD(INT(BN150/{2,4,8,16,32,64,128,256,512,1024,2048,4096,8192,16384,32768}),2)*(1-MOD(INT(($CJ15+BM195)/{2,4,8,16,32,64,128,256,512,1024,2048,4096,8192,16384,32768}),2))*{2,4,8,16,32,64,128,256,512,1024,2048,4096,8192,16384,32768}),{2,4,8,16,32,64,128,256,512,1024,2048,4096,8192,16384,32768})=0))))</f>
        <v/>
      </c>
      <c r="BO195">
        <f>BN195+IF(AND(BO105&gt;0,COUNTIF($Y105:BN105,BO105)=0),0,IF(SUMPRODUCT(MOD(INT(BO150/{2,4,8,16,32,64,128,256,512,1024,2048,4096,8192,16384,32768}),2)*(1-MOD(INT(($CJ15+BN195)/{2,4,8,16,32,64,128,256,512,1024,2048,4096,8192,16384,32768}),2))*{2,4,8,16,32,64,128,256,512,1024,2048,4096,8192,16384,32768})=0,0,2^SUMPRODUCT(--(MOD(SUMPRODUCT(MOD(INT(BO150/{2,4,8,16,32,64,128,256,512,1024,2048,4096,8192,16384,32768}),2)*(1-MOD(INT(($CJ15+BN195)/{2,4,8,16,32,64,128,256,512,1024,2048,4096,8192,16384,32768}),2))*{2,4,8,16,32,64,128,256,512,1024,2048,4096,8192,16384,32768}),{2,4,8,16,32,64,128,256,512,1024,2048,4096,8192,16384,32768})=0))))</f>
        <v/>
      </c>
      <c r="BP195">
        <f>BO195+IF(AND(BP105&gt;0,COUNTIF($Y105:BO105,BP105)=0),0,IF(SUMPRODUCT(MOD(INT(BP150/{2,4,8,16,32,64,128,256,512,1024,2048,4096,8192,16384,32768}),2)*(1-MOD(INT(($CJ15+BO195)/{2,4,8,16,32,64,128,256,512,1024,2048,4096,8192,16384,32768}),2))*{2,4,8,16,32,64,128,256,512,1024,2048,4096,8192,16384,32768})=0,0,2^SUMPRODUCT(--(MOD(SUMPRODUCT(MOD(INT(BP150/{2,4,8,16,32,64,128,256,512,1024,2048,4096,8192,16384,32768}),2)*(1-MOD(INT(($CJ15+BO195)/{2,4,8,16,32,64,128,256,512,1024,2048,4096,8192,16384,32768}),2))*{2,4,8,16,32,64,128,256,512,1024,2048,4096,8192,16384,32768}),{2,4,8,16,32,64,128,256,512,1024,2048,4096,8192,16384,32768})=0))))</f>
        <v/>
      </c>
      <c r="BQ195">
        <f>BP195+IF(AND(BQ105&gt;0,COUNTIF($Y105:BP105,BQ105)=0),0,IF(SUMPRODUCT(MOD(INT(BQ150/{2,4,8,16,32,64,128,256,512,1024,2048,4096,8192,16384,32768}),2)*(1-MOD(INT(($CJ15+BP195)/{2,4,8,16,32,64,128,256,512,1024,2048,4096,8192,16384,32768}),2))*{2,4,8,16,32,64,128,256,512,1024,2048,4096,8192,16384,32768})=0,0,2^SUMPRODUCT(--(MOD(SUMPRODUCT(MOD(INT(BQ150/{2,4,8,16,32,64,128,256,512,1024,2048,4096,8192,16384,32768}),2)*(1-MOD(INT(($CJ15+BP195)/{2,4,8,16,32,64,128,256,512,1024,2048,4096,8192,16384,32768}),2))*{2,4,8,16,32,64,128,256,512,1024,2048,4096,8192,16384,32768}),{2,4,8,16,32,64,128,256,512,1024,2048,4096,8192,16384,32768})=0))))</f>
        <v/>
      </c>
      <c r="BR195">
        <f>BQ195+IF(AND(BR105&gt;0,COUNTIF($Y105:BQ105,BR105)=0),0,IF(SUMPRODUCT(MOD(INT(BR150/{2,4,8,16,32,64,128,256,512,1024,2048,4096,8192,16384,32768}),2)*(1-MOD(INT(($CJ15+BQ195)/{2,4,8,16,32,64,128,256,512,1024,2048,4096,8192,16384,32768}),2))*{2,4,8,16,32,64,128,256,512,1024,2048,4096,8192,16384,32768})=0,0,2^SUMPRODUCT(--(MOD(SUMPRODUCT(MOD(INT(BR150/{2,4,8,16,32,64,128,256,512,1024,2048,4096,8192,16384,32768}),2)*(1-MOD(INT(($CJ15+BQ195)/{2,4,8,16,32,64,128,256,512,1024,2048,4096,8192,16384,32768}),2))*{2,4,8,16,32,64,128,256,512,1024,2048,4096,8192,16384,32768}),{2,4,8,16,32,64,128,256,512,1024,2048,4096,8192,16384,32768})=0))))</f>
        <v/>
      </c>
      <c r="BS195">
        <f>BR195+IF(AND(BS105&gt;0,COUNTIF($Y105:BR105,BS105)=0),0,IF(SUMPRODUCT(MOD(INT(BS150/{2,4,8,16,32,64,128,256,512,1024,2048,4096,8192,16384,32768}),2)*(1-MOD(INT(($CJ15+BR195)/{2,4,8,16,32,64,128,256,512,1024,2048,4096,8192,16384,32768}),2))*{2,4,8,16,32,64,128,256,512,1024,2048,4096,8192,16384,32768})=0,0,2^SUMPRODUCT(--(MOD(SUMPRODUCT(MOD(INT(BS150/{2,4,8,16,32,64,128,256,512,1024,2048,4096,8192,16384,32768}),2)*(1-MOD(INT(($CJ15+BR195)/{2,4,8,16,32,64,128,256,512,1024,2048,4096,8192,16384,32768}),2))*{2,4,8,16,32,64,128,256,512,1024,2048,4096,8192,16384,32768}),{2,4,8,16,32,64,128,256,512,1024,2048,4096,8192,16384,32768})=0))))</f>
        <v/>
      </c>
      <c r="BT195">
        <f>BS195+IF(AND(BT105&gt;0,COUNTIF($Y105:BS105,BT105)=0),0,IF(SUMPRODUCT(MOD(INT(BT150/{2,4,8,16,32,64,128,256,512,1024,2048,4096,8192,16384,32768}),2)*(1-MOD(INT(($CJ15+BS195)/{2,4,8,16,32,64,128,256,512,1024,2048,4096,8192,16384,32768}),2))*{2,4,8,16,32,64,128,256,512,1024,2048,4096,8192,16384,32768})=0,0,2^SUMPRODUCT(--(MOD(SUMPRODUCT(MOD(INT(BT150/{2,4,8,16,32,64,128,256,512,1024,2048,4096,8192,16384,32768}),2)*(1-MOD(INT(($CJ15+BS195)/{2,4,8,16,32,64,128,256,512,1024,2048,4096,8192,16384,32768}),2))*{2,4,8,16,32,64,128,256,512,1024,2048,4096,8192,16384,32768}),{2,4,8,16,32,64,128,256,512,1024,2048,4096,8192,16384,32768})=0))))</f>
        <v/>
      </c>
      <c r="BU195">
        <f>BT195+IF(AND(BU105&gt;0,COUNTIF($Y105:BT105,BU105)=0),0,IF(SUMPRODUCT(MOD(INT(BU150/{2,4,8,16,32,64,128,256,512,1024,2048,4096,8192,16384,32768}),2)*(1-MOD(INT(($CJ15+BT195)/{2,4,8,16,32,64,128,256,512,1024,2048,4096,8192,16384,32768}),2))*{2,4,8,16,32,64,128,256,512,1024,2048,4096,8192,16384,32768})=0,0,2^SUMPRODUCT(--(MOD(SUMPRODUCT(MOD(INT(BU150/{2,4,8,16,32,64,128,256,512,1024,2048,4096,8192,16384,32768}),2)*(1-MOD(INT(($CJ15+BT195)/{2,4,8,16,32,64,128,256,512,1024,2048,4096,8192,16384,32768}),2))*{2,4,8,16,32,64,128,256,512,1024,2048,4096,8192,16384,32768}),{2,4,8,16,32,64,128,256,512,1024,2048,4096,8192,16384,32768})=0))))</f>
        <v/>
      </c>
      <c r="BV195">
        <f>BU195+IF(AND(BV105&gt;0,COUNTIF($Y105:BU105,BV105)=0),0,IF(SUMPRODUCT(MOD(INT(BV150/{2,4,8,16,32,64,128,256,512,1024,2048,4096,8192,16384,32768}),2)*(1-MOD(INT(($CJ15+BU195)/{2,4,8,16,32,64,128,256,512,1024,2048,4096,8192,16384,32768}),2))*{2,4,8,16,32,64,128,256,512,1024,2048,4096,8192,16384,32768})=0,0,2^SUMPRODUCT(--(MOD(SUMPRODUCT(MOD(INT(BV150/{2,4,8,16,32,64,128,256,512,1024,2048,4096,8192,16384,32768}),2)*(1-MOD(INT(($CJ15+BU195)/{2,4,8,16,32,64,128,256,512,1024,2048,4096,8192,16384,32768}),2))*{2,4,8,16,32,64,128,256,512,1024,2048,4096,8192,16384,32768}),{2,4,8,16,32,64,128,256,512,1024,2048,4096,8192,16384,32768})=0))))</f>
        <v/>
      </c>
      <c r="BW195">
        <f>BV195+IF(AND(BW105&gt;0,COUNTIF($Y105:BV105,BW105)=0),0,IF(SUMPRODUCT(MOD(INT(BW150/{2,4,8,16,32,64,128,256,512,1024,2048,4096,8192,16384,32768}),2)*(1-MOD(INT(($CJ15+BV195)/{2,4,8,16,32,64,128,256,512,1024,2048,4096,8192,16384,32768}),2))*{2,4,8,16,32,64,128,256,512,1024,2048,4096,8192,16384,32768})=0,0,2^SUMPRODUCT(--(MOD(SUMPRODUCT(MOD(INT(BW150/{2,4,8,16,32,64,128,256,512,1024,2048,4096,8192,16384,32768}),2)*(1-MOD(INT(($CJ15+BV195)/{2,4,8,16,32,64,128,256,512,1024,2048,4096,8192,16384,32768}),2))*{2,4,8,16,32,64,128,256,512,1024,2048,4096,8192,16384,32768}),{2,4,8,16,32,64,128,256,512,1024,2048,4096,8192,16384,32768})=0))))</f>
        <v/>
      </c>
      <c r="BX195">
        <f>BW195+IF(AND(BX105&gt;0,COUNTIF($Y105:BW105,BX105)=0),0,IF(SUMPRODUCT(MOD(INT(BX150/{2,4,8,16,32,64,128,256,512,1024,2048,4096,8192,16384,32768}),2)*(1-MOD(INT(($CJ15+BW195)/{2,4,8,16,32,64,128,256,512,1024,2048,4096,8192,16384,32768}),2))*{2,4,8,16,32,64,128,256,512,1024,2048,4096,8192,16384,32768})=0,0,2^SUMPRODUCT(--(MOD(SUMPRODUCT(MOD(INT(BX150/{2,4,8,16,32,64,128,256,512,1024,2048,4096,8192,16384,32768}),2)*(1-MOD(INT(($CJ15+BW195)/{2,4,8,16,32,64,128,256,512,1024,2048,4096,8192,16384,32768}),2))*{2,4,8,16,32,64,128,256,512,1024,2048,4096,8192,16384,32768}),{2,4,8,16,32,64,128,256,512,1024,2048,4096,8192,16384,32768})=0))))</f>
        <v/>
      </c>
      <c r="BY195">
        <f>BX195+IF(AND(BY105&gt;0,COUNTIF($Y105:BX105,BY105)=0),0,IF(SUMPRODUCT(MOD(INT(BY150/{2,4,8,16,32,64,128,256,512,1024,2048,4096,8192,16384,32768}),2)*(1-MOD(INT(($CJ15+BX195)/{2,4,8,16,32,64,128,256,512,1024,2048,4096,8192,16384,32768}),2))*{2,4,8,16,32,64,128,256,512,1024,2048,4096,8192,16384,32768})=0,0,2^SUMPRODUCT(--(MOD(SUMPRODUCT(MOD(INT(BY150/{2,4,8,16,32,64,128,256,512,1024,2048,4096,8192,16384,32768}),2)*(1-MOD(INT(($CJ15+BX195)/{2,4,8,16,32,64,128,256,512,1024,2048,4096,8192,16384,32768}),2))*{2,4,8,16,32,64,128,256,512,1024,2048,4096,8192,16384,32768}),{2,4,8,16,32,64,128,256,512,1024,2048,4096,8192,16384,32768})=0))))</f>
        <v/>
      </c>
      <c r="BZ195">
        <f>BY195+IF(AND(BZ105&gt;0,COUNTIF($Y105:BY105,BZ105)=0),0,IF(SUMPRODUCT(MOD(INT(BZ150/{2,4,8,16,32,64,128,256,512,1024,2048,4096,8192,16384,32768}),2)*(1-MOD(INT(($CJ15+BY195)/{2,4,8,16,32,64,128,256,512,1024,2048,4096,8192,16384,32768}),2))*{2,4,8,16,32,64,128,256,512,1024,2048,4096,8192,16384,32768})=0,0,2^SUMPRODUCT(--(MOD(SUMPRODUCT(MOD(INT(BZ150/{2,4,8,16,32,64,128,256,512,1024,2048,4096,8192,16384,32768}),2)*(1-MOD(INT(($CJ15+BY195)/{2,4,8,16,32,64,128,256,512,1024,2048,4096,8192,16384,32768}),2))*{2,4,8,16,32,64,128,256,512,1024,2048,4096,8192,16384,32768}),{2,4,8,16,32,64,128,256,512,1024,2048,4096,8192,16384,32768})=0))))</f>
        <v/>
      </c>
      <c r="CA195">
        <f>BZ195+IF(AND(CA105&gt;0,COUNTIF($Y105:BZ105,CA105)=0),0,IF(SUMPRODUCT(MOD(INT(CA150/{2,4,8,16,32,64,128,256,512,1024,2048,4096,8192,16384,32768}),2)*(1-MOD(INT(($CJ15+BZ195)/{2,4,8,16,32,64,128,256,512,1024,2048,4096,8192,16384,32768}),2))*{2,4,8,16,32,64,128,256,512,1024,2048,4096,8192,16384,32768})=0,0,2^SUMPRODUCT(--(MOD(SUMPRODUCT(MOD(INT(CA150/{2,4,8,16,32,64,128,256,512,1024,2048,4096,8192,16384,32768}),2)*(1-MOD(INT(($CJ15+BZ195)/{2,4,8,16,32,64,128,256,512,1024,2048,4096,8192,16384,32768}),2))*{2,4,8,16,32,64,128,256,512,1024,2048,4096,8192,16384,32768}),{2,4,8,16,32,64,128,256,512,1024,2048,4096,8192,16384,32768})=0))))</f>
        <v/>
      </c>
      <c r="CB195">
        <f>CA195+IF(AND(CB105&gt;0,COUNTIF($Y105:CA105,CB105)=0),0,IF(SUMPRODUCT(MOD(INT(CB150/{2,4,8,16,32,64,128,256,512,1024,2048,4096,8192,16384,32768}),2)*(1-MOD(INT(($CJ15+CA195)/{2,4,8,16,32,64,128,256,512,1024,2048,4096,8192,16384,32768}),2))*{2,4,8,16,32,64,128,256,512,1024,2048,4096,8192,16384,32768})=0,0,2^SUMPRODUCT(--(MOD(SUMPRODUCT(MOD(INT(CB150/{2,4,8,16,32,64,128,256,512,1024,2048,4096,8192,16384,32768}),2)*(1-MOD(INT(($CJ15+CA195)/{2,4,8,16,32,64,128,256,512,1024,2048,4096,8192,16384,32768}),2))*{2,4,8,16,32,64,128,256,512,1024,2048,4096,8192,16384,32768}),{2,4,8,16,32,64,128,256,512,1024,2048,4096,8192,16384,32768})=0))))</f>
        <v/>
      </c>
      <c r="CC195">
        <f>CB195+IF(AND(CC105&gt;0,COUNTIF($Y105:CB105,CC105)=0),0,IF(SUMPRODUCT(MOD(INT(CC150/{2,4,8,16,32,64,128,256,512,1024,2048,4096,8192,16384,32768}),2)*(1-MOD(INT(($CJ15+CB195)/{2,4,8,16,32,64,128,256,512,1024,2048,4096,8192,16384,32768}),2))*{2,4,8,16,32,64,128,256,512,1024,2048,4096,8192,16384,32768})=0,0,2^SUMPRODUCT(--(MOD(SUMPRODUCT(MOD(INT(CC150/{2,4,8,16,32,64,128,256,512,1024,2048,4096,8192,16384,32768}),2)*(1-MOD(INT(($CJ15+CB195)/{2,4,8,16,32,64,128,256,512,1024,2048,4096,8192,16384,32768}),2))*{2,4,8,16,32,64,128,256,512,1024,2048,4096,8192,16384,32768}),{2,4,8,16,32,64,128,256,512,1024,2048,4096,8192,16384,32768})=0))))</f>
        <v/>
      </c>
      <c r="CD195">
        <f>CC195+IF(AND(CD105&gt;0,COUNTIF($Y105:CC105,CD105)=0),0,IF(SUMPRODUCT(MOD(INT(CD150/{2,4,8,16,32,64,128,256,512,1024,2048,4096,8192,16384,32768}),2)*(1-MOD(INT(($CJ15+CC195)/{2,4,8,16,32,64,128,256,512,1024,2048,4096,8192,16384,32768}),2))*{2,4,8,16,32,64,128,256,512,1024,2048,4096,8192,16384,32768})=0,0,2^SUMPRODUCT(--(MOD(SUMPRODUCT(MOD(INT(CD150/{2,4,8,16,32,64,128,256,512,1024,2048,4096,8192,16384,32768}),2)*(1-MOD(INT(($CJ15+CC195)/{2,4,8,16,32,64,128,256,512,1024,2048,4096,8192,16384,32768}),2))*{2,4,8,16,32,64,128,256,512,1024,2048,4096,8192,16384,32768}),{2,4,8,16,32,64,128,256,512,1024,2048,4096,8192,16384,32768})=0))))</f>
        <v/>
      </c>
      <c r="CE195">
        <f>CD195+IF(AND(CE105&gt;0,COUNTIF($Y105:CD105,CE105)=0),0,IF(SUMPRODUCT(MOD(INT(CE150/{2,4,8,16,32,64,128,256,512,1024,2048,4096,8192,16384,32768}),2)*(1-MOD(INT(($CJ15+CD195)/{2,4,8,16,32,64,128,256,512,1024,2048,4096,8192,16384,32768}),2))*{2,4,8,16,32,64,128,256,512,1024,2048,4096,8192,16384,32768})=0,0,2^SUMPRODUCT(--(MOD(SUMPRODUCT(MOD(INT(CE150/{2,4,8,16,32,64,128,256,512,1024,2048,4096,8192,16384,32768}),2)*(1-MOD(INT(($CJ15+CD195)/{2,4,8,16,32,64,128,256,512,1024,2048,4096,8192,16384,32768}),2))*{2,4,8,16,32,64,128,256,512,1024,2048,4096,8192,16384,32768}),{2,4,8,16,32,64,128,256,512,1024,2048,4096,8192,16384,32768})=0))))</f>
        <v/>
      </c>
      <c r="CF195">
        <f>CE195+IF(AND(CF105&gt;0,COUNTIF($Y105:CE105,CF105)=0),0,IF(SUMPRODUCT(MOD(INT(CF150/{2,4,8,16,32,64,128,256,512,1024,2048,4096,8192,16384,32768}),2)*(1-MOD(INT(($CJ15+CE195)/{2,4,8,16,32,64,128,256,512,1024,2048,4096,8192,16384,32768}),2))*{2,4,8,16,32,64,128,256,512,1024,2048,4096,8192,16384,32768})=0,0,2^SUMPRODUCT(--(MOD(SUMPRODUCT(MOD(INT(CF150/{2,4,8,16,32,64,128,256,512,1024,2048,4096,8192,16384,32768}),2)*(1-MOD(INT(($CJ15+CE195)/{2,4,8,16,32,64,128,256,512,1024,2048,4096,8192,16384,32768}),2))*{2,4,8,16,32,64,128,256,512,1024,2048,4096,8192,16384,32768}),{2,4,8,16,32,64,128,256,512,1024,2048,4096,8192,16384,32768})=0))))</f>
        <v/>
      </c>
      <c r="DA195" t="n">
        <v>191</v>
      </c>
      <c r="DB195">
        <f>IF($B$37=0,"",IFERROR(TRIM(SUBSTITUTE(SUBSTITUTE(SUBSTITUTE(SUBSTITUTE(INDEX(PASTE_ALL,191,$B$37)," "," "),CHAR(9)," "),CHAR(10)," "),CHAR(13)," ")),""))</f>
        <v/>
      </c>
      <c r="DC195">
        <f>IF(AND(191&gt;HEADER_ROW,UPPER(DB195)="LEGEND"),1,0)</f>
        <v/>
      </c>
      <c r="DE195" t="n">
        <v>191</v>
      </c>
      <c r="DF195">
        <f>HEADER_ROW+$DE195</f>
        <v/>
      </c>
      <c r="DG195">
        <f>IF(AND($DF195&lt;=1000,$DF195&lt;$B$8),1,0)</f>
        <v/>
      </c>
      <c r="DH195">
        <f>IF($DG195=1,IFERROR(INDEX($DB$5:$DB$1004,$DF195),""),"")</f>
        <v/>
      </c>
      <c r="DI195">
        <f>IF(AND($DG195=1,$DH195&lt;&gt;""),IFERROR(SUBSTITUTE(SUBSTITUTE(TRIM(SUBSTITUTE(SUBSTITUTE(SUBSTITUTE(SUBSTITUTE(IFERROR(INDEX(PASTE_ALL,$DF195,1)&amp;"","")&amp;"␟"&amp;IFERROR(INDEX(PASTE_ALL,$DF195,2)&amp;"","")&amp;"␟"&amp;IFERROR(INDEX(PASTE_ALL,$DF195,3)&amp;"","")&amp;"␟"&amp;IFERROR(INDEX(PASTE_ALL,$DF195,4)&amp;"","")&amp;"␟"&amp;IFERROR(INDEX(PASTE_ALL,$DF195,5)&amp;"","")&amp;"␟"&amp;IFERROR(INDEX(PASTE_ALL,$DF195,6)&amp;"","")&amp;"␟"&amp;IFERROR(INDEX(PASTE_ALL,$DF195,7)&amp;"","")&amp;"␟"&amp;IFERROR(INDEX(PASTE_ALL,$DF195,8)&amp;"","")&amp;"␟"&amp;IFERROR(INDEX(PASTE_ALL,$DF195,9)&amp;"","")&amp;"␟"&amp;IFERROR(INDEX(PASTE_ALL,$DF195,10)&amp;"","")&amp;"␟"&amp;IFERROR(INDEX(PASTE_ALL,$DF195,11)&amp;"","")&amp;"␟"&amp;IFERROR(INDEX(PASTE_ALL,$DF195,12)&amp;"","")&amp;"␟"&amp;IFERROR(INDEX(PASTE_ALL,$DF195,13)&amp;"","")&amp;"␟"&amp;IFERROR(INDEX(PASTE_ALL,$DF195,14)&amp;"","")&amp;"␟"&amp;IFERROR(INDEX(PASTE_ALL,$DF195,15)&amp;"","")&amp;"␟"&amp;IFERROR(INDEX(PASTE_ALL,$DF195,16)&amp;"","")&amp;"␟"&amp;IFERROR(INDEX(PASTE_ALL,$DF195,17)&amp;"","")&amp;"␟"&amp;IFERROR(INDEX(PASTE_ALL,$DF195,18)&amp;"","")&amp;"␟"&amp;IFERROR(INDEX(PASTE_ALL,$DF195,19)&amp;"","")&amp;"␟"&amp;IFERROR(INDEX(PASTE_ALL,$DF195,20)&amp;"","")&amp;"␟"&amp;IFERROR(INDEX(PASTE_ALL,$DF195,21)&amp;"","")&amp;"␟"&amp;IFERROR(INDEX(PASTE_ALL,$DF195,22)&amp;"","")&amp;"␟"&amp;IFERROR(INDEX(PASTE_ALL,$DF195,23)&amp;"","")&amp;"␟"&amp;IFERROR(INDEX(PASTE_ALL,$DF195,24)&amp;"","")&amp;"␟"&amp;IFERROR(INDEX(PASTE_ALL,$DF195,25)&amp;"","")&amp;"␟"&amp;IFERROR(INDEX(PASTE_ALL,$DF195,26)&amp;"","")&amp;"␟"&amp;IFERROR(INDEX(PASTE_ALL,$DF195,27)&amp;"","")&amp;"␟"&amp;IFERROR(INDEX(PASTE_ALL,$DF195,28)&amp;"","")&amp;"␟"&amp;IFERROR(INDEX(PASTE_ALL,$DF195,29)&amp;"","")&amp;"␟"&amp;IFERROR(INDEX(PASTE_ALL,$DF195,30)&amp;"","")&amp;"␟"&amp;IFERROR(INDEX(PASTE_ALL,$DF195,31)&amp;"","")&amp;"␟"&amp;IFERROR(INDEX(PASTE_ALL,$DF195,32)&amp;"","")&amp;"␟"&amp;IFERROR(INDEX(PASTE_ALL,$DF195,33)&amp;"","")&amp;"␟"&amp;IFERROR(INDEX(PASTE_ALL,$DF195,34)&amp;"","")&amp;"␟"&amp;IFERROR(INDEX(PASTE_ALL,$DF195,35)&amp;"","")&amp;"␟"&amp;IFERROR(INDEX(PASTE_ALL,$DF195,36)&amp;"","")&amp;"␟"&amp;IFERROR(INDEX(PASTE_ALL,$DF195,37)&amp;"","")&amp;"␟"&amp;IFERROR(INDEX(PASTE_ALL,$DF195,38)&amp;"","")&amp;"␟"&amp;IFERROR(INDEX(PASTE_ALL,$DF195,39)&amp;"","")&amp;"␟"&amp;IFERROR(INDEX(PASTE_ALL,$DF195,40)&amp;"","")&amp;"␟"&amp;IFERROR(INDEX(PASTE_ALL,$DF195,41)&amp;"","")&amp;"␟"&amp;IFERROR(INDEX(PASTE_ALL,$DF195,42)&amp;"","")&amp;"␟"&amp;IFERROR(INDEX(PASTE_ALL,$DF195,43)&amp;"","")&amp;"␟"&amp;IFERROR(INDEX(PASTE_ALL,$DF195,44)&amp;"","")&amp;"␟"&amp;IFERROR(INDEX(PASTE_ALL,$DF195,45)&amp;"","")&amp;"␟"&amp;IFERROR(INDEX(PASTE_ALL,$DF195,46)&amp;"","")&amp;"␟"&amp;IFERROR(INDEX(PASTE_ALL,$DF195,47)&amp;"","")&amp;"␟"&amp;IFERROR(INDEX(PASTE_ALL,$DF195,48)&amp;"","")&amp;"␟"&amp;IFERROR(INDEX(PASTE_ALL,$DF195,49)&amp;"","")&amp;"␟"&amp;IFERROR(INDEX(PASTE_ALL,$DF195,50)&amp;"","")&amp;"␟"&amp;IFERROR(INDEX(PASTE_ALL,$DF195,51)&amp;"","")&amp;"␟"&amp;IFERROR(INDEX(PASTE_ALL,$DF195,52)&amp;"","")&amp;"␟"&amp;IFERROR(INDEX(PASTE_ALL,$DF195,53)&amp;"","")&amp;"␟"&amp;IFERROR(INDEX(PASTE_ALL,$DF195,54)&amp;"","")&amp;"␟"&amp;IFERROR(INDEX(PASTE_ALL,$DF195,55)&amp;"","")&amp;"␟"&amp;IFERROR(INDEX(PASTE_ALL,$DF195,56)&amp;"","")&amp;"␟"&amp;IFERROR(INDEX(PASTE_ALL,$DF195,57)&amp;"","")&amp;"␟"&amp;IFERROR(INDEX(PASTE_ALL,$DF195,58)&amp;"","")&amp;"␟"&amp;IFERROR(INDEX(PASTE_ALL,$DF195,59)&amp;"","")&amp;"␟"&amp;IFERROR(INDEX(PASTE_ALL,$DF195,60)&amp;"","")," "," "),CHAR(9)," "),CHAR(10)," "),CHAR(13)," "))," ␟","␟"),"␟ ","␟"),"#"&amp;$DE195),"")</f>
        <v/>
      </c>
      <c r="DJ195">
        <f>IF($DI195="",0,IF(SUMPRODUCT(--EXACT($DI$4:DI194,$DI195))&gt;0,1,0))</f>
        <v/>
      </c>
      <c r="DK195">
        <f>IF(AND($DI195&lt;&gt;"",$DJ195=0),1,0)</f>
        <v/>
      </c>
      <c r="DL195">
        <f>DL194+$DK195</f>
        <v/>
      </c>
      <c r="DM195">
        <f>IF(AND($DK195=1,$DL195&lt;=600),1,0)</f>
        <v/>
      </c>
      <c r="DN195">
        <f>IF($DM195=0,"",IF($L$6=0,"",IFERROR(IF(ISNUMBER(INDEX(PASTE_ALL,$DF195,$L$6)),INDEX(PASTE_ALL,$DF195,$L$6),TRIM(SUBSTITUTE(SUBSTITUTE(SUBSTITUTE(SUBSTITUTE(INDEX(PASTE_ALL,$DF195,$L$6)," "," "),CHAR(9)," "),CHAR(10)," "),CHAR(13)," "))),"")))</f>
        <v/>
      </c>
      <c r="DO195">
        <f>IF($DM195=0,"",IF($L$7=0,"",IFERROR(IF(ISNUMBER(INDEX(PASTE_ALL,$DF195,$L$7)),INDEX(PASTE_ALL,$DF195,$L$7),TRIM(SUBSTITUTE(SUBSTITUTE(SUBSTITUTE(SUBSTITUTE(INDEX(PASTE_ALL,$DF195,$L$7)," "," "),CHAR(9)," "),CHAR(10)," "),CHAR(13)," "))),"")))</f>
        <v/>
      </c>
      <c r="DP195">
        <f>IF($DM195=0,"",IF($L$8=0,"",IFERROR(IF(ISNUMBER(INDEX(PASTE_ALL,$DF195,$L$8)),INDEX(PASTE_ALL,$DF195,$L$8),TRIM(SUBSTITUTE(SUBSTITUTE(SUBSTITUTE(SUBSTITUTE(INDEX(PASTE_ALL,$DF195,$L$8)," "," "),CHAR(9)," "),CHAR(10)," "),CHAR(13)," "))),"")))</f>
        <v/>
      </c>
      <c r="DQ195">
        <f>IF($DM195=0,"",IF($L$9=0,"",IFERROR(IF(ISNUMBER(INDEX(PASTE_ALL,$DF195,$L$9)),INDEX(PASTE_ALL,$DF195,$L$9),TRIM(SUBSTITUTE(SUBSTITUTE(SUBSTITUTE(SUBSTITUTE(INDEX(PASTE_ALL,$DF195,$L$9)," "," "),CHAR(9)," "),CHAR(10)," "),CHAR(13)," "))),"")))</f>
        <v/>
      </c>
      <c r="DR195">
        <f>IF($DM195=0,"",IF($L$10=0,"",IFERROR(IF(ISNUMBER(INDEX(PASTE_ALL,$DF195,$L$10)),INDEX(PASTE_ALL,$DF195,$L$10),TRIM(SUBSTITUTE(SUBSTITUTE(SUBSTITUTE(SUBSTITUTE(INDEX(PASTE_ALL,$DF195,$L$10)," "," "),CHAR(9)," "),CHAR(10)," "),CHAR(13)," "))),"")))</f>
        <v/>
      </c>
      <c r="DS195">
        <f>IF($DM195=0,"",IF($L$11=0,"",IFERROR(IF(ISNUMBER(INDEX(PASTE_ALL,$DF195,$L$11)),INDEX(PASTE_ALL,$DF195,$L$11),TRIM(SUBSTITUTE(SUBSTITUTE(SUBSTITUTE(SUBSTITUTE(INDEX(PASTE_ALL,$DF195,$L$11)," "," "),CHAR(9)," "),CHAR(10)," "),CHAR(13)," "))),"")))</f>
        <v/>
      </c>
      <c r="DT195">
        <f>IF($DM195=0,"",IF($L$12=0,"",IFERROR(IF(ISNUMBER(INDEX(PASTE_ALL,$DF195,$L$12)),INDEX(PASTE_ALL,$DF195,$L$12),TRIM(SUBSTITUTE(SUBSTITUTE(SUBSTITUTE(SUBSTITUTE(INDEX(PASTE_ALL,$DF195,$L$12)," "," "),CHAR(9)," "),CHAR(10)," "),CHAR(13)," "))),"")))</f>
        <v/>
      </c>
      <c r="DU195">
        <f>IF($DM195=0,"",IF($L$13=0,"",IFERROR(IF(ISNUMBER(INDEX(PASTE_ALL,$DF195,$L$13)),INDEX(PASTE_ALL,$DF195,$L$13),TRIM(SUBSTITUTE(SUBSTITUTE(SUBSTITUTE(SUBSTITUTE(INDEX(PASTE_ALL,$DF195,$L$13)," "," "),CHAR(9)," "),CHAR(10)," "),CHAR(13)," "))),"")))</f>
        <v/>
      </c>
      <c r="DV195">
        <f>IF($DM195=0,"",IF($L$14=0,"",IFERROR(IF(ISNUMBER(INDEX(PASTE_ALL,$DF195,$L$14)),INDEX(PASTE_ALL,$DF195,$L$14),TRIM(SUBSTITUTE(SUBSTITUTE(SUBSTITUTE(SUBSTITUTE(INDEX(PASTE_ALL,$DF195,$L$14)," "," "),CHAR(9)," "),CHAR(10)," "),CHAR(13)," "))),"")))</f>
        <v/>
      </c>
      <c r="DW195">
        <f>IF($DM195=0,"",IF($L$15=0,"",IFERROR(IF(ISNUMBER(INDEX(PASTE_ALL,$DF195,$L$15)),INDEX(PASTE_ALL,$DF195,$L$15),IF(SUMPRODUCT(--ISNUMBER(FIND({"A","B","C","D","E","F","G","H","I","J","K","L","M","N","O","P","Q","R","S","T","U","V","W","X","Y","Z","0","1","2","3","4","5","6","7","8","9"},UPPER(TRIM(SUBSTITUTE(SUBSTITUTE(SUBSTITUTE(SUBSTITUTE(INDEX(PASTE_ALL,$DF195,$L$15)," "," "),CHAR(9)," "),CHAR(10)," "),CHAR(13)," "))))))&gt;0,TRIM(SUBSTITUTE(SUBSTITUTE(SUBSTITUTE(SUBSTITUTE(INDEX(PASTE_ALL,$DF195,$L$15)," "," "),CHAR(9)," "),CHAR(10)," "),CHAR(13)," ")),"")),"")))</f>
        <v/>
      </c>
      <c r="DX195">
        <f>IF($DM195=0,"",IF($L$16=0,"",IFERROR(IF(ISNUMBER(INDEX(PASTE_ALL,$DF195,$L$16)),INDEX(PASTE_ALL,$DF195,$L$16),SUBSTITUTE(SUBSTITUTE(TRIM(SUBSTITUTE(SUBSTITUTE(SUBSTITUTE(SUBSTITUTE(INDEX(PASTE_ALL,$DF195,$L$16)," "," "),CHAR(9)," "),CHAR(10)," "),CHAR(13)," ")),",",""),"%","")),"")))</f>
        <v/>
      </c>
      <c r="DY195">
        <f>IF($DM195=0,"",IFERROR(IF(ISNUMBER($DX195),$DX195,IF($DX195="","",IF(TRIM($DX195)="",0,IF(AND(AND(SUBSTITUTE(SUBSTITUTE(SUBSTITUTE(SUBSTITUTE(SUBSTITUTE(SUBSTITUTE(SUBSTITUTE(SUBSTITUTE(SUBSTITUTE(SUBSTITUTE(SUBSTITUTE(SUBSTITUTE(SUBSTITUTE(SUBSTITUTE(UPPER(TRIM($DX195)),"0",""),"1",""),"2",""),"3",""),"4",""),"5",""),"6",""),"7",""),"8",""),"9",""),".",""),"+",""),"-",""),"E","")="",LEN(SUBSTITUTE(SUBSTITUTE(MID(UPPER(TRIM($DX195)),1+OR(LEFT(UPPER(TRIM($DX195)),1)="+",LEFT(UPPER(TRIM($DX195)),1)="-"),999),"E+","E"),"E-","E"))=LEN(SUBSTITUTE(SUBSTITUTE(SUBSTITUTE(SUBSTITUTE(MID(UPPER(TRIM($DX195)),1+OR(LEFT(UPPER(TRIM($DX195)),1)="+",LEFT(UPPER(TRIM($DX195)),1)="-"),999),"E+","E"),"E-","E"),"+",""),"-","")),LEN(UPPER(TRIM($DX195)))-LEN(SUBSTITUTE(UPPER(TRIM($DX195)),"E",""))&lt;2,LEN(UPPER(TRIM($DX195)))-LEN(SUBSTITUTE(UPPER(TRIM($DX195)),".",""))&lt;2,IFERROR(FIND(".",UPPER(TRIM($DX195))),0)&lt;IFERROR(FIND("E",UPPER(TRIM($DX195))),999)),ISNUMBER(VALUE(TRIM($DX195)))),VALUE(TRIM($DX195)),"")))),""))</f>
        <v/>
      </c>
      <c r="DZ195">
        <f>IF($DM195=0,"",IF($L$17=0,"",IFERROR(IF(ISNUMBER(INDEX(PASTE_ALL,$DF195,$L$17)),INDEX(PASTE_ALL,$DF195,$L$17),SUBSTITUTE(SUBSTITUTE(TRIM(SUBSTITUTE(SUBSTITUTE(SUBSTITUTE(SUBSTITUTE(INDEX(PASTE_ALL,$DF195,$L$17)," "," "),CHAR(9)," "),CHAR(10)," "),CHAR(13)," ")),",",""),"%","")),"")))</f>
        <v/>
      </c>
      <c r="EA195">
        <f>IF($DM195=0,"",IFERROR(IF(ISNUMBER($DZ195),$DZ195,IF($DZ195="","",IF(TRIM($DZ195)="",0,IF(AND(AND(SUBSTITUTE(SUBSTITUTE(SUBSTITUTE(SUBSTITUTE(SUBSTITUTE(SUBSTITUTE(SUBSTITUTE(SUBSTITUTE(SUBSTITUTE(SUBSTITUTE(SUBSTITUTE(SUBSTITUTE(SUBSTITUTE(SUBSTITUTE(UPPER(TRIM($DZ195)),"0",""),"1",""),"2",""),"3",""),"4",""),"5",""),"6",""),"7",""),"8",""),"9",""),".",""),"+",""),"-",""),"E","")="",LEN(SUBSTITUTE(SUBSTITUTE(MID(UPPER(TRIM($DZ195)),1+OR(LEFT(UPPER(TRIM($DZ195)),1)="+",LEFT(UPPER(TRIM($DZ195)),1)="-"),999),"E+","E"),"E-","E"))=LEN(SUBSTITUTE(SUBSTITUTE(SUBSTITUTE(SUBSTITUTE(MID(UPPER(TRIM($DZ195)),1+OR(LEFT(UPPER(TRIM($DZ195)),1)="+",LEFT(UPPER(TRIM($DZ195)),1)="-"),999),"E+","E"),"E-","E"),"+",""),"-","")),LEN(UPPER(TRIM($DZ195)))-LEN(SUBSTITUTE(UPPER(TRIM($DZ195)),"E",""))&lt;2,LEN(UPPER(TRIM($DZ195)))-LEN(SUBSTITUTE(UPPER(TRIM($DZ195)),".",""))&lt;2,IFERROR(FIND(".",UPPER(TRIM($DZ195))),0)&lt;IFERROR(FIND("E",UPPER(TRIM($DZ195))),999)),ISNUMBER(VALUE(TRIM($DZ195)))),VALUE(TRIM($DZ195)),"")))),""))</f>
        <v/>
      </c>
      <c r="EB195">
        <f>IF($DM195=0,"",IF($L$18=0,"",IFERROR(IF(UPPER(TRIM(SUBSTITUTE(SUBSTITUTE(SUBSTITUTE(SUBSTITUTE(INDEX(PASTE_ALL,$DF195,$L$18)," "," "),CHAR(9)," "),CHAR(10)," "),CHAR(13)," ")))="READY","Ready",IF(UPPER(TRIM(SUBSTITUTE(SUBSTITUTE(SUBSTITUTE(SUBSTITUTE(INDEX(PASTE_ALL,$DF195,$L$18)," "," "),CHAR(9)," "),CHAR(10)," "),CHAR(13)," ")))="PM","PM",IF(OR(UPPER(TRIM(SUBSTITUTE(SUBSTITUTE(SUBSTITUTE(SUBSTITUTE(INDEX(PASTE_ALL,$DF195,$L$18)," "," "),CHAR(9)," "),CHAR(10)," "),CHAR(13)," ")))="OT",UPPER(TRIM(SUBSTITUTE(SUBSTITUTE(SUBSTITUTE(SUBSTITUTE(INDEX(PASTE_ALL,$DF195,$L$18)," "," "),CHAR(9)," "),CHAR(10)," "),CHAR(13)," ")))="OVERTIME",UPPER(TRIM(SUBSTITUTE(SUBSTITUTE(SUBSTITUTE(SUBSTITUTE(INDEX(PASTE_ALL,$DF195,$L$18)," "," "),CHAR(9)," "),CHAR(10)," "),CHAR(13)," ")))="TRIAL"),"OT",TRIM(SUBSTITUTE(SUBSTITUTE(SUBSTITUTE(SUBSTITUTE(INDEX(PASTE_ALL,$DF195,$L$18)," "," "),CHAR(9)," "),CHAR(10)," "),CHAR(13)," "))))),"")))</f>
        <v/>
      </c>
      <c r="EC195">
        <f>IF($DM195=0,"",IF($L$19=0,"",IFERROR(IF(ISNUMBER(INDEX(PASTE_ALL,$DF195,$L$19)),INDEX(PASTE_ALL,$DF195,$L$19),TRIM(SUBSTITUTE(SUBSTITUTE(SUBSTITUTE(SUBSTITUTE(INDEX(PASTE_ALL,$DF195,$L$19)," "," "),CHAR(9)," "),CHAR(10)," "),CHAR(13)," "))),"")))</f>
        <v/>
      </c>
      <c r="ED195">
        <f>IF($DM195=0,"",MATCH(1,INDEX(EXACT($DH$5:DH195,$DH195)*$DM$5:DM195,0),0))</f>
        <v/>
      </c>
      <c r="EE195">
        <f>IF($DM195=0,0,IF($ED195=$DE195,1,0))</f>
        <v/>
      </c>
      <c r="EF195">
        <f>EF194+$EE195</f>
        <v/>
      </c>
      <c r="EG195">
        <f>IF($DM195=0,"",INDEX($EF$5:$EF$1003,$ED195))</f>
        <v/>
      </c>
      <c r="EH195">
        <f>IF($DM195=0,"",IF($DO195&lt;&gt;"","",IFERROR(LOOKUP(2,1/(($EG$4:EG194=$EG195)*($DO$4:DO194&lt;&gt;"")),$DO$4:DO194),"")))</f>
        <v/>
      </c>
      <c r="EI195">
        <f>IF($DM195=0,"",IF($DO195&lt;&gt;"",$DO195,$EH195))</f>
        <v/>
      </c>
      <c r="EJ195">
        <f>IF($DM195=0,"",IF($EI195="",0,IF(OR(ISNUMBER($EI195),AND(AND(SUBSTITUTE(SUBSTITUTE(SUBSTITUTE(SUBSTITUTE(SUBSTITUTE(SUBSTITUTE(SUBSTITUTE(SUBSTITUTE(SUBSTITUTE(SUBSTITUTE(SUBSTITUTE(SUBSTITUTE(SUBSTITUTE(SUBSTITUTE(UPPER($EI195),"0",""),"1",""),"2",""),"3",""),"4",""),"5",""),"6",""),"7",""),"8",""),"9",""),".",""),"+",""),"-",""),"E","")="",LEN(SUBSTITUTE(SUBSTITUTE(MID(UPPER($EI195),1+OR(LEFT(UPPER($EI195),1)="+",LEFT(UPPER($EI195),1)="-"),999),"E+","E"),"E-","E"))=LEN(SUBSTITUTE(SUBSTITUTE(SUBSTITUTE(SUBSTITUTE(MID(UPPER($EI195),1+OR(LEFT(UPPER($EI195),1)="+",LEFT(UPPER($EI195),1)="-"),999),"E+","E"),"E-","E"),"+",""),"-","")),LEN(UPPER($EI195))-LEN(SUBSTITUTE(UPPER($EI195),"E",""))&lt;2,LEN(UPPER($EI195))-LEN(SUBSTITUTE(UPPER($EI195),".",""))&lt;2,IFERROR(FIND(".",UPPER($EI195)),0)&lt;IFERROR(FIND("E",UPPER($EI195)),999)),ISNUMBER(VALUE($EI195)))),1,2)))</f>
        <v/>
      </c>
      <c r="EK195">
        <f>IF($DM195=0,"",IF($EJ195=1,IF(ISNUMBER($EI195),$EI195,VALUE($EI195)),IF($EJ195=2,$DE195,0)))</f>
        <v/>
      </c>
      <c r="EL195">
        <f>IF($DM195=0,"",COUNTIF($EG$5:$EG$1003,"&lt;"&amp;$EG195)+SUMPRODUCT(($EG$5:$EG$1003=$EG195)*(($EJ$5:$EJ$1003&lt;$EJ195)+($EJ$5:$EJ$1003=$EJ195)*(($EK$5:$EK$1003&lt;$EK195)+($EK$5:$EK$1003=$EK195)*($DE$5:$DE$1003&lt;$DE195))))+1)</f>
        <v/>
      </c>
      <c r="EM195">
        <f>IF($DM195=0,"",$EL195+$EG195-1)</f>
        <v/>
      </c>
      <c r="EN195">
        <f>IF($DM195=0,0,IFERROR(MATCH(1,INDEX(--(TRIM(SUBSTITUTE(SUBSTITUTE(SUBSTITUTE(SUBSTITUTE(LINES_NAME&amp;""," "," "),CHAR(9)," "),CHAR(10)," "),CHAR(13)," "))=$DH195),0),0),0))</f>
        <v/>
      </c>
      <c r="EO195">
        <f>IF($EN195=0,0,IF(OR(UPPER(TRIM(INDEX(LINES_SCHEDULED,$EN195)&amp;""))="YES",UPPER(TRIM(INDEX(LINES_SCHEDULED,$EN195)&amp;""))="Y",UPPER(TRIM(INDEX(LINES_SCHEDULED,$EN195)&amp;""))="X"),1,0))</f>
        <v/>
      </c>
      <c r="EP195">
        <f>IF($DM195=0,"",IF(COUNTIFS($EG$5:$EG$1003,$EG195,$EB$5:$EB$1003,"Ready")&gt;0,"READY",IF(COUNTIFS($EG$5:$EG$1003,$EG195,$EB$5:$EB$1003,"PM")&gt;0,"PM",IF(COUNTIFS($EG$5:$EG$1003,$EG195,$EB$5:$EB$1003,"OT")&gt;0,"OT",""))))</f>
        <v/>
      </c>
      <c r="EQ195">
        <f>IF($EN195=0,"",UPPER(TRIM(INDEX(LINES_STATUS,$EN195)&amp;"")))</f>
        <v/>
      </c>
      <c r="ER195">
        <f>IF($DM195=0,"",IF(OR($EQ195="READY",$EQ195="PM",$EQ195="OT"),$EQ195,$EP195))</f>
        <v/>
      </c>
      <c r="ES195">
        <f>IF($DM195=0,"",IF(AND($DV195&lt;&gt;"",UPPER($DV195)&lt;&gt;"N"),"allergen",IF(ISNUMBER(SEARCH("oil",$DQ195)),"oil",IF(OR(EXACT($DS195,"A662"),EXACT($DS195,"A624")),"bulk",""))))</f>
        <v/>
      </c>
      <c r="ET195">
        <f>IF($DM195=0,"",IF(OR($EA195="",$EA195=0),"",$EA195/100))</f>
        <v/>
      </c>
      <c r="EU195">
        <f>IF(OR($ET195="",$DY195=""),"",INT($DY195*(1-$ET195)+0.5))</f>
        <v/>
      </c>
      <c r="EW195" t="n">
        <v>191</v>
      </c>
      <c r="EX195">
        <f>IFERROR(MATCH($EW195,$EM$5:$EM$1003,0),0)</f>
        <v/>
      </c>
      <c r="EY195">
        <f>IF($EW195&gt;$B$12,"",IF($EX195&gt;0,"row","spacer"))</f>
        <v/>
      </c>
      <c r="EZ195">
        <f>IF(AND($EY195="row",$EY194&lt;&gt;"row"),1,0)</f>
        <v/>
      </c>
      <c r="FA195">
        <f>IF(AND($EY195="row",$EY196&lt;&gt;"row"),1,0)</f>
        <v/>
      </c>
      <c r="FB195">
        <f>IF($EZ195=1,IFERROR(IF(ISNUMBER(INDEX(PASTE_ALL,INDEX($DF$5:$DF$1003,$EX195),$B$37)),INDEX(PASTE_ALL,INDEX($DF$5:$DF$1003,$EX195),$B$37),INDEX($DH$5:$DH$1003,$EX195)),INDEX($DH$5:$DH$1003,$EX195)),"")</f>
        <v/>
      </c>
      <c r="FC195">
        <f>IF($EY195="row",INDEX($ER$5:$ER$1003,$EX195),"")</f>
        <v/>
      </c>
      <c r="FD195">
        <f>IF($EY195="row",INDEX($DN$5:$DN$1003,$EX195),"")</f>
        <v/>
      </c>
      <c r="FE195">
        <f>IF($EY195="row",INDEX($DO$5:$DO$1003,$EX195),"")</f>
        <v/>
      </c>
      <c r="FF195">
        <f>IF($EY195="row",INDEX($DP$5:$DP$1003,$EX195),"")</f>
        <v/>
      </c>
      <c r="FG195">
        <f>IF($EY195="row",INDEX($DQ$5:$DQ$1003,$EX195),"")</f>
        <v/>
      </c>
      <c r="FH195">
        <f>IF($EY195="row",INDEX($DR$5:$DR$1003,$EX195),"")</f>
        <v/>
      </c>
      <c r="FI195">
        <f>IF($EY195="row",INDEX($DS$5:$DS$1003,$EX195),"")</f>
        <v/>
      </c>
      <c r="FJ195">
        <f>IF($EY195="row",INDEX($DT$5:$DT$1003,$EX195),"")</f>
        <v/>
      </c>
      <c r="FK195">
        <f>IF($EY195="row",INDEX($DU$5:$DU$1003,$EX195),"")</f>
        <v/>
      </c>
      <c r="FL195">
        <f>IF($EY195="row",INDEX($DV$5:$DV$1003,$EX195),"")</f>
        <v/>
      </c>
      <c r="FM195">
        <f>IF($EY195="row",INDEX($DW$5:$DW$1003,$EX195),"")</f>
        <v/>
      </c>
      <c r="FN195">
        <f>IF($EY195="row",INDEX($DY$5:$DY$1003,$EX195),"")</f>
        <v/>
      </c>
      <c r="FO195">
        <f>IF($EY195="row",INDEX($EA$5:$EA$1003,$EX195),"")</f>
        <v/>
      </c>
      <c r="FP195">
        <f>IF($EY195="row",INDEX($EC$5:$EC$1003,$EX195),"")</f>
        <v/>
      </c>
      <c r="FQ195">
        <f>IF($EY195="row",INDEX($ET$5:$ET$1003,$EX195),"")</f>
        <v/>
      </c>
      <c r="FR195">
        <f>IF($EY195="row",INDEX($EU$5:$EU$1003,$EX195),"")</f>
        <v/>
      </c>
      <c r="FS195">
        <f>IF(AND($EY195="row",$EY194="row"),IF(OR(INDEX($DT$5:$DT$1003,$EX194)="",INDEX($DT$5:$DT$1003,$EX195)=""),"",IF(NOT(EXACT(INDEX($DT$5:$DT$1003,$EX194),INDEX($DT$5:$DT$1003,$EX195))),"S4",IF(NOT(EXACT(INDEX($DS$5:$DS$1003,$EX194),INDEX($DS$5:$DS$1003,$EX195))),"S3",IF(NOT(EXACT(INDEX($DR$5:$DR$1003,$EX194),INDEX($DR$5:$DR$1003,$EX195))),"S1 Count Change","S1")))),"")</f>
        <v/>
      </c>
      <c r="FT195">
        <f>IF($EY195="row",INDEX($ES$5:$ES$1003,$EX195),"")</f>
        <v/>
      </c>
      <c r="FU195">
        <f>IF($EY195="row",INDEX($EO$5:$EO$1003,$EX195),0)</f>
        <v/>
      </c>
      <c r="FV195">
        <f>IF($FS195="S1 Count Change",1,0)</f>
        <v/>
      </c>
    </row>
    <row r="196">
      <c r="Y196">
        <f>0+IF(Y106&gt;0,0,IF(SUMPRODUCT(MOD(INT(Y151/{2,4,8,16,32,64,128,256,512,1024,2048,4096,8192,16384,32768}),2)*(1-MOD(INT(($CJ16+0)/{2,4,8,16,32,64,128,256,512,1024,2048,4096,8192,16384,32768}),2))*{2,4,8,16,32,64,128,256,512,1024,2048,4096,8192,16384,32768})=0,0,2^SUMPRODUCT(--(MOD(SUMPRODUCT(MOD(INT(Y151/{2,4,8,16,32,64,128,256,512,1024,2048,4096,8192,16384,32768}),2)*(1-MOD(INT(($CJ16+0)/{2,4,8,16,32,64,128,256,512,1024,2048,4096,8192,16384,32768}),2))*{2,4,8,16,32,64,128,256,512,1024,2048,4096,8192,16384,32768}),{2,4,8,16,32,64,128,256,512,1024,2048,4096,8192,16384,32768})=0))))</f>
        <v/>
      </c>
      <c r="Z196">
        <f>Y196+IF(AND(Z106&gt;0,COUNTIF($Y106:Y106,Z106)=0),0,IF(SUMPRODUCT(MOD(INT(Z151/{2,4,8,16,32,64,128,256,512,1024,2048,4096,8192,16384,32768}),2)*(1-MOD(INT(($CJ16+Y196)/{2,4,8,16,32,64,128,256,512,1024,2048,4096,8192,16384,32768}),2))*{2,4,8,16,32,64,128,256,512,1024,2048,4096,8192,16384,32768})=0,0,2^SUMPRODUCT(--(MOD(SUMPRODUCT(MOD(INT(Z151/{2,4,8,16,32,64,128,256,512,1024,2048,4096,8192,16384,32768}),2)*(1-MOD(INT(($CJ16+Y196)/{2,4,8,16,32,64,128,256,512,1024,2048,4096,8192,16384,32768}),2))*{2,4,8,16,32,64,128,256,512,1024,2048,4096,8192,16384,32768}),{2,4,8,16,32,64,128,256,512,1024,2048,4096,8192,16384,32768})=0))))</f>
        <v/>
      </c>
      <c r="AA196">
        <f>Z196+IF(AND(AA106&gt;0,COUNTIF($Y106:Z106,AA106)=0),0,IF(SUMPRODUCT(MOD(INT(AA151/{2,4,8,16,32,64,128,256,512,1024,2048,4096,8192,16384,32768}),2)*(1-MOD(INT(($CJ16+Z196)/{2,4,8,16,32,64,128,256,512,1024,2048,4096,8192,16384,32768}),2))*{2,4,8,16,32,64,128,256,512,1024,2048,4096,8192,16384,32768})=0,0,2^SUMPRODUCT(--(MOD(SUMPRODUCT(MOD(INT(AA151/{2,4,8,16,32,64,128,256,512,1024,2048,4096,8192,16384,32768}),2)*(1-MOD(INT(($CJ16+Z196)/{2,4,8,16,32,64,128,256,512,1024,2048,4096,8192,16384,32768}),2))*{2,4,8,16,32,64,128,256,512,1024,2048,4096,8192,16384,32768}),{2,4,8,16,32,64,128,256,512,1024,2048,4096,8192,16384,32768})=0))))</f>
        <v/>
      </c>
      <c r="AB196">
        <f>AA196+IF(AND(AB106&gt;0,COUNTIF($Y106:AA106,AB106)=0),0,IF(SUMPRODUCT(MOD(INT(AB151/{2,4,8,16,32,64,128,256,512,1024,2048,4096,8192,16384,32768}),2)*(1-MOD(INT(($CJ16+AA196)/{2,4,8,16,32,64,128,256,512,1024,2048,4096,8192,16384,32768}),2))*{2,4,8,16,32,64,128,256,512,1024,2048,4096,8192,16384,32768})=0,0,2^SUMPRODUCT(--(MOD(SUMPRODUCT(MOD(INT(AB151/{2,4,8,16,32,64,128,256,512,1024,2048,4096,8192,16384,32768}),2)*(1-MOD(INT(($CJ16+AA196)/{2,4,8,16,32,64,128,256,512,1024,2048,4096,8192,16384,32768}),2))*{2,4,8,16,32,64,128,256,512,1024,2048,4096,8192,16384,32768}),{2,4,8,16,32,64,128,256,512,1024,2048,4096,8192,16384,32768})=0))))</f>
        <v/>
      </c>
      <c r="AC196">
        <f>AB196+IF(AND(AC106&gt;0,COUNTIF($Y106:AB106,AC106)=0),0,IF(SUMPRODUCT(MOD(INT(AC151/{2,4,8,16,32,64,128,256,512,1024,2048,4096,8192,16384,32768}),2)*(1-MOD(INT(($CJ16+AB196)/{2,4,8,16,32,64,128,256,512,1024,2048,4096,8192,16384,32768}),2))*{2,4,8,16,32,64,128,256,512,1024,2048,4096,8192,16384,32768})=0,0,2^SUMPRODUCT(--(MOD(SUMPRODUCT(MOD(INT(AC151/{2,4,8,16,32,64,128,256,512,1024,2048,4096,8192,16384,32768}),2)*(1-MOD(INT(($CJ16+AB196)/{2,4,8,16,32,64,128,256,512,1024,2048,4096,8192,16384,32768}),2))*{2,4,8,16,32,64,128,256,512,1024,2048,4096,8192,16384,32768}),{2,4,8,16,32,64,128,256,512,1024,2048,4096,8192,16384,32768})=0))))</f>
        <v/>
      </c>
      <c r="AD196">
        <f>AC196+IF(AND(AD106&gt;0,COUNTIF($Y106:AC106,AD106)=0),0,IF(SUMPRODUCT(MOD(INT(AD151/{2,4,8,16,32,64,128,256,512,1024,2048,4096,8192,16384,32768}),2)*(1-MOD(INT(($CJ16+AC196)/{2,4,8,16,32,64,128,256,512,1024,2048,4096,8192,16384,32768}),2))*{2,4,8,16,32,64,128,256,512,1024,2048,4096,8192,16384,32768})=0,0,2^SUMPRODUCT(--(MOD(SUMPRODUCT(MOD(INT(AD151/{2,4,8,16,32,64,128,256,512,1024,2048,4096,8192,16384,32768}),2)*(1-MOD(INT(($CJ16+AC196)/{2,4,8,16,32,64,128,256,512,1024,2048,4096,8192,16384,32768}),2))*{2,4,8,16,32,64,128,256,512,1024,2048,4096,8192,16384,32768}),{2,4,8,16,32,64,128,256,512,1024,2048,4096,8192,16384,32768})=0))))</f>
        <v/>
      </c>
      <c r="AE196">
        <f>AD196+IF(AND(AE106&gt;0,COUNTIF($Y106:AD106,AE106)=0),0,IF(SUMPRODUCT(MOD(INT(AE151/{2,4,8,16,32,64,128,256,512,1024,2048,4096,8192,16384,32768}),2)*(1-MOD(INT(($CJ16+AD196)/{2,4,8,16,32,64,128,256,512,1024,2048,4096,8192,16384,32768}),2))*{2,4,8,16,32,64,128,256,512,1024,2048,4096,8192,16384,32768})=0,0,2^SUMPRODUCT(--(MOD(SUMPRODUCT(MOD(INT(AE151/{2,4,8,16,32,64,128,256,512,1024,2048,4096,8192,16384,32768}),2)*(1-MOD(INT(($CJ16+AD196)/{2,4,8,16,32,64,128,256,512,1024,2048,4096,8192,16384,32768}),2))*{2,4,8,16,32,64,128,256,512,1024,2048,4096,8192,16384,32768}),{2,4,8,16,32,64,128,256,512,1024,2048,4096,8192,16384,32768})=0))))</f>
        <v/>
      </c>
      <c r="AF196">
        <f>AE196+IF(AND(AF106&gt;0,COUNTIF($Y106:AE106,AF106)=0),0,IF(SUMPRODUCT(MOD(INT(AF151/{2,4,8,16,32,64,128,256,512,1024,2048,4096,8192,16384,32768}),2)*(1-MOD(INT(($CJ16+AE196)/{2,4,8,16,32,64,128,256,512,1024,2048,4096,8192,16384,32768}),2))*{2,4,8,16,32,64,128,256,512,1024,2048,4096,8192,16384,32768})=0,0,2^SUMPRODUCT(--(MOD(SUMPRODUCT(MOD(INT(AF151/{2,4,8,16,32,64,128,256,512,1024,2048,4096,8192,16384,32768}),2)*(1-MOD(INT(($CJ16+AE196)/{2,4,8,16,32,64,128,256,512,1024,2048,4096,8192,16384,32768}),2))*{2,4,8,16,32,64,128,256,512,1024,2048,4096,8192,16384,32768}),{2,4,8,16,32,64,128,256,512,1024,2048,4096,8192,16384,32768})=0))))</f>
        <v/>
      </c>
      <c r="AG196">
        <f>AF196+IF(AND(AG106&gt;0,COUNTIF($Y106:AF106,AG106)=0),0,IF(SUMPRODUCT(MOD(INT(AG151/{2,4,8,16,32,64,128,256,512,1024,2048,4096,8192,16384,32768}),2)*(1-MOD(INT(($CJ16+AF196)/{2,4,8,16,32,64,128,256,512,1024,2048,4096,8192,16384,32768}),2))*{2,4,8,16,32,64,128,256,512,1024,2048,4096,8192,16384,32768})=0,0,2^SUMPRODUCT(--(MOD(SUMPRODUCT(MOD(INT(AG151/{2,4,8,16,32,64,128,256,512,1024,2048,4096,8192,16384,32768}),2)*(1-MOD(INT(($CJ16+AF196)/{2,4,8,16,32,64,128,256,512,1024,2048,4096,8192,16384,32768}),2))*{2,4,8,16,32,64,128,256,512,1024,2048,4096,8192,16384,32768}),{2,4,8,16,32,64,128,256,512,1024,2048,4096,8192,16384,32768})=0))))</f>
        <v/>
      </c>
      <c r="AH196">
        <f>AG196+IF(AND(AH106&gt;0,COUNTIF($Y106:AG106,AH106)=0),0,IF(SUMPRODUCT(MOD(INT(AH151/{2,4,8,16,32,64,128,256,512,1024,2048,4096,8192,16384,32768}),2)*(1-MOD(INT(($CJ16+AG196)/{2,4,8,16,32,64,128,256,512,1024,2048,4096,8192,16384,32768}),2))*{2,4,8,16,32,64,128,256,512,1024,2048,4096,8192,16384,32768})=0,0,2^SUMPRODUCT(--(MOD(SUMPRODUCT(MOD(INT(AH151/{2,4,8,16,32,64,128,256,512,1024,2048,4096,8192,16384,32768}),2)*(1-MOD(INT(($CJ16+AG196)/{2,4,8,16,32,64,128,256,512,1024,2048,4096,8192,16384,32768}),2))*{2,4,8,16,32,64,128,256,512,1024,2048,4096,8192,16384,32768}),{2,4,8,16,32,64,128,256,512,1024,2048,4096,8192,16384,32768})=0))))</f>
        <v/>
      </c>
      <c r="AI196">
        <f>AH196+IF(AND(AI106&gt;0,COUNTIF($Y106:AH106,AI106)=0),0,IF(SUMPRODUCT(MOD(INT(AI151/{2,4,8,16,32,64,128,256,512,1024,2048,4096,8192,16384,32768}),2)*(1-MOD(INT(($CJ16+AH196)/{2,4,8,16,32,64,128,256,512,1024,2048,4096,8192,16384,32768}),2))*{2,4,8,16,32,64,128,256,512,1024,2048,4096,8192,16384,32768})=0,0,2^SUMPRODUCT(--(MOD(SUMPRODUCT(MOD(INT(AI151/{2,4,8,16,32,64,128,256,512,1024,2048,4096,8192,16384,32768}),2)*(1-MOD(INT(($CJ16+AH196)/{2,4,8,16,32,64,128,256,512,1024,2048,4096,8192,16384,32768}),2))*{2,4,8,16,32,64,128,256,512,1024,2048,4096,8192,16384,32768}),{2,4,8,16,32,64,128,256,512,1024,2048,4096,8192,16384,32768})=0))))</f>
        <v/>
      </c>
      <c r="AJ196">
        <f>AI196+IF(AND(AJ106&gt;0,COUNTIF($Y106:AI106,AJ106)=0),0,IF(SUMPRODUCT(MOD(INT(AJ151/{2,4,8,16,32,64,128,256,512,1024,2048,4096,8192,16384,32768}),2)*(1-MOD(INT(($CJ16+AI196)/{2,4,8,16,32,64,128,256,512,1024,2048,4096,8192,16384,32768}),2))*{2,4,8,16,32,64,128,256,512,1024,2048,4096,8192,16384,32768})=0,0,2^SUMPRODUCT(--(MOD(SUMPRODUCT(MOD(INT(AJ151/{2,4,8,16,32,64,128,256,512,1024,2048,4096,8192,16384,32768}),2)*(1-MOD(INT(($CJ16+AI196)/{2,4,8,16,32,64,128,256,512,1024,2048,4096,8192,16384,32768}),2))*{2,4,8,16,32,64,128,256,512,1024,2048,4096,8192,16384,32768}),{2,4,8,16,32,64,128,256,512,1024,2048,4096,8192,16384,32768})=0))))</f>
        <v/>
      </c>
      <c r="AK196">
        <f>AJ196+IF(AND(AK106&gt;0,COUNTIF($Y106:AJ106,AK106)=0),0,IF(SUMPRODUCT(MOD(INT(AK151/{2,4,8,16,32,64,128,256,512,1024,2048,4096,8192,16384,32768}),2)*(1-MOD(INT(($CJ16+AJ196)/{2,4,8,16,32,64,128,256,512,1024,2048,4096,8192,16384,32768}),2))*{2,4,8,16,32,64,128,256,512,1024,2048,4096,8192,16384,32768})=0,0,2^SUMPRODUCT(--(MOD(SUMPRODUCT(MOD(INT(AK151/{2,4,8,16,32,64,128,256,512,1024,2048,4096,8192,16384,32768}),2)*(1-MOD(INT(($CJ16+AJ196)/{2,4,8,16,32,64,128,256,512,1024,2048,4096,8192,16384,32768}),2))*{2,4,8,16,32,64,128,256,512,1024,2048,4096,8192,16384,32768}),{2,4,8,16,32,64,128,256,512,1024,2048,4096,8192,16384,32768})=0))))</f>
        <v/>
      </c>
      <c r="AL196">
        <f>AK196+IF(AND(AL106&gt;0,COUNTIF($Y106:AK106,AL106)=0),0,IF(SUMPRODUCT(MOD(INT(AL151/{2,4,8,16,32,64,128,256,512,1024,2048,4096,8192,16384,32768}),2)*(1-MOD(INT(($CJ16+AK196)/{2,4,8,16,32,64,128,256,512,1024,2048,4096,8192,16384,32768}),2))*{2,4,8,16,32,64,128,256,512,1024,2048,4096,8192,16384,32768})=0,0,2^SUMPRODUCT(--(MOD(SUMPRODUCT(MOD(INT(AL151/{2,4,8,16,32,64,128,256,512,1024,2048,4096,8192,16384,32768}),2)*(1-MOD(INT(($CJ16+AK196)/{2,4,8,16,32,64,128,256,512,1024,2048,4096,8192,16384,32768}),2))*{2,4,8,16,32,64,128,256,512,1024,2048,4096,8192,16384,32768}),{2,4,8,16,32,64,128,256,512,1024,2048,4096,8192,16384,32768})=0))))</f>
        <v/>
      </c>
      <c r="AM196">
        <f>AL196+IF(AND(AM106&gt;0,COUNTIF($Y106:AL106,AM106)=0),0,IF(SUMPRODUCT(MOD(INT(AM151/{2,4,8,16,32,64,128,256,512,1024,2048,4096,8192,16384,32768}),2)*(1-MOD(INT(($CJ16+AL196)/{2,4,8,16,32,64,128,256,512,1024,2048,4096,8192,16384,32768}),2))*{2,4,8,16,32,64,128,256,512,1024,2048,4096,8192,16384,32768})=0,0,2^SUMPRODUCT(--(MOD(SUMPRODUCT(MOD(INT(AM151/{2,4,8,16,32,64,128,256,512,1024,2048,4096,8192,16384,32768}),2)*(1-MOD(INT(($CJ16+AL196)/{2,4,8,16,32,64,128,256,512,1024,2048,4096,8192,16384,32768}),2))*{2,4,8,16,32,64,128,256,512,1024,2048,4096,8192,16384,32768}),{2,4,8,16,32,64,128,256,512,1024,2048,4096,8192,16384,32768})=0))))</f>
        <v/>
      </c>
      <c r="AN196">
        <f>AM196+IF(AND(AN106&gt;0,COUNTIF($Y106:AM106,AN106)=0),0,IF(SUMPRODUCT(MOD(INT(AN151/{2,4,8,16,32,64,128,256,512,1024,2048,4096,8192,16384,32768}),2)*(1-MOD(INT(($CJ16+AM196)/{2,4,8,16,32,64,128,256,512,1024,2048,4096,8192,16384,32768}),2))*{2,4,8,16,32,64,128,256,512,1024,2048,4096,8192,16384,32768})=0,0,2^SUMPRODUCT(--(MOD(SUMPRODUCT(MOD(INT(AN151/{2,4,8,16,32,64,128,256,512,1024,2048,4096,8192,16384,32768}),2)*(1-MOD(INT(($CJ16+AM196)/{2,4,8,16,32,64,128,256,512,1024,2048,4096,8192,16384,32768}),2))*{2,4,8,16,32,64,128,256,512,1024,2048,4096,8192,16384,32768}),{2,4,8,16,32,64,128,256,512,1024,2048,4096,8192,16384,32768})=0))))</f>
        <v/>
      </c>
      <c r="AO196">
        <f>AN196+IF(AND(AO106&gt;0,COUNTIF($Y106:AN106,AO106)=0),0,IF(SUMPRODUCT(MOD(INT(AO151/{2,4,8,16,32,64,128,256,512,1024,2048,4096,8192,16384,32768}),2)*(1-MOD(INT(($CJ16+AN196)/{2,4,8,16,32,64,128,256,512,1024,2048,4096,8192,16384,32768}),2))*{2,4,8,16,32,64,128,256,512,1024,2048,4096,8192,16384,32768})=0,0,2^SUMPRODUCT(--(MOD(SUMPRODUCT(MOD(INT(AO151/{2,4,8,16,32,64,128,256,512,1024,2048,4096,8192,16384,32768}),2)*(1-MOD(INT(($CJ16+AN196)/{2,4,8,16,32,64,128,256,512,1024,2048,4096,8192,16384,32768}),2))*{2,4,8,16,32,64,128,256,512,1024,2048,4096,8192,16384,32768}),{2,4,8,16,32,64,128,256,512,1024,2048,4096,8192,16384,32768})=0))))</f>
        <v/>
      </c>
      <c r="AP196">
        <f>AO196+IF(AND(AP106&gt;0,COUNTIF($Y106:AO106,AP106)=0),0,IF(SUMPRODUCT(MOD(INT(AP151/{2,4,8,16,32,64,128,256,512,1024,2048,4096,8192,16384,32768}),2)*(1-MOD(INT(($CJ16+AO196)/{2,4,8,16,32,64,128,256,512,1024,2048,4096,8192,16384,32768}),2))*{2,4,8,16,32,64,128,256,512,1024,2048,4096,8192,16384,32768})=0,0,2^SUMPRODUCT(--(MOD(SUMPRODUCT(MOD(INT(AP151/{2,4,8,16,32,64,128,256,512,1024,2048,4096,8192,16384,32768}),2)*(1-MOD(INT(($CJ16+AO196)/{2,4,8,16,32,64,128,256,512,1024,2048,4096,8192,16384,32768}),2))*{2,4,8,16,32,64,128,256,512,1024,2048,4096,8192,16384,32768}),{2,4,8,16,32,64,128,256,512,1024,2048,4096,8192,16384,32768})=0))))</f>
        <v/>
      </c>
      <c r="AQ196">
        <f>AP196+IF(AND(AQ106&gt;0,COUNTIF($Y106:AP106,AQ106)=0),0,IF(SUMPRODUCT(MOD(INT(AQ151/{2,4,8,16,32,64,128,256,512,1024,2048,4096,8192,16384,32768}),2)*(1-MOD(INT(($CJ16+AP196)/{2,4,8,16,32,64,128,256,512,1024,2048,4096,8192,16384,32768}),2))*{2,4,8,16,32,64,128,256,512,1024,2048,4096,8192,16384,32768})=0,0,2^SUMPRODUCT(--(MOD(SUMPRODUCT(MOD(INT(AQ151/{2,4,8,16,32,64,128,256,512,1024,2048,4096,8192,16384,32768}),2)*(1-MOD(INT(($CJ16+AP196)/{2,4,8,16,32,64,128,256,512,1024,2048,4096,8192,16384,32768}),2))*{2,4,8,16,32,64,128,256,512,1024,2048,4096,8192,16384,32768}),{2,4,8,16,32,64,128,256,512,1024,2048,4096,8192,16384,32768})=0))))</f>
        <v/>
      </c>
      <c r="AR196">
        <f>AQ196+IF(AND(AR106&gt;0,COUNTIF($Y106:AQ106,AR106)=0),0,IF(SUMPRODUCT(MOD(INT(AR151/{2,4,8,16,32,64,128,256,512,1024,2048,4096,8192,16384,32768}),2)*(1-MOD(INT(($CJ16+AQ196)/{2,4,8,16,32,64,128,256,512,1024,2048,4096,8192,16384,32768}),2))*{2,4,8,16,32,64,128,256,512,1024,2048,4096,8192,16384,32768})=0,0,2^SUMPRODUCT(--(MOD(SUMPRODUCT(MOD(INT(AR151/{2,4,8,16,32,64,128,256,512,1024,2048,4096,8192,16384,32768}),2)*(1-MOD(INT(($CJ16+AQ196)/{2,4,8,16,32,64,128,256,512,1024,2048,4096,8192,16384,32768}),2))*{2,4,8,16,32,64,128,256,512,1024,2048,4096,8192,16384,32768}),{2,4,8,16,32,64,128,256,512,1024,2048,4096,8192,16384,32768})=0))))</f>
        <v/>
      </c>
      <c r="AS196">
        <f>AR196+IF(AND(AS106&gt;0,COUNTIF($Y106:AR106,AS106)=0),0,IF(SUMPRODUCT(MOD(INT(AS151/{2,4,8,16,32,64,128,256,512,1024,2048,4096,8192,16384,32768}),2)*(1-MOD(INT(($CJ16+AR196)/{2,4,8,16,32,64,128,256,512,1024,2048,4096,8192,16384,32768}),2))*{2,4,8,16,32,64,128,256,512,1024,2048,4096,8192,16384,32768})=0,0,2^SUMPRODUCT(--(MOD(SUMPRODUCT(MOD(INT(AS151/{2,4,8,16,32,64,128,256,512,1024,2048,4096,8192,16384,32768}),2)*(1-MOD(INT(($CJ16+AR196)/{2,4,8,16,32,64,128,256,512,1024,2048,4096,8192,16384,32768}),2))*{2,4,8,16,32,64,128,256,512,1024,2048,4096,8192,16384,32768}),{2,4,8,16,32,64,128,256,512,1024,2048,4096,8192,16384,32768})=0))))</f>
        <v/>
      </c>
      <c r="AT196">
        <f>AS196+IF(AND(AT106&gt;0,COUNTIF($Y106:AS106,AT106)=0),0,IF(SUMPRODUCT(MOD(INT(AT151/{2,4,8,16,32,64,128,256,512,1024,2048,4096,8192,16384,32768}),2)*(1-MOD(INT(($CJ16+AS196)/{2,4,8,16,32,64,128,256,512,1024,2048,4096,8192,16384,32768}),2))*{2,4,8,16,32,64,128,256,512,1024,2048,4096,8192,16384,32768})=0,0,2^SUMPRODUCT(--(MOD(SUMPRODUCT(MOD(INT(AT151/{2,4,8,16,32,64,128,256,512,1024,2048,4096,8192,16384,32768}),2)*(1-MOD(INT(($CJ16+AS196)/{2,4,8,16,32,64,128,256,512,1024,2048,4096,8192,16384,32768}),2))*{2,4,8,16,32,64,128,256,512,1024,2048,4096,8192,16384,32768}),{2,4,8,16,32,64,128,256,512,1024,2048,4096,8192,16384,32768})=0))))</f>
        <v/>
      </c>
      <c r="AU196">
        <f>AT196+IF(AND(AU106&gt;0,COUNTIF($Y106:AT106,AU106)=0),0,IF(SUMPRODUCT(MOD(INT(AU151/{2,4,8,16,32,64,128,256,512,1024,2048,4096,8192,16384,32768}),2)*(1-MOD(INT(($CJ16+AT196)/{2,4,8,16,32,64,128,256,512,1024,2048,4096,8192,16384,32768}),2))*{2,4,8,16,32,64,128,256,512,1024,2048,4096,8192,16384,32768})=0,0,2^SUMPRODUCT(--(MOD(SUMPRODUCT(MOD(INT(AU151/{2,4,8,16,32,64,128,256,512,1024,2048,4096,8192,16384,32768}),2)*(1-MOD(INT(($CJ16+AT196)/{2,4,8,16,32,64,128,256,512,1024,2048,4096,8192,16384,32768}),2))*{2,4,8,16,32,64,128,256,512,1024,2048,4096,8192,16384,32768}),{2,4,8,16,32,64,128,256,512,1024,2048,4096,8192,16384,32768})=0))))</f>
        <v/>
      </c>
      <c r="AV196">
        <f>AU196+IF(AND(AV106&gt;0,COUNTIF($Y106:AU106,AV106)=0),0,IF(SUMPRODUCT(MOD(INT(AV151/{2,4,8,16,32,64,128,256,512,1024,2048,4096,8192,16384,32768}),2)*(1-MOD(INT(($CJ16+AU196)/{2,4,8,16,32,64,128,256,512,1024,2048,4096,8192,16384,32768}),2))*{2,4,8,16,32,64,128,256,512,1024,2048,4096,8192,16384,32768})=0,0,2^SUMPRODUCT(--(MOD(SUMPRODUCT(MOD(INT(AV151/{2,4,8,16,32,64,128,256,512,1024,2048,4096,8192,16384,32768}),2)*(1-MOD(INT(($CJ16+AU196)/{2,4,8,16,32,64,128,256,512,1024,2048,4096,8192,16384,32768}),2))*{2,4,8,16,32,64,128,256,512,1024,2048,4096,8192,16384,32768}),{2,4,8,16,32,64,128,256,512,1024,2048,4096,8192,16384,32768})=0))))</f>
        <v/>
      </c>
      <c r="AW196">
        <f>AV196+IF(AND(AW106&gt;0,COUNTIF($Y106:AV106,AW106)=0),0,IF(SUMPRODUCT(MOD(INT(AW151/{2,4,8,16,32,64,128,256,512,1024,2048,4096,8192,16384,32768}),2)*(1-MOD(INT(($CJ16+AV196)/{2,4,8,16,32,64,128,256,512,1024,2048,4096,8192,16384,32768}),2))*{2,4,8,16,32,64,128,256,512,1024,2048,4096,8192,16384,32768})=0,0,2^SUMPRODUCT(--(MOD(SUMPRODUCT(MOD(INT(AW151/{2,4,8,16,32,64,128,256,512,1024,2048,4096,8192,16384,32768}),2)*(1-MOD(INT(($CJ16+AV196)/{2,4,8,16,32,64,128,256,512,1024,2048,4096,8192,16384,32768}),2))*{2,4,8,16,32,64,128,256,512,1024,2048,4096,8192,16384,32768}),{2,4,8,16,32,64,128,256,512,1024,2048,4096,8192,16384,32768})=0))))</f>
        <v/>
      </c>
      <c r="AX196">
        <f>AW196+IF(AND(AX106&gt;0,COUNTIF($Y106:AW106,AX106)=0),0,IF(SUMPRODUCT(MOD(INT(AX151/{2,4,8,16,32,64,128,256,512,1024,2048,4096,8192,16384,32768}),2)*(1-MOD(INT(($CJ16+AW196)/{2,4,8,16,32,64,128,256,512,1024,2048,4096,8192,16384,32768}),2))*{2,4,8,16,32,64,128,256,512,1024,2048,4096,8192,16384,32768})=0,0,2^SUMPRODUCT(--(MOD(SUMPRODUCT(MOD(INT(AX151/{2,4,8,16,32,64,128,256,512,1024,2048,4096,8192,16384,32768}),2)*(1-MOD(INT(($CJ16+AW196)/{2,4,8,16,32,64,128,256,512,1024,2048,4096,8192,16384,32768}),2))*{2,4,8,16,32,64,128,256,512,1024,2048,4096,8192,16384,32768}),{2,4,8,16,32,64,128,256,512,1024,2048,4096,8192,16384,32768})=0))))</f>
        <v/>
      </c>
      <c r="AY196">
        <f>AX196+IF(AND(AY106&gt;0,COUNTIF($Y106:AX106,AY106)=0),0,IF(SUMPRODUCT(MOD(INT(AY151/{2,4,8,16,32,64,128,256,512,1024,2048,4096,8192,16384,32768}),2)*(1-MOD(INT(($CJ16+AX196)/{2,4,8,16,32,64,128,256,512,1024,2048,4096,8192,16384,32768}),2))*{2,4,8,16,32,64,128,256,512,1024,2048,4096,8192,16384,32768})=0,0,2^SUMPRODUCT(--(MOD(SUMPRODUCT(MOD(INT(AY151/{2,4,8,16,32,64,128,256,512,1024,2048,4096,8192,16384,32768}),2)*(1-MOD(INT(($CJ16+AX196)/{2,4,8,16,32,64,128,256,512,1024,2048,4096,8192,16384,32768}),2))*{2,4,8,16,32,64,128,256,512,1024,2048,4096,8192,16384,32768}),{2,4,8,16,32,64,128,256,512,1024,2048,4096,8192,16384,32768})=0))))</f>
        <v/>
      </c>
      <c r="AZ196">
        <f>AY196+IF(AND(AZ106&gt;0,COUNTIF($Y106:AY106,AZ106)=0),0,IF(SUMPRODUCT(MOD(INT(AZ151/{2,4,8,16,32,64,128,256,512,1024,2048,4096,8192,16384,32768}),2)*(1-MOD(INT(($CJ16+AY196)/{2,4,8,16,32,64,128,256,512,1024,2048,4096,8192,16384,32768}),2))*{2,4,8,16,32,64,128,256,512,1024,2048,4096,8192,16384,32768})=0,0,2^SUMPRODUCT(--(MOD(SUMPRODUCT(MOD(INT(AZ151/{2,4,8,16,32,64,128,256,512,1024,2048,4096,8192,16384,32768}),2)*(1-MOD(INT(($CJ16+AY196)/{2,4,8,16,32,64,128,256,512,1024,2048,4096,8192,16384,32768}),2))*{2,4,8,16,32,64,128,256,512,1024,2048,4096,8192,16384,32768}),{2,4,8,16,32,64,128,256,512,1024,2048,4096,8192,16384,32768})=0))))</f>
        <v/>
      </c>
      <c r="BA196">
        <f>AZ196+IF(AND(BA106&gt;0,COUNTIF($Y106:AZ106,BA106)=0),0,IF(SUMPRODUCT(MOD(INT(BA151/{2,4,8,16,32,64,128,256,512,1024,2048,4096,8192,16384,32768}),2)*(1-MOD(INT(($CJ16+AZ196)/{2,4,8,16,32,64,128,256,512,1024,2048,4096,8192,16384,32768}),2))*{2,4,8,16,32,64,128,256,512,1024,2048,4096,8192,16384,32768})=0,0,2^SUMPRODUCT(--(MOD(SUMPRODUCT(MOD(INT(BA151/{2,4,8,16,32,64,128,256,512,1024,2048,4096,8192,16384,32768}),2)*(1-MOD(INT(($CJ16+AZ196)/{2,4,8,16,32,64,128,256,512,1024,2048,4096,8192,16384,32768}),2))*{2,4,8,16,32,64,128,256,512,1024,2048,4096,8192,16384,32768}),{2,4,8,16,32,64,128,256,512,1024,2048,4096,8192,16384,32768})=0))))</f>
        <v/>
      </c>
      <c r="BB196">
        <f>BA196+IF(AND(BB106&gt;0,COUNTIF($Y106:BA106,BB106)=0),0,IF(SUMPRODUCT(MOD(INT(BB151/{2,4,8,16,32,64,128,256,512,1024,2048,4096,8192,16384,32768}),2)*(1-MOD(INT(($CJ16+BA196)/{2,4,8,16,32,64,128,256,512,1024,2048,4096,8192,16384,32768}),2))*{2,4,8,16,32,64,128,256,512,1024,2048,4096,8192,16384,32768})=0,0,2^SUMPRODUCT(--(MOD(SUMPRODUCT(MOD(INT(BB151/{2,4,8,16,32,64,128,256,512,1024,2048,4096,8192,16384,32768}),2)*(1-MOD(INT(($CJ16+BA196)/{2,4,8,16,32,64,128,256,512,1024,2048,4096,8192,16384,32768}),2))*{2,4,8,16,32,64,128,256,512,1024,2048,4096,8192,16384,32768}),{2,4,8,16,32,64,128,256,512,1024,2048,4096,8192,16384,32768})=0))))</f>
        <v/>
      </c>
      <c r="BC196">
        <f>BB196+IF(AND(BC106&gt;0,COUNTIF($Y106:BB106,BC106)=0),0,IF(SUMPRODUCT(MOD(INT(BC151/{2,4,8,16,32,64,128,256,512,1024,2048,4096,8192,16384,32768}),2)*(1-MOD(INT(($CJ16+BB196)/{2,4,8,16,32,64,128,256,512,1024,2048,4096,8192,16384,32768}),2))*{2,4,8,16,32,64,128,256,512,1024,2048,4096,8192,16384,32768})=0,0,2^SUMPRODUCT(--(MOD(SUMPRODUCT(MOD(INT(BC151/{2,4,8,16,32,64,128,256,512,1024,2048,4096,8192,16384,32768}),2)*(1-MOD(INT(($CJ16+BB196)/{2,4,8,16,32,64,128,256,512,1024,2048,4096,8192,16384,32768}),2))*{2,4,8,16,32,64,128,256,512,1024,2048,4096,8192,16384,32768}),{2,4,8,16,32,64,128,256,512,1024,2048,4096,8192,16384,32768})=0))))</f>
        <v/>
      </c>
      <c r="BD196">
        <f>BC196+IF(AND(BD106&gt;0,COUNTIF($Y106:BC106,BD106)=0),0,IF(SUMPRODUCT(MOD(INT(BD151/{2,4,8,16,32,64,128,256,512,1024,2048,4096,8192,16384,32768}),2)*(1-MOD(INT(($CJ16+BC196)/{2,4,8,16,32,64,128,256,512,1024,2048,4096,8192,16384,32768}),2))*{2,4,8,16,32,64,128,256,512,1024,2048,4096,8192,16384,32768})=0,0,2^SUMPRODUCT(--(MOD(SUMPRODUCT(MOD(INT(BD151/{2,4,8,16,32,64,128,256,512,1024,2048,4096,8192,16384,32768}),2)*(1-MOD(INT(($CJ16+BC196)/{2,4,8,16,32,64,128,256,512,1024,2048,4096,8192,16384,32768}),2))*{2,4,8,16,32,64,128,256,512,1024,2048,4096,8192,16384,32768}),{2,4,8,16,32,64,128,256,512,1024,2048,4096,8192,16384,32768})=0))))</f>
        <v/>
      </c>
      <c r="BE196">
        <f>BD196+IF(AND(BE106&gt;0,COUNTIF($Y106:BD106,BE106)=0),0,IF(SUMPRODUCT(MOD(INT(BE151/{2,4,8,16,32,64,128,256,512,1024,2048,4096,8192,16384,32768}),2)*(1-MOD(INT(($CJ16+BD196)/{2,4,8,16,32,64,128,256,512,1024,2048,4096,8192,16384,32768}),2))*{2,4,8,16,32,64,128,256,512,1024,2048,4096,8192,16384,32768})=0,0,2^SUMPRODUCT(--(MOD(SUMPRODUCT(MOD(INT(BE151/{2,4,8,16,32,64,128,256,512,1024,2048,4096,8192,16384,32768}),2)*(1-MOD(INT(($CJ16+BD196)/{2,4,8,16,32,64,128,256,512,1024,2048,4096,8192,16384,32768}),2))*{2,4,8,16,32,64,128,256,512,1024,2048,4096,8192,16384,32768}),{2,4,8,16,32,64,128,256,512,1024,2048,4096,8192,16384,32768})=0))))</f>
        <v/>
      </c>
      <c r="BF196">
        <f>BE196+IF(AND(BF106&gt;0,COUNTIF($Y106:BE106,BF106)=0),0,IF(SUMPRODUCT(MOD(INT(BF151/{2,4,8,16,32,64,128,256,512,1024,2048,4096,8192,16384,32768}),2)*(1-MOD(INT(($CJ16+BE196)/{2,4,8,16,32,64,128,256,512,1024,2048,4096,8192,16384,32768}),2))*{2,4,8,16,32,64,128,256,512,1024,2048,4096,8192,16384,32768})=0,0,2^SUMPRODUCT(--(MOD(SUMPRODUCT(MOD(INT(BF151/{2,4,8,16,32,64,128,256,512,1024,2048,4096,8192,16384,32768}),2)*(1-MOD(INT(($CJ16+BE196)/{2,4,8,16,32,64,128,256,512,1024,2048,4096,8192,16384,32768}),2))*{2,4,8,16,32,64,128,256,512,1024,2048,4096,8192,16384,32768}),{2,4,8,16,32,64,128,256,512,1024,2048,4096,8192,16384,32768})=0))))</f>
        <v/>
      </c>
      <c r="BG196">
        <f>BF196+IF(AND(BG106&gt;0,COUNTIF($Y106:BF106,BG106)=0),0,IF(SUMPRODUCT(MOD(INT(BG151/{2,4,8,16,32,64,128,256,512,1024,2048,4096,8192,16384,32768}),2)*(1-MOD(INT(($CJ16+BF196)/{2,4,8,16,32,64,128,256,512,1024,2048,4096,8192,16384,32768}),2))*{2,4,8,16,32,64,128,256,512,1024,2048,4096,8192,16384,32768})=0,0,2^SUMPRODUCT(--(MOD(SUMPRODUCT(MOD(INT(BG151/{2,4,8,16,32,64,128,256,512,1024,2048,4096,8192,16384,32768}),2)*(1-MOD(INT(($CJ16+BF196)/{2,4,8,16,32,64,128,256,512,1024,2048,4096,8192,16384,32768}),2))*{2,4,8,16,32,64,128,256,512,1024,2048,4096,8192,16384,32768}),{2,4,8,16,32,64,128,256,512,1024,2048,4096,8192,16384,32768})=0))))</f>
        <v/>
      </c>
      <c r="BH196">
        <f>BG196+IF(AND(BH106&gt;0,COUNTIF($Y106:BG106,BH106)=0),0,IF(SUMPRODUCT(MOD(INT(BH151/{2,4,8,16,32,64,128,256,512,1024,2048,4096,8192,16384,32768}),2)*(1-MOD(INT(($CJ16+BG196)/{2,4,8,16,32,64,128,256,512,1024,2048,4096,8192,16384,32768}),2))*{2,4,8,16,32,64,128,256,512,1024,2048,4096,8192,16384,32768})=0,0,2^SUMPRODUCT(--(MOD(SUMPRODUCT(MOD(INT(BH151/{2,4,8,16,32,64,128,256,512,1024,2048,4096,8192,16384,32768}),2)*(1-MOD(INT(($CJ16+BG196)/{2,4,8,16,32,64,128,256,512,1024,2048,4096,8192,16384,32768}),2))*{2,4,8,16,32,64,128,256,512,1024,2048,4096,8192,16384,32768}),{2,4,8,16,32,64,128,256,512,1024,2048,4096,8192,16384,32768})=0))))</f>
        <v/>
      </c>
      <c r="BI196">
        <f>BH196+IF(AND(BI106&gt;0,COUNTIF($Y106:BH106,BI106)=0),0,IF(SUMPRODUCT(MOD(INT(BI151/{2,4,8,16,32,64,128,256,512,1024,2048,4096,8192,16384,32768}),2)*(1-MOD(INT(($CJ16+BH196)/{2,4,8,16,32,64,128,256,512,1024,2048,4096,8192,16384,32768}),2))*{2,4,8,16,32,64,128,256,512,1024,2048,4096,8192,16384,32768})=0,0,2^SUMPRODUCT(--(MOD(SUMPRODUCT(MOD(INT(BI151/{2,4,8,16,32,64,128,256,512,1024,2048,4096,8192,16384,32768}),2)*(1-MOD(INT(($CJ16+BH196)/{2,4,8,16,32,64,128,256,512,1024,2048,4096,8192,16384,32768}),2))*{2,4,8,16,32,64,128,256,512,1024,2048,4096,8192,16384,32768}),{2,4,8,16,32,64,128,256,512,1024,2048,4096,8192,16384,32768})=0))))</f>
        <v/>
      </c>
      <c r="BJ196">
        <f>BI196+IF(AND(BJ106&gt;0,COUNTIF($Y106:BI106,BJ106)=0),0,IF(SUMPRODUCT(MOD(INT(BJ151/{2,4,8,16,32,64,128,256,512,1024,2048,4096,8192,16384,32768}),2)*(1-MOD(INT(($CJ16+BI196)/{2,4,8,16,32,64,128,256,512,1024,2048,4096,8192,16384,32768}),2))*{2,4,8,16,32,64,128,256,512,1024,2048,4096,8192,16384,32768})=0,0,2^SUMPRODUCT(--(MOD(SUMPRODUCT(MOD(INT(BJ151/{2,4,8,16,32,64,128,256,512,1024,2048,4096,8192,16384,32768}),2)*(1-MOD(INT(($CJ16+BI196)/{2,4,8,16,32,64,128,256,512,1024,2048,4096,8192,16384,32768}),2))*{2,4,8,16,32,64,128,256,512,1024,2048,4096,8192,16384,32768}),{2,4,8,16,32,64,128,256,512,1024,2048,4096,8192,16384,32768})=0))))</f>
        <v/>
      </c>
      <c r="BK196">
        <f>BJ196+IF(AND(BK106&gt;0,COUNTIF($Y106:BJ106,BK106)=0),0,IF(SUMPRODUCT(MOD(INT(BK151/{2,4,8,16,32,64,128,256,512,1024,2048,4096,8192,16384,32768}),2)*(1-MOD(INT(($CJ16+BJ196)/{2,4,8,16,32,64,128,256,512,1024,2048,4096,8192,16384,32768}),2))*{2,4,8,16,32,64,128,256,512,1024,2048,4096,8192,16384,32768})=0,0,2^SUMPRODUCT(--(MOD(SUMPRODUCT(MOD(INT(BK151/{2,4,8,16,32,64,128,256,512,1024,2048,4096,8192,16384,32768}),2)*(1-MOD(INT(($CJ16+BJ196)/{2,4,8,16,32,64,128,256,512,1024,2048,4096,8192,16384,32768}),2))*{2,4,8,16,32,64,128,256,512,1024,2048,4096,8192,16384,32768}),{2,4,8,16,32,64,128,256,512,1024,2048,4096,8192,16384,32768})=0))))</f>
        <v/>
      </c>
      <c r="BL196">
        <f>BK196+IF(AND(BL106&gt;0,COUNTIF($Y106:BK106,BL106)=0),0,IF(SUMPRODUCT(MOD(INT(BL151/{2,4,8,16,32,64,128,256,512,1024,2048,4096,8192,16384,32768}),2)*(1-MOD(INT(($CJ16+BK196)/{2,4,8,16,32,64,128,256,512,1024,2048,4096,8192,16384,32768}),2))*{2,4,8,16,32,64,128,256,512,1024,2048,4096,8192,16384,32768})=0,0,2^SUMPRODUCT(--(MOD(SUMPRODUCT(MOD(INT(BL151/{2,4,8,16,32,64,128,256,512,1024,2048,4096,8192,16384,32768}),2)*(1-MOD(INT(($CJ16+BK196)/{2,4,8,16,32,64,128,256,512,1024,2048,4096,8192,16384,32768}),2))*{2,4,8,16,32,64,128,256,512,1024,2048,4096,8192,16384,32768}),{2,4,8,16,32,64,128,256,512,1024,2048,4096,8192,16384,32768})=0))))</f>
        <v/>
      </c>
      <c r="BM196">
        <f>BL196+IF(AND(BM106&gt;0,COUNTIF($Y106:BL106,BM106)=0),0,IF(SUMPRODUCT(MOD(INT(BM151/{2,4,8,16,32,64,128,256,512,1024,2048,4096,8192,16384,32768}),2)*(1-MOD(INT(($CJ16+BL196)/{2,4,8,16,32,64,128,256,512,1024,2048,4096,8192,16384,32768}),2))*{2,4,8,16,32,64,128,256,512,1024,2048,4096,8192,16384,32768})=0,0,2^SUMPRODUCT(--(MOD(SUMPRODUCT(MOD(INT(BM151/{2,4,8,16,32,64,128,256,512,1024,2048,4096,8192,16384,32768}),2)*(1-MOD(INT(($CJ16+BL196)/{2,4,8,16,32,64,128,256,512,1024,2048,4096,8192,16384,32768}),2))*{2,4,8,16,32,64,128,256,512,1024,2048,4096,8192,16384,32768}),{2,4,8,16,32,64,128,256,512,1024,2048,4096,8192,16384,32768})=0))))</f>
        <v/>
      </c>
      <c r="BN196">
        <f>BM196+IF(AND(BN106&gt;0,COUNTIF($Y106:BM106,BN106)=0),0,IF(SUMPRODUCT(MOD(INT(BN151/{2,4,8,16,32,64,128,256,512,1024,2048,4096,8192,16384,32768}),2)*(1-MOD(INT(($CJ16+BM196)/{2,4,8,16,32,64,128,256,512,1024,2048,4096,8192,16384,32768}),2))*{2,4,8,16,32,64,128,256,512,1024,2048,4096,8192,16384,32768})=0,0,2^SUMPRODUCT(--(MOD(SUMPRODUCT(MOD(INT(BN151/{2,4,8,16,32,64,128,256,512,1024,2048,4096,8192,16384,32768}),2)*(1-MOD(INT(($CJ16+BM196)/{2,4,8,16,32,64,128,256,512,1024,2048,4096,8192,16384,32768}),2))*{2,4,8,16,32,64,128,256,512,1024,2048,4096,8192,16384,32768}),{2,4,8,16,32,64,128,256,512,1024,2048,4096,8192,16384,32768})=0))))</f>
        <v/>
      </c>
      <c r="BO196">
        <f>BN196+IF(AND(BO106&gt;0,COUNTIF($Y106:BN106,BO106)=0),0,IF(SUMPRODUCT(MOD(INT(BO151/{2,4,8,16,32,64,128,256,512,1024,2048,4096,8192,16384,32768}),2)*(1-MOD(INT(($CJ16+BN196)/{2,4,8,16,32,64,128,256,512,1024,2048,4096,8192,16384,32768}),2))*{2,4,8,16,32,64,128,256,512,1024,2048,4096,8192,16384,32768})=0,0,2^SUMPRODUCT(--(MOD(SUMPRODUCT(MOD(INT(BO151/{2,4,8,16,32,64,128,256,512,1024,2048,4096,8192,16384,32768}),2)*(1-MOD(INT(($CJ16+BN196)/{2,4,8,16,32,64,128,256,512,1024,2048,4096,8192,16384,32768}),2))*{2,4,8,16,32,64,128,256,512,1024,2048,4096,8192,16384,32768}),{2,4,8,16,32,64,128,256,512,1024,2048,4096,8192,16384,32768})=0))))</f>
        <v/>
      </c>
      <c r="BP196">
        <f>BO196+IF(AND(BP106&gt;0,COUNTIF($Y106:BO106,BP106)=0),0,IF(SUMPRODUCT(MOD(INT(BP151/{2,4,8,16,32,64,128,256,512,1024,2048,4096,8192,16384,32768}),2)*(1-MOD(INT(($CJ16+BO196)/{2,4,8,16,32,64,128,256,512,1024,2048,4096,8192,16384,32768}),2))*{2,4,8,16,32,64,128,256,512,1024,2048,4096,8192,16384,32768})=0,0,2^SUMPRODUCT(--(MOD(SUMPRODUCT(MOD(INT(BP151/{2,4,8,16,32,64,128,256,512,1024,2048,4096,8192,16384,32768}),2)*(1-MOD(INT(($CJ16+BO196)/{2,4,8,16,32,64,128,256,512,1024,2048,4096,8192,16384,32768}),2))*{2,4,8,16,32,64,128,256,512,1024,2048,4096,8192,16384,32768}),{2,4,8,16,32,64,128,256,512,1024,2048,4096,8192,16384,32768})=0))))</f>
        <v/>
      </c>
      <c r="BQ196">
        <f>BP196+IF(AND(BQ106&gt;0,COUNTIF($Y106:BP106,BQ106)=0),0,IF(SUMPRODUCT(MOD(INT(BQ151/{2,4,8,16,32,64,128,256,512,1024,2048,4096,8192,16384,32768}),2)*(1-MOD(INT(($CJ16+BP196)/{2,4,8,16,32,64,128,256,512,1024,2048,4096,8192,16384,32768}),2))*{2,4,8,16,32,64,128,256,512,1024,2048,4096,8192,16384,32768})=0,0,2^SUMPRODUCT(--(MOD(SUMPRODUCT(MOD(INT(BQ151/{2,4,8,16,32,64,128,256,512,1024,2048,4096,8192,16384,32768}),2)*(1-MOD(INT(($CJ16+BP196)/{2,4,8,16,32,64,128,256,512,1024,2048,4096,8192,16384,32768}),2))*{2,4,8,16,32,64,128,256,512,1024,2048,4096,8192,16384,32768}),{2,4,8,16,32,64,128,256,512,1024,2048,4096,8192,16384,32768})=0))))</f>
        <v/>
      </c>
      <c r="BR196">
        <f>BQ196+IF(AND(BR106&gt;0,COUNTIF($Y106:BQ106,BR106)=0),0,IF(SUMPRODUCT(MOD(INT(BR151/{2,4,8,16,32,64,128,256,512,1024,2048,4096,8192,16384,32768}),2)*(1-MOD(INT(($CJ16+BQ196)/{2,4,8,16,32,64,128,256,512,1024,2048,4096,8192,16384,32768}),2))*{2,4,8,16,32,64,128,256,512,1024,2048,4096,8192,16384,32768})=0,0,2^SUMPRODUCT(--(MOD(SUMPRODUCT(MOD(INT(BR151/{2,4,8,16,32,64,128,256,512,1024,2048,4096,8192,16384,32768}),2)*(1-MOD(INT(($CJ16+BQ196)/{2,4,8,16,32,64,128,256,512,1024,2048,4096,8192,16384,32768}),2))*{2,4,8,16,32,64,128,256,512,1024,2048,4096,8192,16384,32768}),{2,4,8,16,32,64,128,256,512,1024,2048,4096,8192,16384,32768})=0))))</f>
        <v/>
      </c>
      <c r="BS196">
        <f>BR196+IF(AND(BS106&gt;0,COUNTIF($Y106:BR106,BS106)=0),0,IF(SUMPRODUCT(MOD(INT(BS151/{2,4,8,16,32,64,128,256,512,1024,2048,4096,8192,16384,32768}),2)*(1-MOD(INT(($CJ16+BR196)/{2,4,8,16,32,64,128,256,512,1024,2048,4096,8192,16384,32768}),2))*{2,4,8,16,32,64,128,256,512,1024,2048,4096,8192,16384,32768})=0,0,2^SUMPRODUCT(--(MOD(SUMPRODUCT(MOD(INT(BS151/{2,4,8,16,32,64,128,256,512,1024,2048,4096,8192,16384,32768}),2)*(1-MOD(INT(($CJ16+BR196)/{2,4,8,16,32,64,128,256,512,1024,2048,4096,8192,16384,32768}),2))*{2,4,8,16,32,64,128,256,512,1024,2048,4096,8192,16384,32768}),{2,4,8,16,32,64,128,256,512,1024,2048,4096,8192,16384,32768})=0))))</f>
        <v/>
      </c>
      <c r="BT196">
        <f>BS196+IF(AND(BT106&gt;0,COUNTIF($Y106:BS106,BT106)=0),0,IF(SUMPRODUCT(MOD(INT(BT151/{2,4,8,16,32,64,128,256,512,1024,2048,4096,8192,16384,32768}),2)*(1-MOD(INT(($CJ16+BS196)/{2,4,8,16,32,64,128,256,512,1024,2048,4096,8192,16384,32768}),2))*{2,4,8,16,32,64,128,256,512,1024,2048,4096,8192,16384,32768})=0,0,2^SUMPRODUCT(--(MOD(SUMPRODUCT(MOD(INT(BT151/{2,4,8,16,32,64,128,256,512,1024,2048,4096,8192,16384,32768}),2)*(1-MOD(INT(($CJ16+BS196)/{2,4,8,16,32,64,128,256,512,1024,2048,4096,8192,16384,32768}),2))*{2,4,8,16,32,64,128,256,512,1024,2048,4096,8192,16384,32768}),{2,4,8,16,32,64,128,256,512,1024,2048,4096,8192,16384,32768})=0))))</f>
        <v/>
      </c>
      <c r="BU196">
        <f>BT196+IF(AND(BU106&gt;0,COUNTIF($Y106:BT106,BU106)=0),0,IF(SUMPRODUCT(MOD(INT(BU151/{2,4,8,16,32,64,128,256,512,1024,2048,4096,8192,16384,32768}),2)*(1-MOD(INT(($CJ16+BT196)/{2,4,8,16,32,64,128,256,512,1024,2048,4096,8192,16384,32768}),2))*{2,4,8,16,32,64,128,256,512,1024,2048,4096,8192,16384,32768})=0,0,2^SUMPRODUCT(--(MOD(SUMPRODUCT(MOD(INT(BU151/{2,4,8,16,32,64,128,256,512,1024,2048,4096,8192,16384,32768}),2)*(1-MOD(INT(($CJ16+BT196)/{2,4,8,16,32,64,128,256,512,1024,2048,4096,8192,16384,32768}),2))*{2,4,8,16,32,64,128,256,512,1024,2048,4096,8192,16384,32768}),{2,4,8,16,32,64,128,256,512,1024,2048,4096,8192,16384,32768})=0))))</f>
        <v/>
      </c>
      <c r="BV196">
        <f>BU196+IF(AND(BV106&gt;0,COUNTIF($Y106:BU106,BV106)=0),0,IF(SUMPRODUCT(MOD(INT(BV151/{2,4,8,16,32,64,128,256,512,1024,2048,4096,8192,16384,32768}),2)*(1-MOD(INT(($CJ16+BU196)/{2,4,8,16,32,64,128,256,512,1024,2048,4096,8192,16384,32768}),2))*{2,4,8,16,32,64,128,256,512,1024,2048,4096,8192,16384,32768})=0,0,2^SUMPRODUCT(--(MOD(SUMPRODUCT(MOD(INT(BV151/{2,4,8,16,32,64,128,256,512,1024,2048,4096,8192,16384,32768}),2)*(1-MOD(INT(($CJ16+BU196)/{2,4,8,16,32,64,128,256,512,1024,2048,4096,8192,16384,32768}),2))*{2,4,8,16,32,64,128,256,512,1024,2048,4096,8192,16384,32768}),{2,4,8,16,32,64,128,256,512,1024,2048,4096,8192,16384,32768})=0))))</f>
        <v/>
      </c>
      <c r="BW196">
        <f>BV196+IF(AND(BW106&gt;0,COUNTIF($Y106:BV106,BW106)=0),0,IF(SUMPRODUCT(MOD(INT(BW151/{2,4,8,16,32,64,128,256,512,1024,2048,4096,8192,16384,32768}),2)*(1-MOD(INT(($CJ16+BV196)/{2,4,8,16,32,64,128,256,512,1024,2048,4096,8192,16384,32768}),2))*{2,4,8,16,32,64,128,256,512,1024,2048,4096,8192,16384,32768})=0,0,2^SUMPRODUCT(--(MOD(SUMPRODUCT(MOD(INT(BW151/{2,4,8,16,32,64,128,256,512,1024,2048,4096,8192,16384,32768}),2)*(1-MOD(INT(($CJ16+BV196)/{2,4,8,16,32,64,128,256,512,1024,2048,4096,8192,16384,32768}),2))*{2,4,8,16,32,64,128,256,512,1024,2048,4096,8192,16384,32768}),{2,4,8,16,32,64,128,256,512,1024,2048,4096,8192,16384,32768})=0))))</f>
        <v/>
      </c>
      <c r="BX196">
        <f>BW196+IF(AND(BX106&gt;0,COUNTIF($Y106:BW106,BX106)=0),0,IF(SUMPRODUCT(MOD(INT(BX151/{2,4,8,16,32,64,128,256,512,1024,2048,4096,8192,16384,32768}),2)*(1-MOD(INT(($CJ16+BW196)/{2,4,8,16,32,64,128,256,512,1024,2048,4096,8192,16384,32768}),2))*{2,4,8,16,32,64,128,256,512,1024,2048,4096,8192,16384,32768})=0,0,2^SUMPRODUCT(--(MOD(SUMPRODUCT(MOD(INT(BX151/{2,4,8,16,32,64,128,256,512,1024,2048,4096,8192,16384,32768}),2)*(1-MOD(INT(($CJ16+BW196)/{2,4,8,16,32,64,128,256,512,1024,2048,4096,8192,16384,32768}),2))*{2,4,8,16,32,64,128,256,512,1024,2048,4096,8192,16384,32768}),{2,4,8,16,32,64,128,256,512,1024,2048,4096,8192,16384,32768})=0))))</f>
        <v/>
      </c>
      <c r="BY196">
        <f>BX196+IF(AND(BY106&gt;0,COUNTIF($Y106:BX106,BY106)=0),0,IF(SUMPRODUCT(MOD(INT(BY151/{2,4,8,16,32,64,128,256,512,1024,2048,4096,8192,16384,32768}),2)*(1-MOD(INT(($CJ16+BX196)/{2,4,8,16,32,64,128,256,512,1024,2048,4096,8192,16384,32768}),2))*{2,4,8,16,32,64,128,256,512,1024,2048,4096,8192,16384,32768})=0,0,2^SUMPRODUCT(--(MOD(SUMPRODUCT(MOD(INT(BY151/{2,4,8,16,32,64,128,256,512,1024,2048,4096,8192,16384,32768}),2)*(1-MOD(INT(($CJ16+BX196)/{2,4,8,16,32,64,128,256,512,1024,2048,4096,8192,16384,32768}),2))*{2,4,8,16,32,64,128,256,512,1024,2048,4096,8192,16384,32768}),{2,4,8,16,32,64,128,256,512,1024,2048,4096,8192,16384,32768})=0))))</f>
        <v/>
      </c>
      <c r="BZ196">
        <f>BY196+IF(AND(BZ106&gt;0,COUNTIF($Y106:BY106,BZ106)=0),0,IF(SUMPRODUCT(MOD(INT(BZ151/{2,4,8,16,32,64,128,256,512,1024,2048,4096,8192,16384,32768}),2)*(1-MOD(INT(($CJ16+BY196)/{2,4,8,16,32,64,128,256,512,1024,2048,4096,8192,16384,32768}),2))*{2,4,8,16,32,64,128,256,512,1024,2048,4096,8192,16384,32768})=0,0,2^SUMPRODUCT(--(MOD(SUMPRODUCT(MOD(INT(BZ151/{2,4,8,16,32,64,128,256,512,1024,2048,4096,8192,16384,32768}),2)*(1-MOD(INT(($CJ16+BY196)/{2,4,8,16,32,64,128,256,512,1024,2048,4096,8192,16384,32768}),2))*{2,4,8,16,32,64,128,256,512,1024,2048,4096,8192,16384,32768}),{2,4,8,16,32,64,128,256,512,1024,2048,4096,8192,16384,32768})=0))))</f>
        <v/>
      </c>
      <c r="CA196">
        <f>BZ196+IF(AND(CA106&gt;0,COUNTIF($Y106:BZ106,CA106)=0),0,IF(SUMPRODUCT(MOD(INT(CA151/{2,4,8,16,32,64,128,256,512,1024,2048,4096,8192,16384,32768}),2)*(1-MOD(INT(($CJ16+BZ196)/{2,4,8,16,32,64,128,256,512,1024,2048,4096,8192,16384,32768}),2))*{2,4,8,16,32,64,128,256,512,1024,2048,4096,8192,16384,32768})=0,0,2^SUMPRODUCT(--(MOD(SUMPRODUCT(MOD(INT(CA151/{2,4,8,16,32,64,128,256,512,1024,2048,4096,8192,16384,32768}),2)*(1-MOD(INT(($CJ16+BZ196)/{2,4,8,16,32,64,128,256,512,1024,2048,4096,8192,16384,32768}),2))*{2,4,8,16,32,64,128,256,512,1024,2048,4096,8192,16384,32768}),{2,4,8,16,32,64,128,256,512,1024,2048,4096,8192,16384,32768})=0))))</f>
        <v/>
      </c>
      <c r="CB196">
        <f>CA196+IF(AND(CB106&gt;0,COUNTIF($Y106:CA106,CB106)=0),0,IF(SUMPRODUCT(MOD(INT(CB151/{2,4,8,16,32,64,128,256,512,1024,2048,4096,8192,16384,32768}),2)*(1-MOD(INT(($CJ16+CA196)/{2,4,8,16,32,64,128,256,512,1024,2048,4096,8192,16384,32768}),2))*{2,4,8,16,32,64,128,256,512,1024,2048,4096,8192,16384,32768})=0,0,2^SUMPRODUCT(--(MOD(SUMPRODUCT(MOD(INT(CB151/{2,4,8,16,32,64,128,256,512,1024,2048,4096,8192,16384,32768}),2)*(1-MOD(INT(($CJ16+CA196)/{2,4,8,16,32,64,128,256,512,1024,2048,4096,8192,16384,32768}),2))*{2,4,8,16,32,64,128,256,512,1024,2048,4096,8192,16384,32768}),{2,4,8,16,32,64,128,256,512,1024,2048,4096,8192,16384,32768})=0))))</f>
        <v/>
      </c>
      <c r="CC196">
        <f>CB196+IF(AND(CC106&gt;0,COUNTIF($Y106:CB106,CC106)=0),0,IF(SUMPRODUCT(MOD(INT(CC151/{2,4,8,16,32,64,128,256,512,1024,2048,4096,8192,16384,32768}),2)*(1-MOD(INT(($CJ16+CB196)/{2,4,8,16,32,64,128,256,512,1024,2048,4096,8192,16384,32768}),2))*{2,4,8,16,32,64,128,256,512,1024,2048,4096,8192,16384,32768})=0,0,2^SUMPRODUCT(--(MOD(SUMPRODUCT(MOD(INT(CC151/{2,4,8,16,32,64,128,256,512,1024,2048,4096,8192,16384,32768}),2)*(1-MOD(INT(($CJ16+CB196)/{2,4,8,16,32,64,128,256,512,1024,2048,4096,8192,16384,32768}),2))*{2,4,8,16,32,64,128,256,512,1024,2048,4096,8192,16384,32768}),{2,4,8,16,32,64,128,256,512,1024,2048,4096,8192,16384,32768})=0))))</f>
        <v/>
      </c>
      <c r="CD196">
        <f>CC196+IF(AND(CD106&gt;0,COUNTIF($Y106:CC106,CD106)=0),0,IF(SUMPRODUCT(MOD(INT(CD151/{2,4,8,16,32,64,128,256,512,1024,2048,4096,8192,16384,32768}),2)*(1-MOD(INT(($CJ16+CC196)/{2,4,8,16,32,64,128,256,512,1024,2048,4096,8192,16384,32768}),2))*{2,4,8,16,32,64,128,256,512,1024,2048,4096,8192,16384,32768})=0,0,2^SUMPRODUCT(--(MOD(SUMPRODUCT(MOD(INT(CD151/{2,4,8,16,32,64,128,256,512,1024,2048,4096,8192,16384,32768}),2)*(1-MOD(INT(($CJ16+CC196)/{2,4,8,16,32,64,128,256,512,1024,2048,4096,8192,16384,32768}),2))*{2,4,8,16,32,64,128,256,512,1024,2048,4096,8192,16384,32768}),{2,4,8,16,32,64,128,256,512,1024,2048,4096,8192,16384,32768})=0))))</f>
        <v/>
      </c>
      <c r="CE196">
        <f>CD196+IF(AND(CE106&gt;0,COUNTIF($Y106:CD106,CE106)=0),0,IF(SUMPRODUCT(MOD(INT(CE151/{2,4,8,16,32,64,128,256,512,1024,2048,4096,8192,16384,32768}),2)*(1-MOD(INT(($CJ16+CD196)/{2,4,8,16,32,64,128,256,512,1024,2048,4096,8192,16384,32768}),2))*{2,4,8,16,32,64,128,256,512,1024,2048,4096,8192,16384,32768})=0,0,2^SUMPRODUCT(--(MOD(SUMPRODUCT(MOD(INT(CE151/{2,4,8,16,32,64,128,256,512,1024,2048,4096,8192,16384,32768}),2)*(1-MOD(INT(($CJ16+CD196)/{2,4,8,16,32,64,128,256,512,1024,2048,4096,8192,16384,32768}),2))*{2,4,8,16,32,64,128,256,512,1024,2048,4096,8192,16384,32768}),{2,4,8,16,32,64,128,256,512,1024,2048,4096,8192,16384,32768})=0))))</f>
        <v/>
      </c>
      <c r="CF196">
        <f>CE196+IF(AND(CF106&gt;0,COUNTIF($Y106:CE106,CF106)=0),0,IF(SUMPRODUCT(MOD(INT(CF151/{2,4,8,16,32,64,128,256,512,1024,2048,4096,8192,16384,32768}),2)*(1-MOD(INT(($CJ16+CE196)/{2,4,8,16,32,64,128,256,512,1024,2048,4096,8192,16384,32768}),2))*{2,4,8,16,32,64,128,256,512,1024,2048,4096,8192,16384,32768})=0,0,2^SUMPRODUCT(--(MOD(SUMPRODUCT(MOD(INT(CF151/{2,4,8,16,32,64,128,256,512,1024,2048,4096,8192,16384,32768}),2)*(1-MOD(INT(($CJ16+CE196)/{2,4,8,16,32,64,128,256,512,1024,2048,4096,8192,16384,32768}),2))*{2,4,8,16,32,64,128,256,512,1024,2048,4096,8192,16384,32768}),{2,4,8,16,32,64,128,256,512,1024,2048,4096,8192,16384,32768})=0))))</f>
        <v/>
      </c>
      <c r="DA196" t="n">
        <v>192</v>
      </c>
      <c r="DB196">
        <f>IF($B$37=0,"",IFERROR(TRIM(SUBSTITUTE(SUBSTITUTE(SUBSTITUTE(SUBSTITUTE(INDEX(PASTE_ALL,192,$B$37)," "," "),CHAR(9)," "),CHAR(10)," "),CHAR(13)," ")),""))</f>
        <v/>
      </c>
      <c r="DC196">
        <f>IF(AND(192&gt;HEADER_ROW,UPPER(DB196)="LEGEND"),1,0)</f>
        <v/>
      </c>
      <c r="DE196" t="n">
        <v>192</v>
      </c>
      <c r="DF196">
        <f>HEADER_ROW+$DE196</f>
        <v/>
      </c>
      <c r="DG196">
        <f>IF(AND($DF196&lt;=1000,$DF196&lt;$B$8),1,0)</f>
        <v/>
      </c>
      <c r="DH196">
        <f>IF($DG196=1,IFERROR(INDEX($DB$5:$DB$1004,$DF196),""),"")</f>
        <v/>
      </c>
      <c r="DI196">
        <f>IF(AND($DG196=1,$DH196&lt;&gt;""),IFERROR(SUBSTITUTE(SUBSTITUTE(TRIM(SUBSTITUTE(SUBSTITUTE(SUBSTITUTE(SUBSTITUTE(IFERROR(INDEX(PASTE_ALL,$DF196,1)&amp;"","")&amp;"␟"&amp;IFERROR(INDEX(PASTE_ALL,$DF196,2)&amp;"","")&amp;"␟"&amp;IFERROR(INDEX(PASTE_ALL,$DF196,3)&amp;"","")&amp;"␟"&amp;IFERROR(INDEX(PASTE_ALL,$DF196,4)&amp;"","")&amp;"␟"&amp;IFERROR(INDEX(PASTE_ALL,$DF196,5)&amp;"","")&amp;"␟"&amp;IFERROR(INDEX(PASTE_ALL,$DF196,6)&amp;"","")&amp;"␟"&amp;IFERROR(INDEX(PASTE_ALL,$DF196,7)&amp;"","")&amp;"␟"&amp;IFERROR(INDEX(PASTE_ALL,$DF196,8)&amp;"","")&amp;"␟"&amp;IFERROR(INDEX(PASTE_ALL,$DF196,9)&amp;"","")&amp;"␟"&amp;IFERROR(INDEX(PASTE_ALL,$DF196,10)&amp;"","")&amp;"␟"&amp;IFERROR(INDEX(PASTE_ALL,$DF196,11)&amp;"","")&amp;"␟"&amp;IFERROR(INDEX(PASTE_ALL,$DF196,12)&amp;"","")&amp;"␟"&amp;IFERROR(INDEX(PASTE_ALL,$DF196,13)&amp;"","")&amp;"␟"&amp;IFERROR(INDEX(PASTE_ALL,$DF196,14)&amp;"","")&amp;"␟"&amp;IFERROR(INDEX(PASTE_ALL,$DF196,15)&amp;"","")&amp;"␟"&amp;IFERROR(INDEX(PASTE_ALL,$DF196,16)&amp;"","")&amp;"␟"&amp;IFERROR(INDEX(PASTE_ALL,$DF196,17)&amp;"","")&amp;"␟"&amp;IFERROR(INDEX(PASTE_ALL,$DF196,18)&amp;"","")&amp;"␟"&amp;IFERROR(INDEX(PASTE_ALL,$DF196,19)&amp;"","")&amp;"␟"&amp;IFERROR(INDEX(PASTE_ALL,$DF196,20)&amp;"","")&amp;"␟"&amp;IFERROR(INDEX(PASTE_ALL,$DF196,21)&amp;"","")&amp;"␟"&amp;IFERROR(INDEX(PASTE_ALL,$DF196,22)&amp;"","")&amp;"␟"&amp;IFERROR(INDEX(PASTE_ALL,$DF196,23)&amp;"","")&amp;"␟"&amp;IFERROR(INDEX(PASTE_ALL,$DF196,24)&amp;"","")&amp;"␟"&amp;IFERROR(INDEX(PASTE_ALL,$DF196,25)&amp;"","")&amp;"␟"&amp;IFERROR(INDEX(PASTE_ALL,$DF196,26)&amp;"","")&amp;"␟"&amp;IFERROR(INDEX(PASTE_ALL,$DF196,27)&amp;"","")&amp;"␟"&amp;IFERROR(INDEX(PASTE_ALL,$DF196,28)&amp;"","")&amp;"␟"&amp;IFERROR(INDEX(PASTE_ALL,$DF196,29)&amp;"","")&amp;"␟"&amp;IFERROR(INDEX(PASTE_ALL,$DF196,30)&amp;"","")&amp;"␟"&amp;IFERROR(INDEX(PASTE_ALL,$DF196,31)&amp;"","")&amp;"␟"&amp;IFERROR(INDEX(PASTE_ALL,$DF196,32)&amp;"","")&amp;"␟"&amp;IFERROR(INDEX(PASTE_ALL,$DF196,33)&amp;"","")&amp;"␟"&amp;IFERROR(INDEX(PASTE_ALL,$DF196,34)&amp;"","")&amp;"␟"&amp;IFERROR(INDEX(PASTE_ALL,$DF196,35)&amp;"","")&amp;"␟"&amp;IFERROR(INDEX(PASTE_ALL,$DF196,36)&amp;"","")&amp;"␟"&amp;IFERROR(INDEX(PASTE_ALL,$DF196,37)&amp;"","")&amp;"␟"&amp;IFERROR(INDEX(PASTE_ALL,$DF196,38)&amp;"","")&amp;"␟"&amp;IFERROR(INDEX(PASTE_ALL,$DF196,39)&amp;"","")&amp;"␟"&amp;IFERROR(INDEX(PASTE_ALL,$DF196,40)&amp;"","")&amp;"␟"&amp;IFERROR(INDEX(PASTE_ALL,$DF196,41)&amp;"","")&amp;"␟"&amp;IFERROR(INDEX(PASTE_ALL,$DF196,42)&amp;"","")&amp;"␟"&amp;IFERROR(INDEX(PASTE_ALL,$DF196,43)&amp;"","")&amp;"␟"&amp;IFERROR(INDEX(PASTE_ALL,$DF196,44)&amp;"","")&amp;"␟"&amp;IFERROR(INDEX(PASTE_ALL,$DF196,45)&amp;"","")&amp;"␟"&amp;IFERROR(INDEX(PASTE_ALL,$DF196,46)&amp;"","")&amp;"␟"&amp;IFERROR(INDEX(PASTE_ALL,$DF196,47)&amp;"","")&amp;"␟"&amp;IFERROR(INDEX(PASTE_ALL,$DF196,48)&amp;"","")&amp;"␟"&amp;IFERROR(INDEX(PASTE_ALL,$DF196,49)&amp;"","")&amp;"␟"&amp;IFERROR(INDEX(PASTE_ALL,$DF196,50)&amp;"","")&amp;"␟"&amp;IFERROR(INDEX(PASTE_ALL,$DF196,51)&amp;"","")&amp;"␟"&amp;IFERROR(INDEX(PASTE_ALL,$DF196,52)&amp;"","")&amp;"␟"&amp;IFERROR(INDEX(PASTE_ALL,$DF196,53)&amp;"","")&amp;"␟"&amp;IFERROR(INDEX(PASTE_ALL,$DF196,54)&amp;"","")&amp;"␟"&amp;IFERROR(INDEX(PASTE_ALL,$DF196,55)&amp;"","")&amp;"␟"&amp;IFERROR(INDEX(PASTE_ALL,$DF196,56)&amp;"","")&amp;"␟"&amp;IFERROR(INDEX(PASTE_ALL,$DF196,57)&amp;"","")&amp;"␟"&amp;IFERROR(INDEX(PASTE_ALL,$DF196,58)&amp;"","")&amp;"␟"&amp;IFERROR(INDEX(PASTE_ALL,$DF196,59)&amp;"","")&amp;"␟"&amp;IFERROR(INDEX(PASTE_ALL,$DF196,60)&amp;"","")," "," "),CHAR(9)," "),CHAR(10)," "),CHAR(13)," "))," ␟","␟"),"␟ ","␟"),"#"&amp;$DE196),"")</f>
        <v/>
      </c>
      <c r="DJ196">
        <f>IF($DI196="",0,IF(SUMPRODUCT(--EXACT($DI$4:DI195,$DI196))&gt;0,1,0))</f>
        <v/>
      </c>
      <c r="DK196">
        <f>IF(AND($DI196&lt;&gt;"",$DJ196=0),1,0)</f>
        <v/>
      </c>
      <c r="DL196">
        <f>DL195+$DK196</f>
        <v/>
      </c>
      <c r="DM196">
        <f>IF(AND($DK196=1,$DL196&lt;=600),1,0)</f>
        <v/>
      </c>
      <c r="DN196">
        <f>IF($DM196=0,"",IF($L$6=0,"",IFERROR(IF(ISNUMBER(INDEX(PASTE_ALL,$DF196,$L$6)),INDEX(PASTE_ALL,$DF196,$L$6),TRIM(SUBSTITUTE(SUBSTITUTE(SUBSTITUTE(SUBSTITUTE(INDEX(PASTE_ALL,$DF196,$L$6)," "," "),CHAR(9)," "),CHAR(10)," "),CHAR(13)," "))),"")))</f>
        <v/>
      </c>
      <c r="DO196">
        <f>IF($DM196=0,"",IF($L$7=0,"",IFERROR(IF(ISNUMBER(INDEX(PASTE_ALL,$DF196,$L$7)),INDEX(PASTE_ALL,$DF196,$L$7),TRIM(SUBSTITUTE(SUBSTITUTE(SUBSTITUTE(SUBSTITUTE(INDEX(PASTE_ALL,$DF196,$L$7)," "," "),CHAR(9)," "),CHAR(10)," "),CHAR(13)," "))),"")))</f>
        <v/>
      </c>
      <c r="DP196">
        <f>IF($DM196=0,"",IF($L$8=0,"",IFERROR(IF(ISNUMBER(INDEX(PASTE_ALL,$DF196,$L$8)),INDEX(PASTE_ALL,$DF196,$L$8),TRIM(SUBSTITUTE(SUBSTITUTE(SUBSTITUTE(SUBSTITUTE(INDEX(PASTE_ALL,$DF196,$L$8)," "," "),CHAR(9)," "),CHAR(10)," "),CHAR(13)," "))),"")))</f>
        <v/>
      </c>
      <c r="DQ196">
        <f>IF($DM196=0,"",IF($L$9=0,"",IFERROR(IF(ISNUMBER(INDEX(PASTE_ALL,$DF196,$L$9)),INDEX(PASTE_ALL,$DF196,$L$9),TRIM(SUBSTITUTE(SUBSTITUTE(SUBSTITUTE(SUBSTITUTE(INDEX(PASTE_ALL,$DF196,$L$9)," "," "),CHAR(9)," "),CHAR(10)," "),CHAR(13)," "))),"")))</f>
        <v/>
      </c>
      <c r="DR196">
        <f>IF($DM196=0,"",IF($L$10=0,"",IFERROR(IF(ISNUMBER(INDEX(PASTE_ALL,$DF196,$L$10)),INDEX(PASTE_ALL,$DF196,$L$10),TRIM(SUBSTITUTE(SUBSTITUTE(SUBSTITUTE(SUBSTITUTE(INDEX(PASTE_ALL,$DF196,$L$10)," "," "),CHAR(9)," "),CHAR(10)," "),CHAR(13)," "))),"")))</f>
        <v/>
      </c>
      <c r="DS196">
        <f>IF($DM196=0,"",IF($L$11=0,"",IFERROR(IF(ISNUMBER(INDEX(PASTE_ALL,$DF196,$L$11)),INDEX(PASTE_ALL,$DF196,$L$11),TRIM(SUBSTITUTE(SUBSTITUTE(SUBSTITUTE(SUBSTITUTE(INDEX(PASTE_ALL,$DF196,$L$11)," "," "),CHAR(9)," "),CHAR(10)," "),CHAR(13)," "))),"")))</f>
        <v/>
      </c>
      <c r="DT196">
        <f>IF($DM196=0,"",IF($L$12=0,"",IFERROR(IF(ISNUMBER(INDEX(PASTE_ALL,$DF196,$L$12)),INDEX(PASTE_ALL,$DF196,$L$12),TRIM(SUBSTITUTE(SUBSTITUTE(SUBSTITUTE(SUBSTITUTE(INDEX(PASTE_ALL,$DF196,$L$12)," "," "),CHAR(9)," "),CHAR(10)," "),CHAR(13)," "))),"")))</f>
        <v/>
      </c>
      <c r="DU196">
        <f>IF($DM196=0,"",IF($L$13=0,"",IFERROR(IF(ISNUMBER(INDEX(PASTE_ALL,$DF196,$L$13)),INDEX(PASTE_ALL,$DF196,$L$13),TRIM(SUBSTITUTE(SUBSTITUTE(SUBSTITUTE(SUBSTITUTE(INDEX(PASTE_ALL,$DF196,$L$13)," "," "),CHAR(9)," "),CHAR(10)," "),CHAR(13)," "))),"")))</f>
        <v/>
      </c>
      <c r="DV196">
        <f>IF($DM196=0,"",IF($L$14=0,"",IFERROR(IF(ISNUMBER(INDEX(PASTE_ALL,$DF196,$L$14)),INDEX(PASTE_ALL,$DF196,$L$14),TRIM(SUBSTITUTE(SUBSTITUTE(SUBSTITUTE(SUBSTITUTE(INDEX(PASTE_ALL,$DF196,$L$14)," "," "),CHAR(9)," "),CHAR(10)," "),CHAR(13)," "))),"")))</f>
        <v/>
      </c>
      <c r="DW196">
        <f>IF($DM196=0,"",IF($L$15=0,"",IFERROR(IF(ISNUMBER(INDEX(PASTE_ALL,$DF196,$L$15)),INDEX(PASTE_ALL,$DF196,$L$15),IF(SUMPRODUCT(--ISNUMBER(FIND({"A","B","C","D","E","F","G","H","I","J","K","L","M","N","O","P","Q","R","S","T","U","V","W","X","Y","Z","0","1","2","3","4","5","6","7","8","9"},UPPER(TRIM(SUBSTITUTE(SUBSTITUTE(SUBSTITUTE(SUBSTITUTE(INDEX(PASTE_ALL,$DF196,$L$15)," "," "),CHAR(9)," "),CHAR(10)," "),CHAR(13)," "))))))&gt;0,TRIM(SUBSTITUTE(SUBSTITUTE(SUBSTITUTE(SUBSTITUTE(INDEX(PASTE_ALL,$DF196,$L$15)," "," "),CHAR(9)," "),CHAR(10)," "),CHAR(13)," ")),"")),"")))</f>
        <v/>
      </c>
      <c r="DX196">
        <f>IF($DM196=0,"",IF($L$16=0,"",IFERROR(IF(ISNUMBER(INDEX(PASTE_ALL,$DF196,$L$16)),INDEX(PASTE_ALL,$DF196,$L$16),SUBSTITUTE(SUBSTITUTE(TRIM(SUBSTITUTE(SUBSTITUTE(SUBSTITUTE(SUBSTITUTE(INDEX(PASTE_ALL,$DF196,$L$16)," "," "),CHAR(9)," "),CHAR(10)," "),CHAR(13)," ")),",",""),"%","")),"")))</f>
        <v/>
      </c>
      <c r="DY196">
        <f>IF($DM196=0,"",IFERROR(IF(ISNUMBER($DX196),$DX196,IF($DX196="","",IF(TRIM($DX196)="",0,IF(AND(AND(SUBSTITUTE(SUBSTITUTE(SUBSTITUTE(SUBSTITUTE(SUBSTITUTE(SUBSTITUTE(SUBSTITUTE(SUBSTITUTE(SUBSTITUTE(SUBSTITUTE(SUBSTITUTE(SUBSTITUTE(SUBSTITUTE(SUBSTITUTE(UPPER(TRIM($DX196)),"0",""),"1",""),"2",""),"3",""),"4",""),"5",""),"6",""),"7",""),"8",""),"9",""),".",""),"+",""),"-",""),"E","")="",LEN(SUBSTITUTE(SUBSTITUTE(MID(UPPER(TRIM($DX196)),1+OR(LEFT(UPPER(TRIM($DX196)),1)="+",LEFT(UPPER(TRIM($DX196)),1)="-"),999),"E+","E"),"E-","E"))=LEN(SUBSTITUTE(SUBSTITUTE(SUBSTITUTE(SUBSTITUTE(MID(UPPER(TRIM($DX196)),1+OR(LEFT(UPPER(TRIM($DX196)),1)="+",LEFT(UPPER(TRIM($DX196)),1)="-"),999),"E+","E"),"E-","E"),"+",""),"-","")),LEN(UPPER(TRIM($DX196)))-LEN(SUBSTITUTE(UPPER(TRIM($DX196)),"E",""))&lt;2,LEN(UPPER(TRIM($DX196)))-LEN(SUBSTITUTE(UPPER(TRIM($DX196)),".",""))&lt;2,IFERROR(FIND(".",UPPER(TRIM($DX196))),0)&lt;IFERROR(FIND("E",UPPER(TRIM($DX196))),999)),ISNUMBER(VALUE(TRIM($DX196)))),VALUE(TRIM($DX196)),"")))),""))</f>
        <v/>
      </c>
      <c r="DZ196">
        <f>IF($DM196=0,"",IF($L$17=0,"",IFERROR(IF(ISNUMBER(INDEX(PASTE_ALL,$DF196,$L$17)),INDEX(PASTE_ALL,$DF196,$L$17),SUBSTITUTE(SUBSTITUTE(TRIM(SUBSTITUTE(SUBSTITUTE(SUBSTITUTE(SUBSTITUTE(INDEX(PASTE_ALL,$DF196,$L$17)," "," "),CHAR(9)," "),CHAR(10)," "),CHAR(13)," ")),",",""),"%","")),"")))</f>
        <v/>
      </c>
      <c r="EA196">
        <f>IF($DM196=0,"",IFERROR(IF(ISNUMBER($DZ196),$DZ196,IF($DZ196="","",IF(TRIM($DZ196)="",0,IF(AND(AND(SUBSTITUTE(SUBSTITUTE(SUBSTITUTE(SUBSTITUTE(SUBSTITUTE(SUBSTITUTE(SUBSTITUTE(SUBSTITUTE(SUBSTITUTE(SUBSTITUTE(SUBSTITUTE(SUBSTITUTE(SUBSTITUTE(SUBSTITUTE(UPPER(TRIM($DZ196)),"0",""),"1",""),"2",""),"3",""),"4",""),"5",""),"6",""),"7",""),"8",""),"9",""),".",""),"+",""),"-",""),"E","")="",LEN(SUBSTITUTE(SUBSTITUTE(MID(UPPER(TRIM($DZ196)),1+OR(LEFT(UPPER(TRIM($DZ196)),1)="+",LEFT(UPPER(TRIM($DZ196)),1)="-"),999),"E+","E"),"E-","E"))=LEN(SUBSTITUTE(SUBSTITUTE(SUBSTITUTE(SUBSTITUTE(MID(UPPER(TRIM($DZ196)),1+OR(LEFT(UPPER(TRIM($DZ196)),1)="+",LEFT(UPPER(TRIM($DZ196)),1)="-"),999),"E+","E"),"E-","E"),"+",""),"-","")),LEN(UPPER(TRIM($DZ196)))-LEN(SUBSTITUTE(UPPER(TRIM($DZ196)),"E",""))&lt;2,LEN(UPPER(TRIM($DZ196)))-LEN(SUBSTITUTE(UPPER(TRIM($DZ196)),".",""))&lt;2,IFERROR(FIND(".",UPPER(TRIM($DZ196))),0)&lt;IFERROR(FIND("E",UPPER(TRIM($DZ196))),999)),ISNUMBER(VALUE(TRIM($DZ196)))),VALUE(TRIM($DZ196)),"")))),""))</f>
        <v/>
      </c>
      <c r="EB196">
        <f>IF($DM196=0,"",IF($L$18=0,"",IFERROR(IF(UPPER(TRIM(SUBSTITUTE(SUBSTITUTE(SUBSTITUTE(SUBSTITUTE(INDEX(PASTE_ALL,$DF196,$L$18)," "," "),CHAR(9)," "),CHAR(10)," "),CHAR(13)," ")))="READY","Ready",IF(UPPER(TRIM(SUBSTITUTE(SUBSTITUTE(SUBSTITUTE(SUBSTITUTE(INDEX(PASTE_ALL,$DF196,$L$18)," "," "),CHAR(9)," "),CHAR(10)," "),CHAR(13)," ")))="PM","PM",IF(OR(UPPER(TRIM(SUBSTITUTE(SUBSTITUTE(SUBSTITUTE(SUBSTITUTE(INDEX(PASTE_ALL,$DF196,$L$18)," "," "),CHAR(9)," "),CHAR(10)," "),CHAR(13)," ")))="OT",UPPER(TRIM(SUBSTITUTE(SUBSTITUTE(SUBSTITUTE(SUBSTITUTE(INDEX(PASTE_ALL,$DF196,$L$18)," "," "),CHAR(9)," "),CHAR(10)," "),CHAR(13)," ")))="OVERTIME",UPPER(TRIM(SUBSTITUTE(SUBSTITUTE(SUBSTITUTE(SUBSTITUTE(INDEX(PASTE_ALL,$DF196,$L$18)," "," "),CHAR(9)," "),CHAR(10)," "),CHAR(13)," ")))="TRIAL"),"OT",TRIM(SUBSTITUTE(SUBSTITUTE(SUBSTITUTE(SUBSTITUTE(INDEX(PASTE_ALL,$DF196,$L$18)," "," "),CHAR(9)," "),CHAR(10)," "),CHAR(13)," "))))),"")))</f>
        <v/>
      </c>
      <c r="EC196">
        <f>IF($DM196=0,"",IF($L$19=0,"",IFERROR(IF(ISNUMBER(INDEX(PASTE_ALL,$DF196,$L$19)),INDEX(PASTE_ALL,$DF196,$L$19),TRIM(SUBSTITUTE(SUBSTITUTE(SUBSTITUTE(SUBSTITUTE(INDEX(PASTE_ALL,$DF196,$L$19)," "," "),CHAR(9)," "),CHAR(10)," "),CHAR(13)," "))),"")))</f>
        <v/>
      </c>
      <c r="ED196">
        <f>IF($DM196=0,"",MATCH(1,INDEX(EXACT($DH$5:DH196,$DH196)*$DM$5:DM196,0),0))</f>
        <v/>
      </c>
      <c r="EE196">
        <f>IF($DM196=0,0,IF($ED196=$DE196,1,0))</f>
        <v/>
      </c>
      <c r="EF196">
        <f>EF195+$EE196</f>
        <v/>
      </c>
      <c r="EG196">
        <f>IF($DM196=0,"",INDEX($EF$5:$EF$1003,$ED196))</f>
        <v/>
      </c>
      <c r="EH196">
        <f>IF($DM196=0,"",IF($DO196&lt;&gt;"","",IFERROR(LOOKUP(2,1/(($EG$4:EG195=$EG196)*($DO$4:DO195&lt;&gt;"")),$DO$4:DO195),"")))</f>
        <v/>
      </c>
      <c r="EI196">
        <f>IF($DM196=0,"",IF($DO196&lt;&gt;"",$DO196,$EH196))</f>
        <v/>
      </c>
      <c r="EJ196">
        <f>IF($DM196=0,"",IF($EI196="",0,IF(OR(ISNUMBER($EI196),AND(AND(SUBSTITUTE(SUBSTITUTE(SUBSTITUTE(SUBSTITUTE(SUBSTITUTE(SUBSTITUTE(SUBSTITUTE(SUBSTITUTE(SUBSTITUTE(SUBSTITUTE(SUBSTITUTE(SUBSTITUTE(SUBSTITUTE(SUBSTITUTE(UPPER($EI196),"0",""),"1",""),"2",""),"3",""),"4",""),"5",""),"6",""),"7",""),"8",""),"9",""),".",""),"+",""),"-",""),"E","")="",LEN(SUBSTITUTE(SUBSTITUTE(MID(UPPER($EI196),1+OR(LEFT(UPPER($EI196),1)="+",LEFT(UPPER($EI196),1)="-"),999),"E+","E"),"E-","E"))=LEN(SUBSTITUTE(SUBSTITUTE(SUBSTITUTE(SUBSTITUTE(MID(UPPER($EI196),1+OR(LEFT(UPPER($EI196),1)="+",LEFT(UPPER($EI196),1)="-"),999),"E+","E"),"E-","E"),"+",""),"-","")),LEN(UPPER($EI196))-LEN(SUBSTITUTE(UPPER($EI196),"E",""))&lt;2,LEN(UPPER($EI196))-LEN(SUBSTITUTE(UPPER($EI196),".",""))&lt;2,IFERROR(FIND(".",UPPER($EI196)),0)&lt;IFERROR(FIND("E",UPPER($EI196)),999)),ISNUMBER(VALUE($EI196)))),1,2)))</f>
        <v/>
      </c>
      <c r="EK196">
        <f>IF($DM196=0,"",IF($EJ196=1,IF(ISNUMBER($EI196),$EI196,VALUE($EI196)),IF($EJ196=2,$DE196,0)))</f>
        <v/>
      </c>
      <c r="EL196">
        <f>IF($DM196=0,"",COUNTIF($EG$5:$EG$1003,"&lt;"&amp;$EG196)+SUMPRODUCT(($EG$5:$EG$1003=$EG196)*(($EJ$5:$EJ$1003&lt;$EJ196)+($EJ$5:$EJ$1003=$EJ196)*(($EK$5:$EK$1003&lt;$EK196)+($EK$5:$EK$1003=$EK196)*($DE$5:$DE$1003&lt;$DE196))))+1)</f>
        <v/>
      </c>
      <c r="EM196">
        <f>IF($DM196=0,"",$EL196+$EG196-1)</f>
        <v/>
      </c>
      <c r="EN196">
        <f>IF($DM196=0,0,IFERROR(MATCH(1,INDEX(--(TRIM(SUBSTITUTE(SUBSTITUTE(SUBSTITUTE(SUBSTITUTE(LINES_NAME&amp;""," "," "),CHAR(9)," "),CHAR(10)," "),CHAR(13)," "))=$DH196),0),0),0))</f>
        <v/>
      </c>
      <c r="EO196">
        <f>IF($EN196=0,0,IF(OR(UPPER(TRIM(INDEX(LINES_SCHEDULED,$EN196)&amp;""))="YES",UPPER(TRIM(INDEX(LINES_SCHEDULED,$EN196)&amp;""))="Y",UPPER(TRIM(INDEX(LINES_SCHEDULED,$EN196)&amp;""))="X"),1,0))</f>
        <v/>
      </c>
      <c r="EP196">
        <f>IF($DM196=0,"",IF(COUNTIFS($EG$5:$EG$1003,$EG196,$EB$5:$EB$1003,"Ready")&gt;0,"READY",IF(COUNTIFS($EG$5:$EG$1003,$EG196,$EB$5:$EB$1003,"PM")&gt;0,"PM",IF(COUNTIFS($EG$5:$EG$1003,$EG196,$EB$5:$EB$1003,"OT")&gt;0,"OT",""))))</f>
        <v/>
      </c>
      <c r="EQ196">
        <f>IF($EN196=0,"",UPPER(TRIM(INDEX(LINES_STATUS,$EN196)&amp;"")))</f>
        <v/>
      </c>
      <c r="ER196">
        <f>IF($DM196=0,"",IF(OR($EQ196="READY",$EQ196="PM",$EQ196="OT"),$EQ196,$EP196))</f>
        <v/>
      </c>
      <c r="ES196">
        <f>IF($DM196=0,"",IF(AND($DV196&lt;&gt;"",UPPER($DV196)&lt;&gt;"N"),"allergen",IF(ISNUMBER(SEARCH("oil",$DQ196)),"oil",IF(OR(EXACT($DS196,"A662"),EXACT($DS196,"A624")),"bulk",""))))</f>
        <v/>
      </c>
      <c r="ET196">
        <f>IF($DM196=0,"",IF(OR($EA196="",$EA196=0),"",$EA196/100))</f>
        <v/>
      </c>
      <c r="EU196">
        <f>IF(OR($ET196="",$DY196=""),"",INT($DY196*(1-$ET196)+0.5))</f>
        <v/>
      </c>
      <c r="EW196" t="n">
        <v>192</v>
      </c>
      <c r="EX196">
        <f>IFERROR(MATCH($EW196,$EM$5:$EM$1003,0),0)</f>
        <v/>
      </c>
      <c r="EY196">
        <f>IF($EW196&gt;$B$12,"",IF($EX196&gt;0,"row","spacer"))</f>
        <v/>
      </c>
      <c r="EZ196">
        <f>IF(AND($EY196="row",$EY195&lt;&gt;"row"),1,0)</f>
        <v/>
      </c>
      <c r="FA196">
        <f>IF(AND($EY196="row",$EY197&lt;&gt;"row"),1,0)</f>
        <v/>
      </c>
      <c r="FB196">
        <f>IF($EZ196=1,IFERROR(IF(ISNUMBER(INDEX(PASTE_ALL,INDEX($DF$5:$DF$1003,$EX196),$B$37)),INDEX(PASTE_ALL,INDEX($DF$5:$DF$1003,$EX196),$B$37),INDEX($DH$5:$DH$1003,$EX196)),INDEX($DH$5:$DH$1003,$EX196)),"")</f>
        <v/>
      </c>
      <c r="FC196">
        <f>IF($EY196="row",INDEX($ER$5:$ER$1003,$EX196),"")</f>
        <v/>
      </c>
      <c r="FD196">
        <f>IF($EY196="row",INDEX($DN$5:$DN$1003,$EX196),"")</f>
        <v/>
      </c>
      <c r="FE196">
        <f>IF($EY196="row",INDEX($DO$5:$DO$1003,$EX196),"")</f>
        <v/>
      </c>
      <c r="FF196">
        <f>IF($EY196="row",INDEX($DP$5:$DP$1003,$EX196),"")</f>
        <v/>
      </c>
      <c r="FG196">
        <f>IF($EY196="row",INDEX($DQ$5:$DQ$1003,$EX196),"")</f>
        <v/>
      </c>
      <c r="FH196">
        <f>IF($EY196="row",INDEX($DR$5:$DR$1003,$EX196),"")</f>
        <v/>
      </c>
      <c r="FI196">
        <f>IF($EY196="row",INDEX($DS$5:$DS$1003,$EX196),"")</f>
        <v/>
      </c>
      <c r="FJ196">
        <f>IF($EY196="row",INDEX($DT$5:$DT$1003,$EX196),"")</f>
        <v/>
      </c>
      <c r="FK196">
        <f>IF($EY196="row",INDEX($DU$5:$DU$1003,$EX196),"")</f>
        <v/>
      </c>
      <c r="FL196">
        <f>IF($EY196="row",INDEX($DV$5:$DV$1003,$EX196),"")</f>
        <v/>
      </c>
      <c r="FM196">
        <f>IF($EY196="row",INDEX($DW$5:$DW$1003,$EX196),"")</f>
        <v/>
      </c>
      <c r="FN196">
        <f>IF($EY196="row",INDEX($DY$5:$DY$1003,$EX196),"")</f>
        <v/>
      </c>
      <c r="FO196">
        <f>IF($EY196="row",INDEX($EA$5:$EA$1003,$EX196),"")</f>
        <v/>
      </c>
      <c r="FP196">
        <f>IF($EY196="row",INDEX($EC$5:$EC$1003,$EX196),"")</f>
        <v/>
      </c>
      <c r="FQ196">
        <f>IF($EY196="row",INDEX($ET$5:$ET$1003,$EX196),"")</f>
        <v/>
      </c>
      <c r="FR196">
        <f>IF($EY196="row",INDEX($EU$5:$EU$1003,$EX196),"")</f>
        <v/>
      </c>
      <c r="FS196">
        <f>IF(AND($EY196="row",$EY195="row"),IF(OR(INDEX($DT$5:$DT$1003,$EX195)="",INDEX($DT$5:$DT$1003,$EX196)=""),"",IF(NOT(EXACT(INDEX($DT$5:$DT$1003,$EX195),INDEX($DT$5:$DT$1003,$EX196))),"S4",IF(NOT(EXACT(INDEX($DS$5:$DS$1003,$EX195),INDEX($DS$5:$DS$1003,$EX196))),"S3",IF(NOT(EXACT(INDEX($DR$5:$DR$1003,$EX195),INDEX($DR$5:$DR$1003,$EX196))),"S1 Count Change","S1")))),"")</f>
        <v/>
      </c>
      <c r="FT196">
        <f>IF($EY196="row",INDEX($ES$5:$ES$1003,$EX196),"")</f>
        <v/>
      </c>
      <c r="FU196">
        <f>IF($EY196="row",INDEX($EO$5:$EO$1003,$EX196),0)</f>
        <v/>
      </c>
      <c r="FV196">
        <f>IF($FS196="S1 Count Change",1,0)</f>
        <v/>
      </c>
    </row>
    <row r="197">
      <c r="Y197">
        <f>0+IF(Y107&gt;0,0,IF(SUMPRODUCT(MOD(INT(Y152/{2,4,8,16,32,64,128,256,512,1024,2048,4096,8192,16384,32768}),2)*(1-MOD(INT(($CJ17+0)/{2,4,8,16,32,64,128,256,512,1024,2048,4096,8192,16384,32768}),2))*{2,4,8,16,32,64,128,256,512,1024,2048,4096,8192,16384,32768})=0,0,2^SUMPRODUCT(--(MOD(SUMPRODUCT(MOD(INT(Y152/{2,4,8,16,32,64,128,256,512,1024,2048,4096,8192,16384,32768}),2)*(1-MOD(INT(($CJ17+0)/{2,4,8,16,32,64,128,256,512,1024,2048,4096,8192,16384,32768}),2))*{2,4,8,16,32,64,128,256,512,1024,2048,4096,8192,16384,32768}),{2,4,8,16,32,64,128,256,512,1024,2048,4096,8192,16384,32768})=0))))</f>
        <v/>
      </c>
      <c r="Z197">
        <f>Y197+IF(AND(Z107&gt;0,COUNTIF($Y107:Y107,Z107)=0),0,IF(SUMPRODUCT(MOD(INT(Z152/{2,4,8,16,32,64,128,256,512,1024,2048,4096,8192,16384,32768}),2)*(1-MOD(INT(($CJ17+Y197)/{2,4,8,16,32,64,128,256,512,1024,2048,4096,8192,16384,32768}),2))*{2,4,8,16,32,64,128,256,512,1024,2048,4096,8192,16384,32768})=0,0,2^SUMPRODUCT(--(MOD(SUMPRODUCT(MOD(INT(Z152/{2,4,8,16,32,64,128,256,512,1024,2048,4096,8192,16384,32768}),2)*(1-MOD(INT(($CJ17+Y197)/{2,4,8,16,32,64,128,256,512,1024,2048,4096,8192,16384,32768}),2))*{2,4,8,16,32,64,128,256,512,1024,2048,4096,8192,16384,32768}),{2,4,8,16,32,64,128,256,512,1024,2048,4096,8192,16384,32768})=0))))</f>
        <v/>
      </c>
      <c r="AA197">
        <f>Z197+IF(AND(AA107&gt;0,COUNTIF($Y107:Z107,AA107)=0),0,IF(SUMPRODUCT(MOD(INT(AA152/{2,4,8,16,32,64,128,256,512,1024,2048,4096,8192,16384,32768}),2)*(1-MOD(INT(($CJ17+Z197)/{2,4,8,16,32,64,128,256,512,1024,2048,4096,8192,16384,32768}),2))*{2,4,8,16,32,64,128,256,512,1024,2048,4096,8192,16384,32768})=0,0,2^SUMPRODUCT(--(MOD(SUMPRODUCT(MOD(INT(AA152/{2,4,8,16,32,64,128,256,512,1024,2048,4096,8192,16384,32768}),2)*(1-MOD(INT(($CJ17+Z197)/{2,4,8,16,32,64,128,256,512,1024,2048,4096,8192,16384,32768}),2))*{2,4,8,16,32,64,128,256,512,1024,2048,4096,8192,16384,32768}),{2,4,8,16,32,64,128,256,512,1024,2048,4096,8192,16384,32768})=0))))</f>
        <v/>
      </c>
      <c r="AB197">
        <f>AA197+IF(AND(AB107&gt;0,COUNTIF($Y107:AA107,AB107)=0),0,IF(SUMPRODUCT(MOD(INT(AB152/{2,4,8,16,32,64,128,256,512,1024,2048,4096,8192,16384,32768}),2)*(1-MOD(INT(($CJ17+AA197)/{2,4,8,16,32,64,128,256,512,1024,2048,4096,8192,16384,32768}),2))*{2,4,8,16,32,64,128,256,512,1024,2048,4096,8192,16384,32768})=0,0,2^SUMPRODUCT(--(MOD(SUMPRODUCT(MOD(INT(AB152/{2,4,8,16,32,64,128,256,512,1024,2048,4096,8192,16384,32768}),2)*(1-MOD(INT(($CJ17+AA197)/{2,4,8,16,32,64,128,256,512,1024,2048,4096,8192,16384,32768}),2))*{2,4,8,16,32,64,128,256,512,1024,2048,4096,8192,16384,32768}),{2,4,8,16,32,64,128,256,512,1024,2048,4096,8192,16384,32768})=0))))</f>
        <v/>
      </c>
      <c r="AC197">
        <f>AB197+IF(AND(AC107&gt;0,COUNTIF($Y107:AB107,AC107)=0),0,IF(SUMPRODUCT(MOD(INT(AC152/{2,4,8,16,32,64,128,256,512,1024,2048,4096,8192,16384,32768}),2)*(1-MOD(INT(($CJ17+AB197)/{2,4,8,16,32,64,128,256,512,1024,2048,4096,8192,16384,32768}),2))*{2,4,8,16,32,64,128,256,512,1024,2048,4096,8192,16384,32768})=0,0,2^SUMPRODUCT(--(MOD(SUMPRODUCT(MOD(INT(AC152/{2,4,8,16,32,64,128,256,512,1024,2048,4096,8192,16384,32768}),2)*(1-MOD(INT(($CJ17+AB197)/{2,4,8,16,32,64,128,256,512,1024,2048,4096,8192,16384,32768}),2))*{2,4,8,16,32,64,128,256,512,1024,2048,4096,8192,16384,32768}),{2,4,8,16,32,64,128,256,512,1024,2048,4096,8192,16384,32768})=0))))</f>
        <v/>
      </c>
      <c r="AD197">
        <f>AC197+IF(AND(AD107&gt;0,COUNTIF($Y107:AC107,AD107)=0),0,IF(SUMPRODUCT(MOD(INT(AD152/{2,4,8,16,32,64,128,256,512,1024,2048,4096,8192,16384,32768}),2)*(1-MOD(INT(($CJ17+AC197)/{2,4,8,16,32,64,128,256,512,1024,2048,4096,8192,16384,32768}),2))*{2,4,8,16,32,64,128,256,512,1024,2048,4096,8192,16384,32768})=0,0,2^SUMPRODUCT(--(MOD(SUMPRODUCT(MOD(INT(AD152/{2,4,8,16,32,64,128,256,512,1024,2048,4096,8192,16384,32768}),2)*(1-MOD(INT(($CJ17+AC197)/{2,4,8,16,32,64,128,256,512,1024,2048,4096,8192,16384,32768}),2))*{2,4,8,16,32,64,128,256,512,1024,2048,4096,8192,16384,32768}),{2,4,8,16,32,64,128,256,512,1024,2048,4096,8192,16384,32768})=0))))</f>
        <v/>
      </c>
      <c r="AE197">
        <f>AD197+IF(AND(AE107&gt;0,COUNTIF($Y107:AD107,AE107)=0),0,IF(SUMPRODUCT(MOD(INT(AE152/{2,4,8,16,32,64,128,256,512,1024,2048,4096,8192,16384,32768}),2)*(1-MOD(INT(($CJ17+AD197)/{2,4,8,16,32,64,128,256,512,1024,2048,4096,8192,16384,32768}),2))*{2,4,8,16,32,64,128,256,512,1024,2048,4096,8192,16384,32768})=0,0,2^SUMPRODUCT(--(MOD(SUMPRODUCT(MOD(INT(AE152/{2,4,8,16,32,64,128,256,512,1024,2048,4096,8192,16384,32768}),2)*(1-MOD(INT(($CJ17+AD197)/{2,4,8,16,32,64,128,256,512,1024,2048,4096,8192,16384,32768}),2))*{2,4,8,16,32,64,128,256,512,1024,2048,4096,8192,16384,32768}),{2,4,8,16,32,64,128,256,512,1024,2048,4096,8192,16384,32768})=0))))</f>
        <v/>
      </c>
      <c r="AF197">
        <f>AE197+IF(AND(AF107&gt;0,COUNTIF($Y107:AE107,AF107)=0),0,IF(SUMPRODUCT(MOD(INT(AF152/{2,4,8,16,32,64,128,256,512,1024,2048,4096,8192,16384,32768}),2)*(1-MOD(INT(($CJ17+AE197)/{2,4,8,16,32,64,128,256,512,1024,2048,4096,8192,16384,32768}),2))*{2,4,8,16,32,64,128,256,512,1024,2048,4096,8192,16384,32768})=0,0,2^SUMPRODUCT(--(MOD(SUMPRODUCT(MOD(INT(AF152/{2,4,8,16,32,64,128,256,512,1024,2048,4096,8192,16384,32768}),2)*(1-MOD(INT(($CJ17+AE197)/{2,4,8,16,32,64,128,256,512,1024,2048,4096,8192,16384,32768}),2))*{2,4,8,16,32,64,128,256,512,1024,2048,4096,8192,16384,32768}),{2,4,8,16,32,64,128,256,512,1024,2048,4096,8192,16384,32768})=0))))</f>
        <v/>
      </c>
      <c r="AG197">
        <f>AF197+IF(AND(AG107&gt;0,COUNTIF($Y107:AF107,AG107)=0),0,IF(SUMPRODUCT(MOD(INT(AG152/{2,4,8,16,32,64,128,256,512,1024,2048,4096,8192,16384,32768}),2)*(1-MOD(INT(($CJ17+AF197)/{2,4,8,16,32,64,128,256,512,1024,2048,4096,8192,16384,32768}),2))*{2,4,8,16,32,64,128,256,512,1024,2048,4096,8192,16384,32768})=0,0,2^SUMPRODUCT(--(MOD(SUMPRODUCT(MOD(INT(AG152/{2,4,8,16,32,64,128,256,512,1024,2048,4096,8192,16384,32768}),2)*(1-MOD(INT(($CJ17+AF197)/{2,4,8,16,32,64,128,256,512,1024,2048,4096,8192,16384,32768}),2))*{2,4,8,16,32,64,128,256,512,1024,2048,4096,8192,16384,32768}),{2,4,8,16,32,64,128,256,512,1024,2048,4096,8192,16384,32768})=0))))</f>
        <v/>
      </c>
      <c r="AH197">
        <f>AG197+IF(AND(AH107&gt;0,COUNTIF($Y107:AG107,AH107)=0),0,IF(SUMPRODUCT(MOD(INT(AH152/{2,4,8,16,32,64,128,256,512,1024,2048,4096,8192,16384,32768}),2)*(1-MOD(INT(($CJ17+AG197)/{2,4,8,16,32,64,128,256,512,1024,2048,4096,8192,16384,32768}),2))*{2,4,8,16,32,64,128,256,512,1024,2048,4096,8192,16384,32768})=0,0,2^SUMPRODUCT(--(MOD(SUMPRODUCT(MOD(INT(AH152/{2,4,8,16,32,64,128,256,512,1024,2048,4096,8192,16384,32768}),2)*(1-MOD(INT(($CJ17+AG197)/{2,4,8,16,32,64,128,256,512,1024,2048,4096,8192,16384,32768}),2))*{2,4,8,16,32,64,128,256,512,1024,2048,4096,8192,16384,32768}),{2,4,8,16,32,64,128,256,512,1024,2048,4096,8192,16384,32768})=0))))</f>
        <v/>
      </c>
      <c r="AI197">
        <f>AH197+IF(AND(AI107&gt;0,COUNTIF($Y107:AH107,AI107)=0),0,IF(SUMPRODUCT(MOD(INT(AI152/{2,4,8,16,32,64,128,256,512,1024,2048,4096,8192,16384,32768}),2)*(1-MOD(INT(($CJ17+AH197)/{2,4,8,16,32,64,128,256,512,1024,2048,4096,8192,16384,32768}),2))*{2,4,8,16,32,64,128,256,512,1024,2048,4096,8192,16384,32768})=0,0,2^SUMPRODUCT(--(MOD(SUMPRODUCT(MOD(INT(AI152/{2,4,8,16,32,64,128,256,512,1024,2048,4096,8192,16384,32768}),2)*(1-MOD(INT(($CJ17+AH197)/{2,4,8,16,32,64,128,256,512,1024,2048,4096,8192,16384,32768}),2))*{2,4,8,16,32,64,128,256,512,1024,2048,4096,8192,16384,32768}),{2,4,8,16,32,64,128,256,512,1024,2048,4096,8192,16384,32768})=0))))</f>
        <v/>
      </c>
      <c r="AJ197">
        <f>AI197+IF(AND(AJ107&gt;0,COUNTIF($Y107:AI107,AJ107)=0),0,IF(SUMPRODUCT(MOD(INT(AJ152/{2,4,8,16,32,64,128,256,512,1024,2048,4096,8192,16384,32768}),2)*(1-MOD(INT(($CJ17+AI197)/{2,4,8,16,32,64,128,256,512,1024,2048,4096,8192,16384,32768}),2))*{2,4,8,16,32,64,128,256,512,1024,2048,4096,8192,16384,32768})=0,0,2^SUMPRODUCT(--(MOD(SUMPRODUCT(MOD(INT(AJ152/{2,4,8,16,32,64,128,256,512,1024,2048,4096,8192,16384,32768}),2)*(1-MOD(INT(($CJ17+AI197)/{2,4,8,16,32,64,128,256,512,1024,2048,4096,8192,16384,32768}),2))*{2,4,8,16,32,64,128,256,512,1024,2048,4096,8192,16384,32768}),{2,4,8,16,32,64,128,256,512,1024,2048,4096,8192,16384,32768})=0))))</f>
        <v/>
      </c>
      <c r="AK197">
        <f>AJ197+IF(AND(AK107&gt;0,COUNTIF($Y107:AJ107,AK107)=0),0,IF(SUMPRODUCT(MOD(INT(AK152/{2,4,8,16,32,64,128,256,512,1024,2048,4096,8192,16384,32768}),2)*(1-MOD(INT(($CJ17+AJ197)/{2,4,8,16,32,64,128,256,512,1024,2048,4096,8192,16384,32768}),2))*{2,4,8,16,32,64,128,256,512,1024,2048,4096,8192,16384,32768})=0,0,2^SUMPRODUCT(--(MOD(SUMPRODUCT(MOD(INT(AK152/{2,4,8,16,32,64,128,256,512,1024,2048,4096,8192,16384,32768}),2)*(1-MOD(INT(($CJ17+AJ197)/{2,4,8,16,32,64,128,256,512,1024,2048,4096,8192,16384,32768}),2))*{2,4,8,16,32,64,128,256,512,1024,2048,4096,8192,16384,32768}),{2,4,8,16,32,64,128,256,512,1024,2048,4096,8192,16384,32768})=0))))</f>
        <v/>
      </c>
      <c r="AL197">
        <f>AK197+IF(AND(AL107&gt;0,COUNTIF($Y107:AK107,AL107)=0),0,IF(SUMPRODUCT(MOD(INT(AL152/{2,4,8,16,32,64,128,256,512,1024,2048,4096,8192,16384,32768}),2)*(1-MOD(INT(($CJ17+AK197)/{2,4,8,16,32,64,128,256,512,1024,2048,4096,8192,16384,32768}),2))*{2,4,8,16,32,64,128,256,512,1024,2048,4096,8192,16384,32768})=0,0,2^SUMPRODUCT(--(MOD(SUMPRODUCT(MOD(INT(AL152/{2,4,8,16,32,64,128,256,512,1024,2048,4096,8192,16384,32768}),2)*(1-MOD(INT(($CJ17+AK197)/{2,4,8,16,32,64,128,256,512,1024,2048,4096,8192,16384,32768}),2))*{2,4,8,16,32,64,128,256,512,1024,2048,4096,8192,16384,32768}),{2,4,8,16,32,64,128,256,512,1024,2048,4096,8192,16384,32768})=0))))</f>
        <v/>
      </c>
      <c r="AM197">
        <f>AL197+IF(AND(AM107&gt;0,COUNTIF($Y107:AL107,AM107)=0),0,IF(SUMPRODUCT(MOD(INT(AM152/{2,4,8,16,32,64,128,256,512,1024,2048,4096,8192,16384,32768}),2)*(1-MOD(INT(($CJ17+AL197)/{2,4,8,16,32,64,128,256,512,1024,2048,4096,8192,16384,32768}),2))*{2,4,8,16,32,64,128,256,512,1024,2048,4096,8192,16384,32768})=0,0,2^SUMPRODUCT(--(MOD(SUMPRODUCT(MOD(INT(AM152/{2,4,8,16,32,64,128,256,512,1024,2048,4096,8192,16384,32768}),2)*(1-MOD(INT(($CJ17+AL197)/{2,4,8,16,32,64,128,256,512,1024,2048,4096,8192,16384,32768}),2))*{2,4,8,16,32,64,128,256,512,1024,2048,4096,8192,16384,32768}),{2,4,8,16,32,64,128,256,512,1024,2048,4096,8192,16384,32768})=0))))</f>
        <v/>
      </c>
      <c r="AN197">
        <f>AM197+IF(AND(AN107&gt;0,COUNTIF($Y107:AM107,AN107)=0),0,IF(SUMPRODUCT(MOD(INT(AN152/{2,4,8,16,32,64,128,256,512,1024,2048,4096,8192,16384,32768}),2)*(1-MOD(INT(($CJ17+AM197)/{2,4,8,16,32,64,128,256,512,1024,2048,4096,8192,16384,32768}),2))*{2,4,8,16,32,64,128,256,512,1024,2048,4096,8192,16384,32768})=0,0,2^SUMPRODUCT(--(MOD(SUMPRODUCT(MOD(INT(AN152/{2,4,8,16,32,64,128,256,512,1024,2048,4096,8192,16384,32768}),2)*(1-MOD(INT(($CJ17+AM197)/{2,4,8,16,32,64,128,256,512,1024,2048,4096,8192,16384,32768}),2))*{2,4,8,16,32,64,128,256,512,1024,2048,4096,8192,16384,32768}),{2,4,8,16,32,64,128,256,512,1024,2048,4096,8192,16384,32768})=0))))</f>
        <v/>
      </c>
      <c r="AO197">
        <f>AN197+IF(AND(AO107&gt;0,COUNTIF($Y107:AN107,AO107)=0),0,IF(SUMPRODUCT(MOD(INT(AO152/{2,4,8,16,32,64,128,256,512,1024,2048,4096,8192,16384,32768}),2)*(1-MOD(INT(($CJ17+AN197)/{2,4,8,16,32,64,128,256,512,1024,2048,4096,8192,16384,32768}),2))*{2,4,8,16,32,64,128,256,512,1024,2048,4096,8192,16384,32768})=0,0,2^SUMPRODUCT(--(MOD(SUMPRODUCT(MOD(INT(AO152/{2,4,8,16,32,64,128,256,512,1024,2048,4096,8192,16384,32768}),2)*(1-MOD(INT(($CJ17+AN197)/{2,4,8,16,32,64,128,256,512,1024,2048,4096,8192,16384,32768}),2))*{2,4,8,16,32,64,128,256,512,1024,2048,4096,8192,16384,32768}),{2,4,8,16,32,64,128,256,512,1024,2048,4096,8192,16384,32768})=0))))</f>
        <v/>
      </c>
      <c r="AP197">
        <f>AO197+IF(AND(AP107&gt;0,COUNTIF($Y107:AO107,AP107)=0),0,IF(SUMPRODUCT(MOD(INT(AP152/{2,4,8,16,32,64,128,256,512,1024,2048,4096,8192,16384,32768}),2)*(1-MOD(INT(($CJ17+AO197)/{2,4,8,16,32,64,128,256,512,1024,2048,4096,8192,16384,32768}),2))*{2,4,8,16,32,64,128,256,512,1024,2048,4096,8192,16384,32768})=0,0,2^SUMPRODUCT(--(MOD(SUMPRODUCT(MOD(INT(AP152/{2,4,8,16,32,64,128,256,512,1024,2048,4096,8192,16384,32768}),2)*(1-MOD(INT(($CJ17+AO197)/{2,4,8,16,32,64,128,256,512,1024,2048,4096,8192,16384,32768}),2))*{2,4,8,16,32,64,128,256,512,1024,2048,4096,8192,16384,32768}),{2,4,8,16,32,64,128,256,512,1024,2048,4096,8192,16384,32768})=0))))</f>
        <v/>
      </c>
      <c r="AQ197">
        <f>AP197+IF(AND(AQ107&gt;0,COUNTIF($Y107:AP107,AQ107)=0),0,IF(SUMPRODUCT(MOD(INT(AQ152/{2,4,8,16,32,64,128,256,512,1024,2048,4096,8192,16384,32768}),2)*(1-MOD(INT(($CJ17+AP197)/{2,4,8,16,32,64,128,256,512,1024,2048,4096,8192,16384,32768}),2))*{2,4,8,16,32,64,128,256,512,1024,2048,4096,8192,16384,32768})=0,0,2^SUMPRODUCT(--(MOD(SUMPRODUCT(MOD(INT(AQ152/{2,4,8,16,32,64,128,256,512,1024,2048,4096,8192,16384,32768}),2)*(1-MOD(INT(($CJ17+AP197)/{2,4,8,16,32,64,128,256,512,1024,2048,4096,8192,16384,32768}),2))*{2,4,8,16,32,64,128,256,512,1024,2048,4096,8192,16384,32768}),{2,4,8,16,32,64,128,256,512,1024,2048,4096,8192,16384,32768})=0))))</f>
        <v/>
      </c>
      <c r="AR197">
        <f>AQ197+IF(AND(AR107&gt;0,COUNTIF($Y107:AQ107,AR107)=0),0,IF(SUMPRODUCT(MOD(INT(AR152/{2,4,8,16,32,64,128,256,512,1024,2048,4096,8192,16384,32768}),2)*(1-MOD(INT(($CJ17+AQ197)/{2,4,8,16,32,64,128,256,512,1024,2048,4096,8192,16384,32768}),2))*{2,4,8,16,32,64,128,256,512,1024,2048,4096,8192,16384,32768})=0,0,2^SUMPRODUCT(--(MOD(SUMPRODUCT(MOD(INT(AR152/{2,4,8,16,32,64,128,256,512,1024,2048,4096,8192,16384,32768}),2)*(1-MOD(INT(($CJ17+AQ197)/{2,4,8,16,32,64,128,256,512,1024,2048,4096,8192,16384,32768}),2))*{2,4,8,16,32,64,128,256,512,1024,2048,4096,8192,16384,32768}),{2,4,8,16,32,64,128,256,512,1024,2048,4096,8192,16384,32768})=0))))</f>
        <v/>
      </c>
      <c r="AS197">
        <f>AR197+IF(AND(AS107&gt;0,COUNTIF($Y107:AR107,AS107)=0),0,IF(SUMPRODUCT(MOD(INT(AS152/{2,4,8,16,32,64,128,256,512,1024,2048,4096,8192,16384,32768}),2)*(1-MOD(INT(($CJ17+AR197)/{2,4,8,16,32,64,128,256,512,1024,2048,4096,8192,16384,32768}),2))*{2,4,8,16,32,64,128,256,512,1024,2048,4096,8192,16384,32768})=0,0,2^SUMPRODUCT(--(MOD(SUMPRODUCT(MOD(INT(AS152/{2,4,8,16,32,64,128,256,512,1024,2048,4096,8192,16384,32768}),2)*(1-MOD(INT(($CJ17+AR197)/{2,4,8,16,32,64,128,256,512,1024,2048,4096,8192,16384,32768}),2))*{2,4,8,16,32,64,128,256,512,1024,2048,4096,8192,16384,32768}),{2,4,8,16,32,64,128,256,512,1024,2048,4096,8192,16384,32768})=0))))</f>
        <v/>
      </c>
      <c r="AT197">
        <f>AS197+IF(AND(AT107&gt;0,COUNTIF($Y107:AS107,AT107)=0),0,IF(SUMPRODUCT(MOD(INT(AT152/{2,4,8,16,32,64,128,256,512,1024,2048,4096,8192,16384,32768}),2)*(1-MOD(INT(($CJ17+AS197)/{2,4,8,16,32,64,128,256,512,1024,2048,4096,8192,16384,32768}),2))*{2,4,8,16,32,64,128,256,512,1024,2048,4096,8192,16384,32768})=0,0,2^SUMPRODUCT(--(MOD(SUMPRODUCT(MOD(INT(AT152/{2,4,8,16,32,64,128,256,512,1024,2048,4096,8192,16384,32768}),2)*(1-MOD(INT(($CJ17+AS197)/{2,4,8,16,32,64,128,256,512,1024,2048,4096,8192,16384,32768}),2))*{2,4,8,16,32,64,128,256,512,1024,2048,4096,8192,16384,32768}),{2,4,8,16,32,64,128,256,512,1024,2048,4096,8192,16384,32768})=0))))</f>
        <v/>
      </c>
      <c r="AU197">
        <f>AT197+IF(AND(AU107&gt;0,COUNTIF($Y107:AT107,AU107)=0),0,IF(SUMPRODUCT(MOD(INT(AU152/{2,4,8,16,32,64,128,256,512,1024,2048,4096,8192,16384,32768}),2)*(1-MOD(INT(($CJ17+AT197)/{2,4,8,16,32,64,128,256,512,1024,2048,4096,8192,16384,32768}),2))*{2,4,8,16,32,64,128,256,512,1024,2048,4096,8192,16384,32768})=0,0,2^SUMPRODUCT(--(MOD(SUMPRODUCT(MOD(INT(AU152/{2,4,8,16,32,64,128,256,512,1024,2048,4096,8192,16384,32768}),2)*(1-MOD(INT(($CJ17+AT197)/{2,4,8,16,32,64,128,256,512,1024,2048,4096,8192,16384,32768}),2))*{2,4,8,16,32,64,128,256,512,1024,2048,4096,8192,16384,32768}),{2,4,8,16,32,64,128,256,512,1024,2048,4096,8192,16384,32768})=0))))</f>
        <v/>
      </c>
      <c r="AV197">
        <f>AU197+IF(AND(AV107&gt;0,COUNTIF($Y107:AU107,AV107)=0),0,IF(SUMPRODUCT(MOD(INT(AV152/{2,4,8,16,32,64,128,256,512,1024,2048,4096,8192,16384,32768}),2)*(1-MOD(INT(($CJ17+AU197)/{2,4,8,16,32,64,128,256,512,1024,2048,4096,8192,16384,32768}),2))*{2,4,8,16,32,64,128,256,512,1024,2048,4096,8192,16384,32768})=0,0,2^SUMPRODUCT(--(MOD(SUMPRODUCT(MOD(INT(AV152/{2,4,8,16,32,64,128,256,512,1024,2048,4096,8192,16384,32768}),2)*(1-MOD(INT(($CJ17+AU197)/{2,4,8,16,32,64,128,256,512,1024,2048,4096,8192,16384,32768}),2))*{2,4,8,16,32,64,128,256,512,1024,2048,4096,8192,16384,32768}),{2,4,8,16,32,64,128,256,512,1024,2048,4096,8192,16384,32768})=0))))</f>
        <v/>
      </c>
      <c r="AW197">
        <f>AV197+IF(AND(AW107&gt;0,COUNTIF($Y107:AV107,AW107)=0),0,IF(SUMPRODUCT(MOD(INT(AW152/{2,4,8,16,32,64,128,256,512,1024,2048,4096,8192,16384,32768}),2)*(1-MOD(INT(($CJ17+AV197)/{2,4,8,16,32,64,128,256,512,1024,2048,4096,8192,16384,32768}),2))*{2,4,8,16,32,64,128,256,512,1024,2048,4096,8192,16384,32768})=0,0,2^SUMPRODUCT(--(MOD(SUMPRODUCT(MOD(INT(AW152/{2,4,8,16,32,64,128,256,512,1024,2048,4096,8192,16384,32768}),2)*(1-MOD(INT(($CJ17+AV197)/{2,4,8,16,32,64,128,256,512,1024,2048,4096,8192,16384,32768}),2))*{2,4,8,16,32,64,128,256,512,1024,2048,4096,8192,16384,32768}),{2,4,8,16,32,64,128,256,512,1024,2048,4096,8192,16384,32768})=0))))</f>
        <v/>
      </c>
      <c r="AX197">
        <f>AW197+IF(AND(AX107&gt;0,COUNTIF($Y107:AW107,AX107)=0),0,IF(SUMPRODUCT(MOD(INT(AX152/{2,4,8,16,32,64,128,256,512,1024,2048,4096,8192,16384,32768}),2)*(1-MOD(INT(($CJ17+AW197)/{2,4,8,16,32,64,128,256,512,1024,2048,4096,8192,16384,32768}),2))*{2,4,8,16,32,64,128,256,512,1024,2048,4096,8192,16384,32768})=0,0,2^SUMPRODUCT(--(MOD(SUMPRODUCT(MOD(INT(AX152/{2,4,8,16,32,64,128,256,512,1024,2048,4096,8192,16384,32768}),2)*(1-MOD(INT(($CJ17+AW197)/{2,4,8,16,32,64,128,256,512,1024,2048,4096,8192,16384,32768}),2))*{2,4,8,16,32,64,128,256,512,1024,2048,4096,8192,16384,32768}),{2,4,8,16,32,64,128,256,512,1024,2048,4096,8192,16384,32768})=0))))</f>
        <v/>
      </c>
      <c r="AY197">
        <f>AX197+IF(AND(AY107&gt;0,COUNTIF($Y107:AX107,AY107)=0),0,IF(SUMPRODUCT(MOD(INT(AY152/{2,4,8,16,32,64,128,256,512,1024,2048,4096,8192,16384,32768}),2)*(1-MOD(INT(($CJ17+AX197)/{2,4,8,16,32,64,128,256,512,1024,2048,4096,8192,16384,32768}),2))*{2,4,8,16,32,64,128,256,512,1024,2048,4096,8192,16384,32768})=0,0,2^SUMPRODUCT(--(MOD(SUMPRODUCT(MOD(INT(AY152/{2,4,8,16,32,64,128,256,512,1024,2048,4096,8192,16384,32768}),2)*(1-MOD(INT(($CJ17+AX197)/{2,4,8,16,32,64,128,256,512,1024,2048,4096,8192,16384,32768}),2))*{2,4,8,16,32,64,128,256,512,1024,2048,4096,8192,16384,32768}),{2,4,8,16,32,64,128,256,512,1024,2048,4096,8192,16384,32768})=0))))</f>
        <v/>
      </c>
      <c r="AZ197">
        <f>AY197+IF(AND(AZ107&gt;0,COUNTIF($Y107:AY107,AZ107)=0),0,IF(SUMPRODUCT(MOD(INT(AZ152/{2,4,8,16,32,64,128,256,512,1024,2048,4096,8192,16384,32768}),2)*(1-MOD(INT(($CJ17+AY197)/{2,4,8,16,32,64,128,256,512,1024,2048,4096,8192,16384,32768}),2))*{2,4,8,16,32,64,128,256,512,1024,2048,4096,8192,16384,32768})=0,0,2^SUMPRODUCT(--(MOD(SUMPRODUCT(MOD(INT(AZ152/{2,4,8,16,32,64,128,256,512,1024,2048,4096,8192,16384,32768}),2)*(1-MOD(INT(($CJ17+AY197)/{2,4,8,16,32,64,128,256,512,1024,2048,4096,8192,16384,32768}),2))*{2,4,8,16,32,64,128,256,512,1024,2048,4096,8192,16384,32768}),{2,4,8,16,32,64,128,256,512,1024,2048,4096,8192,16384,32768})=0))))</f>
        <v/>
      </c>
      <c r="BA197">
        <f>AZ197+IF(AND(BA107&gt;0,COUNTIF($Y107:AZ107,BA107)=0),0,IF(SUMPRODUCT(MOD(INT(BA152/{2,4,8,16,32,64,128,256,512,1024,2048,4096,8192,16384,32768}),2)*(1-MOD(INT(($CJ17+AZ197)/{2,4,8,16,32,64,128,256,512,1024,2048,4096,8192,16384,32768}),2))*{2,4,8,16,32,64,128,256,512,1024,2048,4096,8192,16384,32768})=0,0,2^SUMPRODUCT(--(MOD(SUMPRODUCT(MOD(INT(BA152/{2,4,8,16,32,64,128,256,512,1024,2048,4096,8192,16384,32768}),2)*(1-MOD(INT(($CJ17+AZ197)/{2,4,8,16,32,64,128,256,512,1024,2048,4096,8192,16384,32768}),2))*{2,4,8,16,32,64,128,256,512,1024,2048,4096,8192,16384,32768}),{2,4,8,16,32,64,128,256,512,1024,2048,4096,8192,16384,32768})=0))))</f>
        <v/>
      </c>
      <c r="BB197">
        <f>BA197+IF(AND(BB107&gt;0,COUNTIF($Y107:BA107,BB107)=0),0,IF(SUMPRODUCT(MOD(INT(BB152/{2,4,8,16,32,64,128,256,512,1024,2048,4096,8192,16384,32768}),2)*(1-MOD(INT(($CJ17+BA197)/{2,4,8,16,32,64,128,256,512,1024,2048,4096,8192,16384,32768}),2))*{2,4,8,16,32,64,128,256,512,1024,2048,4096,8192,16384,32768})=0,0,2^SUMPRODUCT(--(MOD(SUMPRODUCT(MOD(INT(BB152/{2,4,8,16,32,64,128,256,512,1024,2048,4096,8192,16384,32768}),2)*(1-MOD(INT(($CJ17+BA197)/{2,4,8,16,32,64,128,256,512,1024,2048,4096,8192,16384,32768}),2))*{2,4,8,16,32,64,128,256,512,1024,2048,4096,8192,16384,32768}),{2,4,8,16,32,64,128,256,512,1024,2048,4096,8192,16384,32768})=0))))</f>
        <v/>
      </c>
      <c r="BC197">
        <f>BB197+IF(AND(BC107&gt;0,COUNTIF($Y107:BB107,BC107)=0),0,IF(SUMPRODUCT(MOD(INT(BC152/{2,4,8,16,32,64,128,256,512,1024,2048,4096,8192,16384,32768}),2)*(1-MOD(INT(($CJ17+BB197)/{2,4,8,16,32,64,128,256,512,1024,2048,4096,8192,16384,32768}),2))*{2,4,8,16,32,64,128,256,512,1024,2048,4096,8192,16384,32768})=0,0,2^SUMPRODUCT(--(MOD(SUMPRODUCT(MOD(INT(BC152/{2,4,8,16,32,64,128,256,512,1024,2048,4096,8192,16384,32768}),2)*(1-MOD(INT(($CJ17+BB197)/{2,4,8,16,32,64,128,256,512,1024,2048,4096,8192,16384,32768}),2))*{2,4,8,16,32,64,128,256,512,1024,2048,4096,8192,16384,32768}),{2,4,8,16,32,64,128,256,512,1024,2048,4096,8192,16384,32768})=0))))</f>
        <v/>
      </c>
      <c r="BD197">
        <f>BC197+IF(AND(BD107&gt;0,COUNTIF($Y107:BC107,BD107)=0),0,IF(SUMPRODUCT(MOD(INT(BD152/{2,4,8,16,32,64,128,256,512,1024,2048,4096,8192,16384,32768}),2)*(1-MOD(INT(($CJ17+BC197)/{2,4,8,16,32,64,128,256,512,1024,2048,4096,8192,16384,32768}),2))*{2,4,8,16,32,64,128,256,512,1024,2048,4096,8192,16384,32768})=0,0,2^SUMPRODUCT(--(MOD(SUMPRODUCT(MOD(INT(BD152/{2,4,8,16,32,64,128,256,512,1024,2048,4096,8192,16384,32768}),2)*(1-MOD(INT(($CJ17+BC197)/{2,4,8,16,32,64,128,256,512,1024,2048,4096,8192,16384,32768}),2))*{2,4,8,16,32,64,128,256,512,1024,2048,4096,8192,16384,32768}),{2,4,8,16,32,64,128,256,512,1024,2048,4096,8192,16384,32768})=0))))</f>
        <v/>
      </c>
      <c r="BE197">
        <f>BD197+IF(AND(BE107&gt;0,COUNTIF($Y107:BD107,BE107)=0),0,IF(SUMPRODUCT(MOD(INT(BE152/{2,4,8,16,32,64,128,256,512,1024,2048,4096,8192,16384,32768}),2)*(1-MOD(INT(($CJ17+BD197)/{2,4,8,16,32,64,128,256,512,1024,2048,4096,8192,16384,32768}),2))*{2,4,8,16,32,64,128,256,512,1024,2048,4096,8192,16384,32768})=0,0,2^SUMPRODUCT(--(MOD(SUMPRODUCT(MOD(INT(BE152/{2,4,8,16,32,64,128,256,512,1024,2048,4096,8192,16384,32768}),2)*(1-MOD(INT(($CJ17+BD197)/{2,4,8,16,32,64,128,256,512,1024,2048,4096,8192,16384,32768}),2))*{2,4,8,16,32,64,128,256,512,1024,2048,4096,8192,16384,32768}),{2,4,8,16,32,64,128,256,512,1024,2048,4096,8192,16384,32768})=0))))</f>
        <v/>
      </c>
      <c r="BF197">
        <f>BE197+IF(AND(BF107&gt;0,COUNTIF($Y107:BE107,BF107)=0),0,IF(SUMPRODUCT(MOD(INT(BF152/{2,4,8,16,32,64,128,256,512,1024,2048,4096,8192,16384,32768}),2)*(1-MOD(INT(($CJ17+BE197)/{2,4,8,16,32,64,128,256,512,1024,2048,4096,8192,16384,32768}),2))*{2,4,8,16,32,64,128,256,512,1024,2048,4096,8192,16384,32768})=0,0,2^SUMPRODUCT(--(MOD(SUMPRODUCT(MOD(INT(BF152/{2,4,8,16,32,64,128,256,512,1024,2048,4096,8192,16384,32768}),2)*(1-MOD(INT(($CJ17+BE197)/{2,4,8,16,32,64,128,256,512,1024,2048,4096,8192,16384,32768}),2))*{2,4,8,16,32,64,128,256,512,1024,2048,4096,8192,16384,32768}),{2,4,8,16,32,64,128,256,512,1024,2048,4096,8192,16384,32768})=0))))</f>
        <v/>
      </c>
      <c r="BG197">
        <f>BF197+IF(AND(BG107&gt;0,COUNTIF($Y107:BF107,BG107)=0),0,IF(SUMPRODUCT(MOD(INT(BG152/{2,4,8,16,32,64,128,256,512,1024,2048,4096,8192,16384,32768}),2)*(1-MOD(INT(($CJ17+BF197)/{2,4,8,16,32,64,128,256,512,1024,2048,4096,8192,16384,32768}),2))*{2,4,8,16,32,64,128,256,512,1024,2048,4096,8192,16384,32768})=0,0,2^SUMPRODUCT(--(MOD(SUMPRODUCT(MOD(INT(BG152/{2,4,8,16,32,64,128,256,512,1024,2048,4096,8192,16384,32768}),2)*(1-MOD(INT(($CJ17+BF197)/{2,4,8,16,32,64,128,256,512,1024,2048,4096,8192,16384,32768}),2))*{2,4,8,16,32,64,128,256,512,1024,2048,4096,8192,16384,32768}),{2,4,8,16,32,64,128,256,512,1024,2048,4096,8192,16384,32768})=0))))</f>
        <v/>
      </c>
      <c r="BH197">
        <f>BG197+IF(AND(BH107&gt;0,COUNTIF($Y107:BG107,BH107)=0),0,IF(SUMPRODUCT(MOD(INT(BH152/{2,4,8,16,32,64,128,256,512,1024,2048,4096,8192,16384,32768}),2)*(1-MOD(INT(($CJ17+BG197)/{2,4,8,16,32,64,128,256,512,1024,2048,4096,8192,16384,32768}),2))*{2,4,8,16,32,64,128,256,512,1024,2048,4096,8192,16384,32768})=0,0,2^SUMPRODUCT(--(MOD(SUMPRODUCT(MOD(INT(BH152/{2,4,8,16,32,64,128,256,512,1024,2048,4096,8192,16384,32768}),2)*(1-MOD(INT(($CJ17+BG197)/{2,4,8,16,32,64,128,256,512,1024,2048,4096,8192,16384,32768}),2))*{2,4,8,16,32,64,128,256,512,1024,2048,4096,8192,16384,32768}),{2,4,8,16,32,64,128,256,512,1024,2048,4096,8192,16384,32768})=0))))</f>
        <v/>
      </c>
      <c r="BI197">
        <f>BH197+IF(AND(BI107&gt;0,COUNTIF($Y107:BH107,BI107)=0),0,IF(SUMPRODUCT(MOD(INT(BI152/{2,4,8,16,32,64,128,256,512,1024,2048,4096,8192,16384,32768}),2)*(1-MOD(INT(($CJ17+BH197)/{2,4,8,16,32,64,128,256,512,1024,2048,4096,8192,16384,32768}),2))*{2,4,8,16,32,64,128,256,512,1024,2048,4096,8192,16384,32768})=0,0,2^SUMPRODUCT(--(MOD(SUMPRODUCT(MOD(INT(BI152/{2,4,8,16,32,64,128,256,512,1024,2048,4096,8192,16384,32768}),2)*(1-MOD(INT(($CJ17+BH197)/{2,4,8,16,32,64,128,256,512,1024,2048,4096,8192,16384,32768}),2))*{2,4,8,16,32,64,128,256,512,1024,2048,4096,8192,16384,32768}),{2,4,8,16,32,64,128,256,512,1024,2048,4096,8192,16384,32768})=0))))</f>
        <v/>
      </c>
      <c r="BJ197">
        <f>BI197+IF(AND(BJ107&gt;0,COUNTIF($Y107:BI107,BJ107)=0),0,IF(SUMPRODUCT(MOD(INT(BJ152/{2,4,8,16,32,64,128,256,512,1024,2048,4096,8192,16384,32768}),2)*(1-MOD(INT(($CJ17+BI197)/{2,4,8,16,32,64,128,256,512,1024,2048,4096,8192,16384,32768}),2))*{2,4,8,16,32,64,128,256,512,1024,2048,4096,8192,16384,32768})=0,0,2^SUMPRODUCT(--(MOD(SUMPRODUCT(MOD(INT(BJ152/{2,4,8,16,32,64,128,256,512,1024,2048,4096,8192,16384,32768}),2)*(1-MOD(INT(($CJ17+BI197)/{2,4,8,16,32,64,128,256,512,1024,2048,4096,8192,16384,32768}),2))*{2,4,8,16,32,64,128,256,512,1024,2048,4096,8192,16384,32768}),{2,4,8,16,32,64,128,256,512,1024,2048,4096,8192,16384,32768})=0))))</f>
        <v/>
      </c>
      <c r="BK197">
        <f>BJ197+IF(AND(BK107&gt;0,COUNTIF($Y107:BJ107,BK107)=0),0,IF(SUMPRODUCT(MOD(INT(BK152/{2,4,8,16,32,64,128,256,512,1024,2048,4096,8192,16384,32768}),2)*(1-MOD(INT(($CJ17+BJ197)/{2,4,8,16,32,64,128,256,512,1024,2048,4096,8192,16384,32768}),2))*{2,4,8,16,32,64,128,256,512,1024,2048,4096,8192,16384,32768})=0,0,2^SUMPRODUCT(--(MOD(SUMPRODUCT(MOD(INT(BK152/{2,4,8,16,32,64,128,256,512,1024,2048,4096,8192,16384,32768}),2)*(1-MOD(INT(($CJ17+BJ197)/{2,4,8,16,32,64,128,256,512,1024,2048,4096,8192,16384,32768}),2))*{2,4,8,16,32,64,128,256,512,1024,2048,4096,8192,16384,32768}),{2,4,8,16,32,64,128,256,512,1024,2048,4096,8192,16384,32768})=0))))</f>
        <v/>
      </c>
      <c r="BL197">
        <f>BK197+IF(AND(BL107&gt;0,COUNTIF($Y107:BK107,BL107)=0),0,IF(SUMPRODUCT(MOD(INT(BL152/{2,4,8,16,32,64,128,256,512,1024,2048,4096,8192,16384,32768}),2)*(1-MOD(INT(($CJ17+BK197)/{2,4,8,16,32,64,128,256,512,1024,2048,4096,8192,16384,32768}),2))*{2,4,8,16,32,64,128,256,512,1024,2048,4096,8192,16384,32768})=0,0,2^SUMPRODUCT(--(MOD(SUMPRODUCT(MOD(INT(BL152/{2,4,8,16,32,64,128,256,512,1024,2048,4096,8192,16384,32768}),2)*(1-MOD(INT(($CJ17+BK197)/{2,4,8,16,32,64,128,256,512,1024,2048,4096,8192,16384,32768}),2))*{2,4,8,16,32,64,128,256,512,1024,2048,4096,8192,16384,32768}),{2,4,8,16,32,64,128,256,512,1024,2048,4096,8192,16384,32768})=0))))</f>
        <v/>
      </c>
      <c r="BM197">
        <f>BL197+IF(AND(BM107&gt;0,COUNTIF($Y107:BL107,BM107)=0),0,IF(SUMPRODUCT(MOD(INT(BM152/{2,4,8,16,32,64,128,256,512,1024,2048,4096,8192,16384,32768}),2)*(1-MOD(INT(($CJ17+BL197)/{2,4,8,16,32,64,128,256,512,1024,2048,4096,8192,16384,32768}),2))*{2,4,8,16,32,64,128,256,512,1024,2048,4096,8192,16384,32768})=0,0,2^SUMPRODUCT(--(MOD(SUMPRODUCT(MOD(INT(BM152/{2,4,8,16,32,64,128,256,512,1024,2048,4096,8192,16384,32768}),2)*(1-MOD(INT(($CJ17+BL197)/{2,4,8,16,32,64,128,256,512,1024,2048,4096,8192,16384,32768}),2))*{2,4,8,16,32,64,128,256,512,1024,2048,4096,8192,16384,32768}),{2,4,8,16,32,64,128,256,512,1024,2048,4096,8192,16384,32768})=0))))</f>
        <v/>
      </c>
      <c r="BN197">
        <f>BM197+IF(AND(BN107&gt;0,COUNTIF($Y107:BM107,BN107)=0),0,IF(SUMPRODUCT(MOD(INT(BN152/{2,4,8,16,32,64,128,256,512,1024,2048,4096,8192,16384,32768}),2)*(1-MOD(INT(($CJ17+BM197)/{2,4,8,16,32,64,128,256,512,1024,2048,4096,8192,16384,32768}),2))*{2,4,8,16,32,64,128,256,512,1024,2048,4096,8192,16384,32768})=0,0,2^SUMPRODUCT(--(MOD(SUMPRODUCT(MOD(INT(BN152/{2,4,8,16,32,64,128,256,512,1024,2048,4096,8192,16384,32768}),2)*(1-MOD(INT(($CJ17+BM197)/{2,4,8,16,32,64,128,256,512,1024,2048,4096,8192,16384,32768}),2))*{2,4,8,16,32,64,128,256,512,1024,2048,4096,8192,16384,32768}),{2,4,8,16,32,64,128,256,512,1024,2048,4096,8192,16384,32768})=0))))</f>
        <v/>
      </c>
      <c r="BO197">
        <f>BN197+IF(AND(BO107&gt;0,COUNTIF($Y107:BN107,BO107)=0),0,IF(SUMPRODUCT(MOD(INT(BO152/{2,4,8,16,32,64,128,256,512,1024,2048,4096,8192,16384,32768}),2)*(1-MOD(INT(($CJ17+BN197)/{2,4,8,16,32,64,128,256,512,1024,2048,4096,8192,16384,32768}),2))*{2,4,8,16,32,64,128,256,512,1024,2048,4096,8192,16384,32768})=0,0,2^SUMPRODUCT(--(MOD(SUMPRODUCT(MOD(INT(BO152/{2,4,8,16,32,64,128,256,512,1024,2048,4096,8192,16384,32768}),2)*(1-MOD(INT(($CJ17+BN197)/{2,4,8,16,32,64,128,256,512,1024,2048,4096,8192,16384,32768}),2))*{2,4,8,16,32,64,128,256,512,1024,2048,4096,8192,16384,32768}),{2,4,8,16,32,64,128,256,512,1024,2048,4096,8192,16384,32768})=0))))</f>
        <v/>
      </c>
      <c r="BP197">
        <f>BO197+IF(AND(BP107&gt;0,COUNTIF($Y107:BO107,BP107)=0),0,IF(SUMPRODUCT(MOD(INT(BP152/{2,4,8,16,32,64,128,256,512,1024,2048,4096,8192,16384,32768}),2)*(1-MOD(INT(($CJ17+BO197)/{2,4,8,16,32,64,128,256,512,1024,2048,4096,8192,16384,32768}),2))*{2,4,8,16,32,64,128,256,512,1024,2048,4096,8192,16384,32768})=0,0,2^SUMPRODUCT(--(MOD(SUMPRODUCT(MOD(INT(BP152/{2,4,8,16,32,64,128,256,512,1024,2048,4096,8192,16384,32768}),2)*(1-MOD(INT(($CJ17+BO197)/{2,4,8,16,32,64,128,256,512,1024,2048,4096,8192,16384,32768}),2))*{2,4,8,16,32,64,128,256,512,1024,2048,4096,8192,16384,32768}),{2,4,8,16,32,64,128,256,512,1024,2048,4096,8192,16384,32768})=0))))</f>
        <v/>
      </c>
      <c r="BQ197">
        <f>BP197+IF(AND(BQ107&gt;0,COUNTIF($Y107:BP107,BQ107)=0),0,IF(SUMPRODUCT(MOD(INT(BQ152/{2,4,8,16,32,64,128,256,512,1024,2048,4096,8192,16384,32768}),2)*(1-MOD(INT(($CJ17+BP197)/{2,4,8,16,32,64,128,256,512,1024,2048,4096,8192,16384,32768}),2))*{2,4,8,16,32,64,128,256,512,1024,2048,4096,8192,16384,32768})=0,0,2^SUMPRODUCT(--(MOD(SUMPRODUCT(MOD(INT(BQ152/{2,4,8,16,32,64,128,256,512,1024,2048,4096,8192,16384,32768}),2)*(1-MOD(INT(($CJ17+BP197)/{2,4,8,16,32,64,128,256,512,1024,2048,4096,8192,16384,32768}),2))*{2,4,8,16,32,64,128,256,512,1024,2048,4096,8192,16384,32768}),{2,4,8,16,32,64,128,256,512,1024,2048,4096,8192,16384,32768})=0))))</f>
        <v/>
      </c>
      <c r="BR197">
        <f>BQ197+IF(AND(BR107&gt;0,COUNTIF($Y107:BQ107,BR107)=0),0,IF(SUMPRODUCT(MOD(INT(BR152/{2,4,8,16,32,64,128,256,512,1024,2048,4096,8192,16384,32768}),2)*(1-MOD(INT(($CJ17+BQ197)/{2,4,8,16,32,64,128,256,512,1024,2048,4096,8192,16384,32768}),2))*{2,4,8,16,32,64,128,256,512,1024,2048,4096,8192,16384,32768})=0,0,2^SUMPRODUCT(--(MOD(SUMPRODUCT(MOD(INT(BR152/{2,4,8,16,32,64,128,256,512,1024,2048,4096,8192,16384,32768}),2)*(1-MOD(INT(($CJ17+BQ197)/{2,4,8,16,32,64,128,256,512,1024,2048,4096,8192,16384,32768}),2))*{2,4,8,16,32,64,128,256,512,1024,2048,4096,8192,16384,32768}),{2,4,8,16,32,64,128,256,512,1024,2048,4096,8192,16384,32768})=0))))</f>
        <v/>
      </c>
      <c r="BS197">
        <f>BR197+IF(AND(BS107&gt;0,COUNTIF($Y107:BR107,BS107)=0),0,IF(SUMPRODUCT(MOD(INT(BS152/{2,4,8,16,32,64,128,256,512,1024,2048,4096,8192,16384,32768}),2)*(1-MOD(INT(($CJ17+BR197)/{2,4,8,16,32,64,128,256,512,1024,2048,4096,8192,16384,32768}),2))*{2,4,8,16,32,64,128,256,512,1024,2048,4096,8192,16384,32768})=0,0,2^SUMPRODUCT(--(MOD(SUMPRODUCT(MOD(INT(BS152/{2,4,8,16,32,64,128,256,512,1024,2048,4096,8192,16384,32768}),2)*(1-MOD(INT(($CJ17+BR197)/{2,4,8,16,32,64,128,256,512,1024,2048,4096,8192,16384,32768}),2))*{2,4,8,16,32,64,128,256,512,1024,2048,4096,8192,16384,32768}),{2,4,8,16,32,64,128,256,512,1024,2048,4096,8192,16384,32768})=0))))</f>
        <v/>
      </c>
      <c r="BT197">
        <f>BS197+IF(AND(BT107&gt;0,COUNTIF($Y107:BS107,BT107)=0),0,IF(SUMPRODUCT(MOD(INT(BT152/{2,4,8,16,32,64,128,256,512,1024,2048,4096,8192,16384,32768}),2)*(1-MOD(INT(($CJ17+BS197)/{2,4,8,16,32,64,128,256,512,1024,2048,4096,8192,16384,32768}),2))*{2,4,8,16,32,64,128,256,512,1024,2048,4096,8192,16384,32768})=0,0,2^SUMPRODUCT(--(MOD(SUMPRODUCT(MOD(INT(BT152/{2,4,8,16,32,64,128,256,512,1024,2048,4096,8192,16384,32768}),2)*(1-MOD(INT(($CJ17+BS197)/{2,4,8,16,32,64,128,256,512,1024,2048,4096,8192,16384,32768}),2))*{2,4,8,16,32,64,128,256,512,1024,2048,4096,8192,16384,32768}),{2,4,8,16,32,64,128,256,512,1024,2048,4096,8192,16384,32768})=0))))</f>
        <v/>
      </c>
      <c r="BU197">
        <f>BT197+IF(AND(BU107&gt;0,COUNTIF($Y107:BT107,BU107)=0),0,IF(SUMPRODUCT(MOD(INT(BU152/{2,4,8,16,32,64,128,256,512,1024,2048,4096,8192,16384,32768}),2)*(1-MOD(INT(($CJ17+BT197)/{2,4,8,16,32,64,128,256,512,1024,2048,4096,8192,16384,32768}),2))*{2,4,8,16,32,64,128,256,512,1024,2048,4096,8192,16384,32768})=0,0,2^SUMPRODUCT(--(MOD(SUMPRODUCT(MOD(INT(BU152/{2,4,8,16,32,64,128,256,512,1024,2048,4096,8192,16384,32768}),2)*(1-MOD(INT(($CJ17+BT197)/{2,4,8,16,32,64,128,256,512,1024,2048,4096,8192,16384,32768}),2))*{2,4,8,16,32,64,128,256,512,1024,2048,4096,8192,16384,32768}),{2,4,8,16,32,64,128,256,512,1024,2048,4096,8192,16384,32768})=0))))</f>
        <v/>
      </c>
      <c r="BV197">
        <f>BU197+IF(AND(BV107&gt;0,COUNTIF($Y107:BU107,BV107)=0),0,IF(SUMPRODUCT(MOD(INT(BV152/{2,4,8,16,32,64,128,256,512,1024,2048,4096,8192,16384,32768}),2)*(1-MOD(INT(($CJ17+BU197)/{2,4,8,16,32,64,128,256,512,1024,2048,4096,8192,16384,32768}),2))*{2,4,8,16,32,64,128,256,512,1024,2048,4096,8192,16384,32768})=0,0,2^SUMPRODUCT(--(MOD(SUMPRODUCT(MOD(INT(BV152/{2,4,8,16,32,64,128,256,512,1024,2048,4096,8192,16384,32768}),2)*(1-MOD(INT(($CJ17+BU197)/{2,4,8,16,32,64,128,256,512,1024,2048,4096,8192,16384,32768}),2))*{2,4,8,16,32,64,128,256,512,1024,2048,4096,8192,16384,32768}),{2,4,8,16,32,64,128,256,512,1024,2048,4096,8192,16384,32768})=0))))</f>
        <v/>
      </c>
      <c r="BW197">
        <f>BV197+IF(AND(BW107&gt;0,COUNTIF($Y107:BV107,BW107)=0),0,IF(SUMPRODUCT(MOD(INT(BW152/{2,4,8,16,32,64,128,256,512,1024,2048,4096,8192,16384,32768}),2)*(1-MOD(INT(($CJ17+BV197)/{2,4,8,16,32,64,128,256,512,1024,2048,4096,8192,16384,32768}),2))*{2,4,8,16,32,64,128,256,512,1024,2048,4096,8192,16384,32768})=0,0,2^SUMPRODUCT(--(MOD(SUMPRODUCT(MOD(INT(BW152/{2,4,8,16,32,64,128,256,512,1024,2048,4096,8192,16384,32768}),2)*(1-MOD(INT(($CJ17+BV197)/{2,4,8,16,32,64,128,256,512,1024,2048,4096,8192,16384,32768}),2))*{2,4,8,16,32,64,128,256,512,1024,2048,4096,8192,16384,32768}),{2,4,8,16,32,64,128,256,512,1024,2048,4096,8192,16384,32768})=0))))</f>
        <v/>
      </c>
      <c r="BX197">
        <f>BW197+IF(AND(BX107&gt;0,COUNTIF($Y107:BW107,BX107)=0),0,IF(SUMPRODUCT(MOD(INT(BX152/{2,4,8,16,32,64,128,256,512,1024,2048,4096,8192,16384,32768}),2)*(1-MOD(INT(($CJ17+BW197)/{2,4,8,16,32,64,128,256,512,1024,2048,4096,8192,16384,32768}),2))*{2,4,8,16,32,64,128,256,512,1024,2048,4096,8192,16384,32768})=0,0,2^SUMPRODUCT(--(MOD(SUMPRODUCT(MOD(INT(BX152/{2,4,8,16,32,64,128,256,512,1024,2048,4096,8192,16384,32768}),2)*(1-MOD(INT(($CJ17+BW197)/{2,4,8,16,32,64,128,256,512,1024,2048,4096,8192,16384,32768}),2))*{2,4,8,16,32,64,128,256,512,1024,2048,4096,8192,16384,32768}),{2,4,8,16,32,64,128,256,512,1024,2048,4096,8192,16384,32768})=0))))</f>
        <v/>
      </c>
      <c r="BY197">
        <f>BX197+IF(AND(BY107&gt;0,COUNTIF($Y107:BX107,BY107)=0),0,IF(SUMPRODUCT(MOD(INT(BY152/{2,4,8,16,32,64,128,256,512,1024,2048,4096,8192,16384,32768}),2)*(1-MOD(INT(($CJ17+BX197)/{2,4,8,16,32,64,128,256,512,1024,2048,4096,8192,16384,32768}),2))*{2,4,8,16,32,64,128,256,512,1024,2048,4096,8192,16384,32768})=0,0,2^SUMPRODUCT(--(MOD(SUMPRODUCT(MOD(INT(BY152/{2,4,8,16,32,64,128,256,512,1024,2048,4096,8192,16384,32768}),2)*(1-MOD(INT(($CJ17+BX197)/{2,4,8,16,32,64,128,256,512,1024,2048,4096,8192,16384,32768}),2))*{2,4,8,16,32,64,128,256,512,1024,2048,4096,8192,16384,32768}),{2,4,8,16,32,64,128,256,512,1024,2048,4096,8192,16384,32768})=0))))</f>
        <v/>
      </c>
      <c r="BZ197">
        <f>BY197+IF(AND(BZ107&gt;0,COUNTIF($Y107:BY107,BZ107)=0),0,IF(SUMPRODUCT(MOD(INT(BZ152/{2,4,8,16,32,64,128,256,512,1024,2048,4096,8192,16384,32768}),2)*(1-MOD(INT(($CJ17+BY197)/{2,4,8,16,32,64,128,256,512,1024,2048,4096,8192,16384,32768}),2))*{2,4,8,16,32,64,128,256,512,1024,2048,4096,8192,16384,32768})=0,0,2^SUMPRODUCT(--(MOD(SUMPRODUCT(MOD(INT(BZ152/{2,4,8,16,32,64,128,256,512,1024,2048,4096,8192,16384,32768}),2)*(1-MOD(INT(($CJ17+BY197)/{2,4,8,16,32,64,128,256,512,1024,2048,4096,8192,16384,32768}),2))*{2,4,8,16,32,64,128,256,512,1024,2048,4096,8192,16384,32768}),{2,4,8,16,32,64,128,256,512,1024,2048,4096,8192,16384,32768})=0))))</f>
        <v/>
      </c>
      <c r="CA197">
        <f>BZ197+IF(AND(CA107&gt;0,COUNTIF($Y107:BZ107,CA107)=0),0,IF(SUMPRODUCT(MOD(INT(CA152/{2,4,8,16,32,64,128,256,512,1024,2048,4096,8192,16384,32768}),2)*(1-MOD(INT(($CJ17+BZ197)/{2,4,8,16,32,64,128,256,512,1024,2048,4096,8192,16384,32768}),2))*{2,4,8,16,32,64,128,256,512,1024,2048,4096,8192,16384,32768})=0,0,2^SUMPRODUCT(--(MOD(SUMPRODUCT(MOD(INT(CA152/{2,4,8,16,32,64,128,256,512,1024,2048,4096,8192,16384,32768}),2)*(1-MOD(INT(($CJ17+BZ197)/{2,4,8,16,32,64,128,256,512,1024,2048,4096,8192,16384,32768}),2))*{2,4,8,16,32,64,128,256,512,1024,2048,4096,8192,16384,32768}),{2,4,8,16,32,64,128,256,512,1024,2048,4096,8192,16384,32768})=0))))</f>
        <v/>
      </c>
      <c r="CB197">
        <f>CA197+IF(AND(CB107&gt;0,COUNTIF($Y107:CA107,CB107)=0),0,IF(SUMPRODUCT(MOD(INT(CB152/{2,4,8,16,32,64,128,256,512,1024,2048,4096,8192,16384,32768}),2)*(1-MOD(INT(($CJ17+CA197)/{2,4,8,16,32,64,128,256,512,1024,2048,4096,8192,16384,32768}),2))*{2,4,8,16,32,64,128,256,512,1024,2048,4096,8192,16384,32768})=0,0,2^SUMPRODUCT(--(MOD(SUMPRODUCT(MOD(INT(CB152/{2,4,8,16,32,64,128,256,512,1024,2048,4096,8192,16384,32768}),2)*(1-MOD(INT(($CJ17+CA197)/{2,4,8,16,32,64,128,256,512,1024,2048,4096,8192,16384,32768}),2))*{2,4,8,16,32,64,128,256,512,1024,2048,4096,8192,16384,32768}),{2,4,8,16,32,64,128,256,512,1024,2048,4096,8192,16384,32768})=0))))</f>
        <v/>
      </c>
      <c r="CC197">
        <f>CB197+IF(AND(CC107&gt;0,COUNTIF($Y107:CB107,CC107)=0),0,IF(SUMPRODUCT(MOD(INT(CC152/{2,4,8,16,32,64,128,256,512,1024,2048,4096,8192,16384,32768}),2)*(1-MOD(INT(($CJ17+CB197)/{2,4,8,16,32,64,128,256,512,1024,2048,4096,8192,16384,32768}),2))*{2,4,8,16,32,64,128,256,512,1024,2048,4096,8192,16384,32768})=0,0,2^SUMPRODUCT(--(MOD(SUMPRODUCT(MOD(INT(CC152/{2,4,8,16,32,64,128,256,512,1024,2048,4096,8192,16384,32768}),2)*(1-MOD(INT(($CJ17+CB197)/{2,4,8,16,32,64,128,256,512,1024,2048,4096,8192,16384,32768}),2))*{2,4,8,16,32,64,128,256,512,1024,2048,4096,8192,16384,32768}),{2,4,8,16,32,64,128,256,512,1024,2048,4096,8192,16384,32768})=0))))</f>
        <v/>
      </c>
      <c r="CD197">
        <f>CC197+IF(AND(CD107&gt;0,COUNTIF($Y107:CC107,CD107)=0),0,IF(SUMPRODUCT(MOD(INT(CD152/{2,4,8,16,32,64,128,256,512,1024,2048,4096,8192,16384,32768}),2)*(1-MOD(INT(($CJ17+CC197)/{2,4,8,16,32,64,128,256,512,1024,2048,4096,8192,16384,32768}),2))*{2,4,8,16,32,64,128,256,512,1024,2048,4096,8192,16384,32768})=0,0,2^SUMPRODUCT(--(MOD(SUMPRODUCT(MOD(INT(CD152/{2,4,8,16,32,64,128,256,512,1024,2048,4096,8192,16384,32768}),2)*(1-MOD(INT(($CJ17+CC197)/{2,4,8,16,32,64,128,256,512,1024,2048,4096,8192,16384,32768}),2))*{2,4,8,16,32,64,128,256,512,1024,2048,4096,8192,16384,32768}),{2,4,8,16,32,64,128,256,512,1024,2048,4096,8192,16384,32768})=0))))</f>
        <v/>
      </c>
      <c r="CE197">
        <f>CD197+IF(AND(CE107&gt;0,COUNTIF($Y107:CD107,CE107)=0),0,IF(SUMPRODUCT(MOD(INT(CE152/{2,4,8,16,32,64,128,256,512,1024,2048,4096,8192,16384,32768}),2)*(1-MOD(INT(($CJ17+CD197)/{2,4,8,16,32,64,128,256,512,1024,2048,4096,8192,16384,32768}),2))*{2,4,8,16,32,64,128,256,512,1024,2048,4096,8192,16384,32768})=0,0,2^SUMPRODUCT(--(MOD(SUMPRODUCT(MOD(INT(CE152/{2,4,8,16,32,64,128,256,512,1024,2048,4096,8192,16384,32768}),2)*(1-MOD(INT(($CJ17+CD197)/{2,4,8,16,32,64,128,256,512,1024,2048,4096,8192,16384,32768}),2))*{2,4,8,16,32,64,128,256,512,1024,2048,4096,8192,16384,32768}),{2,4,8,16,32,64,128,256,512,1024,2048,4096,8192,16384,32768})=0))))</f>
        <v/>
      </c>
      <c r="CF197">
        <f>CE197+IF(AND(CF107&gt;0,COUNTIF($Y107:CE107,CF107)=0),0,IF(SUMPRODUCT(MOD(INT(CF152/{2,4,8,16,32,64,128,256,512,1024,2048,4096,8192,16384,32768}),2)*(1-MOD(INT(($CJ17+CE197)/{2,4,8,16,32,64,128,256,512,1024,2048,4096,8192,16384,32768}),2))*{2,4,8,16,32,64,128,256,512,1024,2048,4096,8192,16384,32768})=0,0,2^SUMPRODUCT(--(MOD(SUMPRODUCT(MOD(INT(CF152/{2,4,8,16,32,64,128,256,512,1024,2048,4096,8192,16384,32768}),2)*(1-MOD(INT(($CJ17+CE197)/{2,4,8,16,32,64,128,256,512,1024,2048,4096,8192,16384,32768}),2))*{2,4,8,16,32,64,128,256,512,1024,2048,4096,8192,16384,32768}),{2,4,8,16,32,64,128,256,512,1024,2048,4096,8192,16384,32768})=0))))</f>
        <v/>
      </c>
      <c r="DA197" t="n">
        <v>193</v>
      </c>
      <c r="DB197">
        <f>IF($B$37=0,"",IFERROR(TRIM(SUBSTITUTE(SUBSTITUTE(SUBSTITUTE(SUBSTITUTE(INDEX(PASTE_ALL,193,$B$37)," "," "),CHAR(9)," "),CHAR(10)," "),CHAR(13)," ")),""))</f>
        <v/>
      </c>
      <c r="DC197">
        <f>IF(AND(193&gt;HEADER_ROW,UPPER(DB197)="LEGEND"),1,0)</f>
        <v/>
      </c>
      <c r="DE197" t="n">
        <v>193</v>
      </c>
      <c r="DF197">
        <f>HEADER_ROW+$DE197</f>
        <v/>
      </c>
      <c r="DG197">
        <f>IF(AND($DF197&lt;=1000,$DF197&lt;$B$8),1,0)</f>
        <v/>
      </c>
      <c r="DH197">
        <f>IF($DG197=1,IFERROR(INDEX($DB$5:$DB$1004,$DF197),""),"")</f>
        <v/>
      </c>
      <c r="DI197">
        <f>IF(AND($DG197=1,$DH197&lt;&gt;""),IFERROR(SUBSTITUTE(SUBSTITUTE(TRIM(SUBSTITUTE(SUBSTITUTE(SUBSTITUTE(SUBSTITUTE(IFERROR(INDEX(PASTE_ALL,$DF197,1)&amp;"","")&amp;"␟"&amp;IFERROR(INDEX(PASTE_ALL,$DF197,2)&amp;"","")&amp;"␟"&amp;IFERROR(INDEX(PASTE_ALL,$DF197,3)&amp;"","")&amp;"␟"&amp;IFERROR(INDEX(PASTE_ALL,$DF197,4)&amp;"","")&amp;"␟"&amp;IFERROR(INDEX(PASTE_ALL,$DF197,5)&amp;"","")&amp;"␟"&amp;IFERROR(INDEX(PASTE_ALL,$DF197,6)&amp;"","")&amp;"␟"&amp;IFERROR(INDEX(PASTE_ALL,$DF197,7)&amp;"","")&amp;"␟"&amp;IFERROR(INDEX(PASTE_ALL,$DF197,8)&amp;"","")&amp;"␟"&amp;IFERROR(INDEX(PASTE_ALL,$DF197,9)&amp;"","")&amp;"␟"&amp;IFERROR(INDEX(PASTE_ALL,$DF197,10)&amp;"","")&amp;"␟"&amp;IFERROR(INDEX(PASTE_ALL,$DF197,11)&amp;"","")&amp;"␟"&amp;IFERROR(INDEX(PASTE_ALL,$DF197,12)&amp;"","")&amp;"␟"&amp;IFERROR(INDEX(PASTE_ALL,$DF197,13)&amp;"","")&amp;"␟"&amp;IFERROR(INDEX(PASTE_ALL,$DF197,14)&amp;"","")&amp;"␟"&amp;IFERROR(INDEX(PASTE_ALL,$DF197,15)&amp;"","")&amp;"␟"&amp;IFERROR(INDEX(PASTE_ALL,$DF197,16)&amp;"","")&amp;"␟"&amp;IFERROR(INDEX(PASTE_ALL,$DF197,17)&amp;"","")&amp;"␟"&amp;IFERROR(INDEX(PASTE_ALL,$DF197,18)&amp;"","")&amp;"␟"&amp;IFERROR(INDEX(PASTE_ALL,$DF197,19)&amp;"","")&amp;"␟"&amp;IFERROR(INDEX(PASTE_ALL,$DF197,20)&amp;"","")&amp;"␟"&amp;IFERROR(INDEX(PASTE_ALL,$DF197,21)&amp;"","")&amp;"␟"&amp;IFERROR(INDEX(PASTE_ALL,$DF197,22)&amp;"","")&amp;"␟"&amp;IFERROR(INDEX(PASTE_ALL,$DF197,23)&amp;"","")&amp;"␟"&amp;IFERROR(INDEX(PASTE_ALL,$DF197,24)&amp;"","")&amp;"␟"&amp;IFERROR(INDEX(PASTE_ALL,$DF197,25)&amp;"","")&amp;"␟"&amp;IFERROR(INDEX(PASTE_ALL,$DF197,26)&amp;"","")&amp;"␟"&amp;IFERROR(INDEX(PASTE_ALL,$DF197,27)&amp;"","")&amp;"␟"&amp;IFERROR(INDEX(PASTE_ALL,$DF197,28)&amp;"","")&amp;"␟"&amp;IFERROR(INDEX(PASTE_ALL,$DF197,29)&amp;"","")&amp;"␟"&amp;IFERROR(INDEX(PASTE_ALL,$DF197,30)&amp;"","")&amp;"␟"&amp;IFERROR(INDEX(PASTE_ALL,$DF197,31)&amp;"","")&amp;"␟"&amp;IFERROR(INDEX(PASTE_ALL,$DF197,32)&amp;"","")&amp;"␟"&amp;IFERROR(INDEX(PASTE_ALL,$DF197,33)&amp;"","")&amp;"␟"&amp;IFERROR(INDEX(PASTE_ALL,$DF197,34)&amp;"","")&amp;"␟"&amp;IFERROR(INDEX(PASTE_ALL,$DF197,35)&amp;"","")&amp;"␟"&amp;IFERROR(INDEX(PASTE_ALL,$DF197,36)&amp;"","")&amp;"␟"&amp;IFERROR(INDEX(PASTE_ALL,$DF197,37)&amp;"","")&amp;"␟"&amp;IFERROR(INDEX(PASTE_ALL,$DF197,38)&amp;"","")&amp;"␟"&amp;IFERROR(INDEX(PASTE_ALL,$DF197,39)&amp;"","")&amp;"␟"&amp;IFERROR(INDEX(PASTE_ALL,$DF197,40)&amp;"","")&amp;"␟"&amp;IFERROR(INDEX(PASTE_ALL,$DF197,41)&amp;"","")&amp;"␟"&amp;IFERROR(INDEX(PASTE_ALL,$DF197,42)&amp;"","")&amp;"␟"&amp;IFERROR(INDEX(PASTE_ALL,$DF197,43)&amp;"","")&amp;"␟"&amp;IFERROR(INDEX(PASTE_ALL,$DF197,44)&amp;"","")&amp;"␟"&amp;IFERROR(INDEX(PASTE_ALL,$DF197,45)&amp;"","")&amp;"␟"&amp;IFERROR(INDEX(PASTE_ALL,$DF197,46)&amp;"","")&amp;"␟"&amp;IFERROR(INDEX(PASTE_ALL,$DF197,47)&amp;"","")&amp;"␟"&amp;IFERROR(INDEX(PASTE_ALL,$DF197,48)&amp;"","")&amp;"␟"&amp;IFERROR(INDEX(PASTE_ALL,$DF197,49)&amp;"","")&amp;"␟"&amp;IFERROR(INDEX(PASTE_ALL,$DF197,50)&amp;"","")&amp;"␟"&amp;IFERROR(INDEX(PASTE_ALL,$DF197,51)&amp;"","")&amp;"␟"&amp;IFERROR(INDEX(PASTE_ALL,$DF197,52)&amp;"","")&amp;"␟"&amp;IFERROR(INDEX(PASTE_ALL,$DF197,53)&amp;"","")&amp;"␟"&amp;IFERROR(INDEX(PASTE_ALL,$DF197,54)&amp;"","")&amp;"␟"&amp;IFERROR(INDEX(PASTE_ALL,$DF197,55)&amp;"","")&amp;"␟"&amp;IFERROR(INDEX(PASTE_ALL,$DF197,56)&amp;"","")&amp;"␟"&amp;IFERROR(INDEX(PASTE_ALL,$DF197,57)&amp;"","")&amp;"␟"&amp;IFERROR(INDEX(PASTE_ALL,$DF197,58)&amp;"","")&amp;"␟"&amp;IFERROR(INDEX(PASTE_ALL,$DF197,59)&amp;"","")&amp;"␟"&amp;IFERROR(INDEX(PASTE_ALL,$DF197,60)&amp;"","")," "," "),CHAR(9)," "),CHAR(10)," "),CHAR(13)," "))," ␟","␟"),"␟ ","␟"),"#"&amp;$DE197),"")</f>
        <v/>
      </c>
      <c r="DJ197">
        <f>IF($DI197="",0,IF(SUMPRODUCT(--EXACT($DI$4:DI196,$DI197))&gt;0,1,0))</f>
        <v/>
      </c>
      <c r="DK197">
        <f>IF(AND($DI197&lt;&gt;"",$DJ197=0),1,0)</f>
        <v/>
      </c>
      <c r="DL197">
        <f>DL196+$DK197</f>
        <v/>
      </c>
      <c r="DM197">
        <f>IF(AND($DK197=1,$DL197&lt;=600),1,0)</f>
        <v/>
      </c>
      <c r="DN197">
        <f>IF($DM197=0,"",IF($L$6=0,"",IFERROR(IF(ISNUMBER(INDEX(PASTE_ALL,$DF197,$L$6)),INDEX(PASTE_ALL,$DF197,$L$6),TRIM(SUBSTITUTE(SUBSTITUTE(SUBSTITUTE(SUBSTITUTE(INDEX(PASTE_ALL,$DF197,$L$6)," "," "),CHAR(9)," "),CHAR(10)," "),CHAR(13)," "))),"")))</f>
        <v/>
      </c>
      <c r="DO197">
        <f>IF($DM197=0,"",IF($L$7=0,"",IFERROR(IF(ISNUMBER(INDEX(PASTE_ALL,$DF197,$L$7)),INDEX(PASTE_ALL,$DF197,$L$7),TRIM(SUBSTITUTE(SUBSTITUTE(SUBSTITUTE(SUBSTITUTE(INDEX(PASTE_ALL,$DF197,$L$7)," "," "),CHAR(9)," "),CHAR(10)," "),CHAR(13)," "))),"")))</f>
        <v/>
      </c>
      <c r="DP197">
        <f>IF($DM197=0,"",IF($L$8=0,"",IFERROR(IF(ISNUMBER(INDEX(PASTE_ALL,$DF197,$L$8)),INDEX(PASTE_ALL,$DF197,$L$8),TRIM(SUBSTITUTE(SUBSTITUTE(SUBSTITUTE(SUBSTITUTE(INDEX(PASTE_ALL,$DF197,$L$8)," "," "),CHAR(9)," "),CHAR(10)," "),CHAR(13)," "))),"")))</f>
        <v/>
      </c>
      <c r="DQ197">
        <f>IF($DM197=0,"",IF($L$9=0,"",IFERROR(IF(ISNUMBER(INDEX(PASTE_ALL,$DF197,$L$9)),INDEX(PASTE_ALL,$DF197,$L$9),TRIM(SUBSTITUTE(SUBSTITUTE(SUBSTITUTE(SUBSTITUTE(INDEX(PASTE_ALL,$DF197,$L$9)," "," "),CHAR(9)," "),CHAR(10)," "),CHAR(13)," "))),"")))</f>
        <v/>
      </c>
      <c r="DR197">
        <f>IF($DM197=0,"",IF($L$10=0,"",IFERROR(IF(ISNUMBER(INDEX(PASTE_ALL,$DF197,$L$10)),INDEX(PASTE_ALL,$DF197,$L$10),TRIM(SUBSTITUTE(SUBSTITUTE(SUBSTITUTE(SUBSTITUTE(INDEX(PASTE_ALL,$DF197,$L$10)," "," "),CHAR(9)," "),CHAR(10)," "),CHAR(13)," "))),"")))</f>
        <v/>
      </c>
      <c r="DS197">
        <f>IF($DM197=0,"",IF($L$11=0,"",IFERROR(IF(ISNUMBER(INDEX(PASTE_ALL,$DF197,$L$11)),INDEX(PASTE_ALL,$DF197,$L$11),TRIM(SUBSTITUTE(SUBSTITUTE(SUBSTITUTE(SUBSTITUTE(INDEX(PASTE_ALL,$DF197,$L$11)," "," "),CHAR(9)," "),CHAR(10)," "),CHAR(13)," "))),"")))</f>
        <v/>
      </c>
      <c r="DT197">
        <f>IF($DM197=0,"",IF($L$12=0,"",IFERROR(IF(ISNUMBER(INDEX(PASTE_ALL,$DF197,$L$12)),INDEX(PASTE_ALL,$DF197,$L$12),TRIM(SUBSTITUTE(SUBSTITUTE(SUBSTITUTE(SUBSTITUTE(INDEX(PASTE_ALL,$DF197,$L$12)," "," "),CHAR(9)," "),CHAR(10)," "),CHAR(13)," "))),"")))</f>
        <v/>
      </c>
      <c r="DU197">
        <f>IF($DM197=0,"",IF($L$13=0,"",IFERROR(IF(ISNUMBER(INDEX(PASTE_ALL,$DF197,$L$13)),INDEX(PASTE_ALL,$DF197,$L$13),TRIM(SUBSTITUTE(SUBSTITUTE(SUBSTITUTE(SUBSTITUTE(INDEX(PASTE_ALL,$DF197,$L$13)," "," "),CHAR(9)," "),CHAR(10)," "),CHAR(13)," "))),"")))</f>
        <v/>
      </c>
      <c r="DV197">
        <f>IF($DM197=0,"",IF($L$14=0,"",IFERROR(IF(ISNUMBER(INDEX(PASTE_ALL,$DF197,$L$14)),INDEX(PASTE_ALL,$DF197,$L$14),TRIM(SUBSTITUTE(SUBSTITUTE(SUBSTITUTE(SUBSTITUTE(INDEX(PASTE_ALL,$DF197,$L$14)," "," "),CHAR(9)," "),CHAR(10)," "),CHAR(13)," "))),"")))</f>
        <v/>
      </c>
      <c r="DW197">
        <f>IF($DM197=0,"",IF($L$15=0,"",IFERROR(IF(ISNUMBER(INDEX(PASTE_ALL,$DF197,$L$15)),INDEX(PASTE_ALL,$DF197,$L$15),IF(SUMPRODUCT(--ISNUMBER(FIND({"A","B","C","D","E","F","G","H","I","J","K","L","M","N","O","P","Q","R","S","T","U","V","W","X","Y","Z","0","1","2","3","4","5","6","7","8","9"},UPPER(TRIM(SUBSTITUTE(SUBSTITUTE(SUBSTITUTE(SUBSTITUTE(INDEX(PASTE_ALL,$DF197,$L$15)," "," "),CHAR(9)," "),CHAR(10)," "),CHAR(13)," "))))))&gt;0,TRIM(SUBSTITUTE(SUBSTITUTE(SUBSTITUTE(SUBSTITUTE(INDEX(PASTE_ALL,$DF197,$L$15)," "," "),CHAR(9)," "),CHAR(10)," "),CHAR(13)," ")),"")),"")))</f>
        <v/>
      </c>
      <c r="DX197">
        <f>IF($DM197=0,"",IF($L$16=0,"",IFERROR(IF(ISNUMBER(INDEX(PASTE_ALL,$DF197,$L$16)),INDEX(PASTE_ALL,$DF197,$L$16),SUBSTITUTE(SUBSTITUTE(TRIM(SUBSTITUTE(SUBSTITUTE(SUBSTITUTE(SUBSTITUTE(INDEX(PASTE_ALL,$DF197,$L$16)," "," "),CHAR(9)," "),CHAR(10)," "),CHAR(13)," ")),",",""),"%","")),"")))</f>
        <v/>
      </c>
      <c r="DY197">
        <f>IF($DM197=0,"",IFERROR(IF(ISNUMBER($DX197),$DX197,IF($DX197="","",IF(TRIM($DX197)="",0,IF(AND(AND(SUBSTITUTE(SUBSTITUTE(SUBSTITUTE(SUBSTITUTE(SUBSTITUTE(SUBSTITUTE(SUBSTITUTE(SUBSTITUTE(SUBSTITUTE(SUBSTITUTE(SUBSTITUTE(SUBSTITUTE(SUBSTITUTE(SUBSTITUTE(UPPER(TRIM($DX197)),"0",""),"1",""),"2",""),"3",""),"4",""),"5",""),"6",""),"7",""),"8",""),"9",""),".",""),"+",""),"-",""),"E","")="",LEN(SUBSTITUTE(SUBSTITUTE(MID(UPPER(TRIM($DX197)),1+OR(LEFT(UPPER(TRIM($DX197)),1)="+",LEFT(UPPER(TRIM($DX197)),1)="-"),999),"E+","E"),"E-","E"))=LEN(SUBSTITUTE(SUBSTITUTE(SUBSTITUTE(SUBSTITUTE(MID(UPPER(TRIM($DX197)),1+OR(LEFT(UPPER(TRIM($DX197)),1)="+",LEFT(UPPER(TRIM($DX197)),1)="-"),999),"E+","E"),"E-","E"),"+",""),"-","")),LEN(UPPER(TRIM($DX197)))-LEN(SUBSTITUTE(UPPER(TRIM($DX197)),"E",""))&lt;2,LEN(UPPER(TRIM($DX197)))-LEN(SUBSTITUTE(UPPER(TRIM($DX197)),".",""))&lt;2,IFERROR(FIND(".",UPPER(TRIM($DX197))),0)&lt;IFERROR(FIND("E",UPPER(TRIM($DX197))),999)),ISNUMBER(VALUE(TRIM($DX197)))),VALUE(TRIM($DX197)),"")))),""))</f>
        <v/>
      </c>
      <c r="DZ197">
        <f>IF($DM197=0,"",IF($L$17=0,"",IFERROR(IF(ISNUMBER(INDEX(PASTE_ALL,$DF197,$L$17)),INDEX(PASTE_ALL,$DF197,$L$17),SUBSTITUTE(SUBSTITUTE(TRIM(SUBSTITUTE(SUBSTITUTE(SUBSTITUTE(SUBSTITUTE(INDEX(PASTE_ALL,$DF197,$L$17)," "," "),CHAR(9)," "),CHAR(10)," "),CHAR(13)," ")),",",""),"%","")),"")))</f>
        <v/>
      </c>
      <c r="EA197">
        <f>IF($DM197=0,"",IFERROR(IF(ISNUMBER($DZ197),$DZ197,IF($DZ197="","",IF(TRIM($DZ197)="",0,IF(AND(AND(SUBSTITUTE(SUBSTITUTE(SUBSTITUTE(SUBSTITUTE(SUBSTITUTE(SUBSTITUTE(SUBSTITUTE(SUBSTITUTE(SUBSTITUTE(SUBSTITUTE(SUBSTITUTE(SUBSTITUTE(SUBSTITUTE(SUBSTITUTE(UPPER(TRIM($DZ197)),"0",""),"1",""),"2",""),"3",""),"4",""),"5",""),"6",""),"7",""),"8",""),"9",""),".",""),"+",""),"-",""),"E","")="",LEN(SUBSTITUTE(SUBSTITUTE(MID(UPPER(TRIM($DZ197)),1+OR(LEFT(UPPER(TRIM($DZ197)),1)="+",LEFT(UPPER(TRIM($DZ197)),1)="-"),999),"E+","E"),"E-","E"))=LEN(SUBSTITUTE(SUBSTITUTE(SUBSTITUTE(SUBSTITUTE(MID(UPPER(TRIM($DZ197)),1+OR(LEFT(UPPER(TRIM($DZ197)),1)="+",LEFT(UPPER(TRIM($DZ197)),1)="-"),999),"E+","E"),"E-","E"),"+",""),"-","")),LEN(UPPER(TRIM($DZ197)))-LEN(SUBSTITUTE(UPPER(TRIM($DZ197)),"E",""))&lt;2,LEN(UPPER(TRIM($DZ197)))-LEN(SUBSTITUTE(UPPER(TRIM($DZ197)),".",""))&lt;2,IFERROR(FIND(".",UPPER(TRIM($DZ197))),0)&lt;IFERROR(FIND("E",UPPER(TRIM($DZ197))),999)),ISNUMBER(VALUE(TRIM($DZ197)))),VALUE(TRIM($DZ197)),"")))),""))</f>
        <v/>
      </c>
      <c r="EB197">
        <f>IF($DM197=0,"",IF($L$18=0,"",IFERROR(IF(UPPER(TRIM(SUBSTITUTE(SUBSTITUTE(SUBSTITUTE(SUBSTITUTE(INDEX(PASTE_ALL,$DF197,$L$18)," "," "),CHAR(9)," "),CHAR(10)," "),CHAR(13)," ")))="READY","Ready",IF(UPPER(TRIM(SUBSTITUTE(SUBSTITUTE(SUBSTITUTE(SUBSTITUTE(INDEX(PASTE_ALL,$DF197,$L$18)," "," "),CHAR(9)," "),CHAR(10)," "),CHAR(13)," ")))="PM","PM",IF(OR(UPPER(TRIM(SUBSTITUTE(SUBSTITUTE(SUBSTITUTE(SUBSTITUTE(INDEX(PASTE_ALL,$DF197,$L$18)," "," "),CHAR(9)," "),CHAR(10)," "),CHAR(13)," ")))="OT",UPPER(TRIM(SUBSTITUTE(SUBSTITUTE(SUBSTITUTE(SUBSTITUTE(INDEX(PASTE_ALL,$DF197,$L$18)," "," "),CHAR(9)," "),CHAR(10)," "),CHAR(13)," ")))="OVERTIME",UPPER(TRIM(SUBSTITUTE(SUBSTITUTE(SUBSTITUTE(SUBSTITUTE(INDEX(PASTE_ALL,$DF197,$L$18)," "," "),CHAR(9)," "),CHAR(10)," "),CHAR(13)," ")))="TRIAL"),"OT",TRIM(SUBSTITUTE(SUBSTITUTE(SUBSTITUTE(SUBSTITUTE(INDEX(PASTE_ALL,$DF197,$L$18)," "," "),CHAR(9)," "),CHAR(10)," "),CHAR(13)," "))))),"")))</f>
        <v/>
      </c>
      <c r="EC197">
        <f>IF($DM197=0,"",IF($L$19=0,"",IFERROR(IF(ISNUMBER(INDEX(PASTE_ALL,$DF197,$L$19)),INDEX(PASTE_ALL,$DF197,$L$19),TRIM(SUBSTITUTE(SUBSTITUTE(SUBSTITUTE(SUBSTITUTE(INDEX(PASTE_ALL,$DF197,$L$19)," "," "),CHAR(9)," "),CHAR(10)," "),CHAR(13)," "))),"")))</f>
        <v/>
      </c>
      <c r="ED197">
        <f>IF($DM197=0,"",MATCH(1,INDEX(EXACT($DH$5:DH197,$DH197)*$DM$5:DM197,0),0))</f>
        <v/>
      </c>
      <c r="EE197">
        <f>IF($DM197=0,0,IF($ED197=$DE197,1,0))</f>
        <v/>
      </c>
      <c r="EF197">
        <f>EF196+$EE197</f>
        <v/>
      </c>
      <c r="EG197">
        <f>IF($DM197=0,"",INDEX($EF$5:$EF$1003,$ED197))</f>
        <v/>
      </c>
      <c r="EH197">
        <f>IF($DM197=0,"",IF($DO197&lt;&gt;"","",IFERROR(LOOKUP(2,1/(($EG$4:EG196=$EG197)*($DO$4:DO196&lt;&gt;"")),$DO$4:DO196),"")))</f>
        <v/>
      </c>
      <c r="EI197">
        <f>IF($DM197=0,"",IF($DO197&lt;&gt;"",$DO197,$EH197))</f>
        <v/>
      </c>
      <c r="EJ197">
        <f>IF($DM197=0,"",IF($EI197="",0,IF(OR(ISNUMBER($EI197),AND(AND(SUBSTITUTE(SUBSTITUTE(SUBSTITUTE(SUBSTITUTE(SUBSTITUTE(SUBSTITUTE(SUBSTITUTE(SUBSTITUTE(SUBSTITUTE(SUBSTITUTE(SUBSTITUTE(SUBSTITUTE(SUBSTITUTE(SUBSTITUTE(UPPER($EI197),"0",""),"1",""),"2",""),"3",""),"4",""),"5",""),"6",""),"7",""),"8",""),"9",""),".",""),"+",""),"-",""),"E","")="",LEN(SUBSTITUTE(SUBSTITUTE(MID(UPPER($EI197),1+OR(LEFT(UPPER($EI197),1)="+",LEFT(UPPER($EI197),1)="-"),999),"E+","E"),"E-","E"))=LEN(SUBSTITUTE(SUBSTITUTE(SUBSTITUTE(SUBSTITUTE(MID(UPPER($EI197),1+OR(LEFT(UPPER($EI197),1)="+",LEFT(UPPER($EI197),1)="-"),999),"E+","E"),"E-","E"),"+",""),"-","")),LEN(UPPER($EI197))-LEN(SUBSTITUTE(UPPER($EI197),"E",""))&lt;2,LEN(UPPER($EI197))-LEN(SUBSTITUTE(UPPER($EI197),".",""))&lt;2,IFERROR(FIND(".",UPPER($EI197)),0)&lt;IFERROR(FIND("E",UPPER($EI197)),999)),ISNUMBER(VALUE($EI197)))),1,2)))</f>
        <v/>
      </c>
      <c r="EK197">
        <f>IF($DM197=0,"",IF($EJ197=1,IF(ISNUMBER($EI197),$EI197,VALUE($EI197)),IF($EJ197=2,$DE197,0)))</f>
        <v/>
      </c>
      <c r="EL197">
        <f>IF($DM197=0,"",COUNTIF($EG$5:$EG$1003,"&lt;"&amp;$EG197)+SUMPRODUCT(($EG$5:$EG$1003=$EG197)*(($EJ$5:$EJ$1003&lt;$EJ197)+($EJ$5:$EJ$1003=$EJ197)*(($EK$5:$EK$1003&lt;$EK197)+($EK$5:$EK$1003=$EK197)*($DE$5:$DE$1003&lt;$DE197))))+1)</f>
        <v/>
      </c>
      <c r="EM197">
        <f>IF($DM197=0,"",$EL197+$EG197-1)</f>
        <v/>
      </c>
      <c r="EN197">
        <f>IF($DM197=0,0,IFERROR(MATCH(1,INDEX(--(TRIM(SUBSTITUTE(SUBSTITUTE(SUBSTITUTE(SUBSTITUTE(LINES_NAME&amp;""," "," "),CHAR(9)," "),CHAR(10)," "),CHAR(13)," "))=$DH197),0),0),0))</f>
        <v/>
      </c>
      <c r="EO197">
        <f>IF($EN197=0,0,IF(OR(UPPER(TRIM(INDEX(LINES_SCHEDULED,$EN197)&amp;""))="YES",UPPER(TRIM(INDEX(LINES_SCHEDULED,$EN197)&amp;""))="Y",UPPER(TRIM(INDEX(LINES_SCHEDULED,$EN197)&amp;""))="X"),1,0))</f>
        <v/>
      </c>
      <c r="EP197">
        <f>IF($DM197=0,"",IF(COUNTIFS($EG$5:$EG$1003,$EG197,$EB$5:$EB$1003,"Ready")&gt;0,"READY",IF(COUNTIFS($EG$5:$EG$1003,$EG197,$EB$5:$EB$1003,"PM")&gt;0,"PM",IF(COUNTIFS($EG$5:$EG$1003,$EG197,$EB$5:$EB$1003,"OT")&gt;0,"OT",""))))</f>
        <v/>
      </c>
      <c r="EQ197">
        <f>IF($EN197=0,"",UPPER(TRIM(INDEX(LINES_STATUS,$EN197)&amp;"")))</f>
        <v/>
      </c>
      <c r="ER197">
        <f>IF($DM197=0,"",IF(OR($EQ197="READY",$EQ197="PM",$EQ197="OT"),$EQ197,$EP197))</f>
        <v/>
      </c>
      <c r="ES197">
        <f>IF($DM197=0,"",IF(AND($DV197&lt;&gt;"",UPPER($DV197)&lt;&gt;"N"),"allergen",IF(ISNUMBER(SEARCH("oil",$DQ197)),"oil",IF(OR(EXACT($DS197,"A662"),EXACT($DS197,"A624")),"bulk",""))))</f>
        <v/>
      </c>
      <c r="ET197">
        <f>IF($DM197=0,"",IF(OR($EA197="",$EA197=0),"",$EA197/100))</f>
        <v/>
      </c>
      <c r="EU197">
        <f>IF(OR($ET197="",$DY197=""),"",INT($DY197*(1-$ET197)+0.5))</f>
        <v/>
      </c>
      <c r="EW197" t="n">
        <v>193</v>
      </c>
      <c r="EX197">
        <f>IFERROR(MATCH($EW197,$EM$5:$EM$1003,0),0)</f>
        <v/>
      </c>
      <c r="EY197">
        <f>IF($EW197&gt;$B$12,"",IF($EX197&gt;0,"row","spacer"))</f>
        <v/>
      </c>
      <c r="EZ197">
        <f>IF(AND($EY197="row",$EY196&lt;&gt;"row"),1,0)</f>
        <v/>
      </c>
      <c r="FA197">
        <f>IF(AND($EY197="row",$EY198&lt;&gt;"row"),1,0)</f>
        <v/>
      </c>
      <c r="FB197">
        <f>IF($EZ197=1,IFERROR(IF(ISNUMBER(INDEX(PASTE_ALL,INDEX($DF$5:$DF$1003,$EX197),$B$37)),INDEX(PASTE_ALL,INDEX($DF$5:$DF$1003,$EX197),$B$37),INDEX($DH$5:$DH$1003,$EX197)),INDEX($DH$5:$DH$1003,$EX197)),"")</f>
        <v/>
      </c>
      <c r="FC197">
        <f>IF($EY197="row",INDEX($ER$5:$ER$1003,$EX197),"")</f>
        <v/>
      </c>
      <c r="FD197">
        <f>IF($EY197="row",INDEX($DN$5:$DN$1003,$EX197),"")</f>
        <v/>
      </c>
      <c r="FE197">
        <f>IF($EY197="row",INDEX($DO$5:$DO$1003,$EX197),"")</f>
        <v/>
      </c>
      <c r="FF197">
        <f>IF($EY197="row",INDEX($DP$5:$DP$1003,$EX197),"")</f>
        <v/>
      </c>
      <c r="FG197">
        <f>IF($EY197="row",INDEX($DQ$5:$DQ$1003,$EX197),"")</f>
        <v/>
      </c>
      <c r="FH197">
        <f>IF($EY197="row",INDEX($DR$5:$DR$1003,$EX197),"")</f>
        <v/>
      </c>
      <c r="FI197">
        <f>IF($EY197="row",INDEX($DS$5:$DS$1003,$EX197),"")</f>
        <v/>
      </c>
      <c r="FJ197">
        <f>IF($EY197="row",INDEX($DT$5:$DT$1003,$EX197),"")</f>
        <v/>
      </c>
      <c r="FK197">
        <f>IF($EY197="row",INDEX($DU$5:$DU$1003,$EX197),"")</f>
        <v/>
      </c>
      <c r="FL197">
        <f>IF($EY197="row",INDEX($DV$5:$DV$1003,$EX197),"")</f>
        <v/>
      </c>
      <c r="FM197">
        <f>IF($EY197="row",INDEX($DW$5:$DW$1003,$EX197),"")</f>
        <v/>
      </c>
      <c r="FN197">
        <f>IF($EY197="row",INDEX($DY$5:$DY$1003,$EX197),"")</f>
        <v/>
      </c>
      <c r="FO197">
        <f>IF($EY197="row",INDEX($EA$5:$EA$1003,$EX197),"")</f>
        <v/>
      </c>
      <c r="FP197">
        <f>IF($EY197="row",INDEX($EC$5:$EC$1003,$EX197),"")</f>
        <v/>
      </c>
      <c r="FQ197">
        <f>IF($EY197="row",INDEX($ET$5:$ET$1003,$EX197),"")</f>
        <v/>
      </c>
      <c r="FR197">
        <f>IF($EY197="row",INDEX($EU$5:$EU$1003,$EX197),"")</f>
        <v/>
      </c>
      <c r="FS197">
        <f>IF(AND($EY197="row",$EY196="row"),IF(OR(INDEX($DT$5:$DT$1003,$EX196)="",INDEX($DT$5:$DT$1003,$EX197)=""),"",IF(NOT(EXACT(INDEX($DT$5:$DT$1003,$EX196),INDEX($DT$5:$DT$1003,$EX197))),"S4",IF(NOT(EXACT(INDEX($DS$5:$DS$1003,$EX196),INDEX($DS$5:$DS$1003,$EX197))),"S3",IF(NOT(EXACT(INDEX($DR$5:$DR$1003,$EX196),INDEX($DR$5:$DR$1003,$EX197))),"S1 Count Change","S1")))),"")</f>
        <v/>
      </c>
      <c r="FT197">
        <f>IF($EY197="row",INDEX($ES$5:$ES$1003,$EX197),"")</f>
        <v/>
      </c>
      <c r="FU197">
        <f>IF($EY197="row",INDEX($EO$5:$EO$1003,$EX197),0)</f>
        <v/>
      </c>
      <c r="FV197">
        <f>IF($FS197="S1 Count Change",1,0)</f>
        <v/>
      </c>
    </row>
    <row r="198">
      <c r="Y198">
        <f>0+IF(Y108&gt;0,0,IF(SUMPRODUCT(MOD(INT(Y153/{2,4,8,16,32,64,128,256,512,1024,2048,4096,8192,16384,32768}),2)*(1-MOD(INT(($CJ18+0)/{2,4,8,16,32,64,128,256,512,1024,2048,4096,8192,16384,32768}),2))*{2,4,8,16,32,64,128,256,512,1024,2048,4096,8192,16384,32768})=0,0,2^SUMPRODUCT(--(MOD(SUMPRODUCT(MOD(INT(Y153/{2,4,8,16,32,64,128,256,512,1024,2048,4096,8192,16384,32768}),2)*(1-MOD(INT(($CJ18+0)/{2,4,8,16,32,64,128,256,512,1024,2048,4096,8192,16384,32768}),2))*{2,4,8,16,32,64,128,256,512,1024,2048,4096,8192,16384,32768}),{2,4,8,16,32,64,128,256,512,1024,2048,4096,8192,16384,32768})=0))))</f>
        <v/>
      </c>
      <c r="Z198">
        <f>Y198+IF(AND(Z108&gt;0,COUNTIF($Y108:Y108,Z108)=0),0,IF(SUMPRODUCT(MOD(INT(Z153/{2,4,8,16,32,64,128,256,512,1024,2048,4096,8192,16384,32768}),2)*(1-MOD(INT(($CJ18+Y198)/{2,4,8,16,32,64,128,256,512,1024,2048,4096,8192,16384,32768}),2))*{2,4,8,16,32,64,128,256,512,1024,2048,4096,8192,16384,32768})=0,0,2^SUMPRODUCT(--(MOD(SUMPRODUCT(MOD(INT(Z153/{2,4,8,16,32,64,128,256,512,1024,2048,4096,8192,16384,32768}),2)*(1-MOD(INT(($CJ18+Y198)/{2,4,8,16,32,64,128,256,512,1024,2048,4096,8192,16384,32768}),2))*{2,4,8,16,32,64,128,256,512,1024,2048,4096,8192,16384,32768}),{2,4,8,16,32,64,128,256,512,1024,2048,4096,8192,16384,32768})=0))))</f>
        <v/>
      </c>
      <c r="AA198">
        <f>Z198+IF(AND(AA108&gt;0,COUNTIF($Y108:Z108,AA108)=0),0,IF(SUMPRODUCT(MOD(INT(AA153/{2,4,8,16,32,64,128,256,512,1024,2048,4096,8192,16384,32768}),2)*(1-MOD(INT(($CJ18+Z198)/{2,4,8,16,32,64,128,256,512,1024,2048,4096,8192,16384,32768}),2))*{2,4,8,16,32,64,128,256,512,1024,2048,4096,8192,16384,32768})=0,0,2^SUMPRODUCT(--(MOD(SUMPRODUCT(MOD(INT(AA153/{2,4,8,16,32,64,128,256,512,1024,2048,4096,8192,16384,32768}),2)*(1-MOD(INT(($CJ18+Z198)/{2,4,8,16,32,64,128,256,512,1024,2048,4096,8192,16384,32768}),2))*{2,4,8,16,32,64,128,256,512,1024,2048,4096,8192,16384,32768}),{2,4,8,16,32,64,128,256,512,1024,2048,4096,8192,16384,32768})=0))))</f>
        <v/>
      </c>
      <c r="AB198">
        <f>AA198+IF(AND(AB108&gt;0,COUNTIF($Y108:AA108,AB108)=0),0,IF(SUMPRODUCT(MOD(INT(AB153/{2,4,8,16,32,64,128,256,512,1024,2048,4096,8192,16384,32768}),2)*(1-MOD(INT(($CJ18+AA198)/{2,4,8,16,32,64,128,256,512,1024,2048,4096,8192,16384,32768}),2))*{2,4,8,16,32,64,128,256,512,1024,2048,4096,8192,16384,32768})=0,0,2^SUMPRODUCT(--(MOD(SUMPRODUCT(MOD(INT(AB153/{2,4,8,16,32,64,128,256,512,1024,2048,4096,8192,16384,32768}),2)*(1-MOD(INT(($CJ18+AA198)/{2,4,8,16,32,64,128,256,512,1024,2048,4096,8192,16384,32768}),2))*{2,4,8,16,32,64,128,256,512,1024,2048,4096,8192,16384,32768}),{2,4,8,16,32,64,128,256,512,1024,2048,4096,8192,16384,32768})=0))))</f>
        <v/>
      </c>
      <c r="AC198">
        <f>AB198+IF(AND(AC108&gt;0,COUNTIF($Y108:AB108,AC108)=0),0,IF(SUMPRODUCT(MOD(INT(AC153/{2,4,8,16,32,64,128,256,512,1024,2048,4096,8192,16384,32768}),2)*(1-MOD(INT(($CJ18+AB198)/{2,4,8,16,32,64,128,256,512,1024,2048,4096,8192,16384,32768}),2))*{2,4,8,16,32,64,128,256,512,1024,2048,4096,8192,16384,32768})=0,0,2^SUMPRODUCT(--(MOD(SUMPRODUCT(MOD(INT(AC153/{2,4,8,16,32,64,128,256,512,1024,2048,4096,8192,16384,32768}),2)*(1-MOD(INT(($CJ18+AB198)/{2,4,8,16,32,64,128,256,512,1024,2048,4096,8192,16384,32768}),2))*{2,4,8,16,32,64,128,256,512,1024,2048,4096,8192,16384,32768}),{2,4,8,16,32,64,128,256,512,1024,2048,4096,8192,16384,32768})=0))))</f>
        <v/>
      </c>
      <c r="AD198">
        <f>AC198+IF(AND(AD108&gt;0,COUNTIF($Y108:AC108,AD108)=0),0,IF(SUMPRODUCT(MOD(INT(AD153/{2,4,8,16,32,64,128,256,512,1024,2048,4096,8192,16384,32768}),2)*(1-MOD(INT(($CJ18+AC198)/{2,4,8,16,32,64,128,256,512,1024,2048,4096,8192,16384,32768}),2))*{2,4,8,16,32,64,128,256,512,1024,2048,4096,8192,16384,32768})=0,0,2^SUMPRODUCT(--(MOD(SUMPRODUCT(MOD(INT(AD153/{2,4,8,16,32,64,128,256,512,1024,2048,4096,8192,16384,32768}),2)*(1-MOD(INT(($CJ18+AC198)/{2,4,8,16,32,64,128,256,512,1024,2048,4096,8192,16384,32768}),2))*{2,4,8,16,32,64,128,256,512,1024,2048,4096,8192,16384,32768}),{2,4,8,16,32,64,128,256,512,1024,2048,4096,8192,16384,32768})=0))))</f>
        <v/>
      </c>
      <c r="AE198">
        <f>AD198+IF(AND(AE108&gt;0,COUNTIF($Y108:AD108,AE108)=0),0,IF(SUMPRODUCT(MOD(INT(AE153/{2,4,8,16,32,64,128,256,512,1024,2048,4096,8192,16384,32768}),2)*(1-MOD(INT(($CJ18+AD198)/{2,4,8,16,32,64,128,256,512,1024,2048,4096,8192,16384,32768}),2))*{2,4,8,16,32,64,128,256,512,1024,2048,4096,8192,16384,32768})=0,0,2^SUMPRODUCT(--(MOD(SUMPRODUCT(MOD(INT(AE153/{2,4,8,16,32,64,128,256,512,1024,2048,4096,8192,16384,32768}),2)*(1-MOD(INT(($CJ18+AD198)/{2,4,8,16,32,64,128,256,512,1024,2048,4096,8192,16384,32768}),2))*{2,4,8,16,32,64,128,256,512,1024,2048,4096,8192,16384,32768}),{2,4,8,16,32,64,128,256,512,1024,2048,4096,8192,16384,32768})=0))))</f>
        <v/>
      </c>
      <c r="AF198">
        <f>AE198+IF(AND(AF108&gt;0,COUNTIF($Y108:AE108,AF108)=0),0,IF(SUMPRODUCT(MOD(INT(AF153/{2,4,8,16,32,64,128,256,512,1024,2048,4096,8192,16384,32768}),2)*(1-MOD(INT(($CJ18+AE198)/{2,4,8,16,32,64,128,256,512,1024,2048,4096,8192,16384,32768}),2))*{2,4,8,16,32,64,128,256,512,1024,2048,4096,8192,16384,32768})=0,0,2^SUMPRODUCT(--(MOD(SUMPRODUCT(MOD(INT(AF153/{2,4,8,16,32,64,128,256,512,1024,2048,4096,8192,16384,32768}),2)*(1-MOD(INT(($CJ18+AE198)/{2,4,8,16,32,64,128,256,512,1024,2048,4096,8192,16384,32768}),2))*{2,4,8,16,32,64,128,256,512,1024,2048,4096,8192,16384,32768}),{2,4,8,16,32,64,128,256,512,1024,2048,4096,8192,16384,32768})=0))))</f>
        <v/>
      </c>
      <c r="AG198">
        <f>AF198+IF(AND(AG108&gt;0,COUNTIF($Y108:AF108,AG108)=0),0,IF(SUMPRODUCT(MOD(INT(AG153/{2,4,8,16,32,64,128,256,512,1024,2048,4096,8192,16384,32768}),2)*(1-MOD(INT(($CJ18+AF198)/{2,4,8,16,32,64,128,256,512,1024,2048,4096,8192,16384,32768}),2))*{2,4,8,16,32,64,128,256,512,1024,2048,4096,8192,16384,32768})=0,0,2^SUMPRODUCT(--(MOD(SUMPRODUCT(MOD(INT(AG153/{2,4,8,16,32,64,128,256,512,1024,2048,4096,8192,16384,32768}),2)*(1-MOD(INT(($CJ18+AF198)/{2,4,8,16,32,64,128,256,512,1024,2048,4096,8192,16384,32768}),2))*{2,4,8,16,32,64,128,256,512,1024,2048,4096,8192,16384,32768}),{2,4,8,16,32,64,128,256,512,1024,2048,4096,8192,16384,32768})=0))))</f>
        <v/>
      </c>
      <c r="AH198">
        <f>AG198+IF(AND(AH108&gt;0,COUNTIF($Y108:AG108,AH108)=0),0,IF(SUMPRODUCT(MOD(INT(AH153/{2,4,8,16,32,64,128,256,512,1024,2048,4096,8192,16384,32768}),2)*(1-MOD(INT(($CJ18+AG198)/{2,4,8,16,32,64,128,256,512,1024,2048,4096,8192,16384,32768}),2))*{2,4,8,16,32,64,128,256,512,1024,2048,4096,8192,16384,32768})=0,0,2^SUMPRODUCT(--(MOD(SUMPRODUCT(MOD(INT(AH153/{2,4,8,16,32,64,128,256,512,1024,2048,4096,8192,16384,32768}),2)*(1-MOD(INT(($CJ18+AG198)/{2,4,8,16,32,64,128,256,512,1024,2048,4096,8192,16384,32768}),2))*{2,4,8,16,32,64,128,256,512,1024,2048,4096,8192,16384,32768}),{2,4,8,16,32,64,128,256,512,1024,2048,4096,8192,16384,32768})=0))))</f>
        <v/>
      </c>
      <c r="AI198">
        <f>AH198+IF(AND(AI108&gt;0,COUNTIF($Y108:AH108,AI108)=0),0,IF(SUMPRODUCT(MOD(INT(AI153/{2,4,8,16,32,64,128,256,512,1024,2048,4096,8192,16384,32768}),2)*(1-MOD(INT(($CJ18+AH198)/{2,4,8,16,32,64,128,256,512,1024,2048,4096,8192,16384,32768}),2))*{2,4,8,16,32,64,128,256,512,1024,2048,4096,8192,16384,32768})=0,0,2^SUMPRODUCT(--(MOD(SUMPRODUCT(MOD(INT(AI153/{2,4,8,16,32,64,128,256,512,1024,2048,4096,8192,16384,32768}),2)*(1-MOD(INT(($CJ18+AH198)/{2,4,8,16,32,64,128,256,512,1024,2048,4096,8192,16384,32768}),2))*{2,4,8,16,32,64,128,256,512,1024,2048,4096,8192,16384,32768}),{2,4,8,16,32,64,128,256,512,1024,2048,4096,8192,16384,32768})=0))))</f>
        <v/>
      </c>
      <c r="AJ198">
        <f>AI198+IF(AND(AJ108&gt;0,COUNTIF($Y108:AI108,AJ108)=0),0,IF(SUMPRODUCT(MOD(INT(AJ153/{2,4,8,16,32,64,128,256,512,1024,2048,4096,8192,16384,32768}),2)*(1-MOD(INT(($CJ18+AI198)/{2,4,8,16,32,64,128,256,512,1024,2048,4096,8192,16384,32768}),2))*{2,4,8,16,32,64,128,256,512,1024,2048,4096,8192,16384,32768})=0,0,2^SUMPRODUCT(--(MOD(SUMPRODUCT(MOD(INT(AJ153/{2,4,8,16,32,64,128,256,512,1024,2048,4096,8192,16384,32768}),2)*(1-MOD(INT(($CJ18+AI198)/{2,4,8,16,32,64,128,256,512,1024,2048,4096,8192,16384,32768}),2))*{2,4,8,16,32,64,128,256,512,1024,2048,4096,8192,16384,32768}),{2,4,8,16,32,64,128,256,512,1024,2048,4096,8192,16384,32768})=0))))</f>
        <v/>
      </c>
      <c r="AK198">
        <f>AJ198+IF(AND(AK108&gt;0,COUNTIF($Y108:AJ108,AK108)=0),0,IF(SUMPRODUCT(MOD(INT(AK153/{2,4,8,16,32,64,128,256,512,1024,2048,4096,8192,16384,32768}),2)*(1-MOD(INT(($CJ18+AJ198)/{2,4,8,16,32,64,128,256,512,1024,2048,4096,8192,16384,32768}),2))*{2,4,8,16,32,64,128,256,512,1024,2048,4096,8192,16384,32768})=0,0,2^SUMPRODUCT(--(MOD(SUMPRODUCT(MOD(INT(AK153/{2,4,8,16,32,64,128,256,512,1024,2048,4096,8192,16384,32768}),2)*(1-MOD(INT(($CJ18+AJ198)/{2,4,8,16,32,64,128,256,512,1024,2048,4096,8192,16384,32768}),2))*{2,4,8,16,32,64,128,256,512,1024,2048,4096,8192,16384,32768}),{2,4,8,16,32,64,128,256,512,1024,2048,4096,8192,16384,32768})=0))))</f>
        <v/>
      </c>
      <c r="AL198">
        <f>AK198+IF(AND(AL108&gt;0,COUNTIF($Y108:AK108,AL108)=0),0,IF(SUMPRODUCT(MOD(INT(AL153/{2,4,8,16,32,64,128,256,512,1024,2048,4096,8192,16384,32768}),2)*(1-MOD(INT(($CJ18+AK198)/{2,4,8,16,32,64,128,256,512,1024,2048,4096,8192,16384,32768}),2))*{2,4,8,16,32,64,128,256,512,1024,2048,4096,8192,16384,32768})=0,0,2^SUMPRODUCT(--(MOD(SUMPRODUCT(MOD(INT(AL153/{2,4,8,16,32,64,128,256,512,1024,2048,4096,8192,16384,32768}),2)*(1-MOD(INT(($CJ18+AK198)/{2,4,8,16,32,64,128,256,512,1024,2048,4096,8192,16384,32768}),2))*{2,4,8,16,32,64,128,256,512,1024,2048,4096,8192,16384,32768}),{2,4,8,16,32,64,128,256,512,1024,2048,4096,8192,16384,32768})=0))))</f>
        <v/>
      </c>
      <c r="AM198">
        <f>AL198+IF(AND(AM108&gt;0,COUNTIF($Y108:AL108,AM108)=0),0,IF(SUMPRODUCT(MOD(INT(AM153/{2,4,8,16,32,64,128,256,512,1024,2048,4096,8192,16384,32768}),2)*(1-MOD(INT(($CJ18+AL198)/{2,4,8,16,32,64,128,256,512,1024,2048,4096,8192,16384,32768}),2))*{2,4,8,16,32,64,128,256,512,1024,2048,4096,8192,16384,32768})=0,0,2^SUMPRODUCT(--(MOD(SUMPRODUCT(MOD(INT(AM153/{2,4,8,16,32,64,128,256,512,1024,2048,4096,8192,16384,32768}),2)*(1-MOD(INT(($CJ18+AL198)/{2,4,8,16,32,64,128,256,512,1024,2048,4096,8192,16384,32768}),2))*{2,4,8,16,32,64,128,256,512,1024,2048,4096,8192,16384,32768}),{2,4,8,16,32,64,128,256,512,1024,2048,4096,8192,16384,32768})=0))))</f>
        <v/>
      </c>
      <c r="AN198">
        <f>AM198+IF(AND(AN108&gt;0,COUNTIF($Y108:AM108,AN108)=0),0,IF(SUMPRODUCT(MOD(INT(AN153/{2,4,8,16,32,64,128,256,512,1024,2048,4096,8192,16384,32768}),2)*(1-MOD(INT(($CJ18+AM198)/{2,4,8,16,32,64,128,256,512,1024,2048,4096,8192,16384,32768}),2))*{2,4,8,16,32,64,128,256,512,1024,2048,4096,8192,16384,32768})=0,0,2^SUMPRODUCT(--(MOD(SUMPRODUCT(MOD(INT(AN153/{2,4,8,16,32,64,128,256,512,1024,2048,4096,8192,16384,32768}),2)*(1-MOD(INT(($CJ18+AM198)/{2,4,8,16,32,64,128,256,512,1024,2048,4096,8192,16384,32768}),2))*{2,4,8,16,32,64,128,256,512,1024,2048,4096,8192,16384,32768}),{2,4,8,16,32,64,128,256,512,1024,2048,4096,8192,16384,32768})=0))))</f>
        <v/>
      </c>
      <c r="AO198">
        <f>AN198+IF(AND(AO108&gt;0,COUNTIF($Y108:AN108,AO108)=0),0,IF(SUMPRODUCT(MOD(INT(AO153/{2,4,8,16,32,64,128,256,512,1024,2048,4096,8192,16384,32768}),2)*(1-MOD(INT(($CJ18+AN198)/{2,4,8,16,32,64,128,256,512,1024,2048,4096,8192,16384,32768}),2))*{2,4,8,16,32,64,128,256,512,1024,2048,4096,8192,16384,32768})=0,0,2^SUMPRODUCT(--(MOD(SUMPRODUCT(MOD(INT(AO153/{2,4,8,16,32,64,128,256,512,1024,2048,4096,8192,16384,32768}),2)*(1-MOD(INT(($CJ18+AN198)/{2,4,8,16,32,64,128,256,512,1024,2048,4096,8192,16384,32768}),2))*{2,4,8,16,32,64,128,256,512,1024,2048,4096,8192,16384,32768}),{2,4,8,16,32,64,128,256,512,1024,2048,4096,8192,16384,32768})=0))))</f>
        <v/>
      </c>
      <c r="AP198">
        <f>AO198+IF(AND(AP108&gt;0,COUNTIF($Y108:AO108,AP108)=0),0,IF(SUMPRODUCT(MOD(INT(AP153/{2,4,8,16,32,64,128,256,512,1024,2048,4096,8192,16384,32768}),2)*(1-MOD(INT(($CJ18+AO198)/{2,4,8,16,32,64,128,256,512,1024,2048,4096,8192,16384,32768}),2))*{2,4,8,16,32,64,128,256,512,1024,2048,4096,8192,16384,32768})=0,0,2^SUMPRODUCT(--(MOD(SUMPRODUCT(MOD(INT(AP153/{2,4,8,16,32,64,128,256,512,1024,2048,4096,8192,16384,32768}),2)*(1-MOD(INT(($CJ18+AO198)/{2,4,8,16,32,64,128,256,512,1024,2048,4096,8192,16384,32768}),2))*{2,4,8,16,32,64,128,256,512,1024,2048,4096,8192,16384,32768}),{2,4,8,16,32,64,128,256,512,1024,2048,4096,8192,16384,32768})=0))))</f>
        <v/>
      </c>
      <c r="AQ198">
        <f>AP198+IF(AND(AQ108&gt;0,COUNTIF($Y108:AP108,AQ108)=0),0,IF(SUMPRODUCT(MOD(INT(AQ153/{2,4,8,16,32,64,128,256,512,1024,2048,4096,8192,16384,32768}),2)*(1-MOD(INT(($CJ18+AP198)/{2,4,8,16,32,64,128,256,512,1024,2048,4096,8192,16384,32768}),2))*{2,4,8,16,32,64,128,256,512,1024,2048,4096,8192,16384,32768})=0,0,2^SUMPRODUCT(--(MOD(SUMPRODUCT(MOD(INT(AQ153/{2,4,8,16,32,64,128,256,512,1024,2048,4096,8192,16384,32768}),2)*(1-MOD(INT(($CJ18+AP198)/{2,4,8,16,32,64,128,256,512,1024,2048,4096,8192,16384,32768}),2))*{2,4,8,16,32,64,128,256,512,1024,2048,4096,8192,16384,32768}),{2,4,8,16,32,64,128,256,512,1024,2048,4096,8192,16384,32768})=0))))</f>
        <v/>
      </c>
      <c r="AR198">
        <f>AQ198+IF(AND(AR108&gt;0,COUNTIF($Y108:AQ108,AR108)=0),0,IF(SUMPRODUCT(MOD(INT(AR153/{2,4,8,16,32,64,128,256,512,1024,2048,4096,8192,16384,32768}),2)*(1-MOD(INT(($CJ18+AQ198)/{2,4,8,16,32,64,128,256,512,1024,2048,4096,8192,16384,32768}),2))*{2,4,8,16,32,64,128,256,512,1024,2048,4096,8192,16384,32768})=0,0,2^SUMPRODUCT(--(MOD(SUMPRODUCT(MOD(INT(AR153/{2,4,8,16,32,64,128,256,512,1024,2048,4096,8192,16384,32768}),2)*(1-MOD(INT(($CJ18+AQ198)/{2,4,8,16,32,64,128,256,512,1024,2048,4096,8192,16384,32768}),2))*{2,4,8,16,32,64,128,256,512,1024,2048,4096,8192,16384,32768}),{2,4,8,16,32,64,128,256,512,1024,2048,4096,8192,16384,32768})=0))))</f>
        <v/>
      </c>
      <c r="AS198">
        <f>AR198+IF(AND(AS108&gt;0,COUNTIF($Y108:AR108,AS108)=0),0,IF(SUMPRODUCT(MOD(INT(AS153/{2,4,8,16,32,64,128,256,512,1024,2048,4096,8192,16384,32768}),2)*(1-MOD(INT(($CJ18+AR198)/{2,4,8,16,32,64,128,256,512,1024,2048,4096,8192,16384,32768}),2))*{2,4,8,16,32,64,128,256,512,1024,2048,4096,8192,16384,32768})=0,0,2^SUMPRODUCT(--(MOD(SUMPRODUCT(MOD(INT(AS153/{2,4,8,16,32,64,128,256,512,1024,2048,4096,8192,16384,32768}),2)*(1-MOD(INT(($CJ18+AR198)/{2,4,8,16,32,64,128,256,512,1024,2048,4096,8192,16384,32768}),2))*{2,4,8,16,32,64,128,256,512,1024,2048,4096,8192,16384,32768}),{2,4,8,16,32,64,128,256,512,1024,2048,4096,8192,16384,32768})=0))))</f>
        <v/>
      </c>
      <c r="AT198">
        <f>AS198+IF(AND(AT108&gt;0,COUNTIF($Y108:AS108,AT108)=0),0,IF(SUMPRODUCT(MOD(INT(AT153/{2,4,8,16,32,64,128,256,512,1024,2048,4096,8192,16384,32768}),2)*(1-MOD(INT(($CJ18+AS198)/{2,4,8,16,32,64,128,256,512,1024,2048,4096,8192,16384,32768}),2))*{2,4,8,16,32,64,128,256,512,1024,2048,4096,8192,16384,32768})=0,0,2^SUMPRODUCT(--(MOD(SUMPRODUCT(MOD(INT(AT153/{2,4,8,16,32,64,128,256,512,1024,2048,4096,8192,16384,32768}),2)*(1-MOD(INT(($CJ18+AS198)/{2,4,8,16,32,64,128,256,512,1024,2048,4096,8192,16384,32768}),2))*{2,4,8,16,32,64,128,256,512,1024,2048,4096,8192,16384,32768}),{2,4,8,16,32,64,128,256,512,1024,2048,4096,8192,16384,32768})=0))))</f>
        <v/>
      </c>
      <c r="AU198">
        <f>AT198+IF(AND(AU108&gt;0,COUNTIF($Y108:AT108,AU108)=0),0,IF(SUMPRODUCT(MOD(INT(AU153/{2,4,8,16,32,64,128,256,512,1024,2048,4096,8192,16384,32768}),2)*(1-MOD(INT(($CJ18+AT198)/{2,4,8,16,32,64,128,256,512,1024,2048,4096,8192,16384,32768}),2))*{2,4,8,16,32,64,128,256,512,1024,2048,4096,8192,16384,32768})=0,0,2^SUMPRODUCT(--(MOD(SUMPRODUCT(MOD(INT(AU153/{2,4,8,16,32,64,128,256,512,1024,2048,4096,8192,16384,32768}),2)*(1-MOD(INT(($CJ18+AT198)/{2,4,8,16,32,64,128,256,512,1024,2048,4096,8192,16384,32768}),2))*{2,4,8,16,32,64,128,256,512,1024,2048,4096,8192,16384,32768}),{2,4,8,16,32,64,128,256,512,1024,2048,4096,8192,16384,32768})=0))))</f>
        <v/>
      </c>
      <c r="AV198">
        <f>AU198+IF(AND(AV108&gt;0,COUNTIF($Y108:AU108,AV108)=0),0,IF(SUMPRODUCT(MOD(INT(AV153/{2,4,8,16,32,64,128,256,512,1024,2048,4096,8192,16384,32768}),2)*(1-MOD(INT(($CJ18+AU198)/{2,4,8,16,32,64,128,256,512,1024,2048,4096,8192,16384,32768}),2))*{2,4,8,16,32,64,128,256,512,1024,2048,4096,8192,16384,32768})=0,0,2^SUMPRODUCT(--(MOD(SUMPRODUCT(MOD(INT(AV153/{2,4,8,16,32,64,128,256,512,1024,2048,4096,8192,16384,32768}),2)*(1-MOD(INT(($CJ18+AU198)/{2,4,8,16,32,64,128,256,512,1024,2048,4096,8192,16384,32768}),2))*{2,4,8,16,32,64,128,256,512,1024,2048,4096,8192,16384,32768}),{2,4,8,16,32,64,128,256,512,1024,2048,4096,8192,16384,32768})=0))))</f>
        <v/>
      </c>
      <c r="AW198">
        <f>AV198+IF(AND(AW108&gt;0,COUNTIF($Y108:AV108,AW108)=0),0,IF(SUMPRODUCT(MOD(INT(AW153/{2,4,8,16,32,64,128,256,512,1024,2048,4096,8192,16384,32768}),2)*(1-MOD(INT(($CJ18+AV198)/{2,4,8,16,32,64,128,256,512,1024,2048,4096,8192,16384,32768}),2))*{2,4,8,16,32,64,128,256,512,1024,2048,4096,8192,16384,32768})=0,0,2^SUMPRODUCT(--(MOD(SUMPRODUCT(MOD(INT(AW153/{2,4,8,16,32,64,128,256,512,1024,2048,4096,8192,16384,32768}),2)*(1-MOD(INT(($CJ18+AV198)/{2,4,8,16,32,64,128,256,512,1024,2048,4096,8192,16384,32768}),2))*{2,4,8,16,32,64,128,256,512,1024,2048,4096,8192,16384,32768}),{2,4,8,16,32,64,128,256,512,1024,2048,4096,8192,16384,32768})=0))))</f>
        <v/>
      </c>
      <c r="AX198">
        <f>AW198+IF(AND(AX108&gt;0,COUNTIF($Y108:AW108,AX108)=0),0,IF(SUMPRODUCT(MOD(INT(AX153/{2,4,8,16,32,64,128,256,512,1024,2048,4096,8192,16384,32768}),2)*(1-MOD(INT(($CJ18+AW198)/{2,4,8,16,32,64,128,256,512,1024,2048,4096,8192,16384,32768}),2))*{2,4,8,16,32,64,128,256,512,1024,2048,4096,8192,16384,32768})=0,0,2^SUMPRODUCT(--(MOD(SUMPRODUCT(MOD(INT(AX153/{2,4,8,16,32,64,128,256,512,1024,2048,4096,8192,16384,32768}),2)*(1-MOD(INT(($CJ18+AW198)/{2,4,8,16,32,64,128,256,512,1024,2048,4096,8192,16384,32768}),2))*{2,4,8,16,32,64,128,256,512,1024,2048,4096,8192,16384,32768}),{2,4,8,16,32,64,128,256,512,1024,2048,4096,8192,16384,32768})=0))))</f>
        <v/>
      </c>
      <c r="AY198">
        <f>AX198+IF(AND(AY108&gt;0,COUNTIF($Y108:AX108,AY108)=0),0,IF(SUMPRODUCT(MOD(INT(AY153/{2,4,8,16,32,64,128,256,512,1024,2048,4096,8192,16384,32768}),2)*(1-MOD(INT(($CJ18+AX198)/{2,4,8,16,32,64,128,256,512,1024,2048,4096,8192,16384,32768}),2))*{2,4,8,16,32,64,128,256,512,1024,2048,4096,8192,16384,32768})=0,0,2^SUMPRODUCT(--(MOD(SUMPRODUCT(MOD(INT(AY153/{2,4,8,16,32,64,128,256,512,1024,2048,4096,8192,16384,32768}),2)*(1-MOD(INT(($CJ18+AX198)/{2,4,8,16,32,64,128,256,512,1024,2048,4096,8192,16384,32768}),2))*{2,4,8,16,32,64,128,256,512,1024,2048,4096,8192,16384,32768}),{2,4,8,16,32,64,128,256,512,1024,2048,4096,8192,16384,32768})=0))))</f>
        <v/>
      </c>
      <c r="AZ198">
        <f>AY198+IF(AND(AZ108&gt;0,COUNTIF($Y108:AY108,AZ108)=0),0,IF(SUMPRODUCT(MOD(INT(AZ153/{2,4,8,16,32,64,128,256,512,1024,2048,4096,8192,16384,32768}),2)*(1-MOD(INT(($CJ18+AY198)/{2,4,8,16,32,64,128,256,512,1024,2048,4096,8192,16384,32768}),2))*{2,4,8,16,32,64,128,256,512,1024,2048,4096,8192,16384,32768})=0,0,2^SUMPRODUCT(--(MOD(SUMPRODUCT(MOD(INT(AZ153/{2,4,8,16,32,64,128,256,512,1024,2048,4096,8192,16384,32768}),2)*(1-MOD(INT(($CJ18+AY198)/{2,4,8,16,32,64,128,256,512,1024,2048,4096,8192,16384,32768}),2))*{2,4,8,16,32,64,128,256,512,1024,2048,4096,8192,16384,32768}),{2,4,8,16,32,64,128,256,512,1024,2048,4096,8192,16384,32768})=0))))</f>
        <v/>
      </c>
      <c r="BA198">
        <f>AZ198+IF(AND(BA108&gt;0,COUNTIF($Y108:AZ108,BA108)=0),0,IF(SUMPRODUCT(MOD(INT(BA153/{2,4,8,16,32,64,128,256,512,1024,2048,4096,8192,16384,32768}),2)*(1-MOD(INT(($CJ18+AZ198)/{2,4,8,16,32,64,128,256,512,1024,2048,4096,8192,16384,32768}),2))*{2,4,8,16,32,64,128,256,512,1024,2048,4096,8192,16384,32768})=0,0,2^SUMPRODUCT(--(MOD(SUMPRODUCT(MOD(INT(BA153/{2,4,8,16,32,64,128,256,512,1024,2048,4096,8192,16384,32768}),2)*(1-MOD(INT(($CJ18+AZ198)/{2,4,8,16,32,64,128,256,512,1024,2048,4096,8192,16384,32768}),2))*{2,4,8,16,32,64,128,256,512,1024,2048,4096,8192,16384,32768}),{2,4,8,16,32,64,128,256,512,1024,2048,4096,8192,16384,32768})=0))))</f>
        <v/>
      </c>
      <c r="BB198">
        <f>BA198+IF(AND(BB108&gt;0,COUNTIF($Y108:BA108,BB108)=0),0,IF(SUMPRODUCT(MOD(INT(BB153/{2,4,8,16,32,64,128,256,512,1024,2048,4096,8192,16384,32768}),2)*(1-MOD(INT(($CJ18+BA198)/{2,4,8,16,32,64,128,256,512,1024,2048,4096,8192,16384,32768}),2))*{2,4,8,16,32,64,128,256,512,1024,2048,4096,8192,16384,32768})=0,0,2^SUMPRODUCT(--(MOD(SUMPRODUCT(MOD(INT(BB153/{2,4,8,16,32,64,128,256,512,1024,2048,4096,8192,16384,32768}),2)*(1-MOD(INT(($CJ18+BA198)/{2,4,8,16,32,64,128,256,512,1024,2048,4096,8192,16384,32768}),2))*{2,4,8,16,32,64,128,256,512,1024,2048,4096,8192,16384,32768}),{2,4,8,16,32,64,128,256,512,1024,2048,4096,8192,16384,32768})=0))))</f>
        <v/>
      </c>
      <c r="BC198">
        <f>BB198+IF(AND(BC108&gt;0,COUNTIF($Y108:BB108,BC108)=0),0,IF(SUMPRODUCT(MOD(INT(BC153/{2,4,8,16,32,64,128,256,512,1024,2048,4096,8192,16384,32768}),2)*(1-MOD(INT(($CJ18+BB198)/{2,4,8,16,32,64,128,256,512,1024,2048,4096,8192,16384,32768}),2))*{2,4,8,16,32,64,128,256,512,1024,2048,4096,8192,16384,32768})=0,0,2^SUMPRODUCT(--(MOD(SUMPRODUCT(MOD(INT(BC153/{2,4,8,16,32,64,128,256,512,1024,2048,4096,8192,16384,32768}),2)*(1-MOD(INT(($CJ18+BB198)/{2,4,8,16,32,64,128,256,512,1024,2048,4096,8192,16384,32768}),2))*{2,4,8,16,32,64,128,256,512,1024,2048,4096,8192,16384,32768}),{2,4,8,16,32,64,128,256,512,1024,2048,4096,8192,16384,32768})=0))))</f>
        <v/>
      </c>
      <c r="BD198">
        <f>BC198+IF(AND(BD108&gt;0,COUNTIF($Y108:BC108,BD108)=0),0,IF(SUMPRODUCT(MOD(INT(BD153/{2,4,8,16,32,64,128,256,512,1024,2048,4096,8192,16384,32768}),2)*(1-MOD(INT(($CJ18+BC198)/{2,4,8,16,32,64,128,256,512,1024,2048,4096,8192,16384,32768}),2))*{2,4,8,16,32,64,128,256,512,1024,2048,4096,8192,16384,32768})=0,0,2^SUMPRODUCT(--(MOD(SUMPRODUCT(MOD(INT(BD153/{2,4,8,16,32,64,128,256,512,1024,2048,4096,8192,16384,32768}),2)*(1-MOD(INT(($CJ18+BC198)/{2,4,8,16,32,64,128,256,512,1024,2048,4096,8192,16384,32768}),2))*{2,4,8,16,32,64,128,256,512,1024,2048,4096,8192,16384,32768}),{2,4,8,16,32,64,128,256,512,1024,2048,4096,8192,16384,32768})=0))))</f>
        <v/>
      </c>
      <c r="BE198">
        <f>BD198+IF(AND(BE108&gt;0,COUNTIF($Y108:BD108,BE108)=0),0,IF(SUMPRODUCT(MOD(INT(BE153/{2,4,8,16,32,64,128,256,512,1024,2048,4096,8192,16384,32768}),2)*(1-MOD(INT(($CJ18+BD198)/{2,4,8,16,32,64,128,256,512,1024,2048,4096,8192,16384,32768}),2))*{2,4,8,16,32,64,128,256,512,1024,2048,4096,8192,16384,32768})=0,0,2^SUMPRODUCT(--(MOD(SUMPRODUCT(MOD(INT(BE153/{2,4,8,16,32,64,128,256,512,1024,2048,4096,8192,16384,32768}),2)*(1-MOD(INT(($CJ18+BD198)/{2,4,8,16,32,64,128,256,512,1024,2048,4096,8192,16384,32768}),2))*{2,4,8,16,32,64,128,256,512,1024,2048,4096,8192,16384,32768}),{2,4,8,16,32,64,128,256,512,1024,2048,4096,8192,16384,32768})=0))))</f>
        <v/>
      </c>
      <c r="BF198">
        <f>BE198+IF(AND(BF108&gt;0,COUNTIF($Y108:BE108,BF108)=0),0,IF(SUMPRODUCT(MOD(INT(BF153/{2,4,8,16,32,64,128,256,512,1024,2048,4096,8192,16384,32768}),2)*(1-MOD(INT(($CJ18+BE198)/{2,4,8,16,32,64,128,256,512,1024,2048,4096,8192,16384,32768}),2))*{2,4,8,16,32,64,128,256,512,1024,2048,4096,8192,16384,32768})=0,0,2^SUMPRODUCT(--(MOD(SUMPRODUCT(MOD(INT(BF153/{2,4,8,16,32,64,128,256,512,1024,2048,4096,8192,16384,32768}),2)*(1-MOD(INT(($CJ18+BE198)/{2,4,8,16,32,64,128,256,512,1024,2048,4096,8192,16384,32768}),2))*{2,4,8,16,32,64,128,256,512,1024,2048,4096,8192,16384,32768}),{2,4,8,16,32,64,128,256,512,1024,2048,4096,8192,16384,32768})=0))))</f>
        <v/>
      </c>
      <c r="BG198">
        <f>BF198+IF(AND(BG108&gt;0,COUNTIF($Y108:BF108,BG108)=0),0,IF(SUMPRODUCT(MOD(INT(BG153/{2,4,8,16,32,64,128,256,512,1024,2048,4096,8192,16384,32768}),2)*(1-MOD(INT(($CJ18+BF198)/{2,4,8,16,32,64,128,256,512,1024,2048,4096,8192,16384,32768}),2))*{2,4,8,16,32,64,128,256,512,1024,2048,4096,8192,16384,32768})=0,0,2^SUMPRODUCT(--(MOD(SUMPRODUCT(MOD(INT(BG153/{2,4,8,16,32,64,128,256,512,1024,2048,4096,8192,16384,32768}),2)*(1-MOD(INT(($CJ18+BF198)/{2,4,8,16,32,64,128,256,512,1024,2048,4096,8192,16384,32768}),2))*{2,4,8,16,32,64,128,256,512,1024,2048,4096,8192,16384,32768}),{2,4,8,16,32,64,128,256,512,1024,2048,4096,8192,16384,32768})=0))))</f>
        <v/>
      </c>
      <c r="BH198">
        <f>BG198+IF(AND(BH108&gt;0,COUNTIF($Y108:BG108,BH108)=0),0,IF(SUMPRODUCT(MOD(INT(BH153/{2,4,8,16,32,64,128,256,512,1024,2048,4096,8192,16384,32768}),2)*(1-MOD(INT(($CJ18+BG198)/{2,4,8,16,32,64,128,256,512,1024,2048,4096,8192,16384,32768}),2))*{2,4,8,16,32,64,128,256,512,1024,2048,4096,8192,16384,32768})=0,0,2^SUMPRODUCT(--(MOD(SUMPRODUCT(MOD(INT(BH153/{2,4,8,16,32,64,128,256,512,1024,2048,4096,8192,16384,32768}),2)*(1-MOD(INT(($CJ18+BG198)/{2,4,8,16,32,64,128,256,512,1024,2048,4096,8192,16384,32768}),2))*{2,4,8,16,32,64,128,256,512,1024,2048,4096,8192,16384,32768}),{2,4,8,16,32,64,128,256,512,1024,2048,4096,8192,16384,32768})=0))))</f>
        <v/>
      </c>
      <c r="BI198">
        <f>BH198+IF(AND(BI108&gt;0,COUNTIF($Y108:BH108,BI108)=0),0,IF(SUMPRODUCT(MOD(INT(BI153/{2,4,8,16,32,64,128,256,512,1024,2048,4096,8192,16384,32768}),2)*(1-MOD(INT(($CJ18+BH198)/{2,4,8,16,32,64,128,256,512,1024,2048,4096,8192,16384,32768}),2))*{2,4,8,16,32,64,128,256,512,1024,2048,4096,8192,16384,32768})=0,0,2^SUMPRODUCT(--(MOD(SUMPRODUCT(MOD(INT(BI153/{2,4,8,16,32,64,128,256,512,1024,2048,4096,8192,16384,32768}),2)*(1-MOD(INT(($CJ18+BH198)/{2,4,8,16,32,64,128,256,512,1024,2048,4096,8192,16384,32768}),2))*{2,4,8,16,32,64,128,256,512,1024,2048,4096,8192,16384,32768}),{2,4,8,16,32,64,128,256,512,1024,2048,4096,8192,16384,32768})=0))))</f>
        <v/>
      </c>
      <c r="BJ198">
        <f>BI198+IF(AND(BJ108&gt;0,COUNTIF($Y108:BI108,BJ108)=0),0,IF(SUMPRODUCT(MOD(INT(BJ153/{2,4,8,16,32,64,128,256,512,1024,2048,4096,8192,16384,32768}),2)*(1-MOD(INT(($CJ18+BI198)/{2,4,8,16,32,64,128,256,512,1024,2048,4096,8192,16384,32768}),2))*{2,4,8,16,32,64,128,256,512,1024,2048,4096,8192,16384,32768})=0,0,2^SUMPRODUCT(--(MOD(SUMPRODUCT(MOD(INT(BJ153/{2,4,8,16,32,64,128,256,512,1024,2048,4096,8192,16384,32768}),2)*(1-MOD(INT(($CJ18+BI198)/{2,4,8,16,32,64,128,256,512,1024,2048,4096,8192,16384,32768}),2))*{2,4,8,16,32,64,128,256,512,1024,2048,4096,8192,16384,32768}),{2,4,8,16,32,64,128,256,512,1024,2048,4096,8192,16384,32768})=0))))</f>
        <v/>
      </c>
      <c r="BK198">
        <f>BJ198+IF(AND(BK108&gt;0,COUNTIF($Y108:BJ108,BK108)=0),0,IF(SUMPRODUCT(MOD(INT(BK153/{2,4,8,16,32,64,128,256,512,1024,2048,4096,8192,16384,32768}),2)*(1-MOD(INT(($CJ18+BJ198)/{2,4,8,16,32,64,128,256,512,1024,2048,4096,8192,16384,32768}),2))*{2,4,8,16,32,64,128,256,512,1024,2048,4096,8192,16384,32768})=0,0,2^SUMPRODUCT(--(MOD(SUMPRODUCT(MOD(INT(BK153/{2,4,8,16,32,64,128,256,512,1024,2048,4096,8192,16384,32768}),2)*(1-MOD(INT(($CJ18+BJ198)/{2,4,8,16,32,64,128,256,512,1024,2048,4096,8192,16384,32768}),2))*{2,4,8,16,32,64,128,256,512,1024,2048,4096,8192,16384,32768}),{2,4,8,16,32,64,128,256,512,1024,2048,4096,8192,16384,32768})=0))))</f>
        <v/>
      </c>
      <c r="BL198">
        <f>BK198+IF(AND(BL108&gt;0,COUNTIF($Y108:BK108,BL108)=0),0,IF(SUMPRODUCT(MOD(INT(BL153/{2,4,8,16,32,64,128,256,512,1024,2048,4096,8192,16384,32768}),2)*(1-MOD(INT(($CJ18+BK198)/{2,4,8,16,32,64,128,256,512,1024,2048,4096,8192,16384,32768}),2))*{2,4,8,16,32,64,128,256,512,1024,2048,4096,8192,16384,32768})=0,0,2^SUMPRODUCT(--(MOD(SUMPRODUCT(MOD(INT(BL153/{2,4,8,16,32,64,128,256,512,1024,2048,4096,8192,16384,32768}),2)*(1-MOD(INT(($CJ18+BK198)/{2,4,8,16,32,64,128,256,512,1024,2048,4096,8192,16384,32768}),2))*{2,4,8,16,32,64,128,256,512,1024,2048,4096,8192,16384,32768}),{2,4,8,16,32,64,128,256,512,1024,2048,4096,8192,16384,32768})=0))))</f>
        <v/>
      </c>
      <c r="BM198">
        <f>BL198+IF(AND(BM108&gt;0,COUNTIF($Y108:BL108,BM108)=0),0,IF(SUMPRODUCT(MOD(INT(BM153/{2,4,8,16,32,64,128,256,512,1024,2048,4096,8192,16384,32768}),2)*(1-MOD(INT(($CJ18+BL198)/{2,4,8,16,32,64,128,256,512,1024,2048,4096,8192,16384,32768}),2))*{2,4,8,16,32,64,128,256,512,1024,2048,4096,8192,16384,32768})=0,0,2^SUMPRODUCT(--(MOD(SUMPRODUCT(MOD(INT(BM153/{2,4,8,16,32,64,128,256,512,1024,2048,4096,8192,16384,32768}),2)*(1-MOD(INT(($CJ18+BL198)/{2,4,8,16,32,64,128,256,512,1024,2048,4096,8192,16384,32768}),2))*{2,4,8,16,32,64,128,256,512,1024,2048,4096,8192,16384,32768}),{2,4,8,16,32,64,128,256,512,1024,2048,4096,8192,16384,32768})=0))))</f>
        <v/>
      </c>
      <c r="BN198">
        <f>BM198+IF(AND(BN108&gt;0,COUNTIF($Y108:BM108,BN108)=0),0,IF(SUMPRODUCT(MOD(INT(BN153/{2,4,8,16,32,64,128,256,512,1024,2048,4096,8192,16384,32768}),2)*(1-MOD(INT(($CJ18+BM198)/{2,4,8,16,32,64,128,256,512,1024,2048,4096,8192,16384,32768}),2))*{2,4,8,16,32,64,128,256,512,1024,2048,4096,8192,16384,32768})=0,0,2^SUMPRODUCT(--(MOD(SUMPRODUCT(MOD(INT(BN153/{2,4,8,16,32,64,128,256,512,1024,2048,4096,8192,16384,32768}),2)*(1-MOD(INT(($CJ18+BM198)/{2,4,8,16,32,64,128,256,512,1024,2048,4096,8192,16384,32768}),2))*{2,4,8,16,32,64,128,256,512,1024,2048,4096,8192,16384,32768}),{2,4,8,16,32,64,128,256,512,1024,2048,4096,8192,16384,32768})=0))))</f>
        <v/>
      </c>
      <c r="BO198">
        <f>BN198+IF(AND(BO108&gt;0,COUNTIF($Y108:BN108,BO108)=0),0,IF(SUMPRODUCT(MOD(INT(BO153/{2,4,8,16,32,64,128,256,512,1024,2048,4096,8192,16384,32768}),2)*(1-MOD(INT(($CJ18+BN198)/{2,4,8,16,32,64,128,256,512,1024,2048,4096,8192,16384,32768}),2))*{2,4,8,16,32,64,128,256,512,1024,2048,4096,8192,16384,32768})=0,0,2^SUMPRODUCT(--(MOD(SUMPRODUCT(MOD(INT(BO153/{2,4,8,16,32,64,128,256,512,1024,2048,4096,8192,16384,32768}),2)*(1-MOD(INT(($CJ18+BN198)/{2,4,8,16,32,64,128,256,512,1024,2048,4096,8192,16384,32768}),2))*{2,4,8,16,32,64,128,256,512,1024,2048,4096,8192,16384,32768}),{2,4,8,16,32,64,128,256,512,1024,2048,4096,8192,16384,32768})=0))))</f>
        <v/>
      </c>
      <c r="BP198">
        <f>BO198+IF(AND(BP108&gt;0,COUNTIF($Y108:BO108,BP108)=0),0,IF(SUMPRODUCT(MOD(INT(BP153/{2,4,8,16,32,64,128,256,512,1024,2048,4096,8192,16384,32768}),2)*(1-MOD(INT(($CJ18+BO198)/{2,4,8,16,32,64,128,256,512,1024,2048,4096,8192,16384,32768}),2))*{2,4,8,16,32,64,128,256,512,1024,2048,4096,8192,16384,32768})=0,0,2^SUMPRODUCT(--(MOD(SUMPRODUCT(MOD(INT(BP153/{2,4,8,16,32,64,128,256,512,1024,2048,4096,8192,16384,32768}),2)*(1-MOD(INT(($CJ18+BO198)/{2,4,8,16,32,64,128,256,512,1024,2048,4096,8192,16384,32768}),2))*{2,4,8,16,32,64,128,256,512,1024,2048,4096,8192,16384,32768}),{2,4,8,16,32,64,128,256,512,1024,2048,4096,8192,16384,32768})=0))))</f>
        <v/>
      </c>
      <c r="BQ198">
        <f>BP198+IF(AND(BQ108&gt;0,COUNTIF($Y108:BP108,BQ108)=0),0,IF(SUMPRODUCT(MOD(INT(BQ153/{2,4,8,16,32,64,128,256,512,1024,2048,4096,8192,16384,32768}),2)*(1-MOD(INT(($CJ18+BP198)/{2,4,8,16,32,64,128,256,512,1024,2048,4096,8192,16384,32768}),2))*{2,4,8,16,32,64,128,256,512,1024,2048,4096,8192,16384,32768})=0,0,2^SUMPRODUCT(--(MOD(SUMPRODUCT(MOD(INT(BQ153/{2,4,8,16,32,64,128,256,512,1024,2048,4096,8192,16384,32768}),2)*(1-MOD(INT(($CJ18+BP198)/{2,4,8,16,32,64,128,256,512,1024,2048,4096,8192,16384,32768}),2))*{2,4,8,16,32,64,128,256,512,1024,2048,4096,8192,16384,32768}),{2,4,8,16,32,64,128,256,512,1024,2048,4096,8192,16384,32768})=0))))</f>
        <v/>
      </c>
      <c r="BR198">
        <f>BQ198+IF(AND(BR108&gt;0,COUNTIF($Y108:BQ108,BR108)=0),0,IF(SUMPRODUCT(MOD(INT(BR153/{2,4,8,16,32,64,128,256,512,1024,2048,4096,8192,16384,32768}),2)*(1-MOD(INT(($CJ18+BQ198)/{2,4,8,16,32,64,128,256,512,1024,2048,4096,8192,16384,32768}),2))*{2,4,8,16,32,64,128,256,512,1024,2048,4096,8192,16384,32768})=0,0,2^SUMPRODUCT(--(MOD(SUMPRODUCT(MOD(INT(BR153/{2,4,8,16,32,64,128,256,512,1024,2048,4096,8192,16384,32768}),2)*(1-MOD(INT(($CJ18+BQ198)/{2,4,8,16,32,64,128,256,512,1024,2048,4096,8192,16384,32768}),2))*{2,4,8,16,32,64,128,256,512,1024,2048,4096,8192,16384,32768}),{2,4,8,16,32,64,128,256,512,1024,2048,4096,8192,16384,32768})=0))))</f>
        <v/>
      </c>
      <c r="BS198">
        <f>BR198+IF(AND(BS108&gt;0,COUNTIF($Y108:BR108,BS108)=0),0,IF(SUMPRODUCT(MOD(INT(BS153/{2,4,8,16,32,64,128,256,512,1024,2048,4096,8192,16384,32768}),2)*(1-MOD(INT(($CJ18+BR198)/{2,4,8,16,32,64,128,256,512,1024,2048,4096,8192,16384,32768}),2))*{2,4,8,16,32,64,128,256,512,1024,2048,4096,8192,16384,32768})=0,0,2^SUMPRODUCT(--(MOD(SUMPRODUCT(MOD(INT(BS153/{2,4,8,16,32,64,128,256,512,1024,2048,4096,8192,16384,32768}),2)*(1-MOD(INT(($CJ18+BR198)/{2,4,8,16,32,64,128,256,512,1024,2048,4096,8192,16384,32768}),2))*{2,4,8,16,32,64,128,256,512,1024,2048,4096,8192,16384,32768}),{2,4,8,16,32,64,128,256,512,1024,2048,4096,8192,16384,32768})=0))))</f>
        <v/>
      </c>
      <c r="BT198">
        <f>BS198+IF(AND(BT108&gt;0,COUNTIF($Y108:BS108,BT108)=0),0,IF(SUMPRODUCT(MOD(INT(BT153/{2,4,8,16,32,64,128,256,512,1024,2048,4096,8192,16384,32768}),2)*(1-MOD(INT(($CJ18+BS198)/{2,4,8,16,32,64,128,256,512,1024,2048,4096,8192,16384,32768}),2))*{2,4,8,16,32,64,128,256,512,1024,2048,4096,8192,16384,32768})=0,0,2^SUMPRODUCT(--(MOD(SUMPRODUCT(MOD(INT(BT153/{2,4,8,16,32,64,128,256,512,1024,2048,4096,8192,16384,32768}),2)*(1-MOD(INT(($CJ18+BS198)/{2,4,8,16,32,64,128,256,512,1024,2048,4096,8192,16384,32768}),2))*{2,4,8,16,32,64,128,256,512,1024,2048,4096,8192,16384,32768}),{2,4,8,16,32,64,128,256,512,1024,2048,4096,8192,16384,32768})=0))))</f>
        <v/>
      </c>
      <c r="BU198">
        <f>BT198+IF(AND(BU108&gt;0,COUNTIF($Y108:BT108,BU108)=0),0,IF(SUMPRODUCT(MOD(INT(BU153/{2,4,8,16,32,64,128,256,512,1024,2048,4096,8192,16384,32768}),2)*(1-MOD(INT(($CJ18+BT198)/{2,4,8,16,32,64,128,256,512,1024,2048,4096,8192,16384,32768}),2))*{2,4,8,16,32,64,128,256,512,1024,2048,4096,8192,16384,32768})=0,0,2^SUMPRODUCT(--(MOD(SUMPRODUCT(MOD(INT(BU153/{2,4,8,16,32,64,128,256,512,1024,2048,4096,8192,16384,32768}),2)*(1-MOD(INT(($CJ18+BT198)/{2,4,8,16,32,64,128,256,512,1024,2048,4096,8192,16384,32768}),2))*{2,4,8,16,32,64,128,256,512,1024,2048,4096,8192,16384,32768}),{2,4,8,16,32,64,128,256,512,1024,2048,4096,8192,16384,32768})=0))))</f>
        <v/>
      </c>
      <c r="BV198">
        <f>BU198+IF(AND(BV108&gt;0,COUNTIF($Y108:BU108,BV108)=0),0,IF(SUMPRODUCT(MOD(INT(BV153/{2,4,8,16,32,64,128,256,512,1024,2048,4096,8192,16384,32768}),2)*(1-MOD(INT(($CJ18+BU198)/{2,4,8,16,32,64,128,256,512,1024,2048,4096,8192,16384,32768}),2))*{2,4,8,16,32,64,128,256,512,1024,2048,4096,8192,16384,32768})=0,0,2^SUMPRODUCT(--(MOD(SUMPRODUCT(MOD(INT(BV153/{2,4,8,16,32,64,128,256,512,1024,2048,4096,8192,16384,32768}),2)*(1-MOD(INT(($CJ18+BU198)/{2,4,8,16,32,64,128,256,512,1024,2048,4096,8192,16384,32768}),2))*{2,4,8,16,32,64,128,256,512,1024,2048,4096,8192,16384,32768}),{2,4,8,16,32,64,128,256,512,1024,2048,4096,8192,16384,32768})=0))))</f>
        <v/>
      </c>
      <c r="BW198">
        <f>BV198+IF(AND(BW108&gt;0,COUNTIF($Y108:BV108,BW108)=0),0,IF(SUMPRODUCT(MOD(INT(BW153/{2,4,8,16,32,64,128,256,512,1024,2048,4096,8192,16384,32768}),2)*(1-MOD(INT(($CJ18+BV198)/{2,4,8,16,32,64,128,256,512,1024,2048,4096,8192,16384,32768}),2))*{2,4,8,16,32,64,128,256,512,1024,2048,4096,8192,16384,32768})=0,0,2^SUMPRODUCT(--(MOD(SUMPRODUCT(MOD(INT(BW153/{2,4,8,16,32,64,128,256,512,1024,2048,4096,8192,16384,32768}),2)*(1-MOD(INT(($CJ18+BV198)/{2,4,8,16,32,64,128,256,512,1024,2048,4096,8192,16384,32768}),2))*{2,4,8,16,32,64,128,256,512,1024,2048,4096,8192,16384,32768}),{2,4,8,16,32,64,128,256,512,1024,2048,4096,8192,16384,32768})=0))))</f>
        <v/>
      </c>
      <c r="BX198">
        <f>BW198+IF(AND(BX108&gt;0,COUNTIF($Y108:BW108,BX108)=0),0,IF(SUMPRODUCT(MOD(INT(BX153/{2,4,8,16,32,64,128,256,512,1024,2048,4096,8192,16384,32768}),2)*(1-MOD(INT(($CJ18+BW198)/{2,4,8,16,32,64,128,256,512,1024,2048,4096,8192,16384,32768}),2))*{2,4,8,16,32,64,128,256,512,1024,2048,4096,8192,16384,32768})=0,0,2^SUMPRODUCT(--(MOD(SUMPRODUCT(MOD(INT(BX153/{2,4,8,16,32,64,128,256,512,1024,2048,4096,8192,16384,32768}),2)*(1-MOD(INT(($CJ18+BW198)/{2,4,8,16,32,64,128,256,512,1024,2048,4096,8192,16384,32768}),2))*{2,4,8,16,32,64,128,256,512,1024,2048,4096,8192,16384,32768}),{2,4,8,16,32,64,128,256,512,1024,2048,4096,8192,16384,32768})=0))))</f>
        <v/>
      </c>
      <c r="BY198">
        <f>BX198+IF(AND(BY108&gt;0,COUNTIF($Y108:BX108,BY108)=0),0,IF(SUMPRODUCT(MOD(INT(BY153/{2,4,8,16,32,64,128,256,512,1024,2048,4096,8192,16384,32768}),2)*(1-MOD(INT(($CJ18+BX198)/{2,4,8,16,32,64,128,256,512,1024,2048,4096,8192,16384,32768}),2))*{2,4,8,16,32,64,128,256,512,1024,2048,4096,8192,16384,32768})=0,0,2^SUMPRODUCT(--(MOD(SUMPRODUCT(MOD(INT(BY153/{2,4,8,16,32,64,128,256,512,1024,2048,4096,8192,16384,32768}),2)*(1-MOD(INT(($CJ18+BX198)/{2,4,8,16,32,64,128,256,512,1024,2048,4096,8192,16384,32768}),2))*{2,4,8,16,32,64,128,256,512,1024,2048,4096,8192,16384,32768}),{2,4,8,16,32,64,128,256,512,1024,2048,4096,8192,16384,32768})=0))))</f>
        <v/>
      </c>
      <c r="BZ198">
        <f>BY198+IF(AND(BZ108&gt;0,COUNTIF($Y108:BY108,BZ108)=0),0,IF(SUMPRODUCT(MOD(INT(BZ153/{2,4,8,16,32,64,128,256,512,1024,2048,4096,8192,16384,32768}),2)*(1-MOD(INT(($CJ18+BY198)/{2,4,8,16,32,64,128,256,512,1024,2048,4096,8192,16384,32768}),2))*{2,4,8,16,32,64,128,256,512,1024,2048,4096,8192,16384,32768})=0,0,2^SUMPRODUCT(--(MOD(SUMPRODUCT(MOD(INT(BZ153/{2,4,8,16,32,64,128,256,512,1024,2048,4096,8192,16384,32768}),2)*(1-MOD(INT(($CJ18+BY198)/{2,4,8,16,32,64,128,256,512,1024,2048,4096,8192,16384,32768}),2))*{2,4,8,16,32,64,128,256,512,1024,2048,4096,8192,16384,32768}),{2,4,8,16,32,64,128,256,512,1024,2048,4096,8192,16384,32768})=0))))</f>
        <v/>
      </c>
      <c r="CA198">
        <f>BZ198+IF(AND(CA108&gt;0,COUNTIF($Y108:BZ108,CA108)=0),0,IF(SUMPRODUCT(MOD(INT(CA153/{2,4,8,16,32,64,128,256,512,1024,2048,4096,8192,16384,32768}),2)*(1-MOD(INT(($CJ18+BZ198)/{2,4,8,16,32,64,128,256,512,1024,2048,4096,8192,16384,32768}),2))*{2,4,8,16,32,64,128,256,512,1024,2048,4096,8192,16384,32768})=0,0,2^SUMPRODUCT(--(MOD(SUMPRODUCT(MOD(INT(CA153/{2,4,8,16,32,64,128,256,512,1024,2048,4096,8192,16384,32768}),2)*(1-MOD(INT(($CJ18+BZ198)/{2,4,8,16,32,64,128,256,512,1024,2048,4096,8192,16384,32768}),2))*{2,4,8,16,32,64,128,256,512,1024,2048,4096,8192,16384,32768}),{2,4,8,16,32,64,128,256,512,1024,2048,4096,8192,16384,32768})=0))))</f>
        <v/>
      </c>
      <c r="CB198">
        <f>CA198+IF(AND(CB108&gt;0,COUNTIF($Y108:CA108,CB108)=0),0,IF(SUMPRODUCT(MOD(INT(CB153/{2,4,8,16,32,64,128,256,512,1024,2048,4096,8192,16384,32768}),2)*(1-MOD(INT(($CJ18+CA198)/{2,4,8,16,32,64,128,256,512,1024,2048,4096,8192,16384,32768}),2))*{2,4,8,16,32,64,128,256,512,1024,2048,4096,8192,16384,32768})=0,0,2^SUMPRODUCT(--(MOD(SUMPRODUCT(MOD(INT(CB153/{2,4,8,16,32,64,128,256,512,1024,2048,4096,8192,16384,32768}),2)*(1-MOD(INT(($CJ18+CA198)/{2,4,8,16,32,64,128,256,512,1024,2048,4096,8192,16384,32768}),2))*{2,4,8,16,32,64,128,256,512,1024,2048,4096,8192,16384,32768}),{2,4,8,16,32,64,128,256,512,1024,2048,4096,8192,16384,32768})=0))))</f>
        <v/>
      </c>
      <c r="CC198">
        <f>CB198+IF(AND(CC108&gt;0,COUNTIF($Y108:CB108,CC108)=0),0,IF(SUMPRODUCT(MOD(INT(CC153/{2,4,8,16,32,64,128,256,512,1024,2048,4096,8192,16384,32768}),2)*(1-MOD(INT(($CJ18+CB198)/{2,4,8,16,32,64,128,256,512,1024,2048,4096,8192,16384,32768}),2))*{2,4,8,16,32,64,128,256,512,1024,2048,4096,8192,16384,32768})=0,0,2^SUMPRODUCT(--(MOD(SUMPRODUCT(MOD(INT(CC153/{2,4,8,16,32,64,128,256,512,1024,2048,4096,8192,16384,32768}),2)*(1-MOD(INT(($CJ18+CB198)/{2,4,8,16,32,64,128,256,512,1024,2048,4096,8192,16384,32768}),2))*{2,4,8,16,32,64,128,256,512,1024,2048,4096,8192,16384,32768}),{2,4,8,16,32,64,128,256,512,1024,2048,4096,8192,16384,32768})=0))))</f>
        <v/>
      </c>
      <c r="CD198">
        <f>CC198+IF(AND(CD108&gt;0,COUNTIF($Y108:CC108,CD108)=0),0,IF(SUMPRODUCT(MOD(INT(CD153/{2,4,8,16,32,64,128,256,512,1024,2048,4096,8192,16384,32768}),2)*(1-MOD(INT(($CJ18+CC198)/{2,4,8,16,32,64,128,256,512,1024,2048,4096,8192,16384,32768}),2))*{2,4,8,16,32,64,128,256,512,1024,2048,4096,8192,16384,32768})=0,0,2^SUMPRODUCT(--(MOD(SUMPRODUCT(MOD(INT(CD153/{2,4,8,16,32,64,128,256,512,1024,2048,4096,8192,16384,32768}),2)*(1-MOD(INT(($CJ18+CC198)/{2,4,8,16,32,64,128,256,512,1024,2048,4096,8192,16384,32768}),2))*{2,4,8,16,32,64,128,256,512,1024,2048,4096,8192,16384,32768}),{2,4,8,16,32,64,128,256,512,1024,2048,4096,8192,16384,32768})=0))))</f>
        <v/>
      </c>
      <c r="CE198">
        <f>CD198+IF(AND(CE108&gt;0,COUNTIF($Y108:CD108,CE108)=0),0,IF(SUMPRODUCT(MOD(INT(CE153/{2,4,8,16,32,64,128,256,512,1024,2048,4096,8192,16384,32768}),2)*(1-MOD(INT(($CJ18+CD198)/{2,4,8,16,32,64,128,256,512,1024,2048,4096,8192,16384,32768}),2))*{2,4,8,16,32,64,128,256,512,1024,2048,4096,8192,16384,32768})=0,0,2^SUMPRODUCT(--(MOD(SUMPRODUCT(MOD(INT(CE153/{2,4,8,16,32,64,128,256,512,1024,2048,4096,8192,16384,32768}),2)*(1-MOD(INT(($CJ18+CD198)/{2,4,8,16,32,64,128,256,512,1024,2048,4096,8192,16384,32768}),2))*{2,4,8,16,32,64,128,256,512,1024,2048,4096,8192,16384,32768}),{2,4,8,16,32,64,128,256,512,1024,2048,4096,8192,16384,32768})=0))))</f>
        <v/>
      </c>
      <c r="CF198">
        <f>CE198+IF(AND(CF108&gt;0,COUNTIF($Y108:CE108,CF108)=0),0,IF(SUMPRODUCT(MOD(INT(CF153/{2,4,8,16,32,64,128,256,512,1024,2048,4096,8192,16384,32768}),2)*(1-MOD(INT(($CJ18+CE198)/{2,4,8,16,32,64,128,256,512,1024,2048,4096,8192,16384,32768}),2))*{2,4,8,16,32,64,128,256,512,1024,2048,4096,8192,16384,32768})=0,0,2^SUMPRODUCT(--(MOD(SUMPRODUCT(MOD(INT(CF153/{2,4,8,16,32,64,128,256,512,1024,2048,4096,8192,16384,32768}),2)*(1-MOD(INT(($CJ18+CE198)/{2,4,8,16,32,64,128,256,512,1024,2048,4096,8192,16384,32768}),2))*{2,4,8,16,32,64,128,256,512,1024,2048,4096,8192,16384,32768}),{2,4,8,16,32,64,128,256,512,1024,2048,4096,8192,16384,32768})=0))))</f>
        <v/>
      </c>
      <c r="DA198" t="n">
        <v>194</v>
      </c>
      <c r="DB198">
        <f>IF($B$37=0,"",IFERROR(TRIM(SUBSTITUTE(SUBSTITUTE(SUBSTITUTE(SUBSTITUTE(INDEX(PASTE_ALL,194,$B$37)," "," "),CHAR(9)," "),CHAR(10)," "),CHAR(13)," ")),""))</f>
        <v/>
      </c>
      <c r="DC198">
        <f>IF(AND(194&gt;HEADER_ROW,UPPER(DB198)="LEGEND"),1,0)</f>
        <v/>
      </c>
      <c r="DE198" t="n">
        <v>194</v>
      </c>
      <c r="DF198">
        <f>HEADER_ROW+$DE198</f>
        <v/>
      </c>
      <c r="DG198">
        <f>IF(AND($DF198&lt;=1000,$DF198&lt;$B$8),1,0)</f>
        <v/>
      </c>
      <c r="DH198">
        <f>IF($DG198=1,IFERROR(INDEX($DB$5:$DB$1004,$DF198),""),"")</f>
        <v/>
      </c>
      <c r="DI198">
        <f>IF(AND($DG198=1,$DH198&lt;&gt;""),IFERROR(SUBSTITUTE(SUBSTITUTE(TRIM(SUBSTITUTE(SUBSTITUTE(SUBSTITUTE(SUBSTITUTE(IFERROR(INDEX(PASTE_ALL,$DF198,1)&amp;"","")&amp;"␟"&amp;IFERROR(INDEX(PASTE_ALL,$DF198,2)&amp;"","")&amp;"␟"&amp;IFERROR(INDEX(PASTE_ALL,$DF198,3)&amp;"","")&amp;"␟"&amp;IFERROR(INDEX(PASTE_ALL,$DF198,4)&amp;"","")&amp;"␟"&amp;IFERROR(INDEX(PASTE_ALL,$DF198,5)&amp;"","")&amp;"␟"&amp;IFERROR(INDEX(PASTE_ALL,$DF198,6)&amp;"","")&amp;"␟"&amp;IFERROR(INDEX(PASTE_ALL,$DF198,7)&amp;"","")&amp;"␟"&amp;IFERROR(INDEX(PASTE_ALL,$DF198,8)&amp;"","")&amp;"␟"&amp;IFERROR(INDEX(PASTE_ALL,$DF198,9)&amp;"","")&amp;"␟"&amp;IFERROR(INDEX(PASTE_ALL,$DF198,10)&amp;"","")&amp;"␟"&amp;IFERROR(INDEX(PASTE_ALL,$DF198,11)&amp;"","")&amp;"␟"&amp;IFERROR(INDEX(PASTE_ALL,$DF198,12)&amp;"","")&amp;"␟"&amp;IFERROR(INDEX(PASTE_ALL,$DF198,13)&amp;"","")&amp;"␟"&amp;IFERROR(INDEX(PASTE_ALL,$DF198,14)&amp;"","")&amp;"␟"&amp;IFERROR(INDEX(PASTE_ALL,$DF198,15)&amp;"","")&amp;"␟"&amp;IFERROR(INDEX(PASTE_ALL,$DF198,16)&amp;"","")&amp;"␟"&amp;IFERROR(INDEX(PASTE_ALL,$DF198,17)&amp;"","")&amp;"␟"&amp;IFERROR(INDEX(PASTE_ALL,$DF198,18)&amp;"","")&amp;"␟"&amp;IFERROR(INDEX(PASTE_ALL,$DF198,19)&amp;"","")&amp;"␟"&amp;IFERROR(INDEX(PASTE_ALL,$DF198,20)&amp;"","")&amp;"␟"&amp;IFERROR(INDEX(PASTE_ALL,$DF198,21)&amp;"","")&amp;"␟"&amp;IFERROR(INDEX(PASTE_ALL,$DF198,22)&amp;"","")&amp;"␟"&amp;IFERROR(INDEX(PASTE_ALL,$DF198,23)&amp;"","")&amp;"␟"&amp;IFERROR(INDEX(PASTE_ALL,$DF198,24)&amp;"","")&amp;"␟"&amp;IFERROR(INDEX(PASTE_ALL,$DF198,25)&amp;"","")&amp;"␟"&amp;IFERROR(INDEX(PASTE_ALL,$DF198,26)&amp;"","")&amp;"␟"&amp;IFERROR(INDEX(PASTE_ALL,$DF198,27)&amp;"","")&amp;"␟"&amp;IFERROR(INDEX(PASTE_ALL,$DF198,28)&amp;"","")&amp;"␟"&amp;IFERROR(INDEX(PASTE_ALL,$DF198,29)&amp;"","")&amp;"␟"&amp;IFERROR(INDEX(PASTE_ALL,$DF198,30)&amp;"","")&amp;"␟"&amp;IFERROR(INDEX(PASTE_ALL,$DF198,31)&amp;"","")&amp;"␟"&amp;IFERROR(INDEX(PASTE_ALL,$DF198,32)&amp;"","")&amp;"␟"&amp;IFERROR(INDEX(PASTE_ALL,$DF198,33)&amp;"","")&amp;"␟"&amp;IFERROR(INDEX(PASTE_ALL,$DF198,34)&amp;"","")&amp;"␟"&amp;IFERROR(INDEX(PASTE_ALL,$DF198,35)&amp;"","")&amp;"␟"&amp;IFERROR(INDEX(PASTE_ALL,$DF198,36)&amp;"","")&amp;"␟"&amp;IFERROR(INDEX(PASTE_ALL,$DF198,37)&amp;"","")&amp;"␟"&amp;IFERROR(INDEX(PASTE_ALL,$DF198,38)&amp;"","")&amp;"␟"&amp;IFERROR(INDEX(PASTE_ALL,$DF198,39)&amp;"","")&amp;"␟"&amp;IFERROR(INDEX(PASTE_ALL,$DF198,40)&amp;"","")&amp;"␟"&amp;IFERROR(INDEX(PASTE_ALL,$DF198,41)&amp;"","")&amp;"␟"&amp;IFERROR(INDEX(PASTE_ALL,$DF198,42)&amp;"","")&amp;"␟"&amp;IFERROR(INDEX(PASTE_ALL,$DF198,43)&amp;"","")&amp;"␟"&amp;IFERROR(INDEX(PASTE_ALL,$DF198,44)&amp;"","")&amp;"␟"&amp;IFERROR(INDEX(PASTE_ALL,$DF198,45)&amp;"","")&amp;"␟"&amp;IFERROR(INDEX(PASTE_ALL,$DF198,46)&amp;"","")&amp;"␟"&amp;IFERROR(INDEX(PASTE_ALL,$DF198,47)&amp;"","")&amp;"␟"&amp;IFERROR(INDEX(PASTE_ALL,$DF198,48)&amp;"","")&amp;"␟"&amp;IFERROR(INDEX(PASTE_ALL,$DF198,49)&amp;"","")&amp;"␟"&amp;IFERROR(INDEX(PASTE_ALL,$DF198,50)&amp;"","")&amp;"␟"&amp;IFERROR(INDEX(PASTE_ALL,$DF198,51)&amp;"","")&amp;"␟"&amp;IFERROR(INDEX(PASTE_ALL,$DF198,52)&amp;"","")&amp;"␟"&amp;IFERROR(INDEX(PASTE_ALL,$DF198,53)&amp;"","")&amp;"␟"&amp;IFERROR(INDEX(PASTE_ALL,$DF198,54)&amp;"","")&amp;"␟"&amp;IFERROR(INDEX(PASTE_ALL,$DF198,55)&amp;"","")&amp;"␟"&amp;IFERROR(INDEX(PASTE_ALL,$DF198,56)&amp;"","")&amp;"␟"&amp;IFERROR(INDEX(PASTE_ALL,$DF198,57)&amp;"","")&amp;"␟"&amp;IFERROR(INDEX(PASTE_ALL,$DF198,58)&amp;"","")&amp;"␟"&amp;IFERROR(INDEX(PASTE_ALL,$DF198,59)&amp;"","")&amp;"␟"&amp;IFERROR(INDEX(PASTE_ALL,$DF198,60)&amp;"","")," "," "),CHAR(9)," "),CHAR(10)," "),CHAR(13)," "))," ␟","␟"),"␟ ","␟"),"#"&amp;$DE198),"")</f>
        <v/>
      </c>
      <c r="DJ198">
        <f>IF($DI198="",0,IF(SUMPRODUCT(--EXACT($DI$4:DI197,$DI198))&gt;0,1,0))</f>
        <v/>
      </c>
      <c r="DK198">
        <f>IF(AND($DI198&lt;&gt;"",$DJ198=0),1,0)</f>
        <v/>
      </c>
      <c r="DL198">
        <f>DL197+$DK198</f>
        <v/>
      </c>
      <c r="DM198">
        <f>IF(AND($DK198=1,$DL198&lt;=600),1,0)</f>
        <v/>
      </c>
      <c r="DN198">
        <f>IF($DM198=0,"",IF($L$6=0,"",IFERROR(IF(ISNUMBER(INDEX(PASTE_ALL,$DF198,$L$6)),INDEX(PASTE_ALL,$DF198,$L$6),TRIM(SUBSTITUTE(SUBSTITUTE(SUBSTITUTE(SUBSTITUTE(INDEX(PASTE_ALL,$DF198,$L$6)," "," "),CHAR(9)," "),CHAR(10)," "),CHAR(13)," "))),"")))</f>
        <v/>
      </c>
      <c r="DO198">
        <f>IF($DM198=0,"",IF($L$7=0,"",IFERROR(IF(ISNUMBER(INDEX(PASTE_ALL,$DF198,$L$7)),INDEX(PASTE_ALL,$DF198,$L$7),TRIM(SUBSTITUTE(SUBSTITUTE(SUBSTITUTE(SUBSTITUTE(INDEX(PASTE_ALL,$DF198,$L$7)," "," "),CHAR(9)," "),CHAR(10)," "),CHAR(13)," "))),"")))</f>
        <v/>
      </c>
      <c r="DP198">
        <f>IF($DM198=0,"",IF($L$8=0,"",IFERROR(IF(ISNUMBER(INDEX(PASTE_ALL,$DF198,$L$8)),INDEX(PASTE_ALL,$DF198,$L$8),TRIM(SUBSTITUTE(SUBSTITUTE(SUBSTITUTE(SUBSTITUTE(INDEX(PASTE_ALL,$DF198,$L$8)," "," "),CHAR(9)," "),CHAR(10)," "),CHAR(13)," "))),"")))</f>
        <v/>
      </c>
      <c r="DQ198">
        <f>IF($DM198=0,"",IF($L$9=0,"",IFERROR(IF(ISNUMBER(INDEX(PASTE_ALL,$DF198,$L$9)),INDEX(PASTE_ALL,$DF198,$L$9),TRIM(SUBSTITUTE(SUBSTITUTE(SUBSTITUTE(SUBSTITUTE(INDEX(PASTE_ALL,$DF198,$L$9)," "," "),CHAR(9)," "),CHAR(10)," "),CHAR(13)," "))),"")))</f>
        <v/>
      </c>
      <c r="DR198">
        <f>IF($DM198=0,"",IF($L$10=0,"",IFERROR(IF(ISNUMBER(INDEX(PASTE_ALL,$DF198,$L$10)),INDEX(PASTE_ALL,$DF198,$L$10),TRIM(SUBSTITUTE(SUBSTITUTE(SUBSTITUTE(SUBSTITUTE(INDEX(PASTE_ALL,$DF198,$L$10)," "," "),CHAR(9)," "),CHAR(10)," "),CHAR(13)," "))),"")))</f>
        <v/>
      </c>
      <c r="DS198">
        <f>IF($DM198=0,"",IF($L$11=0,"",IFERROR(IF(ISNUMBER(INDEX(PASTE_ALL,$DF198,$L$11)),INDEX(PASTE_ALL,$DF198,$L$11),TRIM(SUBSTITUTE(SUBSTITUTE(SUBSTITUTE(SUBSTITUTE(INDEX(PASTE_ALL,$DF198,$L$11)," "," "),CHAR(9)," "),CHAR(10)," "),CHAR(13)," "))),"")))</f>
        <v/>
      </c>
      <c r="DT198">
        <f>IF($DM198=0,"",IF($L$12=0,"",IFERROR(IF(ISNUMBER(INDEX(PASTE_ALL,$DF198,$L$12)),INDEX(PASTE_ALL,$DF198,$L$12),TRIM(SUBSTITUTE(SUBSTITUTE(SUBSTITUTE(SUBSTITUTE(INDEX(PASTE_ALL,$DF198,$L$12)," "," "),CHAR(9)," "),CHAR(10)," "),CHAR(13)," "))),"")))</f>
        <v/>
      </c>
      <c r="DU198">
        <f>IF($DM198=0,"",IF($L$13=0,"",IFERROR(IF(ISNUMBER(INDEX(PASTE_ALL,$DF198,$L$13)),INDEX(PASTE_ALL,$DF198,$L$13),TRIM(SUBSTITUTE(SUBSTITUTE(SUBSTITUTE(SUBSTITUTE(INDEX(PASTE_ALL,$DF198,$L$13)," "," "),CHAR(9)," "),CHAR(10)," "),CHAR(13)," "))),"")))</f>
        <v/>
      </c>
      <c r="DV198">
        <f>IF($DM198=0,"",IF($L$14=0,"",IFERROR(IF(ISNUMBER(INDEX(PASTE_ALL,$DF198,$L$14)),INDEX(PASTE_ALL,$DF198,$L$14),TRIM(SUBSTITUTE(SUBSTITUTE(SUBSTITUTE(SUBSTITUTE(INDEX(PASTE_ALL,$DF198,$L$14)," "," "),CHAR(9)," "),CHAR(10)," "),CHAR(13)," "))),"")))</f>
        <v/>
      </c>
      <c r="DW198">
        <f>IF($DM198=0,"",IF($L$15=0,"",IFERROR(IF(ISNUMBER(INDEX(PASTE_ALL,$DF198,$L$15)),INDEX(PASTE_ALL,$DF198,$L$15),IF(SUMPRODUCT(--ISNUMBER(FIND({"A","B","C","D","E","F","G","H","I","J","K","L","M","N","O","P","Q","R","S","T","U","V","W","X","Y","Z","0","1","2","3","4","5","6","7","8","9"},UPPER(TRIM(SUBSTITUTE(SUBSTITUTE(SUBSTITUTE(SUBSTITUTE(INDEX(PASTE_ALL,$DF198,$L$15)," "," "),CHAR(9)," "),CHAR(10)," "),CHAR(13)," "))))))&gt;0,TRIM(SUBSTITUTE(SUBSTITUTE(SUBSTITUTE(SUBSTITUTE(INDEX(PASTE_ALL,$DF198,$L$15)," "," "),CHAR(9)," "),CHAR(10)," "),CHAR(13)," ")),"")),"")))</f>
        <v/>
      </c>
      <c r="DX198">
        <f>IF($DM198=0,"",IF($L$16=0,"",IFERROR(IF(ISNUMBER(INDEX(PASTE_ALL,$DF198,$L$16)),INDEX(PASTE_ALL,$DF198,$L$16),SUBSTITUTE(SUBSTITUTE(TRIM(SUBSTITUTE(SUBSTITUTE(SUBSTITUTE(SUBSTITUTE(INDEX(PASTE_ALL,$DF198,$L$16)," "," "),CHAR(9)," "),CHAR(10)," "),CHAR(13)," ")),",",""),"%","")),"")))</f>
        <v/>
      </c>
      <c r="DY198">
        <f>IF($DM198=0,"",IFERROR(IF(ISNUMBER($DX198),$DX198,IF($DX198="","",IF(TRIM($DX198)="",0,IF(AND(AND(SUBSTITUTE(SUBSTITUTE(SUBSTITUTE(SUBSTITUTE(SUBSTITUTE(SUBSTITUTE(SUBSTITUTE(SUBSTITUTE(SUBSTITUTE(SUBSTITUTE(SUBSTITUTE(SUBSTITUTE(SUBSTITUTE(SUBSTITUTE(UPPER(TRIM($DX198)),"0",""),"1",""),"2",""),"3",""),"4",""),"5",""),"6",""),"7",""),"8",""),"9",""),".",""),"+",""),"-",""),"E","")="",LEN(SUBSTITUTE(SUBSTITUTE(MID(UPPER(TRIM($DX198)),1+OR(LEFT(UPPER(TRIM($DX198)),1)="+",LEFT(UPPER(TRIM($DX198)),1)="-"),999),"E+","E"),"E-","E"))=LEN(SUBSTITUTE(SUBSTITUTE(SUBSTITUTE(SUBSTITUTE(MID(UPPER(TRIM($DX198)),1+OR(LEFT(UPPER(TRIM($DX198)),1)="+",LEFT(UPPER(TRIM($DX198)),1)="-"),999),"E+","E"),"E-","E"),"+",""),"-","")),LEN(UPPER(TRIM($DX198)))-LEN(SUBSTITUTE(UPPER(TRIM($DX198)),"E",""))&lt;2,LEN(UPPER(TRIM($DX198)))-LEN(SUBSTITUTE(UPPER(TRIM($DX198)),".",""))&lt;2,IFERROR(FIND(".",UPPER(TRIM($DX198))),0)&lt;IFERROR(FIND("E",UPPER(TRIM($DX198))),999)),ISNUMBER(VALUE(TRIM($DX198)))),VALUE(TRIM($DX198)),"")))),""))</f>
        <v/>
      </c>
      <c r="DZ198">
        <f>IF($DM198=0,"",IF($L$17=0,"",IFERROR(IF(ISNUMBER(INDEX(PASTE_ALL,$DF198,$L$17)),INDEX(PASTE_ALL,$DF198,$L$17),SUBSTITUTE(SUBSTITUTE(TRIM(SUBSTITUTE(SUBSTITUTE(SUBSTITUTE(SUBSTITUTE(INDEX(PASTE_ALL,$DF198,$L$17)," "," "),CHAR(9)," "),CHAR(10)," "),CHAR(13)," ")),",",""),"%","")),"")))</f>
        <v/>
      </c>
      <c r="EA198">
        <f>IF($DM198=0,"",IFERROR(IF(ISNUMBER($DZ198),$DZ198,IF($DZ198="","",IF(TRIM($DZ198)="",0,IF(AND(AND(SUBSTITUTE(SUBSTITUTE(SUBSTITUTE(SUBSTITUTE(SUBSTITUTE(SUBSTITUTE(SUBSTITUTE(SUBSTITUTE(SUBSTITUTE(SUBSTITUTE(SUBSTITUTE(SUBSTITUTE(SUBSTITUTE(SUBSTITUTE(UPPER(TRIM($DZ198)),"0",""),"1",""),"2",""),"3",""),"4",""),"5",""),"6",""),"7",""),"8",""),"9",""),".",""),"+",""),"-",""),"E","")="",LEN(SUBSTITUTE(SUBSTITUTE(MID(UPPER(TRIM($DZ198)),1+OR(LEFT(UPPER(TRIM($DZ198)),1)="+",LEFT(UPPER(TRIM($DZ198)),1)="-"),999),"E+","E"),"E-","E"))=LEN(SUBSTITUTE(SUBSTITUTE(SUBSTITUTE(SUBSTITUTE(MID(UPPER(TRIM($DZ198)),1+OR(LEFT(UPPER(TRIM($DZ198)),1)="+",LEFT(UPPER(TRIM($DZ198)),1)="-"),999),"E+","E"),"E-","E"),"+",""),"-","")),LEN(UPPER(TRIM($DZ198)))-LEN(SUBSTITUTE(UPPER(TRIM($DZ198)),"E",""))&lt;2,LEN(UPPER(TRIM($DZ198)))-LEN(SUBSTITUTE(UPPER(TRIM($DZ198)),".",""))&lt;2,IFERROR(FIND(".",UPPER(TRIM($DZ198))),0)&lt;IFERROR(FIND("E",UPPER(TRIM($DZ198))),999)),ISNUMBER(VALUE(TRIM($DZ198)))),VALUE(TRIM($DZ198)),"")))),""))</f>
        <v/>
      </c>
      <c r="EB198">
        <f>IF($DM198=0,"",IF($L$18=0,"",IFERROR(IF(UPPER(TRIM(SUBSTITUTE(SUBSTITUTE(SUBSTITUTE(SUBSTITUTE(INDEX(PASTE_ALL,$DF198,$L$18)," "," "),CHAR(9)," "),CHAR(10)," "),CHAR(13)," ")))="READY","Ready",IF(UPPER(TRIM(SUBSTITUTE(SUBSTITUTE(SUBSTITUTE(SUBSTITUTE(INDEX(PASTE_ALL,$DF198,$L$18)," "," "),CHAR(9)," "),CHAR(10)," "),CHAR(13)," ")))="PM","PM",IF(OR(UPPER(TRIM(SUBSTITUTE(SUBSTITUTE(SUBSTITUTE(SUBSTITUTE(INDEX(PASTE_ALL,$DF198,$L$18)," "," "),CHAR(9)," "),CHAR(10)," "),CHAR(13)," ")))="OT",UPPER(TRIM(SUBSTITUTE(SUBSTITUTE(SUBSTITUTE(SUBSTITUTE(INDEX(PASTE_ALL,$DF198,$L$18)," "," "),CHAR(9)," "),CHAR(10)," "),CHAR(13)," ")))="OVERTIME",UPPER(TRIM(SUBSTITUTE(SUBSTITUTE(SUBSTITUTE(SUBSTITUTE(INDEX(PASTE_ALL,$DF198,$L$18)," "," "),CHAR(9)," "),CHAR(10)," "),CHAR(13)," ")))="TRIAL"),"OT",TRIM(SUBSTITUTE(SUBSTITUTE(SUBSTITUTE(SUBSTITUTE(INDEX(PASTE_ALL,$DF198,$L$18)," "," "),CHAR(9)," "),CHAR(10)," "),CHAR(13)," "))))),"")))</f>
        <v/>
      </c>
      <c r="EC198">
        <f>IF($DM198=0,"",IF($L$19=0,"",IFERROR(IF(ISNUMBER(INDEX(PASTE_ALL,$DF198,$L$19)),INDEX(PASTE_ALL,$DF198,$L$19),TRIM(SUBSTITUTE(SUBSTITUTE(SUBSTITUTE(SUBSTITUTE(INDEX(PASTE_ALL,$DF198,$L$19)," "," "),CHAR(9)," "),CHAR(10)," "),CHAR(13)," "))),"")))</f>
        <v/>
      </c>
      <c r="ED198">
        <f>IF($DM198=0,"",MATCH(1,INDEX(EXACT($DH$5:DH198,$DH198)*$DM$5:DM198,0),0))</f>
        <v/>
      </c>
      <c r="EE198">
        <f>IF($DM198=0,0,IF($ED198=$DE198,1,0))</f>
        <v/>
      </c>
      <c r="EF198">
        <f>EF197+$EE198</f>
        <v/>
      </c>
      <c r="EG198">
        <f>IF($DM198=0,"",INDEX($EF$5:$EF$1003,$ED198))</f>
        <v/>
      </c>
      <c r="EH198">
        <f>IF($DM198=0,"",IF($DO198&lt;&gt;"","",IFERROR(LOOKUP(2,1/(($EG$4:EG197=$EG198)*($DO$4:DO197&lt;&gt;"")),$DO$4:DO197),"")))</f>
        <v/>
      </c>
      <c r="EI198">
        <f>IF($DM198=0,"",IF($DO198&lt;&gt;"",$DO198,$EH198))</f>
        <v/>
      </c>
      <c r="EJ198">
        <f>IF($DM198=0,"",IF($EI198="",0,IF(OR(ISNUMBER($EI198),AND(AND(SUBSTITUTE(SUBSTITUTE(SUBSTITUTE(SUBSTITUTE(SUBSTITUTE(SUBSTITUTE(SUBSTITUTE(SUBSTITUTE(SUBSTITUTE(SUBSTITUTE(SUBSTITUTE(SUBSTITUTE(SUBSTITUTE(SUBSTITUTE(UPPER($EI198),"0",""),"1",""),"2",""),"3",""),"4",""),"5",""),"6",""),"7",""),"8",""),"9",""),".",""),"+",""),"-",""),"E","")="",LEN(SUBSTITUTE(SUBSTITUTE(MID(UPPER($EI198),1+OR(LEFT(UPPER($EI198),1)="+",LEFT(UPPER($EI198),1)="-"),999),"E+","E"),"E-","E"))=LEN(SUBSTITUTE(SUBSTITUTE(SUBSTITUTE(SUBSTITUTE(MID(UPPER($EI198),1+OR(LEFT(UPPER($EI198),1)="+",LEFT(UPPER($EI198),1)="-"),999),"E+","E"),"E-","E"),"+",""),"-","")),LEN(UPPER($EI198))-LEN(SUBSTITUTE(UPPER($EI198),"E",""))&lt;2,LEN(UPPER($EI198))-LEN(SUBSTITUTE(UPPER($EI198),".",""))&lt;2,IFERROR(FIND(".",UPPER($EI198)),0)&lt;IFERROR(FIND("E",UPPER($EI198)),999)),ISNUMBER(VALUE($EI198)))),1,2)))</f>
        <v/>
      </c>
      <c r="EK198">
        <f>IF($DM198=0,"",IF($EJ198=1,IF(ISNUMBER($EI198),$EI198,VALUE($EI198)),IF($EJ198=2,$DE198,0)))</f>
        <v/>
      </c>
      <c r="EL198">
        <f>IF($DM198=0,"",COUNTIF($EG$5:$EG$1003,"&lt;"&amp;$EG198)+SUMPRODUCT(($EG$5:$EG$1003=$EG198)*(($EJ$5:$EJ$1003&lt;$EJ198)+($EJ$5:$EJ$1003=$EJ198)*(($EK$5:$EK$1003&lt;$EK198)+($EK$5:$EK$1003=$EK198)*($DE$5:$DE$1003&lt;$DE198))))+1)</f>
        <v/>
      </c>
      <c r="EM198">
        <f>IF($DM198=0,"",$EL198+$EG198-1)</f>
        <v/>
      </c>
      <c r="EN198">
        <f>IF($DM198=0,0,IFERROR(MATCH(1,INDEX(--(TRIM(SUBSTITUTE(SUBSTITUTE(SUBSTITUTE(SUBSTITUTE(LINES_NAME&amp;""," "," "),CHAR(9)," "),CHAR(10)," "),CHAR(13)," "))=$DH198),0),0),0))</f>
        <v/>
      </c>
      <c r="EO198">
        <f>IF($EN198=0,0,IF(OR(UPPER(TRIM(INDEX(LINES_SCHEDULED,$EN198)&amp;""))="YES",UPPER(TRIM(INDEX(LINES_SCHEDULED,$EN198)&amp;""))="Y",UPPER(TRIM(INDEX(LINES_SCHEDULED,$EN198)&amp;""))="X"),1,0))</f>
        <v/>
      </c>
      <c r="EP198">
        <f>IF($DM198=0,"",IF(COUNTIFS($EG$5:$EG$1003,$EG198,$EB$5:$EB$1003,"Ready")&gt;0,"READY",IF(COUNTIFS($EG$5:$EG$1003,$EG198,$EB$5:$EB$1003,"PM")&gt;0,"PM",IF(COUNTIFS($EG$5:$EG$1003,$EG198,$EB$5:$EB$1003,"OT")&gt;0,"OT",""))))</f>
        <v/>
      </c>
      <c r="EQ198">
        <f>IF($EN198=0,"",UPPER(TRIM(INDEX(LINES_STATUS,$EN198)&amp;"")))</f>
        <v/>
      </c>
      <c r="ER198">
        <f>IF($DM198=0,"",IF(OR($EQ198="READY",$EQ198="PM",$EQ198="OT"),$EQ198,$EP198))</f>
        <v/>
      </c>
      <c r="ES198">
        <f>IF($DM198=0,"",IF(AND($DV198&lt;&gt;"",UPPER($DV198)&lt;&gt;"N"),"allergen",IF(ISNUMBER(SEARCH("oil",$DQ198)),"oil",IF(OR(EXACT($DS198,"A662"),EXACT($DS198,"A624")),"bulk",""))))</f>
        <v/>
      </c>
      <c r="ET198">
        <f>IF($DM198=0,"",IF(OR($EA198="",$EA198=0),"",$EA198/100))</f>
        <v/>
      </c>
      <c r="EU198">
        <f>IF(OR($ET198="",$DY198=""),"",INT($DY198*(1-$ET198)+0.5))</f>
        <v/>
      </c>
      <c r="EW198" t="n">
        <v>194</v>
      </c>
      <c r="EX198">
        <f>IFERROR(MATCH($EW198,$EM$5:$EM$1003,0),0)</f>
        <v/>
      </c>
      <c r="EY198">
        <f>IF($EW198&gt;$B$12,"",IF($EX198&gt;0,"row","spacer"))</f>
        <v/>
      </c>
      <c r="EZ198">
        <f>IF(AND($EY198="row",$EY197&lt;&gt;"row"),1,0)</f>
        <v/>
      </c>
      <c r="FA198">
        <f>IF(AND($EY198="row",$EY199&lt;&gt;"row"),1,0)</f>
        <v/>
      </c>
      <c r="FB198">
        <f>IF($EZ198=1,IFERROR(IF(ISNUMBER(INDEX(PASTE_ALL,INDEX($DF$5:$DF$1003,$EX198),$B$37)),INDEX(PASTE_ALL,INDEX($DF$5:$DF$1003,$EX198),$B$37),INDEX($DH$5:$DH$1003,$EX198)),INDEX($DH$5:$DH$1003,$EX198)),"")</f>
        <v/>
      </c>
      <c r="FC198">
        <f>IF($EY198="row",INDEX($ER$5:$ER$1003,$EX198),"")</f>
        <v/>
      </c>
      <c r="FD198">
        <f>IF($EY198="row",INDEX($DN$5:$DN$1003,$EX198),"")</f>
        <v/>
      </c>
      <c r="FE198">
        <f>IF($EY198="row",INDEX($DO$5:$DO$1003,$EX198),"")</f>
        <v/>
      </c>
      <c r="FF198">
        <f>IF($EY198="row",INDEX($DP$5:$DP$1003,$EX198),"")</f>
        <v/>
      </c>
      <c r="FG198">
        <f>IF($EY198="row",INDEX($DQ$5:$DQ$1003,$EX198),"")</f>
        <v/>
      </c>
      <c r="FH198">
        <f>IF($EY198="row",INDEX($DR$5:$DR$1003,$EX198),"")</f>
        <v/>
      </c>
      <c r="FI198">
        <f>IF($EY198="row",INDEX($DS$5:$DS$1003,$EX198),"")</f>
        <v/>
      </c>
      <c r="FJ198">
        <f>IF($EY198="row",INDEX($DT$5:$DT$1003,$EX198),"")</f>
        <v/>
      </c>
      <c r="FK198">
        <f>IF($EY198="row",INDEX($DU$5:$DU$1003,$EX198),"")</f>
        <v/>
      </c>
      <c r="FL198">
        <f>IF($EY198="row",INDEX($DV$5:$DV$1003,$EX198),"")</f>
        <v/>
      </c>
      <c r="FM198">
        <f>IF($EY198="row",INDEX($DW$5:$DW$1003,$EX198),"")</f>
        <v/>
      </c>
      <c r="FN198">
        <f>IF($EY198="row",INDEX($DY$5:$DY$1003,$EX198),"")</f>
        <v/>
      </c>
      <c r="FO198">
        <f>IF($EY198="row",INDEX($EA$5:$EA$1003,$EX198),"")</f>
        <v/>
      </c>
      <c r="FP198">
        <f>IF($EY198="row",INDEX($EC$5:$EC$1003,$EX198),"")</f>
        <v/>
      </c>
      <c r="FQ198">
        <f>IF($EY198="row",INDEX($ET$5:$ET$1003,$EX198),"")</f>
        <v/>
      </c>
      <c r="FR198">
        <f>IF($EY198="row",INDEX($EU$5:$EU$1003,$EX198),"")</f>
        <v/>
      </c>
      <c r="FS198">
        <f>IF(AND($EY198="row",$EY197="row"),IF(OR(INDEX($DT$5:$DT$1003,$EX197)="",INDEX($DT$5:$DT$1003,$EX198)=""),"",IF(NOT(EXACT(INDEX($DT$5:$DT$1003,$EX197),INDEX($DT$5:$DT$1003,$EX198))),"S4",IF(NOT(EXACT(INDEX($DS$5:$DS$1003,$EX197),INDEX($DS$5:$DS$1003,$EX198))),"S3",IF(NOT(EXACT(INDEX($DR$5:$DR$1003,$EX197),INDEX($DR$5:$DR$1003,$EX198))),"S1 Count Change","S1")))),"")</f>
        <v/>
      </c>
      <c r="FT198">
        <f>IF($EY198="row",INDEX($ES$5:$ES$1003,$EX198),"")</f>
        <v/>
      </c>
      <c r="FU198">
        <f>IF($EY198="row",INDEX($EO$5:$EO$1003,$EX198),0)</f>
        <v/>
      </c>
      <c r="FV198">
        <f>IF($FS198="S1 Count Change",1,0)</f>
        <v/>
      </c>
    </row>
    <row r="199">
      <c r="Y199">
        <f>0+IF(Y109&gt;0,0,IF(SUMPRODUCT(MOD(INT(Y154/{2,4,8,16,32,64,128,256,512,1024,2048,4096,8192,16384,32768}),2)*(1-MOD(INT(($CJ19+0)/{2,4,8,16,32,64,128,256,512,1024,2048,4096,8192,16384,32768}),2))*{2,4,8,16,32,64,128,256,512,1024,2048,4096,8192,16384,32768})=0,0,2^SUMPRODUCT(--(MOD(SUMPRODUCT(MOD(INT(Y154/{2,4,8,16,32,64,128,256,512,1024,2048,4096,8192,16384,32768}),2)*(1-MOD(INT(($CJ19+0)/{2,4,8,16,32,64,128,256,512,1024,2048,4096,8192,16384,32768}),2))*{2,4,8,16,32,64,128,256,512,1024,2048,4096,8192,16384,32768}),{2,4,8,16,32,64,128,256,512,1024,2048,4096,8192,16384,32768})=0))))</f>
        <v/>
      </c>
      <c r="Z199">
        <f>Y199+IF(AND(Z109&gt;0,COUNTIF($Y109:Y109,Z109)=0),0,IF(SUMPRODUCT(MOD(INT(Z154/{2,4,8,16,32,64,128,256,512,1024,2048,4096,8192,16384,32768}),2)*(1-MOD(INT(($CJ19+Y199)/{2,4,8,16,32,64,128,256,512,1024,2048,4096,8192,16384,32768}),2))*{2,4,8,16,32,64,128,256,512,1024,2048,4096,8192,16384,32768})=0,0,2^SUMPRODUCT(--(MOD(SUMPRODUCT(MOD(INT(Z154/{2,4,8,16,32,64,128,256,512,1024,2048,4096,8192,16384,32768}),2)*(1-MOD(INT(($CJ19+Y199)/{2,4,8,16,32,64,128,256,512,1024,2048,4096,8192,16384,32768}),2))*{2,4,8,16,32,64,128,256,512,1024,2048,4096,8192,16384,32768}),{2,4,8,16,32,64,128,256,512,1024,2048,4096,8192,16384,32768})=0))))</f>
        <v/>
      </c>
      <c r="AA199">
        <f>Z199+IF(AND(AA109&gt;0,COUNTIF($Y109:Z109,AA109)=0),0,IF(SUMPRODUCT(MOD(INT(AA154/{2,4,8,16,32,64,128,256,512,1024,2048,4096,8192,16384,32768}),2)*(1-MOD(INT(($CJ19+Z199)/{2,4,8,16,32,64,128,256,512,1024,2048,4096,8192,16384,32768}),2))*{2,4,8,16,32,64,128,256,512,1024,2048,4096,8192,16384,32768})=0,0,2^SUMPRODUCT(--(MOD(SUMPRODUCT(MOD(INT(AA154/{2,4,8,16,32,64,128,256,512,1024,2048,4096,8192,16384,32768}),2)*(1-MOD(INT(($CJ19+Z199)/{2,4,8,16,32,64,128,256,512,1024,2048,4096,8192,16384,32768}),2))*{2,4,8,16,32,64,128,256,512,1024,2048,4096,8192,16384,32768}),{2,4,8,16,32,64,128,256,512,1024,2048,4096,8192,16384,32768})=0))))</f>
        <v/>
      </c>
      <c r="AB199">
        <f>AA199+IF(AND(AB109&gt;0,COUNTIF($Y109:AA109,AB109)=0),0,IF(SUMPRODUCT(MOD(INT(AB154/{2,4,8,16,32,64,128,256,512,1024,2048,4096,8192,16384,32768}),2)*(1-MOD(INT(($CJ19+AA199)/{2,4,8,16,32,64,128,256,512,1024,2048,4096,8192,16384,32768}),2))*{2,4,8,16,32,64,128,256,512,1024,2048,4096,8192,16384,32768})=0,0,2^SUMPRODUCT(--(MOD(SUMPRODUCT(MOD(INT(AB154/{2,4,8,16,32,64,128,256,512,1024,2048,4096,8192,16384,32768}),2)*(1-MOD(INT(($CJ19+AA199)/{2,4,8,16,32,64,128,256,512,1024,2048,4096,8192,16384,32768}),2))*{2,4,8,16,32,64,128,256,512,1024,2048,4096,8192,16384,32768}),{2,4,8,16,32,64,128,256,512,1024,2048,4096,8192,16384,32768})=0))))</f>
        <v/>
      </c>
      <c r="AC199">
        <f>AB199+IF(AND(AC109&gt;0,COUNTIF($Y109:AB109,AC109)=0),0,IF(SUMPRODUCT(MOD(INT(AC154/{2,4,8,16,32,64,128,256,512,1024,2048,4096,8192,16384,32768}),2)*(1-MOD(INT(($CJ19+AB199)/{2,4,8,16,32,64,128,256,512,1024,2048,4096,8192,16384,32768}),2))*{2,4,8,16,32,64,128,256,512,1024,2048,4096,8192,16384,32768})=0,0,2^SUMPRODUCT(--(MOD(SUMPRODUCT(MOD(INT(AC154/{2,4,8,16,32,64,128,256,512,1024,2048,4096,8192,16384,32768}),2)*(1-MOD(INT(($CJ19+AB199)/{2,4,8,16,32,64,128,256,512,1024,2048,4096,8192,16384,32768}),2))*{2,4,8,16,32,64,128,256,512,1024,2048,4096,8192,16384,32768}),{2,4,8,16,32,64,128,256,512,1024,2048,4096,8192,16384,32768})=0))))</f>
        <v/>
      </c>
      <c r="AD199">
        <f>AC199+IF(AND(AD109&gt;0,COUNTIF($Y109:AC109,AD109)=0),0,IF(SUMPRODUCT(MOD(INT(AD154/{2,4,8,16,32,64,128,256,512,1024,2048,4096,8192,16384,32768}),2)*(1-MOD(INT(($CJ19+AC199)/{2,4,8,16,32,64,128,256,512,1024,2048,4096,8192,16384,32768}),2))*{2,4,8,16,32,64,128,256,512,1024,2048,4096,8192,16384,32768})=0,0,2^SUMPRODUCT(--(MOD(SUMPRODUCT(MOD(INT(AD154/{2,4,8,16,32,64,128,256,512,1024,2048,4096,8192,16384,32768}),2)*(1-MOD(INT(($CJ19+AC199)/{2,4,8,16,32,64,128,256,512,1024,2048,4096,8192,16384,32768}),2))*{2,4,8,16,32,64,128,256,512,1024,2048,4096,8192,16384,32768}),{2,4,8,16,32,64,128,256,512,1024,2048,4096,8192,16384,32768})=0))))</f>
        <v/>
      </c>
      <c r="AE199">
        <f>AD199+IF(AND(AE109&gt;0,COUNTIF($Y109:AD109,AE109)=0),0,IF(SUMPRODUCT(MOD(INT(AE154/{2,4,8,16,32,64,128,256,512,1024,2048,4096,8192,16384,32768}),2)*(1-MOD(INT(($CJ19+AD199)/{2,4,8,16,32,64,128,256,512,1024,2048,4096,8192,16384,32768}),2))*{2,4,8,16,32,64,128,256,512,1024,2048,4096,8192,16384,32768})=0,0,2^SUMPRODUCT(--(MOD(SUMPRODUCT(MOD(INT(AE154/{2,4,8,16,32,64,128,256,512,1024,2048,4096,8192,16384,32768}),2)*(1-MOD(INT(($CJ19+AD199)/{2,4,8,16,32,64,128,256,512,1024,2048,4096,8192,16384,32768}),2))*{2,4,8,16,32,64,128,256,512,1024,2048,4096,8192,16384,32768}),{2,4,8,16,32,64,128,256,512,1024,2048,4096,8192,16384,32768})=0))))</f>
        <v/>
      </c>
      <c r="AF199">
        <f>AE199+IF(AND(AF109&gt;0,COUNTIF($Y109:AE109,AF109)=0),0,IF(SUMPRODUCT(MOD(INT(AF154/{2,4,8,16,32,64,128,256,512,1024,2048,4096,8192,16384,32768}),2)*(1-MOD(INT(($CJ19+AE199)/{2,4,8,16,32,64,128,256,512,1024,2048,4096,8192,16384,32768}),2))*{2,4,8,16,32,64,128,256,512,1024,2048,4096,8192,16384,32768})=0,0,2^SUMPRODUCT(--(MOD(SUMPRODUCT(MOD(INT(AF154/{2,4,8,16,32,64,128,256,512,1024,2048,4096,8192,16384,32768}),2)*(1-MOD(INT(($CJ19+AE199)/{2,4,8,16,32,64,128,256,512,1024,2048,4096,8192,16384,32768}),2))*{2,4,8,16,32,64,128,256,512,1024,2048,4096,8192,16384,32768}),{2,4,8,16,32,64,128,256,512,1024,2048,4096,8192,16384,32768})=0))))</f>
        <v/>
      </c>
      <c r="AG199">
        <f>AF199+IF(AND(AG109&gt;0,COUNTIF($Y109:AF109,AG109)=0),0,IF(SUMPRODUCT(MOD(INT(AG154/{2,4,8,16,32,64,128,256,512,1024,2048,4096,8192,16384,32768}),2)*(1-MOD(INT(($CJ19+AF199)/{2,4,8,16,32,64,128,256,512,1024,2048,4096,8192,16384,32768}),2))*{2,4,8,16,32,64,128,256,512,1024,2048,4096,8192,16384,32768})=0,0,2^SUMPRODUCT(--(MOD(SUMPRODUCT(MOD(INT(AG154/{2,4,8,16,32,64,128,256,512,1024,2048,4096,8192,16384,32768}),2)*(1-MOD(INT(($CJ19+AF199)/{2,4,8,16,32,64,128,256,512,1024,2048,4096,8192,16384,32768}),2))*{2,4,8,16,32,64,128,256,512,1024,2048,4096,8192,16384,32768}),{2,4,8,16,32,64,128,256,512,1024,2048,4096,8192,16384,32768})=0))))</f>
        <v/>
      </c>
      <c r="AH199">
        <f>AG199+IF(AND(AH109&gt;0,COUNTIF($Y109:AG109,AH109)=0),0,IF(SUMPRODUCT(MOD(INT(AH154/{2,4,8,16,32,64,128,256,512,1024,2048,4096,8192,16384,32768}),2)*(1-MOD(INT(($CJ19+AG199)/{2,4,8,16,32,64,128,256,512,1024,2048,4096,8192,16384,32768}),2))*{2,4,8,16,32,64,128,256,512,1024,2048,4096,8192,16384,32768})=0,0,2^SUMPRODUCT(--(MOD(SUMPRODUCT(MOD(INT(AH154/{2,4,8,16,32,64,128,256,512,1024,2048,4096,8192,16384,32768}),2)*(1-MOD(INT(($CJ19+AG199)/{2,4,8,16,32,64,128,256,512,1024,2048,4096,8192,16384,32768}),2))*{2,4,8,16,32,64,128,256,512,1024,2048,4096,8192,16384,32768}),{2,4,8,16,32,64,128,256,512,1024,2048,4096,8192,16384,32768})=0))))</f>
        <v/>
      </c>
      <c r="AI199">
        <f>AH199+IF(AND(AI109&gt;0,COUNTIF($Y109:AH109,AI109)=0),0,IF(SUMPRODUCT(MOD(INT(AI154/{2,4,8,16,32,64,128,256,512,1024,2048,4096,8192,16384,32768}),2)*(1-MOD(INT(($CJ19+AH199)/{2,4,8,16,32,64,128,256,512,1024,2048,4096,8192,16384,32768}),2))*{2,4,8,16,32,64,128,256,512,1024,2048,4096,8192,16384,32768})=0,0,2^SUMPRODUCT(--(MOD(SUMPRODUCT(MOD(INT(AI154/{2,4,8,16,32,64,128,256,512,1024,2048,4096,8192,16384,32768}),2)*(1-MOD(INT(($CJ19+AH199)/{2,4,8,16,32,64,128,256,512,1024,2048,4096,8192,16384,32768}),2))*{2,4,8,16,32,64,128,256,512,1024,2048,4096,8192,16384,32768}),{2,4,8,16,32,64,128,256,512,1024,2048,4096,8192,16384,32768})=0))))</f>
        <v/>
      </c>
      <c r="AJ199">
        <f>AI199+IF(AND(AJ109&gt;0,COUNTIF($Y109:AI109,AJ109)=0),0,IF(SUMPRODUCT(MOD(INT(AJ154/{2,4,8,16,32,64,128,256,512,1024,2048,4096,8192,16384,32768}),2)*(1-MOD(INT(($CJ19+AI199)/{2,4,8,16,32,64,128,256,512,1024,2048,4096,8192,16384,32768}),2))*{2,4,8,16,32,64,128,256,512,1024,2048,4096,8192,16384,32768})=0,0,2^SUMPRODUCT(--(MOD(SUMPRODUCT(MOD(INT(AJ154/{2,4,8,16,32,64,128,256,512,1024,2048,4096,8192,16384,32768}),2)*(1-MOD(INT(($CJ19+AI199)/{2,4,8,16,32,64,128,256,512,1024,2048,4096,8192,16384,32768}),2))*{2,4,8,16,32,64,128,256,512,1024,2048,4096,8192,16384,32768}),{2,4,8,16,32,64,128,256,512,1024,2048,4096,8192,16384,32768})=0))))</f>
        <v/>
      </c>
      <c r="AK199">
        <f>AJ199+IF(AND(AK109&gt;0,COUNTIF($Y109:AJ109,AK109)=0),0,IF(SUMPRODUCT(MOD(INT(AK154/{2,4,8,16,32,64,128,256,512,1024,2048,4096,8192,16384,32768}),2)*(1-MOD(INT(($CJ19+AJ199)/{2,4,8,16,32,64,128,256,512,1024,2048,4096,8192,16384,32768}),2))*{2,4,8,16,32,64,128,256,512,1024,2048,4096,8192,16384,32768})=0,0,2^SUMPRODUCT(--(MOD(SUMPRODUCT(MOD(INT(AK154/{2,4,8,16,32,64,128,256,512,1024,2048,4096,8192,16384,32768}),2)*(1-MOD(INT(($CJ19+AJ199)/{2,4,8,16,32,64,128,256,512,1024,2048,4096,8192,16384,32768}),2))*{2,4,8,16,32,64,128,256,512,1024,2048,4096,8192,16384,32768}),{2,4,8,16,32,64,128,256,512,1024,2048,4096,8192,16384,32768})=0))))</f>
        <v/>
      </c>
      <c r="AL199">
        <f>AK199+IF(AND(AL109&gt;0,COUNTIF($Y109:AK109,AL109)=0),0,IF(SUMPRODUCT(MOD(INT(AL154/{2,4,8,16,32,64,128,256,512,1024,2048,4096,8192,16384,32768}),2)*(1-MOD(INT(($CJ19+AK199)/{2,4,8,16,32,64,128,256,512,1024,2048,4096,8192,16384,32768}),2))*{2,4,8,16,32,64,128,256,512,1024,2048,4096,8192,16384,32768})=0,0,2^SUMPRODUCT(--(MOD(SUMPRODUCT(MOD(INT(AL154/{2,4,8,16,32,64,128,256,512,1024,2048,4096,8192,16384,32768}),2)*(1-MOD(INT(($CJ19+AK199)/{2,4,8,16,32,64,128,256,512,1024,2048,4096,8192,16384,32768}),2))*{2,4,8,16,32,64,128,256,512,1024,2048,4096,8192,16384,32768}),{2,4,8,16,32,64,128,256,512,1024,2048,4096,8192,16384,32768})=0))))</f>
        <v/>
      </c>
      <c r="AM199">
        <f>AL199+IF(AND(AM109&gt;0,COUNTIF($Y109:AL109,AM109)=0),0,IF(SUMPRODUCT(MOD(INT(AM154/{2,4,8,16,32,64,128,256,512,1024,2048,4096,8192,16384,32768}),2)*(1-MOD(INT(($CJ19+AL199)/{2,4,8,16,32,64,128,256,512,1024,2048,4096,8192,16384,32768}),2))*{2,4,8,16,32,64,128,256,512,1024,2048,4096,8192,16384,32768})=0,0,2^SUMPRODUCT(--(MOD(SUMPRODUCT(MOD(INT(AM154/{2,4,8,16,32,64,128,256,512,1024,2048,4096,8192,16384,32768}),2)*(1-MOD(INT(($CJ19+AL199)/{2,4,8,16,32,64,128,256,512,1024,2048,4096,8192,16384,32768}),2))*{2,4,8,16,32,64,128,256,512,1024,2048,4096,8192,16384,32768}),{2,4,8,16,32,64,128,256,512,1024,2048,4096,8192,16384,32768})=0))))</f>
        <v/>
      </c>
      <c r="AN199">
        <f>AM199+IF(AND(AN109&gt;0,COUNTIF($Y109:AM109,AN109)=0),0,IF(SUMPRODUCT(MOD(INT(AN154/{2,4,8,16,32,64,128,256,512,1024,2048,4096,8192,16384,32768}),2)*(1-MOD(INT(($CJ19+AM199)/{2,4,8,16,32,64,128,256,512,1024,2048,4096,8192,16384,32768}),2))*{2,4,8,16,32,64,128,256,512,1024,2048,4096,8192,16384,32768})=0,0,2^SUMPRODUCT(--(MOD(SUMPRODUCT(MOD(INT(AN154/{2,4,8,16,32,64,128,256,512,1024,2048,4096,8192,16384,32768}),2)*(1-MOD(INT(($CJ19+AM199)/{2,4,8,16,32,64,128,256,512,1024,2048,4096,8192,16384,32768}),2))*{2,4,8,16,32,64,128,256,512,1024,2048,4096,8192,16384,32768}),{2,4,8,16,32,64,128,256,512,1024,2048,4096,8192,16384,32768})=0))))</f>
        <v/>
      </c>
      <c r="AO199">
        <f>AN199+IF(AND(AO109&gt;0,COUNTIF($Y109:AN109,AO109)=0),0,IF(SUMPRODUCT(MOD(INT(AO154/{2,4,8,16,32,64,128,256,512,1024,2048,4096,8192,16384,32768}),2)*(1-MOD(INT(($CJ19+AN199)/{2,4,8,16,32,64,128,256,512,1024,2048,4096,8192,16384,32768}),2))*{2,4,8,16,32,64,128,256,512,1024,2048,4096,8192,16384,32768})=0,0,2^SUMPRODUCT(--(MOD(SUMPRODUCT(MOD(INT(AO154/{2,4,8,16,32,64,128,256,512,1024,2048,4096,8192,16384,32768}),2)*(1-MOD(INT(($CJ19+AN199)/{2,4,8,16,32,64,128,256,512,1024,2048,4096,8192,16384,32768}),2))*{2,4,8,16,32,64,128,256,512,1024,2048,4096,8192,16384,32768}),{2,4,8,16,32,64,128,256,512,1024,2048,4096,8192,16384,32768})=0))))</f>
        <v/>
      </c>
      <c r="AP199">
        <f>AO199+IF(AND(AP109&gt;0,COUNTIF($Y109:AO109,AP109)=0),0,IF(SUMPRODUCT(MOD(INT(AP154/{2,4,8,16,32,64,128,256,512,1024,2048,4096,8192,16384,32768}),2)*(1-MOD(INT(($CJ19+AO199)/{2,4,8,16,32,64,128,256,512,1024,2048,4096,8192,16384,32768}),2))*{2,4,8,16,32,64,128,256,512,1024,2048,4096,8192,16384,32768})=0,0,2^SUMPRODUCT(--(MOD(SUMPRODUCT(MOD(INT(AP154/{2,4,8,16,32,64,128,256,512,1024,2048,4096,8192,16384,32768}),2)*(1-MOD(INT(($CJ19+AO199)/{2,4,8,16,32,64,128,256,512,1024,2048,4096,8192,16384,32768}),2))*{2,4,8,16,32,64,128,256,512,1024,2048,4096,8192,16384,32768}),{2,4,8,16,32,64,128,256,512,1024,2048,4096,8192,16384,32768})=0))))</f>
        <v/>
      </c>
      <c r="AQ199">
        <f>AP199+IF(AND(AQ109&gt;0,COUNTIF($Y109:AP109,AQ109)=0),0,IF(SUMPRODUCT(MOD(INT(AQ154/{2,4,8,16,32,64,128,256,512,1024,2048,4096,8192,16384,32768}),2)*(1-MOD(INT(($CJ19+AP199)/{2,4,8,16,32,64,128,256,512,1024,2048,4096,8192,16384,32768}),2))*{2,4,8,16,32,64,128,256,512,1024,2048,4096,8192,16384,32768})=0,0,2^SUMPRODUCT(--(MOD(SUMPRODUCT(MOD(INT(AQ154/{2,4,8,16,32,64,128,256,512,1024,2048,4096,8192,16384,32768}),2)*(1-MOD(INT(($CJ19+AP199)/{2,4,8,16,32,64,128,256,512,1024,2048,4096,8192,16384,32768}),2))*{2,4,8,16,32,64,128,256,512,1024,2048,4096,8192,16384,32768}),{2,4,8,16,32,64,128,256,512,1024,2048,4096,8192,16384,32768})=0))))</f>
        <v/>
      </c>
      <c r="AR199">
        <f>AQ199+IF(AND(AR109&gt;0,COUNTIF($Y109:AQ109,AR109)=0),0,IF(SUMPRODUCT(MOD(INT(AR154/{2,4,8,16,32,64,128,256,512,1024,2048,4096,8192,16384,32768}),2)*(1-MOD(INT(($CJ19+AQ199)/{2,4,8,16,32,64,128,256,512,1024,2048,4096,8192,16384,32768}),2))*{2,4,8,16,32,64,128,256,512,1024,2048,4096,8192,16384,32768})=0,0,2^SUMPRODUCT(--(MOD(SUMPRODUCT(MOD(INT(AR154/{2,4,8,16,32,64,128,256,512,1024,2048,4096,8192,16384,32768}),2)*(1-MOD(INT(($CJ19+AQ199)/{2,4,8,16,32,64,128,256,512,1024,2048,4096,8192,16384,32768}),2))*{2,4,8,16,32,64,128,256,512,1024,2048,4096,8192,16384,32768}),{2,4,8,16,32,64,128,256,512,1024,2048,4096,8192,16384,32768})=0))))</f>
        <v/>
      </c>
      <c r="AS199">
        <f>AR199+IF(AND(AS109&gt;0,COUNTIF($Y109:AR109,AS109)=0),0,IF(SUMPRODUCT(MOD(INT(AS154/{2,4,8,16,32,64,128,256,512,1024,2048,4096,8192,16384,32768}),2)*(1-MOD(INT(($CJ19+AR199)/{2,4,8,16,32,64,128,256,512,1024,2048,4096,8192,16384,32768}),2))*{2,4,8,16,32,64,128,256,512,1024,2048,4096,8192,16384,32768})=0,0,2^SUMPRODUCT(--(MOD(SUMPRODUCT(MOD(INT(AS154/{2,4,8,16,32,64,128,256,512,1024,2048,4096,8192,16384,32768}),2)*(1-MOD(INT(($CJ19+AR199)/{2,4,8,16,32,64,128,256,512,1024,2048,4096,8192,16384,32768}),2))*{2,4,8,16,32,64,128,256,512,1024,2048,4096,8192,16384,32768}),{2,4,8,16,32,64,128,256,512,1024,2048,4096,8192,16384,32768})=0))))</f>
        <v/>
      </c>
      <c r="AT199">
        <f>AS199+IF(AND(AT109&gt;0,COUNTIF($Y109:AS109,AT109)=0),0,IF(SUMPRODUCT(MOD(INT(AT154/{2,4,8,16,32,64,128,256,512,1024,2048,4096,8192,16384,32768}),2)*(1-MOD(INT(($CJ19+AS199)/{2,4,8,16,32,64,128,256,512,1024,2048,4096,8192,16384,32768}),2))*{2,4,8,16,32,64,128,256,512,1024,2048,4096,8192,16384,32768})=0,0,2^SUMPRODUCT(--(MOD(SUMPRODUCT(MOD(INT(AT154/{2,4,8,16,32,64,128,256,512,1024,2048,4096,8192,16384,32768}),2)*(1-MOD(INT(($CJ19+AS199)/{2,4,8,16,32,64,128,256,512,1024,2048,4096,8192,16384,32768}),2))*{2,4,8,16,32,64,128,256,512,1024,2048,4096,8192,16384,32768}),{2,4,8,16,32,64,128,256,512,1024,2048,4096,8192,16384,32768})=0))))</f>
        <v/>
      </c>
      <c r="AU199">
        <f>AT199+IF(AND(AU109&gt;0,COUNTIF($Y109:AT109,AU109)=0),0,IF(SUMPRODUCT(MOD(INT(AU154/{2,4,8,16,32,64,128,256,512,1024,2048,4096,8192,16384,32768}),2)*(1-MOD(INT(($CJ19+AT199)/{2,4,8,16,32,64,128,256,512,1024,2048,4096,8192,16384,32768}),2))*{2,4,8,16,32,64,128,256,512,1024,2048,4096,8192,16384,32768})=0,0,2^SUMPRODUCT(--(MOD(SUMPRODUCT(MOD(INT(AU154/{2,4,8,16,32,64,128,256,512,1024,2048,4096,8192,16384,32768}),2)*(1-MOD(INT(($CJ19+AT199)/{2,4,8,16,32,64,128,256,512,1024,2048,4096,8192,16384,32768}),2))*{2,4,8,16,32,64,128,256,512,1024,2048,4096,8192,16384,32768}),{2,4,8,16,32,64,128,256,512,1024,2048,4096,8192,16384,32768})=0))))</f>
        <v/>
      </c>
      <c r="AV199">
        <f>AU199+IF(AND(AV109&gt;0,COUNTIF($Y109:AU109,AV109)=0),0,IF(SUMPRODUCT(MOD(INT(AV154/{2,4,8,16,32,64,128,256,512,1024,2048,4096,8192,16384,32768}),2)*(1-MOD(INT(($CJ19+AU199)/{2,4,8,16,32,64,128,256,512,1024,2048,4096,8192,16384,32768}),2))*{2,4,8,16,32,64,128,256,512,1024,2048,4096,8192,16384,32768})=0,0,2^SUMPRODUCT(--(MOD(SUMPRODUCT(MOD(INT(AV154/{2,4,8,16,32,64,128,256,512,1024,2048,4096,8192,16384,32768}),2)*(1-MOD(INT(($CJ19+AU199)/{2,4,8,16,32,64,128,256,512,1024,2048,4096,8192,16384,32768}),2))*{2,4,8,16,32,64,128,256,512,1024,2048,4096,8192,16384,32768}),{2,4,8,16,32,64,128,256,512,1024,2048,4096,8192,16384,32768})=0))))</f>
        <v/>
      </c>
      <c r="AW199">
        <f>AV199+IF(AND(AW109&gt;0,COUNTIF($Y109:AV109,AW109)=0),0,IF(SUMPRODUCT(MOD(INT(AW154/{2,4,8,16,32,64,128,256,512,1024,2048,4096,8192,16384,32768}),2)*(1-MOD(INT(($CJ19+AV199)/{2,4,8,16,32,64,128,256,512,1024,2048,4096,8192,16384,32768}),2))*{2,4,8,16,32,64,128,256,512,1024,2048,4096,8192,16384,32768})=0,0,2^SUMPRODUCT(--(MOD(SUMPRODUCT(MOD(INT(AW154/{2,4,8,16,32,64,128,256,512,1024,2048,4096,8192,16384,32768}),2)*(1-MOD(INT(($CJ19+AV199)/{2,4,8,16,32,64,128,256,512,1024,2048,4096,8192,16384,32768}),2))*{2,4,8,16,32,64,128,256,512,1024,2048,4096,8192,16384,32768}),{2,4,8,16,32,64,128,256,512,1024,2048,4096,8192,16384,32768})=0))))</f>
        <v/>
      </c>
      <c r="AX199">
        <f>AW199+IF(AND(AX109&gt;0,COUNTIF($Y109:AW109,AX109)=0),0,IF(SUMPRODUCT(MOD(INT(AX154/{2,4,8,16,32,64,128,256,512,1024,2048,4096,8192,16384,32768}),2)*(1-MOD(INT(($CJ19+AW199)/{2,4,8,16,32,64,128,256,512,1024,2048,4096,8192,16384,32768}),2))*{2,4,8,16,32,64,128,256,512,1024,2048,4096,8192,16384,32768})=0,0,2^SUMPRODUCT(--(MOD(SUMPRODUCT(MOD(INT(AX154/{2,4,8,16,32,64,128,256,512,1024,2048,4096,8192,16384,32768}),2)*(1-MOD(INT(($CJ19+AW199)/{2,4,8,16,32,64,128,256,512,1024,2048,4096,8192,16384,32768}),2))*{2,4,8,16,32,64,128,256,512,1024,2048,4096,8192,16384,32768}),{2,4,8,16,32,64,128,256,512,1024,2048,4096,8192,16384,32768})=0))))</f>
        <v/>
      </c>
      <c r="AY199">
        <f>AX199+IF(AND(AY109&gt;0,COUNTIF($Y109:AX109,AY109)=0),0,IF(SUMPRODUCT(MOD(INT(AY154/{2,4,8,16,32,64,128,256,512,1024,2048,4096,8192,16384,32768}),2)*(1-MOD(INT(($CJ19+AX199)/{2,4,8,16,32,64,128,256,512,1024,2048,4096,8192,16384,32768}),2))*{2,4,8,16,32,64,128,256,512,1024,2048,4096,8192,16384,32768})=0,0,2^SUMPRODUCT(--(MOD(SUMPRODUCT(MOD(INT(AY154/{2,4,8,16,32,64,128,256,512,1024,2048,4096,8192,16384,32768}),2)*(1-MOD(INT(($CJ19+AX199)/{2,4,8,16,32,64,128,256,512,1024,2048,4096,8192,16384,32768}),2))*{2,4,8,16,32,64,128,256,512,1024,2048,4096,8192,16384,32768}),{2,4,8,16,32,64,128,256,512,1024,2048,4096,8192,16384,32768})=0))))</f>
        <v/>
      </c>
      <c r="AZ199">
        <f>AY199+IF(AND(AZ109&gt;0,COUNTIF($Y109:AY109,AZ109)=0),0,IF(SUMPRODUCT(MOD(INT(AZ154/{2,4,8,16,32,64,128,256,512,1024,2048,4096,8192,16384,32768}),2)*(1-MOD(INT(($CJ19+AY199)/{2,4,8,16,32,64,128,256,512,1024,2048,4096,8192,16384,32768}),2))*{2,4,8,16,32,64,128,256,512,1024,2048,4096,8192,16384,32768})=0,0,2^SUMPRODUCT(--(MOD(SUMPRODUCT(MOD(INT(AZ154/{2,4,8,16,32,64,128,256,512,1024,2048,4096,8192,16384,32768}),2)*(1-MOD(INT(($CJ19+AY199)/{2,4,8,16,32,64,128,256,512,1024,2048,4096,8192,16384,32768}),2))*{2,4,8,16,32,64,128,256,512,1024,2048,4096,8192,16384,32768}),{2,4,8,16,32,64,128,256,512,1024,2048,4096,8192,16384,32768})=0))))</f>
        <v/>
      </c>
      <c r="BA199">
        <f>AZ199+IF(AND(BA109&gt;0,COUNTIF($Y109:AZ109,BA109)=0),0,IF(SUMPRODUCT(MOD(INT(BA154/{2,4,8,16,32,64,128,256,512,1024,2048,4096,8192,16384,32768}),2)*(1-MOD(INT(($CJ19+AZ199)/{2,4,8,16,32,64,128,256,512,1024,2048,4096,8192,16384,32768}),2))*{2,4,8,16,32,64,128,256,512,1024,2048,4096,8192,16384,32768})=0,0,2^SUMPRODUCT(--(MOD(SUMPRODUCT(MOD(INT(BA154/{2,4,8,16,32,64,128,256,512,1024,2048,4096,8192,16384,32768}),2)*(1-MOD(INT(($CJ19+AZ199)/{2,4,8,16,32,64,128,256,512,1024,2048,4096,8192,16384,32768}),2))*{2,4,8,16,32,64,128,256,512,1024,2048,4096,8192,16384,32768}),{2,4,8,16,32,64,128,256,512,1024,2048,4096,8192,16384,32768})=0))))</f>
        <v/>
      </c>
      <c r="BB199">
        <f>BA199+IF(AND(BB109&gt;0,COUNTIF($Y109:BA109,BB109)=0),0,IF(SUMPRODUCT(MOD(INT(BB154/{2,4,8,16,32,64,128,256,512,1024,2048,4096,8192,16384,32768}),2)*(1-MOD(INT(($CJ19+BA199)/{2,4,8,16,32,64,128,256,512,1024,2048,4096,8192,16384,32768}),2))*{2,4,8,16,32,64,128,256,512,1024,2048,4096,8192,16384,32768})=0,0,2^SUMPRODUCT(--(MOD(SUMPRODUCT(MOD(INT(BB154/{2,4,8,16,32,64,128,256,512,1024,2048,4096,8192,16384,32768}),2)*(1-MOD(INT(($CJ19+BA199)/{2,4,8,16,32,64,128,256,512,1024,2048,4096,8192,16384,32768}),2))*{2,4,8,16,32,64,128,256,512,1024,2048,4096,8192,16384,32768}),{2,4,8,16,32,64,128,256,512,1024,2048,4096,8192,16384,32768})=0))))</f>
        <v/>
      </c>
      <c r="BC199">
        <f>BB199+IF(AND(BC109&gt;0,COUNTIF($Y109:BB109,BC109)=0),0,IF(SUMPRODUCT(MOD(INT(BC154/{2,4,8,16,32,64,128,256,512,1024,2048,4096,8192,16384,32768}),2)*(1-MOD(INT(($CJ19+BB199)/{2,4,8,16,32,64,128,256,512,1024,2048,4096,8192,16384,32768}),2))*{2,4,8,16,32,64,128,256,512,1024,2048,4096,8192,16384,32768})=0,0,2^SUMPRODUCT(--(MOD(SUMPRODUCT(MOD(INT(BC154/{2,4,8,16,32,64,128,256,512,1024,2048,4096,8192,16384,32768}),2)*(1-MOD(INT(($CJ19+BB199)/{2,4,8,16,32,64,128,256,512,1024,2048,4096,8192,16384,32768}),2))*{2,4,8,16,32,64,128,256,512,1024,2048,4096,8192,16384,32768}),{2,4,8,16,32,64,128,256,512,1024,2048,4096,8192,16384,32768})=0))))</f>
        <v/>
      </c>
      <c r="BD199">
        <f>BC199+IF(AND(BD109&gt;0,COUNTIF($Y109:BC109,BD109)=0),0,IF(SUMPRODUCT(MOD(INT(BD154/{2,4,8,16,32,64,128,256,512,1024,2048,4096,8192,16384,32768}),2)*(1-MOD(INT(($CJ19+BC199)/{2,4,8,16,32,64,128,256,512,1024,2048,4096,8192,16384,32768}),2))*{2,4,8,16,32,64,128,256,512,1024,2048,4096,8192,16384,32768})=0,0,2^SUMPRODUCT(--(MOD(SUMPRODUCT(MOD(INT(BD154/{2,4,8,16,32,64,128,256,512,1024,2048,4096,8192,16384,32768}),2)*(1-MOD(INT(($CJ19+BC199)/{2,4,8,16,32,64,128,256,512,1024,2048,4096,8192,16384,32768}),2))*{2,4,8,16,32,64,128,256,512,1024,2048,4096,8192,16384,32768}),{2,4,8,16,32,64,128,256,512,1024,2048,4096,8192,16384,32768})=0))))</f>
        <v/>
      </c>
      <c r="BE199">
        <f>BD199+IF(AND(BE109&gt;0,COUNTIF($Y109:BD109,BE109)=0),0,IF(SUMPRODUCT(MOD(INT(BE154/{2,4,8,16,32,64,128,256,512,1024,2048,4096,8192,16384,32768}),2)*(1-MOD(INT(($CJ19+BD199)/{2,4,8,16,32,64,128,256,512,1024,2048,4096,8192,16384,32768}),2))*{2,4,8,16,32,64,128,256,512,1024,2048,4096,8192,16384,32768})=0,0,2^SUMPRODUCT(--(MOD(SUMPRODUCT(MOD(INT(BE154/{2,4,8,16,32,64,128,256,512,1024,2048,4096,8192,16384,32768}),2)*(1-MOD(INT(($CJ19+BD199)/{2,4,8,16,32,64,128,256,512,1024,2048,4096,8192,16384,32768}),2))*{2,4,8,16,32,64,128,256,512,1024,2048,4096,8192,16384,32768}),{2,4,8,16,32,64,128,256,512,1024,2048,4096,8192,16384,32768})=0))))</f>
        <v/>
      </c>
      <c r="BF199">
        <f>BE199+IF(AND(BF109&gt;0,COUNTIF($Y109:BE109,BF109)=0),0,IF(SUMPRODUCT(MOD(INT(BF154/{2,4,8,16,32,64,128,256,512,1024,2048,4096,8192,16384,32768}),2)*(1-MOD(INT(($CJ19+BE199)/{2,4,8,16,32,64,128,256,512,1024,2048,4096,8192,16384,32768}),2))*{2,4,8,16,32,64,128,256,512,1024,2048,4096,8192,16384,32768})=0,0,2^SUMPRODUCT(--(MOD(SUMPRODUCT(MOD(INT(BF154/{2,4,8,16,32,64,128,256,512,1024,2048,4096,8192,16384,32768}),2)*(1-MOD(INT(($CJ19+BE199)/{2,4,8,16,32,64,128,256,512,1024,2048,4096,8192,16384,32768}),2))*{2,4,8,16,32,64,128,256,512,1024,2048,4096,8192,16384,32768}),{2,4,8,16,32,64,128,256,512,1024,2048,4096,8192,16384,32768})=0))))</f>
        <v/>
      </c>
      <c r="BG199">
        <f>BF199+IF(AND(BG109&gt;0,COUNTIF($Y109:BF109,BG109)=0),0,IF(SUMPRODUCT(MOD(INT(BG154/{2,4,8,16,32,64,128,256,512,1024,2048,4096,8192,16384,32768}),2)*(1-MOD(INT(($CJ19+BF199)/{2,4,8,16,32,64,128,256,512,1024,2048,4096,8192,16384,32768}),2))*{2,4,8,16,32,64,128,256,512,1024,2048,4096,8192,16384,32768})=0,0,2^SUMPRODUCT(--(MOD(SUMPRODUCT(MOD(INT(BG154/{2,4,8,16,32,64,128,256,512,1024,2048,4096,8192,16384,32768}),2)*(1-MOD(INT(($CJ19+BF199)/{2,4,8,16,32,64,128,256,512,1024,2048,4096,8192,16384,32768}),2))*{2,4,8,16,32,64,128,256,512,1024,2048,4096,8192,16384,32768}),{2,4,8,16,32,64,128,256,512,1024,2048,4096,8192,16384,32768})=0))))</f>
        <v/>
      </c>
      <c r="BH199">
        <f>BG199+IF(AND(BH109&gt;0,COUNTIF($Y109:BG109,BH109)=0),0,IF(SUMPRODUCT(MOD(INT(BH154/{2,4,8,16,32,64,128,256,512,1024,2048,4096,8192,16384,32768}),2)*(1-MOD(INT(($CJ19+BG199)/{2,4,8,16,32,64,128,256,512,1024,2048,4096,8192,16384,32768}),2))*{2,4,8,16,32,64,128,256,512,1024,2048,4096,8192,16384,32768})=0,0,2^SUMPRODUCT(--(MOD(SUMPRODUCT(MOD(INT(BH154/{2,4,8,16,32,64,128,256,512,1024,2048,4096,8192,16384,32768}),2)*(1-MOD(INT(($CJ19+BG199)/{2,4,8,16,32,64,128,256,512,1024,2048,4096,8192,16384,32768}),2))*{2,4,8,16,32,64,128,256,512,1024,2048,4096,8192,16384,32768}),{2,4,8,16,32,64,128,256,512,1024,2048,4096,8192,16384,32768})=0))))</f>
        <v/>
      </c>
      <c r="BI199">
        <f>BH199+IF(AND(BI109&gt;0,COUNTIF($Y109:BH109,BI109)=0),0,IF(SUMPRODUCT(MOD(INT(BI154/{2,4,8,16,32,64,128,256,512,1024,2048,4096,8192,16384,32768}),2)*(1-MOD(INT(($CJ19+BH199)/{2,4,8,16,32,64,128,256,512,1024,2048,4096,8192,16384,32768}),2))*{2,4,8,16,32,64,128,256,512,1024,2048,4096,8192,16384,32768})=0,0,2^SUMPRODUCT(--(MOD(SUMPRODUCT(MOD(INT(BI154/{2,4,8,16,32,64,128,256,512,1024,2048,4096,8192,16384,32768}),2)*(1-MOD(INT(($CJ19+BH199)/{2,4,8,16,32,64,128,256,512,1024,2048,4096,8192,16384,32768}),2))*{2,4,8,16,32,64,128,256,512,1024,2048,4096,8192,16384,32768}),{2,4,8,16,32,64,128,256,512,1024,2048,4096,8192,16384,32768})=0))))</f>
        <v/>
      </c>
      <c r="BJ199">
        <f>BI199+IF(AND(BJ109&gt;0,COUNTIF($Y109:BI109,BJ109)=0),0,IF(SUMPRODUCT(MOD(INT(BJ154/{2,4,8,16,32,64,128,256,512,1024,2048,4096,8192,16384,32768}),2)*(1-MOD(INT(($CJ19+BI199)/{2,4,8,16,32,64,128,256,512,1024,2048,4096,8192,16384,32768}),2))*{2,4,8,16,32,64,128,256,512,1024,2048,4096,8192,16384,32768})=0,0,2^SUMPRODUCT(--(MOD(SUMPRODUCT(MOD(INT(BJ154/{2,4,8,16,32,64,128,256,512,1024,2048,4096,8192,16384,32768}),2)*(1-MOD(INT(($CJ19+BI199)/{2,4,8,16,32,64,128,256,512,1024,2048,4096,8192,16384,32768}),2))*{2,4,8,16,32,64,128,256,512,1024,2048,4096,8192,16384,32768}),{2,4,8,16,32,64,128,256,512,1024,2048,4096,8192,16384,32768})=0))))</f>
        <v/>
      </c>
      <c r="BK199">
        <f>BJ199+IF(AND(BK109&gt;0,COUNTIF($Y109:BJ109,BK109)=0),0,IF(SUMPRODUCT(MOD(INT(BK154/{2,4,8,16,32,64,128,256,512,1024,2048,4096,8192,16384,32768}),2)*(1-MOD(INT(($CJ19+BJ199)/{2,4,8,16,32,64,128,256,512,1024,2048,4096,8192,16384,32768}),2))*{2,4,8,16,32,64,128,256,512,1024,2048,4096,8192,16384,32768})=0,0,2^SUMPRODUCT(--(MOD(SUMPRODUCT(MOD(INT(BK154/{2,4,8,16,32,64,128,256,512,1024,2048,4096,8192,16384,32768}),2)*(1-MOD(INT(($CJ19+BJ199)/{2,4,8,16,32,64,128,256,512,1024,2048,4096,8192,16384,32768}),2))*{2,4,8,16,32,64,128,256,512,1024,2048,4096,8192,16384,32768}),{2,4,8,16,32,64,128,256,512,1024,2048,4096,8192,16384,32768})=0))))</f>
        <v/>
      </c>
      <c r="BL199">
        <f>BK199+IF(AND(BL109&gt;0,COUNTIF($Y109:BK109,BL109)=0),0,IF(SUMPRODUCT(MOD(INT(BL154/{2,4,8,16,32,64,128,256,512,1024,2048,4096,8192,16384,32768}),2)*(1-MOD(INT(($CJ19+BK199)/{2,4,8,16,32,64,128,256,512,1024,2048,4096,8192,16384,32768}),2))*{2,4,8,16,32,64,128,256,512,1024,2048,4096,8192,16384,32768})=0,0,2^SUMPRODUCT(--(MOD(SUMPRODUCT(MOD(INT(BL154/{2,4,8,16,32,64,128,256,512,1024,2048,4096,8192,16384,32768}),2)*(1-MOD(INT(($CJ19+BK199)/{2,4,8,16,32,64,128,256,512,1024,2048,4096,8192,16384,32768}),2))*{2,4,8,16,32,64,128,256,512,1024,2048,4096,8192,16384,32768}),{2,4,8,16,32,64,128,256,512,1024,2048,4096,8192,16384,32768})=0))))</f>
        <v/>
      </c>
      <c r="BM199">
        <f>BL199+IF(AND(BM109&gt;0,COUNTIF($Y109:BL109,BM109)=0),0,IF(SUMPRODUCT(MOD(INT(BM154/{2,4,8,16,32,64,128,256,512,1024,2048,4096,8192,16384,32768}),2)*(1-MOD(INT(($CJ19+BL199)/{2,4,8,16,32,64,128,256,512,1024,2048,4096,8192,16384,32768}),2))*{2,4,8,16,32,64,128,256,512,1024,2048,4096,8192,16384,32768})=0,0,2^SUMPRODUCT(--(MOD(SUMPRODUCT(MOD(INT(BM154/{2,4,8,16,32,64,128,256,512,1024,2048,4096,8192,16384,32768}),2)*(1-MOD(INT(($CJ19+BL199)/{2,4,8,16,32,64,128,256,512,1024,2048,4096,8192,16384,32768}),2))*{2,4,8,16,32,64,128,256,512,1024,2048,4096,8192,16384,32768}),{2,4,8,16,32,64,128,256,512,1024,2048,4096,8192,16384,32768})=0))))</f>
        <v/>
      </c>
      <c r="BN199">
        <f>BM199+IF(AND(BN109&gt;0,COUNTIF($Y109:BM109,BN109)=0),0,IF(SUMPRODUCT(MOD(INT(BN154/{2,4,8,16,32,64,128,256,512,1024,2048,4096,8192,16384,32768}),2)*(1-MOD(INT(($CJ19+BM199)/{2,4,8,16,32,64,128,256,512,1024,2048,4096,8192,16384,32768}),2))*{2,4,8,16,32,64,128,256,512,1024,2048,4096,8192,16384,32768})=0,0,2^SUMPRODUCT(--(MOD(SUMPRODUCT(MOD(INT(BN154/{2,4,8,16,32,64,128,256,512,1024,2048,4096,8192,16384,32768}),2)*(1-MOD(INT(($CJ19+BM199)/{2,4,8,16,32,64,128,256,512,1024,2048,4096,8192,16384,32768}),2))*{2,4,8,16,32,64,128,256,512,1024,2048,4096,8192,16384,32768}),{2,4,8,16,32,64,128,256,512,1024,2048,4096,8192,16384,32768})=0))))</f>
        <v/>
      </c>
      <c r="BO199">
        <f>BN199+IF(AND(BO109&gt;0,COUNTIF($Y109:BN109,BO109)=0),0,IF(SUMPRODUCT(MOD(INT(BO154/{2,4,8,16,32,64,128,256,512,1024,2048,4096,8192,16384,32768}),2)*(1-MOD(INT(($CJ19+BN199)/{2,4,8,16,32,64,128,256,512,1024,2048,4096,8192,16384,32768}),2))*{2,4,8,16,32,64,128,256,512,1024,2048,4096,8192,16384,32768})=0,0,2^SUMPRODUCT(--(MOD(SUMPRODUCT(MOD(INT(BO154/{2,4,8,16,32,64,128,256,512,1024,2048,4096,8192,16384,32768}),2)*(1-MOD(INT(($CJ19+BN199)/{2,4,8,16,32,64,128,256,512,1024,2048,4096,8192,16384,32768}),2))*{2,4,8,16,32,64,128,256,512,1024,2048,4096,8192,16384,32768}),{2,4,8,16,32,64,128,256,512,1024,2048,4096,8192,16384,32768})=0))))</f>
        <v/>
      </c>
      <c r="BP199">
        <f>BO199+IF(AND(BP109&gt;0,COUNTIF($Y109:BO109,BP109)=0),0,IF(SUMPRODUCT(MOD(INT(BP154/{2,4,8,16,32,64,128,256,512,1024,2048,4096,8192,16384,32768}),2)*(1-MOD(INT(($CJ19+BO199)/{2,4,8,16,32,64,128,256,512,1024,2048,4096,8192,16384,32768}),2))*{2,4,8,16,32,64,128,256,512,1024,2048,4096,8192,16384,32768})=0,0,2^SUMPRODUCT(--(MOD(SUMPRODUCT(MOD(INT(BP154/{2,4,8,16,32,64,128,256,512,1024,2048,4096,8192,16384,32768}),2)*(1-MOD(INT(($CJ19+BO199)/{2,4,8,16,32,64,128,256,512,1024,2048,4096,8192,16384,32768}),2))*{2,4,8,16,32,64,128,256,512,1024,2048,4096,8192,16384,32768}),{2,4,8,16,32,64,128,256,512,1024,2048,4096,8192,16384,32768})=0))))</f>
        <v/>
      </c>
      <c r="BQ199">
        <f>BP199+IF(AND(BQ109&gt;0,COUNTIF($Y109:BP109,BQ109)=0),0,IF(SUMPRODUCT(MOD(INT(BQ154/{2,4,8,16,32,64,128,256,512,1024,2048,4096,8192,16384,32768}),2)*(1-MOD(INT(($CJ19+BP199)/{2,4,8,16,32,64,128,256,512,1024,2048,4096,8192,16384,32768}),2))*{2,4,8,16,32,64,128,256,512,1024,2048,4096,8192,16384,32768})=0,0,2^SUMPRODUCT(--(MOD(SUMPRODUCT(MOD(INT(BQ154/{2,4,8,16,32,64,128,256,512,1024,2048,4096,8192,16384,32768}),2)*(1-MOD(INT(($CJ19+BP199)/{2,4,8,16,32,64,128,256,512,1024,2048,4096,8192,16384,32768}),2))*{2,4,8,16,32,64,128,256,512,1024,2048,4096,8192,16384,32768}),{2,4,8,16,32,64,128,256,512,1024,2048,4096,8192,16384,32768})=0))))</f>
        <v/>
      </c>
      <c r="BR199">
        <f>BQ199+IF(AND(BR109&gt;0,COUNTIF($Y109:BQ109,BR109)=0),0,IF(SUMPRODUCT(MOD(INT(BR154/{2,4,8,16,32,64,128,256,512,1024,2048,4096,8192,16384,32768}),2)*(1-MOD(INT(($CJ19+BQ199)/{2,4,8,16,32,64,128,256,512,1024,2048,4096,8192,16384,32768}),2))*{2,4,8,16,32,64,128,256,512,1024,2048,4096,8192,16384,32768})=0,0,2^SUMPRODUCT(--(MOD(SUMPRODUCT(MOD(INT(BR154/{2,4,8,16,32,64,128,256,512,1024,2048,4096,8192,16384,32768}),2)*(1-MOD(INT(($CJ19+BQ199)/{2,4,8,16,32,64,128,256,512,1024,2048,4096,8192,16384,32768}),2))*{2,4,8,16,32,64,128,256,512,1024,2048,4096,8192,16384,32768}),{2,4,8,16,32,64,128,256,512,1024,2048,4096,8192,16384,32768})=0))))</f>
        <v/>
      </c>
      <c r="BS199">
        <f>BR199+IF(AND(BS109&gt;0,COUNTIF($Y109:BR109,BS109)=0),0,IF(SUMPRODUCT(MOD(INT(BS154/{2,4,8,16,32,64,128,256,512,1024,2048,4096,8192,16384,32768}),2)*(1-MOD(INT(($CJ19+BR199)/{2,4,8,16,32,64,128,256,512,1024,2048,4096,8192,16384,32768}),2))*{2,4,8,16,32,64,128,256,512,1024,2048,4096,8192,16384,32768})=0,0,2^SUMPRODUCT(--(MOD(SUMPRODUCT(MOD(INT(BS154/{2,4,8,16,32,64,128,256,512,1024,2048,4096,8192,16384,32768}),2)*(1-MOD(INT(($CJ19+BR199)/{2,4,8,16,32,64,128,256,512,1024,2048,4096,8192,16384,32768}),2))*{2,4,8,16,32,64,128,256,512,1024,2048,4096,8192,16384,32768}),{2,4,8,16,32,64,128,256,512,1024,2048,4096,8192,16384,32768})=0))))</f>
        <v/>
      </c>
      <c r="BT199">
        <f>BS199+IF(AND(BT109&gt;0,COUNTIF($Y109:BS109,BT109)=0),0,IF(SUMPRODUCT(MOD(INT(BT154/{2,4,8,16,32,64,128,256,512,1024,2048,4096,8192,16384,32768}),2)*(1-MOD(INT(($CJ19+BS199)/{2,4,8,16,32,64,128,256,512,1024,2048,4096,8192,16384,32768}),2))*{2,4,8,16,32,64,128,256,512,1024,2048,4096,8192,16384,32768})=0,0,2^SUMPRODUCT(--(MOD(SUMPRODUCT(MOD(INT(BT154/{2,4,8,16,32,64,128,256,512,1024,2048,4096,8192,16384,32768}),2)*(1-MOD(INT(($CJ19+BS199)/{2,4,8,16,32,64,128,256,512,1024,2048,4096,8192,16384,32768}),2))*{2,4,8,16,32,64,128,256,512,1024,2048,4096,8192,16384,32768}),{2,4,8,16,32,64,128,256,512,1024,2048,4096,8192,16384,32768})=0))))</f>
        <v/>
      </c>
      <c r="BU199">
        <f>BT199+IF(AND(BU109&gt;0,COUNTIF($Y109:BT109,BU109)=0),0,IF(SUMPRODUCT(MOD(INT(BU154/{2,4,8,16,32,64,128,256,512,1024,2048,4096,8192,16384,32768}),2)*(1-MOD(INT(($CJ19+BT199)/{2,4,8,16,32,64,128,256,512,1024,2048,4096,8192,16384,32768}),2))*{2,4,8,16,32,64,128,256,512,1024,2048,4096,8192,16384,32768})=0,0,2^SUMPRODUCT(--(MOD(SUMPRODUCT(MOD(INT(BU154/{2,4,8,16,32,64,128,256,512,1024,2048,4096,8192,16384,32768}),2)*(1-MOD(INT(($CJ19+BT199)/{2,4,8,16,32,64,128,256,512,1024,2048,4096,8192,16384,32768}),2))*{2,4,8,16,32,64,128,256,512,1024,2048,4096,8192,16384,32768}),{2,4,8,16,32,64,128,256,512,1024,2048,4096,8192,16384,32768})=0))))</f>
        <v/>
      </c>
      <c r="BV199">
        <f>BU199+IF(AND(BV109&gt;0,COUNTIF($Y109:BU109,BV109)=0),0,IF(SUMPRODUCT(MOD(INT(BV154/{2,4,8,16,32,64,128,256,512,1024,2048,4096,8192,16384,32768}),2)*(1-MOD(INT(($CJ19+BU199)/{2,4,8,16,32,64,128,256,512,1024,2048,4096,8192,16384,32768}),2))*{2,4,8,16,32,64,128,256,512,1024,2048,4096,8192,16384,32768})=0,0,2^SUMPRODUCT(--(MOD(SUMPRODUCT(MOD(INT(BV154/{2,4,8,16,32,64,128,256,512,1024,2048,4096,8192,16384,32768}),2)*(1-MOD(INT(($CJ19+BU199)/{2,4,8,16,32,64,128,256,512,1024,2048,4096,8192,16384,32768}),2))*{2,4,8,16,32,64,128,256,512,1024,2048,4096,8192,16384,32768}),{2,4,8,16,32,64,128,256,512,1024,2048,4096,8192,16384,32768})=0))))</f>
        <v/>
      </c>
      <c r="BW199">
        <f>BV199+IF(AND(BW109&gt;0,COUNTIF($Y109:BV109,BW109)=0),0,IF(SUMPRODUCT(MOD(INT(BW154/{2,4,8,16,32,64,128,256,512,1024,2048,4096,8192,16384,32768}),2)*(1-MOD(INT(($CJ19+BV199)/{2,4,8,16,32,64,128,256,512,1024,2048,4096,8192,16384,32768}),2))*{2,4,8,16,32,64,128,256,512,1024,2048,4096,8192,16384,32768})=0,0,2^SUMPRODUCT(--(MOD(SUMPRODUCT(MOD(INT(BW154/{2,4,8,16,32,64,128,256,512,1024,2048,4096,8192,16384,32768}),2)*(1-MOD(INT(($CJ19+BV199)/{2,4,8,16,32,64,128,256,512,1024,2048,4096,8192,16384,32768}),2))*{2,4,8,16,32,64,128,256,512,1024,2048,4096,8192,16384,32768}),{2,4,8,16,32,64,128,256,512,1024,2048,4096,8192,16384,32768})=0))))</f>
        <v/>
      </c>
      <c r="BX199">
        <f>BW199+IF(AND(BX109&gt;0,COUNTIF($Y109:BW109,BX109)=0),0,IF(SUMPRODUCT(MOD(INT(BX154/{2,4,8,16,32,64,128,256,512,1024,2048,4096,8192,16384,32768}),2)*(1-MOD(INT(($CJ19+BW199)/{2,4,8,16,32,64,128,256,512,1024,2048,4096,8192,16384,32768}),2))*{2,4,8,16,32,64,128,256,512,1024,2048,4096,8192,16384,32768})=0,0,2^SUMPRODUCT(--(MOD(SUMPRODUCT(MOD(INT(BX154/{2,4,8,16,32,64,128,256,512,1024,2048,4096,8192,16384,32768}),2)*(1-MOD(INT(($CJ19+BW199)/{2,4,8,16,32,64,128,256,512,1024,2048,4096,8192,16384,32768}),2))*{2,4,8,16,32,64,128,256,512,1024,2048,4096,8192,16384,32768}),{2,4,8,16,32,64,128,256,512,1024,2048,4096,8192,16384,32768})=0))))</f>
        <v/>
      </c>
      <c r="BY199">
        <f>BX199+IF(AND(BY109&gt;0,COUNTIF($Y109:BX109,BY109)=0),0,IF(SUMPRODUCT(MOD(INT(BY154/{2,4,8,16,32,64,128,256,512,1024,2048,4096,8192,16384,32768}),2)*(1-MOD(INT(($CJ19+BX199)/{2,4,8,16,32,64,128,256,512,1024,2048,4096,8192,16384,32768}),2))*{2,4,8,16,32,64,128,256,512,1024,2048,4096,8192,16384,32768})=0,0,2^SUMPRODUCT(--(MOD(SUMPRODUCT(MOD(INT(BY154/{2,4,8,16,32,64,128,256,512,1024,2048,4096,8192,16384,32768}),2)*(1-MOD(INT(($CJ19+BX199)/{2,4,8,16,32,64,128,256,512,1024,2048,4096,8192,16384,32768}),2))*{2,4,8,16,32,64,128,256,512,1024,2048,4096,8192,16384,32768}),{2,4,8,16,32,64,128,256,512,1024,2048,4096,8192,16384,32768})=0))))</f>
        <v/>
      </c>
      <c r="BZ199">
        <f>BY199+IF(AND(BZ109&gt;0,COUNTIF($Y109:BY109,BZ109)=0),0,IF(SUMPRODUCT(MOD(INT(BZ154/{2,4,8,16,32,64,128,256,512,1024,2048,4096,8192,16384,32768}),2)*(1-MOD(INT(($CJ19+BY199)/{2,4,8,16,32,64,128,256,512,1024,2048,4096,8192,16384,32768}),2))*{2,4,8,16,32,64,128,256,512,1024,2048,4096,8192,16384,32768})=0,0,2^SUMPRODUCT(--(MOD(SUMPRODUCT(MOD(INT(BZ154/{2,4,8,16,32,64,128,256,512,1024,2048,4096,8192,16384,32768}),2)*(1-MOD(INT(($CJ19+BY199)/{2,4,8,16,32,64,128,256,512,1024,2048,4096,8192,16384,32768}),2))*{2,4,8,16,32,64,128,256,512,1024,2048,4096,8192,16384,32768}),{2,4,8,16,32,64,128,256,512,1024,2048,4096,8192,16384,32768})=0))))</f>
        <v/>
      </c>
      <c r="CA199">
        <f>BZ199+IF(AND(CA109&gt;0,COUNTIF($Y109:BZ109,CA109)=0),0,IF(SUMPRODUCT(MOD(INT(CA154/{2,4,8,16,32,64,128,256,512,1024,2048,4096,8192,16384,32768}),2)*(1-MOD(INT(($CJ19+BZ199)/{2,4,8,16,32,64,128,256,512,1024,2048,4096,8192,16384,32768}),2))*{2,4,8,16,32,64,128,256,512,1024,2048,4096,8192,16384,32768})=0,0,2^SUMPRODUCT(--(MOD(SUMPRODUCT(MOD(INT(CA154/{2,4,8,16,32,64,128,256,512,1024,2048,4096,8192,16384,32768}),2)*(1-MOD(INT(($CJ19+BZ199)/{2,4,8,16,32,64,128,256,512,1024,2048,4096,8192,16384,32768}),2))*{2,4,8,16,32,64,128,256,512,1024,2048,4096,8192,16384,32768}),{2,4,8,16,32,64,128,256,512,1024,2048,4096,8192,16384,32768})=0))))</f>
        <v/>
      </c>
      <c r="CB199">
        <f>CA199+IF(AND(CB109&gt;0,COUNTIF($Y109:CA109,CB109)=0),0,IF(SUMPRODUCT(MOD(INT(CB154/{2,4,8,16,32,64,128,256,512,1024,2048,4096,8192,16384,32768}),2)*(1-MOD(INT(($CJ19+CA199)/{2,4,8,16,32,64,128,256,512,1024,2048,4096,8192,16384,32768}),2))*{2,4,8,16,32,64,128,256,512,1024,2048,4096,8192,16384,32768})=0,0,2^SUMPRODUCT(--(MOD(SUMPRODUCT(MOD(INT(CB154/{2,4,8,16,32,64,128,256,512,1024,2048,4096,8192,16384,32768}),2)*(1-MOD(INT(($CJ19+CA199)/{2,4,8,16,32,64,128,256,512,1024,2048,4096,8192,16384,32768}),2))*{2,4,8,16,32,64,128,256,512,1024,2048,4096,8192,16384,32768}),{2,4,8,16,32,64,128,256,512,1024,2048,4096,8192,16384,32768})=0))))</f>
        <v/>
      </c>
      <c r="CC199">
        <f>CB199+IF(AND(CC109&gt;0,COUNTIF($Y109:CB109,CC109)=0),0,IF(SUMPRODUCT(MOD(INT(CC154/{2,4,8,16,32,64,128,256,512,1024,2048,4096,8192,16384,32768}),2)*(1-MOD(INT(($CJ19+CB199)/{2,4,8,16,32,64,128,256,512,1024,2048,4096,8192,16384,32768}),2))*{2,4,8,16,32,64,128,256,512,1024,2048,4096,8192,16384,32768})=0,0,2^SUMPRODUCT(--(MOD(SUMPRODUCT(MOD(INT(CC154/{2,4,8,16,32,64,128,256,512,1024,2048,4096,8192,16384,32768}),2)*(1-MOD(INT(($CJ19+CB199)/{2,4,8,16,32,64,128,256,512,1024,2048,4096,8192,16384,32768}),2))*{2,4,8,16,32,64,128,256,512,1024,2048,4096,8192,16384,32768}),{2,4,8,16,32,64,128,256,512,1024,2048,4096,8192,16384,32768})=0))))</f>
        <v/>
      </c>
      <c r="CD199">
        <f>CC199+IF(AND(CD109&gt;0,COUNTIF($Y109:CC109,CD109)=0),0,IF(SUMPRODUCT(MOD(INT(CD154/{2,4,8,16,32,64,128,256,512,1024,2048,4096,8192,16384,32768}),2)*(1-MOD(INT(($CJ19+CC199)/{2,4,8,16,32,64,128,256,512,1024,2048,4096,8192,16384,32768}),2))*{2,4,8,16,32,64,128,256,512,1024,2048,4096,8192,16384,32768})=0,0,2^SUMPRODUCT(--(MOD(SUMPRODUCT(MOD(INT(CD154/{2,4,8,16,32,64,128,256,512,1024,2048,4096,8192,16384,32768}),2)*(1-MOD(INT(($CJ19+CC199)/{2,4,8,16,32,64,128,256,512,1024,2048,4096,8192,16384,32768}),2))*{2,4,8,16,32,64,128,256,512,1024,2048,4096,8192,16384,32768}),{2,4,8,16,32,64,128,256,512,1024,2048,4096,8192,16384,32768})=0))))</f>
        <v/>
      </c>
      <c r="CE199">
        <f>CD199+IF(AND(CE109&gt;0,COUNTIF($Y109:CD109,CE109)=0),0,IF(SUMPRODUCT(MOD(INT(CE154/{2,4,8,16,32,64,128,256,512,1024,2048,4096,8192,16384,32768}),2)*(1-MOD(INT(($CJ19+CD199)/{2,4,8,16,32,64,128,256,512,1024,2048,4096,8192,16384,32768}),2))*{2,4,8,16,32,64,128,256,512,1024,2048,4096,8192,16384,32768})=0,0,2^SUMPRODUCT(--(MOD(SUMPRODUCT(MOD(INT(CE154/{2,4,8,16,32,64,128,256,512,1024,2048,4096,8192,16384,32768}),2)*(1-MOD(INT(($CJ19+CD199)/{2,4,8,16,32,64,128,256,512,1024,2048,4096,8192,16384,32768}),2))*{2,4,8,16,32,64,128,256,512,1024,2048,4096,8192,16384,32768}),{2,4,8,16,32,64,128,256,512,1024,2048,4096,8192,16384,32768})=0))))</f>
        <v/>
      </c>
      <c r="CF199">
        <f>CE199+IF(AND(CF109&gt;0,COUNTIF($Y109:CE109,CF109)=0),0,IF(SUMPRODUCT(MOD(INT(CF154/{2,4,8,16,32,64,128,256,512,1024,2048,4096,8192,16384,32768}),2)*(1-MOD(INT(($CJ19+CE199)/{2,4,8,16,32,64,128,256,512,1024,2048,4096,8192,16384,32768}),2))*{2,4,8,16,32,64,128,256,512,1024,2048,4096,8192,16384,32768})=0,0,2^SUMPRODUCT(--(MOD(SUMPRODUCT(MOD(INT(CF154/{2,4,8,16,32,64,128,256,512,1024,2048,4096,8192,16384,32768}),2)*(1-MOD(INT(($CJ19+CE199)/{2,4,8,16,32,64,128,256,512,1024,2048,4096,8192,16384,32768}),2))*{2,4,8,16,32,64,128,256,512,1024,2048,4096,8192,16384,32768}),{2,4,8,16,32,64,128,256,512,1024,2048,4096,8192,16384,32768})=0))))</f>
        <v/>
      </c>
      <c r="DA199" t="n">
        <v>195</v>
      </c>
      <c r="DB199">
        <f>IF($B$37=0,"",IFERROR(TRIM(SUBSTITUTE(SUBSTITUTE(SUBSTITUTE(SUBSTITUTE(INDEX(PASTE_ALL,195,$B$37)," "," "),CHAR(9)," "),CHAR(10)," "),CHAR(13)," ")),""))</f>
        <v/>
      </c>
      <c r="DC199">
        <f>IF(AND(195&gt;HEADER_ROW,UPPER(DB199)="LEGEND"),1,0)</f>
        <v/>
      </c>
      <c r="DE199" t="n">
        <v>195</v>
      </c>
      <c r="DF199">
        <f>HEADER_ROW+$DE199</f>
        <v/>
      </c>
      <c r="DG199">
        <f>IF(AND($DF199&lt;=1000,$DF199&lt;$B$8),1,0)</f>
        <v/>
      </c>
      <c r="DH199">
        <f>IF($DG199=1,IFERROR(INDEX($DB$5:$DB$1004,$DF199),""),"")</f>
        <v/>
      </c>
      <c r="DI199">
        <f>IF(AND($DG199=1,$DH199&lt;&gt;""),IFERROR(SUBSTITUTE(SUBSTITUTE(TRIM(SUBSTITUTE(SUBSTITUTE(SUBSTITUTE(SUBSTITUTE(IFERROR(INDEX(PASTE_ALL,$DF199,1)&amp;"","")&amp;"␟"&amp;IFERROR(INDEX(PASTE_ALL,$DF199,2)&amp;"","")&amp;"␟"&amp;IFERROR(INDEX(PASTE_ALL,$DF199,3)&amp;"","")&amp;"␟"&amp;IFERROR(INDEX(PASTE_ALL,$DF199,4)&amp;"","")&amp;"␟"&amp;IFERROR(INDEX(PASTE_ALL,$DF199,5)&amp;"","")&amp;"␟"&amp;IFERROR(INDEX(PASTE_ALL,$DF199,6)&amp;"","")&amp;"␟"&amp;IFERROR(INDEX(PASTE_ALL,$DF199,7)&amp;"","")&amp;"␟"&amp;IFERROR(INDEX(PASTE_ALL,$DF199,8)&amp;"","")&amp;"␟"&amp;IFERROR(INDEX(PASTE_ALL,$DF199,9)&amp;"","")&amp;"␟"&amp;IFERROR(INDEX(PASTE_ALL,$DF199,10)&amp;"","")&amp;"␟"&amp;IFERROR(INDEX(PASTE_ALL,$DF199,11)&amp;"","")&amp;"␟"&amp;IFERROR(INDEX(PASTE_ALL,$DF199,12)&amp;"","")&amp;"␟"&amp;IFERROR(INDEX(PASTE_ALL,$DF199,13)&amp;"","")&amp;"␟"&amp;IFERROR(INDEX(PASTE_ALL,$DF199,14)&amp;"","")&amp;"␟"&amp;IFERROR(INDEX(PASTE_ALL,$DF199,15)&amp;"","")&amp;"␟"&amp;IFERROR(INDEX(PASTE_ALL,$DF199,16)&amp;"","")&amp;"␟"&amp;IFERROR(INDEX(PASTE_ALL,$DF199,17)&amp;"","")&amp;"␟"&amp;IFERROR(INDEX(PASTE_ALL,$DF199,18)&amp;"","")&amp;"␟"&amp;IFERROR(INDEX(PASTE_ALL,$DF199,19)&amp;"","")&amp;"␟"&amp;IFERROR(INDEX(PASTE_ALL,$DF199,20)&amp;"","")&amp;"␟"&amp;IFERROR(INDEX(PASTE_ALL,$DF199,21)&amp;"","")&amp;"␟"&amp;IFERROR(INDEX(PASTE_ALL,$DF199,22)&amp;"","")&amp;"␟"&amp;IFERROR(INDEX(PASTE_ALL,$DF199,23)&amp;"","")&amp;"␟"&amp;IFERROR(INDEX(PASTE_ALL,$DF199,24)&amp;"","")&amp;"␟"&amp;IFERROR(INDEX(PASTE_ALL,$DF199,25)&amp;"","")&amp;"␟"&amp;IFERROR(INDEX(PASTE_ALL,$DF199,26)&amp;"","")&amp;"␟"&amp;IFERROR(INDEX(PASTE_ALL,$DF199,27)&amp;"","")&amp;"␟"&amp;IFERROR(INDEX(PASTE_ALL,$DF199,28)&amp;"","")&amp;"␟"&amp;IFERROR(INDEX(PASTE_ALL,$DF199,29)&amp;"","")&amp;"␟"&amp;IFERROR(INDEX(PASTE_ALL,$DF199,30)&amp;"","")&amp;"␟"&amp;IFERROR(INDEX(PASTE_ALL,$DF199,31)&amp;"","")&amp;"␟"&amp;IFERROR(INDEX(PASTE_ALL,$DF199,32)&amp;"","")&amp;"␟"&amp;IFERROR(INDEX(PASTE_ALL,$DF199,33)&amp;"","")&amp;"␟"&amp;IFERROR(INDEX(PASTE_ALL,$DF199,34)&amp;"","")&amp;"␟"&amp;IFERROR(INDEX(PASTE_ALL,$DF199,35)&amp;"","")&amp;"␟"&amp;IFERROR(INDEX(PASTE_ALL,$DF199,36)&amp;"","")&amp;"␟"&amp;IFERROR(INDEX(PASTE_ALL,$DF199,37)&amp;"","")&amp;"␟"&amp;IFERROR(INDEX(PASTE_ALL,$DF199,38)&amp;"","")&amp;"␟"&amp;IFERROR(INDEX(PASTE_ALL,$DF199,39)&amp;"","")&amp;"␟"&amp;IFERROR(INDEX(PASTE_ALL,$DF199,40)&amp;"","")&amp;"␟"&amp;IFERROR(INDEX(PASTE_ALL,$DF199,41)&amp;"","")&amp;"␟"&amp;IFERROR(INDEX(PASTE_ALL,$DF199,42)&amp;"","")&amp;"␟"&amp;IFERROR(INDEX(PASTE_ALL,$DF199,43)&amp;"","")&amp;"␟"&amp;IFERROR(INDEX(PASTE_ALL,$DF199,44)&amp;"","")&amp;"␟"&amp;IFERROR(INDEX(PASTE_ALL,$DF199,45)&amp;"","")&amp;"␟"&amp;IFERROR(INDEX(PASTE_ALL,$DF199,46)&amp;"","")&amp;"␟"&amp;IFERROR(INDEX(PASTE_ALL,$DF199,47)&amp;"","")&amp;"␟"&amp;IFERROR(INDEX(PASTE_ALL,$DF199,48)&amp;"","")&amp;"␟"&amp;IFERROR(INDEX(PASTE_ALL,$DF199,49)&amp;"","")&amp;"␟"&amp;IFERROR(INDEX(PASTE_ALL,$DF199,50)&amp;"","")&amp;"␟"&amp;IFERROR(INDEX(PASTE_ALL,$DF199,51)&amp;"","")&amp;"␟"&amp;IFERROR(INDEX(PASTE_ALL,$DF199,52)&amp;"","")&amp;"␟"&amp;IFERROR(INDEX(PASTE_ALL,$DF199,53)&amp;"","")&amp;"␟"&amp;IFERROR(INDEX(PASTE_ALL,$DF199,54)&amp;"","")&amp;"␟"&amp;IFERROR(INDEX(PASTE_ALL,$DF199,55)&amp;"","")&amp;"␟"&amp;IFERROR(INDEX(PASTE_ALL,$DF199,56)&amp;"","")&amp;"␟"&amp;IFERROR(INDEX(PASTE_ALL,$DF199,57)&amp;"","")&amp;"␟"&amp;IFERROR(INDEX(PASTE_ALL,$DF199,58)&amp;"","")&amp;"␟"&amp;IFERROR(INDEX(PASTE_ALL,$DF199,59)&amp;"","")&amp;"␟"&amp;IFERROR(INDEX(PASTE_ALL,$DF199,60)&amp;"","")," "," "),CHAR(9)," "),CHAR(10)," "),CHAR(13)," "))," ␟","␟"),"␟ ","␟"),"#"&amp;$DE199),"")</f>
        <v/>
      </c>
      <c r="DJ199">
        <f>IF($DI199="",0,IF(SUMPRODUCT(--EXACT($DI$4:DI198,$DI199))&gt;0,1,0))</f>
        <v/>
      </c>
      <c r="DK199">
        <f>IF(AND($DI199&lt;&gt;"",$DJ199=0),1,0)</f>
        <v/>
      </c>
      <c r="DL199">
        <f>DL198+$DK199</f>
        <v/>
      </c>
      <c r="DM199">
        <f>IF(AND($DK199=1,$DL199&lt;=600),1,0)</f>
        <v/>
      </c>
      <c r="DN199">
        <f>IF($DM199=0,"",IF($L$6=0,"",IFERROR(IF(ISNUMBER(INDEX(PASTE_ALL,$DF199,$L$6)),INDEX(PASTE_ALL,$DF199,$L$6),TRIM(SUBSTITUTE(SUBSTITUTE(SUBSTITUTE(SUBSTITUTE(INDEX(PASTE_ALL,$DF199,$L$6)," "," "),CHAR(9)," "),CHAR(10)," "),CHAR(13)," "))),"")))</f>
        <v/>
      </c>
      <c r="DO199">
        <f>IF($DM199=0,"",IF($L$7=0,"",IFERROR(IF(ISNUMBER(INDEX(PASTE_ALL,$DF199,$L$7)),INDEX(PASTE_ALL,$DF199,$L$7),TRIM(SUBSTITUTE(SUBSTITUTE(SUBSTITUTE(SUBSTITUTE(INDEX(PASTE_ALL,$DF199,$L$7)," "," "),CHAR(9)," "),CHAR(10)," "),CHAR(13)," "))),"")))</f>
        <v/>
      </c>
      <c r="DP199">
        <f>IF($DM199=0,"",IF($L$8=0,"",IFERROR(IF(ISNUMBER(INDEX(PASTE_ALL,$DF199,$L$8)),INDEX(PASTE_ALL,$DF199,$L$8),TRIM(SUBSTITUTE(SUBSTITUTE(SUBSTITUTE(SUBSTITUTE(INDEX(PASTE_ALL,$DF199,$L$8)," "," "),CHAR(9)," "),CHAR(10)," "),CHAR(13)," "))),"")))</f>
        <v/>
      </c>
      <c r="DQ199">
        <f>IF($DM199=0,"",IF($L$9=0,"",IFERROR(IF(ISNUMBER(INDEX(PASTE_ALL,$DF199,$L$9)),INDEX(PASTE_ALL,$DF199,$L$9),TRIM(SUBSTITUTE(SUBSTITUTE(SUBSTITUTE(SUBSTITUTE(INDEX(PASTE_ALL,$DF199,$L$9)," "," "),CHAR(9)," "),CHAR(10)," "),CHAR(13)," "))),"")))</f>
        <v/>
      </c>
      <c r="DR199">
        <f>IF($DM199=0,"",IF($L$10=0,"",IFERROR(IF(ISNUMBER(INDEX(PASTE_ALL,$DF199,$L$10)),INDEX(PASTE_ALL,$DF199,$L$10),TRIM(SUBSTITUTE(SUBSTITUTE(SUBSTITUTE(SUBSTITUTE(INDEX(PASTE_ALL,$DF199,$L$10)," "," "),CHAR(9)," "),CHAR(10)," "),CHAR(13)," "))),"")))</f>
        <v/>
      </c>
      <c r="DS199">
        <f>IF($DM199=0,"",IF($L$11=0,"",IFERROR(IF(ISNUMBER(INDEX(PASTE_ALL,$DF199,$L$11)),INDEX(PASTE_ALL,$DF199,$L$11),TRIM(SUBSTITUTE(SUBSTITUTE(SUBSTITUTE(SUBSTITUTE(INDEX(PASTE_ALL,$DF199,$L$11)," "," "),CHAR(9)," "),CHAR(10)," "),CHAR(13)," "))),"")))</f>
        <v/>
      </c>
      <c r="DT199">
        <f>IF($DM199=0,"",IF($L$12=0,"",IFERROR(IF(ISNUMBER(INDEX(PASTE_ALL,$DF199,$L$12)),INDEX(PASTE_ALL,$DF199,$L$12),TRIM(SUBSTITUTE(SUBSTITUTE(SUBSTITUTE(SUBSTITUTE(INDEX(PASTE_ALL,$DF199,$L$12)," "," "),CHAR(9)," "),CHAR(10)," "),CHAR(13)," "))),"")))</f>
        <v/>
      </c>
      <c r="DU199">
        <f>IF($DM199=0,"",IF($L$13=0,"",IFERROR(IF(ISNUMBER(INDEX(PASTE_ALL,$DF199,$L$13)),INDEX(PASTE_ALL,$DF199,$L$13),TRIM(SUBSTITUTE(SUBSTITUTE(SUBSTITUTE(SUBSTITUTE(INDEX(PASTE_ALL,$DF199,$L$13)," "," "),CHAR(9)," "),CHAR(10)," "),CHAR(13)," "))),"")))</f>
        <v/>
      </c>
      <c r="DV199">
        <f>IF($DM199=0,"",IF($L$14=0,"",IFERROR(IF(ISNUMBER(INDEX(PASTE_ALL,$DF199,$L$14)),INDEX(PASTE_ALL,$DF199,$L$14),TRIM(SUBSTITUTE(SUBSTITUTE(SUBSTITUTE(SUBSTITUTE(INDEX(PASTE_ALL,$DF199,$L$14)," "," "),CHAR(9)," "),CHAR(10)," "),CHAR(13)," "))),"")))</f>
        <v/>
      </c>
      <c r="DW199">
        <f>IF($DM199=0,"",IF($L$15=0,"",IFERROR(IF(ISNUMBER(INDEX(PASTE_ALL,$DF199,$L$15)),INDEX(PASTE_ALL,$DF199,$L$15),IF(SUMPRODUCT(--ISNUMBER(FIND({"A","B","C","D","E","F","G","H","I","J","K","L","M","N","O","P","Q","R","S","T","U","V","W","X","Y","Z","0","1","2","3","4","5","6","7","8","9"},UPPER(TRIM(SUBSTITUTE(SUBSTITUTE(SUBSTITUTE(SUBSTITUTE(INDEX(PASTE_ALL,$DF199,$L$15)," "," "),CHAR(9)," "),CHAR(10)," "),CHAR(13)," "))))))&gt;0,TRIM(SUBSTITUTE(SUBSTITUTE(SUBSTITUTE(SUBSTITUTE(INDEX(PASTE_ALL,$DF199,$L$15)," "," "),CHAR(9)," "),CHAR(10)," "),CHAR(13)," ")),"")),"")))</f>
        <v/>
      </c>
      <c r="DX199">
        <f>IF($DM199=0,"",IF($L$16=0,"",IFERROR(IF(ISNUMBER(INDEX(PASTE_ALL,$DF199,$L$16)),INDEX(PASTE_ALL,$DF199,$L$16),SUBSTITUTE(SUBSTITUTE(TRIM(SUBSTITUTE(SUBSTITUTE(SUBSTITUTE(SUBSTITUTE(INDEX(PASTE_ALL,$DF199,$L$16)," "," "),CHAR(9)," "),CHAR(10)," "),CHAR(13)," ")),",",""),"%","")),"")))</f>
        <v/>
      </c>
      <c r="DY199">
        <f>IF($DM199=0,"",IFERROR(IF(ISNUMBER($DX199),$DX199,IF($DX199="","",IF(TRIM($DX199)="",0,IF(AND(AND(SUBSTITUTE(SUBSTITUTE(SUBSTITUTE(SUBSTITUTE(SUBSTITUTE(SUBSTITUTE(SUBSTITUTE(SUBSTITUTE(SUBSTITUTE(SUBSTITUTE(SUBSTITUTE(SUBSTITUTE(SUBSTITUTE(SUBSTITUTE(UPPER(TRIM($DX199)),"0",""),"1",""),"2",""),"3",""),"4",""),"5",""),"6",""),"7",""),"8",""),"9",""),".",""),"+",""),"-",""),"E","")="",LEN(SUBSTITUTE(SUBSTITUTE(MID(UPPER(TRIM($DX199)),1+OR(LEFT(UPPER(TRIM($DX199)),1)="+",LEFT(UPPER(TRIM($DX199)),1)="-"),999),"E+","E"),"E-","E"))=LEN(SUBSTITUTE(SUBSTITUTE(SUBSTITUTE(SUBSTITUTE(MID(UPPER(TRIM($DX199)),1+OR(LEFT(UPPER(TRIM($DX199)),1)="+",LEFT(UPPER(TRIM($DX199)),1)="-"),999),"E+","E"),"E-","E"),"+",""),"-","")),LEN(UPPER(TRIM($DX199)))-LEN(SUBSTITUTE(UPPER(TRIM($DX199)),"E",""))&lt;2,LEN(UPPER(TRIM($DX199)))-LEN(SUBSTITUTE(UPPER(TRIM($DX199)),".",""))&lt;2,IFERROR(FIND(".",UPPER(TRIM($DX199))),0)&lt;IFERROR(FIND("E",UPPER(TRIM($DX199))),999)),ISNUMBER(VALUE(TRIM($DX199)))),VALUE(TRIM($DX199)),"")))),""))</f>
        <v/>
      </c>
      <c r="DZ199">
        <f>IF($DM199=0,"",IF($L$17=0,"",IFERROR(IF(ISNUMBER(INDEX(PASTE_ALL,$DF199,$L$17)),INDEX(PASTE_ALL,$DF199,$L$17),SUBSTITUTE(SUBSTITUTE(TRIM(SUBSTITUTE(SUBSTITUTE(SUBSTITUTE(SUBSTITUTE(INDEX(PASTE_ALL,$DF199,$L$17)," "," "),CHAR(9)," "),CHAR(10)," "),CHAR(13)," ")),",",""),"%","")),"")))</f>
        <v/>
      </c>
      <c r="EA199">
        <f>IF($DM199=0,"",IFERROR(IF(ISNUMBER($DZ199),$DZ199,IF($DZ199="","",IF(TRIM($DZ199)="",0,IF(AND(AND(SUBSTITUTE(SUBSTITUTE(SUBSTITUTE(SUBSTITUTE(SUBSTITUTE(SUBSTITUTE(SUBSTITUTE(SUBSTITUTE(SUBSTITUTE(SUBSTITUTE(SUBSTITUTE(SUBSTITUTE(SUBSTITUTE(SUBSTITUTE(UPPER(TRIM($DZ199)),"0",""),"1",""),"2",""),"3",""),"4",""),"5",""),"6",""),"7",""),"8",""),"9",""),".",""),"+",""),"-",""),"E","")="",LEN(SUBSTITUTE(SUBSTITUTE(MID(UPPER(TRIM($DZ199)),1+OR(LEFT(UPPER(TRIM($DZ199)),1)="+",LEFT(UPPER(TRIM($DZ199)),1)="-"),999),"E+","E"),"E-","E"))=LEN(SUBSTITUTE(SUBSTITUTE(SUBSTITUTE(SUBSTITUTE(MID(UPPER(TRIM($DZ199)),1+OR(LEFT(UPPER(TRIM($DZ199)),1)="+",LEFT(UPPER(TRIM($DZ199)),1)="-"),999),"E+","E"),"E-","E"),"+",""),"-","")),LEN(UPPER(TRIM($DZ199)))-LEN(SUBSTITUTE(UPPER(TRIM($DZ199)),"E",""))&lt;2,LEN(UPPER(TRIM($DZ199)))-LEN(SUBSTITUTE(UPPER(TRIM($DZ199)),".",""))&lt;2,IFERROR(FIND(".",UPPER(TRIM($DZ199))),0)&lt;IFERROR(FIND("E",UPPER(TRIM($DZ199))),999)),ISNUMBER(VALUE(TRIM($DZ199)))),VALUE(TRIM($DZ199)),"")))),""))</f>
        <v/>
      </c>
      <c r="EB199">
        <f>IF($DM199=0,"",IF($L$18=0,"",IFERROR(IF(UPPER(TRIM(SUBSTITUTE(SUBSTITUTE(SUBSTITUTE(SUBSTITUTE(INDEX(PASTE_ALL,$DF199,$L$18)," "," "),CHAR(9)," "),CHAR(10)," "),CHAR(13)," ")))="READY","Ready",IF(UPPER(TRIM(SUBSTITUTE(SUBSTITUTE(SUBSTITUTE(SUBSTITUTE(INDEX(PASTE_ALL,$DF199,$L$18)," "," "),CHAR(9)," "),CHAR(10)," "),CHAR(13)," ")))="PM","PM",IF(OR(UPPER(TRIM(SUBSTITUTE(SUBSTITUTE(SUBSTITUTE(SUBSTITUTE(INDEX(PASTE_ALL,$DF199,$L$18)," "," "),CHAR(9)," "),CHAR(10)," "),CHAR(13)," ")))="OT",UPPER(TRIM(SUBSTITUTE(SUBSTITUTE(SUBSTITUTE(SUBSTITUTE(INDEX(PASTE_ALL,$DF199,$L$18)," "," "),CHAR(9)," "),CHAR(10)," "),CHAR(13)," ")))="OVERTIME",UPPER(TRIM(SUBSTITUTE(SUBSTITUTE(SUBSTITUTE(SUBSTITUTE(INDEX(PASTE_ALL,$DF199,$L$18)," "," "),CHAR(9)," "),CHAR(10)," "),CHAR(13)," ")))="TRIAL"),"OT",TRIM(SUBSTITUTE(SUBSTITUTE(SUBSTITUTE(SUBSTITUTE(INDEX(PASTE_ALL,$DF199,$L$18)," "," "),CHAR(9)," "),CHAR(10)," "),CHAR(13)," "))))),"")))</f>
        <v/>
      </c>
      <c r="EC199">
        <f>IF($DM199=0,"",IF($L$19=0,"",IFERROR(IF(ISNUMBER(INDEX(PASTE_ALL,$DF199,$L$19)),INDEX(PASTE_ALL,$DF199,$L$19),TRIM(SUBSTITUTE(SUBSTITUTE(SUBSTITUTE(SUBSTITUTE(INDEX(PASTE_ALL,$DF199,$L$19)," "," "),CHAR(9)," "),CHAR(10)," "),CHAR(13)," "))),"")))</f>
        <v/>
      </c>
      <c r="ED199">
        <f>IF($DM199=0,"",MATCH(1,INDEX(EXACT($DH$5:DH199,$DH199)*$DM$5:DM199,0),0))</f>
        <v/>
      </c>
      <c r="EE199">
        <f>IF($DM199=0,0,IF($ED199=$DE199,1,0))</f>
        <v/>
      </c>
      <c r="EF199">
        <f>EF198+$EE199</f>
        <v/>
      </c>
      <c r="EG199">
        <f>IF($DM199=0,"",INDEX($EF$5:$EF$1003,$ED199))</f>
        <v/>
      </c>
      <c r="EH199">
        <f>IF($DM199=0,"",IF($DO199&lt;&gt;"","",IFERROR(LOOKUP(2,1/(($EG$4:EG198=$EG199)*($DO$4:DO198&lt;&gt;"")),$DO$4:DO198),"")))</f>
        <v/>
      </c>
      <c r="EI199">
        <f>IF($DM199=0,"",IF($DO199&lt;&gt;"",$DO199,$EH199))</f>
        <v/>
      </c>
      <c r="EJ199">
        <f>IF($DM199=0,"",IF($EI199="",0,IF(OR(ISNUMBER($EI199),AND(AND(SUBSTITUTE(SUBSTITUTE(SUBSTITUTE(SUBSTITUTE(SUBSTITUTE(SUBSTITUTE(SUBSTITUTE(SUBSTITUTE(SUBSTITUTE(SUBSTITUTE(SUBSTITUTE(SUBSTITUTE(SUBSTITUTE(SUBSTITUTE(UPPER($EI199),"0",""),"1",""),"2",""),"3",""),"4",""),"5",""),"6",""),"7",""),"8",""),"9",""),".",""),"+",""),"-",""),"E","")="",LEN(SUBSTITUTE(SUBSTITUTE(MID(UPPER($EI199),1+OR(LEFT(UPPER($EI199),1)="+",LEFT(UPPER($EI199),1)="-"),999),"E+","E"),"E-","E"))=LEN(SUBSTITUTE(SUBSTITUTE(SUBSTITUTE(SUBSTITUTE(MID(UPPER($EI199),1+OR(LEFT(UPPER($EI199),1)="+",LEFT(UPPER($EI199),1)="-"),999),"E+","E"),"E-","E"),"+",""),"-","")),LEN(UPPER($EI199))-LEN(SUBSTITUTE(UPPER($EI199),"E",""))&lt;2,LEN(UPPER($EI199))-LEN(SUBSTITUTE(UPPER($EI199),".",""))&lt;2,IFERROR(FIND(".",UPPER($EI199)),0)&lt;IFERROR(FIND("E",UPPER($EI199)),999)),ISNUMBER(VALUE($EI199)))),1,2)))</f>
        <v/>
      </c>
      <c r="EK199">
        <f>IF($DM199=0,"",IF($EJ199=1,IF(ISNUMBER($EI199),$EI199,VALUE($EI199)),IF($EJ199=2,$DE199,0)))</f>
        <v/>
      </c>
      <c r="EL199">
        <f>IF($DM199=0,"",COUNTIF($EG$5:$EG$1003,"&lt;"&amp;$EG199)+SUMPRODUCT(($EG$5:$EG$1003=$EG199)*(($EJ$5:$EJ$1003&lt;$EJ199)+($EJ$5:$EJ$1003=$EJ199)*(($EK$5:$EK$1003&lt;$EK199)+($EK$5:$EK$1003=$EK199)*($DE$5:$DE$1003&lt;$DE199))))+1)</f>
        <v/>
      </c>
      <c r="EM199">
        <f>IF($DM199=0,"",$EL199+$EG199-1)</f>
        <v/>
      </c>
      <c r="EN199">
        <f>IF($DM199=0,0,IFERROR(MATCH(1,INDEX(--(TRIM(SUBSTITUTE(SUBSTITUTE(SUBSTITUTE(SUBSTITUTE(LINES_NAME&amp;""," "," "),CHAR(9)," "),CHAR(10)," "),CHAR(13)," "))=$DH199),0),0),0))</f>
        <v/>
      </c>
      <c r="EO199">
        <f>IF($EN199=0,0,IF(OR(UPPER(TRIM(INDEX(LINES_SCHEDULED,$EN199)&amp;""))="YES",UPPER(TRIM(INDEX(LINES_SCHEDULED,$EN199)&amp;""))="Y",UPPER(TRIM(INDEX(LINES_SCHEDULED,$EN199)&amp;""))="X"),1,0))</f>
        <v/>
      </c>
      <c r="EP199">
        <f>IF($DM199=0,"",IF(COUNTIFS($EG$5:$EG$1003,$EG199,$EB$5:$EB$1003,"Ready")&gt;0,"READY",IF(COUNTIFS($EG$5:$EG$1003,$EG199,$EB$5:$EB$1003,"PM")&gt;0,"PM",IF(COUNTIFS($EG$5:$EG$1003,$EG199,$EB$5:$EB$1003,"OT")&gt;0,"OT",""))))</f>
        <v/>
      </c>
      <c r="EQ199">
        <f>IF($EN199=0,"",UPPER(TRIM(INDEX(LINES_STATUS,$EN199)&amp;"")))</f>
        <v/>
      </c>
      <c r="ER199">
        <f>IF($DM199=0,"",IF(OR($EQ199="READY",$EQ199="PM",$EQ199="OT"),$EQ199,$EP199))</f>
        <v/>
      </c>
      <c r="ES199">
        <f>IF($DM199=0,"",IF(AND($DV199&lt;&gt;"",UPPER($DV199)&lt;&gt;"N"),"allergen",IF(ISNUMBER(SEARCH("oil",$DQ199)),"oil",IF(OR(EXACT($DS199,"A662"),EXACT($DS199,"A624")),"bulk",""))))</f>
        <v/>
      </c>
      <c r="ET199">
        <f>IF($DM199=0,"",IF(OR($EA199="",$EA199=0),"",$EA199/100))</f>
        <v/>
      </c>
      <c r="EU199">
        <f>IF(OR($ET199="",$DY199=""),"",INT($DY199*(1-$ET199)+0.5))</f>
        <v/>
      </c>
      <c r="EW199" t="n">
        <v>195</v>
      </c>
      <c r="EX199">
        <f>IFERROR(MATCH($EW199,$EM$5:$EM$1003,0),0)</f>
        <v/>
      </c>
      <c r="EY199">
        <f>IF($EW199&gt;$B$12,"",IF($EX199&gt;0,"row","spacer"))</f>
        <v/>
      </c>
      <c r="EZ199">
        <f>IF(AND($EY199="row",$EY198&lt;&gt;"row"),1,0)</f>
        <v/>
      </c>
      <c r="FA199">
        <f>IF(AND($EY199="row",$EY200&lt;&gt;"row"),1,0)</f>
        <v/>
      </c>
      <c r="FB199">
        <f>IF($EZ199=1,IFERROR(IF(ISNUMBER(INDEX(PASTE_ALL,INDEX($DF$5:$DF$1003,$EX199),$B$37)),INDEX(PASTE_ALL,INDEX($DF$5:$DF$1003,$EX199),$B$37),INDEX($DH$5:$DH$1003,$EX199)),INDEX($DH$5:$DH$1003,$EX199)),"")</f>
        <v/>
      </c>
      <c r="FC199">
        <f>IF($EY199="row",INDEX($ER$5:$ER$1003,$EX199),"")</f>
        <v/>
      </c>
      <c r="FD199">
        <f>IF($EY199="row",INDEX($DN$5:$DN$1003,$EX199),"")</f>
        <v/>
      </c>
      <c r="FE199">
        <f>IF($EY199="row",INDEX($DO$5:$DO$1003,$EX199),"")</f>
        <v/>
      </c>
      <c r="FF199">
        <f>IF($EY199="row",INDEX($DP$5:$DP$1003,$EX199),"")</f>
        <v/>
      </c>
      <c r="FG199">
        <f>IF($EY199="row",INDEX($DQ$5:$DQ$1003,$EX199),"")</f>
        <v/>
      </c>
      <c r="FH199">
        <f>IF($EY199="row",INDEX($DR$5:$DR$1003,$EX199),"")</f>
        <v/>
      </c>
      <c r="FI199">
        <f>IF($EY199="row",INDEX($DS$5:$DS$1003,$EX199),"")</f>
        <v/>
      </c>
      <c r="FJ199">
        <f>IF($EY199="row",INDEX($DT$5:$DT$1003,$EX199),"")</f>
        <v/>
      </c>
      <c r="FK199">
        <f>IF($EY199="row",INDEX($DU$5:$DU$1003,$EX199),"")</f>
        <v/>
      </c>
      <c r="FL199">
        <f>IF($EY199="row",INDEX($DV$5:$DV$1003,$EX199),"")</f>
        <v/>
      </c>
      <c r="FM199">
        <f>IF($EY199="row",INDEX($DW$5:$DW$1003,$EX199),"")</f>
        <v/>
      </c>
      <c r="FN199">
        <f>IF($EY199="row",INDEX($DY$5:$DY$1003,$EX199),"")</f>
        <v/>
      </c>
      <c r="FO199">
        <f>IF($EY199="row",INDEX($EA$5:$EA$1003,$EX199),"")</f>
        <v/>
      </c>
      <c r="FP199">
        <f>IF($EY199="row",INDEX($EC$5:$EC$1003,$EX199),"")</f>
        <v/>
      </c>
      <c r="FQ199">
        <f>IF($EY199="row",INDEX($ET$5:$ET$1003,$EX199),"")</f>
        <v/>
      </c>
      <c r="FR199">
        <f>IF($EY199="row",INDEX($EU$5:$EU$1003,$EX199),"")</f>
        <v/>
      </c>
      <c r="FS199">
        <f>IF(AND($EY199="row",$EY198="row"),IF(OR(INDEX($DT$5:$DT$1003,$EX198)="",INDEX($DT$5:$DT$1003,$EX199)=""),"",IF(NOT(EXACT(INDEX($DT$5:$DT$1003,$EX198),INDEX($DT$5:$DT$1003,$EX199))),"S4",IF(NOT(EXACT(INDEX($DS$5:$DS$1003,$EX198),INDEX($DS$5:$DS$1003,$EX199))),"S3",IF(NOT(EXACT(INDEX($DR$5:$DR$1003,$EX198),INDEX($DR$5:$DR$1003,$EX199))),"S1 Count Change","S1")))),"")</f>
        <v/>
      </c>
      <c r="FT199">
        <f>IF($EY199="row",INDEX($ES$5:$ES$1003,$EX199),"")</f>
        <v/>
      </c>
      <c r="FU199">
        <f>IF($EY199="row",INDEX($EO$5:$EO$1003,$EX199),0)</f>
        <v/>
      </c>
      <c r="FV199">
        <f>IF($FS199="S1 Count Change",1,0)</f>
        <v/>
      </c>
    </row>
    <row r="200">
      <c r="Y200">
        <f>0+IF(Y110&gt;0,0,IF(SUMPRODUCT(MOD(INT(Y155/{2,4,8,16,32,64,128,256,512,1024,2048,4096,8192,16384,32768}),2)*(1-MOD(INT(($CJ20+0)/{2,4,8,16,32,64,128,256,512,1024,2048,4096,8192,16384,32768}),2))*{2,4,8,16,32,64,128,256,512,1024,2048,4096,8192,16384,32768})=0,0,2^SUMPRODUCT(--(MOD(SUMPRODUCT(MOD(INT(Y155/{2,4,8,16,32,64,128,256,512,1024,2048,4096,8192,16384,32768}),2)*(1-MOD(INT(($CJ20+0)/{2,4,8,16,32,64,128,256,512,1024,2048,4096,8192,16384,32768}),2))*{2,4,8,16,32,64,128,256,512,1024,2048,4096,8192,16384,32768}),{2,4,8,16,32,64,128,256,512,1024,2048,4096,8192,16384,32768})=0))))</f>
        <v/>
      </c>
      <c r="Z200">
        <f>Y200+IF(AND(Z110&gt;0,COUNTIF($Y110:Y110,Z110)=0),0,IF(SUMPRODUCT(MOD(INT(Z155/{2,4,8,16,32,64,128,256,512,1024,2048,4096,8192,16384,32768}),2)*(1-MOD(INT(($CJ20+Y200)/{2,4,8,16,32,64,128,256,512,1024,2048,4096,8192,16384,32768}),2))*{2,4,8,16,32,64,128,256,512,1024,2048,4096,8192,16384,32768})=0,0,2^SUMPRODUCT(--(MOD(SUMPRODUCT(MOD(INT(Z155/{2,4,8,16,32,64,128,256,512,1024,2048,4096,8192,16384,32768}),2)*(1-MOD(INT(($CJ20+Y200)/{2,4,8,16,32,64,128,256,512,1024,2048,4096,8192,16384,32768}),2))*{2,4,8,16,32,64,128,256,512,1024,2048,4096,8192,16384,32768}),{2,4,8,16,32,64,128,256,512,1024,2048,4096,8192,16384,32768})=0))))</f>
        <v/>
      </c>
      <c r="AA200">
        <f>Z200+IF(AND(AA110&gt;0,COUNTIF($Y110:Z110,AA110)=0),0,IF(SUMPRODUCT(MOD(INT(AA155/{2,4,8,16,32,64,128,256,512,1024,2048,4096,8192,16384,32768}),2)*(1-MOD(INT(($CJ20+Z200)/{2,4,8,16,32,64,128,256,512,1024,2048,4096,8192,16384,32768}),2))*{2,4,8,16,32,64,128,256,512,1024,2048,4096,8192,16384,32768})=0,0,2^SUMPRODUCT(--(MOD(SUMPRODUCT(MOD(INT(AA155/{2,4,8,16,32,64,128,256,512,1024,2048,4096,8192,16384,32768}),2)*(1-MOD(INT(($CJ20+Z200)/{2,4,8,16,32,64,128,256,512,1024,2048,4096,8192,16384,32768}),2))*{2,4,8,16,32,64,128,256,512,1024,2048,4096,8192,16384,32768}),{2,4,8,16,32,64,128,256,512,1024,2048,4096,8192,16384,32768})=0))))</f>
        <v/>
      </c>
      <c r="AB200">
        <f>AA200+IF(AND(AB110&gt;0,COUNTIF($Y110:AA110,AB110)=0),0,IF(SUMPRODUCT(MOD(INT(AB155/{2,4,8,16,32,64,128,256,512,1024,2048,4096,8192,16384,32768}),2)*(1-MOD(INT(($CJ20+AA200)/{2,4,8,16,32,64,128,256,512,1024,2048,4096,8192,16384,32768}),2))*{2,4,8,16,32,64,128,256,512,1024,2048,4096,8192,16384,32768})=0,0,2^SUMPRODUCT(--(MOD(SUMPRODUCT(MOD(INT(AB155/{2,4,8,16,32,64,128,256,512,1024,2048,4096,8192,16384,32768}),2)*(1-MOD(INT(($CJ20+AA200)/{2,4,8,16,32,64,128,256,512,1024,2048,4096,8192,16384,32768}),2))*{2,4,8,16,32,64,128,256,512,1024,2048,4096,8192,16384,32768}),{2,4,8,16,32,64,128,256,512,1024,2048,4096,8192,16384,32768})=0))))</f>
        <v/>
      </c>
      <c r="AC200">
        <f>AB200+IF(AND(AC110&gt;0,COUNTIF($Y110:AB110,AC110)=0),0,IF(SUMPRODUCT(MOD(INT(AC155/{2,4,8,16,32,64,128,256,512,1024,2048,4096,8192,16384,32768}),2)*(1-MOD(INT(($CJ20+AB200)/{2,4,8,16,32,64,128,256,512,1024,2048,4096,8192,16384,32768}),2))*{2,4,8,16,32,64,128,256,512,1024,2048,4096,8192,16384,32768})=0,0,2^SUMPRODUCT(--(MOD(SUMPRODUCT(MOD(INT(AC155/{2,4,8,16,32,64,128,256,512,1024,2048,4096,8192,16384,32768}),2)*(1-MOD(INT(($CJ20+AB200)/{2,4,8,16,32,64,128,256,512,1024,2048,4096,8192,16384,32768}),2))*{2,4,8,16,32,64,128,256,512,1024,2048,4096,8192,16384,32768}),{2,4,8,16,32,64,128,256,512,1024,2048,4096,8192,16384,32768})=0))))</f>
        <v/>
      </c>
      <c r="AD200">
        <f>AC200+IF(AND(AD110&gt;0,COUNTIF($Y110:AC110,AD110)=0),0,IF(SUMPRODUCT(MOD(INT(AD155/{2,4,8,16,32,64,128,256,512,1024,2048,4096,8192,16384,32768}),2)*(1-MOD(INT(($CJ20+AC200)/{2,4,8,16,32,64,128,256,512,1024,2048,4096,8192,16384,32768}),2))*{2,4,8,16,32,64,128,256,512,1024,2048,4096,8192,16384,32768})=0,0,2^SUMPRODUCT(--(MOD(SUMPRODUCT(MOD(INT(AD155/{2,4,8,16,32,64,128,256,512,1024,2048,4096,8192,16384,32768}),2)*(1-MOD(INT(($CJ20+AC200)/{2,4,8,16,32,64,128,256,512,1024,2048,4096,8192,16384,32768}),2))*{2,4,8,16,32,64,128,256,512,1024,2048,4096,8192,16384,32768}),{2,4,8,16,32,64,128,256,512,1024,2048,4096,8192,16384,32768})=0))))</f>
        <v/>
      </c>
      <c r="AE200">
        <f>AD200+IF(AND(AE110&gt;0,COUNTIF($Y110:AD110,AE110)=0),0,IF(SUMPRODUCT(MOD(INT(AE155/{2,4,8,16,32,64,128,256,512,1024,2048,4096,8192,16384,32768}),2)*(1-MOD(INT(($CJ20+AD200)/{2,4,8,16,32,64,128,256,512,1024,2048,4096,8192,16384,32768}),2))*{2,4,8,16,32,64,128,256,512,1024,2048,4096,8192,16384,32768})=0,0,2^SUMPRODUCT(--(MOD(SUMPRODUCT(MOD(INT(AE155/{2,4,8,16,32,64,128,256,512,1024,2048,4096,8192,16384,32768}),2)*(1-MOD(INT(($CJ20+AD200)/{2,4,8,16,32,64,128,256,512,1024,2048,4096,8192,16384,32768}),2))*{2,4,8,16,32,64,128,256,512,1024,2048,4096,8192,16384,32768}),{2,4,8,16,32,64,128,256,512,1024,2048,4096,8192,16384,32768})=0))))</f>
        <v/>
      </c>
      <c r="AF200">
        <f>AE200+IF(AND(AF110&gt;0,COUNTIF($Y110:AE110,AF110)=0),0,IF(SUMPRODUCT(MOD(INT(AF155/{2,4,8,16,32,64,128,256,512,1024,2048,4096,8192,16384,32768}),2)*(1-MOD(INT(($CJ20+AE200)/{2,4,8,16,32,64,128,256,512,1024,2048,4096,8192,16384,32768}),2))*{2,4,8,16,32,64,128,256,512,1024,2048,4096,8192,16384,32768})=0,0,2^SUMPRODUCT(--(MOD(SUMPRODUCT(MOD(INT(AF155/{2,4,8,16,32,64,128,256,512,1024,2048,4096,8192,16384,32768}),2)*(1-MOD(INT(($CJ20+AE200)/{2,4,8,16,32,64,128,256,512,1024,2048,4096,8192,16384,32768}),2))*{2,4,8,16,32,64,128,256,512,1024,2048,4096,8192,16384,32768}),{2,4,8,16,32,64,128,256,512,1024,2048,4096,8192,16384,32768})=0))))</f>
        <v/>
      </c>
      <c r="AG200">
        <f>AF200+IF(AND(AG110&gt;0,COUNTIF($Y110:AF110,AG110)=0),0,IF(SUMPRODUCT(MOD(INT(AG155/{2,4,8,16,32,64,128,256,512,1024,2048,4096,8192,16384,32768}),2)*(1-MOD(INT(($CJ20+AF200)/{2,4,8,16,32,64,128,256,512,1024,2048,4096,8192,16384,32768}),2))*{2,4,8,16,32,64,128,256,512,1024,2048,4096,8192,16384,32768})=0,0,2^SUMPRODUCT(--(MOD(SUMPRODUCT(MOD(INT(AG155/{2,4,8,16,32,64,128,256,512,1024,2048,4096,8192,16384,32768}),2)*(1-MOD(INT(($CJ20+AF200)/{2,4,8,16,32,64,128,256,512,1024,2048,4096,8192,16384,32768}),2))*{2,4,8,16,32,64,128,256,512,1024,2048,4096,8192,16384,32768}),{2,4,8,16,32,64,128,256,512,1024,2048,4096,8192,16384,32768})=0))))</f>
        <v/>
      </c>
      <c r="AH200">
        <f>AG200+IF(AND(AH110&gt;0,COUNTIF($Y110:AG110,AH110)=0),0,IF(SUMPRODUCT(MOD(INT(AH155/{2,4,8,16,32,64,128,256,512,1024,2048,4096,8192,16384,32768}),2)*(1-MOD(INT(($CJ20+AG200)/{2,4,8,16,32,64,128,256,512,1024,2048,4096,8192,16384,32768}),2))*{2,4,8,16,32,64,128,256,512,1024,2048,4096,8192,16384,32768})=0,0,2^SUMPRODUCT(--(MOD(SUMPRODUCT(MOD(INT(AH155/{2,4,8,16,32,64,128,256,512,1024,2048,4096,8192,16384,32768}),2)*(1-MOD(INT(($CJ20+AG200)/{2,4,8,16,32,64,128,256,512,1024,2048,4096,8192,16384,32768}),2))*{2,4,8,16,32,64,128,256,512,1024,2048,4096,8192,16384,32768}),{2,4,8,16,32,64,128,256,512,1024,2048,4096,8192,16384,32768})=0))))</f>
        <v/>
      </c>
      <c r="AI200">
        <f>AH200+IF(AND(AI110&gt;0,COUNTIF($Y110:AH110,AI110)=0),0,IF(SUMPRODUCT(MOD(INT(AI155/{2,4,8,16,32,64,128,256,512,1024,2048,4096,8192,16384,32768}),2)*(1-MOD(INT(($CJ20+AH200)/{2,4,8,16,32,64,128,256,512,1024,2048,4096,8192,16384,32768}),2))*{2,4,8,16,32,64,128,256,512,1024,2048,4096,8192,16384,32768})=0,0,2^SUMPRODUCT(--(MOD(SUMPRODUCT(MOD(INT(AI155/{2,4,8,16,32,64,128,256,512,1024,2048,4096,8192,16384,32768}),2)*(1-MOD(INT(($CJ20+AH200)/{2,4,8,16,32,64,128,256,512,1024,2048,4096,8192,16384,32768}),2))*{2,4,8,16,32,64,128,256,512,1024,2048,4096,8192,16384,32768}),{2,4,8,16,32,64,128,256,512,1024,2048,4096,8192,16384,32768})=0))))</f>
        <v/>
      </c>
      <c r="AJ200">
        <f>AI200+IF(AND(AJ110&gt;0,COUNTIF($Y110:AI110,AJ110)=0),0,IF(SUMPRODUCT(MOD(INT(AJ155/{2,4,8,16,32,64,128,256,512,1024,2048,4096,8192,16384,32768}),2)*(1-MOD(INT(($CJ20+AI200)/{2,4,8,16,32,64,128,256,512,1024,2048,4096,8192,16384,32768}),2))*{2,4,8,16,32,64,128,256,512,1024,2048,4096,8192,16384,32768})=0,0,2^SUMPRODUCT(--(MOD(SUMPRODUCT(MOD(INT(AJ155/{2,4,8,16,32,64,128,256,512,1024,2048,4096,8192,16384,32768}),2)*(1-MOD(INT(($CJ20+AI200)/{2,4,8,16,32,64,128,256,512,1024,2048,4096,8192,16384,32768}),2))*{2,4,8,16,32,64,128,256,512,1024,2048,4096,8192,16384,32768}),{2,4,8,16,32,64,128,256,512,1024,2048,4096,8192,16384,32768})=0))))</f>
        <v/>
      </c>
      <c r="AK200">
        <f>AJ200+IF(AND(AK110&gt;0,COUNTIF($Y110:AJ110,AK110)=0),0,IF(SUMPRODUCT(MOD(INT(AK155/{2,4,8,16,32,64,128,256,512,1024,2048,4096,8192,16384,32768}),2)*(1-MOD(INT(($CJ20+AJ200)/{2,4,8,16,32,64,128,256,512,1024,2048,4096,8192,16384,32768}),2))*{2,4,8,16,32,64,128,256,512,1024,2048,4096,8192,16384,32768})=0,0,2^SUMPRODUCT(--(MOD(SUMPRODUCT(MOD(INT(AK155/{2,4,8,16,32,64,128,256,512,1024,2048,4096,8192,16384,32768}),2)*(1-MOD(INT(($CJ20+AJ200)/{2,4,8,16,32,64,128,256,512,1024,2048,4096,8192,16384,32768}),2))*{2,4,8,16,32,64,128,256,512,1024,2048,4096,8192,16384,32768}),{2,4,8,16,32,64,128,256,512,1024,2048,4096,8192,16384,32768})=0))))</f>
        <v/>
      </c>
      <c r="AL200">
        <f>AK200+IF(AND(AL110&gt;0,COUNTIF($Y110:AK110,AL110)=0),0,IF(SUMPRODUCT(MOD(INT(AL155/{2,4,8,16,32,64,128,256,512,1024,2048,4096,8192,16384,32768}),2)*(1-MOD(INT(($CJ20+AK200)/{2,4,8,16,32,64,128,256,512,1024,2048,4096,8192,16384,32768}),2))*{2,4,8,16,32,64,128,256,512,1024,2048,4096,8192,16384,32768})=0,0,2^SUMPRODUCT(--(MOD(SUMPRODUCT(MOD(INT(AL155/{2,4,8,16,32,64,128,256,512,1024,2048,4096,8192,16384,32768}),2)*(1-MOD(INT(($CJ20+AK200)/{2,4,8,16,32,64,128,256,512,1024,2048,4096,8192,16384,32768}),2))*{2,4,8,16,32,64,128,256,512,1024,2048,4096,8192,16384,32768}),{2,4,8,16,32,64,128,256,512,1024,2048,4096,8192,16384,32768})=0))))</f>
        <v/>
      </c>
      <c r="AM200">
        <f>AL200+IF(AND(AM110&gt;0,COUNTIF($Y110:AL110,AM110)=0),0,IF(SUMPRODUCT(MOD(INT(AM155/{2,4,8,16,32,64,128,256,512,1024,2048,4096,8192,16384,32768}),2)*(1-MOD(INT(($CJ20+AL200)/{2,4,8,16,32,64,128,256,512,1024,2048,4096,8192,16384,32768}),2))*{2,4,8,16,32,64,128,256,512,1024,2048,4096,8192,16384,32768})=0,0,2^SUMPRODUCT(--(MOD(SUMPRODUCT(MOD(INT(AM155/{2,4,8,16,32,64,128,256,512,1024,2048,4096,8192,16384,32768}),2)*(1-MOD(INT(($CJ20+AL200)/{2,4,8,16,32,64,128,256,512,1024,2048,4096,8192,16384,32768}),2))*{2,4,8,16,32,64,128,256,512,1024,2048,4096,8192,16384,32768}),{2,4,8,16,32,64,128,256,512,1024,2048,4096,8192,16384,32768})=0))))</f>
        <v/>
      </c>
      <c r="AN200">
        <f>AM200+IF(AND(AN110&gt;0,COUNTIF($Y110:AM110,AN110)=0),0,IF(SUMPRODUCT(MOD(INT(AN155/{2,4,8,16,32,64,128,256,512,1024,2048,4096,8192,16384,32768}),2)*(1-MOD(INT(($CJ20+AM200)/{2,4,8,16,32,64,128,256,512,1024,2048,4096,8192,16384,32768}),2))*{2,4,8,16,32,64,128,256,512,1024,2048,4096,8192,16384,32768})=0,0,2^SUMPRODUCT(--(MOD(SUMPRODUCT(MOD(INT(AN155/{2,4,8,16,32,64,128,256,512,1024,2048,4096,8192,16384,32768}),2)*(1-MOD(INT(($CJ20+AM200)/{2,4,8,16,32,64,128,256,512,1024,2048,4096,8192,16384,32768}),2))*{2,4,8,16,32,64,128,256,512,1024,2048,4096,8192,16384,32768}),{2,4,8,16,32,64,128,256,512,1024,2048,4096,8192,16384,32768})=0))))</f>
        <v/>
      </c>
      <c r="AO200">
        <f>AN200+IF(AND(AO110&gt;0,COUNTIF($Y110:AN110,AO110)=0),0,IF(SUMPRODUCT(MOD(INT(AO155/{2,4,8,16,32,64,128,256,512,1024,2048,4096,8192,16384,32768}),2)*(1-MOD(INT(($CJ20+AN200)/{2,4,8,16,32,64,128,256,512,1024,2048,4096,8192,16384,32768}),2))*{2,4,8,16,32,64,128,256,512,1024,2048,4096,8192,16384,32768})=0,0,2^SUMPRODUCT(--(MOD(SUMPRODUCT(MOD(INT(AO155/{2,4,8,16,32,64,128,256,512,1024,2048,4096,8192,16384,32768}),2)*(1-MOD(INT(($CJ20+AN200)/{2,4,8,16,32,64,128,256,512,1024,2048,4096,8192,16384,32768}),2))*{2,4,8,16,32,64,128,256,512,1024,2048,4096,8192,16384,32768}),{2,4,8,16,32,64,128,256,512,1024,2048,4096,8192,16384,32768})=0))))</f>
        <v/>
      </c>
      <c r="AP200">
        <f>AO200+IF(AND(AP110&gt;0,COUNTIF($Y110:AO110,AP110)=0),0,IF(SUMPRODUCT(MOD(INT(AP155/{2,4,8,16,32,64,128,256,512,1024,2048,4096,8192,16384,32768}),2)*(1-MOD(INT(($CJ20+AO200)/{2,4,8,16,32,64,128,256,512,1024,2048,4096,8192,16384,32768}),2))*{2,4,8,16,32,64,128,256,512,1024,2048,4096,8192,16384,32768})=0,0,2^SUMPRODUCT(--(MOD(SUMPRODUCT(MOD(INT(AP155/{2,4,8,16,32,64,128,256,512,1024,2048,4096,8192,16384,32768}),2)*(1-MOD(INT(($CJ20+AO200)/{2,4,8,16,32,64,128,256,512,1024,2048,4096,8192,16384,32768}),2))*{2,4,8,16,32,64,128,256,512,1024,2048,4096,8192,16384,32768}),{2,4,8,16,32,64,128,256,512,1024,2048,4096,8192,16384,32768})=0))))</f>
        <v/>
      </c>
      <c r="AQ200">
        <f>AP200+IF(AND(AQ110&gt;0,COUNTIF($Y110:AP110,AQ110)=0),0,IF(SUMPRODUCT(MOD(INT(AQ155/{2,4,8,16,32,64,128,256,512,1024,2048,4096,8192,16384,32768}),2)*(1-MOD(INT(($CJ20+AP200)/{2,4,8,16,32,64,128,256,512,1024,2048,4096,8192,16384,32768}),2))*{2,4,8,16,32,64,128,256,512,1024,2048,4096,8192,16384,32768})=0,0,2^SUMPRODUCT(--(MOD(SUMPRODUCT(MOD(INT(AQ155/{2,4,8,16,32,64,128,256,512,1024,2048,4096,8192,16384,32768}),2)*(1-MOD(INT(($CJ20+AP200)/{2,4,8,16,32,64,128,256,512,1024,2048,4096,8192,16384,32768}),2))*{2,4,8,16,32,64,128,256,512,1024,2048,4096,8192,16384,32768}),{2,4,8,16,32,64,128,256,512,1024,2048,4096,8192,16384,32768})=0))))</f>
        <v/>
      </c>
      <c r="AR200">
        <f>AQ200+IF(AND(AR110&gt;0,COUNTIF($Y110:AQ110,AR110)=0),0,IF(SUMPRODUCT(MOD(INT(AR155/{2,4,8,16,32,64,128,256,512,1024,2048,4096,8192,16384,32768}),2)*(1-MOD(INT(($CJ20+AQ200)/{2,4,8,16,32,64,128,256,512,1024,2048,4096,8192,16384,32768}),2))*{2,4,8,16,32,64,128,256,512,1024,2048,4096,8192,16384,32768})=0,0,2^SUMPRODUCT(--(MOD(SUMPRODUCT(MOD(INT(AR155/{2,4,8,16,32,64,128,256,512,1024,2048,4096,8192,16384,32768}),2)*(1-MOD(INT(($CJ20+AQ200)/{2,4,8,16,32,64,128,256,512,1024,2048,4096,8192,16384,32768}),2))*{2,4,8,16,32,64,128,256,512,1024,2048,4096,8192,16384,32768}),{2,4,8,16,32,64,128,256,512,1024,2048,4096,8192,16384,32768})=0))))</f>
        <v/>
      </c>
      <c r="AS200">
        <f>AR200+IF(AND(AS110&gt;0,COUNTIF($Y110:AR110,AS110)=0),0,IF(SUMPRODUCT(MOD(INT(AS155/{2,4,8,16,32,64,128,256,512,1024,2048,4096,8192,16384,32768}),2)*(1-MOD(INT(($CJ20+AR200)/{2,4,8,16,32,64,128,256,512,1024,2048,4096,8192,16384,32768}),2))*{2,4,8,16,32,64,128,256,512,1024,2048,4096,8192,16384,32768})=0,0,2^SUMPRODUCT(--(MOD(SUMPRODUCT(MOD(INT(AS155/{2,4,8,16,32,64,128,256,512,1024,2048,4096,8192,16384,32768}),2)*(1-MOD(INT(($CJ20+AR200)/{2,4,8,16,32,64,128,256,512,1024,2048,4096,8192,16384,32768}),2))*{2,4,8,16,32,64,128,256,512,1024,2048,4096,8192,16384,32768}),{2,4,8,16,32,64,128,256,512,1024,2048,4096,8192,16384,32768})=0))))</f>
        <v/>
      </c>
      <c r="AT200">
        <f>AS200+IF(AND(AT110&gt;0,COUNTIF($Y110:AS110,AT110)=0),0,IF(SUMPRODUCT(MOD(INT(AT155/{2,4,8,16,32,64,128,256,512,1024,2048,4096,8192,16384,32768}),2)*(1-MOD(INT(($CJ20+AS200)/{2,4,8,16,32,64,128,256,512,1024,2048,4096,8192,16384,32768}),2))*{2,4,8,16,32,64,128,256,512,1024,2048,4096,8192,16384,32768})=0,0,2^SUMPRODUCT(--(MOD(SUMPRODUCT(MOD(INT(AT155/{2,4,8,16,32,64,128,256,512,1024,2048,4096,8192,16384,32768}),2)*(1-MOD(INT(($CJ20+AS200)/{2,4,8,16,32,64,128,256,512,1024,2048,4096,8192,16384,32768}),2))*{2,4,8,16,32,64,128,256,512,1024,2048,4096,8192,16384,32768}),{2,4,8,16,32,64,128,256,512,1024,2048,4096,8192,16384,32768})=0))))</f>
        <v/>
      </c>
      <c r="AU200">
        <f>AT200+IF(AND(AU110&gt;0,COUNTIF($Y110:AT110,AU110)=0),0,IF(SUMPRODUCT(MOD(INT(AU155/{2,4,8,16,32,64,128,256,512,1024,2048,4096,8192,16384,32768}),2)*(1-MOD(INT(($CJ20+AT200)/{2,4,8,16,32,64,128,256,512,1024,2048,4096,8192,16384,32768}),2))*{2,4,8,16,32,64,128,256,512,1024,2048,4096,8192,16384,32768})=0,0,2^SUMPRODUCT(--(MOD(SUMPRODUCT(MOD(INT(AU155/{2,4,8,16,32,64,128,256,512,1024,2048,4096,8192,16384,32768}),2)*(1-MOD(INT(($CJ20+AT200)/{2,4,8,16,32,64,128,256,512,1024,2048,4096,8192,16384,32768}),2))*{2,4,8,16,32,64,128,256,512,1024,2048,4096,8192,16384,32768}),{2,4,8,16,32,64,128,256,512,1024,2048,4096,8192,16384,32768})=0))))</f>
        <v/>
      </c>
      <c r="AV200">
        <f>AU200+IF(AND(AV110&gt;0,COUNTIF($Y110:AU110,AV110)=0),0,IF(SUMPRODUCT(MOD(INT(AV155/{2,4,8,16,32,64,128,256,512,1024,2048,4096,8192,16384,32768}),2)*(1-MOD(INT(($CJ20+AU200)/{2,4,8,16,32,64,128,256,512,1024,2048,4096,8192,16384,32768}),2))*{2,4,8,16,32,64,128,256,512,1024,2048,4096,8192,16384,32768})=0,0,2^SUMPRODUCT(--(MOD(SUMPRODUCT(MOD(INT(AV155/{2,4,8,16,32,64,128,256,512,1024,2048,4096,8192,16384,32768}),2)*(1-MOD(INT(($CJ20+AU200)/{2,4,8,16,32,64,128,256,512,1024,2048,4096,8192,16384,32768}),2))*{2,4,8,16,32,64,128,256,512,1024,2048,4096,8192,16384,32768}),{2,4,8,16,32,64,128,256,512,1024,2048,4096,8192,16384,32768})=0))))</f>
        <v/>
      </c>
      <c r="AW200">
        <f>AV200+IF(AND(AW110&gt;0,COUNTIF($Y110:AV110,AW110)=0),0,IF(SUMPRODUCT(MOD(INT(AW155/{2,4,8,16,32,64,128,256,512,1024,2048,4096,8192,16384,32768}),2)*(1-MOD(INT(($CJ20+AV200)/{2,4,8,16,32,64,128,256,512,1024,2048,4096,8192,16384,32768}),2))*{2,4,8,16,32,64,128,256,512,1024,2048,4096,8192,16384,32768})=0,0,2^SUMPRODUCT(--(MOD(SUMPRODUCT(MOD(INT(AW155/{2,4,8,16,32,64,128,256,512,1024,2048,4096,8192,16384,32768}),2)*(1-MOD(INT(($CJ20+AV200)/{2,4,8,16,32,64,128,256,512,1024,2048,4096,8192,16384,32768}),2))*{2,4,8,16,32,64,128,256,512,1024,2048,4096,8192,16384,32768}),{2,4,8,16,32,64,128,256,512,1024,2048,4096,8192,16384,32768})=0))))</f>
        <v/>
      </c>
      <c r="AX200">
        <f>AW200+IF(AND(AX110&gt;0,COUNTIF($Y110:AW110,AX110)=0),0,IF(SUMPRODUCT(MOD(INT(AX155/{2,4,8,16,32,64,128,256,512,1024,2048,4096,8192,16384,32768}),2)*(1-MOD(INT(($CJ20+AW200)/{2,4,8,16,32,64,128,256,512,1024,2048,4096,8192,16384,32768}),2))*{2,4,8,16,32,64,128,256,512,1024,2048,4096,8192,16384,32768})=0,0,2^SUMPRODUCT(--(MOD(SUMPRODUCT(MOD(INT(AX155/{2,4,8,16,32,64,128,256,512,1024,2048,4096,8192,16384,32768}),2)*(1-MOD(INT(($CJ20+AW200)/{2,4,8,16,32,64,128,256,512,1024,2048,4096,8192,16384,32768}),2))*{2,4,8,16,32,64,128,256,512,1024,2048,4096,8192,16384,32768}),{2,4,8,16,32,64,128,256,512,1024,2048,4096,8192,16384,32768})=0))))</f>
        <v/>
      </c>
      <c r="AY200">
        <f>AX200+IF(AND(AY110&gt;0,COUNTIF($Y110:AX110,AY110)=0),0,IF(SUMPRODUCT(MOD(INT(AY155/{2,4,8,16,32,64,128,256,512,1024,2048,4096,8192,16384,32768}),2)*(1-MOD(INT(($CJ20+AX200)/{2,4,8,16,32,64,128,256,512,1024,2048,4096,8192,16384,32768}),2))*{2,4,8,16,32,64,128,256,512,1024,2048,4096,8192,16384,32768})=0,0,2^SUMPRODUCT(--(MOD(SUMPRODUCT(MOD(INT(AY155/{2,4,8,16,32,64,128,256,512,1024,2048,4096,8192,16384,32768}),2)*(1-MOD(INT(($CJ20+AX200)/{2,4,8,16,32,64,128,256,512,1024,2048,4096,8192,16384,32768}),2))*{2,4,8,16,32,64,128,256,512,1024,2048,4096,8192,16384,32768}),{2,4,8,16,32,64,128,256,512,1024,2048,4096,8192,16384,32768})=0))))</f>
        <v/>
      </c>
      <c r="AZ200">
        <f>AY200+IF(AND(AZ110&gt;0,COUNTIF($Y110:AY110,AZ110)=0),0,IF(SUMPRODUCT(MOD(INT(AZ155/{2,4,8,16,32,64,128,256,512,1024,2048,4096,8192,16384,32768}),2)*(1-MOD(INT(($CJ20+AY200)/{2,4,8,16,32,64,128,256,512,1024,2048,4096,8192,16384,32768}),2))*{2,4,8,16,32,64,128,256,512,1024,2048,4096,8192,16384,32768})=0,0,2^SUMPRODUCT(--(MOD(SUMPRODUCT(MOD(INT(AZ155/{2,4,8,16,32,64,128,256,512,1024,2048,4096,8192,16384,32768}),2)*(1-MOD(INT(($CJ20+AY200)/{2,4,8,16,32,64,128,256,512,1024,2048,4096,8192,16384,32768}),2))*{2,4,8,16,32,64,128,256,512,1024,2048,4096,8192,16384,32768}),{2,4,8,16,32,64,128,256,512,1024,2048,4096,8192,16384,32768})=0))))</f>
        <v/>
      </c>
      <c r="BA200">
        <f>AZ200+IF(AND(BA110&gt;0,COUNTIF($Y110:AZ110,BA110)=0),0,IF(SUMPRODUCT(MOD(INT(BA155/{2,4,8,16,32,64,128,256,512,1024,2048,4096,8192,16384,32768}),2)*(1-MOD(INT(($CJ20+AZ200)/{2,4,8,16,32,64,128,256,512,1024,2048,4096,8192,16384,32768}),2))*{2,4,8,16,32,64,128,256,512,1024,2048,4096,8192,16384,32768})=0,0,2^SUMPRODUCT(--(MOD(SUMPRODUCT(MOD(INT(BA155/{2,4,8,16,32,64,128,256,512,1024,2048,4096,8192,16384,32768}),2)*(1-MOD(INT(($CJ20+AZ200)/{2,4,8,16,32,64,128,256,512,1024,2048,4096,8192,16384,32768}),2))*{2,4,8,16,32,64,128,256,512,1024,2048,4096,8192,16384,32768}),{2,4,8,16,32,64,128,256,512,1024,2048,4096,8192,16384,32768})=0))))</f>
        <v/>
      </c>
      <c r="BB200">
        <f>BA200+IF(AND(BB110&gt;0,COUNTIF($Y110:BA110,BB110)=0),0,IF(SUMPRODUCT(MOD(INT(BB155/{2,4,8,16,32,64,128,256,512,1024,2048,4096,8192,16384,32768}),2)*(1-MOD(INT(($CJ20+BA200)/{2,4,8,16,32,64,128,256,512,1024,2048,4096,8192,16384,32768}),2))*{2,4,8,16,32,64,128,256,512,1024,2048,4096,8192,16384,32768})=0,0,2^SUMPRODUCT(--(MOD(SUMPRODUCT(MOD(INT(BB155/{2,4,8,16,32,64,128,256,512,1024,2048,4096,8192,16384,32768}),2)*(1-MOD(INT(($CJ20+BA200)/{2,4,8,16,32,64,128,256,512,1024,2048,4096,8192,16384,32768}),2))*{2,4,8,16,32,64,128,256,512,1024,2048,4096,8192,16384,32768}),{2,4,8,16,32,64,128,256,512,1024,2048,4096,8192,16384,32768})=0))))</f>
        <v/>
      </c>
      <c r="BC200">
        <f>BB200+IF(AND(BC110&gt;0,COUNTIF($Y110:BB110,BC110)=0),0,IF(SUMPRODUCT(MOD(INT(BC155/{2,4,8,16,32,64,128,256,512,1024,2048,4096,8192,16384,32768}),2)*(1-MOD(INT(($CJ20+BB200)/{2,4,8,16,32,64,128,256,512,1024,2048,4096,8192,16384,32768}),2))*{2,4,8,16,32,64,128,256,512,1024,2048,4096,8192,16384,32768})=0,0,2^SUMPRODUCT(--(MOD(SUMPRODUCT(MOD(INT(BC155/{2,4,8,16,32,64,128,256,512,1024,2048,4096,8192,16384,32768}),2)*(1-MOD(INT(($CJ20+BB200)/{2,4,8,16,32,64,128,256,512,1024,2048,4096,8192,16384,32768}),2))*{2,4,8,16,32,64,128,256,512,1024,2048,4096,8192,16384,32768}),{2,4,8,16,32,64,128,256,512,1024,2048,4096,8192,16384,32768})=0))))</f>
        <v/>
      </c>
      <c r="BD200">
        <f>BC200+IF(AND(BD110&gt;0,COUNTIF($Y110:BC110,BD110)=0),0,IF(SUMPRODUCT(MOD(INT(BD155/{2,4,8,16,32,64,128,256,512,1024,2048,4096,8192,16384,32768}),2)*(1-MOD(INT(($CJ20+BC200)/{2,4,8,16,32,64,128,256,512,1024,2048,4096,8192,16384,32768}),2))*{2,4,8,16,32,64,128,256,512,1024,2048,4096,8192,16384,32768})=0,0,2^SUMPRODUCT(--(MOD(SUMPRODUCT(MOD(INT(BD155/{2,4,8,16,32,64,128,256,512,1024,2048,4096,8192,16384,32768}),2)*(1-MOD(INT(($CJ20+BC200)/{2,4,8,16,32,64,128,256,512,1024,2048,4096,8192,16384,32768}),2))*{2,4,8,16,32,64,128,256,512,1024,2048,4096,8192,16384,32768}),{2,4,8,16,32,64,128,256,512,1024,2048,4096,8192,16384,32768})=0))))</f>
        <v/>
      </c>
      <c r="BE200">
        <f>BD200+IF(AND(BE110&gt;0,COUNTIF($Y110:BD110,BE110)=0),0,IF(SUMPRODUCT(MOD(INT(BE155/{2,4,8,16,32,64,128,256,512,1024,2048,4096,8192,16384,32768}),2)*(1-MOD(INT(($CJ20+BD200)/{2,4,8,16,32,64,128,256,512,1024,2048,4096,8192,16384,32768}),2))*{2,4,8,16,32,64,128,256,512,1024,2048,4096,8192,16384,32768})=0,0,2^SUMPRODUCT(--(MOD(SUMPRODUCT(MOD(INT(BE155/{2,4,8,16,32,64,128,256,512,1024,2048,4096,8192,16384,32768}),2)*(1-MOD(INT(($CJ20+BD200)/{2,4,8,16,32,64,128,256,512,1024,2048,4096,8192,16384,32768}),2))*{2,4,8,16,32,64,128,256,512,1024,2048,4096,8192,16384,32768}),{2,4,8,16,32,64,128,256,512,1024,2048,4096,8192,16384,32768})=0))))</f>
        <v/>
      </c>
      <c r="BF200">
        <f>BE200+IF(AND(BF110&gt;0,COUNTIF($Y110:BE110,BF110)=0),0,IF(SUMPRODUCT(MOD(INT(BF155/{2,4,8,16,32,64,128,256,512,1024,2048,4096,8192,16384,32768}),2)*(1-MOD(INT(($CJ20+BE200)/{2,4,8,16,32,64,128,256,512,1024,2048,4096,8192,16384,32768}),2))*{2,4,8,16,32,64,128,256,512,1024,2048,4096,8192,16384,32768})=0,0,2^SUMPRODUCT(--(MOD(SUMPRODUCT(MOD(INT(BF155/{2,4,8,16,32,64,128,256,512,1024,2048,4096,8192,16384,32768}),2)*(1-MOD(INT(($CJ20+BE200)/{2,4,8,16,32,64,128,256,512,1024,2048,4096,8192,16384,32768}),2))*{2,4,8,16,32,64,128,256,512,1024,2048,4096,8192,16384,32768}),{2,4,8,16,32,64,128,256,512,1024,2048,4096,8192,16384,32768})=0))))</f>
        <v/>
      </c>
      <c r="BG200">
        <f>BF200+IF(AND(BG110&gt;0,COUNTIF($Y110:BF110,BG110)=0),0,IF(SUMPRODUCT(MOD(INT(BG155/{2,4,8,16,32,64,128,256,512,1024,2048,4096,8192,16384,32768}),2)*(1-MOD(INT(($CJ20+BF200)/{2,4,8,16,32,64,128,256,512,1024,2048,4096,8192,16384,32768}),2))*{2,4,8,16,32,64,128,256,512,1024,2048,4096,8192,16384,32768})=0,0,2^SUMPRODUCT(--(MOD(SUMPRODUCT(MOD(INT(BG155/{2,4,8,16,32,64,128,256,512,1024,2048,4096,8192,16384,32768}),2)*(1-MOD(INT(($CJ20+BF200)/{2,4,8,16,32,64,128,256,512,1024,2048,4096,8192,16384,32768}),2))*{2,4,8,16,32,64,128,256,512,1024,2048,4096,8192,16384,32768}),{2,4,8,16,32,64,128,256,512,1024,2048,4096,8192,16384,32768})=0))))</f>
        <v/>
      </c>
      <c r="BH200">
        <f>BG200+IF(AND(BH110&gt;0,COUNTIF($Y110:BG110,BH110)=0),0,IF(SUMPRODUCT(MOD(INT(BH155/{2,4,8,16,32,64,128,256,512,1024,2048,4096,8192,16384,32768}),2)*(1-MOD(INT(($CJ20+BG200)/{2,4,8,16,32,64,128,256,512,1024,2048,4096,8192,16384,32768}),2))*{2,4,8,16,32,64,128,256,512,1024,2048,4096,8192,16384,32768})=0,0,2^SUMPRODUCT(--(MOD(SUMPRODUCT(MOD(INT(BH155/{2,4,8,16,32,64,128,256,512,1024,2048,4096,8192,16384,32768}),2)*(1-MOD(INT(($CJ20+BG200)/{2,4,8,16,32,64,128,256,512,1024,2048,4096,8192,16384,32768}),2))*{2,4,8,16,32,64,128,256,512,1024,2048,4096,8192,16384,32768}),{2,4,8,16,32,64,128,256,512,1024,2048,4096,8192,16384,32768})=0))))</f>
        <v/>
      </c>
      <c r="BI200">
        <f>BH200+IF(AND(BI110&gt;0,COUNTIF($Y110:BH110,BI110)=0),0,IF(SUMPRODUCT(MOD(INT(BI155/{2,4,8,16,32,64,128,256,512,1024,2048,4096,8192,16384,32768}),2)*(1-MOD(INT(($CJ20+BH200)/{2,4,8,16,32,64,128,256,512,1024,2048,4096,8192,16384,32768}),2))*{2,4,8,16,32,64,128,256,512,1024,2048,4096,8192,16384,32768})=0,0,2^SUMPRODUCT(--(MOD(SUMPRODUCT(MOD(INT(BI155/{2,4,8,16,32,64,128,256,512,1024,2048,4096,8192,16384,32768}),2)*(1-MOD(INT(($CJ20+BH200)/{2,4,8,16,32,64,128,256,512,1024,2048,4096,8192,16384,32768}),2))*{2,4,8,16,32,64,128,256,512,1024,2048,4096,8192,16384,32768}),{2,4,8,16,32,64,128,256,512,1024,2048,4096,8192,16384,32768})=0))))</f>
        <v/>
      </c>
      <c r="BJ200">
        <f>BI200+IF(AND(BJ110&gt;0,COUNTIF($Y110:BI110,BJ110)=0),0,IF(SUMPRODUCT(MOD(INT(BJ155/{2,4,8,16,32,64,128,256,512,1024,2048,4096,8192,16384,32768}),2)*(1-MOD(INT(($CJ20+BI200)/{2,4,8,16,32,64,128,256,512,1024,2048,4096,8192,16384,32768}),2))*{2,4,8,16,32,64,128,256,512,1024,2048,4096,8192,16384,32768})=0,0,2^SUMPRODUCT(--(MOD(SUMPRODUCT(MOD(INT(BJ155/{2,4,8,16,32,64,128,256,512,1024,2048,4096,8192,16384,32768}),2)*(1-MOD(INT(($CJ20+BI200)/{2,4,8,16,32,64,128,256,512,1024,2048,4096,8192,16384,32768}),2))*{2,4,8,16,32,64,128,256,512,1024,2048,4096,8192,16384,32768}),{2,4,8,16,32,64,128,256,512,1024,2048,4096,8192,16384,32768})=0))))</f>
        <v/>
      </c>
      <c r="BK200">
        <f>BJ200+IF(AND(BK110&gt;0,COUNTIF($Y110:BJ110,BK110)=0),0,IF(SUMPRODUCT(MOD(INT(BK155/{2,4,8,16,32,64,128,256,512,1024,2048,4096,8192,16384,32768}),2)*(1-MOD(INT(($CJ20+BJ200)/{2,4,8,16,32,64,128,256,512,1024,2048,4096,8192,16384,32768}),2))*{2,4,8,16,32,64,128,256,512,1024,2048,4096,8192,16384,32768})=0,0,2^SUMPRODUCT(--(MOD(SUMPRODUCT(MOD(INT(BK155/{2,4,8,16,32,64,128,256,512,1024,2048,4096,8192,16384,32768}),2)*(1-MOD(INT(($CJ20+BJ200)/{2,4,8,16,32,64,128,256,512,1024,2048,4096,8192,16384,32768}),2))*{2,4,8,16,32,64,128,256,512,1024,2048,4096,8192,16384,32768}),{2,4,8,16,32,64,128,256,512,1024,2048,4096,8192,16384,32768})=0))))</f>
        <v/>
      </c>
      <c r="BL200">
        <f>BK200+IF(AND(BL110&gt;0,COUNTIF($Y110:BK110,BL110)=0),0,IF(SUMPRODUCT(MOD(INT(BL155/{2,4,8,16,32,64,128,256,512,1024,2048,4096,8192,16384,32768}),2)*(1-MOD(INT(($CJ20+BK200)/{2,4,8,16,32,64,128,256,512,1024,2048,4096,8192,16384,32768}),2))*{2,4,8,16,32,64,128,256,512,1024,2048,4096,8192,16384,32768})=0,0,2^SUMPRODUCT(--(MOD(SUMPRODUCT(MOD(INT(BL155/{2,4,8,16,32,64,128,256,512,1024,2048,4096,8192,16384,32768}),2)*(1-MOD(INT(($CJ20+BK200)/{2,4,8,16,32,64,128,256,512,1024,2048,4096,8192,16384,32768}),2))*{2,4,8,16,32,64,128,256,512,1024,2048,4096,8192,16384,32768}),{2,4,8,16,32,64,128,256,512,1024,2048,4096,8192,16384,32768})=0))))</f>
        <v/>
      </c>
      <c r="BM200">
        <f>BL200+IF(AND(BM110&gt;0,COUNTIF($Y110:BL110,BM110)=0),0,IF(SUMPRODUCT(MOD(INT(BM155/{2,4,8,16,32,64,128,256,512,1024,2048,4096,8192,16384,32768}),2)*(1-MOD(INT(($CJ20+BL200)/{2,4,8,16,32,64,128,256,512,1024,2048,4096,8192,16384,32768}),2))*{2,4,8,16,32,64,128,256,512,1024,2048,4096,8192,16384,32768})=0,0,2^SUMPRODUCT(--(MOD(SUMPRODUCT(MOD(INT(BM155/{2,4,8,16,32,64,128,256,512,1024,2048,4096,8192,16384,32768}),2)*(1-MOD(INT(($CJ20+BL200)/{2,4,8,16,32,64,128,256,512,1024,2048,4096,8192,16384,32768}),2))*{2,4,8,16,32,64,128,256,512,1024,2048,4096,8192,16384,32768}),{2,4,8,16,32,64,128,256,512,1024,2048,4096,8192,16384,32768})=0))))</f>
        <v/>
      </c>
      <c r="BN200">
        <f>BM200+IF(AND(BN110&gt;0,COUNTIF($Y110:BM110,BN110)=0),0,IF(SUMPRODUCT(MOD(INT(BN155/{2,4,8,16,32,64,128,256,512,1024,2048,4096,8192,16384,32768}),2)*(1-MOD(INT(($CJ20+BM200)/{2,4,8,16,32,64,128,256,512,1024,2048,4096,8192,16384,32768}),2))*{2,4,8,16,32,64,128,256,512,1024,2048,4096,8192,16384,32768})=0,0,2^SUMPRODUCT(--(MOD(SUMPRODUCT(MOD(INT(BN155/{2,4,8,16,32,64,128,256,512,1024,2048,4096,8192,16384,32768}),2)*(1-MOD(INT(($CJ20+BM200)/{2,4,8,16,32,64,128,256,512,1024,2048,4096,8192,16384,32768}),2))*{2,4,8,16,32,64,128,256,512,1024,2048,4096,8192,16384,32768}),{2,4,8,16,32,64,128,256,512,1024,2048,4096,8192,16384,32768})=0))))</f>
        <v/>
      </c>
      <c r="BO200">
        <f>BN200+IF(AND(BO110&gt;0,COUNTIF($Y110:BN110,BO110)=0),0,IF(SUMPRODUCT(MOD(INT(BO155/{2,4,8,16,32,64,128,256,512,1024,2048,4096,8192,16384,32768}),2)*(1-MOD(INT(($CJ20+BN200)/{2,4,8,16,32,64,128,256,512,1024,2048,4096,8192,16384,32768}),2))*{2,4,8,16,32,64,128,256,512,1024,2048,4096,8192,16384,32768})=0,0,2^SUMPRODUCT(--(MOD(SUMPRODUCT(MOD(INT(BO155/{2,4,8,16,32,64,128,256,512,1024,2048,4096,8192,16384,32768}),2)*(1-MOD(INT(($CJ20+BN200)/{2,4,8,16,32,64,128,256,512,1024,2048,4096,8192,16384,32768}),2))*{2,4,8,16,32,64,128,256,512,1024,2048,4096,8192,16384,32768}),{2,4,8,16,32,64,128,256,512,1024,2048,4096,8192,16384,32768})=0))))</f>
        <v/>
      </c>
      <c r="BP200">
        <f>BO200+IF(AND(BP110&gt;0,COUNTIF($Y110:BO110,BP110)=0),0,IF(SUMPRODUCT(MOD(INT(BP155/{2,4,8,16,32,64,128,256,512,1024,2048,4096,8192,16384,32768}),2)*(1-MOD(INT(($CJ20+BO200)/{2,4,8,16,32,64,128,256,512,1024,2048,4096,8192,16384,32768}),2))*{2,4,8,16,32,64,128,256,512,1024,2048,4096,8192,16384,32768})=0,0,2^SUMPRODUCT(--(MOD(SUMPRODUCT(MOD(INT(BP155/{2,4,8,16,32,64,128,256,512,1024,2048,4096,8192,16384,32768}),2)*(1-MOD(INT(($CJ20+BO200)/{2,4,8,16,32,64,128,256,512,1024,2048,4096,8192,16384,32768}),2))*{2,4,8,16,32,64,128,256,512,1024,2048,4096,8192,16384,32768}),{2,4,8,16,32,64,128,256,512,1024,2048,4096,8192,16384,32768})=0))))</f>
        <v/>
      </c>
      <c r="BQ200">
        <f>BP200+IF(AND(BQ110&gt;0,COUNTIF($Y110:BP110,BQ110)=0),0,IF(SUMPRODUCT(MOD(INT(BQ155/{2,4,8,16,32,64,128,256,512,1024,2048,4096,8192,16384,32768}),2)*(1-MOD(INT(($CJ20+BP200)/{2,4,8,16,32,64,128,256,512,1024,2048,4096,8192,16384,32768}),2))*{2,4,8,16,32,64,128,256,512,1024,2048,4096,8192,16384,32768})=0,0,2^SUMPRODUCT(--(MOD(SUMPRODUCT(MOD(INT(BQ155/{2,4,8,16,32,64,128,256,512,1024,2048,4096,8192,16384,32768}),2)*(1-MOD(INT(($CJ20+BP200)/{2,4,8,16,32,64,128,256,512,1024,2048,4096,8192,16384,32768}),2))*{2,4,8,16,32,64,128,256,512,1024,2048,4096,8192,16384,32768}),{2,4,8,16,32,64,128,256,512,1024,2048,4096,8192,16384,32768})=0))))</f>
        <v/>
      </c>
      <c r="BR200">
        <f>BQ200+IF(AND(BR110&gt;0,COUNTIF($Y110:BQ110,BR110)=0),0,IF(SUMPRODUCT(MOD(INT(BR155/{2,4,8,16,32,64,128,256,512,1024,2048,4096,8192,16384,32768}),2)*(1-MOD(INT(($CJ20+BQ200)/{2,4,8,16,32,64,128,256,512,1024,2048,4096,8192,16384,32768}),2))*{2,4,8,16,32,64,128,256,512,1024,2048,4096,8192,16384,32768})=0,0,2^SUMPRODUCT(--(MOD(SUMPRODUCT(MOD(INT(BR155/{2,4,8,16,32,64,128,256,512,1024,2048,4096,8192,16384,32768}),2)*(1-MOD(INT(($CJ20+BQ200)/{2,4,8,16,32,64,128,256,512,1024,2048,4096,8192,16384,32768}),2))*{2,4,8,16,32,64,128,256,512,1024,2048,4096,8192,16384,32768}),{2,4,8,16,32,64,128,256,512,1024,2048,4096,8192,16384,32768})=0))))</f>
        <v/>
      </c>
      <c r="BS200">
        <f>BR200+IF(AND(BS110&gt;0,COUNTIF($Y110:BR110,BS110)=0),0,IF(SUMPRODUCT(MOD(INT(BS155/{2,4,8,16,32,64,128,256,512,1024,2048,4096,8192,16384,32768}),2)*(1-MOD(INT(($CJ20+BR200)/{2,4,8,16,32,64,128,256,512,1024,2048,4096,8192,16384,32768}),2))*{2,4,8,16,32,64,128,256,512,1024,2048,4096,8192,16384,32768})=0,0,2^SUMPRODUCT(--(MOD(SUMPRODUCT(MOD(INT(BS155/{2,4,8,16,32,64,128,256,512,1024,2048,4096,8192,16384,32768}),2)*(1-MOD(INT(($CJ20+BR200)/{2,4,8,16,32,64,128,256,512,1024,2048,4096,8192,16384,32768}),2))*{2,4,8,16,32,64,128,256,512,1024,2048,4096,8192,16384,32768}),{2,4,8,16,32,64,128,256,512,1024,2048,4096,8192,16384,32768})=0))))</f>
        <v/>
      </c>
      <c r="BT200">
        <f>BS200+IF(AND(BT110&gt;0,COUNTIF($Y110:BS110,BT110)=0),0,IF(SUMPRODUCT(MOD(INT(BT155/{2,4,8,16,32,64,128,256,512,1024,2048,4096,8192,16384,32768}),2)*(1-MOD(INT(($CJ20+BS200)/{2,4,8,16,32,64,128,256,512,1024,2048,4096,8192,16384,32768}),2))*{2,4,8,16,32,64,128,256,512,1024,2048,4096,8192,16384,32768})=0,0,2^SUMPRODUCT(--(MOD(SUMPRODUCT(MOD(INT(BT155/{2,4,8,16,32,64,128,256,512,1024,2048,4096,8192,16384,32768}),2)*(1-MOD(INT(($CJ20+BS200)/{2,4,8,16,32,64,128,256,512,1024,2048,4096,8192,16384,32768}),2))*{2,4,8,16,32,64,128,256,512,1024,2048,4096,8192,16384,32768}),{2,4,8,16,32,64,128,256,512,1024,2048,4096,8192,16384,32768})=0))))</f>
        <v/>
      </c>
      <c r="BU200">
        <f>BT200+IF(AND(BU110&gt;0,COUNTIF($Y110:BT110,BU110)=0),0,IF(SUMPRODUCT(MOD(INT(BU155/{2,4,8,16,32,64,128,256,512,1024,2048,4096,8192,16384,32768}),2)*(1-MOD(INT(($CJ20+BT200)/{2,4,8,16,32,64,128,256,512,1024,2048,4096,8192,16384,32768}),2))*{2,4,8,16,32,64,128,256,512,1024,2048,4096,8192,16384,32768})=0,0,2^SUMPRODUCT(--(MOD(SUMPRODUCT(MOD(INT(BU155/{2,4,8,16,32,64,128,256,512,1024,2048,4096,8192,16384,32768}),2)*(1-MOD(INT(($CJ20+BT200)/{2,4,8,16,32,64,128,256,512,1024,2048,4096,8192,16384,32768}),2))*{2,4,8,16,32,64,128,256,512,1024,2048,4096,8192,16384,32768}),{2,4,8,16,32,64,128,256,512,1024,2048,4096,8192,16384,32768})=0))))</f>
        <v/>
      </c>
      <c r="BV200">
        <f>BU200+IF(AND(BV110&gt;0,COUNTIF($Y110:BU110,BV110)=0),0,IF(SUMPRODUCT(MOD(INT(BV155/{2,4,8,16,32,64,128,256,512,1024,2048,4096,8192,16384,32768}),2)*(1-MOD(INT(($CJ20+BU200)/{2,4,8,16,32,64,128,256,512,1024,2048,4096,8192,16384,32768}),2))*{2,4,8,16,32,64,128,256,512,1024,2048,4096,8192,16384,32768})=0,0,2^SUMPRODUCT(--(MOD(SUMPRODUCT(MOD(INT(BV155/{2,4,8,16,32,64,128,256,512,1024,2048,4096,8192,16384,32768}),2)*(1-MOD(INT(($CJ20+BU200)/{2,4,8,16,32,64,128,256,512,1024,2048,4096,8192,16384,32768}),2))*{2,4,8,16,32,64,128,256,512,1024,2048,4096,8192,16384,32768}),{2,4,8,16,32,64,128,256,512,1024,2048,4096,8192,16384,32768})=0))))</f>
        <v/>
      </c>
      <c r="BW200">
        <f>BV200+IF(AND(BW110&gt;0,COUNTIF($Y110:BV110,BW110)=0),0,IF(SUMPRODUCT(MOD(INT(BW155/{2,4,8,16,32,64,128,256,512,1024,2048,4096,8192,16384,32768}),2)*(1-MOD(INT(($CJ20+BV200)/{2,4,8,16,32,64,128,256,512,1024,2048,4096,8192,16384,32768}),2))*{2,4,8,16,32,64,128,256,512,1024,2048,4096,8192,16384,32768})=0,0,2^SUMPRODUCT(--(MOD(SUMPRODUCT(MOD(INT(BW155/{2,4,8,16,32,64,128,256,512,1024,2048,4096,8192,16384,32768}),2)*(1-MOD(INT(($CJ20+BV200)/{2,4,8,16,32,64,128,256,512,1024,2048,4096,8192,16384,32768}),2))*{2,4,8,16,32,64,128,256,512,1024,2048,4096,8192,16384,32768}),{2,4,8,16,32,64,128,256,512,1024,2048,4096,8192,16384,32768})=0))))</f>
        <v/>
      </c>
      <c r="BX200">
        <f>BW200+IF(AND(BX110&gt;0,COUNTIF($Y110:BW110,BX110)=0),0,IF(SUMPRODUCT(MOD(INT(BX155/{2,4,8,16,32,64,128,256,512,1024,2048,4096,8192,16384,32768}),2)*(1-MOD(INT(($CJ20+BW200)/{2,4,8,16,32,64,128,256,512,1024,2048,4096,8192,16384,32768}),2))*{2,4,8,16,32,64,128,256,512,1024,2048,4096,8192,16384,32768})=0,0,2^SUMPRODUCT(--(MOD(SUMPRODUCT(MOD(INT(BX155/{2,4,8,16,32,64,128,256,512,1024,2048,4096,8192,16384,32768}),2)*(1-MOD(INT(($CJ20+BW200)/{2,4,8,16,32,64,128,256,512,1024,2048,4096,8192,16384,32768}),2))*{2,4,8,16,32,64,128,256,512,1024,2048,4096,8192,16384,32768}),{2,4,8,16,32,64,128,256,512,1024,2048,4096,8192,16384,32768})=0))))</f>
        <v/>
      </c>
      <c r="BY200">
        <f>BX200+IF(AND(BY110&gt;0,COUNTIF($Y110:BX110,BY110)=0),0,IF(SUMPRODUCT(MOD(INT(BY155/{2,4,8,16,32,64,128,256,512,1024,2048,4096,8192,16384,32768}),2)*(1-MOD(INT(($CJ20+BX200)/{2,4,8,16,32,64,128,256,512,1024,2048,4096,8192,16384,32768}),2))*{2,4,8,16,32,64,128,256,512,1024,2048,4096,8192,16384,32768})=0,0,2^SUMPRODUCT(--(MOD(SUMPRODUCT(MOD(INT(BY155/{2,4,8,16,32,64,128,256,512,1024,2048,4096,8192,16384,32768}),2)*(1-MOD(INT(($CJ20+BX200)/{2,4,8,16,32,64,128,256,512,1024,2048,4096,8192,16384,32768}),2))*{2,4,8,16,32,64,128,256,512,1024,2048,4096,8192,16384,32768}),{2,4,8,16,32,64,128,256,512,1024,2048,4096,8192,16384,32768})=0))))</f>
        <v/>
      </c>
      <c r="BZ200">
        <f>BY200+IF(AND(BZ110&gt;0,COUNTIF($Y110:BY110,BZ110)=0),0,IF(SUMPRODUCT(MOD(INT(BZ155/{2,4,8,16,32,64,128,256,512,1024,2048,4096,8192,16384,32768}),2)*(1-MOD(INT(($CJ20+BY200)/{2,4,8,16,32,64,128,256,512,1024,2048,4096,8192,16384,32768}),2))*{2,4,8,16,32,64,128,256,512,1024,2048,4096,8192,16384,32768})=0,0,2^SUMPRODUCT(--(MOD(SUMPRODUCT(MOD(INT(BZ155/{2,4,8,16,32,64,128,256,512,1024,2048,4096,8192,16384,32768}),2)*(1-MOD(INT(($CJ20+BY200)/{2,4,8,16,32,64,128,256,512,1024,2048,4096,8192,16384,32768}),2))*{2,4,8,16,32,64,128,256,512,1024,2048,4096,8192,16384,32768}),{2,4,8,16,32,64,128,256,512,1024,2048,4096,8192,16384,32768})=0))))</f>
        <v/>
      </c>
      <c r="CA200">
        <f>BZ200+IF(AND(CA110&gt;0,COUNTIF($Y110:BZ110,CA110)=0),0,IF(SUMPRODUCT(MOD(INT(CA155/{2,4,8,16,32,64,128,256,512,1024,2048,4096,8192,16384,32768}),2)*(1-MOD(INT(($CJ20+BZ200)/{2,4,8,16,32,64,128,256,512,1024,2048,4096,8192,16384,32768}),2))*{2,4,8,16,32,64,128,256,512,1024,2048,4096,8192,16384,32768})=0,0,2^SUMPRODUCT(--(MOD(SUMPRODUCT(MOD(INT(CA155/{2,4,8,16,32,64,128,256,512,1024,2048,4096,8192,16384,32768}),2)*(1-MOD(INT(($CJ20+BZ200)/{2,4,8,16,32,64,128,256,512,1024,2048,4096,8192,16384,32768}),2))*{2,4,8,16,32,64,128,256,512,1024,2048,4096,8192,16384,32768}),{2,4,8,16,32,64,128,256,512,1024,2048,4096,8192,16384,32768})=0))))</f>
        <v/>
      </c>
      <c r="CB200">
        <f>CA200+IF(AND(CB110&gt;0,COUNTIF($Y110:CA110,CB110)=0),0,IF(SUMPRODUCT(MOD(INT(CB155/{2,4,8,16,32,64,128,256,512,1024,2048,4096,8192,16384,32768}),2)*(1-MOD(INT(($CJ20+CA200)/{2,4,8,16,32,64,128,256,512,1024,2048,4096,8192,16384,32768}),2))*{2,4,8,16,32,64,128,256,512,1024,2048,4096,8192,16384,32768})=0,0,2^SUMPRODUCT(--(MOD(SUMPRODUCT(MOD(INT(CB155/{2,4,8,16,32,64,128,256,512,1024,2048,4096,8192,16384,32768}),2)*(1-MOD(INT(($CJ20+CA200)/{2,4,8,16,32,64,128,256,512,1024,2048,4096,8192,16384,32768}),2))*{2,4,8,16,32,64,128,256,512,1024,2048,4096,8192,16384,32768}),{2,4,8,16,32,64,128,256,512,1024,2048,4096,8192,16384,32768})=0))))</f>
        <v/>
      </c>
      <c r="CC200">
        <f>CB200+IF(AND(CC110&gt;0,COUNTIF($Y110:CB110,CC110)=0),0,IF(SUMPRODUCT(MOD(INT(CC155/{2,4,8,16,32,64,128,256,512,1024,2048,4096,8192,16384,32768}),2)*(1-MOD(INT(($CJ20+CB200)/{2,4,8,16,32,64,128,256,512,1024,2048,4096,8192,16384,32768}),2))*{2,4,8,16,32,64,128,256,512,1024,2048,4096,8192,16384,32768})=0,0,2^SUMPRODUCT(--(MOD(SUMPRODUCT(MOD(INT(CC155/{2,4,8,16,32,64,128,256,512,1024,2048,4096,8192,16384,32768}),2)*(1-MOD(INT(($CJ20+CB200)/{2,4,8,16,32,64,128,256,512,1024,2048,4096,8192,16384,32768}),2))*{2,4,8,16,32,64,128,256,512,1024,2048,4096,8192,16384,32768}),{2,4,8,16,32,64,128,256,512,1024,2048,4096,8192,16384,32768})=0))))</f>
        <v/>
      </c>
      <c r="CD200">
        <f>CC200+IF(AND(CD110&gt;0,COUNTIF($Y110:CC110,CD110)=0),0,IF(SUMPRODUCT(MOD(INT(CD155/{2,4,8,16,32,64,128,256,512,1024,2048,4096,8192,16384,32768}),2)*(1-MOD(INT(($CJ20+CC200)/{2,4,8,16,32,64,128,256,512,1024,2048,4096,8192,16384,32768}),2))*{2,4,8,16,32,64,128,256,512,1024,2048,4096,8192,16384,32768})=0,0,2^SUMPRODUCT(--(MOD(SUMPRODUCT(MOD(INT(CD155/{2,4,8,16,32,64,128,256,512,1024,2048,4096,8192,16384,32768}),2)*(1-MOD(INT(($CJ20+CC200)/{2,4,8,16,32,64,128,256,512,1024,2048,4096,8192,16384,32768}),2))*{2,4,8,16,32,64,128,256,512,1024,2048,4096,8192,16384,32768}),{2,4,8,16,32,64,128,256,512,1024,2048,4096,8192,16384,32768})=0))))</f>
        <v/>
      </c>
      <c r="CE200">
        <f>CD200+IF(AND(CE110&gt;0,COUNTIF($Y110:CD110,CE110)=0),0,IF(SUMPRODUCT(MOD(INT(CE155/{2,4,8,16,32,64,128,256,512,1024,2048,4096,8192,16384,32768}),2)*(1-MOD(INT(($CJ20+CD200)/{2,4,8,16,32,64,128,256,512,1024,2048,4096,8192,16384,32768}),2))*{2,4,8,16,32,64,128,256,512,1024,2048,4096,8192,16384,32768})=0,0,2^SUMPRODUCT(--(MOD(SUMPRODUCT(MOD(INT(CE155/{2,4,8,16,32,64,128,256,512,1024,2048,4096,8192,16384,32768}),2)*(1-MOD(INT(($CJ20+CD200)/{2,4,8,16,32,64,128,256,512,1024,2048,4096,8192,16384,32768}),2))*{2,4,8,16,32,64,128,256,512,1024,2048,4096,8192,16384,32768}),{2,4,8,16,32,64,128,256,512,1024,2048,4096,8192,16384,32768})=0))))</f>
        <v/>
      </c>
      <c r="CF200">
        <f>CE200+IF(AND(CF110&gt;0,COUNTIF($Y110:CE110,CF110)=0),0,IF(SUMPRODUCT(MOD(INT(CF155/{2,4,8,16,32,64,128,256,512,1024,2048,4096,8192,16384,32768}),2)*(1-MOD(INT(($CJ20+CE200)/{2,4,8,16,32,64,128,256,512,1024,2048,4096,8192,16384,32768}),2))*{2,4,8,16,32,64,128,256,512,1024,2048,4096,8192,16384,32768})=0,0,2^SUMPRODUCT(--(MOD(SUMPRODUCT(MOD(INT(CF155/{2,4,8,16,32,64,128,256,512,1024,2048,4096,8192,16384,32768}),2)*(1-MOD(INT(($CJ20+CE200)/{2,4,8,16,32,64,128,256,512,1024,2048,4096,8192,16384,32768}),2))*{2,4,8,16,32,64,128,256,512,1024,2048,4096,8192,16384,32768}),{2,4,8,16,32,64,128,256,512,1024,2048,4096,8192,16384,32768})=0))))</f>
        <v/>
      </c>
      <c r="DA200" t="n">
        <v>196</v>
      </c>
      <c r="DB200">
        <f>IF($B$37=0,"",IFERROR(TRIM(SUBSTITUTE(SUBSTITUTE(SUBSTITUTE(SUBSTITUTE(INDEX(PASTE_ALL,196,$B$37)," "," "),CHAR(9)," "),CHAR(10)," "),CHAR(13)," ")),""))</f>
        <v/>
      </c>
      <c r="DC200">
        <f>IF(AND(196&gt;HEADER_ROW,UPPER(DB200)="LEGEND"),1,0)</f>
        <v/>
      </c>
      <c r="DE200" t="n">
        <v>196</v>
      </c>
      <c r="DF200">
        <f>HEADER_ROW+$DE200</f>
        <v/>
      </c>
      <c r="DG200">
        <f>IF(AND($DF200&lt;=1000,$DF200&lt;$B$8),1,0)</f>
        <v/>
      </c>
      <c r="DH200">
        <f>IF($DG200=1,IFERROR(INDEX($DB$5:$DB$1004,$DF200),""),"")</f>
        <v/>
      </c>
      <c r="DI200">
        <f>IF(AND($DG200=1,$DH200&lt;&gt;""),IFERROR(SUBSTITUTE(SUBSTITUTE(TRIM(SUBSTITUTE(SUBSTITUTE(SUBSTITUTE(SUBSTITUTE(IFERROR(INDEX(PASTE_ALL,$DF200,1)&amp;"","")&amp;"␟"&amp;IFERROR(INDEX(PASTE_ALL,$DF200,2)&amp;"","")&amp;"␟"&amp;IFERROR(INDEX(PASTE_ALL,$DF200,3)&amp;"","")&amp;"␟"&amp;IFERROR(INDEX(PASTE_ALL,$DF200,4)&amp;"","")&amp;"␟"&amp;IFERROR(INDEX(PASTE_ALL,$DF200,5)&amp;"","")&amp;"␟"&amp;IFERROR(INDEX(PASTE_ALL,$DF200,6)&amp;"","")&amp;"␟"&amp;IFERROR(INDEX(PASTE_ALL,$DF200,7)&amp;"","")&amp;"␟"&amp;IFERROR(INDEX(PASTE_ALL,$DF200,8)&amp;"","")&amp;"␟"&amp;IFERROR(INDEX(PASTE_ALL,$DF200,9)&amp;"","")&amp;"␟"&amp;IFERROR(INDEX(PASTE_ALL,$DF200,10)&amp;"","")&amp;"␟"&amp;IFERROR(INDEX(PASTE_ALL,$DF200,11)&amp;"","")&amp;"␟"&amp;IFERROR(INDEX(PASTE_ALL,$DF200,12)&amp;"","")&amp;"␟"&amp;IFERROR(INDEX(PASTE_ALL,$DF200,13)&amp;"","")&amp;"␟"&amp;IFERROR(INDEX(PASTE_ALL,$DF200,14)&amp;"","")&amp;"␟"&amp;IFERROR(INDEX(PASTE_ALL,$DF200,15)&amp;"","")&amp;"␟"&amp;IFERROR(INDEX(PASTE_ALL,$DF200,16)&amp;"","")&amp;"␟"&amp;IFERROR(INDEX(PASTE_ALL,$DF200,17)&amp;"","")&amp;"␟"&amp;IFERROR(INDEX(PASTE_ALL,$DF200,18)&amp;"","")&amp;"␟"&amp;IFERROR(INDEX(PASTE_ALL,$DF200,19)&amp;"","")&amp;"␟"&amp;IFERROR(INDEX(PASTE_ALL,$DF200,20)&amp;"","")&amp;"␟"&amp;IFERROR(INDEX(PASTE_ALL,$DF200,21)&amp;"","")&amp;"␟"&amp;IFERROR(INDEX(PASTE_ALL,$DF200,22)&amp;"","")&amp;"␟"&amp;IFERROR(INDEX(PASTE_ALL,$DF200,23)&amp;"","")&amp;"␟"&amp;IFERROR(INDEX(PASTE_ALL,$DF200,24)&amp;"","")&amp;"␟"&amp;IFERROR(INDEX(PASTE_ALL,$DF200,25)&amp;"","")&amp;"␟"&amp;IFERROR(INDEX(PASTE_ALL,$DF200,26)&amp;"","")&amp;"␟"&amp;IFERROR(INDEX(PASTE_ALL,$DF200,27)&amp;"","")&amp;"␟"&amp;IFERROR(INDEX(PASTE_ALL,$DF200,28)&amp;"","")&amp;"␟"&amp;IFERROR(INDEX(PASTE_ALL,$DF200,29)&amp;"","")&amp;"␟"&amp;IFERROR(INDEX(PASTE_ALL,$DF200,30)&amp;"","")&amp;"␟"&amp;IFERROR(INDEX(PASTE_ALL,$DF200,31)&amp;"","")&amp;"␟"&amp;IFERROR(INDEX(PASTE_ALL,$DF200,32)&amp;"","")&amp;"␟"&amp;IFERROR(INDEX(PASTE_ALL,$DF200,33)&amp;"","")&amp;"␟"&amp;IFERROR(INDEX(PASTE_ALL,$DF200,34)&amp;"","")&amp;"␟"&amp;IFERROR(INDEX(PASTE_ALL,$DF200,35)&amp;"","")&amp;"␟"&amp;IFERROR(INDEX(PASTE_ALL,$DF200,36)&amp;"","")&amp;"␟"&amp;IFERROR(INDEX(PASTE_ALL,$DF200,37)&amp;"","")&amp;"␟"&amp;IFERROR(INDEX(PASTE_ALL,$DF200,38)&amp;"","")&amp;"␟"&amp;IFERROR(INDEX(PASTE_ALL,$DF200,39)&amp;"","")&amp;"␟"&amp;IFERROR(INDEX(PASTE_ALL,$DF200,40)&amp;"","")&amp;"␟"&amp;IFERROR(INDEX(PASTE_ALL,$DF200,41)&amp;"","")&amp;"␟"&amp;IFERROR(INDEX(PASTE_ALL,$DF200,42)&amp;"","")&amp;"␟"&amp;IFERROR(INDEX(PASTE_ALL,$DF200,43)&amp;"","")&amp;"␟"&amp;IFERROR(INDEX(PASTE_ALL,$DF200,44)&amp;"","")&amp;"␟"&amp;IFERROR(INDEX(PASTE_ALL,$DF200,45)&amp;"","")&amp;"␟"&amp;IFERROR(INDEX(PASTE_ALL,$DF200,46)&amp;"","")&amp;"␟"&amp;IFERROR(INDEX(PASTE_ALL,$DF200,47)&amp;"","")&amp;"␟"&amp;IFERROR(INDEX(PASTE_ALL,$DF200,48)&amp;"","")&amp;"␟"&amp;IFERROR(INDEX(PASTE_ALL,$DF200,49)&amp;"","")&amp;"␟"&amp;IFERROR(INDEX(PASTE_ALL,$DF200,50)&amp;"","")&amp;"␟"&amp;IFERROR(INDEX(PASTE_ALL,$DF200,51)&amp;"","")&amp;"␟"&amp;IFERROR(INDEX(PASTE_ALL,$DF200,52)&amp;"","")&amp;"␟"&amp;IFERROR(INDEX(PASTE_ALL,$DF200,53)&amp;"","")&amp;"␟"&amp;IFERROR(INDEX(PASTE_ALL,$DF200,54)&amp;"","")&amp;"␟"&amp;IFERROR(INDEX(PASTE_ALL,$DF200,55)&amp;"","")&amp;"␟"&amp;IFERROR(INDEX(PASTE_ALL,$DF200,56)&amp;"","")&amp;"␟"&amp;IFERROR(INDEX(PASTE_ALL,$DF200,57)&amp;"","")&amp;"␟"&amp;IFERROR(INDEX(PASTE_ALL,$DF200,58)&amp;"","")&amp;"␟"&amp;IFERROR(INDEX(PASTE_ALL,$DF200,59)&amp;"","")&amp;"␟"&amp;IFERROR(INDEX(PASTE_ALL,$DF200,60)&amp;"","")," "," "),CHAR(9)," "),CHAR(10)," "),CHAR(13)," "))," ␟","␟"),"␟ ","␟"),"#"&amp;$DE200),"")</f>
        <v/>
      </c>
      <c r="DJ200">
        <f>IF($DI200="",0,IF(SUMPRODUCT(--EXACT($DI$4:DI199,$DI200))&gt;0,1,0))</f>
        <v/>
      </c>
      <c r="DK200">
        <f>IF(AND($DI200&lt;&gt;"",$DJ200=0),1,0)</f>
        <v/>
      </c>
      <c r="DL200">
        <f>DL199+$DK200</f>
        <v/>
      </c>
      <c r="DM200">
        <f>IF(AND($DK200=1,$DL200&lt;=600),1,0)</f>
        <v/>
      </c>
      <c r="DN200">
        <f>IF($DM200=0,"",IF($L$6=0,"",IFERROR(IF(ISNUMBER(INDEX(PASTE_ALL,$DF200,$L$6)),INDEX(PASTE_ALL,$DF200,$L$6),TRIM(SUBSTITUTE(SUBSTITUTE(SUBSTITUTE(SUBSTITUTE(INDEX(PASTE_ALL,$DF200,$L$6)," "," "),CHAR(9)," "),CHAR(10)," "),CHAR(13)," "))),"")))</f>
        <v/>
      </c>
      <c r="DO200">
        <f>IF($DM200=0,"",IF($L$7=0,"",IFERROR(IF(ISNUMBER(INDEX(PASTE_ALL,$DF200,$L$7)),INDEX(PASTE_ALL,$DF200,$L$7),TRIM(SUBSTITUTE(SUBSTITUTE(SUBSTITUTE(SUBSTITUTE(INDEX(PASTE_ALL,$DF200,$L$7)," "," "),CHAR(9)," "),CHAR(10)," "),CHAR(13)," "))),"")))</f>
        <v/>
      </c>
      <c r="DP200">
        <f>IF($DM200=0,"",IF($L$8=0,"",IFERROR(IF(ISNUMBER(INDEX(PASTE_ALL,$DF200,$L$8)),INDEX(PASTE_ALL,$DF200,$L$8),TRIM(SUBSTITUTE(SUBSTITUTE(SUBSTITUTE(SUBSTITUTE(INDEX(PASTE_ALL,$DF200,$L$8)," "," "),CHAR(9)," "),CHAR(10)," "),CHAR(13)," "))),"")))</f>
        <v/>
      </c>
      <c r="DQ200">
        <f>IF($DM200=0,"",IF($L$9=0,"",IFERROR(IF(ISNUMBER(INDEX(PASTE_ALL,$DF200,$L$9)),INDEX(PASTE_ALL,$DF200,$L$9),TRIM(SUBSTITUTE(SUBSTITUTE(SUBSTITUTE(SUBSTITUTE(INDEX(PASTE_ALL,$DF200,$L$9)," "," "),CHAR(9)," "),CHAR(10)," "),CHAR(13)," "))),"")))</f>
        <v/>
      </c>
      <c r="DR200">
        <f>IF($DM200=0,"",IF($L$10=0,"",IFERROR(IF(ISNUMBER(INDEX(PASTE_ALL,$DF200,$L$10)),INDEX(PASTE_ALL,$DF200,$L$10),TRIM(SUBSTITUTE(SUBSTITUTE(SUBSTITUTE(SUBSTITUTE(INDEX(PASTE_ALL,$DF200,$L$10)," "," "),CHAR(9)," "),CHAR(10)," "),CHAR(13)," "))),"")))</f>
        <v/>
      </c>
      <c r="DS200">
        <f>IF($DM200=0,"",IF($L$11=0,"",IFERROR(IF(ISNUMBER(INDEX(PASTE_ALL,$DF200,$L$11)),INDEX(PASTE_ALL,$DF200,$L$11),TRIM(SUBSTITUTE(SUBSTITUTE(SUBSTITUTE(SUBSTITUTE(INDEX(PASTE_ALL,$DF200,$L$11)," "," "),CHAR(9)," "),CHAR(10)," "),CHAR(13)," "))),"")))</f>
        <v/>
      </c>
      <c r="DT200">
        <f>IF($DM200=0,"",IF($L$12=0,"",IFERROR(IF(ISNUMBER(INDEX(PASTE_ALL,$DF200,$L$12)),INDEX(PASTE_ALL,$DF200,$L$12),TRIM(SUBSTITUTE(SUBSTITUTE(SUBSTITUTE(SUBSTITUTE(INDEX(PASTE_ALL,$DF200,$L$12)," "," "),CHAR(9)," "),CHAR(10)," "),CHAR(13)," "))),"")))</f>
        <v/>
      </c>
      <c r="DU200">
        <f>IF($DM200=0,"",IF($L$13=0,"",IFERROR(IF(ISNUMBER(INDEX(PASTE_ALL,$DF200,$L$13)),INDEX(PASTE_ALL,$DF200,$L$13),TRIM(SUBSTITUTE(SUBSTITUTE(SUBSTITUTE(SUBSTITUTE(INDEX(PASTE_ALL,$DF200,$L$13)," "," "),CHAR(9)," "),CHAR(10)," "),CHAR(13)," "))),"")))</f>
        <v/>
      </c>
      <c r="DV200">
        <f>IF($DM200=0,"",IF($L$14=0,"",IFERROR(IF(ISNUMBER(INDEX(PASTE_ALL,$DF200,$L$14)),INDEX(PASTE_ALL,$DF200,$L$14),TRIM(SUBSTITUTE(SUBSTITUTE(SUBSTITUTE(SUBSTITUTE(INDEX(PASTE_ALL,$DF200,$L$14)," "," "),CHAR(9)," "),CHAR(10)," "),CHAR(13)," "))),"")))</f>
        <v/>
      </c>
      <c r="DW200">
        <f>IF($DM200=0,"",IF($L$15=0,"",IFERROR(IF(ISNUMBER(INDEX(PASTE_ALL,$DF200,$L$15)),INDEX(PASTE_ALL,$DF200,$L$15),IF(SUMPRODUCT(--ISNUMBER(FIND({"A","B","C","D","E","F","G","H","I","J","K","L","M","N","O","P","Q","R","S","T","U","V","W","X","Y","Z","0","1","2","3","4","5","6","7","8","9"},UPPER(TRIM(SUBSTITUTE(SUBSTITUTE(SUBSTITUTE(SUBSTITUTE(INDEX(PASTE_ALL,$DF200,$L$15)," "," "),CHAR(9)," "),CHAR(10)," "),CHAR(13)," "))))))&gt;0,TRIM(SUBSTITUTE(SUBSTITUTE(SUBSTITUTE(SUBSTITUTE(INDEX(PASTE_ALL,$DF200,$L$15)," "," "),CHAR(9)," "),CHAR(10)," "),CHAR(13)," ")),"")),"")))</f>
        <v/>
      </c>
      <c r="DX200">
        <f>IF($DM200=0,"",IF($L$16=0,"",IFERROR(IF(ISNUMBER(INDEX(PASTE_ALL,$DF200,$L$16)),INDEX(PASTE_ALL,$DF200,$L$16),SUBSTITUTE(SUBSTITUTE(TRIM(SUBSTITUTE(SUBSTITUTE(SUBSTITUTE(SUBSTITUTE(INDEX(PASTE_ALL,$DF200,$L$16)," "," "),CHAR(9)," "),CHAR(10)," "),CHAR(13)," ")),",",""),"%","")),"")))</f>
        <v/>
      </c>
      <c r="DY200">
        <f>IF($DM200=0,"",IFERROR(IF(ISNUMBER($DX200),$DX200,IF($DX200="","",IF(TRIM($DX200)="",0,IF(AND(AND(SUBSTITUTE(SUBSTITUTE(SUBSTITUTE(SUBSTITUTE(SUBSTITUTE(SUBSTITUTE(SUBSTITUTE(SUBSTITUTE(SUBSTITUTE(SUBSTITUTE(SUBSTITUTE(SUBSTITUTE(SUBSTITUTE(SUBSTITUTE(UPPER(TRIM($DX200)),"0",""),"1",""),"2",""),"3",""),"4",""),"5",""),"6",""),"7",""),"8",""),"9",""),".",""),"+",""),"-",""),"E","")="",LEN(SUBSTITUTE(SUBSTITUTE(MID(UPPER(TRIM($DX200)),1+OR(LEFT(UPPER(TRIM($DX200)),1)="+",LEFT(UPPER(TRIM($DX200)),1)="-"),999),"E+","E"),"E-","E"))=LEN(SUBSTITUTE(SUBSTITUTE(SUBSTITUTE(SUBSTITUTE(MID(UPPER(TRIM($DX200)),1+OR(LEFT(UPPER(TRIM($DX200)),1)="+",LEFT(UPPER(TRIM($DX200)),1)="-"),999),"E+","E"),"E-","E"),"+",""),"-","")),LEN(UPPER(TRIM($DX200)))-LEN(SUBSTITUTE(UPPER(TRIM($DX200)),"E",""))&lt;2,LEN(UPPER(TRIM($DX200)))-LEN(SUBSTITUTE(UPPER(TRIM($DX200)),".",""))&lt;2,IFERROR(FIND(".",UPPER(TRIM($DX200))),0)&lt;IFERROR(FIND("E",UPPER(TRIM($DX200))),999)),ISNUMBER(VALUE(TRIM($DX200)))),VALUE(TRIM($DX200)),"")))),""))</f>
        <v/>
      </c>
      <c r="DZ200">
        <f>IF($DM200=0,"",IF($L$17=0,"",IFERROR(IF(ISNUMBER(INDEX(PASTE_ALL,$DF200,$L$17)),INDEX(PASTE_ALL,$DF200,$L$17),SUBSTITUTE(SUBSTITUTE(TRIM(SUBSTITUTE(SUBSTITUTE(SUBSTITUTE(SUBSTITUTE(INDEX(PASTE_ALL,$DF200,$L$17)," "," "),CHAR(9)," "),CHAR(10)," "),CHAR(13)," ")),",",""),"%","")),"")))</f>
        <v/>
      </c>
      <c r="EA200">
        <f>IF($DM200=0,"",IFERROR(IF(ISNUMBER($DZ200),$DZ200,IF($DZ200="","",IF(TRIM($DZ200)="",0,IF(AND(AND(SUBSTITUTE(SUBSTITUTE(SUBSTITUTE(SUBSTITUTE(SUBSTITUTE(SUBSTITUTE(SUBSTITUTE(SUBSTITUTE(SUBSTITUTE(SUBSTITUTE(SUBSTITUTE(SUBSTITUTE(SUBSTITUTE(SUBSTITUTE(UPPER(TRIM($DZ200)),"0",""),"1",""),"2",""),"3",""),"4",""),"5",""),"6",""),"7",""),"8",""),"9",""),".",""),"+",""),"-",""),"E","")="",LEN(SUBSTITUTE(SUBSTITUTE(MID(UPPER(TRIM($DZ200)),1+OR(LEFT(UPPER(TRIM($DZ200)),1)="+",LEFT(UPPER(TRIM($DZ200)),1)="-"),999),"E+","E"),"E-","E"))=LEN(SUBSTITUTE(SUBSTITUTE(SUBSTITUTE(SUBSTITUTE(MID(UPPER(TRIM($DZ200)),1+OR(LEFT(UPPER(TRIM($DZ200)),1)="+",LEFT(UPPER(TRIM($DZ200)),1)="-"),999),"E+","E"),"E-","E"),"+",""),"-","")),LEN(UPPER(TRIM($DZ200)))-LEN(SUBSTITUTE(UPPER(TRIM($DZ200)),"E",""))&lt;2,LEN(UPPER(TRIM($DZ200)))-LEN(SUBSTITUTE(UPPER(TRIM($DZ200)),".",""))&lt;2,IFERROR(FIND(".",UPPER(TRIM($DZ200))),0)&lt;IFERROR(FIND("E",UPPER(TRIM($DZ200))),999)),ISNUMBER(VALUE(TRIM($DZ200)))),VALUE(TRIM($DZ200)),"")))),""))</f>
        <v/>
      </c>
      <c r="EB200">
        <f>IF($DM200=0,"",IF($L$18=0,"",IFERROR(IF(UPPER(TRIM(SUBSTITUTE(SUBSTITUTE(SUBSTITUTE(SUBSTITUTE(INDEX(PASTE_ALL,$DF200,$L$18)," "," "),CHAR(9)," "),CHAR(10)," "),CHAR(13)," ")))="READY","Ready",IF(UPPER(TRIM(SUBSTITUTE(SUBSTITUTE(SUBSTITUTE(SUBSTITUTE(INDEX(PASTE_ALL,$DF200,$L$18)," "," "),CHAR(9)," "),CHAR(10)," "),CHAR(13)," ")))="PM","PM",IF(OR(UPPER(TRIM(SUBSTITUTE(SUBSTITUTE(SUBSTITUTE(SUBSTITUTE(INDEX(PASTE_ALL,$DF200,$L$18)," "," "),CHAR(9)," "),CHAR(10)," "),CHAR(13)," ")))="OT",UPPER(TRIM(SUBSTITUTE(SUBSTITUTE(SUBSTITUTE(SUBSTITUTE(INDEX(PASTE_ALL,$DF200,$L$18)," "," "),CHAR(9)," "),CHAR(10)," "),CHAR(13)," ")))="OVERTIME",UPPER(TRIM(SUBSTITUTE(SUBSTITUTE(SUBSTITUTE(SUBSTITUTE(INDEX(PASTE_ALL,$DF200,$L$18)," "," "),CHAR(9)," "),CHAR(10)," "),CHAR(13)," ")))="TRIAL"),"OT",TRIM(SUBSTITUTE(SUBSTITUTE(SUBSTITUTE(SUBSTITUTE(INDEX(PASTE_ALL,$DF200,$L$18)," "," "),CHAR(9)," "),CHAR(10)," "),CHAR(13)," "))))),"")))</f>
        <v/>
      </c>
      <c r="EC200">
        <f>IF($DM200=0,"",IF($L$19=0,"",IFERROR(IF(ISNUMBER(INDEX(PASTE_ALL,$DF200,$L$19)),INDEX(PASTE_ALL,$DF200,$L$19),TRIM(SUBSTITUTE(SUBSTITUTE(SUBSTITUTE(SUBSTITUTE(INDEX(PASTE_ALL,$DF200,$L$19)," "," "),CHAR(9)," "),CHAR(10)," "),CHAR(13)," "))),"")))</f>
        <v/>
      </c>
      <c r="ED200">
        <f>IF($DM200=0,"",MATCH(1,INDEX(EXACT($DH$5:DH200,$DH200)*$DM$5:DM200,0),0))</f>
        <v/>
      </c>
      <c r="EE200">
        <f>IF($DM200=0,0,IF($ED200=$DE200,1,0))</f>
        <v/>
      </c>
      <c r="EF200">
        <f>EF199+$EE200</f>
        <v/>
      </c>
      <c r="EG200">
        <f>IF($DM200=0,"",INDEX($EF$5:$EF$1003,$ED200))</f>
        <v/>
      </c>
      <c r="EH200">
        <f>IF($DM200=0,"",IF($DO200&lt;&gt;"","",IFERROR(LOOKUP(2,1/(($EG$4:EG199=$EG200)*($DO$4:DO199&lt;&gt;"")),$DO$4:DO199),"")))</f>
        <v/>
      </c>
      <c r="EI200">
        <f>IF($DM200=0,"",IF($DO200&lt;&gt;"",$DO200,$EH200))</f>
        <v/>
      </c>
      <c r="EJ200">
        <f>IF($DM200=0,"",IF($EI200="",0,IF(OR(ISNUMBER($EI200),AND(AND(SUBSTITUTE(SUBSTITUTE(SUBSTITUTE(SUBSTITUTE(SUBSTITUTE(SUBSTITUTE(SUBSTITUTE(SUBSTITUTE(SUBSTITUTE(SUBSTITUTE(SUBSTITUTE(SUBSTITUTE(SUBSTITUTE(SUBSTITUTE(UPPER($EI200),"0",""),"1",""),"2",""),"3",""),"4",""),"5",""),"6",""),"7",""),"8",""),"9",""),".",""),"+",""),"-",""),"E","")="",LEN(SUBSTITUTE(SUBSTITUTE(MID(UPPER($EI200),1+OR(LEFT(UPPER($EI200),1)="+",LEFT(UPPER($EI200),1)="-"),999),"E+","E"),"E-","E"))=LEN(SUBSTITUTE(SUBSTITUTE(SUBSTITUTE(SUBSTITUTE(MID(UPPER($EI200),1+OR(LEFT(UPPER($EI200),1)="+",LEFT(UPPER($EI200),1)="-"),999),"E+","E"),"E-","E"),"+",""),"-","")),LEN(UPPER($EI200))-LEN(SUBSTITUTE(UPPER($EI200),"E",""))&lt;2,LEN(UPPER($EI200))-LEN(SUBSTITUTE(UPPER($EI200),".",""))&lt;2,IFERROR(FIND(".",UPPER($EI200)),0)&lt;IFERROR(FIND("E",UPPER($EI200)),999)),ISNUMBER(VALUE($EI200)))),1,2)))</f>
        <v/>
      </c>
      <c r="EK200">
        <f>IF($DM200=0,"",IF($EJ200=1,IF(ISNUMBER($EI200),$EI200,VALUE($EI200)),IF($EJ200=2,$DE200,0)))</f>
        <v/>
      </c>
      <c r="EL200">
        <f>IF($DM200=0,"",COUNTIF($EG$5:$EG$1003,"&lt;"&amp;$EG200)+SUMPRODUCT(($EG$5:$EG$1003=$EG200)*(($EJ$5:$EJ$1003&lt;$EJ200)+($EJ$5:$EJ$1003=$EJ200)*(($EK$5:$EK$1003&lt;$EK200)+($EK$5:$EK$1003=$EK200)*($DE$5:$DE$1003&lt;$DE200))))+1)</f>
        <v/>
      </c>
      <c r="EM200">
        <f>IF($DM200=0,"",$EL200+$EG200-1)</f>
        <v/>
      </c>
      <c r="EN200">
        <f>IF($DM200=0,0,IFERROR(MATCH(1,INDEX(--(TRIM(SUBSTITUTE(SUBSTITUTE(SUBSTITUTE(SUBSTITUTE(LINES_NAME&amp;""," "," "),CHAR(9)," "),CHAR(10)," "),CHAR(13)," "))=$DH200),0),0),0))</f>
        <v/>
      </c>
      <c r="EO200">
        <f>IF($EN200=0,0,IF(OR(UPPER(TRIM(INDEX(LINES_SCHEDULED,$EN200)&amp;""))="YES",UPPER(TRIM(INDEX(LINES_SCHEDULED,$EN200)&amp;""))="Y",UPPER(TRIM(INDEX(LINES_SCHEDULED,$EN200)&amp;""))="X"),1,0))</f>
        <v/>
      </c>
      <c r="EP200">
        <f>IF($DM200=0,"",IF(COUNTIFS($EG$5:$EG$1003,$EG200,$EB$5:$EB$1003,"Ready")&gt;0,"READY",IF(COUNTIFS($EG$5:$EG$1003,$EG200,$EB$5:$EB$1003,"PM")&gt;0,"PM",IF(COUNTIFS($EG$5:$EG$1003,$EG200,$EB$5:$EB$1003,"OT")&gt;0,"OT",""))))</f>
        <v/>
      </c>
      <c r="EQ200">
        <f>IF($EN200=0,"",UPPER(TRIM(INDEX(LINES_STATUS,$EN200)&amp;"")))</f>
        <v/>
      </c>
      <c r="ER200">
        <f>IF($DM200=0,"",IF(OR($EQ200="READY",$EQ200="PM",$EQ200="OT"),$EQ200,$EP200))</f>
        <v/>
      </c>
      <c r="ES200">
        <f>IF($DM200=0,"",IF(AND($DV200&lt;&gt;"",UPPER($DV200)&lt;&gt;"N"),"allergen",IF(ISNUMBER(SEARCH("oil",$DQ200)),"oil",IF(OR(EXACT($DS200,"A662"),EXACT($DS200,"A624")),"bulk",""))))</f>
        <v/>
      </c>
      <c r="ET200">
        <f>IF($DM200=0,"",IF(OR($EA200="",$EA200=0),"",$EA200/100))</f>
        <v/>
      </c>
      <c r="EU200">
        <f>IF(OR($ET200="",$DY200=""),"",INT($DY200*(1-$ET200)+0.5))</f>
        <v/>
      </c>
      <c r="EW200" t="n">
        <v>196</v>
      </c>
      <c r="EX200">
        <f>IFERROR(MATCH($EW200,$EM$5:$EM$1003,0),0)</f>
        <v/>
      </c>
      <c r="EY200">
        <f>IF($EW200&gt;$B$12,"",IF($EX200&gt;0,"row","spacer"))</f>
        <v/>
      </c>
      <c r="EZ200">
        <f>IF(AND($EY200="row",$EY199&lt;&gt;"row"),1,0)</f>
        <v/>
      </c>
      <c r="FA200">
        <f>IF(AND($EY200="row",$EY201&lt;&gt;"row"),1,0)</f>
        <v/>
      </c>
      <c r="FB200">
        <f>IF($EZ200=1,IFERROR(IF(ISNUMBER(INDEX(PASTE_ALL,INDEX($DF$5:$DF$1003,$EX200),$B$37)),INDEX(PASTE_ALL,INDEX($DF$5:$DF$1003,$EX200),$B$37),INDEX($DH$5:$DH$1003,$EX200)),INDEX($DH$5:$DH$1003,$EX200)),"")</f>
        <v/>
      </c>
      <c r="FC200">
        <f>IF($EY200="row",INDEX($ER$5:$ER$1003,$EX200),"")</f>
        <v/>
      </c>
      <c r="FD200">
        <f>IF($EY200="row",INDEX($DN$5:$DN$1003,$EX200),"")</f>
        <v/>
      </c>
      <c r="FE200">
        <f>IF($EY200="row",INDEX($DO$5:$DO$1003,$EX200),"")</f>
        <v/>
      </c>
      <c r="FF200">
        <f>IF($EY200="row",INDEX($DP$5:$DP$1003,$EX200),"")</f>
        <v/>
      </c>
      <c r="FG200">
        <f>IF($EY200="row",INDEX($DQ$5:$DQ$1003,$EX200),"")</f>
        <v/>
      </c>
      <c r="FH200">
        <f>IF($EY200="row",INDEX($DR$5:$DR$1003,$EX200),"")</f>
        <v/>
      </c>
      <c r="FI200">
        <f>IF($EY200="row",INDEX($DS$5:$DS$1003,$EX200),"")</f>
        <v/>
      </c>
      <c r="FJ200">
        <f>IF($EY200="row",INDEX($DT$5:$DT$1003,$EX200),"")</f>
        <v/>
      </c>
      <c r="FK200">
        <f>IF($EY200="row",INDEX($DU$5:$DU$1003,$EX200),"")</f>
        <v/>
      </c>
      <c r="FL200">
        <f>IF($EY200="row",INDEX($DV$5:$DV$1003,$EX200),"")</f>
        <v/>
      </c>
      <c r="FM200">
        <f>IF($EY200="row",INDEX($DW$5:$DW$1003,$EX200),"")</f>
        <v/>
      </c>
      <c r="FN200">
        <f>IF($EY200="row",INDEX($DY$5:$DY$1003,$EX200),"")</f>
        <v/>
      </c>
      <c r="FO200">
        <f>IF($EY200="row",INDEX($EA$5:$EA$1003,$EX200),"")</f>
        <v/>
      </c>
      <c r="FP200">
        <f>IF($EY200="row",INDEX($EC$5:$EC$1003,$EX200),"")</f>
        <v/>
      </c>
      <c r="FQ200">
        <f>IF($EY200="row",INDEX($ET$5:$ET$1003,$EX200),"")</f>
        <v/>
      </c>
      <c r="FR200">
        <f>IF($EY200="row",INDEX($EU$5:$EU$1003,$EX200),"")</f>
        <v/>
      </c>
      <c r="FS200">
        <f>IF(AND($EY200="row",$EY199="row"),IF(OR(INDEX($DT$5:$DT$1003,$EX199)="",INDEX($DT$5:$DT$1003,$EX200)=""),"",IF(NOT(EXACT(INDEX($DT$5:$DT$1003,$EX199),INDEX($DT$5:$DT$1003,$EX200))),"S4",IF(NOT(EXACT(INDEX($DS$5:$DS$1003,$EX199),INDEX($DS$5:$DS$1003,$EX200))),"S3",IF(NOT(EXACT(INDEX($DR$5:$DR$1003,$EX199),INDEX($DR$5:$DR$1003,$EX200))),"S1 Count Change","S1")))),"")</f>
        <v/>
      </c>
      <c r="FT200">
        <f>IF($EY200="row",INDEX($ES$5:$ES$1003,$EX200),"")</f>
        <v/>
      </c>
      <c r="FU200">
        <f>IF($EY200="row",INDEX($EO$5:$EO$1003,$EX200),0)</f>
        <v/>
      </c>
      <c r="FV200">
        <f>IF($FS200="S1 Count Change",1,0)</f>
        <v/>
      </c>
    </row>
    <row r="201">
      <c r="Y201">
        <f>0+IF(Y111&gt;0,0,IF(SUMPRODUCT(MOD(INT(Y156/{2,4,8,16,32,64,128,256,512,1024,2048,4096,8192,16384,32768}),2)*(1-MOD(INT(($CJ21+0)/{2,4,8,16,32,64,128,256,512,1024,2048,4096,8192,16384,32768}),2))*{2,4,8,16,32,64,128,256,512,1024,2048,4096,8192,16384,32768})=0,0,2^SUMPRODUCT(--(MOD(SUMPRODUCT(MOD(INT(Y156/{2,4,8,16,32,64,128,256,512,1024,2048,4096,8192,16384,32768}),2)*(1-MOD(INT(($CJ21+0)/{2,4,8,16,32,64,128,256,512,1024,2048,4096,8192,16384,32768}),2))*{2,4,8,16,32,64,128,256,512,1024,2048,4096,8192,16384,32768}),{2,4,8,16,32,64,128,256,512,1024,2048,4096,8192,16384,32768})=0))))</f>
        <v/>
      </c>
      <c r="Z201">
        <f>Y201+IF(AND(Z111&gt;0,COUNTIF($Y111:Y111,Z111)=0),0,IF(SUMPRODUCT(MOD(INT(Z156/{2,4,8,16,32,64,128,256,512,1024,2048,4096,8192,16384,32768}),2)*(1-MOD(INT(($CJ21+Y201)/{2,4,8,16,32,64,128,256,512,1024,2048,4096,8192,16384,32768}),2))*{2,4,8,16,32,64,128,256,512,1024,2048,4096,8192,16384,32768})=0,0,2^SUMPRODUCT(--(MOD(SUMPRODUCT(MOD(INT(Z156/{2,4,8,16,32,64,128,256,512,1024,2048,4096,8192,16384,32768}),2)*(1-MOD(INT(($CJ21+Y201)/{2,4,8,16,32,64,128,256,512,1024,2048,4096,8192,16384,32768}),2))*{2,4,8,16,32,64,128,256,512,1024,2048,4096,8192,16384,32768}),{2,4,8,16,32,64,128,256,512,1024,2048,4096,8192,16384,32768})=0))))</f>
        <v/>
      </c>
      <c r="AA201">
        <f>Z201+IF(AND(AA111&gt;0,COUNTIF($Y111:Z111,AA111)=0),0,IF(SUMPRODUCT(MOD(INT(AA156/{2,4,8,16,32,64,128,256,512,1024,2048,4096,8192,16384,32768}),2)*(1-MOD(INT(($CJ21+Z201)/{2,4,8,16,32,64,128,256,512,1024,2048,4096,8192,16384,32768}),2))*{2,4,8,16,32,64,128,256,512,1024,2048,4096,8192,16384,32768})=0,0,2^SUMPRODUCT(--(MOD(SUMPRODUCT(MOD(INT(AA156/{2,4,8,16,32,64,128,256,512,1024,2048,4096,8192,16384,32768}),2)*(1-MOD(INT(($CJ21+Z201)/{2,4,8,16,32,64,128,256,512,1024,2048,4096,8192,16384,32768}),2))*{2,4,8,16,32,64,128,256,512,1024,2048,4096,8192,16384,32768}),{2,4,8,16,32,64,128,256,512,1024,2048,4096,8192,16384,32768})=0))))</f>
        <v/>
      </c>
      <c r="AB201">
        <f>AA201+IF(AND(AB111&gt;0,COUNTIF($Y111:AA111,AB111)=0),0,IF(SUMPRODUCT(MOD(INT(AB156/{2,4,8,16,32,64,128,256,512,1024,2048,4096,8192,16384,32768}),2)*(1-MOD(INT(($CJ21+AA201)/{2,4,8,16,32,64,128,256,512,1024,2048,4096,8192,16384,32768}),2))*{2,4,8,16,32,64,128,256,512,1024,2048,4096,8192,16384,32768})=0,0,2^SUMPRODUCT(--(MOD(SUMPRODUCT(MOD(INT(AB156/{2,4,8,16,32,64,128,256,512,1024,2048,4096,8192,16384,32768}),2)*(1-MOD(INT(($CJ21+AA201)/{2,4,8,16,32,64,128,256,512,1024,2048,4096,8192,16384,32768}),2))*{2,4,8,16,32,64,128,256,512,1024,2048,4096,8192,16384,32768}),{2,4,8,16,32,64,128,256,512,1024,2048,4096,8192,16384,32768})=0))))</f>
        <v/>
      </c>
      <c r="AC201">
        <f>AB201+IF(AND(AC111&gt;0,COUNTIF($Y111:AB111,AC111)=0),0,IF(SUMPRODUCT(MOD(INT(AC156/{2,4,8,16,32,64,128,256,512,1024,2048,4096,8192,16384,32768}),2)*(1-MOD(INT(($CJ21+AB201)/{2,4,8,16,32,64,128,256,512,1024,2048,4096,8192,16384,32768}),2))*{2,4,8,16,32,64,128,256,512,1024,2048,4096,8192,16384,32768})=0,0,2^SUMPRODUCT(--(MOD(SUMPRODUCT(MOD(INT(AC156/{2,4,8,16,32,64,128,256,512,1024,2048,4096,8192,16384,32768}),2)*(1-MOD(INT(($CJ21+AB201)/{2,4,8,16,32,64,128,256,512,1024,2048,4096,8192,16384,32768}),2))*{2,4,8,16,32,64,128,256,512,1024,2048,4096,8192,16384,32768}),{2,4,8,16,32,64,128,256,512,1024,2048,4096,8192,16384,32768})=0))))</f>
        <v/>
      </c>
      <c r="AD201">
        <f>AC201+IF(AND(AD111&gt;0,COUNTIF($Y111:AC111,AD111)=0),0,IF(SUMPRODUCT(MOD(INT(AD156/{2,4,8,16,32,64,128,256,512,1024,2048,4096,8192,16384,32768}),2)*(1-MOD(INT(($CJ21+AC201)/{2,4,8,16,32,64,128,256,512,1024,2048,4096,8192,16384,32768}),2))*{2,4,8,16,32,64,128,256,512,1024,2048,4096,8192,16384,32768})=0,0,2^SUMPRODUCT(--(MOD(SUMPRODUCT(MOD(INT(AD156/{2,4,8,16,32,64,128,256,512,1024,2048,4096,8192,16384,32768}),2)*(1-MOD(INT(($CJ21+AC201)/{2,4,8,16,32,64,128,256,512,1024,2048,4096,8192,16384,32768}),2))*{2,4,8,16,32,64,128,256,512,1024,2048,4096,8192,16384,32768}),{2,4,8,16,32,64,128,256,512,1024,2048,4096,8192,16384,32768})=0))))</f>
        <v/>
      </c>
      <c r="AE201">
        <f>AD201+IF(AND(AE111&gt;0,COUNTIF($Y111:AD111,AE111)=0),0,IF(SUMPRODUCT(MOD(INT(AE156/{2,4,8,16,32,64,128,256,512,1024,2048,4096,8192,16384,32768}),2)*(1-MOD(INT(($CJ21+AD201)/{2,4,8,16,32,64,128,256,512,1024,2048,4096,8192,16384,32768}),2))*{2,4,8,16,32,64,128,256,512,1024,2048,4096,8192,16384,32768})=0,0,2^SUMPRODUCT(--(MOD(SUMPRODUCT(MOD(INT(AE156/{2,4,8,16,32,64,128,256,512,1024,2048,4096,8192,16384,32768}),2)*(1-MOD(INT(($CJ21+AD201)/{2,4,8,16,32,64,128,256,512,1024,2048,4096,8192,16384,32768}),2))*{2,4,8,16,32,64,128,256,512,1024,2048,4096,8192,16384,32768}),{2,4,8,16,32,64,128,256,512,1024,2048,4096,8192,16384,32768})=0))))</f>
        <v/>
      </c>
      <c r="AF201">
        <f>AE201+IF(AND(AF111&gt;0,COUNTIF($Y111:AE111,AF111)=0),0,IF(SUMPRODUCT(MOD(INT(AF156/{2,4,8,16,32,64,128,256,512,1024,2048,4096,8192,16384,32768}),2)*(1-MOD(INT(($CJ21+AE201)/{2,4,8,16,32,64,128,256,512,1024,2048,4096,8192,16384,32768}),2))*{2,4,8,16,32,64,128,256,512,1024,2048,4096,8192,16384,32768})=0,0,2^SUMPRODUCT(--(MOD(SUMPRODUCT(MOD(INT(AF156/{2,4,8,16,32,64,128,256,512,1024,2048,4096,8192,16384,32768}),2)*(1-MOD(INT(($CJ21+AE201)/{2,4,8,16,32,64,128,256,512,1024,2048,4096,8192,16384,32768}),2))*{2,4,8,16,32,64,128,256,512,1024,2048,4096,8192,16384,32768}),{2,4,8,16,32,64,128,256,512,1024,2048,4096,8192,16384,32768})=0))))</f>
        <v/>
      </c>
      <c r="AG201">
        <f>AF201+IF(AND(AG111&gt;0,COUNTIF($Y111:AF111,AG111)=0),0,IF(SUMPRODUCT(MOD(INT(AG156/{2,4,8,16,32,64,128,256,512,1024,2048,4096,8192,16384,32768}),2)*(1-MOD(INT(($CJ21+AF201)/{2,4,8,16,32,64,128,256,512,1024,2048,4096,8192,16384,32768}),2))*{2,4,8,16,32,64,128,256,512,1024,2048,4096,8192,16384,32768})=0,0,2^SUMPRODUCT(--(MOD(SUMPRODUCT(MOD(INT(AG156/{2,4,8,16,32,64,128,256,512,1024,2048,4096,8192,16384,32768}),2)*(1-MOD(INT(($CJ21+AF201)/{2,4,8,16,32,64,128,256,512,1024,2048,4096,8192,16384,32768}),2))*{2,4,8,16,32,64,128,256,512,1024,2048,4096,8192,16384,32768}),{2,4,8,16,32,64,128,256,512,1024,2048,4096,8192,16384,32768})=0))))</f>
        <v/>
      </c>
      <c r="AH201">
        <f>AG201+IF(AND(AH111&gt;0,COUNTIF($Y111:AG111,AH111)=0),0,IF(SUMPRODUCT(MOD(INT(AH156/{2,4,8,16,32,64,128,256,512,1024,2048,4096,8192,16384,32768}),2)*(1-MOD(INT(($CJ21+AG201)/{2,4,8,16,32,64,128,256,512,1024,2048,4096,8192,16384,32768}),2))*{2,4,8,16,32,64,128,256,512,1024,2048,4096,8192,16384,32768})=0,0,2^SUMPRODUCT(--(MOD(SUMPRODUCT(MOD(INT(AH156/{2,4,8,16,32,64,128,256,512,1024,2048,4096,8192,16384,32768}),2)*(1-MOD(INT(($CJ21+AG201)/{2,4,8,16,32,64,128,256,512,1024,2048,4096,8192,16384,32768}),2))*{2,4,8,16,32,64,128,256,512,1024,2048,4096,8192,16384,32768}),{2,4,8,16,32,64,128,256,512,1024,2048,4096,8192,16384,32768})=0))))</f>
        <v/>
      </c>
      <c r="AI201">
        <f>AH201+IF(AND(AI111&gt;0,COUNTIF($Y111:AH111,AI111)=0),0,IF(SUMPRODUCT(MOD(INT(AI156/{2,4,8,16,32,64,128,256,512,1024,2048,4096,8192,16384,32768}),2)*(1-MOD(INT(($CJ21+AH201)/{2,4,8,16,32,64,128,256,512,1024,2048,4096,8192,16384,32768}),2))*{2,4,8,16,32,64,128,256,512,1024,2048,4096,8192,16384,32768})=0,0,2^SUMPRODUCT(--(MOD(SUMPRODUCT(MOD(INT(AI156/{2,4,8,16,32,64,128,256,512,1024,2048,4096,8192,16384,32768}),2)*(1-MOD(INT(($CJ21+AH201)/{2,4,8,16,32,64,128,256,512,1024,2048,4096,8192,16384,32768}),2))*{2,4,8,16,32,64,128,256,512,1024,2048,4096,8192,16384,32768}),{2,4,8,16,32,64,128,256,512,1024,2048,4096,8192,16384,32768})=0))))</f>
        <v/>
      </c>
      <c r="AJ201">
        <f>AI201+IF(AND(AJ111&gt;0,COUNTIF($Y111:AI111,AJ111)=0),0,IF(SUMPRODUCT(MOD(INT(AJ156/{2,4,8,16,32,64,128,256,512,1024,2048,4096,8192,16384,32768}),2)*(1-MOD(INT(($CJ21+AI201)/{2,4,8,16,32,64,128,256,512,1024,2048,4096,8192,16384,32768}),2))*{2,4,8,16,32,64,128,256,512,1024,2048,4096,8192,16384,32768})=0,0,2^SUMPRODUCT(--(MOD(SUMPRODUCT(MOD(INT(AJ156/{2,4,8,16,32,64,128,256,512,1024,2048,4096,8192,16384,32768}),2)*(1-MOD(INT(($CJ21+AI201)/{2,4,8,16,32,64,128,256,512,1024,2048,4096,8192,16384,32768}),2))*{2,4,8,16,32,64,128,256,512,1024,2048,4096,8192,16384,32768}),{2,4,8,16,32,64,128,256,512,1024,2048,4096,8192,16384,32768})=0))))</f>
        <v/>
      </c>
      <c r="AK201">
        <f>AJ201+IF(AND(AK111&gt;0,COUNTIF($Y111:AJ111,AK111)=0),0,IF(SUMPRODUCT(MOD(INT(AK156/{2,4,8,16,32,64,128,256,512,1024,2048,4096,8192,16384,32768}),2)*(1-MOD(INT(($CJ21+AJ201)/{2,4,8,16,32,64,128,256,512,1024,2048,4096,8192,16384,32768}),2))*{2,4,8,16,32,64,128,256,512,1024,2048,4096,8192,16384,32768})=0,0,2^SUMPRODUCT(--(MOD(SUMPRODUCT(MOD(INT(AK156/{2,4,8,16,32,64,128,256,512,1024,2048,4096,8192,16384,32768}),2)*(1-MOD(INT(($CJ21+AJ201)/{2,4,8,16,32,64,128,256,512,1024,2048,4096,8192,16384,32768}),2))*{2,4,8,16,32,64,128,256,512,1024,2048,4096,8192,16384,32768}),{2,4,8,16,32,64,128,256,512,1024,2048,4096,8192,16384,32768})=0))))</f>
        <v/>
      </c>
      <c r="AL201">
        <f>AK201+IF(AND(AL111&gt;0,COUNTIF($Y111:AK111,AL111)=0),0,IF(SUMPRODUCT(MOD(INT(AL156/{2,4,8,16,32,64,128,256,512,1024,2048,4096,8192,16384,32768}),2)*(1-MOD(INT(($CJ21+AK201)/{2,4,8,16,32,64,128,256,512,1024,2048,4096,8192,16384,32768}),2))*{2,4,8,16,32,64,128,256,512,1024,2048,4096,8192,16384,32768})=0,0,2^SUMPRODUCT(--(MOD(SUMPRODUCT(MOD(INT(AL156/{2,4,8,16,32,64,128,256,512,1024,2048,4096,8192,16384,32768}),2)*(1-MOD(INT(($CJ21+AK201)/{2,4,8,16,32,64,128,256,512,1024,2048,4096,8192,16384,32768}),2))*{2,4,8,16,32,64,128,256,512,1024,2048,4096,8192,16384,32768}),{2,4,8,16,32,64,128,256,512,1024,2048,4096,8192,16384,32768})=0))))</f>
        <v/>
      </c>
      <c r="AM201">
        <f>AL201+IF(AND(AM111&gt;0,COUNTIF($Y111:AL111,AM111)=0),0,IF(SUMPRODUCT(MOD(INT(AM156/{2,4,8,16,32,64,128,256,512,1024,2048,4096,8192,16384,32768}),2)*(1-MOD(INT(($CJ21+AL201)/{2,4,8,16,32,64,128,256,512,1024,2048,4096,8192,16384,32768}),2))*{2,4,8,16,32,64,128,256,512,1024,2048,4096,8192,16384,32768})=0,0,2^SUMPRODUCT(--(MOD(SUMPRODUCT(MOD(INT(AM156/{2,4,8,16,32,64,128,256,512,1024,2048,4096,8192,16384,32768}),2)*(1-MOD(INT(($CJ21+AL201)/{2,4,8,16,32,64,128,256,512,1024,2048,4096,8192,16384,32768}),2))*{2,4,8,16,32,64,128,256,512,1024,2048,4096,8192,16384,32768}),{2,4,8,16,32,64,128,256,512,1024,2048,4096,8192,16384,32768})=0))))</f>
        <v/>
      </c>
      <c r="AN201">
        <f>AM201+IF(AND(AN111&gt;0,COUNTIF($Y111:AM111,AN111)=0),0,IF(SUMPRODUCT(MOD(INT(AN156/{2,4,8,16,32,64,128,256,512,1024,2048,4096,8192,16384,32768}),2)*(1-MOD(INT(($CJ21+AM201)/{2,4,8,16,32,64,128,256,512,1024,2048,4096,8192,16384,32768}),2))*{2,4,8,16,32,64,128,256,512,1024,2048,4096,8192,16384,32768})=0,0,2^SUMPRODUCT(--(MOD(SUMPRODUCT(MOD(INT(AN156/{2,4,8,16,32,64,128,256,512,1024,2048,4096,8192,16384,32768}),2)*(1-MOD(INT(($CJ21+AM201)/{2,4,8,16,32,64,128,256,512,1024,2048,4096,8192,16384,32768}),2))*{2,4,8,16,32,64,128,256,512,1024,2048,4096,8192,16384,32768}),{2,4,8,16,32,64,128,256,512,1024,2048,4096,8192,16384,32768})=0))))</f>
        <v/>
      </c>
      <c r="AO201">
        <f>AN201+IF(AND(AO111&gt;0,COUNTIF($Y111:AN111,AO111)=0),0,IF(SUMPRODUCT(MOD(INT(AO156/{2,4,8,16,32,64,128,256,512,1024,2048,4096,8192,16384,32768}),2)*(1-MOD(INT(($CJ21+AN201)/{2,4,8,16,32,64,128,256,512,1024,2048,4096,8192,16384,32768}),2))*{2,4,8,16,32,64,128,256,512,1024,2048,4096,8192,16384,32768})=0,0,2^SUMPRODUCT(--(MOD(SUMPRODUCT(MOD(INT(AO156/{2,4,8,16,32,64,128,256,512,1024,2048,4096,8192,16384,32768}),2)*(1-MOD(INT(($CJ21+AN201)/{2,4,8,16,32,64,128,256,512,1024,2048,4096,8192,16384,32768}),2))*{2,4,8,16,32,64,128,256,512,1024,2048,4096,8192,16384,32768}),{2,4,8,16,32,64,128,256,512,1024,2048,4096,8192,16384,32768})=0))))</f>
        <v/>
      </c>
      <c r="AP201">
        <f>AO201+IF(AND(AP111&gt;0,COUNTIF($Y111:AO111,AP111)=0),0,IF(SUMPRODUCT(MOD(INT(AP156/{2,4,8,16,32,64,128,256,512,1024,2048,4096,8192,16384,32768}),2)*(1-MOD(INT(($CJ21+AO201)/{2,4,8,16,32,64,128,256,512,1024,2048,4096,8192,16384,32768}),2))*{2,4,8,16,32,64,128,256,512,1024,2048,4096,8192,16384,32768})=0,0,2^SUMPRODUCT(--(MOD(SUMPRODUCT(MOD(INT(AP156/{2,4,8,16,32,64,128,256,512,1024,2048,4096,8192,16384,32768}),2)*(1-MOD(INT(($CJ21+AO201)/{2,4,8,16,32,64,128,256,512,1024,2048,4096,8192,16384,32768}),2))*{2,4,8,16,32,64,128,256,512,1024,2048,4096,8192,16384,32768}),{2,4,8,16,32,64,128,256,512,1024,2048,4096,8192,16384,32768})=0))))</f>
        <v/>
      </c>
      <c r="AQ201">
        <f>AP201+IF(AND(AQ111&gt;0,COUNTIF($Y111:AP111,AQ111)=0),0,IF(SUMPRODUCT(MOD(INT(AQ156/{2,4,8,16,32,64,128,256,512,1024,2048,4096,8192,16384,32768}),2)*(1-MOD(INT(($CJ21+AP201)/{2,4,8,16,32,64,128,256,512,1024,2048,4096,8192,16384,32768}),2))*{2,4,8,16,32,64,128,256,512,1024,2048,4096,8192,16384,32768})=0,0,2^SUMPRODUCT(--(MOD(SUMPRODUCT(MOD(INT(AQ156/{2,4,8,16,32,64,128,256,512,1024,2048,4096,8192,16384,32768}),2)*(1-MOD(INT(($CJ21+AP201)/{2,4,8,16,32,64,128,256,512,1024,2048,4096,8192,16384,32768}),2))*{2,4,8,16,32,64,128,256,512,1024,2048,4096,8192,16384,32768}),{2,4,8,16,32,64,128,256,512,1024,2048,4096,8192,16384,32768})=0))))</f>
        <v/>
      </c>
      <c r="AR201">
        <f>AQ201+IF(AND(AR111&gt;0,COUNTIF($Y111:AQ111,AR111)=0),0,IF(SUMPRODUCT(MOD(INT(AR156/{2,4,8,16,32,64,128,256,512,1024,2048,4096,8192,16384,32768}),2)*(1-MOD(INT(($CJ21+AQ201)/{2,4,8,16,32,64,128,256,512,1024,2048,4096,8192,16384,32768}),2))*{2,4,8,16,32,64,128,256,512,1024,2048,4096,8192,16384,32768})=0,0,2^SUMPRODUCT(--(MOD(SUMPRODUCT(MOD(INT(AR156/{2,4,8,16,32,64,128,256,512,1024,2048,4096,8192,16384,32768}),2)*(1-MOD(INT(($CJ21+AQ201)/{2,4,8,16,32,64,128,256,512,1024,2048,4096,8192,16384,32768}),2))*{2,4,8,16,32,64,128,256,512,1024,2048,4096,8192,16384,32768}),{2,4,8,16,32,64,128,256,512,1024,2048,4096,8192,16384,32768})=0))))</f>
        <v/>
      </c>
      <c r="AS201">
        <f>AR201+IF(AND(AS111&gt;0,COUNTIF($Y111:AR111,AS111)=0),0,IF(SUMPRODUCT(MOD(INT(AS156/{2,4,8,16,32,64,128,256,512,1024,2048,4096,8192,16384,32768}),2)*(1-MOD(INT(($CJ21+AR201)/{2,4,8,16,32,64,128,256,512,1024,2048,4096,8192,16384,32768}),2))*{2,4,8,16,32,64,128,256,512,1024,2048,4096,8192,16384,32768})=0,0,2^SUMPRODUCT(--(MOD(SUMPRODUCT(MOD(INT(AS156/{2,4,8,16,32,64,128,256,512,1024,2048,4096,8192,16384,32768}),2)*(1-MOD(INT(($CJ21+AR201)/{2,4,8,16,32,64,128,256,512,1024,2048,4096,8192,16384,32768}),2))*{2,4,8,16,32,64,128,256,512,1024,2048,4096,8192,16384,32768}),{2,4,8,16,32,64,128,256,512,1024,2048,4096,8192,16384,32768})=0))))</f>
        <v/>
      </c>
      <c r="AT201">
        <f>AS201+IF(AND(AT111&gt;0,COUNTIF($Y111:AS111,AT111)=0),0,IF(SUMPRODUCT(MOD(INT(AT156/{2,4,8,16,32,64,128,256,512,1024,2048,4096,8192,16384,32768}),2)*(1-MOD(INT(($CJ21+AS201)/{2,4,8,16,32,64,128,256,512,1024,2048,4096,8192,16384,32768}),2))*{2,4,8,16,32,64,128,256,512,1024,2048,4096,8192,16384,32768})=0,0,2^SUMPRODUCT(--(MOD(SUMPRODUCT(MOD(INT(AT156/{2,4,8,16,32,64,128,256,512,1024,2048,4096,8192,16384,32768}),2)*(1-MOD(INT(($CJ21+AS201)/{2,4,8,16,32,64,128,256,512,1024,2048,4096,8192,16384,32768}),2))*{2,4,8,16,32,64,128,256,512,1024,2048,4096,8192,16384,32768}),{2,4,8,16,32,64,128,256,512,1024,2048,4096,8192,16384,32768})=0))))</f>
        <v/>
      </c>
      <c r="AU201">
        <f>AT201+IF(AND(AU111&gt;0,COUNTIF($Y111:AT111,AU111)=0),0,IF(SUMPRODUCT(MOD(INT(AU156/{2,4,8,16,32,64,128,256,512,1024,2048,4096,8192,16384,32768}),2)*(1-MOD(INT(($CJ21+AT201)/{2,4,8,16,32,64,128,256,512,1024,2048,4096,8192,16384,32768}),2))*{2,4,8,16,32,64,128,256,512,1024,2048,4096,8192,16384,32768})=0,0,2^SUMPRODUCT(--(MOD(SUMPRODUCT(MOD(INT(AU156/{2,4,8,16,32,64,128,256,512,1024,2048,4096,8192,16384,32768}),2)*(1-MOD(INT(($CJ21+AT201)/{2,4,8,16,32,64,128,256,512,1024,2048,4096,8192,16384,32768}),2))*{2,4,8,16,32,64,128,256,512,1024,2048,4096,8192,16384,32768}),{2,4,8,16,32,64,128,256,512,1024,2048,4096,8192,16384,32768})=0))))</f>
        <v/>
      </c>
      <c r="AV201">
        <f>AU201+IF(AND(AV111&gt;0,COUNTIF($Y111:AU111,AV111)=0),0,IF(SUMPRODUCT(MOD(INT(AV156/{2,4,8,16,32,64,128,256,512,1024,2048,4096,8192,16384,32768}),2)*(1-MOD(INT(($CJ21+AU201)/{2,4,8,16,32,64,128,256,512,1024,2048,4096,8192,16384,32768}),2))*{2,4,8,16,32,64,128,256,512,1024,2048,4096,8192,16384,32768})=0,0,2^SUMPRODUCT(--(MOD(SUMPRODUCT(MOD(INT(AV156/{2,4,8,16,32,64,128,256,512,1024,2048,4096,8192,16384,32768}),2)*(1-MOD(INT(($CJ21+AU201)/{2,4,8,16,32,64,128,256,512,1024,2048,4096,8192,16384,32768}),2))*{2,4,8,16,32,64,128,256,512,1024,2048,4096,8192,16384,32768}),{2,4,8,16,32,64,128,256,512,1024,2048,4096,8192,16384,32768})=0))))</f>
        <v/>
      </c>
      <c r="AW201">
        <f>AV201+IF(AND(AW111&gt;0,COUNTIF($Y111:AV111,AW111)=0),0,IF(SUMPRODUCT(MOD(INT(AW156/{2,4,8,16,32,64,128,256,512,1024,2048,4096,8192,16384,32768}),2)*(1-MOD(INT(($CJ21+AV201)/{2,4,8,16,32,64,128,256,512,1024,2048,4096,8192,16384,32768}),2))*{2,4,8,16,32,64,128,256,512,1024,2048,4096,8192,16384,32768})=0,0,2^SUMPRODUCT(--(MOD(SUMPRODUCT(MOD(INT(AW156/{2,4,8,16,32,64,128,256,512,1024,2048,4096,8192,16384,32768}),2)*(1-MOD(INT(($CJ21+AV201)/{2,4,8,16,32,64,128,256,512,1024,2048,4096,8192,16384,32768}),2))*{2,4,8,16,32,64,128,256,512,1024,2048,4096,8192,16384,32768}),{2,4,8,16,32,64,128,256,512,1024,2048,4096,8192,16384,32768})=0))))</f>
        <v/>
      </c>
      <c r="AX201">
        <f>AW201+IF(AND(AX111&gt;0,COUNTIF($Y111:AW111,AX111)=0),0,IF(SUMPRODUCT(MOD(INT(AX156/{2,4,8,16,32,64,128,256,512,1024,2048,4096,8192,16384,32768}),2)*(1-MOD(INT(($CJ21+AW201)/{2,4,8,16,32,64,128,256,512,1024,2048,4096,8192,16384,32768}),2))*{2,4,8,16,32,64,128,256,512,1024,2048,4096,8192,16384,32768})=0,0,2^SUMPRODUCT(--(MOD(SUMPRODUCT(MOD(INT(AX156/{2,4,8,16,32,64,128,256,512,1024,2048,4096,8192,16384,32768}),2)*(1-MOD(INT(($CJ21+AW201)/{2,4,8,16,32,64,128,256,512,1024,2048,4096,8192,16384,32768}),2))*{2,4,8,16,32,64,128,256,512,1024,2048,4096,8192,16384,32768}),{2,4,8,16,32,64,128,256,512,1024,2048,4096,8192,16384,32768})=0))))</f>
        <v/>
      </c>
      <c r="AY201">
        <f>AX201+IF(AND(AY111&gt;0,COUNTIF($Y111:AX111,AY111)=0),0,IF(SUMPRODUCT(MOD(INT(AY156/{2,4,8,16,32,64,128,256,512,1024,2048,4096,8192,16384,32768}),2)*(1-MOD(INT(($CJ21+AX201)/{2,4,8,16,32,64,128,256,512,1024,2048,4096,8192,16384,32768}),2))*{2,4,8,16,32,64,128,256,512,1024,2048,4096,8192,16384,32768})=0,0,2^SUMPRODUCT(--(MOD(SUMPRODUCT(MOD(INT(AY156/{2,4,8,16,32,64,128,256,512,1024,2048,4096,8192,16384,32768}),2)*(1-MOD(INT(($CJ21+AX201)/{2,4,8,16,32,64,128,256,512,1024,2048,4096,8192,16384,32768}),2))*{2,4,8,16,32,64,128,256,512,1024,2048,4096,8192,16384,32768}),{2,4,8,16,32,64,128,256,512,1024,2048,4096,8192,16384,32768})=0))))</f>
        <v/>
      </c>
      <c r="AZ201">
        <f>AY201+IF(AND(AZ111&gt;0,COUNTIF($Y111:AY111,AZ111)=0),0,IF(SUMPRODUCT(MOD(INT(AZ156/{2,4,8,16,32,64,128,256,512,1024,2048,4096,8192,16384,32768}),2)*(1-MOD(INT(($CJ21+AY201)/{2,4,8,16,32,64,128,256,512,1024,2048,4096,8192,16384,32768}),2))*{2,4,8,16,32,64,128,256,512,1024,2048,4096,8192,16384,32768})=0,0,2^SUMPRODUCT(--(MOD(SUMPRODUCT(MOD(INT(AZ156/{2,4,8,16,32,64,128,256,512,1024,2048,4096,8192,16384,32768}),2)*(1-MOD(INT(($CJ21+AY201)/{2,4,8,16,32,64,128,256,512,1024,2048,4096,8192,16384,32768}),2))*{2,4,8,16,32,64,128,256,512,1024,2048,4096,8192,16384,32768}),{2,4,8,16,32,64,128,256,512,1024,2048,4096,8192,16384,32768})=0))))</f>
        <v/>
      </c>
      <c r="BA201">
        <f>AZ201+IF(AND(BA111&gt;0,COUNTIF($Y111:AZ111,BA111)=0),0,IF(SUMPRODUCT(MOD(INT(BA156/{2,4,8,16,32,64,128,256,512,1024,2048,4096,8192,16384,32768}),2)*(1-MOD(INT(($CJ21+AZ201)/{2,4,8,16,32,64,128,256,512,1024,2048,4096,8192,16384,32768}),2))*{2,4,8,16,32,64,128,256,512,1024,2048,4096,8192,16384,32768})=0,0,2^SUMPRODUCT(--(MOD(SUMPRODUCT(MOD(INT(BA156/{2,4,8,16,32,64,128,256,512,1024,2048,4096,8192,16384,32768}),2)*(1-MOD(INT(($CJ21+AZ201)/{2,4,8,16,32,64,128,256,512,1024,2048,4096,8192,16384,32768}),2))*{2,4,8,16,32,64,128,256,512,1024,2048,4096,8192,16384,32768}),{2,4,8,16,32,64,128,256,512,1024,2048,4096,8192,16384,32768})=0))))</f>
        <v/>
      </c>
      <c r="BB201">
        <f>BA201+IF(AND(BB111&gt;0,COUNTIF($Y111:BA111,BB111)=0),0,IF(SUMPRODUCT(MOD(INT(BB156/{2,4,8,16,32,64,128,256,512,1024,2048,4096,8192,16384,32768}),2)*(1-MOD(INT(($CJ21+BA201)/{2,4,8,16,32,64,128,256,512,1024,2048,4096,8192,16384,32768}),2))*{2,4,8,16,32,64,128,256,512,1024,2048,4096,8192,16384,32768})=0,0,2^SUMPRODUCT(--(MOD(SUMPRODUCT(MOD(INT(BB156/{2,4,8,16,32,64,128,256,512,1024,2048,4096,8192,16384,32768}),2)*(1-MOD(INT(($CJ21+BA201)/{2,4,8,16,32,64,128,256,512,1024,2048,4096,8192,16384,32768}),2))*{2,4,8,16,32,64,128,256,512,1024,2048,4096,8192,16384,32768}),{2,4,8,16,32,64,128,256,512,1024,2048,4096,8192,16384,32768})=0))))</f>
        <v/>
      </c>
      <c r="BC201">
        <f>BB201+IF(AND(BC111&gt;0,COUNTIF($Y111:BB111,BC111)=0),0,IF(SUMPRODUCT(MOD(INT(BC156/{2,4,8,16,32,64,128,256,512,1024,2048,4096,8192,16384,32768}),2)*(1-MOD(INT(($CJ21+BB201)/{2,4,8,16,32,64,128,256,512,1024,2048,4096,8192,16384,32768}),2))*{2,4,8,16,32,64,128,256,512,1024,2048,4096,8192,16384,32768})=0,0,2^SUMPRODUCT(--(MOD(SUMPRODUCT(MOD(INT(BC156/{2,4,8,16,32,64,128,256,512,1024,2048,4096,8192,16384,32768}),2)*(1-MOD(INT(($CJ21+BB201)/{2,4,8,16,32,64,128,256,512,1024,2048,4096,8192,16384,32768}),2))*{2,4,8,16,32,64,128,256,512,1024,2048,4096,8192,16384,32768}),{2,4,8,16,32,64,128,256,512,1024,2048,4096,8192,16384,32768})=0))))</f>
        <v/>
      </c>
      <c r="BD201">
        <f>BC201+IF(AND(BD111&gt;0,COUNTIF($Y111:BC111,BD111)=0),0,IF(SUMPRODUCT(MOD(INT(BD156/{2,4,8,16,32,64,128,256,512,1024,2048,4096,8192,16384,32768}),2)*(1-MOD(INT(($CJ21+BC201)/{2,4,8,16,32,64,128,256,512,1024,2048,4096,8192,16384,32768}),2))*{2,4,8,16,32,64,128,256,512,1024,2048,4096,8192,16384,32768})=0,0,2^SUMPRODUCT(--(MOD(SUMPRODUCT(MOD(INT(BD156/{2,4,8,16,32,64,128,256,512,1024,2048,4096,8192,16384,32768}),2)*(1-MOD(INT(($CJ21+BC201)/{2,4,8,16,32,64,128,256,512,1024,2048,4096,8192,16384,32768}),2))*{2,4,8,16,32,64,128,256,512,1024,2048,4096,8192,16384,32768}),{2,4,8,16,32,64,128,256,512,1024,2048,4096,8192,16384,32768})=0))))</f>
        <v/>
      </c>
      <c r="BE201">
        <f>BD201+IF(AND(BE111&gt;0,COUNTIF($Y111:BD111,BE111)=0),0,IF(SUMPRODUCT(MOD(INT(BE156/{2,4,8,16,32,64,128,256,512,1024,2048,4096,8192,16384,32768}),2)*(1-MOD(INT(($CJ21+BD201)/{2,4,8,16,32,64,128,256,512,1024,2048,4096,8192,16384,32768}),2))*{2,4,8,16,32,64,128,256,512,1024,2048,4096,8192,16384,32768})=0,0,2^SUMPRODUCT(--(MOD(SUMPRODUCT(MOD(INT(BE156/{2,4,8,16,32,64,128,256,512,1024,2048,4096,8192,16384,32768}),2)*(1-MOD(INT(($CJ21+BD201)/{2,4,8,16,32,64,128,256,512,1024,2048,4096,8192,16384,32768}),2))*{2,4,8,16,32,64,128,256,512,1024,2048,4096,8192,16384,32768}),{2,4,8,16,32,64,128,256,512,1024,2048,4096,8192,16384,32768})=0))))</f>
        <v/>
      </c>
      <c r="BF201">
        <f>BE201+IF(AND(BF111&gt;0,COUNTIF($Y111:BE111,BF111)=0),0,IF(SUMPRODUCT(MOD(INT(BF156/{2,4,8,16,32,64,128,256,512,1024,2048,4096,8192,16384,32768}),2)*(1-MOD(INT(($CJ21+BE201)/{2,4,8,16,32,64,128,256,512,1024,2048,4096,8192,16384,32768}),2))*{2,4,8,16,32,64,128,256,512,1024,2048,4096,8192,16384,32768})=0,0,2^SUMPRODUCT(--(MOD(SUMPRODUCT(MOD(INT(BF156/{2,4,8,16,32,64,128,256,512,1024,2048,4096,8192,16384,32768}),2)*(1-MOD(INT(($CJ21+BE201)/{2,4,8,16,32,64,128,256,512,1024,2048,4096,8192,16384,32768}),2))*{2,4,8,16,32,64,128,256,512,1024,2048,4096,8192,16384,32768}),{2,4,8,16,32,64,128,256,512,1024,2048,4096,8192,16384,32768})=0))))</f>
        <v/>
      </c>
      <c r="BG201">
        <f>BF201+IF(AND(BG111&gt;0,COUNTIF($Y111:BF111,BG111)=0),0,IF(SUMPRODUCT(MOD(INT(BG156/{2,4,8,16,32,64,128,256,512,1024,2048,4096,8192,16384,32768}),2)*(1-MOD(INT(($CJ21+BF201)/{2,4,8,16,32,64,128,256,512,1024,2048,4096,8192,16384,32768}),2))*{2,4,8,16,32,64,128,256,512,1024,2048,4096,8192,16384,32768})=0,0,2^SUMPRODUCT(--(MOD(SUMPRODUCT(MOD(INT(BG156/{2,4,8,16,32,64,128,256,512,1024,2048,4096,8192,16384,32768}),2)*(1-MOD(INT(($CJ21+BF201)/{2,4,8,16,32,64,128,256,512,1024,2048,4096,8192,16384,32768}),2))*{2,4,8,16,32,64,128,256,512,1024,2048,4096,8192,16384,32768}),{2,4,8,16,32,64,128,256,512,1024,2048,4096,8192,16384,32768})=0))))</f>
        <v/>
      </c>
      <c r="BH201">
        <f>BG201+IF(AND(BH111&gt;0,COUNTIF($Y111:BG111,BH111)=0),0,IF(SUMPRODUCT(MOD(INT(BH156/{2,4,8,16,32,64,128,256,512,1024,2048,4096,8192,16384,32768}),2)*(1-MOD(INT(($CJ21+BG201)/{2,4,8,16,32,64,128,256,512,1024,2048,4096,8192,16384,32768}),2))*{2,4,8,16,32,64,128,256,512,1024,2048,4096,8192,16384,32768})=0,0,2^SUMPRODUCT(--(MOD(SUMPRODUCT(MOD(INT(BH156/{2,4,8,16,32,64,128,256,512,1024,2048,4096,8192,16384,32768}),2)*(1-MOD(INT(($CJ21+BG201)/{2,4,8,16,32,64,128,256,512,1024,2048,4096,8192,16384,32768}),2))*{2,4,8,16,32,64,128,256,512,1024,2048,4096,8192,16384,32768}),{2,4,8,16,32,64,128,256,512,1024,2048,4096,8192,16384,32768})=0))))</f>
        <v/>
      </c>
      <c r="BI201">
        <f>BH201+IF(AND(BI111&gt;0,COUNTIF($Y111:BH111,BI111)=0),0,IF(SUMPRODUCT(MOD(INT(BI156/{2,4,8,16,32,64,128,256,512,1024,2048,4096,8192,16384,32768}),2)*(1-MOD(INT(($CJ21+BH201)/{2,4,8,16,32,64,128,256,512,1024,2048,4096,8192,16384,32768}),2))*{2,4,8,16,32,64,128,256,512,1024,2048,4096,8192,16384,32768})=0,0,2^SUMPRODUCT(--(MOD(SUMPRODUCT(MOD(INT(BI156/{2,4,8,16,32,64,128,256,512,1024,2048,4096,8192,16384,32768}),2)*(1-MOD(INT(($CJ21+BH201)/{2,4,8,16,32,64,128,256,512,1024,2048,4096,8192,16384,32768}),2))*{2,4,8,16,32,64,128,256,512,1024,2048,4096,8192,16384,32768}),{2,4,8,16,32,64,128,256,512,1024,2048,4096,8192,16384,32768})=0))))</f>
        <v/>
      </c>
      <c r="BJ201">
        <f>BI201+IF(AND(BJ111&gt;0,COUNTIF($Y111:BI111,BJ111)=0),0,IF(SUMPRODUCT(MOD(INT(BJ156/{2,4,8,16,32,64,128,256,512,1024,2048,4096,8192,16384,32768}),2)*(1-MOD(INT(($CJ21+BI201)/{2,4,8,16,32,64,128,256,512,1024,2048,4096,8192,16384,32768}),2))*{2,4,8,16,32,64,128,256,512,1024,2048,4096,8192,16384,32768})=0,0,2^SUMPRODUCT(--(MOD(SUMPRODUCT(MOD(INT(BJ156/{2,4,8,16,32,64,128,256,512,1024,2048,4096,8192,16384,32768}),2)*(1-MOD(INT(($CJ21+BI201)/{2,4,8,16,32,64,128,256,512,1024,2048,4096,8192,16384,32768}),2))*{2,4,8,16,32,64,128,256,512,1024,2048,4096,8192,16384,32768}),{2,4,8,16,32,64,128,256,512,1024,2048,4096,8192,16384,32768})=0))))</f>
        <v/>
      </c>
      <c r="BK201">
        <f>BJ201+IF(AND(BK111&gt;0,COUNTIF($Y111:BJ111,BK111)=0),0,IF(SUMPRODUCT(MOD(INT(BK156/{2,4,8,16,32,64,128,256,512,1024,2048,4096,8192,16384,32768}),2)*(1-MOD(INT(($CJ21+BJ201)/{2,4,8,16,32,64,128,256,512,1024,2048,4096,8192,16384,32768}),2))*{2,4,8,16,32,64,128,256,512,1024,2048,4096,8192,16384,32768})=0,0,2^SUMPRODUCT(--(MOD(SUMPRODUCT(MOD(INT(BK156/{2,4,8,16,32,64,128,256,512,1024,2048,4096,8192,16384,32768}),2)*(1-MOD(INT(($CJ21+BJ201)/{2,4,8,16,32,64,128,256,512,1024,2048,4096,8192,16384,32768}),2))*{2,4,8,16,32,64,128,256,512,1024,2048,4096,8192,16384,32768}),{2,4,8,16,32,64,128,256,512,1024,2048,4096,8192,16384,32768})=0))))</f>
        <v/>
      </c>
      <c r="BL201">
        <f>BK201+IF(AND(BL111&gt;0,COUNTIF($Y111:BK111,BL111)=0),0,IF(SUMPRODUCT(MOD(INT(BL156/{2,4,8,16,32,64,128,256,512,1024,2048,4096,8192,16384,32768}),2)*(1-MOD(INT(($CJ21+BK201)/{2,4,8,16,32,64,128,256,512,1024,2048,4096,8192,16384,32768}),2))*{2,4,8,16,32,64,128,256,512,1024,2048,4096,8192,16384,32768})=0,0,2^SUMPRODUCT(--(MOD(SUMPRODUCT(MOD(INT(BL156/{2,4,8,16,32,64,128,256,512,1024,2048,4096,8192,16384,32768}),2)*(1-MOD(INT(($CJ21+BK201)/{2,4,8,16,32,64,128,256,512,1024,2048,4096,8192,16384,32768}),2))*{2,4,8,16,32,64,128,256,512,1024,2048,4096,8192,16384,32768}),{2,4,8,16,32,64,128,256,512,1024,2048,4096,8192,16384,32768})=0))))</f>
        <v/>
      </c>
      <c r="BM201">
        <f>BL201+IF(AND(BM111&gt;0,COUNTIF($Y111:BL111,BM111)=0),0,IF(SUMPRODUCT(MOD(INT(BM156/{2,4,8,16,32,64,128,256,512,1024,2048,4096,8192,16384,32768}),2)*(1-MOD(INT(($CJ21+BL201)/{2,4,8,16,32,64,128,256,512,1024,2048,4096,8192,16384,32768}),2))*{2,4,8,16,32,64,128,256,512,1024,2048,4096,8192,16384,32768})=0,0,2^SUMPRODUCT(--(MOD(SUMPRODUCT(MOD(INT(BM156/{2,4,8,16,32,64,128,256,512,1024,2048,4096,8192,16384,32768}),2)*(1-MOD(INT(($CJ21+BL201)/{2,4,8,16,32,64,128,256,512,1024,2048,4096,8192,16384,32768}),2))*{2,4,8,16,32,64,128,256,512,1024,2048,4096,8192,16384,32768}),{2,4,8,16,32,64,128,256,512,1024,2048,4096,8192,16384,32768})=0))))</f>
        <v/>
      </c>
      <c r="BN201">
        <f>BM201+IF(AND(BN111&gt;0,COUNTIF($Y111:BM111,BN111)=0),0,IF(SUMPRODUCT(MOD(INT(BN156/{2,4,8,16,32,64,128,256,512,1024,2048,4096,8192,16384,32768}),2)*(1-MOD(INT(($CJ21+BM201)/{2,4,8,16,32,64,128,256,512,1024,2048,4096,8192,16384,32768}),2))*{2,4,8,16,32,64,128,256,512,1024,2048,4096,8192,16384,32768})=0,0,2^SUMPRODUCT(--(MOD(SUMPRODUCT(MOD(INT(BN156/{2,4,8,16,32,64,128,256,512,1024,2048,4096,8192,16384,32768}),2)*(1-MOD(INT(($CJ21+BM201)/{2,4,8,16,32,64,128,256,512,1024,2048,4096,8192,16384,32768}),2))*{2,4,8,16,32,64,128,256,512,1024,2048,4096,8192,16384,32768}),{2,4,8,16,32,64,128,256,512,1024,2048,4096,8192,16384,32768})=0))))</f>
        <v/>
      </c>
      <c r="BO201">
        <f>BN201+IF(AND(BO111&gt;0,COUNTIF($Y111:BN111,BO111)=0),0,IF(SUMPRODUCT(MOD(INT(BO156/{2,4,8,16,32,64,128,256,512,1024,2048,4096,8192,16384,32768}),2)*(1-MOD(INT(($CJ21+BN201)/{2,4,8,16,32,64,128,256,512,1024,2048,4096,8192,16384,32768}),2))*{2,4,8,16,32,64,128,256,512,1024,2048,4096,8192,16384,32768})=0,0,2^SUMPRODUCT(--(MOD(SUMPRODUCT(MOD(INT(BO156/{2,4,8,16,32,64,128,256,512,1024,2048,4096,8192,16384,32768}),2)*(1-MOD(INT(($CJ21+BN201)/{2,4,8,16,32,64,128,256,512,1024,2048,4096,8192,16384,32768}),2))*{2,4,8,16,32,64,128,256,512,1024,2048,4096,8192,16384,32768}),{2,4,8,16,32,64,128,256,512,1024,2048,4096,8192,16384,32768})=0))))</f>
        <v/>
      </c>
      <c r="BP201">
        <f>BO201+IF(AND(BP111&gt;0,COUNTIF($Y111:BO111,BP111)=0),0,IF(SUMPRODUCT(MOD(INT(BP156/{2,4,8,16,32,64,128,256,512,1024,2048,4096,8192,16384,32768}),2)*(1-MOD(INT(($CJ21+BO201)/{2,4,8,16,32,64,128,256,512,1024,2048,4096,8192,16384,32768}),2))*{2,4,8,16,32,64,128,256,512,1024,2048,4096,8192,16384,32768})=0,0,2^SUMPRODUCT(--(MOD(SUMPRODUCT(MOD(INT(BP156/{2,4,8,16,32,64,128,256,512,1024,2048,4096,8192,16384,32768}),2)*(1-MOD(INT(($CJ21+BO201)/{2,4,8,16,32,64,128,256,512,1024,2048,4096,8192,16384,32768}),2))*{2,4,8,16,32,64,128,256,512,1024,2048,4096,8192,16384,32768}),{2,4,8,16,32,64,128,256,512,1024,2048,4096,8192,16384,32768})=0))))</f>
        <v/>
      </c>
      <c r="BQ201">
        <f>BP201+IF(AND(BQ111&gt;0,COUNTIF($Y111:BP111,BQ111)=0),0,IF(SUMPRODUCT(MOD(INT(BQ156/{2,4,8,16,32,64,128,256,512,1024,2048,4096,8192,16384,32768}),2)*(1-MOD(INT(($CJ21+BP201)/{2,4,8,16,32,64,128,256,512,1024,2048,4096,8192,16384,32768}),2))*{2,4,8,16,32,64,128,256,512,1024,2048,4096,8192,16384,32768})=0,0,2^SUMPRODUCT(--(MOD(SUMPRODUCT(MOD(INT(BQ156/{2,4,8,16,32,64,128,256,512,1024,2048,4096,8192,16384,32768}),2)*(1-MOD(INT(($CJ21+BP201)/{2,4,8,16,32,64,128,256,512,1024,2048,4096,8192,16384,32768}),2))*{2,4,8,16,32,64,128,256,512,1024,2048,4096,8192,16384,32768}),{2,4,8,16,32,64,128,256,512,1024,2048,4096,8192,16384,32768})=0))))</f>
        <v/>
      </c>
      <c r="BR201">
        <f>BQ201+IF(AND(BR111&gt;0,COUNTIF($Y111:BQ111,BR111)=0),0,IF(SUMPRODUCT(MOD(INT(BR156/{2,4,8,16,32,64,128,256,512,1024,2048,4096,8192,16384,32768}),2)*(1-MOD(INT(($CJ21+BQ201)/{2,4,8,16,32,64,128,256,512,1024,2048,4096,8192,16384,32768}),2))*{2,4,8,16,32,64,128,256,512,1024,2048,4096,8192,16384,32768})=0,0,2^SUMPRODUCT(--(MOD(SUMPRODUCT(MOD(INT(BR156/{2,4,8,16,32,64,128,256,512,1024,2048,4096,8192,16384,32768}),2)*(1-MOD(INT(($CJ21+BQ201)/{2,4,8,16,32,64,128,256,512,1024,2048,4096,8192,16384,32768}),2))*{2,4,8,16,32,64,128,256,512,1024,2048,4096,8192,16384,32768}),{2,4,8,16,32,64,128,256,512,1024,2048,4096,8192,16384,32768})=0))))</f>
        <v/>
      </c>
      <c r="BS201">
        <f>BR201+IF(AND(BS111&gt;0,COUNTIF($Y111:BR111,BS111)=0),0,IF(SUMPRODUCT(MOD(INT(BS156/{2,4,8,16,32,64,128,256,512,1024,2048,4096,8192,16384,32768}),2)*(1-MOD(INT(($CJ21+BR201)/{2,4,8,16,32,64,128,256,512,1024,2048,4096,8192,16384,32768}),2))*{2,4,8,16,32,64,128,256,512,1024,2048,4096,8192,16384,32768})=0,0,2^SUMPRODUCT(--(MOD(SUMPRODUCT(MOD(INT(BS156/{2,4,8,16,32,64,128,256,512,1024,2048,4096,8192,16384,32768}),2)*(1-MOD(INT(($CJ21+BR201)/{2,4,8,16,32,64,128,256,512,1024,2048,4096,8192,16384,32768}),2))*{2,4,8,16,32,64,128,256,512,1024,2048,4096,8192,16384,32768}),{2,4,8,16,32,64,128,256,512,1024,2048,4096,8192,16384,32768})=0))))</f>
        <v/>
      </c>
      <c r="BT201">
        <f>BS201+IF(AND(BT111&gt;0,COUNTIF($Y111:BS111,BT111)=0),0,IF(SUMPRODUCT(MOD(INT(BT156/{2,4,8,16,32,64,128,256,512,1024,2048,4096,8192,16384,32768}),2)*(1-MOD(INT(($CJ21+BS201)/{2,4,8,16,32,64,128,256,512,1024,2048,4096,8192,16384,32768}),2))*{2,4,8,16,32,64,128,256,512,1024,2048,4096,8192,16384,32768})=0,0,2^SUMPRODUCT(--(MOD(SUMPRODUCT(MOD(INT(BT156/{2,4,8,16,32,64,128,256,512,1024,2048,4096,8192,16384,32768}),2)*(1-MOD(INT(($CJ21+BS201)/{2,4,8,16,32,64,128,256,512,1024,2048,4096,8192,16384,32768}),2))*{2,4,8,16,32,64,128,256,512,1024,2048,4096,8192,16384,32768}),{2,4,8,16,32,64,128,256,512,1024,2048,4096,8192,16384,32768})=0))))</f>
        <v/>
      </c>
      <c r="BU201">
        <f>BT201+IF(AND(BU111&gt;0,COUNTIF($Y111:BT111,BU111)=0),0,IF(SUMPRODUCT(MOD(INT(BU156/{2,4,8,16,32,64,128,256,512,1024,2048,4096,8192,16384,32768}),2)*(1-MOD(INT(($CJ21+BT201)/{2,4,8,16,32,64,128,256,512,1024,2048,4096,8192,16384,32768}),2))*{2,4,8,16,32,64,128,256,512,1024,2048,4096,8192,16384,32768})=0,0,2^SUMPRODUCT(--(MOD(SUMPRODUCT(MOD(INT(BU156/{2,4,8,16,32,64,128,256,512,1024,2048,4096,8192,16384,32768}),2)*(1-MOD(INT(($CJ21+BT201)/{2,4,8,16,32,64,128,256,512,1024,2048,4096,8192,16384,32768}),2))*{2,4,8,16,32,64,128,256,512,1024,2048,4096,8192,16384,32768}),{2,4,8,16,32,64,128,256,512,1024,2048,4096,8192,16384,32768})=0))))</f>
        <v/>
      </c>
      <c r="BV201">
        <f>BU201+IF(AND(BV111&gt;0,COUNTIF($Y111:BU111,BV111)=0),0,IF(SUMPRODUCT(MOD(INT(BV156/{2,4,8,16,32,64,128,256,512,1024,2048,4096,8192,16384,32768}),2)*(1-MOD(INT(($CJ21+BU201)/{2,4,8,16,32,64,128,256,512,1024,2048,4096,8192,16384,32768}),2))*{2,4,8,16,32,64,128,256,512,1024,2048,4096,8192,16384,32768})=0,0,2^SUMPRODUCT(--(MOD(SUMPRODUCT(MOD(INT(BV156/{2,4,8,16,32,64,128,256,512,1024,2048,4096,8192,16384,32768}),2)*(1-MOD(INT(($CJ21+BU201)/{2,4,8,16,32,64,128,256,512,1024,2048,4096,8192,16384,32768}),2))*{2,4,8,16,32,64,128,256,512,1024,2048,4096,8192,16384,32768}),{2,4,8,16,32,64,128,256,512,1024,2048,4096,8192,16384,32768})=0))))</f>
        <v/>
      </c>
      <c r="BW201">
        <f>BV201+IF(AND(BW111&gt;0,COUNTIF($Y111:BV111,BW111)=0),0,IF(SUMPRODUCT(MOD(INT(BW156/{2,4,8,16,32,64,128,256,512,1024,2048,4096,8192,16384,32768}),2)*(1-MOD(INT(($CJ21+BV201)/{2,4,8,16,32,64,128,256,512,1024,2048,4096,8192,16384,32768}),2))*{2,4,8,16,32,64,128,256,512,1024,2048,4096,8192,16384,32768})=0,0,2^SUMPRODUCT(--(MOD(SUMPRODUCT(MOD(INT(BW156/{2,4,8,16,32,64,128,256,512,1024,2048,4096,8192,16384,32768}),2)*(1-MOD(INT(($CJ21+BV201)/{2,4,8,16,32,64,128,256,512,1024,2048,4096,8192,16384,32768}),2))*{2,4,8,16,32,64,128,256,512,1024,2048,4096,8192,16384,32768}),{2,4,8,16,32,64,128,256,512,1024,2048,4096,8192,16384,32768})=0))))</f>
        <v/>
      </c>
      <c r="BX201">
        <f>BW201+IF(AND(BX111&gt;0,COUNTIF($Y111:BW111,BX111)=0),0,IF(SUMPRODUCT(MOD(INT(BX156/{2,4,8,16,32,64,128,256,512,1024,2048,4096,8192,16384,32768}),2)*(1-MOD(INT(($CJ21+BW201)/{2,4,8,16,32,64,128,256,512,1024,2048,4096,8192,16384,32768}),2))*{2,4,8,16,32,64,128,256,512,1024,2048,4096,8192,16384,32768})=0,0,2^SUMPRODUCT(--(MOD(SUMPRODUCT(MOD(INT(BX156/{2,4,8,16,32,64,128,256,512,1024,2048,4096,8192,16384,32768}),2)*(1-MOD(INT(($CJ21+BW201)/{2,4,8,16,32,64,128,256,512,1024,2048,4096,8192,16384,32768}),2))*{2,4,8,16,32,64,128,256,512,1024,2048,4096,8192,16384,32768}),{2,4,8,16,32,64,128,256,512,1024,2048,4096,8192,16384,32768})=0))))</f>
        <v/>
      </c>
      <c r="BY201">
        <f>BX201+IF(AND(BY111&gt;0,COUNTIF($Y111:BX111,BY111)=0),0,IF(SUMPRODUCT(MOD(INT(BY156/{2,4,8,16,32,64,128,256,512,1024,2048,4096,8192,16384,32768}),2)*(1-MOD(INT(($CJ21+BX201)/{2,4,8,16,32,64,128,256,512,1024,2048,4096,8192,16384,32768}),2))*{2,4,8,16,32,64,128,256,512,1024,2048,4096,8192,16384,32768})=0,0,2^SUMPRODUCT(--(MOD(SUMPRODUCT(MOD(INT(BY156/{2,4,8,16,32,64,128,256,512,1024,2048,4096,8192,16384,32768}),2)*(1-MOD(INT(($CJ21+BX201)/{2,4,8,16,32,64,128,256,512,1024,2048,4096,8192,16384,32768}),2))*{2,4,8,16,32,64,128,256,512,1024,2048,4096,8192,16384,32768}),{2,4,8,16,32,64,128,256,512,1024,2048,4096,8192,16384,32768})=0))))</f>
        <v/>
      </c>
      <c r="BZ201">
        <f>BY201+IF(AND(BZ111&gt;0,COUNTIF($Y111:BY111,BZ111)=0),0,IF(SUMPRODUCT(MOD(INT(BZ156/{2,4,8,16,32,64,128,256,512,1024,2048,4096,8192,16384,32768}),2)*(1-MOD(INT(($CJ21+BY201)/{2,4,8,16,32,64,128,256,512,1024,2048,4096,8192,16384,32768}),2))*{2,4,8,16,32,64,128,256,512,1024,2048,4096,8192,16384,32768})=0,0,2^SUMPRODUCT(--(MOD(SUMPRODUCT(MOD(INT(BZ156/{2,4,8,16,32,64,128,256,512,1024,2048,4096,8192,16384,32768}),2)*(1-MOD(INT(($CJ21+BY201)/{2,4,8,16,32,64,128,256,512,1024,2048,4096,8192,16384,32768}),2))*{2,4,8,16,32,64,128,256,512,1024,2048,4096,8192,16384,32768}),{2,4,8,16,32,64,128,256,512,1024,2048,4096,8192,16384,32768})=0))))</f>
        <v/>
      </c>
      <c r="CA201">
        <f>BZ201+IF(AND(CA111&gt;0,COUNTIF($Y111:BZ111,CA111)=0),0,IF(SUMPRODUCT(MOD(INT(CA156/{2,4,8,16,32,64,128,256,512,1024,2048,4096,8192,16384,32768}),2)*(1-MOD(INT(($CJ21+BZ201)/{2,4,8,16,32,64,128,256,512,1024,2048,4096,8192,16384,32768}),2))*{2,4,8,16,32,64,128,256,512,1024,2048,4096,8192,16384,32768})=0,0,2^SUMPRODUCT(--(MOD(SUMPRODUCT(MOD(INT(CA156/{2,4,8,16,32,64,128,256,512,1024,2048,4096,8192,16384,32768}),2)*(1-MOD(INT(($CJ21+BZ201)/{2,4,8,16,32,64,128,256,512,1024,2048,4096,8192,16384,32768}),2))*{2,4,8,16,32,64,128,256,512,1024,2048,4096,8192,16384,32768}),{2,4,8,16,32,64,128,256,512,1024,2048,4096,8192,16384,32768})=0))))</f>
        <v/>
      </c>
      <c r="CB201">
        <f>CA201+IF(AND(CB111&gt;0,COUNTIF($Y111:CA111,CB111)=0),0,IF(SUMPRODUCT(MOD(INT(CB156/{2,4,8,16,32,64,128,256,512,1024,2048,4096,8192,16384,32768}),2)*(1-MOD(INT(($CJ21+CA201)/{2,4,8,16,32,64,128,256,512,1024,2048,4096,8192,16384,32768}),2))*{2,4,8,16,32,64,128,256,512,1024,2048,4096,8192,16384,32768})=0,0,2^SUMPRODUCT(--(MOD(SUMPRODUCT(MOD(INT(CB156/{2,4,8,16,32,64,128,256,512,1024,2048,4096,8192,16384,32768}),2)*(1-MOD(INT(($CJ21+CA201)/{2,4,8,16,32,64,128,256,512,1024,2048,4096,8192,16384,32768}),2))*{2,4,8,16,32,64,128,256,512,1024,2048,4096,8192,16384,32768}),{2,4,8,16,32,64,128,256,512,1024,2048,4096,8192,16384,32768})=0))))</f>
        <v/>
      </c>
      <c r="CC201">
        <f>CB201+IF(AND(CC111&gt;0,COUNTIF($Y111:CB111,CC111)=0),0,IF(SUMPRODUCT(MOD(INT(CC156/{2,4,8,16,32,64,128,256,512,1024,2048,4096,8192,16384,32768}),2)*(1-MOD(INT(($CJ21+CB201)/{2,4,8,16,32,64,128,256,512,1024,2048,4096,8192,16384,32768}),2))*{2,4,8,16,32,64,128,256,512,1024,2048,4096,8192,16384,32768})=0,0,2^SUMPRODUCT(--(MOD(SUMPRODUCT(MOD(INT(CC156/{2,4,8,16,32,64,128,256,512,1024,2048,4096,8192,16384,32768}),2)*(1-MOD(INT(($CJ21+CB201)/{2,4,8,16,32,64,128,256,512,1024,2048,4096,8192,16384,32768}),2))*{2,4,8,16,32,64,128,256,512,1024,2048,4096,8192,16384,32768}),{2,4,8,16,32,64,128,256,512,1024,2048,4096,8192,16384,32768})=0))))</f>
        <v/>
      </c>
      <c r="CD201">
        <f>CC201+IF(AND(CD111&gt;0,COUNTIF($Y111:CC111,CD111)=0),0,IF(SUMPRODUCT(MOD(INT(CD156/{2,4,8,16,32,64,128,256,512,1024,2048,4096,8192,16384,32768}),2)*(1-MOD(INT(($CJ21+CC201)/{2,4,8,16,32,64,128,256,512,1024,2048,4096,8192,16384,32768}),2))*{2,4,8,16,32,64,128,256,512,1024,2048,4096,8192,16384,32768})=0,0,2^SUMPRODUCT(--(MOD(SUMPRODUCT(MOD(INT(CD156/{2,4,8,16,32,64,128,256,512,1024,2048,4096,8192,16384,32768}),2)*(1-MOD(INT(($CJ21+CC201)/{2,4,8,16,32,64,128,256,512,1024,2048,4096,8192,16384,32768}),2))*{2,4,8,16,32,64,128,256,512,1024,2048,4096,8192,16384,32768}),{2,4,8,16,32,64,128,256,512,1024,2048,4096,8192,16384,32768})=0))))</f>
        <v/>
      </c>
      <c r="CE201">
        <f>CD201+IF(AND(CE111&gt;0,COUNTIF($Y111:CD111,CE111)=0),0,IF(SUMPRODUCT(MOD(INT(CE156/{2,4,8,16,32,64,128,256,512,1024,2048,4096,8192,16384,32768}),2)*(1-MOD(INT(($CJ21+CD201)/{2,4,8,16,32,64,128,256,512,1024,2048,4096,8192,16384,32768}),2))*{2,4,8,16,32,64,128,256,512,1024,2048,4096,8192,16384,32768})=0,0,2^SUMPRODUCT(--(MOD(SUMPRODUCT(MOD(INT(CE156/{2,4,8,16,32,64,128,256,512,1024,2048,4096,8192,16384,32768}),2)*(1-MOD(INT(($CJ21+CD201)/{2,4,8,16,32,64,128,256,512,1024,2048,4096,8192,16384,32768}),2))*{2,4,8,16,32,64,128,256,512,1024,2048,4096,8192,16384,32768}),{2,4,8,16,32,64,128,256,512,1024,2048,4096,8192,16384,32768})=0))))</f>
        <v/>
      </c>
      <c r="CF201">
        <f>CE201+IF(AND(CF111&gt;0,COUNTIF($Y111:CE111,CF111)=0),0,IF(SUMPRODUCT(MOD(INT(CF156/{2,4,8,16,32,64,128,256,512,1024,2048,4096,8192,16384,32768}),2)*(1-MOD(INT(($CJ21+CE201)/{2,4,8,16,32,64,128,256,512,1024,2048,4096,8192,16384,32768}),2))*{2,4,8,16,32,64,128,256,512,1024,2048,4096,8192,16384,32768})=0,0,2^SUMPRODUCT(--(MOD(SUMPRODUCT(MOD(INT(CF156/{2,4,8,16,32,64,128,256,512,1024,2048,4096,8192,16384,32768}),2)*(1-MOD(INT(($CJ21+CE201)/{2,4,8,16,32,64,128,256,512,1024,2048,4096,8192,16384,32768}),2))*{2,4,8,16,32,64,128,256,512,1024,2048,4096,8192,16384,32768}),{2,4,8,16,32,64,128,256,512,1024,2048,4096,8192,16384,32768})=0))))</f>
        <v/>
      </c>
      <c r="DA201" t="n">
        <v>197</v>
      </c>
      <c r="DB201">
        <f>IF($B$37=0,"",IFERROR(TRIM(SUBSTITUTE(SUBSTITUTE(SUBSTITUTE(SUBSTITUTE(INDEX(PASTE_ALL,197,$B$37)," "," "),CHAR(9)," "),CHAR(10)," "),CHAR(13)," ")),""))</f>
        <v/>
      </c>
      <c r="DC201">
        <f>IF(AND(197&gt;HEADER_ROW,UPPER(DB201)="LEGEND"),1,0)</f>
        <v/>
      </c>
      <c r="DE201" t="n">
        <v>197</v>
      </c>
      <c r="DF201">
        <f>HEADER_ROW+$DE201</f>
        <v/>
      </c>
      <c r="DG201">
        <f>IF(AND($DF201&lt;=1000,$DF201&lt;$B$8),1,0)</f>
        <v/>
      </c>
      <c r="DH201">
        <f>IF($DG201=1,IFERROR(INDEX($DB$5:$DB$1004,$DF201),""),"")</f>
        <v/>
      </c>
      <c r="DI201">
        <f>IF(AND($DG201=1,$DH201&lt;&gt;""),IFERROR(SUBSTITUTE(SUBSTITUTE(TRIM(SUBSTITUTE(SUBSTITUTE(SUBSTITUTE(SUBSTITUTE(IFERROR(INDEX(PASTE_ALL,$DF201,1)&amp;"","")&amp;"␟"&amp;IFERROR(INDEX(PASTE_ALL,$DF201,2)&amp;"","")&amp;"␟"&amp;IFERROR(INDEX(PASTE_ALL,$DF201,3)&amp;"","")&amp;"␟"&amp;IFERROR(INDEX(PASTE_ALL,$DF201,4)&amp;"","")&amp;"␟"&amp;IFERROR(INDEX(PASTE_ALL,$DF201,5)&amp;"","")&amp;"␟"&amp;IFERROR(INDEX(PASTE_ALL,$DF201,6)&amp;"","")&amp;"␟"&amp;IFERROR(INDEX(PASTE_ALL,$DF201,7)&amp;"","")&amp;"␟"&amp;IFERROR(INDEX(PASTE_ALL,$DF201,8)&amp;"","")&amp;"␟"&amp;IFERROR(INDEX(PASTE_ALL,$DF201,9)&amp;"","")&amp;"␟"&amp;IFERROR(INDEX(PASTE_ALL,$DF201,10)&amp;"","")&amp;"␟"&amp;IFERROR(INDEX(PASTE_ALL,$DF201,11)&amp;"","")&amp;"␟"&amp;IFERROR(INDEX(PASTE_ALL,$DF201,12)&amp;"","")&amp;"␟"&amp;IFERROR(INDEX(PASTE_ALL,$DF201,13)&amp;"","")&amp;"␟"&amp;IFERROR(INDEX(PASTE_ALL,$DF201,14)&amp;"","")&amp;"␟"&amp;IFERROR(INDEX(PASTE_ALL,$DF201,15)&amp;"","")&amp;"␟"&amp;IFERROR(INDEX(PASTE_ALL,$DF201,16)&amp;"","")&amp;"␟"&amp;IFERROR(INDEX(PASTE_ALL,$DF201,17)&amp;"","")&amp;"␟"&amp;IFERROR(INDEX(PASTE_ALL,$DF201,18)&amp;"","")&amp;"␟"&amp;IFERROR(INDEX(PASTE_ALL,$DF201,19)&amp;"","")&amp;"␟"&amp;IFERROR(INDEX(PASTE_ALL,$DF201,20)&amp;"","")&amp;"␟"&amp;IFERROR(INDEX(PASTE_ALL,$DF201,21)&amp;"","")&amp;"␟"&amp;IFERROR(INDEX(PASTE_ALL,$DF201,22)&amp;"","")&amp;"␟"&amp;IFERROR(INDEX(PASTE_ALL,$DF201,23)&amp;"","")&amp;"␟"&amp;IFERROR(INDEX(PASTE_ALL,$DF201,24)&amp;"","")&amp;"␟"&amp;IFERROR(INDEX(PASTE_ALL,$DF201,25)&amp;"","")&amp;"␟"&amp;IFERROR(INDEX(PASTE_ALL,$DF201,26)&amp;"","")&amp;"␟"&amp;IFERROR(INDEX(PASTE_ALL,$DF201,27)&amp;"","")&amp;"␟"&amp;IFERROR(INDEX(PASTE_ALL,$DF201,28)&amp;"","")&amp;"␟"&amp;IFERROR(INDEX(PASTE_ALL,$DF201,29)&amp;"","")&amp;"␟"&amp;IFERROR(INDEX(PASTE_ALL,$DF201,30)&amp;"","")&amp;"␟"&amp;IFERROR(INDEX(PASTE_ALL,$DF201,31)&amp;"","")&amp;"␟"&amp;IFERROR(INDEX(PASTE_ALL,$DF201,32)&amp;"","")&amp;"␟"&amp;IFERROR(INDEX(PASTE_ALL,$DF201,33)&amp;"","")&amp;"␟"&amp;IFERROR(INDEX(PASTE_ALL,$DF201,34)&amp;"","")&amp;"␟"&amp;IFERROR(INDEX(PASTE_ALL,$DF201,35)&amp;"","")&amp;"␟"&amp;IFERROR(INDEX(PASTE_ALL,$DF201,36)&amp;"","")&amp;"␟"&amp;IFERROR(INDEX(PASTE_ALL,$DF201,37)&amp;"","")&amp;"␟"&amp;IFERROR(INDEX(PASTE_ALL,$DF201,38)&amp;"","")&amp;"␟"&amp;IFERROR(INDEX(PASTE_ALL,$DF201,39)&amp;"","")&amp;"␟"&amp;IFERROR(INDEX(PASTE_ALL,$DF201,40)&amp;"","")&amp;"␟"&amp;IFERROR(INDEX(PASTE_ALL,$DF201,41)&amp;"","")&amp;"␟"&amp;IFERROR(INDEX(PASTE_ALL,$DF201,42)&amp;"","")&amp;"␟"&amp;IFERROR(INDEX(PASTE_ALL,$DF201,43)&amp;"","")&amp;"␟"&amp;IFERROR(INDEX(PASTE_ALL,$DF201,44)&amp;"","")&amp;"␟"&amp;IFERROR(INDEX(PASTE_ALL,$DF201,45)&amp;"","")&amp;"␟"&amp;IFERROR(INDEX(PASTE_ALL,$DF201,46)&amp;"","")&amp;"␟"&amp;IFERROR(INDEX(PASTE_ALL,$DF201,47)&amp;"","")&amp;"␟"&amp;IFERROR(INDEX(PASTE_ALL,$DF201,48)&amp;"","")&amp;"␟"&amp;IFERROR(INDEX(PASTE_ALL,$DF201,49)&amp;"","")&amp;"␟"&amp;IFERROR(INDEX(PASTE_ALL,$DF201,50)&amp;"","")&amp;"␟"&amp;IFERROR(INDEX(PASTE_ALL,$DF201,51)&amp;"","")&amp;"␟"&amp;IFERROR(INDEX(PASTE_ALL,$DF201,52)&amp;"","")&amp;"␟"&amp;IFERROR(INDEX(PASTE_ALL,$DF201,53)&amp;"","")&amp;"␟"&amp;IFERROR(INDEX(PASTE_ALL,$DF201,54)&amp;"","")&amp;"␟"&amp;IFERROR(INDEX(PASTE_ALL,$DF201,55)&amp;"","")&amp;"␟"&amp;IFERROR(INDEX(PASTE_ALL,$DF201,56)&amp;"","")&amp;"␟"&amp;IFERROR(INDEX(PASTE_ALL,$DF201,57)&amp;"","")&amp;"␟"&amp;IFERROR(INDEX(PASTE_ALL,$DF201,58)&amp;"","")&amp;"␟"&amp;IFERROR(INDEX(PASTE_ALL,$DF201,59)&amp;"","")&amp;"␟"&amp;IFERROR(INDEX(PASTE_ALL,$DF201,60)&amp;"","")," "," "),CHAR(9)," "),CHAR(10)," "),CHAR(13)," "))," ␟","␟"),"␟ ","␟"),"#"&amp;$DE201),"")</f>
        <v/>
      </c>
      <c r="DJ201">
        <f>IF($DI201="",0,IF(SUMPRODUCT(--EXACT($DI$4:DI200,$DI201))&gt;0,1,0))</f>
        <v/>
      </c>
      <c r="DK201">
        <f>IF(AND($DI201&lt;&gt;"",$DJ201=0),1,0)</f>
        <v/>
      </c>
      <c r="DL201">
        <f>DL200+$DK201</f>
        <v/>
      </c>
      <c r="DM201">
        <f>IF(AND($DK201=1,$DL201&lt;=600),1,0)</f>
        <v/>
      </c>
      <c r="DN201">
        <f>IF($DM201=0,"",IF($L$6=0,"",IFERROR(IF(ISNUMBER(INDEX(PASTE_ALL,$DF201,$L$6)),INDEX(PASTE_ALL,$DF201,$L$6),TRIM(SUBSTITUTE(SUBSTITUTE(SUBSTITUTE(SUBSTITUTE(INDEX(PASTE_ALL,$DF201,$L$6)," "," "),CHAR(9)," "),CHAR(10)," "),CHAR(13)," "))),"")))</f>
        <v/>
      </c>
      <c r="DO201">
        <f>IF($DM201=0,"",IF($L$7=0,"",IFERROR(IF(ISNUMBER(INDEX(PASTE_ALL,$DF201,$L$7)),INDEX(PASTE_ALL,$DF201,$L$7),TRIM(SUBSTITUTE(SUBSTITUTE(SUBSTITUTE(SUBSTITUTE(INDEX(PASTE_ALL,$DF201,$L$7)," "," "),CHAR(9)," "),CHAR(10)," "),CHAR(13)," "))),"")))</f>
        <v/>
      </c>
      <c r="DP201">
        <f>IF($DM201=0,"",IF($L$8=0,"",IFERROR(IF(ISNUMBER(INDEX(PASTE_ALL,$DF201,$L$8)),INDEX(PASTE_ALL,$DF201,$L$8),TRIM(SUBSTITUTE(SUBSTITUTE(SUBSTITUTE(SUBSTITUTE(INDEX(PASTE_ALL,$DF201,$L$8)," "," "),CHAR(9)," "),CHAR(10)," "),CHAR(13)," "))),"")))</f>
        <v/>
      </c>
      <c r="DQ201">
        <f>IF($DM201=0,"",IF($L$9=0,"",IFERROR(IF(ISNUMBER(INDEX(PASTE_ALL,$DF201,$L$9)),INDEX(PASTE_ALL,$DF201,$L$9),TRIM(SUBSTITUTE(SUBSTITUTE(SUBSTITUTE(SUBSTITUTE(INDEX(PASTE_ALL,$DF201,$L$9)," "," "),CHAR(9)," "),CHAR(10)," "),CHAR(13)," "))),"")))</f>
        <v/>
      </c>
      <c r="DR201">
        <f>IF($DM201=0,"",IF($L$10=0,"",IFERROR(IF(ISNUMBER(INDEX(PASTE_ALL,$DF201,$L$10)),INDEX(PASTE_ALL,$DF201,$L$10),TRIM(SUBSTITUTE(SUBSTITUTE(SUBSTITUTE(SUBSTITUTE(INDEX(PASTE_ALL,$DF201,$L$10)," "," "),CHAR(9)," "),CHAR(10)," "),CHAR(13)," "))),"")))</f>
        <v/>
      </c>
      <c r="DS201">
        <f>IF($DM201=0,"",IF($L$11=0,"",IFERROR(IF(ISNUMBER(INDEX(PASTE_ALL,$DF201,$L$11)),INDEX(PASTE_ALL,$DF201,$L$11),TRIM(SUBSTITUTE(SUBSTITUTE(SUBSTITUTE(SUBSTITUTE(INDEX(PASTE_ALL,$DF201,$L$11)," "," "),CHAR(9)," "),CHAR(10)," "),CHAR(13)," "))),"")))</f>
        <v/>
      </c>
      <c r="DT201">
        <f>IF($DM201=0,"",IF($L$12=0,"",IFERROR(IF(ISNUMBER(INDEX(PASTE_ALL,$DF201,$L$12)),INDEX(PASTE_ALL,$DF201,$L$12),TRIM(SUBSTITUTE(SUBSTITUTE(SUBSTITUTE(SUBSTITUTE(INDEX(PASTE_ALL,$DF201,$L$12)," "," "),CHAR(9)," "),CHAR(10)," "),CHAR(13)," "))),"")))</f>
        <v/>
      </c>
      <c r="DU201">
        <f>IF($DM201=0,"",IF($L$13=0,"",IFERROR(IF(ISNUMBER(INDEX(PASTE_ALL,$DF201,$L$13)),INDEX(PASTE_ALL,$DF201,$L$13),TRIM(SUBSTITUTE(SUBSTITUTE(SUBSTITUTE(SUBSTITUTE(INDEX(PASTE_ALL,$DF201,$L$13)," "," "),CHAR(9)," "),CHAR(10)," "),CHAR(13)," "))),"")))</f>
        <v/>
      </c>
      <c r="DV201">
        <f>IF($DM201=0,"",IF($L$14=0,"",IFERROR(IF(ISNUMBER(INDEX(PASTE_ALL,$DF201,$L$14)),INDEX(PASTE_ALL,$DF201,$L$14),TRIM(SUBSTITUTE(SUBSTITUTE(SUBSTITUTE(SUBSTITUTE(INDEX(PASTE_ALL,$DF201,$L$14)," "," "),CHAR(9)," "),CHAR(10)," "),CHAR(13)," "))),"")))</f>
        <v/>
      </c>
      <c r="DW201">
        <f>IF($DM201=0,"",IF($L$15=0,"",IFERROR(IF(ISNUMBER(INDEX(PASTE_ALL,$DF201,$L$15)),INDEX(PASTE_ALL,$DF201,$L$15),IF(SUMPRODUCT(--ISNUMBER(FIND({"A","B","C","D","E","F","G","H","I","J","K","L","M","N","O","P","Q","R","S","T","U","V","W","X","Y","Z","0","1","2","3","4","5","6","7","8","9"},UPPER(TRIM(SUBSTITUTE(SUBSTITUTE(SUBSTITUTE(SUBSTITUTE(INDEX(PASTE_ALL,$DF201,$L$15)," "," "),CHAR(9)," "),CHAR(10)," "),CHAR(13)," "))))))&gt;0,TRIM(SUBSTITUTE(SUBSTITUTE(SUBSTITUTE(SUBSTITUTE(INDEX(PASTE_ALL,$DF201,$L$15)," "," "),CHAR(9)," "),CHAR(10)," "),CHAR(13)," ")),"")),"")))</f>
        <v/>
      </c>
      <c r="DX201">
        <f>IF($DM201=0,"",IF($L$16=0,"",IFERROR(IF(ISNUMBER(INDEX(PASTE_ALL,$DF201,$L$16)),INDEX(PASTE_ALL,$DF201,$L$16),SUBSTITUTE(SUBSTITUTE(TRIM(SUBSTITUTE(SUBSTITUTE(SUBSTITUTE(SUBSTITUTE(INDEX(PASTE_ALL,$DF201,$L$16)," "," "),CHAR(9)," "),CHAR(10)," "),CHAR(13)," ")),",",""),"%","")),"")))</f>
        <v/>
      </c>
      <c r="DY201">
        <f>IF($DM201=0,"",IFERROR(IF(ISNUMBER($DX201),$DX201,IF($DX201="","",IF(TRIM($DX201)="",0,IF(AND(AND(SUBSTITUTE(SUBSTITUTE(SUBSTITUTE(SUBSTITUTE(SUBSTITUTE(SUBSTITUTE(SUBSTITUTE(SUBSTITUTE(SUBSTITUTE(SUBSTITUTE(SUBSTITUTE(SUBSTITUTE(SUBSTITUTE(SUBSTITUTE(UPPER(TRIM($DX201)),"0",""),"1",""),"2",""),"3",""),"4",""),"5",""),"6",""),"7",""),"8",""),"9",""),".",""),"+",""),"-",""),"E","")="",LEN(SUBSTITUTE(SUBSTITUTE(MID(UPPER(TRIM($DX201)),1+OR(LEFT(UPPER(TRIM($DX201)),1)="+",LEFT(UPPER(TRIM($DX201)),1)="-"),999),"E+","E"),"E-","E"))=LEN(SUBSTITUTE(SUBSTITUTE(SUBSTITUTE(SUBSTITUTE(MID(UPPER(TRIM($DX201)),1+OR(LEFT(UPPER(TRIM($DX201)),1)="+",LEFT(UPPER(TRIM($DX201)),1)="-"),999),"E+","E"),"E-","E"),"+",""),"-","")),LEN(UPPER(TRIM($DX201)))-LEN(SUBSTITUTE(UPPER(TRIM($DX201)),"E",""))&lt;2,LEN(UPPER(TRIM($DX201)))-LEN(SUBSTITUTE(UPPER(TRIM($DX201)),".",""))&lt;2,IFERROR(FIND(".",UPPER(TRIM($DX201))),0)&lt;IFERROR(FIND("E",UPPER(TRIM($DX201))),999)),ISNUMBER(VALUE(TRIM($DX201)))),VALUE(TRIM($DX201)),"")))),""))</f>
        <v/>
      </c>
      <c r="DZ201">
        <f>IF($DM201=0,"",IF($L$17=0,"",IFERROR(IF(ISNUMBER(INDEX(PASTE_ALL,$DF201,$L$17)),INDEX(PASTE_ALL,$DF201,$L$17),SUBSTITUTE(SUBSTITUTE(TRIM(SUBSTITUTE(SUBSTITUTE(SUBSTITUTE(SUBSTITUTE(INDEX(PASTE_ALL,$DF201,$L$17)," "," "),CHAR(9)," "),CHAR(10)," "),CHAR(13)," ")),",",""),"%","")),"")))</f>
        <v/>
      </c>
      <c r="EA201">
        <f>IF($DM201=0,"",IFERROR(IF(ISNUMBER($DZ201),$DZ201,IF($DZ201="","",IF(TRIM($DZ201)="",0,IF(AND(AND(SUBSTITUTE(SUBSTITUTE(SUBSTITUTE(SUBSTITUTE(SUBSTITUTE(SUBSTITUTE(SUBSTITUTE(SUBSTITUTE(SUBSTITUTE(SUBSTITUTE(SUBSTITUTE(SUBSTITUTE(SUBSTITUTE(SUBSTITUTE(UPPER(TRIM($DZ201)),"0",""),"1",""),"2",""),"3",""),"4",""),"5",""),"6",""),"7",""),"8",""),"9",""),".",""),"+",""),"-",""),"E","")="",LEN(SUBSTITUTE(SUBSTITUTE(MID(UPPER(TRIM($DZ201)),1+OR(LEFT(UPPER(TRIM($DZ201)),1)="+",LEFT(UPPER(TRIM($DZ201)),1)="-"),999),"E+","E"),"E-","E"))=LEN(SUBSTITUTE(SUBSTITUTE(SUBSTITUTE(SUBSTITUTE(MID(UPPER(TRIM($DZ201)),1+OR(LEFT(UPPER(TRIM($DZ201)),1)="+",LEFT(UPPER(TRIM($DZ201)),1)="-"),999),"E+","E"),"E-","E"),"+",""),"-","")),LEN(UPPER(TRIM($DZ201)))-LEN(SUBSTITUTE(UPPER(TRIM($DZ201)),"E",""))&lt;2,LEN(UPPER(TRIM($DZ201)))-LEN(SUBSTITUTE(UPPER(TRIM($DZ201)),".",""))&lt;2,IFERROR(FIND(".",UPPER(TRIM($DZ201))),0)&lt;IFERROR(FIND("E",UPPER(TRIM($DZ201))),999)),ISNUMBER(VALUE(TRIM($DZ201)))),VALUE(TRIM($DZ201)),"")))),""))</f>
        <v/>
      </c>
      <c r="EB201">
        <f>IF($DM201=0,"",IF($L$18=0,"",IFERROR(IF(UPPER(TRIM(SUBSTITUTE(SUBSTITUTE(SUBSTITUTE(SUBSTITUTE(INDEX(PASTE_ALL,$DF201,$L$18)," "," "),CHAR(9)," "),CHAR(10)," "),CHAR(13)," ")))="READY","Ready",IF(UPPER(TRIM(SUBSTITUTE(SUBSTITUTE(SUBSTITUTE(SUBSTITUTE(INDEX(PASTE_ALL,$DF201,$L$18)," "," "),CHAR(9)," "),CHAR(10)," "),CHAR(13)," ")))="PM","PM",IF(OR(UPPER(TRIM(SUBSTITUTE(SUBSTITUTE(SUBSTITUTE(SUBSTITUTE(INDEX(PASTE_ALL,$DF201,$L$18)," "," "),CHAR(9)," "),CHAR(10)," "),CHAR(13)," ")))="OT",UPPER(TRIM(SUBSTITUTE(SUBSTITUTE(SUBSTITUTE(SUBSTITUTE(INDEX(PASTE_ALL,$DF201,$L$18)," "," "),CHAR(9)," "),CHAR(10)," "),CHAR(13)," ")))="OVERTIME",UPPER(TRIM(SUBSTITUTE(SUBSTITUTE(SUBSTITUTE(SUBSTITUTE(INDEX(PASTE_ALL,$DF201,$L$18)," "," "),CHAR(9)," "),CHAR(10)," "),CHAR(13)," ")))="TRIAL"),"OT",TRIM(SUBSTITUTE(SUBSTITUTE(SUBSTITUTE(SUBSTITUTE(INDEX(PASTE_ALL,$DF201,$L$18)," "," "),CHAR(9)," "),CHAR(10)," "),CHAR(13)," "))))),"")))</f>
        <v/>
      </c>
      <c r="EC201">
        <f>IF($DM201=0,"",IF($L$19=0,"",IFERROR(IF(ISNUMBER(INDEX(PASTE_ALL,$DF201,$L$19)),INDEX(PASTE_ALL,$DF201,$L$19),TRIM(SUBSTITUTE(SUBSTITUTE(SUBSTITUTE(SUBSTITUTE(INDEX(PASTE_ALL,$DF201,$L$19)," "," "),CHAR(9)," "),CHAR(10)," "),CHAR(13)," "))),"")))</f>
        <v/>
      </c>
      <c r="ED201">
        <f>IF($DM201=0,"",MATCH(1,INDEX(EXACT($DH$5:DH201,$DH201)*$DM$5:DM201,0),0))</f>
        <v/>
      </c>
      <c r="EE201">
        <f>IF($DM201=0,0,IF($ED201=$DE201,1,0))</f>
        <v/>
      </c>
      <c r="EF201">
        <f>EF200+$EE201</f>
        <v/>
      </c>
      <c r="EG201">
        <f>IF($DM201=0,"",INDEX($EF$5:$EF$1003,$ED201))</f>
        <v/>
      </c>
      <c r="EH201">
        <f>IF($DM201=0,"",IF($DO201&lt;&gt;"","",IFERROR(LOOKUP(2,1/(($EG$4:EG200=$EG201)*($DO$4:DO200&lt;&gt;"")),$DO$4:DO200),"")))</f>
        <v/>
      </c>
      <c r="EI201">
        <f>IF($DM201=0,"",IF($DO201&lt;&gt;"",$DO201,$EH201))</f>
        <v/>
      </c>
      <c r="EJ201">
        <f>IF($DM201=0,"",IF($EI201="",0,IF(OR(ISNUMBER($EI201),AND(AND(SUBSTITUTE(SUBSTITUTE(SUBSTITUTE(SUBSTITUTE(SUBSTITUTE(SUBSTITUTE(SUBSTITUTE(SUBSTITUTE(SUBSTITUTE(SUBSTITUTE(SUBSTITUTE(SUBSTITUTE(SUBSTITUTE(SUBSTITUTE(UPPER($EI201),"0",""),"1",""),"2",""),"3",""),"4",""),"5",""),"6",""),"7",""),"8",""),"9",""),".",""),"+",""),"-",""),"E","")="",LEN(SUBSTITUTE(SUBSTITUTE(MID(UPPER($EI201),1+OR(LEFT(UPPER($EI201),1)="+",LEFT(UPPER($EI201),1)="-"),999),"E+","E"),"E-","E"))=LEN(SUBSTITUTE(SUBSTITUTE(SUBSTITUTE(SUBSTITUTE(MID(UPPER($EI201),1+OR(LEFT(UPPER($EI201),1)="+",LEFT(UPPER($EI201),1)="-"),999),"E+","E"),"E-","E"),"+",""),"-","")),LEN(UPPER($EI201))-LEN(SUBSTITUTE(UPPER($EI201),"E",""))&lt;2,LEN(UPPER($EI201))-LEN(SUBSTITUTE(UPPER($EI201),".",""))&lt;2,IFERROR(FIND(".",UPPER($EI201)),0)&lt;IFERROR(FIND("E",UPPER($EI201)),999)),ISNUMBER(VALUE($EI201)))),1,2)))</f>
        <v/>
      </c>
      <c r="EK201">
        <f>IF($DM201=0,"",IF($EJ201=1,IF(ISNUMBER($EI201),$EI201,VALUE($EI201)),IF($EJ201=2,$DE201,0)))</f>
        <v/>
      </c>
      <c r="EL201">
        <f>IF($DM201=0,"",COUNTIF($EG$5:$EG$1003,"&lt;"&amp;$EG201)+SUMPRODUCT(($EG$5:$EG$1003=$EG201)*(($EJ$5:$EJ$1003&lt;$EJ201)+($EJ$5:$EJ$1003=$EJ201)*(($EK$5:$EK$1003&lt;$EK201)+($EK$5:$EK$1003=$EK201)*($DE$5:$DE$1003&lt;$DE201))))+1)</f>
        <v/>
      </c>
      <c r="EM201">
        <f>IF($DM201=0,"",$EL201+$EG201-1)</f>
        <v/>
      </c>
      <c r="EN201">
        <f>IF($DM201=0,0,IFERROR(MATCH(1,INDEX(--(TRIM(SUBSTITUTE(SUBSTITUTE(SUBSTITUTE(SUBSTITUTE(LINES_NAME&amp;""," "," "),CHAR(9)," "),CHAR(10)," "),CHAR(13)," "))=$DH201),0),0),0))</f>
        <v/>
      </c>
      <c r="EO201">
        <f>IF($EN201=0,0,IF(OR(UPPER(TRIM(INDEX(LINES_SCHEDULED,$EN201)&amp;""))="YES",UPPER(TRIM(INDEX(LINES_SCHEDULED,$EN201)&amp;""))="Y",UPPER(TRIM(INDEX(LINES_SCHEDULED,$EN201)&amp;""))="X"),1,0))</f>
        <v/>
      </c>
      <c r="EP201">
        <f>IF($DM201=0,"",IF(COUNTIFS($EG$5:$EG$1003,$EG201,$EB$5:$EB$1003,"Ready")&gt;0,"READY",IF(COUNTIFS($EG$5:$EG$1003,$EG201,$EB$5:$EB$1003,"PM")&gt;0,"PM",IF(COUNTIFS($EG$5:$EG$1003,$EG201,$EB$5:$EB$1003,"OT")&gt;0,"OT",""))))</f>
        <v/>
      </c>
      <c r="EQ201">
        <f>IF($EN201=0,"",UPPER(TRIM(INDEX(LINES_STATUS,$EN201)&amp;"")))</f>
        <v/>
      </c>
      <c r="ER201">
        <f>IF($DM201=0,"",IF(OR($EQ201="READY",$EQ201="PM",$EQ201="OT"),$EQ201,$EP201))</f>
        <v/>
      </c>
      <c r="ES201">
        <f>IF($DM201=0,"",IF(AND($DV201&lt;&gt;"",UPPER($DV201)&lt;&gt;"N"),"allergen",IF(ISNUMBER(SEARCH("oil",$DQ201)),"oil",IF(OR(EXACT($DS201,"A662"),EXACT($DS201,"A624")),"bulk",""))))</f>
        <v/>
      </c>
      <c r="ET201">
        <f>IF($DM201=0,"",IF(OR($EA201="",$EA201=0),"",$EA201/100))</f>
        <v/>
      </c>
      <c r="EU201">
        <f>IF(OR($ET201="",$DY201=""),"",INT($DY201*(1-$ET201)+0.5))</f>
        <v/>
      </c>
      <c r="EW201" t="n">
        <v>197</v>
      </c>
      <c r="EX201">
        <f>IFERROR(MATCH($EW201,$EM$5:$EM$1003,0),0)</f>
        <v/>
      </c>
      <c r="EY201">
        <f>IF($EW201&gt;$B$12,"",IF($EX201&gt;0,"row","spacer"))</f>
        <v/>
      </c>
      <c r="EZ201">
        <f>IF(AND($EY201="row",$EY200&lt;&gt;"row"),1,0)</f>
        <v/>
      </c>
      <c r="FA201">
        <f>IF(AND($EY201="row",$EY202&lt;&gt;"row"),1,0)</f>
        <v/>
      </c>
      <c r="FB201">
        <f>IF($EZ201=1,IFERROR(IF(ISNUMBER(INDEX(PASTE_ALL,INDEX($DF$5:$DF$1003,$EX201),$B$37)),INDEX(PASTE_ALL,INDEX($DF$5:$DF$1003,$EX201),$B$37),INDEX($DH$5:$DH$1003,$EX201)),INDEX($DH$5:$DH$1003,$EX201)),"")</f>
        <v/>
      </c>
      <c r="FC201">
        <f>IF($EY201="row",INDEX($ER$5:$ER$1003,$EX201),"")</f>
        <v/>
      </c>
      <c r="FD201">
        <f>IF($EY201="row",INDEX($DN$5:$DN$1003,$EX201),"")</f>
        <v/>
      </c>
      <c r="FE201">
        <f>IF($EY201="row",INDEX($DO$5:$DO$1003,$EX201),"")</f>
        <v/>
      </c>
      <c r="FF201">
        <f>IF($EY201="row",INDEX($DP$5:$DP$1003,$EX201),"")</f>
        <v/>
      </c>
      <c r="FG201">
        <f>IF($EY201="row",INDEX($DQ$5:$DQ$1003,$EX201),"")</f>
        <v/>
      </c>
      <c r="FH201">
        <f>IF($EY201="row",INDEX($DR$5:$DR$1003,$EX201),"")</f>
        <v/>
      </c>
      <c r="FI201">
        <f>IF($EY201="row",INDEX($DS$5:$DS$1003,$EX201),"")</f>
        <v/>
      </c>
      <c r="FJ201">
        <f>IF($EY201="row",INDEX($DT$5:$DT$1003,$EX201),"")</f>
        <v/>
      </c>
      <c r="FK201">
        <f>IF($EY201="row",INDEX($DU$5:$DU$1003,$EX201),"")</f>
        <v/>
      </c>
      <c r="FL201">
        <f>IF($EY201="row",INDEX($DV$5:$DV$1003,$EX201),"")</f>
        <v/>
      </c>
      <c r="FM201">
        <f>IF($EY201="row",INDEX($DW$5:$DW$1003,$EX201),"")</f>
        <v/>
      </c>
      <c r="FN201">
        <f>IF($EY201="row",INDEX($DY$5:$DY$1003,$EX201),"")</f>
        <v/>
      </c>
      <c r="FO201">
        <f>IF($EY201="row",INDEX($EA$5:$EA$1003,$EX201),"")</f>
        <v/>
      </c>
      <c r="FP201">
        <f>IF($EY201="row",INDEX($EC$5:$EC$1003,$EX201),"")</f>
        <v/>
      </c>
      <c r="FQ201">
        <f>IF($EY201="row",INDEX($ET$5:$ET$1003,$EX201),"")</f>
        <v/>
      </c>
      <c r="FR201">
        <f>IF($EY201="row",INDEX($EU$5:$EU$1003,$EX201),"")</f>
        <v/>
      </c>
      <c r="FS201">
        <f>IF(AND($EY201="row",$EY200="row"),IF(OR(INDEX($DT$5:$DT$1003,$EX200)="",INDEX($DT$5:$DT$1003,$EX201)=""),"",IF(NOT(EXACT(INDEX($DT$5:$DT$1003,$EX200),INDEX($DT$5:$DT$1003,$EX201))),"S4",IF(NOT(EXACT(INDEX($DS$5:$DS$1003,$EX200),INDEX($DS$5:$DS$1003,$EX201))),"S3",IF(NOT(EXACT(INDEX($DR$5:$DR$1003,$EX200),INDEX($DR$5:$DR$1003,$EX201))),"S1 Count Change","S1")))),"")</f>
        <v/>
      </c>
      <c r="FT201">
        <f>IF($EY201="row",INDEX($ES$5:$ES$1003,$EX201),"")</f>
        <v/>
      </c>
      <c r="FU201">
        <f>IF($EY201="row",INDEX($EO$5:$EO$1003,$EX201),0)</f>
        <v/>
      </c>
      <c r="FV201">
        <f>IF($FS201="S1 Count Change",1,0)</f>
        <v/>
      </c>
    </row>
    <row r="202">
      <c r="Y202">
        <f>0+IF(Y112&gt;0,0,IF(SUMPRODUCT(MOD(INT(Y157/{2,4,8,16,32,64,128,256,512,1024,2048,4096,8192,16384,32768}),2)*(1-MOD(INT(($CJ22+0)/{2,4,8,16,32,64,128,256,512,1024,2048,4096,8192,16384,32768}),2))*{2,4,8,16,32,64,128,256,512,1024,2048,4096,8192,16384,32768})=0,0,2^SUMPRODUCT(--(MOD(SUMPRODUCT(MOD(INT(Y157/{2,4,8,16,32,64,128,256,512,1024,2048,4096,8192,16384,32768}),2)*(1-MOD(INT(($CJ22+0)/{2,4,8,16,32,64,128,256,512,1024,2048,4096,8192,16384,32768}),2))*{2,4,8,16,32,64,128,256,512,1024,2048,4096,8192,16384,32768}),{2,4,8,16,32,64,128,256,512,1024,2048,4096,8192,16384,32768})=0))))</f>
        <v/>
      </c>
      <c r="Z202">
        <f>Y202+IF(AND(Z112&gt;0,COUNTIF($Y112:Y112,Z112)=0),0,IF(SUMPRODUCT(MOD(INT(Z157/{2,4,8,16,32,64,128,256,512,1024,2048,4096,8192,16384,32768}),2)*(1-MOD(INT(($CJ22+Y202)/{2,4,8,16,32,64,128,256,512,1024,2048,4096,8192,16384,32768}),2))*{2,4,8,16,32,64,128,256,512,1024,2048,4096,8192,16384,32768})=0,0,2^SUMPRODUCT(--(MOD(SUMPRODUCT(MOD(INT(Z157/{2,4,8,16,32,64,128,256,512,1024,2048,4096,8192,16384,32768}),2)*(1-MOD(INT(($CJ22+Y202)/{2,4,8,16,32,64,128,256,512,1024,2048,4096,8192,16384,32768}),2))*{2,4,8,16,32,64,128,256,512,1024,2048,4096,8192,16384,32768}),{2,4,8,16,32,64,128,256,512,1024,2048,4096,8192,16384,32768})=0))))</f>
        <v/>
      </c>
      <c r="AA202">
        <f>Z202+IF(AND(AA112&gt;0,COUNTIF($Y112:Z112,AA112)=0),0,IF(SUMPRODUCT(MOD(INT(AA157/{2,4,8,16,32,64,128,256,512,1024,2048,4096,8192,16384,32768}),2)*(1-MOD(INT(($CJ22+Z202)/{2,4,8,16,32,64,128,256,512,1024,2048,4096,8192,16384,32768}),2))*{2,4,8,16,32,64,128,256,512,1024,2048,4096,8192,16384,32768})=0,0,2^SUMPRODUCT(--(MOD(SUMPRODUCT(MOD(INT(AA157/{2,4,8,16,32,64,128,256,512,1024,2048,4096,8192,16384,32768}),2)*(1-MOD(INT(($CJ22+Z202)/{2,4,8,16,32,64,128,256,512,1024,2048,4096,8192,16384,32768}),2))*{2,4,8,16,32,64,128,256,512,1024,2048,4096,8192,16384,32768}),{2,4,8,16,32,64,128,256,512,1024,2048,4096,8192,16384,32768})=0))))</f>
        <v/>
      </c>
      <c r="AB202">
        <f>AA202+IF(AND(AB112&gt;0,COUNTIF($Y112:AA112,AB112)=0),0,IF(SUMPRODUCT(MOD(INT(AB157/{2,4,8,16,32,64,128,256,512,1024,2048,4096,8192,16384,32768}),2)*(1-MOD(INT(($CJ22+AA202)/{2,4,8,16,32,64,128,256,512,1024,2048,4096,8192,16384,32768}),2))*{2,4,8,16,32,64,128,256,512,1024,2048,4096,8192,16384,32768})=0,0,2^SUMPRODUCT(--(MOD(SUMPRODUCT(MOD(INT(AB157/{2,4,8,16,32,64,128,256,512,1024,2048,4096,8192,16384,32768}),2)*(1-MOD(INT(($CJ22+AA202)/{2,4,8,16,32,64,128,256,512,1024,2048,4096,8192,16384,32768}),2))*{2,4,8,16,32,64,128,256,512,1024,2048,4096,8192,16384,32768}),{2,4,8,16,32,64,128,256,512,1024,2048,4096,8192,16384,32768})=0))))</f>
        <v/>
      </c>
      <c r="AC202">
        <f>AB202+IF(AND(AC112&gt;0,COUNTIF($Y112:AB112,AC112)=0),0,IF(SUMPRODUCT(MOD(INT(AC157/{2,4,8,16,32,64,128,256,512,1024,2048,4096,8192,16384,32768}),2)*(1-MOD(INT(($CJ22+AB202)/{2,4,8,16,32,64,128,256,512,1024,2048,4096,8192,16384,32768}),2))*{2,4,8,16,32,64,128,256,512,1024,2048,4096,8192,16384,32768})=0,0,2^SUMPRODUCT(--(MOD(SUMPRODUCT(MOD(INT(AC157/{2,4,8,16,32,64,128,256,512,1024,2048,4096,8192,16384,32768}),2)*(1-MOD(INT(($CJ22+AB202)/{2,4,8,16,32,64,128,256,512,1024,2048,4096,8192,16384,32768}),2))*{2,4,8,16,32,64,128,256,512,1024,2048,4096,8192,16384,32768}),{2,4,8,16,32,64,128,256,512,1024,2048,4096,8192,16384,32768})=0))))</f>
        <v/>
      </c>
      <c r="AD202">
        <f>AC202+IF(AND(AD112&gt;0,COUNTIF($Y112:AC112,AD112)=0),0,IF(SUMPRODUCT(MOD(INT(AD157/{2,4,8,16,32,64,128,256,512,1024,2048,4096,8192,16384,32768}),2)*(1-MOD(INT(($CJ22+AC202)/{2,4,8,16,32,64,128,256,512,1024,2048,4096,8192,16384,32768}),2))*{2,4,8,16,32,64,128,256,512,1024,2048,4096,8192,16384,32768})=0,0,2^SUMPRODUCT(--(MOD(SUMPRODUCT(MOD(INT(AD157/{2,4,8,16,32,64,128,256,512,1024,2048,4096,8192,16384,32768}),2)*(1-MOD(INT(($CJ22+AC202)/{2,4,8,16,32,64,128,256,512,1024,2048,4096,8192,16384,32768}),2))*{2,4,8,16,32,64,128,256,512,1024,2048,4096,8192,16384,32768}),{2,4,8,16,32,64,128,256,512,1024,2048,4096,8192,16384,32768})=0))))</f>
        <v/>
      </c>
      <c r="AE202">
        <f>AD202+IF(AND(AE112&gt;0,COUNTIF($Y112:AD112,AE112)=0),0,IF(SUMPRODUCT(MOD(INT(AE157/{2,4,8,16,32,64,128,256,512,1024,2048,4096,8192,16384,32768}),2)*(1-MOD(INT(($CJ22+AD202)/{2,4,8,16,32,64,128,256,512,1024,2048,4096,8192,16384,32768}),2))*{2,4,8,16,32,64,128,256,512,1024,2048,4096,8192,16384,32768})=0,0,2^SUMPRODUCT(--(MOD(SUMPRODUCT(MOD(INT(AE157/{2,4,8,16,32,64,128,256,512,1024,2048,4096,8192,16384,32768}),2)*(1-MOD(INT(($CJ22+AD202)/{2,4,8,16,32,64,128,256,512,1024,2048,4096,8192,16384,32768}),2))*{2,4,8,16,32,64,128,256,512,1024,2048,4096,8192,16384,32768}),{2,4,8,16,32,64,128,256,512,1024,2048,4096,8192,16384,32768})=0))))</f>
        <v/>
      </c>
      <c r="AF202">
        <f>AE202+IF(AND(AF112&gt;0,COUNTIF($Y112:AE112,AF112)=0),0,IF(SUMPRODUCT(MOD(INT(AF157/{2,4,8,16,32,64,128,256,512,1024,2048,4096,8192,16384,32768}),2)*(1-MOD(INT(($CJ22+AE202)/{2,4,8,16,32,64,128,256,512,1024,2048,4096,8192,16384,32768}),2))*{2,4,8,16,32,64,128,256,512,1024,2048,4096,8192,16384,32768})=0,0,2^SUMPRODUCT(--(MOD(SUMPRODUCT(MOD(INT(AF157/{2,4,8,16,32,64,128,256,512,1024,2048,4096,8192,16384,32768}),2)*(1-MOD(INT(($CJ22+AE202)/{2,4,8,16,32,64,128,256,512,1024,2048,4096,8192,16384,32768}),2))*{2,4,8,16,32,64,128,256,512,1024,2048,4096,8192,16384,32768}),{2,4,8,16,32,64,128,256,512,1024,2048,4096,8192,16384,32768})=0))))</f>
        <v/>
      </c>
      <c r="AG202">
        <f>AF202+IF(AND(AG112&gt;0,COUNTIF($Y112:AF112,AG112)=0),0,IF(SUMPRODUCT(MOD(INT(AG157/{2,4,8,16,32,64,128,256,512,1024,2048,4096,8192,16384,32768}),2)*(1-MOD(INT(($CJ22+AF202)/{2,4,8,16,32,64,128,256,512,1024,2048,4096,8192,16384,32768}),2))*{2,4,8,16,32,64,128,256,512,1024,2048,4096,8192,16384,32768})=0,0,2^SUMPRODUCT(--(MOD(SUMPRODUCT(MOD(INT(AG157/{2,4,8,16,32,64,128,256,512,1024,2048,4096,8192,16384,32768}),2)*(1-MOD(INT(($CJ22+AF202)/{2,4,8,16,32,64,128,256,512,1024,2048,4096,8192,16384,32768}),2))*{2,4,8,16,32,64,128,256,512,1024,2048,4096,8192,16384,32768}),{2,4,8,16,32,64,128,256,512,1024,2048,4096,8192,16384,32768})=0))))</f>
        <v/>
      </c>
      <c r="AH202">
        <f>AG202+IF(AND(AH112&gt;0,COUNTIF($Y112:AG112,AH112)=0),0,IF(SUMPRODUCT(MOD(INT(AH157/{2,4,8,16,32,64,128,256,512,1024,2048,4096,8192,16384,32768}),2)*(1-MOD(INT(($CJ22+AG202)/{2,4,8,16,32,64,128,256,512,1024,2048,4096,8192,16384,32768}),2))*{2,4,8,16,32,64,128,256,512,1024,2048,4096,8192,16384,32768})=0,0,2^SUMPRODUCT(--(MOD(SUMPRODUCT(MOD(INT(AH157/{2,4,8,16,32,64,128,256,512,1024,2048,4096,8192,16384,32768}),2)*(1-MOD(INT(($CJ22+AG202)/{2,4,8,16,32,64,128,256,512,1024,2048,4096,8192,16384,32768}),2))*{2,4,8,16,32,64,128,256,512,1024,2048,4096,8192,16384,32768}),{2,4,8,16,32,64,128,256,512,1024,2048,4096,8192,16384,32768})=0))))</f>
        <v/>
      </c>
      <c r="AI202">
        <f>AH202+IF(AND(AI112&gt;0,COUNTIF($Y112:AH112,AI112)=0),0,IF(SUMPRODUCT(MOD(INT(AI157/{2,4,8,16,32,64,128,256,512,1024,2048,4096,8192,16384,32768}),2)*(1-MOD(INT(($CJ22+AH202)/{2,4,8,16,32,64,128,256,512,1024,2048,4096,8192,16384,32768}),2))*{2,4,8,16,32,64,128,256,512,1024,2048,4096,8192,16384,32768})=0,0,2^SUMPRODUCT(--(MOD(SUMPRODUCT(MOD(INT(AI157/{2,4,8,16,32,64,128,256,512,1024,2048,4096,8192,16384,32768}),2)*(1-MOD(INT(($CJ22+AH202)/{2,4,8,16,32,64,128,256,512,1024,2048,4096,8192,16384,32768}),2))*{2,4,8,16,32,64,128,256,512,1024,2048,4096,8192,16384,32768}),{2,4,8,16,32,64,128,256,512,1024,2048,4096,8192,16384,32768})=0))))</f>
        <v/>
      </c>
      <c r="AJ202">
        <f>AI202+IF(AND(AJ112&gt;0,COUNTIF($Y112:AI112,AJ112)=0),0,IF(SUMPRODUCT(MOD(INT(AJ157/{2,4,8,16,32,64,128,256,512,1024,2048,4096,8192,16384,32768}),2)*(1-MOD(INT(($CJ22+AI202)/{2,4,8,16,32,64,128,256,512,1024,2048,4096,8192,16384,32768}),2))*{2,4,8,16,32,64,128,256,512,1024,2048,4096,8192,16384,32768})=0,0,2^SUMPRODUCT(--(MOD(SUMPRODUCT(MOD(INT(AJ157/{2,4,8,16,32,64,128,256,512,1024,2048,4096,8192,16384,32768}),2)*(1-MOD(INT(($CJ22+AI202)/{2,4,8,16,32,64,128,256,512,1024,2048,4096,8192,16384,32768}),2))*{2,4,8,16,32,64,128,256,512,1024,2048,4096,8192,16384,32768}),{2,4,8,16,32,64,128,256,512,1024,2048,4096,8192,16384,32768})=0))))</f>
        <v/>
      </c>
      <c r="AK202">
        <f>AJ202+IF(AND(AK112&gt;0,COUNTIF($Y112:AJ112,AK112)=0),0,IF(SUMPRODUCT(MOD(INT(AK157/{2,4,8,16,32,64,128,256,512,1024,2048,4096,8192,16384,32768}),2)*(1-MOD(INT(($CJ22+AJ202)/{2,4,8,16,32,64,128,256,512,1024,2048,4096,8192,16384,32768}),2))*{2,4,8,16,32,64,128,256,512,1024,2048,4096,8192,16384,32768})=0,0,2^SUMPRODUCT(--(MOD(SUMPRODUCT(MOD(INT(AK157/{2,4,8,16,32,64,128,256,512,1024,2048,4096,8192,16384,32768}),2)*(1-MOD(INT(($CJ22+AJ202)/{2,4,8,16,32,64,128,256,512,1024,2048,4096,8192,16384,32768}),2))*{2,4,8,16,32,64,128,256,512,1024,2048,4096,8192,16384,32768}),{2,4,8,16,32,64,128,256,512,1024,2048,4096,8192,16384,32768})=0))))</f>
        <v/>
      </c>
      <c r="AL202">
        <f>AK202+IF(AND(AL112&gt;0,COUNTIF($Y112:AK112,AL112)=0),0,IF(SUMPRODUCT(MOD(INT(AL157/{2,4,8,16,32,64,128,256,512,1024,2048,4096,8192,16384,32768}),2)*(1-MOD(INT(($CJ22+AK202)/{2,4,8,16,32,64,128,256,512,1024,2048,4096,8192,16384,32768}),2))*{2,4,8,16,32,64,128,256,512,1024,2048,4096,8192,16384,32768})=0,0,2^SUMPRODUCT(--(MOD(SUMPRODUCT(MOD(INT(AL157/{2,4,8,16,32,64,128,256,512,1024,2048,4096,8192,16384,32768}),2)*(1-MOD(INT(($CJ22+AK202)/{2,4,8,16,32,64,128,256,512,1024,2048,4096,8192,16384,32768}),2))*{2,4,8,16,32,64,128,256,512,1024,2048,4096,8192,16384,32768}),{2,4,8,16,32,64,128,256,512,1024,2048,4096,8192,16384,32768})=0))))</f>
        <v/>
      </c>
      <c r="AM202">
        <f>AL202+IF(AND(AM112&gt;0,COUNTIF($Y112:AL112,AM112)=0),0,IF(SUMPRODUCT(MOD(INT(AM157/{2,4,8,16,32,64,128,256,512,1024,2048,4096,8192,16384,32768}),2)*(1-MOD(INT(($CJ22+AL202)/{2,4,8,16,32,64,128,256,512,1024,2048,4096,8192,16384,32768}),2))*{2,4,8,16,32,64,128,256,512,1024,2048,4096,8192,16384,32768})=0,0,2^SUMPRODUCT(--(MOD(SUMPRODUCT(MOD(INT(AM157/{2,4,8,16,32,64,128,256,512,1024,2048,4096,8192,16384,32768}),2)*(1-MOD(INT(($CJ22+AL202)/{2,4,8,16,32,64,128,256,512,1024,2048,4096,8192,16384,32768}),2))*{2,4,8,16,32,64,128,256,512,1024,2048,4096,8192,16384,32768}),{2,4,8,16,32,64,128,256,512,1024,2048,4096,8192,16384,32768})=0))))</f>
        <v/>
      </c>
      <c r="AN202">
        <f>AM202+IF(AND(AN112&gt;0,COUNTIF($Y112:AM112,AN112)=0),0,IF(SUMPRODUCT(MOD(INT(AN157/{2,4,8,16,32,64,128,256,512,1024,2048,4096,8192,16384,32768}),2)*(1-MOD(INT(($CJ22+AM202)/{2,4,8,16,32,64,128,256,512,1024,2048,4096,8192,16384,32768}),2))*{2,4,8,16,32,64,128,256,512,1024,2048,4096,8192,16384,32768})=0,0,2^SUMPRODUCT(--(MOD(SUMPRODUCT(MOD(INT(AN157/{2,4,8,16,32,64,128,256,512,1024,2048,4096,8192,16384,32768}),2)*(1-MOD(INT(($CJ22+AM202)/{2,4,8,16,32,64,128,256,512,1024,2048,4096,8192,16384,32768}),2))*{2,4,8,16,32,64,128,256,512,1024,2048,4096,8192,16384,32768}),{2,4,8,16,32,64,128,256,512,1024,2048,4096,8192,16384,32768})=0))))</f>
        <v/>
      </c>
      <c r="AO202">
        <f>AN202+IF(AND(AO112&gt;0,COUNTIF($Y112:AN112,AO112)=0),0,IF(SUMPRODUCT(MOD(INT(AO157/{2,4,8,16,32,64,128,256,512,1024,2048,4096,8192,16384,32768}),2)*(1-MOD(INT(($CJ22+AN202)/{2,4,8,16,32,64,128,256,512,1024,2048,4096,8192,16384,32768}),2))*{2,4,8,16,32,64,128,256,512,1024,2048,4096,8192,16384,32768})=0,0,2^SUMPRODUCT(--(MOD(SUMPRODUCT(MOD(INT(AO157/{2,4,8,16,32,64,128,256,512,1024,2048,4096,8192,16384,32768}),2)*(1-MOD(INT(($CJ22+AN202)/{2,4,8,16,32,64,128,256,512,1024,2048,4096,8192,16384,32768}),2))*{2,4,8,16,32,64,128,256,512,1024,2048,4096,8192,16384,32768}),{2,4,8,16,32,64,128,256,512,1024,2048,4096,8192,16384,32768})=0))))</f>
        <v/>
      </c>
      <c r="AP202">
        <f>AO202+IF(AND(AP112&gt;0,COUNTIF($Y112:AO112,AP112)=0),0,IF(SUMPRODUCT(MOD(INT(AP157/{2,4,8,16,32,64,128,256,512,1024,2048,4096,8192,16384,32768}),2)*(1-MOD(INT(($CJ22+AO202)/{2,4,8,16,32,64,128,256,512,1024,2048,4096,8192,16384,32768}),2))*{2,4,8,16,32,64,128,256,512,1024,2048,4096,8192,16384,32768})=0,0,2^SUMPRODUCT(--(MOD(SUMPRODUCT(MOD(INT(AP157/{2,4,8,16,32,64,128,256,512,1024,2048,4096,8192,16384,32768}),2)*(1-MOD(INT(($CJ22+AO202)/{2,4,8,16,32,64,128,256,512,1024,2048,4096,8192,16384,32768}),2))*{2,4,8,16,32,64,128,256,512,1024,2048,4096,8192,16384,32768}),{2,4,8,16,32,64,128,256,512,1024,2048,4096,8192,16384,32768})=0))))</f>
        <v/>
      </c>
      <c r="AQ202">
        <f>AP202+IF(AND(AQ112&gt;0,COUNTIF($Y112:AP112,AQ112)=0),0,IF(SUMPRODUCT(MOD(INT(AQ157/{2,4,8,16,32,64,128,256,512,1024,2048,4096,8192,16384,32768}),2)*(1-MOD(INT(($CJ22+AP202)/{2,4,8,16,32,64,128,256,512,1024,2048,4096,8192,16384,32768}),2))*{2,4,8,16,32,64,128,256,512,1024,2048,4096,8192,16384,32768})=0,0,2^SUMPRODUCT(--(MOD(SUMPRODUCT(MOD(INT(AQ157/{2,4,8,16,32,64,128,256,512,1024,2048,4096,8192,16384,32768}),2)*(1-MOD(INT(($CJ22+AP202)/{2,4,8,16,32,64,128,256,512,1024,2048,4096,8192,16384,32768}),2))*{2,4,8,16,32,64,128,256,512,1024,2048,4096,8192,16384,32768}),{2,4,8,16,32,64,128,256,512,1024,2048,4096,8192,16384,32768})=0))))</f>
        <v/>
      </c>
      <c r="AR202">
        <f>AQ202+IF(AND(AR112&gt;0,COUNTIF($Y112:AQ112,AR112)=0),0,IF(SUMPRODUCT(MOD(INT(AR157/{2,4,8,16,32,64,128,256,512,1024,2048,4096,8192,16384,32768}),2)*(1-MOD(INT(($CJ22+AQ202)/{2,4,8,16,32,64,128,256,512,1024,2048,4096,8192,16384,32768}),2))*{2,4,8,16,32,64,128,256,512,1024,2048,4096,8192,16384,32768})=0,0,2^SUMPRODUCT(--(MOD(SUMPRODUCT(MOD(INT(AR157/{2,4,8,16,32,64,128,256,512,1024,2048,4096,8192,16384,32768}),2)*(1-MOD(INT(($CJ22+AQ202)/{2,4,8,16,32,64,128,256,512,1024,2048,4096,8192,16384,32768}),2))*{2,4,8,16,32,64,128,256,512,1024,2048,4096,8192,16384,32768}),{2,4,8,16,32,64,128,256,512,1024,2048,4096,8192,16384,32768})=0))))</f>
        <v/>
      </c>
      <c r="AS202">
        <f>AR202+IF(AND(AS112&gt;0,COUNTIF($Y112:AR112,AS112)=0),0,IF(SUMPRODUCT(MOD(INT(AS157/{2,4,8,16,32,64,128,256,512,1024,2048,4096,8192,16384,32768}),2)*(1-MOD(INT(($CJ22+AR202)/{2,4,8,16,32,64,128,256,512,1024,2048,4096,8192,16384,32768}),2))*{2,4,8,16,32,64,128,256,512,1024,2048,4096,8192,16384,32768})=0,0,2^SUMPRODUCT(--(MOD(SUMPRODUCT(MOD(INT(AS157/{2,4,8,16,32,64,128,256,512,1024,2048,4096,8192,16384,32768}),2)*(1-MOD(INT(($CJ22+AR202)/{2,4,8,16,32,64,128,256,512,1024,2048,4096,8192,16384,32768}),2))*{2,4,8,16,32,64,128,256,512,1024,2048,4096,8192,16384,32768}),{2,4,8,16,32,64,128,256,512,1024,2048,4096,8192,16384,32768})=0))))</f>
        <v/>
      </c>
      <c r="AT202">
        <f>AS202+IF(AND(AT112&gt;0,COUNTIF($Y112:AS112,AT112)=0),0,IF(SUMPRODUCT(MOD(INT(AT157/{2,4,8,16,32,64,128,256,512,1024,2048,4096,8192,16384,32768}),2)*(1-MOD(INT(($CJ22+AS202)/{2,4,8,16,32,64,128,256,512,1024,2048,4096,8192,16384,32768}),2))*{2,4,8,16,32,64,128,256,512,1024,2048,4096,8192,16384,32768})=0,0,2^SUMPRODUCT(--(MOD(SUMPRODUCT(MOD(INT(AT157/{2,4,8,16,32,64,128,256,512,1024,2048,4096,8192,16384,32768}),2)*(1-MOD(INT(($CJ22+AS202)/{2,4,8,16,32,64,128,256,512,1024,2048,4096,8192,16384,32768}),2))*{2,4,8,16,32,64,128,256,512,1024,2048,4096,8192,16384,32768}),{2,4,8,16,32,64,128,256,512,1024,2048,4096,8192,16384,32768})=0))))</f>
        <v/>
      </c>
      <c r="AU202">
        <f>AT202+IF(AND(AU112&gt;0,COUNTIF($Y112:AT112,AU112)=0),0,IF(SUMPRODUCT(MOD(INT(AU157/{2,4,8,16,32,64,128,256,512,1024,2048,4096,8192,16384,32768}),2)*(1-MOD(INT(($CJ22+AT202)/{2,4,8,16,32,64,128,256,512,1024,2048,4096,8192,16384,32768}),2))*{2,4,8,16,32,64,128,256,512,1024,2048,4096,8192,16384,32768})=0,0,2^SUMPRODUCT(--(MOD(SUMPRODUCT(MOD(INT(AU157/{2,4,8,16,32,64,128,256,512,1024,2048,4096,8192,16384,32768}),2)*(1-MOD(INT(($CJ22+AT202)/{2,4,8,16,32,64,128,256,512,1024,2048,4096,8192,16384,32768}),2))*{2,4,8,16,32,64,128,256,512,1024,2048,4096,8192,16384,32768}),{2,4,8,16,32,64,128,256,512,1024,2048,4096,8192,16384,32768})=0))))</f>
        <v/>
      </c>
      <c r="AV202">
        <f>AU202+IF(AND(AV112&gt;0,COUNTIF($Y112:AU112,AV112)=0),0,IF(SUMPRODUCT(MOD(INT(AV157/{2,4,8,16,32,64,128,256,512,1024,2048,4096,8192,16384,32768}),2)*(1-MOD(INT(($CJ22+AU202)/{2,4,8,16,32,64,128,256,512,1024,2048,4096,8192,16384,32768}),2))*{2,4,8,16,32,64,128,256,512,1024,2048,4096,8192,16384,32768})=0,0,2^SUMPRODUCT(--(MOD(SUMPRODUCT(MOD(INT(AV157/{2,4,8,16,32,64,128,256,512,1024,2048,4096,8192,16384,32768}),2)*(1-MOD(INT(($CJ22+AU202)/{2,4,8,16,32,64,128,256,512,1024,2048,4096,8192,16384,32768}),2))*{2,4,8,16,32,64,128,256,512,1024,2048,4096,8192,16384,32768}),{2,4,8,16,32,64,128,256,512,1024,2048,4096,8192,16384,32768})=0))))</f>
        <v/>
      </c>
      <c r="AW202">
        <f>AV202+IF(AND(AW112&gt;0,COUNTIF($Y112:AV112,AW112)=0),0,IF(SUMPRODUCT(MOD(INT(AW157/{2,4,8,16,32,64,128,256,512,1024,2048,4096,8192,16384,32768}),2)*(1-MOD(INT(($CJ22+AV202)/{2,4,8,16,32,64,128,256,512,1024,2048,4096,8192,16384,32768}),2))*{2,4,8,16,32,64,128,256,512,1024,2048,4096,8192,16384,32768})=0,0,2^SUMPRODUCT(--(MOD(SUMPRODUCT(MOD(INT(AW157/{2,4,8,16,32,64,128,256,512,1024,2048,4096,8192,16384,32768}),2)*(1-MOD(INT(($CJ22+AV202)/{2,4,8,16,32,64,128,256,512,1024,2048,4096,8192,16384,32768}),2))*{2,4,8,16,32,64,128,256,512,1024,2048,4096,8192,16384,32768}),{2,4,8,16,32,64,128,256,512,1024,2048,4096,8192,16384,32768})=0))))</f>
        <v/>
      </c>
      <c r="AX202">
        <f>AW202+IF(AND(AX112&gt;0,COUNTIF($Y112:AW112,AX112)=0),0,IF(SUMPRODUCT(MOD(INT(AX157/{2,4,8,16,32,64,128,256,512,1024,2048,4096,8192,16384,32768}),2)*(1-MOD(INT(($CJ22+AW202)/{2,4,8,16,32,64,128,256,512,1024,2048,4096,8192,16384,32768}),2))*{2,4,8,16,32,64,128,256,512,1024,2048,4096,8192,16384,32768})=0,0,2^SUMPRODUCT(--(MOD(SUMPRODUCT(MOD(INT(AX157/{2,4,8,16,32,64,128,256,512,1024,2048,4096,8192,16384,32768}),2)*(1-MOD(INT(($CJ22+AW202)/{2,4,8,16,32,64,128,256,512,1024,2048,4096,8192,16384,32768}),2))*{2,4,8,16,32,64,128,256,512,1024,2048,4096,8192,16384,32768}),{2,4,8,16,32,64,128,256,512,1024,2048,4096,8192,16384,32768})=0))))</f>
        <v/>
      </c>
      <c r="AY202">
        <f>AX202+IF(AND(AY112&gt;0,COUNTIF($Y112:AX112,AY112)=0),0,IF(SUMPRODUCT(MOD(INT(AY157/{2,4,8,16,32,64,128,256,512,1024,2048,4096,8192,16384,32768}),2)*(1-MOD(INT(($CJ22+AX202)/{2,4,8,16,32,64,128,256,512,1024,2048,4096,8192,16384,32768}),2))*{2,4,8,16,32,64,128,256,512,1024,2048,4096,8192,16384,32768})=0,0,2^SUMPRODUCT(--(MOD(SUMPRODUCT(MOD(INT(AY157/{2,4,8,16,32,64,128,256,512,1024,2048,4096,8192,16384,32768}),2)*(1-MOD(INT(($CJ22+AX202)/{2,4,8,16,32,64,128,256,512,1024,2048,4096,8192,16384,32768}),2))*{2,4,8,16,32,64,128,256,512,1024,2048,4096,8192,16384,32768}),{2,4,8,16,32,64,128,256,512,1024,2048,4096,8192,16384,32768})=0))))</f>
        <v/>
      </c>
      <c r="AZ202">
        <f>AY202+IF(AND(AZ112&gt;0,COUNTIF($Y112:AY112,AZ112)=0),0,IF(SUMPRODUCT(MOD(INT(AZ157/{2,4,8,16,32,64,128,256,512,1024,2048,4096,8192,16384,32768}),2)*(1-MOD(INT(($CJ22+AY202)/{2,4,8,16,32,64,128,256,512,1024,2048,4096,8192,16384,32768}),2))*{2,4,8,16,32,64,128,256,512,1024,2048,4096,8192,16384,32768})=0,0,2^SUMPRODUCT(--(MOD(SUMPRODUCT(MOD(INT(AZ157/{2,4,8,16,32,64,128,256,512,1024,2048,4096,8192,16384,32768}),2)*(1-MOD(INT(($CJ22+AY202)/{2,4,8,16,32,64,128,256,512,1024,2048,4096,8192,16384,32768}),2))*{2,4,8,16,32,64,128,256,512,1024,2048,4096,8192,16384,32768}),{2,4,8,16,32,64,128,256,512,1024,2048,4096,8192,16384,32768})=0))))</f>
        <v/>
      </c>
      <c r="BA202">
        <f>AZ202+IF(AND(BA112&gt;0,COUNTIF($Y112:AZ112,BA112)=0),0,IF(SUMPRODUCT(MOD(INT(BA157/{2,4,8,16,32,64,128,256,512,1024,2048,4096,8192,16384,32768}),2)*(1-MOD(INT(($CJ22+AZ202)/{2,4,8,16,32,64,128,256,512,1024,2048,4096,8192,16384,32768}),2))*{2,4,8,16,32,64,128,256,512,1024,2048,4096,8192,16384,32768})=0,0,2^SUMPRODUCT(--(MOD(SUMPRODUCT(MOD(INT(BA157/{2,4,8,16,32,64,128,256,512,1024,2048,4096,8192,16384,32768}),2)*(1-MOD(INT(($CJ22+AZ202)/{2,4,8,16,32,64,128,256,512,1024,2048,4096,8192,16384,32768}),2))*{2,4,8,16,32,64,128,256,512,1024,2048,4096,8192,16384,32768}),{2,4,8,16,32,64,128,256,512,1024,2048,4096,8192,16384,32768})=0))))</f>
        <v/>
      </c>
      <c r="BB202">
        <f>BA202+IF(AND(BB112&gt;0,COUNTIF($Y112:BA112,BB112)=0),0,IF(SUMPRODUCT(MOD(INT(BB157/{2,4,8,16,32,64,128,256,512,1024,2048,4096,8192,16384,32768}),2)*(1-MOD(INT(($CJ22+BA202)/{2,4,8,16,32,64,128,256,512,1024,2048,4096,8192,16384,32768}),2))*{2,4,8,16,32,64,128,256,512,1024,2048,4096,8192,16384,32768})=0,0,2^SUMPRODUCT(--(MOD(SUMPRODUCT(MOD(INT(BB157/{2,4,8,16,32,64,128,256,512,1024,2048,4096,8192,16384,32768}),2)*(1-MOD(INT(($CJ22+BA202)/{2,4,8,16,32,64,128,256,512,1024,2048,4096,8192,16384,32768}),2))*{2,4,8,16,32,64,128,256,512,1024,2048,4096,8192,16384,32768}),{2,4,8,16,32,64,128,256,512,1024,2048,4096,8192,16384,32768})=0))))</f>
        <v/>
      </c>
      <c r="BC202">
        <f>BB202+IF(AND(BC112&gt;0,COUNTIF($Y112:BB112,BC112)=0),0,IF(SUMPRODUCT(MOD(INT(BC157/{2,4,8,16,32,64,128,256,512,1024,2048,4096,8192,16384,32768}),2)*(1-MOD(INT(($CJ22+BB202)/{2,4,8,16,32,64,128,256,512,1024,2048,4096,8192,16384,32768}),2))*{2,4,8,16,32,64,128,256,512,1024,2048,4096,8192,16384,32768})=0,0,2^SUMPRODUCT(--(MOD(SUMPRODUCT(MOD(INT(BC157/{2,4,8,16,32,64,128,256,512,1024,2048,4096,8192,16384,32768}),2)*(1-MOD(INT(($CJ22+BB202)/{2,4,8,16,32,64,128,256,512,1024,2048,4096,8192,16384,32768}),2))*{2,4,8,16,32,64,128,256,512,1024,2048,4096,8192,16384,32768}),{2,4,8,16,32,64,128,256,512,1024,2048,4096,8192,16384,32768})=0))))</f>
        <v/>
      </c>
      <c r="BD202">
        <f>BC202+IF(AND(BD112&gt;0,COUNTIF($Y112:BC112,BD112)=0),0,IF(SUMPRODUCT(MOD(INT(BD157/{2,4,8,16,32,64,128,256,512,1024,2048,4096,8192,16384,32768}),2)*(1-MOD(INT(($CJ22+BC202)/{2,4,8,16,32,64,128,256,512,1024,2048,4096,8192,16384,32768}),2))*{2,4,8,16,32,64,128,256,512,1024,2048,4096,8192,16384,32768})=0,0,2^SUMPRODUCT(--(MOD(SUMPRODUCT(MOD(INT(BD157/{2,4,8,16,32,64,128,256,512,1024,2048,4096,8192,16384,32768}),2)*(1-MOD(INT(($CJ22+BC202)/{2,4,8,16,32,64,128,256,512,1024,2048,4096,8192,16384,32768}),2))*{2,4,8,16,32,64,128,256,512,1024,2048,4096,8192,16384,32768}),{2,4,8,16,32,64,128,256,512,1024,2048,4096,8192,16384,32768})=0))))</f>
        <v/>
      </c>
      <c r="BE202">
        <f>BD202+IF(AND(BE112&gt;0,COUNTIF($Y112:BD112,BE112)=0),0,IF(SUMPRODUCT(MOD(INT(BE157/{2,4,8,16,32,64,128,256,512,1024,2048,4096,8192,16384,32768}),2)*(1-MOD(INT(($CJ22+BD202)/{2,4,8,16,32,64,128,256,512,1024,2048,4096,8192,16384,32768}),2))*{2,4,8,16,32,64,128,256,512,1024,2048,4096,8192,16384,32768})=0,0,2^SUMPRODUCT(--(MOD(SUMPRODUCT(MOD(INT(BE157/{2,4,8,16,32,64,128,256,512,1024,2048,4096,8192,16384,32768}),2)*(1-MOD(INT(($CJ22+BD202)/{2,4,8,16,32,64,128,256,512,1024,2048,4096,8192,16384,32768}),2))*{2,4,8,16,32,64,128,256,512,1024,2048,4096,8192,16384,32768}),{2,4,8,16,32,64,128,256,512,1024,2048,4096,8192,16384,32768})=0))))</f>
        <v/>
      </c>
      <c r="BF202">
        <f>BE202+IF(AND(BF112&gt;0,COUNTIF($Y112:BE112,BF112)=0),0,IF(SUMPRODUCT(MOD(INT(BF157/{2,4,8,16,32,64,128,256,512,1024,2048,4096,8192,16384,32768}),2)*(1-MOD(INT(($CJ22+BE202)/{2,4,8,16,32,64,128,256,512,1024,2048,4096,8192,16384,32768}),2))*{2,4,8,16,32,64,128,256,512,1024,2048,4096,8192,16384,32768})=0,0,2^SUMPRODUCT(--(MOD(SUMPRODUCT(MOD(INT(BF157/{2,4,8,16,32,64,128,256,512,1024,2048,4096,8192,16384,32768}),2)*(1-MOD(INT(($CJ22+BE202)/{2,4,8,16,32,64,128,256,512,1024,2048,4096,8192,16384,32768}),2))*{2,4,8,16,32,64,128,256,512,1024,2048,4096,8192,16384,32768}),{2,4,8,16,32,64,128,256,512,1024,2048,4096,8192,16384,32768})=0))))</f>
        <v/>
      </c>
      <c r="BG202">
        <f>BF202+IF(AND(BG112&gt;0,COUNTIF($Y112:BF112,BG112)=0),0,IF(SUMPRODUCT(MOD(INT(BG157/{2,4,8,16,32,64,128,256,512,1024,2048,4096,8192,16384,32768}),2)*(1-MOD(INT(($CJ22+BF202)/{2,4,8,16,32,64,128,256,512,1024,2048,4096,8192,16384,32768}),2))*{2,4,8,16,32,64,128,256,512,1024,2048,4096,8192,16384,32768})=0,0,2^SUMPRODUCT(--(MOD(SUMPRODUCT(MOD(INT(BG157/{2,4,8,16,32,64,128,256,512,1024,2048,4096,8192,16384,32768}),2)*(1-MOD(INT(($CJ22+BF202)/{2,4,8,16,32,64,128,256,512,1024,2048,4096,8192,16384,32768}),2))*{2,4,8,16,32,64,128,256,512,1024,2048,4096,8192,16384,32768}),{2,4,8,16,32,64,128,256,512,1024,2048,4096,8192,16384,32768})=0))))</f>
        <v/>
      </c>
      <c r="BH202">
        <f>BG202+IF(AND(BH112&gt;0,COUNTIF($Y112:BG112,BH112)=0),0,IF(SUMPRODUCT(MOD(INT(BH157/{2,4,8,16,32,64,128,256,512,1024,2048,4096,8192,16384,32768}),2)*(1-MOD(INT(($CJ22+BG202)/{2,4,8,16,32,64,128,256,512,1024,2048,4096,8192,16384,32768}),2))*{2,4,8,16,32,64,128,256,512,1024,2048,4096,8192,16384,32768})=0,0,2^SUMPRODUCT(--(MOD(SUMPRODUCT(MOD(INT(BH157/{2,4,8,16,32,64,128,256,512,1024,2048,4096,8192,16384,32768}),2)*(1-MOD(INT(($CJ22+BG202)/{2,4,8,16,32,64,128,256,512,1024,2048,4096,8192,16384,32768}),2))*{2,4,8,16,32,64,128,256,512,1024,2048,4096,8192,16384,32768}),{2,4,8,16,32,64,128,256,512,1024,2048,4096,8192,16384,32768})=0))))</f>
        <v/>
      </c>
      <c r="BI202">
        <f>BH202+IF(AND(BI112&gt;0,COUNTIF($Y112:BH112,BI112)=0),0,IF(SUMPRODUCT(MOD(INT(BI157/{2,4,8,16,32,64,128,256,512,1024,2048,4096,8192,16384,32768}),2)*(1-MOD(INT(($CJ22+BH202)/{2,4,8,16,32,64,128,256,512,1024,2048,4096,8192,16384,32768}),2))*{2,4,8,16,32,64,128,256,512,1024,2048,4096,8192,16384,32768})=0,0,2^SUMPRODUCT(--(MOD(SUMPRODUCT(MOD(INT(BI157/{2,4,8,16,32,64,128,256,512,1024,2048,4096,8192,16384,32768}),2)*(1-MOD(INT(($CJ22+BH202)/{2,4,8,16,32,64,128,256,512,1024,2048,4096,8192,16384,32768}),2))*{2,4,8,16,32,64,128,256,512,1024,2048,4096,8192,16384,32768}),{2,4,8,16,32,64,128,256,512,1024,2048,4096,8192,16384,32768})=0))))</f>
        <v/>
      </c>
      <c r="BJ202">
        <f>BI202+IF(AND(BJ112&gt;0,COUNTIF($Y112:BI112,BJ112)=0),0,IF(SUMPRODUCT(MOD(INT(BJ157/{2,4,8,16,32,64,128,256,512,1024,2048,4096,8192,16384,32768}),2)*(1-MOD(INT(($CJ22+BI202)/{2,4,8,16,32,64,128,256,512,1024,2048,4096,8192,16384,32768}),2))*{2,4,8,16,32,64,128,256,512,1024,2048,4096,8192,16384,32768})=0,0,2^SUMPRODUCT(--(MOD(SUMPRODUCT(MOD(INT(BJ157/{2,4,8,16,32,64,128,256,512,1024,2048,4096,8192,16384,32768}),2)*(1-MOD(INT(($CJ22+BI202)/{2,4,8,16,32,64,128,256,512,1024,2048,4096,8192,16384,32768}),2))*{2,4,8,16,32,64,128,256,512,1024,2048,4096,8192,16384,32768}),{2,4,8,16,32,64,128,256,512,1024,2048,4096,8192,16384,32768})=0))))</f>
        <v/>
      </c>
      <c r="BK202">
        <f>BJ202+IF(AND(BK112&gt;0,COUNTIF($Y112:BJ112,BK112)=0),0,IF(SUMPRODUCT(MOD(INT(BK157/{2,4,8,16,32,64,128,256,512,1024,2048,4096,8192,16384,32768}),2)*(1-MOD(INT(($CJ22+BJ202)/{2,4,8,16,32,64,128,256,512,1024,2048,4096,8192,16384,32768}),2))*{2,4,8,16,32,64,128,256,512,1024,2048,4096,8192,16384,32768})=0,0,2^SUMPRODUCT(--(MOD(SUMPRODUCT(MOD(INT(BK157/{2,4,8,16,32,64,128,256,512,1024,2048,4096,8192,16384,32768}),2)*(1-MOD(INT(($CJ22+BJ202)/{2,4,8,16,32,64,128,256,512,1024,2048,4096,8192,16384,32768}),2))*{2,4,8,16,32,64,128,256,512,1024,2048,4096,8192,16384,32768}),{2,4,8,16,32,64,128,256,512,1024,2048,4096,8192,16384,32768})=0))))</f>
        <v/>
      </c>
      <c r="BL202">
        <f>BK202+IF(AND(BL112&gt;0,COUNTIF($Y112:BK112,BL112)=0),0,IF(SUMPRODUCT(MOD(INT(BL157/{2,4,8,16,32,64,128,256,512,1024,2048,4096,8192,16384,32768}),2)*(1-MOD(INT(($CJ22+BK202)/{2,4,8,16,32,64,128,256,512,1024,2048,4096,8192,16384,32768}),2))*{2,4,8,16,32,64,128,256,512,1024,2048,4096,8192,16384,32768})=0,0,2^SUMPRODUCT(--(MOD(SUMPRODUCT(MOD(INT(BL157/{2,4,8,16,32,64,128,256,512,1024,2048,4096,8192,16384,32768}),2)*(1-MOD(INT(($CJ22+BK202)/{2,4,8,16,32,64,128,256,512,1024,2048,4096,8192,16384,32768}),2))*{2,4,8,16,32,64,128,256,512,1024,2048,4096,8192,16384,32768}),{2,4,8,16,32,64,128,256,512,1024,2048,4096,8192,16384,32768})=0))))</f>
        <v/>
      </c>
      <c r="BM202">
        <f>BL202+IF(AND(BM112&gt;0,COUNTIF($Y112:BL112,BM112)=0),0,IF(SUMPRODUCT(MOD(INT(BM157/{2,4,8,16,32,64,128,256,512,1024,2048,4096,8192,16384,32768}),2)*(1-MOD(INT(($CJ22+BL202)/{2,4,8,16,32,64,128,256,512,1024,2048,4096,8192,16384,32768}),2))*{2,4,8,16,32,64,128,256,512,1024,2048,4096,8192,16384,32768})=0,0,2^SUMPRODUCT(--(MOD(SUMPRODUCT(MOD(INT(BM157/{2,4,8,16,32,64,128,256,512,1024,2048,4096,8192,16384,32768}),2)*(1-MOD(INT(($CJ22+BL202)/{2,4,8,16,32,64,128,256,512,1024,2048,4096,8192,16384,32768}),2))*{2,4,8,16,32,64,128,256,512,1024,2048,4096,8192,16384,32768}),{2,4,8,16,32,64,128,256,512,1024,2048,4096,8192,16384,32768})=0))))</f>
        <v/>
      </c>
      <c r="BN202">
        <f>BM202+IF(AND(BN112&gt;0,COUNTIF($Y112:BM112,BN112)=0),0,IF(SUMPRODUCT(MOD(INT(BN157/{2,4,8,16,32,64,128,256,512,1024,2048,4096,8192,16384,32768}),2)*(1-MOD(INT(($CJ22+BM202)/{2,4,8,16,32,64,128,256,512,1024,2048,4096,8192,16384,32768}),2))*{2,4,8,16,32,64,128,256,512,1024,2048,4096,8192,16384,32768})=0,0,2^SUMPRODUCT(--(MOD(SUMPRODUCT(MOD(INT(BN157/{2,4,8,16,32,64,128,256,512,1024,2048,4096,8192,16384,32768}),2)*(1-MOD(INT(($CJ22+BM202)/{2,4,8,16,32,64,128,256,512,1024,2048,4096,8192,16384,32768}),2))*{2,4,8,16,32,64,128,256,512,1024,2048,4096,8192,16384,32768}),{2,4,8,16,32,64,128,256,512,1024,2048,4096,8192,16384,32768})=0))))</f>
        <v/>
      </c>
      <c r="BO202">
        <f>BN202+IF(AND(BO112&gt;0,COUNTIF($Y112:BN112,BO112)=0),0,IF(SUMPRODUCT(MOD(INT(BO157/{2,4,8,16,32,64,128,256,512,1024,2048,4096,8192,16384,32768}),2)*(1-MOD(INT(($CJ22+BN202)/{2,4,8,16,32,64,128,256,512,1024,2048,4096,8192,16384,32768}),2))*{2,4,8,16,32,64,128,256,512,1024,2048,4096,8192,16384,32768})=0,0,2^SUMPRODUCT(--(MOD(SUMPRODUCT(MOD(INT(BO157/{2,4,8,16,32,64,128,256,512,1024,2048,4096,8192,16384,32768}),2)*(1-MOD(INT(($CJ22+BN202)/{2,4,8,16,32,64,128,256,512,1024,2048,4096,8192,16384,32768}),2))*{2,4,8,16,32,64,128,256,512,1024,2048,4096,8192,16384,32768}),{2,4,8,16,32,64,128,256,512,1024,2048,4096,8192,16384,32768})=0))))</f>
        <v/>
      </c>
      <c r="BP202">
        <f>BO202+IF(AND(BP112&gt;0,COUNTIF($Y112:BO112,BP112)=0),0,IF(SUMPRODUCT(MOD(INT(BP157/{2,4,8,16,32,64,128,256,512,1024,2048,4096,8192,16384,32768}),2)*(1-MOD(INT(($CJ22+BO202)/{2,4,8,16,32,64,128,256,512,1024,2048,4096,8192,16384,32768}),2))*{2,4,8,16,32,64,128,256,512,1024,2048,4096,8192,16384,32768})=0,0,2^SUMPRODUCT(--(MOD(SUMPRODUCT(MOD(INT(BP157/{2,4,8,16,32,64,128,256,512,1024,2048,4096,8192,16384,32768}),2)*(1-MOD(INT(($CJ22+BO202)/{2,4,8,16,32,64,128,256,512,1024,2048,4096,8192,16384,32768}),2))*{2,4,8,16,32,64,128,256,512,1024,2048,4096,8192,16384,32768}),{2,4,8,16,32,64,128,256,512,1024,2048,4096,8192,16384,32768})=0))))</f>
        <v/>
      </c>
      <c r="BQ202">
        <f>BP202+IF(AND(BQ112&gt;0,COUNTIF($Y112:BP112,BQ112)=0),0,IF(SUMPRODUCT(MOD(INT(BQ157/{2,4,8,16,32,64,128,256,512,1024,2048,4096,8192,16384,32768}),2)*(1-MOD(INT(($CJ22+BP202)/{2,4,8,16,32,64,128,256,512,1024,2048,4096,8192,16384,32768}),2))*{2,4,8,16,32,64,128,256,512,1024,2048,4096,8192,16384,32768})=0,0,2^SUMPRODUCT(--(MOD(SUMPRODUCT(MOD(INT(BQ157/{2,4,8,16,32,64,128,256,512,1024,2048,4096,8192,16384,32768}),2)*(1-MOD(INT(($CJ22+BP202)/{2,4,8,16,32,64,128,256,512,1024,2048,4096,8192,16384,32768}),2))*{2,4,8,16,32,64,128,256,512,1024,2048,4096,8192,16384,32768}),{2,4,8,16,32,64,128,256,512,1024,2048,4096,8192,16384,32768})=0))))</f>
        <v/>
      </c>
      <c r="BR202">
        <f>BQ202+IF(AND(BR112&gt;0,COUNTIF($Y112:BQ112,BR112)=0),0,IF(SUMPRODUCT(MOD(INT(BR157/{2,4,8,16,32,64,128,256,512,1024,2048,4096,8192,16384,32768}),2)*(1-MOD(INT(($CJ22+BQ202)/{2,4,8,16,32,64,128,256,512,1024,2048,4096,8192,16384,32768}),2))*{2,4,8,16,32,64,128,256,512,1024,2048,4096,8192,16384,32768})=0,0,2^SUMPRODUCT(--(MOD(SUMPRODUCT(MOD(INT(BR157/{2,4,8,16,32,64,128,256,512,1024,2048,4096,8192,16384,32768}),2)*(1-MOD(INT(($CJ22+BQ202)/{2,4,8,16,32,64,128,256,512,1024,2048,4096,8192,16384,32768}),2))*{2,4,8,16,32,64,128,256,512,1024,2048,4096,8192,16384,32768}),{2,4,8,16,32,64,128,256,512,1024,2048,4096,8192,16384,32768})=0))))</f>
        <v/>
      </c>
      <c r="BS202">
        <f>BR202+IF(AND(BS112&gt;0,COUNTIF($Y112:BR112,BS112)=0),0,IF(SUMPRODUCT(MOD(INT(BS157/{2,4,8,16,32,64,128,256,512,1024,2048,4096,8192,16384,32768}),2)*(1-MOD(INT(($CJ22+BR202)/{2,4,8,16,32,64,128,256,512,1024,2048,4096,8192,16384,32768}),2))*{2,4,8,16,32,64,128,256,512,1024,2048,4096,8192,16384,32768})=0,0,2^SUMPRODUCT(--(MOD(SUMPRODUCT(MOD(INT(BS157/{2,4,8,16,32,64,128,256,512,1024,2048,4096,8192,16384,32768}),2)*(1-MOD(INT(($CJ22+BR202)/{2,4,8,16,32,64,128,256,512,1024,2048,4096,8192,16384,32768}),2))*{2,4,8,16,32,64,128,256,512,1024,2048,4096,8192,16384,32768}),{2,4,8,16,32,64,128,256,512,1024,2048,4096,8192,16384,32768})=0))))</f>
        <v/>
      </c>
      <c r="BT202">
        <f>BS202+IF(AND(BT112&gt;0,COUNTIF($Y112:BS112,BT112)=0),0,IF(SUMPRODUCT(MOD(INT(BT157/{2,4,8,16,32,64,128,256,512,1024,2048,4096,8192,16384,32768}),2)*(1-MOD(INT(($CJ22+BS202)/{2,4,8,16,32,64,128,256,512,1024,2048,4096,8192,16384,32768}),2))*{2,4,8,16,32,64,128,256,512,1024,2048,4096,8192,16384,32768})=0,0,2^SUMPRODUCT(--(MOD(SUMPRODUCT(MOD(INT(BT157/{2,4,8,16,32,64,128,256,512,1024,2048,4096,8192,16384,32768}),2)*(1-MOD(INT(($CJ22+BS202)/{2,4,8,16,32,64,128,256,512,1024,2048,4096,8192,16384,32768}),2))*{2,4,8,16,32,64,128,256,512,1024,2048,4096,8192,16384,32768}),{2,4,8,16,32,64,128,256,512,1024,2048,4096,8192,16384,32768})=0))))</f>
        <v/>
      </c>
      <c r="BU202">
        <f>BT202+IF(AND(BU112&gt;0,COUNTIF($Y112:BT112,BU112)=0),0,IF(SUMPRODUCT(MOD(INT(BU157/{2,4,8,16,32,64,128,256,512,1024,2048,4096,8192,16384,32768}),2)*(1-MOD(INT(($CJ22+BT202)/{2,4,8,16,32,64,128,256,512,1024,2048,4096,8192,16384,32768}),2))*{2,4,8,16,32,64,128,256,512,1024,2048,4096,8192,16384,32768})=0,0,2^SUMPRODUCT(--(MOD(SUMPRODUCT(MOD(INT(BU157/{2,4,8,16,32,64,128,256,512,1024,2048,4096,8192,16384,32768}),2)*(1-MOD(INT(($CJ22+BT202)/{2,4,8,16,32,64,128,256,512,1024,2048,4096,8192,16384,32768}),2))*{2,4,8,16,32,64,128,256,512,1024,2048,4096,8192,16384,32768}),{2,4,8,16,32,64,128,256,512,1024,2048,4096,8192,16384,32768})=0))))</f>
        <v/>
      </c>
      <c r="BV202">
        <f>BU202+IF(AND(BV112&gt;0,COUNTIF($Y112:BU112,BV112)=0),0,IF(SUMPRODUCT(MOD(INT(BV157/{2,4,8,16,32,64,128,256,512,1024,2048,4096,8192,16384,32768}),2)*(1-MOD(INT(($CJ22+BU202)/{2,4,8,16,32,64,128,256,512,1024,2048,4096,8192,16384,32768}),2))*{2,4,8,16,32,64,128,256,512,1024,2048,4096,8192,16384,32768})=0,0,2^SUMPRODUCT(--(MOD(SUMPRODUCT(MOD(INT(BV157/{2,4,8,16,32,64,128,256,512,1024,2048,4096,8192,16384,32768}),2)*(1-MOD(INT(($CJ22+BU202)/{2,4,8,16,32,64,128,256,512,1024,2048,4096,8192,16384,32768}),2))*{2,4,8,16,32,64,128,256,512,1024,2048,4096,8192,16384,32768}),{2,4,8,16,32,64,128,256,512,1024,2048,4096,8192,16384,32768})=0))))</f>
        <v/>
      </c>
      <c r="BW202">
        <f>BV202+IF(AND(BW112&gt;0,COUNTIF($Y112:BV112,BW112)=0),0,IF(SUMPRODUCT(MOD(INT(BW157/{2,4,8,16,32,64,128,256,512,1024,2048,4096,8192,16384,32768}),2)*(1-MOD(INT(($CJ22+BV202)/{2,4,8,16,32,64,128,256,512,1024,2048,4096,8192,16384,32768}),2))*{2,4,8,16,32,64,128,256,512,1024,2048,4096,8192,16384,32768})=0,0,2^SUMPRODUCT(--(MOD(SUMPRODUCT(MOD(INT(BW157/{2,4,8,16,32,64,128,256,512,1024,2048,4096,8192,16384,32768}),2)*(1-MOD(INT(($CJ22+BV202)/{2,4,8,16,32,64,128,256,512,1024,2048,4096,8192,16384,32768}),2))*{2,4,8,16,32,64,128,256,512,1024,2048,4096,8192,16384,32768}),{2,4,8,16,32,64,128,256,512,1024,2048,4096,8192,16384,32768})=0))))</f>
        <v/>
      </c>
      <c r="BX202">
        <f>BW202+IF(AND(BX112&gt;0,COUNTIF($Y112:BW112,BX112)=0),0,IF(SUMPRODUCT(MOD(INT(BX157/{2,4,8,16,32,64,128,256,512,1024,2048,4096,8192,16384,32768}),2)*(1-MOD(INT(($CJ22+BW202)/{2,4,8,16,32,64,128,256,512,1024,2048,4096,8192,16384,32768}),2))*{2,4,8,16,32,64,128,256,512,1024,2048,4096,8192,16384,32768})=0,0,2^SUMPRODUCT(--(MOD(SUMPRODUCT(MOD(INT(BX157/{2,4,8,16,32,64,128,256,512,1024,2048,4096,8192,16384,32768}),2)*(1-MOD(INT(($CJ22+BW202)/{2,4,8,16,32,64,128,256,512,1024,2048,4096,8192,16384,32768}),2))*{2,4,8,16,32,64,128,256,512,1024,2048,4096,8192,16384,32768}),{2,4,8,16,32,64,128,256,512,1024,2048,4096,8192,16384,32768})=0))))</f>
        <v/>
      </c>
      <c r="BY202">
        <f>BX202+IF(AND(BY112&gt;0,COUNTIF($Y112:BX112,BY112)=0),0,IF(SUMPRODUCT(MOD(INT(BY157/{2,4,8,16,32,64,128,256,512,1024,2048,4096,8192,16384,32768}),2)*(1-MOD(INT(($CJ22+BX202)/{2,4,8,16,32,64,128,256,512,1024,2048,4096,8192,16384,32768}),2))*{2,4,8,16,32,64,128,256,512,1024,2048,4096,8192,16384,32768})=0,0,2^SUMPRODUCT(--(MOD(SUMPRODUCT(MOD(INT(BY157/{2,4,8,16,32,64,128,256,512,1024,2048,4096,8192,16384,32768}),2)*(1-MOD(INT(($CJ22+BX202)/{2,4,8,16,32,64,128,256,512,1024,2048,4096,8192,16384,32768}),2))*{2,4,8,16,32,64,128,256,512,1024,2048,4096,8192,16384,32768}),{2,4,8,16,32,64,128,256,512,1024,2048,4096,8192,16384,32768})=0))))</f>
        <v/>
      </c>
      <c r="BZ202">
        <f>BY202+IF(AND(BZ112&gt;0,COUNTIF($Y112:BY112,BZ112)=0),0,IF(SUMPRODUCT(MOD(INT(BZ157/{2,4,8,16,32,64,128,256,512,1024,2048,4096,8192,16384,32768}),2)*(1-MOD(INT(($CJ22+BY202)/{2,4,8,16,32,64,128,256,512,1024,2048,4096,8192,16384,32768}),2))*{2,4,8,16,32,64,128,256,512,1024,2048,4096,8192,16384,32768})=0,0,2^SUMPRODUCT(--(MOD(SUMPRODUCT(MOD(INT(BZ157/{2,4,8,16,32,64,128,256,512,1024,2048,4096,8192,16384,32768}),2)*(1-MOD(INT(($CJ22+BY202)/{2,4,8,16,32,64,128,256,512,1024,2048,4096,8192,16384,32768}),2))*{2,4,8,16,32,64,128,256,512,1024,2048,4096,8192,16384,32768}),{2,4,8,16,32,64,128,256,512,1024,2048,4096,8192,16384,32768})=0))))</f>
        <v/>
      </c>
      <c r="CA202">
        <f>BZ202+IF(AND(CA112&gt;0,COUNTIF($Y112:BZ112,CA112)=0),0,IF(SUMPRODUCT(MOD(INT(CA157/{2,4,8,16,32,64,128,256,512,1024,2048,4096,8192,16384,32768}),2)*(1-MOD(INT(($CJ22+BZ202)/{2,4,8,16,32,64,128,256,512,1024,2048,4096,8192,16384,32768}),2))*{2,4,8,16,32,64,128,256,512,1024,2048,4096,8192,16384,32768})=0,0,2^SUMPRODUCT(--(MOD(SUMPRODUCT(MOD(INT(CA157/{2,4,8,16,32,64,128,256,512,1024,2048,4096,8192,16384,32768}),2)*(1-MOD(INT(($CJ22+BZ202)/{2,4,8,16,32,64,128,256,512,1024,2048,4096,8192,16384,32768}),2))*{2,4,8,16,32,64,128,256,512,1024,2048,4096,8192,16384,32768}),{2,4,8,16,32,64,128,256,512,1024,2048,4096,8192,16384,32768})=0))))</f>
        <v/>
      </c>
      <c r="CB202">
        <f>CA202+IF(AND(CB112&gt;0,COUNTIF($Y112:CA112,CB112)=0),0,IF(SUMPRODUCT(MOD(INT(CB157/{2,4,8,16,32,64,128,256,512,1024,2048,4096,8192,16384,32768}),2)*(1-MOD(INT(($CJ22+CA202)/{2,4,8,16,32,64,128,256,512,1024,2048,4096,8192,16384,32768}),2))*{2,4,8,16,32,64,128,256,512,1024,2048,4096,8192,16384,32768})=0,0,2^SUMPRODUCT(--(MOD(SUMPRODUCT(MOD(INT(CB157/{2,4,8,16,32,64,128,256,512,1024,2048,4096,8192,16384,32768}),2)*(1-MOD(INT(($CJ22+CA202)/{2,4,8,16,32,64,128,256,512,1024,2048,4096,8192,16384,32768}),2))*{2,4,8,16,32,64,128,256,512,1024,2048,4096,8192,16384,32768}),{2,4,8,16,32,64,128,256,512,1024,2048,4096,8192,16384,32768})=0))))</f>
        <v/>
      </c>
      <c r="CC202">
        <f>CB202+IF(AND(CC112&gt;0,COUNTIF($Y112:CB112,CC112)=0),0,IF(SUMPRODUCT(MOD(INT(CC157/{2,4,8,16,32,64,128,256,512,1024,2048,4096,8192,16384,32768}),2)*(1-MOD(INT(($CJ22+CB202)/{2,4,8,16,32,64,128,256,512,1024,2048,4096,8192,16384,32768}),2))*{2,4,8,16,32,64,128,256,512,1024,2048,4096,8192,16384,32768})=0,0,2^SUMPRODUCT(--(MOD(SUMPRODUCT(MOD(INT(CC157/{2,4,8,16,32,64,128,256,512,1024,2048,4096,8192,16384,32768}),2)*(1-MOD(INT(($CJ22+CB202)/{2,4,8,16,32,64,128,256,512,1024,2048,4096,8192,16384,32768}),2))*{2,4,8,16,32,64,128,256,512,1024,2048,4096,8192,16384,32768}),{2,4,8,16,32,64,128,256,512,1024,2048,4096,8192,16384,32768})=0))))</f>
        <v/>
      </c>
      <c r="CD202">
        <f>CC202+IF(AND(CD112&gt;0,COUNTIF($Y112:CC112,CD112)=0),0,IF(SUMPRODUCT(MOD(INT(CD157/{2,4,8,16,32,64,128,256,512,1024,2048,4096,8192,16384,32768}),2)*(1-MOD(INT(($CJ22+CC202)/{2,4,8,16,32,64,128,256,512,1024,2048,4096,8192,16384,32768}),2))*{2,4,8,16,32,64,128,256,512,1024,2048,4096,8192,16384,32768})=0,0,2^SUMPRODUCT(--(MOD(SUMPRODUCT(MOD(INT(CD157/{2,4,8,16,32,64,128,256,512,1024,2048,4096,8192,16384,32768}),2)*(1-MOD(INT(($CJ22+CC202)/{2,4,8,16,32,64,128,256,512,1024,2048,4096,8192,16384,32768}),2))*{2,4,8,16,32,64,128,256,512,1024,2048,4096,8192,16384,32768}),{2,4,8,16,32,64,128,256,512,1024,2048,4096,8192,16384,32768})=0))))</f>
        <v/>
      </c>
      <c r="CE202">
        <f>CD202+IF(AND(CE112&gt;0,COUNTIF($Y112:CD112,CE112)=0),0,IF(SUMPRODUCT(MOD(INT(CE157/{2,4,8,16,32,64,128,256,512,1024,2048,4096,8192,16384,32768}),2)*(1-MOD(INT(($CJ22+CD202)/{2,4,8,16,32,64,128,256,512,1024,2048,4096,8192,16384,32768}),2))*{2,4,8,16,32,64,128,256,512,1024,2048,4096,8192,16384,32768})=0,0,2^SUMPRODUCT(--(MOD(SUMPRODUCT(MOD(INT(CE157/{2,4,8,16,32,64,128,256,512,1024,2048,4096,8192,16384,32768}),2)*(1-MOD(INT(($CJ22+CD202)/{2,4,8,16,32,64,128,256,512,1024,2048,4096,8192,16384,32768}),2))*{2,4,8,16,32,64,128,256,512,1024,2048,4096,8192,16384,32768}),{2,4,8,16,32,64,128,256,512,1024,2048,4096,8192,16384,32768})=0))))</f>
        <v/>
      </c>
      <c r="CF202">
        <f>CE202+IF(AND(CF112&gt;0,COUNTIF($Y112:CE112,CF112)=0),0,IF(SUMPRODUCT(MOD(INT(CF157/{2,4,8,16,32,64,128,256,512,1024,2048,4096,8192,16384,32768}),2)*(1-MOD(INT(($CJ22+CE202)/{2,4,8,16,32,64,128,256,512,1024,2048,4096,8192,16384,32768}),2))*{2,4,8,16,32,64,128,256,512,1024,2048,4096,8192,16384,32768})=0,0,2^SUMPRODUCT(--(MOD(SUMPRODUCT(MOD(INT(CF157/{2,4,8,16,32,64,128,256,512,1024,2048,4096,8192,16384,32768}),2)*(1-MOD(INT(($CJ22+CE202)/{2,4,8,16,32,64,128,256,512,1024,2048,4096,8192,16384,32768}),2))*{2,4,8,16,32,64,128,256,512,1024,2048,4096,8192,16384,32768}),{2,4,8,16,32,64,128,256,512,1024,2048,4096,8192,16384,32768})=0))))</f>
        <v/>
      </c>
      <c r="DA202" t="n">
        <v>198</v>
      </c>
      <c r="DB202">
        <f>IF($B$37=0,"",IFERROR(TRIM(SUBSTITUTE(SUBSTITUTE(SUBSTITUTE(SUBSTITUTE(INDEX(PASTE_ALL,198,$B$37)," "," "),CHAR(9)," "),CHAR(10)," "),CHAR(13)," ")),""))</f>
        <v/>
      </c>
      <c r="DC202">
        <f>IF(AND(198&gt;HEADER_ROW,UPPER(DB202)="LEGEND"),1,0)</f>
        <v/>
      </c>
      <c r="DE202" t="n">
        <v>198</v>
      </c>
      <c r="DF202">
        <f>HEADER_ROW+$DE202</f>
        <v/>
      </c>
      <c r="DG202">
        <f>IF(AND($DF202&lt;=1000,$DF202&lt;$B$8),1,0)</f>
        <v/>
      </c>
      <c r="DH202">
        <f>IF($DG202=1,IFERROR(INDEX($DB$5:$DB$1004,$DF202),""),"")</f>
        <v/>
      </c>
      <c r="DI202">
        <f>IF(AND($DG202=1,$DH202&lt;&gt;""),IFERROR(SUBSTITUTE(SUBSTITUTE(TRIM(SUBSTITUTE(SUBSTITUTE(SUBSTITUTE(SUBSTITUTE(IFERROR(INDEX(PASTE_ALL,$DF202,1)&amp;"","")&amp;"␟"&amp;IFERROR(INDEX(PASTE_ALL,$DF202,2)&amp;"","")&amp;"␟"&amp;IFERROR(INDEX(PASTE_ALL,$DF202,3)&amp;"","")&amp;"␟"&amp;IFERROR(INDEX(PASTE_ALL,$DF202,4)&amp;"","")&amp;"␟"&amp;IFERROR(INDEX(PASTE_ALL,$DF202,5)&amp;"","")&amp;"␟"&amp;IFERROR(INDEX(PASTE_ALL,$DF202,6)&amp;"","")&amp;"␟"&amp;IFERROR(INDEX(PASTE_ALL,$DF202,7)&amp;"","")&amp;"␟"&amp;IFERROR(INDEX(PASTE_ALL,$DF202,8)&amp;"","")&amp;"␟"&amp;IFERROR(INDEX(PASTE_ALL,$DF202,9)&amp;"","")&amp;"␟"&amp;IFERROR(INDEX(PASTE_ALL,$DF202,10)&amp;"","")&amp;"␟"&amp;IFERROR(INDEX(PASTE_ALL,$DF202,11)&amp;"","")&amp;"␟"&amp;IFERROR(INDEX(PASTE_ALL,$DF202,12)&amp;"","")&amp;"␟"&amp;IFERROR(INDEX(PASTE_ALL,$DF202,13)&amp;"","")&amp;"␟"&amp;IFERROR(INDEX(PASTE_ALL,$DF202,14)&amp;"","")&amp;"␟"&amp;IFERROR(INDEX(PASTE_ALL,$DF202,15)&amp;"","")&amp;"␟"&amp;IFERROR(INDEX(PASTE_ALL,$DF202,16)&amp;"","")&amp;"␟"&amp;IFERROR(INDEX(PASTE_ALL,$DF202,17)&amp;"","")&amp;"␟"&amp;IFERROR(INDEX(PASTE_ALL,$DF202,18)&amp;"","")&amp;"␟"&amp;IFERROR(INDEX(PASTE_ALL,$DF202,19)&amp;"","")&amp;"␟"&amp;IFERROR(INDEX(PASTE_ALL,$DF202,20)&amp;"","")&amp;"␟"&amp;IFERROR(INDEX(PASTE_ALL,$DF202,21)&amp;"","")&amp;"␟"&amp;IFERROR(INDEX(PASTE_ALL,$DF202,22)&amp;"","")&amp;"␟"&amp;IFERROR(INDEX(PASTE_ALL,$DF202,23)&amp;"","")&amp;"␟"&amp;IFERROR(INDEX(PASTE_ALL,$DF202,24)&amp;"","")&amp;"␟"&amp;IFERROR(INDEX(PASTE_ALL,$DF202,25)&amp;"","")&amp;"␟"&amp;IFERROR(INDEX(PASTE_ALL,$DF202,26)&amp;"","")&amp;"␟"&amp;IFERROR(INDEX(PASTE_ALL,$DF202,27)&amp;"","")&amp;"␟"&amp;IFERROR(INDEX(PASTE_ALL,$DF202,28)&amp;"","")&amp;"␟"&amp;IFERROR(INDEX(PASTE_ALL,$DF202,29)&amp;"","")&amp;"␟"&amp;IFERROR(INDEX(PASTE_ALL,$DF202,30)&amp;"","")&amp;"␟"&amp;IFERROR(INDEX(PASTE_ALL,$DF202,31)&amp;"","")&amp;"␟"&amp;IFERROR(INDEX(PASTE_ALL,$DF202,32)&amp;"","")&amp;"␟"&amp;IFERROR(INDEX(PASTE_ALL,$DF202,33)&amp;"","")&amp;"␟"&amp;IFERROR(INDEX(PASTE_ALL,$DF202,34)&amp;"","")&amp;"␟"&amp;IFERROR(INDEX(PASTE_ALL,$DF202,35)&amp;"","")&amp;"␟"&amp;IFERROR(INDEX(PASTE_ALL,$DF202,36)&amp;"","")&amp;"␟"&amp;IFERROR(INDEX(PASTE_ALL,$DF202,37)&amp;"","")&amp;"␟"&amp;IFERROR(INDEX(PASTE_ALL,$DF202,38)&amp;"","")&amp;"␟"&amp;IFERROR(INDEX(PASTE_ALL,$DF202,39)&amp;"","")&amp;"␟"&amp;IFERROR(INDEX(PASTE_ALL,$DF202,40)&amp;"","")&amp;"␟"&amp;IFERROR(INDEX(PASTE_ALL,$DF202,41)&amp;"","")&amp;"␟"&amp;IFERROR(INDEX(PASTE_ALL,$DF202,42)&amp;"","")&amp;"␟"&amp;IFERROR(INDEX(PASTE_ALL,$DF202,43)&amp;"","")&amp;"␟"&amp;IFERROR(INDEX(PASTE_ALL,$DF202,44)&amp;"","")&amp;"␟"&amp;IFERROR(INDEX(PASTE_ALL,$DF202,45)&amp;"","")&amp;"␟"&amp;IFERROR(INDEX(PASTE_ALL,$DF202,46)&amp;"","")&amp;"␟"&amp;IFERROR(INDEX(PASTE_ALL,$DF202,47)&amp;"","")&amp;"␟"&amp;IFERROR(INDEX(PASTE_ALL,$DF202,48)&amp;"","")&amp;"␟"&amp;IFERROR(INDEX(PASTE_ALL,$DF202,49)&amp;"","")&amp;"␟"&amp;IFERROR(INDEX(PASTE_ALL,$DF202,50)&amp;"","")&amp;"␟"&amp;IFERROR(INDEX(PASTE_ALL,$DF202,51)&amp;"","")&amp;"␟"&amp;IFERROR(INDEX(PASTE_ALL,$DF202,52)&amp;"","")&amp;"␟"&amp;IFERROR(INDEX(PASTE_ALL,$DF202,53)&amp;"","")&amp;"␟"&amp;IFERROR(INDEX(PASTE_ALL,$DF202,54)&amp;"","")&amp;"␟"&amp;IFERROR(INDEX(PASTE_ALL,$DF202,55)&amp;"","")&amp;"␟"&amp;IFERROR(INDEX(PASTE_ALL,$DF202,56)&amp;"","")&amp;"␟"&amp;IFERROR(INDEX(PASTE_ALL,$DF202,57)&amp;"","")&amp;"␟"&amp;IFERROR(INDEX(PASTE_ALL,$DF202,58)&amp;"","")&amp;"␟"&amp;IFERROR(INDEX(PASTE_ALL,$DF202,59)&amp;"","")&amp;"␟"&amp;IFERROR(INDEX(PASTE_ALL,$DF202,60)&amp;"","")," "," "),CHAR(9)," "),CHAR(10)," "),CHAR(13)," "))," ␟","␟"),"␟ ","␟"),"#"&amp;$DE202),"")</f>
        <v/>
      </c>
      <c r="DJ202">
        <f>IF($DI202="",0,IF(SUMPRODUCT(--EXACT($DI$4:DI201,$DI202))&gt;0,1,0))</f>
        <v/>
      </c>
      <c r="DK202">
        <f>IF(AND($DI202&lt;&gt;"",$DJ202=0),1,0)</f>
        <v/>
      </c>
      <c r="DL202">
        <f>DL201+$DK202</f>
        <v/>
      </c>
      <c r="DM202">
        <f>IF(AND($DK202=1,$DL202&lt;=600),1,0)</f>
        <v/>
      </c>
      <c r="DN202">
        <f>IF($DM202=0,"",IF($L$6=0,"",IFERROR(IF(ISNUMBER(INDEX(PASTE_ALL,$DF202,$L$6)),INDEX(PASTE_ALL,$DF202,$L$6),TRIM(SUBSTITUTE(SUBSTITUTE(SUBSTITUTE(SUBSTITUTE(INDEX(PASTE_ALL,$DF202,$L$6)," "," "),CHAR(9)," "),CHAR(10)," "),CHAR(13)," "))),"")))</f>
        <v/>
      </c>
      <c r="DO202">
        <f>IF($DM202=0,"",IF($L$7=0,"",IFERROR(IF(ISNUMBER(INDEX(PASTE_ALL,$DF202,$L$7)),INDEX(PASTE_ALL,$DF202,$L$7),TRIM(SUBSTITUTE(SUBSTITUTE(SUBSTITUTE(SUBSTITUTE(INDEX(PASTE_ALL,$DF202,$L$7)," "," "),CHAR(9)," "),CHAR(10)," "),CHAR(13)," "))),"")))</f>
        <v/>
      </c>
      <c r="DP202">
        <f>IF($DM202=0,"",IF($L$8=0,"",IFERROR(IF(ISNUMBER(INDEX(PASTE_ALL,$DF202,$L$8)),INDEX(PASTE_ALL,$DF202,$L$8),TRIM(SUBSTITUTE(SUBSTITUTE(SUBSTITUTE(SUBSTITUTE(INDEX(PASTE_ALL,$DF202,$L$8)," "," "),CHAR(9)," "),CHAR(10)," "),CHAR(13)," "))),"")))</f>
        <v/>
      </c>
      <c r="DQ202">
        <f>IF($DM202=0,"",IF($L$9=0,"",IFERROR(IF(ISNUMBER(INDEX(PASTE_ALL,$DF202,$L$9)),INDEX(PASTE_ALL,$DF202,$L$9),TRIM(SUBSTITUTE(SUBSTITUTE(SUBSTITUTE(SUBSTITUTE(INDEX(PASTE_ALL,$DF202,$L$9)," "," "),CHAR(9)," "),CHAR(10)," "),CHAR(13)," "))),"")))</f>
        <v/>
      </c>
      <c r="DR202">
        <f>IF($DM202=0,"",IF($L$10=0,"",IFERROR(IF(ISNUMBER(INDEX(PASTE_ALL,$DF202,$L$10)),INDEX(PASTE_ALL,$DF202,$L$10),TRIM(SUBSTITUTE(SUBSTITUTE(SUBSTITUTE(SUBSTITUTE(INDEX(PASTE_ALL,$DF202,$L$10)," "," "),CHAR(9)," "),CHAR(10)," "),CHAR(13)," "))),"")))</f>
        <v/>
      </c>
      <c r="DS202">
        <f>IF($DM202=0,"",IF($L$11=0,"",IFERROR(IF(ISNUMBER(INDEX(PASTE_ALL,$DF202,$L$11)),INDEX(PASTE_ALL,$DF202,$L$11),TRIM(SUBSTITUTE(SUBSTITUTE(SUBSTITUTE(SUBSTITUTE(INDEX(PASTE_ALL,$DF202,$L$11)," "," "),CHAR(9)," "),CHAR(10)," "),CHAR(13)," "))),"")))</f>
        <v/>
      </c>
      <c r="DT202">
        <f>IF($DM202=0,"",IF($L$12=0,"",IFERROR(IF(ISNUMBER(INDEX(PASTE_ALL,$DF202,$L$12)),INDEX(PASTE_ALL,$DF202,$L$12),TRIM(SUBSTITUTE(SUBSTITUTE(SUBSTITUTE(SUBSTITUTE(INDEX(PASTE_ALL,$DF202,$L$12)," "," "),CHAR(9)," "),CHAR(10)," "),CHAR(13)," "))),"")))</f>
        <v/>
      </c>
      <c r="DU202">
        <f>IF($DM202=0,"",IF($L$13=0,"",IFERROR(IF(ISNUMBER(INDEX(PASTE_ALL,$DF202,$L$13)),INDEX(PASTE_ALL,$DF202,$L$13),TRIM(SUBSTITUTE(SUBSTITUTE(SUBSTITUTE(SUBSTITUTE(INDEX(PASTE_ALL,$DF202,$L$13)," "," "),CHAR(9)," "),CHAR(10)," "),CHAR(13)," "))),"")))</f>
        <v/>
      </c>
      <c r="DV202">
        <f>IF($DM202=0,"",IF($L$14=0,"",IFERROR(IF(ISNUMBER(INDEX(PASTE_ALL,$DF202,$L$14)),INDEX(PASTE_ALL,$DF202,$L$14),TRIM(SUBSTITUTE(SUBSTITUTE(SUBSTITUTE(SUBSTITUTE(INDEX(PASTE_ALL,$DF202,$L$14)," "," "),CHAR(9)," "),CHAR(10)," "),CHAR(13)," "))),"")))</f>
        <v/>
      </c>
      <c r="DW202">
        <f>IF($DM202=0,"",IF($L$15=0,"",IFERROR(IF(ISNUMBER(INDEX(PASTE_ALL,$DF202,$L$15)),INDEX(PASTE_ALL,$DF202,$L$15),IF(SUMPRODUCT(--ISNUMBER(FIND({"A","B","C","D","E","F","G","H","I","J","K","L","M","N","O","P","Q","R","S","T","U","V","W","X","Y","Z","0","1","2","3","4","5","6","7","8","9"},UPPER(TRIM(SUBSTITUTE(SUBSTITUTE(SUBSTITUTE(SUBSTITUTE(INDEX(PASTE_ALL,$DF202,$L$15)," "," "),CHAR(9)," "),CHAR(10)," "),CHAR(13)," "))))))&gt;0,TRIM(SUBSTITUTE(SUBSTITUTE(SUBSTITUTE(SUBSTITUTE(INDEX(PASTE_ALL,$DF202,$L$15)," "," "),CHAR(9)," "),CHAR(10)," "),CHAR(13)," ")),"")),"")))</f>
        <v/>
      </c>
      <c r="DX202">
        <f>IF($DM202=0,"",IF($L$16=0,"",IFERROR(IF(ISNUMBER(INDEX(PASTE_ALL,$DF202,$L$16)),INDEX(PASTE_ALL,$DF202,$L$16),SUBSTITUTE(SUBSTITUTE(TRIM(SUBSTITUTE(SUBSTITUTE(SUBSTITUTE(SUBSTITUTE(INDEX(PASTE_ALL,$DF202,$L$16)," "," "),CHAR(9)," "),CHAR(10)," "),CHAR(13)," ")),",",""),"%","")),"")))</f>
        <v/>
      </c>
      <c r="DY202">
        <f>IF($DM202=0,"",IFERROR(IF(ISNUMBER($DX202),$DX202,IF($DX202="","",IF(TRIM($DX202)="",0,IF(AND(AND(SUBSTITUTE(SUBSTITUTE(SUBSTITUTE(SUBSTITUTE(SUBSTITUTE(SUBSTITUTE(SUBSTITUTE(SUBSTITUTE(SUBSTITUTE(SUBSTITUTE(SUBSTITUTE(SUBSTITUTE(SUBSTITUTE(SUBSTITUTE(UPPER(TRIM($DX202)),"0",""),"1",""),"2",""),"3",""),"4",""),"5",""),"6",""),"7",""),"8",""),"9",""),".",""),"+",""),"-",""),"E","")="",LEN(SUBSTITUTE(SUBSTITUTE(MID(UPPER(TRIM($DX202)),1+OR(LEFT(UPPER(TRIM($DX202)),1)="+",LEFT(UPPER(TRIM($DX202)),1)="-"),999),"E+","E"),"E-","E"))=LEN(SUBSTITUTE(SUBSTITUTE(SUBSTITUTE(SUBSTITUTE(MID(UPPER(TRIM($DX202)),1+OR(LEFT(UPPER(TRIM($DX202)),1)="+",LEFT(UPPER(TRIM($DX202)),1)="-"),999),"E+","E"),"E-","E"),"+",""),"-","")),LEN(UPPER(TRIM($DX202)))-LEN(SUBSTITUTE(UPPER(TRIM($DX202)),"E",""))&lt;2,LEN(UPPER(TRIM($DX202)))-LEN(SUBSTITUTE(UPPER(TRIM($DX202)),".",""))&lt;2,IFERROR(FIND(".",UPPER(TRIM($DX202))),0)&lt;IFERROR(FIND("E",UPPER(TRIM($DX202))),999)),ISNUMBER(VALUE(TRIM($DX202)))),VALUE(TRIM($DX202)),"")))),""))</f>
        <v/>
      </c>
      <c r="DZ202">
        <f>IF($DM202=0,"",IF($L$17=0,"",IFERROR(IF(ISNUMBER(INDEX(PASTE_ALL,$DF202,$L$17)),INDEX(PASTE_ALL,$DF202,$L$17),SUBSTITUTE(SUBSTITUTE(TRIM(SUBSTITUTE(SUBSTITUTE(SUBSTITUTE(SUBSTITUTE(INDEX(PASTE_ALL,$DF202,$L$17)," "," "),CHAR(9)," "),CHAR(10)," "),CHAR(13)," ")),",",""),"%","")),"")))</f>
        <v/>
      </c>
      <c r="EA202">
        <f>IF($DM202=0,"",IFERROR(IF(ISNUMBER($DZ202),$DZ202,IF($DZ202="","",IF(TRIM($DZ202)="",0,IF(AND(AND(SUBSTITUTE(SUBSTITUTE(SUBSTITUTE(SUBSTITUTE(SUBSTITUTE(SUBSTITUTE(SUBSTITUTE(SUBSTITUTE(SUBSTITUTE(SUBSTITUTE(SUBSTITUTE(SUBSTITUTE(SUBSTITUTE(SUBSTITUTE(UPPER(TRIM($DZ202)),"0",""),"1",""),"2",""),"3",""),"4",""),"5",""),"6",""),"7",""),"8",""),"9",""),".",""),"+",""),"-",""),"E","")="",LEN(SUBSTITUTE(SUBSTITUTE(MID(UPPER(TRIM($DZ202)),1+OR(LEFT(UPPER(TRIM($DZ202)),1)="+",LEFT(UPPER(TRIM($DZ202)),1)="-"),999),"E+","E"),"E-","E"))=LEN(SUBSTITUTE(SUBSTITUTE(SUBSTITUTE(SUBSTITUTE(MID(UPPER(TRIM($DZ202)),1+OR(LEFT(UPPER(TRIM($DZ202)),1)="+",LEFT(UPPER(TRIM($DZ202)),1)="-"),999),"E+","E"),"E-","E"),"+",""),"-","")),LEN(UPPER(TRIM($DZ202)))-LEN(SUBSTITUTE(UPPER(TRIM($DZ202)),"E",""))&lt;2,LEN(UPPER(TRIM($DZ202)))-LEN(SUBSTITUTE(UPPER(TRIM($DZ202)),".",""))&lt;2,IFERROR(FIND(".",UPPER(TRIM($DZ202))),0)&lt;IFERROR(FIND("E",UPPER(TRIM($DZ202))),999)),ISNUMBER(VALUE(TRIM($DZ202)))),VALUE(TRIM($DZ202)),"")))),""))</f>
        <v/>
      </c>
      <c r="EB202">
        <f>IF($DM202=0,"",IF($L$18=0,"",IFERROR(IF(UPPER(TRIM(SUBSTITUTE(SUBSTITUTE(SUBSTITUTE(SUBSTITUTE(INDEX(PASTE_ALL,$DF202,$L$18)," "," "),CHAR(9)," "),CHAR(10)," "),CHAR(13)," ")))="READY","Ready",IF(UPPER(TRIM(SUBSTITUTE(SUBSTITUTE(SUBSTITUTE(SUBSTITUTE(INDEX(PASTE_ALL,$DF202,$L$18)," "," "),CHAR(9)," "),CHAR(10)," "),CHAR(13)," ")))="PM","PM",IF(OR(UPPER(TRIM(SUBSTITUTE(SUBSTITUTE(SUBSTITUTE(SUBSTITUTE(INDEX(PASTE_ALL,$DF202,$L$18)," "," "),CHAR(9)," "),CHAR(10)," "),CHAR(13)," ")))="OT",UPPER(TRIM(SUBSTITUTE(SUBSTITUTE(SUBSTITUTE(SUBSTITUTE(INDEX(PASTE_ALL,$DF202,$L$18)," "," "),CHAR(9)," "),CHAR(10)," "),CHAR(13)," ")))="OVERTIME",UPPER(TRIM(SUBSTITUTE(SUBSTITUTE(SUBSTITUTE(SUBSTITUTE(INDEX(PASTE_ALL,$DF202,$L$18)," "," "),CHAR(9)," "),CHAR(10)," "),CHAR(13)," ")))="TRIAL"),"OT",TRIM(SUBSTITUTE(SUBSTITUTE(SUBSTITUTE(SUBSTITUTE(INDEX(PASTE_ALL,$DF202,$L$18)," "," "),CHAR(9)," "),CHAR(10)," "),CHAR(13)," "))))),"")))</f>
        <v/>
      </c>
      <c r="EC202">
        <f>IF($DM202=0,"",IF($L$19=0,"",IFERROR(IF(ISNUMBER(INDEX(PASTE_ALL,$DF202,$L$19)),INDEX(PASTE_ALL,$DF202,$L$19),TRIM(SUBSTITUTE(SUBSTITUTE(SUBSTITUTE(SUBSTITUTE(INDEX(PASTE_ALL,$DF202,$L$19)," "," "),CHAR(9)," "),CHAR(10)," "),CHAR(13)," "))),"")))</f>
        <v/>
      </c>
      <c r="ED202">
        <f>IF($DM202=0,"",MATCH(1,INDEX(EXACT($DH$5:DH202,$DH202)*$DM$5:DM202,0),0))</f>
        <v/>
      </c>
      <c r="EE202">
        <f>IF($DM202=0,0,IF($ED202=$DE202,1,0))</f>
        <v/>
      </c>
      <c r="EF202">
        <f>EF201+$EE202</f>
        <v/>
      </c>
      <c r="EG202">
        <f>IF($DM202=0,"",INDEX($EF$5:$EF$1003,$ED202))</f>
        <v/>
      </c>
      <c r="EH202">
        <f>IF($DM202=0,"",IF($DO202&lt;&gt;"","",IFERROR(LOOKUP(2,1/(($EG$4:EG201=$EG202)*($DO$4:DO201&lt;&gt;"")),$DO$4:DO201),"")))</f>
        <v/>
      </c>
      <c r="EI202">
        <f>IF($DM202=0,"",IF($DO202&lt;&gt;"",$DO202,$EH202))</f>
        <v/>
      </c>
      <c r="EJ202">
        <f>IF($DM202=0,"",IF($EI202="",0,IF(OR(ISNUMBER($EI202),AND(AND(SUBSTITUTE(SUBSTITUTE(SUBSTITUTE(SUBSTITUTE(SUBSTITUTE(SUBSTITUTE(SUBSTITUTE(SUBSTITUTE(SUBSTITUTE(SUBSTITUTE(SUBSTITUTE(SUBSTITUTE(SUBSTITUTE(SUBSTITUTE(UPPER($EI202),"0",""),"1",""),"2",""),"3",""),"4",""),"5",""),"6",""),"7",""),"8",""),"9",""),".",""),"+",""),"-",""),"E","")="",LEN(SUBSTITUTE(SUBSTITUTE(MID(UPPER($EI202),1+OR(LEFT(UPPER($EI202),1)="+",LEFT(UPPER($EI202),1)="-"),999),"E+","E"),"E-","E"))=LEN(SUBSTITUTE(SUBSTITUTE(SUBSTITUTE(SUBSTITUTE(MID(UPPER($EI202),1+OR(LEFT(UPPER($EI202),1)="+",LEFT(UPPER($EI202),1)="-"),999),"E+","E"),"E-","E"),"+",""),"-","")),LEN(UPPER($EI202))-LEN(SUBSTITUTE(UPPER($EI202),"E",""))&lt;2,LEN(UPPER($EI202))-LEN(SUBSTITUTE(UPPER($EI202),".",""))&lt;2,IFERROR(FIND(".",UPPER($EI202)),0)&lt;IFERROR(FIND("E",UPPER($EI202)),999)),ISNUMBER(VALUE($EI202)))),1,2)))</f>
        <v/>
      </c>
      <c r="EK202">
        <f>IF($DM202=0,"",IF($EJ202=1,IF(ISNUMBER($EI202),$EI202,VALUE($EI202)),IF($EJ202=2,$DE202,0)))</f>
        <v/>
      </c>
      <c r="EL202">
        <f>IF($DM202=0,"",COUNTIF($EG$5:$EG$1003,"&lt;"&amp;$EG202)+SUMPRODUCT(($EG$5:$EG$1003=$EG202)*(($EJ$5:$EJ$1003&lt;$EJ202)+($EJ$5:$EJ$1003=$EJ202)*(($EK$5:$EK$1003&lt;$EK202)+($EK$5:$EK$1003=$EK202)*($DE$5:$DE$1003&lt;$DE202))))+1)</f>
        <v/>
      </c>
      <c r="EM202">
        <f>IF($DM202=0,"",$EL202+$EG202-1)</f>
        <v/>
      </c>
      <c r="EN202">
        <f>IF($DM202=0,0,IFERROR(MATCH(1,INDEX(--(TRIM(SUBSTITUTE(SUBSTITUTE(SUBSTITUTE(SUBSTITUTE(LINES_NAME&amp;""," "," "),CHAR(9)," "),CHAR(10)," "),CHAR(13)," "))=$DH202),0),0),0))</f>
        <v/>
      </c>
      <c r="EO202">
        <f>IF($EN202=0,0,IF(OR(UPPER(TRIM(INDEX(LINES_SCHEDULED,$EN202)&amp;""))="YES",UPPER(TRIM(INDEX(LINES_SCHEDULED,$EN202)&amp;""))="Y",UPPER(TRIM(INDEX(LINES_SCHEDULED,$EN202)&amp;""))="X"),1,0))</f>
        <v/>
      </c>
      <c r="EP202">
        <f>IF($DM202=0,"",IF(COUNTIFS($EG$5:$EG$1003,$EG202,$EB$5:$EB$1003,"Ready")&gt;0,"READY",IF(COUNTIFS($EG$5:$EG$1003,$EG202,$EB$5:$EB$1003,"PM")&gt;0,"PM",IF(COUNTIFS($EG$5:$EG$1003,$EG202,$EB$5:$EB$1003,"OT")&gt;0,"OT",""))))</f>
        <v/>
      </c>
      <c r="EQ202">
        <f>IF($EN202=0,"",UPPER(TRIM(INDEX(LINES_STATUS,$EN202)&amp;"")))</f>
        <v/>
      </c>
      <c r="ER202">
        <f>IF($DM202=0,"",IF(OR($EQ202="READY",$EQ202="PM",$EQ202="OT"),$EQ202,$EP202))</f>
        <v/>
      </c>
      <c r="ES202">
        <f>IF($DM202=0,"",IF(AND($DV202&lt;&gt;"",UPPER($DV202)&lt;&gt;"N"),"allergen",IF(ISNUMBER(SEARCH("oil",$DQ202)),"oil",IF(OR(EXACT($DS202,"A662"),EXACT($DS202,"A624")),"bulk",""))))</f>
        <v/>
      </c>
      <c r="ET202">
        <f>IF($DM202=0,"",IF(OR($EA202="",$EA202=0),"",$EA202/100))</f>
        <v/>
      </c>
      <c r="EU202">
        <f>IF(OR($ET202="",$DY202=""),"",INT($DY202*(1-$ET202)+0.5))</f>
        <v/>
      </c>
      <c r="EW202" t="n">
        <v>198</v>
      </c>
      <c r="EX202">
        <f>IFERROR(MATCH($EW202,$EM$5:$EM$1003,0),0)</f>
        <v/>
      </c>
      <c r="EY202">
        <f>IF($EW202&gt;$B$12,"",IF($EX202&gt;0,"row","spacer"))</f>
        <v/>
      </c>
      <c r="EZ202">
        <f>IF(AND($EY202="row",$EY201&lt;&gt;"row"),1,0)</f>
        <v/>
      </c>
      <c r="FA202">
        <f>IF(AND($EY202="row",$EY203&lt;&gt;"row"),1,0)</f>
        <v/>
      </c>
      <c r="FB202">
        <f>IF($EZ202=1,IFERROR(IF(ISNUMBER(INDEX(PASTE_ALL,INDEX($DF$5:$DF$1003,$EX202),$B$37)),INDEX(PASTE_ALL,INDEX($DF$5:$DF$1003,$EX202),$B$37),INDEX($DH$5:$DH$1003,$EX202)),INDEX($DH$5:$DH$1003,$EX202)),"")</f>
        <v/>
      </c>
      <c r="FC202">
        <f>IF($EY202="row",INDEX($ER$5:$ER$1003,$EX202),"")</f>
        <v/>
      </c>
      <c r="FD202">
        <f>IF($EY202="row",INDEX($DN$5:$DN$1003,$EX202),"")</f>
        <v/>
      </c>
      <c r="FE202">
        <f>IF($EY202="row",INDEX($DO$5:$DO$1003,$EX202),"")</f>
        <v/>
      </c>
      <c r="FF202">
        <f>IF($EY202="row",INDEX($DP$5:$DP$1003,$EX202),"")</f>
        <v/>
      </c>
      <c r="FG202">
        <f>IF($EY202="row",INDEX($DQ$5:$DQ$1003,$EX202),"")</f>
        <v/>
      </c>
      <c r="FH202">
        <f>IF($EY202="row",INDEX($DR$5:$DR$1003,$EX202),"")</f>
        <v/>
      </c>
      <c r="FI202">
        <f>IF($EY202="row",INDEX($DS$5:$DS$1003,$EX202),"")</f>
        <v/>
      </c>
      <c r="FJ202">
        <f>IF($EY202="row",INDEX($DT$5:$DT$1003,$EX202),"")</f>
        <v/>
      </c>
      <c r="FK202">
        <f>IF($EY202="row",INDEX($DU$5:$DU$1003,$EX202),"")</f>
        <v/>
      </c>
      <c r="FL202">
        <f>IF($EY202="row",INDEX($DV$5:$DV$1003,$EX202),"")</f>
        <v/>
      </c>
      <c r="FM202">
        <f>IF($EY202="row",INDEX($DW$5:$DW$1003,$EX202),"")</f>
        <v/>
      </c>
      <c r="FN202">
        <f>IF($EY202="row",INDEX($DY$5:$DY$1003,$EX202),"")</f>
        <v/>
      </c>
      <c r="FO202">
        <f>IF($EY202="row",INDEX($EA$5:$EA$1003,$EX202),"")</f>
        <v/>
      </c>
      <c r="FP202">
        <f>IF($EY202="row",INDEX($EC$5:$EC$1003,$EX202),"")</f>
        <v/>
      </c>
      <c r="FQ202">
        <f>IF($EY202="row",INDEX($ET$5:$ET$1003,$EX202),"")</f>
        <v/>
      </c>
      <c r="FR202">
        <f>IF($EY202="row",INDEX($EU$5:$EU$1003,$EX202),"")</f>
        <v/>
      </c>
      <c r="FS202">
        <f>IF(AND($EY202="row",$EY201="row"),IF(OR(INDEX($DT$5:$DT$1003,$EX201)="",INDEX($DT$5:$DT$1003,$EX202)=""),"",IF(NOT(EXACT(INDEX($DT$5:$DT$1003,$EX201),INDEX($DT$5:$DT$1003,$EX202))),"S4",IF(NOT(EXACT(INDEX($DS$5:$DS$1003,$EX201),INDEX($DS$5:$DS$1003,$EX202))),"S3",IF(NOT(EXACT(INDEX($DR$5:$DR$1003,$EX201),INDEX($DR$5:$DR$1003,$EX202))),"S1 Count Change","S1")))),"")</f>
        <v/>
      </c>
      <c r="FT202">
        <f>IF($EY202="row",INDEX($ES$5:$ES$1003,$EX202),"")</f>
        <v/>
      </c>
      <c r="FU202">
        <f>IF($EY202="row",INDEX($EO$5:$EO$1003,$EX202),0)</f>
        <v/>
      </c>
      <c r="FV202">
        <f>IF($FS202="S1 Count Change",1,0)</f>
        <v/>
      </c>
    </row>
    <row r="203">
      <c r="Y203">
        <f>0+IF(Y113&gt;0,0,IF(SUMPRODUCT(MOD(INT(Y158/{2,4,8,16,32,64,128,256,512,1024,2048,4096,8192,16384,32768}),2)*(1-MOD(INT(($CJ23+0)/{2,4,8,16,32,64,128,256,512,1024,2048,4096,8192,16384,32768}),2))*{2,4,8,16,32,64,128,256,512,1024,2048,4096,8192,16384,32768})=0,0,2^SUMPRODUCT(--(MOD(SUMPRODUCT(MOD(INT(Y158/{2,4,8,16,32,64,128,256,512,1024,2048,4096,8192,16384,32768}),2)*(1-MOD(INT(($CJ23+0)/{2,4,8,16,32,64,128,256,512,1024,2048,4096,8192,16384,32768}),2))*{2,4,8,16,32,64,128,256,512,1024,2048,4096,8192,16384,32768}),{2,4,8,16,32,64,128,256,512,1024,2048,4096,8192,16384,32768})=0))))</f>
        <v/>
      </c>
      <c r="Z203">
        <f>Y203+IF(AND(Z113&gt;0,COUNTIF($Y113:Y113,Z113)=0),0,IF(SUMPRODUCT(MOD(INT(Z158/{2,4,8,16,32,64,128,256,512,1024,2048,4096,8192,16384,32768}),2)*(1-MOD(INT(($CJ23+Y203)/{2,4,8,16,32,64,128,256,512,1024,2048,4096,8192,16384,32768}),2))*{2,4,8,16,32,64,128,256,512,1024,2048,4096,8192,16384,32768})=0,0,2^SUMPRODUCT(--(MOD(SUMPRODUCT(MOD(INT(Z158/{2,4,8,16,32,64,128,256,512,1024,2048,4096,8192,16384,32768}),2)*(1-MOD(INT(($CJ23+Y203)/{2,4,8,16,32,64,128,256,512,1024,2048,4096,8192,16384,32768}),2))*{2,4,8,16,32,64,128,256,512,1024,2048,4096,8192,16384,32768}),{2,4,8,16,32,64,128,256,512,1024,2048,4096,8192,16384,32768})=0))))</f>
        <v/>
      </c>
      <c r="AA203">
        <f>Z203+IF(AND(AA113&gt;0,COUNTIF($Y113:Z113,AA113)=0),0,IF(SUMPRODUCT(MOD(INT(AA158/{2,4,8,16,32,64,128,256,512,1024,2048,4096,8192,16384,32768}),2)*(1-MOD(INT(($CJ23+Z203)/{2,4,8,16,32,64,128,256,512,1024,2048,4096,8192,16384,32768}),2))*{2,4,8,16,32,64,128,256,512,1024,2048,4096,8192,16384,32768})=0,0,2^SUMPRODUCT(--(MOD(SUMPRODUCT(MOD(INT(AA158/{2,4,8,16,32,64,128,256,512,1024,2048,4096,8192,16384,32768}),2)*(1-MOD(INT(($CJ23+Z203)/{2,4,8,16,32,64,128,256,512,1024,2048,4096,8192,16384,32768}),2))*{2,4,8,16,32,64,128,256,512,1024,2048,4096,8192,16384,32768}),{2,4,8,16,32,64,128,256,512,1024,2048,4096,8192,16384,32768})=0))))</f>
        <v/>
      </c>
      <c r="AB203">
        <f>AA203+IF(AND(AB113&gt;0,COUNTIF($Y113:AA113,AB113)=0),0,IF(SUMPRODUCT(MOD(INT(AB158/{2,4,8,16,32,64,128,256,512,1024,2048,4096,8192,16384,32768}),2)*(1-MOD(INT(($CJ23+AA203)/{2,4,8,16,32,64,128,256,512,1024,2048,4096,8192,16384,32768}),2))*{2,4,8,16,32,64,128,256,512,1024,2048,4096,8192,16384,32768})=0,0,2^SUMPRODUCT(--(MOD(SUMPRODUCT(MOD(INT(AB158/{2,4,8,16,32,64,128,256,512,1024,2048,4096,8192,16384,32768}),2)*(1-MOD(INT(($CJ23+AA203)/{2,4,8,16,32,64,128,256,512,1024,2048,4096,8192,16384,32768}),2))*{2,4,8,16,32,64,128,256,512,1024,2048,4096,8192,16384,32768}),{2,4,8,16,32,64,128,256,512,1024,2048,4096,8192,16384,32768})=0))))</f>
        <v/>
      </c>
      <c r="AC203">
        <f>AB203+IF(AND(AC113&gt;0,COUNTIF($Y113:AB113,AC113)=0),0,IF(SUMPRODUCT(MOD(INT(AC158/{2,4,8,16,32,64,128,256,512,1024,2048,4096,8192,16384,32768}),2)*(1-MOD(INT(($CJ23+AB203)/{2,4,8,16,32,64,128,256,512,1024,2048,4096,8192,16384,32768}),2))*{2,4,8,16,32,64,128,256,512,1024,2048,4096,8192,16384,32768})=0,0,2^SUMPRODUCT(--(MOD(SUMPRODUCT(MOD(INT(AC158/{2,4,8,16,32,64,128,256,512,1024,2048,4096,8192,16384,32768}),2)*(1-MOD(INT(($CJ23+AB203)/{2,4,8,16,32,64,128,256,512,1024,2048,4096,8192,16384,32768}),2))*{2,4,8,16,32,64,128,256,512,1024,2048,4096,8192,16384,32768}),{2,4,8,16,32,64,128,256,512,1024,2048,4096,8192,16384,32768})=0))))</f>
        <v/>
      </c>
      <c r="AD203">
        <f>AC203+IF(AND(AD113&gt;0,COUNTIF($Y113:AC113,AD113)=0),0,IF(SUMPRODUCT(MOD(INT(AD158/{2,4,8,16,32,64,128,256,512,1024,2048,4096,8192,16384,32768}),2)*(1-MOD(INT(($CJ23+AC203)/{2,4,8,16,32,64,128,256,512,1024,2048,4096,8192,16384,32768}),2))*{2,4,8,16,32,64,128,256,512,1024,2048,4096,8192,16384,32768})=0,0,2^SUMPRODUCT(--(MOD(SUMPRODUCT(MOD(INT(AD158/{2,4,8,16,32,64,128,256,512,1024,2048,4096,8192,16384,32768}),2)*(1-MOD(INT(($CJ23+AC203)/{2,4,8,16,32,64,128,256,512,1024,2048,4096,8192,16384,32768}),2))*{2,4,8,16,32,64,128,256,512,1024,2048,4096,8192,16384,32768}),{2,4,8,16,32,64,128,256,512,1024,2048,4096,8192,16384,32768})=0))))</f>
        <v/>
      </c>
      <c r="AE203">
        <f>AD203+IF(AND(AE113&gt;0,COUNTIF($Y113:AD113,AE113)=0),0,IF(SUMPRODUCT(MOD(INT(AE158/{2,4,8,16,32,64,128,256,512,1024,2048,4096,8192,16384,32768}),2)*(1-MOD(INT(($CJ23+AD203)/{2,4,8,16,32,64,128,256,512,1024,2048,4096,8192,16384,32768}),2))*{2,4,8,16,32,64,128,256,512,1024,2048,4096,8192,16384,32768})=0,0,2^SUMPRODUCT(--(MOD(SUMPRODUCT(MOD(INT(AE158/{2,4,8,16,32,64,128,256,512,1024,2048,4096,8192,16384,32768}),2)*(1-MOD(INT(($CJ23+AD203)/{2,4,8,16,32,64,128,256,512,1024,2048,4096,8192,16384,32768}),2))*{2,4,8,16,32,64,128,256,512,1024,2048,4096,8192,16384,32768}),{2,4,8,16,32,64,128,256,512,1024,2048,4096,8192,16384,32768})=0))))</f>
        <v/>
      </c>
      <c r="AF203">
        <f>AE203+IF(AND(AF113&gt;0,COUNTIF($Y113:AE113,AF113)=0),0,IF(SUMPRODUCT(MOD(INT(AF158/{2,4,8,16,32,64,128,256,512,1024,2048,4096,8192,16384,32768}),2)*(1-MOD(INT(($CJ23+AE203)/{2,4,8,16,32,64,128,256,512,1024,2048,4096,8192,16384,32768}),2))*{2,4,8,16,32,64,128,256,512,1024,2048,4096,8192,16384,32768})=0,0,2^SUMPRODUCT(--(MOD(SUMPRODUCT(MOD(INT(AF158/{2,4,8,16,32,64,128,256,512,1024,2048,4096,8192,16384,32768}),2)*(1-MOD(INT(($CJ23+AE203)/{2,4,8,16,32,64,128,256,512,1024,2048,4096,8192,16384,32768}),2))*{2,4,8,16,32,64,128,256,512,1024,2048,4096,8192,16384,32768}),{2,4,8,16,32,64,128,256,512,1024,2048,4096,8192,16384,32768})=0))))</f>
        <v/>
      </c>
      <c r="AG203">
        <f>AF203+IF(AND(AG113&gt;0,COUNTIF($Y113:AF113,AG113)=0),0,IF(SUMPRODUCT(MOD(INT(AG158/{2,4,8,16,32,64,128,256,512,1024,2048,4096,8192,16384,32768}),2)*(1-MOD(INT(($CJ23+AF203)/{2,4,8,16,32,64,128,256,512,1024,2048,4096,8192,16384,32768}),2))*{2,4,8,16,32,64,128,256,512,1024,2048,4096,8192,16384,32768})=0,0,2^SUMPRODUCT(--(MOD(SUMPRODUCT(MOD(INT(AG158/{2,4,8,16,32,64,128,256,512,1024,2048,4096,8192,16384,32768}),2)*(1-MOD(INT(($CJ23+AF203)/{2,4,8,16,32,64,128,256,512,1024,2048,4096,8192,16384,32768}),2))*{2,4,8,16,32,64,128,256,512,1024,2048,4096,8192,16384,32768}),{2,4,8,16,32,64,128,256,512,1024,2048,4096,8192,16384,32768})=0))))</f>
        <v/>
      </c>
      <c r="AH203">
        <f>AG203+IF(AND(AH113&gt;0,COUNTIF($Y113:AG113,AH113)=0),0,IF(SUMPRODUCT(MOD(INT(AH158/{2,4,8,16,32,64,128,256,512,1024,2048,4096,8192,16384,32768}),2)*(1-MOD(INT(($CJ23+AG203)/{2,4,8,16,32,64,128,256,512,1024,2048,4096,8192,16384,32768}),2))*{2,4,8,16,32,64,128,256,512,1024,2048,4096,8192,16384,32768})=0,0,2^SUMPRODUCT(--(MOD(SUMPRODUCT(MOD(INT(AH158/{2,4,8,16,32,64,128,256,512,1024,2048,4096,8192,16384,32768}),2)*(1-MOD(INT(($CJ23+AG203)/{2,4,8,16,32,64,128,256,512,1024,2048,4096,8192,16384,32768}),2))*{2,4,8,16,32,64,128,256,512,1024,2048,4096,8192,16384,32768}),{2,4,8,16,32,64,128,256,512,1024,2048,4096,8192,16384,32768})=0))))</f>
        <v/>
      </c>
      <c r="AI203">
        <f>AH203+IF(AND(AI113&gt;0,COUNTIF($Y113:AH113,AI113)=0),0,IF(SUMPRODUCT(MOD(INT(AI158/{2,4,8,16,32,64,128,256,512,1024,2048,4096,8192,16384,32768}),2)*(1-MOD(INT(($CJ23+AH203)/{2,4,8,16,32,64,128,256,512,1024,2048,4096,8192,16384,32768}),2))*{2,4,8,16,32,64,128,256,512,1024,2048,4096,8192,16384,32768})=0,0,2^SUMPRODUCT(--(MOD(SUMPRODUCT(MOD(INT(AI158/{2,4,8,16,32,64,128,256,512,1024,2048,4096,8192,16384,32768}),2)*(1-MOD(INT(($CJ23+AH203)/{2,4,8,16,32,64,128,256,512,1024,2048,4096,8192,16384,32768}),2))*{2,4,8,16,32,64,128,256,512,1024,2048,4096,8192,16384,32768}),{2,4,8,16,32,64,128,256,512,1024,2048,4096,8192,16384,32768})=0))))</f>
        <v/>
      </c>
      <c r="AJ203">
        <f>AI203+IF(AND(AJ113&gt;0,COUNTIF($Y113:AI113,AJ113)=0),0,IF(SUMPRODUCT(MOD(INT(AJ158/{2,4,8,16,32,64,128,256,512,1024,2048,4096,8192,16384,32768}),2)*(1-MOD(INT(($CJ23+AI203)/{2,4,8,16,32,64,128,256,512,1024,2048,4096,8192,16384,32768}),2))*{2,4,8,16,32,64,128,256,512,1024,2048,4096,8192,16384,32768})=0,0,2^SUMPRODUCT(--(MOD(SUMPRODUCT(MOD(INT(AJ158/{2,4,8,16,32,64,128,256,512,1024,2048,4096,8192,16384,32768}),2)*(1-MOD(INT(($CJ23+AI203)/{2,4,8,16,32,64,128,256,512,1024,2048,4096,8192,16384,32768}),2))*{2,4,8,16,32,64,128,256,512,1024,2048,4096,8192,16384,32768}),{2,4,8,16,32,64,128,256,512,1024,2048,4096,8192,16384,32768})=0))))</f>
        <v/>
      </c>
      <c r="AK203">
        <f>AJ203+IF(AND(AK113&gt;0,COUNTIF($Y113:AJ113,AK113)=0),0,IF(SUMPRODUCT(MOD(INT(AK158/{2,4,8,16,32,64,128,256,512,1024,2048,4096,8192,16384,32768}),2)*(1-MOD(INT(($CJ23+AJ203)/{2,4,8,16,32,64,128,256,512,1024,2048,4096,8192,16384,32768}),2))*{2,4,8,16,32,64,128,256,512,1024,2048,4096,8192,16384,32768})=0,0,2^SUMPRODUCT(--(MOD(SUMPRODUCT(MOD(INT(AK158/{2,4,8,16,32,64,128,256,512,1024,2048,4096,8192,16384,32768}),2)*(1-MOD(INT(($CJ23+AJ203)/{2,4,8,16,32,64,128,256,512,1024,2048,4096,8192,16384,32768}),2))*{2,4,8,16,32,64,128,256,512,1024,2048,4096,8192,16384,32768}),{2,4,8,16,32,64,128,256,512,1024,2048,4096,8192,16384,32768})=0))))</f>
        <v/>
      </c>
      <c r="AL203">
        <f>AK203+IF(AND(AL113&gt;0,COUNTIF($Y113:AK113,AL113)=0),0,IF(SUMPRODUCT(MOD(INT(AL158/{2,4,8,16,32,64,128,256,512,1024,2048,4096,8192,16384,32768}),2)*(1-MOD(INT(($CJ23+AK203)/{2,4,8,16,32,64,128,256,512,1024,2048,4096,8192,16384,32768}),2))*{2,4,8,16,32,64,128,256,512,1024,2048,4096,8192,16384,32768})=0,0,2^SUMPRODUCT(--(MOD(SUMPRODUCT(MOD(INT(AL158/{2,4,8,16,32,64,128,256,512,1024,2048,4096,8192,16384,32768}),2)*(1-MOD(INT(($CJ23+AK203)/{2,4,8,16,32,64,128,256,512,1024,2048,4096,8192,16384,32768}),2))*{2,4,8,16,32,64,128,256,512,1024,2048,4096,8192,16384,32768}),{2,4,8,16,32,64,128,256,512,1024,2048,4096,8192,16384,32768})=0))))</f>
        <v/>
      </c>
      <c r="AM203">
        <f>AL203+IF(AND(AM113&gt;0,COUNTIF($Y113:AL113,AM113)=0),0,IF(SUMPRODUCT(MOD(INT(AM158/{2,4,8,16,32,64,128,256,512,1024,2048,4096,8192,16384,32768}),2)*(1-MOD(INT(($CJ23+AL203)/{2,4,8,16,32,64,128,256,512,1024,2048,4096,8192,16384,32768}),2))*{2,4,8,16,32,64,128,256,512,1024,2048,4096,8192,16384,32768})=0,0,2^SUMPRODUCT(--(MOD(SUMPRODUCT(MOD(INT(AM158/{2,4,8,16,32,64,128,256,512,1024,2048,4096,8192,16384,32768}),2)*(1-MOD(INT(($CJ23+AL203)/{2,4,8,16,32,64,128,256,512,1024,2048,4096,8192,16384,32768}),2))*{2,4,8,16,32,64,128,256,512,1024,2048,4096,8192,16384,32768}),{2,4,8,16,32,64,128,256,512,1024,2048,4096,8192,16384,32768})=0))))</f>
        <v/>
      </c>
      <c r="AN203">
        <f>AM203+IF(AND(AN113&gt;0,COUNTIF($Y113:AM113,AN113)=0),0,IF(SUMPRODUCT(MOD(INT(AN158/{2,4,8,16,32,64,128,256,512,1024,2048,4096,8192,16384,32768}),2)*(1-MOD(INT(($CJ23+AM203)/{2,4,8,16,32,64,128,256,512,1024,2048,4096,8192,16384,32768}),2))*{2,4,8,16,32,64,128,256,512,1024,2048,4096,8192,16384,32768})=0,0,2^SUMPRODUCT(--(MOD(SUMPRODUCT(MOD(INT(AN158/{2,4,8,16,32,64,128,256,512,1024,2048,4096,8192,16384,32768}),2)*(1-MOD(INT(($CJ23+AM203)/{2,4,8,16,32,64,128,256,512,1024,2048,4096,8192,16384,32768}),2))*{2,4,8,16,32,64,128,256,512,1024,2048,4096,8192,16384,32768}),{2,4,8,16,32,64,128,256,512,1024,2048,4096,8192,16384,32768})=0))))</f>
        <v/>
      </c>
      <c r="AO203">
        <f>AN203+IF(AND(AO113&gt;0,COUNTIF($Y113:AN113,AO113)=0),0,IF(SUMPRODUCT(MOD(INT(AO158/{2,4,8,16,32,64,128,256,512,1024,2048,4096,8192,16384,32768}),2)*(1-MOD(INT(($CJ23+AN203)/{2,4,8,16,32,64,128,256,512,1024,2048,4096,8192,16384,32768}),2))*{2,4,8,16,32,64,128,256,512,1024,2048,4096,8192,16384,32768})=0,0,2^SUMPRODUCT(--(MOD(SUMPRODUCT(MOD(INT(AO158/{2,4,8,16,32,64,128,256,512,1024,2048,4096,8192,16384,32768}),2)*(1-MOD(INT(($CJ23+AN203)/{2,4,8,16,32,64,128,256,512,1024,2048,4096,8192,16384,32768}),2))*{2,4,8,16,32,64,128,256,512,1024,2048,4096,8192,16384,32768}),{2,4,8,16,32,64,128,256,512,1024,2048,4096,8192,16384,32768})=0))))</f>
        <v/>
      </c>
      <c r="AP203">
        <f>AO203+IF(AND(AP113&gt;0,COUNTIF($Y113:AO113,AP113)=0),0,IF(SUMPRODUCT(MOD(INT(AP158/{2,4,8,16,32,64,128,256,512,1024,2048,4096,8192,16384,32768}),2)*(1-MOD(INT(($CJ23+AO203)/{2,4,8,16,32,64,128,256,512,1024,2048,4096,8192,16384,32768}),2))*{2,4,8,16,32,64,128,256,512,1024,2048,4096,8192,16384,32768})=0,0,2^SUMPRODUCT(--(MOD(SUMPRODUCT(MOD(INT(AP158/{2,4,8,16,32,64,128,256,512,1024,2048,4096,8192,16384,32768}),2)*(1-MOD(INT(($CJ23+AO203)/{2,4,8,16,32,64,128,256,512,1024,2048,4096,8192,16384,32768}),2))*{2,4,8,16,32,64,128,256,512,1024,2048,4096,8192,16384,32768}),{2,4,8,16,32,64,128,256,512,1024,2048,4096,8192,16384,32768})=0))))</f>
        <v/>
      </c>
      <c r="AQ203">
        <f>AP203+IF(AND(AQ113&gt;0,COUNTIF($Y113:AP113,AQ113)=0),0,IF(SUMPRODUCT(MOD(INT(AQ158/{2,4,8,16,32,64,128,256,512,1024,2048,4096,8192,16384,32768}),2)*(1-MOD(INT(($CJ23+AP203)/{2,4,8,16,32,64,128,256,512,1024,2048,4096,8192,16384,32768}),2))*{2,4,8,16,32,64,128,256,512,1024,2048,4096,8192,16384,32768})=0,0,2^SUMPRODUCT(--(MOD(SUMPRODUCT(MOD(INT(AQ158/{2,4,8,16,32,64,128,256,512,1024,2048,4096,8192,16384,32768}),2)*(1-MOD(INT(($CJ23+AP203)/{2,4,8,16,32,64,128,256,512,1024,2048,4096,8192,16384,32768}),2))*{2,4,8,16,32,64,128,256,512,1024,2048,4096,8192,16384,32768}),{2,4,8,16,32,64,128,256,512,1024,2048,4096,8192,16384,32768})=0))))</f>
        <v/>
      </c>
      <c r="AR203">
        <f>AQ203+IF(AND(AR113&gt;0,COUNTIF($Y113:AQ113,AR113)=0),0,IF(SUMPRODUCT(MOD(INT(AR158/{2,4,8,16,32,64,128,256,512,1024,2048,4096,8192,16384,32768}),2)*(1-MOD(INT(($CJ23+AQ203)/{2,4,8,16,32,64,128,256,512,1024,2048,4096,8192,16384,32768}),2))*{2,4,8,16,32,64,128,256,512,1024,2048,4096,8192,16384,32768})=0,0,2^SUMPRODUCT(--(MOD(SUMPRODUCT(MOD(INT(AR158/{2,4,8,16,32,64,128,256,512,1024,2048,4096,8192,16384,32768}),2)*(1-MOD(INT(($CJ23+AQ203)/{2,4,8,16,32,64,128,256,512,1024,2048,4096,8192,16384,32768}),2))*{2,4,8,16,32,64,128,256,512,1024,2048,4096,8192,16384,32768}),{2,4,8,16,32,64,128,256,512,1024,2048,4096,8192,16384,32768})=0))))</f>
        <v/>
      </c>
      <c r="AS203">
        <f>AR203+IF(AND(AS113&gt;0,COUNTIF($Y113:AR113,AS113)=0),0,IF(SUMPRODUCT(MOD(INT(AS158/{2,4,8,16,32,64,128,256,512,1024,2048,4096,8192,16384,32768}),2)*(1-MOD(INT(($CJ23+AR203)/{2,4,8,16,32,64,128,256,512,1024,2048,4096,8192,16384,32768}),2))*{2,4,8,16,32,64,128,256,512,1024,2048,4096,8192,16384,32768})=0,0,2^SUMPRODUCT(--(MOD(SUMPRODUCT(MOD(INT(AS158/{2,4,8,16,32,64,128,256,512,1024,2048,4096,8192,16384,32768}),2)*(1-MOD(INT(($CJ23+AR203)/{2,4,8,16,32,64,128,256,512,1024,2048,4096,8192,16384,32768}),2))*{2,4,8,16,32,64,128,256,512,1024,2048,4096,8192,16384,32768}),{2,4,8,16,32,64,128,256,512,1024,2048,4096,8192,16384,32768})=0))))</f>
        <v/>
      </c>
      <c r="AT203">
        <f>AS203+IF(AND(AT113&gt;0,COUNTIF($Y113:AS113,AT113)=0),0,IF(SUMPRODUCT(MOD(INT(AT158/{2,4,8,16,32,64,128,256,512,1024,2048,4096,8192,16384,32768}),2)*(1-MOD(INT(($CJ23+AS203)/{2,4,8,16,32,64,128,256,512,1024,2048,4096,8192,16384,32768}),2))*{2,4,8,16,32,64,128,256,512,1024,2048,4096,8192,16384,32768})=0,0,2^SUMPRODUCT(--(MOD(SUMPRODUCT(MOD(INT(AT158/{2,4,8,16,32,64,128,256,512,1024,2048,4096,8192,16384,32768}),2)*(1-MOD(INT(($CJ23+AS203)/{2,4,8,16,32,64,128,256,512,1024,2048,4096,8192,16384,32768}),2))*{2,4,8,16,32,64,128,256,512,1024,2048,4096,8192,16384,32768}),{2,4,8,16,32,64,128,256,512,1024,2048,4096,8192,16384,32768})=0))))</f>
        <v/>
      </c>
      <c r="AU203">
        <f>AT203+IF(AND(AU113&gt;0,COUNTIF($Y113:AT113,AU113)=0),0,IF(SUMPRODUCT(MOD(INT(AU158/{2,4,8,16,32,64,128,256,512,1024,2048,4096,8192,16384,32768}),2)*(1-MOD(INT(($CJ23+AT203)/{2,4,8,16,32,64,128,256,512,1024,2048,4096,8192,16384,32768}),2))*{2,4,8,16,32,64,128,256,512,1024,2048,4096,8192,16384,32768})=0,0,2^SUMPRODUCT(--(MOD(SUMPRODUCT(MOD(INT(AU158/{2,4,8,16,32,64,128,256,512,1024,2048,4096,8192,16384,32768}),2)*(1-MOD(INT(($CJ23+AT203)/{2,4,8,16,32,64,128,256,512,1024,2048,4096,8192,16384,32768}),2))*{2,4,8,16,32,64,128,256,512,1024,2048,4096,8192,16384,32768}),{2,4,8,16,32,64,128,256,512,1024,2048,4096,8192,16384,32768})=0))))</f>
        <v/>
      </c>
      <c r="AV203">
        <f>AU203+IF(AND(AV113&gt;0,COUNTIF($Y113:AU113,AV113)=0),0,IF(SUMPRODUCT(MOD(INT(AV158/{2,4,8,16,32,64,128,256,512,1024,2048,4096,8192,16384,32768}),2)*(1-MOD(INT(($CJ23+AU203)/{2,4,8,16,32,64,128,256,512,1024,2048,4096,8192,16384,32768}),2))*{2,4,8,16,32,64,128,256,512,1024,2048,4096,8192,16384,32768})=0,0,2^SUMPRODUCT(--(MOD(SUMPRODUCT(MOD(INT(AV158/{2,4,8,16,32,64,128,256,512,1024,2048,4096,8192,16384,32768}),2)*(1-MOD(INT(($CJ23+AU203)/{2,4,8,16,32,64,128,256,512,1024,2048,4096,8192,16384,32768}),2))*{2,4,8,16,32,64,128,256,512,1024,2048,4096,8192,16384,32768}),{2,4,8,16,32,64,128,256,512,1024,2048,4096,8192,16384,32768})=0))))</f>
        <v/>
      </c>
      <c r="AW203">
        <f>AV203+IF(AND(AW113&gt;0,COUNTIF($Y113:AV113,AW113)=0),0,IF(SUMPRODUCT(MOD(INT(AW158/{2,4,8,16,32,64,128,256,512,1024,2048,4096,8192,16384,32768}),2)*(1-MOD(INT(($CJ23+AV203)/{2,4,8,16,32,64,128,256,512,1024,2048,4096,8192,16384,32768}),2))*{2,4,8,16,32,64,128,256,512,1024,2048,4096,8192,16384,32768})=0,0,2^SUMPRODUCT(--(MOD(SUMPRODUCT(MOD(INT(AW158/{2,4,8,16,32,64,128,256,512,1024,2048,4096,8192,16384,32768}),2)*(1-MOD(INT(($CJ23+AV203)/{2,4,8,16,32,64,128,256,512,1024,2048,4096,8192,16384,32768}),2))*{2,4,8,16,32,64,128,256,512,1024,2048,4096,8192,16384,32768}),{2,4,8,16,32,64,128,256,512,1024,2048,4096,8192,16384,32768})=0))))</f>
        <v/>
      </c>
      <c r="AX203">
        <f>AW203+IF(AND(AX113&gt;0,COUNTIF($Y113:AW113,AX113)=0),0,IF(SUMPRODUCT(MOD(INT(AX158/{2,4,8,16,32,64,128,256,512,1024,2048,4096,8192,16384,32768}),2)*(1-MOD(INT(($CJ23+AW203)/{2,4,8,16,32,64,128,256,512,1024,2048,4096,8192,16384,32768}),2))*{2,4,8,16,32,64,128,256,512,1024,2048,4096,8192,16384,32768})=0,0,2^SUMPRODUCT(--(MOD(SUMPRODUCT(MOD(INT(AX158/{2,4,8,16,32,64,128,256,512,1024,2048,4096,8192,16384,32768}),2)*(1-MOD(INT(($CJ23+AW203)/{2,4,8,16,32,64,128,256,512,1024,2048,4096,8192,16384,32768}),2))*{2,4,8,16,32,64,128,256,512,1024,2048,4096,8192,16384,32768}),{2,4,8,16,32,64,128,256,512,1024,2048,4096,8192,16384,32768})=0))))</f>
        <v/>
      </c>
      <c r="AY203">
        <f>AX203+IF(AND(AY113&gt;0,COUNTIF($Y113:AX113,AY113)=0),0,IF(SUMPRODUCT(MOD(INT(AY158/{2,4,8,16,32,64,128,256,512,1024,2048,4096,8192,16384,32768}),2)*(1-MOD(INT(($CJ23+AX203)/{2,4,8,16,32,64,128,256,512,1024,2048,4096,8192,16384,32768}),2))*{2,4,8,16,32,64,128,256,512,1024,2048,4096,8192,16384,32768})=0,0,2^SUMPRODUCT(--(MOD(SUMPRODUCT(MOD(INT(AY158/{2,4,8,16,32,64,128,256,512,1024,2048,4096,8192,16384,32768}),2)*(1-MOD(INT(($CJ23+AX203)/{2,4,8,16,32,64,128,256,512,1024,2048,4096,8192,16384,32768}),2))*{2,4,8,16,32,64,128,256,512,1024,2048,4096,8192,16384,32768}),{2,4,8,16,32,64,128,256,512,1024,2048,4096,8192,16384,32768})=0))))</f>
        <v/>
      </c>
      <c r="AZ203">
        <f>AY203+IF(AND(AZ113&gt;0,COUNTIF($Y113:AY113,AZ113)=0),0,IF(SUMPRODUCT(MOD(INT(AZ158/{2,4,8,16,32,64,128,256,512,1024,2048,4096,8192,16384,32768}),2)*(1-MOD(INT(($CJ23+AY203)/{2,4,8,16,32,64,128,256,512,1024,2048,4096,8192,16384,32768}),2))*{2,4,8,16,32,64,128,256,512,1024,2048,4096,8192,16384,32768})=0,0,2^SUMPRODUCT(--(MOD(SUMPRODUCT(MOD(INT(AZ158/{2,4,8,16,32,64,128,256,512,1024,2048,4096,8192,16384,32768}),2)*(1-MOD(INT(($CJ23+AY203)/{2,4,8,16,32,64,128,256,512,1024,2048,4096,8192,16384,32768}),2))*{2,4,8,16,32,64,128,256,512,1024,2048,4096,8192,16384,32768}),{2,4,8,16,32,64,128,256,512,1024,2048,4096,8192,16384,32768})=0))))</f>
        <v/>
      </c>
      <c r="BA203">
        <f>AZ203+IF(AND(BA113&gt;0,COUNTIF($Y113:AZ113,BA113)=0),0,IF(SUMPRODUCT(MOD(INT(BA158/{2,4,8,16,32,64,128,256,512,1024,2048,4096,8192,16384,32768}),2)*(1-MOD(INT(($CJ23+AZ203)/{2,4,8,16,32,64,128,256,512,1024,2048,4096,8192,16384,32768}),2))*{2,4,8,16,32,64,128,256,512,1024,2048,4096,8192,16384,32768})=0,0,2^SUMPRODUCT(--(MOD(SUMPRODUCT(MOD(INT(BA158/{2,4,8,16,32,64,128,256,512,1024,2048,4096,8192,16384,32768}),2)*(1-MOD(INT(($CJ23+AZ203)/{2,4,8,16,32,64,128,256,512,1024,2048,4096,8192,16384,32768}),2))*{2,4,8,16,32,64,128,256,512,1024,2048,4096,8192,16384,32768}),{2,4,8,16,32,64,128,256,512,1024,2048,4096,8192,16384,32768})=0))))</f>
        <v/>
      </c>
      <c r="BB203">
        <f>BA203+IF(AND(BB113&gt;0,COUNTIF($Y113:BA113,BB113)=0),0,IF(SUMPRODUCT(MOD(INT(BB158/{2,4,8,16,32,64,128,256,512,1024,2048,4096,8192,16384,32768}),2)*(1-MOD(INT(($CJ23+BA203)/{2,4,8,16,32,64,128,256,512,1024,2048,4096,8192,16384,32768}),2))*{2,4,8,16,32,64,128,256,512,1024,2048,4096,8192,16384,32768})=0,0,2^SUMPRODUCT(--(MOD(SUMPRODUCT(MOD(INT(BB158/{2,4,8,16,32,64,128,256,512,1024,2048,4096,8192,16384,32768}),2)*(1-MOD(INT(($CJ23+BA203)/{2,4,8,16,32,64,128,256,512,1024,2048,4096,8192,16384,32768}),2))*{2,4,8,16,32,64,128,256,512,1024,2048,4096,8192,16384,32768}),{2,4,8,16,32,64,128,256,512,1024,2048,4096,8192,16384,32768})=0))))</f>
        <v/>
      </c>
      <c r="BC203">
        <f>BB203+IF(AND(BC113&gt;0,COUNTIF($Y113:BB113,BC113)=0),0,IF(SUMPRODUCT(MOD(INT(BC158/{2,4,8,16,32,64,128,256,512,1024,2048,4096,8192,16384,32768}),2)*(1-MOD(INT(($CJ23+BB203)/{2,4,8,16,32,64,128,256,512,1024,2048,4096,8192,16384,32768}),2))*{2,4,8,16,32,64,128,256,512,1024,2048,4096,8192,16384,32768})=0,0,2^SUMPRODUCT(--(MOD(SUMPRODUCT(MOD(INT(BC158/{2,4,8,16,32,64,128,256,512,1024,2048,4096,8192,16384,32768}),2)*(1-MOD(INT(($CJ23+BB203)/{2,4,8,16,32,64,128,256,512,1024,2048,4096,8192,16384,32768}),2))*{2,4,8,16,32,64,128,256,512,1024,2048,4096,8192,16384,32768}),{2,4,8,16,32,64,128,256,512,1024,2048,4096,8192,16384,32768})=0))))</f>
        <v/>
      </c>
      <c r="BD203">
        <f>BC203+IF(AND(BD113&gt;0,COUNTIF($Y113:BC113,BD113)=0),0,IF(SUMPRODUCT(MOD(INT(BD158/{2,4,8,16,32,64,128,256,512,1024,2048,4096,8192,16384,32768}),2)*(1-MOD(INT(($CJ23+BC203)/{2,4,8,16,32,64,128,256,512,1024,2048,4096,8192,16384,32768}),2))*{2,4,8,16,32,64,128,256,512,1024,2048,4096,8192,16384,32768})=0,0,2^SUMPRODUCT(--(MOD(SUMPRODUCT(MOD(INT(BD158/{2,4,8,16,32,64,128,256,512,1024,2048,4096,8192,16384,32768}),2)*(1-MOD(INT(($CJ23+BC203)/{2,4,8,16,32,64,128,256,512,1024,2048,4096,8192,16384,32768}),2))*{2,4,8,16,32,64,128,256,512,1024,2048,4096,8192,16384,32768}),{2,4,8,16,32,64,128,256,512,1024,2048,4096,8192,16384,32768})=0))))</f>
        <v/>
      </c>
      <c r="BE203">
        <f>BD203+IF(AND(BE113&gt;0,COUNTIF($Y113:BD113,BE113)=0),0,IF(SUMPRODUCT(MOD(INT(BE158/{2,4,8,16,32,64,128,256,512,1024,2048,4096,8192,16384,32768}),2)*(1-MOD(INT(($CJ23+BD203)/{2,4,8,16,32,64,128,256,512,1024,2048,4096,8192,16384,32768}),2))*{2,4,8,16,32,64,128,256,512,1024,2048,4096,8192,16384,32768})=0,0,2^SUMPRODUCT(--(MOD(SUMPRODUCT(MOD(INT(BE158/{2,4,8,16,32,64,128,256,512,1024,2048,4096,8192,16384,32768}),2)*(1-MOD(INT(($CJ23+BD203)/{2,4,8,16,32,64,128,256,512,1024,2048,4096,8192,16384,32768}),2))*{2,4,8,16,32,64,128,256,512,1024,2048,4096,8192,16384,32768}),{2,4,8,16,32,64,128,256,512,1024,2048,4096,8192,16384,32768})=0))))</f>
        <v/>
      </c>
      <c r="BF203">
        <f>BE203+IF(AND(BF113&gt;0,COUNTIF($Y113:BE113,BF113)=0),0,IF(SUMPRODUCT(MOD(INT(BF158/{2,4,8,16,32,64,128,256,512,1024,2048,4096,8192,16384,32768}),2)*(1-MOD(INT(($CJ23+BE203)/{2,4,8,16,32,64,128,256,512,1024,2048,4096,8192,16384,32768}),2))*{2,4,8,16,32,64,128,256,512,1024,2048,4096,8192,16384,32768})=0,0,2^SUMPRODUCT(--(MOD(SUMPRODUCT(MOD(INT(BF158/{2,4,8,16,32,64,128,256,512,1024,2048,4096,8192,16384,32768}),2)*(1-MOD(INT(($CJ23+BE203)/{2,4,8,16,32,64,128,256,512,1024,2048,4096,8192,16384,32768}),2))*{2,4,8,16,32,64,128,256,512,1024,2048,4096,8192,16384,32768}),{2,4,8,16,32,64,128,256,512,1024,2048,4096,8192,16384,32768})=0))))</f>
        <v/>
      </c>
      <c r="BG203">
        <f>BF203+IF(AND(BG113&gt;0,COUNTIF($Y113:BF113,BG113)=0),0,IF(SUMPRODUCT(MOD(INT(BG158/{2,4,8,16,32,64,128,256,512,1024,2048,4096,8192,16384,32768}),2)*(1-MOD(INT(($CJ23+BF203)/{2,4,8,16,32,64,128,256,512,1024,2048,4096,8192,16384,32768}),2))*{2,4,8,16,32,64,128,256,512,1024,2048,4096,8192,16384,32768})=0,0,2^SUMPRODUCT(--(MOD(SUMPRODUCT(MOD(INT(BG158/{2,4,8,16,32,64,128,256,512,1024,2048,4096,8192,16384,32768}),2)*(1-MOD(INT(($CJ23+BF203)/{2,4,8,16,32,64,128,256,512,1024,2048,4096,8192,16384,32768}),2))*{2,4,8,16,32,64,128,256,512,1024,2048,4096,8192,16384,32768}),{2,4,8,16,32,64,128,256,512,1024,2048,4096,8192,16384,32768})=0))))</f>
        <v/>
      </c>
      <c r="BH203">
        <f>BG203+IF(AND(BH113&gt;0,COUNTIF($Y113:BG113,BH113)=0),0,IF(SUMPRODUCT(MOD(INT(BH158/{2,4,8,16,32,64,128,256,512,1024,2048,4096,8192,16384,32768}),2)*(1-MOD(INT(($CJ23+BG203)/{2,4,8,16,32,64,128,256,512,1024,2048,4096,8192,16384,32768}),2))*{2,4,8,16,32,64,128,256,512,1024,2048,4096,8192,16384,32768})=0,0,2^SUMPRODUCT(--(MOD(SUMPRODUCT(MOD(INT(BH158/{2,4,8,16,32,64,128,256,512,1024,2048,4096,8192,16384,32768}),2)*(1-MOD(INT(($CJ23+BG203)/{2,4,8,16,32,64,128,256,512,1024,2048,4096,8192,16384,32768}),2))*{2,4,8,16,32,64,128,256,512,1024,2048,4096,8192,16384,32768}),{2,4,8,16,32,64,128,256,512,1024,2048,4096,8192,16384,32768})=0))))</f>
        <v/>
      </c>
      <c r="BI203">
        <f>BH203+IF(AND(BI113&gt;0,COUNTIF($Y113:BH113,BI113)=0),0,IF(SUMPRODUCT(MOD(INT(BI158/{2,4,8,16,32,64,128,256,512,1024,2048,4096,8192,16384,32768}),2)*(1-MOD(INT(($CJ23+BH203)/{2,4,8,16,32,64,128,256,512,1024,2048,4096,8192,16384,32768}),2))*{2,4,8,16,32,64,128,256,512,1024,2048,4096,8192,16384,32768})=0,0,2^SUMPRODUCT(--(MOD(SUMPRODUCT(MOD(INT(BI158/{2,4,8,16,32,64,128,256,512,1024,2048,4096,8192,16384,32768}),2)*(1-MOD(INT(($CJ23+BH203)/{2,4,8,16,32,64,128,256,512,1024,2048,4096,8192,16384,32768}),2))*{2,4,8,16,32,64,128,256,512,1024,2048,4096,8192,16384,32768}),{2,4,8,16,32,64,128,256,512,1024,2048,4096,8192,16384,32768})=0))))</f>
        <v/>
      </c>
      <c r="BJ203">
        <f>BI203+IF(AND(BJ113&gt;0,COUNTIF($Y113:BI113,BJ113)=0),0,IF(SUMPRODUCT(MOD(INT(BJ158/{2,4,8,16,32,64,128,256,512,1024,2048,4096,8192,16384,32768}),2)*(1-MOD(INT(($CJ23+BI203)/{2,4,8,16,32,64,128,256,512,1024,2048,4096,8192,16384,32768}),2))*{2,4,8,16,32,64,128,256,512,1024,2048,4096,8192,16384,32768})=0,0,2^SUMPRODUCT(--(MOD(SUMPRODUCT(MOD(INT(BJ158/{2,4,8,16,32,64,128,256,512,1024,2048,4096,8192,16384,32768}),2)*(1-MOD(INT(($CJ23+BI203)/{2,4,8,16,32,64,128,256,512,1024,2048,4096,8192,16384,32768}),2))*{2,4,8,16,32,64,128,256,512,1024,2048,4096,8192,16384,32768}),{2,4,8,16,32,64,128,256,512,1024,2048,4096,8192,16384,32768})=0))))</f>
        <v/>
      </c>
      <c r="BK203">
        <f>BJ203+IF(AND(BK113&gt;0,COUNTIF($Y113:BJ113,BK113)=0),0,IF(SUMPRODUCT(MOD(INT(BK158/{2,4,8,16,32,64,128,256,512,1024,2048,4096,8192,16384,32768}),2)*(1-MOD(INT(($CJ23+BJ203)/{2,4,8,16,32,64,128,256,512,1024,2048,4096,8192,16384,32768}),2))*{2,4,8,16,32,64,128,256,512,1024,2048,4096,8192,16384,32768})=0,0,2^SUMPRODUCT(--(MOD(SUMPRODUCT(MOD(INT(BK158/{2,4,8,16,32,64,128,256,512,1024,2048,4096,8192,16384,32768}),2)*(1-MOD(INT(($CJ23+BJ203)/{2,4,8,16,32,64,128,256,512,1024,2048,4096,8192,16384,32768}),2))*{2,4,8,16,32,64,128,256,512,1024,2048,4096,8192,16384,32768}),{2,4,8,16,32,64,128,256,512,1024,2048,4096,8192,16384,32768})=0))))</f>
        <v/>
      </c>
      <c r="BL203">
        <f>BK203+IF(AND(BL113&gt;0,COUNTIF($Y113:BK113,BL113)=0),0,IF(SUMPRODUCT(MOD(INT(BL158/{2,4,8,16,32,64,128,256,512,1024,2048,4096,8192,16384,32768}),2)*(1-MOD(INT(($CJ23+BK203)/{2,4,8,16,32,64,128,256,512,1024,2048,4096,8192,16384,32768}),2))*{2,4,8,16,32,64,128,256,512,1024,2048,4096,8192,16384,32768})=0,0,2^SUMPRODUCT(--(MOD(SUMPRODUCT(MOD(INT(BL158/{2,4,8,16,32,64,128,256,512,1024,2048,4096,8192,16384,32768}),2)*(1-MOD(INT(($CJ23+BK203)/{2,4,8,16,32,64,128,256,512,1024,2048,4096,8192,16384,32768}),2))*{2,4,8,16,32,64,128,256,512,1024,2048,4096,8192,16384,32768}),{2,4,8,16,32,64,128,256,512,1024,2048,4096,8192,16384,32768})=0))))</f>
        <v/>
      </c>
      <c r="BM203">
        <f>BL203+IF(AND(BM113&gt;0,COUNTIF($Y113:BL113,BM113)=0),0,IF(SUMPRODUCT(MOD(INT(BM158/{2,4,8,16,32,64,128,256,512,1024,2048,4096,8192,16384,32768}),2)*(1-MOD(INT(($CJ23+BL203)/{2,4,8,16,32,64,128,256,512,1024,2048,4096,8192,16384,32768}),2))*{2,4,8,16,32,64,128,256,512,1024,2048,4096,8192,16384,32768})=0,0,2^SUMPRODUCT(--(MOD(SUMPRODUCT(MOD(INT(BM158/{2,4,8,16,32,64,128,256,512,1024,2048,4096,8192,16384,32768}),2)*(1-MOD(INT(($CJ23+BL203)/{2,4,8,16,32,64,128,256,512,1024,2048,4096,8192,16384,32768}),2))*{2,4,8,16,32,64,128,256,512,1024,2048,4096,8192,16384,32768}),{2,4,8,16,32,64,128,256,512,1024,2048,4096,8192,16384,32768})=0))))</f>
        <v/>
      </c>
      <c r="BN203">
        <f>BM203+IF(AND(BN113&gt;0,COUNTIF($Y113:BM113,BN113)=0),0,IF(SUMPRODUCT(MOD(INT(BN158/{2,4,8,16,32,64,128,256,512,1024,2048,4096,8192,16384,32768}),2)*(1-MOD(INT(($CJ23+BM203)/{2,4,8,16,32,64,128,256,512,1024,2048,4096,8192,16384,32768}),2))*{2,4,8,16,32,64,128,256,512,1024,2048,4096,8192,16384,32768})=0,0,2^SUMPRODUCT(--(MOD(SUMPRODUCT(MOD(INT(BN158/{2,4,8,16,32,64,128,256,512,1024,2048,4096,8192,16384,32768}),2)*(1-MOD(INT(($CJ23+BM203)/{2,4,8,16,32,64,128,256,512,1024,2048,4096,8192,16384,32768}),2))*{2,4,8,16,32,64,128,256,512,1024,2048,4096,8192,16384,32768}),{2,4,8,16,32,64,128,256,512,1024,2048,4096,8192,16384,32768})=0))))</f>
        <v/>
      </c>
      <c r="BO203">
        <f>BN203+IF(AND(BO113&gt;0,COUNTIF($Y113:BN113,BO113)=0),0,IF(SUMPRODUCT(MOD(INT(BO158/{2,4,8,16,32,64,128,256,512,1024,2048,4096,8192,16384,32768}),2)*(1-MOD(INT(($CJ23+BN203)/{2,4,8,16,32,64,128,256,512,1024,2048,4096,8192,16384,32768}),2))*{2,4,8,16,32,64,128,256,512,1024,2048,4096,8192,16384,32768})=0,0,2^SUMPRODUCT(--(MOD(SUMPRODUCT(MOD(INT(BO158/{2,4,8,16,32,64,128,256,512,1024,2048,4096,8192,16384,32768}),2)*(1-MOD(INT(($CJ23+BN203)/{2,4,8,16,32,64,128,256,512,1024,2048,4096,8192,16384,32768}),2))*{2,4,8,16,32,64,128,256,512,1024,2048,4096,8192,16384,32768}),{2,4,8,16,32,64,128,256,512,1024,2048,4096,8192,16384,32768})=0))))</f>
        <v/>
      </c>
      <c r="BP203">
        <f>BO203+IF(AND(BP113&gt;0,COUNTIF($Y113:BO113,BP113)=0),0,IF(SUMPRODUCT(MOD(INT(BP158/{2,4,8,16,32,64,128,256,512,1024,2048,4096,8192,16384,32768}),2)*(1-MOD(INT(($CJ23+BO203)/{2,4,8,16,32,64,128,256,512,1024,2048,4096,8192,16384,32768}),2))*{2,4,8,16,32,64,128,256,512,1024,2048,4096,8192,16384,32768})=0,0,2^SUMPRODUCT(--(MOD(SUMPRODUCT(MOD(INT(BP158/{2,4,8,16,32,64,128,256,512,1024,2048,4096,8192,16384,32768}),2)*(1-MOD(INT(($CJ23+BO203)/{2,4,8,16,32,64,128,256,512,1024,2048,4096,8192,16384,32768}),2))*{2,4,8,16,32,64,128,256,512,1024,2048,4096,8192,16384,32768}),{2,4,8,16,32,64,128,256,512,1024,2048,4096,8192,16384,32768})=0))))</f>
        <v/>
      </c>
      <c r="BQ203">
        <f>BP203+IF(AND(BQ113&gt;0,COUNTIF($Y113:BP113,BQ113)=0),0,IF(SUMPRODUCT(MOD(INT(BQ158/{2,4,8,16,32,64,128,256,512,1024,2048,4096,8192,16384,32768}),2)*(1-MOD(INT(($CJ23+BP203)/{2,4,8,16,32,64,128,256,512,1024,2048,4096,8192,16384,32768}),2))*{2,4,8,16,32,64,128,256,512,1024,2048,4096,8192,16384,32768})=0,0,2^SUMPRODUCT(--(MOD(SUMPRODUCT(MOD(INT(BQ158/{2,4,8,16,32,64,128,256,512,1024,2048,4096,8192,16384,32768}),2)*(1-MOD(INT(($CJ23+BP203)/{2,4,8,16,32,64,128,256,512,1024,2048,4096,8192,16384,32768}),2))*{2,4,8,16,32,64,128,256,512,1024,2048,4096,8192,16384,32768}),{2,4,8,16,32,64,128,256,512,1024,2048,4096,8192,16384,32768})=0))))</f>
        <v/>
      </c>
      <c r="BR203">
        <f>BQ203+IF(AND(BR113&gt;0,COUNTIF($Y113:BQ113,BR113)=0),0,IF(SUMPRODUCT(MOD(INT(BR158/{2,4,8,16,32,64,128,256,512,1024,2048,4096,8192,16384,32768}),2)*(1-MOD(INT(($CJ23+BQ203)/{2,4,8,16,32,64,128,256,512,1024,2048,4096,8192,16384,32768}),2))*{2,4,8,16,32,64,128,256,512,1024,2048,4096,8192,16384,32768})=0,0,2^SUMPRODUCT(--(MOD(SUMPRODUCT(MOD(INT(BR158/{2,4,8,16,32,64,128,256,512,1024,2048,4096,8192,16384,32768}),2)*(1-MOD(INT(($CJ23+BQ203)/{2,4,8,16,32,64,128,256,512,1024,2048,4096,8192,16384,32768}),2))*{2,4,8,16,32,64,128,256,512,1024,2048,4096,8192,16384,32768}),{2,4,8,16,32,64,128,256,512,1024,2048,4096,8192,16384,32768})=0))))</f>
        <v/>
      </c>
      <c r="BS203">
        <f>BR203+IF(AND(BS113&gt;0,COUNTIF($Y113:BR113,BS113)=0),0,IF(SUMPRODUCT(MOD(INT(BS158/{2,4,8,16,32,64,128,256,512,1024,2048,4096,8192,16384,32768}),2)*(1-MOD(INT(($CJ23+BR203)/{2,4,8,16,32,64,128,256,512,1024,2048,4096,8192,16384,32768}),2))*{2,4,8,16,32,64,128,256,512,1024,2048,4096,8192,16384,32768})=0,0,2^SUMPRODUCT(--(MOD(SUMPRODUCT(MOD(INT(BS158/{2,4,8,16,32,64,128,256,512,1024,2048,4096,8192,16384,32768}),2)*(1-MOD(INT(($CJ23+BR203)/{2,4,8,16,32,64,128,256,512,1024,2048,4096,8192,16384,32768}),2))*{2,4,8,16,32,64,128,256,512,1024,2048,4096,8192,16384,32768}),{2,4,8,16,32,64,128,256,512,1024,2048,4096,8192,16384,32768})=0))))</f>
        <v/>
      </c>
      <c r="BT203">
        <f>BS203+IF(AND(BT113&gt;0,COUNTIF($Y113:BS113,BT113)=0),0,IF(SUMPRODUCT(MOD(INT(BT158/{2,4,8,16,32,64,128,256,512,1024,2048,4096,8192,16384,32768}),2)*(1-MOD(INT(($CJ23+BS203)/{2,4,8,16,32,64,128,256,512,1024,2048,4096,8192,16384,32768}),2))*{2,4,8,16,32,64,128,256,512,1024,2048,4096,8192,16384,32768})=0,0,2^SUMPRODUCT(--(MOD(SUMPRODUCT(MOD(INT(BT158/{2,4,8,16,32,64,128,256,512,1024,2048,4096,8192,16384,32768}),2)*(1-MOD(INT(($CJ23+BS203)/{2,4,8,16,32,64,128,256,512,1024,2048,4096,8192,16384,32768}),2))*{2,4,8,16,32,64,128,256,512,1024,2048,4096,8192,16384,32768}),{2,4,8,16,32,64,128,256,512,1024,2048,4096,8192,16384,32768})=0))))</f>
        <v/>
      </c>
      <c r="BU203">
        <f>BT203+IF(AND(BU113&gt;0,COUNTIF($Y113:BT113,BU113)=0),0,IF(SUMPRODUCT(MOD(INT(BU158/{2,4,8,16,32,64,128,256,512,1024,2048,4096,8192,16384,32768}),2)*(1-MOD(INT(($CJ23+BT203)/{2,4,8,16,32,64,128,256,512,1024,2048,4096,8192,16384,32768}),2))*{2,4,8,16,32,64,128,256,512,1024,2048,4096,8192,16384,32768})=0,0,2^SUMPRODUCT(--(MOD(SUMPRODUCT(MOD(INT(BU158/{2,4,8,16,32,64,128,256,512,1024,2048,4096,8192,16384,32768}),2)*(1-MOD(INT(($CJ23+BT203)/{2,4,8,16,32,64,128,256,512,1024,2048,4096,8192,16384,32768}),2))*{2,4,8,16,32,64,128,256,512,1024,2048,4096,8192,16384,32768}),{2,4,8,16,32,64,128,256,512,1024,2048,4096,8192,16384,32768})=0))))</f>
        <v/>
      </c>
      <c r="BV203">
        <f>BU203+IF(AND(BV113&gt;0,COUNTIF($Y113:BU113,BV113)=0),0,IF(SUMPRODUCT(MOD(INT(BV158/{2,4,8,16,32,64,128,256,512,1024,2048,4096,8192,16384,32768}),2)*(1-MOD(INT(($CJ23+BU203)/{2,4,8,16,32,64,128,256,512,1024,2048,4096,8192,16384,32768}),2))*{2,4,8,16,32,64,128,256,512,1024,2048,4096,8192,16384,32768})=0,0,2^SUMPRODUCT(--(MOD(SUMPRODUCT(MOD(INT(BV158/{2,4,8,16,32,64,128,256,512,1024,2048,4096,8192,16384,32768}),2)*(1-MOD(INT(($CJ23+BU203)/{2,4,8,16,32,64,128,256,512,1024,2048,4096,8192,16384,32768}),2))*{2,4,8,16,32,64,128,256,512,1024,2048,4096,8192,16384,32768}),{2,4,8,16,32,64,128,256,512,1024,2048,4096,8192,16384,32768})=0))))</f>
        <v/>
      </c>
      <c r="BW203">
        <f>BV203+IF(AND(BW113&gt;0,COUNTIF($Y113:BV113,BW113)=0),0,IF(SUMPRODUCT(MOD(INT(BW158/{2,4,8,16,32,64,128,256,512,1024,2048,4096,8192,16384,32768}),2)*(1-MOD(INT(($CJ23+BV203)/{2,4,8,16,32,64,128,256,512,1024,2048,4096,8192,16384,32768}),2))*{2,4,8,16,32,64,128,256,512,1024,2048,4096,8192,16384,32768})=0,0,2^SUMPRODUCT(--(MOD(SUMPRODUCT(MOD(INT(BW158/{2,4,8,16,32,64,128,256,512,1024,2048,4096,8192,16384,32768}),2)*(1-MOD(INT(($CJ23+BV203)/{2,4,8,16,32,64,128,256,512,1024,2048,4096,8192,16384,32768}),2))*{2,4,8,16,32,64,128,256,512,1024,2048,4096,8192,16384,32768}),{2,4,8,16,32,64,128,256,512,1024,2048,4096,8192,16384,32768})=0))))</f>
        <v/>
      </c>
      <c r="BX203">
        <f>BW203+IF(AND(BX113&gt;0,COUNTIF($Y113:BW113,BX113)=0),0,IF(SUMPRODUCT(MOD(INT(BX158/{2,4,8,16,32,64,128,256,512,1024,2048,4096,8192,16384,32768}),2)*(1-MOD(INT(($CJ23+BW203)/{2,4,8,16,32,64,128,256,512,1024,2048,4096,8192,16384,32768}),2))*{2,4,8,16,32,64,128,256,512,1024,2048,4096,8192,16384,32768})=0,0,2^SUMPRODUCT(--(MOD(SUMPRODUCT(MOD(INT(BX158/{2,4,8,16,32,64,128,256,512,1024,2048,4096,8192,16384,32768}),2)*(1-MOD(INT(($CJ23+BW203)/{2,4,8,16,32,64,128,256,512,1024,2048,4096,8192,16384,32768}),2))*{2,4,8,16,32,64,128,256,512,1024,2048,4096,8192,16384,32768}),{2,4,8,16,32,64,128,256,512,1024,2048,4096,8192,16384,32768})=0))))</f>
        <v/>
      </c>
      <c r="BY203">
        <f>BX203+IF(AND(BY113&gt;0,COUNTIF($Y113:BX113,BY113)=0),0,IF(SUMPRODUCT(MOD(INT(BY158/{2,4,8,16,32,64,128,256,512,1024,2048,4096,8192,16384,32768}),2)*(1-MOD(INT(($CJ23+BX203)/{2,4,8,16,32,64,128,256,512,1024,2048,4096,8192,16384,32768}),2))*{2,4,8,16,32,64,128,256,512,1024,2048,4096,8192,16384,32768})=0,0,2^SUMPRODUCT(--(MOD(SUMPRODUCT(MOD(INT(BY158/{2,4,8,16,32,64,128,256,512,1024,2048,4096,8192,16384,32768}),2)*(1-MOD(INT(($CJ23+BX203)/{2,4,8,16,32,64,128,256,512,1024,2048,4096,8192,16384,32768}),2))*{2,4,8,16,32,64,128,256,512,1024,2048,4096,8192,16384,32768}),{2,4,8,16,32,64,128,256,512,1024,2048,4096,8192,16384,32768})=0))))</f>
        <v/>
      </c>
      <c r="BZ203">
        <f>BY203+IF(AND(BZ113&gt;0,COUNTIF($Y113:BY113,BZ113)=0),0,IF(SUMPRODUCT(MOD(INT(BZ158/{2,4,8,16,32,64,128,256,512,1024,2048,4096,8192,16384,32768}),2)*(1-MOD(INT(($CJ23+BY203)/{2,4,8,16,32,64,128,256,512,1024,2048,4096,8192,16384,32768}),2))*{2,4,8,16,32,64,128,256,512,1024,2048,4096,8192,16384,32768})=0,0,2^SUMPRODUCT(--(MOD(SUMPRODUCT(MOD(INT(BZ158/{2,4,8,16,32,64,128,256,512,1024,2048,4096,8192,16384,32768}),2)*(1-MOD(INT(($CJ23+BY203)/{2,4,8,16,32,64,128,256,512,1024,2048,4096,8192,16384,32768}),2))*{2,4,8,16,32,64,128,256,512,1024,2048,4096,8192,16384,32768}),{2,4,8,16,32,64,128,256,512,1024,2048,4096,8192,16384,32768})=0))))</f>
        <v/>
      </c>
      <c r="CA203">
        <f>BZ203+IF(AND(CA113&gt;0,COUNTIF($Y113:BZ113,CA113)=0),0,IF(SUMPRODUCT(MOD(INT(CA158/{2,4,8,16,32,64,128,256,512,1024,2048,4096,8192,16384,32768}),2)*(1-MOD(INT(($CJ23+BZ203)/{2,4,8,16,32,64,128,256,512,1024,2048,4096,8192,16384,32768}),2))*{2,4,8,16,32,64,128,256,512,1024,2048,4096,8192,16384,32768})=0,0,2^SUMPRODUCT(--(MOD(SUMPRODUCT(MOD(INT(CA158/{2,4,8,16,32,64,128,256,512,1024,2048,4096,8192,16384,32768}),2)*(1-MOD(INT(($CJ23+BZ203)/{2,4,8,16,32,64,128,256,512,1024,2048,4096,8192,16384,32768}),2))*{2,4,8,16,32,64,128,256,512,1024,2048,4096,8192,16384,32768}),{2,4,8,16,32,64,128,256,512,1024,2048,4096,8192,16384,32768})=0))))</f>
        <v/>
      </c>
      <c r="CB203">
        <f>CA203+IF(AND(CB113&gt;0,COUNTIF($Y113:CA113,CB113)=0),0,IF(SUMPRODUCT(MOD(INT(CB158/{2,4,8,16,32,64,128,256,512,1024,2048,4096,8192,16384,32768}),2)*(1-MOD(INT(($CJ23+CA203)/{2,4,8,16,32,64,128,256,512,1024,2048,4096,8192,16384,32768}),2))*{2,4,8,16,32,64,128,256,512,1024,2048,4096,8192,16384,32768})=0,0,2^SUMPRODUCT(--(MOD(SUMPRODUCT(MOD(INT(CB158/{2,4,8,16,32,64,128,256,512,1024,2048,4096,8192,16384,32768}),2)*(1-MOD(INT(($CJ23+CA203)/{2,4,8,16,32,64,128,256,512,1024,2048,4096,8192,16384,32768}),2))*{2,4,8,16,32,64,128,256,512,1024,2048,4096,8192,16384,32768}),{2,4,8,16,32,64,128,256,512,1024,2048,4096,8192,16384,32768})=0))))</f>
        <v/>
      </c>
      <c r="CC203">
        <f>CB203+IF(AND(CC113&gt;0,COUNTIF($Y113:CB113,CC113)=0),0,IF(SUMPRODUCT(MOD(INT(CC158/{2,4,8,16,32,64,128,256,512,1024,2048,4096,8192,16384,32768}),2)*(1-MOD(INT(($CJ23+CB203)/{2,4,8,16,32,64,128,256,512,1024,2048,4096,8192,16384,32768}),2))*{2,4,8,16,32,64,128,256,512,1024,2048,4096,8192,16384,32768})=0,0,2^SUMPRODUCT(--(MOD(SUMPRODUCT(MOD(INT(CC158/{2,4,8,16,32,64,128,256,512,1024,2048,4096,8192,16384,32768}),2)*(1-MOD(INT(($CJ23+CB203)/{2,4,8,16,32,64,128,256,512,1024,2048,4096,8192,16384,32768}),2))*{2,4,8,16,32,64,128,256,512,1024,2048,4096,8192,16384,32768}),{2,4,8,16,32,64,128,256,512,1024,2048,4096,8192,16384,32768})=0))))</f>
        <v/>
      </c>
      <c r="CD203">
        <f>CC203+IF(AND(CD113&gt;0,COUNTIF($Y113:CC113,CD113)=0),0,IF(SUMPRODUCT(MOD(INT(CD158/{2,4,8,16,32,64,128,256,512,1024,2048,4096,8192,16384,32768}),2)*(1-MOD(INT(($CJ23+CC203)/{2,4,8,16,32,64,128,256,512,1024,2048,4096,8192,16384,32768}),2))*{2,4,8,16,32,64,128,256,512,1024,2048,4096,8192,16384,32768})=0,0,2^SUMPRODUCT(--(MOD(SUMPRODUCT(MOD(INT(CD158/{2,4,8,16,32,64,128,256,512,1024,2048,4096,8192,16384,32768}),2)*(1-MOD(INT(($CJ23+CC203)/{2,4,8,16,32,64,128,256,512,1024,2048,4096,8192,16384,32768}),2))*{2,4,8,16,32,64,128,256,512,1024,2048,4096,8192,16384,32768}),{2,4,8,16,32,64,128,256,512,1024,2048,4096,8192,16384,32768})=0))))</f>
        <v/>
      </c>
      <c r="CE203">
        <f>CD203+IF(AND(CE113&gt;0,COUNTIF($Y113:CD113,CE113)=0),0,IF(SUMPRODUCT(MOD(INT(CE158/{2,4,8,16,32,64,128,256,512,1024,2048,4096,8192,16384,32768}),2)*(1-MOD(INT(($CJ23+CD203)/{2,4,8,16,32,64,128,256,512,1024,2048,4096,8192,16384,32768}),2))*{2,4,8,16,32,64,128,256,512,1024,2048,4096,8192,16384,32768})=0,0,2^SUMPRODUCT(--(MOD(SUMPRODUCT(MOD(INT(CE158/{2,4,8,16,32,64,128,256,512,1024,2048,4096,8192,16384,32768}),2)*(1-MOD(INT(($CJ23+CD203)/{2,4,8,16,32,64,128,256,512,1024,2048,4096,8192,16384,32768}),2))*{2,4,8,16,32,64,128,256,512,1024,2048,4096,8192,16384,32768}),{2,4,8,16,32,64,128,256,512,1024,2048,4096,8192,16384,32768})=0))))</f>
        <v/>
      </c>
      <c r="CF203">
        <f>CE203+IF(AND(CF113&gt;0,COUNTIF($Y113:CE113,CF113)=0),0,IF(SUMPRODUCT(MOD(INT(CF158/{2,4,8,16,32,64,128,256,512,1024,2048,4096,8192,16384,32768}),2)*(1-MOD(INT(($CJ23+CE203)/{2,4,8,16,32,64,128,256,512,1024,2048,4096,8192,16384,32768}),2))*{2,4,8,16,32,64,128,256,512,1024,2048,4096,8192,16384,32768})=0,0,2^SUMPRODUCT(--(MOD(SUMPRODUCT(MOD(INT(CF158/{2,4,8,16,32,64,128,256,512,1024,2048,4096,8192,16384,32768}),2)*(1-MOD(INT(($CJ23+CE203)/{2,4,8,16,32,64,128,256,512,1024,2048,4096,8192,16384,32768}),2))*{2,4,8,16,32,64,128,256,512,1024,2048,4096,8192,16384,32768}),{2,4,8,16,32,64,128,256,512,1024,2048,4096,8192,16384,32768})=0))))</f>
        <v/>
      </c>
      <c r="DA203" t="n">
        <v>199</v>
      </c>
      <c r="DB203">
        <f>IF($B$37=0,"",IFERROR(TRIM(SUBSTITUTE(SUBSTITUTE(SUBSTITUTE(SUBSTITUTE(INDEX(PASTE_ALL,199,$B$37)," "," "),CHAR(9)," "),CHAR(10)," "),CHAR(13)," ")),""))</f>
        <v/>
      </c>
      <c r="DC203">
        <f>IF(AND(199&gt;HEADER_ROW,UPPER(DB203)="LEGEND"),1,0)</f>
        <v/>
      </c>
      <c r="DE203" t="n">
        <v>199</v>
      </c>
      <c r="DF203">
        <f>HEADER_ROW+$DE203</f>
        <v/>
      </c>
      <c r="DG203">
        <f>IF(AND($DF203&lt;=1000,$DF203&lt;$B$8),1,0)</f>
        <v/>
      </c>
      <c r="DH203">
        <f>IF($DG203=1,IFERROR(INDEX($DB$5:$DB$1004,$DF203),""),"")</f>
        <v/>
      </c>
      <c r="DI203">
        <f>IF(AND($DG203=1,$DH203&lt;&gt;""),IFERROR(SUBSTITUTE(SUBSTITUTE(TRIM(SUBSTITUTE(SUBSTITUTE(SUBSTITUTE(SUBSTITUTE(IFERROR(INDEX(PASTE_ALL,$DF203,1)&amp;"","")&amp;"␟"&amp;IFERROR(INDEX(PASTE_ALL,$DF203,2)&amp;"","")&amp;"␟"&amp;IFERROR(INDEX(PASTE_ALL,$DF203,3)&amp;"","")&amp;"␟"&amp;IFERROR(INDEX(PASTE_ALL,$DF203,4)&amp;"","")&amp;"␟"&amp;IFERROR(INDEX(PASTE_ALL,$DF203,5)&amp;"","")&amp;"␟"&amp;IFERROR(INDEX(PASTE_ALL,$DF203,6)&amp;"","")&amp;"␟"&amp;IFERROR(INDEX(PASTE_ALL,$DF203,7)&amp;"","")&amp;"␟"&amp;IFERROR(INDEX(PASTE_ALL,$DF203,8)&amp;"","")&amp;"␟"&amp;IFERROR(INDEX(PASTE_ALL,$DF203,9)&amp;"","")&amp;"␟"&amp;IFERROR(INDEX(PASTE_ALL,$DF203,10)&amp;"","")&amp;"␟"&amp;IFERROR(INDEX(PASTE_ALL,$DF203,11)&amp;"","")&amp;"␟"&amp;IFERROR(INDEX(PASTE_ALL,$DF203,12)&amp;"","")&amp;"␟"&amp;IFERROR(INDEX(PASTE_ALL,$DF203,13)&amp;"","")&amp;"␟"&amp;IFERROR(INDEX(PASTE_ALL,$DF203,14)&amp;"","")&amp;"␟"&amp;IFERROR(INDEX(PASTE_ALL,$DF203,15)&amp;"","")&amp;"␟"&amp;IFERROR(INDEX(PASTE_ALL,$DF203,16)&amp;"","")&amp;"␟"&amp;IFERROR(INDEX(PASTE_ALL,$DF203,17)&amp;"","")&amp;"␟"&amp;IFERROR(INDEX(PASTE_ALL,$DF203,18)&amp;"","")&amp;"␟"&amp;IFERROR(INDEX(PASTE_ALL,$DF203,19)&amp;"","")&amp;"␟"&amp;IFERROR(INDEX(PASTE_ALL,$DF203,20)&amp;"","")&amp;"␟"&amp;IFERROR(INDEX(PASTE_ALL,$DF203,21)&amp;"","")&amp;"␟"&amp;IFERROR(INDEX(PASTE_ALL,$DF203,22)&amp;"","")&amp;"␟"&amp;IFERROR(INDEX(PASTE_ALL,$DF203,23)&amp;"","")&amp;"␟"&amp;IFERROR(INDEX(PASTE_ALL,$DF203,24)&amp;"","")&amp;"␟"&amp;IFERROR(INDEX(PASTE_ALL,$DF203,25)&amp;"","")&amp;"␟"&amp;IFERROR(INDEX(PASTE_ALL,$DF203,26)&amp;"","")&amp;"␟"&amp;IFERROR(INDEX(PASTE_ALL,$DF203,27)&amp;"","")&amp;"␟"&amp;IFERROR(INDEX(PASTE_ALL,$DF203,28)&amp;"","")&amp;"␟"&amp;IFERROR(INDEX(PASTE_ALL,$DF203,29)&amp;"","")&amp;"␟"&amp;IFERROR(INDEX(PASTE_ALL,$DF203,30)&amp;"","")&amp;"␟"&amp;IFERROR(INDEX(PASTE_ALL,$DF203,31)&amp;"","")&amp;"␟"&amp;IFERROR(INDEX(PASTE_ALL,$DF203,32)&amp;"","")&amp;"␟"&amp;IFERROR(INDEX(PASTE_ALL,$DF203,33)&amp;"","")&amp;"␟"&amp;IFERROR(INDEX(PASTE_ALL,$DF203,34)&amp;"","")&amp;"␟"&amp;IFERROR(INDEX(PASTE_ALL,$DF203,35)&amp;"","")&amp;"␟"&amp;IFERROR(INDEX(PASTE_ALL,$DF203,36)&amp;"","")&amp;"␟"&amp;IFERROR(INDEX(PASTE_ALL,$DF203,37)&amp;"","")&amp;"␟"&amp;IFERROR(INDEX(PASTE_ALL,$DF203,38)&amp;"","")&amp;"␟"&amp;IFERROR(INDEX(PASTE_ALL,$DF203,39)&amp;"","")&amp;"␟"&amp;IFERROR(INDEX(PASTE_ALL,$DF203,40)&amp;"","")&amp;"␟"&amp;IFERROR(INDEX(PASTE_ALL,$DF203,41)&amp;"","")&amp;"␟"&amp;IFERROR(INDEX(PASTE_ALL,$DF203,42)&amp;"","")&amp;"␟"&amp;IFERROR(INDEX(PASTE_ALL,$DF203,43)&amp;"","")&amp;"␟"&amp;IFERROR(INDEX(PASTE_ALL,$DF203,44)&amp;"","")&amp;"␟"&amp;IFERROR(INDEX(PASTE_ALL,$DF203,45)&amp;"","")&amp;"␟"&amp;IFERROR(INDEX(PASTE_ALL,$DF203,46)&amp;"","")&amp;"␟"&amp;IFERROR(INDEX(PASTE_ALL,$DF203,47)&amp;"","")&amp;"␟"&amp;IFERROR(INDEX(PASTE_ALL,$DF203,48)&amp;"","")&amp;"␟"&amp;IFERROR(INDEX(PASTE_ALL,$DF203,49)&amp;"","")&amp;"␟"&amp;IFERROR(INDEX(PASTE_ALL,$DF203,50)&amp;"","")&amp;"␟"&amp;IFERROR(INDEX(PASTE_ALL,$DF203,51)&amp;"","")&amp;"␟"&amp;IFERROR(INDEX(PASTE_ALL,$DF203,52)&amp;"","")&amp;"␟"&amp;IFERROR(INDEX(PASTE_ALL,$DF203,53)&amp;"","")&amp;"␟"&amp;IFERROR(INDEX(PASTE_ALL,$DF203,54)&amp;"","")&amp;"␟"&amp;IFERROR(INDEX(PASTE_ALL,$DF203,55)&amp;"","")&amp;"␟"&amp;IFERROR(INDEX(PASTE_ALL,$DF203,56)&amp;"","")&amp;"␟"&amp;IFERROR(INDEX(PASTE_ALL,$DF203,57)&amp;"","")&amp;"␟"&amp;IFERROR(INDEX(PASTE_ALL,$DF203,58)&amp;"","")&amp;"␟"&amp;IFERROR(INDEX(PASTE_ALL,$DF203,59)&amp;"","")&amp;"␟"&amp;IFERROR(INDEX(PASTE_ALL,$DF203,60)&amp;"","")," "," "),CHAR(9)," "),CHAR(10)," "),CHAR(13)," "))," ␟","␟"),"␟ ","␟"),"#"&amp;$DE203),"")</f>
        <v/>
      </c>
      <c r="DJ203">
        <f>IF($DI203="",0,IF(SUMPRODUCT(--EXACT($DI$4:DI202,$DI203))&gt;0,1,0))</f>
        <v/>
      </c>
      <c r="DK203">
        <f>IF(AND($DI203&lt;&gt;"",$DJ203=0),1,0)</f>
        <v/>
      </c>
      <c r="DL203">
        <f>DL202+$DK203</f>
        <v/>
      </c>
      <c r="DM203">
        <f>IF(AND($DK203=1,$DL203&lt;=600),1,0)</f>
        <v/>
      </c>
      <c r="DN203">
        <f>IF($DM203=0,"",IF($L$6=0,"",IFERROR(IF(ISNUMBER(INDEX(PASTE_ALL,$DF203,$L$6)),INDEX(PASTE_ALL,$DF203,$L$6),TRIM(SUBSTITUTE(SUBSTITUTE(SUBSTITUTE(SUBSTITUTE(INDEX(PASTE_ALL,$DF203,$L$6)," "," "),CHAR(9)," "),CHAR(10)," "),CHAR(13)," "))),"")))</f>
        <v/>
      </c>
      <c r="DO203">
        <f>IF($DM203=0,"",IF($L$7=0,"",IFERROR(IF(ISNUMBER(INDEX(PASTE_ALL,$DF203,$L$7)),INDEX(PASTE_ALL,$DF203,$L$7),TRIM(SUBSTITUTE(SUBSTITUTE(SUBSTITUTE(SUBSTITUTE(INDEX(PASTE_ALL,$DF203,$L$7)," "," "),CHAR(9)," "),CHAR(10)," "),CHAR(13)," "))),"")))</f>
        <v/>
      </c>
      <c r="DP203">
        <f>IF($DM203=0,"",IF($L$8=0,"",IFERROR(IF(ISNUMBER(INDEX(PASTE_ALL,$DF203,$L$8)),INDEX(PASTE_ALL,$DF203,$L$8),TRIM(SUBSTITUTE(SUBSTITUTE(SUBSTITUTE(SUBSTITUTE(INDEX(PASTE_ALL,$DF203,$L$8)," "," "),CHAR(9)," "),CHAR(10)," "),CHAR(13)," "))),"")))</f>
        <v/>
      </c>
      <c r="DQ203">
        <f>IF($DM203=0,"",IF($L$9=0,"",IFERROR(IF(ISNUMBER(INDEX(PASTE_ALL,$DF203,$L$9)),INDEX(PASTE_ALL,$DF203,$L$9),TRIM(SUBSTITUTE(SUBSTITUTE(SUBSTITUTE(SUBSTITUTE(INDEX(PASTE_ALL,$DF203,$L$9)," "," "),CHAR(9)," "),CHAR(10)," "),CHAR(13)," "))),"")))</f>
        <v/>
      </c>
      <c r="DR203">
        <f>IF($DM203=0,"",IF($L$10=0,"",IFERROR(IF(ISNUMBER(INDEX(PASTE_ALL,$DF203,$L$10)),INDEX(PASTE_ALL,$DF203,$L$10),TRIM(SUBSTITUTE(SUBSTITUTE(SUBSTITUTE(SUBSTITUTE(INDEX(PASTE_ALL,$DF203,$L$10)," "," "),CHAR(9)," "),CHAR(10)," "),CHAR(13)," "))),"")))</f>
        <v/>
      </c>
      <c r="DS203">
        <f>IF($DM203=0,"",IF($L$11=0,"",IFERROR(IF(ISNUMBER(INDEX(PASTE_ALL,$DF203,$L$11)),INDEX(PASTE_ALL,$DF203,$L$11),TRIM(SUBSTITUTE(SUBSTITUTE(SUBSTITUTE(SUBSTITUTE(INDEX(PASTE_ALL,$DF203,$L$11)," "," "),CHAR(9)," "),CHAR(10)," "),CHAR(13)," "))),"")))</f>
        <v/>
      </c>
      <c r="DT203">
        <f>IF($DM203=0,"",IF($L$12=0,"",IFERROR(IF(ISNUMBER(INDEX(PASTE_ALL,$DF203,$L$12)),INDEX(PASTE_ALL,$DF203,$L$12),TRIM(SUBSTITUTE(SUBSTITUTE(SUBSTITUTE(SUBSTITUTE(INDEX(PASTE_ALL,$DF203,$L$12)," "," "),CHAR(9)," "),CHAR(10)," "),CHAR(13)," "))),"")))</f>
        <v/>
      </c>
      <c r="DU203">
        <f>IF($DM203=0,"",IF($L$13=0,"",IFERROR(IF(ISNUMBER(INDEX(PASTE_ALL,$DF203,$L$13)),INDEX(PASTE_ALL,$DF203,$L$13),TRIM(SUBSTITUTE(SUBSTITUTE(SUBSTITUTE(SUBSTITUTE(INDEX(PASTE_ALL,$DF203,$L$13)," "," "),CHAR(9)," "),CHAR(10)," "),CHAR(13)," "))),"")))</f>
        <v/>
      </c>
      <c r="DV203">
        <f>IF($DM203=0,"",IF($L$14=0,"",IFERROR(IF(ISNUMBER(INDEX(PASTE_ALL,$DF203,$L$14)),INDEX(PASTE_ALL,$DF203,$L$14),TRIM(SUBSTITUTE(SUBSTITUTE(SUBSTITUTE(SUBSTITUTE(INDEX(PASTE_ALL,$DF203,$L$14)," "," "),CHAR(9)," "),CHAR(10)," "),CHAR(13)," "))),"")))</f>
        <v/>
      </c>
      <c r="DW203">
        <f>IF($DM203=0,"",IF($L$15=0,"",IFERROR(IF(ISNUMBER(INDEX(PASTE_ALL,$DF203,$L$15)),INDEX(PASTE_ALL,$DF203,$L$15),IF(SUMPRODUCT(--ISNUMBER(FIND({"A","B","C","D","E","F","G","H","I","J","K","L","M","N","O","P","Q","R","S","T","U","V","W","X","Y","Z","0","1","2","3","4","5","6","7","8","9"},UPPER(TRIM(SUBSTITUTE(SUBSTITUTE(SUBSTITUTE(SUBSTITUTE(INDEX(PASTE_ALL,$DF203,$L$15)," "," "),CHAR(9)," "),CHAR(10)," "),CHAR(13)," "))))))&gt;0,TRIM(SUBSTITUTE(SUBSTITUTE(SUBSTITUTE(SUBSTITUTE(INDEX(PASTE_ALL,$DF203,$L$15)," "," "),CHAR(9)," "),CHAR(10)," "),CHAR(13)," ")),"")),"")))</f>
        <v/>
      </c>
      <c r="DX203">
        <f>IF($DM203=0,"",IF($L$16=0,"",IFERROR(IF(ISNUMBER(INDEX(PASTE_ALL,$DF203,$L$16)),INDEX(PASTE_ALL,$DF203,$L$16),SUBSTITUTE(SUBSTITUTE(TRIM(SUBSTITUTE(SUBSTITUTE(SUBSTITUTE(SUBSTITUTE(INDEX(PASTE_ALL,$DF203,$L$16)," "," "),CHAR(9)," "),CHAR(10)," "),CHAR(13)," ")),",",""),"%","")),"")))</f>
        <v/>
      </c>
      <c r="DY203">
        <f>IF($DM203=0,"",IFERROR(IF(ISNUMBER($DX203),$DX203,IF($DX203="","",IF(TRIM($DX203)="",0,IF(AND(AND(SUBSTITUTE(SUBSTITUTE(SUBSTITUTE(SUBSTITUTE(SUBSTITUTE(SUBSTITUTE(SUBSTITUTE(SUBSTITUTE(SUBSTITUTE(SUBSTITUTE(SUBSTITUTE(SUBSTITUTE(SUBSTITUTE(SUBSTITUTE(UPPER(TRIM($DX203)),"0",""),"1",""),"2",""),"3",""),"4",""),"5",""),"6",""),"7",""),"8",""),"9",""),".",""),"+",""),"-",""),"E","")="",LEN(SUBSTITUTE(SUBSTITUTE(MID(UPPER(TRIM($DX203)),1+OR(LEFT(UPPER(TRIM($DX203)),1)="+",LEFT(UPPER(TRIM($DX203)),1)="-"),999),"E+","E"),"E-","E"))=LEN(SUBSTITUTE(SUBSTITUTE(SUBSTITUTE(SUBSTITUTE(MID(UPPER(TRIM($DX203)),1+OR(LEFT(UPPER(TRIM($DX203)),1)="+",LEFT(UPPER(TRIM($DX203)),1)="-"),999),"E+","E"),"E-","E"),"+",""),"-","")),LEN(UPPER(TRIM($DX203)))-LEN(SUBSTITUTE(UPPER(TRIM($DX203)),"E",""))&lt;2,LEN(UPPER(TRIM($DX203)))-LEN(SUBSTITUTE(UPPER(TRIM($DX203)),".",""))&lt;2,IFERROR(FIND(".",UPPER(TRIM($DX203))),0)&lt;IFERROR(FIND("E",UPPER(TRIM($DX203))),999)),ISNUMBER(VALUE(TRIM($DX203)))),VALUE(TRIM($DX203)),"")))),""))</f>
        <v/>
      </c>
      <c r="DZ203">
        <f>IF($DM203=0,"",IF($L$17=0,"",IFERROR(IF(ISNUMBER(INDEX(PASTE_ALL,$DF203,$L$17)),INDEX(PASTE_ALL,$DF203,$L$17),SUBSTITUTE(SUBSTITUTE(TRIM(SUBSTITUTE(SUBSTITUTE(SUBSTITUTE(SUBSTITUTE(INDEX(PASTE_ALL,$DF203,$L$17)," "," "),CHAR(9)," "),CHAR(10)," "),CHAR(13)," ")),",",""),"%","")),"")))</f>
        <v/>
      </c>
      <c r="EA203">
        <f>IF($DM203=0,"",IFERROR(IF(ISNUMBER($DZ203),$DZ203,IF($DZ203="","",IF(TRIM($DZ203)="",0,IF(AND(AND(SUBSTITUTE(SUBSTITUTE(SUBSTITUTE(SUBSTITUTE(SUBSTITUTE(SUBSTITUTE(SUBSTITUTE(SUBSTITUTE(SUBSTITUTE(SUBSTITUTE(SUBSTITUTE(SUBSTITUTE(SUBSTITUTE(SUBSTITUTE(UPPER(TRIM($DZ203)),"0",""),"1",""),"2",""),"3",""),"4",""),"5",""),"6",""),"7",""),"8",""),"9",""),".",""),"+",""),"-",""),"E","")="",LEN(SUBSTITUTE(SUBSTITUTE(MID(UPPER(TRIM($DZ203)),1+OR(LEFT(UPPER(TRIM($DZ203)),1)="+",LEFT(UPPER(TRIM($DZ203)),1)="-"),999),"E+","E"),"E-","E"))=LEN(SUBSTITUTE(SUBSTITUTE(SUBSTITUTE(SUBSTITUTE(MID(UPPER(TRIM($DZ203)),1+OR(LEFT(UPPER(TRIM($DZ203)),1)="+",LEFT(UPPER(TRIM($DZ203)),1)="-"),999),"E+","E"),"E-","E"),"+",""),"-","")),LEN(UPPER(TRIM($DZ203)))-LEN(SUBSTITUTE(UPPER(TRIM($DZ203)),"E",""))&lt;2,LEN(UPPER(TRIM($DZ203)))-LEN(SUBSTITUTE(UPPER(TRIM($DZ203)),".",""))&lt;2,IFERROR(FIND(".",UPPER(TRIM($DZ203))),0)&lt;IFERROR(FIND("E",UPPER(TRIM($DZ203))),999)),ISNUMBER(VALUE(TRIM($DZ203)))),VALUE(TRIM($DZ203)),"")))),""))</f>
        <v/>
      </c>
      <c r="EB203">
        <f>IF($DM203=0,"",IF($L$18=0,"",IFERROR(IF(UPPER(TRIM(SUBSTITUTE(SUBSTITUTE(SUBSTITUTE(SUBSTITUTE(INDEX(PASTE_ALL,$DF203,$L$18)," "," "),CHAR(9)," "),CHAR(10)," "),CHAR(13)," ")))="READY","Ready",IF(UPPER(TRIM(SUBSTITUTE(SUBSTITUTE(SUBSTITUTE(SUBSTITUTE(INDEX(PASTE_ALL,$DF203,$L$18)," "," "),CHAR(9)," "),CHAR(10)," "),CHAR(13)," ")))="PM","PM",IF(OR(UPPER(TRIM(SUBSTITUTE(SUBSTITUTE(SUBSTITUTE(SUBSTITUTE(INDEX(PASTE_ALL,$DF203,$L$18)," "," "),CHAR(9)," "),CHAR(10)," "),CHAR(13)," ")))="OT",UPPER(TRIM(SUBSTITUTE(SUBSTITUTE(SUBSTITUTE(SUBSTITUTE(INDEX(PASTE_ALL,$DF203,$L$18)," "," "),CHAR(9)," "),CHAR(10)," "),CHAR(13)," ")))="OVERTIME",UPPER(TRIM(SUBSTITUTE(SUBSTITUTE(SUBSTITUTE(SUBSTITUTE(INDEX(PASTE_ALL,$DF203,$L$18)," "," "),CHAR(9)," "),CHAR(10)," "),CHAR(13)," ")))="TRIAL"),"OT",TRIM(SUBSTITUTE(SUBSTITUTE(SUBSTITUTE(SUBSTITUTE(INDEX(PASTE_ALL,$DF203,$L$18)," "," "),CHAR(9)," "),CHAR(10)," "),CHAR(13)," "))))),"")))</f>
        <v/>
      </c>
      <c r="EC203">
        <f>IF($DM203=0,"",IF($L$19=0,"",IFERROR(IF(ISNUMBER(INDEX(PASTE_ALL,$DF203,$L$19)),INDEX(PASTE_ALL,$DF203,$L$19),TRIM(SUBSTITUTE(SUBSTITUTE(SUBSTITUTE(SUBSTITUTE(INDEX(PASTE_ALL,$DF203,$L$19)," "," "),CHAR(9)," "),CHAR(10)," "),CHAR(13)," "))),"")))</f>
        <v/>
      </c>
      <c r="ED203">
        <f>IF($DM203=0,"",MATCH(1,INDEX(EXACT($DH$5:DH203,$DH203)*$DM$5:DM203,0),0))</f>
        <v/>
      </c>
      <c r="EE203">
        <f>IF($DM203=0,0,IF($ED203=$DE203,1,0))</f>
        <v/>
      </c>
      <c r="EF203">
        <f>EF202+$EE203</f>
        <v/>
      </c>
      <c r="EG203">
        <f>IF($DM203=0,"",INDEX($EF$5:$EF$1003,$ED203))</f>
        <v/>
      </c>
      <c r="EH203">
        <f>IF($DM203=0,"",IF($DO203&lt;&gt;"","",IFERROR(LOOKUP(2,1/(($EG$4:EG202=$EG203)*($DO$4:DO202&lt;&gt;"")),$DO$4:DO202),"")))</f>
        <v/>
      </c>
      <c r="EI203">
        <f>IF($DM203=0,"",IF($DO203&lt;&gt;"",$DO203,$EH203))</f>
        <v/>
      </c>
      <c r="EJ203">
        <f>IF($DM203=0,"",IF($EI203="",0,IF(OR(ISNUMBER($EI203),AND(AND(SUBSTITUTE(SUBSTITUTE(SUBSTITUTE(SUBSTITUTE(SUBSTITUTE(SUBSTITUTE(SUBSTITUTE(SUBSTITUTE(SUBSTITUTE(SUBSTITUTE(SUBSTITUTE(SUBSTITUTE(SUBSTITUTE(SUBSTITUTE(UPPER($EI203),"0",""),"1",""),"2",""),"3",""),"4",""),"5",""),"6",""),"7",""),"8",""),"9",""),".",""),"+",""),"-",""),"E","")="",LEN(SUBSTITUTE(SUBSTITUTE(MID(UPPER($EI203),1+OR(LEFT(UPPER($EI203),1)="+",LEFT(UPPER($EI203),1)="-"),999),"E+","E"),"E-","E"))=LEN(SUBSTITUTE(SUBSTITUTE(SUBSTITUTE(SUBSTITUTE(MID(UPPER($EI203),1+OR(LEFT(UPPER($EI203),1)="+",LEFT(UPPER($EI203),1)="-"),999),"E+","E"),"E-","E"),"+",""),"-","")),LEN(UPPER($EI203))-LEN(SUBSTITUTE(UPPER($EI203),"E",""))&lt;2,LEN(UPPER($EI203))-LEN(SUBSTITUTE(UPPER($EI203),".",""))&lt;2,IFERROR(FIND(".",UPPER($EI203)),0)&lt;IFERROR(FIND("E",UPPER($EI203)),999)),ISNUMBER(VALUE($EI203)))),1,2)))</f>
        <v/>
      </c>
      <c r="EK203">
        <f>IF($DM203=0,"",IF($EJ203=1,IF(ISNUMBER($EI203),$EI203,VALUE($EI203)),IF($EJ203=2,$DE203,0)))</f>
        <v/>
      </c>
      <c r="EL203">
        <f>IF($DM203=0,"",COUNTIF($EG$5:$EG$1003,"&lt;"&amp;$EG203)+SUMPRODUCT(($EG$5:$EG$1003=$EG203)*(($EJ$5:$EJ$1003&lt;$EJ203)+($EJ$5:$EJ$1003=$EJ203)*(($EK$5:$EK$1003&lt;$EK203)+($EK$5:$EK$1003=$EK203)*($DE$5:$DE$1003&lt;$DE203))))+1)</f>
        <v/>
      </c>
      <c r="EM203">
        <f>IF($DM203=0,"",$EL203+$EG203-1)</f>
        <v/>
      </c>
      <c r="EN203">
        <f>IF($DM203=0,0,IFERROR(MATCH(1,INDEX(--(TRIM(SUBSTITUTE(SUBSTITUTE(SUBSTITUTE(SUBSTITUTE(LINES_NAME&amp;""," "," "),CHAR(9)," "),CHAR(10)," "),CHAR(13)," "))=$DH203),0),0),0))</f>
        <v/>
      </c>
      <c r="EO203">
        <f>IF($EN203=0,0,IF(OR(UPPER(TRIM(INDEX(LINES_SCHEDULED,$EN203)&amp;""))="YES",UPPER(TRIM(INDEX(LINES_SCHEDULED,$EN203)&amp;""))="Y",UPPER(TRIM(INDEX(LINES_SCHEDULED,$EN203)&amp;""))="X"),1,0))</f>
        <v/>
      </c>
      <c r="EP203">
        <f>IF($DM203=0,"",IF(COUNTIFS($EG$5:$EG$1003,$EG203,$EB$5:$EB$1003,"Ready")&gt;0,"READY",IF(COUNTIFS($EG$5:$EG$1003,$EG203,$EB$5:$EB$1003,"PM")&gt;0,"PM",IF(COUNTIFS($EG$5:$EG$1003,$EG203,$EB$5:$EB$1003,"OT")&gt;0,"OT",""))))</f>
        <v/>
      </c>
      <c r="EQ203">
        <f>IF($EN203=0,"",UPPER(TRIM(INDEX(LINES_STATUS,$EN203)&amp;"")))</f>
        <v/>
      </c>
      <c r="ER203">
        <f>IF($DM203=0,"",IF(OR($EQ203="READY",$EQ203="PM",$EQ203="OT"),$EQ203,$EP203))</f>
        <v/>
      </c>
      <c r="ES203">
        <f>IF($DM203=0,"",IF(AND($DV203&lt;&gt;"",UPPER($DV203)&lt;&gt;"N"),"allergen",IF(ISNUMBER(SEARCH("oil",$DQ203)),"oil",IF(OR(EXACT($DS203,"A662"),EXACT($DS203,"A624")),"bulk",""))))</f>
        <v/>
      </c>
      <c r="ET203">
        <f>IF($DM203=0,"",IF(OR($EA203="",$EA203=0),"",$EA203/100))</f>
        <v/>
      </c>
      <c r="EU203">
        <f>IF(OR($ET203="",$DY203=""),"",INT($DY203*(1-$ET203)+0.5))</f>
        <v/>
      </c>
      <c r="EW203" t="n">
        <v>199</v>
      </c>
      <c r="EX203">
        <f>IFERROR(MATCH($EW203,$EM$5:$EM$1003,0),0)</f>
        <v/>
      </c>
      <c r="EY203">
        <f>IF($EW203&gt;$B$12,"",IF($EX203&gt;0,"row","spacer"))</f>
        <v/>
      </c>
      <c r="EZ203">
        <f>IF(AND($EY203="row",$EY202&lt;&gt;"row"),1,0)</f>
        <v/>
      </c>
      <c r="FA203">
        <f>IF(AND($EY203="row",$EY204&lt;&gt;"row"),1,0)</f>
        <v/>
      </c>
      <c r="FB203">
        <f>IF($EZ203=1,IFERROR(IF(ISNUMBER(INDEX(PASTE_ALL,INDEX($DF$5:$DF$1003,$EX203),$B$37)),INDEX(PASTE_ALL,INDEX($DF$5:$DF$1003,$EX203),$B$37),INDEX($DH$5:$DH$1003,$EX203)),INDEX($DH$5:$DH$1003,$EX203)),"")</f>
        <v/>
      </c>
      <c r="FC203">
        <f>IF($EY203="row",INDEX($ER$5:$ER$1003,$EX203),"")</f>
        <v/>
      </c>
      <c r="FD203">
        <f>IF($EY203="row",INDEX($DN$5:$DN$1003,$EX203),"")</f>
        <v/>
      </c>
      <c r="FE203">
        <f>IF($EY203="row",INDEX($DO$5:$DO$1003,$EX203),"")</f>
        <v/>
      </c>
      <c r="FF203">
        <f>IF($EY203="row",INDEX($DP$5:$DP$1003,$EX203),"")</f>
        <v/>
      </c>
      <c r="FG203">
        <f>IF($EY203="row",INDEX($DQ$5:$DQ$1003,$EX203),"")</f>
        <v/>
      </c>
      <c r="FH203">
        <f>IF($EY203="row",INDEX($DR$5:$DR$1003,$EX203),"")</f>
        <v/>
      </c>
      <c r="FI203">
        <f>IF($EY203="row",INDEX($DS$5:$DS$1003,$EX203),"")</f>
        <v/>
      </c>
      <c r="FJ203">
        <f>IF($EY203="row",INDEX($DT$5:$DT$1003,$EX203),"")</f>
        <v/>
      </c>
      <c r="FK203">
        <f>IF($EY203="row",INDEX($DU$5:$DU$1003,$EX203),"")</f>
        <v/>
      </c>
      <c r="FL203">
        <f>IF($EY203="row",INDEX($DV$5:$DV$1003,$EX203),"")</f>
        <v/>
      </c>
      <c r="FM203">
        <f>IF($EY203="row",INDEX($DW$5:$DW$1003,$EX203),"")</f>
        <v/>
      </c>
      <c r="FN203">
        <f>IF($EY203="row",INDEX($DY$5:$DY$1003,$EX203),"")</f>
        <v/>
      </c>
      <c r="FO203">
        <f>IF($EY203="row",INDEX($EA$5:$EA$1003,$EX203),"")</f>
        <v/>
      </c>
      <c r="FP203">
        <f>IF($EY203="row",INDEX($EC$5:$EC$1003,$EX203),"")</f>
        <v/>
      </c>
      <c r="FQ203">
        <f>IF($EY203="row",INDEX($ET$5:$ET$1003,$EX203),"")</f>
        <v/>
      </c>
      <c r="FR203">
        <f>IF($EY203="row",INDEX($EU$5:$EU$1003,$EX203),"")</f>
        <v/>
      </c>
      <c r="FS203">
        <f>IF(AND($EY203="row",$EY202="row"),IF(OR(INDEX($DT$5:$DT$1003,$EX202)="",INDEX($DT$5:$DT$1003,$EX203)=""),"",IF(NOT(EXACT(INDEX($DT$5:$DT$1003,$EX202),INDEX($DT$5:$DT$1003,$EX203))),"S4",IF(NOT(EXACT(INDEX($DS$5:$DS$1003,$EX202),INDEX($DS$5:$DS$1003,$EX203))),"S3",IF(NOT(EXACT(INDEX($DR$5:$DR$1003,$EX202),INDEX($DR$5:$DR$1003,$EX203))),"S1 Count Change","S1")))),"")</f>
        <v/>
      </c>
      <c r="FT203">
        <f>IF($EY203="row",INDEX($ES$5:$ES$1003,$EX203),"")</f>
        <v/>
      </c>
      <c r="FU203">
        <f>IF($EY203="row",INDEX($EO$5:$EO$1003,$EX203),0)</f>
        <v/>
      </c>
      <c r="FV203">
        <f>IF($FS203="S1 Count Change",1,0)</f>
        <v/>
      </c>
    </row>
    <row r="204">
      <c r="Y204">
        <f>0+IF(Y114&gt;0,0,IF(SUMPRODUCT(MOD(INT(Y159/{2,4,8,16,32,64,128,256,512,1024,2048,4096,8192,16384,32768}),2)*(1-MOD(INT(($CJ24+0)/{2,4,8,16,32,64,128,256,512,1024,2048,4096,8192,16384,32768}),2))*{2,4,8,16,32,64,128,256,512,1024,2048,4096,8192,16384,32768})=0,0,2^SUMPRODUCT(--(MOD(SUMPRODUCT(MOD(INT(Y159/{2,4,8,16,32,64,128,256,512,1024,2048,4096,8192,16384,32768}),2)*(1-MOD(INT(($CJ24+0)/{2,4,8,16,32,64,128,256,512,1024,2048,4096,8192,16384,32768}),2))*{2,4,8,16,32,64,128,256,512,1024,2048,4096,8192,16384,32768}),{2,4,8,16,32,64,128,256,512,1024,2048,4096,8192,16384,32768})=0))))</f>
        <v/>
      </c>
      <c r="Z204">
        <f>Y204+IF(AND(Z114&gt;0,COUNTIF($Y114:Y114,Z114)=0),0,IF(SUMPRODUCT(MOD(INT(Z159/{2,4,8,16,32,64,128,256,512,1024,2048,4096,8192,16384,32768}),2)*(1-MOD(INT(($CJ24+Y204)/{2,4,8,16,32,64,128,256,512,1024,2048,4096,8192,16384,32768}),2))*{2,4,8,16,32,64,128,256,512,1024,2048,4096,8192,16384,32768})=0,0,2^SUMPRODUCT(--(MOD(SUMPRODUCT(MOD(INT(Z159/{2,4,8,16,32,64,128,256,512,1024,2048,4096,8192,16384,32768}),2)*(1-MOD(INT(($CJ24+Y204)/{2,4,8,16,32,64,128,256,512,1024,2048,4096,8192,16384,32768}),2))*{2,4,8,16,32,64,128,256,512,1024,2048,4096,8192,16384,32768}),{2,4,8,16,32,64,128,256,512,1024,2048,4096,8192,16384,32768})=0))))</f>
        <v/>
      </c>
      <c r="AA204">
        <f>Z204+IF(AND(AA114&gt;0,COUNTIF($Y114:Z114,AA114)=0),0,IF(SUMPRODUCT(MOD(INT(AA159/{2,4,8,16,32,64,128,256,512,1024,2048,4096,8192,16384,32768}),2)*(1-MOD(INT(($CJ24+Z204)/{2,4,8,16,32,64,128,256,512,1024,2048,4096,8192,16384,32768}),2))*{2,4,8,16,32,64,128,256,512,1024,2048,4096,8192,16384,32768})=0,0,2^SUMPRODUCT(--(MOD(SUMPRODUCT(MOD(INT(AA159/{2,4,8,16,32,64,128,256,512,1024,2048,4096,8192,16384,32768}),2)*(1-MOD(INT(($CJ24+Z204)/{2,4,8,16,32,64,128,256,512,1024,2048,4096,8192,16384,32768}),2))*{2,4,8,16,32,64,128,256,512,1024,2048,4096,8192,16384,32768}),{2,4,8,16,32,64,128,256,512,1024,2048,4096,8192,16384,32768})=0))))</f>
        <v/>
      </c>
      <c r="AB204">
        <f>AA204+IF(AND(AB114&gt;0,COUNTIF($Y114:AA114,AB114)=0),0,IF(SUMPRODUCT(MOD(INT(AB159/{2,4,8,16,32,64,128,256,512,1024,2048,4096,8192,16384,32768}),2)*(1-MOD(INT(($CJ24+AA204)/{2,4,8,16,32,64,128,256,512,1024,2048,4096,8192,16384,32768}),2))*{2,4,8,16,32,64,128,256,512,1024,2048,4096,8192,16384,32768})=0,0,2^SUMPRODUCT(--(MOD(SUMPRODUCT(MOD(INT(AB159/{2,4,8,16,32,64,128,256,512,1024,2048,4096,8192,16384,32768}),2)*(1-MOD(INT(($CJ24+AA204)/{2,4,8,16,32,64,128,256,512,1024,2048,4096,8192,16384,32768}),2))*{2,4,8,16,32,64,128,256,512,1024,2048,4096,8192,16384,32768}),{2,4,8,16,32,64,128,256,512,1024,2048,4096,8192,16384,32768})=0))))</f>
        <v/>
      </c>
      <c r="AC204">
        <f>AB204+IF(AND(AC114&gt;0,COUNTIF($Y114:AB114,AC114)=0),0,IF(SUMPRODUCT(MOD(INT(AC159/{2,4,8,16,32,64,128,256,512,1024,2048,4096,8192,16384,32768}),2)*(1-MOD(INT(($CJ24+AB204)/{2,4,8,16,32,64,128,256,512,1024,2048,4096,8192,16384,32768}),2))*{2,4,8,16,32,64,128,256,512,1024,2048,4096,8192,16384,32768})=0,0,2^SUMPRODUCT(--(MOD(SUMPRODUCT(MOD(INT(AC159/{2,4,8,16,32,64,128,256,512,1024,2048,4096,8192,16384,32768}),2)*(1-MOD(INT(($CJ24+AB204)/{2,4,8,16,32,64,128,256,512,1024,2048,4096,8192,16384,32768}),2))*{2,4,8,16,32,64,128,256,512,1024,2048,4096,8192,16384,32768}),{2,4,8,16,32,64,128,256,512,1024,2048,4096,8192,16384,32768})=0))))</f>
        <v/>
      </c>
      <c r="AD204">
        <f>AC204+IF(AND(AD114&gt;0,COUNTIF($Y114:AC114,AD114)=0),0,IF(SUMPRODUCT(MOD(INT(AD159/{2,4,8,16,32,64,128,256,512,1024,2048,4096,8192,16384,32768}),2)*(1-MOD(INT(($CJ24+AC204)/{2,4,8,16,32,64,128,256,512,1024,2048,4096,8192,16384,32768}),2))*{2,4,8,16,32,64,128,256,512,1024,2048,4096,8192,16384,32768})=0,0,2^SUMPRODUCT(--(MOD(SUMPRODUCT(MOD(INT(AD159/{2,4,8,16,32,64,128,256,512,1024,2048,4096,8192,16384,32768}),2)*(1-MOD(INT(($CJ24+AC204)/{2,4,8,16,32,64,128,256,512,1024,2048,4096,8192,16384,32768}),2))*{2,4,8,16,32,64,128,256,512,1024,2048,4096,8192,16384,32768}),{2,4,8,16,32,64,128,256,512,1024,2048,4096,8192,16384,32768})=0))))</f>
        <v/>
      </c>
      <c r="AE204">
        <f>AD204+IF(AND(AE114&gt;0,COUNTIF($Y114:AD114,AE114)=0),0,IF(SUMPRODUCT(MOD(INT(AE159/{2,4,8,16,32,64,128,256,512,1024,2048,4096,8192,16384,32768}),2)*(1-MOD(INT(($CJ24+AD204)/{2,4,8,16,32,64,128,256,512,1024,2048,4096,8192,16384,32768}),2))*{2,4,8,16,32,64,128,256,512,1024,2048,4096,8192,16384,32768})=0,0,2^SUMPRODUCT(--(MOD(SUMPRODUCT(MOD(INT(AE159/{2,4,8,16,32,64,128,256,512,1024,2048,4096,8192,16384,32768}),2)*(1-MOD(INT(($CJ24+AD204)/{2,4,8,16,32,64,128,256,512,1024,2048,4096,8192,16384,32768}),2))*{2,4,8,16,32,64,128,256,512,1024,2048,4096,8192,16384,32768}),{2,4,8,16,32,64,128,256,512,1024,2048,4096,8192,16384,32768})=0))))</f>
        <v/>
      </c>
      <c r="AF204">
        <f>AE204+IF(AND(AF114&gt;0,COUNTIF($Y114:AE114,AF114)=0),0,IF(SUMPRODUCT(MOD(INT(AF159/{2,4,8,16,32,64,128,256,512,1024,2048,4096,8192,16384,32768}),2)*(1-MOD(INT(($CJ24+AE204)/{2,4,8,16,32,64,128,256,512,1024,2048,4096,8192,16384,32768}),2))*{2,4,8,16,32,64,128,256,512,1024,2048,4096,8192,16384,32768})=0,0,2^SUMPRODUCT(--(MOD(SUMPRODUCT(MOD(INT(AF159/{2,4,8,16,32,64,128,256,512,1024,2048,4096,8192,16384,32768}),2)*(1-MOD(INT(($CJ24+AE204)/{2,4,8,16,32,64,128,256,512,1024,2048,4096,8192,16384,32768}),2))*{2,4,8,16,32,64,128,256,512,1024,2048,4096,8192,16384,32768}),{2,4,8,16,32,64,128,256,512,1024,2048,4096,8192,16384,32768})=0))))</f>
        <v/>
      </c>
      <c r="AG204">
        <f>AF204+IF(AND(AG114&gt;0,COUNTIF($Y114:AF114,AG114)=0),0,IF(SUMPRODUCT(MOD(INT(AG159/{2,4,8,16,32,64,128,256,512,1024,2048,4096,8192,16384,32768}),2)*(1-MOD(INT(($CJ24+AF204)/{2,4,8,16,32,64,128,256,512,1024,2048,4096,8192,16384,32768}),2))*{2,4,8,16,32,64,128,256,512,1024,2048,4096,8192,16384,32768})=0,0,2^SUMPRODUCT(--(MOD(SUMPRODUCT(MOD(INT(AG159/{2,4,8,16,32,64,128,256,512,1024,2048,4096,8192,16384,32768}),2)*(1-MOD(INT(($CJ24+AF204)/{2,4,8,16,32,64,128,256,512,1024,2048,4096,8192,16384,32768}),2))*{2,4,8,16,32,64,128,256,512,1024,2048,4096,8192,16384,32768}),{2,4,8,16,32,64,128,256,512,1024,2048,4096,8192,16384,32768})=0))))</f>
        <v/>
      </c>
      <c r="AH204">
        <f>AG204+IF(AND(AH114&gt;0,COUNTIF($Y114:AG114,AH114)=0),0,IF(SUMPRODUCT(MOD(INT(AH159/{2,4,8,16,32,64,128,256,512,1024,2048,4096,8192,16384,32768}),2)*(1-MOD(INT(($CJ24+AG204)/{2,4,8,16,32,64,128,256,512,1024,2048,4096,8192,16384,32768}),2))*{2,4,8,16,32,64,128,256,512,1024,2048,4096,8192,16384,32768})=0,0,2^SUMPRODUCT(--(MOD(SUMPRODUCT(MOD(INT(AH159/{2,4,8,16,32,64,128,256,512,1024,2048,4096,8192,16384,32768}),2)*(1-MOD(INT(($CJ24+AG204)/{2,4,8,16,32,64,128,256,512,1024,2048,4096,8192,16384,32768}),2))*{2,4,8,16,32,64,128,256,512,1024,2048,4096,8192,16384,32768}),{2,4,8,16,32,64,128,256,512,1024,2048,4096,8192,16384,32768})=0))))</f>
        <v/>
      </c>
      <c r="AI204">
        <f>AH204+IF(AND(AI114&gt;0,COUNTIF($Y114:AH114,AI114)=0),0,IF(SUMPRODUCT(MOD(INT(AI159/{2,4,8,16,32,64,128,256,512,1024,2048,4096,8192,16384,32768}),2)*(1-MOD(INT(($CJ24+AH204)/{2,4,8,16,32,64,128,256,512,1024,2048,4096,8192,16384,32768}),2))*{2,4,8,16,32,64,128,256,512,1024,2048,4096,8192,16384,32768})=0,0,2^SUMPRODUCT(--(MOD(SUMPRODUCT(MOD(INT(AI159/{2,4,8,16,32,64,128,256,512,1024,2048,4096,8192,16384,32768}),2)*(1-MOD(INT(($CJ24+AH204)/{2,4,8,16,32,64,128,256,512,1024,2048,4096,8192,16384,32768}),2))*{2,4,8,16,32,64,128,256,512,1024,2048,4096,8192,16384,32768}),{2,4,8,16,32,64,128,256,512,1024,2048,4096,8192,16384,32768})=0))))</f>
        <v/>
      </c>
      <c r="AJ204">
        <f>AI204+IF(AND(AJ114&gt;0,COUNTIF($Y114:AI114,AJ114)=0),0,IF(SUMPRODUCT(MOD(INT(AJ159/{2,4,8,16,32,64,128,256,512,1024,2048,4096,8192,16384,32768}),2)*(1-MOD(INT(($CJ24+AI204)/{2,4,8,16,32,64,128,256,512,1024,2048,4096,8192,16384,32768}),2))*{2,4,8,16,32,64,128,256,512,1024,2048,4096,8192,16384,32768})=0,0,2^SUMPRODUCT(--(MOD(SUMPRODUCT(MOD(INT(AJ159/{2,4,8,16,32,64,128,256,512,1024,2048,4096,8192,16384,32768}),2)*(1-MOD(INT(($CJ24+AI204)/{2,4,8,16,32,64,128,256,512,1024,2048,4096,8192,16384,32768}),2))*{2,4,8,16,32,64,128,256,512,1024,2048,4096,8192,16384,32768}),{2,4,8,16,32,64,128,256,512,1024,2048,4096,8192,16384,32768})=0))))</f>
        <v/>
      </c>
      <c r="AK204">
        <f>AJ204+IF(AND(AK114&gt;0,COUNTIF($Y114:AJ114,AK114)=0),0,IF(SUMPRODUCT(MOD(INT(AK159/{2,4,8,16,32,64,128,256,512,1024,2048,4096,8192,16384,32768}),2)*(1-MOD(INT(($CJ24+AJ204)/{2,4,8,16,32,64,128,256,512,1024,2048,4096,8192,16384,32768}),2))*{2,4,8,16,32,64,128,256,512,1024,2048,4096,8192,16384,32768})=0,0,2^SUMPRODUCT(--(MOD(SUMPRODUCT(MOD(INT(AK159/{2,4,8,16,32,64,128,256,512,1024,2048,4096,8192,16384,32768}),2)*(1-MOD(INT(($CJ24+AJ204)/{2,4,8,16,32,64,128,256,512,1024,2048,4096,8192,16384,32768}),2))*{2,4,8,16,32,64,128,256,512,1024,2048,4096,8192,16384,32768}),{2,4,8,16,32,64,128,256,512,1024,2048,4096,8192,16384,32768})=0))))</f>
        <v/>
      </c>
      <c r="AL204">
        <f>AK204+IF(AND(AL114&gt;0,COUNTIF($Y114:AK114,AL114)=0),0,IF(SUMPRODUCT(MOD(INT(AL159/{2,4,8,16,32,64,128,256,512,1024,2048,4096,8192,16384,32768}),2)*(1-MOD(INT(($CJ24+AK204)/{2,4,8,16,32,64,128,256,512,1024,2048,4096,8192,16384,32768}),2))*{2,4,8,16,32,64,128,256,512,1024,2048,4096,8192,16384,32768})=0,0,2^SUMPRODUCT(--(MOD(SUMPRODUCT(MOD(INT(AL159/{2,4,8,16,32,64,128,256,512,1024,2048,4096,8192,16384,32768}),2)*(1-MOD(INT(($CJ24+AK204)/{2,4,8,16,32,64,128,256,512,1024,2048,4096,8192,16384,32768}),2))*{2,4,8,16,32,64,128,256,512,1024,2048,4096,8192,16384,32768}),{2,4,8,16,32,64,128,256,512,1024,2048,4096,8192,16384,32768})=0))))</f>
        <v/>
      </c>
      <c r="AM204">
        <f>AL204+IF(AND(AM114&gt;0,COUNTIF($Y114:AL114,AM114)=0),0,IF(SUMPRODUCT(MOD(INT(AM159/{2,4,8,16,32,64,128,256,512,1024,2048,4096,8192,16384,32768}),2)*(1-MOD(INT(($CJ24+AL204)/{2,4,8,16,32,64,128,256,512,1024,2048,4096,8192,16384,32768}),2))*{2,4,8,16,32,64,128,256,512,1024,2048,4096,8192,16384,32768})=0,0,2^SUMPRODUCT(--(MOD(SUMPRODUCT(MOD(INT(AM159/{2,4,8,16,32,64,128,256,512,1024,2048,4096,8192,16384,32768}),2)*(1-MOD(INT(($CJ24+AL204)/{2,4,8,16,32,64,128,256,512,1024,2048,4096,8192,16384,32768}),2))*{2,4,8,16,32,64,128,256,512,1024,2048,4096,8192,16384,32768}),{2,4,8,16,32,64,128,256,512,1024,2048,4096,8192,16384,32768})=0))))</f>
        <v/>
      </c>
      <c r="AN204">
        <f>AM204+IF(AND(AN114&gt;0,COUNTIF($Y114:AM114,AN114)=0),0,IF(SUMPRODUCT(MOD(INT(AN159/{2,4,8,16,32,64,128,256,512,1024,2048,4096,8192,16384,32768}),2)*(1-MOD(INT(($CJ24+AM204)/{2,4,8,16,32,64,128,256,512,1024,2048,4096,8192,16384,32768}),2))*{2,4,8,16,32,64,128,256,512,1024,2048,4096,8192,16384,32768})=0,0,2^SUMPRODUCT(--(MOD(SUMPRODUCT(MOD(INT(AN159/{2,4,8,16,32,64,128,256,512,1024,2048,4096,8192,16384,32768}),2)*(1-MOD(INT(($CJ24+AM204)/{2,4,8,16,32,64,128,256,512,1024,2048,4096,8192,16384,32768}),2))*{2,4,8,16,32,64,128,256,512,1024,2048,4096,8192,16384,32768}),{2,4,8,16,32,64,128,256,512,1024,2048,4096,8192,16384,32768})=0))))</f>
        <v/>
      </c>
      <c r="AO204">
        <f>AN204+IF(AND(AO114&gt;0,COUNTIF($Y114:AN114,AO114)=0),0,IF(SUMPRODUCT(MOD(INT(AO159/{2,4,8,16,32,64,128,256,512,1024,2048,4096,8192,16384,32768}),2)*(1-MOD(INT(($CJ24+AN204)/{2,4,8,16,32,64,128,256,512,1024,2048,4096,8192,16384,32768}),2))*{2,4,8,16,32,64,128,256,512,1024,2048,4096,8192,16384,32768})=0,0,2^SUMPRODUCT(--(MOD(SUMPRODUCT(MOD(INT(AO159/{2,4,8,16,32,64,128,256,512,1024,2048,4096,8192,16384,32768}),2)*(1-MOD(INT(($CJ24+AN204)/{2,4,8,16,32,64,128,256,512,1024,2048,4096,8192,16384,32768}),2))*{2,4,8,16,32,64,128,256,512,1024,2048,4096,8192,16384,32768}),{2,4,8,16,32,64,128,256,512,1024,2048,4096,8192,16384,32768})=0))))</f>
        <v/>
      </c>
      <c r="AP204">
        <f>AO204+IF(AND(AP114&gt;0,COUNTIF($Y114:AO114,AP114)=0),0,IF(SUMPRODUCT(MOD(INT(AP159/{2,4,8,16,32,64,128,256,512,1024,2048,4096,8192,16384,32768}),2)*(1-MOD(INT(($CJ24+AO204)/{2,4,8,16,32,64,128,256,512,1024,2048,4096,8192,16384,32768}),2))*{2,4,8,16,32,64,128,256,512,1024,2048,4096,8192,16384,32768})=0,0,2^SUMPRODUCT(--(MOD(SUMPRODUCT(MOD(INT(AP159/{2,4,8,16,32,64,128,256,512,1024,2048,4096,8192,16384,32768}),2)*(1-MOD(INT(($CJ24+AO204)/{2,4,8,16,32,64,128,256,512,1024,2048,4096,8192,16384,32768}),2))*{2,4,8,16,32,64,128,256,512,1024,2048,4096,8192,16384,32768}),{2,4,8,16,32,64,128,256,512,1024,2048,4096,8192,16384,32768})=0))))</f>
        <v/>
      </c>
      <c r="AQ204">
        <f>AP204+IF(AND(AQ114&gt;0,COUNTIF($Y114:AP114,AQ114)=0),0,IF(SUMPRODUCT(MOD(INT(AQ159/{2,4,8,16,32,64,128,256,512,1024,2048,4096,8192,16384,32768}),2)*(1-MOD(INT(($CJ24+AP204)/{2,4,8,16,32,64,128,256,512,1024,2048,4096,8192,16384,32768}),2))*{2,4,8,16,32,64,128,256,512,1024,2048,4096,8192,16384,32768})=0,0,2^SUMPRODUCT(--(MOD(SUMPRODUCT(MOD(INT(AQ159/{2,4,8,16,32,64,128,256,512,1024,2048,4096,8192,16384,32768}),2)*(1-MOD(INT(($CJ24+AP204)/{2,4,8,16,32,64,128,256,512,1024,2048,4096,8192,16384,32768}),2))*{2,4,8,16,32,64,128,256,512,1024,2048,4096,8192,16384,32768}),{2,4,8,16,32,64,128,256,512,1024,2048,4096,8192,16384,32768})=0))))</f>
        <v/>
      </c>
      <c r="AR204">
        <f>AQ204+IF(AND(AR114&gt;0,COUNTIF($Y114:AQ114,AR114)=0),0,IF(SUMPRODUCT(MOD(INT(AR159/{2,4,8,16,32,64,128,256,512,1024,2048,4096,8192,16384,32768}),2)*(1-MOD(INT(($CJ24+AQ204)/{2,4,8,16,32,64,128,256,512,1024,2048,4096,8192,16384,32768}),2))*{2,4,8,16,32,64,128,256,512,1024,2048,4096,8192,16384,32768})=0,0,2^SUMPRODUCT(--(MOD(SUMPRODUCT(MOD(INT(AR159/{2,4,8,16,32,64,128,256,512,1024,2048,4096,8192,16384,32768}),2)*(1-MOD(INT(($CJ24+AQ204)/{2,4,8,16,32,64,128,256,512,1024,2048,4096,8192,16384,32768}),2))*{2,4,8,16,32,64,128,256,512,1024,2048,4096,8192,16384,32768}),{2,4,8,16,32,64,128,256,512,1024,2048,4096,8192,16384,32768})=0))))</f>
        <v/>
      </c>
      <c r="AS204">
        <f>AR204+IF(AND(AS114&gt;0,COUNTIF($Y114:AR114,AS114)=0),0,IF(SUMPRODUCT(MOD(INT(AS159/{2,4,8,16,32,64,128,256,512,1024,2048,4096,8192,16384,32768}),2)*(1-MOD(INT(($CJ24+AR204)/{2,4,8,16,32,64,128,256,512,1024,2048,4096,8192,16384,32768}),2))*{2,4,8,16,32,64,128,256,512,1024,2048,4096,8192,16384,32768})=0,0,2^SUMPRODUCT(--(MOD(SUMPRODUCT(MOD(INT(AS159/{2,4,8,16,32,64,128,256,512,1024,2048,4096,8192,16384,32768}),2)*(1-MOD(INT(($CJ24+AR204)/{2,4,8,16,32,64,128,256,512,1024,2048,4096,8192,16384,32768}),2))*{2,4,8,16,32,64,128,256,512,1024,2048,4096,8192,16384,32768}),{2,4,8,16,32,64,128,256,512,1024,2048,4096,8192,16384,32768})=0))))</f>
        <v/>
      </c>
      <c r="AT204">
        <f>AS204+IF(AND(AT114&gt;0,COUNTIF($Y114:AS114,AT114)=0),0,IF(SUMPRODUCT(MOD(INT(AT159/{2,4,8,16,32,64,128,256,512,1024,2048,4096,8192,16384,32768}),2)*(1-MOD(INT(($CJ24+AS204)/{2,4,8,16,32,64,128,256,512,1024,2048,4096,8192,16384,32768}),2))*{2,4,8,16,32,64,128,256,512,1024,2048,4096,8192,16384,32768})=0,0,2^SUMPRODUCT(--(MOD(SUMPRODUCT(MOD(INT(AT159/{2,4,8,16,32,64,128,256,512,1024,2048,4096,8192,16384,32768}),2)*(1-MOD(INT(($CJ24+AS204)/{2,4,8,16,32,64,128,256,512,1024,2048,4096,8192,16384,32768}),2))*{2,4,8,16,32,64,128,256,512,1024,2048,4096,8192,16384,32768}),{2,4,8,16,32,64,128,256,512,1024,2048,4096,8192,16384,32768})=0))))</f>
        <v/>
      </c>
      <c r="AU204">
        <f>AT204+IF(AND(AU114&gt;0,COUNTIF($Y114:AT114,AU114)=0),0,IF(SUMPRODUCT(MOD(INT(AU159/{2,4,8,16,32,64,128,256,512,1024,2048,4096,8192,16384,32768}),2)*(1-MOD(INT(($CJ24+AT204)/{2,4,8,16,32,64,128,256,512,1024,2048,4096,8192,16384,32768}),2))*{2,4,8,16,32,64,128,256,512,1024,2048,4096,8192,16384,32768})=0,0,2^SUMPRODUCT(--(MOD(SUMPRODUCT(MOD(INT(AU159/{2,4,8,16,32,64,128,256,512,1024,2048,4096,8192,16384,32768}),2)*(1-MOD(INT(($CJ24+AT204)/{2,4,8,16,32,64,128,256,512,1024,2048,4096,8192,16384,32768}),2))*{2,4,8,16,32,64,128,256,512,1024,2048,4096,8192,16384,32768}),{2,4,8,16,32,64,128,256,512,1024,2048,4096,8192,16384,32768})=0))))</f>
        <v/>
      </c>
      <c r="AV204">
        <f>AU204+IF(AND(AV114&gt;0,COUNTIF($Y114:AU114,AV114)=0),0,IF(SUMPRODUCT(MOD(INT(AV159/{2,4,8,16,32,64,128,256,512,1024,2048,4096,8192,16384,32768}),2)*(1-MOD(INT(($CJ24+AU204)/{2,4,8,16,32,64,128,256,512,1024,2048,4096,8192,16384,32768}),2))*{2,4,8,16,32,64,128,256,512,1024,2048,4096,8192,16384,32768})=0,0,2^SUMPRODUCT(--(MOD(SUMPRODUCT(MOD(INT(AV159/{2,4,8,16,32,64,128,256,512,1024,2048,4096,8192,16384,32768}),2)*(1-MOD(INT(($CJ24+AU204)/{2,4,8,16,32,64,128,256,512,1024,2048,4096,8192,16384,32768}),2))*{2,4,8,16,32,64,128,256,512,1024,2048,4096,8192,16384,32768}),{2,4,8,16,32,64,128,256,512,1024,2048,4096,8192,16384,32768})=0))))</f>
        <v/>
      </c>
      <c r="AW204">
        <f>AV204+IF(AND(AW114&gt;0,COUNTIF($Y114:AV114,AW114)=0),0,IF(SUMPRODUCT(MOD(INT(AW159/{2,4,8,16,32,64,128,256,512,1024,2048,4096,8192,16384,32768}),2)*(1-MOD(INT(($CJ24+AV204)/{2,4,8,16,32,64,128,256,512,1024,2048,4096,8192,16384,32768}),2))*{2,4,8,16,32,64,128,256,512,1024,2048,4096,8192,16384,32768})=0,0,2^SUMPRODUCT(--(MOD(SUMPRODUCT(MOD(INT(AW159/{2,4,8,16,32,64,128,256,512,1024,2048,4096,8192,16384,32768}),2)*(1-MOD(INT(($CJ24+AV204)/{2,4,8,16,32,64,128,256,512,1024,2048,4096,8192,16384,32768}),2))*{2,4,8,16,32,64,128,256,512,1024,2048,4096,8192,16384,32768}),{2,4,8,16,32,64,128,256,512,1024,2048,4096,8192,16384,32768})=0))))</f>
        <v/>
      </c>
      <c r="AX204">
        <f>AW204+IF(AND(AX114&gt;0,COUNTIF($Y114:AW114,AX114)=0),0,IF(SUMPRODUCT(MOD(INT(AX159/{2,4,8,16,32,64,128,256,512,1024,2048,4096,8192,16384,32768}),2)*(1-MOD(INT(($CJ24+AW204)/{2,4,8,16,32,64,128,256,512,1024,2048,4096,8192,16384,32768}),2))*{2,4,8,16,32,64,128,256,512,1024,2048,4096,8192,16384,32768})=0,0,2^SUMPRODUCT(--(MOD(SUMPRODUCT(MOD(INT(AX159/{2,4,8,16,32,64,128,256,512,1024,2048,4096,8192,16384,32768}),2)*(1-MOD(INT(($CJ24+AW204)/{2,4,8,16,32,64,128,256,512,1024,2048,4096,8192,16384,32768}),2))*{2,4,8,16,32,64,128,256,512,1024,2048,4096,8192,16384,32768}),{2,4,8,16,32,64,128,256,512,1024,2048,4096,8192,16384,32768})=0))))</f>
        <v/>
      </c>
      <c r="AY204">
        <f>AX204+IF(AND(AY114&gt;0,COUNTIF($Y114:AX114,AY114)=0),0,IF(SUMPRODUCT(MOD(INT(AY159/{2,4,8,16,32,64,128,256,512,1024,2048,4096,8192,16384,32768}),2)*(1-MOD(INT(($CJ24+AX204)/{2,4,8,16,32,64,128,256,512,1024,2048,4096,8192,16384,32768}),2))*{2,4,8,16,32,64,128,256,512,1024,2048,4096,8192,16384,32768})=0,0,2^SUMPRODUCT(--(MOD(SUMPRODUCT(MOD(INT(AY159/{2,4,8,16,32,64,128,256,512,1024,2048,4096,8192,16384,32768}),2)*(1-MOD(INT(($CJ24+AX204)/{2,4,8,16,32,64,128,256,512,1024,2048,4096,8192,16384,32768}),2))*{2,4,8,16,32,64,128,256,512,1024,2048,4096,8192,16384,32768}),{2,4,8,16,32,64,128,256,512,1024,2048,4096,8192,16384,32768})=0))))</f>
        <v/>
      </c>
      <c r="AZ204">
        <f>AY204+IF(AND(AZ114&gt;0,COUNTIF($Y114:AY114,AZ114)=0),0,IF(SUMPRODUCT(MOD(INT(AZ159/{2,4,8,16,32,64,128,256,512,1024,2048,4096,8192,16384,32768}),2)*(1-MOD(INT(($CJ24+AY204)/{2,4,8,16,32,64,128,256,512,1024,2048,4096,8192,16384,32768}),2))*{2,4,8,16,32,64,128,256,512,1024,2048,4096,8192,16384,32768})=0,0,2^SUMPRODUCT(--(MOD(SUMPRODUCT(MOD(INT(AZ159/{2,4,8,16,32,64,128,256,512,1024,2048,4096,8192,16384,32768}),2)*(1-MOD(INT(($CJ24+AY204)/{2,4,8,16,32,64,128,256,512,1024,2048,4096,8192,16384,32768}),2))*{2,4,8,16,32,64,128,256,512,1024,2048,4096,8192,16384,32768}),{2,4,8,16,32,64,128,256,512,1024,2048,4096,8192,16384,32768})=0))))</f>
        <v/>
      </c>
      <c r="BA204">
        <f>AZ204+IF(AND(BA114&gt;0,COUNTIF($Y114:AZ114,BA114)=0),0,IF(SUMPRODUCT(MOD(INT(BA159/{2,4,8,16,32,64,128,256,512,1024,2048,4096,8192,16384,32768}),2)*(1-MOD(INT(($CJ24+AZ204)/{2,4,8,16,32,64,128,256,512,1024,2048,4096,8192,16384,32768}),2))*{2,4,8,16,32,64,128,256,512,1024,2048,4096,8192,16384,32768})=0,0,2^SUMPRODUCT(--(MOD(SUMPRODUCT(MOD(INT(BA159/{2,4,8,16,32,64,128,256,512,1024,2048,4096,8192,16384,32768}),2)*(1-MOD(INT(($CJ24+AZ204)/{2,4,8,16,32,64,128,256,512,1024,2048,4096,8192,16384,32768}),2))*{2,4,8,16,32,64,128,256,512,1024,2048,4096,8192,16384,32768}),{2,4,8,16,32,64,128,256,512,1024,2048,4096,8192,16384,32768})=0))))</f>
        <v/>
      </c>
      <c r="BB204">
        <f>BA204+IF(AND(BB114&gt;0,COUNTIF($Y114:BA114,BB114)=0),0,IF(SUMPRODUCT(MOD(INT(BB159/{2,4,8,16,32,64,128,256,512,1024,2048,4096,8192,16384,32768}),2)*(1-MOD(INT(($CJ24+BA204)/{2,4,8,16,32,64,128,256,512,1024,2048,4096,8192,16384,32768}),2))*{2,4,8,16,32,64,128,256,512,1024,2048,4096,8192,16384,32768})=0,0,2^SUMPRODUCT(--(MOD(SUMPRODUCT(MOD(INT(BB159/{2,4,8,16,32,64,128,256,512,1024,2048,4096,8192,16384,32768}),2)*(1-MOD(INT(($CJ24+BA204)/{2,4,8,16,32,64,128,256,512,1024,2048,4096,8192,16384,32768}),2))*{2,4,8,16,32,64,128,256,512,1024,2048,4096,8192,16384,32768}),{2,4,8,16,32,64,128,256,512,1024,2048,4096,8192,16384,32768})=0))))</f>
        <v/>
      </c>
      <c r="BC204">
        <f>BB204+IF(AND(BC114&gt;0,COUNTIF($Y114:BB114,BC114)=0),0,IF(SUMPRODUCT(MOD(INT(BC159/{2,4,8,16,32,64,128,256,512,1024,2048,4096,8192,16384,32768}),2)*(1-MOD(INT(($CJ24+BB204)/{2,4,8,16,32,64,128,256,512,1024,2048,4096,8192,16384,32768}),2))*{2,4,8,16,32,64,128,256,512,1024,2048,4096,8192,16384,32768})=0,0,2^SUMPRODUCT(--(MOD(SUMPRODUCT(MOD(INT(BC159/{2,4,8,16,32,64,128,256,512,1024,2048,4096,8192,16384,32768}),2)*(1-MOD(INT(($CJ24+BB204)/{2,4,8,16,32,64,128,256,512,1024,2048,4096,8192,16384,32768}),2))*{2,4,8,16,32,64,128,256,512,1024,2048,4096,8192,16384,32768}),{2,4,8,16,32,64,128,256,512,1024,2048,4096,8192,16384,32768})=0))))</f>
        <v/>
      </c>
      <c r="BD204">
        <f>BC204+IF(AND(BD114&gt;0,COUNTIF($Y114:BC114,BD114)=0),0,IF(SUMPRODUCT(MOD(INT(BD159/{2,4,8,16,32,64,128,256,512,1024,2048,4096,8192,16384,32768}),2)*(1-MOD(INT(($CJ24+BC204)/{2,4,8,16,32,64,128,256,512,1024,2048,4096,8192,16384,32768}),2))*{2,4,8,16,32,64,128,256,512,1024,2048,4096,8192,16384,32768})=0,0,2^SUMPRODUCT(--(MOD(SUMPRODUCT(MOD(INT(BD159/{2,4,8,16,32,64,128,256,512,1024,2048,4096,8192,16384,32768}),2)*(1-MOD(INT(($CJ24+BC204)/{2,4,8,16,32,64,128,256,512,1024,2048,4096,8192,16384,32768}),2))*{2,4,8,16,32,64,128,256,512,1024,2048,4096,8192,16384,32768}),{2,4,8,16,32,64,128,256,512,1024,2048,4096,8192,16384,32768})=0))))</f>
        <v/>
      </c>
      <c r="BE204">
        <f>BD204+IF(AND(BE114&gt;0,COUNTIF($Y114:BD114,BE114)=0),0,IF(SUMPRODUCT(MOD(INT(BE159/{2,4,8,16,32,64,128,256,512,1024,2048,4096,8192,16384,32768}),2)*(1-MOD(INT(($CJ24+BD204)/{2,4,8,16,32,64,128,256,512,1024,2048,4096,8192,16384,32768}),2))*{2,4,8,16,32,64,128,256,512,1024,2048,4096,8192,16384,32768})=0,0,2^SUMPRODUCT(--(MOD(SUMPRODUCT(MOD(INT(BE159/{2,4,8,16,32,64,128,256,512,1024,2048,4096,8192,16384,32768}),2)*(1-MOD(INT(($CJ24+BD204)/{2,4,8,16,32,64,128,256,512,1024,2048,4096,8192,16384,32768}),2))*{2,4,8,16,32,64,128,256,512,1024,2048,4096,8192,16384,32768}),{2,4,8,16,32,64,128,256,512,1024,2048,4096,8192,16384,32768})=0))))</f>
        <v/>
      </c>
      <c r="BF204">
        <f>BE204+IF(AND(BF114&gt;0,COUNTIF($Y114:BE114,BF114)=0),0,IF(SUMPRODUCT(MOD(INT(BF159/{2,4,8,16,32,64,128,256,512,1024,2048,4096,8192,16384,32768}),2)*(1-MOD(INT(($CJ24+BE204)/{2,4,8,16,32,64,128,256,512,1024,2048,4096,8192,16384,32768}),2))*{2,4,8,16,32,64,128,256,512,1024,2048,4096,8192,16384,32768})=0,0,2^SUMPRODUCT(--(MOD(SUMPRODUCT(MOD(INT(BF159/{2,4,8,16,32,64,128,256,512,1024,2048,4096,8192,16384,32768}),2)*(1-MOD(INT(($CJ24+BE204)/{2,4,8,16,32,64,128,256,512,1024,2048,4096,8192,16384,32768}),2))*{2,4,8,16,32,64,128,256,512,1024,2048,4096,8192,16384,32768}),{2,4,8,16,32,64,128,256,512,1024,2048,4096,8192,16384,32768})=0))))</f>
        <v/>
      </c>
      <c r="BG204">
        <f>BF204+IF(AND(BG114&gt;0,COUNTIF($Y114:BF114,BG114)=0),0,IF(SUMPRODUCT(MOD(INT(BG159/{2,4,8,16,32,64,128,256,512,1024,2048,4096,8192,16384,32768}),2)*(1-MOD(INT(($CJ24+BF204)/{2,4,8,16,32,64,128,256,512,1024,2048,4096,8192,16384,32768}),2))*{2,4,8,16,32,64,128,256,512,1024,2048,4096,8192,16384,32768})=0,0,2^SUMPRODUCT(--(MOD(SUMPRODUCT(MOD(INT(BG159/{2,4,8,16,32,64,128,256,512,1024,2048,4096,8192,16384,32768}),2)*(1-MOD(INT(($CJ24+BF204)/{2,4,8,16,32,64,128,256,512,1024,2048,4096,8192,16384,32768}),2))*{2,4,8,16,32,64,128,256,512,1024,2048,4096,8192,16384,32768}),{2,4,8,16,32,64,128,256,512,1024,2048,4096,8192,16384,32768})=0))))</f>
        <v/>
      </c>
      <c r="BH204">
        <f>BG204+IF(AND(BH114&gt;0,COUNTIF($Y114:BG114,BH114)=0),0,IF(SUMPRODUCT(MOD(INT(BH159/{2,4,8,16,32,64,128,256,512,1024,2048,4096,8192,16384,32768}),2)*(1-MOD(INT(($CJ24+BG204)/{2,4,8,16,32,64,128,256,512,1024,2048,4096,8192,16384,32768}),2))*{2,4,8,16,32,64,128,256,512,1024,2048,4096,8192,16384,32768})=0,0,2^SUMPRODUCT(--(MOD(SUMPRODUCT(MOD(INT(BH159/{2,4,8,16,32,64,128,256,512,1024,2048,4096,8192,16384,32768}),2)*(1-MOD(INT(($CJ24+BG204)/{2,4,8,16,32,64,128,256,512,1024,2048,4096,8192,16384,32768}),2))*{2,4,8,16,32,64,128,256,512,1024,2048,4096,8192,16384,32768}),{2,4,8,16,32,64,128,256,512,1024,2048,4096,8192,16384,32768})=0))))</f>
        <v/>
      </c>
      <c r="BI204">
        <f>BH204+IF(AND(BI114&gt;0,COUNTIF($Y114:BH114,BI114)=0),0,IF(SUMPRODUCT(MOD(INT(BI159/{2,4,8,16,32,64,128,256,512,1024,2048,4096,8192,16384,32768}),2)*(1-MOD(INT(($CJ24+BH204)/{2,4,8,16,32,64,128,256,512,1024,2048,4096,8192,16384,32768}),2))*{2,4,8,16,32,64,128,256,512,1024,2048,4096,8192,16384,32768})=0,0,2^SUMPRODUCT(--(MOD(SUMPRODUCT(MOD(INT(BI159/{2,4,8,16,32,64,128,256,512,1024,2048,4096,8192,16384,32768}),2)*(1-MOD(INT(($CJ24+BH204)/{2,4,8,16,32,64,128,256,512,1024,2048,4096,8192,16384,32768}),2))*{2,4,8,16,32,64,128,256,512,1024,2048,4096,8192,16384,32768}),{2,4,8,16,32,64,128,256,512,1024,2048,4096,8192,16384,32768})=0))))</f>
        <v/>
      </c>
      <c r="BJ204">
        <f>BI204+IF(AND(BJ114&gt;0,COUNTIF($Y114:BI114,BJ114)=0),0,IF(SUMPRODUCT(MOD(INT(BJ159/{2,4,8,16,32,64,128,256,512,1024,2048,4096,8192,16384,32768}),2)*(1-MOD(INT(($CJ24+BI204)/{2,4,8,16,32,64,128,256,512,1024,2048,4096,8192,16384,32768}),2))*{2,4,8,16,32,64,128,256,512,1024,2048,4096,8192,16384,32768})=0,0,2^SUMPRODUCT(--(MOD(SUMPRODUCT(MOD(INT(BJ159/{2,4,8,16,32,64,128,256,512,1024,2048,4096,8192,16384,32768}),2)*(1-MOD(INT(($CJ24+BI204)/{2,4,8,16,32,64,128,256,512,1024,2048,4096,8192,16384,32768}),2))*{2,4,8,16,32,64,128,256,512,1024,2048,4096,8192,16384,32768}),{2,4,8,16,32,64,128,256,512,1024,2048,4096,8192,16384,32768})=0))))</f>
        <v/>
      </c>
      <c r="BK204">
        <f>BJ204+IF(AND(BK114&gt;0,COUNTIF($Y114:BJ114,BK114)=0),0,IF(SUMPRODUCT(MOD(INT(BK159/{2,4,8,16,32,64,128,256,512,1024,2048,4096,8192,16384,32768}),2)*(1-MOD(INT(($CJ24+BJ204)/{2,4,8,16,32,64,128,256,512,1024,2048,4096,8192,16384,32768}),2))*{2,4,8,16,32,64,128,256,512,1024,2048,4096,8192,16384,32768})=0,0,2^SUMPRODUCT(--(MOD(SUMPRODUCT(MOD(INT(BK159/{2,4,8,16,32,64,128,256,512,1024,2048,4096,8192,16384,32768}),2)*(1-MOD(INT(($CJ24+BJ204)/{2,4,8,16,32,64,128,256,512,1024,2048,4096,8192,16384,32768}),2))*{2,4,8,16,32,64,128,256,512,1024,2048,4096,8192,16384,32768}),{2,4,8,16,32,64,128,256,512,1024,2048,4096,8192,16384,32768})=0))))</f>
        <v/>
      </c>
      <c r="BL204">
        <f>BK204+IF(AND(BL114&gt;0,COUNTIF($Y114:BK114,BL114)=0),0,IF(SUMPRODUCT(MOD(INT(BL159/{2,4,8,16,32,64,128,256,512,1024,2048,4096,8192,16384,32768}),2)*(1-MOD(INT(($CJ24+BK204)/{2,4,8,16,32,64,128,256,512,1024,2048,4096,8192,16384,32768}),2))*{2,4,8,16,32,64,128,256,512,1024,2048,4096,8192,16384,32768})=0,0,2^SUMPRODUCT(--(MOD(SUMPRODUCT(MOD(INT(BL159/{2,4,8,16,32,64,128,256,512,1024,2048,4096,8192,16384,32768}),2)*(1-MOD(INT(($CJ24+BK204)/{2,4,8,16,32,64,128,256,512,1024,2048,4096,8192,16384,32768}),2))*{2,4,8,16,32,64,128,256,512,1024,2048,4096,8192,16384,32768}),{2,4,8,16,32,64,128,256,512,1024,2048,4096,8192,16384,32768})=0))))</f>
        <v/>
      </c>
      <c r="BM204">
        <f>BL204+IF(AND(BM114&gt;0,COUNTIF($Y114:BL114,BM114)=0),0,IF(SUMPRODUCT(MOD(INT(BM159/{2,4,8,16,32,64,128,256,512,1024,2048,4096,8192,16384,32768}),2)*(1-MOD(INT(($CJ24+BL204)/{2,4,8,16,32,64,128,256,512,1024,2048,4096,8192,16384,32768}),2))*{2,4,8,16,32,64,128,256,512,1024,2048,4096,8192,16384,32768})=0,0,2^SUMPRODUCT(--(MOD(SUMPRODUCT(MOD(INT(BM159/{2,4,8,16,32,64,128,256,512,1024,2048,4096,8192,16384,32768}),2)*(1-MOD(INT(($CJ24+BL204)/{2,4,8,16,32,64,128,256,512,1024,2048,4096,8192,16384,32768}),2))*{2,4,8,16,32,64,128,256,512,1024,2048,4096,8192,16384,32768}),{2,4,8,16,32,64,128,256,512,1024,2048,4096,8192,16384,32768})=0))))</f>
        <v/>
      </c>
      <c r="BN204">
        <f>BM204+IF(AND(BN114&gt;0,COUNTIF($Y114:BM114,BN114)=0),0,IF(SUMPRODUCT(MOD(INT(BN159/{2,4,8,16,32,64,128,256,512,1024,2048,4096,8192,16384,32768}),2)*(1-MOD(INT(($CJ24+BM204)/{2,4,8,16,32,64,128,256,512,1024,2048,4096,8192,16384,32768}),2))*{2,4,8,16,32,64,128,256,512,1024,2048,4096,8192,16384,32768})=0,0,2^SUMPRODUCT(--(MOD(SUMPRODUCT(MOD(INT(BN159/{2,4,8,16,32,64,128,256,512,1024,2048,4096,8192,16384,32768}),2)*(1-MOD(INT(($CJ24+BM204)/{2,4,8,16,32,64,128,256,512,1024,2048,4096,8192,16384,32768}),2))*{2,4,8,16,32,64,128,256,512,1024,2048,4096,8192,16384,32768}),{2,4,8,16,32,64,128,256,512,1024,2048,4096,8192,16384,32768})=0))))</f>
        <v/>
      </c>
      <c r="BO204">
        <f>BN204+IF(AND(BO114&gt;0,COUNTIF($Y114:BN114,BO114)=0),0,IF(SUMPRODUCT(MOD(INT(BO159/{2,4,8,16,32,64,128,256,512,1024,2048,4096,8192,16384,32768}),2)*(1-MOD(INT(($CJ24+BN204)/{2,4,8,16,32,64,128,256,512,1024,2048,4096,8192,16384,32768}),2))*{2,4,8,16,32,64,128,256,512,1024,2048,4096,8192,16384,32768})=0,0,2^SUMPRODUCT(--(MOD(SUMPRODUCT(MOD(INT(BO159/{2,4,8,16,32,64,128,256,512,1024,2048,4096,8192,16384,32768}),2)*(1-MOD(INT(($CJ24+BN204)/{2,4,8,16,32,64,128,256,512,1024,2048,4096,8192,16384,32768}),2))*{2,4,8,16,32,64,128,256,512,1024,2048,4096,8192,16384,32768}),{2,4,8,16,32,64,128,256,512,1024,2048,4096,8192,16384,32768})=0))))</f>
        <v/>
      </c>
      <c r="BP204">
        <f>BO204+IF(AND(BP114&gt;0,COUNTIF($Y114:BO114,BP114)=0),0,IF(SUMPRODUCT(MOD(INT(BP159/{2,4,8,16,32,64,128,256,512,1024,2048,4096,8192,16384,32768}),2)*(1-MOD(INT(($CJ24+BO204)/{2,4,8,16,32,64,128,256,512,1024,2048,4096,8192,16384,32768}),2))*{2,4,8,16,32,64,128,256,512,1024,2048,4096,8192,16384,32768})=0,0,2^SUMPRODUCT(--(MOD(SUMPRODUCT(MOD(INT(BP159/{2,4,8,16,32,64,128,256,512,1024,2048,4096,8192,16384,32768}),2)*(1-MOD(INT(($CJ24+BO204)/{2,4,8,16,32,64,128,256,512,1024,2048,4096,8192,16384,32768}),2))*{2,4,8,16,32,64,128,256,512,1024,2048,4096,8192,16384,32768}),{2,4,8,16,32,64,128,256,512,1024,2048,4096,8192,16384,32768})=0))))</f>
        <v/>
      </c>
      <c r="BQ204">
        <f>BP204+IF(AND(BQ114&gt;0,COUNTIF($Y114:BP114,BQ114)=0),0,IF(SUMPRODUCT(MOD(INT(BQ159/{2,4,8,16,32,64,128,256,512,1024,2048,4096,8192,16384,32768}),2)*(1-MOD(INT(($CJ24+BP204)/{2,4,8,16,32,64,128,256,512,1024,2048,4096,8192,16384,32768}),2))*{2,4,8,16,32,64,128,256,512,1024,2048,4096,8192,16384,32768})=0,0,2^SUMPRODUCT(--(MOD(SUMPRODUCT(MOD(INT(BQ159/{2,4,8,16,32,64,128,256,512,1024,2048,4096,8192,16384,32768}),2)*(1-MOD(INT(($CJ24+BP204)/{2,4,8,16,32,64,128,256,512,1024,2048,4096,8192,16384,32768}),2))*{2,4,8,16,32,64,128,256,512,1024,2048,4096,8192,16384,32768}),{2,4,8,16,32,64,128,256,512,1024,2048,4096,8192,16384,32768})=0))))</f>
        <v/>
      </c>
      <c r="BR204">
        <f>BQ204+IF(AND(BR114&gt;0,COUNTIF($Y114:BQ114,BR114)=0),0,IF(SUMPRODUCT(MOD(INT(BR159/{2,4,8,16,32,64,128,256,512,1024,2048,4096,8192,16384,32768}),2)*(1-MOD(INT(($CJ24+BQ204)/{2,4,8,16,32,64,128,256,512,1024,2048,4096,8192,16384,32768}),2))*{2,4,8,16,32,64,128,256,512,1024,2048,4096,8192,16384,32768})=0,0,2^SUMPRODUCT(--(MOD(SUMPRODUCT(MOD(INT(BR159/{2,4,8,16,32,64,128,256,512,1024,2048,4096,8192,16384,32768}),2)*(1-MOD(INT(($CJ24+BQ204)/{2,4,8,16,32,64,128,256,512,1024,2048,4096,8192,16384,32768}),2))*{2,4,8,16,32,64,128,256,512,1024,2048,4096,8192,16384,32768}),{2,4,8,16,32,64,128,256,512,1024,2048,4096,8192,16384,32768})=0))))</f>
        <v/>
      </c>
      <c r="BS204">
        <f>BR204+IF(AND(BS114&gt;0,COUNTIF($Y114:BR114,BS114)=0),0,IF(SUMPRODUCT(MOD(INT(BS159/{2,4,8,16,32,64,128,256,512,1024,2048,4096,8192,16384,32768}),2)*(1-MOD(INT(($CJ24+BR204)/{2,4,8,16,32,64,128,256,512,1024,2048,4096,8192,16384,32768}),2))*{2,4,8,16,32,64,128,256,512,1024,2048,4096,8192,16384,32768})=0,0,2^SUMPRODUCT(--(MOD(SUMPRODUCT(MOD(INT(BS159/{2,4,8,16,32,64,128,256,512,1024,2048,4096,8192,16384,32768}),2)*(1-MOD(INT(($CJ24+BR204)/{2,4,8,16,32,64,128,256,512,1024,2048,4096,8192,16384,32768}),2))*{2,4,8,16,32,64,128,256,512,1024,2048,4096,8192,16384,32768}),{2,4,8,16,32,64,128,256,512,1024,2048,4096,8192,16384,32768})=0))))</f>
        <v/>
      </c>
      <c r="BT204">
        <f>BS204+IF(AND(BT114&gt;0,COUNTIF($Y114:BS114,BT114)=0),0,IF(SUMPRODUCT(MOD(INT(BT159/{2,4,8,16,32,64,128,256,512,1024,2048,4096,8192,16384,32768}),2)*(1-MOD(INT(($CJ24+BS204)/{2,4,8,16,32,64,128,256,512,1024,2048,4096,8192,16384,32768}),2))*{2,4,8,16,32,64,128,256,512,1024,2048,4096,8192,16384,32768})=0,0,2^SUMPRODUCT(--(MOD(SUMPRODUCT(MOD(INT(BT159/{2,4,8,16,32,64,128,256,512,1024,2048,4096,8192,16384,32768}),2)*(1-MOD(INT(($CJ24+BS204)/{2,4,8,16,32,64,128,256,512,1024,2048,4096,8192,16384,32768}),2))*{2,4,8,16,32,64,128,256,512,1024,2048,4096,8192,16384,32768}),{2,4,8,16,32,64,128,256,512,1024,2048,4096,8192,16384,32768})=0))))</f>
        <v/>
      </c>
      <c r="BU204">
        <f>BT204+IF(AND(BU114&gt;0,COUNTIF($Y114:BT114,BU114)=0),0,IF(SUMPRODUCT(MOD(INT(BU159/{2,4,8,16,32,64,128,256,512,1024,2048,4096,8192,16384,32768}),2)*(1-MOD(INT(($CJ24+BT204)/{2,4,8,16,32,64,128,256,512,1024,2048,4096,8192,16384,32768}),2))*{2,4,8,16,32,64,128,256,512,1024,2048,4096,8192,16384,32768})=0,0,2^SUMPRODUCT(--(MOD(SUMPRODUCT(MOD(INT(BU159/{2,4,8,16,32,64,128,256,512,1024,2048,4096,8192,16384,32768}),2)*(1-MOD(INT(($CJ24+BT204)/{2,4,8,16,32,64,128,256,512,1024,2048,4096,8192,16384,32768}),2))*{2,4,8,16,32,64,128,256,512,1024,2048,4096,8192,16384,32768}),{2,4,8,16,32,64,128,256,512,1024,2048,4096,8192,16384,32768})=0))))</f>
        <v/>
      </c>
      <c r="BV204">
        <f>BU204+IF(AND(BV114&gt;0,COUNTIF($Y114:BU114,BV114)=0),0,IF(SUMPRODUCT(MOD(INT(BV159/{2,4,8,16,32,64,128,256,512,1024,2048,4096,8192,16384,32768}),2)*(1-MOD(INT(($CJ24+BU204)/{2,4,8,16,32,64,128,256,512,1024,2048,4096,8192,16384,32768}),2))*{2,4,8,16,32,64,128,256,512,1024,2048,4096,8192,16384,32768})=0,0,2^SUMPRODUCT(--(MOD(SUMPRODUCT(MOD(INT(BV159/{2,4,8,16,32,64,128,256,512,1024,2048,4096,8192,16384,32768}),2)*(1-MOD(INT(($CJ24+BU204)/{2,4,8,16,32,64,128,256,512,1024,2048,4096,8192,16384,32768}),2))*{2,4,8,16,32,64,128,256,512,1024,2048,4096,8192,16384,32768}),{2,4,8,16,32,64,128,256,512,1024,2048,4096,8192,16384,32768})=0))))</f>
        <v/>
      </c>
      <c r="BW204">
        <f>BV204+IF(AND(BW114&gt;0,COUNTIF($Y114:BV114,BW114)=0),0,IF(SUMPRODUCT(MOD(INT(BW159/{2,4,8,16,32,64,128,256,512,1024,2048,4096,8192,16384,32768}),2)*(1-MOD(INT(($CJ24+BV204)/{2,4,8,16,32,64,128,256,512,1024,2048,4096,8192,16384,32768}),2))*{2,4,8,16,32,64,128,256,512,1024,2048,4096,8192,16384,32768})=0,0,2^SUMPRODUCT(--(MOD(SUMPRODUCT(MOD(INT(BW159/{2,4,8,16,32,64,128,256,512,1024,2048,4096,8192,16384,32768}),2)*(1-MOD(INT(($CJ24+BV204)/{2,4,8,16,32,64,128,256,512,1024,2048,4096,8192,16384,32768}),2))*{2,4,8,16,32,64,128,256,512,1024,2048,4096,8192,16384,32768}),{2,4,8,16,32,64,128,256,512,1024,2048,4096,8192,16384,32768})=0))))</f>
        <v/>
      </c>
      <c r="BX204">
        <f>BW204+IF(AND(BX114&gt;0,COUNTIF($Y114:BW114,BX114)=0),0,IF(SUMPRODUCT(MOD(INT(BX159/{2,4,8,16,32,64,128,256,512,1024,2048,4096,8192,16384,32768}),2)*(1-MOD(INT(($CJ24+BW204)/{2,4,8,16,32,64,128,256,512,1024,2048,4096,8192,16384,32768}),2))*{2,4,8,16,32,64,128,256,512,1024,2048,4096,8192,16384,32768})=0,0,2^SUMPRODUCT(--(MOD(SUMPRODUCT(MOD(INT(BX159/{2,4,8,16,32,64,128,256,512,1024,2048,4096,8192,16384,32768}),2)*(1-MOD(INT(($CJ24+BW204)/{2,4,8,16,32,64,128,256,512,1024,2048,4096,8192,16384,32768}),2))*{2,4,8,16,32,64,128,256,512,1024,2048,4096,8192,16384,32768}),{2,4,8,16,32,64,128,256,512,1024,2048,4096,8192,16384,32768})=0))))</f>
        <v/>
      </c>
      <c r="BY204">
        <f>BX204+IF(AND(BY114&gt;0,COUNTIF($Y114:BX114,BY114)=0),0,IF(SUMPRODUCT(MOD(INT(BY159/{2,4,8,16,32,64,128,256,512,1024,2048,4096,8192,16384,32768}),2)*(1-MOD(INT(($CJ24+BX204)/{2,4,8,16,32,64,128,256,512,1024,2048,4096,8192,16384,32768}),2))*{2,4,8,16,32,64,128,256,512,1024,2048,4096,8192,16384,32768})=0,0,2^SUMPRODUCT(--(MOD(SUMPRODUCT(MOD(INT(BY159/{2,4,8,16,32,64,128,256,512,1024,2048,4096,8192,16384,32768}),2)*(1-MOD(INT(($CJ24+BX204)/{2,4,8,16,32,64,128,256,512,1024,2048,4096,8192,16384,32768}),2))*{2,4,8,16,32,64,128,256,512,1024,2048,4096,8192,16384,32768}),{2,4,8,16,32,64,128,256,512,1024,2048,4096,8192,16384,32768})=0))))</f>
        <v/>
      </c>
      <c r="BZ204">
        <f>BY204+IF(AND(BZ114&gt;0,COUNTIF($Y114:BY114,BZ114)=0),0,IF(SUMPRODUCT(MOD(INT(BZ159/{2,4,8,16,32,64,128,256,512,1024,2048,4096,8192,16384,32768}),2)*(1-MOD(INT(($CJ24+BY204)/{2,4,8,16,32,64,128,256,512,1024,2048,4096,8192,16384,32768}),2))*{2,4,8,16,32,64,128,256,512,1024,2048,4096,8192,16384,32768})=0,0,2^SUMPRODUCT(--(MOD(SUMPRODUCT(MOD(INT(BZ159/{2,4,8,16,32,64,128,256,512,1024,2048,4096,8192,16384,32768}),2)*(1-MOD(INT(($CJ24+BY204)/{2,4,8,16,32,64,128,256,512,1024,2048,4096,8192,16384,32768}),2))*{2,4,8,16,32,64,128,256,512,1024,2048,4096,8192,16384,32768}),{2,4,8,16,32,64,128,256,512,1024,2048,4096,8192,16384,32768})=0))))</f>
        <v/>
      </c>
      <c r="CA204">
        <f>BZ204+IF(AND(CA114&gt;0,COUNTIF($Y114:BZ114,CA114)=0),0,IF(SUMPRODUCT(MOD(INT(CA159/{2,4,8,16,32,64,128,256,512,1024,2048,4096,8192,16384,32768}),2)*(1-MOD(INT(($CJ24+BZ204)/{2,4,8,16,32,64,128,256,512,1024,2048,4096,8192,16384,32768}),2))*{2,4,8,16,32,64,128,256,512,1024,2048,4096,8192,16384,32768})=0,0,2^SUMPRODUCT(--(MOD(SUMPRODUCT(MOD(INT(CA159/{2,4,8,16,32,64,128,256,512,1024,2048,4096,8192,16384,32768}),2)*(1-MOD(INT(($CJ24+BZ204)/{2,4,8,16,32,64,128,256,512,1024,2048,4096,8192,16384,32768}),2))*{2,4,8,16,32,64,128,256,512,1024,2048,4096,8192,16384,32768}),{2,4,8,16,32,64,128,256,512,1024,2048,4096,8192,16384,32768})=0))))</f>
        <v/>
      </c>
      <c r="CB204">
        <f>CA204+IF(AND(CB114&gt;0,COUNTIF($Y114:CA114,CB114)=0),0,IF(SUMPRODUCT(MOD(INT(CB159/{2,4,8,16,32,64,128,256,512,1024,2048,4096,8192,16384,32768}),2)*(1-MOD(INT(($CJ24+CA204)/{2,4,8,16,32,64,128,256,512,1024,2048,4096,8192,16384,32768}),2))*{2,4,8,16,32,64,128,256,512,1024,2048,4096,8192,16384,32768})=0,0,2^SUMPRODUCT(--(MOD(SUMPRODUCT(MOD(INT(CB159/{2,4,8,16,32,64,128,256,512,1024,2048,4096,8192,16384,32768}),2)*(1-MOD(INT(($CJ24+CA204)/{2,4,8,16,32,64,128,256,512,1024,2048,4096,8192,16384,32768}),2))*{2,4,8,16,32,64,128,256,512,1024,2048,4096,8192,16384,32768}),{2,4,8,16,32,64,128,256,512,1024,2048,4096,8192,16384,32768})=0))))</f>
        <v/>
      </c>
      <c r="CC204">
        <f>CB204+IF(AND(CC114&gt;0,COUNTIF($Y114:CB114,CC114)=0),0,IF(SUMPRODUCT(MOD(INT(CC159/{2,4,8,16,32,64,128,256,512,1024,2048,4096,8192,16384,32768}),2)*(1-MOD(INT(($CJ24+CB204)/{2,4,8,16,32,64,128,256,512,1024,2048,4096,8192,16384,32768}),2))*{2,4,8,16,32,64,128,256,512,1024,2048,4096,8192,16384,32768})=0,0,2^SUMPRODUCT(--(MOD(SUMPRODUCT(MOD(INT(CC159/{2,4,8,16,32,64,128,256,512,1024,2048,4096,8192,16384,32768}),2)*(1-MOD(INT(($CJ24+CB204)/{2,4,8,16,32,64,128,256,512,1024,2048,4096,8192,16384,32768}),2))*{2,4,8,16,32,64,128,256,512,1024,2048,4096,8192,16384,32768}),{2,4,8,16,32,64,128,256,512,1024,2048,4096,8192,16384,32768})=0))))</f>
        <v/>
      </c>
      <c r="CD204">
        <f>CC204+IF(AND(CD114&gt;0,COUNTIF($Y114:CC114,CD114)=0),0,IF(SUMPRODUCT(MOD(INT(CD159/{2,4,8,16,32,64,128,256,512,1024,2048,4096,8192,16384,32768}),2)*(1-MOD(INT(($CJ24+CC204)/{2,4,8,16,32,64,128,256,512,1024,2048,4096,8192,16384,32768}),2))*{2,4,8,16,32,64,128,256,512,1024,2048,4096,8192,16384,32768})=0,0,2^SUMPRODUCT(--(MOD(SUMPRODUCT(MOD(INT(CD159/{2,4,8,16,32,64,128,256,512,1024,2048,4096,8192,16384,32768}),2)*(1-MOD(INT(($CJ24+CC204)/{2,4,8,16,32,64,128,256,512,1024,2048,4096,8192,16384,32768}),2))*{2,4,8,16,32,64,128,256,512,1024,2048,4096,8192,16384,32768}),{2,4,8,16,32,64,128,256,512,1024,2048,4096,8192,16384,32768})=0))))</f>
        <v/>
      </c>
      <c r="CE204">
        <f>CD204+IF(AND(CE114&gt;0,COUNTIF($Y114:CD114,CE114)=0),0,IF(SUMPRODUCT(MOD(INT(CE159/{2,4,8,16,32,64,128,256,512,1024,2048,4096,8192,16384,32768}),2)*(1-MOD(INT(($CJ24+CD204)/{2,4,8,16,32,64,128,256,512,1024,2048,4096,8192,16384,32768}),2))*{2,4,8,16,32,64,128,256,512,1024,2048,4096,8192,16384,32768})=0,0,2^SUMPRODUCT(--(MOD(SUMPRODUCT(MOD(INT(CE159/{2,4,8,16,32,64,128,256,512,1024,2048,4096,8192,16384,32768}),2)*(1-MOD(INT(($CJ24+CD204)/{2,4,8,16,32,64,128,256,512,1024,2048,4096,8192,16384,32768}),2))*{2,4,8,16,32,64,128,256,512,1024,2048,4096,8192,16384,32768}),{2,4,8,16,32,64,128,256,512,1024,2048,4096,8192,16384,32768})=0))))</f>
        <v/>
      </c>
      <c r="CF204">
        <f>CE204+IF(AND(CF114&gt;0,COUNTIF($Y114:CE114,CF114)=0),0,IF(SUMPRODUCT(MOD(INT(CF159/{2,4,8,16,32,64,128,256,512,1024,2048,4096,8192,16384,32768}),2)*(1-MOD(INT(($CJ24+CE204)/{2,4,8,16,32,64,128,256,512,1024,2048,4096,8192,16384,32768}),2))*{2,4,8,16,32,64,128,256,512,1024,2048,4096,8192,16384,32768})=0,0,2^SUMPRODUCT(--(MOD(SUMPRODUCT(MOD(INT(CF159/{2,4,8,16,32,64,128,256,512,1024,2048,4096,8192,16384,32768}),2)*(1-MOD(INT(($CJ24+CE204)/{2,4,8,16,32,64,128,256,512,1024,2048,4096,8192,16384,32768}),2))*{2,4,8,16,32,64,128,256,512,1024,2048,4096,8192,16384,32768}),{2,4,8,16,32,64,128,256,512,1024,2048,4096,8192,16384,32768})=0))))</f>
        <v/>
      </c>
      <c r="DA204" t="n">
        <v>200</v>
      </c>
      <c r="DB204">
        <f>IF($B$37=0,"",IFERROR(TRIM(SUBSTITUTE(SUBSTITUTE(SUBSTITUTE(SUBSTITUTE(INDEX(PASTE_ALL,200,$B$37)," "," "),CHAR(9)," "),CHAR(10)," "),CHAR(13)," ")),""))</f>
        <v/>
      </c>
      <c r="DC204">
        <f>IF(AND(200&gt;HEADER_ROW,UPPER(DB204)="LEGEND"),1,0)</f>
        <v/>
      </c>
      <c r="DE204" t="n">
        <v>200</v>
      </c>
      <c r="DF204">
        <f>HEADER_ROW+$DE204</f>
        <v/>
      </c>
      <c r="DG204">
        <f>IF(AND($DF204&lt;=1000,$DF204&lt;$B$8),1,0)</f>
        <v/>
      </c>
      <c r="DH204">
        <f>IF($DG204=1,IFERROR(INDEX($DB$5:$DB$1004,$DF204),""),"")</f>
        <v/>
      </c>
      <c r="DI204">
        <f>IF(AND($DG204=1,$DH204&lt;&gt;""),IFERROR(SUBSTITUTE(SUBSTITUTE(TRIM(SUBSTITUTE(SUBSTITUTE(SUBSTITUTE(SUBSTITUTE(IFERROR(INDEX(PASTE_ALL,$DF204,1)&amp;"","")&amp;"␟"&amp;IFERROR(INDEX(PASTE_ALL,$DF204,2)&amp;"","")&amp;"␟"&amp;IFERROR(INDEX(PASTE_ALL,$DF204,3)&amp;"","")&amp;"␟"&amp;IFERROR(INDEX(PASTE_ALL,$DF204,4)&amp;"","")&amp;"␟"&amp;IFERROR(INDEX(PASTE_ALL,$DF204,5)&amp;"","")&amp;"␟"&amp;IFERROR(INDEX(PASTE_ALL,$DF204,6)&amp;"","")&amp;"␟"&amp;IFERROR(INDEX(PASTE_ALL,$DF204,7)&amp;"","")&amp;"␟"&amp;IFERROR(INDEX(PASTE_ALL,$DF204,8)&amp;"","")&amp;"␟"&amp;IFERROR(INDEX(PASTE_ALL,$DF204,9)&amp;"","")&amp;"␟"&amp;IFERROR(INDEX(PASTE_ALL,$DF204,10)&amp;"","")&amp;"␟"&amp;IFERROR(INDEX(PASTE_ALL,$DF204,11)&amp;"","")&amp;"␟"&amp;IFERROR(INDEX(PASTE_ALL,$DF204,12)&amp;"","")&amp;"␟"&amp;IFERROR(INDEX(PASTE_ALL,$DF204,13)&amp;"","")&amp;"␟"&amp;IFERROR(INDEX(PASTE_ALL,$DF204,14)&amp;"","")&amp;"␟"&amp;IFERROR(INDEX(PASTE_ALL,$DF204,15)&amp;"","")&amp;"␟"&amp;IFERROR(INDEX(PASTE_ALL,$DF204,16)&amp;"","")&amp;"␟"&amp;IFERROR(INDEX(PASTE_ALL,$DF204,17)&amp;"","")&amp;"␟"&amp;IFERROR(INDEX(PASTE_ALL,$DF204,18)&amp;"","")&amp;"␟"&amp;IFERROR(INDEX(PASTE_ALL,$DF204,19)&amp;"","")&amp;"␟"&amp;IFERROR(INDEX(PASTE_ALL,$DF204,20)&amp;"","")&amp;"␟"&amp;IFERROR(INDEX(PASTE_ALL,$DF204,21)&amp;"","")&amp;"␟"&amp;IFERROR(INDEX(PASTE_ALL,$DF204,22)&amp;"","")&amp;"␟"&amp;IFERROR(INDEX(PASTE_ALL,$DF204,23)&amp;"","")&amp;"␟"&amp;IFERROR(INDEX(PASTE_ALL,$DF204,24)&amp;"","")&amp;"␟"&amp;IFERROR(INDEX(PASTE_ALL,$DF204,25)&amp;"","")&amp;"␟"&amp;IFERROR(INDEX(PASTE_ALL,$DF204,26)&amp;"","")&amp;"␟"&amp;IFERROR(INDEX(PASTE_ALL,$DF204,27)&amp;"","")&amp;"␟"&amp;IFERROR(INDEX(PASTE_ALL,$DF204,28)&amp;"","")&amp;"␟"&amp;IFERROR(INDEX(PASTE_ALL,$DF204,29)&amp;"","")&amp;"␟"&amp;IFERROR(INDEX(PASTE_ALL,$DF204,30)&amp;"","")&amp;"␟"&amp;IFERROR(INDEX(PASTE_ALL,$DF204,31)&amp;"","")&amp;"␟"&amp;IFERROR(INDEX(PASTE_ALL,$DF204,32)&amp;"","")&amp;"␟"&amp;IFERROR(INDEX(PASTE_ALL,$DF204,33)&amp;"","")&amp;"␟"&amp;IFERROR(INDEX(PASTE_ALL,$DF204,34)&amp;"","")&amp;"␟"&amp;IFERROR(INDEX(PASTE_ALL,$DF204,35)&amp;"","")&amp;"␟"&amp;IFERROR(INDEX(PASTE_ALL,$DF204,36)&amp;"","")&amp;"␟"&amp;IFERROR(INDEX(PASTE_ALL,$DF204,37)&amp;"","")&amp;"␟"&amp;IFERROR(INDEX(PASTE_ALL,$DF204,38)&amp;"","")&amp;"␟"&amp;IFERROR(INDEX(PASTE_ALL,$DF204,39)&amp;"","")&amp;"␟"&amp;IFERROR(INDEX(PASTE_ALL,$DF204,40)&amp;"","")&amp;"␟"&amp;IFERROR(INDEX(PASTE_ALL,$DF204,41)&amp;"","")&amp;"␟"&amp;IFERROR(INDEX(PASTE_ALL,$DF204,42)&amp;"","")&amp;"␟"&amp;IFERROR(INDEX(PASTE_ALL,$DF204,43)&amp;"","")&amp;"␟"&amp;IFERROR(INDEX(PASTE_ALL,$DF204,44)&amp;"","")&amp;"␟"&amp;IFERROR(INDEX(PASTE_ALL,$DF204,45)&amp;"","")&amp;"␟"&amp;IFERROR(INDEX(PASTE_ALL,$DF204,46)&amp;"","")&amp;"␟"&amp;IFERROR(INDEX(PASTE_ALL,$DF204,47)&amp;"","")&amp;"␟"&amp;IFERROR(INDEX(PASTE_ALL,$DF204,48)&amp;"","")&amp;"␟"&amp;IFERROR(INDEX(PASTE_ALL,$DF204,49)&amp;"","")&amp;"␟"&amp;IFERROR(INDEX(PASTE_ALL,$DF204,50)&amp;"","")&amp;"␟"&amp;IFERROR(INDEX(PASTE_ALL,$DF204,51)&amp;"","")&amp;"␟"&amp;IFERROR(INDEX(PASTE_ALL,$DF204,52)&amp;"","")&amp;"␟"&amp;IFERROR(INDEX(PASTE_ALL,$DF204,53)&amp;"","")&amp;"␟"&amp;IFERROR(INDEX(PASTE_ALL,$DF204,54)&amp;"","")&amp;"␟"&amp;IFERROR(INDEX(PASTE_ALL,$DF204,55)&amp;"","")&amp;"␟"&amp;IFERROR(INDEX(PASTE_ALL,$DF204,56)&amp;"","")&amp;"␟"&amp;IFERROR(INDEX(PASTE_ALL,$DF204,57)&amp;"","")&amp;"␟"&amp;IFERROR(INDEX(PASTE_ALL,$DF204,58)&amp;"","")&amp;"␟"&amp;IFERROR(INDEX(PASTE_ALL,$DF204,59)&amp;"","")&amp;"␟"&amp;IFERROR(INDEX(PASTE_ALL,$DF204,60)&amp;"","")," "," "),CHAR(9)," "),CHAR(10)," "),CHAR(13)," "))," ␟","␟"),"␟ ","␟"),"#"&amp;$DE204),"")</f>
        <v/>
      </c>
      <c r="DJ204">
        <f>IF($DI204="",0,IF(SUMPRODUCT(--EXACT($DI$4:DI203,$DI204))&gt;0,1,0))</f>
        <v/>
      </c>
      <c r="DK204">
        <f>IF(AND($DI204&lt;&gt;"",$DJ204=0),1,0)</f>
        <v/>
      </c>
      <c r="DL204">
        <f>DL203+$DK204</f>
        <v/>
      </c>
      <c r="DM204">
        <f>IF(AND($DK204=1,$DL204&lt;=600),1,0)</f>
        <v/>
      </c>
      <c r="DN204">
        <f>IF($DM204=0,"",IF($L$6=0,"",IFERROR(IF(ISNUMBER(INDEX(PASTE_ALL,$DF204,$L$6)),INDEX(PASTE_ALL,$DF204,$L$6),TRIM(SUBSTITUTE(SUBSTITUTE(SUBSTITUTE(SUBSTITUTE(INDEX(PASTE_ALL,$DF204,$L$6)," "," "),CHAR(9)," "),CHAR(10)," "),CHAR(13)," "))),"")))</f>
        <v/>
      </c>
      <c r="DO204">
        <f>IF($DM204=0,"",IF($L$7=0,"",IFERROR(IF(ISNUMBER(INDEX(PASTE_ALL,$DF204,$L$7)),INDEX(PASTE_ALL,$DF204,$L$7),TRIM(SUBSTITUTE(SUBSTITUTE(SUBSTITUTE(SUBSTITUTE(INDEX(PASTE_ALL,$DF204,$L$7)," "," "),CHAR(9)," "),CHAR(10)," "),CHAR(13)," "))),"")))</f>
        <v/>
      </c>
      <c r="DP204">
        <f>IF($DM204=0,"",IF($L$8=0,"",IFERROR(IF(ISNUMBER(INDEX(PASTE_ALL,$DF204,$L$8)),INDEX(PASTE_ALL,$DF204,$L$8),TRIM(SUBSTITUTE(SUBSTITUTE(SUBSTITUTE(SUBSTITUTE(INDEX(PASTE_ALL,$DF204,$L$8)," "," "),CHAR(9)," "),CHAR(10)," "),CHAR(13)," "))),"")))</f>
        <v/>
      </c>
      <c r="DQ204">
        <f>IF($DM204=0,"",IF($L$9=0,"",IFERROR(IF(ISNUMBER(INDEX(PASTE_ALL,$DF204,$L$9)),INDEX(PASTE_ALL,$DF204,$L$9),TRIM(SUBSTITUTE(SUBSTITUTE(SUBSTITUTE(SUBSTITUTE(INDEX(PASTE_ALL,$DF204,$L$9)," "," "),CHAR(9)," "),CHAR(10)," "),CHAR(13)," "))),"")))</f>
        <v/>
      </c>
      <c r="DR204">
        <f>IF($DM204=0,"",IF($L$10=0,"",IFERROR(IF(ISNUMBER(INDEX(PASTE_ALL,$DF204,$L$10)),INDEX(PASTE_ALL,$DF204,$L$10),TRIM(SUBSTITUTE(SUBSTITUTE(SUBSTITUTE(SUBSTITUTE(INDEX(PASTE_ALL,$DF204,$L$10)," "," "),CHAR(9)," "),CHAR(10)," "),CHAR(13)," "))),"")))</f>
        <v/>
      </c>
      <c r="DS204">
        <f>IF($DM204=0,"",IF($L$11=0,"",IFERROR(IF(ISNUMBER(INDEX(PASTE_ALL,$DF204,$L$11)),INDEX(PASTE_ALL,$DF204,$L$11),TRIM(SUBSTITUTE(SUBSTITUTE(SUBSTITUTE(SUBSTITUTE(INDEX(PASTE_ALL,$DF204,$L$11)," "," "),CHAR(9)," "),CHAR(10)," "),CHAR(13)," "))),"")))</f>
        <v/>
      </c>
      <c r="DT204">
        <f>IF($DM204=0,"",IF($L$12=0,"",IFERROR(IF(ISNUMBER(INDEX(PASTE_ALL,$DF204,$L$12)),INDEX(PASTE_ALL,$DF204,$L$12),TRIM(SUBSTITUTE(SUBSTITUTE(SUBSTITUTE(SUBSTITUTE(INDEX(PASTE_ALL,$DF204,$L$12)," "," "),CHAR(9)," "),CHAR(10)," "),CHAR(13)," "))),"")))</f>
        <v/>
      </c>
      <c r="DU204">
        <f>IF($DM204=0,"",IF($L$13=0,"",IFERROR(IF(ISNUMBER(INDEX(PASTE_ALL,$DF204,$L$13)),INDEX(PASTE_ALL,$DF204,$L$13),TRIM(SUBSTITUTE(SUBSTITUTE(SUBSTITUTE(SUBSTITUTE(INDEX(PASTE_ALL,$DF204,$L$13)," "," "),CHAR(9)," "),CHAR(10)," "),CHAR(13)," "))),"")))</f>
        <v/>
      </c>
      <c r="DV204">
        <f>IF($DM204=0,"",IF($L$14=0,"",IFERROR(IF(ISNUMBER(INDEX(PASTE_ALL,$DF204,$L$14)),INDEX(PASTE_ALL,$DF204,$L$14),TRIM(SUBSTITUTE(SUBSTITUTE(SUBSTITUTE(SUBSTITUTE(INDEX(PASTE_ALL,$DF204,$L$14)," "," "),CHAR(9)," "),CHAR(10)," "),CHAR(13)," "))),"")))</f>
        <v/>
      </c>
      <c r="DW204">
        <f>IF($DM204=0,"",IF($L$15=0,"",IFERROR(IF(ISNUMBER(INDEX(PASTE_ALL,$DF204,$L$15)),INDEX(PASTE_ALL,$DF204,$L$15),IF(SUMPRODUCT(--ISNUMBER(FIND({"A","B","C","D","E","F","G","H","I","J","K","L","M","N","O","P","Q","R","S","T","U","V","W","X","Y","Z","0","1","2","3","4","5","6","7","8","9"},UPPER(TRIM(SUBSTITUTE(SUBSTITUTE(SUBSTITUTE(SUBSTITUTE(INDEX(PASTE_ALL,$DF204,$L$15)," "," "),CHAR(9)," "),CHAR(10)," "),CHAR(13)," "))))))&gt;0,TRIM(SUBSTITUTE(SUBSTITUTE(SUBSTITUTE(SUBSTITUTE(INDEX(PASTE_ALL,$DF204,$L$15)," "," "),CHAR(9)," "),CHAR(10)," "),CHAR(13)," ")),"")),"")))</f>
        <v/>
      </c>
      <c r="DX204">
        <f>IF($DM204=0,"",IF($L$16=0,"",IFERROR(IF(ISNUMBER(INDEX(PASTE_ALL,$DF204,$L$16)),INDEX(PASTE_ALL,$DF204,$L$16),SUBSTITUTE(SUBSTITUTE(TRIM(SUBSTITUTE(SUBSTITUTE(SUBSTITUTE(SUBSTITUTE(INDEX(PASTE_ALL,$DF204,$L$16)," "," "),CHAR(9)," "),CHAR(10)," "),CHAR(13)," ")),",",""),"%","")),"")))</f>
        <v/>
      </c>
      <c r="DY204">
        <f>IF($DM204=0,"",IFERROR(IF(ISNUMBER($DX204),$DX204,IF($DX204="","",IF(TRIM($DX204)="",0,IF(AND(AND(SUBSTITUTE(SUBSTITUTE(SUBSTITUTE(SUBSTITUTE(SUBSTITUTE(SUBSTITUTE(SUBSTITUTE(SUBSTITUTE(SUBSTITUTE(SUBSTITUTE(SUBSTITUTE(SUBSTITUTE(SUBSTITUTE(SUBSTITUTE(UPPER(TRIM($DX204)),"0",""),"1",""),"2",""),"3",""),"4",""),"5",""),"6",""),"7",""),"8",""),"9",""),".",""),"+",""),"-",""),"E","")="",LEN(SUBSTITUTE(SUBSTITUTE(MID(UPPER(TRIM($DX204)),1+OR(LEFT(UPPER(TRIM($DX204)),1)="+",LEFT(UPPER(TRIM($DX204)),1)="-"),999),"E+","E"),"E-","E"))=LEN(SUBSTITUTE(SUBSTITUTE(SUBSTITUTE(SUBSTITUTE(MID(UPPER(TRIM($DX204)),1+OR(LEFT(UPPER(TRIM($DX204)),1)="+",LEFT(UPPER(TRIM($DX204)),1)="-"),999),"E+","E"),"E-","E"),"+",""),"-","")),LEN(UPPER(TRIM($DX204)))-LEN(SUBSTITUTE(UPPER(TRIM($DX204)),"E",""))&lt;2,LEN(UPPER(TRIM($DX204)))-LEN(SUBSTITUTE(UPPER(TRIM($DX204)),".",""))&lt;2,IFERROR(FIND(".",UPPER(TRIM($DX204))),0)&lt;IFERROR(FIND("E",UPPER(TRIM($DX204))),999)),ISNUMBER(VALUE(TRIM($DX204)))),VALUE(TRIM($DX204)),"")))),""))</f>
        <v/>
      </c>
      <c r="DZ204">
        <f>IF($DM204=0,"",IF($L$17=0,"",IFERROR(IF(ISNUMBER(INDEX(PASTE_ALL,$DF204,$L$17)),INDEX(PASTE_ALL,$DF204,$L$17),SUBSTITUTE(SUBSTITUTE(TRIM(SUBSTITUTE(SUBSTITUTE(SUBSTITUTE(SUBSTITUTE(INDEX(PASTE_ALL,$DF204,$L$17)," "," "),CHAR(9)," "),CHAR(10)," "),CHAR(13)," ")),",",""),"%","")),"")))</f>
        <v/>
      </c>
      <c r="EA204">
        <f>IF($DM204=0,"",IFERROR(IF(ISNUMBER($DZ204),$DZ204,IF($DZ204="","",IF(TRIM($DZ204)="",0,IF(AND(AND(SUBSTITUTE(SUBSTITUTE(SUBSTITUTE(SUBSTITUTE(SUBSTITUTE(SUBSTITUTE(SUBSTITUTE(SUBSTITUTE(SUBSTITUTE(SUBSTITUTE(SUBSTITUTE(SUBSTITUTE(SUBSTITUTE(SUBSTITUTE(UPPER(TRIM($DZ204)),"0",""),"1",""),"2",""),"3",""),"4",""),"5",""),"6",""),"7",""),"8",""),"9",""),".",""),"+",""),"-",""),"E","")="",LEN(SUBSTITUTE(SUBSTITUTE(MID(UPPER(TRIM($DZ204)),1+OR(LEFT(UPPER(TRIM($DZ204)),1)="+",LEFT(UPPER(TRIM($DZ204)),1)="-"),999),"E+","E"),"E-","E"))=LEN(SUBSTITUTE(SUBSTITUTE(SUBSTITUTE(SUBSTITUTE(MID(UPPER(TRIM($DZ204)),1+OR(LEFT(UPPER(TRIM($DZ204)),1)="+",LEFT(UPPER(TRIM($DZ204)),1)="-"),999),"E+","E"),"E-","E"),"+",""),"-","")),LEN(UPPER(TRIM($DZ204)))-LEN(SUBSTITUTE(UPPER(TRIM($DZ204)),"E",""))&lt;2,LEN(UPPER(TRIM($DZ204)))-LEN(SUBSTITUTE(UPPER(TRIM($DZ204)),".",""))&lt;2,IFERROR(FIND(".",UPPER(TRIM($DZ204))),0)&lt;IFERROR(FIND("E",UPPER(TRIM($DZ204))),999)),ISNUMBER(VALUE(TRIM($DZ204)))),VALUE(TRIM($DZ204)),"")))),""))</f>
        <v/>
      </c>
      <c r="EB204">
        <f>IF($DM204=0,"",IF($L$18=0,"",IFERROR(IF(UPPER(TRIM(SUBSTITUTE(SUBSTITUTE(SUBSTITUTE(SUBSTITUTE(INDEX(PASTE_ALL,$DF204,$L$18)," "," "),CHAR(9)," "),CHAR(10)," "),CHAR(13)," ")))="READY","Ready",IF(UPPER(TRIM(SUBSTITUTE(SUBSTITUTE(SUBSTITUTE(SUBSTITUTE(INDEX(PASTE_ALL,$DF204,$L$18)," "," "),CHAR(9)," "),CHAR(10)," "),CHAR(13)," ")))="PM","PM",IF(OR(UPPER(TRIM(SUBSTITUTE(SUBSTITUTE(SUBSTITUTE(SUBSTITUTE(INDEX(PASTE_ALL,$DF204,$L$18)," "," "),CHAR(9)," "),CHAR(10)," "),CHAR(13)," ")))="OT",UPPER(TRIM(SUBSTITUTE(SUBSTITUTE(SUBSTITUTE(SUBSTITUTE(INDEX(PASTE_ALL,$DF204,$L$18)," "," "),CHAR(9)," "),CHAR(10)," "),CHAR(13)," ")))="OVERTIME",UPPER(TRIM(SUBSTITUTE(SUBSTITUTE(SUBSTITUTE(SUBSTITUTE(INDEX(PASTE_ALL,$DF204,$L$18)," "," "),CHAR(9)," "),CHAR(10)," "),CHAR(13)," ")))="TRIAL"),"OT",TRIM(SUBSTITUTE(SUBSTITUTE(SUBSTITUTE(SUBSTITUTE(INDEX(PASTE_ALL,$DF204,$L$18)," "," "),CHAR(9)," "),CHAR(10)," "),CHAR(13)," "))))),"")))</f>
        <v/>
      </c>
      <c r="EC204">
        <f>IF($DM204=0,"",IF($L$19=0,"",IFERROR(IF(ISNUMBER(INDEX(PASTE_ALL,$DF204,$L$19)),INDEX(PASTE_ALL,$DF204,$L$19),TRIM(SUBSTITUTE(SUBSTITUTE(SUBSTITUTE(SUBSTITUTE(INDEX(PASTE_ALL,$DF204,$L$19)," "," "),CHAR(9)," "),CHAR(10)," "),CHAR(13)," "))),"")))</f>
        <v/>
      </c>
      <c r="ED204">
        <f>IF($DM204=0,"",MATCH(1,INDEX(EXACT($DH$5:DH204,$DH204)*$DM$5:DM204,0),0))</f>
        <v/>
      </c>
      <c r="EE204">
        <f>IF($DM204=0,0,IF($ED204=$DE204,1,0))</f>
        <v/>
      </c>
      <c r="EF204">
        <f>EF203+$EE204</f>
        <v/>
      </c>
      <c r="EG204">
        <f>IF($DM204=0,"",INDEX($EF$5:$EF$1003,$ED204))</f>
        <v/>
      </c>
      <c r="EH204">
        <f>IF($DM204=0,"",IF($DO204&lt;&gt;"","",IFERROR(LOOKUP(2,1/(($EG$4:EG203=$EG204)*($DO$4:DO203&lt;&gt;"")),$DO$4:DO203),"")))</f>
        <v/>
      </c>
      <c r="EI204">
        <f>IF($DM204=0,"",IF($DO204&lt;&gt;"",$DO204,$EH204))</f>
        <v/>
      </c>
      <c r="EJ204">
        <f>IF($DM204=0,"",IF($EI204="",0,IF(OR(ISNUMBER($EI204),AND(AND(SUBSTITUTE(SUBSTITUTE(SUBSTITUTE(SUBSTITUTE(SUBSTITUTE(SUBSTITUTE(SUBSTITUTE(SUBSTITUTE(SUBSTITUTE(SUBSTITUTE(SUBSTITUTE(SUBSTITUTE(SUBSTITUTE(SUBSTITUTE(UPPER($EI204),"0",""),"1",""),"2",""),"3",""),"4",""),"5",""),"6",""),"7",""),"8",""),"9",""),".",""),"+",""),"-",""),"E","")="",LEN(SUBSTITUTE(SUBSTITUTE(MID(UPPER($EI204),1+OR(LEFT(UPPER($EI204),1)="+",LEFT(UPPER($EI204),1)="-"),999),"E+","E"),"E-","E"))=LEN(SUBSTITUTE(SUBSTITUTE(SUBSTITUTE(SUBSTITUTE(MID(UPPER($EI204),1+OR(LEFT(UPPER($EI204),1)="+",LEFT(UPPER($EI204),1)="-"),999),"E+","E"),"E-","E"),"+",""),"-","")),LEN(UPPER($EI204))-LEN(SUBSTITUTE(UPPER($EI204),"E",""))&lt;2,LEN(UPPER($EI204))-LEN(SUBSTITUTE(UPPER($EI204),".",""))&lt;2,IFERROR(FIND(".",UPPER($EI204)),0)&lt;IFERROR(FIND("E",UPPER($EI204)),999)),ISNUMBER(VALUE($EI204)))),1,2)))</f>
        <v/>
      </c>
      <c r="EK204">
        <f>IF($DM204=0,"",IF($EJ204=1,IF(ISNUMBER($EI204),$EI204,VALUE($EI204)),IF($EJ204=2,$DE204,0)))</f>
        <v/>
      </c>
      <c r="EL204">
        <f>IF($DM204=0,"",COUNTIF($EG$5:$EG$1003,"&lt;"&amp;$EG204)+SUMPRODUCT(($EG$5:$EG$1003=$EG204)*(($EJ$5:$EJ$1003&lt;$EJ204)+($EJ$5:$EJ$1003=$EJ204)*(($EK$5:$EK$1003&lt;$EK204)+($EK$5:$EK$1003=$EK204)*($DE$5:$DE$1003&lt;$DE204))))+1)</f>
        <v/>
      </c>
      <c r="EM204">
        <f>IF($DM204=0,"",$EL204+$EG204-1)</f>
        <v/>
      </c>
      <c r="EN204">
        <f>IF($DM204=0,0,IFERROR(MATCH(1,INDEX(--(TRIM(SUBSTITUTE(SUBSTITUTE(SUBSTITUTE(SUBSTITUTE(LINES_NAME&amp;""," "," "),CHAR(9)," "),CHAR(10)," "),CHAR(13)," "))=$DH204),0),0),0))</f>
        <v/>
      </c>
      <c r="EO204">
        <f>IF($EN204=0,0,IF(OR(UPPER(TRIM(INDEX(LINES_SCHEDULED,$EN204)&amp;""))="YES",UPPER(TRIM(INDEX(LINES_SCHEDULED,$EN204)&amp;""))="Y",UPPER(TRIM(INDEX(LINES_SCHEDULED,$EN204)&amp;""))="X"),1,0))</f>
        <v/>
      </c>
      <c r="EP204">
        <f>IF($DM204=0,"",IF(COUNTIFS($EG$5:$EG$1003,$EG204,$EB$5:$EB$1003,"Ready")&gt;0,"READY",IF(COUNTIFS($EG$5:$EG$1003,$EG204,$EB$5:$EB$1003,"PM")&gt;0,"PM",IF(COUNTIFS($EG$5:$EG$1003,$EG204,$EB$5:$EB$1003,"OT")&gt;0,"OT",""))))</f>
        <v/>
      </c>
      <c r="EQ204">
        <f>IF($EN204=0,"",UPPER(TRIM(INDEX(LINES_STATUS,$EN204)&amp;"")))</f>
        <v/>
      </c>
      <c r="ER204">
        <f>IF($DM204=0,"",IF(OR($EQ204="READY",$EQ204="PM",$EQ204="OT"),$EQ204,$EP204))</f>
        <v/>
      </c>
      <c r="ES204">
        <f>IF($DM204=0,"",IF(AND($DV204&lt;&gt;"",UPPER($DV204)&lt;&gt;"N"),"allergen",IF(ISNUMBER(SEARCH("oil",$DQ204)),"oil",IF(OR(EXACT($DS204,"A662"),EXACT($DS204,"A624")),"bulk",""))))</f>
        <v/>
      </c>
      <c r="ET204">
        <f>IF($DM204=0,"",IF(OR($EA204="",$EA204=0),"",$EA204/100))</f>
        <v/>
      </c>
      <c r="EU204">
        <f>IF(OR($ET204="",$DY204=""),"",INT($DY204*(1-$ET204)+0.5))</f>
        <v/>
      </c>
      <c r="EW204" t="n">
        <v>200</v>
      </c>
      <c r="EX204">
        <f>IFERROR(MATCH($EW204,$EM$5:$EM$1003,0),0)</f>
        <v/>
      </c>
      <c r="EY204">
        <f>IF($EW204&gt;$B$12,"",IF($EX204&gt;0,"row","spacer"))</f>
        <v/>
      </c>
      <c r="EZ204">
        <f>IF(AND($EY204="row",$EY203&lt;&gt;"row"),1,0)</f>
        <v/>
      </c>
      <c r="FA204">
        <f>IF(AND($EY204="row",$EY205&lt;&gt;"row"),1,0)</f>
        <v/>
      </c>
      <c r="FB204">
        <f>IF($EZ204=1,IFERROR(IF(ISNUMBER(INDEX(PASTE_ALL,INDEX($DF$5:$DF$1003,$EX204),$B$37)),INDEX(PASTE_ALL,INDEX($DF$5:$DF$1003,$EX204),$B$37),INDEX($DH$5:$DH$1003,$EX204)),INDEX($DH$5:$DH$1003,$EX204)),"")</f>
        <v/>
      </c>
      <c r="FC204">
        <f>IF($EY204="row",INDEX($ER$5:$ER$1003,$EX204),"")</f>
        <v/>
      </c>
      <c r="FD204">
        <f>IF($EY204="row",INDEX($DN$5:$DN$1003,$EX204),"")</f>
        <v/>
      </c>
      <c r="FE204">
        <f>IF($EY204="row",INDEX($DO$5:$DO$1003,$EX204),"")</f>
        <v/>
      </c>
      <c r="FF204">
        <f>IF($EY204="row",INDEX($DP$5:$DP$1003,$EX204),"")</f>
        <v/>
      </c>
      <c r="FG204">
        <f>IF($EY204="row",INDEX($DQ$5:$DQ$1003,$EX204),"")</f>
        <v/>
      </c>
      <c r="FH204">
        <f>IF($EY204="row",INDEX($DR$5:$DR$1003,$EX204),"")</f>
        <v/>
      </c>
      <c r="FI204">
        <f>IF($EY204="row",INDEX($DS$5:$DS$1003,$EX204),"")</f>
        <v/>
      </c>
      <c r="FJ204">
        <f>IF($EY204="row",INDEX($DT$5:$DT$1003,$EX204),"")</f>
        <v/>
      </c>
      <c r="FK204">
        <f>IF($EY204="row",INDEX($DU$5:$DU$1003,$EX204),"")</f>
        <v/>
      </c>
      <c r="FL204">
        <f>IF($EY204="row",INDEX($DV$5:$DV$1003,$EX204),"")</f>
        <v/>
      </c>
      <c r="FM204">
        <f>IF($EY204="row",INDEX($DW$5:$DW$1003,$EX204),"")</f>
        <v/>
      </c>
      <c r="FN204">
        <f>IF($EY204="row",INDEX($DY$5:$DY$1003,$EX204),"")</f>
        <v/>
      </c>
      <c r="FO204">
        <f>IF($EY204="row",INDEX($EA$5:$EA$1003,$EX204),"")</f>
        <v/>
      </c>
      <c r="FP204">
        <f>IF($EY204="row",INDEX($EC$5:$EC$1003,$EX204),"")</f>
        <v/>
      </c>
      <c r="FQ204">
        <f>IF($EY204="row",INDEX($ET$5:$ET$1003,$EX204),"")</f>
        <v/>
      </c>
      <c r="FR204">
        <f>IF($EY204="row",INDEX($EU$5:$EU$1003,$EX204),"")</f>
        <v/>
      </c>
      <c r="FS204">
        <f>IF(AND($EY204="row",$EY203="row"),IF(OR(INDEX($DT$5:$DT$1003,$EX203)="",INDEX($DT$5:$DT$1003,$EX204)=""),"",IF(NOT(EXACT(INDEX($DT$5:$DT$1003,$EX203),INDEX($DT$5:$DT$1003,$EX204))),"S4",IF(NOT(EXACT(INDEX($DS$5:$DS$1003,$EX203),INDEX($DS$5:$DS$1003,$EX204))),"S3",IF(NOT(EXACT(INDEX($DR$5:$DR$1003,$EX203),INDEX($DR$5:$DR$1003,$EX204))),"S1 Count Change","S1")))),"")</f>
        <v/>
      </c>
      <c r="FT204">
        <f>IF($EY204="row",INDEX($ES$5:$ES$1003,$EX204),"")</f>
        <v/>
      </c>
      <c r="FU204">
        <f>IF($EY204="row",INDEX($EO$5:$EO$1003,$EX204),0)</f>
        <v/>
      </c>
      <c r="FV204">
        <f>IF($FS204="S1 Count Change",1,0)</f>
        <v/>
      </c>
    </row>
    <row r="205">
      <c r="Y205">
        <f>0+IF(Y115&gt;0,0,IF(SUMPRODUCT(MOD(INT(Y160/{2,4,8,16,32,64,128,256,512,1024,2048,4096,8192,16384,32768}),2)*(1-MOD(INT(($CJ25+0)/{2,4,8,16,32,64,128,256,512,1024,2048,4096,8192,16384,32768}),2))*{2,4,8,16,32,64,128,256,512,1024,2048,4096,8192,16384,32768})=0,0,2^SUMPRODUCT(--(MOD(SUMPRODUCT(MOD(INT(Y160/{2,4,8,16,32,64,128,256,512,1024,2048,4096,8192,16384,32768}),2)*(1-MOD(INT(($CJ25+0)/{2,4,8,16,32,64,128,256,512,1024,2048,4096,8192,16384,32768}),2))*{2,4,8,16,32,64,128,256,512,1024,2048,4096,8192,16384,32768}),{2,4,8,16,32,64,128,256,512,1024,2048,4096,8192,16384,32768})=0))))</f>
        <v/>
      </c>
      <c r="Z205">
        <f>Y205+IF(AND(Z115&gt;0,COUNTIF($Y115:Y115,Z115)=0),0,IF(SUMPRODUCT(MOD(INT(Z160/{2,4,8,16,32,64,128,256,512,1024,2048,4096,8192,16384,32768}),2)*(1-MOD(INT(($CJ25+Y205)/{2,4,8,16,32,64,128,256,512,1024,2048,4096,8192,16384,32768}),2))*{2,4,8,16,32,64,128,256,512,1024,2048,4096,8192,16384,32768})=0,0,2^SUMPRODUCT(--(MOD(SUMPRODUCT(MOD(INT(Z160/{2,4,8,16,32,64,128,256,512,1024,2048,4096,8192,16384,32768}),2)*(1-MOD(INT(($CJ25+Y205)/{2,4,8,16,32,64,128,256,512,1024,2048,4096,8192,16384,32768}),2))*{2,4,8,16,32,64,128,256,512,1024,2048,4096,8192,16384,32768}),{2,4,8,16,32,64,128,256,512,1024,2048,4096,8192,16384,32768})=0))))</f>
        <v/>
      </c>
      <c r="AA205">
        <f>Z205+IF(AND(AA115&gt;0,COUNTIF($Y115:Z115,AA115)=0),0,IF(SUMPRODUCT(MOD(INT(AA160/{2,4,8,16,32,64,128,256,512,1024,2048,4096,8192,16384,32768}),2)*(1-MOD(INT(($CJ25+Z205)/{2,4,8,16,32,64,128,256,512,1024,2048,4096,8192,16384,32768}),2))*{2,4,8,16,32,64,128,256,512,1024,2048,4096,8192,16384,32768})=0,0,2^SUMPRODUCT(--(MOD(SUMPRODUCT(MOD(INT(AA160/{2,4,8,16,32,64,128,256,512,1024,2048,4096,8192,16384,32768}),2)*(1-MOD(INT(($CJ25+Z205)/{2,4,8,16,32,64,128,256,512,1024,2048,4096,8192,16384,32768}),2))*{2,4,8,16,32,64,128,256,512,1024,2048,4096,8192,16384,32768}),{2,4,8,16,32,64,128,256,512,1024,2048,4096,8192,16384,32768})=0))))</f>
        <v/>
      </c>
      <c r="AB205">
        <f>AA205+IF(AND(AB115&gt;0,COUNTIF($Y115:AA115,AB115)=0),0,IF(SUMPRODUCT(MOD(INT(AB160/{2,4,8,16,32,64,128,256,512,1024,2048,4096,8192,16384,32768}),2)*(1-MOD(INT(($CJ25+AA205)/{2,4,8,16,32,64,128,256,512,1024,2048,4096,8192,16384,32768}),2))*{2,4,8,16,32,64,128,256,512,1024,2048,4096,8192,16384,32768})=0,0,2^SUMPRODUCT(--(MOD(SUMPRODUCT(MOD(INT(AB160/{2,4,8,16,32,64,128,256,512,1024,2048,4096,8192,16384,32768}),2)*(1-MOD(INT(($CJ25+AA205)/{2,4,8,16,32,64,128,256,512,1024,2048,4096,8192,16384,32768}),2))*{2,4,8,16,32,64,128,256,512,1024,2048,4096,8192,16384,32768}),{2,4,8,16,32,64,128,256,512,1024,2048,4096,8192,16384,32768})=0))))</f>
        <v/>
      </c>
      <c r="AC205">
        <f>AB205+IF(AND(AC115&gt;0,COUNTIF($Y115:AB115,AC115)=0),0,IF(SUMPRODUCT(MOD(INT(AC160/{2,4,8,16,32,64,128,256,512,1024,2048,4096,8192,16384,32768}),2)*(1-MOD(INT(($CJ25+AB205)/{2,4,8,16,32,64,128,256,512,1024,2048,4096,8192,16384,32768}),2))*{2,4,8,16,32,64,128,256,512,1024,2048,4096,8192,16384,32768})=0,0,2^SUMPRODUCT(--(MOD(SUMPRODUCT(MOD(INT(AC160/{2,4,8,16,32,64,128,256,512,1024,2048,4096,8192,16384,32768}),2)*(1-MOD(INT(($CJ25+AB205)/{2,4,8,16,32,64,128,256,512,1024,2048,4096,8192,16384,32768}),2))*{2,4,8,16,32,64,128,256,512,1024,2048,4096,8192,16384,32768}),{2,4,8,16,32,64,128,256,512,1024,2048,4096,8192,16384,32768})=0))))</f>
        <v/>
      </c>
      <c r="AD205">
        <f>AC205+IF(AND(AD115&gt;0,COUNTIF($Y115:AC115,AD115)=0),0,IF(SUMPRODUCT(MOD(INT(AD160/{2,4,8,16,32,64,128,256,512,1024,2048,4096,8192,16384,32768}),2)*(1-MOD(INT(($CJ25+AC205)/{2,4,8,16,32,64,128,256,512,1024,2048,4096,8192,16384,32768}),2))*{2,4,8,16,32,64,128,256,512,1024,2048,4096,8192,16384,32768})=0,0,2^SUMPRODUCT(--(MOD(SUMPRODUCT(MOD(INT(AD160/{2,4,8,16,32,64,128,256,512,1024,2048,4096,8192,16384,32768}),2)*(1-MOD(INT(($CJ25+AC205)/{2,4,8,16,32,64,128,256,512,1024,2048,4096,8192,16384,32768}),2))*{2,4,8,16,32,64,128,256,512,1024,2048,4096,8192,16384,32768}),{2,4,8,16,32,64,128,256,512,1024,2048,4096,8192,16384,32768})=0))))</f>
        <v/>
      </c>
      <c r="AE205">
        <f>AD205+IF(AND(AE115&gt;0,COUNTIF($Y115:AD115,AE115)=0),0,IF(SUMPRODUCT(MOD(INT(AE160/{2,4,8,16,32,64,128,256,512,1024,2048,4096,8192,16384,32768}),2)*(1-MOD(INT(($CJ25+AD205)/{2,4,8,16,32,64,128,256,512,1024,2048,4096,8192,16384,32768}),2))*{2,4,8,16,32,64,128,256,512,1024,2048,4096,8192,16384,32768})=0,0,2^SUMPRODUCT(--(MOD(SUMPRODUCT(MOD(INT(AE160/{2,4,8,16,32,64,128,256,512,1024,2048,4096,8192,16384,32768}),2)*(1-MOD(INT(($CJ25+AD205)/{2,4,8,16,32,64,128,256,512,1024,2048,4096,8192,16384,32768}),2))*{2,4,8,16,32,64,128,256,512,1024,2048,4096,8192,16384,32768}),{2,4,8,16,32,64,128,256,512,1024,2048,4096,8192,16384,32768})=0))))</f>
        <v/>
      </c>
      <c r="AF205">
        <f>AE205+IF(AND(AF115&gt;0,COUNTIF($Y115:AE115,AF115)=0),0,IF(SUMPRODUCT(MOD(INT(AF160/{2,4,8,16,32,64,128,256,512,1024,2048,4096,8192,16384,32768}),2)*(1-MOD(INT(($CJ25+AE205)/{2,4,8,16,32,64,128,256,512,1024,2048,4096,8192,16384,32768}),2))*{2,4,8,16,32,64,128,256,512,1024,2048,4096,8192,16384,32768})=0,0,2^SUMPRODUCT(--(MOD(SUMPRODUCT(MOD(INT(AF160/{2,4,8,16,32,64,128,256,512,1024,2048,4096,8192,16384,32768}),2)*(1-MOD(INT(($CJ25+AE205)/{2,4,8,16,32,64,128,256,512,1024,2048,4096,8192,16384,32768}),2))*{2,4,8,16,32,64,128,256,512,1024,2048,4096,8192,16384,32768}),{2,4,8,16,32,64,128,256,512,1024,2048,4096,8192,16384,32768})=0))))</f>
        <v/>
      </c>
      <c r="AG205">
        <f>AF205+IF(AND(AG115&gt;0,COUNTIF($Y115:AF115,AG115)=0),0,IF(SUMPRODUCT(MOD(INT(AG160/{2,4,8,16,32,64,128,256,512,1024,2048,4096,8192,16384,32768}),2)*(1-MOD(INT(($CJ25+AF205)/{2,4,8,16,32,64,128,256,512,1024,2048,4096,8192,16384,32768}),2))*{2,4,8,16,32,64,128,256,512,1024,2048,4096,8192,16384,32768})=0,0,2^SUMPRODUCT(--(MOD(SUMPRODUCT(MOD(INT(AG160/{2,4,8,16,32,64,128,256,512,1024,2048,4096,8192,16384,32768}),2)*(1-MOD(INT(($CJ25+AF205)/{2,4,8,16,32,64,128,256,512,1024,2048,4096,8192,16384,32768}),2))*{2,4,8,16,32,64,128,256,512,1024,2048,4096,8192,16384,32768}),{2,4,8,16,32,64,128,256,512,1024,2048,4096,8192,16384,32768})=0))))</f>
        <v/>
      </c>
      <c r="AH205">
        <f>AG205+IF(AND(AH115&gt;0,COUNTIF($Y115:AG115,AH115)=0),0,IF(SUMPRODUCT(MOD(INT(AH160/{2,4,8,16,32,64,128,256,512,1024,2048,4096,8192,16384,32768}),2)*(1-MOD(INT(($CJ25+AG205)/{2,4,8,16,32,64,128,256,512,1024,2048,4096,8192,16384,32768}),2))*{2,4,8,16,32,64,128,256,512,1024,2048,4096,8192,16384,32768})=0,0,2^SUMPRODUCT(--(MOD(SUMPRODUCT(MOD(INT(AH160/{2,4,8,16,32,64,128,256,512,1024,2048,4096,8192,16384,32768}),2)*(1-MOD(INT(($CJ25+AG205)/{2,4,8,16,32,64,128,256,512,1024,2048,4096,8192,16384,32768}),2))*{2,4,8,16,32,64,128,256,512,1024,2048,4096,8192,16384,32768}),{2,4,8,16,32,64,128,256,512,1024,2048,4096,8192,16384,32768})=0))))</f>
        <v/>
      </c>
      <c r="AI205">
        <f>AH205+IF(AND(AI115&gt;0,COUNTIF($Y115:AH115,AI115)=0),0,IF(SUMPRODUCT(MOD(INT(AI160/{2,4,8,16,32,64,128,256,512,1024,2048,4096,8192,16384,32768}),2)*(1-MOD(INT(($CJ25+AH205)/{2,4,8,16,32,64,128,256,512,1024,2048,4096,8192,16384,32768}),2))*{2,4,8,16,32,64,128,256,512,1024,2048,4096,8192,16384,32768})=0,0,2^SUMPRODUCT(--(MOD(SUMPRODUCT(MOD(INT(AI160/{2,4,8,16,32,64,128,256,512,1024,2048,4096,8192,16384,32768}),2)*(1-MOD(INT(($CJ25+AH205)/{2,4,8,16,32,64,128,256,512,1024,2048,4096,8192,16384,32768}),2))*{2,4,8,16,32,64,128,256,512,1024,2048,4096,8192,16384,32768}),{2,4,8,16,32,64,128,256,512,1024,2048,4096,8192,16384,32768})=0))))</f>
        <v/>
      </c>
      <c r="AJ205">
        <f>AI205+IF(AND(AJ115&gt;0,COUNTIF($Y115:AI115,AJ115)=0),0,IF(SUMPRODUCT(MOD(INT(AJ160/{2,4,8,16,32,64,128,256,512,1024,2048,4096,8192,16384,32768}),2)*(1-MOD(INT(($CJ25+AI205)/{2,4,8,16,32,64,128,256,512,1024,2048,4096,8192,16384,32768}),2))*{2,4,8,16,32,64,128,256,512,1024,2048,4096,8192,16384,32768})=0,0,2^SUMPRODUCT(--(MOD(SUMPRODUCT(MOD(INT(AJ160/{2,4,8,16,32,64,128,256,512,1024,2048,4096,8192,16384,32768}),2)*(1-MOD(INT(($CJ25+AI205)/{2,4,8,16,32,64,128,256,512,1024,2048,4096,8192,16384,32768}),2))*{2,4,8,16,32,64,128,256,512,1024,2048,4096,8192,16384,32768}),{2,4,8,16,32,64,128,256,512,1024,2048,4096,8192,16384,32768})=0))))</f>
        <v/>
      </c>
      <c r="AK205">
        <f>AJ205+IF(AND(AK115&gt;0,COUNTIF($Y115:AJ115,AK115)=0),0,IF(SUMPRODUCT(MOD(INT(AK160/{2,4,8,16,32,64,128,256,512,1024,2048,4096,8192,16384,32768}),2)*(1-MOD(INT(($CJ25+AJ205)/{2,4,8,16,32,64,128,256,512,1024,2048,4096,8192,16384,32768}),2))*{2,4,8,16,32,64,128,256,512,1024,2048,4096,8192,16384,32768})=0,0,2^SUMPRODUCT(--(MOD(SUMPRODUCT(MOD(INT(AK160/{2,4,8,16,32,64,128,256,512,1024,2048,4096,8192,16384,32768}),2)*(1-MOD(INT(($CJ25+AJ205)/{2,4,8,16,32,64,128,256,512,1024,2048,4096,8192,16384,32768}),2))*{2,4,8,16,32,64,128,256,512,1024,2048,4096,8192,16384,32768}),{2,4,8,16,32,64,128,256,512,1024,2048,4096,8192,16384,32768})=0))))</f>
        <v/>
      </c>
      <c r="AL205">
        <f>AK205+IF(AND(AL115&gt;0,COUNTIF($Y115:AK115,AL115)=0),0,IF(SUMPRODUCT(MOD(INT(AL160/{2,4,8,16,32,64,128,256,512,1024,2048,4096,8192,16384,32768}),2)*(1-MOD(INT(($CJ25+AK205)/{2,4,8,16,32,64,128,256,512,1024,2048,4096,8192,16384,32768}),2))*{2,4,8,16,32,64,128,256,512,1024,2048,4096,8192,16384,32768})=0,0,2^SUMPRODUCT(--(MOD(SUMPRODUCT(MOD(INT(AL160/{2,4,8,16,32,64,128,256,512,1024,2048,4096,8192,16384,32768}),2)*(1-MOD(INT(($CJ25+AK205)/{2,4,8,16,32,64,128,256,512,1024,2048,4096,8192,16384,32768}),2))*{2,4,8,16,32,64,128,256,512,1024,2048,4096,8192,16384,32768}),{2,4,8,16,32,64,128,256,512,1024,2048,4096,8192,16384,32768})=0))))</f>
        <v/>
      </c>
      <c r="AM205">
        <f>AL205+IF(AND(AM115&gt;0,COUNTIF($Y115:AL115,AM115)=0),0,IF(SUMPRODUCT(MOD(INT(AM160/{2,4,8,16,32,64,128,256,512,1024,2048,4096,8192,16384,32768}),2)*(1-MOD(INT(($CJ25+AL205)/{2,4,8,16,32,64,128,256,512,1024,2048,4096,8192,16384,32768}),2))*{2,4,8,16,32,64,128,256,512,1024,2048,4096,8192,16384,32768})=0,0,2^SUMPRODUCT(--(MOD(SUMPRODUCT(MOD(INT(AM160/{2,4,8,16,32,64,128,256,512,1024,2048,4096,8192,16384,32768}),2)*(1-MOD(INT(($CJ25+AL205)/{2,4,8,16,32,64,128,256,512,1024,2048,4096,8192,16384,32768}),2))*{2,4,8,16,32,64,128,256,512,1024,2048,4096,8192,16384,32768}),{2,4,8,16,32,64,128,256,512,1024,2048,4096,8192,16384,32768})=0))))</f>
        <v/>
      </c>
      <c r="AN205">
        <f>AM205+IF(AND(AN115&gt;0,COUNTIF($Y115:AM115,AN115)=0),0,IF(SUMPRODUCT(MOD(INT(AN160/{2,4,8,16,32,64,128,256,512,1024,2048,4096,8192,16384,32768}),2)*(1-MOD(INT(($CJ25+AM205)/{2,4,8,16,32,64,128,256,512,1024,2048,4096,8192,16384,32768}),2))*{2,4,8,16,32,64,128,256,512,1024,2048,4096,8192,16384,32768})=0,0,2^SUMPRODUCT(--(MOD(SUMPRODUCT(MOD(INT(AN160/{2,4,8,16,32,64,128,256,512,1024,2048,4096,8192,16384,32768}),2)*(1-MOD(INT(($CJ25+AM205)/{2,4,8,16,32,64,128,256,512,1024,2048,4096,8192,16384,32768}),2))*{2,4,8,16,32,64,128,256,512,1024,2048,4096,8192,16384,32768}),{2,4,8,16,32,64,128,256,512,1024,2048,4096,8192,16384,32768})=0))))</f>
        <v/>
      </c>
      <c r="AO205">
        <f>AN205+IF(AND(AO115&gt;0,COUNTIF($Y115:AN115,AO115)=0),0,IF(SUMPRODUCT(MOD(INT(AO160/{2,4,8,16,32,64,128,256,512,1024,2048,4096,8192,16384,32768}),2)*(1-MOD(INT(($CJ25+AN205)/{2,4,8,16,32,64,128,256,512,1024,2048,4096,8192,16384,32768}),2))*{2,4,8,16,32,64,128,256,512,1024,2048,4096,8192,16384,32768})=0,0,2^SUMPRODUCT(--(MOD(SUMPRODUCT(MOD(INT(AO160/{2,4,8,16,32,64,128,256,512,1024,2048,4096,8192,16384,32768}),2)*(1-MOD(INT(($CJ25+AN205)/{2,4,8,16,32,64,128,256,512,1024,2048,4096,8192,16384,32768}),2))*{2,4,8,16,32,64,128,256,512,1024,2048,4096,8192,16384,32768}),{2,4,8,16,32,64,128,256,512,1024,2048,4096,8192,16384,32768})=0))))</f>
        <v/>
      </c>
      <c r="AP205">
        <f>AO205+IF(AND(AP115&gt;0,COUNTIF($Y115:AO115,AP115)=0),0,IF(SUMPRODUCT(MOD(INT(AP160/{2,4,8,16,32,64,128,256,512,1024,2048,4096,8192,16384,32768}),2)*(1-MOD(INT(($CJ25+AO205)/{2,4,8,16,32,64,128,256,512,1024,2048,4096,8192,16384,32768}),2))*{2,4,8,16,32,64,128,256,512,1024,2048,4096,8192,16384,32768})=0,0,2^SUMPRODUCT(--(MOD(SUMPRODUCT(MOD(INT(AP160/{2,4,8,16,32,64,128,256,512,1024,2048,4096,8192,16384,32768}),2)*(1-MOD(INT(($CJ25+AO205)/{2,4,8,16,32,64,128,256,512,1024,2048,4096,8192,16384,32768}),2))*{2,4,8,16,32,64,128,256,512,1024,2048,4096,8192,16384,32768}),{2,4,8,16,32,64,128,256,512,1024,2048,4096,8192,16384,32768})=0))))</f>
        <v/>
      </c>
      <c r="AQ205">
        <f>AP205+IF(AND(AQ115&gt;0,COUNTIF($Y115:AP115,AQ115)=0),0,IF(SUMPRODUCT(MOD(INT(AQ160/{2,4,8,16,32,64,128,256,512,1024,2048,4096,8192,16384,32768}),2)*(1-MOD(INT(($CJ25+AP205)/{2,4,8,16,32,64,128,256,512,1024,2048,4096,8192,16384,32768}),2))*{2,4,8,16,32,64,128,256,512,1024,2048,4096,8192,16384,32768})=0,0,2^SUMPRODUCT(--(MOD(SUMPRODUCT(MOD(INT(AQ160/{2,4,8,16,32,64,128,256,512,1024,2048,4096,8192,16384,32768}),2)*(1-MOD(INT(($CJ25+AP205)/{2,4,8,16,32,64,128,256,512,1024,2048,4096,8192,16384,32768}),2))*{2,4,8,16,32,64,128,256,512,1024,2048,4096,8192,16384,32768}),{2,4,8,16,32,64,128,256,512,1024,2048,4096,8192,16384,32768})=0))))</f>
        <v/>
      </c>
      <c r="AR205">
        <f>AQ205+IF(AND(AR115&gt;0,COUNTIF($Y115:AQ115,AR115)=0),0,IF(SUMPRODUCT(MOD(INT(AR160/{2,4,8,16,32,64,128,256,512,1024,2048,4096,8192,16384,32768}),2)*(1-MOD(INT(($CJ25+AQ205)/{2,4,8,16,32,64,128,256,512,1024,2048,4096,8192,16384,32768}),2))*{2,4,8,16,32,64,128,256,512,1024,2048,4096,8192,16384,32768})=0,0,2^SUMPRODUCT(--(MOD(SUMPRODUCT(MOD(INT(AR160/{2,4,8,16,32,64,128,256,512,1024,2048,4096,8192,16384,32768}),2)*(1-MOD(INT(($CJ25+AQ205)/{2,4,8,16,32,64,128,256,512,1024,2048,4096,8192,16384,32768}),2))*{2,4,8,16,32,64,128,256,512,1024,2048,4096,8192,16384,32768}),{2,4,8,16,32,64,128,256,512,1024,2048,4096,8192,16384,32768})=0))))</f>
        <v/>
      </c>
      <c r="AS205">
        <f>AR205+IF(AND(AS115&gt;0,COUNTIF($Y115:AR115,AS115)=0),0,IF(SUMPRODUCT(MOD(INT(AS160/{2,4,8,16,32,64,128,256,512,1024,2048,4096,8192,16384,32768}),2)*(1-MOD(INT(($CJ25+AR205)/{2,4,8,16,32,64,128,256,512,1024,2048,4096,8192,16384,32768}),2))*{2,4,8,16,32,64,128,256,512,1024,2048,4096,8192,16384,32768})=0,0,2^SUMPRODUCT(--(MOD(SUMPRODUCT(MOD(INT(AS160/{2,4,8,16,32,64,128,256,512,1024,2048,4096,8192,16384,32768}),2)*(1-MOD(INT(($CJ25+AR205)/{2,4,8,16,32,64,128,256,512,1024,2048,4096,8192,16384,32768}),2))*{2,4,8,16,32,64,128,256,512,1024,2048,4096,8192,16384,32768}),{2,4,8,16,32,64,128,256,512,1024,2048,4096,8192,16384,32768})=0))))</f>
        <v/>
      </c>
      <c r="AT205">
        <f>AS205+IF(AND(AT115&gt;0,COUNTIF($Y115:AS115,AT115)=0),0,IF(SUMPRODUCT(MOD(INT(AT160/{2,4,8,16,32,64,128,256,512,1024,2048,4096,8192,16384,32768}),2)*(1-MOD(INT(($CJ25+AS205)/{2,4,8,16,32,64,128,256,512,1024,2048,4096,8192,16384,32768}),2))*{2,4,8,16,32,64,128,256,512,1024,2048,4096,8192,16384,32768})=0,0,2^SUMPRODUCT(--(MOD(SUMPRODUCT(MOD(INT(AT160/{2,4,8,16,32,64,128,256,512,1024,2048,4096,8192,16384,32768}),2)*(1-MOD(INT(($CJ25+AS205)/{2,4,8,16,32,64,128,256,512,1024,2048,4096,8192,16384,32768}),2))*{2,4,8,16,32,64,128,256,512,1024,2048,4096,8192,16384,32768}),{2,4,8,16,32,64,128,256,512,1024,2048,4096,8192,16384,32768})=0))))</f>
        <v/>
      </c>
      <c r="AU205">
        <f>AT205+IF(AND(AU115&gt;0,COUNTIF($Y115:AT115,AU115)=0),0,IF(SUMPRODUCT(MOD(INT(AU160/{2,4,8,16,32,64,128,256,512,1024,2048,4096,8192,16384,32768}),2)*(1-MOD(INT(($CJ25+AT205)/{2,4,8,16,32,64,128,256,512,1024,2048,4096,8192,16384,32768}),2))*{2,4,8,16,32,64,128,256,512,1024,2048,4096,8192,16384,32768})=0,0,2^SUMPRODUCT(--(MOD(SUMPRODUCT(MOD(INT(AU160/{2,4,8,16,32,64,128,256,512,1024,2048,4096,8192,16384,32768}),2)*(1-MOD(INT(($CJ25+AT205)/{2,4,8,16,32,64,128,256,512,1024,2048,4096,8192,16384,32768}),2))*{2,4,8,16,32,64,128,256,512,1024,2048,4096,8192,16384,32768}),{2,4,8,16,32,64,128,256,512,1024,2048,4096,8192,16384,32768})=0))))</f>
        <v/>
      </c>
      <c r="AV205">
        <f>AU205+IF(AND(AV115&gt;0,COUNTIF($Y115:AU115,AV115)=0),0,IF(SUMPRODUCT(MOD(INT(AV160/{2,4,8,16,32,64,128,256,512,1024,2048,4096,8192,16384,32768}),2)*(1-MOD(INT(($CJ25+AU205)/{2,4,8,16,32,64,128,256,512,1024,2048,4096,8192,16384,32768}),2))*{2,4,8,16,32,64,128,256,512,1024,2048,4096,8192,16384,32768})=0,0,2^SUMPRODUCT(--(MOD(SUMPRODUCT(MOD(INT(AV160/{2,4,8,16,32,64,128,256,512,1024,2048,4096,8192,16384,32768}),2)*(1-MOD(INT(($CJ25+AU205)/{2,4,8,16,32,64,128,256,512,1024,2048,4096,8192,16384,32768}),2))*{2,4,8,16,32,64,128,256,512,1024,2048,4096,8192,16384,32768}),{2,4,8,16,32,64,128,256,512,1024,2048,4096,8192,16384,32768})=0))))</f>
        <v/>
      </c>
      <c r="AW205">
        <f>AV205+IF(AND(AW115&gt;0,COUNTIF($Y115:AV115,AW115)=0),0,IF(SUMPRODUCT(MOD(INT(AW160/{2,4,8,16,32,64,128,256,512,1024,2048,4096,8192,16384,32768}),2)*(1-MOD(INT(($CJ25+AV205)/{2,4,8,16,32,64,128,256,512,1024,2048,4096,8192,16384,32768}),2))*{2,4,8,16,32,64,128,256,512,1024,2048,4096,8192,16384,32768})=0,0,2^SUMPRODUCT(--(MOD(SUMPRODUCT(MOD(INT(AW160/{2,4,8,16,32,64,128,256,512,1024,2048,4096,8192,16384,32768}),2)*(1-MOD(INT(($CJ25+AV205)/{2,4,8,16,32,64,128,256,512,1024,2048,4096,8192,16384,32768}),2))*{2,4,8,16,32,64,128,256,512,1024,2048,4096,8192,16384,32768}),{2,4,8,16,32,64,128,256,512,1024,2048,4096,8192,16384,32768})=0))))</f>
        <v/>
      </c>
      <c r="AX205">
        <f>AW205+IF(AND(AX115&gt;0,COUNTIF($Y115:AW115,AX115)=0),0,IF(SUMPRODUCT(MOD(INT(AX160/{2,4,8,16,32,64,128,256,512,1024,2048,4096,8192,16384,32768}),2)*(1-MOD(INT(($CJ25+AW205)/{2,4,8,16,32,64,128,256,512,1024,2048,4096,8192,16384,32768}),2))*{2,4,8,16,32,64,128,256,512,1024,2048,4096,8192,16384,32768})=0,0,2^SUMPRODUCT(--(MOD(SUMPRODUCT(MOD(INT(AX160/{2,4,8,16,32,64,128,256,512,1024,2048,4096,8192,16384,32768}),2)*(1-MOD(INT(($CJ25+AW205)/{2,4,8,16,32,64,128,256,512,1024,2048,4096,8192,16384,32768}),2))*{2,4,8,16,32,64,128,256,512,1024,2048,4096,8192,16384,32768}),{2,4,8,16,32,64,128,256,512,1024,2048,4096,8192,16384,32768})=0))))</f>
        <v/>
      </c>
      <c r="AY205">
        <f>AX205+IF(AND(AY115&gt;0,COUNTIF($Y115:AX115,AY115)=0),0,IF(SUMPRODUCT(MOD(INT(AY160/{2,4,8,16,32,64,128,256,512,1024,2048,4096,8192,16384,32768}),2)*(1-MOD(INT(($CJ25+AX205)/{2,4,8,16,32,64,128,256,512,1024,2048,4096,8192,16384,32768}),2))*{2,4,8,16,32,64,128,256,512,1024,2048,4096,8192,16384,32768})=0,0,2^SUMPRODUCT(--(MOD(SUMPRODUCT(MOD(INT(AY160/{2,4,8,16,32,64,128,256,512,1024,2048,4096,8192,16384,32768}),2)*(1-MOD(INT(($CJ25+AX205)/{2,4,8,16,32,64,128,256,512,1024,2048,4096,8192,16384,32768}),2))*{2,4,8,16,32,64,128,256,512,1024,2048,4096,8192,16384,32768}),{2,4,8,16,32,64,128,256,512,1024,2048,4096,8192,16384,32768})=0))))</f>
        <v/>
      </c>
      <c r="AZ205">
        <f>AY205+IF(AND(AZ115&gt;0,COUNTIF($Y115:AY115,AZ115)=0),0,IF(SUMPRODUCT(MOD(INT(AZ160/{2,4,8,16,32,64,128,256,512,1024,2048,4096,8192,16384,32768}),2)*(1-MOD(INT(($CJ25+AY205)/{2,4,8,16,32,64,128,256,512,1024,2048,4096,8192,16384,32768}),2))*{2,4,8,16,32,64,128,256,512,1024,2048,4096,8192,16384,32768})=0,0,2^SUMPRODUCT(--(MOD(SUMPRODUCT(MOD(INT(AZ160/{2,4,8,16,32,64,128,256,512,1024,2048,4096,8192,16384,32768}),2)*(1-MOD(INT(($CJ25+AY205)/{2,4,8,16,32,64,128,256,512,1024,2048,4096,8192,16384,32768}),2))*{2,4,8,16,32,64,128,256,512,1024,2048,4096,8192,16384,32768}),{2,4,8,16,32,64,128,256,512,1024,2048,4096,8192,16384,32768})=0))))</f>
        <v/>
      </c>
      <c r="BA205">
        <f>AZ205+IF(AND(BA115&gt;0,COUNTIF($Y115:AZ115,BA115)=0),0,IF(SUMPRODUCT(MOD(INT(BA160/{2,4,8,16,32,64,128,256,512,1024,2048,4096,8192,16384,32768}),2)*(1-MOD(INT(($CJ25+AZ205)/{2,4,8,16,32,64,128,256,512,1024,2048,4096,8192,16384,32768}),2))*{2,4,8,16,32,64,128,256,512,1024,2048,4096,8192,16384,32768})=0,0,2^SUMPRODUCT(--(MOD(SUMPRODUCT(MOD(INT(BA160/{2,4,8,16,32,64,128,256,512,1024,2048,4096,8192,16384,32768}),2)*(1-MOD(INT(($CJ25+AZ205)/{2,4,8,16,32,64,128,256,512,1024,2048,4096,8192,16384,32768}),2))*{2,4,8,16,32,64,128,256,512,1024,2048,4096,8192,16384,32768}),{2,4,8,16,32,64,128,256,512,1024,2048,4096,8192,16384,32768})=0))))</f>
        <v/>
      </c>
      <c r="BB205">
        <f>BA205+IF(AND(BB115&gt;0,COUNTIF($Y115:BA115,BB115)=0),0,IF(SUMPRODUCT(MOD(INT(BB160/{2,4,8,16,32,64,128,256,512,1024,2048,4096,8192,16384,32768}),2)*(1-MOD(INT(($CJ25+BA205)/{2,4,8,16,32,64,128,256,512,1024,2048,4096,8192,16384,32768}),2))*{2,4,8,16,32,64,128,256,512,1024,2048,4096,8192,16384,32768})=0,0,2^SUMPRODUCT(--(MOD(SUMPRODUCT(MOD(INT(BB160/{2,4,8,16,32,64,128,256,512,1024,2048,4096,8192,16384,32768}),2)*(1-MOD(INT(($CJ25+BA205)/{2,4,8,16,32,64,128,256,512,1024,2048,4096,8192,16384,32768}),2))*{2,4,8,16,32,64,128,256,512,1024,2048,4096,8192,16384,32768}),{2,4,8,16,32,64,128,256,512,1024,2048,4096,8192,16384,32768})=0))))</f>
        <v/>
      </c>
      <c r="BC205">
        <f>BB205+IF(AND(BC115&gt;0,COUNTIF($Y115:BB115,BC115)=0),0,IF(SUMPRODUCT(MOD(INT(BC160/{2,4,8,16,32,64,128,256,512,1024,2048,4096,8192,16384,32768}),2)*(1-MOD(INT(($CJ25+BB205)/{2,4,8,16,32,64,128,256,512,1024,2048,4096,8192,16384,32768}),2))*{2,4,8,16,32,64,128,256,512,1024,2048,4096,8192,16384,32768})=0,0,2^SUMPRODUCT(--(MOD(SUMPRODUCT(MOD(INT(BC160/{2,4,8,16,32,64,128,256,512,1024,2048,4096,8192,16384,32768}),2)*(1-MOD(INT(($CJ25+BB205)/{2,4,8,16,32,64,128,256,512,1024,2048,4096,8192,16384,32768}),2))*{2,4,8,16,32,64,128,256,512,1024,2048,4096,8192,16384,32768}),{2,4,8,16,32,64,128,256,512,1024,2048,4096,8192,16384,32768})=0))))</f>
        <v/>
      </c>
      <c r="BD205">
        <f>BC205+IF(AND(BD115&gt;0,COUNTIF($Y115:BC115,BD115)=0),0,IF(SUMPRODUCT(MOD(INT(BD160/{2,4,8,16,32,64,128,256,512,1024,2048,4096,8192,16384,32768}),2)*(1-MOD(INT(($CJ25+BC205)/{2,4,8,16,32,64,128,256,512,1024,2048,4096,8192,16384,32768}),2))*{2,4,8,16,32,64,128,256,512,1024,2048,4096,8192,16384,32768})=0,0,2^SUMPRODUCT(--(MOD(SUMPRODUCT(MOD(INT(BD160/{2,4,8,16,32,64,128,256,512,1024,2048,4096,8192,16384,32768}),2)*(1-MOD(INT(($CJ25+BC205)/{2,4,8,16,32,64,128,256,512,1024,2048,4096,8192,16384,32768}),2))*{2,4,8,16,32,64,128,256,512,1024,2048,4096,8192,16384,32768}),{2,4,8,16,32,64,128,256,512,1024,2048,4096,8192,16384,32768})=0))))</f>
        <v/>
      </c>
      <c r="BE205">
        <f>BD205+IF(AND(BE115&gt;0,COUNTIF($Y115:BD115,BE115)=0),0,IF(SUMPRODUCT(MOD(INT(BE160/{2,4,8,16,32,64,128,256,512,1024,2048,4096,8192,16384,32768}),2)*(1-MOD(INT(($CJ25+BD205)/{2,4,8,16,32,64,128,256,512,1024,2048,4096,8192,16384,32768}),2))*{2,4,8,16,32,64,128,256,512,1024,2048,4096,8192,16384,32768})=0,0,2^SUMPRODUCT(--(MOD(SUMPRODUCT(MOD(INT(BE160/{2,4,8,16,32,64,128,256,512,1024,2048,4096,8192,16384,32768}),2)*(1-MOD(INT(($CJ25+BD205)/{2,4,8,16,32,64,128,256,512,1024,2048,4096,8192,16384,32768}),2))*{2,4,8,16,32,64,128,256,512,1024,2048,4096,8192,16384,32768}),{2,4,8,16,32,64,128,256,512,1024,2048,4096,8192,16384,32768})=0))))</f>
        <v/>
      </c>
      <c r="BF205">
        <f>BE205+IF(AND(BF115&gt;0,COUNTIF($Y115:BE115,BF115)=0),0,IF(SUMPRODUCT(MOD(INT(BF160/{2,4,8,16,32,64,128,256,512,1024,2048,4096,8192,16384,32768}),2)*(1-MOD(INT(($CJ25+BE205)/{2,4,8,16,32,64,128,256,512,1024,2048,4096,8192,16384,32768}),2))*{2,4,8,16,32,64,128,256,512,1024,2048,4096,8192,16384,32768})=0,0,2^SUMPRODUCT(--(MOD(SUMPRODUCT(MOD(INT(BF160/{2,4,8,16,32,64,128,256,512,1024,2048,4096,8192,16384,32768}),2)*(1-MOD(INT(($CJ25+BE205)/{2,4,8,16,32,64,128,256,512,1024,2048,4096,8192,16384,32768}),2))*{2,4,8,16,32,64,128,256,512,1024,2048,4096,8192,16384,32768}),{2,4,8,16,32,64,128,256,512,1024,2048,4096,8192,16384,32768})=0))))</f>
        <v/>
      </c>
      <c r="BG205">
        <f>BF205+IF(AND(BG115&gt;0,COUNTIF($Y115:BF115,BG115)=0),0,IF(SUMPRODUCT(MOD(INT(BG160/{2,4,8,16,32,64,128,256,512,1024,2048,4096,8192,16384,32768}),2)*(1-MOD(INT(($CJ25+BF205)/{2,4,8,16,32,64,128,256,512,1024,2048,4096,8192,16384,32768}),2))*{2,4,8,16,32,64,128,256,512,1024,2048,4096,8192,16384,32768})=0,0,2^SUMPRODUCT(--(MOD(SUMPRODUCT(MOD(INT(BG160/{2,4,8,16,32,64,128,256,512,1024,2048,4096,8192,16384,32768}),2)*(1-MOD(INT(($CJ25+BF205)/{2,4,8,16,32,64,128,256,512,1024,2048,4096,8192,16384,32768}),2))*{2,4,8,16,32,64,128,256,512,1024,2048,4096,8192,16384,32768}),{2,4,8,16,32,64,128,256,512,1024,2048,4096,8192,16384,32768})=0))))</f>
        <v/>
      </c>
      <c r="BH205">
        <f>BG205+IF(AND(BH115&gt;0,COUNTIF($Y115:BG115,BH115)=0),0,IF(SUMPRODUCT(MOD(INT(BH160/{2,4,8,16,32,64,128,256,512,1024,2048,4096,8192,16384,32768}),2)*(1-MOD(INT(($CJ25+BG205)/{2,4,8,16,32,64,128,256,512,1024,2048,4096,8192,16384,32768}),2))*{2,4,8,16,32,64,128,256,512,1024,2048,4096,8192,16384,32768})=0,0,2^SUMPRODUCT(--(MOD(SUMPRODUCT(MOD(INT(BH160/{2,4,8,16,32,64,128,256,512,1024,2048,4096,8192,16384,32768}),2)*(1-MOD(INT(($CJ25+BG205)/{2,4,8,16,32,64,128,256,512,1024,2048,4096,8192,16384,32768}),2))*{2,4,8,16,32,64,128,256,512,1024,2048,4096,8192,16384,32768}),{2,4,8,16,32,64,128,256,512,1024,2048,4096,8192,16384,32768})=0))))</f>
        <v/>
      </c>
      <c r="BI205">
        <f>BH205+IF(AND(BI115&gt;0,COUNTIF($Y115:BH115,BI115)=0),0,IF(SUMPRODUCT(MOD(INT(BI160/{2,4,8,16,32,64,128,256,512,1024,2048,4096,8192,16384,32768}),2)*(1-MOD(INT(($CJ25+BH205)/{2,4,8,16,32,64,128,256,512,1024,2048,4096,8192,16384,32768}),2))*{2,4,8,16,32,64,128,256,512,1024,2048,4096,8192,16384,32768})=0,0,2^SUMPRODUCT(--(MOD(SUMPRODUCT(MOD(INT(BI160/{2,4,8,16,32,64,128,256,512,1024,2048,4096,8192,16384,32768}),2)*(1-MOD(INT(($CJ25+BH205)/{2,4,8,16,32,64,128,256,512,1024,2048,4096,8192,16384,32768}),2))*{2,4,8,16,32,64,128,256,512,1024,2048,4096,8192,16384,32768}),{2,4,8,16,32,64,128,256,512,1024,2048,4096,8192,16384,32768})=0))))</f>
        <v/>
      </c>
      <c r="BJ205">
        <f>BI205+IF(AND(BJ115&gt;0,COUNTIF($Y115:BI115,BJ115)=0),0,IF(SUMPRODUCT(MOD(INT(BJ160/{2,4,8,16,32,64,128,256,512,1024,2048,4096,8192,16384,32768}),2)*(1-MOD(INT(($CJ25+BI205)/{2,4,8,16,32,64,128,256,512,1024,2048,4096,8192,16384,32768}),2))*{2,4,8,16,32,64,128,256,512,1024,2048,4096,8192,16384,32768})=0,0,2^SUMPRODUCT(--(MOD(SUMPRODUCT(MOD(INT(BJ160/{2,4,8,16,32,64,128,256,512,1024,2048,4096,8192,16384,32768}),2)*(1-MOD(INT(($CJ25+BI205)/{2,4,8,16,32,64,128,256,512,1024,2048,4096,8192,16384,32768}),2))*{2,4,8,16,32,64,128,256,512,1024,2048,4096,8192,16384,32768}),{2,4,8,16,32,64,128,256,512,1024,2048,4096,8192,16384,32768})=0))))</f>
        <v/>
      </c>
      <c r="BK205">
        <f>BJ205+IF(AND(BK115&gt;0,COUNTIF($Y115:BJ115,BK115)=0),0,IF(SUMPRODUCT(MOD(INT(BK160/{2,4,8,16,32,64,128,256,512,1024,2048,4096,8192,16384,32768}),2)*(1-MOD(INT(($CJ25+BJ205)/{2,4,8,16,32,64,128,256,512,1024,2048,4096,8192,16384,32768}),2))*{2,4,8,16,32,64,128,256,512,1024,2048,4096,8192,16384,32768})=0,0,2^SUMPRODUCT(--(MOD(SUMPRODUCT(MOD(INT(BK160/{2,4,8,16,32,64,128,256,512,1024,2048,4096,8192,16384,32768}),2)*(1-MOD(INT(($CJ25+BJ205)/{2,4,8,16,32,64,128,256,512,1024,2048,4096,8192,16384,32768}),2))*{2,4,8,16,32,64,128,256,512,1024,2048,4096,8192,16384,32768}),{2,4,8,16,32,64,128,256,512,1024,2048,4096,8192,16384,32768})=0))))</f>
        <v/>
      </c>
      <c r="BL205">
        <f>BK205+IF(AND(BL115&gt;0,COUNTIF($Y115:BK115,BL115)=0),0,IF(SUMPRODUCT(MOD(INT(BL160/{2,4,8,16,32,64,128,256,512,1024,2048,4096,8192,16384,32768}),2)*(1-MOD(INT(($CJ25+BK205)/{2,4,8,16,32,64,128,256,512,1024,2048,4096,8192,16384,32768}),2))*{2,4,8,16,32,64,128,256,512,1024,2048,4096,8192,16384,32768})=0,0,2^SUMPRODUCT(--(MOD(SUMPRODUCT(MOD(INT(BL160/{2,4,8,16,32,64,128,256,512,1024,2048,4096,8192,16384,32768}),2)*(1-MOD(INT(($CJ25+BK205)/{2,4,8,16,32,64,128,256,512,1024,2048,4096,8192,16384,32768}),2))*{2,4,8,16,32,64,128,256,512,1024,2048,4096,8192,16384,32768}),{2,4,8,16,32,64,128,256,512,1024,2048,4096,8192,16384,32768})=0))))</f>
        <v/>
      </c>
      <c r="BM205">
        <f>BL205+IF(AND(BM115&gt;0,COUNTIF($Y115:BL115,BM115)=0),0,IF(SUMPRODUCT(MOD(INT(BM160/{2,4,8,16,32,64,128,256,512,1024,2048,4096,8192,16384,32768}),2)*(1-MOD(INT(($CJ25+BL205)/{2,4,8,16,32,64,128,256,512,1024,2048,4096,8192,16384,32768}),2))*{2,4,8,16,32,64,128,256,512,1024,2048,4096,8192,16384,32768})=0,0,2^SUMPRODUCT(--(MOD(SUMPRODUCT(MOD(INT(BM160/{2,4,8,16,32,64,128,256,512,1024,2048,4096,8192,16384,32768}),2)*(1-MOD(INT(($CJ25+BL205)/{2,4,8,16,32,64,128,256,512,1024,2048,4096,8192,16384,32768}),2))*{2,4,8,16,32,64,128,256,512,1024,2048,4096,8192,16384,32768}),{2,4,8,16,32,64,128,256,512,1024,2048,4096,8192,16384,32768})=0))))</f>
        <v/>
      </c>
      <c r="BN205">
        <f>BM205+IF(AND(BN115&gt;0,COUNTIF($Y115:BM115,BN115)=0),0,IF(SUMPRODUCT(MOD(INT(BN160/{2,4,8,16,32,64,128,256,512,1024,2048,4096,8192,16384,32768}),2)*(1-MOD(INT(($CJ25+BM205)/{2,4,8,16,32,64,128,256,512,1024,2048,4096,8192,16384,32768}),2))*{2,4,8,16,32,64,128,256,512,1024,2048,4096,8192,16384,32768})=0,0,2^SUMPRODUCT(--(MOD(SUMPRODUCT(MOD(INT(BN160/{2,4,8,16,32,64,128,256,512,1024,2048,4096,8192,16384,32768}),2)*(1-MOD(INT(($CJ25+BM205)/{2,4,8,16,32,64,128,256,512,1024,2048,4096,8192,16384,32768}),2))*{2,4,8,16,32,64,128,256,512,1024,2048,4096,8192,16384,32768}),{2,4,8,16,32,64,128,256,512,1024,2048,4096,8192,16384,32768})=0))))</f>
        <v/>
      </c>
      <c r="BO205">
        <f>BN205+IF(AND(BO115&gt;0,COUNTIF($Y115:BN115,BO115)=0),0,IF(SUMPRODUCT(MOD(INT(BO160/{2,4,8,16,32,64,128,256,512,1024,2048,4096,8192,16384,32768}),2)*(1-MOD(INT(($CJ25+BN205)/{2,4,8,16,32,64,128,256,512,1024,2048,4096,8192,16384,32768}),2))*{2,4,8,16,32,64,128,256,512,1024,2048,4096,8192,16384,32768})=0,0,2^SUMPRODUCT(--(MOD(SUMPRODUCT(MOD(INT(BO160/{2,4,8,16,32,64,128,256,512,1024,2048,4096,8192,16384,32768}),2)*(1-MOD(INT(($CJ25+BN205)/{2,4,8,16,32,64,128,256,512,1024,2048,4096,8192,16384,32768}),2))*{2,4,8,16,32,64,128,256,512,1024,2048,4096,8192,16384,32768}),{2,4,8,16,32,64,128,256,512,1024,2048,4096,8192,16384,32768})=0))))</f>
        <v/>
      </c>
      <c r="BP205">
        <f>BO205+IF(AND(BP115&gt;0,COUNTIF($Y115:BO115,BP115)=0),0,IF(SUMPRODUCT(MOD(INT(BP160/{2,4,8,16,32,64,128,256,512,1024,2048,4096,8192,16384,32768}),2)*(1-MOD(INT(($CJ25+BO205)/{2,4,8,16,32,64,128,256,512,1024,2048,4096,8192,16384,32768}),2))*{2,4,8,16,32,64,128,256,512,1024,2048,4096,8192,16384,32768})=0,0,2^SUMPRODUCT(--(MOD(SUMPRODUCT(MOD(INT(BP160/{2,4,8,16,32,64,128,256,512,1024,2048,4096,8192,16384,32768}),2)*(1-MOD(INT(($CJ25+BO205)/{2,4,8,16,32,64,128,256,512,1024,2048,4096,8192,16384,32768}),2))*{2,4,8,16,32,64,128,256,512,1024,2048,4096,8192,16384,32768}),{2,4,8,16,32,64,128,256,512,1024,2048,4096,8192,16384,32768})=0))))</f>
        <v/>
      </c>
      <c r="BQ205">
        <f>BP205+IF(AND(BQ115&gt;0,COUNTIF($Y115:BP115,BQ115)=0),0,IF(SUMPRODUCT(MOD(INT(BQ160/{2,4,8,16,32,64,128,256,512,1024,2048,4096,8192,16384,32768}),2)*(1-MOD(INT(($CJ25+BP205)/{2,4,8,16,32,64,128,256,512,1024,2048,4096,8192,16384,32768}),2))*{2,4,8,16,32,64,128,256,512,1024,2048,4096,8192,16384,32768})=0,0,2^SUMPRODUCT(--(MOD(SUMPRODUCT(MOD(INT(BQ160/{2,4,8,16,32,64,128,256,512,1024,2048,4096,8192,16384,32768}),2)*(1-MOD(INT(($CJ25+BP205)/{2,4,8,16,32,64,128,256,512,1024,2048,4096,8192,16384,32768}),2))*{2,4,8,16,32,64,128,256,512,1024,2048,4096,8192,16384,32768}),{2,4,8,16,32,64,128,256,512,1024,2048,4096,8192,16384,32768})=0))))</f>
        <v/>
      </c>
      <c r="BR205">
        <f>BQ205+IF(AND(BR115&gt;0,COUNTIF($Y115:BQ115,BR115)=0),0,IF(SUMPRODUCT(MOD(INT(BR160/{2,4,8,16,32,64,128,256,512,1024,2048,4096,8192,16384,32768}),2)*(1-MOD(INT(($CJ25+BQ205)/{2,4,8,16,32,64,128,256,512,1024,2048,4096,8192,16384,32768}),2))*{2,4,8,16,32,64,128,256,512,1024,2048,4096,8192,16384,32768})=0,0,2^SUMPRODUCT(--(MOD(SUMPRODUCT(MOD(INT(BR160/{2,4,8,16,32,64,128,256,512,1024,2048,4096,8192,16384,32768}),2)*(1-MOD(INT(($CJ25+BQ205)/{2,4,8,16,32,64,128,256,512,1024,2048,4096,8192,16384,32768}),2))*{2,4,8,16,32,64,128,256,512,1024,2048,4096,8192,16384,32768}),{2,4,8,16,32,64,128,256,512,1024,2048,4096,8192,16384,32768})=0))))</f>
        <v/>
      </c>
      <c r="BS205">
        <f>BR205+IF(AND(BS115&gt;0,COUNTIF($Y115:BR115,BS115)=0),0,IF(SUMPRODUCT(MOD(INT(BS160/{2,4,8,16,32,64,128,256,512,1024,2048,4096,8192,16384,32768}),2)*(1-MOD(INT(($CJ25+BR205)/{2,4,8,16,32,64,128,256,512,1024,2048,4096,8192,16384,32768}),2))*{2,4,8,16,32,64,128,256,512,1024,2048,4096,8192,16384,32768})=0,0,2^SUMPRODUCT(--(MOD(SUMPRODUCT(MOD(INT(BS160/{2,4,8,16,32,64,128,256,512,1024,2048,4096,8192,16384,32768}),2)*(1-MOD(INT(($CJ25+BR205)/{2,4,8,16,32,64,128,256,512,1024,2048,4096,8192,16384,32768}),2))*{2,4,8,16,32,64,128,256,512,1024,2048,4096,8192,16384,32768}),{2,4,8,16,32,64,128,256,512,1024,2048,4096,8192,16384,32768})=0))))</f>
        <v/>
      </c>
      <c r="BT205">
        <f>BS205+IF(AND(BT115&gt;0,COUNTIF($Y115:BS115,BT115)=0),0,IF(SUMPRODUCT(MOD(INT(BT160/{2,4,8,16,32,64,128,256,512,1024,2048,4096,8192,16384,32768}),2)*(1-MOD(INT(($CJ25+BS205)/{2,4,8,16,32,64,128,256,512,1024,2048,4096,8192,16384,32768}),2))*{2,4,8,16,32,64,128,256,512,1024,2048,4096,8192,16384,32768})=0,0,2^SUMPRODUCT(--(MOD(SUMPRODUCT(MOD(INT(BT160/{2,4,8,16,32,64,128,256,512,1024,2048,4096,8192,16384,32768}),2)*(1-MOD(INT(($CJ25+BS205)/{2,4,8,16,32,64,128,256,512,1024,2048,4096,8192,16384,32768}),2))*{2,4,8,16,32,64,128,256,512,1024,2048,4096,8192,16384,32768}),{2,4,8,16,32,64,128,256,512,1024,2048,4096,8192,16384,32768})=0))))</f>
        <v/>
      </c>
      <c r="BU205">
        <f>BT205+IF(AND(BU115&gt;0,COUNTIF($Y115:BT115,BU115)=0),0,IF(SUMPRODUCT(MOD(INT(BU160/{2,4,8,16,32,64,128,256,512,1024,2048,4096,8192,16384,32768}),2)*(1-MOD(INT(($CJ25+BT205)/{2,4,8,16,32,64,128,256,512,1024,2048,4096,8192,16384,32768}),2))*{2,4,8,16,32,64,128,256,512,1024,2048,4096,8192,16384,32768})=0,0,2^SUMPRODUCT(--(MOD(SUMPRODUCT(MOD(INT(BU160/{2,4,8,16,32,64,128,256,512,1024,2048,4096,8192,16384,32768}),2)*(1-MOD(INT(($CJ25+BT205)/{2,4,8,16,32,64,128,256,512,1024,2048,4096,8192,16384,32768}),2))*{2,4,8,16,32,64,128,256,512,1024,2048,4096,8192,16384,32768}),{2,4,8,16,32,64,128,256,512,1024,2048,4096,8192,16384,32768})=0))))</f>
        <v/>
      </c>
      <c r="BV205">
        <f>BU205+IF(AND(BV115&gt;0,COUNTIF($Y115:BU115,BV115)=0),0,IF(SUMPRODUCT(MOD(INT(BV160/{2,4,8,16,32,64,128,256,512,1024,2048,4096,8192,16384,32768}),2)*(1-MOD(INT(($CJ25+BU205)/{2,4,8,16,32,64,128,256,512,1024,2048,4096,8192,16384,32768}),2))*{2,4,8,16,32,64,128,256,512,1024,2048,4096,8192,16384,32768})=0,0,2^SUMPRODUCT(--(MOD(SUMPRODUCT(MOD(INT(BV160/{2,4,8,16,32,64,128,256,512,1024,2048,4096,8192,16384,32768}),2)*(1-MOD(INT(($CJ25+BU205)/{2,4,8,16,32,64,128,256,512,1024,2048,4096,8192,16384,32768}),2))*{2,4,8,16,32,64,128,256,512,1024,2048,4096,8192,16384,32768}),{2,4,8,16,32,64,128,256,512,1024,2048,4096,8192,16384,32768})=0))))</f>
        <v/>
      </c>
      <c r="BW205">
        <f>BV205+IF(AND(BW115&gt;0,COUNTIF($Y115:BV115,BW115)=0),0,IF(SUMPRODUCT(MOD(INT(BW160/{2,4,8,16,32,64,128,256,512,1024,2048,4096,8192,16384,32768}),2)*(1-MOD(INT(($CJ25+BV205)/{2,4,8,16,32,64,128,256,512,1024,2048,4096,8192,16384,32768}),2))*{2,4,8,16,32,64,128,256,512,1024,2048,4096,8192,16384,32768})=0,0,2^SUMPRODUCT(--(MOD(SUMPRODUCT(MOD(INT(BW160/{2,4,8,16,32,64,128,256,512,1024,2048,4096,8192,16384,32768}),2)*(1-MOD(INT(($CJ25+BV205)/{2,4,8,16,32,64,128,256,512,1024,2048,4096,8192,16384,32768}),2))*{2,4,8,16,32,64,128,256,512,1024,2048,4096,8192,16384,32768}),{2,4,8,16,32,64,128,256,512,1024,2048,4096,8192,16384,32768})=0))))</f>
        <v/>
      </c>
      <c r="BX205">
        <f>BW205+IF(AND(BX115&gt;0,COUNTIF($Y115:BW115,BX115)=0),0,IF(SUMPRODUCT(MOD(INT(BX160/{2,4,8,16,32,64,128,256,512,1024,2048,4096,8192,16384,32768}),2)*(1-MOD(INT(($CJ25+BW205)/{2,4,8,16,32,64,128,256,512,1024,2048,4096,8192,16384,32768}),2))*{2,4,8,16,32,64,128,256,512,1024,2048,4096,8192,16384,32768})=0,0,2^SUMPRODUCT(--(MOD(SUMPRODUCT(MOD(INT(BX160/{2,4,8,16,32,64,128,256,512,1024,2048,4096,8192,16384,32768}),2)*(1-MOD(INT(($CJ25+BW205)/{2,4,8,16,32,64,128,256,512,1024,2048,4096,8192,16384,32768}),2))*{2,4,8,16,32,64,128,256,512,1024,2048,4096,8192,16384,32768}),{2,4,8,16,32,64,128,256,512,1024,2048,4096,8192,16384,32768})=0))))</f>
        <v/>
      </c>
      <c r="BY205">
        <f>BX205+IF(AND(BY115&gt;0,COUNTIF($Y115:BX115,BY115)=0),0,IF(SUMPRODUCT(MOD(INT(BY160/{2,4,8,16,32,64,128,256,512,1024,2048,4096,8192,16384,32768}),2)*(1-MOD(INT(($CJ25+BX205)/{2,4,8,16,32,64,128,256,512,1024,2048,4096,8192,16384,32768}),2))*{2,4,8,16,32,64,128,256,512,1024,2048,4096,8192,16384,32768})=0,0,2^SUMPRODUCT(--(MOD(SUMPRODUCT(MOD(INT(BY160/{2,4,8,16,32,64,128,256,512,1024,2048,4096,8192,16384,32768}),2)*(1-MOD(INT(($CJ25+BX205)/{2,4,8,16,32,64,128,256,512,1024,2048,4096,8192,16384,32768}),2))*{2,4,8,16,32,64,128,256,512,1024,2048,4096,8192,16384,32768}),{2,4,8,16,32,64,128,256,512,1024,2048,4096,8192,16384,32768})=0))))</f>
        <v/>
      </c>
      <c r="BZ205">
        <f>BY205+IF(AND(BZ115&gt;0,COUNTIF($Y115:BY115,BZ115)=0),0,IF(SUMPRODUCT(MOD(INT(BZ160/{2,4,8,16,32,64,128,256,512,1024,2048,4096,8192,16384,32768}),2)*(1-MOD(INT(($CJ25+BY205)/{2,4,8,16,32,64,128,256,512,1024,2048,4096,8192,16384,32768}),2))*{2,4,8,16,32,64,128,256,512,1024,2048,4096,8192,16384,32768})=0,0,2^SUMPRODUCT(--(MOD(SUMPRODUCT(MOD(INT(BZ160/{2,4,8,16,32,64,128,256,512,1024,2048,4096,8192,16384,32768}),2)*(1-MOD(INT(($CJ25+BY205)/{2,4,8,16,32,64,128,256,512,1024,2048,4096,8192,16384,32768}),2))*{2,4,8,16,32,64,128,256,512,1024,2048,4096,8192,16384,32768}),{2,4,8,16,32,64,128,256,512,1024,2048,4096,8192,16384,32768})=0))))</f>
        <v/>
      </c>
      <c r="CA205">
        <f>BZ205+IF(AND(CA115&gt;0,COUNTIF($Y115:BZ115,CA115)=0),0,IF(SUMPRODUCT(MOD(INT(CA160/{2,4,8,16,32,64,128,256,512,1024,2048,4096,8192,16384,32768}),2)*(1-MOD(INT(($CJ25+BZ205)/{2,4,8,16,32,64,128,256,512,1024,2048,4096,8192,16384,32768}),2))*{2,4,8,16,32,64,128,256,512,1024,2048,4096,8192,16384,32768})=0,0,2^SUMPRODUCT(--(MOD(SUMPRODUCT(MOD(INT(CA160/{2,4,8,16,32,64,128,256,512,1024,2048,4096,8192,16384,32768}),2)*(1-MOD(INT(($CJ25+BZ205)/{2,4,8,16,32,64,128,256,512,1024,2048,4096,8192,16384,32768}),2))*{2,4,8,16,32,64,128,256,512,1024,2048,4096,8192,16384,32768}),{2,4,8,16,32,64,128,256,512,1024,2048,4096,8192,16384,32768})=0))))</f>
        <v/>
      </c>
      <c r="CB205">
        <f>CA205+IF(AND(CB115&gt;0,COUNTIF($Y115:CA115,CB115)=0),0,IF(SUMPRODUCT(MOD(INT(CB160/{2,4,8,16,32,64,128,256,512,1024,2048,4096,8192,16384,32768}),2)*(1-MOD(INT(($CJ25+CA205)/{2,4,8,16,32,64,128,256,512,1024,2048,4096,8192,16384,32768}),2))*{2,4,8,16,32,64,128,256,512,1024,2048,4096,8192,16384,32768})=0,0,2^SUMPRODUCT(--(MOD(SUMPRODUCT(MOD(INT(CB160/{2,4,8,16,32,64,128,256,512,1024,2048,4096,8192,16384,32768}),2)*(1-MOD(INT(($CJ25+CA205)/{2,4,8,16,32,64,128,256,512,1024,2048,4096,8192,16384,32768}),2))*{2,4,8,16,32,64,128,256,512,1024,2048,4096,8192,16384,32768}),{2,4,8,16,32,64,128,256,512,1024,2048,4096,8192,16384,32768})=0))))</f>
        <v/>
      </c>
      <c r="CC205">
        <f>CB205+IF(AND(CC115&gt;0,COUNTIF($Y115:CB115,CC115)=0),0,IF(SUMPRODUCT(MOD(INT(CC160/{2,4,8,16,32,64,128,256,512,1024,2048,4096,8192,16384,32768}),2)*(1-MOD(INT(($CJ25+CB205)/{2,4,8,16,32,64,128,256,512,1024,2048,4096,8192,16384,32768}),2))*{2,4,8,16,32,64,128,256,512,1024,2048,4096,8192,16384,32768})=0,0,2^SUMPRODUCT(--(MOD(SUMPRODUCT(MOD(INT(CC160/{2,4,8,16,32,64,128,256,512,1024,2048,4096,8192,16384,32768}),2)*(1-MOD(INT(($CJ25+CB205)/{2,4,8,16,32,64,128,256,512,1024,2048,4096,8192,16384,32768}),2))*{2,4,8,16,32,64,128,256,512,1024,2048,4096,8192,16384,32768}),{2,4,8,16,32,64,128,256,512,1024,2048,4096,8192,16384,32768})=0))))</f>
        <v/>
      </c>
      <c r="CD205">
        <f>CC205+IF(AND(CD115&gt;0,COUNTIF($Y115:CC115,CD115)=0),0,IF(SUMPRODUCT(MOD(INT(CD160/{2,4,8,16,32,64,128,256,512,1024,2048,4096,8192,16384,32768}),2)*(1-MOD(INT(($CJ25+CC205)/{2,4,8,16,32,64,128,256,512,1024,2048,4096,8192,16384,32768}),2))*{2,4,8,16,32,64,128,256,512,1024,2048,4096,8192,16384,32768})=0,0,2^SUMPRODUCT(--(MOD(SUMPRODUCT(MOD(INT(CD160/{2,4,8,16,32,64,128,256,512,1024,2048,4096,8192,16384,32768}),2)*(1-MOD(INT(($CJ25+CC205)/{2,4,8,16,32,64,128,256,512,1024,2048,4096,8192,16384,32768}),2))*{2,4,8,16,32,64,128,256,512,1024,2048,4096,8192,16384,32768}),{2,4,8,16,32,64,128,256,512,1024,2048,4096,8192,16384,32768})=0))))</f>
        <v/>
      </c>
      <c r="CE205">
        <f>CD205+IF(AND(CE115&gt;0,COUNTIF($Y115:CD115,CE115)=0),0,IF(SUMPRODUCT(MOD(INT(CE160/{2,4,8,16,32,64,128,256,512,1024,2048,4096,8192,16384,32768}),2)*(1-MOD(INT(($CJ25+CD205)/{2,4,8,16,32,64,128,256,512,1024,2048,4096,8192,16384,32768}),2))*{2,4,8,16,32,64,128,256,512,1024,2048,4096,8192,16384,32768})=0,0,2^SUMPRODUCT(--(MOD(SUMPRODUCT(MOD(INT(CE160/{2,4,8,16,32,64,128,256,512,1024,2048,4096,8192,16384,32768}),2)*(1-MOD(INT(($CJ25+CD205)/{2,4,8,16,32,64,128,256,512,1024,2048,4096,8192,16384,32768}),2))*{2,4,8,16,32,64,128,256,512,1024,2048,4096,8192,16384,32768}),{2,4,8,16,32,64,128,256,512,1024,2048,4096,8192,16384,32768})=0))))</f>
        <v/>
      </c>
      <c r="CF205">
        <f>CE205+IF(AND(CF115&gt;0,COUNTIF($Y115:CE115,CF115)=0),0,IF(SUMPRODUCT(MOD(INT(CF160/{2,4,8,16,32,64,128,256,512,1024,2048,4096,8192,16384,32768}),2)*(1-MOD(INT(($CJ25+CE205)/{2,4,8,16,32,64,128,256,512,1024,2048,4096,8192,16384,32768}),2))*{2,4,8,16,32,64,128,256,512,1024,2048,4096,8192,16384,32768})=0,0,2^SUMPRODUCT(--(MOD(SUMPRODUCT(MOD(INT(CF160/{2,4,8,16,32,64,128,256,512,1024,2048,4096,8192,16384,32768}),2)*(1-MOD(INT(($CJ25+CE205)/{2,4,8,16,32,64,128,256,512,1024,2048,4096,8192,16384,32768}),2))*{2,4,8,16,32,64,128,256,512,1024,2048,4096,8192,16384,32768}),{2,4,8,16,32,64,128,256,512,1024,2048,4096,8192,16384,32768})=0))))</f>
        <v/>
      </c>
      <c r="DA205" t="n">
        <v>201</v>
      </c>
      <c r="DB205">
        <f>IF($B$37=0,"",IFERROR(TRIM(SUBSTITUTE(SUBSTITUTE(SUBSTITUTE(SUBSTITUTE(INDEX(PASTE_ALL,201,$B$37)," "," "),CHAR(9)," "),CHAR(10)," "),CHAR(13)," ")),""))</f>
        <v/>
      </c>
      <c r="DC205">
        <f>IF(AND(201&gt;HEADER_ROW,UPPER(DB205)="LEGEND"),1,0)</f>
        <v/>
      </c>
      <c r="DE205" t="n">
        <v>201</v>
      </c>
      <c r="DF205">
        <f>HEADER_ROW+$DE205</f>
        <v/>
      </c>
      <c r="DG205">
        <f>IF(AND($DF205&lt;=1000,$DF205&lt;$B$8),1,0)</f>
        <v/>
      </c>
      <c r="DH205">
        <f>IF($DG205=1,IFERROR(INDEX($DB$5:$DB$1004,$DF205),""),"")</f>
        <v/>
      </c>
      <c r="DI205">
        <f>IF(AND($DG205=1,$DH205&lt;&gt;""),IFERROR(SUBSTITUTE(SUBSTITUTE(TRIM(SUBSTITUTE(SUBSTITUTE(SUBSTITUTE(SUBSTITUTE(IFERROR(INDEX(PASTE_ALL,$DF205,1)&amp;"","")&amp;"␟"&amp;IFERROR(INDEX(PASTE_ALL,$DF205,2)&amp;"","")&amp;"␟"&amp;IFERROR(INDEX(PASTE_ALL,$DF205,3)&amp;"","")&amp;"␟"&amp;IFERROR(INDEX(PASTE_ALL,$DF205,4)&amp;"","")&amp;"␟"&amp;IFERROR(INDEX(PASTE_ALL,$DF205,5)&amp;"","")&amp;"␟"&amp;IFERROR(INDEX(PASTE_ALL,$DF205,6)&amp;"","")&amp;"␟"&amp;IFERROR(INDEX(PASTE_ALL,$DF205,7)&amp;"","")&amp;"␟"&amp;IFERROR(INDEX(PASTE_ALL,$DF205,8)&amp;"","")&amp;"␟"&amp;IFERROR(INDEX(PASTE_ALL,$DF205,9)&amp;"","")&amp;"␟"&amp;IFERROR(INDEX(PASTE_ALL,$DF205,10)&amp;"","")&amp;"␟"&amp;IFERROR(INDEX(PASTE_ALL,$DF205,11)&amp;"","")&amp;"␟"&amp;IFERROR(INDEX(PASTE_ALL,$DF205,12)&amp;"","")&amp;"␟"&amp;IFERROR(INDEX(PASTE_ALL,$DF205,13)&amp;"","")&amp;"␟"&amp;IFERROR(INDEX(PASTE_ALL,$DF205,14)&amp;"","")&amp;"␟"&amp;IFERROR(INDEX(PASTE_ALL,$DF205,15)&amp;"","")&amp;"␟"&amp;IFERROR(INDEX(PASTE_ALL,$DF205,16)&amp;"","")&amp;"␟"&amp;IFERROR(INDEX(PASTE_ALL,$DF205,17)&amp;"","")&amp;"␟"&amp;IFERROR(INDEX(PASTE_ALL,$DF205,18)&amp;"","")&amp;"␟"&amp;IFERROR(INDEX(PASTE_ALL,$DF205,19)&amp;"","")&amp;"␟"&amp;IFERROR(INDEX(PASTE_ALL,$DF205,20)&amp;"","")&amp;"␟"&amp;IFERROR(INDEX(PASTE_ALL,$DF205,21)&amp;"","")&amp;"␟"&amp;IFERROR(INDEX(PASTE_ALL,$DF205,22)&amp;"","")&amp;"␟"&amp;IFERROR(INDEX(PASTE_ALL,$DF205,23)&amp;"","")&amp;"␟"&amp;IFERROR(INDEX(PASTE_ALL,$DF205,24)&amp;"","")&amp;"␟"&amp;IFERROR(INDEX(PASTE_ALL,$DF205,25)&amp;"","")&amp;"␟"&amp;IFERROR(INDEX(PASTE_ALL,$DF205,26)&amp;"","")&amp;"␟"&amp;IFERROR(INDEX(PASTE_ALL,$DF205,27)&amp;"","")&amp;"␟"&amp;IFERROR(INDEX(PASTE_ALL,$DF205,28)&amp;"","")&amp;"␟"&amp;IFERROR(INDEX(PASTE_ALL,$DF205,29)&amp;"","")&amp;"␟"&amp;IFERROR(INDEX(PASTE_ALL,$DF205,30)&amp;"","")&amp;"␟"&amp;IFERROR(INDEX(PASTE_ALL,$DF205,31)&amp;"","")&amp;"␟"&amp;IFERROR(INDEX(PASTE_ALL,$DF205,32)&amp;"","")&amp;"␟"&amp;IFERROR(INDEX(PASTE_ALL,$DF205,33)&amp;"","")&amp;"␟"&amp;IFERROR(INDEX(PASTE_ALL,$DF205,34)&amp;"","")&amp;"␟"&amp;IFERROR(INDEX(PASTE_ALL,$DF205,35)&amp;"","")&amp;"␟"&amp;IFERROR(INDEX(PASTE_ALL,$DF205,36)&amp;"","")&amp;"␟"&amp;IFERROR(INDEX(PASTE_ALL,$DF205,37)&amp;"","")&amp;"␟"&amp;IFERROR(INDEX(PASTE_ALL,$DF205,38)&amp;"","")&amp;"␟"&amp;IFERROR(INDEX(PASTE_ALL,$DF205,39)&amp;"","")&amp;"␟"&amp;IFERROR(INDEX(PASTE_ALL,$DF205,40)&amp;"","")&amp;"␟"&amp;IFERROR(INDEX(PASTE_ALL,$DF205,41)&amp;"","")&amp;"␟"&amp;IFERROR(INDEX(PASTE_ALL,$DF205,42)&amp;"","")&amp;"␟"&amp;IFERROR(INDEX(PASTE_ALL,$DF205,43)&amp;"","")&amp;"␟"&amp;IFERROR(INDEX(PASTE_ALL,$DF205,44)&amp;"","")&amp;"␟"&amp;IFERROR(INDEX(PASTE_ALL,$DF205,45)&amp;"","")&amp;"␟"&amp;IFERROR(INDEX(PASTE_ALL,$DF205,46)&amp;"","")&amp;"␟"&amp;IFERROR(INDEX(PASTE_ALL,$DF205,47)&amp;"","")&amp;"␟"&amp;IFERROR(INDEX(PASTE_ALL,$DF205,48)&amp;"","")&amp;"␟"&amp;IFERROR(INDEX(PASTE_ALL,$DF205,49)&amp;"","")&amp;"␟"&amp;IFERROR(INDEX(PASTE_ALL,$DF205,50)&amp;"","")&amp;"␟"&amp;IFERROR(INDEX(PASTE_ALL,$DF205,51)&amp;"","")&amp;"␟"&amp;IFERROR(INDEX(PASTE_ALL,$DF205,52)&amp;"","")&amp;"␟"&amp;IFERROR(INDEX(PASTE_ALL,$DF205,53)&amp;"","")&amp;"␟"&amp;IFERROR(INDEX(PASTE_ALL,$DF205,54)&amp;"","")&amp;"␟"&amp;IFERROR(INDEX(PASTE_ALL,$DF205,55)&amp;"","")&amp;"␟"&amp;IFERROR(INDEX(PASTE_ALL,$DF205,56)&amp;"","")&amp;"␟"&amp;IFERROR(INDEX(PASTE_ALL,$DF205,57)&amp;"","")&amp;"␟"&amp;IFERROR(INDEX(PASTE_ALL,$DF205,58)&amp;"","")&amp;"␟"&amp;IFERROR(INDEX(PASTE_ALL,$DF205,59)&amp;"","")&amp;"␟"&amp;IFERROR(INDEX(PASTE_ALL,$DF205,60)&amp;"","")," "," "),CHAR(9)," "),CHAR(10)," "),CHAR(13)," "))," ␟","␟"),"␟ ","␟"),"#"&amp;$DE205),"")</f>
        <v/>
      </c>
      <c r="DJ205">
        <f>IF($DI205="",0,IF(SUMPRODUCT(--EXACT($DI$4:DI204,$DI205))&gt;0,1,0))</f>
        <v/>
      </c>
      <c r="DK205">
        <f>IF(AND($DI205&lt;&gt;"",$DJ205=0),1,0)</f>
        <v/>
      </c>
      <c r="DL205">
        <f>DL204+$DK205</f>
        <v/>
      </c>
      <c r="DM205">
        <f>IF(AND($DK205=1,$DL205&lt;=600),1,0)</f>
        <v/>
      </c>
      <c r="DN205">
        <f>IF($DM205=0,"",IF($L$6=0,"",IFERROR(IF(ISNUMBER(INDEX(PASTE_ALL,$DF205,$L$6)),INDEX(PASTE_ALL,$DF205,$L$6),TRIM(SUBSTITUTE(SUBSTITUTE(SUBSTITUTE(SUBSTITUTE(INDEX(PASTE_ALL,$DF205,$L$6)," "," "),CHAR(9)," "),CHAR(10)," "),CHAR(13)," "))),"")))</f>
        <v/>
      </c>
      <c r="DO205">
        <f>IF($DM205=0,"",IF($L$7=0,"",IFERROR(IF(ISNUMBER(INDEX(PASTE_ALL,$DF205,$L$7)),INDEX(PASTE_ALL,$DF205,$L$7),TRIM(SUBSTITUTE(SUBSTITUTE(SUBSTITUTE(SUBSTITUTE(INDEX(PASTE_ALL,$DF205,$L$7)," "," "),CHAR(9)," "),CHAR(10)," "),CHAR(13)," "))),"")))</f>
        <v/>
      </c>
      <c r="DP205">
        <f>IF($DM205=0,"",IF($L$8=0,"",IFERROR(IF(ISNUMBER(INDEX(PASTE_ALL,$DF205,$L$8)),INDEX(PASTE_ALL,$DF205,$L$8),TRIM(SUBSTITUTE(SUBSTITUTE(SUBSTITUTE(SUBSTITUTE(INDEX(PASTE_ALL,$DF205,$L$8)," "," "),CHAR(9)," "),CHAR(10)," "),CHAR(13)," "))),"")))</f>
        <v/>
      </c>
      <c r="DQ205">
        <f>IF($DM205=0,"",IF($L$9=0,"",IFERROR(IF(ISNUMBER(INDEX(PASTE_ALL,$DF205,$L$9)),INDEX(PASTE_ALL,$DF205,$L$9),TRIM(SUBSTITUTE(SUBSTITUTE(SUBSTITUTE(SUBSTITUTE(INDEX(PASTE_ALL,$DF205,$L$9)," "," "),CHAR(9)," "),CHAR(10)," "),CHAR(13)," "))),"")))</f>
        <v/>
      </c>
      <c r="DR205">
        <f>IF($DM205=0,"",IF($L$10=0,"",IFERROR(IF(ISNUMBER(INDEX(PASTE_ALL,$DF205,$L$10)),INDEX(PASTE_ALL,$DF205,$L$10),TRIM(SUBSTITUTE(SUBSTITUTE(SUBSTITUTE(SUBSTITUTE(INDEX(PASTE_ALL,$DF205,$L$10)," "," "),CHAR(9)," "),CHAR(10)," "),CHAR(13)," "))),"")))</f>
        <v/>
      </c>
      <c r="DS205">
        <f>IF($DM205=0,"",IF($L$11=0,"",IFERROR(IF(ISNUMBER(INDEX(PASTE_ALL,$DF205,$L$11)),INDEX(PASTE_ALL,$DF205,$L$11),TRIM(SUBSTITUTE(SUBSTITUTE(SUBSTITUTE(SUBSTITUTE(INDEX(PASTE_ALL,$DF205,$L$11)," "," "),CHAR(9)," "),CHAR(10)," "),CHAR(13)," "))),"")))</f>
        <v/>
      </c>
      <c r="DT205">
        <f>IF($DM205=0,"",IF($L$12=0,"",IFERROR(IF(ISNUMBER(INDEX(PASTE_ALL,$DF205,$L$12)),INDEX(PASTE_ALL,$DF205,$L$12),TRIM(SUBSTITUTE(SUBSTITUTE(SUBSTITUTE(SUBSTITUTE(INDEX(PASTE_ALL,$DF205,$L$12)," "," "),CHAR(9)," "),CHAR(10)," "),CHAR(13)," "))),"")))</f>
        <v/>
      </c>
      <c r="DU205">
        <f>IF($DM205=0,"",IF($L$13=0,"",IFERROR(IF(ISNUMBER(INDEX(PASTE_ALL,$DF205,$L$13)),INDEX(PASTE_ALL,$DF205,$L$13),TRIM(SUBSTITUTE(SUBSTITUTE(SUBSTITUTE(SUBSTITUTE(INDEX(PASTE_ALL,$DF205,$L$13)," "," "),CHAR(9)," "),CHAR(10)," "),CHAR(13)," "))),"")))</f>
        <v/>
      </c>
      <c r="DV205">
        <f>IF($DM205=0,"",IF($L$14=0,"",IFERROR(IF(ISNUMBER(INDEX(PASTE_ALL,$DF205,$L$14)),INDEX(PASTE_ALL,$DF205,$L$14),TRIM(SUBSTITUTE(SUBSTITUTE(SUBSTITUTE(SUBSTITUTE(INDEX(PASTE_ALL,$DF205,$L$14)," "," "),CHAR(9)," "),CHAR(10)," "),CHAR(13)," "))),"")))</f>
        <v/>
      </c>
      <c r="DW205">
        <f>IF($DM205=0,"",IF($L$15=0,"",IFERROR(IF(ISNUMBER(INDEX(PASTE_ALL,$DF205,$L$15)),INDEX(PASTE_ALL,$DF205,$L$15),IF(SUMPRODUCT(--ISNUMBER(FIND({"A","B","C","D","E","F","G","H","I","J","K","L","M","N","O","P","Q","R","S","T","U","V","W","X","Y","Z","0","1","2","3","4","5","6","7","8","9"},UPPER(TRIM(SUBSTITUTE(SUBSTITUTE(SUBSTITUTE(SUBSTITUTE(INDEX(PASTE_ALL,$DF205,$L$15)," "," "),CHAR(9)," "),CHAR(10)," "),CHAR(13)," "))))))&gt;0,TRIM(SUBSTITUTE(SUBSTITUTE(SUBSTITUTE(SUBSTITUTE(INDEX(PASTE_ALL,$DF205,$L$15)," "," "),CHAR(9)," "),CHAR(10)," "),CHAR(13)," ")),"")),"")))</f>
        <v/>
      </c>
      <c r="DX205">
        <f>IF($DM205=0,"",IF($L$16=0,"",IFERROR(IF(ISNUMBER(INDEX(PASTE_ALL,$DF205,$L$16)),INDEX(PASTE_ALL,$DF205,$L$16),SUBSTITUTE(SUBSTITUTE(TRIM(SUBSTITUTE(SUBSTITUTE(SUBSTITUTE(SUBSTITUTE(INDEX(PASTE_ALL,$DF205,$L$16)," "," "),CHAR(9)," "),CHAR(10)," "),CHAR(13)," ")),",",""),"%","")),"")))</f>
        <v/>
      </c>
      <c r="DY205">
        <f>IF($DM205=0,"",IFERROR(IF(ISNUMBER($DX205),$DX205,IF($DX205="","",IF(TRIM($DX205)="",0,IF(AND(AND(SUBSTITUTE(SUBSTITUTE(SUBSTITUTE(SUBSTITUTE(SUBSTITUTE(SUBSTITUTE(SUBSTITUTE(SUBSTITUTE(SUBSTITUTE(SUBSTITUTE(SUBSTITUTE(SUBSTITUTE(SUBSTITUTE(SUBSTITUTE(UPPER(TRIM($DX205)),"0",""),"1",""),"2",""),"3",""),"4",""),"5",""),"6",""),"7",""),"8",""),"9",""),".",""),"+",""),"-",""),"E","")="",LEN(SUBSTITUTE(SUBSTITUTE(MID(UPPER(TRIM($DX205)),1+OR(LEFT(UPPER(TRIM($DX205)),1)="+",LEFT(UPPER(TRIM($DX205)),1)="-"),999),"E+","E"),"E-","E"))=LEN(SUBSTITUTE(SUBSTITUTE(SUBSTITUTE(SUBSTITUTE(MID(UPPER(TRIM($DX205)),1+OR(LEFT(UPPER(TRIM($DX205)),1)="+",LEFT(UPPER(TRIM($DX205)),1)="-"),999),"E+","E"),"E-","E"),"+",""),"-","")),LEN(UPPER(TRIM($DX205)))-LEN(SUBSTITUTE(UPPER(TRIM($DX205)),"E",""))&lt;2,LEN(UPPER(TRIM($DX205)))-LEN(SUBSTITUTE(UPPER(TRIM($DX205)),".",""))&lt;2,IFERROR(FIND(".",UPPER(TRIM($DX205))),0)&lt;IFERROR(FIND("E",UPPER(TRIM($DX205))),999)),ISNUMBER(VALUE(TRIM($DX205)))),VALUE(TRIM($DX205)),"")))),""))</f>
        <v/>
      </c>
      <c r="DZ205">
        <f>IF($DM205=0,"",IF($L$17=0,"",IFERROR(IF(ISNUMBER(INDEX(PASTE_ALL,$DF205,$L$17)),INDEX(PASTE_ALL,$DF205,$L$17),SUBSTITUTE(SUBSTITUTE(TRIM(SUBSTITUTE(SUBSTITUTE(SUBSTITUTE(SUBSTITUTE(INDEX(PASTE_ALL,$DF205,$L$17)," "," "),CHAR(9)," "),CHAR(10)," "),CHAR(13)," ")),",",""),"%","")),"")))</f>
        <v/>
      </c>
      <c r="EA205">
        <f>IF($DM205=0,"",IFERROR(IF(ISNUMBER($DZ205),$DZ205,IF($DZ205="","",IF(TRIM($DZ205)="",0,IF(AND(AND(SUBSTITUTE(SUBSTITUTE(SUBSTITUTE(SUBSTITUTE(SUBSTITUTE(SUBSTITUTE(SUBSTITUTE(SUBSTITUTE(SUBSTITUTE(SUBSTITUTE(SUBSTITUTE(SUBSTITUTE(SUBSTITUTE(SUBSTITUTE(UPPER(TRIM($DZ205)),"0",""),"1",""),"2",""),"3",""),"4",""),"5",""),"6",""),"7",""),"8",""),"9",""),".",""),"+",""),"-",""),"E","")="",LEN(SUBSTITUTE(SUBSTITUTE(MID(UPPER(TRIM($DZ205)),1+OR(LEFT(UPPER(TRIM($DZ205)),1)="+",LEFT(UPPER(TRIM($DZ205)),1)="-"),999),"E+","E"),"E-","E"))=LEN(SUBSTITUTE(SUBSTITUTE(SUBSTITUTE(SUBSTITUTE(MID(UPPER(TRIM($DZ205)),1+OR(LEFT(UPPER(TRIM($DZ205)),1)="+",LEFT(UPPER(TRIM($DZ205)),1)="-"),999),"E+","E"),"E-","E"),"+",""),"-","")),LEN(UPPER(TRIM($DZ205)))-LEN(SUBSTITUTE(UPPER(TRIM($DZ205)),"E",""))&lt;2,LEN(UPPER(TRIM($DZ205)))-LEN(SUBSTITUTE(UPPER(TRIM($DZ205)),".",""))&lt;2,IFERROR(FIND(".",UPPER(TRIM($DZ205))),0)&lt;IFERROR(FIND("E",UPPER(TRIM($DZ205))),999)),ISNUMBER(VALUE(TRIM($DZ205)))),VALUE(TRIM($DZ205)),"")))),""))</f>
        <v/>
      </c>
      <c r="EB205">
        <f>IF($DM205=0,"",IF($L$18=0,"",IFERROR(IF(UPPER(TRIM(SUBSTITUTE(SUBSTITUTE(SUBSTITUTE(SUBSTITUTE(INDEX(PASTE_ALL,$DF205,$L$18)," "," "),CHAR(9)," "),CHAR(10)," "),CHAR(13)," ")))="READY","Ready",IF(UPPER(TRIM(SUBSTITUTE(SUBSTITUTE(SUBSTITUTE(SUBSTITUTE(INDEX(PASTE_ALL,$DF205,$L$18)," "," "),CHAR(9)," "),CHAR(10)," "),CHAR(13)," ")))="PM","PM",IF(OR(UPPER(TRIM(SUBSTITUTE(SUBSTITUTE(SUBSTITUTE(SUBSTITUTE(INDEX(PASTE_ALL,$DF205,$L$18)," "," "),CHAR(9)," "),CHAR(10)," "),CHAR(13)," ")))="OT",UPPER(TRIM(SUBSTITUTE(SUBSTITUTE(SUBSTITUTE(SUBSTITUTE(INDEX(PASTE_ALL,$DF205,$L$18)," "," "),CHAR(9)," "),CHAR(10)," "),CHAR(13)," ")))="OVERTIME",UPPER(TRIM(SUBSTITUTE(SUBSTITUTE(SUBSTITUTE(SUBSTITUTE(INDEX(PASTE_ALL,$DF205,$L$18)," "," "),CHAR(9)," "),CHAR(10)," "),CHAR(13)," ")))="TRIAL"),"OT",TRIM(SUBSTITUTE(SUBSTITUTE(SUBSTITUTE(SUBSTITUTE(INDEX(PASTE_ALL,$DF205,$L$18)," "," "),CHAR(9)," "),CHAR(10)," "),CHAR(13)," "))))),"")))</f>
        <v/>
      </c>
      <c r="EC205">
        <f>IF($DM205=0,"",IF($L$19=0,"",IFERROR(IF(ISNUMBER(INDEX(PASTE_ALL,$DF205,$L$19)),INDEX(PASTE_ALL,$DF205,$L$19),TRIM(SUBSTITUTE(SUBSTITUTE(SUBSTITUTE(SUBSTITUTE(INDEX(PASTE_ALL,$DF205,$L$19)," "," "),CHAR(9)," "),CHAR(10)," "),CHAR(13)," "))),"")))</f>
        <v/>
      </c>
      <c r="ED205">
        <f>IF($DM205=0,"",MATCH(1,INDEX(EXACT($DH$5:DH205,$DH205)*$DM$5:DM205,0),0))</f>
        <v/>
      </c>
      <c r="EE205">
        <f>IF($DM205=0,0,IF($ED205=$DE205,1,0))</f>
        <v/>
      </c>
      <c r="EF205">
        <f>EF204+$EE205</f>
        <v/>
      </c>
      <c r="EG205">
        <f>IF($DM205=0,"",INDEX($EF$5:$EF$1003,$ED205))</f>
        <v/>
      </c>
      <c r="EH205">
        <f>IF($DM205=0,"",IF($DO205&lt;&gt;"","",IFERROR(LOOKUP(2,1/(($EG$4:EG204=$EG205)*($DO$4:DO204&lt;&gt;"")),$DO$4:DO204),"")))</f>
        <v/>
      </c>
      <c r="EI205">
        <f>IF($DM205=0,"",IF($DO205&lt;&gt;"",$DO205,$EH205))</f>
        <v/>
      </c>
      <c r="EJ205">
        <f>IF($DM205=0,"",IF($EI205="",0,IF(OR(ISNUMBER($EI205),AND(AND(SUBSTITUTE(SUBSTITUTE(SUBSTITUTE(SUBSTITUTE(SUBSTITUTE(SUBSTITUTE(SUBSTITUTE(SUBSTITUTE(SUBSTITUTE(SUBSTITUTE(SUBSTITUTE(SUBSTITUTE(SUBSTITUTE(SUBSTITUTE(UPPER($EI205),"0",""),"1",""),"2",""),"3",""),"4",""),"5",""),"6",""),"7",""),"8",""),"9",""),".",""),"+",""),"-",""),"E","")="",LEN(SUBSTITUTE(SUBSTITUTE(MID(UPPER($EI205),1+OR(LEFT(UPPER($EI205),1)="+",LEFT(UPPER($EI205),1)="-"),999),"E+","E"),"E-","E"))=LEN(SUBSTITUTE(SUBSTITUTE(SUBSTITUTE(SUBSTITUTE(MID(UPPER($EI205),1+OR(LEFT(UPPER($EI205),1)="+",LEFT(UPPER($EI205),1)="-"),999),"E+","E"),"E-","E"),"+",""),"-","")),LEN(UPPER($EI205))-LEN(SUBSTITUTE(UPPER($EI205),"E",""))&lt;2,LEN(UPPER($EI205))-LEN(SUBSTITUTE(UPPER($EI205),".",""))&lt;2,IFERROR(FIND(".",UPPER($EI205)),0)&lt;IFERROR(FIND("E",UPPER($EI205)),999)),ISNUMBER(VALUE($EI205)))),1,2)))</f>
        <v/>
      </c>
      <c r="EK205">
        <f>IF($DM205=0,"",IF($EJ205=1,IF(ISNUMBER($EI205),$EI205,VALUE($EI205)),IF($EJ205=2,$DE205,0)))</f>
        <v/>
      </c>
      <c r="EL205">
        <f>IF($DM205=0,"",COUNTIF($EG$5:$EG$1003,"&lt;"&amp;$EG205)+SUMPRODUCT(($EG$5:$EG$1003=$EG205)*(($EJ$5:$EJ$1003&lt;$EJ205)+($EJ$5:$EJ$1003=$EJ205)*(($EK$5:$EK$1003&lt;$EK205)+($EK$5:$EK$1003=$EK205)*($DE$5:$DE$1003&lt;$DE205))))+1)</f>
        <v/>
      </c>
      <c r="EM205">
        <f>IF($DM205=0,"",$EL205+$EG205-1)</f>
        <v/>
      </c>
      <c r="EN205">
        <f>IF($DM205=0,0,IFERROR(MATCH(1,INDEX(--(TRIM(SUBSTITUTE(SUBSTITUTE(SUBSTITUTE(SUBSTITUTE(LINES_NAME&amp;""," "," "),CHAR(9)," "),CHAR(10)," "),CHAR(13)," "))=$DH205),0),0),0))</f>
        <v/>
      </c>
      <c r="EO205">
        <f>IF($EN205=0,0,IF(OR(UPPER(TRIM(INDEX(LINES_SCHEDULED,$EN205)&amp;""))="YES",UPPER(TRIM(INDEX(LINES_SCHEDULED,$EN205)&amp;""))="Y",UPPER(TRIM(INDEX(LINES_SCHEDULED,$EN205)&amp;""))="X"),1,0))</f>
        <v/>
      </c>
      <c r="EP205">
        <f>IF($DM205=0,"",IF(COUNTIFS($EG$5:$EG$1003,$EG205,$EB$5:$EB$1003,"Ready")&gt;0,"READY",IF(COUNTIFS($EG$5:$EG$1003,$EG205,$EB$5:$EB$1003,"PM")&gt;0,"PM",IF(COUNTIFS($EG$5:$EG$1003,$EG205,$EB$5:$EB$1003,"OT")&gt;0,"OT",""))))</f>
        <v/>
      </c>
      <c r="EQ205">
        <f>IF($EN205=0,"",UPPER(TRIM(INDEX(LINES_STATUS,$EN205)&amp;"")))</f>
        <v/>
      </c>
      <c r="ER205">
        <f>IF($DM205=0,"",IF(OR($EQ205="READY",$EQ205="PM",$EQ205="OT"),$EQ205,$EP205))</f>
        <v/>
      </c>
      <c r="ES205">
        <f>IF($DM205=0,"",IF(AND($DV205&lt;&gt;"",UPPER($DV205)&lt;&gt;"N"),"allergen",IF(ISNUMBER(SEARCH("oil",$DQ205)),"oil",IF(OR(EXACT($DS205,"A662"),EXACT($DS205,"A624")),"bulk",""))))</f>
        <v/>
      </c>
      <c r="ET205">
        <f>IF($DM205=0,"",IF(OR($EA205="",$EA205=0),"",$EA205/100))</f>
        <v/>
      </c>
      <c r="EU205">
        <f>IF(OR($ET205="",$DY205=""),"",INT($DY205*(1-$ET205)+0.5))</f>
        <v/>
      </c>
      <c r="EW205" t="n">
        <v>201</v>
      </c>
      <c r="EX205">
        <f>IFERROR(MATCH($EW205,$EM$5:$EM$1003,0),0)</f>
        <v/>
      </c>
      <c r="EY205">
        <f>IF($EW205&gt;$B$12,"",IF($EX205&gt;0,"row","spacer"))</f>
        <v/>
      </c>
      <c r="EZ205">
        <f>IF(AND($EY205="row",$EY204&lt;&gt;"row"),1,0)</f>
        <v/>
      </c>
      <c r="FA205">
        <f>IF(AND($EY205="row",$EY206&lt;&gt;"row"),1,0)</f>
        <v/>
      </c>
      <c r="FB205">
        <f>IF($EZ205=1,IFERROR(IF(ISNUMBER(INDEX(PASTE_ALL,INDEX($DF$5:$DF$1003,$EX205),$B$37)),INDEX(PASTE_ALL,INDEX($DF$5:$DF$1003,$EX205),$B$37),INDEX($DH$5:$DH$1003,$EX205)),INDEX($DH$5:$DH$1003,$EX205)),"")</f>
        <v/>
      </c>
      <c r="FC205">
        <f>IF($EY205="row",INDEX($ER$5:$ER$1003,$EX205),"")</f>
        <v/>
      </c>
      <c r="FD205">
        <f>IF($EY205="row",INDEX($DN$5:$DN$1003,$EX205),"")</f>
        <v/>
      </c>
      <c r="FE205">
        <f>IF($EY205="row",INDEX($DO$5:$DO$1003,$EX205),"")</f>
        <v/>
      </c>
      <c r="FF205">
        <f>IF($EY205="row",INDEX($DP$5:$DP$1003,$EX205),"")</f>
        <v/>
      </c>
      <c r="FG205">
        <f>IF($EY205="row",INDEX($DQ$5:$DQ$1003,$EX205),"")</f>
        <v/>
      </c>
      <c r="FH205">
        <f>IF($EY205="row",INDEX($DR$5:$DR$1003,$EX205),"")</f>
        <v/>
      </c>
      <c r="FI205">
        <f>IF($EY205="row",INDEX($DS$5:$DS$1003,$EX205),"")</f>
        <v/>
      </c>
      <c r="FJ205">
        <f>IF($EY205="row",INDEX($DT$5:$DT$1003,$EX205),"")</f>
        <v/>
      </c>
      <c r="FK205">
        <f>IF($EY205="row",INDEX($DU$5:$DU$1003,$EX205),"")</f>
        <v/>
      </c>
      <c r="FL205">
        <f>IF($EY205="row",INDEX($DV$5:$DV$1003,$EX205),"")</f>
        <v/>
      </c>
      <c r="FM205">
        <f>IF($EY205="row",INDEX($DW$5:$DW$1003,$EX205),"")</f>
        <v/>
      </c>
      <c r="FN205">
        <f>IF($EY205="row",INDEX($DY$5:$DY$1003,$EX205),"")</f>
        <v/>
      </c>
      <c r="FO205">
        <f>IF($EY205="row",INDEX($EA$5:$EA$1003,$EX205),"")</f>
        <v/>
      </c>
      <c r="FP205">
        <f>IF($EY205="row",INDEX($EC$5:$EC$1003,$EX205),"")</f>
        <v/>
      </c>
      <c r="FQ205">
        <f>IF($EY205="row",INDEX($ET$5:$ET$1003,$EX205),"")</f>
        <v/>
      </c>
      <c r="FR205">
        <f>IF($EY205="row",INDEX($EU$5:$EU$1003,$EX205),"")</f>
        <v/>
      </c>
      <c r="FS205">
        <f>IF(AND($EY205="row",$EY204="row"),IF(OR(INDEX($DT$5:$DT$1003,$EX204)="",INDEX($DT$5:$DT$1003,$EX205)=""),"",IF(NOT(EXACT(INDEX($DT$5:$DT$1003,$EX204),INDEX($DT$5:$DT$1003,$EX205))),"S4",IF(NOT(EXACT(INDEX($DS$5:$DS$1003,$EX204),INDEX($DS$5:$DS$1003,$EX205))),"S3",IF(NOT(EXACT(INDEX($DR$5:$DR$1003,$EX204),INDEX($DR$5:$DR$1003,$EX205))),"S1 Count Change","S1")))),"")</f>
        <v/>
      </c>
      <c r="FT205">
        <f>IF($EY205="row",INDEX($ES$5:$ES$1003,$EX205),"")</f>
        <v/>
      </c>
      <c r="FU205">
        <f>IF($EY205="row",INDEX($EO$5:$EO$1003,$EX205),0)</f>
        <v/>
      </c>
      <c r="FV205">
        <f>IF($FS205="S1 Count Change",1,0)</f>
        <v/>
      </c>
    </row>
    <row r="206">
      <c r="Y206">
        <f>0+IF(Y116&gt;0,0,IF(SUMPRODUCT(MOD(INT(Y161/{2,4,8,16,32,64,128,256,512,1024,2048,4096,8192,16384,32768}),2)*(1-MOD(INT(($CJ26+0)/{2,4,8,16,32,64,128,256,512,1024,2048,4096,8192,16384,32768}),2))*{2,4,8,16,32,64,128,256,512,1024,2048,4096,8192,16384,32768})=0,0,2^SUMPRODUCT(--(MOD(SUMPRODUCT(MOD(INT(Y161/{2,4,8,16,32,64,128,256,512,1024,2048,4096,8192,16384,32768}),2)*(1-MOD(INT(($CJ26+0)/{2,4,8,16,32,64,128,256,512,1024,2048,4096,8192,16384,32768}),2))*{2,4,8,16,32,64,128,256,512,1024,2048,4096,8192,16384,32768}),{2,4,8,16,32,64,128,256,512,1024,2048,4096,8192,16384,32768})=0))))</f>
        <v/>
      </c>
      <c r="Z206">
        <f>Y206+IF(AND(Z116&gt;0,COUNTIF($Y116:Y116,Z116)=0),0,IF(SUMPRODUCT(MOD(INT(Z161/{2,4,8,16,32,64,128,256,512,1024,2048,4096,8192,16384,32768}),2)*(1-MOD(INT(($CJ26+Y206)/{2,4,8,16,32,64,128,256,512,1024,2048,4096,8192,16384,32768}),2))*{2,4,8,16,32,64,128,256,512,1024,2048,4096,8192,16384,32768})=0,0,2^SUMPRODUCT(--(MOD(SUMPRODUCT(MOD(INT(Z161/{2,4,8,16,32,64,128,256,512,1024,2048,4096,8192,16384,32768}),2)*(1-MOD(INT(($CJ26+Y206)/{2,4,8,16,32,64,128,256,512,1024,2048,4096,8192,16384,32768}),2))*{2,4,8,16,32,64,128,256,512,1024,2048,4096,8192,16384,32768}),{2,4,8,16,32,64,128,256,512,1024,2048,4096,8192,16384,32768})=0))))</f>
        <v/>
      </c>
      <c r="AA206">
        <f>Z206+IF(AND(AA116&gt;0,COUNTIF($Y116:Z116,AA116)=0),0,IF(SUMPRODUCT(MOD(INT(AA161/{2,4,8,16,32,64,128,256,512,1024,2048,4096,8192,16384,32768}),2)*(1-MOD(INT(($CJ26+Z206)/{2,4,8,16,32,64,128,256,512,1024,2048,4096,8192,16384,32768}),2))*{2,4,8,16,32,64,128,256,512,1024,2048,4096,8192,16384,32768})=0,0,2^SUMPRODUCT(--(MOD(SUMPRODUCT(MOD(INT(AA161/{2,4,8,16,32,64,128,256,512,1024,2048,4096,8192,16384,32768}),2)*(1-MOD(INT(($CJ26+Z206)/{2,4,8,16,32,64,128,256,512,1024,2048,4096,8192,16384,32768}),2))*{2,4,8,16,32,64,128,256,512,1024,2048,4096,8192,16384,32768}),{2,4,8,16,32,64,128,256,512,1024,2048,4096,8192,16384,32768})=0))))</f>
        <v/>
      </c>
      <c r="AB206">
        <f>AA206+IF(AND(AB116&gt;0,COUNTIF($Y116:AA116,AB116)=0),0,IF(SUMPRODUCT(MOD(INT(AB161/{2,4,8,16,32,64,128,256,512,1024,2048,4096,8192,16384,32768}),2)*(1-MOD(INT(($CJ26+AA206)/{2,4,8,16,32,64,128,256,512,1024,2048,4096,8192,16384,32768}),2))*{2,4,8,16,32,64,128,256,512,1024,2048,4096,8192,16384,32768})=0,0,2^SUMPRODUCT(--(MOD(SUMPRODUCT(MOD(INT(AB161/{2,4,8,16,32,64,128,256,512,1024,2048,4096,8192,16384,32768}),2)*(1-MOD(INT(($CJ26+AA206)/{2,4,8,16,32,64,128,256,512,1024,2048,4096,8192,16384,32768}),2))*{2,4,8,16,32,64,128,256,512,1024,2048,4096,8192,16384,32768}),{2,4,8,16,32,64,128,256,512,1024,2048,4096,8192,16384,32768})=0))))</f>
        <v/>
      </c>
      <c r="AC206">
        <f>AB206+IF(AND(AC116&gt;0,COUNTIF($Y116:AB116,AC116)=0),0,IF(SUMPRODUCT(MOD(INT(AC161/{2,4,8,16,32,64,128,256,512,1024,2048,4096,8192,16384,32768}),2)*(1-MOD(INT(($CJ26+AB206)/{2,4,8,16,32,64,128,256,512,1024,2048,4096,8192,16384,32768}),2))*{2,4,8,16,32,64,128,256,512,1024,2048,4096,8192,16384,32768})=0,0,2^SUMPRODUCT(--(MOD(SUMPRODUCT(MOD(INT(AC161/{2,4,8,16,32,64,128,256,512,1024,2048,4096,8192,16384,32768}),2)*(1-MOD(INT(($CJ26+AB206)/{2,4,8,16,32,64,128,256,512,1024,2048,4096,8192,16384,32768}),2))*{2,4,8,16,32,64,128,256,512,1024,2048,4096,8192,16384,32768}),{2,4,8,16,32,64,128,256,512,1024,2048,4096,8192,16384,32768})=0))))</f>
        <v/>
      </c>
      <c r="AD206">
        <f>AC206+IF(AND(AD116&gt;0,COUNTIF($Y116:AC116,AD116)=0),0,IF(SUMPRODUCT(MOD(INT(AD161/{2,4,8,16,32,64,128,256,512,1024,2048,4096,8192,16384,32768}),2)*(1-MOD(INT(($CJ26+AC206)/{2,4,8,16,32,64,128,256,512,1024,2048,4096,8192,16384,32768}),2))*{2,4,8,16,32,64,128,256,512,1024,2048,4096,8192,16384,32768})=0,0,2^SUMPRODUCT(--(MOD(SUMPRODUCT(MOD(INT(AD161/{2,4,8,16,32,64,128,256,512,1024,2048,4096,8192,16384,32768}),2)*(1-MOD(INT(($CJ26+AC206)/{2,4,8,16,32,64,128,256,512,1024,2048,4096,8192,16384,32768}),2))*{2,4,8,16,32,64,128,256,512,1024,2048,4096,8192,16384,32768}),{2,4,8,16,32,64,128,256,512,1024,2048,4096,8192,16384,32768})=0))))</f>
        <v/>
      </c>
      <c r="AE206">
        <f>AD206+IF(AND(AE116&gt;0,COUNTIF($Y116:AD116,AE116)=0),0,IF(SUMPRODUCT(MOD(INT(AE161/{2,4,8,16,32,64,128,256,512,1024,2048,4096,8192,16384,32768}),2)*(1-MOD(INT(($CJ26+AD206)/{2,4,8,16,32,64,128,256,512,1024,2048,4096,8192,16384,32768}),2))*{2,4,8,16,32,64,128,256,512,1024,2048,4096,8192,16384,32768})=0,0,2^SUMPRODUCT(--(MOD(SUMPRODUCT(MOD(INT(AE161/{2,4,8,16,32,64,128,256,512,1024,2048,4096,8192,16384,32768}),2)*(1-MOD(INT(($CJ26+AD206)/{2,4,8,16,32,64,128,256,512,1024,2048,4096,8192,16384,32768}),2))*{2,4,8,16,32,64,128,256,512,1024,2048,4096,8192,16384,32768}),{2,4,8,16,32,64,128,256,512,1024,2048,4096,8192,16384,32768})=0))))</f>
        <v/>
      </c>
      <c r="AF206">
        <f>AE206+IF(AND(AF116&gt;0,COUNTIF($Y116:AE116,AF116)=0),0,IF(SUMPRODUCT(MOD(INT(AF161/{2,4,8,16,32,64,128,256,512,1024,2048,4096,8192,16384,32768}),2)*(1-MOD(INT(($CJ26+AE206)/{2,4,8,16,32,64,128,256,512,1024,2048,4096,8192,16384,32768}),2))*{2,4,8,16,32,64,128,256,512,1024,2048,4096,8192,16384,32768})=0,0,2^SUMPRODUCT(--(MOD(SUMPRODUCT(MOD(INT(AF161/{2,4,8,16,32,64,128,256,512,1024,2048,4096,8192,16384,32768}),2)*(1-MOD(INT(($CJ26+AE206)/{2,4,8,16,32,64,128,256,512,1024,2048,4096,8192,16384,32768}),2))*{2,4,8,16,32,64,128,256,512,1024,2048,4096,8192,16384,32768}),{2,4,8,16,32,64,128,256,512,1024,2048,4096,8192,16384,32768})=0))))</f>
        <v/>
      </c>
      <c r="AG206">
        <f>AF206+IF(AND(AG116&gt;0,COUNTIF($Y116:AF116,AG116)=0),0,IF(SUMPRODUCT(MOD(INT(AG161/{2,4,8,16,32,64,128,256,512,1024,2048,4096,8192,16384,32768}),2)*(1-MOD(INT(($CJ26+AF206)/{2,4,8,16,32,64,128,256,512,1024,2048,4096,8192,16384,32768}),2))*{2,4,8,16,32,64,128,256,512,1024,2048,4096,8192,16384,32768})=0,0,2^SUMPRODUCT(--(MOD(SUMPRODUCT(MOD(INT(AG161/{2,4,8,16,32,64,128,256,512,1024,2048,4096,8192,16384,32768}),2)*(1-MOD(INT(($CJ26+AF206)/{2,4,8,16,32,64,128,256,512,1024,2048,4096,8192,16384,32768}),2))*{2,4,8,16,32,64,128,256,512,1024,2048,4096,8192,16384,32768}),{2,4,8,16,32,64,128,256,512,1024,2048,4096,8192,16384,32768})=0))))</f>
        <v/>
      </c>
      <c r="AH206">
        <f>AG206+IF(AND(AH116&gt;0,COUNTIF($Y116:AG116,AH116)=0),0,IF(SUMPRODUCT(MOD(INT(AH161/{2,4,8,16,32,64,128,256,512,1024,2048,4096,8192,16384,32768}),2)*(1-MOD(INT(($CJ26+AG206)/{2,4,8,16,32,64,128,256,512,1024,2048,4096,8192,16384,32768}),2))*{2,4,8,16,32,64,128,256,512,1024,2048,4096,8192,16384,32768})=0,0,2^SUMPRODUCT(--(MOD(SUMPRODUCT(MOD(INT(AH161/{2,4,8,16,32,64,128,256,512,1024,2048,4096,8192,16384,32768}),2)*(1-MOD(INT(($CJ26+AG206)/{2,4,8,16,32,64,128,256,512,1024,2048,4096,8192,16384,32768}),2))*{2,4,8,16,32,64,128,256,512,1024,2048,4096,8192,16384,32768}),{2,4,8,16,32,64,128,256,512,1024,2048,4096,8192,16384,32768})=0))))</f>
        <v/>
      </c>
      <c r="AI206">
        <f>AH206+IF(AND(AI116&gt;0,COUNTIF($Y116:AH116,AI116)=0),0,IF(SUMPRODUCT(MOD(INT(AI161/{2,4,8,16,32,64,128,256,512,1024,2048,4096,8192,16384,32768}),2)*(1-MOD(INT(($CJ26+AH206)/{2,4,8,16,32,64,128,256,512,1024,2048,4096,8192,16384,32768}),2))*{2,4,8,16,32,64,128,256,512,1024,2048,4096,8192,16384,32768})=0,0,2^SUMPRODUCT(--(MOD(SUMPRODUCT(MOD(INT(AI161/{2,4,8,16,32,64,128,256,512,1024,2048,4096,8192,16384,32768}),2)*(1-MOD(INT(($CJ26+AH206)/{2,4,8,16,32,64,128,256,512,1024,2048,4096,8192,16384,32768}),2))*{2,4,8,16,32,64,128,256,512,1024,2048,4096,8192,16384,32768}),{2,4,8,16,32,64,128,256,512,1024,2048,4096,8192,16384,32768})=0))))</f>
        <v/>
      </c>
      <c r="AJ206">
        <f>AI206+IF(AND(AJ116&gt;0,COUNTIF($Y116:AI116,AJ116)=0),0,IF(SUMPRODUCT(MOD(INT(AJ161/{2,4,8,16,32,64,128,256,512,1024,2048,4096,8192,16384,32768}),2)*(1-MOD(INT(($CJ26+AI206)/{2,4,8,16,32,64,128,256,512,1024,2048,4096,8192,16384,32768}),2))*{2,4,8,16,32,64,128,256,512,1024,2048,4096,8192,16384,32768})=0,0,2^SUMPRODUCT(--(MOD(SUMPRODUCT(MOD(INT(AJ161/{2,4,8,16,32,64,128,256,512,1024,2048,4096,8192,16384,32768}),2)*(1-MOD(INT(($CJ26+AI206)/{2,4,8,16,32,64,128,256,512,1024,2048,4096,8192,16384,32768}),2))*{2,4,8,16,32,64,128,256,512,1024,2048,4096,8192,16384,32768}),{2,4,8,16,32,64,128,256,512,1024,2048,4096,8192,16384,32768})=0))))</f>
        <v/>
      </c>
      <c r="AK206">
        <f>AJ206+IF(AND(AK116&gt;0,COUNTIF($Y116:AJ116,AK116)=0),0,IF(SUMPRODUCT(MOD(INT(AK161/{2,4,8,16,32,64,128,256,512,1024,2048,4096,8192,16384,32768}),2)*(1-MOD(INT(($CJ26+AJ206)/{2,4,8,16,32,64,128,256,512,1024,2048,4096,8192,16384,32768}),2))*{2,4,8,16,32,64,128,256,512,1024,2048,4096,8192,16384,32768})=0,0,2^SUMPRODUCT(--(MOD(SUMPRODUCT(MOD(INT(AK161/{2,4,8,16,32,64,128,256,512,1024,2048,4096,8192,16384,32768}),2)*(1-MOD(INT(($CJ26+AJ206)/{2,4,8,16,32,64,128,256,512,1024,2048,4096,8192,16384,32768}),2))*{2,4,8,16,32,64,128,256,512,1024,2048,4096,8192,16384,32768}),{2,4,8,16,32,64,128,256,512,1024,2048,4096,8192,16384,32768})=0))))</f>
        <v/>
      </c>
      <c r="AL206">
        <f>AK206+IF(AND(AL116&gt;0,COUNTIF($Y116:AK116,AL116)=0),0,IF(SUMPRODUCT(MOD(INT(AL161/{2,4,8,16,32,64,128,256,512,1024,2048,4096,8192,16384,32768}),2)*(1-MOD(INT(($CJ26+AK206)/{2,4,8,16,32,64,128,256,512,1024,2048,4096,8192,16384,32768}),2))*{2,4,8,16,32,64,128,256,512,1024,2048,4096,8192,16384,32768})=0,0,2^SUMPRODUCT(--(MOD(SUMPRODUCT(MOD(INT(AL161/{2,4,8,16,32,64,128,256,512,1024,2048,4096,8192,16384,32768}),2)*(1-MOD(INT(($CJ26+AK206)/{2,4,8,16,32,64,128,256,512,1024,2048,4096,8192,16384,32768}),2))*{2,4,8,16,32,64,128,256,512,1024,2048,4096,8192,16384,32768}),{2,4,8,16,32,64,128,256,512,1024,2048,4096,8192,16384,32768})=0))))</f>
        <v/>
      </c>
      <c r="AM206">
        <f>AL206+IF(AND(AM116&gt;0,COUNTIF($Y116:AL116,AM116)=0),0,IF(SUMPRODUCT(MOD(INT(AM161/{2,4,8,16,32,64,128,256,512,1024,2048,4096,8192,16384,32768}),2)*(1-MOD(INT(($CJ26+AL206)/{2,4,8,16,32,64,128,256,512,1024,2048,4096,8192,16384,32768}),2))*{2,4,8,16,32,64,128,256,512,1024,2048,4096,8192,16384,32768})=0,0,2^SUMPRODUCT(--(MOD(SUMPRODUCT(MOD(INT(AM161/{2,4,8,16,32,64,128,256,512,1024,2048,4096,8192,16384,32768}),2)*(1-MOD(INT(($CJ26+AL206)/{2,4,8,16,32,64,128,256,512,1024,2048,4096,8192,16384,32768}),2))*{2,4,8,16,32,64,128,256,512,1024,2048,4096,8192,16384,32768}),{2,4,8,16,32,64,128,256,512,1024,2048,4096,8192,16384,32768})=0))))</f>
        <v/>
      </c>
      <c r="AN206">
        <f>AM206+IF(AND(AN116&gt;0,COUNTIF($Y116:AM116,AN116)=0),0,IF(SUMPRODUCT(MOD(INT(AN161/{2,4,8,16,32,64,128,256,512,1024,2048,4096,8192,16384,32768}),2)*(1-MOD(INT(($CJ26+AM206)/{2,4,8,16,32,64,128,256,512,1024,2048,4096,8192,16384,32768}),2))*{2,4,8,16,32,64,128,256,512,1024,2048,4096,8192,16384,32768})=0,0,2^SUMPRODUCT(--(MOD(SUMPRODUCT(MOD(INT(AN161/{2,4,8,16,32,64,128,256,512,1024,2048,4096,8192,16384,32768}),2)*(1-MOD(INT(($CJ26+AM206)/{2,4,8,16,32,64,128,256,512,1024,2048,4096,8192,16384,32768}),2))*{2,4,8,16,32,64,128,256,512,1024,2048,4096,8192,16384,32768}),{2,4,8,16,32,64,128,256,512,1024,2048,4096,8192,16384,32768})=0))))</f>
        <v/>
      </c>
      <c r="AO206">
        <f>AN206+IF(AND(AO116&gt;0,COUNTIF($Y116:AN116,AO116)=0),0,IF(SUMPRODUCT(MOD(INT(AO161/{2,4,8,16,32,64,128,256,512,1024,2048,4096,8192,16384,32768}),2)*(1-MOD(INT(($CJ26+AN206)/{2,4,8,16,32,64,128,256,512,1024,2048,4096,8192,16384,32768}),2))*{2,4,8,16,32,64,128,256,512,1024,2048,4096,8192,16384,32768})=0,0,2^SUMPRODUCT(--(MOD(SUMPRODUCT(MOD(INT(AO161/{2,4,8,16,32,64,128,256,512,1024,2048,4096,8192,16384,32768}),2)*(1-MOD(INT(($CJ26+AN206)/{2,4,8,16,32,64,128,256,512,1024,2048,4096,8192,16384,32768}),2))*{2,4,8,16,32,64,128,256,512,1024,2048,4096,8192,16384,32768}),{2,4,8,16,32,64,128,256,512,1024,2048,4096,8192,16384,32768})=0))))</f>
        <v/>
      </c>
      <c r="AP206">
        <f>AO206+IF(AND(AP116&gt;0,COUNTIF($Y116:AO116,AP116)=0),0,IF(SUMPRODUCT(MOD(INT(AP161/{2,4,8,16,32,64,128,256,512,1024,2048,4096,8192,16384,32768}),2)*(1-MOD(INT(($CJ26+AO206)/{2,4,8,16,32,64,128,256,512,1024,2048,4096,8192,16384,32768}),2))*{2,4,8,16,32,64,128,256,512,1024,2048,4096,8192,16384,32768})=0,0,2^SUMPRODUCT(--(MOD(SUMPRODUCT(MOD(INT(AP161/{2,4,8,16,32,64,128,256,512,1024,2048,4096,8192,16384,32768}),2)*(1-MOD(INT(($CJ26+AO206)/{2,4,8,16,32,64,128,256,512,1024,2048,4096,8192,16384,32768}),2))*{2,4,8,16,32,64,128,256,512,1024,2048,4096,8192,16384,32768}),{2,4,8,16,32,64,128,256,512,1024,2048,4096,8192,16384,32768})=0))))</f>
        <v/>
      </c>
      <c r="AQ206">
        <f>AP206+IF(AND(AQ116&gt;0,COUNTIF($Y116:AP116,AQ116)=0),0,IF(SUMPRODUCT(MOD(INT(AQ161/{2,4,8,16,32,64,128,256,512,1024,2048,4096,8192,16384,32768}),2)*(1-MOD(INT(($CJ26+AP206)/{2,4,8,16,32,64,128,256,512,1024,2048,4096,8192,16384,32768}),2))*{2,4,8,16,32,64,128,256,512,1024,2048,4096,8192,16384,32768})=0,0,2^SUMPRODUCT(--(MOD(SUMPRODUCT(MOD(INT(AQ161/{2,4,8,16,32,64,128,256,512,1024,2048,4096,8192,16384,32768}),2)*(1-MOD(INT(($CJ26+AP206)/{2,4,8,16,32,64,128,256,512,1024,2048,4096,8192,16384,32768}),2))*{2,4,8,16,32,64,128,256,512,1024,2048,4096,8192,16384,32768}),{2,4,8,16,32,64,128,256,512,1024,2048,4096,8192,16384,32768})=0))))</f>
        <v/>
      </c>
      <c r="AR206">
        <f>AQ206+IF(AND(AR116&gt;0,COUNTIF($Y116:AQ116,AR116)=0),0,IF(SUMPRODUCT(MOD(INT(AR161/{2,4,8,16,32,64,128,256,512,1024,2048,4096,8192,16384,32768}),2)*(1-MOD(INT(($CJ26+AQ206)/{2,4,8,16,32,64,128,256,512,1024,2048,4096,8192,16384,32768}),2))*{2,4,8,16,32,64,128,256,512,1024,2048,4096,8192,16384,32768})=0,0,2^SUMPRODUCT(--(MOD(SUMPRODUCT(MOD(INT(AR161/{2,4,8,16,32,64,128,256,512,1024,2048,4096,8192,16384,32768}),2)*(1-MOD(INT(($CJ26+AQ206)/{2,4,8,16,32,64,128,256,512,1024,2048,4096,8192,16384,32768}),2))*{2,4,8,16,32,64,128,256,512,1024,2048,4096,8192,16384,32768}),{2,4,8,16,32,64,128,256,512,1024,2048,4096,8192,16384,32768})=0))))</f>
        <v/>
      </c>
      <c r="AS206">
        <f>AR206+IF(AND(AS116&gt;0,COUNTIF($Y116:AR116,AS116)=0),0,IF(SUMPRODUCT(MOD(INT(AS161/{2,4,8,16,32,64,128,256,512,1024,2048,4096,8192,16384,32768}),2)*(1-MOD(INT(($CJ26+AR206)/{2,4,8,16,32,64,128,256,512,1024,2048,4096,8192,16384,32768}),2))*{2,4,8,16,32,64,128,256,512,1024,2048,4096,8192,16384,32768})=0,0,2^SUMPRODUCT(--(MOD(SUMPRODUCT(MOD(INT(AS161/{2,4,8,16,32,64,128,256,512,1024,2048,4096,8192,16384,32768}),2)*(1-MOD(INT(($CJ26+AR206)/{2,4,8,16,32,64,128,256,512,1024,2048,4096,8192,16384,32768}),2))*{2,4,8,16,32,64,128,256,512,1024,2048,4096,8192,16384,32768}),{2,4,8,16,32,64,128,256,512,1024,2048,4096,8192,16384,32768})=0))))</f>
        <v/>
      </c>
      <c r="AT206">
        <f>AS206+IF(AND(AT116&gt;0,COUNTIF($Y116:AS116,AT116)=0),0,IF(SUMPRODUCT(MOD(INT(AT161/{2,4,8,16,32,64,128,256,512,1024,2048,4096,8192,16384,32768}),2)*(1-MOD(INT(($CJ26+AS206)/{2,4,8,16,32,64,128,256,512,1024,2048,4096,8192,16384,32768}),2))*{2,4,8,16,32,64,128,256,512,1024,2048,4096,8192,16384,32768})=0,0,2^SUMPRODUCT(--(MOD(SUMPRODUCT(MOD(INT(AT161/{2,4,8,16,32,64,128,256,512,1024,2048,4096,8192,16384,32768}),2)*(1-MOD(INT(($CJ26+AS206)/{2,4,8,16,32,64,128,256,512,1024,2048,4096,8192,16384,32768}),2))*{2,4,8,16,32,64,128,256,512,1024,2048,4096,8192,16384,32768}),{2,4,8,16,32,64,128,256,512,1024,2048,4096,8192,16384,32768})=0))))</f>
        <v/>
      </c>
      <c r="AU206">
        <f>AT206+IF(AND(AU116&gt;0,COUNTIF($Y116:AT116,AU116)=0),0,IF(SUMPRODUCT(MOD(INT(AU161/{2,4,8,16,32,64,128,256,512,1024,2048,4096,8192,16384,32768}),2)*(1-MOD(INT(($CJ26+AT206)/{2,4,8,16,32,64,128,256,512,1024,2048,4096,8192,16384,32768}),2))*{2,4,8,16,32,64,128,256,512,1024,2048,4096,8192,16384,32768})=0,0,2^SUMPRODUCT(--(MOD(SUMPRODUCT(MOD(INT(AU161/{2,4,8,16,32,64,128,256,512,1024,2048,4096,8192,16384,32768}),2)*(1-MOD(INT(($CJ26+AT206)/{2,4,8,16,32,64,128,256,512,1024,2048,4096,8192,16384,32768}),2))*{2,4,8,16,32,64,128,256,512,1024,2048,4096,8192,16384,32768}),{2,4,8,16,32,64,128,256,512,1024,2048,4096,8192,16384,32768})=0))))</f>
        <v/>
      </c>
      <c r="AV206">
        <f>AU206+IF(AND(AV116&gt;0,COUNTIF($Y116:AU116,AV116)=0),0,IF(SUMPRODUCT(MOD(INT(AV161/{2,4,8,16,32,64,128,256,512,1024,2048,4096,8192,16384,32768}),2)*(1-MOD(INT(($CJ26+AU206)/{2,4,8,16,32,64,128,256,512,1024,2048,4096,8192,16384,32768}),2))*{2,4,8,16,32,64,128,256,512,1024,2048,4096,8192,16384,32768})=0,0,2^SUMPRODUCT(--(MOD(SUMPRODUCT(MOD(INT(AV161/{2,4,8,16,32,64,128,256,512,1024,2048,4096,8192,16384,32768}),2)*(1-MOD(INT(($CJ26+AU206)/{2,4,8,16,32,64,128,256,512,1024,2048,4096,8192,16384,32768}),2))*{2,4,8,16,32,64,128,256,512,1024,2048,4096,8192,16384,32768}),{2,4,8,16,32,64,128,256,512,1024,2048,4096,8192,16384,32768})=0))))</f>
        <v/>
      </c>
      <c r="AW206">
        <f>AV206+IF(AND(AW116&gt;0,COUNTIF($Y116:AV116,AW116)=0),0,IF(SUMPRODUCT(MOD(INT(AW161/{2,4,8,16,32,64,128,256,512,1024,2048,4096,8192,16384,32768}),2)*(1-MOD(INT(($CJ26+AV206)/{2,4,8,16,32,64,128,256,512,1024,2048,4096,8192,16384,32768}),2))*{2,4,8,16,32,64,128,256,512,1024,2048,4096,8192,16384,32768})=0,0,2^SUMPRODUCT(--(MOD(SUMPRODUCT(MOD(INT(AW161/{2,4,8,16,32,64,128,256,512,1024,2048,4096,8192,16384,32768}),2)*(1-MOD(INT(($CJ26+AV206)/{2,4,8,16,32,64,128,256,512,1024,2048,4096,8192,16384,32768}),2))*{2,4,8,16,32,64,128,256,512,1024,2048,4096,8192,16384,32768}),{2,4,8,16,32,64,128,256,512,1024,2048,4096,8192,16384,32768})=0))))</f>
        <v/>
      </c>
      <c r="AX206">
        <f>AW206+IF(AND(AX116&gt;0,COUNTIF($Y116:AW116,AX116)=0),0,IF(SUMPRODUCT(MOD(INT(AX161/{2,4,8,16,32,64,128,256,512,1024,2048,4096,8192,16384,32768}),2)*(1-MOD(INT(($CJ26+AW206)/{2,4,8,16,32,64,128,256,512,1024,2048,4096,8192,16384,32768}),2))*{2,4,8,16,32,64,128,256,512,1024,2048,4096,8192,16384,32768})=0,0,2^SUMPRODUCT(--(MOD(SUMPRODUCT(MOD(INT(AX161/{2,4,8,16,32,64,128,256,512,1024,2048,4096,8192,16384,32768}),2)*(1-MOD(INT(($CJ26+AW206)/{2,4,8,16,32,64,128,256,512,1024,2048,4096,8192,16384,32768}),2))*{2,4,8,16,32,64,128,256,512,1024,2048,4096,8192,16384,32768}),{2,4,8,16,32,64,128,256,512,1024,2048,4096,8192,16384,32768})=0))))</f>
        <v/>
      </c>
      <c r="AY206">
        <f>AX206+IF(AND(AY116&gt;0,COUNTIF($Y116:AX116,AY116)=0),0,IF(SUMPRODUCT(MOD(INT(AY161/{2,4,8,16,32,64,128,256,512,1024,2048,4096,8192,16384,32768}),2)*(1-MOD(INT(($CJ26+AX206)/{2,4,8,16,32,64,128,256,512,1024,2048,4096,8192,16384,32768}),2))*{2,4,8,16,32,64,128,256,512,1024,2048,4096,8192,16384,32768})=0,0,2^SUMPRODUCT(--(MOD(SUMPRODUCT(MOD(INT(AY161/{2,4,8,16,32,64,128,256,512,1024,2048,4096,8192,16384,32768}),2)*(1-MOD(INT(($CJ26+AX206)/{2,4,8,16,32,64,128,256,512,1024,2048,4096,8192,16384,32768}),2))*{2,4,8,16,32,64,128,256,512,1024,2048,4096,8192,16384,32768}),{2,4,8,16,32,64,128,256,512,1024,2048,4096,8192,16384,32768})=0))))</f>
        <v/>
      </c>
      <c r="AZ206">
        <f>AY206+IF(AND(AZ116&gt;0,COUNTIF($Y116:AY116,AZ116)=0),0,IF(SUMPRODUCT(MOD(INT(AZ161/{2,4,8,16,32,64,128,256,512,1024,2048,4096,8192,16384,32768}),2)*(1-MOD(INT(($CJ26+AY206)/{2,4,8,16,32,64,128,256,512,1024,2048,4096,8192,16384,32768}),2))*{2,4,8,16,32,64,128,256,512,1024,2048,4096,8192,16384,32768})=0,0,2^SUMPRODUCT(--(MOD(SUMPRODUCT(MOD(INT(AZ161/{2,4,8,16,32,64,128,256,512,1024,2048,4096,8192,16384,32768}),2)*(1-MOD(INT(($CJ26+AY206)/{2,4,8,16,32,64,128,256,512,1024,2048,4096,8192,16384,32768}),2))*{2,4,8,16,32,64,128,256,512,1024,2048,4096,8192,16384,32768}),{2,4,8,16,32,64,128,256,512,1024,2048,4096,8192,16384,32768})=0))))</f>
        <v/>
      </c>
      <c r="BA206">
        <f>AZ206+IF(AND(BA116&gt;0,COUNTIF($Y116:AZ116,BA116)=0),0,IF(SUMPRODUCT(MOD(INT(BA161/{2,4,8,16,32,64,128,256,512,1024,2048,4096,8192,16384,32768}),2)*(1-MOD(INT(($CJ26+AZ206)/{2,4,8,16,32,64,128,256,512,1024,2048,4096,8192,16384,32768}),2))*{2,4,8,16,32,64,128,256,512,1024,2048,4096,8192,16384,32768})=0,0,2^SUMPRODUCT(--(MOD(SUMPRODUCT(MOD(INT(BA161/{2,4,8,16,32,64,128,256,512,1024,2048,4096,8192,16384,32768}),2)*(1-MOD(INT(($CJ26+AZ206)/{2,4,8,16,32,64,128,256,512,1024,2048,4096,8192,16384,32768}),2))*{2,4,8,16,32,64,128,256,512,1024,2048,4096,8192,16384,32768}),{2,4,8,16,32,64,128,256,512,1024,2048,4096,8192,16384,32768})=0))))</f>
        <v/>
      </c>
      <c r="BB206">
        <f>BA206+IF(AND(BB116&gt;0,COUNTIF($Y116:BA116,BB116)=0),0,IF(SUMPRODUCT(MOD(INT(BB161/{2,4,8,16,32,64,128,256,512,1024,2048,4096,8192,16384,32768}),2)*(1-MOD(INT(($CJ26+BA206)/{2,4,8,16,32,64,128,256,512,1024,2048,4096,8192,16384,32768}),2))*{2,4,8,16,32,64,128,256,512,1024,2048,4096,8192,16384,32768})=0,0,2^SUMPRODUCT(--(MOD(SUMPRODUCT(MOD(INT(BB161/{2,4,8,16,32,64,128,256,512,1024,2048,4096,8192,16384,32768}),2)*(1-MOD(INT(($CJ26+BA206)/{2,4,8,16,32,64,128,256,512,1024,2048,4096,8192,16384,32768}),2))*{2,4,8,16,32,64,128,256,512,1024,2048,4096,8192,16384,32768}),{2,4,8,16,32,64,128,256,512,1024,2048,4096,8192,16384,32768})=0))))</f>
        <v/>
      </c>
      <c r="BC206">
        <f>BB206+IF(AND(BC116&gt;0,COUNTIF($Y116:BB116,BC116)=0),0,IF(SUMPRODUCT(MOD(INT(BC161/{2,4,8,16,32,64,128,256,512,1024,2048,4096,8192,16384,32768}),2)*(1-MOD(INT(($CJ26+BB206)/{2,4,8,16,32,64,128,256,512,1024,2048,4096,8192,16384,32768}),2))*{2,4,8,16,32,64,128,256,512,1024,2048,4096,8192,16384,32768})=0,0,2^SUMPRODUCT(--(MOD(SUMPRODUCT(MOD(INT(BC161/{2,4,8,16,32,64,128,256,512,1024,2048,4096,8192,16384,32768}),2)*(1-MOD(INT(($CJ26+BB206)/{2,4,8,16,32,64,128,256,512,1024,2048,4096,8192,16384,32768}),2))*{2,4,8,16,32,64,128,256,512,1024,2048,4096,8192,16384,32768}),{2,4,8,16,32,64,128,256,512,1024,2048,4096,8192,16384,32768})=0))))</f>
        <v/>
      </c>
      <c r="BD206">
        <f>BC206+IF(AND(BD116&gt;0,COUNTIF($Y116:BC116,BD116)=0),0,IF(SUMPRODUCT(MOD(INT(BD161/{2,4,8,16,32,64,128,256,512,1024,2048,4096,8192,16384,32768}),2)*(1-MOD(INT(($CJ26+BC206)/{2,4,8,16,32,64,128,256,512,1024,2048,4096,8192,16384,32768}),2))*{2,4,8,16,32,64,128,256,512,1024,2048,4096,8192,16384,32768})=0,0,2^SUMPRODUCT(--(MOD(SUMPRODUCT(MOD(INT(BD161/{2,4,8,16,32,64,128,256,512,1024,2048,4096,8192,16384,32768}),2)*(1-MOD(INT(($CJ26+BC206)/{2,4,8,16,32,64,128,256,512,1024,2048,4096,8192,16384,32768}),2))*{2,4,8,16,32,64,128,256,512,1024,2048,4096,8192,16384,32768}),{2,4,8,16,32,64,128,256,512,1024,2048,4096,8192,16384,32768})=0))))</f>
        <v/>
      </c>
      <c r="BE206">
        <f>BD206+IF(AND(BE116&gt;0,COUNTIF($Y116:BD116,BE116)=0),0,IF(SUMPRODUCT(MOD(INT(BE161/{2,4,8,16,32,64,128,256,512,1024,2048,4096,8192,16384,32768}),2)*(1-MOD(INT(($CJ26+BD206)/{2,4,8,16,32,64,128,256,512,1024,2048,4096,8192,16384,32768}),2))*{2,4,8,16,32,64,128,256,512,1024,2048,4096,8192,16384,32768})=0,0,2^SUMPRODUCT(--(MOD(SUMPRODUCT(MOD(INT(BE161/{2,4,8,16,32,64,128,256,512,1024,2048,4096,8192,16384,32768}),2)*(1-MOD(INT(($CJ26+BD206)/{2,4,8,16,32,64,128,256,512,1024,2048,4096,8192,16384,32768}),2))*{2,4,8,16,32,64,128,256,512,1024,2048,4096,8192,16384,32768}),{2,4,8,16,32,64,128,256,512,1024,2048,4096,8192,16384,32768})=0))))</f>
        <v/>
      </c>
      <c r="BF206">
        <f>BE206+IF(AND(BF116&gt;0,COUNTIF($Y116:BE116,BF116)=0),0,IF(SUMPRODUCT(MOD(INT(BF161/{2,4,8,16,32,64,128,256,512,1024,2048,4096,8192,16384,32768}),2)*(1-MOD(INT(($CJ26+BE206)/{2,4,8,16,32,64,128,256,512,1024,2048,4096,8192,16384,32768}),2))*{2,4,8,16,32,64,128,256,512,1024,2048,4096,8192,16384,32768})=0,0,2^SUMPRODUCT(--(MOD(SUMPRODUCT(MOD(INT(BF161/{2,4,8,16,32,64,128,256,512,1024,2048,4096,8192,16384,32768}),2)*(1-MOD(INT(($CJ26+BE206)/{2,4,8,16,32,64,128,256,512,1024,2048,4096,8192,16384,32768}),2))*{2,4,8,16,32,64,128,256,512,1024,2048,4096,8192,16384,32768}),{2,4,8,16,32,64,128,256,512,1024,2048,4096,8192,16384,32768})=0))))</f>
        <v/>
      </c>
      <c r="BG206">
        <f>BF206+IF(AND(BG116&gt;0,COUNTIF($Y116:BF116,BG116)=0),0,IF(SUMPRODUCT(MOD(INT(BG161/{2,4,8,16,32,64,128,256,512,1024,2048,4096,8192,16384,32768}),2)*(1-MOD(INT(($CJ26+BF206)/{2,4,8,16,32,64,128,256,512,1024,2048,4096,8192,16384,32768}),2))*{2,4,8,16,32,64,128,256,512,1024,2048,4096,8192,16384,32768})=0,0,2^SUMPRODUCT(--(MOD(SUMPRODUCT(MOD(INT(BG161/{2,4,8,16,32,64,128,256,512,1024,2048,4096,8192,16384,32768}),2)*(1-MOD(INT(($CJ26+BF206)/{2,4,8,16,32,64,128,256,512,1024,2048,4096,8192,16384,32768}),2))*{2,4,8,16,32,64,128,256,512,1024,2048,4096,8192,16384,32768}),{2,4,8,16,32,64,128,256,512,1024,2048,4096,8192,16384,32768})=0))))</f>
        <v/>
      </c>
      <c r="BH206">
        <f>BG206+IF(AND(BH116&gt;0,COUNTIF($Y116:BG116,BH116)=0),0,IF(SUMPRODUCT(MOD(INT(BH161/{2,4,8,16,32,64,128,256,512,1024,2048,4096,8192,16384,32768}),2)*(1-MOD(INT(($CJ26+BG206)/{2,4,8,16,32,64,128,256,512,1024,2048,4096,8192,16384,32768}),2))*{2,4,8,16,32,64,128,256,512,1024,2048,4096,8192,16384,32768})=0,0,2^SUMPRODUCT(--(MOD(SUMPRODUCT(MOD(INT(BH161/{2,4,8,16,32,64,128,256,512,1024,2048,4096,8192,16384,32768}),2)*(1-MOD(INT(($CJ26+BG206)/{2,4,8,16,32,64,128,256,512,1024,2048,4096,8192,16384,32768}),2))*{2,4,8,16,32,64,128,256,512,1024,2048,4096,8192,16384,32768}),{2,4,8,16,32,64,128,256,512,1024,2048,4096,8192,16384,32768})=0))))</f>
        <v/>
      </c>
      <c r="BI206">
        <f>BH206+IF(AND(BI116&gt;0,COUNTIF($Y116:BH116,BI116)=0),0,IF(SUMPRODUCT(MOD(INT(BI161/{2,4,8,16,32,64,128,256,512,1024,2048,4096,8192,16384,32768}),2)*(1-MOD(INT(($CJ26+BH206)/{2,4,8,16,32,64,128,256,512,1024,2048,4096,8192,16384,32768}),2))*{2,4,8,16,32,64,128,256,512,1024,2048,4096,8192,16384,32768})=0,0,2^SUMPRODUCT(--(MOD(SUMPRODUCT(MOD(INT(BI161/{2,4,8,16,32,64,128,256,512,1024,2048,4096,8192,16384,32768}),2)*(1-MOD(INT(($CJ26+BH206)/{2,4,8,16,32,64,128,256,512,1024,2048,4096,8192,16384,32768}),2))*{2,4,8,16,32,64,128,256,512,1024,2048,4096,8192,16384,32768}),{2,4,8,16,32,64,128,256,512,1024,2048,4096,8192,16384,32768})=0))))</f>
        <v/>
      </c>
      <c r="BJ206">
        <f>BI206+IF(AND(BJ116&gt;0,COUNTIF($Y116:BI116,BJ116)=0),0,IF(SUMPRODUCT(MOD(INT(BJ161/{2,4,8,16,32,64,128,256,512,1024,2048,4096,8192,16384,32768}),2)*(1-MOD(INT(($CJ26+BI206)/{2,4,8,16,32,64,128,256,512,1024,2048,4096,8192,16384,32768}),2))*{2,4,8,16,32,64,128,256,512,1024,2048,4096,8192,16384,32768})=0,0,2^SUMPRODUCT(--(MOD(SUMPRODUCT(MOD(INT(BJ161/{2,4,8,16,32,64,128,256,512,1024,2048,4096,8192,16384,32768}),2)*(1-MOD(INT(($CJ26+BI206)/{2,4,8,16,32,64,128,256,512,1024,2048,4096,8192,16384,32768}),2))*{2,4,8,16,32,64,128,256,512,1024,2048,4096,8192,16384,32768}),{2,4,8,16,32,64,128,256,512,1024,2048,4096,8192,16384,32768})=0))))</f>
        <v/>
      </c>
      <c r="BK206">
        <f>BJ206+IF(AND(BK116&gt;0,COUNTIF($Y116:BJ116,BK116)=0),0,IF(SUMPRODUCT(MOD(INT(BK161/{2,4,8,16,32,64,128,256,512,1024,2048,4096,8192,16384,32768}),2)*(1-MOD(INT(($CJ26+BJ206)/{2,4,8,16,32,64,128,256,512,1024,2048,4096,8192,16384,32768}),2))*{2,4,8,16,32,64,128,256,512,1024,2048,4096,8192,16384,32768})=0,0,2^SUMPRODUCT(--(MOD(SUMPRODUCT(MOD(INT(BK161/{2,4,8,16,32,64,128,256,512,1024,2048,4096,8192,16384,32768}),2)*(1-MOD(INT(($CJ26+BJ206)/{2,4,8,16,32,64,128,256,512,1024,2048,4096,8192,16384,32768}),2))*{2,4,8,16,32,64,128,256,512,1024,2048,4096,8192,16384,32768}),{2,4,8,16,32,64,128,256,512,1024,2048,4096,8192,16384,32768})=0))))</f>
        <v/>
      </c>
      <c r="BL206">
        <f>BK206+IF(AND(BL116&gt;0,COUNTIF($Y116:BK116,BL116)=0),0,IF(SUMPRODUCT(MOD(INT(BL161/{2,4,8,16,32,64,128,256,512,1024,2048,4096,8192,16384,32768}),2)*(1-MOD(INT(($CJ26+BK206)/{2,4,8,16,32,64,128,256,512,1024,2048,4096,8192,16384,32768}),2))*{2,4,8,16,32,64,128,256,512,1024,2048,4096,8192,16384,32768})=0,0,2^SUMPRODUCT(--(MOD(SUMPRODUCT(MOD(INT(BL161/{2,4,8,16,32,64,128,256,512,1024,2048,4096,8192,16384,32768}),2)*(1-MOD(INT(($CJ26+BK206)/{2,4,8,16,32,64,128,256,512,1024,2048,4096,8192,16384,32768}),2))*{2,4,8,16,32,64,128,256,512,1024,2048,4096,8192,16384,32768}),{2,4,8,16,32,64,128,256,512,1024,2048,4096,8192,16384,32768})=0))))</f>
        <v/>
      </c>
      <c r="BM206">
        <f>BL206+IF(AND(BM116&gt;0,COUNTIF($Y116:BL116,BM116)=0),0,IF(SUMPRODUCT(MOD(INT(BM161/{2,4,8,16,32,64,128,256,512,1024,2048,4096,8192,16384,32768}),2)*(1-MOD(INT(($CJ26+BL206)/{2,4,8,16,32,64,128,256,512,1024,2048,4096,8192,16384,32768}),2))*{2,4,8,16,32,64,128,256,512,1024,2048,4096,8192,16384,32768})=0,0,2^SUMPRODUCT(--(MOD(SUMPRODUCT(MOD(INT(BM161/{2,4,8,16,32,64,128,256,512,1024,2048,4096,8192,16384,32768}),2)*(1-MOD(INT(($CJ26+BL206)/{2,4,8,16,32,64,128,256,512,1024,2048,4096,8192,16384,32768}),2))*{2,4,8,16,32,64,128,256,512,1024,2048,4096,8192,16384,32768}),{2,4,8,16,32,64,128,256,512,1024,2048,4096,8192,16384,32768})=0))))</f>
        <v/>
      </c>
      <c r="BN206">
        <f>BM206+IF(AND(BN116&gt;0,COUNTIF($Y116:BM116,BN116)=0),0,IF(SUMPRODUCT(MOD(INT(BN161/{2,4,8,16,32,64,128,256,512,1024,2048,4096,8192,16384,32768}),2)*(1-MOD(INT(($CJ26+BM206)/{2,4,8,16,32,64,128,256,512,1024,2048,4096,8192,16384,32768}),2))*{2,4,8,16,32,64,128,256,512,1024,2048,4096,8192,16384,32768})=0,0,2^SUMPRODUCT(--(MOD(SUMPRODUCT(MOD(INT(BN161/{2,4,8,16,32,64,128,256,512,1024,2048,4096,8192,16384,32768}),2)*(1-MOD(INT(($CJ26+BM206)/{2,4,8,16,32,64,128,256,512,1024,2048,4096,8192,16384,32768}),2))*{2,4,8,16,32,64,128,256,512,1024,2048,4096,8192,16384,32768}),{2,4,8,16,32,64,128,256,512,1024,2048,4096,8192,16384,32768})=0))))</f>
        <v/>
      </c>
      <c r="BO206">
        <f>BN206+IF(AND(BO116&gt;0,COUNTIF($Y116:BN116,BO116)=0),0,IF(SUMPRODUCT(MOD(INT(BO161/{2,4,8,16,32,64,128,256,512,1024,2048,4096,8192,16384,32768}),2)*(1-MOD(INT(($CJ26+BN206)/{2,4,8,16,32,64,128,256,512,1024,2048,4096,8192,16384,32768}),2))*{2,4,8,16,32,64,128,256,512,1024,2048,4096,8192,16384,32768})=0,0,2^SUMPRODUCT(--(MOD(SUMPRODUCT(MOD(INT(BO161/{2,4,8,16,32,64,128,256,512,1024,2048,4096,8192,16384,32768}),2)*(1-MOD(INT(($CJ26+BN206)/{2,4,8,16,32,64,128,256,512,1024,2048,4096,8192,16384,32768}),2))*{2,4,8,16,32,64,128,256,512,1024,2048,4096,8192,16384,32768}),{2,4,8,16,32,64,128,256,512,1024,2048,4096,8192,16384,32768})=0))))</f>
        <v/>
      </c>
      <c r="BP206">
        <f>BO206+IF(AND(BP116&gt;0,COUNTIF($Y116:BO116,BP116)=0),0,IF(SUMPRODUCT(MOD(INT(BP161/{2,4,8,16,32,64,128,256,512,1024,2048,4096,8192,16384,32768}),2)*(1-MOD(INT(($CJ26+BO206)/{2,4,8,16,32,64,128,256,512,1024,2048,4096,8192,16384,32768}),2))*{2,4,8,16,32,64,128,256,512,1024,2048,4096,8192,16384,32768})=0,0,2^SUMPRODUCT(--(MOD(SUMPRODUCT(MOD(INT(BP161/{2,4,8,16,32,64,128,256,512,1024,2048,4096,8192,16384,32768}),2)*(1-MOD(INT(($CJ26+BO206)/{2,4,8,16,32,64,128,256,512,1024,2048,4096,8192,16384,32768}),2))*{2,4,8,16,32,64,128,256,512,1024,2048,4096,8192,16384,32768}),{2,4,8,16,32,64,128,256,512,1024,2048,4096,8192,16384,32768})=0))))</f>
        <v/>
      </c>
      <c r="BQ206">
        <f>BP206+IF(AND(BQ116&gt;0,COUNTIF($Y116:BP116,BQ116)=0),0,IF(SUMPRODUCT(MOD(INT(BQ161/{2,4,8,16,32,64,128,256,512,1024,2048,4096,8192,16384,32768}),2)*(1-MOD(INT(($CJ26+BP206)/{2,4,8,16,32,64,128,256,512,1024,2048,4096,8192,16384,32768}),2))*{2,4,8,16,32,64,128,256,512,1024,2048,4096,8192,16384,32768})=0,0,2^SUMPRODUCT(--(MOD(SUMPRODUCT(MOD(INT(BQ161/{2,4,8,16,32,64,128,256,512,1024,2048,4096,8192,16384,32768}),2)*(1-MOD(INT(($CJ26+BP206)/{2,4,8,16,32,64,128,256,512,1024,2048,4096,8192,16384,32768}),2))*{2,4,8,16,32,64,128,256,512,1024,2048,4096,8192,16384,32768}),{2,4,8,16,32,64,128,256,512,1024,2048,4096,8192,16384,32768})=0))))</f>
        <v/>
      </c>
      <c r="BR206">
        <f>BQ206+IF(AND(BR116&gt;0,COUNTIF($Y116:BQ116,BR116)=0),0,IF(SUMPRODUCT(MOD(INT(BR161/{2,4,8,16,32,64,128,256,512,1024,2048,4096,8192,16384,32768}),2)*(1-MOD(INT(($CJ26+BQ206)/{2,4,8,16,32,64,128,256,512,1024,2048,4096,8192,16384,32768}),2))*{2,4,8,16,32,64,128,256,512,1024,2048,4096,8192,16384,32768})=0,0,2^SUMPRODUCT(--(MOD(SUMPRODUCT(MOD(INT(BR161/{2,4,8,16,32,64,128,256,512,1024,2048,4096,8192,16384,32768}),2)*(1-MOD(INT(($CJ26+BQ206)/{2,4,8,16,32,64,128,256,512,1024,2048,4096,8192,16384,32768}),2))*{2,4,8,16,32,64,128,256,512,1024,2048,4096,8192,16384,32768}),{2,4,8,16,32,64,128,256,512,1024,2048,4096,8192,16384,32768})=0))))</f>
        <v/>
      </c>
      <c r="BS206">
        <f>BR206+IF(AND(BS116&gt;0,COUNTIF($Y116:BR116,BS116)=0),0,IF(SUMPRODUCT(MOD(INT(BS161/{2,4,8,16,32,64,128,256,512,1024,2048,4096,8192,16384,32768}),2)*(1-MOD(INT(($CJ26+BR206)/{2,4,8,16,32,64,128,256,512,1024,2048,4096,8192,16384,32768}),2))*{2,4,8,16,32,64,128,256,512,1024,2048,4096,8192,16384,32768})=0,0,2^SUMPRODUCT(--(MOD(SUMPRODUCT(MOD(INT(BS161/{2,4,8,16,32,64,128,256,512,1024,2048,4096,8192,16384,32768}),2)*(1-MOD(INT(($CJ26+BR206)/{2,4,8,16,32,64,128,256,512,1024,2048,4096,8192,16384,32768}),2))*{2,4,8,16,32,64,128,256,512,1024,2048,4096,8192,16384,32768}),{2,4,8,16,32,64,128,256,512,1024,2048,4096,8192,16384,32768})=0))))</f>
        <v/>
      </c>
      <c r="BT206">
        <f>BS206+IF(AND(BT116&gt;0,COUNTIF($Y116:BS116,BT116)=0),0,IF(SUMPRODUCT(MOD(INT(BT161/{2,4,8,16,32,64,128,256,512,1024,2048,4096,8192,16384,32768}),2)*(1-MOD(INT(($CJ26+BS206)/{2,4,8,16,32,64,128,256,512,1024,2048,4096,8192,16384,32768}),2))*{2,4,8,16,32,64,128,256,512,1024,2048,4096,8192,16384,32768})=0,0,2^SUMPRODUCT(--(MOD(SUMPRODUCT(MOD(INT(BT161/{2,4,8,16,32,64,128,256,512,1024,2048,4096,8192,16384,32768}),2)*(1-MOD(INT(($CJ26+BS206)/{2,4,8,16,32,64,128,256,512,1024,2048,4096,8192,16384,32768}),2))*{2,4,8,16,32,64,128,256,512,1024,2048,4096,8192,16384,32768}),{2,4,8,16,32,64,128,256,512,1024,2048,4096,8192,16384,32768})=0))))</f>
        <v/>
      </c>
      <c r="BU206">
        <f>BT206+IF(AND(BU116&gt;0,COUNTIF($Y116:BT116,BU116)=0),0,IF(SUMPRODUCT(MOD(INT(BU161/{2,4,8,16,32,64,128,256,512,1024,2048,4096,8192,16384,32768}),2)*(1-MOD(INT(($CJ26+BT206)/{2,4,8,16,32,64,128,256,512,1024,2048,4096,8192,16384,32768}),2))*{2,4,8,16,32,64,128,256,512,1024,2048,4096,8192,16384,32768})=0,0,2^SUMPRODUCT(--(MOD(SUMPRODUCT(MOD(INT(BU161/{2,4,8,16,32,64,128,256,512,1024,2048,4096,8192,16384,32768}),2)*(1-MOD(INT(($CJ26+BT206)/{2,4,8,16,32,64,128,256,512,1024,2048,4096,8192,16384,32768}),2))*{2,4,8,16,32,64,128,256,512,1024,2048,4096,8192,16384,32768}),{2,4,8,16,32,64,128,256,512,1024,2048,4096,8192,16384,32768})=0))))</f>
        <v/>
      </c>
      <c r="BV206">
        <f>BU206+IF(AND(BV116&gt;0,COUNTIF($Y116:BU116,BV116)=0),0,IF(SUMPRODUCT(MOD(INT(BV161/{2,4,8,16,32,64,128,256,512,1024,2048,4096,8192,16384,32768}),2)*(1-MOD(INT(($CJ26+BU206)/{2,4,8,16,32,64,128,256,512,1024,2048,4096,8192,16384,32768}),2))*{2,4,8,16,32,64,128,256,512,1024,2048,4096,8192,16384,32768})=0,0,2^SUMPRODUCT(--(MOD(SUMPRODUCT(MOD(INT(BV161/{2,4,8,16,32,64,128,256,512,1024,2048,4096,8192,16384,32768}),2)*(1-MOD(INT(($CJ26+BU206)/{2,4,8,16,32,64,128,256,512,1024,2048,4096,8192,16384,32768}),2))*{2,4,8,16,32,64,128,256,512,1024,2048,4096,8192,16384,32768}),{2,4,8,16,32,64,128,256,512,1024,2048,4096,8192,16384,32768})=0))))</f>
        <v/>
      </c>
      <c r="BW206">
        <f>BV206+IF(AND(BW116&gt;0,COUNTIF($Y116:BV116,BW116)=0),0,IF(SUMPRODUCT(MOD(INT(BW161/{2,4,8,16,32,64,128,256,512,1024,2048,4096,8192,16384,32768}),2)*(1-MOD(INT(($CJ26+BV206)/{2,4,8,16,32,64,128,256,512,1024,2048,4096,8192,16384,32768}),2))*{2,4,8,16,32,64,128,256,512,1024,2048,4096,8192,16384,32768})=0,0,2^SUMPRODUCT(--(MOD(SUMPRODUCT(MOD(INT(BW161/{2,4,8,16,32,64,128,256,512,1024,2048,4096,8192,16384,32768}),2)*(1-MOD(INT(($CJ26+BV206)/{2,4,8,16,32,64,128,256,512,1024,2048,4096,8192,16384,32768}),2))*{2,4,8,16,32,64,128,256,512,1024,2048,4096,8192,16384,32768}),{2,4,8,16,32,64,128,256,512,1024,2048,4096,8192,16384,32768})=0))))</f>
        <v/>
      </c>
      <c r="BX206">
        <f>BW206+IF(AND(BX116&gt;0,COUNTIF($Y116:BW116,BX116)=0),0,IF(SUMPRODUCT(MOD(INT(BX161/{2,4,8,16,32,64,128,256,512,1024,2048,4096,8192,16384,32768}),2)*(1-MOD(INT(($CJ26+BW206)/{2,4,8,16,32,64,128,256,512,1024,2048,4096,8192,16384,32768}),2))*{2,4,8,16,32,64,128,256,512,1024,2048,4096,8192,16384,32768})=0,0,2^SUMPRODUCT(--(MOD(SUMPRODUCT(MOD(INT(BX161/{2,4,8,16,32,64,128,256,512,1024,2048,4096,8192,16384,32768}),2)*(1-MOD(INT(($CJ26+BW206)/{2,4,8,16,32,64,128,256,512,1024,2048,4096,8192,16384,32768}),2))*{2,4,8,16,32,64,128,256,512,1024,2048,4096,8192,16384,32768}),{2,4,8,16,32,64,128,256,512,1024,2048,4096,8192,16384,32768})=0))))</f>
        <v/>
      </c>
      <c r="BY206">
        <f>BX206+IF(AND(BY116&gt;0,COUNTIF($Y116:BX116,BY116)=0),0,IF(SUMPRODUCT(MOD(INT(BY161/{2,4,8,16,32,64,128,256,512,1024,2048,4096,8192,16384,32768}),2)*(1-MOD(INT(($CJ26+BX206)/{2,4,8,16,32,64,128,256,512,1024,2048,4096,8192,16384,32768}),2))*{2,4,8,16,32,64,128,256,512,1024,2048,4096,8192,16384,32768})=0,0,2^SUMPRODUCT(--(MOD(SUMPRODUCT(MOD(INT(BY161/{2,4,8,16,32,64,128,256,512,1024,2048,4096,8192,16384,32768}),2)*(1-MOD(INT(($CJ26+BX206)/{2,4,8,16,32,64,128,256,512,1024,2048,4096,8192,16384,32768}),2))*{2,4,8,16,32,64,128,256,512,1024,2048,4096,8192,16384,32768}),{2,4,8,16,32,64,128,256,512,1024,2048,4096,8192,16384,32768})=0))))</f>
        <v/>
      </c>
      <c r="BZ206">
        <f>BY206+IF(AND(BZ116&gt;0,COUNTIF($Y116:BY116,BZ116)=0),0,IF(SUMPRODUCT(MOD(INT(BZ161/{2,4,8,16,32,64,128,256,512,1024,2048,4096,8192,16384,32768}),2)*(1-MOD(INT(($CJ26+BY206)/{2,4,8,16,32,64,128,256,512,1024,2048,4096,8192,16384,32768}),2))*{2,4,8,16,32,64,128,256,512,1024,2048,4096,8192,16384,32768})=0,0,2^SUMPRODUCT(--(MOD(SUMPRODUCT(MOD(INT(BZ161/{2,4,8,16,32,64,128,256,512,1024,2048,4096,8192,16384,32768}),2)*(1-MOD(INT(($CJ26+BY206)/{2,4,8,16,32,64,128,256,512,1024,2048,4096,8192,16384,32768}),2))*{2,4,8,16,32,64,128,256,512,1024,2048,4096,8192,16384,32768}),{2,4,8,16,32,64,128,256,512,1024,2048,4096,8192,16384,32768})=0))))</f>
        <v/>
      </c>
      <c r="CA206">
        <f>BZ206+IF(AND(CA116&gt;0,COUNTIF($Y116:BZ116,CA116)=0),0,IF(SUMPRODUCT(MOD(INT(CA161/{2,4,8,16,32,64,128,256,512,1024,2048,4096,8192,16384,32768}),2)*(1-MOD(INT(($CJ26+BZ206)/{2,4,8,16,32,64,128,256,512,1024,2048,4096,8192,16384,32768}),2))*{2,4,8,16,32,64,128,256,512,1024,2048,4096,8192,16384,32768})=0,0,2^SUMPRODUCT(--(MOD(SUMPRODUCT(MOD(INT(CA161/{2,4,8,16,32,64,128,256,512,1024,2048,4096,8192,16384,32768}),2)*(1-MOD(INT(($CJ26+BZ206)/{2,4,8,16,32,64,128,256,512,1024,2048,4096,8192,16384,32768}),2))*{2,4,8,16,32,64,128,256,512,1024,2048,4096,8192,16384,32768}),{2,4,8,16,32,64,128,256,512,1024,2048,4096,8192,16384,32768})=0))))</f>
        <v/>
      </c>
      <c r="CB206">
        <f>CA206+IF(AND(CB116&gt;0,COUNTIF($Y116:CA116,CB116)=0),0,IF(SUMPRODUCT(MOD(INT(CB161/{2,4,8,16,32,64,128,256,512,1024,2048,4096,8192,16384,32768}),2)*(1-MOD(INT(($CJ26+CA206)/{2,4,8,16,32,64,128,256,512,1024,2048,4096,8192,16384,32768}),2))*{2,4,8,16,32,64,128,256,512,1024,2048,4096,8192,16384,32768})=0,0,2^SUMPRODUCT(--(MOD(SUMPRODUCT(MOD(INT(CB161/{2,4,8,16,32,64,128,256,512,1024,2048,4096,8192,16384,32768}),2)*(1-MOD(INT(($CJ26+CA206)/{2,4,8,16,32,64,128,256,512,1024,2048,4096,8192,16384,32768}),2))*{2,4,8,16,32,64,128,256,512,1024,2048,4096,8192,16384,32768}),{2,4,8,16,32,64,128,256,512,1024,2048,4096,8192,16384,32768})=0))))</f>
        <v/>
      </c>
      <c r="CC206">
        <f>CB206+IF(AND(CC116&gt;0,COUNTIF($Y116:CB116,CC116)=0),0,IF(SUMPRODUCT(MOD(INT(CC161/{2,4,8,16,32,64,128,256,512,1024,2048,4096,8192,16384,32768}),2)*(1-MOD(INT(($CJ26+CB206)/{2,4,8,16,32,64,128,256,512,1024,2048,4096,8192,16384,32768}),2))*{2,4,8,16,32,64,128,256,512,1024,2048,4096,8192,16384,32768})=0,0,2^SUMPRODUCT(--(MOD(SUMPRODUCT(MOD(INT(CC161/{2,4,8,16,32,64,128,256,512,1024,2048,4096,8192,16384,32768}),2)*(1-MOD(INT(($CJ26+CB206)/{2,4,8,16,32,64,128,256,512,1024,2048,4096,8192,16384,32768}),2))*{2,4,8,16,32,64,128,256,512,1024,2048,4096,8192,16384,32768}),{2,4,8,16,32,64,128,256,512,1024,2048,4096,8192,16384,32768})=0))))</f>
        <v/>
      </c>
      <c r="CD206">
        <f>CC206+IF(AND(CD116&gt;0,COUNTIF($Y116:CC116,CD116)=0),0,IF(SUMPRODUCT(MOD(INT(CD161/{2,4,8,16,32,64,128,256,512,1024,2048,4096,8192,16384,32768}),2)*(1-MOD(INT(($CJ26+CC206)/{2,4,8,16,32,64,128,256,512,1024,2048,4096,8192,16384,32768}),2))*{2,4,8,16,32,64,128,256,512,1024,2048,4096,8192,16384,32768})=0,0,2^SUMPRODUCT(--(MOD(SUMPRODUCT(MOD(INT(CD161/{2,4,8,16,32,64,128,256,512,1024,2048,4096,8192,16384,32768}),2)*(1-MOD(INT(($CJ26+CC206)/{2,4,8,16,32,64,128,256,512,1024,2048,4096,8192,16384,32768}),2))*{2,4,8,16,32,64,128,256,512,1024,2048,4096,8192,16384,32768}),{2,4,8,16,32,64,128,256,512,1024,2048,4096,8192,16384,32768})=0))))</f>
        <v/>
      </c>
      <c r="CE206">
        <f>CD206+IF(AND(CE116&gt;0,COUNTIF($Y116:CD116,CE116)=0),0,IF(SUMPRODUCT(MOD(INT(CE161/{2,4,8,16,32,64,128,256,512,1024,2048,4096,8192,16384,32768}),2)*(1-MOD(INT(($CJ26+CD206)/{2,4,8,16,32,64,128,256,512,1024,2048,4096,8192,16384,32768}),2))*{2,4,8,16,32,64,128,256,512,1024,2048,4096,8192,16384,32768})=0,0,2^SUMPRODUCT(--(MOD(SUMPRODUCT(MOD(INT(CE161/{2,4,8,16,32,64,128,256,512,1024,2048,4096,8192,16384,32768}),2)*(1-MOD(INT(($CJ26+CD206)/{2,4,8,16,32,64,128,256,512,1024,2048,4096,8192,16384,32768}),2))*{2,4,8,16,32,64,128,256,512,1024,2048,4096,8192,16384,32768}),{2,4,8,16,32,64,128,256,512,1024,2048,4096,8192,16384,32768})=0))))</f>
        <v/>
      </c>
      <c r="CF206">
        <f>CE206+IF(AND(CF116&gt;0,COUNTIF($Y116:CE116,CF116)=0),0,IF(SUMPRODUCT(MOD(INT(CF161/{2,4,8,16,32,64,128,256,512,1024,2048,4096,8192,16384,32768}),2)*(1-MOD(INT(($CJ26+CE206)/{2,4,8,16,32,64,128,256,512,1024,2048,4096,8192,16384,32768}),2))*{2,4,8,16,32,64,128,256,512,1024,2048,4096,8192,16384,32768})=0,0,2^SUMPRODUCT(--(MOD(SUMPRODUCT(MOD(INT(CF161/{2,4,8,16,32,64,128,256,512,1024,2048,4096,8192,16384,32768}),2)*(1-MOD(INT(($CJ26+CE206)/{2,4,8,16,32,64,128,256,512,1024,2048,4096,8192,16384,32768}),2))*{2,4,8,16,32,64,128,256,512,1024,2048,4096,8192,16384,32768}),{2,4,8,16,32,64,128,256,512,1024,2048,4096,8192,16384,32768})=0))))</f>
        <v/>
      </c>
      <c r="DA206" t="n">
        <v>202</v>
      </c>
      <c r="DB206">
        <f>IF($B$37=0,"",IFERROR(TRIM(SUBSTITUTE(SUBSTITUTE(SUBSTITUTE(SUBSTITUTE(INDEX(PASTE_ALL,202,$B$37)," "," "),CHAR(9)," "),CHAR(10)," "),CHAR(13)," ")),""))</f>
        <v/>
      </c>
      <c r="DC206">
        <f>IF(AND(202&gt;HEADER_ROW,UPPER(DB206)="LEGEND"),1,0)</f>
        <v/>
      </c>
      <c r="DE206" t="n">
        <v>202</v>
      </c>
      <c r="DF206">
        <f>HEADER_ROW+$DE206</f>
        <v/>
      </c>
      <c r="DG206">
        <f>IF(AND($DF206&lt;=1000,$DF206&lt;$B$8),1,0)</f>
        <v/>
      </c>
      <c r="DH206">
        <f>IF($DG206=1,IFERROR(INDEX($DB$5:$DB$1004,$DF206),""),"")</f>
        <v/>
      </c>
      <c r="DI206">
        <f>IF(AND($DG206=1,$DH206&lt;&gt;""),IFERROR(SUBSTITUTE(SUBSTITUTE(TRIM(SUBSTITUTE(SUBSTITUTE(SUBSTITUTE(SUBSTITUTE(IFERROR(INDEX(PASTE_ALL,$DF206,1)&amp;"","")&amp;"␟"&amp;IFERROR(INDEX(PASTE_ALL,$DF206,2)&amp;"","")&amp;"␟"&amp;IFERROR(INDEX(PASTE_ALL,$DF206,3)&amp;"","")&amp;"␟"&amp;IFERROR(INDEX(PASTE_ALL,$DF206,4)&amp;"","")&amp;"␟"&amp;IFERROR(INDEX(PASTE_ALL,$DF206,5)&amp;"","")&amp;"␟"&amp;IFERROR(INDEX(PASTE_ALL,$DF206,6)&amp;"","")&amp;"␟"&amp;IFERROR(INDEX(PASTE_ALL,$DF206,7)&amp;"","")&amp;"␟"&amp;IFERROR(INDEX(PASTE_ALL,$DF206,8)&amp;"","")&amp;"␟"&amp;IFERROR(INDEX(PASTE_ALL,$DF206,9)&amp;"","")&amp;"␟"&amp;IFERROR(INDEX(PASTE_ALL,$DF206,10)&amp;"","")&amp;"␟"&amp;IFERROR(INDEX(PASTE_ALL,$DF206,11)&amp;"","")&amp;"␟"&amp;IFERROR(INDEX(PASTE_ALL,$DF206,12)&amp;"","")&amp;"␟"&amp;IFERROR(INDEX(PASTE_ALL,$DF206,13)&amp;"","")&amp;"␟"&amp;IFERROR(INDEX(PASTE_ALL,$DF206,14)&amp;"","")&amp;"␟"&amp;IFERROR(INDEX(PASTE_ALL,$DF206,15)&amp;"","")&amp;"␟"&amp;IFERROR(INDEX(PASTE_ALL,$DF206,16)&amp;"","")&amp;"␟"&amp;IFERROR(INDEX(PASTE_ALL,$DF206,17)&amp;"","")&amp;"␟"&amp;IFERROR(INDEX(PASTE_ALL,$DF206,18)&amp;"","")&amp;"␟"&amp;IFERROR(INDEX(PASTE_ALL,$DF206,19)&amp;"","")&amp;"␟"&amp;IFERROR(INDEX(PASTE_ALL,$DF206,20)&amp;"","")&amp;"␟"&amp;IFERROR(INDEX(PASTE_ALL,$DF206,21)&amp;"","")&amp;"␟"&amp;IFERROR(INDEX(PASTE_ALL,$DF206,22)&amp;"","")&amp;"␟"&amp;IFERROR(INDEX(PASTE_ALL,$DF206,23)&amp;"","")&amp;"␟"&amp;IFERROR(INDEX(PASTE_ALL,$DF206,24)&amp;"","")&amp;"␟"&amp;IFERROR(INDEX(PASTE_ALL,$DF206,25)&amp;"","")&amp;"␟"&amp;IFERROR(INDEX(PASTE_ALL,$DF206,26)&amp;"","")&amp;"␟"&amp;IFERROR(INDEX(PASTE_ALL,$DF206,27)&amp;"","")&amp;"␟"&amp;IFERROR(INDEX(PASTE_ALL,$DF206,28)&amp;"","")&amp;"␟"&amp;IFERROR(INDEX(PASTE_ALL,$DF206,29)&amp;"","")&amp;"␟"&amp;IFERROR(INDEX(PASTE_ALL,$DF206,30)&amp;"","")&amp;"␟"&amp;IFERROR(INDEX(PASTE_ALL,$DF206,31)&amp;"","")&amp;"␟"&amp;IFERROR(INDEX(PASTE_ALL,$DF206,32)&amp;"","")&amp;"␟"&amp;IFERROR(INDEX(PASTE_ALL,$DF206,33)&amp;"","")&amp;"␟"&amp;IFERROR(INDEX(PASTE_ALL,$DF206,34)&amp;"","")&amp;"␟"&amp;IFERROR(INDEX(PASTE_ALL,$DF206,35)&amp;"","")&amp;"␟"&amp;IFERROR(INDEX(PASTE_ALL,$DF206,36)&amp;"","")&amp;"␟"&amp;IFERROR(INDEX(PASTE_ALL,$DF206,37)&amp;"","")&amp;"␟"&amp;IFERROR(INDEX(PASTE_ALL,$DF206,38)&amp;"","")&amp;"␟"&amp;IFERROR(INDEX(PASTE_ALL,$DF206,39)&amp;"","")&amp;"␟"&amp;IFERROR(INDEX(PASTE_ALL,$DF206,40)&amp;"","")&amp;"␟"&amp;IFERROR(INDEX(PASTE_ALL,$DF206,41)&amp;"","")&amp;"␟"&amp;IFERROR(INDEX(PASTE_ALL,$DF206,42)&amp;"","")&amp;"␟"&amp;IFERROR(INDEX(PASTE_ALL,$DF206,43)&amp;"","")&amp;"␟"&amp;IFERROR(INDEX(PASTE_ALL,$DF206,44)&amp;"","")&amp;"␟"&amp;IFERROR(INDEX(PASTE_ALL,$DF206,45)&amp;"","")&amp;"␟"&amp;IFERROR(INDEX(PASTE_ALL,$DF206,46)&amp;"","")&amp;"␟"&amp;IFERROR(INDEX(PASTE_ALL,$DF206,47)&amp;"","")&amp;"␟"&amp;IFERROR(INDEX(PASTE_ALL,$DF206,48)&amp;"","")&amp;"␟"&amp;IFERROR(INDEX(PASTE_ALL,$DF206,49)&amp;"","")&amp;"␟"&amp;IFERROR(INDEX(PASTE_ALL,$DF206,50)&amp;"","")&amp;"␟"&amp;IFERROR(INDEX(PASTE_ALL,$DF206,51)&amp;"","")&amp;"␟"&amp;IFERROR(INDEX(PASTE_ALL,$DF206,52)&amp;"","")&amp;"␟"&amp;IFERROR(INDEX(PASTE_ALL,$DF206,53)&amp;"","")&amp;"␟"&amp;IFERROR(INDEX(PASTE_ALL,$DF206,54)&amp;"","")&amp;"␟"&amp;IFERROR(INDEX(PASTE_ALL,$DF206,55)&amp;"","")&amp;"␟"&amp;IFERROR(INDEX(PASTE_ALL,$DF206,56)&amp;"","")&amp;"␟"&amp;IFERROR(INDEX(PASTE_ALL,$DF206,57)&amp;"","")&amp;"␟"&amp;IFERROR(INDEX(PASTE_ALL,$DF206,58)&amp;"","")&amp;"␟"&amp;IFERROR(INDEX(PASTE_ALL,$DF206,59)&amp;"","")&amp;"␟"&amp;IFERROR(INDEX(PASTE_ALL,$DF206,60)&amp;"","")," "," "),CHAR(9)," "),CHAR(10)," "),CHAR(13)," "))," ␟","␟"),"␟ ","␟"),"#"&amp;$DE206),"")</f>
        <v/>
      </c>
      <c r="DJ206">
        <f>IF($DI206="",0,IF(SUMPRODUCT(--EXACT($DI$4:DI205,$DI206))&gt;0,1,0))</f>
        <v/>
      </c>
      <c r="DK206">
        <f>IF(AND($DI206&lt;&gt;"",$DJ206=0),1,0)</f>
        <v/>
      </c>
      <c r="DL206">
        <f>DL205+$DK206</f>
        <v/>
      </c>
      <c r="DM206">
        <f>IF(AND($DK206=1,$DL206&lt;=600),1,0)</f>
        <v/>
      </c>
      <c r="DN206">
        <f>IF($DM206=0,"",IF($L$6=0,"",IFERROR(IF(ISNUMBER(INDEX(PASTE_ALL,$DF206,$L$6)),INDEX(PASTE_ALL,$DF206,$L$6),TRIM(SUBSTITUTE(SUBSTITUTE(SUBSTITUTE(SUBSTITUTE(INDEX(PASTE_ALL,$DF206,$L$6)," "," "),CHAR(9)," "),CHAR(10)," "),CHAR(13)," "))),"")))</f>
        <v/>
      </c>
      <c r="DO206">
        <f>IF($DM206=0,"",IF($L$7=0,"",IFERROR(IF(ISNUMBER(INDEX(PASTE_ALL,$DF206,$L$7)),INDEX(PASTE_ALL,$DF206,$L$7),TRIM(SUBSTITUTE(SUBSTITUTE(SUBSTITUTE(SUBSTITUTE(INDEX(PASTE_ALL,$DF206,$L$7)," "," "),CHAR(9)," "),CHAR(10)," "),CHAR(13)," "))),"")))</f>
        <v/>
      </c>
      <c r="DP206">
        <f>IF($DM206=0,"",IF($L$8=0,"",IFERROR(IF(ISNUMBER(INDEX(PASTE_ALL,$DF206,$L$8)),INDEX(PASTE_ALL,$DF206,$L$8),TRIM(SUBSTITUTE(SUBSTITUTE(SUBSTITUTE(SUBSTITUTE(INDEX(PASTE_ALL,$DF206,$L$8)," "," "),CHAR(9)," "),CHAR(10)," "),CHAR(13)," "))),"")))</f>
        <v/>
      </c>
      <c r="DQ206">
        <f>IF($DM206=0,"",IF($L$9=0,"",IFERROR(IF(ISNUMBER(INDEX(PASTE_ALL,$DF206,$L$9)),INDEX(PASTE_ALL,$DF206,$L$9),TRIM(SUBSTITUTE(SUBSTITUTE(SUBSTITUTE(SUBSTITUTE(INDEX(PASTE_ALL,$DF206,$L$9)," "," "),CHAR(9)," "),CHAR(10)," "),CHAR(13)," "))),"")))</f>
        <v/>
      </c>
      <c r="DR206">
        <f>IF($DM206=0,"",IF($L$10=0,"",IFERROR(IF(ISNUMBER(INDEX(PASTE_ALL,$DF206,$L$10)),INDEX(PASTE_ALL,$DF206,$L$10),TRIM(SUBSTITUTE(SUBSTITUTE(SUBSTITUTE(SUBSTITUTE(INDEX(PASTE_ALL,$DF206,$L$10)," "," "),CHAR(9)," "),CHAR(10)," "),CHAR(13)," "))),"")))</f>
        <v/>
      </c>
      <c r="DS206">
        <f>IF($DM206=0,"",IF($L$11=0,"",IFERROR(IF(ISNUMBER(INDEX(PASTE_ALL,$DF206,$L$11)),INDEX(PASTE_ALL,$DF206,$L$11),TRIM(SUBSTITUTE(SUBSTITUTE(SUBSTITUTE(SUBSTITUTE(INDEX(PASTE_ALL,$DF206,$L$11)," "," "),CHAR(9)," "),CHAR(10)," "),CHAR(13)," "))),"")))</f>
        <v/>
      </c>
      <c r="DT206">
        <f>IF($DM206=0,"",IF($L$12=0,"",IFERROR(IF(ISNUMBER(INDEX(PASTE_ALL,$DF206,$L$12)),INDEX(PASTE_ALL,$DF206,$L$12),TRIM(SUBSTITUTE(SUBSTITUTE(SUBSTITUTE(SUBSTITUTE(INDEX(PASTE_ALL,$DF206,$L$12)," "," "),CHAR(9)," "),CHAR(10)," "),CHAR(13)," "))),"")))</f>
        <v/>
      </c>
      <c r="DU206">
        <f>IF($DM206=0,"",IF($L$13=0,"",IFERROR(IF(ISNUMBER(INDEX(PASTE_ALL,$DF206,$L$13)),INDEX(PASTE_ALL,$DF206,$L$13),TRIM(SUBSTITUTE(SUBSTITUTE(SUBSTITUTE(SUBSTITUTE(INDEX(PASTE_ALL,$DF206,$L$13)," "," "),CHAR(9)," "),CHAR(10)," "),CHAR(13)," "))),"")))</f>
        <v/>
      </c>
      <c r="DV206">
        <f>IF($DM206=0,"",IF($L$14=0,"",IFERROR(IF(ISNUMBER(INDEX(PASTE_ALL,$DF206,$L$14)),INDEX(PASTE_ALL,$DF206,$L$14),TRIM(SUBSTITUTE(SUBSTITUTE(SUBSTITUTE(SUBSTITUTE(INDEX(PASTE_ALL,$DF206,$L$14)," "," "),CHAR(9)," "),CHAR(10)," "),CHAR(13)," "))),"")))</f>
        <v/>
      </c>
      <c r="DW206">
        <f>IF($DM206=0,"",IF($L$15=0,"",IFERROR(IF(ISNUMBER(INDEX(PASTE_ALL,$DF206,$L$15)),INDEX(PASTE_ALL,$DF206,$L$15),IF(SUMPRODUCT(--ISNUMBER(FIND({"A","B","C","D","E","F","G","H","I","J","K","L","M","N","O","P","Q","R","S","T","U","V","W","X","Y","Z","0","1","2","3","4","5","6","7","8","9"},UPPER(TRIM(SUBSTITUTE(SUBSTITUTE(SUBSTITUTE(SUBSTITUTE(INDEX(PASTE_ALL,$DF206,$L$15)," "," "),CHAR(9)," "),CHAR(10)," "),CHAR(13)," "))))))&gt;0,TRIM(SUBSTITUTE(SUBSTITUTE(SUBSTITUTE(SUBSTITUTE(INDEX(PASTE_ALL,$DF206,$L$15)," "," "),CHAR(9)," "),CHAR(10)," "),CHAR(13)," ")),"")),"")))</f>
        <v/>
      </c>
      <c r="DX206">
        <f>IF($DM206=0,"",IF($L$16=0,"",IFERROR(IF(ISNUMBER(INDEX(PASTE_ALL,$DF206,$L$16)),INDEX(PASTE_ALL,$DF206,$L$16),SUBSTITUTE(SUBSTITUTE(TRIM(SUBSTITUTE(SUBSTITUTE(SUBSTITUTE(SUBSTITUTE(INDEX(PASTE_ALL,$DF206,$L$16)," "," "),CHAR(9)," "),CHAR(10)," "),CHAR(13)," ")),",",""),"%","")),"")))</f>
        <v/>
      </c>
      <c r="DY206">
        <f>IF($DM206=0,"",IFERROR(IF(ISNUMBER($DX206),$DX206,IF($DX206="","",IF(TRIM($DX206)="",0,IF(AND(AND(SUBSTITUTE(SUBSTITUTE(SUBSTITUTE(SUBSTITUTE(SUBSTITUTE(SUBSTITUTE(SUBSTITUTE(SUBSTITUTE(SUBSTITUTE(SUBSTITUTE(SUBSTITUTE(SUBSTITUTE(SUBSTITUTE(SUBSTITUTE(UPPER(TRIM($DX206)),"0",""),"1",""),"2",""),"3",""),"4",""),"5",""),"6",""),"7",""),"8",""),"9",""),".",""),"+",""),"-",""),"E","")="",LEN(SUBSTITUTE(SUBSTITUTE(MID(UPPER(TRIM($DX206)),1+OR(LEFT(UPPER(TRIM($DX206)),1)="+",LEFT(UPPER(TRIM($DX206)),1)="-"),999),"E+","E"),"E-","E"))=LEN(SUBSTITUTE(SUBSTITUTE(SUBSTITUTE(SUBSTITUTE(MID(UPPER(TRIM($DX206)),1+OR(LEFT(UPPER(TRIM($DX206)),1)="+",LEFT(UPPER(TRIM($DX206)),1)="-"),999),"E+","E"),"E-","E"),"+",""),"-","")),LEN(UPPER(TRIM($DX206)))-LEN(SUBSTITUTE(UPPER(TRIM($DX206)),"E",""))&lt;2,LEN(UPPER(TRIM($DX206)))-LEN(SUBSTITUTE(UPPER(TRIM($DX206)),".",""))&lt;2,IFERROR(FIND(".",UPPER(TRIM($DX206))),0)&lt;IFERROR(FIND("E",UPPER(TRIM($DX206))),999)),ISNUMBER(VALUE(TRIM($DX206)))),VALUE(TRIM($DX206)),"")))),""))</f>
        <v/>
      </c>
      <c r="DZ206">
        <f>IF($DM206=0,"",IF($L$17=0,"",IFERROR(IF(ISNUMBER(INDEX(PASTE_ALL,$DF206,$L$17)),INDEX(PASTE_ALL,$DF206,$L$17),SUBSTITUTE(SUBSTITUTE(TRIM(SUBSTITUTE(SUBSTITUTE(SUBSTITUTE(SUBSTITUTE(INDEX(PASTE_ALL,$DF206,$L$17)," "," "),CHAR(9)," "),CHAR(10)," "),CHAR(13)," ")),",",""),"%","")),"")))</f>
        <v/>
      </c>
      <c r="EA206">
        <f>IF($DM206=0,"",IFERROR(IF(ISNUMBER($DZ206),$DZ206,IF($DZ206="","",IF(TRIM($DZ206)="",0,IF(AND(AND(SUBSTITUTE(SUBSTITUTE(SUBSTITUTE(SUBSTITUTE(SUBSTITUTE(SUBSTITUTE(SUBSTITUTE(SUBSTITUTE(SUBSTITUTE(SUBSTITUTE(SUBSTITUTE(SUBSTITUTE(SUBSTITUTE(SUBSTITUTE(UPPER(TRIM($DZ206)),"0",""),"1",""),"2",""),"3",""),"4",""),"5",""),"6",""),"7",""),"8",""),"9",""),".",""),"+",""),"-",""),"E","")="",LEN(SUBSTITUTE(SUBSTITUTE(MID(UPPER(TRIM($DZ206)),1+OR(LEFT(UPPER(TRIM($DZ206)),1)="+",LEFT(UPPER(TRIM($DZ206)),1)="-"),999),"E+","E"),"E-","E"))=LEN(SUBSTITUTE(SUBSTITUTE(SUBSTITUTE(SUBSTITUTE(MID(UPPER(TRIM($DZ206)),1+OR(LEFT(UPPER(TRIM($DZ206)),1)="+",LEFT(UPPER(TRIM($DZ206)),1)="-"),999),"E+","E"),"E-","E"),"+",""),"-","")),LEN(UPPER(TRIM($DZ206)))-LEN(SUBSTITUTE(UPPER(TRIM($DZ206)),"E",""))&lt;2,LEN(UPPER(TRIM($DZ206)))-LEN(SUBSTITUTE(UPPER(TRIM($DZ206)),".",""))&lt;2,IFERROR(FIND(".",UPPER(TRIM($DZ206))),0)&lt;IFERROR(FIND("E",UPPER(TRIM($DZ206))),999)),ISNUMBER(VALUE(TRIM($DZ206)))),VALUE(TRIM($DZ206)),"")))),""))</f>
        <v/>
      </c>
      <c r="EB206">
        <f>IF($DM206=0,"",IF($L$18=0,"",IFERROR(IF(UPPER(TRIM(SUBSTITUTE(SUBSTITUTE(SUBSTITUTE(SUBSTITUTE(INDEX(PASTE_ALL,$DF206,$L$18)," "," "),CHAR(9)," "),CHAR(10)," "),CHAR(13)," ")))="READY","Ready",IF(UPPER(TRIM(SUBSTITUTE(SUBSTITUTE(SUBSTITUTE(SUBSTITUTE(INDEX(PASTE_ALL,$DF206,$L$18)," "," "),CHAR(9)," "),CHAR(10)," "),CHAR(13)," ")))="PM","PM",IF(OR(UPPER(TRIM(SUBSTITUTE(SUBSTITUTE(SUBSTITUTE(SUBSTITUTE(INDEX(PASTE_ALL,$DF206,$L$18)," "," "),CHAR(9)," "),CHAR(10)," "),CHAR(13)," ")))="OT",UPPER(TRIM(SUBSTITUTE(SUBSTITUTE(SUBSTITUTE(SUBSTITUTE(INDEX(PASTE_ALL,$DF206,$L$18)," "," "),CHAR(9)," "),CHAR(10)," "),CHAR(13)," ")))="OVERTIME",UPPER(TRIM(SUBSTITUTE(SUBSTITUTE(SUBSTITUTE(SUBSTITUTE(INDEX(PASTE_ALL,$DF206,$L$18)," "," "),CHAR(9)," "),CHAR(10)," "),CHAR(13)," ")))="TRIAL"),"OT",TRIM(SUBSTITUTE(SUBSTITUTE(SUBSTITUTE(SUBSTITUTE(INDEX(PASTE_ALL,$DF206,$L$18)," "," "),CHAR(9)," "),CHAR(10)," "),CHAR(13)," "))))),"")))</f>
        <v/>
      </c>
      <c r="EC206">
        <f>IF($DM206=0,"",IF($L$19=0,"",IFERROR(IF(ISNUMBER(INDEX(PASTE_ALL,$DF206,$L$19)),INDEX(PASTE_ALL,$DF206,$L$19),TRIM(SUBSTITUTE(SUBSTITUTE(SUBSTITUTE(SUBSTITUTE(INDEX(PASTE_ALL,$DF206,$L$19)," "," "),CHAR(9)," "),CHAR(10)," "),CHAR(13)," "))),"")))</f>
        <v/>
      </c>
      <c r="ED206">
        <f>IF($DM206=0,"",MATCH(1,INDEX(EXACT($DH$5:DH206,$DH206)*$DM$5:DM206,0),0))</f>
        <v/>
      </c>
      <c r="EE206">
        <f>IF($DM206=0,0,IF($ED206=$DE206,1,0))</f>
        <v/>
      </c>
      <c r="EF206">
        <f>EF205+$EE206</f>
        <v/>
      </c>
      <c r="EG206">
        <f>IF($DM206=0,"",INDEX($EF$5:$EF$1003,$ED206))</f>
        <v/>
      </c>
      <c r="EH206">
        <f>IF($DM206=0,"",IF($DO206&lt;&gt;"","",IFERROR(LOOKUP(2,1/(($EG$4:EG205=$EG206)*($DO$4:DO205&lt;&gt;"")),$DO$4:DO205),"")))</f>
        <v/>
      </c>
      <c r="EI206">
        <f>IF($DM206=0,"",IF($DO206&lt;&gt;"",$DO206,$EH206))</f>
        <v/>
      </c>
      <c r="EJ206">
        <f>IF($DM206=0,"",IF($EI206="",0,IF(OR(ISNUMBER($EI206),AND(AND(SUBSTITUTE(SUBSTITUTE(SUBSTITUTE(SUBSTITUTE(SUBSTITUTE(SUBSTITUTE(SUBSTITUTE(SUBSTITUTE(SUBSTITUTE(SUBSTITUTE(SUBSTITUTE(SUBSTITUTE(SUBSTITUTE(SUBSTITUTE(UPPER($EI206),"0",""),"1",""),"2",""),"3",""),"4",""),"5",""),"6",""),"7",""),"8",""),"9",""),".",""),"+",""),"-",""),"E","")="",LEN(SUBSTITUTE(SUBSTITUTE(MID(UPPER($EI206),1+OR(LEFT(UPPER($EI206),1)="+",LEFT(UPPER($EI206),1)="-"),999),"E+","E"),"E-","E"))=LEN(SUBSTITUTE(SUBSTITUTE(SUBSTITUTE(SUBSTITUTE(MID(UPPER($EI206),1+OR(LEFT(UPPER($EI206),1)="+",LEFT(UPPER($EI206),1)="-"),999),"E+","E"),"E-","E"),"+",""),"-","")),LEN(UPPER($EI206))-LEN(SUBSTITUTE(UPPER($EI206),"E",""))&lt;2,LEN(UPPER($EI206))-LEN(SUBSTITUTE(UPPER($EI206),".",""))&lt;2,IFERROR(FIND(".",UPPER($EI206)),0)&lt;IFERROR(FIND("E",UPPER($EI206)),999)),ISNUMBER(VALUE($EI206)))),1,2)))</f>
        <v/>
      </c>
      <c r="EK206">
        <f>IF($DM206=0,"",IF($EJ206=1,IF(ISNUMBER($EI206),$EI206,VALUE($EI206)),IF($EJ206=2,$DE206,0)))</f>
        <v/>
      </c>
      <c r="EL206">
        <f>IF($DM206=0,"",COUNTIF($EG$5:$EG$1003,"&lt;"&amp;$EG206)+SUMPRODUCT(($EG$5:$EG$1003=$EG206)*(($EJ$5:$EJ$1003&lt;$EJ206)+($EJ$5:$EJ$1003=$EJ206)*(($EK$5:$EK$1003&lt;$EK206)+($EK$5:$EK$1003=$EK206)*($DE$5:$DE$1003&lt;$DE206))))+1)</f>
        <v/>
      </c>
      <c r="EM206">
        <f>IF($DM206=0,"",$EL206+$EG206-1)</f>
        <v/>
      </c>
      <c r="EN206">
        <f>IF($DM206=0,0,IFERROR(MATCH(1,INDEX(--(TRIM(SUBSTITUTE(SUBSTITUTE(SUBSTITUTE(SUBSTITUTE(LINES_NAME&amp;""," "," "),CHAR(9)," "),CHAR(10)," "),CHAR(13)," "))=$DH206),0),0),0))</f>
        <v/>
      </c>
      <c r="EO206">
        <f>IF($EN206=0,0,IF(OR(UPPER(TRIM(INDEX(LINES_SCHEDULED,$EN206)&amp;""))="YES",UPPER(TRIM(INDEX(LINES_SCHEDULED,$EN206)&amp;""))="Y",UPPER(TRIM(INDEX(LINES_SCHEDULED,$EN206)&amp;""))="X"),1,0))</f>
        <v/>
      </c>
      <c r="EP206">
        <f>IF($DM206=0,"",IF(COUNTIFS($EG$5:$EG$1003,$EG206,$EB$5:$EB$1003,"Ready")&gt;0,"READY",IF(COUNTIFS($EG$5:$EG$1003,$EG206,$EB$5:$EB$1003,"PM")&gt;0,"PM",IF(COUNTIFS($EG$5:$EG$1003,$EG206,$EB$5:$EB$1003,"OT")&gt;0,"OT",""))))</f>
        <v/>
      </c>
      <c r="EQ206">
        <f>IF($EN206=0,"",UPPER(TRIM(INDEX(LINES_STATUS,$EN206)&amp;"")))</f>
        <v/>
      </c>
      <c r="ER206">
        <f>IF($DM206=0,"",IF(OR($EQ206="READY",$EQ206="PM",$EQ206="OT"),$EQ206,$EP206))</f>
        <v/>
      </c>
      <c r="ES206">
        <f>IF($DM206=0,"",IF(AND($DV206&lt;&gt;"",UPPER($DV206)&lt;&gt;"N"),"allergen",IF(ISNUMBER(SEARCH("oil",$DQ206)),"oil",IF(OR(EXACT($DS206,"A662"),EXACT($DS206,"A624")),"bulk",""))))</f>
        <v/>
      </c>
      <c r="ET206">
        <f>IF($DM206=0,"",IF(OR($EA206="",$EA206=0),"",$EA206/100))</f>
        <v/>
      </c>
      <c r="EU206">
        <f>IF(OR($ET206="",$DY206=""),"",INT($DY206*(1-$ET206)+0.5))</f>
        <v/>
      </c>
      <c r="EW206" t="n">
        <v>202</v>
      </c>
      <c r="EX206">
        <f>IFERROR(MATCH($EW206,$EM$5:$EM$1003,0),0)</f>
        <v/>
      </c>
      <c r="EY206">
        <f>IF($EW206&gt;$B$12,"",IF($EX206&gt;0,"row","spacer"))</f>
        <v/>
      </c>
      <c r="EZ206">
        <f>IF(AND($EY206="row",$EY205&lt;&gt;"row"),1,0)</f>
        <v/>
      </c>
      <c r="FA206">
        <f>IF(AND($EY206="row",$EY207&lt;&gt;"row"),1,0)</f>
        <v/>
      </c>
      <c r="FB206">
        <f>IF($EZ206=1,IFERROR(IF(ISNUMBER(INDEX(PASTE_ALL,INDEX($DF$5:$DF$1003,$EX206),$B$37)),INDEX(PASTE_ALL,INDEX($DF$5:$DF$1003,$EX206),$B$37),INDEX($DH$5:$DH$1003,$EX206)),INDEX($DH$5:$DH$1003,$EX206)),"")</f>
        <v/>
      </c>
      <c r="FC206">
        <f>IF($EY206="row",INDEX($ER$5:$ER$1003,$EX206),"")</f>
        <v/>
      </c>
      <c r="FD206">
        <f>IF($EY206="row",INDEX($DN$5:$DN$1003,$EX206),"")</f>
        <v/>
      </c>
      <c r="FE206">
        <f>IF($EY206="row",INDEX($DO$5:$DO$1003,$EX206),"")</f>
        <v/>
      </c>
      <c r="FF206">
        <f>IF($EY206="row",INDEX($DP$5:$DP$1003,$EX206),"")</f>
        <v/>
      </c>
      <c r="FG206">
        <f>IF($EY206="row",INDEX($DQ$5:$DQ$1003,$EX206),"")</f>
        <v/>
      </c>
      <c r="FH206">
        <f>IF($EY206="row",INDEX($DR$5:$DR$1003,$EX206),"")</f>
        <v/>
      </c>
      <c r="FI206">
        <f>IF($EY206="row",INDEX($DS$5:$DS$1003,$EX206),"")</f>
        <v/>
      </c>
      <c r="FJ206">
        <f>IF($EY206="row",INDEX($DT$5:$DT$1003,$EX206),"")</f>
        <v/>
      </c>
      <c r="FK206">
        <f>IF($EY206="row",INDEX($DU$5:$DU$1003,$EX206),"")</f>
        <v/>
      </c>
      <c r="FL206">
        <f>IF($EY206="row",INDEX($DV$5:$DV$1003,$EX206),"")</f>
        <v/>
      </c>
      <c r="FM206">
        <f>IF($EY206="row",INDEX($DW$5:$DW$1003,$EX206),"")</f>
        <v/>
      </c>
      <c r="FN206">
        <f>IF($EY206="row",INDEX($DY$5:$DY$1003,$EX206),"")</f>
        <v/>
      </c>
      <c r="FO206">
        <f>IF($EY206="row",INDEX($EA$5:$EA$1003,$EX206),"")</f>
        <v/>
      </c>
      <c r="FP206">
        <f>IF($EY206="row",INDEX($EC$5:$EC$1003,$EX206),"")</f>
        <v/>
      </c>
      <c r="FQ206">
        <f>IF($EY206="row",INDEX($ET$5:$ET$1003,$EX206),"")</f>
        <v/>
      </c>
      <c r="FR206">
        <f>IF($EY206="row",INDEX($EU$5:$EU$1003,$EX206),"")</f>
        <v/>
      </c>
      <c r="FS206">
        <f>IF(AND($EY206="row",$EY205="row"),IF(OR(INDEX($DT$5:$DT$1003,$EX205)="",INDEX($DT$5:$DT$1003,$EX206)=""),"",IF(NOT(EXACT(INDEX($DT$5:$DT$1003,$EX205),INDEX($DT$5:$DT$1003,$EX206))),"S4",IF(NOT(EXACT(INDEX($DS$5:$DS$1003,$EX205),INDEX($DS$5:$DS$1003,$EX206))),"S3",IF(NOT(EXACT(INDEX($DR$5:$DR$1003,$EX205),INDEX($DR$5:$DR$1003,$EX206))),"S1 Count Change","S1")))),"")</f>
        <v/>
      </c>
      <c r="FT206">
        <f>IF($EY206="row",INDEX($ES$5:$ES$1003,$EX206),"")</f>
        <v/>
      </c>
      <c r="FU206">
        <f>IF($EY206="row",INDEX($EO$5:$EO$1003,$EX206),0)</f>
        <v/>
      </c>
      <c r="FV206">
        <f>IF($FS206="S1 Count Change",1,0)</f>
        <v/>
      </c>
    </row>
    <row r="207">
      <c r="Y207">
        <f>0+IF(Y117&gt;0,0,IF(SUMPRODUCT(MOD(INT(Y162/{2,4,8,16,32,64,128,256,512,1024,2048,4096,8192,16384,32768}),2)*(1-MOD(INT(($CJ27+0)/{2,4,8,16,32,64,128,256,512,1024,2048,4096,8192,16384,32768}),2))*{2,4,8,16,32,64,128,256,512,1024,2048,4096,8192,16384,32768})=0,0,2^SUMPRODUCT(--(MOD(SUMPRODUCT(MOD(INT(Y162/{2,4,8,16,32,64,128,256,512,1024,2048,4096,8192,16384,32768}),2)*(1-MOD(INT(($CJ27+0)/{2,4,8,16,32,64,128,256,512,1024,2048,4096,8192,16384,32768}),2))*{2,4,8,16,32,64,128,256,512,1024,2048,4096,8192,16384,32768}),{2,4,8,16,32,64,128,256,512,1024,2048,4096,8192,16384,32768})=0))))</f>
        <v/>
      </c>
      <c r="Z207">
        <f>Y207+IF(AND(Z117&gt;0,COUNTIF($Y117:Y117,Z117)=0),0,IF(SUMPRODUCT(MOD(INT(Z162/{2,4,8,16,32,64,128,256,512,1024,2048,4096,8192,16384,32768}),2)*(1-MOD(INT(($CJ27+Y207)/{2,4,8,16,32,64,128,256,512,1024,2048,4096,8192,16384,32768}),2))*{2,4,8,16,32,64,128,256,512,1024,2048,4096,8192,16384,32768})=0,0,2^SUMPRODUCT(--(MOD(SUMPRODUCT(MOD(INT(Z162/{2,4,8,16,32,64,128,256,512,1024,2048,4096,8192,16384,32768}),2)*(1-MOD(INT(($CJ27+Y207)/{2,4,8,16,32,64,128,256,512,1024,2048,4096,8192,16384,32768}),2))*{2,4,8,16,32,64,128,256,512,1024,2048,4096,8192,16384,32768}),{2,4,8,16,32,64,128,256,512,1024,2048,4096,8192,16384,32768})=0))))</f>
        <v/>
      </c>
      <c r="AA207">
        <f>Z207+IF(AND(AA117&gt;0,COUNTIF($Y117:Z117,AA117)=0),0,IF(SUMPRODUCT(MOD(INT(AA162/{2,4,8,16,32,64,128,256,512,1024,2048,4096,8192,16384,32768}),2)*(1-MOD(INT(($CJ27+Z207)/{2,4,8,16,32,64,128,256,512,1024,2048,4096,8192,16384,32768}),2))*{2,4,8,16,32,64,128,256,512,1024,2048,4096,8192,16384,32768})=0,0,2^SUMPRODUCT(--(MOD(SUMPRODUCT(MOD(INT(AA162/{2,4,8,16,32,64,128,256,512,1024,2048,4096,8192,16384,32768}),2)*(1-MOD(INT(($CJ27+Z207)/{2,4,8,16,32,64,128,256,512,1024,2048,4096,8192,16384,32768}),2))*{2,4,8,16,32,64,128,256,512,1024,2048,4096,8192,16384,32768}),{2,4,8,16,32,64,128,256,512,1024,2048,4096,8192,16384,32768})=0))))</f>
        <v/>
      </c>
      <c r="AB207">
        <f>AA207+IF(AND(AB117&gt;0,COUNTIF($Y117:AA117,AB117)=0),0,IF(SUMPRODUCT(MOD(INT(AB162/{2,4,8,16,32,64,128,256,512,1024,2048,4096,8192,16384,32768}),2)*(1-MOD(INT(($CJ27+AA207)/{2,4,8,16,32,64,128,256,512,1024,2048,4096,8192,16384,32768}),2))*{2,4,8,16,32,64,128,256,512,1024,2048,4096,8192,16384,32768})=0,0,2^SUMPRODUCT(--(MOD(SUMPRODUCT(MOD(INT(AB162/{2,4,8,16,32,64,128,256,512,1024,2048,4096,8192,16384,32768}),2)*(1-MOD(INT(($CJ27+AA207)/{2,4,8,16,32,64,128,256,512,1024,2048,4096,8192,16384,32768}),2))*{2,4,8,16,32,64,128,256,512,1024,2048,4096,8192,16384,32768}),{2,4,8,16,32,64,128,256,512,1024,2048,4096,8192,16384,32768})=0))))</f>
        <v/>
      </c>
      <c r="AC207">
        <f>AB207+IF(AND(AC117&gt;0,COUNTIF($Y117:AB117,AC117)=0),0,IF(SUMPRODUCT(MOD(INT(AC162/{2,4,8,16,32,64,128,256,512,1024,2048,4096,8192,16384,32768}),2)*(1-MOD(INT(($CJ27+AB207)/{2,4,8,16,32,64,128,256,512,1024,2048,4096,8192,16384,32768}),2))*{2,4,8,16,32,64,128,256,512,1024,2048,4096,8192,16384,32768})=0,0,2^SUMPRODUCT(--(MOD(SUMPRODUCT(MOD(INT(AC162/{2,4,8,16,32,64,128,256,512,1024,2048,4096,8192,16384,32768}),2)*(1-MOD(INT(($CJ27+AB207)/{2,4,8,16,32,64,128,256,512,1024,2048,4096,8192,16384,32768}),2))*{2,4,8,16,32,64,128,256,512,1024,2048,4096,8192,16384,32768}),{2,4,8,16,32,64,128,256,512,1024,2048,4096,8192,16384,32768})=0))))</f>
        <v/>
      </c>
      <c r="AD207">
        <f>AC207+IF(AND(AD117&gt;0,COUNTIF($Y117:AC117,AD117)=0),0,IF(SUMPRODUCT(MOD(INT(AD162/{2,4,8,16,32,64,128,256,512,1024,2048,4096,8192,16384,32768}),2)*(1-MOD(INT(($CJ27+AC207)/{2,4,8,16,32,64,128,256,512,1024,2048,4096,8192,16384,32768}),2))*{2,4,8,16,32,64,128,256,512,1024,2048,4096,8192,16384,32768})=0,0,2^SUMPRODUCT(--(MOD(SUMPRODUCT(MOD(INT(AD162/{2,4,8,16,32,64,128,256,512,1024,2048,4096,8192,16384,32768}),2)*(1-MOD(INT(($CJ27+AC207)/{2,4,8,16,32,64,128,256,512,1024,2048,4096,8192,16384,32768}),2))*{2,4,8,16,32,64,128,256,512,1024,2048,4096,8192,16384,32768}),{2,4,8,16,32,64,128,256,512,1024,2048,4096,8192,16384,32768})=0))))</f>
        <v/>
      </c>
      <c r="AE207">
        <f>AD207+IF(AND(AE117&gt;0,COUNTIF($Y117:AD117,AE117)=0),0,IF(SUMPRODUCT(MOD(INT(AE162/{2,4,8,16,32,64,128,256,512,1024,2048,4096,8192,16384,32768}),2)*(1-MOD(INT(($CJ27+AD207)/{2,4,8,16,32,64,128,256,512,1024,2048,4096,8192,16384,32768}),2))*{2,4,8,16,32,64,128,256,512,1024,2048,4096,8192,16384,32768})=0,0,2^SUMPRODUCT(--(MOD(SUMPRODUCT(MOD(INT(AE162/{2,4,8,16,32,64,128,256,512,1024,2048,4096,8192,16384,32768}),2)*(1-MOD(INT(($CJ27+AD207)/{2,4,8,16,32,64,128,256,512,1024,2048,4096,8192,16384,32768}),2))*{2,4,8,16,32,64,128,256,512,1024,2048,4096,8192,16384,32768}),{2,4,8,16,32,64,128,256,512,1024,2048,4096,8192,16384,32768})=0))))</f>
        <v/>
      </c>
      <c r="AF207">
        <f>AE207+IF(AND(AF117&gt;0,COUNTIF($Y117:AE117,AF117)=0),0,IF(SUMPRODUCT(MOD(INT(AF162/{2,4,8,16,32,64,128,256,512,1024,2048,4096,8192,16384,32768}),2)*(1-MOD(INT(($CJ27+AE207)/{2,4,8,16,32,64,128,256,512,1024,2048,4096,8192,16384,32768}),2))*{2,4,8,16,32,64,128,256,512,1024,2048,4096,8192,16384,32768})=0,0,2^SUMPRODUCT(--(MOD(SUMPRODUCT(MOD(INT(AF162/{2,4,8,16,32,64,128,256,512,1024,2048,4096,8192,16384,32768}),2)*(1-MOD(INT(($CJ27+AE207)/{2,4,8,16,32,64,128,256,512,1024,2048,4096,8192,16384,32768}),2))*{2,4,8,16,32,64,128,256,512,1024,2048,4096,8192,16384,32768}),{2,4,8,16,32,64,128,256,512,1024,2048,4096,8192,16384,32768})=0))))</f>
        <v/>
      </c>
      <c r="AG207">
        <f>AF207+IF(AND(AG117&gt;0,COUNTIF($Y117:AF117,AG117)=0),0,IF(SUMPRODUCT(MOD(INT(AG162/{2,4,8,16,32,64,128,256,512,1024,2048,4096,8192,16384,32768}),2)*(1-MOD(INT(($CJ27+AF207)/{2,4,8,16,32,64,128,256,512,1024,2048,4096,8192,16384,32768}),2))*{2,4,8,16,32,64,128,256,512,1024,2048,4096,8192,16384,32768})=0,0,2^SUMPRODUCT(--(MOD(SUMPRODUCT(MOD(INT(AG162/{2,4,8,16,32,64,128,256,512,1024,2048,4096,8192,16384,32768}),2)*(1-MOD(INT(($CJ27+AF207)/{2,4,8,16,32,64,128,256,512,1024,2048,4096,8192,16384,32768}),2))*{2,4,8,16,32,64,128,256,512,1024,2048,4096,8192,16384,32768}),{2,4,8,16,32,64,128,256,512,1024,2048,4096,8192,16384,32768})=0))))</f>
        <v/>
      </c>
      <c r="AH207">
        <f>AG207+IF(AND(AH117&gt;0,COUNTIF($Y117:AG117,AH117)=0),0,IF(SUMPRODUCT(MOD(INT(AH162/{2,4,8,16,32,64,128,256,512,1024,2048,4096,8192,16384,32768}),2)*(1-MOD(INT(($CJ27+AG207)/{2,4,8,16,32,64,128,256,512,1024,2048,4096,8192,16384,32768}),2))*{2,4,8,16,32,64,128,256,512,1024,2048,4096,8192,16384,32768})=0,0,2^SUMPRODUCT(--(MOD(SUMPRODUCT(MOD(INT(AH162/{2,4,8,16,32,64,128,256,512,1024,2048,4096,8192,16384,32768}),2)*(1-MOD(INT(($CJ27+AG207)/{2,4,8,16,32,64,128,256,512,1024,2048,4096,8192,16384,32768}),2))*{2,4,8,16,32,64,128,256,512,1024,2048,4096,8192,16384,32768}),{2,4,8,16,32,64,128,256,512,1024,2048,4096,8192,16384,32768})=0))))</f>
        <v/>
      </c>
      <c r="AI207">
        <f>AH207+IF(AND(AI117&gt;0,COUNTIF($Y117:AH117,AI117)=0),0,IF(SUMPRODUCT(MOD(INT(AI162/{2,4,8,16,32,64,128,256,512,1024,2048,4096,8192,16384,32768}),2)*(1-MOD(INT(($CJ27+AH207)/{2,4,8,16,32,64,128,256,512,1024,2048,4096,8192,16384,32768}),2))*{2,4,8,16,32,64,128,256,512,1024,2048,4096,8192,16384,32768})=0,0,2^SUMPRODUCT(--(MOD(SUMPRODUCT(MOD(INT(AI162/{2,4,8,16,32,64,128,256,512,1024,2048,4096,8192,16384,32768}),2)*(1-MOD(INT(($CJ27+AH207)/{2,4,8,16,32,64,128,256,512,1024,2048,4096,8192,16384,32768}),2))*{2,4,8,16,32,64,128,256,512,1024,2048,4096,8192,16384,32768}),{2,4,8,16,32,64,128,256,512,1024,2048,4096,8192,16384,32768})=0))))</f>
        <v/>
      </c>
      <c r="AJ207">
        <f>AI207+IF(AND(AJ117&gt;0,COUNTIF($Y117:AI117,AJ117)=0),0,IF(SUMPRODUCT(MOD(INT(AJ162/{2,4,8,16,32,64,128,256,512,1024,2048,4096,8192,16384,32768}),2)*(1-MOD(INT(($CJ27+AI207)/{2,4,8,16,32,64,128,256,512,1024,2048,4096,8192,16384,32768}),2))*{2,4,8,16,32,64,128,256,512,1024,2048,4096,8192,16384,32768})=0,0,2^SUMPRODUCT(--(MOD(SUMPRODUCT(MOD(INT(AJ162/{2,4,8,16,32,64,128,256,512,1024,2048,4096,8192,16384,32768}),2)*(1-MOD(INT(($CJ27+AI207)/{2,4,8,16,32,64,128,256,512,1024,2048,4096,8192,16384,32768}),2))*{2,4,8,16,32,64,128,256,512,1024,2048,4096,8192,16384,32768}),{2,4,8,16,32,64,128,256,512,1024,2048,4096,8192,16384,32768})=0))))</f>
        <v/>
      </c>
      <c r="AK207">
        <f>AJ207+IF(AND(AK117&gt;0,COUNTIF($Y117:AJ117,AK117)=0),0,IF(SUMPRODUCT(MOD(INT(AK162/{2,4,8,16,32,64,128,256,512,1024,2048,4096,8192,16384,32768}),2)*(1-MOD(INT(($CJ27+AJ207)/{2,4,8,16,32,64,128,256,512,1024,2048,4096,8192,16384,32768}),2))*{2,4,8,16,32,64,128,256,512,1024,2048,4096,8192,16384,32768})=0,0,2^SUMPRODUCT(--(MOD(SUMPRODUCT(MOD(INT(AK162/{2,4,8,16,32,64,128,256,512,1024,2048,4096,8192,16384,32768}),2)*(1-MOD(INT(($CJ27+AJ207)/{2,4,8,16,32,64,128,256,512,1024,2048,4096,8192,16384,32768}),2))*{2,4,8,16,32,64,128,256,512,1024,2048,4096,8192,16384,32768}),{2,4,8,16,32,64,128,256,512,1024,2048,4096,8192,16384,32768})=0))))</f>
        <v/>
      </c>
      <c r="AL207">
        <f>AK207+IF(AND(AL117&gt;0,COUNTIF($Y117:AK117,AL117)=0),0,IF(SUMPRODUCT(MOD(INT(AL162/{2,4,8,16,32,64,128,256,512,1024,2048,4096,8192,16384,32768}),2)*(1-MOD(INT(($CJ27+AK207)/{2,4,8,16,32,64,128,256,512,1024,2048,4096,8192,16384,32768}),2))*{2,4,8,16,32,64,128,256,512,1024,2048,4096,8192,16384,32768})=0,0,2^SUMPRODUCT(--(MOD(SUMPRODUCT(MOD(INT(AL162/{2,4,8,16,32,64,128,256,512,1024,2048,4096,8192,16384,32768}),2)*(1-MOD(INT(($CJ27+AK207)/{2,4,8,16,32,64,128,256,512,1024,2048,4096,8192,16384,32768}),2))*{2,4,8,16,32,64,128,256,512,1024,2048,4096,8192,16384,32768}),{2,4,8,16,32,64,128,256,512,1024,2048,4096,8192,16384,32768})=0))))</f>
        <v/>
      </c>
      <c r="AM207">
        <f>AL207+IF(AND(AM117&gt;0,COUNTIF($Y117:AL117,AM117)=0),0,IF(SUMPRODUCT(MOD(INT(AM162/{2,4,8,16,32,64,128,256,512,1024,2048,4096,8192,16384,32768}),2)*(1-MOD(INT(($CJ27+AL207)/{2,4,8,16,32,64,128,256,512,1024,2048,4096,8192,16384,32768}),2))*{2,4,8,16,32,64,128,256,512,1024,2048,4096,8192,16384,32768})=0,0,2^SUMPRODUCT(--(MOD(SUMPRODUCT(MOD(INT(AM162/{2,4,8,16,32,64,128,256,512,1024,2048,4096,8192,16384,32768}),2)*(1-MOD(INT(($CJ27+AL207)/{2,4,8,16,32,64,128,256,512,1024,2048,4096,8192,16384,32768}),2))*{2,4,8,16,32,64,128,256,512,1024,2048,4096,8192,16384,32768}),{2,4,8,16,32,64,128,256,512,1024,2048,4096,8192,16384,32768})=0))))</f>
        <v/>
      </c>
      <c r="AN207">
        <f>AM207+IF(AND(AN117&gt;0,COUNTIF($Y117:AM117,AN117)=0),0,IF(SUMPRODUCT(MOD(INT(AN162/{2,4,8,16,32,64,128,256,512,1024,2048,4096,8192,16384,32768}),2)*(1-MOD(INT(($CJ27+AM207)/{2,4,8,16,32,64,128,256,512,1024,2048,4096,8192,16384,32768}),2))*{2,4,8,16,32,64,128,256,512,1024,2048,4096,8192,16384,32768})=0,0,2^SUMPRODUCT(--(MOD(SUMPRODUCT(MOD(INT(AN162/{2,4,8,16,32,64,128,256,512,1024,2048,4096,8192,16384,32768}),2)*(1-MOD(INT(($CJ27+AM207)/{2,4,8,16,32,64,128,256,512,1024,2048,4096,8192,16384,32768}),2))*{2,4,8,16,32,64,128,256,512,1024,2048,4096,8192,16384,32768}),{2,4,8,16,32,64,128,256,512,1024,2048,4096,8192,16384,32768})=0))))</f>
        <v/>
      </c>
      <c r="AO207">
        <f>AN207+IF(AND(AO117&gt;0,COUNTIF($Y117:AN117,AO117)=0),0,IF(SUMPRODUCT(MOD(INT(AO162/{2,4,8,16,32,64,128,256,512,1024,2048,4096,8192,16384,32768}),2)*(1-MOD(INT(($CJ27+AN207)/{2,4,8,16,32,64,128,256,512,1024,2048,4096,8192,16384,32768}),2))*{2,4,8,16,32,64,128,256,512,1024,2048,4096,8192,16384,32768})=0,0,2^SUMPRODUCT(--(MOD(SUMPRODUCT(MOD(INT(AO162/{2,4,8,16,32,64,128,256,512,1024,2048,4096,8192,16384,32768}),2)*(1-MOD(INT(($CJ27+AN207)/{2,4,8,16,32,64,128,256,512,1024,2048,4096,8192,16384,32768}),2))*{2,4,8,16,32,64,128,256,512,1024,2048,4096,8192,16384,32768}),{2,4,8,16,32,64,128,256,512,1024,2048,4096,8192,16384,32768})=0))))</f>
        <v/>
      </c>
      <c r="AP207">
        <f>AO207+IF(AND(AP117&gt;0,COUNTIF($Y117:AO117,AP117)=0),0,IF(SUMPRODUCT(MOD(INT(AP162/{2,4,8,16,32,64,128,256,512,1024,2048,4096,8192,16384,32768}),2)*(1-MOD(INT(($CJ27+AO207)/{2,4,8,16,32,64,128,256,512,1024,2048,4096,8192,16384,32768}),2))*{2,4,8,16,32,64,128,256,512,1024,2048,4096,8192,16384,32768})=0,0,2^SUMPRODUCT(--(MOD(SUMPRODUCT(MOD(INT(AP162/{2,4,8,16,32,64,128,256,512,1024,2048,4096,8192,16384,32768}),2)*(1-MOD(INT(($CJ27+AO207)/{2,4,8,16,32,64,128,256,512,1024,2048,4096,8192,16384,32768}),2))*{2,4,8,16,32,64,128,256,512,1024,2048,4096,8192,16384,32768}),{2,4,8,16,32,64,128,256,512,1024,2048,4096,8192,16384,32768})=0))))</f>
        <v/>
      </c>
      <c r="AQ207">
        <f>AP207+IF(AND(AQ117&gt;0,COUNTIF($Y117:AP117,AQ117)=0),0,IF(SUMPRODUCT(MOD(INT(AQ162/{2,4,8,16,32,64,128,256,512,1024,2048,4096,8192,16384,32768}),2)*(1-MOD(INT(($CJ27+AP207)/{2,4,8,16,32,64,128,256,512,1024,2048,4096,8192,16384,32768}),2))*{2,4,8,16,32,64,128,256,512,1024,2048,4096,8192,16384,32768})=0,0,2^SUMPRODUCT(--(MOD(SUMPRODUCT(MOD(INT(AQ162/{2,4,8,16,32,64,128,256,512,1024,2048,4096,8192,16384,32768}),2)*(1-MOD(INT(($CJ27+AP207)/{2,4,8,16,32,64,128,256,512,1024,2048,4096,8192,16384,32768}),2))*{2,4,8,16,32,64,128,256,512,1024,2048,4096,8192,16384,32768}),{2,4,8,16,32,64,128,256,512,1024,2048,4096,8192,16384,32768})=0))))</f>
        <v/>
      </c>
      <c r="AR207">
        <f>AQ207+IF(AND(AR117&gt;0,COUNTIF($Y117:AQ117,AR117)=0),0,IF(SUMPRODUCT(MOD(INT(AR162/{2,4,8,16,32,64,128,256,512,1024,2048,4096,8192,16384,32768}),2)*(1-MOD(INT(($CJ27+AQ207)/{2,4,8,16,32,64,128,256,512,1024,2048,4096,8192,16384,32768}),2))*{2,4,8,16,32,64,128,256,512,1024,2048,4096,8192,16384,32768})=0,0,2^SUMPRODUCT(--(MOD(SUMPRODUCT(MOD(INT(AR162/{2,4,8,16,32,64,128,256,512,1024,2048,4096,8192,16384,32768}),2)*(1-MOD(INT(($CJ27+AQ207)/{2,4,8,16,32,64,128,256,512,1024,2048,4096,8192,16384,32768}),2))*{2,4,8,16,32,64,128,256,512,1024,2048,4096,8192,16384,32768}),{2,4,8,16,32,64,128,256,512,1024,2048,4096,8192,16384,32768})=0))))</f>
        <v/>
      </c>
      <c r="AS207">
        <f>AR207+IF(AND(AS117&gt;0,COUNTIF($Y117:AR117,AS117)=0),0,IF(SUMPRODUCT(MOD(INT(AS162/{2,4,8,16,32,64,128,256,512,1024,2048,4096,8192,16384,32768}),2)*(1-MOD(INT(($CJ27+AR207)/{2,4,8,16,32,64,128,256,512,1024,2048,4096,8192,16384,32768}),2))*{2,4,8,16,32,64,128,256,512,1024,2048,4096,8192,16384,32768})=0,0,2^SUMPRODUCT(--(MOD(SUMPRODUCT(MOD(INT(AS162/{2,4,8,16,32,64,128,256,512,1024,2048,4096,8192,16384,32768}),2)*(1-MOD(INT(($CJ27+AR207)/{2,4,8,16,32,64,128,256,512,1024,2048,4096,8192,16384,32768}),2))*{2,4,8,16,32,64,128,256,512,1024,2048,4096,8192,16384,32768}),{2,4,8,16,32,64,128,256,512,1024,2048,4096,8192,16384,32768})=0))))</f>
        <v/>
      </c>
      <c r="AT207">
        <f>AS207+IF(AND(AT117&gt;0,COUNTIF($Y117:AS117,AT117)=0),0,IF(SUMPRODUCT(MOD(INT(AT162/{2,4,8,16,32,64,128,256,512,1024,2048,4096,8192,16384,32768}),2)*(1-MOD(INT(($CJ27+AS207)/{2,4,8,16,32,64,128,256,512,1024,2048,4096,8192,16384,32768}),2))*{2,4,8,16,32,64,128,256,512,1024,2048,4096,8192,16384,32768})=0,0,2^SUMPRODUCT(--(MOD(SUMPRODUCT(MOD(INT(AT162/{2,4,8,16,32,64,128,256,512,1024,2048,4096,8192,16384,32768}),2)*(1-MOD(INT(($CJ27+AS207)/{2,4,8,16,32,64,128,256,512,1024,2048,4096,8192,16384,32768}),2))*{2,4,8,16,32,64,128,256,512,1024,2048,4096,8192,16384,32768}),{2,4,8,16,32,64,128,256,512,1024,2048,4096,8192,16384,32768})=0))))</f>
        <v/>
      </c>
      <c r="AU207">
        <f>AT207+IF(AND(AU117&gt;0,COUNTIF($Y117:AT117,AU117)=0),0,IF(SUMPRODUCT(MOD(INT(AU162/{2,4,8,16,32,64,128,256,512,1024,2048,4096,8192,16384,32768}),2)*(1-MOD(INT(($CJ27+AT207)/{2,4,8,16,32,64,128,256,512,1024,2048,4096,8192,16384,32768}),2))*{2,4,8,16,32,64,128,256,512,1024,2048,4096,8192,16384,32768})=0,0,2^SUMPRODUCT(--(MOD(SUMPRODUCT(MOD(INT(AU162/{2,4,8,16,32,64,128,256,512,1024,2048,4096,8192,16384,32768}),2)*(1-MOD(INT(($CJ27+AT207)/{2,4,8,16,32,64,128,256,512,1024,2048,4096,8192,16384,32768}),2))*{2,4,8,16,32,64,128,256,512,1024,2048,4096,8192,16384,32768}),{2,4,8,16,32,64,128,256,512,1024,2048,4096,8192,16384,32768})=0))))</f>
        <v/>
      </c>
      <c r="AV207">
        <f>AU207+IF(AND(AV117&gt;0,COUNTIF($Y117:AU117,AV117)=0),0,IF(SUMPRODUCT(MOD(INT(AV162/{2,4,8,16,32,64,128,256,512,1024,2048,4096,8192,16384,32768}),2)*(1-MOD(INT(($CJ27+AU207)/{2,4,8,16,32,64,128,256,512,1024,2048,4096,8192,16384,32768}),2))*{2,4,8,16,32,64,128,256,512,1024,2048,4096,8192,16384,32768})=0,0,2^SUMPRODUCT(--(MOD(SUMPRODUCT(MOD(INT(AV162/{2,4,8,16,32,64,128,256,512,1024,2048,4096,8192,16384,32768}),2)*(1-MOD(INT(($CJ27+AU207)/{2,4,8,16,32,64,128,256,512,1024,2048,4096,8192,16384,32768}),2))*{2,4,8,16,32,64,128,256,512,1024,2048,4096,8192,16384,32768}),{2,4,8,16,32,64,128,256,512,1024,2048,4096,8192,16384,32768})=0))))</f>
        <v/>
      </c>
      <c r="AW207">
        <f>AV207+IF(AND(AW117&gt;0,COUNTIF($Y117:AV117,AW117)=0),0,IF(SUMPRODUCT(MOD(INT(AW162/{2,4,8,16,32,64,128,256,512,1024,2048,4096,8192,16384,32768}),2)*(1-MOD(INT(($CJ27+AV207)/{2,4,8,16,32,64,128,256,512,1024,2048,4096,8192,16384,32768}),2))*{2,4,8,16,32,64,128,256,512,1024,2048,4096,8192,16384,32768})=0,0,2^SUMPRODUCT(--(MOD(SUMPRODUCT(MOD(INT(AW162/{2,4,8,16,32,64,128,256,512,1024,2048,4096,8192,16384,32768}),2)*(1-MOD(INT(($CJ27+AV207)/{2,4,8,16,32,64,128,256,512,1024,2048,4096,8192,16384,32768}),2))*{2,4,8,16,32,64,128,256,512,1024,2048,4096,8192,16384,32768}),{2,4,8,16,32,64,128,256,512,1024,2048,4096,8192,16384,32768})=0))))</f>
        <v/>
      </c>
      <c r="AX207">
        <f>AW207+IF(AND(AX117&gt;0,COUNTIF($Y117:AW117,AX117)=0),0,IF(SUMPRODUCT(MOD(INT(AX162/{2,4,8,16,32,64,128,256,512,1024,2048,4096,8192,16384,32768}),2)*(1-MOD(INT(($CJ27+AW207)/{2,4,8,16,32,64,128,256,512,1024,2048,4096,8192,16384,32768}),2))*{2,4,8,16,32,64,128,256,512,1024,2048,4096,8192,16384,32768})=0,0,2^SUMPRODUCT(--(MOD(SUMPRODUCT(MOD(INT(AX162/{2,4,8,16,32,64,128,256,512,1024,2048,4096,8192,16384,32768}),2)*(1-MOD(INT(($CJ27+AW207)/{2,4,8,16,32,64,128,256,512,1024,2048,4096,8192,16384,32768}),2))*{2,4,8,16,32,64,128,256,512,1024,2048,4096,8192,16384,32768}),{2,4,8,16,32,64,128,256,512,1024,2048,4096,8192,16384,32768})=0))))</f>
        <v/>
      </c>
      <c r="AY207">
        <f>AX207+IF(AND(AY117&gt;0,COUNTIF($Y117:AX117,AY117)=0),0,IF(SUMPRODUCT(MOD(INT(AY162/{2,4,8,16,32,64,128,256,512,1024,2048,4096,8192,16384,32768}),2)*(1-MOD(INT(($CJ27+AX207)/{2,4,8,16,32,64,128,256,512,1024,2048,4096,8192,16384,32768}),2))*{2,4,8,16,32,64,128,256,512,1024,2048,4096,8192,16384,32768})=0,0,2^SUMPRODUCT(--(MOD(SUMPRODUCT(MOD(INT(AY162/{2,4,8,16,32,64,128,256,512,1024,2048,4096,8192,16384,32768}),2)*(1-MOD(INT(($CJ27+AX207)/{2,4,8,16,32,64,128,256,512,1024,2048,4096,8192,16384,32768}),2))*{2,4,8,16,32,64,128,256,512,1024,2048,4096,8192,16384,32768}),{2,4,8,16,32,64,128,256,512,1024,2048,4096,8192,16384,32768})=0))))</f>
        <v/>
      </c>
      <c r="AZ207">
        <f>AY207+IF(AND(AZ117&gt;0,COUNTIF($Y117:AY117,AZ117)=0),0,IF(SUMPRODUCT(MOD(INT(AZ162/{2,4,8,16,32,64,128,256,512,1024,2048,4096,8192,16384,32768}),2)*(1-MOD(INT(($CJ27+AY207)/{2,4,8,16,32,64,128,256,512,1024,2048,4096,8192,16384,32768}),2))*{2,4,8,16,32,64,128,256,512,1024,2048,4096,8192,16384,32768})=0,0,2^SUMPRODUCT(--(MOD(SUMPRODUCT(MOD(INT(AZ162/{2,4,8,16,32,64,128,256,512,1024,2048,4096,8192,16384,32768}),2)*(1-MOD(INT(($CJ27+AY207)/{2,4,8,16,32,64,128,256,512,1024,2048,4096,8192,16384,32768}),2))*{2,4,8,16,32,64,128,256,512,1024,2048,4096,8192,16384,32768}),{2,4,8,16,32,64,128,256,512,1024,2048,4096,8192,16384,32768})=0))))</f>
        <v/>
      </c>
      <c r="BA207">
        <f>AZ207+IF(AND(BA117&gt;0,COUNTIF($Y117:AZ117,BA117)=0),0,IF(SUMPRODUCT(MOD(INT(BA162/{2,4,8,16,32,64,128,256,512,1024,2048,4096,8192,16384,32768}),2)*(1-MOD(INT(($CJ27+AZ207)/{2,4,8,16,32,64,128,256,512,1024,2048,4096,8192,16384,32768}),2))*{2,4,8,16,32,64,128,256,512,1024,2048,4096,8192,16384,32768})=0,0,2^SUMPRODUCT(--(MOD(SUMPRODUCT(MOD(INT(BA162/{2,4,8,16,32,64,128,256,512,1024,2048,4096,8192,16384,32768}),2)*(1-MOD(INT(($CJ27+AZ207)/{2,4,8,16,32,64,128,256,512,1024,2048,4096,8192,16384,32768}),2))*{2,4,8,16,32,64,128,256,512,1024,2048,4096,8192,16384,32768}),{2,4,8,16,32,64,128,256,512,1024,2048,4096,8192,16384,32768})=0))))</f>
        <v/>
      </c>
      <c r="BB207">
        <f>BA207+IF(AND(BB117&gt;0,COUNTIF($Y117:BA117,BB117)=0),0,IF(SUMPRODUCT(MOD(INT(BB162/{2,4,8,16,32,64,128,256,512,1024,2048,4096,8192,16384,32768}),2)*(1-MOD(INT(($CJ27+BA207)/{2,4,8,16,32,64,128,256,512,1024,2048,4096,8192,16384,32768}),2))*{2,4,8,16,32,64,128,256,512,1024,2048,4096,8192,16384,32768})=0,0,2^SUMPRODUCT(--(MOD(SUMPRODUCT(MOD(INT(BB162/{2,4,8,16,32,64,128,256,512,1024,2048,4096,8192,16384,32768}),2)*(1-MOD(INT(($CJ27+BA207)/{2,4,8,16,32,64,128,256,512,1024,2048,4096,8192,16384,32768}),2))*{2,4,8,16,32,64,128,256,512,1024,2048,4096,8192,16384,32768}),{2,4,8,16,32,64,128,256,512,1024,2048,4096,8192,16384,32768})=0))))</f>
        <v/>
      </c>
      <c r="BC207">
        <f>BB207+IF(AND(BC117&gt;0,COUNTIF($Y117:BB117,BC117)=0),0,IF(SUMPRODUCT(MOD(INT(BC162/{2,4,8,16,32,64,128,256,512,1024,2048,4096,8192,16384,32768}),2)*(1-MOD(INT(($CJ27+BB207)/{2,4,8,16,32,64,128,256,512,1024,2048,4096,8192,16384,32768}),2))*{2,4,8,16,32,64,128,256,512,1024,2048,4096,8192,16384,32768})=0,0,2^SUMPRODUCT(--(MOD(SUMPRODUCT(MOD(INT(BC162/{2,4,8,16,32,64,128,256,512,1024,2048,4096,8192,16384,32768}),2)*(1-MOD(INT(($CJ27+BB207)/{2,4,8,16,32,64,128,256,512,1024,2048,4096,8192,16384,32768}),2))*{2,4,8,16,32,64,128,256,512,1024,2048,4096,8192,16384,32768}),{2,4,8,16,32,64,128,256,512,1024,2048,4096,8192,16384,32768})=0))))</f>
        <v/>
      </c>
      <c r="BD207">
        <f>BC207+IF(AND(BD117&gt;0,COUNTIF($Y117:BC117,BD117)=0),0,IF(SUMPRODUCT(MOD(INT(BD162/{2,4,8,16,32,64,128,256,512,1024,2048,4096,8192,16384,32768}),2)*(1-MOD(INT(($CJ27+BC207)/{2,4,8,16,32,64,128,256,512,1024,2048,4096,8192,16384,32768}),2))*{2,4,8,16,32,64,128,256,512,1024,2048,4096,8192,16384,32768})=0,0,2^SUMPRODUCT(--(MOD(SUMPRODUCT(MOD(INT(BD162/{2,4,8,16,32,64,128,256,512,1024,2048,4096,8192,16384,32768}),2)*(1-MOD(INT(($CJ27+BC207)/{2,4,8,16,32,64,128,256,512,1024,2048,4096,8192,16384,32768}),2))*{2,4,8,16,32,64,128,256,512,1024,2048,4096,8192,16384,32768}),{2,4,8,16,32,64,128,256,512,1024,2048,4096,8192,16384,32768})=0))))</f>
        <v/>
      </c>
      <c r="BE207">
        <f>BD207+IF(AND(BE117&gt;0,COUNTIF($Y117:BD117,BE117)=0),0,IF(SUMPRODUCT(MOD(INT(BE162/{2,4,8,16,32,64,128,256,512,1024,2048,4096,8192,16384,32768}),2)*(1-MOD(INT(($CJ27+BD207)/{2,4,8,16,32,64,128,256,512,1024,2048,4096,8192,16384,32768}),2))*{2,4,8,16,32,64,128,256,512,1024,2048,4096,8192,16384,32768})=0,0,2^SUMPRODUCT(--(MOD(SUMPRODUCT(MOD(INT(BE162/{2,4,8,16,32,64,128,256,512,1024,2048,4096,8192,16384,32768}),2)*(1-MOD(INT(($CJ27+BD207)/{2,4,8,16,32,64,128,256,512,1024,2048,4096,8192,16384,32768}),2))*{2,4,8,16,32,64,128,256,512,1024,2048,4096,8192,16384,32768}),{2,4,8,16,32,64,128,256,512,1024,2048,4096,8192,16384,32768})=0))))</f>
        <v/>
      </c>
      <c r="BF207">
        <f>BE207+IF(AND(BF117&gt;0,COUNTIF($Y117:BE117,BF117)=0),0,IF(SUMPRODUCT(MOD(INT(BF162/{2,4,8,16,32,64,128,256,512,1024,2048,4096,8192,16384,32768}),2)*(1-MOD(INT(($CJ27+BE207)/{2,4,8,16,32,64,128,256,512,1024,2048,4096,8192,16384,32768}),2))*{2,4,8,16,32,64,128,256,512,1024,2048,4096,8192,16384,32768})=0,0,2^SUMPRODUCT(--(MOD(SUMPRODUCT(MOD(INT(BF162/{2,4,8,16,32,64,128,256,512,1024,2048,4096,8192,16384,32768}),2)*(1-MOD(INT(($CJ27+BE207)/{2,4,8,16,32,64,128,256,512,1024,2048,4096,8192,16384,32768}),2))*{2,4,8,16,32,64,128,256,512,1024,2048,4096,8192,16384,32768}),{2,4,8,16,32,64,128,256,512,1024,2048,4096,8192,16384,32768})=0))))</f>
        <v/>
      </c>
      <c r="BG207">
        <f>BF207+IF(AND(BG117&gt;0,COUNTIF($Y117:BF117,BG117)=0),0,IF(SUMPRODUCT(MOD(INT(BG162/{2,4,8,16,32,64,128,256,512,1024,2048,4096,8192,16384,32768}),2)*(1-MOD(INT(($CJ27+BF207)/{2,4,8,16,32,64,128,256,512,1024,2048,4096,8192,16384,32768}),2))*{2,4,8,16,32,64,128,256,512,1024,2048,4096,8192,16384,32768})=0,0,2^SUMPRODUCT(--(MOD(SUMPRODUCT(MOD(INT(BG162/{2,4,8,16,32,64,128,256,512,1024,2048,4096,8192,16384,32768}),2)*(1-MOD(INT(($CJ27+BF207)/{2,4,8,16,32,64,128,256,512,1024,2048,4096,8192,16384,32768}),2))*{2,4,8,16,32,64,128,256,512,1024,2048,4096,8192,16384,32768}),{2,4,8,16,32,64,128,256,512,1024,2048,4096,8192,16384,32768})=0))))</f>
        <v/>
      </c>
      <c r="BH207">
        <f>BG207+IF(AND(BH117&gt;0,COUNTIF($Y117:BG117,BH117)=0),0,IF(SUMPRODUCT(MOD(INT(BH162/{2,4,8,16,32,64,128,256,512,1024,2048,4096,8192,16384,32768}),2)*(1-MOD(INT(($CJ27+BG207)/{2,4,8,16,32,64,128,256,512,1024,2048,4096,8192,16384,32768}),2))*{2,4,8,16,32,64,128,256,512,1024,2048,4096,8192,16384,32768})=0,0,2^SUMPRODUCT(--(MOD(SUMPRODUCT(MOD(INT(BH162/{2,4,8,16,32,64,128,256,512,1024,2048,4096,8192,16384,32768}),2)*(1-MOD(INT(($CJ27+BG207)/{2,4,8,16,32,64,128,256,512,1024,2048,4096,8192,16384,32768}),2))*{2,4,8,16,32,64,128,256,512,1024,2048,4096,8192,16384,32768}),{2,4,8,16,32,64,128,256,512,1024,2048,4096,8192,16384,32768})=0))))</f>
        <v/>
      </c>
      <c r="BI207">
        <f>BH207+IF(AND(BI117&gt;0,COUNTIF($Y117:BH117,BI117)=0),0,IF(SUMPRODUCT(MOD(INT(BI162/{2,4,8,16,32,64,128,256,512,1024,2048,4096,8192,16384,32768}),2)*(1-MOD(INT(($CJ27+BH207)/{2,4,8,16,32,64,128,256,512,1024,2048,4096,8192,16384,32768}),2))*{2,4,8,16,32,64,128,256,512,1024,2048,4096,8192,16384,32768})=0,0,2^SUMPRODUCT(--(MOD(SUMPRODUCT(MOD(INT(BI162/{2,4,8,16,32,64,128,256,512,1024,2048,4096,8192,16384,32768}),2)*(1-MOD(INT(($CJ27+BH207)/{2,4,8,16,32,64,128,256,512,1024,2048,4096,8192,16384,32768}),2))*{2,4,8,16,32,64,128,256,512,1024,2048,4096,8192,16384,32768}),{2,4,8,16,32,64,128,256,512,1024,2048,4096,8192,16384,32768})=0))))</f>
        <v/>
      </c>
      <c r="BJ207">
        <f>BI207+IF(AND(BJ117&gt;0,COUNTIF($Y117:BI117,BJ117)=0),0,IF(SUMPRODUCT(MOD(INT(BJ162/{2,4,8,16,32,64,128,256,512,1024,2048,4096,8192,16384,32768}),2)*(1-MOD(INT(($CJ27+BI207)/{2,4,8,16,32,64,128,256,512,1024,2048,4096,8192,16384,32768}),2))*{2,4,8,16,32,64,128,256,512,1024,2048,4096,8192,16384,32768})=0,0,2^SUMPRODUCT(--(MOD(SUMPRODUCT(MOD(INT(BJ162/{2,4,8,16,32,64,128,256,512,1024,2048,4096,8192,16384,32768}),2)*(1-MOD(INT(($CJ27+BI207)/{2,4,8,16,32,64,128,256,512,1024,2048,4096,8192,16384,32768}),2))*{2,4,8,16,32,64,128,256,512,1024,2048,4096,8192,16384,32768}),{2,4,8,16,32,64,128,256,512,1024,2048,4096,8192,16384,32768})=0))))</f>
        <v/>
      </c>
      <c r="BK207">
        <f>BJ207+IF(AND(BK117&gt;0,COUNTIF($Y117:BJ117,BK117)=0),0,IF(SUMPRODUCT(MOD(INT(BK162/{2,4,8,16,32,64,128,256,512,1024,2048,4096,8192,16384,32768}),2)*(1-MOD(INT(($CJ27+BJ207)/{2,4,8,16,32,64,128,256,512,1024,2048,4096,8192,16384,32768}),2))*{2,4,8,16,32,64,128,256,512,1024,2048,4096,8192,16384,32768})=0,0,2^SUMPRODUCT(--(MOD(SUMPRODUCT(MOD(INT(BK162/{2,4,8,16,32,64,128,256,512,1024,2048,4096,8192,16384,32768}),2)*(1-MOD(INT(($CJ27+BJ207)/{2,4,8,16,32,64,128,256,512,1024,2048,4096,8192,16384,32768}),2))*{2,4,8,16,32,64,128,256,512,1024,2048,4096,8192,16384,32768}),{2,4,8,16,32,64,128,256,512,1024,2048,4096,8192,16384,32768})=0))))</f>
        <v/>
      </c>
      <c r="BL207">
        <f>BK207+IF(AND(BL117&gt;0,COUNTIF($Y117:BK117,BL117)=0),0,IF(SUMPRODUCT(MOD(INT(BL162/{2,4,8,16,32,64,128,256,512,1024,2048,4096,8192,16384,32768}),2)*(1-MOD(INT(($CJ27+BK207)/{2,4,8,16,32,64,128,256,512,1024,2048,4096,8192,16384,32768}),2))*{2,4,8,16,32,64,128,256,512,1024,2048,4096,8192,16384,32768})=0,0,2^SUMPRODUCT(--(MOD(SUMPRODUCT(MOD(INT(BL162/{2,4,8,16,32,64,128,256,512,1024,2048,4096,8192,16384,32768}),2)*(1-MOD(INT(($CJ27+BK207)/{2,4,8,16,32,64,128,256,512,1024,2048,4096,8192,16384,32768}),2))*{2,4,8,16,32,64,128,256,512,1024,2048,4096,8192,16384,32768}),{2,4,8,16,32,64,128,256,512,1024,2048,4096,8192,16384,32768})=0))))</f>
        <v/>
      </c>
      <c r="BM207">
        <f>BL207+IF(AND(BM117&gt;0,COUNTIF($Y117:BL117,BM117)=0),0,IF(SUMPRODUCT(MOD(INT(BM162/{2,4,8,16,32,64,128,256,512,1024,2048,4096,8192,16384,32768}),2)*(1-MOD(INT(($CJ27+BL207)/{2,4,8,16,32,64,128,256,512,1024,2048,4096,8192,16384,32768}),2))*{2,4,8,16,32,64,128,256,512,1024,2048,4096,8192,16384,32768})=0,0,2^SUMPRODUCT(--(MOD(SUMPRODUCT(MOD(INT(BM162/{2,4,8,16,32,64,128,256,512,1024,2048,4096,8192,16384,32768}),2)*(1-MOD(INT(($CJ27+BL207)/{2,4,8,16,32,64,128,256,512,1024,2048,4096,8192,16384,32768}),2))*{2,4,8,16,32,64,128,256,512,1024,2048,4096,8192,16384,32768}),{2,4,8,16,32,64,128,256,512,1024,2048,4096,8192,16384,32768})=0))))</f>
        <v/>
      </c>
      <c r="BN207">
        <f>BM207+IF(AND(BN117&gt;0,COUNTIF($Y117:BM117,BN117)=0),0,IF(SUMPRODUCT(MOD(INT(BN162/{2,4,8,16,32,64,128,256,512,1024,2048,4096,8192,16384,32768}),2)*(1-MOD(INT(($CJ27+BM207)/{2,4,8,16,32,64,128,256,512,1024,2048,4096,8192,16384,32768}),2))*{2,4,8,16,32,64,128,256,512,1024,2048,4096,8192,16384,32768})=0,0,2^SUMPRODUCT(--(MOD(SUMPRODUCT(MOD(INT(BN162/{2,4,8,16,32,64,128,256,512,1024,2048,4096,8192,16384,32768}),2)*(1-MOD(INT(($CJ27+BM207)/{2,4,8,16,32,64,128,256,512,1024,2048,4096,8192,16384,32768}),2))*{2,4,8,16,32,64,128,256,512,1024,2048,4096,8192,16384,32768}),{2,4,8,16,32,64,128,256,512,1024,2048,4096,8192,16384,32768})=0))))</f>
        <v/>
      </c>
      <c r="BO207">
        <f>BN207+IF(AND(BO117&gt;0,COUNTIF($Y117:BN117,BO117)=0),0,IF(SUMPRODUCT(MOD(INT(BO162/{2,4,8,16,32,64,128,256,512,1024,2048,4096,8192,16384,32768}),2)*(1-MOD(INT(($CJ27+BN207)/{2,4,8,16,32,64,128,256,512,1024,2048,4096,8192,16384,32768}),2))*{2,4,8,16,32,64,128,256,512,1024,2048,4096,8192,16384,32768})=0,0,2^SUMPRODUCT(--(MOD(SUMPRODUCT(MOD(INT(BO162/{2,4,8,16,32,64,128,256,512,1024,2048,4096,8192,16384,32768}),2)*(1-MOD(INT(($CJ27+BN207)/{2,4,8,16,32,64,128,256,512,1024,2048,4096,8192,16384,32768}),2))*{2,4,8,16,32,64,128,256,512,1024,2048,4096,8192,16384,32768}),{2,4,8,16,32,64,128,256,512,1024,2048,4096,8192,16384,32768})=0))))</f>
        <v/>
      </c>
      <c r="BP207">
        <f>BO207+IF(AND(BP117&gt;0,COUNTIF($Y117:BO117,BP117)=0),0,IF(SUMPRODUCT(MOD(INT(BP162/{2,4,8,16,32,64,128,256,512,1024,2048,4096,8192,16384,32768}),2)*(1-MOD(INT(($CJ27+BO207)/{2,4,8,16,32,64,128,256,512,1024,2048,4096,8192,16384,32768}),2))*{2,4,8,16,32,64,128,256,512,1024,2048,4096,8192,16384,32768})=0,0,2^SUMPRODUCT(--(MOD(SUMPRODUCT(MOD(INT(BP162/{2,4,8,16,32,64,128,256,512,1024,2048,4096,8192,16384,32768}),2)*(1-MOD(INT(($CJ27+BO207)/{2,4,8,16,32,64,128,256,512,1024,2048,4096,8192,16384,32768}),2))*{2,4,8,16,32,64,128,256,512,1024,2048,4096,8192,16384,32768}),{2,4,8,16,32,64,128,256,512,1024,2048,4096,8192,16384,32768})=0))))</f>
        <v/>
      </c>
      <c r="BQ207">
        <f>BP207+IF(AND(BQ117&gt;0,COUNTIF($Y117:BP117,BQ117)=0),0,IF(SUMPRODUCT(MOD(INT(BQ162/{2,4,8,16,32,64,128,256,512,1024,2048,4096,8192,16384,32768}),2)*(1-MOD(INT(($CJ27+BP207)/{2,4,8,16,32,64,128,256,512,1024,2048,4096,8192,16384,32768}),2))*{2,4,8,16,32,64,128,256,512,1024,2048,4096,8192,16384,32768})=0,0,2^SUMPRODUCT(--(MOD(SUMPRODUCT(MOD(INT(BQ162/{2,4,8,16,32,64,128,256,512,1024,2048,4096,8192,16384,32768}),2)*(1-MOD(INT(($CJ27+BP207)/{2,4,8,16,32,64,128,256,512,1024,2048,4096,8192,16384,32768}),2))*{2,4,8,16,32,64,128,256,512,1024,2048,4096,8192,16384,32768}),{2,4,8,16,32,64,128,256,512,1024,2048,4096,8192,16384,32768})=0))))</f>
        <v/>
      </c>
      <c r="BR207">
        <f>BQ207+IF(AND(BR117&gt;0,COUNTIF($Y117:BQ117,BR117)=0),0,IF(SUMPRODUCT(MOD(INT(BR162/{2,4,8,16,32,64,128,256,512,1024,2048,4096,8192,16384,32768}),2)*(1-MOD(INT(($CJ27+BQ207)/{2,4,8,16,32,64,128,256,512,1024,2048,4096,8192,16384,32768}),2))*{2,4,8,16,32,64,128,256,512,1024,2048,4096,8192,16384,32768})=0,0,2^SUMPRODUCT(--(MOD(SUMPRODUCT(MOD(INT(BR162/{2,4,8,16,32,64,128,256,512,1024,2048,4096,8192,16384,32768}),2)*(1-MOD(INT(($CJ27+BQ207)/{2,4,8,16,32,64,128,256,512,1024,2048,4096,8192,16384,32768}),2))*{2,4,8,16,32,64,128,256,512,1024,2048,4096,8192,16384,32768}),{2,4,8,16,32,64,128,256,512,1024,2048,4096,8192,16384,32768})=0))))</f>
        <v/>
      </c>
      <c r="BS207">
        <f>BR207+IF(AND(BS117&gt;0,COUNTIF($Y117:BR117,BS117)=0),0,IF(SUMPRODUCT(MOD(INT(BS162/{2,4,8,16,32,64,128,256,512,1024,2048,4096,8192,16384,32768}),2)*(1-MOD(INT(($CJ27+BR207)/{2,4,8,16,32,64,128,256,512,1024,2048,4096,8192,16384,32768}),2))*{2,4,8,16,32,64,128,256,512,1024,2048,4096,8192,16384,32768})=0,0,2^SUMPRODUCT(--(MOD(SUMPRODUCT(MOD(INT(BS162/{2,4,8,16,32,64,128,256,512,1024,2048,4096,8192,16384,32768}),2)*(1-MOD(INT(($CJ27+BR207)/{2,4,8,16,32,64,128,256,512,1024,2048,4096,8192,16384,32768}),2))*{2,4,8,16,32,64,128,256,512,1024,2048,4096,8192,16384,32768}),{2,4,8,16,32,64,128,256,512,1024,2048,4096,8192,16384,32768})=0))))</f>
        <v/>
      </c>
      <c r="BT207">
        <f>BS207+IF(AND(BT117&gt;0,COUNTIF($Y117:BS117,BT117)=0),0,IF(SUMPRODUCT(MOD(INT(BT162/{2,4,8,16,32,64,128,256,512,1024,2048,4096,8192,16384,32768}),2)*(1-MOD(INT(($CJ27+BS207)/{2,4,8,16,32,64,128,256,512,1024,2048,4096,8192,16384,32768}),2))*{2,4,8,16,32,64,128,256,512,1024,2048,4096,8192,16384,32768})=0,0,2^SUMPRODUCT(--(MOD(SUMPRODUCT(MOD(INT(BT162/{2,4,8,16,32,64,128,256,512,1024,2048,4096,8192,16384,32768}),2)*(1-MOD(INT(($CJ27+BS207)/{2,4,8,16,32,64,128,256,512,1024,2048,4096,8192,16384,32768}),2))*{2,4,8,16,32,64,128,256,512,1024,2048,4096,8192,16384,32768}),{2,4,8,16,32,64,128,256,512,1024,2048,4096,8192,16384,32768})=0))))</f>
        <v/>
      </c>
      <c r="BU207">
        <f>BT207+IF(AND(BU117&gt;0,COUNTIF($Y117:BT117,BU117)=0),0,IF(SUMPRODUCT(MOD(INT(BU162/{2,4,8,16,32,64,128,256,512,1024,2048,4096,8192,16384,32768}),2)*(1-MOD(INT(($CJ27+BT207)/{2,4,8,16,32,64,128,256,512,1024,2048,4096,8192,16384,32768}),2))*{2,4,8,16,32,64,128,256,512,1024,2048,4096,8192,16384,32768})=0,0,2^SUMPRODUCT(--(MOD(SUMPRODUCT(MOD(INT(BU162/{2,4,8,16,32,64,128,256,512,1024,2048,4096,8192,16384,32768}),2)*(1-MOD(INT(($CJ27+BT207)/{2,4,8,16,32,64,128,256,512,1024,2048,4096,8192,16384,32768}),2))*{2,4,8,16,32,64,128,256,512,1024,2048,4096,8192,16384,32768}),{2,4,8,16,32,64,128,256,512,1024,2048,4096,8192,16384,32768})=0))))</f>
        <v/>
      </c>
      <c r="BV207">
        <f>BU207+IF(AND(BV117&gt;0,COUNTIF($Y117:BU117,BV117)=0),0,IF(SUMPRODUCT(MOD(INT(BV162/{2,4,8,16,32,64,128,256,512,1024,2048,4096,8192,16384,32768}),2)*(1-MOD(INT(($CJ27+BU207)/{2,4,8,16,32,64,128,256,512,1024,2048,4096,8192,16384,32768}),2))*{2,4,8,16,32,64,128,256,512,1024,2048,4096,8192,16384,32768})=0,0,2^SUMPRODUCT(--(MOD(SUMPRODUCT(MOD(INT(BV162/{2,4,8,16,32,64,128,256,512,1024,2048,4096,8192,16384,32768}),2)*(1-MOD(INT(($CJ27+BU207)/{2,4,8,16,32,64,128,256,512,1024,2048,4096,8192,16384,32768}),2))*{2,4,8,16,32,64,128,256,512,1024,2048,4096,8192,16384,32768}),{2,4,8,16,32,64,128,256,512,1024,2048,4096,8192,16384,32768})=0))))</f>
        <v/>
      </c>
      <c r="BW207">
        <f>BV207+IF(AND(BW117&gt;0,COUNTIF($Y117:BV117,BW117)=0),0,IF(SUMPRODUCT(MOD(INT(BW162/{2,4,8,16,32,64,128,256,512,1024,2048,4096,8192,16384,32768}),2)*(1-MOD(INT(($CJ27+BV207)/{2,4,8,16,32,64,128,256,512,1024,2048,4096,8192,16384,32768}),2))*{2,4,8,16,32,64,128,256,512,1024,2048,4096,8192,16384,32768})=0,0,2^SUMPRODUCT(--(MOD(SUMPRODUCT(MOD(INT(BW162/{2,4,8,16,32,64,128,256,512,1024,2048,4096,8192,16384,32768}),2)*(1-MOD(INT(($CJ27+BV207)/{2,4,8,16,32,64,128,256,512,1024,2048,4096,8192,16384,32768}),2))*{2,4,8,16,32,64,128,256,512,1024,2048,4096,8192,16384,32768}),{2,4,8,16,32,64,128,256,512,1024,2048,4096,8192,16384,32768})=0))))</f>
        <v/>
      </c>
      <c r="BX207">
        <f>BW207+IF(AND(BX117&gt;0,COUNTIF($Y117:BW117,BX117)=0),0,IF(SUMPRODUCT(MOD(INT(BX162/{2,4,8,16,32,64,128,256,512,1024,2048,4096,8192,16384,32768}),2)*(1-MOD(INT(($CJ27+BW207)/{2,4,8,16,32,64,128,256,512,1024,2048,4096,8192,16384,32768}),2))*{2,4,8,16,32,64,128,256,512,1024,2048,4096,8192,16384,32768})=0,0,2^SUMPRODUCT(--(MOD(SUMPRODUCT(MOD(INT(BX162/{2,4,8,16,32,64,128,256,512,1024,2048,4096,8192,16384,32768}),2)*(1-MOD(INT(($CJ27+BW207)/{2,4,8,16,32,64,128,256,512,1024,2048,4096,8192,16384,32768}),2))*{2,4,8,16,32,64,128,256,512,1024,2048,4096,8192,16384,32768}),{2,4,8,16,32,64,128,256,512,1024,2048,4096,8192,16384,32768})=0))))</f>
        <v/>
      </c>
      <c r="BY207">
        <f>BX207+IF(AND(BY117&gt;0,COUNTIF($Y117:BX117,BY117)=0),0,IF(SUMPRODUCT(MOD(INT(BY162/{2,4,8,16,32,64,128,256,512,1024,2048,4096,8192,16384,32768}),2)*(1-MOD(INT(($CJ27+BX207)/{2,4,8,16,32,64,128,256,512,1024,2048,4096,8192,16384,32768}),2))*{2,4,8,16,32,64,128,256,512,1024,2048,4096,8192,16384,32768})=0,0,2^SUMPRODUCT(--(MOD(SUMPRODUCT(MOD(INT(BY162/{2,4,8,16,32,64,128,256,512,1024,2048,4096,8192,16384,32768}),2)*(1-MOD(INT(($CJ27+BX207)/{2,4,8,16,32,64,128,256,512,1024,2048,4096,8192,16384,32768}),2))*{2,4,8,16,32,64,128,256,512,1024,2048,4096,8192,16384,32768}),{2,4,8,16,32,64,128,256,512,1024,2048,4096,8192,16384,32768})=0))))</f>
        <v/>
      </c>
      <c r="BZ207">
        <f>BY207+IF(AND(BZ117&gt;0,COUNTIF($Y117:BY117,BZ117)=0),0,IF(SUMPRODUCT(MOD(INT(BZ162/{2,4,8,16,32,64,128,256,512,1024,2048,4096,8192,16384,32768}),2)*(1-MOD(INT(($CJ27+BY207)/{2,4,8,16,32,64,128,256,512,1024,2048,4096,8192,16384,32768}),2))*{2,4,8,16,32,64,128,256,512,1024,2048,4096,8192,16384,32768})=0,0,2^SUMPRODUCT(--(MOD(SUMPRODUCT(MOD(INT(BZ162/{2,4,8,16,32,64,128,256,512,1024,2048,4096,8192,16384,32768}),2)*(1-MOD(INT(($CJ27+BY207)/{2,4,8,16,32,64,128,256,512,1024,2048,4096,8192,16384,32768}),2))*{2,4,8,16,32,64,128,256,512,1024,2048,4096,8192,16384,32768}),{2,4,8,16,32,64,128,256,512,1024,2048,4096,8192,16384,32768})=0))))</f>
        <v/>
      </c>
      <c r="CA207">
        <f>BZ207+IF(AND(CA117&gt;0,COUNTIF($Y117:BZ117,CA117)=0),0,IF(SUMPRODUCT(MOD(INT(CA162/{2,4,8,16,32,64,128,256,512,1024,2048,4096,8192,16384,32768}),2)*(1-MOD(INT(($CJ27+BZ207)/{2,4,8,16,32,64,128,256,512,1024,2048,4096,8192,16384,32768}),2))*{2,4,8,16,32,64,128,256,512,1024,2048,4096,8192,16384,32768})=0,0,2^SUMPRODUCT(--(MOD(SUMPRODUCT(MOD(INT(CA162/{2,4,8,16,32,64,128,256,512,1024,2048,4096,8192,16384,32768}),2)*(1-MOD(INT(($CJ27+BZ207)/{2,4,8,16,32,64,128,256,512,1024,2048,4096,8192,16384,32768}),2))*{2,4,8,16,32,64,128,256,512,1024,2048,4096,8192,16384,32768}),{2,4,8,16,32,64,128,256,512,1024,2048,4096,8192,16384,32768})=0))))</f>
        <v/>
      </c>
      <c r="CB207">
        <f>CA207+IF(AND(CB117&gt;0,COUNTIF($Y117:CA117,CB117)=0),0,IF(SUMPRODUCT(MOD(INT(CB162/{2,4,8,16,32,64,128,256,512,1024,2048,4096,8192,16384,32768}),2)*(1-MOD(INT(($CJ27+CA207)/{2,4,8,16,32,64,128,256,512,1024,2048,4096,8192,16384,32768}),2))*{2,4,8,16,32,64,128,256,512,1024,2048,4096,8192,16384,32768})=0,0,2^SUMPRODUCT(--(MOD(SUMPRODUCT(MOD(INT(CB162/{2,4,8,16,32,64,128,256,512,1024,2048,4096,8192,16384,32768}),2)*(1-MOD(INT(($CJ27+CA207)/{2,4,8,16,32,64,128,256,512,1024,2048,4096,8192,16384,32768}),2))*{2,4,8,16,32,64,128,256,512,1024,2048,4096,8192,16384,32768}),{2,4,8,16,32,64,128,256,512,1024,2048,4096,8192,16384,32768})=0))))</f>
        <v/>
      </c>
      <c r="CC207">
        <f>CB207+IF(AND(CC117&gt;0,COUNTIF($Y117:CB117,CC117)=0),0,IF(SUMPRODUCT(MOD(INT(CC162/{2,4,8,16,32,64,128,256,512,1024,2048,4096,8192,16384,32768}),2)*(1-MOD(INT(($CJ27+CB207)/{2,4,8,16,32,64,128,256,512,1024,2048,4096,8192,16384,32768}),2))*{2,4,8,16,32,64,128,256,512,1024,2048,4096,8192,16384,32768})=0,0,2^SUMPRODUCT(--(MOD(SUMPRODUCT(MOD(INT(CC162/{2,4,8,16,32,64,128,256,512,1024,2048,4096,8192,16384,32768}),2)*(1-MOD(INT(($CJ27+CB207)/{2,4,8,16,32,64,128,256,512,1024,2048,4096,8192,16384,32768}),2))*{2,4,8,16,32,64,128,256,512,1024,2048,4096,8192,16384,32768}),{2,4,8,16,32,64,128,256,512,1024,2048,4096,8192,16384,32768})=0))))</f>
        <v/>
      </c>
      <c r="CD207">
        <f>CC207+IF(AND(CD117&gt;0,COUNTIF($Y117:CC117,CD117)=0),0,IF(SUMPRODUCT(MOD(INT(CD162/{2,4,8,16,32,64,128,256,512,1024,2048,4096,8192,16384,32768}),2)*(1-MOD(INT(($CJ27+CC207)/{2,4,8,16,32,64,128,256,512,1024,2048,4096,8192,16384,32768}),2))*{2,4,8,16,32,64,128,256,512,1024,2048,4096,8192,16384,32768})=0,0,2^SUMPRODUCT(--(MOD(SUMPRODUCT(MOD(INT(CD162/{2,4,8,16,32,64,128,256,512,1024,2048,4096,8192,16384,32768}),2)*(1-MOD(INT(($CJ27+CC207)/{2,4,8,16,32,64,128,256,512,1024,2048,4096,8192,16384,32768}),2))*{2,4,8,16,32,64,128,256,512,1024,2048,4096,8192,16384,32768}),{2,4,8,16,32,64,128,256,512,1024,2048,4096,8192,16384,32768})=0))))</f>
        <v/>
      </c>
      <c r="CE207">
        <f>CD207+IF(AND(CE117&gt;0,COUNTIF($Y117:CD117,CE117)=0),0,IF(SUMPRODUCT(MOD(INT(CE162/{2,4,8,16,32,64,128,256,512,1024,2048,4096,8192,16384,32768}),2)*(1-MOD(INT(($CJ27+CD207)/{2,4,8,16,32,64,128,256,512,1024,2048,4096,8192,16384,32768}),2))*{2,4,8,16,32,64,128,256,512,1024,2048,4096,8192,16384,32768})=0,0,2^SUMPRODUCT(--(MOD(SUMPRODUCT(MOD(INT(CE162/{2,4,8,16,32,64,128,256,512,1024,2048,4096,8192,16384,32768}),2)*(1-MOD(INT(($CJ27+CD207)/{2,4,8,16,32,64,128,256,512,1024,2048,4096,8192,16384,32768}),2))*{2,4,8,16,32,64,128,256,512,1024,2048,4096,8192,16384,32768}),{2,4,8,16,32,64,128,256,512,1024,2048,4096,8192,16384,32768})=0))))</f>
        <v/>
      </c>
      <c r="CF207">
        <f>CE207+IF(AND(CF117&gt;0,COUNTIF($Y117:CE117,CF117)=0),0,IF(SUMPRODUCT(MOD(INT(CF162/{2,4,8,16,32,64,128,256,512,1024,2048,4096,8192,16384,32768}),2)*(1-MOD(INT(($CJ27+CE207)/{2,4,8,16,32,64,128,256,512,1024,2048,4096,8192,16384,32768}),2))*{2,4,8,16,32,64,128,256,512,1024,2048,4096,8192,16384,32768})=0,0,2^SUMPRODUCT(--(MOD(SUMPRODUCT(MOD(INT(CF162/{2,4,8,16,32,64,128,256,512,1024,2048,4096,8192,16384,32768}),2)*(1-MOD(INT(($CJ27+CE207)/{2,4,8,16,32,64,128,256,512,1024,2048,4096,8192,16384,32768}),2))*{2,4,8,16,32,64,128,256,512,1024,2048,4096,8192,16384,32768}),{2,4,8,16,32,64,128,256,512,1024,2048,4096,8192,16384,32768})=0))))</f>
        <v/>
      </c>
      <c r="DA207" t="n">
        <v>203</v>
      </c>
      <c r="DB207">
        <f>IF($B$37=0,"",IFERROR(TRIM(SUBSTITUTE(SUBSTITUTE(SUBSTITUTE(SUBSTITUTE(INDEX(PASTE_ALL,203,$B$37)," "," "),CHAR(9)," "),CHAR(10)," "),CHAR(13)," ")),""))</f>
        <v/>
      </c>
      <c r="DC207">
        <f>IF(AND(203&gt;HEADER_ROW,UPPER(DB207)="LEGEND"),1,0)</f>
        <v/>
      </c>
      <c r="DE207" t="n">
        <v>203</v>
      </c>
      <c r="DF207">
        <f>HEADER_ROW+$DE207</f>
        <v/>
      </c>
      <c r="DG207">
        <f>IF(AND($DF207&lt;=1000,$DF207&lt;$B$8),1,0)</f>
        <v/>
      </c>
      <c r="DH207">
        <f>IF($DG207=1,IFERROR(INDEX($DB$5:$DB$1004,$DF207),""),"")</f>
        <v/>
      </c>
      <c r="DI207">
        <f>IF(AND($DG207=1,$DH207&lt;&gt;""),IFERROR(SUBSTITUTE(SUBSTITUTE(TRIM(SUBSTITUTE(SUBSTITUTE(SUBSTITUTE(SUBSTITUTE(IFERROR(INDEX(PASTE_ALL,$DF207,1)&amp;"","")&amp;"␟"&amp;IFERROR(INDEX(PASTE_ALL,$DF207,2)&amp;"","")&amp;"␟"&amp;IFERROR(INDEX(PASTE_ALL,$DF207,3)&amp;"","")&amp;"␟"&amp;IFERROR(INDEX(PASTE_ALL,$DF207,4)&amp;"","")&amp;"␟"&amp;IFERROR(INDEX(PASTE_ALL,$DF207,5)&amp;"","")&amp;"␟"&amp;IFERROR(INDEX(PASTE_ALL,$DF207,6)&amp;"","")&amp;"␟"&amp;IFERROR(INDEX(PASTE_ALL,$DF207,7)&amp;"","")&amp;"␟"&amp;IFERROR(INDEX(PASTE_ALL,$DF207,8)&amp;"","")&amp;"␟"&amp;IFERROR(INDEX(PASTE_ALL,$DF207,9)&amp;"","")&amp;"␟"&amp;IFERROR(INDEX(PASTE_ALL,$DF207,10)&amp;"","")&amp;"␟"&amp;IFERROR(INDEX(PASTE_ALL,$DF207,11)&amp;"","")&amp;"␟"&amp;IFERROR(INDEX(PASTE_ALL,$DF207,12)&amp;"","")&amp;"␟"&amp;IFERROR(INDEX(PASTE_ALL,$DF207,13)&amp;"","")&amp;"␟"&amp;IFERROR(INDEX(PASTE_ALL,$DF207,14)&amp;"","")&amp;"␟"&amp;IFERROR(INDEX(PASTE_ALL,$DF207,15)&amp;"","")&amp;"␟"&amp;IFERROR(INDEX(PASTE_ALL,$DF207,16)&amp;"","")&amp;"␟"&amp;IFERROR(INDEX(PASTE_ALL,$DF207,17)&amp;"","")&amp;"␟"&amp;IFERROR(INDEX(PASTE_ALL,$DF207,18)&amp;"","")&amp;"␟"&amp;IFERROR(INDEX(PASTE_ALL,$DF207,19)&amp;"","")&amp;"␟"&amp;IFERROR(INDEX(PASTE_ALL,$DF207,20)&amp;"","")&amp;"␟"&amp;IFERROR(INDEX(PASTE_ALL,$DF207,21)&amp;"","")&amp;"␟"&amp;IFERROR(INDEX(PASTE_ALL,$DF207,22)&amp;"","")&amp;"␟"&amp;IFERROR(INDEX(PASTE_ALL,$DF207,23)&amp;"","")&amp;"␟"&amp;IFERROR(INDEX(PASTE_ALL,$DF207,24)&amp;"","")&amp;"␟"&amp;IFERROR(INDEX(PASTE_ALL,$DF207,25)&amp;"","")&amp;"␟"&amp;IFERROR(INDEX(PASTE_ALL,$DF207,26)&amp;"","")&amp;"␟"&amp;IFERROR(INDEX(PASTE_ALL,$DF207,27)&amp;"","")&amp;"␟"&amp;IFERROR(INDEX(PASTE_ALL,$DF207,28)&amp;"","")&amp;"␟"&amp;IFERROR(INDEX(PASTE_ALL,$DF207,29)&amp;"","")&amp;"␟"&amp;IFERROR(INDEX(PASTE_ALL,$DF207,30)&amp;"","")&amp;"␟"&amp;IFERROR(INDEX(PASTE_ALL,$DF207,31)&amp;"","")&amp;"␟"&amp;IFERROR(INDEX(PASTE_ALL,$DF207,32)&amp;"","")&amp;"␟"&amp;IFERROR(INDEX(PASTE_ALL,$DF207,33)&amp;"","")&amp;"␟"&amp;IFERROR(INDEX(PASTE_ALL,$DF207,34)&amp;"","")&amp;"␟"&amp;IFERROR(INDEX(PASTE_ALL,$DF207,35)&amp;"","")&amp;"␟"&amp;IFERROR(INDEX(PASTE_ALL,$DF207,36)&amp;"","")&amp;"␟"&amp;IFERROR(INDEX(PASTE_ALL,$DF207,37)&amp;"","")&amp;"␟"&amp;IFERROR(INDEX(PASTE_ALL,$DF207,38)&amp;"","")&amp;"␟"&amp;IFERROR(INDEX(PASTE_ALL,$DF207,39)&amp;"","")&amp;"␟"&amp;IFERROR(INDEX(PASTE_ALL,$DF207,40)&amp;"","")&amp;"␟"&amp;IFERROR(INDEX(PASTE_ALL,$DF207,41)&amp;"","")&amp;"␟"&amp;IFERROR(INDEX(PASTE_ALL,$DF207,42)&amp;"","")&amp;"␟"&amp;IFERROR(INDEX(PASTE_ALL,$DF207,43)&amp;"","")&amp;"␟"&amp;IFERROR(INDEX(PASTE_ALL,$DF207,44)&amp;"","")&amp;"␟"&amp;IFERROR(INDEX(PASTE_ALL,$DF207,45)&amp;"","")&amp;"␟"&amp;IFERROR(INDEX(PASTE_ALL,$DF207,46)&amp;"","")&amp;"␟"&amp;IFERROR(INDEX(PASTE_ALL,$DF207,47)&amp;"","")&amp;"␟"&amp;IFERROR(INDEX(PASTE_ALL,$DF207,48)&amp;"","")&amp;"␟"&amp;IFERROR(INDEX(PASTE_ALL,$DF207,49)&amp;"","")&amp;"␟"&amp;IFERROR(INDEX(PASTE_ALL,$DF207,50)&amp;"","")&amp;"␟"&amp;IFERROR(INDEX(PASTE_ALL,$DF207,51)&amp;"","")&amp;"␟"&amp;IFERROR(INDEX(PASTE_ALL,$DF207,52)&amp;"","")&amp;"␟"&amp;IFERROR(INDEX(PASTE_ALL,$DF207,53)&amp;"","")&amp;"␟"&amp;IFERROR(INDEX(PASTE_ALL,$DF207,54)&amp;"","")&amp;"␟"&amp;IFERROR(INDEX(PASTE_ALL,$DF207,55)&amp;"","")&amp;"␟"&amp;IFERROR(INDEX(PASTE_ALL,$DF207,56)&amp;"","")&amp;"␟"&amp;IFERROR(INDEX(PASTE_ALL,$DF207,57)&amp;"","")&amp;"␟"&amp;IFERROR(INDEX(PASTE_ALL,$DF207,58)&amp;"","")&amp;"␟"&amp;IFERROR(INDEX(PASTE_ALL,$DF207,59)&amp;"","")&amp;"␟"&amp;IFERROR(INDEX(PASTE_ALL,$DF207,60)&amp;"","")," "," "),CHAR(9)," "),CHAR(10)," "),CHAR(13)," "))," ␟","␟"),"␟ ","␟"),"#"&amp;$DE207),"")</f>
        <v/>
      </c>
      <c r="DJ207">
        <f>IF($DI207="",0,IF(SUMPRODUCT(--EXACT($DI$4:DI206,$DI207))&gt;0,1,0))</f>
        <v/>
      </c>
      <c r="DK207">
        <f>IF(AND($DI207&lt;&gt;"",$DJ207=0),1,0)</f>
        <v/>
      </c>
      <c r="DL207">
        <f>DL206+$DK207</f>
        <v/>
      </c>
      <c r="DM207">
        <f>IF(AND($DK207=1,$DL207&lt;=600),1,0)</f>
        <v/>
      </c>
      <c r="DN207">
        <f>IF($DM207=0,"",IF($L$6=0,"",IFERROR(IF(ISNUMBER(INDEX(PASTE_ALL,$DF207,$L$6)),INDEX(PASTE_ALL,$DF207,$L$6),TRIM(SUBSTITUTE(SUBSTITUTE(SUBSTITUTE(SUBSTITUTE(INDEX(PASTE_ALL,$DF207,$L$6)," "," "),CHAR(9)," "),CHAR(10)," "),CHAR(13)," "))),"")))</f>
        <v/>
      </c>
      <c r="DO207">
        <f>IF($DM207=0,"",IF($L$7=0,"",IFERROR(IF(ISNUMBER(INDEX(PASTE_ALL,$DF207,$L$7)),INDEX(PASTE_ALL,$DF207,$L$7),TRIM(SUBSTITUTE(SUBSTITUTE(SUBSTITUTE(SUBSTITUTE(INDEX(PASTE_ALL,$DF207,$L$7)," "," "),CHAR(9)," "),CHAR(10)," "),CHAR(13)," "))),"")))</f>
        <v/>
      </c>
      <c r="DP207">
        <f>IF($DM207=0,"",IF($L$8=0,"",IFERROR(IF(ISNUMBER(INDEX(PASTE_ALL,$DF207,$L$8)),INDEX(PASTE_ALL,$DF207,$L$8),TRIM(SUBSTITUTE(SUBSTITUTE(SUBSTITUTE(SUBSTITUTE(INDEX(PASTE_ALL,$DF207,$L$8)," "," "),CHAR(9)," "),CHAR(10)," "),CHAR(13)," "))),"")))</f>
        <v/>
      </c>
      <c r="DQ207">
        <f>IF($DM207=0,"",IF($L$9=0,"",IFERROR(IF(ISNUMBER(INDEX(PASTE_ALL,$DF207,$L$9)),INDEX(PASTE_ALL,$DF207,$L$9),TRIM(SUBSTITUTE(SUBSTITUTE(SUBSTITUTE(SUBSTITUTE(INDEX(PASTE_ALL,$DF207,$L$9)," "," "),CHAR(9)," "),CHAR(10)," "),CHAR(13)," "))),"")))</f>
        <v/>
      </c>
      <c r="DR207">
        <f>IF($DM207=0,"",IF($L$10=0,"",IFERROR(IF(ISNUMBER(INDEX(PASTE_ALL,$DF207,$L$10)),INDEX(PASTE_ALL,$DF207,$L$10),TRIM(SUBSTITUTE(SUBSTITUTE(SUBSTITUTE(SUBSTITUTE(INDEX(PASTE_ALL,$DF207,$L$10)," "," "),CHAR(9)," "),CHAR(10)," "),CHAR(13)," "))),"")))</f>
        <v/>
      </c>
      <c r="DS207">
        <f>IF($DM207=0,"",IF($L$11=0,"",IFERROR(IF(ISNUMBER(INDEX(PASTE_ALL,$DF207,$L$11)),INDEX(PASTE_ALL,$DF207,$L$11),TRIM(SUBSTITUTE(SUBSTITUTE(SUBSTITUTE(SUBSTITUTE(INDEX(PASTE_ALL,$DF207,$L$11)," "," "),CHAR(9)," "),CHAR(10)," "),CHAR(13)," "))),"")))</f>
        <v/>
      </c>
      <c r="DT207">
        <f>IF($DM207=0,"",IF($L$12=0,"",IFERROR(IF(ISNUMBER(INDEX(PASTE_ALL,$DF207,$L$12)),INDEX(PASTE_ALL,$DF207,$L$12),TRIM(SUBSTITUTE(SUBSTITUTE(SUBSTITUTE(SUBSTITUTE(INDEX(PASTE_ALL,$DF207,$L$12)," "," "),CHAR(9)," "),CHAR(10)," "),CHAR(13)," "))),"")))</f>
        <v/>
      </c>
      <c r="DU207">
        <f>IF($DM207=0,"",IF($L$13=0,"",IFERROR(IF(ISNUMBER(INDEX(PASTE_ALL,$DF207,$L$13)),INDEX(PASTE_ALL,$DF207,$L$13),TRIM(SUBSTITUTE(SUBSTITUTE(SUBSTITUTE(SUBSTITUTE(INDEX(PASTE_ALL,$DF207,$L$13)," "," "),CHAR(9)," "),CHAR(10)," "),CHAR(13)," "))),"")))</f>
        <v/>
      </c>
      <c r="DV207">
        <f>IF($DM207=0,"",IF($L$14=0,"",IFERROR(IF(ISNUMBER(INDEX(PASTE_ALL,$DF207,$L$14)),INDEX(PASTE_ALL,$DF207,$L$14),TRIM(SUBSTITUTE(SUBSTITUTE(SUBSTITUTE(SUBSTITUTE(INDEX(PASTE_ALL,$DF207,$L$14)," "," "),CHAR(9)," "),CHAR(10)," "),CHAR(13)," "))),"")))</f>
        <v/>
      </c>
      <c r="DW207">
        <f>IF($DM207=0,"",IF($L$15=0,"",IFERROR(IF(ISNUMBER(INDEX(PASTE_ALL,$DF207,$L$15)),INDEX(PASTE_ALL,$DF207,$L$15),IF(SUMPRODUCT(--ISNUMBER(FIND({"A","B","C","D","E","F","G","H","I","J","K","L","M","N","O","P","Q","R","S","T","U","V","W","X","Y","Z","0","1","2","3","4","5","6","7","8","9"},UPPER(TRIM(SUBSTITUTE(SUBSTITUTE(SUBSTITUTE(SUBSTITUTE(INDEX(PASTE_ALL,$DF207,$L$15)," "," "),CHAR(9)," "),CHAR(10)," "),CHAR(13)," "))))))&gt;0,TRIM(SUBSTITUTE(SUBSTITUTE(SUBSTITUTE(SUBSTITUTE(INDEX(PASTE_ALL,$DF207,$L$15)," "," "),CHAR(9)," "),CHAR(10)," "),CHAR(13)," ")),"")),"")))</f>
        <v/>
      </c>
      <c r="DX207">
        <f>IF($DM207=0,"",IF($L$16=0,"",IFERROR(IF(ISNUMBER(INDEX(PASTE_ALL,$DF207,$L$16)),INDEX(PASTE_ALL,$DF207,$L$16),SUBSTITUTE(SUBSTITUTE(TRIM(SUBSTITUTE(SUBSTITUTE(SUBSTITUTE(SUBSTITUTE(INDEX(PASTE_ALL,$DF207,$L$16)," "," "),CHAR(9)," "),CHAR(10)," "),CHAR(13)," ")),",",""),"%","")),"")))</f>
        <v/>
      </c>
      <c r="DY207">
        <f>IF($DM207=0,"",IFERROR(IF(ISNUMBER($DX207),$DX207,IF($DX207="","",IF(TRIM($DX207)="",0,IF(AND(AND(SUBSTITUTE(SUBSTITUTE(SUBSTITUTE(SUBSTITUTE(SUBSTITUTE(SUBSTITUTE(SUBSTITUTE(SUBSTITUTE(SUBSTITUTE(SUBSTITUTE(SUBSTITUTE(SUBSTITUTE(SUBSTITUTE(SUBSTITUTE(UPPER(TRIM($DX207)),"0",""),"1",""),"2",""),"3",""),"4",""),"5",""),"6",""),"7",""),"8",""),"9",""),".",""),"+",""),"-",""),"E","")="",LEN(SUBSTITUTE(SUBSTITUTE(MID(UPPER(TRIM($DX207)),1+OR(LEFT(UPPER(TRIM($DX207)),1)="+",LEFT(UPPER(TRIM($DX207)),1)="-"),999),"E+","E"),"E-","E"))=LEN(SUBSTITUTE(SUBSTITUTE(SUBSTITUTE(SUBSTITUTE(MID(UPPER(TRIM($DX207)),1+OR(LEFT(UPPER(TRIM($DX207)),1)="+",LEFT(UPPER(TRIM($DX207)),1)="-"),999),"E+","E"),"E-","E"),"+",""),"-","")),LEN(UPPER(TRIM($DX207)))-LEN(SUBSTITUTE(UPPER(TRIM($DX207)),"E",""))&lt;2,LEN(UPPER(TRIM($DX207)))-LEN(SUBSTITUTE(UPPER(TRIM($DX207)),".",""))&lt;2,IFERROR(FIND(".",UPPER(TRIM($DX207))),0)&lt;IFERROR(FIND("E",UPPER(TRIM($DX207))),999)),ISNUMBER(VALUE(TRIM($DX207)))),VALUE(TRIM($DX207)),"")))),""))</f>
        <v/>
      </c>
      <c r="DZ207">
        <f>IF($DM207=0,"",IF($L$17=0,"",IFERROR(IF(ISNUMBER(INDEX(PASTE_ALL,$DF207,$L$17)),INDEX(PASTE_ALL,$DF207,$L$17),SUBSTITUTE(SUBSTITUTE(TRIM(SUBSTITUTE(SUBSTITUTE(SUBSTITUTE(SUBSTITUTE(INDEX(PASTE_ALL,$DF207,$L$17)," "," "),CHAR(9)," "),CHAR(10)," "),CHAR(13)," ")),",",""),"%","")),"")))</f>
        <v/>
      </c>
      <c r="EA207">
        <f>IF($DM207=0,"",IFERROR(IF(ISNUMBER($DZ207),$DZ207,IF($DZ207="","",IF(TRIM($DZ207)="",0,IF(AND(AND(SUBSTITUTE(SUBSTITUTE(SUBSTITUTE(SUBSTITUTE(SUBSTITUTE(SUBSTITUTE(SUBSTITUTE(SUBSTITUTE(SUBSTITUTE(SUBSTITUTE(SUBSTITUTE(SUBSTITUTE(SUBSTITUTE(SUBSTITUTE(UPPER(TRIM($DZ207)),"0",""),"1",""),"2",""),"3",""),"4",""),"5",""),"6",""),"7",""),"8",""),"9",""),".",""),"+",""),"-",""),"E","")="",LEN(SUBSTITUTE(SUBSTITUTE(MID(UPPER(TRIM($DZ207)),1+OR(LEFT(UPPER(TRIM($DZ207)),1)="+",LEFT(UPPER(TRIM($DZ207)),1)="-"),999),"E+","E"),"E-","E"))=LEN(SUBSTITUTE(SUBSTITUTE(SUBSTITUTE(SUBSTITUTE(MID(UPPER(TRIM($DZ207)),1+OR(LEFT(UPPER(TRIM($DZ207)),1)="+",LEFT(UPPER(TRIM($DZ207)),1)="-"),999),"E+","E"),"E-","E"),"+",""),"-","")),LEN(UPPER(TRIM($DZ207)))-LEN(SUBSTITUTE(UPPER(TRIM($DZ207)),"E",""))&lt;2,LEN(UPPER(TRIM($DZ207)))-LEN(SUBSTITUTE(UPPER(TRIM($DZ207)),".",""))&lt;2,IFERROR(FIND(".",UPPER(TRIM($DZ207))),0)&lt;IFERROR(FIND("E",UPPER(TRIM($DZ207))),999)),ISNUMBER(VALUE(TRIM($DZ207)))),VALUE(TRIM($DZ207)),"")))),""))</f>
        <v/>
      </c>
      <c r="EB207">
        <f>IF($DM207=0,"",IF($L$18=0,"",IFERROR(IF(UPPER(TRIM(SUBSTITUTE(SUBSTITUTE(SUBSTITUTE(SUBSTITUTE(INDEX(PASTE_ALL,$DF207,$L$18)," "," "),CHAR(9)," "),CHAR(10)," "),CHAR(13)," ")))="READY","Ready",IF(UPPER(TRIM(SUBSTITUTE(SUBSTITUTE(SUBSTITUTE(SUBSTITUTE(INDEX(PASTE_ALL,$DF207,$L$18)," "," "),CHAR(9)," "),CHAR(10)," "),CHAR(13)," ")))="PM","PM",IF(OR(UPPER(TRIM(SUBSTITUTE(SUBSTITUTE(SUBSTITUTE(SUBSTITUTE(INDEX(PASTE_ALL,$DF207,$L$18)," "," "),CHAR(9)," "),CHAR(10)," "),CHAR(13)," ")))="OT",UPPER(TRIM(SUBSTITUTE(SUBSTITUTE(SUBSTITUTE(SUBSTITUTE(INDEX(PASTE_ALL,$DF207,$L$18)," "," "),CHAR(9)," "),CHAR(10)," "),CHAR(13)," ")))="OVERTIME",UPPER(TRIM(SUBSTITUTE(SUBSTITUTE(SUBSTITUTE(SUBSTITUTE(INDEX(PASTE_ALL,$DF207,$L$18)," "," "),CHAR(9)," "),CHAR(10)," "),CHAR(13)," ")))="TRIAL"),"OT",TRIM(SUBSTITUTE(SUBSTITUTE(SUBSTITUTE(SUBSTITUTE(INDEX(PASTE_ALL,$DF207,$L$18)," "," "),CHAR(9)," "),CHAR(10)," "),CHAR(13)," "))))),"")))</f>
        <v/>
      </c>
      <c r="EC207">
        <f>IF($DM207=0,"",IF($L$19=0,"",IFERROR(IF(ISNUMBER(INDEX(PASTE_ALL,$DF207,$L$19)),INDEX(PASTE_ALL,$DF207,$L$19),TRIM(SUBSTITUTE(SUBSTITUTE(SUBSTITUTE(SUBSTITUTE(INDEX(PASTE_ALL,$DF207,$L$19)," "," "),CHAR(9)," "),CHAR(10)," "),CHAR(13)," "))),"")))</f>
        <v/>
      </c>
      <c r="ED207">
        <f>IF($DM207=0,"",MATCH(1,INDEX(EXACT($DH$5:DH207,$DH207)*$DM$5:DM207,0),0))</f>
        <v/>
      </c>
      <c r="EE207">
        <f>IF($DM207=0,0,IF($ED207=$DE207,1,0))</f>
        <v/>
      </c>
      <c r="EF207">
        <f>EF206+$EE207</f>
        <v/>
      </c>
      <c r="EG207">
        <f>IF($DM207=0,"",INDEX($EF$5:$EF$1003,$ED207))</f>
        <v/>
      </c>
      <c r="EH207">
        <f>IF($DM207=0,"",IF($DO207&lt;&gt;"","",IFERROR(LOOKUP(2,1/(($EG$4:EG206=$EG207)*($DO$4:DO206&lt;&gt;"")),$DO$4:DO206),"")))</f>
        <v/>
      </c>
      <c r="EI207">
        <f>IF($DM207=0,"",IF($DO207&lt;&gt;"",$DO207,$EH207))</f>
        <v/>
      </c>
      <c r="EJ207">
        <f>IF($DM207=0,"",IF($EI207="",0,IF(OR(ISNUMBER($EI207),AND(AND(SUBSTITUTE(SUBSTITUTE(SUBSTITUTE(SUBSTITUTE(SUBSTITUTE(SUBSTITUTE(SUBSTITUTE(SUBSTITUTE(SUBSTITUTE(SUBSTITUTE(SUBSTITUTE(SUBSTITUTE(SUBSTITUTE(SUBSTITUTE(UPPER($EI207),"0",""),"1",""),"2",""),"3",""),"4",""),"5",""),"6",""),"7",""),"8",""),"9",""),".",""),"+",""),"-",""),"E","")="",LEN(SUBSTITUTE(SUBSTITUTE(MID(UPPER($EI207),1+OR(LEFT(UPPER($EI207),1)="+",LEFT(UPPER($EI207),1)="-"),999),"E+","E"),"E-","E"))=LEN(SUBSTITUTE(SUBSTITUTE(SUBSTITUTE(SUBSTITUTE(MID(UPPER($EI207),1+OR(LEFT(UPPER($EI207),1)="+",LEFT(UPPER($EI207),1)="-"),999),"E+","E"),"E-","E"),"+",""),"-","")),LEN(UPPER($EI207))-LEN(SUBSTITUTE(UPPER($EI207),"E",""))&lt;2,LEN(UPPER($EI207))-LEN(SUBSTITUTE(UPPER($EI207),".",""))&lt;2,IFERROR(FIND(".",UPPER($EI207)),0)&lt;IFERROR(FIND("E",UPPER($EI207)),999)),ISNUMBER(VALUE($EI207)))),1,2)))</f>
        <v/>
      </c>
      <c r="EK207">
        <f>IF($DM207=0,"",IF($EJ207=1,IF(ISNUMBER($EI207),$EI207,VALUE($EI207)),IF($EJ207=2,$DE207,0)))</f>
        <v/>
      </c>
      <c r="EL207">
        <f>IF($DM207=0,"",COUNTIF($EG$5:$EG$1003,"&lt;"&amp;$EG207)+SUMPRODUCT(($EG$5:$EG$1003=$EG207)*(($EJ$5:$EJ$1003&lt;$EJ207)+($EJ$5:$EJ$1003=$EJ207)*(($EK$5:$EK$1003&lt;$EK207)+($EK$5:$EK$1003=$EK207)*($DE$5:$DE$1003&lt;$DE207))))+1)</f>
        <v/>
      </c>
      <c r="EM207">
        <f>IF($DM207=0,"",$EL207+$EG207-1)</f>
        <v/>
      </c>
      <c r="EN207">
        <f>IF($DM207=0,0,IFERROR(MATCH(1,INDEX(--(TRIM(SUBSTITUTE(SUBSTITUTE(SUBSTITUTE(SUBSTITUTE(LINES_NAME&amp;""," "," "),CHAR(9)," "),CHAR(10)," "),CHAR(13)," "))=$DH207),0),0),0))</f>
        <v/>
      </c>
      <c r="EO207">
        <f>IF($EN207=0,0,IF(OR(UPPER(TRIM(INDEX(LINES_SCHEDULED,$EN207)&amp;""))="YES",UPPER(TRIM(INDEX(LINES_SCHEDULED,$EN207)&amp;""))="Y",UPPER(TRIM(INDEX(LINES_SCHEDULED,$EN207)&amp;""))="X"),1,0))</f>
        <v/>
      </c>
      <c r="EP207">
        <f>IF($DM207=0,"",IF(COUNTIFS($EG$5:$EG$1003,$EG207,$EB$5:$EB$1003,"Ready")&gt;0,"READY",IF(COUNTIFS($EG$5:$EG$1003,$EG207,$EB$5:$EB$1003,"PM")&gt;0,"PM",IF(COUNTIFS($EG$5:$EG$1003,$EG207,$EB$5:$EB$1003,"OT")&gt;0,"OT",""))))</f>
        <v/>
      </c>
      <c r="EQ207">
        <f>IF($EN207=0,"",UPPER(TRIM(INDEX(LINES_STATUS,$EN207)&amp;"")))</f>
        <v/>
      </c>
      <c r="ER207">
        <f>IF($DM207=0,"",IF(OR($EQ207="READY",$EQ207="PM",$EQ207="OT"),$EQ207,$EP207))</f>
        <v/>
      </c>
      <c r="ES207">
        <f>IF($DM207=0,"",IF(AND($DV207&lt;&gt;"",UPPER($DV207)&lt;&gt;"N"),"allergen",IF(ISNUMBER(SEARCH("oil",$DQ207)),"oil",IF(OR(EXACT($DS207,"A662"),EXACT($DS207,"A624")),"bulk",""))))</f>
        <v/>
      </c>
      <c r="ET207">
        <f>IF($DM207=0,"",IF(OR($EA207="",$EA207=0),"",$EA207/100))</f>
        <v/>
      </c>
      <c r="EU207">
        <f>IF(OR($ET207="",$DY207=""),"",INT($DY207*(1-$ET207)+0.5))</f>
        <v/>
      </c>
      <c r="EW207" t="n">
        <v>203</v>
      </c>
      <c r="EX207">
        <f>IFERROR(MATCH($EW207,$EM$5:$EM$1003,0),0)</f>
        <v/>
      </c>
      <c r="EY207">
        <f>IF($EW207&gt;$B$12,"",IF($EX207&gt;0,"row","spacer"))</f>
        <v/>
      </c>
      <c r="EZ207">
        <f>IF(AND($EY207="row",$EY206&lt;&gt;"row"),1,0)</f>
        <v/>
      </c>
      <c r="FA207">
        <f>IF(AND($EY207="row",$EY208&lt;&gt;"row"),1,0)</f>
        <v/>
      </c>
      <c r="FB207">
        <f>IF($EZ207=1,IFERROR(IF(ISNUMBER(INDEX(PASTE_ALL,INDEX($DF$5:$DF$1003,$EX207),$B$37)),INDEX(PASTE_ALL,INDEX($DF$5:$DF$1003,$EX207),$B$37),INDEX($DH$5:$DH$1003,$EX207)),INDEX($DH$5:$DH$1003,$EX207)),"")</f>
        <v/>
      </c>
      <c r="FC207">
        <f>IF($EY207="row",INDEX($ER$5:$ER$1003,$EX207),"")</f>
        <v/>
      </c>
      <c r="FD207">
        <f>IF($EY207="row",INDEX($DN$5:$DN$1003,$EX207),"")</f>
        <v/>
      </c>
      <c r="FE207">
        <f>IF($EY207="row",INDEX($DO$5:$DO$1003,$EX207),"")</f>
        <v/>
      </c>
      <c r="FF207">
        <f>IF($EY207="row",INDEX($DP$5:$DP$1003,$EX207),"")</f>
        <v/>
      </c>
      <c r="FG207">
        <f>IF($EY207="row",INDEX($DQ$5:$DQ$1003,$EX207),"")</f>
        <v/>
      </c>
      <c r="FH207">
        <f>IF($EY207="row",INDEX($DR$5:$DR$1003,$EX207),"")</f>
        <v/>
      </c>
      <c r="FI207">
        <f>IF($EY207="row",INDEX($DS$5:$DS$1003,$EX207),"")</f>
        <v/>
      </c>
      <c r="FJ207">
        <f>IF($EY207="row",INDEX($DT$5:$DT$1003,$EX207),"")</f>
        <v/>
      </c>
      <c r="FK207">
        <f>IF($EY207="row",INDEX($DU$5:$DU$1003,$EX207),"")</f>
        <v/>
      </c>
      <c r="FL207">
        <f>IF($EY207="row",INDEX($DV$5:$DV$1003,$EX207),"")</f>
        <v/>
      </c>
      <c r="FM207">
        <f>IF($EY207="row",INDEX($DW$5:$DW$1003,$EX207),"")</f>
        <v/>
      </c>
      <c r="FN207">
        <f>IF($EY207="row",INDEX($DY$5:$DY$1003,$EX207),"")</f>
        <v/>
      </c>
      <c r="FO207">
        <f>IF($EY207="row",INDEX($EA$5:$EA$1003,$EX207),"")</f>
        <v/>
      </c>
      <c r="FP207">
        <f>IF($EY207="row",INDEX($EC$5:$EC$1003,$EX207),"")</f>
        <v/>
      </c>
      <c r="FQ207">
        <f>IF($EY207="row",INDEX($ET$5:$ET$1003,$EX207),"")</f>
        <v/>
      </c>
      <c r="FR207">
        <f>IF($EY207="row",INDEX($EU$5:$EU$1003,$EX207),"")</f>
        <v/>
      </c>
      <c r="FS207">
        <f>IF(AND($EY207="row",$EY206="row"),IF(OR(INDEX($DT$5:$DT$1003,$EX206)="",INDEX($DT$5:$DT$1003,$EX207)=""),"",IF(NOT(EXACT(INDEX($DT$5:$DT$1003,$EX206),INDEX($DT$5:$DT$1003,$EX207))),"S4",IF(NOT(EXACT(INDEX($DS$5:$DS$1003,$EX206),INDEX($DS$5:$DS$1003,$EX207))),"S3",IF(NOT(EXACT(INDEX($DR$5:$DR$1003,$EX206),INDEX($DR$5:$DR$1003,$EX207))),"S1 Count Change","S1")))),"")</f>
        <v/>
      </c>
      <c r="FT207">
        <f>IF($EY207="row",INDEX($ES$5:$ES$1003,$EX207),"")</f>
        <v/>
      </c>
      <c r="FU207">
        <f>IF($EY207="row",INDEX($EO$5:$EO$1003,$EX207),0)</f>
        <v/>
      </c>
      <c r="FV207">
        <f>IF($FS207="S1 Count Change",1,0)</f>
        <v/>
      </c>
    </row>
    <row r="208">
      <c r="Y208">
        <f>0+IF(Y118&gt;0,0,IF(SUMPRODUCT(MOD(INT(Y163/{2,4,8,16,32,64,128,256,512,1024,2048,4096,8192,16384,32768}),2)*(1-MOD(INT(($CJ28+0)/{2,4,8,16,32,64,128,256,512,1024,2048,4096,8192,16384,32768}),2))*{2,4,8,16,32,64,128,256,512,1024,2048,4096,8192,16384,32768})=0,0,2^SUMPRODUCT(--(MOD(SUMPRODUCT(MOD(INT(Y163/{2,4,8,16,32,64,128,256,512,1024,2048,4096,8192,16384,32768}),2)*(1-MOD(INT(($CJ28+0)/{2,4,8,16,32,64,128,256,512,1024,2048,4096,8192,16384,32768}),2))*{2,4,8,16,32,64,128,256,512,1024,2048,4096,8192,16384,32768}),{2,4,8,16,32,64,128,256,512,1024,2048,4096,8192,16384,32768})=0))))</f>
        <v/>
      </c>
      <c r="Z208">
        <f>Y208+IF(AND(Z118&gt;0,COUNTIF($Y118:Y118,Z118)=0),0,IF(SUMPRODUCT(MOD(INT(Z163/{2,4,8,16,32,64,128,256,512,1024,2048,4096,8192,16384,32768}),2)*(1-MOD(INT(($CJ28+Y208)/{2,4,8,16,32,64,128,256,512,1024,2048,4096,8192,16384,32768}),2))*{2,4,8,16,32,64,128,256,512,1024,2048,4096,8192,16384,32768})=0,0,2^SUMPRODUCT(--(MOD(SUMPRODUCT(MOD(INT(Z163/{2,4,8,16,32,64,128,256,512,1024,2048,4096,8192,16384,32768}),2)*(1-MOD(INT(($CJ28+Y208)/{2,4,8,16,32,64,128,256,512,1024,2048,4096,8192,16384,32768}),2))*{2,4,8,16,32,64,128,256,512,1024,2048,4096,8192,16384,32768}),{2,4,8,16,32,64,128,256,512,1024,2048,4096,8192,16384,32768})=0))))</f>
        <v/>
      </c>
      <c r="AA208">
        <f>Z208+IF(AND(AA118&gt;0,COUNTIF($Y118:Z118,AA118)=0),0,IF(SUMPRODUCT(MOD(INT(AA163/{2,4,8,16,32,64,128,256,512,1024,2048,4096,8192,16384,32768}),2)*(1-MOD(INT(($CJ28+Z208)/{2,4,8,16,32,64,128,256,512,1024,2048,4096,8192,16384,32768}),2))*{2,4,8,16,32,64,128,256,512,1024,2048,4096,8192,16384,32768})=0,0,2^SUMPRODUCT(--(MOD(SUMPRODUCT(MOD(INT(AA163/{2,4,8,16,32,64,128,256,512,1024,2048,4096,8192,16384,32768}),2)*(1-MOD(INT(($CJ28+Z208)/{2,4,8,16,32,64,128,256,512,1024,2048,4096,8192,16384,32768}),2))*{2,4,8,16,32,64,128,256,512,1024,2048,4096,8192,16384,32768}),{2,4,8,16,32,64,128,256,512,1024,2048,4096,8192,16384,32768})=0))))</f>
        <v/>
      </c>
      <c r="AB208">
        <f>AA208+IF(AND(AB118&gt;0,COUNTIF($Y118:AA118,AB118)=0),0,IF(SUMPRODUCT(MOD(INT(AB163/{2,4,8,16,32,64,128,256,512,1024,2048,4096,8192,16384,32768}),2)*(1-MOD(INT(($CJ28+AA208)/{2,4,8,16,32,64,128,256,512,1024,2048,4096,8192,16384,32768}),2))*{2,4,8,16,32,64,128,256,512,1024,2048,4096,8192,16384,32768})=0,0,2^SUMPRODUCT(--(MOD(SUMPRODUCT(MOD(INT(AB163/{2,4,8,16,32,64,128,256,512,1024,2048,4096,8192,16384,32768}),2)*(1-MOD(INT(($CJ28+AA208)/{2,4,8,16,32,64,128,256,512,1024,2048,4096,8192,16384,32768}),2))*{2,4,8,16,32,64,128,256,512,1024,2048,4096,8192,16384,32768}),{2,4,8,16,32,64,128,256,512,1024,2048,4096,8192,16384,32768})=0))))</f>
        <v/>
      </c>
      <c r="AC208">
        <f>AB208+IF(AND(AC118&gt;0,COUNTIF($Y118:AB118,AC118)=0),0,IF(SUMPRODUCT(MOD(INT(AC163/{2,4,8,16,32,64,128,256,512,1024,2048,4096,8192,16384,32768}),2)*(1-MOD(INT(($CJ28+AB208)/{2,4,8,16,32,64,128,256,512,1024,2048,4096,8192,16384,32768}),2))*{2,4,8,16,32,64,128,256,512,1024,2048,4096,8192,16384,32768})=0,0,2^SUMPRODUCT(--(MOD(SUMPRODUCT(MOD(INT(AC163/{2,4,8,16,32,64,128,256,512,1024,2048,4096,8192,16384,32768}),2)*(1-MOD(INT(($CJ28+AB208)/{2,4,8,16,32,64,128,256,512,1024,2048,4096,8192,16384,32768}),2))*{2,4,8,16,32,64,128,256,512,1024,2048,4096,8192,16384,32768}),{2,4,8,16,32,64,128,256,512,1024,2048,4096,8192,16384,32768})=0))))</f>
        <v/>
      </c>
      <c r="AD208">
        <f>AC208+IF(AND(AD118&gt;0,COUNTIF($Y118:AC118,AD118)=0),0,IF(SUMPRODUCT(MOD(INT(AD163/{2,4,8,16,32,64,128,256,512,1024,2048,4096,8192,16384,32768}),2)*(1-MOD(INT(($CJ28+AC208)/{2,4,8,16,32,64,128,256,512,1024,2048,4096,8192,16384,32768}),2))*{2,4,8,16,32,64,128,256,512,1024,2048,4096,8192,16384,32768})=0,0,2^SUMPRODUCT(--(MOD(SUMPRODUCT(MOD(INT(AD163/{2,4,8,16,32,64,128,256,512,1024,2048,4096,8192,16384,32768}),2)*(1-MOD(INT(($CJ28+AC208)/{2,4,8,16,32,64,128,256,512,1024,2048,4096,8192,16384,32768}),2))*{2,4,8,16,32,64,128,256,512,1024,2048,4096,8192,16384,32768}),{2,4,8,16,32,64,128,256,512,1024,2048,4096,8192,16384,32768})=0))))</f>
        <v/>
      </c>
      <c r="AE208">
        <f>AD208+IF(AND(AE118&gt;0,COUNTIF($Y118:AD118,AE118)=0),0,IF(SUMPRODUCT(MOD(INT(AE163/{2,4,8,16,32,64,128,256,512,1024,2048,4096,8192,16384,32768}),2)*(1-MOD(INT(($CJ28+AD208)/{2,4,8,16,32,64,128,256,512,1024,2048,4096,8192,16384,32768}),2))*{2,4,8,16,32,64,128,256,512,1024,2048,4096,8192,16384,32768})=0,0,2^SUMPRODUCT(--(MOD(SUMPRODUCT(MOD(INT(AE163/{2,4,8,16,32,64,128,256,512,1024,2048,4096,8192,16384,32768}),2)*(1-MOD(INT(($CJ28+AD208)/{2,4,8,16,32,64,128,256,512,1024,2048,4096,8192,16384,32768}),2))*{2,4,8,16,32,64,128,256,512,1024,2048,4096,8192,16384,32768}),{2,4,8,16,32,64,128,256,512,1024,2048,4096,8192,16384,32768})=0))))</f>
        <v/>
      </c>
      <c r="AF208">
        <f>AE208+IF(AND(AF118&gt;0,COUNTIF($Y118:AE118,AF118)=0),0,IF(SUMPRODUCT(MOD(INT(AF163/{2,4,8,16,32,64,128,256,512,1024,2048,4096,8192,16384,32768}),2)*(1-MOD(INT(($CJ28+AE208)/{2,4,8,16,32,64,128,256,512,1024,2048,4096,8192,16384,32768}),2))*{2,4,8,16,32,64,128,256,512,1024,2048,4096,8192,16384,32768})=0,0,2^SUMPRODUCT(--(MOD(SUMPRODUCT(MOD(INT(AF163/{2,4,8,16,32,64,128,256,512,1024,2048,4096,8192,16384,32768}),2)*(1-MOD(INT(($CJ28+AE208)/{2,4,8,16,32,64,128,256,512,1024,2048,4096,8192,16384,32768}),2))*{2,4,8,16,32,64,128,256,512,1024,2048,4096,8192,16384,32768}),{2,4,8,16,32,64,128,256,512,1024,2048,4096,8192,16384,32768})=0))))</f>
        <v/>
      </c>
      <c r="AG208">
        <f>AF208+IF(AND(AG118&gt;0,COUNTIF($Y118:AF118,AG118)=0),0,IF(SUMPRODUCT(MOD(INT(AG163/{2,4,8,16,32,64,128,256,512,1024,2048,4096,8192,16384,32768}),2)*(1-MOD(INT(($CJ28+AF208)/{2,4,8,16,32,64,128,256,512,1024,2048,4096,8192,16384,32768}),2))*{2,4,8,16,32,64,128,256,512,1024,2048,4096,8192,16384,32768})=0,0,2^SUMPRODUCT(--(MOD(SUMPRODUCT(MOD(INT(AG163/{2,4,8,16,32,64,128,256,512,1024,2048,4096,8192,16384,32768}),2)*(1-MOD(INT(($CJ28+AF208)/{2,4,8,16,32,64,128,256,512,1024,2048,4096,8192,16384,32768}),2))*{2,4,8,16,32,64,128,256,512,1024,2048,4096,8192,16384,32768}),{2,4,8,16,32,64,128,256,512,1024,2048,4096,8192,16384,32768})=0))))</f>
        <v/>
      </c>
      <c r="AH208">
        <f>AG208+IF(AND(AH118&gt;0,COUNTIF($Y118:AG118,AH118)=0),0,IF(SUMPRODUCT(MOD(INT(AH163/{2,4,8,16,32,64,128,256,512,1024,2048,4096,8192,16384,32768}),2)*(1-MOD(INT(($CJ28+AG208)/{2,4,8,16,32,64,128,256,512,1024,2048,4096,8192,16384,32768}),2))*{2,4,8,16,32,64,128,256,512,1024,2048,4096,8192,16384,32768})=0,0,2^SUMPRODUCT(--(MOD(SUMPRODUCT(MOD(INT(AH163/{2,4,8,16,32,64,128,256,512,1024,2048,4096,8192,16384,32768}),2)*(1-MOD(INT(($CJ28+AG208)/{2,4,8,16,32,64,128,256,512,1024,2048,4096,8192,16384,32768}),2))*{2,4,8,16,32,64,128,256,512,1024,2048,4096,8192,16384,32768}),{2,4,8,16,32,64,128,256,512,1024,2048,4096,8192,16384,32768})=0))))</f>
        <v/>
      </c>
      <c r="AI208">
        <f>AH208+IF(AND(AI118&gt;0,COUNTIF($Y118:AH118,AI118)=0),0,IF(SUMPRODUCT(MOD(INT(AI163/{2,4,8,16,32,64,128,256,512,1024,2048,4096,8192,16384,32768}),2)*(1-MOD(INT(($CJ28+AH208)/{2,4,8,16,32,64,128,256,512,1024,2048,4096,8192,16384,32768}),2))*{2,4,8,16,32,64,128,256,512,1024,2048,4096,8192,16384,32768})=0,0,2^SUMPRODUCT(--(MOD(SUMPRODUCT(MOD(INT(AI163/{2,4,8,16,32,64,128,256,512,1024,2048,4096,8192,16384,32768}),2)*(1-MOD(INT(($CJ28+AH208)/{2,4,8,16,32,64,128,256,512,1024,2048,4096,8192,16384,32768}),2))*{2,4,8,16,32,64,128,256,512,1024,2048,4096,8192,16384,32768}),{2,4,8,16,32,64,128,256,512,1024,2048,4096,8192,16384,32768})=0))))</f>
        <v/>
      </c>
      <c r="AJ208">
        <f>AI208+IF(AND(AJ118&gt;0,COUNTIF($Y118:AI118,AJ118)=0),0,IF(SUMPRODUCT(MOD(INT(AJ163/{2,4,8,16,32,64,128,256,512,1024,2048,4096,8192,16384,32768}),2)*(1-MOD(INT(($CJ28+AI208)/{2,4,8,16,32,64,128,256,512,1024,2048,4096,8192,16384,32768}),2))*{2,4,8,16,32,64,128,256,512,1024,2048,4096,8192,16384,32768})=0,0,2^SUMPRODUCT(--(MOD(SUMPRODUCT(MOD(INT(AJ163/{2,4,8,16,32,64,128,256,512,1024,2048,4096,8192,16384,32768}),2)*(1-MOD(INT(($CJ28+AI208)/{2,4,8,16,32,64,128,256,512,1024,2048,4096,8192,16384,32768}),2))*{2,4,8,16,32,64,128,256,512,1024,2048,4096,8192,16384,32768}),{2,4,8,16,32,64,128,256,512,1024,2048,4096,8192,16384,32768})=0))))</f>
        <v/>
      </c>
      <c r="AK208">
        <f>AJ208+IF(AND(AK118&gt;0,COUNTIF($Y118:AJ118,AK118)=0),0,IF(SUMPRODUCT(MOD(INT(AK163/{2,4,8,16,32,64,128,256,512,1024,2048,4096,8192,16384,32768}),2)*(1-MOD(INT(($CJ28+AJ208)/{2,4,8,16,32,64,128,256,512,1024,2048,4096,8192,16384,32768}),2))*{2,4,8,16,32,64,128,256,512,1024,2048,4096,8192,16384,32768})=0,0,2^SUMPRODUCT(--(MOD(SUMPRODUCT(MOD(INT(AK163/{2,4,8,16,32,64,128,256,512,1024,2048,4096,8192,16384,32768}),2)*(1-MOD(INT(($CJ28+AJ208)/{2,4,8,16,32,64,128,256,512,1024,2048,4096,8192,16384,32768}),2))*{2,4,8,16,32,64,128,256,512,1024,2048,4096,8192,16384,32768}),{2,4,8,16,32,64,128,256,512,1024,2048,4096,8192,16384,32768})=0))))</f>
        <v/>
      </c>
      <c r="AL208">
        <f>AK208+IF(AND(AL118&gt;0,COUNTIF($Y118:AK118,AL118)=0),0,IF(SUMPRODUCT(MOD(INT(AL163/{2,4,8,16,32,64,128,256,512,1024,2048,4096,8192,16384,32768}),2)*(1-MOD(INT(($CJ28+AK208)/{2,4,8,16,32,64,128,256,512,1024,2048,4096,8192,16384,32768}),2))*{2,4,8,16,32,64,128,256,512,1024,2048,4096,8192,16384,32768})=0,0,2^SUMPRODUCT(--(MOD(SUMPRODUCT(MOD(INT(AL163/{2,4,8,16,32,64,128,256,512,1024,2048,4096,8192,16384,32768}),2)*(1-MOD(INT(($CJ28+AK208)/{2,4,8,16,32,64,128,256,512,1024,2048,4096,8192,16384,32768}),2))*{2,4,8,16,32,64,128,256,512,1024,2048,4096,8192,16384,32768}),{2,4,8,16,32,64,128,256,512,1024,2048,4096,8192,16384,32768})=0))))</f>
        <v/>
      </c>
      <c r="AM208">
        <f>AL208+IF(AND(AM118&gt;0,COUNTIF($Y118:AL118,AM118)=0),0,IF(SUMPRODUCT(MOD(INT(AM163/{2,4,8,16,32,64,128,256,512,1024,2048,4096,8192,16384,32768}),2)*(1-MOD(INT(($CJ28+AL208)/{2,4,8,16,32,64,128,256,512,1024,2048,4096,8192,16384,32768}),2))*{2,4,8,16,32,64,128,256,512,1024,2048,4096,8192,16384,32768})=0,0,2^SUMPRODUCT(--(MOD(SUMPRODUCT(MOD(INT(AM163/{2,4,8,16,32,64,128,256,512,1024,2048,4096,8192,16384,32768}),2)*(1-MOD(INT(($CJ28+AL208)/{2,4,8,16,32,64,128,256,512,1024,2048,4096,8192,16384,32768}),2))*{2,4,8,16,32,64,128,256,512,1024,2048,4096,8192,16384,32768}),{2,4,8,16,32,64,128,256,512,1024,2048,4096,8192,16384,32768})=0))))</f>
        <v/>
      </c>
      <c r="AN208">
        <f>AM208+IF(AND(AN118&gt;0,COUNTIF($Y118:AM118,AN118)=0),0,IF(SUMPRODUCT(MOD(INT(AN163/{2,4,8,16,32,64,128,256,512,1024,2048,4096,8192,16384,32768}),2)*(1-MOD(INT(($CJ28+AM208)/{2,4,8,16,32,64,128,256,512,1024,2048,4096,8192,16384,32768}),2))*{2,4,8,16,32,64,128,256,512,1024,2048,4096,8192,16384,32768})=0,0,2^SUMPRODUCT(--(MOD(SUMPRODUCT(MOD(INT(AN163/{2,4,8,16,32,64,128,256,512,1024,2048,4096,8192,16384,32768}),2)*(1-MOD(INT(($CJ28+AM208)/{2,4,8,16,32,64,128,256,512,1024,2048,4096,8192,16384,32768}),2))*{2,4,8,16,32,64,128,256,512,1024,2048,4096,8192,16384,32768}),{2,4,8,16,32,64,128,256,512,1024,2048,4096,8192,16384,32768})=0))))</f>
        <v/>
      </c>
      <c r="AO208">
        <f>AN208+IF(AND(AO118&gt;0,COUNTIF($Y118:AN118,AO118)=0),0,IF(SUMPRODUCT(MOD(INT(AO163/{2,4,8,16,32,64,128,256,512,1024,2048,4096,8192,16384,32768}),2)*(1-MOD(INT(($CJ28+AN208)/{2,4,8,16,32,64,128,256,512,1024,2048,4096,8192,16384,32768}),2))*{2,4,8,16,32,64,128,256,512,1024,2048,4096,8192,16384,32768})=0,0,2^SUMPRODUCT(--(MOD(SUMPRODUCT(MOD(INT(AO163/{2,4,8,16,32,64,128,256,512,1024,2048,4096,8192,16384,32768}),2)*(1-MOD(INT(($CJ28+AN208)/{2,4,8,16,32,64,128,256,512,1024,2048,4096,8192,16384,32768}),2))*{2,4,8,16,32,64,128,256,512,1024,2048,4096,8192,16384,32768}),{2,4,8,16,32,64,128,256,512,1024,2048,4096,8192,16384,32768})=0))))</f>
        <v/>
      </c>
      <c r="AP208">
        <f>AO208+IF(AND(AP118&gt;0,COUNTIF($Y118:AO118,AP118)=0),0,IF(SUMPRODUCT(MOD(INT(AP163/{2,4,8,16,32,64,128,256,512,1024,2048,4096,8192,16384,32768}),2)*(1-MOD(INT(($CJ28+AO208)/{2,4,8,16,32,64,128,256,512,1024,2048,4096,8192,16384,32768}),2))*{2,4,8,16,32,64,128,256,512,1024,2048,4096,8192,16384,32768})=0,0,2^SUMPRODUCT(--(MOD(SUMPRODUCT(MOD(INT(AP163/{2,4,8,16,32,64,128,256,512,1024,2048,4096,8192,16384,32768}),2)*(1-MOD(INT(($CJ28+AO208)/{2,4,8,16,32,64,128,256,512,1024,2048,4096,8192,16384,32768}),2))*{2,4,8,16,32,64,128,256,512,1024,2048,4096,8192,16384,32768}),{2,4,8,16,32,64,128,256,512,1024,2048,4096,8192,16384,32768})=0))))</f>
        <v/>
      </c>
      <c r="AQ208">
        <f>AP208+IF(AND(AQ118&gt;0,COUNTIF($Y118:AP118,AQ118)=0),0,IF(SUMPRODUCT(MOD(INT(AQ163/{2,4,8,16,32,64,128,256,512,1024,2048,4096,8192,16384,32768}),2)*(1-MOD(INT(($CJ28+AP208)/{2,4,8,16,32,64,128,256,512,1024,2048,4096,8192,16384,32768}),2))*{2,4,8,16,32,64,128,256,512,1024,2048,4096,8192,16384,32768})=0,0,2^SUMPRODUCT(--(MOD(SUMPRODUCT(MOD(INT(AQ163/{2,4,8,16,32,64,128,256,512,1024,2048,4096,8192,16384,32768}),2)*(1-MOD(INT(($CJ28+AP208)/{2,4,8,16,32,64,128,256,512,1024,2048,4096,8192,16384,32768}),2))*{2,4,8,16,32,64,128,256,512,1024,2048,4096,8192,16384,32768}),{2,4,8,16,32,64,128,256,512,1024,2048,4096,8192,16384,32768})=0))))</f>
        <v/>
      </c>
      <c r="AR208">
        <f>AQ208+IF(AND(AR118&gt;0,COUNTIF($Y118:AQ118,AR118)=0),0,IF(SUMPRODUCT(MOD(INT(AR163/{2,4,8,16,32,64,128,256,512,1024,2048,4096,8192,16384,32768}),2)*(1-MOD(INT(($CJ28+AQ208)/{2,4,8,16,32,64,128,256,512,1024,2048,4096,8192,16384,32768}),2))*{2,4,8,16,32,64,128,256,512,1024,2048,4096,8192,16384,32768})=0,0,2^SUMPRODUCT(--(MOD(SUMPRODUCT(MOD(INT(AR163/{2,4,8,16,32,64,128,256,512,1024,2048,4096,8192,16384,32768}),2)*(1-MOD(INT(($CJ28+AQ208)/{2,4,8,16,32,64,128,256,512,1024,2048,4096,8192,16384,32768}),2))*{2,4,8,16,32,64,128,256,512,1024,2048,4096,8192,16384,32768}),{2,4,8,16,32,64,128,256,512,1024,2048,4096,8192,16384,32768})=0))))</f>
        <v/>
      </c>
      <c r="AS208">
        <f>AR208+IF(AND(AS118&gt;0,COUNTIF($Y118:AR118,AS118)=0),0,IF(SUMPRODUCT(MOD(INT(AS163/{2,4,8,16,32,64,128,256,512,1024,2048,4096,8192,16384,32768}),2)*(1-MOD(INT(($CJ28+AR208)/{2,4,8,16,32,64,128,256,512,1024,2048,4096,8192,16384,32768}),2))*{2,4,8,16,32,64,128,256,512,1024,2048,4096,8192,16384,32768})=0,0,2^SUMPRODUCT(--(MOD(SUMPRODUCT(MOD(INT(AS163/{2,4,8,16,32,64,128,256,512,1024,2048,4096,8192,16384,32768}),2)*(1-MOD(INT(($CJ28+AR208)/{2,4,8,16,32,64,128,256,512,1024,2048,4096,8192,16384,32768}),2))*{2,4,8,16,32,64,128,256,512,1024,2048,4096,8192,16384,32768}),{2,4,8,16,32,64,128,256,512,1024,2048,4096,8192,16384,32768})=0))))</f>
        <v/>
      </c>
      <c r="AT208">
        <f>AS208+IF(AND(AT118&gt;0,COUNTIF($Y118:AS118,AT118)=0),0,IF(SUMPRODUCT(MOD(INT(AT163/{2,4,8,16,32,64,128,256,512,1024,2048,4096,8192,16384,32768}),2)*(1-MOD(INT(($CJ28+AS208)/{2,4,8,16,32,64,128,256,512,1024,2048,4096,8192,16384,32768}),2))*{2,4,8,16,32,64,128,256,512,1024,2048,4096,8192,16384,32768})=0,0,2^SUMPRODUCT(--(MOD(SUMPRODUCT(MOD(INT(AT163/{2,4,8,16,32,64,128,256,512,1024,2048,4096,8192,16384,32768}),2)*(1-MOD(INT(($CJ28+AS208)/{2,4,8,16,32,64,128,256,512,1024,2048,4096,8192,16384,32768}),2))*{2,4,8,16,32,64,128,256,512,1024,2048,4096,8192,16384,32768}),{2,4,8,16,32,64,128,256,512,1024,2048,4096,8192,16384,32768})=0))))</f>
        <v/>
      </c>
      <c r="AU208">
        <f>AT208+IF(AND(AU118&gt;0,COUNTIF($Y118:AT118,AU118)=0),0,IF(SUMPRODUCT(MOD(INT(AU163/{2,4,8,16,32,64,128,256,512,1024,2048,4096,8192,16384,32768}),2)*(1-MOD(INT(($CJ28+AT208)/{2,4,8,16,32,64,128,256,512,1024,2048,4096,8192,16384,32768}),2))*{2,4,8,16,32,64,128,256,512,1024,2048,4096,8192,16384,32768})=0,0,2^SUMPRODUCT(--(MOD(SUMPRODUCT(MOD(INT(AU163/{2,4,8,16,32,64,128,256,512,1024,2048,4096,8192,16384,32768}),2)*(1-MOD(INT(($CJ28+AT208)/{2,4,8,16,32,64,128,256,512,1024,2048,4096,8192,16384,32768}),2))*{2,4,8,16,32,64,128,256,512,1024,2048,4096,8192,16384,32768}),{2,4,8,16,32,64,128,256,512,1024,2048,4096,8192,16384,32768})=0))))</f>
        <v/>
      </c>
      <c r="AV208">
        <f>AU208+IF(AND(AV118&gt;0,COUNTIF($Y118:AU118,AV118)=0),0,IF(SUMPRODUCT(MOD(INT(AV163/{2,4,8,16,32,64,128,256,512,1024,2048,4096,8192,16384,32768}),2)*(1-MOD(INT(($CJ28+AU208)/{2,4,8,16,32,64,128,256,512,1024,2048,4096,8192,16384,32768}),2))*{2,4,8,16,32,64,128,256,512,1024,2048,4096,8192,16384,32768})=0,0,2^SUMPRODUCT(--(MOD(SUMPRODUCT(MOD(INT(AV163/{2,4,8,16,32,64,128,256,512,1024,2048,4096,8192,16384,32768}),2)*(1-MOD(INT(($CJ28+AU208)/{2,4,8,16,32,64,128,256,512,1024,2048,4096,8192,16384,32768}),2))*{2,4,8,16,32,64,128,256,512,1024,2048,4096,8192,16384,32768}),{2,4,8,16,32,64,128,256,512,1024,2048,4096,8192,16384,32768})=0))))</f>
        <v/>
      </c>
      <c r="AW208">
        <f>AV208+IF(AND(AW118&gt;0,COUNTIF($Y118:AV118,AW118)=0),0,IF(SUMPRODUCT(MOD(INT(AW163/{2,4,8,16,32,64,128,256,512,1024,2048,4096,8192,16384,32768}),2)*(1-MOD(INT(($CJ28+AV208)/{2,4,8,16,32,64,128,256,512,1024,2048,4096,8192,16384,32768}),2))*{2,4,8,16,32,64,128,256,512,1024,2048,4096,8192,16384,32768})=0,0,2^SUMPRODUCT(--(MOD(SUMPRODUCT(MOD(INT(AW163/{2,4,8,16,32,64,128,256,512,1024,2048,4096,8192,16384,32768}),2)*(1-MOD(INT(($CJ28+AV208)/{2,4,8,16,32,64,128,256,512,1024,2048,4096,8192,16384,32768}),2))*{2,4,8,16,32,64,128,256,512,1024,2048,4096,8192,16384,32768}),{2,4,8,16,32,64,128,256,512,1024,2048,4096,8192,16384,32768})=0))))</f>
        <v/>
      </c>
      <c r="AX208">
        <f>AW208+IF(AND(AX118&gt;0,COUNTIF($Y118:AW118,AX118)=0),0,IF(SUMPRODUCT(MOD(INT(AX163/{2,4,8,16,32,64,128,256,512,1024,2048,4096,8192,16384,32768}),2)*(1-MOD(INT(($CJ28+AW208)/{2,4,8,16,32,64,128,256,512,1024,2048,4096,8192,16384,32768}),2))*{2,4,8,16,32,64,128,256,512,1024,2048,4096,8192,16384,32768})=0,0,2^SUMPRODUCT(--(MOD(SUMPRODUCT(MOD(INT(AX163/{2,4,8,16,32,64,128,256,512,1024,2048,4096,8192,16384,32768}),2)*(1-MOD(INT(($CJ28+AW208)/{2,4,8,16,32,64,128,256,512,1024,2048,4096,8192,16384,32768}),2))*{2,4,8,16,32,64,128,256,512,1024,2048,4096,8192,16384,32768}),{2,4,8,16,32,64,128,256,512,1024,2048,4096,8192,16384,32768})=0))))</f>
        <v/>
      </c>
      <c r="AY208">
        <f>AX208+IF(AND(AY118&gt;0,COUNTIF($Y118:AX118,AY118)=0),0,IF(SUMPRODUCT(MOD(INT(AY163/{2,4,8,16,32,64,128,256,512,1024,2048,4096,8192,16384,32768}),2)*(1-MOD(INT(($CJ28+AX208)/{2,4,8,16,32,64,128,256,512,1024,2048,4096,8192,16384,32768}),2))*{2,4,8,16,32,64,128,256,512,1024,2048,4096,8192,16384,32768})=0,0,2^SUMPRODUCT(--(MOD(SUMPRODUCT(MOD(INT(AY163/{2,4,8,16,32,64,128,256,512,1024,2048,4096,8192,16384,32768}),2)*(1-MOD(INT(($CJ28+AX208)/{2,4,8,16,32,64,128,256,512,1024,2048,4096,8192,16384,32768}),2))*{2,4,8,16,32,64,128,256,512,1024,2048,4096,8192,16384,32768}),{2,4,8,16,32,64,128,256,512,1024,2048,4096,8192,16384,32768})=0))))</f>
        <v/>
      </c>
      <c r="AZ208">
        <f>AY208+IF(AND(AZ118&gt;0,COUNTIF($Y118:AY118,AZ118)=0),0,IF(SUMPRODUCT(MOD(INT(AZ163/{2,4,8,16,32,64,128,256,512,1024,2048,4096,8192,16384,32768}),2)*(1-MOD(INT(($CJ28+AY208)/{2,4,8,16,32,64,128,256,512,1024,2048,4096,8192,16384,32768}),2))*{2,4,8,16,32,64,128,256,512,1024,2048,4096,8192,16384,32768})=0,0,2^SUMPRODUCT(--(MOD(SUMPRODUCT(MOD(INT(AZ163/{2,4,8,16,32,64,128,256,512,1024,2048,4096,8192,16384,32768}),2)*(1-MOD(INT(($CJ28+AY208)/{2,4,8,16,32,64,128,256,512,1024,2048,4096,8192,16384,32768}),2))*{2,4,8,16,32,64,128,256,512,1024,2048,4096,8192,16384,32768}),{2,4,8,16,32,64,128,256,512,1024,2048,4096,8192,16384,32768})=0))))</f>
        <v/>
      </c>
      <c r="BA208">
        <f>AZ208+IF(AND(BA118&gt;0,COUNTIF($Y118:AZ118,BA118)=0),0,IF(SUMPRODUCT(MOD(INT(BA163/{2,4,8,16,32,64,128,256,512,1024,2048,4096,8192,16384,32768}),2)*(1-MOD(INT(($CJ28+AZ208)/{2,4,8,16,32,64,128,256,512,1024,2048,4096,8192,16384,32768}),2))*{2,4,8,16,32,64,128,256,512,1024,2048,4096,8192,16384,32768})=0,0,2^SUMPRODUCT(--(MOD(SUMPRODUCT(MOD(INT(BA163/{2,4,8,16,32,64,128,256,512,1024,2048,4096,8192,16384,32768}),2)*(1-MOD(INT(($CJ28+AZ208)/{2,4,8,16,32,64,128,256,512,1024,2048,4096,8192,16384,32768}),2))*{2,4,8,16,32,64,128,256,512,1024,2048,4096,8192,16384,32768}),{2,4,8,16,32,64,128,256,512,1024,2048,4096,8192,16384,32768})=0))))</f>
        <v/>
      </c>
      <c r="BB208">
        <f>BA208+IF(AND(BB118&gt;0,COUNTIF($Y118:BA118,BB118)=0),0,IF(SUMPRODUCT(MOD(INT(BB163/{2,4,8,16,32,64,128,256,512,1024,2048,4096,8192,16384,32768}),2)*(1-MOD(INT(($CJ28+BA208)/{2,4,8,16,32,64,128,256,512,1024,2048,4096,8192,16384,32768}),2))*{2,4,8,16,32,64,128,256,512,1024,2048,4096,8192,16384,32768})=0,0,2^SUMPRODUCT(--(MOD(SUMPRODUCT(MOD(INT(BB163/{2,4,8,16,32,64,128,256,512,1024,2048,4096,8192,16384,32768}),2)*(1-MOD(INT(($CJ28+BA208)/{2,4,8,16,32,64,128,256,512,1024,2048,4096,8192,16384,32768}),2))*{2,4,8,16,32,64,128,256,512,1024,2048,4096,8192,16384,32768}),{2,4,8,16,32,64,128,256,512,1024,2048,4096,8192,16384,32768})=0))))</f>
        <v/>
      </c>
      <c r="BC208">
        <f>BB208+IF(AND(BC118&gt;0,COUNTIF($Y118:BB118,BC118)=0),0,IF(SUMPRODUCT(MOD(INT(BC163/{2,4,8,16,32,64,128,256,512,1024,2048,4096,8192,16384,32768}),2)*(1-MOD(INT(($CJ28+BB208)/{2,4,8,16,32,64,128,256,512,1024,2048,4096,8192,16384,32768}),2))*{2,4,8,16,32,64,128,256,512,1024,2048,4096,8192,16384,32768})=0,0,2^SUMPRODUCT(--(MOD(SUMPRODUCT(MOD(INT(BC163/{2,4,8,16,32,64,128,256,512,1024,2048,4096,8192,16384,32768}),2)*(1-MOD(INT(($CJ28+BB208)/{2,4,8,16,32,64,128,256,512,1024,2048,4096,8192,16384,32768}),2))*{2,4,8,16,32,64,128,256,512,1024,2048,4096,8192,16384,32768}),{2,4,8,16,32,64,128,256,512,1024,2048,4096,8192,16384,32768})=0))))</f>
        <v/>
      </c>
      <c r="BD208">
        <f>BC208+IF(AND(BD118&gt;0,COUNTIF($Y118:BC118,BD118)=0),0,IF(SUMPRODUCT(MOD(INT(BD163/{2,4,8,16,32,64,128,256,512,1024,2048,4096,8192,16384,32768}),2)*(1-MOD(INT(($CJ28+BC208)/{2,4,8,16,32,64,128,256,512,1024,2048,4096,8192,16384,32768}),2))*{2,4,8,16,32,64,128,256,512,1024,2048,4096,8192,16384,32768})=0,0,2^SUMPRODUCT(--(MOD(SUMPRODUCT(MOD(INT(BD163/{2,4,8,16,32,64,128,256,512,1024,2048,4096,8192,16384,32768}),2)*(1-MOD(INT(($CJ28+BC208)/{2,4,8,16,32,64,128,256,512,1024,2048,4096,8192,16384,32768}),2))*{2,4,8,16,32,64,128,256,512,1024,2048,4096,8192,16384,32768}),{2,4,8,16,32,64,128,256,512,1024,2048,4096,8192,16384,32768})=0))))</f>
        <v/>
      </c>
      <c r="BE208">
        <f>BD208+IF(AND(BE118&gt;0,COUNTIF($Y118:BD118,BE118)=0),0,IF(SUMPRODUCT(MOD(INT(BE163/{2,4,8,16,32,64,128,256,512,1024,2048,4096,8192,16384,32768}),2)*(1-MOD(INT(($CJ28+BD208)/{2,4,8,16,32,64,128,256,512,1024,2048,4096,8192,16384,32768}),2))*{2,4,8,16,32,64,128,256,512,1024,2048,4096,8192,16384,32768})=0,0,2^SUMPRODUCT(--(MOD(SUMPRODUCT(MOD(INT(BE163/{2,4,8,16,32,64,128,256,512,1024,2048,4096,8192,16384,32768}),2)*(1-MOD(INT(($CJ28+BD208)/{2,4,8,16,32,64,128,256,512,1024,2048,4096,8192,16384,32768}),2))*{2,4,8,16,32,64,128,256,512,1024,2048,4096,8192,16384,32768}),{2,4,8,16,32,64,128,256,512,1024,2048,4096,8192,16384,32768})=0))))</f>
        <v/>
      </c>
      <c r="BF208">
        <f>BE208+IF(AND(BF118&gt;0,COUNTIF($Y118:BE118,BF118)=0),0,IF(SUMPRODUCT(MOD(INT(BF163/{2,4,8,16,32,64,128,256,512,1024,2048,4096,8192,16384,32768}),2)*(1-MOD(INT(($CJ28+BE208)/{2,4,8,16,32,64,128,256,512,1024,2048,4096,8192,16384,32768}),2))*{2,4,8,16,32,64,128,256,512,1024,2048,4096,8192,16384,32768})=0,0,2^SUMPRODUCT(--(MOD(SUMPRODUCT(MOD(INT(BF163/{2,4,8,16,32,64,128,256,512,1024,2048,4096,8192,16384,32768}),2)*(1-MOD(INT(($CJ28+BE208)/{2,4,8,16,32,64,128,256,512,1024,2048,4096,8192,16384,32768}),2))*{2,4,8,16,32,64,128,256,512,1024,2048,4096,8192,16384,32768}),{2,4,8,16,32,64,128,256,512,1024,2048,4096,8192,16384,32768})=0))))</f>
        <v/>
      </c>
      <c r="BG208">
        <f>BF208+IF(AND(BG118&gt;0,COUNTIF($Y118:BF118,BG118)=0),0,IF(SUMPRODUCT(MOD(INT(BG163/{2,4,8,16,32,64,128,256,512,1024,2048,4096,8192,16384,32768}),2)*(1-MOD(INT(($CJ28+BF208)/{2,4,8,16,32,64,128,256,512,1024,2048,4096,8192,16384,32768}),2))*{2,4,8,16,32,64,128,256,512,1024,2048,4096,8192,16384,32768})=0,0,2^SUMPRODUCT(--(MOD(SUMPRODUCT(MOD(INT(BG163/{2,4,8,16,32,64,128,256,512,1024,2048,4096,8192,16384,32768}),2)*(1-MOD(INT(($CJ28+BF208)/{2,4,8,16,32,64,128,256,512,1024,2048,4096,8192,16384,32768}),2))*{2,4,8,16,32,64,128,256,512,1024,2048,4096,8192,16384,32768}),{2,4,8,16,32,64,128,256,512,1024,2048,4096,8192,16384,32768})=0))))</f>
        <v/>
      </c>
      <c r="BH208">
        <f>BG208+IF(AND(BH118&gt;0,COUNTIF($Y118:BG118,BH118)=0),0,IF(SUMPRODUCT(MOD(INT(BH163/{2,4,8,16,32,64,128,256,512,1024,2048,4096,8192,16384,32768}),2)*(1-MOD(INT(($CJ28+BG208)/{2,4,8,16,32,64,128,256,512,1024,2048,4096,8192,16384,32768}),2))*{2,4,8,16,32,64,128,256,512,1024,2048,4096,8192,16384,32768})=0,0,2^SUMPRODUCT(--(MOD(SUMPRODUCT(MOD(INT(BH163/{2,4,8,16,32,64,128,256,512,1024,2048,4096,8192,16384,32768}),2)*(1-MOD(INT(($CJ28+BG208)/{2,4,8,16,32,64,128,256,512,1024,2048,4096,8192,16384,32768}),2))*{2,4,8,16,32,64,128,256,512,1024,2048,4096,8192,16384,32768}),{2,4,8,16,32,64,128,256,512,1024,2048,4096,8192,16384,32768})=0))))</f>
        <v/>
      </c>
      <c r="BI208">
        <f>BH208+IF(AND(BI118&gt;0,COUNTIF($Y118:BH118,BI118)=0),0,IF(SUMPRODUCT(MOD(INT(BI163/{2,4,8,16,32,64,128,256,512,1024,2048,4096,8192,16384,32768}),2)*(1-MOD(INT(($CJ28+BH208)/{2,4,8,16,32,64,128,256,512,1024,2048,4096,8192,16384,32768}),2))*{2,4,8,16,32,64,128,256,512,1024,2048,4096,8192,16384,32768})=0,0,2^SUMPRODUCT(--(MOD(SUMPRODUCT(MOD(INT(BI163/{2,4,8,16,32,64,128,256,512,1024,2048,4096,8192,16384,32768}),2)*(1-MOD(INT(($CJ28+BH208)/{2,4,8,16,32,64,128,256,512,1024,2048,4096,8192,16384,32768}),2))*{2,4,8,16,32,64,128,256,512,1024,2048,4096,8192,16384,32768}),{2,4,8,16,32,64,128,256,512,1024,2048,4096,8192,16384,32768})=0))))</f>
        <v/>
      </c>
      <c r="BJ208">
        <f>BI208+IF(AND(BJ118&gt;0,COUNTIF($Y118:BI118,BJ118)=0),0,IF(SUMPRODUCT(MOD(INT(BJ163/{2,4,8,16,32,64,128,256,512,1024,2048,4096,8192,16384,32768}),2)*(1-MOD(INT(($CJ28+BI208)/{2,4,8,16,32,64,128,256,512,1024,2048,4096,8192,16384,32768}),2))*{2,4,8,16,32,64,128,256,512,1024,2048,4096,8192,16384,32768})=0,0,2^SUMPRODUCT(--(MOD(SUMPRODUCT(MOD(INT(BJ163/{2,4,8,16,32,64,128,256,512,1024,2048,4096,8192,16384,32768}),2)*(1-MOD(INT(($CJ28+BI208)/{2,4,8,16,32,64,128,256,512,1024,2048,4096,8192,16384,32768}),2))*{2,4,8,16,32,64,128,256,512,1024,2048,4096,8192,16384,32768}),{2,4,8,16,32,64,128,256,512,1024,2048,4096,8192,16384,32768})=0))))</f>
        <v/>
      </c>
      <c r="BK208">
        <f>BJ208+IF(AND(BK118&gt;0,COUNTIF($Y118:BJ118,BK118)=0),0,IF(SUMPRODUCT(MOD(INT(BK163/{2,4,8,16,32,64,128,256,512,1024,2048,4096,8192,16384,32768}),2)*(1-MOD(INT(($CJ28+BJ208)/{2,4,8,16,32,64,128,256,512,1024,2048,4096,8192,16384,32768}),2))*{2,4,8,16,32,64,128,256,512,1024,2048,4096,8192,16384,32768})=0,0,2^SUMPRODUCT(--(MOD(SUMPRODUCT(MOD(INT(BK163/{2,4,8,16,32,64,128,256,512,1024,2048,4096,8192,16384,32768}),2)*(1-MOD(INT(($CJ28+BJ208)/{2,4,8,16,32,64,128,256,512,1024,2048,4096,8192,16384,32768}),2))*{2,4,8,16,32,64,128,256,512,1024,2048,4096,8192,16384,32768}),{2,4,8,16,32,64,128,256,512,1024,2048,4096,8192,16384,32768})=0))))</f>
        <v/>
      </c>
      <c r="BL208">
        <f>BK208+IF(AND(BL118&gt;0,COUNTIF($Y118:BK118,BL118)=0),0,IF(SUMPRODUCT(MOD(INT(BL163/{2,4,8,16,32,64,128,256,512,1024,2048,4096,8192,16384,32768}),2)*(1-MOD(INT(($CJ28+BK208)/{2,4,8,16,32,64,128,256,512,1024,2048,4096,8192,16384,32768}),2))*{2,4,8,16,32,64,128,256,512,1024,2048,4096,8192,16384,32768})=0,0,2^SUMPRODUCT(--(MOD(SUMPRODUCT(MOD(INT(BL163/{2,4,8,16,32,64,128,256,512,1024,2048,4096,8192,16384,32768}),2)*(1-MOD(INT(($CJ28+BK208)/{2,4,8,16,32,64,128,256,512,1024,2048,4096,8192,16384,32768}),2))*{2,4,8,16,32,64,128,256,512,1024,2048,4096,8192,16384,32768}),{2,4,8,16,32,64,128,256,512,1024,2048,4096,8192,16384,32768})=0))))</f>
        <v/>
      </c>
      <c r="BM208">
        <f>BL208+IF(AND(BM118&gt;0,COUNTIF($Y118:BL118,BM118)=0),0,IF(SUMPRODUCT(MOD(INT(BM163/{2,4,8,16,32,64,128,256,512,1024,2048,4096,8192,16384,32768}),2)*(1-MOD(INT(($CJ28+BL208)/{2,4,8,16,32,64,128,256,512,1024,2048,4096,8192,16384,32768}),2))*{2,4,8,16,32,64,128,256,512,1024,2048,4096,8192,16384,32768})=0,0,2^SUMPRODUCT(--(MOD(SUMPRODUCT(MOD(INT(BM163/{2,4,8,16,32,64,128,256,512,1024,2048,4096,8192,16384,32768}),2)*(1-MOD(INT(($CJ28+BL208)/{2,4,8,16,32,64,128,256,512,1024,2048,4096,8192,16384,32768}),2))*{2,4,8,16,32,64,128,256,512,1024,2048,4096,8192,16384,32768}),{2,4,8,16,32,64,128,256,512,1024,2048,4096,8192,16384,32768})=0))))</f>
        <v/>
      </c>
      <c r="BN208">
        <f>BM208+IF(AND(BN118&gt;0,COUNTIF($Y118:BM118,BN118)=0),0,IF(SUMPRODUCT(MOD(INT(BN163/{2,4,8,16,32,64,128,256,512,1024,2048,4096,8192,16384,32768}),2)*(1-MOD(INT(($CJ28+BM208)/{2,4,8,16,32,64,128,256,512,1024,2048,4096,8192,16384,32768}),2))*{2,4,8,16,32,64,128,256,512,1024,2048,4096,8192,16384,32768})=0,0,2^SUMPRODUCT(--(MOD(SUMPRODUCT(MOD(INT(BN163/{2,4,8,16,32,64,128,256,512,1024,2048,4096,8192,16384,32768}),2)*(1-MOD(INT(($CJ28+BM208)/{2,4,8,16,32,64,128,256,512,1024,2048,4096,8192,16384,32768}),2))*{2,4,8,16,32,64,128,256,512,1024,2048,4096,8192,16384,32768}),{2,4,8,16,32,64,128,256,512,1024,2048,4096,8192,16384,32768})=0))))</f>
        <v/>
      </c>
      <c r="BO208">
        <f>BN208+IF(AND(BO118&gt;0,COUNTIF($Y118:BN118,BO118)=0),0,IF(SUMPRODUCT(MOD(INT(BO163/{2,4,8,16,32,64,128,256,512,1024,2048,4096,8192,16384,32768}),2)*(1-MOD(INT(($CJ28+BN208)/{2,4,8,16,32,64,128,256,512,1024,2048,4096,8192,16384,32768}),2))*{2,4,8,16,32,64,128,256,512,1024,2048,4096,8192,16384,32768})=0,0,2^SUMPRODUCT(--(MOD(SUMPRODUCT(MOD(INT(BO163/{2,4,8,16,32,64,128,256,512,1024,2048,4096,8192,16384,32768}),2)*(1-MOD(INT(($CJ28+BN208)/{2,4,8,16,32,64,128,256,512,1024,2048,4096,8192,16384,32768}),2))*{2,4,8,16,32,64,128,256,512,1024,2048,4096,8192,16384,32768}),{2,4,8,16,32,64,128,256,512,1024,2048,4096,8192,16384,32768})=0))))</f>
        <v/>
      </c>
      <c r="BP208">
        <f>BO208+IF(AND(BP118&gt;0,COUNTIF($Y118:BO118,BP118)=0),0,IF(SUMPRODUCT(MOD(INT(BP163/{2,4,8,16,32,64,128,256,512,1024,2048,4096,8192,16384,32768}),2)*(1-MOD(INT(($CJ28+BO208)/{2,4,8,16,32,64,128,256,512,1024,2048,4096,8192,16384,32768}),2))*{2,4,8,16,32,64,128,256,512,1024,2048,4096,8192,16384,32768})=0,0,2^SUMPRODUCT(--(MOD(SUMPRODUCT(MOD(INT(BP163/{2,4,8,16,32,64,128,256,512,1024,2048,4096,8192,16384,32768}),2)*(1-MOD(INT(($CJ28+BO208)/{2,4,8,16,32,64,128,256,512,1024,2048,4096,8192,16384,32768}),2))*{2,4,8,16,32,64,128,256,512,1024,2048,4096,8192,16384,32768}),{2,4,8,16,32,64,128,256,512,1024,2048,4096,8192,16384,32768})=0))))</f>
        <v/>
      </c>
      <c r="BQ208">
        <f>BP208+IF(AND(BQ118&gt;0,COUNTIF($Y118:BP118,BQ118)=0),0,IF(SUMPRODUCT(MOD(INT(BQ163/{2,4,8,16,32,64,128,256,512,1024,2048,4096,8192,16384,32768}),2)*(1-MOD(INT(($CJ28+BP208)/{2,4,8,16,32,64,128,256,512,1024,2048,4096,8192,16384,32768}),2))*{2,4,8,16,32,64,128,256,512,1024,2048,4096,8192,16384,32768})=0,0,2^SUMPRODUCT(--(MOD(SUMPRODUCT(MOD(INT(BQ163/{2,4,8,16,32,64,128,256,512,1024,2048,4096,8192,16384,32768}),2)*(1-MOD(INT(($CJ28+BP208)/{2,4,8,16,32,64,128,256,512,1024,2048,4096,8192,16384,32768}),2))*{2,4,8,16,32,64,128,256,512,1024,2048,4096,8192,16384,32768}),{2,4,8,16,32,64,128,256,512,1024,2048,4096,8192,16384,32768})=0))))</f>
        <v/>
      </c>
      <c r="BR208">
        <f>BQ208+IF(AND(BR118&gt;0,COUNTIF($Y118:BQ118,BR118)=0),0,IF(SUMPRODUCT(MOD(INT(BR163/{2,4,8,16,32,64,128,256,512,1024,2048,4096,8192,16384,32768}),2)*(1-MOD(INT(($CJ28+BQ208)/{2,4,8,16,32,64,128,256,512,1024,2048,4096,8192,16384,32768}),2))*{2,4,8,16,32,64,128,256,512,1024,2048,4096,8192,16384,32768})=0,0,2^SUMPRODUCT(--(MOD(SUMPRODUCT(MOD(INT(BR163/{2,4,8,16,32,64,128,256,512,1024,2048,4096,8192,16384,32768}),2)*(1-MOD(INT(($CJ28+BQ208)/{2,4,8,16,32,64,128,256,512,1024,2048,4096,8192,16384,32768}),2))*{2,4,8,16,32,64,128,256,512,1024,2048,4096,8192,16384,32768}),{2,4,8,16,32,64,128,256,512,1024,2048,4096,8192,16384,32768})=0))))</f>
        <v/>
      </c>
      <c r="BS208">
        <f>BR208+IF(AND(BS118&gt;0,COUNTIF($Y118:BR118,BS118)=0),0,IF(SUMPRODUCT(MOD(INT(BS163/{2,4,8,16,32,64,128,256,512,1024,2048,4096,8192,16384,32768}),2)*(1-MOD(INT(($CJ28+BR208)/{2,4,8,16,32,64,128,256,512,1024,2048,4096,8192,16384,32768}),2))*{2,4,8,16,32,64,128,256,512,1024,2048,4096,8192,16384,32768})=0,0,2^SUMPRODUCT(--(MOD(SUMPRODUCT(MOD(INT(BS163/{2,4,8,16,32,64,128,256,512,1024,2048,4096,8192,16384,32768}),2)*(1-MOD(INT(($CJ28+BR208)/{2,4,8,16,32,64,128,256,512,1024,2048,4096,8192,16384,32768}),2))*{2,4,8,16,32,64,128,256,512,1024,2048,4096,8192,16384,32768}),{2,4,8,16,32,64,128,256,512,1024,2048,4096,8192,16384,32768})=0))))</f>
        <v/>
      </c>
      <c r="BT208">
        <f>BS208+IF(AND(BT118&gt;0,COUNTIF($Y118:BS118,BT118)=0),0,IF(SUMPRODUCT(MOD(INT(BT163/{2,4,8,16,32,64,128,256,512,1024,2048,4096,8192,16384,32768}),2)*(1-MOD(INT(($CJ28+BS208)/{2,4,8,16,32,64,128,256,512,1024,2048,4096,8192,16384,32768}),2))*{2,4,8,16,32,64,128,256,512,1024,2048,4096,8192,16384,32768})=0,0,2^SUMPRODUCT(--(MOD(SUMPRODUCT(MOD(INT(BT163/{2,4,8,16,32,64,128,256,512,1024,2048,4096,8192,16384,32768}),2)*(1-MOD(INT(($CJ28+BS208)/{2,4,8,16,32,64,128,256,512,1024,2048,4096,8192,16384,32768}),2))*{2,4,8,16,32,64,128,256,512,1024,2048,4096,8192,16384,32768}),{2,4,8,16,32,64,128,256,512,1024,2048,4096,8192,16384,32768})=0))))</f>
        <v/>
      </c>
      <c r="BU208">
        <f>BT208+IF(AND(BU118&gt;0,COUNTIF($Y118:BT118,BU118)=0),0,IF(SUMPRODUCT(MOD(INT(BU163/{2,4,8,16,32,64,128,256,512,1024,2048,4096,8192,16384,32768}),2)*(1-MOD(INT(($CJ28+BT208)/{2,4,8,16,32,64,128,256,512,1024,2048,4096,8192,16384,32768}),2))*{2,4,8,16,32,64,128,256,512,1024,2048,4096,8192,16384,32768})=0,0,2^SUMPRODUCT(--(MOD(SUMPRODUCT(MOD(INT(BU163/{2,4,8,16,32,64,128,256,512,1024,2048,4096,8192,16384,32768}),2)*(1-MOD(INT(($CJ28+BT208)/{2,4,8,16,32,64,128,256,512,1024,2048,4096,8192,16384,32768}),2))*{2,4,8,16,32,64,128,256,512,1024,2048,4096,8192,16384,32768}),{2,4,8,16,32,64,128,256,512,1024,2048,4096,8192,16384,32768})=0))))</f>
        <v/>
      </c>
      <c r="BV208">
        <f>BU208+IF(AND(BV118&gt;0,COUNTIF($Y118:BU118,BV118)=0),0,IF(SUMPRODUCT(MOD(INT(BV163/{2,4,8,16,32,64,128,256,512,1024,2048,4096,8192,16384,32768}),2)*(1-MOD(INT(($CJ28+BU208)/{2,4,8,16,32,64,128,256,512,1024,2048,4096,8192,16384,32768}),2))*{2,4,8,16,32,64,128,256,512,1024,2048,4096,8192,16384,32768})=0,0,2^SUMPRODUCT(--(MOD(SUMPRODUCT(MOD(INT(BV163/{2,4,8,16,32,64,128,256,512,1024,2048,4096,8192,16384,32768}),2)*(1-MOD(INT(($CJ28+BU208)/{2,4,8,16,32,64,128,256,512,1024,2048,4096,8192,16384,32768}),2))*{2,4,8,16,32,64,128,256,512,1024,2048,4096,8192,16384,32768}),{2,4,8,16,32,64,128,256,512,1024,2048,4096,8192,16384,32768})=0))))</f>
        <v/>
      </c>
      <c r="BW208">
        <f>BV208+IF(AND(BW118&gt;0,COUNTIF($Y118:BV118,BW118)=0),0,IF(SUMPRODUCT(MOD(INT(BW163/{2,4,8,16,32,64,128,256,512,1024,2048,4096,8192,16384,32768}),2)*(1-MOD(INT(($CJ28+BV208)/{2,4,8,16,32,64,128,256,512,1024,2048,4096,8192,16384,32768}),2))*{2,4,8,16,32,64,128,256,512,1024,2048,4096,8192,16384,32768})=0,0,2^SUMPRODUCT(--(MOD(SUMPRODUCT(MOD(INT(BW163/{2,4,8,16,32,64,128,256,512,1024,2048,4096,8192,16384,32768}),2)*(1-MOD(INT(($CJ28+BV208)/{2,4,8,16,32,64,128,256,512,1024,2048,4096,8192,16384,32768}),2))*{2,4,8,16,32,64,128,256,512,1024,2048,4096,8192,16384,32768}),{2,4,8,16,32,64,128,256,512,1024,2048,4096,8192,16384,32768})=0))))</f>
        <v/>
      </c>
      <c r="BX208">
        <f>BW208+IF(AND(BX118&gt;0,COUNTIF($Y118:BW118,BX118)=0),0,IF(SUMPRODUCT(MOD(INT(BX163/{2,4,8,16,32,64,128,256,512,1024,2048,4096,8192,16384,32768}),2)*(1-MOD(INT(($CJ28+BW208)/{2,4,8,16,32,64,128,256,512,1024,2048,4096,8192,16384,32768}),2))*{2,4,8,16,32,64,128,256,512,1024,2048,4096,8192,16384,32768})=0,0,2^SUMPRODUCT(--(MOD(SUMPRODUCT(MOD(INT(BX163/{2,4,8,16,32,64,128,256,512,1024,2048,4096,8192,16384,32768}),2)*(1-MOD(INT(($CJ28+BW208)/{2,4,8,16,32,64,128,256,512,1024,2048,4096,8192,16384,32768}),2))*{2,4,8,16,32,64,128,256,512,1024,2048,4096,8192,16384,32768}),{2,4,8,16,32,64,128,256,512,1024,2048,4096,8192,16384,32768})=0))))</f>
        <v/>
      </c>
      <c r="BY208">
        <f>BX208+IF(AND(BY118&gt;0,COUNTIF($Y118:BX118,BY118)=0),0,IF(SUMPRODUCT(MOD(INT(BY163/{2,4,8,16,32,64,128,256,512,1024,2048,4096,8192,16384,32768}),2)*(1-MOD(INT(($CJ28+BX208)/{2,4,8,16,32,64,128,256,512,1024,2048,4096,8192,16384,32768}),2))*{2,4,8,16,32,64,128,256,512,1024,2048,4096,8192,16384,32768})=0,0,2^SUMPRODUCT(--(MOD(SUMPRODUCT(MOD(INT(BY163/{2,4,8,16,32,64,128,256,512,1024,2048,4096,8192,16384,32768}),2)*(1-MOD(INT(($CJ28+BX208)/{2,4,8,16,32,64,128,256,512,1024,2048,4096,8192,16384,32768}),2))*{2,4,8,16,32,64,128,256,512,1024,2048,4096,8192,16384,32768}),{2,4,8,16,32,64,128,256,512,1024,2048,4096,8192,16384,32768})=0))))</f>
        <v/>
      </c>
      <c r="BZ208">
        <f>BY208+IF(AND(BZ118&gt;0,COUNTIF($Y118:BY118,BZ118)=0),0,IF(SUMPRODUCT(MOD(INT(BZ163/{2,4,8,16,32,64,128,256,512,1024,2048,4096,8192,16384,32768}),2)*(1-MOD(INT(($CJ28+BY208)/{2,4,8,16,32,64,128,256,512,1024,2048,4096,8192,16384,32768}),2))*{2,4,8,16,32,64,128,256,512,1024,2048,4096,8192,16384,32768})=0,0,2^SUMPRODUCT(--(MOD(SUMPRODUCT(MOD(INT(BZ163/{2,4,8,16,32,64,128,256,512,1024,2048,4096,8192,16384,32768}),2)*(1-MOD(INT(($CJ28+BY208)/{2,4,8,16,32,64,128,256,512,1024,2048,4096,8192,16384,32768}),2))*{2,4,8,16,32,64,128,256,512,1024,2048,4096,8192,16384,32768}),{2,4,8,16,32,64,128,256,512,1024,2048,4096,8192,16384,32768})=0))))</f>
        <v/>
      </c>
      <c r="CA208">
        <f>BZ208+IF(AND(CA118&gt;0,COUNTIF($Y118:BZ118,CA118)=0),0,IF(SUMPRODUCT(MOD(INT(CA163/{2,4,8,16,32,64,128,256,512,1024,2048,4096,8192,16384,32768}),2)*(1-MOD(INT(($CJ28+BZ208)/{2,4,8,16,32,64,128,256,512,1024,2048,4096,8192,16384,32768}),2))*{2,4,8,16,32,64,128,256,512,1024,2048,4096,8192,16384,32768})=0,0,2^SUMPRODUCT(--(MOD(SUMPRODUCT(MOD(INT(CA163/{2,4,8,16,32,64,128,256,512,1024,2048,4096,8192,16384,32768}),2)*(1-MOD(INT(($CJ28+BZ208)/{2,4,8,16,32,64,128,256,512,1024,2048,4096,8192,16384,32768}),2))*{2,4,8,16,32,64,128,256,512,1024,2048,4096,8192,16384,32768}),{2,4,8,16,32,64,128,256,512,1024,2048,4096,8192,16384,32768})=0))))</f>
        <v/>
      </c>
      <c r="CB208">
        <f>CA208+IF(AND(CB118&gt;0,COUNTIF($Y118:CA118,CB118)=0),0,IF(SUMPRODUCT(MOD(INT(CB163/{2,4,8,16,32,64,128,256,512,1024,2048,4096,8192,16384,32768}),2)*(1-MOD(INT(($CJ28+CA208)/{2,4,8,16,32,64,128,256,512,1024,2048,4096,8192,16384,32768}),2))*{2,4,8,16,32,64,128,256,512,1024,2048,4096,8192,16384,32768})=0,0,2^SUMPRODUCT(--(MOD(SUMPRODUCT(MOD(INT(CB163/{2,4,8,16,32,64,128,256,512,1024,2048,4096,8192,16384,32768}),2)*(1-MOD(INT(($CJ28+CA208)/{2,4,8,16,32,64,128,256,512,1024,2048,4096,8192,16384,32768}),2))*{2,4,8,16,32,64,128,256,512,1024,2048,4096,8192,16384,32768}),{2,4,8,16,32,64,128,256,512,1024,2048,4096,8192,16384,32768})=0))))</f>
        <v/>
      </c>
      <c r="CC208">
        <f>CB208+IF(AND(CC118&gt;0,COUNTIF($Y118:CB118,CC118)=0),0,IF(SUMPRODUCT(MOD(INT(CC163/{2,4,8,16,32,64,128,256,512,1024,2048,4096,8192,16384,32768}),2)*(1-MOD(INT(($CJ28+CB208)/{2,4,8,16,32,64,128,256,512,1024,2048,4096,8192,16384,32768}),2))*{2,4,8,16,32,64,128,256,512,1024,2048,4096,8192,16384,32768})=0,0,2^SUMPRODUCT(--(MOD(SUMPRODUCT(MOD(INT(CC163/{2,4,8,16,32,64,128,256,512,1024,2048,4096,8192,16384,32768}),2)*(1-MOD(INT(($CJ28+CB208)/{2,4,8,16,32,64,128,256,512,1024,2048,4096,8192,16384,32768}),2))*{2,4,8,16,32,64,128,256,512,1024,2048,4096,8192,16384,32768}),{2,4,8,16,32,64,128,256,512,1024,2048,4096,8192,16384,32768})=0))))</f>
        <v/>
      </c>
      <c r="CD208">
        <f>CC208+IF(AND(CD118&gt;0,COUNTIF($Y118:CC118,CD118)=0),0,IF(SUMPRODUCT(MOD(INT(CD163/{2,4,8,16,32,64,128,256,512,1024,2048,4096,8192,16384,32768}),2)*(1-MOD(INT(($CJ28+CC208)/{2,4,8,16,32,64,128,256,512,1024,2048,4096,8192,16384,32768}),2))*{2,4,8,16,32,64,128,256,512,1024,2048,4096,8192,16384,32768})=0,0,2^SUMPRODUCT(--(MOD(SUMPRODUCT(MOD(INT(CD163/{2,4,8,16,32,64,128,256,512,1024,2048,4096,8192,16384,32768}),2)*(1-MOD(INT(($CJ28+CC208)/{2,4,8,16,32,64,128,256,512,1024,2048,4096,8192,16384,32768}),2))*{2,4,8,16,32,64,128,256,512,1024,2048,4096,8192,16384,32768}),{2,4,8,16,32,64,128,256,512,1024,2048,4096,8192,16384,32768})=0))))</f>
        <v/>
      </c>
      <c r="CE208">
        <f>CD208+IF(AND(CE118&gt;0,COUNTIF($Y118:CD118,CE118)=0),0,IF(SUMPRODUCT(MOD(INT(CE163/{2,4,8,16,32,64,128,256,512,1024,2048,4096,8192,16384,32768}),2)*(1-MOD(INT(($CJ28+CD208)/{2,4,8,16,32,64,128,256,512,1024,2048,4096,8192,16384,32768}),2))*{2,4,8,16,32,64,128,256,512,1024,2048,4096,8192,16384,32768})=0,0,2^SUMPRODUCT(--(MOD(SUMPRODUCT(MOD(INT(CE163/{2,4,8,16,32,64,128,256,512,1024,2048,4096,8192,16384,32768}),2)*(1-MOD(INT(($CJ28+CD208)/{2,4,8,16,32,64,128,256,512,1024,2048,4096,8192,16384,32768}),2))*{2,4,8,16,32,64,128,256,512,1024,2048,4096,8192,16384,32768}),{2,4,8,16,32,64,128,256,512,1024,2048,4096,8192,16384,32768})=0))))</f>
        <v/>
      </c>
      <c r="CF208">
        <f>CE208+IF(AND(CF118&gt;0,COUNTIF($Y118:CE118,CF118)=0),0,IF(SUMPRODUCT(MOD(INT(CF163/{2,4,8,16,32,64,128,256,512,1024,2048,4096,8192,16384,32768}),2)*(1-MOD(INT(($CJ28+CE208)/{2,4,8,16,32,64,128,256,512,1024,2048,4096,8192,16384,32768}),2))*{2,4,8,16,32,64,128,256,512,1024,2048,4096,8192,16384,32768})=0,0,2^SUMPRODUCT(--(MOD(SUMPRODUCT(MOD(INT(CF163/{2,4,8,16,32,64,128,256,512,1024,2048,4096,8192,16384,32768}),2)*(1-MOD(INT(($CJ28+CE208)/{2,4,8,16,32,64,128,256,512,1024,2048,4096,8192,16384,32768}),2))*{2,4,8,16,32,64,128,256,512,1024,2048,4096,8192,16384,32768}),{2,4,8,16,32,64,128,256,512,1024,2048,4096,8192,16384,32768})=0))))</f>
        <v/>
      </c>
      <c r="DA208" t="n">
        <v>204</v>
      </c>
      <c r="DB208">
        <f>IF($B$37=0,"",IFERROR(TRIM(SUBSTITUTE(SUBSTITUTE(SUBSTITUTE(SUBSTITUTE(INDEX(PASTE_ALL,204,$B$37)," "," "),CHAR(9)," "),CHAR(10)," "),CHAR(13)," ")),""))</f>
        <v/>
      </c>
      <c r="DC208">
        <f>IF(AND(204&gt;HEADER_ROW,UPPER(DB208)="LEGEND"),1,0)</f>
        <v/>
      </c>
      <c r="DE208" t="n">
        <v>204</v>
      </c>
      <c r="DF208">
        <f>HEADER_ROW+$DE208</f>
        <v/>
      </c>
      <c r="DG208">
        <f>IF(AND($DF208&lt;=1000,$DF208&lt;$B$8),1,0)</f>
        <v/>
      </c>
      <c r="DH208">
        <f>IF($DG208=1,IFERROR(INDEX($DB$5:$DB$1004,$DF208),""),"")</f>
        <v/>
      </c>
      <c r="DI208">
        <f>IF(AND($DG208=1,$DH208&lt;&gt;""),IFERROR(SUBSTITUTE(SUBSTITUTE(TRIM(SUBSTITUTE(SUBSTITUTE(SUBSTITUTE(SUBSTITUTE(IFERROR(INDEX(PASTE_ALL,$DF208,1)&amp;"","")&amp;"␟"&amp;IFERROR(INDEX(PASTE_ALL,$DF208,2)&amp;"","")&amp;"␟"&amp;IFERROR(INDEX(PASTE_ALL,$DF208,3)&amp;"","")&amp;"␟"&amp;IFERROR(INDEX(PASTE_ALL,$DF208,4)&amp;"","")&amp;"␟"&amp;IFERROR(INDEX(PASTE_ALL,$DF208,5)&amp;"","")&amp;"␟"&amp;IFERROR(INDEX(PASTE_ALL,$DF208,6)&amp;"","")&amp;"␟"&amp;IFERROR(INDEX(PASTE_ALL,$DF208,7)&amp;"","")&amp;"␟"&amp;IFERROR(INDEX(PASTE_ALL,$DF208,8)&amp;"","")&amp;"␟"&amp;IFERROR(INDEX(PASTE_ALL,$DF208,9)&amp;"","")&amp;"␟"&amp;IFERROR(INDEX(PASTE_ALL,$DF208,10)&amp;"","")&amp;"␟"&amp;IFERROR(INDEX(PASTE_ALL,$DF208,11)&amp;"","")&amp;"␟"&amp;IFERROR(INDEX(PASTE_ALL,$DF208,12)&amp;"","")&amp;"␟"&amp;IFERROR(INDEX(PASTE_ALL,$DF208,13)&amp;"","")&amp;"␟"&amp;IFERROR(INDEX(PASTE_ALL,$DF208,14)&amp;"","")&amp;"␟"&amp;IFERROR(INDEX(PASTE_ALL,$DF208,15)&amp;"","")&amp;"␟"&amp;IFERROR(INDEX(PASTE_ALL,$DF208,16)&amp;"","")&amp;"␟"&amp;IFERROR(INDEX(PASTE_ALL,$DF208,17)&amp;"","")&amp;"␟"&amp;IFERROR(INDEX(PASTE_ALL,$DF208,18)&amp;"","")&amp;"␟"&amp;IFERROR(INDEX(PASTE_ALL,$DF208,19)&amp;"","")&amp;"␟"&amp;IFERROR(INDEX(PASTE_ALL,$DF208,20)&amp;"","")&amp;"␟"&amp;IFERROR(INDEX(PASTE_ALL,$DF208,21)&amp;"","")&amp;"␟"&amp;IFERROR(INDEX(PASTE_ALL,$DF208,22)&amp;"","")&amp;"␟"&amp;IFERROR(INDEX(PASTE_ALL,$DF208,23)&amp;"","")&amp;"␟"&amp;IFERROR(INDEX(PASTE_ALL,$DF208,24)&amp;"","")&amp;"␟"&amp;IFERROR(INDEX(PASTE_ALL,$DF208,25)&amp;"","")&amp;"␟"&amp;IFERROR(INDEX(PASTE_ALL,$DF208,26)&amp;"","")&amp;"␟"&amp;IFERROR(INDEX(PASTE_ALL,$DF208,27)&amp;"","")&amp;"␟"&amp;IFERROR(INDEX(PASTE_ALL,$DF208,28)&amp;"","")&amp;"␟"&amp;IFERROR(INDEX(PASTE_ALL,$DF208,29)&amp;"","")&amp;"␟"&amp;IFERROR(INDEX(PASTE_ALL,$DF208,30)&amp;"","")&amp;"␟"&amp;IFERROR(INDEX(PASTE_ALL,$DF208,31)&amp;"","")&amp;"␟"&amp;IFERROR(INDEX(PASTE_ALL,$DF208,32)&amp;"","")&amp;"␟"&amp;IFERROR(INDEX(PASTE_ALL,$DF208,33)&amp;"","")&amp;"␟"&amp;IFERROR(INDEX(PASTE_ALL,$DF208,34)&amp;"","")&amp;"␟"&amp;IFERROR(INDEX(PASTE_ALL,$DF208,35)&amp;"","")&amp;"␟"&amp;IFERROR(INDEX(PASTE_ALL,$DF208,36)&amp;"","")&amp;"␟"&amp;IFERROR(INDEX(PASTE_ALL,$DF208,37)&amp;"","")&amp;"␟"&amp;IFERROR(INDEX(PASTE_ALL,$DF208,38)&amp;"","")&amp;"␟"&amp;IFERROR(INDEX(PASTE_ALL,$DF208,39)&amp;"","")&amp;"␟"&amp;IFERROR(INDEX(PASTE_ALL,$DF208,40)&amp;"","")&amp;"␟"&amp;IFERROR(INDEX(PASTE_ALL,$DF208,41)&amp;"","")&amp;"␟"&amp;IFERROR(INDEX(PASTE_ALL,$DF208,42)&amp;"","")&amp;"␟"&amp;IFERROR(INDEX(PASTE_ALL,$DF208,43)&amp;"","")&amp;"␟"&amp;IFERROR(INDEX(PASTE_ALL,$DF208,44)&amp;"","")&amp;"␟"&amp;IFERROR(INDEX(PASTE_ALL,$DF208,45)&amp;"","")&amp;"␟"&amp;IFERROR(INDEX(PASTE_ALL,$DF208,46)&amp;"","")&amp;"␟"&amp;IFERROR(INDEX(PASTE_ALL,$DF208,47)&amp;"","")&amp;"␟"&amp;IFERROR(INDEX(PASTE_ALL,$DF208,48)&amp;"","")&amp;"␟"&amp;IFERROR(INDEX(PASTE_ALL,$DF208,49)&amp;"","")&amp;"␟"&amp;IFERROR(INDEX(PASTE_ALL,$DF208,50)&amp;"","")&amp;"␟"&amp;IFERROR(INDEX(PASTE_ALL,$DF208,51)&amp;"","")&amp;"␟"&amp;IFERROR(INDEX(PASTE_ALL,$DF208,52)&amp;"","")&amp;"␟"&amp;IFERROR(INDEX(PASTE_ALL,$DF208,53)&amp;"","")&amp;"␟"&amp;IFERROR(INDEX(PASTE_ALL,$DF208,54)&amp;"","")&amp;"␟"&amp;IFERROR(INDEX(PASTE_ALL,$DF208,55)&amp;"","")&amp;"␟"&amp;IFERROR(INDEX(PASTE_ALL,$DF208,56)&amp;"","")&amp;"␟"&amp;IFERROR(INDEX(PASTE_ALL,$DF208,57)&amp;"","")&amp;"␟"&amp;IFERROR(INDEX(PASTE_ALL,$DF208,58)&amp;"","")&amp;"␟"&amp;IFERROR(INDEX(PASTE_ALL,$DF208,59)&amp;"","")&amp;"␟"&amp;IFERROR(INDEX(PASTE_ALL,$DF208,60)&amp;"","")," "," "),CHAR(9)," "),CHAR(10)," "),CHAR(13)," "))," ␟","␟"),"␟ ","␟"),"#"&amp;$DE208),"")</f>
        <v/>
      </c>
      <c r="DJ208">
        <f>IF($DI208="",0,IF(SUMPRODUCT(--EXACT($DI$4:DI207,$DI208))&gt;0,1,0))</f>
        <v/>
      </c>
      <c r="DK208">
        <f>IF(AND($DI208&lt;&gt;"",$DJ208=0),1,0)</f>
        <v/>
      </c>
      <c r="DL208">
        <f>DL207+$DK208</f>
        <v/>
      </c>
      <c r="DM208">
        <f>IF(AND($DK208=1,$DL208&lt;=600),1,0)</f>
        <v/>
      </c>
      <c r="DN208">
        <f>IF($DM208=0,"",IF($L$6=0,"",IFERROR(IF(ISNUMBER(INDEX(PASTE_ALL,$DF208,$L$6)),INDEX(PASTE_ALL,$DF208,$L$6),TRIM(SUBSTITUTE(SUBSTITUTE(SUBSTITUTE(SUBSTITUTE(INDEX(PASTE_ALL,$DF208,$L$6)," "," "),CHAR(9)," "),CHAR(10)," "),CHAR(13)," "))),"")))</f>
        <v/>
      </c>
      <c r="DO208">
        <f>IF($DM208=0,"",IF($L$7=0,"",IFERROR(IF(ISNUMBER(INDEX(PASTE_ALL,$DF208,$L$7)),INDEX(PASTE_ALL,$DF208,$L$7),TRIM(SUBSTITUTE(SUBSTITUTE(SUBSTITUTE(SUBSTITUTE(INDEX(PASTE_ALL,$DF208,$L$7)," "," "),CHAR(9)," "),CHAR(10)," "),CHAR(13)," "))),"")))</f>
        <v/>
      </c>
      <c r="DP208">
        <f>IF($DM208=0,"",IF($L$8=0,"",IFERROR(IF(ISNUMBER(INDEX(PASTE_ALL,$DF208,$L$8)),INDEX(PASTE_ALL,$DF208,$L$8),TRIM(SUBSTITUTE(SUBSTITUTE(SUBSTITUTE(SUBSTITUTE(INDEX(PASTE_ALL,$DF208,$L$8)," "," "),CHAR(9)," "),CHAR(10)," "),CHAR(13)," "))),"")))</f>
        <v/>
      </c>
      <c r="DQ208">
        <f>IF($DM208=0,"",IF($L$9=0,"",IFERROR(IF(ISNUMBER(INDEX(PASTE_ALL,$DF208,$L$9)),INDEX(PASTE_ALL,$DF208,$L$9),TRIM(SUBSTITUTE(SUBSTITUTE(SUBSTITUTE(SUBSTITUTE(INDEX(PASTE_ALL,$DF208,$L$9)," "," "),CHAR(9)," "),CHAR(10)," "),CHAR(13)," "))),"")))</f>
        <v/>
      </c>
      <c r="DR208">
        <f>IF($DM208=0,"",IF($L$10=0,"",IFERROR(IF(ISNUMBER(INDEX(PASTE_ALL,$DF208,$L$10)),INDEX(PASTE_ALL,$DF208,$L$10),TRIM(SUBSTITUTE(SUBSTITUTE(SUBSTITUTE(SUBSTITUTE(INDEX(PASTE_ALL,$DF208,$L$10)," "," "),CHAR(9)," "),CHAR(10)," "),CHAR(13)," "))),"")))</f>
        <v/>
      </c>
      <c r="DS208">
        <f>IF($DM208=0,"",IF($L$11=0,"",IFERROR(IF(ISNUMBER(INDEX(PASTE_ALL,$DF208,$L$11)),INDEX(PASTE_ALL,$DF208,$L$11),TRIM(SUBSTITUTE(SUBSTITUTE(SUBSTITUTE(SUBSTITUTE(INDEX(PASTE_ALL,$DF208,$L$11)," "," "),CHAR(9)," "),CHAR(10)," "),CHAR(13)," "))),"")))</f>
        <v/>
      </c>
      <c r="DT208">
        <f>IF($DM208=0,"",IF($L$12=0,"",IFERROR(IF(ISNUMBER(INDEX(PASTE_ALL,$DF208,$L$12)),INDEX(PASTE_ALL,$DF208,$L$12),TRIM(SUBSTITUTE(SUBSTITUTE(SUBSTITUTE(SUBSTITUTE(INDEX(PASTE_ALL,$DF208,$L$12)," "," "),CHAR(9)," "),CHAR(10)," "),CHAR(13)," "))),"")))</f>
        <v/>
      </c>
      <c r="DU208">
        <f>IF($DM208=0,"",IF($L$13=0,"",IFERROR(IF(ISNUMBER(INDEX(PASTE_ALL,$DF208,$L$13)),INDEX(PASTE_ALL,$DF208,$L$13),TRIM(SUBSTITUTE(SUBSTITUTE(SUBSTITUTE(SUBSTITUTE(INDEX(PASTE_ALL,$DF208,$L$13)," "," "),CHAR(9)," "),CHAR(10)," "),CHAR(13)," "))),"")))</f>
        <v/>
      </c>
      <c r="DV208">
        <f>IF($DM208=0,"",IF($L$14=0,"",IFERROR(IF(ISNUMBER(INDEX(PASTE_ALL,$DF208,$L$14)),INDEX(PASTE_ALL,$DF208,$L$14),TRIM(SUBSTITUTE(SUBSTITUTE(SUBSTITUTE(SUBSTITUTE(INDEX(PASTE_ALL,$DF208,$L$14)," "," "),CHAR(9)," "),CHAR(10)," "),CHAR(13)," "))),"")))</f>
        <v/>
      </c>
      <c r="DW208">
        <f>IF($DM208=0,"",IF($L$15=0,"",IFERROR(IF(ISNUMBER(INDEX(PASTE_ALL,$DF208,$L$15)),INDEX(PASTE_ALL,$DF208,$L$15),IF(SUMPRODUCT(--ISNUMBER(FIND({"A","B","C","D","E","F","G","H","I","J","K","L","M","N","O","P","Q","R","S","T","U","V","W","X","Y","Z","0","1","2","3","4","5","6","7","8","9"},UPPER(TRIM(SUBSTITUTE(SUBSTITUTE(SUBSTITUTE(SUBSTITUTE(INDEX(PASTE_ALL,$DF208,$L$15)," "," "),CHAR(9)," "),CHAR(10)," "),CHAR(13)," "))))))&gt;0,TRIM(SUBSTITUTE(SUBSTITUTE(SUBSTITUTE(SUBSTITUTE(INDEX(PASTE_ALL,$DF208,$L$15)," "," "),CHAR(9)," "),CHAR(10)," "),CHAR(13)," ")),"")),"")))</f>
        <v/>
      </c>
      <c r="DX208">
        <f>IF($DM208=0,"",IF($L$16=0,"",IFERROR(IF(ISNUMBER(INDEX(PASTE_ALL,$DF208,$L$16)),INDEX(PASTE_ALL,$DF208,$L$16),SUBSTITUTE(SUBSTITUTE(TRIM(SUBSTITUTE(SUBSTITUTE(SUBSTITUTE(SUBSTITUTE(INDEX(PASTE_ALL,$DF208,$L$16)," "," "),CHAR(9)," "),CHAR(10)," "),CHAR(13)," ")),",",""),"%","")),"")))</f>
        <v/>
      </c>
      <c r="DY208">
        <f>IF($DM208=0,"",IFERROR(IF(ISNUMBER($DX208),$DX208,IF($DX208="","",IF(TRIM($DX208)="",0,IF(AND(AND(SUBSTITUTE(SUBSTITUTE(SUBSTITUTE(SUBSTITUTE(SUBSTITUTE(SUBSTITUTE(SUBSTITUTE(SUBSTITUTE(SUBSTITUTE(SUBSTITUTE(SUBSTITUTE(SUBSTITUTE(SUBSTITUTE(SUBSTITUTE(UPPER(TRIM($DX208)),"0",""),"1",""),"2",""),"3",""),"4",""),"5",""),"6",""),"7",""),"8",""),"9",""),".",""),"+",""),"-",""),"E","")="",LEN(SUBSTITUTE(SUBSTITUTE(MID(UPPER(TRIM($DX208)),1+OR(LEFT(UPPER(TRIM($DX208)),1)="+",LEFT(UPPER(TRIM($DX208)),1)="-"),999),"E+","E"),"E-","E"))=LEN(SUBSTITUTE(SUBSTITUTE(SUBSTITUTE(SUBSTITUTE(MID(UPPER(TRIM($DX208)),1+OR(LEFT(UPPER(TRIM($DX208)),1)="+",LEFT(UPPER(TRIM($DX208)),1)="-"),999),"E+","E"),"E-","E"),"+",""),"-","")),LEN(UPPER(TRIM($DX208)))-LEN(SUBSTITUTE(UPPER(TRIM($DX208)),"E",""))&lt;2,LEN(UPPER(TRIM($DX208)))-LEN(SUBSTITUTE(UPPER(TRIM($DX208)),".",""))&lt;2,IFERROR(FIND(".",UPPER(TRIM($DX208))),0)&lt;IFERROR(FIND("E",UPPER(TRIM($DX208))),999)),ISNUMBER(VALUE(TRIM($DX208)))),VALUE(TRIM($DX208)),"")))),""))</f>
        <v/>
      </c>
      <c r="DZ208">
        <f>IF($DM208=0,"",IF($L$17=0,"",IFERROR(IF(ISNUMBER(INDEX(PASTE_ALL,$DF208,$L$17)),INDEX(PASTE_ALL,$DF208,$L$17),SUBSTITUTE(SUBSTITUTE(TRIM(SUBSTITUTE(SUBSTITUTE(SUBSTITUTE(SUBSTITUTE(INDEX(PASTE_ALL,$DF208,$L$17)," "," "),CHAR(9)," "),CHAR(10)," "),CHAR(13)," ")),",",""),"%","")),"")))</f>
        <v/>
      </c>
      <c r="EA208">
        <f>IF($DM208=0,"",IFERROR(IF(ISNUMBER($DZ208),$DZ208,IF($DZ208="","",IF(TRIM($DZ208)="",0,IF(AND(AND(SUBSTITUTE(SUBSTITUTE(SUBSTITUTE(SUBSTITUTE(SUBSTITUTE(SUBSTITUTE(SUBSTITUTE(SUBSTITUTE(SUBSTITUTE(SUBSTITUTE(SUBSTITUTE(SUBSTITUTE(SUBSTITUTE(SUBSTITUTE(UPPER(TRIM($DZ208)),"0",""),"1",""),"2",""),"3",""),"4",""),"5",""),"6",""),"7",""),"8",""),"9",""),".",""),"+",""),"-",""),"E","")="",LEN(SUBSTITUTE(SUBSTITUTE(MID(UPPER(TRIM($DZ208)),1+OR(LEFT(UPPER(TRIM($DZ208)),1)="+",LEFT(UPPER(TRIM($DZ208)),1)="-"),999),"E+","E"),"E-","E"))=LEN(SUBSTITUTE(SUBSTITUTE(SUBSTITUTE(SUBSTITUTE(MID(UPPER(TRIM($DZ208)),1+OR(LEFT(UPPER(TRIM($DZ208)),1)="+",LEFT(UPPER(TRIM($DZ208)),1)="-"),999),"E+","E"),"E-","E"),"+",""),"-","")),LEN(UPPER(TRIM($DZ208)))-LEN(SUBSTITUTE(UPPER(TRIM($DZ208)),"E",""))&lt;2,LEN(UPPER(TRIM($DZ208)))-LEN(SUBSTITUTE(UPPER(TRIM($DZ208)),".",""))&lt;2,IFERROR(FIND(".",UPPER(TRIM($DZ208))),0)&lt;IFERROR(FIND("E",UPPER(TRIM($DZ208))),999)),ISNUMBER(VALUE(TRIM($DZ208)))),VALUE(TRIM($DZ208)),"")))),""))</f>
        <v/>
      </c>
      <c r="EB208">
        <f>IF($DM208=0,"",IF($L$18=0,"",IFERROR(IF(UPPER(TRIM(SUBSTITUTE(SUBSTITUTE(SUBSTITUTE(SUBSTITUTE(INDEX(PASTE_ALL,$DF208,$L$18)," "," "),CHAR(9)," "),CHAR(10)," "),CHAR(13)," ")))="READY","Ready",IF(UPPER(TRIM(SUBSTITUTE(SUBSTITUTE(SUBSTITUTE(SUBSTITUTE(INDEX(PASTE_ALL,$DF208,$L$18)," "," "),CHAR(9)," "),CHAR(10)," "),CHAR(13)," ")))="PM","PM",IF(OR(UPPER(TRIM(SUBSTITUTE(SUBSTITUTE(SUBSTITUTE(SUBSTITUTE(INDEX(PASTE_ALL,$DF208,$L$18)," "," "),CHAR(9)," "),CHAR(10)," "),CHAR(13)," ")))="OT",UPPER(TRIM(SUBSTITUTE(SUBSTITUTE(SUBSTITUTE(SUBSTITUTE(INDEX(PASTE_ALL,$DF208,$L$18)," "," "),CHAR(9)," "),CHAR(10)," "),CHAR(13)," ")))="OVERTIME",UPPER(TRIM(SUBSTITUTE(SUBSTITUTE(SUBSTITUTE(SUBSTITUTE(INDEX(PASTE_ALL,$DF208,$L$18)," "," "),CHAR(9)," "),CHAR(10)," "),CHAR(13)," ")))="TRIAL"),"OT",TRIM(SUBSTITUTE(SUBSTITUTE(SUBSTITUTE(SUBSTITUTE(INDEX(PASTE_ALL,$DF208,$L$18)," "," "),CHAR(9)," "),CHAR(10)," "),CHAR(13)," "))))),"")))</f>
        <v/>
      </c>
      <c r="EC208">
        <f>IF($DM208=0,"",IF($L$19=0,"",IFERROR(IF(ISNUMBER(INDEX(PASTE_ALL,$DF208,$L$19)),INDEX(PASTE_ALL,$DF208,$L$19),TRIM(SUBSTITUTE(SUBSTITUTE(SUBSTITUTE(SUBSTITUTE(INDEX(PASTE_ALL,$DF208,$L$19)," "," "),CHAR(9)," "),CHAR(10)," "),CHAR(13)," "))),"")))</f>
        <v/>
      </c>
      <c r="ED208">
        <f>IF($DM208=0,"",MATCH(1,INDEX(EXACT($DH$5:DH208,$DH208)*$DM$5:DM208,0),0))</f>
        <v/>
      </c>
      <c r="EE208">
        <f>IF($DM208=0,0,IF($ED208=$DE208,1,0))</f>
        <v/>
      </c>
      <c r="EF208">
        <f>EF207+$EE208</f>
        <v/>
      </c>
      <c r="EG208">
        <f>IF($DM208=0,"",INDEX($EF$5:$EF$1003,$ED208))</f>
        <v/>
      </c>
      <c r="EH208">
        <f>IF($DM208=0,"",IF($DO208&lt;&gt;"","",IFERROR(LOOKUP(2,1/(($EG$4:EG207=$EG208)*($DO$4:DO207&lt;&gt;"")),$DO$4:DO207),"")))</f>
        <v/>
      </c>
      <c r="EI208">
        <f>IF($DM208=0,"",IF($DO208&lt;&gt;"",$DO208,$EH208))</f>
        <v/>
      </c>
      <c r="EJ208">
        <f>IF($DM208=0,"",IF($EI208="",0,IF(OR(ISNUMBER($EI208),AND(AND(SUBSTITUTE(SUBSTITUTE(SUBSTITUTE(SUBSTITUTE(SUBSTITUTE(SUBSTITUTE(SUBSTITUTE(SUBSTITUTE(SUBSTITUTE(SUBSTITUTE(SUBSTITUTE(SUBSTITUTE(SUBSTITUTE(SUBSTITUTE(UPPER($EI208),"0",""),"1",""),"2",""),"3",""),"4",""),"5",""),"6",""),"7",""),"8",""),"9",""),".",""),"+",""),"-",""),"E","")="",LEN(SUBSTITUTE(SUBSTITUTE(MID(UPPER($EI208),1+OR(LEFT(UPPER($EI208),1)="+",LEFT(UPPER($EI208),1)="-"),999),"E+","E"),"E-","E"))=LEN(SUBSTITUTE(SUBSTITUTE(SUBSTITUTE(SUBSTITUTE(MID(UPPER($EI208),1+OR(LEFT(UPPER($EI208),1)="+",LEFT(UPPER($EI208),1)="-"),999),"E+","E"),"E-","E"),"+",""),"-","")),LEN(UPPER($EI208))-LEN(SUBSTITUTE(UPPER($EI208),"E",""))&lt;2,LEN(UPPER($EI208))-LEN(SUBSTITUTE(UPPER($EI208),".",""))&lt;2,IFERROR(FIND(".",UPPER($EI208)),0)&lt;IFERROR(FIND("E",UPPER($EI208)),999)),ISNUMBER(VALUE($EI208)))),1,2)))</f>
        <v/>
      </c>
      <c r="EK208">
        <f>IF($DM208=0,"",IF($EJ208=1,IF(ISNUMBER($EI208),$EI208,VALUE($EI208)),IF($EJ208=2,$DE208,0)))</f>
        <v/>
      </c>
      <c r="EL208">
        <f>IF($DM208=0,"",COUNTIF($EG$5:$EG$1003,"&lt;"&amp;$EG208)+SUMPRODUCT(($EG$5:$EG$1003=$EG208)*(($EJ$5:$EJ$1003&lt;$EJ208)+($EJ$5:$EJ$1003=$EJ208)*(($EK$5:$EK$1003&lt;$EK208)+($EK$5:$EK$1003=$EK208)*($DE$5:$DE$1003&lt;$DE208))))+1)</f>
        <v/>
      </c>
      <c r="EM208">
        <f>IF($DM208=0,"",$EL208+$EG208-1)</f>
        <v/>
      </c>
      <c r="EN208">
        <f>IF($DM208=0,0,IFERROR(MATCH(1,INDEX(--(TRIM(SUBSTITUTE(SUBSTITUTE(SUBSTITUTE(SUBSTITUTE(LINES_NAME&amp;""," "," "),CHAR(9)," "),CHAR(10)," "),CHAR(13)," "))=$DH208),0),0),0))</f>
        <v/>
      </c>
      <c r="EO208">
        <f>IF($EN208=0,0,IF(OR(UPPER(TRIM(INDEX(LINES_SCHEDULED,$EN208)&amp;""))="YES",UPPER(TRIM(INDEX(LINES_SCHEDULED,$EN208)&amp;""))="Y",UPPER(TRIM(INDEX(LINES_SCHEDULED,$EN208)&amp;""))="X"),1,0))</f>
        <v/>
      </c>
      <c r="EP208">
        <f>IF($DM208=0,"",IF(COUNTIFS($EG$5:$EG$1003,$EG208,$EB$5:$EB$1003,"Ready")&gt;0,"READY",IF(COUNTIFS($EG$5:$EG$1003,$EG208,$EB$5:$EB$1003,"PM")&gt;0,"PM",IF(COUNTIFS($EG$5:$EG$1003,$EG208,$EB$5:$EB$1003,"OT")&gt;0,"OT",""))))</f>
        <v/>
      </c>
      <c r="EQ208">
        <f>IF($EN208=0,"",UPPER(TRIM(INDEX(LINES_STATUS,$EN208)&amp;"")))</f>
        <v/>
      </c>
      <c r="ER208">
        <f>IF($DM208=0,"",IF(OR($EQ208="READY",$EQ208="PM",$EQ208="OT"),$EQ208,$EP208))</f>
        <v/>
      </c>
      <c r="ES208">
        <f>IF($DM208=0,"",IF(AND($DV208&lt;&gt;"",UPPER($DV208)&lt;&gt;"N"),"allergen",IF(ISNUMBER(SEARCH("oil",$DQ208)),"oil",IF(OR(EXACT($DS208,"A662"),EXACT($DS208,"A624")),"bulk",""))))</f>
        <v/>
      </c>
      <c r="ET208">
        <f>IF($DM208=0,"",IF(OR($EA208="",$EA208=0),"",$EA208/100))</f>
        <v/>
      </c>
      <c r="EU208">
        <f>IF(OR($ET208="",$DY208=""),"",INT($DY208*(1-$ET208)+0.5))</f>
        <v/>
      </c>
      <c r="EW208" t="n">
        <v>204</v>
      </c>
      <c r="EX208">
        <f>IFERROR(MATCH($EW208,$EM$5:$EM$1003,0),0)</f>
        <v/>
      </c>
      <c r="EY208">
        <f>IF($EW208&gt;$B$12,"",IF($EX208&gt;0,"row","spacer"))</f>
        <v/>
      </c>
      <c r="EZ208">
        <f>IF(AND($EY208="row",$EY207&lt;&gt;"row"),1,0)</f>
        <v/>
      </c>
      <c r="FA208">
        <f>IF(AND($EY208="row",$EY209&lt;&gt;"row"),1,0)</f>
        <v/>
      </c>
      <c r="FB208">
        <f>IF($EZ208=1,IFERROR(IF(ISNUMBER(INDEX(PASTE_ALL,INDEX($DF$5:$DF$1003,$EX208),$B$37)),INDEX(PASTE_ALL,INDEX($DF$5:$DF$1003,$EX208),$B$37),INDEX($DH$5:$DH$1003,$EX208)),INDEX($DH$5:$DH$1003,$EX208)),"")</f>
        <v/>
      </c>
      <c r="FC208">
        <f>IF($EY208="row",INDEX($ER$5:$ER$1003,$EX208),"")</f>
        <v/>
      </c>
      <c r="FD208">
        <f>IF($EY208="row",INDEX($DN$5:$DN$1003,$EX208),"")</f>
        <v/>
      </c>
      <c r="FE208">
        <f>IF($EY208="row",INDEX($DO$5:$DO$1003,$EX208),"")</f>
        <v/>
      </c>
      <c r="FF208">
        <f>IF($EY208="row",INDEX($DP$5:$DP$1003,$EX208),"")</f>
        <v/>
      </c>
      <c r="FG208">
        <f>IF($EY208="row",INDEX($DQ$5:$DQ$1003,$EX208),"")</f>
        <v/>
      </c>
      <c r="FH208">
        <f>IF($EY208="row",INDEX($DR$5:$DR$1003,$EX208),"")</f>
        <v/>
      </c>
      <c r="FI208">
        <f>IF($EY208="row",INDEX($DS$5:$DS$1003,$EX208),"")</f>
        <v/>
      </c>
      <c r="FJ208">
        <f>IF($EY208="row",INDEX($DT$5:$DT$1003,$EX208),"")</f>
        <v/>
      </c>
      <c r="FK208">
        <f>IF($EY208="row",INDEX($DU$5:$DU$1003,$EX208),"")</f>
        <v/>
      </c>
      <c r="FL208">
        <f>IF($EY208="row",INDEX($DV$5:$DV$1003,$EX208),"")</f>
        <v/>
      </c>
      <c r="FM208">
        <f>IF($EY208="row",INDEX($DW$5:$DW$1003,$EX208),"")</f>
        <v/>
      </c>
      <c r="FN208">
        <f>IF($EY208="row",INDEX($DY$5:$DY$1003,$EX208),"")</f>
        <v/>
      </c>
      <c r="FO208">
        <f>IF($EY208="row",INDEX($EA$5:$EA$1003,$EX208),"")</f>
        <v/>
      </c>
      <c r="FP208">
        <f>IF($EY208="row",INDEX($EC$5:$EC$1003,$EX208),"")</f>
        <v/>
      </c>
      <c r="FQ208">
        <f>IF($EY208="row",INDEX($ET$5:$ET$1003,$EX208),"")</f>
        <v/>
      </c>
      <c r="FR208">
        <f>IF($EY208="row",INDEX($EU$5:$EU$1003,$EX208),"")</f>
        <v/>
      </c>
      <c r="FS208">
        <f>IF(AND($EY208="row",$EY207="row"),IF(OR(INDEX($DT$5:$DT$1003,$EX207)="",INDEX($DT$5:$DT$1003,$EX208)=""),"",IF(NOT(EXACT(INDEX($DT$5:$DT$1003,$EX207),INDEX($DT$5:$DT$1003,$EX208))),"S4",IF(NOT(EXACT(INDEX($DS$5:$DS$1003,$EX207),INDEX($DS$5:$DS$1003,$EX208))),"S3",IF(NOT(EXACT(INDEX($DR$5:$DR$1003,$EX207),INDEX($DR$5:$DR$1003,$EX208))),"S1 Count Change","S1")))),"")</f>
        <v/>
      </c>
      <c r="FT208">
        <f>IF($EY208="row",INDEX($ES$5:$ES$1003,$EX208),"")</f>
        <v/>
      </c>
      <c r="FU208">
        <f>IF($EY208="row",INDEX($EO$5:$EO$1003,$EX208),0)</f>
        <v/>
      </c>
      <c r="FV208">
        <f>IF($FS208="S1 Count Change",1,0)</f>
        <v/>
      </c>
    </row>
    <row r="209">
      <c r="Y209">
        <f>0+IF(Y119&gt;0,0,IF(SUMPRODUCT(MOD(INT(Y164/{2,4,8,16,32,64,128,256,512,1024,2048,4096,8192,16384,32768}),2)*(1-MOD(INT(($CJ29+0)/{2,4,8,16,32,64,128,256,512,1024,2048,4096,8192,16384,32768}),2))*{2,4,8,16,32,64,128,256,512,1024,2048,4096,8192,16384,32768})=0,0,2^SUMPRODUCT(--(MOD(SUMPRODUCT(MOD(INT(Y164/{2,4,8,16,32,64,128,256,512,1024,2048,4096,8192,16384,32768}),2)*(1-MOD(INT(($CJ29+0)/{2,4,8,16,32,64,128,256,512,1024,2048,4096,8192,16384,32768}),2))*{2,4,8,16,32,64,128,256,512,1024,2048,4096,8192,16384,32768}),{2,4,8,16,32,64,128,256,512,1024,2048,4096,8192,16384,32768})=0))))</f>
        <v/>
      </c>
      <c r="Z209">
        <f>Y209+IF(AND(Z119&gt;0,COUNTIF($Y119:Y119,Z119)=0),0,IF(SUMPRODUCT(MOD(INT(Z164/{2,4,8,16,32,64,128,256,512,1024,2048,4096,8192,16384,32768}),2)*(1-MOD(INT(($CJ29+Y209)/{2,4,8,16,32,64,128,256,512,1024,2048,4096,8192,16384,32768}),2))*{2,4,8,16,32,64,128,256,512,1024,2048,4096,8192,16384,32768})=0,0,2^SUMPRODUCT(--(MOD(SUMPRODUCT(MOD(INT(Z164/{2,4,8,16,32,64,128,256,512,1024,2048,4096,8192,16384,32768}),2)*(1-MOD(INT(($CJ29+Y209)/{2,4,8,16,32,64,128,256,512,1024,2048,4096,8192,16384,32768}),2))*{2,4,8,16,32,64,128,256,512,1024,2048,4096,8192,16384,32768}),{2,4,8,16,32,64,128,256,512,1024,2048,4096,8192,16384,32768})=0))))</f>
        <v/>
      </c>
      <c r="AA209">
        <f>Z209+IF(AND(AA119&gt;0,COUNTIF($Y119:Z119,AA119)=0),0,IF(SUMPRODUCT(MOD(INT(AA164/{2,4,8,16,32,64,128,256,512,1024,2048,4096,8192,16384,32768}),2)*(1-MOD(INT(($CJ29+Z209)/{2,4,8,16,32,64,128,256,512,1024,2048,4096,8192,16384,32768}),2))*{2,4,8,16,32,64,128,256,512,1024,2048,4096,8192,16384,32768})=0,0,2^SUMPRODUCT(--(MOD(SUMPRODUCT(MOD(INT(AA164/{2,4,8,16,32,64,128,256,512,1024,2048,4096,8192,16384,32768}),2)*(1-MOD(INT(($CJ29+Z209)/{2,4,8,16,32,64,128,256,512,1024,2048,4096,8192,16384,32768}),2))*{2,4,8,16,32,64,128,256,512,1024,2048,4096,8192,16384,32768}),{2,4,8,16,32,64,128,256,512,1024,2048,4096,8192,16384,32768})=0))))</f>
        <v/>
      </c>
      <c r="AB209">
        <f>AA209+IF(AND(AB119&gt;0,COUNTIF($Y119:AA119,AB119)=0),0,IF(SUMPRODUCT(MOD(INT(AB164/{2,4,8,16,32,64,128,256,512,1024,2048,4096,8192,16384,32768}),2)*(1-MOD(INT(($CJ29+AA209)/{2,4,8,16,32,64,128,256,512,1024,2048,4096,8192,16384,32768}),2))*{2,4,8,16,32,64,128,256,512,1024,2048,4096,8192,16384,32768})=0,0,2^SUMPRODUCT(--(MOD(SUMPRODUCT(MOD(INT(AB164/{2,4,8,16,32,64,128,256,512,1024,2048,4096,8192,16384,32768}),2)*(1-MOD(INT(($CJ29+AA209)/{2,4,8,16,32,64,128,256,512,1024,2048,4096,8192,16384,32768}),2))*{2,4,8,16,32,64,128,256,512,1024,2048,4096,8192,16384,32768}),{2,4,8,16,32,64,128,256,512,1024,2048,4096,8192,16384,32768})=0))))</f>
        <v/>
      </c>
      <c r="AC209">
        <f>AB209+IF(AND(AC119&gt;0,COUNTIF($Y119:AB119,AC119)=0),0,IF(SUMPRODUCT(MOD(INT(AC164/{2,4,8,16,32,64,128,256,512,1024,2048,4096,8192,16384,32768}),2)*(1-MOD(INT(($CJ29+AB209)/{2,4,8,16,32,64,128,256,512,1024,2048,4096,8192,16384,32768}),2))*{2,4,8,16,32,64,128,256,512,1024,2048,4096,8192,16384,32768})=0,0,2^SUMPRODUCT(--(MOD(SUMPRODUCT(MOD(INT(AC164/{2,4,8,16,32,64,128,256,512,1024,2048,4096,8192,16384,32768}),2)*(1-MOD(INT(($CJ29+AB209)/{2,4,8,16,32,64,128,256,512,1024,2048,4096,8192,16384,32768}),2))*{2,4,8,16,32,64,128,256,512,1024,2048,4096,8192,16384,32768}),{2,4,8,16,32,64,128,256,512,1024,2048,4096,8192,16384,32768})=0))))</f>
        <v/>
      </c>
      <c r="AD209">
        <f>AC209+IF(AND(AD119&gt;0,COUNTIF($Y119:AC119,AD119)=0),0,IF(SUMPRODUCT(MOD(INT(AD164/{2,4,8,16,32,64,128,256,512,1024,2048,4096,8192,16384,32768}),2)*(1-MOD(INT(($CJ29+AC209)/{2,4,8,16,32,64,128,256,512,1024,2048,4096,8192,16384,32768}),2))*{2,4,8,16,32,64,128,256,512,1024,2048,4096,8192,16384,32768})=0,0,2^SUMPRODUCT(--(MOD(SUMPRODUCT(MOD(INT(AD164/{2,4,8,16,32,64,128,256,512,1024,2048,4096,8192,16384,32768}),2)*(1-MOD(INT(($CJ29+AC209)/{2,4,8,16,32,64,128,256,512,1024,2048,4096,8192,16384,32768}),2))*{2,4,8,16,32,64,128,256,512,1024,2048,4096,8192,16384,32768}),{2,4,8,16,32,64,128,256,512,1024,2048,4096,8192,16384,32768})=0))))</f>
        <v/>
      </c>
      <c r="AE209">
        <f>AD209+IF(AND(AE119&gt;0,COUNTIF($Y119:AD119,AE119)=0),0,IF(SUMPRODUCT(MOD(INT(AE164/{2,4,8,16,32,64,128,256,512,1024,2048,4096,8192,16384,32768}),2)*(1-MOD(INT(($CJ29+AD209)/{2,4,8,16,32,64,128,256,512,1024,2048,4096,8192,16384,32768}),2))*{2,4,8,16,32,64,128,256,512,1024,2048,4096,8192,16384,32768})=0,0,2^SUMPRODUCT(--(MOD(SUMPRODUCT(MOD(INT(AE164/{2,4,8,16,32,64,128,256,512,1024,2048,4096,8192,16384,32768}),2)*(1-MOD(INT(($CJ29+AD209)/{2,4,8,16,32,64,128,256,512,1024,2048,4096,8192,16384,32768}),2))*{2,4,8,16,32,64,128,256,512,1024,2048,4096,8192,16384,32768}),{2,4,8,16,32,64,128,256,512,1024,2048,4096,8192,16384,32768})=0))))</f>
        <v/>
      </c>
      <c r="AF209">
        <f>AE209+IF(AND(AF119&gt;0,COUNTIF($Y119:AE119,AF119)=0),0,IF(SUMPRODUCT(MOD(INT(AF164/{2,4,8,16,32,64,128,256,512,1024,2048,4096,8192,16384,32768}),2)*(1-MOD(INT(($CJ29+AE209)/{2,4,8,16,32,64,128,256,512,1024,2048,4096,8192,16384,32768}),2))*{2,4,8,16,32,64,128,256,512,1024,2048,4096,8192,16384,32768})=0,0,2^SUMPRODUCT(--(MOD(SUMPRODUCT(MOD(INT(AF164/{2,4,8,16,32,64,128,256,512,1024,2048,4096,8192,16384,32768}),2)*(1-MOD(INT(($CJ29+AE209)/{2,4,8,16,32,64,128,256,512,1024,2048,4096,8192,16384,32768}),2))*{2,4,8,16,32,64,128,256,512,1024,2048,4096,8192,16384,32768}),{2,4,8,16,32,64,128,256,512,1024,2048,4096,8192,16384,32768})=0))))</f>
        <v/>
      </c>
      <c r="AG209">
        <f>AF209+IF(AND(AG119&gt;0,COUNTIF($Y119:AF119,AG119)=0),0,IF(SUMPRODUCT(MOD(INT(AG164/{2,4,8,16,32,64,128,256,512,1024,2048,4096,8192,16384,32768}),2)*(1-MOD(INT(($CJ29+AF209)/{2,4,8,16,32,64,128,256,512,1024,2048,4096,8192,16384,32768}),2))*{2,4,8,16,32,64,128,256,512,1024,2048,4096,8192,16384,32768})=0,0,2^SUMPRODUCT(--(MOD(SUMPRODUCT(MOD(INT(AG164/{2,4,8,16,32,64,128,256,512,1024,2048,4096,8192,16384,32768}),2)*(1-MOD(INT(($CJ29+AF209)/{2,4,8,16,32,64,128,256,512,1024,2048,4096,8192,16384,32768}),2))*{2,4,8,16,32,64,128,256,512,1024,2048,4096,8192,16384,32768}),{2,4,8,16,32,64,128,256,512,1024,2048,4096,8192,16384,32768})=0))))</f>
        <v/>
      </c>
      <c r="AH209">
        <f>AG209+IF(AND(AH119&gt;0,COUNTIF($Y119:AG119,AH119)=0),0,IF(SUMPRODUCT(MOD(INT(AH164/{2,4,8,16,32,64,128,256,512,1024,2048,4096,8192,16384,32768}),2)*(1-MOD(INT(($CJ29+AG209)/{2,4,8,16,32,64,128,256,512,1024,2048,4096,8192,16384,32768}),2))*{2,4,8,16,32,64,128,256,512,1024,2048,4096,8192,16384,32768})=0,0,2^SUMPRODUCT(--(MOD(SUMPRODUCT(MOD(INT(AH164/{2,4,8,16,32,64,128,256,512,1024,2048,4096,8192,16384,32768}),2)*(1-MOD(INT(($CJ29+AG209)/{2,4,8,16,32,64,128,256,512,1024,2048,4096,8192,16384,32768}),2))*{2,4,8,16,32,64,128,256,512,1024,2048,4096,8192,16384,32768}),{2,4,8,16,32,64,128,256,512,1024,2048,4096,8192,16384,32768})=0))))</f>
        <v/>
      </c>
      <c r="AI209">
        <f>AH209+IF(AND(AI119&gt;0,COUNTIF($Y119:AH119,AI119)=0),0,IF(SUMPRODUCT(MOD(INT(AI164/{2,4,8,16,32,64,128,256,512,1024,2048,4096,8192,16384,32768}),2)*(1-MOD(INT(($CJ29+AH209)/{2,4,8,16,32,64,128,256,512,1024,2048,4096,8192,16384,32768}),2))*{2,4,8,16,32,64,128,256,512,1024,2048,4096,8192,16384,32768})=0,0,2^SUMPRODUCT(--(MOD(SUMPRODUCT(MOD(INT(AI164/{2,4,8,16,32,64,128,256,512,1024,2048,4096,8192,16384,32768}),2)*(1-MOD(INT(($CJ29+AH209)/{2,4,8,16,32,64,128,256,512,1024,2048,4096,8192,16384,32768}),2))*{2,4,8,16,32,64,128,256,512,1024,2048,4096,8192,16384,32768}),{2,4,8,16,32,64,128,256,512,1024,2048,4096,8192,16384,32768})=0))))</f>
        <v/>
      </c>
      <c r="AJ209">
        <f>AI209+IF(AND(AJ119&gt;0,COUNTIF($Y119:AI119,AJ119)=0),0,IF(SUMPRODUCT(MOD(INT(AJ164/{2,4,8,16,32,64,128,256,512,1024,2048,4096,8192,16384,32768}),2)*(1-MOD(INT(($CJ29+AI209)/{2,4,8,16,32,64,128,256,512,1024,2048,4096,8192,16384,32768}),2))*{2,4,8,16,32,64,128,256,512,1024,2048,4096,8192,16384,32768})=0,0,2^SUMPRODUCT(--(MOD(SUMPRODUCT(MOD(INT(AJ164/{2,4,8,16,32,64,128,256,512,1024,2048,4096,8192,16384,32768}),2)*(1-MOD(INT(($CJ29+AI209)/{2,4,8,16,32,64,128,256,512,1024,2048,4096,8192,16384,32768}),2))*{2,4,8,16,32,64,128,256,512,1024,2048,4096,8192,16384,32768}),{2,4,8,16,32,64,128,256,512,1024,2048,4096,8192,16384,32768})=0))))</f>
        <v/>
      </c>
      <c r="AK209">
        <f>AJ209+IF(AND(AK119&gt;0,COUNTIF($Y119:AJ119,AK119)=0),0,IF(SUMPRODUCT(MOD(INT(AK164/{2,4,8,16,32,64,128,256,512,1024,2048,4096,8192,16384,32768}),2)*(1-MOD(INT(($CJ29+AJ209)/{2,4,8,16,32,64,128,256,512,1024,2048,4096,8192,16384,32768}),2))*{2,4,8,16,32,64,128,256,512,1024,2048,4096,8192,16384,32768})=0,0,2^SUMPRODUCT(--(MOD(SUMPRODUCT(MOD(INT(AK164/{2,4,8,16,32,64,128,256,512,1024,2048,4096,8192,16384,32768}),2)*(1-MOD(INT(($CJ29+AJ209)/{2,4,8,16,32,64,128,256,512,1024,2048,4096,8192,16384,32768}),2))*{2,4,8,16,32,64,128,256,512,1024,2048,4096,8192,16384,32768}),{2,4,8,16,32,64,128,256,512,1024,2048,4096,8192,16384,32768})=0))))</f>
        <v/>
      </c>
      <c r="AL209">
        <f>AK209+IF(AND(AL119&gt;0,COUNTIF($Y119:AK119,AL119)=0),0,IF(SUMPRODUCT(MOD(INT(AL164/{2,4,8,16,32,64,128,256,512,1024,2048,4096,8192,16384,32768}),2)*(1-MOD(INT(($CJ29+AK209)/{2,4,8,16,32,64,128,256,512,1024,2048,4096,8192,16384,32768}),2))*{2,4,8,16,32,64,128,256,512,1024,2048,4096,8192,16384,32768})=0,0,2^SUMPRODUCT(--(MOD(SUMPRODUCT(MOD(INT(AL164/{2,4,8,16,32,64,128,256,512,1024,2048,4096,8192,16384,32768}),2)*(1-MOD(INT(($CJ29+AK209)/{2,4,8,16,32,64,128,256,512,1024,2048,4096,8192,16384,32768}),2))*{2,4,8,16,32,64,128,256,512,1024,2048,4096,8192,16384,32768}),{2,4,8,16,32,64,128,256,512,1024,2048,4096,8192,16384,32768})=0))))</f>
        <v/>
      </c>
      <c r="AM209">
        <f>AL209+IF(AND(AM119&gt;0,COUNTIF($Y119:AL119,AM119)=0),0,IF(SUMPRODUCT(MOD(INT(AM164/{2,4,8,16,32,64,128,256,512,1024,2048,4096,8192,16384,32768}),2)*(1-MOD(INT(($CJ29+AL209)/{2,4,8,16,32,64,128,256,512,1024,2048,4096,8192,16384,32768}),2))*{2,4,8,16,32,64,128,256,512,1024,2048,4096,8192,16384,32768})=0,0,2^SUMPRODUCT(--(MOD(SUMPRODUCT(MOD(INT(AM164/{2,4,8,16,32,64,128,256,512,1024,2048,4096,8192,16384,32768}),2)*(1-MOD(INT(($CJ29+AL209)/{2,4,8,16,32,64,128,256,512,1024,2048,4096,8192,16384,32768}),2))*{2,4,8,16,32,64,128,256,512,1024,2048,4096,8192,16384,32768}),{2,4,8,16,32,64,128,256,512,1024,2048,4096,8192,16384,32768})=0))))</f>
        <v/>
      </c>
      <c r="AN209">
        <f>AM209+IF(AND(AN119&gt;0,COUNTIF($Y119:AM119,AN119)=0),0,IF(SUMPRODUCT(MOD(INT(AN164/{2,4,8,16,32,64,128,256,512,1024,2048,4096,8192,16384,32768}),2)*(1-MOD(INT(($CJ29+AM209)/{2,4,8,16,32,64,128,256,512,1024,2048,4096,8192,16384,32768}),2))*{2,4,8,16,32,64,128,256,512,1024,2048,4096,8192,16384,32768})=0,0,2^SUMPRODUCT(--(MOD(SUMPRODUCT(MOD(INT(AN164/{2,4,8,16,32,64,128,256,512,1024,2048,4096,8192,16384,32768}),2)*(1-MOD(INT(($CJ29+AM209)/{2,4,8,16,32,64,128,256,512,1024,2048,4096,8192,16384,32768}),2))*{2,4,8,16,32,64,128,256,512,1024,2048,4096,8192,16384,32768}),{2,4,8,16,32,64,128,256,512,1024,2048,4096,8192,16384,32768})=0))))</f>
        <v/>
      </c>
      <c r="AO209">
        <f>AN209+IF(AND(AO119&gt;0,COUNTIF($Y119:AN119,AO119)=0),0,IF(SUMPRODUCT(MOD(INT(AO164/{2,4,8,16,32,64,128,256,512,1024,2048,4096,8192,16384,32768}),2)*(1-MOD(INT(($CJ29+AN209)/{2,4,8,16,32,64,128,256,512,1024,2048,4096,8192,16384,32768}),2))*{2,4,8,16,32,64,128,256,512,1024,2048,4096,8192,16384,32768})=0,0,2^SUMPRODUCT(--(MOD(SUMPRODUCT(MOD(INT(AO164/{2,4,8,16,32,64,128,256,512,1024,2048,4096,8192,16384,32768}),2)*(1-MOD(INT(($CJ29+AN209)/{2,4,8,16,32,64,128,256,512,1024,2048,4096,8192,16384,32768}),2))*{2,4,8,16,32,64,128,256,512,1024,2048,4096,8192,16384,32768}),{2,4,8,16,32,64,128,256,512,1024,2048,4096,8192,16384,32768})=0))))</f>
        <v/>
      </c>
      <c r="AP209">
        <f>AO209+IF(AND(AP119&gt;0,COUNTIF($Y119:AO119,AP119)=0),0,IF(SUMPRODUCT(MOD(INT(AP164/{2,4,8,16,32,64,128,256,512,1024,2048,4096,8192,16384,32768}),2)*(1-MOD(INT(($CJ29+AO209)/{2,4,8,16,32,64,128,256,512,1024,2048,4096,8192,16384,32768}),2))*{2,4,8,16,32,64,128,256,512,1024,2048,4096,8192,16384,32768})=0,0,2^SUMPRODUCT(--(MOD(SUMPRODUCT(MOD(INT(AP164/{2,4,8,16,32,64,128,256,512,1024,2048,4096,8192,16384,32768}),2)*(1-MOD(INT(($CJ29+AO209)/{2,4,8,16,32,64,128,256,512,1024,2048,4096,8192,16384,32768}),2))*{2,4,8,16,32,64,128,256,512,1024,2048,4096,8192,16384,32768}),{2,4,8,16,32,64,128,256,512,1024,2048,4096,8192,16384,32768})=0))))</f>
        <v/>
      </c>
      <c r="AQ209">
        <f>AP209+IF(AND(AQ119&gt;0,COUNTIF($Y119:AP119,AQ119)=0),0,IF(SUMPRODUCT(MOD(INT(AQ164/{2,4,8,16,32,64,128,256,512,1024,2048,4096,8192,16384,32768}),2)*(1-MOD(INT(($CJ29+AP209)/{2,4,8,16,32,64,128,256,512,1024,2048,4096,8192,16384,32768}),2))*{2,4,8,16,32,64,128,256,512,1024,2048,4096,8192,16384,32768})=0,0,2^SUMPRODUCT(--(MOD(SUMPRODUCT(MOD(INT(AQ164/{2,4,8,16,32,64,128,256,512,1024,2048,4096,8192,16384,32768}),2)*(1-MOD(INT(($CJ29+AP209)/{2,4,8,16,32,64,128,256,512,1024,2048,4096,8192,16384,32768}),2))*{2,4,8,16,32,64,128,256,512,1024,2048,4096,8192,16384,32768}),{2,4,8,16,32,64,128,256,512,1024,2048,4096,8192,16384,32768})=0))))</f>
        <v/>
      </c>
      <c r="AR209">
        <f>AQ209+IF(AND(AR119&gt;0,COUNTIF($Y119:AQ119,AR119)=0),0,IF(SUMPRODUCT(MOD(INT(AR164/{2,4,8,16,32,64,128,256,512,1024,2048,4096,8192,16384,32768}),2)*(1-MOD(INT(($CJ29+AQ209)/{2,4,8,16,32,64,128,256,512,1024,2048,4096,8192,16384,32768}),2))*{2,4,8,16,32,64,128,256,512,1024,2048,4096,8192,16384,32768})=0,0,2^SUMPRODUCT(--(MOD(SUMPRODUCT(MOD(INT(AR164/{2,4,8,16,32,64,128,256,512,1024,2048,4096,8192,16384,32768}),2)*(1-MOD(INT(($CJ29+AQ209)/{2,4,8,16,32,64,128,256,512,1024,2048,4096,8192,16384,32768}),2))*{2,4,8,16,32,64,128,256,512,1024,2048,4096,8192,16384,32768}),{2,4,8,16,32,64,128,256,512,1024,2048,4096,8192,16384,32768})=0))))</f>
        <v/>
      </c>
      <c r="AS209">
        <f>AR209+IF(AND(AS119&gt;0,COUNTIF($Y119:AR119,AS119)=0),0,IF(SUMPRODUCT(MOD(INT(AS164/{2,4,8,16,32,64,128,256,512,1024,2048,4096,8192,16384,32768}),2)*(1-MOD(INT(($CJ29+AR209)/{2,4,8,16,32,64,128,256,512,1024,2048,4096,8192,16384,32768}),2))*{2,4,8,16,32,64,128,256,512,1024,2048,4096,8192,16384,32768})=0,0,2^SUMPRODUCT(--(MOD(SUMPRODUCT(MOD(INT(AS164/{2,4,8,16,32,64,128,256,512,1024,2048,4096,8192,16384,32768}),2)*(1-MOD(INT(($CJ29+AR209)/{2,4,8,16,32,64,128,256,512,1024,2048,4096,8192,16384,32768}),2))*{2,4,8,16,32,64,128,256,512,1024,2048,4096,8192,16384,32768}),{2,4,8,16,32,64,128,256,512,1024,2048,4096,8192,16384,32768})=0))))</f>
        <v/>
      </c>
      <c r="AT209">
        <f>AS209+IF(AND(AT119&gt;0,COUNTIF($Y119:AS119,AT119)=0),0,IF(SUMPRODUCT(MOD(INT(AT164/{2,4,8,16,32,64,128,256,512,1024,2048,4096,8192,16384,32768}),2)*(1-MOD(INT(($CJ29+AS209)/{2,4,8,16,32,64,128,256,512,1024,2048,4096,8192,16384,32768}),2))*{2,4,8,16,32,64,128,256,512,1024,2048,4096,8192,16384,32768})=0,0,2^SUMPRODUCT(--(MOD(SUMPRODUCT(MOD(INT(AT164/{2,4,8,16,32,64,128,256,512,1024,2048,4096,8192,16384,32768}),2)*(1-MOD(INT(($CJ29+AS209)/{2,4,8,16,32,64,128,256,512,1024,2048,4096,8192,16384,32768}),2))*{2,4,8,16,32,64,128,256,512,1024,2048,4096,8192,16384,32768}),{2,4,8,16,32,64,128,256,512,1024,2048,4096,8192,16384,32768})=0))))</f>
        <v/>
      </c>
      <c r="AU209">
        <f>AT209+IF(AND(AU119&gt;0,COUNTIF($Y119:AT119,AU119)=0),0,IF(SUMPRODUCT(MOD(INT(AU164/{2,4,8,16,32,64,128,256,512,1024,2048,4096,8192,16384,32768}),2)*(1-MOD(INT(($CJ29+AT209)/{2,4,8,16,32,64,128,256,512,1024,2048,4096,8192,16384,32768}),2))*{2,4,8,16,32,64,128,256,512,1024,2048,4096,8192,16384,32768})=0,0,2^SUMPRODUCT(--(MOD(SUMPRODUCT(MOD(INT(AU164/{2,4,8,16,32,64,128,256,512,1024,2048,4096,8192,16384,32768}),2)*(1-MOD(INT(($CJ29+AT209)/{2,4,8,16,32,64,128,256,512,1024,2048,4096,8192,16384,32768}),2))*{2,4,8,16,32,64,128,256,512,1024,2048,4096,8192,16384,32768}),{2,4,8,16,32,64,128,256,512,1024,2048,4096,8192,16384,32768})=0))))</f>
        <v/>
      </c>
      <c r="AV209">
        <f>AU209+IF(AND(AV119&gt;0,COUNTIF($Y119:AU119,AV119)=0),0,IF(SUMPRODUCT(MOD(INT(AV164/{2,4,8,16,32,64,128,256,512,1024,2048,4096,8192,16384,32768}),2)*(1-MOD(INT(($CJ29+AU209)/{2,4,8,16,32,64,128,256,512,1024,2048,4096,8192,16384,32768}),2))*{2,4,8,16,32,64,128,256,512,1024,2048,4096,8192,16384,32768})=0,0,2^SUMPRODUCT(--(MOD(SUMPRODUCT(MOD(INT(AV164/{2,4,8,16,32,64,128,256,512,1024,2048,4096,8192,16384,32768}),2)*(1-MOD(INT(($CJ29+AU209)/{2,4,8,16,32,64,128,256,512,1024,2048,4096,8192,16384,32768}),2))*{2,4,8,16,32,64,128,256,512,1024,2048,4096,8192,16384,32768}),{2,4,8,16,32,64,128,256,512,1024,2048,4096,8192,16384,32768})=0))))</f>
        <v/>
      </c>
      <c r="AW209">
        <f>AV209+IF(AND(AW119&gt;0,COUNTIF($Y119:AV119,AW119)=0),0,IF(SUMPRODUCT(MOD(INT(AW164/{2,4,8,16,32,64,128,256,512,1024,2048,4096,8192,16384,32768}),2)*(1-MOD(INT(($CJ29+AV209)/{2,4,8,16,32,64,128,256,512,1024,2048,4096,8192,16384,32768}),2))*{2,4,8,16,32,64,128,256,512,1024,2048,4096,8192,16384,32768})=0,0,2^SUMPRODUCT(--(MOD(SUMPRODUCT(MOD(INT(AW164/{2,4,8,16,32,64,128,256,512,1024,2048,4096,8192,16384,32768}),2)*(1-MOD(INT(($CJ29+AV209)/{2,4,8,16,32,64,128,256,512,1024,2048,4096,8192,16384,32768}),2))*{2,4,8,16,32,64,128,256,512,1024,2048,4096,8192,16384,32768}),{2,4,8,16,32,64,128,256,512,1024,2048,4096,8192,16384,32768})=0))))</f>
        <v/>
      </c>
      <c r="AX209">
        <f>AW209+IF(AND(AX119&gt;0,COUNTIF($Y119:AW119,AX119)=0),0,IF(SUMPRODUCT(MOD(INT(AX164/{2,4,8,16,32,64,128,256,512,1024,2048,4096,8192,16384,32768}),2)*(1-MOD(INT(($CJ29+AW209)/{2,4,8,16,32,64,128,256,512,1024,2048,4096,8192,16384,32768}),2))*{2,4,8,16,32,64,128,256,512,1024,2048,4096,8192,16384,32768})=0,0,2^SUMPRODUCT(--(MOD(SUMPRODUCT(MOD(INT(AX164/{2,4,8,16,32,64,128,256,512,1024,2048,4096,8192,16384,32768}),2)*(1-MOD(INT(($CJ29+AW209)/{2,4,8,16,32,64,128,256,512,1024,2048,4096,8192,16384,32768}),2))*{2,4,8,16,32,64,128,256,512,1024,2048,4096,8192,16384,32768}),{2,4,8,16,32,64,128,256,512,1024,2048,4096,8192,16384,32768})=0))))</f>
        <v/>
      </c>
      <c r="AY209">
        <f>AX209+IF(AND(AY119&gt;0,COUNTIF($Y119:AX119,AY119)=0),0,IF(SUMPRODUCT(MOD(INT(AY164/{2,4,8,16,32,64,128,256,512,1024,2048,4096,8192,16384,32768}),2)*(1-MOD(INT(($CJ29+AX209)/{2,4,8,16,32,64,128,256,512,1024,2048,4096,8192,16384,32768}),2))*{2,4,8,16,32,64,128,256,512,1024,2048,4096,8192,16384,32768})=0,0,2^SUMPRODUCT(--(MOD(SUMPRODUCT(MOD(INT(AY164/{2,4,8,16,32,64,128,256,512,1024,2048,4096,8192,16384,32768}),2)*(1-MOD(INT(($CJ29+AX209)/{2,4,8,16,32,64,128,256,512,1024,2048,4096,8192,16384,32768}),2))*{2,4,8,16,32,64,128,256,512,1024,2048,4096,8192,16384,32768}),{2,4,8,16,32,64,128,256,512,1024,2048,4096,8192,16384,32768})=0))))</f>
        <v/>
      </c>
      <c r="AZ209">
        <f>AY209+IF(AND(AZ119&gt;0,COUNTIF($Y119:AY119,AZ119)=0),0,IF(SUMPRODUCT(MOD(INT(AZ164/{2,4,8,16,32,64,128,256,512,1024,2048,4096,8192,16384,32768}),2)*(1-MOD(INT(($CJ29+AY209)/{2,4,8,16,32,64,128,256,512,1024,2048,4096,8192,16384,32768}),2))*{2,4,8,16,32,64,128,256,512,1024,2048,4096,8192,16384,32768})=0,0,2^SUMPRODUCT(--(MOD(SUMPRODUCT(MOD(INT(AZ164/{2,4,8,16,32,64,128,256,512,1024,2048,4096,8192,16384,32768}),2)*(1-MOD(INT(($CJ29+AY209)/{2,4,8,16,32,64,128,256,512,1024,2048,4096,8192,16384,32768}),2))*{2,4,8,16,32,64,128,256,512,1024,2048,4096,8192,16384,32768}),{2,4,8,16,32,64,128,256,512,1024,2048,4096,8192,16384,32768})=0))))</f>
        <v/>
      </c>
      <c r="BA209">
        <f>AZ209+IF(AND(BA119&gt;0,COUNTIF($Y119:AZ119,BA119)=0),0,IF(SUMPRODUCT(MOD(INT(BA164/{2,4,8,16,32,64,128,256,512,1024,2048,4096,8192,16384,32768}),2)*(1-MOD(INT(($CJ29+AZ209)/{2,4,8,16,32,64,128,256,512,1024,2048,4096,8192,16384,32768}),2))*{2,4,8,16,32,64,128,256,512,1024,2048,4096,8192,16384,32768})=0,0,2^SUMPRODUCT(--(MOD(SUMPRODUCT(MOD(INT(BA164/{2,4,8,16,32,64,128,256,512,1024,2048,4096,8192,16384,32768}),2)*(1-MOD(INT(($CJ29+AZ209)/{2,4,8,16,32,64,128,256,512,1024,2048,4096,8192,16384,32768}),2))*{2,4,8,16,32,64,128,256,512,1024,2048,4096,8192,16384,32768}),{2,4,8,16,32,64,128,256,512,1024,2048,4096,8192,16384,32768})=0))))</f>
        <v/>
      </c>
      <c r="BB209">
        <f>BA209+IF(AND(BB119&gt;0,COUNTIF($Y119:BA119,BB119)=0),0,IF(SUMPRODUCT(MOD(INT(BB164/{2,4,8,16,32,64,128,256,512,1024,2048,4096,8192,16384,32768}),2)*(1-MOD(INT(($CJ29+BA209)/{2,4,8,16,32,64,128,256,512,1024,2048,4096,8192,16384,32768}),2))*{2,4,8,16,32,64,128,256,512,1024,2048,4096,8192,16384,32768})=0,0,2^SUMPRODUCT(--(MOD(SUMPRODUCT(MOD(INT(BB164/{2,4,8,16,32,64,128,256,512,1024,2048,4096,8192,16384,32768}),2)*(1-MOD(INT(($CJ29+BA209)/{2,4,8,16,32,64,128,256,512,1024,2048,4096,8192,16384,32768}),2))*{2,4,8,16,32,64,128,256,512,1024,2048,4096,8192,16384,32768}),{2,4,8,16,32,64,128,256,512,1024,2048,4096,8192,16384,32768})=0))))</f>
        <v/>
      </c>
      <c r="BC209">
        <f>BB209+IF(AND(BC119&gt;0,COUNTIF($Y119:BB119,BC119)=0),0,IF(SUMPRODUCT(MOD(INT(BC164/{2,4,8,16,32,64,128,256,512,1024,2048,4096,8192,16384,32768}),2)*(1-MOD(INT(($CJ29+BB209)/{2,4,8,16,32,64,128,256,512,1024,2048,4096,8192,16384,32768}),2))*{2,4,8,16,32,64,128,256,512,1024,2048,4096,8192,16384,32768})=0,0,2^SUMPRODUCT(--(MOD(SUMPRODUCT(MOD(INT(BC164/{2,4,8,16,32,64,128,256,512,1024,2048,4096,8192,16384,32768}),2)*(1-MOD(INT(($CJ29+BB209)/{2,4,8,16,32,64,128,256,512,1024,2048,4096,8192,16384,32768}),2))*{2,4,8,16,32,64,128,256,512,1024,2048,4096,8192,16384,32768}),{2,4,8,16,32,64,128,256,512,1024,2048,4096,8192,16384,32768})=0))))</f>
        <v/>
      </c>
      <c r="BD209">
        <f>BC209+IF(AND(BD119&gt;0,COUNTIF($Y119:BC119,BD119)=0),0,IF(SUMPRODUCT(MOD(INT(BD164/{2,4,8,16,32,64,128,256,512,1024,2048,4096,8192,16384,32768}),2)*(1-MOD(INT(($CJ29+BC209)/{2,4,8,16,32,64,128,256,512,1024,2048,4096,8192,16384,32768}),2))*{2,4,8,16,32,64,128,256,512,1024,2048,4096,8192,16384,32768})=0,0,2^SUMPRODUCT(--(MOD(SUMPRODUCT(MOD(INT(BD164/{2,4,8,16,32,64,128,256,512,1024,2048,4096,8192,16384,32768}),2)*(1-MOD(INT(($CJ29+BC209)/{2,4,8,16,32,64,128,256,512,1024,2048,4096,8192,16384,32768}),2))*{2,4,8,16,32,64,128,256,512,1024,2048,4096,8192,16384,32768}),{2,4,8,16,32,64,128,256,512,1024,2048,4096,8192,16384,32768})=0))))</f>
        <v/>
      </c>
      <c r="BE209">
        <f>BD209+IF(AND(BE119&gt;0,COUNTIF($Y119:BD119,BE119)=0),0,IF(SUMPRODUCT(MOD(INT(BE164/{2,4,8,16,32,64,128,256,512,1024,2048,4096,8192,16384,32768}),2)*(1-MOD(INT(($CJ29+BD209)/{2,4,8,16,32,64,128,256,512,1024,2048,4096,8192,16384,32768}),2))*{2,4,8,16,32,64,128,256,512,1024,2048,4096,8192,16384,32768})=0,0,2^SUMPRODUCT(--(MOD(SUMPRODUCT(MOD(INT(BE164/{2,4,8,16,32,64,128,256,512,1024,2048,4096,8192,16384,32768}),2)*(1-MOD(INT(($CJ29+BD209)/{2,4,8,16,32,64,128,256,512,1024,2048,4096,8192,16384,32768}),2))*{2,4,8,16,32,64,128,256,512,1024,2048,4096,8192,16384,32768}),{2,4,8,16,32,64,128,256,512,1024,2048,4096,8192,16384,32768})=0))))</f>
        <v/>
      </c>
      <c r="BF209">
        <f>BE209+IF(AND(BF119&gt;0,COUNTIF($Y119:BE119,BF119)=0),0,IF(SUMPRODUCT(MOD(INT(BF164/{2,4,8,16,32,64,128,256,512,1024,2048,4096,8192,16384,32768}),2)*(1-MOD(INT(($CJ29+BE209)/{2,4,8,16,32,64,128,256,512,1024,2048,4096,8192,16384,32768}),2))*{2,4,8,16,32,64,128,256,512,1024,2048,4096,8192,16384,32768})=0,0,2^SUMPRODUCT(--(MOD(SUMPRODUCT(MOD(INT(BF164/{2,4,8,16,32,64,128,256,512,1024,2048,4096,8192,16384,32768}),2)*(1-MOD(INT(($CJ29+BE209)/{2,4,8,16,32,64,128,256,512,1024,2048,4096,8192,16384,32768}),2))*{2,4,8,16,32,64,128,256,512,1024,2048,4096,8192,16384,32768}),{2,4,8,16,32,64,128,256,512,1024,2048,4096,8192,16384,32768})=0))))</f>
        <v/>
      </c>
      <c r="BG209">
        <f>BF209+IF(AND(BG119&gt;0,COUNTIF($Y119:BF119,BG119)=0),0,IF(SUMPRODUCT(MOD(INT(BG164/{2,4,8,16,32,64,128,256,512,1024,2048,4096,8192,16384,32768}),2)*(1-MOD(INT(($CJ29+BF209)/{2,4,8,16,32,64,128,256,512,1024,2048,4096,8192,16384,32768}),2))*{2,4,8,16,32,64,128,256,512,1024,2048,4096,8192,16384,32768})=0,0,2^SUMPRODUCT(--(MOD(SUMPRODUCT(MOD(INT(BG164/{2,4,8,16,32,64,128,256,512,1024,2048,4096,8192,16384,32768}),2)*(1-MOD(INT(($CJ29+BF209)/{2,4,8,16,32,64,128,256,512,1024,2048,4096,8192,16384,32768}),2))*{2,4,8,16,32,64,128,256,512,1024,2048,4096,8192,16384,32768}),{2,4,8,16,32,64,128,256,512,1024,2048,4096,8192,16384,32768})=0))))</f>
        <v/>
      </c>
      <c r="BH209">
        <f>BG209+IF(AND(BH119&gt;0,COUNTIF($Y119:BG119,BH119)=0),0,IF(SUMPRODUCT(MOD(INT(BH164/{2,4,8,16,32,64,128,256,512,1024,2048,4096,8192,16384,32768}),2)*(1-MOD(INT(($CJ29+BG209)/{2,4,8,16,32,64,128,256,512,1024,2048,4096,8192,16384,32768}),2))*{2,4,8,16,32,64,128,256,512,1024,2048,4096,8192,16384,32768})=0,0,2^SUMPRODUCT(--(MOD(SUMPRODUCT(MOD(INT(BH164/{2,4,8,16,32,64,128,256,512,1024,2048,4096,8192,16384,32768}),2)*(1-MOD(INT(($CJ29+BG209)/{2,4,8,16,32,64,128,256,512,1024,2048,4096,8192,16384,32768}),2))*{2,4,8,16,32,64,128,256,512,1024,2048,4096,8192,16384,32768}),{2,4,8,16,32,64,128,256,512,1024,2048,4096,8192,16384,32768})=0))))</f>
        <v/>
      </c>
      <c r="BI209">
        <f>BH209+IF(AND(BI119&gt;0,COUNTIF($Y119:BH119,BI119)=0),0,IF(SUMPRODUCT(MOD(INT(BI164/{2,4,8,16,32,64,128,256,512,1024,2048,4096,8192,16384,32768}),2)*(1-MOD(INT(($CJ29+BH209)/{2,4,8,16,32,64,128,256,512,1024,2048,4096,8192,16384,32768}),2))*{2,4,8,16,32,64,128,256,512,1024,2048,4096,8192,16384,32768})=0,0,2^SUMPRODUCT(--(MOD(SUMPRODUCT(MOD(INT(BI164/{2,4,8,16,32,64,128,256,512,1024,2048,4096,8192,16384,32768}),2)*(1-MOD(INT(($CJ29+BH209)/{2,4,8,16,32,64,128,256,512,1024,2048,4096,8192,16384,32768}),2))*{2,4,8,16,32,64,128,256,512,1024,2048,4096,8192,16384,32768}),{2,4,8,16,32,64,128,256,512,1024,2048,4096,8192,16384,32768})=0))))</f>
        <v/>
      </c>
      <c r="BJ209">
        <f>BI209+IF(AND(BJ119&gt;0,COUNTIF($Y119:BI119,BJ119)=0),0,IF(SUMPRODUCT(MOD(INT(BJ164/{2,4,8,16,32,64,128,256,512,1024,2048,4096,8192,16384,32768}),2)*(1-MOD(INT(($CJ29+BI209)/{2,4,8,16,32,64,128,256,512,1024,2048,4096,8192,16384,32768}),2))*{2,4,8,16,32,64,128,256,512,1024,2048,4096,8192,16384,32768})=0,0,2^SUMPRODUCT(--(MOD(SUMPRODUCT(MOD(INT(BJ164/{2,4,8,16,32,64,128,256,512,1024,2048,4096,8192,16384,32768}),2)*(1-MOD(INT(($CJ29+BI209)/{2,4,8,16,32,64,128,256,512,1024,2048,4096,8192,16384,32768}),2))*{2,4,8,16,32,64,128,256,512,1024,2048,4096,8192,16384,32768}),{2,4,8,16,32,64,128,256,512,1024,2048,4096,8192,16384,32768})=0))))</f>
        <v/>
      </c>
      <c r="BK209">
        <f>BJ209+IF(AND(BK119&gt;0,COUNTIF($Y119:BJ119,BK119)=0),0,IF(SUMPRODUCT(MOD(INT(BK164/{2,4,8,16,32,64,128,256,512,1024,2048,4096,8192,16384,32768}),2)*(1-MOD(INT(($CJ29+BJ209)/{2,4,8,16,32,64,128,256,512,1024,2048,4096,8192,16384,32768}),2))*{2,4,8,16,32,64,128,256,512,1024,2048,4096,8192,16384,32768})=0,0,2^SUMPRODUCT(--(MOD(SUMPRODUCT(MOD(INT(BK164/{2,4,8,16,32,64,128,256,512,1024,2048,4096,8192,16384,32768}),2)*(1-MOD(INT(($CJ29+BJ209)/{2,4,8,16,32,64,128,256,512,1024,2048,4096,8192,16384,32768}),2))*{2,4,8,16,32,64,128,256,512,1024,2048,4096,8192,16384,32768}),{2,4,8,16,32,64,128,256,512,1024,2048,4096,8192,16384,32768})=0))))</f>
        <v/>
      </c>
      <c r="BL209">
        <f>BK209+IF(AND(BL119&gt;0,COUNTIF($Y119:BK119,BL119)=0),0,IF(SUMPRODUCT(MOD(INT(BL164/{2,4,8,16,32,64,128,256,512,1024,2048,4096,8192,16384,32768}),2)*(1-MOD(INT(($CJ29+BK209)/{2,4,8,16,32,64,128,256,512,1024,2048,4096,8192,16384,32768}),2))*{2,4,8,16,32,64,128,256,512,1024,2048,4096,8192,16384,32768})=0,0,2^SUMPRODUCT(--(MOD(SUMPRODUCT(MOD(INT(BL164/{2,4,8,16,32,64,128,256,512,1024,2048,4096,8192,16384,32768}),2)*(1-MOD(INT(($CJ29+BK209)/{2,4,8,16,32,64,128,256,512,1024,2048,4096,8192,16384,32768}),2))*{2,4,8,16,32,64,128,256,512,1024,2048,4096,8192,16384,32768}),{2,4,8,16,32,64,128,256,512,1024,2048,4096,8192,16384,32768})=0))))</f>
        <v/>
      </c>
      <c r="BM209">
        <f>BL209+IF(AND(BM119&gt;0,COUNTIF($Y119:BL119,BM119)=0),0,IF(SUMPRODUCT(MOD(INT(BM164/{2,4,8,16,32,64,128,256,512,1024,2048,4096,8192,16384,32768}),2)*(1-MOD(INT(($CJ29+BL209)/{2,4,8,16,32,64,128,256,512,1024,2048,4096,8192,16384,32768}),2))*{2,4,8,16,32,64,128,256,512,1024,2048,4096,8192,16384,32768})=0,0,2^SUMPRODUCT(--(MOD(SUMPRODUCT(MOD(INT(BM164/{2,4,8,16,32,64,128,256,512,1024,2048,4096,8192,16384,32768}),2)*(1-MOD(INT(($CJ29+BL209)/{2,4,8,16,32,64,128,256,512,1024,2048,4096,8192,16384,32768}),2))*{2,4,8,16,32,64,128,256,512,1024,2048,4096,8192,16384,32768}),{2,4,8,16,32,64,128,256,512,1024,2048,4096,8192,16384,32768})=0))))</f>
        <v/>
      </c>
      <c r="BN209">
        <f>BM209+IF(AND(BN119&gt;0,COUNTIF($Y119:BM119,BN119)=0),0,IF(SUMPRODUCT(MOD(INT(BN164/{2,4,8,16,32,64,128,256,512,1024,2048,4096,8192,16384,32768}),2)*(1-MOD(INT(($CJ29+BM209)/{2,4,8,16,32,64,128,256,512,1024,2048,4096,8192,16384,32768}),2))*{2,4,8,16,32,64,128,256,512,1024,2048,4096,8192,16384,32768})=0,0,2^SUMPRODUCT(--(MOD(SUMPRODUCT(MOD(INT(BN164/{2,4,8,16,32,64,128,256,512,1024,2048,4096,8192,16384,32768}),2)*(1-MOD(INT(($CJ29+BM209)/{2,4,8,16,32,64,128,256,512,1024,2048,4096,8192,16384,32768}),2))*{2,4,8,16,32,64,128,256,512,1024,2048,4096,8192,16384,32768}),{2,4,8,16,32,64,128,256,512,1024,2048,4096,8192,16384,32768})=0))))</f>
        <v/>
      </c>
      <c r="BO209">
        <f>BN209+IF(AND(BO119&gt;0,COUNTIF($Y119:BN119,BO119)=0),0,IF(SUMPRODUCT(MOD(INT(BO164/{2,4,8,16,32,64,128,256,512,1024,2048,4096,8192,16384,32768}),2)*(1-MOD(INT(($CJ29+BN209)/{2,4,8,16,32,64,128,256,512,1024,2048,4096,8192,16384,32768}),2))*{2,4,8,16,32,64,128,256,512,1024,2048,4096,8192,16384,32768})=0,0,2^SUMPRODUCT(--(MOD(SUMPRODUCT(MOD(INT(BO164/{2,4,8,16,32,64,128,256,512,1024,2048,4096,8192,16384,32768}),2)*(1-MOD(INT(($CJ29+BN209)/{2,4,8,16,32,64,128,256,512,1024,2048,4096,8192,16384,32768}),2))*{2,4,8,16,32,64,128,256,512,1024,2048,4096,8192,16384,32768}),{2,4,8,16,32,64,128,256,512,1024,2048,4096,8192,16384,32768})=0))))</f>
        <v/>
      </c>
      <c r="BP209">
        <f>BO209+IF(AND(BP119&gt;0,COUNTIF($Y119:BO119,BP119)=0),0,IF(SUMPRODUCT(MOD(INT(BP164/{2,4,8,16,32,64,128,256,512,1024,2048,4096,8192,16384,32768}),2)*(1-MOD(INT(($CJ29+BO209)/{2,4,8,16,32,64,128,256,512,1024,2048,4096,8192,16384,32768}),2))*{2,4,8,16,32,64,128,256,512,1024,2048,4096,8192,16384,32768})=0,0,2^SUMPRODUCT(--(MOD(SUMPRODUCT(MOD(INT(BP164/{2,4,8,16,32,64,128,256,512,1024,2048,4096,8192,16384,32768}),2)*(1-MOD(INT(($CJ29+BO209)/{2,4,8,16,32,64,128,256,512,1024,2048,4096,8192,16384,32768}),2))*{2,4,8,16,32,64,128,256,512,1024,2048,4096,8192,16384,32768}),{2,4,8,16,32,64,128,256,512,1024,2048,4096,8192,16384,32768})=0))))</f>
        <v/>
      </c>
      <c r="BQ209">
        <f>BP209+IF(AND(BQ119&gt;0,COUNTIF($Y119:BP119,BQ119)=0),0,IF(SUMPRODUCT(MOD(INT(BQ164/{2,4,8,16,32,64,128,256,512,1024,2048,4096,8192,16384,32768}),2)*(1-MOD(INT(($CJ29+BP209)/{2,4,8,16,32,64,128,256,512,1024,2048,4096,8192,16384,32768}),2))*{2,4,8,16,32,64,128,256,512,1024,2048,4096,8192,16384,32768})=0,0,2^SUMPRODUCT(--(MOD(SUMPRODUCT(MOD(INT(BQ164/{2,4,8,16,32,64,128,256,512,1024,2048,4096,8192,16384,32768}),2)*(1-MOD(INT(($CJ29+BP209)/{2,4,8,16,32,64,128,256,512,1024,2048,4096,8192,16384,32768}),2))*{2,4,8,16,32,64,128,256,512,1024,2048,4096,8192,16384,32768}),{2,4,8,16,32,64,128,256,512,1024,2048,4096,8192,16384,32768})=0))))</f>
        <v/>
      </c>
      <c r="BR209">
        <f>BQ209+IF(AND(BR119&gt;0,COUNTIF($Y119:BQ119,BR119)=0),0,IF(SUMPRODUCT(MOD(INT(BR164/{2,4,8,16,32,64,128,256,512,1024,2048,4096,8192,16384,32768}),2)*(1-MOD(INT(($CJ29+BQ209)/{2,4,8,16,32,64,128,256,512,1024,2048,4096,8192,16384,32768}),2))*{2,4,8,16,32,64,128,256,512,1024,2048,4096,8192,16384,32768})=0,0,2^SUMPRODUCT(--(MOD(SUMPRODUCT(MOD(INT(BR164/{2,4,8,16,32,64,128,256,512,1024,2048,4096,8192,16384,32768}),2)*(1-MOD(INT(($CJ29+BQ209)/{2,4,8,16,32,64,128,256,512,1024,2048,4096,8192,16384,32768}),2))*{2,4,8,16,32,64,128,256,512,1024,2048,4096,8192,16384,32768}),{2,4,8,16,32,64,128,256,512,1024,2048,4096,8192,16384,32768})=0))))</f>
        <v/>
      </c>
      <c r="BS209">
        <f>BR209+IF(AND(BS119&gt;0,COUNTIF($Y119:BR119,BS119)=0),0,IF(SUMPRODUCT(MOD(INT(BS164/{2,4,8,16,32,64,128,256,512,1024,2048,4096,8192,16384,32768}),2)*(1-MOD(INT(($CJ29+BR209)/{2,4,8,16,32,64,128,256,512,1024,2048,4096,8192,16384,32768}),2))*{2,4,8,16,32,64,128,256,512,1024,2048,4096,8192,16384,32768})=0,0,2^SUMPRODUCT(--(MOD(SUMPRODUCT(MOD(INT(BS164/{2,4,8,16,32,64,128,256,512,1024,2048,4096,8192,16384,32768}),2)*(1-MOD(INT(($CJ29+BR209)/{2,4,8,16,32,64,128,256,512,1024,2048,4096,8192,16384,32768}),2))*{2,4,8,16,32,64,128,256,512,1024,2048,4096,8192,16384,32768}),{2,4,8,16,32,64,128,256,512,1024,2048,4096,8192,16384,32768})=0))))</f>
        <v/>
      </c>
      <c r="BT209">
        <f>BS209+IF(AND(BT119&gt;0,COUNTIF($Y119:BS119,BT119)=0),0,IF(SUMPRODUCT(MOD(INT(BT164/{2,4,8,16,32,64,128,256,512,1024,2048,4096,8192,16384,32768}),2)*(1-MOD(INT(($CJ29+BS209)/{2,4,8,16,32,64,128,256,512,1024,2048,4096,8192,16384,32768}),2))*{2,4,8,16,32,64,128,256,512,1024,2048,4096,8192,16384,32768})=0,0,2^SUMPRODUCT(--(MOD(SUMPRODUCT(MOD(INT(BT164/{2,4,8,16,32,64,128,256,512,1024,2048,4096,8192,16384,32768}),2)*(1-MOD(INT(($CJ29+BS209)/{2,4,8,16,32,64,128,256,512,1024,2048,4096,8192,16384,32768}),2))*{2,4,8,16,32,64,128,256,512,1024,2048,4096,8192,16384,32768}),{2,4,8,16,32,64,128,256,512,1024,2048,4096,8192,16384,32768})=0))))</f>
        <v/>
      </c>
      <c r="BU209">
        <f>BT209+IF(AND(BU119&gt;0,COUNTIF($Y119:BT119,BU119)=0),0,IF(SUMPRODUCT(MOD(INT(BU164/{2,4,8,16,32,64,128,256,512,1024,2048,4096,8192,16384,32768}),2)*(1-MOD(INT(($CJ29+BT209)/{2,4,8,16,32,64,128,256,512,1024,2048,4096,8192,16384,32768}),2))*{2,4,8,16,32,64,128,256,512,1024,2048,4096,8192,16384,32768})=0,0,2^SUMPRODUCT(--(MOD(SUMPRODUCT(MOD(INT(BU164/{2,4,8,16,32,64,128,256,512,1024,2048,4096,8192,16384,32768}),2)*(1-MOD(INT(($CJ29+BT209)/{2,4,8,16,32,64,128,256,512,1024,2048,4096,8192,16384,32768}),2))*{2,4,8,16,32,64,128,256,512,1024,2048,4096,8192,16384,32768}),{2,4,8,16,32,64,128,256,512,1024,2048,4096,8192,16384,32768})=0))))</f>
        <v/>
      </c>
      <c r="BV209">
        <f>BU209+IF(AND(BV119&gt;0,COUNTIF($Y119:BU119,BV119)=0),0,IF(SUMPRODUCT(MOD(INT(BV164/{2,4,8,16,32,64,128,256,512,1024,2048,4096,8192,16384,32768}),2)*(1-MOD(INT(($CJ29+BU209)/{2,4,8,16,32,64,128,256,512,1024,2048,4096,8192,16384,32768}),2))*{2,4,8,16,32,64,128,256,512,1024,2048,4096,8192,16384,32768})=0,0,2^SUMPRODUCT(--(MOD(SUMPRODUCT(MOD(INT(BV164/{2,4,8,16,32,64,128,256,512,1024,2048,4096,8192,16384,32768}),2)*(1-MOD(INT(($CJ29+BU209)/{2,4,8,16,32,64,128,256,512,1024,2048,4096,8192,16384,32768}),2))*{2,4,8,16,32,64,128,256,512,1024,2048,4096,8192,16384,32768}),{2,4,8,16,32,64,128,256,512,1024,2048,4096,8192,16384,32768})=0))))</f>
        <v/>
      </c>
      <c r="BW209">
        <f>BV209+IF(AND(BW119&gt;0,COUNTIF($Y119:BV119,BW119)=0),0,IF(SUMPRODUCT(MOD(INT(BW164/{2,4,8,16,32,64,128,256,512,1024,2048,4096,8192,16384,32768}),2)*(1-MOD(INT(($CJ29+BV209)/{2,4,8,16,32,64,128,256,512,1024,2048,4096,8192,16384,32768}),2))*{2,4,8,16,32,64,128,256,512,1024,2048,4096,8192,16384,32768})=0,0,2^SUMPRODUCT(--(MOD(SUMPRODUCT(MOD(INT(BW164/{2,4,8,16,32,64,128,256,512,1024,2048,4096,8192,16384,32768}),2)*(1-MOD(INT(($CJ29+BV209)/{2,4,8,16,32,64,128,256,512,1024,2048,4096,8192,16384,32768}),2))*{2,4,8,16,32,64,128,256,512,1024,2048,4096,8192,16384,32768}),{2,4,8,16,32,64,128,256,512,1024,2048,4096,8192,16384,32768})=0))))</f>
        <v/>
      </c>
      <c r="BX209">
        <f>BW209+IF(AND(BX119&gt;0,COUNTIF($Y119:BW119,BX119)=0),0,IF(SUMPRODUCT(MOD(INT(BX164/{2,4,8,16,32,64,128,256,512,1024,2048,4096,8192,16384,32768}),2)*(1-MOD(INT(($CJ29+BW209)/{2,4,8,16,32,64,128,256,512,1024,2048,4096,8192,16384,32768}),2))*{2,4,8,16,32,64,128,256,512,1024,2048,4096,8192,16384,32768})=0,0,2^SUMPRODUCT(--(MOD(SUMPRODUCT(MOD(INT(BX164/{2,4,8,16,32,64,128,256,512,1024,2048,4096,8192,16384,32768}),2)*(1-MOD(INT(($CJ29+BW209)/{2,4,8,16,32,64,128,256,512,1024,2048,4096,8192,16384,32768}),2))*{2,4,8,16,32,64,128,256,512,1024,2048,4096,8192,16384,32768}),{2,4,8,16,32,64,128,256,512,1024,2048,4096,8192,16384,32768})=0))))</f>
        <v/>
      </c>
      <c r="BY209">
        <f>BX209+IF(AND(BY119&gt;0,COUNTIF($Y119:BX119,BY119)=0),0,IF(SUMPRODUCT(MOD(INT(BY164/{2,4,8,16,32,64,128,256,512,1024,2048,4096,8192,16384,32768}),2)*(1-MOD(INT(($CJ29+BX209)/{2,4,8,16,32,64,128,256,512,1024,2048,4096,8192,16384,32768}),2))*{2,4,8,16,32,64,128,256,512,1024,2048,4096,8192,16384,32768})=0,0,2^SUMPRODUCT(--(MOD(SUMPRODUCT(MOD(INT(BY164/{2,4,8,16,32,64,128,256,512,1024,2048,4096,8192,16384,32768}),2)*(1-MOD(INT(($CJ29+BX209)/{2,4,8,16,32,64,128,256,512,1024,2048,4096,8192,16384,32768}),2))*{2,4,8,16,32,64,128,256,512,1024,2048,4096,8192,16384,32768}),{2,4,8,16,32,64,128,256,512,1024,2048,4096,8192,16384,32768})=0))))</f>
        <v/>
      </c>
      <c r="BZ209">
        <f>BY209+IF(AND(BZ119&gt;0,COUNTIF($Y119:BY119,BZ119)=0),0,IF(SUMPRODUCT(MOD(INT(BZ164/{2,4,8,16,32,64,128,256,512,1024,2048,4096,8192,16384,32768}),2)*(1-MOD(INT(($CJ29+BY209)/{2,4,8,16,32,64,128,256,512,1024,2048,4096,8192,16384,32768}),2))*{2,4,8,16,32,64,128,256,512,1024,2048,4096,8192,16384,32768})=0,0,2^SUMPRODUCT(--(MOD(SUMPRODUCT(MOD(INT(BZ164/{2,4,8,16,32,64,128,256,512,1024,2048,4096,8192,16384,32768}),2)*(1-MOD(INT(($CJ29+BY209)/{2,4,8,16,32,64,128,256,512,1024,2048,4096,8192,16384,32768}),2))*{2,4,8,16,32,64,128,256,512,1024,2048,4096,8192,16384,32768}),{2,4,8,16,32,64,128,256,512,1024,2048,4096,8192,16384,32768})=0))))</f>
        <v/>
      </c>
      <c r="CA209">
        <f>BZ209+IF(AND(CA119&gt;0,COUNTIF($Y119:BZ119,CA119)=0),0,IF(SUMPRODUCT(MOD(INT(CA164/{2,4,8,16,32,64,128,256,512,1024,2048,4096,8192,16384,32768}),2)*(1-MOD(INT(($CJ29+BZ209)/{2,4,8,16,32,64,128,256,512,1024,2048,4096,8192,16384,32768}),2))*{2,4,8,16,32,64,128,256,512,1024,2048,4096,8192,16384,32768})=0,0,2^SUMPRODUCT(--(MOD(SUMPRODUCT(MOD(INT(CA164/{2,4,8,16,32,64,128,256,512,1024,2048,4096,8192,16384,32768}),2)*(1-MOD(INT(($CJ29+BZ209)/{2,4,8,16,32,64,128,256,512,1024,2048,4096,8192,16384,32768}),2))*{2,4,8,16,32,64,128,256,512,1024,2048,4096,8192,16384,32768}),{2,4,8,16,32,64,128,256,512,1024,2048,4096,8192,16384,32768})=0))))</f>
        <v/>
      </c>
      <c r="CB209">
        <f>CA209+IF(AND(CB119&gt;0,COUNTIF($Y119:CA119,CB119)=0),0,IF(SUMPRODUCT(MOD(INT(CB164/{2,4,8,16,32,64,128,256,512,1024,2048,4096,8192,16384,32768}),2)*(1-MOD(INT(($CJ29+CA209)/{2,4,8,16,32,64,128,256,512,1024,2048,4096,8192,16384,32768}),2))*{2,4,8,16,32,64,128,256,512,1024,2048,4096,8192,16384,32768})=0,0,2^SUMPRODUCT(--(MOD(SUMPRODUCT(MOD(INT(CB164/{2,4,8,16,32,64,128,256,512,1024,2048,4096,8192,16384,32768}),2)*(1-MOD(INT(($CJ29+CA209)/{2,4,8,16,32,64,128,256,512,1024,2048,4096,8192,16384,32768}),2))*{2,4,8,16,32,64,128,256,512,1024,2048,4096,8192,16384,32768}),{2,4,8,16,32,64,128,256,512,1024,2048,4096,8192,16384,32768})=0))))</f>
        <v/>
      </c>
      <c r="CC209">
        <f>CB209+IF(AND(CC119&gt;0,COUNTIF($Y119:CB119,CC119)=0),0,IF(SUMPRODUCT(MOD(INT(CC164/{2,4,8,16,32,64,128,256,512,1024,2048,4096,8192,16384,32768}),2)*(1-MOD(INT(($CJ29+CB209)/{2,4,8,16,32,64,128,256,512,1024,2048,4096,8192,16384,32768}),2))*{2,4,8,16,32,64,128,256,512,1024,2048,4096,8192,16384,32768})=0,0,2^SUMPRODUCT(--(MOD(SUMPRODUCT(MOD(INT(CC164/{2,4,8,16,32,64,128,256,512,1024,2048,4096,8192,16384,32768}),2)*(1-MOD(INT(($CJ29+CB209)/{2,4,8,16,32,64,128,256,512,1024,2048,4096,8192,16384,32768}),2))*{2,4,8,16,32,64,128,256,512,1024,2048,4096,8192,16384,32768}),{2,4,8,16,32,64,128,256,512,1024,2048,4096,8192,16384,32768})=0))))</f>
        <v/>
      </c>
      <c r="CD209">
        <f>CC209+IF(AND(CD119&gt;0,COUNTIF($Y119:CC119,CD119)=0),0,IF(SUMPRODUCT(MOD(INT(CD164/{2,4,8,16,32,64,128,256,512,1024,2048,4096,8192,16384,32768}),2)*(1-MOD(INT(($CJ29+CC209)/{2,4,8,16,32,64,128,256,512,1024,2048,4096,8192,16384,32768}),2))*{2,4,8,16,32,64,128,256,512,1024,2048,4096,8192,16384,32768})=0,0,2^SUMPRODUCT(--(MOD(SUMPRODUCT(MOD(INT(CD164/{2,4,8,16,32,64,128,256,512,1024,2048,4096,8192,16384,32768}),2)*(1-MOD(INT(($CJ29+CC209)/{2,4,8,16,32,64,128,256,512,1024,2048,4096,8192,16384,32768}),2))*{2,4,8,16,32,64,128,256,512,1024,2048,4096,8192,16384,32768}),{2,4,8,16,32,64,128,256,512,1024,2048,4096,8192,16384,32768})=0))))</f>
        <v/>
      </c>
      <c r="CE209">
        <f>CD209+IF(AND(CE119&gt;0,COUNTIF($Y119:CD119,CE119)=0),0,IF(SUMPRODUCT(MOD(INT(CE164/{2,4,8,16,32,64,128,256,512,1024,2048,4096,8192,16384,32768}),2)*(1-MOD(INT(($CJ29+CD209)/{2,4,8,16,32,64,128,256,512,1024,2048,4096,8192,16384,32768}),2))*{2,4,8,16,32,64,128,256,512,1024,2048,4096,8192,16384,32768})=0,0,2^SUMPRODUCT(--(MOD(SUMPRODUCT(MOD(INT(CE164/{2,4,8,16,32,64,128,256,512,1024,2048,4096,8192,16384,32768}),2)*(1-MOD(INT(($CJ29+CD209)/{2,4,8,16,32,64,128,256,512,1024,2048,4096,8192,16384,32768}),2))*{2,4,8,16,32,64,128,256,512,1024,2048,4096,8192,16384,32768}),{2,4,8,16,32,64,128,256,512,1024,2048,4096,8192,16384,32768})=0))))</f>
        <v/>
      </c>
      <c r="CF209">
        <f>CE209+IF(AND(CF119&gt;0,COUNTIF($Y119:CE119,CF119)=0),0,IF(SUMPRODUCT(MOD(INT(CF164/{2,4,8,16,32,64,128,256,512,1024,2048,4096,8192,16384,32768}),2)*(1-MOD(INT(($CJ29+CE209)/{2,4,8,16,32,64,128,256,512,1024,2048,4096,8192,16384,32768}),2))*{2,4,8,16,32,64,128,256,512,1024,2048,4096,8192,16384,32768})=0,0,2^SUMPRODUCT(--(MOD(SUMPRODUCT(MOD(INT(CF164/{2,4,8,16,32,64,128,256,512,1024,2048,4096,8192,16384,32768}),2)*(1-MOD(INT(($CJ29+CE209)/{2,4,8,16,32,64,128,256,512,1024,2048,4096,8192,16384,32768}),2))*{2,4,8,16,32,64,128,256,512,1024,2048,4096,8192,16384,32768}),{2,4,8,16,32,64,128,256,512,1024,2048,4096,8192,16384,32768})=0))))</f>
        <v/>
      </c>
      <c r="DA209" t="n">
        <v>205</v>
      </c>
      <c r="DB209">
        <f>IF($B$37=0,"",IFERROR(TRIM(SUBSTITUTE(SUBSTITUTE(SUBSTITUTE(SUBSTITUTE(INDEX(PASTE_ALL,205,$B$37)," "," "),CHAR(9)," "),CHAR(10)," "),CHAR(13)," ")),""))</f>
        <v/>
      </c>
      <c r="DC209">
        <f>IF(AND(205&gt;HEADER_ROW,UPPER(DB209)="LEGEND"),1,0)</f>
        <v/>
      </c>
      <c r="DE209" t="n">
        <v>205</v>
      </c>
      <c r="DF209">
        <f>HEADER_ROW+$DE209</f>
        <v/>
      </c>
      <c r="DG209">
        <f>IF(AND($DF209&lt;=1000,$DF209&lt;$B$8),1,0)</f>
        <v/>
      </c>
      <c r="DH209">
        <f>IF($DG209=1,IFERROR(INDEX($DB$5:$DB$1004,$DF209),""),"")</f>
        <v/>
      </c>
      <c r="DI209">
        <f>IF(AND($DG209=1,$DH209&lt;&gt;""),IFERROR(SUBSTITUTE(SUBSTITUTE(TRIM(SUBSTITUTE(SUBSTITUTE(SUBSTITUTE(SUBSTITUTE(IFERROR(INDEX(PASTE_ALL,$DF209,1)&amp;"","")&amp;"␟"&amp;IFERROR(INDEX(PASTE_ALL,$DF209,2)&amp;"","")&amp;"␟"&amp;IFERROR(INDEX(PASTE_ALL,$DF209,3)&amp;"","")&amp;"␟"&amp;IFERROR(INDEX(PASTE_ALL,$DF209,4)&amp;"","")&amp;"␟"&amp;IFERROR(INDEX(PASTE_ALL,$DF209,5)&amp;"","")&amp;"␟"&amp;IFERROR(INDEX(PASTE_ALL,$DF209,6)&amp;"","")&amp;"␟"&amp;IFERROR(INDEX(PASTE_ALL,$DF209,7)&amp;"","")&amp;"␟"&amp;IFERROR(INDEX(PASTE_ALL,$DF209,8)&amp;"","")&amp;"␟"&amp;IFERROR(INDEX(PASTE_ALL,$DF209,9)&amp;"","")&amp;"␟"&amp;IFERROR(INDEX(PASTE_ALL,$DF209,10)&amp;"","")&amp;"␟"&amp;IFERROR(INDEX(PASTE_ALL,$DF209,11)&amp;"","")&amp;"␟"&amp;IFERROR(INDEX(PASTE_ALL,$DF209,12)&amp;"","")&amp;"␟"&amp;IFERROR(INDEX(PASTE_ALL,$DF209,13)&amp;"","")&amp;"␟"&amp;IFERROR(INDEX(PASTE_ALL,$DF209,14)&amp;"","")&amp;"␟"&amp;IFERROR(INDEX(PASTE_ALL,$DF209,15)&amp;"","")&amp;"␟"&amp;IFERROR(INDEX(PASTE_ALL,$DF209,16)&amp;"","")&amp;"␟"&amp;IFERROR(INDEX(PASTE_ALL,$DF209,17)&amp;"","")&amp;"␟"&amp;IFERROR(INDEX(PASTE_ALL,$DF209,18)&amp;"","")&amp;"␟"&amp;IFERROR(INDEX(PASTE_ALL,$DF209,19)&amp;"","")&amp;"␟"&amp;IFERROR(INDEX(PASTE_ALL,$DF209,20)&amp;"","")&amp;"␟"&amp;IFERROR(INDEX(PASTE_ALL,$DF209,21)&amp;"","")&amp;"␟"&amp;IFERROR(INDEX(PASTE_ALL,$DF209,22)&amp;"","")&amp;"␟"&amp;IFERROR(INDEX(PASTE_ALL,$DF209,23)&amp;"","")&amp;"␟"&amp;IFERROR(INDEX(PASTE_ALL,$DF209,24)&amp;"","")&amp;"␟"&amp;IFERROR(INDEX(PASTE_ALL,$DF209,25)&amp;"","")&amp;"␟"&amp;IFERROR(INDEX(PASTE_ALL,$DF209,26)&amp;"","")&amp;"␟"&amp;IFERROR(INDEX(PASTE_ALL,$DF209,27)&amp;"","")&amp;"␟"&amp;IFERROR(INDEX(PASTE_ALL,$DF209,28)&amp;"","")&amp;"␟"&amp;IFERROR(INDEX(PASTE_ALL,$DF209,29)&amp;"","")&amp;"␟"&amp;IFERROR(INDEX(PASTE_ALL,$DF209,30)&amp;"","")&amp;"␟"&amp;IFERROR(INDEX(PASTE_ALL,$DF209,31)&amp;"","")&amp;"␟"&amp;IFERROR(INDEX(PASTE_ALL,$DF209,32)&amp;"","")&amp;"␟"&amp;IFERROR(INDEX(PASTE_ALL,$DF209,33)&amp;"","")&amp;"␟"&amp;IFERROR(INDEX(PASTE_ALL,$DF209,34)&amp;"","")&amp;"␟"&amp;IFERROR(INDEX(PASTE_ALL,$DF209,35)&amp;"","")&amp;"␟"&amp;IFERROR(INDEX(PASTE_ALL,$DF209,36)&amp;"","")&amp;"␟"&amp;IFERROR(INDEX(PASTE_ALL,$DF209,37)&amp;"","")&amp;"␟"&amp;IFERROR(INDEX(PASTE_ALL,$DF209,38)&amp;"","")&amp;"␟"&amp;IFERROR(INDEX(PASTE_ALL,$DF209,39)&amp;"","")&amp;"␟"&amp;IFERROR(INDEX(PASTE_ALL,$DF209,40)&amp;"","")&amp;"␟"&amp;IFERROR(INDEX(PASTE_ALL,$DF209,41)&amp;"","")&amp;"␟"&amp;IFERROR(INDEX(PASTE_ALL,$DF209,42)&amp;"","")&amp;"␟"&amp;IFERROR(INDEX(PASTE_ALL,$DF209,43)&amp;"","")&amp;"␟"&amp;IFERROR(INDEX(PASTE_ALL,$DF209,44)&amp;"","")&amp;"␟"&amp;IFERROR(INDEX(PASTE_ALL,$DF209,45)&amp;"","")&amp;"␟"&amp;IFERROR(INDEX(PASTE_ALL,$DF209,46)&amp;"","")&amp;"␟"&amp;IFERROR(INDEX(PASTE_ALL,$DF209,47)&amp;"","")&amp;"␟"&amp;IFERROR(INDEX(PASTE_ALL,$DF209,48)&amp;"","")&amp;"␟"&amp;IFERROR(INDEX(PASTE_ALL,$DF209,49)&amp;"","")&amp;"␟"&amp;IFERROR(INDEX(PASTE_ALL,$DF209,50)&amp;"","")&amp;"␟"&amp;IFERROR(INDEX(PASTE_ALL,$DF209,51)&amp;"","")&amp;"␟"&amp;IFERROR(INDEX(PASTE_ALL,$DF209,52)&amp;"","")&amp;"␟"&amp;IFERROR(INDEX(PASTE_ALL,$DF209,53)&amp;"","")&amp;"␟"&amp;IFERROR(INDEX(PASTE_ALL,$DF209,54)&amp;"","")&amp;"␟"&amp;IFERROR(INDEX(PASTE_ALL,$DF209,55)&amp;"","")&amp;"␟"&amp;IFERROR(INDEX(PASTE_ALL,$DF209,56)&amp;"","")&amp;"␟"&amp;IFERROR(INDEX(PASTE_ALL,$DF209,57)&amp;"","")&amp;"␟"&amp;IFERROR(INDEX(PASTE_ALL,$DF209,58)&amp;"","")&amp;"␟"&amp;IFERROR(INDEX(PASTE_ALL,$DF209,59)&amp;"","")&amp;"␟"&amp;IFERROR(INDEX(PASTE_ALL,$DF209,60)&amp;"","")," "," "),CHAR(9)," "),CHAR(10)," "),CHAR(13)," "))," ␟","␟"),"␟ ","␟"),"#"&amp;$DE209),"")</f>
        <v/>
      </c>
      <c r="DJ209">
        <f>IF($DI209="",0,IF(SUMPRODUCT(--EXACT($DI$4:DI208,$DI209))&gt;0,1,0))</f>
        <v/>
      </c>
      <c r="DK209">
        <f>IF(AND($DI209&lt;&gt;"",$DJ209=0),1,0)</f>
        <v/>
      </c>
      <c r="DL209">
        <f>DL208+$DK209</f>
        <v/>
      </c>
      <c r="DM209">
        <f>IF(AND($DK209=1,$DL209&lt;=600),1,0)</f>
        <v/>
      </c>
      <c r="DN209">
        <f>IF($DM209=0,"",IF($L$6=0,"",IFERROR(IF(ISNUMBER(INDEX(PASTE_ALL,$DF209,$L$6)),INDEX(PASTE_ALL,$DF209,$L$6),TRIM(SUBSTITUTE(SUBSTITUTE(SUBSTITUTE(SUBSTITUTE(INDEX(PASTE_ALL,$DF209,$L$6)," "," "),CHAR(9)," "),CHAR(10)," "),CHAR(13)," "))),"")))</f>
        <v/>
      </c>
      <c r="DO209">
        <f>IF($DM209=0,"",IF($L$7=0,"",IFERROR(IF(ISNUMBER(INDEX(PASTE_ALL,$DF209,$L$7)),INDEX(PASTE_ALL,$DF209,$L$7),TRIM(SUBSTITUTE(SUBSTITUTE(SUBSTITUTE(SUBSTITUTE(INDEX(PASTE_ALL,$DF209,$L$7)," "," "),CHAR(9)," "),CHAR(10)," "),CHAR(13)," "))),"")))</f>
        <v/>
      </c>
      <c r="DP209">
        <f>IF($DM209=0,"",IF($L$8=0,"",IFERROR(IF(ISNUMBER(INDEX(PASTE_ALL,$DF209,$L$8)),INDEX(PASTE_ALL,$DF209,$L$8),TRIM(SUBSTITUTE(SUBSTITUTE(SUBSTITUTE(SUBSTITUTE(INDEX(PASTE_ALL,$DF209,$L$8)," "," "),CHAR(9)," "),CHAR(10)," "),CHAR(13)," "))),"")))</f>
        <v/>
      </c>
      <c r="DQ209">
        <f>IF($DM209=0,"",IF($L$9=0,"",IFERROR(IF(ISNUMBER(INDEX(PASTE_ALL,$DF209,$L$9)),INDEX(PASTE_ALL,$DF209,$L$9),TRIM(SUBSTITUTE(SUBSTITUTE(SUBSTITUTE(SUBSTITUTE(INDEX(PASTE_ALL,$DF209,$L$9)," "," "),CHAR(9)," "),CHAR(10)," "),CHAR(13)," "))),"")))</f>
        <v/>
      </c>
      <c r="DR209">
        <f>IF($DM209=0,"",IF($L$10=0,"",IFERROR(IF(ISNUMBER(INDEX(PASTE_ALL,$DF209,$L$10)),INDEX(PASTE_ALL,$DF209,$L$10),TRIM(SUBSTITUTE(SUBSTITUTE(SUBSTITUTE(SUBSTITUTE(INDEX(PASTE_ALL,$DF209,$L$10)," "," "),CHAR(9)," "),CHAR(10)," "),CHAR(13)," "))),"")))</f>
        <v/>
      </c>
      <c r="DS209">
        <f>IF($DM209=0,"",IF($L$11=0,"",IFERROR(IF(ISNUMBER(INDEX(PASTE_ALL,$DF209,$L$11)),INDEX(PASTE_ALL,$DF209,$L$11),TRIM(SUBSTITUTE(SUBSTITUTE(SUBSTITUTE(SUBSTITUTE(INDEX(PASTE_ALL,$DF209,$L$11)," "," "),CHAR(9)," "),CHAR(10)," "),CHAR(13)," "))),"")))</f>
        <v/>
      </c>
      <c r="DT209">
        <f>IF($DM209=0,"",IF($L$12=0,"",IFERROR(IF(ISNUMBER(INDEX(PASTE_ALL,$DF209,$L$12)),INDEX(PASTE_ALL,$DF209,$L$12),TRIM(SUBSTITUTE(SUBSTITUTE(SUBSTITUTE(SUBSTITUTE(INDEX(PASTE_ALL,$DF209,$L$12)," "," "),CHAR(9)," "),CHAR(10)," "),CHAR(13)," "))),"")))</f>
        <v/>
      </c>
      <c r="DU209">
        <f>IF($DM209=0,"",IF($L$13=0,"",IFERROR(IF(ISNUMBER(INDEX(PASTE_ALL,$DF209,$L$13)),INDEX(PASTE_ALL,$DF209,$L$13),TRIM(SUBSTITUTE(SUBSTITUTE(SUBSTITUTE(SUBSTITUTE(INDEX(PASTE_ALL,$DF209,$L$13)," "," "),CHAR(9)," "),CHAR(10)," "),CHAR(13)," "))),"")))</f>
        <v/>
      </c>
      <c r="DV209">
        <f>IF($DM209=0,"",IF($L$14=0,"",IFERROR(IF(ISNUMBER(INDEX(PASTE_ALL,$DF209,$L$14)),INDEX(PASTE_ALL,$DF209,$L$14),TRIM(SUBSTITUTE(SUBSTITUTE(SUBSTITUTE(SUBSTITUTE(INDEX(PASTE_ALL,$DF209,$L$14)," "," "),CHAR(9)," "),CHAR(10)," "),CHAR(13)," "))),"")))</f>
        <v/>
      </c>
      <c r="DW209">
        <f>IF($DM209=0,"",IF($L$15=0,"",IFERROR(IF(ISNUMBER(INDEX(PASTE_ALL,$DF209,$L$15)),INDEX(PASTE_ALL,$DF209,$L$15),IF(SUMPRODUCT(--ISNUMBER(FIND({"A","B","C","D","E","F","G","H","I","J","K","L","M","N","O","P","Q","R","S","T","U","V","W","X","Y","Z","0","1","2","3","4","5","6","7","8","9"},UPPER(TRIM(SUBSTITUTE(SUBSTITUTE(SUBSTITUTE(SUBSTITUTE(INDEX(PASTE_ALL,$DF209,$L$15)," "," "),CHAR(9)," "),CHAR(10)," "),CHAR(13)," "))))))&gt;0,TRIM(SUBSTITUTE(SUBSTITUTE(SUBSTITUTE(SUBSTITUTE(INDEX(PASTE_ALL,$DF209,$L$15)," "," "),CHAR(9)," "),CHAR(10)," "),CHAR(13)," ")),"")),"")))</f>
        <v/>
      </c>
      <c r="DX209">
        <f>IF($DM209=0,"",IF($L$16=0,"",IFERROR(IF(ISNUMBER(INDEX(PASTE_ALL,$DF209,$L$16)),INDEX(PASTE_ALL,$DF209,$L$16),SUBSTITUTE(SUBSTITUTE(TRIM(SUBSTITUTE(SUBSTITUTE(SUBSTITUTE(SUBSTITUTE(INDEX(PASTE_ALL,$DF209,$L$16)," "," "),CHAR(9)," "),CHAR(10)," "),CHAR(13)," ")),",",""),"%","")),"")))</f>
        <v/>
      </c>
      <c r="DY209">
        <f>IF($DM209=0,"",IFERROR(IF(ISNUMBER($DX209),$DX209,IF($DX209="","",IF(TRIM($DX209)="",0,IF(AND(AND(SUBSTITUTE(SUBSTITUTE(SUBSTITUTE(SUBSTITUTE(SUBSTITUTE(SUBSTITUTE(SUBSTITUTE(SUBSTITUTE(SUBSTITUTE(SUBSTITUTE(SUBSTITUTE(SUBSTITUTE(SUBSTITUTE(SUBSTITUTE(UPPER(TRIM($DX209)),"0",""),"1",""),"2",""),"3",""),"4",""),"5",""),"6",""),"7",""),"8",""),"9",""),".",""),"+",""),"-",""),"E","")="",LEN(SUBSTITUTE(SUBSTITUTE(MID(UPPER(TRIM($DX209)),1+OR(LEFT(UPPER(TRIM($DX209)),1)="+",LEFT(UPPER(TRIM($DX209)),1)="-"),999),"E+","E"),"E-","E"))=LEN(SUBSTITUTE(SUBSTITUTE(SUBSTITUTE(SUBSTITUTE(MID(UPPER(TRIM($DX209)),1+OR(LEFT(UPPER(TRIM($DX209)),1)="+",LEFT(UPPER(TRIM($DX209)),1)="-"),999),"E+","E"),"E-","E"),"+",""),"-","")),LEN(UPPER(TRIM($DX209)))-LEN(SUBSTITUTE(UPPER(TRIM($DX209)),"E",""))&lt;2,LEN(UPPER(TRIM($DX209)))-LEN(SUBSTITUTE(UPPER(TRIM($DX209)),".",""))&lt;2,IFERROR(FIND(".",UPPER(TRIM($DX209))),0)&lt;IFERROR(FIND("E",UPPER(TRIM($DX209))),999)),ISNUMBER(VALUE(TRIM($DX209)))),VALUE(TRIM($DX209)),"")))),""))</f>
        <v/>
      </c>
      <c r="DZ209">
        <f>IF($DM209=0,"",IF($L$17=0,"",IFERROR(IF(ISNUMBER(INDEX(PASTE_ALL,$DF209,$L$17)),INDEX(PASTE_ALL,$DF209,$L$17),SUBSTITUTE(SUBSTITUTE(TRIM(SUBSTITUTE(SUBSTITUTE(SUBSTITUTE(SUBSTITUTE(INDEX(PASTE_ALL,$DF209,$L$17)," "," "),CHAR(9)," "),CHAR(10)," "),CHAR(13)," ")),",",""),"%","")),"")))</f>
        <v/>
      </c>
      <c r="EA209">
        <f>IF($DM209=0,"",IFERROR(IF(ISNUMBER($DZ209),$DZ209,IF($DZ209="","",IF(TRIM($DZ209)="",0,IF(AND(AND(SUBSTITUTE(SUBSTITUTE(SUBSTITUTE(SUBSTITUTE(SUBSTITUTE(SUBSTITUTE(SUBSTITUTE(SUBSTITUTE(SUBSTITUTE(SUBSTITUTE(SUBSTITUTE(SUBSTITUTE(SUBSTITUTE(SUBSTITUTE(UPPER(TRIM($DZ209)),"0",""),"1",""),"2",""),"3",""),"4",""),"5",""),"6",""),"7",""),"8",""),"9",""),".",""),"+",""),"-",""),"E","")="",LEN(SUBSTITUTE(SUBSTITUTE(MID(UPPER(TRIM($DZ209)),1+OR(LEFT(UPPER(TRIM($DZ209)),1)="+",LEFT(UPPER(TRIM($DZ209)),1)="-"),999),"E+","E"),"E-","E"))=LEN(SUBSTITUTE(SUBSTITUTE(SUBSTITUTE(SUBSTITUTE(MID(UPPER(TRIM($DZ209)),1+OR(LEFT(UPPER(TRIM($DZ209)),1)="+",LEFT(UPPER(TRIM($DZ209)),1)="-"),999),"E+","E"),"E-","E"),"+",""),"-","")),LEN(UPPER(TRIM($DZ209)))-LEN(SUBSTITUTE(UPPER(TRIM($DZ209)),"E",""))&lt;2,LEN(UPPER(TRIM($DZ209)))-LEN(SUBSTITUTE(UPPER(TRIM($DZ209)),".",""))&lt;2,IFERROR(FIND(".",UPPER(TRIM($DZ209))),0)&lt;IFERROR(FIND("E",UPPER(TRIM($DZ209))),999)),ISNUMBER(VALUE(TRIM($DZ209)))),VALUE(TRIM($DZ209)),"")))),""))</f>
        <v/>
      </c>
      <c r="EB209">
        <f>IF($DM209=0,"",IF($L$18=0,"",IFERROR(IF(UPPER(TRIM(SUBSTITUTE(SUBSTITUTE(SUBSTITUTE(SUBSTITUTE(INDEX(PASTE_ALL,$DF209,$L$18)," "," "),CHAR(9)," "),CHAR(10)," "),CHAR(13)," ")))="READY","Ready",IF(UPPER(TRIM(SUBSTITUTE(SUBSTITUTE(SUBSTITUTE(SUBSTITUTE(INDEX(PASTE_ALL,$DF209,$L$18)," "," "),CHAR(9)," "),CHAR(10)," "),CHAR(13)," ")))="PM","PM",IF(OR(UPPER(TRIM(SUBSTITUTE(SUBSTITUTE(SUBSTITUTE(SUBSTITUTE(INDEX(PASTE_ALL,$DF209,$L$18)," "," "),CHAR(9)," "),CHAR(10)," "),CHAR(13)," ")))="OT",UPPER(TRIM(SUBSTITUTE(SUBSTITUTE(SUBSTITUTE(SUBSTITUTE(INDEX(PASTE_ALL,$DF209,$L$18)," "," "),CHAR(9)," "),CHAR(10)," "),CHAR(13)," ")))="OVERTIME",UPPER(TRIM(SUBSTITUTE(SUBSTITUTE(SUBSTITUTE(SUBSTITUTE(INDEX(PASTE_ALL,$DF209,$L$18)," "," "),CHAR(9)," "),CHAR(10)," "),CHAR(13)," ")))="TRIAL"),"OT",TRIM(SUBSTITUTE(SUBSTITUTE(SUBSTITUTE(SUBSTITUTE(INDEX(PASTE_ALL,$DF209,$L$18)," "," "),CHAR(9)," "),CHAR(10)," "),CHAR(13)," "))))),"")))</f>
        <v/>
      </c>
      <c r="EC209">
        <f>IF($DM209=0,"",IF($L$19=0,"",IFERROR(IF(ISNUMBER(INDEX(PASTE_ALL,$DF209,$L$19)),INDEX(PASTE_ALL,$DF209,$L$19),TRIM(SUBSTITUTE(SUBSTITUTE(SUBSTITUTE(SUBSTITUTE(INDEX(PASTE_ALL,$DF209,$L$19)," "," "),CHAR(9)," "),CHAR(10)," "),CHAR(13)," "))),"")))</f>
        <v/>
      </c>
      <c r="ED209">
        <f>IF($DM209=0,"",MATCH(1,INDEX(EXACT($DH$5:DH209,$DH209)*$DM$5:DM209,0),0))</f>
        <v/>
      </c>
      <c r="EE209">
        <f>IF($DM209=0,0,IF($ED209=$DE209,1,0))</f>
        <v/>
      </c>
      <c r="EF209">
        <f>EF208+$EE209</f>
        <v/>
      </c>
      <c r="EG209">
        <f>IF($DM209=0,"",INDEX($EF$5:$EF$1003,$ED209))</f>
        <v/>
      </c>
      <c r="EH209">
        <f>IF($DM209=0,"",IF($DO209&lt;&gt;"","",IFERROR(LOOKUP(2,1/(($EG$4:EG208=$EG209)*($DO$4:DO208&lt;&gt;"")),$DO$4:DO208),"")))</f>
        <v/>
      </c>
      <c r="EI209">
        <f>IF($DM209=0,"",IF($DO209&lt;&gt;"",$DO209,$EH209))</f>
        <v/>
      </c>
      <c r="EJ209">
        <f>IF($DM209=0,"",IF($EI209="",0,IF(OR(ISNUMBER($EI209),AND(AND(SUBSTITUTE(SUBSTITUTE(SUBSTITUTE(SUBSTITUTE(SUBSTITUTE(SUBSTITUTE(SUBSTITUTE(SUBSTITUTE(SUBSTITUTE(SUBSTITUTE(SUBSTITUTE(SUBSTITUTE(SUBSTITUTE(SUBSTITUTE(UPPER($EI209),"0",""),"1",""),"2",""),"3",""),"4",""),"5",""),"6",""),"7",""),"8",""),"9",""),".",""),"+",""),"-",""),"E","")="",LEN(SUBSTITUTE(SUBSTITUTE(MID(UPPER($EI209),1+OR(LEFT(UPPER($EI209),1)="+",LEFT(UPPER($EI209),1)="-"),999),"E+","E"),"E-","E"))=LEN(SUBSTITUTE(SUBSTITUTE(SUBSTITUTE(SUBSTITUTE(MID(UPPER($EI209),1+OR(LEFT(UPPER($EI209),1)="+",LEFT(UPPER($EI209),1)="-"),999),"E+","E"),"E-","E"),"+",""),"-","")),LEN(UPPER($EI209))-LEN(SUBSTITUTE(UPPER($EI209),"E",""))&lt;2,LEN(UPPER($EI209))-LEN(SUBSTITUTE(UPPER($EI209),".",""))&lt;2,IFERROR(FIND(".",UPPER($EI209)),0)&lt;IFERROR(FIND("E",UPPER($EI209)),999)),ISNUMBER(VALUE($EI209)))),1,2)))</f>
        <v/>
      </c>
      <c r="EK209">
        <f>IF($DM209=0,"",IF($EJ209=1,IF(ISNUMBER($EI209),$EI209,VALUE($EI209)),IF($EJ209=2,$DE209,0)))</f>
        <v/>
      </c>
      <c r="EL209">
        <f>IF($DM209=0,"",COUNTIF($EG$5:$EG$1003,"&lt;"&amp;$EG209)+SUMPRODUCT(($EG$5:$EG$1003=$EG209)*(($EJ$5:$EJ$1003&lt;$EJ209)+($EJ$5:$EJ$1003=$EJ209)*(($EK$5:$EK$1003&lt;$EK209)+($EK$5:$EK$1003=$EK209)*($DE$5:$DE$1003&lt;$DE209))))+1)</f>
        <v/>
      </c>
      <c r="EM209">
        <f>IF($DM209=0,"",$EL209+$EG209-1)</f>
        <v/>
      </c>
      <c r="EN209">
        <f>IF($DM209=0,0,IFERROR(MATCH(1,INDEX(--(TRIM(SUBSTITUTE(SUBSTITUTE(SUBSTITUTE(SUBSTITUTE(LINES_NAME&amp;""," "," "),CHAR(9)," "),CHAR(10)," "),CHAR(13)," "))=$DH209),0),0),0))</f>
        <v/>
      </c>
      <c r="EO209">
        <f>IF($EN209=0,0,IF(OR(UPPER(TRIM(INDEX(LINES_SCHEDULED,$EN209)&amp;""))="YES",UPPER(TRIM(INDEX(LINES_SCHEDULED,$EN209)&amp;""))="Y",UPPER(TRIM(INDEX(LINES_SCHEDULED,$EN209)&amp;""))="X"),1,0))</f>
        <v/>
      </c>
      <c r="EP209">
        <f>IF($DM209=0,"",IF(COUNTIFS($EG$5:$EG$1003,$EG209,$EB$5:$EB$1003,"Ready")&gt;0,"READY",IF(COUNTIFS($EG$5:$EG$1003,$EG209,$EB$5:$EB$1003,"PM")&gt;0,"PM",IF(COUNTIFS($EG$5:$EG$1003,$EG209,$EB$5:$EB$1003,"OT")&gt;0,"OT",""))))</f>
        <v/>
      </c>
      <c r="EQ209">
        <f>IF($EN209=0,"",UPPER(TRIM(INDEX(LINES_STATUS,$EN209)&amp;"")))</f>
        <v/>
      </c>
      <c r="ER209">
        <f>IF($DM209=0,"",IF(OR($EQ209="READY",$EQ209="PM",$EQ209="OT"),$EQ209,$EP209))</f>
        <v/>
      </c>
      <c r="ES209">
        <f>IF($DM209=0,"",IF(AND($DV209&lt;&gt;"",UPPER($DV209)&lt;&gt;"N"),"allergen",IF(ISNUMBER(SEARCH("oil",$DQ209)),"oil",IF(OR(EXACT($DS209,"A662"),EXACT($DS209,"A624")),"bulk",""))))</f>
        <v/>
      </c>
      <c r="ET209">
        <f>IF($DM209=0,"",IF(OR($EA209="",$EA209=0),"",$EA209/100))</f>
        <v/>
      </c>
      <c r="EU209">
        <f>IF(OR($ET209="",$DY209=""),"",INT($DY209*(1-$ET209)+0.5))</f>
        <v/>
      </c>
      <c r="EW209" t="n">
        <v>205</v>
      </c>
      <c r="EX209">
        <f>IFERROR(MATCH($EW209,$EM$5:$EM$1003,0),0)</f>
        <v/>
      </c>
      <c r="EY209">
        <f>IF($EW209&gt;$B$12,"",IF($EX209&gt;0,"row","spacer"))</f>
        <v/>
      </c>
      <c r="EZ209">
        <f>IF(AND($EY209="row",$EY208&lt;&gt;"row"),1,0)</f>
        <v/>
      </c>
      <c r="FA209">
        <f>IF(AND($EY209="row",$EY210&lt;&gt;"row"),1,0)</f>
        <v/>
      </c>
      <c r="FB209">
        <f>IF($EZ209=1,IFERROR(IF(ISNUMBER(INDEX(PASTE_ALL,INDEX($DF$5:$DF$1003,$EX209),$B$37)),INDEX(PASTE_ALL,INDEX($DF$5:$DF$1003,$EX209),$B$37),INDEX($DH$5:$DH$1003,$EX209)),INDEX($DH$5:$DH$1003,$EX209)),"")</f>
        <v/>
      </c>
      <c r="FC209">
        <f>IF($EY209="row",INDEX($ER$5:$ER$1003,$EX209),"")</f>
        <v/>
      </c>
      <c r="FD209">
        <f>IF($EY209="row",INDEX($DN$5:$DN$1003,$EX209),"")</f>
        <v/>
      </c>
      <c r="FE209">
        <f>IF($EY209="row",INDEX($DO$5:$DO$1003,$EX209),"")</f>
        <v/>
      </c>
      <c r="FF209">
        <f>IF($EY209="row",INDEX($DP$5:$DP$1003,$EX209),"")</f>
        <v/>
      </c>
      <c r="FG209">
        <f>IF($EY209="row",INDEX($DQ$5:$DQ$1003,$EX209),"")</f>
        <v/>
      </c>
      <c r="FH209">
        <f>IF($EY209="row",INDEX($DR$5:$DR$1003,$EX209),"")</f>
        <v/>
      </c>
      <c r="FI209">
        <f>IF($EY209="row",INDEX($DS$5:$DS$1003,$EX209),"")</f>
        <v/>
      </c>
      <c r="FJ209">
        <f>IF($EY209="row",INDEX($DT$5:$DT$1003,$EX209),"")</f>
        <v/>
      </c>
      <c r="FK209">
        <f>IF($EY209="row",INDEX($DU$5:$DU$1003,$EX209),"")</f>
        <v/>
      </c>
      <c r="FL209">
        <f>IF($EY209="row",INDEX($DV$5:$DV$1003,$EX209),"")</f>
        <v/>
      </c>
      <c r="FM209">
        <f>IF($EY209="row",INDEX($DW$5:$DW$1003,$EX209),"")</f>
        <v/>
      </c>
      <c r="FN209">
        <f>IF($EY209="row",INDEX($DY$5:$DY$1003,$EX209),"")</f>
        <v/>
      </c>
      <c r="FO209">
        <f>IF($EY209="row",INDEX($EA$5:$EA$1003,$EX209),"")</f>
        <v/>
      </c>
      <c r="FP209">
        <f>IF($EY209="row",INDEX($EC$5:$EC$1003,$EX209),"")</f>
        <v/>
      </c>
      <c r="FQ209">
        <f>IF($EY209="row",INDEX($ET$5:$ET$1003,$EX209),"")</f>
        <v/>
      </c>
      <c r="FR209">
        <f>IF($EY209="row",INDEX($EU$5:$EU$1003,$EX209),"")</f>
        <v/>
      </c>
      <c r="FS209">
        <f>IF(AND($EY209="row",$EY208="row"),IF(OR(INDEX($DT$5:$DT$1003,$EX208)="",INDEX($DT$5:$DT$1003,$EX209)=""),"",IF(NOT(EXACT(INDEX($DT$5:$DT$1003,$EX208),INDEX($DT$5:$DT$1003,$EX209))),"S4",IF(NOT(EXACT(INDEX($DS$5:$DS$1003,$EX208),INDEX($DS$5:$DS$1003,$EX209))),"S3",IF(NOT(EXACT(INDEX($DR$5:$DR$1003,$EX208),INDEX($DR$5:$DR$1003,$EX209))),"S1 Count Change","S1")))),"")</f>
        <v/>
      </c>
      <c r="FT209">
        <f>IF($EY209="row",INDEX($ES$5:$ES$1003,$EX209),"")</f>
        <v/>
      </c>
      <c r="FU209">
        <f>IF($EY209="row",INDEX($EO$5:$EO$1003,$EX209),0)</f>
        <v/>
      </c>
      <c r="FV209">
        <f>IF($FS209="S1 Count Change",1,0)</f>
        <v/>
      </c>
    </row>
    <row r="210">
      <c r="Y210">
        <f>0+IF(Y120&gt;0,0,IF(SUMPRODUCT(MOD(INT(Y165/{2,4,8,16,32,64,128,256,512,1024,2048,4096,8192,16384,32768}),2)*(1-MOD(INT(($CJ30+0)/{2,4,8,16,32,64,128,256,512,1024,2048,4096,8192,16384,32768}),2))*{2,4,8,16,32,64,128,256,512,1024,2048,4096,8192,16384,32768})=0,0,2^SUMPRODUCT(--(MOD(SUMPRODUCT(MOD(INT(Y165/{2,4,8,16,32,64,128,256,512,1024,2048,4096,8192,16384,32768}),2)*(1-MOD(INT(($CJ30+0)/{2,4,8,16,32,64,128,256,512,1024,2048,4096,8192,16384,32768}),2))*{2,4,8,16,32,64,128,256,512,1024,2048,4096,8192,16384,32768}),{2,4,8,16,32,64,128,256,512,1024,2048,4096,8192,16384,32768})=0))))</f>
        <v/>
      </c>
      <c r="Z210">
        <f>Y210+IF(AND(Z120&gt;0,COUNTIF($Y120:Y120,Z120)=0),0,IF(SUMPRODUCT(MOD(INT(Z165/{2,4,8,16,32,64,128,256,512,1024,2048,4096,8192,16384,32768}),2)*(1-MOD(INT(($CJ30+Y210)/{2,4,8,16,32,64,128,256,512,1024,2048,4096,8192,16384,32768}),2))*{2,4,8,16,32,64,128,256,512,1024,2048,4096,8192,16384,32768})=0,0,2^SUMPRODUCT(--(MOD(SUMPRODUCT(MOD(INT(Z165/{2,4,8,16,32,64,128,256,512,1024,2048,4096,8192,16384,32768}),2)*(1-MOD(INT(($CJ30+Y210)/{2,4,8,16,32,64,128,256,512,1024,2048,4096,8192,16384,32768}),2))*{2,4,8,16,32,64,128,256,512,1024,2048,4096,8192,16384,32768}),{2,4,8,16,32,64,128,256,512,1024,2048,4096,8192,16384,32768})=0))))</f>
        <v/>
      </c>
      <c r="AA210">
        <f>Z210+IF(AND(AA120&gt;0,COUNTIF($Y120:Z120,AA120)=0),0,IF(SUMPRODUCT(MOD(INT(AA165/{2,4,8,16,32,64,128,256,512,1024,2048,4096,8192,16384,32768}),2)*(1-MOD(INT(($CJ30+Z210)/{2,4,8,16,32,64,128,256,512,1024,2048,4096,8192,16384,32768}),2))*{2,4,8,16,32,64,128,256,512,1024,2048,4096,8192,16384,32768})=0,0,2^SUMPRODUCT(--(MOD(SUMPRODUCT(MOD(INT(AA165/{2,4,8,16,32,64,128,256,512,1024,2048,4096,8192,16384,32768}),2)*(1-MOD(INT(($CJ30+Z210)/{2,4,8,16,32,64,128,256,512,1024,2048,4096,8192,16384,32768}),2))*{2,4,8,16,32,64,128,256,512,1024,2048,4096,8192,16384,32768}),{2,4,8,16,32,64,128,256,512,1024,2048,4096,8192,16384,32768})=0))))</f>
        <v/>
      </c>
      <c r="AB210">
        <f>AA210+IF(AND(AB120&gt;0,COUNTIF($Y120:AA120,AB120)=0),0,IF(SUMPRODUCT(MOD(INT(AB165/{2,4,8,16,32,64,128,256,512,1024,2048,4096,8192,16384,32768}),2)*(1-MOD(INT(($CJ30+AA210)/{2,4,8,16,32,64,128,256,512,1024,2048,4096,8192,16384,32768}),2))*{2,4,8,16,32,64,128,256,512,1024,2048,4096,8192,16384,32768})=0,0,2^SUMPRODUCT(--(MOD(SUMPRODUCT(MOD(INT(AB165/{2,4,8,16,32,64,128,256,512,1024,2048,4096,8192,16384,32768}),2)*(1-MOD(INT(($CJ30+AA210)/{2,4,8,16,32,64,128,256,512,1024,2048,4096,8192,16384,32768}),2))*{2,4,8,16,32,64,128,256,512,1024,2048,4096,8192,16384,32768}),{2,4,8,16,32,64,128,256,512,1024,2048,4096,8192,16384,32768})=0))))</f>
        <v/>
      </c>
      <c r="AC210">
        <f>AB210+IF(AND(AC120&gt;0,COUNTIF($Y120:AB120,AC120)=0),0,IF(SUMPRODUCT(MOD(INT(AC165/{2,4,8,16,32,64,128,256,512,1024,2048,4096,8192,16384,32768}),2)*(1-MOD(INT(($CJ30+AB210)/{2,4,8,16,32,64,128,256,512,1024,2048,4096,8192,16384,32768}),2))*{2,4,8,16,32,64,128,256,512,1024,2048,4096,8192,16384,32768})=0,0,2^SUMPRODUCT(--(MOD(SUMPRODUCT(MOD(INT(AC165/{2,4,8,16,32,64,128,256,512,1024,2048,4096,8192,16384,32768}),2)*(1-MOD(INT(($CJ30+AB210)/{2,4,8,16,32,64,128,256,512,1024,2048,4096,8192,16384,32768}),2))*{2,4,8,16,32,64,128,256,512,1024,2048,4096,8192,16384,32768}),{2,4,8,16,32,64,128,256,512,1024,2048,4096,8192,16384,32768})=0))))</f>
        <v/>
      </c>
      <c r="AD210">
        <f>AC210+IF(AND(AD120&gt;0,COUNTIF($Y120:AC120,AD120)=0),0,IF(SUMPRODUCT(MOD(INT(AD165/{2,4,8,16,32,64,128,256,512,1024,2048,4096,8192,16384,32768}),2)*(1-MOD(INT(($CJ30+AC210)/{2,4,8,16,32,64,128,256,512,1024,2048,4096,8192,16384,32768}),2))*{2,4,8,16,32,64,128,256,512,1024,2048,4096,8192,16384,32768})=0,0,2^SUMPRODUCT(--(MOD(SUMPRODUCT(MOD(INT(AD165/{2,4,8,16,32,64,128,256,512,1024,2048,4096,8192,16384,32768}),2)*(1-MOD(INT(($CJ30+AC210)/{2,4,8,16,32,64,128,256,512,1024,2048,4096,8192,16384,32768}),2))*{2,4,8,16,32,64,128,256,512,1024,2048,4096,8192,16384,32768}),{2,4,8,16,32,64,128,256,512,1024,2048,4096,8192,16384,32768})=0))))</f>
        <v/>
      </c>
      <c r="AE210">
        <f>AD210+IF(AND(AE120&gt;0,COUNTIF($Y120:AD120,AE120)=0),0,IF(SUMPRODUCT(MOD(INT(AE165/{2,4,8,16,32,64,128,256,512,1024,2048,4096,8192,16384,32768}),2)*(1-MOD(INT(($CJ30+AD210)/{2,4,8,16,32,64,128,256,512,1024,2048,4096,8192,16384,32768}),2))*{2,4,8,16,32,64,128,256,512,1024,2048,4096,8192,16384,32768})=0,0,2^SUMPRODUCT(--(MOD(SUMPRODUCT(MOD(INT(AE165/{2,4,8,16,32,64,128,256,512,1024,2048,4096,8192,16384,32768}),2)*(1-MOD(INT(($CJ30+AD210)/{2,4,8,16,32,64,128,256,512,1024,2048,4096,8192,16384,32768}),2))*{2,4,8,16,32,64,128,256,512,1024,2048,4096,8192,16384,32768}),{2,4,8,16,32,64,128,256,512,1024,2048,4096,8192,16384,32768})=0))))</f>
        <v/>
      </c>
      <c r="AF210">
        <f>AE210+IF(AND(AF120&gt;0,COUNTIF($Y120:AE120,AF120)=0),0,IF(SUMPRODUCT(MOD(INT(AF165/{2,4,8,16,32,64,128,256,512,1024,2048,4096,8192,16384,32768}),2)*(1-MOD(INT(($CJ30+AE210)/{2,4,8,16,32,64,128,256,512,1024,2048,4096,8192,16384,32768}),2))*{2,4,8,16,32,64,128,256,512,1024,2048,4096,8192,16384,32768})=0,0,2^SUMPRODUCT(--(MOD(SUMPRODUCT(MOD(INT(AF165/{2,4,8,16,32,64,128,256,512,1024,2048,4096,8192,16384,32768}),2)*(1-MOD(INT(($CJ30+AE210)/{2,4,8,16,32,64,128,256,512,1024,2048,4096,8192,16384,32768}),2))*{2,4,8,16,32,64,128,256,512,1024,2048,4096,8192,16384,32768}),{2,4,8,16,32,64,128,256,512,1024,2048,4096,8192,16384,32768})=0))))</f>
        <v/>
      </c>
      <c r="AG210">
        <f>AF210+IF(AND(AG120&gt;0,COUNTIF($Y120:AF120,AG120)=0),0,IF(SUMPRODUCT(MOD(INT(AG165/{2,4,8,16,32,64,128,256,512,1024,2048,4096,8192,16384,32768}),2)*(1-MOD(INT(($CJ30+AF210)/{2,4,8,16,32,64,128,256,512,1024,2048,4096,8192,16384,32768}),2))*{2,4,8,16,32,64,128,256,512,1024,2048,4096,8192,16384,32768})=0,0,2^SUMPRODUCT(--(MOD(SUMPRODUCT(MOD(INT(AG165/{2,4,8,16,32,64,128,256,512,1024,2048,4096,8192,16384,32768}),2)*(1-MOD(INT(($CJ30+AF210)/{2,4,8,16,32,64,128,256,512,1024,2048,4096,8192,16384,32768}),2))*{2,4,8,16,32,64,128,256,512,1024,2048,4096,8192,16384,32768}),{2,4,8,16,32,64,128,256,512,1024,2048,4096,8192,16384,32768})=0))))</f>
        <v/>
      </c>
      <c r="AH210">
        <f>AG210+IF(AND(AH120&gt;0,COUNTIF($Y120:AG120,AH120)=0),0,IF(SUMPRODUCT(MOD(INT(AH165/{2,4,8,16,32,64,128,256,512,1024,2048,4096,8192,16384,32768}),2)*(1-MOD(INT(($CJ30+AG210)/{2,4,8,16,32,64,128,256,512,1024,2048,4096,8192,16384,32768}),2))*{2,4,8,16,32,64,128,256,512,1024,2048,4096,8192,16384,32768})=0,0,2^SUMPRODUCT(--(MOD(SUMPRODUCT(MOD(INT(AH165/{2,4,8,16,32,64,128,256,512,1024,2048,4096,8192,16384,32768}),2)*(1-MOD(INT(($CJ30+AG210)/{2,4,8,16,32,64,128,256,512,1024,2048,4096,8192,16384,32768}),2))*{2,4,8,16,32,64,128,256,512,1024,2048,4096,8192,16384,32768}),{2,4,8,16,32,64,128,256,512,1024,2048,4096,8192,16384,32768})=0))))</f>
        <v/>
      </c>
      <c r="AI210">
        <f>AH210+IF(AND(AI120&gt;0,COUNTIF($Y120:AH120,AI120)=0),0,IF(SUMPRODUCT(MOD(INT(AI165/{2,4,8,16,32,64,128,256,512,1024,2048,4096,8192,16384,32768}),2)*(1-MOD(INT(($CJ30+AH210)/{2,4,8,16,32,64,128,256,512,1024,2048,4096,8192,16384,32768}),2))*{2,4,8,16,32,64,128,256,512,1024,2048,4096,8192,16384,32768})=0,0,2^SUMPRODUCT(--(MOD(SUMPRODUCT(MOD(INT(AI165/{2,4,8,16,32,64,128,256,512,1024,2048,4096,8192,16384,32768}),2)*(1-MOD(INT(($CJ30+AH210)/{2,4,8,16,32,64,128,256,512,1024,2048,4096,8192,16384,32768}),2))*{2,4,8,16,32,64,128,256,512,1024,2048,4096,8192,16384,32768}),{2,4,8,16,32,64,128,256,512,1024,2048,4096,8192,16384,32768})=0))))</f>
        <v/>
      </c>
      <c r="AJ210">
        <f>AI210+IF(AND(AJ120&gt;0,COUNTIF($Y120:AI120,AJ120)=0),0,IF(SUMPRODUCT(MOD(INT(AJ165/{2,4,8,16,32,64,128,256,512,1024,2048,4096,8192,16384,32768}),2)*(1-MOD(INT(($CJ30+AI210)/{2,4,8,16,32,64,128,256,512,1024,2048,4096,8192,16384,32768}),2))*{2,4,8,16,32,64,128,256,512,1024,2048,4096,8192,16384,32768})=0,0,2^SUMPRODUCT(--(MOD(SUMPRODUCT(MOD(INT(AJ165/{2,4,8,16,32,64,128,256,512,1024,2048,4096,8192,16384,32768}),2)*(1-MOD(INT(($CJ30+AI210)/{2,4,8,16,32,64,128,256,512,1024,2048,4096,8192,16384,32768}),2))*{2,4,8,16,32,64,128,256,512,1024,2048,4096,8192,16384,32768}),{2,4,8,16,32,64,128,256,512,1024,2048,4096,8192,16384,32768})=0))))</f>
        <v/>
      </c>
      <c r="AK210">
        <f>AJ210+IF(AND(AK120&gt;0,COUNTIF($Y120:AJ120,AK120)=0),0,IF(SUMPRODUCT(MOD(INT(AK165/{2,4,8,16,32,64,128,256,512,1024,2048,4096,8192,16384,32768}),2)*(1-MOD(INT(($CJ30+AJ210)/{2,4,8,16,32,64,128,256,512,1024,2048,4096,8192,16384,32768}),2))*{2,4,8,16,32,64,128,256,512,1024,2048,4096,8192,16384,32768})=0,0,2^SUMPRODUCT(--(MOD(SUMPRODUCT(MOD(INT(AK165/{2,4,8,16,32,64,128,256,512,1024,2048,4096,8192,16384,32768}),2)*(1-MOD(INT(($CJ30+AJ210)/{2,4,8,16,32,64,128,256,512,1024,2048,4096,8192,16384,32768}),2))*{2,4,8,16,32,64,128,256,512,1024,2048,4096,8192,16384,32768}),{2,4,8,16,32,64,128,256,512,1024,2048,4096,8192,16384,32768})=0))))</f>
        <v/>
      </c>
      <c r="AL210">
        <f>AK210+IF(AND(AL120&gt;0,COUNTIF($Y120:AK120,AL120)=0),0,IF(SUMPRODUCT(MOD(INT(AL165/{2,4,8,16,32,64,128,256,512,1024,2048,4096,8192,16384,32768}),2)*(1-MOD(INT(($CJ30+AK210)/{2,4,8,16,32,64,128,256,512,1024,2048,4096,8192,16384,32768}),2))*{2,4,8,16,32,64,128,256,512,1024,2048,4096,8192,16384,32768})=0,0,2^SUMPRODUCT(--(MOD(SUMPRODUCT(MOD(INT(AL165/{2,4,8,16,32,64,128,256,512,1024,2048,4096,8192,16384,32768}),2)*(1-MOD(INT(($CJ30+AK210)/{2,4,8,16,32,64,128,256,512,1024,2048,4096,8192,16384,32768}),2))*{2,4,8,16,32,64,128,256,512,1024,2048,4096,8192,16384,32768}),{2,4,8,16,32,64,128,256,512,1024,2048,4096,8192,16384,32768})=0))))</f>
        <v/>
      </c>
      <c r="AM210">
        <f>AL210+IF(AND(AM120&gt;0,COUNTIF($Y120:AL120,AM120)=0),0,IF(SUMPRODUCT(MOD(INT(AM165/{2,4,8,16,32,64,128,256,512,1024,2048,4096,8192,16384,32768}),2)*(1-MOD(INT(($CJ30+AL210)/{2,4,8,16,32,64,128,256,512,1024,2048,4096,8192,16384,32768}),2))*{2,4,8,16,32,64,128,256,512,1024,2048,4096,8192,16384,32768})=0,0,2^SUMPRODUCT(--(MOD(SUMPRODUCT(MOD(INT(AM165/{2,4,8,16,32,64,128,256,512,1024,2048,4096,8192,16384,32768}),2)*(1-MOD(INT(($CJ30+AL210)/{2,4,8,16,32,64,128,256,512,1024,2048,4096,8192,16384,32768}),2))*{2,4,8,16,32,64,128,256,512,1024,2048,4096,8192,16384,32768}),{2,4,8,16,32,64,128,256,512,1024,2048,4096,8192,16384,32768})=0))))</f>
        <v/>
      </c>
      <c r="AN210">
        <f>AM210+IF(AND(AN120&gt;0,COUNTIF($Y120:AM120,AN120)=0),0,IF(SUMPRODUCT(MOD(INT(AN165/{2,4,8,16,32,64,128,256,512,1024,2048,4096,8192,16384,32768}),2)*(1-MOD(INT(($CJ30+AM210)/{2,4,8,16,32,64,128,256,512,1024,2048,4096,8192,16384,32768}),2))*{2,4,8,16,32,64,128,256,512,1024,2048,4096,8192,16384,32768})=0,0,2^SUMPRODUCT(--(MOD(SUMPRODUCT(MOD(INT(AN165/{2,4,8,16,32,64,128,256,512,1024,2048,4096,8192,16384,32768}),2)*(1-MOD(INT(($CJ30+AM210)/{2,4,8,16,32,64,128,256,512,1024,2048,4096,8192,16384,32768}),2))*{2,4,8,16,32,64,128,256,512,1024,2048,4096,8192,16384,32768}),{2,4,8,16,32,64,128,256,512,1024,2048,4096,8192,16384,32768})=0))))</f>
        <v/>
      </c>
      <c r="AO210">
        <f>AN210+IF(AND(AO120&gt;0,COUNTIF($Y120:AN120,AO120)=0),0,IF(SUMPRODUCT(MOD(INT(AO165/{2,4,8,16,32,64,128,256,512,1024,2048,4096,8192,16384,32768}),2)*(1-MOD(INT(($CJ30+AN210)/{2,4,8,16,32,64,128,256,512,1024,2048,4096,8192,16384,32768}),2))*{2,4,8,16,32,64,128,256,512,1024,2048,4096,8192,16384,32768})=0,0,2^SUMPRODUCT(--(MOD(SUMPRODUCT(MOD(INT(AO165/{2,4,8,16,32,64,128,256,512,1024,2048,4096,8192,16384,32768}),2)*(1-MOD(INT(($CJ30+AN210)/{2,4,8,16,32,64,128,256,512,1024,2048,4096,8192,16384,32768}),2))*{2,4,8,16,32,64,128,256,512,1024,2048,4096,8192,16384,32768}),{2,4,8,16,32,64,128,256,512,1024,2048,4096,8192,16384,32768})=0))))</f>
        <v/>
      </c>
      <c r="AP210">
        <f>AO210+IF(AND(AP120&gt;0,COUNTIF($Y120:AO120,AP120)=0),0,IF(SUMPRODUCT(MOD(INT(AP165/{2,4,8,16,32,64,128,256,512,1024,2048,4096,8192,16384,32768}),2)*(1-MOD(INT(($CJ30+AO210)/{2,4,8,16,32,64,128,256,512,1024,2048,4096,8192,16384,32768}),2))*{2,4,8,16,32,64,128,256,512,1024,2048,4096,8192,16384,32768})=0,0,2^SUMPRODUCT(--(MOD(SUMPRODUCT(MOD(INT(AP165/{2,4,8,16,32,64,128,256,512,1024,2048,4096,8192,16384,32768}),2)*(1-MOD(INT(($CJ30+AO210)/{2,4,8,16,32,64,128,256,512,1024,2048,4096,8192,16384,32768}),2))*{2,4,8,16,32,64,128,256,512,1024,2048,4096,8192,16384,32768}),{2,4,8,16,32,64,128,256,512,1024,2048,4096,8192,16384,32768})=0))))</f>
        <v/>
      </c>
      <c r="AQ210">
        <f>AP210+IF(AND(AQ120&gt;0,COUNTIF($Y120:AP120,AQ120)=0),0,IF(SUMPRODUCT(MOD(INT(AQ165/{2,4,8,16,32,64,128,256,512,1024,2048,4096,8192,16384,32768}),2)*(1-MOD(INT(($CJ30+AP210)/{2,4,8,16,32,64,128,256,512,1024,2048,4096,8192,16384,32768}),2))*{2,4,8,16,32,64,128,256,512,1024,2048,4096,8192,16384,32768})=0,0,2^SUMPRODUCT(--(MOD(SUMPRODUCT(MOD(INT(AQ165/{2,4,8,16,32,64,128,256,512,1024,2048,4096,8192,16384,32768}),2)*(1-MOD(INT(($CJ30+AP210)/{2,4,8,16,32,64,128,256,512,1024,2048,4096,8192,16384,32768}),2))*{2,4,8,16,32,64,128,256,512,1024,2048,4096,8192,16384,32768}),{2,4,8,16,32,64,128,256,512,1024,2048,4096,8192,16384,32768})=0))))</f>
        <v/>
      </c>
      <c r="AR210">
        <f>AQ210+IF(AND(AR120&gt;0,COUNTIF($Y120:AQ120,AR120)=0),0,IF(SUMPRODUCT(MOD(INT(AR165/{2,4,8,16,32,64,128,256,512,1024,2048,4096,8192,16384,32768}),2)*(1-MOD(INT(($CJ30+AQ210)/{2,4,8,16,32,64,128,256,512,1024,2048,4096,8192,16384,32768}),2))*{2,4,8,16,32,64,128,256,512,1024,2048,4096,8192,16384,32768})=0,0,2^SUMPRODUCT(--(MOD(SUMPRODUCT(MOD(INT(AR165/{2,4,8,16,32,64,128,256,512,1024,2048,4096,8192,16384,32768}),2)*(1-MOD(INT(($CJ30+AQ210)/{2,4,8,16,32,64,128,256,512,1024,2048,4096,8192,16384,32768}),2))*{2,4,8,16,32,64,128,256,512,1024,2048,4096,8192,16384,32768}),{2,4,8,16,32,64,128,256,512,1024,2048,4096,8192,16384,32768})=0))))</f>
        <v/>
      </c>
      <c r="AS210">
        <f>AR210+IF(AND(AS120&gt;0,COUNTIF($Y120:AR120,AS120)=0),0,IF(SUMPRODUCT(MOD(INT(AS165/{2,4,8,16,32,64,128,256,512,1024,2048,4096,8192,16384,32768}),2)*(1-MOD(INT(($CJ30+AR210)/{2,4,8,16,32,64,128,256,512,1024,2048,4096,8192,16384,32768}),2))*{2,4,8,16,32,64,128,256,512,1024,2048,4096,8192,16384,32768})=0,0,2^SUMPRODUCT(--(MOD(SUMPRODUCT(MOD(INT(AS165/{2,4,8,16,32,64,128,256,512,1024,2048,4096,8192,16384,32768}),2)*(1-MOD(INT(($CJ30+AR210)/{2,4,8,16,32,64,128,256,512,1024,2048,4096,8192,16384,32768}),2))*{2,4,8,16,32,64,128,256,512,1024,2048,4096,8192,16384,32768}),{2,4,8,16,32,64,128,256,512,1024,2048,4096,8192,16384,32768})=0))))</f>
        <v/>
      </c>
      <c r="AT210">
        <f>AS210+IF(AND(AT120&gt;0,COUNTIF($Y120:AS120,AT120)=0),0,IF(SUMPRODUCT(MOD(INT(AT165/{2,4,8,16,32,64,128,256,512,1024,2048,4096,8192,16384,32768}),2)*(1-MOD(INT(($CJ30+AS210)/{2,4,8,16,32,64,128,256,512,1024,2048,4096,8192,16384,32768}),2))*{2,4,8,16,32,64,128,256,512,1024,2048,4096,8192,16384,32768})=0,0,2^SUMPRODUCT(--(MOD(SUMPRODUCT(MOD(INT(AT165/{2,4,8,16,32,64,128,256,512,1024,2048,4096,8192,16384,32768}),2)*(1-MOD(INT(($CJ30+AS210)/{2,4,8,16,32,64,128,256,512,1024,2048,4096,8192,16384,32768}),2))*{2,4,8,16,32,64,128,256,512,1024,2048,4096,8192,16384,32768}),{2,4,8,16,32,64,128,256,512,1024,2048,4096,8192,16384,32768})=0))))</f>
        <v/>
      </c>
      <c r="AU210">
        <f>AT210+IF(AND(AU120&gt;0,COUNTIF($Y120:AT120,AU120)=0),0,IF(SUMPRODUCT(MOD(INT(AU165/{2,4,8,16,32,64,128,256,512,1024,2048,4096,8192,16384,32768}),2)*(1-MOD(INT(($CJ30+AT210)/{2,4,8,16,32,64,128,256,512,1024,2048,4096,8192,16384,32768}),2))*{2,4,8,16,32,64,128,256,512,1024,2048,4096,8192,16384,32768})=0,0,2^SUMPRODUCT(--(MOD(SUMPRODUCT(MOD(INT(AU165/{2,4,8,16,32,64,128,256,512,1024,2048,4096,8192,16384,32768}),2)*(1-MOD(INT(($CJ30+AT210)/{2,4,8,16,32,64,128,256,512,1024,2048,4096,8192,16384,32768}),2))*{2,4,8,16,32,64,128,256,512,1024,2048,4096,8192,16384,32768}),{2,4,8,16,32,64,128,256,512,1024,2048,4096,8192,16384,32768})=0))))</f>
        <v/>
      </c>
      <c r="AV210">
        <f>AU210+IF(AND(AV120&gt;0,COUNTIF($Y120:AU120,AV120)=0),0,IF(SUMPRODUCT(MOD(INT(AV165/{2,4,8,16,32,64,128,256,512,1024,2048,4096,8192,16384,32768}),2)*(1-MOD(INT(($CJ30+AU210)/{2,4,8,16,32,64,128,256,512,1024,2048,4096,8192,16384,32768}),2))*{2,4,8,16,32,64,128,256,512,1024,2048,4096,8192,16384,32768})=0,0,2^SUMPRODUCT(--(MOD(SUMPRODUCT(MOD(INT(AV165/{2,4,8,16,32,64,128,256,512,1024,2048,4096,8192,16384,32768}),2)*(1-MOD(INT(($CJ30+AU210)/{2,4,8,16,32,64,128,256,512,1024,2048,4096,8192,16384,32768}),2))*{2,4,8,16,32,64,128,256,512,1024,2048,4096,8192,16384,32768}),{2,4,8,16,32,64,128,256,512,1024,2048,4096,8192,16384,32768})=0))))</f>
        <v/>
      </c>
      <c r="AW210">
        <f>AV210+IF(AND(AW120&gt;0,COUNTIF($Y120:AV120,AW120)=0),0,IF(SUMPRODUCT(MOD(INT(AW165/{2,4,8,16,32,64,128,256,512,1024,2048,4096,8192,16384,32768}),2)*(1-MOD(INT(($CJ30+AV210)/{2,4,8,16,32,64,128,256,512,1024,2048,4096,8192,16384,32768}),2))*{2,4,8,16,32,64,128,256,512,1024,2048,4096,8192,16384,32768})=0,0,2^SUMPRODUCT(--(MOD(SUMPRODUCT(MOD(INT(AW165/{2,4,8,16,32,64,128,256,512,1024,2048,4096,8192,16384,32768}),2)*(1-MOD(INT(($CJ30+AV210)/{2,4,8,16,32,64,128,256,512,1024,2048,4096,8192,16384,32768}),2))*{2,4,8,16,32,64,128,256,512,1024,2048,4096,8192,16384,32768}),{2,4,8,16,32,64,128,256,512,1024,2048,4096,8192,16384,32768})=0))))</f>
        <v/>
      </c>
      <c r="AX210">
        <f>AW210+IF(AND(AX120&gt;0,COUNTIF($Y120:AW120,AX120)=0),0,IF(SUMPRODUCT(MOD(INT(AX165/{2,4,8,16,32,64,128,256,512,1024,2048,4096,8192,16384,32768}),2)*(1-MOD(INT(($CJ30+AW210)/{2,4,8,16,32,64,128,256,512,1024,2048,4096,8192,16384,32768}),2))*{2,4,8,16,32,64,128,256,512,1024,2048,4096,8192,16384,32768})=0,0,2^SUMPRODUCT(--(MOD(SUMPRODUCT(MOD(INT(AX165/{2,4,8,16,32,64,128,256,512,1024,2048,4096,8192,16384,32768}),2)*(1-MOD(INT(($CJ30+AW210)/{2,4,8,16,32,64,128,256,512,1024,2048,4096,8192,16384,32768}),2))*{2,4,8,16,32,64,128,256,512,1024,2048,4096,8192,16384,32768}),{2,4,8,16,32,64,128,256,512,1024,2048,4096,8192,16384,32768})=0))))</f>
        <v/>
      </c>
      <c r="AY210">
        <f>AX210+IF(AND(AY120&gt;0,COUNTIF($Y120:AX120,AY120)=0),0,IF(SUMPRODUCT(MOD(INT(AY165/{2,4,8,16,32,64,128,256,512,1024,2048,4096,8192,16384,32768}),2)*(1-MOD(INT(($CJ30+AX210)/{2,4,8,16,32,64,128,256,512,1024,2048,4096,8192,16384,32768}),2))*{2,4,8,16,32,64,128,256,512,1024,2048,4096,8192,16384,32768})=0,0,2^SUMPRODUCT(--(MOD(SUMPRODUCT(MOD(INT(AY165/{2,4,8,16,32,64,128,256,512,1024,2048,4096,8192,16384,32768}),2)*(1-MOD(INT(($CJ30+AX210)/{2,4,8,16,32,64,128,256,512,1024,2048,4096,8192,16384,32768}),2))*{2,4,8,16,32,64,128,256,512,1024,2048,4096,8192,16384,32768}),{2,4,8,16,32,64,128,256,512,1024,2048,4096,8192,16384,32768})=0))))</f>
        <v/>
      </c>
      <c r="AZ210">
        <f>AY210+IF(AND(AZ120&gt;0,COUNTIF($Y120:AY120,AZ120)=0),0,IF(SUMPRODUCT(MOD(INT(AZ165/{2,4,8,16,32,64,128,256,512,1024,2048,4096,8192,16384,32768}),2)*(1-MOD(INT(($CJ30+AY210)/{2,4,8,16,32,64,128,256,512,1024,2048,4096,8192,16384,32768}),2))*{2,4,8,16,32,64,128,256,512,1024,2048,4096,8192,16384,32768})=0,0,2^SUMPRODUCT(--(MOD(SUMPRODUCT(MOD(INT(AZ165/{2,4,8,16,32,64,128,256,512,1024,2048,4096,8192,16384,32768}),2)*(1-MOD(INT(($CJ30+AY210)/{2,4,8,16,32,64,128,256,512,1024,2048,4096,8192,16384,32768}),2))*{2,4,8,16,32,64,128,256,512,1024,2048,4096,8192,16384,32768}),{2,4,8,16,32,64,128,256,512,1024,2048,4096,8192,16384,32768})=0))))</f>
        <v/>
      </c>
      <c r="BA210">
        <f>AZ210+IF(AND(BA120&gt;0,COUNTIF($Y120:AZ120,BA120)=0),0,IF(SUMPRODUCT(MOD(INT(BA165/{2,4,8,16,32,64,128,256,512,1024,2048,4096,8192,16384,32768}),2)*(1-MOD(INT(($CJ30+AZ210)/{2,4,8,16,32,64,128,256,512,1024,2048,4096,8192,16384,32768}),2))*{2,4,8,16,32,64,128,256,512,1024,2048,4096,8192,16384,32768})=0,0,2^SUMPRODUCT(--(MOD(SUMPRODUCT(MOD(INT(BA165/{2,4,8,16,32,64,128,256,512,1024,2048,4096,8192,16384,32768}),2)*(1-MOD(INT(($CJ30+AZ210)/{2,4,8,16,32,64,128,256,512,1024,2048,4096,8192,16384,32768}),2))*{2,4,8,16,32,64,128,256,512,1024,2048,4096,8192,16384,32768}),{2,4,8,16,32,64,128,256,512,1024,2048,4096,8192,16384,32768})=0))))</f>
        <v/>
      </c>
      <c r="BB210">
        <f>BA210+IF(AND(BB120&gt;0,COUNTIF($Y120:BA120,BB120)=0),0,IF(SUMPRODUCT(MOD(INT(BB165/{2,4,8,16,32,64,128,256,512,1024,2048,4096,8192,16384,32768}),2)*(1-MOD(INT(($CJ30+BA210)/{2,4,8,16,32,64,128,256,512,1024,2048,4096,8192,16384,32768}),2))*{2,4,8,16,32,64,128,256,512,1024,2048,4096,8192,16384,32768})=0,0,2^SUMPRODUCT(--(MOD(SUMPRODUCT(MOD(INT(BB165/{2,4,8,16,32,64,128,256,512,1024,2048,4096,8192,16384,32768}),2)*(1-MOD(INT(($CJ30+BA210)/{2,4,8,16,32,64,128,256,512,1024,2048,4096,8192,16384,32768}),2))*{2,4,8,16,32,64,128,256,512,1024,2048,4096,8192,16384,32768}),{2,4,8,16,32,64,128,256,512,1024,2048,4096,8192,16384,32768})=0))))</f>
        <v/>
      </c>
      <c r="BC210">
        <f>BB210+IF(AND(BC120&gt;0,COUNTIF($Y120:BB120,BC120)=0),0,IF(SUMPRODUCT(MOD(INT(BC165/{2,4,8,16,32,64,128,256,512,1024,2048,4096,8192,16384,32768}),2)*(1-MOD(INT(($CJ30+BB210)/{2,4,8,16,32,64,128,256,512,1024,2048,4096,8192,16384,32768}),2))*{2,4,8,16,32,64,128,256,512,1024,2048,4096,8192,16384,32768})=0,0,2^SUMPRODUCT(--(MOD(SUMPRODUCT(MOD(INT(BC165/{2,4,8,16,32,64,128,256,512,1024,2048,4096,8192,16384,32768}),2)*(1-MOD(INT(($CJ30+BB210)/{2,4,8,16,32,64,128,256,512,1024,2048,4096,8192,16384,32768}),2))*{2,4,8,16,32,64,128,256,512,1024,2048,4096,8192,16384,32768}),{2,4,8,16,32,64,128,256,512,1024,2048,4096,8192,16384,32768})=0))))</f>
        <v/>
      </c>
      <c r="BD210">
        <f>BC210+IF(AND(BD120&gt;0,COUNTIF($Y120:BC120,BD120)=0),0,IF(SUMPRODUCT(MOD(INT(BD165/{2,4,8,16,32,64,128,256,512,1024,2048,4096,8192,16384,32768}),2)*(1-MOD(INT(($CJ30+BC210)/{2,4,8,16,32,64,128,256,512,1024,2048,4096,8192,16384,32768}),2))*{2,4,8,16,32,64,128,256,512,1024,2048,4096,8192,16384,32768})=0,0,2^SUMPRODUCT(--(MOD(SUMPRODUCT(MOD(INT(BD165/{2,4,8,16,32,64,128,256,512,1024,2048,4096,8192,16384,32768}),2)*(1-MOD(INT(($CJ30+BC210)/{2,4,8,16,32,64,128,256,512,1024,2048,4096,8192,16384,32768}),2))*{2,4,8,16,32,64,128,256,512,1024,2048,4096,8192,16384,32768}),{2,4,8,16,32,64,128,256,512,1024,2048,4096,8192,16384,32768})=0))))</f>
        <v/>
      </c>
      <c r="BE210">
        <f>BD210+IF(AND(BE120&gt;0,COUNTIF($Y120:BD120,BE120)=0),0,IF(SUMPRODUCT(MOD(INT(BE165/{2,4,8,16,32,64,128,256,512,1024,2048,4096,8192,16384,32768}),2)*(1-MOD(INT(($CJ30+BD210)/{2,4,8,16,32,64,128,256,512,1024,2048,4096,8192,16384,32768}),2))*{2,4,8,16,32,64,128,256,512,1024,2048,4096,8192,16384,32768})=0,0,2^SUMPRODUCT(--(MOD(SUMPRODUCT(MOD(INT(BE165/{2,4,8,16,32,64,128,256,512,1024,2048,4096,8192,16384,32768}),2)*(1-MOD(INT(($CJ30+BD210)/{2,4,8,16,32,64,128,256,512,1024,2048,4096,8192,16384,32768}),2))*{2,4,8,16,32,64,128,256,512,1024,2048,4096,8192,16384,32768}),{2,4,8,16,32,64,128,256,512,1024,2048,4096,8192,16384,32768})=0))))</f>
        <v/>
      </c>
      <c r="BF210">
        <f>BE210+IF(AND(BF120&gt;0,COUNTIF($Y120:BE120,BF120)=0),0,IF(SUMPRODUCT(MOD(INT(BF165/{2,4,8,16,32,64,128,256,512,1024,2048,4096,8192,16384,32768}),2)*(1-MOD(INT(($CJ30+BE210)/{2,4,8,16,32,64,128,256,512,1024,2048,4096,8192,16384,32768}),2))*{2,4,8,16,32,64,128,256,512,1024,2048,4096,8192,16384,32768})=0,0,2^SUMPRODUCT(--(MOD(SUMPRODUCT(MOD(INT(BF165/{2,4,8,16,32,64,128,256,512,1024,2048,4096,8192,16384,32768}),2)*(1-MOD(INT(($CJ30+BE210)/{2,4,8,16,32,64,128,256,512,1024,2048,4096,8192,16384,32768}),2))*{2,4,8,16,32,64,128,256,512,1024,2048,4096,8192,16384,32768}),{2,4,8,16,32,64,128,256,512,1024,2048,4096,8192,16384,32768})=0))))</f>
        <v/>
      </c>
      <c r="BG210">
        <f>BF210+IF(AND(BG120&gt;0,COUNTIF($Y120:BF120,BG120)=0),0,IF(SUMPRODUCT(MOD(INT(BG165/{2,4,8,16,32,64,128,256,512,1024,2048,4096,8192,16384,32768}),2)*(1-MOD(INT(($CJ30+BF210)/{2,4,8,16,32,64,128,256,512,1024,2048,4096,8192,16384,32768}),2))*{2,4,8,16,32,64,128,256,512,1024,2048,4096,8192,16384,32768})=0,0,2^SUMPRODUCT(--(MOD(SUMPRODUCT(MOD(INT(BG165/{2,4,8,16,32,64,128,256,512,1024,2048,4096,8192,16384,32768}),2)*(1-MOD(INT(($CJ30+BF210)/{2,4,8,16,32,64,128,256,512,1024,2048,4096,8192,16384,32768}),2))*{2,4,8,16,32,64,128,256,512,1024,2048,4096,8192,16384,32768}),{2,4,8,16,32,64,128,256,512,1024,2048,4096,8192,16384,32768})=0))))</f>
        <v/>
      </c>
      <c r="BH210">
        <f>BG210+IF(AND(BH120&gt;0,COUNTIF($Y120:BG120,BH120)=0),0,IF(SUMPRODUCT(MOD(INT(BH165/{2,4,8,16,32,64,128,256,512,1024,2048,4096,8192,16384,32768}),2)*(1-MOD(INT(($CJ30+BG210)/{2,4,8,16,32,64,128,256,512,1024,2048,4096,8192,16384,32768}),2))*{2,4,8,16,32,64,128,256,512,1024,2048,4096,8192,16384,32768})=0,0,2^SUMPRODUCT(--(MOD(SUMPRODUCT(MOD(INT(BH165/{2,4,8,16,32,64,128,256,512,1024,2048,4096,8192,16384,32768}),2)*(1-MOD(INT(($CJ30+BG210)/{2,4,8,16,32,64,128,256,512,1024,2048,4096,8192,16384,32768}),2))*{2,4,8,16,32,64,128,256,512,1024,2048,4096,8192,16384,32768}),{2,4,8,16,32,64,128,256,512,1024,2048,4096,8192,16384,32768})=0))))</f>
        <v/>
      </c>
      <c r="BI210">
        <f>BH210+IF(AND(BI120&gt;0,COUNTIF($Y120:BH120,BI120)=0),0,IF(SUMPRODUCT(MOD(INT(BI165/{2,4,8,16,32,64,128,256,512,1024,2048,4096,8192,16384,32768}),2)*(1-MOD(INT(($CJ30+BH210)/{2,4,8,16,32,64,128,256,512,1024,2048,4096,8192,16384,32768}),2))*{2,4,8,16,32,64,128,256,512,1024,2048,4096,8192,16384,32768})=0,0,2^SUMPRODUCT(--(MOD(SUMPRODUCT(MOD(INT(BI165/{2,4,8,16,32,64,128,256,512,1024,2048,4096,8192,16384,32768}),2)*(1-MOD(INT(($CJ30+BH210)/{2,4,8,16,32,64,128,256,512,1024,2048,4096,8192,16384,32768}),2))*{2,4,8,16,32,64,128,256,512,1024,2048,4096,8192,16384,32768}),{2,4,8,16,32,64,128,256,512,1024,2048,4096,8192,16384,32768})=0))))</f>
        <v/>
      </c>
      <c r="BJ210">
        <f>BI210+IF(AND(BJ120&gt;0,COUNTIF($Y120:BI120,BJ120)=0),0,IF(SUMPRODUCT(MOD(INT(BJ165/{2,4,8,16,32,64,128,256,512,1024,2048,4096,8192,16384,32768}),2)*(1-MOD(INT(($CJ30+BI210)/{2,4,8,16,32,64,128,256,512,1024,2048,4096,8192,16384,32768}),2))*{2,4,8,16,32,64,128,256,512,1024,2048,4096,8192,16384,32768})=0,0,2^SUMPRODUCT(--(MOD(SUMPRODUCT(MOD(INT(BJ165/{2,4,8,16,32,64,128,256,512,1024,2048,4096,8192,16384,32768}),2)*(1-MOD(INT(($CJ30+BI210)/{2,4,8,16,32,64,128,256,512,1024,2048,4096,8192,16384,32768}),2))*{2,4,8,16,32,64,128,256,512,1024,2048,4096,8192,16384,32768}),{2,4,8,16,32,64,128,256,512,1024,2048,4096,8192,16384,32768})=0))))</f>
        <v/>
      </c>
      <c r="BK210">
        <f>BJ210+IF(AND(BK120&gt;0,COUNTIF($Y120:BJ120,BK120)=0),0,IF(SUMPRODUCT(MOD(INT(BK165/{2,4,8,16,32,64,128,256,512,1024,2048,4096,8192,16384,32768}),2)*(1-MOD(INT(($CJ30+BJ210)/{2,4,8,16,32,64,128,256,512,1024,2048,4096,8192,16384,32768}),2))*{2,4,8,16,32,64,128,256,512,1024,2048,4096,8192,16384,32768})=0,0,2^SUMPRODUCT(--(MOD(SUMPRODUCT(MOD(INT(BK165/{2,4,8,16,32,64,128,256,512,1024,2048,4096,8192,16384,32768}),2)*(1-MOD(INT(($CJ30+BJ210)/{2,4,8,16,32,64,128,256,512,1024,2048,4096,8192,16384,32768}),2))*{2,4,8,16,32,64,128,256,512,1024,2048,4096,8192,16384,32768}),{2,4,8,16,32,64,128,256,512,1024,2048,4096,8192,16384,32768})=0))))</f>
        <v/>
      </c>
      <c r="BL210">
        <f>BK210+IF(AND(BL120&gt;0,COUNTIF($Y120:BK120,BL120)=0),0,IF(SUMPRODUCT(MOD(INT(BL165/{2,4,8,16,32,64,128,256,512,1024,2048,4096,8192,16384,32768}),2)*(1-MOD(INT(($CJ30+BK210)/{2,4,8,16,32,64,128,256,512,1024,2048,4096,8192,16384,32768}),2))*{2,4,8,16,32,64,128,256,512,1024,2048,4096,8192,16384,32768})=0,0,2^SUMPRODUCT(--(MOD(SUMPRODUCT(MOD(INT(BL165/{2,4,8,16,32,64,128,256,512,1024,2048,4096,8192,16384,32768}),2)*(1-MOD(INT(($CJ30+BK210)/{2,4,8,16,32,64,128,256,512,1024,2048,4096,8192,16384,32768}),2))*{2,4,8,16,32,64,128,256,512,1024,2048,4096,8192,16384,32768}),{2,4,8,16,32,64,128,256,512,1024,2048,4096,8192,16384,32768})=0))))</f>
        <v/>
      </c>
      <c r="BM210">
        <f>BL210+IF(AND(BM120&gt;0,COUNTIF($Y120:BL120,BM120)=0),0,IF(SUMPRODUCT(MOD(INT(BM165/{2,4,8,16,32,64,128,256,512,1024,2048,4096,8192,16384,32768}),2)*(1-MOD(INT(($CJ30+BL210)/{2,4,8,16,32,64,128,256,512,1024,2048,4096,8192,16384,32768}),2))*{2,4,8,16,32,64,128,256,512,1024,2048,4096,8192,16384,32768})=0,0,2^SUMPRODUCT(--(MOD(SUMPRODUCT(MOD(INT(BM165/{2,4,8,16,32,64,128,256,512,1024,2048,4096,8192,16384,32768}),2)*(1-MOD(INT(($CJ30+BL210)/{2,4,8,16,32,64,128,256,512,1024,2048,4096,8192,16384,32768}),2))*{2,4,8,16,32,64,128,256,512,1024,2048,4096,8192,16384,32768}),{2,4,8,16,32,64,128,256,512,1024,2048,4096,8192,16384,32768})=0))))</f>
        <v/>
      </c>
      <c r="BN210">
        <f>BM210+IF(AND(BN120&gt;0,COUNTIF($Y120:BM120,BN120)=0),0,IF(SUMPRODUCT(MOD(INT(BN165/{2,4,8,16,32,64,128,256,512,1024,2048,4096,8192,16384,32768}),2)*(1-MOD(INT(($CJ30+BM210)/{2,4,8,16,32,64,128,256,512,1024,2048,4096,8192,16384,32768}),2))*{2,4,8,16,32,64,128,256,512,1024,2048,4096,8192,16384,32768})=0,0,2^SUMPRODUCT(--(MOD(SUMPRODUCT(MOD(INT(BN165/{2,4,8,16,32,64,128,256,512,1024,2048,4096,8192,16384,32768}),2)*(1-MOD(INT(($CJ30+BM210)/{2,4,8,16,32,64,128,256,512,1024,2048,4096,8192,16384,32768}),2))*{2,4,8,16,32,64,128,256,512,1024,2048,4096,8192,16384,32768}),{2,4,8,16,32,64,128,256,512,1024,2048,4096,8192,16384,32768})=0))))</f>
        <v/>
      </c>
      <c r="BO210">
        <f>BN210+IF(AND(BO120&gt;0,COUNTIF($Y120:BN120,BO120)=0),0,IF(SUMPRODUCT(MOD(INT(BO165/{2,4,8,16,32,64,128,256,512,1024,2048,4096,8192,16384,32768}),2)*(1-MOD(INT(($CJ30+BN210)/{2,4,8,16,32,64,128,256,512,1024,2048,4096,8192,16384,32768}),2))*{2,4,8,16,32,64,128,256,512,1024,2048,4096,8192,16384,32768})=0,0,2^SUMPRODUCT(--(MOD(SUMPRODUCT(MOD(INT(BO165/{2,4,8,16,32,64,128,256,512,1024,2048,4096,8192,16384,32768}),2)*(1-MOD(INT(($CJ30+BN210)/{2,4,8,16,32,64,128,256,512,1024,2048,4096,8192,16384,32768}),2))*{2,4,8,16,32,64,128,256,512,1024,2048,4096,8192,16384,32768}),{2,4,8,16,32,64,128,256,512,1024,2048,4096,8192,16384,32768})=0))))</f>
        <v/>
      </c>
      <c r="BP210">
        <f>BO210+IF(AND(BP120&gt;0,COUNTIF($Y120:BO120,BP120)=0),0,IF(SUMPRODUCT(MOD(INT(BP165/{2,4,8,16,32,64,128,256,512,1024,2048,4096,8192,16384,32768}),2)*(1-MOD(INT(($CJ30+BO210)/{2,4,8,16,32,64,128,256,512,1024,2048,4096,8192,16384,32768}),2))*{2,4,8,16,32,64,128,256,512,1024,2048,4096,8192,16384,32768})=0,0,2^SUMPRODUCT(--(MOD(SUMPRODUCT(MOD(INT(BP165/{2,4,8,16,32,64,128,256,512,1024,2048,4096,8192,16384,32768}),2)*(1-MOD(INT(($CJ30+BO210)/{2,4,8,16,32,64,128,256,512,1024,2048,4096,8192,16384,32768}),2))*{2,4,8,16,32,64,128,256,512,1024,2048,4096,8192,16384,32768}),{2,4,8,16,32,64,128,256,512,1024,2048,4096,8192,16384,32768})=0))))</f>
        <v/>
      </c>
      <c r="BQ210">
        <f>BP210+IF(AND(BQ120&gt;0,COUNTIF($Y120:BP120,BQ120)=0),0,IF(SUMPRODUCT(MOD(INT(BQ165/{2,4,8,16,32,64,128,256,512,1024,2048,4096,8192,16384,32768}),2)*(1-MOD(INT(($CJ30+BP210)/{2,4,8,16,32,64,128,256,512,1024,2048,4096,8192,16384,32768}),2))*{2,4,8,16,32,64,128,256,512,1024,2048,4096,8192,16384,32768})=0,0,2^SUMPRODUCT(--(MOD(SUMPRODUCT(MOD(INT(BQ165/{2,4,8,16,32,64,128,256,512,1024,2048,4096,8192,16384,32768}),2)*(1-MOD(INT(($CJ30+BP210)/{2,4,8,16,32,64,128,256,512,1024,2048,4096,8192,16384,32768}),2))*{2,4,8,16,32,64,128,256,512,1024,2048,4096,8192,16384,32768}),{2,4,8,16,32,64,128,256,512,1024,2048,4096,8192,16384,32768})=0))))</f>
        <v/>
      </c>
      <c r="BR210">
        <f>BQ210+IF(AND(BR120&gt;0,COUNTIF($Y120:BQ120,BR120)=0),0,IF(SUMPRODUCT(MOD(INT(BR165/{2,4,8,16,32,64,128,256,512,1024,2048,4096,8192,16384,32768}),2)*(1-MOD(INT(($CJ30+BQ210)/{2,4,8,16,32,64,128,256,512,1024,2048,4096,8192,16384,32768}),2))*{2,4,8,16,32,64,128,256,512,1024,2048,4096,8192,16384,32768})=0,0,2^SUMPRODUCT(--(MOD(SUMPRODUCT(MOD(INT(BR165/{2,4,8,16,32,64,128,256,512,1024,2048,4096,8192,16384,32768}),2)*(1-MOD(INT(($CJ30+BQ210)/{2,4,8,16,32,64,128,256,512,1024,2048,4096,8192,16384,32768}),2))*{2,4,8,16,32,64,128,256,512,1024,2048,4096,8192,16384,32768}),{2,4,8,16,32,64,128,256,512,1024,2048,4096,8192,16384,32768})=0))))</f>
        <v/>
      </c>
      <c r="BS210">
        <f>BR210+IF(AND(BS120&gt;0,COUNTIF($Y120:BR120,BS120)=0),0,IF(SUMPRODUCT(MOD(INT(BS165/{2,4,8,16,32,64,128,256,512,1024,2048,4096,8192,16384,32768}),2)*(1-MOD(INT(($CJ30+BR210)/{2,4,8,16,32,64,128,256,512,1024,2048,4096,8192,16384,32768}),2))*{2,4,8,16,32,64,128,256,512,1024,2048,4096,8192,16384,32768})=0,0,2^SUMPRODUCT(--(MOD(SUMPRODUCT(MOD(INT(BS165/{2,4,8,16,32,64,128,256,512,1024,2048,4096,8192,16384,32768}),2)*(1-MOD(INT(($CJ30+BR210)/{2,4,8,16,32,64,128,256,512,1024,2048,4096,8192,16384,32768}),2))*{2,4,8,16,32,64,128,256,512,1024,2048,4096,8192,16384,32768}),{2,4,8,16,32,64,128,256,512,1024,2048,4096,8192,16384,32768})=0))))</f>
        <v/>
      </c>
      <c r="BT210">
        <f>BS210+IF(AND(BT120&gt;0,COUNTIF($Y120:BS120,BT120)=0),0,IF(SUMPRODUCT(MOD(INT(BT165/{2,4,8,16,32,64,128,256,512,1024,2048,4096,8192,16384,32768}),2)*(1-MOD(INT(($CJ30+BS210)/{2,4,8,16,32,64,128,256,512,1024,2048,4096,8192,16384,32768}),2))*{2,4,8,16,32,64,128,256,512,1024,2048,4096,8192,16384,32768})=0,0,2^SUMPRODUCT(--(MOD(SUMPRODUCT(MOD(INT(BT165/{2,4,8,16,32,64,128,256,512,1024,2048,4096,8192,16384,32768}),2)*(1-MOD(INT(($CJ30+BS210)/{2,4,8,16,32,64,128,256,512,1024,2048,4096,8192,16384,32768}),2))*{2,4,8,16,32,64,128,256,512,1024,2048,4096,8192,16384,32768}),{2,4,8,16,32,64,128,256,512,1024,2048,4096,8192,16384,32768})=0))))</f>
        <v/>
      </c>
      <c r="BU210">
        <f>BT210+IF(AND(BU120&gt;0,COUNTIF($Y120:BT120,BU120)=0),0,IF(SUMPRODUCT(MOD(INT(BU165/{2,4,8,16,32,64,128,256,512,1024,2048,4096,8192,16384,32768}),2)*(1-MOD(INT(($CJ30+BT210)/{2,4,8,16,32,64,128,256,512,1024,2048,4096,8192,16384,32768}),2))*{2,4,8,16,32,64,128,256,512,1024,2048,4096,8192,16384,32768})=0,0,2^SUMPRODUCT(--(MOD(SUMPRODUCT(MOD(INT(BU165/{2,4,8,16,32,64,128,256,512,1024,2048,4096,8192,16384,32768}),2)*(1-MOD(INT(($CJ30+BT210)/{2,4,8,16,32,64,128,256,512,1024,2048,4096,8192,16384,32768}),2))*{2,4,8,16,32,64,128,256,512,1024,2048,4096,8192,16384,32768}),{2,4,8,16,32,64,128,256,512,1024,2048,4096,8192,16384,32768})=0))))</f>
        <v/>
      </c>
      <c r="BV210">
        <f>BU210+IF(AND(BV120&gt;0,COUNTIF($Y120:BU120,BV120)=0),0,IF(SUMPRODUCT(MOD(INT(BV165/{2,4,8,16,32,64,128,256,512,1024,2048,4096,8192,16384,32768}),2)*(1-MOD(INT(($CJ30+BU210)/{2,4,8,16,32,64,128,256,512,1024,2048,4096,8192,16384,32768}),2))*{2,4,8,16,32,64,128,256,512,1024,2048,4096,8192,16384,32768})=0,0,2^SUMPRODUCT(--(MOD(SUMPRODUCT(MOD(INT(BV165/{2,4,8,16,32,64,128,256,512,1024,2048,4096,8192,16384,32768}),2)*(1-MOD(INT(($CJ30+BU210)/{2,4,8,16,32,64,128,256,512,1024,2048,4096,8192,16384,32768}),2))*{2,4,8,16,32,64,128,256,512,1024,2048,4096,8192,16384,32768}),{2,4,8,16,32,64,128,256,512,1024,2048,4096,8192,16384,32768})=0))))</f>
        <v/>
      </c>
      <c r="BW210">
        <f>BV210+IF(AND(BW120&gt;0,COUNTIF($Y120:BV120,BW120)=0),0,IF(SUMPRODUCT(MOD(INT(BW165/{2,4,8,16,32,64,128,256,512,1024,2048,4096,8192,16384,32768}),2)*(1-MOD(INT(($CJ30+BV210)/{2,4,8,16,32,64,128,256,512,1024,2048,4096,8192,16384,32768}),2))*{2,4,8,16,32,64,128,256,512,1024,2048,4096,8192,16384,32768})=0,0,2^SUMPRODUCT(--(MOD(SUMPRODUCT(MOD(INT(BW165/{2,4,8,16,32,64,128,256,512,1024,2048,4096,8192,16384,32768}),2)*(1-MOD(INT(($CJ30+BV210)/{2,4,8,16,32,64,128,256,512,1024,2048,4096,8192,16384,32768}),2))*{2,4,8,16,32,64,128,256,512,1024,2048,4096,8192,16384,32768}),{2,4,8,16,32,64,128,256,512,1024,2048,4096,8192,16384,32768})=0))))</f>
        <v/>
      </c>
      <c r="BX210">
        <f>BW210+IF(AND(BX120&gt;0,COUNTIF($Y120:BW120,BX120)=0),0,IF(SUMPRODUCT(MOD(INT(BX165/{2,4,8,16,32,64,128,256,512,1024,2048,4096,8192,16384,32768}),2)*(1-MOD(INT(($CJ30+BW210)/{2,4,8,16,32,64,128,256,512,1024,2048,4096,8192,16384,32768}),2))*{2,4,8,16,32,64,128,256,512,1024,2048,4096,8192,16384,32768})=0,0,2^SUMPRODUCT(--(MOD(SUMPRODUCT(MOD(INT(BX165/{2,4,8,16,32,64,128,256,512,1024,2048,4096,8192,16384,32768}),2)*(1-MOD(INT(($CJ30+BW210)/{2,4,8,16,32,64,128,256,512,1024,2048,4096,8192,16384,32768}),2))*{2,4,8,16,32,64,128,256,512,1024,2048,4096,8192,16384,32768}),{2,4,8,16,32,64,128,256,512,1024,2048,4096,8192,16384,32768})=0))))</f>
        <v/>
      </c>
      <c r="BY210">
        <f>BX210+IF(AND(BY120&gt;0,COUNTIF($Y120:BX120,BY120)=0),0,IF(SUMPRODUCT(MOD(INT(BY165/{2,4,8,16,32,64,128,256,512,1024,2048,4096,8192,16384,32768}),2)*(1-MOD(INT(($CJ30+BX210)/{2,4,8,16,32,64,128,256,512,1024,2048,4096,8192,16384,32768}),2))*{2,4,8,16,32,64,128,256,512,1024,2048,4096,8192,16384,32768})=0,0,2^SUMPRODUCT(--(MOD(SUMPRODUCT(MOD(INT(BY165/{2,4,8,16,32,64,128,256,512,1024,2048,4096,8192,16384,32768}),2)*(1-MOD(INT(($CJ30+BX210)/{2,4,8,16,32,64,128,256,512,1024,2048,4096,8192,16384,32768}),2))*{2,4,8,16,32,64,128,256,512,1024,2048,4096,8192,16384,32768}),{2,4,8,16,32,64,128,256,512,1024,2048,4096,8192,16384,32768})=0))))</f>
        <v/>
      </c>
      <c r="BZ210">
        <f>BY210+IF(AND(BZ120&gt;0,COUNTIF($Y120:BY120,BZ120)=0),0,IF(SUMPRODUCT(MOD(INT(BZ165/{2,4,8,16,32,64,128,256,512,1024,2048,4096,8192,16384,32768}),2)*(1-MOD(INT(($CJ30+BY210)/{2,4,8,16,32,64,128,256,512,1024,2048,4096,8192,16384,32768}),2))*{2,4,8,16,32,64,128,256,512,1024,2048,4096,8192,16384,32768})=0,0,2^SUMPRODUCT(--(MOD(SUMPRODUCT(MOD(INT(BZ165/{2,4,8,16,32,64,128,256,512,1024,2048,4096,8192,16384,32768}),2)*(1-MOD(INT(($CJ30+BY210)/{2,4,8,16,32,64,128,256,512,1024,2048,4096,8192,16384,32768}),2))*{2,4,8,16,32,64,128,256,512,1024,2048,4096,8192,16384,32768}),{2,4,8,16,32,64,128,256,512,1024,2048,4096,8192,16384,32768})=0))))</f>
        <v/>
      </c>
      <c r="CA210">
        <f>BZ210+IF(AND(CA120&gt;0,COUNTIF($Y120:BZ120,CA120)=0),0,IF(SUMPRODUCT(MOD(INT(CA165/{2,4,8,16,32,64,128,256,512,1024,2048,4096,8192,16384,32768}),2)*(1-MOD(INT(($CJ30+BZ210)/{2,4,8,16,32,64,128,256,512,1024,2048,4096,8192,16384,32768}),2))*{2,4,8,16,32,64,128,256,512,1024,2048,4096,8192,16384,32768})=0,0,2^SUMPRODUCT(--(MOD(SUMPRODUCT(MOD(INT(CA165/{2,4,8,16,32,64,128,256,512,1024,2048,4096,8192,16384,32768}),2)*(1-MOD(INT(($CJ30+BZ210)/{2,4,8,16,32,64,128,256,512,1024,2048,4096,8192,16384,32768}),2))*{2,4,8,16,32,64,128,256,512,1024,2048,4096,8192,16384,32768}),{2,4,8,16,32,64,128,256,512,1024,2048,4096,8192,16384,32768})=0))))</f>
        <v/>
      </c>
      <c r="CB210">
        <f>CA210+IF(AND(CB120&gt;0,COUNTIF($Y120:CA120,CB120)=0),0,IF(SUMPRODUCT(MOD(INT(CB165/{2,4,8,16,32,64,128,256,512,1024,2048,4096,8192,16384,32768}),2)*(1-MOD(INT(($CJ30+CA210)/{2,4,8,16,32,64,128,256,512,1024,2048,4096,8192,16384,32768}),2))*{2,4,8,16,32,64,128,256,512,1024,2048,4096,8192,16384,32768})=0,0,2^SUMPRODUCT(--(MOD(SUMPRODUCT(MOD(INT(CB165/{2,4,8,16,32,64,128,256,512,1024,2048,4096,8192,16384,32768}),2)*(1-MOD(INT(($CJ30+CA210)/{2,4,8,16,32,64,128,256,512,1024,2048,4096,8192,16384,32768}),2))*{2,4,8,16,32,64,128,256,512,1024,2048,4096,8192,16384,32768}),{2,4,8,16,32,64,128,256,512,1024,2048,4096,8192,16384,32768})=0))))</f>
        <v/>
      </c>
      <c r="CC210">
        <f>CB210+IF(AND(CC120&gt;0,COUNTIF($Y120:CB120,CC120)=0),0,IF(SUMPRODUCT(MOD(INT(CC165/{2,4,8,16,32,64,128,256,512,1024,2048,4096,8192,16384,32768}),2)*(1-MOD(INT(($CJ30+CB210)/{2,4,8,16,32,64,128,256,512,1024,2048,4096,8192,16384,32768}),2))*{2,4,8,16,32,64,128,256,512,1024,2048,4096,8192,16384,32768})=0,0,2^SUMPRODUCT(--(MOD(SUMPRODUCT(MOD(INT(CC165/{2,4,8,16,32,64,128,256,512,1024,2048,4096,8192,16384,32768}),2)*(1-MOD(INT(($CJ30+CB210)/{2,4,8,16,32,64,128,256,512,1024,2048,4096,8192,16384,32768}),2))*{2,4,8,16,32,64,128,256,512,1024,2048,4096,8192,16384,32768}),{2,4,8,16,32,64,128,256,512,1024,2048,4096,8192,16384,32768})=0))))</f>
        <v/>
      </c>
      <c r="CD210">
        <f>CC210+IF(AND(CD120&gt;0,COUNTIF($Y120:CC120,CD120)=0),0,IF(SUMPRODUCT(MOD(INT(CD165/{2,4,8,16,32,64,128,256,512,1024,2048,4096,8192,16384,32768}),2)*(1-MOD(INT(($CJ30+CC210)/{2,4,8,16,32,64,128,256,512,1024,2048,4096,8192,16384,32768}),2))*{2,4,8,16,32,64,128,256,512,1024,2048,4096,8192,16384,32768})=0,0,2^SUMPRODUCT(--(MOD(SUMPRODUCT(MOD(INT(CD165/{2,4,8,16,32,64,128,256,512,1024,2048,4096,8192,16384,32768}),2)*(1-MOD(INT(($CJ30+CC210)/{2,4,8,16,32,64,128,256,512,1024,2048,4096,8192,16384,32768}),2))*{2,4,8,16,32,64,128,256,512,1024,2048,4096,8192,16384,32768}),{2,4,8,16,32,64,128,256,512,1024,2048,4096,8192,16384,32768})=0))))</f>
        <v/>
      </c>
      <c r="CE210">
        <f>CD210+IF(AND(CE120&gt;0,COUNTIF($Y120:CD120,CE120)=0),0,IF(SUMPRODUCT(MOD(INT(CE165/{2,4,8,16,32,64,128,256,512,1024,2048,4096,8192,16384,32768}),2)*(1-MOD(INT(($CJ30+CD210)/{2,4,8,16,32,64,128,256,512,1024,2048,4096,8192,16384,32768}),2))*{2,4,8,16,32,64,128,256,512,1024,2048,4096,8192,16384,32768})=0,0,2^SUMPRODUCT(--(MOD(SUMPRODUCT(MOD(INT(CE165/{2,4,8,16,32,64,128,256,512,1024,2048,4096,8192,16384,32768}),2)*(1-MOD(INT(($CJ30+CD210)/{2,4,8,16,32,64,128,256,512,1024,2048,4096,8192,16384,32768}),2))*{2,4,8,16,32,64,128,256,512,1024,2048,4096,8192,16384,32768}),{2,4,8,16,32,64,128,256,512,1024,2048,4096,8192,16384,32768})=0))))</f>
        <v/>
      </c>
      <c r="CF210">
        <f>CE210+IF(AND(CF120&gt;0,COUNTIF($Y120:CE120,CF120)=0),0,IF(SUMPRODUCT(MOD(INT(CF165/{2,4,8,16,32,64,128,256,512,1024,2048,4096,8192,16384,32768}),2)*(1-MOD(INT(($CJ30+CE210)/{2,4,8,16,32,64,128,256,512,1024,2048,4096,8192,16384,32768}),2))*{2,4,8,16,32,64,128,256,512,1024,2048,4096,8192,16384,32768})=0,0,2^SUMPRODUCT(--(MOD(SUMPRODUCT(MOD(INT(CF165/{2,4,8,16,32,64,128,256,512,1024,2048,4096,8192,16384,32768}),2)*(1-MOD(INT(($CJ30+CE210)/{2,4,8,16,32,64,128,256,512,1024,2048,4096,8192,16384,32768}),2))*{2,4,8,16,32,64,128,256,512,1024,2048,4096,8192,16384,32768}),{2,4,8,16,32,64,128,256,512,1024,2048,4096,8192,16384,32768})=0))))</f>
        <v/>
      </c>
      <c r="DA210" t="n">
        <v>206</v>
      </c>
      <c r="DB210">
        <f>IF($B$37=0,"",IFERROR(TRIM(SUBSTITUTE(SUBSTITUTE(SUBSTITUTE(SUBSTITUTE(INDEX(PASTE_ALL,206,$B$37)," "," "),CHAR(9)," "),CHAR(10)," "),CHAR(13)," ")),""))</f>
        <v/>
      </c>
      <c r="DC210">
        <f>IF(AND(206&gt;HEADER_ROW,UPPER(DB210)="LEGEND"),1,0)</f>
        <v/>
      </c>
      <c r="DE210" t="n">
        <v>206</v>
      </c>
      <c r="DF210">
        <f>HEADER_ROW+$DE210</f>
        <v/>
      </c>
      <c r="DG210">
        <f>IF(AND($DF210&lt;=1000,$DF210&lt;$B$8),1,0)</f>
        <v/>
      </c>
      <c r="DH210">
        <f>IF($DG210=1,IFERROR(INDEX($DB$5:$DB$1004,$DF210),""),"")</f>
        <v/>
      </c>
      <c r="DI210">
        <f>IF(AND($DG210=1,$DH210&lt;&gt;""),IFERROR(SUBSTITUTE(SUBSTITUTE(TRIM(SUBSTITUTE(SUBSTITUTE(SUBSTITUTE(SUBSTITUTE(IFERROR(INDEX(PASTE_ALL,$DF210,1)&amp;"","")&amp;"␟"&amp;IFERROR(INDEX(PASTE_ALL,$DF210,2)&amp;"","")&amp;"␟"&amp;IFERROR(INDEX(PASTE_ALL,$DF210,3)&amp;"","")&amp;"␟"&amp;IFERROR(INDEX(PASTE_ALL,$DF210,4)&amp;"","")&amp;"␟"&amp;IFERROR(INDEX(PASTE_ALL,$DF210,5)&amp;"","")&amp;"␟"&amp;IFERROR(INDEX(PASTE_ALL,$DF210,6)&amp;"","")&amp;"␟"&amp;IFERROR(INDEX(PASTE_ALL,$DF210,7)&amp;"","")&amp;"␟"&amp;IFERROR(INDEX(PASTE_ALL,$DF210,8)&amp;"","")&amp;"␟"&amp;IFERROR(INDEX(PASTE_ALL,$DF210,9)&amp;"","")&amp;"␟"&amp;IFERROR(INDEX(PASTE_ALL,$DF210,10)&amp;"","")&amp;"␟"&amp;IFERROR(INDEX(PASTE_ALL,$DF210,11)&amp;"","")&amp;"␟"&amp;IFERROR(INDEX(PASTE_ALL,$DF210,12)&amp;"","")&amp;"␟"&amp;IFERROR(INDEX(PASTE_ALL,$DF210,13)&amp;"","")&amp;"␟"&amp;IFERROR(INDEX(PASTE_ALL,$DF210,14)&amp;"","")&amp;"␟"&amp;IFERROR(INDEX(PASTE_ALL,$DF210,15)&amp;"","")&amp;"␟"&amp;IFERROR(INDEX(PASTE_ALL,$DF210,16)&amp;"","")&amp;"␟"&amp;IFERROR(INDEX(PASTE_ALL,$DF210,17)&amp;"","")&amp;"␟"&amp;IFERROR(INDEX(PASTE_ALL,$DF210,18)&amp;"","")&amp;"␟"&amp;IFERROR(INDEX(PASTE_ALL,$DF210,19)&amp;"","")&amp;"␟"&amp;IFERROR(INDEX(PASTE_ALL,$DF210,20)&amp;"","")&amp;"␟"&amp;IFERROR(INDEX(PASTE_ALL,$DF210,21)&amp;"","")&amp;"␟"&amp;IFERROR(INDEX(PASTE_ALL,$DF210,22)&amp;"","")&amp;"␟"&amp;IFERROR(INDEX(PASTE_ALL,$DF210,23)&amp;"","")&amp;"␟"&amp;IFERROR(INDEX(PASTE_ALL,$DF210,24)&amp;"","")&amp;"␟"&amp;IFERROR(INDEX(PASTE_ALL,$DF210,25)&amp;"","")&amp;"␟"&amp;IFERROR(INDEX(PASTE_ALL,$DF210,26)&amp;"","")&amp;"␟"&amp;IFERROR(INDEX(PASTE_ALL,$DF210,27)&amp;"","")&amp;"␟"&amp;IFERROR(INDEX(PASTE_ALL,$DF210,28)&amp;"","")&amp;"␟"&amp;IFERROR(INDEX(PASTE_ALL,$DF210,29)&amp;"","")&amp;"␟"&amp;IFERROR(INDEX(PASTE_ALL,$DF210,30)&amp;"","")&amp;"␟"&amp;IFERROR(INDEX(PASTE_ALL,$DF210,31)&amp;"","")&amp;"␟"&amp;IFERROR(INDEX(PASTE_ALL,$DF210,32)&amp;"","")&amp;"␟"&amp;IFERROR(INDEX(PASTE_ALL,$DF210,33)&amp;"","")&amp;"␟"&amp;IFERROR(INDEX(PASTE_ALL,$DF210,34)&amp;"","")&amp;"␟"&amp;IFERROR(INDEX(PASTE_ALL,$DF210,35)&amp;"","")&amp;"␟"&amp;IFERROR(INDEX(PASTE_ALL,$DF210,36)&amp;"","")&amp;"␟"&amp;IFERROR(INDEX(PASTE_ALL,$DF210,37)&amp;"","")&amp;"␟"&amp;IFERROR(INDEX(PASTE_ALL,$DF210,38)&amp;"","")&amp;"␟"&amp;IFERROR(INDEX(PASTE_ALL,$DF210,39)&amp;"","")&amp;"␟"&amp;IFERROR(INDEX(PASTE_ALL,$DF210,40)&amp;"","")&amp;"␟"&amp;IFERROR(INDEX(PASTE_ALL,$DF210,41)&amp;"","")&amp;"␟"&amp;IFERROR(INDEX(PASTE_ALL,$DF210,42)&amp;"","")&amp;"␟"&amp;IFERROR(INDEX(PASTE_ALL,$DF210,43)&amp;"","")&amp;"␟"&amp;IFERROR(INDEX(PASTE_ALL,$DF210,44)&amp;"","")&amp;"␟"&amp;IFERROR(INDEX(PASTE_ALL,$DF210,45)&amp;"","")&amp;"␟"&amp;IFERROR(INDEX(PASTE_ALL,$DF210,46)&amp;"","")&amp;"␟"&amp;IFERROR(INDEX(PASTE_ALL,$DF210,47)&amp;"","")&amp;"␟"&amp;IFERROR(INDEX(PASTE_ALL,$DF210,48)&amp;"","")&amp;"␟"&amp;IFERROR(INDEX(PASTE_ALL,$DF210,49)&amp;"","")&amp;"␟"&amp;IFERROR(INDEX(PASTE_ALL,$DF210,50)&amp;"","")&amp;"␟"&amp;IFERROR(INDEX(PASTE_ALL,$DF210,51)&amp;"","")&amp;"␟"&amp;IFERROR(INDEX(PASTE_ALL,$DF210,52)&amp;"","")&amp;"␟"&amp;IFERROR(INDEX(PASTE_ALL,$DF210,53)&amp;"","")&amp;"␟"&amp;IFERROR(INDEX(PASTE_ALL,$DF210,54)&amp;"","")&amp;"␟"&amp;IFERROR(INDEX(PASTE_ALL,$DF210,55)&amp;"","")&amp;"␟"&amp;IFERROR(INDEX(PASTE_ALL,$DF210,56)&amp;"","")&amp;"␟"&amp;IFERROR(INDEX(PASTE_ALL,$DF210,57)&amp;"","")&amp;"␟"&amp;IFERROR(INDEX(PASTE_ALL,$DF210,58)&amp;"","")&amp;"␟"&amp;IFERROR(INDEX(PASTE_ALL,$DF210,59)&amp;"","")&amp;"␟"&amp;IFERROR(INDEX(PASTE_ALL,$DF210,60)&amp;"","")," "," "),CHAR(9)," "),CHAR(10)," "),CHAR(13)," "))," ␟","␟"),"␟ ","␟"),"#"&amp;$DE210),"")</f>
        <v/>
      </c>
      <c r="DJ210">
        <f>IF($DI210="",0,IF(SUMPRODUCT(--EXACT($DI$4:DI209,$DI210))&gt;0,1,0))</f>
        <v/>
      </c>
      <c r="DK210">
        <f>IF(AND($DI210&lt;&gt;"",$DJ210=0),1,0)</f>
        <v/>
      </c>
      <c r="DL210">
        <f>DL209+$DK210</f>
        <v/>
      </c>
      <c r="DM210">
        <f>IF(AND($DK210=1,$DL210&lt;=600),1,0)</f>
        <v/>
      </c>
      <c r="DN210">
        <f>IF($DM210=0,"",IF($L$6=0,"",IFERROR(IF(ISNUMBER(INDEX(PASTE_ALL,$DF210,$L$6)),INDEX(PASTE_ALL,$DF210,$L$6),TRIM(SUBSTITUTE(SUBSTITUTE(SUBSTITUTE(SUBSTITUTE(INDEX(PASTE_ALL,$DF210,$L$6)," "," "),CHAR(9)," "),CHAR(10)," "),CHAR(13)," "))),"")))</f>
        <v/>
      </c>
      <c r="DO210">
        <f>IF($DM210=0,"",IF($L$7=0,"",IFERROR(IF(ISNUMBER(INDEX(PASTE_ALL,$DF210,$L$7)),INDEX(PASTE_ALL,$DF210,$L$7),TRIM(SUBSTITUTE(SUBSTITUTE(SUBSTITUTE(SUBSTITUTE(INDEX(PASTE_ALL,$DF210,$L$7)," "," "),CHAR(9)," "),CHAR(10)," "),CHAR(13)," "))),"")))</f>
        <v/>
      </c>
      <c r="DP210">
        <f>IF($DM210=0,"",IF($L$8=0,"",IFERROR(IF(ISNUMBER(INDEX(PASTE_ALL,$DF210,$L$8)),INDEX(PASTE_ALL,$DF210,$L$8),TRIM(SUBSTITUTE(SUBSTITUTE(SUBSTITUTE(SUBSTITUTE(INDEX(PASTE_ALL,$DF210,$L$8)," "," "),CHAR(9)," "),CHAR(10)," "),CHAR(13)," "))),"")))</f>
        <v/>
      </c>
      <c r="DQ210">
        <f>IF($DM210=0,"",IF($L$9=0,"",IFERROR(IF(ISNUMBER(INDEX(PASTE_ALL,$DF210,$L$9)),INDEX(PASTE_ALL,$DF210,$L$9),TRIM(SUBSTITUTE(SUBSTITUTE(SUBSTITUTE(SUBSTITUTE(INDEX(PASTE_ALL,$DF210,$L$9)," "," "),CHAR(9)," "),CHAR(10)," "),CHAR(13)," "))),"")))</f>
        <v/>
      </c>
      <c r="DR210">
        <f>IF($DM210=0,"",IF($L$10=0,"",IFERROR(IF(ISNUMBER(INDEX(PASTE_ALL,$DF210,$L$10)),INDEX(PASTE_ALL,$DF210,$L$10),TRIM(SUBSTITUTE(SUBSTITUTE(SUBSTITUTE(SUBSTITUTE(INDEX(PASTE_ALL,$DF210,$L$10)," "," "),CHAR(9)," "),CHAR(10)," "),CHAR(13)," "))),"")))</f>
        <v/>
      </c>
      <c r="DS210">
        <f>IF($DM210=0,"",IF($L$11=0,"",IFERROR(IF(ISNUMBER(INDEX(PASTE_ALL,$DF210,$L$11)),INDEX(PASTE_ALL,$DF210,$L$11),TRIM(SUBSTITUTE(SUBSTITUTE(SUBSTITUTE(SUBSTITUTE(INDEX(PASTE_ALL,$DF210,$L$11)," "," "),CHAR(9)," "),CHAR(10)," "),CHAR(13)," "))),"")))</f>
        <v/>
      </c>
      <c r="DT210">
        <f>IF($DM210=0,"",IF($L$12=0,"",IFERROR(IF(ISNUMBER(INDEX(PASTE_ALL,$DF210,$L$12)),INDEX(PASTE_ALL,$DF210,$L$12),TRIM(SUBSTITUTE(SUBSTITUTE(SUBSTITUTE(SUBSTITUTE(INDEX(PASTE_ALL,$DF210,$L$12)," "," "),CHAR(9)," "),CHAR(10)," "),CHAR(13)," "))),"")))</f>
        <v/>
      </c>
      <c r="DU210">
        <f>IF($DM210=0,"",IF($L$13=0,"",IFERROR(IF(ISNUMBER(INDEX(PASTE_ALL,$DF210,$L$13)),INDEX(PASTE_ALL,$DF210,$L$13),TRIM(SUBSTITUTE(SUBSTITUTE(SUBSTITUTE(SUBSTITUTE(INDEX(PASTE_ALL,$DF210,$L$13)," "," "),CHAR(9)," "),CHAR(10)," "),CHAR(13)," "))),"")))</f>
        <v/>
      </c>
      <c r="DV210">
        <f>IF($DM210=0,"",IF($L$14=0,"",IFERROR(IF(ISNUMBER(INDEX(PASTE_ALL,$DF210,$L$14)),INDEX(PASTE_ALL,$DF210,$L$14),TRIM(SUBSTITUTE(SUBSTITUTE(SUBSTITUTE(SUBSTITUTE(INDEX(PASTE_ALL,$DF210,$L$14)," "," "),CHAR(9)," "),CHAR(10)," "),CHAR(13)," "))),"")))</f>
        <v/>
      </c>
      <c r="DW210">
        <f>IF($DM210=0,"",IF($L$15=0,"",IFERROR(IF(ISNUMBER(INDEX(PASTE_ALL,$DF210,$L$15)),INDEX(PASTE_ALL,$DF210,$L$15),IF(SUMPRODUCT(--ISNUMBER(FIND({"A","B","C","D","E","F","G","H","I","J","K","L","M","N","O","P","Q","R","S","T","U","V","W","X","Y","Z","0","1","2","3","4","5","6","7","8","9"},UPPER(TRIM(SUBSTITUTE(SUBSTITUTE(SUBSTITUTE(SUBSTITUTE(INDEX(PASTE_ALL,$DF210,$L$15)," "," "),CHAR(9)," "),CHAR(10)," "),CHAR(13)," "))))))&gt;0,TRIM(SUBSTITUTE(SUBSTITUTE(SUBSTITUTE(SUBSTITUTE(INDEX(PASTE_ALL,$DF210,$L$15)," "," "),CHAR(9)," "),CHAR(10)," "),CHAR(13)," ")),"")),"")))</f>
        <v/>
      </c>
      <c r="DX210">
        <f>IF($DM210=0,"",IF($L$16=0,"",IFERROR(IF(ISNUMBER(INDEX(PASTE_ALL,$DF210,$L$16)),INDEX(PASTE_ALL,$DF210,$L$16),SUBSTITUTE(SUBSTITUTE(TRIM(SUBSTITUTE(SUBSTITUTE(SUBSTITUTE(SUBSTITUTE(INDEX(PASTE_ALL,$DF210,$L$16)," "," "),CHAR(9)," "),CHAR(10)," "),CHAR(13)," ")),",",""),"%","")),"")))</f>
        <v/>
      </c>
      <c r="DY210">
        <f>IF($DM210=0,"",IFERROR(IF(ISNUMBER($DX210),$DX210,IF($DX210="","",IF(TRIM($DX210)="",0,IF(AND(AND(SUBSTITUTE(SUBSTITUTE(SUBSTITUTE(SUBSTITUTE(SUBSTITUTE(SUBSTITUTE(SUBSTITUTE(SUBSTITUTE(SUBSTITUTE(SUBSTITUTE(SUBSTITUTE(SUBSTITUTE(SUBSTITUTE(SUBSTITUTE(UPPER(TRIM($DX210)),"0",""),"1",""),"2",""),"3",""),"4",""),"5",""),"6",""),"7",""),"8",""),"9",""),".",""),"+",""),"-",""),"E","")="",LEN(SUBSTITUTE(SUBSTITUTE(MID(UPPER(TRIM($DX210)),1+OR(LEFT(UPPER(TRIM($DX210)),1)="+",LEFT(UPPER(TRIM($DX210)),1)="-"),999),"E+","E"),"E-","E"))=LEN(SUBSTITUTE(SUBSTITUTE(SUBSTITUTE(SUBSTITUTE(MID(UPPER(TRIM($DX210)),1+OR(LEFT(UPPER(TRIM($DX210)),1)="+",LEFT(UPPER(TRIM($DX210)),1)="-"),999),"E+","E"),"E-","E"),"+",""),"-","")),LEN(UPPER(TRIM($DX210)))-LEN(SUBSTITUTE(UPPER(TRIM($DX210)),"E",""))&lt;2,LEN(UPPER(TRIM($DX210)))-LEN(SUBSTITUTE(UPPER(TRIM($DX210)),".",""))&lt;2,IFERROR(FIND(".",UPPER(TRIM($DX210))),0)&lt;IFERROR(FIND("E",UPPER(TRIM($DX210))),999)),ISNUMBER(VALUE(TRIM($DX210)))),VALUE(TRIM($DX210)),"")))),""))</f>
        <v/>
      </c>
      <c r="DZ210">
        <f>IF($DM210=0,"",IF($L$17=0,"",IFERROR(IF(ISNUMBER(INDEX(PASTE_ALL,$DF210,$L$17)),INDEX(PASTE_ALL,$DF210,$L$17),SUBSTITUTE(SUBSTITUTE(TRIM(SUBSTITUTE(SUBSTITUTE(SUBSTITUTE(SUBSTITUTE(INDEX(PASTE_ALL,$DF210,$L$17)," "," "),CHAR(9)," "),CHAR(10)," "),CHAR(13)," ")),",",""),"%","")),"")))</f>
        <v/>
      </c>
      <c r="EA210">
        <f>IF($DM210=0,"",IFERROR(IF(ISNUMBER($DZ210),$DZ210,IF($DZ210="","",IF(TRIM($DZ210)="",0,IF(AND(AND(SUBSTITUTE(SUBSTITUTE(SUBSTITUTE(SUBSTITUTE(SUBSTITUTE(SUBSTITUTE(SUBSTITUTE(SUBSTITUTE(SUBSTITUTE(SUBSTITUTE(SUBSTITUTE(SUBSTITUTE(SUBSTITUTE(SUBSTITUTE(UPPER(TRIM($DZ210)),"0",""),"1",""),"2",""),"3",""),"4",""),"5",""),"6",""),"7",""),"8",""),"9",""),".",""),"+",""),"-",""),"E","")="",LEN(SUBSTITUTE(SUBSTITUTE(MID(UPPER(TRIM($DZ210)),1+OR(LEFT(UPPER(TRIM($DZ210)),1)="+",LEFT(UPPER(TRIM($DZ210)),1)="-"),999),"E+","E"),"E-","E"))=LEN(SUBSTITUTE(SUBSTITUTE(SUBSTITUTE(SUBSTITUTE(MID(UPPER(TRIM($DZ210)),1+OR(LEFT(UPPER(TRIM($DZ210)),1)="+",LEFT(UPPER(TRIM($DZ210)),1)="-"),999),"E+","E"),"E-","E"),"+",""),"-","")),LEN(UPPER(TRIM($DZ210)))-LEN(SUBSTITUTE(UPPER(TRIM($DZ210)),"E",""))&lt;2,LEN(UPPER(TRIM($DZ210)))-LEN(SUBSTITUTE(UPPER(TRIM($DZ210)),".",""))&lt;2,IFERROR(FIND(".",UPPER(TRIM($DZ210))),0)&lt;IFERROR(FIND("E",UPPER(TRIM($DZ210))),999)),ISNUMBER(VALUE(TRIM($DZ210)))),VALUE(TRIM($DZ210)),"")))),""))</f>
        <v/>
      </c>
      <c r="EB210">
        <f>IF($DM210=0,"",IF($L$18=0,"",IFERROR(IF(UPPER(TRIM(SUBSTITUTE(SUBSTITUTE(SUBSTITUTE(SUBSTITUTE(INDEX(PASTE_ALL,$DF210,$L$18)," "," "),CHAR(9)," "),CHAR(10)," "),CHAR(13)," ")))="READY","Ready",IF(UPPER(TRIM(SUBSTITUTE(SUBSTITUTE(SUBSTITUTE(SUBSTITUTE(INDEX(PASTE_ALL,$DF210,$L$18)," "," "),CHAR(9)," "),CHAR(10)," "),CHAR(13)," ")))="PM","PM",IF(OR(UPPER(TRIM(SUBSTITUTE(SUBSTITUTE(SUBSTITUTE(SUBSTITUTE(INDEX(PASTE_ALL,$DF210,$L$18)," "," "),CHAR(9)," "),CHAR(10)," "),CHAR(13)," ")))="OT",UPPER(TRIM(SUBSTITUTE(SUBSTITUTE(SUBSTITUTE(SUBSTITUTE(INDEX(PASTE_ALL,$DF210,$L$18)," "," "),CHAR(9)," "),CHAR(10)," "),CHAR(13)," ")))="OVERTIME",UPPER(TRIM(SUBSTITUTE(SUBSTITUTE(SUBSTITUTE(SUBSTITUTE(INDEX(PASTE_ALL,$DF210,$L$18)," "," "),CHAR(9)," "),CHAR(10)," "),CHAR(13)," ")))="TRIAL"),"OT",TRIM(SUBSTITUTE(SUBSTITUTE(SUBSTITUTE(SUBSTITUTE(INDEX(PASTE_ALL,$DF210,$L$18)," "," "),CHAR(9)," "),CHAR(10)," "),CHAR(13)," "))))),"")))</f>
        <v/>
      </c>
      <c r="EC210">
        <f>IF($DM210=0,"",IF($L$19=0,"",IFERROR(IF(ISNUMBER(INDEX(PASTE_ALL,$DF210,$L$19)),INDEX(PASTE_ALL,$DF210,$L$19),TRIM(SUBSTITUTE(SUBSTITUTE(SUBSTITUTE(SUBSTITUTE(INDEX(PASTE_ALL,$DF210,$L$19)," "," "),CHAR(9)," "),CHAR(10)," "),CHAR(13)," "))),"")))</f>
        <v/>
      </c>
      <c r="ED210">
        <f>IF($DM210=0,"",MATCH(1,INDEX(EXACT($DH$5:DH210,$DH210)*$DM$5:DM210,0),0))</f>
        <v/>
      </c>
      <c r="EE210">
        <f>IF($DM210=0,0,IF($ED210=$DE210,1,0))</f>
        <v/>
      </c>
      <c r="EF210">
        <f>EF209+$EE210</f>
        <v/>
      </c>
      <c r="EG210">
        <f>IF($DM210=0,"",INDEX($EF$5:$EF$1003,$ED210))</f>
        <v/>
      </c>
      <c r="EH210">
        <f>IF($DM210=0,"",IF($DO210&lt;&gt;"","",IFERROR(LOOKUP(2,1/(($EG$4:EG209=$EG210)*($DO$4:DO209&lt;&gt;"")),$DO$4:DO209),"")))</f>
        <v/>
      </c>
      <c r="EI210">
        <f>IF($DM210=0,"",IF($DO210&lt;&gt;"",$DO210,$EH210))</f>
        <v/>
      </c>
      <c r="EJ210">
        <f>IF($DM210=0,"",IF($EI210="",0,IF(OR(ISNUMBER($EI210),AND(AND(SUBSTITUTE(SUBSTITUTE(SUBSTITUTE(SUBSTITUTE(SUBSTITUTE(SUBSTITUTE(SUBSTITUTE(SUBSTITUTE(SUBSTITUTE(SUBSTITUTE(SUBSTITUTE(SUBSTITUTE(SUBSTITUTE(SUBSTITUTE(UPPER($EI210),"0",""),"1",""),"2",""),"3",""),"4",""),"5",""),"6",""),"7",""),"8",""),"9",""),".",""),"+",""),"-",""),"E","")="",LEN(SUBSTITUTE(SUBSTITUTE(MID(UPPER($EI210),1+OR(LEFT(UPPER($EI210),1)="+",LEFT(UPPER($EI210),1)="-"),999),"E+","E"),"E-","E"))=LEN(SUBSTITUTE(SUBSTITUTE(SUBSTITUTE(SUBSTITUTE(MID(UPPER($EI210),1+OR(LEFT(UPPER($EI210),1)="+",LEFT(UPPER($EI210),1)="-"),999),"E+","E"),"E-","E"),"+",""),"-","")),LEN(UPPER($EI210))-LEN(SUBSTITUTE(UPPER($EI210),"E",""))&lt;2,LEN(UPPER($EI210))-LEN(SUBSTITUTE(UPPER($EI210),".",""))&lt;2,IFERROR(FIND(".",UPPER($EI210)),0)&lt;IFERROR(FIND("E",UPPER($EI210)),999)),ISNUMBER(VALUE($EI210)))),1,2)))</f>
        <v/>
      </c>
      <c r="EK210">
        <f>IF($DM210=0,"",IF($EJ210=1,IF(ISNUMBER($EI210),$EI210,VALUE($EI210)),IF($EJ210=2,$DE210,0)))</f>
        <v/>
      </c>
      <c r="EL210">
        <f>IF($DM210=0,"",COUNTIF($EG$5:$EG$1003,"&lt;"&amp;$EG210)+SUMPRODUCT(($EG$5:$EG$1003=$EG210)*(($EJ$5:$EJ$1003&lt;$EJ210)+($EJ$5:$EJ$1003=$EJ210)*(($EK$5:$EK$1003&lt;$EK210)+($EK$5:$EK$1003=$EK210)*($DE$5:$DE$1003&lt;$DE210))))+1)</f>
        <v/>
      </c>
      <c r="EM210">
        <f>IF($DM210=0,"",$EL210+$EG210-1)</f>
        <v/>
      </c>
      <c r="EN210">
        <f>IF($DM210=0,0,IFERROR(MATCH(1,INDEX(--(TRIM(SUBSTITUTE(SUBSTITUTE(SUBSTITUTE(SUBSTITUTE(LINES_NAME&amp;""," "," "),CHAR(9)," "),CHAR(10)," "),CHAR(13)," "))=$DH210),0),0),0))</f>
        <v/>
      </c>
      <c r="EO210">
        <f>IF($EN210=0,0,IF(OR(UPPER(TRIM(INDEX(LINES_SCHEDULED,$EN210)&amp;""))="YES",UPPER(TRIM(INDEX(LINES_SCHEDULED,$EN210)&amp;""))="Y",UPPER(TRIM(INDEX(LINES_SCHEDULED,$EN210)&amp;""))="X"),1,0))</f>
        <v/>
      </c>
      <c r="EP210">
        <f>IF($DM210=0,"",IF(COUNTIFS($EG$5:$EG$1003,$EG210,$EB$5:$EB$1003,"Ready")&gt;0,"READY",IF(COUNTIFS($EG$5:$EG$1003,$EG210,$EB$5:$EB$1003,"PM")&gt;0,"PM",IF(COUNTIFS($EG$5:$EG$1003,$EG210,$EB$5:$EB$1003,"OT")&gt;0,"OT",""))))</f>
        <v/>
      </c>
      <c r="EQ210">
        <f>IF($EN210=0,"",UPPER(TRIM(INDEX(LINES_STATUS,$EN210)&amp;"")))</f>
        <v/>
      </c>
      <c r="ER210">
        <f>IF($DM210=0,"",IF(OR($EQ210="READY",$EQ210="PM",$EQ210="OT"),$EQ210,$EP210))</f>
        <v/>
      </c>
      <c r="ES210">
        <f>IF($DM210=0,"",IF(AND($DV210&lt;&gt;"",UPPER($DV210)&lt;&gt;"N"),"allergen",IF(ISNUMBER(SEARCH("oil",$DQ210)),"oil",IF(OR(EXACT($DS210,"A662"),EXACT($DS210,"A624")),"bulk",""))))</f>
        <v/>
      </c>
      <c r="ET210">
        <f>IF($DM210=0,"",IF(OR($EA210="",$EA210=0),"",$EA210/100))</f>
        <v/>
      </c>
      <c r="EU210">
        <f>IF(OR($ET210="",$DY210=""),"",INT($DY210*(1-$ET210)+0.5))</f>
        <v/>
      </c>
      <c r="EW210" t="n">
        <v>206</v>
      </c>
      <c r="EX210">
        <f>IFERROR(MATCH($EW210,$EM$5:$EM$1003,0),0)</f>
        <v/>
      </c>
      <c r="EY210">
        <f>IF($EW210&gt;$B$12,"",IF($EX210&gt;0,"row","spacer"))</f>
        <v/>
      </c>
      <c r="EZ210">
        <f>IF(AND($EY210="row",$EY209&lt;&gt;"row"),1,0)</f>
        <v/>
      </c>
      <c r="FA210">
        <f>IF(AND($EY210="row",$EY211&lt;&gt;"row"),1,0)</f>
        <v/>
      </c>
      <c r="FB210">
        <f>IF($EZ210=1,IFERROR(IF(ISNUMBER(INDEX(PASTE_ALL,INDEX($DF$5:$DF$1003,$EX210),$B$37)),INDEX(PASTE_ALL,INDEX($DF$5:$DF$1003,$EX210),$B$37),INDEX($DH$5:$DH$1003,$EX210)),INDEX($DH$5:$DH$1003,$EX210)),"")</f>
        <v/>
      </c>
      <c r="FC210">
        <f>IF($EY210="row",INDEX($ER$5:$ER$1003,$EX210),"")</f>
        <v/>
      </c>
      <c r="FD210">
        <f>IF($EY210="row",INDEX($DN$5:$DN$1003,$EX210),"")</f>
        <v/>
      </c>
      <c r="FE210">
        <f>IF($EY210="row",INDEX($DO$5:$DO$1003,$EX210),"")</f>
        <v/>
      </c>
      <c r="FF210">
        <f>IF($EY210="row",INDEX($DP$5:$DP$1003,$EX210),"")</f>
        <v/>
      </c>
      <c r="FG210">
        <f>IF($EY210="row",INDEX($DQ$5:$DQ$1003,$EX210),"")</f>
        <v/>
      </c>
      <c r="FH210">
        <f>IF($EY210="row",INDEX($DR$5:$DR$1003,$EX210),"")</f>
        <v/>
      </c>
      <c r="FI210">
        <f>IF($EY210="row",INDEX($DS$5:$DS$1003,$EX210),"")</f>
        <v/>
      </c>
      <c r="FJ210">
        <f>IF($EY210="row",INDEX($DT$5:$DT$1003,$EX210),"")</f>
        <v/>
      </c>
      <c r="FK210">
        <f>IF($EY210="row",INDEX($DU$5:$DU$1003,$EX210),"")</f>
        <v/>
      </c>
      <c r="FL210">
        <f>IF($EY210="row",INDEX($DV$5:$DV$1003,$EX210),"")</f>
        <v/>
      </c>
      <c r="FM210">
        <f>IF($EY210="row",INDEX($DW$5:$DW$1003,$EX210),"")</f>
        <v/>
      </c>
      <c r="FN210">
        <f>IF($EY210="row",INDEX($DY$5:$DY$1003,$EX210),"")</f>
        <v/>
      </c>
      <c r="FO210">
        <f>IF($EY210="row",INDEX($EA$5:$EA$1003,$EX210),"")</f>
        <v/>
      </c>
      <c r="FP210">
        <f>IF($EY210="row",INDEX($EC$5:$EC$1003,$EX210),"")</f>
        <v/>
      </c>
      <c r="FQ210">
        <f>IF($EY210="row",INDEX($ET$5:$ET$1003,$EX210),"")</f>
        <v/>
      </c>
      <c r="FR210">
        <f>IF($EY210="row",INDEX($EU$5:$EU$1003,$EX210),"")</f>
        <v/>
      </c>
      <c r="FS210">
        <f>IF(AND($EY210="row",$EY209="row"),IF(OR(INDEX($DT$5:$DT$1003,$EX209)="",INDEX($DT$5:$DT$1003,$EX210)=""),"",IF(NOT(EXACT(INDEX($DT$5:$DT$1003,$EX209),INDEX($DT$5:$DT$1003,$EX210))),"S4",IF(NOT(EXACT(INDEX($DS$5:$DS$1003,$EX209),INDEX($DS$5:$DS$1003,$EX210))),"S3",IF(NOT(EXACT(INDEX($DR$5:$DR$1003,$EX209),INDEX($DR$5:$DR$1003,$EX210))),"S1 Count Change","S1")))),"")</f>
        <v/>
      </c>
      <c r="FT210">
        <f>IF($EY210="row",INDEX($ES$5:$ES$1003,$EX210),"")</f>
        <v/>
      </c>
      <c r="FU210">
        <f>IF($EY210="row",INDEX($EO$5:$EO$1003,$EX210),0)</f>
        <v/>
      </c>
      <c r="FV210">
        <f>IF($FS210="S1 Count Change",1,0)</f>
        <v/>
      </c>
    </row>
    <row r="211">
      <c r="Y211">
        <f>0+IF(Y121&gt;0,0,IF(SUMPRODUCT(MOD(INT(Y166/{2,4,8,16,32,64,128,256,512,1024,2048,4096,8192,16384,32768}),2)*(1-MOD(INT(($CJ31+0)/{2,4,8,16,32,64,128,256,512,1024,2048,4096,8192,16384,32768}),2))*{2,4,8,16,32,64,128,256,512,1024,2048,4096,8192,16384,32768})=0,0,2^SUMPRODUCT(--(MOD(SUMPRODUCT(MOD(INT(Y166/{2,4,8,16,32,64,128,256,512,1024,2048,4096,8192,16384,32768}),2)*(1-MOD(INT(($CJ31+0)/{2,4,8,16,32,64,128,256,512,1024,2048,4096,8192,16384,32768}),2))*{2,4,8,16,32,64,128,256,512,1024,2048,4096,8192,16384,32768}),{2,4,8,16,32,64,128,256,512,1024,2048,4096,8192,16384,32768})=0))))</f>
        <v/>
      </c>
      <c r="Z211">
        <f>Y211+IF(AND(Z121&gt;0,COUNTIF($Y121:Y121,Z121)=0),0,IF(SUMPRODUCT(MOD(INT(Z166/{2,4,8,16,32,64,128,256,512,1024,2048,4096,8192,16384,32768}),2)*(1-MOD(INT(($CJ31+Y211)/{2,4,8,16,32,64,128,256,512,1024,2048,4096,8192,16384,32768}),2))*{2,4,8,16,32,64,128,256,512,1024,2048,4096,8192,16384,32768})=0,0,2^SUMPRODUCT(--(MOD(SUMPRODUCT(MOD(INT(Z166/{2,4,8,16,32,64,128,256,512,1024,2048,4096,8192,16384,32768}),2)*(1-MOD(INT(($CJ31+Y211)/{2,4,8,16,32,64,128,256,512,1024,2048,4096,8192,16384,32768}),2))*{2,4,8,16,32,64,128,256,512,1024,2048,4096,8192,16384,32768}),{2,4,8,16,32,64,128,256,512,1024,2048,4096,8192,16384,32768})=0))))</f>
        <v/>
      </c>
      <c r="AA211">
        <f>Z211+IF(AND(AA121&gt;0,COUNTIF($Y121:Z121,AA121)=0),0,IF(SUMPRODUCT(MOD(INT(AA166/{2,4,8,16,32,64,128,256,512,1024,2048,4096,8192,16384,32768}),2)*(1-MOD(INT(($CJ31+Z211)/{2,4,8,16,32,64,128,256,512,1024,2048,4096,8192,16384,32768}),2))*{2,4,8,16,32,64,128,256,512,1024,2048,4096,8192,16384,32768})=0,0,2^SUMPRODUCT(--(MOD(SUMPRODUCT(MOD(INT(AA166/{2,4,8,16,32,64,128,256,512,1024,2048,4096,8192,16384,32768}),2)*(1-MOD(INT(($CJ31+Z211)/{2,4,8,16,32,64,128,256,512,1024,2048,4096,8192,16384,32768}),2))*{2,4,8,16,32,64,128,256,512,1024,2048,4096,8192,16384,32768}),{2,4,8,16,32,64,128,256,512,1024,2048,4096,8192,16384,32768})=0))))</f>
        <v/>
      </c>
      <c r="AB211">
        <f>AA211+IF(AND(AB121&gt;0,COUNTIF($Y121:AA121,AB121)=0),0,IF(SUMPRODUCT(MOD(INT(AB166/{2,4,8,16,32,64,128,256,512,1024,2048,4096,8192,16384,32768}),2)*(1-MOD(INT(($CJ31+AA211)/{2,4,8,16,32,64,128,256,512,1024,2048,4096,8192,16384,32768}),2))*{2,4,8,16,32,64,128,256,512,1024,2048,4096,8192,16384,32768})=0,0,2^SUMPRODUCT(--(MOD(SUMPRODUCT(MOD(INT(AB166/{2,4,8,16,32,64,128,256,512,1024,2048,4096,8192,16384,32768}),2)*(1-MOD(INT(($CJ31+AA211)/{2,4,8,16,32,64,128,256,512,1024,2048,4096,8192,16384,32768}),2))*{2,4,8,16,32,64,128,256,512,1024,2048,4096,8192,16384,32768}),{2,4,8,16,32,64,128,256,512,1024,2048,4096,8192,16384,32768})=0))))</f>
        <v/>
      </c>
      <c r="AC211">
        <f>AB211+IF(AND(AC121&gt;0,COUNTIF($Y121:AB121,AC121)=0),0,IF(SUMPRODUCT(MOD(INT(AC166/{2,4,8,16,32,64,128,256,512,1024,2048,4096,8192,16384,32768}),2)*(1-MOD(INT(($CJ31+AB211)/{2,4,8,16,32,64,128,256,512,1024,2048,4096,8192,16384,32768}),2))*{2,4,8,16,32,64,128,256,512,1024,2048,4096,8192,16384,32768})=0,0,2^SUMPRODUCT(--(MOD(SUMPRODUCT(MOD(INT(AC166/{2,4,8,16,32,64,128,256,512,1024,2048,4096,8192,16384,32768}),2)*(1-MOD(INT(($CJ31+AB211)/{2,4,8,16,32,64,128,256,512,1024,2048,4096,8192,16384,32768}),2))*{2,4,8,16,32,64,128,256,512,1024,2048,4096,8192,16384,32768}),{2,4,8,16,32,64,128,256,512,1024,2048,4096,8192,16384,32768})=0))))</f>
        <v/>
      </c>
      <c r="AD211">
        <f>AC211+IF(AND(AD121&gt;0,COUNTIF($Y121:AC121,AD121)=0),0,IF(SUMPRODUCT(MOD(INT(AD166/{2,4,8,16,32,64,128,256,512,1024,2048,4096,8192,16384,32768}),2)*(1-MOD(INT(($CJ31+AC211)/{2,4,8,16,32,64,128,256,512,1024,2048,4096,8192,16384,32768}),2))*{2,4,8,16,32,64,128,256,512,1024,2048,4096,8192,16384,32768})=0,0,2^SUMPRODUCT(--(MOD(SUMPRODUCT(MOD(INT(AD166/{2,4,8,16,32,64,128,256,512,1024,2048,4096,8192,16384,32768}),2)*(1-MOD(INT(($CJ31+AC211)/{2,4,8,16,32,64,128,256,512,1024,2048,4096,8192,16384,32768}),2))*{2,4,8,16,32,64,128,256,512,1024,2048,4096,8192,16384,32768}),{2,4,8,16,32,64,128,256,512,1024,2048,4096,8192,16384,32768})=0))))</f>
        <v/>
      </c>
      <c r="AE211">
        <f>AD211+IF(AND(AE121&gt;0,COUNTIF($Y121:AD121,AE121)=0),0,IF(SUMPRODUCT(MOD(INT(AE166/{2,4,8,16,32,64,128,256,512,1024,2048,4096,8192,16384,32768}),2)*(1-MOD(INT(($CJ31+AD211)/{2,4,8,16,32,64,128,256,512,1024,2048,4096,8192,16384,32768}),2))*{2,4,8,16,32,64,128,256,512,1024,2048,4096,8192,16384,32768})=0,0,2^SUMPRODUCT(--(MOD(SUMPRODUCT(MOD(INT(AE166/{2,4,8,16,32,64,128,256,512,1024,2048,4096,8192,16384,32768}),2)*(1-MOD(INT(($CJ31+AD211)/{2,4,8,16,32,64,128,256,512,1024,2048,4096,8192,16384,32768}),2))*{2,4,8,16,32,64,128,256,512,1024,2048,4096,8192,16384,32768}),{2,4,8,16,32,64,128,256,512,1024,2048,4096,8192,16384,32768})=0))))</f>
        <v/>
      </c>
      <c r="AF211">
        <f>AE211+IF(AND(AF121&gt;0,COUNTIF($Y121:AE121,AF121)=0),0,IF(SUMPRODUCT(MOD(INT(AF166/{2,4,8,16,32,64,128,256,512,1024,2048,4096,8192,16384,32768}),2)*(1-MOD(INT(($CJ31+AE211)/{2,4,8,16,32,64,128,256,512,1024,2048,4096,8192,16384,32768}),2))*{2,4,8,16,32,64,128,256,512,1024,2048,4096,8192,16384,32768})=0,0,2^SUMPRODUCT(--(MOD(SUMPRODUCT(MOD(INT(AF166/{2,4,8,16,32,64,128,256,512,1024,2048,4096,8192,16384,32768}),2)*(1-MOD(INT(($CJ31+AE211)/{2,4,8,16,32,64,128,256,512,1024,2048,4096,8192,16384,32768}),2))*{2,4,8,16,32,64,128,256,512,1024,2048,4096,8192,16384,32768}),{2,4,8,16,32,64,128,256,512,1024,2048,4096,8192,16384,32768})=0))))</f>
        <v/>
      </c>
      <c r="AG211">
        <f>AF211+IF(AND(AG121&gt;0,COUNTIF($Y121:AF121,AG121)=0),0,IF(SUMPRODUCT(MOD(INT(AG166/{2,4,8,16,32,64,128,256,512,1024,2048,4096,8192,16384,32768}),2)*(1-MOD(INT(($CJ31+AF211)/{2,4,8,16,32,64,128,256,512,1024,2048,4096,8192,16384,32768}),2))*{2,4,8,16,32,64,128,256,512,1024,2048,4096,8192,16384,32768})=0,0,2^SUMPRODUCT(--(MOD(SUMPRODUCT(MOD(INT(AG166/{2,4,8,16,32,64,128,256,512,1024,2048,4096,8192,16384,32768}),2)*(1-MOD(INT(($CJ31+AF211)/{2,4,8,16,32,64,128,256,512,1024,2048,4096,8192,16384,32768}),2))*{2,4,8,16,32,64,128,256,512,1024,2048,4096,8192,16384,32768}),{2,4,8,16,32,64,128,256,512,1024,2048,4096,8192,16384,32768})=0))))</f>
        <v/>
      </c>
      <c r="AH211">
        <f>AG211+IF(AND(AH121&gt;0,COUNTIF($Y121:AG121,AH121)=0),0,IF(SUMPRODUCT(MOD(INT(AH166/{2,4,8,16,32,64,128,256,512,1024,2048,4096,8192,16384,32768}),2)*(1-MOD(INT(($CJ31+AG211)/{2,4,8,16,32,64,128,256,512,1024,2048,4096,8192,16384,32768}),2))*{2,4,8,16,32,64,128,256,512,1024,2048,4096,8192,16384,32768})=0,0,2^SUMPRODUCT(--(MOD(SUMPRODUCT(MOD(INT(AH166/{2,4,8,16,32,64,128,256,512,1024,2048,4096,8192,16384,32768}),2)*(1-MOD(INT(($CJ31+AG211)/{2,4,8,16,32,64,128,256,512,1024,2048,4096,8192,16384,32768}),2))*{2,4,8,16,32,64,128,256,512,1024,2048,4096,8192,16384,32768}),{2,4,8,16,32,64,128,256,512,1024,2048,4096,8192,16384,32768})=0))))</f>
        <v/>
      </c>
      <c r="AI211">
        <f>AH211+IF(AND(AI121&gt;0,COUNTIF($Y121:AH121,AI121)=0),0,IF(SUMPRODUCT(MOD(INT(AI166/{2,4,8,16,32,64,128,256,512,1024,2048,4096,8192,16384,32768}),2)*(1-MOD(INT(($CJ31+AH211)/{2,4,8,16,32,64,128,256,512,1024,2048,4096,8192,16384,32768}),2))*{2,4,8,16,32,64,128,256,512,1024,2048,4096,8192,16384,32768})=0,0,2^SUMPRODUCT(--(MOD(SUMPRODUCT(MOD(INT(AI166/{2,4,8,16,32,64,128,256,512,1024,2048,4096,8192,16384,32768}),2)*(1-MOD(INT(($CJ31+AH211)/{2,4,8,16,32,64,128,256,512,1024,2048,4096,8192,16384,32768}),2))*{2,4,8,16,32,64,128,256,512,1024,2048,4096,8192,16384,32768}),{2,4,8,16,32,64,128,256,512,1024,2048,4096,8192,16384,32768})=0))))</f>
        <v/>
      </c>
      <c r="AJ211">
        <f>AI211+IF(AND(AJ121&gt;0,COUNTIF($Y121:AI121,AJ121)=0),0,IF(SUMPRODUCT(MOD(INT(AJ166/{2,4,8,16,32,64,128,256,512,1024,2048,4096,8192,16384,32768}),2)*(1-MOD(INT(($CJ31+AI211)/{2,4,8,16,32,64,128,256,512,1024,2048,4096,8192,16384,32768}),2))*{2,4,8,16,32,64,128,256,512,1024,2048,4096,8192,16384,32768})=0,0,2^SUMPRODUCT(--(MOD(SUMPRODUCT(MOD(INT(AJ166/{2,4,8,16,32,64,128,256,512,1024,2048,4096,8192,16384,32768}),2)*(1-MOD(INT(($CJ31+AI211)/{2,4,8,16,32,64,128,256,512,1024,2048,4096,8192,16384,32768}),2))*{2,4,8,16,32,64,128,256,512,1024,2048,4096,8192,16384,32768}),{2,4,8,16,32,64,128,256,512,1024,2048,4096,8192,16384,32768})=0))))</f>
        <v/>
      </c>
      <c r="AK211">
        <f>AJ211+IF(AND(AK121&gt;0,COUNTIF($Y121:AJ121,AK121)=0),0,IF(SUMPRODUCT(MOD(INT(AK166/{2,4,8,16,32,64,128,256,512,1024,2048,4096,8192,16384,32768}),2)*(1-MOD(INT(($CJ31+AJ211)/{2,4,8,16,32,64,128,256,512,1024,2048,4096,8192,16384,32768}),2))*{2,4,8,16,32,64,128,256,512,1024,2048,4096,8192,16384,32768})=0,0,2^SUMPRODUCT(--(MOD(SUMPRODUCT(MOD(INT(AK166/{2,4,8,16,32,64,128,256,512,1024,2048,4096,8192,16384,32768}),2)*(1-MOD(INT(($CJ31+AJ211)/{2,4,8,16,32,64,128,256,512,1024,2048,4096,8192,16384,32768}),2))*{2,4,8,16,32,64,128,256,512,1024,2048,4096,8192,16384,32768}),{2,4,8,16,32,64,128,256,512,1024,2048,4096,8192,16384,32768})=0))))</f>
        <v/>
      </c>
      <c r="AL211">
        <f>AK211+IF(AND(AL121&gt;0,COUNTIF($Y121:AK121,AL121)=0),0,IF(SUMPRODUCT(MOD(INT(AL166/{2,4,8,16,32,64,128,256,512,1024,2048,4096,8192,16384,32768}),2)*(1-MOD(INT(($CJ31+AK211)/{2,4,8,16,32,64,128,256,512,1024,2048,4096,8192,16384,32768}),2))*{2,4,8,16,32,64,128,256,512,1024,2048,4096,8192,16384,32768})=0,0,2^SUMPRODUCT(--(MOD(SUMPRODUCT(MOD(INT(AL166/{2,4,8,16,32,64,128,256,512,1024,2048,4096,8192,16384,32768}),2)*(1-MOD(INT(($CJ31+AK211)/{2,4,8,16,32,64,128,256,512,1024,2048,4096,8192,16384,32768}),2))*{2,4,8,16,32,64,128,256,512,1024,2048,4096,8192,16384,32768}),{2,4,8,16,32,64,128,256,512,1024,2048,4096,8192,16384,32768})=0))))</f>
        <v/>
      </c>
      <c r="AM211">
        <f>AL211+IF(AND(AM121&gt;0,COUNTIF($Y121:AL121,AM121)=0),0,IF(SUMPRODUCT(MOD(INT(AM166/{2,4,8,16,32,64,128,256,512,1024,2048,4096,8192,16384,32768}),2)*(1-MOD(INT(($CJ31+AL211)/{2,4,8,16,32,64,128,256,512,1024,2048,4096,8192,16384,32768}),2))*{2,4,8,16,32,64,128,256,512,1024,2048,4096,8192,16384,32768})=0,0,2^SUMPRODUCT(--(MOD(SUMPRODUCT(MOD(INT(AM166/{2,4,8,16,32,64,128,256,512,1024,2048,4096,8192,16384,32768}),2)*(1-MOD(INT(($CJ31+AL211)/{2,4,8,16,32,64,128,256,512,1024,2048,4096,8192,16384,32768}),2))*{2,4,8,16,32,64,128,256,512,1024,2048,4096,8192,16384,32768}),{2,4,8,16,32,64,128,256,512,1024,2048,4096,8192,16384,32768})=0))))</f>
        <v/>
      </c>
      <c r="AN211">
        <f>AM211+IF(AND(AN121&gt;0,COUNTIF($Y121:AM121,AN121)=0),0,IF(SUMPRODUCT(MOD(INT(AN166/{2,4,8,16,32,64,128,256,512,1024,2048,4096,8192,16384,32768}),2)*(1-MOD(INT(($CJ31+AM211)/{2,4,8,16,32,64,128,256,512,1024,2048,4096,8192,16384,32768}),2))*{2,4,8,16,32,64,128,256,512,1024,2048,4096,8192,16384,32768})=0,0,2^SUMPRODUCT(--(MOD(SUMPRODUCT(MOD(INT(AN166/{2,4,8,16,32,64,128,256,512,1024,2048,4096,8192,16384,32768}),2)*(1-MOD(INT(($CJ31+AM211)/{2,4,8,16,32,64,128,256,512,1024,2048,4096,8192,16384,32768}),2))*{2,4,8,16,32,64,128,256,512,1024,2048,4096,8192,16384,32768}),{2,4,8,16,32,64,128,256,512,1024,2048,4096,8192,16384,32768})=0))))</f>
        <v/>
      </c>
      <c r="AO211">
        <f>AN211+IF(AND(AO121&gt;0,COUNTIF($Y121:AN121,AO121)=0),0,IF(SUMPRODUCT(MOD(INT(AO166/{2,4,8,16,32,64,128,256,512,1024,2048,4096,8192,16384,32768}),2)*(1-MOD(INT(($CJ31+AN211)/{2,4,8,16,32,64,128,256,512,1024,2048,4096,8192,16384,32768}),2))*{2,4,8,16,32,64,128,256,512,1024,2048,4096,8192,16384,32768})=0,0,2^SUMPRODUCT(--(MOD(SUMPRODUCT(MOD(INT(AO166/{2,4,8,16,32,64,128,256,512,1024,2048,4096,8192,16384,32768}),2)*(1-MOD(INT(($CJ31+AN211)/{2,4,8,16,32,64,128,256,512,1024,2048,4096,8192,16384,32768}),2))*{2,4,8,16,32,64,128,256,512,1024,2048,4096,8192,16384,32768}),{2,4,8,16,32,64,128,256,512,1024,2048,4096,8192,16384,32768})=0))))</f>
        <v/>
      </c>
      <c r="AP211">
        <f>AO211+IF(AND(AP121&gt;0,COUNTIF($Y121:AO121,AP121)=0),0,IF(SUMPRODUCT(MOD(INT(AP166/{2,4,8,16,32,64,128,256,512,1024,2048,4096,8192,16384,32768}),2)*(1-MOD(INT(($CJ31+AO211)/{2,4,8,16,32,64,128,256,512,1024,2048,4096,8192,16384,32768}),2))*{2,4,8,16,32,64,128,256,512,1024,2048,4096,8192,16384,32768})=0,0,2^SUMPRODUCT(--(MOD(SUMPRODUCT(MOD(INT(AP166/{2,4,8,16,32,64,128,256,512,1024,2048,4096,8192,16384,32768}),2)*(1-MOD(INT(($CJ31+AO211)/{2,4,8,16,32,64,128,256,512,1024,2048,4096,8192,16384,32768}),2))*{2,4,8,16,32,64,128,256,512,1024,2048,4096,8192,16384,32768}),{2,4,8,16,32,64,128,256,512,1024,2048,4096,8192,16384,32768})=0))))</f>
        <v/>
      </c>
      <c r="AQ211">
        <f>AP211+IF(AND(AQ121&gt;0,COUNTIF($Y121:AP121,AQ121)=0),0,IF(SUMPRODUCT(MOD(INT(AQ166/{2,4,8,16,32,64,128,256,512,1024,2048,4096,8192,16384,32768}),2)*(1-MOD(INT(($CJ31+AP211)/{2,4,8,16,32,64,128,256,512,1024,2048,4096,8192,16384,32768}),2))*{2,4,8,16,32,64,128,256,512,1024,2048,4096,8192,16384,32768})=0,0,2^SUMPRODUCT(--(MOD(SUMPRODUCT(MOD(INT(AQ166/{2,4,8,16,32,64,128,256,512,1024,2048,4096,8192,16384,32768}),2)*(1-MOD(INT(($CJ31+AP211)/{2,4,8,16,32,64,128,256,512,1024,2048,4096,8192,16384,32768}),2))*{2,4,8,16,32,64,128,256,512,1024,2048,4096,8192,16384,32768}),{2,4,8,16,32,64,128,256,512,1024,2048,4096,8192,16384,32768})=0))))</f>
        <v/>
      </c>
      <c r="AR211">
        <f>AQ211+IF(AND(AR121&gt;0,COUNTIF($Y121:AQ121,AR121)=0),0,IF(SUMPRODUCT(MOD(INT(AR166/{2,4,8,16,32,64,128,256,512,1024,2048,4096,8192,16384,32768}),2)*(1-MOD(INT(($CJ31+AQ211)/{2,4,8,16,32,64,128,256,512,1024,2048,4096,8192,16384,32768}),2))*{2,4,8,16,32,64,128,256,512,1024,2048,4096,8192,16384,32768})=0,0,2^SUMPRODUCT(--(MOD(SUMPRODUCT(MOD(INT(AR166/{2,4,8,16,32,64,128,256,512,1024,2048,4096,8192,16384,32768}),2)*(1-MOD(INT(($CJ31+AQ211)/{2,4,8,16,32,64,128,256,512,1024,2048,4096,8192,16384,32768}),2))*{2,4,8,16,32,64,128,256,512,1024,2048,4096,8192,16384,32768}),{2,4,8,16,32,64,128,256,512,1024,2048,4096,8192,16384,32768})=0))))</f>
        <v/>
      </c>
      <c r="AS211">
        <f>AR211+IF(AND(AS121&gt;0,COUNTIF($Y121:AR121,AS121)=0),0,IF(SUMPRODUCT(MOD(INT(AS166/{2,4,8,16,32,64,128,256,512,1024,2048,4096,8192,16384,32768}),2)*(1-MOD(INT(($CJ31+AR211)/{2,4,8,16,32,64,128,256,512,1024,2048,4096,8192,16384,32768}),2))*{2,4,8,16,32,64,128,256,512,1024,2048,4096,8192,16384,32768})=0,0,2^SUMPRODUCT(--(MOD(SUMPRODUCT(MOD(INT(AS166/{2,4,8,16,32,64,128,256,512,1024,2048,4096,8192,16384,32768}),2)*(1-MOD(INT(($CJ31+AR211)/{2,4,8,16,32,64,128,256,512,1024,2048,4096,8192,16384,32768}),2))*{2,4,8,16,32,64,128,256,512,1024,2048,4096,8192,16384,32768}),{2,4,8,16,32,64,128,256,512,1024,2048,4096,8192,16384,32768})=0))))</f>
        <v/>
      </c>
      <c r="AT211">
        <f>AS211+IF(AND(AT121&gt;0,COUNTIF($Y121:AS121,AT121)=0),0,IF(SUMPRODUCT(MOD(INT(AT166/{2,4,8,16,32,64,128,256,512,1024,2048,4096,8192,16384,32768}),2)*(1-MOD(INT(($CJ31+AS211)/{2,4,8,16,32,64,128,256,512,1024,2048,4096,8192,16384,32768}),2))*{2,4,8,16,32,64,128,256,512,1024,2048,4096,8192,16384,32768})=0,0,2^SUMPRODUCT(--(MOD(SUMPRODUCT(MOD(INT(AT166/{2,4,8,16,32,64,128,256,512,1024,2048,4096,8192,16384,32768}),2)*(1-MOD(INT(($CJ31+AS211)/{2,4,8,16,32,64,128,256,512,1024,2048,4096,8192,16384,32768}),2))*{2,4,8,16,32,64,128,256,512,1024,2048,4096,8192,16384,32768}),{2,4,8,16,32,64,128,256,512,1024,2048,4096,8192,16384,32768})=0))))</f>
        <v/>
      </c>
      <c r="AU211">
        <f>AT211+IF(AND(AU121&gt;0,COUNTIF($Y121:AT121,AU121)=0),0,IF(SUMPRODUCT(MOD(INT(AU166/{2,4,8,16,32,64,128,256,512,1024,2048,4096,8192,16384,32768}),2)*(1-MOD(INT(($CJ31+AT211)/{2,4,8,16,32,64,128,256,512,1024,2048,4096,8192,16384,32768}),2))*{2,4,8,16,32,64,128,256,512,1024,2048,4096,8192,16384,32768})=0,0,2^SUMPRODUCT(--(MOD(SUMPRODUCT(MOD(INT(AU166/{2,4,8,16,32,64,128,256,512,1024,2048,4096,8192,16384,32768}),2)*(1-MOD(INT(($CJ31+AT211)/{2,4,8,16,32,64,128,256,512,1024,2048,4096,8192,16384,32768}),2))*{2,4,8,16,32,64,128,256,512,1024,2048,4096,8192,16384,32768}),{2,4,8,16,32,64,128,256,512,1024,2048,4096,8192,16384,32768})=0))))</f>
        <v/>
      </c>
      <c r="AV211">
        <f>AU211+IF(AND(AV121&gt;0,COUNTIF($Y121:AU121,AV121)=0),0,IF(SUMPRODUCT(MOD(INT(AV166/{2,4,8,16,32,64,128,256,512,1024,2048,4096,8192,16384,32768}),2)*(1-MOD(INT(($CJ31+AU211)/{2,4,8,16,32,64,128,256,512,1024,2048,4096,8192,16384,32768}),2))*{2,4,8,16,32,64,128,256,512,1024,2048,4096,8192,16384,32768})=0,0,2^SUMPRODUCT(--(MOD(SUMPRODUCT(MOD(INT(AV166/{2,4,8,16,32,64,128,256,512,1024,2048,4096,8192,16384,32768}),2)*(1-MOD(INT(($CJ31+AU211)/{2,4,8,16,32,64,128,256,512,1024,2048,4096,8192,16384,32768}),2))*{2,4,8,16,32,64,128,256,512,1024,2048,4096,8192,16384,32768}),{2,4,8,16,32,64,128,256,512,1024,2048,4096,8192,16384,32768})=0))))</f>
        <v/>
      </c>
      <c r="AW211">
        <f>AV211+IF(AND(AW121&gt;0,COUNTIF($Y121:AV121,AW121)=0),0,IF(SUMPRODUCT(MOD(INT(AW166/{2,4,8,16,32,64,128,256,512,1024,2048,4096,8192,16384,32768}),2)*(1-MOD(INT(($CJ31+AV211)/{2,4,8,16,32,64,128,256,512,1024,2048,4096,8192,16384,32768}),2))*{2,4,8,16,32,64,128,256,512,1024,2048,4096,8192,16384,32768})=0,0,2^SUMPRODUCT(--(MOD(SUMPRODUCT(MOD(INT(AW166/{2,4,8,16,32,64,128,256,512,1024,2048,4096,8192,16384,32768}),2)*(1-MOD(INT(($CJ31+AV211)/{2,4,8,16,32,64,128,256,512,1024,2048,4096,8192,16384,32768}),2))*{2,4,8,16,32,64,128,256,512,1024,2048,4096,8192,16384,32768}),{2,4,8,16,32,64,128,256,512,1024,2048,4096,8192,16384,32768})=0))))</f>
        <v/>
      </c>
      <c r="AX211">
        <f>AW211+IF(AND(AX121&gt;0,COUNTIF($Y121:AW121,AX121)=0),0,IF(SUMPRODUCT(MOD(INT(AX166/{2,4,8,16,32,64,128,256,512,1024,2048,4096,8192,16384,32768}),2)*(1-MOD(INT(($CJ31+AW211)/{2,4,8,16,32,64,128,256,512,1024,2048,4096,8192,16384,32768}),2))*{2,4,8,16,32,64,128,256,512,1024,2048,4096,8192,16384,32768})=0,0,2^SUMPRODUCT(--(MOD(SUMPRODUCT(MOD(INT(AX166/{2,4,8,16,32,64,128,256,512,1024,2048,4096,8192,16384,32768}),2)*(1-MOD(INT(($CJ31+AW211)/{2,4,8,16,32,64,128,256,512,1024,2048,4096,8192,16384,32768}),2))*{2,4,8,16,32,64,128,256,512,1024,2048,4096,8192,16384,32768}),{2,4,8,16,32,64,128,256,512,1024,2048,4096,8192,16384,32768})=0))))</f>
        <v/>
      </c>
      <c r="AY211">
        <f>AX211+IF(AND(AY121&gt;0,COUNTIF($Y121:AX121,AY121)=0),0,IF(SUMPRODUCT(MOD(INT(AY166/{2,4,8,16,32,64,128,256,512,1024,2048,4096,8192,16384,32768}),2)*(1-MOD(INT(($CJ31+AX211)/{2,4,8,16,32,64,128,256,512,1024,2048,4096,8192,16384,32768}),2))*{2,4,8,16,32,64,128,256,512,1024,2048,4096,8192,16384,32768})=0,0,2^SUMPRODUCT(--(MOD(SUMPRODUCT(MOD(INT(AY166/{2,4,8,16,32,64,128,256,512,1024,2048,4096,8192,16384,32768}),2)*(1-MOD(INT(($CJ31+AX211)/{2,4,8,16,32,64,128,256,512,1024,2048,4096,8192,16384,32768}),2))*{2,4,8,16,32,64,128,256,512,1024,2048,4096,8192,16384,32768}),{2,4,8,16,32,64,128,256,512,1024,2048,4096,8192,16384,32768})=0))))</f>
        <v/>
      </c>
      <c r="AZ211">
        <f>AY211+IF(AND(AZ121&gt;0,COUNTIF($Y121:AY121,AZ121)=0),0,IF(SUMPRODUCT(MOD(INT(AZ166/{2,4,8,16,32,64,128,256,512,1024,2048,4096,8192,16384,32768}),2)*(1-MOD(INT(($CJ31+AY211)/{2,4,8,16,32,64,128,256,512,1024,2048,4096,8192,16384,32768}),2))*{2,4,8,16,32,64,128,256,512,1024,2048,4096,8192,16384,32768})=0,0,2^SUMPRODUCT(--(MOD(SUMPRODUCT(MOD(INT(AZ166/{2,4,8,16,32,64,128,256,512,1024,2048,4096,8192,16384,32768}),2)*(1-MOD(INT(($CJ31+AY211)/{2,4,8,16,32,64,128,256,512,1024,2048,4096,8192,16384,32768}),2))*{2,4,8,16,32,64,128,256,512,1024,2048,4096,8192,16384,32768}),{2,4,8,16,32,64,128,256,512,1024,2048,4096,8192,16384,32768})=0))))</f>
        <v/>
      </c>
      <c r="BA211">
        <f>AZ211+IF(AND(BA121&gt;0,COUNTIF($Y121:AZ121,BA121)=0),0,IF(SUMPRODUCT(MOD(INT(BA166/{2,4,8,16,32,64,128,256,512,1024,2048,4096,8192,16384,32768}),2)*(1-MOD(INT(($CJ31+AZ211)/{2,4,8,16,32,64,128,256,512,1024,2048,4096,8192,16384,32768}),2))*{2,4,8,16,32,64,128,256,512,1024,2048,4096,8192,16384,32768})=0,0,2^SUMPRODUCT(--(MOD(SUMPRODUCT(MOD(INT(BA166/{2,4,8,16,32,64,128,256,512,1024,2048,4096,8192,16384,32768}),2)*(1-MOD(INT(($CJ31+AZ211)/{2,4,8,16,32,64,128,256,512,1024,2048,4096,8192,16384,32768}),2))*{2,4,8,16,32,64,128,256,512,1024,2048,4096,8192,16384,32768}),{2,4,8,16,32,64,128,256,512,1024,2048,4096,8192,16384,32768})=0))))</f>
        <v/>
      </c>
      <c r="BB211">
        <f>BA211+IF(AND(BB121&gt;0,COUNTIF($Y121:BA121,BB121)=0),0,IF(SUMPRODUCT(MOD(INT(BB166/{2,4,8,16,32,64,128,256,512,1024,2048,4096,8192,16384,32768}),2)*(1-MOD(INT(($CJ31+BA211)/{2,4,8,16,32,64,128,256,512,1024,2048,4096,8192,16384,32768}),2))*{2,4,8,16,32,64,128,256,512,1024,2048,4096,8192,16384,32768})=0,0,2^SUMPRODUCT(--(MOD(SUMPRODUCT(MOD(INT(BB166/{2,4,8,16,32,64,128,256,512,1024,2048,4096,8192,16384,32768}),2)*(1-MOD(INT(($CJ31+BA211)/{2,4,8,16,32,64,128,256,512,1024,2048,4096,8192,16384,32768}),2))*{2,4,8,16,32,64,128,256,512,1024,2048,4096,8192,16384,32768}),{2,4,8,16,32,64,128,256,512,1024,2048,4096,8192,16384,32768})=0))))</f>
        <v/>
      </c>
      <c r="BC211">
        <f>BB211+IF(AND(BC121&gt;0,COUNTIF($Y121:BB121,BC121)=0),0,IF(SUMPRODUCT(MOD(INT(BC166/{2,4,8,16,32,64,128,256,512,1024,2048,4096,8192,16384,32768}),2)*(1-MOD(INT(($CJ31+BB211)/{2,4,8,16,32,64,128,256,512,1024,2048,4096,8192,16384,32768}),2))*{2,4,8,16,32,64,128,256,512,1024,2048,4096,8192,16384,32768})=0,0,2^SUMPRODUCT(--(MOD(SUMPRODUCT(MOD(INT(BC166/{2,4,8,16,32,64,128,256,512,1024,2048,4096,8192,16384,32768}),2)*(1-MOD(INT(($CJ31+BB211)/{2,4,8,16,32,64,128,256,512,1024,2048,4096,8192,16384,32768}),2))*{2,4,8,16,32,64,128,256,512,1024,2048,4096,8192,16384,32768}),{2,4,8,16,32,64,128,256,512,1024,2048,4096,8192,16384,32768})=0))))</f>
        <v/>
      </c>
      <c r="BD211">
        <f>BC211+IF(AND(BD121&gt;0,COUNTIF($Y121:BC121,BD121)=0),0,IF(SUMPRODUCT(MOD(INT(BD166/{2,4,8,16,32,64,128,256,512,1024,2048,4096,8192,16384,32768}),2)*(1-MOD(INT(($CJ31+BC211)/{2,4,8,16,32,64,128,256,512,1024,2048,4096,8192,16384,32768}),2))*{2,4,8,16,32,64,128,256,512,1024,2048,4096,8192,16384,32768})=0,0,2^SUMPRODUCT(--(MOD(SUMPRODUCT(MOD(INT(BD166/{2,4,8,16,32,64,128,256,512,1024,2048,4096,8192,16384,32768}),2)*(1-MOD(INT(($CJ31+BC211)/{2,4,8,16,32,64,128,256,512,1024,2048,4096,8192,16384,32768}),2))*{2,4,8,16,32,64,128,256,512,1024,2048,4096,8192,16384,32768}),{2,4,8,16,32,64,128,256,512,1024,2048,4096,8192,16384,32768})=0))))</f>
        <v/>
      </c>
      <c r="BE211">
        <f>BD211+IF(AND(BE121&gt;0,COUNTIF($Y121:BD121,BE121)=0),0,IF(SUMPRODUCT(MOD(INT(BE166/{2,4,8,16,32,64,128,256,512,1024,2048,4096,8192,16384,32768}),2)*(1-MOD(INT(($CJ31+BD211)/{2,4,8,16,32,64,128,256,512,1024,2048,4096,8192,16384,32768}),2))*{2,4,8,16,32,64,128,256,512,1024,2048,4096,8192,16384,32768})=0,0,2^SUMPRODUCT(--(MOD(SUMPRODUCT(MOD(INT(BE166/{2,4,8,16,32,64,128,256,512,1024,2048,4096,8192,16384,32768}),2)*(1-MOD(INT(($CJ31+BD211)/{2,4,8,16,32,64,128,256,512,1024,2048,4096,8192,16384,32768}),2))*{2,4,8,16,32,64,128,256,512,1024,2048,4096,8192,16384,32768}),{2,4,8,16,32,64,128,256,512,1024,2048,4096,8192,16384,32768})=0))))</f>
        <v/>
      </c>
      <c r="BF211">
        <f>BE211+IF(AND(BF121&gt;0,COUNTIF($Y121:BE121,BF121)=0),0,IF(SUMPRODUCT(MOD(INT(BF166/{2,4,8,16,32,64,128,256,512,1024,2048,4096,8192,16384,32768}),2)*(1-MOD(INT(($CJ31+BE211)/{2,4,8,16,32,64,128,256,512,1024,2048,4096,8192,16384,32768}),2))*{2,4,8,16,32,64,128,256,512,1024,2048,4096,8192,16384,32768})=0,0,2^SUMPRODUCT(--(MOD(SUMPRODUCT(MOD(INT(BF166/{2,4,8,16,32,64,128,256,512,1024,2048,4096,8192,16384,32768}),2)*(1-MOD(INT(($CJ31+BE211)/{2,4,8,16,32,64,128,256,512,1024,2048,4096,8192,16384,32768}),2))*{2,4,8,16,32,64,128,256,512,1024,2048,4096,8192,16384,32768}),{2,4,8,16,32,64,128,256,512,1024,2048,4096,8192,16384,32768})=0))))</f>
        <v/>
      </c>
      <c r="BG211">
        <f>BF211+IF(AND(BG121&gt;0,COUNTIF($Y121:BF121,BG121)=0),0,IF(SUMPRODUCT(MOD(INT(BG166/{2,4,8,16,32,64,128,256,512,1024,2048,4096,8192,16384,32768}),2)*(1-MOD(INT(($CJ31+BF211)/{2,4,8,16,32,64,128,256,512,1024,2048,4096,8192,16384,32768}),2))*{2,4,8,16,32,64,128,256,512,1024,2048,4096,8192,16384,32768})=0,0,2^SUMPRODUCT(--(MOD(SUMPRODUCT(MOD(INT(BG166/{2,4,8,16,32,64,128,256,512,1024,2048,4096,8192,16384,32768}),2)*(1-MOD(INT(($CJ31+BF211)/{2,4,8,16,32,64,128,256,512,1024,2048,4096,8192,16384,32768}),2))*{2,4,8,16,32,64,128,256,512,1024,2048,4096,8192,16384,32768}),{2,4,8,16,32,64,128,256,512,1024,2048,4096,8192,16384,32768})=0))))</f>
        <v/>
      </c>
      <c r="BH211">
        <f>BG211+IF(AND(BH121&gt;0,COUNTIF($Y121:BG121,BH121)=0),0,IF(SUMPRODUCT(MOD(INT(BH166/{2,4,8,16,32,64,128,256,512,1024,2048,4096,8192,16384,32768}),2)*(1-MOD(INT(($CJ31+BG211)/{2,4,8,16,32,64,128,256,512,1024,2048,4096,8192,16384,32768}),2))*{2,4,8,16,32,64,128,256,512,1024,2048,4096,8192,16384,32768})=0,0,2^SUMPRODUCT(--(MOD(SUMPRODUCT(MOD(INT(BH166/{2,4,8,16,32,64,128,256,512,1024,2048,4096,8192,16384,32768}),2)*(1-MOD(INT(($CJ31+BG211)/{2,4,8,16,32,64,128,256,512,1024,2048,4096,8192,16384,32768}),2))*{2,4,8,16,32,64,128,256,512,1024,2048,4096,8192,16384,32768}),{2,4,8,16,32,64,128,256,512,1024,2048,4096,8192,16384,32768})=0))))</f>
        <v/>
      </c>
      <c r="BI211">
        <f>BH211+IF(AND(BI121&gt;0,COUNTIF($Y121:BH121,BI121)=0),0,IF(SUMPRODUCT(MOD(INT(BI166/{2,4,8,16,32,64,128,256,512,1024,2048,4096,8192,16384,32768}),2)*(1-MOD(INT(($CJ31+BH211)/{2,4,8,16,32,64,128,256,512,1024,2048,4096,8192,16384,32768}),2))*{2,4,8,16,32,64,128,256,512,1024,2048,4096,8192,16384,32768})=0,0,2^SUMPRODUCT(--(MOD(SUMPRODUCT(MOD(INT(BI166/{2,4,8,16,32,64,128,256,512,1024,2048,4096,8192,16384,32768}),2)*(1-MOD(INT(($CJ31+BH211)/{2,4,8,16,32,64,128,256,512,1024,2048,4096,8192,16384,32768}),2))*{2,4,8,16,32,64,128,256,512,1024,2048,4096,8192,16384,32768}),{2,4,8,16,32,64,128,256,512,1024,2048,4096,8192,16384,32768})=0))))</f>
        <v/>
      </c>
      <c r="BJ211">
        <f>BI211+IF(AND(BJ121&gt;0,COUNTIF($Y121:BI121,BJ121)=0),0,IF(SUMPRODUCT(MOD(INT(BJ166/{2,4,8,16,32,64,128,256,512,1024,2048,4096,8192,16384,32768}),2)*(1-MOD(INT(($CJ31+BI211)/{2,4,8,16,32,64,128,256,512,1024,2048,4096,8192,16384,32768}),2))*{2,4,8,16,32,64,128,256,512,1024,2048,4096,8192,16384,32768})=0,0,2^SUMPRODUCT(--(MOD(SUMPRODUCT(MOD(INT(BJ166/{2,4,8,16,32,64,128,256,512,1024,2048,4096,8192,16384,32768}),2)*(1-MOD(INT(($CJ31+BI211)/{2,4,8,16,32,64,128,256,512,1024,2048,4096,8192,16384,32768}),2))*{2,4,8,16,32,64,128,256,512,1024,2048,4096,8192,16384,32768}),{2,4,8,16,32,64,128,256,512,1024,2048,4096,8192,16384,32768})=0))))</f>
        <v/>
      </c>
      <c r="BK211">
        <f>BJ211+IF(AND(BK121&gt;0,COUNTIF($Y121:BJ121,BK121)=0),0,IF(SUMPRODUCT(MOD(INT(BK166/{2,4,8,16,32,64,128,256,512,1024,2048,4096,8192,16384,32768}),2)*(1-MOD(INT(($CJ31+BJ211)/{2,4,8,16,32,64,128,256,512,1024,2048,4096,8192,16384,32768}),2))*{2,4,8,16,32,64,128,256,512,1024,2048,4096,8192,16384,32768})=0,0,2^SUMPRODUCT(--(MOD(SUMPRODUCT(MOD(INT(BK166/{2,4,8,16,32,64,128,256,512,1024,2048,4096,8192,16384,32768}),2)*(1-MOD(INT(($CJ31+BJ211)/{2,4,8,16,32,64,128,256,512,1024,2048,4096,8192,16384,32768}),2))*{2,4,8,16,32,64,128,256,512,1024,2048,4096,8192,16384,32768}),{2,4,8,16,32,64,128,256,512,1024,2048,4096,8192,16384,32768})=0))))</f>
        <v/>
      </c>
      <c r="BL211">
        <f>BK211+IF(AND(BL121&gt;0,COUNTIF($Y121:BK121,BL121)=0),0,IF(SUMPRODUCT(MOD(INT(BL166/{2,4,8,16,32,64,128,256,512,1024,2048,4096,8192,16384,32768}),2)*(1-MOD(INT(($CJ31+BK211)/{2,4,8,16,32,64,128,256,512,1024,2048,4096,8192,16384,32768}),2))*{2,4,8,16,32,64,128,256,512,1024,2048,4096,8192,16384,32768})=0,0,2^SUMPRODUCT(--(MOD(SUMPRODUCT(MOD(INT(BL166/{2,4,8,16,32,64,128,256,512,1024,2048,4096,8192,16384,32768}),2)*(1-MOD(INT(($CJ31+BK211)/{2,4,8,16,32,64,128,256,512,1024,2048,4096,8192,16384,32768}),2))*{2,4,8,16,32,64,128,256,512,1024,2048,4096,8192,16384,32768}),{2,4,8,16,32,64,128,256,512,1024,2048,4096,8192,16384,32768})=0))))</f>
        <v/>
      </c>
      <c r="BM211">
        <f>BL211+IF(AND(BM121&gt;0,COUNTIF($Y121:BL121,BM121)=0),0,IF(SUMPRODUCT(MOD(INT(BM166/{2,4,8,16,32,64,128,256,512,1024,2048,4096,8192,16384,32768}),2)*(1-MOD(INT(($CJ31+BL211)/{2,4,8,16,32,64,128,256,512,1024,2048,4096,8192,16384,32768}),2))*{2,4,8,16,32,64,128,256,512,1024,2048,4096,8192,16384,32768})=0,0,2^SUMPRODUCT(--(MOD(SUMPRODUCT(MOD(INT(BM166/{2,4,8,16,32,64,128,256,512,1024,2048,4096,8192,16384,32768}),2)*(1-MOD(INT(($CJ31+BL211)/{2,4,8,16,32,64,128,256,512,1024,2048,4096,8192,16384,32768}),2))*{2,4,8,16,32,64,128,256,512,1024,2048,4096,8192,16384,32768}),{2,4,8,16,32,64,128,256,512,1024,2048,4096,8192,16384,32768})=0))))</f>
        <v/>
      </c>
      <c r="BN211">
        <f>BM211+IF(AND(BN121&gt;0,COUNTIF($Y121:BM121,BN121)=0),0,IF(SUMPRODUCT(MOD(INT(BN166/{2,4,8,16,32,64,128,256,512,1024,2048,4096,8192,16384,32768}),2)*(1-MOD(INT(($CJ31+BM211)/{2,4,8,16,32,64,128,256,512,1024,2048,4096,8192,16384,32768}),2))*{2,4,8,16,32,64,128,256,512,1024,2048,4096,8192,16384,32768})=0,0,2^SUMPRODUCT(--(MOD(SUMPRODUCT(MOD(INT(BN166/{2,4,8,16,32,64,128,256,512,1024,2048,4096,8192,16384,32768}),2)*(1-MOD(INT(($CJ31+BM211)/{2,4,8,16,32,64,128,256,512,1024,2048,4096,8192,16384,32768}),2))*{2,4,8,16,32,64,128,256,512,1024,2048,4096,8192,16384,32768}),{2,4,8,16,32,64,128,256,512,1024,2048,4096,8192,16384,32768})=0))))</f>
        <v/>
      </c>
      <c r="BO211">
        <f>BN211+IF(AND(BO121&gt;0,COUNTIF($Y121:BN121,BO121)=0),0,IF(SUMPRODUCT(MOD(INT(BO166/{2,4,8,16,32,64,128,256,512,1024,2048,4096,8192,16384,32768}),2)*(1-MOD(INT(($CJ31+BN211)/{2,4,8,16,32,64,128,256,512,1024,2048,4096,8192,16384,32768}),2))*{2,4,8,16,32,64,128,256,512,1024,2048,4096,8192,16384,32768})=0,0,2^SUMPRODUCT(--(MOD(SUMPRODUCT(MOD(INT(BO166/{2,4,8,16,32,64,128,256,512,1024,2048,4096,8192,16384,32768}),2)*(1-MOD(INT(($CJ31+BN211)/{2,4,8,16,32,64,128,256,512,1024,2048,4096,8192,16384,32768}),2))*{2,4,8,16,32,64,128,256,512,1024,2048,4096,8192,16384,32768}),{2,4,8,16,32,64,128,256,512,1024,2048,4096,8192,16384,32768})=0))))</f>
        <v/>
      </c>
      <c r="BP211">
        <f>BO211+IF(AND(BP121&gt;0,COUNTIF($Y121:BO121,BP121)=0),0,IF(SUMPRODUCT(MOD(INT(BP166/{2,4,8,16,32,64,128,256,512,1024,2048,4096,8192,16384,32768}),2)*(1-MOD(INT(($CJ31+BO211)/{2,4,8,16,32,64,128,256,512,1024,2048,4096,8192,16384,32768}),2))*{2,4,8,16,32,64,128,256,512,1024,2048,4096,8192,16384,32768})=0,0,2^SUMPRODUCT(--(MOD(SUMPRODUCT(MOD(INT(BP166/{2,4,8,16,32,64,128,256,512,1024,2048,4096,8192,16384,32768}),2)*(1-MOD(INT(($CJ31+BO211)/{2,4,8,16,32,64,128,256,512,1024,2048,4096,8192,16384,32768}),2))*{2,4,8,16,32,64,128,256,512,1024,2048,4096,8192,16384,32768}),{2,4,8,16,32,64,128,256,512,1024,2048,4096,8192,16384,32768})=0))))</f>
        <v/>
      </c>
      <c r="BQ211">
        <f>BP211+IF(AND(BQ121&gt;0,COUNTIF($Y121:BP121,BQ121)=0),0,IF(SUMPRODUCT(MOD(INT(BQ166/{2,4,8,16,32,64,128,256,512,1024,2048,4096,8192,16384,32768}),2)*(1-MOD(INT(($CJ31+BP211)/{2,4,8,16,32,64,128,256,512,1024,2048,4096,8192,16384,32768}),2))*{2,4,8,16,32,64,128,256,512,1024,2048,4096,8192,16384,32768})=0,0,2^SUMPRODUCT(--(MOD(SUMPRODUCT(MOD(INT(BQ166/{2,4,8,16,32,64,128,256,512,1024,2048,4096,8192,16384,32768}),2)*(1-MOD(INT(($CJ31+BP211)/{2,4,8,16,32,64,128,256,512,1024,2048,4096,8192,16384,32768}),2))*{2,4,8,16,32,64,128,256,512,1024,2048,4096,8192,16384,32768}),{2,4,8,16,32,64,128,256,512,1024,2048,4096,8192,16384,32768})=0))))</f>
        <v/>
      </c>
      <c r="BR211">
        <f>BQ211+IF(AND(BR121&gt;0,COUNTIF($Y121:BQ121,BR121)=0),0,IF(SUMPRODUCT(MOD(INT(BR166/{2,4,8,16,32,64,128,256,512,1024,2048,4096,8192,16384,32768}),2)*(1-MOD(INT(($CJ31+BQ211)/{2,4,8,16,32,64,128,256,512,1024,2048,4096,8192,16384,32768}),2))*{2,4,8,16,32,64,128,256,512,1024,2048,4096,8192,16384,32768})=0,0,2^SUMPRODUCT(--(MOD(SUMPRODUCT(MOD(INT(BR166/{2,4,8,16,32,64,128,256,512,1024,2048,4096,8192,16384,32768}),2)*(1-MOD(INT(($CJ31+BQ211)/{2,4,8,16,32,64,128,256,512,1024,2048,4096,8192,16384,32768}),2))*{2,4,8,16,32,64,128,256,512,1024,2048,4096,8192,16384,32768}),{2,4,8,16,32,64,128,256,512,1024,2048,4096,8192,16384,32768})=0))))</f>
        <v/>
      </c>
      <c r="BS211">
        <f>BR211+IF(AND(BS121&gt;0,COUNTIF($Y121:BR121,BS121)=0),0,IF(SUMPRODUCT(MOD(INT(BS166/{2,4,8,16,32,64,128,256,512,1024,2048,4096,8192,16384,32768}),2)*(1-MOD(INT(($CJ31+BR211)/{2,4,8,16,32,64,128,256,512,1024,2048,4096,8192,16384,32768}),2))*{2,4,8,16,32,64,128,256,512,1024,2048,4096,8192,16384,32768})=0,0,2^SUMPRODUCT(--(MOD(SUMPRODUCT(MOD(INT(BS166/{2,4,8,16,32,64,128,256,512,1024,2048,4096,8192,16384,32768}),2)*(1-MOD(INT(($CJ31+BR211)/{2,4,8,16,32,64,128,256,512,1024,2048,4096,8192,16384,32768}),2))*{2,4,8,16,32,64,128,256,512,1024,2048,4096,8192,16384,32768}),{2,4,8,16,32,64,128,256,512,1024,2048,4096,8192,16384,32768})=0))))</f>
        <v/>
      </c>
      <c r="BT211">
        <f>BS211+IF(AND(BT121&gt;0,COUNTIF($Y121:BS121,BT121)=0),0,IF(SUMPRODUCT(MOD(INT(BT166/{2,4,8,16,32,64,128,256,512,1024,2048,4096,8192,16384,32768}),2)*(1-MOD(INT(($CJ31+BS211)/{2,4,8,16,32,64,128,256,512,1024,2048,4096,8192,16384,32768}),2))*{2,4,8,16,32,64,128,256,512,1024,2048,4096,8192,16384,32768})=0,0,2^SUMPRODUCT(--(MOD(SUMPRODUCT(MOD(INT(BT166/{2,4,8,16,32,64,128,256,512,1024,2048,4096,8192,16384,32768}),2)*(1-MOD(INT(($CJ31+BS211)/{2,4,8,16,32,64,128,256,512,1024,2048,4096,8192,16384,32768}),2))*{2,4,8,16,32,64,128,256,512,1024,2048,4096,8192,16384,32768}),{2,4,8,16,32,64,128,256,512,1024,2048,4096,8192,16384,32768})=0))))</f>
        <v/>
      </c>
      <c r="BU211">
        <f>BT211+IF(AND(BU121&gt;0,COUNTIF($Y121:BT121,BU121)=0),0,IF(SUMPRODUCT(MOD(INT(BU166/{2,4,8,16,32,64,128,256,512,1024,2048,4096,8192,16384,32768}),2)*(1-MOD(INT(($CJ31+BT211)/{2,4,8,16,32,64,128,256,512,1024,2048,4096,8192,16384,32768}),2))*{2,4,8,16,32,64,128,256,512,1024,2048,4096,8192,16384,32768})=0,0,2^SUMPRODUCT(--(MOD(SUMPRODUCT(MOD(INT(BU166/{2,4,8,16,32,64,128,256,512,1024,2048,4096,8192,16384,32768}),2)*(1-MOD(INT(($CJ31+BT211)/{2,4,8,16,32,64,128,256,512,1024,2048,4096,8192,16384,32768}),2))*{2,4,8,16,32,64,128,256,512,1024,2048,4096,8192,16384,32768}),{2,4,8,16,32,64,128,256,512,1024,2048,4096,8192,16384,32768})=0))))</f>
        <v/>
      </c>
      <c r="BV211">
        <f>BU211+IF(AND(BV121&gt;0,COUNTIF($Y121:BU121,BV121)=0),0,IF(SUMPRODUCT(MOD(INT(BV166/{2,4,8,16,32,64,128,256,512,1024,2048,4096,8192,16384,32768}),2)*(1-MOD(INT(($CJ31+BU211)/{2,4,8,16,32,64,128,256,512,1024,2048,4096,8192,16384,32768}),2))*{2,4,8,16,32,64,128,256,512,1024,2048,4096,8192,16384,32768})=0,0,2^SUMPRODUCT(--(MOD(SUMPRODUCT(MOD(INT(BV166/{2,4,8,16,32,64,128,256,512,1024,2048,4096,8192,16384,32768}),2)*(1-MOD(INT(($CJ31+BU211)/{2,4,8,16,32,64,128,256,512,1024,2048,4096,8192,16384,32768}),2))*{2,4,8,16,32,64,128,256,512,1024,2048,4096,8192,16384,32768}),{2,4,8,16,32,64,128,256,512,1024,2048,4096,8192,16384,32768})=0))))</f>
        <v/>
      </c>
      <c r="BW211">
        <f>BV211+IF(AND(BW121&gt;0,COUNTIF($Y121:BV121,BW121)=0),0,IF(SUMPRODUCT(MOD(INT(BW166/{2,4,8,16,32,64,128,256,512,1024,2048,4096,8192,16384,32768}),2)*(1-MOD(INT(($CJ31+BV211)/{2,4,8,16,32,64,128,256,512,1024,2048,4096,8192,16384,32768}),2))*{2,4,8,16,32,64,128,256,512,1024,2048,4096,8192,16384,32768})=0,0,2^SUMPRODUCT(--(MOD(SUMPRODUCT(MOD(INT(BW166/{2,4,8,16,32,64,128,256,512,1024,2048,4096,8192,16384,32768}),2)*(1-MOD(INT(($CJ31+BV211)/{2,4,8,16,32,64,128,256,512,1024,2048,4096,8192,16384,32768}),2))*{2,4,8,16,32,64,128,256,512,1024,2048,4096,8192,16384,32768}),{2,4,8,16,32,64,128,256,512,1024,2048,4096,8192,16384,32768})=0))))</f>
        <v/>
      </c>
      <c r="BX211">
        <f>BW211+IF(AND(BX121&gt;0,COUNTIF($Y121:BW121,BX121)=0),0,IF(SUMPRODUCT(MOD(INT(BX166/{2,4,8,16,32,64,128,256,512,1024,2048,4096,8192,16384,32768}),2)*(1-MOD(INT(($CJ31+BW211)/{2,4,8,16,32,64,128,256,512,1024,2048,4096,8192,16384,32768}),2))*{2,4,8,16,32,64,128,256,512,1024,2048,4096,8192,16384,32768})=0,0,2^SUMPRODUCT(--(MOD(SUMPRODUCT(MOD(INT(BX166/{2,4,8,16,32,64,128,256,512,1024,2048,4096,8192,16384,32768}),2)*(1-MOD(INT(($CJ31+BW211)/{2,4,8,16,32,64,128,256,512,1024,2048,4096,8192,16384,32768}),2))*{2,4,8,16,32,64,128,256,512,1024,2048,4096,8192,16384,32768}),{2,4,8,16,32,64,128,256,512,1024,2048,4096,8192,16384,32768})=0))))</f>
        <v/>
      </c>
      <c r="BY211">
        <f>BX211+IF(AND(BY121&gt;0,COUNTIF($Y121:BX121,BY121)=0),0,IF(SUMPRODUCT(MOD(INT(BY166/{2,4,8,16,32,64,128,256,512,1024,2048,4096,8192,16384,32768}),2)*(1-MOD(INT(($CJ31+BX211)/{2,4,8,16,32,64,128,256,512,1024,2048,4096,8192,16384,32768}),2))*{2,4,8,16,32,64,128,256,512,1024,2048,4096,8192,16384,32768})=0,0,2^SUMPRODUCT(--(MOD(SUMPRODUCT(MOD(INT(BY166/{2,4,8,16,32,64,128,256,512,1024,2048,4096,8192,16384,32768}),2)*(1-MOD(INT(($CJ31+BX211)/{2,4,8,16,32,64,128,256,512,1024,2048,4096,8192,16384,32768}),2))*{2,4,8,16,32,64,128,256,512,1024,2048,4096,8192,16384,32768}),{2,4,8,16,32,64,128,256,512,1024,2048,4096,8192,16384,32768})=0))))</f>
        <v/>
      </c>
      <c r="BZ211">
        <f>BY211+IF(AND(BZ121&gt;0,COUNTIF($Y121:BY121,BZ121)=0),0,IF(SUMPRODUCT(MOD(INT(BZ166/{2,4,8,16,32,64,128,256,512,1024,2048,4096,8192,16384,32768}),2)*(1-MOD(INT(($CJ31+BY211)/{2,4,8,16,32,64,128,256,512,1024,2048,4096,8192,16384,32768}),2))*{2,4,8,16,32,64,128,256,512,1024,2048,4096,8192,16384,32768})=0,0,2^SUMPRODUCT(--(MOD(SUMPRODUCT(MOD(INT(BZ166/{2,4,8,16,32,64,128,256,512,1024,2048,4096,8192,16384,32768}),2)*(1-MOD(INT(($CJ31+BY211)/{2,4,8,16,32,64,128,256,512,1024,2048,4096,8192,16384,32768}),2))*{2,4,8,16,32,64,128,256,512,1024,2048,4096,8192,16384,32768}),{2,4,8,16,32,64,128,256,512,1024,2048,4096,8192,16384,32768})=0))))</f>
        <v/>
      </c>
      <c r="CA211">
        <f>BZ211+IF(AND(CA121&gt;0,COUNTIF($Y121:BZ121,CA121)=0),0,IF(SUMPRODUCT(MOD(INT(CA166/{2,4,8,16,32,64,128,256,512,1024,2048,4096,8192,16384,32768}),2)*(1-MOD(INT(($CJ31+BZ211)/{2,4,8,16,32,64,128,256,512,1024,2048,4096,8192,16384,32768}),2))*{2,4,8,16,32,64,128,256,512,1024,2048,4096,8192,16384,32768})=0,0,2^SUMPRODUCT(--(MOD(SUMPRODUCT(MOD(INT(CA166/{2,4,8,16,32,64,128,256,512,1024,2048,4096,8192,16384,32768}),2)*(1-MOD(INT(($CJ31+BZ211)/{2,4,8,16,32,64,128,256,512,1024,2048,4096,8192,16384,32768}),2))*{2,4,8,16,32,64,128,256,512,1024,2048,4096,8192,16384,32768}),{2,4,8,16,32,64,128,256,512,1024,2048,4096,8192,16384,32768})=0))))</f>
        <v/>
      </c>
      <c r="CB211">
        <f>CA211+IF(AND(CB121&gt;0,COUNTIF($Y121:CA121,CB121)=0),0,IF(SUMPRODUCT(MOD(INT(CB166/{2,4,8,16,32,64,128,256,512,1024,2048,4096,8192,16384,32768}),2)*(1-MOD(INT(($CJ31+CA211)/{2,4,8,16,32,64,128,256,512,1024,2048,4096,8192,16384,32768}),2))*{2,4,8,16,32,64,128,256,512,1024,2048,4096,8192,16384,32768})=0,0,2^SUMPRODUCT(--(MOD(SUMPRODUCT(MOD(INT(CB166/{2,4,8,16,32,64,128,256,512,1024,2048,4096,8192,16384,32768}),2)*(1-MOD(INT(($CJ31+CA211)/{2,4,8,16,32,64,128,256,512,1024,2048,4096,8192,16384,32768}),2))*{2,4,8,16,32,64,128,256,512,1024,2048,4096,8192,16384,32768}),{2,4,8,16,32,64,128,256,512,1024,2048,4096,8192,16384,32768})=0))))</f>
        <v/>
      </c>
      <c r="CC211">
        <f>CB211+IF(AND(CC121&gt;0,COUNTIF($Y121:CB121,CC121)=0),0,IF(SUMPRODUCT(MOD(INT(CC166/{2,4,8,16,32,64,128,256,512,1024,2048,4096,8192,16384,32768}),2)*(1-MOD(INT(($CJ31+CB211)/{2,4,8,16,32,64,128,256,512,1024,2048,4096,8192,16384,32768}),2))*{2,4,8,16,32,64,128,256,512,1024,2048,4096,8192,16384,32768})=0,0,2^SUMPRODUCT(--(MOD(SUMPRODUCT(MOD(INT(CC166/{2,4,8,16,32,64,128,256,512,1024,2048,4096,8192,16384,32768}),2)*(1-MOD(INT(($CJ31+CB211)/{2,4,8,16,32,64,128,256,512,1024,2048,4096,8192,16384,32768}),2))*{2,4,8,16,32,64,128,256,512,1024,2048,4096,8192,16384,32768}),{2,4,8,16,32,64,128,256,512,1024,2048,4096,8192,16384,32768})=0))))</f>
        <v/>
      </c>
      <c r="CD211">
        <f>CC211+IF(AND(CD121&gt;0,COUNTIF($Y121:CC121,CD121)=0),0,IF(SUMPRODUCT(MOD(INT(CD166/{2,4,8,16,32,64,128,256,512,1024,2048,4096,8192,16384,32768}),2)*(1-MOD(INT(($CJ31+CC211)/{2,4,8,16,32,64,128,256,512,1024,2048,4096,8192,16384,32768}),2))*{2,4,8,16,32,64,128,256,512,1024,2048,4096,8192,16384,32768})=0,0,2^SUMPRODUCT(--(MOD(SUMPRODUCT(MOD(INT(CD166/{2,4,8,16,32,64,128,256,512,1024,2048,4096,8192,16384,32768}),2)*(1-MOD(INT(($CJ31+CC211)/{2,4,8,16,32,64,128,256,512,1024,2048,4096,8192,16384,32768}),2))*{2,4,8,16,32,64,128,256,512,1024,2048,4096,8192,16384,32768}),{2,4,8,16,32,64,128,256,512,1024,2048,4096,8192,16384,32768})=0))))</f>
        <v/>
      </c>
      <c r="CE211">
        <f>CD211+IF(AND(CE121&gt;0,COUNTIF($Y121:CD121,CE121)=0),0,IF(SUMPRODUCT(MOD(INT(CE166/{2,4,8,16,32,64,128,256,512,1024,2048,4096,8192,16384,32768}),2)*(1-MOD(INT(($CJ31+CD211)/{2,4,8,16,32,64,128,256,512,1024,2048,4096,8192,16384,32768}),2))*{2,4,8,16,32,64,128,256,512,1024,2048,4096,8192,16384,32768})=0,0,2^SUMPRODUCT(--(MOD(SUMPRODUCT(MOD(INT(CE166/{2,4,8,16,32,64,128,256,512,1024,2048,4096,8192,16384,32768}),2)*(1-MOD(INT(($CJ31+CD211)/{2,4,8,16,32,64,128,256,512,1024,2048,4096,8192,16384,32768}),2))*{2,4,8,16,32,64,128,256,512,1024,2048,4096,8192,16384,32768}),{2,4,8,16,32,64,128,256,512,1024,2048,4096,8192,16384,32768})=0))))</f>
        <v/>
      </c>
      <c r="CF211">
        <f>CE211+IF(AND(CF121&gt;0,COUNTIF($Y121:CE121,CF121)=0),0,IF(SUMPRODUCT(MOD(INT(CF166/{2,4,8,16,32,64,128,256,512,1024,2048,4096,8192,16384,32768}),2)*(1-MOD(INT(($CJ31+CE211)/{2,4,8,16,32,64,128,256,512,1024,2048,4096,8192,16384,32768}),2))*{2,4,8,16,32,64,128,256,512,1024,2048,4096,8192,16384,32768})=0,0,2^SUMPRODUCT(--(MOD(SUMPRODUCT(MOD(INT(CF166/{2,4,8,16,32,64,128,256,512,1024,2048,4096,8192,16384,32768}),2)*(1-MOD(INT(($CJ31+CE211)/{2,4,8,16,32,64,128,256,512,1024,2048,4096,8192,16384,32768}),2))*{2,4,8,16,32,64,128,256,512,1024,2048,4096,8192,16384,32768}),{2,4,8,16,32,64,128,256,512,1024,2048,4096,8192,16384,32768})=0))))</f>
        <v/>
      </c>
      <c r="DA211" t="n">
        <v>207</v>
      </c>
      <c r="DB211">
        <f>IF($B$37=0,"",IFERROR(TRIM(SUBSTITUTE(SUBSTITUTE(SUBSTITUTE(SUBSTITUTE(INDEX(PASTE_ALL,207,$B$37)," "," "),CHAR(9)," "),CHAR(10)," "),CHAR(13)," ")),""))</f>
        <v/>
      </c>
      <c r="DC211">
        <f>IF(AND(207&gt;HEADER_ROW,UPPER(DB211)="LEGEND"),1,0)</f>
        <v/>
      </c>
      <c r="DE211" t="n">
        <v>207</v>
      </c>
      <c r="DF211">
        <f>HEADER_ROW+$DE211</f>
        <v/>
      </c>
      <c r="DG211">
        <f>IF(AND($DF211&lt;=1000,$DF211&lt;$B$8),1,0)</f>
        <v/>
      </c>
      <c r="DH211">
        <f>IF($DG211=1,IFERROR(INDEX($DB$5:$DB$1004,$DF211),""),"")</f>
        <v/>
      </c>
      <c r="DI211">
        <f>IF(AND($DG211=1,$DH211&lt;&gt;""),IFERROR(SUBSTITUTE(SUBSTITUTE(TRIM(SUBSTITUTE(SUBSTITUTE(SUBSTITUTE(SUBSTITUTE(IFERROR(INDEX(PASTE_ALL,$DF211,1)&amp;"","")&amp;"␟"&amp;IFERROR(INDEX(PASTE_ALL,$DF211,2)&amp;"","")&amp;"␟"&amp;IFERROR(INDEX(PASTE_ALL,$DF211,3)&amp;"","")&amp;"␟"&amp;IFERROR(INDEX(PASTE_ALL,$DF211,4)&amp;"","")&amp;"␟"&amp;IFERROR(INDEX(PASTE_ALL,$DF211,5)&amp;"","")&amp;"␟"&amp;IFERROR(INDEX(PASTE_ALL,$DF211,6)&amp;"","")&amp;"␟"&amp;IFERROR(INDEX(PASTE_ALL,$DF211,7)&amp;"","")&amp;"␟"&amp;IFERROR(INDEX(PASTE_ALL,$DF211,8)&amp;"","")&amp;"␟"&amp;IFERROR(INDEX(PASTE_ALL,$DF211,9)&amp;"","")&amp;"␟"&amp;IFERROR(INDEX(PASTE_ALL,$DF211,10)&amp;"","")&amp;"␟"&amp;IFERROR(INDEX(PASTE_ALL,$DF211,11)&amp;"","")&amp;"␟"&amp;IFERROR(INDEX(PASTE_ALL,$DF211,12)&amp;"","")&amp;"␟"&amp;IFERROR(INDEX(PASTE_ALL,$DF211,13)&amp;"","")&amp;"␟"&amp;IFERROR(INDEX(PASTE_ALL,$DF211,14)&amp;"","")&amp;"␟"&amp;IFERROR(INDEX(PASTE_ALL,$DF211,15)&amp;"","")&amp;"␟"&amp;IFERROR(INDEX(PASTE_ALL,$DF211,16)&amp;"","")&amp;"␟"&amp;IFERROR(INDEX(PASTE_ALL,$DF211,17)&amp;"","")&amp;"␟"&amp;IFERROR(INDEX(PASTE_ALL,$DF211,18)&amp;"","")&amp;"␟"&amp;IFERROR(INDEX(PASTE_ALL,$DF211,19)&amp;"","")&amp;"␟"&amp;IFERROR(INDEX(PASTE_ALL,$DF211,20)&amp;"","")&amp;"␟"&amp;IFERROR(INDEX(PASTE_ALL,$DF211,21)&amp;"","")&amp;"␟"&amp;IFERROR(INDEX(PASTE_ALL,$DF211,22)&amp;"","")&amp;"␟"&amp;IFERROR(INDEX(PASTE_ALL,$DF211,23)&amp;"","")&amp;"␟"&amp;IFERROR(INDEX(PASTE_ALL,$DF211,24)&amp;"","")&amp;"␟"&amp;IFERROR(INDEX(PASTE_ALL,$DF211,25)&amp;"","")&amp;"␟"&amp;IFERROR(INDEX(PASTE_ALL,$DF211,26)&amp;"","")&amp;"␟"&amp;IFERROR(INDEX(PASTE_ALL,$DF211,27)&amp;"","")&amp;"␟"&amp;IFERROR(INDEX(PASTE_ALL,$DF211,28)&amp;"","")&amp;"␟"&amp;IFERROR(INDEX(PASTE_ALL,$DF211,29)&amp;"","")&amp;"␟"&amp;IFERROR(INDEX(PASTE_ALL,$DF211,30)&amp;"","")&amp;"␟"&amp;IFERROR(INDEX(PASTE_ALL,$DF211,31)&amp;"","")&amp;"␟"&amp;IFERROR(INDEX(PASTE_ALL,$DF211,32)&amp;"","")&amp;"␟"&amp;IFERROR(INDEX(PASTE_ALL,$DF211,33)&amp;"","")&amp;"␟"&amp;IFERROR(INDEX(PASTE_ALL,$DF211,34)&amp;"","")&amp;"␟"&amp;IFERROR(INDEX(PASTE_ALL,$DF211,35)&amp;"","")&amp;"␟"&amp;IFERROR(INDEX(PASTE_ALL,$DF211,36)&amp;"","")&amp;"␟"&amp;IFERROR(INDEX(PASTE_ALL,$DF211,37)&amp;"","")&amp;"␟"&amp;IFERROR(INDEX(PASTE_ALL,$DF211,38)&amp;"","")&amp;"␟"&amp;IFERROR(INDEX(PASTE_ALL,$DF211,39)&amp;"","")&amp;"␟"&amp;IFERROR(INDEX(PASTE_ALL,$DF211,40)&amp;"","")&amp;"␟"&amp;IFERROR(INDEX(PASTE_ALL,$DF211,41)&amp;"","")&amp;"␟"&amp;IFERROR(INDEX(PASTE_ALL,$DF211,42)&amp;"","")&amp;"␟"&amp;IFERROR(INDEX(PASTE_ALL,$DF211,43)&amp;"","")&amp;"␟"&amp;IFERROR(INDEX(PASTE_ALL,$DF211,44)&amp;"","")&amp;"␟"&amp;IFERROR(INDEX(PASTE_ALL,$DF211,45)&amp;"","")&amp;"␟"&amp;IFERROR(INDEX(PASTE_ALL,$DF211,46)&amp;"","")&amp;"␟"&amp;IFERROR(INDEX(PASTE_ALL,$DF211,47)&amp;"","")&amp;"␟"&amp;IFERROR(INDEX(PASTE_ALL,$DF211,48)&amp;"","")&amp;"␟"&amp;IFERROR(INDEX(PASTE_ALL,$DF211,49)&amp;"","")&amp;"␟"&amp;IFERROR(INDEX(PASTE_ALL,$DF211,50)&amp;"","")&amp;"␟"&amp;IFERROR(INDEX(PASTE_ALL,$DF211,51)&amp;"","")&amp;"␟"&amp;IFERROR(INDEX(PASTE_ALL,$DF211,52)&amp;"","")&amp;"␟"&amp;IFERROR(INDEX(PASTE_ALL,$DF211,53)&amp;"","")&amp;"␟"&amp;IFERROR(INDEX(PASTE_ALL,$DF211,54)&amp;"","")&amp;"␟"&amp;IFERROR(INDEX(PASTE_ALL,$DF211,55)&amp;"","")&amp;"␟"&amp;IFERROR(INDEX(PASTE_ALL,$DF211,56)&amp;"","")&amp;"␟"&amp;IFERROR(INDEX(PASTE_ALL,$DF211,57)&amp;"","")&amp;"␟"&amp;IFERROR(INDEX(PASTE_ALL,$DF211,58)&amp;"","")&amp;"␟"&amp;IFERROR(INDEX(PASTE_ALL,$DF211,59)&amp;"","")&amp;"␟"&amp;IFERROR(INDEX(PASTE_ALL,$DF211,60)&amp;"","")," "," "),CHAR(9)," "),CHAR(10)," "),CHAR(13)," "))," ␟","␟"),"␟ ","␟"),"#"&amp;$DE211),"")</f>
        <v/>
      </c>
      <c r="DJ211">
        <f>IF($DI211="",0,IF(SUMPRODUCT(--EXACT($DI$4:DI210,$DI211))&gt;0,1,0))</f>
        <v/>
      </c>
      <c r="DK211">
        <f>IF(AND($DI211&lt;&gt;"",$DJ211=0),1,0)</f>
        <v/>
      </c>
      <c r="DL211">
        <f>DL210+$DK211</f>
        <v/>
      </c>
      <c r="DM211">
        <f>IF(AND($DK211=1,$DL211&lt;=600),1,0)</f>
        <v/>
      </c>
      <c r="DN211">
        <f>IF($DM211=0,"",IF($L$6=0,"",IFERROR(IF(ISNUMBER(INDEX(PASTE_ALL,$DF211,$L$6)),INDEX(PASTE_ALL,$DF211,$L$6),TRIM(SUBSTITUTE(SUBSTITUTE(SUBSTITUTE(SUBSTITUTE(INDEX(PASTE_ALL,$DF211,$L$6)," "," "),CHAR(9)," "),CHAR(10)," "),CHAR(13)," "))),"")))</f>
        <v/>
      </c>
      <c r="DO211">
        <f>IF($DM211=0,"",IF($L$7=0,"",IFERROR(IF(ISNUMBER(INDEX(PASTE_ALL,$DF211,$L$7)),INDEX(PASTE_ALL,$DF211,$L$7),TRIM(SUBSTITUTE(SUBSTITUTE(SUBSTITUTE(SUBSTITUTE(INDEX(PASTE_ALL,$DF211,$L$7)," "," "),CHAR(9)," "),CHAR(10)," "),CHAR(13)," "))),"")))</f>
        <v/>
      </c>
      <c r="DP211">
        <f>IF($DM211=0,"",IF($L$8=0,"",IFERROR(IF(ISNUMBER(INDEX(PASTE_ALL,$DF211,$L$8)),INDEX(PASTE_ALL,$DF211,$L$8),TRIM(SUBSTITUTE(SUBSTITUTE(SUBSTITUTE(SUBSTITUTE(INDEX(PASTE_ALL,$DF211,$L$8)," "," "),CHAR(9)," "),CHAR(10)," "),CHAR(13)," "))),"")))</f>
        <v/>
      </c>
      <c r="DQ211">
        <f>IF($DM211=0,"",IF($L$9=0,"",IFERROR(IF(ISNUMBER(INDEX(PASTE_ALL,$DF211,$L$9)),INDEX(PASTE_ALL,$DF211,$L$9),TRIM(SUBSTITUTE(SUBSTITUTE(SUBSTITUTE(SUBSTITUTE(INDEX(PASTE_ALL,$DF211,$L$9)," "," "),CHAR(9)," "),CHAR(10)," "),CHAR(13)," "))),"")))</f>
        <v/>
      </c>
      <c r="DR211">
        <f>IF($DM211=0,"",IF($L$10=0,"",IFERROR(IF(ISNUMBER(INDEX(PASTE_ALL,$DF211,$L$10)),INDEX(PASTE_ALL,$DF211,$L$10),TRIM(SUBSTITUTE(SUBSTITUTE(SUBSTITUTE(SUBSTITUTE(INDEX(PASTE_ALL,$DF211,$L$10)," "," "),CHAR(9)," "),CHAR(10)," "),CHAR(13)," "))),"")))</f>
        <v/>
      </c>
      <c r="DS211">
        <f>IF($DM211=0,"",IF($L$11=0,"",IFERROR(IF(ISNUMBER(INDEX(PASTE_ALL,$DF211,$L$11)),INDEX(PASTE_ALL,$DF211,$L$11),TRIM(SUBSTITUTE(SUBSTITUTE(SUBSTITUTE(SUBSTITUTE(INDEX(PASTE_ALL,$DF211,$L$11)," "," "),CHAR(9)," "),CHAR(10)," "),CHAR(13)," "))),"")))</f>
        <v/>
      </c>
      <c r="DT211">
        <f>IF($DM211=0,"",IF($L$12=0,"",IFERROR(IF(ISNUMBER(INDEX(PASTE_ALL,$DF211,$L$12)),INDEX(PASTE_ALL,$DF211,$L$12),TRIM(SUBSTITUTE(SUBSTITUTE(SUBSTITUTE(SUBSTITUTE(INDEX(PASTE_ALL,$DF211,$L$12)," "," "),CHAR(9)," "),CHAR(10)," "),CHAR(13)," "))),"")))</f>
        <v/>
      </c>
      <c r="DU211">
        <f>IF($DM211=0,"",IF($L$13=0,"",IFERROR(IF(ISNUMBER(INDEX(PASTE_ALL,$DF211,$L$13)),INDEX(PASTE_ALL,$DF211,$L$13),TRIM(SUBSTITUTE(SUBSTITUTE(SUBSTITUTE(SUBSTITUTE(INDEX(PASTE_ALL,$DF211,$L$13)," "," "),CHAR(9)," "),CHAR(10)," "),CHAR(13)," "))),"")))</f>
        <v/>
      </c>
      <c r="DV211">
        <f>IF($DM211=0,"",IF($L$14=0,"",IFERROR(IF(ISNUMBER(INDEX(PASTE_ALL,$DF211,$L$14)),INDEX(PASTE_ALL,$DF211,$L$14),TRIM(SUBSTITUTE(SUBSTITUTE(SUBSTITUTE(SUBSTITUTE(INDEX(PASTE_ALL,$DF211,$L$14)," "," "),CHAR(9)," "),CHAR(10)," "),CHAR(13)," "))),"")))</f>
        <v/>
      </c>
      <c r="DW211">
        <f>IF($DM211=0,"",IF($L$15=0,"",IFERROR(IF(ISNUMBER(INDEX(PASTE_ALL,$DF211,$L$15)),INDEX(PASTE_ALL,$DF211,$L$15),IF(SUMPRODUCT(--ISNUMBER(FIND({"A","B","C","D","E","F","G","H","I","J","K","L","M","N","O","P","Q","R","S","T","U","V","W","X","Y","Z","0","1","2","3","4","5","6","7","8","9"},UPPER(TRIM(SUBSTITUTE(SUBSTITUTE(SUBSTITUTE(SUBSTITUTE(INDEX(PASTE_ALL,$DF211,$L$15)," "," "),CHAR(9)," "),CHAR(10)," "),CHAR(13)," "))))))&gt;0,TRIM(SUBSTITUTE(SUBSTITUTE(SUBSTITUTE(SUBSTITUTE(INDEX(PASTE_ALL,$DF211,$L$15)," "," "),CHAR(9)," "),CHAR(10)," "),CHAR(13)," ")),"")),"")))</f>
        <v/>
      </c>
      <c r="DX211">
        <f>IF($DM211=0,"",IF($L$16=0,"",IFERROR(IF(ISNUMBER(INDEX(PASTE_ALL,$DF211,$L$16)),INDEX(PASTE_ALL,$DF211,$L$16),SUBSTITUTE(SUBSTITUTE(TRIM(SUBSTITUTE(SUBSTITUTE(SUBSTITUTE(SUBSTITUTE(INDEX(PASTE_ALL,$DF211,$L$16)," "," "),CHAR(9)," "),CHAR(10)," "),CHAR(13)," ")),",",""),"%","")),"")))</f>
        <v/>
      </c>
      <c r="DY211">
        <f>IF($DM211=0,"",IFERROR(IF(ISNUMBER($DX211),$DX211,IF($DX211="","",IF(TRIM($DX211)="",0,IF(AND(AND(SUBSTITUTE(SUBSTITUTE(SUBSTITUTE(SUBSTITUTE(SUBSTITUTE(SUBSTITUTE(SUBSTITUTE(SUBSTITUTE(SUBSTITUTE(SUBSTITUTE(SUBSTITUTE(SUBSTITUTE(SUBSTITUTE(SUBSTITUTE(UPPER(TRIM($DX211)),"0",""),"1",""),"2",""),"3",""),"4",""),"5",""),"6",""),"7",""),"8",""),"9",""),".",""),"+",""),"-",""),"E","")="",LEN(SUBSTITUTE(SUBSTITUTE(MID(UPPER(TRIM($DX211)),1+OR(LEFT(UPPER(TRIM($DX211)),1)="+",LEFT(UPPER(TRIM($DX211)),1)="-"),999),"E+","E"),"E-","E"))=LEN(SUBSTITUTE(SUBSTITUTE(SUBSTITUTE(SUBSTITUTE(MID(UPPER(TRIM($DX211)),1+OR(LEFT(UPPER(TRIM($DX211)),1)="+",LEFT(UPPER(TRIM($DX211)),1)="-"),999),"E+","E"),"E-","E"),"+",""),"-","")),LEN(UPPER(TRIM($DX211)))-LEN(SUBSTITUTE(UPPER(TRIM($DX211)),"E",""))&lt;2,LEN(UPPER(TRIM($DX211)))-LEN(SUBSTITUTE(UPPER(TRIM($DX211)),".",""))&lt;2,IFERROR(FIND(".",UPPER(TRIM($DX211))),0)&lt;IFERROR(FIND("E",UPPER(TRIM($DX211))),999)),ISNUMBER(VALUE(TRIM($DX211)))),VALUE(TRIM($DX211)),"")))),""))</f>
        <v/>
      </c>
      <c r="DZ211">
        <f>IF($DM211=0,"",IF($L$17=0,"",IFERROR(IF(ISNUMBER(INDEX(PASTE_ALL,$DF211,$L$17)),INDEX(PASTE_ALL,$DF211,$L$17),SUBSTITUTE(SUBSTITUTE(TRIM(SUBSTITUTE(SUBSTITUTE(SUBSTITUTE(SUBSTITUTE(INDEX(PASTE_ALL,$DF211,$L$17)," "," "),CHAR(9)," "),CHAR(10)," "),CHAR(13)," ")),",",""),"%","")),"")))</f>
        <v/>
      </c>
      <c r="EA211">
        <f>IF($DM211=0,"",IFERROR(IF(ISNUMBER($DZ211),$DZ211,IF($DZ211="","",IF(TRIM($DZ211)="",0,IF(AND(AND(SUBSTITUTE(SUBSTITUTE(SUBSTITUTE(SUBSTITUTE(SUBSTITUTE(SUBSTITUTE(SUBSTITUTE(SUBSTITUTE(SUBSTITUTE(SUBSTITUTE(SUBSTITUTE(SUBSTITUTE(SUBSTITUTE(SUBSTITUTE(UPPER(TRIM($DZ211)),"0",""),"1",""),"2",""),"3",""),"4",""),"5",""),"6",""),"7",""),"8",""),"9",""),".",""),"+",""),"-",""),"E","")="",LEN(SUBSTITUTE(SUBSTITUTE(MID(UPPER(TRIM($DZ211)),1+OR(LEFT(UPPER(TRIM($DZ211)),1)="+",LEFT(UPPER(TRIM($DZ211)),1)="-"),999),"E+","E"),"E-","E"))=LEN(SUBSTITUTE(SUBSTITUTE(SUBSTITUTE(SUBSTITUTE(MID(UPPER(TRIM($DZ211)),1+OR(LEFT(UPPER(TRIM($DZ211)),1)="+",LEFT(UPPER(TRIM($DZ211)),1)="-"),999),"E+","E"),"E-","E"),"+",""),"-","")),LEN(UPPER(TRIM($DZ211)))-LEN(SUBSTITUTE(UPPER(TRIM($DZ211)),"E",""))&lt;2,LEN(UPPER(TRIM($DZ211)))-LEN(SUBSTITUTE(UPPER(TRIM($DZ211)),".",""))&lt;2,IFERROR(FIND(".",UPPER(TRIM($DZ211))),0)&lt;IFERROR(FIND("E",UPPER(TRIM($DZ211))),999)),ISNUMBER(VALUE(TRIM($DZ211)))),VALUE(TRIM($DZ211)),"")))),""))</f>
        <v/>
      </c>
      <c r="EB211">
        <f>IF($DM211=0,"",IF($L$18=0,"",IFERROR(IF(UPPER(TRIM(SUBSTITUTE(SUBSTITUTE(SUBSTITUTE(SUBSTITUTE(INDEX(PASTE_ALL,$DF211,$L$18)," "," "),CHAR(9)," "),CHAR(10)," "),CHAR(13)," ")))="READY","Ready",IF(UPPER(TRIM(SUBSTITUTE(SUBSTITUTE(SUBSTITUTE(SUBSTITUTE(INDEX(PASTE_ALL,$DF211,$L$18)," "," "),CHAR(9)," "),CHAR(10)," "),CHAR(13)," ")))="PM","PM",IF(OR(UPPER(TRIM(SUBSTITUTE(SUBSTITUTE(SUBSTITUTE(SUBSTITUTE(INDEX(PASTE_ALL,$DF211,$L$18)," "," "),CHAR(9)," "),CHAR(10)," "),CHAR(13)," ")))="OT",UPPER(TRIM(SUBSTITUTE(SUBSTITUTE(SUBSTITUTE(SUBSTITUTE(INDEX(PASTE_ALL,$DF211,$L$18)," "," "),CHAR(9)," "),CHAR(10)," "),CHAR(13)," ")))="OVERTIME",UPPER(TRIM(SUBSTITUTE(SUBSTITUTE(SUBSTITUTE(SUBSTITUTE(INDEX(PASTE_ALL,$DF211,$L$18)," "," "),CHAR(9)," "),CHAR(10)," "),CHAR(13)," ")))="TRIAL"),"OT",TRIM(SUBSTITUTE(SUBSTITUTE(SUBSTITUTE(SUBSTITUTE(INDEX(PASTE_ALL,$DF211,$L$18)," "," "),CHAR(9)," "),CHAR(10)," "),CHAR(13)," "))))),"")))</f>
        <v/>
      </c>
      <c r="EC211">
        <f>IF($DM211=0,"",IF($L$19=0,"",IFERROR(IF(ISNUMBER(INDEX(PASTE_ALL,$DF211,$L$19)),INDEX(PASTE_ALL,$DF211,$L$19),TRIM(SUBSTITUTE(SUBSTITUTE(SUBSTITUTE(SUBSTITUTE(INDEX(PASTE_ALL,$DF211,$L$19)," "," "),CHAR(9)," "),CHAR(10)," "),CHAR(13)," "))),"")))</f>
        <v/>
      </c>
      <c r="ED211">
        <f>IF($DM211=0,"",MATCH(1,INDEX(EXACT($DH$5:DH211,$DH211)*$DM$5:DM211,0),0))</f>
        <v/>
      </c>
      <c r="EE211">
        <f>IF($DM211=0,0,IF($ED211=$DE211,1,0))</f>
        <v/>
      </c>
      <c r="EF211">
        <f>EF210+$EE211</f>
        <v/>
      </c>
      <c r="EG211">
        <f>IF($DM211=0,"",INDEX($EF$5:$EF$1003,$ED211))</f>
        <v/>
      </c>
      <c r="EH211">
        <f>IF($DM211=0,"",IF($DO211&lt;&gt;"","",IFERROR(LOOKUP(2,1/(($EG$4:EG210=$EG211)*($DO$4:DO210&lt;&gt;"")),$DO$4:DO210),"")))</f>
        <v/>
      </c>
      <c r="EI211">
        <f>IF($DM211=0,"",IF($DO211&lt;&gt;"",$DO211,$EH211))</f>
        <v/>
      </c>
      <c r="EJ211">
        <f>IF($DM211=0,"",IF($EI211="",0,IF(OR(ISNUMBER($EI211),AND(AND(SUBSTITUTE(SUBSTITUTE(SUBSTITUTE(SUBSTITUTE(SUBSTITUTE(SUBSTITUTE(SUBSTITUTE(SUBSTITUTE(SUBSTITUTE(SUBSTITUTE(SUBSTITUTE(SUBSTITUTE(SUBSTITUTE(SUBSTITUTE(UPPER($EI211),"0",""),"1",""),"2",""),"3",""),"4",""),"5",""),"6",""),"7",""),"8",""),"9",""),".",""),"+",""),"-",""),"E","")="",LEN(SUBSTITUTE(SUBSTITUTE(MID(UPPER($EI211),1+OR(LEFT(UPPER($EI211),1)="+",LEFT(UPPER($EI211),1)="-"),999),"E+","E"),"E-","E"))=LEN(SUBSTITUTE(SUBSTITUTE(SUBSTITUTE(SUBSTITUTE(MID(UPPER($EI211),1+OR(LEFT(UPPER($EI211),1)="+",LEFT(UPPER($EI211),1)="-"),999),"E+","E"),"E-","E"),"+",""),"-","")),LEN(UPPER($EI211))-LEN(SUBSTITUTE(UPPER($EI211),"E",""))&lt;2,LEN(UPPER($EI211))-LEN(SUBSTITUTE(UPPER($EI211),".",""))&lt;2,IFERROR(FIND(".",UPPER($EI211)),0)&lt;IFERROR(FIND("E",UPPER($EI211)),999)),ISNUMBER(VALUE($EI211)))),1,2)))</f>
        <v/>
      </c>
      <c r="EK211">
        <f>IF($DM211=0,"",IF($EJ211=1,IF(ISNUMBER($EI211),$EI211,VALUE($EI211)),IF($EJ211=2,$DE211,0)))</f>
        <v/>
      </c>
      <c r="EL211">
        <f>IF($DM211=0,"",COUNTIF($EG$5:$EG$1003,"&lt;"&amp;$EG211)+SUMPRODUCT(($EG$5:$EG$1003=$EG211)*(($EJ$5:$EJ$1003&lt;$EJ211)+($EJ$5:$EJ$1003=$EJ211)*(($EK$5:$EK$1003&lt;$EK211)+($EK$5:$EK$1003=$EK211)*($DE$5:$DE$1003&lt;$DE211))))+1)</f>
        <v/>
      </c>
      <c r="EM211">
        <f>IF($DM211=0,"",$EL211+$EG211-1)</f>
        <v/>
      </c>
      <c r="EN211">
        <f>IF($DM211=0,0,IFERROR(MATCH(1,INDEX(--(TRIM(SUBSTITUTE(SUBSTITUTE(SUBSTITUTE(SUBSTITUTE(LINES_NAME&amp;""," "," "),CHAR(9)," "),CHAR(10)," "),CHAR(13)," "))=$DH211),0),0),0))</f>
        <v/>
      </c>
      <c r="EO211">
        <f>IF($EN211=0,0,IF(OR(UPPER(TRIM(INDEX(LINES_SCHEDULED,$EN211)&amp;""))="YES",UPPER(TRIM(INDEX(LINES_SCHEDULED,$EN211)&amp;""))="Y",UPPER(TRIM(INDEX(LINES_SCHEDULED,$EN211)&amp;""))="X"),1,0))</f>
        <v/>
      </c>
      <c r="EP211">
        <f>IF($DM211=0,"",IF(COUNTIFS($EG$5:$EG$1003,$EG211,$EB$5:$EB$1003,"Ready")&gt;0,"READY",IF(COUNTIFS($EG$5:$EG$1003,$EG211,$EB$5:$EB$1003,"PM")&gt;0,"PM",IF(COUNTIFS($EG$5:$EG$1003,$EG211,$EB$5:$EB$1003,"OT")&gt;0,"OT",""))))</f>
        <v/>
      </c>
      <c r="EQ211">
        <f>IF($EN211=0,"",UPPER(TRIM(INDEX(LINES_STATUS,$EN211)&amp;"")))</f>
        <v/>
      </c>
      <c r="ER211">
        <f>IF($DM211=0,"",IF(OR($EQ211="READY",$EQ211="PM",$EQ211="OT"),$EQ211,$EP211))</f>
        <v/>
      </c>
      <c r="ES211">
        <f>IF($DM211=0,"",IF(AND($DV211&lt;&gt;"",UPPER($DV211)&lt;&gt;"N"),"allergen",IF(ISNUMBER(SEARCH("oil",$DQ211)),"oil",IF(OR(EXACT($DS211,"A662"),EXACT($DS211,"A624")),"bulk",""))))</f>
        <v/>
      </c>
      <c r="ET211">
        <f>IF($DM211=0,"",IF(OR($EA211="",$EA211=0),"",$EA211/100))</f>
        <v/>
      </c>
      <c r="EU211">
        <f>IF(OR($ET211="",$DY211=""),"",INT($DY211*(1-$ET211)+0.5))</f>
        <v/>
      </c>
      <c r="EW211" t="n">
        <v>207</v>
      </c>
      <c r="EX211">
        <f>IFERROR(MATCH($EW211,$EM$5:$EM$1003,0),0)</f>
        <v/>
      </c>
      <c r="EY211">
        <f>IF($EW211&gt;$B$12,"",IF($EX211&gt;0,"row","spacer"))</f>
        <v/>
      </c>
      <c r="EZ211">
        <f>IF(AND($EY211="row",$EY210&lt;&gt;"row"),1,0)</f>
        <v/>
      </c>
      <c r="FA211">
        <f>IF(AND($EY211="row",$EY212&lt;&gt;"row"),1,0)</f>
        <v/>
      </c>
      <c r="FB211">
        <f>IF($EZ211=1,IFERROR(IF(ISNUMBER(INDEX(PASTE_ALL,INDEX($DF$5:$DF$1003,$EX211),$B$37)),INDEX(PASTE_ALL,INDEX($DF$5:$DF$1003,$EX211),$B$37),INDEX($DH$5:$DH$1003,$EX211)),INDEX($DH$5:$DH$1003,$EX211)),"")</f>
        <v/>
      </c>
      <c r="FC211">
        <f>IF($EY211="row",INDEX($ER$5:$ER$1003,$EX211),"")</f>
        <v/>
      </c>
      <c r="FD211">
        <f>IF($EY211="row",INDEX($DN$5:$DN$1003,$EX211),"")</f>
        <v/>
      </c>
      <c r="FE211">
        <f>IF($EY211="row",INDEX($DO$5:$DO$1003,$EX211),"")</f>
        <v/>
      </c>
      <c r="FF211">
        <f>IF($EY211="row",INDEX($DP$5:$DP$1003,$EX211),"")</f>
        <v/>
      </c>
      <c r="FG211">
        <f>IF($EY211="row",INDEX($DQ$5:$DQ$1003,$EX211),"")</f>
        <v/>
      </c>
      <c r="FH211">
        <f>IF($EY211="row",INDEX($DR$5:$DR$1003,$EX211),"")</f>
        <v/>
      </c>
      <c r="FI211">
        <f>IF($EY211="row",INDEX($DS$5:$DS$1003,$EX211),"")</f>
        <v/>
      </c>
      <c r="FJ211">
        <f>IF($EY211="row",INDEX($DT$5:$DT$1003,$EX211),"")</f>
        <v/>
      </c>
      <c r="FK211">
        <f>IF($EY211="row",INDEX($DU$5:$DU$1003,$EX211),"")</f>
        <v/>
      </c>
      <c r="FL211">
        <f>IF($EY211="row",INDEX($DV$5:$DV$1003,$EX211),"")</f>
        <v/>
      </c>
      <c r="FM211">
        <f>IF($EY211="row",INDEX($DW$5:$DW$1003,$EX211),"")</f>
        <v/>
      </c>
      <c r="FN211">
        <f>IF($EY211="row",INDEX($DY$5:$DY$1003,$EX211),"")</f>
        <v/>
      </c>
      <c r="FO211">
        <f>IF($EY211="row",INDEX($EA$5:$EA$1003,$EX211),"")</f>
        <v/>
      </c>
      <c r="FP211">
        <f>IF($EY211="row",INDEX($EC$5:$EC$1003,$EX211),"")</f>
        <v/>
      </c>
      <c r="FQ211">
        <f>IF($EY211="row",INDEX($ET$5:$ET$1003,$EX211),"")</f>
        <v/>
      </c>
      <c r="FR211">
        <f>IF($EY211="row",INDEX($EU$5:$EU$1003,$EX211),"")</f>
        <v/>
      </c>
      <c r="FS211">
        <f>IF(AND($EY211="row",$EY210="row"),IF(OR(INDEX($DT$5:$DT$1003,$EX210)="",INDEX($DT$5:$DT$1003,$EX211)=""),"",IF(NOT(EXACT(INDEX($DT$5:$DT$1003,$EX210),INDEX($DT$5:$DT$1003,$EX211))),"S4",IF(NOT(EXACT(INDEX($DS$5:$DS$1003,$EX210),INDEX($DS$5:$DS$1003,$EX211))),"S3",IF(NOT(EXACT(INDEX($DR$5:$DR$1003,$EX210),INDEX($DR$5:$DR$1003,$EX211))),"S1 Count Change","S1")))),"")</f>
        <v/>
      </c>
      <c r="FT211">
        <f>IF($EY211="row",INDEX($ES$5:$ES$1003,$EX211),"")</f>
        <v/>
      </c>
      <c r="FU211">
        <f>IF($EY211="row",INDEX($EO$5:$EO$1003,$EX211),0)</f>
        <v/>
      </c>
      <c r="FV211">
        <f>IF($FS211="S1 Count Change",1,0)</f>
        <v/>
      </c>
    </row>
    <row r="212">
      <c r="Y212">
        <f>0+IF(Y122&gt;0,0,IF(SUMPRODUCT(MOD(INT(Y167/{2,4,8,16,32,64,128,256,512,1024,2048,4096,8192,16384,32768}),2)*(1-MOD(INT(($CJ32+0)/{2,4,8,16,32,64,128,256,512,1024,2048,4096,8192,16384,32768}),2))*{2,4,8,16,32,64,128,256,512,1024,2048,4096,8192,16384,32768})=0,0,2^SUMPRODUCT(--(MOD(SUMPRODUCT(MOD(INT(Y167/{2,4,8,16,32,64,128,256,512,1024,2048,4096,8192,16384,32768}),2)*(1-MOD(INT(($CJ32+0)/{2,4,8,16,32,64,128,256,512,1024,2048,4096,8192,16384,32768}),2))*{2,4,8,16,32,64,128,256,512,1024,2048,4096,8192,16384,32768}),{2,4,8,16,32,64,128,256,512,1024,2048,4096,8192,16384,32768})=0))))</f>
        <v/>
      </c>
      <c r="Z212">
        <f>Y212+IF(AND(Z122&gt;0,COUNTIF($Y122:Y122,Z122)=0),0,IF(SUMPRODUCT(MOD(INT(Z167/{2,4,8,16,32,64,128,256,512,1024,2048,4096,8192,16384,32768}),2)*(1-MOD(INT(($CJ32+Y212)/{2,4,8,16,32,64,128,256,512,1024,2048,4096,8192,16384,32768}),2))*{2,4,8,16,32,64,128,256,512,1024,2048,4096,8192,16384,32768})=0,0,2^SUMPRODUCT(--(MOD(SUMPRODUCT(MOD(INT(Z167/{2,4,8,16,32,64,128,256,512,1024,2048,4096,8192,16384,32768}),2)*(1-MOD(INT(($CJ32+Y212)/{2,4,8,16,32,64,128,256,512,1024,2048,4096,8192,16384,32768}),2))*{2,4,8,16,32,64,128,256,512,1024,2048,4096,8192,16384,32768}),{2,4,8,16,32,64,128,256,512,1024,2048,4096,8192,16384,32768})=0))))</f>
        <v/>
      </c>
      <c r="AA212">
        <f>Z212+IF(AND(AA122&gt;0,COUNTIF($Y122:Z122,AA122)=0),0,IF(SUMPRODUCT(MOD(INT(AA167/{2,4,8,16,32,64,128,256,512,1024,2048,4096,8192,16384,32768}),2)*(1-MOD(INT(($CJ32+Z212)/{2,4,8,16,32,64,128,256,512,1024,2048,4096,8192,16384,32768}),2))*{2,4,8,16,32,64,128,256,512,1024,2048,4096,8192,16384,32768})=0,0,2^SUMPRODUCT(--(MOD(SUMPRODUCT(MOD(INT(AA167/{2,4,8,16,32,64,128,256,512,1024,2048,4096,8192,16384,32768}),2)*(1-MOD(INT(($CJ32+Z212)/{2,4,8,16,32,64,128,256,512,1024,2048,4096,8192,16384,32768}),2))*{2,4,8,16,32,64,128,256,512,1024,2048,4096,8192,16384,32768}),{2,4,8,16,32,64,128,256,512,1024,2048,4096,8192,16384,32768})=0))))</f>
        <v/>
      </c>
      <c r="AB212">
        <f>AA212+IF(AND(AB122&gt;0,COUNTIF($Y122:AA122,AB122)=0),0,IF(SUMPRODUCT(MOD(INT(AB167/{2,4,8,16,32,64,128,256,512,1024,2048,4096,8192,16384,32768}),2)*(1-MOD(INT(($CJ32+AA212)/{2,4,8,16,32,64,128,256,512,1024,2048,4096,8192,16384,32768}),2))*{2,4,8,16,32,64,128,256,512,1024,2048,4096,8192,16384,32768})=0,0,2^SUMPRODUCT(--(MOD(SUMPRODUCT(MOD(INT(AB167/{2,4,8,16,32,64,128,256,512,1024,2048,4096,8192,16384,32768}),2)*(1-MOD(INT(($CJ32+AA212)/{2,4,8,16,32,64,128,256,512,1024,2048,4096,8192,16384,32768}),2))*{2,4,8,16,32,64,128,256,512,1024,2048,4096,8192,16384,32768}),{2,4,8,16,32,64,128,256,512,1024,2048,4096,8192,16384,32768})=0))))</f>
        <v/>
      </c>
      <c r="AC212">
        <f>AB212+IF(AND(AC122&gt;0,COUNTIF($Y122:AB122,AC122)=0),0,IF(SUMPRODUCT(MOD(INT(AC167/{2,4,8,16,32,64,128,256,512,1024,2048,4096,8192,16384,32768}),2)*(1-MOD(INT(($CJ32+AB212)/{2,4,8,16,32,64,128,256,512,1024,2048,4096,8192,16384,32768}),2))*{2,4,8,16,32,64,128,256,512,1024,2048,4096,8192,16384,32768})=0,0,2^SUMPRODUCT(--(MOD(SUMPRODUCT(MOD(INT(AC167/{2,4,8,16,32,64,128,256,512,1024,2048,4096,8192,16384,32768}),2)*(1-MOD(INT(($CJ32+AB212)/{2,4,8,16,32,64,128,256,512,1024,2048,4096,8192,16384,32768}),2))*{2,4,8,16,32,64,128,256,512,1024,2048,4096,8192,16384,32768}),{2,4,8,16,32,64,128,256,512,1024,2048,4096,8192,16384,32768})=0))))</f>
        <v/>
      </c>
      <c r="AD212">
        <f>AC212+IF(AND(AD122&gt;0,COUNTIF($Y122:AC122,AD122)=0),0,IF(SUMPRODUCT(MOD(INT(AD167/{2,4,8,16,32,64,128,256,512,1024,2048,4096,8192,16384,32768}),2)*(1-MOD(INT(($CJ32+AC212)/{2,4,8,16,32,64,128,256,512,1024,2048,4096,8192,16384,32768}),2))*{2,4,8,16,32,64,128,256,512,1024,2048,4096,8192,16384,32768})=0,0,2^SUMPRODUCT(--(MOD(SUMPRODUCT(MOD(INT(AD167/{2,4,8,16,32,64,128,256,512,1024,2048,4096,8192,16384,32768}),2)*(1-MOD(INT(($CJ32+AC212)/{2,4,8,16,32,64,128,256,512,1024,2048,4096,8192,16384,32768}),2))*{2,4,8,16,32,64,128,256,512,1024,2048,4096,8192,16384,32768}),{2,4,8,16,32,64,128,256,512,1024,2048,4096,8192,16384,32768})=0))))</f>
        <v/>
      </c>
      <c r="AE212">
        <f>AD212+IF(AND(AE122&gt;0,COUNTIF($Y122:AD122,AE122)=0),0,IF(SUMPRODUCT(MOD(INT(AE167/{2,4,8,16,32,64,128,256,512,1024,2048,4096,8192,16384,32768}),2)*(1-MOD(INT(($CJ32+AD212)/{2,4,8,16,32,64,128,256,512,1024,2048,4096,8192,16384,32768}),2))*{2,4,8,16,32,64,128,256,512,1024,2048,4096,8192,16384,32768})=0,0,2^SUMPRODUCT(--(MOD(SUMPRODUCT(MOD(INT(AE167/{2,4,8,16,32,64,128,256,512,1024,2048,4096,8192,16384,32768}),2)*(1-MOD(INT(($CJ32+AD212)/{2,4,8,16,32,64,128,256,512,1024,2048,4096,8192,16384,32768}),2))*{2,4,8,16,32,64,128,256,512,1024,2048,4096,8192,16384,32768}),{2,4,8,16,32,64,128,256,512,1024,2048,4096,8192,16384,32768})=0))))</f>
        <v/>
      </c>
      <c r="AF212">
        <f>AE212+IF(AND(AF122&gt;0,COUNTIF($Y122:AE122,AF122)=0),0,IF(SUMPRODUCT(MOD(INT(AF167/{2,4,8,16,32,64,128,256,512,1024,2048,4096,8192,16384,32768}),2)*(1-MOD(INT(($CJ32+AE212)/{2,4,8,16,32,64,128,256,512,1024,2048,4096,8192,16384,32768}),2))*{2,4,8,16,32,64,128,256,512,1024,2048,4096,8192,16384,32768})=0,0,2^SUMPRODUCT(--(MOD(SUMPRODUCT(MOD(INT(AF167/{2,4,8,16,32,64,128,256,512,1024,2048,4096,8192,16384,32768}),2)*(1-MOD(INT(($CJ32+AE212)/{2,4,8,16,32,64,128,256,512,1024,2048,4096,8192,16384,32768}),2))*{2,4,8,16,32,64,128,256,512,1024,2048,4096,8192,16384,32768}),{2,4,8,16,32,64,128,256,512,1024,2048,4096,8192,16384,32768})=0))))</f>
        <v/>
      </c>
      <c r="AG212">
        <f>AF212+IF(AND(AG122&gt;0,COUNTIF($Y122:AF122,AG122)=0),0,IF(SUMPRODUCT(MOD(INT(AG167/{2,4,8,16,32,64,128,256,512,1024,2048,4096,8192,16384,32768}),2)*(1-MOD(INT(($CJ32+AF212)/{2,4,8,16,32,64,128,256,512,1024,2048,4096,8192,16384,32768}),2))*{2,4,8,16,32,64,128,256,512,1024,2048,4096,8192,16384,32768})=0,0,2^SUMPRODUCT(--(MOD(SUMPRODUCT(MOD(INT(AG167/{2,4,8,16,32,64,128,256,512,1024,2048,4096,8192,16384,32768}),2)*(1-MOD(INT(($CJ32+AF212)/{2,4,8,16,32,64,128,256,512,1024,2048,4096,8192,16384,32768}),2))*{2,4,8,16,32,64,128,256,512,1024,2048,4096,8192,16384,32768}),{2,4,8,16,32,64,128,256,512,1024,2048,4096,8192,16384,32768})=0))))</f>
        <v/>
      </c>
      <c r="AH212">
        <f>AG212+IF(AND(AH122&gt;0,COUNTIF($Y122:AG122,AH122)=0),0,IF(SUMPRODUCT(MOD(INT(AH167/{2,4,8,16,32,64,128,256,512,1024,2048,4096,8192,16384,32768}),2)*(1-MOD(INT(($CJ32+AG212)/{2,4,8,16,32,64,128,256,512,1024,2048,4096,8192,16384,32768}),2))*{2,4,8,16,32,64,128,256,512,1024,2048,4096,8192,16384,32768})=0,0,2^SUMPRODUCT(--(MOD(SUMPRODUCT(MOD(INT(AH167/{2,4,8,16,32,64,128,256,512,1024,2048,4096,8192,16384,32768}),2)*(1-MOD(INT(($CJ32+AG212)/{2,4,8,16,32,64,128,256,512,1024,2048,4096,8192,16384,32768}),2))*{2,4,8,16,32,64,128,256,512,1024,2048,4096,8192,16384,32768}),{2,4,8,16,32,64,128,256,512,1024,2048,4096,8192,16384,32768})=0))))</f>
        <v/>
      </c>
      <c r="AI212">
        <f>AH212+IF(AND(AI122&gt;0,COUNTIF($Y122:AH122,AI122)=0),0,IF(SUMPRODUCT(MOD(INT(AI167/{2,4,8,16,32,64,128,256,512,1024,2048,4096,8192,16384,32768}),2)*(1-MOD(INT(($CJ32+AH212)/{2,4,8,16,32,64,128,256,512,1024,2048,4096,8192,16384,32768}),2))*{2,4,8,16,32,64,128,256,512,1024,2048,4096,8192,16384,32768})=0,0,2^SUMPRODUCT(--(MOD(SUMPRODUCT(MOD(INT(AI167/{2,4,8,16,32,64,128,256,512,1024,2048,4096,8192,16384,32768}),2)*(1-MOD(INT(($CJ32+AH212)/{2,4,8,16,32,64,128,256,512,1024,2048,4096,8192,16384,32768}),2))*{2,4,8,16,32,64,128,256,512,1024,2048,4096,8192,16384,32768}),{2,4,8,16,32,64,128,256,512,1024,2048,4096,8192,16384,32768})=0))))</f>
        <v/>
      </c>
      <c r="AJ212">
        <f>AI212+IF(AND(AJ122&gt;0,COUNTIF($Y122:AI122,AJ122)=0),0,IF(SUMPRODUCT(MOD(INT(AJ167/{2,4,8,16,32,64,128,256,512,1024,2048,4096,8192,16384,32768}),2)*(1-MOD(INT(($CJ32+AI212)/{2,4,8,16,32,64,128,256,512,1024,2048,4096,8192,16384,32768}),2))*{2,4,8,16,32,64,128,256,512,1024,2048,4096,8192,16384,32768})=0,0,2^SUMPRODUCT(--(MOD(SUMPRODUCT(MOD(INT(AJ167/{2,4,8,16,32,64,128,256,512,1024,2048,4096,8192,16384,32768}),2)*(1-MOD(INT(($CJ32+AI212)/{2,4,8,16,32,64,128,256,512,1024,2048,4096,8192,16384,32768}),2))*{2,4,8,16,32,64,128,256,512,1024,2048,4096,8192,16384,32768}),{2,4,8,16,32,64,128,256,512,1024,2048,4096,8192,16384,32768})=0))))</f>
        <v/>
      </c>
      <c r="AK212">
        <f>AJ212+IF(AND(AK122&gt;0,COUNTIF($Y122:AJ122,AK122)=0),0,IF(SUMPRODUCT(MOD(INT(AK167/{2,4,8,16,32,64,128,256,512,1024,2048,4096,8192,16384,32768}),2)*(1-MOD(INT(($CJ32+AJ212)/{2,4,8,16,32,64,128,256,512,1024,2048,4096,8192,16384,32768}),2))*{2,4,8,16,32,64,128,256,512,1024,2048,4096,8192,16384,32768})=0,0,2^SUMPRODUCT(--(MOD(SUMPRODUCT(MOD(INT(AK167/{2,4,8,16,32,64,128,256,512,1024,2048,4096,8192,16384,32768}),2)*(1-MOD(INT(($CJ32+AJ212)/{2,4,8,16,32,64,128,256,512,1024,2048,4096,8192,16384,32768}),2))*{2,4,8,16,32,64,128,256,512,1024,2048,4096,8192,16384,32768}),{2,4,8,16,32,64,128,256,512,1024,2048,4096,8192,16384,32768})=0))))</f>
        <v/>
      </c>
      <c r="AL212">
        <f>AK212+IF(AND(AL122&gt;0,COUNTIF($Y122:AK122,AL122)=0),0,IF(SUMPRODUCT(MOD(INT(AL167/{2,4,8,16,32,64,128,256,512,1024,2048,4096,8192,16384,32768}),2)*(1-MOD(INT(($CJ32+AK212)/{2,4,8,16,32,64,128,256,512,1024,2048,4096,8192,16384,32768}),2))*{2,4,8,16,32,64,128,256,512,1024,2048,4096,8192,16384,32768})=0,0,2^SUMPRODUCT(--(MOD(SUMPRODUCT(MOD(INT(AL167/{2,4,8,16,32,64,128,256,512,1024,2048,4096,8192,16384,32768}),2)*(1-MOD(INT(($CJ32+AK212)/{2,4,8,16,32,64,128,256,512,1024,2048,4096,8192,16384,32768}),2))*{2,4,8,16,32,64,128,256,512,1024,2048,4096,8192,16384,32768}),{2,4,8,16,32,64,128,256,512,1024,2048,4096,8192,16384,32768})=0))))</f>
        <v/>
      </c>
      <c r="AM212">
        <f>AL212+IF(AND(AM122&gt;0,COUNTIF($Y122:AL122,AM122)=0),0,IF(SUMPRODUCT(MOD(INT(AM167/{2,4,8,16,32,64,128,256,512,1024,2048,4096,8192,16384,32768}),2)*(1-MOD(INT(($CJ32+AL212)/{2,4,8,16,32,64,128,256,512,1024,2048,4096,8192,16384,32768}),2))*{2,4,8,16,32,64,128,256,512,1024,2048,4096,8192,16384,32768})=0,0,2^SUMPRODUCT(--(MOD(SUMPRODUCT(MOD(INT(AM167/{2,4,8,16,32,64,128,256,512,1024,2048,4096,8192,16384,32768}),2)*(1-MOD(INT(($CJ32+AL212)/{2,4,8,16,32,64,128,256,512,1024,2048,4096,8192,16384,32768}),2))*{2,4,8,16,32,64,128,256,512,1024,2048,4096,8192,16384,32768}),{2,4,8,16,32,64,128,256,512,1024,2048,4096,8192,16384,32768})=0))))</f>
        <v/>
      </c>
      <c r="AN212">
        <f>AM212+IF(AND(AN122&gt;0,COUNTIF($Y122:AM122,AN122)=0),0,IF(SUMPRODUCT(MOD(INT(AN167/{2,4,8,16,32,64,128,256,512,1024,2048,4096,8192,16384,32768}),2)*(1-MOD(INT(($CJ32+AM212)/{2,4,8,16,32,64,128,256,512,1024,2048,4096,8192,16384,32768}),2))*{2,4,8,16,32,64,128,256,512,1024,2048,4096,8192,16384,32768})=0,0,2^SUMPRODUCT(--(MOD(SUMPRODUCT(MOD(INT(AN167/{2,4,8,16,32,64,128,256,512,1024,2048,4096,8192,16384,32768}),2)*(1-MOD(INT(($CJ32+AM212)/{2,4,8,16,32,64,128,256,512,1024,2048,4096,8192,16384,32768}),2))*{2,4,8,16,32,64,128,256,512,1024,2048,4096,8192,16384,32768}),{2,4,8,16,32,64,128,256,512,1024,2048,4096,8192,16384,32768})=0))))</f>
        <v/>
      </c>
      <c r="AO212">
        <f>AN212+IF(AND(AO122&gt;0,COUNTIF($Y122:AN122,AO122)=0),0,IF(SUMPRODUCT(MOD(INT(AO167/{2,4,8,16,32,64,128,256,512,1024,2048,4096,8192,16384,32768}),2)*(1-MOD(INT(($CJ32+AN212)/{2,4,8,16,32,64,128,256,512,1024,2048,4096,8192,16384,32768}),2))*{2,4,8,16,32,64,128,256,512,1024,2048,4096,8192,16384,32768})=0,0,2^SUMPRODUCT(--(MOD(SUMPRODUCT(MOD(INT(AO167/{2,4,8,16,32,64,128,256,512,1024,2048,4096,8192,16384,32768}),2)*(1-MOD(INT(($CJ32+AN212)/{2,4,8,16,32,64,128,256,512,1024,2048,4096,8192,16384,32768}),2))*{2,4,8,16,32,64,128,256,512,1024,2048,4096,8192,16384,32768}),{2,4,8,16,32,64,128,256,512,1024,2048,4096,8192,16384,32768})=0))))</f>
        <v/>
      </c>
      <c r="AP212">
        <f>AO212+IF(AND(AP122&gt;0,COUNTIF($Y122:AO122,AP122)=0),0,IF(SUMPRODUCT(MOD(INT(AP167/{2,4,8,16,32,64,128,256,512,1024,2048,4096,8192,16384,32768}),2)*(1-MOD(INT(($CJ32+AO212)/{2,4,8,16,32,64,128,256,512,1024,2048,4096,8192,16384,32768}),2))*{2,4,8,16,32,64,128,256,512,1024,2048,4096,8192,16384,32768})=0,0,2^SUMPRODUCT(--(MOD(SUMPRODUCT(MOD(INT(AP167/{2,4,8,16,32,64,128,256,512,1024,2048,4096,8192,16384,32768}),2)*(1-MOD(INT(($CJ32+AO212)/{2,4,8,16,32,64,128,256,512,1024,2048,4096,8192,16384,32768}),2))*{2,4,8,16,32,64,128,256,512,1024,2048,4096,8192,16384,32768}),{2,4,8,16,32,64,128,256,512,1024,2048,4096,8192,16384,32768})=0))))</f>
        <v/>
      </c>
      <c r="AQ212">
        <f>AP212+IF(AND(AQ122&gt;0,COUNTIF($Y122:AP122,AQ122)=0),0,IF(SUMPRODUCT(MOD(INT(AQ167/{2,4,8,16,32,64,128,256,512,1024,2048,4096,8192,16384,32768}),2)*(1-MOD(INT(($CJ32+AP212)/{2,4,8,16,32,64,128,256,512,1024,2048,4096,8192,16384,32768}),2))*{2,4,8,16,32,64,128,256,512,1024,2048,4096,8192,16384,32768})=0,0,2^SUMPRODUCT(--(MOD(SUMPRODUCT(MOD(INT(AQ167/{2,4,8,16,32,64,128,256,512,1024,2048,4096,8192,16384,32768}),2)*(1-MOD(INT(($CJ32+AP212)/{2,4,8,16,32,64,128,256,512,1024,2048,4096,8192,16384,32768}),2))*{2,4,8,16,32,64,128,256,512,1024,2048,4096,8192,16384,32768}),{2,4,8,16,32,64,128,256,512,1024,2048,4096,8192,16384,32768})=0))))</f>
        <v/>
      </c>
      <c r="AR212">
        <f>AQ212+IF(AND(AR122&gt;0,COUNTIF($Y122:AQ122,AR122)=0),0,IF(SUMPRODUCT(MOD(INT(AR167/{2,4,8,16,32,64,128,256,512,1024,2048,4096,8192,16384,32768}),2)*(1-MOD(INT(($CJ32+AQ212)/{2,4,8,16,32,64,128,256,512,1024,2048,4096,8192,16384,32768}),2))*{2,4,8,16,32,64,128,256,512,1024,2048,4096,8192,16384,32768})=0,0,2^SUMPRODUCT(--(MOD(SUMPRODUCT(MOD(INT(AR167/{2,4,8,16,32,64,128,256,512,1024,2048,4096,8192,16384,32768}),2)*(1-MOD(INT(($CJ32+AQ212)/{2,4,8,16,32,64,128,256,512,1024,2048,4096,8192,16384,32768}),2))*{2,4,8,16,32,64,128,256,512,1024,2048,4096,8192,16384,32768}),{2,4,8,16,32,64,128,256,512,1024,2048,4096,8192,16384,32768})=0))))</f>
        <v/>
      </c>
      <c r="AS212">
        <f>AR212+IF(AND(AS122&gt;0,COUNTIF($Y122:AR122,AS122)=0),0,IF(SUMPRODUCT(MOD(INT(AS167/{2,4,8,16,32,64,128,256,512,1024,2048,4096,8192,16384,32768}),2)*(1-MOD(INT(($CJ32+AR212)/{2,4,8,16,32,64,128,256,512,1024,2048,4096,8192,16384,32768}),2))*{2,4,8,16,32,64,128,256,512,1024,2048,4096,8192,16384,32768})=0,0,2^SUMPRODUCT(--(MOD(SUMPRODUCT(MOD(INT(AS167/{2,4,8,16,32,64,128,256,512,1024,2048,4096,8192,16384,32768}),2)*(1-MOD(INT(($CJ32+AR212)/{2,4,8,16,32,64,128,256,512,1024,2048,4096,8192,16384,32768}),2))*{2,4,8,16,32,64,128,256,512,1024,2048,4096,8192,16384,32768}),{2,4,8,16,32,64,128,256,512,1024,2048,4096,8192,16384,32768})=0))))</f>
        <v/>
      </c>
      <c r="AT212">
        <f>AS212+IF(AND(AT122&gt;0,COUNTIF($Y122:AS122,AT122)=0),0,IF(SUMPRODUCT(MOD(INT(AT167/{2,4,8,16,32,64,128,256,512,1024,2048,4096,8192,16384,32768}),2)*(1-MOD(INT(($CJ32+AS212)/{2,4,8,16,32,64,128,256,512,1024,2048,4096,8192,16384,32768}),2))*{2,4,8,16,32,64,128,256,512,1024,2048,4096,8192,16384,32768})=0,0,2^SUMPRODUCT(--(MOD(SUMPRODUCT(MOD(INT(AT167/{2,4,8,16,32,64,128,256,512,1024,2048,4096,8192,16384,32768}),2)*(1-MOD(INT(($CJ32+AS212)/{2,4,8,16,32,64,128,256,512,1024,2048,4096,8192,16384,32768}),2))*{2,4,8,16,32,64,128,256,512,1024,2048,4096,8192,16384,32768}),{2,4,8,16,32,64,128,256,512,1024,2048,4096,8192,16384,32768})=0))))</f>
        <v/>
      </c>
      <c r="AU212">
        <f>AT212+IF(AND(AU122&gt;0,COUNTIF($Y122:AT122,AU122)=0),0,IF(SUMPRODUCT(MOD(INT(AU167/{2,4,8,16,32,64,128,256,512,1024,2048,4096,8192,16384,32768}),2)*(1-MOD(INT(($CJ32+AT212)/{2,4,8,16,32,64,128,256,512,1024,2048,4096,8192,16384,32768}),2))*{2,4,8,16,32,64,128,256,512,1024,2048,4096,8192,16384,32768})=0,0,2^SUMPRODUCT(--(MOD(SUMPRODUCT(MOD(INT(AU167/{2,4,8,16,32,64,128,256,512,1024,2048,4096,8192,16384,32768}),2)*(1-MOD(INT(($CJ32+AT212)/{2,4,8,16,32,64,128,256,512,1024,2048,4096,8192,16384,32768}),2))*{2,4,8,16,32,64,128,256,512,1024,2048,4096,8192,16384,32768}),{2,4,8,16,32,64,128,256,512,1024,2048,4096,8192,16384,32768})=0))))</f>
        <v/>
      </c>
      <c r="AV212">
        <f>AU212+IF(AND(AV122&gt;0,COUNTIF($Y122:AU122,AV122)=0),0,IF(SUMPRODUCT(MOD(INT(AV167/{2,4,8,16,32,64,128,256,512,1024,2048,4096,8192,16384,32768}),2)*(1-MOD(INT(($CJ32+AU212)/{2,4,8,16,32,64,128,256,512,1024,2048,4096,8192,16384,32768}),2))*{2,4,8,16,32,64,128,256,512,1024,2048,4096,8192,16384,32768})=0,0,2^SUMPRODUCT(--(MOD(SUMPRODUCT(MOD(INT(AV167/{2,4,8,16,32,64,128,256,512,1024,2048,4096,8192,16384,32768}),2)*(1-MOD(INT(($CJ32+AU212)/{2,4,8,16,32,64,128,256,512,1024,2048,4096,8192,16384,32768}),2))*{2,4,8,16,32,64,128,256,512,1024,2048,4096,8192,16384,32768}),{2,4,8,16,32,64,128,256,512,1024,2048,4096,8192,16384,32768})=0))))</f>
        <v/>
      </c>
      <c r="AW212">
        <f>AV212+IF(AND(AW122&gt;0,COUNTIF($Y122:AV122,AW122)=0),0,IF(SUMPRODUCT(MOD(INT(AW167/{2,4,8,16,32,64,128,256,512,1024,2048,4096,8192,16384,32768}),2)*(1-MOD(INT(($CJ32+AV212)/{2,4,8,16,32,64,128,256,512,1024,2048,4096,8192,16384,32768}),2))*{2,4,8,16,32,64,128,256,512,1024,2048,4096,8192,16384,32768})=0,0,2^SUMPRODUCT(--(MOD(SUMPRODUCT(MOD(INT(AW167/{2,4,8,16,32,64,128,256,512,1024,2048,4096,8192,16384,32768}),2)*(1-MOD(INT(($CJ32+AV212)/{2,4,8,16,32,64,128,256,512,1024,2048,4096,8192,16384,32768}),2))*{2,4,8,16,32,64,128,256,512,1024,2048,4096,8192,16384,32768}),{2,4,8,16,32,64,128,256,512,1024,2048,4096,8192,16384,32768})=0))))</f>
        <v/>
      </c>
      <c r="AX212">
        <f>AW212+IF(AND(AX122&gt;0,COUNTIF($Y122:AW122,AX122)=0),0,IF(SUMPRODUCT(MOD(INT(AX167/{2,4,8,16,32,64,128,256,512,1024,2048,4096,8192,16384,32768}),2)*(1-MOD(INT(($CJ32+AW212)/{2,4,8,16,32,64,128,256,512,1024,2048,4096,8192,16384,32768}),2))*{2,4,8,16,32,64,128,256,512,1024,2048,4096,8192,16384,32768})=0,0,2^SUMPRODUCT(--(MOD(SUMPRODUCT(MOD(INT(AX167/{2,4,8,16,32,64,128,256,512,1024,2048,4096,8192,16384,32768}),2)*(1-MOD(INT(($CJ32+AW212)/{2,4,8,16,32,64,128,256,512,1024,2048,4096,8192,16384,32768}),2))*{2,4,8,16,32,64,128,256,512,1024,2048,4096,8192,16384,32768}),{2,4,8,16,32,64,128,256,512,1024,2048,4096,8192,16384,32768})=0))))</f>
        <v/>
      </c>
      <c r="AY212">
        <f>AX212+IF(AND(AY122&gt;0,COUNTIF($Y122:AX122,AY122)=0),0,IF(SUMPRODUCT(MOD(INT(AY167/{2,4,8,16,32,64,128,256,512,1024,2048,4096,8192,16384,32768}),2)*(1-MOD(INT(($CJ32+AX212)/{2,4,8,16,32,64,128,256,512,1024,2048,4096,8192,16384,32768}),2))*{2,4,8,16,32,64,128,256,512,1024,2048,4096,8192,16384,32768})=0,0,2^SUMPRODUCT(--(MOD(SUMPRODUCT(MOD(INT(AY167/{2,4,8,16,32,64,128,256,512,1024,2048,4096,8192,16384,32768}),2)*(1-MOD(INT(($CJ32+AX212)/{2,4,8,16,32,64,128,256,512,1024,2048,4096,8192,16384,32768}),2))*{2,4,8,16,32,64,128,256,512,1024,2048,4096,8192,16384,32768}),{2,4,8,16,32,64,128,256,512,1024,2048,4096,8192,16384,32768})=0))))</f>
        <v/>
      </c>
      <c r="AZ212">
        <f>AY212+IF(AND(AZ122&gt;0,COUNTIF($Y122:AY122,AZ122)=0),0,IF(SUMPRODUCT(MOD(INT(AZ167/{2,4,8,16,32,64,128,256,512,1024,2048,4096,8192,16384,32768}),2)*(1-MOD(INT(($CJ32+AY212)/{2,4,8,16,32,64,128,256,512,1024,2048,4096,8192,16384,32768}),2))*{2,4,8,16,32,64,128,256,512,1024,2048,4096,8192,16384,32768})=0,0,2^SUMPRODUCT(--(MOD(SUMPRODUCT(MOD(INT(AZ167/{2,4,8,16,32,64,128,256,512,1024,2048,4096,8192,16384,32768}),2)*(1-MOD(INT(($CJ32+AY212)/{2,4,8,16,32,64,128,256,512,1024,2048,4096,8192,16384,32768}),2))*{2,4,8,16,32,64,128,256,512,1024,2048,4096,8192,16384,32768}),{2,4,8,16,32,64,128,256,512,1024,2048,4096,8192,16384,32768})=0))))</f>
        <v/>
      </c>
      <c r="BA212">
        <f>AZ212+IF(AND(BA122&gt;0,COUNTIF($Y122:AZ122,BA122)=0),0,IF(SUMPRODUCT(MOD(INT(BA167/{2,4,8,16,32,64,128,256,512,1024,2048,4096,8192,16384,32768}),2)*(1-MOD(INT(($CJ32+AZ212)/{2,4,8,16,32,64,128,256,512,1024,2048,4096,8192,16384,32768}),2))*{2,4,8,16,32,64,128,256,512,1024,2048,4096,8192,16384,32768})=0,0,2^SUMPRODUCT(--(MOD(SUMPRODUCT(MOD(INT(BA167/{2,4,8,16,32,64,128,256,512,1024,2048,4096,8192,16384,32768}),2)*(1-MOD(INT(($CJ32+AZ212)/{2,4,8,16,32,64,128,256,512,1024,2048,4096,8192,16384,32768}),2))*{2,4,8,16,32,64,128,256,512,1024,2048,4096,8192,16384,32768}),{2,4,8,16,32,64,128,256,512,1024,2048,4096,8192,16384,32768})=0))))</f>
        <v/>
      </c>
      <c r="BB212">
        <f>BA212+IF(AND(BB122&gt;0,COUNTIF($Y122:BA122,BB122)=0),0,IF(SUMPRODUCT(MOD(INT(BB167/{2,4,8,16,32,64,128,256,512,1024,2048,4096,8192,16384,32768}),2)*(1-MOD(INT(($CJ32+BA212)/{2,4,8,16,32,64,128,256,512,1024,2048,4096,8192,16384,32768}),2))*{2,4,8,16,32,64,128,256,512,1024,2048,4096,8192,16384,32768})=0,0,2^SUMPRODUCT(--(MOD(SUMPRODUCT(MOD(INT(BB167/{2,4,8,16,32,64,128,256,512,1024,2048,4096,8192,16384,32768}),2)*(1-MOD(INT(($CJ32+BA212)/{2,4,8,16,32,64,128,256,512,1024,2048,4096,8192,16384,32768}),2))*{2,4,8,16,32,64,128,256,512,1024,2048,4096,8192,16384,32768}),{2,4,8,16,32,64,128,256,512,1024,2048,4096,8192,16384,32768})=0))))</f>
        <v/>
      </c>
      <c r="BC212">
        <f>BB212+IF(AND(BC122&gt;0,COUNTIF($Y122:BB122,BC122)=0),0,IF(SUMPRODUCT(MOD(INT(BC167/{2,4,8,16,32,64,128,256,512,1024,2048,4096,8192,16384,32768}),2)*(1-MOD(INT(($CJ32+BB212)/{2,4,8,16,32,64,128,256,512,1024,2048,4096,8192,16384,32768}),2))*{2,4,8,16,32,64,128,256,512,1024,2048,4096,8192,16384,32768})=0,0,2^SUMPRODUCT(--(MOD(SUMPRODUCT(MOD(INT(BC167/{2,4,8,16,32,64,128,256,512,1024,2048,4096,8192,16384,32768}),2)*(1-MOD(INT(($CJ32+BB212)/{2,4,8,16,32,64,128,256,512,1024,2048,4096,8192,16384,32768}),2))*{2,4,8,16,32,64,128,256,512,1024,2048,4096,8192,16384,32768}),{2,4,8,16,32,64,128,256,512,1024,2048,4096,8192,16384,32768})=0))))</f>
        <v/>
      </c>
      <c r="BD212">
        <f>BC212+IF(AND(BD122&gt;0,COUNTIF($Y122:BC122,BD122)=0),0,IF(SUMPRODUCT(MOD(INT(BD167/{2,4,8,16,32,64,128,256,512,1024,2048,4096,8192,16384,32768}),2)*(1-MOD(INT(($CJ32+BC212)/{2,4,8,16,32,64,128,256,512,1024,2048,4096,8192,16384,32768}),2))*{2,4,8,16,32,64,128,256,512,1024,2048,4096,8192,16384,32768})=0,0,2^SUMPRODUCT(--(MOD(SUMPRODUCT(MOD(INT(BD167/{2,4,8,16,32,64,128,256,512,1024,2048,4096,8192,16384,32768}),2)*(1-MOD(INT(($CJ32+BC212)/{2,4,8,16,32,64,128,256,512,1024,2048,4096,8192,16384,32768}),2))*{2,4,8,16,32,64,128,256,512,1024,2048,4096,8192,16384,32768}),{2,4,8,16,32,64,128,256,512,1024,2048,4096,8192,16384,32768})=0))))</f>
        <v/>
      </c>
      <c r="BE212">
        <f>BD212+IF(AND(BE122&gt;0,COUNTIF($Y122:BD122,BE122)=0),0,IF(SUMPRODUCT(MOD(INT(BE167/{2,4,8,16,32,64,128,256,512,1024,2048,4096,8192,16384,32768}),2)*(1-MOD(INT(($CJ32+BD212)/{2,4,8,16,32,64,128,256,512,1024,2048,4096,8192,16384,32768}),2))*{2,4,8,16,32,64,128,256,512,1024,2048,4096,8192,16384,32768})=0,0,2^SUMPRODUCT(--(MOD(SUMPRODUCT(MOD(INT(BE167/{2,4,8,16,32,64,128,256,512,1024,2048,4096,8192,16384,32768}),2)*(1-MOD(INT(($CJ32+BD212)/{2,4,8,16,32,64,128,256,512,1024,2048,4096,8192,16384,32768}),2))*{2,4,8,16,32,64,128,256,512,1024,2048,4096,8192,16384,32768}),{2,4,8,16,32,64,128,256,512,1024,2048,4096,8192,16384,32768})=0))))</f>
        <v/>
      </c>
      <c r="BF212">
        <f>BE212+IF(AND(BF122&gt;0,COUNTIF($Y122:BE122,BF122)=0),0,IF(SUMPRODUCT(MOD(INT(BF167/{2,4,8,16,32,64,128,256,512,1024,2048,4096,8192,16384,32768}),2)*(1-MOD(INT(($CJ32+BE212)/{2,4,8,16,32,64,128,256,512,1024,2048,4096,8192,16384,32768}),2))*{2,4,8,16,32,64,128,256,512,1024,2048,4096,8192,16384,32768})=0,0,2^SUMPRODUCT(--(MOD(SUMPRODUCT(MOD(INT(BF167/{2,4,8,16,32,64,128,256,512,1024,2048,4096,8192,16384,32768}),2)*(1-MOD(INT(($CJ32+BE212)/{2,4,8,16,32,64,128,256,512,1024,2048,4096,8192,16384,32768}),2))*{2,4,8,16,32,64,128,256,512,1024,2048,4096,8192,16384,32768}),{2,4,8,16,32,64,128,256,512,1024,2048,4096,8192,16384,32768})=0))))</f>
        <v/>
      </c>
      <c r="BG212">
        <f>BF212+IF(AND(BG122&gt;0,COUNTIF($Y122:BF122,BG122)=0),0,IF(SUMPRODUCT(MOD(INT(BG167/{2,4,8,16,32,64,128,256,512,1024,2048,4096,8192,16384,32768}),2)*(1-MOD(INT(($CJ32+BF212)/{2,4,8,16,32,64,128,256,512,1024,2048,4096,8192,16384,32768}),2))*{2,4,8,16,32,64,128,256,512,1024,2048,4096,8192,16384,32768})=0,0,2^SUMPRODUCT(--(MOD(SUMPRODUCT(MOD(INT(BG167/{2,4,8,16,32,64,128,256,512,1024,2048,4096,8192,16384,32768}),2)*(1-MOD(INT(($CJ32+BF212)/{2,4,8,16,32,64,128,256,512,1024,2048,4096,8192,16384,32768}),2))*{2,4,8,16,32,64,128,256,512,1024,2048,4096,8192,16384,32768}),{2,4,8,16,32,64,128,256,512,1024,2048,4096,8192,16384,32768})=0))))</f>
        <v/>
      </c>
      <c r="BH212">
        <f>BG212+IF(AND(BH122&gt;0,COUNTIF($Y122:BG122,BH122)=0),0,IF(SUMPRODUCT(MOD(INT(BH167/{2,4,8,16,32,64,128,256,512,1024,2048,4096,8192,16384,32768}),2)*(1-MOD(INT(($CJ32+BG212)/{2,4,8,16,32,64,128,256,512,1024,2048,4096,8192,16384,32768}),2))*{2,4,8,16,32,64,128,256,512,1024,2048,4096,8192,16384,32768})=0,0,2^SUMPRODUCT(--(MOD(SUMPRODUCT(MOD(INT(BH167/{2,4,8,16,32,64,128,256,512,1024,2048,4096,8192,16384,32768}),2)*(1-MOD(INT(($CJ32+BG212)/{2,4,8,16,32,64,128,256,512,1024,2048,4096,8192,16384,32768}),2))*{2,4,8,16,32,64,128,256,512,1024,2048,4096,8192,16384,32768}),{2,4,8,16,32,64,128,256,512,1024,2048,4096,8192,16384,32768})=0))))</f>
        <v/>
      </c>
      <c r="BI212">
        <f>BH212+IF(AND(BI122&gt;0,COUNTIF($Y122:BH122,BI122)=0),0,IF(SUMPRODUCT(MOD(INT(BI167/{2,4,8,16,32,64,128,256,512,1024,2048,4096,8192,16384,32768}),2)*(1-MOD(INT(($CJ32+BH212)/{2,4,8,16,32,64,128,256,512,1024,2048,4096,8192,16384,32768}),2))*{2,4,8,16,32,64,128,256,512,1024,2048,4096,8192,16384,32768})=0,0,2^SUMPRODUCT(--(MOD(SUMPRODUCT(MOD(INT(BI167/{2,4,8,16,32,64,128,256,512,1024,2048,4096,8192,16384,32768}),2)*(1-MOD(INT(($CJ32+BH212)/{2,4,8,16,32,64,128,256,512,1024,2048,4096,8192,16384,32768}),2))*{2,4,8,16,32,64,128,256,512,1024,2048,4096,8192,16384,32768}),{2,4,8,16,32,64,128,256,512,1024,2048,4096,8192,16384,32768})=0))))</f>
        <v/>
      </c>
      <c r="BJ212">
        <f>BI212+IF(AND(BJ122&gt;0,COUNTIF($Y122:BI122,BJ122)=0),0,IF(SUMPRODUCT(MOD(INT(BJ167/{2,4,8,16,32,64,128,256,512,1024,2048,4096,8192,16384,32768}),2)*(1-MOD(INT(($CJ32+BI212)/{2,4,8,16,32,64,128,256,512,1024,2048,4096,8192,16384,32768}),2))*{2,4,8,16,32,64,128,256,512,1024,2048,4096,8192,16384,32768})=0,0,2^SUMPRODUCT(--(MOD(SUMPRODUCT(MOD(INT(BJ167/{2,4,8,16,32,64,128,256,512,1024,2048,4096,8192,16384,32768}),2)*(1-MOD(INT(($CJ32+BI212)/{2,4,8,16,32,64,128,256,512,1024,2048,4096,8192,16384,32768}),2))*{2,4,8,16,32,64,128,256,512,1024,2048,4096,8192,16384,32768}),{2,4,8,16,32,64,128,256,512,1024,2048,4096,8192,16384,32768})=0))))</f>
        <v/>
      </c>
      <c r="BK212">
        <f>BJ212+IF(AND(BK122&gt;0,COUNTIF($Y122:BJ122,BK122)=0),0,IF(SUMPRODUCT(MOD(INT(BK167/{2,4,8,16,32,64,128,256,512,1024,2048,4096,8192,16384,32768}),2)*(1-MOD(INT(($CJ32+BJ212)/{2,4,8,16,32,64,128,256,512,1024,2048,4096,8192,16384,32768}),2))*{2,4,8,16,32,64,128,256,512,1024,2048,4096,8192,16384,32768})=0,0,2^SUMPRODUCT(--(MOD(SUMPRODUCT(MOD(INT(BK167/{2,4,8,16,32,64,128,256,512,1024,2048,4096,8192,16384,32768}),2)*(1-MOD(INT(($CJ32+BJ212)/{2,4,8,16,32,64,128,256,512,1024,2048,4096,8192,16384,32768}),2))*{2,4,8,16,32,64,128,256,512,1024,2048,4096,8192,16384,32768}),{2,4,8,16,32,64,128,256,512,1024,2048,4096,8192,16384,32768})=0))))</f>
        <v/>
      </c>
      <c r="BL212">
        <f>BK212+IF(AND(BL122&gt;0,COUNTIF($Y122:BK122,BL122)=0),0,IF(SUMPRODUCT(MOD(INT(BL167/{2,4,8,16,32,64,128,256,512,1024,2048,4096,8192,16384,32768}),2)*(1-MOD(INT(($CJ32+BK212)/{2,4,8,16,32,64,128,256,512,1024,2048,4096,8192,16384,32768}),2))*{2,4,8,16,32,64,128,256,512,1024,2048,4096,8192,16384,32768})=0,0,2^SUMPRODUCT(--(MOD(SUMPRODUCT(MOD(INT(BL167/{2,4,8,16,32,64,128,256,512,1024,2048,4096,8192,16384,32768}),2)*(1-MOD(INT(($CJ32+BK212)/{2,4,8,16,32,64,128,256,512,1024,2048,4096,8192,16384,32768}),2))*{2,4,8,16,32,64,128,256,512,1024,2048,4096,8192,16384,32768}),{2,4,8,16,32,64,128,256,512,1024,2048,4096,8192,16384,32768})=0))))</f>
        <v/>
      </c>
      <c r="BM212">
        <f>BL212+IF(AND(BM122&gt;0,COUNTIF($Y122:BL122,BM122)=0),0,IF(SUMPRODUCT(MOD(INT(BM167/{2,4,8,16,32,64,128,256,512,1024,2048,4096,8192,16384,32768}),2)*(1-MOD(INT(($CJ32+BL212)/{2,4,8,16,32,64,128,256,512,1024,2048,4096,8192,16384,32768}),2))*{2,4,8,16,32,64,128,256,512,1024,2048,4096,8192,16384,32768})=0,0,2^SUMPRODUCT(--(MOD(SUMPRODUCT(MOD(INT(BM167/{2,4,8,16,32,64,128,256,512,1024,2048,4096,8192,16384,32768}),2)*(1-MOD(INT(($CJ32+BL212)/{2,4,8,16,32,64,128,256,512,1024,2048,4096,8192,16384,32768}),2))*{2,4,8,16,32,64,128,256,512,1024,2048,4096,8192,16384,32768}),{2,4,8,16,32,64,128,256,512,1024,2048,4096,8192,16384,32768})=0))))</f>
        <v/>
      </c>
      <c r="BN212">
        <f>BM212+IF(AND(BN122&gt;0,COUNTIF($Y122:BM122,BN122)=0),0,IF(SUMPRODUCT(MOD(INT(BN167/{2,4,8,16,32,64,128,256,512,1024,2048,4096,8192,16384,32768}),2)*(1-MOD(INT(($CJ32+BM212)/{2,4,8,16,32,64,128,256,512,1024,2048,4096,8192,16384,32768}),2))*{2,4,8,16,32,64,128,256,512,1024,2048,4096,8192,16384,32768})=0,0,2^SUMPRODUCT(--(MOD(SUMPRODUCT(MOD(INT(BN167/{2,4,8,16,32,64,128,256,512,1024,2048,4096,8192,16384,32768}),2)*(1-MOD(INT(($CJ32+BM212)/{2,4,8,16,32,64,128,256,512,1024,2048,4096,8192,16384,32768}),2))*{2,4,8,16,32,64,128,256,512,1024,2048,4096,8192,16384,32768}),{2,4,8,16,32,64,128,256,512,1024,2048,4096,8192,16384,32768})=0))))</f>
        <v/>
      </c>
      <c r="BO212">
        <f>BN212+IF(AND(BO122&gt;0,COUNTIF($Y122:BN122,BO122)=0),0,IF(SUMPRODUCT(MOD(INT(BO167/{2,4,8,16,32,64,128,256,512,1024,2048,4096,8192,16384,32768}),2)*(1-MOD(INT(($CJ32+BN212)/{2,4,8,16,32,64,128,256,512,1024,2048,4096,8192,16384,32768}),2))*{2,4,8,16,32,64,128,256,512,1024,2048,4096,8192,16384,32768})=0,0,2^SUMPRODUCT(--(MOD(SUMPRODUCT(MOD(INT(BO167/{2,4,8,16,32,64,128,256,512,1024,2048,4096,8192,16384,32768}),2)*(1-MOD(INT(($CJ32+BN212)/{2,4,8,16,32,64,128,256,512,1024,2048,4096,8192,16384,32768}),2))*{2,4,8,16,32,64,128,256,512,1024,2048,4096,8192,16384,32768}),{2,4,8,16,32,64,128,256,512,1024,2048,4096,8192,16384,32768})=0))))</f>
        <v/>
      </c>
      <c r="BP212">
        <f>BO212+IF(AND(BP122&gt;0,COUNTIF($Y122:BO122,BP122)=0),0,IF(SUMPRODUCT(MOD(INT(BP167/{2,4,8,16,32,64,128,256,512,1024,2048,4096,8192,16384,32768}),2)*(1-MOD(INT(($CJ32+BO212)/{2,4,8,16,32,64,128,256,512,1024,2048,4096,8192,16384,32768}),2))*{2,4,8,16,32,64,128,256,512,1024,2048,4096,8192,16384,32768})=0,0,2^SUMPRODUCT(--(MOD(SUMPRODUCT(MOD(INT(BP167/{2,4,8,16,32,64,128,256,512,1024,2048,4096,8192,16384,32768}),2)*(1-MOD(INT(($CJ32+BO212)/{2,4,8,16,32,64,128,256,512,1024,2048,4096,8192,16384,32768}),2))*{2,4,8,16,32,64,128,256,512,1024,2048,4096,8192,16384,32768}),{2,4,8,16,32,64,128,256,512,1024,2048,4096,8192,16384,32768})=0))))</f>
        <v/>
      </c>
      <c r="BQ212">
        <f>BP212+IF(AND(BQ122&gt;0,COUNTIF($Y122:BP122,BQ122)=0),0,IF(SUMPRODUCT(MOD(INT(BQ167/{2,4,8,16,32,64,128,256,512,1024,2048,4096,8192,16384,32768}),2)*(1-MOD(INT(($CJ32+BP212)/{2,4,8,16,32,64,128,256,512,1024,2048,4096,8192,16384,32768}),2))*{2,4,8,16,32,64,128,256,512,1024,2048,4096,8192,16384,32768})=0,0,2^SUMPRODUCT(--(MOD(SUMPRODUCT(MOD(INT(BQ167/{2,4,8,16,32,64,128,256,512,1024,2048,4096,8192,16384,32768}),2)*(1-MOD(INT(($CJ32+BP212)/{2,4,8,16,32,64,128,256,512,1024,2048,4096,8192,16384,32768}),2))*{2,4,8,16,32,64,128,256,512,1024,2048,4096,8192,16384,32768}),{2,4,8,16,32,64,128,256,512,1024,2048,4096,8192,16384,32768})=0))))</f>
        <v/>
      </c>
      <c r="BR212">
        <f>BQ212+IF(AND(BR122&gt;0,COUNTIF($Y122:BQ122,BR122)=0),0,IF(SUMPRODUCT(MOD(INT(BR167/{2,4,8,16,32,64,128,256,512,1024,2048,4096,8192,16384,32768}),2)*(1-MOD(INT(($CJ32+BQ212)/{2,4,8,16,32,64,128,256,512,1024,2048,4096,8192,16384,32768}),2))*{2,4,8,16,32,64,128,256,512,1024,2048,4096,8192,16384,32768})=0,0,2^SUMPRODUCT(--(MOD(SUMPRODUCT(MOD(INT(BR167/{2,4,8,16,32,64,128,256,512,1024,2048,4096,8192,16384,32768}),2)*(1-MOD(INT(($CJ32+BQ212)/{2,4,8,16,32,64,128,256,512,1024,2048,4096,8192,16384,32768}),2))*{2,4,8,16,32,64,128,256,512,1024,2048,4096,8192,16384,32768}),{2,4,8,16,32,64,128,256,512,1024,2048,4096,8192,16384,32768})=0))))</f>
        <v/>
      </c>
      <c r="BS212">
        <f>BR212+IF(AND(BS122&gt;0,COUNTIF($Y122:BR122,BS122)=0),0,IF(SUMPRODUCT(MOD(INT(BS167/{2,4,8,16,32,64,128,256,512,1024,2048,4096,8192,16384,32768}),2)*(1-MOD(INT(($CJ32+BR212)/{2,4,8,16,32,64,128,256,512,1024,2048,4096,8192,16384,32768}),2))*{2,4,8,16,32,64,128,256,512,1024,2048,4096,8192,16384,32768})=0,0,2^SUMPRODUCT(--(MOD(SUMPRODUCT(MOD(INT(BS167/{2,4,8,16,32,64,128,256,512,1024,2048,4096,8192,16384,32768}),2)*(1-MOD(INT(($CJ32+BR212)/{2,4,8,16,32,64,128,256,512,1024,2048,4096,8192,16384,32768}),2))*{2,4,8,16,32,64,128,256,512,1024,2048,4096,8192,16384,32768}),{2,4,8,16,32,64,128,256,512,1024,2048,4096,8192,16384,32768})=0))))</f>
        <v/>
      </c>
      <c r="BT212">
        <f>BS212+IF(AND(BT122&gt;0,COUNTIF($Y122:BS122,BT122)=0),0,IF(SUMPRODUCT(MOD(INT(BT167/{2,4,8,16,32,64,128,256,512,1024,2048,4096,8192,16384,32768}),2)*(1-MOD(INT(($CJ32+BS212)/{2,4,8,16,32,64,128,256,512,1024,2048,4096,8192,16384,32768}),2))*{2,4,8,16,32,64,128,256,512,1024,2048,4096,8192,16384,32768})=0,0,2^SUMPRODUCT(--(MOD(SUMPRODUCT(MOD(INT(BT167/{2,4,8,16,32,64,128,256,512,1024,2048,4096,8192,16384,32768}),2)*(1-MOD(INT(($CJ32+BS212)/{2,4,8,16,32,64,128,256,512,1024,2048,4096,8192,16384,32768}),2))*{2,4,8,16,32,64,128,256,512,1024,2048,4096,8192,16384,32768}),{2,4,8,16,32,64,128,256,512,1024,2048,4096,8192,16384,32768})=0))))</f>
        <v/>
      </c>
      <c r="BU212">
        <f>BT212+IF(AND(BU122&gt;0,COUNTIF($Y122:BT122,BU122)=0),0,IF(SUMPRODUCT(MOD(INT(BU167/{2,4,8,16,32,64,128,256,512,1024,2048,4096,8192,16384,32768}),2)*(1-MOD(INT(($CJ32+BT212)/{2,4,8,16,32,64,128,256,512,1024,2048,4096,8192,16384,32768}),2))*{2,4,8,16,32,64,128,256,512,1024,2048,4096,8192,16384,32768})=0,0,2^SUMPRODUCT(--(MOD(SUMPRODUCT(MOD(INT(BU167/{2,4,8,16,32,64,128,256,512,1024,2048,4096,8192,16384,32768}),2)*(1-MOD(INT(($CJ32+BT212)/{2,4,8,16,32,64,128,256,512,1024,2048,4096,8192,16384,32768}),2))*{2,4,8,16,32,64,128,256,512,1024,2048,4096,8192,16384,32768}),{2,4,8,16,32,64,128,256,512,1024,2048,4096,8192,16384,32768})=0))))</f>
        <v/>
      </c>
      <c r="BV212">
        <f>BU212+IF(AND(BV122&gt;0,COUNTIF($Y122:BU122,BV122)=0),0,IF(SUMPRODUCT(MOD(INT(BV167/{2,4,8,16,32,64,128,256,512,1024,2048,4096,8192,16384,32768}),2)*(1-MOD(INT(($CJ32+BU212)/{2,4,8,16,32,64,128,256,512,1024,2048,4096,8192,16384,32768}),2))*{2,4,8,16,32,64,128,256,512,1024,2048,4096,8192,16384,32768})=0,0,2^SUMPRODUCT(--(MOD(SUMPRODUCT(MOD(INT(BV167/{2,4,8,16,32,64,128,256,512,1024,2048,4096,8192,16384,32768}),2)*(1-MOD(INT(($CJ32+BU212)/{2,4,8,16,32,64,128,256,512,1024,2048,4096,8192,16384,32768}),2))*{2,4,8,16,32,64,128,256,512,1024,2048,4096,8192,16384,32768}),{2,4,8,16,32,64,128,256,512,1024,2048,4096,8192,16384,32768})=0))))</f>
        <v/>
      </c>
      <c r="BW212">
        <f>BV212+IF(AND(BW122&gt;0,COUNTIF($Y122:BV122,BW122)=0),0,IF(SUMPRODUCT(MOD(INT(BW167/{2,4,8,16,32,64,128,256,512,1024,2048,4096,8192,16384,32768}),2)*(1-MOD(INT(($CJ32+BV212)/{2,4,8,16,32,64,128,256,512,1024,2048,4096,8192,16384,32768}),2))*{2,4,8,16,32,64,128,256,512,1024,2048,4096,8192,16384,32768})=0,0,2^SUMPRODUCT(--(MOD(SUMPRODUCT(MOD(INT(BW167/{2,4,8,16,32,64,128,256,512,1024,2048,4096,8192,16384,32768}),2)*(1-MOD(INT(($CJ32+BV212)/{2,4,8,16,32,64,128,256,512,1024,2048,4096,8192,16384,32768}),2))*{2,4,8,16,32,64,128,256,512,1024,2048,4096,8192,16384,32768}),{2,4,8,16,32,64,128,256,512,1024,2048,4096,8192,16384,32768})=0))))</f>
        <v/>
      </c>
      <c r="BX212">
        <f>BW212+IF(AND(BX122&gt;0,COUNTIF($Y122:BW122,BX122)=0),0,IF(SUMPRODUCT(MOD(INT(BX167/{2,4,8,16,32,64,128,256,512,1024,2048,4096,8192,16384,32768}),2)*(1-MOD(INT(($CJ32+BW212)/{2,4,8,16,32,64,128,256,512,1024,2048,4096,8192,16384,32768}),2))*{2,4,8,16,32,64,128,256,512,1024,2048,4096,8192,16384,32768})=0,0,2^SUMPRODUCT(--(MOD(SUMPRODUCT(MOD(INT(BX167/{2,4,8,16,32,64,128,256,512,1024,2048,4096,8192,16384,32768}),2)*(1-MOD(INT(($CJ32+BW212)/{2,4,8,16,32,64,128,256,512,1024,2048,4096,8192,16384,32768}),2))*{2,4,8,16,32,64,128,256,512,1024,2048,4096,8192,16384,32768}),{2,4,8,16,32,64,128,256,512,1024,2048,4096,8192,16384,32768})=0))))</f>
        <v/>
      </c>
      <c r="BY212">
        <f>BX212+IF(AND(BY122&gt;0,COUNTIF($Y122:BX122,BY122)=0),0,IF(SUMPRODUCT(MOD(INT(BY167/{2,4,8,16,32,64,128,256,512,1024,2048,4096,8192,16384,32768}),2)*(1-MOD(INT(($CJ32+BX212)/{2,4,8,16,32,64,128,256,512,1024,2048,4096,8192,16384,32768}),2))*{2,4,8,16,32,64,128,256,512,1024,2048,4096,8192,16384,32768})=0,0,2^SUMPRODUCT(--(MOD(SUMPRODUCT(MOD(INT(BY167/{2,4,8,16,32,64,128,256,512,1024,2048,4096,8192,16384,32768}),2)*(1-MOD(INT(($CJ32+BX212)/{2,4,8,16,32,64,128,256,512,1024,2048,4096,8192,16384,32768}),2))*{2,4,8,16,32,64,128,256,512,1024,2048,4096,8192,16384,32768}),{2,4,8,16,32,64,128,256,512,1024,2048,4096,8192,16384,32768})=0))))</f>
        <v/>
      </c>
      <c r="BZ212">
        <f>BY212+IF(AND(BZ122&gt;0,COUNTIF($Y122:BY122,BZ122)=0),0,IF(SUMPRODUCT(MOD(INT(BZ167/{2,4,8,16,32,64,128,256,512,1024,2048,4096,8192,16384,32768}),2)*(1-MOD(INT(($CJ32+BY212)/{2,4,8,16,32,64,128,256,512,1024,2048,4096,8192,16384,32768}),2))*{2,4,8,16,32,64,128,256,512,1024,2048,4096,8192,16384,32768})=0,0,2^SUMPRODUCT(--(MOD(SUMPRODUCT(MOD(INT(BZ167/{2,4,8,16,32,64,128,256,512,1024,2048,4096,8192,16384,32768}),2)*(1-MOD(INT(($CJ32+BY212)/{2,4,8,16,32,64,128,256,512,1024,2048,4096,8192,16384,32768}),2))*{2,4,8,16,32,64,128,256,512,1024,2048,4096,8192,16384,32768}),{2,4,8,16,32,64,128,256,512,1024,2048,4096,8192,16384,32768})=0))))</f>
        <v/>
      </c>
      <c r="CA212">
        <f>BZ212+IF(AND(CA122&gt;0,COUNTIF($Y122:BZ122,CA122)=0),0,IF(SUMPRODUCT(MOD(INT(CA167/{2,4,8,16,32,64,128,256,512,1024,2048,4096,8192,16384,32768}),2)*(1-MOD(INT(($CJ32+BZ212)/{2,4,8,16,32,64,128,256,512,1024,2048,4096,8192,16384,32768}),2))*{2,4,8,16,32,64,128,256,512,1024,2048,4096,8192,16384,32768})=0,0,2^SUMPRODUCT(--(MOD(SUMPRODUCT(MOD(INT(CA167/{2,4,8,16,32,64,128,256,512,1024,2048,4096,8192,16384,32768}),2)*(1-MOD(INT(($CJ32+BZ212)/{2,4,8,16,32,64,128,256,512,1024,2048,4096,8192,16384,32768}),2))*{2,4,8,16,32,64,128,256,512,1024,2048,4096,8192,16384,32768}),{2,4,8,16,32,64,128,256,512,1024,2048,4096,8192,16384,32768})=0))))</f>
        <v/>
      </c>
      <c r="CB212">
        <f>CA212+IF(AND(CB122&gt;0,COUNTIF($Y122:CA122,CB122)=0),0,IF(SUMPRODUCT(MOD(INT(CB167/{2,4,8,16,32,64,128,256,512,1024,2048,4096,8192,16384,32768}),2)*(1-MOD(INT(($CJ32+CA212)/{2,4,8,16,32,64,128,256,512,1024,2048,4096,8192,16384,32768}),2))*{2,4,8,16,32,64,128,256,512,1024,2048,4096,8192,16384,32768})=0,0,2^SUMPRODUCT(--(MOD(SUMPRODUCT(MOD(INT(CB167/{2,4,8,16,32,64,128,256,512,1024,2048,4096,8192,16384,32768}),2)*(1-MOD(INT(($CJ32+CA212)/{2,4,8,16,32,64,128,256,512,1024,2048,4096,8192,16384,32768}),2))*{2,4,8,16,32,64,128,256,512,1024,2048,4096,8192,16384,32768}),{2,4,8,16,32,64,128,256,512,1024,2048,4096,8192,16384,32768})=0))))</f>
        <v/>
      </c>
      <c r="CC212">
        <f>CB212+IF(AND(CC122&gt;0,COUNTIF($Y122:CB122,CC122)=0),0,IF(SUMPRODUCT(MOD(INT(CC167/{2,4,8,16,32,64,128,256,512,1024,2048,4096,8192,16384,32768}),2)*(1-MOD(INT(($CJ32+CB212)/{2,4,8,16,32,64,128,256,512,1024,2048,4096,8192,16384,32768}),2))*{2,4,8,16,32,64,128,256,512,1024,2048,4096,8192,16384,32768})=0,0,2^SUMPRODUCT(--(MOD(SUMPRODUCT(MOD(INT(CC167/{2,4,8,16,32,64,128,256,512,1024,2048,4096,8192,16384,32768}),2)*(1-MOD(INT(($CJ32+CB212)/{2,4,8,16,32,64,128,256,512,1024,2048,4096,8192,16384,32768}),2))*{2,4,8,16,32,64,128,256,512,1024,2048,4096,8192,16384,32768}),{2,4,8,16,32,64,128,256,512,1024,2048,4096,8192,16384,32768})=0))))</f>
        <v/>
      </c>
      <c r="CD212">
        <f>CC212+IF(AND(CD122&gt;0,COUNTIF($Y122:CC122,CD122)=0),0,IF(SUMPRODUCT(MOD(INT(CD167/{2,4,8,16,32,64,128,256,512,1024,2048,4096,8192,16384,32768}),2)*(1-MOD(INT(($CJ32+CC212)/{2,4,8,16,32,64,128,256,512,1024,2048,4096,8192,16384,32768}),2))*{2,4,8,16,32,64,128,256,512,1024,2048,4096,8192,16384,32768})=0,0,2^SUMPRODUCT(--(MOD(SUMPRODUCT(MOD(INT(CD167/{2,4,8,16,32,64,128,256,512,1024,2048,4096,8192,16384,32768}),2)*(1-MOD(INT(($CJ32+CC212)/{2,4,8,16,32,64,128,256,512,1024,2048,4096,8192,16384,32768}),2))*{2,4,8,16,32,64,128,256,512,1024,2048,4096,8192,16384,32768}),{2,4,8,16,32,64,128,256,512,1024,2048,4096,8192,16384,32768})=0))))</f>
        <v/>
      </c>
      <c r="CE212">
        <f>CD212+IF(AND(CE122&gt;0,COUNTIF($Y122:CD122,CE122)=0),0,IF(SUMPRODUCT(MOD(INT(CE167/{2,4,8,16,32,64,128,256,512,1024,2048,4096,8192,16384,32768}),2)*(1-MOD(INT(($CJ32+CD212)/{2,4,8,16,32,64,128,256,512,1024,2048,4096,8192,16384,32768}),2))*{2,4,8,16,32,64,128,256,512,1024,2048,4096,8192,16384,32768})=0,0,2^SUMPRODUCT(--(MOD(SUMPRODUCT(MOD(INT(CE167/{2,4,8,16,32,64,128,256,512,1024,2048,4096,8192,16384,32768}),2)*(1-MOD(INT(($CJ32+CD212)/{2,4,8,16,32,64,128,256,512,1024,2048,4096,8192,16384,32768}),2))*{2,4,8,16,32,64,128,256,512,1024,2048,4096,8192,16384,32768}),{2,4,8,16,32,64,128,256,512,1024,2048,4096,8192,16384,32768})=0))))</f>
        <v/>
      </c>
      <c r="CF212">
        <f>CE212+IF(AND(CF122&gt;0,COUNTIF($Y122:CE122,CF122)=0),0,IF(SUMPRODUCT(MOD(INT(CF167/{2,4,8,16,32,64,128,256,512,1024,2048,4096,8192,16384,32768}),2)*(1-MOD(INT(($CJ32+CE212)/{2,4,8,16,32,64,128,256,512,1024,2048,4096,8192,16384,32768}),2))*{2,4,8,16,32,64,128,256,512,1024,2048,4096,8192,16384,32768})=0,0,2^SUMPRODUCT(--(MOD(SUMPRODUCT(MOD(INT(CF167/{2,4,8,16,32,64,128,256,512,1024,2048,4096,8192,16384,32768}),2)*(1-MOD(INT(($CJ32+CE212)/{2,4,8,16,32,64,128,256,512,1024,2048,4096,8192,16384,32768}),2))*{2,4,8,16,32,64,128,256,512,1024,2048,4096,8192,16384,32768}),{2,4,8,16,32,64,128,256,512,1024,2048,4096,8192,16384,32768})=0))))</f>
        <v/>
      </c>
      <c r="DA212" t="n">
        <v>208</v>
      </c>
      <c r="DB212">
        <f>IF($B$37=0,"",IFERROR(TRIM(SUBSTITUTE(SUBSTITUTE(SUBSTITUTE(SUBSTITUTE(INDEX(PASTE_ALL,208,$B$37)," "," "),CHAR(9)," "),CHAR(10)," "),CHAR(13)," ")),""))</f>
        <v/>
      </c>
      <c r="DC212">
        <f>IF(AND(208&gt;HEADER_ROW,UPPER(DB212)="LEGEND"),1,0)</f>
        <v/>
      </c>
      <c r="DE212" t="n">
        <v>208</v>
      </c>
      <c r="DF212">
        <f>HEADER_ROW+$DE212</f>
        <v/>
      </c>
      <c r="DG212">
        <f>IF(AND($DF212&lt;=1000,$DF212&lt;$B$8),1,0)</f>
        <v/>
      </c>
      <c r="DH212">
        <f>IF($DG212=1,IFERROR(INDEX($DB$5:$DB$1004,$DF212),""),"")</f>
        <v/>
      </c>
      <c r="DI212">
        <f>IF(AND($DG212=1,$DH212&lt;&gt;""),IFERROR(SUBSTITUTE(SUBSTITUTE(TRIM(SUBSTITUTE(SUBSTITUTE(SUBSTITUTE(SUBSTITUTE(IFERROR(INDEX(PASTE_ALL,$DF212,1)&amp;"","")&amp;"␟"&amp;IFERROR(INDEX(PASTE_ALL,$DF212,2)&amp;"","")&amp;"␟"&amp;IFERROR(INDEX(PASTE_ALL,$DF212,3)&amp;"","")&amp;"␟"&amp;IFERROR(INDEX(PASTE_ALL,$DF212,4)&amp;"","")&amp;"␟"&amp;IFERROR(INDEX(PASTE_ALL,$DF212,5)&amp;"","")&amp;"␟"&amp;IFERROR(INDEX(PASTE_ALL,$DF212,6)&amp;"","")&amp;"␟"&amp;IFERROR(INDEX(PASTE_ALL,$DF212,7)&amp;"","")&amp;"␟"&amp;IFERROR(INDEX(PASTE_ALL,$DF212,8)&amp;"","")&amp;"␟"&amp;IFERROR(INDEX(PASTE_ALL,$DF212,9)&amp;"","")&amp;"␟"&amp;IFERROR(INDEX(PASTE_ALL,$DF212,10)&amp;"","")&amp;"␟"&amp;IFERROR(INDEX(PASTE_ALL,$DF212,11)&amp;"","")&amp;"␟"&amp;IFERROR(INDEX(PASTE_ALL,$DF212,12)&amp;"","")&amp;"␟"&amp;IFERROR(INDEX(PASTE_ALL,$DF212,13)&amp;"","")&amp;"␟"&amp;IFERROR(INDEX(PASTE_ALL,$DF212,14)&amp;"","")&amp;"␟"&amp;IFERROR(INDEX(PASTE_ALL,$DF212,15)&amp;"","")&amp;"␟"&amp;IFERROR(INDEX(PASTE_ALL,$DF212,16)&amp;"","")&amp;"␟"&amp;IFERROR(INDEX(PASTE_ALL,$DF212,17)&amp;"","")&amp;"␟"&amp;IFERROR(INDEX(PASTE_ALL,$DF212,18)&amp;"","")&amp;"␟"&amp;IFERROR(INDEX(PASTE_ALL,$DF212,19)&amp;"","")&amp;"␟"&amp;IFERROR(INDEX(PASTE_ALL,$DF212,20)&amp;"","")&amp;"␟"&amp;IFERROR(INDEX(PASTE_ALL,$DF212,21)&amp;"","")&amp;"␟"&amp;IFERROR(INDEX(PASTE_ALL,$DF212,22)&amp;"","")&amp;"␟"&amp;IFERROR(INDEX(PASTE_ALL,$DF212,23)&amp;"","")&amp;"␟"&amp;IFERROR(INDEX(PASTE_ALL,$DF212,24)&amp;"","")&amp;"␟"&amp;IFERROR(INDEX(PASTE_ALL,$DF212,25)&amp;"","")&amp;"␟"&amp;IFERROR(INDEX(PASTE_ALL,$DF212,26)&amp;"","")&amp;"␟"&amp;IFERROR(INDEX(PASTE_ALL,$DF212,27)&amp;"","")&amp;"␟"&amp;IFERROR(INDEX(PASTE_ALL,$DF212,28)&amp;"","")&amp;"␟"&amp;IFERROR(INDEX(PASTE_ALL,$DF212,29)&amp;"","")&amp;"␟"&amp;IFERROR(INDEX(PASTE_ALL,$DF212,30)&amp;"","")&amp;"␟"&amp;IFERROR(INDEX(PASTE_ALL,$DF212,31)&amp;"","")&amp;"␟"&amp;IFERROR(INDEX(PASTE_ALL,$DF212,32)&amp;"","")&amp;"␟"&amp;IFERROR(INDEX(PASTE_ALL,$DF212,33)&amp;"","")&amp;"␟"&amp;IFERROR(INDEX(PASTE_ALL,$DF212,34)&amp;"","")&amp;"␟"&amp;IFERROR(INDEX(PASTE_ALL,$DF212,35)&amp;"","")&amp;"␟"&amp;IFERROR(INDEX(PASTE_ALL,$DF212,36)&amp;"","")&amp;"␟"&amp;IFERROR(INDEX(PASTE_ALL,$DF212,37)&amp;"","")&amp;"␟"&amp;IFERROR(INDEX(PASTE_ALL,$DF212,38)&amp;"","")&amp;"␟"&amp;IFERROR(INDEX(PASTE_ALL,$DF212,39)&amp;"","")&amp;"␟"&amp;IFERROR(INDEX(PASTE_ALL,$DF212,40)&amp;"","")&amp;"␟"&amp;IFERROR(INDEX(PASTE_ALL,$DF212,41)&amp;"","")&amp;"␟"&amp;IFERROR(INDEX(PASTE_ALL,$DF212,42)&amp;"","")&amp;"␟"&amp;IFERROR(INDEX(PASTE_ALL,$DF212,43)&amp;"","")&amp;"␟"&amp;IFERROR(INDEX(PASTE_ALL,$DF212,44)&amp;"","")&amp;"␟"&amp;IFERROR(INDEX(PASTE_ALL,$DF212,45)&amp;"","")&amp;"␟"&amp;IFERROR(INDEX(PASTE_ALL,$DF212,46)&amp;"","")&amp;"␟"&amp;IFERROR(INDEX(PASTE_ALL,$DF212,47)&amp;"","")&amp;"␟"&amp;IFERROR(INDEX(PASTE_ALL,$DF212,48)&amp;"","")&amp;"␟"&amp;IFERROR(INDEX(PASTE_ALL,$DF212,49)&amp;"","")&amp;"␟"&amp;IFERROR(INDEX(PASTE_ALL,$DF212,50)&amp;"","")&amp;"␟"&amp;IFERROR(INDEX(PASTE_ALL,$DF212,51)&amp;"","")&amp;"␟"&amp;IFERROR(INDEX(PASTE_ALL,$DF212,52)&amp;"","")&amp;"␟"&amp;IFERROR(INDEX(PASTE_ALL,$DF212,53)&amp;"","")&amp;"␟"&amp;IFERROR(INDEX(PASTE_ALL,$DF212,54)&amp;"","")&amp;"␟"&amp;IFERROR(INDEX(PASTE_ALL,$DF212,55)&amp;"","")&amp;"␟"&amp;IFERROR(INDEX(PASTE_ALL,$DF212,56)&amp;"","")&amp;"␟"&amp;IFERROR(INDEX(PASTE_ALL,$DF212,57)&amp;"","")&amp;"␟"&amp;IFERROR(INDEX(PASTE_ALL,$DF212,58)&amp;"","")&amp;"␟"&amp;IFERROR(INDEX(PASTE_ALL,$DF212,59)&amp;"","")&amp;"␟"&amp;IFERROR(INDEX(PASTE_ALL,$DF212,60)&amp;"","")," "," "),CHAR(9)," "),CHAR(10)," "),CHAR(13)," "))," ␟","␟"),"␟ ","␟"),"#"&amp;$DE212),"")</f>
        <v/>
      </c>
      <c r="DJ212">
        <f>IF($DI212="",0,IF(SUMPRODUCT(--EXACT($DI$4:DI211,$DI212))&gt;0,1,0))</f>
        <v/>
      </c>
      <c r="DK212">
        <f>IF(AND($DI212&lt;&gt;"",$DJ212=0),1,0)</f>
        <v/>
      </c>
      <c r="DL212">
        <f>DL211+$DK212</f>
        <v/>
      </c>
      <c r="DM212">
        <f>IF(AND($DK212=1,$DL212&lt;=600),1,0)</f>
        <v/>
      </c>
      <c r="DN212">
        <f>IF($DM212=0,"",IF($L$6=0,"",IFERROR(IF(ISNUMBER(INDEX(PASTE_ALL,$DF212,$L$6)),INDEX(PASTE_ALL,$DF212,$L$6),TRIM(SUBSTITUTE(SUBSTITUTE(SUBSTITUTE(SUBSTITUTE(INDEX(PASTE_ALL,$DF212,$L$6)," "," "),CHAR(9)," "),CHAR(10)," "),CHAR(13)," "))),"")))</f>
        <v/>
      </c>
      <c r="DO212">
        <f>IF($DM212=0,"",IF($L$7=0,"",IFERROR(IF(ISNUMBER(INDEX(PASTE_ALL,$DF212,$L$7)),INDEX(PASTE_ALL,$DF212,$L$7),TRIM(SUBSTITUTE(SUBSTITUTE(SUBSTITUTE(SUBSTITUTE(INDEX(PASTE_ALL,$DF212,$L$7)," "," "),CHAR(9)," "),CHAR(10)," "),CHAR(13)," "))),"")))</f>
        <v/>
      </c>
      <c r="DP212">
        <f>IF($DM212=0,"",IF($L$8=0,"",IFERROR(IF(ISNUMBER(INDEX(PASTE_ALL,$DF212,$L$8)),INDEX(PASTE_ALL,$DF212,$L$8),TRIM(SUBSTITUTE(SUBSTITUTE(SUBSTITUTE(SUBSTITUTE(INDEX(PASTE_ALL,$DF212,$L$8)," "," "),CHAR(9)," "),CHAR(10)," "),CHAR(13)," "))),"")))</f>
        <v/>
      </c>
      <c r="DQ212">
        <f>IF($DM212=0,"",IF($L$9=0,"",IFERROR(IF(ISNUMBER(INDEX(PASTE_ALL,$DF212,$L$9)),INDEX(PASTE_ALL,$DF212,$L$9),TRIM(SUBSTITUTE(SUBSTITUTE(SUBSTITUTE(SUBSTITUTE(INDEX(PASTE_ALL,$DF212,$L$9)," "," "),CHAR(9)," "),CHAR(10)," "),CHAR(13)," "))),"")))</f>
        <v/>
      </c>
      <c r="DR212">
        <f>IF($DM212=0,"",IF($L$10=0,"",IFERROR(IF(ISNUMBER(INDEX(PASTE_ALL,$DF212,$L$10)),INDEX(PASTE_ALL,$DF212,$L$10),TRIM(SUBSTITUTE(SUBSTITUTE(SUBSTITUTE(SUBSTITUTE(INDEX(PASTE_ALL,$DF212,$L$10)," "," "),CHAR(9)," "),CHAR(10)," "),CHAR(13)," "))),"")))</f>
        <v/>
      </c>
      <c r="DS212">
        <f>IF($DM212=0,"",IF($L$11=0,"",IFERROR(IF(ISNUMBER(INDEX(PASTE_ALL,$DF212,$L$11)),INDEX(PASTE_ALL,$DF212,$L$11),TRIM(SUBSTITUTE(SUBSTITUTE(SUBSTITUTE(SUBSTITUTE(INDEX(PASTE_ALL,$DF212,$L$11)," "," "),CHAR(9)," "),CHAR(10)," "),CHAR(13)," "))),"")))</f>
        <v/>
      </c>
      <c r="DT212">
        <f>IF($DM212=0,"",IF($L$12=0,"",IFERROR(IF(ISNUMBER(INDEX(PASTE_ALL,$DF212,$L$12)),INDEX(PASTE_ALL,$DF212,$L$12),TRIM(SUBSTITUTE(SUBSTITUTE(SUBSTITUTE(SUBSTITUTE(INDEX(PASTE_ALL,$DF212,$L$12)," "," "),CHAR(9)," "),CHAR(10)," "),CHAR(13)," "))),"")))</f>
        <v/>
      </c>
      <c r="DU212">
        <f>IF($DM212=0,"",IF($L$13=0,"",IFERROR(IF(ISNUMBER(INDEX(PASTE_ALL,$DF212,$L$13)),INDEX(PASTE_ALL,$DF212,$L$13),TRIM(SUBSTITUTE(SUBSTITUTE(SUBSTITUTE(SUBSTITUTE(INDEX(PASTE_ALL,$DF212,$L$13)," "," "),CHAR(9)," "),CHAR(10)," "),CHAR(13)," "))),"")))</f>
        <v/>
      </c>
      <c r="DV212">
        <f>IF($DM212=0,"",IF($L$14=0,"",IFERROR(IF(ISNUMBER(INDEX(PASTE_ALL,$DF212,$L$14)),INDEX(PASTE_ALL,$DF212,$L$14),TRIM(SUBSTITUTE(SUBSTITUTE(SUBSTITUTE(SUBSTITUTE(INDEX(PASTE_ALL,$DF212,$L$14)," "," "),CHAR(9)," "),CHAR(10)," "),CHAR(13)," "))),"")))</f>
        <v/>
      </c>
      <c r="DW212">
        <f>IF($DM212=0,"",IF($L$15=0,"",IFERROR(IF(ISNUMBER(INDEX(PASTE_ALL,$DF212,$L$15)),INDEX(PASTE_ALL,$DF212,$L$15),IF(SUMPRODUCT(--ISNUMBER(FIND({"A","B","C","D","E","F","G","H","I","J","K","L","M","N","O","P","Q","R","S","T","U","V","W","X","Y","Z","0","1","2","3","4","5","6","7","8","9"},UPPER(TRIM(SUBSTITUTE(SUBSTITUTE(SUBSTITUTE(SUBSTITUTE(INDEX(PASTE_ALL,$DF212,$L$15)," "," "),CHAR(9)," "),CHAR(10)," "),CHAR(13)," "))))))&gt;0,TRIM(SUBSTITUTE(SUBSTITUTE(SUBSTITUTE(SUBSTITUTE(INDEX(PASTE_ALL,$DF212,$L$15)," "," "),CHAR(9)," "),CHAR(10)," "),CHAR(13)," ")),"")),"")))</f>
        <v/>
      </c>
      <c r="DX212">
        <f>IF($DM212=0,"",IF($L$16=0,"",IFERROR(IF(ISNUMBER(INDEX(PASTE_ALL,$DF212,$L$16)),INDEX(PASTE_ALL,$DF212,$L$16),SUBSTITUTE(SUBSTITUTE(TRIM(SUBSTITUTE(SUBSTITUTE(SUBSTITUTE(SUBSTITUTE(INDEX(PASTE_ALL,$DF212,$L$16)," "," "),CHAR(9)," "),CHAR(10)," "),CHAR(13)," ")),",",""),"%","")),"")))</f>
        <v/>
      </c>
      <c r="DY212">
        <f>IF($DM212=0,"",IFERROR(IF(ISNUMBER($DX212),$DX212,IF($DX212="","",IF(TRIM($DX212)="",0,IF(AND(AND(SUBSTITUTE(SUBSTITUTE(SUBSTITUTE(SUBSTITUTE(SUBSTITUTE(SUBSTITUTE(SUBSTITUTE(SUBSTITUTE(SUBSTITUTE(SUBSTITUTE(SUBSTITUTE(SUBSTITUTE(SUBSTITUTE(SUBSTITUTE(UPPER(TRIM($DX212)),"0",""),"1",""),"2",""),"3",""),"4",""),"5",""),"6",""),"7",""),"8",""),"9",""),".",""),"+",""),"-",""),"E","")="",LEN(SUBSTITUTE(SUBSTITUTE(MID(UPPER(TRIM($DX212)),1+OR(LEFT(UPPER(TRIM($DX212)),1)="+",LEFT(UPPER(TRIM($DX212)),1)="-"),999),"E+","E"),"E-","E"))=LEN(SUBSTITUTE(SUBSTITUTE(SUBSTITUTE(SUBSTITUTE(MID(UPPER(TRIM($DX212)),1+OR(LEFT(UPPER(TRIM($DX212)),1)="+",LEFT(UPPER(TRIM($DX212)),1)="-"),999),"E+","E"),"E-","E"),"+",""),"-","")),LEN(UPPER(TRIM($DX212)))-LEN(SUBSTITUTE(UPPER(TRIM($DX212)),"E",""))&lt;2,LEN(UPPER(TRIM($DX212)))-LEN(SUBSTITUTE(UPPER(TRIM($DX212)),".",""))&lt;2,IFERROR(FIND(".",UPPER(TRIM($DX212))),0)&lt;IFERROR(FIND("E",UPPER(TRIM($DX212))),999)),ISNUMBER(VALUE(TRIM($DX212)))),VALUE(TRIM($DX212)),"")))),""))</f>
        <v/>
      </c>
      <c r="DZ212">
        <f>IF($DM212=0,"",IF($L$17=0,"",IFERROR(IF(ISNUMBER(INDEX(PASTE_ALL,$DF212,$L$17)),INDEX(PASTE_ALL,$DF212,$L$17),SUBSTITUTE(SUBSTITUTE(TRIM(SUBSTITUTE(SUBSTITUTE(SUBSTITUTE(SUBSTITUTE(INDEX(PASTE_ALL,$DF212,$L$17)," "," "),CHAR(9)," "),CHAR(10)," "),CHAR(13)," ")),",",""),"%","")),"")))</f>
        <v/>
      </c>
      <c r="EA212">
        <f>IF($DM212=0,"",IFERROR(IF(ISNUMBER($DZ212),$DZ212,IF($DZ212="","",IF(TRIM($DZ212)="",0,IF(AND(AND(SUBSTITUTE(SUBSTITUTE(SUBSTITUTE(SUBSTITUTE(SUBSTITUTE(SUBSTITUTE(SUBSTITUTE(SUBSTITUTE(SUBSTITUTE(SUBSTITUTE(SUBSTITUTE(SUBSTITUTE(SUBSTITUTE(SUBSTITUTE(UPPER(TRIM($DZ212)),"0",""),"1",""),"2",""),"3",""),"4",""),"5",""),"6",""),"7",""),"8",""),"9",""),".",""),"+",""),"-",""),"E","")="",LEN(SUBSTITUTE(SUBSTITUTE(MID(UPPER(TRIM($DZ212)),1+OR(LEFT(UPPER(TRIM($DZ212)),1)="+",LEFT(UPPER(TRIM($DZ212)),1)="-"),999),"E+","E"),"E-","E"))=LEN(SUBSTITUTE(SUBSTITUTE(SUBSTITUTE(SUBSTITUTE(MID(UPPER(TRIM($DZ212)),1+OR(LEFT(UPPER(TRIM($DZ212)),1)="+",LEFT(UPPER(TRIM($DZ212)),1)="-"),999),"E+","E"),"E-","E"),"+",""),"-","")),LEN(UPPER(TRIM($DZ212)))-LEN(SUBSTITUTE(UPPER(TRIM($DZ212)),"E",""))&lt;2,LEN(UPPER(TRIM($DZ212)))-LEN(SUBSTITUTE(UPPER(TRIM($DZ212)),".",""))&lt;2,IFERROR(FIND(".",UPPER(TRIM($DZ212))),0)&lt;IFERROR(FIND("E",UPPER(TRIM($DZ212))),999)),ISNUMBER(VALUE(TRIM($DZ212)))),VALUE(TRIM($DZ212)),"")))),""))</f>
        <v/>
      </c>
      <c r="EB212">
        <f>IF($DM212=0,"",IF($L$18=0,"",IFERROR(IF(UPPER(TRIM(SUBSTITUTE(SUBSTITUTE(SUBSTITUTE(SUBSTITUTE(INDEX(PASTE_ALL,$DF212,$L$18)," "," "),CHAR(9)," "),CHAR(10)," "),CHAR(13)," ")))="READY","Ready",IF(UPPER(TRIM(SUBSTITUTE(SUBSTITUTE(SUBSTITUTE(SUBSTITUTE(INDEX(PASTE_ALL,$DF212,$L$18)," "," "),CHAR(9)," "),CHAR(10)," "),CHAR(13)," ")))="PM","PM",IF(OR(UPPER(TRIM(SUBSTITUTE(SUBSTITUTE(SUBSTITUTE(SUBSTITUTE(INDEX(PASTE_ALL,$DF212,$L$18)," "," "),CHAR(9)," "),CHAR(10)," "),CHAR(13)," ")))="OT",UPPER(TRIM(SUBSTITUTE(SUBSTITUTE(SUBSTITUTE(SUBSTITUTE(INDEX(PASTE_ALL,$DF212,$L$18)," "," "),CHAR(9)," "),CHAR(10)," "),CHAR(13)," ")))="OVERTIME",UPPER(TRIM(SUBSTITUTE(SUBSTITUTE(SUBSTITUTE(SUBSTITUTE(INDEX(PASTE_ALL,$DF212,$L$18)," "," "),CHAR(9)," "),CHAR(10)," "),CHAR(13)," ")))="TRIAL"),"OT",TRIM(SUBSTITUTE(SUBSTITUTE(SUBSTITUTE(SUBSTITUTE(INDEX(PASTE_ALL,$DF212,$L$18)," "," "),CHAR(9)," "),CHAR(10)," "),CHAR(13)," "))))),"")))</f>
        <v/>
      </c>
      <c r="EC212">
        <f>IF($DM212=0,"",IF($L$19=0,"",IFERROR(IF(ISNUMBER(INDEX(PASTE_ALL,$DF212,$L$19)),INDEX(PASTE_ALL,$DF212,$L$19),TRIM(SUBSTITUTE(SUBSTITUTE(SUBSTITUTE(SUBSTITUTE(INDEX(PASTE_ALL,$DF212,$L$19)," "," "),CHAR(9)," "),CHAR(10)," "),CHAR(13)," "))),"")))</f>
        <v/>
      </c>
      <c r="ED212">
        <f>IF($DM212=0,"",MATCH(1,INDEX(EXACT($DH$5:DH212,$DH212)*$DM$5:DM212,0),0))</f>
        <v/>
      </c>
      <c r="EE212">
        <f>IF($DM212=0,0,IF($ED212=$DE212,1,0))</f>
        <v/>
      </c>
      <c r="EF212">
        <f>EF211+$EE212</f>
        <v/>
      </c>
      <c r="EG212">
        <f>IF($DM212=0,"",INDEX($EF$5:$EF$1003,$ED212))</f>
        <v/>
      </c>
      <c r="EH212">
        <f>IF($DM212=0,"",IF($DO212&lt;&gt;"","",IFERROR(LOOKUP(2,1/(($EG$4:EG211=$EG212)*($DO$4:DO211&lt;&gt;"")),$DO$4:DO211),"")))</f>
        <v/>
      </c>
      <c r="EI212">
        <f>IF($DM212=0,"",IF($DO212&lt;&gt;"",$DO212,$EH212))</f>
        <v/>
      </c>
      <c r="EJ212">
        <f>IF($DM212=0,"",IF($EI212="",0,IF(OR(ISNUMBER($EI212),AND(AND(SUBSTITUTE(SUBSTITUTE(SUBSTITUTE(SUBSTITUTE(SUBSTITUTE(SUBSTITUTE(SUBSTITUTE(SUBSTITUTE(SUBSTITUTE(SUBSTITUTE(SUBSTITUTE(SUBSTITUTE(SUBSTITUTE(SUBSTITUTE(UPPER($EI212),"0",""),"1",""),"2",""),"3",""),"4",""),"5",""),"6",""),"7",""),"8",""),"9",""),".",""),"+",""),"-",""),"E","")="",LEN(SUBSTITUTE(SUBSTITUTE(MID(UPPER($EI212),1+OR(LEFT(UPPER($EI212),1)="+",LEFT(UPPER($EI212),1)="-"),999),"E+","E"),"E-","E"))=LEN(SUBSTITUTE(SUBSTITUTE(SUBSTITUTE(SUBSTITUTE(MID(UPPER($EI212),1+OR(LEFT(UPPER($EI212),1)="+",LEFT(UPPER($EI212),1)="-"),999),"E+","E"),"E-","E"),"+",""),"-","")),LEN(UPPER($EI212))-LEN(SUBSTITUTE(UPPER($EI212),"E",""))&lt;2,LEN(UPPER($EI212))-LEN(SUBSTITUTE(UPPER($EI212),".",""))&lt;2,IFERROR(FIND(".",UPPER($EI212)),0)&lt;IFERROR(FIND("E",UPPER($EI212)),999)),ISNUMBER(VALUE($EI212)))),1,2)))</f>
        <v/>
      </c>
      <c r="EK212">
        <f>IF($DM212=0,"",IF($EJ212=1,IF(ISNUMBER($EI212),$EI212,VALUE($EI212)),IF($EJ212=2,$DE212,0)))</f>
        <v/>
      </c>
      <c r="EL212">
        <f>IF($DM212=0,"",COUNTIF($EG$5:$EG$1003,"&lt;"&amp;$EG212)+SUMPRODUCT(($EG$5:$EG$1003=$EG212)*(($EJ$5:$EJ$1003&lt;$EJ212)+($EJ$5:$EJ$1003=$EJ212)*(($EK$5:$EK$1003&lt;$EK212)+($EK$5:$EK$1003=$EK212)*($DE$5:$DE$1003&lt;$DE212))))+1)</f>
        <v/>
      </c>
      <c r="EM212">
        <f>IF($DM212=0,"",$EL212+$EG212-1)</f>
        <v/>
      </c>
      <c r="EN212">
        <f>IF($DM212=0,0,IFERROR(MATCH(1,INDEX(--(TRIM(SUBSTITUTE(SUBSTITUTE(SUBSTITUTE(SUBSTITUTE(LINES_NAME&amp;""," "," "),CHAR(9)," "),CHAR(10)," "),CHAR(13)," "))=$DH212),0),0),0))</f>
        <v/>
      </c>
      <c r="EO212">
        <f>IF($EN212=0,0,IF(OR(UPPER(TRIM(INDEX(LINES_SCHEDULED,$EN212)&amp;""))="YES",UPPER(TRIM(INDEX(LINES_SCHEDULED,$EN212)&amp;""))="Y",UPPER(TRIM(INDEX(LINES_SCHEDULED,$EN212)&amp;""))="X"),1,0))</f>
        <v/>
      </c>
      <c r="EP212">
        <f>IF($DM212=0,"",IF(COUNTIFS($EG$5:$EG$1003,$EG212,$EB$5:$EB$1003,"Ready")&gt;0,"READY",IF(COUNTIFS($EG$5:$EG$1003,$EG212,$EB$5:$EB$1003,"PM")&gt;0,"PM",IF(COUNTIFS($EG$5:$EG$1003,$EG212,$EB$5:$EB$1003,"OT")&gt;0,"OT",""))))</f>
        <v/>
      </c>
      <c r="EQ212">
        <f>IF($EN212=0,"",UPPER(TRIM(INDEX(LINES_STATUS,$EN212)&amp;"")))</f>
        <v/>
      </c>
      <c r="ER212">
        <f>IF($DM212=0,"",IF(OR($EQ212="READY",$EQ212="PM",$EQ212="OT"),$EQ212,$EP212))</f>
        <v/>
      </c>
      <c r="ES212">
        <f>IF($DM212=0,"",IF(AND($DV212&lt;&gt;"",UPPER($DV212)&lt;&gt;"N"),"allergen",IF(ISNUMBER(SEARCH("oil",$DQ212)),"oil",IF(OR(EXACT($DS212,"A662"),EXACT($DS212,"A624")),"bulk",""))))</f>
        <v/>
      </c>
      <c r="ET212">
        <f>IF($DM212=0,"",IF(OR($EA212="",$EA212=0),"",$EA212/100))</f>
        <v/>
      </c>
      <c r="EU212">
        <f>IF(OR($ET212="",$DY212=""),"",INT($DY212*(1-$ET212)+0.5))</f>
        <v/>
      </c>
      <c r="EW212" t="n">
        <v>208</v>
      </c>
      <c r="EX212">
        <f>IFERROR(MATCH($EW212,$EM$5:$EM$1003,0),0)</f>
        <v/>
      </c>
      <c r="EY212">
        <f>IF($EW212&gt;$B$12,"",IF($EX212&gt;0,"row","spacer"))</f>
        <v/>
      </c>
      <c r="EZ212">
        <f>IF(AND($EY212="row",$EY211&lt;&gt;"row"),1,0)</f>
        <v/>
      </c>
      <c r="FA212">
        <f>IF(AND($EY212="row",$EY213&lt;&gt;"row"),1,0)</f>
        <v/>
      </c>
      <c r="FB212">
        <f>IF($EZ212=1,IFERROR(IF(ISNUMBER(INDEX(PASTE_ALL,INDEX($DF$5:$DF$1003,$EX212),$B$37)),INDEX(PASTE_ALL,INDEX($DF$5:$DF$1003,$EX212),$B$37),INDEX($DH$5:$DH$1003,$EX212)),INDEX($DH$5:$DH$1003,$EX212)),"")</f>
        <v/>
      </c>
      <c r="FC212">
        <f>IF($EY212="row",INDEX($ER$5:$ER$1003,$EX212),"")</f>
        <v/>
      </c>
      <c r="FD212">
        <f>IF($EY212="row",INDEX($DN$5:$DN$1003,$EX212),"")</f>
        <v/>
      </c>
      <c r="FE212">
        <f>IF($EY212="row",INDEX($DO$5:$DO$1003,$EX212),"")</f>
        <v/>
      </c>
      <c r="FF212">
        <f>IF($EY212="row",INDEX($DP$5:$DP$1003,$EX212),"")</f>
        <v/>
      </c>
      <c r="FG212">
        <f>IF($EY212="row",INDEX($DQ$5:$DQ$1003,$EX212),"")</f>
        <v/>
      </c>
      <c r="FH212">
        <f>IF($EY212="row",INDEX($DR$5:$DR$1003,$EX212),"")</f>
        <v/>
      </c>
      <c r="FI212">
        <f>IF($EY212="row",INDEX($DS$5:$DS$1003,$EX212),"")</f>
        <v/>
      </c>
      <c r="FJ212">
        <f>IF($EY212="row",INDEX($DT$5:$DT$1003,$EX212),"")</f>
        <v/>
      </c>
      <c r="FK212">
        <f>IF($EY212="row",INDEX($DU$5:$DU$1003,$EX212),"")</f>
        <v/>
      </c>
      <c r="FL212">
        <f>IF($EY212="row",INDEX($DV$5:$DV$1003,$EX212),"")</f>
        <v/>
      </c>
      <c r="FM212">
        <f>IF($EY212="row",INDEX($DW$5:$DW$1003,$EX212),"")</f>
        <v/>
      </c>
      <c r="FN212">
        <f>IF($EY212="row",INDEX($DY$5:$DY$1003,$EX212),"")</f>
        <v/>
      </c>
      <c r="FO212">
        <f>IF($EY212="row",INDEX($EA$5:$EA$1003,$EX212),"")</f>
        <v/>
      </c>
      <c r="FP212">
        <f>IF($EY212="row",INDEX($EC$5:$EC$1003,$EX212),"")</f>
        <v/>
      </c>
      <c r="FQ212">
        <f>IF($EY212="row",INDEX($ET$5:$ET$1003,$EX212),"")</f>
        <v/>
      </c>
      <c r="FR212">
        <f>IF($EY212="row",INDEX($EU$5:$EU$1003,$EX212),"")</f>
        <v/>
      </c>
      <c r="FS212">
        <f>IF(AND($EY212="row",$EY211="row"),IF(OR(INDEX($DT$5:$DT$1003,$EX211)="",INDEX($DT$5:$DT$1003,$EX212)=""),"",IF(NOT(EXACT(INDEX($DT$5:$DT$1003,$EX211),INDEX($DT$5:$DT$1003,$EX212))),"S4",IF(NOT(EXACT(INDEX($DS$5:$DS$1003,$EX211),INDEX($DS$5:$DS$1003,$EX212))),"S3",IF(NOT(EXACT(INDEX($DR$5:$DR$1003,$EX211),INDEX($DR$5:$DR$1003,$EX212))),"S1 Count Change","S1")))),"")</f>
        <v/>
      </c>
      <c r="FT212">
        <f>IF($EY212="row",INDEX($ES$5:$ES$1003,$EX212),"")</f>
        <v/>
      </c>
      <c r="FU212">
        <f>IF($EY212="row",INDEX($EO$5:$EO$1003,$EX212),0)</f>
        <v/>
      </c>
      <c r="FV212">
        <f>IF($FS212="S1 Count Change",1,0)</f>
        <v/>
      </c>
    </row>
    <row r="213">
      <c r="Y213">
        <f>0+IF(Y123&gt;0,0,IF(SUMPRODUCT(MOD(INT(Y168/{2,4,8,16,32,64,128,256,512,1024,2048,4096,8192,16384,32768}),2)*(1-MOD(INT(($CJ33+0)/{2,4,8,16,32,64,128,256,512,1024,2048,4096,8192,16384,32768}),2))*{2,4,8,16,32,64,128,256,512,1024,2048,4096,8192,16384,32768})=0,0,2^SUMPRODUCT(--(MOD(SUMPRODUCT(MOD(INT(Y168/{2,4,8,16,32,64,128,256,512,1024,2048,4096,8192,16384,32768}),2)*(1-MOD(INT(($CJ33+0)/{2,4,8,16,32,64,128,256,512,1024,2048,4096,8192,16384,32768}),2))*{2,4,8,16,32,64,128,256,512,1024,2048,4096,8192,16384,32768}),{2,4,8,16,32,64,128,256,512,1024,2048,4096,8192,16384,32768})=0))))</f>
        <v/>
      </c>
      <c r="Z213">
        <f>Y213+IF(AND(Z123&gt;0,COUNTIF($Y123:Y123,Z123)=0),0,IF(SUMPRODUCT(MOD(INT(Z168/{2,4,8,16,32,64,128,256,512,1024,2048,4096,8192,16384,32768}),2)*(1-MOD(INT(($CJ33+Y213)/{2,4,8,16,32,64,128,256,512,1024,2048,4096,8192,16384,32768}),2))*{2,4,8,16,32,64,128,256,512,1024,2048,4096,8192,16384,32768})=0,0,2^SUMPRODUCT(--(MOD(SUMPRODUCT(MOD(INT(Z168/{2,4,8,16,32,64,128,256,512,1024,2048,4096,8192,16384,32768}),2)*(1-MOD(INT(($CJ33+Y213)/{2,4,8,16,32,64,128,256,512,1024,2048,4096,8192,16384,32768}),2))*{2,4,8,16,32,64,128,256,512,1024,2048,4096,8192,16384,32768}),{2,4,8,16,32,64,128,256,512,1024,2048,4096,8192,16384,32768})=0))))</f>
        <v/>
      </c>
      <c r="AA213">
        <f>Z213+IF(AND(AA123&gt;0,COUNTIF($Y123:Z123,AA123)=0),0,IF(SUMPRODUCT(MOD(INT(AA168/{2,4,8,16,32,64,128,256,512,1024,2048,4096,8192,16384,32768}),2)*(1-MOD(INT(($CJ33+Z213)/{2,4,8,16,32,64,128,256,512,1024,2048,4096,8192,16384,32768}),2))*{2,4,8,16,32,64,128,256,512,1024,2048,4096,8192,16384,32768})=0,0,2^SUMPRODUCT(--(MOD(SUMPRODUCT(MOD(INT(AA168/{2,4,8,16,32,64,128,256,512,1024,2048,4096,8192,16384,32768}),2)*(1-MOD(INT(($CJ33+Z213)/{2,4,8,16,32,64,128,256,512,1024,2048,4096,8192,16384,32768}),2))*{2,4,8,16,32,64,128,256,512,1024,2048,4096,8192,16384,32768}),{2,4,8,16,32,64,128,256,512,1024,2048,4096,8192,16384,32768})=0))))</f>
        <v/>
      </c>
      <c r="AB213">
        <f>AA213+IF(AND(AB123&gt;0,COUNTIF($Y123:AA123,AB123)=0),0,IF(SUMPRODUCT(MOD(INT(AB168/{2,4,8,16,32,64,128,256,512,1024,2048,4096,8192,16384,32768}),2)*(1-MOD(INT(($CJ33+AA213)/{2,4,8,16,32,64,128,256,512,1024,2048,4096,8192,16384,32768}),2))*{2,4,8,16,32,64,128,256,512,1024,2048,4096,8192,16384,32768})=0,0,2^SUMPRODUCT(--(MOD(SUMPRODUCT(MOD(INT(AB168/{2,4,8,16,32,64,128,256,512,1024,2048,4096,8192,16384,32768}),2)*(1-MOD(INT(($CJ33+AA213)/{2,4,8,16,32,64,128,256,512,1024,2048,4096,8192,16384,32768}),2))*{2,4,8,16,32,64,128,256,512,1024,2048,4096,8192,16384,32768}),{2,4,8,16,32,64,128,256,512,1024,2048,4096,8192,16384,32768})=0))))</f>
        <v/>
      </c>
      <c r="AC213">
        <f>AB213+IF(AND(AC123&gt;0,COUNTIF($Y123:AB123,AC123)=0),0,IF(SUMPRODUCT(MOD(INT(AC168/{2,4,8,16,32,64,128,256,512,1024,2048,4096,8192,16384,32768}),2)*(1-MOD(INT(($CJ33+AB213)/{2,4,8,16,32,64,128,256,512,1024,2048,4096,8192,16384,32768}),2))*{2,4,8,16,32,64,128,256,512,1024,2048,4096,8192,16384,32768})=0,0,2^SUMPRODUCT(--(MOD(SUMPRODUCT(MOD(INT(AC168/{2,4,8,16,32,64,128,256,512,1024,2048,4096,8192,16384,32768}),2)*(1-MOD(INT(($CJ33+AB213)/{2,4,8,16,32,64,128,256,512,1024,2048,4096,8192,16384,32768}),2))*{2,4,8,16,32,64,128,256,512,1024,2048,4096,8192,16384,32768}),{2,4,8,16,32,64,128,256,512,1024,2048,4096,8192,16384,32768})=0))))</f>
        <v/>
      </c>
      <c r="AD213">
        <f>AC213+IF(AND(AD123&gt;0,COUNTIF($Y123:AC123,AD123)=0),0,IF(SUMPRODUCT(MOD(INT(AD168/{2,4,8,16,32,64,128,256,512,1024,2048,4096,8192,16384,32768}),2)*(1-MOD(INT(($CJ33+AC213)/{2,4,8,16,32,64,128,256,512,1024,2048,4096,8192,16384,32768}),2))*{2,4,8,16,32,64,128,256,512,1024,2048,4096,8192,16384,32768})=0,0,2^SUMPRODUCT(--(MOD(SUMPRODUCT(MOD(INT(AD168/{2,4,8,16,32,64,128,256,512,1024,2048,4096,8192,16384,32768}),2)*(1-MOD(INT(($CJ33+AC213)/{2,4,8,16,32,64,128,256,512,1024,2048,4096,8192,16384,32768}),2))*{2,4,8,16,32,64,128,256,512,1024,2048,4096,8192,16384,32768}),{2,4,8,16,32,64,128,256,512,1024,2048,4096,8192,16384,32768})=0))))</f>
        <v/>
      </c>
      <c r="AE213">
        <f>AD213+IF(AND(AE123&gt;0,COUNTIF($Y123:AD123,AE123)=0),0,IF(SUMPRODUCT(MOD(INT(AE168/{2,4,8,16,32,64,128,256,512,1024,2048,4096,8192,16384,32768}),2)*(1-MOD(INT(($CJ33+AD213)/{2,4,8,16,32,64,128,256,512,1024,2048,4096,8192,16384,32768}),2))*{2,4,8,16,32,64,128,256,512,1024,2048,4096,8192,16384,32768})=0,0,2^SUMPRODUCT(--(MOD(SUMPRODUCT(MOD(INT(AE168/{2,4,8,16,32,64,128,256,512,1024,2048,4096,8192,16384,32768}),2)*(1-MOD(INT(($CJ33+AD213)/{2,4,8,16,32,64,128,256,512,1024,2048,4096,8192,16384,32768}),2))*{2,4,8,16,32,64,128,256,512,1024,2048,4096,8192,16384,32768}),{2,4,8,16,32,64,128,256,512,1024,2048,4096,8192,16384,32768})=0))))</f>
        <v/>
      </c>
      <c r="AF213">
        <f>AE213+IF(AND(AF123&gt;0,COUNTIF($Y123:AE123,AF123)=0),0,IF(SUMPRODUCT(MOD(INT(AF168/{2,4,8,16,32,64,128,256,512,1024,2048,4096,8192,16384,32768}),2)*(1-MOD(INT(($CJ33+AE213)/{2,4,8,16,32,64,128,256,512,1024,2048,4096,8192,16384,32768}),2))*{2,4,8,16,32,64,128,256,512,1024,2048,4096,8192,16384,32768})=0,0,2^SUMPRODUCT(--(MOD(SUMPRODUCT(MOD(INT(AF168/{2,4,8,16,32,64,128,256,512,1024,2048,4096,8192,16384,32768}),2)*(1-MOD(INT(($CJ33+AE213)/{2,4,8,16,32,64,128,256,512,1024,2048,4096,8192,16384,32768}),2))*{2,4,8,16,32,64,128,256,512,1024,2048,4096,8192,16384,32768}),{2,4,8,16,32,64,128,256,512,1024,2048,4096,8192,16384,32768})=0))))</f>
        <v/>
      </c>
      <c r="AG213">
        <f>AF213+IF(AND(AG123&gt;0,COUNTIF($Y123:AF123,AG123)=0),0,IF(SUMPRODUCT(MOD(INT(AG168/{2,4,8,16,32,64,128,256,512,1024,2048,4096,8192,16384,32768}),2)*(1-MOD(INT(($CJ33+AF213)/{2,4,8,16,32,64,128,256,512,1024,2048,4096,8192,16384,32768}),2))*{2,4,8,16,32,64,128,256,512,1024,2048,4096,8192,16384,32768})=0,0,2^SUMPRODUCT(--(MOD(SUMPRODUCT(MOD(INT(AG168/{2,4,8,16,32,64,128,256,512,1024,2048,4096,8192,16384,32768}),2)*(1-MOD(INT(($CJ33+AF213)/{2,4,8,16,32,64,128,256,512,1024,2048,4096,8192,16384,32768}),2))*{2,4,8,16,32,64,128,256,512,1024,2048,4096,8192,16384,32768}),{2,4,8,16,32,64,128,256,512,1024,2048,4096,8192,16384,32768})=0))))</f>
        <v/>
      </c>
      <c r="AH213">
        <f>AG213+IF(AND(AH123&gt;0,COUNTIF($Y123:AG123,AH123)=0),0,IF(SUMPRODUCT(MOD(INT(AH168/{2,4,8,16,32,64,128,256,512,1024,2048,4096,8192,16384,32768}),2)*(1-MOD(INT(($CJ33+AG213)/{2,4,8,16,32,64,128,256,512,1024,2048,4096,8192,16384,32768}),2))*{2,4,8,16,32,64,128,256,512,1024,2048,4096,8192,16384,32768})=0,0,2^SUMPRODUCT(--(MOD(SUMPRODUCT(MOD(INT(AH168/{2,4,8,16,32,64,128,256,512,1024,2048,4096,8192,16384,32768}),2)*(1-MOD(INT(($CJ33+AG213)/{2,4,8,16,32,64,128,256,512,1024,2048,4096,8192,16384,32768}),2))*{2,4,8,16,32,64,128,256,512,1024,2048,4096,8192,16384,32768}),{2,4,8,16,32,64,128,256,512,1024,2048,4096,8192,16384,32768})=0))))</f>
        <v/>
      </c>
      <c r="AI213">
        <f>AH213+IF(AND(AI123&gt;0,COUNTIF($Y123:AH123,AI123)=0),0,IF(SUMPRODUCT(MOD(INT(AI168/{2,4,8,16,32,64,128,256,512,1024,2048,4096,8192,16384,32768}),2)*(1-MOD(INT(($CJ33+AH213)/{2,4,8,16,32,64,128,256,512,1024,2048,4096,8192,16384,32768}),2))*{2,4,8,16,32,64,128,256,512,1024,2048,4096,8192,16384,32768})=0,0,2^SUMPRODUCT(--(MOD(SUMPRODUCT(MOD(INT(AI168/{2,4,8,16,32,64,128,256,512,1024,2048,4096,8192,16384,32768}),2)*(1-MOD(INT(($CJ33+AH213)/{2,4,8,16,32,64,128,256,512,1024,2048,4096,8192,16384,32768}),2))*{2,4,8,16,32,64,128,256,512,1024,2048,4096,8192,16384,32768}),{2,4,8,16,32,64,128,256,512,1024,2048,4096,8192,16384,32768})=0))))</f>
        <v/>
      </c>
      <c r="AJ213">
        <f>AI213+IF(AND(AJ123&gt;0,COUNTIF($Y123:AI123,AJ123)=0),0,IF(SUMPRODUCT(MOD(INT(AJ168/{2,4,8,16,32,64,128,256,512,1024,2048,4096,8192,16384,32768}),2)*(1-MOD(INT(($CJ33+AI213)/{2,4,8,16,32,64,128,256,512,1024,2048,4096,8192,16384,32768}),2))*{2,4,8,16,32,64,128,256,512,1024,2048,4096,8192,16384,32768})=0,0,2^SUMPRODUCT(--(MOD(SUMPRODUCT(MOD(INT(AJ168/{2,4,8,16,32,64,128,256,512,1024,2048,4096,8192,16384,32768}),2)*(1-MOD(INT(($CJ33+AI213)/{2,4,8,16,32,64,128,256,512,1024,2048,4096,8192,16384,32768}),2))*{2,4,8,16,32,64,128,256,512,1024,2048,4096,8192,16384,32768}),{2,4,8,16,32,64,128,256,512,1024,2048,4096,8192,16384,32768})=0))))</f>
        <v/>
      </c>
      <c r="AK213">
        <f>AJ213+IF(AND(AK123&gt;0,COUNTIF($Y123:AJ123,AK123)=0),0,IF(SUMPRODUCT(MOD(INT(AK168/{2,4,8,16,32,64,128,256,512,1024,2048,4096,8192,16384,32768}),2)*(1-MOD(INT(($CJ33+AJ213)/{2,4,8,16,32,64,128,256,512,1024,2048,4096,8192,16384,32768}),2))*{2,4,8,16,32,64,128,256,512,1024,2048,4096,8192,16384,32768})=0,0,2^SUMPRODUCT(--(MOD(SUMPRODUCT(MOD(INT(AK168/{2,4,8,16,32,64,128,256,512,1024,2048,4096,8192,16384,32768}),2)*(1-MOD(INT(($CJ33+AJ213)/{2,4,8,16,32,64,128,256,512,1024,2048,4096,8192,16384,32768}),2))*{2,4,8,16,32,64,128,256,512,1024,2048,4096,8192,16384,32768}),{2,4,8,16,32,64,128,256,512,1024,2048,4096,8192,16384,32768})=0))))</f>
        <v/>
      </c>
      <c r="AL213">
        <f>AK213+IF(AND(AL123&gt;0,COUNTIF($Y123:AK123,AL123)=0),0,IF(SUMPRODUCT(MOD(INT(AL168/{2,4,8,16,32,64,128,256,512,1024,2048,4096,8192,16384,32768}),2)*(1-MOD(INT(($CJ33+AK213)/{2,4,8,16,32,64,128,256,512,1024,2048,4096,8192,16384,32768}),2))*{2,4,8,16,32,64,128,256,512,1024,2048,4096,8192,16384,32768})=0,0,2^SUMPRODUCT(--(MOD(SUMPRODUCT(MOD(INT(AL168/{2,4,8,16,32,64,128,256,512,1024,2048,4096,8192,16384,32768}),2)*(1-MOD(INT(($CJ33+AK213)/{2,4,8,16,32,64,128,256,512,1024,2048,4096,8192,16384,32768}),2))*{2,4,8,16,32,64,128,256,512,1024,2048,4096,8192,16384,32768}),{2,4,8,16,32,64,128,256,512,1024,2048,4096,8192,16384,32768})=0))))</f>
        <v/>
      </c>
      <c r="AM213">
        <f>AL213+IF(AND(AM123&gt;0,COUNTIF($Y123:AL123,AM123)=0),0,IF(SUMPRODUCT(MOD(INT(AM168/{2,4,8,16,32,64,128,256,512,1024,2048,4096,8192,16384,32768}),2)*(1-MOD(INT(($CJ33+AL213)/{2,4,8,16,32,64,128,256,512,1024,2048,4096,8192,16384,32768}),2))*{2,4,8,16,32,64,128,256,512,1024,2048,4096,8192,16384,32768})=0,0,2^SUMPRODUCT(--(MOD(SUMPRODUCT(MOD(INT(AM168/{2,4,8,16,32,64,128,256,512,1024,2048,4096,8192,16384,32768}),2)*(1-MOD(INT(($CJ33+AL213)/{2,4,8,16,32,64,128,256,512,1024,2048,4096,8192,16384,32768}),2))*{2,4,8,16,32,64,128,256,512,1024,2048,4096,8192,16384,32768}),{2,4,8,16,32,64,128,256,512,1024,2048,4096,8192,16384,32768})=0))))</f>
        <v/>
      </c>
      <c r="AN213">
        <f>AM213+IF(AND(AN123&gt;0,COUNTIF($Y123:AM123,AN123)=0),0,IF(SUMPRODUCT(MOD(INT(AN168/{2,4,8,16,32,64,128,256,512,1024,2048,4096,8192,16384,32768}),2)*(1-MOD(INT(($CJ33+AM213)/{2,4,8,16,32,64,128,256,512,1024,2048,4096,8192,16384,32768}),2))*{2,4,8,16,32,64,128,256,512,1024,2048,4096,8192,16384,32768})=0,0,2^SUMPRODUCT(--(MOD(SUMPRODUCT(MOD(INT(AN168/{2,4,8,16,32,64,128,256,512,1024,2048,4096,8192,16384,32768}),2)*(1-MOD(INT(($CJ33+AM213)/{2,4,8,16,32,64,128,256,512,1024,2048,4096,8192,16384,32768}),2))*{2,4,8,16,32,64,128,256,512,1024,2048,4096,8192,16384,32768}),{2,4,8,16,32,64,128,256,512,1024,2048,4096,8192,16384,32768})=0))))</f>
        <v/>
      </c>
      <c r="AO213">
        <f>AN213+IF(AND(AO123&gt;0,COUNTIF($Y123:AN123,AO123)=0),0,IF(SUMPRODUCT(MOD(INT(AO168/{2,4,8,16,32,64,128,256,512,1024,2048,4096,8192,16384,32768}),2)*(1-MOD(INT(($CJ33+AN213)/{2,4,8,16,32,64,128,256,512,1024,2048,4096,8192,16384,32768}),2))*{2,4,8,16,32,64,128,256,512,1024,2048,4096,8192,16384,32768})=0,0,2^SUMPRODUCT(--(MOD(SUMPRODUCT(MOD(INT(AO168/{2,4,8,16,32,64,128,256,512,1024,2048,4096,8192,16384,32768}),2)*(1-MOD(INT(($CJ33+AN213)/{2,4,8,16,32,64,128,256,512,1024,2048,4096,8192,16384,32768}),2))*{2,4,8,16,32,64,128,256,512,1024,2048,4096,8192,16384,32768}),{2,4,8,16,32,64,128,256,512,1024,2048,4096,8192,16384,32768})=0))))</f>
        <v/>
      </c>
      <c r="AP213">
        <f>AO213+IF(AND(AP123&gt;0,COUNTIF($Y123:AO123,AP123)=0),0,IF(SUMPRODUCT(MOD(INT(AP168/{2,4,8,16,32,64,128,256,512,1024,2048,4096,8192,16384,32768}),2)*(1-MOD(INT(($CJ33+AO213)/{2,4,8,16,32,64,128,256,512,1024,2048,4096,8192,16384,32768}),2))*{2,4,8,16,32,64,128,256,512,1024,2048,4096,8192,16384,32768})=0,0,2^SUMPRODUCT(--(MOD(SUMPRODUCT(MOD(INT(AP168/{2,4,8,16,32,64,128,256,512,1024,2048,4096,8192,16384,32768}),2)*(1-MOD(INT(($CJ33+AO213)/{2,4,8,16,32,64,128,256,512,1024,2048,4096,8192,16384,32768}),2))*{2,4,8,16,32,64,128,256,512,1024,2048,4096,8192,16384,32768}),{2,4,8,16,32,64,128,256,512,1024,2048,4096,8192,16384,32768})=0))))</f>
        <v/>
      </c>
      <c r="AQ213">
        <f>AP213+IF(AND(AQ123&gt;0,COUNTIF($Y123:AP123,AQ123)=0),0,IF(SUMPRODUCT(MOD(INT(AQ168/{2,4,8,16,32,64,128,256,512,1024,2048,4096,8192,16384,32768}),2)*(1-MOD(INT(($CJ33+AP213)/{2,4,8,16,32,64,128,256,512,1024,2048,4096,8192,16384,32768}),2))*{2,4,8,16,32,64,128,256,512,1024,2048,4096,8192,16384,32768})=0,0,2^SUMPRODUCT(--(MOD(SUMPRODUCT(MOD(INT(AQ168/{2,4,8,16,32,64,128,256,512,1024,2048,4096,8192,16384,32768}),2)*(1-MOD(INT(($CJ33+AP213)/{2,4,8,16,32,64,128,256,512,1024,2048,4096,8192,16384,32768}),2))*{2,4,8,16,32,64,128,256,512,1024,2048,4096,8192,16384,32768}),{2,4,8,16,32,64,128,256,512,1024,2048,4096,8192,16384,32768})=0))))</f>
        <v/>
      </c>
      <c r="AR213">
        <f>AQ213+IF(AND(AR123&gt;0,COUNTIF($Y123:AQ123,AR123)=0),0,IF(SUMPRODUCT(MOD(INT(AR168/{2,4,8,16,32,64,128,256,512,1024,2048,4096,8192,16384,32768}),2)*(1-MOD(INT(($CJ33+AQ213)/{2,4,8,16,32,64,128,256,512,1024,2048,4096,8192,16384,32768}),2))*{2,4,8,16,32,64,128,256,512,1024,2048,4096,8192,16384,32768})=0,0,2^SUMPRODUCT(--(MOD(SUMPRODUCT(MOD(INT(AR168/{2,4,8,16,32,64,128,256,512,1024,2048,4096,8192,16384,32768}),2)*(1-MOD(INT(($CJ33+AQ213)/{2,4,8,16,32,64,128,256,512,1024,2048,4096,8192,16384,32768}),2))*{2,4,8,16,32,64,128,256,512,1024,2048,4096,8192,16384,32768}),{2,4,8,16,32,64,128,256,512,1024,2048,4096,8192,16384,32768})=0))))</f>
        <v/>
      </c>
      <c r="AS213">
        <f>AR213+IF(AND(AS123&gt;0,COUNTIF($Y123:AR123,AS123)=0),0,IF(SUMPRODUCT(MOD(INT(AS168/{2,4,8,16,32,64,128,256,512,1024,2048,4096,8192,16384,32768}),2)*(1-MOD(INT(($CJ33+AR213)/{2,4,8,16,32,64,128,256,512,1024,2048,4096,8192,16384,32768}),2))*{2,4,8,16,32,64,128,256,512,1024,2048,4096,8192,16384,32768})=0,0,2^SUMPRODUCT(--(MOD(SUMPRODUCT(MOD(INT(AS168/{2,4,8,16,32,64,128,256,512,1024,2048,4096,8192,16384,32768}),2)*(1-MOD(INT(($CJ33+AR213)/{2,4,8,16,32,64,128,256,512,1024,2048,4096,8192,16384,32768}),2))*{2,4,8,16,32,64,128,256,512,1024,2048,4096,8192,16384,32768}),{2,4,8,16,32,64,128,256,512,1024,2048,4096,8192,16384,32768})=0))))</f>
        <v/>
      </c>
      <c r="AT213">
        <f>AS213+IF(AND(AT123&gt;0,COUNTIF($Y123:AS123,AT123)=0),0,IF(SUMPRODUCT(MOD(INT(AT168/{2,4,8,16,32,64,128,256,512,1024,2048,4096,8192,16384,32768}),2)*(1-MOD(INT(($CJ33+AS213)/{2,4,8,16,32,64,128,256,512,1024,2048,4096,8192,16384,32768}),2))*{2,4,8,16,32,64,128,256,512,1024,2048,4096,8192,16384,32768})=0,0,2^SUMPRODUCT(--(MOD(SUMPRODUCT(MOD(INT(AT168/{2,4,8,16,32,64,128,256,512,1024,2048,4096,8192,16384,32768}),2)*(1-MOD(INT(($CJ33+AS213)/{2,4,8,16,32,64,128,256,512,1024,2048,4096,8192,16384,32768}),2))*{2,4,8,16,32,64,128,256,512,1024,2048,4096,8192,16384,32768}),{2,4,8,16,32,64,128,256,512,1024,2048,4096,8192,16384,32768})=0))))</f>
        <v/>
      </c>
      <c r="AU213">
        <f>AT213+IF(AND(AU123&gt;0,COUNTIF($Y123:AT123,AU123)=0),0,IF(SUMPRODUCT(MOD(INT(AU168/{2,4,8,16,32,64,128,256,512,1024,2048,4096,8192,16384,32768}),2)*(1-MOD(INT(($CJ33+AT213)/{2,4,8,16,32,64,128,256,512,1024,2048,4096,8192,16384,32768}),2))*{2,4,8,16,32,64,128,256,512,1024,2048,4096,8192,16384,32768})=0,0,2^SUMPRODUCT(--(MOD(SUMPRODUCT(MOD(INT(AU168/{2,4,8,16,32,64,128,256,512,1024,2048,4096,8192,16384,32768}),2)*(1-MOD(INT(($CJ33+AT213)/{2,4,8,16,32,64,128,256,512,1024,2048,4096,8192,16384,32768}),2))*{2,4,8,16,32,64,128,256,512,1024,2048,4096,8192,16384,32768}),{2,4,8,16,32,64,128,256,512,1024,2048,4096,8192,16384,32768})=0))))</f>
        <v/>
      </c>
      <c r="AV213">
        <f>AU213+IF(AND(AV123&gt;0,COUNTIF($Y123:AU123,AV123)=0),0,IF(SUMPRODUCT(MOD(INT(AV168/{2,4,8,16,32,64,128,256,512,1024,2048,4096,8192,16384,32768}),2)*(1-MOD(INT(($CJ33+AU213)/{2,4,8,16,32,64,128,256,512,1024,2048,4096,8192,16384,32768}),2))*{2,4,8,16,32,64,128,256,512,1024,2048,4096,8192,16384,32768})=0,0,2^SUMPRODUCT(--(MOD(SUMPRODUCT(MOD(INT(AV168/{2,4,8,16,32,64,128,256,512,1024,2048,4096,8192,16384,32768}),2)*(1-MOD(INT(($CJ33+AU213)/{2,4,8,16,32,64,128,256,512,1024,2048,4096,8192,16384,32768}),2))*{2,4,8,16,32,64,128,256,512,1024,2048,4096,8192,16384,32768}),{2,4,8,16,32,64,128,256,512,1024,2048,4096,8192,16384,32768})=0))))</f>
        <v/>
      </c>
      <c r="AW213">
        <f>AV213+IF(AND(AW123&gt;0,COUNTIF($Y123:AV123,AW123)=0),0,IF(SUMPRODUCT(MOD(INT(AW168/{2,4,8,16,32,64,128,256,512,1024,2048,4096,8192,16384,32768}),2)*(1-MOD(INT(($CJ33+AV213)/{2,4,8,16,32,64,128,256,512,1024,2048,4096,8192,16384,32768}),2))*{2,4,8,16,32,64,128,256,512,1024,2048,4096,8192,16384,32768})=0,0,2^SUMPRODUCT(--(MOD(SUMPRODUCT(MOD(INT(AW168/{2,4,8,16,32,64,128,256,512,1024,2048,4096,8192,16384,32768}),2)*(1-MOD(INT(($CJ33+AV213)/{2,4,8,16,32,64,128,256,512,1024,2048,4096,8192,16384,32768}),2))*{2,4,8,16,32,64,128,256,512,1024,2048,4096,8192,16384,32768}),{2,4,8,16,32,64,128,256,512,1024,2048,4096,8192,16384,32768})=0))))</f>
        <v/>
      </c>
      <c r="AX213">
        <f>AW213+IF(AND(AX123&gt;0,COUNTIF($Y123:AW123,AX123)=0),0,IF(SUMPRODUCT(MOD(INT(AX168/{2,4,8,16,32,64,128,256,512,1024,2048,4096,8192,16384,32768}),2)*(1-MOD(INT(($CJ33+AW213)/{2,4,8,16,32,64,128,256,512,1024,2048,4096,8192,16384,32768}),2))*{2,4,8,16,32,64,128,256,512,1024,2048,4096,8192,16384,32768})=0,0,2^SUMPRODUCT(--(MOD(SUMPRODUCT(MOD(INT(AX168/{2,4,8,16,32,64,128,256,512,1024,2048,4096,8192,16384,32768}),2)*(1-MOD(INT(($CJ33+AW213)/{2,4,8,16,32,64,128,256,512,1024,2048,4096,8192,16384,32768}),2))*{2,4,8,16,32,64,128,256,512,1024,2048,4096,8192,16384,32768}),{2,4,8,16,32,64,128,256,512,1024,2048,4096,8192,16384,32768})=0))))</f>
        <v/>
      </c>
      <c r="AY213">
        <f>AX213+IF(AND(AY123&gt;0,COUNTIF($Y123:AX123,AY123)=0),0,IF(SUMPRODUCT(MOD(INT(AY168/{2,4,8,16,32,64,128,256,512,1024,2048,4096,8192,16384,32768}),2)*(1-MOD(INT(($CJ33+AX213)/{2,4,8,16,32,64,128,256,512,1024,2048,4096,8192,16384,32768}),2))*{2,4,8,16,32,64,128,256,512,1024,2048,4096,8192,16384,32768})=0,0,2^SUMPRODUCT(--(MOD(SUMPRODUCT(MOD(INT(AY168/{2,4,8,16,32,64,128,256,512,1024,2048,4096,8192,16384,32768}),2)*(1-MOD(INT(($CJ33+AX213)/{2,4,8,16,32,64,128,256,512,1024,2048,4096,8192,16384,32768}),2))*{2,4,8,16,32,64,128,256,512,1024,2048,4096,8192,16384,32768}),{2,4,8,16,32,64,128,256,512,1024,2048,4096,8192,16384,32768})=0))))</f>
        <v/>
      </c>
      <c r="AZ213">
        <f>AY213+IF(AND(AZ123&gt;0,COUNTIF($Y123:AY123,AZ123)=0),0,IF(SUMPRODUCT(MOD(INT(AZ168/{2,4,8,16,32,64,128,256,512,1024,2048,4096,8192,16384,32768}),2)*(1-MOD(INT(($CJ33+AY213)/{2,4,8,16,32,64,128,256,512,1024,2048,4096,8192,16384,32768}),2))*{2,4,8,16,32,64,128,256,512,1024,2048,4096,8192,16384,32768})=0,0,2^SUMPRODUCT(--(MOD(SUMPRODUCT(MOD(INT(AZ168/{2,4,8,16,32,64,128,256,512,1024,2048,4096,8192,16384,32768}),2)*(1-MOD(INT(($CJ33+AY213)/{2,4,8,16,32,64,128,256,512,1024,2048,4096,8192,16384,32768}),2))*{2,4,8,16,32,64,128,256,512,1024,2048,4096,8192,16384,32768}),{2,4,8,16,32,64,128,256,512,1024,2048,4096,8192,16384,32768})=0))))</f>
        <v/>
      </c>
      <c r="BA213">
        <f>AZ213+IF(AND(BA123&gt;0,COUNTIF($Y123:AZ123,BA123)=0),0,IF(SUMPRODUCT(MOD(INT(BA168/{2,4,8,16,32,64,128,256,512,1024,2048,4096,8192,16384,32768}),2)*(1-MOD(INT(($CJ33+AZ213)/{2,4,8,16,32,64,128,256,512,1024,2048,4096,8192,16384,32768}),2))*{2,4,8,16,32,64,128,256,512,1024,2048,4096,8192,16384,32768})=0,0,2^SUMPRODUCT(--(MOD(SUMPRODUCT(MOD(INT(BA168/{2,4,8,16,32,64,128,256,512,1024,2048,4096,8192,16384,32768}),2)*(1-MOD(INT(($CJ33+AZ213)/{2,4,8,16,32,64,128,256,512,1024,2048,4096,8192,16384,32768}),2))*{2,4,8,16,32,64,128,256,512,1024,2048,4096,8192,16384,32768}),{2,4,8,16,32,64,128,256,512,1024,2048,4096,8192,16384,32768})=0))))</f>
        <v/>
      </c>
      <c r="BB213">
        <f>BA213+IF(AND(BB123&gt;0,COUNTIF($Y123:BA123,BB123)=0),0,IF(SUMPRODUCT(MOD(INT(BB168/{2,4,8,16,32,64,128,256,512,1024,2048,4096,8192,16384,32768}),2)*(1-MOD(INT(($CJ33+BA213)/{2,4,8,16,32,64,128,256,512,1024,2048,4096,8192,16384,32768}),2))*{2,4,8,16,32,64,128,256,512,1024,2048,4096,8192,16384,32768})=0,0,2^SUMPRODUCT(--(MOD(SUMPRODUCT(MOD(INT(BB168/{2,4,8,16,32,64,128,256,512,1024,2048,4096,8192,16384,32768}),2)*(1-MOD(INT(($CJ33+BA213)/{2,4,8,16,32,64,128,256,512,1024,2048,4096,8192,16384,32768}),2))*{2,4,8,16,32,64,128,256,512,1024,2048,4096,8192,16384,32768}),{2,4,8,16,32,64,128,256,512,1024,2048,4096,8192,16384,32768})=0))))</f>
        <v/>
      </c>
      <c r="BC213">
        <f>BB213+IF(AND(BC123&gt;0,COUNTIF($Y123:BB123,BC123)=0),0,IF(SUMPRODUCT(MOD(INT(BC168/{2,4,8,16,32,64,128,256,512,1024,2048,4096,8192,16384,32768}),2)*(1-MOD(INT(($CJ33+BB213)/{2,4,8,16,32,64,128,256,512,1024,2048,4096,8192,16384,32768}),2))*{2,4,8,16,32,64,128,256,512,1024,2048,4096,8192,16384,32768})=0,0,2^SUMPRODUCT(--(MOD(SUMPRODUCT(MOD(INT(BC168/{2,4,8,16,32,64,128,256,512,1024,2048,4096,8192,16384,32768}),2)*(1-MOD(INT(($CJ33+BB213)/{2,4,8,16,32,64,128,256,512,1024,2048,4096,8192,16384,32768}),2))*{2,4,8,16,32,64,128,256,512,1024,2048,4096,8192,16384,32768}),{2,4,8,16,32,64,128,256,512,1024,2048,4096,8192,16384,32768})=0))))</f>
        <v/>
      </c>
      <c r="BD213">
        <f>BC213+IF(AND(BD123&gt;0,COUNTIF($Y123:BC123,BD123)=0),0,IF(SUMPRODUCT(MOD(INT(BD168/{2,4,8,16,32,64,128,256,512,1024,2048,4096,8192,16384,32768}),2)*(1-MOD(INT(($CJ33+BC213)/{2,4,8,16,32,64,128,256,512,1024,2048,4096,8192,16384,32768}),2))*{2,4,8,16,32,64,128,256,512,1024,2048,4096,8192,16384,32768})=0,0,2^SUMPRODUCT(--(MOD(SUMPRODUCT(MOD(INT(BD168/{2,4,8,16,32,64,128,256,512,1024,2048,4096,8192,16384,32768}),2)*(1-MOD(INT(($CJ33+BC213)/{2,4,8,16,32,64,128,256,512,1024,2048,4096,8192,16384,32768}),2))*{2,4,8,16,32,64,128,256,512,1024,2048,4096,8192,16384,32768}),{2,4,8,16,32,64,128,256,512,1024,2048,4096,8192,16384,32768})=0))))</f>
        <v/>
      </c>
      <c r="BE213">
        <f>BD213+IF(AND(BE123&gt;0,COUNTIF($Y123:BD123,BE123)=0),0,IF(SUMPRODUCT(MOD(INT(BE168/{2,4,8,16,32,64,128,256,512,1024,2048,4096,8192,16384,32768}),2)*(1-MOD(INT(($CJ33+BD213)/{2,4,8,16,32,64,128,256,512,1024,2048,4096,8192,16384,32768}),2))*{2,4,8,16,32,64,128,256,512,1024,2048,4096,8192,16384,32768})=0,0,2^SUMPRODUCT(--(MOD(SUMPRODUCT(MOD(INT(BE168/{2,4,8,16,32,64,128,256,512,1024,2048,4096,8192,16384,32768}),2)*(1-MOD(INT(($CJ33+BD213)/{2,4,8,16,32,64,128,256,512,1024,2048,4096,8192,16384,32768}),2))*{2,4,8,16,32,64,128,256,512,1024,2048,4096,8192,16384,32768}),{2,4,8,16,32,64,128,256,512,1024,2048,4096,8192,16384,32768})=0))))</f>
        <v/>
      </c>
      <c r="BF213">
        <f>BE213+IF(AND(BF123&gt;0,COUNTIF($Y123:BE123,BF123)=0),0,IF(SUMPRODUCT(MOD(INT(BF168/{2,4,8,16,32,64,128,256,512,1024,2048,4096,8192,16384,32768}),2)*(1-MOD(INT(($CJ33+BE213)/{2,4,8,16,32,64,128,256,512,1024,2048,4096,8192,16384,32768}),2))*{2,4,8,16,32,64,128,256,512,1024,2048,4096,8192,16384,32768})=0,0,2^SUMPRODUCT(--(MOD(SUMPRODUCT(MOD(INT(BF168/{2,4,8,16,32,64,128,256,512,1024,2048,4096,8192,16384,32768}),2)*(1-MOD(INT(($CJ33+BE213)/{2,4,8,16,32,64,128,256,512,1024,2048,4096,8192,16384,32768}),2))*{2,4,8,16,32,64,128,256,512,1024,2048,4096,8192,16384,32768}),{2,4,8,16,32,64,128,256,512,1024,2048,4096,8192,16384,32768})=0))))</f>
        <v/>
      </c>
      <c r="BG213">
        <f>BF213+IF(AND(BG123&gt;0,COUNTIF($Y123:BF123,BG123)=0),0,IF(SUMPRODUCT(MOD(INT(BG168/{2,4,8,16,32,64,128,256,512,1024,2048,4096,8192,16384,32768}),2)*(1-MOD(INT(($CJ33+BF213)/{2,4,8,16,32,64,128,256,512,1024,2048,4096,8192,16384,32768}),2))*{2,4,8,16,32,64,128,256,512,1024,2048,4096,8192,16384,32768})=0,0,2^SUMPRODUCT(--(MOD(SUMPRODUCT(MOD(INT(BG168/{2,4,8,16,32,64,128,256,512,1024,2048,4096,8192,16384,32768}),2)*(1-MOD(INT(($CJ33+BF213)/{2,4,8,16,32,64,128,256,512,1024,2048,4096,8192,16384,32768}),2))*{2,4,8,16,32,64,128,256,512,1024,2048,4096,8192,16384,32768}),{2,4,8,16,32,64,128,256,512,1024,2048,4096,8192,16384,32768})=0))))</f>
        <v/>
      </c>
      <c r="BH213">
        <f>BG213+IF(AND(BH123&gt;0,COUNTIF($Y123:BG123,BH123)=0),0,IF(SUMPRODUCT(MOD(INT(BH168/{2,4,8,16,32,64,128,256,512,1024,2048,4096,8192,16384,32768}),2)*(1-MOD(INT(($CJ33+BG213)/{2,4,8,16,32,64,128,256,512,1024,2048,4096,8192,16384,32768}),2))*{2,4,8,16,32,64,128,256,512,1024,2048,4096,8192,16384,32768})=0,0,2^SUMPRODUCT(--(MOD(SUMPRODUCT(MOD(INT(BH168/{2,4,8,16,32,64,128,256,512,1024,2048,4096,8192,16384,32768}),2)*(1-MOD(INT(($CJ33+BG213)/{2,4,8,16,32,64,128,256,512,1024,2048,4096,8192,16384,32768}),2))*{2,4,8,16,32,64,128,256,512,1024,2048,4096,8192,16384,32768}),{2,4,8,16,32,64,128,256,512,1024,2048,4096,8192,16384,32768})=0))))</f>
        <v/>
      </c>
      <c r="BI213">
        <f>BH213+IF(AND(BI123&gt;0,COUNTIF($Y123:BH123,BI123)=0),0,IF(SUMPRODUCT(MOD(INT(BI168/{2,4,8,16,32,64,128,256,512,1024,2048,4096,8192,16384,32768}),2)*(1-MOD(INT(($CJ33+BH213)/{2,4,8,16,32,64,128,256,512,1024,2048,4096,8192,16384,32768}),2))*{2,4,8,16,32,64,128,256,512,1024,2048,4096,8192,16384,32768})=0,0,2^SUMPRODUCT(--(MOD(SUMPRODUCT(MOD(INT(BI168/{2,4,8,16,32,64,128,256,512,1024,2048,4096,8192,16384,32768}),2)*(1-MOD(INT(($CJ33+BH213)/{2,4,8,16,32,64,128,256,512,1024,2048,4096,8192,16384,32768}),2))*{2,4,8,16,32,64,128,256,512,1024,2048,4096,8192,16384,32768}),{2,4,8,16,32,64,128,256,512,1024,2048,4096,8192,16384,32768})=0))))</f>
        <v/>
      </c>
      <c r="BJ213">
        <f>BI213+IF(AND(BJ123&gt;0,COUNTIF($Y123:BI123,BJ123)=0),0,IF(SUMPRODUCT(MOD(INT(BJ168/{2,4,8,16,32,64,128,256,512,1024,2048,4096,8192,16384,32768}),2)*(1-MOD(INT(($CJ33+BI213)/{2,4,8,16,32,64,128,256,512,1024,2048,4096,8192,16384,32768}),2))*{2,4,8,16,32,64,128,256,512,1024,2048,4096,8192,16384,32768})=0,0,2^SUMPRODUCT(--(MOD(SUMPRODUCT(MOD(INT(BJ168/{2,4,8,16,32,64,128,256,512,1024,2048,4096,8192,16384,32768}),2)*(1-MOD(INT(($CJ33+BI213)/{2,4,8,16,32,64,128,256,512,1024,2048,4096,8192,16384,32768}),2))*{2,4,8,16,32,64,128,256,512,1024,2048,4096,8192,16384,32768}),{2,4,8,16,32,64,128,256,512,1024,2048,4096,8192,16384,32768})=0))))</f>
        <v/>
      </c>
      <c r="BK213">
        <f>BJ213+IF(AND(BK123&gt;0,COUNTIF($Y123:BJ123,BK123)=0),0,IF(SUMPRODUCT(MOD(INT(BK168/{2,4,8,16,32,64,128,256,512,1024,2048,4096,8192,16384,32768}),2)*(1-MOD(INT(($CJ33+BJ213)/{2,4,8,16,32,64,128,256,512,1024,2048,4096,8192,16384,32768}),2))*{2,4,8,16,32,64,128,256,512,1024,2048,4096,8192,16384,32768})=0,0,2^SUMPRODUCT(--(MOD(SUMPRODUCT(MOD(INT(BK168/{2,4,8,16,32,64,128,256,512,1024,2048,4096,8192,16384,32768}),2)*(1-MOD(INT(($CJ33+BJ213)/{2,4,8,16,32,64,128,256,512,1024,2048,4096,8192,16384,32768}),2))*{2,4,8,16,32,64,128,256,512,1024,2048,4096,8192,16384,32768}),{2,4,8,16,32,64,128,256,512,1024,2048,4096,8192,16384,32768})=0))))</f>
        <v/>
      </c>
      <c r="BL213">
        <f>BK213+IF(AND(BL123&gt;0,COUNTIF($Y123:BK123,BL123)=0),0,IF(SUMPRODUCT(MOD(INT(BL168/{2,4,8,16,32,64,128,256,512,1024,2048,4096,8192,16384,32768}),2)*(1-MOD(INT(($CJ33+BK213)/{2,4,8,16,32,64,128,256,512,1024,2048,4096,8192,16384,32768}),2))*{2,4,8,16,32,64,128,256,512,1024,2048,4096,8192,16384,32768})=0,0,2^SUMPRODUCT(--(MOD(SUMPRODUCT(MOD(INT(BL168/{2,4,8,16,32,64,128,256,512,1024,2048,4096,8192,16384,32768}),2)*(1-MOD(INT(($CJ33+BK213)/{2,4,8,16,32,64,128,256,512,1024,2048,4096,8192,16384,32768}),2))*{2,4,8,16,32,64,128,256,512,1024,2048,4096,8192,16384,32768}),{2,4,8,16,32,64,128,256,512,1024,2048,4096,8192,16384,32768})=0))))</f>
        <v/>
      </c>
      <c r="BM213">
        <f>BL213+IF(AND(BM123&gt;0,COUNTIF($Y123:BL123,BM123)=0),0,IF(SUMPRODUCT(MOD(INT(BM168/{2,4,8,16,32,64,128,256,512,1024,2048,4096,8192,16384,32768}),2)*(1-MOD(INT(($CJ33+BL213)/{2,4,8,16,32,64,128,256,512,1024,2048,4096,8192,16384,32768}),2))*{2,4,8,16,32,64,128,256,512,1024,2048,4096,8192,16384,32768})=0,0,2^SUMPRODUCT(--(MOD(SUMPRODUCT(MOD(INT(BM168/{2,4,8,16,32,64,128,256,512,1024,2048,4096,8192,16384,32768}),2)*(1-MOD(INT(($CJ33+BL213)/{2,4,8,16,32,64,128,256,512,1024,2048,4096,8192,16384,32768}),2))*{2,4,8,16,32,64,128,256,512,1024,2048,4096,8192,16384,32768}),{2,4,8,16,32,64,128,256,512,1024,2048,4096,8192,16384,32768})=0))))</f>
        <v/>
      </c>
      <c r="BN213">
        <f>BM213+IF(AND(BN123&gt;0,COUNTIF($Y123:BM123,BN123)=0),0,IF(SUMPRODUCT(MOD(INT(BN168/{2,4,8,16,32,64,128,256,512,1024,2048,4096,8192,16384,32768}),2)*(1-MOD(INT(($CJ33+BM213)/{2,4,8,16,32,64,128,256,512,1024,2048,4096,8192,16384,32768}),2))*{2,4,8,16,32,64,128,256,512,1024,2048,4096,8192,16384,32768})=0,0,2^SUMPRODUCT(--(MOD(SUMPRODUCT(MOD(INT(BN168/{2,4,8,16,32,64,128,256,512,1024,2048,4096,8192,16384,32768}),2)*(1-MOD(INT(($CJ33+BM213)/{2,4,8,16,32,64,128,256,512,1024,2048,4096,8192,16384,32768}),2))*{2,4,8,16,32,64,128,256,512,1024,2048,4096,8192,16384,32768}),{2,4,8,16,32,64,128,256,512,1024,2048,4096,8192,16384,32768})=0))))</f>
        <v/>
      </c>
      <c r="BO213">
        <f>BN213+IF(AND(BO123&gt;0,COUNTIF($Y123:BN123,BO123)=0),0,IF(SUMPRODUCT(MOD(INT(BO168/{2,4,8,16,32,64,128,256,512,1024,2048,4096,8192,16384,32768}),2)*(1-MOD(INT(($CJ33+BN213)/{2,4,8,16,32,64,128,256,512,1024,2048,4096,8192,16384,32768}),2))*{2,4,8,16,32,64,128,256,512,1024,2048,4096,8192,16384,32768})=0,0,2^SUMPRODUCT(--(MOD(SUMPRODUCT(MOD(INT(BO168/{2,4,8,16,32,64,128,256,512,1024,2048,4096,8192,16384,32768}),2)*(1-MOD(INT(($CJ33+BN213)/{2,4,8,16,32,64,128,256,512,1024,2048,4096,8192,16384,32768}),2))*{2,4,8,16,32,64,128,256,512,1024,2048,4096,8192,16384,32768}),{2,4,8,16,32,64,128,256,512,1024,2048,4096,8192,16384,32768})=0))))</f>
        <v/>
      </c>
      <c r="BP213">
        <f>BO213+IF(AND(BP123&gt;0,COUNTIF($Y123:BO123,BP123)=0),0,IF(SUMPRODUCT(MOD(INT(BP168/{2,4,8,16,32,64,128,256,512,1024,2048,4096,8192,16384,32768}),2)*(1-MOD(INT(($CJ33+BO213)/{2,4,8,16,32,64,128,256,512,1024,2048,4096,8192,16384,32768}),2))*{2,4,8,16,32,64,128,256,512,1024,2048,4096,8192,16384,32768})=0,0,2^SUMPRODUCT(--(MOD(SUMPRODUCT(MOD(INT(BP168/{2,4,8,16,32,64,128,256,512,1024,2048,4096,8192,16384,32768}),2)*(1-MOD(INT(($CJ33+BO213)/{2,4,8,16,32,64,128,256,512,1024,2048,4096,8192,16384,32768}),2))*{2,4,8,16,32,64,128,256,512,1024,2048,4096,8192,16384,32768}),{2,4,8,16,32,64,128,256,512,1024,2048,4096,8192,16384,32768})=0))))</f>
        <v/>
      </c>
      <c r="BQ213">
        <f>BP213+IF(AND(BQ123&gt;0,COUNTIF($Y123:BP123,BQ123)=0),0,IF(SUMPRODUCT(MOD(INT(BQ168/{2,4,8,16,32,64,128,256,512,1024,2048,4096,8192,16384,32768}),2)*(1-MOD(INT(($CJ33+BP213)/{2,4,8,16,32,64,128,256,512,1024,2048,4096,8192,16384,32768}),2))*{2,4,8,16,32,64,128,256,512,1024,2048,4096,8192,16384,32768})=0,0,2^SUMPRODUCT(--(MOD(SUMPRODUCT(MOD(INT(BQ168/{2,4,8,16,32,64,128,256,512,1024,2048,4096,8192,16384,32768}),2)*(1-MOD(INT(($CJ33+BP213)/{2,4,8,16,32,64,128,256,512,1024,2048,4096,8192,16384,32768}),2))*{2,4,8,16,32,64,128,256,512,1024,2048,4096,8192,16384,32768}),{2,4,8,16,32,64,128,256,512,1024,2048,4096,8192,16384,32768})=0))))</f>
        <v/>
      </c>
      <c r="BR213">
        <f>BQ213+IF(AND(BR123&gt;0,COUNTIF($Y123:BQ123,BR123)=0),0,IF(SUMPRODUCT(MOD(INT(BR168/{2,4,8,16,32,64,128,256,512,1024,2048,4096,8192,16384,32768}),2)*(1-MOD(INT(($CJ33+BQ213)/{2,4,8,16,32,64,128,256,512,1024,2048,4096,8192,16384,32768}),2))*{2,4,8,16,32,64,128,256,512,1024,2048,4096,8192,16384,32768})=0,0,2^SUMPRODUCT(--(MOD(SUMPRODUCT(MOD(INT(BR168/{2,4,8,16,32,64,128,256,512,1024,2048,4096,8192,16384,32768}),2)*(1-MOD(INT(($CJ33+BQ213)/{2,4,8,16,32,64,128,256,512,1024,2048,4096,8192,16384,32768}),2))*{2,4,8,16,32,64,128,256,512,1024,2048,4096,8192,16384,32768}),{2,4,8,16,32,64,128,256,512,1024,2048,4096,8192,16384,32768})=0))))</f>
        <v/>
      </c>
      <c r="BS213">
        <f>BR213+IF(AND(BS123&gt;0,COUNTIF($Y123:BR123,BS123)=0),0,IF(SUMPRODUCT(MOD(INT(BS168/{2,4,8,16,32,64,128,256,512,1024,2048,4096,8192,16384,32768}),2)*(1-MOD(INT(($CJ33+BR213)/{2,4,8,16,32,64,128,256,512,1024,2048,4096,8192,16384,32768}),2))*{2,4,8,16,32,64,128,256,512,1024,2048,4096,8192,16384,32768})=0,0,2^SUMPRODUCT(--(MOD(SUMPRODUCT(MOD(INT(BS168/{2,4,8,16,32,64,128,256,512,1024,2048,4096,8192,16384,32768}),2)*(1-MOD(INT(($CJ33+BR213)/{2,4,8,16,32,64,128,256,512,1024,2048,4096,8192,16384,32768}),2))*{2,4,8,16,32,64,128,256,512,1024,2048,4096,8192,16384,32768}),{2,4,8,16,32,64,128,256,512,1024,2048,4096,8192,16384,32768})=0))))</f>
        <v/>
      </c>
      <c r="BT213">
        <f>BS213+IF(AND(BT123&gt;0,COUNTIF($Y123:BS123,BT123)=0),0,IF(SUMPRODUCT(MOD(INT(BT168/{2,4,8,16,32,64,128,256,512,1024,2048,4096,8192,16384,32768}),2)*(1-MOD(INT(($CJ33+BS213)/{2,4,8,16,32,64,128,256,512,1024,2048,4096,8192,16384,32768}),2))*{2,4,8,16,32,64,128,256,512,1024,2048,4096,8192,16384,32768})=0,0,2^SUMPRODUCT(--(MOD(SUMPRODUCT(MOD(INT(BT168/{2,4,8,16,32,64,128,256,512,1024,2048,4096,8192,16384,32768}),2)*(1-MOD(INT(($CJ33+BS213)/{2,4,8,16,32,64,128,256,512,1024,2048,4096,8192,16384,32768}),2))*{2,4,8,16,32,64,128,256,512,1024,2048,4096,8192,16384,32768}),{2,4,8,16,32,64,128,256,512,1024,2048,4096,8192,16384,32768})=0))))</f>
        <v/>
      </c>
      <c r="BU213">
        <f>BT213+IF(AND(BU123&gt;0,COUNTIF($Y123:BT123,BU123)=0),0,IF(SUMPRODUCT(MOD(INT(BU168/{2,4,8,16,32,64,128,256,512,1024,2048,4096,8192,16384,32768}),2)*(1-MOD(INT(($CJ33+BT213)/{2,4,8,16,32,64,128,256,512,1024,2048,4096,8192,16384,32768}),2))*{2,4,8,16,32,64,128,256,512,1024,2048,4096,8192,16384,32768})=0,0,2^SUMPRODUCT(--(MOD(SUMPRODUCT(MOD(INT(BU168/{2,4,8,16,32,64,128,256,512,1024,2048,4096,8192,16384,32768}),2)*(1-MOD(INT(($CJ33+BT213)/{2,4,8,16,32,64,128,256,512,1024,2048,4096,8192,16384,32768}),2))*{2,4,8,16,32,64,128,256,512,1024,2048,4096,8192,16384,32768}),{2,4,8,16,32,64,128,256,512,1024,2048,4096,8192,16384,32768})=0))))</f>
        <v/>
      </c>
      <c r="BV213">
        <f>BU213+IF(AND(BV123&gt;0,COUNTIF($Y123:BU123,BV123)=0),0,IF(SUMPRODUCT(MOD(INT(BV168/{2,4,8,16,32,64,128,256,512,1024,2048,4096,8192,16384,32768}),2)*(1-MOD(INT(($CJ33+BU213)/{2,4,8,16,32,64,128,256,512,1024,2048,4096,8192,16384,32768}),2))*{2,4,8,16,32,64,128,256,512,1024,2048,4096,8192,16384,32768})=0,0,2^SUMPRODUCT(--(MOD(SUMPRODUCT(MOD(INT(BV168/{2,4,8,16,32,64,128,256,512,1024,2048,4096,8192,16384,32768}),2)*(1-MOD(INT(($CJ33+BU213)/{2,4,8,16,32,64,128,256,512,1024,2048,4096,8192,16384,32768}),2))*{2,4,8,16,32,64,128,256,512,1024,2048,4096,8192,16384,32768}),{2,4,8,16,32,64,128,256,512,1024,2048,4096,8192,16384,32768})=0))))</f>
        <v/>
      </c>
      <c r="BW213">
        <f>BV213+IF(AND(BW123&gt;0,COUNTIF($Y123:BV123,BW123)=0),0,IF(SUMPRODUCT(MOD(INT(BW168/{2,4,8,16,32,64,128,256,512,1024,2048,4096,8192,16384,32768}),2)*(1-MOD(INT(($CJ33+BV213)/{2,4,8,16,32,64,128,256,512,1024,2048,4096,8192,16384,32768}),2))*{2,4,8,16,32,64,128,256,512,1024,2048,4096,8192,16384,32768})=0,0,2^SUMPRODUCT(--(MOD(SUMPRODUCT(MOD(INT(BW168/{2,4,8,16,32,64,128,256,512,1024,2048,4096,8192,16384,32768}),2)*(1-MOD(INT(($CJ33+BV213)/{2,4,8,16,32,64,128,256,512,1024,2048,4096,8192,16384,32768}),2))*{2,4,8,16,32,64,128,256,512,1024,2048,4096,8192,16384,32768}),{2,4,8,16,32,64,128,256,512,1024,2048,4096,8192,16384,32768})=0))))</f>
        <v/>
      </c>
      <c r="BX213">
        <f>BW213+IF(AND(BX123&gt;0,COUNTIF($Y123:BW123,BX123)=0),0,IF(SUMPRODUCT(MOD(INT(BX168/{2,4,8,16,32,64,128,256,512,1024,2048,4096,8192,16384,32768}),2)*(1-MOD(INT(($CJ33+BW213)/{2,4,8,16,32,64,128,256,512,1024,2048,4096,8192,16384,32768}),2))*{2,4,8,16,32,64,128,256,512,1024,2048,4096,8192,16384,32768})=0,0,2^SUMPRODUCT(--(MOD(SUMPRODUCT(MOD(INT(BX168/{2,4,8,16,32,64,128,256,512,1024,2048,4096,8192,16384,32768}),2)*(1-MOD(INT(($CJ33+BW213)/{2,4,8,16,32,64,128,256,512,1024,2048,4096,8192,16384,32768}),2))*{2,4,8,16,32,64,128,256,512,1024,2048,4096,8192,16384,32768}),{2,4,8,16,32,64,128,256,512,1024,2048,4096,8192,16384,32768})=0))))</f>
        <v/>
      </c>
      <c r="BY213">
        <f>BX213+IF(AND(BY123&gt;0,COUNTIF($Y123:BX123,BY123)=0),0,IF(SUMPRODUCT(MOD(INT(BY168/{2,4,8,16,32,64,128,256,512,1024,2048,4096,8192,16384,32768}),2)*(1-MOD(INT(($CJ33+BX213)/{2,4,8,16,32,64,128,256,512,1024,2048,4096,8192,16384,32768}),2))*{2,4,8,16,32,64,128,256,512,1024,2048,4096,8192,16384,32768})=0,0,2^SUMPRODUCT(--(MOD(SUMPRODUCT(MOD(INT(BY168/{2,4,8,16,32,64,128,256,512,1024,2048,4096,8192,16384,32768}),2)*(1-MOD(INT(($CJ33+BX213)/{2,4,8,16,32,64,128,256,512,1024,2048,4096,8192,16384,32768}),2))*{2,4,8,16,32,64,128,256,512,1024,2048,4096,8192,16384,32768}),{2,4,8,16,32,64,128,256,512,1024,2048,4096,8192,16384,32768})=0))))</f>
        <v/>
      </c>
      <c r="BZ213">
        <f>BY213+IF(AND(BZ123&gt;0,COUNTIF($Y123:BY123,BZ123)=0),0,IF(SUMPRODUCT(MOD(INT(BZ168/{2,4,8,16,32,64,128,256,512,1024,2048,4096,8192,16384,32768}),2)*(1-MOD(INT(($CJ33+BY213)/{2,4,8,16,32,64,128,256,512,1024,2048,4096,8192,16384,32768}),2))*{2,4,8,16,32,64,128,256,512,1024,2048,4096,8192,16384,32768})=0,0,2^SUMPRODUCT(--(MOD(SUMPRODUCT(MOD(INT(BZ168/{2,4,8,16,32,64,128,256,512,1024,2048,4096,8192,16384,32768}),2)*(1-MOD(INT(($CJ33+BY213)/{2,4,8,16,32,64,128,256,512,1024,2048,4096,8192,16384,32768}),2))*{2,4,8,16,32,64,128,256,512,1024,2048,4096,8192,16384,32768}),{2,4,8,16,32,64,128,256,512,1024,2048,4096,8192,16384,32768})=0))))</f>
        <v/>
      </c>
      <c r="CA213">
        <f>BZ213+IF(AND(CA123&gt;0,COUNTIF($Y123:BZ123,CA123)=0),0,IF(SUMPRODUCT(MOD(INT(CA168/{2,4,8,16,32,64,128,256,512,1024,2048,4096,8192,16384,32768}),2)*(1-MOD(INT(($CJ33+BZ213)/{2,4,8,16,32,64,128,256,512,1024,2048,4096,8192,16384,32768}),2))*{2,4,8,16,32,64,128,256,512,1024,2048,4096,8192,16384,32768})=0,0,2^SUMPRODUCT(--(MOD(SUMPRODUCT(MOD(INT(CA168/{2,4,8,16,32,64,128,256,512,1024,2048,4096,8192,16384,32768}),2)*(1-MOD(INT(($CJ33+BZ213)/{2,4,8,16,32,64,128,256,512,1024,2048,4096,8192,16384,32768}),2))*{2,4,8,16,32,64,128,256,512,1024,2048,4096,8192,16384,32768}),{2,4,8,16,32,64,128,256,512,1024,2048,4096,8192,16384,32768})=0))))</f>
        <v/>
      </c>
      <c r="CB213">
        <f>CA213+IF(AND(CB123&gt;0,COUNTIF($Y123:CA123,CB123)=0),0,IF(SUMPRODUCT(MOD(INT(CB168/{2,4,8,16,32,64,128,256,512,1024,2048,4096,8192,16384,32768}),2)*(1-MOD(INT(($CJ33+CA213)/{2,4,8,16,32,64,128,256,512,1024,2048,4096,8192,16384,32768}),2))*{2,4,8,16,32,64,128,256,512,1024,2048,4096,8192,16384,32768})=0,0,2^SUMPRODUCT(--(MOD(SUMPRODUCT(MOD(INT(CB168/{2,4,8,16,32,64,128,256,512,1024,2048,4096,8192,16384,32768}),2)*(1-MOD(INT(($CJ33+CA213)/{2,4,8,16,32,64,128,256,512,1024,2048,4096,8192,16384,32768}),2))*{2,4,8,16,32,64,128,256,512,1024,2048,4096,8192,16384,32768}),{2,4,8,16,32,64,128,256,512,1024,2048,4096,8192,16384,32768})=0))))</f>
        <v/>
      </c>
      <c r="CC213">
        <f>CB213+IF(AND(CC123&gt;0,COUNTIF($Y123:CB123,CC123)=0),0,IF(SUMPRODUCT(MOD(INT(CC168/{2,4,8,16,32,64,128,256,512,1024,2048,4096,8192,16384,32768}),2)*(1-MOD(INT(($CJ33+CB213)/{2,4,8,16,32,64,128,256,512,1024,2048,4096,8192,16384,32768}),2))*{2,4,8,16,32,64,128,256,512,1024,2048,4096,8192,16384,32768})=0,0,2^SUMPRODUCT(--(MOD(SUMPRODUCT(MOD(INT(CC168/{2,4,8,16,32,64,128,256,512,1024,2048,4096,8192,16384,32768}),2)*(1-MOD(INT(($CJ33+CB213)/{2,4,8,16,32,64,128,256,512,1024,2048,4096,8192,16384,32768}),2))*{2,4,8,16,32,64,128,256,512,1024,2048,4096,8192,16384,32768}),{2,4,8,16,32,64,128,256,512,1024,2048,4096,8192,16384,32768})=0))))</f>
        <v/>
      </c>
      <c r="CD213">
        <f>CC213+IF(AND(CD123&gt;0,COUNTIF($Y123:CC123,CD123)=0),0,IF(SUMPRODUCT(MOD(INT(CD168/{2,4,8,16,32,64,128,256,512,1024,2048,4096,8192,16384,32768}),2)*(1-MOD(INT(($CJ33+CC213)/{2,4,8,16,32,64,128,256,512,1024,2048,4096,8192,16384,32768}),2))*{2,4,8,16,32,64,128,256,512,1024,2048,4096,8192,16384,32768})=0,0,2^SUMPRODUCT(--(MOD(SUMPRODUCT(MOD(INT(CD168/{2,4,8,16,32,64,128,256,512,1024,2048,4096,8192,16384,32768}),2)*(1-MOD(INT(($CJ33+CC213)/{2,4,8,16,32,64,128,256,512,1024,2048,4096,8192,16384,32768}),2))*{2,4,8,16,32,64,128,256,512,1024,2048,4096,8192,16384,32768}),{2,4,8,16,32,64,128,256,512,1024,2048,4096,8192,16384,32768})=0))))</f>
        <v/>
      </c>
      <c r="CE213">
        <f>CD213+IF(AND(CE123&gt;0,COUNTIF($Y123:CD123,CE123)=0),0,IF(SUMPRODUCT(MOD(INT(CE168/{2,4,8,16,32,64,128,256,512,1024,2048,4096,8192,16384,32768}),2)*(1-MOD(INT(($CJ33+CD213)/{2,4,8,16,32,64,128,256,512,1024,2048,4096,8192,16384,32768}),2))*{2,4,8,16,32,64,128,256,512,1024,2048,4096,8192,16384,32768})=0,0,2^SUMPRODUCT(--(MOD(SUMPRODUCT(MOD(INT(CE168/{2,4,8,16,32,64,128,256,512,1024,2048,4096,8192,16384,32768}),2)*(1-MOD(INT(($CJ33+CD213)/{2,4,8,16,32,64,128,256,512,1024,2048,4096,8192,16384,32768}),2))*{2,4,8,16,32,64,128,256,512,1024,2048,4096,8192,16384,32768}),{2,4,8,16,32,64,128,256,512,1024,2048,4096,8192,16384,32768})=0))))</f>
        <v/>
      </c>
      <c r="CF213">
        <f>CE213+IF(AND(CF123&gt;0,COUNTIF($Y123:CE123,CF123)=0),0,IF(SUMPRODUCT(MOD(INT(CF168/{2,4,8,16,32,64,128,256,512,1024,2048,4096,8192,16384,32768}),2)*(1-MOD(INT(($CJ33+CE213)/{2,4,8,16,32,64,128,256,512,1024,2048,4096,8192,16384,32768}),2))*{2,4,8,16,32,64,128,256,512,1024,2048,4096,8192,16384,32768})=0,0,2^SUMPRODUCT(--(MOD(SUMPRODUCT(MOD(INT(CF168/{2,4,8,16,32,64,128,256,512,1024,2048,4096,8192,16384,32768}),2)*(1-MOD(INT(($CJ33+CE213)/{2,4,8,16,32,64,128,256,512,1024,2048,4096,8192,16384,32768}),2))*{2,4,8,16,32,64,128,256,512,1024,2048,4096,8192,16384,32768}),{2,4,8,16,32,64,128,256,512,1024,2048,4096,8192,16384,32768})=0))))</f>
        <v/>
      </c>
      <c r="DA213" t="n">
        <v>209</v>
      </c>
      <c r="DB213">
        <f>IF($B$37=0,"",IFERROR(TRIM(SUBSTITUTE(SUBSTITUTE(SUBSTITUTE(SUBSTITUTE(INDEX(PASTE_ALL,209,$B$37)," "," "),CHAR(9)," "),CHAR(10)," "),CHAR(13)," ")),""))</f>
        <v/>
      </c>
      <c r="DC213">
        <f>IF(AND(209&gt;HEADER_ROW,UPPER(DB213)="LEGEND"),1,0)</f>
        <v/>
      </c>
      <c r="DE213" t="n">
        <v>209</v>
      </c>
      <c r="DF213">
        <f>HEADER_ROW+$DE213</f>
        <v/>
      </c>
      <c r="DG213">
        <f>IF(AND($DF213&lt;=1000,$DF213&lt;$B$8),1,0)</f>
        <v/>
      </c>
      <c r="DH213">
        <f>IF($DG213=1,IFERROR(INDEX($DB$5:$DB$1004,$DF213),""),"")</f>
        <v/>
      </c>
      <c r="DI213">
        <f>IF(AND($DG213=1,$DH213&lt;&gt;""),IFERROR(SUBSTITUTE(SUBSTITUTE(TRIM(SUBSTITUTE(SUBSTITUTE(SUBSTITUTE(SUBSTITUTE(IFERROR(INDEX(PASTE_ALL,$DF213,1)&amp;"","")&amp;"␟"&amp;IFERROR(INDEX(PASTE_ALL,$DF213,2)&amp;"","")&amp;"␟"&amp;IFERROR(INDEX(PASTE_ALL,$DF213,3)&amp;"","")&amp;"␟"&amp;IFERROR(INDEX(PASTE_ALL,$DF213,4)&amp;"","")&amp;"␟"&amp;IFERROR(INDEX(PASTE_ALL,$DF213,5)&amp;"","")&amp;"␟"&amp;IFERROR(INDEX(PASTE_ALL,$DF213,6)&amp;"","")&amp;"␟"&amp;IFERROR(INDEX(PASTE_ALL,$DF213,7)&amp;"","")&amp;"␟"&amp;IFERROR(INDEX(PASTE_ALL,$DF213,8)&amp;"","")&amp;"␟"&amp;IFERROR(INDEX(PASTE_ALL,$DF213,9)&amp;"","")&amp;"␟"&amp;IFERROR(INDEX(PASTE_ALL,$DF213,10)&amp;"","")&amp;"␟"&amp;IFERROR(INDEX(PASTE_ALL,$DF213,11)&amp;"","")&amp;"␟"&amp;IFERROR(INDEX(PASTE_ALL,$DF213,12)&amp;"","")&amp;"␟"&amp;IFERROR(INDEX(PASTE_ALL,$DF213,13)&amp;"","")&amp;"␟"&amp;IFERROR(INDEX(PASTE_ALL,$DF213,14)&amp;"","")&amp;"␟"&amp;IFERROR(INDEX(PASTE_ALL,$DF213,15)&amp;"","")&amp;"␟"&amp;IFERROR(INDEX(PASTE_ALL,$DF213,16)&amp;"","")&amp;"␟"&amp;IFERROR(INDEX(PASTE_ALL,$DF213,17)&amp;"","")&amp;"␟"&amp;IFERROR(INDEX(PASTE_ALL,$DF213,18)&amp;"","")&amp;"␟"&amp;IFERROR(INDEX(PASTE_ALL,$DF213,19)&amp;"","")&amp;"␟"&amp;IFERROR(INDEX(PASTE_ALL,$DF213,20)&amp;"","")&amp;"␟"&amp;IFERROR(INDEX(PASTE_ALL,$DF213,21)&amp;"","")&amp;"␟"&amp;IFERROR(INDEX(PASTE_ALL,$DF213,22)&amp;"","")&amp;"␟"&amp;IFERROR(INDEX(PASTE_ALL,$DF213,23)&amp;"","")&amp;"␟"&amp;IFERROR(INDEX(PASTE_ALL,$DF213,24)&amp;"","")&amp;"␟"&amp;IFERROR(INDEX(PASTE_ALL,$DF213,25)&amp;"","")&amp;"␟"&amp;IFERROR(INDEX(PASTE_ALL,$DF213,26)&amp;"","")&amp;"␟"&amp;IFERROR(INDEX(PASTE_ALL,$DF213,27)&amp;"","")&amp;"␟"&amp;IFERROR(INDEX(PASTE_ALL,$DF213,28)&amp;"","")&amp;"␟"&amp;IFERROR(INDEX(PASTE_ALL,$DF213,29)&amp;"","")&amp;"␟"&amp;IFERROR(INDEX(PASTE_ALL,$DF213,30)&amp;"","")&amp;"␟"&amp;IFERROR(INDEX(PASTE_ALL,$DF213,31)&amp;"","")&amp;"␟"&amp;IFERROR(INDEX(PASTE_ALL,$DF213,32)&amp;"","")&amp;"␟"&amp;IFERROR(INDEX(PASTE_ALL,$DF213,33)&amp;"","")&amp;"␟"&amp;IFERROR(INDEX(PASTE_ALL,$DF213,34)&amp;"","")&amp;"␟"&amp;IFERROR(INDEX(PASTE_ALL,$DF213,35)&amp;"","")&amp;"␟"&amp;IFERROR(INDEX(PASTE_ALL,$DF213,36)&amp;"","")&amp;"␟"&amp;IFERROR(INDEX(PASTE_ALL,$DF213,37)&amp;"","")&amp;"␟"&amp;IFERROR(INDEX(PASTE_ALL,$DF213,38)&amp;"","")&amp;"␟"&amp;IFERROR(INDEX(PASTE_ALL,$DF213,39)&amp;"","")&amp;"␟"&amp;IFERROR(INDEX(PASTE_ALL,$DF213,40)&amp;"","")&amp;"␟"&amp;IFERROR(INDEX(PASTE_ALL,$DF213,41)&amp;"","")&amp;"␟"&amp;IFERROR(INDEX(PASTE_ALL,$DF213,42)&amp;"","")&amp;"␟"&amp;IFERROR(INDEX(PASTE_ALL,$DF213,43)&amp;"","")&amp;"␟"&amp;IFERROR(INDEX(PASTE_ALL,$DF213,44)&amp;"","")&amp;"␟"&amp;IFERROR(INDEX(PASTE_ALL,$DF213,45)&amp;"","")&amp;"␟"&amp;IFERROR(INDEX(PASTE_ALL,$DF213,46)&amp;"","")&amp;"␟"&amp;IFERROR(INDEX(PASTE_ALL,$DF213,47)&amp;"","")&amp;"␟"&amp;IFERROR(INDEX(PASTE_ALL,$DF213,48)&amp;"","")&amp;"␟"&amp;IFERROR(INDEX(PASTE_ALL,$DF213,49)&amp;"","")&amp;"␟"&amp;IFERROR(INDEX(PASTE_ALL,$DF213,50)&amp;"","")&amp;"␟"&amp;IFERROR(INDEX(PASTE_ALL,$DF213,51)&amp;"","")&amp;"␟"&amp;IFERROR(INDEX(PASTE_ALL,$DF213,52)&amp;"","")&amp;"␟"&amp;IFERROR(INDEX(PASTE_ALL,$DF213,53)&amp;"","")&amp;"␟"&amp;IFERROR(INDEX(PASTE_ALL,$DF213,54)&amp;"","")&amp;"␟"&amp;IFERROR(INDEX(PASTE_ALL,$DF213,55)&amp;"","")&amp;"␟"&amp;IFERROR(INDEX(PASTE_ALL,$DF213,56)&amp;"","")&amp;"␟"&amp;IFERROR(INDEX(PASTE_ALL,$DF213,57)&amp;"","")&amp;"␟"&amp;IFERROR(INDEX(PASTE_ALL,$DF213,58)&amp;"","")&amp;"␟"&amp;IFERROR(INDEX(PASTE_ALL,$DF213,59)&amp;"","")&amp;"␟"&amp;IFERROR(INDEX(PASTE_ALL,$DF213,60)&amp;"","")," "," "),CHAR(9)," "),CHAR(10)," "),CHAR(13)," "))," ␟","␟"),"␟ ","␟"),"#"&amp;$DE213),"")</f>
        <v/>
      </c>
      <c r="DJ213">
        <f>IF($DI213="",0,IF(SUMPRODUCT(--EXACT($DI$4:DI212,$DI213))&gt;0,1,0))</f>
        <v/>
      </c>
      <c r="DK213">
        <f>IF(AND($DI213&lt;&gt;"",$DJ213=0),1,0)</f>
        <v/>
      </c>
      <c r="DL213">
        <f>DL212+$DK213</f>
        <v/>
      </c>
      <c r="DM213">
        <f>IF(AND($DK213=1,$DL213&lt;=600),1,0)</f>
        <v/>
      </c>
      <c r="DN213">
        <f>IF($DM213=0,"",IF($L$6=0,"",IFERROR(IF(ISNUMBER(INDEX(PASTE_ALL,$DF213,$L$6)),INDEX(PASTE_ALL,$DF213,$L$6),TRIM(SUBSTITUTE(SUBSTITUTE(SUBSTITUTE(SUBSTITUTE(INDEX(PASTE_ALL,$DF213,$L$6)," "," "),CHAR(9)," "),CHAR(10)," "),CHAR(13)," "))),"")))</f>
        <v/>
      </c>
      <c r="DO213">
        <f>IF($DM213=0,"",IF($L$7=0,"",IFERROR(IF(ISNUMBER(INDEX(PASTE_ALL,$DF213,$L$7)),INDEX(PASTE_ALL,$DF213,$L$7),TRIM(SUBSTITUTE(SUBSTITUTE(SUBSTITUTE(SUBSTITUTE(INDEX(PASTE_ALL,$DF213,$L$7)," "," "),CHAR(9)," "),CHAR(10)," "),CHAR(13)," "))),"")))</f>
        <v/>
      </c>
      <c r="DP213">
        <f>IF($DM213=0,"",IF($L$8=0,"",IFERROR(IF(ISNUMBER(INDEX(PASTE_ALL,$DF213,$L$8)),INDEX(PASTE_ALL,$DF213,$L$8),TRIM(SUBSTITUTE(SUBSTITUTE(SUBSTITUTE(SUBSTITUTE(INDEX(PASTE_ALL,$DF213,$L$8)," "," "),CHAR(9)," "),CHAR(10)," "),CHAR(13)," "))),"")))</f>
        <v/>
      </c>
      <c r="DQ213">
        <f>IF($DM213=0,"",IF($L$9=0,"",IFERROR(IF(ISNUMBER(INDEX(PASTE_ALL,$DF213,$L$9)),INDEX(PASTE_ALL,$DF213,$L$9),TRIM(SUBSTITUTE(SUBSTITUTE(SUBSTITUTE(SUBSTITUTE(INDEX(PASTE_ALL,$DF213,$L$9)," "," "),CHAR(9)," "),CHAR(10)," "),CHAR(13)," "))),"")))</f>
        <v/>
      </c>
      <c r="DR213">
        <f>IF($DM213=0,"",IF($L$10=0,"",IFERROR(IF(ISNUMBER(INDEX(PASTE_ALL,$DF213,$L$10)),INDEX(PASTE_ALL,$DF213,$L$10),TRIM(SUBSTITUTE(SUBSTITUTE(SUBSTITUTE(SUBSTITUTE(INDEX(PASTE_ALL,$DF213,$L$10)," "," "),CHAR(9)," "),CHAR(10)," "),CHAR(13)," "))),"")))</f>
        <v/>
      </c>
      <c r="DS213">
        <f>IF($DM213=0,"",IF($L$11=0,"",IFERROR(IF(ISNUMBER(INDEX(PASTE_ALL,$DF213,$L$11)),INDEX(PASTE_ALL,$DF213,$L$11),TRIM(SUBSTITUTE(SUBSTITUTE(SUBSTITUTE(SUBSTITUTE(INDEX(PASTE_ALL,$DF213,$L$11)," "," "),CHAR(9)," "),CHAR(10)," "),CHAR(13)," "))),"")))</f>
        <v/>
      </c>
      <c r="DT213">
        <f>IF($DM213=0,"",IF($L$12=0,"",IFERROR(IF(ISNUMBER(INDEX(PASTE_ALL,$DF213,$L$12)),INDEX(PASTE_ALL,$DF213,$L$12),TRIM(SUBSTITUTE(SUBSTITUTE(SUBSTITUTE(SUBSTITUTE(INDEX(PASTE_ALL,$DF213,$L$12)," "," "),CHAR(9)," "),CHAR(10)," "),CHAR(13)," "))),"")))</f>
        <v/>
      </c>
      <c r="DU213">
        <f>IF($DM213=0,"",IF($L$13=0,"",IFERROR(IF(ISNUMBER(INDEX(PASTE_ALL,$DF213,$L$13)),INDEX(PASTE_ALL,$DF213,$L$13),TRIM(SUBSTITUTE(SUBSTITUTE(SUBSTITUTE(SUBSTITUTE(INDEX(PASTE_ALL,$DF213,$L$13)," "," "),CHAR(9)," "),CHAR(10)," "),CHAR(13)," "))),"")))</f>
        <v/>
      </c>
      <c r="DV213">
        <f>IF($DM213=0,"",IF($L$14=0,"",IFERROR(IF(ISNUMBER(INDEX(PASTE_ALL,$DF213,$L$14)),INDEX(PASTE_ALL,$DF213,$L$14),TRIM(SUBSTITUTE(SUBSTITUTE(SUBSTITUTE(SUBSTITUTE(INDEX(PASTE_ALL,$DF213,$L$14)," "," "),CHAR(9)," "),CHAR(10)," "),CHAR(13)," "))),"")))</f>
        <v/>
      </c>
      <c r="DW213">
        <f>IF($DM213=0,"",IF($L$15=0,"",IFERROR(IF(ISNUMBER(INDEX(PASTE_ALL,$DF213,$L$15)),INDEX(PASTE_ALL,$DF213,$L$15),IF(SUMPRODUCT(--ISNUMBER(FIND({"A","B","C","D","E","F","G","H","I","J","K","L","M","N","O","P","Q","R","S","T","U","V","W","X","Y","Z","0","1","2","3","4","5","6","7","8","9"},UPPER(TRIM(SUBSTITUTE(SUBSTITUTE(SUBSTITUTE(SUBSTITUTE(INDEX(PASTE_ALL,$DF213,$L$15)," "," "),CHAR(9)," "),CHAR(10)," "),CHAR(13)," "))))))&gt;0,TRIM(SUBSTITUTE(SUBSTITUTE(SUBSTITUTE(SUBSTITUTE(INDEX(PASTE_ALL,$DF213,$L$15)," "," "),CHAR(9)," "),CHAR(10)," "),CHAR(13)," ")),"")),"")))</f>
        <v/>
      </c>
      <c r="DX213">
        <f>IF($DM213=0,"",IF($L$16=0,"",IFERROR(IF(ISNUMBER(INDEX(PASTE_ALL,$DF213,$L$16)),INDEX(PASTE_ALL,$DF213,$L$16),SUBSTITUTE(SUBSTITUTE(TRIM(SUBSTITUTE(SUBSTITUTE(SUBSTITUTE(SUBSTITUTE(INDEX(PASTE_ALL,$DF213,$L$16)," "," "),CHAR(9)," "),CHAR(10)," "),CHAR(13)," ")),",",""),"%","")),"")))</f>
        <v/>
      </c>
      <c r="DY213">
        <f>IF($DM213=0,"",IFERROR(IF(ISNUMBER($DX213),$DX213,IF($DX213="","",IF(TRIM($DX213)="",0,IF(AND(AND(SUBSTITUTE(SUBSTITUTE(SUBSTITUTE(SUBSTITUTE(SUBSTITUTE(SUBSTITUTE(SUBSTITUTE(SUBSTITUTE(SUBSTITUTE(SUBSTITUTE(SUBSTITUTE(SUBSTITUTE(SUBSTITUTE(SUBSTITUTE(UPPER(TRIM($DX213)),"0",""),"1",""),"2",""),"3",""),"4",""),"5",""),"6",""),"7",""),"8",""),"9",""),".",""),"+",""),"-",""),"E","")="",LEN(SUBSTITUTE(SUBSTITUTE(MID(UPPER(TRIM($DX213)),1+OR(LEFT(UPPER(TRIM($DX213)),1)="+",LEFT(UPPER(TRIM($DX213)),1)="-"),999),"E+","E"),"E-","E"))=LEN(SUBSTITUTE(SUBSTITUTE(SUBSTITUTE(SUBSTITUTE(MID(UPPER(TRIM($DX213)),1+OR(LEFT(UPPER(TRIM($DX213)),1)="+",LEFT(UPPER(TRIM($DX213)),1)="-"),999),"E+","E"),"E-","E"),"+",""),"-","")),LEN(UPPER(TRIM($DX213)))-LEN(SUBSTITUTE(UPPER(TRIM($DX213)),"E",""))&lt;2,LEN(UPPER(TRIM($DX213)))-LEN(SUBSTITUTE(UPPER(TRIM($DX213)),".",""))&lt;2,IFERROR(FIND(".",UPPER(TRIM($DX213))),0)&lt;IFERROR(FIND("E",UPPER(TRIM($DX213))),999)),ISNUMBER(VALUE(TRIM($DX213)))),VALUE(TRIM($DX213)),"")))),""))</f>
        <v/>
      </c>
      <c r="DZ213">
        <f>IF($DM213=0,"",IF($L$17=0,"",IFERROR(IF(ISNUMBER(INDEX(PASTE_ALL,$DF213,$L$17)),INDEX(PASTE_ALL,$DF213,$L$17),SUBSTITUTE(SUBSTITUTE(TRIM(SUBSTITUTE(SUBSTITUTE(SUBSTITUTE(SUBSTITUTE(INDEX(PASTE_ALL,$DF213,$L$17)," "," "),CHAR(9)," "),CHAR(10)," "),CHAR(13)," ")),",",""),"%","")),"")))</f>
        <v/>
      </c>
      <c r="EA213">
        <f>IF($DM213=0,"",IFERROR(IF(ISNUMBER($DZ213),$DZ213,IF($DZ213="","",IF(TRIM($DZ213)="",0,IF(AND(AND(SUBSTITUTE(SUBSTITUTE(SUBSTITUTE(SUBSTITUTE(SUBSTITUTE(SUBSTITUTE(SUBSTITUTE(SUBSTITUTE(SUBSTITUTE(SUBSTITUTE(SUBSTITUTE(SUBSTITUTE(SUBSTITUTE(SUBSTITUTE(UPPER(TRIM($DZ213)),"0",""),"1",""),"2",""),"3",""),"4",""),"5",""),"6",""),"7",""),"8",""),"9",""),".",""),"+",""),"-",""),"E","")="",LEN(SUBSTITUTE(SUBSTITUTE(MID(UPPER(TRIM($DZ213)),1+OR(LEFT(UPPER(TRIM($DZ213)),1)="+",LEFT(UPPER(TRIM($DZ213)),1)="-"),999),"E+","E"),"E-","E"))=LEN(SUBSTITUTE(SUBSTITUTE(SUBSTITUTE(SUBSTITUTE(MID(UPPER(TRIM($DZ213)),1+OR(LEFT(UPPER(TRIM($DZ213)),1)="+",LEFT(UPPER(TRIM($DZ213)),1)="-"),999),"E+","E"),"E-","E"),"+",""),"-","")),LEN(UPPER(TRIM($DZ213)))-LEN(SUBSTITUTE(UPPER(TRIM($DZ213)),"E",""))&lt;2,LEN(UPPER(TRIM($DZ213)))-LEN(SUBSTITUTE(UPPER(TRIM($DZ213)),".",""))&lt;2,IFERROR(FIND(".",UPPER(TRIM($DZ213))),0)&lt;IFERROR(FIND("E",UPPER(TRIM($DZ213))),999)),ISNUMBER(VALUE(TRIM($DZ213)))),VALUE(TRIM($DZ213)),"")))),""))</f>
        <v/>
      </c>
      <c r="EB213">
        <f>IF($DM213=0,"",IF($L$18=0,"",IFERROR(IF(UPPER(TRIM(SUBSTITUTE(SUBSTITUTE(SUBSTITUTE(SUBSTITUTE(INDEX(PASTE_ALL,$DF213,$L$18)," "," "),CHAR(9)," "),CHAR(10)," "),CHAR(13)," ")))="READY","Ready",IF(UPPER(TRIM(SUBSTITUTE(SUBSTITUTE(SUBSTITUTE(SUBSTITUTE(INDEX(PASTE_ALL,$DF213,$L$18)," "," "),CHAR(9)," "),CHAR(10)," "),CHAR(13)," ")))="PM","PM",IF(OR(UPPER(TRIM(SUBSTITUTE(SUBSTITUTE(SUBSTITUTE(SUBSTITUTE(INDEX(PASTE_ALL,$DF213,$L$18)," "," "),CHAR(9)," "),CHAR(10)," "),CHAR(13)," ")))="OT",UPPER(TRIM(SUBSTITUTE(SUBSTITUTE(SUBSTITUTE(SUBSTITUTE(INDEX(PASTE_ALL,$DF213,$L$18)," "," "),CHAR(9)," "),CHAR(10)," "),CHAR(13)," ")))="OVERTIME",UPPER(TRIM(SUBSTITUTE(SUBSTITUTE(SUBSTITUTE(SUBSTITUTE(INDEX(PASTE_ALL,$DF213,$L$18)," "," "),CHAR(9)," "),CHAR(10)," "),CHAR(13)," ")))="TRIAL"),"OT",TRIM(SUBSTITUTE(SUBSTITUTE(SUBSTITUTE(SUBSTITUTE(INDEX(PASTE_ALL,$DF213,$L$18)," "," "),CHAR(9)," "),CHAR(10)," "),CHAR(13)," "))))),"")))</f>
        <v/>
      </c>
      <c r="EC213">
        <f>IF($DM213=0,"",IF($L$19=0,"",IFERROR(IF(ISNUMBER(INDEX(PASTE_ALL,$DF213,$L$19)),INDEX(PASTE_ALL,$DF213,$L$19),TRIM(SUBSTITUTE(SUBSTITUTE(SUBSTITUTE(SUBSTITUTE(INDEX(PASTE_ALL,$DF213,$L$19)," "," "),CHAR(9)," "),CHAR(10)," "),CHAR(13)," "))),"")))</f>
        <v/>
      </c>
      <c r="ED213">
        <f>IF($DM213=0,"",MATCH(1,INDEX(EXACT($DH$5:DH213,$DH213)*$DM$5:DM213,0),0))</f>
        <v/>
      </c>
      <c r="EE213">
        <f>IF($DM213=0,0,IF($ED213=$DE213,1,0))</f>
        <v/>
      </c>
      <c r="EF213">
        <f>EF212+$EE213</f>
        <v/>
      </c>
      <c r="EG213">
        <f>IF($DM213=0,"",INDEX($EF$5:$EF$1003,$ED213))</f>
        <v/>
      </c>
      <c r="EH213">
        <f>IF($DM213=0,"",IF($DO213&lt;&gt;"","",IFERROR(LOOKUP(2,1/(($EG$4:EG212=$EG213)*($DO$4:DO212&lt;&gt;"")),$DO$4:DO212),"")))</f>
        <v/>
      </c>
      <c r="EI213">
        <f>IF($DM213=0,"",IF($DO213&lt;&gt;"",$DO213,$EH213))</f>
        <v/>
      </c>
      <c r="EJ213">
        <f>IF($DM213=0,"",IF($EI213="",0,IF(OR(ISNUMBER($EI213),AND(AND(SUBSTITUTE(SUBSTITUTE(SUBSTITUTE(SUBSTITUTE(SUBSTITUTE(SUBSTITUTE(SUBSTITUTE(SUBSTITUTE(SUBSTITUTE(SUBSTITUTE(SUBSTITUTE(SUBSTITUTE(SUBSTITUTE(SUBSTITUTE(UPPER($EI213),"0",""),"1",""),"2",""),"3",""),"4",""),"5",""),"6",""),"7",""),"8",""),"9",""),".",""),"+",""),"-",""),"E","")="",LEN(SUBSTITUTE(SUBSTITUTE(MID(UPPER($EI213),1+OR(LEFT(UPPER($EI213),1)="+",LEFT(UPPER($EI213),1)="-"),999),"E+","E"),"E-","E"))=LEN(SUBSTITUTE(SUBSTITUTE(SUBSTITUTE(SUBSTITUTE(MID(UPPER($EI213),1+OR(LEFT(UPPER($EI213),1)="+",LEFT(UPPER($EI213),1)="-"),999),"E+","E"),"E-","E"),"+",""),"-","")),LEN(UPPER($EI213))-LEN(SUBSTITUTE(UPPER($EI213),"E",""))&lt;2,LEN(UPPER($EI213))-LEN(SUBSTITUTE(UPPER($EI213),".",""))&lt;2,IFERROR(FIND(".",UPPER($EI213)),0)&lt;IFERROR(FIND("E",UPPER($EI213)),999)),ISNUMBER(VALUE($EI213)))),1,2)))</f>
        <v/>
      </c>
      <c r="EK213">
        <f>IF($DM213=0,"",IF($EJ213=1,IF(ISNUMBER($EI213),$EI213,VALUE($EI213)),IF($EJ213=2,$DE213,0)))</f>
        <v/>
      </c>
      <c r="EL213">
        <f>IF($DM213=0,"",COUNTIF($EG$5:$EG$1003,"&lt;"&amp;$EG213)+SUMPRODUCT(($EG$5:$EG$1003=$EG213)*(($EJ$5:$EJ$1003&lt;$EJ213)+($EJ$5:$EJ$1003=$EJ213)*(($EK$5:$EK$1003&lt;$EK213)+($EK$5:$EK$1003=$EK213)*($DE$5:$DE$1003&lt;$DE213))))+1)</f>
        <v/>
      </c>
      <c r="EM213">
        <f>IF($DM213=0,"",$EL213+$EG213-1)</f>
        <v/>
      </c>
      <c r="EN213">
        <f>IF($DM213=0,0,IFERROR(MATCH(1,INDEX(--(TRIM(SUBSTITUTE(SUBSTITUTE(SUBSTITUTE(SUBSTITUTE(LINES_NAME&amp;""," "," "),CHAR(9)," "),CHAR(10)," "),CHAR(13)," "))=$DH213),0),0),0))</f>
        <v/>
      </c>
      <c r="EO213">
        <f>IF($EN213=0,0,IF(OR(UPPER(TRIM(INDEX(LINES_SCHEDULED,$EN213)&amp;""))="YES",UPPER(TRIM(INDEX(LINES_SCHEDULED,$EN213)&amp;""))="Y",UPPER(TRIM(INDEX(LINES_SCHEDULED,$EN213)&amp;""))="X"),1,0))</f>
        <v/>
      </c>
      <c r="EP213">
        <f>IF($DM213=0,"",IF(COUNTIFS($EG$5:$EG$1003,$EG213,$EB$5:$EB$1003,"Ready")&gt;0,"READY",IF(COUNTIFS($EG$5:$EG$1003,$EG213,$EB$5:$EB$1003,"PM")&gt;0,"PM",IF(COUNTIFS($EG$5:$EG$1003,$EG213,$EB$5:$EB$1003,"OT")&gt;0,"OT",""))))</f>
        <v/>
      </c>
      <c r="EQ213">
        <f>IF($EN213=0,"",UPPER(TRIM(INDEX(LINES_STATUS,$EN213)&amp;"")))</f>
        <v/>
      </c>
      <c r="ER213">
        <f>IF($DM213=0,"",IF(OR($EQ213="READY",$EQ213="PM",$EQ213="OT"),$EQ213,$EP213))</f>
        <v/>
      </c>
      <c r="ES213">
        <f>IF($DM213=0,"",IF(AND($DV213&lt;&gt;"",UPPER($DV213)&lt;&gt;"N"),"allergen",IF(ISNUMBER(SEARCH("oil",$DQ213)),"oil",IF(OR(EXACT($DS213,"A662"),EXACT($DS213,"A624")),"bulk",""))))</f>
        <v/>
      </c>
      <c r="ET213">
        <f>IF($DM213=0,"",IF(OR($EA213="",$EA213=0),"",$EA213/100))</f>
        <v/>
      </c>
      <c r="EU213">
        <f>IF(OR($ET213="",$DY213=""),"",INT($DY213*(1-$ET213)+0.5))</f>
        <v/>
      </c>
      <c r="EW213" t="n">
        <v>209</v>
      </c>
      <c r="EX213">
        <f>IFERROR(MATCH($EW213,$EM$5:$EM$1003,0),0)</f>
        <v/>
      </c>
      <c r="EY213">
        <f>IF($EW213&gt;$B$12,"",IF($EX213&gt;0,"row","spacer"))</f>
        <v/>
      </c>
      <c r="EZ213">
        <f>IF(AND($EY213="row",$EY212&lt;&gt;"row"),1,0)</f>
        <v/>
      </c>
      <c r="FA213">
        <f>IF(AND($EY213="row",$EY214&lt;&gt;"row"),1,0)</f>
        <v/>
      </c>
      <c r="FB213">
        <f>IF($EZ213=1,IFERROR(IF(ISNUMBER(INDEX(PASTE_ALL,INDEX($DF$5:$DF$1003,$EX213),$B$37)),INDEX(PASTE_ALL,INDEX($DF$5:$DF$1003,$EX213),$B$37),INDEX($DH$5:$DH$1003,$EX213)),INDEX($DH$5:$DH$1003,$EX213)),"")</f>
        <v/>
      </c>
      <c r="FC213">
        <f>IF($EY213="row",INDEX($ER$5:$ER$1003,$EX213),"")</f>
        <v/>
      </c>
      <c r="FD213">
        <f>IF($EY213="row",INDEX($DN$5:$DN$1003,$EX213),"")</f>
        <v/>
      </c>
      <c r="FE213">
        <f>IF($EY213="row",INDEX($DO$5:$DO$1003,$EX213),"")</f>
        <v/>
      </c>
      <c r="FF213">
        <f>IF($EY213="row",INDEX($DP$5:$DP$1003,$EX213),"")</f>
        <v/>
      </c>
      <c r="FG213">
        <f>IF($EY213="row",INDEX($DQ$5:$DQ$1003,$EX213),"")</f>
        <v/>
      </c>
      <c r="FH213">
        <f>IF($EY213="row",INDEX($DR$5:$DR$1003,$EX213),"")</f>
        <v/>
      </c>
      <c r="FI213">
        <f>IF($EY213="row",INDEX($DS$5:$DS$1003,$EX213),"")</f>
        <v/>
      </c>
      <c r="FJ213">
        <f>IF($EY213="row",INDEX($DT$5:$DT$1003,$EX213),"")</f>
        <v/>
      </c>
      <c r="FK213">
        <f>IF($EY213="row",INDEX($DU$5:$DU$1003,$EX213),"")</f>
        <v/>
      </c>
      <c r="FL213">
        <f>IF($EY213="row",INDEX($DV$5:$DV$1003,$EX213),"")</f>
        <v/>
      </c>
      <c r="FM213">
        <f>IF($EY213="row",INDEX($DW$5:$DW$1003,$EX213),"")</f>
        <v/>
      </c>
      <c r="FN213">
        <f>IF($EY213="row",INDEX($DY$5:$DY$1003,$EX213),"")</f>
        <v/>
      </c>
      <c r="FO213">
        <f>IF($EY213="row",INDEX($EA$5:$EA$1003,$EX213),"")</f>
        <v/>
      </c>
      <c r="FP213">
        <f>IF($EY213="row",INDEX($EC$5:$EC$1003,$EX213),"")</f>
        <v/>
      </c>
      <c r="FQ213">
        <f>IF($EY213="row",INDEX($ET$5:$ET$1003,$EX213),"")</f>
        <v/>
      </c>
      <c r="FR213">
        <f>IF($EY213="row",INDEX($EU$5:$EU$1003,$EX213),"")</f>
        <v/>
      </c>
      <c r="FS213">
        <f>IF(AND($EY213="row",$EY212="row"),IF(OR(INDEX($DT$5:$DT$1003,$EX212)="",INDEX($DT$5:$DT$1003,$EX213)=""),"",IF(NOT(EXACT(INDEX($DT$5:$DT$1003,$EX212),INDEX($DT$5:$DT$1003,$EX213))),"S4",IF(NOT(EXACT(INDEX($DS$5:$DS$1003,$EX212),INDEX($DS$5:$DS$1003,$EX213))),"S3",IF(NOT(EXACT(INDEX($DR$5:$DR$1003,$EX212),INDEX($DR$5:$DR$1003,$EX213))),"S1 Count Change","S1")))),"")</f>
        <v/>
      </c>
      <c r="FT213">
        <f>IF($EY213="row",INDEX($ES$5:$ES$1003,$EX213),"")</f>
        <v/>
      </c>
      <c r="FU213">
        <f>IF($EY213="row",INDEX($EO$5:$EO$1003,$EX213),0)</f>
        <v/>
      </c>
      <c r="FV213">
        <f>IF($FS213="S1 Count Change",1,0)</f>
        <v/>
      </c>
    </row>
    <row r="214">
      <c r="Y214">
        <f>0+IF(Y124&gt;0,0,IF(SUMPRODUCT(MOD(INT(Y169/{2,4,8,16,32,64,128,256,512,1024,2048,4096,8192,16384,32768}),2)*(1-MOD(INT(($CJ34+0)/{2,4,8,16,32,64,128,256,512,1024,2048,4096,8192,16384,32768}),2))*{2,4,8,16,32,64,128,256,512,1024,2048,4096,8192,16384,32768})=0,0,2^SUMPRODUCT(--(MOD(SUMPRODUCT(MOD(INT(Y169/{2,4,8,16,32,64,128,256,512,1024,2048,4096,8192,16384,32768}),2)*(1-MOD(INT(($CJ34+0)/{2,4,8,16,32,64,128,256,512,1024,2048,4096,8192,16384,32768}),2))*{2,4,8,16,32,64,128,256,512,1024,2048,4096,8192,16384,32768}),{2,4,8,16,32,64,128,256,512,1024,2048,4096,8192,16384,32768})=0))))</f>
        <v/>
      </c>
      <c r="Z214">
        <f>Y214+IF(AND(Z124&gt;0,COUNTIF($Y124:Y124,Z124)=0),0,IF(SUMPRODUCT(MOD(INT(Z169/{2,4,8,16,32,64,128,256,512,1024,2048,4096,8192,16384,32768}),2)*(1-MOD(INT(($CJ34+Y214)/{2,4,8,16,32,64,128,256,512,1024,2048,4096,8192,16384,32768}),2))*{2,4,8,16,32,64,128,256,512,1024,2048,4096,8192,16384,32768})=0,0,2^SUMPRODUCT(--(MOD(SUMPRODUCT(MOD(INT(Z169/{2,4,8,16,32,64,128,256,512,1024,2048,4096,8192,16384,32768}),2)*(1-MOD(INT(($CJ34+Y214)/{2,4,8,16,32,64,128,256,512,1024,2048,4096,8192,16384,32768}),2))*{2,4,8,16,32,64,128,256,512,1024,2048,4096,8192,16384,32768}),{2,4,8,16,32,64,128,256,512,1024,2048,4096,8192,16384,32768})=0))))</f>
        <v/>
      </c>
      <c r="AA214">
        <f>Z214+IF(AND(AA124&gt;0,COUNTIF($Y124:Z124,AA124)=0),0,IF(SUMPRODUCT(MOD(INT(AA169/{2,4,8,16,32,64,128,256,512,1024,2048,4096,8192,16384,32768}),2)*(1-MOD(INT(($CJ34+Z214)/{2,4,8,16,32,64,128,256,512,1024,2048,4096,8192,16384,32768}),2))*{2,4,8,16,32,64,128,256,512,1024,2048,4096,8192,16384,32768})=0,0,2^SUMPRODUCT(--(MOD(SUMPRODUCT(MOD(INT(AA169/{2,4,8,16,32,64,128,256,512,1024,2048,4096,8192,16384,32768}),2)*(1-MOD(INT(($CJ34+Z214)/{2,4,8,16,32,64,128,256,512,1024,2048,4096,8192,16384,32768}),2))*{2,4,8,16,32,64,128,256,512,1024,2048,4096,8192,16384,32768}),{2,4,8,16,32,64,128,256,512,1024,2048,4096,8192,16384,32768})=0))))</f>
        <v/>
      </c>
      <c r="AB214">
        <f>AA214+IF(AND(AB124&gt;0,COUNTIF($Y124:AA124,AB124)=0),0,IF(SUMPRODUCT(MOD(INT(AB169/{2,4,8,16,32,64,128,256,512,1024,2048,4096,8192,16384,32768}),2)*(1-MOD(INT(($CJ34+AA214)/{2,4,8,16,32,64,128,256,512,1024,2048,4096,8192,16384,32768}),2))*{2,4,8,16,32,64,128,256,512,1024,2048,4096,8192,16384,32768})=0,0,2^SUMPRODUCT(--(MOD(SUMPRODUCT(MOD(INT(AB169/{2,4,8,16,32,64,128,256,512,1024,2048,4096,8192,16384,32768}),2)*(1-MOD(INT(($CJ34+AA214)/{2,4,8,16,32,64,128,256,512,1024,2048,4096,8192,16384,32768}),2))*{2,4,8,16,32,64,128,256,512,1024,2048,4096,8192,16384,32768}),{2,4,8,16,32,64,128,256,512,1024,2048,4096,8192,16384,32768})=0))))</f>
        <v/>
      </c>
      <c r="AC214">
        <f>AB214+IF(AND(AC124&gt;0,COUNTIF($Y124:AB124,AC124)=0),0,IF(SUMPRODUCT(MOD(INT(AC169/{2,4,8,16,32,64,128,256,512,1024,2048,4096,8192,16384,32768}),2)*(1-MOD(INT(($CJ34+AB214)/{2,4,8,16,32,64,128,256,512,1024,2048,4096,8192,16384,32768}),2))*{2,4,8,16,32,64,128,256,512,1024,2048,4096,8192,16384,32768})=0,0,2^SUMPRODUCT(--(MOD(SUMPRODUCT(MOD(INT(AC169/{2,4,8,16,32,64,128,256,512,1024,2048,4096,8192,16384,32768}),2)*(1-MOD(INT(($CJ34+AB214)/{2,4,8,16,32,64,128,256,512,1024,2048,4096,8192,16384,32768}),2))*{2,4,8,16,32,64,128,256,512,1024,2048,4096,8192,16384,32768}),{2,4,8,16,32,64,128,256,512,1024,2048,4096,8192,16384,32768})=0))))</f>
        <v/>
      </c>
      <c r="AD214">
        <f>AC214+IF(AND(AD124&gt;0,COUNTIF($Y124:AC124,AD124)=0),0,IF(SUMPRODUCT(MOD(INT(AD169/{2,4,8,16,32,64,128,256,512,1024,2048,4096,8192,16384,32768}),2)*(1-MOD(INT(($CJ34+AC214)/{2,4,8,16,32,64,128,256,512,1024,2048,4096,8192,16384,32768}),2))*{2,4,8,16,32,64,128,256,512,1024,2048,4096,8192,16384,32768})=0,0,2^SUMPRODUCT(--(MOD(SUMPRODUCT(MOD(INT(AD169/{2,4,8,16,32,64,128,256,512,1024,2048,4096,8192,16384,32768}),2)*(1-MOD(INT(($CJ34+AC214)/{2,4,8,16,32,64,128,256,512,1024,2048,4096,8192,16384,32768}),2))*{2,4,8,16,32,64,128,256,512,1024,2048,4096,8192,16384,32768}),{2,4,8,16,32,64,128,256,512,1024,2048,4096,8192,16384,32768})=0))))</f>
        <v/>
      </c>
      <c r="AE214">
        <f>AD214+IF(AND(AE124&gt;0,COUNTIF($Y124:AD124,AE124)=0),0,IF(SUMPRODUCT(MOD(INT(AE169/{2,4,8,16,32,64,128,256,512,1024,2048,4096,8192,16384,32768}),2)*(1-MOD(INT(($CJ34+AD214)/{2,4,8,16,32,64,128,256,512,1024,2048,4096,8192,16384,32768}),2))*{2,4,8,16,32,64,128,256,512,1024,2048,4096,8192,16384,32768})=0,0,2^SUMPRODUCT(--(MOD(SUMPRODUCT(MOD(INT(AE169/{2,4,8,16,32,64,128,256,512,1024,2048,4096,8192,16384,32768}),2)*(1-MOD(INT(($CJ34+AD214)/{2,4,8,16,32,64,128,256,512,1024,2048,4096,8192,16384,32768}),2))*{2,4,8,16,32,64,128,256,512,1024,2048,4096,8192,16384,32768}),{2,4,8,16,32,64,128,256,512,1024,2048,4096,8192,16384,32768})=0))))</f>
        <v/>
      </c>
      <c r="AF214">
        <f>AE214+IF(AND(AF124&gt;0,COUNTIF($Y124:AE124,AF124)=0),0,IF(SUMPRODUCT(MOD(INT(AF169/{2,4,8,16,32,64,128,256,512,1024,2048,4096,8192,16384,32768}),2)*(1-MOD(INT(($CJ34+AE214)/{2,4,8,16,32,64,128,256,512,1024,2048,4096,8192,16384,32768}),2))*{2,4,8,16,32,64,128,256,512,1024,2048,4096,8192,16384,32768})=0,0,2^SUMPRODUCT(--(MOD(SUMPRODUCT(MOD(INT(AF169/{2,4,8,16,32,64,128,256,512,1024,2048,4096,8192,16384,32768}),2)*(1-MOD(INT(($CJ34+AE214)/{2,4,8,16,32,64,128,256,512,1024,2048,4096,8192,16384,32768}),2))*{2,4,8,16,32,64,128,256,512,1024,2048,4096,8192,16384,32768}),{2,4,8,16,32,64,128,256,512,1024,2048,4096,8192,16384,32768})=0))))</f>
        <v/>
      </c>
      <c r="AG214">
        <f>AF214+IF(AND(AG124&gt;0,COUNTIF($Y124:AF124,AG124)=0),0,IF(SUMPRODUCT(MOD(INT(AG169/{2,4,8,16,32,64,128,256,512,1024,2048,4096,8192,16384,32768}),2)*(1-MOD(INT(($CJ34+AF214)/{2,4,8,16,32,64,128,256,512,1024,2048,4096,8192,16384,32768}),2))*{2,4,8,16,32,64,128,256,512,1024,2048,4096,8192,16384,32768})=0,0,2^SUMPRODUCT(--(MOD(SUMPRODUCT(MOD(INT(AG169/{2,4,8,16,32,64,128,256,512,1024,2048,4096,8192,16384,32768}),2)*(1-MOD(INT(($CJ34+AF214)/{2,4,8,16,32,64,128,256,512,1024,2048,4096,8192,16384,32768}),2))*{2,4,8,16,32,64,128,256,512,1024,2048,4096,8192,16384,32768}),{2,4,8,16,32,64,128,256,512,1024,2048,4096,8192,16384,32768})=0))))</f>
        <v/>
      </c>
      <c r="AH214">
        <f>AG214+IF(AND(AH124&gt;0,COUNTIF($Y124:AG124,AH124)=0),0,IF(SUMPRODUCT(MOD(INT(AH169/{2,4,8,16,32,64,128,256,512,1024,2048,4096,8192,16384,32768}),2)*(1-MOD(INT(($CJ34+AG214)/{2,4,8,16,32,64,128,256,512,1024,2048,4096,8192,16384,32768}),2))*{2,4,8,16,32,64,128,256,512,1024,2048,4096,8192,16384,32768})=0,0,2^SUMPRODUCT(--(MOD(SUMPRODUCT(MOD(INT(AH169/{2,4,8,16,32,64,128,256,512,1024,2048,4096,8192,16384,32768}),2)*(1-MOD(INT(($CJ34+AG214)/{2,4,8,16,32,64,128,256,512,1024,2048,4096,8192,16384,32768}),2))*{2,4,8,16,32,64,128,256,512,1024,2048,4096,8192,16384,32768}),{2,4,8,16,32,64,128,256,512,1024,2048,4096,8192,16384,32768})=0))))</f>
        <v/>
      </c>
      <c r="AI214">
        <f>AH214+IF(AND(AI124&gt;0,COUNTIF($Y124:AH124,AI124)=0),0,IF(SUMPRODUCT(MOD(INT(AI169/{2,4,8,16,32,64,128,256,512,1024,2048,4096,8192,16384,32768}),2)*(1-MOD(INT(($CJ34+AH214)/{2,4,8,16,32,64,128,256,512,1024,2048,4096,8192,16384,32768}),2))*{2,4,8,16,32,64,128,256,512,1024,2048,4096,8192,16384,32768})=0,0,2^SUMPRODUCT(--(MOD(SUMPRODUCT(MOD(INT(AI169/{2,4,8,16,32,64,128,256,512,1024,2048,4096,8192,16384,32768}),2)*(1-MOD(INT(($CJ34+AH214)/{2,4,8,16,32,64,128,256,512,1024,2048,4096,8192,16384,32768}),2))*{2,4,8,16,32,64,128,256,512,1024,2048,4096,8192,16384,32768}),{2,4,8,16,32,64,128,256,512,1024,2048,4096,8192,16384,32768})=0))))</f>
        <v/>
      </c>
      <c r="AJ214">
        <f>AI214+IF(AND(AJ124&gt;0,COUNTIF($Y124:AI124,AJ124)=0),0,IF(SUMPRODUCT(MOD(INT(AJ169/{2,4,8,16,32,64,128,256,512,1024,2048,4096,8192,16384,32768}),2)*(1-MOD(INT(($CJ34+AI214)/{2,4,8,16,32,64,128,256,512,1024,2048,4096,8192,16384,32768}),2))*{2,4,8,16,32,64,128,256,512,1024,2048,4096,8192,16384,32768})=0,0,2^SUMPRODUCT(--(MOD(SUMPRODUCT(MOD(INT(AJ169/{2,4,8,16,32,64,128,256,512,1024,2048,4096,8192,16384,32768}),2)*(1-MOD(INT(($CJ34+AI214)/{2,4,8,16,32,64,128,256,512,1024,2048,4096,8192,16384,32768}),2))*{2,4,8,16,32,64,128,256,512,1024,2048,4096,8192,16384,32768}),{2,4,8,16,32,64,128,256,512,1024,2048,4096,8192,16384,32768})=0))))</f>
        <v/>
      </c>
      <c r="AK214">
        <f>AJ214+IF(AND(AK124&gt;0,COUNTIF($Y124:AJ124,AK124)=0),0,IF(SUMPRODUCT(MOD(INT(AK169/{2,4,8,16,32,64,128,256,512,1024,2048,4096,8192,16384,32768}),2)*(1-MOD(INT(($CJ34+AJ214)/{2,4,8,16,32,64,128,256,512,1024,2048,4096,8192,16384,32768}),2))*{2,4,8,16,32,64,128,256,512,1024,2048,4096,8192,16384,32768})=0,0,2^SUMPRODUCT(--(MOD(SUMPRODUCT(MOD(INT(AK169/{2,4,8,16,32,64,128,256,512,1024,2048,4096,8192,16384,32768}),2)*(1-MOD(INT(($CJ34+AJ214)/{2,4,8,16,32,64,128,256,512,1024,2048,4096,8192,16384,32768}),2))*{2,4,8,16,32,64,128,256,512,1024,2048,4096,8192,16384,32768}),{2,4,8,16,32,64,128,256,512,1024,2048,4096,8192,16384,32768})=0))))</f>
        <v/>
      </c>
      <c r="AL214">
        <f>AK214+IF(AND(AL124&gt;0,COUNTIF($Y124:AK124,AL124)=0),0,IF(SUMPRODUCT(MOD(INT(AL169/{2,4,8,16,32,64,128,256,512,1024,2048,4096,8192,16384,32768}),2)*(1-MOD(INT(($CJ34+AK214)/{2,4,8,16,32,64,128,256,512,1024,2048,4096,8192,16384,32768}),2))*{2,4,8,16,32,64,128,256,512,1024,2048,4096,8192,16384,32768})=0,0,2^SUMPRODUCT(--(MOD(SUMPRODUCT(MOD(INT(AL169/{2,4,8,16,32,64,128,256,512,1024,2048,4096,8192,16384,32768}),2)*(1-MOD(INT(($CJ34+AK214)/{2,4,8,16,32,64,128,256,512,1024,2048,4096,8192,16384,32768}),2))*{2,4,8,16,32,64,128,256,512,1024,2048,4096,8192,16384,32768}),{2,4,8,16,32,64,128,256,512,1024,2048,4096,8192,16384,32768})=0))))</f>
        <v/>
      </c>
      <c r="AM214">
        <f>AL214+IF(AND(AM124&gt;0,COUNTIF($Y124:AL124,AM124)=0),0,IF(SUMPRODUCT(MOD(INT(AM169/{2,4,8,16,32,64,128,256,512,1024,2048,4096,8192,16384,32768}),2)*(1-MOD(INT(($CJ34+AL214)/{2,4,8,16,32,64,128,256,512,1024,2048,4096,8192,16384,32768}),2))*{2,4,8,16,32,64,128,256,512,1024,2048,4096,8192,16384,32768})=0,0,2^SUMPRODUCT(--(MOD(SUMPRODUCT(MOD(INT(AM169/{2,4,8,16,32,64,128,256,512,1024,2048,4096,8192,16384,32768}),2)*(1-MOD(INT(($CJ34+AL214)/{2,4,8,16,32,64,128,256,512,1024,2048,4096,8192,16384,32768}),2))*{2,4,8,16,32,64,128,256,512,1024,2048,4096,8192,16384,32768}),{2,4,8,16,32,64,128,256,512,1024,2048,4096,8192,16384,32768})=0))))</f>
        <v/>
      </c>
      <c r="AN214">
        <f>AM214+IF(AND(AN124&gt;0,COUNTIF($Y124:AM124,AN124)=0),0,IF(SUMPRODUCT(MOD(INT(AN169/{2,4,8,16,32,64,128,256,512,1024,2048,4096,8192,16384,32768}),2)*(1-MOD(INT(($CJ34+AM214)/{2,4,8,16,32,64,128,256,512,1024,2048,4096,8192,16384,32768}),2))*{2,4,8,16,32,64,128,256,512,1024,2048,4096,8192,16384,32768})=0,0,2^SUMPRODUCT(--(MOD(SUMPRODUCT(MOD(INT(AN169/{2,4,8,16,32,64,128,256,512,1024,2048,4096,8192,16384,32768}),2)*(1-MOD(INT(($CJ34+AM214)/{2,4,8,16,32,64,128,256,512,1024,2048,4096,8192,16384,32768}),2))*{2,4,8,16,32,64,128,256,512,1024,2048,4096,8192,16384,32768}),{2,4,8,16,32,64,128,256,512,1024,2048,4096,8192,16384,32768})=0))))</f>
        <v/>
      </c>
      <c r="AO214">
        <f>AN214+IF(AND(AO124&gt;0,COUNTIF($Y124:AN124,AO124)=0),0,IF(SUMPRODUCT(MOD(INT(AO169/{2,4,8,16,32,64,128,256,512,1024,2048,4096,8192,16384,32768}),2)*(1-MOD(INT(($CJ34+AN214)/{2,4,8,16,32,64,128,256,512,1024,2048,4096,8192,16384,32768}),2))*{2,4,8,16,32,64,128,256,512,1024,2048,4096,8192,16384,32768})=0,0,2^SUMPRODUCT(--(MOD(SUMPRODUCT(MOD(INT(AO169/{2,4,8,16,32,64,128,256,512,1024,2048,4096,8192,16384,32768}),2)*(1-MOD(INT(($CJ34+AN214)/{2,4,8,16,32,64,128,256,512,1024,2048,4096,8192,16384,32768}),2))*{2,4,8,16,32,64,128,256,512,1024,2048,4096,8192,16384,32768}),{2,4,8,16,32,64,128,256,512,1024,2048,4096,8192,16384,32768})=0))))</f>
        <v/>
      </c>
      <c r="AP214">
        <f>AO214+IF(AND(AP124&gt;0,COUNTIF($Y124:AO124,AP124)=0),0,IF(SUMPRODUCT(MOD(INT(AP169/{2,4,8,16,32,64,128,256,512,1024,2048,4096,8192,16384,32768}),2)*(1-MOD(INT(($CJ34+AO214)/{2,4,8,16,32,64,128,256,512,1024,2048,4096,8192,16384,32768}),2))*{2,4,8,16,32,64,128,256,512,1024,2048,4096,8192,16384,32768})=0,0,2^SUMPRODUCT(--(MOD(SUMPRODUCT(MOD(INT(AP169/{2,4,8,16,32,64,128,256,512,1024,2048,4096,8192,16384,32768}),2)*(1-MOD(INT(($CJ34+AO214)/{2,4,8,16,32,64,128,256,512,1024,2048,4096,8192,16384,32768}),2))*{2,4,8,16,32,64,128,256,512,1024,2048,4096,8192,16384,32768}),{2,4,8,16,32,64,128,256,512,1024,2048,4096,8192,16384,32768})=0))))</f>
        <v/>
      </c>
      <c r="AQ214">
        <f>AP214+IF(AND(AQ124&gt;0,COUNTIF($Y124:AP124,AQ124)=0),0,IF(SUMPRODUCT(MOD(INT(AQ169/{2,4,8,16,32,64,128,256,512,1024,2048,4096,8192,16384,32768}),2)*(1-MOD(INT(($CJ34+AP214)/{2,4,8,16,32,64,128,256,512,1024,2048,4096,8192,16384,32768}),2))*{2,4,8,16,32,64,128,256,512,1024,2048,4096,8192,16384,32768})=0,0,2^SUMPRODUCT(--(MOD(SUMPRODUCT(MOD(INT(AQ169/{2,4,8,16,32,64,128,256,512,1024,2048,4096,8192,16384,32768}),2)*(1-MOD(INT(($CJ34+AP214)/{2,4,8,16,32,64,128,256,512,1024,2048,4096,8192,16384,32768}),2))*{2,4,8,16,32,64,128,256,512,1024,2048,4096,8192,16384,32768}),{2,4,8,16,32,64,128,256,512,1024,2048,4096,8192,16384,32768})=0))))</f>
        <v/>
      </c>
      <c r="AR214">
        <f>AQ214+IF(AND(AR124&gt;0,COUNTIF($Y124:AQ124,AR124)=0),0,IF(SUMPRODUCT(MOD(INT(AR169/{2,4,8,16,32,64,128,256,512,1024,2048,4096,8192,16384,32768}),2)*(1-MOD(INT(($CJ34+AQ214)/{2,4,8,16,32,64,128,256,512,1024,2048,4096,8192,16384,32768}),2))*{2,4,8,16,32,64,128,256,512,1024,2048,4096,8192,16384,32768})=0,0,2^SUMPRODUCT(--(MOD(SUMPRODUCT(MOD(INT(AR169/{2,4,8,16,32,64,128,256,512,1024,2048,4096,8192,16384,32768}),2)*(1-MOD(INT(($CJ34+AQ214)/{2,4,8,16,32,64,128,256,512,1024,2048,4096,8192,16384,32768}),2))*{2,4,8,16,32,64,128,256,512,1024,2048,4096,8192,16384,32768}),{2,4,8,16,32,64,128,256,512,1024,2048,4096,8192,16384,32768})=0))))</f>
        <v/>
      </c>
      <c r="AS214">
        <f>AR214+IF(AND(AS124&gt;0,COUNTIF($Y124:AR124,AS124)=0),0,IF(SUMPRODUCT(MOD(INT(AS169/{2,4,8,16,32,64,128,256,512,1024,2048,4096,8192,16384,32768}),2)*(1-MOD(INT(($CJ34+AR214)/{2,4,8,16,32,64,128,256,512,1024,2048,4096,8192,16384,32768}),2))*{2,4,8,16,32,64,128,256,512,1024,2048,4096,8192,16384,32768})=0,0,2^SUMPRODUCT(--(MOD(SUMPRODUCT(MOD(INT(AS169/{2,4,8,16,32,64,128,256,512,1024,2048,4096,8192,16384,32768}),2)*(1-MOD(INT(($CJ34+AR214)/{2,4,8,16,32,64,128,256,512,1024,2048,4096,8192,16384,32768}),2))*{2,4,8,16,32,64,128,256,512,1024,2048,4096,8192,16384,32768}),{2,4,8,16,32,64,128,256,512,1024,2048,4096,8192,16384,32768})=0))))</f>
        <v/>
      </c>
      <c r="AT214">
        <f>AS214+IF(AND(AT124&gt;0,COUNTIF($Y124:AS124,AT124)=0),0,IF(SUMPRODUCT(MOD(INT(AT169/{2,4,8,16,32,64,128,256,512,1024,2048,4096,8192,16384,32768}),2)*(1-MOD(INT(($CJ34+AS214)/{2,4,8,16,32,64,128,256,512,1024,2048,4096,8192,16384,32768}),2))*{2,4,8,16,32,64,128,256,512,1024,2048,4096,8192,16384,32768})=0,0,2^SUMPRODUCT(--(MOD(SUMPRODUCT(MOD(INT(AT169/{2,4,8,16,32,64,128,256,512,1024,2048,4096,8192,16384,32768}),2)*(1-MOD(INT(($CJ34+AS214)/{2,4,8,16,32,64,128,256,512,1024,2048,4096,8192,16384,32768}),2))*{2,4,8,16,32,64,128,256,512,1024,2048,4096,8192,16384,32768}),{2,4,8,16,32,64,128,256,512,1024,2048,4096,8192,16384,32768})=0))))</f>
        <v/>
      </c>
      <c r="AU214">
        <f>AT214+IF(AND(AU124&gt;0,COUNTIF($Y124:AT124,AU124)=0),0,IF(SUMPRODUCT(MOD(INT(AU169/{2,4,8,16,32,64,128,256,512,1024,2048,4096,8192,16384,32768}),2)*(1-MOD(INT(($CJ34+AT214)/{2,4,8,16,32,64,128,256,512,1024,2048,4096,8192,16384,32768}),2))*{2,4,8,16,32,64,128,256,512,1024,2048,4096,8192,16384,32768})=0,0,2^SUMPRODUCT(--(MOD(SUMPRODUCT(MOD(INT(AU169/{2,4,8,16,32,64,128,256,512,1024,2048,4096,8192,16384,32768}),2)*(1-MOD(INT(($CJ34+AT214)/{2,4,8,16,32,64,128,256,512,1024,2048,4096,8192,16384,32768}),2))*{2,4,8,16,32,64,128,256,512,1024,2048,4096,8192,16384,32768}),{2,4,8,16,32,64,128,256,512,1024,2048,4096,8192,16384,32768})=0))))</f>
        <v/>
      </c>
      <c r="AV214">
        <f>AU214+IF(AND(AV124&gt;0,COUNTIF($Y124:AU124,AV124)=0),0,IF(SUMPRODUCT(MOD(INT(AV169/{2,4,8,16,32,64,128,256,512,1024,2048,4096,8192,16384,32768}),2)*(1-MOD(INT(($CJ34+AU214)/{2,4,8,16,32,64,128,256,512,1024,2048,4096,8192,16384,32768}),2))*{2,4,8,16,32,64,128,256,512,1024,2048,4096,8192,16384,32768})=0,0,2^SUMPRODUCT(--(MOD(SUMPRODUCT(MOD(INT(AV169/{2,4,8,16,32,64,128,256,512,1024,2048,4096,8192,16384,32768}),2)*(1-MOD(INT(($CJ34+AU214)/{2,4,8,16,32,64,128,256,512,1024,2048,4096,8192,16384,32768}),2))*{2,4,8,16,32,64,128,256,512,1024,2048,4096,8192,16384,32768}),{2,4,8,16,32,64,128,256,512,1024,2048,4096,8192,16384,32768})=0))))</f>
        <v/>
      </c>
      <c r="AW214">
        <f>AV214+IF(AND(AW124&gt;0,COUNTIF($Y124:AV124,AW124)=0),0,IF(SUMPRODUCT(MOD(INT(AW169/{2,4,8,16,32,64,128,256,512,1024,2048,4096,8192,16384,32768}),2)*(1-MOD(INT(($CJ34+AV214)/{2,4,8,16,32,64,128,256,512,1024,2048,4096,8192,16384,32768}),2))*{2,4,8,16,32,64,128,256,512,1024,2048,4096,8192,16384,32768})=0,0,2^SUMPRODUCT(--(MOD(SUMPRODUCT(MOD(INT(AW169/{2,4,8,16,32,64,128,256,512,1024,2048,4096,8192,16384,32768}),2)*(1-MOD(INT(($CJ34+AV214)/{2,4,8,16,32,64,128,256,512,1024,2048,4096,8192,16384,32768}),2))*{2,4,8,16,32,64,128,256,512,1024,2048,4096,8192,16384,32768}),{2,4,8,16,32,64,128,256,512,1024,2048,4096,8192,16384,32768})=0))))</f>
        <v/>
      </c>
      <c r="AX214">
        <f>AW214+IF(AND(AX124&gt;0,COUNTIF($Y124:AW124,AX124)=0),0,IF(SUMPRODUCT(MOD(INT(AX169/{2,4,8,16,32,64,128,256,512,1024,2048,4096,8192,16384,32768}),2)*(1-MOD(INT(($CJ34+AW214)/{2,4,8,16,32,64,128,256,512,1024,2048,4096,8192,16384,32768}),2))*{2,4,8,16,32,64,128,256,512,1024,2048,4096,8192,16384,32768})=0,0,2^SUMPRODUCT(--(MOD(SUMPRODUCT(MOD(INT(AX169/{2,4,8,16,32,64,128,256,512,1024,2048,4096,8192,16384,32768}),2)*(1-MOD(INT(($CJ34+AW214)/{2,4,8,16,32,64,128,256,512,1024,2048,4096,8192,16384,32768}),2))*{2,4,8,16,32,64,128,256,512,1024,2048,4096,8192,16384,32768}),{2,4,8,16,32,64,128,256,512,1024,2048,4096,8192,16384,32768})=0))))</f>
        <v/>
      </c>
      <c r="AY214">
        <f>AX214+IF(AND(AY124&gt;0,COUNTIF($Y124:AX124,AY124)=0),0,IF(SUMPRODUCT(MOD(INT(AY169/{2,4,8,16,32,64,128,256,512,1024,2048,4096,8192,16384,32768}),2)*(1-MOD(INT(($CJ34+AX214)/{2,4,8,16,32,64,128,256,512,1024,2048,4096,8192,16384,32768}),2))*{2,4,8,16,32,64,128,256,512,1024,2048,4096,8192,16384,32768})=0,0,2^SUMPRODUCT(--(MOD(SUMPRODUCT(MOD(INT(AY169/{2,4,8,16,32,64,128,256,512,1024,2048,4096,8192,16384,32768}),2)*(1-MOD(INT(($CJ34+AX214)/{2,4,8,16,32,64,128,256,512,1024,2048,4096,8192,16384,32768}),2))*{2,4,8,16,32,64,128,256,512,1024,2048,4096,8192,16384,32768}),{2,4,8,16,32,64,128,256,512,1024,2048,4096,8192,16384,32768})=0))))</f>
        <v/>
      </c>
      <c r="AZ214">
        <f>AY214+IF(AND(AZ124&gt;0,COUNTIF($Y124:AY124,AZ124)=0),0,IF(SUMPRODUCT(MOD(INT(AZ169/{2,4,8,16,32,64,128,256,512,1024,2048,4096,8192,16384,32768}),2)*(1-MOD(INT(($CJ34+AY214)/{2,4,8,16,32,64,128,256,512,1024,2048,4096,8192,16384,32768}),2))*{2,4,8,16,32,64,128,256,512,1024,2048,4096,8192,16384,32768})=0,0,2^SUMPRODUCT(--(MOD(SUMPRODUCT(MOD(INT(AZ169/{2,4,8,16,32,64,128,256,512,1024,2048,4096,8192,16384,32768}),2)*(1-MOD(INT(($CJ34+AY214)/{2,4,8,16,32,64,128,256,512,1024,2048,4096,8192,16384,32768}),2))*{2,4,8,16,32,64,128,256,512,1024,2048,4096,8192,16384,32768}),{2,4,8,16,32,64,128,256,512,1024,2048,4096,8192,16384,32768})=0))))</f>
        <v/>
      </c>
      <c r="BA214">
        <f>AZ214+IF(AND(BA124&gt;0,COUNTIF($Y124:AZ124,BA124)=0),0,IF(SUMPRODUCT(MOD(INT(BA169/{2,4,8,16,32,64,128,256,512,1024,2048,4096,8192,16384,32768}),2)*(1-MOD(INT(($CJ34+AZ214)/{2,4,8,16,32,64,128,256,512,1024,2048,4096,8192,16384,32768}),2))*{2,4,8,16,32,64,128,256,512,1024,2048,4096,8192,16384,32768})=0,0,2^SUMPRODUCT(--(MOD(SUMPRODUCT(MOD(INT(BA169/{2,4,8,16,32,64,128,256,512,1024,2048,4096,8192,16384,32768}),2)*(1-MOD(INT(($CJ34+AZ214)/{2,4,8,16,32,64,128,256,512,1024,2048,4096,8192,16384,32768}),2))*{2,4,8,16,32,64,128,256,512,1024,2048,4096,8192,16384,32768}),{2,4,8,16,32,64,128,256,512,1024,2048,4096,8192,16384,32768})=0))))</f>
        <v/>
      </c>
      <c r="BB214">
        <f>BA214+IF(AND(BB124&gt;0,COUNTIF($Y124:BA124,BB124)=0),0,IF(SUMPRODUCT(MOD(INT(BB169/{2,4,8,16,32,64,128,256,512,1024,2048,4096,8192,16384,32768}),2)*(1-MOD(INT(($CJ34+BA214)/{2,4,8,16,32,64,128,256,512,1024,2048,4096,8192,16384,32768}),2))*{2,4,8,16,32,64,128,256,512,1024,2048,4096,8192,16384,32768})=0,0,2^SUMPRODUCT(--(MOD(SUMPRODUCT(MOD(INT(BB169/{2,4,8,16,32,64,128,256,512,1024,2048,4096,8192,16384,32768}),2)*(1-MOD(INT(($CJ34+BA214)/{2,4,8,16,32,64,128,256,512,1024,2048,4096,8192,16384,32768}),2))*{2,4,8,16,32,64,128,256,512,1024,2048,4096,8192,16384,32768}),{2,4,8,16,32,64,128,256,512,1024,2048,4096,8192,16384,32768})=0))))</f>
        <v/>
      </c>
      <c r="BC214">
        <f>BB214+IF(AND(BC124&gt;0,COUNTIF($Y124:BB124,BC124)=0),0,IF(SUMPRODUCT(MOD(INT(BC169/{2,4,8,16,32,64,128,256,512,1024,2048,4096,8192,16384,32768}),2)*(1-MOD(INT(($CJ34+BB214)/{2,4,8,16,32,64,128,256,512,1024,2048,4096,8192,16384,32768}),2))*{2,4,8,16,32,64,128,256,512,1024,2048,4096,8192,16384,32768})=0,0,2^SUMPRODUCT(--(MOD(SUMPRODUCT(MOD(INT(BC169/{2,4,8,16,32,64,128,256,512,1024,2048,4096,8192,16384,32768}),2)*(1-MOD(INT(($CJ34+BB214)/{2,4,8,16,32,64,128,256,512,1024,2048,4096,8192,16384,32768}),2))*{2,4,8,16,32,64,128,256,512,1024,2048,4096,8192,16384,32768}),{2,4,8,16,32,64,128,256,512,1024,2048,4096,8192,16384,32768})=0))))</f>
        <v/>
      </c>
      <c r="BD214">
        <f>BC214+IF(AND(BD124&gt;0,COUNTIF($Y124:BC124,BD124)=0),0,IF(SUMPRODUCT(MOD(INT(BD169/{2,4,8,16,32,64,128,256,512,1024,2048,4096,8192,16384,32768}),2)*(1-MOD(INT(($CJ34+BC214)/{2,4,8,16,32,64,128,256,512,1024,2048,4096,8192,16384,32768}),2))*{2,4,8,16,32,64,128,256,512,1024,2048,4096,8192,16384,32768})=0,0,2^SUMPRODUCT(--(MOD(SUMPRODUCT(MOD(INT(BD169/{2,4,8,16,32,64,128,256,512,1024,2048,4096,8192,16384,32768}),2)*(1-MOD(INT(($CJ34+BC214)/{2,4,8,16,32,64,128,256,512,1024,2048,4096,8192,16384,32768}),2))*{2,4,8,16,32,64,128,256,512,1024,2048,4096,8192,16384,32768}),{2,4,8,16,32,64,128,256,512,1024,2048,4096,8192,16384,32768})=0))))</f>
        <v/>
      </c>
      <c r="BE214">
        <f>BD214+IF(AND(BE124&gt;0,COUNTIF($Y124:BD124,BE124)=0),0,IF(SUMPRODUCT(MOD(INT(BE169/{2,4,8,16,32,64,128,256,512,1024,2048,4096,8192,16384,32768}),2)*(1-MOD(INT(($CJ34+BD214)/{2,4,8,16,32,64,128,256,512,1024,2048,4096,8192,16384,32768}),2))*{2,4,8,16,32,64,128,256,512,1024,2048,4096,8192,16384,32768})=0,0,2^SUMPRODUCT(--(MOD(SUMPRODUCT(MOD(INT(BE169/{2,4,8,16,32,64,128,256,512,1024,2048,4096,8192,16384,32768}),2)*(1-MOD(INT(($CJ34+BD214)/{2,4,8,16,32,64,128,256,512,1024,2048,4096,8192,16384,32768}),2))*{2,4,8,16,32,64,128,256,512,1024,2048,4096,8192,16384,32768}),{2,4,8,16,32,64,128,256,512,1024,2048,4096,8192,16384,32768})=0))))</f>
        <v/>
      </c>
      <c r="BF214">
        <f>BE214+IF(AND(BF124&gt;0,COUNTIF($Y124:BE124,BF124)=0),0,IF(SUMPRODUCT(MOD(INT(BF169/{2,4,8,16,32,64,128,256,512,1024,2048,4096,8192,16384,32768}),2)*(1-MOD(INT(($CJ34+BE214)/{2,4,8,16,32,64,128,256,512,1024,2048,4096,8192,16384,32768}),2))*{2,4,8,16,32,64,128,256,512,1024,2048,4096,8192,16384,32768})=0,0,2^SUMPRODUCT(--(MOD(SUMPRODUCT(MOD(INT(BF169/{2,4,8,16,32,64,128,256,512,1024,2048,4096,8192,16384,32768}),2)*(1-MOD(INT(($CJ34+BE214)/{2,4,8,16,32,64,128,256,512,1024,2048,4096,8192,16384,32768}),2))*{2,4,8,16,32,64,128,256,512,1024,2048,4096,8192,16384,32768}),{2,4,8,16,32,64,128,256,512,1024,2048,4096,8192,16384,32768})=0))))</f>
        <v/>
      </c>
      <c r="BG214">
        <f>BF214+IF(AND(BG124&gt;0,COUNTIF($Y124:BF124,BG124)=0),0,IF(SUMPRODUCT(MOD(INT(BG169/{2,4,8,16,32,64,128,256,512,1024,2048,4096,8192,16384,32768}),2)*(1-MOD(INT(($CJ34+BF214)/{2,4,8,16,32,64,128,256,512,1024,2048,4096,8192,16384,32768}),2))*{2,4,8,16,32,64,128,256,512,1024,2048,4096,8192,16384,32768})=0,0,2^SUMPRODUCT(--(MOD(SUMPRODUCT(MOD(INT(BG169/{2,4,8,16,32,64,128,256,512,1024,2048,4096,8192,16384,32768}),2)*(1-MOD(INT(($CJ34+BF214)/{2,4,8,16,32,64,128,256,512,1024,2048,4096,8192,16384,32768}),2))*{2,4,8,16,32,64,128,256,512,1024,2048,4096,8192,16384,32768}),{2,4,8,16,32,64,128,256,512,1024,2048,4096,8192,16384,32768})=0))))</f>
        <v/>
      </c>
      <c r="BH214">
        <f>BG214+IF(AND(BH124&gt;0,COUNTIF($Y124:BG124,BH124)=0),0,IF(SUMPRODUCT(MOD(INT(BH169/{2,4,8,16,32,64,128,256,512,1024,2048,4096,8192,16384,32768}),2)*(1-MOD(INT(($CJ34+BG214)/{2,4,8,16,32,64,128,256,512,1024,2048,4096,8192,16384,32768}),2))*{2,4,8,16,32,64,128,256,512,1024,2048,4096,8192,16384,32768})=0,0,2^SUMPRODUCT(--(MOD(SUMPRODUCT(MOD(INT(BH169/{2,4,8,16,32,64,128,256,512,1024,2048,4096,8192,16384,32768}),2)*(1-MOD(INT(($CJ34+BG214)/{2,4,8,16,32,64,128,256,512,1024,2048,4096,8192,16384,32768}),2))*{2,4,8,16,32,64,128,256,512,1024,2048,4096,8192,16384,32768}),{2,4,8,16,32,64,128,256,512,1024,2048,4096,8192,16384,32768})=0))))</f>
        <v/>
      </c>
      <c r="BI214">
        <f>BH214+IF(AND(BI124&gt;0,COUNTIF($Y124:BH124,BI124)=0),0,IF(SUMPRODUCT(MOD(INT(BI169/{2,4,8,16,32,64,128,256,512,1024,2048,4096,8192,16384,32768}),2)*(1-MOD(INT(($CJ34+BH214)/{2,4,8,16,32,64,128,256,512,1024,2048,4096,8192,16384,32768}),2))*{2,4,8,16,32,64,128,256,512,1024,2048,4096,8192,16384,32768})=0,0,2^SUMPRODUCT(--(MOD(SUMPRODUCT(MOD(INT(BI169/{2,4,8,16,32,64,128,256,512,1024,2048,4096,8192,16384,32768}),2)*(1-MOD(INT(($CJ34+BH214)/{2,4,8,16,32,64,128,256,512,1024,2048,4096,8192,16384,32768}),2))*{2,4,8,16,32,64,128,256,512,1024,2048,4096,8192,16384,32768}),{2,4,8,16,32,64,128,256,512,1024,2048,4096,8192,16384,32768})=0))))</f>
        <v/>
      </c>
      <c r="BJ214">
        <f>BI214+IF(AND(BJ124&gt;0,COUNTIF($Y124:BI124,BJ124)=0),0,IF(SUMPRODUCT(MOD(INT(BJ169/{2,4,8,16,32,64,128,256,512,1024,2048,4096,8192,16384,32768}),2)*(1-MOD(INT(($CJ34+BI214)/{2,4,8,16,32,64,128,256,512,1024,2048,4096,8192,16384,32768}),2))*{2,4,8,16,32,64,128,256,512,1024,2048,4096,8192,16384,32768})=0,0,2^SUMPRODUCT(--(MOD(SUMPRODUCT(MOD(INT(BJ169/{2,4,8,16,32,64,128,256,512,1024,2048,4096,8192,16384,32768}),2)*(1-MOD(INT(($CJ34+BI214)/{2,4,8,16,32,64,128,256,512,1024,2048,4096,8192,16384,32768}),2))*{2,4,8,16,32,64,128,256,512,1024,2048,4096,8192,16384,32768}),{2,4,8,16,32,64,128,256,512,1024,2048,4096,8192,16384,32768})=0))))</f>
        <v/>
      </c>
      <c r="BK214">
        <f>BJ214+IF(AND(BK124&gt;0,COUNTIF($Y124:BJ124,BK124)=0),0,IF(SUMPRODUCT(MOD(INT(BK169/{2,4,8,16,32,64,128,256,512,1024,2048,4096,8192,16384,32768}),2)*(1-MOD(INT(($CJ34+BJ214)/{2,4,8,16,32,64,128,256,512,1024,2048,4096,8192,16384,32768}),2))*{2,4,8,16,32,64,128,256,512,1024,2048,4096,8192,16384,32768})=0,0,2^SUMPRODUCT(--(MOD(SUMPRODUCT(MOD(INT(BK169/{2,4,8,16,32,64,128,256,512,1024,2048,4096,8192,16384,32768}),2)*(1-MOD(INT(($CJ34+BJ214)/{2,4,8,16,32,64,128,256,512,1024,2048,4096,8192,16384,32768}),2))*{2,4,8,16,32,64,128,256,512,1024,2048,4096,8192,16384,32768}),{2,4,8,16,32,64,128,256,512,1024,2048,4096,8192,16384,32768})=0))))</f>
        <v/>
      </c>
      <c r="BL214">
        <f>BK214+IF(AND(BL124&gt;0,COUNTIF($Y124:BK124,BL124)=0),0,IF(SUMPRODUCT(MOD(INT(BL169/{2,4,8,16,32,64,128,256,512,1024,2048,4096,8192,16384,32768}),2)*(1-MOD(INT(($CJ34+BK214)/{2,4,8,16,32,64,128,256,512,1024,2048,4096,8192,16384,32768}),2))*{2,4,8,16,32,64,128,256,512,1024,2048,4096,8192,16384,32768})=0,0,2^SUMPRODUCT(--(MOD(SUMPRODUCT(MOD(INT(BL169/{2,4,8,16,32,64,128,256,512,1024,2048,4096,8192,16384,32768}),2)*(1-MOD(INT(($CJ34+BK214)/{2,4,8,16,32,64,128,256,512,1024,2048,4096,8192,16384,32768}),2))*{2,4,8,16,32,64,128,256,512,1024,2048,4096,8192,16384,32768}),{2,4,8,16,32,64,128,256,512,1024,2048,4096,8192,16384,32768})=0))))</f>
        <v/>
      </c>
      <c r="BM214">
        <f>BL214+IF(AND(BM124&gt;0,COUNTIF($Y124:BL124,BM124)=0),0,IF(SUMPRODUCT(MOD(INT(BM169/{2,4,8,16,32,64,128,256,512,1024,2048,4096,8192,16384,32768}),2)*(1-MOD(INT(($CJ34+BL214)/{2,4,8,16,32,64,128,256,512,1024,2048,4096,8192,16384,32768}),2))*{2,4,8,16,32,64,128,256,512,1024,2048,4096,8192,16384,32768})=0,0,2^SUMPRODUCT(--(MOD(SUMPRODUCT(MOD(INT(BM169/{2,4,8,16,32,64,128,256,512,1024,2048,4096,8192,16384,32768}),2)*(1-MOD(INT(($CJ34+BL214)/{2,4,8,16,32,64,128,256,512,1024,2048,4096,8192,16384,32768}),2))*{2,4,8,16,32,64,128,256,512,1024,2048,4096,8192,16384,32768}),{2,4,8,16,32,64,128,256,512,1024,2048,4096,8192,16384,32768})=0))))</f>
        <v/>
      </c>
      <c r="BN214">
        <f>BM214+IF(AND(BN124&gt;0,COUNTIF($Y124:BM124,BN124)=0),0,IF(SUMPRODUCT(MOD(INT(BN169/{2,4,8,16,32,64,128,256,512,1024,2048,4096,8192,16384,32768}),2)*(1-MOD(INT(($CJ34+BM214)/{2,4,8,16,32,64,128,256,512,1024,2048,4096,8192,16384,32768}),2))*{2,4,8,16,32,64,128,256,512,1024,2048,4096,8192,16384,32768})=0,0,2^SUMPRODUCT(--(MOD(SUMPRODUCT(MOD(INT(BN169/{2,4,8,16,32,64,128,256,512,1024,2048,4096,8192,16384,32768}),2)*(1-MOD(INT(($CJ34+BM214)/{2,4,8,16,32,64,128,256,512,1024,2048,4096,8192,16384,32768}),2))*{2,4,8,16,32,64,128,256,512,1024,2048,4096,8192,16384,32768}),{2,4,8,16,32,64,128,256,512,1024,2048,4096,8192,16384,32768})=0))))</f>
        <v/>
      </c>
      <c r="BO214">
        <f>BN214+IF(AND(BO124&gt;0,COUNTIF($Y124:BN124,BO124)=0),0,IF(SUMPRODUCT(MOD(INT(BO169/{2,4,8,16,32,64,128,256,512,1024,2048,4096,8192,16384,32768}),2)*(1-MOD(INT(($CJ34+BN214)/{2,4,8,16,32,64,128,256,512,1024,2048,4096,8192,16384,32768}),2))*{2,4,8,16,32,64,128,256,512,1024,2048,4096,8192,16384,32768})=0,0,2^SUMPRODUCT(--(MOD(SUMPRODUCT(MOD(INT(BO169/{2,4,8,16,32,64,128,256,512,1024,2048,4096,8192,16384,32768}),2)*(1-MOD(INT(($CJ34+BN214)/{2,4,8,16,32,64,128,256,512,1024,2048,4096,8192,16384,32768}),2))*{2,4,8,16,32,64,128,256,512,1024,2048,4096,8192,16384,32768}),{2,4,8,16,32,64,128,256,512,1024,2048,4096,8192,16384,32768})=0))))</f>
        <v/>
      </c>
      <c r="BP214">
        <f>BO214+IF(AND(BP124&gt;0,COUNTIF($Y124:BO124,BP124)=0),0,IF(SUMPRODUCT(MOD(INT(BP169/{2,4,8,16,32,64,128,256,512,1024,2048,4096,8192,16384,32768}),2)*(1-MOD(INT(($CJ34+BO214)/{2,4,8,16,32,64,128,256,512,1024,2048,4096,8192,16384,32768}),2))*{2,4,8,16,32,64,128,256,512,1024,2048,4096,8192,16384,32768})=0,0,2^SUMPRODUCT(--(MOD(SUMPRODUCT(MOD(INT(BP169/{2,4,8,16,32,64,128,256,512,1024,2048,4096,8192,16384,32768}),2)*(1-MOD(INT(($CJ34+BO214)/{2,4,8,16,32,64,128,256,512,1024,2048,4096,8192,16384,32768}),2))*{2,4,8,16,32,64,128,256,512,1024,2048,4096,8192,16384,32768}),{2,4,8,16,32,64,128,256,512,1024,2048,4096,8192,16384,32768})=0))))</f>
        <v/>
      </c>
      <c r="BQ214">
        <f>BP214+IF(AND(BQ124&gt;0,COUNTIF($Y124:BP124,BQ124)=0),0,IF(SUMPRODUCT(MOD(INT(BQ169/{2,4,8,16,32,64,128,256,512,1024,2048,4096,8192,16384,32768}),2)*(1-MOD(INT(($CJ34+BP214)/{2,4,8,16,32,64,128,256,512,1024,2048,4096,8192,16384,32768}),2))*{2,4,8,16,32,64,128,256,512,1024,2048,4096,8192,16384,32768})=0,0,2^SUMPRODUCT(--(MOD(SUMPRODUCT(MOD(INT(BQ169/{2,4,8,16,32,64,128,256,512,1024,2048,4096,8192,16384,32768}),2)*(1-MOD(INT(($CJ34+BP214)/{2,4,8,16,32,64,128,256,512,1024,2048,4096,8192,16384,32768}),2))*{2,4,8,16,32,64,128,256,512,1024,2048,4096,8192,16384,32768}),{2,4,8,16,32,64,128,256,512,1024,2048,4096,8192,16384,32768})=0))))</f>
        <v/>
      </c>
      <c r="BR214">
        <f>BQ214+IF(AND(BR124&gt;0,COUNTIF($Y124:BQ124,BR124)=0),0,IF(SUMPRODUCT(MOD(INT(BR169/{2,4,8,16,32,64,128,256,512,1024,2048,4096,8192,16384,32768}),2)*(1-MOD(INT(($CJ34+BQ214)/{2,4,8,16,32,64,128,256,512,1024,2048,4096,8192,16384,32768}),2))*{2,4,8,16,32,64,128,256,512,1024,2048,4096,8192,16384,32768})=0,0,2^SUMPRODUCT(--(MOD(SUMPRODUCT(MOD(INT(BR169/{2,4,8,16,32,64,128,256,512,1024,2048,4096,8192,16384,32768}),2)*(1-MOD(INT(($CJ34+BQ214)/{2,4,8,16,32,64,128,256,512,1024,2048,4096,8192,16384,32768}),2))*{2,4,8,16,32,64,128,256,512,1024,2048,4096,8192,16384,32768}),{2,4,8,16,32,64,128,256,512,1024,2048,4096,8192,16384,32768})=0))))</f>
        <v/>
      </c>
      <c r="BS214">
        <f>BR214+IF(AND(BS124&gt;0,COUNTIF($Y124:BR124,BS124)=0),0,IF(SUMPRODUCT(MOD(INT(BS169/{2,4,8,16,32,64,128,256,512,1024,2048,4096,8192,16384,32768}),2)*(1-MOD(INT(($CJ34+BR214)/{2,4,8,16,32,64,128,256,512,1024,2048,4096,8192,16384,32768}),2))*{2,4,8,16,32,64,128,256,512,1024,2048,4096,8192,16384,32768})=0,0,2^SUMPRODUCT(--(MOD(SUMPRODUCT(MOD(INT(BS169/{2,4,8,16,32,64,128,256,512,1024,2048,4096,8192,16384,32768}),2)*(1-MOD(INT(($CJ34+BR214)/{2,4,8,16,32,64,128,256,512,1024,2048,4096,8192,16384,32768}),2))*{2,4,8,16,32,64,128,256,512,1024,2048,4096,8192,16384,32768}),{2,4,8,16,32,64,128,256,512,1024,2048,4096,8192,16384,32768})=0))))</f>
        <v/>
      </c>
      <c r="BT214">
        <f>BS214+IF(AND(BT124&gt;0,COUNTIF($Y124:BS124,BT124)=0),0,IF(SUMPRODUCT(MOD(INT(BT169/{2,4,8,16,32,64,128,256,512,1024,2048,4096,8192,16384,32768}),2)*(1-MOD(INT(($CJ34+BS214)/{2,4,8,16,32,64,128,256,512,1024,2048,4096,8192,16384,32768}),2))*{2,4,8,16,32,64,128,256,512,1024,2048,4096,8192,16384,32768})=0,0,2^SUMPRODUCT(--(MOD(SUMPRODUCT(MOD(INT(BT169/{2,4,8,16,32,64,128,256,512,1024,2048,4096,8192,16384,32768}),2)*(1-MOD(INT(($CJ34+BS214)/{2,4,8,16,32,64,128,256,512,1024,2048,4096,8192,16384,32768}),2))*{2,4,8,16,32,64,128,256,512,1024,2048,4096,8192,16384,32768}),{2,4,8,16,32,64,128,256,512,1024,2048,4096,8192,16384,32768})=0))))</f>
        <v/>
      </c>
      <c r="BU214">
        <f>BT214+IF(AND(BU124&gt;0,COUNTIF($Y124:BT124,BU124)=0),0,IF(SUMPRODUCT(MOD(INT(BU169/{2,4,8,16,32,64,128,256,512,1024,2048,4096,8192,16384,32768}),2)*(1-MOD(INT(($CJ34+BT214)/{2,4,8,16,32,64,128,256,512,1024,2048,4096,8192,16384,32768}),2))*{2,4,8,16,32,64,128,256,512,1024,2048,4096,8192,16384,32768})=0,0,2^SUMPRODUCT(--(MOD(SUMPRODUCT(MOD(INT(BU169/{2,4,8,16,32,64,128,256,512,1024,2048,4096,8192,16384,32768}),2)*(1-MOD(INT(($CJ34+BT214)/{2,4,8,16,32,64,128,256,512,1024,2048,4096,8192,16384,32768}),2))*{2,4,8,16,32,64,128,256,512,1024,2048,4096,8192,16384,32768}),{2,4,8,16,32,64,128,256,512,1024,2048,4096,8192,16384,32768})=0))))</f>
        <v/>
      </c>
      <c r="BV214">
        <f>BU214+IF(AND(BV124&gt;0,COUNTIF($Y124:BU124,BV124)=0),0,IF(SUMPRODUCT(MOD(INT(BV169/{2,4,8,16,32,64,128,256,512,1024,2048,4096,8192,16384,32768}),2)*(1-MOD(INT(($CJ34+BU214)/{2,4,8,16,32,64,128,256,512,1024,2048,4096,8192,16384,32768}),2))*{2,4,8,16,32,64,128,256,512,1024,2048,4096,8192,16384,32768})=0,0,2^SUMPRODUCT(--(MOD(SUMPRODUCT(MOD(INT(BV169/{2,4,8,16,32,64,128,256,512,1024,2048,4096,8192,16384,32768}),2)*(1-MOD(INT(($CJ34+BU214)/{2,4,8,16,32,64,128,256,512,1024,2048,4096,8192,16384,32768}),2))*{2,4,8,16,32,64,128,256,512,1024,2048,4096,8192,16384,32768}),{2,4,8,16,32,64,128,256,512,1024,2048,4096,8192,16384,32768})=0))))</f>
        <v/>
      </c>
      <c r="BW214">
        <f>BV214+IF(AND(BW124&gt;0,COUNTIF($Y124:BV124,BW124)=0),0,IF(SUMPRODUCT(MOD(INT(BW169/{2,4,8,16,32,64,128,256,512,1024,2048,4096,8192,16384,32768}),2)*(1-MOD(INT(($CJ34+BV214)/{2,4,8,16,32,64,128,256,512,1024,2048,4096,8192,16384,32768}),2))*{2,4,8,16,32,64,128,256,512,1024,2048,4096,8192,16384,32768})=0,0,2^SUMPRODUCT(--(MOD(SUMPRODUCT(MOD(INT(BW169/{2,4,8,16,32,64,128,256,512,1024,2048,4096,8192,16384,32768}),2)*(1-MOD(INT(($CJ34+BV214)/{2,4,8,16,32,64,128,256,512,1024,2048,4096,8192,16384,32768}),2))*{2,4,8,16,32,64,128,256,512,1024,2048,4096,8192,16384,32768}),{2,4,8,16,32,64,128,256,512,1024,2048,4096,8192,16384,32768})=0))))</f>
        <v/>
      </c>
      <c r="BX214">
        <f>BW214+IF(AND(BX124&gt;0,COUNTIF($Y124:BW124,BX124)=0),0,IF(SUMPRODUCT(MOD(INT(BX169/{2,4,8,16,32,64,128,256,512,1024,2048,4096,8192,16384,32768}),2)*(1-MOD(INT(($CJ34+BW214)/{2,4,8,16,32,64,128,256,512,1024,2048,4096,8192,16384,32768}),2))*{2,4,8,16,32,64,128,256,512,1024,2048,4096,8192,16384,32768})=0,0,2^SUMPRODUCT(--(MOD(SUMPRODUCT(MOD(INT(BX169/{2,4,8,16,32,64,128,256,512,1024,2048,4096,8192,16384,32768}),2)*(1-MOD(INT(($CJ34+BW214)/{2,4,8,16,32,64,128,256,512,1024,2048,4096,8192,16384,32768}),2))*{2,4,8,16,32,64,128,256,512,1024,2048,4096,8192,16384,32768}),{2,4,8,16,32,64,128,256,512,1024,2048,4096,8192,16384,32768})=0))))</f>
        <v/>
      </c>
      <c r="BY214">
        <f>BX214+IF(AND(BY124&gt;0,COUNTIF($Y124:BX124,BY124)=0),0,IF(SUMPRODUCT(MOD(INT(BY169/{2,4,8,16,32,64,128,256,512,1024,2048,4096,8192,16384,32768}),2)*(1-MOD(INT(($CJ34+BX214)/{2,4,8,16,32,64,128,256,512,1024,2048,4096,8192,16384,32768}),2))*{2,4,8,16,32,64,128,256,512,1024,2048,4096,8192,16384,32768})=0,0,2^SUMPRODUCT(--(MOD(SUMPRODUCT(MOD(INT(BY169/{2,4,8,16,32,64,128,256,512,1024,2048,4096,8192,16384,32768}),2)*(1-MOD(INT(($CJ34+BX214)/{2,4,8,16,32,64,128,256,512,1024,2048,4096,8192,16384,32768}),2))*{2,4,8,16,32,64,128,256,512,1024,2048,4096,8192,16384,32768}),{2,4,8,16,32,64,128,256,512,1024,2048,4096,8192,16384,32768})=0))))</f>
        <v/>
      </c>
      <c r="BZ214">
        <f>BY214+IF(AND(BZ124&gt;0,COUNTIF($Y124:BY124,BZ124)=0),0,IF(SUMPRODUCT(MOD(INT(BZ169/{2,4,8,16,32,64,128,256,512,1024,2048,4096,8192,16384,32768}),2)*(1-MOD(INT(($CJ34+BY214)/{2,4,8,16,32,64,128,256,512,1024,2048,4096,8192,16384,32768}),2))*{2,4,8,16,32,64,128,256,512,1024,2048,4096,8192,16384,32768})=0,0,2^SUMPRODUCT(--(MOD(SUMPRODUCT(MOD(INT(BZ169/{2,4,8,16,32,64,128,256,512,1024,2048,4096,8192,16384,32768}),2)*(1-MOD(INT(($CJ34+BY214)/{2,4,8,16,32,64,128,256,512,1024,2048,4096,8192,16384,32768}),2))*{2,4,8,16,32,64,128,256,512,1024,2048,4096,8192,16384,32768}),{2,4,8,16,32,64,128,256,512,1024,2048,4096,8192,16384,32768})=0))))</f>
        <v/>
      </c>
      <c r="CA214">
        <f>BZ214+IF(AND(CA124&gt;0,COUNTIF($Y124:BZ124,CA124)=0),0,IF(SUMPRODUCT(MOD(INT(CA169/{2,4,8,16,32,64,128,256,512,1024,2048,4096,8192,16384,32768}),2)*(1-MOD(INT(($CJ34+BZ214)/{2,4,8,16,32,64,128,256,512,1024,2048,4096,8192,16384,32768}),2))*{2,4,8,16,32,64,128,256,512,1024,2048,4096,8192,16384,32768})=0,0,2^SUMPRODUCT(--(MOD(SUMPRODUCT(MOD(INT(CA169/{2,4,8,16,32,64,128,256,512,1024,2048,4096,8192,16384,32768}),2)*(1-MOD(INT(($CJ34+BZ214)/{2,4,8,16,32,64,128,256,512,1024,2048,4096,8192,16384,32768}),2))*{2,4,8,16,32,64,128,256,512,1024,2048,4096,8192,16384,32768}),{2,4,8,16,32,64,128,256,512,1024,2048,4096,8192,16384,32768})=0))))</f>
        <v/>
      </c>
      <c r="CB214">
        <f>CA214+IF(AND(CB124&gt;0,COUNTIF($Y124:CA124,CB124)=0),0,IF(SUMPRODUCT(MOD(INT(CB169/{2,4,8,16,32,64,128,256,512,1024,2048,4096,8192,16384,32768}),2)*(1-MOD(INT(($CJ34+CA214)/{2,4,8,16,32,64,128,256,512,1024,2048,4096,8192,16384,32768}),2))*{2,4,8,16,32,64,128,256,512,1024,2048,4096,8192,16384,32768})=0,0,2^SUMPRODUCT(--(MOD(SUMPRODUCT(MOD(INT(CB169/{2,4,8,16,32,64,128,256,512,1024,2048,4096,8192,16384,32768}),2)*(1-MOD(INT(($CJ34+CA214)/{2,4,8,16,32,64,128,256,512,1024,2048,4096,8192,16384,32768}),2))*{2,4,8,16,32,64,128,256,512,1024,2048,4096,8192,16384,32768}),{2,4,8,16,32,64,128,256,512,1024,2048,4096,8192,16384,32768})=0))))</f>
        <v/>
      </c>
      <c r="CC214">
        <f>CB214+IF(AND(CC124&gt;0,COUNTIF($Y124:CB124,CC124)=0),0,IF(SUMPRODUCT(MOD(INT(CC169/{2,4,8,16,32,64,128,256,512,1024,2048,4096,8192,16384,32768}),2)*(1-MOD(INT(($CJ34+CB214)/{2,4,8,16,32,64,128,256,512,1024,2048,4096,8192,16384,32768}),2))*{2,4,8,16,32,64,128,256,512,1024,2048,4096,8192,16384,32768})=0,0,2^SUMPRODUCT(--(MOD(SUMPRODUCT(MOD(INT(CC169/{2,4,8,16,32,64,128,256,512,1024,2048,4096,8192,16384,32768}),2)*(1-MOD(INT(($CJ34+CB214)/{2,4,8,16,32,64,128,256,512,1024,2048,4096,8192,16384,32768}),2))*{2,4,8,16,32,64,128,256,512,1024,2048,4096,8192,16384,32768}),{2,4,8,16,32,64,128,256,512,1024,2048,4096,8192,16384,32768})=0))))</f>
        <v/>
      </c>
      <c r="CD214">
        <f>CC214+IF(AND(CD124&gt;0,COUNTIF($Y124:CC124,CD124)=0),0,IF(SUMPRODUCT(MOD(INT(CD169/{2,4,8,16,32,64,128,256,512,1024,2048,4096,8192,16384,32768}),2)*(1-MOD(INT(($CJ34+CC214)/{2,4,8,16,32,64,128,256,512,1024,2048,4096,8192,16384,32768}),2))*{2,4,8,16,32,64,128,256,512,1024,2048,4096,8192,16384,32768})=0,0,2^SUMPRODUCT(--(MOD(SUMPRODUCT(MOD(INT(CD169/{2,4,8,16,32,64,128,256,512,1024,2048,4096,8192,16384,32768}),2)*(1-MOD(INT(($CJ34+CC214)/{2,4,8,16,32,64,128,256,512,1024,2048,4096,8192,16384,32768}),2))*{2,4,8,16,32,64,128,256,512,1024,2048,4096,8192,16384,32768}),{2,4,8,16,32,64,128,256,512,1024,2048,4096,8192,16384,32768})=0))))</f>
        <v/>
      </c>
      <c r="CE214">
        <f>CD214+IF(AND(CE124&gt;0,COUNTIF($Y124:CD124,CE124)=0),0,IF(SUMPRODUCT(MOD(INT(CE169/{2,4,8,16,32,64,128,256,512,1024,2048,4096,8192,16384,32768}),2)*(1-MOD(INT(($CJ34+CD214)/{2,4,8,16,32,64,128,256,512,1024,2048,4096,8192,16384,32768}),2))*{2,4,8,16,32,64,128,256,512,1024,2048,4096,8192,16384,32768})=0,0,2^SUMPRODUCT(--(MOD(SUMPRODUCT(MOD(INT(CE169/{2,4,8,16,32,64,128,256,512,1024,2048,4096,8192,16384,32768}),2)*(1-MOD(INT(($CJ34+CD214)/{2,4,8,16,32,64,128,256,512,1024,2048,4096,8192,16384,32768}),2))*{2,4,8,16,32,64,128,256,512,1024,2048,4096,8192,16384,32768}),{2,4,8,16,32,64,128,256,512,1024,2048,4096,8192,16384,32768})=0))))</f>
        <v/>
      </c>
      <c r="CF214">
        <f>CE214+IF(AND(CF124&gt;0,COUNTIF($Y124:CE124,CF124)=0),0,IF(SUMPRODUCT(MOD(INT(CF169/{2,4,8,16,32,64,128,256,512,1024,2048,4096,8192,16384,32768}),2)*(1-MOD(INT(($CJ34+CE214)/{2,4,8,16,32,64,128,256,512,1024,2048,4096,8192,16384,32768}),2))*{2,4,8,16,32,64,128,256,512,1024,2048,4096,8192,16384,32768})=0,0,2^SUMPRODUCT(--(MOD(SUMPRODUCT(MOD(INT(CF169/{2,4,8,16,32,64,128,256,512,1024,2048,4096,8192,16384,32768}),2)*(1-MOD(INT(($CJ34+CE214)/{2,4,8,16,32,64,128,256,512,1024,2048,4096,8192,16384,32768}),2))*{2,4,8,16,32,64,128,256,512,1024,2048,4096,8192,16384,32768}),{2,4,8,16,32,64,128,256,512,1024,2048,4096,8192,16384,32768})=0))))</f>
        <v/>
      </c>
      <c r="DA214" t="n">
        <v>210</v>
      </c>
      <c r="DB214">
        <f>IF($B$37=0,"",IFERROR(TRIM(SUBSTITUTE(SUBSTITUTE(SUBSTITUTE(SUBSTITUTE(INDEX(PASTE_ALL,210,$B$37)," "," "),CHAR(9)," "),CHAR(10)," "),CHAR(13)," ")),""))</f>
        <v/>
      </c>
      <c r="DC214">
        <f>IF(AND(210&gt;HEADER_ROW,UPPER(DB214)="LEGEND"),1,0)</f>
        <v/>
      </c>
      <c r="DE214" t="n">
        <v>210</v>
      </c>
      <c r="DF214">
        <f>HEADER_ROW+$DE214</f>
        <v/>
      </c>
      <c r="DG214">
        <f>IF(AND($DF214&lt;=1000,$DF214&lt;$B$8),1,0)</f>
        <v/>
      </c>
      <c r="DH214">
        <f>IF($DG214=1,IFERROR(INDEX($DB$5:$DB$1004,$DF214),""),"")</f>
        <v/>
      </c>
      <c r="DI214">
        <f>IF(AND($DG214=1,$DH214&lt;&gt;""),IFERROR(SUBSTITUTE(SUBSTITUTE(TRIM(SUBSTITUTE(SUBSTITUTE(SUBSTITUTE(SUBSTITUTE(IFERROR(INDEX(PASTE_ALL,$DF214,1)&amp;"","")&amp;"␟"&amp;IFERROR(INDEX(PASTE_ALL,$DF214,2)&amp;"","")&amp;"␟"&amp;IFERROR(INDEX(PASTE_ALL,$DF214,3)&amp;"","")&amp;"␟"&amp;IFERROR(INDEX(PASTE_ALL,$DF214,4)&amp;"","")&amp;"␟"&amp;IFERROR(INDEX(PASTE_ALL,$DF214,5)&amp;"","")&amp;"␟"&amp;IFERROR(INDEX(PASTE_ALL,$DF214,6)&amp;"","")&amp;"␟"&amp;IFERROR(INDEX(PASTE_ALL,$DF214,7)&amp;"","")&amp;"␟"&amp;IFERROR(INDEX(PASTE_ALL,$DF214,8)&amp;"","")&amp;"␟"&amp;IFERROR(INDEX(PASTE_ALL,$DF214,9)&amp;"","")&amp;"␟"&amp;IFERROR(INDEX(PASTE_ALL,$DF214,10)&amp;"","")&amp;"␟"&amp;IFERROR(INDEX(PASTE_ALL,$DF214,11)&amp;"","")&amp;"␟"&amp;IFERROR(INDEX(PASTE_ALL,$DF214,12)&amp;"","")&amp;"␟"&amp;IFERROR(INDEX(PASTE_ALL,$DF214,13)&amp;"","")&amp;"␟"&amp;IFERROR(INDEX(PASTE_ALL,$DF214,14)&amp;"","")&amp;"␟"&amp;IFERROR(INDEX(PASTE_ALL,$DF214,15)&amp;"","")&amp;"␟"&amp;IFERROR(INDEX(PASTE_ALL,$DF214,16)&amp;"","")&amp;"␟"&amp;IFERROR(INDEX(PASTE_ALL,$DF214,17)&amp;"","")&amp;"␟"&amp;IFERROR(INDEX(PASTE_ALL,$DF214,18)&amp;"","")&amp;"␟"&amp;IFERROR(INDEX(PASTE_ALL,$DF214,19)&amp;"","")&amp;"␟"&amp;IFERROR(INDEX(PASTE_ALL,$DF214,20)&amp;"","")&amp;"␟"&amp;IFERROR(INDEX(PASTE_ALL,$DF214,21)&amp;"","")&amp;"␟"&amp;IFERROR(INDEX(PASTE_ALL,$DF214,22)&amp;"","")&amp;"␟"&amp;IFERROR(INDEX(PASTE_ALL,$DF214,23)&amp;"","")&amp;"␟"&amp;IFERROR(INDEX(PASTE_ALL,$DF214,24)&amp;"","")&amp;"␟"&amp;IFERROR(INDEX(PASTE_ALL,$DF214,25)&amp;"","")&amp;"␟"&amp;IFERROR(INDEX(PASTE_ALL,$DF214,26)&amp;"","")&amp;"␟"&amp;IFERROR(INDEX(PASTE_ALL,$DF214,27)&amp;"","")&amp;"␟"&amp;IFERROR(INDEX(PASTE_ALL,$DF214,28)&amp;"","")&amp;"␟"&amp;IFERROR(INDEX(PASTE_ALL,$DF214,29)&amp;"","")&amp;"␟"&amp;IFERROR(INDEX(PASTE_ALL,$DF214,30)&amp;"","")&amp;"␟"&amp;IFERROR(INDEX(PASTE_ALL,$DF214,31)&amp;"","")&amp;"␟"&amp;IFERROR(INDEX(PASTE_ALL,$DF214,32)&amp;"","")&amp;"␟"&amp;IFERROR(INDEX(PASTE_ALL,$DF214,33)&amp;"","")&amp;"␟"&amp;IFERROR(INDEX(PASTE_ALL,$DF214,34)&amp;"","")&amp;"␟"&amp;IFERROR(INDEX(PASTE_ALL,$DF214,35)&amp;"","")&amp;"␟"&amp;IFERROR(INDEX(PASTE_ALL,$DF214,36)&amp;"","")&amp;"␟"&amp;IFERROR(INDEX(PASTE_ALL,$DF214,37)&amp;"","")&amp;"␟"&amp;IFERROR(INDEX(PASTE_ALL,$DF214,38)&amp;"","")&amp;"␟"&amp;IFERROR(INDEX(PASTE_ALL,$DF214,39)&amp;"","")&amp;"␟"&amp;IFERROR(INDEX(PASTE_ALL,$DF214,40)&amp;"","")&amp;"␟"&amp;IFERROR(INDEX(PASTE_ALL,$DF214,41)&amp;"","")&amp;"␟"&amp;IFERROR(INDEX(PASTE_ALL,$DF214,42)&amp;"","")&amp;"␟"&amp;IFERROR(INDEX(PASTE_ALL,$DF214,43)&amp;"","")&amp;"␟"&amp;IFERROR(INDEX(PASTE_ALL,$DF214,44)&amp;"","")&amp;"␟"&amp;IFERROR(INDEX(PASTE_ALL,$DF214,45)&amp;"","")&amp;"␟"&amp;IFERROR(INDEX(PASTE_ALL,$DF214,46)&amp;"","")&amp;"␟"&amp;IFERROR(INDEX(PASTE_ALL,$DF214,47)&amp;"","")&amp;"␟"&amp;IFERROR(INDEX(PASTE_ALL,$DF214,48)&amp;"","")&amp;"␟"&amp;IFERROR(INDEX(PASTE_ALL,$DF214,49)&amp;"","")&amp;"␟"&amp;IFERROR(INDEX(PASTE_ALL,$DF214,50)&amp;"","")&amp;"␟"&amp;IFERROR(INDEX(PASTE_ALL,$DF214,51)&amp;"","")&amp;"␟"&amp;IFERROR(INDEX(PASTE_ALL,$DF214,52)&amp;"","")&amp;"␟"&amp;IFERROR(INDEX(PASTE_ALL,$DF214,53)&amp;"","")&amp;"␟"&amp;IFERROR(INDEX(PASTE_ALL,$DF214,54)&amp;"","")&amp;"␟"&amp;IFERROR(INDEX(PASTE_ALL,$DF214,55)&amp;"","")&amp;"␟"&amp;IFERROR(INDEX(PASTE_ALL,$DF214,56)&amp;"","")&amp;"␟"&amp;IFERROR(INDEX(PASTE_ALL,$DF214,57)&amp;"","")&amp;"␟"&amp;IFERROR(INDEX(PASTE_ALL,$DF214,58)&amp;"","")&amp;"␟"&amp;IFERROR(INDEX(PASTE_ALL,$DF214,59)&amp;"","")&amp;"␟"&amp;IFERROR(INDEX(PASTE_ALL,$DF214,60)&amp;"","")," "," "),CHAR(9)," "),CHAR(10)," "),CHAR(13)," "))," ␟","␟"),"␟ ","␟"),"#"&amp;$DE214),"")</f>
        <v/>
      </c>
      <c r="DJ214">
        <f>IF($DI214="",0,IF(SUMPRODUCT(--EXACT($DI$4:DI213,$DI214))&gt;0,1,0))</f>
        <v/>
      </c>
      <c r="DK214">
        <f>IF(AND($DI214&lt;&gt;"",$DJ214=0),1,0)</f>
        <v/>
      </c>
      <c r="DL214">
        <f>DL213+$DK214</f>
        <v/>
      </c>
      <c r="DM214">
        <f>IF(AND($DK214=1,$DL214&lt;=600),1,0)</f>
        <v/>
      </c>
      <c r="DN214">
        <f>IF($DM214=0,"",IF($L$6=0,"",IFERROR(IF(ISNUMBER(INDEX(PASTE_ALL,$DF214,$L$6)),INDEX(PASTE_ALL,$DF214,$L$6),TRIM(SUBSTITUTE(SUBSTITUTE(SUBSTITUTE(SUBSTITUTE(INDEX(PASTE_ALL,$DF214,$L$6)," "," "),CHAR(9)," "),CHAR(10)," "),CHAR(13)," "))),"")))</f>
        <v/>
      </c>
      <c r="DO214">
        <f>IF($DM214=0,"",IF($L$7=0,"",IFERROR(IF(ISNUMBER(INDEX(PASTE_ALL,$DF214,$L$7)),INDEX(PASTE_ALL,$DF214,$L$7),TRIM(SUBSTITUTE(SUBSTITUTE(SUBSTITUTE(SUBSTITUTE(INDEX(PASTE_ALL,$DF214,$L$7)," "," "),CHAR(9)," "),CHAR(10)," "),CHAR(13)," "))),"")))</f>
        <v/>
      </c>
      <c r="DP214">
        <f>IF($DM214=0,"",IF($L$8=0,"",IFERROR(IF(ISNUMBER(INDEX(PASTE_ALL,$DF214,$L$8)),INDEX(PASTE_ALL,$DF214,$L$8),TRIM(SUBSTITUTE(SUBSTITUTE(SUBSTITUTE(SUBSTITUTE(INDEX(PASTE_ALL,$DF214,$L$8)," "," "),CHAR(9)," "),CHAR(10)," "),CHAR(13)," "))),"")))</f>
        <v/>
      </c>
      <c r="DQ214">
        <f>IF($DM214=0,"",IF($L$9=0,"",IFERROR(IF(ISNUMBER(INDEX(PASTE_ALL,$DF214,$L$9)),INDEX(PASTE_ALL,$DF214,$L$9),TRIM(SUBSTITUTE(SUBSTITUTE(SUBSTITUTE(SUBSTITUTE(INDEX(PASTE_ALL,$DF214,$L$9)," "," "),CHAR(9)," "),CHAR(10)," "),CHAR(13)," "))),"")))</f>
        <v/>
      </c>
      <c r="DR214">
        <f>IF($DM214=0,"",IF($L$10=0,"",IFERROR(IF(ISNUMBER(INDEX(PASTE_ALL,$DF214,$L$10)),INDEX(PASTE_ALL,$DF214,$L$10),TRIM(SUBSTITUTE(SUBSTITUTE(SUBSTITUTE(SUBSTITUTE(INDEX(PASTE_ALL,$DF214,$L$10)," "," "),CHAR(9)," "),CHAR(10)," "),CHAR(13)," "))),"")))</f>
        <v/>
      </c>
      <c r="DS214">
        <f>IF($DM214=0,"",IF($L$11=0,"",IFERROR(IF(ISNUMBER(INDEX(PASTE_ALL,$DF214,$L$11)),INDEX(PASTE_ALL,$DF214,$L$11),TRIM(SUBSTITUTE(SUBSTITUTE(SUBSTITUTE(SUBSTITUTE(INDEX(PASTE_ALL,$DF214,$L$11)," "," "),CHAR(9)," "),CHAR(10)," "),CHAR(13)," "))),"")))</f>
        <v/>
      </c>
      <c r="DT214">
        <f>IF($DM214=0,"",IF($L$12=0,"",IFERROR(IF(ISNUMBER(INDEX(PASTE_ALL,$DF214,$L$12)),INDEX(PASTE_ALL,$DF214,$L$12),TRIM(SUBSTITUTE(SUBSTITUTE(SUBSTITUTE(SUBSTITUTE(INDEX(PASTE_ALL,$DF214,$L$12)," "," "),CHAR(9)," "),CHAR(10)," "),CHAR(13)," "))),"")))</f>
        <v/>
      </c>
      <c r="DU214">
        <f>IF($DM214=0,"",IF($L$13=0,"",IFERROR(IF(ISNUMBER(INDEX(PASTE_ALL,$DF214,$L$13)),INDEX(PASTE_ALL,$DF214,$L$13),TRIM(SUBSTITUTE(SUBSTITUTE(SUBSTITUTE(SUBSTITUTE(INDEX(PASTE_ALL,$DF214,$L$13)," "," "),CHAR(9)," "),CHAR(10)," "),CHAR(13)," "))),"")))</f>
        <v/>
      </c>
      <c r="DV214">
        <f>IF($DM214=0,"",IF($L$14=0,"",IFERROR(IF(ISNUMBER(INDEX(PASTE_ALL,$DF214,$L$14)),INDEX(PASTE_ALL,$DF214,$L$14),TRIM(SUBSTITUTE(SUBSTITUTE(SUBSTITUTE(SUBSTITUTE(INDEX(PASTE_ALL,$DF214,$L$14)," "," "),CHAR(9)," "),CHAR(10)," "),CHAR(13)," "))),"")))</f>
        <v/>
      </c>
      <c r="DW214">
        <f>IF($DM214=0,"",IF($L$15=0,"",IFERROR(IF(ISNUMBER(INDEX(PASTE_ALL,$DF214,$L$15)),INDEX(PASTE_ALL,$DF214,$L$15),IF(SUMPRODUCT(--ISNUMBER(FIND({"A","B","C","D","E","F","G","H","I","J","K","L","M","N","O","P","Q","R","S","T","U","V","W","X","Y","Z","0","1","2","3","4","5","6","7","8","9"},UPPER(TRIM(SUBSTITUTE(SUBSTITUTE(SUBSTITUTE(SUBSTITUTE(INDEX(PASTE_ALL,$DF214,$L$15)," "," "),CHAR(9)," "),CHAR(10)," "),CHAR(13)," "))))))&gt;0,TRIM(SUBSTITUTE(SUBSTITUTE(SUBSTITUTE(SUBSTITUTE(INDEX(PASTE_ALL,$DF214,$L$15)," "," "),CHAR(9)," "),CHAR(10)," "),CHAR(13)," ")),"")),"")))</f>
        <v/>
      </c>
      <c r="DX214">
        <f>IF($DM214=0,"",IF($L$16=0,"",IFERROR(IF(ISNUMBER(INDEX(PASTE_ALL,$DF214,$L$16)),INDEX(PASTE_ALL,$DF214,$L$16),SUBSTITUTE(SUBSTITUTE(TRIM(SUBSTITUTE(SUBSTITUTE(SUBSTITUTE(SUBSTITUTE(INDEX(PASTE_ALL,$DF214,$L$16)," "," "),CHAR(9)," "),CHAR(10)," "),CHAR(13)," ")),",",""),"%","")),"")))</f>
        <v/>
      </c>
      <c r="DY214">
        <f>IF($DM214=0,"",IFERROR(IF(ISNUMBER($DX214),$DX214,IF($DX214="","",IF(TRIM($DX214)="",0,IF(AND(AND(SUBSTITUTE(SUBSTITUTE(SUBSTITUTE(SUBSTITUTE(SUBSTITUTE(SUBSTITUTE(SUBSTITUTE(SUBSTITUTE(SUBSTITUTE(SUBSTITUTE(SUBSTITUTE(SUBSTITUTE(SUBSTITUTE(SUBSTITUTE(UPPER(TRIM($DX214)),"0",""),"1",""),"2",""),"3",""),"4",""),"5",""),"6",""),"7",""),"8",""),"9",""),".",""),"+",""),"-",""),"E","")="",LEN(SUBSTITUTE(SUBSTITUTE(MID(UPPER(TRIM($DX214)),1+OR(LEFT(UPPER(TRIM($DX214)),1)="+",LEFT(UPPER(TRIM($DX214)),1)="-"),999),"E+","E"),"E-","E"))=LEN(SUBSTITUTE(SUBSTITUTE(SUBSTITUTE(SUBSTITUTE(MID(UPPER(TRIM($DX214)),1+OR(LEFT(UPPER(TRIM($DX214)),1)="+",LEFT(UPPER(TRIM($DX214)),1)="-"),999),"E+","E"),"E-","E"),"+",""),"-","")),LEN(UPPER(TRIM($DX214)))-LEN(SUBSTITUTE(UPPER(TRIM($DX214)),"E",""))&lt;2,LEN(UPPER(TRIM($DX214)))-LEN(SUBSTITUTE(UPPER(TRIM($DX214)),".",""))&lt;2,IFERROR(FIND(".",UPPER(TRIM($DX214))),0)&lt;IFERROR(FIND("E",UPPER(TRIM($DX214))),999)),ISNUMBER(VALUE(TRIM($DX214)))),VALUE(TRIM($DX214)),"")))),""))</f>
        <v/>
      </c>
      <c r="DZ214">
        <f>IF($DM214=0,"",IF($L$17=0,"",IFERROR(IF(ISNUMBER(INDEX(PASTE_ALL,$DF214,$L$17)),INDEX(PASTE_ALL,$DF214,$L$17),SUBSTITUTE(SUBSTITUTE(TRIM(SUBSTITUTE(SUBSTITUTE(SUBSTITUTE(SUBSTITUTE(INDEX(PASTE_ALL,$DF214,$L$17)," "," "),CHAR(9)," "),CHAR(10)," "),CHAR(13)," ")),",",""),"%","")),"")))</f>
        <v/>
      </c>
      <c r="EA214">
        <f>IF($DM214=0,"",IFERROR(IF(ISNUMBER($DZ214),$DZ214,IF($DZ214="","",IF(TRIM($DZ214)="",0,IF(AND(AND(SUBSTITUTE(SUBSTITUTE(SUBSTITUTE(SUBSTITUTE(SUBSTITUTE(SUBSTITUTE(SUBSTITUTE(SUBSTITUTE(SUBSTITUTE(SUBSTITUTE(SUBSTITUTE(SUBSTITUTE(SUBSTITUTE(SUBSTITUTE(UPPER(TRIM($DZ214)),"0",""),"1",""),"2",""),"3",""),"4",""),"5",""),"6",""),"7",""),"8",""),"9",""),".",""),"+",""),"-",""),"E","")="",LEN(SUBSTITUTE(SUBSTITUTE(MID(UPPER(TRIM($DZ214)),1+OR(LEFT(UPPER(TRIM($DZ214)),1)="+",LEFT(UPPER(TRIM($DZ214)),1)="-"),999),"E+","E"),"E-","E"))=LEN(SUBSTITUTE(SUBSTITUTE(SUBSTITUTE(SUBSTITUTE(MID(UPPER(TRIM($DZ214)),1+OR(LEFT(UPPER(TRIM($DZ214)),1)="+",LEFT(UPPER(TRIM($DZ214)),1)="-"),999),"E+","E"),"E-","E"),"+",""),"-","")),LEN(UPPER(TRIM($DZ214)))-LEN(SUBSTITUTE(UPPER(TRIM($DZ214)),"E",""))&lt;2,LEN(UPPER(TRIM($DZ214)))-LEN(SUBSTITUTE(UPPER(TRIM($DZ214)),".",""))&lt;2,IFERROR(FIND(".",UPPER(TRIM($DZ214))),0)&lt;IFERROR(FIND("E",UPPER(TRIM($DZ214))),999)),ISNUMBER(VALUE(TRIM($DZ214)))),VALUE(TRIM($DZ214)),"")))),""))</f>
        <v/>
      </c>
      <c r="EB214">
        <f>IF($DM214=0,"",IF($L$18=0,"",IFERROR(IF(UPPER(TRIM(SUBSTITUTE(SUBSTITUTE(SUBSTITUTE(SUBSTITUTE(INDEX(PASTE_ALL,$DF214,$L$18)," "," "),CHAR(9)," "),CHAR(10)," "),CHAR(13)," ")))="READY","Ready",IF(UPPER(TRIM(SUBSTITUTE(SUBSTITUTE(SUBSTITUTE(SUBSTITUTE(INDEX(PASTE_ALL,$DF214,$L$18)," "," "),CHAR(9)," "),CHAR(10)," "),CHAR(13)," ")))="PM","PM",IF(OR(UPPER(TRIM(SUBSTITUTE(SUBSTITUTE(SUBSTITUTE(SUBSTITUTE(INDEX(PASTE_ALL,$DF214,$L$18)," "," "),CHAR(9)," "),CHAR(10)," "),CHAR(13)," ")))="OT",UPPER(TRIM(SUBSTITUTE(SUBSTITUTE(SUBSTITUTE(SUBSTITUTE(INDEX(PASTE_ALL,$DF214,$L$18)," "," "),CHAR(9)," "),CHAR(10)," "),CHAR(13)," ")))="OVERTIME",UPPER(TRIM(SUBSTITUTE(SUBSTITUTE(SUBSTITUTE(SUBSTITUTE(INDEX(PASTE_ALL,$DF214,$L$18)," "," "),CHAR(9)," "),CHAR(10)," "),CHAR(13)," ")))="TRIAL"),"OT",TRIM(SUBSTITUTE(SUBSTITUTE(SUBSTITUTE(SUBSTITUTE(INDEX(PASTE_ALL,$DF214,$L$18)," "," "),CHAR(9)," "),CHAR(10)," "),CHAR(13)," "))))),"")))</f>
        <v/>
      </c>
      <c r="EC214">
        <f>IF($DM214=0,"",IF($L$19=0,"",IFERROR(IF(ISNUMBER(INDEX(PASTE_ALL,$DF214,$L$19)),INDEX(PASTE_ALL,$DF214,$L$19),TRIM(SUBSTITUTE(SUBSTITUTE(SUBSTITUTE(SUBSTITUTE(INDEX(PASTE_ALL,$DF214,$L$19)," "," "),CHAR(9)," "),CHAR(10)," "),CHAR(13)," "))),"")))</f>
        <v/>
      </c>
      <c r="ED214">
        <f>IF($DM214=0,"",MATCH(1,INDEX(EXACT($DH$5:DH214,$DH214)*$DM$5:DM214,0),0))</f>
        <v/>
      </c>
      <c r="EE214">
        <f>IF($DM214=0,0,IF($ED214=$DE214,1,0))</f>
        <v/>
      </c>
      <c r="EF214">
        <f>EF213+$EE214</f>
        <v/>
      </c>
      <c r="EG214">
        <f>IF($DM214=0,"",INDEX($EF$5:$EF$1003,$ED214))</f>
        <v/>
      </c>
      <c r="EH214">
        <f>IF($DM214=0,"",IF($DO214&lt;&gt;"","",IFERROR(LOOKUP(2,1/(($EG$4:EG213=$EG214)*($DO$4:DO213&lt;&gt;"")),$DO$4:DO213),"")))</f>
        <v/>
      </c>
      <c r="EI214">
        <f>IF($DM214=0,"",IF($DO214&lt;&gt;"",$DO214,$EH214))</f>
        <v/>
      </c>
      <c r="EJ214">
        <f>IF($DM214=0,"",IF($EI214="",0,IF(OR(ISNUMBER($EI214),AND(AND(SUBSTITUTE(SUBSTITUTE(SUBSTITUTE(SUBSTITUTE(SUBSTITUTE(SUBSTITUTE(SUBSTITUTE(SUBSTITUTE(SUBSTITUTE(SUBSTITUTE(SUBSTITUTE(SUBSTITUTE(SUBSTITUTE(SUBSTITUTE(UPPER($EI214),"0",""),"1",""),"2",""),"3",""),"4",""),"5",""),"6",""),"7",""),"8",""),"9",""),".",""),"+",""),"-",""),"E","")="",LEN(SUBSTITUTE(SUBSTITUTE(MID(UPPER($EI214),1+OR(LEFT(UPPER($EI214),1)="+",LEFT(UPPER($EI214),1)="-"),999),"E+","E"),"E-","E"))=LEN(SUBSTITUTE(SUBSTITUTE(SUBSTITUTE(SUBSTITUTE(MID(UPPER($EI214),1+OR(LEFT(UPPER($EI214),1)="+",LEFT(UPPER($EI214),1)="-"),999),"E+","E"),"E-","E"),"+",""),"-","")),LEN(UPPER($EI214))-LEN(SUBSTITUTE(UPPER($EI214),"E",""))&lt;2,LEN(UPPER($EI214))-LEN(SUBSTITUTE(UPPER($EI214),".",""))&lt;2,IFERROR(FIND(".",UPPER($EI214)),0)&lt;IFERROR(FIND("E",UPPER($EI214)),999)),ISNUMBER(VALUE($EI214)))),1,2)))</f>
        <v/>
      </c>
      <c r="EK214">
        <f>IF($DM214=0,"",IF($EJ214=1,IF(ISNUMBER($EI214),$EI214,VALUE($EI214)),IF($EJ214=2,$DE214,0)))</f>
        <v/>
      </c>
      <c r="EL214">
        <f>IF($DM214=0,"",COUNTIF($EG$5:$EG$1003,"&lt;"&amp;$EG214)+SUMPRODUCT(($EG$5:$EG$1003=$EG214)*(($EJ$5:$EJ$1003&lt;$EJ214)+($EJ$5:$EJ$1003=$EJ214)*(($EK$5:$EK$1003&lt;$EK214)+($EK$5:$EK$1003=$EK214)*($DE$5:$DE$1003&lt;$DE214))))+1)</f>
        <v/>
      </c>
      <c r="EM214">
        <f>IF($DM214=0,"",$EL214+$EG214-1)</f>
        <v/>
      </c>
      <c r="EN214">
        <f>IF($DM214=0,0,IFERROR(MATCH(1,INDEX(--(TRIM(SUBSTITUTE(SUBSTITUTE(SUBSTITUTE(SUBSTITUTE(LINES_NAME&amp;""," "," "),CHAR(9)," "),CHAR(10)," "),CHAR(13)," "))=$DH214),0),0),0))</f>
        <v/>
      </c>
      <c r="EO214">
        <f>IF($EN214=0,0,IF(OR(UPPER(TRIM(INDEX(LINES_SCHEDULED,$EN214)&amp;""))="YES",UPPER(TRIM(INDEX(LINES_SCHEDULED,$EN214)&amp;""))="Y",UPPER(TRIM(INDEX(LINES_SCHEDULED,$EN214)&amp;""))="X"),1,0))</f>
        <v/>
      </c>
      <c r="EP214">
        <f>IF($DM214=0,"",IF(COUNTIFS($EG$5:$EG$1003,$EG214,$EB$5:$EB$1003,"Ready")&gt;0,"READY",IF(COUNTIFS($EG$5:$EG$1003,$EG214,$EB$5:$EB$1003,"PM")&gt;0,"PM",IF(COUNTIFS($EG$5:$EG$1003,$EG214,$EB$5:$EB$1003,"OT")&gt;0,"OT",""))))</f>
        <v/>
      </c>
      <c r="EQ214">
        <f>IF($EN214=0,"",UPPER(TRIM(INDEX(LINES_STATUS,$EN214)&amp;"")))</f>
        <v/>
      </c>
      <c r="ER214">
        <f>IF($DM214=0,"",IF(OR($EQ214="READY",$EQ214="PM",$EQ214="OT"),$EQ214,$EP214))</f>
        <v/>
      </c>
      <c r="ES214">
        <f>IF($DM214=0,"",IF(AND($DV214&lt;&gt;"",UPPER($DV214)&lt;&gt;"N"),"allergen",IF(ISNUMBER(SEARCH("oil",$DQ214)),"oil",IF(OR(EXACT($DS214,"A662"),EXACT($DS214,"A624")),"bulk",""))))</f>
        <v/>
      </c>
      <c r="ET214">
        <f>IF($DM214=0,"",IF(OR($EA214="",$EA214=0),"",$EA214/100))</f>
        <v/>
      </c>
      <c r="EU214">
        <f>IF(OR($ET214="",$DY214=""),"",INT($DY214*(1-$ET214)+0.5))</f>
        <v/>
      </c>
      <c r="EW214" t="n">
        <v>210</v>
      </c>
      <c r="EX214">
        <f>IFERROR(MATCH($EW214,$EM$5:$EM$1003,0),0)</f>
        <v/>
      </c>
      <c r="EY214">
        <f>IF($EW214&gt;$B$12,"",IF($EX214&gt;0,"row","spacer"))</f>
        <v/>
      </c>
      <c r="EZ214">
        <f>IF(AND($EY214="row",$EY213&lt;&gt;"row"),1,0)</f>
        <v/>
      </c>
      <c r="FA214">
        <f>IF(AND($EY214="row",$EY215&lt;&gt;"row"),1,0)</f>
        <v/>
      </c>
      <c r="FB214">
        <f>IF($EZ214=1,IFERROR(IF(ISNUMBER(INDEX(PASTE_ALL,INDEX($DF$5:$DF$1003,$EX214),$B$37)),INDEX(PASTE_ALL,INDEX($DF$5:$DF$1003,$EX214),$B$37),INDEX($DH$5:$DH$1003,$EX214)),INDEX($DH$5:$DH$1003,$EX214)),"")</f>
        <v/>
      </c>
      <c r="FC214">
        <f>IF($EY214="row",INDEX($ER$5:$ER$1003,$EX214),"")</f>
        <v/>
      </c>
      <c r="FD214">
        <f>IF($EY214="row",INDEX($DN$5:$DN$1003,$EX214),"")</f>
        <v/>
      </c>
      <c r="FE214">
        <f>IF($EY214="row",INDEX($DO$5:$DO$1003,$EX214),"")</f>
        <v/>
      </c>
      <c r="FF214">
        <f>IF($EY214="row",INDEX($DP$5:$DP$1003,$EX214),"")</f>
        <v/>
      </c>
      <c r="FG214">
        <f>IF($EY214="row",INDEX($DQ$5:$DQ$1003,$EX214),"")</f>
        <v/>
      </c>
      <c r="FH214">
        <f>IF($EY214="row",INDEX($DR$5:$DR$1003,$EX214),"")</f>
        <v/>
      </c>
      <c r="FI214">
        <f>IF($EY214="row",INDEX($DS$5:$DS$1003,$EX214),"")</f>
        <v/>
      </c>
      <c r="FJ214">
        <f>IF($EY214="row",INDEX($DT$5:$DT$1003,$EX214),"")</f>
        <v/>
      </c>
      <c r="FK214">
        <f>IF($EY214="row",INDEX($DU$5:$DU$1003,$EX214),"")</f>
        <v/>
      </c>
      <c r="FL214">
        <f>IF($EY214="row",INDEX($DV$5:$DV$1003,$EX214),"")</f>
        <v/>
      </c>
      <c r="FM214">
        <f>IF($EY214="row",INDEX($DW$5:$DW$1003,$EX214),"")</f>
        <v/>
      </c>
      <c r="FN214">
        <f>IF($EY214="row",INDEX($DY$5:$DY$1003,$EX214),"")</f>
        <v/>
      </c>
      <c r="FO214">
        <f>IF($EY214="row",INDEX($EA$5:$EA$1003,$EX214),"")</f>
        <v/>
      </c>
      <c r="FP214">
        <f>IF($EY214="row",INDEX($EC$5:$EC$1003,$EX214),"")</f>
        <v/>
      </c>
      <c r="FQ214">
        <f>IF($EY214="row",INDEX($ET$5:$ET$1003,$EX214),"")</f>
        <v/>
      </c>
      <c r="FR214">
        <f>IF($EY214="row",INDEX($EU$5:$EU$1003,$EX214),"")</f>
        <v/>
      </c>
      <c r="FS214">
        <f>IF(AND($EY214="row",$EY213="row"),IF(OR(INDEX($DT$5:$DT$1003,$EX213)="",INDEX($DT$5:$DT$1003,$EX214)=""),"",IF(NOT(EXACT(INDEX($DT$5:$DT$1003,$EX213),INDEX($DT$5:$DT$1003,$EX214))),"S4",IF(NOT(EXACT(INDEX($DS$5:$DS$1003,$EX213),INDEX($DS$5:$DS$1003,$EX214))),"S3",IF(NOT(EXACT(INDEX($DR$5:$DR$1003,$EX213),INDEX($DR$5:$DR$1003,$EX214))),"S1 Count Change","S1")))),"")</f>
        <v/>
      </c>
      <c r="FT214">
        <f>IF($EY214="row",INDEX($ES$5:$ES$1003,$EX214),"")</f>
        <v/>
      </c>
      <c r="FU214">
        <f>IF($EY214="row",INDEX($EO$5:$EO$1003,$EX214),0)</f>
        <v/>
      </c>
      <c r="FV214">
        <f>IF($FS214="S1 Count Change",1,0)</f>
        <v/>
      </c>
    </row>
    <row r="215">
      <c r="Y215">
        <f>0+IF(Y125&gt;0,0,IF(SUMPRODUCT(MOD(INT(Y170/{2,4,8,16,32,64,128,256,512,1024,2048,4096,8192,16384,32768}),2)*(1-MOD(INT(($CJ35+0)/{2,4,8,16,32,64,128,256,512,1024,2048,4096,8192,16384,32768}),2))*{2,4,8,16,32,64,128,256,512,1024,2048,4096,8192,16384,32768})=0,0,2^SUMPRODUCT(--(MOD(SUMPRODUCT(MOD(INT(Y170/{2,4,8,16,32,64,128,256,512,1024,2048,4096,8192,16384,32768}),2)*(1-MOD(INT(($CJ35+0)/{2,4,8,16,32,64,128,256,512,1024,2048,4096,8192,16384,32768}),2))*{2,4,8,16,32,64,128,256,512,1024,2048,4096,8192,16384,32768}),{2,4,8,16,32,64,128,256,512,1024,2048,4096,8192,16384,32768})=0))))</f>
        <v/>
      </c>
      <c r="Z215">
        <f>Y215+IF(AND(Z125&gt;0,COUNTIF($Y125:Y125,Z125)=0),0,IF(SUMPRODUCT(MOD(INT(Z170/{2,4,8,16,32,64,128,256,512,1024,2048,4096,8192,16384,32768}),2)*(1-MOD(INT(($CJ35+Y215)/{2,4,8,16,32,64,128,256,512,1024,2048,4096,8192,16384,32768}),2))*{2,4,8,16,32,64,128,256,512,1024,2048,4096,8192,16384,32768})=0,0,2^SUMPRODUCT(--(MOD(SUMPRODUCT(MOD(INT(Z170/{2,4,8,16,32,64,128,256,512,1024,2048,4096,8192,16384,32768}),2)*(1-MOD(INT(($CJ35+Y215)/{2,4,8,16,32,64,128,256,512,1024,2048,4096,8192,16384,32768}),2))*{2,4,8,16,32,64,128,256,512,1024,2048,4096,8192,16384,32768}),{2,4,8,16,32,64,128,256,512,1024,2048,4096,8192,16384,32768})=0))))</f>
        <v/>
      </c>
      <c r="AA215">
        <f>Z215+IF(AND(AA125&gt;0,COUNTIF($Y125:Z125,AA125)=0),0,IF(SUMPRODUCT(MOD(INT(AA170/{2,4,8,16,32,64,128,256,512,1024,2048,4096,8192,16384,32768}),2)*(1-MOD(INT(($CJ35+Z215)/{2,4,8,16,32,64,128,256,512,1024,2048,4096,8192,16384,32768}),2))*{2,4,8,16,32,64,128,256,512,1024,2048,4096,8192,16384,32768})=0,0,2^SUMPRODUCT(--(MOD(SUMPRODUCT(MOD(INT(AA170/{2,4,8,16,32,64,128,256,512,1024,2048,4096,8192,16384,32768}),2)*(1-MOD(INT(($CJ35+Z215)/{2,4,8,16,32,64,128,256,512,1024,2048,4096,8192,16384,32768}),2))*{2,4,8,16,32,64,128,256,512,1024,2048,4096,8192,16384,32768}),{2,4,8,16,32,64,128,256,512,1024,2048,4096,8192,16384,32768})=0))))</f>
        <v/>
      </c>
      <c r="AB215">
        <f>AA215+IF(AND(AB125&gt;0,COUNTIF($Y125:AA125,AB125)=0),0,IF(SUMPRODUCT(MOD(INT(AB170/{2,4,8,16,32,64,128,256,512,1024,2048,4096,8192,16384,32768}),2)*(1-MOD(INT(($CJ35+AA215)/{2,4,8,16,32,64,128,256,512,1024,2048,4096,8192,16384,32768}),2))*{2,4,8,16,32,64,128,256,512,1024,2048,4096,8192,16384,32768})=0,0,2^SUMPRODUCT(--(MOD(SUMPRODUCT(MOD(INT(AB170/{2,4,8,16,32,64,128,256,512,1024,2048,4096,8192,16384,32768}),2)*(1-MOD(INT(($CJ35+AA215)/{2,4,8,16,32,64,128,256,512,1024,2048,4096,8192,16384,32768}),2))*{2,4,8,16,32,64,128,256,512,1024,2048,4096,8192,16384,32768}),{2,4,8,16,32,64,128,256,512,1024,2048,4096,8192,16384,32768})=0))))</f>
        <v/>
      </c>
      <c r="AC215">
        <f>AB215+IF(AND(AC125&gt;0,COUNTIF($Y125:AB125,AC125)=0),0,IF(SUMPRODUCT(MOD(INT(AC170/{2,4,8,16,32,64,128,256,512,1024,2048,4096,8192,16384,32768}),2)*(1-MOD(INT(($CJ35+AB215)/{2,4,8,16,32,64,128,256,512,1024,2048,4096,8192,16384,32768}),2))*{2,4,8,16,32,64,128,256,512,1024,2048,4096,8192,16384,32768})=0,0,2^SUMPRODUCT(--(MOD(SUMPRODUCT(MOD(INT(AC170/{2,4,8,16,32,64,128,256,512,1024,2048,4096,8192,16384,32768}),2)*(1-MOD(INT(($CJ35+AB215)/{2,4,8,16,32,64,128,256,512,1024,2048,4096,8192,16384,32768}),2))*{2,4,8,16,32,64,128,256,512,1024,2048,4096,8192,16384,32768}),{2,4,8,16,32,64,128,256,512,1024,2048,4096,8192,16384,32768})=0))))</f>
        <v/>
      </c>
      <c r="AD215">
        <f>AC215+IF(AND(AD125&gt;0,COUNTIF($Y125:AC125,AD125)=0),0,IF(SUMPRODUCT(MOD(INT(AD170/{2,4,8,16,32,64,128,256,512,1024,2048,4096,8192,16384,32768}),2)*(1-MOD(INT(($CJ35+AC215)/{2,4,8,16,32,64,128,256,512,1024,2048,4096,8192,16384,32768}),2))*{2,4,8,16,32,64,128,256,512,1024,2048,4096,8192,16384,32768})=0,0,2^SUMPRODUCT(--(MOD(SUMPRODUCT(MOD(INT(AD170/{2,4,8,16,32,64,128,256,512,1024,2048,4096,8192,16384,32768}),2)*(1-MOD(INT(($CJ35+AC215)/{2,4,8,16,32,64,128,256,512,1024,2048,4096,8192,16384,32768}),2))*{2,4,8,16,32,64,128,256,512,1024,2048,4096,8192,16384,32768}),{2,4,8,16,32,64,128,256,512,1024,2048,4096,8192,16384,32768})=0))))</f>
        <v/>
      </c>
      <c r="AE215">
        <f>AD215+IF(AND(AE125&gt;0,COUNTIF($Y125:AD125,AE125)=0),0,IF(SUMPRODUCT(MOD(INT(AE170/{2,4,8,16,32,64,128,256,512,1024,2048,4096,8192,16384,32768}),2)*(1-MOD(INT(($CJ35+AD215)/{2,4,8,16,32,64,128,256,512,1024,2048,4096,8192,16384,32768}),2))*{2,4,8,16,32,64,128,256,512,1024,2048,4096,8192,16384,32768})=0,0,2^SUMPRODUCT(--(MOD(SUMPRODUCT(MOD(INT(AE170/{2,4,8,16,32,64,128,256,512,1024,2048,4096,8192,16384,32768}),2)*(1-MOD(INT(($CJ35+AD215)/{2,4,8,16,32,64,128,256,512,1024,2048,4096,8192,16384,32768}),2))*{2,4,8,16,32,64,128,256,512,1024,2048,4096,8192,16384,32768}),{2,4,8,16,32,64,128,256,512,1024,2048,4096,8192,16384,32768})=0))))</f>
        <v/>
      </c>
      <c r="AF215">
        <f>AE215+IF(AND(AF125&gt;0,COUNTIF($Y125:AE125,AF125)=0),0,IF(SUMPRODUCT(MOD(INT(AF170/{2,4,8,16,32,64,128,256,512,1024,2048,4096,8192,16384,32768}),2)*(1-MOD(INT(($CJ35+AE215)/{2,4,8,16,32,64,128,256,512,1024,2048,4096,8192,16384,32768}),2))*{2,4,8,16,32,64,128,256,512,1024,2048,4096,8192,16384,32768})=0,0,2^SUMPRODUCT(--(MOD(SUMPRODUCT(MOD(INT(AF170/{2,4,8,16,32,64,128,256,512,1024,2048,4096,8192,16384,32768}),2)*(1-MOD(INT(($CJ35+AE215)/{2,4,8,16,32,64,128,256,512,1024,2048,4096,8192,16384,32768}),2))*{2,4,8,16,32,64,128,256,512,1024,2048,4096,8192,16384,32768}),{2,4,8,16,32,64,128,256,512,1024,2048,4096,8192,16384,32768})=0))))</f>
        <v/>
      </c>
      <c r="AG215">
        <f>AF215+IF(AND(AG125&gt;0,COUNTIF($Y125:AF125,AG125)=0),0,IF(SUMPRODUCT(MOD(INT(AG170/{2,4,8,16,32,64,128,256,512,1024,2048,4096,8192,16384,32768}),2)*(1-MOD(INT(($CJ35+AF215)/{2,4,8,16,32,64,128,256,512,1024,2048,4096,8192,16384,32768}),2))*{2,4,8,16,32,64,128,256,512,1024,2048,4096,8192,16384,32768})=0,0,2^SUMPRODUCT(--(MOD(SUMPRODUCT(MOD(INT(AG170/{2,4,8,16,32,64,128,256,512,1024,2048,4096,8192,16384,32768}),2)*(1-MOD(INT(($CJ35+AF215)/{2,4,8,16,32,64,128,256,512,1024,2048,4096,8192,16384,32768}),2))*{2,4,8,16,32,64,128,256,512,1024,2048,4096,8192,16384,32768}),{2,4,8,16,32,64,128,256,512,1024,2048,4096,8192,16384,32768})=0))))</f>
        <v/>
      </c>
      <c r="AH215">
        <f>AG215+IF(AND(AH125&gt;0,COUNTIF($Y125:AG125,AH125)=0),0,IF(SUMPRODUCT(MOD(INT(AH170/{2,4,8,16,32,64,128,256,512,1024,2048,4096,8192,16384,32768}),2)*(1-MOD(INT(($CJ35+AG215)/{2,4,8,16,32,64,128,256,512,1024,2048,4096,8192,16384,32768}),2))*{2,4,8,16,32,64,128,256,512,1024,2048,4096,8192,16384,32768})=0,0,2^SUMPRODUCT(--(MOD(SUMPRODUCT(MOD(INT(AH170/{2,4,8,16,32,64,128,256,512,1024,2048,4096,8192,16384,32768}),2)*(1-MOD(INT(($CJ35+AG215)/{2,4,8,16,32,64,128,256,512,1024,2048,4096,8192,16384,32768}),2))*{2,4,8,16,32,64,128,256,512,1024,2048,4096,8192,16384,32768}),{2,4,8,16,32,64,128,256,512,1024,2048,4096,8192,16384,32768})=0))))</f>
        <v/>
      </c>
      <c r="AI215">
        <f>AH215+IF(AND(AI125&gt;0,COUNTIF($Y125:AH125,AI125)=0),0,IF(SUMPRODUCT(MOD(INT(AI170/{2,4,8,16,32,64,128,256,512,1024,2048,4096,8192,16384,32768}),2)*(1-MOD(INT(($CJ35+AH215)/{2,4,8,16,32,64,128,256,512,1024,2048,4096,8192,16384,32768}),2))*{2,4,8,16,32,64,128,256,512,1024,2048,4096,8192,16384,32768})=0,0,2^SUMPRODUCT(--(MOD(SUMPRODUCT(MOD(INT(AI170/{2,4,8,16,32,64,128,256,512,1024,2048,4096,8192,16384,32768}),2)*(1-MOD(INT(($CJ35+AH215)/{2,4,8,16,32,64,128,256,512,1024,2048,4096,8192,16384,32768}),2))*{2,4,8,16,32,64,128,256,512,1024,2048,4096,8192,16384,32768}),{2,4,8,16,32,64,128,256,512,1024,2048,4096,8192,16384,32768})=0))))</f>
        <v/>
      </c>
      <c r="AJ215">
        <f>AI215+IF(AND(AJ125&gt;0,COUNTIF($Y125:AI125,AJ125)=0),0,IF(SUMPRODUCT(MOD(INT(AJ170/{2,4,8,16,32,64,128,256,512,1024,2048,4096,8192,16384,32768}),2)*(1-MOD(INT(($CJ35+AI215)/{2,4,8,16,32,64,128,256,512,1024,2048,4096,8192,16384,32768}),2))*{2,4,8,16,32,64,128,256,512,1024,2048,4096,8192,16384,32768})=0,0,2^SUMPRODUCT(--(MOD(SUMPRODUCT(MOD(INT(AJ170/{2,4,8,16,32,64,128,256,512,1024,2048,4096,8192,16384,32768}),2)*(1-MOD(INT(($CJ35+AI215)/{2,4,8,16,32,64,128,256,512,1024,2048,4096,8192,16384,32768}),2))*{2,4,8,16,32,64,128,256,512,1024,2048,4096,8192,16384,32768}),{2,4,8,16,32,64,128,256,512,1024,2048,4096,8192,16384,32768})=0))))</f>
        <v/>
      </c>
      <c r="AK215">
        <f>AJ215+IF(AND(AK125&gt;0,COUNTIF($Y125:AJ125,AK125)=0),0,IF(SUMPRODUCT(MOD(INT(AK170/{2,4,8,16,32,64,128,256,512,1024,2048,4096,8192,16384,32768}),2)*(1-MOD(INT(($CJ35+AJ215)/{2,4,8,16,32,64,128,256,512,1024,2048,4096,8192,16384,32768}),2))*{2,4,8,16,32,64,128,256,512,1024,2048,4096,8192,16384,32768})=0,0,2^SUMPRODUCT(--(MOD(SUMPRODUCT(MOD(INT(AK170/{2,4,8,16,32,64,128,256,512,1024,2048,4096,8192,16384,32768}),2)*(1-MOD(INT(($CJ35+AJ215)/{2,4,8,16,32,64,128,256,512,1024,2048,4096,8192,16384,32768}),2))*{2,4,8,16,32,64,128,256,512,1024,2048,4096,8192,16384,32768}),{2,4,8,16,32,64,128,256,512,1024,2048,4096,8192,16384,32768})=0))))</f>
        <v/>
      </c>
      <c r="AL215">
        <f>AK215+IF(AND(AL125&gt;0,COUNTIF($Y125:AK125,AL125)=0),0,IF(SUMPRODUCT(MOD(INT(AL170/{2,4,8,16,32,64,128,256,512,1024,2048,4096,8192,16384,32768}),2)*(1-MOD(INT(($CJ35+AK215)/{2,4,8,16,32,64,128,256,512,1024,2048,4096,8192,16384,32768}),2))*{2,4,8,16,32,64,128,256,512,1024,2048,4096,8192,16384,32768})=0,0,2^SUMPRODUCT(--(MOD(SUMPRODUCT(MOD(INT(AL170/{2,4,8,16,32,64,128,256,512,1024,2048,4096,8192,16384,32768}),2)*(1-MOD(INT(($CJ35+AK215)/{2,4,8,16,32,64,128,256,512,1024,2048,4096,8192,16384,32768}),2))*{2,4,8,16,32,64,128,256,512,1024,2048,4096,8192,16384,32768}),{2,4,8,16,32,64,128,256,512,1024,2048,4096,8192,16384,32768})=0))))</f>
        <v/>
      </c>
      <c r="AM215">
        <f>AL215+IF(AND(AM125&gt;0,COUNTIF($Y125:AL125,AM125)=0),0,IF(SUMPRODUCT(MOD(INT(AM170/{2,4,8,16,32,64,128,256,512,1024,2048,4096,8192,16384,32768}),2)*(1-MOD(INT(($CJ35+AL215)/{2,4,8,16,32,64,128,256,512,1024,2048,4096,8192,16384,32768}),2))*{2,4,8,16,32,64,128,256,512,1024,2048,4096,8192,16384,32768})=0,0,2^SUMPRODUCT(--(MOD(SUMPRODUCT(MOD(INT(AM170/{2,4,8,16,32,64,128,256,512,1024,2048,4096,8192,16384,32768}),2)*(1-MOD(INT(($CJ35+AL215)/{2,4,8,16,32,64,128,256,512,1024,2048,4096,8192,16384,32768}),2))*{2,4,8,16,32,64,128,256,512,1024,2048,4096,8192,16384,32768}),{2,4,8,16,32,64,128,256,512,1024,2048,4096,8192,16384,32768})=0))))</f>
        <v/>
      </c>
      <c r="AN215">
        <f>AM215+IF(AND(AN125&gt;0,COUNTIF($Y125:AM125,AN125)=0),0,IF(SUMPRODUCT(MOD(INT(AN170/{2,4,8,16,32,64,128,256,512,1024,2048,4096,8192,16384,32768}),2)*(1-MOD(INT(($CJ35+AM215)/{2,4,8,16,32,64,128,256,512,1024,2048,4096,8192,16384,32768}),2))*{2,4,8,16,32,64,128,256,512,1024,2048,4096,8192,16384,32768})=0,0,2^SUMPRODUCT(--(MOD(SUMPRODUCT(MOD(INT(AN170/{2,4,8,16,32,64,128,256,512,1024,2048,4096,8192,16384,32768}),2)*(1-MOD(INT(($CJ35+AM215)/{2,4,8,16,32,64,128,256,512,1024,2048,4096,8192,16384,32768}),2))*{2,4,8,16,32,64,128,256,512,1024,2048,4096,8192,16384,32768}),{2,4,8,16,32,64,128,256,512,1024,2048,4096,8192,16384,32768})=0))))</f>
        <v/>
      </c>
      <c r="AO215">
        <f>AN215+IF(AND(AO125&gt;0,COUNTIF($Y125:AN125,AO125)=0),0,IF(SUMPRODUCT(MOD(INT(AO170/{2,4,8,16,32,64,128,256,512,1024,2048,4096,8192,16384,32768}),2)*(1-MOD(INT(($CJ35+AN215)/{2,4,8,16,32,64,128,256,512,1024,2048,4096,8192,16384,32768}),2))*{2,4,8,16,32,64,128,256,512,1024,2048,4096,8192,16384,32768})=0,0,2^SUMPRODUCT(--(MOD(SUMPRODUCT(MOD(INT(AO170/{2,4,8,16,32,64,128,256,512,1024,2048,4096,8192,16384,32768}),2)*(1-MOD(INT(($CJ35+AN215)/{2,4,8,16,32,64,128,256,512,1024,2048,4096,8192,16384,32768}),2))*{2,4,8,16,32,64,128,256,512,1024,2048,4096,8192,16384,32768}),{2,4,8,16,32,64,128,256,512,1024,2048,4096,8192,16384,32768})=0))))</f>
        <v/>
      </c>
      <c r="AP215">
        <f>AO215+IF(AND(AP125&gt;0,COUNTIF($Y125:AO125,AP125)=0),0,IF(SUMPRODUCT(MOD(INT(AP170/{2,4,8,16,32,64,128,256,512,1024,2048,4096,8192,16384,32768}),2)*(1-MOD(INT(($CJ35+AO215)/{2,4,8,16,32,64,128,256,512,1024,2048,4096,8192,16384,32768}),2))*{2,4,8,16,32,64,128,256,512,1024,2048,4096,8192,16384,32768})=0,0,2^SUMPRODUCT(--(MOD(SUMPRODUCT(MOD(INT(AP170/{2,4,8,16,32,64,128,256,512,1024,2048,4096,8192,16384,32768}),2)*(1-MOD(INT(($CJ35+AO215)/{2,4,8,16,32,64,128,256,512,1024,2048,4096,8192,16384,32768}),2))*{2,4,8,16,32,64,128,256,512,1024,2048,4096,8192,16384,32768}),{2,4,8,16,32,64,128,256,512,1024,2048,4096,8192,16384,32768})=0))))</f>
        <v/>
      </c>
      <c r="AQ215">
        <f>AP215+IF(AND(AQ125&gt;0,COUNTIF($Y125:AP125,AQ125)=0),0,IF(SUMPRODUCT(MOD(INT(AQ170/{2,4,8,16,32,64,128,256,512,1024,2048,4096,8192,16384,32768}),2)*(1-MOD(INT(($CJ35+AP215)/{2,4,8,16,32,64,128,256,512,1024,2048,4096,8192,16384,32768}),2))*{2,4,8,16,32,64,128,256,512,1024,2048,4096,8192,16384,32768})=0,0,2^SUMPRODUCT(--(MOD(SUMPRODUCT(MOD(INT(AQ170/{2,4,8,16,32,64,128,256,512,1024,2048,4096,8192,16384,32768}),2)*(1-MOD(INT(($CJ35+AP215)/{2,4,8,16,32,64,128,256,512,1024,2048,4096,8192,16384,32768}),2))*{2,4,8,16,32,64,128,256,512,1024,2048,4096,8192,16384,32768}),{2,4,8,16,32,64,128,256,512,1024,2048,4096,8192,16384,32768})=0))))</f>
        <v/>
      </c>
      <c r="AR215">
        <f>AQ215+IF(AND(AR125&gt;0,COUNTIF($Y125:AQ125,AR125)=0),0,IF(SUMPRODUCT(MOD(INT(AR170/{2,4,8,16,32,64,128,256,512,1024,2048,4096,8192,16384,32768}),2)*(1-MOD(INT(($CJ35+AQ215)/{2,4,8,16,32,64,128,256,512,1024,2048,4096,8192,16384,32768}),2))*{2,4,8,16,32,64,128,256,512,1024,2048,4096,8192,16384,32768})=0,0,2^SUMPRODUCT(--(MOD(SUMPRODUCT(MOD(INT(AR170/{2,4,8,16,32,64,128,256,512,1024,2048,4096,8192,16384,32768}),2)*(1-MOD(INT(($CJ35+AQ215)/{2,4,8,16,32,64,128,256,512,1024,2048,4096,8192,16384,32768}),2))*{2,4,8,16,32,64,128,256,512,1024,2048,4096,8192,16384,32768}),{2,4,8,16,32,64,128,256,512,1024,2048,4096,8192,16384,32768})=0))))</f>
        <v/>
      </c>
      <c r="AS215">
        <f>AR215+IF(AND(AS125&gt;0,COUNTIF($Y125:AR125,AS125)=0),0,IF(SUMPRODUCT(MOD(INT(AS170/{2,4,8,16,32,64,128,256,512,1024,2048,4096,8192,16384,32768}),2)*(1-MOD(INT(($CJ35+AR215)/{2,4,8,16,32,64,128,256,512,1024,2048,4096,8192,16384,32768}),2))*{2,4,8,16,32,64,128,256,512,1024,2048,4096,8192,16384,32768})=0,0,2^SUMPRODUCT(--(MOD(SUMPRODUCT(MOD(INT(AS170/{2,4,8,16,32,64,128,256,512,1024,2048,4096,8192,16384,32768}),2)*(1-MOD(INT(($CJ35+AR215)/{2,4,8,16,32,64,128,256,512,1024,2048,4096,8192,16384,32768}),2))*{2,4,8,16,32,64,128,256,512,1024,2048,4096,8192,16384,32768}),{2,4,8,16,32,64,128,256,512,1024,2048,4096,8192,16384,32768})=0))))</f>
        <v/>
      </c>
      <c r="AT215">
        <f>AS215+IF(AND(AT125&gt;0,COUNTIF($Y125:AS125,AT125)=0),0,IF(SUMPRODUCT(MOD(INT(AT170/{2,4,8,16,32,64,128,256,512,1024,2048,4096,8192,16384,32768}),2)*(1-MOD(INT(($CJ35+AS215)/{2,4,8,16,32,64,128,256,512,1024,2048,4096,8192,16384,32768}),2))*{2,4,8,16,32,64,128,256,512,1024,2048,4096,8192,16384,32768})=0,0,2^SUMPRODUCT(--(MOD(SUMPRODUCT(MOD(INT(AT170/{2,4,8,16,32,64,128,256,512,1024,2048,4096,8192,16384,32768}),2)*(1-MOD(INT(($CJ35+AS215)/{2,4,8,16,32,64,128,256,512,1024,2048,4096,8192,16384,32768}),2))*{2,4,8,16,32,64,128,256,512,1024,2048,4096,8192,16384,32768}),{2,4,8,16,32,64,128,256,512,1024,2048,4096,8192,16384,32768})=0))))</f>
        <v/>
      </c>
      <c r="AU215">
        <f>AT215+IF(AND(AU125&gt;0,COUNTIF($Y125:AT125,AU125)=0),0,IF(SUMPRODUCT(MOD(INT(AU170/{2,4,8,16,32,64,128,256,512,1024,2048,4096,8192,16384,32768}),2)*(1-MOD(INT(($CJ35+AT215)/{2,4,8,16,32,64,128,256,512,1024,2048,4096,8192,16384,32768}),2))*{2,4,8,16,32,64,128,256,512,1024,2048,4096,8192,16384,32768})=0,0,2^SUMPRODUCT(--(MOD(SUMPRODUCT(MOD(INT(AU170/{2,4,8,16,32,64,128,256,512,1024,2048,4096,8192,16384,32768}),2)*(1-MOD(INT(($CJ35+AT215)/{2,4,8,16,32,64,128,256,512,1024,2048,4096,8192,16384,32768}),2))*{2,4,8,16,32,64,128,256,512,1024,2048,4096,8192,16384,32768}),{2,4,8,16,32,64,128,256,512,1024,2048,4096,8192,16384,32768})=0))))</f>
        <v/>
      </c>
      <c r="AV215">
        <f>AU215+IF(AND(AV125&gt;0,COUNTIF($Y125:AU125,AV125)=0),0,IF(SUMPRODUCT(MOD(INT(AV170/{2,4,8,16,32,64,128,256,512,1024,2048,4096,8192,16384,32768}),2)*(1-MOD(INT(($CJ35+AU215)/{2,4,8,16,32,64,128,256,512,1024,2048,4096,8192,16384,32768}),2))*{2,4,8,16,32,64,128,256,512,1024,2048,4096,8192,16384,32768})=0,0,2^SUMPRODUCT(--(MOD(SUMPRODUCT(MOD(INT(AV170/{2,4,8,16,32,64,128,256,512,1024,2048,4096,8192,16384,32768}),2)*(1-MOD(INT(($CJ35+AU215)/{2,4,8,16,32,64,128,256,512,1024,2048,4096,8192,16384,32768}),2))*{2,4,8,16,32,64,128,256,512,1024,2048,4096,8192,16384,32768}),{2,4,8,16,32,64,128,256,512,1024,2048,4096,8192,16384,32768})=0))))</f>
        <v/>
      </c>
      <c r="AW215">
        <f>AV215+IF(AND(AW125&gt;0,COUNTIF($Y125:AV125,AW125)=0),0,IF(SUMPRODUCT(MOD(INT(AW170/{2,4,8,16,32,64,128,256,512,1024,2048,4096,8192,16384,32768}),2)*(1-MOD(INT(($CJ35+AV215)/{2,4,8,16,32,64,128,256,512,1024,2048,4096,8192,16384,32768}),2))*{2,4,8,16,32,64,128,256,512,1024,2048,4096,8192,16384,32768})=0,0,2^SUMPRODUCT(--(MOD(SUMPRODUCT(MOD(INT(AW170/{2,4,8,16,32,64,128,256,512,1024,2048,4096,8192,16384,32768}),2)*(1-MOD(INT(($CJ35+AV215)/{2,4,8,16,32,64,128,256,512,1024,2048,4096,8192,16384,32768}),2))*{2,4,8,16,32,64,128,256,512,1024,2048,4096,8192,16384,32768}),{2,4,8,16,32,64,128,256,512,1024,2048,4096,8192,16384,32768})=0))))</f>
        <v/>
      </c>
      <c r="AX215">
        <f>AW215+IF(AND(AX125&gt;0,COUNTIF($Y125:AW125,AX125)=0),0,IF(SUMPRODUCT(MOD(INT(AX170/{2,4,8,16,32,64,128,256,512,1024,2048,4096,8192,16384,32768}),2)*(1-MOD(INT(($CJ35+AW215)/{2,4,8,16,32,64,128,256,512,1024,2048,4096,8192,16384,32768}),2))*{2,4,8,16,32,64,128,256,512,1024,2048,4096,8192,16384,32768})=0,0,2^SUMPRODUCT(--(MOD(SUMPRODUCT(MOD(INT(AX170/{2,4,8,16,32,64,128,256,512,1024,2048,4096,8192,16384,32768}),2)*(1-MOD(INT(($CJ35+AW215)/{2,4,8,16,32,64,128,256,512,1024,2048,4096,8192,16384,32768}),2))*{2,4,8,16,32,64,128,256,512,1024,2048,4096,8192,16384,32768}),{2,4,8,16,32,64,128,256,512,1024,2048,4096,8192,16384,32768})=0))))</f>
        <v/>
      </c>
      <c r="AY215">
        <f>AX215+IF(AND(AY125&gt;0,COUNTIF($Y125:AX125,AY125)=0),0,IF(SUMPRODUCT(MOD(INT(AY170/{2,4,8,16,32,64,128,256,512,1024,2048,4096,8192,16384,32768}),2)*(1-MOD(INT(($CJ35+AX215)/{2,4,8,16,32,64,128,256,512,1024,2048,4096,8192,16384,32768}),2))*{2,4,8,16,32,64,128,256,512,1024,2048,4096,8192,16384,32768})=0,0,2^SUMPRODUCT(--(MOD(SUMPRODUCT(MOD(INT(AY170/{2,4,8,16,32,64,128,256,512,1024,2048,4096,8192,16384,32768}),2)*(1-MOD(INT(($CJ35+AX215)/{2,4,8,16,32,64,128,256,512,1024,2048,4096,8192,16384,32768}),2))*{2,4,8,16,32,64,128,256,512,1024,2048,4096,8192,16384,32768}),{2,4,8,16,32,64,128,256,512,1024,2048,4096,8192,16384,32768})=0))))</f>
        <v/>
      </c>
      <c r="AZ215">
        <f>AY215+IF(AND(AZ125&gt;0,COUNTIF($Y125:AY125,AZ125)=0),0,IF(SUMPRODUCT(MOD(INT(AZ170/{2,4,8,16,32,64,128,256,512,1024,2048,4096,8192,16384,32768}),2)*(1-MOD(INT(($CJ35+AY215)/{2,4,8,16,32,64,128,256,512,1024,2048,4096,8192,16384,32768}),2))*{2,4,8,16,32,64,128,256,512,1024,2048,4096,8192,16384,32768})=0,0,2^SUMPRODUCT(--(MOD(SUMPRODUCT(MOD(INT(AZ170/{2,4,8,16,32,64,128,256,512,1024,2048,4096,8192,16384,32768}),2)*(1-MOD(INT(($CJ35+AY215)/{2,4,8,16,32,64,128,256,512,1024,2048,4096,8192,16384,32768}),2))*{2,4,8,16,32,64,128,256,512,1024,2048,4096,8192,16384,32768}),{2,4,8,16,32,64,128,256,512,1024,2048,4096,8192,16384,32768})=0))))</f>
        <v/>
      </c>
      <c r="BA215">
        <f>AZ215+IF(AND(BA125&gt;0,COUNTIF($Y125:AZ125,BA125)=0),0,IF(SUMPRODUCT(MOD(INT(BA170/{2,4,8,16,32,64,128,256,512,1024,2048,4096,8192,16384,32768}),2)*(1-MOD(INT(($CJ35+AZ215)/{2,4,8,16,32,64,128,256,512,1024,2048,4096,8192,16384,32768}),2))*{2,4,8,16,32,64,128,256,512,1024,2048,4096,8192,16384,32768})=0,0,2^SUMPRODUCT(--(MOD(SUMPRODUCT(MOD(INT(BA170/{2,4,8,16,32,64,128,256,512,1024,2048,4096,8192,16384,32768}),2)*(1-MOD(INT(($CJ35+AZ215)/{2,4,8,16,32,64,128,256,512,1024,2048,4096,8192,16384,32768}),2))*{2,4,8,16,32,64,128,256,512,1024,2048,4096,8192,16384,32768}),{2,4,8,16,32,64,128,256,512,1024,2048,4096,8192,16384,32768})=0))))</f>
        <v/>
      </c>
      <c r="BB215">
        <f>BA215+IF(AND(BB125&gt;0,COUNTIF($Y125:BA125,BB125)=0),0,IF(SUMPRODUCT(MOD(INT(BB170/{2,4,8,16,32,64,128,256,512,1024,2048,4096,8192,16384,32768}),2)*(1-MOD(INT(($CJ35+BA215)/{2,4,8,16,32,64,128,256,512,1024,2048,4096,8192,16384,32768}),2))*{2,4,8,16,32,64,128,256,512,1024,2048,4096,8192,16384,32768})=0,0,2^SUMPRODUCT(--(MOD(SUMPRODUCT(MOD(INT(BB170/{2,4,8,16,32,64,128,256,512,1024,2048,4096,8192,16384,32768}),2)*(1-MOD(INT(($CJ35+BA215)/{2,4,8,16,32,64,128,256,512,1024,2048,4096,8192,16384,32768}),2))*{2,4,8,16,32,64,128,256,512,1024,2048,4096,8192,16384,32768}),{2,4,8,16,32,64,128,256,512,1024,2048,4096,8192,16384,32768})=0))))</f>
        <v/>
      </c>
      <c r="BC215">
        <f>BB215+IF(AND(BC125&gt;0,COUNTIF($Y125:BB125,BC125)=0),0,IF(SUMPRODUCT(MOD(INT(BC170/{2,4,8,16,32,64,128,256,512,1024,2048,4096,8192,16384,32768}),2)*(1-MOD(INT(($CJ35+BB215)/{2,4,8,16,32,64,128,256,512,1024,2048,4096,8192,16384,32768}),2))*{2,4,8,16,32,64,128,256,512,1024,2048,4096,8192,16384,32768})=0,0,2^SUMPRODUCT(--(MOD(SUMPRODUCT(MOD(INT(BC170/{2,4,8,16,32,64,128,256,512,1024,2048,4096,8192,16384,32768}),2)*(1-MOD(INT(($CJ35+BB215)/{2,4,8,16,32,64,128,256,512,1024,2048,4096,8192,16384,32768}),2))*{2,4,8,16,32,64,128,256,512,1024,2048,4096,8192,16384,32768}),{2,4,8,16,32,64,128,256,512,1024,2048,4096,8192,16384,32768})=0))))</f>
        <v/>
      </c>
      <c r="BD215">
        <f>BC215+IF(AND(BD125&gt;0,COUNTIF($Y125:BC125,BD125)=0),0,IF(SUMPRODUCT(MOD(INT(BD170/{2,4,8,16,32,64,128,256,512,1024,2048,4096,8192,16384,32768}),2)*(1-MOD(INT(($CJ35+BC215)/{2,4,8,16,32,64,128,256,512,1024,2048,4096,8192,16384,32768}),2))*{2,4,8,16,32,64,128,256,512,1024,2048,4096,8192,16384,32768})=0,0,2^SUMPRODUCT(--(MOD(SUMPRODUCT(MOD(INT(BD170/{2,4,8,16,32,64,128,256,512,1024,2048,4096,8192,16384,32768}),2)*(1-MOD(INT(($CJ35+BC215)/{2,4,8,16,32,64,128,256,512,1024,2048,4096,8192,16384,32768}),2))*{2,4,8,16,32,64,128,256,512,1024,2048,4096,8192,16384,32768}),{2,4,8,16,32,64,128,256,512,1024,2048,4096,8192,16384,32768})=0))))</f>
        <v/>
      </c>
      <c r="BE215">
        <f>BD215+IF(AND(BE125&gt;0,COUNTIF($Y125:BD125,BE125)=0),0,IF(SUMPRODUCT(MOD(INT(BE170/{2,4,8,16,32,64,128,256,512,1024,2048,4096,8192,16384,32768}),2)*(1-MOD(INT(($CJ35+BD215)/{2,4,8,16,32,64,128,256,512,1024,2048,4096,8192,16384,32768}),2))*{2,4,8,16,32,64,128,256,512,1024,2048,4096,8192,16384,32768})=0,0,2^SUMPRODUCT(--(MOD(SUMPRODUCT(MOD(INT(BE170/{2,4,8,16,32,64,128,256,512,1024,2048,4096,8192,16384,32768}),2)*(1-MOD(INT(($CJ35+BD215)/{2,4,8,16,32,64,128,256,512,1024,2048,4096,8192,16384,32768}),2))*{2,4,8,16,32,64,128,256,512,1024,2048,4096,8192,16384,32768}),{2,4,8,16,32,64,128,256,512,1024,2048,4096,8192,16384,32768})=0))))</f>
        <v/>
      </c>
      <c r="BF215">
        <f>BE215+IF(AND(BF125&gt;0,COUNTIF($Y125:BE125,BF125)=0),0,IF(SUMPRODUCT(MOD(INT(BF170/{2,4,8,16,32,64,128,256,512,1024,2048,4096,8192,16384,32768}),2)*(1-MOD(INT(($CJ35+BE215)/{2,4,8,16,32,64,128,256,512,1024,2048,4096,8192,16384,32768}),2))*{2,4,8,16,32,64,128,256,512,1024,2048,4096,8192,16384,32768})=0,0,2^SUMPRODUCT(--(MOD(SUMPRODUCT(MOD(INT(BF170/{2,4,8,16,32,64,128,256,512,1024,2048,4096,8192,16384,32768}),2)*(1-MOD(INT(($CJ35+BE215)/{2,4,8,16,32,64,128,256,512,1024,2048,4096,8192,16384,32768}),2))*{2,4,8,16,32,64,128,256,512,1024,2048,4096,8192,16384,32768}),{2,4,8,16,32,64,128,256,512,1024,2048,4096,8192,16384,32768})=0))))</f>
        <v/>
      </c>
      <c r="BG215">
        <f>BF215+IF(AND(BG125&gt;0,COUNTIF($Y125:BF125,BG125)=0),0,IF(SUMPRODUCT(MOD(INT(BG170/{2,4,8,16,32,64,128,256,512,1024,2048,4096,8192,16384,32768}),2)*(1-MOD(INT(($CJ35+BF215)/{2,4,8,16,32,64,128,256,512,1024,2048,4096,8192,16384,32768}),2))*{2,4,8,16,32,64,128,256,512,1024,2048,4096,8192,16384,32768})=0,0,2^SUMPRODUCT(--(MOD(SUMPRODUCT(MOD(INT(BG170/{2,4,8,16,32,64,128,256,512,1024,2048,4096,8192,16384,32768}),2)*(1-MOD(INT(($CJ35+BF215)/{2,4,8,16,32,64,128,256,512,1024,2048,4096,8192,16384,32768}),2))*{2,4,8,16,32,64,128,256,512,1024,2048,4096,8192,16384,32768}),{2,4,8,16,32,64,128,256,512,1024,2048,4096,8192,16384,32768})=0))))</f>
        <v/>
      </c>
      <c r="BH215">
        <f>BG215+IF(AND(BH125&gt;0,COUNTIF($Y125:BG125,BH125)=0),0,IF(SUMPRODUCT(MOD(INT(BH170/{2,4,8,16,32,64,128,256,512,1024,2048,4096,8192,16384,32768}),2)*(1-MOD(INT(($CJ35+BG215)/{2,4,8,16,32,64,128,256,512,1024,2048,4096,8192,16384,32768}),2))*{2,4,8,16,32,64,128,256,512,1024,2048,4096,8192,16384,32768})=0,0,2^SUMPRODUCT(--(MOD(SUMPRODUCT(MOD(INT(BH170/{2,4,8,16,32,64,128,256,512,1024,2048,4096,8192,16384,32768}),2)*(1-MOD(INT(($CJ35+BG215)/{2,4,8,16,32,64,128,256,512,1024,2048,4096,8192,16384,32768}),2))*{2,4,8,16,32,64,128,256,512,1024,2048,4096,8192,16384,32768}),{2,4,8,16,32,64,128,256,512,1024,2048,4096,8192,16384,32768})=0))))</f>
        <v/>
      </c>
      <c r="BI215">
        <f>BH215+IF(AND(BI125&gt;0,COUNTIF($Y125:BH125,BI125)=0),0,IF(SUMPRODUCT(MOD(INT(BI170/{2,4,8,16,32,64,128,256,512,1024,2048,4096,8192,16384,32768}),2)*(1-MOD(INT(($CJ35+BH215)/{2,4,8,16,32,64,128,256,512,1024,2048,4096,8192,16384,32768}),2))*{2,4,8,16,32,64,128,256,512,1024,2048,4096,8192,16384,32768})=0,0,2^SUMPRODUCT(--(MOD(SUMPRODUCT(MOD(INT(BI170/{2,4,8,16,32,64,128,256,512,1024,2048,4096,8192,16384,32768}),2)*(1-MOD(INT(($CJ35+BH215)/{2,4,8,16,32,64,128,256,512,1024,2048,4096,8192,16384,32768}),2))*{2,4,8,16,32,64,128,256,512,1024,2048,4096,8192,16384,32768}),{2,4,8,16,32,64,128,256,512,1024,2048,4096,8192,16384,32768})=0))))</f>
        <v/>
      </c>
      <c r="BJ215">
        <f>BI215+IF(AND(BJ125&gt;0,COUNTIF($Y125:BI125,BJ125)=0),0,IF(SUMPRODUCT(MOD(INT(BJ170/{2,4,8,16,32,64,128,256,512,1024,2048,4096,8192,16384,32768}),2)*(1-MOD(INT(($CJ35+BI215)/{2,4,8,16,32,64,128,256,512,1024,2048,4096,8192,16384,32768}),2))*{2,4,8,16,32,64,128,256,512,1024,2048,4096,8192,16384,32768})=0,0,2^SUMPRODUCT(--(MOD(SUMPRODUCT(MOD(INT(BJ170/{2,4,8,16,32,64,128,256,512,1024,2048,4096,8192,16384,32768}),2)*(1-MOD(INT(($CJ35+BI215)/{2,4,8,16,32,64,128,256,512,1024,2048,4096,8192,16384,32768}),2))*{2,4,8,16,32,64,128,256,512,1024,2048,4096,8192,16384,32768}),{2,4,8,16,32,64,128,256,512,1024,2048,4096,8192,16384,32768})=0))))</f>
        <v/>
      </c>
      <c r="BK215">
        <f>BJ215+IF(AND(BK125&gt;0,COUNTIF($Y125:BJ125,BK125)=0),0,IF(SUMPRODUCT(MOD(INT(BK170/{2,4,8,16,32,64,128,256,512,1024,2048,4096,8192,16384,32768}),2)*(1-MOD(INT(($CJ35+BJ215)/{2,4,8,16,32,64,128,256,512,1024,2048,4096,8192,16384,32768}),2))*{2,4,8,16,32,64,128,256,512,1024,2048,4096,8192,16384,32768})=0,0,2^SUMPRODUCT(--(MOD(SUMPRODUCT(MOD(INT(BK170/{2,4,8,16,32,64,128,256,512,1024,2048,4096,8192,16384,32768}),2)*(1-MOD(INT(($CJ35+BJ215)/{2,4,8,16,32,64,128,256,512,1024,2048,4096,8192,16384,32768}),2))*{2,4,8,16,32,64,128,256,512,1024,2048,4096,8192,16384,32768}),{2,4,8,16,32,64,128,256,512,1024,2048,4096,8192,16384,32768})=0))))</f>
        <v/>
      </c>
      <c r="BL215">
        <f>BK215+IF(AND(BL125&gt;0,COUNTIF($Y125:BK125,BL125)=0),0,IF(SUMPRODUCT(MOD(INT(BL170/{2,4,8,16,32,64,128,256,512,1024,2048,4096,8192,16384,32768}),2)*(1-MOD(INT(($CJ35+BK215)/{2,4,8,16,32,64,128,256,512,1024,2048,4096,8192,16384,32768}),2))*{2,4,8,16,32,64,128,256,512,1024,2048,4096,8192,16384,32768})=0,0,2^SUMPRODUCT(--(MOD(SUMPRODUCT(MOD(INT(BL170/{2,4,8,16,32,64,128,256,512,1024,2048,4096,8192,16384,32768}),2)*(1-MOD(INT(($CJ35+BK215)/{2,4,8,16,32,64,128,256,512,1024,2048,4096,8192,16384,32768}),2))*{2,4,8,16,32,64,128,256,512,1024,2048,4096,8192,16384,32768}),{2,4,8,16,32,64,128,256,512,1024,2048,4096,8192,16384,32768})=0))))</f>
        <v/>
      </c>
      <c r="BM215">
        <f>BL215+IF(AND(BM125&gt;0,COUNTIF($Y125:BL125,BM125)=0),0,IF(SUMPRODUCT(MOD(INT(BM170/{2,4,8,16,32,64,128,256,512,1024,2048,4096,8192,16384,32768}),2)*(1-MOD(INT(($CJ35+BL215)/{2,4,8,16,32,64,128,256,512,1024,2048,4096,8192,16384,32768}),2))*{2,4,8,16,32,64,128,256,512,1024,2048,4096,8192,16384,32768})=0,0,2^SUMPRODUCT(--(MOD(SUMPRODUCT(MOD(INT(BM170/{2,4,8,16,32,64,128,256,512,1024,2048,4096,8192,16384,32768}),2)*(1-MOD(INT(($CJ35+BL215)/{2,4,8,16,32,64,128,256,512,1024,2048,4096,8192,16384,32768}),2))*{2,4,8,16,32,64,128,256,512,1024,2048,4096,8192,16384,32768}),{2,4,8,16,32,64,128,256,512,1024,2048,4096,8192,16384,32768})=0))))</f>
        <v/>
      </c>
      <c r="BN215">
        <f>BM215+IF(AND(BN125&gt;0,COUNTIF($Y125:BM125,BN125)=0),0,IF(SUMPRODUCT(MOD(INT(BN170/{2,4,8,16,32,64,128,256,512,1024,2048,4096,8192,16384,32768}),2)*(1-MOD(INT(($CJ35+BM215)/{2,4,8,16,32,64,128,256,512,1024,2048,4096,8192,16384,32768}),2))*{2,4,8,16,32,64,128,256,512,1024,2048,4096,8192,16384,32768})=0,0,2^SUMPRODUCT(--(MOD(SUMPRODUCT(MOD(INT(BN170/{2,4,8,16,32,64,128,256,512,1024,2048,4096,8192,16384,32768}),2)*(1-MOD(INT(($CJ35+BM215)/{2,4,8,16,32,64,128,256,512,1024,2048,4096,8192,16384,32768}),2))*{2,4,8,16,32,64,128,256,512,1024,2048,4096,8192,16384,32768}),{2,4,8,16,32,64,128,256,512,1024,2048,4096,8192,16384,32768})=0))))</f>
        <v/>
      </c>
      <c r="BO215">
        <f>BN215+IF(AND(BO125&gt;0,COUNTIF($Y125:BN125,BO125)=0),0,IF(SUMPRODUCT(MOD(INT(BO170/{2,4,8,16,32,64,128,256,512,1024,2048,4096,8192,16384,32768}),2)*(1-MOD(INT(($CJ35+BN215)/{2,4,8,16,32,64,128,256,512,1024,2048,4096,8192,16384,32768}),2))*{2,4,8,16,32,64,128,256,512,1024,2048,4096,8192,16384,32768})=0,0,2^SUMPRODUCT(--(MOD(SUMPRODUCT(MOD(INT(BO170/{2,4,8,16,32,64,128,256,512,1024,2048,4096,8192,16384,32768}),2)*(1-MOD(INT(($CJ35+BN215)/{2,4,8,16,32,64,128,256,512,1024,2048,4096,8192,16384,32768}),2))*{2,4,8,16,32,64,128,256,512,1024,2048,4096,8192,16384,32768}),{2,4,8,16,32,64,128,256,512,1024,2048,4096,8192,16384,32768})=0))))</f>
        <v/>
      </c>
      <c r="BP215">
        <f>BO215+IF(AND(BP125&gt;0,COUNTIF($Y125:BO125,BP125)=0),0,IF(SUMPRODUCT(MOD(INT(BP170/{2,4,8,16,32,64,128,256,512,1024,2048,4096,8192,16384,32768}),2)*(1-MOD(INT(($CJ35+BO215)/{2,4,8,16,32,64,128,256,512,1024,2048,4096,8192,16384,32768}),2))*{2,4,8,16,32,64,128,256,512,1024,2048,4096,8192,16384,32768})=0,0,2^SUMPRODUCT(--(MOD(SUMPRODUCT(MOD(INT(BP170/{2,4,8,16,32,64,128,256,512,1024,2048,4096,8192,16384,32768}),2)*(1-MOD(INT(($CJ35+BO215)/{2,4,8,16,32,64,128,256,512,1024,2048,4096,8192,16384,32768}),2))*{2,4,8,16,32,64,128,256,512,1024,2048,4096,8192,16384,32768}),{2,4,8,16,32,64,128,256,512,1024,2048,4096,8192,16384,32768})=0))))</f>
        <v/>
      </c>
      <c r="BQ215">
        <f>BP215+IF(AND(BQ125&gt;0,COUNTIF($Y125:BP125,BQ125)=0),0,IF(SUMPRODUCT(MOD(INT(BQ170/{2,4,8,16,32,64,128,256,512,1024,2048,4096,8192,16384,32768}),2)*(1-MOD(INT(($CJ35+BP215)/{2,4,8,16,32,64,128,256,512,1024,2048,4096,8192,16384,32768}),2))*{2,4,8,16,32,64,128,256,512,1024,2048,4096,8192,16384,32768})=0,0,2^SUMPRODUCT(--(MOD(SUMPRODUCT(MOD(INT(BQ170/{2,4,8,16,32,64,128,256,512,1024,2048,4096,8192,16384,32768}),2)*(1-MOD(INT(($CJ35+BP215)/{2,4,8,16,32,64,128,256,512,1024,2048,4096,8192,16384,32768}),2))*{2,4,8,16,32,64,128,256,512,1024,2048,4096,8192,16384,32768}),{2,4,8,16,32,64,128,256,512,1024,2048,4096,8192,16384,32768})=0))))</f>
        <v/>
      </c>
      <c r="BR215">
        <f>BQ215+IF(AND(BR125&gt;0,COUNTIF($Y125:BQ125,BR125)=0),0,IF(SUMPRODUCT(MOD(INT(BR170/{2,4,8,16,32,64,128,256,512,1024,2048,4096,8192,16384,32768}),2)*(1-MOD(INT(($CJ35+BQ215)/{2,4,8,16,32,64,128,256,512,1024,2048,4096,8192,16384,32768}),2))*{2,4,8,16,32,64,128,256,512,1024,2048,4096,8192,16384,32768})=0,0,2^SUMPRODUCT(--(MOD(SUMPRODUCT(MOD(INT(BR170/{2,4,8,16,32,64,128,256,512,1024,2048,4096,8192,16384,32768}),2)*(1-MOD(INT(($CJ35+BQ215)/{2,4,8,16,32,64,128,256,512,1024,2048,4096,8192,16384,32768}),2))*{2,4,8,16,32,64,128,256,512,1024,2048,4096,8192,16384,32768}),{2,4,8,16,32,64,128,256,512,1024,2048,4096,8192,16384,32768})=0))))</f>
        <v/>
      </c>
      <c r="BS215">
        <f>BR215+IF(AND(BS125&gt;0,COUNTIF($Y125:BR125,BS125)=0),0,IF(SUMPRODUCT(MOD(INT(BS170/{2,4,8,16,32,64,128,256,512,1024,2048,4096,8192,16384,32768}),2)*(1-MOD(INT(($CJ35+BR215)/{2,4,8,16,32,64,128,256,512,1024,2048,4096,8192,16384,32768}),2))*{2,4,8,16,32,64,128,256,512,1024,2048,4096,8192,16384,32768})=0,0,2^SUMPRODUCT(--(MOD(SUMPRODUCT(MOD(INT(BS170/{2,4,8,16,32,64,128,256,512,1024,2048,4096,8192,16384,32768}),2)*(1-MOD(INT(($CJ35+BR215)/{2,4,8,16,32,64,128,256,512,1024,2048,4096,8192,16384,32768}),2))*{2,4,8,16,32,64,128,256,512,1024,2048,4096,8192,16384,32768}),{2,4,8,16,32,64,128,256,512,1024,2048,4096,8192,16384,32768})=0))))</f>
        <v/>
      </c>
      <c r="BT215">
        <f>BS215+IF(AND(BT125&gt;0,COUNTIF($Y125:BS125,BT125)=0),0,IF(SUMPRODUCT(MOD(INT(BT170/{2,4,8,16,32,64,128,256,512,1024,2048,4096,8192,16384,32768}),2)*(1-MOD(INT(($CJ35+BS215)/{2,4,8,16,32,64,128,256,512,1024,2048,4096,8192,16384,32768}),2))*{2,4,8,16,32,64,128,256,512,1024,2048,4096,8192,16384,32768})=0,0,2^SUMPRODUCT(--(MOD(SUMPRODUCT(MOD(INT(BT170/{2,4,8,16,32,64,128,256,512,1024,2048,4096,8192,16384,32768}),2)*(1-MOD(INT(($CJ35+BS215)/{2,4,8,16,32,64,128,256,512,1024,2048,4096,8192,16384,32768}),2))*{2,4,8,16,32,64,128,256,512,1024,2048,4096,8192,16384,32768}),{2,4,8,16,32,64,128,256,512,1024,2048,4096,8192,16384,32768})=0))))</f>
        <v/>
      </c>
      <c r="BU215">
        <f>BT215+IF(AND(BU125&gt;0,COUNTIF($Y125:BT125,BU125)=0),0,IF(SUMPRODUCT(MOD(INT(BU170/{2,4,8,16,32,64,128,256,512,1024,2048,4096,8192,16384,32768}),2)*(1-MOD(INT(($CJ35+BT215)/{2,4,8,16,32,64,128,256,512,1024,2048,4096,8192,16384,32768}),2))*{2,4,8,16,32,64,128,256,512,1024,2048,4096,8192,16384,32768})=0,0,2^SUMPRODUCT(--(MOD(SUMPRODUCT(MOD(INT(BU170/{2,4,8,16,32,64,128,256,512,1024,2048,4096,8192,16384,32768}),2)*(1-MOD(INT(($CJ35+BT215)/{2,4,8,16,32,64,128,256,512,1024,2048,4096,8192,16384,32768}),2))*{2,4,8,16,32,64,128,256,512,1024,2048,4096,8192,16384,32768}),{2,4,8,16,32,64,128,256,512,1024,2048,4096,8192,16384,32768})=0))))</f>
        <v/>
      </c>
      <c r="BV215">
        <f>BU215+IF(AND(BV125&gt;0,COUNTIF($Y125:BU125,BV125)=0),0,IF(SUMPRODUCT(MOD(INT(BV170/{2,4,8,16,32,64,128,256,512,1024,2048,4096,8192,16384,32768}),2)*(1-MOD(INT(($CJ35+BU215)/{2,4,8,16,32,64,128,256,512,1024,2048,4096,8192,16384,32768}),2))*{2,4,8,16,32,64,128,256,512,1024,2048,4096,8192,16384,32768})=0,0,2^SUMPRODUCT(--(MOD(SUMPRODUCT(MOD(INT(BV170/{2,4,8,16,32,64,128,256,512,1024,2048,4096,8192,16384,32768}),2)*(1-MOD(INT(($CJ35+BU215)/{2,4,8,16,32,64,128,256,512,1024,2048,4096,8192,16384,32768}),2))*{2,4,8,16,32,64,128,256,512,1024,2048,4096,8192,16384,32768}),{2,4,8,16,32,64,128,256,512,1024,2048,4096,8192,16384,32768})=0))))</f>
        <v/>
      </c>
      <c r="BW215">
        <f>BV215+IF(AND(BW125&gt;0,COUNTIF($Y125:BV125,BW125)=0),0,IF(SUMPRODUCT(MOD(INT(BW170/{2,4,8,16,32,64,128,256,512,1024,2048,4096,8192,16384,32768}),2)*(1-MOD(INT(($CJ35+BV215)/{2,4,8,16,32,64,128,256,512,1024,2048,4096,8192,16384,32768}),2))*{2,4,8,16,32,64,128,256,512,1024,2048,4096,8192,16384,32768})=0,0,2^SUMPRODUCT(--(MOD(SUMPRODUCT(MOD(INT(BW170/{2,4,8,16,32,64,128,256,512,1024,2048,4096,8192,16384,32768}),2)*(1-MOD(INT(($CJ35+BV215)/{2,4,8,16,32,64,128,256,512,1024,2048,4096,8192,16384,32768}),2))*{2,4,8,16,32,64,128,256,512,1024,2048,4096,8192,16384,32768}),{2,4,8,16,32,64,128,256,512,1024,2048,4096,8192,16384,32768})=0))))</f>
        <v/>
      </c>
      <c r="BX215">
        <f>BW215+IF(AND(BX125&gt;0,COUNTIF($Y125:BW125,BX125)=0),0,IF(SUMPRODUCT(MOD(INT(BX170/{2,4,8,16,32,64,128,256,512,1024,2048,4096,8192,16384,32768}),2)*(1-MOD(INT(($CJ35+BW215)/{2,4,8,16,32,64,128,256,512,1024,2048,4096,8192,16384,32768}),2))*{2,4,8,16,32,64,128,256,512,1024,2048,4096,8192,16384,32768})=0,0,2^SUMPRODUCT(--(MOD(SUMPRODUCT(MOD(INT(BX170/{2,4,8,16,32,64,128,256,512,1024,2048,4096,8192,16384,32768}),2)*(1-MOD(INT(($CJ35+BW215)/{2,4,8,16,32,64,128,256,512,1024,2048,4096,8192,16384,32768}),2))*{2,4,8,16,32,64,128,256,512,1024,2048,4096,8192,16384,32768}),{2,4,8,16,32,64,128,256,512,1024,2048,4096,8192,16384,32768})=0))))</f>
        <v/>
      </c>
      <c r="BY215">
        <f>BX215+IF(AND(BY125&gt;0,COUNTIF($Y125:BX125,BY125)=0),0,IF(SUMPRODUCT(MOD(INT(BY170/{2,4,8,16,32,64,128,256,512,1024,2048,4096,8192,16384,32768}),2)*(1-MOD(INT(($CJ35+BX215)/{2,4,8,16,32,64,128,256,512,1024,2048,4096,8192,16384,32768}),2))*{2,4,8,16,32,64,128,256,512,1024,2048,4096,8192,16384,32768})=0,0,2^SUMPRODUCT(--(MOD(SUMPRODUCT(MOD(INT(BY170/{2,4,8,16,32,64,128,256,512,1024,2048,4096,8192,16384,32768}),2)*(1-MOD(INT(($CJ35+BX215)/{2,4,8,16,32,64,128,256,512,1024,2048,4096,8192,16384,32768}),2))*{2,4,8,16,32,64,128,256,512,1024,2048,4096,8192,16384,32768}),{2,4,8,16,32,64,128,256,512,1024,2048,4096,8192,16384,32768})=0))))</f>
        <v/>
      </c>
      <c r="BZ215">
        <f>BY215+IF(AND(BZ125&gt;0,COUNTIF($Y125:BY125,BZ125)=0),0,IF(SUMPRODUCT(MOD(INT(BZ170/{2,4,8,16,32,64,128,256,512,1024,2048,4096,8192,16384,32768}),2)*(1-MOD(INT(($CJ35+BY215)/{2,4,8,16,32,64,128,256,512,1024,2048,4096,8192,16384,32768}),2))*{2,4,8,16,32,64,128,256,512,1024,2048,4096,8192,16384,32768})=0,0,2^SUMPRODUCT(--(MOD(SUMPRODUCT(MOD(INT(BZ170/{2,4,8,16,32,64,128,256,512,1024,2048,4096,8192,16384,32768}),2)*(1-MOD(INT(($CJ35+BY215)/{2,4,8,16,32,64,128,256,512,1024,2048,4096,8192,16384,32768}),2))*{2,4,8,16,32,64,128,256,512,1024,2048,4096,8192,16384,32768}),{2,4,8,16,32,64,128,256,512,1024,2048,4096,8192,16384,32768})=0))))</f>
        <v/>
      </c>
      <c r="CA215">
        <f>BZ215+IF(AND(CA125&gt;0,COUNTIF($Y125:BZ125,CA125)=0),0,IF(SUMPRODUCT(MOD(INT(CA170/{2,4,8,16,32,64,128,256,512,1024,2048,4096,8192,16384,32768}),2)*(1-MOD(INT(($CJ35+BZ215)/{2,4,8,16,32,64,128,256,512,1024,2048,4096,8192,16384,32768}),2))*{2,4,8,16,32,64,128,256,512,1024,2048,4096,8192,16384,32768})=0,0,2^SUMPRODUCT(--(MOD(SUMPRODUCT(MOD(INT(CA170/{2,4,8,16,32,64,128,256,512,1024,2048,4096,8192,16384,32768}),2)*(1-MOD(INT(($CJ35+BZ215)/{2,4,8,16,32,64,128,256,512,1024,2048,4096,8192,16384,32768}),2))*{2,4,8,16,32,64,128,256,512,1024,2048,4096,8192,16384,32768}),{2,4,8,16,32,64,128,256,512,1024,2048,4096,8192,16384,32768})=0))))</f>
        <v/>
      </c>
      <c r="CB215">
        <f>CA215+IF(AND(CB125&gt;0,COUNTIF($Y125:CA125,CB125)=0),0,IF(SUMPRODUCT(MOD(INT(CB170/{2,4,8,16,32,64,128,256,512,1024,2048,4096,8192,16384,32768}),2)*(1-MOD(INT(($CJ35+CA215)/{2,4,8,16,32,64,128,256,512,1024,2048,4096,8192,16384,32768}),2))*{2,4,8,16,32,64,128,256,512,1024,2048,4096,8192,16384,32768})=0,0,2^SUMPRODUCT(--(MOD(SUMPRODUCT(MOD(INT(CB170/{2,4,8,16,32,64,128,256,512,1024,2048,4096,8192,16384,32768}),2)*(1-MOD(INT(($CJ35+CA215)/{2,4,8,16,32,64,128,256,512,1024,2048,4096,8192,16384,32768}),2))*{2,4,8,16,32,64,128,256,512,1024,2048,4096,8192,16384,32768}),{2,4,8,16,32,64,128,256,512,1024,2048,4096,8192,16384,32768})=0))))</f>
        <v/>
      </c>
      <c r="CC215">
        <f>CB215+IF(AND(CC125&gt;0,COUNTIF($Y125:CB125,CC125)=0),0,IF(SUMPRODUCT(MOD(INT(CC170/{2,4,8,16,32,64,128,256,512,1024,2048,4096,8192,16384,32768}),2)*(1-MOD(INT(($CJ35+CB215)/{2,4,8,16,32,64,128,256,512,1024,2048,4096,8192,16384,32768}),2))*{2,4,8,16,32,64,128,256,512,1024,2048,4096,8192,16384,32768})=0,0,2^SUMPRODUCT(--(MOD(SUMPRODUCT(MOD(INT(CC170/{2,4,8,16,32,64,128,256,512,1024,2048,4096,8192,16384,32768}),2)*(1-MOD(INT(($CJ35+CB215)/{2,4,8,16,32,64,128,256,512,1024,2048,4096,8192,16384,32768}),2))*{2,4,8,16,32,64,128,256,512,1024,2048,4096,8192,16384,32768}),{2,4,8,16,32,64,128,256,512,1024,2048,4096,8192,16384,32768})=0))))</f>
        <v/>
      </c>
      <c r="CD215">
        <f>CC215+IF(AND(CD125&gt;0,COUNTIF($Y125:CC125,CD125)=0),0,IF(SUMPRODUCT(MOD(INT(CD170/{2,4,8,16,32,64,128,256,512,1024,2048,4096,8192,16384,32768}),2)*(1-MOD(INT(($CJ35+CC215)/{2,4,8,16,32,64,128,256,512,1024,2048,4096,8192,16384,32768}),2))*{2,4,8,16,32,64,128,256,512,1024,2048,4096,8192,16384,32768})=0,0,2^SUMPRODUCT(--(MOD(SUMPRODUCT(MOD(INT(CD170/{2,4,8,16,32,64,128,256,512,1024,2048,4096,8192,16384,32768}),2)*(1-MOD(INT(($CJ35+CC215)/{2,4,8,16,32,64,128,256,512,1024,2048,4096,8192,16384,32768}),2))*{2,4,8,16,32,64,128,256,512,1024,2048,4096,8192,16384,32768}),{2,4,8,16,32,64,128,256,512,1024,2048,4096,8192,16384,32768})=0))))</f>
        <v/>
      </c>
      <c r="CE215">
        <f>CD215+IF(AND(CE125&gt;0,COUNTIF($Y125:CD125,CE125)=0),0,IF(SUMPRODUCT(MOD(INT(CE170/{2,4,8,16,32,64,128,256,512,1024,2048,4096,8192,16384,32768}),2)*(1-MOD(INT(($CJ35+CD215)/{2,4,8,16,32,64,128,256,512,1024,2048,4096,8192,16384,32768}),2))*{2,4,8,16,32,64,128,256,512,1024,2048,4096,8192,16384,32768})=0,0,2^SUMPRODUCT(--(MOD(SUMPRODUCT(MOD(INT(CE170/{2,4,8,16,32,64,128,256,512,1024,2048,4096,8192,16384,32768}),2)*(1-MOD(INT(($CJ35+CD215)/{2,4,8,16,32,64,128,256,512,1024,2048,4096,8192,16384,32768}),2))*{2,4,8,16,32,64,128,256,512,1024,2048,4096,8192,16384,32768}),{2,4,8,16,32,64,128,256,512,1024,2048,4096,8192,16384,32768})=0))))</f>
        <v/>
      </c>
      <c r="CF215">
        <f>CE215+IF(AND(CF125&gt;0,COUNTIF($Y125:CE125,CF125)=0),0,IF(SUMPRODUCT(MOD(INT(CF170/{2,4,8,16,32,64,128,256,512,1024,2048,4096,8192,16384,32768}),2)*(1-MOD(INT(($CJ35+CE215)/{2,4,8,16,32,64,128,256,512,1024,2048,4096,8192,16384,32768}),2))*{2,4,8,16,32,64,128,256,512,1024,2048,4096,8192,16384,32768})=0,0,2^SUMPRODUCT(--(MOD(SUMPRODUCT(MOD(INT(CF170/{2,4,8,16,32,64,128,256,512,1024,2048,4096,8192,16384,32768}),2)*(1-MOD(INT(($CJ35+CE215)/{2,4,8,16,32,64,128,256,512,1024,2048,4096,8192,16384,32768}),2))*{2,4,8,16,32,64,128,256,512,1024,2048,4096,8192,16384,32768}),{2,4,8,16,32,64,128,256,512,1024,2048,4096,8192,16384,32768})=0))))</f>
        <v/>
      </c>
      <c r="DA215" t="n">
        <v>211</v>
      </c>
      <c r="DB215">
        <f>IF($B$37=0,"",IFERROR(TRIM(SUBSTITUTE(SUBSTITUTE(SUBSTITUTE(SUBSTITUTE(INDEX(PASTE_ALL,211,$B$37)," "," "),CHAR(9)," "),CHAR(10)," "),CHAR(13)," ")),""))</f>
        <v/>
      </c>
      <c r="DC215">
        <f>IF(AND(211&gt;HEADER_ROW,UPPER(DB215)="LEGEND"),1,0)</f>
        <v/>
      </c>
      <c r="DE215" t="n">
        <v>211</v>
      </c>
      <c r="DF215">
        <f>HEADER_ROW+$DE215</f>
        <v/>
      </c>
      <c r="DG215">
        <f>IF(AND($DF215&lt;=1000,$DF215&lt;$B$8),1,0)</f>
        <v/>
      </c>
      <c r="DH215">
        <f>IF($DG215=1,IFERROR(INDEX($DB$5:$DB$1004,$DF215),""),"")</f>
        <v/>
      </c>
      <c r="DI215">
        <f>IF(AND($DG215=1,$DH215&lt;&gt;""),IFERROR(SUBSTITUTE(SUBSTITUTE(TRIM(SUBSTITUTE(SUBSTITUTE(SUBSTITUTE(SUBSTITUTE(IFERROR(INDEX(PASTE_ALL,$DF215,1)&amp;"","")&amp;"␟"&amp;IFERROR(INDEX(PASTE_ALL,$DF215,2)&amp;"","")&amp;"␟"&amp;IFERROR(INDEX(PASTE_ALL,$DF215,3)&amp;"","")&amp;"␟"&amp;IFERROR(INDEX(PASTE_ALL,$DF215,4)&amp;"","")&amp;"␟"&amp;IFERROR(INDEX(PASTE_ALL,$DF215,5)&amp;"","")&amp;"␟"&amp;IFERROR(INDEX(PASTE_ALL,$DF215,6)&amp;"","")&amp;"␟"&amp;IFERROR(INDEX(PASTE_ALL,$DF215,7)&amp;"","")&amp;"␟"&amp;IFERROR(INDEX(PASTE_ALL,$DF215,8)&amp;"","")&amp;"␟"&amp;IFERROR(INDEX(PASTE_ALL,$DF215,9)&amp;"","")&amp;"␟"&amp;IFERROR(INDEX(PASTE_ALL,$DF215,10)&amp;"","")&amp;"␟"&amp;IFERROR(INDEX(PASTE_ALL,$DF215,11)&amp;"","")&amp;"␟"&amp;IFERROR(INDEX(PASTE_ALL,$DF215,12)&amp;"","")&amp;"␟"&amp;IFERROR(INDEX(PASTE_ALL,$DF215,13)&amp;"","")&amp;"␟"&amp;IFERROR(INDEX(PASTE_ALL,$DF215,14)&amp;"","")&amp;"␟"&amp;IFERROR(INDEX(PASTE_ALL,$DF215,15)&amp;"","")&amp;"␟"&amp;IFERROR(INDEX(PASTE_ALL,$DF215,16)&amp;"","")&amp;"␟"&amp;IFERROR(INDEX(PASTE_ALL,$DF215,17)&amp;"","")&amp;"␟"&amp;IFERROR(INDEX(PASTE_ALL,$DF215,18)&amp;"","")&amp;"␟"&amp;IFERROR(INDEX(PASTE_ALL,$DF215,19)&amp;"","")&amp;"␟"&amp;IFERROR(INDEX(PASTE_ALL,$DF215,20)&amp;"","")&amp;"␟"&amp;IFERROR(INDEX(PASTE_ALL,$DF215,21)&amp;"","")&amp;"␟"&amp;IFERROR(INDEX(PASTE_ALL,$DF215,22)&amp;"","")&amp;"␟"&amp;IFERROR(INDEX(PASTE_ALL,$DF215,23)&amp;"","")&amp;"␟"&amp;IFERROR(INDEX(PASTE_ALL,$DF215,24)&amp;"","")&amp;"␟"&amp;IFERROR(INDEX(PASTE_ALL,$DF215,25)&amp;"","")&amp;"␟"&amp;IFERROR(INDEX(PASTE_ALL,$DF215,26)&amp;"","")&amp;"␟"&amp;IFERROR(INDEX(PASTE_ALL,$DF215,27)&amp;"","")&amp;"␟"&amp;IFERROR(INDEX(PASTE_ALL,$DF215,28)&amp;"","")&amp;"␟"&amp;IFERROR(INDEX(PASTE_ALL,$DF215,29)&amp;"","")&amp;"␟"&amp;IFERROR(INDEX(PASTE_ALL,$DF215,30)&amp;"","")&amp;"␟"&amp;IFERROR(INDEX(PASTE_ALL,$DF215,31)&amp;"","")&amp;"␟"&amp;IFERROR(INDEX(PASTE_ALL,$DF215,32)&amp;"","")&amp;"␟"&amp;IFERROR(INDEX(PASTE_ALL,$DF215,33)&amp;"","")&amp;"␟"&amp;IFERROR(INDEX(PASTE_ALL,$DF215,34)&amp;"","")&amp;"␟"&amp;IFERROR(INDEX(PASTE_ALL,$DF215,35)&amp;"","")&amp;"␟"&amp;IFERROR(INDEX(PASTE_ALL,$DF215,36)&amp;"","")&amp;"␟"&amp;IFERROR(INDEX(PASTE_ALL,$DF215,37)&amp;"","")&amp;"␟"&amp;IFERROR(INDEX(PASTE_ALL,$DF215,38)&amp;"","")&amp;"␟"&amp;IFERROR(INDEX(PASTE_ALL,$DF215,39)&amp;"","")&amp;"␟"&amp;IFERROR(INDEX(PASTE_ALL,$DF215,40)&amp;"","")&amp;"␟"&amp;IFERROR(INDEX(PASTE_ALL,$DF215,41)&amp;"","")&amp;"␟"&amp;IFERROR(INDEX(PASTE_ALL,$DF215,42)&amp;"","")&amp;"␟"&amp;IFERROR(INDEX(PASTE_ALL,$DF215,43)&amp;"","")&amp;"␟"&amp;IFERROR(INDEX(PASTE_ALL,$DF215,44)&amp;"","")&amp;"␟"&amp;IFERROR(INDEX(PASTE_ALL,$DF215,45)&amp;"","")&amp;"␟"&amp;IFERROR(INDEX(PASTE_ALL,$DF215,46)&amp;"","")&amp;"␟"&amp;IFERROR(INDEX(PASTE_ALL,$DF215,47)&amp;"","")&amp;"␟"&amp;IFERROR(INDEX(PASTE_ALL,$DF215,48)&amp;"","")&amp;"␟"&amp;IFERROR(INDEX(PASTE_ALL,$DF215,49)&amp;"","")&amp;"␟"&amp;IFERROR(INDEX(PASTE_ALL,$DF215,50)&amp;"","")&amp;"␟"&amp;IFERROR(INDEX(PASTE_ALL,$DF215,51)&amp;"","")&amp;"␟"&amp;IFERROR(INDEX(PASTE_ALL,$DF215,52)&amp;"","")&amp;"␟"&amp;IFERROR(INDEX(PASTE_ALL,$DF215,53)&amp;"","")&amp;"␟"&amp;IFERROR(INDEX(PASTE_ALL,$DF215,54)&amp;"","")&amp;"␟"&amp;IFERROR(INDEX(PASTE_ALL,$DF215,55)&amp;"","")&amp;"␟"&amp;IFERROR(INDEX(PASTE_ALL,$DF215,56)&amp;"","")&amp;"␟"&amp;IFERROR(INDEX(PASTE_ALL,$DF215,57)&amp;"","")&amp;"␟"&amp;IFERROR(INDEX(PASTE_ALL,$DF215,58)&amp;"","")&amp;"␟"&amp;IFERROR(INDEX(PASTE_ALL,$DF215,59)&amp;"","")&amp;"␟"&amp;IFERROR(INDEX(PASTE_ALL,$DF215,60)&amp;"","")," "," "),CHAR(9)," "),CHAR(10)," "),CHAR(13)," "))," ␟","␟"),"␟ ","␟"),"#"&amp;$DE215),"")</f>
        <v/>
      </c>
      <c r="DJ215">
        <f>IF($DI215="",0,IF(SUMPRODUCT(--EXACT($DI$4:DI214,$DI215))&gt;0,1,0))</f>
        <v/>
      </c>
      <c r="DK215">
        <f>IF(AND($DI215&lt;&gt;"",$DJ215=0),1,0)</f>
        <v/>
      </c>
      <c r="DL215">
        <f>DL214+$DK215</f>
        <v/>
      </c>
      <c r="DM215">
        <f>IF(AND($DK215=1,$DL215&lt;=600),1,0)</f>
        <v/>
      </c>
      <c r="DN215">
        <f>IF($DM215=0,"",IF($L$6=0,"",IFERROR(IF(ISNUMBER(INDEX(PASTE_ALL,$DF215,$L$6)),INDEX(PASTE_ALL,$DF215,$L$6),TRIM(SUBSTITUTE(SUBSTITUTE(SUBSTITUTE(SUBSTITUTE(INDEX(PASTE_ALL,$DF215,$L$6)," "," "),CHAR(9)," "),CHAR(10)," "),CHAR(13)," "))),"")))</f>
        <v/>
      </c>
      <c r="DO215">
        <f>IF($DM215=0,"",IF($L$7=0,"",IFERROR(IF(ISNUMBER(INDEX(PASTE_ALL,$DF215,$L$7)),INDEX(PASTE_ALL,$DF215,$L$7),TRIM(SUBSTITUTE(SUBSTITUTE(SUBSTITUTE(SUBSTITUTE(INDEX(PASTE_ALL,$DF215,$L$7)," "," "),CHAR(9)," "),CHAR(10)," "),CHAR(13)," "))),"")))</f>
        <v/>
      </c>
      <c r="DP215">
        <f>IF($DM215=0,"",IF($L$8=0,"",IFERROR(IF(ISNUMBER(INDEX(PASTE_ALL,$DF215,$L$8)),INDEX(PASTE_ALL,$DF215,$L$8),TRIM(SUBSTITUTE(SUBSTITUTE(SUBSTITUTE(SUBSTITUTE(INDEX(PASTE_ALL,$DF215,$L$8)," "," "),CHAR(9)," "),CHAR(10)," "),CHAR(13)," "))),"")))</f>
        <v/>
      </c>
      <c r="DQ215">
        <f>IF($DM215=0,"",IF($L$9=0,"",IFERROR(IF(ISNUMBER(INDEX(PASTE_ALL,$DF215,$L$9)),INDEX(PASTE_ALL,$DF215,$L$9),TRIM(SUBSTITUTE(SUBSTITUTE(SUBSTITUTE(SUBSTITUTE(INDEX(PASTE_ALL,$DF215,$L$9)," "," "),CHAR(9)," "),CHAR(10)," "),CHAR(13)," "))),"")))</f>
        <v/>
      </c>
      <c r="DR215">
        <f>IF($DM215=0,"",IF($L$10=0,"",IFERROR(IF(ISNUMBER(INDEX(PASTE_ALL,$DF215,$L$10)),INDEX(PASTE_ALL,$DF215,$L$10),TRIM(SUBSTITUTE(SUBSTITUTE(SUBSTITUTE(SUBSTITUTE(INDEX(PASTE_ALL,$DF215,$L$10)," "," "),CHAR(9)," "),CHAR(10)," "),CHAR(13)," "))),"")))</f>
        <v/>
      </c>
      <c r="DS215">
        <f>IF($DM215=0,"",IF($L$11=0,"",IFERROR(IF(ISNUMBER(INDEX(PASTE_ALL,$DF215,$L$11)),INDEX(PASTE_ALL,$DF215,$L$11),TRIM(SUBSTITUTE(SUBSTITUTE(SUBSTITUTE(SUBSTITUTE(INDEX(PASTE_ALL,$DF215,$L$11)," "," "),CHAR(9)," "),CHAR(10)," "),CHAR(13)," "))),"")))</f>
        <v/>
      </c>
      <c r="DT215">
        <f>IF($DM215=0,"",IF($L$12=0,"",IFERROR(IF(ISNUMBER(INDEX(PASTE_ALL,$DF215,$L$12)),INDEX(PASTE_ALL,$DF215,$L$12),TRIM(SUBSTITUTE(SUBSTITUTE(SUBSTITUTE(SUBSTITUTE(INDEX(PASTE_ALL,$DF215,$L$12)," "," "),CHAR(9)," "),CHAR(10)," "),CHAR(13)," "))),"")))</f>
        <v/>
      </c>
      <c r="DU215">
        <f>IF($DM215=0,"",IF($L$13=0,"",IFERROR(IF(ISNUMBER(INDEX(PASTE_ALL,$DF215,$L$13)),INDEX(PASTE_ALL,$DF215,$L$13),TRIM(SUBSTITUTE(SUBSTITUTE(SUBSTITUTE(SUBSTITUTE(INDEX(PASTE_ALL,$DF215,$L$13)," "," "),CHAR(9)," "),CHAR(10)," "),CHAR(13)," "))),"")))</f>
        <v/>
      </c>
      <c r="DV215">
        <f>IF($DM215=0,"",IF($L$14=0,"",IFERROR(IF(ISNUMBER(INDEX(PASTE_ALL,$DF215,$L$14)),INDEX(PASTE_ALL,$DF215,$L$14),TRIM(SUBSTITUTE(SUBSTITUTE(SUBSTITUTE(SUBSTITUTE(INDEX(PASTE_ALL,$DF215,$L$14)," "," "),CHAR(9)," "),CHAR(10)," "),CHAR(13)," "))),"")))</f>
        <v/>
      </c>
      <c r="DW215">
        <f>IF($DM215=0,"",IF($L$15=0,"",IFERROR(IF(ISNUMBER(INDEX(PASTE_ALL,$DF215,$L$15)),INDEX(PASTE_ALL,$DF215,$L$15),IF(SUMPRODUCT(--ISNUMBER(FIND({"A","B","C","D","E","F","G","H","I","J","K","L","M","N","O","P","Q","R","S","T","U","V","W","X","Y","Z","0","1","2","3","4","5","6","7","8","9"},UPPER(TRIM(SUBSTITUTE(SUBSTITUTE(SUBSTITUTE(SUBSTITUTE(INDEX(PASTE_ALL,$DF215,$L$15)," "," "),CHAR(9)," "),CHAR(10)," "),CHAR(13)," "))))))&gt;0,TRIM(SUBSTITUTE(SUBSTITUTE(SUBSTITUTE(SUBSTITUTE(INDEX(PASTE_ALL,$DF215,$L$15)," "," "),CHAR(9)," "),CHAR(10)," "),CHAR(13)," ")),"")),"")))</f>
        <v/>
      </c>
      <c r="DX215">
        <f>IF($DM215=0,"",IF($L$16=0,"",IFERROR(IF(ISNUMBER(INDEX(PASTE_ALL,$DF215,$L$16)),INDEX(PASTE_ALL,$DF215,$L$16),SUBSTITUTE(SUBSTITUTE(TRIM(SUBSTITUTE(SUBSTITUTE(SUBSTITUTE(SUBSTITUTE(INDEX(PASTE_ALL,$DF215,$L$16)," "," "),CHAR(9)," "),CHAR(10)," "),CHAR(13)," ")),",",""),"%","")),"")))</f>
        <v/>
      </c>
      <c r="DY215">
        <f>IF($DM215=0,"",IFERROR(IF(ISNUMBER($DX215),$DX215,IF($DX215="","",IF(TRIM($DX215)="",0,IF(AND(AND(SUBSTITUTE(SUBSTITUTE(SUBSTITUTE(SUBSTITUTE(SUBSTITUTE(SUBSTITUTE(SUBSTITUTE(SUBSTITUTE(SUBSTITUTE(SUBSTITUTE(SUBSTITUTE(SUBSTITUTE(SUBSTITUTE(SUBSTITUTE(UPPER(TRIM($DX215)),"0",""),"1",""),"2",""),"3",""),"4",""),"5",""),"6",""),"7",""),"8",""),"9",""),".",""),"+",""),"-",""),"E","")="",LEN(SUBSTITUTE(SUBSTITUTE(MID(UPPER(TRIM($DX215)),1+OR(LEFT(UPPER(TRIM($DX215)),1)="+",LEFT(UPPER(TRIM($DX215)),1)="-"),999),"E+","E"),"E-","E"))=LEN(SUBSTITUTE(SUBSTITUTE(SUBSTITUTE(SUBSTITUTE(MID(UPPER(TRIM($DX215)),1+OR(LEFT(UPPER(TRIM($DX215)),1)="+",LEFT(UPPER(TRIM($DX215)),1)="-"),999),"E+","E"),"E-","E"),"+",""),"-","")),LEN(UPPER(TRIM($DX215)))-LEN(SUBSTITUTE(UPPER(TRIM($DX215)),"E",""))&lt;2,LEN(UPPER(TRIM($DX215)))-LEN(SUBSTITUTE(UPPER(TRIM($DX215)),".",""))&lt;2,IFERROR(FIND(".",UPPER(TRIM($DX215))),0)&lt;IFERROR(FIND("E",UPPER(TRIM($DX215))),999)),ISNUMBER(VALUE(TRIM($DX215)))),VALUE(TRIM($DX215)),"")))),""))</f>
        <v/>
      </c>
      <c r="DZ215">
        <f>IF($DM215=0,"",IF($L$17=0,"",IFERROR(IF(ISNUMBER(INDEX(PASTE_ALL,$DF215,$L$17)),INDEX(PASTE_ALL,$DF215,$L$17),SUBSTITUTE(SUBSTITUTE(TRIM(SUBSTITUTE(SUBSTITUTE(SUBSTITUTE(SUBSTITUTE(INDEX(PASTE_ALL,$DF215,$L$17)," "," "),CHAR(9)," "),CHAR(10)," "),CHAR(13)," ")),",",""),"%","")),"")))</f>
        <v/>
      </c>
      <c r="EA215">
        <f>IF($DM215=0,"",IFERROR(IF(ISNUMBER($DZ215),$DZ215,IF($DZ215="","",IF(TRIM($DZ215)="",0,IF(AND(AND(SUBSTITUTE(SUBSTITUTE(SUBSTITUTE(SUBSTITUTE(SUBSTITUTE(SUBSTITUTE(SUBSTITUTE(SUBSTITUTE(SUBSTITUTE(SUBSTITUTE(SUBSTITUTE(SUBSTITUTE(SUBSTITUTE(SUBSTITUTE(UPPER(TRIM($DZ215)),"0",""),"1",""),"2",""),"3",""),"4",""),"5",""),"6",""),"7",""),"8",""),"9",""),".",""),"+",""),"-",""),"E","")="",LEN(SUBSTITUTE(SUBSTITUTE(MID(UPPER(TRIM($DZ215)),1+OR(LEFT(UPPER(TRIM($DZ215)),1)="+",LEFT(UPPER(TRIM($DZ215)),1)="-"),999),"E+","E"),"E-","E"))=LEN(SUBSTITUTE(SUBSTITUTE(SUBSTITUTE(SUBSTITUTE(MID(UPPER(TRIM($DZ215)),1+OR(LEFT(UPPER(TRIM($DZ215)),1)="+",LEFT(UPPER(TRIM($DZ215)),1)="-"),999),"E+","E"),"E-","E"),"+",""),"-","")),LEN(UPPER(TRIM($DZ215)))-LEN(SUBSTITUTE(UPPER(TRIM($DZ215)),"E",""))&lt;2,LEN(UPPER(TRIM($DZ215)))-LEN(SUBSTITUTE(UPPER(TRIM($DZ215)),".",""))&lt;2,IFERROR(FIND(".",UPPER(TRIM($DZ215))),0)&lt;IFERROR(FIND("E",UPPER(TRIM($DZ215))),999)),ISNUMBER(VALUE(TRIM($DZ215)))),VALUE(TRIM($DZ215)),"")))),""))</f>
        <v/>
      </c>
      <c r="EB215">
        <f>IF($DM215=0,"",IF($L$18=0,"",IFERROR(IF(UPPER(TRIM(SUBSTITUTE(SUBSTITUTE(SUBSTITUTE(SUBSTITUTE(INDEX(PASTE_ALL,$DF215,$L$18)," "," "),CHAR(9)," "),CHAR(10)," "),CHAR(13)," ")))="READY","Ready",IF(UPPER(TRIM(SUBSTITUTE(SUBSTITUTE(SUBSTITUTE(SUBSTITUTE(INDEX(PASTE_ALL,$DF215,$L$18)," "," "),CHAR(9)," "),CHAR(10)," "),CHAR(13)," ")))="PM","PM",IF(OR(UPPER(TRIM(SUBSTITUTE(SUBSTITUTE(SUBSTITUTE(SUBSTITUTE(INDEX(PASTE_ALL,$DF215,$L$18)," "," "),CHAR(9)," "),CHAR(10)," "),CHAR(13)," ")))="OT",UPPER(TRIM(SUBSTITUTE(SUBSTITUTE(SUBSTITUTE(SUBSTITUTE(INDEX(PASTE_ALL,$DF215,$L$18)," "," "),CHAR(9)," "),CHAR(10)," "),CHAR(13)," ")))="OVERTIME",UPPER(TRIM(SUBSTITUTE(SUBSTITUTE(SUBSTITUTE(SUBSTITUTE(INDEX(PASTE_ALL,$DF215,$L$18)," "," "),CHAR(9)," "),CHAR(10)," "),CHAR(13)," ")))="TRIAL"),"OT",TRIM(SUBSTITUTE(SUBSTITUTE(SUBSTITUTE(SUBSTITUTE(INDEX(PASTE_ALL,$DF215,$L$18)," "," "),CHAR(9)," "),CHAR(10)," "),CHAR(13)," "))))),"")))</f>
        <v/>
      </c>
      <c r="EC215">
        <f>IF($DM215=0,"",IF($L$19=0,"",IFERROR(IF(ISNUMBER(INDEX(PASTE_ALL,$DF215,$L$19)),INDEX(PASTE_ALL,$DF215,$L$19),TRIM(SUBSTITUTE(SUBSTITUTE(SUBSTITUTE(SUBSTITUTE(INDEX(PASTE_ALL,$DF215,$L$19)," "," "),CHAR(9)," "),CHAR(10)," "),CHAR(13)," "))),"")))</f>
        <v/>
      </c>
      <c r="ED215">
        <f>IF($DM215=0,"",MATCH(1,INDEX(EXACT($DH$5:DH215,$DH215)*$DM$5:DM215,0),0))</f>
        <v/>
      </c>
      <c r="EE215">
        <f>IF($DM215=0,0,IF($ED215=$DE215,1,0))</f>
        <v/>
      </c>
      <c r="EF215">
        <f>EF214+$EE215</f>
        <v/>
      </c>
      <c r="EG215">
        <f>IF($DM215=0,"",INDEX($EF$5:$EF$1003,$ED215))</f>
        <v/>
      </c>
      <c r="EH215">
        <f>IF($DM215=0,"",IF($DO215&lt;&gt;"","",IFERROR(LOOKUP(2,1/(($EG$4:EG214=$EG215)*($DO$4:DO214&lt;&gt;"")),$DO$4:DO214),"")))</f>
        <v/>
      </c>
      <c r="EI215">
        <f>IF($DM215=0,"",IF($DO215&lt;&gt;"",$DO215,$EH215))</f>
        <v/>
      </c>
      <c r="EJ215">
        <f>IF($DM215=0,"",IF($EI215="",0,IF(OR(ISNUMBER($EI215),AND(AND(SUBSTITUTE(SUBSTITUTE(SUBSTITUTE(SUBSTITUTE(SUBSTITUTE(SUBSTITUTE(SUBSTITUTE(SUBSTITUTE(SUBSTITUTE(SUBSTITUTE(SUBSTITUTE(SUBSTITUTE(SUBSTITUTE(SUBSTITUTE(UPPER($EI215),"0",""),"1",""),"2",""),"3",""),"4",""),"5",""),"6",""),"7",""),"8",""),"9",""),".",""),"+",""),"-",""),"E","")="",LEN(SUBSTITUTE(SUBSTITUTE(MID(UPPER($EI215),1+OR(LEFT(UPPER($EI215),1)="+",LEFT(UPPER($EI215),1)="-"),999),"E+","E"),"E-","E"))=LEN(SUBSTITUTE(SUBSTITUTE(SUBSTITUTE(SUBSTITUTE(MID(UPPER($EI215),1+OR(LEFT(UPPER($EI215),1)="+",LEFT(UPPER($EI215),1)="-"),999),"E+","E"),"E-","E"),"+",""),"-","")),LEN(UPPER($EI215))-LEN(SUBSTITUTE(UPPER($EI215),"E",""))&lt;2,LEN(UPPER($EI215))-LEN(SUBSTITUTE(UPPER($EI215),".",""))&lt;2,IFERROR(FIND(".",UPPER($EI215)),0)&lt;IFERROR(FIND("E",UPPER($EI215)),999)),ISNUMBER(VALUE($EI215)))),1,2)))</f>
        <v/>
      </c>
      <c r="EK215">
        <f>IF($DM215=0,"",IF($EJ215=1,IF(ISNUMBER($EI215),$EI215,VALUE($EI215)),IF($EJ215=2,$DE215,0)))</f>
        <v/>
      </c>
      <c r="EL215">
        <f>IF($DM215=0,"",COUNTIF($EG$5:$EG$1003,"&lt;"&amp;$EG215)+SUMPRODUCT(($EG$5:$EG$1003=$EG215)*(($EJ$5:$EJ$1003&lt;$EJ215)+($EJ$5:$EJ$1003=$EJ215)*(($EK$5:$EK$1003&lt;$EK215)+($EK$5:$EK$1003=$EK215)*($DE$5:$DE$1003&lt;$DE215))))+1)</f>
        <v/>
      </c>
      <c r="EM215">
        <f>IF($DM215=0,"",$EL215+$EG215-1)</f>
        <v/>
      </c>
      <c r="EN215">
        <f>IF($DM215=0,0,IFERROR(MATCH(1,INDEX(--(TRIM(SUBSTITUTE(SUBSTITUTE(SUBSTITUTE(SUBSTITUTE(LINES_NAME&amp;""," "," "),CHAR(9)," "),CHAR(10)," "),CHAR(13)," "))=$DH215),0),0),0))</f>
        <v/>
      </c>
      <c r="EO215">
        <f>IF($EN215=0,0,IF(OR(UPPER(TRIM(INDEX(LINES_SCHEDULED,$EN215)&amp;""))="YES",UPPER(TRIM(INDEX(LINES_SCHEDULED,$EN215)&amp;""))="Y",UPPER(TRIM(INDEX(LINES_SCHEDULED,$EN215)&amp;""))="X"),1,0))</f>
        <v/>
      </c>
      <c r="EP215">
        <f>IF($DM215=0,"",IF(COUNTIFS($EG$5:$EG$1003,$EG215,$EB$5:$EB$1003,"Ready")&gt;0,"READY",IF(COUNTIFS($EG$5:$EG$1003,$EG215,$EB$5:$EB$1003,"PM")&gt;0,"PM",IF(COUNTIFS($EG$5:$EG$1003,$EG215,$EB$5:$EB$1003,"OT")&gt;0,"OT",""))))</f>
        <v/>
      </c>
      <c r="EQ215">
        <f>IF($EN215=0,"",UPPER(TRIM(INDEX(LINES_STATUS,$EN215)&amp;"")))</f>
        <v/>
      </c>
      <c r="ER215">
        <f>IF($DM215=0,"",IF(OR($EQ215="READY",$EQ215="PM",$EQ215="OT"),$EQ215,$EP215))</f>
        <v/>
      </c>
      <c r="ES215">
        <f>IF($DM215=0,"",IF(AND($DV215&lt;&gt;"",UPPER($DV215)&lt;&gt;"N"),"allergen",IF(ISNUMBER(SEARCH("oil",$DQ215)),"oil",IF(OR(EXACT($DS215,"A662"),EXACT($DS215,"A624")),"bulk",""))))</f>
        <v/>
      </c>
      <c r="ET215">
        <f>IF($DM215=0,"",IF(OR($EA215="",$EA215=0),"",$EA215/100))</f>
        <v/>
      </c>
      <c r="EU215">
        <f>IF(OR($ET215="",$DY215=""),"",INT($DY215*(1-$ET215)+0.5))</f>
        <v/>
      </c>
      <c r="EW215" t="n">
        <v>211</v>
      </c>
      <c r="EX215">
        <f>IFERROR(MATCH($EW215,$EM$5:$EM$1003,0),0)</f>
        <v/>
      </c>
      <c r="EY215">
        <f>IF($EW215&gt;$B$12,"",IF($EX215&gt;0,"row","spacer"))</f>
        <v/>
      </c>
      <c r="EZ215">
        <f>IF(AND($EY215="row",$EY214&lt;&gt;"row"),1,0)</f>
        <v/>
      </c>
      <c r="FA215">
        <f>IF(AND($EY215="row",$EY216&lt;&gt;"row"),1,0)</f>
        <v/>
      </c>
      <c r="FB215">
        <f>IF($EZ215=1,IFERROR(IF(ISNUMBER(INDEX(PASTE_ALL,INDEX($DF$5:$DF$1003,$EX215),$B$37)),INDEX(PASTE_ALL,INDEX($DF$5:$DF$1003,$EX215),$B$37),INDEX($DH$5:$DH$1003,$EX215)),INDEX($DH$5:$DH$1003,$EX215)),"")</f>
        <v/>
      </c>
      <c r="FC215">
        <f>IF($EY215="row",INDEX($ER$5:$ER$1003,$EX215),"")</f>
        <v/>
      </c>
      <c r="FD215">
        <f>IF($EY215="row",INDEX($DN$5:$DN$1003,$EX215),"")</f>
        <v/>
      </c>
      <c r="FE215">
        <f>IF($EY215="row",INDEX($DO$5:$DO$1003,$EX215),"")</f>
        <v/>
      </c>
      <c r="FF215">
        <f>IF($EY215="row",INDEX($DP$5:$DP$1003,$EX215),"")</f>
        <v/>
      </c>
      <c r="FG215">
        <f>IF($EY215="row",INDEX($DQ$5:$DQ$1003,$EX215),"")</f>
        <v/>
      </c>
      <c r="FH215">
        <f>IF($EY215="row",INDEX($DR$5:$DR$1003,$EX215),"")</f>
        <v/>
      </c>
      <c r="FI215">
        <f>IF($EY215="row",INDEX($DS$5:$DS$1003,$EX215),"")</f>
        <v/>
      </c>
      <c r="FJ215">
        <f>IF($EY215="row",INDEX($DT$5:$DT$1003,$EX215),"")</f>
        <v/>
      </c>
      <c r="FK215">
        <f>IF($EY215="row",INDEX($DU$5:$DU$1003,$EX215),"")</f>
        <v/>
      </c>
      <c r="FL215">
        <f>IF($EY215="row",INDEX($DV$5:$DV$1003,$EX215),"")</f>
        <v/>
      </c>
      <c r="FM215">
        <f>IF($EY215="row",INDEX($DW$5:$DW$1003,$EX215),"")</f>
        <v/>
      </c>
      <c r="FN215">
        <f>IF($EY215="row",INDEX($DY$5:$DY$1003,$EX215),"")</f>
        <v/>
      </c>
      <c r="FO215">
        <f>IF($EY215="row",INDEX($EA$5:$EA$1003,$EX215),"")</f>
        <v/>
      </c>
      <c r="FP215">
        <f>IF($EY215="row",INDEX($EC$5:$EC$1003,$EX215),"")</f>
        <v/>
      </c>
      <c r="FQ215">
        <f>IF($EY215="row",INDEX($ET$5:$ET$1003,$EX215),"")</f>
        <v/>
      </c>
      <c r="FR215">
        <f>IF($EY215="row",INDEX($EU$5:$EU$1003,$EX215),"")</f>
        <v/>
      </c>
      <c r="FS215">
        <f>IF(AND($EY215="row",$EY214="row"),IF(OR(INDEX($DT$5:$DT$1003,$EX214)="",INDEX($DT$5:$DT$1003,$EX215)=""),"",IF(NOT(EXACT(INDEX($DT$5:$DT$1003,$EX214),INDEX($DT$5:$DT$1003,$EX215))),"S4",IF(NOT(EXACT(INDEX($DS$5:$DS$1003,$EX214),INDEX($DS$5:$DS$1003,$EX215))),"S3",IF(NOT(EXACT(INDEX($DR$5:$DR$1003,$EX214),INDEX($DR$5:$DR$1003,$EX215))),"S1 Count Change","S1")))),"")</f>
        <v/>
      </c>
      <c r="FT215">
        <f>IF($EY215="row",INDEX($ES$5:$ES$1003,$EX215),"")</f>
        <v/>
      </c>
      <c r="FU215">
        <f>IF($EY215="row",INDEX($EO$5:$EO$1003,$EX215),0)</f>
        <v/>
      </c>
      <c r="FV215">
        <f>IF($FS215="S1 Count Change",1,0)</f>
        <v/>
      </c>
    </row>
    <row r="216">
      <c r="Y216">
        <f>0+IF(Y126&gt;0,0,IF(SUMPRODUCT(MOD(INT(Y171/{2,4,8,16,32,64,128,256,512,1024,2048,4096,8192,16384,32768}),2)*(1-MOD(INT(($CJ36+0)/{2,4,8,16,32,64,128,256,512,1024,2048,4096,8192,16384,32768}),2))*{2,4,8,16,32,64,128,256,512,1024,2048,4096,8192,16384,32768})=0,0,2^SUMPRODUCT(--(MOD(SUMPRODUCT(MOD(INT(Y171/{2,4,8,16,32,64,128,256,512,1024,2048,4096,8192,16384,32768}),2)*(1-MOD(INT(($CJ36+0)/{2,4,8,16,32,64,128,256,512,1024,2048,4096,8192,16384,32768}),2))*{2,4,8,16,32,64,128,256,512,1024,2048,4096,8192,16384,32768}),{2,4,8,16,32,64,128,256,512,1024,2048,4096,8192,16384,32768})=0))))</f>
        <v/>
      </c>
      <c r="Z216">
        <f>Y216+IF(AND(Z126&gt;0,COUNTIF($Y126:Y126,Z126)=0),0,IF(SUMPRODUCT(MOD(INT(Z171/{2,4,8,16,32,64,128,256,512,1024,2048,4096,8192,16384,32768}),2)*(1-MOD(INT(($CJ36+Y216)/{2,4,8,16,32,64,128,256,512,1024,2048,4096,8192,16384,32768}),2))*{2,4,8,16,32,64,128,256,512,1024,2048,4096,8192,16384,32768})=0,0,2^SUMPRODUCT(--(MOD(SUMPRODUCT(MOD(INT(Z171/{2,4,8,16,32,64,128,256,512,1024,2048,4096,8192,16384,32768}),2)*(1-MOD(INT(($CJ36+Y216)/{2,4,8,16,32,64,128,256,512,1024,2048,4096,8192,16384,32768}),2))*{2,4,8,16,32,64,128,256,512,1024,2048,4096,8192,16384,32768}),{2,4,8,16,32,64,128,256,512,1024,2048,4096,8192,16384,32768})=0))))</f>
        <v/>
      </c>
      <c r="AA216">
        <f>Z216+IF(AND(AA126&gt;0,COUNTIF($Y126:Z126,AA126)=0),0,IF(SUMPRODUCT(MOD(INT(AA171/{2,4,8,16,32,64,128,256,512,1024,2048,4096,8192,16384,32768}),2)*(1-MOD(INT(($CJ36+Z216)/{2,4,8,16,32,64,128,256,512,1024,2048,4096,8192,16384,32768}),2))*{2,4,8,16,32,64,128,256,512,1024,2048,4096,8192,16384,32768})=0,0,2^SUMPRODUCT(--(MOD(SUMPRODUCT(MOD(INT(AA171/{2,4,8,16,32,64,128,256,512,1024,2048,4096,8192,16384,32768}),2)*(1-MOD(INT(($CJ36+Z216)/{2,4,8,16,32,64,128,256,512,1024,2048,4096,8192,16384,32768}),2))*{2,4,8,16,32,64,128,256,512,1024,2048,4096,8192,16384,32768}),{2,4,8,16,32,64,128,256,512,1024,2048,4096,8192,16384,32768})=0))))</f>
        <v/>
      </c>
      <c r="AB216">
        <f>AA216+IF(AND(AB126&gt;0,COUNTIF($Y126:AA126,AB126)=0),0,IF(SUMPRODUCT(MOD(INT(AB171/{2,4,8,16,32,64,128,256,512,1024,2048,4096,8192,16384,32768}),2)*(1-MOD(INT(($CJ36+AA216)/{2,4,8,16,32,64,128,256,512,1024,2048,4096,8192,16384,32768}),2))*{2,4,8,16,32,64,128,256,512,1024,2048,4096,8192,16384,32768})=0,0,2^SUMPRODUCT(--(MOD(SUMPRODUCT(MOD(INT(AB171/{2,4,8,16,32,64,128,256,512,1024,2048,4096,8192,16384,32768}),2)*(1-MOD(INT(($CJ36+AA216)/{2,4,8,16,32,64,128,256,512,1024,2048,4096,8192,16384,32768}),2))*{2,4,8,16,32,64,128,256,512,1024,2048,4096,8192,16384,32768}),{2,4,8,16,32,64,128,256,512,1024,2048,4096,8192,16384,32768})=0))))</f>
        <v/>
      </c>
      <c r="AC216">
        <f>AB216+IF(AND(AC126&gt;0,COUNTIF($Y126:AB126,AC126)=0),0,IF(SUMPRODUCT(MOD(INT(AC171/{2,4,8,16,32,64,128,256,512,1024,2048,4096,8192,16384,32768}),2)*(1-MOD(INT(($CJ36+AB216)/{2,4,8,16,32,64,128,256,512,1024,2048,4096,8192,16384,32768}),2))*{2,4,8,16,32,64,128,256,512,1024,2048,4096,8192,16384,32768})=0,0,2^SUMPRODUCT(--(MOD(SUMPRODUCT(MOD(INT(AC171/{2,4,8,16,32,64,128,256,512,1024,2048,4096,8192,16384,32768}),2)*(1-MOD(INT(($CJ36+AB216)/{2,4,8,16,32,64,128,256,512,1024,2048,4096,8192,16384,32768}),2))*{2,4,8,16,32,64,128,256,512,1024,2048,4096,8192,16384,32768}),{2,4,8,16,32,64,128,256,512,1024,2048,4096,8192,16384,32768})=0))))</f>
        <v/>
      </c>
      <c r="AD216">
        <f>AC216+IF(AND(AD126&gt;0,COUNTIF($Y126:AC126,AD126)=0),0,IF(SUMPRODUCT(MOD(INT(AD171/{2,4,8,16,32,64,128,256,512,1024,2048,4096,8192,16384,32768}),2)*(1-MOD(INT(($CJ36+AC216)/{2,4,8,16,32,64,128,256,512,1024,2048,4096,8192,16384,32768}),2))*{2,4,8,16,32,64,128,256,512,1024,2048,4096,8192,16384,32768})=0,0,2^SUMPRODUCT(--(MOD(SUMPRODUCT(MOD(INT(AD171/{2,4,8,16,32,64,128,256,512,1024,2048,4096,8192,16384,32768}),2)*(1-MOD(INT(($CJ36+AC216)/{2,4,8,16,32,64,128,256,512,1024,2048,4096,8192,16384,32768}),2))*{2,4,8,16,32,64,128,256,512,1024,2048,4096,8192,16384,32768}),{2,4,8,16,32,64,128,256,512,1024,2048,4096,8192,16384,32768})=0))))</f>
        <v/>
      </c>
      <c r="AE216">
        <f>AD216+IF(AND(AE126&gt;0,COUNTIF($Y126:AD126,AE126)=0),0,IF(SUMPRODUCT(MOD(INT(AE171/{2,4,8,16,32,64,128,256,512,1024,2048,4096,8192,16384,32768}),2)*(1-MOD(INT(($CJ36+AD216)/{2,4,8,16,32,64,128,256,512,1024,2048,4096,8192,16384,32768}),2))*{2,4,8,16,32,64,128,256,512,1024,2048,4096,8192,16384,32768})=0,0,2^SUMPRODUCT(--(MOD(SUMPRODUCT(MOD(INT(AE171/{2,4,8,16,32,64,128,256,512,1024,2048,4096,8192,16384,32768}),2)*(1-MOD(INT(($CJ36+AD216)/{2,4,8,16,32,64,128,256,512,1024,2048,4096,8192,16384,32768}),2))*{2,4,8,16,32,64,128,256,512,1024,2048,4096,8192,16384,32768}),{2,4,8,16,32,64,128,256,512,1024,2048,4096,8192,16384,32768})=0))))</f>
        <v/>
      </c>
      <c r="AF216">
        <f>AE216+IF(AND(AF126&gt;0,COUNTIF($Y126:AE126,AF126)=0),0,IF(SUMPRODUCT(MOD(INT(AF171/{2,4,8,16,32,64,128,256,512,1024,2048,4096,8192,16384,32768}),2)*(1-MOD(INT(($CJ36+AE216)/{2,4,8,16,32,64,128,256,512,1024,2048,4096,8192,16384,32768}),2))*{2,4,8,16,32,64,128,256,512,1024,2048,4096,8192,16384,32768})=0,0,2^SUMPRODUCT(--(MOD(SUMPRODUCT(MOD(INT(AF171/{2,4,8,16,32,64,128,256,512,1024,2048,4096,8192,16384,32768}),2)*(1-MOD(INT(($CJ36+AE216)/{2,4,8,16,32,64,128,256,512,1024,2048,4096,8192,16384,32768}),2))*{2,4,8,16,32,64,128,256,512,1024,2048,4096,8192,16384,32768}),{2,4,8,16,32,64,128,256,512,1024,2048,4096,8192,16384,32768})=0))))</f>
        <v/>
      </c>
      <c r="AG216">
        <f>AF216+IF(AND(AG126&gt;0,COUNTIF($Y126:AF126,AG126)=0),0,IF(SUMPRODUCT(MOD(INT(AG171/{2,4,8,16,32,64,128,256,512,1024,2048,4096,8192,16384,32768}),2)*(1-MOD(INT(($CJ36+AF216)/{2,4,8,16,32,64,128,256,512,1024,2048,4096,8192,16384,32768}),2))*{2,4,8,16,32,64,128,256,512,1024,2048,4096,8192,16384,32768})=0,0,2^SUMPRODUCT(--(MOD(SUMPRODUCT(MOD(INT(AG171/{2,4,8,16,32,64,128,256,512,1024,2048,4096,8192,16384,32768}),2)*(1-MOD(INT(($CJ36+AF216)/{2,4,8,16,32,64,128,256,512,1024,2048,4096,8192,16384,32768}),2))*{2,4,8,16,32,64,128,256,512,1024,2048,4096,8192,16384,32768}),{2,4,8,16,32,64,128,256,512,1024,2048,4096,8192,16384,32768})=0))))</f>
        <v/>
      </c>
      <c r="AH216">
        <f>AG216+IF(AND(AH126&gt;0,COUNTIF($Y126:AG126,AH126)=0),0,IF(SUMPRODUCT(MOD(INT(AH171/{2,4,8,16,32,64,128,256,512,1024,2048,4096,8192,16384,32768}),2)*(1-MOD(INT(($CJ36+AG216)/{2,4,8,16,32,64,128,256,512,1024,2048,4096,8192,16384,32768}),2))*{2,4,8,16,32,64,128,256,512,1024,2048,4096,8192,16384,32768})=0,0,2^SUMPRODUCT(--(MOD(SUMPRODUCT(MOD(INT(AH171/{2,4,8,16,32,64,128,256,512,1024,2048,4096,8192,16384,32768}),2)*(1-MOD(INT(($CJ36+AG216)/{2,4,8,16,32,64,128,256,512,1024,2048,4096,8192,16384,32768}),2))*{2,4,8,16,32,64,128,256,512,1024,2048,4096,8192,16384,32768}),{2,4,8,16,32,64,128,256,512,1024,2048,4096,8192,16384,32768})=0))))</f>
        <v/>
      </c>
      <c r="AI216">
        <f>AH216+IF(AND(AI126&gt;0,COUNTIF($Y126:AH126,AI126)=0),0,IF(SUMPRODUCT(MOD(INT(AI171/{2,4,8,16,32,64,128,256,512,1024,2048,4096,8192,16384,32768}),2)*(1-MOD(INT(($CJ36+AH216)/{2,4,8,16,32,64,128,256,512,1024,2048,4096,8192,16384,32768}),2))*{2,4,8,16,32,64,128,256,512,1024,2048,4096,8192,16384,32768})=0,0,2^SUMPRODUCT(--(MOD(SUMPRODUCT(MOD(INT(AI171/{2,4,8,16,32,64,128,256,512,1024,2048,4096,8192,16384,32768}),2)*(1-MOD(INT(($CJ36+AH216)/{2,4,8,16,32,64,128,256,512,1024,2048,4096,8192,16384,32768}),2))*{2,4,8,16,32,64,128,256,512,1024,2048,4096,8192,16384,32768}),{2,4,8,16,32,64,128,256,512,1024,2048,4096,8192,16384,32768})=0))))</f>
        <v/>
      </c>
      <c r="AJ216">
        <f>AI216+IF(AND(AJ126&gt;0,COUNTIF($Y126:AI126,AJ126)=0),0,IF(SUMPRODUCT(MOD(INT(AJ171/{2,4,8,16,32,64,128,256,512,1024,2048,4096,8192,16384,32768}),2)*(1-MOD(INT(($CJ36+AI216)/{2,4,8,16,32,64,128,256,512,1024,2048,4096,8192,16384,32768}),2))*{2,4,8,16,32,64,128,256,512,1024,2048,4096,8192,16384,32768})=0,0,2^SUMPRODUCT(--(MOD(SUMPRODUCT(MOD(INT(AJ171/{2,4,8,16,32,64,128,256,512,1024,2048,4096,8192,16384,32768}),2)*(1-MOD(INT(($CJ36+AI216)/{2,4,8,16,32,64,128,256,512,1024,2048,4096,8192,16384,32768}),2))*{2,4,8,16,32,64,128,256,512,1024,2048,4096,8192,16384,32768}),{2,4,8,16,32,64,128,256,512,1024,2048,4096,8192,16384,32768})=0))))</f>
        <v/>
      </c>
      <c r="AK216">
        <f>AJ216+IF(AND(AK126&gt;0,COUNTIF($Y126:AJ126,AK126)=0),0,IF(SUMPRODUCT(MOD(INT(AK171/{2,4,8,16,32,64,128,256,512,1024,2048,4096,8192,16384,32768}),2)*(1-MOD(INT(($CJ36+AJ216)/{2,4,8,16,32,64,128,256,512,1024,2048,4096,8192,16384,32768}),2))*{2,4,8,16,32,64,128,256,512,1024,2048,4096,8192,16384,32768})=0,0,2^SUMPRODUCT(--(MOD(SUMPRODUCT(MOD(INT(AK171/{2,4,8,16,32,64,128,256,512,1024,2048,4096,8192,16384,32768}),2)*(1-MOD(INT(($CJ36+AJ216)/{2,4,8,16,32,64,128,256,512,1024,2048,4096,8192,16384,32768}),2))*{2,4,8,16,32,64,128,256,512,1024,2048,4096,8192,16384,32768}),{2,4,8,16,32,64,128,256,512,1024,2048,4096,8192,16384,32768})=0))))</f>
        <v/>
      </c>
      <c r="AL216">
        <f>AK216+IF(AND(AL126&gt;0,COUNTIF($Y126:AK126,AL126)=0),0,IF(SUMPRODUCT(MOD(INT(AL171/{2,4,8,16,32,64,128,256,512,1024,2048,4096,8192,16384,32768}),2)*(1-MOD(INT(($CJ36+AK216)/{2,4,8,16,32,64,128,256,512,1024,2048,4096,8192,16384,32768}),2))*{2,4,8,16,32,64,128,256,512,1024,2048,4096,8192,16384,32768})=0,0,2^SUMPRODUCT(--(MOD(SUMPRODUCT(MOD(INT(AL171/{2,4,8,16,32,64,128,256,512,1024,2048,4096,8192,16384,32768}),2)*(1-MOD(INT(($CJ36+AK216)/{2,4,8,16,32,64,128,256,512,1024,2048,4096,8192,16384,32768}),2))*{2,4,8,16,32,64,128,256,512,1024,2048,4096,8192,16384,32768}),{2,4,8,16,32,64,128,256,512,1024,2048,4096,8192,16384,32768})=0))))</f>
        <v/>
      </c>
      <c r="AM216">
        <f>AL216+IF(AND(AM126&gt;0,COUNTIF($Y126:AL126,AM126)=0),0,IF(SUMPRODUCT(MOD(INT(AM171/{2,4,8,16,32,64,128,256,512,1024,2048,4096,8192,16384,32768}),2)*(1-MOD(INT(($CJ36+AL216)/{2,4,8,16,32,64,128,256,512,1024,2048,4096,8192,16384,32768}),2))*{2,4,8,16,32,64,128,256,512,1024,2048,4096,8192,16384,32768})=0,0,2^SUMPRODUCT(--(MOD(SUMPRODUCT(MOD(INT(AM171/{2,4,8,16,32,64,128,256,512,1024,2048,4096,8192,16384,32768}),2)*(1-MOD(INT(($CJ36+AL216)/{2,4,8,16,32,64,128,256,512,1024,2048,4096,8192,16384,32768}),2))*{2,4,8,16,32,64,128,256,512,1024,2048,4096,8192,16384,32768}),{2,4,8,16,32,64,128,256,512,1024,2048,4096,8192,16384,32768})=0))))</f>
        <v/>
      </c>
      <c r="AN216">
        <f>AM216+IF(AND(AN126&gt;0,COUNTIF($Y126:AM126,AN126)=0),0,IF(SUMPRODUCT(MOD(INT(AN171/{2,4,8,16,32,64,128,256,512,1024,2048,4096,8192,16384,32768}),2)*(1-MOD(INT(($CJ36+AM216)/{2,4,8,16,32,64,128,256,512,1024,2048,4096,8192,16384,32768}),2))*{2,4,8,16,32,64,128,256,512,1024,2048,4096,8192,16384,32768})=0,0,2^SUMPRODUCT(--(MOD(SUMPRODUCT(MOD(INT(AN171/{2,4,8,16,32,64,128,256,512,1024,2048,4096,8192,16384,32768}),2)*(1-MOD(INT(($CJ36+AM216)/{2,4,8,16,32,64,128,256,512,1024,2048,4096,8192,16384,32768}),2))*{2,4,8,16,32,64,128,256,512,1024,2048,4096,8192,16384,32768}),{2,4,8,16,32,64,128,256,512,1024,2048,4096,8192,16384,32768})=0))))</f>
        <v/>
      </c>
      <c r="AO216">
        <f>AN216+IF(AND(AO126&gt;0,COUNTIF($Y126:AN126,AO126)=0),0,IF(SUMPRODUCT(MOD(INT(AO171/{2,4,8,16,32,64,128,256,512,1024,2048,4096,8192,16384,32768}),2)*(1-MOD(INT(($CJ36+AN216)/{2,4,8,16,32,64,128,256,512,1024,2048,4096,8192,16384,32768}),2))*{2,4,8,16,32,64,128,256,512,1024,2048,4096,8192,16384,32768})=0,0,2^SUMPRODUCT(--(MOD(SUMPRODUCT(MOD(INT(AO171/{2,4,8,16,32,64,128,256,512,1024,2048,4096,8192,16384,32768}),2)*(1-MOD(INT(($CJ36+AN216)/{2,4,8,16,32,64,128,256,512,1024,2048,4096,8192,16384,32768}),2))*{2,4,8,16,32,64,128,256,512,1024,2048,4096,8192,16384,32768}),{2,4,8,16,32,64,128,256,512,1024,2048,4096,8192,16384,32768})=0))))</f>
        <v/>
      </c>
      <c r="AP216">
        <f>AO216+IF(AND(AP126&gt;0,COUNTIF($Y126:AO126,AP126)=0),0,IF(SUMPRODUCT(MOD(INT(AP171/{2,4,8,16,32,64,128,256,512,1024,2048,4096,8192,16384,32768}),2)*(1-MOD(INT(($CJ36+AO216)/{2,4,8,16,32,64,128,256,512,1024,2048,4096,8192,16384,32768}),2))*{2,4,8,16,32,64,128,256,512,1024,2048,4096,8192,16384,32768})=0,0,2^SUMPRODUCT(--(MOD(SUMPRODUCT(MOD(INT(AP171/{2,4,8,16,32,64,128,256,512,1024,2048,4096,8192,16384,32768}),2)*(1-MOD(INT(($CJ36+AO216)/{2,4,8,16,32,64,128,256,512,1024,2048,4096,8192,16384,32768}),2))*{2,4,8,16,32,64,128,256,512,1024,2048,4096,8192,16384,32768}),{2,4,8,16,32,64,128,256,512,1024,2048,4096,8192,16384,32768})=0))))</f>
        <v/>
      </c>
      <c r="AQ216">
        <f>AP216+IF(AND(AQ126&gt;0,COUNTIF($Y126:AP126,AQ126)=0),0,IF(SUMPRODUCT(MOD(INT(AQ171/{2,4,8,16,32,64,128,256,512,1024,2048,4096,8192,16384,32768}),2)*(1-MOD(INT(($CJ36+AP216)/{2,4,8,16,32,64,128,256,512,1024,2048,4096,8192,16384,32768}),2))*{2,4,8,16,32,64,128,256,512,1024,2048,4096,8192,16384,32768})=0,0,2^SUMPRODUCT(--(MOD(SUMPRODUCT(MOD(INT(AQ171/{2,4,8,16,32,64,128,256,512,1024,2048,4096,8192,16384,32768}),2)*(1-MOD(INT(($CJ36+AP216)/{2,4,8,16,32,64,128,256,512,1024,2048,4096,8192,16384,32768}),2))*{2,4,8,16,32,64,128,256,512,1024,2048,4096,8192,16384,32768}),{2,4,8,16,32,64,128,256,512,1024,2048,4096,8192,16384,32768})=0))))</f>
        <v/>
      </c>
      <c r="AR216">
        <f>AQ216+IF(AND(AR126&gt;0,COUNTIF($Y126:AQ126,AR126)=0),0,IF(SUMPRODUCT(MOD(INT(AR171/{2,4,8,16,32,64,128,256,512,1024,2048,4096,8192,16384,32768}),2)*(1-MOD(INT(($CJ36+AQ216)/{2,4,8,16,32,64,128,256,512,1024,2048,4096,8192,16384,32768}),2))*{2,4,8,16,32,64,128,256,512,1024,2048,4096,8192,16384,32768})=0,0,2^SUMPRODUCT(--(MOD(SUMPRODUCT(MOD(INT(AR171/{2,4,8,16,32,64,128,256,512,1024,2048,4096,8192,16384,32768}),2)*(1-MOD(INT(($CJ36+AQ216)/{2,4,8,16,32,64,128,256,512,1024,2048,4096,8192,16384,32768}),2))*{2,4,8,16,32,64,128,256,512,1024,2048,4096,8192,16384,32768}),{2,4,8,16,32,64,128,256,512,1024,2048,4096,8192,16384,32768})=0))))</f>
        <v/>
      </c>
      <c r="AS216">
        <f>AR216+IF(AND(AS126&gt;0,COUNTIF($Y126:AR126,AS126)=0),0,IF(SUMPRODUCT(MOD(INT(AS171/{2,4,8,16,32,64,128,256,512,1024,2048,4096,8192,16384,32768}),2)*(1-MOD(INT(($CJ36+AR216)/{2,4,8,16,32,64,128,256,512,1024,2048,4096,8192,16384,32768}),2))*{2,4,8,16,32,64,128,256,512,1024,2048,4096,8192,16384,32768})=0,0,2^SUMPRODUCT(--(MOD(SUMPRODUCT(MOD(INT(AS171/{2,4,8,16,32,64,128,256,512,1024,2048,4096,8192,16384,32768}),2)*(1-MOD(INT(($CJ36+AR216)/{2,4,8,16,32,64,128,256,512,1024,2048,4096,8192,16384,32768}),2))*{2,4,8,16,32,64,128,256,512,1024,2048,4096,8192,16384,32768}),{2,4,8,16,32,64,128,256,512,1024,2048,4096,8192,16384,32768})=0))))</f>
        <v/>
      </c>
      <c r="AT216">
        <f>AS216+IF(AND(AT126&gt;0,COUNTIF($Y126:AS126,AT126)=0),0,IF(SUMPRODUCT(MOD(INT(AT171/{2,4,8,16,32,64,128,256,512,1024,2048,4096,8192,16384,32768}),2)*(1-MOD(INT(($CJ36+AS216)/{2,4,8,16,32,64,128,256,512,1024,2048,4096,8192,16384,32768}),2))*{2,4,8,16,32,64,128,256,512,1024,2048,4096,8192,16384,32768})=0,0,2^SUMPRODUCT(--(MOD(SUMPRODUCT(MOD(INT(AT171/{2,4,8,16,32,64,128,256,512,1024,2048,4096,8192,16384,32768}),2)*(1-MOD(INT(($CJ36+AS216)/{2,4,8,16,32,64,128,256,512,1024,2048,4096,8192,16384,32768}),2))*{2,4,8,16,32,64,128,256,512,1024,2048,4096,8192,16384,32768}),{2,4,8,16,32,64,128,256,512,1024,2048,4096,8192,16384,32768})=0))))</f>
        <v/>
      </c>
      <c r="AU216">
        <f>AT216+IF(AND(AU126&gt;0,COUNTIF($Y126:AT126,AU126)=0),0,IF(SUMPRODUCT(MOD(INT(AU171/{2,4,8,16,32,64,128,256,512,1024,2048,4096,8192,16384,32768}),2)*(1-MOD(INT(($CJ36+AT216)/{2,4,8,16,32,64,128,256,512,1024,2048,4096,8192,16384,32768}),2))*{2,4,8,16,32,64,128,256,512,1024,2048,4096,8192,16384,32768})=0,0,2^SUMPRODUCT(--(MOD(SUMPRODUCT(MOD(INT(AU171/{2,4,8,16,32,64,128,256,512,1024,2048,4096,8192,16384,32768}),2)*(1-MOD(INT(($CJ36+AT216)/{2,4,8,16,32,64,128,256,512,1024,2048,4096,8192,16384,32768}),2))*{2,4,8,16,32,64,128,256,512,1024,2048,4096,8192,16384,32768}),{2,4,8,16,32,64,128,256,512,1024,2048,4096,8192,16384,32768})=0))))</f>
        <v/>
      </c>
      <c r="AV216">
        <f>AU216+IF(AND(AV126&gt;0,COUNTIF($Y126:AU126,AV126)=0),0,IF(SUMPRODUCT(MOD(INT(AV171/{2,4,8,16,32,64,128,256,512,1024,2048,4096,8192,16384,32768}),2)*(1-MOD(INT(($CJ36+AU216)/{2,4,8,16,32,64,128,256,512,1024,2048,4096,8192,16384,32768}),2))*{2,4,8,16,32,64,128,256,512,1024,2048,4096,8192,16384,32768})=0,0,2^SUMPRODUCT(--(MOD(SUMPRODUCT(MOD(INT(AV171/{2,4,8,16,32,64,128,256,512,1024,2048,4096,8192,16384,32768}),2)*(1-MOD(INT(($CJ36+AU216)/{2,4,8,16,32,64,128,256,512,1024,2048,4096,8192,16384,32768}),2))*{2,4,8,16,32,64,128,256,512,1024,2048,4096,8192,16384,32768}),{2,4,8,16,32,64,128,256,512,1024,2048,4096,8192,16384,32768})=0))))</f>
        <v/>
      </c>
      <c r="AW216">
        <f>AV216+IF(AND(AW126&gt;0,COUNTIF($Y126:AV126,AW126)=0),0,IF(SUMPRODUCT(MOD(INT(AW171/{2,4,8,16,32,64,128,256,512,1024,2048,4096,8192,16384,32768}),2)*(1-MOD(INT(($CJ36+AV216)/{2,4,8,16,32,64,128,256,512,1024,2048,4096,8192,16384,32768}),2))*{2,4,8,16,32,64,128,256,512,1024,2048,4096,8192,16384,32768})=0,0,2^SUMPRODUCT(--(MOD(SUMPRODUCT(MOD(INT(AW171/{2,4,8,16,32,64,128,256,512,1024,2048,4096,8192,16384,32768}),2)*(1-MOD(INT(($CJ36+AV216)/{2,4,8,16,32,64,128,256,512,1024,2048,4096,8192,16384,32768}),2))*{2,4,8,16,32,64,128,256,512,1024,2048,4096,8192,16384,32768}),{2,4,8,16,32,64,128,256,512,1024,2048,4096,8192,16384,32768})=0))))</f>
        <v/>
      </c>
      <c r="AX216">
        <f>AW216+IF(AND(AX126&gt;0,COUNTIF($Y126:AW126,AX126)=0),0,IF(SUMPRODUCT(MOD(INT(AX171/{2,4,8,16,32,64,128,256,512,1024,2048,4096,8192,16384,32768}),2)*(1-MOD(INT(($CJ36+AW216)/{2,4,8,16,32,64,128,256,512,1024,2048,4096,8192,16384,32768}),2))*{2,4,8,16,32,64,128,256,512,1024,2048,4096,8192,16384,32768})=0,0,2^SUMPRODUCT(--(MOD(SUMPRODUCT(MOD(INT(AX171/{2,4,8,16,32,64,128,256,512,1024,2048,4096,8192,16384,32768}),2)*(1-MOD(INT(($CJ36+AW216)/{2,4,8,16,32,64,128,256,512,1024,2048,4096,8192,16384,32768}),2))*{2,4,8,16,32,64,128,256,512,1024,2048,4096,8192,16384,32768}),{2,4,8,16,32,64,128,256,512,1024,2048,4096,8192,16384,32768})=0))))</f>
        <v/>
      </c>
      <c r="AY216">
        <f>AX216+IF(AND(AY126&gt;0,COUNTIF($Y126:AX126,AY126)=0),0,IF(SUMPRODUCT(MOD(INT(AY171/{2,4,8,16,32,64,128,256,512,1024,2048,4096,8192,16384,32768}),2)*(1-MOD(INT(($CJ36+AX216)/{2,4,8,16,32,64,128,256,512,1024,2048,4096,8192,16384,32768}),2))*{2,4,8,16,32,64,128,256,512,1024,2048,4096,8192,16384,32768})=0,0,2^SUMPRODUCT(--(MOD(SUMPRODUCT(MOD(INT(AY171/{2,4,8,16,32,64,128,256,512,1024,2048,4096,8192,16384,32768}),2)*(1-MOD(INT(($CJ36+AX216)/{2,4,8,16,32,64,128,256,512,1024,2048,4096,8192,16384,32768}),2))*{2,4,8,16,32,64,128,256,512,1024,2048,4096,8192,16384,32768}),{2,4,8,16,32,64,128,256,512,1024,2048,4096,8192,16384,32768})=0))))</f>
        <v/>
      </c>
      <c r="AZ216">
        <f>AY216+IF(AND(AZ126&gt;0,COUNTIF($Y126:AY126,AZ126)=0),0,IF(SUMPRODUCT(MOD(INT(AZ171/{2,4,8,16,32,64,128,256,512,1024,2048,4096,8192,16384,32768}),2)*(1-MOD(INT(($CJ36+AY216)/{2,4,8,16,32,64,128,256,512,1024,2048,4096,8192,16384,32768}),2))*{2,4,8,16,32,64,128,256,512,1024,2048,4096,8192,16384,32768})=0,0,2^SUMPRODUCT(--(MOD(SUMPRODUCT(MOD(INT(AZ171/{2,4,8,16,32,64,128,256,512,1024,2048,4096,8192,16384,32768}),2)*(1-MOD(INT(($CJ36+AY216)/{2,4,8,16,32,64,128,256,512,1024,2048,4096,8192,16384,32768}),2))*{2,4,8,16,32,64,128,256,512,1024,2048,4096,8192,16384,32768}),{2,4,8,16,32,64,128,256,512,1024,2048,4096,8192,16384,32768})=0))))</f>
        <v/>
      </c>
      <c r="BA216">
        <f>AZ216+IF(AND(BA126&gt;0,COUNTIF($Y126:AZ126,BA126)=0),0,IF(SUMPRODUCT(MOD(INT(BA171/{2,4,8,16,32,64,128,256,512,1024,2048,4096,8192,16384,32768}),2)*(1-MOD(INT(($CJ36+AZ216)/{2,4,8,16,32,64,128,256,512,1024,2048,4096,8192,16384,32768}),2))*{2,4,8,16,32,64,128,256,512,1024,2048,4096,8192,16384,32768})=0,0,2^SUMPRODUCT(--(MOD(SUMPRODUCT(MOD(INT(BA171/{2,4,8,16,32,64,128,256,512,1024,2048,4096,8192,16384,32768}),2)*(1-MOD(INT(($CJ36+AZ216)/{2,4,8,16,32,64,128,256,512,1024,2048,4096,8192,16384,32768}),2))*{2,4,8,16,32,64,128,256,512,1024,2048,4096,8192,16384,32768}),{2,4,8,16,32,64,128,256,512,1024,2048,4096,8192,16384,32768})=0))))</f>
        <v/>
      </c>
      <c r="BB216">
        <f>BA216+IF(AND(BB126&gt;0,COUNTIF($Y126:BA126,BB126)=0),0,IF(SUMPRODUCT(MOD(INT(BB171/{2,4,8,16,32,64,128,256,512,1024,2048,4096,8192,16384,32768}),2)*(1-MOD(INT(($CJ36+BA216)/{2,4,8,16,32,64,128,256,512,1024,2048,4096,8192,16384,32768}),2))*{2,4,8,16,32,64,128,256,512,1024,2048,4096,8192,16384,32768})=0,0,2^SUMPRODUCT(--(MOD(SUMPRODUCT(MOD(INT(BB171/{2,4,8,16,32,64,128,256,512,1024,2048,4096,8192,16384,32768}),2)*(1-MOD(INT(($CJ36+BA216)/{2,4,8,16,32,64,128,256,512,1024,2048,4096,8192,16384,32768}),2))*{2,4,8,16,32,64,128,256,512,1024,2048,4096,8192,16384,32768}),{2,4,8,16,32,64,128,256,512,1024,2048,4096,8192,16384,32768})=0))))</f>
        <v/>
      </c>
      <c r="BC216">
        <f>BB216+IF(AND(BC126&gt;0,COUNTIF($Y126:BB126,BC126)=0),0,IF(SUMPRODUCT(MOD(INT(BC171/{2,4,8,16,32,64,128,256,512,1024,2048,4096,8192,16384,32768}),2)*(1-MOD(INT(($CJ36+BB216)/{2,4,8,16,32,64,128,256,512,1024,2048,4096,8192,16384,32768}),2))*{2,4,8,16,32,64,128,256,512,1024,2048,4096,8192,16384,32768})=0,0,2^SUMPRODUCT(--(MOD(SUMPRODUCT(MOD(INT(BC171/{2,4,8,16,32,64,128,256,512,1024,2048,4096,8192,16384,32768}),2)*(1-MOD(INT(($CJ36+BB216)/{2,4,8,16,32,64,128,256,512,1024,2048,4096,8192,16384,32768}),2))*{2,4,8,16,32,64,128,256,512,1024,2048,4096,8192,16384,32768}),{2,4,8,16,32,64,128,256,512,1024,2048,4096,8192,16384,32768})=0))))</f>
        <v/>
      </c>
      <c r="BD216">
        <f>BC216+IF(AND(BD126&gt;0,COUNTIF($Y126:BC126,BD126)=0),0,IF(SUMPRODUCT(MOD(INT(BD171/{2,4,8,16,32,64,128,256,512,1024,2048,4096,8192,16384,32768}),2)*(1-MOD(INT(($CJ36+BC216)/{2,4,8,16,32,64,128,256,512,1024,2048,4096,8192,16384,32768}),2))*{2,4,8,16,32,64,128,256,512,1024,2048,4096,8192,16384,32768})=0,0,2^SUMPRODUCT(--(MOD(SUMPRODUCT(MOD(INT(BD171/{2,4,8,16,32,64,128,256,512,1024,2048,4096,8192,16384,32768}),2)*(1-MOD(INT(($CJ36+BC216)/{2,4,8,16,32,64,128,256,512,1024,2048,4096,8192,16384,32768}),2))*{2,4,8,16,32,64,128,256,512,1024,2048,4096,8192,16384,32768}),{2,4,8,16,32,64,128,256,512,1024,2048,4096,8192,16384,32768})=0))))</f>
        <v/>
      </c>
      <c r="BE216">
        <f>BD216+IF(AND(BE126&gt;0,COUNTIF($Y126:BD126,BE126)=0),0,IF(SUMPRODUCT(MOD(INT(BE171/{2,4,8,16,32,64,128,256,512,1024,2048,4096,8192,16384,32768}),2)*(1-MOD(INT(($CJ36+BD216)/{2,4,8,16,32,64,128,256,512,1024,2048,4096,8192,16384,32768}),2))*{2,4,8,16,32,64,128,256,512,1024,2048,4096,8192,16384,32768})=0,0,2^SUMPRODUCT(--(MOD(SUMPRODUCT(MOD(INT(BE171/{2,4,8,16,32,64,128,256,512,1024,2048,4096,8192,16384,32768}),2)*(1-MOD(INT(($CJ36+BD216)/{2,4,8,16,32,64,128,256,512,1024,2048,4096,8192,16384,32768}),2))*{2,4,8,16,32,64,128,256,512,1024,2048,4096,8192,16384,32768}),{2,4,8,16,32,64,128,256,512,1024,2048,4096,8192,16384,32768})=0))))</f>
        <v/>
      </c>
      <c r="BF216">
        <f>BE216+IF(AND(BF126&gt;0,COUNTIF($Y126:BE126,BF126)=0),0,IF(SUMPRODUCT(MOD(INT(BF171/{2,4,8,16,32,64,128,256,512,1024,2048,4096,8192,16384,32768}),2)*(1-MOD(INT(($CJ36+BE216)/{2,4,8,16,32,64,128,256,512,1024,2048,4096,8192,16384,32768}),2))*{2,4,8,16,32,64,128,256,512,1024,2048,4096,8192,16384,32768})=0,0,2^SUMPRODUCT(--(MOD(SUMPRODUCT(MOD(INT(BF171/{2,4,8,16,32,64,128,256,512,1024,2048,4096,8192,16384,32768}),2)*(1-MOD(INT(($CJ36+BE216)/{2,4,8,16,32,64,128,256,512,1024,2048,4096,8192,16384,32768}),2))*{2,4,8,16,32,64,128,256,512,1024,2048,4096,8192,16384,32768}),{2,4,8,16,32,64,128,256,512,1024,2048,4096,8192,16384,32768})=0))))</f>
        <v/>
      </c>
      <c r="BG216">
        <f>BF216+IF(AND(BG126&gt;0,COUNTIF($Y126:BF126,BG126)=0),0,IF(SUMPRODUCT(MOD(INT(BG171/{2,4,8,16,32,64,128,256,512,1024,2048,4096,8192,16384,32768}),2)*(1-MOD(INT(($CJ36+BF216)/{2,4,8,16,32,64,128,256,512,1024,2048,4096,8192,16384,32768}),2))*{2,4,8,16,32,64,128,256,512,1024,2048,4096,8192,16384,32768})=0,0,2^SUMPRODUCT(--(MOD(SUMPRODUCT(MOD(INT(BG171/{2,4,8,16,32,64,128,256,512,1024,2048,4096,8192,16384,32768}),2)*(1-MOD(INT(($CJ36+BF216)/{2,4,8,16,32,64,128,256,512,1024,2048,4096,8192,16384,32768}),2))*{2,4,8,16,32,64,128,256,512,1024,2048,4096,8192,16384,32768}),{2,4,8,16,32,64,128,256,512,1024,2048,4096,8192,16384,32768})=0))))</f>
        <v/>
      </c>
      <c r="BH216">
        <f>BG216+IF(AND(BH126&gt;0,COUNTIF($Y126:BG126,BH126)=0),0,IF(SUMPRODUCT(MOD(INT(BH171/{2,4,8,16,32,64,128,256,512,1024,2048,4096,8192,16384,32768}),2)*(1-MOD(INT(($CJ36+BG216)/{2,4,8,16,32,64,128,256,512,1024,2048,4096,8192,16384,32768}),2))*{2,4,8,16,32,64,128,256,512,1024,2048,4096,8192,16384,32768})=0,0,2^SUMPRODUCT(--(MOD(SUMPRODUCT(MOD(INT(BH171/{2,4,8,16,32,64,128,256,512,1024,2048,4096,8192,16384,32768}),2)*(1-MOD(INT(($CJ36+BG216)/{2,4,8,16,32,64,128,256,512,1024,2048,4096,8192,16384,32768}),2))*{2,4,8,16,32,64,128,256,512,1024,2048,4096,8192,16384,32768}),{2,4,8,16,32,64,128,256,512,1024,2048,4096,8192,16384,32768})=0))))</f>
        <v/>
      </c>
      <c r="BI216">
        <f>BH216+IF(AND(BI126&gt;0,COUNTIF($Y126:BH126,BI126)=0),0,IF(SUMPRODUCT(MOD(INT(BI171/{2,4,8,16,32,64,128,256,512,1024,2048,4096,8192,16384,32768}),2)*(1-MOD(INT(($CJ36+BH216)/{2,4,8,16,32,64,128,256,512,1024,2048,4096,8192,16384,32768}),2))*{2,4,8,16,32,64,128,256,512,1024,2048,4096,8192,16384,32768})=0,0,2^SUMPRODUCT(--(MOD(SUMPRODUCT(MOD(INT(BI171/{2,4,8,16,32,64,128,256,512,1024,2048,4096,8192,16384,32768}),2)*(1-MOD(INT(($CJ36+BH216)/{2,4,8,16,32,64,128,256,512,1024,2048,4096,8192,16384,32768}),2))*{2,4,8,16,32,64,128,256,512,1024,2048,4096,8192,16384,32768}),{2,4,8,16,32,64,128,256,512,1024,2048,4096,8192,16384,32768})=0))))</f>
        <v/>
      </c>
      <c r="BJ216">
        <f>BI216+IF(AND(BJ126&gt;0,COUNTIF($Y126:BI126,BJ126)=0),0,IF(SUMPRODUCT(MOD(INT(BJ171/{2,4,8,16,32,64,128,256,512,1024,2048,4096,8192,16384,32768}),2)*(1-MOD(INT(($CJ36+BI216)/{2,4,8,16,32,64,128,256,512,1024,2048,4096,8192,16384,32768}),2))*{2,4,8,16,32,64,128,256,512,1024,2048,4096,8192,16384,32768})=0,0,2^SUMPRODUCT(--(MOD(SUMPRODUCT(MOD(INT(BJ171/{2,4,8,16,32,64,128,256,512,1024,2048,4096,8192,16384,32768}),2)*(1-MOD(INT(($CJ36+BI216)/{2,4,8,16,32,64,128,256,512,1024,2048,4096,8192,16384,32768}),2))*{2,4,8,16,32,64,128,256,512,1024,2048,4096,8192,16384,32768}),{2,4,8,16,32,64,128,256,512,1024,2048,4096,8192,16384,32768})=0))))</f>
        <v/>
      </c>
      <c r="BK216">
        <f>BJ216+IF(AND(BK126&gt;0,COUNTIF($Y126:BJ126,BK126)=0),0,IF(SUMPRODUCT(MOD(INT(BK171/{2,4,8,16,32,64,128,256,512,1024,2048,4096,8192,16384,32768}),2)*(1-MOD(INT(($CJ36+BJ216)/{2,4,8,16,32,64,128,256,512,1024,2048,4096,8192,16384,32768}),2))*{2,4,8,16,32,64,128,256,512,1024,2048,4096,8192,16384,32768})=0,0,2^SUMPRODUCT(--(MOD(SUMPRODUCT(MOD(INT(BK171/{2,4,8,16,32,64,128,256,512,1024,2048,4096,8192,16384,32768}),2)*(1-MOD(INT(($CJ36+BJ216)/{2,4,8,16,32,64,128,256,512,1024,2048,4096,8192,16384,32768}),2))*{2,4,8,16,32,64,128,256,512,1024,2048,4096,8192,16384,32768}),{2,4,8,16,32,64,128,256,512,1024,2048,4096,8192,16384,32768})=0))))</f>
        <v/>
      </c>
      <c r="BL216">
        <f>BK216+IF(AND(BL126&gt;0,COUNTIF($Y126:BK126,BL126)=0),0,IF(SUMPRODUCT(MOD(INT(BL171/{2,4,8,16,32,64,128,256,512,1024,2048,4096,8192,16384,32768}),2)*(1-MOD(INT(($CJ36+BK216)/{2,4,8,16,32,64,128,256,512,1024,2048,4096,8192,16384,32768}),2))*{2,4,8,16,32,64,128,256,512,1024,2048,4096,8192,16384,32768})=0,0,2^SUMPRODUCT(--(MOD(SUMPRODUCT(MOD(INT(BL171/{2,4,8,16,32,64,128,256,512,1024,2048,4096,8192,16384,32768}),2)*(1-MOD(INT(($CJ36+BK216)/{2,4,8,16,32,64,128,256,512,1024,2048,4096,8192,16384,32768}),2))*{2,4,8,16,32,64,128,256,512,1024,2048,4096,8192,16384,32768}),{2,4,8,16,32,64,128,256,512,1024,2048,4096,8192,16384,32768})=0))))</f>
        <v/>
      </c>
      <c r="BM216">
        <f>BL216+IF(AND(BM126&gt;0,COUNTIF($Y126:BL126,BM126)=0),0,IF(SUMPRODUCT(MOD(INT(BM171/{2,4,8,16,32,64,128,256,512,1024,2048,4096,8192,16384,32768}),2)*(1-MOD(INT(($CJ36+BL216)/{2,4,8,16,32,64,128,256,512,1024,2048,4096,8192,16384,32768}),2))*{2,4,8,16,32,64,128,256,512,1024,2048,4096,8192,16384,32768})=0,0,2^SUMPRODUCT(--(MOD(SUMPRODUCT(MOD(INT(BM171/{2,4,8,16,32,64,128,256,512,1024,2048,4096,8192,16384,32768}),2)*(1-MOD(INT(($CJ36+BL216)/{2,4,8,16,32,64,128,256,512,1024,2048,4096,8192,16384,32768}),2))*{2,4,8,16,32,64,128,256,512,1024,2048,4096,8192,16384,32768}),{2,4,8,16,32,64,128,256,512,1024,2048,4096,8192,16384,32768})=0))))</f>
        <v/>
      </c>
      <c r="BN216">
        <f>BM216+IF(AND(BN126&gt;0,COUNTIF($Y126:BM126,BN126)=0),0,IF(SUMPRODUCT(MOD(INT(BN171/{2,4,8,16,32,64,128,256,512,1024,2048,4096,8192,16384,32768}),2)*(1-MOD(INT(($CJ36+BM216)/{2,4,8,16,32,64,128,256,512,1024,2048,4096,8192,16384,32768}),2))*{2,4,8,16,32,64,128,256,512,1024,2048,4096,8192,16384,32768})=0,0,2^SUMPRODUCT(--(MOD(SUMPRODUCT(MOD(INT(BN171/{2,4,8,16,32,64,128,256,512,1024,2048,4096,8192,16384,32768}),2)*(1-MOD(INT(($CJ36+BM216)/{2,4,8,16,32,64,128,256,512,1024,2048,4096,8192,16384,32768}),2))*{2,4,8,16,32,64,128,256,512,1024,2048,4096,8192,16384,32768}),{2,4,8,16,32,64,128,256,512,1024,2048,4096,8192,16384,32768})=0))))</f>
        <v/>
      </c>
      <c r="BO216">
        <f>BN216+IF(AND(BO126&gt;0,COUNTIF($Y126:BN126,BO126)=0),0,IF(SUMPRODUCT(MOD(INT(BO171/{2,4,8,16,32,64,128,256,512,1024,2048,4096,8192,16384,32768}),2)*(1-MOD(INT(($CJ36+BN216)/{2,4,8,16,32,64,128,256,512,1024,2048,4096,8192,16384,32768}),2))*{2,4,8,16,32,64,128,256,512,1024,2048,4096,8192,16384,32768})=0,0,2^SUMPRODUCT(--(MOD(SUMPRODUCT(MOD(INT(BO171/{2,4,8,16,32,64,128,256,512,1024,2048,4096,8192,16384,32768}),2)*(1-MOD(INT(($CJ36+BN216)/{2,4,8,16,32,64,128,256,512,1024,2048,4096,8192,16384,32768}),2))*{2,4,8,16,32,64,128,256,512,1024,2048,4096,8192,16384,32768}),{2,4,8,16,32,64,128,256,512,1024,2048,4096,8192,16384,32768})=0))))</f>
        <v/>
      </c>
      <c r="BP216">
        <f>BO216+IF(AND(BP126&gt;0,COUNTIF($Y126:BO126,BP126)=0),0,IF(SUMPRODUCT(MOD(INT(BP171/{2,4,8,16,32,64,128,256,512,1024,2048,4096,8192,16384,32768}),2)*(1-MOD(INT(($CJ36+BO216)/{2,4,8,16,32,64,128,256,512,1024,2048,4096,8192,16384,32768}),2))*{2,4,8,16,32,64,128,256,512,1024,2048,4096,8192,16384,32768})=0,0,2^SUMPRODUCT(--(MOD(SUMPRODUCT(MOD(INT(BP171/{2,4,8,16,32,64,128,256,512,1024,2048,4096,8192,16384,32768}),2)*(1-MOD(INT(($CJ36+BO216)/{2,4,8,16,32,64,128,256,512,1024,2048,4096,8192,16384,32768}),2))*{2,4,8,16,32,64,128,256,512,1024,2048,4096,8192,16384,32768}),{2,4,8,16,32,64,128,256,512,1024,2048,4096,8192,16384,32768})=0))))</f>
        <v/>
      </c>
      <c r="BQ216">
        <f>BP216+IF(AND(BQ126&gt;0,COUNTIF($Y126:BP126,BQ126)=0),0,IF(SUMPRODUCT(MOD(INT(BQ171/{2,4,8,16,32,64,128,256,512,1024,2048,4096,8192,16384,32768}),2)*(1-MOD(INT(($CJ36+BP216)/{2,4,8,16,32,64,128,256,512,1024,2048,4096,8192,16384,32768}),2))*{2,4,8,16,32,64,128,256,512,1024,2048,4096,8192,16384,32768})=0,0,2^SUMPRODUCT(--(MOD(SUMPRODUCT(MOD(INT(BQ171/{2,4,8,16,32,64,128,256,512,1024,2048,4096,8192,16384,32768}),2)*(1-MOD(INT(($CJ36+BP216)/{2,4,8,16,32,64,128,256,512,1024,2048,4096,8192,16384,32768}),2))*{2,4,8,16,32,64,128,256,512,1024,2048,4096,8192,16384,32768}),{2,4,8,16,32,64,128,256,512,1024,2048,4096,8192,16384,32768})=0))))</f>
        <v/>
      </c>
      <c r="BR216">
        <f>BQ216+IF(AND(BR126&gt;0,COUNTIF($Y126:BQ126,BR126)=0),0,IF(SUMPRODUCT(MOD(INT(BR171/{2,4,8,16,32,64,128,256,512,1024,2048,4096,8192,16384,32768}),2)*(1-MOD(INT(($CJ36+BQ216)/{2,4,8,16,32,64,128,256,512,1024,2048,4096,8192,16384,32768}),2))*{2,4,8,16,32,64,128,256,512,1024,2048,4096,8192,16384,32768})=0,0,2^SUMPRODUCT(--(MOD(SUMPRODUCT(MOD(INT(BR171/{2,4,8,16,32,64,128,256,512,1024,2048,4096,8192,16384,32768}),2)*(1-MOD(INT(($CJ36+BQ216)/{2,4,8,16,32,64,128,256,512,1024,2048,4096,8192,16384,32768}),2))*{2,4,8,16,32,64,128,256,512,1024,2048,4096,8192,16384,32768}),{2,4,8,16,32,64,128,256,512,1024,2048,4096,8192,16384,32768})=0))))</f>
        <v/>
      </c>
      <c r="BS216">
        <f>BR216+IF(AND(BS126&gt;0,COUNTIF($Y126:BR126,BS126)=0),0,IF(SUMPRODUCT(MOD(INT(BS171/{2,4,8,16,32,64,128,256,512,1024,2048,4096,8192,16384,32768}),2)*(1-MOD(INT(($CJ36+BR216)/{2,4,8,16,32,64,128,256,512,1024,2048,4096,8192,16384,32768}),2))*{2,4,8,16,32,64,128,256,512,1024,2048,4096,8192,16384,32768})=0,0,2^SUMPRODUCT(--(MOD(SUMPRODUCT(MOD(INT(BS171/{2,4,8,16,32,64,128,256,512,1024,2048,4096,8192,16384,32768}),2)*(1-MOD(INT(($CJ36+BR216)/{2,4,8,16,32,64,128,256,512,1024,2048,4096,8192,16384,32768}),2))*{2,4,8,16,32,64,128,256,512,1024,2048,4096,8192,16384,32768}),{2,4,8,16,32,64,128,256,512,1024,2048,4096,8192,16384,32768})=0))))</f>
        <v/>
      </c>
      <c r="BT216">
        <f>BS216+IF(AND(BT126&gt;0,COUNTIF($Y126:BS126,BT126)=0),0,IF(SUMPRODUCT(MOD(INT(BT171/{2,4,8,16,32,64,128,256,512,1024,2048,4096,8192,16384,32768}),2)*(1-MOD(INT(($CJ36+BS216)/{2,4,8,16,32,64,128,256,512,1024,2048,4096,8192,16384,32768}),2))*{2,4,8,16,32,64,128,256,512,1024,2048,4096,8192,16384,32768})=0,0,2^SUMPRODUCT(--(MOD(SUMPRODUCT(MOD(INT(BT171/{2,4,8,16,32,64,128,256,512,1024,2048,4096,8192,16384,32768}),2)*(1-MOD(INT(($CJ36+BS216)/{2,4,8,16,32,64,128,256,512,1024,2048,4096,8192,16384,32768}),2))*{2,4,8,16,32,64,128,256,512,1024,2048,4096,8192,16384,32768}),{2,4,8,16,32,64,128,256,512,1024,2048,4096,8192,16384,32768})=0))))</f>
        <v/>
      </c>
      <c r="BU216">
        <f>BT216+IF(AND(BU126&gt;0,COUNTIF($Y126:BT126,BU126)=0),0,IF(SUMPRODUCT(MOD(INT(BU171/{2,4,8,16,32,64,128,256,512,1024,2048,4096,8192,16384,32768}),2)*(1-MOD(INT(($CJ36+BT216)/{2,4,8,16,32,64,128,256,512,1024,2048,4096,8192,16384,32768}),2))*{2,4,8,16,32,64,128,256,512,1024,2048,4096,8192,16384,32768})=0,0,2^SUMPRODUCT(--(MOD(SUMPRODUCT(MOD(INT(BU171/{2,4,8,16,32,64,128,256,512,1024,2048,4096,8192,16384,32768}),2)*(1-MOD(INT(($CJ36+BT216)/{2,4,8,16,32,64,128,256,512,1024,2048,4096,8192,16384,32768}),2))*{2,4,8,16,32,64,128,256,512,1024,2048,4096,8192,16384,32768}),{2,4,8,16,32,64,128,256,512,1024,2048,4096,8192,16384,32768})=0))))</f>
        <v/>
      </c>
      <c r="BV216">
        <f>BU216+IF(AND(BV126&gt;0,COUNTIF($Y126:BU126,BV126)=0),0,IF(SUMPRODUCT(MOD(INT(BV171/{2,4,8,16,32,64,128,256,512,1024,2048,4096,8192,16384,32768}),2)*(1-MOD(INT(($CJ36+BU216)/{2,4,8,16,32,64,128,256,512,1024,2048,4096,8192,16384,32768}),2))*{2,4,8,16,32,64,128,256,512,1024,2048,4096,8192,16384,32768})=0,0,2^SUMPRODUCT(--(MOD(SUMPRODUCT(MOD(INT(BV171/{2,4,8,16,32,64,128,256,512,1024,2048,4096,8192,16384,32768}),2)*(1-MOD(INT(($CJ36+BU216)/{2,4,8,16,32,64,128,256,512,1024,2048,4096,8192,16384,32768}),2))*{2,4,8,16,32,64,128,256,512,1024,2048,4096,8192,16384,32768}),{2,4,8,16,32,64,128,256,512,1024,2048,4096,8192,16384,32768})=0))))</f>
        <v/>
      </c>
      <c r="BW216">
        <f>BV216+IF(AND(BW126&gt;0,COUNTIF($Y126:BV126,BW126)=0),0,IF(SUMPRODUCT(MOD(INT(BW171/{2,4,8,16,32,64,128,256,512,1024,2048,4096,8192,16384,32768}),2)*(1-MOD(INT(($CJ36+BV216)/{2,4,8,16,32,64,128,256,512,1024,2048,4096,8192,16384,32768}),2))*{2,4,8,16,32,64,128,256,512,1024,2048,4096,8192,16384,32768})=0,0,2^SUMPRODUCT(--(MOD(SUMPRODUCT(MOD(INT(BW171/{2,4,8,16,32,64,128,256,512,1024,2048,4096,8192,16384,32768}),2)*(1-MOD(INT(($CJ36+BV216)/{2,4,8,16,32,64,128,256,512,1024,2048,4096,8192,16384,32768}),2))*{2,4,8,16,32,64,128,256,512,1024,2048,4096,8192,16384,32768}),{2,4,8,16,32,64,128,256,512,1024,2048,4096,8192,16384,32768})=0))))</f>
        <v/>
      </c>
      <c r="BX216">
        <f>BW216+IF(AND(BX126&gt;0,COUNTIF($Y126:BW126,BX126)=0),0,IF(SUMPRODUCT(MOD(INT(BX171/{2,4,8,16,32,64,128,256,512,1024,2048,4096,8192,16384,32768}),2)*(1-MOD(INT(($CJ36+BW216)/{2,4,8,16,32,64,128,256,512,1024,2048,4096,8192,16384,32768}),2))*{2,4,8,16,32,64,128,256,512,1024,2048,4096,8192,16384,32768})=0,0,2^SUMPRODUCT(--(MOD(SUMPRODUCT(MOD(INT(BX171/{2,4,8,16,32,64,128,256,512,1024,2048,4096,8192,16384,32768}),2)*(1-MOD(INT(($CJ36+BW216)/{2,4,8,16,32,64,128,256,512,1024,2048,4096,8192,16384,32768}),2))*{2,4,8,16,32,64,128,256,512,1024,2048,4096,8192,16384,32768}),{2,4,8,16,32,64,128,256,512,1024,2048,4096,8192,16384,32768})=0))))</f>
        <v/>
      </c>
      <c r="BY216">
        <f>BX216+IF(AND(BY126&gt;0,COUNTIF($Y126:BX126,BY126)=0),0,IF(SUMPRODUCT(MOD(INT(BY171/{2,4,8,16,32,64,128,256,512,1024,2048,4096,8192,16384,32768}),2)*(1-MOD(INT(($CJ36+BX216)/{2,4,8,16,32,64,128,256,512,1024,2048,4096,8192,16384,32768}),2))*{2,4,8,16,32,64,128,256,512,1024,2048,4096,8192,16384,32768})=0,0,2^SUMPRODUCT(--(MOD(SUMPRODUCT(MOD(INT(BY171/{2,4,8,16,32,64,128,256,512,1024,2048,4096,8192,16384,32768}),2)*(1-MOD(INT(($CJ36+BX216)/{2,4,8,16,32,64,128,256,512,1024,2048,4096,8192,16384,32768}),2))*{2,4,8,16,32,64,128,256,512,1024,2048,4096,8192,16384,32768}),{2,4,8,16,32,64,128,256,512,1024,2048,4096,8192,16384,32768})=0))))</f>
        <v/>
      </c>
      <c r="BZ216">
        <f>BY216+IF(AND(BZ126&gt;0,COUNTIF($Y126:BY126,BZ126)=0),0,IF(SUMPRODUCT(MOD(INT(BZ171/{2,4,8,16,32,64,128,256,512,1024,2048,4096,8192,16384,32768}),2)*(1-MOD(INT(($CJ36+BY216)/{2,4,8,16,32,64,128,256,512,1024,2048,4096,8192,16384,32768}),2))*{2,4,8,16,32,64,128,256,512,1024,2048,4096,8192,16384,32768})=0,0,2^SUMPRODUCT(--(MOD(SUMPRODUCT(MOD(INT(BZ171/{2,4,8,16,32,64,128,256,512,1024,2048,4096,8192,16384,32768}),2)*(1-MOD(INT(($CJ36+BY216)/{2,4,8,16,32,64,128,256,512,1024,2048,4096,8192,16384,32768}),2))*{2,4,8,16,32,64,128,256,512,1024,2048,4096,8192,16384,32768}),{2,4,8,16,32,64,128,256,512,1024,2048,4096,8192,16384,32768})=0))))</f>
        <v/>
      </c>
      <c r="CA216">
        <f>BZ216+IF(AND(CA126&gt;0,COUNTIF($Y126:BZ126,CA126)=0),0,IF(SUMPRODUCT(MOD(INT(CA171/{2,4,8,16,32,64,128,256,512,1024,2048,4096,8192,16384,32768}),2)*(1-MOD(INT(($CJ36+BZ216)/{2,4,8,16,32,64,128,256,512,1024,2048,4096,8192,16384,32768}),2))*{2,4,8,16,32,64,128,256,512,1024,2048,4096,8192,16384,32768})=0,0,2^SUMPRODUCT(--(MOD(SUMPRODUCT(MOD(INT(CA171/{2,4,8,16,32,64,128,256,512,1024,2048,4096,8192,16384,32768}),2)*(1-MOD(INT(($CJ36+BZ216)/{2,4,8,16,32,64,128,256,512,1024,2048,4096,8192,16384,32768}),2))*{2,4,8,16,32,64,128,256,512,1024,2048,4096,8192,16384,32768}),{2,4,8,16,32,64,128,256,512,1024,2048,4096,8192,16384,32768})=0))))</f>
        <v/>
      </c>
      <c r="CB216">
        <f>CA216+IF(AND(CB126&gt;0,COUNTIF($Y126:CA126,CB126)=0),0,IF(SUMPRODUCT(MOD(INT(CB171/{2,4,8,16,32,64,128,256,512,1024,2048,4096,8192,16384,32768}),2)*(1-MOD(INT(($CJ36+CA216)/{2,4,8,16,32,64,128,256,512,1024,2048,4096,8192,16384,32768}),2))*{2,4,8,16,32,64,128,256,512,1024,2048,4096,8192,16384,32768})=0,0,2^SUMPRODUCT(--(MOD(SUMPRODUCT(MOD(INT(CB171/{2,4,8,16,32,64,128,256,512,1024,2048,4096,8192,16384,32768}),2)*(1-MOD(INT(($CJ36+CA216)/{2,4,8,16,32,64,128,256,512,1024,2048,4096,8192,16384,32768}),2))*{2,4,8,16,32,64,128,256,512,1024,2048,4096,8192,16384,32768}),{2,4,8,16,32,64,128,256,512,1024,2048,4096,8192,16384,32768})=0))))</f>
        <v/>
      </c>
      <c r="CC216">
        <f>CB216+IF(AND(CC126&gt;0,COUNTIF($Y126:CB126,CC126)=0),0,IF(SUMPRODUCT(MOD(INT(CC171/{2,4,8,16,32,64,128,256,512,1024,2048,4096,8192,16384,32768}),2)*(1-MOD(INT(($CJ36+CB216)/{2,4,8,16,32,64,128,256,512,1024,2048,4096,8192,16384,32768}),2))*{2,4,8,16,32,64,128,256,512,1024,2048,4096,8192,16384,32768})=0,0,2^SUMPRODUCT(--(MOD(SUMPRODUCT(MOD(INT(CC171/{2,4,8,16,32,64,128,256,512,1024,2048,4096,8192,16384,32768}),2)*(1-MOD(INT(($CJ36+CB216)/{2,4,8,16,32,64,128,256,512,1024,2048,4096,8192,16384,32768}),2))*{2,4,8,16,32,64,128,256,512,1024,2048,4096,8192,16384,32768}),{2,4,8,16,32,64,128,256,512,1024,2048,4096,8192,16384,32768})=0))))</f>
        <v/>
      </c>
      <c r="CD216">
        <f>CC216+IF(AND(CD126&gt;0,COUNTIF($Y126:CC126,CD126)=0),0,IF(SUMPRODUCT(MOD(INT(CD171/{2,4,8,16,32,64,128,256,512,1024,2048,4096,8192,16384,32768}),2)*(1-MOD(INT(($CJ36+CC216)/{2,4,8,16,32,64,128,256,512,1024,2048,4096,8192,16384,32768}),2))*{2,4,8,16,32,64,128,256,512,1024,2048,4096,8192,16384,32768})=0,0,2^SUMPRODUCT(--(MOD(SUMPRODUCT(MOD(INT(CD171/{2,4,8,16,32,64,128,256,512,1024,2048,4096,8192,16384,32768}),2)*(1-MOD(INT(($CJ36+CC216)/{2,4,8,16,32,64,128,256,512,1024,2048,4096,8192,16384,32768}),2))*{2,4,8,16,32,64,128,256,512,1024,2048,4096,8192,16384,32768}),{2,4,8,16,32,64,128,256,512,1024,2048,4096,8192,16384,32768})=0))))</f>
        <v/>
      </c>
      <c r="CE216">
        <f>CD216+IF(AND(CE126&gt;0,COUNTIF($Y126:CD126,CE126)=0),0,IF(SUMPRODUCT(MOD(INT(CE171/{2,4,8,16,32,64,128,256,512,1024,2048,4096,8192,16384,32768}),2)*(1-MOD(INT(($CJ36+CD216)/{2,4,8,16,32,64,128,256,512,1024,2048,4096,8192,16384,32768}),2))*{2,4,8,16,32,64,128,256,512,1024,2048,4096,8192,16384,32768})=0,0,2^SUMPRODUCT(--(MOD(SUMPRODUCT(MOD(INT(CE171/{2,4,8,16,32,64,128,256,512,1024,2048,4096,8192,16384,32768}),2)*(1-MOD(INT(($CJ36+CD216)/{2,4,8,16,32,64,128,256,512,1024,2048,4096,8192,16384,32768}),2))*{2,4,8,16,32,64,128,256,512,1024,2048,4096,8192,16384,32768}),{2,4,8,16,32,64,128,256,512,1024,2048,4096,8192,16384,32768})=0))))</f>
        <v/>
      </c>
      <c r="CF216">
        <f>CE216+IF(AND(CF126&gt;0,COUNTIF($Y126:CE126,CF126)=0),0,IF(SUMPRODUCT(MOD(INT(CF171/{2,4,8,16,32,64,128,256,512,1024,2048,4096,8192,16384,32768}),2)*(1-MOD(INT(($CJ36+CE216)/{2,4,8,16,32,64,128,256,512,1024,2048,4096,8192,16384,32768}),2))*{2,4,8,16,32,64,128,256,512,1024,2048,4096,8192,16384,32768})=0,0,2^SUMPRODUCT(--(MOD(SUMPRODUCT(MOD(INT(CF171/{2,4,8,16,32,64,128,256,512,1024,2048,4096,8192,16384,32768}),2)*(1-MOD(INT(($CJ36+CE216)/{2,4,8,16,32,64,128,256,512,1024,2048,4096,8192,16384,32768}),2))*{2,4,8,16,32,64,128,256,512,1024,2048,4096,8192,16384,32768}),{2,4,8,16,32,64,128,256,512,1024,2048,4096,8192,16384,32768})=0))))</f>
        <v/>
      </c>
      <c r="DA216" t="n">
        <v>212</v>
      </c>
      <c r="DB216">
        <f>IF($B$37=0,"",IFERROR(TRIM(SUBSTITUTE(SUBSTITUTE(SUBSTITUTE(SUBSTITUTE(INDEX(PASTE_ALL,212,$B$37)," "," "),CHAR(9)," "),CHAR(10)," "),CHAR(13)," ")),""))</f>
        <v/>
      </c>
      <c r="DC216">
        <f>IF(AND(212&gt;HEADER_ROW,UPPER(DB216)="LEGEND"),1,0)</f>
        <v/>
      </c>
      <c r="DE216" t="n">
        <v>212</v>
      </c>
      <c r="DF216">
        <f>HEADER_ROW+$DE216</f>
        <v/>
      </c>
      <c r="DG216">
        <f>IF(AND($DF216&lt;=1000,$DF216&lt;$B$8),1,0)</f>
        <v/>
      </c>
      <c r="DH216">
        <f>IF($DG216=1,IFERROR(INDEX($DB$5:$DB$1004,$DF216),""),"")</f>
        <v/>
      </c>
      <c r="DI216">
        <f>IF(AND($DG216=1,$DH216&lt;&gt;""),IFERROR(SUBSTITUTE(SUBSTITUTE(TRIM(SUBSTITUTE(SUBSTITUTE(SUBSTITUTE(SUBSTITUTE(IFERROR(INDEX(PASTE_ALL,$DF216,1)&amp;"","")&amp;"␟"&amp;IFERROR(INDEX(PASTE_ALL,$DF216,2)&amp;"","")&amp;"␟"&amp;IFERROR(INDEX(PASTE_ALL,$DF216,3)&amp;"","")&amp;"␟"&amp;IFERROR(INDEX(PASTE_ALL,$DF216,4)&amp;"","")&amp;"␟"&amp;IFERROR(INDEX(PASTE_ALL,$DF216,5)&amp;"","")&amp;"␟"&amp;IFERROR(INDEX(PASTE_ALL,$DF216,6)&amp;"","")&amp;"␟"&amp;IFERROR(INDEX(PASTE_ALL,$DF216,7)&amp;"","")&amp;"␟"&amp;IFERROR(INDEX(PASTE_ALL,$DF216,8)&amp;"","")&amp;"␟"&amp;IFERROR(INDEX(PASTE_ALL,$DF216,9)&amp;"","")&amp;"␟"&amp;IFERROR(INDEX(PASTE_ALL,$DF216,10)&amp;"","")&amp;"␟"&amp;IFERROR(INDEX(PASTE_ALL,$DF216,11)&amp;"","")&amp;"␟"&amp;IFERROR(INDEX(PASTE_ALL,$DF216,12)&amp;"","")&amp;"␟"&amp;IFERROR(INDEX(PASTE_ALL,$DF216,13)&amp;"","")&amp;"␟"&amp;IFERROR(INDEX(PASTE_ALL,$DF216,14)&amp;"","")&amp;"␟"&amp;IFERROR(INDEX(PASTE_ALL,$DF216,15)&amp;"","")&amp;"␟"&amp;IFERROR(INDEX(PASTE_ALL,$DF216,16)&amp;"","")&amp;"␟"&amp;IFERROR(INDEX(PASTE_ALL,$DF216,17)&amp;"","")&amp;"␟"&amp;IFERROR(INDEX(PASTE_ALL,$DF216,18)&amp;"","")&amp;"␟"&amp;IFERROR(INDEX(PASTE_ALL,$DF216,19)&amp;"","")&amp;"␟"&amp;IFERROR(INDEX(PASTE_ALL,$DF216,20)&amp;"","")&amp;"␟"&amp;IFERROR(INDEX(PASTE_ALL,$DF216,21)&amp;"","")&amp;"␟"&amp;IFERROR(INDEX(PASTE_ALL,$DF216,22)&amp;"","")&amp;"␟"&amp;IFERROR(INDEX(PASTE_ALL,$DF216,23)&amp;"","")&amp;"␟"&amp;IFERROR(INDEX(PASTE_ALL,$DF216,24)&amp;"","")&amp;"␟"&amp;IFERROR(INDEX(PASTE_ALL,$DF216,25)&amp;"","")&amp;"␟"&amp;IFERROR(INDEX(PASTE_ALL,$DF216,26)&amp;"","")&amp;"␟"&amp;IFERROR(INDEX(PASTE_ALL,$DF216,27)&amp;"","")&amp;"␟"&amp;IFERROR(INDEX(PASTE_ALL,$DF216,28)&amp;"","")&amp;"␟"&amp;IFERROR(INDEX(PASTE_ALL,$DF216,29)&amp;"","")&amp;"␟"&amp;IFERROR(INDEX(PASTE_ALL,$DF216,30)&amp;"","")&amp;"␟"&amp;IFERROR(INDEX(PASTE_ALL,$DF216,31)&amp;"","")&amp;"␟"&amp;IFERROR(INDEX(PASTE_ALL,$DF216,32)&amp;"","")&amp;"␟"&amp;IFERROR(INDEX(PASTE_ALL,$DF216,33)&amp;"","")&amp;"␟"&amp;IFERROR(INDEX(PASTE_ALL,$DF216,34)&amp;"","")&amp;"␟"&amp;IFERROR(INDEX(PASTE_ALL,$DF216,35)&amp;"","")&amp;"␟"&amp;IFERROR(INDEX(PASTE_ALL,$DF216,36)&amp;"","")&amp;"␟"&amp;IFERROR(INDEX(PASTE_ALL,$DF216,37)&amp;"","")&amp;"␟"&amp;IFERROR(INDEX(PASTE_ALL,$DF216,38)&amp;"","")&amp;"␟"&amp;IFERROR(INDEX(PASTE_ALL,$DF216,39)&amp;"","")&amp;"␟"&amp;IFERROR(INDEX(PASTE_ALL,$DF216,40)&amp;"","")&amp;"␟"&amp;IFERROR(INDEX(PASTE_ALL,$DF216,41)&amp;"","")&amp;"␟"&amp;IFERROR(INDEX(PASTE_ALL,$DF216,42)&amp;"","")&amp;"␟"&amp;IFERROR(INDEX(PASTE_ALL,$DF216,43)&amp;"","")&amp;"␟"&amp;IFERROR(INDEX(PASTE_ALL,$DF216,44)&amp;"","")&amp;"␟"&amp;IFERROR(INDEX(PASTE_ALL,$DF216,45)&amp;"","")&amp;"␟"&amp;IFERROR(INDEX(PASTE_ALL,$DF216,46)&amp;"","")&amp;"␟"&amp;IFERROR(INDEX(PASTE_ALL,$DF216,47)&amp;"","")&amp;"␟"&amp;IFERROR(INDEX(PASTE_ALL,$DF216,48)&amp;"","")&amp;"␟"&amp;IFERROR(INDEX(PASTE_ALL,$DF216,49)&amp;"","")&amp;"␟"&amp;IFERROR(INDEX(PASTE_ALL,$DF216,50)&amp;"","")&amp;"␟"&amp;IFERROR(INDEX(PASTE_ALL,$DF216,51)&amp;"","")&amp;"␟"&amp;IFERROR(INDEX(PASTE_ALL,$DF216,52)&amp;"","")&amp;"␟"&amp;IFERROR(INDEX(PASTE_ALL,$DF216,53)&amp;"","")&amp;"␟"&amp;IFERROR(INDEX(PASTE_ALL,$DF216,54)&amp;"","")&amp;"␟"&amp;IFERROR(INDEX(PASTE_ALL,$DF216,55)&amp;"","")&amp;"␟"&amp;IFERROR(INDEX(PASTE_ALL,$DF216,56)&amp;"","")&amp;"␟"&amp;IFERROR(INDEX(PASTE_ALL,$DF216,57)&amp;"","")&amp;"␟"&amp;IFERROR(INDEX(PASTE_ALL,$DF216,58)&amp;"","")&amp;"␟"&amp;IFERROR(INDEX(PASTE_ALL,$DF216,59)&amp;"","")&amp;"␟"&amp;IFERROR(INDEX(PASTE_ALL,$DF216,60)&amp;"","")," "," "),CHAR(9)," "),CHAR(10)," "),CHAR(13)," "))," ␟","␟"),"␟ ","␟"),"#"&amp;$DE216),"")</f>
        <v/>
      </c>
      <c r="DJ216">
        <f>IF($DI216="",0,IF(SUMPRODUCT(--EXACT($DI$4:DI215,$DI216))&gt;0,1,0))</f>
        <v/>
      </c>
      <c r="DK216">
        <f>IF(AND($DI216&lt;&gt;"",$DJ216=0),1,0)</f>
        <v/>
      </c>
      <c r="DL216">
        <f>DL215+$DK216</f>
        <v/>
      </c>
      <c r="DM216">
        <f>IF(AND($DK216=1,$DL216&lt;=600),1,0)</f>
        <v/>
      </c>
      <c r="DN216">
        <f>IF($DM216=0,"",IF($L$6=0,"",IFERROR(IF(ISNUMBER(INDEX(PASTE_ALL,$DF216,$L$6)),INDEX(PASTE_ALL,$DF216,$L$6),TRIM(SUBSTITUTE(SUBSTITUTE(SUBSTITUTE(SUBSTITUTE(INDEX(PASTE_ALL,$DF216,$L$6)," "," "),CHAR(9)," "),CHAR(10)," "),CHAR(13)," "))),"")))</f>
        <v/>
      </c>
      <c r="DO216">
        <f>IF($DM216=0,"",IF($L$7=0,"",IFERROR(IF(ISNUMBER(INDEX(PASTE_ALL,$DF216,$L$7)),INDEX(PASTE_ALL,$DF216,$L$7),TRIM(SUBSTITUTE(SUBSTITUTE(SUBSTITUTE(SUBSTITUTE(INDEX(PASTE_ALL,$DF216,$L$7)," "," "),CHAR(9)," "),CHAR(10)," "),CHAR(13)," "))),"")))</f>
        <v/>
      </c>
      <c r="DP216">
        <f>IF($DM216=0,"",IF($L$8=0,"",IFERROR(IF(ISNUMBER(INDEX(PASTE_ALL,$DF216,$L$8)),INDEX(PASTE_ALL,$DF216,$L$8),TRIM(SUBSTITUTE(SUBSTITUTE(SUBSTITUTE(SUBSTITUTE(INDEX(PASTE_ALL,$DF216,$L$8)," "," "),CHAR(9)," "),CHAR(10)," "),CHAR(13)," "))),"")))</f>
        <v/>
      </c>
      <c r="DQ216">
        <f>IF($DM216=0,"",IF($L$9=0,"",IFERROR(IF(ISNUMBER(INDEX(PASTE_ALL,$DF216,$L$9)),INDEX(PASTE_ALL,$DF216,$L$9),TRIM(SUBSTITUTE(SUBSTITUTE(SUBSTITUTE(SUBSTITUTE(INDEX(PASTE_ALL,$DF216,$L$9)," "," "),CHAR(9)," "),CHAR(10)," "),CHAR(13)," "))),"")))</f>
        <v/>
      </c>
      <c r="DR216">
        <f>IF($DM216=0,"",IF($L$10=0,"",IFERROR(IF(ISNUMBER(INDEX(PASTE_ALL,$DF216,$L$10)),INDEX(PASTE_ALL,$DF216,$L$10),TRIM(SUBSTITUTE(SUBSTITUTE(SUBSTITUTE(SUBSTITUTE(INDEX(PASTE_ALL,$DF216,$L$10)," "," "),CHAR(9)," "),CHAR(10)," "),CHAR(13)," "))),"")))</f>
        <v/>
      </c>
      <c r="DS216">
        <f>IF($DM216=0,"",IF($L$11=0,"",IFERROR(IF(ISNUMBER(INDEX(PASTE_ALL,$DF216,$L$11)),INDEX(PASTE_ALL,$DF216,$L$11),TRIM(SUBSTITUTE(SUBSTITUTE(SUBSTITUTE(SUBSTITUTE(INDEX(PASTE_ALL,$DF216,$L$11)," "," "),CHAR(9)," "),CHAR(10)," "),CHAR(13)," "))),"")))</f>
        <v/>
      </c>
      <c r="DT216">
        <f>IF($DM216=0,"",IF($L$12=0,"",IFERROR(IF(ISNUMBER(INDEX(PASTE_ALL,$DF216,$L$12)),INDEX(PASTE_ALL,$DF216,$L$12),TRIM(SUBSTITUTE(SUBSTITUTE(SUBSTITUTE(SUBSTITUTE(INDEX(PASTE_ALL,$DF216,$L$12)," "," "),CHAR(9)," "),CHAR(10)," "),CHAR(13)," "))),"")))</f>
        <v/>
      </c>
      <c r="DU216">
        <f>IF($DM216=0,"",IF($L$13=0,"",IFERROR(IF(ISNUMBER(INDEX(PASTE_ALL,$DF216,$L$13)),INDEX(PASTE_ALL,$DF216,$L$13),TRIM(SUBSTITUTE(SUBSTITUTE(SUBSTITUTE(SUBSTITUTE(INDEX(PASTE_ALL,$DF216,$L$13)," "," "),CHAR(9)," "),CHAR(10)," "),CHAR(13)," "))),"")))</f>
        <v/>
      </c>
      <c r="DV216">
        <f>IF($DM216=0,"",IF($L$14=0,"",IFERROR(IF(ISNUMBER(INDEX(PASTE_ALL,$DF216,$L$14)),INDEX(PASTE_ALL,$DF216,$L$14),TRIM(SUBSTITUTE(SUBSTITUTE(SUBSTITUTE(SUBSTITUTE(INDEX(PASTE_ALL,$DF216,$L$14)," "," "),CHAR(9)," "),CHAR(10)," "),CHAR(13)," "))),"")))</f>
        <v/>
      </c>
      <c r="DW216">
        <f>IF($DM216=0,"",IF($L$15=0,"",IFERROR(IF(ISNUMBER(INDEX(PASTE_ALL,$DF216,$L$15)),INDEX(PASTE_ALL,$DF216,$L$15),IF(SUMPRODUCT(--ISNUMBER(FIND({"A","B","C","D","E","F","G","H","I","J","K","L","M","N","O","P","Q","R","S","T","U","V","W","X","Y","Z","0","1","2","3","4","5","6","7","8","9"},UPPER(TRIM(SUBSTITUTE(SUBSTITUTE(SUBSTITUTE(SUBSTITUTE(INDEX(PASTE_ALL,$DF216,$L$15)," "," "),CHAR(9)," "),CHAR(10)," "),CHAR(13)," "))))))&gt;0,TRIM(SUBSTITUTE(SUBSTITUTE(SUBSTITUTE(SUBSTITUTE(INDEX(PASTE_ALL,$DF216,$L$15)," "," "),CHAR(9)," "),CHAR(10)," "),CHAR(13)," ")),"")),"")))</f>
        <v/>
      </c>
      <c r="DX216">
        <f>IF($DM216=0,"",IF($L$16=0,"",IFERROR(IF(ISNUMBER(INDEX(PASTE_ALL,$DF216,$L$16)),INDEX(PASTE_ALL,$DF216,$L$16),SUBSTITUTE(SUBSTITUTE(TRIM(SUBSTITUTE(SUBSTITUTE(SUBSTITUTE(SUBSTITUTE(INDEX(PASTE_ALL,$DF216,$L$16)," "," "),CHAR(9)," "),CHAR(10)," "),CHAR(13)," ")),",",""),"%","")),"")))</f>
        <v/>
      </c>
      <c r="DY216">
        <f>IF($DM216=0,"",IFERROR(IF(ISNUMBER($DX216),$DX216,IF($DX216="","",IF(TRIM($DX216)="",0,IF(AND(AND(SUBSTITUTE(SUBSTITUTE(SUBSTITUTE(SUBSTITUTE(SUBSTITUTE(SUBSTITUTE(SUBSTITUTE(SUBSTITUTE(SUBSTITUTE(SUBSTITUTE(SUBSTITUTE(SUBSTITUTE(SUBSTITUTE(SUBSTITUTE(UPPER(TRIM($DX216)),"0",""),"1",""),"2",""),"3",""),"4",""),"5",""),"6",""),"7",""),"8",""),"9",""),".",""),"+",""),"-",""),"E","")="",LEN(SUBSTITUTE(SUBSTITUTE(MID(UPPER(TRIM($DX216)),1+OR(LEFT(UPPER(TRIM($DX216)),1)="+",LEFT(UPPER(TRIM($DX216)),1)="-"),999),"E+","E"),"E-","E"))=LEN(SUBSTITUTE(SUBSTITUTE(SUBSTITUTE(SUBSTITUTE(MID(UPPER(TRIM($DX216)),1+OR(LEFT(UPPER(TRIM($DX216)),1)="+",LEFT(UPPER(TRIM($DX216)),1)="-"),999),"E+","E"),"E-","E"),"+",""),"-","")),LEN(UPPER(TRIM($DX216)))-LEN(SUBSTITUTE(UPPER(TRIM($DX216)),"E",""))&lt;2,LEN(UPPER(TRIM($DX216)))-LEN(SUBSTITUTE(UPPER(TRIM($DX216)),".",""))&lt;2,IFERROR(FIND(".",UPPER(TRIM($DX216))),0)&lt;IFERROR(FIND("E",UPPER(TRIM($DX216))),999)),ISNUMBER(VALUE(TRIM($DX216)))),VALUE(TRIM($DX216)),"")))),""))</f>
        <v/>
      </c>
      <c r="DZ216">
        <f>IF($DM216=0,"",IF($L$17=0,"",IFERROR(IF(ISNUMBER(INDEX(PASTE_ALL,$DF216,$L$17)),INDEX(PASTE_ALL,$DF216,$L$17),SUBSTITUTE(SUBSTITUTE(TRIM(SUBSTITUTE(SUBSTITUTE(SUBSTITUTE(SUBSTITUTE(INDEX(PASTE_ALL,$DF216,$L$17)," "," "),CHAR(9)," "),CHAR(10)," "),CHAR(13)," ")),",",""),"%","")),"")))</f>
        <v/>
      </c>
      <c r="EA216">
        <f>IF($DM216=0,"",IFERROR(IF(ISNUMBER($DZ216),$DZ216,IF($DZ216="","",IF(TRIM($DZ216)="",0,IF(AND(AND(SUBSTITUTE(SUBSTITUTE(SUBSTITUTE(SUBSTITUTE(SUBSTITUTE(SUBSTITUTE(SUBSTITUTE(SUBSTITUTE(SUBSTITUTE(SUBSTITUTE(SUBSTITUTE(SUBSTITUTE(SUBSTITUTE(SUBSTITUTE(UPPER(TRIM($DZ216)),"0",""),"1",""),"2",""),"3",""),"4",""),"5",""),"6",""),"7",""),"8",""),"9",""),".",""),"+",""),"-",""),"E","")="",LEN(SUBSTITUTE(SUBSTITUTE(MID(UPPER(TRIM($DZ216)),1+OR(LEFT(UPPER(TRIM($DZ216)),1)="+",LEFT(UPPER(TRIM($DZ216)),1)="-"),999),"E+","E"),"E-","E"))=LEN(SUBSTITUTE(SUBSTITUTE(SUBSTITUTE(SUBSTITUTE(MID(UPPER(TRIM($DZ216)),1+OR(LEFT(UPPER(TRIM($DZ216)),1)="+",LEFT(UPPER(TRIM($DZ216)),1)="-"),999),"E+","E"),"E-","E"),"+",""),"-","")),LEN(UPPER(TRIM($DZ216)))-LEN(SUBSTITUTE(UPPER(TRIM($DZ216)),"E",""))&lt;2,LEN(UPPER(TRIM($DZ216)))-LEN(SUBSTITUTE(UPPER(TRIM($DZ216)),".",""))&lt;2,IFERROR(FIND(".",UPPER(TRIM($DZ216))),0)&lt;IFERROR(FIND("E",UPPER(TRIM($DZ216))),999)),ISNUMBER(VALUE(TRIM($DZ216)))),VALUE(TRIM($DZ216)),"")))),""))</f>
        <v/>
      </c>
      <c r="EB216">
        <f>IF($DM216=0,"",IF($L$18=0,"",IFERROR(IF(UPPER(TRIM(SUBSTITUTE(SUBSTITUTE(SUBSTITUTE(SUBSTITUTE(INDEX(PASTE_ALL,$DF216,$L$18)," "," "),CHAR(9)," "),CHAR(10)," "),CHAR(13)," ")))="READY","Ready",IF(UPPER(TRIM(SUBSTITUTE(SUBSTITUTE(SUBSTITUTE(SUBSTITUTE(INDEX(PASTE_ALL,$DF216,$L$18)," "," "),CHAR(9)," "),CHAR(10)," "),CHAR(13)," ")))="PM","PM",IF(OR(UPPER(TRIM(SUBSTITUTE(SUBSTITUTE(SUBSTITUTE(SUBSTITUTE(INDEX(PASTE_ALL,$DF216,$L$18)," "," "),CHAR(9)," "),CHAR(10)," "),CHAR(13)," ")))="OT",UPPER(TRIM(SUBSTITUTE(SUBSTITUTE(SUBSTITUTE(SUBSTITUTE(INDEX(PASTE_ALL,$DF216,$L$18)," "," "),CHAR(9)," "),CHAR(10)," "),CHAR(13)," ")))="OVERTIME",UPPER(TRIM(SUBSTITUTE(SUBSTITUTE(SUBSTITUTE(SUBSTITUTE(INDEX(PASTE_ALL,$DF216,$L$18)," "," "),CHAR(9)," "),CHAR(10)," "),CHAR(13)," ")))="TRIAL"),"OT",TRIM(SUBSTITUTE(SUBSTITUTE(SUBSTITUTE(SUBSTITUTE(INDEX(PASTE_ALL,$DF216,$L$18)," "," "),CHAR(9)," "),CHAR(10)," "),CHAR(13)," "))))),"")))</f>
        <v/>
      </c>
      <c r="EC216">
        <f>IF($DM216=0,"",IF($L$19=0,"",IFERROR(IF(ISNUMBER(INDEX(PASTE_ALL,$DF216,$L$19)),INDEX(PASTE_ALL,$DF216,$L$19),TRIM(SUBSTITUTE(SUBSTITUTE(SUBSTITUTE(SUBSTITUTE(INDEX(PASTE_ALL,$DF216,$L$19)," "," "),CHAR(9)," "),CHAR(10)," "),CHAR(13)," "))),"")))</f>
        <v/>
      </c>
      <c r="ED216">
        <f>IF($DM216=0,"",MATCH(1,INDEX(EXACT($DH$5:DH216,$DH216)*$DM$5:DM216,0),0))</f>
        <v/>
      </c>
      <c r="EE216">
        <f>IF($DM216=0,0,IF($ED216=$DE216,1,0))</f>
        <v/>
      </c>
      <c r="EF216">
        <f>EF215+$EE216</f>
        <v/>
      </c>
      <c r="EG216">
        <f>IF($DM216=0,"",INDEX($EF$5:$EF$1003,$ED216))</f>
        <v/>
      </c>
      <c r="EH216">
        <f>IF($DM216=0,"",IF($DO216&lt;&gt;"","",IFERROR(LOOKUP(2,1/(($EG$4:EG215=$EG216)*($DO$4:DO215&lt;&gt;"")),$DO$4:DO215),"")))</f>
        <v/>
      </c>
      <c r="EI216">
        <f>IF($DM216=0,"",IF($DO216&lt;&gt;"",$DO216,$EH216))</f>
        <v/>
      </c>
      <c r="EJ216">
        <f>IF($DM216=0,"",IF($EI216="",0,IF(OR(ISNUMBER($EI216),AND(AND(SUBSTITUTE(SUBSTITUTE(SUBSTITUTE(SUBSTITUTE(SUBSTITUTE(SUBSTITUTE(SUBSTITUTE(SUBSTITUTE(SUBSTITUTE(SUBSTITUTE(SUBSTITUTE(SUBSTITUTE(SUBSTITUTE(SUBSTITUTE(UPPER($EI216),"0",""),"1",""),"2",""),"3",""),"4",""),"5",""),"6",""),"7",""),"8",""),"9",""),".",""),"+",""),"-",""),"E","")="",LEN(SUBSTITUTE(SUBSTITUTE(MID(UPPER($EI216),1+OR(LEFT(UPPER($EI216),1)="+",LEFT(UPPER($EI216),1)="-"),999),"E+","E"),"E-","E"))=LEN(SUBSTITUTE(SUBSTITUTE(SUBSTITUTE(SUBSTITUTE(MID(UPPER($EI216),1+OR(LEFT(UPPER($EI216),1)="+",LEFT(UPPER($EI216),1)="-"),999),"E+","E"),"E-","E"),"+",""),"-","")),LEN(UPPER($EI216))-LEN(SUBSTITUTE(UPPER($EI216),"E",""))&lt;2,LEN(UPPER($EI216))-LEN(SUBSTITUTE(UPPER($EI216),".",""))&lt;2,IFERROR(FIND(".",UPPER($EI216)),0)&lt;IFERROR(FIND("E",UPPER($EI216)),999)),ISNUMBER(VALUE($EI216)))),1,2)))</f>
        <v/>
      </c>
      <c r="EK216">
        <f>IF($DM216=0,"",IF($EJ216=1,IF(ISNUMBER($EI216),$EI216,VALUE($EI216)),IF($EJ216=2,$DE216,0)))</f>
        <v/>
      </c>
      <c r="EL216">
        <f>IF($DM216=0,"",COUNTIF($EG$5:$EG$1003,"&lt;"&amp;$EG216)+SUMPRODUCT(($EG$5:$EG$1003=$EG216)*(($EJ$5:$EJ$1003&lt;$EJ216)+($EJ$5:$EJ$1003=$EJ216)*(($EK$5:$EK$1003&lt;$EK216)+($EK$5:$EK$1003=$EK216)*($DE$5:$DE$1003&lt;$DE216))))+1)</f>
        <v/>
      </c>
      <c r="EM216">
        <f>IF($DM216=0,"",$EL216+$EG216-1)</f>
        <v/>
      </c>
      <c r="EN216">
        <f>IF($DM216=0,0,IFERROR(MATCH(1,INDEX(--(TRIM(SUBSTITUTE(SUBSTITUTE(SUBSTITUTE(SUBSTITUTE(LINES_NAME&amp;""," "," "),CHAR(9)," "),CHAR(10)," "),CHAR(13)," "))=$DH216),0),0),0))</f>
        <v/>
      </c>
      <c r="EO216">
        <f>IF($EN216=0,0,IF(OR(UPPER(TRIM(INDEX(LINES_SCHEDULED,$EN216)&amp;""))="YES",UPPER(TRIM(INDEX(LINES_SCHEDULED,$EN216)&amp;""))="Y",UPPER(TRIM(INDEX(LINES_SCHEDULED,$EN216)&amp;""))="X"),1,0))</f>
        <v/>
      </c>
      <c r="EP216">
        <f>IF($DM216=0,"",IF(COUNTIFS($EG$5:$EG$1003,$EG216,$EB$5:$EB$1003,"Ready")&gt;0,"READY",IF(COUNTIFS($EG$5:$EG$1003,$EG216,$EB$5:$EB$1003,"PM")&gt;0,"PM",IF(COUNTIFS($EG$5:$EG$1003,$EG216,$EB$5:$EB$1003,"OT")&gt;0,"OT",""))))</f>
        <v/>
      </c>
      <c r="EQ216">
        <f>IF($EN216=0,"",UPPER(TRIM(INDEX(LINES_STATUS,$EN216)&amp;"")))</f>
        <v/>
      </c>
      <c r="ER216">
        <f>IF($DM216=0,"",IF(OR($EQ216="READY",$EQ216="PM",$EQ216="OT"),$EQ216,$EP216))</f>
        <v/>
      </c>
      <c r="ES216">
        <f>IF($DM216=0,"",IF(AND($DV216&lt;&gt;"",UPPER($DV216)&lt;&gt;"N"),"allergen",IF(ISNUMBER(SEARCH("oil",$DQ216)),"oil",IF(OR(EXACT($DS216,"A662"),EXACT($DS216,"A624")),"bulk",""))))</f>
        <v/>
      </c>
      <c r="ET216">
        <f>IF($DM216=0,"",IF(OR($EA216="",$EA216=0),"",$EA216/100))</f>
        <v/>
      </c>
      <c r="EU216">
        <f>IF(OR($ET216="",$DY216=""),"",INT($DY216*(1-$ET216)+0.5))</f>
        <v/>
      </c>
      <c r="EW216" t="n">
        <v>212</v>
      </c>
      <c r="EX216">
        <f>IFERROR(MATCH($EW216,$EM$5:$EM$1003,0),0)</f>
        <v/>
      </c>
      <c r="EY216">
        <f>IF($EW216&gt;$B$12,"",IF($EX216&gt;0,"row","spacer"))</f>
        <v/>
      </c>
      <c r="EZ216">
        <f>IF(AND($EY216="row",$EY215&lt;&gt;"row"),1,0)</f>
        <v/>
      </c>
      <c r="FA216">
        <f>IF(AND($EY216="row",$EY217&lt;&gt;"row"),1,0)</f>
        <v/>
      </c>
      <c r="FB216">
        <f>IF($EZ216=1,IFERROR(IF(ISNUMBER(INDEX(PASTE_ALL,INDEX($DF$5:$DF$1003,$EX216),$B$37)),INDEX(PASTE_ALL,INDEX($DF$5:$DF$1003,$EX216),$B$37),INDEX($DH$5:$DH$1003,$EX216)),INDEX($DH$5:$DH$1003,$EX216)),"")</f>
        <v/>
      </c>
      <c r="FC216">
        <f>IF($EY216="row",INDEX($ER$5:$ER$1003,$EX216),"")</f>
        <v/>
      </c>
      <c r="FD216">
        <f>IF($EY216="row",INDEX($DN$5:$DN$1003,$EX216),"")</f>
        <v/>
      </c>
      <c r="FE216">
        <f>IF($EY216="row",INDEX($DO$5:$DO$1003,$EX216),"")</f>
        <v/>
      </c>
      <c r="FF216">
        <f>IF($EY216="row",INDEX($DP$5:$DP$1003,$EX216),"")</f>
        <v/>
      </c>
      <c r="FG216">
        <f>IF($EY216="row",INDEX($DQ$5:$DQ$1003,$EX216),"")</f>
        <v/>
      </c>
      <c r="FH216">
        <f>IF($EY216="row",INDEX($DR$5:$DR$1003,$EX216),"")</f>
        <v/>
      </c>
      <c r="FI216">
        <f>IF($EY216="row",INDEX($DS$5:$DS$1003,$EX216),"")</f>
        <v/>
      </c>
      <c r="FJ216">
        <f>IF($EY216="row",INDEX($DT$5:$DT$1003,$EX216),"")</f>
        <v/>
      </c>
      <c r="FK216">
        <f>IF($EY216="row",INDEX($DU$5:$DU$1003,$EX216),"")</f>
        <v/>
      </c>
      <c r="FL216">
        <f>IF($EY216="row",INDEX($DV$5:$DV$1003,$EX216),"")</f>
        <v/>
      </c>
      <c r="FM216">
        <f>IF($EY216="row",INDEX($DW$5:$DW$1003,$EX216),"")</f>
        <v/>
      </c>
      <c r="FN216">
        <f>IF($EY216="row",INDEX($DY$5:$DY$1003,$EX216),"")</f>
        <v/>
      </c>
      <c r="FO216">
        <f>IF($EY216="row",INDEX($EA$5:$EA$1003,$EX216),"")</f>
        <v/>
      </c>
      <c r="FP216">
        <f>IF($EY216="row",INDEX($EC$5:$EC$1003,$EX216),"")</f>
        <v/>
      </c>
      <c r="FQ216">
        <f>IF($EY216="row",INDEX($ET$5:$ET$1003,$EX216),"")</f>
        <v/>
      </c>
      <c r="FR216">
        <f>IF($EY216="row",INDEX($EU$5:$EU$1003,$EX216),"")</f>
        <v/>
      </c>
      <c r="FS216">
        <f>IF(AND($EY216="row",$EY215="row"),IF(OR(INDEX($DT$5:$DT$1003,$EX215)="",INDEX($DT$5:$DT$1003,$EX216)=""),"",IF(NOT(EXACT(INDEX($DT$5:$DT$1003,$EX215),INDEX($DT$5:$DT$1003,$EX216))),"S4",IF(NOT(EXACT(INDEX($DS$5:$DS$1003,$EX215),INDEX($DS$5:$DS$1003,$EX216))),"S3",IF(NOT(EXACT(INDEX($DR$5:$DR$1003,$EX215),INDEX($DR$5:$DR$1003,$EX216))),"S1 Count Change","S1")))),"")</f>
        <v/>
      </c>
      <c r="FT216">
        <f>IF($EY216="row",INDEX($ES$5:$ES$1003,$EX216),"")</f>
        <v/>
      </c>
      <c r="FU216">
        <f>IF($EY216="row",INDEX($EO$5:$EO$1003,$EX216),0)</f>
        <v/>
      </c>
      <c r="FV216">
        <f>IF($FS216="S1 Count Change",1,0)</f>
        <v/>
      </c>
    </row>
    <row r="217">
      <c r="Y217">
        <f>0+IF(Y127&gt;0,0,IF(SUMPRODUCT(MOD(INT(Y172/{2,4,8,16,32,64,128,256,512,1024,2048,4096,8192,16384,32768}),2)*(1-MOD(INT(($CJ37+0)/{2,4,8,16,32,64,128,256,512,1024,2048,4096,8192,16384,32768}),2))*{2,4,8,16,32,64,128,256,512,1024,2048,4096,8192,16384,32768})=0,0,2^SUMPRODUCT(--(MOD(SUMPRODUCT(MOD(INT(Y172/{2,4,8,16,32,64,128,256,512,1024,2048,4096,8192,16384,32768}),2)*(1-MOD(INT(($CJ37+0)/{2,4,8,16,32,64,128,256,512,1024,2048,4096,8192,16384,32768}),2))*{2,4,8,16,32,64,128,256,512,1024,2048,4096,8192,16384,32768}),{2,4,8,16,32,64,128,256,512,1024,2048,4096,8192,16384,32768})=0))))</f>
        <v/>
      </c>
      <c r="Z217">
        <f>Y217+IF(AND(Z127&gt;0,COUNTIF($Y127:Y127,Z127)=0),0,IF(SUMPRODUCT(MOD(INT(Z172/{2,4,8,16,32,64,128,256,512,1024,2048,4096,8192,16384,32768}),2)*(1-MOD(INT(($CJ37+Y217)/{2,4,8,16,32,64,128,256,512,1024,2048,4096,8192,16384,32768}),2))*{2,4,8,16,32,64,128,256,512,1024,2048,4096,8192,16384,32768})=0,0,2^SUMPRODUCT(--(MOD(SUMPRODUCT(MOD(INT(Z172/{2,4,8,16,32,64,128,256,512,1024,2048,4096,8192,16384,32768}),2)*(1-MOD(INT(($CJ37+Y217)/{2,4,8,16,32,64,128,256,512,1024,2048,4096,8192,16384,32768}),2))*{2,4,8,16,32,64,128,256,512,1024,2048,4096,8192,16384,32768}),{2,4,8,16,32,64,128,256,512,1024,2048,4096,8192,16384,32768})=0))))</f>
        <v/>
      </c>
      <c r="AA217">
        <f>Z217+IF(AND(AA127&gt;0,COUNTIF($Y127:Z127,AA127)=0),0,IF(SUMPRODUCT(MOD(INT(AA172/{2,4,8,16,32,64,128,256,512,1024,2048,4096,8192,16384,32768}),2)*(1-MOD(INT(($CJ37+Z217)/{2,4,8,16,32,64,128,256,512,1024,2048,4096,8192,16384,32768}),2))*{2,4,8,16,32,64,128,256,512,1024,2048,4096,8192,16384,32768})=0,0,2^SUMPRODUCT(--(MOD(SUMPRODUCT(MOD(INT(AA172/{2,4,8,16,32,64,128,256,512,1024,2048,4096,8192,16384,32768}),2)*(1-MOD(INT(($CJ37+Z217)/{2,4,8,16,32,64,128,256,512,1024,2048,4096,8192,16384,32768}),2))*{2,4,8,16,32,64,128,256,512,1024,2048,4096,8192,16384,32768}),{2,4,8,16,32,64,128,256,512,1024,2048,4096,8192,16384,32768})=0))))</f>
        <v/>
      </c>
      <c r="AB217">
        <f>AA217+IF(AND(AB127&gt;0,COUNTIF($Y127:AA127,AB127)=0),0,IF(SUMPRODUCT(MOD(INT(AB172/{2,4,8,16,32,64,128,256,512,1024,2048,4096,8192,16384,32768}),2)*(1-MOD(INT(($CJ37+AA217)/{2,4,8,16,32,64,128,256,512,1024,2048,4096,8192,16384,32768}),2))*{2,4,8,16,32,64,128,256,512,1024,2048,4096,8192,16384,32768})=0,0,2^SUMPRODUCT(--(MOD(SUMPRODUCT(MOD(INT(AB172/{2,4,8,16,32,64,128,256,512,1024,2048,4096,8192,16384,32768}),2)*(1-MOD(INT(($CJ37+AA217)/{2,4,8,16,32,64,128,256,512,1024,2048,4096,8192,16384,32768}),2))*{2,4,8,16,32,64,128,256,512,1024,2048,4096,8192,16384,32768}),{2,4,8,16,32,64,128,256,512,1024,2048,4096,8192,16384,32768})=0))))</f>
        <v/>
      </c>
      <c r="AC217">
        <f>AB217+IF(AND(AC127&gt;0,COUNTIF($Y127:AB127,AC127)=0),0,IF(SUMPRODUCT(MOD(INT(AC172/{2,4,8,16,32,64,128,256,512,1024,2048,4096,8192,16384,32768}),2)*(1-MOD(INT(($CJ37+AB217)/{2,4,8,16,32,64,128,256,512,1024,2048,4096,8192,16384,32768}),2))*{2,4,8,16,32,64,128,256,512,1024,2048,4096,8192,16384,32768})=0,0,2^SUMPRODUCT(--(MOD(SUMPRODUCT(MOD(INT(AC172/{2,4,8,16,32,64,128,256,512,1024,2048,4096,8192,16384,32768}),2)*(1-MOD(INT(($CJ37+AB217)/{2,4,8,16,32,64,128,256,512,1024,2048,4096,8192,16384,32768}),2))*{2,4,8,16,32,64,128,256,512,1024,2048,4096,8192,16384,32768}),{2,4,8,16,32,64,128,256,512,1024,2048,4096,8192,16384,32768})=0))))</f>
        <v/>
      </c>
      <c r="AD217">
        <f>AC217+IF(AND(AD127&gt;0,COUNTIF($Y127:AC127,AD127)=0),0,IF(SUMPRODUCT(MOD(INT(AD172/{2,4,8,16,32,64,128,256,512,1024,2048,4096,8192,16384,32768}),2)*(1-MOD(INT(($CJ37+AC217)/{2,4,8,16,32,64,128,256,512,1024,2048,4096,8192,16384,32768}),2))*{2,4,8,16,32,64,128,256,512,1024,2048,4096,8192,16384,32768})=0,0,2^SUMPRODUCT(--(MOD(SUMPRODUCT(MOD(INT(AD172/{2,4,8,16,32,64,128,256,512,1024,2048,4096,8192,16384,32768}),2)*(1-MOD(INT(($CJ37+AC217)/{2,4,8,16,32,64,128,256,512,1024,2048,4096,8192,16384,32768}),2))*{2,4,8,16,32,64,128,256,512,1024,2048,4096,8192,16384,32768}),{2,4,8,16,32,64,128,256,512,1024,2048,4096,8192,16384,32768})=0))))</f>
        <v/>
      </c>
      <c r="AE217">
        <f>AD217+IF(AND(AE127&gt;0,COUNTIF($Y127:AD127,AE127)=0),0,IF(SUMPRODUCT(MOD(INT(AE172/{2,4,8,16,32,64,128,256,512,1024,2048,4096,8192,16384,32768}),2)*(1-MOD(INT(($CJ37+AD217)/{2,4,8,16,32,64,128,256,512,1024,2048,4096,8192,16384,32768}),2))*{2,4,8,16,32,64,128,256,512,1024,2048,4096,8192,16384,32768})=0,0,2^SUMPRODUCT(--(MOD(SUMPRODUCT(MOD(INT(AE172/{2,4,8,16,32,64,128,256,512,1024,2048,4096,8192,16384,32768}),2)*(1-MOD(INT(($CJ37+AD217)/{2,4,8,16,32,64,128,256,512,1024,2048,4096,8192,16384,32768}),2))*{2,4,8,16,32,64,128,256,512,1024,2048,4096,8192,16384,32768}),{2,4,8,16,32,64,128,256,512,1024,2048,4096,8192,16384,32768})=0))))</f>
        <v/>
      </c>
      <c r="AF217">
        <f>AE217+IF(AND(AF127&gt;0,COUNTIF($Y127:AE127,AF127)=0),0,IF(SUMPRODUCT(MOD(INT(AF172/{2,4,8,16,32,64,128,256,512,1024,2048,4096,8192,16384,32768}),2)*(1-MOD(INT(($CJ37+AE217)/{2,4,8,16,32,64,128,256,512,1024,2048,4096,8192,16384,32768}),2))*{2,4,8,16,32,64,128,256,512,1024,2048,4096,8192,16384,32768})=0,0,2^SUMPRODUCT(--(MOD(SUMPRODUCT(MOD(INT(AF172/{2,4,8,16,32,64,128,256,512,1024,2048,4096,8192,16384,32768}),2)*(1-MOD(INT(($CJ37+AE217)/{2,4,8,16,32,64,128,256,512,1024,2048,4096,8192,16384,32768}),2))*{2,4,8,16,32,64,128,256,512,1024,2048,4096,8192,16384,32768}),{2,4,8,16,32,64,128,256,512,1024,2048,4096,8192,16384,32768})=0))))</f>
        <v/>
      </c>
      <c r="AG217">
        <f>AF217+IF(AND(AG127&gt;0,COUNTIF($Y127:AF127,AG127)=0),0,IF(SUMPRODUCT(MOD(INT(AG172/{2,4,8,16,32,64,128,256,512,1024,2048,4096,8192,16384,32768}),2)*(1-MOD(INT(($CJ37+AF217)/{2,4,8,16,32,64,128,256,512,1024,2048,4096,8192,16384,32768}),2))*{2,4,8,16,32,64,128,256,512,1024,2048,4096,8192,16384,32768})=0,0,2^SUMPRODUCT(--(MOD(SUMPRODUCT(MOD(INT(AG172/{2,4,8,16,32,64,128,256,512,1024,2048,4096,8192,16384,32768}),2)*(1-MOD(INT(($CJ37+AF217)/{2,4,8,16,32,64,128,256,512,1024,2048,4096,8192,16384,32768}),2))*{2,4,8,16,32,64,128,256,512,1024,2048,4096,8192,16384,32768}),{2,4,8,16,32,64,128,256,512,1024,2048,4096,8192,16384,32768})=0))))</f>
        <v/>
      </c>
      <c r="AH217">
        <f>AG217+IF(AND(AH127&gt;0,COUNTIF($Y127:AG127,AH127)=0),0,IF(SUMPRODUCT(MOD(INT(AH172/{2,4,8,16,32,64,128,256,512,1024,2048,4096,8192,16384,32768}),2)*(1-MOD(INT(($CJ37+AG217)/{2,4,8,16,32,64,128,256,512,1024,2048,4096,8192,16384,32768}),2))*{2,4,8,16,32,64,128,256,512,1024,2048,4096,8192,16384,32768})=0,0,2^SUMPRODUCT(--(MOD(SUMPRODUCT(MOD(INT(AH172/{2,4,8,16,32,64,128,256,512,1024,2048,4096,8192,16384,32768}),2)*(1-MOD(INT(($CJ37+AG217)/{2,4,8,16,32,64,128,256,512,1024,2048,4096,8192,16384,32768}),2))*{2,4,8,16,32,64,128,256,512,1024,2048,4096,8192,16384,32768}),{2,4,8,16,32,64,128,256,512,1024,2048,4096,8192,16384,32768})=0))))</f>
        <v/>
      </c>
      <c r="AI217">
        <f>AH217+IF(AND(AI127&gt;0,COUNTIF($Y127:AH127,AI127)=0),0,IF(SUMPRODUCT(MOD(INT(AI172/{2,4,8,16,32,64,128,256,512,1024,2048,4096,8192,16384,32768}),2)*(1-MOD(INT(($CJ37+AH217)/{2,4,8,16,32,64,128,256,512,1024,2048,4096,8192,16384,32768}),2))*{2,4,8,16,32,64,128,256,512,1024,2048,4096,8192,16384,32768})=0,0,2^SUMPRODUCT(--(MOD(SUMPRODUCT(MOD(INT(AI172/{2,4,8,16,32,64,128,256,512,1024,2048,4096,8192,16384,32768}),2)*(1-MOD(INT(($CJ37+AH217)/{2,4,8,16,32,64,128,256,512,1024,2048,4096,8192,16384,32768}),2))*{2,4,8,16,32,64,128,256,512,1024,2048,4096,8192,16384,32768}),{2,4,8,16,32,64,128,256,512,1024,2048,4096,8192,16384,32768})=0))))</f>
        <v/>
      </c>
      <c r="AJ217">
        <f>AI217+IF(AND(AJ127&gt;0,COUNTIF($Y127:AI127,AJ127)=0),0,IF(SUMPRODUCT(MOD(INT(AJ172/{2,4,8,16,32,64,128,256,512,1024,2048,4096,8192,16384,32768}),2)*(1-MOD(INT(($CJ37+AI217)/{2,4,8,16,32,64,128,256,512,1024,2048,4096,8192,16384,32768}),2))*{2,4,8,16,32,64,128,256,512,1024,2048,4096,8192,16384,32768})=0,0,2^SUMPRODUCT(--(MOD(SUMPRODUCT(MOD(INT(AJ172/{2,4,8,16,32,64,128,256,512,1024,2048,4096,8192,16384,32768}),2)*(1-MOD(INT(($CJ37+AI217)/{2,4,8,16,32,64,128,256,512,1024,2048,4096,8192,16384,32768}),2))*{2,4,8,16,32,64,128,256,512,1024,2048,4096,8192,16384,32768}),{2,4,8,16,32,64,128,256,512,1024,2048,4096,8192,16384,32768})=0))))</f>
        <v/>
      </c>
      <c r="AK217">
        <f>AJ217+IF(AND(AK127&gt;0,COUNTIF($Y127:AJ127,AK127)=0),0,IF(SUMPRODUCT(MOD(INT(AK172/{2,4,8,16,32,64,128,256,512,1024,2048,4096,8192,16384,32768}),2)*(1-MOD(INT(($CJ37+AJ217)/{2,4,8,16,32,64,128,256,512,1024,2048,4096,8192,16384,32768}),2))*{2,4,8,16,32,64,128,256,512,1024,2048,4096,8192,16384,32768})=0,0,2^SUMPRODUCT(--(MOD(SUMPRODUCT(MOD(INT(AK172/{2,4,8,16,32,64,128,256,512,1024,2048,4096,8192,16384,32768}),2)*(1-MOD(INT(($CJ37+AJ217)/{2,4,8,16,32,64,128,256,512,1024,2048,4096,8192,16384,32768}),2))*{2,4,8,16,32,64,128,256,512,1024,2048,4096,8192,16384,32768}),{2,4,8,16,32,64,128,256,512,1024,2048,4096,8192,16384,32768})=0))))</f>
        <v/>
      </c>
      <c r="AL217">
        <f>AK217+IF(AND(AL127&gt;0,COUNTIF($Y127:AK127,AL127)=0),0,IF(SUMPRODUCT(MOD(INT(AL172/{2,4,8,16,32,64,128,256,512,1024,2048,4096,8192,16384,32768}),2)*(1-MOD(INT(($CJ37+AK217)/{2,4,8,16,32,64,128,256,512,1024,2048,4096,8192,16384,32768}),2))*{2,4,8,16,32,64,128,256,512,1024,2048,4096,8192,16384,32768})=0,0,2^SUMPRODUCT(--(MOD(SUMPRODUCT(MOD(INT(AL172/{2,4,8,16,32,64,128,256,512,1024,2048,4096,8192,16384,32768}),2)*(1-MOD(INT(($CJ37+AK217)/{2,4,8,16,32,64,128,256,512,1024,2048,4096,8192,16384,32768}),2))*{2,4,8,16,32,64,128,256,512,1024,2048,4096,8192,16384,32768}),{2,4,8,16,32,64,128,256,512,1024,2048,4096,8192,16384,32768})=0))))</f>
        <v/>
      </c>
      <c r="AM217">
        <f>AL217+IF(AND(AM127&gt;0,COUNTIF($Y127:AL127,AM127)=0),0,IF(SUMPRODUCT(MOD(INT(AM172/{2,4,8,16,32,64,128,256,512,1024,2048,4096,8192,16384,32768}),2)*(1-MOD(INT(($CJ37+AL217)/{2,4,8,16,32,64,128,256,512,1024,2048,4096,8192,16384,32768}),2))*{2,4,8,16,32,64,128,256,512,1024,2048,4096,8192,16384,32768})=0,0,2^SUMPRODUCT(--(MOD(SUMPRODUCT(MOD(INT(AM172/{2,4,8,16,32,64,128,256,512,1024,2048,4096,8192,16384,32768}),2)*(1-MOD(INT(($CJ37+AL217)/{2,4,8,16,32,64,128,256,512,1024,2048,4096,8192,16384,32768}),2))*{2,4,8,16,32,64,128,256,512,1024,2048,4096,8192,16384,32768}),{2,4,8,16,32,64,128,256,512,1024,2048,4096,8192,16384,32768})=0))))</f>
        <v/>
      </c>
      <c r="AN217">
        <f>AM217+IF(AND(AN127&gt;0,COUNTIF($Y127:AM127,AN127)=0),0,IF(SUMPRODUCT(MOD(INT(AN172/{2,4,8,16,32,64,128,256,512,1024,2048,4096,8192,16384,32768}),2)*(1-MOD(INT(($CJ37+AM217)/{2,4,8,16,32,64,128,256,512,1024,2048,4096,8192,16384,32768}),2))*{2,4,8,16,32,64,128,256,512,1024,2048,4096,8192,16384,32768})=0,0,2^SUMPRODUCT(--(MOD(SUMPRODUCT(MOD(INT(AN172/{2,4,8,16,32,64,128,256,512,1024,2048,4096,8192,16384,32768}),2)*(1-MOD(INT(($CJ37+AM217)/{2,4,8,16,32,64,128,256,512,1024,2048,4096,8192,16384,32768}),2))*{2,4,8,16,32,64,128,256,512,1024,2048,4096,8192,16384,32768}),{2,4,8,16,32,64,128,256,512,1024,2048,4096,8192,16384,32768})=0))))</f>
        <v/>
      </c>
      <c r="AO217">
        <f>AN217+IF(AND(AO127&gt;0,COUNTIF($Y127:AN127,AO127)=0),0,IF(SUMPRODUCT(MOD(INT(AO172/{2,4,8,16,32,64,128,256,512,1024,2048,4096,8192,16384,32768}),2)*(1-MOD(INT(($CJ37+AN217)/{2,4,8,16,32,64,128,256,512,1024,2048,4096,8192,16384,32768}),2))*{2,4,8,16,32,64,128,256,512,1024,2048,4096,8192,16384,32768})=0,0,2^SUMPRODUCT(--(MOD(SUMPRODUCT(MOD(INT(AO172/{2,4,8,16,32,64,128,256,512,1024,2048,4096,8192,16384,32768}),2)*(1-MOD(INT(($CJ37+AN217)/{2,4,8,16,32,64,128,256,512,1024,2048,4096,8192,16384,32768}),2))*{2,4,8,16,32,64,128,256,512,1024,2048,4096,8192,16384,32768}),{2,4,8,16,32,64,128,256,512,1024,2048,4096,8192,16384,32768})=0))))</f>
        <v/>
      </c>
      <c r="AP217">
        <f>AO217+IF(AND(AP127&gt;0,COUNTIF($Y127:AO127,AP127)=0),0,IF(SUMPRODUCT(MOD(INT(AP172/{2,4,8,16,32,64,128,256,512,1024,2048,4096,8192,16384,32768}),2)*(1-MOD(INT(($CJ37+AO217)/{2,4,8,16,32,64,128,256,512,1024,2048,4096,8192,16384,32768}),2))*{2,4,8,16,32,64,128,256,512,1024,2048,4096,8192,16384,32768})=0,0,2^SUMPRODUCT(--(MOD(SUMPRODUCT(MOD(INT(AP172/{2,4,8,16,32,64,128,256,512,1024,2048,4096,8192,16384,32768}),2)*(1-MOD(INT(($CJ37+AO217)/{2,4,8,16,32,64,128,256,512,1024,2048,4096,8192,16384,32768}),2))*{2,4,8,16,32,64,128,256,512,1024,2048,4096,8192,16384,32768}),{2,4,8,16,32,64,128,256,512,1024,2048,4096,8192,16384,32768})=0))))</f>
        <v/>
      </c>
      <c r="AQ217">
        <f>AP217+IF(AND(AQ127&gt;0,COUNTIF($Y127:AP127,AQ127)=0),0,IF(SUMPRODUCT(MOD(INT(AQ172/{2,4,8,16,32,64,128,256,512,1024,2048,4096,8192,16384,32768}),2)*(1-MOD(INT(($CJ37+AP217)/{2,4,8,16,32,64,128,256,512,1024,2048,4096,8192,16384,32768}),2))*{2,4,8,16,32,64,128,256,512,1024,2048,4096,8192,16384,32768})=0,0,2^SUMPRODUCT(--(MOD(SUMPRODUCT(MOD(INT(AQ172/{2,4,8,16,32,64,128,256,512,1024,2048,4096,8192,16384,32768}),2)*(1-MOD(INT(($CJ37+AP217)/{2,4,8,16,32,64,128,256,512,1024,2048,4096,8192,16384,32768}),2))*{2,4,8,16,32,64,128,256,512,1024,2048,4096,8192,16384,32768}),{2,4,8,16,32,64,128,256,512,1024,2048,4096,8192,16384,32768})=0))))</f>
        <v/>
      </c>
      <c r="AR217">
        <f>AQ217+IF(AND(AR127&gt;0,COUNTIF($Y127:AQ127,AR127)=0),0,IF(SUMPRODUCT(MOD(INT(AR172/{2,4,8,16,32,64,128,256,512,1024,2048,4096,8192,16384,32768}),2)*(1-MOD(INT(($CJ37+AQ217)/{2,4,8,16,32,64,128,256,512,1024,2048,4096,8192,16384,32768}),2))*{2,4,8,16,32,64,128,256,512,1024,2048,4096,8192,16384,32768})=0,0,2^SUMPRODUCT(--(MOD(SUMPRODUCT(MOD(INT(AR172/{2,4,8,16,32,64,128,256,512,1024,2048,4096,8192,16384,32768}),2)*(1-MOD(INT(($CJ37+AQ217)/{2,4,8,16,32,64,128,256,512,1024,2048,4096,8192,16384,32768}),2))*{2,4,8,16,32,64,128,256,512,1024,2048,4096,8192,16384,32768}),{2,4,8,16,32,64,128,256,512,1024,2048,4096,8192,16384,32768})=0))))</f>
        <v/>
      </c>
      <c r="AS217">
        <f>AR217+IF(AND(AS127&gt;0,COUNTIF($Y127:AR127,AS127)=0),0,IF(SUMPRODUCT(MOD(INT(AS172/{2,4,8,16,32,64,128,256,512,1024,2048,4096,8192,16384,32768}),2)*(1-MOD(INT(($CJ37+AR217)/{2,4,8,16,32,64,128,256,512,1024,2048,4096,8192,16384,32768}),2))*{2,4,8,16,32,64,128,256,512,1024,2048,4096,8192,16384,32768})=0,0,2^SUMPRODUCT(--(MOD(SUMPRODUCT(MOD(INT(AS172/{2,4,8,16,32,64,128,256,512,1024,2048,4096,8192,16384,32768}),2)*(1-MOD(INT(($CJ37+AR217)/{2,4,8,16,32,64,128,256,512,1024,2048,4096,8192,16384,32768}),2))*{2,4,8,16,32,64,128,256,512,1024,2048,4096,8192,16384,32768}),{2,4,8,16,32,64,128,256,512,1024,2048,4096,8192,16384,32768})=0))))</f>
        <v/>
      </c>
      <c r="AT217">
        <f>AS217+IF(AND(AT127&gt;0,COUNTIF($Y127:AS127,AT127)=0),0,IF(SUMPRODUCT(MOD(INT(AT172/{2,4,8,16,32,64,128,256,512,1024,2048,4096,8192,16384,32768}),2)*(1-MOD(INT(($CJ37+AS217)/{2,4,8,16,32,64,128,256,512,1024,2048,4096,8192,16384,32768}),2))*{2,4,8,16,32,64,128,256,512,1024,2048,4096,8192,16384,32768})=0,0,2^SUMPRODUCT(--(MOD(SUMPRODUCT(MOD(INT(AT172/{2,4,8,16,32,64,128,256,512,1024,2048,4096,8192,16384,32768}),2)*(1-MOD(INT(($CJ37+AS217)/{2,4,8,16,32,64,128,256,512,1024,2048,4096,8192,16384,32768}),2))*{2,4,8,16,32,64,128,256,512,1024,2048,4096,8192,16384,32768}),{2,4,8,16,32,64,128,256,512,1024,2048,4096,8192,16384,32768})=0))))</f>
        <v/>
      </c>
      <c r="AU217">
        <f>AT217+IF(AND(AU127&gt;0,COUNTIF($Y127:AT127,AU127)=0),0,IF(SUMPRODUCT(MOD(INT(AU172/{2,4,8,16,32,64,128,256,512,1024,2048,4096,8192,16384,32768}),2)*(1-MOD(INT(($CJ37+AT217)/{2,4,8,16,32,64,128,256,512,1024,2048,4096,8192,16384,32768}),2))*{2,4,8,16,32,64,128,256,512,1024,2048,4096,8192,16384,32768})=0,0,2^SUMPRODUCT(--(MOD(SUMPRODUCT(MOD(INT(AU172/{2,4,8,16,32,64,128,256,512,1024,2048,4096,8192,16384,32768}),2)*(1-MOD(INT(($CJ37+AT217)/{2,4,8,16,32,64,128,256,512,1024,2048,4096,8192,16384,32768}),2))*{2,4,8,16,32,64,128,256,512,1024,2048,4096,8192,16384,32768}),{2,4,8,16,32,64,128,256,512,1024,2048,4096,8192,16384,32768})=0))))</f>
        <v/>
      </c>
      <c r="AV217">
        <f>AU217+IF(AND(AV127&gt;0,COUNTIF($Y127:AU127,AV127)=0),0,IF(SUMPRODUCT(MOD(INT(AV172/{2,4,8,16,32,64,128,256,512,1024,2048,4096,8192,16384,32768}),2)*(1-MOD(INT(($CJ37+AU217)/{2,4,8,16,32,64,128,256,512,1024,2048,4096,8192,16384,32768}),2))*{2,4,8,16,32,64,128,256,512,1024,2048,4096,8192,16384,32768})=0,0,2^SUMPRODUCT(--(MOD(SUMPRODUCT(MOD(INT(AV172/{2,4,8,16,32,64,128,256,512,1024,2048,4096,8192,16384,32768}),2)*(1-MOD(INT(($CJ37+AU217)/{2,4,8,16,32,64,128,256,512,1024,2048,4096,8192,16384,32768}),2))*{2,4,8,16,32,64,128,256,512,1024,2048,4096,8192,16384,32768}),{2,4,8,16,32,64,128,256,512,1024,2048,4096,8192,16384,32768})=0))))</f>
        <v/>
      </c>
      <c r="AW217">
        <f>AV217+IF(AND(AW127&gt;0,COUNTIF($Y127:AV127,AW127)=0),0,IF(SUMPRODUCT(MOD(INT(AW172/{2,4,8,16,32,64,128,256,512,1024,2048,4096,8192,16384,32768}),2)*(1-MOD(INT(($CJ37+AV217)/{2,4,8,16,32,64,128,256,512,1024,2048,4096,8192,16384,32768}),2))*{2,4,8,16,32,64,128,256,512,1024,2048,4096,8192,16384,32768})=0,0,2^SUMPRODUCT(--(MOD(SUMPRODUCT(MOD(INT(AW172/{2,4,8,16,32,64,128,256,512,1024,2048,4096,8192,16384,32768}),2)*(1-MOD(INT(($CJ37+AV217)/{2,4,8,16,32,64,128,256,512,1024,2048,4096,8192,16384,32768}),2))*{2,4,8,16,32,64,128,256,512,1024,2048,4096,8192,16384,32768}),{2,4,8,16,32,64,128,256,512,1024,2048,4096,8192,16384,32768})=0))))</f>
        <v/>
      </c>
      <c r="AX217">
        <f>AW217+IF(AND(AX127&gt;0,COUNTIF($Y127:AW127,AX127)=0),0,IF(SUMPRODUCT(MOD(INT(AX172/{2,4,8,16,32,64,128,256,512,1024,2048,4096,8192,16384,32768}),2)*(1-MOD(INT(($CJ37+AW217)/{2,4,8,16,32,64,128,256,512,1024,2048,4096,8192,16384,32768}),2))*{2,4,8,16,32,64,128,256,512,1024,2048,4096,8192,16384,32768})=0,0,2^SUMPRODUCT(--(MOD(SUMPRODUCT(MOD(INT(AX172/{2,4,8,16,32,64,128,256,512,1024,2048,4096,8192,16384,32768}),2)*(1-MOD(INT(($CJ37+AW217)/{2,4,8,16,32,64,128,256,512,1024,2048,4096,8192,16384,32768}),2))*{2,4,8,16,32,64,128,256,512,1024,2048,4096,8192,16384,32768}),{2,4,8,16,32,64,128,256,512,1024,2048,4096,8192,16384,32768})=0))))</f>
        <v/>
      </c>
      <c r="AY217">
        <f>AX217+IF(AND(AY127&gt;0,COUNTIF($Y127:AX127,AY127)=0),0,IF(SUMPRODUCT(MOD(INT(AY172/{2,4,8,16,32,64,128,256,512,1024,2048,4096,8192,16384,32768}),2)*(1-MOD(INT(($CJ37+AX217)/{2,4,8,16,32,64,128,256,512,1024,2048,4096,8192,16384,32768}),2))*{2,4,8,16,32,64,128,256,512,1024,2048,4096,8192,16384,32768})=0,0,2^SUMPRODUCT(--(MOD(SUMPRODUCT(MOD(INT(AY172/{2,4,8,16,32,64,128,256,512,1024,2048,4096,8192,16384,32768}),2)*(1-MOD(INT(($CJ37+AX217)/{2,4,8,16,32,64,128,256,512,1024,2048,4096,8192,16384,32768}),2))*{2,4,8,16,32,64,128,256,512,1024,2048,4096,8192,16384,32768}),{2,4,8,16,32,64,128,256,512,1024,2048,4096,8192,16384,32768})=0))))</f>
        <v/>
      </c>
      <c r="AZ217">
        <f>AY217+IF(AND(AZ127&gt;0,COUNTIF($Y127:AY127,AZ127)=0),0,IF(SUMPRODUCT(MOD(INT(AZ172/{2,4,8,16,32,64,128,256,512,1024,2048,4096,8192,16384,32768}),2)*(1-MOD(INT(($CJ37+AY217)/{2,4,8,16,32,64,128,256,512,1024,2048,4096,8192,16384,32768}),2))*{2,4,8,16,32,64,128,256,512,1024,2048,4096,8192,16384,32768})=0,0,2^SUMPRODUCT(--(MOD(SUMPRODUCT(MOD(INT(AZ172/{2,4,8,16,32,64,128,256,512,1024,2048,4096,8192,16384,32768}),2)*(1-MOD(INT(($CJ37+AY217)/{2,4,8,16,32,64,128,256,512,1024,2048,4096,8192,16384,32768}),2))*{2,4,8,16,32,64,128,256,512,1024,2048,4096,8192,16384,32768}),{2,4,8,16,32,64,128,256,512,1024,2048,4096,8192,16384,32768})=0))))</f>
        <v/>
      </c>
      <c r="BA217">
        <f>AZ217+IF(AND(BA127&gt;0,COUNTIF($Y127:AZ127,BA127)=0),0,IF(SUMPRODUCT(MOD(INT(BA172/{2,4,8,16,32,64,128,256,512,1024,2048,4096,8192,16384,32768}),2)*(1-MOD(INT(($CJ37+AZ217)/{2,4,8,16,32,64,128,256,512,1024,2048,4096,8192,16384,32768}),2))*{2,4,8,16,32,64,128,256,512,1024,2048,4096,8192,16384,32768})=0,0,2^SUMPRODUCT(--(MOD(SUMPRODUCT(MOD(INT(BA172/{2,4,8,16,32,64,128,256,512,1024,2048,4096,8192,16384,32768}),2)*(1-MOD(INT(($CJ37+AZ217)/{2,4,8,16,32,64,128,256,512,1024,2048,4096,8192,16384,32768}),2))*{2,4,8,16,32,64,128,256,512,1024,2048,4096,8192,16384,32768}),{2,4,8,16,32,64,128,256,512,1024,2048,4096,8192,16384,32768})=0))))</f>
        <v/>
      </c>
      <c r="BB217">
        <f>BA217+IF(AND(BB127&gt;0,COUNTIF($Y127:BA127,BB127)=0),0,IF(SUMPRODUCT(MOD(INT(BB172/{2,4,8,16,32,64,128,256,512,1024,2048,4096,8192,16384,32768}),2)*(1-MOD(INT(($CJ37+BA217)/{2,4,8,16,32,64,128,256,512,1024,2048,4096,8192,16384,32768}),2))*{2,4,8,16,32,64,128,256,512,1024,2048,4096,8192,16384,32768})=0,0,2^SUMPRODUCT(--(MOD(SUMPRODUCT(MOD(INT(BB172/{2,4,8,16,32,64,128,256,512,1024,2048,4096,8192,16384,32768}),2)*(1-MOD(INT(($CJ37+BA217)/{2,4,8,16,32,64,128,256,512,1024,2048,4096,8192,16384,32768}),2))*{2,4,8,16,32,64,128,256,512,1024,2048,4096,8192,16384,32768}),{2,4,8,16,32,64,128,256,512,1024,2048,4096,8192,16384,32768})=0))))</f>
        <v/>
      </c>
      <c r="BC217">
        <f>BB217+IF(AND(BC127&gt;0,COUNTIF($Y127:BB127,BC127)=0),0,IF(SUMPRODUCT(MOD(INT(BC172/{2,4,8,16,32,64,128,256,512,1024,2048,4096,8192,16384,32768}),2)*(1-MOD(INT(($CJ37+BB217)/{2,4,8,16,32,64,128,256,512,1024,2048,4096,8192,16384,32768}),2))*{2,4,8,16,32,64,128,256,512,1024,2048,4096,8192,16384,32768})=0,0,2^SUMPRODUCT(--(MOD(SUMPRODUCT(MOD(INT(BC172/{2,4,8,16,32,64,128,256,512,1024,2048,4096,8192,16384,32768}),2)*(1-MOD(INT(($CJ37+BB217)/{2,4,8,16,32,64,128,256,512,1024,2048,4096,8192,16384,32768}),2))*{2,4,8,16,32,64,128,256,512,1024,2048,4096,8192,16384,32768}),{2,4,8,16,32,64,128,256,512,1024,2048,4096,8192,16384,32768})=0))))</f>
        <v/>
      </c>
      <c r="BD217">
        <f>BC217+IF(AND(BD127&gt;0,COUNTIF($Y127:BC127,BD127)=0),0,IF(SUMPRODUCT(MOD(INT(BD172/{2,4,8,16,32,64,128,256,512,1024,2048,4096,8192,16384,32768}),2)*(1-MOD(INT(($CJ37+BC217)/{2,4,8,16,32,64,128,256,512,1024,2048,4096,8192,16384,32768}),2))*{2,4,8,16,32,64,128,256,512,1024,2048,4096,8192,16384,32768})=0,0,2^SUMPRODUCT(--(MOD(SUMPRODUCT(MOD(INT(BD172/{2,4,8,16,32,64,128,256,512,1024,2048,4096,8192,16384,32768}),2)*(1-MOD(INT(($CJ37+BC217)/{2,4,8,16,32,64,128,256,512,1024,2048,4096,8192,16384,32768}),2))*{2,4,8,16,32,64,128,256,512,1024,2048,4096,8192,16384,32768}),{2,4,8,16,32,64,128,256,512,1024,2048,4096,8192,16384,32768})=0))))</f>
        <v/>
      </c>
      <c r="BE217">
        <f>BD217+IF(AND(BE127&gt;0,COUNTIF($Y127:BD127,BE127)=0),0,IF(SUMPRODUCT(MOD(INT(BE172/{2,4,8,16,32,64,128,256,512,1024,2048,4096,8192,16384,32768}),2)*(1-MOD(INT(($CJ37+BD217)/{2,4,8,16,32,64,128,256,512,1024,2048,4096,8192,16384,32768}),2))*{2,4,8,16,32,64,128,256,512,1024,2048,4096,8192,16384,32768})=0,0,2^SUMPRODUCT(--(MOD(SUMPRODUCT(MOD(INT(BE172/{2,4,8,16,32,64,128,256,512,1024,2048,4096,8192,16384,32768}),2)*(1-MOD(INT(($CJ37+BD217)/{2,4,8,16,32,64,128,256,512,1024,2048,4096,8192,16384,32768}),2))*{2,4,8,16,32,64,128,256,512,1024,2048,4096,8192,16384,32768}),{2,4,8,16,32,64,128,256,512,1024,2048,4096,8192,16384,32768})=0))))</f>
        <v/>
      </c>
      <c r="BF217">
        <f>BE217+IF(AND(BF127&gt;0,COUNTIF($Y127:BE127,BF127)=0),0,IF(SUMPRODUCT(MOD(INT(BF172/{2,4,8,16,32,64,128,256,512,1024,2048,4096,8192,16384,32768}),2)*(1-MOD(INT(($CJ37+BE217)/{2,4,8,16,32,64,128,256,512,1024,2048,4096,8192,16384,32768}),2))*{2,4,8,16,32,64,128,256,512,1024,2048,4096,8192,16384,32768})=0,0,2^SUMPRODUCT(--(MOD(SUMPRODUCT(MOD(INT(BF172/{2,4,8,16,32,64,128,256,512,1024,2048,4096,8192,16384,32768}),2)*(1-MOD(INT(($CJ37+BE217)/{2,4,8,16,32,64,128,256,512,1024,2048,4096,8192,16384,32768}),2))*{2,4,8,16,32,64,128,256,512,1024,2048,4096,8192,16384,32768}),{2,4,8,16,32,64,128,256,512,1024,2048,4096,8192,16384,32768})=0))))</f>
        <v/>
      </c>
      <c r="BG217">
        <f>BF217+IF(AND(BG127&gt;0,COUNTIF($Y127:BF127,BG127)=0),0,IF(SUMPRODUCT(MOD(INT(BG172/{2,4,8,16,32,64,128,256,512,1024,2048,4096,8192,16384,32768}),2)*(1-MOD(INT(($CJ37+BF217)/{2,4,8,16,32,64,128,256,512,1024,2048,4096,8192,16384,32768}),2))*{2,4,8,16,32,64,128,256,512,1024,2048,4096,8192,16384,32768})=0,0,2^SUMPRODUCT(--(MOD(SUMPRODUCT(MOD(INT(BG172/{2,4,8,16,32,64,128,256,512,1024,2048,4096,8192,16384,32768}),2)*(1-MOD(INT(($CJ37+BF217)/{2,4,8,16,32,64,128,256,512,1024,2048,4096,8192,16384,32768}),2))*{2,4,8,16,32,64,128,256,512,1024,2048,4096,8192,16384,32768}),{2,4,8,16,32,64,128,256,512,1024,2048,4096,8192,16384,32768})=0))))</f>
        <v/>
      </c>
      <c r="BH217">
        <f>BG217+IF(AND(BH127&gt;0,COUNTIF($Y127:BG127,BH127)=0),0,IF(SUMPRODUCT(MOD(INT(BH172/{2,4,8,16,32,64,128,256,512,1024,2048,4096,8192,16384,32768}),2)*(1-MOD(INT(($CJ37+BG217)/{2,4,8,16,32,64,128,256,512,1024,2048,4096,8192,16384,32768}),2))*{2,4,8,16,32,64,128,256,512,1024,2048,4096,8192,16384,32768})=0,0,2^SUMPRODUCT(--(MOD(SUMPRODUCT(MOD(INT(BH172/{2,4,8,16,32,64,128,256,512,1024,2048,4096,8192,16384,32768}),2)*(1-MOD(INT(($CJ37+BG217)/{2,4,8,16,32,64,128,256,512,1024,2048,4096,8192,16384,32768}),2))*{2,4,8,16,32,64,128,256,512,1024,2048,4096,8192,16384,32768}),{2,4,8,16,32,64,128,256,512,1024,2048,4096,8192,16384,32768})=0))))</f>
        <v/>
      </c>
      <c r="BI217">
        <f>BH217+IF(AND(BI127&gt;0,COUNTIF($Y127:BH127,BI127)=0),0,IF(SUMPRODUCT(MOD(INT(BI172/{2,4,8,16,32,64,128,256,512,1024,2048,4096,8192,16384,32768}),2)*(1-MOD(INT(($CJ37+BH217)/{2,4,8,16,32,64,128,256,512,1024,2048,4096,8192,16384,32768}),2))*{2,4,8,16,32,64,128,256,512,1024,2048,4096,8192,16384,32768})=0,0,2^SUMPRODUCT(--(MOD(SUMPRODUCT(MOD(INT(BI172/{2,4,8,16,32,64,128,256,512,1024,2048,4096,8192,16384,32768}),2)*(1-MOD(INT(($CJ37+BH217)/{2,4,8,16,32,64,128,256,512,1024,2048,4096,8192,16384,32768}),2))*{2,4,8,16,32,64,128,256,512,1024,2048,4096,8192,16384,32768}),{2,4,8,16,32,64,128,256,512,1024,2048,4096,8192,16384,32768})=0))))</f>
        <v/>
      </c>
      <c r="BJ217">
        <f>BI217+IF(AND(BJ127&gt;0,COUNTIF($Y127:BI127,BJ127)=0),0,IF(SUMPRODUCT(MOD(INT(BJ172/{2,4,8,16,32,64,128,256,512,1024,2048,4096,8192,16384,32768}),2)*(1-MOD(INT(($CJ37+BI217)/{2,4,8,16,32,64,128,256,512,1024,2048,4096,8192,16384,32768}),2))*{2,4,8,16,32,64,128,256,512,1024,2048,4096,8192,16384,32768})=0,0,2^SUMPRODUCT(--(MOD(SUMPRODUCT(MOD(INT(BJ172/{2,4,8,16,32,64,128,256,512,1024,2048,4096,8192,16384,32768}),2)*(1-MOD(INT(($CJ37+BI217)/{2,4,8,16,32,64,128,256,512,1024,2048,4096,8192,16384,32768}),2))*{2,4,8,16,32,64,128,256,512,1024,2048,4096,8192,16384,32768}),{2,4,8,16,32,64,128,256,512,1024,2048,4096,8192,16384,32768})=0))))</f>
        <v/>
      </c>
      <c r="BK217">
        <f>BJ217+IF(AND(BK127&gt;0,COUNTIF($Y127:BJ127,BK127)=0),0,IF(SUMPRODUCT(MOD(INT(BK172/{2,4,8,16,32,64,128,256,512,1024,2048,4096,8192,16384,32768}),2)*(1-MOD(INT(($CJ37+BJ217)/{2,4,8,16,32,64,128,256,512,1024,2048,4096,8192,16384,32768}),2))*{2,4,8,16,32,64,128,256,512,1024,2048,4096,8192,16384,32768})=0,0,2^SUMPRODUCT(--(MOD(SUMPRODUCT(MOD(INT(BK172/{2,4,8,16,32,64,128,256,512,1024,2048,4096,8192,16384,32768}),2)*(1-MOD(INT(($CJ37+BJ217)/{2,4,8,16,32,64,128,256,512,1024,2048,4096,8192,16384,32768}),2))*{2,4,8,16,32,64,128,256,512,1024,2048,4096,8192,16384,32768}),{2,4,8,16,32,64,128,256,512,1024,2048,4096,8192,16384,32768})=0))))</f>
        <v/>
      </c>
      <c r="BL217">
        <f>BK217+IF(AND(BL127&gt;0,COUNTIF($Y127:BK127,BL127)=0),0,IF(SUMPRODUCT(MOD(INT(BL172/{2,4,8,16,32,64,128,256,512,1024,2048,4096,8192,16384,32768}),2)*(1-MOD(INT(($CJ37+BK217)/{2,4,8,16,32,64,128,256,512,1024,2048,4096,8192,16384,32768}),2))*{2,4,8,16,32,64,128,256,512,1024,2048,4096,8192,16384,32768})=0,0,2^SUMPRODUCT(--(MOD(SUMPRODUCT(MOD(INT(BL172/{2,4,8,16,32,64,128,256,512,1024,2048,4096,8192,16384,32768}),2)*(1-MOD(INT(($CJ37+BK217)/{2,4,8,16,32,64,128,256,512,1024,2048,4096,8192,16384,32768}),2))*{2,4,8,16,32,64,128,256,512,1024,2048,4096,8192,16384,32768}),{2,4,8,16,32,64,128,256,512,1024,2048,4096,8192,16384,32768})=0))))</f>
        <v/>
      </c>
      <c r="BM217">
        <f>BL217+IF(AND(BM127&gt;0,COUNTIF($Y127:BL127,BM127)=0),0,IF(SUMPRODUCT(MOD(INT(BM172/{2,4,8,16,32,64,128,256,512,1024,2048,4096,8192,16384,32768}),2)*(1-MOD(INT(($CJ37+BL217)/{2,4,8,16,32,64,128,256,512,1024,2048,4096,8192,16384,32768}),2))*{2,4,8,16,32,64,128,256,512,1024,2048,4096,8192,16384,32768})=0,0,2^SUMPRODUCT(--(MOD(SUMPRODUCT(MOD(INT(BM172/{2,4,8,16,32,64,128,256,512,1024,2048,4096,8192,16384,32768}),2)*(1-MOD(INT(($CJ37+BL217)/{2,4,8,16,32,64,128,256,512,1024,2048,4096,8192,16384,32768}),2))*{2,4,8,16,32,64,128,256,512,1024,2048,4096,8192,16384,32768}),{2,4,8,16,32,64,128,256,512,1024,2048,4096,8192,16384,32768})=0))))</f>
        <v/>
      </c>
      <c r="BN217">
        <f>BM217+IF(AND(BN127&gt;0,COUNTIF($Y127:BM127,BN127)=0),0,IF(SUMPRODUCT(MOD(INT(BN172/{2,4,8,16,32,64,128,256,512,1024,2048,4096,8192,16384,32768}),2)*(1-MOD(INT(($CJ37+BM217)/{2,4,8,16,32,64,128,256,512,1024,2048,4096,8192,16384,32768}),2))*{2,4,8,16,32,64,128,256,512,1024,2048,4096,8192,16384,32768})=0,0,2^SUMPRODUCT(--(MOD(SUMPRODUCT(MOD(INT(BN172/{2,4,8,16,32,64,128,256,512,1024,2048,4096,8192,16384,32768}),2)*(1-MOD(INT(($CJ37+BM217)/{2,4,8,16,32,64,128,256,512,1024,2048,4096,8192,16384,32768}),2))*{2,4,8,16,32,64,128,256,512,1024,2048,4096,8192,16384,32768}),{2,4,8,16,32,64,128,256,512,1024,2048,4096,8192,16384,32768})=0))))</f>
        <v/>
      </c>
      <c r="BO217">
        <f>BN217+IF(AND(BO127&gt;0,COUNTIF($Y127:BN127,BO127)=0),0,IF(SUMPRODUCT(MOD(INT(BO172/{2,4,8,16,32,64,128,256,512,1024,2048,4096,8192,16384,32768}),2)*(1-MOD(INT(($CJ37+BN217)/{2,4,8,16,32,64,128,256,512,1024,2048,4096,8192,16384,32768}),2))*{2,4,8,16,32,64,128,256,512,1024,2048,4096,8192,16384,32768})=0,0,2^SUMPRODUCT(--(MOD(SUMPRODUCT(MOD(INT(BO172/{2,4,8,16,32,64,128,256,512,1024,2048,4096,8192,16384,32768}),2)*(1-MOD(INT(($CJ37+BN217)/{2,4,8,16,32,64,128,256,512,1024,2048,4096,8192,16384,32768}),2))*{2,4,8,16,32,64,128,256,512,1024,2048,4096,8192,16384,32768}),{2,4,8,16,32,64,128,256,512,1024,2048,4096,8192,16384,32768})=0))))</f>
        <v/>
      </c>
      <c r="BP217">
        <f>BO217+IF(AND(BP127&gt;0,COUNTIF($Y127:BO127,BP127)=0),0,IF(SUMPRODUCT(MOD(INT(BP172/{2,4,8,16,32,64,128,256,512,1024,2048,4096,8192,16384,32768}),2)*(1-MOD(INT(($CJ37+BO217)/{2,4,8,16,32,64,128,256,512,1024,2048,4096,8192,16384,32768}),2))*{2,4,8,16,32,64,128,256,512,1024,2048,4096,8192,16384,32768})=0,0,2^SUMPRODUCT(--(MOD(SUMPRODUCT(MOD(INT(BP172/{2,4,8,16,32,64,128,256,512,1024,2048,4096,8192,16384,32768}),2)*(1-MOD(INT(($CJ37+BO217)/{2,4,8,16,32,64,128,256,512,1024,2048,4096,8192,16384,32768}),2))*{2,4,8,16,32,64,128,256,512,1024,2048,4096,8192,16384,32768}),{2,4,8,16,32,64,128,256,512,1024,2048,4096,8192,16384,32768})=0))))</f>
        <v/>
      </c>
      <c r="BQ217">
        <f>BP217+IF(AND(BQ127&gt;0,COUNTIF($Y127:BP127,BQ127)=0),0,IF(SUMPRODUCT(MOD(INT(BQ172/{2,4,8,16,32,64,128,256,512,1024,2048,4096,8192,16384,32768}),2)*(1-MOD(INT(($CJ37+BP217)/{2,4,8,16,32,64,128,256,512,1024,2048,4096,8192,16384,32768}),2))*{2,4,8,16,32,64,128,256,512,1024,2048,4096,8192,16384,32768})=0,0,2^SUMPRODUCT(--(MOD(SUMPRODUCT(MOD(INT(BQ172/{2,4,8,16,32,64,128,256,512,1024,2048,4096,8192,16384,32768}),2)*(1-MOD(INT(($CJ37+BP217)/{2,4,8,16,32,64,128,256,512,1024,2048,4096,8192,16384,32768}),2))*{2,4,8,16,32,64,128,256,512,1024,2048,4096,8192,16384,32768}),{2,4,8,16,32,64,128,256,512,1024,2048,4096,8192,16384,32768})=0))))</f>
        <v/>
      </c>
      <c r="BR217">
        <f>BQ217+IF(AND(BR127&gt;0,COUNTIF($Y127:BQ127,BR127)=0),0,IF(SUMPRODUCT(MOD(INT(BR172/{2,4,8,16,32,64,128,256,512,1024,2048,4096,8192,16384,32768}),2)*(1-MOD(INT(($CJ37+BQ217)/{2,4,8,16,32,64,128,256,512,1024,2048,4096,8192,16384,32768}),2))*{2,4,8,16,32,64,128,256,512,1024,2048,4096,8192,16384,32768})=0,0,2^SUMPRODUCT(--(MOD(SUMPRODUCT(MOD(INT(BR172/{2,4,8,16,32,64,128,256,512,1024,2048,4096,8192,16384,32768}),2)*(1-MOD(INT(($CJ37+BQ217)/{2,4,8,16,32,64,128,256,512,1024,2048,4096,8192,16384,32768}),2))*{2,4,8,16,32,64,128,256,512,1024,2048,4096,8192,16384,32768}),{2,4,8,16,32,64,128,256,512,1024,2048,4096,8192,16384,32768})=0))))</f>
        <v/>
      </c>
      <c r="BS217">
        <f>BR217+IF(AND(BS127&gt;0,COUNTIF($Y127:BR127,BS127)=0),0,IF(SUMPRODUCT(MOD(INT(BS172/{2,4,8,16,32,64,128,256,512,1024,2048,4096,8192,16384,32768}),2)*(1-MOD(INT(($CJ37+BR217)/{2,4,8,16,32,64,128,256,512,1024,2048,4096,8192,16384,32768}),2))*{2,4,8,16,32,64,128,256,512,1024,2048,4096,8192,16384,32768})=0,0,2^SUMPRODUCT(--(MOD(SUMPRODUCT(MOD(INT(BS172/{2,4,8,16,32,64,128,256,512,1024,2048,4096,8192,16384,32768}),2)*(1-MOD(INT(($CJ37+BR217)/{2,4,8,16,32,64,128,256,512,1024,2048,4096,8192,16384,32768}),2))*{2,4,8,16,32,64,128,256,512,1024,2048,4096,8192,16384,32768}),{2,4,8,16,32,64,128,256,512,1024,2048,4096,8192,16384,32768})=0))))</f>
        <v/>
      </c>
      <c r="BT217">
        <f>BS217+IF(AND(BT127&gt;0,COUNTIF($Y127:BS127,BT127)=0),0,IF(SUMPRODUCT(MOD(INT(BT172/{2,4,8,16,32,64,128,256,512,1024,2048,4096,8192,16384,32768}),2)*(1-MOD(INT(($CJ37+BS217)/{2,4,8,16,32,64,128,256,512,1024,2048,4096,8192,16384,32768}),2))*{2,4,8,16,32,64,128,256,512,1024,2048,4096,8192,16384,32768})=0,0,2^SUMPRODUCT(--(MOD(SUMPRODUCT(MOD(INT(BT172/{2,4,8,16,32,64,128,256,512,1024,2048,4096,8192,16384,32768}),2)*(1-MOD(INT(($CJ37+BS217)/{2,4,8,16,32,64,128,256,512,1024,2048,4096,8192,16384,32768}),2))*{2,4,8,16,32,64,128,256,512,1024,2048,4096,8192,16384,32768}),{2,4,8,16,32,64,128,256,512,1024,2048,4096,8192,16384,32768})=0))))</f>
        <v/>
      </c>
      <c r="BU217">
        <f>BT217+IF(AND(BU127&gt;0,COUNTIF($Y127:BT127,BU127)=0),0,IF(SUMPRODUCT(MOD(INT(BU172/{2,4,8,16,32,64,128,256,512,1024,2048,4096,8192,16384,32768}),2)*(1-MOD(INT(($CJ37+BT217)/{2,4,8,16,32,64,128,256,512,1024,2048,4096,8192,16384,32768}),2))*{2,4,8,16,32,64,128,256,512,1024,2048,4096,8192,16384,32768})=0,0,2^SUMPRODUCT(--(MOD(SUMPRODUCT(MOD(INT(BU172/{2,4,8,16,32,64,128,256,512,1024,2048,4096,8192,16384,32768}),2)*(1-MOD(INT(($CJ37+BT217)/{2,4,8,16,32,64,128,256,512,1024,2048,4096,8192,16384,32768}),2))*{2,4,8,16,32,64,128,256,512,1024,2048,4096,8192,16384,32768}),{2,4,8,16,32,64,128,256,512,1024,2048,4096,8192,16384,32768})=0))))</f>
        <v/>
      </c>
      <c r="BV217">
        <f>BU217+IF(AND(BV127&gt;0,COUNTIF($Y127:BU127,BV127)=0),0,IF(SUMPRODUCT(MOD(INT(BV172/{2,4,8,16,32,64,128,256,512,1024,2048,4096,8192,16384,32768}),2)*(1-MOD(INT(($CJ37+BU217)/{2,4,8,16,32,64,128,256,512,1024,2048,4096,8192,16384,32768}),2))*{2,4,8,16,32,64,128,256,512,1024,2048,4096,8192,16384,32768})=0,0,2^SUMPRODUCT(--(MOD(SUMPRODUCT(MOD(INT(BV172/{2,4,8,16,32,64,128,256,512,1024,2048,4096,8192,16384,32768}),2)*(1-MOD(INT(($CJ37+BU217)/{2,4,8,16,32,64,128,256,512,1024,2048,4096,8192,16384,32768}),2))*{2,4,8,16,32,64,128,256,512,1024,2048,4096,8192,16384,32768}),{2,4,8,16,32,64,128,256,512,1024,2048,4096,8192,16384,32768})=0))))</f>
        <v/>
      </c>
      <c r="BW217">
        <f>BV217+IF(AND(BW127&gt;0,COUNTIF($Y127:BV127,BW127)=0),0,IF(SUMPRODUCT(MOD(INT(BW172/{2,4,8,16,32,64,128,256,512,1024,2048,4096,8192,16384,32768}),2)*(1-MOD(INT(($CJ37+BV217)/{2,4,8,16,32,64,128,256,512,1024,2048,4096,8192,16384,32768}),2))*{2,4,8,16,32,64,128,256,512,1024,2048,4096,8192,16384,32768})=0,0,2^SUMPRODUCT(--(MOD(SUMPRODUCT(MOD(INT(BW172/{2,4,8,16,32,64,128,256,512,1024,2048,4096,8192,16384,32768}),2)*(1-MOD(INT(($CJ37+BV217)/{2,4,8,16,32,64,128,256,512,1024,2048,4096,8192,16384,32768}),2))*{2,4,8,16,32,64,128,256,512,1024,2048,4096,8192,16384,32768}),{2,4,8,16,32,64,128,256,512,1024,2048,4096,8192,16384,32768})=0))))</f>
        <v/>
      </c>
      <c r="BX217">
        <f>BW217+IF(AND(BX127&gt;0,COUNTIF($Y127:BW127,BX127)=0),0,IF(SUMPRODUCT(MOD(INT(BX172/{2,4,8,16,32,64,128,256,512,1024,2048,4096,8192,16384,32768}),2)*(1-MOD(INT(($CJ37+BW217)/{2,4,8,16,32,64,128,256,512,1024,2048,4096,8192,16384,32768}),2))*{2,4,8,16,32,64,128,256,512,1024,2048,4096,8192,16384,32768})=0,0,2^SUMPRODUCT(--(MOD(SUMPRODUCT(MOD(INT(BX172/{2,4,8,16,32,64,128,256,512,1024,2048,4096,8192,16384,32768}),2)*(1-MOD(INT(($CJ37+BW217)/{2,4,8,16,32,64,128,256,512,1024,2048,4096,8192,16384,32768}),2))*{2,4,8,16,32,64,128,256,512,1024,2048,4096,8192,16384,32768}),{2,4,8,16,32,64,128,256,512,1024,2048,4096,8192,16384,32768})=0))))</f>
        <v/>
      </c>
      <c r="BY217">
        <f>BX217+IF(AND(BY127&gt;0,COUNTIF($Y127:BX127,BY127)=0),0,IF(SUMPRODUCT(MOD(INT(BY172/{2,4,8,16,32,64,128,256,512,1024,2048,4096,8192,16384,32768}),2)*(1-MOD(INT(($CJ37+BX217)/{2,4,8,16,32,64,128,256,512,1024,2048,4096,8192,16384,32768}),2))*{2,4,8,16,32,64,128,256,512,1024,2048,4096,8192,16384,32768})=0,0,2^SUMPRODUCT(--(MOD(SUMPRODUCT(MOD(INT(BY172/{2,4,8,16,32,64,128,256,512,1024,2048,4096,8192,16384,32768}),2)*(1-MOD(INT(($CJ37+BX217)/{2,4,8,16,32,64,128,256,512,1024,2048,4096,8192,16384,32768}),2))*{2,4,8,16,32,64,128,256,512,1024,2048,4096,8192,16384,32768}),{2,4,8,16,32,64,128,256,512,1024,2048,4096,8192,16384,32768})=0))))</f>
        <v/>
      </c>
      <c r="BZ217">
        <f>BY217+IF(AND(BZ127&gt;0,COUNTIF($Y127:BY127,BZ127)=0),0,IF(SUMPRODUCT(MOD(INT(BZ172/{2,4,8,16,32,64,128,256,512,1024,2048,4096,8192,16384,32768}),2)*(1-MOD(INT(($CJ37+BY217)/{2,4,8,16,32,64,128,256,512,1024,2048,4096,8192,16384,32768}),2))*{2,4,8,16,32,64,128,256,512,1024,2048,4096,8192,16384,32768})=0,0,2^SUMPRODUCT(--(MOD(SUMPRODUCT(MOD(INT(BZ172/{2,4,8,16,32,64,128,256,512,1024,2048,4096,8192,16384,32768}),2)*(1-MOD(INT(($CJ37+BY217)/{2,4,8,16,32,64,128,256,512,1024,2048,4096,8192,16384,32768}),2))*{2,4,8,16,32,64,128,256,512,1024,2048,4096,8192,16384,32768}),{2,4,8,16,32,64,128,256,512,1024,2048,4096,8192,16384,32768})=0))))</f>
        <v/>
      </c>
      <c r="CA217">
        <f>BZ217+IF(AND(CA127&gt;0,COUNTIF($Y127:BZ127,CA127)=0),0,IF(SUMPRODUCT(MOD(INT(CA172/{2,4,8,16,32,64,128,256,512,1024,2048,4096,8192,16384,32768}),2)*(1-MOD(INT(($CJ37+BZ217)/{2,4,8,16,32,64,128,256,512,1024,2048,4096,8192,16384,32768}),2))*{2,4,8,16,32,64,128,256,512,1024,2048,4096,8192,16384,32768})=0,0,2^SUMPRODUCT(--(MOD(SUMPRODUCT(MOD(INT(CA172/{2,4,8,16,32,64,128,256,512,1024,2048,4096,8192,16384,32768}),2)*(1-MOD(INT(($CJ37+BZ217)/{2,4,8,16,32,64,128,256,512,1024,2048,4096,8192,16384,32768}),2))*{2,4,8,16,32,64,128,256,512,1024,2048,4096,8192,16384,32768}),{2,4,8,16,32,64,128,256,512,1024,2048,4096,8192,16384,32768})=0))))</f>
        <v/>
      </c>
      <c r="CB217">
        <f>CA217+IF(AND(CB127&gt;0,COUNTIF($Y127:CA127,CB127)=0),0,IF(SUMPRODUCT(MOD(INT(CB172/{2,4,8,16,32,64,128,256,512,1024,2048,4096,8192,16384,32768}),2)*(1-MOD(INT(($CJ37+CA217)/{2,4,8,16,32,64,128,256,512,1024,2048,4096,8192,16384,32768}),2))*{2,4,8,16,32,64,128,256,512,1024,2048,4096,8192,16384,32768})=0,0,2^SUMPRODUCT(--(MOD(SUMPRODUCT(MOD(INT(CB172/{2,4,8,16,32,64,128,256,512,1024,2048,4096,8192,16384,32768}),2)*(1-MOD(INT(($CJ37+CA217)/{2,4,8,16,32,64,128,256,512,1024,2048,4096,8192,16384,32768}),2))*{2,4,8,16,32,64,128,256,512,1024,2048,4096,8192,16384,32768}),{2,4,8,16,32,64,128,256,512,1024,2048,4096,8192,16384,32768})=0))))</f>
        <v/>
      </c>
      <c r="CC217">
        <f>CB217+IF(AND(CC127&gt;0,COUNTIF($Y127:CB127,CC127)=0),0,IF(SUMPRODUCT(MOD(INT(CC172/{2,4,8,16,32,64,128,256,512,1024,2048,4096,8192,16384,32768}),2)*(1-MOD(INT(($CJ37+CB217)/{2,4,8,16,32,64,128,256,512,1024,2048,4096,8192,16384,32768}),2))*{2,4,8,16,32,64,128,256,512,1024,2048,4096,8192,16384,32768})=0,0,2^SUMPRODUCT(--(MOD(SUMPRODUCT(MOD(INT(CC172/{2,4,8,16,32,64,128,256,512,1024,2048,4096,8192,16384,32768}),2)*(1-MOD(INT(($CJ37+CB217)/{2,4,8,16,32,64,128,256,512,1024,2048,4096,8192,16384,32768}),2))*{2,4,8,16,32,64,128,256,512,1024,2048,4096,8192,16384,32768}),{2,4,8,16,32,64,128,256,512,1024,2048,4096,8192,16384,32768})=0))))</f>
        <v/>
      </c>
      <c r="CD217">
        <f>CC217+IF(AND(CD127&gt;0,COUNTIF($Y127:CC127,CD127)=0),0,IF(SUMPRODUCT(MOD(INT(CD172/{2,4,8,16,32,64,128,256,512,1024,2048,4096,8192,16384,32768}),2)*(1-MOD(INT(($CJ37+CC217)/{2,4,8,16,32,64,128,256,512,1024,2048,4096,8192,16384,32768}),2))*{2,4,8,16,32,64,128,256,512,1024,2048,4096,8192,16384,32768})=0,0,2^SUMPRODUCT(--(MOD(SUMPRODUCT(MOD(INT(CD172/{2,4,8,16,32,64,128,256,512,1024,2048,4096,8192,16384,32768}),2)*(1-MOD(INT(($CJ37+CC217)/{2,4,8,16,32,64,128,256,512,1024,2048,4096,8192,16384,32768}),2))*{2,4,8,16,32,64,128,256,512,1024,2048,4096,8192,16384,32768}),{2,4,8,16,32,64,128,256,512,1024,2048,4096,8192,16384,32768})=0))))</f>
        <v/>
      </c>
      <c r="CE217">
        <f>CD217+IF(AND(CE127&gt;0,COUNTIF($Y127:CD127,CE127)=0),0,IF(SUMPRODUCT(MOD(INT(CE172/{2,4,8,16,32,64,128,256,512,1024,2048,4096,8192,16384,32768}),2)*(1-MOD(INT(($CJ37+CD217)/{2,4,8,16,32,64,128,256,512,1024,2048,4096,8192,16384,32768}),2))*{2,4,8,16,32,64,128,256,512,1024,2048,4096,8192,16384,32768})=0,0,2^SUMPRODUCT(--(MOD(SUMPRODUCT(MOD(INT(CE172/{2,4,8,16,32,64,128,256,512,1024,2048,4096,8192,16384,32768}),2)*(1-MOD(INT(($CJ37+CD217)/{2,4,8,16,32,64,128,256,512,1024,2048,4096,8192,16384,32768}),2))*{2,4,8,16,32,64,128,256,512,1024,2048,4096,8192,16384,32768}),{2,4,8,16,32,64,128,256,512,1024,2048,4096,8192,16384,32768})=0))))</f>
        <v/>
      </c>
      <c r="CF217">
        <f>CE217+IF(AND(CF127&gt;0,COUNTIF($Y127:CE127,CF127)=0),0,IF(SUMPRODUCT(MOD(INT(CF172/{2,4,8,16,32,64,128,256,512,1024,2048,4096,8192,16384,32768}),2)*(1-MOD(INT(($CJ37+CE217)/{2,4,8,16,32,64,128,256,512,1024,2048,4096,8192,16384,32768}),2))*{2,4,8,16,32,64,128,256,512,1024,2048,4096,8192,16384,32768})=0,0,2^SUMPRODUCT(--(MOD(SUMPRODUCT(MOD(INT(CF172/{2,4,8,16,32,64,128,256,512,1024,2048,4096,8192,16384,32768}),2)*(1-MOD(INT(($CJ37+CE217)/{2,4,8,16,32,64,128,256,512,1024,2048,4096,8192,16384,32768}),2))*{2,4,8,16,32,64,128,256,512,1024,2048,4096,8192,16384,32768}),{2,4,8,16,32,64,128,256,512,1024,2048,4096,8192,16384,32768})=0))))</f>
        <v/>
      </c>
      <c r="DA217" t="n">
        <v>213</v>
      </c>
      <c r="DB217">
        <f>IF($B$37=0,"",IFERROR(TRIM(SUBSTITUTE(SUBSTITUTE(SUBSTITUTE(SUBSTITUTE(INDEX(PASTE_ALL,213,$B$37)," "," "),CHAR(9)," "),CHAR(10)," "),CHAR(13)," ")),""))</f>
        <v/>
      </c>
      <c r="DC217">
        <f>IF(AND(213&gt;HEADER_ROW,UPPER(DB217)="LEGEND"),1,0)</f>
        <v/>
      </c>
      <c r="DE217" t="n">
        <v>213</v>
      </c>
      <c r="DF217">
        <f>HEADER_ROW+$DE217</f>
        <v/>
      </c>
      <c r="DG217">
        <f>IF(AND($DF217&lt;=1000,$DF217&lt;$B$8),1,0)</f>
        <v/>
      </c>
      <c r="DH217">
        <f>IF($DG217=1,IFERROR(INDEX($DB$5:$DB$1004,$DF217),""),"")</f>
        <v/>
      </c>
      <c r="DI217">
        <f>IF(AND($DG217=1,$DH217&lt;&gt;""),IFERROR(SUBSTITUTE(SUBSTITUTE(TRIM(SUBSTITUTE(SUBSTITUTE(SUBSTITUTE(SUBSTITUTE(IFERROR(INDEX(PASTE_ALL,$DF217,1)&amp;"","")&amp;"␟"&amp;IFERROR(INDEX(PASTE_ALL,$DF217,2)&amp;"","")&amp;"␟"&amp;IFERROR(INDEX(PASTE_ALL,$DF217,3)&amp;"","")&amp;"␟"&amp;IFERROR(INDEX(PASTE_ALL,$DF217,4)&amp;"","")&amp;"␟"&amp;IFERROR(INDEX(PASTE_ALL,$DF217,5)&amp;"","")&amp;"␟"&amp;IFERROR(INDEX(PASTE_ALL,$DF217,6)&amp;"","")&amp;"␟"&amp;IFERROR(INDEX(PASTE_ALL,$DF217,7)&amp;"","")&amp;"␟"&amp;IFERROR(INDEX(PASTE_ALL,$DF217,8)&amp;"","")&amp;"␟"&amp;IFERROR(INDEX(PASTE_ALL,$DF217,9)&amp;"","")&amp;"␟"&amp;IFERROR(INDEX(PASTE_ALL,$DF217,10)&amp;"","")&amp;"␟"&amp;IFERROR(INDEX(PASTE_ALL,$DF217,11)&amp;"","")&amp;"␟"&amp;IFERROR(INDEX(PASTE_ALL,$DF217,12)&amp;"","")&amp;"␟"&amp;IFERROR(INDEX(PASTE_ALL,$DF217,13)&amp;"","")&amp;"␟"&amp;IFERROR(INDEX(PASTE_ALL,$DF217,14)&amp;"","")&amp;"␟"&amp;IFERROR(INDEX(PASTE_ALL,$DF217,15)&amp;"","")&amp;"␟"&amp;IFERROR(INDEX(PASTE_ALL,$DF217,16)&amp;"","")&amp;"␟"&amp;IFERROR(INDEX(PASTE_ALL,$DF217,17)&amp;"","")&amp;"␟"&amp;IFERROR(INDEX(PASTE_ALL,$DF217,18)&amp;"","")&amp;"␟"&amp;IFERROR(INDEX(PASTE_ALL,$DF217,19)&amp;"","")&amp;"␟"&amp;IFERROR(INDEX(PASTE_ALL,$DF217,20)&amp;"","")&amp;"␟"&amp;IFERROR(INDEX(PASTE_ALL,$DF217,21)&amp;"","")&amp;"␟"&amp;IFERROR(INDEX(PASTE_ALL,$DF217,22)&amp;"","")&amp;"␟"&amp;IFERROR(INDEX(PASTE_ALL,$DF217,23)&amp;"","")&amp;"␟"&amp;IFERROR(INDEX(PASTE_ALL,$DF217,24)&amp;"","")&amp;"␟"&amp;IFERROR(INDEX(PASTE_ALL,$DF217,25)&amp;"","")&amp;"␟"&amp;IFERROR(INDEX(PASTE_ALL,$DF217,26)&amp;"","")&amp;"␟"&amp;IFERROR(INDEX(PASTE_ALL,$DF217,27)&amp;"","")&amp;"␟"&amp;IFERROR(INDEX(PASTE_ALL,$DF217,28)&amp;"","")&amp;"␟"&amp;IFERROR(INDEX(PASTE_ALL,$DF217,29)&amp;"","")&amp;"␟"&amp;IFERROR(INDEX(PASTE_ALL,$DF217,30)&amp;"","")&amp;"␟"&amp;IFERROR(INDEX(PASTE_ALL,$DF217,31)&amp;"","")&amp;"␟"&amp;IFERROR(INDEX(PASTE_ALL,$DF217,32)&amp;"","")&amp;"␟"&amp;IFERROR(INDEX(PASTE_ALL,$DF217,33)&amp;"","")&amp;"␟"&amp;IFERROR(INDEX(PASTE_ALL,$DF217,34)&amp;"","")&amp;"␟"&amp;IFERROR(INDEX(PASTE_ALL,$DF217,35)&amp;"","")&amp;"␟"&amp;IFERROR(INDEX(PASTE_ALL,$DF217,36)&amp;"","")&amp;"␟"&amp;IFERROR(INDEX(PASTE_ALL,$DF217,37)&amp;"","")&amp;"␟"&amp;IFERROR(INDEX(PASTE_ALL,$DF217,38)&amp;"","")&amp;"␟"&amp;IFERROR(INDEX(PASTE_ALL,$DF217,39)&amp;"","")&amp;"␟"&amp;IFERROR(INDEX(PASTE_ALL,$DF217,40)&amp;"","")&amp;"␟"&amp;IFERROR(INDEX(PASTE_ALL,$DF217,41)&amp;"","")&amp;"␟"&amp;IFERROR(INDEX(PASTE_ALL,$DF217,42)&amp;"","")&amp;"␟"&amp;IFERROR(INDEX(PASTE_ALL,$DF217,43)&amp;"","")&amp;"␟"&amp;IFERROR(INDEX(PASTE_ALL,$DF217,44)&amp;"","")&amp;"␟"&amp;IFERROR(INDEX(PASTE_ALL,$DF217,45)&amp;"","")&amp;"␟"&amp;IFERROR(INDEX(PASTE_ALL,$DF217,46)&amp;"","")&amp;"␟"&amp;IFERROR(INDEX(PASTE_ALL,$DF217,47)&amp;"","")&amp;"␟"&amp;IFERROR(INDEX(PASTE_ALL,$DF217,48)&amp;"","")&amp;"␟"&amp;IFERROR(INDEX(PASTE_ALL,$DF217,49)&amp;"","")&amp;"␟"&amp;IFERROR(INDEX(PASTE_ALL,$DF217,50)&amp;"","")&amp;"␟"&amp;IFERROR(INDEX(PASTE_ALL,$DF217,51)&amp;"","")&amp;"␟"&amp;IFERROR(INDEX(PASTE_ALL,$DF217,52)&amp;"","")&amp;"␟"&amp;IFERROR(INDEX(PASTE_ALL,$DF217,53)&amp;"","")&amp;"␟"&amp;IFERROR(INDEX(PASTE_ALL,$DF217,54)&amp;"","")&amp;"␟"&amp;IFERROR(INDEX(PASTE_ALL,$DF217,55)&amp;"","")&amp;"␟"&amp;IFERROR(INDEX(PASTE_ALL,$DF217,56)&amp;"","")&amp;"␟"&amp;IFERROR(INDEX(PASTE_ALL,$DF217,57)&amp;"","")&amp;"␟"&amp;IFERROR(INDEX(PASTE_ALL,$DF217,58)&amp;"","")&amp;"␟"&amp;IFERROR(INDEX(PASTE_ALL,$DF217,59)&amp;"","")&amp;"␟"&amp;IFERROR(INDEX(PASTE_ALL,$DF217,60)&amp;"","")," "," "),CHAR(9)," "),CHAR(10)," "),CHAR(13)," "))," ␟","␟"),"␟ ","␟"),"#"&amp;$DE217),"")</f>
        <v/>
      </c>
      <c r="DJ217">
        <f>IF($DI217="",0,IF(SUMPRODUCT(--EXACT($DI$4:DI216,$DI217))&gt;0,1,0))</f>
        <v/>
      </c>
      <c r="DK217">
        <f>IF(AND($DI217&lt;&gt;"",$DJ217=0),1,0)</f>
        <v/>
      </c>
      <c r="DL217">
        <f>DL216+$DK217</f>
        <v/>
      </c>
      <c r="DM217">
        <f>IF(AND($DK217=1,$DL217&lt;=600),1,0)</f>
        <v/>
      </c>
      <c r="DN217">
        <f>IF($DM217=0,"",IF($L$6=0,"",IFERROR(IF(ISNUMBER(INDEX(PASTE_ALL,$DF217,$L$6)),INDEX(PASTE_ALL,$DF217,$L$6),TRIM(SUBSTITUTE(SUBSTITUTE(SUBSTITUTE(SUBSTITUTE(INDEX(PASTE_ALL,$DF217,$L$6)," "," "),CHAR(9)," "),CHAR(10)," "),CHAR(13)," "))),"")))</f>
        <v/>
      </c>
      <c r="DO217">
        <f>IF($DM217=0,"",IF($L$7=0,"",IFERROR(IF(ISNUMBER(INDEX(PASTE_ALL,$DF217,$L$7)),INDEX(PASTE_ALL,$DF217,$L$7),TRIM(SUBSTITUTE(SUBSTITUTE(SUBSTITUTE(SUBSTITUTE(INDEX(PASTE_ALL,$DF217,$L$7)," "," "),CHAR(9)," "),CHAR(10)," "),CHAR(13)," "))),"")))</f>
        <v/>
      </c>
      <c r="DP217">
        <f>IF($DM217=0,"",IF($L$8=0,"",IFERROR(IF(ISNUMBER(INDEX(PASTE_ALL,$DF217,$L$8)),INDEX(PASTE_ALL,$DF217,$L$8),TRIM(SUBSTITUTE(SUBSTITUTE(SUBSTITUTE(SUBSTITUTE(INDEX(PASTE_ALL,$DF217,$L$8)," "," "),CHAR(9)," "),CHAR(10)," "),CHAR(13)," "))),"")))</f>
        <v/>
      </c>
      <c r="DQ217">
        <f>IF($DM217=0,"",IF($L$9=0,"",IFERROR(IF(ISNUMBER(INDEX(PASTE_ALL,$DF217,$L$9)),INDEX(PASTE_ALL,$DF217,$L$9),TRIM(SUBSTITUTE(SUBSTITUTE(SUBSTITUTE(SUBSTITUTE(INDEX(PASTE_ALL,$DF217,$L$9)," "," "),CHAR(9)," "),CHAR(10)," "),CHAR(13)," "))),"")))</f>
        <v/>
      </c>
      <c r="DR217">
        <f>IF($DM217=0,"",IF($L$10=0,"",IFERROR(IF(ISNUMBER(INDEX(PASTE_ALL,$DF217,$L$10)),INDEX(PASTE_ALL,$DF217,$L$10),TRIM(SUBSTITUTE(SUBSTITUTE(SUBSTITUTE(SUBSTITUTE(INDEX(PASTE_ALL,$DF217,$L$10)," "," "),CHAR(9)," "),CHAR(10)," "),CHAR(13)," "))),"")))</f>
        <v/>
      </c>
      <c r="DS217">
        <f>IF($DM217=0,"",IF($L$11=0,"",IFERROR(IF(ISNUMBER(INDEX(PASTE_ALL,$DF217,$L$11)),INDEX(PASTE_ALL,$DF217,$L$11),TRIM(SUBSTITUTE(SUBSTITUTE(SUBSTITUTE(SUBSTITUTE(INDEX(PASTE_ALL,$DF217,$L$11)," "," "),CHAR(9)," "),CHAR(10)," "),CHAR(13)," "))),"")))</f>
        <v/>
      </c>
      <c r="DT217">
        <f>IF($DM217=0,"",IF($L$12=0,"",IFERROR(IF(ISNUMBER(INDEX(PASTE_ALL,$DF217,$L$12)),INDEX(PASTE_ALL,$DF217,$L$12),TRIM(SUBSTITUTE(SUBSTITUTE(SUBSTITUTE(SUBSTITUTE(INDEX(PASTE_ALL,$DF217,$L$12)," "," "),CHAR(9)," "),CHAR(10)," "),CHAR(13)," "))),"")))</f>
        <v/>
      </c>
      <c r="DU217">
        <f>IF($DM217=0,"",IF($L$13=0,"",IFERROR(IF(ISNUMBER(INDEX(PASTE_ALL,$DF217,$L$13)),INDEX(PASTE_ALL,$DF217,$L$13),TRIM(SUBSTITUTE(SUBSTITUTE(SUBSTITUTE(SUBSTITUTE(INDEX(PASTE_ALL,$DF217,$L$13)," "," "),CHAR(9)," "),CHAR(10)," "),CHAR(13)," "))),"")))</f>
        <v/>
      </c>
      <c r="DV217">
        <f>IF($DM217=0,"",IF($L$14=0,"",IFERROR(IF(ISNUMBER(INDEX(PASTE_ALL,$DF217,$L$14)),INDEX(PASTE_ALL,$DF217,$L$14),TRIM(SUBSTITUTE(SUBSTITUTE(SUBSTITUTE(SUBSTITUTE(INDEX(PASTE_ALL,$DF217,$L$14)," "," "),CHAR(9)," "),CHAR(10)," "),CHAR(13)," "))),"")))</f>
        <v/>
      </c>
      <c r="DW217">
        <f>IF($DM217=0,"",IF($L$15=0,"",IFERROR(IF(ISNUMBER(INDEX(PASTE_ALL,$DF217,$L$15)),INDEX(PASTE_ALL,$DF217,$L$15),IF(SUMPRODUCT(--ISNUMBER(FIND({"A","B","C","D","E","F","G","H","I","J","K","L","M","N","O","P","Q","R","S","T","U","V","W","X","Y","Z","0","1","2","3","4","5","6","7","8","9"},UPPER(TRIM(SUBSTITUTE(SUBSTITUTE(SUBSTITUTE(SUBSTITUTE(INDEX(PASTE_ALL,$DF217,$L$15)," "," "),CHAR(9)," "),CHAR(10)," "),CHAR(13)," "))))))&gt;0,TRIM(SUBSTITUTE(SUBSTITUTE(SUBSTITUTE(SUBSTITUTE(INDEX(PASTE_ALL,$DF217,$L$15)," "," "),CHAR(9)," "),CHAR(10)," "),CHAR(13)," ")),"")),"")))</f>
        <v/>
      </c>
      <c r="DX217">
        <f>IF($DM217=0,"",IF($L$16=0,"",IFERROR(IF(ISNUMBER(INDEX(PASTE_ALL,$DF217,$L$16)),INDEX(PASTE_ALL,$DF217,$L$16),SUBSTITUTE(SUBSTITUTE(TRIM(SUBSTITUTE(SUBSTITUTE(SUBSTITUTE(SUBSTITUTE(INDEX(PASTE_ALL,$DF217,$L$16)," "," "),CHAR(9)," "),CHAR(10)," "),CHAR(13)," ")),",",""),"%","")),"")))</f>
        <v/>
      </c>
      <c r="DY217">
        <f>IF($DM217=0,"",IFERROR(IF(ISNUMBER($DX217),$DX217,IF($DX217="","",IF(TRIM($DX217)="",0,IF(AND(AND(SUBSTITUTE(SUBSTITUTE(SUBSTITUTE(SUBSTITUTE(SUBSTITUTE(SUBSTITUTE(SUBSTITUTE(SUBSTITUTE(SUBSTITUTE(SUBSTITUTE(SUBSTITUTE(SUBSTITUTE(SUBSTITUTE(SUBSTITUTE(UPPER(TRIM($DX217)),"0",""),"1",""),"2",""),"3",""),"4",""),"5",""),"6",""),"7",""),"8",""),"9",""),".",""),"+",""),"-",""),"E","")="",LEN(SUBSTITUTE(SUBSTITUTE(MID(UPPER(TRIM($DX217)),1+OR(LEFT(UPPER(TRIM($DX217)),1)="+",LEFT(UPPER(TRIM($DX217)),1)="-"),999),"E+","E"),"E-","E"))=LEN(SUBSTITUTE(SUBSTITUTE(SUBSTITUTE(SUBSTITUTE(MID(UPPER(TRIM($DX217)),1+OR(LEFT(UPPER(TRIM($DX217)),1)="+",LEFT(UPPER(TRIM($DX217)),1)="-"),999),"E+","E"),"E-","E"),"+",""),"-","")),LEN(UPPER(TRIM($DX217)))-LEN(SUBSTITUTE(UPPER(TRIM($DX217)),"E",""))&lt;2,LEN(UPPER(TRIM($DX217)))-LEN(SUBSTITUTE(UPPER(TRIM($DX217)),".",""))&lt;2,IFERROR(FIND(".",UPPER(TRIM($DX217))),0)&lt;IFERROR(FIND("E",UPPER(TRIM($DX217))),999)),ISNUMBER(VALUE(TRIM($DX217)))),VALUE(TRIM($DX217)),"")))),""))</f>
        <v/>
      </c>
      <c r="DZ217">
        <f>IF($DM217=0,"",IF($L$17=0,"",IFERROR(IF(ISNUMBER(INDEX(PASTE_ALL,$DF217,$L$17)),INDEX(PASTE_ALL,$DF217,$L$17),SUBSTITUTE(SUBSTITUTE(TRIM(SUBSTITUTE(SUBSTITUTE(SUBSTITUTE(SUBSTITUTE(INDEX(PASTE_ALL,$DF217,$L$17)," "," "),CHAR(9)," "),CHAR(10)," "),CHAR(13)," ")),",",""),"%","")),"")))</f>
        <v/>
      </c>
      <c r="EA217">
        <f>IF($DM217=0,"",IFERROR(IF(ISNUMBER($DZ217),$DZ217,IF($DZ217="","",IF(TRIM($DZ217)="",0,IF(AND(AND(SUBSTITUTE(SUBSTITUTE(SUBSTITUTE(SUBSTITUTE(SUBSTITUTE(SUBSTITUTE(SUBSTITUTE(SUBSTITUTE(SUBSTITUTE(SUBSTITUTE(SUBSTITUTE(SUBSTITUTE(SUBSTITUTE(SUBSTITUTE(UPPER(TRIM($DZ217)),"0",""),"1",""),"2",""),"3",""),"4",""),"5",""),"6",""),"7",""),"8",""),"9",""),".",""),"+",""),"-",""),"E","")="",LEN(SUBSTITUTE(SUBSTITUTE(MID(UPPER(TRIM($DZ217)),1+OR(LEFT(UPPER(TRIM($DZ217)),1)="+",LEFT(UPPER(TRIM($DZ217)),1)="-"),999),"E+","E"),"E-","E"))=LEN(SUBSTITUTE(SUBSTITUTE(SUBSTITUTE(SUBSTITUTE(MID(UPPER(TRIM($DZ217)),1+OR(LEFT(UPPER(TRIM($DZ217)),1)="+",LEFT(UPPER(TRIM($DZ217)),1)="-"),999),"E+","E"),"E-","E"),"+",""),"-","")),LEN(UPPER(TRIM($DZ217)))-LEN(SUBSTITUTE(UPPER(TRIM($DZ217)),"E",""))&lt;2,LEN(UPPER(TRIM($DZ217)))-LEN(SUBSTITUTE(UPPER(TRIM($DZ217)),".",""))&lt;2,IFERROR(FIND(".",UPPER(TRIM($DZ217))),0)&lt;IFERROR(FIND("E",UPPER(TRIM($DZ217))),999)),ISNUMBER(VALUE(TRIM($DZ217)))),VALUE(TRIM($DZ217)),"")))),""))</f>
        <v/>
      </c>
      <c r="EB217">
        <f>IF($DM217=0,"",IF($L$18=0,"",IFERROR(IF(UPPER(TRIM(SUBSTITUTE(SUBSTITUTE(SUBSTITUTE(SUBSTITUTE(INDEX(PASTE_ALL,$DF217,$L$18)," "," "),CHAR(9)," "),CHAR(10)," "),CHAR(13)," ")))="READY","Ready",IF(UPPER(TRIM(SUBSTITUTE(SUBSTITUTE(SUBSTITUTE(SUBSTITUTE(INDEX(PASTE_ALL,$DF217,$L$18)," "," "),CHAR(9)," "),CHAR(10)," "),CHAR(13)," ")))="PM","PM",IF(OR(UPPER(TRIM(SUBSTITUTE(SUBSTITUTE(SUBSTITUTE(SUBSTITUTE(INDEX(PASTE_ALL,$DF217,$L$18)," "," "),CHAR(9)," "),CHAR(10)," "),CHAR(13)," ")))="OT",UPPER(TRIM(SUBSTITUTE(SUBSTITUTE(SUBSTITUTE(SUBSTITUTE(INDEX(PASTE_ALL,$DF217,$L$18)," "," "),CHAR(9)," "),CHAR(10)," "),CHAR(13)," ")))="OVERTIME",UPPER(TRIM(SUBSTITUTE(SUBSTITUTE(SUBSTITUTE(SUBSTITUTE(INDEX(PASTE_ALL,$DF217,$L$18)," "," "),CHAR(9)," "),CHAR(10)," "),CHAR(13)," ")))="TRIAL"),"OT",TRIM(SUBSTITUTE(SUBSTITUTE(SUBSTITUTE(SUBSTITUTE(INDEX(PASTE_ALL,$DF217,$L$18)," "," "),CHAR(9)," "),CHAR(10)," "),CHAR(13)," "))))),"")))</f>
        <v/>
      </c>
      <c r="EC217">
        <f>IF($DM217=0,"",IF($L$19=0,"",IFERROR(IF(ISNUMBER(INDEX(PASTE_ALL,$DF217,$L$19)),INDEX(PASTE_ALL,$DF217,$L$19),TRIM(SUBSTITUTE(SUBSTITUTE(SUBSTITUTE(SUBSTITUTE(INDEX(PASTE_ALL,$DF217,$L$19)," "," "),CHAR(9)," "),CHAR(10)," "),CHAR(13)," "))),"")))</f>
        <v/>
      </c>
      <c r="ED217">
        <f>IF($DM217=0,"",MATCH(1,INDEX(EXACT($DH$5:DH217,$DH217)*$DM$5:DM217,0),0))</f>
        <v/>
      </c>
      <c r="EE217">
        <f>IF($DM217=0,0,IF($ED217=$DE217,1,0))</f>
        <v/>
      </c>
      <c r="EF217">
        <f>EF216+$EE217</f>
        <v/>
      </c>
      <c r="EG217">
        <f>IF($DM217=0,"",INDEX($EF$5:$EF$1003,$ED217))</f>
        <v/>
      </c>
      <c r="EH217">
        <f>IF($DM217=0,"",IF($DO217&lt;&gt;"","",IFERROR(LOOKUP(2,1/(($EG$4:EG216=$EG217)*($DO$4:DO216&lt;&gt;"")),$DO$4:DO216),"")))</f>
        <v/>
      </c>
      <c r="EI217">
        <f>IF($DM217=0,"",IF($DO217&lt;&gt;"",$DO217,$EH217))</f>
        <v/>
      </c>
      <c r="EJ217">
        <f>IF($DM217=0,"",IF($EI217="",0,IF(OR(ISNUMBER($EI217),AND(AND(SUBSTITUTE(SUBSTITUTE(SUBSTITUTE(SUBSTITUTE(SUBSTITUTE(SUBSTITUTE(SUBSTITUTE(SUBSTITUTE(SUBSTITUTE(SUBSTITUTE(SUBSTITUTE(SUBSTITUTE(SUBSTITUTE(SUBSTITUTE(UPPER($EI217),"0",""),"1",""),"2",""),"3",""),"4",""),"5",""),"6",""),"7",""),"8",""),"9",""),".",""),"+",""),"-",""),"E","")="",LEN(SUBSTITUTE(SUBSTITUTE(MID(UPPER($EI217),1+OR(LEFT(UPPER($EI217),1)="+",LEFT(UPPER($EI217),1)="-"),999),"E+","E"),"E-","E"))=LEN(SUBSTITUTE(SUBSTITUTE(SUBSTITUTE(SUBSTITUTE(MID(UPPER($EI217),1+OR(LEFT(UPPER($EI217),1)="+",LEFT(UPPER($EI217),1)="-"),999),"E+","E"),"E-","E"),"+",""),"-","")),LEN(UPPER($EI217))-LEN(SUBSTITUTE(UPPER($EI217),"E",""))&lt;2,LEN(UPPER($EI217))-LEN(SUBSTITUTE(UPPER($EI217),".",""))&lt;2,IFERROR(FIND(".",UPPER($EI217)),0)&lt;IFERROR(FIND("E",UPPER($EI217)),999)),ISNUMBER(VALUE($EI217)))),1,2)))</f>
        <v/>
      </c>
      <c r="EK217">
        <f>IF($DM217=0,"",IF($EJ217=1,IF(ISNUMBER($EI217),$EI217,VALUE($EI217)),IF($EJ217=2,$DE217,0)))</f>
        <v/>
      </c>
      <c r="EL217">
        <f>IF($DM217=0,"",COUNTIF($EG$5:$EG$1003,"&lt;"&amp;$EG217)+SUMPRODUCT(($EG$5:$EG$1003=$EG217)*(($EJ$5:$EJ$1003&lt;$EJ217)+($EJ$5:$EJ$1003=$EJ217)*(($EK$5:$EK$1003&lt;$EK217)+($EK$5:$EK$1003=$EK217)*($DE$5:$DE$1003&lt;$DE217))))+1)</f>
        <v/>
      </c>
      <c r="EM217">
        <f>IF($DM217=0,"",$EL217+$EG217-1)</f>
        <v/>
      </c>
      <c r="EN217">
        <f>IF($DM217=0,0,IFERROR(MATCH(1,INDEX(--(TRIM(SUBSTITUTE(SUBSTITUTE(SUBSTITUTE(SUBSTITUTE(LINES_NAME&amp;""," "," "),CHAR(9)," "),CHAR(10)," "),CHAR(13)," "))=$DH217),0),0),0))</f>
        <v/>
      </c>
      <c r="EO217">
        <f>IF($EN217=0,0,IF(OR(UPPER(TRIM(INDEX(LINES_SCHEDULED,$EN217)&amp;""))="YES",UPPER(TRIM(INDEX(LINES_SCHEDULED,$EN217)&amp;""))="Y",UPPER(TRIM(INDEX(LINES_SCHEDULED,$EN217)&amp;""))="X"),1,0))</f>
        <v/>
      </c>
      <c r="EP217">
        <f>IF($DM217=0,"",IF(COUNTIFS($EG$5:$EG$1003,$EG217,$EB$5:$EB$1003,"Ready")&gt;0,"READY",IF(COUNTIFS($EG$5:$EG$1003,$EG217,$EB$5:$EB$1003,"PM")&gt;0,"PM",IF(COUNTIFS($EG$5:$EG$1003,$EG217,$EB$5:$EB$1003,"OT")&gt;0,"OT",""))))</f>
        <v/>
      </c>
      <c r="EQ217">
        <f>IF($EN217=0,"",UPPER(TRIM(INDEX(LINES_STATUS,$EN217)&amp;"")))</f>
        <v/>
      </c>
      <c r="ER217">
        <f>IF($DM217=0,"",IF(OR($EQ217="READY",$EQ217="PM",$EQ217="OT"),$EQ217,$EP217))</f>
        <v/>
      </c>
      <c r="ES217">
        <f>IF($DM217=0,"",IF(AND($DV217&lt;&gt;"",UPPER($DV217)&lt;&gt;"N"),"allergen",IF(ISNUMBER(SEARCH("oil",$DQ217)),"oil",IF(OR(EXACT($DS217,"A662"),EXACT($DS217,"A624")),"bulk",""))))</f>
        <v/>
      </c>
      <c r="ET217">
        <f>IF($DM217=0,"",IF(OR($EA217="",$EA217=0),"",$EA217/100))</f>
        <v/>
      </c>
      <c r="EU217">
        <f>IF(OR($ET217="",$DY217=""),"",INT($DY217*(1-$ET217)+0.5))</f>
        <v/>
      </c>
      <c r="EW217" t="n">
        <v>213</v>
      </c>
      <c r="EX217">
        <f>IFERROR(MATCH($EW217,$EM$5:$EM$1003,0),0)</f>
        <v/>
      </c>
      <c r="EY217">
        <f>IF($EW217&gt;$B$12,"",IF($EX217&gt;0,"row","spacer"))</f>
        <v/>
      </c>
      <c r="EZ217">
        <f>IF(AND($EY217="row",$EY216&lt;&gt;"row"),1,0)</f>
        <v/>
      </c>
      <c r="FA217">
        <f>IF(AND($EY217="row",$EY218&lt;&gt;"row"),1,0)</f>
        <v/>
      </c>
      <c r="FB217">
        <f>IF($EZ217=1,IFERROR(IF(ISNUMBER(INDEX(PASTE_ALL,INDEX($DF$5:$DF$1003,$EX217),$B$37)),INDEX(PASTE_ALL,INDEX($DF$5:$DF$1003,$EX217),$B$37),INDEX($DH$5:$DH$1003,$EX217)),INDEX($DH$5:$DH$1003,$EX217)),"")</f>
        <v/>
      </c>
      <c r="FC217">
        <f>IF($EY217="row",INDEX($ER$5:$ER$1003,$EX217),"")</f>
        <v/>
      </c>
      <c r="FD217">
        <f>IF($EY217="row",INDEX($DN$5:$DN$1003,$EX217),"")</f>
        <v/>
      </c>
      <c r="FE217">
        <f>IF($EY217="row",INDEX($DO$5:$DO$1003,$EX217),"")</f>
        <v/>
      </c>
      <c r="FF217">
        <f>IF($EY217="row",INDEX($DP$5:$DP$1003,$EX217),"")</f>
        <v/>
      </c>
      <c r="FG217">
        <f>IF($EY217="row",INDEX($DQ$5:$DQ$1003,$EX217),"")</f>
        <v/>
      </c>
      <c r="FH217">
        <f>IF($EY217="row",INDEX($DR$5:$DR$1003,$EX217),"")</f>
        <v/>
      </c>
      <c r="FI217">
        <f>IF($EY217="row",INDEX($DS$5:$DS$1003,$EX217),"")</f>
        <v/>
      </c>
      <c r="FJ217">
        <f>IF($EY217="row",INDEX($DT$5:$DT$1003,$EX217),"")</f>
        <v/>
      </c>
      <c r="FK217">
        <f>IF($EY217="row",INDEX($DU$5:$DU$1003,$EX217),"")</f>
        <v/>
      </c>
      <c r="FL217">
        <f>IF($EY217="row",INDEX($DV$5:$DV$1003,$EX217),"")</f>
        <v/>
      </c>
      <c r="FM217">
        <f>IF($EY217="row",INDEX($DW$5:$DW$1003,$EX217),"")</f>
        <v/>
      </c>
      <c r="FN217">
        <f>IF($EY217="row",INDEX($DY$5:$DY$1003,$EX217),"")</f>
        <v/>
      </c>
      <c r="FO217">
        <f>IF($EY217="row",INDEX($EA$5:$EA$1003,$EX217),"")</f>
        <v/>
      </c>
      <c r="FP217">
        <f>IF($EY217="row",INDEX($EC$5:$EC$1003,$EX217),"")</f>
        <v/>
      </c>
      <c r="FQ217">
        <f>IF($EY217="row",INDEX($ET$5:$ET$1003,$EX217),"")</f>
        <v/>
      </c>
      <c r="FR217">
        <f>IF($EY217="row",INDEX($EU$5:$EU$1003,$EX217),"")</f>
        <v/>
      </c>
      <c r="FS217">
        <f>IF(AND($EY217="row",$EY216="row"),IF(OR(INDEX($DT$5:$DT$1003,$EX216)="",INDEX($DT$5:$DT$1003,$EX217)=""),"",IF(NOT(EXACT(INDEX($DT$5:$DT$1003,$EX216),INDEX($DT$5:$DT$1003,$EX217))),"S4",IF(NOT(EXACT(INDEX($DS$5:$DS$1003,$EX216),INDEX($DS$5:$DS$1003,$EX217))),"S3",IF(NOT(EXACT(INDEX($DR$5:$DR$1003,$EX216),INDEX($DR$5:$DR$1003,$EX217))),"S1 Count Change","S1")))),"")</f>
        <v/>
      </c>
      <c r="FT217">
        <f>IF($EY217="row",INDEX($ES$5:$ES$1003,$EX217),"")</f>
        <v/>
      </c>
      <c r="FU217">
        <f>IF($EY217="row",INDEX($EO$5:$EO$1003,$EX217),0)</f>
        <v/>
      </c>
      <c r="FV217">
        <f>IF($FS217="S1 Count Change",1,0)</f>
        <v/>
      </c>
    </row>
    <row r="218">
      <c r="Y218">
        <f>0+IF(Y128&gt;0,0,IF(SUMPRODUCT(MOD(INT(Y173/{2,4,8,16,32,64,128,256,512,1024,2048,4096,8192,16384,32768}),2)*(1-MOD(INT(($CJ38+0)/{2,4,8,16,32,64,128,256,512,1024,2048,4096,8192,16384,32768}),2))*{2,4,8,16,32,64,128,256,512,1024,2048,4096,8192,16384,32768})=0,0,2^SUMPRODUCT(--(MOD(SUMPRODUCT(MOD(INT(Y173/{2,4,8,16,32,64,128,256,512,1024,2048,4096,8192,16384,32768}),2)*(1-MOD(INT(($CJ38+0)/{2,4,8,16,32,64,128,256,512,1024,2048,4096,8192,16384,32768}),2))*{2,4,8,16,32,64,128,256,512,1024,2048,4096,8192,16384,32768}),{2,4,8,16,32,64,128,256,512,1024,2048,4096,8192,16384,32768})=0))))</f>
        <v/>
      </c>
      <c r="Z218">
        <f>Y218+IF(AND(Z128&gt;0,COUNTIF($Y128:Y128,Z128)=0),0,IF(SUMPRODUCT(MOD(INT(Z173/{2,4,8,16,32,64,128,256,512,1024,2048,4096,8192,16384,32768}),2)*(1-MOD(INT(($CJ38+Y218)/{2,4,8,16,32,64,128,256,512,1024,2048,4096,8192,16384,32768}),2))*{2,4,8,16,32,64,128,256,512,1024,2048,4096,8192,16384,32768})=0,0,2^SUMPRODUCT(--(MOD(SUMPRODUCT(MOD(INT(Z173/{2,4,8,16,32,64,128,256,512,1024,2048,4096,8192,16384,32768}),2)*(1-MOD(INT(($CJ38+Y218)/{2,4,8,16,32,64,128,256,512,1024,2048,4096,8192,16384,32768}),2))*{2,4,8,16,32,64,128,256,512,1024,2048,4096,8192,16384,32768}),{2,4,8,16,32,64,128,256,512,1024,2048,4096,8192,16384,32768})=0))))</f>
        <v/>
      </c>
      <c r="AA218">
        <f>Z218+IF(AND(AA128&gt;0,COUNTIF($Y128:Z128,AA128)=0),0,IF(SUMPRODUCT(MOD(INT(AA173/{2,4,8,16,32,64,128,256,512,1024,2048,4096,8192,16384,32768}),2)*(1-MOD(INT(($CJ38+Z218)/{2,4,8,16,32,64,128,256,512,1024,2048,4096,8192,16384,32768}),2))*{2,4,8,16,32,64,128,256,512,1024,2048,4096,8192,16384,32768})=0,0,2^SUMPRODUCT(--(MOD(SUMPRODUCT(MOD(INT(AA173/{2,4,8,16,32,64,128,256,512,1024,2048,4096,8192,16384,32768}),2)*(1-MOD(INT(($CJ38+Z218)/{2,4,8,16,32,64,128,256,512,1024,2048,4096,8192,16384,32768}),2))*{2,4,8,16,32,64,128,256,512,1024,2048,4096,8192,16384,32768}),{2,4,8,16,32,64,128,256,512,1024,2048,4096,8192,16384,32768})=0))))</f>
        <v/>
      </c>
      <c r="AB218">
        <f>AA218+IF(AND(AB128&gt;0,COUNTIF($Y128:AA128,AB128)=0),0,IF(SUMPRODUCT(MOD(INT(AB173/{2,4,8,16,32,64,128,256,512,1024,2048,4096,8192,16384,32768}),2)*(1-MOD(INT(($CJ38+AA218)/{2,4,8,16,32,64,128,256,512,1024,2048,4096,8192,16384,32768}),2))*{2,4,8,16,32,64,128,256,512,1024,2048,4096,8192,16384,32768})=0,0,2^SUMPRODUCT(--(MOD(SUMPRODUCT(MOD(INT(AB173/{2,4,8,16,32,64,128,256,512,1024,2048,4096,8192,16384,32768}),2)*(1-MOD(INT(($CJ38+AA218)/{2,4,8,16,32,64,128,256,512,1024,2048,4096,8192,16384,32768}),2))*{2,4,8,16,32,64,128,256,512,1024,2048,4096,8192,16384,32768}),{2,4,8,16,32,64,128,256,512,1024,2048,4096,8192,16384,32768})=0))))</f>
        <v/>
      </c>
      <c r="AC218">
        <f>AB218+IF(AND(AC128&gt;0,COUNTIF($Y128:AB128,AC128)=0),0,IF(SUMPRODUCT(MOD(INT(AC173/{2,4,8,16,32,64,128,256,512,1024,2048,4096,8192,16384,32768}),2)*(1-MOD(INT(($CJ38+AB218)/{2,4,8,16,32,64,128,256,512,1024,2048,4096,8192,16384,32768}),2))*{2,4,8,16,32,64,128,256,512,1024,2048,4096,8192,16384,32768})=0,0,2^SUMPRODUCT(--(MOD(SUMPRODUCT(MOD(INT(AC173/{2,4,8,16,32,64,128,256,512,1024,2048,4096,8192,16384,32768}),2)*(1-MOD(INT(($CJ38+AB218)/{2,4,8,16,32,64,128,256,512,1024,2048,4096,8192,16384,32768}),2))*{2,4,8,16,32,64,128,256,512,1024,2048,4096,8192,16384,32768}),{2,4,8,16,32,64,128,256,512,1024,2048,4096,8192,16384,32768})=0))))</f>
        <v/>
      </c>
      <c r="AD218">
        <f>AC218+IF(AND(AD128&gt;0,COUNTIF($Y128:AC128,AD128)=0),0,IF(SUMPRODUCT(MOD(INT(AD173/{2,4,8,16,32,64,128,256,512,1024,2048,4096,8192,16384,32768}),2)*(1-MOD(INT(($CJ38+AC218)/{2,4,8,16,32,64,128,256,512,1024,2048,4096,8192,16384,32768}),2))*{2,4,8,16,32,64,128,256,512,1024,2048,4096,8192,16384,32768})=0,0,2^SUMPRODUCT(--(MOD(SUMPRODUCT(MOD(INT(AD173/{2,4,8,16,32,64,128,256,512,1024,2048,4096,8192,16384,32768}),2)*(1-MOD(INT(($CJ38+AC218)/{2,4,8,16,32,64,128,256,512,1024,2048,4096,8192,16384,32768}),2))*{2,4,8,16,32,64,128,256,512,1024,2048,4096,8192,16384,32768}),{2,4,8,16,32,64,128,256,512,1024,2048,4096,8192,16384,32768})=0))))</f>
        <v/>
      </c>
      <c r="AE218">
        <f>AD218+IF(AND(AE128&gt;0,COUNTIF($Y128:AD128,AE128)=0),0,IF(SUMPRODUCT(MOD(INT(AE173/{2,4,8,16,32,64,128,256,512,1024,2048,4096,8192,16384,32768}),2)*(1-MOD(INT(($CJ38+AD218)/{2,4,8,16,32,64,128,256,512,1024,2048,4096,8192,16384,32768}),2))*{2,4,8,16,32,64,128,256,512,1024,2048,4096,8192,16384,32768})=0,0,2^SUMPRODUCT(--(MOD(SUMPRODUCT(MOD(INT(AE173/{2,4,8,16,32,64,128,256,512,1024,2048,4096,8192,16384,32768}),2)*(1-MOD(INT(($CJ38+AD218)/{2,4,8,16,32,64,128,256,512,1024,2048,4096,8192,16384,32768}),2))*{2,4,8,16,32,64,128,256,512,1024,2048,4096,8192,16384,32768}),{2,4,8,16,32,64,128,256,512,1024,2048,4096,8192,16384,32768})=0))))</f>
        <v/>
      </c>
      <c r="AF218">
        <f>AE218+IF(AND(AF128&gt;0,COUNTIF($Y128:AE128,AF128)=0),0,IF(SUMPRODUCT(MOD(INT(AF173/{2,4,8,16,32,64,128,256,512,1024,2048,4096,8192,16384,32768}),2)*(1-MOD(INT(($CJ38+AE218)/{2,4,8,16,32,64,128,256,512,1024,2048,4096,8192,16384,32768}),2))*{2,4,8,16,32,64,128,256,512,1024,2048,4096,8192,16384,32768})=0,0,2^SUMPRODUCT(--(MOD(SUMPRODUCT(MOD(INT(AF173/{2,4,8,16,32,64,128,256,512,1024,2048,4096,8192,16384,32768}),2)*(1-MOD(INT(($CJ38+AE218)/{2,4,8,16,32,64,128,256,512,1024,2048,4096,8192,16384,32768}),2))*{2,4,8,16,32,64,128,256,512,1024,2048,4096,8192,16384,32768}),{2,4,8,16,32,64,128,256,512,1024,2048,4096,8192,16384,32768})=0))))</f>
        <v/>
      </c>
      <c r="AG218">
        <f>AF218+IF(AND(AG128&gt;0,COUNTIF($Y128:AF128,AG128)=0),0,IF(SUMPRODUCT(MOD(INT(AG173/{2,4,8,16,32,64,128,256,512,1024,2048,4096,8192,16384,32768}),2)*(1-MOD(INT(($CJ38+AF218)/{2,4,8,16,32,64,128,256,512,1024,2048,4096,8192,16384,32768}),2))*{2,4,8,16,32,64,128,256,512,1024,2048,4096,8192,16384,32768})=0,0,2^SUMPRODUCT(--(MOD(SUMPRODUCT(MOD(INT(AG173/{2,4,8,16,32,64,128,256,512,1024,2048,4096,8192,16384,32768}),2)*(1-MOD(INT(($CJ38+AF218)/{2,4,8,16,32,64,128,256,512,1024,2048,4096,8192,16384,32768}),2))*{2,4,8,16,32,64,128,256,512,1024,2048,4096,8192,16384,32768}),{2,4,8,16,32,64,128,256,512,1024,2048,4096,8192,16384,32768})=0))))</f>
        <v/>
      </c>
      <c r="AH218">
        <f>AG218+IF(AND(AH128&gt;0,COUNTIF($Y128:AG128,AH128)=0),0,IF(SUMPRODUCT(MOD(INT(AH173/{2,4,8,16,32,64,128,256,512,1024,2048,4096,8192,16384,32768}),2)*(1-MOD(INT(($CJ38+AG218)/{2,4,8,16,32,64,128,256,512,1024,2048,4096,8192,16384,32768}),2))*{2,4,8,16,32,64,128,256,512,1024,2048,4096,8192,16384,32768})=0,0,2^SUMPRODUCT(--(MOD(SUMPRODUCT(MOD(INT(AH173/{2,4,8,16,32,64,128,256,512,1024,2048,4096,8192,16384,32768}),2)*(1-MOD(INT(($CJ38+AG218)/{2,4,8,16,32,64,128,256,512,1024,2048,4096,8192,16384,32768}),2))*{2,4,8,16,32,64,128,256,512,1024,2048,4096,8192,16384,32768}),{2,4,8,16,32,64,128,256,512,1024,2048,4096,8192,16384,32768})=0))))</f>
        <v/>
      </c>
      <c r="AI218">
        <f>AH218+IF(AND(AI128&gt;0,COUNTIF($Y128:AH128,AI128)=0),0,IF(SUMPRODUCT(MOD(INT(AI173/{2,4,8,16,32,64,128,256,512,1024,2048,4096,8192,16384,32768}),2)*(1-MOD(INT(($CJ38+AH218)/{2,4,8,16,32,64,128,256,512,1024,2048,4096,8192,16384,32768}),2))*{2,4,8,16,32,64,128,256,512,1024,2048,4096,8192,16384,32768})=0,0,2^SUMPRODUCT(--(MOD(SUMPRODUCT(MOD(INT(AI173/{2,4,8,16,32,64,128,256,512,1024,2048,4096,8192,16384,32768}),2)*(1-MOD(INT(($CJ38+AH218)/{2,4,8,16,32,64,128,256,512,1024,2048,4096,8192,16384,32768}),2))*{2,4,8,16,32,64,128,256,512,1024,2048,4096,8192,16384,32768}),{2,4,8,16,32,64,128,256,512,1024,2048,4096,8192,16384,32768})=0))))</f>
        <v/>
      </c>
      <c r="AJ218">
        <f>AI218+IF(AND(AJ128&gt;0,COUNTIF($Y128:AI128,AJ128)=0),0,IF(SUMPRODUCT(MOD(INT(AJ173/{2,4,8,16,32,64,128,256,512,1024,2048,4096,8192,16384,32768}),2)*(1-MOD(INT(($CJ38+AI218)/{2,4,8,16,32,64,128,256,512,1024,2048,4096,8192,16384,32768}),2))*{2,4,8,16,32,64,128,256,512,1024,2048,4096,8192,16384,32768})=0,0,2^SUMPRODUCT(--(MOD(SUMPRODUCT(MOD(INT(AJ173/{2,4,8,16,32,64,128,256,512,1024,2048,4096,8192,16384,32768}),2)*(1-MOD(INT(($CJ38+AI218)/{2,4,8,16,32,64,128,256,512,1024,2048,4096,8192,16384,32768}),2))*{2,4,8,16,32,64,128,256,512,1024,2048,4096,8192,16384,32768}),{2,4,8,16,32,64,128,256,512,1024,2048,4096,8192,16384,32768})=0))))</f>
        <v/>
      </c>
      <c r="AK218">
        <f>AJ218+IF(AND(AK128&gt;0,COUNTIF($Y128:AJ128,AK128)=0),0,IF(SUMPRODUCT(MOD(INT(AK173/{2,4,8,16,32,64,128,256,512,1024,2048,4096,8192,16384,32768}),2)*(1-MOD(INT(($CJ38+AJ218)/{2,4,8,16,32,64,128,256,512,1024,2048,4096,8192,16384,32768}),2))*{2,4,8,16,32,64,128,256,512,1024,2048,4096,8192,16384,32768})=0,0,2^SUMPRODUCT(--(MOD(SUMPRODUCT(MOD(INT(AK173/{2,4,8,16,32,64,128,256,512,1024,2048,4096,8192,16384,32768}),2)*(1-MOD(INT(($CJ38+AJ218)/{2,4,8,16,32,64,128,256,512,1024,2048,4096,8192,16384,32768}),2))*{2,4,8,16,32,64,128,256,512,1024,2048,4096,8192,16384,32768}),{2,4,8,16,32,64,128,256,512,1024,2048,4096,8192,16384,32768})=0))))</f>
        <v/>
      </c>
      <c r="AL218">
        <f>AK218+IF(AND(AL128&gt;0,COUNTIF($Y128:AK128,AL128)=0),0,IF(SUMPRODUCT(MOD(INT(AL173/{2,4,8,16,32,64,128,256,512,1024,2048,4096,8192,16384,32768}),2)*(1-MOD(INT(($CJ38+AK218)/{2,4,8,16,32,64,128,256,512,1024,2048,4096,8192,16384,32768}),2))*{2,4,8,16,32,64,128,256,512,1024,2048,4096,8192,16384,32768})=0,0,2^SUMPRODUCT(--(MOD(SUMPRODUCT(MOD(INT(AL173/{2,4,8,16,32,64,128,256,512,1024,2048,4096,8192,16384,32768}),2)*(1-MOD(INT(($CJ38+AK218)/{2,4,8,16,32,64,128,256,512,1024,2048,4096,8192,16384,32768}),2))*{2,4,8,16,32,64,128,256,512,1024,2048,4096,8192,16384,32768}),{2,4,8,16,32,64,128,256,512,1024,2048,4096,8192,16384,32768})=0))))</f>
        <v/>
      </c>
      <c r="AM218">
        <f>AL218+IF(AND(AM128&gt;0,COUNTIF($Y128:AL128,AM128)=0),0,IF(SUMPRODUCT(MOD(INT(AM173/{2,4,8,16,32,64,128,256,512,1024,2048,4096,8192,16384,32768}),2)*(1-MOD(INT(($CJ38+AL218)/{2,4,8,16,32,64,128,256,512,1024,2048,4096,8192,16384,32768}),2))*{2,4,8,16,32,64,128,256,512,1024,2048,4096,8192,16384,32768})=0,0,2^SUMPRODUCT(--(MOD(SUMPRODUCT(MOD(INT(AM173/{2,4,8,16,32,64,128,256,512,1024,2048,4096,8192,16384,32768}),2)*(1-MOD(INT(($CJ38+AL218)/{2,4,8,16,32,64,128,256,512,1024,2048,4096,8192,16384,32768}),2))*{2,4,8,16,32,64,128,256,512,1024,2048,4096,8192,16384,32768}),{2,4,8,16,32,64,128,256,512,1024,2048,4096,8192,16384,32768})=0))))</f>
        <v/>
      </c>
      <c r="AN218">
        <f>AM218+IF(AND(AN128&gt;0,COUNTIF($Y128:AM128,AN128)=0),0,IF(SUMPRODUCT(MOD(INT(AN173/{2,4,8,16,32,64,128,256,512,1024,2048,4096,8192,16384,32768}),2)*(1-MOD(INT(($CJ38+AM218)/{2,4,8,16,32,64,128,256,512,1024,2048,4096,8192,16384,32768}),2))*{2,4,8,16,32,64,128,256,512,1024,2048,4096,8192,16384,32768})=0,0,2^SUMPRODUCT(--(MOD(SUMPRODUCT(MOD(INT(AN173/{2,4,8,16,32,64,128,256,512,1024,2048,4096,8192,16384,32768}),2)*(1-MOD(INT(($CJ38+AM218)/{2,4,8,16,32,64,128,256,512,1024,2048,4096,8192,16384,32768}),2))*{2,4,8,16,32,64,128,256,512,1024,2048,4096,8192,16384,32768}),{2,4,8,16,32,64,128,256,512,1024,2048,4096,8192,16384,32768})=0))))</f>
        <v/>
      </c>
      <c r="AO218">
        <f>AN218+IF(AND(AO128&gt;0,COUNTIF($Y128:AN128,AO128)=0),0,IF(SUMPRODUCT(MOD(INT(AO173/{2,4,8,16,32,64,128,256,512,1024,2048,4096,8192,16384,32768}),2)*(1-MOD(INT(($CJ38+AN218)/{2,4,8,16,32,64,128,256,512,1024,2048,4096,8192,16384,32768}),2))*{2,4,8,16,32,64,128,256,512,1024,2048,4096,8192,16384,32768})=0,0,2^SUMPRODUCT(--(MOD(SUMPRODUCT(MOD(INT(AO173/{2,4,8,16,32,64,128,256,512,1024,2048,4096,8192,16384,32768}),2)*(1-MOD(INT(($CJ38+AN218)/{2,4,8,16,32,64,128,256,512,1024,2048,4096,8192,16384,32768}),2))*{2,4,8,16,32,64,128,256,512,1024,2048,4096,8192,16384,32768}),{2,4,8,16,32,64,128,256,512,1024,2048,4096,8192,16384,32768})=0))))</f>
        <v/>
      </c>
      <c r="AP218">
        <f>AO218+IF(AND(AP128&gt;0,COUNTIF($Y128:AO128,AP128)=0),0,IF(SUMPRODUCT(MOD(INT(AP173/{2,4,8,16,32,64,128,256,512,1024,2048,4096,8192,16384,32768}),2)*(1-MOD(INT(($CJ38+AO218)/{2,4,8,16,32,64,128,256,512,1024,2048,4096,8192,16384,32768}),2))*{2,4,8,16,32,64,128,256,512,1024,2048,4096,8192,16384,32768})=0,0,2^SUMPRODUCT(--(MOD(SUMPRODUCT(MOD(INT(AP173/{2,4,8,16,32,64,128,256,512,1024,2048,4096,8192,16384,32768}),2)*(1-MOD(INT(($CJ38+AO218)/{2,4,8,16,32,64,128,256,512,1024,2048,4096,8192,16384,32768}),2))*{2,4,8,16,32,64,128,256,512,1024,2048,4096,8192,16384,32768}),{2,4,8,16,32,64,128,256,512,1024,2048,4096,8192,16384,32768})=0))))</f>
        <v/>
      </c>
      <c r="AQ218">
        <f>AP218+IF(AND(AQ128&gt;0,COUNTIF($Y128:AP128,AQ128)=0),0,IF(SUMPRODUCT(MOD(INT(AQ173/{2,4,8,16,32,64,128,256,512,1024,2048,4096,8192,16384,32768}),2)*(1-MOD(INT(($CJ38+AP218)/{2,4,8,16,32,64,128,256,512,1024,2048,4096,8192,16384,32768}),2))*{2,4,8,16,32,64,128,256,512,1024,2048,4096,8192,16384,32768})=0,0,2^SUMPRODUCT(--(MOD(SUMPRODUCT(MOD(INT(AQ173/{2,4,8,16,32,64,128,256,512,1024,2048,4096,8192,16384,32768}),2)*(1-MOD(INT(($CJ38+AP218)/{2,4,8,16,32,64,128,256,512,1024,2048,4096,8192,16384,32768}),2))*{2,4,8,16,32,64,128,256,512,1024,2048,4096,8192,16384,32768}),{2,4,8,16,32,64,128,256,512,1024,2048,4096,8192,16384,32768})=0))))</f>
        <v/>
      </c>
      <c r="AR218">
        <f>AQ218+IF(AND(AR128&gt;0,COUNTIF($Y128:AQ128,AR128)=0),0,IF(SUMPRODUCT(MOD(INT(AR173/{2,4,8,16,32,64,128,256,512,1024,2048,4096,8192,16384,32768}),2)*(1-MOD(INT(($CJ38+AQ218)/{2,4,8,16,32,64,128,256,512,1024,2048,4096,8192,16384,32768}),2))*{2,4,8,16,32,64,128,256,512,1024,2048,4096,8192,16384,32768})=0,0,2^SUMPRODUCT(--(MOD(SUMPRODUCT(MOD(INT(AR173/{2,4,8,16,32,64,128,256,512,1024,2048,4096,8192,16384,32768}),2)*(1-MOD(INT(($CJ38+AQ218)/{2,4,8,16,32,64,128,256,512,1024,2048,4096,8192,16384,32768}),2))*{2,4,8,16,32,64,128,256,512,1024,2048,4096,8192,16384,32768}),{2,4,8,16,32,64,128,256,512,1024,2048,4096,8192,16384,32768})=0))))</f>
        <v/>
      </c>
      <c r="AS218">
        <f>AR218+IF(AND(AS128&gt;0,COUNTIF($Y128:AR128,AS128)=0),0,IF(SUMPRODUCT(MOD(INT(AS173/{2,4,8,16,32,64,128,256,512,1024,2048,4096,8192,16384,32768}),2)*(1-MOD(INT(($CJ38+AR218)/{2,4,8,16,32,64,128,256,512,1024,2048,4096,8192,16384,32768}),2))*{2,4,8,16,32,64,128,256,512,1024,2048,4096,8192,16384,32768})=0,0,2^SUMPRODUCT(--(MOD(SUMPRODUCT(MOD(INT(AS173/{2,4,8,16,32,64,128,256,512,1024,2048,4096,8192,16384,32768}),2)*(1-MOD(INT(($CJ38+AR218)/{2,4,8,16,32,64,128,256,512,1024,2048,4096,8192,16384,32768}),2))*{2,4,8,16,32,64,128,256,512,1024,2048,4096,8192,16384,32768}),{2,4,8,16,32,64,128,256,512,1024,2048,4096,8192,16384,32768})=0))))</f>
        <v/>
      </c>
      <c r="AT218">
        <f>AS218+IF(AND(AT128&gt;0,COUNTIF($Y128:AS128,AT128)=0),0,IF(SUMPRODUCT(MOD(INT(AT173/{2,4,8,16,32,64,128,256,512,1024,2048,4096,8192,16384,32768}),2)*(1-MOD(INT(($CJ38+AS218)/{2,4,8,16,32,64,128,256,512,1024,2048,4096,8192,16384,32768}),2))*{2,4,8,16,32,64,128,256,512,1024,2048,4096,8192,16384,32768})=0,0,2^SUMPRODUCT(--(MOD(SUMPRODUCT(MOD(INT(AT173/{2,4,8,16,32,64,128,256,512,1024,2048,4096,8192,16384,32768}),2)*(1-MOD(INT(($CJ38+AS218)/{2,4,8,16,32,64,128,256,512,1024,2048,4096,8192,16384,32768}),2))*{2,4,8,16,32,64,128,256,512,1024,2048,4096,8192,16384,32768}),{2,4,8,16,32,64,128,256,512,1024,2048,4096,8192,16384,32768})=0))))</f>
        <v/>
      </c>
      <c r="AU218">
        <f>AT218+IF(AND(AU128&gt;0,COUNTIF($Y128:AT128,AU128)=0),0,IF(SUMPRODUCT(MOD(INT(AU173/{2,4,8,16,32,64,128,256,512,1024,2048,4096,8192,16384,32768}),2)*(1-MOD(INT(($CJ38+AT218)/{2,4,8,16,32,64,128,256,512,1024,2048,4096,8192,16384,32768}),2))*{2,4,8,16,32,64,128,256,512,1024,2048,4096,8192,16384,32768})=0,0,2^SUMPRODUCT(--(MOD(SUMPRODUCT(MOD(INT(AU173/{2,4,8,16,32,64,128,256,512,1024,2048,4096,8192,16384,32768}),2)*(1-MOD(INT(($CJ38+AT218)/{2,4,8,16,32,64,128,256,512,1024,2048,4096,8192,16384,32768}),2))*{2,4,8,16,32,64,128,256,512,1024,2048,4096,8192,16384,32768}),{2,4,8,16,32,64,128,256,512,1024,2048,4096,8192,16384,32768})=0))))</f>
        <v/>
      </c>
      <c r="AV218">
        <f>AU218+IF(AND(AV128&gt;0,COUNTIF($Y128:AU128,AV128)=0),0,IF(SUMPRODUCT(MOD(INT(AV173/{2,4,8,16,32,64,128,256,512,1024,2048,4096,8192,16384,32768}),2)*(1-MOD(INT(($CJ38+AU218)/{2,4,8,16,32,64,128,256,512,1024,2048,4096,8192,16384,32768}),2))*{2,4,8,16,32,64,128,256,512,1024,2048,4096,8192,16384,32768})=0,0,2^SUMPRODUCT(--(MOD(SUMPRODUCT(MOD(INT(AV173/{2,4,8,16,32,64,128,256,512,1024,2048,4096,8192,16384,32768}),2)*(1-MOD(INT(($CJ38+AU218)/{2,4,8,16,32,64,128,256,512,1024,2048,4096,8192,16384,32768}),2))*{2,4,8,16,32,64,128,256,512,1024,2048,4096,8192,16384,32768}),{2,4,8,16,32,64,128,256,512,1024,2048,4096,8192,16384,32768})=0))))</f>
        <v/>
      </c>
      <c r="AW218">
        <f>AV218+IF(AND(AW128&gt;0,COUNTIF($Y128:AV128,AW128)=0),0,IF(SUMPRODUCT(MOD(INT(AW173/{2,4,8,16,32,64,128,256,512,1024,2048,4096,8192,16384,32768}),2)*(1-MOD(INT(($CJ38+AV218)/{2,4,8,16,32,64,128,256,512,1024,2048,4096,8192,16384,32768}),2))*{2,4,8,16,32,64,128,256,512,1024,2048,4096,8192,16384,32768})=0,0,2^SUMPRODUCT(--(MOD(SUMPRODUCT(MOD(INT(AW173/{2,4,8,16,32,64,128,256,512,1024,2048,4096,8192,16384,32768}),2)*(1-MOD(INT(($CJ38+AV218)/{2,4,8,16,32,64,128,256,512,1024,2048,4096,8192,16384,32768}),2))*{2,4,8,16,32,64,128,256,512,1024,2048,4096,8192,16384,32768}),{2,4,8,16,32,64,128,256,512,1024,2048,4096,8192,16384,32768})=0))))</f>
        <v/>
      </c>
      <c r="AX218">
        <f>AW218+IF(AND(AX128&gt;0,COUNTIF($Y128:AW128,AX128)=0),0,IF(SUMPRODUCT(MOD(INT(AX173/{2,4,8,16,32,64,128,256,512,1024,2048,4096,8192,16384,32768}),2)*(1-MOD(INT(($CJ38+AW218)/{2,4,8,16,32,64,128,256,512,1024,2048,4096,8192,16384,32768}),2))*{2,4,8,16,32,64,128,256,512,1024,2048,4096,8192,16384,32768})=0,0,2^SUMPRODUCT(--(MOD(SUMPRODUCT(MOD(INT(AX173/{2,4,8,16,32,64,128,256,512,1024,2048,4096,8192,16384,32768}),2)*(1-MOD(INT(($CJ38+AW218)/{2,4,8,16,32,64,128,256,512,1024,2048,4096,8192,16384,32768}),2))*{2,4,8,16,32,64,128,256,512,1024,2048,4096,8192,16384,32768}),{2,4,8,16,32,64,128,256,512,1024,2048,4096,8192,16384,32768})=0))))</f>
        <v/>
      </c>
      <c r="AY218">
        <f>AX218+IF(AND(AY128&gt;0,COUNTIF($Y128:AX128,AY128)=0),0,IF(SUMPRODUCT(MOD(INT(AY173/{2,4,8,16,32,64,128,256,512,1024,2048,4096,8192,16384,32768}),2)*(1-MOD(INT(($CJ38+AX218)/{2,4,8,16,32,64,128,256,512,1024,2048,4096,8192,16384,32768}),2))*{2,4,8,16,32,64,128,256,512,1024,2048,4096,8192,16384,32768})=0,0,2^SUMPRODUCT(--(MOD(SUMPRODUCT(MOD(INT(AY173/{2,4,8,16,32,64,128,256,512,1024,2048,4096,8192,16384,32768}),2)*(1-MOD(INT(($CJ38+AX218)/{2,4,8,16,32,64,128,256,512,1024,2048,4096,8192,16384,32768}),2))*{2,4,8,16,32,64,128,256,512,1024,2048,4096,8192,16384,32768}),{2,4,8,16,32,64,128,256,512,1024,2048,4096,8192,16384,32768})=0))))</f>
        <v/>
      </c>
      <c r="AZ218">
        <f>AY218+IF(AND(AZ128&gt;0,COUNTIF($Y128:AY128,AZ128)=0),0,IF(SUMPRODUCT(MOD(INT(AZ173/{2,4,8,16,32,64,128,256,512,1024,2048,4096,8192,16384,32768}),2)*(1-MOD(INT(($CJ38+AY218)/{2,4,8,16,32,64,128,256,512,1024,2048,4096,8192,16384,32768}),2))*{2,4,8,16,32,64,128,256,512,1024,2048,4096,8192,16384,32768})=0,0,2^SUMPRODUCT(--(MOD(SUMPRODUCT(MOD(INT(AZ173/{2,4,8,16,32,64,128,256,512,1024,2048,4096,8192,16384,32768}),2)*(1-MOD(INT(($CJ38+AY218)/{2,4,8,16,32,64,128,256,512,1024,2048,4096,8192,16384,32768}),2))*{2,4,8,16,32,64,128,256,512,1024,2048,4096,8192,16384,32768}),{2,4,8,16,32,64,128,256,512,1024,2048,4096,8192,16384,32768})=0))))</f>
        <v/>
      </c>
      <c r="BA218">
        <f>AZ218+IF(AND(BA128&gt;0,COUNTIF($Y128:AZ128,BA128)=0),0,IF(SUMPRODUCT(MOD(INT(BA173/{2,4,8,16,32,64,128,256,512,1024,2048,4096,8192,16384,32768}),2)*(1-MOD(INT(($CJ38+AZ218)/{2,4,8,16,32,64,128,256,512,1024,2048,4096,8192,16384,32768}),2))*{2,4,8,16,32,64,128,256,512,1024,2048,4096,8192,16384,32768})=0,0,2^SUMPRODUCT(--(MOD(SUMPRODUCT(MOD(INT(BA173/{2,4,8,16,32,64,128,256,512,1024,2048,4096,8192,16384,32768}),2)*(1-MOD(INT(($CJ38+AZ218)/{2,4,8,16,32,64,128,256,512,1024,2048,4096,8192,16384,32768}),2))*{2,4,8,16,32,64,128,256,512,1024,2048,4096,8192,16384,32768}),{2,4,8,16,32,64,128,256,512,1024,2048,4096,8192,16384,32768})=0))))</f>
        <v/>
      </c>
      <c r="BB218">
        <f>BA218+IF(AND(BB128&gt;0,COUNTIF($Y128:BA128,BB128)=0),0,IF(SUMPRODUCT(MOD(INT(BB173/{2,4,8,16,32,64,128,256,512,1024,2048,4096,8192,16384,32768}),2)*(1-MOD(INT(($CJ38+BA218)/{2,4,8,16,32,64,128,256,512,1024,2048,4096,8192,16384,32768}),2))*{2,4,8,16,32,64,128,256,512,1024,2048,4096,8192,16384,32768})=0,0,2^SUMPRODUCT(--(MOD(SUMPRODUCT(MOD(INT(BB173/{2,4,8,16,32,64,128,256,512,1024,2048,4096,8192,16384,32768}),2)*(1-MOD(INT(($CJ38+BA218)/{2,4,8,16,32,64,128,256,512,1024,2048,4096,8192,16384,32768}),2))*{2,4,8,16,32,64,128,256,512,1024,2048,4096,8192,16384,32768}),{2,4,8,16,32,64,128,256,512,1024,2048,4096,8192,16384,32768})=0))))</f>
        <v/>
      </c>
      <c r="BC218">
        <f>BB218+IF(AND(BC128&gt;0,COUNTIF($Y128:BB128,BC128)=0),0,IF(SUMPRODUCT(MOD(INT(BC173/{2,4,8,16,32,64,128,256,512,1024,2048,4096,8192,16384,32768}),2)*(1-MOD(INT(($CJ38+BB218)/{2,4,8,16,32,64,128,256,512,1024,2048,4096,8192,16384,32768}),2))*{2,4,8,16,32,64,128,256,512,1024,2048,4096,8192,16384,32768})=0,0,2^SUMPRODUCT(--(MOD(SUMPRODUCT(MOD(INT(BC173/{2,4,8,16,32,64,128,256,512,1024,2048,4096,8192,16384,32768}),2)*(1-MOD(INT(($CJ38+BB218)/{2,4,8,16,32,64,128,256,512,1024,2048,4096,8192,16384,32768}),2))*{2,4,8,16,32,64,128,256,512,1024,2048,4096,8192,16384,32768}),{2,4,8,16,32,64,128,256,512,1024,2048,4096,8192,16384,32768})=0))))</f>
        <v/>
      </c>
      <c r="BD218">
        <f>BC218+IF(AND(BD128&gt;0,COUNTIF($Y128:BC128,BD128)=0),0,IF(SUMPRODUCT(MOD(INT(BD173/{2,4,8,16,32,64,128,256,512,1024,2048,4096,8192,16384,32768}),2)*(1-MOD(INT(($CJ38+BC218)/{2,4,8,16,32,64,128,256,512,1024,2048,4096,8192,16384,32768}),2))*{2,4,8,16,32,64,128,256,512,1024,2048,4096,8192,16384,32768})=0,0,2^SUMPRODUCT(--(MOD(SUMPRODUCT(MOD(INT(BD173/{2,4,8,16,32,64,128,256,512,1024,2048,4096,8192,16384,32768}),2)*(1-MOD(INT(($CJ38+BC218)/{2,4,8,16,32,64,128,256,512,1024,2048,4096,8192,16384,32768}),2))*{2,4,8,16,32,64,128,256,512,1024,2048,4096,8192,16384,32768}),{2,4,8,16,32,64,128,256,512,1024,2048,4096,8192,16384,32768})=0))))</f>
        <v/>
      </c>
      <c r="BE218">
        <f>BD218+IF(AND(BE128&gt;0,COUNTIF($Y128:BD128,BE128)=0),0,IF(SUMPRODUCT(MOD(INT(BE173/{2,4,8,16,32,64,128,256,512,1024,2048,4096,8192,16384,32768}),2)*(1-MOD(INT(($CJ38+BD218)/{2,4,8,16,32,64,128,256,512,1024,2048,4096,8192,16384,32768}),2))*{2,4,8,16,32,64,128,256,512,1024,2048,4096,8192,16384,32768})=0,0,2^SUMPRODUCT(--(MOD(SUMPRODUCT(MOD(INT(BE173/{2,4,8,16,32,64,128,256,512,1024,2048,4096,8192,16384,32768}),2)*(1-MOD(INT(($CJ38+BD218)/{2,4,8,16,32,64,128,256,512,1024,2048,4096,8192,16384,32768}),2))*{2,4,8,16,32,64,128,256,512,1024,2048,4096,8192,16384,32768}),{2,4,8,16,32,64,128,256,512,1024,2048,4096,8192,16384,32768})=0))))</f>
        <v/>
      </c>
      <c r="BF218">
        <f>BE218+IF(AND(BF128&gt;0,COUNTIF($Y128:BE128,BF128)=0),0,IF(SUMPRODUCT(MOD(INT(BF173/{2,4,8,16,32,64,128,256,512,1024,2048,4096,8192,16384,32768}),2)*(1-MOD(INT(($CJ38+BE218)/{2,4,8,16,32,64,128,256,512,1024,2048,4096,8192,16384,32768}),2))*{2,4,8,16,32,64,128,256,512,1024,2048,4096,8192,16384,32768})=0,0,2^SUMPRODUCT(--(MOD(SUMPRODUCT(MOD(INT(BF173/{2,4,8,16,32,64,128,256,512,1024,2048,4096,8192,16384,32768}),2)*(1-MOD(INT(($CJ38+BE218)/{2,4,8,16,32,64,128,256,512,1024,2048,4096,8192,16384,32768}),2))*{2,4,8,16,32,64,128,256,512,1024,2048,4096,8192,16384,32768}),{2,4,8,16,32,64,128,256,512,1024,2048,4096,8192,16384,32768})=0))))</f>
        <v/>
      </c>
      <c r="BG218">
        <f>BF218+IF(AND(BG128&gt;0,COUNTIF($Y128:BF128,BG128)=0),0,IF(SUMPRODUCT(MOD(INT(BG173/{2,4,8,16,32,64,128,256,512,1024,2048,4096,8192,16384,32768}),2)*(1-MOD(INT(($CJ38+BF218)/{2,4,8,16,32,64,128,256,512,1024,2048,4096,8192,16384,32768}),2))*{2,4,8,16,32,64,128,256,512,1024,2048,4096,8192,16384,32768})=0,0,2^SUMPRODUCT(--(MOD(SUMPRODUCT(MOD(INT(BG173/{2,4,8,16,32,64,128,256,512,1024,2048,4096,8192,16384,32768}),2)*(1-MOD(INT(($CJ38+BF218)/{2,4,8,16,32,64,128,256,512,1024,2048,4096,8192,16384,32768}),2))*{2,4,8,16,32,64,128,256,512,1024,2048,4096,8192,16384,32768}),{2,4,8,16,32,64,128,256,512,1024,2048,4096,8192,16384,32768})=0))))</f>
        <v/>
      </c>
      <c r="BH218">
        <f>BG218+IF(AND(BH128&gt;0,COUNTIF($Y128:BG128,BH128)=0),0,IF(SUMPRODUCT(MOD(INT(BH173/{2,4,8,16,32,64,128,256,512,1024,2048,4096,8192,16384,32768}),2)*(1-MOD(INT(($CJ38+BG218)/{2,4,8,16,32,64,128,256,512,1024,2048,4096,8192,16384,32768}),2))*{2,4,8,16,32,64,128,256,512,1024,2048,4096,8192,16384,32768})=0,0,2^SUMPRODUCT(--(MOD(SUMPRODUCT(MOD(INT(BH173/{2,4,8,16,32,64,128,256,512,1024,2048,4096,8192,16384,32768}),2)*(1-MOD(INT(($CJ38+BG218)/{2,4,8,16,32,64,128,256,512,1024,2048,4096,8192,16384,32768}),2))*{2,4,8,16,32,64,128,256,512,1024,2048,4096,8192,16384,32768}),{2,4,8,16,32,64,128,256,512,1024,2048,4096,8192,16384,32768})=0))))</f>
        <v/>
      </c>
      <c r="BI218">
        <f>BH218+IF(AND(BI128&gt;0,COUNTIF($Y128:BH128,BI128)=0),0,IF(SUMPRODUCT(MOD(INT(BI173/{2,4,8,16,32,64,128,256,512,1024,2048,4096,8192,16384,32768}),2)*(1-MOD(INT(($CJ38+BH218)/{2,4,8,16,32,64,128,256,512,1024,2048,4096,8192,16384,32768}),2))*{2,4,8,16,32,64,128,256,512,1024,2048,4096,8192,16384,32768})=0,0,2^SUMPRODUCT(--(MOD(SUMPRODUCT(MOD(INT(BI173/{2,4,8,16,32,64,128,256,512,1024,2048,4096,8192,16384,32768}),2)*(1-MOD(INT(($CJ38+BH218)/{2,4,8,16,32,64,128,256,512,1024,2048,4096,8192,16384,32768}),2))*{2,4,8,16,32,64,128,256,512,1024,2048,4096,8192,16384,32768}),{2,4,8,16,32,64,128,256,512,1024,2048,4096,8192,16384,32768})=0))))</f>
        <v/>
      </c>
      <c r="BJ218">
        <f>BI218+IF(AND(BJ128&gt;0,COUNTIF($Y128:BI128,BJ128)=0),0,IF(SUMPRODUCT(MOD(INT(BJ173/{2,4,8,16,32,64,128,256,512,1024,2048,4096,8192,16384,32768}),2)*(1-MOD(INT(($CJ38+BI218)/{2,4,8,16,32,64,128,256,512,1024,2048,4096,8192,16384,32768}),2))*{2,4,8,16,32,64,128,256,512,1024,2048,4096,8192,16384,32768})=0,0,2^SUMPRODUCT(--(MOD(SUMPRODUCT(MOD(INT(BJ173/{2,4,8,16,32,64,128,256,512,1024,2048,4096,8192,16384,32768}),2)*(1-MOD(INT(($CJ38+BI218)/{2,4,8,16,32,64,128,256,512,1024,2048,4096,8192,16384,32768}),2))*{2,4,8,16,32,64,128,256,512,1024,2048,4096,8192,16384,32768}),{2,4,8,16,32,64,128,256,512,1024,2048,4096,8192,16384,32768})=0))))</f>
        <v/>
      </c>
      <c r="BK218">
        <f>BJ218+IF(AND(BK128&gt;0,COUNTIF($Y128:BJ128,BK128)=0),0,IF(SUMPRODUCT(MOD(INT(BK173/{2,4,8,16,32,64,128,256,512,1024,2048,4096,8192,16384,32768}),2)*(1-MOD(INT(($CJ38+BJ218)/{2,4,8,16,32,64,128,256,512,1024,2048,4096,8192,16384,32768}),2))*{2,4,8,16,32,64,128,256,512,1024,2048,4096,8192,16384,32768})=0,0,2^SUMPRODUCT(--(MOD(SUMPRODUCT(MOD(INT(BK173/{2,4,8,16,32,64,128,256,512,1024,2048,4096,8192,16384,32768}),2)*(1-MOD(INT(($CJ38+BJ218)/{2,4,8,16,32,64,128,256,512,1024,2048,4096,8192,16384,32768}),2))*{2,4,8,16,32,64,128,256,512,1024,2048,4096,8192,16384,32768}),{2,4,8,16,32,64,128,256,512,1024,2048,4096,8192,16384,32768})=0))))</f>
        <v/>
      </c>
      <c r="BL218">
        <f>BK218+IF(AND(BL128&gt;0,COUNTIF($Y128:BK128,BL128)=0),0,IF(SUMPRODUCT(MOD(INT(BL173/{2,4,8,16,32,64,128,256,512,1024,2048,4096,8192,16384,32768}),2)*(1-MOD(INT(($CJ38+BK218)/{2,4,8,16,32,64,128,256,512,1024,2048,4096,8192,16384,32768}),2))*{2,4,8,16,32,64,128,256,512,1024,2048,4096,8192,16384,32768})=0,0,2^SUMPRODUCT(--(MOD(SUMPRODUCT(MOD(INT(BL173/{2,4,8,16,32,64,128,256,512,1024,2048,4096,8192,16384,32768}),2)*(1-MOD(INT(($CJ38+BK218)/{2,4,8,16,32,64,128,256,512,1024,2048,4096,8192,16384,32768}),2))*{2,4,8,16,32,64,128,256,512,1024,2048,4096,8192,16384,32768}),{2,4,8,16,32,64,128,256,512,1024,2048,4096,8192,16384,32768})=0))))</f>
        <v/>
      </c>
      <c r="BM218">
        <f>BL218+IF(AND(BM128&gt;0,COUNTIF($Y128:BL128,BM128)=0),0,IF(SUMPRODUCT(MOD(INT(BM173/{2,4,8,16,32,64,128,256,512,1024,2048,4096,8192,16384,32768}),2)*(1-MOD(INT(($CJ38+BL218)/{2,4,8,16,32,64,128,256,512,1024,2048,4096,8192,16384,32768}),2))*{2,4,8,16,32,64,128,256,512,1024,2048,4096,8192,16384,32768})=0,0,2^SUMPRODUCT(--(MOD(SUMPRODUCT(MOD(INT(BM173/{2,4,8,16,32,64,128,256,512,1024,2048,4096,8192,16384,32768}),2)*(1-MOD(INT(($CJ38+BL218)/{2,4,8,16,32,64,128,256,512,1024,2048,4096,8192,16384,32768}),2))*{2,4,8,16,32,64,128,256,512,1024,2048,4096,8192,16384,32768}),{2,4,8,16,32,64,128,256,512,1024,2048,4096,8192,16384,32768})=0))))</f>
        <v/>
      </c>
      <c r="BN218">
        <f>BM218+IF(AND(BN128&gt;0,COUNTIF($Y128:BM128,BN128)=0),0,IF(SUMPRODUCT(MOD(INT(BN173/{2,4,8,16,32,64,128,256,512,1024,2048,4096,8192,16384,32768}),2)*(1-MOD(INT(($CJ38+BM218)/{2,4,8,16,32,64,128,256,512,1024,2048,4096,8192,16384,32768}),2))*{2,4,8,16,32,64,128,256,512,1024,2048,4096,8192,16384,32768})=0,0,2^SUMPRODUCT(--(MOD(SUMPRODUCT(MOD(INT(BN173/{2,4,8,16,32,64,128,256,512,1024,2048,4096,8192,16384,32768}),2)*(1-MOD(INT(($CJ38+BM218)/{2,4,8,16,32,64,128,256,512,1024,2048,4096,8192,16384,32768}),2))*{2,4,8,16,32,64,128,256,512,1024,2048,4096,8192,16384,32768}),{2,4,8,16,32,64,128,256,512,1024,2048,4096,8192,16384,32768})=0))))</f>
        <v/>
      </c>
      <c r="BO218">
        <f>BN218+IF(AND(BO128&gt;0,COUNTIF($Y128:BN128,BO128)=0),0,IF(SUMPRODUCT(MOD(INT(BO173/{2,4,8,16,32,64,128,256,512,1024,2048,4096,8192,16384,32768}),2)*(1-MOD(INT(($CJ38+BN218)/{2,4,8,16,32,64,128,256,512,1024,2048,4096,8192,16384,32768}),2))*{2,4,8,16,32,64,128,256,512,1024,2048,4096,8192,16384,32768})=0,0,2^SUMPRODUCT(--(MOD(SUMPRODUCT(MOD(INT(BO173/{2,4,8,16,32,64,128,256,512,1024,2048,4096,8192,16384,32768}),2)*(1-MOD(INT(($CJ38+BN218)/{2,4,8,16,32,64,128,256,512,1024,2048,4096,8192,16384,32768}),2))*{2,4,8,16,32,64,128,256,512,1024,2048,4096,8192,16384,32768}),{2,4,8,16,32,64,128,256,512,1024,2048,4096,8192,16384,32768})=0))))</f>
        <v/>
      </c>
      <c r="BP218">
        <f>BO218+IF(AND(BP128&gt;0,COUNTIF($Y128:BO128,BP128)=0),0,IF(SUMPRODUCT(MOD(INT(BP173/{2,4,8,16,32,64,128,256,512,1024,2048,4096,8192,16384,32768}),2)*(1-MOD(INT(($CJ38+BO218)/{2,4,8,16,32,64,128,256,512,1024,2048,4096,8192,16384,32768}),2))*{2,4,8,16,32,64,128,256,512,1024,2048,4096,8192,16384,32768})=0,0,2^SUMPRODUCT(--(MOD(SUMPRODUCT(MOD(INT(BP173/{2,4,8,16,32,64,128,256,512,1024,2048,4096,8192,16384,32768}),2)*(1-MOD(INT(($CJ38+BO218)/{2,4,8,16,32,64,128,256,512,1024,2048,4096,8192,16384,32768}),2))*{2,4,8,16,32,64,128,256,512,1024,2048,4096,8192,16384,32768}),{2,4,8,16,32,64,128,256,512,1024,2048,4096,8192,16384,32768})=0))))</f>
        <v/>
      </c>
      <c r="BQ218">
        <f>BP218+IF(AND(BQ128&gt;0,COUNTIF($Y128:BP128,BQ128)=0),0,IF(SUMPRODUCT(MOD(INT(BQ173/{2,4,8,16,32,64,128,256,512,1024,2048,4096,8192,16384,32768}),2)*(1-MOD(INT(($CJ38+BP218)/{2,4,8,16,32,64,128,256,512,1024,2048,4096,8192,16384,32768}),2))*{2,4,8,16,32,64,128,256,512,1024,2048,4096,8192,16384,32768})=0,0,2^SUMPRODUCT(--(MOD(SUMPRODUCT(MOD(INT(BQ173/{2,4,8,16,32,64,128,256,512,1024,2048,4096,8192,16384,32768}),2)*(1-MOD(INT(($CJ38+BP218)/{2,4,8,16,32,64,128,256,512,1024,2048,4096,8192,16384,32768}),2))*{2,4,8,16,32,64,128,256,512,1024,2048,4096,8192,16384,32768}),{2,4,8,16,32,64,128,256,512,1024,2048,4096,8192,16384,32768})=0))))</f>
        <v/>
      </c>
      <c r="BR218">
        <f>BQ218+IF(AND(BR128&gt;0,COUNTIF($Y128:BQ128,BR128)=0),0,IF(SUMPRODUCT(MOD(INT(BR173/{2,4,8,16,32,64,128,256,512,1024,2048,4096,8192,16384,32768}),2)*(1-MOD(INT(($CJ38+BQ218)/{2,4,8,16,32,64,128,256,512,1024,2048,4096,8192,16384,32768}),2))*{2,4,8,16,32,64,128,256,512,1024,2048,4096,8192,16384,32768})=0,0,2^SUMPRODUCT(--(MOD(SUMPRODUCT(MOD(INT(BR173/{2,4,8,16,32,64,128,256,512,1024,2048,4096,8192,16384,32768}),2)*(1-MOD(INT(($CJ38+BQ218)/{2,4,8,16,32,64,128,256,512,1024,2048,4096,8192,16384,32768}),2))*{2,4,8,16,32,64,128,256,512,1024,2048,4096,8192,16384,32768}),{2,4,8,16,32,64,128,256,512,1024,2048,4096,8192,16384,32768})=0))))</f>
        <v/>
      </c>
      <c r="BS218">
        <f>BR218+IF(AND(BS128&gt;0,COUNTIF($Y128:BR128,BS128)=0),0,IF(SUMPRODUCT(MOD(INT(BS173/{2,4,8,16,32,64,128,256,512,1024,2048,4096,8192,16384,32768}),2)*(1-MOD(INT(($CJ38+BR218)/{2,4,8,16,32,64,128,256,512,1024,2048,4096,8192,16384,32768}),2))*{2,4,8,16,32,64,128,256,512,1024,2048,4096,8192,16384,32768})=0,0,2^SUMPRODUCT(--(MOD(SUMPRODUCT(MOD(INT(BS173/{2,4,8,16,32,64,128,256,512,1024,2048,4096,8192,16384,32768}),2)*(1-MOD(INT(($CJ38+BR218)/{2,4,8,16,32,64,128,256,512,1024,2048,4096,8192,16384,32768}),2))*{2,4,8,16,32,64,128,256,512,1024,2048,4096,8192,16384,32768}),{2,4,8,16,32,64,128,256,512,1024,2048,4096,8192,16384,32768})=0))))</f>
        <v/>
      </c>
      <c r="BT218">
        <f>BS218+IF(AND(BT128&gt;0,COUNTIF($Y128:BS128,BT128)=0),0,IF(SUMPRODUCT(MOD(INT(BT173/{2,4,8,16,32,64,128,256,512,1024,2048,4096,8192,16384,32768}),2)*(1-MOD(INT(($CJ38+BS218)/{2,4,8,16,32,64,128,256,512,1024,2048,4096,8192,16384,32768}),2))*{2,4,8,16,32,64,128,256,512,1024,2048,4096,8192,16384,32768})=0,0,2^SUMPRODUCT(--(MOD(SUMPRODUCT(MOD(INT(BT173/{2,4,8,16,32,64,128,256,512,1024,2048,4096,8192,16384,32768}),2)*(1-MOD(INT(($CJ38+BS218)/{2,4,8,16,32,64,128,256,512,1024,2048,4096,8192,16384,32768}),2))*{2,4,8,16,32,64,128,256,512,1024,2048,4096,8192,16384,32768}),{2,4,8,16,32,64,128,256,512,1024,2048,4096,8192,16384,32768})=0))))</f>
        <v/>
      </c>
      <c r="BU218">
        <f>BT218+IF(AND(BU128&gt;0,COUNTIF($Y128:BT128,BU128)=0),0,IF(SUMPRODUCT(MOD(INT(BU173/{2,4,8,16,32,64,128,256,512,1024,2048,4096,8192,16384,32768}),2)*(1-MOD(INT(($CJ38+BT218)/{2,4,8,16,32,64,128,256,512,1024,2048,4096,8192,16384,32768}),2))*{2,4,8,16,32,64,128,256,512,1024,2048,4096,8192,16384,32768})=0,0,2^SUMPRODUCT(--(MOD(SUMPRODUCT(MOD(INT(BU173/{2,4,8,16,32,64,128,256,512,1024,2048,4096,8192,16384,32768}),2)*(1-MOD(INT(($CJ38+BT218)/{2,4,8,16,32,64,128,256,512,1024,2048,4096,8192,16384,32768}),2))*{2,4,8,16,32,64,128,256,512,1024,2048,4096,8192,16384,32768}),{2,4,8,16,32,64,128,256,512,1024,2048,4096,8192,16384,32768})=0))))</f>
        <v/>
      </c>
      <c r="BV218">
        <f>BU218+IF(AND(BV128&gt;0,COUNTIF($Y128:BU128,BV128)=0),0,IF(SUMPRODUCT(MOD(INT(BV173/{2,4,8,16,32,64,128,256,512,1024,2048,4096,8192,16384,32768}),2)*(1-MOD(INT(($CJ38+BU218)/{2,4,8,16,32,64,128,256,512,1024,2048,4096,8192,16384,32768}),2))*{2,4,8,16,32,64,128,256,512,1024,2048,4096,8192,16384,32768})=0,0,2^SUMPRODUCT(--(MOD(SUMPRODUCT(MOD(INT(BV173/{2,4,8,16,32,64,128,256,512,1024,2048,4096,8192,16384,32768}),2)*(1-MOD(INT(($CJ38+BU218)/{2,4,8,16,32,64,128,256,512,1024,2048,4096,8192,16384,32768}),2))*{2,4,8,16,32,64,128,256,512,1024,2048,4096,8192,16384,32768}),{2,4,8,16,32,64,128,256,512,1024,2048,4096,8192,16384,32768})=0))))</f>
        <v/>
      </c>
      <c r="BW218">
        <f>BV218+IF(AND(BW128&gt;0,COUNTIF($Y128:BV128,BW128)=0),0,IF(SUMPRODUCT(MOD(INT(BW173/{2,4,8,16,32,64,128,256,512,1024,2048,4096,8192,16384,32768}),2)*(1-MOD(INT(($CJ38+BV218)/{2,4,8,16,32,64,128,256,512,1024,2048,4096,8192,16384,32768}),2))*{2,4,8,16,32,64,128,256,512,1024,2048,4096,8192,16384,32768})=0,0,2^SUMPRODUCT(--(MOD(SUMPRODUCT(MOD(INT(BW173/{2,4,8,16,32,64,128,256,512,1024,2048,4096,8192,16384,32768}),2)*(1-MOD(INT(($CJ38+BV218)/{2,4,8,16,32,64,128,256,512,1024,2048,4096,8192,16384,32768}),2))*{2,4,8,16,32,64,128,256,512,1024,2048,4096,8192,16384,32768}),{2,4,8,16,32,64,128,256,512,1024,2048,4096,8192,16384,32768})=0))))</f>
        <v/>
      </c>
      <c r="BX218">
        <f>BW218+IF(AND(BX128&gt;0,COUNTIF($Y128:BW128,BX128)=0),0,IF(SUMPRODUCT(MOD(INT(BX173/{2,4,8,16,32,64,128,256,512,1024,2048,4096,8192,16384,32768}),2)*(1-MOD(INT(($CJ38+BW218)/{2,4,8,16,32,64,128,256,512,1024,2048,4096,8192,16384,32768}),2))*{2,4,8,16,32,64,128,256,512,1024,2048,4096,8192,16384,32768})=0,0,2^SUMPRODUCT(--(MOD(SUMPRODUCT(MOD(INT(BX173/{2,4,8,16,32,64,128,256,512,1024,2048,4096,8192,16384,32768}),2)*(1-MOD(INT(($CJ38+BW218)/{2,4,8,16,32,64,128,256,512,1024,2048,4096,8192,16384,32768}),2))*{2,4,8,16,32,64,128,256,512,1024,2048,4096,8192,16384,32768}),{2,4,8,16,32,64,128,256,512,1024,2048,4096,8192,16384,32768})=0))))</f>
        <v/>
      </c>
      <c r="BY218">
        <f>BX218+IF(AND(BY128&gt;0,COUNTIF($Y128:BX128,BY128)=0),0,IF(SUMPRODUCT(MOD(INT(BY173/{2,4,8,16,32,64,128,256,512,1024,2048,4096,8192,16384,32768}),2)*(1-MOD(INT(($CJ38+BX218)/{2,4,8,16,32,64,128,256,512,1024,2048,4096,8192,16384,32768}),2))*{2,4,8,16,32,64,128,256,512,1024,2048,4096,8192,16384,32768})=0,0,2^SUMPRODUCT(--(MOD(SUMPRODUCT(MOD(INT(BY173/{2,4,8,16,32,64,128,256,512,1024,2048,4096,8192,16384,32768}),2)*(1-MOD(INT(($CJ38+BX218)/{2,4,8,16,32,64,128,256,512,1024,2048,4096,8192,16384,32768}),2))*{2,4,8,16,32,64,128,256,512,1024,2048,4096,8192,16384,32768}),{2,4,8,16,32,64,128,256,512,1024,2048,4096,8192,16384,32768})=0))))</f>
        <v/>
      </c>
      <c r="BZ218">
        <f>BY218+IF(AND(BZ128&gt;0,COUNTIF($Y128:BY128,BZ128)=0),0,IF(SUMPRODUCT(MOD(INT(BZ173/{2,4,8,16,32,64,128,256,512,1024,2048,4096,8192,16384,32768}),2)*(1-MOD(INT(($CJ38+BY218)/{2,4,8,16,32,64,128,256,512,1024,2048,4096,8192,16384,32768}),2))*{2,4,8,16,32,64,128,256,512,1024,2048,4096,8192,16384,32768})=0,0,2^SUMPRODUCT(--(MOD(SUMPRODUCT(MOD(INT(BZ173/{2,4,8,16,32,64,128,256,512,1024,2048,4096,8192,16384,32768}),2)*(1-MOD(INT(($CJ38+BY218)/{2,4,8,16,32,64,128,256,512,1024,2048,4096,8192,16384,32768}),2))*{2,4,8,16,32,64,128,256,512,1024,2048,4096,8192,16384,32768}),{2,4,8,16,32,64,128,256,512,1024,2048,4096,8192,16384,32768})=0))))</f>
        <v/>
      </c>
      <c r="CA218">
        <f>BZ218+IF(AND(CA128&gt;0,COUNTIF($Y128:BZ128,CA128)=0),0,IF(SUMPRODUCT(MOD(INT(CA173/{2,4,8,16,32,64,128,256,512,1024,2048,4096,8192,16384,32768}),2)*(1-MOD(INT(($CJ38+BZ218)/{2,4,8,16,32,64,128,256,512,1024,2048,4096,8192,16384,32768}),2))*{2,4,8,16,32,64,128,256,512,1024,2048,4096,8192,16384,32768})=0,0,2^SUMPRODUCT(--(MOD(SUMPRODUCT(MOD(INT(CA173/{2,4,8,16,32,64,128,256,512,1024,2048,4096,8192,16384,32768}),2)*(1-MOD(INT(($CJ38+BZ218)/{2,4,8,16,32,64,128,256,512,1024,2048,4096,8192,16384,32768}),2))*{2,4,8,16,32,64,128,256,512,1024,2048,4096,8192,16384,32768}),{2,4,8,16,32,64,128,256,512,1024,2048,4096,8192,16384,32768})=0))))</f>
        <v/>
      </c>
      <c r="CB218">
        <f>CA218+IF(AND(CB128&gt;0,COUNTIF($Y128:CA128,CB128)=0),0,IF(SUMPRODUCT(MOD(INT(CB173/{2,4,8,16,32,64,128,256,512,1024,2048,4096,8192,16384,32768}),2)*(1-MOD(INT(($CJ38+CA218)/{2,4,8,16,32,64,128,256,512,1024,2048,4096,8192,16384,32768}),2))*{2,4,8,16,32,64,128,256,512,1024,2048,4096,8192,16384,32768})=0,0,2^SUMPRODUCT(--(MOD(SUMPRODUCT(MOD(INT(CB173/{2,4,8,16,32,64,128,256,512,1024,2048,4096,8192,16384,32768}),2)*(1-MOD(INT(($CJ38+CA218)/{2,4,8,16,32,64,128,256,512,1024,2048,4096,8192,16384,32768}),2))*{2,4,8,16,32,64,128,256,512,1024,2048,4096,8192,16384,32768}),{2,4,8,16,32,64,128,256,512,1024,2048,4096,8192,16384,32768})=0))))</f>
        <v/>
      </c>
      <c r="CC218">
        <f>CB218+IF(AND(CC128&gt;0,COUNTIF($Y128:CB128,CC128)=0),0,IF(SUMPRODUCT(MOD(INT(CC173/{2,4,8,16,32,64,128,256,512,1024,2048,4096,8192,16384,32768}),2)*(1-MOD(INT(($CJ38+CB218)/{2,4,8,16,32,64,128,256,512,1024,2048,4096,8192,16384,32768}),2))*{2,4,8,16,32,64,128,256,512,1024,2048,4096,8192,16384,32768})=0,0,2^SUMPRODUCT(--(MOD(SUMPRODUCT(MOD(INT(CC173/{2,4,8,16,32,64,128,256,512,1024,2048,4096,8192,16384,32768}),2)*(1-MOD(INT(($CJ38+CB218)/{2,4,8,16,32,64,128,256,512,1024,2048,4096,8192,16384,32768}),2))*{2,4,8,16,32,64,128,256,512,1024,2048,4096,8192,16384,32768}),{2,4,8,16,32,64,128,256,512,1024,2048,4096,8192,16384,32768})=0))))</f>
        <v/>
      </c>
      <c r="CD218">
        <f>CC218+IF(AND(CD128&gt;0,COUNTIF($Y128:CC128,CD128)=0),0,IF(SUMPRODUCT(MOD(INT(CD173/{2,4,8,16,32,64,128,256,512,1024,2048,4096,8192,16384,32768}),2)*(1-MOD(INT(($CJ38+CC218)/{2,4,8,16,32,64,128,256,512,1024,2048,4096,8192,16384,32768}),2))*{2,4,8,16,32,64,128,256,512,1024,2048,4096,8192,16384,32768})=0,0,2^SUMPRODUCT(--(MOD(SUMPRODUCT(MOD(INT(CD173/{2,4,8,16,32,64,128,256,512,1024,2048,4096,8192,16384,32768}),2)*(1-MOD(INT(($CJ38+CC218)/{2,4,8,16,32,64,128,256,512,1024,2048,4096,8192,16384,32768}),2))*{2,4,8,16,32,64,128,256,512,1024,2048,4096,8192,16384,32768}),{2,4,8,16,32,64,128,256,512,1024,2048,4096,8192,16384,32768})=0))))</f>
        <v/>
      </c>
      <c r="CE218">
        <f>CD218+IF(AND(CE128&gt;0,COUNTIF($Y128:CD128,CE128)=0),0,IF(SUMPRODUCT(MOD(INT(CE173/{2,4,8,16,32,64,128,256,512,1024,2048,4096,8192,16384,32768}),2)*(1-MOD(INT(($CJ38+CD218)/{2,4,8,16,32,64,128,256,512,1024,2048,4096,8192,16384,32768}),2))*{2,4,8,16,32,64,128,256,512,1024,2048,4096,8192,16384,32768})=0,0,2^SUMPRODUCT(--(MOD(SUMPRODUCT(MOD(INT(CE173/{2,4,8,16,32,64,128,256,512,1024,2048,4096,8192,16384,32768}),2)*(1-MOD(INT(($CJ38+CD218)/{2,4,8,16,32,64,128,256,512,1024,2048,4096,8192,16384,32768}),2))*{2,4,8,16,32,64,128,256,512,1024,2048,4096,8192,16384,32768}),{2,4,8,16,32,64,128,256,512,1024,2048,4096,8192,16384,32768})=0))))</f>
        <v/>
      </c>
      <c r="CF218">
        <f>CE218+IF(AND(CF128&gt;0,COUNTIF($Y128:CE128,CF128)=0),0,IF(SUMPRODUCT(MOD(INT(CF173/{2,4,8,16,32,64,128,256,512,1024,2048,4096,8192,16384,32768}),2)*(1-MOD(INT(($CJ38+CE218)/{2,4,8,16,32,64,128,256,512,1024,2048,4096,8192,16384,32768}),2))*{2,4,8,16,32,64,128,256,512,1024,2048,4096,8192,16384,32768})=0,0,2^SUMPRODUCT(--(MOD(SUMPRODUCT(MOD(INT(CF173/{2,4,8,16,32,64,128,256,512,1024,2048,4096,8192,16384,32768}),2)*(1-MOD(INT(($CJ38+CE218)/{2,4,8,16,32,64,128,256,512,1024,2048,4096,8192,16384,32768}),2))*{2,4,8,16,32,64,128,256,512,1024,2048,4096,8192,16384,32768}),{2,4,8,16,32,64,128,256,512,1024,2048,4096,8192,16384,32768})=0))))</f>
        <v/>
      </c>
      <c r="DA218" t="n">
        <v>214</v>
      </c>
      <c r="DB218">
        <f>IF($B$37=0,"",IFERROR(TRIM(SUBSTITUTE(SUBSTITUTE(SUBSTITUTE(SUBSTITUTE(INDEX(PASTE_ALL,214,$B$37)," "," "),CHAR(9)," "),CHAR(10)," "),CHAR(13)," ")),""))</f>
        <v/>
      </c>
      <c r="DC218">
        <f>IF(AND(214&gt;HEADER_ROW,UPPER(DB218)="LEGEND"),1,0)</f>
        <v/>
      </c>
      <c r="DE218" t="n">
        <v>214</v>
      </c>
      <c r="DF218">
        <f>HEADER_ROW+$DE218</f>
        <v/>
      </c>
      <c r="DG218">
        <f>IF(AND($DF218&lt;=1000,$DF218&lt;$B$8),1,0)</f>
        <v/>
      </c>
      <c r="DH218">
        <f>IF($DG218=1,IFERROR(INDEX($DB$5:$DB$1004,$DF218),""),"")</f>
        <v/>
      </c>
      <c r="DI218">
        <f>IF(AND($DG218=1,$DH218&lt;&gt;""),IFERROR(SUBSTITUTE(SUBSTITUTE(TRIM(SUBSTITUTE(SUBSTITUTE(SUBSTITUTE(SUBSTITUTE(IFERROR(INDEX(PASTE_ALL,$DF218,1)&amp;"","")&amp;"␟"&amp;IFERROR(INDEX(PASTE_ALL,$DF218,2)&amp;"","")&amp;"␟"&amp;IFERROR(INDEX(PASTE_ALL,$DF218,3)&amp;"","")&amp;"␟"&amp;IFERROR(INDEX(PASTE_ALL,$DF218,4)&amp;"","")&amp;"␟"&amp;IFERROR(INDEX(PASTE_ALL,$DF218,5)&amp;"","")&amp;"␟"&amp;IFERROR(INDEX(PASTE_ALL,$DF218,6)&amp;"","")&amp;"␟"&amp;IFERROR(INDEX(PASTE_ALL,$DF218,7)&amp;"","")&amp;"␟"&amp;IFERROR(INDEX(PASTE_ALL,$DF218,8)&amp;"","")&amp;"␟"&amp;IFERROR(INDEX(PASTE_ALL,$DF218,9)&amp;"","")&amp;"␟"&amp;IFERROR(INDEX(PASTE_ALL,$DF218,10)&amp;"","")&amp;"␟"&amp;IFERROR(INDEX(PASTE_ALL,$DF218,11)&amp;"","")&amp;"␟"&amp;IFERROR(INDEX(PASTE_ALL,$DF218,12)&amp;"","")&amp;"␟"&amp;IFERROR(INDEX(PASTE_ALL,$DF218,13)&amp;"","")&amp;"␟"&amp;IFERROR(INDEX(PASTE_ALL,$DF218,14)&amp;"","")&amp;"␟"&amp;IFERROR(INDEX(PASTE_ALL,$DF218,15)&amp;"","")&amp;"␟"&amp;IFERROR(INDEX(PASTE_ALL,$DF218,16)&amp;"","")&amp;"␟"&amp;IFERROR(INDEX(PASTE_ALL,$DF218,17)&amp;"","")&amp;"␟"&amp;IFERROR(INDEX(PASTE_ALL,$DF218,18)&amp;"","")&amp;"␟"&amp;IFERROR(INDEX(PASTE_ALL,$DF218,19)&amp;"","")&amp;"␟"&amp;IFERROR(INDEX(PASTE_ALL,$DF218,20)&amp;"","")&amp;"␟"&amp;IFERROR(INDEX(PASTE_ALL,$DF218,21)&amp;"","")&amp;"␟"&amp;IFERROR(INDEX(PASTE_ALL,$DF218,22)&amp;"","")&amp;"␟"&amp;IFERROR(INDEX(PASTE_ALL,$DF218,23)&amp;"","")&amp;"␟"&amp;IFERROR(INDEX(PASTE_ALL,$DF218,24)&amp;"","")&amp;"␟"&amp;IFERROR(INDEX(PASTE_ALL,$DF218,25)&amp;"","")&amp;"␟"&amp;IFERROR(INDEX(PASTE_ALL,$DF218,26)&amp;"","")&amp;"␟"&amp;IFERROR(INDEX(PASTE_ALL,$DF218,27)&amp;"","")&amp;"␟"&amp;IFERROR(INDEX(PASTE_ALL,$DF218,28)&amp;"","")&amp;"␟"&amp;IFERROR(INDEX(PASTE_ALL,$DF218,29)&amp;"","")&amp;"␟"&amp;IFERROR(INDEX(PASTE_ALL,$DF218,30)&amp;"","")&amp;"␟"&amp;IFERROR(INDEX(PASTE_ALL,$DF218,31)&amp;"","")&amp;"␟"&amp;IFERROR(INDEX(PASTE_ALL,$DF218,32)&amp;"","")&amp;"␟"&amp;IFERROR(INDEX(PASTE_ALL,$DF218,33)&amp;"","")&amp;"␟"&amp;IFERROR(INDEX(PASTE_ALL,$DF218,34)&amp;"","")&amp;"␟"&amp;IFERROR(INDEX(PASTE_ALL,$DF218,35)&amp;"","")&amp;"␟"&amp;IFERROR(INDEX(PASTE_ALL,$DF218,36)&amp;"","")&amp;"␟"&amp;IFERROR(INDEX(PASTE_ALL,$DF218,37)&amp;"","")&amp;"␟"&amp;IFERROR(INDEX(PASTE_ALL,$DF218,38)&amp;"","")&amp;"␟"&amp;IFERROR(INDEX(PASTE_ALL,$DF218,39)&amp;"","")&amp;"␟"&amp;IFERROR(INDEX(PASTE_ALL,$DF218,40)&amp;"","")&amp;"␟"&amp;IFERROR(INDEX(PASTE_ALL,$DF218,41)&amp;"","")&amp;"␟"&amp;IFERROR(INDEX(PASTE_ALL,$DF218,42)&amp;"","")&amp;"␟"&amp;IFERROR(INDEX(PASTE_ALL,$DF218,43)&amp;"","")&amp;"␟"&amp;IFERROR(INDEX(PASTE_ALL,$DF218,44)&amp;"","")&amp;"␟"&amp;IFERROR(INDEX(PASTE_ALL,$DF218,45)&amp;"","")&amp;"␟"&amp;IFERROR(INDEX(PASTE_ALL,$DF218,46)&amp;"","")&amp;"␟"&amp;IFERROR(INDEX(PASTE_ALL,$DF218,47)&amp;"","")&amp;"␟"&amp;IFERROR(INDEX(PASTE_ALL,$DF218,48)&amp;"","")&amp;"␟"&amp;IFERROR(INDEX(PASTE_ALL,$DF218,49)&amp;"","")&amp;"␟"&amp;IFERROR(INDEX(PASTE_ALL,$DF218,50)&amp;"","")&amp;"␟"&amp;IFERROR(INDEX(PASTE_ALL,$DF218,51)&amp;"","")&amp;"␟"&amp;IFERROR(INDEX(PASTE_ALL,$DF218,52)&amp;"","")&amp;"␟"&amp;IFERROR(INDEX(PASTE_ALL,$DF218,53)&amp;"","")&amp;"␟"&amp;IFERROR(INDEX(PASTE_ALL,$DF218,54)&amp;"","")&amp;"␟"&amp;IFERROR(INDEX(PASTE_ALL,$DF218,55)&amp;"","")&amp;"␟"&amp;IFERROR(INDEX(PASTE_ALL,$DF218,56)&amp;"","")&amp;"␟"&amp;IFERROR(INDEX(PASTE_ALL,$DF218,57)&amp;"","")&amp;"␟"&amp;IFERROR(INDEX(PASTE_ALL,$DF218,58)&amp;"","")&amp;"␟"&amp;IFERROR(INDEX(PASTE_ALL,$DF218,59)&amp;"","")&amp;"␟"&amp;IFERROR(INDEX(PASTE_ALL,$DF218,60)&amp;"","")," "," "),CHAR(9)," "),CHAR(10)," "),CHAR(13)," "))," ␟","␟"),"␟ ","␟"),"#"&amp;$DE218),"")</f>
        <v/>
      </c>
      <c r="DJ218">
        <f>IF($DI218="",0,IF(SUMPRODUCT(--EXACT($DI$4:DI217,$DI218))&gt;0,1,0))</f>
        <v/>
      </c>
      <c r="DK218">
        <f>IF(AND($DI218&lt;&gt;"",$DJ218=0),1,0)</f>
        <v/>
      </c>
      <c r="DL218">
        <f>DL217+$DK218</f>
        <v/>
      </c>
      <c r="DM218">
        <f>IF(AND($DK218=1,$DL218&lt;=600),1,0)</f>
        <v/>
      </c>
      <c r="DN218">
        <f>IF($DM218=0,"",IF($L$6=0,"",IFERROR(IF(ISNUMBER(INDEX(PASTE_ALL,$DF218,$L$6)),INDEX(PASTE_ALL,$DF218,$L$6),TRIM(SUBSTITUTE(SUBSTITUTE(SUBSTITUTE(SUBSTITUTE(INDEX(PASTE_ALL,$DF218,$L$6)," "," "),CHAR(9)," "),CHAR(10)," "),CHAR(13)," "))),"")))</f>
        <v/>
      </c>
      <c r="DO218">
        <f>IF($DM218=0,"",IF($L$7=0,"",IFERROR(IF(ISNUMBER(INDEX(PASTE_ALL,$DF218,$L$7)),INDEX(PASTE_ALL,$DF218,$L$7),TRIM(SUBSTITUTE(SUBSTITUTE(SUBSTITUTE(SUBSTITUTE(INDEX(PASTE_ALL,$DF218,$L$7)," "," "),CHAR(9)," "),CHAR(10)," "),CHAR(13)," "))),"")))</f>
        <v/>
      </c>
      <c r="DP218">
        <f>IF($DM218=0,"",IF($L$8=0,"",IFERROR(IF(ISNUMBER(INDEX(PASTE_ALL,$DF218,$L$8)),INDEX(PASTE_ALL,$DF218,$L$8),TRIM(SUBSTITUTE(SUBSTITUTE(SUBSTITUTE(SUBSTITUTE(INDEX(PASTE_ALL,$DF218,$L$8)," "," "),CHAR(9)," "),CHAR(10)," "),CHAR(13)," "))),"")))</f>
        <v/>
      </c>
      <c r="DQ218">
        <f>IF($DM218=0,"",IF($L$9=0,"",IFERROR(IF(ISNUMBER(INDEX(PASTE_ALL,$DF218,$L$9)),INDEX(PASTE_ALL,$DF218,$L$9),TRIM(SUBSTITUTE(SUBSTITUTE(SUBSTITUTE(SUBSTITUTE(INDEX(PASTE_ALL,$DF218,$L$9)," "," "),CHAR(9)," "),CHAR(10)," "),CHAR(13)," "))),"")))</f>
        <v/>
      </c>
      <c r="DR218">
        <f>IF($DM218=0,"",IF($L$10=0,"",IFERROR(IF(ISNUMBER(INDEX(PASTE_ALL,$DF218,$L$10)),INDEX(PASTE_ALL,$DF218,$L$10),TRIM(SUBSTITUTE(SUBSTITUTE(SUBSTITUTE(SUBSTITUTE(INDEX(PASTE_ALL,$DF218,$L$10)," "," "),CHAR(9)," "),CHAR(10)," "),CHAR(13)," "))),"")))</f>
        <v/>
      </c>
      <c r="DS218">
        <f>IF($DM218=0,"",IF($L$11=0,"",IFERROR(IF(ISNUMBER(INDEX(PASTE_ALL,$DF218,$L$11)),INDEX(PASTE_ALL,$DF218,$L$11),TRIM(SUBSTITUTE(SUBSTITUTE(SUBSTITUTE(SUBSTITUTE(INDEX(PASTE_ALL,$DF218,$L$11)," "," "),CHAR(9)," "),CHAR(10)," "),CHAR(13)," "))),"")))</f>
        <v/>
      </c>
      <c r="DT218">
        <f>IF($DM218=0,"",IF($L$12=0,"",IFERROR(IF(ISNUMBER(INDEX(PASTE_ALL,$DF218,$L$12)),INDEX(PASTE_ALL,$DF218,$L$12),TRIM(SUBSTITUTE(SUBSTITUTE(SUBSTITUTE(SUBSTITUTE(INDEX(PASTE_ALL,$DF218,$L$12)," "," "),CHAR(9)," "),CHAR(10)," "),CHAR(13)," "))),"")))</f>
        <v/>
      </c>
      <c r="DU218">
        <f>IF($DM218=0,"",IF($L$13=0,"",IFERROR(IF(ISNUMBER(INDEX(PASTE_ALL,$DF218,$L$13)),INDEX(PASTE_ALL,$DF218,$L$13),TRIM(SUBSTITUTE(SUBSTITUTE(SUBSTITUTE(SUBSTITUTE(INDEX(PASTE_ALL,$DF218,$L$13)," "," "),CHAR(9)," "),CHAR(10)," "),CHAR(13)," "))),"")))</f>
        <v/>
      </c>
      <c r="DV218">
        <f>IF($DM218=0,"",IF($L$14=0,"",IFERROR(IF(ISNUMBER(INDEX(PASTE_ALL,$DF218,$L$14)),INDEX(PASTE_ALL,$DF218,$L$14),TRIM(SUBSTITUTE(SUBSTITUTE(SUBSTITUTE(SUBSTITUTE(INDEX(PASTE_ALL,$DF218,$L$14)," "," "),CHAR(9)," "),CHAR(10)," "),CHAR(13)," "))),"")))</f>
        <v/>
      </c>
      <c r="DW218">
        <f>IF($DM218=0,"",IF($L$15=0,"",IFERROR(IF(ISNUMBER(INDEX(PASTE_ALL,$DF218,$L$15)),INDEX(PASTE_ALL,$DF218,$L$15),IF(SUMPRODUCT(--ISNUMBER(FIND({"A","B","C","D","E","F","G","H","I","J","K","L","M","N","O","P","Q","R","S","T","U","V","W","X","Y","Z","0","1","2","3","4","5","6","7","8","9"},UPPER(TRIM(SUBSTITUTE(SUBSTITUTE(SUBSTITUTE(SUBSTITUTE(INDEX(PASTE_ALL,$DF218,$L$15)," "," "),CHAR(9)," "),CHAR(10)," "),CHAR(13)," "))))))&gt;0,TRIM(SUBSTITUTE(SUBSTITUTE(SUBSTITUTE(SUBSTITUTE(INDEX(PASTE_ALL,$DF218,$L$15)," "," "),CHAR(9)," "),CHAR(10)," "),CHAR(13)," ")),"")),"")))</f>
        <v/>
      </c>
      <c r="DX218">
        <f>IF($DM218=0,"",IF($L$16=0,"",IFERROR(IF(ISNUMBER(INDEX(PASTE_ALL,$DF218,$L$16)),INDEX(PASTE_ALL,$DF218,$L$16),SUBSTITUTE(SUBSTITUTE(TRIM(SUBSTITUTE(SUBSTITUTE(SUBSTITUTE(SUBSTITUTE(INDEX(PASTE_ALL,$DF218,$L$16)," "," "),CHAR(9)," "),CHAR(10)," "),CHAR(13)," ")),",",""),"%","")),"")))</f>
        <v/>
      </c>
      <c r="DY218">
        <f>IF($DM218=0,"",IFERROR(IF(ISNUMBER($DX218),$DX218,IF($DX218="","",IF(TRIM($DX218)="",0,IF(AND(AND(SUBSTITUTE(SUBSTITUTE(SUBSTITUTE(SUBSTITUTE(SUBSTITUTE(SUBSTITUTE(SUBSTITUTE(SUBSTITUTE(SUBSTITUTE(SUBSTITUTE(SUBSTITUTE(SUBSTITUTE(SUBSTITUTE(SUBSTITUTE(UPPER(TRIM($DX218)),"0",""),"1",""),"2",""),"3",""),"4",""),"5",""),"6",""),"7",""),"8",""),"9",""),".",""),"+",""),"-",""),"E","")="",LEN(SUBSTITUTE(SUBSTITUTE(MID(UPPER(TRIM($DX218)),1+OR(LEFT(UPPER(TRIM($DX218)),1)="+",LEFT(UPPER(TRIM($DX218)),1)="-"),999),"E+","E"),"E-","E"))=LEN(SUBSTITUTE(SUBSTITUTE(SUBSTITUTE(SUBSTITUTE(MID(UPPER(TRIM($DX218)),1+OR(LEFT(UPPER(TRIM($DX218)),1)="+",LEFT(UPPER(TRIM($DX218)),1)="-"),999),"E+","E"),"E-","E"),"+",""),"-","")),LEN(UPPER(TRIM($DX218)))-LEN(SUBSTITUTE(UPPER(TRIM($DX218)),"E",""))&lt;2,LEN(UPPER(TRIM($DX218)))-LEN(SUBSTITUTE(UPPER(TRIM($DX218)),".",""))&lt;2,IFERROR(FIND(".",UPPER(TRIM($DX218))),0)&lt;IFERROR(FIND("E",UPPER(TRIM($DX218))),999)),ISNUMBER(VALUE(TRIM($DX218)))),VALUE(TRIM($DX218)),"")))),""))</f>
        <v/>
      </c>
      <c r="DZ218">
        <f>IF($DM218=0,"",IF($L$17=0,"",IFERROR(IF(ISNUMBER(INDEX(PASTE_ALL,$DF218,$L$17)),INDEX(PASTE_ALL,$DF218,$L$17),SUBSTITUTE(SUBSTITUTE(TRIM(SUBSTITUTE(SUBSTITUTE(SUBSTITUTE(SUBSTITUTE(INDEX(PASTE_ALL,$DF218,$L$17)," "," "),CHAR(9)," "),CHAR(10)," "),CHAR(13)," ")),",",""),"%","")),"")))</f>
        <v/>
      </c>
      <c r="EA218">
        <f>IF($DM218=0,"",IFERROR(IF(ISNUMBER($DZ218),$DZ218,IF($DZ218="","",IF(TRIM($DZ218)="",0,IF(AND(AND(SUBSTITUTE(SUBSTITUTE(SUBSTITUTE(SUBSTITUTE(SUBSTITUTE(SUBSTITUTE(SUBSTITUTE(SUBSTITUTE(SUBSTITUTE(SUBSTITUTE(SUBSTITUTE(SUBSTITUTE(SUBSTITUTE(SUBSTITUTE(UPPER(TRIM($DZ218)),"0",""),"1",""),"2",""),"3",""),"4",""),"5",""),"6",""),"7",""),"8",""),"9",""),".",""),"+",""),"-",""),"E","")="",LEN(SUBSTITUTE(SUBSTITUTE(MID(UPPER(TRIM($DZ218)),1+OR(LEFT(UPPER(TRIM($DZ218)),1)="+",LEFT(UPPER(TRIM($DZ218)),1)="-"),999),"E+","E"),"E-","E"))=LEN(SUBSTITUTE(SUBSTITUTE(SUBSTITUTE(SUBSTITUTE(MID(UPPER(TRIM($DZ218)),1+OR(LEFT(UPPER(TRIM($DZ218)),1)="+",LEFT(UPPER(TRIM($DZ218)),1)="-"),999),"E+","E"),"E-","E"),"+",""),"-","")),LEN(UPPER(TRIM($DZ218)))-LEN(SUBSTITUTE(UPPER(TRIM($DZ218)),"E",""))&lt;2,LEN(UPPER(TRIM($DZ218)))-LEN(SUBSTITUTE(UPPER(TRIM($DZ218)),".",""))&lt;2,IFERROR(FIND(".",UPPER(TRIM($DZ218))),0)&lt;IFERROR(FIND("E",UPPER(TRIM($DZ218))),999)),ISNUMBER(VALUE(TRIM($DZ218)))),VALUE(TRIM($DZ218)),"")))),""))</f>
        <v/>
      </c>
      <c r="EB218">
        <f>IF($DM218=0,"",IF($L$18=0,"",IFERROR(IF(UPPER(TRIM(SUBSTITUTE(SUBSTITUTE(SUBSTITUTE(SUBSTITUTE(INDEX(PASTE_ALL,$DF218,$L$18)," "," "),CHAR(9)," "),CHAR(10)," "),CHAR(13)," ")))="READY","Ready",IF(UPPER(TRIM(SUBSTITUTE(SUBSTITUTE(SUBSTITUTE(SUBSTITUTE(INDEX(PASTE_ALL,$DF218,$L$18)," "," "),CHAR(9)," "),CHAR(10)," "),CHAR(13)," ")))="PM","PM",IF(OR(UPPER(TRIM(SUBSTITUTE(SUBSTITUTE(SUBSTITUTE(SUBSTITUTE(INDEX(PASTE_ALL,$DF218,$L$18)," "," "),CHAR(9)," "),CHAR(10)," "),CHAR(13)," ")))="OT",UPPER(TRIM(SUBSTITUTE(SUBSTITUTE(SUBSTITUTE(SUBSTITUTE(INDEX(PASTE_ALL,$DF218,$L$18)," "," "),CHAR(9)," "),CHAR(10)," "),CHAR(13)," ")))="OVERTIME",UPPER(TRIM(SUBSTITUTE(SUBSTITUTE(SUBSTITUTE(SUBSTITUTE(INDEX(PASTE_ALL,$DF218,$L$18)," "," "),CHAR(9)," "),CHAR(10)," "),CHAR(13)," ")))="TRIAL"),"OT",TRIM(SUBSTITUTE(SUBSTITUTE(SUBSTITUTE(SUBSTITUTE(INDEX(PASTE_ALL,$DF218,$L$18)," "," "),CHAR(9)," "),CHAR(10)," "),CHAR(13)," "))))),"")))</f>
        <v/>
      </c>
      <c r="EC218">
        <f>IF($DM218=0,"",IF($L$19=0,"",IFERROR(IF(ISNUMBER(INDEX(PASTE_ALL,$DF218,$L$19)),INDEX(PASTE_ALL,$DF218,$L$19),TRIM(SUBSTITUTE(SUBSTITUTE(SUBSTITUTE(SUBSTITUTE(INDEX(PASTE_ALL,$DF218,$L$19)," "," "),CHAR(9)," "),CHAR(10)," "),CHAR(13)," "))),"")))</f>
        <v/>
      </c>
      <c r="ED218">
        <f>IF($DM218=0,"",MATCH(1,INDEX(EXACT($DH$5:DH218,$DH218)*$DM$5:DM218,0),0))</f>
        <v/>
      </c>
      <c r="EE218">
        <f>IF($DM218=0,0,IF($ED218=$DE218,1,0))</f>
        <v/>
      </c>
      <c r="EF218">
        <f>EF217+$EE218</f>
        <v/>
      </c>
      <c r="EG218">
        <f>IF($DM218=0,"",INDEX($EF$5:$EF$1003,$ED218))</f>
        <v/>
      </c>
      <c r="EH218">
        <f>IF($DM218=0,"",IF($DO218&lt;&gt;"","",IFERROR(LOOKUP(2,1/(($EG$4:EG217=$EG218)*($DO$4:DO217&lt;&gt;"")),$DO$4:DO217),"")))</f>
        <v/>
      </c>
      <c r="EI218">
        <f>IF($DM218=0,"",IF($DO218&lt;&gt;"",$DO218,$EH218))</f>
        <v/>
      </c>
      <c r="EJ218">
        <f>IF($DM218=0,"",IF($EI218="",0,IF(OR(ISNUMBER($EI218),AND(AND(SUBSTITUTE(SUBSTITUTE(SUBSTITUTE(SUBSTITUTE(SUBSTITUTE(SUBSTITUTE(SUBSTITUTE(SUBSTITUTE(SUBSTITUTE(SUBSTITUTE(SUBSTITUTE(SUBSTITUTE(SUBSTITUTE(SUBSTITUTE(UPPER($EI218),"0",""),"1",""),"2",""),"3",""),"4",""),"5",""),"6",""),"7",""),"8",""),"9",""),".",""),"+",""),"-",""),"E","")="",LEN(SUBSTITUTE(SUBSTITUTE(MID(UPPER($EI218),1+OR(LEFT(UPPER($EI218),1)="+",LEFT(UPPER($EI218),1)="-"),999),"E+","E"),"E-","E"))=LEN(SUBSTITUTE(SUBSTITUTE(SUBSTITUTE(SUBSTITUTE(MID(UPPER($EI218),1+OR(LEFT(UPPER($EI218),1)="+",LEFT(UPPER($EI218),1)="-"),999),"E+","E"),"E-","E"),"+",""),"-","")),LEN(UPPER($EI218))-LEN(SUBSTITUTE(UPPER($EI218),"E",""))&lt;2,LEN(UPPER($EI218))-LEN(SUBSTITUTE(UPPER($EI218),".",""))&lt;2,IFERROR(FIND(".",UPPER($EI218)),0)&lt;IFERROR(FIND("E",UPPER($EI218)),999)),ISNUMBER(VALUE($EI218)))),1,2)))</f>
        <v/>
      </c>
      <c r="EK218">
        <f>IF($DM218=0,"",IF($EJ218=1,IF(ISNUMBER($EI218),$EI218,VALUE($EI218)),IF($EJ218=2,$DE218,0)))</f>
        <v/>
      </c>
      <c r="EL218">
        <f>IF($DM218=0,"",COUNTIF($EG$5:$EG$1003,"&lt;"&amp;$EG218)+SUMPRODUCT(($EG$5:$EG$1003=$EG218)*(($EJ$5:$EJ$1003&lt;$EJ218)+($EJ$5:$EJ$1003=$EJ218)*(($EK$5:$EK$1003&lt;$EK218)+($EK$5:$EK$1003=$EK218)*($DE$5:$DE$1003&lt;$DE218))))+1)</f>
        <v/>
      </c>
      <c r="EM218">
        <f>IF($DM218=0,"",$EL218+$EG218-1)</f>
        <v/>
      </c>
      <c r="EN218">
        <f>IF($DM218=0,0,IFERROR(MATCH(1,INDEX(--(TRIM(SUBSTITUTE(SUBSTITUTE(SUBSTITUTE(SUBSTITUTE(LINES_NAME&amp;""," "," "),CHAR(9)," "),CHAR(10)," "),CHAR(13)," "))=$DH218),0),0),0))</f>
        <v/>
      </c>
      <c r="EO218">
        <f>IF($EN218=0,0,IF(OR(UPPER(TRIM(INDEX(LINES_SCHEDULED,$EN218)&amp;""))="YES",UPPER(TRIM(INDEX(LINES_SCHEDULED,$EN218)&amp;""))="Y",UPPER(TRIM(INDEX(LINES_SCHEDULED,$EN218)&amp;""))="X"),1,0))</f>
        <v/>
      </c>
      <c r="EP218">
        <f>IF($DM218=0,"",IF(COUNTIFS($EG$5:$EG$1003,$EG218,$EB$5:$EB$1003,"Ready")&gt;0,"READY",IF(COUNTIFS($EG$5:$EG$1003,$EG218,$EB$5:$EB$1003,"PM")&gt;0,"PM",IF(COUNTIFS($EG$5:$EG$1003,$EG218,$EB$5:$EB$1003,"OT")&gt;0,"OT",""))))</f>
        <v/>
      </c>
      <c r="EQ218">
        <f>IF($EN218=0,"",UPPER(TRIM(INDEX(LINES_STATUS,$EN218)&amp;"")))</f>
        <v/>
      </c>
      <c r="ER218">
        <f>IF($DM218=0,"",IF(OR($EQ218="READY",$EQ218="PM",$EQ218="OT"),$EQ218,$EP218))</f>
        <v/>
      </c>
      <c r="ES218">
        <f>IF($DM218=0,"",IF(AND($DV218&lt;&gt;"",UPPER($DV218)&lt;&gt;"N"),"allergen",IF(ISNUMBER(SEARCH("oil",$DQ218)),"oil",IF(OR(EXACT($DS218,"A662"),EXACT($DS218,"A624")),"bulk",""))))</f>
        <v/>
      </c>
      <c r="ET218">
        <f>IF($DM218=0,"",IF(OR($EA218="",$EA218=0),"",$EA218/100))</f>
        <v/>
      </c>
      <c r="EU218">
        <f>IF(OR($ET218="",$DY218=""),"",INT($DY218*(1-$ET218)+0.5))</f>
        <v/>
      </c>
      <c r="EW218" t="n">
        <v>214</v>
      </c>
      <c r="EX218">
        <f>IFERROR(MATCH($EW218,$EM$5:$EM$1003,0),0)</f>
        <v/>
      </c>
      <c r="EY218">
        <f>IF($EW218&gt;$B$12,"",IF($EX218&gt;0,"row","spacer"))</f>
        <v/>
      </c>
      <c r="EZ218">
        <f>IF(AND($EY218="row",$EY217&lt;&gt;"row"),1,0)</f>
        <v/>
      </c>
      <c r="FA218">
        <f>IF(AND($EY218="row",$EY219&lt;&gt;"row"),1,0)</f>
        <v/>
      </c>
      <c r="FB218">
        <f>IF($EZ218=1,IFERROR(IF(ISNUMBER(INDEX(PASTE_ALL,INDEX($DF$5:$DF$1003,$EX218),$B$37)),INDEX(PASTE_ALL,INDEX($DF$5:$DF$1003,$EX218),$B$37),INDEX($DH$5:$DH$1003,$EX218)),INDEX($DH$5:$DH$1003,$EX218)),"")</f>
        <v/>
      </c>
      <c r="FC218">
        <f>IF($EY218="row",INDEX($ER$5:$ER$1003,$EX218),"")</f>
        <v/>
      </c>
      <c r="FD218">
        <f>IF($EY218="row",INDEX($DN$5:$DN$1003,$EX218),"")</f>
        <v/>
      </c>
      <c r="FE218">
        <f>IF($EY218="row",INDEX($DO$5:$DO$1003,$EX218),"")</f>
        <v/>
      </c>
      <c r="FF218">
        <f>IF($EY218="row",INDEX($DP$5:$DP$1003,$EX218),"")</f>
        <v/>
      </c>
      <c r="FG218">
        <f>IF($EY218="row",INDEX($DQ$5:$DQ$1003,$EX218),"")</f>
        <v/>
      </c>
      <c r="FH218">
        <f>IF($EY218="row",INDEX($DR$5:$DR$1003,$EX218),"")</f>
        <v/>
      </c>
      <c r="FI218">
        <f>IF($EY218="row",INDEX($DS$5:$DS$1003,$EX218),"")</f>
        <v/>
      </c>
      <c r="FJ218">
        <f>IF($EY218="row",INDEX($DT$5:$DT$1003,$EX218),"")</f>
        <v/>
      </c>
      <c r="FK218">
        <f>IF($EY218="row",INDEX($DU$5:$DU$1003,$EX218),"")</f>
        <v/>
      </c>
      <c r="FL218">
        <f>IF($EY218="row",INDEX($DV$5:$DV$1003,$EX218),"")</f>
        <v/>
      </c>
      <c r="FM218">
        <f>IF($EY218="row",INDEX($DW$5:$DW$1003,$EX218),"")</f>
        <v/>
      </c>
      <c r="FN218">
        <f>IF($EY218="row",INDEX($DY$5:$DY$1003,$EX218),"")</f>
        <v/>
      </c>
      <c r="FO218">
        <f>IF($EY218="row",INDEX($EA$5:$EA$1003,$EX218),"")</f>
        <v/>
      </c>
      <c r="FP218">
        <f>IF($EY218="row",INDEX($EC$5:$EC$1003,$EX218),"")</f>
        <v/>
      </c>
      <c r="FQ218">
        <f>IF($EY218="row",INDEX($ET$5:$ET$1003,$EX218),"")</f>
        <v/>
      </c>
      <c r="FR218">
        <f>IF($EY218="row",INDEX($EU$5:$EU$1003,$EX218),"")</f>
        <v/>
      </c>
      <c r="FS218">
        <f>IF(AND($EY218="row",$EY217="row"),IF(OR(INDEX($DT$5:$DT$1003,$EX217)="",INDEX($DT$5:$DT$1003,$EX218)=""),"",IF(NOT(EXACT(INDEX($DT$5:$DT$1003,$EX217),INDEX($DT$5:$DT$1003,$EX218))),"S4",IF(NOT(EXACT(INDEX($DS$5:$DS$1003,$EX217),INDEX($DS$5:$DS$1003,$EX218))),"S3",IF(NOT(EXACT(INDEX($DR$5:$DR$1003,$EX217),INDEX($DR$5:$DR$1003,$EX218))),"S1 Count Change","S1")))),"")</f>
        <v/>
      </c>
      <c r="FT218">
        <f>IF($EY218="row",INDEX($ES$5:$ES$1003,$EX218),"")</f>
        <v/>
      </c>
      <c r="FU218">
        <f>IF($EY218="row",INDEX($EO$5:$EO$1003,$EX218),0)</f>
        <v/>
      </c>
      <c r="FV218">
        <f>IF($FS218="S1 Count Change",1,0)</f>
        <v/>
      </c>
    </row>
    <row r="219">
      <c r="Y219">
        <f>0+IF(Y129&gt;0,0,IF(SUMPRODUCT(MOD(INT(Y174/{2,4,8,16,32,64,128,256,512,1024,2048,4096,8192,16384,32768}),2)*(1-MOD(INT(($CJ39+0)/{2,4,8,16,32,64,128,256,512,1024,2048,4096,8192,16384,32768}),2))*{2,4,8,16,32,64,128,256,512,1024,2048,4096,8192,16384,32768})=0,0,2^SUMPRODUCT(--(MOD(SUMPRODUCT(MOD(INT(Y174/{2,4,8,16,32,64,128,256,512,1024,2048,4096,8192,16384,32768}),2)*(1-MOD(INT(($CJ39+0)/{2,4,8,16,32,64,128,256,512,1024,2048,4096,8192,16384,32768}),2))*{2,4,8,16,32,64,128,256,512,1024,2048,4096,8192,16384,32768}),{2,4,8,16,32,64,128,256,512,1024,2048,4096,8192,16384,32768})=0))))</f>
        <v/>
      </c>
      <c r="Z219">
        <f>Y219+IF(AND(Z129&gt;0,COUNTIF($Y129:Y129,Z129)=0),0,IF(SUMPRODUCT(MOD(INT(Z174/{2,4,8,16,32,64,128,256,512,1024,2048,4096,8192,16384,32768}),2)*(1-MOD(INT(($CJ39+Y219)/{2,4,8,16,32,64,128,256,512,1024,2048,4096,8192,16384,32768}),2))*{2,4,8,16,32,64,128,256,512,1024,2048,4096,8192,16384,32768})=0,0,2^SUMPRODUCT(--(MOD(SUMPRODUCT(MOD(INT(Z174/{2,4,8,16,32,64,128,256,512,1024,2048,4096,8192,16384,32768}),2)*(1-MOD(INT(($CJ39+Y219)/{2,4,8,16,32,64,128,256,512,1024,2048,4096,8192,16384,32768}),2))*{2,4,8,16,32,64,128,256,512,1024,2048,4096,8192,16384,32768}),{2,4,8,16,32,64,128,256,512,1024,2048,4096,8192,16384,32768})=0))))</f>
        <v/>
      </c>
      <c r="AA219">
        <f>Z219+IF(AND(AA129&gt;0,COUNTIF($Y129:Z129,AA129)=0),0,IF(SUMPRODUCT(MOD(INT(AA174/{2,4,8,16,32,64,128,256,512,1024,2048,4096,8192,16384,32768}),2)*(1-MOD(INT(($CJ39+Z219)/{2,4,8,16,32,64,128,256,512,1024,2048,4096,8192,16384,32768}),2))*{2,4,8,16,32,64,128,256,512,1024,2048,4096,8192,16384,32768})=0,0,2^SUMPRODUCT(--(MOD(SUMPRODUCT(MOD(INT(AA174/{2,4,8,16,32,64,128,256,512,1024,2048,4096,8192,16384,32768}),2)*(1-MOD(INT(($CJ39+Z219)/{2,4,8,16,32,64,128,256,512,1024,2048,4096,8192,16384,32768}),2))*{2,4,8,16,32,64,128,256,512,1024,2048,4096,8192,16384,32768}),{2,4,8,16,32,64,128,256,512,1024,2048,4096,8192,16384,32768})=0))))</f>
        <v/>
      </c>
      <c r="AB219">
        <f>AA219+IF(AND(AB129&gt;0,COUNTIF($Y129:AA129,AB129)=0),0,IF(SUMPRODUCT(MOD(INT(AB174/{2,4,8,16,32,64,128,256,512,1024,2048,4096,8192,16384,32768}),2)*(1-MOD(INT(($CJ39+AA219)/{2,4,8,16,32,64,128,256,512,1024,2048,4096,8192,16384,32768}),2))*{2,4,8,16,32,64,128,256,512,1024,2048,4096,8192,16384,32768})=0,0,2^SUMPRODUCT(--(MOD(SUMPRODUCT(MOD(INT(AB174/{2,4,8,16,32,64,128,256,512,1024,2048,4096,8192,16384,32768}),2)*(1-MOD(INT(($CJ39+AA219)/{2,4,8,16,32,64,128,256,512,1024,2048,4096,8192,16384,32768}),2))*{2,4,8,16,32,64,128,256,512,1024,2048,4096,8192,16384,32768}),{2,4,8,16,32,64,128,256,512,1024,2048,4096,8192,16384,32768})=0))))</f>
        <v/>
      </c>
      <c r="AC219">
        <f>AB219+IF(AND(AC129&gt;0,COUNTIF($Y129:AB129,AC129)=0),0,IF(SUMPRODUCT(MOD(INT(AC174/{2,4,8,16,32,64,128,256,512,1024,2048,4096,8192,16384,32768}),2)*(1-MOD(INT(($CJ39+AB219)/{2,4,8,16,32,64,128,256,512,1024,2048,4096,8192,16384,32768}),2))*{2,4,8,16,32,64,128,256,512,1024,2048,4096,8192,16384,32768})=0,0,2^SUMPRODUCT(--(MOD(SUMPRODUCT(MOD(INT(AC174/{2,4,8,16,32,64,128,256,512,1024,2048,4096,8192,16384,32768}),2)*(1-MOD(INT(($CJ39+AB219)/{2,4,8,16,32,64,128,256,512,1024,2048,4096,8192,16384,32768}),2))*{2,4,8,16,32,64,128,256,512,1024,2048,4096,8192,16384,32768}),{2,4,8,16,32,64,128,256,512,1024,2048,4096,8192,16384,32768})=0))))</f>
        <v/>
      </c>
      <c r="AD219">
        <f>AC219+IF(AND(AD129&gt;0,COUNTIF($Y129:AC129,AD129)=0),0,IF(SUMPRODUCT(MOD(INT(AD174/{2,4,8,16,32,64,128,256,512,1024,2048,4096,8192,16384,32768}),2)*(1-MOD(INT(($CJ39+AC219)/{2,4,8,16,32,64,128,256,512,1024,2048,4096,8192,16384,32768}),2))*{2,4,8,16,32,64,128,256,512,1024,2048,4096,8192,16384,32768})=0,0,2^SUMPRODUCT(--(MOD(SUMPRODUCT(MOD(INT(AD174/{2,4,8,16,32,64,128,256,512,1024,2048,4096,8192,16384,32768}),2)*(1-MOD(INT(($CJ39+AC219)/{2,4,8,16,32,64,128,256,512,1024,2048,4096,8192,16384,32768}),2))*{2,4,8,16,32,64,128,256,512,1024,2048,4096,8192,16384,32768}),{2,4,8,16,32,64,128,256,512,1024,2048,4096,8192,16384,32768})=0))))</f>
        <v/>
      </c>
      <c r="AE219">
        <f>AD219+IF(AND(AE129&gt;0,COUNTIF($Y129:AD129,AE129)=0),0,IF(SUMPRODUCT(MOD(INT(AE174/{2,4,8,16,32,64,128,256,512,1024,2048,4096,8192,16384,32768}),2)*(1-MOD(INT(($CJ39+AD219)/{2,4,8,16,32,64,128,256,512,1024,2048,4096,8192,16384,32768}),2))*{2,4,8,16,32,64,128,256,512,1024,2048,4096,8192,16384,32768})=0,0,2^SUMPRODUCT(--(MOD(SUMPRODUCT(MOD(INT(AE174/{2,4,8,16,32,64,128,256,512,1024,2048,4096,8192,16384,32768}),2)*(1-MOD(INT(($CJ39+AD219)/{2,4,8,16,32,64,128,256,512,1024,2048,4096,8192,16384,32768}),2))*{2,4,8,16,32,64,128,256,512,1024,2048,4096,8192,16384,32768}),{2,4,8,16,32,64,128,256,512,1024,2048,4096,8192,16384,32768})=0))))</f>
        <v/>
      </c>
      <c r="AF219">
        <f>AE219+IF(AND(AF129&gt;0,COUNTIF($Y129:AE129,AF129)=0),0,IF(SUMPRODUCT(MOD(INT(AF174/{2,4,8,16,32,64,128,256,512,1024,2048,4096,8192,16384,32768}),2)*(1-MOD(INT(($CJ39+AE219)/{2,4,8,16,32,64,128,256,512,1024,2048,4096,8192,16384,32768}),2))*{2,4,8,16,32,64,128,256,512,1024,2048,4096,8192,16384,32768})=0,0,2^SUMPRODUCT(--(MOD(SUMPRODUCT(MOD(INT(AF174/{2,4,8,16,32,64,128,256,512,1024,2048,4096,8192,16384,32768}),2)*(1-MOD(INT(($CJ39+AE219)/{2,4,8,16,32,64,128,256,512,1024,2048,4096,8192,16384,32768}),2))*{2,4,8,16,32,64,128,256,512,1024,2048,4096,8192,16384,32768}),{2,4,8,16,32,64,128,256,512,1024,2048,4096,8192,16384,32768})=0))))</f>
        <v/>
      </c>
      <c r="AG219">
        <f>AF219+IF(AND(AG129&gt;0,COUNTIF($Y129:AF129,AG129)=0),0,IF(SUMPRODUCT(MOD(INT(AG174/{2,4,8,16,32,64,128,256,512,1024,2048,4096,8192,16384,32768}),2)*(1-MOD(INT(($CJ39+AF219)/{2,4,8,16,32,64,128,256,512,1024,2048,4096,8192,16384,32768}),2))*{2,4,8,16,32,64,128,256,512,1024,2048,4096,8192,16384,32768})=0,0,2^SUMPRODUCT(--(MOD(SUMPRODUCT(MOD(INT(AG174/{2,4,8,16,32,64,128,256,512,1024,2048,4096,8192,16384,32768}),2)*(1-MOD(INT(($CJ39+AF219)/{2,4,8,16,32,64,128,256,512,1024,2048,4096,8192,16384,32768}),2))*{2,4,8,16,32,64,128,256,512,1024,2048,4096,8192,16384,32768}),{2,4,8,16,32,64,128,256,512,1024,2048,4096,8192,16384,32768})=0))))</f>
        <v/>
      </c>
      <c r="AH219">
        <f>AG219+IF(AND(AH129&gt;0,COUNTIF($Y129:AG129,AH129)=0),0,IF(SUMPRODUCT(MOD(INT(AH174/{2,4,8,16,32,64,128,256,512,1024,2048,4096,8192,16384,32768}),2)*(1-MOD(INT(($CJ39+AG219)/{2,4,8,16,32,64,128,256,512,1024,2048,4096,8192,16384,32768}),2))*{2,4,8,16,32,64,128,256,512,1024,2048,4096,8192,16384,32768})=0,0,2^SUMPRODUCT(--(MOD(SUMPRODUCT(MOD(INT(AH174/{2,4,8,16,32,64,128,256,512,1024,2048,4096,8192,16384,32768}),2)*(1-MOD(INT(($CJ39+AG219)/{2,4,8,16,32,64,128,256,512,1024,2048,4096,8192,16384,32768}),2))*{2,4,8,16,32,64,128,256,512,1024,2048,4096,8192,16384,32768}),{2,4,8,16,32,64,128,256,512,1024,2048,4096,8192,16384,32768})=0))))</f>
        <v/>
      </c>
      <c r="AI219">
        <f>AH219+IF(AND(AI129&gt;0,COUNTIF($Y129:AH129,AI129)=0),0,IF(SUMPRODUCT(MOD(INT(AI174/{2,4,8,16,32,64,128,256,512,1024,2048,4096,8192,16384,32768}),2)*(1-MOD(INT(($CJ39+AH219)/{2,4,8,16,32,64,128,256,512,1024,2048,4096,8192,16384,32768}),2))*{2,4,8,16,32,64,128,256,512,1024,2048,4096,8192,16384,32768})=0,0,2^SUMPRODUCT(--(MOD(SUMPRODUCT(MOD(INT(AI174/{2,4,8,16,32,64,128,256,512,1024,2048,4096,8192,16384,32768}),2)*(1-MOD(INT(($CJ39+AH219)/{2,4,8,16,32,64,128,256,512,1024,2048,4096,8192,16384,32768}),2))*{2,4,8,16,32,64,128,256,512,1024,2048,4096,8192,16384,32768}),{2,4,8,16,32,64,128,256,512,1024,2048,4096,8192,16384,32768})=0))))</f>
        <v/>
      </c>
      <c r="AJ219">
        <f>AI219+IF(AND(AJ129&gt;0,COUNTIF($Y129:AI129,AJ129)=0),0,IF(SUMPRODUCT(MOD(INT(AJ174/{2,4,8,16,32,64,128,256,512,1024,2048,4096,8192,16384,32768}),2)*(1-MOD(INT(($CJ39+AI219)/{2,4,8,16,32,64,128,256,512,1024,2048,4096,8192,16384,32768}),2))*{2,4,8,16,32,64,128,256,512,1024,2048,4096,8192,16384,32768})=0,0,2^SUMPRODUCT(--(MOD(SUMPRODUCT(MOD(INT(AJ174/{2,4,8,16,32,64,128,256,512,1024,2048,4096,8192,16384,32768}),2)*(1-MOD(INT(($CJ39+AI219)/{2,4,8,16,32,64,128,256,512,1024,2048,4096,8192,16384,32768}),2))*{2,4,8,16,32,64,128,256,512,1024,2048,4096,8192,16384,32768}),{2,4,8,16,32,64,128,256,512,1024,2048,4096,8192,16384,32768})=0))))</f>
        <v/>
      </c>
      <c r="AK219">
        <f>AJ219+IF(AND(AK129&gt;0,COUNTIF($Y129:AJ129,AK129)=0),0,IF(SUMPRODUCT(MOD(INT(AK174/{2,4,8,16,32,64,128,256,512,1024,2048,4096,8192,16384,32768}),2)*(1-MOD(INT(($CJ39+AJ219)/{2,4,8,16,32,64,128,256,512,1024,2048,4096,8192,16384,32768}),2))*{2,4,8,16,32,64,128,256,512,1024,2048,4096,8192,16384,32768})=0,0,2^SUMPRODUCT(--(MOD(SUMPRODUCT(MOD(INT(AK174/{2,4,8,16,32,64,128,256,512,1024,2048,4096,8192,16384,32768}),2)*(1-MOD(INT(($CJ39+AJ219)/{2,4,8,16,32,64,128,256,512,1024,2048,4096,8192,16384,32768}),2))*{2,4,8,16,32,64,128,256,512,1024,2048,4096,8192,16384,32768}),{2,4,8,16,32,64,128,256,512,1024,2048,4096,8192,16384,32768})=0))))</f>
        <v/>
      </c>
      <c r="AL219">
        <f>AK219+IF(AND(AL129&gt;0,COUNTIF($Y129:AK129,AL129)=0),0,IF(SUMPRODUCT(MOD(INT(AL174/{2,4,8,16,32,64,128,256,512,1024,2048,4096,8192,16384,32768}),2)*(1-MOD(INT(($CJ39+AK219)/{2,4,8,16,32,64,128,256,512,1024,2048,4096,8192,16384,32768}),2))*{2,4,8,16,32,64,128,256,512,1024,2048,4096,8192,16384,32768})=0,0,2^SUMPRODUCT(--(MOD(SUMPRODUCT(MOD(INT(AL174/{2,4,8,16,32,64,128,256,512,1024,2048,4096,8192,16384,32768}),2)*(1-MOD(INT(($CJ39+AK219)/{2,4,8,16,32,64,128,256,512,1024,2048,4096,8192,16384,32768}),2))*{2,4,8,16,32,64,128,256,512,1024,2048,4096,8192,16384,32768}),{2,4,8,16,32,64,128,256,512,1024,2048,4096,8192,16384,32768})=0))))</f>
        <v/>
      </c>
      <c r="AM219">
        <f>AL219+IF(AND(AM129&gt;0,COUNTIF($Y129:AL129,AM129)=0),0,IF(SUMPRODUCT(MOD(INT(AM174/{2,4,8,16,32,64,128,256,512,1024,2048,4096,8192,16384,32768}),2)*(1-MOD(INT(($CJ39+AL219)/{2,4,8,16,32,64,128,256,512,1024,2048,4096,8192,16384,32768}),2))*{2,4,8,16,32,64,128,256,512,1024,2048,4096,8192,16384,32768})=0,0,2^SUMPRODUCT(--(MOD(SUMPRODUCT(MOD(INT(AM174/{2,4,8,16,32,64,128,256,512,1024,2048,4096,8192,16384,32768}),2)*(1-MOD(INT(($CJ39+AL219)/{2,4,8,16,32,64,128,256,512,1024,2048,4096,8192,16384,32768}),2))*{2,4,8,16,32,64,128,256,512,1024,2048,4096,8192,16384,32768}),{2,4,8,16,32,64,128,256,512,1024,2048,4096,8192,16384,32768})=0))))</f>
        <v/>
      </c>
      <c r="AN219">
        <f>AM219+IF(AND(AN129&gt;0,COUNTIF($Y129:AM129,AN129)=0),0,IF(SUMPRODUCT(MOD(INT(AN174/{2,4,8,16,32,64,128,256,512,1024,2048,4096,8192,16384,32768}),2)*(1-MOD(INT(($CJ39+AM219)/{2,4,8,16,32,64,128,256,512,1024,2048,4096,8192,16384,32768}),2))*{2,4,8,16,32,64,128,256,512,1024,2048,4096,8192,16384,32768})=0,0,2^SUMPRODUCT(--(MOD(SUMPRODUCT(MOD(INT(AN174/{2,4,8,16,32,64,128,256,512,1024,2048,4096,8192,16384,32768}),2)*(1-MOD(INT(($CJ39+AM219)/{2,4,8,16,32,64,128,256,512,1024,2048,4096,8192,16384,32768}),2))*{2,4,8,16,32,64,128,256,512,1024,2048,4096,8192,16384,32768}),{2,4,8,16,32,64,128,256,512,1024,2048,4096,8192,16384,32768})=0))))</f>
        <v/>
      </c>
      <c r="AO219">
        <f>AN219+IF(AND(AO129&gt;0,COUNTIF($Y129:AN129,AO129)=0),0,IF(SUMPRODUCT(MOD(INT(AO174/{2,4,8,16,32,64,128,256,512,1024,2048,4096,8192,16384,32768}),2)*(1-MOD(INT(($CJ39+AN219)/{2,4,8,16,32,64,128,256,512,1024,2048,4096,8192,16384,32768}),2))*{2,4,8,16,32,64,128,256,512,1024,2048,4096,8192,16384,32768})=0,0,2^SUMPRODUCT(--(MOD(SUMPRODUCT(MOD(INT(AO174/{2,4,8,16,32,64,128,256,512,1024,2048,4096,8192,16384,32768}),2)*(1-MOD(INT(($CJ39+AN219)/{2,4,8,16,32,64,128,256,512,1024,2048,4096,8192,16384,32768}),2))*{2,4,8,16,32,64,128,256,512,1024,2048,4096,8192,16384,32768}),{2,4,8,16,32,64,128,256,512,1024,2048,4096,8192,16384,32768})=0))))</f>
        <v/>
      </c>
      <c r="AP219">
        <f>AO219+IF(AND(AP129&gt;0,COUNTIF($Y129:AO129,AP129)=0),0,IF(SUMPRODUCT(MOD(INT(AP174/{2,4,8,16,32,64,128,256,512,1024,2048,4096,8192,16384,32768}),2)*(1-MOD(INT(($CJ39+AO219)/{2,4,8,16,32,64,128,256,512,1024,2048,4096,8192,16384,32768}),2))*{2,4,8,16,32,64,128,256,512,1024,2048,4096,8192,16384,32768})=0,0,2^SUMPRODUCT(--(MOD(SUMPRODUCT(MOD(INT(AP174/{2,4,8,16,32,64,128,256,512,1024,2048,4096,8192,16384,32768}),2)*(1-MOD(INT(($CJ39+AO219)/{2,4,8,16,32,64,128,256,512,1024,2048,4096,8192,16384,32768}),2))*{2,4,8,16,32,64,128,256,512,1024,2048,4096,8192,16384,32768}),{2,4,8,16,32,64,128,256,512,1024,2048,4096,8192,16384,32768})=0))))</f>
        <v/>
      </c>
      <c r="AQ219">
        <f>AP219+IF(AND(AQ129&gt;0,COUNTIF($Y129:AP129,AQ129)=0),0,IF(SUMPRODUCT(MOD(INT(AQ174/{2,4,8,16,32,64,128,256,512,1024,2048,4096,8192,16384,32768}),2)*(1-MOD(INT(($CJ39+AP219)/{2,4,8,16,32,64,128,256,512,1024,2048,4096,8192,16384,32768}),2))*{2,4,8,16,32,64,128,256,512,1024,2048,4096,8192,16384,32768})=0,0,2^SUMPRODUCT(--(MOD(SUMPRODUCT(MOD(INT(AQ174/{2,4,8,16,32,64,128,256,512,1024,2048,4096,8192,16384,32768}),2)*(1-MOD(INT(($CJ39+AP219)/{2,4,8,16,32,64,128,256,512,1024,2048,4096,8192,16384,32768}),2))*{2,4,8,16,32,64,128,256,512,1024,2048,4096,8192,16384,32768}),{2,4,8,16,32,64,128,256,512,1024,2048,4096,8192,16384,32768})=0))))</f>
        <v/>
      </c>
      <c r="AR219">
        <f>AQ219+IF(AND(AR129&gt;0,COUNTIF($Y129:AQ129,AR129)=0),0,IF(SUMPRODUCT(MOD(INT(AR174/{2,4,8,16,32,64,128,256,512,1024,2048,4096,8192,16384,32768}),2)*(1-MOD(INT(($CJ39+AQ219)/{2,4,8,16,32,64,128,256,512,1024,2048,4096,8192,16384,32768}),2))*{2,4,8,16,32,64,128,256,512,1024,2048,4096,8192,16384,32768})=0,0,2^SUMPRODUCT(--(MOD(SUMPRODUCT(MOD(INT(AR174/{2,4,8,16,32,64,128,256,512,1024,2048,4096,8192,16384,32768}),2)*(1-MOD(INT(($CJ39+AQ219)/{2,4,8,16,32,64,128,256,512,1024,2048,4096,8192,16384,32768}),2))*{2,4,8,16,32,64,128,256,512,1024,2048,4096,8192,16384,32768}),{2,4,8,16,32,64,128,256,512,1024,2048,4096,8192,16384,32768})=0))))</f>
        <v/>
      </c>
      <c r="AS219">
        <f>AR219+IF(AND(AS129&gt;0,COUNTIF($Y129:AR129,AS129)=0),0,IF(SUMPRODUCT(MOD(INT(AS174/{2,4,8,16,32,64,128,256,512,1024,2048,4096,8192,16384,32768}),2)*(1-MOD(INT(($CJ39+AR219)/{2,4,8,16,32,64,128,256,512,1024,2048,4096,8192,16384,32768}),2))*{2,4,8,16,32,64,128,256,512,1024,2048,4096,8192,16384,32768})=0,0,2^SUMPRODUCT(--(MOD(SUMPRODUCT(MOD(INT(AS174/{2,4,8,16,32,64,128,256,512,1024,2048,4096,8192,16384,32768}),2)*(1-MOD(INT(($CJ39+AR219)/{2,4,8,16,32,64,128,256,512,1024,2048,4096,8192,16384,32768}),2))*{2,4,8,16,32,64,128,256,512,1024,2048,4096,8192,16384,32768}),{2,4,8,16,32,64,128,256,512,1024,2048,4096,8192,16384,32768})=0))))</f>
        <v/>
      </c>
      <c r="AT219">
        <f>AS219+IF(AND(AT129&gt;0,COUNTIF($Y129:AS129,AT129)=0),0,IF(SUMPRODUCT(MOD(INT(AT174/{2,4,8,16,32,64,128,256,512,1024,2048,4096,8192,16384,32768}),2)*(1-MOD(INT(($CJ39+AS219)/{2,4,8,16,32,64,128,256,512,1024,2048,4096,8192,16384,32768}),2))*{2,4,8,16,32,64,128,256,512,1024,2048,4096,8192,16384,32768})=0,0,2^SUMPRODUCT(--(MOD(SUMPRODUCT(MOD(INT(AT174/{2,4,8,16,32,64,128,256,512,1024,2048,4096,8192,16384,32768}),2)*(1-MOD(INT(($CJ39+AS219)/{2,4,8,16,32,64,128,256,512,1024,2048,4096,8192,16384,32768}),2))*{2,4,8,16,32,64,128,256,512,1024,2048,4096,8192,16384,32768}),{2,4,8,16,32,64,128,256,512,1024,2048,4096,8192,16384,32768})=0))))</f>
        <v/>
      </c>
      <c r="AU219">
        <f>AT219+IF(AND(AU129&gt;0,COUNTIF($Y129:AT129,AU129)=0),0,IF(SUMPRODUCT(MOD(INT(AU174/{2,4,8,16,32,64,128,256,512,1024,2048,4096,8192,16384,32768}),2)*(1-MOD(INT(($CJ39+AT219)/{2,4,8,16,32,64,128,256,512,1024,2048,4096,8192,16384,32768}),2))*{2,4,8,16,32,64,128,256,512,1024,2048,4096,8192,16384,32768})=0,0,2^SUMPRODUCT(--(MOD(SUMPRODUCT(MOD(INT(AU174/{2,4,8,16,32,64,128,256,512,1024,2048,4096,8192,16384,32768}),2)*(1-MOD(INT(($CJ39+AT219)/{2,4,8,16,32,64,128,256,512,1024,2048,4096,8192,16384,32768}),2))*{2,4,8,16,32,64,128,256,512,1024,2048,4096,8192,16384,32768}),{2,4,8,16,32,64,128,256,512,1024,2048,4096,8192,16384,32768})=0))))</f>
        <v/>
      </c>
      <c r="AV219">
        <f>AU219+IF(AND(AV129&gt;0,COUNTIF($Y129:AU129,AV129)=0),0,IF(SUMPRODUCT(MOD(INT(AV174/{2,4,8,16,32,64,128,256,512,1024,2048,4096,8192,16384,32768}),2)*(1-MOD(INT(($CJ39+AU219)/{2,4,8,16,32,64,128,256,512,1024,2048,4096,8192,16384,32768}),2))*{2,4,8,16,32,64,128,256,512,1024,2048,4096,8192,16384,32768})=0,0,2^SUMPRODUCT(--(MOD(SUMPRODUCT(MOD(INT(AV174/{2,4,8,16,32,64,128,256,512,1024,2048,4096,8192,16384,32768}),2)*(1-MOD(INT(($CJ39+AU219)/{2,4,8,16,32,64,128,256,512,1024,2048,4096,8192,16384,32768}),2))*{2,4,8,16,32,64,128,256,512,1024,2048,4096,8192,16384,32768}),{2,4,8,16,32,64,128,256,512,1024,2048,4096,8192,16384,32768})=0))))</f>
        <v/>
      </c>
      <c r="AW219">
        <f>AV219+IF(AND(AW129&gt;0,COUNTIF($Y129:AV129,AW129)=0),0,IF(SUMPRODUCT(MOD(INT(AW174/{2,4,8,16,32,64,128,256,512,1024,2048,4096,8192,16384,32768}),2)*(1-MOD(INT(($CJ39+AV219)/{2,4,8,16,32,64,128,256,512,1024,2048,4096,8192,16384,32768}),2))*{2,4,8,16,32,64,128,256,512,1024,2048,4096,8192,16384,32768})=0,0,2^SUMPRODUCT(--(MOD(SUMPRODUCT(MOD(INT(AW174/{2,4,8,16,32,64,128,256,512,1024,2048,4096,8192,16384,32768}),2)*(1-MOD(INT(($CJ39+AV219)/{2,4,8,16,32,64,128,256,512,1024,2048,4096,8192,16384,32768}),2))*{2,4,8,16,32,64,128,256,512,1024,2048,4096,8192,16384,32768}),{2,4,8,16,32,64,128,256,512,1024,2048,4096,8192,16384,32768})=0))))</f>
        <v/>
      </c>
      <c r="AX219">
        <f>AW219+IF(AND(AX129&gt;0,COUNTIF($Y129:AW129,AX129)=0),0,IF(SUMPRODUCT(MOD(INT(AX174/{2,4,8,16,32,64,128,256,512,1024,2048,4096,8192,16384,32768}),2)*(1-MOD(INT(($CJ39+AW219)/{2,4,8,16,32,64,128,256,512,1024,2048,4096,8192,16384,32768}),2))*{2,4,8,16,32,64,128,256,512,1024,2048,4096,8192,16384,32768})=0,0,2^SUMPRODUCT(--(MOD(SUMPRODUCT(MOD(INT(AX174/{2,4,8,16,32,64,128,256,512,1024,2048,4096,8192,16384,32768}),2)*(1-MOD(INT(($CJ39+AW219)/{2,4,8,16,32,64,128,256,512,1024,2048,4096,8192,16384,32768}),2))*{2,4,8,16,32,64,128,256,512,1024,2048,4096,8192,16384,32768}),{2,4,8,16,32,64,128,256,512,1024,2048,4096,8192,16384,32768})=0))))</f>
        <v/>
      </c>
      <c r="AY219">
        <f>AX219+IF(AND(AY129&gt;0,COUNTIF($Y129:AX129,AY129)=0),0,IF(SUMPRODUCT(MOD(INT(AY174/{2,4,8,16,32,64,128,256,512,1024,2048,4096,8192,16384,32768}),2)*(1-MOD(INT(($CJ39+AX219)/{2,4,8,16,32,64,128,256,512,1024,2048,4096,8192,16384,32768}),2))*{2,4,8,16,32,64,128,256,512,1024,2048,4096,8192,16384,32768})=0,0,2^SUMPRODUCT(--(MOD(SUMPRODUCT(MOD(INT(AY174/{2,4,8,16,32,64,128,256,512,1024,2048,4096,8192,16384,32768}),2)*(1-MOD(INT(($CJ39+AX219)/{2,4,8,16,32,64,128,256,512,1024,2048,4096,8192,16384,32768}),2))*{2,4,8,16,32,64,128,256,512,1024,2048,4096,8192,16384,32768}),{2,4,8,16,32,64,128,256,512,1024,2048,4096,8192,16384,32768})=0))))</f>
        <v/>
      </c>
      <c r="AZ219">
        <f>AY219+IF(AND(AZ129&gt;0,COUNTIF($Y129:AY129,AZ129)=0),0,IF(SUMPRODUCT(MOD(INT(AZ174/{2,4,8,16,32,64,128,256,512,1024,2048,4096,8192,16384,32768}),2)*(1-MOD(INT(($CJ39+AY219)/{2,4,8,16,32,64,128,256,512,1024,2048,4096,8192,16384,32768}),2))*{2,4,8,16,32,64,128,256,512,1024,2048,4096,8192,16384,32768})=0,0,2^SUMPRODUCT(--(MOD(SUMPRODUCT(MOD(INT(AZ174/{2,4,8,16,32,64,128,256,512,1024,2048,4096,8192,16384,32768}),2)*(1-MOD(INT(($CJ39+AY219)/{2,4,8,16,32,64,128,256,512,1024,2048,4096,8192,16384,32768}),2))*{2,4,8,16,32,64,128,256,512,1024,2048,4096,8192,16384,32768}),{2,4,8,16,32,64,128,256,512,1024,2048,4096,8192,16384,32768})=0))))</f>
        <v/>
      </c>
      <c r="BA219">
        <f>AZ219+IF(AND(BA129&gt;0,COUNTIF($Y129:AZ129,BA129)=0),0,IF(SUMPRODUCT(MOD(INT(BA174/{2,4,8,16,32,64,128,256,512,1024,2048,4096,8192,16384,32768}),2)*(1-MOD(INT(($CJ39+AZ219)/{2,4,8,16,32,64,128,256,512,1024,2048,4096,8192,16384,32768}),2))*{2,4,8,16,32,64,128,256,512,1024,2048,4096,8192,16384,32768})=0,0,2^SUMPRODUCT(--(MOD(SUMPRODUCT(MOD(INT(BA174/{2,4,8,16,32,64,128,256,512,1024,2048,4096,8192,16384,32768}),2)*(1-MOD(INT(($CJ39+AZ219)/{2,4,8,16,32,64,128,256,512,1024,2048,4096,8192,16384,32768}),2))*{2,4,8,16,32,64,128,256,512,1024,2048,4096,8192,16384,32768}),{2,4,8,16,32,64,128,256,512,1024,2048,4096,8192,16384,32768})=0))))</f>
        <v/>
      </c>
      <c r="BB219">
        <f>BA219+IF(AND(BB129&gt;0,COUNTIF($Y129:BA129,BB129)=0),0,IF(SUMPRODUCT(MOD(INT(BB174/{2,4,8,16,32,64,128,256,512,1024,2048,4096,8192,16384,32768}),2)*(1-MOD(INT(($CJ39+BA219)/{2,4,8,16,32,64,128,256,512,1024,2048,4096,8192,16384,32768}),2))*{2,4,8,16,32,64,128,256,512,1024,2048,4096,8192,16384,32768})=0,0,2^SUMPRODUCT(--(MOD(SUMPRODUCT(MOD(INT(BB174/{2,4,8,16,32,64,128,256,512,1024,2048,4096,8192,16384,32768}),2)*(1-MOD(INT(($CJ39+BA219)/{2,4,8,16,32,64,128,256,512,1024,2048,4096,8192,16384,32768}),2))*{2,4,8,16,32,64,128,256,512,1024,2048,4096,8192,16384,32768}),{2,4,8,16,32,64,128,256,512,1024,2048,4096,8192,16384,32768})=0))))</f>
        <v/>
      </c>
      <c r="BC219">
        <f>BB219+IF(AND(BC129&gt;0,COUNTIF($Y129:BB129,BC129)=0),0,IF(SUMPRODUCT(MOD(INT(BC174/{2,4,8,16,32,64,128,256,512,1024,2048,4096,8192,16384,32768}),2)*(1-MOD(INT(($CJ39+BB219)/{2,4,8,16,32,64,128,256,512,1024,2048,4096,8192,16384,32768}),2))*{2,4,8,16,32,64,128,256,512,1024,2048,4096,8192,16384,32768})=0,0,2^SUMPRODUCT(--(MOD(SUMPRODUCT(MOD(INT(BC174/{2,4,8,16,32,64,128,256,512,1024,2048,4096,8192,16384,32768}),2)*(1-MOD(INT(($CJ39+BB219)/{2,4,8,16,32,64,128,256,512,1024,2048,4096,8192,16384,32768}),2))*{2,4,8,16,32,64,128,256,512,1024,2048,4096,8192,16384,32768}),{2,4,8,16,32,64,128,256,512,1024,2048,4096,8192,16384,32768})=0))))</f>
        <v/>
      </c>
      <c r="BD219">
        <f>BC219+IF(AND(BD129&gt;0,COUNTIF($Y129:BC129,BD129)=0),0,IF(SUMPRODUCT(MOD(INT(BD174/{2,4,8,16,32,64,128,256,512,1024,2048,4096,8192,16384,32768}),2)*(1-MOD(INT(($CJ39+BC219)/{2,4,8,16,32,64,128,256,512,1024,2048,4096,8192,16384,32768}),2))*{2,4,8,16,32,64,128,256,512,1024,2048,4096,8192,16384,32768})=0,0,2^SUMPRODUCT(--(MOD(SUMPRODUCT(MOD(INT(BD174/{2,4,8,16,32,64,128,256,512,1024,2048,4096,8192,16384,32768}),2)*(1-MOD(INT(($CJ39+BC219)/{2,4,8,16,32,64,128,256,512,1024,2048,4096,8192,16384,32768}),2))*{2,4,8,16,32,64,128,256,512,1024,2048,4096,8192,16384,32768}),{2,4,8,16,32,64,128,256,512,1024,2048,4096,8192,16384,32768})=0))))</f>
        <v/>
      </c>
      <c r="BE219">
        <f>BD219+IF(AND(BE129&gt;0,COUNTIF($Y129:BD129,BE129)=0),0,IF(SUMPRODUCT(MOD(INT(BE174/{2,4,8,16,32,64,128,256,512,1024,2048,4096,8192,16384,32768}),2)*(1-MOD(INT(($CJ39+BD219)/{2,4,8,16,32,64,128,256,512,1024,2048,4096,8192,16384,32768}),2))*{2,4,8,16,32,64,128,256,512,1024,2048,4096,8192,16384,32768})=0,0,2^SUMPRODUCT(--(MOD(SUMPRODUCT(MOD(INT(BE174/{2,4,8,16,32,64,128,256,512,1024,2048,4096,8192,16384,32768}),2)*(1-MOD(INT(($CJ39+BD219)/{2,4,8,16,32,64,128,256,512,1024,2048,4096,8192,16384,32768}),2))*{2,4,8,16,32,64,128,256,512,1024,2048,4096,8192,16384,32768}),{2,4,8,16,32,64,128,256,512,1024,2048,4096,8192,16384,32768})=0))))</f>
        <v/>
      </c>
      <c r="BF219">
        <f>BE219+IF(AND(BF129&gt;0,COUNTIF($Y129:BE129,BF129)=0),0,IF(SUMPRODUCT(MOD(INT(BF174/{2,4,8,16,32,64,128,256,512,1024,2048,4096,8192,16384,32768}),2)*(1-MOD(INT(($CJ39+BE219)/{2,4,8,16,32,64,128,256,512,1024,2048,4096,8192,16384,32768}),2))*{2,4,8,16,32,64,128,256,512,1024,2048,4096,8192,16384,32768})=0,0,2^SUMPRODUCT(--(MOD(SUMPRODUCT(MOD(INT(BF174/{2,4,8,16,32,64,128,256,512,1024,2048,4096,8192,16384,32768}),2)*(1-MOD(INT(($CJ39+BE219)/{2,4,8,16,32,64,128,256,512,1024,2048,4096,8192,16384,32768}),2))*{2,4,8,16,32,64,128,256,512,1024,2048,4096,8192,16384,32768}),{2,4,8,16,32,64,128,256,512,1024,2048,4096,8192,16384,32768})=0))))</f>
        <v/>
      </c>
      <c r="BG219">
        <f>BF219+IF(AND(BG129&gt;0,COUNTIF($Y129:BF129,BG129)=0),0,IF(SUMPRODUCT(MOD(INT(BG174/{2,4,8,16,32,64,128,256,512,1024,2048,4096,8192,16384,32768}),2)*(1-MOD(INT(($CJ39+BF219)/{2,4,8,16,32,64,128,256,512,1024,2048,4096,8192,16384,32768}),2))*{2,4,8,16,32,64,128,256,512,1024,2048,4096,8192,16384,32768})=0,0,2^SUMPRODUCT(--(MOD(SUMPRODUCT(MOD(INT(BG174/{2,4,8,16,32,64,128,256,512,1024,2048,4096,8192,16384,32768}),2)*(1-MOD(INT(($CJ39+BF219)/{2,4,8,16,32,64,128,256,512,1024,2048,4096,8192,16384,32768}),2))*{2,4,8,16,32,64,128,256,512,1024,2048,4096,8192,16384,32768}),{2,4,8,16,32,64,128,256,512,1024,2048,4096,8192,16384,32768})=0))))</f>
        <v/>
      </c>
      <c r="BH219">
        <f>BG219+IF(AND(BH129&gt;0,COUNTIF($Y129:BG129,BH129)=0),0,IF(SUMPRODUCT(MOD(INT(BH174/{2,4,8,16,32,64,128,256,512,1024,2048,4096,8192,16384,32768}),2)*(1-MOD(INT(($CJ39+BG219)/{2,4,8,16,32,64,128,256,512,1024,2048,4096,8192,16384,32768}),2))*{2,4,8,16,32,64,128,256,512,1024,2048,4096,8192,16384,32768})=0,0,2^SUMPRODUCT(--(MOD(SUMPRODUCT(MOD(INT(BH174/{2,4,8,16,32,64,128,256,512,1024,2048,4096,8192,16384,32768}),2)*(1-MOD(INT(($CJ39+BG219)/{2,4,8,16,32,64,128,256,512,1024,2048,4096,8192,16384,32768}),2))*{2,4,8,16,32,64,128,256,512,1024,2048,4096,8192,16384,32768}),{2,4,8,16,32,64,128,256,512,1024,2048,4096,8192,16384,32768})=0))))</f>
        <v/>
      </c>
      <c r="BI219">
        <f>BH219+IF(AND(BI129&gt;0,COUNTIF($Y129:BH129,BI129)=0),0,IF(SUMPRODUCT(MOD(INT(BI174/{2,4,8,16,32,64,128,256,512,1024,2048,4096,8192,16384,32768}),2)*(1-MOD(INT(($CJ39+BH219)/{2,4,8,16,32,64,128,256,512,1024,2048,4096,8192,16384,32768}),2))*{2,4,8,16,32,64,128,256,512,1024,2048,4096,8192,16384,32768})=0,0,2^SUMPRODUCT(--(MOD(SUMPRODUCT(MOD(INT(BI174/{2,4,8,16,32,64,128,256,512,1024,2048,4096,8192,16384,32768}),2)*(1-MOD(INT(($CJ39+BH219)/{2,4,8,16,32,64,128,256,512,1024,2048,4096,8192,16384,32768}),2))*{2,4,8,16,32,64,128,256,512,1024,2048,4096,8192,16384,32768}),{2,4,8,16,32,64,128,256,512,1024,2048,4096,8192,16384,32768})=0))))</f>
        <v/>
      </c>
      <c r="BJ219">
        <f>BI219+IF(AND(BJ129&gt;0,COUNTIF($Y129:BI129,BJ129)=0),0,IF(SUMPRODUCT(MOD(INT(BJ174/{2,4,8,16,32,64,128,256,512,1024,2048,4096,8192,16384,32768}),2)*(1-MOD(INT(($CJ39+BI219)/{2,4,8,16,32,64,128,256,512,1024,2048,4096,8192,16384,32768}),2))*{2,4,8,16,32,64,128,256,512,1024,2048,4096,8192,16384,32768})=0,0,2^SUMPRODUCT(--(MOD(SUMPRODUCT(MOD(INT(BJ174/{2,4,8,16,32,64,128,256,512,1024,2048,4096,8192,16384,32768}),2)*(1-MOD(INT(($CJ39+BI219)/{2,4,8,16,32,64,128,256,512,1024,2048,4096,8192,16384,32768}),2))*{2,4,8,16,32,64,128,256,512,1024,2048,4096,8192,16384,32768}),{2,4,8,16,32,64,128,256,512,1024,2048,4096,8192,16384,32768})=0))))</f>
        <v/>
      </c>
      <c r="BK219">
        <f>BJ219+IF(AND(BK129&gt;0,COUNTIF($Y129:BJ129,BK129)=0),0,IF(SUMPRODUCT(MOD(INT(BK174/{2,4,8,16,32,64,128,256,512,1024,2048,4096,8192,16384,32768}),2)*(1-MOD(INT(($CJ39+BJ219)/{2,4,8,16,32,64,128,256,512,1024,2048,4096,8192,16384,32768}),2))*{2,4,8,16,32,64,128,256,512,1024,2048,4096,8192,16384,32768})=0,0,2^SUMPRODUCT(--(MOD(SUMPRODUCT(MOD(INT(BK174/{2,4,8,16,32,64,128,256,512,1024,2048,4096,8192,16384,32768}),2)*(1-MOD(INT(($CJ39+BJ219)/{2,4,8,16,32,64,128,256,512,1024,2048,4096,8192,16384,32768}),2))*{2,4,8,16,32,64,128,256,512,1024,2048,4096,8192,16384,32768}),{2,4,8,16,32,64,128,256,512,1024,2048,4096,8192,16384,32768})=0))))</f>
        <v/>
      </c>
      <c r="BL219">
        <f>BK219+IF(AND(BL129&gt;0,COUNTIF($Y129:BK129,BL129)=0),0,IF(SUMPRODUCT(MOD(INT(BL174/{2,4,8,16,32,64,128,256,512,1024,2048,4096,8192,16384,32768}),2)*(1-MOD(INT(($CJ39+BK219)/{2,4,8,16,32,64,128,256,512,1024,2048,4096,8192,16384,32768}),2))*{2,4,8,16,32,64,128,256,512,1024,2048,4096,8192,16384,32768})=0,0,2^SUMPRODUCT(--(MOD(SUMPRODUCT(MOD(INT(BL174/{2,4,8,16,32,64,128,256,512,1024,2048,4096,8192,16384,32768}),2)*(1-MOD(INT(($CJ39+BK219)/{2,4,8,16,32,64,128,256,512,1024,2048,4096,8192,16384,32768}),2))*{2,4,8,16,32,64,128,256,512,1024,2048,4096,8192,16384,32768}),{2,4,8,16,32,64,128,256,512,1024,2048,4096,8192,16384,32768})=0))))</f>
        <v/>
      </c>
      <c r="BM219">
        <f>BL219+IF(AND(BM129&gt;0,COUNTIF($Y129:BL129,BM129)=0),0,IF(SUMPRODUCT(MOD(INT(BM174/{2,4,8,16,32,64,128,256,512,1024,2048,4096,8192,16384,32768}),2)*(1-MOD(INT(($CJ39+BL219)/{2,4,8,16,32,64,128,256,512,1024,2048,4096,8192,16384,32768}),2))*{2,4,8,16,32,64,128,256,512,1024,2048,4096,8192,16384,32768})=0,0,2^SUMPRODUCT(--(MOD(SUMPRODUCT(MOD(INT(BM174/{2,4,8,16,32,64,128,256,512,1024,2048,4096,8192,16384,32768}),2)*(1-MOD(INT(($CJ39+BL219)/{2,4,8,16,32,64,128,256,512,1024,2048,4096,8192,16384,32768}),2))*{2,4,8,16,32,64,128,256,512,1024,2048,4096,8192,16384,32768}),{2,4,8,16,32,64,128,256,512,1024,2048,4096,8192,16384,32768})=0))))</f>
        <v/>
      </c>
      <c r="BN219">
        <f>BM219+IF(AND(BN129&gt;0,COUNTIF($Y129:BM129,BN129)=0),0,IF(SUMPRODUCT(MOD(INT(BN174/{2,4,8,16,32,64,128,256,512,1024,2048,4096,8192,16384,32768}),2)*(1-MOD(INT(($CJ39+BM219)/{2,4,8,16,32,64,128,256,512,1024,2048,4096,8192,16384,32768}),2))*{2,4,8,16,32,64,128,256,512,1024,2048,4096,8192,16384,32768})=0,0,2^SUMPRODUCT(--(MOD(SUMPRODUCT(MOD(INT(BN174/{2,4,8,16,32,64,128,256,512,1024,2048,4096,8192,16384,32768}),2)*(1-MOD(INT(($CJ39+BM219)/{2,4,8,16,32,64,128,256,512,1024,2048,4096,8192,16384,32768}),2))*{2,4,8,16,32,64,128,256,512,1024,2048,4096,8192,16384,32768}),{2,4,8,16,32,64,128,256,512,1024,2048,4096,8192,16384,32768})=0))))</f>
        <v/>
      </c>
      <c r="BO219">
        <f>BN219+IF(AND(BO129&gt;0,COUNTIF($Y129:BN129,BO129)=0),0,IF(SUMPRODUCT(MOD(INT(BO174/{2,4,8,16,32,64,128,256,512,1024,2048,4096,8192,16384,32768}),2)*(1-MOD(INT(($CJ39+BN219)/{2,4,8,16,32,64,128,256,512,1024,2048,4096,8192,16384,32768}),2))*{2,4,8,16,32,64,128,256,512,1024,2048,4096,8192,16384,32768})=0,0,2^SUMPRODUCT(--(MOD(SUMPRODUCT(MOD(INT(BO174/{2,4,8,16,32,64,128,256,512,1024,2048,4096,8192,16384,32768}),2)*(1-MOD(INT(($CJ39+BN219)/{2,4,8,16,32,64,128,256,512,1024,2048,4096,8192,16384,32768}),2))*{2,4,8,16,32,64,128,256,512,1024,2048,4096,8192,16384,32768}),{2,4,8,16,32,64,128,256,512,1024,2048,4096,8192,16384,32768})=0))))</f>
        <v/>
      </c>
      <c r="BP219">
        <f>BO219+IF(AND(BP129&gt;0,COUNTIF($Y129:BO129,BP129)=0),0,IF(SUMPRODUCT(MOD(INT(BP174/{2,4,8,16,32,64,128,256,512,1024,2048,4096,8192,16384,32768}),2)*(1-MOD(INT(($CJ39+BO219)/{2,4,8,16,32,64,128,256,512,1024,2048,4096,8192,16384,32768}),2))*{2,4,8,16,32,64,128,256,512,1024,2048,4096,8192,16384,32768})=0,0,2^SUMPRODUCT(--(MOD(SUMPRODUCT(MOD(INT(BP174/{2,4,8,16,32,64,128,256,512,1024,2048,4096,8192,16384,32768}),2)*(1-MOD(INT(($CJ39+BO219)/{2,4,8,16,32,64,128,256,512,1024,2048,4096,8192,16384,32768}),2))*{2,4,8,16,32,64,128,256,512,1024,2048,4096,8192,16384,32768}),{2,4,8,16,32,64,128,256,512,1024,2048,4096,8192,16384,32768})=0))))</f>
        <v/>
      </c>
      <c r="BQ219">
        <f>BP219+IF(AND(BQ129&gt;0,COUNTIF($Y129:BP129,BQ129)=0),0,IF(SUMPRODUCT(MOD(INT(BQ174/{2,4,8,16,32,64,128,256,512,1024,2048,4096,8192,16384,32768}),2)*(1-MOD(INT(($CJ39+BP219)/{2,4,8,16,32,64,128,256,512,1024,2048,4096,8192,16384,32768}),2))*{2,4,8,16,32,64,128,256,512,1024,2048,4096,8192,16384,32768})=0,0,2^SUMPRODUCT(--(MOD(SUMPRODUCT(MOD(INT(BQ174/{2,4,8,16,32,64,128,256,512,1024,2048,4096,8192,16384,32768}),2)*(1-MOD(INT(($CJ39+BP219)/{2,4,8,16,32,64,128,256,512,1024,2048,4096,8192,16384,32768}),2))*{2,4,8,16,32,64,128,256,512,1024,2048,4096,8192,16384,32768}),{2,4,8,16,32,64,128,256,512,1024,2048,4096,8192,16384,32768})=0))))</f>
        <v/>
      </c>
      <c r="BR219">
        <f>BQ219+IF(AND(BR129&gt;0,COUNTIF($Y129:BQ129,BR129)=0),0,IF(SUMPRODUCT(MOD(INT(BR174/{2,4,8,16,32,64,128,256,512,1024,2048,4096,8192,16384,32768}),2)*(1-MOD(INT(($CJ39+BQ219)/{2,4,8,16,32,64,128,256,512,1024,2048,4096,8192,16384,32768}),2))*{2,4,8,16,32,64,128,256,512,1024,2048,4096,8192,16384,32768})=0,0,2^SUMPRODUCT(--(MOD(SUMPRODUCT(MOD(INT(BR174/{2,4,8,16,32,64,128,256,512,1024,2048,4096,8192,16384,32768}),2)*(1-MOD(INT(($CJ39+BQ219)/{2,4,8,16,32,64,128,256,512,1024,2048,4096,8192,16384,32768}),2))*{2,4,8,16,32,64,128,256,512,1024,2048,4096,8192,16384,32768}),{2,4,8,16,32,64,128,256,512,1024,2048,4096,8192,16384,32768})=0))))</f>
        <v/>
      </c>
      <c r="BS219">
        <f>BR219+IF(AND(BS129&gt;0,COUNTIF($Y129:BR129,BS129)=0),0,IF(SUMPRODUCT(MOD(INT(BS174/{2,4,8,16,32,64,128,256,512,1024,2048,4096,8192,16384,32768}),2)*(1-MOD(INT(($CJ39+BR219)/{2,4,8,16,32,64,128,256,512,1024,2048,4096,8192,16384,32768}),2))*{2,4,8,16,32,64,128,256,512,1024,2048,4096,8192,16384,32768})=0,0,2^SUMPRODUCT(--(MOD(SUMPRODUCT(MOD(INT(BS174/{2,4,8,16,32,64,128,256,512,1024,2048,4096,8192,16384,32768}),2)*(1-MOD(INT(($CJ39+BR219)/{2,4,8,16,32,64,128,256,512,1024,2048,4096,8192,16384,32768}),2))*{2,4,8,16,32,64,128,256,512,1024,2048,4096,8192,16384,32768}),{2,4,8,16,32,64,128,256,512,1024,2048,4096,8192,16384,32768})=0))))</f>
        <v/>
      </c>
      <c r="BT219">
        <f>BS219+IF(AND(BT129&gt;0,COUNTIF($Y129:BS129,BT129)=0),0,IF(SUMPRODUCT(MOD(INT(BT174/{2,4,8,16,32,64,128,256,512,1024,2048,4096,8192,16384,32768}),2)*(1-MOD(INT(($CJ39+BS219)/{2,4,8,16,32,64,128,256,512,1024,2048,4096,8192,16384,32768}),2))*{2,4,8,16,32,64,128,256,512,1024,2048,4096,8192,16384,32768})=0,0,2^SUMPRODUCT(--(MOD(SUMPRODUCT(MOD(INT(BT174/{2,4,8,16,32,64,128,256,512,1024,2048,4096,8192,16384,32768}),2)*(1-MOD(INT(($CJ39+BS219)/{2,4,8,16,32,64,128,256,512,1024,2048,4096,8192,16384,32768}),2))*{2,4,8,16,32,64,128,256,512,1024,2048,4096,8192,16384,32768}),{2,4,8,16,32,64,128,256,512,1024,2048,4096,8192,16384,32768})=0))))</f>
        <v/>
      </c>
      <c r="BU219">
        <f>BT219+IF(AND(BU129&gt;0,COUNTIF($Y129:BT129,BU129)=0),0,IF(SUMPRODUCT(MOD(INT(BU174/{2,4,8,16,32,64,128,256,512,1024,2048,4096,8192,16384,32768}),2)*(1-MOD(INT(($CJ39+BT219)/{2,4,8,16,32,64,128,256,512,1024,2048,4096,8192,16384,32768}),2))*{2,4,8,16,32,64,128,256,512,1024,2048,4096,8192,16384,32768})=0,0,2^SUMPRODUCT(--(MOD(SUMPRODUCT(MOD(INT(BU174/{2,4,8,16,32,64,128,256,512,1024,2048,4096,8192,16384,32768}),2)*(1-MOD(INT(($CJ39+BT219)/{2,4,8,16,32,64,128,256,512,1024,2048,4096,8192,16384,32768}),2))*{2,4,8,16,32,64,128,256,512,1024,2048,4096,8192,16384,32768}),{2,4,8,16,32,64,128,256,512,1024,2048,4096,8192,16384,32768})=0))))</f>
        <v/>
      </c>
      <c r="BV219">
        <f>BU219+IF(AND(BV129&gt;0,COUNTIF($Y129:BU129,BV129)=0),0,IF(SUMPRODUCT(MOD(INT(BV174/{2,4,8,16,32,64,128,256,512,1024,2048,4096,8192,16384,32768}),2)*(1-MOD(INT(($CJ39+BU219)/{2,4,8,16,32,64,128,256,512,1024,2048,4096,8192,16384,32768}),2))*{2,4,8,16,32,64,128,256,512,1024,2048,4096,8192,16384,32768})=0,0,2^SUMPRODUCT(--(MOD(SUMPRODUCT(MOD(INT(BV174/{2,4,8,16,32,64,128,256,512,1024,2048,4096,8192,16384,32768}),2)*(1-MOD(INT(($CJ39+BU219)/{2,4,8,16,32,64,128,256,512,1024,2048,4096,8192,16384,32768}),2))*{2,4,8,16,32,64,128,256,512,1024,2048,4096,8192,16384,32768}),{2,4,8,16,32,64,128,256,512,1024,2048,4096,8192,16384,32768})=0))))</f>
        <v/>
      </c>
      <c r="BW219">
        <f>BV219+IF(AND(BW129&gt;0,COUNTIF($Y129:BV129,BW129)=0),0,IF(SUMPRODUCT(MOD(INT(BW174/{2,4,8,16,32,64,128,256,512,1024,2048,4096,8192,16384,32768}),2)*(1-MOD(INT(($CJ39+BV219)/{2,4,8,16,32,64,128,256,512,1024,2048,4096,8192,16384,32768}),2))*{2,4,8,16,32,64,128,256,512,1024,2048,4096,8192,16384,32768})=0,0,2^SUMPRODUCT(--(MOD(SUMPRODUCT(MOD(INT(BW174/{2,4,8,16,32,64,128,256,512,1024,2048,4096,8192,16384,32768}),2)*(1-MOD(INT(($CJ39+BV219)/{2,4,8,16,32,64,128,256,512,1024,2048,4096,8192,16384,32768}),2))*{2,4,8,16,32,64,128,256,512,1024,2048,4096,8192,16384,32768}),{2,4,8,16,32,64,128,256,512,1024,2048,4096,8192,16384,32768})=0))))</f>
        <v/>
      </c>
      <c r="BX219">
        <f>BW219+IF(AND(BX129&gt;0,COUNTIF($Y129:BW129,BX129)=0),0,IF(SUMPRODUCT(MOD(INT(BX174/{2,4,8,16,32,64,128,256,512,1024,2048,4096,8192,16384,32768}),2)*(1-MOD(INT(($CJ39+BW219)/{2,4,8,16,32,64,128,256,512,1024,2048,4096,8192,16384,32768}),2))*{2,4,8,16,32,64,128,256,512,1024,2048,4096,8192,16384,32768})=0,0,2^SUMPRODUCT(--(MOD(SUMPRODUCT(MOD(INT(BX174/{2,4,8,16,32,64,128,256,512,1024,2048,4096,8192,16384,32768}),2)*(1-MOD(INT(($CJ39+BW219)/{2,4,8,16,32,64,128,256,512,1024,2048,4096,8192,16384,32768}),2))*{2,4,8,16,32,64,128,256,512,1024,2048,4096,8192,16384,32768}),{2,4,8,16,32,64,128,256,512,1024,2048,4096,8192,16384,32768})=0))))</f>
        <v/>
      </c>
      <c r="BY219">
        <f>BX219+IF(AND(BY129&gt;0,COUNTIF($Y129:BX129,BY129)=0),0,IF(SUMPRODUCT(MOD(INT(BY174/{2,4,8,16,32,64,128,256,512,1024,2048,4096,8192,16384,32768}),2)*(1-MOD(INT(($CJ39+BX219)/{2,4,8,16,32,64,128,256,512,1024,2048,4096,8192,16384,32768}),2))*{2,4,8,16,32,64,128,256,512,1024,2048,4096,8192,16384,32768})=0,0,2^SUMPRODUCT(--(MOD(SUMPRODUCT(MOD(INT(BY174/{2,4,8,16,32,64,128,256,512,1024,2048,4096,8192,16384,32768}),2)*(1-MOD(INT(($CJ39+BX219)/{2,4,8,16,32,64,128,256,512,1024,2048,4096,8192,16384,32768}),2))*{2,4,8,16,32,64,128,256,512,1024,2048,4096,8192,16384,32768}),{2,4,8,16,32,64,128,256,512,1024,2048,4096,8192,16384,32768})=0))))</f>
        <v/>
      </c>
      <c r="BZ219">
        <f>BY219+IF(AND(BZ129&gt;0,COUNTIF($Y129:BY129,BZ129)=0),0,IF(SUMPRODUCT(MOD(INT(BZ174/{2,4,8,16,32,64,128,256,512,1024,2048,4096,8192,16384,32768}),2)*(1-MOD(INT(($CJ39+BY219)/{2,4,8,16,32,64,128,256,512,1024,2048,4096,8192,16384,32768}),2))*{2,4,8,16,32,64,128,256,512,1024,2048,4096,8192,16384,32768})=0,0,2^SUMPRODUCT(--(MOD(SUMPRODUCT(MOD(INT(BZ174/{2,4,8,16,32,64,128,256,512,1024,2048,4096,8192,16384,32768}),2)*(1-MOD(INT(($CJ39+BY219)/{2,4,8,16,32,64,128,256,512,1024,2048,4096,8192,16384,32768}),2))*{2,4,8,16,32,64,128,256,512,1024,2048,4096,8192,16384,32768}),{2,4,8,16,32,64,128,256,512,1024,2048,4096,8192,16384,32768})=0))))</f>
        <v/>
      </c>
      <c r="CA219">
        <f>BZ219+IF(AND(CA129&gt;0,COUNTIF($Y129:BZ129,CA129)=0),0,IF(SUMPRODUCT(MOD(INT(CA174/{2,4,8,16,32,64,128,256,512,1024,2048,4096,8192,16384,32768}),2)*(1-MOD(INT(($CJ39+BZ219)/{2,4,8,16,32,64,128,256,512,1024,2048,4096,8192,16384,32768}),2))*{2,4,8,16,32,64,128,256,512,1024,2048,4096,8192,16384,32768})=0,0,2^SUMPRODUCT(--(MOD(SUMPRODUCT(MOD(INT(CA174/{2,4,8,16,32,64,128,256,512,1024,2048,4096,8192,16384,32768}),2)*(1-MOD(INT(($CJ39+BZ219)/{2,4,8,16,32,64,128,256,512,1024,2048,4096,8192,16384,32768}),2))*{2,4,8,16,32,64,128,256,512,1024,2048,4096,8192,16384,32768}),{2,4,8,16,32,64,128,256,512,1024,2048,4096,8192,16384,32768})=0))))</f>
        <v/>
      </c>
      <c r="CB219">
        <f>CA219+IF(AND(CB129&gt;0,COUNTIF($Y129:CA129,CB129)=0),0,IF(SUMPRODUCT(MOD(INT(CB174/{2,4,8,16,32,64,128,256,512,1024,2048,4096,8192,16384,32768}),2)*(1-MOD(INT(($CJ39+CA219)/{2,4,8,16,32,64,128,256,512,1024,2048,4096,8192,16384,32768}),2))*{2,4,8,16,32,64,128,256,512,1024,2048,4096,8192,16384,32768})=0,0,2^SUMPRODUCT(--(MOD(SUMPRODUCT(MOD(INT(CB174/{2,4,8,16,32,64,128,256,512,1024,2048,4096,8192,16384,32768}),2)*(1-MOD(INT(($CJ39+CA219)/{2,4,8,16,32,64,128,256,512,1024,2048,4096,8192,16384,32768}),2))*{2,4,8,16,32,64,128,256,512,1024,2048,4096,8192,16384,32768}),{2,4,8,16,32,64,128,256,512,1024,2048,4096,8192,16384,32768})=0))))</f>
        <v/>
      </c>
      <c r="CC219">
        <f>CB219+IF(AND(CC129&gt;0,COUNTIF($Y129:CB129,CC129)=0),0,IF(SUMPRODUCT(MOD(INT(CC174/{2,4,8,16,32,64,128,256,512,1024,2048,4096,8192,16384,32768}),2)*(1-MOD(INT(($CJ39+CB219)/{2,4,8,16,32,64,128,256,512,1024,2048,4096,8192,16384,32768}),2))*{2,4,8,16,32,64,128,256,512,1024,2048,4096,8192,16384,32768})=0,0,2^SUMPRODUCT(--(MOD(SUMPRODUCT(MOD(INT(CC174/{2,4,8,16,32,64,128,256,512,1024,2048,4096,8192,16384,32768}),2)*(1-MOD(INT(($CJ39+CB219)/{2,4,8,16,32,64,128,256,512,1024,2048,4096,8192,16384,32768}),2))*{2,4,8,16,32,64,128,256,512,1024,2048,4096,8192,16384,32768}),{2,4,8,16,32,64,128,256,512,1024,2048,4096,8192,16384,32768})=0))))</f>
        <v/>
      </c>
      <c r="CD219">
        <f>CC219+IF(AND(CD129&gt;0,COUNTIF($Y129:CC129,CD129)=0),0,IF(SUMPRODUCT(MOD(INT(CD174/{2,4,8,16,32,64,128,256,512,1024,2048,4096,8192,16384,32768}),2)*(1-MOD(INT(($CJ39+CC219)/{2,4,8,16,32,64,128,256,512,1024,2048,4096,8192,16384,32768}),2))*{2,4,8,16,32,64,128,256,512,1024,2048,4096,8192,16384,32768})=0,0,2^SUMPRODUCT(--(MOD(SUMPRODUCT(MOD(INT(CD174/{2,4,8,16,32,64,128,256,512,1024,2048,4096,8192,16384,32768}),2)*(1-MOD(INT(($CJ39+CC219)/{2,4,8,16,32,64,128,256,512,1024,2048,4096,8192,16384,32768}),2))*{2,4,8,16,32,64,128,256,512,1024,2048,4096,8192,16384,32768}),{2,4,8,16,32,64,128,256,512,1024,2048,4096,8192,16384,32768})=0))))</f>
        <v/>
      </c>
      <c r="CE219">
        <f>CD219+IF(AND(CE129&gt;0,COUNTIF($Y129:CD129,CE129)=0),0,IF(SUMPRODUCT(MOD(INT(CE174/{2,4,8,16,32,64,128,256,512,1024,2048,4096,8192,16384,32768}),2)*(1-MOD(INT(($CJ39+CD219)/{2,4,8,16,32,64,128,256,512,1024,2048,4096,8192,16384,32768}),2))*{2,4,8,16,32,64,128,256,512,1024,2048,4096,8192,16384,32768})=0,0,2^SUMPRODUCT(--(MOD(SUMPRODUCT(MOD(INT(CE174/{2,4,8,16,32,64,128,256,512,1024,2048,4096,8192,16384,32768}),2)*(1-MOD(INT(($CJ39+CD219)/{2,4,8,16,32,64,128,256,512,1024,2048,4096,8192,16384,32768}),2))*{2,4,8,16,32,64,128,256,512,1024,2048,4096,8192,16384,32768}),{2,4,8,16,32,64,128,256,512,1024,2048,4096,8192,16384,32768})=0))))</f>
        <v/>
      </c>
      <c r="CF219">
        <f>CE219+IF(AND(CF129&gt;0,COUNTIF($Y129:CE129,CF129)=0),0,IF(SUMPRODUCT(MOD(INT(CF174/{2,4,8,16,32,64,128,256,512,1024,2048,4096,8192,16384,32768}),2)*(1-MOD(INT(($CJ39+CE219)/{2,4,8,16,32,64,128,256,512,1024,2048,4096,8192,16384,32768}),2))*{2,4,8,16,32,64,128,256,512,1024,2048,4096,8192,16384,32768})=0,0,2^SUMPRODUCT(--(MOD(SUMPRODUCT(MOD(INT(CF174/{2,4,8,16,32,64,128,256,512,1024,2048,4096,8192,16384,32768}),2)*(1-MOD(INT(($CJ39+CE219)/{2,4,8,16,32,64,128,256,512,1024,2048,4096,8192,16384,32768}),2))*{2,4,8,16,32,64,128,256,512,1024,2048,4096,8192,16384,32768}),{2,4,8,16,32,64,128,256,512,1024,2048,4096,8192,16384,32768})=0))))</f>
        <v/>
      </c>
      <c r="DA219" t="n">
        <v>215</v>
      </c>
      <c r="DB219">
        <f>IF($B$37=0,"",IFERROR(TRIM(SUBSTITUTE(SUBSTITUTE(SUBSTITUTE(SUBSTITUTE(INDEX(PASTE_ALL,215,$B$37)," "," "),CHAR(9)," "),CHAR(10)," "),CHAR(13)," ")),""))</f>
        <v/>
      </c>
      <c r="DC219">
        <f>IF(AND(215&gt;HEADER_ROW,UPPER(DB219)="LEGEND"),1,0)</f>
        <v/>
      </c>
      <c r="DE219" t="n">
        <v>215</v>
      </c>
      <c r="DF219">
        <f>HEADER_ROW+$DE219</f>
        <v/>
      </c>
      <c r="DG219">
        <f>IF(AND($DF219&lt;=1000,$DF219&lt;$B$8),1,0)</f>
        <v/>
      </c>
      <c r="DH219">
        <f>IF($DG219=1,IFERROR(INDEX($DB$5:$DB$1004,$DF219),""),"")</f>
        <v/>
      </c>
      <c r="DI219">
        <f>IF(AND($DG219=1,$DH219&lt;&gt;""),IFERROR(SUBSTITUTE(SUBSTITUTE(TRIM(SUBSTITUTE(SUBSTITUTE(SUBSTITUTE(SUBSTITUTE(IFERROR(INDEX(PASTE_ALL,$DF219,1)&amp;"","")&amp;"␟"&amp;IFERROR(INDEX(PASTE_ALL,$DF219,2)&amp;"","")&amp;"␟"&amp;IFERROR(INDEX(PASTE_ALL,$DF219,3)&amp;"","")&amp;"␟"&amp;IFERROR(INDEX(PASTE_ALL,$DF219,4)&amp;"","")&amp;"␟"&amp;IFERROR(INDEX(PASTE_ALL,$DF219,5)&amp;"","")&amp;"␟"&amp;IFERROR(INDEX(PASTE_ALL,$DF219,6)&amp;"","")&amp;"␟"&amp;IFERROR(INDEX(PASTE_ALL,$DF219,7)&amp;"","")&amp;"␟"&amp;IFERROR(INDEX(PASTE_ALL,$DF219,8)&amp;"","")&amp;"␟"&amp;IFERROR(INDEX(PASTE_ALL,$DF219,9)&amp;"","")&amp;"␟"&amp;IFERROR(INDEX(PASTE_ALL,$DF219,10)&amp;"","")&amp;"␟"&amp;IFERROR(INDEX(PASTE_ALL,$DF219,11)&amp;"","")&amp;"␟"&amp;IFERROR(INDEX(PASTE_ALL,$DF219,12)&amp;"","")&amp;"␟"&amp;IFERROR(INDEX(PASTE_ALL,$DF219,13)&amp;"","")&amp;"␟"&amp;IFERROR(INDEX(PASTE_ALL,$DF219,14)&amp;"","")&amp;"␟"&amp;IFERROR(INDEX(PASTE_ALL,$DF219,15)&amp;"","")&amp;"␟"&amp;IFERROR(INDEX(PASTE_ALL,$DF219,16)&amp;"","")&amp;"␟"&amp;IFERROR(INDEX(PASTE_ALL,$DF219,17)&amp;"","")&amp;"␟"&amp;IFERROR(INDEX(PASTE_ALL,$DF219,18)&amp;"","")&amp;"␟"&amp;IFERROR(INDEX(PASTE_ALL,$DF219,19)&amp;"","")&amp;"␟"&amp;IFERROR(INDEX(PASTE_ALL,$DF219,20)&amp;"","")&amp;"␟"&amp;IFERROR(INDEX(PASTE_ALL,$DF219,21)&amp;"","")&amp;"␟"&amp;IFERROR(INDEX(PASTE_ALL,$DF219,22)&amp;"","")&amp;"␟"&amp;IFERROR(INDEX(PASTE_ALL,$DF219,23)&amp;"","")&amp;"␟"&amp;IFERROR(INDEX(PASTE_ALL,$DF219,24)&amp;"","")&amp;"␟"&amp;IFERROR(INDEX(PASTE_ALL,$DF219,25)&amp;"","")&amp;"␟"&amp;IFERROR(INDEX(PASTE_ALL,$DF219,26)&amp;"","")&amp;"␟"&amp;IFERROR(INDEX(PASTE_ALL,$DF219,27)&amp;"","")&amp;"␟"&amp;IFERROR(INDEX(PASTE_ALL,$DF219,28)&amp;"","")&amp;"␟"&amp;IFERROR(INDEX(PASTE_ALL,$DF219,29)&amp;"","")&amp;"␟"&amp;IFERROR(INDEX(PASTE_ALL,$DF219,30)&amp;"","")&amp;"␟"&amp;IFERROR(INDEX(PASTE_ALL,$DF219,31)&amp;"","")&amp;"␟"&amp;IFERROR(INDEX(PASTE_ALL,$DF219,32)&amp;"","")&amp;"␟"&amp;IFERROR(INDEX(PASTE_ALL,$DF219,33)&amp;"","")&amp;"␟"&amp;IFERROR(INDEX(PASTE_ALL,$DF219,34)&amp;"","")&amp;"␟"&amp;IFERROR(INDEX(PASTE_ALL,$DF219,35)&amp;"","")&amp;"␟"&amp;IFERROR(INDEX(PASTE_ALL,$DF219,36)&amp;"","")&amp;"␟"&amp;IFERROR(INDEX(PASTE_ALL,$DF219,37)&amp;"","")&amp;"␟"&amp;IFERROR(INDEX(PASTE_ALL,$DF219,38)&amp;"","")&amp;"␟"&amp;IFERROR(INDEX(PASTE_ALL,$DF219,39)&amp;"","")&amp;"␟"&amp;IFERROR(INDEX(PASTE_ALL,$DF219,40)&amp;"","")&amp;"␟"&amp;IFERROR(INDEX(PASTE_ALL,$DF219,41)&amp;"","")&amp;"␟"&amp;IFERROR(INDEX(PASTE_ALL,$DF219,42)&amp;"","")&amp;"␟"&amp;IFERROR(INDEX(PASTE_ALL,$DF219,43)&amp;"","")&amp;"␟"&amp;IFERROR(INDEX(PASTE_ALL,$DF219,44)&amp;"","")&amp;"␟"&amp;IFERROR(INDEX(PASTE_ALL,$DF219,45)&amp;"","")&amp;"␟"&amp;IFERROR(INDEX(PASTE_ALL,$DF219,46)&amp;"","")&amp;"␟"&amp;IFERROR(INDEX(PASTE_ALL,$DF219,47)&amp;"","")&amp;"␟"&amp;IFERROR(INDEX(PASTE_ALL,$DF219,48)&amp;"","")&amp;"␟"&amp;IFERROR(INDEX(PASTE_ALL,$DF219,49)&amp;"","")&amp;"␟"&amp;IFERROR(INDEX(PASTE_ALL,$DF219,50)&amp;"","")&amp;"␟"&amp;IFERROR(INDEX(PASTE_ALL,$DF219,51)&amp;"","")&amp;"␟"&amp;IFERROR(INDEX(PASTE_ALL,$DF219,52)&amp;"","")&amp;"␟"&amp;IFERROR(INDEX(PASTE_ALL,$DF219,53)&amp;"","")&amp;"␟"&amp;IFERROR(INDEX(PASTE_ALL,$DF219,54)&amp;"","")&amp;"␟"&amp;IFERROR(INDEX(PASTE_ALL,$DF219,55)&amp;"","")&amp;"␟"&amp;IFERROR(INDEX(PASTE_ALL,$DF219,56)&amp;"","")&amp;"␟"&amp;IFERROR(INDEX(PASTE_ALL,$DF219,57)&amp;"","")&amp;"␟"&amp;IFERROR(INDEX(PASTE_ALL,$DF219,58)&amp;"","")&amp;"␟"&amp;IFERROR(INDEX(PASTE_ALL,$DF219,59)&amp;"","")&amp;"␟"&amp;IFERROR(INDEX(PASTE_ALL,$DF219,60)&amp;"","")," "," "),CHAR(9)," "),CHAR(10)," "),CHAR(13)," "))," ␟","␟"),"␟ ","␟"),"#"&amp;$DE219),"")</f>
        <v/>
      </c>
      <c r="DJ219">
        <f>IF($DI219="",0,IF(SUMPRODUCT(--EXACT($DI$4:DI218,$DI219))&gt;0,1,0))</f>
        <v/>
      </c>
      <c r="DK219">
        <f>IF(AND($DI219&lt;&gt;"",$DJ219=0),1,0)</f>
        <v/>
      </c>
      <c r="DL219">
        <f>DL218+$DK219</f>
        <v/>
      </c>
      <c r="DM219">
        <f>IF(AND($DK219=1,$DL219&lt;=600),1,0)</f>
        <v/>
      </c>
      <c r="DN219">
        <f>IF($DM219=0,"",IF($L$6=0,"",IFERROR(IF(ISNUMBER(INDEX(PASTE_ALL,$DF219,$L$6)),INDEX(PASTE_ALL,$DF219,$L$6),TRIM(SUBSTITUTE(SUBSTITUTE(SUBSTITUTE(SUBSTITUTE(INDEX(PASTE_ALL,$DF219,$L$6)," "," "),CHAR(9)," "),CHAR(10)," "),CHAR(13)," "))),"")))</f>
        <v/>
      </c>
      <c r="DO219">
        <f>IF($DM219=0,"",IF($L$7=0,"",IFERROR(IF(ISNUMBER(INDEX(PASTE_ALL,$DF219,$L$7)),INDEX(PASTE_ALL,$DF219,$L$7),TRIM(SUBSTITUTE(SUBSTITUTE(SUBSTITUTE(SUBSTITUTE(INDEX(PASTE_ALL,$DF219,$L$7)," "," "),CHAR(9)," "),CHAR(10)," "),CHAR(13)," "))),"")))</f>
        <v/>
      </c>
      <c r="DP219">
        <f>IF($DM219=0,"",IF($L$8=0,"",IFERROR(IF(ISNUMBER(INDEX(PASTE_ALL,$DF219,$L$8)),INDEX(PASTE_ALL,$DF219,$L$8),TRIM(SUBSTITUTE(SUBSTITUTE(SUBSTITUTE(SUBSTITUTE(INDEX(PASTE_ALL,$DF219,$L$8)," "," "),CHAR(9)," "),CHAR(10)," "),CHAR(13)," "))),"")))</f>
        <v/>
      </c>
      <c r="DQ219">
        <f>IF($DM219=0,"",IF($L$9=0,"",IFERROR(IF(ISNUMBER(INDEX(PASTE_ALL,$DF219,$L$9)),INDEX(PASTE_ALL,$DF219,$L$9),TRIM(SUBSTITUTE(SUBSTITUTE(SUBSTITUTE(SUBSTITUTE(INDEX(PASTE_ALL,$DF219,$L$9)," "," "),CHAR(9)," "),CHAR(10)," "),CHAR(13)," "))),"")))</f>
        <v/>
      </c>
      <c r="DR219">
        <f>IF($DM219=0,"",IF($L$10=0,"",IFERROR(IF(ISNUMBER(INDEX(PASTE_ALL,$DF219,$L$10)),INDEX(PASTE_ALL,$DF219,$L$10),TRIM(SUBSTITUTE(SUBSTITUTE(SUBSTITUTE(SUBSTITUTE(INDEX(PASTE_ALL,$DF219,$L$10)," "," "),CHAR(9)," "),CHAR(10)," "),CHAR(13)," "))),"")))</f>
        <v/>
      </c>
      <c r="DS219">
        <f>IF($DM219=0,"",IF($L$11=0,"",IFERROR(IF(ISNUMBER(INDEX(PASTE_ALL,$DF219,$L$11)),INDEX(PASTE_ALL,$DF219,$L$11),TRIM(SUBSTITUTE(SUBSTITUTE(SUBSTITUTE(SUBSTITUTE(INDEX(PASTE_ALL,$DF219,$L$11)," "," "),CHAR(9)," "),CHAR(10)," "),CHAR(13)," "))),"")))</f>
        <v/>
      </c>
      <c r="DT219">
        <f>IF($DM219=0,"",IF($L$12=0,"",IFERROR(IF(ISNUMBER(INDEX(PASTE_ALL,$DF219,$L$12)),INDEX(PASTE_ALL,$DF219,$L$12),TRIM(SUBSTITUTE(SUBSTITUTE(SUBSTITUTE(SUBSTITUTE(INDEX(PASTE_ALL,$DF219,$L$12)," "," "),CHAR(9)," "),CHAR(10)," "),CHAR(13)," "))),"")))</f>
        <v/>
      </c>
      <c r="DU219">
        <f>IF($DM219=0,"",IF($L$13=0,"",IFERROR(IF(ISNUMBER(INDEX(PASTE_ALL,$DF219,$L$13)),INDEX(PASTE_ALL,$DF219,$L$13),TRIM(SUBSTITUTE(SUBSTITUTE(SUBSTITUTE(SUBSTITUTE(INDEX(PASTE_ALL,$DF219,$L$13)," "," "),CHAR(9)," "),CHAR(10)," "),CHAR(13)," "))),"")))</f>
        <v/>
      </c>
      <c r="DV219">
        <f>IF($DM219=0,"",IF($L$14=0,"",IFERROR(IF(ISNUMBER(INDEX(PASTE_ALL,$DF219,$L$14)),INDEX(PASTE_ALL,$DF219,$L$14),TRIM(SUBSTITUTE(SUBSTITUTE(SUBSTITUTE(SUBSTITUTE(INDEX(PASTE_ALL,$DF219,$L$14)," "," "),CHAR(9)," "),CHAR(10)," "),CHAR(13)," "))),"")))</f>
        <v/>
      </c>
      <c r="DW219">
        <f>IF($DM219=0,"",IF($L$15=0,"",IFERROR(IF(ISNUMBER(INDEX(PASTE_ALL,$DF219,$L$15)),INDEX(PASTE_ALL,$DF219,$L$15),IF(SUMPRODUCT(--ISNUMBER(FIND({"A","B","C","D","E","F","G","H","I","J","K","L","M","N","O","P","Q","R","S","T","U","V","W","X","Y","Z","0","1","2","3","4","5","6","7","8","9"},UPPER(TRIM(SUBSTITUTE(SUBSTITUTE(SUBSTITUTE(SUBSTITUTE(INDEX(PASTE_ALL,$DF219,$L$15)," "," "),CHAR(9)," "),CHAR(10)," "),CHAR(13)," "))))))&gt;0,TRIM(SUBSTITUTE(SUBSTITUTE(SUBSTITUTE(SUBSTITUTE(INDEX(PASTE_ALL,$DF219,$L$15)," "," "),CHAR(9)," "),CHAR(10)," "),CHAR(13)," ")),"")),"")))</f>
        <v/>
      </c>
      <c r="DX219">
        <f>IF($DM219=0,"",IF($L$16=0,"",IFERROR(IF(ISNUMBER(INDEX(PASTE_ALL,$DF219,$L$16)),INDEX(PASTE_ALL,$DF219,$L$16),SUBSTITUTE(SUBSTITUTE(TRIM(SUBSTITUTE(SUBSTITUTE(SUBSTITUTE(SUBSTITUTE(INDEX(PASTE_ALL,$DF219,$L$16)," "," "),CHAR(9)," "),CHAR(10)," "),CHAR(13)," ")),",",""),"%","")),"")))</f>
        <v/>
      </c>
      <c r="DY219">
        <f>IF($DM219=0,"",IFERROR(IF(ISNUMBER($DX219),$DX219,IF($DX219="","",IF(TRIM($DX219)="",0,IF(AND(AND(SUBSTITUTE(SUBSTITUTE(SUBSTITUTE(SUBSTITUTE(SUBSTITUTE(SUBSTITUTE(SUBSTITUTE(SUBSTITUTE(SUBSTITUTE(SUBSTITUTE(SUBSTITUTE(SUBSTITUTE(SUBSTITUTE(SUBSTITUTE(UPPER(TRIM($DX219)),"0",""),"1",""),"2",""),"3",""),"4",""),"5",""),"6",""),"7",""),"8",""),"9",""),".",""),"+",""),"-",""),"E","")="",LEN(SUBSTITUTE(SUBSTITUTE(MID(UPPER(TRIM($DX219)),1+OR(LEFT(UPPER(TRIM($DX219)),1)="+",LEFT(UPPER(TRIM($DX219)),1)="-"),999),"E+","E"),"E-","E"))=LEN(SUBSTITUTE(SUBSTITUTE(SUBSTITUTE(SUBSTITUTE(MID(UPPER(TRIM($DX219)),1+OR(LEFT(UPPER(TRIM($DX219)),1)="+",LEFT(UPPER(TRIM($DX219)),1)="-"),999),"E+","E"),"E-","E"),"+",""),"-","")),LEN(UPPER(TRIM($DX219)))-LEN(SUBSTITUTE(UPPER(TRIM($DX219)),"E",""))&lt;2,LEN(UPPER(TRIM($DX219)))-LEN(SUBSTITUTE(UPPER(TRIM($DX219)),".",""))&lt;2,IFERROR(FIND(".",UPPER(TRIM($DX219))),0)&lt;IFERROR(FIND("E",UPPER(TRIM($DX219))),999)),ISNUMBER(VALUE(TRIM($DX219)))),VALUE(TRIM($DX219)),"")))),""))</f>
        <v/>
      </c>
      <c r="DZ219">
        <f>IF($DM219=0,"",IF($L$17=0,"",IFERROR(IF(ISNUMBER(INDEX(PASTE_ALL,$DF219,$L$17)),INDEX(PASTE_ALL,$DF219,$L$17),SUBSTITUTE(SUBSTITUTE(TRIM(SUBSTITUTE(SUBSTITUTE(SUBSTITUTE(SUBSTITUTE(INDEX(PASTE_ALL,$DF219,$L$17)," "," "),CHAR(9)," "),CHAR(10)," "),CHAR(13)," ")),",",""),"%","")),"")))</f>
        <v/>
      </c>
      <c r="EA219">
        <f>IF($DM219=0,"",IFERROR(IF(ISNUMBER($DZ219),$DZ219,IF($DZ219="","",IF(TRIM($DZ219)="",0,IF(AND(AND(SUBSTITUTE(SUBSTITUTE(SUBSTITUTE(SUBSTITUTE(SUBSTITUTE(SUBSTITUTE(SUBSTITUTE(SUBSTITUTE(SUBSTITUTE(SUBSTITUTE(SUBSTITUTE(SUBSTITUTE(SUBSTITUTE(SUBSTITUTE(UPPER(TRIM($DZ219)),"0",""),"1",""),"2",""),"3",""),"4",""),"5",""),"6",""),"7",""),"8",""),"9",""),".",""),"+",""),"-",""),"E","")="",LEN(SUBSTITUTE(SUBSTITUTE(MID(UPPER(TRIM($DZ219)),1+OR(LEFT(UPPER(TRIM($DZ219)),1)="+",LEFT(UPPER(TRIM($DZ219)),1)="-"),999),"E+","E"),"E-","E"))=LEN(SUBSTITUTE(SUBSTITUTE(SUBSTITUTE(SUBSTITUTE(MID(UPPER(TRIM($DZ219)),1+OR(LEFT(UPPER(TRIM($DZ219)),1)="+",LEFT(UPPER(TRIM($DZ219)),1)="-"),999),"E+","E"),"E-","E"),"+",""),"-","")),LEN(UPPER(TRIM($DZ219)))-LEN(SUBSTITUTE(UPPER(TRIM($DZ219)),"E",""))&lt;2,LEN(UPPER(TRIM($DZ219)))-LEN(SUBSTITUTE(UPPER(TRIM($DZ219)),".",""))&lt;2,IFERROR(FIND(".",UPPER(TRIM($DZ219))),0)&lt;IFERROR(FIND("E",UPPER(TRIM($DZ219))),999)),ISNUMBER(VALUE(TRIM($DZ219)))),VALUE(TRIM($DZ219)),"")))),""))</f>
        <v/>
      </c>
      <c r="EB219">
        <f>IF($DM219=0,"",IF($L$18=0,"",IFERROR(IF(UPPER(TRIM(SUBSTITUTE(SUBSTITUTE(SUBSTITUTE(SUBSTITUTE(INDEX(PASTE_ALL,$DF219,$L$18)," "," "),CHAR(9)," "),CHAR(10)," "),CHAR(13)," ")))="READY","Ready",IF(UPPER(TRIM(SUBSTITUTE(SUBSTITUTE(SUBSTITUTE(SUBSTITUTE(INDEX(PASTE_ALL,$DF219,$L$18)," "," "),CHAR(9)," "),CHAR(10)," "),CHAR(13)," ")))="PM","PM",IF(OR(UPPER(TRIM(SUBSTITUTE(SUBSTITUTE(SUBSTITUTE(SUBSTITUTE(INDEX(PASTE_ALL,$DF219,$L$18)," "," "),CHAR(9)," "),CHAR(10)," "),CHAR(13)," ")))="OT",UPPER(TRIM(SUBSTITUTE(SUBSTITUTE(SUBSTITUTE(SUBSTITUTE(INDEX(PASTE_ALL,$DF219,$L$18)," "," "),CHAR(9)," "),CHAR(10)," "),CHAR(13)," ")))="OVERTIME",UPPER(TRIM(SUBSTITUTE(SUBSTITUTE(SUBSTITUTE(SUBSTITUTE(INDEX(PASTE_ALL,$DF219,$L$18)," "," "),CHAR(9)," "),CHAR(10)," "),CHAR(13)," ")))="TRIAL"),"OT",TRIM(SUBSTITUTE(SUBSTITUTE(SUBSTITUTE(SUBSTITUTE(INDEX(PASTE_ALL,$DF219,$L$18)," "," "),CHAR(9)," "),CHAR(10)," "),CHAR(13)," "))))),"")))</f>
        <v/>
      </c>
      <c r="EC219">
        <f>IF($DM219=0,"",IF($L$19=0,"",IFERROR(IF(ISNUMBER(INDEX(PASTE_ALL,$DF219,$L$19)),INDEX(PASTE_ALL,$DF219,$L$19),TRIM(SUBSTITUTE(SUBSTITUTE(SUBSTITUTE(SUBSTITUTE(INDEX(PASTE_ALL,$DF219,$L$19)," "," "),CHAR(9)," "),CHAR(10)," "),CHAR(13)," "))),"")))</f>
        <v/>
      </c>
      <c r="ED219">
        <f>IF($DM219=0,"",MATCH(1,INDEX(EXACT($DH$5:DH219,$DH219)*$DM$5:DM219,0),0))</f>
        <v/>
      </c>
      <c r="EE219">
        <f>IF($DM219=0,0,IF($ED219=$DE219,1,0))</f>
        <v/>
      </c>
      <c r="EF219">
        <f>EF218+$EE219</f>
        <v/>
      </c>
      <c r="EG219">
        <f>IF($DM219=0,"",INDEX($EF$5:$EF$1003,$ED219))</f>
        <v/>
      </c>
      <c r="EH219">
        <f>IF($DM219=0,"",IF($DO219&lt;&gt;"","",IFERROR(LOOKUP(2,1/(($EG$4:EG218=$EG219)*($DO$4:DO218&lt;&gt;"")),$DO$4:DO218),"")))</f>
        <v/>
      </c>
      <c r="EI219">
        <f>IF($DM219=0,"",IF($DO219&lt;&gt;"",$DO219,$EH219))</f>
        <v/>
      </c>
      <c r="EJ219">
        <f>IF($DM219=0,"",IF($EI219="",0,IF(OR(ISNUMBER($EI219),AND(AND(SUBSTITUTE(SUBSTITUTE(SUBSTITUTE(SUBSTITUTE(SUBSTITUTE(SUBSTITUTE(SUBSTITUTE(SUBSTITUTE(SUBSTITUTE(SUBSTITUTE(SUBSTITUTE(SUBSTITUTE(SUBSTITUTE(SUBSTITUTE(UPPER($EI219),"0",""),"1",""),"2",""),"3",""),"4",""),"5",""),"6",""),"7",""),"8",""),"9",""),".",""),"+",""),"-",""),"E","")="",LEN(SUBSTITUTE(SUBSTITUTE(MID(UPPER($EI219),1+OR(LEFT(UPPER($EI219),1)="+",LEFT(UPPER($EI219),1)="-"),999),"E+","E"),"E-","E"))=LEN(SUBSTITUTE(SUBSTITUTE(SUBSTITUTE(SUBSTITUTE(MID(UPPER($EI219),1+OR(LEFT(UPPER($EI219),1)="+",LEFT(UPPER($EI219),1)="-"),999),"E+","E"),"E-","E"),"+",""),"-","")),LEN(UPPER($EI219))-LEN(SUBSTITUTE(UPPER($EI219),"E",""))&lt;2,LEN(UPPER($EI219))-LEN(SUBSTITUTE(UPPER($EI219),".",""))&lt;2,IFERROR(FIND(".",UPPER($EI219)),0)&lt;IFERROR(FIND("E",UPPER($EI219)),999)),ISNUMBER(VALUE($EI219)))),1,2)))</f>
        <v/>
      </c>
      <c r="EK219">
        <f>IF($DM219=0,"",IF($EJ219=1,IF(ISNUMBER($EI219),$EI219,VALUE($EI219)),IF($EJ219=2,$DE219,0)))</f>
        <v/>
      </c>
      <c r="EL219">
        <f>IF($DM219=0,"",COUNTIF($EG$5:$EG$1003,"&lt;"&amp;$EG219)+SUMPRODUCT(($EG$5:$EG$1003=$EG219)*(($EJ$5:$EJ$1003&lt;$EJ219)+($EJ$5:$EJ$1003=$EJ219)*(($EK$5:$EK$1003&lt;$EK219)+($EK$5:$EK$1003=$EK219)*($DE$5:$DE$1003&lt;$DE219))))+1)</f>
        <v/>
      </c>
      <c r="EM219">
        <f>IF($DM219=0,"",$EL219+$EG219-1)</f>
        <v/>
      </c>
      <c r="EN219">
        <f>IF($DM219=0,0,IFERROR(MATCH(1,INDEX(--(TRIM(SUBSTITUTE(SUBSTITUTE(SUBSTITUTE(SUBSTITUTE(LINES_NAME&amp;""," "," "),CHAR(9)," "),CHAR(10)," "),CHAR(13)," "))=$DH219),0),0),0))</f>
        <v/>
      </c>
      <c r="EO219">
        <f>IF($EN219=0,0,IF(OR(UPPER(TRIM(INDEX(LINES_SCHEDULED,$EN219)&amp;""))="YES",UPPER(TRIM(INDEX(LINES_SCHEDULED,$EN219)&amp;""))="Y",UPPER(TRIM(INDEX(LINES_SCHEDULED,$EN219)&amp;""))="X"),1,0))</f>
        <v/>
      </c>
      <c r="EP219">
        <f>IF($DM219=0,"",IF(COUNTIFS($EG$5:$EG$1003,$EG219,$EB$5:$EB$1003,"Ready")&gt;0,"READY",IF(COUNTIFS($EG$5:$EG$1003,$EG219,$EB$5:$EB$1003,"PM")&gt;0,"PM",IF(COUNTIFS($EG$5:$EG$1003,$EG219,$EB$5:$EB$1003,"OT")&gt;0,"OT",""))))</f>
        <v/>
      </c>
      <c r="EQ219">
        <f>IF($EN219=0,"",UPPER(TRIM(INDEX(LINES_STATUS,$EN219)&amp;"")))</f>
        <v/>
      </c>
      <c r="ER219">
        <f>IF($DM219=0,"",IF(OR($EQ219="READY",$EQ219="PM",$EQ219="OT"),$EQ219,$EP219))</f>
        <v/>
      </c>
      <c r="ES219">
        <f>IF($DM219=0,"",IF(AND($DV219&lt;&gt;"",UPPER($DV219)&lt;&gt;"N"),"allergen",IF(ISNUMBER(SEARCH("oil",$DQ219)),"oil",IF(OR(EXACT($DS219,"A662"),EXACT($DS219,"A624")),"bulk",""))))</f>
        <v/>
      </c>
      <c r="ET219">
        <f>IF($DM219=0,"",IF(OR($EA219="",$EA219=0),"",$EA219/100))</f>
        <v/>
      </c>
      <c r="EU219">
        <f>IF(OR($ET219="",$DY219=""),"",INT($DY219*(1-$ET219)+0.5))</f>
        <v/>
      </c>
      <c r="EW219" t="n">
        <v>215</v>
      </c>
      <c r="EX219">
        <f>IFERROR(MATCH($EW219,$EM$5:$EM$1003,0),0)</f>
        <v/>
      </c>
      <c r="EY219">
        <f>IF($EW219&gt;$B$12,"",IF($EX219&gt;0,"row","spacer"))</f>
        <v/>
      </c>
      <c r="EZ219">
        <f>IF(AND($EY219="row",$EY218&lt;&gt;"row"),1,0)</f>
        <v/>
      </c>
      <c r="FA219">
        <f>IF(AND($EY219="row",$EY220&lt;&gt;"row"),1,0)</f>
        <v/>
      </c>
      <c r="FB219">
        <f>IF($EZ219=1,IFERROR(IF(ISNUMBER(INDEX(PASTE_ALL,INDEX($DF$5:$DF$1003,$EX219),$B$37)),INDEX(PASTE_ALL,INDEX($DF$5:$DF$1003,$EX219),$B$37),INDEX($DH$5:$DH$1003,$EX219)),INDEX($DH$5:$DH$1003,$EX219)),"")</f>
        <v/>
      </c>
      <c r="FC219">
        <f>IF($EY219="row",INDEX($ER$5:$ER$1003,$EX219),"")</f>
        <v/>
      </c>
      <c r="FD219">
        <f>IF($EY219="row",INDEX($DN$5:$DN$1003,$EX219),"")</f>
        <v/>
      </c>
      <c r="FE219">
        <f>IF($EY219="row",INDEX($DO$5:$DO$1003,$EX219),"")</f>
        <v/>
      </c>
      <c r="FF219">
        <f>IF($EY219="row",INDEX($DP$5:$DP$1003,$EX219),"")</f>
        <v/>
      </c>
      <c r="FG219">
        <f>IF($EY219="row",INDEX($DQ$5:$DQ$1003,$EX219),"")</f>
        <v/>
      </c>
      <c r="FH219">
        <f>IF($EY219="row",INDEX($DR$5:$DR$1003,$EX219),"")</f>
        <v/>
      </c>
      <c r="FI219">
        <f>IF($EY219="row",INDEX($DS$5:$DS$1003,$EX219),"")</f>
        <v/>
      </c>
      <c r="FJ219">
        <f>IF($EY219="row",INDEX($DT$5:$DT$1003,$EX219),"")</f>
        <v/>
      </c>
      <c r="FK219">
        <f>IF($EY219="row",INDEX($DU$5:$DU$1003,$EX219),"")</f>
        <v/>
      </c>
      <c r="FL219">
        <f>IF($EY219="row",INDEX($DV$5:$DV$1003,$EX219),"")</f>
        <v/>
      </c>
      <c r="FM219">
        <f>IF($EY219="row",INDEX($DW$5:$DW$1003,$EX219),"")</f>
        <v/>
      </c>
      <c r="FN219">
        <f>IF($EY219="row",INDEX($DY$5:$DY$1003,$EX219),"")</f>
        <v/>
      </c>
      <c r="FO219">
        <f>IF($EY219="row",INDEX($EA$5:$EA$1003,$EX219),"")</f>
        <v/>
      </c>
      <c r="FP219">
        <f>IF($EY219="row",INDEX($EC$5:$EC$1003,$EX219),"")</f>
        <v/>
      </c>
      <c r="FQ219">
        <f>IF($EY219="row",INDEX($ET$5:$ET$1003,$EX219),"")</f>
        <v/>
      </c>
      <c r="FR219">
        <f>IF($EY219="row",INDEX($EU$5:$EU$1003,$EX219),"")</f>
        <v/>
      </c>
      <c r="FS219">
        <f>IF(AND($EY219="row",$EY218="row"),IF(OR(INDEX($DT$5:$DT$1003,$EX218)="",INDEX($DT$5:$DT$1003,$EX219)=""),"",IF(NOT(EXACT(INDEX($DT$5:$DT$1003,$EX218),INDEX($DT$5:$DT$1003,$EX219))),"S4",IF(NOT(EXACT(INDEX($DS$5:$DS$1003,$EX218),INDEX($DS$5:$DS$1003,$EX219))),"S3",IF(NOT(EXACT(INDEX($DR$5:$DR$1003,$EX218),INDEX($DR$5:$DR$1003,$EX219))),"S1 Count Change","S1")))),"")</f>
        <v/>
      </c>
      <c r="FT219">
        <f>IF($EY219="row",INDEX($ES$5:$ES$1003,$EX219),"")</f>
        <v/>
      </c>
      <c r="FU219">
        <f>IF($EY219="row",INDEX($EO$5:$EO$1003,$EX219),0)</f>
        <v/>
      </c>
      <c r="FV219">
        <f>IF($FS219="S1 Count Change",1,0)</f>
        <v/>
      </c>
    </row>
    <row r="220">
      <c r="Y220">
        <f>0+IF(Y130&gt;0,0,IF(SUMPRODUCT(MOD(INT(Y175/{2,4,8,16,32,64,128,256,512,1024,2048,4096,8192,16384,32768}),2)*(1-MOD(INT(($CJ40+0)/{2,4,8,16,32,64,128,256,512,1024,2048,4096,8192,16384,32768}),2))*{2,4,8,16,32,64,128,256,512,1024,2048,4096,8192,16384,32768})=0,0,2^SUMPRODUCT(--(MOD(SUMPRODUCT(MOD(INT(Y175/{2,4,8,16,32,64,128,256,512,1024,2048,4096,8192,16384,32768}),2)*(1-MOD(INT(($CJ40+0)/{2,4,8,16,32,64,128,256,512,1024,2048,4096,8192,16384,32768}),2))*{2,4,8,16,32,64,128,256,512,1024,2048,4096,8192,16384,32768}),{2,4,8,16,32,64,128,256,512,1024,2048,4096,8192,16384,32768})=0))))</f>
        <v/>
      </c>
      <c r="Z220">
        <f>Y220+IF(AND(Z130&gt;0,COUNTIF($Y130:Y130,Z130)=0),0,IF(SUMPRODUCT(MOD(INT(Z175/{2,4,8,16,32,64,128,256,512,1024,2048,4096,8192,16384,32768}),2)*(1-MOD(INT(($CJ40+Y220)/{2,4,8,16,32,64,128,256,512,1024,2048,4096,8192,16384,32768}),2))*{2,4,8,16,32,64,128,256,512,1024,2048,4096,8192,16384,32768})=0,0,2^SUMPRODUCT(--(MOD(SUMPRODUCT(MOD(INT(Z175/{2,4,8,16,32,64,128,256,512,1024,2048,4096,8192,16384,32768}),2)*(1-MOD(INT(($CJ40+Y220)/{2,4,8,16,32,64,128,256,512,1024,2048,4096,8192,16384,32768}),2))*{2,4,8,16,32,64,128,256,512,1024,2048,4096,8192,16384,32768}),{2,4,8,16,32,64,128,256,512,1024,2048,4096,8192,16384,32768})=0))))</f>
        <v/>
      </c>
      <c r="AA220">
        <f>Z220+IF(AND(AA130&gt;0,COUNTIF($Y130:Z130,AA130)=0),0,IF(SUMPRODUCT(MOD(INT(AA175/{2,4,8,16,32,64,128,256,512,1024,2048,4096,8192,16384,32768}),2)*(1-MOD(INT(($CJ40+Z220)/{2,4,8,16,32,64,128,256,512,1024,2048,4096,8192,16384,32768}),2))*{2,4,8,16,32,64,128,256,512,1024,2048,4096,8192,16384,32768})=0,0,2^SUMPRODUCT(--(MOD(SUMPRODUCT(MOD(INT(AA175/{2,4,8,16,32,64,128,256,512,1024,2048,4096,8192,16384,32768}),2)*(1-MOD(INT(($CJ40+Z220)/{2,4,8,16,32,64,128,256,512,1024,2048,4096,8192,16384,32768}),2))*{2,4,8,16,32,64,128,256,512,1024,2048,4096,8192,16384,32768}),{2,4,8,16,32,64,128,256,512,1024,2048,4096,8192,16384,32768})=0))))</f>
        <v/>
      </c>
      <c r="AB220">
        <f>AA220+IF(AND(AB130&gt;0,COUNTIF($Y130:AA130,AB130)=0),0,IF(SUMPRODUCT(MOD(INT(AB175/{2,4,8,16,32,64,128,256,512,1024,2048,4096,8192,16384,32768}),2)*(1-MOD(INT(($CJ40+AA220)/{2,4,8,16,32,64,128,256,512,1024,2048,4096,8192,16384,32768}),2))*{2,4,8,16,32,64,128,256,512,1024,2048,4096,8192,16384,32768})=0,0,2^SUMPRODUCT(--(MOD(SUMPRODUCT(MOD(INT(AB175/{2,4,8,16,32,64,128,256,512,1024,2048,4096,8192,16384,32768}),2)*(1-MOD(INT(($CJ40+AA220)/{2,4,8,16,32,64,128,256,512,1024,2048,4096,8192,16384,32768}),2))*{2,4,8,16,32,64,128,256,512,1024,2048,4096,8192,16384,32768}),{2,4,8,16,32,64,128,256,512,1024,2048,4096,8192,16384,32768})=0))))</f>
        <v/>
      </c>
      <c r="AC220">
        <f>AB220+IF(AND(AC130&gt;0,COUNTIF($Y130:AB130,AC130)=0),0,IF(SUMPRODUCT(MOD(INT(AC175/{2,4,8,16,32,64,128,256,512,1024,2048,4096,8192,16384,32768}),2)*(1-MOD(INT(($CJ40+AB220)/{2,4,8,16,32,64,128,256,512,1024,2048,4096,8192,16384,32768}),2))*{2,4,8,16,32,64,128,256,512,1024,2048,4096,8192,16384,32768})=0,0,2^SUMPRODUCT(--(MOD(SUMPRODUCT(MOD(INT(AC175/{2,4,8,16,32,64,128,256,512,1024,2048,4096,8192,16384,32768}),2)*(1-MOD(INT(($CJ40+AB220)/{2,4,8,16,32,64,128,256,512,1024,2048,4096,8192,16384,32768}),2))*{2,4,8,16,32,64,128,256,512,1024,2048,4096,8192,16384,32768}),{2,4,8,16,32,64,128,256,512,1024,2048,4096,8192,16384,32768})=0))))</f>
        <v/>
      </c>
      <c r="AD220">
        <f>AC220+IF(AND(AD130&gt;0,COUNTIF($Y130:AC130,AD130)=0),0,IF(SUMPRODUCT(MOD(INT(AD175/{2,4,8,16,32,64,128,256,512,1024,2048,4096,8192,16384,32768}),2)*(1-MOD(INT(($CJ40+AC220)/{2,4,8,16,32,64,128,256,512,1024,2048,4096,8192,16384,32768}),2))*{2,4,8,16,32,64,128,256,512,1024,2048,4096,8192,16384,32768})=0,0,2^SUMPRODUCT(--(MOD(SUMPRODUCT(MOD(INT(AD175/{2,4,8,16,32,64,128,256,512,1024,2048,4096,8192,16384,32768}),2)*(1-MOD(INT(($CJ40+AC220)/{2,4,8,16,32,64,128,256,512,1024,2048,4096,8192,16384,32768}),2))*{2,4,8,16,32,64,128,256,512,1024,2048,4096,8192,16384,32768}),{2,4,8,16,32,64,128,256,512,1024,2048,4096,8192,16384,32768})=0))))</f>
        <v/>
      </c>
      <c r="AE220">
        <f>AD220+IF(AND(AE130&gt;0,COUNTIF($Y130:AD130,AE130)=0),0,IF(SUMPRODUCT(MOD(INT(AE175/{2,4,8,16,32,64,128,256,512,1024,2048,4096,8192,16384,32768}),2)*(1-MOD(INT(($CJ40+AD220)/{2,4,8,16,32,64,128,256,512,1024,2048,4096,8192,16384,32768}),2))*{2,4,8,16,32,64,128,256,512,1024,2048,4096,8192,16384,32768})=0,0,2^SUMPRODUCT(--(MOD(SUMPRODUCT(MOD(INT(AE175/{2,4,8,16,32,64,128,256,512,1024,2048,4096,8192,16384,32768}),2)*(1-MOD(INT(($CJ40+AD220)/{2,4,8,16,32,64,128,256,512,1024,2048,4096,8192,16384,32768}),2))*{2,4,8,16,32,64,128,256,512,1024,2048,4096,8192,16384,32768}),{2,4,8,16,32,64,128,256,512,1024,2048,4096,8192,16384,32768})=0))))</f>
        <v/>
      </c>
      <c r="AF220">
        <f>AE220+IF(AND(AF130&gt;0,COUNTIF($Y130:AE130,AF130)=0),0,IF(SUMPRODUCT(MOD(INT(AF175/{2,4,8,16,32,64,128,256,512,1024,2048,4096,8192,16384,32768}),2)*(1-MOD(INT(($CJ40+AE220)/{2,4,8,16,32,64,128,256,512,1024,2048,4096,8192,16384,32768}),2))*{2,4,8,16,32,64,128,256,512,1024,2048,4096,8192,16384,32768})=0,0,2^SUMPRODUCT(--(MOD(SUMPRODUCT(MOD(INT(AF175/{2,4,8,16,32,64,128,256,512,1024,2048,4096,8192,16384,32768}),2)*(1-MOD(INT(($CJ40+AE220)/{2,4,8,16,32,64,128,256,512,1024,2048,4096,8192,16384,32768}),2))*{2,4,8,16,32,64,128,256,512,1024,2048,4096,8192,16384,32768}),{2,4,8,16,32,64,128,256,512,1024,2048,4096,8192,16384,32768})=0))))</f>
        <v/>
      </c>
      <c r="AG220">
        <f>AF220+IF(AND(AG130&gt;0,COUNTIF($Y130:AF130,AG130)=0),0,IF(SUMPRODUCT(MOD(INT(AG175/{2,4,8,16,32,64,128,256,512,1024,2048,4096,8192,16384,32768}),2)*(1-MOD(INT(($CJ40+AF220)/{2,4,8,16,32,64,128,256,512,1024,2048,4096,8192,16384,32768}),2))*{2,4,8,16,32,64,128,256,512,1024,2048,4096,8192,16384,32768})=0,0,2^SUMPRODUCT(--(MOD(SUMPRODUCT(MOD(INT(AG175/{2,4,8,16,32,64,128,256,512,1024,2048,4096,8192,16384,32768}),2)*(1-MOD(INT(($CJ40+AF220)/{2,4,8,16,32,64,128,256,512,1024,2048,4096,8192,16384,32768}),2))*{2,4,8,16,32,64,128,256,512,1024,2048,4096,8192,16384,32768}),{2,4,8,16,32,64,128,256,512,1024,2048,4096,8192,16384,32768})=0))))</f>
        <v/>
      </c>
      <c r="AH220">
        <f>AG220+IF(AND(AH130&gt;0,COUNTIF($Y130:AG130,AH130)=0),0,IF(SUMPRODUCT(MOD(INT(AH175/{2,4,8,16,32,64,128,256,512,1024,2048,4096,8192,16384,32768}),2)*(1-MOD(INT(($CJ40+AG220)/{2,4,8,16,32,64,128,256,512,1024,2048,4096,8192,16384,32768}),2))*{2,4,8,16,32,64,128,256,512,1024,2048,4096,8192,16384,32768})=0,0,2^SUMPRODUCT(--(MOD(SUMPRODUCT(MOD(INT(AH175/{2,4,8,16,32,64,128,256,512,1024,2048,4096,8192,16384,32768}),2)*(1-MOD(INT(($CJ40+AG220)/{2,4,8,16,32,64,128,256,512,1024,2048,4096,8192,16384,32768}),2))*{2,4,8,16,32,64,128,256,512,1024,2048,4096,8192,16384,32768}),{2,4,8,16,32,64,128,256,512,1024,2048,4096,8192,16384,32768})=0))))</f>
        <v/>
      </c>
      <c r="AI220">
        <f>AH220+IF(AND(AI130&gt;0,COUNTIF($Y130:AH130,AI130)=0),0,IF(SUMPRODUCT(MOD(INT(AI175/{2,4,8,16,32,64,128,256,512,1024,2048,4096,8192,16384,32768}),2)*(1-MOD(INT(($CJ40+AH220)/{2,4,8,16,32,64,128,256,512,1024,2048,4096,8192,16384,32768}),2))*{2,4,8,16,32,64,128,256,512,1024,2048,4096,8192,16384,32768})=0,0,2^SUMPRODUCT(--(MOD(SUMPRODUCT(MOD(INT(AI175/{2,4,8,16,32,64,128,256,512,1024,2048,4096,8192,16384,32768}),2)*(1-MOD(INT(($CJ40+AH220)/{2,4,8,16,32,64,128,256,512,1024,2048,4096,8192,16384,32768}),2))*{2,4,8,16,32,64,128,256,512,1024,2048,4096,8192,16384,32768}),{2,4,8,16,32,64,128,256,512,1024,2048,4096,8192,16384,32768})=0))))</f>
        <v/>
      </c>
      <c r="AJ220">
        <f>AI220+IF(AND(AJ130&gt;0,COUNTIF($Y130:AI130,AJ130)=0),0,IF(SUMPRODUCT(MOD(INT(AJ175/{2,4,8,16,32,64,128,256,512,1024,2048,4096,8192,16384,32768}),2)*(1-MOD(INT(($CJ40+AI220)/{2,4,8,16,32,64,128,256,512,1024,2048,4096,8192,16384,32768}),2))*{2,4,8,16,32,64,128,256,512,1024,2048,4096,8192,16384,32768})=0,0,2^SUMPRODUCT(--(MOD(SUMPRODUCT(MOD(INT(AJ175/{2,4,8,16,32,64,128,256,512,1024,2048,4096,8192,16384,32768}),2)*(1-MOD(INT(($CJ40+AI220)/{2,4,8,16,32,64,128,256,512,1024,2048,4096,8192,16384,32768}),2))*{2,4,8,16,32,64,128,256,512,1024,2048,4096,8192,16384,32768}),{2,4,8,16,32,64,128,256,512,1024,2048,4096,8192,16384,32768})=0))))</f>
        <v/>
      </c>
      <c r="AK220">
        <f>AJ220+IF(AND(AK130&gt;0,COUNTIF($Y130:AJ130,AK130)=0),0,IF(SUMPRODUCT(MOD(INT(AK175/{2,4,8,16,32,64,128,256,512,1024,2048,4096,8192,16384,32768}),2)*(1-MOD(INT(($CJ40+AJ220)/{2,4,8,16,32,64,128,256,512,1024,2048,4096,8192,16384,32768}),2))*{2,4,8,16,32,64,128,256,512,1024,2048,4096,8192,16384,32768})=0,0,2^SUMPRODUCT(--(MOD(SUMPRODUCT(MOD(INT(AK175/{2,4,8,16,32,64,128,256,512,1024,2048,4096,8192,16384,32768}),2)*(1-MOD(INT(($CJ40+AJ220)/{2,4,8,16,32,64,128,256,512,1024,2048,4096,8192,16384,32768}),2))*{2,4,8,16,32,64,128,256,512,1024,2048,4096,8192,16384,32768}),{2,4,8,16,32,64,128,256,512,1024,2048,4096,8192,16384,32768})=0))))</f>
        <v/>
      </c>
      <c r="AL220">
        <f>AK220+IF(AND(AL130&gt;0,COUNTIF($Y130:AK130,AL130)=0),0,IF(SUMPRODUCT(MOD(INT(AL175/{2,4,8,16,32,64,128,256,512,1024,2048,4096,8192,16384,32768}),2)*(1-MOD(INT(($CJ40+AK220)/{2,4,8,16,32,64,128,256,512,1024,2048,4096,8192,16384,32768}),2))*{2,4,8,16,32,64,128,256,512,1024,2048,4096,8192,16384,32768})=0,0,2^SUMPRODUCT(--(MOD(SUMPRODUCT(MOD(INT(AL175/{2,4,8,16,32,64,128,256,512,1024,2048,4096,8192,16384,32768}),2)*(1-MOD(INT(($CJ40+AK220)/{2,4,8,16,32,64,128,256,512,1024,2048,4096,8192,16384,32768}),2))*{2,4,8,16,32,64,128,256,512,1024,2048,4096,8192,16384,32768}),{2,4,8,16,32,64,128,256,512,1024,2048,4096,8192,16384,32768})=0))))</f>
        <v/>
      </c>
      <c r="AM220">
        <f>AL220+IF(AND(AM130&gt;0,COUNTIF($Y130:AL130,AM130)=0),0,IF(SUMPRODUCT(MOD(INT(AM175/{2,4,8,16,32,64,128,256,512,1024,2048,4096,8192,16384,32768}),2)*(1-MOD(INT(($CJ40+AL220)/{2,4,8,16,32,64,128,256,512,1024,2048,4096,8192,16384,32768}),2))*{2,4,8,16,32,64,128,256,512,1024,2048,4096,8192,16384,32768})=0,0,2^SUMPRODUCT(--(MOD(SUMPRODUCT(MOD(INT(AM175/{2,4,8,16,32,64,128,256,512,1024,2048,4096,8192,16384,32768}),2)*(1-MOD(INT(($CJ40+AL220)/{2,4,8,16,32,64,128,256,512,1024,2048,4096,8192,16384,32768}),2))*{2,4,8,16,32,64,128,256,512,1024,2048,4096,8192,16384,32768}),{2,4,8,16,32,64,128,256,512,1024,2048,4096,8192,16384,32768})=0))))</f>
        <v/>
      </c>
      <c r="AN220">
        <f>AM220+IF(AND(AN130&gt;0,COUNTIF($Y130:AM130,AN130)=0),0,IF(SUMPRODUCT(MOD(INT(AN175/{2,4,8,16,32,64,128,256,512,1024,2048,4096,8192,16384,32768}),2)*(1-MOD(INT(($CJ40+AM220)/{2,4,8,16,32,64,128,256,512,1024,2048,4096,8192,16384,32768}),2))*{2,4,8,16,32,64,128,256,512,1024,2048,4096,8192,16384,32768})=0,0,2^SUMPRODUCT(--(MOD(SUMPRODUCT(MOD(INT(AN175/{2,4,8,16,32,64,128,256,512,1024,2048,4096,8192,16384,32768}),2)*(1-MOD(INT(($CJ40+AM220)/{2,4,8,16,32,64,128,256,512,1024,2048,4096,8192,16384,32768}),2))*{2,4,8,16,32,64,128,256,512,1024,2048,4096,8192,16384,32768}),{2,4,8,16,32,64,128,256,512,1024,2048,4096,8192,16384,32768})=0))))</f>
        <v/>
      </c>
      <c r="AO220">
        <f>AN220+IF(AND(AO130&gt;0,COUNTIF($Y130:AN130,AO130)=0),0,IF(SUMPRODUCT(MOD(INT(AO175/{2,4,8,16,32,64,128,256,512,1024,2048,4096,8192,16384,32768}),2)*(1-MOD(INT(($CJ40+AN220)/{2,4,8,16,32,64,128,256,512,1024,2048,4096,8192,16384,32768}),2))*{2,4,8,16,32,64,128,256,512,1024,2048,4096,8192,16384,32768})=0,0,2^SUMPRODUCT(--(MOD(SUMPRODUCT(MOD(INT(AO175/{2,4,8,16,32,64,128,256,512,1024,2048,4096,8192,16384,32768}),2)*(1-MOD(INT(($CJ40+AN220)/{2,4,8,16,32,64,128,256,512,1024,2048,4096,8192,16384,32768}),2))*{2,4,8,16,32,64,128,256,512,1024,2048,4096,8192,16384,32768}),{2,4,8,16,32,64,128,256,512,1024,2048,4096,8192,16384,32768})=0))))</f>
        <v/>
      </c>
      <c r="AP220">
        <f>AO220+IF(AND(AP130&gt;0,COUNTIF($Y130:AO130,AP130)=0),0,IF(SUMPRODUCT(MOD(INT(AP175/{2,4,8,16,32,64,128,256,512,1024,2048,4096,8192,16384,32768}),2)*(1-MOD(INT(($CJ40+AO220)/{2,4,8,16,32,64,128,256,512,1024,2048,4096,8192,16384,32768}),2))*{2,4,8,16,32,64,128,256,512,1024,2048,4096,8192,16384,32768})=0,0,2^SUMPRODUCT(--(MOD(SUMPRODUCT(MOD(INT(AP175/{2,4,8,16,32,64,128,256,512,1024,2048,4096,8192,16384,32768}),2)*(1-MOD(INT(($CJ40+AO220)/{2,4,8,16,32,64,128,256,512,1024,2048,4096,8192,16384,32768}),2))*{2,4,8,16,32,64,128,256,512,1024,2048,4096,8192,16384,32768}),{2,4,8,16,32,64,128,256,512,1024,2048,4096,8192,16384,32768})=0))))</f>
        <v/>
      </c>
      <c r="AQ220">
        <f>AP220+IF(AND(AQ130&gt;0,COUNTIF($Y130:AP130,AQ130)=0),0,IF(SUMPRODUCT(MOD(INT(AQ175/{2,4,8,16,32,64,128,256,512,1024,2048,4096,8192,16384,32768}),2)*(1-MOD(INT(($CJ40+AP220)/{2,4,8,16,32,64,128,256,512,1024,2048,4096,8192,16384,32768}),2))*{2,4,8,16,32,64,128,256,512,1024,2048,4096,8192,16384,32768})=0,0,2^SUMPRODUCT(--(MOD(SUMPRODUCT(MOD(INT(AQ175/{2,4,8,16,32,64,128,256,512,1024,2048,4096,8192,16384,32768}),2)*(1-MOD(INT(($CJ40+AP220)/{2,4,8,16,32,64,128,256,512,1024,2048,4096,8192,16384,32768}),2))*{2,4,8,16,32,64,128,256,512,1024,2048,4096,8192,16384,32768}),{2,4,8,16,32,64,128,256,512,1024,2048,4096,8192,16384,32768})=0))))</f>
        <v/>
      </c>
      <c r="AR220">
        <f>AQ220+IF(AND(AR130&gt;0,COUNTIF($Y130:AQ130,AR130)=0),0,IF(SUMPRODUCT(MOD(INT(AR175/{2,4,8,16,32,64,128,256,512,1024,2048,4096,8192,16384,32768}),2)*(1-MOD(INT(($CJ40+AQ220)/{2,4,8,16,32,64,128,256,512,1024,2048,4096,8192,16384,32768}),2))*{2,4,8,16,32,64,128,256,512,1024,2048,4096,8192,16384,32768})=0,0,2^SUMPRODUCT(--(MOD(SUMPRODUCT(MOD(INT(AR175/{2,4,8,16,32,64,128,256,512,1024,2048,4096,8192,16384,32768}),2)*(1-MOD(INT(($CJ40+AQ220)/{2,4,8,16,32,64,128,256,512,1024,2048,4096,8192,16384,32768}),2))*{2,4,8,16,32,64,128,256,512,1024,2048,4096,8192,16384,32768}),{2,4,8,16,32,64,128,256,512,1024,2048,4096,8192,16384,32768})=0))))</f>
        <v/>
      </c>
      <c r="AS220">
        <f>AR220+IF(AND(AS130&gt;0,COUNTIF($Y130:AR130,AS130)=0),0,IF(SUMPRODUCT(MOD(INT(AS175/{2,4,8,16,32,64,128,256,512,1024,2048,4096,8192,16384,32768}),2)*(1-MOD(INT(($CJ40+AR220)/{2,4,8,16,32,64,128,256,512,1024,2048,4096,8192,16384,32768}),2))*{2,4,8,16,32,64,128,256,512,1024,2048,4096,8192,16384,32768})=0,0,2^SUMPRODUCT(--(MOD(SUMPRODUCT(MOD(INT(AS175/{2,4,8,16,32,64,128,256,512,1024,2048,4096,8192,16384,32768}),2)*(1-MOD(INT(($CJ40+AR220)/{2,4,8,16,32,64,128,256,512,1024,2048,4096,8192,16384,32768}),2))*{2,4,8,16,32,64,128,256,512,1024,2048,4096,8192,16384,32768}),{2,4,8,16,32,64,128,256,512,1024,2048,4096,8192,16384,32768})=0))))</f>
        <v/>
      </c>
      <c r="AT220">
        <f>AS220+IF(AND(AT130&gt;0,COUNTIF($Y130:AS130,AT130)=0),0,IF(SUMPRODUCT(MOD(INT(AT175/{2,4,8,16,32,64,128,256,512,1024,2048,4096,8192,16384,32768}),2)*(1-MOD(INT(($CJ40+AS220)/{2,4,8,16,32,64,128,256,512,1024,2048,4096,8192,16384,32768}),2))*{2,4,8,16,32,64,128,256,512,1024,2048,4096,8192,16384,32768})=0,0,2^SUMPRODUCT(--(MOD(SUMPRODUCT(MOD(INT(AT175/{2,4,8,16,32,64,128,256,512,1024,2048,4096,8192,16384,32768}),2)*(1-MOD(INT(($CJ40+AS220)/{2,4,8,16,32,64,128,256,512,1024,2048,4096,8192,16384,32768}),2))*{2,4,8,16,32,64,128,256,512,1024,2048,4096,8192,16384,32768}),{2,4,8,16,32,64,128,256,512,1024,2048,4096,8192,16384,32768})=0))))</f>
        <v/>
      </c>
      <c r="AU220">
        <f>AT220+IF(AND(AU130&gt;0,COUNTIF($Y130:AT130,AU130)=0),0,IF(SUMPRODUCT(MOD(INT(AU175/{2,4,8,16,32,64,128,256,512,1024,2048,4096,8192,16384,32768}),2)*(1-MOD(INT(($CJ40+AT220)/{2,4,8,16,32,64,128,256,512,1024,2048,4096,8192,16384,32768}),2))*{2,4,8,16,32,64,128,256,512,1024,2048,4096,8192,16384,32768})=0,0,2^SUMPRODUCT(--(MOD(SUMPRODUCT(MOD(INT(AU175/{2,4,8,16,32,64,128,256,512,1024,2048,4096,8192,16384,32768}),2)*(1-MOD(INT(($CJ40+AT220)/{2,4,8,16,32,64,128,256,512,1024,2048,4096,8192,16384,32768}),2))*{2,4,8,16,32,64,128,256,512,1024,2048,4096,8192,16384,32768}),{2,4,8,16,32,64,128,256,512,1024,2048,4096,8192,16384,32768})=0))))</f>
        <v/>
      </c>
      <c r="AV220">
        <f>AU220+IF(AND(AV130&gt;0,COUNTIF($Y130:AU130,AV130)=0),0,IF(SUMPRODUCT(MOD(INT(AV175/{2,4,8,16,32,64,128,256,512,1024,2048,4096,8192,16384,32768}),2)*(1-MOD(INT(($CJ40+AU220)/{2,4,8,16,32,64,128,256,512,1024,2048,4096,8192,16384,32768}),2))*{2,4,8,16,32,64,128,256,512,1024,2048,4096,8192,16384,32768})=0,0,2^SUMPRODUCT(--(MOD(SUMPRODUCT(MOD(INT(AV175/{2,4,8,16,32,64,128,256,512,1024,2048,4096,8192,16384,32768}),2)*(1-MOD(INT(($CJ40+AU220)/{2,4,8,16,32,64,128,256,512,1024,2048,4096,8192,16384,32768}),2))*{2,4,8,16,32,64,128,256,512,1024,2048,4096,8192,16384,32768}),{2,4,8,16,32,64,128,256,512,1024,2048,4096,8192,16384,32768})=0))))</f>
        <v/>
      </c>
      <c r="AW220">
        <f>AV220+IF(AND(AW130&gt;0,COUNTIF($Y130:AV130,AW130)=0),0,IF(SUMPRODUCT(MOD(INT(AW175/{2,4,8,16,32,64,128,256,512,1024,2048,4096,8192,16384,32768}),2)*(1-MOD(INT(($CJ40+AV220)/{2,4,8,16,32,64,128,256,512,1024,2048,4096,8192,16384,32768}),2))*{2,4,8,16,32,64,128,256,512,1024,2048,4096,8192,16384,32768})=0,0,2^SUMPRODUCT(--(MOD(SUMPRODUCT(MOD(INT(AW175/{2,4,8,16,32,64,128,256,512,1024,2048,4096,8192,16384,32768}),2)*(1-MOD(INT(($CJ40+AV220)/{2,4,8,16,32,64,128,256,512,1024,2048,4096,8192,16384,32768}),2))*{2,4,8,16,32,64,128,256,512,1024,2048,4096,8192,16384,32768}),{2,4,8,16,32,64,128,256,512,1024,2048,4096,8192,16384,32768})=0))))</f>
        <v/>
      </c>
      <c r="AX220">
        <f>AW220+IF(AND(AX130&gt;0,COUNTIF($Y130:AW130,AX130)=0),0,IF(SUMPRODUCT(MOD(INT(AX175/{2,4,8,16,32,64,128,256,512,1024,2048,4096,8192,16384,32768}),2)*(1-MOD(INT(($CJ40+AW220)/{2,4,8,16,32,64,128,256,512,1024,2048,4096,8192,16384,32768}),2))*{2,4,8,16,32,64,128,256,512,1024,2048,4096,8192,16384,32768})=0,0,2^SUMPRODUCT(--(MOD(SUMPRODUCT(MOD(INT(AX175/{2,4,8,16,32,64,128,256,512,1024,2048,4096,8192,16384,32768}),2)*(1-MOD(INT(($CJ40+AW220)/{2,4,8,16,32,64,128,256,512,1024,2048,4096,8192,16384,32768}),2))*{2,4,8,16,32,64,128,256,512,1024,2048,4096,8192,16384,32768}),{2,4,8,16,32,64,128,256,512,1024,2048,4096,8192,16384,32768})=0))))</f>
        <v/>
      </c>
      <c r="AY220">
        <f>AX220+IF(AND(AY130&gt;0,COUNTIF($Y130:AX130,AY130)=0),0,IF(SUMPRODUCT(MOD(INT(AY175/{2,4,8,16,32,64,128,256,512,1024,2048,4096,8192,16384,32768}),2)*(1-MOD(INT(($CJ40+AX220)/{2,4,8,16,32,64,128,256,512,1024,2048,4096,8192,16384,32768}),2))*{2,4,8,16,32,64,128,256,512,1024,2048,4096,8192,16384,32768})=0,0,2^SUMPRODUCT(--(MOD(SUMPRODUCT(MOD(INT(AY175/{2,4,8,16,32,64,128,256,512,1024,2048,4096,8192,16384,32768}),2)*(1-MOD(INT(($CJ40+AX220)/{2,4,8,16,32,64,128,256,512,1024,2048,4096,8192,16384,32768}),2))*{2,4,8,16,32,64,128,256,512,1024,2048,4096,8192,16384,32768}),{2,4,8,16,32,64,128,256,512,1024,2048,4096,8192,16384,32768})=0))))</f>
        <v/>
      </c>
      <c r="AZ220">
        <f>AY220+IF(AND(AZ130&gt;0,COUNTIF($Y130:AY130,AZ130)=0),0,IF(SUMPRODUCT(MOD(INT(AZ175/{2,4,8,16,32,64,128,256,512,1024,2048,4096,8192,16384,32768}),2)*(1-MOD(INT(($CJ40+AY220)/{2,4,8,16,32,64,128,256,512,1024,2048,4096,8192,16384,32768}),2))*{2,4,8,16,32,64,128,256,512,1024,2048,4096,8192,16384,32768})=0,0,2^SUMPRODUCT(--(MOD(SUMPRODUCT(MOD(INT(AZ175/{2,4,8,16,32,64,128,256,512,1024,2048,4096,8192,16384,32768}),2)*(1-MOD(INT(($CJ40+AY220)/{2,4,8,16,32,64,128,256,512,1024,2048,4096,8192,16384,32768}),2))*{2,4,8,16,32,64,128,256,512,1024,2048,4096,8192,16384,32768}),{2,4,8,16,32,64,128,256,512,1024,2048,4096,8192,16384,32768})=0))))</f>
        <v/>
      </c>
      <c r="BA220">
        <f>AZ220+IF(AND(BA130&gt;0,COUNTIF($Y130:AZ130,BA130)=0),0,IF(SUMPRODUCT(MOD(INT(BA175/{2,4,8,16,32,64,128,256,512,1024,2048,4096,8192,16384,32768}),2)*(1-MOD(INT(($CJ40+AZ220)/{2,4,8,16,32,64,128,256,512,1024,2048,4096,8192,16384,32768}),2))*{2,4,8,16,32,64,128,256,512,1024,2048,4096,8192,16384,32768})=0,0,2^SUMPRODUCT(--(MOD(SUMPRODUCT(MOD(INT(BA175/{2,4,8,16,32,64,128,256,512,1024,2048,4096,8192,16384,32768}),2)*(1-MOD(INT(($CJ40+AZ220)/{2,4,8,16,32,64,128,256,512,1024,2048,4096,8192,16384,32768}),2))*{2,4,8,16,32,64,128,256,512,1024,2048,4096,8192,16384,32768}),{2,4,8,16,32,64,128,256,512,1024,2048,4096,8192,16384,32768})=0))))</f>
        <v/>
      </c>
      <c r="BB220">
        <f>BA220+IF(AND(BB130&gt;0,COUNTIF($Y130:BA130,BB130)=0),0,IF(SUMPRODUCT(MOD(INT(BB175/{2,4,8,16,32,64,128,256,512,1024,2048,4096,8192,16384,32768}),2)*(1-MOD(INT(($CJ40+BA220)/{2,4,8,16,32,64,128,256,512,1024,2048,4096,8192,16384,32768}),2))*{2,4,8,16,32,64,128,256,512,1024,2048,4096,8192,16384,32768})=0,0,2^SUMPRODUCT(--(MOD(SUMPRODUCT(MOD(INT(BB175/{2,4,8,16,32,64,128,256,512,1024,2048,4096,8192,16384,32768}),2)*(1-MOD(INT(($CJ40+BA220)/{2,4,8,16,32,64,128,256,512,1024,2048,4096,8192,16384,32768}),2))*{2,4,8,16,32,64,128,256,512,1024,2048,4096,8192,16384,32768}),{2,4,8,16,32,64,128,256,512,1024,2048,4096,8192,16384,32768})=0))))</f>
        <v/>
      </c>
      <c r="BC220">
        <f>BB220+IF(AND(BC130&gt;0,COUNTIF($Y130:BB130,BC130)=0),0,IF(SUMPRODUCT(MOD(INT(BC175/{2,4,8,16,32,64,128,256,512,1024,2048,4096,8192,16384,32768}),2)*(1-MOD(INT(($CJ40+BB220)/{2,4,8,16,32,64,128,256,512,1024,2048,4096,8192,16384,32768}),2))*{2,4,8,16,32,64,128,256,512,1024,2048,4096,8192,16384,32768})=0,0,2^SUMPRODUCT(--(MOD(SUMPRODUCT(MOD(INT(BC175/{2,4,8,16,32,64,128,256,512,1024,2048,4096,8192,16384,32768}),2)*(1-MOD(INT(($CJ40+BB220)/{2,4,8,16,32,64,128,256,512,1024,2048,4096,8192,16384,32768}),2))*{2,4,8,16,32,64,128,256,512,1024,2048,4096,8192,16384,32768}),{2,4,8,16,32,64,128,256,512,1024,2048,4096,8192,16384,32768})=0))))</f>
        <v/>
      </c>
      <c r="BD220">
        <f>BC220+IF(AND(BD130&gt;0,COUNTIF($Y130:BC130,BD130)=0),0,IF(SUMPRODUCT(MOD(INT(BD175/{2,4,8,16,32,64,128,256,512,1024,2048,4096,8192,16384,32768}),2)*(1-MOD(INT(($CJ40+BC220)/{2,4,8,16,32,64,128,256,512,1024,2048,4096,8192,16384,32768}),2))*{2,4,8,16,32,64,128,256,512,1024,2048,4096,8192,16384,32768})=0,0,2^SUMPRODUCT(--(MOD(SUMPRODUCT(MOD(INT(BD175/{2,4,8,16,32,64,128,256,512,1024,2048,4096,8192,16384,32768}),2)*(1-MOD(INT(($CJ40+BC220)/{2,4,8,16,32,64,128,256,512,1024,2048,4096,8192,16384,32768}),2))*{2,4,8,16,32,64,128,256,512,1024,2048,4096,8192,16384,32768}),{2,4,8,16,32,64,128,256,512,1024,2048,4096,8192,16384,32768})=0))))</f>
        <v/>
      </c>
      <c r="BE220">
        <f>BD220+IF(AND(BE130&gt;0,COUNTIF($Y130:BD130,BE130)=0),0,IF(SUMPRODUCT(MOD(INT(BE175/{2,4,8,16,32,64,128,256,512,1024,2048,4096,8192,16384,32768}),2)*(1-MOD(INT(($CJ40+BD220)/{2,4,8,16,32,64,128,256,512,1024,2048,4096,8192,16384,32768}),2))*{2,4,8,16,32,64,128,256,512,1024,2048,4096,8192,16384,32768})=0,0,2^SUMPRODUCT(--(MOD(SUMPRODUCT(MOD(INT(BE175/{2,4,8,16,32,64,128,256,512,1024,2048,4096,8192,16384,32768}),2)*(1-MOD(INT(($CJ40+BD220)/{2,4,8,16,32,64,128,256,512,1024,2048,4096,8192,16384,32768}),2))*{2,4,8,16,32,64,128,256,512,1024,2048,4096,8192,16384,32768}),{2,4,8,16,32,64,128,256,512,1024,2048,4096,8192,16384,32768})=0))))</f>
        <v/>
      </c>
      <c r="BF220">
        <f>BE220+IF(AND(BF130&gt;0,COUNTIF($Y130:BE130,BF130)=0),0,IF(SUMPRODUCT(MOD(INT(BF175/{2,4,8,16,32,64,128,256,512,1024,2048,4096,8192,16384,32768}),2)*(1-MOD(INT(($CJ40+BE220)/{2,4,8,16,32,64,128,256,512,1024,2048,4096,8192,16384,32768}),2))*{2,4,8,16,32,64,128,256,512,1024,2048,4096,8192,16384,32768})=0,0,2^SUMPRODUCT(--(MOD(SUMPRODUCT(MOD(INT(BF175/{2,4,8,16,32,64,128,256,512,1024,2048,4096,8192,16384,32768}),2)*(1-MOD(INT(($CJ40+BE220)/{2,4,8,16,32,64,128,256,512,1024,2048,4096,8192,16384,32768}),2))*{2,4,8,16,32,64,128,256,512,1024,2048,4096,8192,16384,32768}),{2,4,8,16,32,64,128,256,512,1024,2048,4096,8192,16384,32768})=0))))</f>
        <v/>
      </c>
      <c r="BG220">
        <f>BF220+IF(AND(BG130&gt;0,COUNTIF($Y130:BF130,BG130)=0),0,IF(SUMPRODUCT(MOD(INT(BG175/{2,4,8,16,32,64,128,256,512,1024,2048,4096,8192,16384,32768}),2)*(1-MOD(INT(($CJ40+BF220)/{2,4,8,16,32,64,128,256,512,1024,2048,4096,8192,16384,32768}),2))*{2,4,8,16,32,64,128,256,512,1024,2048,4096,8192,16384,32768})=0,0,2^SUMPRODUCT(--(MOD(SUMPRODUCT(MOD(INT(BG175/{2,4,8,16,32,64,128,256,512,1024,2048,4096,8192,16384,32768}),2)*(1-MOD(INT(($CJ40+BF220)/{2,4,8,16,32,64,128,256,512,1024,2048,4096,8192,16384,32768}),2))*{2,4,8,16,32,64,128,256,512,1024,2048,4096,8192,16384,32768}),{2,4,8,16,32,64,128,256,512,1024,2048,4096,8192,16384,32768})=0))))</f>
        <v/>
      </c>
      <c r="BH220">
        <f>BG220+IF(AND(BH130&gt;0,COUNTIF($Y130:BG130,BH130)=0),0,IF(SUMPRODUCT(MOD(INT(BH175/{2,4,8,16,32,64,128,256,512,1024,2048,4096,8192,16384,32768}),2)*(1-MOD(INT(($CJ40+BG220)/{2,4,8,16,32,64,128,256,512,1024,2048,4096,8192,16384,32768}),2))*{2,4,8,16,32,64,128,256,512,1024,2048,4096,8192,16384,32768})=0,0,2^SUMPRODUCT(--(MOD(SUMPRODUCT(MOD(INT(BH175/{2,4,8,16,32,64,128,256,512,1024,2048,4096,8192,16384,32768}),2)*(1-MOD(INT(($CJ40+BG220)/{2,4,8,16,32,64,128,256,512,1024,2048,4096,8192,16384,32768}),2))*{2,4,8,16,32,64,128,256,512,1024,2048,4096,8192,16384,32768}),{2,4,8,16,32,64,128,256,512,1024,2048,4096,8192,16384,32768})=0))))</f>
        <v/>
      </c>
      <c r="BI220">
        <f>BH220+IF(AND(BI130&gt;0,COUNTIF($Y130:BH130,BI130)=0),0,IF(SUMPRODUCT(MOD(INT(BI175/{2,4,8,16,32,64,128,256,512,1024,2048,4096,8192,16384,32768}),2)*(1-MOD(INT(($CJ40+BH220)/{2,4,8,16,32,64,128,256,512,1024,2048,4096,8192,16384,32768}),2))*{2,4,8,16,32,64,128,256,512,1024,2048,4096,8192,16384,32768})=0,0,2^SUMPRODUCT(--(MOD(SUMPRODUCT(MOD(INT(BI175/{2,4,8,16,32,64,128,256,512,1024,2048,4096,8192,16384,32768}),2)*(1-MOD(INT(($CJ40+BH220)/{2,4,8,16,32,64,128,256,512,1024,2048,4096,8192,16384,32768}),2))*{2,4,8,16,32,64,128,256,512,1024,2048,4096,8192,16384,32768}),{2,4,8,16,32,64,128,256,512,1024,2048,4096,8192,16384,32768})=0))))</f>
        <v/>
      </c>
      <c r="BJ220">
        <f>BI220+IF(AND(BJ130&gt;0,COUNTIF($Y130:BI130,BJ130)=0),0,IF(SUMPRODUCT(MOD(INT(BJ175/{2,4,8,16,32,64,128,256,512,1024,2048,4096,8192,16384,32768}),2)*(1-MOD(INT(($CJ40+BI220)/{2,4,8,16,32,64,128,256,512,1024,2048,4096,8192,16384,32768}),2))*{2,4,8,16,32,64,128,256,512,1024,2048,4096,8192,16384,32768})=0,0,2^SUMPRODUCT(--(MOD(SUMPRODUCT(MOD(INT(BJ175/{2,4,8,16,32,64,128,256,512,1024,2048,4096,8192,16384,32768}),2)*(1-MOD(INT(($CJ40+BI220)/{2,4,8,16,32,64,128,256,512,1024,2048,4096,8192,16384,32768}),2))*{2,4,8,16,32,64,128,256,512,1024,2048,4096,8192,16384,32768}),{2,4,8,16,32,64,128,256,512,1024,2048,4096,8192,16384,32768})=0))))</f>
        <v/>
      </c>
      <c r="BK220">
        <f>BJ220+IF(AND(BK130&gt;0,COUNTIF($Y130:BJ130,BK130)=0),0,IF(SUMPRODUCT(MOD(INT(BK175/{2,4,8,16,32,64,128,256,512,1024,2048,4096,8192,16384,32768}),2)*(1-MOD(INT(($CJ40+BJ220)/{2,4,8,16,32,64,128,256,512,1024,2048,4096,8192,16384,32768}),2))*{2,4,8,16,32,64,128,256,512,1024,2048,4096,8192,16384,32768})=0,0,2^SUMPRODUCT(--(MOD(SUMPRODUCT(MOD(INT(BK175/{2,4,8,16,32,64,128,256,512,1024,2048,4096,8192,16384,32768}),2)*(1-MOD(INT(($CJ40+BJ220)/{2,4,8,16,32,64,128,256,512,1024,2048,4096,8192,16384,32768}),2))*{2,4,8,16,32,64,128,256,512,1024,2048,4096,8192,16384,32768}),{2,4,8,16,32,64,128,256,512,1024,2048,4096,8192,16384,32768})=0))))</f>
        <v/>
      </c>
      <c r="BL220">
        <f>BK220+IF(AND(BL130&gt;0,COUNTIF($Y130:BK130,BL130)=0),0,IF(SUMPRODUCT(MOD(INT(BL175/{2,4,8,16,32,64,128,256,512,1024,2048,4096,8192,16384,32768}),2)*(1-MOD(INT(($CJ40+BK220)/{2,4,8,16,32,64,128,256,512,1024,2048,4096,8192,16384,32768}),2))*{2,4,8,16,32,64,128,256,512,1024,2048,4096,8192,16384,32768})=0,0,2^SUMPRODUCT(--(MOD(SUMPRODUCT(MOD(INT(BL175/{2,4,8,16,32,64,128,256,512,1024,2048,4096,8192,16384,32768}),2)*(1-MOD(INT(($CJ40+BK220)/{2,4,8,16,32,64,128,256,512,1024,2048,4096,8192,16384,32768}),2))*{2,4,8,16,32,64,128,256,512,1024,2048,4096,8192,16384,32768}),{2,4,8,16,32,64,128,256,512,1024,2048,4096,8192,16384,32768})=0))))</f>
        <v/>
      </c>
      <c r="BM220">
        <f>BL220+IF(AND(BM130&gt;0,COUNTIF($Y130:BL130,BM130)=0),0,IF(SUMPRODUCT(MOD(INT(BM175/{2,4,8,16,32,64,128,256,512,1024,2048,4096,8192,16384,32768}),2)*(1-MOD(INT(($CJ40+BL220)/{2,4,8,16,32,64,128,256,512,1024,2048,4096,8192,16384,32768}),2))*{2,4,8,16,32,64,128,256,512,1024,2048,4096,8192,16384,32768})=0,0,2^SUMPRODUCT(--(MOD(SUMPRODUCT(MOD(INT(BM175/{2,4,8,16,32,64,128,256,512,1024,2048,4096,8192,16384,32768}),2)*(1-MOD(INT(($CJ40+BL220)/{2,4,8,16,32,64,128,256,512,1024,2048,4096,8192,16384,32768}),2))*{2,4,8,16,32,64,128,256,512,1024,2048,4096,8192,16384,32768}),{2,4,8,16,32,64,128,256,512,1024,2048,4096,8192,16384,32768})=0))))</f>
        <v/>
      </c>
      <c r="BN220">
        <f>BM220+IF(AND(BN130&gt;0,COUNTIF($Y130:BM130,BN130)=0),0,IF(SUMPRODUCT(MOD(INT(BN175/{2,4,8,16,32,64,128,256,512,1024,2048,4096,8192,16384,32768}),2)*(1-MOD(INT(($CJ40+BM220)/{2,4,8,16,32,64,128,256,512,1024,2048,4096,8192,16384,32768}),2))*{2,4,8,16,32,64,128,256,512,1024,2048,4096,8192,16384,32768})=0,0,2^SUMPRODUCT(--(MOD(SUMPRODUCT(MOD(INT(BN175/{2,4,8,16,32,64,128,256,512,1024,2048,4096,8192,16384,32768}),2)*(1-MOD(INT(($CJ40+BM220)/{2,4,8,16,32,64,128,256,512,1024,2048,4096,8192,16384,32768}),2))*{2,4,8,16,32,64,128,256,512,1024,2048,4096,8192,16384,32768}),{2,4,8,16,32,64,128,256,512,1024,2048,4096,8192,16384,32768})=0))))</f>
        <v/>
      </c>
      <c r="BO220">
        <f>BN220+IF(AND(BO130&gt;0,COUNTIF($Y130:BN130,BO130)=0),0,IF(SUMPRODUCT(MOD(INT(BO175/{2,4,8,16,32,64,128,256,512,1024,2048,4096,8192,16384,32768}),2)*(1-MOD(INT(($CJ40+BN220)/{2,4,8,16,32,64,128,256,512,1024,2048,4096,8192,16384,32768}),2))*{2,4,8,16,32,64,128,256,512,1024,2048,4096,8192,16384,32768})=0,0,2^SUMPRODUCT(--(MOD(SUMPRODUCT(MOD(INT(BO175/{2,4,8,16,32,64,128,256,512,1024,2048,4096,8192,16384,32768}),2)*(1-MOD(INT(($CJ40+BN220)/{2,4,8,16,32,64,128,256,512,1024,2048,4096,8192,16384,32768}),2))*{2,4,8,16,32,64,128,256,512,1024,2048,4096,8192,16384,32768}),{2,4,8,16,32,64,128,256,512,1024,2048,4096,8192,16384,32768})=0))))</f>
        <v/>
      </c>
      <c r="BP220">
        <f>BO220+IF(AND(BP130&gt;0,COUNTIF($Y130:BO130,BP130)=0),0,IF(SUMPRODUCT(MOD(INT(BP175/{2,4,8,16,32,64,128,256,512,1024,2048,4096,8192,16384,32768}),2)*(1-MOD(INT(($CJ40+BO220)/{2,4,8,16,32,64,128,256,512,1024,2048,4096,8192,16384,32768}),2))*{2,4,8,16,32,64,128,256,512,1024,2048,4096,8192,16384,32768})=0,0,2^SUMPRODUCT(--(MOD(SUMPRODUCT(MOD(INT(BP175/{2,4,8,16,32,64,128,256,512,1024,2048,4096,8192,16384,32768}),2)*(1-MOD(INT(($CJ40+BO220)/{2,4,8,16,32,64,128,256,512,1024,2048,4096,8192,16384,32768}),2))*{2,4,8,16,32,64,128,256,512,1024,2048,4096,8192,16384,32768}),{2,4,8,16,32,64,128,256,512,1024,2048,4096,8192,16384,32768})=0))))</f>
        <v/>
      </c>
      <c r="BQ220">
        <f>BP220+IF(AND(BQ130&gt;0,COUNTIF($Y130:BP130,BQ130)=0),0,IF(SUMPRODUCT(MOD(INT(BQ175/{2,4,8,16,32,64,128,256,512,1024,2048,4096,8192,16384,32768}),2)*(1-MOD(INT(($CJ40+BP220)/{2,4,8,16,32,64,128,256,512,1024,2048,4096,8192,16384,32768}),2))*{2,4,8,16,32,64,128,256,512,1024,2048,4096,8192,16384,32768})=0,0,2^SUMPRODUCT(--(MOD(SUMPRODUCT(MOD(INT(BQ175/{2,4,8,16,32,64,128,256,512,1024,2048,4096,8192,16384,32768}),2)*(1-MOD(INT(($CJ40+BP220)/{2,4,8,16,32,64,128,256,512,1024,2048,4096,8192,16384,32768}),2))*{2,4,8,16,32,64,128,256,512,1024,2048,4096,8192,16384,32768}),{2,4,8,16,32,64,128,256,512,1024,2048,4096,8192,16384,32768})=0))))</f>
        <v/>
      </c>
      <c r="BR220">
        <f>BQ220+IF(AND(BR130&gt;0,COUNTIF($Y130:BQ130,BR130)=0),0,IF(SUMPRODUCT(MOD(INT(BR175/{2,4,8,16,32,64,128,256,512,1024,2048,4096,8192,16384,32768}),2)*(1-MOD(INT(($CJ40+BQ220)/{2,4,8,16,32,64,128,256,512,1024,2048,4096,8192,16384,32768}),2))*{2,4,8,16,32,64,128,256,512,1024,2048,4096,8192,16384,32768})=0,0,2^SUMPRODUCT(--(MOD(SUMPRODUCT(MOD(INT(BR175/{2,4,8,16,32,64,128,256,512,1024,2048,4096,8192,16384,32768}),2)*(1-MOD(INT(($CJ40+BQ220)/{2,4,8,16,32,64,128,256,512,1024,2048,4096,8192,16384,32768}),2))*{2,4,8,16,32,64,128,256,512,1024,2048,4096,8192,16384,32768}),{2,4,8,16,32,64,128,256,512,1024,2048,4096,8192,16384,32768})=0))))</f>
        <v/>
      </c>
      <c r="BS220">
        <f>BR220+IF(AND(BS130&gt;0,COUNTIF($Y130:BR130,BS130)=0),0,IF(SUMPRODUCT(MOD(INT(BS175/{2,4,8,16,32,64,128,256,512,1024,2048,4096,8192,16384,32768}),2)*(1-MOD(INT(($CJ40+BR220)/{2,4,8,16,32,64,128,256,512,1024,2048,4096,8192,16384,32768}),2))*{2,4,8,16,32,64,128,256,512,1024,2048,4096,8192,16384,32768})=0,0,2^SUMPRODUCT(--(MOD(SUMPRODUCT(MOD(INT(BS175/{2,4,8,16,32,64,128,256,512,1024,2048,4096,8192,16384,32768}),2)*(1-MOD(INT(($CJ40+BR220)/{2,4,8,16,32,64,128,256,512,1024,2048,4096,8192,16384,32768}),2))*{2,4,8,16,32,64,128,256,512,1024,2048,4096,8192,16384,32768}),{2,4,8,16,32,64,128,256,512,1024,2048,4096,8192,16384,32768})=0))))</f>
        <v/>
      </c>
      <c r="BT220">
        <f>BS220+IF(AND(BT130&gt;0,COUNTIF($Y130:BS130,BT130)=0),0,IF(SUMPRODUCT(MOD(INT(BT175/{2,4,8,16,32,64,128,256,512,1024,2048,4096,8192,16384,32768}),2)*(1-MOD(INT(($CJ40+BS220)/{2,4,8,16,32,64,128,256,512,1024,2048,4096,8192,16384,32768}),2))*{2,4,8,16,32,64,128,256,512,1024,2048,4096,8192,16384,32768})=0,0,2^SUMPRODUCT(--(MOD(SUMPRODUCT(MOD(INT(BT175/{2,4,8,16,32,64,128,256,512,1024,2048,4096,8192,16384,32768}),2)*(1-MOD(INT(($CJ40+BS220)/{2,4,8,16,32,64,128,256,512,1024,2048,4096,8192,16384,32768}),2))*{2,4,8,16,32,64,128,256,512,1024,2048,4096,8192,16384,32768}),{2,4,8,16,32,64,128,256,512,1024,2048,4096,8192,16384,32768})=0))))</f>
        <v/>
      </c>
      <c r="BU220">
        <f>BT220+IF(AND(BU130&gt;0,COUNTIF($Y130:BT130,BU130)=0),0,IF(SUMPRODUCT(MOD(INT(BU175/{2,4,8,16,32,64,128,256,512,1024,2048,4096,8192,16384,32768}),2)*(1-MOD(INT(($CJ40+BT220)/{2,4,8,16,32,64,128,256,512,1024,2048,4096,8192,16384,32768}),2))*{2,4,8,16,32,64,128,256,512,1024,2048,4096,8192,16384,32768})=0,0,2^SUMPRODUCT(--(MOD(SUMPRODUCT(MOD(INT(BU175/{2,4,8,16,32,64,128,256,512,1024,2048,4096,8192,16384,32768}),2)*(1-MOD(INT(($CJ40+BT220)/{2,4,8,16,32,64,128,256,512,1024,2048,4096,8192,16384,32768}),2))*{2,4,8,16,32,64,128,256,512,1024,2048,4096,8192,16384,32768}),{2,4,8,16,32,64,128,256,512,1024,2048,4096,8192,16384,32768})=0))))</f>
        <v/>
      </c>
      <c r="BV220">
        <f>BU220+IF(AND(BV130&gt;0,COUNTIF($Y130:BU130,BV130)=0),0,IF(SUMPRODUCT(MOD(INT(BV175/{2,4,8,16,32,64,128,256,512,1024,2048,4096,8192,16384,32768}),2)*(1-MOD(INT(($CJ40+BU220)/{2,4,8,16,32,64,128,256,512,1024,2048,4096,8192,16384,32768}),2))*{2,4,8,16,32,64,128,256,512,1024,2048,4096,8192,16384,32768})=0,0,2^SUMPRODUCT(--(MOD(SUMPRODUCT(MOD(INT(BV175/{2,4,8,16,32,64,128,256,512,1024,2048,4096,8192,16384,32768}),2)*(1-MOD(INT(($CJ40+BU220)/{2,4,8,16,32,64,128,256,512,1024,2048,4096,8192,16384,32768}),2))*{2,4,8,16,32,64,128,256,512,1024,2048,4096,8192,16384,32768}),{2,4,8,16,32,64,128,256,512,1024,2048,4096,8192,16384,32768})=0))))</f>
        <v/>
      </c>
      <c r="BW220">
        <f>BV220+IF(AND(BW130&gt;0,COUNTIF($Y130:BV130,BW130)=0),0,IF(SUMPRODUCT(MOD(INT(BW175/{2,4,8,16,32,64,128,256,512,1024,2048,4096,8192,16384,32768}),2)*(1-MOD(INT(($CJ40+BV220)/{2,4,8,16,32,64,128,256,512,1024,2048,4096,8192,16384,32768}),2))*{2,4,8,16,32,64,128,256,512,1024,2048,4096,8192,16384,32768})=0,0,2^SUMPRODUCT(--(MOD(SUMPRODUCT(MOD(INT(BW175/{2,4,8,16,32,64,128,256,512,1024,2048,4096,8192,16384,32768}),2)*(1-MOD(INT(($CJ40+BV220)/{2,4,8,16,32,64,128,256,512,1024,2048,4096,8192,16384,32768}),2))*{2,4,8,16,32,64,128,256,512,1024,2048,4096,8192,16384,32768}),{2,4,8,16,32,64,128,256,512,1024,2048,4096,8192,16384,32768})=0))))</f>
        <v/>
      </c>
      <c r="BX220">
        <f>BW220+IF(AND(BX130&gt;0,COUNTIF($Y130:BW130,BX130)=0),0,IF(SUMPRODUCT(MOD(INT(BX175/{2,4,8,16,32,64,128,256,512,1024,2048,4096,8192,16384,32768}),2)*(1-MOD(INT(($CJ40+BW220)/{2,4,8,16,32,64,128,256,512,1024,2048,4096,8192,16384,32768}),2))*{2,4,8,16,32,64,128,256,512,1024,2048,4096,8192,16384,32768})=0,0,2^SUMPRODUCT(--(MOD(SUMPRODUCT(MOD(INT(BX175/{2,4,8,16,32,64,128,256,512,1024,2048,4096,8192,16384,32768}),2)*(1-MOD(INT(($CJ40+BW220)/{2,4,8,16,32,64,128,256,512,1024,2048,4096,8192,16384,32768}),2))*{2,4,8,16,32,64,128,256,512,1024,2048,4096,8192,16384,32768}),{2,4,8,16,32,64,128,256,512,1024,2048,4096,8192,16384,32768})=0))))</f>
        <v/>
      </c>
      <c r="BY220">
        <f>BX220+IF(AND(BY130&gt;0,COUNTIF($Y130:BX130,BY130)=0),0,IF(SUMPRODUCT(MOD(INT(BY175/{2,4,8,16,32,64,128,256,512,1024,2048,4096,8192,16384,32768}),2)*(1-MOD(INT(($CJ40+BX220)/{2,4,8,16,32,64,128,256,512,1024,2048,4096,8192,16384,32768}),2))*{2,4,8,16,32,64,128,256,512,1024,2048,4096,8192,16384,32768})=0,0,2^SUMPRODUCT(--(MOD(SUMPRODUCT(MOD(INT(BY175/{2,4,8,16,32,64,128,256,512,1024,2048,4096,8192,16384,32768}),2)*(1-MOD(INT(($CJ40+BX220)/{2,4,8,16,32,64,128,256,512,1024,2048,4096,8192,16384,32768}),2))*{2,4,8,16,32,64,128,256,512,1024,2048,4096,8192,16384,32768}),{2,4,8,16,32,64,128,256,512,1024,2048,4096,8192,16384,32768})=0))))</f>
        <v/>
      </c>
      <c r="BZ220">
        <f>BY220+IF(AND(BZ130&gt;0,COUNTIF($Y130:BY130,BZ130)=0),0,IF(SUMPRODUCT(MOD(INT(BZ175/{2,4,8,16,32,64,128,256,512,1024,2048,4096,8192,16384,32768}),2)*(1-MOD(INT(($CJ40+BY220)/{2,4,8,16,32,64,128,256,512,1024,2048,4096,8192,16384,32768}),2))*{2,4,8,16,32,64,128,256,512,1024,2048,4096,8192,16384,32768})=0,0,2^SUMPRODUCT(--(MOD(SUMPRODUCT(MOD(INT(BZ175/{2,4,8,16,32,64,128,256,512,1024,2048,4096,8192,16384,32768}),2)*(1-MOD(INT(($CJ40+BY220)/{2,4,8,16,32,64,128,256,512,1024,2048,4096,8192,16384,32768}),2))*{2,4,8,16,32,64,128,256,512,1024,2048,4096,8192,16384,32768}),{2,4,8,16,32,64,128,256,512,1024,2048,4096,8192,16384,32768})=0))))</f>
        <v/>
      </c>
      <c r="CA220">
        <f>BZ220+IF(AND(CA130&gt;0,COUNTIF($Y130:BZ130,CA130)=0),0,IF(SUMPRODUCT(MOD(INT(CA175/{2,4,8,16,32,64,128,256,512,1024,2048,4096,8192,16384,32768}),2)*(1-MOD(INT(($CJ40+BZ220)/{2,4,8,16,32,64,128,256,512,1024,2048,4096,8192,16384,32768}),2))*{2,4,8,16,32,64,128,256,512,1024,2048,4096,8192,16384,32768})=0,0,2^SUMPRODUCT(--(MOD(SUMPRODUCT(MOD(INT(CA175/{2,4,8,16,32,64,128,256,512,1024,2048,4096,8192,16384,32768}),2)*(1-MOD(INT(($CJ40+BZ220)/{2,4,8,16,32,64,128,256,512,1024,2048,4096,8192,16384,32768}),2))*{2,4,8,16,32,64,128,256,512,1024,2048,4096,8192,16384,32768}),{2,4,8,16,32,64,128,256,512,1024,2048,4096,8192,16384,32768})=0))))</f>
        <v/>
      </c>
      <c r="CB220">
        <f>CA220+IF(AND(CB130&gt;0,COUNTIF($Y130:CA130,CB130)=0),0,IF(SUMPRODUCT(MOD(INT(CB175/{2,4,8,16,32,64,128,256,512,1024,2048,4096,8192,16384,32768}),2)*(1-MOD(INT(($CJ40+CA220)/{2,4,8,16,32,64,128,256,512,1024,2048,4096,8192,16384,32768}),2))*{2,4,8,16,32,64,128,256,512,1024,2048,4096,8192,16384,32768})=0,0,2^SUMPRODUCT(--(MOD(SUMPRODUCT(MOD(INT(CB175/{2,4,8,16,32,64,128,256,512,1024,2048,4096,8192,16384,32768}),2)*(1-MOD(INT(($CJ40+CA220)/{2,4,8,16,32,64,128,256,512,1024,2048,4096,8192,16384,32768}),2))*{2,4,8,16,32,64,128,256,512,1024,2048,4096,8192,16384,32768}),{2,4,8,16,32,64,128,256,512,1024,2048,4096,8192,16384,32768})=0))))</f>
        <v/>
      </c>
      <c r="CC220">
        <f>CB220+IF(AND(CC130&gt;0,COUNTIF($Y130:CB130,CC130)=0),0,IF(SUMPRODUCT(MOD(INT(CC175/{2,4,8,16,32,64,128,256,512,1024,2048,4096,8192,16384,32768}),2)*(1-MOD(INT(($CJ40+CB220)/{2,4,8,16,32,64,128,256,512,1024,2048,4096,8192,16384,32768}),2))*{2,4,8,16,32,64,128,256,512,1024,2048,4096,8192,16384,32768})=0,0,2^SUMPRODUCT(--(MOD(SUMPRODUCT(MOD(INT(CC175/{2,4,8,16,32,64,128,256,512,1024,2048,4096,8192,16384,32768}),2)*(1-MOD(INT(($CJ40+CB220)/{2,4,8,16,32,64,128,256,512,1024,2048,4096,8192,16384,32768}),2))*{2,4,8,16,32,64,128,256,512,1024,2048,4096,8192,16384,32768}),{2,4,8,16,32,64,128,256,512,1024,2048,4096,8192,16384,32768})=0))))</f>
        <v/>
      </c>
      <c r="CD220">
        <f>CC220+IF(AND(CD130&gt;0,COUNTIF($Y130:CC130,CD130)=0),0,IF(SUMPRODUCT(MOD(INT(CD175/{2,4,8,16,32,64,128,256,512,1024,2048,4096,8192,16384,32768}),2)*(1-MOD(INT(($CJ40+CC220)/{2,4,8,16,32,64,128,256,512,1024,2048,4096,8192,16384,32768}),2))*{2,4,8,16,32,64,128,256,512,1024,2048,4096,8192,16384,32768})=0,0,2^SUMPRODUCT(--(MOD(SUMPRODUCT(MOD(INT(CD175/{2,4,8,16,32,64,128,256,512,1024,2048,4096,8192,16384,32768}),2)*(1-MOD(INT(($CJ40+CC220)/{2,4,8,16,32,64,128,256,512,1024,2048,4096,8192,16384,32768}),2))*{2,4,8,16,32,64,128,256,512,1024,2048,4096,8192,16384,32768}),{2,4,8,16,32,64,128,256,512,1024,2048,4096,8192,16384,32768})=0))))</f>
        <v/>
      </c>
      <c r="CE220">
        <f>CD220+IF(AND(CE130&gt;0,COUNTIF($Y130:CD130,CE130)=0),0,IF(SUMPRODUCT(MOD(INT(CE175/{2,4,8,16,32,64,128,256,512,1024,2048,4096,8192,16384,32768}),2)*(1-MOD(INT(($CJ40+CD220)/{2,4,8,16,32,64,128,256,512,1024,2048,4096,8192,16384,32768}),2))*{2,4,8,16,32,64,128,256,512,1024,2048,4096,8192,16384,32768})=0,0,2^SUMPRODUCT(--(MOD(SUMPRODUCT(MOD(INT(CE175/{2,4,8,16,32,64,128,256,512,1024,2048,4096,8192,16384,32768}),2)*(1-MOD(INT(($CJ40+CD220)/{2,4,8,16,32,64,128,256,512,1024,2048,4096,8192,16384,32768}),2))*{2,4,8,16,32,64,128,256,512,1024,2048,4096,8192,16384,32768}),{2,4,8,16,32,64,128,256,512,1024,2048,4096,8192,16384,32768})=0))))</f>
        <v/>
      </c>
      <c r="CF220">
        <f>CE220+IF(AND(CF130&gt;0,COUNTIF($Y130:CE130,CF130)=0),0,IF(SUMPRODUCT(MOD(INT(CF175/{2,4,8,16,32,64,128,256,512,1024,2048,4096,8192,16384,32768}),2)*(1-MOD(INT(($CJ40+CE220)/{2,4,8,16,32,64,128,256,512,1024,2048,4096,8192,16384,32768}),2))*{2,4,8,16,32,64,128,256,512,1024,2048,4096,8192,16384,32768})=0,0,2^SUMPRODUCT(--(MOD(SUMPRODUCT(MOD(INT(CF175/{2,4,8,16,32,64,128,256,512,1024,2048,4096,8192,16384,32768}),2)*(1-MOD(INT(($CJ40+CE220)/{2,4,8,16,32,64,128,256,512,1024,2048,4096,8192,16384,32768}),2))*{2,4,8,16,32,64,128,256,512,1024,2048,4096,8192,16384,32768}),{2,4,8,16,32,64,128,256,512,1024,2048,4096,8192,16384,32768})=0))))</f>
        <v/>
      </c>
      <c r="DA220" t="n">
        <v>216</v>
      </c>
      <c r="DB220">
        <f>IF($B$37=0,"",IFERROR(TRIM(SUBSTITUTE(SUBSTITUTE(SUBSTITUTE(SUBSTITUTE(INDEX(PASTE_ALL,216,$B$37)," "," "),CHAR(9)," "),CHAR(10)," "),CHAR(13)," ")),""))</f>
        <v/>
      </c>
      <c r="DC220">
        <f>IF(AND(216&gt;HEADER_ROW,UPPER(DB220)="LEGEND"),1,0)</f>
        <v/>
      </c>
      <c r="DE220" t="n">
        <v>216</v>
      </c>
      <c r="DF220">
        <f>HEADER_ROW+$DE220</f>
        <v/>
      </c>
      <c r="DG220">
        <f>IF(AND($DF220&lt;=1000,$DF220&lt;$B$8),1,0)</f>
        <v/>
      </c>
      <c r="DH220">
        <f>IF($DG220=1,IFERROR(INDEX($DB$5:$DB$1004,$DF220),""),"")</f>
        <v/>
      </c>
      <c r="DI220">
        <f>IF(AND($DG220=1,$DH220&lt;&gt;""),IFERROR(SUBSTITUTE(SUBSTITUTE(TRIM(SUBSTITUTE(SUBSTITUTE(SUBSTITUTE(SUBSTITUTE(IFERROR(INDEX(PASTE_ALL,$DF220,1)&amp;"","")&amp;"␟"&amp;IFERROR(INDEX(PASTE_ALL,$DF220,2)&amp;"","")&amp;"␟"&amp;IFERROR(INDEX(PASTE_ALL,$DF220,3)&amp;"","")&amp;"␟"&amp;IFERROR(INDEX(PASTE_ALL,$DF220,4)&amp;"","")&amp;"␟"&amp;IFERROR(INDEX(PASTE_ALL,$DF220,5)&amp;"","")&amp;"␟"&amp;IFERROR(INDEX(PASTE_ALL,$DF220,6)&amp;"","")&amp;"␟"&amp;IFERROR(INDEX(PASTE_ALL,$DF220,7)&amp;"","")&amp;"␟"&amp;IFERROR(INDEX(PASTE_ALL,$DF220,8)&amp;"","")&amp;"␟"&amp;IFERROR(INDEX(PASTE_ALL,$DF220,9)&amp;"","")&amp;"␟"&amp;IFERROR(INDEX(PASTE_ALL,$DF220,10)&amp;"","")&amp;"␟"&amp;IFERROR(INDEX(PASTE_ALL,$DF220,11)&amp;"","")&amp;"␟"&amp;IFERROR(INDEX(PASTE_ALL,$DF220,12)&amp;"","")&amp;"␟"&amp;IFERROR(INDEX(PASTE_ALL,$DF220,13)&amp;"","")&amp;"␟"&amp;IFERROR(INDEX(PASTE_ALL,$DF220,14)&amp;"","")&amp;"␟"&amp;IFERROR(INDEX(PASTE_ALL,$DF220,15)&amp;"","")&amp;"␟"&amp;IFERROR(INDEX(PASTE_ALL,$DF220,16)&amp;"","")&amp;"␟"&amp;IFERROR(INDEX(PASTE_ALL,$DF220,17)&amp;"","")&amp;"␟"&amp;IFERROR(INDEX(PASTE_ALL,$DF220,18)&amp;"","")&amp;"␟"&amp;IFERROR(INDEX(PASTE_ALL,$DF220,19)&amp;"","")&amp;"␟"&amp;IFERROR(INDEX(PASTE_ALL,$DF220,20)&amp;"","")&amp;"␟"&amp;IFERROR(INDEX(PASTE_ALL,$DF220,21)&amp;"","")&amp;"␟"&amp;IFERROR(INDEX(PASTE_ALL,$DF220,22)&amp;"","")&amp;"␟"&amp;IFERROR(INDEX(PASTE_ALL,$DF220,23)&amp;"","")&amp;"␟"&amp;IFERROR(INDEX(PASTE_ALL,$DF220,24)&amp;"","")&amp;"␟"&amp;IFERROR(INDEX(PASTE_ALL,$DF220,25)&amp;"","")&amp;"␟"&amp;IFERROR(INDEX(PASTE_ALL,$DF220,26)&amp;"","")&amp;"␟"&amp;IFERROR(INDEX(PASTE_ALL,$DF220,27)&amp;"","")&amp;"␟"&amp;IFERROR(INDEX(PASTE_ALL,$DF220,28)&amp;"","")&amp;"␟"&amp;IFERROR(INDEX(PASTE_ALL,$DF220,29)&amp;"","")&amp;"␟"&amp;IFERROR(INDEX(PASTE_ALL,$DF220,30)&amp;"","")&amp;"␟"&amp;IFERROR(INDEX(PASTE_ALL,$DF220,31)&amp;"","")&amp;"␟"&amp;IFERROR(INDEX(PASTE_ALL,$DF220,32)&amp;"","")&amp;"␟"&amp;IFERROR(INDEX(PASTE_ALL,$DF220,33)&amp;"","")&amp;"␟"&amp;IFERROR(INDEX(PASTE_ALL,$DF220,34)&amp;"","")&amp;"␟"&amp;IFERROR(INDEX(PASTE_ALL,$DF220,35)&amp;"","")&amp;"␟"&amp;IFERROR(INDEX(PASTE_ALL,$DF220,36)&amp;"","")&amp;"␟"&amp;IFERROR(INDEX(PASTE_ALL,$DF220,37)&amp;"","")&amp;"␟"&amp;IFERROR(INDEX(PASTE_ALL,$DF220,38)&amp;"","")&amp;"␟"&amp;IFERROR(INDEX(PASTE_ALL,$DF220,39)&amp;"","")&amp;"␟"&amp;IFERROR(INDEX(PASTE_ALL,$DF220,40)&amp;"","")&amp;"␟"&amp;IFERROR(INDEX(PASTE_ALL,$DF220,41)&amp;"","")&amp;"␟"&amp;IFERROR(INDEX(PASTE_ALL,$DF220,42)&amp;"","")&amp;"␟"&amp;IFERROR(INDEX(PASTE_ALL,$DF220,43)&amp;"","")&amp;"␟"&amp;IFERROR(INDEX(PASTE_ALL,$DF220,44)&amp;"","")&amp;"␟"&amp;IFERROR(INDEX(PASTE_ALL,$DF220,45)&amp;"","")&amp;"␟"&amp;IFERROR(INDEX(PASTE_ALL,$DF220,46)&amp;"","")&amp;"␟"&amp;IFERROR(INDEX(PASTE_ALL,$DF220,47)&amp;"","")&amp;"␟"&amp;IFERROR(INDEX(PASTE_ALL,$DF220,48)&amp;"","")&amp;"␟"&amp;IFERROR(INDEX(PASTE_ALL,$DF220,49)&amp;"","")&amp;"␟"&amp;IFERROR(INDEX(PASTE_ALL,$DF220,50)&amp;"","")&amp;"␟"&amp;IFERROR(INDEX(PASTE_ALL,$DF220,51)&amp;"","")&amp;"␟"&amp;IFERROR(INDEX(PASTE_ALL,$DF220,52)&amp;"","")&amp;"␟"&amp;IFERROR(INDEX(PASTE_ALL,$DF220,53)&amp;"","")&amp;"␟"&amp;IFERROR(INDEX(PASTE_ALL,$DF220,54)&amp;"","")&amp;"␟"&amp;IFERROR(INDEX(PASTE_ALL,$DF220,55)&amp;"","")&amp;"␟"&amp;IFERROR(INDEX(PASTE_ALL,$DF220,56)&amp;"","")&amp;"␟"&amp;IFERROR(INDEX(PASTE_ALL,$DF220,57)&amp;"","")&amp;"␟"&amp;IFERROR(INDEX(PASTE_ALL,$DF220,58)&amp;"","")&amp;"␟"&amp;IFERROR(INDEX(PASTE_ALL,$DF220,59)&amp;"","")&amp;"␟"&amp;IFERROR(INDEX(PASTE_ALL,$DF220,60)&amp;"","")," "," "),CHAR(9)," "),CHAR(10)," "),CHAR(13)," "))," ␟","␟"),"␟ ","␟"),"#"&amp;$DE220),"")</f>
        <v/>
      </c>
      <c r="DJ220">
        <f>IF($DI220="",0,IF(SUMPRODUCT(--EXACT($DI$4:DI219,$DI220))&gt;0,1,0))</f>
        <v/>
      </c>
      <c r="DK220">
        <f>IF(AND($DI220&lt;&gt;"",$DJ220=0),1,0)</f>
        <v/>
      </c>
      <c r="DL220">
        <f>DL219+$DK220</f>
        <v/>
      </c>
      <c r="DM220">
        <f>IF(AND($DK220=1,$DL220&lt;=600),1,0)</f>
        <v/>
      </c>
      <c r="DN220">
        <f>IF($DM220=0,"",IF($L$6=0,"",IFERROR(IF(ISNUMBER(INDEX(PASTE_ALL,$DF220,$L$6)),INDEX(PASTE_ALL,$DF220,$L$6),TRIM(SUBSTITUTE(SUBSTITUTE(SUBSTITUTE(SUBSTITUTE(INDEX(PASTE_ALL,$DF220,$L$6)," "," "),CHAR(9)," "),CHAR(10)," "),CHAR(13)," "))),"")))</f>
        <v/>
      </c>
      <c r="DO220">
        <f>IF($DM220=0,"",IF($L$7=0,"",IFERROR(IF(ISNUMBER(INDEX(PASTE_ALL,$DF220,$L$7)),INDEX(PASTE_ALL,$DF220,$L$7),TRIM(SUBSTITUTE(SUBSTITUTE(SUBSTITUTE(SUBSTITUTE(INDEX(PASTE_ALL,$DF220,$L$7)," "," "),CHAR(9)," "),CHAR(10)," "),CHAR(13)," "))),"")))</f>
        <v/>
      </c>
      <c r="DP220">
        <f>IF($DM220=0,"",IF($L$8=0,"",IFERROR(IF(ISNUMBER(INDEX(PASTE_ALL,$DF220,$L$8)),INDEX(PASTE_ALL,$DF220,$L$8),TRIM(SUBSTITUTE(SUBSTITUTE(SUBSTITUTE(SUBSTITUTE(INDEX(PASTE_ALL,$DF220,$L$8)," "," "),CHAR(9)," "),CHAR(10)," "),CHAR(13)," "))),"")))</f>
        <v/>
      </c>
      <c r="DQ220">
        <f>IF($DM220=0,"",IF($L$9=0,"",IFERROR(IF(ISNUMBER(INDEX(PASTE_ALL,$DF220,$L$9)),INDEX(PASTE_ALL,$DF220,$L$9),TRIM(SUBSTITUTE(SUBSTITUTE(SUBSTITUTE(SUBSTITUTE(INDEX(PASTE_ALL,$DF220,$L$9)," "," "),CHAR(9)," "),CHAR(10)," "),CHAR(13)," "))),"")))</f>
        <v/>
      </c>
      <c r="DR220">
        <f>IF($DM220=0,"",IF($L$10=0,"",IFERROR(IF(ISNUMBER(INDEX(PASTE_ALL,$DF220,$L$10)),INDEX(PASTE_ALL,$DF220,$L$10),TRIM(SUBSTITUTE(SUBSTITUTE(SUBSTITUTE(SUBSTITUTE(INDEX(PASTE_ALL,$DF220,$L$10)," "," "),CHAR(9)," "),CHAR(10)," "),CHAR(13)," "))),"")))</f>
        <v/>
      </c>
      <c r="DS220">
        <f>IF($DM220=0,"",IF($L$11=0,"",IFERROR(IF(ISNUMBER(INDEX(PASTE_ALL,$DF220,$L$11)),INDEX(PASTE_ALL,$DF220,$L$11),TRIM(SUBSTITUTE(SUBSTITUTE(SUBSTITUTE(SUBSTITUTE(INDEX(PASTE_ALL,$DF220,$L$11)," "," "),CHAR(9)," "),CHAR(10)," "),CHAR(13)," "))),"")))</f>
        <v/>
      </c>
      <c r="DT220">
        <f>IF($DM220=0,"",IF($L$12=0,"",IFERROR(IF(ISNUMBER(INDEX(PASTE_ALL,$DF220,$L$12)),INDEX(PASTE_ALL,$DF220,$L$12),TRIM(SUBSTITUTE(SUBSTITUTE(SUBSTITUTE(SUBSTITUTE(INDEX(PASTE_ALL,$DF220,$L$12)," "," "),CHAR(9)," "),CHAR(10)," "),CHAR(13)," "))),"")))</f>
        <v/>
      </c>
      <c r="DU220">
        <f>IF($DM220=0,"",IF($L$13=0,"",IFERROR(IF(ISNUMBER(INDEX(PASTE_ALL,$DF220,$L$13)),INDEX(PASTE_ALL,$DF220,$L$13),TRIM(SUBSTITUTE(SUBSTITUTE(SUBSTITUTE(SUBSTITUTE(INDEX(PASTE_ALL,$DF220,$L$13)," "," "),CHAR(9)," "),CHAR(10)," "),CHAR(13)," "))),"")))</f>
        <v/>
      </c>
      <c r="DV220">
        <f>IF($DM220=0,"",IF($L$14=0,"",IFERROR(IF(ISNUMBER(INDEX(PASTE_ALL,$DF220,$L$14)),INDEX(PASTE_ALL,$DF220,$L$14),TRIM(SUBSTITUTE(SUBSTITUTE(SUBSTITUTE(SUBSTITUTE(INDEX(PASTE_ALL,$DF220,$L$14)," "," "),CHAR(9)," "),CHAR(10)," "),CHAR(13)," "))),"")))</f>
        <v/>
      </c>
      <c r="DW220">
        <f>IF($DM220=0,"",IF($L$15=0,"",IFERROR(IF(ISNUMBER(INDEX(PASTE_ALL,$DF220,$L$15)),INDEX(PASTE_ALL,$DF220,$L$15),IF(SUMPRODUCT(--ISNUMBER(FIND({"A","B","C","D","E","F","G","H","I","J","K","L","M","N","O","P","Q","R","S","T","U","V","W","X","Y","Z","0","1","2","3","4","5","6","7","8","9"},UPPER(TRIM(SUBSTITUTE(SUBSTITUTE(SUBSTITUTE(SUBSTITUTE(INDEX(PASTE_ALL,$DF220,$L$15)," "," "),CHAR(9)," "),CHAR(10)," "),CHAR(13)," "))))))&gt;0,TRIM(SUBSTITUTE(SUBSTITUTE(SUBSTITUTE(SUBSTITUTE(INDEX(PASTE_ALL,$DF220,$L$15)," "," "),CHAR(9)," "),CHAR(10)," "),CHAR(13)," ")),"")),"")))</f>
        <v/>
      </c>
      <c r="DX220">
        <f>IF($DM220=0,"",IF($L$16=0,"",IFERROR(IF(ISNUMBER(INDEX(PASTE_ALL,$DF220,$L$16)),INDEX(PASTE_ALL,$DF220,$L$16),SUBSTITUTE(SUBSTITUTE(TRIM(SUBSTITUTE(SUBSTITUTE(SUBSTITUTE(SUBSTITUTE(INDEX(PASTE_ALL,$DF220,$L$16)," "," "),CHAR(9)," "),CHAR(10)," "),CHAR(13)," ")),",",""),"%","")),"")))</f>
        <v/>
      </c>
      <c r="DY220">
        <f>IF($DM220=0,"",IFERROR(IF(ISNUMBER($DX220),$DX220,IF($DX220="","",IF(TRIM($DX220)="",0,IF(AND(AND(SUBSTITUTE(SUBSTITUTE(SUBSTITUTE(SUBSTITUTE(SUBSTITUTE(SUBSTITUTE(SUBSTITUTE(SUBSTITUTE(SUBSTITUTE(SUBSTITUTE(SUBSTITUTE(SUBSTITUTE(SUBSTITUTE(SUBSTITUTE(UPPER(TRIM($DX220)),"0",""),"1",""),"2",""),"3",""),"4",""),"5",""),"6",""),"7",""),"8",""),"9",""),".",""),"+",""),"-",""),"E","")="",LEN(SUBSTITUTE(SUBSTITUTE(MID(UPPER(TRIM($DX220)),1+OR(LEFT(UPPER(TRIM($DX220)),1)="+",LEFT(UPPER(TRIM($DX220)),1)="-"),999),"E+","E"),"E-","E"))=LEN(SUBSTITUTE(SUBSTITUTE(SUBSTITUTE(SUBSTITUTE(MID(UPPER(TRIM($DX220)),1+OR(LEFT(UPPER(TRIM($DX220)),1)="+",LEFT(UPPER(TRIM($DX220)),1)="-"),999),"E+","E"),"E-","E"),"+",""),"-","")),LEN(UPPER(TRIM($DX220)))-LEN(SUBSTITUTE(UPPER(TRIM($DX220)),"E",""))&lt;2,LEN(UPPER(TRIM($DX220)))-LEN(SUBSTITUTE(UPPER(TRIM($DX220)),".",""))&lt;2,IFERROR(FIND(".",UPPER(TRIM($DX220))),0)&lt;IFERROR(FIND("E",UPPER(TRIM($DX220))),999)),ISNUMBER(VALUE(TRIM($DX220)))),VALUE(TRIM($DX220)),"")))),""))</f>
        <v/>
      </c>
      <c r="DZ220">
        <f>IF($DM220=0,"",IF($L$17=0,"",IFERROR(IF(ISNUMBER(INDEX(PASTE_ALL,$DF220,$L$17)),INDEX(PASTE_ALL,$DF220,$L$17),SUBSTITUTE(SUBSTITUTE(TRIM(SUBSTITUTE(SUBSTITUTE(SUBSTITUTE(SUBSTITUTE(INDEX(PASTE_ALL,$DF220,$L$17)," "," "),CHAR(9)," "),CHAR(10)," "),CHAR(13)," ")),",",""),"%","")),"")))</f>
        <v/>
      </c>
      <c r="EA220">
        <f>IF($DM220=0,"",IFERROR(IF(ISNUMBER($DZ220),$DZ220,IF($DZ220="","",IF(TRIM($DZ220)="",0,IF(AND(AND(SUBSTITUTE(SUBSTITUTE(SUBSTITUTE(SUBSTITUTE(SUBSTITUTE(SUBSTITUTE(SUBSTITUTE(SUBSTITUTE(SUBSTITUTE(SUBSTITUTE(SUBSTITUTE(SUBSTITUTE(SUBSTITUTE(SUBSTITUTE(UPPER(TRIM($DZ220)),"0",""),"1",""),"2",""),"3",""),"4",""),"5",""),"6",""),"7",""),"8",""),"9",""),".",""),"+",""),"-",""),"E","")="",LEN(SUBSTITUTE(SUBSTITUTE(MID(UPPER(TRIM($DZ220)),1+OR(LEFT(UPPER(TRIM($DZ220)),1)="+",LEFT(UPPER(TRIM($DZ220)),1)="-"),999),"E+","E"),"E-","E"))=LEN(SUBSTITUTE(SUBSTITUTE(SUBSTITUTE(SUBSTITUTE(MID(UPPER(TRIM($DZ220)),1+OR(LEFT(UPPER(TRIM($DZ220)),1)="+",LEFT(UPPER(TRIM($DZ220)),1)="-"),999),"E+","E"),"E-","E"),"+",""),"-","")),LEN(UPPER(TRIM($DZ220)))-LEN(SUBSTITUTE(UPPER(TRIM($DZ220)),"E",""))&lt;2,LEN(UPPER(TRIM($DZ220)))-LEN(SUBSTITUTE(UPPER(TRIM($DZ220)),".",""))&lt;2,IFERROR(FIND(".",UPPER(TRIM($DZ220))),0)&lt;IFERROR(FIND("E",UPPER(TRIM($DZ220))),999)),ISNUMBER(VALUE(TRIM($DZ220)))),VALUE(TRIM($DZ220)),"")))),""))</f>
        <v/>
      </c>
      <c r="EB220">
        <f>IF($DM220=0,"",IF($L$18=0,"",IFERROR(IF(UPPER(TRIM(SUBSTITUTE(SUBSTITUTE(SUBSTITUTE(SUBSTITUTE(INDEX(PASTE_ALL,$DF220,$L$18)," "," "),CHAR(9)," "),CHAR(10)," "),CHAR(13)," ")))="READY","Ready",IF(UPPER(TRIM(SUBSTITUTE(SUBSTITUTE(SUBSTITUTE(SUBSTITUTE(INDEX(PASTE_ALL,$DF220,$L$18)," "," "),CHAR(9)," "),CHAR(10)," "),CHAR(13)," ")))="PM","PM",IF(OR(UPPER(TRIM(SUBSTITUTE(SUBSTITUTE(SUBSTITUTE(SUBSTITUTE(INDEX(PASTE_ALL,$DF220,$L$18)," "," "),CHAR(9)," "),CHAR(10)," "),CHAR(13)," ")))="OT",UPPER(TRIM(SUBSTITUTE(SUBSTITUTE(SUBSTITUTE(SUBSTITUTE(INDEX(PASTE_ALL,$DF220,$L$18)," "," "),CHAR(9)," "),CHAR(10)," "),CHAR(13)," ")))="OVERTIME",UPPER(TRIM(SUBSTITUTE(SUBSTITUTE(SUBSTITUTE(SUBSTITUTE(INDEX(PASTE_ALL,$DF220,$L$18)," "," "),CHAR(9)," "),CHAR(10)," "),CHAR(13)," ")))="TRIAL"),"OT",TRIM(SUBSTITUTE(SUBSTITUTE(SUBSTITUTE(SUBSTITUTE(INDEX(PASTE_ALL,$DF220,$L$18)," "," "),CHAR(9)," "),CHAR(10)," "),CHAR(13)," "))))),"")))</f>
        <v/>
      </c>
      <c r="EC220">
        <f>IF($DM220=0,"",IF($L$19=0,"",IFERROR(IF(ISNUMBER(INDEX(PASTE_ALL,$DF220,$L$19)),INDEX(PASTE_ALL,$DF220,$L$19),TRIM(SUBSTITUTE(SUBSTITUTE(SUBSTITUTE(SUBSTITUTE(INDEX(PASTE_ALL,$DF220,$L$19)," "," "),CHAR(9)," "),CHAR(10)," "),CHAR(13)," "))),"")))</f>
        <v/>
      </c>
      <c r="ED220">
        <f>IF($DM220=0,"",MATCH(1,INDEX(EXACT($DH$5:DH220,$DH220)*$DM$5:DM220,0),0))</f>
        <v/>
      </c>
      <c r="EE220">
        <f>IF($DM220=0,0,IF($ED220=$DE220,1,0))</f>
        <v/>
      </c>
      <c r="EF220">
        <f>EF219+$EE220</f>
        <v/>
      </c>
      <c r="EG220">
        <f>IF($DM220=0,"",INDEX($EF$5:$EF$1003,$ED220))</f>
        <v/>
      </c>
      <c r="EH220">
        <f>IF($DM220=0,"",IF($DO220&lt;&gt;"","",IFERROR(LOOKUP(2,1/(($EG$4:EG219=$EG220)*($DO$4:DO219&lt;&gt;"")),$DO$4:DO219),"")))</f>
        <v/>
      </c>
      <c r="EI220">
        <f>IF($DM220=0,"",IF($DO220&lt;&gt;"",$DO220,$EH220))</f>
        <v/>
      </c>
      <c r="EJ220">
        <f>IF($DM220=0,"",IF($EI220="",0,IF(OR(ISNUMBER($EI220),AND(AND(SUBSTITUTE(SUBSTITUTE(SUBSTITUTE(SUBSTITUTE(SUBSTITUTE(SUBSTITUTE(SUBSTITUTE(SUBSTITUTE(SUBSTITUTE(SUBSTITUTE(SUBSTITUTE(SUBSTITUTE(SUBSTITUTE(SUBSTITUTE(UPPER($EI220),"0",""),"1",""),"2",""),"3",""),"4",""),"5",""),"6",""),"7",""),"8",""),"9",""),".",""),"+",""),"-",""),"E","")="",LEN(SUBSTITUTE(SUBSTITUTE(MID(UPPER($EI220),1+OR(LEFT(UPPER($EI220),1)="+",LEFT(UPPER($EI220),1)="-"),999),"E+","E"),"E-","E"))=LEN(SUBSTITUTE(SUBSTITUTE(SUBSTITUTE(SUBSTITUTE(MID(UPPER($EI220),1+OR(LEFT(UPPER($EI220),1)="+",LEFT(UPPER($EI220),1)="-"),999),"E+","E"),"E-","E"),"+",""),"-","")),LEN(UPPER($EI220))-LEN(SUBSTITUTE(UPPER($EI220),"E",""))&lt;2,LEN(UPPER($EI220))-LEN(SUBSTITUTE(UPPER($EI220),".",""))&lt;2,IFERROR(FIND(".",UPPER($EI220)),0)&lt;IFERROR(FIND("E",UPPER($EI220)),999)),ISNUMBER(VALUE($EI220)))),1,2)))</f>
        <v/>
      </c>
      <c r="EK220">
        <f>IF($DM220=0,"",IF($EJ220=1,IF(ISNUMBER($EI220),$EI220,VALUE($EI220)),IF($EJ220=2,$DE220,0)))</f>
        <v/>
      </c>
      <c r="EL220">
        <f>IF($DM220=0,"",COUNTIF($EG$5:$EG$1003,"&lt;"&amp;$EG220)+SUMPRODUCT(($EG$5:$EG$1003=$EG220)*(($EJ$5:$EJ$1003&lt;$EJ220)+($EJ$5:$EJ$1003=$EJ220)*(($EK$5:$EK$1003&lt;$EK220)+($EK$5:$EK$1003=$EK220)*($DE$5:$DE$1003&lt;$DE220))))+1)</f>
        <v/>
      </c>
      <c r="EM220">
        <f>IF($DM220=0,"",$EL220+$EG220-1)</f>
        <v/>
      </c>
      <c r="EN220">
        <f>IF($DM220=0,0,IFERROR(MATCH(1,INDEX(--(TRIM(SUBSTITUTE(SUBSTITUTE(SUBSTITUTE(SUBSTITUTE(LINES_NAME&amp;""," "," "),CHAR(9)," "),CHAR(10)," "),CHAR(13)," "))=$DH220),0),0),0))</f>
        <v/>
      </c>
      <c r="EO220">
        <f>IF($EN220=0,0,IF(OR(UPPER(TRIM(INDEX(LINES_SCHEDULED,$EN220)&amp;""))="YES",UPPER(TRIM(INDEX(LINES_SCHEDULED,$EN220)&amp;""))="Y",UPPER(TRIM(INDEX(LINES_SCHEDULED,$EN220)&amp;""))="X"),1,0))</f>
        <v/>
      </c>
      <c r="EP220">
        <f>IF($DM220=0,"",IF(COUNTIFS($EG$5:$EG$1003,$EG220,$EB$5:$EB$1003,"Ready")&gt;0,"READY",IF(COUNTIFS($EG$5:$EG$1003,$EG220,$EB$5:$EB$1003,"PM")&gt;0,"PM",IF(COUNTIFS($EG$5:$EG$1003,$EG220,$EB$5:$EB$1003,"OT")&gt;0,"OT",""))))</f>
        <v/>
      </c>
      <c r="EQ220">
        <f>IF($EN220=0,"",UPPER(TRIM(INDEX(LINES_STATUS,$EN220)&amp;"")))</f>
        <v/>
      </c>
      <c r="ER220">
        <f>IF($DM220=0,"",IF(OR($EQ220="READY",$EQ220="PM",$EQ220="OT"),$EQ220,$EP220))</f>
        <v/>
      </c>
      <c r="ES220">
        <f>IF($DM220=0,"",IF(AND($DV220&lt;&gt;"",UPPER($DV220)&lt;&gt;"N"),"allergen",IF(ISNUMBER(SEARCH("oil",$DQ220)),"oil",IF(OR(EXACT($DS220,"A662"),EXACT($DS220,"A624")),"bulk",""))))</f>
        <v/>
      </c>
      <c r="ET220">
        <f>IF($DM220=0,"",IF(OR($EA220="",$EA220=0),"",$EA220/100))</f>
        <v/>
      </c>
      <c r="EU220">
        <f>IF(OR($ET220="",$DY220=""),"",INT($DY220*(1-$ET220)+0.5))</f>
        <v/>
      </c>
      <c r="EW220" t="n">
        <v>216</v>
      </c>
      <c r="EX220">
        <f>IFERROR(MATCH($EW220,$EM$5:$EM$1003,0),0)</f>
        <v/>
      </c>
      <c r="EY220">
        <f>IF($EW220&gt;$B$12,"",IF($EX220&gt;0,"row","spacer"))</f>
        <v/>
      </c>
      <c r="EZ220">
        <f>IF(AND($EY220="row",$EY219&lt;&gt;"row"),1,0)</f>
        <v/>
      </c>
      <c r="FA220">
        <f>IF(AND($EY220="row",$EY221&lt;&gt;"row"),1,0)</f>
        <v/>
      </c>
      <c r="FB220">
        <f>IF($EZ220=1,IFERROR(IF(ISNUMBER(INDEX(PASTE_ALL,INDEX($DF$5:$DF$1003,$EX220),$B$37)),INDEX(PASTE_ALL,INDEX($DF$5:$DF$1003,$EX220),$B$37),INDEX($DH$5:$DH$1003,$EX220)),INDEX($DH$5:$DH$1003,$EX220)),"")</f>
        <v/>
      </c>
      <c r="FC220">
        <f>IF($EY220="row",INDEX($ER$5:$ER$1003,$EX220),"")</f>
        <v/>
      </c>
      <c r="FD220">
        <f>IF($EY220="row",INDEX($DN$5:$DN$1003,$EX220),"")</f>
        <v/>
      </c>
      <c r="FE220">
        <f>IF($EY220="row",INDEX($DO$5:$DO$1003,$EX220),"")</f>
        <v/>
      </c>
      <c r="FF220">
        <f>IF($EY220="row",INDEX($DP$5:$DP$1003,$EX220),"")</f>
        <v/>
      </c>
      <c r="FG220">
        <f>IF($EY220="row",INDEX($DQ$5:$DQ$1003,$EX220),"")</f>
        <v/>
      </c>
      <c r="FH220">
        <f>IF($EY220="row",INDEX($DR$5:$DR$1003,$EX220),"")</f>
        <v/>
      </c>
      <c r="FI220">
        <f>IF($EY220="row",INDEX($DS$5:$DS$1003,$EX220),"")</f>
        <v/>
      </c>
      <c r="FJ220">
        <f>IF($EY220="row",INDEX($DT$5:$DT$1003,$EX220),"")</f>
        <v/>
      </c>
      <c r="FK220">
        <f>IF($EY220="row",INDEX($DU$5:$DU$1003,$EX220),"")</f>
        <v/>
      </c>
      <c r="FL220">
        <f>IF($EY220="row",INDEX($DV$5:$DV$1003,$EX220),"")</f>
        <v/>
      </c>
      <c r="FM220">
        <f>IF($EY220="row",INDEX($DW$5:$DW$1003,$EX220),"")</f>
        <v/>
      </c>
      <c r="FN220">
        <f>IF($EY220="row",INDEX($DY$5:$DY$1003,$EX220),"")</f>
        <v/>
      </c>
      <c r="FO220">
        <f>IF($EY220="row",INDEX($EA$5:$EA$1003,$EX220),"")</f>
        <v/>
      </c>
      <c r="FP220">
        <f>IF($EY220="row",INDEX($EC$5:$EC$1003,$EX220),"")</f>
        <v/>
      </c>
      <c r="FQ220">
        <f>IF($EY220="row",INDEX($ET$5:$ET$1003,$EX220),"")</f>
        <v/>
      </c>
      <c r="FR220">
        <f>IF($EY220="row",INDEX($EU$5:$EU$1003,$EX220),"")</f>
        <v/>
      </c>
      <c r="FS220">
        <f>IF(AND($EY220="row",$EY219="row"),IF(OR(INDEX($DT$5:$DT$1003,$EX219)="",INDEX($DT$5:$DT$1003,$EX220)=""),"",IF(NOT(EXACT(INDEX($DT$5:$DT$1003,$EX219),INDEX($DT$5:$DT$1003,$EX220))),"S4",IF(NOT(EXACT(INDEX($DS$5:$DS$1003,$EX219),INDEX($DS$5:$DS$1003,$EX220))),"S3",IF(NOT(EXACT(INDEX($DR$5:$DR$1003,$EX219),INDEX($DR$5:$DR$1003,$EX220))),"S1 Count Change","S1")))),"")</f>
        <v/>
      </c>
      <c r="FT220">
        <f>IF($EY220="row",INDEX($ES$5:$ES$1003,$EX220),"")</f>
        <v/>
      </c>
      <c r="FU220">
        <f>IF($EY220="row",INDEX($EO$5:$EO$1003,$EX220),0)</f>
        <v/>
      </c>
      <c r="FV220">
        <f>IF($FS220="S1 Count Change",1,0)</f>
        <v/>
      </c>
    </row>
    <row r="221">
      <c r="Y221">
        <f>0+IF(Y131&gt;0,0,IF(SUMPRODUCT(MOD(INT(Y176/{2,4,8,16,32,64,128,256,512,1024,2048,4096,8192,16384,32768}),2)*(1-MOD(INT(($CJ41+0)/{2,4,8,16,32,64,128,256,512,1024,2048,4096,8192,16384,32768}),2))*{2,4,8,16,32,64,128,256,512,1024,2048,4096,8192,16384,32768})=0,0,2^SUMPRODUCT(--(MOD(SUMPRODUCT(MOD(INT(Y176/{2,4,8,16,32,64,128,256,512,1024,2048,4096,8192,16384,32768}),2)*(1-MOD(INT(($CJ41+0)/{2,4,8,16,32,64,128,256,512,1024,2048,4096,8192,16384,32768}),2))*{2,4,8,16,32,64,128,256,512,1024,2048,4096,8192,16384,32768}),{2,4,8,16,32,64,128,256,512,1024,2048,4096,8192,16384,32768})=0))))</f>
        <v/>
      </c>
      <c r="Z221">
        <f>Y221+IF(AND(Z131&gt;0,COUNTIF($Y131:Y131,Z131)=0),0,IF(SUMPRODUCT(MOD(INT(Z176/{2,4,8,16,32,64,128,256,512,1024,2048,4096,8192,16384,32768}),2)*(1-MOD(INT(($CJ41+Y221)/{2,4,8,16,32,64,128,256,512,1024,2048,4096,8192,16384,32768}),2))*{2,4,8,16,32,64,128,256,512,1024,2048,4096,8192,16384,32768})=0,0,2^SUMPRODUCT(--(MOD(SUMPRODUCT(MOD(INT(Z176/{2,4,8,16,32,64,128,256,512,1024,2048,4096,8192,16384,32768}),2)*(1-MOD(INT(($CJ41+Y221)/{2,4,8,16,32,64,128,256,512,1024,2048,4096,8192,16384,32768}),2))*{2,4,8,16,32,64,128,256,512,1024,2048,4096,8192,16384,32768}),{2,4,8,16,32,64,128,256,512,1024,2048,4096,8192,16384,32768})=0))))</f>
        <v/>
      </c>
      <c r="AA221">
        <f>Z221+IF(AND(AA131&gt;0,COUNTIF($Y131:Z131,AA131)=0),0,IF(SUMPRODUCT(MOD(INT(AA176/{2,4,8,16,32,64,128,256,512,1024,2048,4096,8192,16384,32768}),2)*(1-MOD(INT(($CJ41+Z221)/{2,4,8,16,32,64,128,256,512,1024,2048,4096,8192,16384,32768}),2))*{2,4,8,16,32,64,128,256,512,1024,2048,4096,8192,16384,32768})=0,0,2^SUMPRODUCT(--(MOD(SUMPRODUCT(MOD(INT(AA176/{2,4,8,16,32,64,128,256,512,1024,2048,4096,8192,16384,32768}),2)*(1-MOD(INT(($CJ41+Z221)/{2,4,8,16,32,64,128,256,512,1024,2048,4096,8192,16384,32768}),2))*{2,4,8,16,32,64,128,256,512,1024,2048,4096,8192,16384,32768}),{2,4,8,16,32,64,128,256,512,1024,2048,4096,8192,16384,32768})=0))))</f>
        <v/>
      </c>
      <c r="AB221">
        <f>AA221+IF(AND(AB131&gt;0,COUNTIF($Y131:AA131,AB131)=0),0,IF(SUMPRODUCT(MOD(INT(AB176/{2,4,8,16,32,64,128,256,512,1024,2048,4096,8192,16384,32768}),2)*(1-MOD(INT(($CJ41+AA221)/{2,4,8,16,32,64,128,256,512,1024,2048,4096,8192,16384,32768}),2))*{2,4,8,16,32,64,128,256,512,1024,2048,4096,8192,16384,32768})=0,0,2^SUMPRODUCT(--(MOD(SUMPRODUCT(MOD(INT(AB176/{2,4,8,16,32,64,128,256,512,1024,2048,4096,8192,16384,32768}),2)*(1-MOD(INT(($CJ41+AA221)/{2,4,8,16,32,64,128,256,512,1024,2048,4096,8192,16384,32768}),2))*{2,4,8,16,32,64,128,256,512,1024,2048,4096,8192,16384,32768}),{2,4,8,16,32,64,128,256,512,1024,2048,4096,8192,16384,32768})=0))))</f>
        <v/>
      </c>
      <c r="AC221">
        <f>AB221+IF(AND(AC131&gt;0,COUNTIF($Y131:AB131,AC131)=0),0,IF(SUMPRODUCT(MOD(INT(AC176/{2,4,8,16,32,64,128,256,512,1024,2048,4096,8192,16384,32768}),2)*(1-MOD(INT(($CJ41+AB221)/{2,4,8,16,32,64,128,256,512,1024,2048,4096,8192,16384,32768}),2))*{2,4,8,16,32,64,128,256,512,1024,2048,4096,8192,16384,32768})=0,0,2^SUMPRODUCT(--(MOD(SUMPRODUCT(MOD(INT(AC176/{2,4,8,16,32,64,128,256,512,1024,2048,4096,8192,16384,32768}),2)*(1-MOD(INT(($CJ41+AB221)/{2,4,8,16,32,64,128,256,512,1024,2048,4096,8192,16384,32768}),2))*{2,4,8,16,32,64,128,256,512,1024,2048,4096,8192,16384,32768}),{2,4,8,16,32,64,128,256,512,1024,2048,4096,8192,16384,32768})=0))))</f>
        <v/>
      </c>
      <c r="AD221">
        <f>AC221+IF(AND(AD131&gt;0,COUNTIF($Y131:AC131,AD131)=0),0,IF(SUMPRODUCT(MOD(INT(AD176/{2,4,8,16,32,64,128,256,512,1024,2048,4096,8192,16384,32768}),2)*(1-MOD(INT(($CJ41+AC221)/{2,4,8,16,32,64,128,256,512,1024,2048,4096,8192,16384,32768}),2))*{2,4,8,16,32,64,128,256,512,1024,2048,4096,8192,16384,32768})=0,0,2^SUMPRODUCT(--(MOD(SUMPRODUCT(MOD(INT(AD176/{2,4,8,16,32,64,128,256,512,1024,2048,4096,8192,16384,32768}),2)*(1-MOD(INT(($CJ41+AC221)/{2,4,8,16,32,64,128,256,512,1024,2048,4096,8192,16384,32768}),2))*{2,4,8,16,32,64,128,256,512,1024,2048,4096,8192,16384,32768}),{2,4,8,16,32,64,128,256,512,1024,2048,4096,8192,16384,32768})=0))))</f>
        <v/>
      </c>
      <c r="AE221">
        <f>AD221+IF(AND(AE131&gt;0,COUNTIF($Y131:AD131,AE131)=0),0,IF(SUMPRODUCT(MOD(INT(AE176/{2,4,8,16,32,64,128,256,512,1024,2048,4096,8192,16384,32768}),2)*(1-MOD(INT(($CJ41+AD221)/{2,4,8,16,32,64,128,256,512,1024,2048,4096,8192,16384,32768}),2))*{2,4,8,16,32,64,128,256,512,1024,2048,4096,8192,16384,32768})=0,0,2^SUMPRODUCT(--(MOD(SUMPRODUCT(MOD(INT(AE176/{2,4,8,16,32,64,128,256,512,1024,2048,4096,8192,16384,32768}),2)*(1-MOD(INT(($CJ41+AD221)/{2,4,8,16,32,64,128,256,512,1024,2048,4096,8192,16384,32768}),2))*{2,4,8,16,32,64,128,256,512,1024,2048,4096,8192,16384,32768}),{2,4,8,16,32,64,128,256,512,1024,2048,4096,8192,16384,32768})=0))))</f>
        <v/>
      </c>
      <c r="AF221">
        <f>AE221+IF(AND(AF131&gt;0,COUNTIF($Y131:AE131,AF131)=0),0,IF(SUMPRODUCT(MOD(INT(AF176/{2,4,8,16,32,64,128,256,512,1024,2048,4096,8192,16384,32768}),2)*(1-MOD(INT(($CJ41+AE221)/{2,4,8,16,32,64,128,256,512,1024,2048,4096,8192,16384,32768}),2))*{2,4,8,16,32,64,128,256,512,1024,2048,4096,8192,16384,32768})=0,0,2^SUMPRODUCT(--(MOD(SUMPRODUCT(MOD(INT(AF176/{2,4,8,16,32,64,128,256,512,1024,2048,4096,8192,16384,32768}),2)*(1-MOD(INT(($CJ41+AE221)/{2,4,8,16,32,64,128,256,512,1024,2048,4096,8192,16384,32768}),2))*{2,4,8,16,32,64,128,256,512,1024,2048,4096,8192,16384,32768}),{2,4,8,16,32,64,128,256,512,1024,2048,4096,8192,16384,32768})=0))))</f>
        <v/>
      </c>
      <c r="AG221">
        <f>AF221+IF(AND(AG131&gt;0,COUNTIF($Y131:AF131,AG131)=0),0,IF(SUMPRODUCT(MOD(INT(AG176/{2,4,8,16,32,64,128,256,512,1024,2048,4096,8192,16384,32768}),2)*(1-MOD(INT(($CJ41+AF221)/{2,4,8,16,32,64,128,256,512,1024,2048,4096,8192,16384,32768}),2))*{2,4,8,16,32,64,128,256,512,1024,2048,4096,8192,16384,32768})=0,0,2^SUMPRODUCT(--(MOD(SUMPRODUCT(MOD(INT(AG176/{2,4,8,16,32,64,128,256,512,1024,2048,4096,8192,16384,32768}),2)*(1-MOD(INT(($CJ41+AF221)/{2,4,8,16,32,64,128,256,512,1024,2048,4096,8192,16384,32768}),2))*{2,4,8,16,32,64,128,256,512,1024,2048,4096,8192,16384,32768}),{2,4,8,16,32,64,128,256,512,1024,2048,4096,8192,16384,32768})=0))))</f>
        <v/>
      </c>
      <c r="AH221">
        <f>AG221+IF(AND(AH131&gt;0,COUNTIF($Y131:AG131,AH131)=0),0,IF(SUMPRODUCT(MOD(INT(AH176/{2,4,8,16,32,64,128,256,512,1024,2048,4096,8192,16384,32768}),2)*(1-MOD(INT(($CJ41+AG221)/{2,4,8,16,32,64,128,256,512,1024,2048,4096,8192,16384,32768}),2))*{2,4,8,16,32,64,128,256,512,1024,2048,4096,8192,16384,32768})=0,0,2^SUMPRODUCT(--(MOD(SUMPRODUCT(MOD(INT(AH176/{2,4,8,16,32,64,128,256,512,1024,2048,4096,8192,16384,32768}),2)*(1-MOD(INT(($CJ41+AG221)/{2,4,8,16,32,64,128,256,512,1024,2048,4096,8192,16384,32768}),2))*{2,4,8,16,32,64,128,256,512,1024,2048,4096,8192,16384,32768}),{2,4,8,16,32,64,128,256,512,1024,2048,4096,8192,16384,32768})=0))))</f>
        <v/>
      </c>
      <c r="AI221">
        <f>AH221+IF(AND(AI131&gt;0,COUNTIF($Y131:AH131,AI131)=0),0,IF(SUMPRODUCT(MOD(INT(AI176/{2,4,8,16,32,64,128,256,512,1024,2048,4096,8192,16384,32768}),2)*(1-MOD(INT(($CJ41+AH221)/{2,4,8,16,32,64,128,256,512,1024,2048,4096,8192,16384,32768}),2))*{2,4,8,16,32,64,128,256,512,1024,2048,4096,8192,16384,32768})=0,0,2^SUMPRODUCT(--(MOD(SUMPRODUCT(MOD(INT(AI176/{2,4,8,16,32,64,128,256,512,1024,2048,4096,8192,16384,32768}),2)*(1-MOD(INT(($CJ41+AH221)/{2,4,8,16,32,64,128,256,512,1024,2048,4096,8192,16384,32768}),2))*{2,4,8,16,32,64,128,256,512,1024,2048,4096,8192,16384,32768}),{2,4,8,16,32,64,128,256,512,1024,2048,4096,8192,16384,32768})=0))))</f>
        <v/>
      </c>
      <c r="AJ221">
        <f>AI221+IF(AND(AJ131&gt;0,COUNTIF($Y131:AI131,AJ131)=0),0,IF(SUMPRODUCT(MOD(INT(AJ176/{2,4,8,16,32,64,128,256,512,1024,2048,4096,8192,16384,32768}),2)*(1-MOD(INT(($CJ41+AI221)/{2,4,8,16,32,64,128,256,512,1024,2048,4096,8192,16384,32768}),2))*{2,4,8,16,32,64,128,256,512,1024,2048,4096,8192,16384,32768})=0,0,2^SUMPRODUCT(--(MOD(SUMPRODUCT(MOD(INT(AJ176/{2,4,8,16,32,64,128,256,512,1024,2048,4096,8192,16384,32768}),2)*(1-MOD(INT(($CJ41+AI221)/{2,4,8,16,32,64,128,256,512,1024,2048,4096,8192,16384,32768}),2))*{2,4,8,16,32,64,128,256,512,1024,2048,4096,8192,16384,32768}),{2,4,8,16,32,64,128,256,512,1024,2048,4096,8192,16384,32768})=0))))</f>
        <v/>
      </c>
      <c r="AK221">
        <f>AJ221+IF(AND(AK131&gt;0,COUNTIF($Y131:AJ131,AK131)=0),0,IF(SUMPRODUCT(MOD(INT(AK176/{2,4,8,16,32,64,128,256,512,1024,2048,4096,8192,16384,32768}),2)*(1-MOD(INT(($CJ41+AJ221)/{2,4,8,16,32,64,128,256,512,1024,2048,4096,8192,16384,32768}),2))*{2,4,8,16,32,64,128,256,512,1024,2048,4096,8192,16384,32768})=0,0,2^SUMPRODUCT(--(MOD(SUMPRODUCT(MOD(INT(AK176/{2,4,8,16,32,64,128,256,512,1024,2048,4096,8192,16384,32768}),2)*(1-MOD(INT(($CJ41+AJ221)/{2,4,8,16,32,64,128,256,512,1024,2048,4096,8192,16384,32768}),2))*{2,4,8,16,32,64,128,256,512,1024,2048,4096,8192,16384,32768}),{2,4,8,16,32,64,128,256,512,1024,2048,4096,8192,16384,32768})=0))))</f>
        <v/>
      </c>
      <c r="AL221">
        <f>AK221+IF(AND(AL131&gt;0,COUNTIF($Y131:AK131,AL131)=0),0,IF(SUMPRODUCT(MOD(INT(AL176/{2,4,8,16,32,64,128,256,512,1024,2048,4096,8192,16384,32768}),2)*(1-MOD(INT(($CJ41+AK221)/{2,4,8,16,32,64,128,256,512,1024,2048,4096,8192,16384,32768}),2))*{2,4,8,16,32,64,128,256,512,1024,2048,4096,8192,16384,32768})=0,0,2^SUMPRODUCT(--(MOD(SUMPRODUCT(MOD(INT(AL176/{2,4,8,16,32,64,128,256,512,1024,2048,4096,8192,16384,32768}),2)*(1-MOD(INT(($CJ41+AK221)/{2,4,8,16,32,64,128,256,512,1024,2048,4096,8192,16384,32768}),2))*{2,4,8,16,32,64,128,256,512,1024,2048,4096,8192,16384,32768}),{2,4,8,16,32,64,128,256,512,1024,2048,4096,8192,16384,32768})=0))))</f>
        <v/>
      </c>
      <c r="AM221">
        <f>AL221+IF(AND(AM131&gt;0,COUNTIF($Y131:AL131,AM131)=0),0,IF(SUMPRODUCT(MOD(INT(AM176/{2,4,8,16,32,64,128,256,512,1024,2048,4096,8192,16384,32768}),2)*(1-MOD(INT(($CJ41+AL221)/{2,4,8,16,32,64,128,256,512,1024,2048,4096,8192,16384,32768}),2))*{2,4,8,16,32,64,128,256,512,1024,2048,4096,8192,16384,32768})=0,0,2^SUMPRODUCT(--(MOD(SUMPRODUCT(MOD(INT(AM176/{2,4,8,16,32,64,128,256,512,1024,2048,4096,8192,16384,32768}),2)*(1-MOD(INT(($CJ41+AL221)/{2,4,8,16,32,64,128,256,512,1024,2048,4096,8192,16384,32768}),2))*{2,4,8,16,32,64,128,256,512,1024,2048,4096,8192,16384,32768}),{2,4,8,16,32,64,128,256,512,1024,2048,4096,8192,16384,32768})=0))))</f>
        <v/>
      </c>
      <c r="AN221">
        <f>AM221+IF(AND(AN131&gt;0,COUNTIF($Y131:AM131,AN131)=0),0,IF(SUMPRODUCT(MOD(INT(AN176/{2,4,8,16,32,64,128,256,512,1024,2048,4096,8192,16384,32768}),2)*(1-MOD(INT(($CJ41+AM221)/{2,4,8,16,32,64,128,256,512,1024,2048,4096,8192,16384,32768}),2))*{2,4,8,16,32,64,128,256,512,1024,2048,4096,8192,16384,32768})=0,0,2^SUMPRODUCT(--(MOD(SUMPRODUCT(MOD(INT(AN176/{2,4,8,16,32,64,128,256,512,1024,2048,4096,8192,16384,32768}),2)*(1-MOD(INT(($CJ41+AM221)/{2,4,8,16,32,64,128,256,512,1024,2048,4096,8192,16384,32768}),2))*{2,4,8,16,32,64,128,256,512,1024,2048,4096,8192,16384,32768}),{2,4,8,16,32,64,128,256,512,1024,2048,4096,8192,16384,32768})=0))))</f>
        <v/>
      </c>
      <c r="AO221">
        <f>AN221+IF(AND(AO131&gt;0,COUNTIF($Y131:AN131,AO131)=0),0,IF(SUMPRODUCT(MOD(INT(AO176/{2,4,8,16,32,64,128,256,512,1024,2048,4096,8192,16384,32768}),2)*(1-MOD(INT(($CJ41+AN221)/{2,4,8,16,32,64,128,256,512,1024,2048,4096,8192,16384,32768}),2))*{2,4,8,16,32,64,128,256,512,1024,2048,4096,8192,16384,32768})=0,0,2^SUMPRODUCT(--(MOD(SUMPRODUCT(MOD(INT(AO176/{2,4,8,16,32,64,128,256,512,1024,2048,4096,8192,16384,32768}),2)*(1-MOD(INT(($CJ41+AN221)/{2,4,8,16,32,64,128,256,512,1024,2048,4096,8192,16384,32768}),2))*{2,4,8,16,32,64,128,256,512,1024,2048,4096,8192,16384,32768}),{2,4,8,16,32,64,128,256,512,1024,2048,4096,8192,16384,32768})=0))))</f>
        <v/>
      </c>
      <c r="AP221">
        <f>AO221+IF(AND(AP131&gt;0,COUNTIF($Y131:AO131,AP131)=0),0,IF(SUMPRODUCT(MOD(INT(AP176/{2,4,8,16,32,64,128,256,512,1024,2048,4096,8192,16384,32768}),2)*(1-MOD(INT(($CJ41+AO221)/{2,4,8,16,32,64,128,256,512,1024,2048,4096,8192,16384,32768}),2))*{2,4,8,16,32,64,128,256,512,1024,2048,4096,8192,16384,32768})=0,0,2^SUMPRODUCT(--(MOD(SUMPRODUCT(MOD(INT(AP176/{2,4,8,16,32,64,128,256,512,1024,2048,4096,8192,16384,32768}),2)*(1-MOD(INT(($CJ41+AO221)/{2,4,8,16,32,64,128,256,512,1024,2048,4096,8192,16384,32768}),2))*{2,4,8,16,32,64,128,256,512,1024,2048,4096,8192,16384,32768}),{2,4,8,16,32,64,128,256,512,1024,2048,4096,8192,16384,32768})=0))))</f>
        <v/>
      </c>
      <c r="AQ221">
        <f>AP221+IF(AND(AQ131&gt;0,COUNTIF($Y131:AP131,AQ131)=0),0,IF(SUMPRODUCT(MOD(INT(AQ176/{2,4,8,16,32,64,128,256,512,1024,2048,4096,8192,16384,32768}),2)*(1-MOD(INT(($CJ41+AP221)/{2,4,8,16,32,64,128,256,512,1024,2048,4096,8192,16384,32768}),2))*{2,4,8,16,32,64,128,256,512,1024,2048,4096,8192,16384,32768})=0,0,2^SUMPRODUCT(--(MOD(SUMPRODUCT(MOD(INT(AQ176/{2,4,8,16,32,64,128,256,512,1024,2048,4096,8192,16384,32768}),2)*(1-MOD(INT(($CJ41+AP221)/{2,4,8,16,32,64,128,256,512,1024,2048,4096,8192,16384,32768}),2))*{2,4,8,16,32,64,128,256,512,1024,2048,4096,8192,16384,32768}),{2,4,8,16,32,64,128,256,512,1024,2048,4096,8192,16384,32768})=0))))</f>
        <v/>
      </c>
      <c r="AR221">
        <f>AQ221+IF(AND(AR131&gt;0,COUNTIF($Y131:AQ131,AR131)=0),0,IF(SUMPRODUCT(MOD(INT(AR176/{2,4,8,16,32,64,128,256,512,1024,2048,4096,8192,16384,32768}),2)*(1-MOD(INT(($CJ41+AQ221)/{2,4,8,16,32,64,128,256,512,1024,2048,4096,8192,16384,32768}),2))*{2,4,8,16,32,64,128,256,512,1024,2048,4096,8192,16384,32768})=0,0,2^SUMPRODUCT(--(MOD(SUMPRODUCT(MOD(INT(AR176/{2,4,8,16,32,64,128,256,512,1024,2048,4096,8192,16384,32768}),2)*(1-MOD(INT(($CJ41+AQ221)/{2,4,8,16,32,64,128,256,512,1024,2048,4096,8192,16384,32768}),2))*{2,4,8,16,32,64,128,256,512,1024,2048,4096,8192,16384,32768}),{2,4,8,16,32,64,128,256,512,1024,2048,4096,8192,16384,32768})=0))))</f>
        <v/>
      </c>
      <c r="AS221">
        <f>AR221+IF(AND(AS131&gt;0,COUNTIF($Y131:AR131,AS131)=0),0,IF(SUMPRODUCT(MOD(INT(AS176/{2,4,8,16,32,64,128,256,512,1024,2048,4096,8192,16384,32768}),2)*(1-MOD(INT(($CJ41+AR221)/{2,4,8,16,32,64,128,256,512,1024,2048,4096,8192,16384,32768}),2))*{2,4,8,16,32,64,128,256,512,1024,2048,4096,8192,16384,32768})=0,0,2^SUMPRODUCT(--(MOD(SUMPRODUCT(MOD(INT(AS176/{2,4,8,16,32,64,128,256,512,1024,2048,4096,8192,16384,32768}),2)*(1-MOD(INT(($CJ41+AR221)/{2,4,8,16,32,64,128,256,512,1024,2048,4096,8192,16384,32768}),2))*{2,4,8,16,32,64,128,256,512,1024,2048,4096,8192,16384,32768}),{2,4,8,16,32,64,128,256,512,1024,2048,4096,8192,16384,32768})=0))))</f>
        <v/>
      </c>
      <c r="AT221">
        <f>AS221+IF(AND(AT131&gt;0,COUNTIF($Y131:AS131,AT131)=0),0,IF(SUMPRODUCT(MOD(INT(AT176/{2,4,8,16,32,64,128,256,512,1024,2048,4096,8192,16384,32768}),2)*(1-MOD(INT(($CJ41+AS221)/{2,4,8,16,32,64,128,256,512,1024,2048,4096,8192,16384,32768}),2))*{2,4,8,16,32,64,128,256,512,1024,2048,4096,8192,16384,32768})=0,0,2^SUMPRODUCT(--(MOD(SUMPRODUCT(MOD(INT(AT176/{2,4,8,16,32,64,128,256,512,1024,2048,4096,8192,16384,32768}),2)*(1-MOD(INT(($CJ41+AS221)/{2,4,8,16,32,64,128,256,512,1024,2048,4096,8192,16384,32768}),2))*{2,4,8,16,32,64,128,256,512,1024,2048,4096,8192,16384,32768}),{2,4,8,16,32,64,128,256,512,1024,2048,4096,8192,16384,32768})=0))))</f>
        <v/>
      </c>
      <c r="AU221">
        <f>AT221+IF(AND(AU131&gt;0,COUNTIF($Y131:AT131,AU131)=0),0,IF(SUMPRODUCT(MOD(INT(AU176/{2,4,8,16,32,64,128,256,512,1024,2048,4096,8192,16384,32768}),2)*(1-MOD(INT(($CJ41+AT221)/{2,4,8,16,32,64,128,256,512,1024,2048,4096,8192,16384,32768}),2))*{2,4,8,16,32,64,128,256,512,1024,2048,4096,8192,16384,32768})=0,0,2^SUMPRODUCT(--(MOD(SUMPRODUCT(MOD(INT(AU176/{2,4,8,16,32,64,128,256,512,1024,2048,4096,8192,16384,32768}),2)*(1-MOD(INT(($CJ41+AT221)/{2,4,8,16,32,64,128,256,512,1024,2048,4096,8192,16384,32768}),2))*{2,4,8,16,32,64,128,256,512,1024,2048,4096,8192,16384,32768}),{2,4,8,16,32,64,128,256,512,1024,2048,4096,8192,16384,32768})=0))))</f>
        <v/>
      </c>
      <c r="AV221">
        <f>AU221+IF(AND(AV131&gt;0,COUNTIF($Y131:AU131,AV131)=0),0,IF(SUMPRODUCT(MOD(INT(AV176/{2,4,8,16,32,64,128,256,512,1024,2048,4096,8192,16384,32768}),2)*(1-MOD(INT(($CJ41+AU221)/{2,4,8,16,32,64,128,256,512,1024,2048,4096,8192,16384,32768}),2))*{2,4,8,16,32,64,128,256,512,1024,2048,4096,8192,16384,32768})=0,0,2^SUMPRODUCT(--(MOD(SUMPRODUCT(MOD(INT(AV176/{2,4,8,16,32,64,128,256,512,1024,2048,4096,8192,16384,32768}),2)*(1-MOD(INT(($CJ41+AU221)/{2,4,8,16,32,64,128,256,512,1024,2048,4096,8192,16384,32768}),2))*{2,4,8,16,32,64,128,256,512,1024,2048,4096,8192,16384,32768}),{2,4,8,16,32,64,128,256,512,1024,2048,4096,8192,16384,32768})=0))))</f>
        <v/>
      </c>
      <c r="AW221">
        <f>AV221+IF(AND(AW131&gt;0,COUNTIF($Y131:AV131,AW131)=0),0,IF(SUMPRODUCT(MOD(INT(AW176/{2,4,8,16,32,64,128,256,512,1024,2048,4096,8192,16384,32768}),2)*(1-MOD(INT(($CJ41+AV221)/{2,4,8,16,32,64,128,256,512,1024,2048,4096,8192,16384,32768}),2))*{2,4,8,16,32,64,128,256,512,1024,2048,4096,8192,16384,32768})=0,0,2^SUMPRODUCT(--(MOD(SUMPRODUCT(MOD(INT(AW176/{2,4,8,16,32,64,128,256,512,1024,2048,4096,8192,16384,32768}),2)*(1-MOD(INT(($CJ41+AV221)/{2,4,8,16,32,64,128,256,512,1024,2048,4096,8192,16384,32768}),2))*{2,4,8,16,32,64,128,256,512,1024,2048,4096,8192,16384,32768}),{2,4,8,16,32,64,128,256,512,1024,2048,4096,8192,16384,32768})=0))))</f>
        <v/>
      </c>
      <c r="AX221">
        <f>AW221+IF(AND(AX131&gt;0,COUNTIF($Y131:AW131,AX131)=0),0,IF(SUMPRODUCT(MOD(INT(AX176/{2,4,8,16,32,64,128,256,512,1024,2048,4096,8192,16384,32768}),2)*(1-MOD(INT(($CJ41+AW221)/{2,4,8,16,32,64,128,256,512,1024,2048,4096,8192,16384,32768}),2))*{2,4,8,16,32,64,128,256,512,1024,2048,4096,8192,16384,32768})=0,0,2^SUMPRODUCT(--(MOD(SUMPRODUCT(MOD(INT(AX176/{2,4,8,16,32,64,128,256,512,1024,2048,4096,8192,16384,32768}),2)*(1-MOD(INT(($CJ41+AW221)/{2,4,8,16,32,64,128,256,512,1024,2048,4096,8192,16384,32768}),2))*{2,4,8,16,32,64,128,256,512,1024,2048,4096,8192,16384,32768}),{2,4,8,16,32,64,128,256,512,1024,2048,4096,8192,16384,32768})=0))))</f>
        <v/>
      </c>
      <c r="AY221">
        <f>AX221+IF(AND(AY131&gt;0,COUNTIF($Y131:AX131,AY131)=0),0,IF(SUMPRODUCT(MOD(INT(AY176/{2,4,8,16,32,64,128,256,512,1024,2048,4096,8192,16384,32768}),2)*(1-MOD(INT(($CJ41+AX221)/{2,4,8,16,32,64,128,256,512,1024,2048,4096,8192,16384,32768}),2))*{2,4,8,16,32,64,128,256,512,1024,2048,4096,8192,16384,32768})=0,0,2^SUMPRODUCT(--(MOD(SUMPRODUCT(MOD(INT(AY176/{2,4,8,16,32,64,128,256,512,1024,2048,4096,8192,16384,32768}),2)*(1-MOD(INT(($CJ41+AX221)/{2,4,8,16,32,64,128,256,512,1024,2048,4096,8192,16384,32768}),2))*{2,4,8,16,32,64,128,256,512,1024,2048,4096,8192,16384,32768}),{2,4,8,16,32,64,128,256,512,1024,2048,4096,8192,16384,32768})=0))))</f>
        <v/>
      </c>
      <c r="AZ221">
        <f>AY221+IF(AND(AZ131&gt;0,COUNTIF($Y131:AY131,AZ131)=0),0,IF(SUMPRODUCT(MOD(INT(AZ176/{2,4,8,16,32,64,128,256,512,1024,2048,4096,8192,16384,32768}),2)*(1-MOD(INT(($CJ41+AY221)/{2,4,8,16,32,64,128,256,512,1024,2048,4096,8192,16384,32768}),2))*{2,4,8,16,32,64,128,256,512,1024,2048,4096,8192,16384,32768})=0,0,2^SUMPRODUCT(--(MOD(SUMPRODUCT(MOD(INT(AZ176/{2,4,8,16,32,64,128,256,512,1024,2048,4096,8192,16384,32768}),2)*(1-MOD(INT(($CJ41+AY221)/{2,4,8,16,32,64,128,256,512,1024,2048,4096,8192,16384,32768}),2))*{2,4,8,16,32,64,128,256,512,1024,2048,4096,8192,16384,32768}),{2,4,8,16,32,64,128,256,512,1024,2048,4096,8192,16384,32768})=0))))</f>
        <v/>
      </c>
      <c r="BA221">
        <f>AZ221+IF(AND(BA131&gt;0,COUNTIF($Y131:AZ131,BA131)=0),0,IF(SUMPRODUCT(MOD(INT(BA176/{2,4,8,16,32,64,128,256,512,1024,2048,4096,8192,16384,32768}),2)*(1-MOD(INT(($CJ41+AZ221)/{2,4,8,16,32,64,128,256,512,1024,2048,4096,8192,16384,32768}),2))*{2,4,8,16,32,64,128,256,512,1024,2048,4096,8192,16384,32768})=0,0,2^SUMPRODUCT(--(MOD(SUMPRODUCT(MOD(INT(BA176/{2,4,8,16,32,64,128,256,512,1024,2048,4096,8192,16384,32768}),2)*(1-MOD(INT(($CJ41+AZ221)/{2,4,8,16,32,64,128,256,512,1024,2048,4096,8192,16384,32768}),2))*{2,4,8,16,32,64,128,256,512,1024,2048,4096,8192,16384,32768}),{2,4,8,16,32,64,128,256,512,1024,2048,4096,8192,16384,32768})=0))))</f>
        <v/>
      </c>
      <c r="BB221">
        <f>BA221+IF(AND(BB131&gt;0,COUNTIF($Y131:BA131,BB131)=0),0,IF(SUMPRODUCT(MOD(INT(BB176/{2,4,8,16,32,64,128,256,512,1024,2048,4096,8192,16384,32768}),2)*(1-MOD(INT(($CJ41+BA221)/{2,4,8,16,32,64,128,256,512,1024,2048,4096,8192,16384,32768}),2))*{2,4,8,16,32,64,128,256,512,1024,2048,4096,8192,16384,32768})=0,0,2^SUMPRODUCT(--(MOD(SUMPRODUCT(MOD(INT(BB176/{2,4,8,16,32,64,128,256,512,1024,2048,4096,8192,16384,32768}),2)*(1-MOD(INT(($CJ41+BA221)/{2,4,8,16,32,64,128,256,512,1024,2048,4096,8192,16384,32768}),2))*{2,4,8,16,32,64,128,256,512,1024,2048,4096,8192,16384,32768}),{2,4,8,16,32,64,128,256,512,1024,2048,4096,8192,16384,32768})=0))))</f>
        <v/>
      </c>
      <c r="BC221">
        <f>BB221+IF(AND(BC131&gt;0,COUNTIF($Y131:BB131,BC131)=0),0,IF(SUMPRODUCT(MOD(INT(BC176/{2,4,8,16,32,64,128,256,512,1024,2048,4096,8192,16384,32768}),2)*(1-MOD(INT(($CJ41+BB221)/{2,4,8,16,32,64,128,256,512,1024,2048,4096,8192,16384,32768}),2))*{2,4,8,16,32,64,128,256,512,1024,2048,4096,8192,16384,32768})=0,0,2^SUMPRODUCT(--(MOD(SUMPRODUCT(MOD(INT(BC176/{2,4,8,16,32,64,128,256,512,1024,2048,4096,8192,16384,32768}),2)*(1-MOD(INT(($CJ41+BB221)/{2,4,8,16,32,64,128,256,512,1024,2048,4096,8192,16384,32768}),2))*{2,4,8,16,32,64,128,256,512,1024,2048,4096,8192,16384,32768}),{2,4,8,16,32,64,128,256,512,1024,2048,4096,8192,16384,32768})=0))))</f>
        <v/>
      </c>
      <c r="BD221">
        <f>BC221+IF(AND(BD131&gt;0,COUNTIF($Y131:BC131,BD131)=0),0,IF(SUMPRODUCT(MOD(INT(BD176/{2,4,8,16,32,64,128,256,512,1024,2048,4096,8192,16384,32768}),2)*(1-MOD(INT(($CJ41+BC221)/{2,4,8,16,32,64,128,256,512,1024,2048,4096,8192,16384,32768}),2))*{2,4,8,16,32,64,128,256,512,1024,2048,4096,8192,16384,32768})=0,0,2^SUMPRODUCT(--(MOD(SUMPRODUCT(MOD(INT(BD176/{2,4,8,16,32,64,128,256,512,1024,2048,4096,8192,16384,32768}),2)*(1-MOD(INT(($CJ41+BC221)/{2,4,8,16,32,64,128,256,512,1024,2048,4096,8192,16384,32768}),2))*{2,4,8,16,32,64,128,256,512,1024,2048,4096,8192,16384,32768}),{2,4,8,16,32,64,128,256,512,1024,2048,4096,8192,16384,32768})=0))))</f>
        <v/>
      </c>
      <c r="BE221">
        <f>BD221+IF(AND(BE131&gt;0,COUNTIF($Y131:BD131,BE131)=0),0,IF(SUMPRODUCT(MOD(INT(BE176/{2,4,8,16,32,64,128,256,512,1024,2048,4096,8192,16384,32768}),2)*(1-MOD(INT(($CJ41+BD221)/{2,4,8,16,32,64,128,256,512,1024,2048,4096,8192,16384,32768}),2))*{2,4,8,16,32,64,128,256,512,1024,2048,4096,8192,16384,32768})=0,0,2^SUMPRODUCT(--(MOD(SUMPRODUCT(MOD(INT(BE176/{2,4,8,16,32,64,128,256,512,1024,2048,4096,8192,16384,32768}),2)*(1-MOD(INT(($CJ41+BD221)/{2,4,8,16,32,64,128,256,512,1024,2048,4096,8192,16384,32768}),2))*{2,4,8,16,32,64,128,256,512,1024,2048,4096,8192,16384,32768}),{2,4,8,16,32,64,128,256,512,1024,2048,4096,8192,16384,32768})=0))))</f>
        <v/>
      </c>
      <c r="BF221">
        <f>BE221+IF(AND(BF131&gt;0,COUNTIF($Y131:BE131,BF131)=0),0,IF(SUMPRODUCT(MOD(INT(BF176/{2,4,8,16,32,64,128,256,512,1024,2048,4096,8192,16384,32768}),2)*(1-MOD(INT(($CJ41+BE221)/{2,4,8,16,32,64,128,256,512,1024,2048,4096,8192,16384,32768}),2))*{2,4,8,16,32,64,128,256,512,1024,2048,4096,8192,16384,32768})=0,0,2^SUMPRODUCT(--(MOD(SUMPRODUCT(MOD(INT(BF176/{2,4,8,16,32,64,128,256,512,1024,2048,4096,8192,16384,32768}),2)*(1-MOD(INT(($CJ41+BE221)/{2,4,8,16,32,64,128,256,512,1024,2048,4096,8192,16384,32768}),2))*{2,4,8,16,32,64,128,256,512,1024,2048,4096,8192,16384,32768}),{2,4,8,16,32,64,128,256,512,1024,2048,4096,8192,16384,32768})=0))))</f>
        <v/>
      </c>
      <c r="BG221">
        <f>BF221+IF(AND(BG131&gt;0,COUNTIF($Y131:BF131,BG131)=0),0,IF(SUMPRODUCT(MOD(INT(BG176/{2,4,8,16,32,64,128,256,512,1024,2048,4096,8192,16384,32768}),2)*(1-MOD(INT(($CJ41+BF221)/{2,4,8,16,32,64,128,256,512,1024,2048,4096,8192,16384,32768}),2))*{2,4,8,16,32,64,128,256,512,1024,2048,4096,8192,16384,32768})=0,0,2^SUMPRODUCT(--(MOD(SUMPRODUCT(MOD(INT(BG176/{2,4,8,16,32,64,128,256,512,1024,2048,4096,8192,16384,32768}),2)*(1-MOD(INT(($CJ41+BF221)/{2,4,8,16,32,64,128,256,512,1024,2048,4096,8192,16384,32768}),2))*{2,4,8,16,32,64,128,256,512,1024,2048,4096,8192,16384,32768}),{2,4,8,16,32,64,128,256,512,1024,2048,4096,8192,16384,32768})=0))))</f>
        <v/>
      </c>
      <c r="BH221">
        <f>BG221+IF(AND(BH131&gt;0,COUNTIF($Y131:BG131,BH131)=0),0,IF(SUMPRODUCT(MOD(INT(BH176/{2,4,8,16,32,64,128,256,512,1024,2048,4096,8192,16384,32768}),2)*(1-MOD(INT(($CJ41+BG221)/{2,4,8,16,32,64,128,256,512,1024,2048,4096,8192,16384,32768}),2))*{2,4,8,16,32,64,128,256,512,1024,2048,4096,8192,16384,32768})=0,0,2^SUMPRODUCT(--(MOD(SUMPRODUCT(MOD(INT(BH176/{2,4,8,16,32,64,128,256,512,1024,2048,4096,8192,16384,32768}),2)*(1-MOD(INT(($CJ41+BG221)/{2,4,8,16,32,64,128,256,512,1024,2048,4096,8192,16384,32768}),2))*{2,4,8,16,32,64,128,256,512,1024,2048,4096,8192,16384,32768}),{2,4,8,16,32,64,128,256,512,1024,2048,4096,8192,16384,32768})=0))))</f>
        <v/>
      </c>
      <c r="BI221">
        <f>BH221+IF(AND(BI131&gt;0,COUNTIF($Y131:BH131,BI131)=0),0,IF(SUMPRODUCT(MOD(INT(BI176/{2,4,8,16,32,64,128,256,512,1024,2048,4096,8192,16384,32768}),2)*(1-MOD(INT(($CJ41+BH221)/{2,4,8,16,32,64,128,256,512,1024,2048,4096,8192,16384,32768}),2))*{2,4,8,16,32,64,128,256,512,1024,2048,4096,8192,16384,32768})=0,0,2^SUMPRODUCT(--(MOD(SUMPRODUCT(MOD(INT(BI176/{2,4,8,16,32,64,128,256,512,1024,2048,4096,8192,16384,32768}),2)*(1-MOD(INT(($CJ41+BH221)/{2,4,8,16,32,64,128,256,512,1024,2048,4096,8192,16384,32768}),2))*{2,4,8,16,32,64,128,256,512,1024,2048,4096,8192,16384,32768}),{2,4,8,16,32,64,128,256,512,1024,2048,4096,8192,16384,32768})=0))))</f>
        <v/>
      </c>
      <c r="BJ221">
        <f>BI221+IF(AND(BJ131&gt;0,COUNTIF($Y131:BI131,BJ131)=0),0,IF(SUMPRODUCT(MOD(INT(BJ176/{2,4,8,16,32,64,128,256,512,1024,2048,4096,8192,16384,32768}),2)*(1-MOD(INT(($CJ41+BI221)/{2,4,8,16,32,64,128,256,512,1024,2048,4096,8192,16384,32768}),2))*{2,4,8,16,32,64,128,256,512,1024,2048,4096,8192,16384,32768})=0,0,2^SUMPRODUCT(--(MOD(SUMPRODUCT(MOD(INT(BJ176/{2,4,8,16,32,64,128,256,512,1024,2048,4096,8192,16384,32768}),2)*(1-MOD(INT(($CJ41+BI221)/{2,4,8,16,32,64,128,256,512,1024,2048,4096,8192,16384,32768}),2))*{2,4,8,16,32,64,128,256,512,1024,2048,4096,8192,16384,32768}),{2,4,8,16,32,64,128,256,512,1024,2048,4096,8192,16384,32768})=0))))</f>
        <v/>
      </c>
      <c r="BK221">
        <f>BJ221+IF(AND(BK131&gt;0,COUNTIF($Y131:BJ131,BK131)=0),0,IF(SUMPRODUCT(MOD(INT(BK176/{2,4,8,16,32,64,128,256,512,1024,2048,4096,8192,16384,32768}),2)*(1-MOD(INT(($CJ41+BJ221)/{2,4,8,16,32,64,128,256,512,1024,2048,4096,8192,16384,32768}),2))*{2,4,8,16,32,64,128,256,512,1024,2048,4096,8192,16384,32768})=0,0,2^SUMPRODUCT(--(MOD(SUMPRODUCT(MOD(INT(BK176/{2,4,8,16,32,64,128,256,512,1024,2048,4096,8192,16384,32768}),2)*(1-MOD(INT(($CJ41+BJ221)/{2,4,8,16,32,64,128,256,512,1024,2048,4096,8192,16384,32768}),2))*{2,4,8,16,32,64,128,256,512,1024,2048,4096,8192,16384,32768}),{2,4,8,16,32,64,128,256,512,1024,2048,4096,8192,16384,32768})=0))))</f>
        <v/>
      </c>
      <c r="BL221">
        <f>BK221+IF(AND(BL131&gt;0,COUNTIF($Y131:BK131,BL131)=0),0,IF(SUMPRODUCT(MOD(INT(BL176/{2,4,8,16,32,64,128,256,512,1024,2048,4096,8192,16384,32768}),2)*(1-MOD(INT(($CJ41+BK221)/{2,4,8,16,32,64,128,256,512,1024,2048,4096,8192,16384,32768}),2))*{2,4,8,16,32,64,128,256,512,1024,2048,4096,8192,16384,32768})=0,0,2^SUMPRODUCT(--(MOD(SUMPRODUCT(MOD(INT(BL176/{2,4,8,16,32,64,128,256,512,1024,2048,4096,8192,16384,32768}),2)*(1-MOD(INT(($CJ41+BK221)/{2,4,8,16,32,64,128,256,512,1024,2048,4096,8192,16384,32768}),2))*{2,4,8,16,32,64,128,256,512,1024,2048,4096,8192,16384,32768}),{2,4,8,16,32,64,128,256,512,1024,2048,4096,8192,16384,32768})=0))))</f>
        <v/>
      </c>
      <c r="BM221">
        <f>BL221+IF(AND(BM131&gt;0,COUNTIF($Y131:BL131,BM131)=0),0,IF(SUMPRODUCT(MOD(INT(BM176/{2,4,8,16,32,64,128,256,512,1024,2048,4096,8192,16384,32768}),2)*(1-MOD(INT(($CJ41+BL221)/{2,4,8,16,32,64,128,256,512,1024,2048,4096,8192,16384,32768}),2))*{2,4,8,16,32,64,128,256,512,1024,2048,4096,8192,16384,32768})=0,0,2^SUMPRODUCT(--(MOD(SUMPRODUCT(MOD(INT(BM176/{2,4,8,16,32,64,128,256,512,1024,2048,4096,8192,16384,32768}),2)*(1-MOD(INT(($CJ41+BL221)/{2,4,8,16,32,64,128,256,512,1024,2048,4096,8192,16384,32768}),2))*{2,4,8,16,32,64,128,256,512,1024,2048,4096,8192,16384,32768}),{2,4,8,16,32,64,128,256,512,1024,2048,4096,8192,16384,32768})=0))))</f>
        <v/>
      </c>
      <c r="BN221">
        <f>BM221+IF(AND(BN131&gt;0,COUNTIF($Y131:BM131,BN131)=0),0,IF(SUMPRODUCT(MOD(INT(BN176/{2,4,8,16,32,64,128,256,512,1024,2048,4096,8192,16384,32768}),2)*(1-MOD(INT(($CJ41+BM221)/{2,4,8,16,32,64,128,256,512,1024,2048,4096,8192,16384,32768}),2))*{2,4,8,16,32,64,128,256,512,1024,2048,4096,8192,16384,32768})=0,0,2^SUMPRODUCT(--(MOD(SUMPRODUCT(MOD(INT(BN176/{2,4,8,16,32,64,128,256,512,1024,2048,4096,8192,16384,32768}),2)*(1-MOD(INT(($CJ41+BM221)/{2,4,8,16,32,64,128,256,512,1024,2048,4096,8192,16384,32768}),2))*{2,4,8,16,32,64,128,256,512,1024,2048,4096,8192,16384,32768}),{2,4,8,16,32,64,128,256,512,1024,2048,4096,8192,16384,32768})=0))))</f>
        <v/>
      </c>
      <c r="BO221">
        <f>BN221+IF(AND(BO131&gt;0,COUNTIF($Y131:BN131,BO131)=0),0,IF(SUMPRODUCT(MOD(INT(BO176/{2,4,8,16,32,64,128,256,512,1024,2048,4096,8192,16384,32768}),2)*(1-MOD(INT(($CJ41+BN221)/{2,4,8,16,32,64,128,256,512,1024,2048,4096,8192,16384,32768}),2))*{2,4,8,16,32,64,128,256,512,1024,2048,4096,8192,16384,32768})=0,0,2^SUMPRODUCT(--(MOD(SUMPRODUCT(MOD(INT(BO176/{2,4,8,16,32,64,128,256,512,1024,2048,4096,8192,16384,32768}),2)*(1-MOD(INT(($CJ41+BN221)/{2,4,8,16,32,64,128,256,512,1024,2048,4096,8192,16384,32768}),2))*{2,4,8,16,32,64,128,256,512,1024,2048,4096,8192,16384,32768}),{2,4,8,16,32,64,128,256,512,1024,2048,4096,8192,16384,32768})=0))))</f>
        <v/>
      </c>
      <c r="BP221">
        <f>BO221+IF(AND(BP131&gt;0,COUNTIF($Y131:BO131,BP131)=0),0,IF(SUMPRODUCT(MOD(INT(BP176/{2,4,8,16,32,64,128,256,512,1024,2048,4096,8192,16384,32768}),2)*(1-MOD(INT(($CJ41+BO221)/{2,4,8,16,32,64,128,256,512,1024,2048,4096,8192,16384,32768}),2))*{2,4,8,16,32,64,128,256,512,1024,2048,4096,8192,16384,32768})=0,0,2^SUMPRODUCT(--(MOD(SUMPRODUCT(MOD(INT(BP176/{2,4,8,16,32,64,128,256,512,1024,2048,4096,8192,16384,32768}),2)*(1-MOD(INT(($CJ41+BO221)/{2,4,8,16,32,64,128,256,512,1024,2048,4096,8192,16384,32768}),2))*{2,4,8,16,32,64,128,256,512,1024,2048,4096,8192,16384,32768}),{2,4,8,16,32,64,128,256,512,1024,2048,4096,8192,16384,32768})=0))))</f>
        <v/>
      </c>
      <c r="BQ221">
        <f>BP221+IF(AND(BQ131&gt;0,COUNTIF($Y131:BP131,BQ131)=0),0,IF(SUMPRODUCT(MOD(INT(BQ176/{2,4,8,16,32,64,128,256,512,1024,2048,4096,8192,16384,32768}),2)*(1-MOD(INT(($CJ41+BP221)/{2,4,8,16,32,64,128,256,512,1024,2048,4096,8192,16384,32768}),2))*{2,4,8,16,32,64,128,256,512,1024,2048,4096,8192,16384,32768})=0,0,2^SUMPRODUCT(--(MOD(SUMPRODUCT(MOD(INT(BQ176/{2,4,8,16,32,64,128,256,512,1024,2048,4096,8192,16384,32768}),2)*(1-MOD(INT(($CJ41+BP221)/{2,4,8,16,32,64,128,256,512,1024,2048,4096,8192,16384,32768}),2))*{2,4,8,16,32,64,128,256,512,1024,2048,4096,8192,16384,32768}),{2,4,8,16,32,64,128,256,512,1024,2048,4096,8192,16384,32768})=0))))</f>
        <v/>
      </c>
      <c r="BR221">
        <f>BQ221+IF(AND(BR131&gt;0,COUNTIF($Y131:BQ131,BR131)=0),0,IF(SUMPRODUCT(MOD(INT(BR176/{2,4,8,16,32,64,128,256,512,1024,2048,4096,8192,16384,32768}),2)*(1-MOD(INT(($CJ41+BQ221)/{2,4,8,16,32,64,128,256,512,1024,2048,4096,8192,16384,32768}),2))*{2,4,8,16,32,64,128,256,512,1024,2048,4096,8192,16384,32768})=0,0,2^SUMPRODUCT(--(MOD(SUMPRODUCT(MOD(INT(BR176/{2,4,8,16,32,64,128,256,512,1024,2048,4096,8192,16384,32768}),2)*(1-MOD(INT(($CJ41+BQ221)/{2,4,8,16,32,64,128,256,512,1024,2048,4096,8192,16384,32768}),2))*{2,4,8,16,32,64,128,256,512,1024,2048,4096,8192,16384,32768}),{2,4,8,16,32,64,128,256,512,1024,2048,4096,8192,16384,32768})=0))))</f>
        <v/>
      </c>
      <c r="BS221">
        <f>BR221+IF(AND(BS131&gt;0,COUNTIF($Y131:BR131,BS131)=0),0,IF(SUMPRODUCT(MOD(INT(BS176/{2,4,8,16,32,64,128,256,512,1024,2048,4096,8192,16384,32768}),2)*(1-MOD(INT(($CJ41+BR221)/{2,4,8,16,32,64,128,256,512,1024,2048,4096,8192,16384,32768}),2))*{2,4,8,16,32,64,128,256,512,1024,2048,4096,8192,16384,32768})=0,0,2^SUMPRODUCT(--(MOD(SUMPRODUCT(MOD(INT(BS176/{2,4,8,16,32,64,128,256,512,1024,2048,4096,8192,16384,32768}),2)*(1-MOD(INT(($CJ41+BR221)/{2,4,8,16,32,64,128,256,512,1024,2048,4096,8192,16384,32768}),2))*{2,4,8,16,32,64,128,256,512,1024,2048,4096,8192,16384,32768}),{2,4,8,16,32,64,128,256,512,1024,2048,4096,8192,16384,32768})=0))))</f>
        <v/>
      </c>
      <c r="BT221">
        <f>BS221+IF(AND(BT131&gt;0,COUNTIF($Y131:BS131,BT131)=0),0,IF(SUMPRODUCT(MOD(INT(BT176/{2,4,8,16,32,64,128,256,512,1024,2048,4096,8192,16384,32768}),2)*(1-MOD(INT(($CJ41+BS221)/{2,4,8,16,32,64,128,256,512,1024,2048,4096,8192,16384,32768}),2))*{2,4,8,16,32,64,128,256,512,1024,2048,4096,8192,16384,32768})=0,0,2^SUMPRODUCT(--(MOD(SUMPRODUCT(MOD(INT(BT176/{2,4,8,16,32,64,128,256,512,1024,2048,4096,8192,16384,32768}),2)*(1-MOD(INT(($CJ41+BS221)/{2,4,8,16,32,64,128,256,512,1024,2048,4096,8192,16384,32768}),2))*{2,4,8,16,32,64,128,256,512,1024,2048,4096,8192,16384,32768}),{2,4,8,16,32,64,128,256,512,1024,2048,4096,8192,16384,32768})=0))))</f>
        <v/>
      </c>
      <c r="BU221">
        <f>BT221+IF(AND(BU131&gt;0,COUNTIF($Y131:BT131,BU131)=0),0,IF(SUMPRODUCT(MOD(INT(BU176/{2,4,8,16,32,64,128,256,512,1024,2048,4096,8192,16384,32768}),2)*(1-MOD(INT(($CJ41+BT221)/{2,4,8,16,32,64,128,256,512,1024,2048,4096,8192,16384,32768}),2))*{2,4,8,16,32,64,128,256,512,1024,2048,4096,8192,16384,32768})=0,0,2^SUMPRODUCT(--(MOD(SUMPRODUCT(MOD(INT(BU176/{2,4,8,16,32,64,128,256,512,1024,2048,4096,8192,16384,32768}),2)*(1-MOD(INT(($CJ41+BT221)/{2,4,8,16,32,64,128,256,512,1024,2048,4096,8192,16384,32768}),2))*{2,4,8,16,32,64,128,256,512,1024,2048,4096,8192,16384,32768}),{2,4,8,16,32,64,128,256,512,1024,2048,4096,8192,16384,32768})=0))))</f>
        <v/>
      </c>
      <c r="BV221">
        <f>BU221+IF(AND(BV131&gt;0,COUNTIF($Y131:BU131,BV131)=0),0,IF(SUMPRODUCT(MOD(INT(BV176/{2,4,8,16,32,64,128,256,512,1024,2048,4096,8192,16384,32768}),2)*(1-MOD(INT(($CJ41+BU221)/{2,4,8,16,32,64,128,256,512,1024,2048,4096,8192,16384,32768}),2))*{2,4,8,16,32,64,128,256,512,1024,2048,4096,8192,16384,32768})=0,0,2^SUMPRODUCT(--(MOD(SUMPRODUCT(MOD(INT(BV176/{2,4,8,16,32,64,128,256,512,1024,2048,4096,8192,16384,32768}),2)*(1-MOD(INT(($CJ41+BU221)/{2,4,8,16,32,64,128,256,512,1024,2048,4096,8192,16384,32768}),2))*{2,4,8,16,32,64,128,256,512,1024,2048,4096,8192,16384,32768}),{2,4,8,16,32,64,128,256,512,1024,2048,4096,8192,16384,32768})=0))))</f>
        <v/>
      </c>
      <c r="BW221">
        <f>BV221+IF(AND(BW131&gt;0,COUNTIF($Y131:BV131,BW131)=0),0,IF(SUMPRODUCT(MOD(INT(BW176/{2,4,8,16,32,64,128,256,512,1024,2048,4096,8192,16384,32768}),2)*(1-MOD(INT(($CJ41+BV221)/{2,4,8,16,32,64,128,256,512,1024,2048,4096,8192,16384,32768}),2))*{2,4,8,16,32,64,128,256,512,1024,2048,4096,8192,16384,32768})=0,0,2^SUMPRODUCT(--(MOD(SUMPRODUCT(MOD(INT(BW176/{2,4,8,16,32,64,128,256,512,1024,2048,4096,8192,16384,32768}),2)*(1-MOD(INT(($CJ41+BV221)/{2,4,8,16,32,64,128,256,512,1024,2048,4096,8192,16384,32768}),2))*{2,4,8,16,32,64,128,256,512,1024,2048,4096,8192,16384,32768}),{2,4,8,16,32,64,128,256,512,1024,2048,4096,8192,16384,32768})=0))))</f>
        <v/>
      </c>
      <c r="BX221">
        <f>BW221+IF(AND(BX131&gt;0,COUNTIF($Y131:BW131,BX131)=0),0,IF(SUMPRODUCT(MOD(INT(BX176/{2,4,8,16,32,64,128,256,512,1024,2048,4096,8192,16384,32768}),2)*(1-MOD(INT(($CJ41+BW221)/{2,4,8,16,32,64,128,256,512,1024,2048,4096,8192,16384,32768}),2))*{2,4,8,16,32,64,128,256,512,1024,2048,4096,8192,16384,32768})=0,0,2^SUMPRODUCT(--(MOD(SUMPRODUCT(MOD(INT(BX176/{2,4,8,16,32,64,128,256,512,1024,2048,4096,8192,16384,32768}),2)*(1-MOD(INT(($CJ41+BW221)/{2,4,8,16,32,64,128,256,512,1024,2048,4096,8192,16384,32768}),2))*{2,4,8,16,32,64,128,256,512,1024,2048,4096,8192,16384,32768}),{2,4,8,16,32,64,128,256,512,1024,2048,4096,8192,16384,32768})=0))))</f>
        <v/>
      </c>
      <c r="BY221">
        <f>BX221+IF(AND(BY131&gt;0,COUNTIF($Y131:BX131,BY131)=0),0,IF(SUMPRODUCT(MOD(INT(BY176/{2,4,8,16,32,64,128,256,512,1024,2048,4096,8192,16384,32768}),2)*(1-MOD(INT(($CJ41+BX221)/{2,4,8,16,32,64,128,256,512,1024,2048,4096,8192,16384,32768}),2))*{2,4,8,16,32,64,128,256,512,1024,2048,4096,8192,16384,32768})=0,0,2^SUMPRODUCT(--(MOD(SUMPRODUCT(MOD(INT(BY176/{2,4,8,16,32,64,128,256,512,1024,2048,4096,8192,16384,32768}),2)*(1-MOD(INT(($CJ41+BX221)/{2,4,8,16,32,64,128,256,512,1024,2048,4096,8192,16384,32768}),2))*{2,4,8,16,32,64,128,256,512,1024,2048,4096,8192,16384,32768}),{2,4,8,16,32,64,128,256,512,1024,2048,4096,8192,16384,32768})=0))))</f>
        <v/>
      </c>
      <c r="BZ221">
        <f>BY221+IF(AND(BZ131&gt;0,COUNTIF($Y131:BY131,BZ131)=0),0,IF(SUMPRODUCT(MOD(INT(BZ176/{2,4,8,16,32,64,128,256,512,1024,2048,4096,8192,16384,32768}),2)*(1-MOD(INT(($CJ41+BY221)/{2,4,8,16,32,64,128,256,512,1024,2048,4096,8192,16384,32768}),2))*{2,4,8,16,32,64,128,256,512,1024,2048,4096,8192,16384,32768})=0,0,2^SUMPRODUCT(--(MOD(SUMPRODUCT(MOD(INT(BZ176/{2,4,8,16,32,64,128,256,512,1024,2048,4096,8192,16384,32768}),2)*(1-MOD(INT(($CJ41+BY221)/{2,4,8,16,32,64,128,256,512,1024,2048,4096,8192,16384,32768}),2))*{2,4,8,16,32,64,128,256,512,1024,2048,4096,8192,16384,32768}),{2,4,8,16,32,64,128,256,512,1024,2048,4096,8192,16384,32768})=0))))</f>
        <v/>
      </c>
      <c r="CA221">
        <f>BZ221+IF(AND(CA131&gt;0,COUNTIF($Y131:BZ131,CA131)=0),0,IF(SUMPRODUCT(MOD(INT(CA176/{2,4,8,16,32,64,128,256,512,1024,2048,4096,8192,16384,32768}),2)*(1-MOD(INT(($CJ41+BZ221)/{2,4,8,16,32,64,128,256,512,1024,2048,4096,8192,16384,32768}),2))*{2,4,8,16,32,64,128,256,512,1024,2048,4096,8192,16384,32768})=0,0,2^SUMPRODUCT(--(MOD(SUMPRODUCT(MOD(INT(CA176/{2,4,8,16,32,64,128,256,512,1024,2048,4096,8192,16384,32768}),2)*(1-MOD(INT(($CJ41+BZ221)/{2,4,8,16,32,64,128,256,512,1024,2048,4096,8192,16384,32768}),2))*{2,4,8,16,32,64,128,256,512,1024,2048,4096,8192,16384,32768}),{2,4,8,16,32,64,128,256,512,1024,2048,4096,8192,16384,32768})=0))))</f>
        <v/>
      </c>
      <c r="CB221">
        <f>CA221+IF(AND(CB131&gt;0,COUNTIF($Y131:CA131,CB131)=0),0,IF(SUMPRODUCT(MOD(INT(CB176/{2,4,8,16,32,64,128,256,512,1024,2048,4096,8192,16384,32768}),2)*(1-MOD(INT(($CJ41+CA221)/{2,4,8,16,32,64,128,256,512,1024,2048,4096,8192,16384,32768}),2))*{2,4,8,16,32,64,128,256,512,1024,2048,4096,8192,16384,32768})=0,0,2^SUMPRODUCT(--(MOD(SUMPRODUCT(MOD(INT(CB176/{2,4,8,16,32,64,128,256,512,1024,2048,4096,8192,16384,32768}),2)*(1-MOD(INT(($CJ41+CA221)/{2,4,8,16,32,64,128,256,512,1024,2048,4096,8192,16384,32768}),2))*{2,4,8,16,32,64,128,256,512,1024,2048,4096,8192,16384,32768}),{2,4,8,16,32,64,128,256,512,1024,2048,4096,8192,16384,32768})=0))))</f>
        <v/>
      </c>
      <c r="CC221">
        <f>CB221+IF(AND(CC131&gt;0,COUNTIF($Y131:CB131,CC131)=0),0,IF(SUMPRODUCT(MOD(INT(CC176/{2,4,8,16,32,64,128,256,512,1024,2048,4096,8192,16384,32768}),2)*(1-MOD(INT(($CJ41+CB221)/{2,4,8,16,32,64,128,256,512,1024,2048,4096,8192,16384,32768}),2))*{2,4,8,16,32,64,128,256,512,1024,2048,4096,8192,16384,32768})=0,0,2^SUMPRODUCT(--(MOD(SUMPRODUCT(MOD(INT(CC176/{2,4,8,16,32,64,128,256,512,1024,2048,4096,8192,16384,32768}),2)*(1-MOD(INT(($CJ41+CB221)/{2,4,8,16,32,64,128,256,512,1024,2048,4096,8192,16384,32768}),2))*{2,4,8,16,32,64,128,256,512,1024,2048,4096,8192,16384,32768}),{2,4,8,16,32,64,128,256,512,1024,2048,4096,8192,16384,32768})=0))))</f>
        <v/>
      </c>
      <c r="CD221">
        <f>CC221+IF(AND(CD131&gt;0,COUNTIF($Y131:CC131,CD131)=0),0,IF(SUMPRODUCT(MOD(INT(CD176/{2,4,8,16,32,64,128,256,512,1024,2048,4096,8192,16384,32768}),2)*(1-MOD(INT(($CJ41+CC221)/{2,4,8,16,32,64,128,256,512,1024,2048,4096,8192,16384,32768}),2))*{2,4,8,16,32,64,128,256,512,1024,2048,4096,8192,16384,32768})=0,0,2^SUMPRODUCT(--(MOD(SUMPRODUCT(MOD(INT(CD176/{2,4,8,16,32,64,128,256,512,1024,2048,4096,8192,16384,32768}),2)*(1-MOD(INT(($CJ41+CC221)/{2,4,8,16,32,64,128,256,512,1024,2048,4096,8192,16384,32768}),2))*{2,4,8,16,32,64,128,256,512,1024,2048,4096,8192,16384,32768}),{2,4,8,16,32,64,128,256,512,1024,2048,4096,8192,16384,32768})=0))))</f>
        <v/>
      </c>
      <c r="CE221">
        <f>CD221+IF(AND(CE131&gt;0,COUNTIF($Y131:CD131,CE131)=0),0,IF(SUMPRODUCT(MOD(INT(CE176/{2,4,8,16,32,64,128,256,512,1024,2048,4096,8192,16384,32768}),2)*(1-MOD(INT(($CJ41+CD221)/{2,4,8,16,32,64,128,256,512,1024,2048,4096,8192,16384,32768}),2))*{2,4,8,16,32,64,128,256,512,1024,2048,4096,8192,16384,32768})=0,0,2^SUMPRODUCT(--(MOD(SUMPRODUCT(MOD(INT(CE176/{2,4,8,16,32,64,128,256,512,1024,2048,4096,8192,16384,32768}),2)*(1-MOD(INT(($CJ41+CD221)/{2,4,8,16,32,64,128,256,512,1024,2048,4096,8192,16384,32768}),2))*{2,4,8,16,32,64,128,256,512,1024,2048,4096,8192,16384,32768}),{2,4,8,16,32,64,128,256,512,1024,2048,4096,8192,16384,32768})=0))))</f>
        <v/>
      </c>
      <c r="CF221">
        <f>CE221+IF(AND(CF131&gt;0,COUNTIF($Y131:CE131,CF131)=0),0,IF(SUMPRODUCT(MOD(INT(CF176/{2,4,8,16,32,64,128,256,512,1024,2048,4096,8192,16384,32768}),2)*(1-MOD(INT(($CJ41+CE221)/{2,4,8,16,32,64,128,256,512,1024,2048,4096,8192,16384,32768}),2))*{2,4,8,16,32,64,128,256,512,1024,2048,4096,8192,16384,32768})=0,0,2^SUMPRODUCT(--(MOD(SUMPRODUCT(MOD(INT(CF176/{2,4,8,16,32,64,128,256,512,1024,2048,4096,8192,16384,32768}),2)*(1-MOD(INT(($CJ41+CE221)/{2,4,8,16,32,64,128,256,512,1024,2048,4096,8192,16384,32768}),2))*{2,4,8,16,32,64,128,256,512,1024,2048,4096,8192,16384,32768}),{2,4,8,16,32,64,128,256,512,1024,2048,4096,8192,16384,32768})=0))))</f>
        <v/>
      </c>
      <c r="DA221" t="n">
        <v>217</v>
      </c>
      <c r="DB221">
        <f>IF($B$37=0,"",IFERROR(TRIM(SUBSTITUTE(SUBSTITUTE(SUBSTITUTE(SUBSTITUTE(INDEX(PASTE_ALL,217,$B$37)," "," "),CHAR(9)," "),CHAR(10)," "),CHAR(13)," ")),""))</f>
        <v/>
      </c>
      <c r="DC221">
        <f>IF(AND(217&gt;HEADER_ROW,UPPER(DB221)="LEGEND"),1,0)</f>
        <v/>
      </c>
      <c r="DE221" t="n">
        <v>217</v>
      </c>
      <c r="DF221">
        <f>HEADER_ROW+$DE221</f>
        <v/>
      </c>
      <c r="DG221">
        <f>IF(AND($DF221&lt;=1000,$DF221&lt;$B$8),1,0)</f>
        <v/>
      </c>
      <c r="DH221">
        <f>IF($DG221=1,IFERROR(INDEX($DB$5:$DB$1004,$DF221),""),"")</f>
        <v/>
      </c>
      <c r="DI221">
        <f>IF(AND($DG221=1,$DH221&lt;&gt;""),IFERROR(SUBSTITUTE(SUBSTITUTE(TRIM(SUBSTITUTE(SUBSTITUTE(SUBSTITUTE(SUBSTITUTE(IFERROR(INDEX(PASTE_ALL,$DF221,1)&amp;"","")&amp;"␟"&amp;IFERROR(INDEX(PASTE_ALL,$DF221,2)&amp;"","")&amp;"␟"&amp;IFERROR(INDEX(PASTE_ALL,$DF221,3)&amp;"","")&amp;"␟"&amp;IFERROR(INDEX(PASTE_ALL,$DF221,4)&amp;"","")&amp;"␟"&amp;IFERROR(INDEX(PASTE_ALL,$DF221,5)&amp;"","")&amp;"␟"&amp;IFERROR(INDEX(PASTE_ALL,$DF221,6)&amp;"","")&amp;"␟"&amp;IFERROR(INDEX(PASTE_ALL,$DF221,7)&amp;"","")&amp;"␟"&amp;IFERROR(INDEX(PASTE_ALL,$DF221,8)&amp;"","")&amp;"␟"&amp;IFERROR(INDEX(PASTE_ALL,$DF221,9)&amp;"","")&amp;"␟"&amp;IFERROR(INDEX(PASTE_ALL,$DF221,10)&amp;"","")&amp;"␟"&amp;IFERROR(INDEX(PASTE_ALL,$DF221,11)&amp;"","")&amp;"␟"&amp;IFERROR(INDEX(PASTE_ALL,$DF221,12)&amp;"","")&amp;"␟"&amp;IFERROR(INDEX(PASTE_ALL,$DF221,13)&amp;"","")&amp;"␟"&amp;IFERROR(INDEX(PASTE_ALL,$DF221,14)&amp;"","")&amp;"␟"&amp;IFERROR(INDEX(PASTE_ALL,$DF221,15)&amp;"","")&amp;"␟"&amp;IFERROR(INDEX(PASTE_ALL,$DF221,16)&amp;"","")&amp;"␟"&amp;IFERROR(INDEX(PASTE_ALL,$DF221,17)&amp;"","")&amp;"␟"&amp;IFERROR(INDEX(PASTE_ALL,$DF221,18)&amp;"","")&amp;"␟"&amp;IFERROR(INDEX(PASTE_ALL,$DF221,19)&amp;"","")&amp;"␟"&amp;IFERROR(INDEX(PASTE_ALL,$DF221,20)&amp;"","")&amp;"␟"&amp;IFERROR(INDEX(PASTE_ALL,$DF221,21)&amp;"","")&amp;"␟"&amp;IFERROR(INDEX(PASTE_ALL,$DF221,22)&amp;"","")&amp;"␟"&amp;IFERROR(INDEX(PASTE_ALL,$DF221,23)&amp;"","")&amp;"␟"&amp;IFERROR(INDEX(PASTE_ALL,$DF221,24)&amp;"","")&amp;"␟"&amp;IFERROR(INDEX(PASTE_ALL,$DF221,25)&amp;"","")&amp;"␟"&amp;IFERROR(INDEX(PASTE_ALL,$DF221,26)&amp;"","")&amp;"␟"&amp;IFERROR(INDEX(PASTE_ALL,$DF221,27)&amp;"","")&amp;"␟"&amp;IFERROR(INDEX(PASTE_ALL,$DF221,28)&amp;"","")&amp;"␟"&amp;IFERROR(INDEX(PASTE_ALL,$DF221,29)&amp;"","")&amp;"␟"&amp;IFERROR(INDEX(PASTE_ALL,$DF221,30)&amp;"","")&amp;"␟"&amp;IFERROR(INDEX(PASTE_ALL,$DF221,31)&amp;"","")&amp;"␟"&amp;IFERROR(INDEX(PASTE_ALL,$DF221,32)&amp;"","")&amp;"␟"&amp;IFERROR(INDEX(PASTE_ALL,$DF221,33)&amp;"","")&amp;"␟"&amp;IFERROR(INDEX(PASTE_ALL,$DF221,34)&amp;"","")&amp;"␟"&amp;IFERROR(INDEX(PASTE_ALL,$DF221,35)&amp;"","")&amp;"␟"&amp;IFERROR(INDEX(PASTE_ALL,$DF221,36)&amp;"","")&amp;"␟"&amp;IFERROR(INDEX(PASTE_ALL,$DF221,37)&amp;"","")&amp;"␟"&amp;IFERROR(INDEX(PASTE_ALL,$DF221,38)&amp;"","")&amp;"␟"&amp;IFERROR(INDEX(PASTE_ALL,$DF221,39)&amp;"","")&amp;"␟"&amp;IFERROR(INDEX(PASTE_ALL,$DF221,40)&amp;"","")&amp;"␟"&amp;IFERROR(INDEX(PASTE_ALL,$DF221,41)&amp;"","")&amp;"␟"&amp;IFERROR(INDEX(PASTE_ALL,$DF221,42)&amp;"","")&amp;"␟"&amp;IFERROR(INDEX(PASTE_ALL,$DF221,43)&amp;"","")&amp;"␟"&amp;IFERROR(INDEX(PASTE_ALL,$DF221,44)&amp;"","")&amp;"␟"&amp;IFERROR(INDEX(PASTE_ALL,$DF221,45)&amp;"","")&amp;"␟"&amp;IFERROR(INDEX(PASTE_ALL,$DF221,46)&amp;"","")&amp;"␟"&amp;IFERROR(INDEX(PASTE_ALL,$DF221,47)&amp;"","")&amp;"␟"&amp;IFERROR(INDEX(PASTE_ALL,$DF221,48)&amp;"","")&amp;"␟"&amp;IFERROR(INDEX(PASTE_ALL,$DF221,49)&amp;"","")&amp;"␟"&amp;IFERROR(INDEX(PASTE_ALL,$DF221,50)&amp;"","")&amp;"␟"&amp;IFERROR(INDEX(PASTE_ALL,$DF221,51)&amp;"","")&amp;"␟"&amp;IFERROR(INDEX(PASTE_ALL,$DF221,52)&amp;"","")&amp;"␟"&amp;IFERROR(INDEX(PASTE_ALL,$DF221,53)&amp;"","")&amp;"␟"&amp;IFERROR(INDEX(PASTE_ALL,$DF221,54)&amp;"","")&amp;"␟"&amp;IFERROR(INDEX(PASTE_ALL,$DF221,55)&amp;"","")&amp;"␟"&amp;IFERROR(INDEX(PASTE_ALL,$DF221,56)&amp;"","")&amp;"␟"&amp;IFERROR(INDEX(PASTE_ALL,$DF221,57)&amp;"","")&amp;"␟"&amp;IFERROR(INDEX(PASTE_ALL,$DF221,58)&amp;"","")&amp;"␟"&amp;IFERROR(INDEX(PASTE_ALL,$DF221,59)&amp;"","")&amp;"␟"&amp;IFERROR(INDEX(PASTE_ALL,$DF221,60)&amp;"","")," "," "),CHAR(9)," "),CHAR(10)," "),CHAR(13)," "))," ␟","␟"),"␟ ","␟"),"#"&amp;$DE221),"")</f>
        <v/>
      </c>
      <c r="DJ221">
        <f>IF($DI221="",0,IF(SUMPRODUCT(--EXACT($DI$4:DI220,$DI221))&gt;0,1,0))</f>
        <v/>
      </c>
      <c r="DK221">
        <f>IF(AND($DI221&lt;&gt;"",$DJ221=0),1,0)</f>
        <v/>
      </c>
      <c r="DL221">
        <f>DL220+$DK221</f>
        <v/>
      </c>
      <c r="DM221">
        <f>IF(AND($DK221=1,$DL221&lt;=600),1,0)</f>
        <v/>
      </c>
      <c r="DN221">
        <f>IF($DM221=0,"",IF($L$6=0,"",IFERROR(IF(ISNUMBER(INDEX(PASTE_ALL,$DF221,$L$6)),INDEX(PASTE_ALL,$DF221,$L$6),TRIM(SUBSTITUTE(SUBSTITUTE(SUBSTITUTE(SUBSTITUTE(INDEX(PASTE_ALL,$DF221,$L$6)," "," "),CHAR(9)," "),CHAR(10)," "),CHAR(13)," "))),"")))</f>
        <v/>
      </c>
      <c r="DO221">
        <f>IF($DM221=0,"",IF($L$7=0,"",IFERROR(IF(ISNUMBER(INDEX(PASTE_ALL,$DF221,$L$7)),INDEX(PASTE_ALL,$DF221,$L$7),TRIM(SUBSTITUTE(SUBSTITUTE(SUBSTITUTE(SUBSTITUTE(INDEX(PASTE_ALL,$DF221,$L$7)," "," "),CHAR(9)," "),CHAR(10)," "),CHAR(13)," "))),"")))</f>
        <v/>
      </c>
      <c r="DP221">
        <f>IF($DM221=0,"",IF($L$8=0,"",IFERROR(IF(ISNUMBER(INDEX(PASTE_ALL,$DF221,$L$8)),INDEX(PASTE_ALL,$DF221,$L$8),TRIM(SUBSTITUTE(SUBSTITUTE(SUBSTITUTE(SUBSTITUTE(INDEX(PASTE_ALL,$DF221,$L$8)," "," "),CHAR(9)," "),CHAR(10)," "),CHAR(13)," "))),"")))</f>
        <v/>
      </c>
      <c r="DQ221">
        <f>IF($DM221=0,"",IF($L$9=0,"",IFERROR(IF(ISNUMBER(INDEX(PASTE_ALL,$DF221,$L$9)),INDEX(PASTE_ALL,$DF221,$L$9),TRIM(SUBSTITUTE(SUBSTITUTE(SUBSTITUTE(SUBSTITUTE(INDEX(PASTE_ALL,$DF221,$L$9)," "," "),CHAR(9)," "),CHAR(10)," "),CHAR(13)," "))),"")))</f>
        <v/>
      </c>
      <c r="DR221">
        <f>IF($DM221=0,"",IF($L$10=0,"",IFERROR(IF(ISNUMBER(INDEX(PASTE_ALL,$DF221,$L$10)),INDEX(PASTE_ALL,$DF221,$L$10),TRIM(SUBSTITUTE(SUBSTITUTE(SUBSTITUTE(SUBSTITUTE(INDEX(PASTE_ALL,$DF221,$L$10)," "," "),CHAR(9)," "),CHAR(10)," "),CHAR(13)," "))),"")))</f>
        <v/>
      </c>
      <c r="DS221">
        <f>IF($DM221=0,"",IF($L$11=0,"",IFERROR(IF(ISNUMBER(INDEX(PASTE_ALL,$DF221,$L$11)),INDEX(PASTE_ALL,$DF221,$L$11),TRIM(SUBSTITUTE(SUBSTITUTE(SUBSTITUTE(SUBSTITUTE(INDEX(PASTE_ALL,$DF221,$L$11)," "," "),CHAR(9)," "),CHAR(10)," "),CHAR(13)," "))),"")))</f>
        <v/>
      </c>
      <c r="DT221">
        <f>IF($DM221=0,"",IF($L$12=0,"",IFERROR(IF(ISNUMBER(INDEX(PASTE_ALL,$DF221,$L$12)),INDEX(PASTE_ALL,$DF221,$L$12),TRIM(SUBSTITUTE(SUBSTITUTE(SUBSTITUTE(SUBSTITUTE(INDEX(PASTE_ALL,$DF221,$L$12)," "," "),CHAR(9)," "),CHAR(10)," "),CHAR(13)," "))),"")))</f>
        <v/>
      </c>
      <c r="DU221">
        <f>IF($DM221=0,"",IF($L$13=0,"",IFERROR(IF(ISNUMBER(INDEX(PASTE_ALL,$DF221,$L$13)),INDEX(PASTE_ALL,$DF221,$L$13),TRIM(SUBSTITUTE(SUBSTITUTE(SUBSTITUTE(SUBSTITUTE(INDEX(PASTE_ALL,$DF221,$L$13)," "," "),CHAR(9)," "),CHAR(10)," "),CHAR(13)," "))),"")))</f>
        <v/>
      </c>
      <c r="DV221">
        <f>IF($DM221=0,"",IF($L$14=0,"",IFERROR(IF(ISNUMBER(INDEX(PASTE_ALL,$DF221,$L$14)),INDEX(PASTE_ALL,$DF221,$L$14),TRIM(SUBSTITUTE(SUBSTITUTE(SUBSTITUTE(SUBSTITUTE(INDEX(PASTE_ALL,$DF221,$L$14)," "," "),CHAR(9)," "),CHAR(10)," "),CHAR(13)," "))),"")))</f>
        <v/>
      </c>
      <c r="DW221">
        <f>IF($DM221=0,"",IF($L$15=0,"",IFERROR(IF(ISNUMBER(INDEX(PASTE_ALL,$DF221,$L$15)),INDEX(PASTE_ALL,$DF221,$L$15),IF(SUMPRODUCT(--ISNUMBER(FIND({"A","B","C","D","E","F","G","H","I","J","K","L","M","N","O","P","Q","R","S","T","U","V","W","X","Y","Z","0","1","2","3","4","5","6","7","8","9"},UPPER(TRIM(SUBSTITUTE(SUBSTITUTE(SUBSTITUTE(SUBSTITUTE(INDEX(PASTE_ALL,$DF221,$L$15)," "," "),CHAR(9)," "),CHAR(10)," "),CHAR(13)," "))))))&gt;0,TRIM(SUBSTITUTE(SUBSTITUTE(SUBSTITUTE(SUBSTITUTE(INDEX(PASTE_ALL,$DF221,$L$15)," "," "),CHAR(9)," "),CHAR(10)," "),CHAR(13)," ")),"")),"")))</f>
        <v/>
      </c>
      <c r="DX221">
        <f>IF($DM221=0,"",IF($L$16=0,"",IFERROR(IF(ISNUMBER(INDEX(PASTE_ALL,$DF221,$L$16)),INDEX(PASTE_ALL,$DF221,$L$16),SUBSTITUTE(SUBSTITUTE(TRIM(SUBSTITUTE(SUBSTITUTE(SUBSTITUTE(SUBSTITUTE(INDEX(PASTE_ALL,$DF221,$L$16)," "," "),CHAR(9)," "),CHAR(10)," "),CHAR(13)," ")),",",""),"%","")),"")))</f>
        <v/>
      </c>
      <c r="DY221">
        <f>IF($DM221=0,"",IFERROR(IF(ISNUMBER($DX221),$DX221,IF($DX221="","",IF(TRIM($DX221)="",0,IF(AND(AND(SUBSTITUTE(SUBSTITUTE(SUBSTITUTE(SUBSTITUTE(SUBSTITUTE(SUBSTITUTE(SUBSTITUTE(SUBSTITUTE(SUBSTITUTE(SUBSTITUTE(SUBSTITUTE(SUBSTITUTE(SUBSTITUTE(SUBSTITUTE(UPPER(TRIM($DX221)),"0",""),"1",""),"2",""),"3",""),"4",""),"5",""),"6",""),"7",""),"8",""),"9",""),".",""),"+",""),"-",""),"E","")="",LEN(SUBSTITUTE(SUBSTITUTE(MID(UPPER(TRIM($DX221)),1+OR(LEFT(UPPER(TRIM($DX221)),1)="+",LEFT(UPPER(TRIM($DX221)),1)="-"),999),"E+","E"),"E-","E"))=LEN(SUBSTITUTE(SUBSTITUTE(SUBSTITUTE(SUBSTITUTE(MID(UPPER(TRIM($DX221)),1+OR(LEFT(UPPER(TRIM($DX221)),1)="+",LEFT(UPPER(TRIM($DX221)),1)="-"),999),"E+","E"),"E-","E"),"+",""),"-","")),LEN(UPPER(TRIM($DX221)))-LEN(SUBSTITUTE(UPPER(TRIM($DX221)),"E",""))&lt;2,LEN(UPPER(TRIM($DX221)))-LEN(SUBSTITUTE(UPPER(TRIM($DX221)),".",""))&lt;2,IFERROR(FIND(".",UPPER(TRIM($DX221))),0)&lt;IFERROR(FIND("E",UPPER(TRIM($DX221))),999)),ISNUMBER(VALUE(TRIM($DX221)))),VALUE(TRIM($DX221)),"")))),""))</f>
        <v/>
      </c>
      <c r="DZ221">
        <f>IF($DM221=0,"",IF($L$17=0,"",IFERROR(IF(ISNUMBER(INDEX(PASTE_ALL,$DF221,$L$17)),INDEX(PASTE_ALL,$DF221,$L$17),SUBSTITUTE(SUBSTITUTE(TRIM(SUBSTITUTE(SUBSTITUTE(SUBSTITUTE(SUBSTITUTE(INDEX(PASTE_ALL,$DF221,$L$17)," "," "),CHAR(9)," "),CHAR(10)," "),CHAR(13)," ")),",",""),"%","")),"")))</f>
        <v/>
      </c>
      <c r="EA221">
        <f>IF($DM221=0,"",IFERROR(IF(ISNUMBER($DZ221),$DZ221,IF($DZ221="","",IF(TRIM($DZ221)="",0,IF(AND(AND(SUBSTITUTE(SUBSTITUTE(SUBSTITUTE(SUBSTITUTE(SUBSTITUTE(SUBSTITUTE(SUBSTITUTE(SUBSTITUTE(SUBSTITUTE(SUBSTITUTE(SUBSTITUTE(SUBSTITUTE(SUBSTITUTE(SUBSTITUTE(UPPER(TRIM($DZ221)),"0",""),"1",""),"2",""),"3",""),"4",""),"5",""),"6",""),"7",""),"8",""),"9",""),".",""),"+",""),"-",""),"E","")="",LEN(SUBSTITUTE(SUBSTITUTE(MID(UPPER(TRIM($DZ221)),1+OR(LEFT(UPPER(TRIM($DZ221)),1)="+",LEFT(UPPER(TRIM($DZ221)),1)="-"),999),"E+","E"),"E-","E"))=LEN(SUBSTITUTE(SUBSTITUTE(SUBSTITUTE(SUBSTITUTE(MID(UPPER(TRIM($DZ221)),1+OR(LEFT(UPPER(TRIM($DZ221)),1)="+",LEFT(UPPER(TRIM($DZ221)),1)="-"),999),"E+","E"),"E-","E"),"+",""),"-","")),LEN(UPPER(TRIM($DZ221)))-LEN(SUBSTITUTE(UPPER(TRIM($DZ221)),"E",""))&lt;2,LEN(UPPER(TRIM($DZ221)))-LEN(SUBSTITUTE(UPPER(TRIM($DZ221)),".",""))&lt;2,IFERROR(FIND(".",UPPER(TRIM($DZ221))),0)&lt;IFERROR(FIND("E",UPPER(TRIM($DZ221))),999)),ISNUMBER(VALUE(TRIM($DZ221)))),VALUE(TRIM($DZ221)),"")))),""))</f>
        <v/>
      </c>
      <c r="EB221">
        <f>IF($DM221=0,"",IF($L$18=0,"",IFERROR(IF(UPPER(TRIM(SUBSTITUTE(SUBSTITUTE(SUBSTITUTE(SUBSTITUTE(INDEX(PASTE_ALL,$DF221,$L$18)," "," "),CHAR(9)," "),CHAR(10)," "),CHAR(13)," ")))="READY","Ready",IF(UPPER(TRIM(SUBSTITUTE(SUBSTITUTE(SUBSTITUTE(SUBSTITUTE(INDEX(PASTE_ALL,$DF221,$L$18)," "," "),CHAR(9)," "),CHAR(10)," "),CHAR(13)," ")))="PM","PM",IF(OR(UPPER(TRIM(SUBSTITUTE(SUBSTITUTE(SUBSTITUTE(SUBSTITUTE(INDEX(PASTE_ALL,$DF221,$L$18)," "," "),CHAR(9)," "),CHAR(10)," "),CHAR(13)," ")))="OT",UPPER(TRIM(SUBSTITUTE(SUBSTITUTE(SUBSTITUTE(SUBSTITUTE(INDEX(PASTE_ALL,$DF221,$L$18)," "," "),CHAR(9)," "),CHAR(10)," "),CHAR(13)," ")))="OVERTIME",UPPER(TRIM(SUBSTITUTE(SUBSTITUTE(SUBSTITUTE(SUBSTITUTE(INDEX(PASTE_ALL,$DF221,$L$18)," "," "),CHAR(9)," "),CHAR(10)," "),CHAR(13)," ")))="TRIAL"),"OT",TRIM(SUBSTITUTE(SUBSTITUTE(SUBSTITUTE(SUBSTITUTE(INDEX(PASTE_ALL,$DF221,$L$18)," "," "),CHAR(9)," "),CHAR(10)," "),CHAR(13)," "))))),"")))</f>
        <v/>
      </c>
      <c r="EC221">
        <f>IF($DM221=0,"",IF($L$19=0,"",IFERROR(IF(ISNUMBER(INDEX(PASTE_ALL,$DF221,$L$19)),INDEX(PASTE_ALL,$DF221,$L$19),TRIM(SUBSTITUTE(SUBSTITUTE(SUBSTITUTE(SUBSTITUTE(INDEX(PASTE_ALL,$DF221,$L$19)," "," "),CHAR(9)," "),CHAR(10)," "),CHAR(13)," "))),"")))</f>
        <v/>
      </c>
      <c r="ED221">
        <f>IF($DM221=0,"",MATCH(1,INDEX(EXACT($DH$5:DH221,$DH221)*$DM$5:DM221,0),0))</f>
        <v/>
      </c>
      <c r="EE221">
        <f>IF($DM221=0,0,IF($ED221=$DE221,1,0))</f>
        <v/>
      </c>
      <c r="EF221">
        <f>EF220+$EE221</f>
        <v/>
      </c>
      <c r="EG221">
        <f>IF($DM221=0,"",INDEX($EF$5:$EF$1003,$ED221))</f>
        <v/>
      </c>
      <c r="EH221">
        <f>IF($DM221=0,"",IF($DO221&lt;&gt;"","",IFERROR(LOOKUP(2,1/(($EG$4:EG220=$EG221)*($DO$4:DO220&lt;&gt;"")),$DO$4:DO220),"")))</f>
        <v/>
      </c>
      <c r="EI221">
        <f>IF($DM221=0,"",IF($DO221&lt;&gt;"",$DO221,$EH221))</f>
        <v/>
      </c>
      <c r="EJ221">
        <f>IF($DM221=0,"",IF($EI221="",0,IF(OR(ISNUMBER($EI221),AND(AND(SUBSTITUTE(SUBSTITUTE(SUBSTITUTE(SUBSTITUTE(SUBSTITUTE(SUBSTITUTE(SUBSTITUTE(SUBSTITUTE(SUBSTITUTE(SUBSTITUTE(SUBSTITUTE(SUBSTITUTE(SUBSTITUTE(SUBSTITUTE(UPPER($EI221),"0",""),"1",""),"2",""),"3",""),"4",""),"5",""),"6",""),"7",""),"8",""),"9",""),".",""),"+",""),"-",""),"E","")="",LEN(SUBSTITUTE(SUBSTITUTE(MID(UPPER($EI221),1+OR(LEFT(UPPER($EI221),1)="+",LEFT(UPPER($EI221),1)="-"),999),"E+","E"),"E-","E"))=LEN(SUBSTITUTE(SUBSTITUTE(SUBSTITUTE(SUBSTITUTE(MID(UPPER($EI221),1+OR(LEFT(UPPER($EI221),1)="+",LEFT(UPPER($EI221),1)="-"),999),"E+","E"),"E-","E"),"+",""),"-","")),LEN(UPPER($EI221))-LEN(SUBSTITUTE(UPPER($EI221),"E",""))&lt;2,LEN(UPPER($EI221))-LEN(SUBSTITUTE(UPPER($EI221),".",""))&lt;2,IFERROR(FIND(".",UPPER($EI221)),0)&lt;IFERROR(FIND("E",UPPER($EI221)),999)),ISNUMBER(VALUE($EI221)))),1,2)))</f>
        <v/>
      </c>
      <c r="EK221">
        <f>IF($DM221=0,"",IF($EJ221=1,IF(ISNUMBER($EI221),$EI221,VALUE($EI221)),IF($EJ221=2,$DE221,0)))</f>
        <v/>
      </c>
      <c r="EL221">
        <f>IF($DM221=0,"",COUNTIF($EG$5:$EG$1003,"&lt;"&amp;$EG221)+SUMPRODUCT(($EG$5:$EG$1003=$EG221)*(($EJ$5:$EJ$1003&lt;$EJ221)+($EJ$5:$EJ$1003=$EJ221)*(($EK$5:$EK$1003&lt;$EK221)+($EK$5:$EK$1003=$EK221)*($DE$5:$DE$1003&lt;$DE221))))+1)</f>
        <v/>
      </c>
      <c r="EM221">
        <f>IF($DM221=0,"",$EL221+$EG221-1)</f>
        <v/>
      </c>
      <c r="EN221">
        <f>IF($DM221=0,0,IFERROR(MATCH(1,INDEX(--(TRIM(SUBSTITUTE(SUBSTITUTE(SUBSTITUTE(SUBSTITUTE(LINES_NAME&amp;""," "," "),CHAR(9)," "),CHAR(10)," "),CHAR(13)," "))=$DH221),0),0),0))</f>
        <v/>
      </c>
      <c r="EO221">
        <f>IF($EN221=0,0,IF(OR(UPPER(TRIM(INDEX(LINES_SCHEDULED,$EN221)&amp;""))="YES",UPPER(TRIM(INDEX(LINES_SCHEDULED,$EN221)&amp;""))="Y",UPPER(TRIM(INDEX(LINES_SCHEDULED,$EN221)&amp;""))="X"),1,0))</f>
        <v/>
      </c>
      <c r="EP221">
        <f>IF($DM221=0,"",IF(COUNTIFS($EG$5:$EG$1003,$EG221,$EB$5:$EB$1003,"Ready")&gt;0,"READY",IF(COUNTIFS($EG$5:$EG$1003,$EG221,$EB$5:$EB$1003,"PM")&gt;0,"PM",IF(COUNTIFS($EG$5:$EG$1003,$EG221,$EB$5:$EB$1003,"OT")&gt;0,"OT",""))))</f>
        <v/>
      </c>
      <c r="EQ221">
        <f>IF($EN221=0,"",UPPER(TRIM(INDEX(LINES_STATUS,$EN221)&amp;"")))</f>
        <v/>
      </c>
      <c r="ER221">
        <f>IF($DM221=0,"",IF(OR($EQ221="READY",$EQ221="PM",$EQ221="OT"),$EQ221,$EP221))</f>
        <v/>
      </c>
      <c r="ES221">
        <f>IF($DM221=0,"",IF(AND($DV221&lt;&gt;"",UPPER($DV221)&lt;&gt;"N"),"allergen",IF(ISNUMBER(SEARCH("oil",$DQ221)),"oil",IF(OR(EXACT($DS221,"A662"),EXACT($DS221,"A624")),"bulk",""))))</f>
        <v/>
      </c>
      <c r="ET221">
        <f>IF($DM221=0,"",IF(OR($EA221="",$EA221=0),"",$EA221/100))</f>
        <v/>
      </c>
      <c r="EU221">
        <f>IF(OR($ET221="",$DY221=""),"",INT($DY221*(1-$ET221)+0.5))</f>
        <v/>
      </c>
      <c r="EW221" t="n">
        <v>217</v>
      </c>
      <c r="EX221">
        <f>IFERROR(MATCH($EW221,$EM$5:$EM$1003,0),0)</f>
        <v/>
      </c>
      <c r="EY221">
        <f>IF($EW221&gt;$B$12,"",IF($EX221&gt;0,"row","spacer"))</f>
        <v/>
      </c>
      <c r="EZ221">
        <f>IF(AND($EY221="row",$EY220&lt;&gt;"row"),1,0)</f>
        <v/>
      </c>
      <c r="FA221">
        <f>IF(AND($EY221="row",$EY222&lt;&gt;"row"),1,0)</f>
        <v/>
      </c>
      <c r="FB221">
        <f>IF($EZ221=1,IFERROR(IF(ISNUMBER(INDEX(PASTE_ALL,INDEX($DF$5:$DF$1003,$EX221),$B$37)),INDEX(PASTE_ALL,INDEX($DF$5:$DF$1003,$EX221),$B$37),INDEX($DH$5:$DH$1003,$EX221)),INDEX($DH$5:$DH$1003,$EX221)),"")</f>
        <v/>
      </c>
      <c r="FC221">
        <f>IF($EY221="row",INDEX($ER$5:$ER$1003,$EX221),"")</f>
        <v/>
      </c>
      <c r="FD221">
        <f>IF($EY221="row",INDEX($DN$5:$DN$1003,$EX221),"")</f>
        <v/>
      </c>
      <c r="FE221">
        <f>IF($EY221="row",INDEX($DO$5:$DO$1003,$EX221),"")</f>
        <v/>
      </c>
      <c r="FF221">
        <f>IF($EY221="row",INDEX($DP$5:$DP$1003,$EX221),"")</f>
        <v/>
      </c>
      <c r="FG221">
        <f>IF($EY221="row",INDEX($DQ$5:$DQ$1003,$EX221),"")</f>
        <v/>
      </c>
      <c r="FH221">
        <f>IF($EY221="row",INDEX($DR$5:$DR$1003,$EX221),"")</f>
        <v/>
      </c>
      <c r="FI221">
        <f>IF($EY221="row",INDEX($DS$5:$DS$1003,$EX221),"")</f>
        <v/>
      </c>
      <c r="FJ221">
        <f>IF($EY221="row",INDEX($DT$5:$DT$1003,$EX221),"")</f>
        <v/>
      </c>
      <c r="FK221">
        <f>IF($EY221="row",INDEX($DU$5:$DU$1003,$EX221),"")</f>
        <v/>
      </c>
      <c r="FL221">
        <f>IF($EY221="row",INDEX($DV$5:$DV$1003,$EX221),"")</f>
        <v/>
      </c>
      <c r="FM221">
        <f>IF($EY221="row",INDEX($DW$5:$DW$1003,$EX221),"")</f>
        <v/>
      </c>
      <c r="FN221">
        <f>IF($EY221="row",INDEX($DY$5:$DY$1003,$EX221),"")</f>
        <v/>
      </c>
      <c r="FO221">
        <f>IF($EY221="row",INDEX($EA$5:$EA$1003,$EX221),"")</f>
        <v/>
      </c>
      <c r="FP221">
        <f>IF($EY221="row",INDEX($EC$5:$EC$1003,$EX221),"")</f>
        <v/>
      </c>
      <c r="FQ221">
        <f>IF($EY221="row",INDEX($ET$5:$ET$1003,$EX221),"")</f>
        <v/>
      </c>
      <c r="FR221">
        <f>IF($EY221="row",INDEX($EU$5:$EU$1003,$EX221),"")</f>
        <v/>
      </c>
      <c r="FS221">
        <f>IF(AND($EY221="row",$EY220="row"),IF(OR(INDEX($DT$5:$DT$1003,$EX220)="",INDEX($DT$5:$DT$1003,$EX221)=""),"",IF(NOT(EXACT(INDEX($DT$5:$DT$1003,$EX220),INDEX($DT$5:$DT$1003,$EX221))),"S4",IF(NOT(EXACT(INDEX($DS$5:$DS$1003,$EX220),INDEX($DS$5:$DS$1003,$EX221))),"S3",IF(NOT(EXACT(INDEX($DR$5:$DR$1003,$EX220),INDEX($DR$5:$DR$1003,$EX221))),"S1 Count Change","S1")))),"")</f>
        <v/>
      </c>
      <c r="FT221">
        <f>IF($EY221="row",INDEX($ES$5:$ES$1003,$EX221),"")</f>
        <v/>
      </c>
      <c r="FU221">
        <f>IF($EY221="row",INDEX($EO$5:$EO$1003,$EX221),0)</f>
        <v/>
      </c>
      <c r="FV221">
        <f>IF($FS221="S1 Count Change",1,0)</f>
        <v/>
      </c>
    </row>
    <row r="222">
      <c r="Y222">
        <f>0+IF(Y132&gt;0,0,IF(SUMPRODUCT(MOD(INT(Y177/{2,4,8,16,32,64,128,256,512,1024,2048,4096,8192,16384,32768}),2)*(1-MOD(INT(($CJ42+0)/{2,4,8,16,32,64,128,256,512,1024,2048,4096,8192,16384,32768}),2))*{2,4,8,16,32,64,128,256,512,1024,2048,4096,8192,16384,32768})=0,0,2^SUMPRODUCT(--(MOD(SUMPRODUCT(MOD(INT(Y177/{2,4,8,16,32,64,128,256,512,1024,2048,4096,8192,16384,32768}),2)*(1-MOD(INT(($CJ42+0)/{2,4,8,16,32,64,128,256,512,1024,2048,4096,8192,16384,32768}),2))*{2,4,8,16,32,64,128,256,512,1024,2048,4096,8192,16384,32768}),{2,4,8,16,32,64,128,256,512,1024,2048,4096,8192,16384,32768})=0))))</f>
        <v/>
      </c>
      <c r="Z222">
        <f>Y222+IF(AND(Z132&gt;0,COUNTIF($Y132:Y132,Z132)=0),0,IF(SUMPRODUCT(MOD(INT(Z177/{2,4,8,16,32,64,128,256,512,1024,2048,4096,8192,16384,32768}),2)*(1-MOD(INT(($CJ42+Y222)/{2,4,8,16,32,64,128,256,512,1024,2048,4096,8192,16384,32768}),2))*{2,4,8,16,32,64,128,256,512,1024,2048,4096,8192,16384,32768})=0,0,2^SUMPRODUCT(--(MOD(SUMPRODUCT(MOD(INT(Z177/{2,4,8,16,32,64,128,256,512,1024,2048,4096,8192,16384,32768}),2)*(1-MOD(INT(($CJ42+Y222)/{2,4,8,16,32,64,128,256,512,1024,2048,4096,8192,16384,32768}),2))*{2,4,8,16,32,64,128,256,512,1024,2048,4096,8192,16384,32768}),{2,4,8,16,32,64,128,256,512,1024,2048,4096,8192,16384,32768})=0))))</f>
        <v/>
      </c>
      <c r="AA222">
        <f>Z222+IF(AND(AA132&gt;0,COUNTIF($Y132:Z132,AA132)=0),0,IF(SUMPRODUCT(MOD(INT(AA177/{2,4,8,16,32,64,128,256,512,1024,2048,4096,8192,16384,32768}),2)*(1-MOD(INT(($CJ42+Z222)/{2,4,8,16,32,64,128,256,512,1024,2048,4096,8192,16384,32768}),2))*{2,4,8,16,32,64,128,256,512,1024,2048,4096,8192,16384,32768})=0,0,2^SUMPRODUCT(--(MOD(SUMPRODUCT(MOD(INT(AA177/{2,4,8,16,32,64,128,256,512,1024,2048,4096,8192,16384,32768}),2)*(1-MOD(INT(($CJ42+Z222)/{2,4,8,16,32,64,128,256,512,1024,2048,4096,8192,16384,32768}),2))*{2,4,8,16,32,64,128,256,512,1024,2048,4096,8192,16384,32768}),{2,4,8,16,32,64,128,256,512,1024,2048,4096,8192,16384,32768})=0))))</f>
        <v/>
      </c>
      <c r="AB222">
        <f>AA222+IF(AND(AB132&gt;0,COUNTIF($Y132:AA132,AB132)=0),0,IF(SUMPRODUCT(MOD(INT(AB177/{2,4,8,16,32,64,128,256,512,1024,2048,4096,8192,16384,32768}),2)*(1-MOD(INT(($CJ42+AA222)/{2,4,8,16,32,64,128,256,512,1024,2048,4096,8192,16384,32768}),2))*{2,4,8,16,32,64,128,256,512,1024,2048,4096,8192,16384,32768})=0,0,2^SUMPRODUCT(--(MOD(SUMPRODUCT(MOD(INT(AB177/{2,4,8,16,32,64,128,256,512,1024,2048,4096,8192,16384,32768}),2)*(1-MOD(INT(($CJ42+AA222)/{2,4,8,16,32,64,128,256,512,1024,2048,4096,8192,16384,32768}),2))*{2,4,8,16,32,64,128,256,512,1024,2048,4096,8192,16384,32768}),{2,4,8,16,32,64,128,256,512,1024,2048,4096,8192,16384,32768})=0))))</f>
        <v/>
      </c>
      <c r="AC222">
        <f>AB222+IF(AND(AC132&gt;0,COUNTIF($Y132:AB132,AC132)=0),0,IF(SUMPRODUCT(MOD(INT(AC177/{2,4,8,16,32,64,128,256,512,1024,2048,4096,8192,16384,32768}),2)*(1-MOD(INT(($CJ42+AB222)/{2,4,8,16,32,64,128,256,512,1024,2048,4096,8192,16384,32768}),2))*{2,4,8,16,32,64,128,256,512,1024,2048,4096,8192,16384,32768})=0,0,2^SUMPRODUCT(--(MOD(SUMPRODUCT(MOD(INT(AC177/{2,4,8,16,32,64,128,256,512,1024,2048,4096,8192,16384,32768}),2)*(1-MOD(INT(($CJ42+AB222)/{2,4,8,16,32,64,128,256,512,1024,2048,4096,8192,16384,32768}),2))*{2,4,8,16,32,64,128,256,512,1024,2048,4096,8192,16384,32768}),{2,4,8,16,32,64,128,256,512,1024,2048,4096,8192,16384,32768})=0))))</f>
        <v/>
      </c>
      <c r="AD222">
        <f>AC222+IF(AND(AD132&gt;0,COUNTIF($Y132:AC132,AD132)=0),0,IF(SUMPRODUCT(MOD(INT(AD177/{2,4,8,16,32,64,128,256,512,1024,2048,4096,8192,16384,32768}),2)*(1-MOD(INT(($CJ42+AC222)/{2,4,8,16,32,64,128,256,512,1024,2048,4096,8192,16384,32768}),2))*{2,4,8,16,32,64,128,256,512,1024,2048,4096,8192,16384,32768})=0,0,2^SUMPRODUCT(--(MOD(SUMPRODUCT(MOD(INT(AD177/{2,4,8,16,32,64,128,256,512,1024,2048,4096,8192,16384,32768}),2)*(1-MOD(INT(($CJ42+AC222)/{2,4,8,16,32,64,128,256,512,1024,2048,4096,8192,16384,32768}),2))*{2,4,8,16,32,64,128,256,512,1024,2048,4096,8192,16384,32768}),{2,4,8,16,32,64,128,256,512,1024,2048,4096,8192,16384,32768})=0))))</f>
        <v/>
      </c>
      <c r="AE222">
        <f>AD222+IF(AND(AE132&gt;0,COUNTIF($Y132:AD132,AE132)=0),0,IF(SUMPRODUCT(MOD(INT(AE177/{2,4,8,16,32,64,128,256,512,1024,2048,4096,8192,16384,32768}),2)*(1-MOD(INT(($CJ42+AD222)/{2,4,8,16,32,64,128,256,512,1024,2048,4096,8192,16384,32768}),2))*{2,4,8,16,32,64,128,256,512,1024,2048,4096,8192,16384,32768})=0,0,2^SUMPRODUCT(--(MOD(SUMPRODUCT(MOD(INT(AE177/{2,4,8,16,32,64,128,256,512,1024,2048,4096,8192,16384,32768}),2)*(1-MOD(INT(($CJ42+AD222)/{2,4,8,16,32,64,128,256,512,1024,2048,4096,8192,16384,32768}),2))*{2,4,8,16,32,64,128,256,512,1024,2048,4096,8192,16384,32768}),{2,4,8,16,32,64,128,256,512,1024,2048,4096,8192,16384,32768})=0))))</f>
        <v/>
      </c>
      <c r="AF222">
        <f>AE222+IF(AND(AF132&gt;0,COUNTIF($Y132:AE132,AF132)=0),0,IF(SUMPRODUCT(MOD(INT(AF177/{2,4,8,16,32,64,128,256,512,1024,2048,4096,8192,16384,32768}),2)*(1-MOD(INT(($CJ42+AE222)/{2,4,8,16,32,64,128,256,512,1024,2048,4096,8192,16384,32768}),2))*{2,4,8,16,32,64,128,256,512,1024,2048,4096,8192,16384,32768})=0,0,2^SUMPRODUCT(--(MOD(SUMPRODUCT(MOD(INT(AF177/{2,4,8,16,32,64,128,256,512,1024,2048,4096,8192,16384,32768}),2)*(1-MOD(INT(($CJ42+AE222)/{2,4,8,16,32,64,128,256,512,1024,2048,4096,8192,16384,32768}),2))*{2,4,8,16,32,64,128,256,512,1024,2048,4096,8192,16384,32768}),{2,4,8,16,32,64,128,256,512,1024,2048,4096,8192,16384,32768})=0))))</f>
        <v/>
      </c>
      <c r="AG222">
        <f>AF222+IF(AND(AG132&gt;0,COUNTIF($Y132:AF132,AG132)=0),0,IF(SUMPRODUCT(MOD(INT(AG177/{2,4,8,16,32,64,128,256,512,1024,2048,4096,8192,16384,32768}),2)*(1-MOD(INT(($CJ42+AF222)/{2,4,8,16,32,64,128,256,512,1024,2048,4096,8192,16384,32768}),2))*{2,4,8,16,32,64,128,256,512,1024,2048,4096,8192,16384,32768})=0,0,2^SUMPRODUCT(--(MOD(SUMPRODUCT(MOD(INT(AG177/{2,4,8,16,32,64,128,256,512,1024,2048,4096,8192,16384,32768}),2)*(1-MOD(INT(($CJ42+AF222)/{2,4,8,16,32,64,128,256,512,1024,2048,4096,8192,16384,32768}),2))*{2,4,8,16,32,64,128,256,512,1024,2048,4096,8192,16384,32768}),{2,4,8,16,32,64,128,256,512,1024,2048,4096,8192,16384,32768})=0))))</f>
        <v/>
      </c>
      <c r="AH222">
        <f>AG222+IF(AND(AH132&gt;0,COUNTIF($Y132:AG132,AH132)=0),0,IF(SUMPRODUCT(MOD(INT(AH177/{2,4,8,16,32,64,128,256,512,1024,2048,4096,8192,16384,32768}),2)*(1-MOD(INT(($CJ42+AG222)/{2,4,8,16,32,64,128,256,512,1024,2048,4096,8192,16384,32768}),2))*{2,4,8,16,32,64,128,256,512,1024,2048,4096,8192,16384,32768})=0,0,2^SUMPRODUCT(--(MOD(SUMPRODUCT(MOD(INT(AH177/{2,4,8,16,32,64,128,256,512,1024,2048,4096,8192,16384,32768}),2)*(1-MOD(INT(($CJ42+AG222)/{2,4,8,16,32,64,128,256,512,1024,2048,4096,8192,16384,32768}),2))*{2,4,8,16,32,64,128,256,512,1024,2048,4096,8192,16384,32768}),{2,4,8,16,32,64,128,256,512,1024,2048,4096,8192,16384,32768})=0))))</f>
        <v/>
      </c>
      <c r="AI222">
        <f>AH222+IF(AND(AI132&gt;0,COUNTIF($Y132:AH132,AI132)=0),0,IF(SUMPRODUCT(MOD(INT(AI177/{2,4,8,16,32,64,128,256,512,1024,2048,4096,8192,16384,32768}),2)*(1-MOD(INT(($CJ42+AH222)/{2,4,8,16,32,64,128,256,512,1024,2048,4096,8192,16384,32768}),2))*{2,4,8,16,32,64,128,256,512,1024,2048,4096,8192,16384,32768})=0,0,2^SUMPRODUCT(--(MOD(SUMPRODUCT(MOD(INT(AI177/{2,4,8,16,32,64,128,256,512,1024,2048,4096,8192,16384,32768}),2)*(1-MOD(INT(($CJ42+AH222)/{2,4,8,16,32,64,128,256,512,1024,2048,4096,8192,16384,32768}),2))*{2,4,8,16,32,64,128,256,512,1024,2048,4096,8192,16384,32768}),{2,4,8,16,32,64,128,256,512,1024,2048,4096,8192,16384,32768})=0))))</f>
        <v/>
      </c>
      <c r="AJ222">
        <f>AI222+IF(AND(AJ132&gt;0,COUNTIF($Y132:AI132,AJ132)=0),0,IF(SUMPRODUCT(MOD(INT(AJ177/{2,4,8,16,32,64,128,256,512,1024,2048,4096,8192,16384,32768}),2)*(1-MOD(INT(($CJ42+AI222)/{2,4,8,16,32,64,128,256,512,1024,2048,4096,8192,16384,32768}),2))*{2,4,8,16,32,64,128,256,512,1024,2048,4096,8192,16384,32768})=0,0,2^SUMPRODUCT(--(MOD(SUMPRODUCT(MOD(INT(AJ177/{2,4,8,16,32,64,128,256,512,1024,2048,4096,8192,16384,32768}),2)*(1-MOD(INT(($CJ42+AI222)/{2,4,8,16,32,64,128,256,512,1024,2048,4096,8192,16384,32768}),2))*{2,4,8,16,32,64,128,256,512,1024,2048,4096,8192,16384,32768}),{2,4,8,16,32,64,128,256,512,1024,2048,4096,8192,16384,32768})=0))))</f>
        <v/>
      </c>
      <c r="AK222">
        <f>AJ222+IF(AND(AK132&gt;0,COUNTIF($Y132:AJ132,AK132)=0),0,IF(SUMPRODUCT(MOD(INT(AK177/{2,4,8,16,32,64,128,256,512,1024,2048,4096,8192,16384,32768}),2)*(1-MOD(INT(($CJ42+AJ222)/{2,4,8,16,32,64,128,256,512,1024,2048,4096,8192,16384,32768}),2))*{2,4,8,16,32,64,128,256,512,1024,2048,4096,8192,16384,32768})=0,0,2^SUMPRODUCT(--(MOD(SUMPRODUCT(MOD(INT(AK177/{2,4,8,16,32,64,128,256,512,1024,2048,4096,8192,16384,32768}),2)*(1-MOD(INT(($CJ42+AJ222)/{2,4,8,16,32,64,128,256,512,1024,2048,4096,8192,16384,32768}),2))*{2,4,8,16,32,64,128,256,512,1024,2048,4096,8192,16384,32768}),{2,4,8,16,32,64,128,256,512,1024,2048,4096,8192,16384,32768})=0))))</f>
        <v/>
      </c>
      <c r="AL222">
        <f>AK222+IF(AND(AL132&gt;0,COUNTIF($Y132:AK132,AL132)=0),0,IF(SUMPRODUCT(MOD(INT(AL177/{2,4,8,16,32,64,128,256,512,1024,2048,4096,8192,16384,32768}),2)*(1-MOD(INT(($CJ42+AK222)/{2,4,8,16,32,64,128,256,512,1024,2048,4096,8192,16384,32768}),2))*{2,4,8,16,32,64,128,256,512,1024,2048,4096,8192,16384,32768})=0,0,2^SUMPRODUCT(--(MOD(SUMPRODUCT(MOD(INT(AL177/{2,4,8,16,32,64,128,256,512,1024,2048,4096,8192,16384,32768}),2)*(1-MOD(INT(($CJ42+AK222)/{2,4,8,16,32,64,128,256,512,1024,2048,4096,8192,16384,32768}),2))*{2,4,8,16,32,64,128,256,512,1024,2048,4096,8192,16384,32768}),{2,4,8,16,32,64,128,256,512,1024,2048,4096,8192,16384,32768})=0))))</f>
        <v/>
      </c>
      <c r="AM222">
        <f>AL222+IF(AND(AM132&gt;0,COUNTIF($Y132:AL132,AM132)=0),0,IF(SUMPRODUCT(MOD(INT(AM177/{2,4,8,16,32,64,128,256,512,1024,2048,4096,8192,16384,32768}),2)*(1-MOD(INT(($CJ42+AL222)/{2,4,8,16,32,64,128,256,512,1024,2048,4096,8192,16384,32768}),2))*{2,4,8,16,32,64,128,256,512,1024,2048,4096,8192,16384,32768})=0,0,2^SUMPRODUCT(--(MOD(SUMPRODUCT(MOD(INT(AM177/{2,4,8,16,32,64,128,256,512,1024,2048,4096,8192,16384,32768}),2)*(1-MOD(INT(($CJ42+AL222)/{2,4,8,16,32,64,128,256,512,1024,2048,4096,8192,16384,32768}),2))*{2,4,8,16,32,64,128,256,512,1024,2048,4096,8192,16384,32768}),{2,4,8,16,32,64,128,256,512,1024,2048,4096,8192,16384,32768})=0))))</f>
        <v/>
      </c>
      <c r="AN222">
        <f>AM222+IF(AND(AN132&gt;0,COUNTIF($Y132:AM132,AN132)=0),0,IF(SUMPRODUCT(MOD(INT(AN177/{2,4,8,16,32,64,128,256,512,1024,2048,4096,8192,16384,32768}),2)*(1-MOD(INT(($CJ42+AM222)/{2,4,8,16,32,64,128,256,512,1024,2048,4096,8192,16384,32768}),2))*{2,4,8,16,32,64,128,256,512,1024,2048,4096,8192,16384,32768})=0,0,2^SUMPRODUCT(--(MOD(SUMPRODUCT(MOD(INT(AN177/{2,4,8,16,32,64,128,256,512,1024,2048,4096,8192,16384,32768}),2)*(1-MOD(INT(($CJ42+AM222)/{2,4,8,16,32,64,128,256,512,1024,2048,4096,8192,16384,32768}),2))*{2,4,8,16,32,64,128,256,512,1024,2048,4096,8192,16384,32768}),{2,4,8,16,32,64,128,256,512,1024,2048,4096,8192,16384,32768})=0))))</f>
        <v/>
      </c>
      <c r="AO222">
        <f>AN222+IF(AND(AO132&gt;0,COUNTIF($Y132:AN132,AO132)=0),0,IF(SUMPRODUCT(MOD(INT(AO177/{2,4,8,16,32,64,128,256,512,1024,2048,4096,8192,16384,32768}),2)*(1-MOD(INT(($CJ42+AN222)/{2,4,8,16,32,64,128,256,512,1024,2048,4096,8192,16384,32768}),2))*{2,4,8,16,32,64,128,256,512,1024,2048,4096,8192,16384,32768})=0,0,2^SUMPRODUCT(--(MOD(SUMPRODUCT(MOD(INT(AO177/{2,4,8,16,32,64,128,256,512,1024,2048,4096,8192,16384,32768}),2)*(1-MOD(INT(($CJ42+AN222)/{2,4,8,16,32,64,128,256,512,1024,2048,4096,8192,16384,32768}),2))*{2,4,8,16,32,64,128,256,512,1024,2048,4096,8192,16384,32768}),{2,4,8,16,32,64,128,256,512,1024,2048,4096,8192,16384,32768})=0))))</f>
        <v/>
      </c>
      <c r="AP222">
        <f>AO222+IF(AND(AP132&gt;0,COUNTIF($Y132:AO132,AP132)=0),0,IF(SUMPRODUCT(MOD(INT(AP177/{2,4,8,16,32,64,128,256,512,1024,2048,4096,8192,16384,32768}),2)*(1-MOD(INT(($CJ42+AO222)/{2,4,8,16,32,64,128,256,512,1024,2048,4096,8192,16384,32768}),2))*{2,4,8,16,32,64,128,256,512,1024,2048,4096,8192,16384,32768})=0,0,2^SUMPRODUCT(--(MOD(SUMPRODUCT(MOD(INT(AP177/{2,4,8,16,32,64,128,256,512,1024,2048,4096,8192,16384,32768}),2)*(1-MOD(INT(($CJ42+AO222)/{2,4,8,16,32,64,128,256,512,1024,2048,4096,8192,16384,32768}),2))*{2,4,8,16,32,64,128,256,512,1024,2048,4096,8192,16384,32768}),{2,4,8,16,32,64,128,256,512,1024,2048,4096,8192,16384,32768})=0))))</f>
        <v/>
      </c>
      <c r="AQ222">
        <f>AP222+IF(AND(AQ132&gt;0,COUNTIF($Y132:AP132,AQ132)=0),0,IF(SUMPRODUCT(MOD(INT(AQ177/{2,4,8,16,32,64,128,256,512,1024,2048,4096,8192,16384,32768}),2)*(1-MOD(INT(($CJ42+AP222)/{2,4,8,16,32,64,128,256,512,1024,2048,4096,8192,16384,32768}),2))*{2,4,8,16,32,64,128,256,512,1024,2048,4096,8192,16384,32768})=0,0,2^SUMPRODUCT(--(MOD(SUMPRODUCT(MOD(INT(AQ177/{2,4,8,16,32,64,128,256,512,1024,2048,4096,8192,16384,32768}),2)*(1-MOD(INT(($CJ42+AP222)/{2,4,8,16,32,64,128,256,512,1024,2048,4096,8192,16384,32768}),2))*{2,4,8,16,32,64,128,256,512,1024,2048,4096,8192,16384,32768}),{2,4,8,16,32,64,128,256,512,1024,2048,4096,8192,16384,32768})=0))))</f>
        <v/>
      </c>
      <c r="AR222">
        <f>AQ222+IF(AND(AR132&gt;0,COUNTIF($Y132:AQ132,AR132)=0),0,IF(SUMPRODUCT(MOD(INT(AR177/{2,4,8,16,32,64,128,256,512,1024,2048,4096,8192,16384,32768}),2)*(1-MOD(INT(($CJ42+AQ222)/{2,4,8,16,32,64,128,256,512,1024,2048,4096,8192,16384,32768}),2))*{2,4,8,16,32,64,128,256,512,1024,2048,4096,8192,16384,32768})=0,0,2^SUMPRODUCT(--(MOD(SUMPRODUCT(MOD(INT(AR177/{2,4,8,16,32,64,128,256,512,1024,2048,4096,8192,16384,32768}),2)*(1-MOD(INT(($CJ42+AQ222)/{2,4,8,16,32,64,128,256,512,1024,2048,4096,8192,16384,32768}),2))*{2,4,8,16,32,64,128,256,512,1024,2048,4096,8192,16384,32768}),{2,4,8,16,32,64,128,256,512,1024,2048,4096,8192,16384,32768})=0))))</f>
        <v/>
      </c>
      <c r="AS222">
        <f>AR222+IF(AND(AS132&gt;0,COUNTIF($Y132:AR132,AS132)=0),0,IF(SUMPRODUCT(MOD(INT(AS177/{2,4,8,16,32,64,128,256,512,1024,2048,4096,8192,16384,32768}),2)*(1-MOD(INT(($CJ42+AR222)/{2,4,8,16,32,64,128,256,512,1024,2048,4096,8192,16384,32768}),2))*{2,4,8,16,32,64,128,256,512,1024,2048,4096,8192,16384,32768})=0,0,2^SUMPRODUCT(--(MOD(SUMPRODUCT(MOD(INT(AS177/{2,4,8,16,32,64,128,256,512,1024,2048,4096,8192,16384,32768}),2)*(1-MOD(INT(($CJ42+AR222)/{2,4,8,16,32,64,128,256,512,1024,2048,4096,8192,16384,32768}),2))*{2,4,8,16,32,64,128,256,512,1024,2048,4096,8192,16384,32768}),{2,4,8,16,32,64,128,256,512,1024,2048,4096,8192,16384,32768})=0))))</f>
        <v/>
      </c>
      <c r="AT222">
        <f>AS222+IF(AND(AT132&gt;0,COUNTIF($Y132:AS132,AT132)=0),0,IF(SUMPRODUCT(MOD(INT(AT177/{2,4,8,16,32,64,128,256,512,1024,2048,4096,8192,16384,32768}),2)*(1-MOD(INT(($CJ42+AS222)/{2,4,8,16,32,64,128,256,512,1024,2048,4096,8192,16384,32768}),2))*{2,4,8,16,32,64,128,256,512,1024,2048,4096,8192,16384,32768})=0,0,2^SUMPRODUCT(--(MOD(SUMPRODUCT(MOD(INT(AT177/{2,4,8,16,32,64,128,256,512,1024,2048,4096,8192,16384,32768}),2)*(1-MOD(INT(($CJ42+AS222)/{2,4,8,16,32,64,128,256,512,1024,2048,4096,8192,16384,32768}),2))*{2,4,8,16,32,64,128,256,512,1024,2048,4096,8192,16384,32768}),{2,4,8,16,32,64,128,256,512,1024,2048,4096,8192,16384,32768})=0))))</f>
        <v/>
      </c>
      <c r="AU222">
        <f>AT222+IF(AND(AU132&gt;0,COUNTIF($Y132:AT132,AU132)=0),0,IF(SUMPRODUCT(MOD(INT(AU177/{2,4,8,16,32,64,128,256,512,1024,2048,4096,8192,16384,32768}),2)*(1-MOD(INT(($CJ42+AT222)/{2,4,8,16,32,64,128,256,512,1024,2048,4096,8192,16384,32768}),2))*{2,4,8,16,32,64,128,256,512,1024,2048,4096,8192,16384,32768})=0,0,2^SUMPRODUCT(--(MOD(SUMPRODUCT(MOD(INT(AU177/{2,4,8,16,32,64,128,256,512,1024,2048,4096,8192,16384,32768}),2)*(1-MOD(INT(($CJ42+AT222)/{2,4,8,16,32,64,128,256,512,1024,2048,4096,8192,16384,32768}),2))*{2,4,8,16,32,64,128,256,512,1024,2048,4096,8192,16384,32768}),{2,4,8,16,32,64,128,256,512,1024,2048,4096,8192,16384,32768})=0))))</f>
        <v/>
      </c>
      <c r="AV222">
        <f>AU222+IF(AND(AV132&gt;0,COUNTIF($Y132:AU132,AV132)=0),0,IF(SUMPRODUCT(MOD(INT(AV177/{2,4,8,16,32,64,128,256,512,1024,2048,4096,8192,16384,32768}),2)*(1-MOD(INT(($CJ42+AU222)/{2,4,8,16,32,64,128,256,512,1024,2048,4096,8192,16384,32768}),2))*{2,4,8,16,32,64,128,256,512,1024,2048,4096,8192,16384,32768})=0,0,2^SUMPRODUCT(--(MOD(SUMPRODUCT(MOD(INT(AV177/{2,4,8,16,32,64,128,256,512,1024,2048,4096,8192,16384,32768}),2)*(1-MOD(INT(($CJ42+AU222)/{2,4,8,16,32,64,128,256,512,1024,2048,4096,8192,16384,32768}),2))*{2,4,8,16,32,64,128,256,512,1024,2048,4096,8192,16384,32768}),{2,4,8,16,32,64,128,256,512,1024,2048,4096,8192,16384,32768})=0))))</f>
        <v/>
      </c>
      <c r="AW222">
        <f>AV222+IF(AND(AW132&gt;0,COUNTIF($Y132:AV132,AW132)=0),0,IF(SUMPRODUCT(MOD(INT(AW177/{2,4,8,16,32,64,128,256,512,1024,2048,4096,8192,16384,32768}),2)*(1-MOD(INT(($CJ42+AV222)/{2,4,8,16,32,64,128,256,512,1024,2048,4096,8192,16384,32768}),2))*{2,4,8,16,32,64,128,256,512,1024,2048,4096,8192,16384,32768})=0,0,2^SUMPRODUCT(--(MOD(SUMPRODUCT(MOD(INT(AW177/{2,4,8,16,32,64,128,256,512,1024,2048,4096,8192,16384,32768}),2)*(1-MOD(INT(($CJ42+AV222)/{2,4,8,16,32,64,128,256,512,1024,2048,4096,8192,16384,32768}),2))*{2,4,8,16,32,64,128,256,512,1024,2048,4096,8192,16384,32768}),{2,4,8,16,32,64,128,256,512,1024,2048,4096,8192,16384,32768})=0))))</f>
        <v/>
      </c>
      <c r="AX222">
        <f>AW222+IF(AND(AX132&gt;0,COUNTIF($Y132:AW132,AX132)=0),0,IF(SUMPRODUCT(MOD(INT(AX177/{2,4,8,16,32,64,128,256,512,1024,2048,4096,8192,16384,32768}),2)*(1-MOD(INT(($CJ42+AW222)/{2,4,8,16,32,64,128,256,512,1024,2048,4096,8192,16384,32768}),2))*{2,4,8,16,32,64,128,256,512,1024,2048,4096,8192,16384,32768})=0,0,2^SUMPRODUCT(--(MOD(SUMPRODUCT(MOD(INT(AX177/{2,4,8,16,32,64,128,256,512,1024,2048,4096,8192,16384,32768}),2)*(1-MOD(INT(($CJ42+AW222)/{2,4,8,16,32,64,128,256,512,1024,2048,4096,8192,16384,32768}),2))*{2,4,8,16,32,64,128,256,512,1024,2048,4096,8192,16384,32768}),{2,4,8,16,32,64,128,256,512,1024,2048,4096,8192,16384,32768})=0))))</f>
        <v/>
      </c>
      <c r="AY222">
        <f>AX222+IF(AND(AY132&gt;0,COUNTIF($Y132:AX132,AY132)=0),0,IF(SUMPRODUCT(MOD(INT(AY177/{2,4,8,16,32,64,128,256,512,1024,2048,4096,8192,16384,32768}),2)*(1-MOD(INT(($CJ42+AX222)/{2,4,8,16,32,64,128,256,512,1024,2048,4096,8192,16384,32768}),2))*{2,4,8,16,32,64,128,256,512,1024,2048,4096,8192,16384,32768})=0,0,2^SUMPRODUCT(--(MOD(SUMPRODUCT(MOD(INT(AY177/{2,4,8,16,32,64,128,256,512,1024,2048,4096,8192,16384,32768}),2)*(1-MOD(INT(($CJ42+AX222)/{2,4,8,16,32,64,128,256,512,1024,2048,4096,8192,16384,32768}),2))*{2,4,8,16,32,64,128,256,512,1024,2048,4096,8192,16384,32768}),{2,4,8,16,32,64,128,256,512,1024,2048,4096,8192,16384,32768})=0))))</f>
        <v/>
      </c>
      <c r="AZ222">
        <f>AY222+IF(AND(AZ132&gt;0,COUNTIF($Y132:AY132,AZ132)=0),0,IF(SUMPRODUCT(MOD(INT(AZ177/{2,4,8,16,32,64,128,256,512,1024,2048,4096,8192,16384,32768}),2)*(1-MOD(INT(($CJ42+AY222)/{2,4,8,16,32,64,128,256,512,1024,2048,4096,8192,16384,32768}),2))*{2,4,8,16,32,64,128,256,512,1024,2048,4096,8192,16384,32768})=0,0,2^SUMPRODUCT(--(MOD(SUMPRODUCT(MOD(INT(AZ177/{2,4,8,16,32,64,128,256,512,1024,2048,4096,8192,16384,32768}),2)*(1-MOD(INT(($CJ42+AY222)/{2,4,8,16,32,64,128,256,512,1024,2048,4096,8192,16384,32768}),2))*{2,4,8,16,32,64,128,256,512,1024,2048,4096,8192,16384,32768}),{2,4,8,16,32,64,128,256,512,1024,2048,4096,8192,16384,32768})=0))))</f>
        <v/>
      </c>
      <c r="BA222">
        <f>AZ222+IF(AND(BA132&gt;0,COUNTIF($Y132:AZ132,BA132)=0),0,IF(SUMPRODUCT(MOD(INT(BA177/{2,4,8,16,32,64,128,256,512,1024,2048,4096,8192,16384,32768}),2)*(1-MOD(INT(($CJ42+AZ222)/{2,4,8,16,32,64,128,256,512,1024,2048,4096,8192,16384,32768}),2))*{2,4,8,16,32,64,128,256,512,1024,2048,4096,8192,16384,32768})=0,0,2^SUMPRODUCT(--(MOD(SUMPRODUCT(MOD(INT(BA177/{2,4,8,16,32,64,128,256,512,1024,2048,4096,8192,16384,32768}),2)*(1-MOD(INT(($CJ42+AZ222)/{2,4,8,16,32,64,128,256,512,1024,2048,4096,8192,16384,32768}),2))*{2,4,8,16,32,64,128,256,512,1024,2048,4096,8192,16384,32768}),{2,4,8,16,32,64,128,256,512,1024,2048,4096,8192,16384,32768})=0))))</f>
        <v/>
      </c>
      <c r="BB222">
        <f>BA222+IF(AND(BB132&gt;0,COUNTIF($Y132:BA132,BB132)=0),0,IF(SUMPRODUCT(MOD(INT(BB177/{2,4,8,16,32,64,128,256,512,1024,2048,4096,8192,16384,32768}),2)*(1-MOD(INT(($CJ42+BA222)/{2,4,8,16,32,64,128,256,512,1024,2048,4096,8192,16384,32768}),2))*{2,4,8,16,32,64,128,256,512,1024,2048,4096,8192,16384,32768})=0,0,2^SUMPRODUCT(--(MOD(SUMPRODUCT(MOD(INT(BB177/{2,4,8,16,32,64,128,256,512,1024,2048,4096,8192,16384,32768}),2)*(1-MOD(INT(($CJ42+BA222)/{2,4,8,16,32,64,128,256,512,1024,2048,4096,8192,16384,32768}),2))*{2,4,8,16,32,64,128,256,512,1024,2048,4096,8192,16384,32768}),{2,4,8,16,32,64,128,256,512,1024,2048,4096,8192,16384,32768})=0))))</f>
        <v/>
      </c>
      <c r="BC222">
        <f>BB222+IF(AND(BC132&gt;0,COUNTIF($Y132:BB132,BC132)=0),0,IF(SUMPRODUCT(MOD(INT(BC177/{2,4,8,16,32,64,128,256,512,1024,2048,4096,8192,16384,32768}),2)*(1-MOD(INT(($CJ42+BB222)/{2,4,8,16,32,64,128,256,512,1024,2048,4096,8192,16384,32768}),2))*{2,4,8,16,32,64,128,256,512,1024,2048,4096,8192,16384,32768})=0,0,2^SUMPRODUCT(--(MOD(SUMPRODUCT(MOD(INT(BC177/{2,4,8,16,32,64,128,256,512,1024,2048,4096,8192,16384,32768}),2)*(1-MOD(INT(($CJ42+BB222)/{2,4,8,16,32,64,128,256,512,1024,2048,4096,8192,16384,32768}),2))*{2,4,8,16,32,64,128,256,512,1024,2048,4096,8192,16384,32768}),{2,4,8,16,32,64,128,256,512,1024,2048,4096,8192,16384,32768})=0))))</f>
        <v/>
      </c>
      <c r="BD222">
        <f>BC222+IF(AND(BD132&gt;0,COUNTIF($Y132:BC132,BD132)=0),0,IF(SUMPRODUCT(MOD(INT(BD177/{2,4,8,16,32,64,128,256,512,1024,2048,4096,8192,16384,32768}),2)*(1-MOD(INT(($CJ42+BC222)/{2,4,8,16,32,64,128,256,512,1024,2048,4096,8192,16384,32768}),2))*{2,4,8,16,32,64,128,256,512,1024,2048,4096,8192,16384,32768})=0,0,2^SUMPRODUCT(--(MOD(SUMPRODUCT(MOD(INT(BD177/{2,4,8,16,32,64,128,256,512,1024,2048,4096,8192,16384,32768}),2)*(1-MOD(INT(($CJ42+BC222)/{2,4,8,16,32,64,128,256,512,1024,2048,4096,8192,16384,32768}),2))*{2,4,8,16,32,64,128,256,512,1024,2048,4096,8192,16384,32768}),{2,4,8,16,32,64,128,256,512,1024,2048,4096,8192,16384,32768})=0))))</f>
        <v/>
      </c>
      <c r="BE222">
        <f>BD222+IF(AND(BE132&gt;0,COUNTIF($Y132:BD132,BE132)=0),0,IF(SUMPRODUCT(MOD(INT(BE177/{2,4,8,16,32,64,128,256,512,1024,2048,4096,8192,16384,32768}),2)*(1-MOD(INT(($CJ42+BD222)/{2,4,8,16,32,64,128,256,512,1024,2048,4096,8192,16384,32768}),2))*{2,4,8,16,32,64,128,256,512,1024,2048,4096,8192,16384,32768})=0,0,2^SUMPRODUCT(--(MOD(SUMPRODUCT(MOD(INT(BE177/{2,4,8,16,32,64,128,256,512,1024,2048,4096,8192,16384,32768}),2)*(1-MOD(INT(($CJ42+BD222)/{2,4,8,16,32,64,128,256,512,1024,2048,4096,8192,16384,32768}),2))*{2,4,8,16,32,64,128,256,512,1024,2048,4096,8192,16384,32768}),{2,4,8,16,32,64,128,256,512,1024,2048,4096,8192,16384,32768})=0))))</f>
        <v/>
      </c>
      <c r="BF222">
        <f>BE222+IF(AND(BF132&gt;0,COUNTIF($Y132:BE132,BF132)=0),0,IF(SUMPRODUCT(MOD(INT(BF177/{2,4,8,16,32,64,128,256,512,1024,2048,4096,8192,16384,32768}),2)*(1-MOD(INT(($CJ42+BE222)/{2,4,8,16,32,64,128,256,512,1024,2048,4096,8192,16384,32768}),2))*{2,4,8,16,32,64,128,256,512,1024,2048,4096,8192,16384,32768})=0,0,2^SUMPRODUCT(--(MOD(SUMPRODUCT(MOD(INT(BF177/{2,4,8,16,32,64,128,256,512,1024,2048,4096,8192,16384,32768}),2)*(1-MOD(INT(($CJ42+BE222)/{2,4,8,16,32,64,128,256,512,1024,2048,4096,8192,16384,32768}),2))*{2,4,8,16,32,64,128,256,512,1024,2048,4096,8192,16384,32768}),{2,4,8,16,32,64,128,256,512,1024,2048,4096,8192,16384,32768})=0))))</f>
        <v/>
      </c>
      <c r="BG222">
        <f>BF222+IF(AND(BG132&gt;0,COUNTIF($Y132:BF132,BG132)=0),0,IF(SUMPRODUCT(MOD(INT(BG177/{2,4,8,16,32,64,128,256,512,1024,2048,4096,8192,16384,32768}),2)*(1-MOD(INT(($CJ42+BF222)/{2,4,8,16,32,64,128,256,512,1024,2048,4096,8192,16384,32768}),2))*{2,4,8,16,32,64,128,256,512,1024,2048,4096,8192,16384,32768})=0,0,2^SUMPRODUCT(--(MOD(SUMPRODUCT(MOD(INT(BG177/{2,4,8,16,32,64,128,256,512,1024,2048,4096,8192,16384,32768}),2)*(1-MOD(INT(($CJ42+BF222)/{2,4,8,16,32,64,128,256,512,1024,2048,4096,8192,16384,32768}),2))*{2,4,8,16,32,64,128,256,512,1024,2048,4096,8192,16384,32768}),{2,4,8,16,32,64,128,256,512,1024,2048,4096,8192,16384,32768})=0))))</f>
        <v/>
      </c>
      <c r="BH222">
        <f>BG222+IF(AND(BH132&gt;0,COUNTIF($Y132:BG132,BH132)=0),0,IF(SUMPRODUCT(MOD(INT(BH177/{2,4,8,16,32,64,128,256,512,1024,2048,4096,8192,16384,32768}),2)*(1-MOD(INT(($CJ42+BG222)/{2,4,8,16,32,64,128,256,512,1024,2048,4096,8192,16384,32768}),2))*{2,4,8,16,32,64,128,256,512,1024,2048,4096,8192,16384,32768})=0,0,2^SUMPRODUCT(--(MOD(SUMPRODUCT(MOD(INT(BH177/{2,4,8,16,32,64,128,256,512,1024,2048,4096,8192,16384,32768}),2)*(1-MOD(INT(($CJ42+BG222)/{2,4,8,16,32,64,128,256,512,1024,2048,4096,8192,16384,32768}),2))*{2,4,8,16,32,64,128,256,512,1024,2048,4096,8192,16384,32768}),{2,4,8,16,32,64,128,256,512,1024,2048,4096,8192,16384,32768})=0))))</f>
        <v/>
      </c>
      <c r="BI222">
        <f>BH222+IF(AND(BI132&gt;0,COUNTIF($Y132:BH132,BI132)=0),0,IF(SUMPRODUCT(MOD(INT(BI177/{2,4,8,16,32,64,128,256,512,1024,2048,4096,8192,16384,32768}),2)*(1-MOD(INT(($CJ42+BH222)/{2,4,8,16,32,64,128,256,512,1024,2048,4096,8192,16384,32768}),2))*{2,4,8,16,32,64,128,256,512,1024,2048,4096,8192,16384,32768})=0,0,2^SUMPRODUCT(--(MOD(SUMPRODUCT(MOD(INT(BI177/{2,4,8,16,32,64,128,256,512,1024,2048,4096,8192,16384,32768}),2)*(1-MOD(INT(($CJ42+BH222)/{2,4,8,16,32,64,128,256,512,1024,2048,4096,8192,16384,32768}),2))*{2,4,8,16,32,64,128,256,512,1024,2048,4096,8192,16384,32768}),{2,4,8,16,32,64,128,256,512,1024,2048,4096,8192,16384,32768})=0))))</f>
        <v/>
      </c>
      <c r="BJ222">
        <f>BI222+IF(AND(BJ132&gt;0,COUNTIF($Y132:BI132,BJ132)=0),0,IF(SUMPRODUCT(MOD(INT(BJ177/{2,4,8,16,32,64,128,256,512,1024,2048,4096,8192,16384,32768}),2)*(1-MOD(INT(($CJ42+BI222)/{2,4,8,16,32,64,128,256,512,1024,2048,4096,8192,16384,32768}),2))*{2,4,8,16,32,64,128,256,512,1024,2048,4096,8192,16384,32768})=0,0,2^SUMPRODUCT(--(MOD(SUMPRODUCT(MOD(INT(BJ177/{2,4,8,16,32,64,128,256,512,1024,2048,4096,8192,16384,32768}),2)*(1-MOD(INT(($CJ42+BI222)/{2,4,8,16,32,64,128,256,512,1024,2048,4096,8192,16384,32768}),2))*{2,4,8,16,32,64,128,256,512,1024,2048,4096,8192,16384,32768}),{2,4,8,16,32,64,128,256,512,1024,2048,4096,8192,16384,32768})=0))))</f>
        <v/>
      </c>
      <c r="BK222">
        <f>BJ222+IF(AND(BK132&gt;0,COUNTIF($Y132:BJ132,BK132)=0),0,IF(SUMPRODUCT(MOD(INT(BK177/{2,4,8,16,32,64,128,256,512,1024,2048,4096,8192,16384,32768}),2)*(1-MOD(INT(($CJ42+BJ222)/{2,4,8,16,32,64,128,256,512,1024,2048,4096,8192,16384,32768}),2))*{2,4,8,16,32,64,128,256,512,1024,2048,4096,8192,16384,32768})=0,0,2^SUMPRODUCT(--(MOD(SUMPRODUCT(MOD(INT(BK177/{2,4,8,16,32,64,128,256,512,1024,2048,4096,8192,16384,32768}),2)*(1-MOD(INT(($CJ42+BJ222)/{2,4,8,16,32,64,128,256,512,1024,2048,4096,8192,16384,32768}),2))*{2,4,8,16,32,64,128,256,512,1024,2048,4096,8192,16384,32768}),{2,4,8,16,32,64,128,256,512,1024,2048,4096,8192,16384,32768})=0))))</f>
        <v/>
      </c>
      <c r="BL222">
        <f>BK222+IF(AND(BL132&gt;0,COUNTIF($Y132:BK132,BL132)=0),0,IF(SUMPRODUCT(MOD(INT(BL177/{2,4,8,16,32,64,128,256,512,1024,2048,4096,8192,16384,32768}),2)*(1-MOD(INT(($CJ42+BK222)/{2,4,8,16,32,64,128,256,512,1024,2048,4096,8192,16384,32768}),2))*{2,4,8,16,32,64,128,256,512,1024,2048,4096,8192,16384,32768})=0,0,2^SUMPRODUCT(--(MOD(SUMPRODUCT(MOD(INT(BL177/{2,4,8,16,32,64,128,256,512,1024,2048,4096,8192,16384,32768}),2)*(1-MOD(INT(($CJ42+BK222)/{2,4,8,16,32,64,128,256,512,1024,2048,4096,8192,16384,32768}),2))*{2,4,8,16,32,64,128,256,512,1024,2048,4096,8192,16384,32768}),{2,4,8,16,32,64,128,256,512,1024,2048,4096,8192,16384,32768})=0))))</f>
        <v/>
      </c>
      <c r="BM222">
        <f>BL222+IF(AND(BM132&gt;0,COUNTIF($Y132:BL132,BM132)=0),0,IF(SUMPRODUCT(MOD(INT(BM177/{2,4,8,16,32,64,128,256,512,1024,2048,4096,8192,16384,32768}),2)*(1-MOD(INT(($CJ42+BL222)/{2,4,8,16,32,64,128,256,512,1024,2048,4096,8192,16384,32768}),2))*{2,4,8,16,32,64,128,256,512,1024,2048,4096,8192,16384,32768})=0,0,2^SUMPRODUCT(--(MOD(SUMPRODUCT(MOD(INT(BM177/{2,4,8,16,32,64,128,256,512,1024,2048,4096,8192,16384,32768}),2)*(1-MOD(INT(($CJ42+BL222)/{2,4,8,16,32,64,128,256,512,1024,2048,4096,8192,16384,32768}),2))*{2,4,8,16,32,64,128,256,512,1024,2048,4096,8192,16384,32768}),{2,4,8,16,32,64,128,256,512,1024,2048,4096,8192,16384,32768})=0))))</f>
        <v/>
      </c>
      <c r="BN222">
        <f>BM222+IF(AND(BN132&gt;0,COUNTIF($Y132:BM132,BN132)=0),0,IF(SUMPRODUCT(MOD(INT(BN177/{2,4,8,16,32,64,128,256,512,1024,2048,4096,8192,16384,32768}),2)*(1-MOD(INT(($CJ42+BM222)/{2,4,8,16,32,64,128,256,512,1024,2048,4096,8192,16384,32768}),2))*{2,4,8,16,32,64,128,256,512,1024,2048,4096,8192,16384,32768})=0,0,2^SUMPRODUCT(--(MOD(SUMPRODUCT(MOD(INT(BN177/{2,4,8,16,32,64,128,256,512,1024,2048,4096,8192,16384,32768}),2)*(1-MOD(INT(($CJ42+BM222)/{2,4,8,16,32,64,128,256,512,1024,2048,4096,8192,16384,32768}),2))*{2,4,8,16,32,64,128,256,512,1024,2048,4096,8192,16384,32768}),{2,4,8,16,32,64,128,256,512,1024,2048,4096,8192,16384,32768})=0))))</f>
        <v/>
      </c>
      <c r="BO222">
        <f>BN222+IF(AND(BO132&gt;0,COUNTIF($Y132:BN132,BO132)=0),0,IF(SUMPRODUCT(MOD(INT(BO177/{2,4,8,16,32,64,128,256,512,1024,2048,4096,8192,16384,32768}),2)*(1-MOD(INT(($CJ42+BN222)/{2,4,8,16,32,64,128,256,512,1024,2048,4096,8192,16384,32768}),2))*{2,4,8,16,32,64,128,256,512,1024,2048,4096,8192,16384,32768})=0,0,2^SUMPRODUCT(--(MOD(SUMPRODUCT(MOD(INT(BO177/{2,4,8,16,32,64,128,256,512,1024,2048,4096,8192,16384,32768}),2)*(1-MOD(INT(($CJ42+BN222)/{2,4,8,16,32,64,128,256,512,1024,2048,4096,8192,16384,32768}),2))*{2,4,8,16,32,64,128,256,512,1024,2048,4096,8192,16384,32768}),{2,4,8,16,32,64,128,256,512,1024,2048,4096,8192,16384,32768})=0))))</f>
        <v/>
      </c>
      <c r="BP222">
        <f>BO222+IF(AND(BP132&gt;0,COUNTIF($Y132:BO132,BP132)=0),0,IF(SUMPRODUCT(MOD(INT(BP177/{2,4,8,16,32,64,128,256,512,1024,2048,4096,8192,16384,32768}),2)*(1-MOD(INT(($CJ42+BO222)/{2,4,8,16,32,64,128,256,512,1024,2048,4096,8192,16384,32768}),2))*{2,4,8,16,32,64,128,256,512,1024,2048,4096,8192,16384,32768})=0,0,2^SUMPRODUCT(--(MOD(SUMPRODUCT(MOD(INT(BP177/{2,4,8,16,32,64,128,256,512,1024,2048,4096,8192,16384,32768}),2)*(1-MOD(INT(($CJ42+BO222)/{2,4,8,16,32,64,128,256,512,1024,2048,4096,8192,16384,32768}),2))*{2,4,8,16,32,64,128,256,512,1024,2048,4096,8192,16384,32768}),{2,4,8,16,32,64,128,256,512,1024,2048,4096,8192,16384,32768})=0))))</f>
        <v/>
      </c>
      <c r="BQ222">
        <f>BP222+IF(AND(BQ132&gt;0,COUNTIF($Y132:BP132,BQ132)=0),0,IF(SUMPRODUCT(MOD(INT(BQ177/{2,4,8,16,32,64,128,256,512,1024,2048,4096,8192,16384,32768}),2)*(1-MOD(INT(($CJ42+BP222)/{2,4,8,16,32,64,128,256,512,1024,2048,4096,8192,16384,32768}),2))*{2,4,8,16,32,64,128,256,512,1024,2048,4096,8192,16384,32768})=0,0,2^SUMPRODUCT(--(MOD(SUMPRODUCT(MOD(INT(BQ177/{2,4,8,16,32,64,128,256,512,1024,2048,4096,8192,16384,32768}),2)*(1-MOD(INT(($CJ42+BP222)/{2,4,8,16,32,64,128,256,512,1024,2048,4096,8192,16384,32768}),2))*{2,4,8,16,32,64,128,256,512,1024,2048,4096,8192,16384,32768}),{2,4,8,16,32,64,128,256,512,1024,2048,4096,8192,16384,32768})=0))))</f>
        <v/>
      </c>
      <c r="BR222">
        <f>BQ222+IF(AND(BR132&gt;0,COUNTIF($Y132:BQ132,BR132)=0),0,IF(SUMPRODUCT(MOD(INT(BR177/{2,4,8,16,32,64,128,256,512,1024,2048,4096,8192,16384,32768}),2)*(1-MOD(INT(($CJ42+BQ222)/{2,4,8,16,32,64,128,256,512,1024,2048,4096,8192,16384,32768}),2))*{2,4,8,16,32,64,128,256,512,1024,2048,4096,8192,16384,32768})=0,0,2^SUMPRODUCT(--(MOD(SUMPRODUCT(MOD(INT(BR177/{2,4,8,16,32,64,128,256,512,1024,2048,4096,8192,16384,32768}),2)*(1-MOD(INT(($CJ42+BQ222)/{2,4,8,16,32,64,128,256,512,1024,2048,4096,8192,16384,32768}),2))*{2,4,8,16,32,64,128,256,512,1024,2048,4096,8192,16384,32768}),{2,4,8,16,32,64,128,256,512,1024,2048,4096,8192,16384,32768})=0))))</f>
        <v/>
      </c>
      <c r="BS222">
        <f>BR222+IF(AND(BS132&gt;0,COUNTIF($Y132:BR132,BS132)=0),0,IF(SUMPRODUCT(MOD(INT(BS177/{2,4,8,16,32,64,128,256,512,1024,2048,4096,8192,16384,32768}),2)*(1-MOD(INT(($CJ42+BR222)/{2,4,8,16,32,64,128,256,512,1024,2048,4096,8192,16384,32768}),2))*{2,4,8,16,32,64,128,256,512,1024,2048,4096,8192,16384,32768})=0,0,2^SUMPRODUCT(--(MOD(SUMPRODUCT(MOD(INT(BS177/{2,4,8,16,32,64,128,256,512,1024,2048,4096,8192,16384,32768}),2)*(1-MOD(INT(($CJ42+BR222)/{2,4,8,16,32,64,128,256,512,1024,2048,4096,8192,16384,32768}),2))*{2,4,8,16,32,64,128,256,512,1024,2048,4096,8192,16384,32768}),{2,4,8,16,32,64,128,256,512,1024,2048,4096,8192,16384,32768})=0))))</f>
        <v/>
      </c>
      <c r="BT222">
        <f>BS222+IF(AND(BT132&gt;0,COUNTIF($Y132:BS132,BT132)=0),0,IF(SUMPRODUCT(MOD(INT(BT177/{2,4,8,16,32,64,128,256,512,1024,2048,4096,8192,16384,32768}),2)*(1-MOD(INT(($CJ42+BS222)/{2,4,8,16,32,64,128,256,512,1024,2048,4096,8192,16384,32768}),2))*{2,4,8,16,32,64,128,256,512,1024,2048,4096,8192,16384,32768})=0,0,2^SUMPRODUCT(--(MOD(SUMPRODUCT(MOD(INT(BT177/{2,4,8,16,32,64,128,256,512,1024,2048,4096,8192,16384,32768}),2)*(1-MOD(INT(($CJ42+BS222)/{2,4,8,16,32,64,128,256,512,1024,2048,4096,8192,16384,32768}),2))*{2,4,8,16,32,64,128,256,512,1024,2048,4096,8192,16384,32768}),{2,4,8,16,32,64,128,256,512,1024,2048,4096,8192,16384,32768})=0))))</f>
        <v/>
      </c>
      <c r="BU222">
        <f>BT222+IF(AND(BU132&gt;0,COUNTIF($Y132:BT132,BU132)=0),0,IF(SUMPRODUCT(MOD(INT(BU177/{2,4,8,16,32,64,128,256,512,1024,2048,4096,8192,16384,32768}),2)*(1-MOD(INT(($CJ42+BT222)/{2,4,8,16,32,64,128,256,512,1024,2048,4096,8192,16384,32768}),2))*{2,4,8,16,32,64,128,256,512,1024,2048,4096,8192,16384,32768})=0,0,2^SUMPRODUCT(--(MOD(SUMPRODUCT(MOD(INT(BU177/{2,4,8,16,32,64,128,256,512,1024,2048,4096,8192,16384,32768}),2)*(1-MOD(INT(($CJ42+BT222)/{2,4,8,16,32,64,128,256,512,1024,2048,4096,8192,16384,32768}),2))*{2,4,8,16,32,64,128,256,512,1024,2048,4096,8192,16384,32768}),{2,4,8,16,32,64,128,256,512,1024,2048,4096,8192,16384,32768})=0))))</f>
        <v/>
      </c>
      <c r="BV222">
        <f>BU222+IF(AND(BV132&gt;0,COUNTIF($Y132:BU132,BV132)=0),0,IF(SUMPRODUCT(MOD(INT(BV177/{2,4,8,16,32,64,128,256,512,1024,2048,4096,8192,16384,32768}),2)*(1-MOD(INT(($CJ42+BU222)/{2,4,8,16,32,64,128,256,512,1024,2048,4096,8192,16384,32768}),2))*{2,4,8,16,32,64,128,256,512,1024,2048,4096,8192,16384,32768})=0,0,2^SUMPRODUCT(--(MOD(SUMPRODUCT(MOD(INT(BV177/{2,4,8,16,32,64,128,256,512,1024,2048,4096,8192,16384,32768}),2)*(1-MOD(INT(($CJ42+BU222)/{2,4,8,16,32,64,128,256,512,1024,2048,4096,8192,16384,32768}),2))*{2,4,8,16,32,64,128,256,512,1024,2048,4096,8192,16384,32768}),{2,4,8,16,32,64,128,256,512,1024,2048,4096,8192,16384,32768})=0))))</f>
        <v/>
      </c>
      <c r="BW222">
        <f>BV222+IF(AND(BW132&gt;0,COUNTIF($Y132:BV132,BW132)=0),0,IF(SUMPRODUCT(MOD(INT(BW177/{2,4,8,16,32,64,128,256,512,1024,2048,4096,8192,16384,32768}),2)*(1-MOD(INT(($CJ42+BV222)/{2,4,8,16,32,64,128,256,512,1024,2048,4096,8192,16384,32768}),2))*{2,4,8,16,32,64,128,256,512,1024,2048,4096,8192,16384,32768})=0,0,2^SUMPRODUCT(--(MOD(SUMPRODUCT(MOD(INT(BW177/{2,4,8,16,32,64,128,256,512,1024,2048,4096,8192,16384,32768}),2)*(1-MOD(INT(($CJ42+BV222)/{2,4,8,16,32,64,128,256,512,1024,2048,4096,8192,16384,32768}),2))*{2,4,8,16,32,64,128,256,512,1024,2048,4096,8192,16384,32768}),{2,4,8,16,32,64,128,256,512,1024,2048,4096,8192,16384,32768})=0))))</f>
        <v/>
      </c>
      <c r="BX222">
        <f>BW222+IF(AND(BX132&gt;0,COUNTIF($Y132:BW132,BX132)=0),0,IF(SUMPRODUCT(MOD(INT(BX177/{2,4,8,16,32,64,128,256,512,1024,2048,4096,8192,16384,32768}),2)*(1-MOD(INT(($CJ42+BW222)/{2,4,8,16,32,64,128,256,512,1024,2048,4096,8192,16384,32768}),2))*{2,4,8,16,32,64,128,256,512,1024,2048,4096,8192,16384,32768})=0,0,2^SUMPRODUCT(--(MOD(SUMPRODUCT(MOD(INT(BX177/{2,4,8,16,32,64,128,256,512,1024,2048,4096,8192,16384,32768}),2)*(1-MOD(INT(($CJ42+BW222)/{2,4,8,16,32,64,128,256,512,1024,2048,4096,8192,16384,32768}),2))*{2,4,8,16,32,64,128,256,512,1024,2048,4096,8192,16384,32768}),{2,4,8,16,32,64,128,256,512,1024,2048,4096,8192,16384,32768})=0))))</f>
        <v/>
      </c>
      <c r="BY222">
        <f>BX222+IF(AND(BY132&gt;0,COUNTIF($Y132:BX132,BY132)=0),0,IF(SUMPRODUCT(MOD(INT(BY177/{2,4,8,16,32,64,128,256,512,1024,2048,4096,8192,16384,32768}),2)*(1-MOD(INT(($CJ42+BX222)/{2,4,8,16,32,64,128,256,512,1024,2048,4096,8192,16384,32768}),2))*{2,4,8,16,32,64,128,256,512,1024,2048,4096,8192,16384,32768})=0,0,2^SUMPRODUCT(--(MOD(SUMPRODUCT(MOD(INT(BY177/{2,4,8,16,32,64,128,256,512,1024,2048,4096,8192,16384,32768}),2)*(1-MOD(INT(($CJ42+BX222)/{2,4,8,16,32,64,128,256,512,1024,2048,4096,8192,16384,32768}),2))*{2,4,8,16,32,64,128,256,512,1024,2048,4096,8192,16384,32768}),{2,4,8,16,32,64,128,256,512,1024,2048,4096,8192,16384,32768})=0))))</f>
        <v/>
      </c>
      <c r="BZ222">
        <f>BY222+IF(AND(BZ132&gt;0,COUNTIF($Y132:BY132,BZ132)=0),0,IF(SUMPRODUCT(MOD(INT(BZ177/{2,4,8,16,32,64,128,256,512,1024,2048,4096,8192,16384,32768}),2)*(1-MOD(INT(($CJ42+BY222)/{2,4,8,16,32,64,128,256,512,1024,2048,4096,8192,16384,32768}),2))*{2,4,8,16,32,64,128,256,512,1024,2048,4096,8192,16384,32768})=0,0,2^SUMPRODUCT(--(MOD(SUMPRODUCT(MOD(INT(BZ177/{2,4,8,16,32,64,128,256,512,1024,2048,4096,8192,16384,32768}),2)*(1-MOD(INT(($CJ42+BY222)/{2,4,8,16,32,64,128,256,512,1024,2048,4096,8192,16384,32768}),2))*{2,4,8,16,32,64,128,256,512,1024,2048,4096,8192,16384,32768}),{2,4,8,16,32,64,128,256,512,1024,2048,4096,8192,16384,32768})=0))))</f>
        <v/>
      </c>
      <c r="CA222">
        <f>BZ222+IF(AND(CA132&gt;0,COUNTIF($Y132:BZ132,CA132)=0),0,IF(SUMPRODUCT(MOD(INT(CA177/{2,4,8,16,32,64,128,256,512,1024,2048,4096,8192,16384,32768}),2)*(1-MOD(INT(($CJ42+BZ222)/{2,4,8,16,32,64,128,256,512,1024,2048,4096,8192,16384,32768}),2))*{2,4,8,16,32,64,128,256,512,1024,2048,4096,8192,16384,32768})=0,0,2^SUMPRODUCT(--(MOD(SUMPRODUCT(MOD(INT(CA177/{2,4,8,16,32,64,128,256,512,1024,2048,4096,8192,16384,32768}),2)*(1-MOD(INT(($CJ42+BZ222)/{2,4,8,16,32,64,128,256,512,1024,2048,4096,8192,16384,32768}),2))*{2,4,8,16,32,64,128,256,512,1024,2048,4096,8192,16384,32768}),{2,4,8,16,32,64,128,256,512,1024,2048,4096,8192,16384,32768})=0))))</f>
        <v/>
      </c>
      <c r="CB222">
        <f>CA222+IF(AND(CB132&gt;0,COUNTIF($Y132:CA132,CB132)=0),0,IF(SUMPRODUCT(MOD(INT(CB177/{2,4,8,16,32,64,128,256,512,1024,2048,4096,8192,16384,32768}),2)*(1-MOD(INT(($CJ42+CA222)/{2,4,8,16,32,64,128,256,512,1024,2048,4096,8192,16384,32768}),2))*{2,4,8,16,32,64,128,256,512,1024,2048,4096,8192,16384,32768})=0,0,2^SUMPRODUCT(--(MOD(SUMPRODUCT(MOD(INT(CB177/{2,4,8,16,32,64,128,256,512,1024,2048,4096,8192,16384,32768}),2)*(1-MOD(INT(($CJ42+CA222)/{2,4,8,16,32,64,128,256,512,1024,2048,4096,8192,16384,32768}),2))*{2,4,8,16,32,64,128,256,512,1024,2048,4096,8192,16384,32768}),{2,4,8,16,32,64,128,256,512,1024,2048,4096,8192,16384,32768})=0))))</f>
        <v/>
      </c>
      <c r="CC222">
        <f>CB222+IF(AND(CC132&gt;0,COUNTIF($Y132:CB132,CC132)=0),0,IF(SUMPRODUCT(MOD(INT(CC177/{2,4,8,16,32,64,128,256,512,1024,2048,4096,8192,16384,32768}),2)*(1-MOD(INT(($CJ42+CB222)/{2,4,8,16,32,64,128,256,512,1024,2048,4096,8192,16384,32768}),2))*{2,4,8,16,32,64,128,256,512,1024,2048,4096,8192,16384,32768})=0,0,2^SUMPRODUCT(--(MOD(SUMPRODUCT(MOD(INT(CC177/{2,4,8,16,32,64,128,256,512,1024,2048,4096,8192,16384,32768}),2)*(1-MOD(INT(($CJ42+CB222)/{2,4,8,16,32,64,128,256,512,1024,2048,4096,8192,16384,32768}),2))*{2,4,8,16,32,64,128,256,512,1024,2048,4096,8192,16384,32768}),{2,4,8,16,32,64,128,256,512,1024,2048,4096,8192,16384,32768})=0))))</f>
        <v/>
      </c>
      <c r="CD222">
        <f>CC222+IF(AND(CD132&gt;0,COUNTIF($Y132:CC132,CD132)=0),0,IF(SUMPRODUCT(MOD(INT(CD177/{2,4,8,16,32,64,128,256,512,1024,2048,4096,8192,16384,32768}),2)*(1-MOD(INT(($CJ42+CC222)/{2,4,8,16,32,64,128,256,512,1024,2048,4096,8192,16384,32768}),2))*{2,4,8,16,32,64,128,256,512,1024,2048,4096,8192,16384,32768})=0,0,2^SUMPRODUCT(--(MOD(SUMPRODUCT(MOD(INT(CD177/{2,4,8,16,32,64,128,256,512,1024,2048,4096,8192,16384,32768}),2)*(1-MOD(INT(($CJ42+CC222)/{2,4,8,16,32,64,128,256,512,1024,2048,4096,8192,16384,32768}),2))*{2,4,8,16,32,64,128,256,512,1024,2048,4096,8192,16384,32768}),{2,4,8,16,32,64,128,256,512,1024,2048,4096,8192,16384,32768})=0))))</f>
        <v/>
      </c>
      <c r="CE222">
        <f>CD222+IF(AND(CE132&gt;0,COUNTIF($Y132:CD132,CE132)=0),0,IF(SUMPRODUCT(MOD(INT(CE177/{2,4,8,16,32,64,128,256,512,1024,2048,4096,8192,16384,32768}),2)*(1-MOD(INT(($CJ42+CD222)/{2,4,8,16,32,64,128,256,512,1024,2048,4096,8192,16384,32768}),2))*{2,4,8,16,32,64,128,256,512,1024,2048,4096,8192,16384,32768})=0,0,2^SUMPRODUCT(--(MOD(SUMPRODUCT(MOD(INT(CE177/{2,4,8,16,32,64,128,256,512,1024,2048,4096,8192,16384,32768}),2)*(1-MOD(INT(($CJ42+CD222)/{2,4,8,16,32,64,128,256,512,1024,2048,4096,8192,16384,32768}),2))*{2,4,8,16,32,64,128,256,512,1024,2048,4096,8192,16384,32768}),{2,4,8,16,32,64,128,256,512,1024,2048,4096,8192,16384,32768})=0))))</f>
        <v/>
      </c>
      <c r="CF222">
        <f>CE222+IF(AND(CF132&gt;0,COUNTIF($Y132:CE132,CF132)=0),0,IF(SUMPRODUCT(MOD(INT(CF177/{2,4,8,16,32,64,128,256,512,1024,2048,4096,8192,16384,32768}),2)*(1-MOD(INT(($CJ42+CE222)/{2,4,8,16,32,64,128,256,512,1024,2048,4096,8192,16384,32768}),2))*{2,4,8,16,32,64,128,256,512,1024,2048,4096,8192,16384,32768})=0,0,2^SUMPRODUCT(--(MOD(SUMPRODUCT(MOD(INT(CF177/{2,4,8,16,32,64,128,256,512,1024,2048,4096,8192,16384,32768}),2)*(1-MOD(INT(($CJ42+CE222)/{2,4,8,16,32,64,128,256,512,1024,2048,4096,8192,16384,32768}),2))*{2,4,8,16,32,64,128,256,512,1024,2048,4096,8192,16384,32768}),{2,4,8,16,32,64,128,256,512,1024,2048,4096,8192,16384,32768})=0))))</f>
        <v/>
      </c>
      <c r="DA222" t="n">
        <v>218</v>
      </c>
      <c r="DB222">
        <f>IF($B$37=0,"",IFERROR(TRIM(SUBSTITUTE(SUBSTITUTE(SUBSTITUTE(SUBSTITUTE(INDEX(PASTE_ALL,218,$B$37)," "," "),CHAR(9)," "),CHAR(10)," "),CHAR(13)," ")),""))</f>
        <v/>
      </c>
      <c r="DC222">
        <f>IF(AND(218&gt;HEADER_ROW,UPPER(DB222)="LEGEND"),1,0)</f>
        <v/>
      </c>
      <c r="DE222" t="n">
        <v>218</v>
      </c>
      <c r="DF222">
        <f>HEADER_ROW+$DE222</f>
        <v/>
      </c>
      <c r="DG222">
        <f>IF(AND($DF222&lt;=1000,$DF222&lt;$B$8),1,0)</f>
        <v/>
      </c>
      <c r="DH222">
        <f>IF($DG222=1,IFERROR(INDEX($DB$5:$DB$1004,$DF222),""),"")</f>
        <v/>
      </c>
      <c r="DI222">
        <f>IF(AND($DG222=1,$DH222&lt;&gt;""),IFERROR(SUBSTITUTE(SUBSTITUTE(TRIM(SUBSTITUTE(SUBSTITUTE(SUBSTITUTE(SUBSTITUTE(IFERROR(INDEX(PASTE_ALL,$DF222,1)&amp;"","")&amp;"␟"&amp;IFERROR(INDEX(PASTE_ALL,$DF222,2)&amp;"","")&amp;"␟"&amp;IFERROR(INDEX(PASTE_ALL,$DF222,3)&amp;"","")&amp;"␟"&amp;IFERROR(INDEX(PASTE_ALL,$DF222,4)&amp;"","")&amp;"␟"&amp;IFERROR(INDEX(PASTE_ALL,$DF222,5)&amp;"","")&amp;"␟"&amp;IFERROR(INDEX(PASTE_ALL,$DF222,6)&amp;"","")&amp;"␟"&amp;IFERROR(INDEX(PASTE_ALL,$DF222,7)&amp;"","")&amp;"␟"&amp;IFERROR(INDEX(PASTE_ALL,$DF222,8)&amp;"","")&amp;"␟"&amp;IFERROR(INDEX(PASTE_ALL,$DF222,9)&amp;"","")&amp;"␟"&amp;IFERROR(INDEX(PASTE_ALL,$DF222,10)&amp;"","")&amp;"␟"&amp;IFERROR(INDEX(PASTE_ALL,$DF222,11)&amp;"","")&amp;"␟"&amp;IFERROR(INDEX(PASTE_ALL,$DF222,12)&amp;"","")&amp;"␟"&amp;IFERROR(INDEX(PASTE_ALL,$DF222,13)&amp;"","")&amp;"␟"&amp;IFERROR(INDEX(PASTE_ALL,$DF222,14)&amp;"","")&amp;"␟"&amp;IFERROR(INDEX(PASTE_ALL,$DF222,15)&amp;"","")&amp;"␟"&amp;IFERROR(INDEX(PASTE_ALL,$DF222,16)&amp;"","")&amp;"␟"&amp;IFERROR(INDEX(PASTE_ALL,$DF222,17)&amp;"","")&amp;"␟"&amp;IFERROR(INDEX(PASTE_ALL,$DF222,18)&amp;"","")&amp;"␟"&amp;IFERROR(INDEX(PASTE_ALL,$DF222,19)&amp;"","")&amp;"␟"&amp;IFERROR(INDEX(PASTE_ALL,$DF222,20)&amp;"","")&amp;"␟"&amp;IFERROR(INDEX(PASTE_ALL,$DF222,21)&amp;"","")&amp;"␟"&amp;IFERROR(INDEX(PASTE_ALL,$DF222,22)&amp;"","")&amp;"␟"&amp;IFERROR(INDEX(PASTE_ALL,$DF222,23)&amp;"","")&amp;"␟"&amp;IFERROR(INDEX(PASTE_ALL,$DF222,24)&amp;"","")&amp;"␟"&amp;IFERROR(INDEX(PASTE_ALL,$DF222,25)&amp;"","")&amp;"␟"&amp;IFERROR(INDEX(PASTE_ALL,$DF222,26)&amp;"","")&amp;"␟"&amp;IFERROR(INDEX(PASTE_ALL,$DF222,27)&amp;"","")&amp;"␟"&amp;IFERROR(INDEX(PASTE_ALL,$DF222,28)&amp;"","")&amp;"␟"&amp;IFERROR(INDEX(PASTE_ALL,$DF222,29)&amp;"","")&amp;"␟"&amp;IFERROR(INDEX(PASTE_ALL,$DF222,30)&amp;"","")&amp;"␟"&amp;IFERROR(INDEX(PASTE_ALL,$DF222,31)&amp;"","")&amp;"␟"&amp;IFERROR(INDEX(PASTE_ALL,$DF222,32)&amp;"","")&amp;"␟"&amp;IFERROR(INDEX(PASTE_ALL,$DF222,33)&amp;"","")&amp;"␟"&amp;IFERROR(INDEX(PASTE_ALL,$DF222,34)&amp;"","")&amp;"␟"&amp;IFERROR(INDEX(PASTE_ALL,$DF222,35)&amp;"","")&amp;"␟"&amp;IFERROR(INDEX(PASTE_ALL,$DF222,36)&amp;"","")&amp;"␟"&amp;IFERROR(INDEX(PASTE_ALL,$DF222,37)&amp;"","")&amp;"␟"&amp;IFERROR(INDEX(PASTE_ALL,$DF222,38)&amp;"","")&amp;"␟"&amp;IFERROR(INDEX(PASTE_ALL,$DF222,39)&amp;"","")&amp;"␟"&amp;IFERROR(INDEX(PASTE_ALL,$DF222,40)&amp;"","")&amp;"␟"&amp;IFERROR(INDEX(PASTE_ALL,$DF222,41)&amp;"","")&amp;"␟"&amp;IFERROR(INDEX(PASTE_ALL,$DF222,42)&amp;"","")&amp;"␟"&amp;IFERROR(INDEX(PASTE_ALL,$DF222,43)&amp;"","")&amp;"␟"&amp;IFERROR(INDEX(PASTE_ALL,$DF222,44)&amp;"","")&amp;"␟"&amp;IFERROR(INDEX(PASTE_ALL,$DF222,45)&amp;"","")&amp;"␟"&amp;IFERROR(INDEX(PASTE_ALL,$DF222,46)&amp;"","")&amp;"␟"&amp;IFERROR(INDEX(PASTE_ALL,$DF222,47)&amp;"","")&amp;"␟"&amp;IFERROR(INDEX(PASTE_ALL,$DF222,48)&amp;"","")&amp;"␟"&amp;IFERROR(INDEX(PASTE_ALL,$DF222,49)&amp;"","")&amp;"␟"&amp;IFERROR(INDEX(PASTE_ALL,$DF222,50)&amp;"","")&amp;"␟"&amp;IFERROR(INDEX(PASTE_ALL,$DF222,51)&amp;"","")&amp;"␟"&amp;IFERROR(INDEX(PASTE_ALL,$DF222,52)&amp;"","")&amp;"␟"&amp;IFERROR(INDEX(PASTE_ALL,$DF222,53)&amp;"","")&amp;"␟"&amp;IFERROR(INDEX(PASTE_ALL,$DF222,54)&amp;"","")&amp;"␟"&amp;IFERROR(INDEX(PASTE_ALL,$DF222,55)&amp;"","")&amp;"␟"&amp;IFERROR(INDEX(PASTE_ALL,$DF222,56)&amp;"","")&amp;"␟"&amp;IFERROR(INDEX(PASTE_ALL,$DF222,57)&amp;"","")&amp;"␟"&amp;IFERROR(INDEX(PASTE_ALL,$DF222,58)&amp;"","")&amp;"␟"&amp;IFERROR(INDEX(PASTE_ALL,$DF222,59)&amp;"","")&amp;"␟"&amp;IFERROR(INDEX(PASTE_ALL,$DF222,60)&amp;"","")," "," "),CHAR(9)," "),CHAR(10)," "),CHAR(13)," "))," ␟","␟"),"␟ ","␟"),"#"&amp;$DE222),"")</f>
        <v/>
      </c>
      <c r="DJ222">
        <f>IF($DI222="",0,IF(SUMPRODUCT(--EXACT($DI$4:DI221,$DI222))&gt;0,1,0))</f>
        <v/>
      </c>
      <c r="DK222">
        <f>IF(AND($DI222&lt;&gt;"",$DJ222=0),1,0)</f>
        <v/>
      </c>
      <c r="DL222">
        <f>DL221+$DK222</f>
        <v/>
      </c>
      <c r="DM222">
        <f>IF(AND($DK222=1,$DL222&lt;=600),1,0)</f>
        <v/>
      </c>
      <c r="DN222">
        <f>IF($DM222=0,"",IF($L$6=0,"",IFERROR(IF(ISNUMBER(INDEX(PASTE_ALL,$DF222,$L$6)),INDEX(PASTE_ALL,$DF222,$L$6),TRIM(SUBSTITUTE(SUBSTITUTE(SUBSTITUTE(SUBSTITUTE(INDEX(PASTE_ALL,$DF222,$L$6)," "," "),CHAR(9)," "),CHAR(10)," "),CHAR(13)," "))),"")))</f>
        <v/>
      </c>
      <c r="DO222">
        <f>IF($DM222=0,"",IF($L$7=0,"",IFERROR(IF(ISNUMBER(INDEX(PASTE_ALL,$DF222,$L$7)),INDEX(PASTE_ALL,$DF222,$L$7),TRIM(SUBSTITUTE(SUBSTITUTE(SUBSTITUTE(SUBSTITUTE(INDEX(PASTE_ALL,$DF222,$L$7)," "," "),CHAR(9)," "),CHAR(10)," "),CHAR(13)," "))),"")))</f>
        <v/>
      </c>
      <c r="DP222">
        <f>IF($DM222=0,"",IF($L$8=0,"",IFERROR(IF(ISNUMBER(INDEX(PASTE_ALL,$DF222,$L$8)),INDEX(PASTE_ALL,$DF222,$L$8),TRIM(SUBSTITUTE(SUBSTITUTE(SUBSTITUTE(SUBSTITUTE(INDEX(PASTE_ALL,$DF222,$L$8)," "," "),CHAR(9)," "),CHAR(10)," "),CHAR(13)," "))),"")))</f>
        <v/>
      </c>
      <c r="DQ222">
        <f>IF($DM222=0,"",IF($L$9=0,"",IFERROR(IF(ISNUMBER(INDEX(PASTE_ALL,$DF222,$L$9)),INDEX(PASTE_ALL,$DF222,$L$9),TRIM(SUBSTITUTE(SUBSTITUTE(SUBSTITUTE(SUBSTITUTE(INDEX(PASTE_ALL,$DF222,$L$9)," "," "),CHAR(9)," "),CHAR(10)," "),CHAR(13)," "))),"")))</f>
        <v/>
      </c>
      <c r="DR222">
        <f>IF($DM222=0,"",IF($L$10=0,"",IFERROR(IF(ISNUMBER(INDEX(PASTE_ALL,$DF222,$L$10)),INDEX(PASTE_ALL,$DF222,$L$10),TRIM(SUBSTITUTE(SUBSTITUTE(SUBSTITUTE(SUBSTITUTE(INDEX(PASTE_ALL,$DF222,$L$10)," "," "),CHAR(9)," "),CHAR(10)," "),CHAR(13)," "))),"")))</f>
        <v/>
      </c>
      <c r="DS222">
        <f>IF($DM222=0,"",IF($L$11=0,"",IFERROR(IF(ISNUMBER(INDEX(PASTE_ALL,$DF222,$L$11)),INDEX(PASTE_ALL,$DF222,$L$11),TRIM(SUBSTITUTE(SUBSTITUTE(SUBSTITUTE(SUBSTITUTE(INDEX(PASTE_ALL,$DF222,$L$11)," "," "),CHAR(9)," "),CHAR(10)," "),CHAR(13)," "))),"")))</f>
        <v/>
      </c>
      <c r="DT222">
        <f>IF($DM222=0,"",IF($L$12=0,"",IFERROR(IF(ISNUMBER(INDEX(PASTE_ALL,$DF222,$L$12)),INDEX(PASTE_ALL,$DF222,$L$12),TRIM(SUBSTITUTE(SUBSTITUTE(SUBSTITUTE(SUBSTITUTE(INDEX(PASTE_ALL,$DF222,$L$12)," "," "),CHAR(9)," "),CHAR(10)," "),CHAR(13)," "))),"")))</f>
        <v/>
      </c>
      <c r="DU222">
        <f>IF($DM222=0,"",IF($L$13=0,"",IFERROR(IF(ISNUMBER(INDEX(PASTE_ALL,$DF222,$L$13)),INDEX(PASTE_ALL,$DF222,$L$13),TRIM(SUBSTITUTE(SUBSTITUTE(SUBSTITUTE(SUBSTITUTE(INDEX(PASTE_ALL,$DF222,$L$13)," "," "),CHAR(9)," "),CHAR(10)," "),CHAR(13)," "))),"")))</f>
        <v/>
      </c>
      <c r="DV222">
        <f>IF($DM222=0,"",IF($L$14=0,"",IFERROR(IF(ISNUMBER(INDEX(PASTE_ALL,$DF222,$L$14)),INDEX(PASTE_ALL,$DF222,$L$14),TRIM(SUBSTITUTE(SUBSTITUTE(SUBSTITUTE(SUBSTITUTE(INDEX(PASTE_ALL,$DF222,$L$14)," "," "),CHAR(9)," "),CHAR(10)," "),CHAR(13)," "))),"")))</f>
        <v/>
      </c>
      <c r="DW222">
        <f>IF($DM222=0,"",IF($L$15=0,"",IFERROR(IF(ISNUMBER(INDEX(PASTE_ALL,$DF222,$L$15)),INDEX(PASTE_ALL,$DF222,$L$15),IF(SUMPRODUCT(--ISNUMBER(FIND({"A","B","C","D","E","F","G","H","I","J","K","L","M","N","O","P","Q","R","S","T","U","V","W","X","Y","Z","0","1","2","3","4","5","6","7","8","9"},UPPER(TRIM(SUBSTITUTE(SUBSTITUTE(SUBSTITUTE(SUBSTITUTE(INDEX(PASTE_ALL,$DF222,$L$15)," "," "),CHAR(9)," "),CHAR(10)," "),CHAR(13)," "))))))&gt;0,TRIM(SUBSTITUTE(SUBSTITUTE(SUBSTITUTE(SUBSTITUTE(INDEX(PASTE_ALL,$DF222,$L$15)," "," "),CHAR(9)," "),CHAR(10)," "),CHAR(13)," ")),"")),"")))</f>
        <v/>
      </c>
      <c r="DX222">
        <f>IF($DM222=0,"",IF($L$16=0,"",IFERROR(IF(ISNUMBER(INDEX(PASTE_ALL,$DF222,$L$16)),INDEX(PASTE_ALL,$DF222,$L$16),SUBSTITUTE(SUBSTITUTE(TRIM(SUBSTITUTE(SUBSTITUTE(SUBSTITUTE(SUBSTITUTE(INDEX(PASTE_ALL,$DF222,$L$16)," "," "),CHAR(9)," "),CHAR(10)," "),CHAR(13)," ")),",",""),"%","")),"")))</f>
        <v/>
      </c>
      <c r="DY222">
        <f>IF($DM222=0,"",IFERROR(IF(ISNUMBER($DX222),$DX222,IF($DX222="","",IF(TRIM($DX222)="",0,IF(AND(AND(SUBSTITUTE(SUBSTITUTE(SUBSTITUTE(SUBSTITUTE(SUBSTITUTE(SUBSTITUTE(SUBSTITUTE(SUBSTITUTE(SUBSTITUTE(SUBSTITUTE(SUBSTITUTE(SUBSTITUTE(SUBSTITUTE(SUBSTITUTE(UPPER(TRIM($DX222)),"0",""),"1",""),"2",""),"3",""),"4",""),"5",""),"6",""),"7",""),"8",""),"9",""),".",""),"+",""),"-",""),"E","")="",LEN(SUBSTITUTE(SUBSTITUTE(MID(UPPER(TRIM($DX222)),1+OR(LEFT(UPPER(TRIM($DX222)),1)="+",LEFT(UPPER(TRIM($DX222)),1)="-"),999),"E+","E"),"E-","E"))=LEN(SUBSTITUTE(SUBSTITUTE(SUBSTITUTE(SUBSTITUTE(MID(UPPER(TRIM($DX222)),1+OR(LEFT(UPPER(TRIM($DX222)),1)="+",LEFT(UPPER(TRIM($DX222)),1)="-"),999),"E+","E"),"E-","E"),"+",""),"-","")),LEN(UPPER(TRIM($DX222)))-LEN(SUBSTITUTE(UPPER(TRIM($DX222)),"E",""))&lt;2,LEN(UPPER(TRIM($DX222)))-LEN(SUBSTITUTE(UPPER(TRIM($DX222)),".",""))&lt;2,IFERROR(FIND(".",UPPER(TRIM($DX222))),0)&lt;IFERROR(FIND("E",UPPER(TRIM($DX222))),999)),ISNUMBER(VALUE(TRIM($DX222)))),VALUE(TRIM($DX222)),"")))),""))</f>
        <v/>
      </c>
      <c r="DZ222">
        <f>IF($DM222=0,"",IF($L$17=0,"",IFERROR(IF(ISNUMBER(INDEX(PASTE_ALL,$DF222,$L$17)),INDEX(PASTE_ALL,$DF222,$L$17),SUBSTITUTE(SUBSTITUTE(TRIM(SUBSTITUTE(SUBSTITUTE(SUBSTITUTE(SUBSTITUTE(INDEX(PASTE_ALL,$DF222,$L$17)," "," "),CHAR(9)," "),CHAR(10)," "),CHAR(13)," ")),",",""),"%","")),"")))</f>
        <v/>
      </c>
      <c r="EA222">
        <f>IF($DM222=0,"",IFERROR(IF(ISNUMBER($DZ222),$DZ222,IF($DZ222="","",IF(TRIM($DZ222)="",0,IF(AND(AND(SUBSTITUTE(SUBSTITUTE(SUBSTITUTE(SUBSTITUTE(SUBSTITUTE(SUBSTITUTE(SUBSTITUTE(SUBSTITUTE(SUBSTITUTE(SUBSTITUTE(SUBSTITUTE(SUBSTITUTE(SUBSTITUTE(SUBSTITUTE(UPPER(TRIM($DZ222)),"0",""),"1",""),"2",""),"3",""),"4",""),"5",""),"6",""),"7",""),"8",""),"9",""),".",""),"+",""),"-",""),"E","")="",LEN(SUBSTITUTE(SUBSTITUTE(MID(UPPER(TRIM($DZ222)),1+OR(LEFT(UPPER(TRIM($DZ222)),1)="+",LEFT(UPPER(TRIM($DZ222)),1)="-"),999),"E+","E"),"E-","E"))=LEN(SUBSTITUTE(SUBSTITUTE(SUBSTITUTE(SUBSTITUTE(MID(UPPER(TRIM($DZ222)),1+OR(LEFT(UPPER(TRIM($DZ222)),1)="+",LEFT(UPPER(TRIM($DZ222)),1)="-"),999),"E+","E"),"E-","E"),"+",""),"-","")),LEN(UPPER(TRIM($DZ222)))-LEN(SUBSTITUTE(UPPER(TRIM($DZ222)),"E",""))&lt;2,LEN(UPPER(TRIM($DZ222)))-LEN(SUBSTITUTE(UPPER(TRIM($DZ222)),".",""))&lt;2,IFERROR(FIND(".",UPPER(TRIM($DZ222))),0)&lt;IFERROR(FIND("E",UPPER(TRIM($DZ222))),999)),ISNUMBER(VALUE(TRIM($DZ222)))),VALUE(TRIM($DZ222)),"")))),""))</f>
        <v/>
      </c>
      <c r="EB222">
        <f>IF($DM222=0,"",IF($L$18=0,"",IFERROR(IF(UPPER(TRIM(SUBSTITUTE(SUBSTITUTE(SUBSTITUTE(SUBSTITUTE(INDEX(PASTE_ALL,$DF222,$L$18)," "," "),CHAR(9)," "),CHAR(10)," "),CHAR(13)," ")))="READY","Ready",IF(UPPER(TRIM(SUBSTITUTE(SUBSTITUTE(SUBSTITUTE(SUBSTITUTE(INDEX(PASTE_ALL,$DF222,$L$18)," "," "),CHAR(9)," "),CHAR(10)," "),CHAR(13)," ")))="PM","PM",IF(OR(UPPER(TRIM(SUBSTITUTE(SUBSTITUTE(SUBSTITUTE(SUBSTITUTE(INDEX(PASTE_ALL,$DF222,$L$18)," "," "),CHAR(9)," "),CHAR(10)," "),CHAR(13)," ")))="OT",UPPER(TRIM(SUBSTITUTE(SUBSTITUTE(SUBSTITUTE(SUBSTITUTE(INDEX(PASTE_ALL,$DF222,$L$18)," "," "),CHAR(9)," "),CHAR(10)," "),CHAR(13)," ")))="OVERTIME",UPPER(TRIM(SUBSTITUTE(SUBSTITUTE(SUBSTITUTE(SUBSTITUTE(INDEX(PASTE_ALL,$DF222,$L$18)," "," "),CHAR(9)," "),CHAR(10)," "),CHAR(13)," ")))="TRIAL"),"OT",TRIM(SUBSTITUTE(SUBSTITUTE(SUBSTITUTE(SUBSTITUTE(INDEX(PASTE_ALL,$DF222,$L$18)," "," "),CHAR(9)," "),CHAR(10)," "),CHAR(13)," "))))),"")))</f>
        <v/>
      </c>
      <c r="EC222">
        <f>IF($DM222=0,"",IF($L$19=0,"",IFERROR(IF(ISNUMBER(INDEX(PASTE_ALL,$DF222,$L$19)),INDEX(PASTE_ALL,$DF222,$L$19),TRIM(SUBSTITUTE(SUBSTITUTE(SUBSTITUTE(SUBSTITUTE(INDEX(PASTE_ALL,$DF222,$L$19)," "," "),CHAR(9)," "),CHAR(10)," "),CHAR(13)," "))),"")))</f>
        <v/>
      </c>
      <c r="ED222">
        <f>IF($DM222=0,"",MATCH(1,INDEX(EXACT($DH$5:DH222,$DH222)*$DM$5:DM222,0),0))</f>
        <v/>
      </c>
      <c r="EE222">
        <f>IF($DM222=0,0,IF($ED222=$DE222,1,0))</f>
        <v/>
      </c>
      <c r="EF222">
        <f>EF221+$EE222</f>
        <v/>
      </c>
      <c r="EG222">
        <f>IF($DM222=0,"",INDEX($EF$5:$EF$1003,$ED222))</f>
        <v/>
      </c>
      <c r="EH222">
        <f>IF($DM222=0,"",IF($DO222&lt;&gt;"","",IFERROR(LOOKUP(2,1/(($EG$4:EG221=$EG222)*($DO$4:DO221&lt;&gt;"")),$DO$4:DO221),"")))</f>
        <v/>
      </c>
      <c r="EI222">
        <f>IF($DM222=0,"",IF($DO222&lt;&gt;"",$DO222,$EH222))</f>
        <v/>
      </c>
      <c r="EJ222">
        <f>IF($DM222=0,"",IF($EI222="",0,IF(OR(ISNUMBER($EI222),AND(AND(SUBSTITUTE(SUBSTITUTE(SUBSTITUTE(SUBSTITUTE(SUBSTITUTE(SUBSTITUTE(SUBSTITUTE(SUBSTITUTE(SUBSTITUTE(SUBSTITUTE(SUBSTITUTE(SUBSTITUTE(SUBSTITUTE(SUBSTITUTE(UPPER($EI222),"0",""),"1",""),"2",""),"3",""),"4",""),"5",""),"6",""),"7",""),"8",""),"9",""),".",""),"+",""),"-",""),"E","")="",LEN(SUBSTITUTE(SUBSTITUTE(MID(UPPER($EI222),1+OR(LEFT(UPPER($EI222),1)="+",LEFT(UPPER($EI222),1)="-"),999),"E+","E"),"E-","E"))=LEN(SUBSTITUTE(SUBSTITUTE(SUBSTITUTE(SUBSTITUTE(MID(UPPER($EI222),1+OR(LEFT(UPPER($EI222),1)="+",LEFT(UPPER($EI222),1)="-"),999),"E+","E"),"E-","E"),"+",""),"-","")),LEN(UPPER($EI222))-LEN(SUBSTITUTE(UPPER($EI222),"E",""))&lt;2,LEN(UPPER($EI222))-LEN(SUBSTITUTE(UPPER($EI222),".",""))&lt;2,IFERROR(FIND(".",UPPER($EI222)),0)&lt;IFERROR(FIND("E",UPPER($EI222)),999)),ISNUMBER(VALUE($EI222)))),1,2)))</f>
        <v/>
      </c>
      <c r="EK222">
        <f>IF($DM222=0,"",IF($EJ222=1,IF(ISNUMBER($EI222),$EI222,VALUE($EI222)),IF($EJ222=2,$DE222,0)))</f>
        <v/>
      </c>
      <c r="EL222">
        <f>IF($DM222=0,"",COUNTIF($EG$5:$EG$1003,"&lt;"&amp;$EG222)+SUMPRODUCT(($EG$5:$EG$1003=$EG222)*(($EJ$5:$EJ$1003&lt;$EJ222)+($EJ$5:$EJ$1003=$EJ222)*(($EK$5:$EK$1003&lt;$EK222)+($EK$5:$EK$1003=$EK222)*($DE$5:$DE$1003&lt;$DE222))))+1)</f>
        <v/>
      </c>
      <c r="EM222">
        <f>IF($DM222=0,"",$EL222+$EG222-1)</f>
        <v/>
      </c>
      <c r="EN222">
        <f>IF($DM222=0,0,IFERROR(MATCH(1,INDEX(--(TRIM(SUBSTITUTE(SUBSTITUTE(SUBSTITUTE(SUBSTITUTE(LINES_NAME&amp;""," "," "),CHAR(9)," "),CHAR(10)," "),CHAR(13)," "))=$DH222),0),0),0))</f>
        <v/>
      </c>
      <c r="EO222">
        <f>IF($EN222=0,0,IF(OR(UPPER(TRIM(INDEX(LINES_SCHEDULED,$EN222)&amp;""))="YES",UPPER(TRIM(INDEX(LINES_SCHEDULED,$EN222)&amp;""))="Y",UPPER(TRIM(INDEX(LINES_SCHEDULED,$EN222)&amp;""))="X"),1,0))</f>
        <v/>
      </c>
      <c r="EP222">
        <f>IF($DM222=0,"",IF(COUNTIFS($EG$5:$EG$1003,$EG222,$EB$5:$EB$1003,"Ready")&gt;0,"READY",IF(COUNTIFS($EG$5:$EG$1003,$EG222,$EB$5:$EB$1003,"PM")&gt;0,"PM",IF(COUNTIFS($EG$5:$EG$1003,$EG222,$EB$5:$EB$1003,"OT")&gt;0,"OT",""))))</f>
        <v/>
      </c>
      <c r="EQ222">
        <f>IF($EN222=0,"",UPPER(TRIM(INDEX(LINES_STATUS,$EN222)&amp;"")))</f>
        <v/>
      </c>
      <c r="ER222">
        <f>IF($DM222=0,"",IF(OR($EQ222="READY",$EQ222="PM",$EQ222="OT"),$EQ222,$EP222))</f>
        <v/>
      </c>
      <c r="ES222">
        <f>IF($DM222=0,"",IF(AND($DV222&lt;&gt;"",UPPER($DV222)&lt;&gt;"N"),"allergen",IF(ISNUMBER(SEARCH("oil",$DQ222)),"oil",IF(OR(EXACT($DS222,"A662"),EXACT($DS222,"A624")),"bulk",""))))</f>
        <v/>
      </c>
      <c r="ET222">
        <f>IF($DM222=0,"",IF(OR($EA222="",$EA222=0),"",$EA222/100))</f>
        <v/>
      </c>
      <c r="EU222">
        <f>IF(OR($ET222="",$DY222=""),"",INT($DY222*(1-$ET222)+0.5))</f>
        <v/>
      </c>
      <c r="EW222" t="n">
        <v>218</v>
      </c>
      <c r="EX222">
        <f>IFERROR(MATCH($EW222,$EM$5:$EM$1003,0),0)</f>
        <v/>
      </c>
      <c r="EY222">
        <f>IF($EW222&gt;$B$12,"",IF($EX222&gt;0,"row","spacer"))</f>
        <v/>
      </c>
      <c r="EZ222">
        <f>IF(AND($EY222="row",$EY221&lt;&gt;"row"),1,0)</f>
        <v/>
      </c>
      <c r="FA222">
        <f>IF(AND($EY222="row",$EY223&lt;&gt;"row"),1,0)</f>
        <v/>
      </c>
      <c r="FB222">
        <f>IF($EZ222=1,IFERROR(IF(ISNUMBER(INDEX(PASTE_ALL,INDEX($DF$5:$DF$1003,$EX222),$B$37)),INDEX(PASTE_ALL,INDEX($DF$5:$DF$1003,$EX222),$B$37),INDEX($DH$5:$DH$1003,$EX222)),INDEX($DH$5:$DH$1003,$EX222)),"")</f>
        <v/>
      </c>
      <c r="FC222">
        <f>IF($EY222="row",INDEX($ER$5:$ER$1003,$EX222),"")</f>
        <v/>
      </c>
      <c r="FD222">
        <f>IF($EY222="row",INDEX($DN$5:$DN$1003,$EX222),"")</f>
        <v/>
      </c>
      <c r="FE222">
        <f>IF($EY222="row",INDEX($DO$5:$DO$1003,$EX222),"")</f>
        <v/>
      </c>
      <c r="FF222">
        <f>IF($EY222="row",INDEX($DP$5:$DP$1003,$EX222),"")</f>
        <v/>
      </c>
      <c r="FG222">
        <f>IF($EY222="row",INDEX($DQ$5:$DQ$1003,$EX222),"")</f>
        <v/>
      </c>
      <c r="FH222">
        <f>IF($EY222="row",INDEX($DR$5:$DR$1003,$EX222),"")</f>
        <v/>
      </c>
      <c r="FI222">
        <f>IF($EY222="row",INDEX($DS$5:$DS$1003,$EX222),"")</f>
        <v/>
      </c>
      <c r="FJ222">
        <f>IF($EY222="row",INDEX($DT$5:$DT$1003,$EX222),"")</f>
        <v/>
      </c>
      <c r="FK222">
        <f>IF($EY222="row",INDEX($DU$5:$DU$1003,$EX222),"")</f>
        <v/>
      </c>
      <c r="FL222">
        <f>IF($EY222="row",INDEX($DV$5:$DV$1003,$EX222),"")</f>
        <v/>
      </c>
      <c r="FM222">
        <f>IF($EY222="row",INDEX($DW$5:$DW$1003,$EX222),"")</f>
        <v/>
      </c>
      <c r="FN222">
        <f>IF($EY222="row",INDEX($DY$5:$DY$1003,$EX222),"")</f>
        <v/>
      </c>
      <c r="FO222">
        <f>IF($EY222="row",INDEX($EA$5:$EA$1003,$EX222),"")</f>
        <v/>
      </c>
      <c r="FP222">
        <f>IF($EY222="row",INDEX($EC$5:$EC$1003,$EX222),"")</f>
        <v/>
      </c>
      <c r="FQ222">
        <f>IF($EY222="row",INDEX($ET$5:$ET$1003,$EX222),"")</f>
        <v/>
      </c>
      <c r="FR222">
        <f>IF($EY222="row",INDEX($EU$5:$EU$1003,$EX222),"")</f>
        <v/>
      </c>
      <c r="FS222">
        <f>IF(AND($EY222="row",$EY221="row"),IF(OR(INDEX($DT$5:$DT$1003,$EX221)="",INDEX($DT$5:$DT$1003,$EX222)=""),"",IF(NOT(EXACT(INDEX($DT$5:$DT$1003,$EX221),INDEX($DT$5:$DT$1003,$EX222))),"S4",IF(NOT(EXACT(INDEX($DS$5:$DS$1003,$EX221),INDEX($DS$5:$DS$1003,$EX222))),"S3",IF(NOT(EXACT(INDEX($DR$5:$DR$1003,$EX221),INDEX($DR$5:$DR$1003,$EX222))),"S1 Count Change","S1")))),"")</f>
        <v/>
      </c>
      <c r="FT222">
        <f>IF($EY222="row",INDEX($ES$5:$ES$1003,$EX222),"")</f>
        <v/>
      </c>
      <c r="FU222">
        <f>IF($EY222="row",INDEX($EO$5:$EO$1003,$EX222),0)</f>
        <v/>
      </c>
      <c r="FV222">
        <f>IF($FS222="S1 Count Change",1,0)</f>
        <v/>
      </c>
    </row>
    <row r="223">
      <c r="Y223">
        <f>0+IF(Y133&gt;0,0,IF(SUMPRODUCT(MOD(INT(Y178/{2,4,8,16,32,64,128,256,512,1024,2048,4096,8192,16384,32768}),2)*(1-MOD(INT(($CJ43+0)/{2,4,8,16,32,64,128,256,512,1024,2048,4096,8192,16384,32768}),2))*{2,4,8,16,32,64,128,256,512,1024,2048,4096,8192,16384,32768})=0,0,2^SUMPRODUCT(--(MOD(SUMPRODUCT(MOD(INT(Y178/{2,4,8,16,32,64,128,256,512,1024,2048,4096,8192,16384,32768}),2)*(1-MOD(INT(($CJ43+0)/{2,4,8,16,32,64,128,256,512,1024,2048,4096,8192,16384,32768}),2))*{2,4,8,16,32,64,128,256,512,1024,2048,4096,8192,16384,32768}),{2,4,8,16,32,64,128,256,512,1024,2048,4096,8192,16384,32768})=0))))</f>
        <v/>
      </c>
      <c r="Z223">
        <f>Y223+IF(AND(Z133&gt;0,COUNTIF($Y133:Y133,Z133)=0),0,IF(SUMPRODUCT(MOD(INT(Z178/{2,4,8,16,32,64,128,256,512,1024,2048,4096,8192,16384,32768}),2)*(1-MOD(INT(($CJ43+Y223)/{2,4,8,16,32,64,128,256,512,1024,2048,4096,8192,16384,32768}),2))*{2,4,8,16,32,64,128,256,512,1024,2048,4096,8192,16384,32768})=0,0,2^SUMPRODUCT(--(MOD(SUMPRODUCT(MOD(INT(Z178/{2,4,8,16,32,64,128,256,512,1024,2048,4096,8192,16384,32768}),2)*(1-MOD(INT(($CJ43+Y223)/{2,4,8,16,32,64,128,256,512,1024,2048,4096,8192,16384,32768}),2))*{2,4,8,16,32,64,128,256,512,1024,2048,4096,8192,16384,32768}),{2,4,8,16,32,64,128,256,512,1024,2048,4096,8192,16384,32768})=0))))</f>
        <v/>
      </c>
      <c r="AA223">
        <f>Z223+IF(AND(AA133&gt;0,COUNTIF($Y133:Z133,AA133)=0),0,IF(SUMPRODUCT(MOD(INT(AA178/{2,4,8,16,32,64,128,256,512,1024,2048,4096,8192,16384,32768}),2)*(1-MOD(INT(($CJ43+Z223)/{2,4,8,16,32,64,128,256,512,1024,2048,4096,8192,16384,32768}),2))*{2,4,8,16,32,64,128,256,512,1024,2048,4096,8192,16384,32768})=0,0,2^SUMPRODUCT(--(MOD(SUMPRODUCT(MOD(INT(AA178/{2,4,8,16,32,64,128,256,512,1024,2048,4096,8192,16384,32768}),2)*(1-MOD(INT(($CJ43+Z223)/{2,4,8,16,32,64,128,256,512,1024,2048,4096,8192,16384,32768}),2))*{2,4,8,16,32,64,128,256,512,1024,2048,4096,8192,16384,32768}),{2,4,8,16,32,64,128,256,512,1024,2048,4096,8192,16384,32768})=0))))</f>
        <v/>
      </c>
      <c r="AB223">
        <f>AA223+IF(AND(AB133&gt;0,COUNTIF($Y133:AA133,AB133)=0),0,IF(SUMPRODUCT(MOD(INT(AB178/{2,4,8,16,32,64,128,256,512,1024,2048,4096,8192,16384,32768}),2)*(1-MOD(INT(($CJ43+AA223)/{2,4,8,16,32,64,128,256,512,1024,2048,4096,8192,16384,32768}),2))*{2,4,8,16,32,64,128,256,512,1024,2048,4096,8192,16384,32768})=0,0,2^SUMPRODUCT(--(MOD(SUMPRODUCT(MOD(INT(AB178/{2,4,8,16,32,64,128,256,512,1024,2048,4096,8192,16384,32768}),2)*(1-MOD(INT(($CJ43+AA223)/{2,4,8,16,32,64,128,256,512,1024,2048,4096,8192,16384,32768}),2))*{2,4,8,16,32,64,128,256,512,1024,2048,4096,8192,16384,32768}),{2,4,8,16,32,64,128,256,512,1024,2048,4096,8192,16384,32768})=0))))</f>
        <v/>
      </c>
      <c r="AC223">
        <f>AB223+IF(AND(AC133&gt;0,COUNTIF($Y133:AB133,AC133)=0),0,IF(SUMPRODUCT(MOD(INT(AC178/{2,4,8,16,32,64,128,256,512,1024,2048,4096,8192,16384,32768}),2)*(1-MOD(INT(($CJ43+AB223)/{2,4,8,16,32,64,128,256,512,1024,2048,4096,8192,16384,32768}),2))*{2,4,8,16,32,64,128,256,512,1024,2048,4096,8192,16384,32768})=0,0,2^SUMPRODUCT(--(MOD(SUMPRODUCT(MOD(INT(AC178/{2,4,8,16,32,64,128,256,512,1024,2048,4096,8192,16384,32768}),2)*(1-MOD(INT(($CJ43+AB223)/{2,4,8,16,32,64,128,256,512,1024,2048,4096,8192,16384,32768}),2))*{2,4,8,16,32,64,128,256,512,1024,2048,4096,8192,16384,32768}),{2,4,8,16,32,64,128,256,512,1024,2048,4096,8192,16384,32768})=0))))</f>
        <v/>
      </c>
      <c r="AD223">
        <f>AC223+IF(AND(AD133&gt;0,COUNTIF($Y133:AC133,AD133)=0),0,IF(SUMPRODUCT(MOD(INT(AD178/{2,4,8,16,32,64,128,256,512,1024,2048,4096,8192,16384,32768}),2)*(1-MOD(INT(($CJ43+AC223)/{2,4,8,16,32,64,128,256,512,1024,2048,4096,8192,16384,32768}),2))*{2,4,8,16,32,64,128,256,512,1024,2048,4096,8192,16384,32768})=0,0,2^SUMPRODUCT(--(MOD(SUMPRODUCT(MOD(INT(AD178/{2,4,8,16,32,64,128,256,512,1024,2048,4096,8192,16384,32768}),2)*(1-MOD(INT(($CJ43+AC223)/{2,4,8,16,32,64,128,256,512,1024,2048,4096,8192,16384,32768}),2))*{2,4,8,16,32,64,128,256,512,1024,2048,4096,8192,16384,32768}),{2,4,8,16,32,64,128,256,512,1024,2048,4096,8192,16384,32768})=0))))</f>
        <v/>
      </c>
      <c r="AE223">
        <f>AD223+IF(AND(AE133&gt;0,COUNTIF($Y133:AD133,AE133)=0),0,IF(SUMPRODUCT(MOD(INT(AE178/{2,4,8,16,32,64,128,256,512,1024,2048,4096,8192,16384,32768}),2)*(1-MOD(INT(($CJ43+AD223)/{2,4,8,16,32,64,128,256,512,1024,2048,4096,8192,16384,32768}),2))*{2,4,8,16,32,64,128,256,512,1024,2048,4096,8192,16384,32768})=0,0,2^SUMPRODUCT(--(MOD(SUMPRODUCT(MOD(INT(AE178/{2,4,8,16,32,64,128,256,512,1024,2048,4096,8192,16384,32768}),2)*(1-MOD(INT(($CJ43+AD223)/{2,4,8,16,32,64,128,256,512,1024,2048,4096,8192,16384,32768}),2))*{2,4,8,16,32,64,128,256,512,1024,2048,4096,8192,16384,32768}),{2,4,8,16,32,64,128,256,512,1024,2048,4096,8192,16384,32768})=0))))</f>
        <v/>
      </c>
      <c r="AF223">
        <f>AE223+IF(AND(AF133&gt;0,COUNTIF($Y133:AE133,AF133)=0),0,IF(SUMPRODUCT(MOD(INT(AF178/{2,4,8,16,32,64,128,256,512,1024,2048,4096,8192,16384,32768}),2)*(1-MOD(INT(($CJ43+AE223)/{2,4,8,16,32,64,128,256,512,1024,2048,4096,8192,16384,32768}),2))*{2,4,8,16,32,64,128,256,512,1024,2048,4096,8192,16384,32768})=0,0,2^SUMPRODUCT(--(MOD(SUMPRODUCT(MOD(INT(AF178/{2,4,8,16,32,64,128,256,512,1024,2048,4096,8192,16384,32768}),2)*(1-MOD(INT(($CJ43+AE223)/{2,4,8,16,32,64,128,256,512,1024,2048,4096,8192,16384,32768}),2))*{2,4,8,16,32,64,128,256,512,1024,2048,4096,8192,16384,32768}),{2,4,8,16,32,64,128,256,512,1024,2048,4096,8192,16384,32768})=0))))</f>
        <v/>
      </c>
      <c r="AG223">
        <f>AF223+IF(AND(AG133&gt;0,COUNTIF($Y133:AF133,AG133)=0),0,IF(SUMPRODUCT(MOD(INT(AG178/{2,4,8,16,32,64,128,256,512,1024,2048,4096,8192,16384,32768}),2)*(1-MOD(INT(($CJ43+AF223)/{2,4,8,16,32,64,128,256,512,1024,2048,4096,8192,16384,32768}),2))*{2,4,8,16,32,64,128,256,512,1024,2048,4096,8192,16384,32768})=0,0,2^SUMPRODUCT(--(MOD(SUMPRODUCT(MOD(INT(AG178/{2,4,8,16,32,64,128,256,512,1024,2048,4096,8192,16384,32768}),2)*(1-MOD(INT(($CJ43+AF223)/{2,4,8,16,32,64,128,256,512,1024,2048,4096,8192,16384,32768}),2))*{2,4,8,16,32,64,128,256,512,1024,2048,4096,8192,16384,32768}),{2,4,8,16,32,64,128,256,512,1024,2048,4096,8192,16384,32768})=0))))</f>
        <v/>
      </c>
      <c r="AH223">
        <f>AG223+IF(AND(AH133&gt;0,COUNTIF($Y133:AG133,AH133)=0),0,IF(SUMPRODUCT(MOD(INT(AH178/{2,4,8,16,32,64,128,256,512,1024,2048,4096,8192,16384,32768}),2)*(1-MOD(INT(($CJ43+AG223)/{2,4,8,16,32,64,128,256,512,1024,2048,4096,8192,16384,32768}),2))*{2,4,8,16,32,64,128,256,512,1024,2048,4096,8192,16384,32768})=0,0,2^SUMPRODUCT(--(MOD(SUMPRODUCT(MOD(INT(AH178/{2,4,8,16,32,64,128,256,512,1024,2048,4096,8192,16384,32768}),2)*(1-MOD(INT(($CJ43+AG223)/{2,4,8,16,32,64,128,256,512,1024,2048,4096,8192,16384,32768}),2))*{2,4,8,16,32,64,128,256,512,1024,2048,4096,8192,16384,32768}),{2,4,8,16,32,64,128,256,512,1024,2048,4096,8192,16384,32768})=0))))</f>
        <v/>
      </c>
      <c r="AI223">
        <f>AH223+IF(AND(AI133&gt;0,COUNTIF($Y133:AH133,AI133)=0),0,IF(SUMPRODUCT(MOD(INT(AI178/{2,4,8,16,32,64,128,256,512,1024,2048,4096,8192,16384,32768}),2)*(1-MOD(INT(($CJ43+AH223)/{2,4,8,16,32,64,128,256,512,1024,2048,4096,8192,16384,32768}),2))*{2,4,8,16,32,64,128,256,512,1024,2048,4096,8192,16384,32768})=0,0,2^SUMPRODUCT(--(MOD(SUMPRODUCT(MOD(INT(AI178/{2,4,8,16,32,64,128,256,512,1024,2048,4096,8192,16384,32768}),2)*(1-MOD(INT(($CJ43+AH223)/{2,4,8,16,32,64,128,256,512,1024,2048,4096,8192,16384,32768}),2))*{2,4,8,16,32,64,128,256,512,1024,2048,4096,8192,16384,32768}),{2,4,8,16,32,64,128,256,512,1024,2048,4096,8192,16384,32768})=0))))</f>
        <v/>
      </c>
      <c r="AJ223">
        <f>AI223+IF(AND(AJ133&gt;0,COUNTIF($Y133:AI133,AJ133)=0),0,IF(SUMPRODUCT(MOD(INT(AJ178/{2,4,8,16,32,64,128,256,512,1024,2048,4096,8192,16384,32768}),2)*(1-MOD(INT(($CJ43+AI223)/{2,4,8,16,32,64,128,256,512,1024,2048,4096,8192,16384,32768}),2))*{2,4,8,16,32,64,128,256,512,1024,2048,4096,8192,16384,32768})=0,0,2^SUMPRODUCT(--(MOD(SUMPRODUCT(MOD(INT(AJ178/{2,4,8,16,32,64,128,256,512,1024,2048,4096,8192,16384,32768}),2)*(1-MOD(INT(($CJ43+AI223)/{2,4,8,16,32,64,128,256,512,1024,2048,4096,8192,16384,32768}),2))*{2,4,8,16,32,64,128,256,512,1024,2048,4096,8192,16384,32768}),{2,4,8,16,32,64,128,256,512,1024,2048,4096,8192,16384,32768})=0))))</f>
        <v/>
      </c>
      <c r="AK223">
        <f>AJ223+IF(AND(AK133&gt;0,COUNTIF($Y133:AJ133,AK133)=0),0,IF(SUMPRODUCT(MOD(INT(AK178/{2,4,8,16,32,64,128,256,512,1024,2048,4096,8192,16384,32768}),2)*(1-MOD(INT(($CJ43+AJ223)/{2,4,8,16,32,64,128,256,512,1024,2048,4096,8192,16384,32768}),2))*{2,4,8,16,32,64,128,256,512,1024,2048,4096,8192,16384,32768})=0,0,2^SUMPRODUCT(--(MOD(SUMPRODUCT(MOD(INT(AK178/{2,4,8,16,32,64,128,256,512,1024,2048,4096,8192,16384,32768}),2)*(1-MOD(INT(($CJ43+AJ223)/{2,4,8,16,32,64,128,256,512,1024,2048,4096,8192,16384,32768}),2))*{2,4,8,16,32,64,128,256,512,1024,2048,4096,8192,16384,32768}),{2,4,8,16,32,64,128,256,512,1024,2048,4096,8192,16384,32768})=0))))</f>
        <v/>
      </c>
      <c r="AL223">
        <f>AK223+IF(AND(AL133&gt;0,COUNTIF($Y133:AK133,AL133)=0),0,IF(SUMPRODUCT(MOD(INT(AL178/{2,4,8,16,32,64,128,256,512,1024,2048,4096,8192,16384,32768}),2)*(1-MOD(INT(($CJ43+AK223)/{2,4,8,16,32,64,128,256,512,1024,2048,4096,8192,16384,32768}),2))*{2,4,8,16,32,64,128,256,512,1024,2048,4096,8192,16384,32768})=0,0,2^SUMPRODUCT(--(MOD(SUMPRODUCT(MOD(INT(AL178/{2,4,8,16,32,64,128,256,512,1024,2048,4096,8192,16384,32768}),2)*(1-MOD(INT(($CJ43+AK223)/{2,4,8,16,32,64,128,256,512,1024,2048,4096,8192,16384,32768}),2))*{2,4,8,16,32,64,128,256,512,1024,2048,4096,8192,16384,32768}),{2,4,8,16,32,64,128,256,512,1024,2048,4096,8192,16384,32768})=0))))</f>
        <v/>
      </c>
      <c r="AM223">
        <f>AL223+IF(AND(AM133&gt;0,COUNTIF($Y133:AL133,AM133)=0),0,IF(SUMPRODUCT(MOD(INT(AM178/{2,4,8,16,32,64,128,256,512,1024,2048,4096,8192,16384,32768}),2)*(1-MOD(INT(($CJ43+AL223)/{2,4,8,16,32,64,128,256,512,1024,2048,4096,8192,16384,32768}),2))*{2,4,8,16,32,64,128,256,512,1024,2048,4096,8192,16384,32768})=0,0,2^SUMPRODUCT(--(MOD(SUMPRODUCT(MOD(INT(AM178/{2,4,8,16,32,64,128,256,512,1024,2048,4096,8192,16384,32768}),2)*(1-MOD(INT(($CJ43+AL223)/{2,4,8,16,32,64,128,256,512,1024,2048,4096,8192,16384,32768}),2))*{2,4,8,16,32,64,128,256,512,1024,2048,4096,8192,16384,32768}),{2,4,8,16,32,64,128,256,512,1024,2048,4096,8192,16384,32768})=0))))</f>
        <v/>
      </c>
      <c r="AN223">
        <f>AM223+IF(AND(AN133&gt;0,COUNTIF($Y133:AM133,AN133)=0),0,IF(SUMPRODUCT(MOD(INT(AN178/{2,4,8,16,32,64,128,256,512,1024,2048,4096,8192,16384,32768}),2)*(1-MOD(INT(($CJ43+AM223)/{2,4,8,16,32,64,128,256,512,1024,2048,4096,8192,16384,32768}),2))*{2,4,8,16,32,64,128,256,512,1024,2048,4096,8192,16384,32768})=0,0,2^SUMPRODUCT(--(MOD(SUMPRODUCT(MOD(INT(AN178/{2,4,8,16,32,64,128,256,512,1024,2048,4096,8192,16384,32768}),2)*(1-MOD(INT(($CJ43+AM223)/{2,4,8,16,32,64,128,256,512,1024,2048,4096,8192,16384,32768}),2))*{2,4,8,16,32,64,128,256,512,1024,2048,4096,8192,16384,32768}),{2,4,8,16,32,64,128,256,512,1024,2048,4096,8192,16384,32768})=0))))</f>
        <v/>
      </c>
      <c r="AO223">
        <f>AN223+IF(AND(AO133&gt;0,COUNTIF($Y133:AN133,AO133)=0),0,IF(SUMPRODUCT(MOD(INT(AO178/{2,4,8,16,32,64,128,256,512,1024,2048,4096,8192,16384,32768}),2)*(1-MOD(INT(($CJ43+AN223)/{2,4,8,16,32,64,128,256,512,1024,2048,4096,8192,16384,32768}),2))*{2,4,8,16,32,64,128,256,512,1024,2048,4096,8192,16384,32768})=0,0,2^SUMPRODUCT(--(MOD(SUMPRODUCT(MOD(INT(AO178/{2,4,8,16,32,64,128,256,512,1024,2048,4096,8192,16384,32768}),2)*(1-MOD(INT(($CJ43+AN223)/{2,4,8,16,32,64,128,256,512,1024,2048,4096,8192,16384,32768}),2))*{2,4,8,16,32,64,128,256,512,1024,2048,4096,8192,16384,32768}),{2,4,8,16,32,64,128,256,512,1024,2048,4096,8192,16384,32768})=0))))</f>
        <v/>
      </c>
      <c r="AP223">
        <f>AO223+IF(AND(AP133&gt;0,COUNTIF($Y133:AO133,AP133)=0),0,IF(SUMPRODUCT(MOD(INT(AP178/{2,4,8,16,32,64,128,256,512,1024,2048,4096,8192,16384,32768}),2)*(1-MOD(INT(($CJ43+AO223)/{2,4,8,16,32,64,128,256,512,1024,2048,4096,8192,16384,32768}),2))*{2,4,8,16,32,64,128,256,512,1024,2048,4096,8192,16384,32768})=0,0,2^SUMPRODUCT(--(MOD(SUMPRODUCT(MOD(INT(AP178/{2,4,8,16,32,64,128,256,512,1024,2048,4096,8192,16384,32768}),2)*(1-MOD(INT(($CJ43+AO223)/{2,4,8,16,32,64,128,256,512,1024,2048,4096,8192,16384,32768}),2))*{2,4,8,16,32,64,128,256,512,1024,2048,4096,8192,16384,32768}),{2,4,8,16,32,64,128,256,512,1024,2048,4096,8192,16384,32768})=0))))</f>
        <v/>
      </c>
      <c r="AQ223">
        <f>AP223+IF(AND(AQ133&gt;0,COUNTIF($Y133:AP133,AQ133)=0),0,IF(SUMPRODUCT(MOD(INT(AQ178/{2,4,8,16,32,64,128,256,512,1024,2048,4096,8192,16384,32768}),2)*(1-MOD(INT(($CJ43+AP223)/{2,4,8,16,32,64,128,256,512,1024,2048,4096,8192,16384,32768}),2))*{2,4,8,16,32,64,128,256,512,1024,2048,4096,8192,16384,32768})=0,0,2^SUMPRODUCT(--(MOD(SUMPRODUCT(MOD(INT(AQ178/{2,4,8,16,32,64,128,256,512,1024,2048,4096,8192,16384,32768}),2)*(1-MOD(INT(($CJ43+AP223)/{2,4,8,16,32,64,128,256,512,1024,2048,4096,8192,16384,32768}),2))*{2,4,8,16,32,64,128,256,512,1024,2048,4096,8192,16384,32768}),{2,4,8,16,32,64,128,256,512,1024,2048,4096,8192,16384,32768})=0))))</f>
        <v/>
      </c>
      <c r="AR223">
        <f>AQ223+IF(AND(AR133&gt;0,COUNTIF($Y133:AQ133,AR133)=0),0,IF(SUMPRODUCT(MOD(INT(AR178/{2,4,8,16,32,64,128,256,512,1024,2048,4096,8192,16384,32768}),2)*(1-MOD(INT(($CJ43+AQ223)/{2,4,8,16,32,64,128,256,512,1024,2048,4096,8192,16384,32768}),2))*{2,4,8,16,32,64,128,256,512,1024,2048,4096,8192,16384,32768})=0,0,2^SUMPRODUCT(--(MOD(SUMPRODUCT(MOD(INT(AR178/{2,4,8,16,32,64,128,256,512,1024,2048,4096,8192,16384,32768}),2)*(1-MOD(INT(($CJ43+AQ223)/{2,4,8,16,32,64,128,256,512,1024,2048,4096,8192,16384,32768}),2))*{2,4,8,16,32,64,128,256,512,1024,2048,4096,8192,16384,32768}),{2,4,8,16,32,64,128,256,512,1024,2048,4096,8192,16384,32768})=0))))</f>
        <v/>
      </c>
      <c r="AS223">
        <f>AR223+IF(AND(AS133&gt;0,COUNTIF($Y133:AR133,AS133)=0),0,IF(SUMPRODUCT(MOD(INT(AS178/{2,4,8,16,32,64,128,256,512,1024,2048,4096,8192,16384,32768}),2)*(1-MOD(INT(($CJ43+AR223)/{2,4,8,16,32,64,128,256,512,1024,2048,4096,8192,16384,32768}),2))*{2,4,8,16,32,64,128,256,512,1024,2048,4096,8192,16384,32768})=0,0,2^SUMPRODUCT(--(MOD(SUMPRODUCT(MOD(INT(AS178/{2,4,8,16,32,64,128,256,512,1024,2048,4096,8192,16384,32768}),2)*(1-MOD(INT(($CJ43+AR223)/{2,4,8,16,32,64,128,256,512,1024,2048,4096,8192,16384,32768}),2))*{2,4,8,16,32,64,128,256,512,1024,2048,4096,8192,16384,32768}),{2,4,8,16,32,64,128,256,512,1024,2048,4096,8192,16384,32768})=0))))</f>
        <v/>
      </c>
      <c r="AT223">
        <f>AS223+IF(AND(AT133&gt;0,COUNTIF($Y133:AS133,AT133)=0),0,IF(SUMPRODUCT(MOD(INT(AT178/{2,4,8,16,32,64,128,256,512,1024,2048,4096,8192,16384,32768}),2)*(1-MOD(INT(($CJ43+AS223)/{2,4,8,16,32,64,128,256,512,1024,2048,4096,8192,16384,32768}),2))*{2,4,8,16,32,64,128,256,512,1024,2048,4096,8192,16384,32768})=0,0,2^SUMPRODUCT(--(MOD(SUMPRODUCT(MOD(INT(AT178/{2,4,8,16,32,64,128,256,512,1024,2048,4096,8192,16384,32768}),2)*(1-MOD(INT(($CJ43+AS223)/{2,4,8,16,32,64,128,256,512,1024,2048,4096,8192,16384,32768}),2))*{2,4,8,16,32,64,128,256,512,1024,2048,4096,8192,16384,32768}),{2,4,8,16,32,64,128,256,512,1024,2048,4096,8192,16384,32768})=0))))</f>
        <v/>
      </c>
      <c r="AU223">
        <f>AT223+IF(AND(AU133&gt;0,COUNTIF($Y133:AT133,AU133)=0),0,IF(SUMPRODUCT(MOD(INT(AU178/{2,4,8,16,32,64,128,256,512,1024,2048,4096,8192,16384,32768}),2)*(1-MOD(INT(($CJ43+AT223)/{2,4,8,16,32,64,128,256,512,1024,2048,4096,8192,16384,32768}),2))*{2,4,8,16,32,64,128,256,512,1024,2048,4096,8192,16384,32768})=0,0,2^SUMPRODUCT(--(MOD(SUMPRODUCT(MOD(INT(AU178/{2,4,8,16,32,64,128,256,512,1024,2048,4096,8192,16384,32768}),2)*(1-MOD(INT(($CJ43+AT223)/{2,4,8,16,32,64,128,256,512,1024,2048,4096,8192,16384,32768}),2))*{2,4,8,16,32,64,128,256,512,1024,2048,4096,8192,16384,32768}),{2,4,8,16,32,64,128,256,512,1024,2048,4096,8192,16384,32768})=0))))</f>
        <v/>
      </c>
      <c r="AV223">
        <f>AU223+IF(AND(AV133&gt;0,COUNTIF($Y133:AU133,AV133)=0),0,IF(SUMPRODUCT(MOD(INT(AV178/{2,4,8,16,32,64,128,256,512,1024,2048,4096,8192,16384,32768}),2)*(1-MOD(INT(($CJ43+AU223)/{2,4,8,16,32,64,128,256,512,1024,2048,4096,8192,16384,32768}),2))*{2,4,8,16,32,64,128,256,512,1024,2048,4096,8192,16384,32768})=0,0,2^SUMPRODUCT(--(MOD(SUMPRODUCT(MOD(INT(AV178/{2,4,8,16,32,64,128,256,512,1024,2048,4096,8192,16384,32768}),2)*(1-MOD(INT(($CJ43+AU223)/{2,4,8,16,32,64,128,256,512,1024,2048,4096,8192,16384,32768}),2))*{2,4,8,16,32,64,128,256,512,1024,2048,4096,8192,16384,32768}),{2,4,8,16,32,64,128,256,512,1024,2048,4096,8192,16384,32768})=0))))</f>
        <v/>
      </c>
      <c r="AW223">
        <f>AV223+IF(AND(AW133&gt;0,COUNTIF($Y133:AV133,AW133)=0),0,IF(SUMPRODUCT(MOD(INT(AW178/{2,4,8,16,32,64,128,256,512,1024,2048,4096,8192,16384,32768}),2)*(1-MOD(INT(($CJ43+AV223)/{2,4,8,16,32,64,128,256,512,1024,2048,4096,8192,16384,32768}),2))*{2,4,8,16,32,64,128,256,512,1024,2048,4096,8192,16384,32768})=0,0,2^SUMPRODUCT(--(MOD(SUMPRODUCT(MOD(INT(AW178/{2,4,8,16,32,64,128,256,512,1024,2048,4096,8192,16384,32768}),2)*(1-MOD(INT(($CJ43+AV223)/{2,4,8,16,32,64,128,256,512,1024,2048,4096,8192,16384,32768}),2))*{2,4,8,16,32,64,128,256,512,1024,2048,4096,8192,16384,32768}),{2,4,8,16,32,64,128,256,512,1024,2048,4096,8192,16384,32768})=0))))</f>
        <v/>
      </c>
      <c r="AX223">
        <f>AW223+IF(AND(AX133&gt;0,COUNTIF($Y133:AW133,AX133)=0),0,IF(SUMPRODUCT(MOD(INT(AX178/{2,4,8,16,32,64,128,256,512,1024,2048,4096,8192,16384,32768}),2)*(1-MOD(INT(($CJ43+AW223)/{2,4,8,16,32,64,128,256,512,1024,2048,4096,8192,16384,32768}),2))*{2,4,8,16,32,64,128,256,512,1024,2048,4096,8192,16384,32768})=0,0,2^SUMPRODUCT(--(MOD(SUMPRODUCT(MOD(INT(AX178/{2,4,8,16,32,64,128,256,512,1024,2048,4096,8192,16384,32768}),2)*(1-MOD(INT(($CJ43+AW223)/{2,4,8,16,32,64,128,256,512,1024,2048,4096,8192,16384,32768}),2))*{2,4,8,16,32,64,128,256,512,1024,2048,4096,8192,16384,32768}),{2,4,8,16,32,64,128,256,512,1024,2048,4096,8192,16384,32768})=0))))</f>
        <v/>
      </c>
      <c r="AY223">
        <f>AX223+IF(AND(AY133&gt;0,COUNTIF($Y133:AX133,AY133)=0),0,IF(SUMPRODUCT(MOD(INT(AY178/{2,4,8,16,32,64,128,256,512,1024,2048,4096,8192,16384,32768}),2)*(1-MOD(INT(($CJ43+AX223)/{2,4,8,16,32,64,128,256,512,1024,2048,4096,8192,16384,32768}),2))*{2,4,8,16,32,64,128,256,512,1024,2048,4096,8192,16384,32768})=0,0,2^SUMPRODUCT(--(MOD(SUMPRODUCT(MOD(INT(AY178/{2,4,8,16,32,64,128,256,512,1024,2048,4096,8192,16384,32768}),2)*(1-MOD(INT(($CJ43+AX223)/{2,4,8,16,32,64,128,256,512,1024,2048,4096,8192,16384,32768}),2))*{2,4,8,16,32,64,128,256,512,1024,2048,4096,8192,16384,32768}),{2,4,8,16,32,64,128,256,512,1024,2048,4096,8192,16384,32768})=0))))</f>
        <v/>
      </c>
      <c r="AZ223">
        <f>AY223+IF(AND(AZ133&gt;0,COUNTIF($Y133:AY133,AZ133)=0),0,IF(SUMPRODUCT(MOD(INT(AZ178/{2,4,8,16,32,64,128,256,512,1024,2048,4096,8192,16384,32768}),2)*(1-MOD(INT(($CJ43+AY223)/{2,4,8,16,32,64,128,256,512,1024,2048,4096,8192,16384,32768}),2))*{2,4,8,16,32,64,128,256,512,1024,2048,4096,8192,16384,32768})=0,0,2^SUMPRODUCT(--(MOD(SUMPRODUCT(MOD(INT(AZ178/{2,4,8,16,32,64,128,256,512,1024,2048,4096,8192,16384,32768}),2)*(1-MOD(INT(($CJ43+AY223)/{2,4,8,16,32,64,128,256,512,1024,2048,4096,8192,16384,32768}),2))*{2,4,8,16,32,64,128,256,512,1024,2048,4096,8192,16384,32768}),{2,4,8,16,32,64,128,256,512,1024,2048,4096,8192,16384,32768})=0))))</f>
        <v/>
      </c>
      <c r="BA223">
        <f>AZ223+IF(AND(BA133&gt;0,COUNTIF($Y133:AZ133,BA133)=0),0,IF(SUMPRODUCT(MOD(INT(BA178/{2,4,8,16,32,64,128,256,512,1024,2048,4096,8192,16384,32768}),2)*(1-MOD(INT(($CJ43+AZ223)/{2,4,8,16,32,64,128,256,512,1024,2048,4096,8192,16384,32768}),2))*{2,4,8,16,32,64,128,256,512,1024,2048,4096,8192,16384,32768})=0,0,2^SUMPRODUCT(--(MOD(SUMPRODUCT(MOD(INT(BA178/{2,4,8,16,32,64,128,256,512,1024,2048,4096,8192,16384,32768}),2)*(1-MOD(INT(($CJ43+AZ223)/{2,4,8,16,32,64,128,256,512,1024,2048,4096,8192,16384,32768}),2))*{2,4,8,16,32,64,128,256,512,1024,2048,4096,8192,16384,32768}),{2,4,8,16,32,64,128,256,512,1024,2048,4096,8192,16384,32768})=0))))</f>
        <v/>
      </c>
      <c r="BB223">
        <f>BA223+IF(AND(BB133&gt;0,COUNTIF($Y133:BA133,BB133)=0),0,IF(SUMPRODUCT(MOD(INT(BB178/{2,4,8,16,32,64,128,256,512,1024,2048,4096,8192,16384,32768}),2)*(1-MOD(INT(($CJ43+BA223)/{2,4,8,16,32,64,128,256,512,1024,2048,4096,8192,16384,32768}),2))*{2,4,8,16,32,64,128,256,512,1024,2048,4096,8192,16384,32768})=0,0,2^SUMPRODUCT(--(MOD(SUMPRODUCT(MOD(INT(BB178/{2,4,8,16,32,64,128,256,512,1024,2048,4096,8192,16384,32768}),2)*(1-MOD(INT(($CJ43+BA223)/{2,4,8,16,32,64,128,256,512,1024,2048,4096,8192,16384,32768}),2))*{2,4,8,16,32,64,128,256,512,1024,2048,4096,8192,16384,32768}),{2,4,8,16,32,64,128,256,512,1024,2048,4096,8192,16384,32768})=0))))</f>
        <v/>
      </c>
      <c r="BC223">
        <f>BB223+IF(AND(BC133&gt;0,COUNTIF($Y133:BB133,BC133)=0),0,IF(SUMPRODUCT(MOD(INT(BC178/{2,4,8,16,32,64,128,256,512,1024,2048,4096,8192,16384,32768}),2)*(1-MOD(INT(($CJ43+BB223)/{2,4,8,16,32,64,128,256,512,1024,2048,4096,8192,16384,32768}),2))*{2,4,8,16,32,64,128,256,512,1024,2048,4096,8192,16384,32768})=0,0,2^SUMPRODUCT(--(MOD(SUMPRODUCT(MOD(INT(BC178/{2,4,8,16,32,64,128,256,512,1024,2048,4096,8192,16384,32768}),2)*(1-MOD(INT(($CJ43+BB223)/{2,4,8,16,32,64,128,256,512,1024,2048,4096,8192,16384,32768}),2))*{2,4,8,16,32,64,128,256,512,1024,2048,4096,8192,16384,32768}),{2,4,8,16,32,64,128,256,512,1024,2048,4096,8192,16384,32768})=0))))</f>
        <v/>
      </c>
      <c r="BD223">
        <f>BC223+IF(AND(BD133&gt;0,COUNTIF($Y133:BC133,BD133)=0),0,IF(SUMPRODUCT(MOD(INT(BD178/{2,4,8,16,32,64,128,256,512,1024,2048,4096,8192,16384,32768}),2)*(1-MOD(INT(($CJ43+BC223)/{2,4,8,16,32,64,128,256,512,1024,2048,4096,8192,16384,32768}),2))*{2,4,8,16,32,64,128,256,512,1024,2048,4096,8192,16384,32768})=0,0,2^SUMPRODUCT(--(MOD(SUMPRODUCT(MOD(INT(BD178/{2,4,8,16,32,64,128,256,512,1024,2048,4096,8192,16384,32768}),2)*(1-MOD(INT(($CJ43+BC223)/{2,4,8,16,32,64,128,256,512,1024,2048,4096,8192,16384,32768}),2))*{2,4,8,16,32,64,128,256,512,1024,2048,4096,8192,16384,32768}),{2,4,8,16,32,64,128,256,512,1024,2048,4096,8192,16384,32768})=0))))</f>
        <v/>
      </c>
      <c r="BE223">
        <f>BD223+IF(AND(BE133&gt;0,COUNTIF($Y133:BD133,BE133)=0),0,IF(SUMPRODUCT(MOD(INT(BE178/{2,4,8,16,32,64,128,256,512,1024,2048,4096,8192,16384,32768}),2)*(1-MOD(INT(($CJ43+BD223)/{2,4,8,16,32,64,128,256,512,1024,2048,4096,8192,16384,32768}),2))*{2,4,8,16,32,64,128,256,512,1024,2048,4096,8192,16384,32768})=0,0,2^SUMPRODUCT(--(MOD(SUMPRODUCT(MOD(INT(BE178/{2,4,8,16,32,64,128,256,512,1024,2048,4096,8192,16384,32768}),2)*(1-MOD(INT(($CJ43+BD223)/{2,4,8,16,32,64,128,256,512,1024,2048,4096,8192,16384,32768}),2))*{2,4,8,16,32,64,128,256,512,1024,2048,4096,8192,16384,32768}),{2,4,8,16,32,64,128,256,512,1024,2048,4096,8192,16384,32768})=0))))</f>
        <v/>
      </c>
      <c r="BF223">
        <f>BE223+IF(AND(BF133&gt;0,COUNTIF($Y133:BE133,BF133)=0),0,IF(SUMPRODUCT(MOD(INT(BF178/{2,4,8,16,32,64,128,256,512,1024,2048,4096,8192,16384,32768}),2)*(1-MOD(INT(($CJ43+BE223)/{2,4,8,16,32,64,128,256,512,1024,2048,4096,8192,16384,32768}),2))*{2,4,8,16,32,64,128,256,512,1024,2048,4096,8192,16384,32768})=0,0,2^SUMPRODUCT(--(MOD(SUMPRODUCT(MOD(INT(BF178/{2,4,8,16,32,64,128,256,512,1024,2048,4096,8192,16384,32768}),2)*(1-MOD(INT(($CJ43+BE223)/{2,4,8,16,32,64,128,256,512,1024,2048,4096,8192,16384,32768}),2))*{2,4,8,16,32,64,128,256,512,1024,2048,4096,8192,16384,32768}),{2,4,8,16,32,64,128,256,512,1024,2048,4096,8192,16384,32768})=0))))</f>
        <v/>
      </c>
      <c r="BG223">
        <f>BF223+IF(AND(BG133&gt;0,COUNTIF($Y133:BF133,BG133)=0),0,IF(SUMPRODUCT(MOD(INT(BG178/{2,4,8,16,32,64,128,256,512,1024,2048,4096,8192,16384,32768}),2)*(1-MOD(INT(($CJ43+BF223)/{2,4,8,16,32,64,128,256,512,1024,2048,4096,8192,16384,32768}),2))*{2,4,8,16,32,64,128,256,512,1024,2048,4096,8192,16384,32768})=0,0,2^SUMPRODUCT(--(MOD(SUMPRODUCT(MOD(INT(BG178/{2,4,8,16,32,64,128,256,512,1024,2048,4096,8192,16384,32768}),2)*(1-MOD(INT(($CJ43+BF223)/{2,4,8,16,32,64,128,256,512,1024,2048,4096,8192,16384,32768}),2))*{2,4,8,16,32,64,128,256,512,1024,2048,4096,8192,16384,32768}),{2,4,8,16,32,64,128,256,512,1024,2048,4096,8192,16384,32768})=0))))</f>
        <v/>
      </c>
      <c r="BH223">
        <f>BG223+IF(AND(BH133&gt;0,COUNTIF($Y133:BG133,BH133)=0),0,IF(SUMPRODUCT(MOD(INT(BH178/{2,4,8,16,32,64,128,256,512,1024,2048,4096,8192,16384,32768}),2)*(1-MOD(INT(($CJ43+BG223)/{2,4,8,16,32,64,128,256,512,1024,2048,4096,8192,16384,32768}),2))*{2,4,8,16,32,64,128,256,512,1024,2048,4096,8192,16384,32768})=0,0,2^SUMPRODUCT(--(MOD(SUMPRODUCT(MOD(INT(BH178/{2,4,8,16,32,64,128,256,512,1024,2048,4096,8192,16384,32768}),2)*(1-MOD(INT(($CJ43+BG223)/{2,4,8,16,32,64,128,256,512,1024,2048,4096,8192,16384,32768}),2))*{2,4,8,16,32,64,128,256,512,1024,2048,4096,8192,16384,32768}),{2,4,8,16,32,64,128,256,512,1024,2048,4096,8192,16384,32768})=0))))</f>
        <v/>
      </c>
      <c r="BI223">
        <f>BH223+IF(AND(BI133&gt;0,COUNTIF($Y133:BH133,BI133)=0),0,IF(SUMPRODUCT(MOD(INT(BI178/{2,4,8,16,32,64,128,256,512,1024,2048,4096,8192,16384,32768}),2)*(1-MOD(INT(($CJ43+BH223)/{2,4,8,16,32,64,128,256,512,1024,2048,4096,8192,16384,32768}),2))*{2,4,8,16,32,64,128,256,512,1024,2048,4096,8192,16384,32768})=0,0,2^SUMPRODUCT(--(MOD(SUMPRODUCT(MOD(INT(BI178/{2,4,8,16,32,64,128,256,512,1024,2048,4096,8192,16384,32768}),2)*(1-MOD(INT(($CJ43+BH223)/{2,4,8,16,32,64,128,256,512,1024,2048,4096,8192,16384,32768}),2))*{2,4,8,16,32,64,128,256,512,1024,2048,4096,8192,16384,32768}),{2,4,8,16,32,64,128,256,512,1024,2048,4096,8192,16384,32768})=0))))</f>
        <v/>
      </c>
      <c r="BJ223">
        <f>BI223+IF(AND(BJ133&gt;0,COUNTIF($Y133:BI133,BJ133)=0),0,IF(SUMPRODUCT(MOD(INT(BJ178/{2,4,8,16,32,64,128,256,512,1024,2048,4096,8192,16384,32768}),2)*(1-MOD(INT(($CJ43+BI223)/{2,4,8,16,32,64,128,256,512,1024,2048,4096,8192,16384,32768}),2))*{2,4,8,16,32,64,128,256,512,1024,2048,4096,8192,16384,32768})=0,0,2^SUMPRODUCT(--(MOD(SUMPRODUCT(MOD(INT(BJ178/{2,4,8,16,32,64,128,256,512,1024,2048,4096,8192,16384,32768}),2)*(1-MOD(INT(($CJ43+BI223)/{2,4,8,16,32,64,128,256,512,1024,2048,4096,8192,16384,32768}),2))*{2,4,8,16,32,64,128,256,512,1024,2048,4096,8192,16384,32768}),{2,4,8,16,32,64,128,256,512,1024,2048,4096,8192,16384,32768})=0))))</f>
        <v/>
      </c>
      <c r="BK223">
        <f>BJ223+IF(AND(BK133&gt;0,COUNTIF($Y133:BJ133,BK133)=0),0,IF(SUMPRODUCT(MOD(INT(BK178/{2,4,8,16,32,64,128,256,512,1024,2048,4096,8192,16384,32768}),2)*(1-MOD(INT(($CJ43+BJ223)/{2,4,8,16,32,64,128,256,512,1024,2048,4096,8192,16384,32768}),2))*{2,4,8,16,32,64,128,256,512,1024,2048,4096,8192,16384,32768})=0,0,2^SUMPRODUCT(--(MOD(SUMPRODUCT(MOD(INT(BK178/{2,4,8,16,32,64,128,256,512,1024,2048,4096,8192,16384,32768}),2)*(1-MOD(INT(($CJ43+BJ223)/{2,4,8,16,32,64,128,256,512,1024,2048,4096,8192,16384,32768}),2))*{2,4,8,16,32,64,128,256,512,1024,2048,4096,8192,16384,32768}),{2,4,8,16,32,64,128,256,512,1024,2048,4096,8192,16384,32768})=0))))</f>
        <v/>
      </c>
      <c r="BL223">
        <f>BK223+IF(AND(BL133&gt;0,COUNTIF($Y133:BK133,BL133)=0),0,IF(SUMPRODUCT(MOD(INT(BL178/{2,4,8,16,32,64,128,256,512,1024,2048,4096,8192,16384,32768}),2)*(1-MOD(INT(($CJ43+BK223)/{2,4,8,16,32,64,128,256,512,1024,2048,4096,8192,16384,32768}),2))*{2,4,8,16,32,64,128,256,512,1024,2048,4096,8192,16384,32768})=0,0,2^SUMPRODUCT(--(MOD(SUMPRODUCT(MOD(INT(BL178/{2,4,8,16,32,64,128,256,512,1024,2048,4096,8192,16384,32768}),2)*(1-MOD(INT(($CJ43+BK223)/{2,4,8,16,32,64,128,256,512,1024,2048,4096,8192,16384,32768}),2))*{2,4,8,16,32,64,128,256,512,1024,2048,4096,8192,16384,32768}),{2,4,8,16,32,64,128,256,512,1024,2048,4096,8192,16384,32768})=0))))</f>
        <v/>
      </c>
      <c r="BM223">
        <f>BL223+IF(AND(BM133&gt;0,COUNTIF($Y133:BL133,BM133)=0),0,IF(SUMPRODUCT(MOD(INT(BM178/{2,4,8,16,32,64,128,256,512,1024,2048,4096,8192,16384,32768}),2)*(1-MOD(INT(($CJ43+BL223)/{2,4,8,16,32,64,128,256,512,1024,2048,4096,8192,16384,32768}),2))*{2,4,8,16,32,64,128,256,512,1024,2048,4096,8192,16384,32768})=0,0,2^SUMPRODUCT(--(MOD(SUMPRODUCT(MOD(INT(BM178/{2,4,8,16,32,64,128,256,512,1024,2048,4096,8192,16384,32768}),2)*(1-MOD(INT(($CJ43+BL223)/{2,4,8,16,32,64,128,256,512,1024,2048,4096,8192,16384,32768}),2))*{2,4,8,16,32,64,128,256,512,1024,2048,4096,8192,16384,32768}),{2,4,8,16,32,64,128,256,512,1024,2048,4096,8192,16384,32768})=0))))</f>
        <v/>
      </c>
      <c r="BN223">
        <f>BM223+IF(AND(BN133&gt;0,COUNTIF($Y133:BM133,BN133)=0),0,IF(SUMPRODUCT(MOD(INT(BN178/{2,4,8,16,32,64,128,256,512,1024,2048,4096,8192,16384,32768}),2)*(1-MOD(INT(($CJ43+BM223)/{2,4,8,16,32,64,128,256,512,1024,2048,4096,8192,16384,32768}),2))*{2,4,8,16,32,64,128,256,512,1024,2048,4096,8192,16384,32768})=0,0,2^SUMPRODUCT(--(MOD(SUMPRODUCT(MOD(INT(BN178/{2,4,8,16,32,64,128,256,512,1024,2048,4096,8192,16384,32768}),2)*(1-MOD(INT(($CJ43+BM223)/{2,4,8,16,32,64,128,256,512,1024,2048,4096,8192,16384,32768}),2))*{2,4,8,16,32,64,128,256,512,1024,2048,4096,8192,16384,32768}),{2,4,8,16,32,64,128,256,512,1024,2048,4096,8192,16384,32768})=0))))</f>
        <v/>
      </c>
      <c r="BO223">
        <f>BN223+IF(AND(BO133&gt;0,COUNTIF($Y133:BN133,BO133)=0),0,IF(SUMPRODUCT(MOD(INT(BO178/{2,4,8,16,32,64,128,256,512,1024,2048,4096,8192,16384,32768}),2)*(1-MOD(INT(($CJ43+BN223)/{2,4,8,16,32,64,128,256,512,1024,2048,4096,8192,16384,32768}),2))*{2,4,8,16,32,64,128,256,512,1024,2048,4096,8192,16384,32768})=0,0,2^SUMPRODUCT(--(MOD(SUMPRODUCT(MOD(INT(BO178/{2,4,8,16,32,64,128,256,512,1024,2048,4096,8192,16384,32768}),2)*(1-MOD(INT(($CJ43+BN223)/{2,4,8,16,32,64,128,256,512,1024,2048,4096,8192,16384,32768}),2))*{2,4,8,16,32,64,128,256,512,1024,2048,4096,8192,16384,32768}),{2,4,8,16,32,64,128,256,512,1024,2048,4096,8192,16384,32768})=0))))</f>
        <v/>
      </c>
      <c r="BP223">
        <f>BO223+IF(AND(BP133&gt;0,COUNTIF($Y133:BO133,BP133)=0),0,IF(SUMPRODUCT(MOD(INT(BP178/{2,4,8,16,32,64,128,256,512,1024,2048,4096,8192,16384,32768}),2)*(1-MOD(INT(($CJ43+BO223)/{2,4,8,16,32,64,128,256,512,1024,2048,4096,8192,16384,32768}),2))*{2,4,8,16,32,64,128,256,512,1024,2048,4096,8192,16384,32768})=0,0,2^SUMPRODUCT(--(MOD(SUMPRODUCT(MOD(INT(BP178/{2,4,8,16,32,64,128,256,512,1024,2048,4096,8192,16384,32768}),2)*(1-MOD(INT(($CJ43+BO223)/{2,4,8,16,32,64,128,256,512,1024,2048,4096,8192,16384,32768}),2))*{2,4,8,16,32,64,128,256,512,1024,2048,4096,8192,16384,32768}),{2,4,8,16,32,64,128,256,512,1024,2048,4096,8192,16384,32768})=0))))</f>
        <v/>
      </c>
      <c r="BQ223">
        <f>BP223+IF(AND(BQ133&gt;0,COUNTIF($Y133:BP133,BQ133)=0),0,IF(SUMPRODUCT(MOD(INT(BQ178/{2,4,8,16,32,64,128,256,512,1024,2048,4096,8192,16384,32768}),2)*(1-MOD(INT(($CJ43+BP223)/{2,4,8,16,32,64,128,256,512,1024,2048,4096,8192,16384,32768}),2))*{2,4,8,16,32,64,128,256,512,1024,2048,4096,8192,16384,32768})=0,0,2^SUMPRODUCT(--(MOD(SUMPRODUCT(MOD(INT(BQ178/{2,4,8,16,32,64,128,256,512,1024,2048,4096,8192,16384,32768}),2)*(1-MOD(INT(($CJ43+BP223)/{2,4,8,16,32,64,128,256,512,1024,2048,4096,8192,16384,32768}),2))*{2,4,8,16,32,64,128,256,512,1024,2048,4096,8192,16384,32768}),{2,4,8,16,32,64,128,256,512,1024,2048,4096,8192,16384,32768})=0))))</f>
        <v/>
      </c>
      <c r="BR223">
        <f>BQ223+IF(AND(BR133&gt;0,COUNTIF($Y133:BQ133,BR133)=0),0,IF(SUMPRODUCT(MOD(INT(BR178/{2,4,8,16,32,64,128,256,512,1024,2048,4096,8192,16384,32768}),2)*(1-MOD(INT(($CJ43+BQ223)/{2,4,8,16,32,64,128,256,512,1024,2048,4096,8192,16384,32768}),2))*{2,4,8,16,32,64,128,256,512,1024,2048,4096,8192,16384,32768})=0,0,2^SUMPRODUCT(--(MOD(SUMPRODUCT(MOD(INT(BR178/{2,4,8,16,32,64,128,256,512,1024,2048,4096,8192,16384,32768}),2)*(1-MOD(INT(($CJ43+BQ223)/{2,4,8,16,32,64,128,256,512,1024,2048,4096,8192,16384,32768}),2))*{2,4,8,16,32,64,128,256,512,1024,2048,4096,8192,16384,32768}),{2,4,8,16,32,64,128,256,512,1024,2048,4096,8192,16384,32768})=0))))</f>
        <v/>
      </c>
      <c r="BS223">
        <f>BR223+IF(AND(BS133&gt;0,COUNTIF($Y133:BR133,BS133)=0),0,IF(SUMPRODUCT(MOD(INT(BS178/{2,4,8,16,32,64,128,256,512,1024,2048,4096,8192,16384,32768}),2)*(1-MOD(INT(($CJ43+BR223)/{2,4,8,16,32,64,128,256,512,1024,2048,4096,8192,16384,32768}),2))*{2,4,8,16,32,64,128,256,512,1024,2048,4096,8192,16384,32768})=0,0,2^SUMPRODUCT(--(MOD(SUMPRODUCT(MOD(INT(BS178/{2,4,8,16,32,64,128,256,512,1024,2048,4096,8192,16384,32768}),2)*(1-MOD(INT(($CJ43+BR223)/{2,4,8,16,32,64,128,256,512,1024,2048,4096,8192,16384,32768}),2))*{2,4,8,16,32,64,128,256,512,1024,2048,4096,8192,16384,32768}),{2,4,8,16,32,64,128,256,512,1024,2048,4096,8192,16384,32768})=0))))</f>
        <v/>
      </c>
      <c r="BT223">
        <f>BS223+IF(AND(BT133&gt;0,COUNTIF($Y133:BS133,BT133)=0),0,IF(SUMPRODUCT(MOD(INT(BT178/{2,4,8,16,32,64,128,256,512,1024,2048,4096,8192,16384,32768}),2)*(1-MOD(INT(($CJ43+BS223)/{2,4,8,16,32,64,128,256,512,1024,2048,4096,8192,16384,32768}),2))*{2,4,8,16,32,64,128,256,512,1024,2048,4096,8192,16384,32768})=0,0,2^SUMPRODUCT(--(MOD(SUMPRODUCT(MOD(INT(BT178/{2,4,8,16,32,64,128,256,512,1024,2048,4096,8192,16384,32768}),2)*(1-MOD(INT(($CJ43+BS223)/{2,4,8,16,32,64,128,256,512,1024,2048,4096,8192,16384,32768}),2))*{2,4,8,16,32,64,128,256,512,1024,2048,4096,8192,16384,32768}),{2,4,8,16,32,64,128,256,512,1024,2048,4096,8192,16384,32768})=0))))</f>
        <v/>
      </c>
      <c r="BU223">
        <f>BT223+IF(AND(BU133&gt;0,COUNTIF($Y133:BT133,BU133)=0),0,IF(SUMPRODUCT(MOD(INT(BU178/{2,4,8,16,32,64,128,256,512,1024,2048,4096,8192,16384,32768}),2)*(1-MOD(INT(($CJ43+BT223)/{2,4,8,16,32,64,128,256,512,1024,2048,4096,8192,16384,32768}),2))*{2,4,8,16,32,64,128,256,512,1024,2048,4096,8192,16384,32768})=0,0,2^SUMPRODUCT(--(MOD(SUMPRODUCT(MOD(INT(BU178/{2,4,8,16,32,64,128,256,512,1024,2048,4096,8192,16384,32768}),2)*(1-MOD(INT(($CJ43+BT223)/{2,4,8,16,32,64,128,256,512,1024,2048,4096,8192,16384,32768}),2))*{2,4,8,16,32,64,128,256,512,1024,2048,4096,8192,16384,32768}),{2,4,8,16,32,64,128,256,512,1024,2048,4096,8192,16384,32768})=0))))</f>
        <v/>
      </c>
      <c r="BV223">
        <f>BU223+IF(AND(BV133&gt;0,COUNTIF($Y133:BU133,BV133)=0),0,IF(SUMPRODUCT(MOD(INT(BV178/{2,4,8,16,32,64,128,256,512,1024,2048,4096,8192,16384,32768}),2)*(1-MOD(INT(($CJ43+BU223)/{2,4,8,16,32,64,128,256,512,1024,2048,4096,8192,16384,32768}),2))*{2,4,8,16,32,64,128,256,512,1024,2048,4096,8192,16384,32768})=0,0,2^SUMPRODUCT(--(MOD(SUMPRODUCT(MOD(INT(BV178/{2,4,8,16,32,64,128,256,512,1024,2048,4096,8192,16384,32768}),2)*(1-MOD(INT(($CJ43+BU223)/{2,4,8,16,32,64,128,256,512,1024,2048,4096,8192,16384,32768}),2))*{2,4,8,16,32,64,128,256,512,1024,2048,4096,8192,16384,32768}),{2,4,8,16,32,64,128,256,512,1024,2048,4096,8192,16384,32768})=0))))</f>
        <v/>
      </c>
      <c r="BW223">
        <f>BV223+IF(AND(BW133&gt;0,COUNTIF($Y133:BV133,BW133)=0),0,IF(SUMPRODUCT(MOD(INT(BW178/{2,4,8,16,32,64,128,256,512,1024,2048,4096,8192,16384,32768}),2)*(1-MOD(INT(($CJ43+BV223)/{2,4,8,16,32,64,128,256,512,1024,2048,4096,8192,16384,32768}),2))*{2,4,8,16,32,64,128,256,512,1024,2048,4096,8192,16384,32768})=0,0,2^SUMPRODUCT(--(MOD(SUMPRODUCT(MOD(INT(BW178/{2,4,8,16,32,64,128,256,512,1024,2048,4096,8192,16384,32768}),2)*(1-MOD(INT(($CJ43+BV223)/{2,4,8,16,32,64,128,256,512,1024,2048,4096,8192,16384,32768}),2))*{2,4,8,16,32,64,128,256,512,1024,2048,4096,8192,16384,32768}),{2,4,8,16,32,64,128,256,512,1024,2048,4096,8192,16384,32768})=0))))</f>
        <v/>
      </c>
      <c r="BX223">
        <f>BW223+IF(AND(BX133&gt;0,COUNTIF($Y133:BW133,BX133)=0),0,IF(SUMPRODUCT(MOD(INT(BX178/{2,4,8,16,32,64,128,256,512,1024,2048,4096,8192,16384,32768}),2)*(1-MOD(INT(($CJ43+BW223)/{2,4,8,16,32,64,128,256,512,1024,2048,4096,8192,16384,32768}),2))*{2,4,8,16,32,64,128,256,512,1024,2048,4096,8192,16384,32768})=0,0,2^SUMPRODUCT(--(MOD(SUMPRODUCT(MOD(INT(BX178/{2,4,8,16,32,64,128,256,512,1024,2048,4096,8192,16384,32768}),2)*(1-MOD(INT(($CJ43+BW223)/{2,4,8,16,32,64,128,256,512,1024,2048,4096,8192,16384,32768}),2))*{2,4,8,16,32,64,128,256,512,1024,2048,4096,8192,16384,32768}),{2,4,8,16,32,64,128,256,512,1024,2048,4096,8192,16384,32768})=0))))</f>
        <v/>
      </c>
      <c r="BY223">
        <f>BX223+IF(AND(BY133&gt;0,COUNTIF($Y133:BX133,BY133)=0),0,IF(SUMPRODUCT(MOD(INT(BY178/{2,4,8,16,32,64,128,256,512,1024,2048,4096,8192,16384,32768}),2)*(1-MOD(INT(($CJ43+BX223)/{2,4,8,16,32,64,128,256,512,1024,2048,4096,8192,16384,32768}),2))*{2,4,8,16,32,64,128,256,512,1024,2048,4096,8192,16384,32768})=0,0,2^SUMPRODUCT(--(MOD(SUMPRODUCT(MOD(INT(BY178/{2,4,8,16,32,64,128,256,512,1024,2048,4096,8192,16384,32768}),2)*(1-MOD(INT(($CJ43+BX223)/{2,4,8,16,32,64,128,256,512,1024,2048,4096,8192,16384,32768}),2))*{2,4,8,16,32,64,128,256,512,1024,2048,4096,8192,16384,32768}),{2,4,8,16,32,64,128,256,512,1024,2048,4096,8192,16384,32768})=0))))</f>
        <v/>
      </c>
      <c r="BZ223">
        <f>BY223+IF(AND(BZ133&gt;0,COUNTIF($Y133:BY133,BZ133)=0),0,IF(SUMPRODUCT(MOD(INT(BZ178/{2,4,8,16,32,64,128,256,512,1024,2048,4096,8192,16384,32768}),2)*(1-MOD(INT(($CJ43+BY223)/{2,4,8,16,32,64,128,256,512,1024,2048,4096,8192,16384,32768}),2))*{2,4,8,16,32,64,128,256,512,1024,2048,4096,8192,16384,32768})=0,0,2^SUMPRODUCT(--(MOD(SUMPRODUCT(MOD(INT(BZ178/{2,4,8,16,32,64,128,256,512,1024,2048,4096,8192,16384,32768}),2)*(1-MOD(INT(($CJ43+BY223)/{2,4,8,16,32,64,128,256,512,1024,2048,4096,8192,16384,32768}),2))*{2,4,8,16,32,64,128,256,512,1024,2048,4096,8192,16384,32768}),{2,4,8,16,32,64,128,256,512,1024,2048,4096,8192,16384,32768})=0))))</f>
        <v/>
      </c>
      <c r="CA223">
        <f>BZ223+IF(AND(CA133&gt;0,COUNTIF($Y133:BZ133,CA133)=0),0,IF(SUMPRODUCT(MOD(INT(CA178/{2,4,8,16,32,64,128,256,512,1024,2048,4096,8192,16384,32768}),2)*(1-MOD(INT(($CJ43+BZ223)/{2,4,8,16,32,64,128,256,512,1024,2048,4096,8192,16384,32768}),2))*{2,4,8,16,32,64,128,256,512,1024,2048,4096,8192,16384,32768})=0,0,2^SUMPRODUCT(--(MOD(SUMPRODUCT(MOD(INT(CA178/{2,4,8,16,32,64,128,256,512,1024,2048,4096,8192,16384,32768}),2)*(1-MOD(INT(($CJ43+BZ223)/{2,4,8,16,32,64,128,256,512,1024,2048,4096,8192,16384,32768}),2))*{2,4,8,16,32,64,128,256,512,1024,2048,4096,8192,16384,32768}),{2,4,8,16,32,64,128,256,512,1024,2048,4096,8192,16384,32768})=0))))</f>
        <v/>
      </c>
      <c r="CB223">
        <f>CA223+IF(AND(CB133&gt;0,COUNTIF($Y133:CA133,CB133)=0),0,IF(SUMPRODUCT(MOD(INT(CB178/{2,4,8,16,32,64,128,256,512,1024,2048,4096,8192,16384,32768}),2)*(1-MOD(INT(($CJ43+CA223)/{2,4,8,16,32,64,128,256,512,1024,2048,4096,8192,16384,32768}),2))*{2,4,8,16,32,64,128,256,512,1024,2048,4096,8192,16384,32768})=0,0,2^SUMPRODUCT(--(MOD(SUMPRODUCT(MOD(INT(CB178/{2,4,8,16,32,64,128,256,512,1024,2048,4096,8192,16384,32768}),2)*(1-MOD(INT(($CJ43+CA223)/{2,4,8,16,32,64,128,256,512,1024,2048,4096,8192,16384,32768}),2))*{2,4,8,16,32,64,128,256,512,1024,2048,4096,8192,16384,32768}),{2,4,8,16,32,64,128,256,512,1024,2048,4096,8192,16384,32768})=0))))</f>
        <v/>
      </c>
      <c r="CC223">
        <f>CB223+IF(AND(CC133&gt;0,COUNTIF($Y133:CB133,CC133)=0),0,IF(SUMPRODUCT(MOD(INT(CC178/{2,4,8,16,32,64,128,256,512,1024,2048,4096,8192,16384,32768}),2)*(1-MOD(INT(($CJ43+CB223)/{2,4,8,16,32,64,128,256,512,1024,2048,4096,8192,16384,32768}),2))*{2,4,8,16,32,64,128,256,512,1024,2048,4096,8192,16384,32768})=0,0,2^SUMPRODUCT(--(MOD(SUMPRODUCT(MOD(INT(CC178/{2,4,8,16,32,64,128,256,512,1024,2048,4096,8192,16384,32768}),2)*(1-MOD(INT(($CJ43+CB223)/{2,4,8,16,32,64,128,256,512,1024,2048,4096,8192,16384,32768}),2))*{2,4,8,16,32,64,128,256,512,1024,2048,4096,8192,16384,32768}),{2,4,8,16,32,64,128,256,512,1024,2048,4096,8192,16384,32768})=0))))</f>
        <v/>
      </c>
      <c r="CD223">
        <f>CC223+IF(AND(CD133&gt;0,COUNTIF($Y133:CC133,CD133)=0),0,IF(SUMPRODUCT(MOD(INT(CD178/{2,4,8,16,32,64,128,256,512,1024,2048,4096,8192,16384,32768}),2)*(1-MOD(INT(($CJ43+CC223)/{2,4,8,16,32,64,128,256,512,1024,2048,4096,8192,16384,32768}),2))*{2,4,8,16,32,64,128,256,512,1024,2048,4096,8192,16384,32768})=0,0,2^SUMPRODUCT(--(MOD(SUMPRODUCT(MOD(INT(CD178/{2,4,8,16,32,64,128,256,512,1024,2048,4096,8192,16384,32768}),2)*(1-MOD(INT(($CJ43+CC223)/{2,4,8,16,32,64,128,256,512,1024,2048,4096,8192,16384,32768}),2))*{2,4,8,16,32,64,128,256,512,1024,2048,4096,8192,16384,32768}),{2,4,8,16,32,64,128,256,512,1024,2048,4096,8192,16384,32768})=0))))</f>
        <v/>
      </c>
      <c r="CE223">
        <f>CD223+IF(AND(CE133&gt;0,COUNTIF($Y133:CD133,CE133)=0),0,IF(SUMPRODUCT(MOD(INT(CE178/{2,4,8,16,32,64,128,256,512,1024,2048,4096,8192,16384,32768}),2)*(1-MOD(INT(($CJ43+CD223)/{2,4,8,16,32,64,128,256,512,1024,2048,4096,8192,16384,32768}),2))*{2,4,8,16,32,64,128,256,512,1024,2048,4096,8192,16384,32768})=0,0,2^SUMPRODUCT(--(MOD(SUMPRODUCT(MOD(INT(CE178/{2,4,8,16,32,64,128,256,512,1024,2048,4096,8192,16384,32768}),2)*(1-MOD(INT(($CJ43+CD223)/{2,4,8,16,32,64,128,256,512,1024,2048,4096,8192,16384,32768}),2))*{2,4,8,16,32,64,128,256,512,1024,2048,4096,8192,16384,32768}),{2,4,8,16,32,64,128,256,512,1024,2048,4096,8192,16384,32768})=0))))</f>
        <v/>
      </c>
      <c r="CF223">
        <f>CE223+IF(AND(CF133&gt;0,COUNTIF($Y133:CE133,CF133)=0),0,IF(SUMPRODUCT(MOD(INT(CF178/{2,4,8,16,32,64,128,256,512,1024,2048,4096,8192,16384,32768}),2)*(1-MOD(INT(($CJ43+CE223)/{2,4,8,16,32,64,128,256,512,1024,2048,4096,8192,16384,32768}),2))*{2,4,8,16,32,64,128,256,512,1024,2048,4096,8192,16384,32768})=0,0,2^SUMPRODUCT(--(MOD(SUMPRODUCT(MOD(INT(CF178/{2,4,8,16,32,64,128,256,512,1024,2048,4096,8192,16384,32768}),2)*(1-MOD(INT(($CJ43+CE223)/{2,4,8,16,32,64,128,256,512,1024,2048,4096,8192,16384,32768}),2))*{2,4,8,16,32,64,128,256,512,1024,2048,4096,8192,16384,32768}),{2,4,8,16,32,64,128,256,512,1024,2048,4096,8192,16384,32768})=0))))</f>
        <v/>
      </c>
      <c r="DA223" t="n">
        <v>219</v>
      </c>
      <c r="DB223">
        <f>IF($B$37=0,"",IFERROR(TRIM(SUBSTITUTE(SUBSTITUTE(SUBSTITUTE(SUBSTITUTE(INDEX(PASTE_ALL,219,$B$37)," "," "),CHAR(9)," "),CHAR(10)," "),CHAR(13)," ")),""))</f>
        <v/>
      </c>
      <c r="DC223">
        <f>IF(AND(219&gt;HEADER_ROW,UPPER(DB223)="LEGEND"),1,0)</f>
        <v/>
      </c>
      <c r="DE223" t="n">
        <v>219</v>
      </c>
      <c r="DF223">
        <f>HEADER_ROW+$DE223</f>
        <v/>
      </c>
      <c r="DG223">
        <f>IF(AND($DF223&lt;=1000,$DF223&lt;$B$8),1,0)</f>
        <v/>
      </c>
      <c r="DH223">
        <f>IF($DG223=1,IFERROR(INDEX($DB$5:$DB$1004,$DF223),""),"")</f>
        <v/>
      </c>
      <c r="DI223">
        <f>IF(AND($DG223=1,$DH223&lt;&gt;""),IFERROR(SUBSTITUTE(SUBSTITUTE(TRIM(SUBSTITUTE(SUBSTITUTE(SUBSTITUTE(SUBSTITUTE(IFERROR(INDEX(PASTE_ALL,$DF223,1)&amp;"","")&amp;"␟"&amp;IFERROR(INDEX(PASTE_ALL,$DF223,2)&amp;"","")&amp;"␟"&amp;IFERROR(INDEX(PASTE_ALL,$DF223,3)&amp;"","")&amp;"␟"&amp;IFERROR(INDEX(PASTE_ALL,$DF223,4)&amp;"","")&amp;"␟"&amp;IFERROR(INDEX(PASTE_ALL,$DF223,5)&amp;"","")&amp;"␟"&amp;IFERROR(INDEX(PASTE_ALL,$DF223,6)&amp;"","")&amp;"␟"&amp;IFERROR(INDEX(PASTE_ALL,$DF223,7)&amp;"","")&amp;"␟"&amp;IFERROR(INDEX(PASTE_ALL,$DF223,8)&amp;"","")&amp;"␟"&amp;IFERROR(INDEX(PASTE_ALL,$DF223,9)&amp;"","")&amp;"␟"&amp;IFERROR(INDEX(PASTE_ALL,$DF223,10)&amp;"","")&amp;"␟"&amp;IFERROR(INDEX(PASTE_ALL,$DF223,11)&amp;"","")&amp;"␟"&amp;IFERROR(INDEX(PASTE_ALL,$DF223,12)&amp;"","")&amp;"␟"&amp;IFERROR(INDEX(PASTE_ALL,$DF223,13)&amp;"","")&amp;"␟"&amp;IFERROR(INDEX(PASTE_ALL,$DF223,14)&amp;"","")&amp;"␟"&amp;IFERROR(INDEX(PASTE_ALL,$DF223,15)&amp;"","")&amp;"␟"&amp;IFERROR(INDEX(PASTE_ALL,$DF223,16)&amp;"","")&amp;"␟"&amp;IFERROR(INDEX(PASTE_ALL,$DF223,17)&amp;"","")&amp;"␟"&amp;IFERROR(INDEX(PASTE_ALL,$DF223,18)&amp;"","")&amp;"␟"&amp;IFERROR(INDEX(PASTE_ALL,$DF223,19)&amp;"","")&amp;"␟"&amp;IFERROR(INDEX(PASTE_ALL,$DF223,20)&amp;"","")&amp;"␟"&amp;IFERROR(INDEX(PASTE_ALL,$DF223,21)&amp;"","")&amp;"␟"&amp;IFERROR(INDEX(PASTE_ALL,$DF223,22)&amp;"","")&amp;"␟"&amp;IFERROR(INDEX(PASTE_ALL,$DF223,23)&amp;"","")&amp;"␟"&amp;IFERROR(INDEX(PASTE_ALL,$DF223,24)&amp;"","")&amp;"␟"&amp;IFERROR(INDEX(PASTE_ALL,$DF223,25)&amp;"","")&amp;"␟"&amp;IFERROR(INDEX(PASTE_ALL,$DF223,26)&amp;"","")&amp;"␟"&amp;IFERROR(INDEX(PASTE_ALL,$DF223,27)&amp;"","")&amp;"␟"&amp;IFERROR(INDEX(PASTE_ALL,$DF223,28)&amp;"","")&amp;"␟"&amp;IFERROR(INDEX(PASTE_ALL,$DF223,29)&amp;"","")&amp;"␟"&amp;IFERROR(INDEX(PASTE_ALL,$DF223,30)&amp;"","")&amp;"␟"&amp;IFERROR(INDEX(PASTE_ALL,$DF223,31)&amp;"","")&amp;"␟"&amp;IFERROR(INDEX(PASTE_ALL,$DF223,32)&amp;"","")&amp;"␟"&amp;IFERROR(INDEX(PASTE_ALL,$DF223,33)&amp;"","")&amp;"␟"&amp;IFERROR(INDEX(PASTE_ALL,$DF223,34)&amp;"","")&amp;"␟"&amp;IFERROR(INDEX(PASTE_ALL,$DF223,35)&amp;"","")&amp;"␟"&amp;IFERROR(INDEX(PASTE_ALL,$DF223,36)&amp;"","")&amp;"␟"&amp;IFERROR(INDEX(PASTE_ALL,$DF223,37)&amp;"","")&amp;"␟"&amp;IFERROR(INDEX(PASTE_ALL,$DF223,38)&amp;"","")&amp;"␟"&amp;IFERROR(INDEX(PASTE_ALL,$DF223,39)&amp;"","")&amp;"␟"&amp;IFERROR(INDEX(PASTE_ALL,$DF223,40)&amp;"","")&amp;"␟"&amp;IFERROR(INDEX(PASTE_ALL,$DF223,41)&amp;"","")&amp;"␟"&amp;IFERROR(INDEX(PASTE_ALL,$DF223,42)&amp;"","")&amp;"␟"&amp;IFERROR(INDEX(PASTE_ALL,$DF223,43)&amp;"","")&amp;"␟"&amp;IFERROR(INDEX(PASTE_ALL,$DF223,44)&amp;"","")&amp;"␟"&amp;IFERROR(INDEX(PASTE_ALL,$DF223,45)&amp;"","")&amp;"␟"&amp;IFERROR(INDEX(PASTE_ALL,$DF223,46)&amp;"","")&amp;"␟"&amp;IFERROR(INDEX(PASTE_ALL,$DF223,47)&amp;"","")&amp;"␟"&amp;IFERROR(INDEX(PASTE_ALL,$DF223,48)&amp;"","")&amp;"␟"&amp;IFERROR(INDEX(PASTE_ALL,$DF223,49)&amp;"","")&amp;"␟"&amp;IFERROR(INDEX(PASTE_ALL,$DF223,50)&amp;"","")&amp;"␟"&amp;IFERROR(INDEX(PASTE_ALL,$DF223,51)&amp;"","")&amp;"␟"&amp;IFERROR(INDEX(PASTE_ALL,$DF223,52)&amp;"","")&amp;"␟"&amp;IFERROR(INDEX(PASTE_ALL,$DF223,53)&amp;"","")&amp;"␟"&amp;IFERROR(INDEX(PASTE_ALL,$DF223,54)&amp;"","")&amp;"␟"&amp;IFERROR(INDEX(PASTE_ALL,$DF223,55)&amp;"","")&amp;"␟"&amp;IFERROR(INDEX(PASTE_ALL,$DF223,56)&amp;"","")&amp;"␟"&amp;IFERROR(INDEX(PASTE_ALL,$DF223,57)&amp;"","")&amp;"␟"&amp;IFERROR(INDEX(PASTE_ALL,$DF223,58)&amp;"","")&amp;"␟"&amp;IFERROR(INDEX(PASTE_ALL,$DF223,59)&amp;"","")&amp;"␟"&amp;IFERROR(INDEX(PASTE_ALL,$DF223,60)&amp;"","")," "," "),CHAR(9)," "),CHAR(10)," "),CHAR(13)," "))," ␟","␟"),"␟ ","␟"),"#"&amp;$DE223),"")</f>
        <v/>
      </c>
      <c r="DJ223">
        <f>IF($DI223="",0,IF(SUMPRODUCT(--EXACT($DI$4:DI222,$DI223))&gt;0,1,0))</f>
        <v/>
      </c>
      <c r="DK223">
        <f>IF(AND($DI223&lt;&gt;"",$DJ223=0),1,0)</f>
        <v/>
      </c>
      <c r="DL223">
        <f>DL222+$DK223</f>
        <v/>
      </c>
      <c r="DM223">
        <f>IF(AND($DK223=1,$DL223&lt;=600),1,0)</f>
        <v/>
      </c>
      <c r="DN223">
        <f>IF($DM223=0,"",IF($L$6=0,"",IFERROR(IF(ISNUMBER(INDEX(PASTE_ALL,$DF223,$L$6)),INDEX(PASTE_ALL,$DF223,$L$6),TRIM(SUBSTITUTE(SUBSTITUTE(SUBSTITUTE(SUBSTITUTE(INDEX(PASTE_ALL,$DF223,$L$6)," "," "),CHAR(9)," "),CHAR(10)," "),CHAR(13)," "))),"")))</f>
        <v/>
      </c>
      <c r="DO223">
        <f>IF($DM223=0,"",IF($L$7=0,"",IFERROR(IF(ISNUMBER(INDEX(PASTE_ALL,$DF223,$L$7)),INDEX(PASTE_ALL,$DF223,$L$7),TRIM(SUBSTITUTE(SUBSTITUTE(SUBSTITUTE(SUBSTITUTE(INDEX(PASTE_ALL,$DF223,$L$7)," "," "),CHAR(9)," "),CHAR(10)," "),CHAR(13)," "))),"")))</f>
        <v/>
      </c>
      <c r="DP223">
        <f>IF($DM223=0,"",IF($L$8=0,"",IFERROR(IF(ISNUMBER(INDEX(PASTE_ALL,$DF223,$L$8)),INDEX(PASTE_ALL,$DF223,$L$8),TRIM(SUBSTITUTE(SUBSTITUTE(SUBSTITUTE(SUBSTITUTE(INDEX(PASTE_ALL,$DF223,$L$8)," "," "),CHAR(9)," "),CHAR(10)," "),CHAR(13)," "))),"")))</f>
        <v/>
      </c>
      <c r="DQ223">
        <f>IF($DM223=0,"",IF($L$9=0,"",IFERROR(IF(ISNUMBER(INDEX(PASTE_ALL,$DF223,$L$9)),INDEX(PASTE_ALL,$DF223,$L$9),TRIM(SUBSTITUTE(SUBSTITUTE(SUBSTITUTE(SUBSTITUTE(INDEX(PASTE_ALL,$DF223,$L$9)," "," "),CHAR(9)," "),CHAR(10)," "),CHAR(13)," "))),"")))</f>
        <v/>
      </c>
      <c r="DR223">
        <f>IF($DM223=0,"",IF($L$10=0,"",IFERROR(IF(ISNUMBER(INDEX(PASTE_ALL,$DF223,$L$10)),INDEX(PASTE_ALL,$DF223,$L$10),TRIM(SUBSTITUTE(SUBSTITUTE(SUBSTITUTE(SUBSTITUTE(INDEX(PASTE_ALL,$DF223,$L$10)," "," "),CHAR(9)," "),CHAR(10)," "),CHAR(13)," "))),"")))</f>
        <v/>
      </c>
      <c r="DS223">
        <f>IF($DM223=0,"",IF($L$11=0,"",IFERROR(IF(ISNUMBER(INDEX(PASTE_ALL,$DF223,$L$11)),INDEX(PASTE_ALL,$DF223,$L$11),TRIM(SUBSTITUTE(SUBSTITUTE(SUBSTITUTE(SUBSTITUTE(INDEX(PASTE_ALL,$DF223,$L$11)," "," "),CHAR(9)," "),CHAR(10)," "),CHAR(13)," "))),"")))</f>
        <v/>
      </c>
      <c r="DT223">
        <f>IF($DM223=0,"",IF($L$12=0,"",IFERROR(IF(ISNUMBER(INDEX(PASTE_ALL,$DF223,$L$12)),INDEX(PASTE_ALL,$DF223,$L$12),TRIM(SUBSTITUTE(SUBSTITUTE(SUBSTITUTE(SUBSTITUTE(INDEX(PASTE_ALL,$DF223,$L$12)," "," "),CHAR(9)," "),CHAR(10)," "),CHAR(13)," "))),"")))</f>
        <v/>
      </c>
      <c r="DU223">
        <f>IF($DM223=0,"",IF($L$13=0,"",IFERROR(IF(ISNUMBER(INDEX(PASTE_ALL,$DF223,$L$13)),INDEX(PASTE_ALL,$DF223,$L$13),TRIM(SUBSTITUTE(SUBSTITUTE(SUBSTITUTE(SUBSTITUTE(INDEX(PASTE_ALL,$DF223,$L$13)," "," "),CHAR(9)," "),CHAR(10)," "),CHAR(13)," "))),"")))</f>
        <v/>
      </c>
      <c r="DV223">
        <f>IF($DM223=0,"",IF($L$14=0,"",IFERROR(IF(ISNUMBER(INDEX(PASTE_ALL,$DF223,$L$14)),INDEX(PASTE_ALL,$DF223,$L$14),TRIM(SUBSTITUTE(SUBSTITUTE(SUBSTITUTE(SUBSTITUTE(INDEX(PASTE_ALL,$DF223,$L$14)," "," "),CHAR(9)," "),CHAR(10)," "),CHAR(13)," "))),"")))</f>
        <v/>
      </c>
      <c r="DW223">
        <f>IF($DM223=0,"",IF($L$15=0,"",IFERROR(IF(ISNUMBER(INDEX(PASTE_ALL,$DF223,$L$15)),INDEX(PASTE_ALL,$DF223,$L$15),IF(SUMPRODUCT(--ISNUMBER(FIND({"A","B","C","D","E","F","G","H","I","J","K","L","M","N","O","P","Q","R","S","T","U","V","W","X","Y","Z","0","1","2","3","4","5","6","7","8","9"},UPPER(TRIM(SUBSTITUTE(SUBSTITUTE(SUBSTITUTE(SUBSTITUTE(INDEX(PASTE_ALL,$DF223,$L$15)," "," "),CHAR(9)," "),CHAR(10)," "),CHAR(13)," "))))))&gt;0,TRIM(SUBSTITUTE(SUBSTITUTE(SUBSTITUTE(SUBSTITUTE(INDEX(PASTE_ALL,$DF223,$L$15)," "," "),CHAR(9)," "),CHAR(10)," "),CHAR(13)," ")),"")),"")))</f>
        <v/>
      </c>
      <c r="DX223">
        <f>IF($DM223=0,"",IF($L$16=0,"",IFERROR(IF(ISNUMBER(INDEX(PASTE_ALL,$DF223,$L$16)),INDEX(PASTE_ALL,$DF223,$L$16),SUBSTITUTE(SUBSTITUTE(TRIM(SUBSTITUTE(SUBSTITUTE(SUBSTITUTE(SUBSTITUTE(INDEX(PASTE_ALL,$DF223,$L$16)," "," "),CHAR(9)," "),CHAR(10)," "),CHAR(13)," ")),",",""),"%","")),"")))</f>
        <v/>
      </c>
      <c r="DY223">
        <f>IF($DM223=0,"",IFERROR(IF(ISNUMBER($DX223),$DX223,IF($DX223="","",IF(TRIM($DX223)="",0,IF(AND(AND(SUBSTITUTE(SUBSTITUTE(SUBSTITUTE(SUBSTITUTE(SUBSTITUTE(SUBSTITUTE(SUBSTITUTE(SUBSTITUTE(SUBSTITUTE(SUBSTITUTE(SUBSTITUTE(SUBSTITUTE(SUBSTITUTE(SUBSTITUTE(UPPER(TRIM($DX223)),"0",""),"1",""),"2",""),"3",""),"4",""),"5",""),"6",""),"7",""),"8",""),"9",""),".",""),"+",""),"-",""),"E","")="",LEN(SUBSTITUTE(SUBSTITUTE(MID(UPPER(TRIM($DX223)),1+OR(LEFT(UPPER(TRIM($DX223)),1)="+",LEFT(UPPER(TRIM($DX223)),1)="-"),999),"E+","E"),"E-","E"))=LEN(SUBSTITUTE(SUBSTITUTE(SUBSTITUTE(SUBSTITUTE(MID(UPPER(TRIM($DX223)),1+OR(LEFT(UPPER(TRIM($DX223)),1)="+",LEFT(UPPER(TRIM($DX223)),1)="-"),999),"E+","E"),"E-","E"),"+",""),"-","")),LEN(UPPER(TRIM($DX223)))-LEN(SUBSTITUTE(UPPER(TRIM($DX223)),"E",""))&lt;2,LEN(UPPER(TRIM($DX223)))-LEN(SUBSTITUTE(UPPER(TRIM($DX223)),".",""))&lt;2,IFERROR(FIND(".",UPPER(TRIM($DX223))),0)&lt;IFERROR(FIND("E",UPPER(TRIM($DX223))),999)),ISNUMBER(VALUE(TRIM($DX223)))),VALUE(TRIM($DX223)),"")))),""))</f>
        <v/>
      </c>
      <c r="DZ223">
        <f>IF($DM223=0,"",IF($L$17=0,"",IFERROR(IF(ISNUMBER(INDEX(PASTE_ALL,$DF223,$L$17)),INDEX(PASTE_ALL,$DF223,$L$17),SUBSTITUTE(SUBSTITUTE(TRIM(SUBSTITUTE(SUBSTITUTE(SUBSTITUTE(SUBSTITUTE(INDEX(PASTE_ALL,$DF223,$L$17)," "," "),CHAR(9)," "),CHAR(10)," "),CHAR(13)," ")),",",""),"%","")),"")))</f>
        <v/>
      </c>
      <c r="EA223">
        <f>IF($DM223=0,"",IFERROR(IF(ISNUMBER($DZ223),$DZ223,IF($DZ223="","",IF(TRIM($DZ223)="",0,IF(AND(AND(SUBSTITUTE(SUBSTITUTE(SUBSTITUTE(SUBSTITUTE(SUBSTITUTE(SUBSTITUTE(SUBSTITUTE(SUBSTITUTE(SUBSTITUTE(SUBSTITUTE(SUBSTITUTE(SUBSTITUTE(SUBSTITUTE(SUBSTITUTE(UPPER(TRIM($DZ223)),"0",""),"1",""),"2",""),"3",""),"4",""),"5",""),"6",""),"7",""),"8",""),"9",""),".",""),"+",""),"-",""),"E","")="",LEN(SUBSTITUTE(SUBSTITUTE(MID(UPPER(TRIM($DZ223)),1+OR(LEFT(UPPER(TRIM($DZ223)),1)="+",LEFT(UPPER(TRIM($DZ223)),1)="-"),999),"E+","E"),"E-","E"))=LEN(SUBSTITUTE(SUBSTITUTE(SUBSTITUTE(SUBSTITUTE(MID(UPPER(TRIM($DZ223)),1+OR(LEFT(UPPER(TRIM($DZ223)),1)="+",LEFT(UPPER(TRIM($DZ223)),1)="-"),999),"E+","E"),"E-","E"),"+",""),"-","")),LEN(UPPER(TRIM($DZ223)))-LEN(SUBSTITUTE(UPPER(TRIM($DZ223)),"E",""))&lt;2,LEN(UPPER(TRIM($DZ223)))-LEN(SUBSTITUTE(UPPER(TRIM($DZ223)),".",""))&lt;2,IFERROR(FIND(".",UPPER(TRIM($DZ223))),0)&lt;IFERROR(FIND("E",UPPER(TRIM($DZ223))),999)),ISNUMBER(VALUE(TRIM($DZ223)))),VALUE(TRIM($DZ223)),"")))),""))</f>
        <v/>
      </c>
      <c r="EB223">
        <f>IF($DM223=0,"",IF($L$18=0,"",IFERROR(IF(UPPER(TRIM(SUBSTITUTE(SUBSTITUTE(SUBSTITUTE(SUBSTITUTE(INDEX(PASTE_ALL,$DF223,$L$18)," "," "),CHAR(9)," "),CHAR(10)," "),CHAR(13)," ")))="READY","Ready",IF(UPPER(TRIM(SUBSTITUTE(SUBSTITUTE(SUBSTITUTE(SUBSTITUTE(INDEX(PASTE_ALL,$DF223,$L$18)," "," "),CHAR(9)," "),CHAR(10)," "),CHAR(13)," ")))="PM","PM",IF(OR(UPPER(TRIM(SUBSTITUTE(SUBSTITUTE(SUBSTITUTE(SUBSTITUTE(INDEX(PASTE_ALL,$DF223,$L$18)," "," "),CHAR(9)," "),CHAR(10)," "),CHAR(13)," ")))="OT",UPPER(TRIM(SUBSTITUTE(SUBSTITUTE(SUBSTITUTE(SUBSTITUTE(INDEX(PASTE_ALL,$DF223,$L$18)," "," "),CHAR(9)," "),CHAR(10)," "),CHAR(13)," ")))="OVERTIME",UPPER(TRIM(SUBSTITUTE(SUBSTITUTE(SUBSTITUTE(SUBSTITUTE(INDEX(PASTE_ALL,$DF223,$L$18)," "," "),CHAR(9)," "),CHAR(10)," "),CHAR(13)," ")))="TRIAL"),"OT",TRIM(SUBSTITUTE(SUBSTITUTE(SUBSTITUTE(SUBSTITUTE(INDEX(PASTE_ALL,$DF223,$L$18)," "," "),CHAR(9)," "),CHAR(10)," "),CHAR(13)," "))))),"")))</f>
        <v/>
      </c>
      <c r="EC223">
        <f>IF($DM223=0,"",IF($L$19=0,"",IFERROR(IF(ISNUMBER(INDEX(PASTE_ALL,$DF223,$L$19)),INDEX(PASTE_ALL,$DF223,$L$19),TRIM(SUBSTITUTE(SUBSTITUTE(SUBSTITUTE(SUBSTITUTE(INDEX(PASTE_ALL,$DF223,$L$19)," "," "),CHAR(9)," "),CHAR(10)," "),CHAR(13)," "))),"")))</f>
        <v/>
      </c>
      <c r="ED223">
        <f>IF($DM223=0,"",MATCH(1,INDEX(EXACT($DH$5:DH223,$DH223)*$DM$5:DM223,0),0))</f>
        <v/>
      </c>
      <c r="EE223">
        <f>IF($DM223=0,0,IF($ED223=$DE223,1,0))</f>
        <v/>
      </c>
      <c r="EF223">
        <f>EF222+$EE223</f>
        <v/>
      </c>
      <c r="EG223">
        <f>IF($DM223=0,"",INDEX($EF$5:$EF$1003,$ED223))</f>
        <v/>
      </c>
      <c r="EH223">
        <f>IF($DM223=0,"",IF($DO223&lt;&gt;"","",IFERROR(LOOKUP(2,1/(($EG$4:EG222=$EG223)*($DO$4:DO222&lt;&gt;"")),$DO$4:DO222),"")))</f>
        <v/>
      </c>
      <c r="EI223">
        <f>IF($DM223=0,"",IF($DO223&lt;&gt;"",$DO223,$EH223))</f>
        <v/>
      </c>
      <c r="EJ223">
        <f>IF($DM223=0,"",IF($EI223="",0,IF(OR(ISNUMBER($EI223),AND(AND(SUBSTITUTE(SUBSTITUTE(SUBSTITUTE(SUBSTITUTE(SUBSTITUTE(SUBSTITUTE(SUBSTITUTE(SUBSTITUTE(SUBSTITUTE(SUBSTITUTE(SUBSTITUTE(SUBSTITUTE(SUBSTITUTE(SUBSTITUTE(UPPER($EI223),"0",""),"1",""),"2",""),"3",""),"4",""),"5",""),"6",""),"7",""),"8",""),"9",""),".",""),"+",""),"-",""),"E","")="",LEN(SUBSTITUTE(SUBSTITUTE(MID(UPPER($EI223),1+OR(LEFT(UPPER($EI223),1)="+",LEFT(UPPER($EI223),1)="-"),999),"E+","E"),"E-","E"))=LEN(SUBSTITUTE(SUBSTITUTE(SUBSTITUTE(SUBSTITUTE(MID(UPPER($EI223),1+OR(LEFT(UPPER($EI223),1)="+",LEFT(UPPER($EI223),1)="-"),999),"E+","E"),"E-","E"),"+",""),"-","")),LEN(UPPER($EI223))-LEN(SUBSTITUTE(UPPER($EI223),"E",""))&lt;2,LEN(UPPER($EI223))-LEN(SUBSTITUTE(UPPER($EI223),".",""))&lt;2,IFERROR(FIND(".",UPPER($EI223)),0)&lt;IFERROR(FIND("E",UPPER($EI223)),999)),ISNUMBER(VALUE($EI223)))),1,2)))</f>
        <v/>
      </c>
      <c r="EK223">
        <f>IF($DM223=0,"",IF($EJ223=1,IF(ISNUMBER($EI223),$EI223,VALUE($EI223)),IF($EJ223=2,$DE223,0)))</f>
        <v/>
      </c>
      <c r="EL223">
        <f>IF($DM223=0,"",COUNTIF($EG$5:$EG$1003,"&lt;"&amp;$EG223)+SUMPRODUCT(($EG$5:$EG$1003=$EG223)*(($EJ$5:$EJ$1003&lt;$EJ223)+($EJ$5:$EJ$1003=$EJ223)*(($EK$5:$EK$1003&lt;$EK223)+($EK$5:$EK$1003=$EK223)*($DE$5:$DE$1003&lt;$DE223))))+1)</f>
        <v/>
      </c>
      <c r="EM223">
        <f>IF($DM223=0,"",$EL223+$EG223-1)</f>
        <v/>
      </c>
      <c r="EN223">
        <f>IF($DM223=0,0,IFERROR(MATCH(1,INDEX(--(TRIM(SUBSTITUTE(SUBSTITUTE(SUBSTITUTE(SUBSTITUTE(LINES_NAME&amp;""," "," "),CHAR(9)," "),CHAR(10)," "),CHAR(13)," "))=$DH223),0),0),0))</f>
        <v/>
      </c>
      <c r="EO223">
        <f>IF($EN223=0,0,IF(OR(UPPER(TRIM(INDEX(LINES_SCHEDULED,$EN223)&amp;""))="YES",UPPER(TRIM(INDEX(LINES_SCHEDULED,$EN223)&amp;""))="Y",UPPER(TRIM(INDEX(LINES_SCHEDULED,$EN223)&amp;""))="X"),1,0))</f>
        <v/>
      </c>
      <c r="EP223">
        <f>IF($DM223=0,"",IF(COUNTIFS($EG$5:$EG$1003,$EG223,$EB$5:$EB$1003,"Ready")&gt;0,"READY",IF(COUNTIFS($EG$5:$EG$1003,$EG223,$EB$5:$EB$1003,"PM")&gt;0,"PM",IF(COUNTIFS($EG$5:$EG$1003,$EG223,$EB$5:$EB$1003,"OT")&gt;0,"OT",""))))</f>
        <v/>
      </c>
      <c r="EQ223">
        <f>IF($EN223=0,"",UPPER(TRIM(INDEX(LINES_STATUS,$EN223)&amp;"")))</f>
        <v/>
      </c>
      <c r="ER223">
        <f>IF($DM223=0,"",IF(OR($EQ223="READY",$EQ223="PM",$EQ223="OT"),$EQ223,$EP223))</f>
        <v/>
      </c>
      <c r="ES223">
        <f>IF($DM223=0,"",IF(AND($DV223&lt;&gt;"",UPPER($DV223)&lt;&gt;"N"),"allergen",IF(ISNUMBER(SEARCH("oil",$DQ223)),"oil",IF(OR(EXACT($DS223,"A662"),EXACT($DS223,"A624")),"bulk",""))))</f>
        <v/>
      </c>
      <c r="ET223">
        <f>IF($DM223=0,"",IF(OR($EA223="",$EA223=0),"",$EA223/100))</f>
        <v/>
      </c>
      <c r="EU223">
        <f>IF(OR($ET223="",$DY223=""),"",INT($DY223*(1-$ET223)+0.5))</f>
        <v/>
      </c>
      <c r="EW223" t="n">
        <v>219</v>
      </c>
      <c r="EX223">
        <f>IFERROR(MATCH($EW223,$EM$5:$EM$1003,0),0)</f>
        <v/>
      </c>
      <c r="EY223">
        <f>IF($EW223&gt;$B$12,"",IF($EX223&gt;0,"row","spacer"))</f>
        <v/>
      </c>
      <c r="EZ223">
        <f>IF(AND($EY223="row",$EY222&lt;&gt;"row"),1,0)</f>
        <v/>
      </c>
      <c r="FA223">
        <f>IF(AND($EY223="row",$EY224&lt;&gt;"row"),1,0)</f>
        <v/>
      </c>
      <c r="FB223">
        <f>IF($EZ223=1,IFERROR(IF(ISNUMBER(INDEX(PASTE_ALL,INDEX($DF$5:$DF$1003,$EX223),$B$37)),INDEX(PASTE_ALL,INDEX($DF$5:$DF$1003,$EX223),$B$37),INDEX($DH$5:$DH$1003,$EX223)),INDEX($DH$5:$DH$1003,$EX223)),"")</f>
        <v/>
      </c>
      <c r="FC223">
        <f>IF($EY223="row",INDEX($ER$5:$ER$1003,$EX223),"")</f>
        <v/>
      </c>
      <c r="FD223">
        <f>IF($EY223="row",INDEX($DN$5:$DN$1003,$EX223),"")</f>
        <v/>
      </c>
      <c r="FE223">
        <f>IF($EY223="row",INDEX($DO$5:$DO$1003,$EX223),"")</f>
        <v/>
      </c>
      <c r="FF223">
        <f>IF($EY223="row",INDEX($DP$5:$DP$1003,$EX223),"")</f>
        <v/>
      </c>
      <c r="FG223">
        <f>IF($EY223="row",INDEX($DQ$5:$DQ$1003,$EX223),"")</f>
        <v/>
      </c>
      <c r="FH223">
        <f>IF($EY223="row",INDEX($DR$5:$DR$1003,$EX223),"")</f>
        <v/>
      </c>
      <c r="FI223">
        <f>IF($EY223="row",INDEX($DS$5:$DS$1003,$EX223),"")</f>
        <v/>
      </c>
      <c r="FJ223">
        <f>IF($EY223="row",INDEX($DT$5:$DT$1003,$EX223),"")</f>
        <v/>
      </c>
      <c r="FK223">
        <f>IF($EY223="row",INDEX($DU$5:$DU$1003,$EX223),"")</f>
        <v/>
      </c>
      <c r="FL223">
        <f>IF($EY223="row",INDEX($DV$5:$DV$1003,$EX223),"")</f>
        <v/>
      </c>
      <c r="FM223">
        <f>IF($EY223="row",INDEX($DW$5:$DW$1003,$EX223),"")</f>
        <v/>
      </c>
      <c r="FN223">
        <f>IF($EY223="row",INDEX($DY$5:$DY$1003,$EX223),"")</f>
        <v/>
      </c>
      <c r="FO223">
        <f>IF($EY223="row",INDEX($EA$5:$EA$1003,$EX223),"")</f>
        <v/>
      </c>
      <c r="FP223">
        <f>IF($EY223="row",INDEX($EC$5:$EC$1003,$EX223),"")</f>
        <v/>
      </c>
      <c r="FQ223">
        <f>IF($EY223="row",INDEX($ET$5:$ET$1003,$EX223),"")</f>
        <v/>
      </c>
      <c r="FR223">
        <f>IF($EY223="row",INDEX($EU$5:$EU$1003,$EX223),"")</f>
        <v/>
      </c>
      <c r="FS223">
        <f>IF(AND($EY223="row",$EY222="row"),IF(OR(INDEX($DT$5:$DT$1003,$EX222)="",INDEX($DT$5:$DT$1003,$EX223)=""),"",IF(NOT(EXACT(INDEX($DT$5:$DT$1003,$EX222),INDEX($DT$5:$DT$1003,$EX223))),"S4",IF(NOT(EXACT(INDEX($DS$5:$DS$1003,$EX222),INDEX($DS$5:$DS$1003,$EX223))),"S3",IF(NOT(EXACT(INDEX($DR$5:$DR$1003,$EX222),INDEX($DR$5:$DR$1003,$EX223))),"S1 Count Change","S1")))),"")</f>
        <v/>
      </c>
      <c r="FT223">
        <f>IF($EY223="row",INDEX($ES$5:$ES$1003,$EX223),"")</f>
        <v/>
      </c>
      <c r="FU223">
        <f>IF($EY223="row",INDEX($EO$5:$EO$1003,$EX223),0)</f>
        <v/>
      </c>
      <c r="FV223">
        <f>IF($FS223="S1 Count Change",1,0)</f>
        <v/>
      </c>
    </row>
    <row r="224">
      <c r="Y224">
        <f>0+IF(Y134&gt;0,0,IF(SUMPRODUCT(MOD(INT(Y179/{2,4,8,16,32,64,128,256,512,1024,2048,4096,8192,16384,32768}),2)*(1-MOD(INT(($CJ44+0)/{2,4,8,16,32,64,128,256,512,1024,2048,4096,8192,16384,32768}),2))*{2,4,8,16,32,64,128,256,512,1024,2048,4096,8192,16384,32768})=0,0,2^SUMPRODUCT(--(MOD(SUMPRODUCT(MOD(INT(Y179/{2,4,8,16,32,64,128,256,512,1024,2048,4096,8192,16384,32768}),2)*(1-MOD(INT(($CJ44+0)/{2,4,8,16,32,64,128,256,512,1024,2048,4096,8192,16384,32768}),2))*{2,4,8,16,32,64,128,256,512,1024,2048,4096,8192,16384,32768}),{2,4,8,16,32,64,128,256,512,1024,2048,4096,8192,16384,32768})=0))))</f>
        <v/>
      </c>
      <c r="Z224">
        <f>Y224+IF(AND(Z134&gt;0,COUNTIF($Y134:Y134,Z134)=0),0,IF(SUMPRODUCT(MOD(INT(Z179/{2,4,8,16,32,64,128,256,512,1024,2048,4096,8192,16384,32768}),2)*(1-MOD(INT(($CJ44+Y224)/{2,4,8,16,32,64,128,256,512,1024,2048,4096,8192,16384,32768}),2))*{2,4,8,16,32,64,128,256,512,1024,2048,4096,8192,16384,32768})=0,0,2^SUMPRODUCT(--(MOD(SUMPRODUCT(MOD(INT(Z179/{2,4,8,16,32,64,128,256,512,1024,2048,4096,8192,16384,32768}),2)*(1-MOD(INT(($CJ44+Y224)/{2,4,8,16,32,64,128,256,512,1024,2048,4096,8192,16384,32768}),2))*{2,4,8,16,32,64,128,256,512,1024,2048,4096,8192,16384,32768}),{2,4,8,16,32,64,128,256,512,1024,2048,4096,8192,16384,32768})=0))))</f>
        <v/>
      </c>
      <c r="AA224">
        <f>Z224+IF(AND(AA134&gt;0,COUNTIF($Y134:Z134,AA134)=0),0,IF(SUMPRODUCT(MOD(INT(AA179/{2,4,8,16,32,64,128,256,512,1024,2048,4096,8192,16384,32768}),2)*(1-MOD(INT(($CJ44+Z224)/{2,4,8,16,32,64,128,256,512,1024,2048,4096,8192,16384,32768}),2))*{2,4,8,16,32,64,128,256,512,1024,2048,4096,8192,16384,32768})=0,0,2^SUMPRODUCT(--(MOD(SUMPRODUCT(MOD(INT(AA179/{2,4,8,16,32,64,128,256,512,1024,2048,4096,8192,16384,32768}),2)*(1-MOD(INT(($CJ44+Z224)/{2,4,8,16,32,64,128,256,512,1024,2048,4096,8192,16384,32768}),2))*{2,4,8,16,32,64,128,256,512,1024,2048,4096,8192,16384,32768}),{2,4,8,16,32,64,128,256,512,1024,2048,4096,8192,16384,32768})=0))))</f>
        <v/>
      </c>
      <c r="AB224">
        <f>AA224+IF(AND(AB134&gt;0,COUNTIF($Y134:AA134,AB134)=0),0,IF(SUMPRODUCT(MOD(INT(AB179/{2,4,8,16,32,64,128,256,512,1024,2048,4096,8192,16384,32768}),2)*(1-MOD(INT(($CJ44+AA224)/{2,4,8,16,32,64,128,256,512,1024,2048,4096,8192,16384,32768}),2))*{2,4,8,16,32,64,128,256,512,1024,2048,4096,8192,16384,32768})=0,0,2^SUMPRODUCT(--(MOD(SUMPRODUCT(MOD(INT(AB179/{2,4,8,16,32,64,128,256,512,1024,2048,4096,8192,16384,32768}),2)*(1-MOD(INT(($CJ44+AA224)/{2,4,8,16,32,64,128,256,512,1024,2048,4096,8192,16384,32768}),2))*{2,4,8,16,32,64,128,256,512,1024,2048,4096,8192,16384,32768}),{2,4,8,16,32,64,128,256,512,1024,2048,4096,8192,16384,32768})=0))))</f>
        <v/>
      </c>
      <c r="AC224">
        <f>AB224+IF(AND(AC134&gt;0,COUNTIF($Y134:AB134,AC134)=0),0,IF(SUMPRODUCT(MOD(INT(AC179/{2,4,8,16,32,64,128,256,512,1024,2048,4096,8192,16384,32768}),2)*(1-MOD(INT(($CJ44+AB224)/{2,4,8,16,32,64,128,256,512,1024,2048,4096,8192,16384,32768}),2))*{2,4,8,16,32,64,128,256,512,1024,2048,4096,8192,16384,32768})=0,0,2^SUMPRODUCT(--(MOD(SUMPRODUCT(MOD(INT(AC179/{2,4,8,16,32,64,128,256,512,1024,2048,4096,8192,16384,32768}),2)*(1-MOD(INT(($CJ44+AB224)/{2,4,8,16,32,64,128,256,512,1024,2048,4096,8192,16384,32768}),2))*{2,4,8,16,32,64,128,256,512,1024,2048,4096,8192,16384,32768}),{2,4,8,16,32,64,128,256,512,1024,2048,4096,8192,16384,32768})=0))))</f>
        <v/>
      </c>
      <c r="AD224">
        <f>AC224+IF(AND(AD134&gt;0,COUNTIF($Y134:AC134,AD134)=0),0,IF(SUMPRODUCT(MOD(INT(AD179/{2,4,8,16,32,64,128,256,512,1024,2048,4096,8192,16384,32768}),2)*(1-MOD(INT(($CJ44+AC224)/{2,4,8,16,32,64,128,256,512,1024,2048,4096,8192,16384,32768}),2))*{2,4,8,16,32,64,128,256,512,1024,2048,4096,8192,16384,32768})=0,0,2^SUMPRODUCT(--(MOD(SUMPRODUCT(MOD(INT(AD179/{2,4,8,16,32,64,128,256,512,1024,2048,4096,8192,16384,32768}),2)*(1-MOD(INT(($CJ44+AC224)/{2,4,8,16,32,64,128,256,512,1024,2048,4096,8192,16384,32768}),2))*{2,4,8,16,32,64,128,256,512,1024,2048,4096,8192,16384,32768}),{2,4,8,16,32,64,128,256,512,1024,2048,4096,8192,16384,32768})=0))))</f>
        <v/>
      </c>
      <c r="AE224">
        <f>AD224+IF(AND(AE134&gt;0,COUNTIF($Y134:AD134,AE134)=0),0,IF(SUMPRODUCT(MOD(INT(AE179/{2,4,8,16,32,64,128,256,512,1024,2048,4096,8192,16384,32768}),2)*(1-MOD(INT(($CJ44+AD224)/{2,4,8,16,32,64,128,256,512,1024,2048,4096,8192,16384,32768}),2))*{2,4,8,16,32,64,128,256,512,1024,2048,4096,8192,16384,32768})=0,0,2^SUMPRODUCT(--(MOD(SUMPRODUCT(MOD(INT(AE179/{2,4,8,16,32,64,128,256,512,1024,2048,4096,8192,16384,32768}),2)*(1-MOD(INT(($CJ44+AD224)/{2,4,8,16,32,64,128,256,512,1024,2048,4096,8192,16384,32768}),2))*{2,4,8,16,32,64,128,256,512,1024,2048,4096,8192,16384,32768}),{2,4,8,16,32,64,128,256,512,1024,2048,4096,8192,16384,32768})=0))))</f>
        <v/>
      </c>
      <c r="AF224">
        <f>AE224+IF(AND(AF134&gt;0,COUNTIF($Y134:AE134,AF134)=0),0,IF(SUMPRODUCT(MOD(INT(AF179/{2,4,8,16,32,64,128,256,512,1024,2048,4096,8192,16384,32768}),2)*(1-MOD(INT(($CJ44+AE224)/{2,4,8,16,32,64,128,256,512,1024,2048,4096,8192,16384,32768}),2))*{2,4,8,16,32,64,128,256,512,1024,2048,4096,8192,16384,32768})=0,0,2^SUMPRODUCT(--(MOD(SUMPRODUCT(MOD(INT(AF179/{2,4,8,16,32,64,128,256,512,1024,2048,4096,8192,16384,32768}),2)*(1-MOD(INT(($CJ44+AE224)/{2,4,8,16,32,64,128,256,512,1024,2048,4096,8192,16384,32768}),2))*{2,4,8,16,32,64,128,256,512,1024,2048,4096,8192,16384,32768}),{2,4,8,16,32,64,128,256,512,1024,2048,4096,8192,16384,32768})=0))))</f>
        <v/>
      </c>
      <c r="AG224">
        <f>AF224+IF(AND(AG134&gt;0,COUNTIF($Y134:AF134,AG134)=0),0,IF(SUMPRODUCT(MOD(INT(AG179/{2,4,8,16,32,64,128,256,512,1024,2048,4096,8192,16384,32768}),2)*(1-MOD(INT(($CJ44+AF224)/{2,4,8,16,32,64,128,256,512,1024,2048,4096,8192,16384,32768}),2))*{2,4,8,16,32,64,128,256,512,1024,2048,4096,8192,16384,32768})=0,0,2^SUMPRODUCT(--(MOD(SUMPRODUCT(MOD(INT(AG179/{2,4,8,16,32,64,128,256,512,1024,2048,4096,8192,16384,32768}),2)*(1-MOD(INT(($CJ44+AF224)/{2,4,8,16,32,64,128,256,512,1024,2048,4096,8192,16384,32768}),2))*{2,4,8,16,32,64,128,256,512,1024,2048,4096,8192,16384,32768}),{2,4,8,16,32,64,128,256,512,1024,2048,4096,8192,16384,32768})=0))))</f>
        <v/>
      </c>
      <c r="AH224">
        <f>AG224+IF(AND(AH134&gt;0,COUNTIF($Y134:AG134,AH134)=0),0,IF(SUMPRODUCT(MOD(INT(AH179/{2,4,8,16,32,64,128,256,512,1024,2048,4096,8192,16384,32768}),2)*(1-MOD(INT(($CJ44+AG224)/{2,4,8,16,32,64,128,256,512,1024,2048,4096,8192,16384,32768}),2))*{2,4,8,16,32,64,128,256,512,1024,2048,4096,8192,16384,32768})=0,0,2^SUMPRODUCT(--(MOD(SUMPRODUCT(MOD(INT(AH179/{2,4,8,16,32,64,128,256,512,1024,2048,4096,8192,16384,32768}),2)*(1-MOD(INT(($CJ44+AG224)/{2,4,8,16,32,64,128,256,512,1024,2048,4096,8192,16384,32768}),2))*{2,4,8,16,32,64,128,256,512,1024,2048,4096,8192,16384,32768}),{2,4,8,16,32,64,128,256,512,1024,2048,4096,8192,16384,32768})=0))))</f>
        <v/>
      </c>
      <c r="AI224">
        <f>AH224+IF(AND(AI134&gt;0,COUNTIF($Y134:AH134,AI134)=0),0,IF(SUMPRODUCT(MOD(INT(AI179/{2,4,8,16,32,64,128,256,512,1024,2048,4096,8192,16384,32768}),2)*(1-MOD(INT(($CJ44+AH224)/{2,4,8,16,32,64,128,256,512,1024,2048,4096,8192,16384,32768}),2))*{2,4,8,16,32,64,128,256,512,1024,2048,4096,8192,16384,32768})=0,0,2^SUMPRODUCT(--(MOD(SUMPRODUCT(MOD(INT(AI179/{2,4,8,16,32,64,128,256,512,1024,2048,4096,8192,16384,32768}),2)*(1-MOD(INT(($CJ44+AH224)/{2,4,8,16,32,64,128,256,512,1024,2048,4096,8192,16384,32768}),2))*{2,4,8,16,32,64,128,256,512,1024,2048,4096,8192,16384,32768}),{2,4,8,16,32,64,128,256,512,1024,2048,4096,8192,16384,32768})=0))))</f>
        <v/>
      </c>
      <c r="AJ224">
        <f>AI224+IF(AND(AJ134&gt;0,COUNTIF($Y134:AI134,AJ134)=0),0,IF(SUMPRODUCT(MOD(INT(AJ179/{2,4,8,16,32,64,128,256,512,1024,2048,4096,8192,16384,32768}),2)*(1-MOD(INT(($CJ44+AI224)/{2,4,8,16,32,64,128,256,512,1024,2048,4096,8192,16384,32768}),2))*{2,4,8,16,32,64,128,256,512,1024,2048,4096,8192,16384,32768})=0,0,2^SUMPRODUCT(--(MOD(SUMPRODUCT(MOD(INT(AJ179/{2,4,8,16,32,64,128,256,512,1024,2048,4096,8192,16384,32768}),2)*(1-MOD(INT(($CJ44+AI224)/{2,4,8,16,32,64,128,256,512,1024,2048,4096,8192,16384,32768}),2))*{2,4,8,16,32,64,128,256,512,1024,2048,4096,8192,16384,32768}),{2,4,8,16,32,64,128,256,512,1024,2048,4096,8192,16384,32768})=0))))</f>
        <v/>
      </c>
      <c r="AK224">
        <f>AJ224+IF(AND(AK134&gt;0,COUNTIF($Y134:AJ134,AK134)=0),0,IF(SUMPRODUCT(MOD(INT(AK179/{2,4,8,16,32,64,128,256,512,1024,2048,4096,8192,16384,32768}),2)*(1-MOD(INT(($CJ44+AJ224)/{2,4,8,16,32,64,128,256,512,1024,2048,4096,8192,16384,32768}),2))*{2,4,8,16,32,64,128,256,512,1024,2048,4096,8192,16384,32768})=0,0,2^SUMPRODUCT(--(MOD(SUMPRODUCT(MOD(INT(AK179/{2,4,8,16,32,64,128,256,512,1024,2048,4096,8192,16384,32768}),2)*(1-MOD(INT(($CJ44+AJ224)/{2,4,8,16,32,64,128,256,512,1024,2048,4096,8192,16384,32768}),2))*{2,4,8,16,32,64,128,256,512,1024,2048,4096,8192,16384,32768}),{2,4,8,16,32,64,128,256,512,1024,2048,4096,8192,16384,32768})=0))))</f>
        <v/>
      </c>
      <c r="AL224">
        <f>AK224+IF(AND(AL134&gt;0,COUNTIF($Y134:AK134,AL134)=0),0,IF(SUMPRODUCT(MOD(INT(AL179/{2,4,8,16,32,64,128,256,512,1024,2048,4096,8192,16384,32768}),2)*(1-MOD(INT(($CJ44+AK224)/{2,4,8,16,32,64,128,256,512,1024,2048,4096,8192,16384,32768}),2))*{2,4,8,16,32,64,128,256,512,1024,2048,4096,8192,16384,32768})=0,0,2^SUMPRODUCT(--(MOD(SUMPRODUCT(MOD(INT(AL179/{2,4,8,16,32,64,128,256,512,1024,2048,4096,8192,16384,32768}),2)*(1-MOD(INT(($CJ44+AK224)/{2,4,8,16,32,64,128,256,512,1024,2048,4096,8192,16384,32768}),2))*{2,4,8,16,32,64,128,256,512,1024,2048,4096,8192,16384,32768}),{2,4,8,16,32,64,128,256,512,1024,2048,4096,8192,16384,32768})=0))))</f>
        <v/>
      </c>
      <c r="AM224">
        <f>AL224+IF(AND(AM134&gt;0,COUNTIF($Y134:AL134,AM134)=0),0,IF(SUMPRODUCT(MOD(INT(AM179/{2,4,8,16,32,64,128,256,512,1024,2048,4096,8192,16384,32768}),2)*(1-MOD(INT(($CJ44+AL224)/{2,4,8,16,32,64,128,256,512,1024,2048,4096,8192,16384,32768}),2))*{2,4,8,16,32,64,128,256,512,1024,2048,4096,8192,16384,32768})=0,0,2^SUMPRODUCT(--(MOD(SUMPRODUCT(MOD(INT(AM179/{2,4,8,16,32,64,128,256,512,1024,2048,4096,8192,16384,32768}),2)*(1-MOD(INT(($CJ44+AL224)/{2,4,8,16,32,64,128,256,512,1024,2048,4096,8192,16384,32768}),2))*{2,4,8,16,32,64,128,256,512,1024,2048,4096,8192,16384,32768}),{2,4,8,16,32,64,128,256,512,1024,2048,4096,8192,16384,32768})=0))))</f>
        <v/>
      </c>
      <c r="AN224">
        <f>AM224+IF(AND(AN134&gt;0,COUNTIF($Y134:AM134,AN134)=0),0,IF(SUMPRODUCT(MOD(INT(AN179/{2,4,8,16,32,64,128,256,512,1024,2048,4096,8192,16384,32768}),2)*(1-MOD(INT(($CJ44+AM224)/{2,4,8,16,32,64,128,256,512,1024,2048,4096,8192,16384,32768}),2))*{2,4,8,16,32,64,128,256,512,1024,2048,4096,8192,16384,32768})=0,0,2^SUMPRODUCT(--(MOD(SUMPRODUCT(MOD(INT(AN179/{2,4,8,16,32,64,128,256,512,1024,2048,4096,8192,16384,32768}),2)*(1-MOD(INT(($CJ44+AM224)/{2,4,8,16,32,64,128,256,512,1024,2048,4096,8192,16384,32768}),2))*{2,4,8,16,32,64,128,256,512,1024,2048,4096,8192,16384,32768}),{2,4,8,16,32,64,128,256,512,1024,2048,4096,8192,16384,32768})=0))))</f>
        <v/>
      </c>
      <c r="AO224">
        <f>AN224+IF(AND(AO134&gt;0,COUNTIF($Y134:AN134,AO134)=0),0,IF(SUMPRODUCT(MOD(INT(AO179/{2,4,8,16,32,64,128,256,512,1024,2048,4096,8192,16384,32768}),2)*(1-MOD(INT(($CJ44+AN224)/{2,4,8,16,32,64,128,256,512,1024,2048,4096,8192,16384,32768}),2))*{2,4,8,16,32,64,128,256,512,1024,2048,4096,8192,16384,32768})=0,0,2^SUMPRODUCT(--(MOD(SUMPRODUCT(MOD(INT(AO179/{2,4,8,16,32,64,128,256,512,1024,2048,4096,8192,16384,32768}),2)*(1-MOD(INT(($CJ44+AN224)/{2,4,8,16,32,64,128,256,512,1024,2048,4096,8192,16384,32768}),2))*{2,4,8,16,32,64,128,256,512,1024,2048,4096,8192,16384,32768}),{2,4,8,16,32,64,128,256,512,1024,2048,4096,8192,16384,32768})=0))))</f>
        <v/>
      </c>
      <c r="AP224">
        <f>AO224+IF(AND(AP134&gt;0,COUNTIF($Y134:AO134,AP134)=0),0,IF(SUMPRODUCT(MOD(INT(AP179/{2,4,8,16,32,64,128,256,512,1024,2048,4096,8192,16384,32768}),2)*(1-MOD(INT(($CJ44+AO224)/{2,4,8,16,32,64,128,256,512,1024,2048,4096,8192,16384,32768}),2))*{2,4,8,16,32,64,128,256,512,1024,2048,4096,8192,16384,32768})=0,0,2^SUMPRODUCT(--(MOD(SUMPRODUCT(MOD(INT(AP179/{2,4,8,16,32,64,128,256,512,1024,2048,4096,8192,16384,32768}),2)*(1-MOD(INT(($CJ44+AO224)/{2,4,8,16,32,64,128,256,512,1024,2048,4096,8192,16384,32768}),2))*{2,4,8,16,32,64,128,256,512,1024,2048,4096,8192,16384,32768}),{2,4,8,16,32,64,128,256,512,1024,2048,4096,8192,16384,32768})=0))))</f>
        <v/>
      </c>
      <c r="AQ224">
        <f>AP224+IF(AND(AQ134&gt;0,COUNTIF($Y134:AP134,AQ134)=0),0,IF(SUMPRODUCT(MOD(INT(AQ179/{2,4,8,16,32,64,128,256,512,1024,2048,4096,8192,16384,32768}),2)*(1-MOD(INT(($CJ44+AP224)/{2,4,8,16,32,64,128,256,512,1024,2048,4096,8192,16384,32768}),2))*{2,4,8,16,32,64,128,256,512,1024,2048,4096,8192,16384,32768})=0,0,2^SUMPRODUCT(--(MOD(SUMPRODUCT(MOD(INT(AQ179/{2,4,8,16,32,64,128,256,512,1024,2048,4096,8192,16384,32768}),2)*(1-MOD(INT(($CJ44+AP224)/{2,4,8,16,32,64,128,256,512,1024,2048,4096,8192,16384,32768}),2))*{2,4,8,16,32,64,128,256,512,1024,2048,4096,8192,16384,32768}),{2,4,8,16,32,64,128,256,512,1024,2048,4096,8192,16384,32768})=0))))</f>
        <v/>
      </c>
      <c r="AR224">
        <f>AQ224+IF(AND(AR134&gt;0,COUNTIF($Y134:AQ134,AR134)=0),0,IF(SUMPRODUCT(MOD(INT(AR179/{2,4,8,16,32,64,128,256,512,1024,2048,4096,8192,16384,32768}),2)*(1-MOD(INT(($CJ44+AQ224)/{2,4,8,16,32,64,128,256,512,1024,2048,4096,8192,16384,32768}),2))*{2,4,8,16,32,64,128,256,512,1024,2048,4096,8192,16384,32768})=0,0,2^SUMPRODUCT(--(MOD(SUMPRODUCT(MOD(INT(AR179/{2,4,8,16,32,64,128,256,512,1024,2048,4096,8192,16384,32768}),2)*(1-MOD(INT(($CJ44+AQ224)/{2,4,8,16,32,64,128,256,512,1024,2048,4096,8192,16384,32768}),2))*{2,4,8,16,32,64,128,256,512,1024,2048,4096,8192,16384,32768}),{2,4,8,16,32,64,128,256,512,1024,2048,4096,8192,16384,32768})=0))))</f>
        <v/>
      </c>
      <c r="AS224">
        <f>AR224+IF(AND(AS134&gt;0,COUNTIF($Y134:AR134,AS134)=0),0,IF(SUMPRODUCT(MOD(INT(AS179/{2,4,8,16,32,64,128,256,512,1024,2048,4096,8192,16384,32768}),2)*(1-MOD(INT(($CJ44+AR224)/{2,4,8,16,32,64,128,256,512,1024,2048,4096,8192,16384,32768}),2))*{2,4,8,16,32,64,128,256,512,1024,2048,4096,8192,16384,32768})=0,0,2^SUMPRODUCT(--(MOD(SUMPRODUCT(MOD(INT(AS179/{2,4,8,16,32,64,128,256,512,1024,2048,4096,8192,16384,32768}),2)*(1-MOD(INT(($CJ44+AR224)/{2,4,8,16,32,64,128,256,512,1024,2048,4096,8192,16384,32768}),2))*{2,4,8,16,32,64,128,256,512,1024,2048,4096,8192,16384,32768}),{2,4,8,16,32,64,128,256,512,1024,2048,4096,8192,16384,32768})=0))))</f>
        <v/>
      </c>
      <c r="AT224">
        <f>AS224+IF(AND(AT134&gt;0,COUNTIF($Y134:AS134,AT134)=0),0,IF(SUMPRODUCT(MOD(INT(AT179/{2,4,8,16,32,64,128,256,512,1024,2048,4096,8192,16384,32768}),2)*(1-MOD(INT(($CJ44+AS224)/{2,4,8,16,32,64,128,256,512,1024,2048,4096,8192,16384,32768}),2))*{2,4,8,16,32,64,128,256,512,1024,2048,4096,8192,16384,32768})=0,0,2^SUMPRODUCT(--(MOD(SUMPRODUCT(MOD(INT(AT179/{2,4,8,16,32,64,128,256,512,1024,2048,4096,8192,16384,32768}),2)*(1-MOD(INT(($CJ44+AS224)/{2,4,8,16,32,64,128,256,512,1024,2048,4096,8192,16384,32768}),2))*{2,4,8,16,32,64,128,256,512,1024,2048,4096,8192,16384,32768}),{2,4,8,16,32,64,128,256,512,1024,2048,4096,8192,16384,32768})=0))))</f>
        <v/>
      </c>
      <c r="AU224">
        <f>AT224+IF(AND(AU134&gt;0,COUNTIF($Y134:AT134,AU134)=0),0,IF(SUMPRODUCT(MOD(INT(AU179/{2,4,8,16,32,64,128,256,512,1024,2048,4096,8192,16384,32768}),2)*(1-MOD(INT(($CJ44+AT224)/{2,4,8,16,32,64,128,256,512,1024,2048,4096,8192,16384,32768}),2))*{2,4,8,16,32,64,128,256,512,1024,2048,4096,8192,16384,32768})=0,0,2^SUMPRODUCT(--(MOD(SUMPRODUCT(MOD(INT(AU179/{2,4,8,16,32,64,128,256,512,1024,2048,4096,8192,16384,32768}),2)*(1-MOD(INT(($CJ44+AT224)/{2,4,8,16,32,64,128,256,512,1024,2048,4096,8192,16384,32768}),2))*{2,4,8,16,32,64,128,256,512,1024,2048,4096,8192,16384,32768}),{2,4,8,16,32,64,128,256,512,1024,2048,4096,8192,16384,32768})=0))))</f>
        <v/>
      </c>
      <c r="AV224">
        <f>AU224+IF(AND(AV134&gt;0,COUNTIF($Y134:AU134,AV134)=0),0,IF(SUMPRODUCT(MOD(INT(AV179/{2,4,8,16,32,64,128,256,512,1024,2048,4096,8192,16384,32768}),2)*(1-MOD(INT(($CJ44+AU224)/{2,4,8,16,32,64,128,256,512,1024,2048,4096,8192,16384,32768}),2))*{2,4,8,16,32,64,128,256,512,1024,2048,4096,8192,16384,32768})=0,0,2^SUMPRODUCT(--(MOD(SUMPRODUCT(MOD(INT(AV179/{2,4,8,16,32,64,128,256,512,1024,2048,4096,8192,16384,32768}),2)*(1-MOD(INT(($CJ44+AU224)/{2,4,8,16,32,64,128,256,512,1024,2048,4096,8192,16384,32768}),2))*{2,4,8,16,32,64,128,256,512,1024,2048,4096,8192,16384,32768}),{2,4,8,16,32,64,128,256,512,1024,2048,4096,8192,16384,32768})=0))))</f>
        <v/>
      </c>
      <c r="AW224">
        <f>AV224+IF(AND(AW134&gt;0,COUNTIF($Y134:AV134,AW134)=0),0,IF(SUMPRODUCT(MOD(INT(AW179/{2,4,8,16,32,64,128,256,512,1024,2048,4096,8192,16384,32768}),2)*(1-MOD(INT(($CJ44+AV224)/{2,4,8,16,32,64,128,256,512,1024,2048,4096,8192,16384,32768}),2))*{2,4,8,16,32,64,128,256,512,1024,2048,4096,8192,16384,32768})=0,0,2^SUMPRODUCT(--(MOD(SUMPRODUCT(MOD(INT(AW179/{2,4,8,16,32,64,128,256,512,1024,2048,4096,8192,16384,32768}),2)*(1-MOD(INT(($CJ44+AV224)/{2,4,8,16,32,64,128,256,512,1024,2048,4096,8192,16384,32768}),2))*{2,4,8,16,32,64,128,256,512,1024,2048,4096,8192,16384,32768}),{2,4,8,16,32,64,128,256,512,1024,2048,4096,8192,16384,32768})=0))))</f>
        <v/>
      </c>
      <c r="AX224">
        <f>AW224+IF(AND(AX134&gt;0,COUNTIF($Y134:AW134,AX134)=0),0,IF(SUMPRODUCT(MOD(INT(AX179/{2,4,8,16,32,64,128,256,512,1024,2048,4096,8192,16384,32768}),2)*(1-MOD(INT(($CJ44+AW224)/{2,4,8,16,32,64,128,256,512,1024,2048,4096,8192,16384,32768}),2))*{2,4,8,16,32,64,128,256,512,1024,2048,4096,8192,16384,32768})=0,0,2^SUMPRODUCT(--(MOD(SUMPRODUCT(MOD(INT(AX179/{2,4,8,16,32,64,128,256,512,1024,2048,4096,8192,16384,32768}),2)*(1-MOD(INT(($CJ44+AW224)/{2,4,8,16,32,64,128,256,512,1024,2048,4096,8192,16384,32768}),2))*{2,4,8,16,32,64,128,256,512,1024,2048,4096,8192,16384,32768}),{2,4,8,16,32,64,128,256,512,1024,2048,4096,8192,16384,32768})=0))))</f>
        <v/>
      </c>
      <c r="AY224">
        <f>AX224+IF(AND(AY134&gt;0,COUNTIF($Y134:AX134,AY134)=0),0,IF(SUMPRODUCT(MOD(INT(AY179/{2,4,8,16,32,64,128,256,512,1024,2048,4096,8192,16384,32768}),2)*(1-MOD(INT(($CJ44+AX224)/{2,4,8,16,32,64,128,256,512,1024,2048,4096,8192,16384,32768}),2))*{2,4,8,16,32,64,128,256,512,1024,2048,4096,8192,16384,32768})=0,0,2^SUMPRODUCT(--(MOD(SUMPRODUCT(MOD(INT(AY179/{2,4,8,16,32,64,128,256,512,1024,2048,4096,8192,16384,32768}),2)*(1-MOD(INT(($CJ44+AX224)/{2,4,8,16,32,64,128,256,512,1024,2048,4096,8192,16384,32768}),2))*{2,4,8,16,32,64,128,256,512,1024,2048,4096,8192,16384,32768}),{2,4,8,16,32,64,128,256,512,1024,2048,4096,8192,16384,32768})=0))))</f>
        <v/>
      </c>
      <c r="AZ224">
        <f>AY224+IF(AND(AZ134&gt;0,COUNTIF($Y134:AY134,AZ134)=0),0,IF(SUMPRODUCT(MOD(INT(AZ179/{2,4,8,16,32,64,128,256,512,1024,2048,4096,8192,16384,32768}),2)*(1-MOD(INT(($CJ44+AY224)/{2,4,8,16,32,64,128,256,512,1024,2048,4096,8192,16384,32768}),2))*{2,4,8,16,32,64,128,256,512,1024,2048,4096,8192,16384,32768})=0,0,2^SUMPRODUCT(--(MOD(SUMPRODUCT(MOD(INT(AZ179/{2,4,8,16,32,64,128,256,512,1024,2048,4096,8192,16384,32768}),2)*(1-MOD(INT(($CJ44+AY224)/{2,4,8,16,32,64,128,256,512,1024,2048,4096,8192,16384,32768}),2))*{2,4,8,16,32,64,128,256,512,1024,2048,4096,8192,16384,32768}),{2,4,8,16,32,64,128,256,512,1024,2048,4096,8192,16384,32768})=0))))</f>
        <v/>
      </c>
      <c r="BA224">
        <f>AZ224+IF(AND(BA134&gt;0,COUNTIF($Y134:AZ134,BA134)=0),0,IF(SUMPRODUCT(MOD(INT(BA179/{2,4,8,16,32,64,128,256,512,1024,2048,4096,8192,16384,32768}),2)*(1-MOD(INT(($CJ44+AZ224)/{2,4,8,16,32,64,128,256,512,1024,2048,4096,8192,16384,32768}),2))*{2,4,8,16,32,64,128,256,512,1024,2048,4096,8192,16384,32768})=0,0,2^SUMPRODUCT(--(MOD(SUMPRODUCT(MOD(INT(BA179/{2,4,8,16,32,64,128,256,512,1024,2048,4096,8192,16384,32768}),2)*(1-MOD(INT(($CJ44+AZ224)/{2,4,8,16,32,64,128,256,512,1024,2048,4096,8192,16384,32768}),2))*{2,4,8,16,32,64,128,256,512,1024,2048,4096,8192,16384,32768}),{2,4,8,16,32,64,128,256,512,1024,2048,4096,8192,16384,32768})=0))))</f>
        <v/>
      </c>
      <c r="BB224">
        <f>BA224+IF(AND(BB134&gt;0,COUNTIF($Y134:BA134,BB134)=0),0,IF(SUMPRODUCT(MOD(INT(BB179/{2,4,8,16,32,64,128,256,512,1024,2048,4096,8192,16384,32768}),2)*(1-MOD(INT(($CJ44+BA224)/{2,4,8,16,32,64,128,256,512,1024,2048,4096,8192,16384,32768}),2))*{2,4,8,16,32,64,128,256,512,1024,2048,4096,8192,16384,32768})=0,0,2^SUMPRODUCT(--(MOD(SUMPRODUCT(MOD(INT(BB179/{2,4,8,16,32,64,128,256,512,1024,2048,4096,8192,16384,32768}),2)*(1-MOD(INT(($CJ44+BA224)/{2,4,8,16,32,64,128,256,512,1024,2048,4096,8192,16384,32768}),2))*{2,4,8,16,32,64,128,256,512,1024,2048,4096,8192,16384,32768}),{2,4,8,16,32,64,128,256,512,1024,2048,4096,8192,16384,32768})=0))))</f>
        <v/>
      </c>
      <c r="BC224">
        <f>BB224+IF(AND(BC134&gt;0,COUNTIF($Y134:BB134,BC134)=0),0,IF(SUMPRODUCT(MOD(INT(BC179/{2,4,8,16,32,64,128,256,512,1024,2048,4096,8192,16384,32768}),2)*(1-MOD(INT(($CJ44+BB224)/{2,4,8,16,32,64,128,256,512,1024,2048,4096,8192,16384,32768}),2))*{2,4,8,16,32,64,128,256,512,1024,2048,4096,8192,16384,32768})=0,0,2^SUMPRODUCT(--(MOD(SUMPRODUCT(MOD(INT(BC179/{2,4,8,16,32,64,128,256,512,1024,2048,4096,8192,16384,32768}),2)*(1-MOD(INT(($CJ44+BB224)/{2,4,8,16,32,64,128,256,512,1024,2048,4096,8192,16384,32768}),2))*{2,4,8,16,32,64,128,256,512,1024,2048,4096,8192,16384,32768}),{2,4,8,16,32,64,128,256,512,1024,2048,4096,8192,16384,32768})=0))))</f>
        <v/>
      </c>
      <c r="BD224">
        <f>BC224+IF(AND(BD134&gt;0,COUNTIF($Y134:BC134,BD134)=0),0,IF(SUMPRODUCT(MOD(INT(BD179/{2,4,8,16,32,64,128,256,512,1024,2048,4096,8192,16384,32768}),2)*(1-MOD(INT(($CJ44+BC224)/{2,4,8,16,32,64,128,256,512,1024,2048,4096,8192,16384,32768}),2))*{2,4,8,16,32,64,128,256,512,1024,2048,4096,8192,16384,32768})=0,0,2^SUMPRODUCT(--(MOD(SUMPRODUCT(MOD(INT(BD179/{2,4,8,16,32,64,128,256,512,1024,2048,4096,8192,16384,32768}),2)*(1-MOD(INT(($CJ44+BC224)/{2,4,8,16,32,64,128,256,512,1024,2048,4096,8192,16384,32768}),2))*{2,4,8,16,32,64,128,256,512,1024,2048,4096,8192,16384,32768}),{2,4,8,16,32,64,128,256,512,1024,2048,4096,8192,16384,32768})=0))))</f>
        <v/>
      </c>
      <c r="BE224">
        <f>BD224+IF(AND(BE134&gt;0,COUNTIF($Y134:BD134,BE134)=0),0,IF(SUMPRODUCT(MOD(INT(BE179/{2,4,8,16,32,64,128,256,512,1024,2048,4096,8192,16384,32768}),2)*(1-MOD(INT(($CJ44+BD224)/{2,4,8,16,32,64,128,256,512,1024,2048,4096,8192,16384,32768}),2))*{2,4,8,16,32,64,128,256,512,1024,2048,4096,8192,16384,32768})=0,0,2^SUMPRODUCT(--(MOD(SUMPRODUCT(MOD(INT(BE179/{2,4,8,16,32,64,128,256,512,1024,2048,4096,8192,16384,32768}),2)*(1-MOD(INT(($CJ44+BD224)/{2,4,8,16,32,64,128,256,512,1024,2048,4096,8192,16384,32768}),2))*{2,4,8,16,32,64,128,256,512,1024,2048,4096,8192,16384,32768}),{2,4,8,16,32,64,128,256,512,1024,2048,4096,8192,16384,32768})=0))))</f>
        <v/>
      </c>
      <c r="BF224">
        <f>BE224+IF(AND(BF134&gt;0,COUNTIF($Y134:BE134,BF134)=0),0,IF(SUMPRODUCT(MOD(INT(BF179/{2,4,8,16,32,64,128,256,512,1024,2048,4096,8192,16384,32768}),2)*(1-MOD(INT(($CJ44+BE224)/{2,4,8,16,32,64,128,256,512,1024,2048,4096,8192,16384,32768}),2))*{2,4,8,16,32,64,128,256,512,1024,2048,4096,8192,16384,32768})=0,0,2^SUMPRODUCT(--(MOD(SUMPRODUCT(MOD(INT(BF179/{2,4,8,16,32,64,128,256,512,1024,2048,4096,8192,16384,32768}),2)*(1-MOD(INT(($CJ44+BE224)/{2,4,8,16,32,64,128,256,512,1024,2048,4096,8192,16384,32768}),2))*{2,4,8,16,32,64,128,256,512,1024,2048,4096,8192,16384,32768}),{2,4,8,16,32,64,128,256,512,1024,2048,4096,8192,16384,32768})=0))))</f>
        <v/>
      </c>
      <c r="BG224">
        <f>BF224+IF(AND(BG134&gt;0,COUNTIF($Y134:BF134,BG134)=0),0,IF(SUMPRODUCT(MOD(INT(BG179/{2,4,8,16,32,64,128,256,512,1024,2048,4096,8192,16384,32768}),2)*(1-MOD(INT(($CJ44+BF224)/{2,4,8,16,32,64,128,256,512,1024,2048,4096,8192,16384,32768}),2))*{2,4,8,16,32,64,128,256,512,1024,2048,4096,8192,16384,32768})=0,0,2^SUMPRODUCT(--(MOD(SUMPRODUCT(MOD(INT(BG179/{2,4,8,16,32,64,128,256,512,1024,2048,4096,8192,16384,32768}),2)*(1-MOD(INT(($CJ44+BF224)/{2,4,8,16,32,64,128,256,512,1024,2048,4096,8192,16384,32768}),2))*{2,4,8,16,32,64,128,256,512,1024,2048,4096,8192,16384,32768}),{2,4,8,16,32,64,128,256,512,1024,2048,4096,8192,16384,32768})=0))))</f>
        <v/>
      </c>
      <c r="BH224">
        <f>BG224+IF(AND(BH134&gt;0,COUNTIF($Y134:BG134,BH134)=0),0,IF(SUMPRODUCT(MOD(INT(BH179/{2,4,8,16,32,64,128,256,512,1024,2048,4096,8192,16384,32768}),2)*(1-MOD(INT(($CJ44+BG224)/{2,4,8,16,32,64,128,256,512,1024,2048,4096,8192,16384,32768}),2))*{2,4,8,16,32,64,128,256,512,1024,2048,4096,8192,16384,32768})=0,0,2^SUMPRODUCT(--(MOD(SUMPRODUCT(MOD(INT(BH179/{2,4,8,16,32,64,128,256,512,1024,2048,4096,8192,16384,32768}),2)*(1-MOD(INT(($CJ44+BG224)/{2,4,8,16,32,64,128,256,512,1024,2048,4096,8192,16384,32768}),2))*{2,4,8,16,32,64,128,256,512,1024,2048,4096,8192,16384,32768}),{2,4,8,16,32,64,128,256,512,1024,2048,4096,8192,16384,32768})=0))))</f>
        <v/>
      </c>
      <c r="BI224">
        <f>BH224+IF(AND(BI134&gt;0,COUNTIF($Y134:BH134,BI134)=0),0,IF(SUMPRODUCT(MOD(INT(BI179/{2,4,8,16,32,64,128,256,512,1024,2048,4096,8192,16384,32768}),2)*(1-MOD(INT(($CJ44+BH224)/{2,4,8,16,32,64,128,256,512,1024,2048,4096,8192,16384,32768}),2))*{2,4,8,16,32,64,128,256,512,1024,2048,4096,8192,16384,32768})=0,0,2^SUMPRODUCT(--(MOD(SUMPRODUCT(MOD(INT(BI179/{2,4,8,16,32,64,128,256,512,1024,2048,4096,8192,16384,32768}),2)*(1-MOD(INT(($CJ44+BH224)/{2,4,8,16,32,64,128,256,512,1024,2048,4096,8192,16384,32768}),2))*{2,4,8,16,32,64,128,256,512,1024,2048,4096,8192,16384,32768}),{2,4,8,16,32,64,128,256,512,1024,2048,4096,8192,16384,32768})=0))))</f>
        <v/>
      </c>
      <c r="BJ224">
        <f>BI224+IF(AND(BJ134&gt;0,COUNTIF($Y134:BI134,BJ134)=0),0,IF(SUMPRODUCT(MOD(INT(BJ179/{2,4,8,16,32,64,128,256,512,1024,2048,4096,8192,16384,32768}),2)*(1-MOD(INT(($CJ44+BI224)/{2,4,8,16,32,64,128,256,512,1024,2048,4096,8192,16384,32768}),2))*{2,4,8,16,32,64,128,256,512,1024,2048,4096,8192,16384,32768})=0,0,2^SUMPRODUCT(--(MOD(SUMPRODUCT(MOD(INT(BJ179/{2,4,8,16,32,64,128,256,512,1024,2048,4096,8192,16384,32768}),2)*(1-MOD(INT(($CJ44+BI224)/{2,4,8,16,32,64,128,256,512,1024,2048,4096,8192,16384,32768}),2))*{2,4,8,16,32,64,128,256,512,1024,2048,4096,8192,16384,32768}),{2,4,8,16,32,64,128,256,512,1024,2048,4096,8192,16384,32768})=0))))</f>
        <v/>
      </c>
      <c r="BK224">
        <f>BJ224+IF(AND(BK134&gt;0,COUNTIF($Y134:BJ134,BK134)=0),0,IF(SUMPRODUCT(MOD(INT(BK179/{2,4,8,16,32,64,128,256,512,1024,2048,4096,8192,16384,32768}),2)*(1-MOD(INT(($CJ44+BJ224)/{2,4,8,16,32,64,128,256,512,1024,2048,4096,8192,16384,32768}),2))*{2,4,8,16,32,64,128,256,512,1024,2048,4096,8192,16384,32768})=0,0,2^SUMPRODUCT(--(MOD(SUMPRODUCT(MOD(INT(BK179/{2,4,8,16,32,64,128,256,512,1024,2048,4096,8192,16384,32768}),2)*(1-MOD(INT(($CJ44+BJ224)/{2,4,8,16,32,64,128,256,512,1024,2048,4096,8192,16384,32768}),2))*{2,4,8,16,32,64,128,256,512,1024,2048,4096,8192,16384,32768}),{2,4,8,16,32,64,128,256,512,1024,2048,4096,8192,16384,32768})=0))))</f>
        <v/>
      </c>
      <c r="BL224">
        <f>BK224+IF(AND(BL134&gt;0,COUNTIF($Y134:BK134,BL134)=0),0,IF(SUMPRODUCT(MOD(INT(BL179/{2,4,8,16,32,64,128,256,512,1024,2048,4096,8192,16384,32768}),2)*(1-MOD(INT(($CJ44+BK224)/{2,4,8,16,32,64,128,256,512,1024,2048,4096,8192,16384,32768}),2))*{2,4,8,16,32,64,128,256,512,1024,2048,4096,8192,16384,32768})=0,0,2^SUMPRODUCT(--(MOD(SUMPRODUCT(MOD(INT(BL179/{2,4,8,16,32,64,128,256,512,1024,2048,4096,8192,16384,32768}),2)*(1-MOD(INT(($CJ44+BK224)/{2,4,8,16,32,64,128,256,512,1024,2048,4096,8192,16384,32768}),2))*{2,4,8,16,32,64,128,256,512,1024,2048,4096,8192,16384,32768}),{2,4,8,16,32,64,128,256,512,1024,2048,4096,8192,16384,32768})=0))))</f>
        <v/>
      </c>
      <c r="BM224">
        <f>BL224+IF(AND(BM134&gt;0,COUNTIF($Y134:BL134,BM134)=0),0,IF(SUMPRODUCT(MOD(INT(BM179/{2,4,8,16,32,64,128,256,512,1024,2048,4096,8192,16384,32768}),2)*(1-MOD(INT(($CJ44+BL224)/{2,4,8,16,32,64,128,256,512,1024,2048,4096,8192,16384,32768}),2))*{2,4,8,16,32,64,128,256,512,1024,2048,4096,8192,16384,32768})=0,0,2^SUMPRODUCT(--(MOD(SUMPRODUCT(MOD(INT(BM179/{2,4,8,16,32,64,128,256,512,1024,2048,4096,8192,16384,32768}),2)*(1-MOD(INT(($CJ44+BL224)/{2,4,8,16,32,64,128,256,512,1024,2048,4096,8192,16384,32768}),2))*{2,4,8,16,32,64,128,256,512,1024,2048,4096,8192,16384,32768}),{2,4,8,16,32,64,128,256,512,1024,2048,4096,8192,16384,32768})=0))))</f>
        <v/>
      </c>
      <c r="BN224">
        <f>BM224+IF(AND(BN134&gt;0,COUNTIF($Y134:BM134,BN134)=0),0,IF(SUMPRODUCT(MOD(INT(BN179/{2,4,8,16,32,64,128,256,512,1024,2048,4096,8192,16384,32768}),2)*(1-MOD(INT(($CJ44+BM224)/{2,4,8,16,32,64,128,256,512,1024,2048,4096,8192,16384,32768}),2))*{2,4,8,16,32,64,128,256,512,1024,2048,4096,8192,16384,32768})=0,0,2^SUMPRODUCT(--(MOD(SUMPRODUCT(MOD(INT(BN179/{2,4,8,16,32,64,128,256,512,1024,2048,4096,8192,16384,32768}),2)*(1-MOD(INT(($CJ44+BM224)/{2,4,8,16,32,64,128,256,512,1024,2048,4096,8192,16384,32768}),2))*{2,4,8,16,32,64,128,256,512,1024,2048,4096,8192,16384,32768}),{2,4,8,16,32,64,128,256,512,1024,2048,4096,8192,16384,32768})=0))))</f>
        <v/>
      </c>
      <c r="BO224">
        <f>BN224+IF(AND(BO134&gt;0,COUNTIF($Y134:BN134,BO134)=0),0,IF(SUMPRODUCT(MOD(INT(BO179/{2,4,8,16,32,64,128,256,512,1024,2048,4096,8192,16384,32768}),2)*(1-MOD(INT(($CJ44+BN224)/{2,4,8,16,32,64,128,256,512,1024,2048,4096,8192,16384,32768}),2))*{2,4,8,16,32,64,128,256,512,1024,2048,4096,8192,16384,32768})=0,0,2^SUMPRODUCT(--(MOD(SUMPRODUCT(MOD(INT(BO179/{2,4,8,16,32,64,128,256,512,1024,2048,4096,8192,16384,32768}),2)*(1-MOD(INT(($CJ44+BN224)/{2,4,8,16,32,64,128,256,512,1024,2048,4096,8192,16384,32768}),2))*{2,4,8,16,32,64,128,256,512,1024,2048,4096,8192,16384,32768}),{2,4,8,16,32,64,128,256,512,1024,2048,4096,8192,16384,32768})=0))))</f>
        <v/>
      </c>
      <c r="BP224">
        <f>BO224+IF(AND(BP134&gt;0,COUNTIF($Y134:BO134,BP134)=0),0,IF(SUMPRODUCT(MOD(INT(BP179/{2,4,8,16,32,64,128,256,512,1024,2048,4096,8192,16384,32768}),2)*(1-MOD(INT(($CJ44+BO224)/{2,4,8,16,32,64,128,256,512,1024,2048,4096,8192,16384,32768}),2))*{2,4,8,16,32,64,128,256,512,1024,2048,4096,8192,16384,32768})=0,0,2^SUMPRODUCT(--(MOD(SUMPRODUCT(MOD(INT(BP179/{2,4,8,16,32,64,128,256,512,1024,2048,4096,8192,16384,32768}),2)*(1-MOD(INT(($CJ44+BO224)/{2,4,8,16,32,64,128,256,512,1024,2048,4096,8192,16384,32768}),2))*{2,4,8,16,32,64,128,256,512,1024,2048,4096,8192,16384,32768}),{2,4,8,16,32,64,128,256,512,1024,2048,4096,8192,16384,32768})=0))))</f>
        <v/>
      </c>
      <c r="BQ224">
        <f>BP224+IF(AND(BQ134&gt;0,COUNTIF($Y134:BP134,BQ134)=0),0,IF(SUMPRODUCT(MOD(INT(BQ179/{2,4,8,16,32,64,128,256,512,1024,2048,4096,8192,16384,32768}),2)*(1-MOD(INT(($CJ44+BP224)/{2,4,8,16,32,64,128,256,512,1024,2048,4096,8192,16384,32768}),2))*{2,4,8,16,32,64,128,256,512,1024,2048,4096,8192,16384,32768})=0,0,2^SUMPRODUCT(--(MOD(SUMPRODUCT(MOD(INT(BQ179/{2,4,8,16,32,64,128,256,512,1024,2048,4096,8192,16384,32768}),2)*(1-MOD(INT(($CJ44+BP224)/{2,4,8,16,32,64,128,256,512,1024,2048,4096,8192,16384,32768}),2))*{2,4,8,16,32,64,128,256,512,1024,2048,4096,8192,16384,32768}),{2,4,8,16,32,64,128,256,512,1024,2048,4096,8192,16384,32768})=0))))</f>
        <v/>
      </c>
      <c r="BR224">
        <f>BQ224+IF(AND(BR134&gt;0,COUNTIF($Y134:BQ134,BR134)=0),0,IF(SUMPRODUCT(MOD(INT(BR179/{2,4,8,16,32,64,128,256,512,1024,2048,4096,8192,16384,32768}),2)*(1-MOD(INT(($CJ44+BQ224)/{2,4,8,16,32,64,128,256,512,1024,2048,4096,8192,16384,32768}),2))*{2,4,8,16,32,64,128,256,512,1024,2048,4096,8192,16384,32768})=0,0,2^SUMPRODUCT(--(MOD(SUMPRODUCT(MOD(INT(BR179/{2,4,8,16,32,64,128,256,512,1024,2048,4096,8192,16384,32768}),2)*(1-MOD(INT(($CJ44+BQ224)/{2,4,8,16,32,64,128,256,512,1024,2048,4096,8192,16384,32768}),2))*{2,4,8,16,32,64,128,256,512,1024,2048,4096,8192,16384,32768}),{2,4,8,16,32,64,128,256,512,1024,2048,4096,8192,16384,32768})=0))))</f>
        <v/>
      </c>
      <c r="BS224">
        <f>BR224+IF(AND(BS134&gt;0,COUNTIF($Y134:BR134,BS134)=0),0,IF(SUMPRODUCT(MOD(INT(BS179/{2,4,8,16,32,64,128,256,512,1024,2048,4096,8192,16384,32768}),2)*(1-MOD(INT(($CJ44+BR224)/{2,4,8,16,32,64,128,256,512,1024,2048,4096,8192,16384,32768}),2))*{2,4,8,16,32,64,128,256,512,1024,2048,4096,8192,16384,32768})=0,0,2^SUMPRODUCT(--(MOD(SUMPRODUCT(MOD(INT(BS179/{2,4,8,16,32,64,128,256,512,1024,2048,4096,8192,16384,32768}),2)*(1-MOD(INT(($CJ44+BR224)/{2,4,8,16,32,64,128,256,512,1024,2048,4096,8192,16384,32768}),2))*{2,4,8,16,32,64,128,256,512,1024,2048,4096,8192,16384,32768}),{2,4,8,16,32,64,128,256,512,1024,2048,4096,8192,16384,32768})=0))))</f>
        <v/>
      </c>
      <c r="BT224">
        <f>BS224+IF(AND(BT134&gt;0,COUNTIF($Y134:BS134,BT134)=0),0,IF(SUMPRODUCT(MOD(INT(BT179/{2,4,8,16,32,64,128,256,512,1024,2048,4096,8192,16384,32768}),2)*(1-MOD(INT(($CJ44+BS224)/{2,4,8,16,32,64,128,256,512,1024,2048,4096,8192,16384,32768}),2))*{2,4,8,16,32,64,128,256,512,1024,2048,4096,8192,16384,32768})=0,0,2^SUMPRODUCT(--(MOD(SUMPRODUCT(MOD(INT(BT179/{2,4,8,16,32,64,128,256,512,1024,2048,4096,8192,16384,32768}),2)*(1-MOD(INT(($CJ44+BS224)/{2,4,8,16,32,64,128,256,512,1024,2048,4096,8192,16384,32768}),2))*{2,4,8,16,32,64,128,256,512,1024,2048,4096,8192,16384,32768}),{2,4,8,16,32,64,128,256,512,1024,2048,4096,8192,16384,32768})=0))))</f>
        <v/>
      </c>
      <c r="BU224">
        <f>BT224+IF(AND(BU134&gt;0,COUNTIF($Y134:BT134,BU134)=0),0,IF(SUMPRODUCT(MOD(INT(BU179/{2,4,8,16,32,64,128,256,512,1024,2048,4096,8192,16384,32768}),2)*(1-MOD(INT(($CJ44+BT224)/{2,4,8,16,32,64,128,256,512,1024,2048,4096,8192,16384,32768}),2))*{2,4,8,16,32,64,128,256,512,1024,2048,4096,8192,16384,32768})=0,0,2^SUMPRODUCT(--(MOD(SUMPRODUCT(MOD(INT(BU179/{2,4,8,16,32,64,128,256,512,1024,2048,4096,8192,16384,32768}),2)*(1-MOD(INT(($CJ44+BT224)/{2,4,8,16,32,64,128,256,512,1024,2048,4096,8192,16384,32768}),2))*{2,4,8,16,32,64,128,256,512,1024,2048,4096,8192,16384,32768}),{2,4,8,16,32,64,128,256,512,1024,2048,4096,8192,16384,32768})=0))))</f>
        <v/>
      </c>
      <c r="BV224">
        <f>BU224+IF(AND(BV134&gt;0,COUNTIF($Y134:BU134,BV134)=0),0,IF(SUMPRODUCT(MOD(INT(BV179/{2,4,8,16,32,64,128,256,512,1024,2048,4096,8192,16384,32768}),2)*(1-MOD(INT(($CJ44+BU224)/{2,4,8,16,32,64,128,256,512,1024,2048,4096,8192,16384,32768}),2))*{2,4,8,16,32,64,128,256,512,1024,2048,4096,8192,16384,32768})=0,0,2^SUMPRODUCT(--(MOD(SUMPRODUCT(MOD(INT(BV179/{2,4,8,16,32,64,128,256,512,1024,2048,4096,8192,16384,32768}),2)*(1-MOD(INT(($CJ44+BU224)/{2,4,8,16,32,64,128,256,512,1024,2048,4096,8192,16384,32768}),2))*{2,4,8,16,32,64,128,256,512,1024,2048,4096,8192,16384,32768}),{2,4,8,16,32,64,128,256,512,1024,2048,4096,8192,16384,32768})=0))))</f>
        <v/>
      </c>
      <c r="BW224">
        <f>BV224+IF(AND(BW134&gt;0,COUNTIF($Y134:BV134,BW134)=0),0,IF(SUMPRODUCT(MOD(INT(BW179/{2,4,8,16,32,64,128,256,512,1024,2048,4096,8192,16384,32768}),2)*(1-MOD(INT(($CJ44+BV224)/{2,4,8,16,32,64,128,256,512,1024,2048,4096,8192,16384,32768}),2))*{2,4,8,16,32,64,128,256,512,1024,2048,4096,8192,16384,32768})=0,0,2^SUMPRODUCT(--(MOD(SUMPRODUCT(MOD(INT(BW179/{2,4,8,16,32,64,128,256,512,1024,2048,4096,8192,16384,32768}),2)*(1-MOD(INT(($CJ44+BV224)/{2,4,8,16,32,64,128,256,512,1024,2048,4096,8192,16384,32768}),2))*{2,4,8,16,32,64,128,256,512,1024,2048,4096,8192,16384,32768}),{2,4,8,16,32,64,128,256,512,1024,2048,4096,8192,16384,32768})=0))))</f>
        <v/>
      </c>
      <c r="BX224">
        <f>BW224+IF(AND(BX134&gt;0,COUNTIF($Y134:BW134,BX134)=0),0,IF(SUMPRODUCT(MOD(INT(BX179/{2,4,8,16,32,64,128,256,512,1024,2048,4096,8192,16384,32768}),2)*(1-MOD(INT(($CJ44+BW224)/{2,4,8,16,32,64,128,256,512,1024,2048,4096,8192,16384,32768}),2))*{2,4,8,16,32,64,128,256,512,1024,2048,4096,8192,16384,32768})=0,0,2^SUMPRODUCT(--(MOD(SUMPRODUCT(MOD(INT(BX179/{2,4,8,16,32,64,128,256,512,1024,2048,4096,8192,16384,32768}),2)*(1-MOD(INT(($CJ44+BW224)/{2,4,8,16,32,64,128,256,512,1024,2048,4096,8192,16384,32768}),2))*{2,4,8,16,32,64,128,256,512,1024,2048,4096,8192,16384,32768}),{2,4,8,16,32,64,128,256,512,1024,2048,4096,8192,16384,32768})=0))))</f>
        <v/>
      </c>
      <c r="BY224">
        <f>BX224+IF(AND(BY134&gt;0,COUNTIF($Y134:BX134,BY134)=0),0,IF(SUMPRODUCT(MOD(INT(BY179/{2,4,8,16,32,64,128,256,512,1024,2048,4096,8192,16384,32768}),2)*(1-MOD(INT(($CJ44+BX224)/{2,4,8,16,32,64,128,256,512,1024,2048,4096,8192,16384,32768}),2))*{2,4,8,16,32,64,128,256,512,1024,2048,4096,8192,16384,32768})=0,0,2^SUMPRODUCT(--(MOD(SUMPRODUCT(MOD(INT(BY179/{2,4,8,16,32,64,128,256,512,1024,2048,4096,8192,16384,32768}),2)*(1-MOD(INT(($CJ44+BX224)/{2,4,8,16,32,64,128,256,512,1024,2048,4096,8192,16384,32768}),2))*{2,4,8,16,32,64,128,256,512,1024,2048,4096,8192,16384,32768}),{2,4,8,16,32,64,128,256,512,1024,2048,4096,8192,16384,32768})=0))))</f>
        <v/>
      </c>
      <c r="BZ224">
        <f>BY224+IF(AND(BZ134&gt;0,COUNTIF($Y134:BY134,BZ134)=0),0,IF(SUMPRODUCT(MOD(INT(BZ179/{2,4,8,16,32,64,128,256,512,1024,2048,4096,8192,16384,32768}),2)*(1-MOD(INT(($CJ44+BY224)/{2,4,8,16,32,64,128,256,512,1024,2048,4096,8192,16384,32768}),2))*{2,4,8,16,32,64,128,256,512,1024,2048,4096,8192,16384,32768})=0,0,2^SUMPRODUCT(--(MOD(SUMPRODUCT(MOD(INT(BZ179/{2,4,8,16,32,64,128,256,512,1024,2048,4096,8192,16384,32768}),2)*(1-MOD(INT(($CJ44+BY224)/{2,4,8,16,32,64,128,256,512,1024,2048,4096,8192,16384,32768}),2))*{2,4,8,16,32,64,128,256,512,1024,2048,4096,8192,16384,32768}),{2,4,8,16,32,64,128,256,512,1024,2048,4096,8192,16384,32768})=0))))</f>
        <v/>
      </c>
      <c r="CA224">
        <f>BZ224+IF(AND(CA134&gt;0,COUNTIF($Y134:BZ134,CA134)=0),0,IF(SUMPRODUCT(MOD(INT(CA179/{2,4,8,16,32,64,128,256,512,1024,2048,4096,8192,16384,32768}),2)*(1-MOD(INT(($CJ44+BZ224)/{2,4,8,16,32,64,128,256,512,1024,2048,4096,8192,16384,32768}),2))*{2,4,8,16,32,64,128,256,512,1024,2048,4096,8192,16384,32768})=0,0,2^SUMPRODUCT(--(MOD(SUMPRODUCT(MOD(INT(CA179/{2,4,8,16,32,64,128,256,512,1024,2048,4096,8192,16384,32768}),2)*(1-MOD(INT(($CJ44+BZ224)/{2,4,8,16,32,64,128,256,512,1024,2048,4096,8192,16384,32768}),2))*{2,4,8,16,32,64,128,256,512,1024,2048,4096,8192,16384,32768}),{2,4,8,16,32,64,128,256,512,1024,2048,4096,8192,16384,32768})=0))))</f>
        <v/>
      </c>
      <c r="CB224">
        <f>CA224+IF(AND(CB134&gt;0,COUNTIF($Y134:CA134,CB134)=0),0,IF(SUMPRODUCT(MOD(INT(CB179/{2,4,8,16,32,64,128,256,512,1024,2048,4096,8192,16384,32768}),2)*(1-MOD(INT(($CJ44+CA224)/{2,4,8,16,32,64,128,256,512,1024,2048,4096,8192,16384,32768}),2))*{2,4,8,16,32,64,128,256,512,1024,2048,4096,8192,16384,32768})=0,0,2^SUMPRODUCT(--(MOD(SUMPRODUCT(MOD(INT(CB179/{2,4,8,16,32,64,128,256,512,1024,2048,4096,8192,16384,32768}),2)*(1-MOD(INT(($CJ44+CA224)/{2,4,8,16,32,64,128,256,512,1024,2048,4096,8192,16384,32768}),2))*{2,4,8,16,32,64,128,256,512,1024,2048,4096,8192,16384,32768}),{2,4,8,16,32,64,128,256,512,1024,2048,4096,8192,16384,32768})=0))))</f>
        <v/>
      </c>
      <c r="CC224">
        <f>CB224+IF(AND(CC134&gt;0,COUNTIF($Y134:CB134,CC134)=0),0,IF(SUMPRODUCT(MOD(INT(CC179/{2,4,8,16,32,64,128,256,512,1024,2048,4096,8192,16384,32768}),2)*(1-MOD(INT(($CJ44+CB224)/{2,4,8,16,32,64,128,256,512,1024,2048,4096,8192,16384,32768}),2))*{2,4,8,16,32,64,128,256,512,1024,2048,4096,8192,16384,32768})=0,0,2^SUMPRODUCT(--(MOD(SUMPRODUCT(MOD(INT(CC179/{2,4,8,16,32,64,128,256,512,1024,2048,4096,8192,16384,32768}),2)*(1-MOD(INT(($CJ44+CB224)/{2,4,8,16,32,64,128,256,512,1024,2048,4096,8192,16384,32768}),2))*{2,4,8,16,32,64,128,256,512,1024,2048,4096,8192,16384,32768}),{2,4,8,16,32,64,128,256,512,1024,2048,4096,8192,16384,32768})=0))))</f>
        <v/>
      </c>
      <c r="CD224">
        <f>CC224+IF(AND(CD134&gt;0,COUNTIF($Y134:CC134,CD134)=0),0,IF(SUMPRODUCT(MOD(INT(CD179/{2,4,8,16,32,64,128,256,512,1024,2048,4096,8192,16384,32768}),2)*(1-MOD(INT(($CJ44+CC224)/{2,4,8,16,32,64,128,256,512,1024,2048,4096,8192,16384,32768}),2))*{2,4,8,16,32,64,128,256,512,1024,2048,4096,8192,16384,32768})=0,0,2^SUMPRODUCT(--(MOD(SUMPRODUCT(MOD(INT(CD179/{2,4,8,16,32,64,128,256,512,1024,2048,4096,8192,16384,32768}),2)*(1-MOD(INT(($CJ44+CC224)/{2,4,8,16,32,64,128,256,512,1024,2048,4096,8192,16384,32768}),2))*{2,4,8,16,32,64,128,256,512,1024,2048,4096,8192,16384,32768}),{2,4,8,16,32,64,128,256,512,1024,2048,4096,8192,16384,32768})=0))))</f>
        <v/>
      </c>
      <c r="CE224">
        <f>CD224+IF(AND(CE134&gt;0,COUNTIF($Y134:CD134,CE134)=0),0,IF(SUMPRODUCT(MOD(INT(CE179/{2,4,8,16,32,64,128,256,512,1024,2048,4096,8192,16384,32768}),2)*(1-MOD(INT(($CJ44+CD224)/{2,4,8,16,32,64,128,256,512,1024,2048,4096,8192,16384,32768}),2))*{2,4,8,16,32,64,128,256,512,1024,2048,4096,8192,16384,32768})=0,0,2^SUMPRODUCT(--(MOD(SUMPRODUCT(MOD(INT(CE179/{2,4,8,16,32,64,128,256,512,1024,2048,4096,8192,16384,32768}),2)*(1-MOD(INT(($CJ44+CD224)/{2,4,8,16,32,64,128,256,512,1024,2048,4096,8192,16384,32768}),2))*{2,4,8,16,32,64,128,256,512,1024,2048,4096,8192,16384,32768}),{2,4,8,16,32,64,128,256,512,1024,2048,4096,8192,16384,32768})=0))))</f>
        <v/>
      </c>
      <c r="CF224">
        <f>CE224+IF(AND(CF134&gt;0,COUNTIF($Y134:CE134,CF134)=0),0,IF(SUMPRODUCT(MOD(INT(CF179/{2,4,8,16,32,64,128,256,512,1024,2048,4096,8192,16384,32768}),2)*(1-MOD(INT(($CJ44+CE224)/{2,4,8,16,32,64,128,256,512,1024,2048,4096,8192,16384,32768}),2))*{2,4,8,16,32,64,128,256,512,1024,2048,4096,8192,16384,32768})=0,0,2^SUMPRODUCT(--(MOD(SUMPRODUCT(MOD(INT(CF179/{2,4,8,16,32,64,128,256,512,1024,2048,4096,8192,16384,32768}),2)*(1-MOD(INT(($CJ44+CE224)/{2,4,8,16,32,64,128,256,512,1024,2048,4096,8192,16384,32768}),2))*{2,4,8,16,32,64,128,256,512,1024,2048,4096,8192,16384,32768}),{2,4,8,16,32,64,128,256,512,1024,2048,4096,8192,16384,32768})=0))))</f>
        <v/>
      </c>
      <c r="DA224" t="n">
        <v>220</v>
      </c>
      <c r="DB224">
        <f>IF($B$37=0,"",IFERROR(TRIM(SUBSTITUTE(SUBSTITUTE(SUBSTITUTE(SUBSTITUTE(INDEX(PASTE_ALL,220,$B$37)," "," "),CHAR(9)," "),CHAR(10)," "),CHAR(13)," ")),""))</f>
        <v/>
      </c>
      <c r="DC224">
        <f>IF(AND(220&gt;HEADER_ROW,UPPER(DB224)="LEGEND"),1,0)</f>
        <v/>
      </c>
      <c r="DE224" t="n">
        <v>220</v>
      </c>
      <c r="DF224">
        <f>HEADER_ROW+$DE224</f>
        <v/>
      </c>
      <c r="DG224">
        <f>IF(AND($DF224&lt;=1000,$DF224&lt;$B$8),1,0)</f>
        <v/>
      </c>
      <c r="DH224">
        <f>IF($DG224=1,IFERROR(INDEX($DB$5:$DB$1004,$DF224),""),"")</f>
        <v/>
      </c>
      <c r="DI224">
        <f>IF(AND($DG224=1,$DH224&lt;&gt;""),IFERROR(SUBSTITUTE(SUBSTITUTE(TRIM(SUBSTITUTE(SUBSTITUTE(SUBSTITUTE(SUBSTITUTE(IFERROR(INDEX(PASTE_ALL,$DF224,1)&amp;"","")&amp;"␟"&amp;IFERROR(INDEX(PASTE_ALL,$DF224,2)&amp;"","")&amp;"␟"&amp;IFERROR(INDEX(PASTE_ALL,$DF224,3)&amp;"","")&amp;"␟"&amp;IFERROR(INDEX(PASTE_ALL,$DF224,4)&amp;"","")&amp;"␟"&amp;IFERROR(INDEX(PASTE_ALL,$DF224,5)&amp;"","")&amp;"␟"&amp;IFERROR(INDEX(PASTE_ALL,$DF224,6)&amp;"","")&amp;"␟"&amp;IFERROR(INDEX(PASTE_ALL,$DF224,7)&amp;"","")&amp;"␟"&amp;IFERROR(INDEX(PASTE_ALL,$DF224,8)&amp;"","")&amp;"␟"&amp;IFERROR(INDEX(PASTE_ALL,$DF224,9)&amp;"","")&amp;"␟"&amp;IFERROR(INDEX(PASTE_ALL,$DF224,10)&amp;"","")&amp;"␟"&amp;IFERROR(INDEX(PASTE_ALL,$DF224,11)&amp;"","")&amp;"␟"&amp;IFERROR(INDEX(PASTE_ALL,$DF224,12)&amp;"","")&amp;"␟"&amp;IFERROR(INDEX(PASTE_ALL,$DF224,13)&amp;"","")&amp;"␟"&amp;IFERROR(INDEX(PASTE_ALL,$DF224,14)&amp;"","")&amp;"␟"&amp;IFERROR(INDEX(PASTE_ALL,$DF224,15)&amp;"","")&amp;"␟"&amp;IFERROR(INDEX(PASTE_ALL,$DF224,16)&amp;"","")&amp;"␟"&amp;IFERROR(INDEX(PASTE_ALL,$DF224,17)&amp;"","")&amp;"␟"&amp;IFERROR(INDEX(PASTE_ALL,$DF224,18)&amp;"","")&amp;"␟"&amp;IFERROR(INDEX(PASTE_ALL,$DF224,19)&amp;"","")&amp;"␟"&amp;IFERROR(INDEX(PASTE_ALL,$DF224,20)&amp;"","")&amp;"␟"&amp;IFERROR(INDEX(PASTE_ALL,$DF224,21)&amp;"","")&amp;"␟"&amp;IFERROR(INDEX(PASTE_ALL,$DF224,22)&amp;"","")&amp;"␟"&amp;IFERROR(INDEX(PASTE_ALL,$DF224,23)&amp;"","")&amp;"␟"&amp;IFERROR(INDEX(PASTE_ALL,$DF224,24)&amp;"","")&amp;"␟"&amp;IFERROR(INDEX(PASTE_ALL,$DF224,25)&amp;"","")&amp;"␟"&amp;IFERROR(INDEX(PASTE_ALL,$DF224,26)&amp;"","")&amp;"␟"&amp;IFERROR(INDEX(PASTE_ALL,$DF224,27)&amp;"","")&amp;"␟"&amp;IFERROR(INDEX(PASTE_ALL,$DF224,28)&amp;"","")&amp;"␟"&amp;IFERROR(INDEX(PASTE_ALL,$DF224,29)&amp;"","")&amp;"␟"&amp;IFERROR(INDEX(PASTE_ALL,$DF224,30)&amp;"","")&amp;"␟"&amp;IFERROR(INDEX(PASTE_ALL,$DF224,31)&amp;"","")&amp;"␟"&amp;IFERROR(INDEX(PASTE_ALL,$DF224,32)&amp;"","")&amp;"␟"&amp;IFERROR(INDEX(PASTE_ALL,$DF224,33)&amp;"","")&amp;"␟"&amp;IFERROR(INDEX(PASTE_ALL,$DF224,34)&amp;"","")&amp;"␟"&amp;IFERROR(INDEX(PASTE_ALL,$DF224,35)&amp;"","")&amp;"␟"&amp;IFERROR(INDEX(PASTE_ALL,$DF224,36)&amp;"","")&amp;"␟"&amp;IFERROR(INDEX(PASTE_ALL,$DF224,37)&amp;"","")&amp;"␟"&amp;IFERROR(INDEX(PASTE_ALL,$DF224,38)&amp;"","")&amp;"␟"&amp;IFERROR(INDEX(PASTE_ALL,$DF224,39)&amp;"","")&amp;"␟"&amp;IFERROR(INDEX(PASTE_ALL,$DF224,40)&amp;"","")&amp;"␟"&amp;IFERROR(INDEX(PASTE_ALL,$DF224,41)&amp;"","")&amp;"␟"&amp;IFERROR(INDEX(PASTE_ALL,$DF224,42)&amp;"","")&amp;"␟"&amp;IFERROR(INDEX(PASTE_ALL,$DF224,43)&amp;"","")&amp;"␟"&amp;IFERROR(INDEX(PASTE_ALL,$DF224,44)&amp;"","")&amp;"␟"&amp;IFERROR(INDEX(PASTE_ALL,$DF224,45)&amp;"","")&amp;"␟"&amp;IFERROR(INDEX(PASTE_ALL,$DF224,46)&amp;"","")&amp;"␟"&amp;IFERROR(INDEX(PASTE_ALL,$DF224,47)&amp;"","")&amp;"␟"&amp;IFERROR(INDEX(PASTE_ALL,$DF224,48)&amp;"","")&amp;"␟"&amp;IFERROR(INDEX(PASTE_ALL,$DF224,49)&amp;"","")&amp;"␟"&amp;IFERROR(INDEX(PASTE_ALL,$DF224,50)&amp;"","")&amp;"␟"&amp;IFERROR(INDEX(PASTE_ALL,$DF224,51)&amp;"","")&amp;"␟"&amp;IFERROR(INDEX(PASTE_ALL,$DF224,52)&amp;"","")&amp;"␟"&amp;IFERROR(INDEX(PASTE_ALL,$DF224,53)&amp;"","")&amp;"␟"&amp;IFERROR(INDEX(PASTE_ALL,$DF224,54)&amp;"","")&amp;"␟"&amp;IFERROR(INDEX(PASTE_ALL,$DF224,55)&amp;"","")&amp;"␟"&amp;IFERROR(INDEX(PASTE_ALL,$DF224,56)&amp;"","")&amp;"␟"&amp;IFERROR(INDEX(PASTE_ALL,$DF224,57)&amp;"","")&amp;"␟"&amp;IFERROR(INDEX(PASTE_ALL,$DF224,58)&amp;"","")&amp;"␟"&amp;IFERROR(INDEX(PASTE_ALL,$DF224,59)&amp;"","")&amp;"␟"&amp;IFERROR(INDEX(PASTE_ALL,$DF224,60)&amp;"","")," "," "),CHAR(9)," "),CHAR(10)," "),CHAR(13)," "))," ␟","␟"),"␟ ","␟"),"#"&amp;$DE224),"")</f>
        <v/>
      </c>
      <c r="DJ224">
        <f>IF($DI224="",0,IF(SUMPRODUCT(--EXACT($DI$4:DI223,$DI224))&gt;0,1,0))</f>
        <v/>
      </c>
      <c r="DK224">
        <f>IF(AND($DI224&lt;&gt;"",$DJ224=0),1,0)</f>
        <v/>
      </c>
      <c r="DL224">
        <f>DL223+$DK224</f>
        <v/>
      </c>
      <c r="DM224">
        <f>IF(AND($DK224=1,$DL224&lt;=600),1,0)</f>
        <v/>
      </c>
      <c r="DN224">
        <f>IF($DM224=0,"",IF($L$6=0,"",IFERROR(IF(ISNUMBER(INDEX(PASTE_ALL,$DF224,$L$6)),INDEX(PASTE_ALL,$DF224,$L$6),TRIM(SUBSTITUTE(SUBSTITUTE(SUBSTITUTE(SUBSTITUTE(INDEX(PASTE_ALL,$DF224,$L$6)," "," "),CHAR(9)," "),CHAR(10)," "),CHAR(13)," "))),"")))</f>
        <v/>
      </c>
      <c r="DO224">
        <f>IF($DM224=0,"",IF($L$7=0,"",IFERROR(IF(ISNUMBER(INDEX(PASTE_ALL,$DF224,$L$7)),INDEX(PASTE_ALL,$DF224,$L$7),TRIM(SUBSTITUTE(SUBSTITUTE(SUBSTITUTE(SUBSTITUTE(INDEX(PASTE_ALL,$DF224,$L$7)," "," "),CHAR(9)," "),CHAR(10)," "),CHAR(13)," "))),"")))</f>
        <v/>
      </c>
      <c r="DP224">
        <f>IF($DM224=0,"",IF($L$8=0,"",IFERROR(IF(ISNUMBER(INDEX(PASTE_ALL,$DF224,$L$8)),INDEX(PASTE_ALL,$DF224,$L$8),TRIM(SUBSTITUTE(SUBSTITUTE(SUBSTITUTE(SUBSTITUTE(INDEX(PASTE_ALL,$DF224,$L$8)," "," "),CHAR(9)," "),CHAR(10)," "),CHAR(13)," "))),"")))</f>
        <v/>
      </c>
      <c r="DQ224">
        <f>IF($DM224=0,"",IF($L$9=0,"",IFERROR(IF(ISNUMBER(INDEX(PASTE_ALL,$DF224,$L$9)),INDEX(PASTE_ALL,$DF224,$L$9),TRIM(SUBSTITUTE(SUBSTITUTE(SUBSTITUTE(SUBSTITUTE(INDEX(PASTE_ALL,$DF224,$L$9)," "," "),CHAR(9)," "),CHAR(10)," "),CHAR(13)," "))),"")))</f>
        <v/>
      </c>
      <c r="DR224">
        <f>IF($DM224=0,"",IF($L$10=0,"",IFERROR(IF(ISNUMBER(INDEX(PASTE_ALL,$DF224,$L$10)),INDEX(PASTE_ALL,$DF224,$L$10),TRIM(SUBSTITUTE(SUBSTITUTE(SUBSTITUTE(SUBSTITUTE(INDEX(PASTE_ALL,$DF224,$L$10)," "," "),CHAR(9)," "),CHAR(10)," "),CHAR(13)," "))),"")))</f>
        <v/>
      </c>
      <c r="DS224">
        <f>IF($DM224=0,"",IF($L$11=0,"",IFERROR(IF(ISNUMBER(INDEX(PASTE_ALL,$DF224,$L$11)),INDEX(PASTE_ALL,$DF224,$L$11),TRIM(SUBSTITUTE(SUBSTITUTE(SUBSTITUTE(SUBSTITUTE(INDEX(PASTE_ALL,$DF224,$L$11)," "," "),CHAR(9)," "),CHAR(10)," "),CHAR(13)," "))),"")))</f>
        <v/>
      </c>
      <c r="DT224">
        <f>IF($DM224=0,"",IF($L$12=0,"",IFERROR(IF(ISNUMBER(INDEX(PASTE_ALL,$DF224,$L$12)),INDEX(PASTE_ALL,$DF224,$L$12),TRIM(SUBSTITUTE(SUBSTITUTE(SUBSTITUTE(SUBSTITUTE(INDEX(PASTE_ALL,$DF224,$L$12)," "," "),CHAR(9)," "),CHAR(10)," "),CHAR(13)," "))),"")))</f>
        <v/>
      </c>
      <c r="DU224">
        <f>IF($DM224=0,"",IF($L$13=0,"",IFERROR(IF(ISNUMBER(INDEX(PASTE_ALL,$DF224,$L$13)),INDEX(PASTE_ALL,$DF224,$L$13),TRIM(SUBSTITUTE(SUBSTITUTE(SUBSTITUTE(SUBSTITUTE(INDEX(PASTE_ALL,$DF224,$L$13)," "," "),CHAR(9)," "),CHAR(10)," "),CHAR(13)," "))),"")))</f>
        <v/>
      </c>
      <c r="DV224">
        <f>IF($DM224=0,"",IF($L$14=0,"",IFERROR(IF(ISNUMBER(INDEX(PASTE_ALL,$DF224,$L$14)),INDEX(PASTE_ALL,$DF224,$L$14),TRIM(SUBSTITUTE(SUBSTITUTE(SUBSTITUTE(SUBSTITUTE(INDEX(PASTE_ALL,$DF224,$L$14)," "," "),CHAR(9)," "),CHAR(10)," "),CHAR(13)," "))),"")))</f>
        <v/>
      </c>
      <c r="DW224">
        <f>IF($DM224=0,"",IF($L$15=0,"",IFERROR(IF(ISNUMBER(INDEX(PASTE_ALL,$DF224,$L$15)),INDEX(PASTE_ALL,$DF224,$L$15),IF(SUMPRODUCT(--ISNUMBER(FIND({"A","B","C","D","E","F","G","H","I","J","K","L","M","N","O","P","Q","R","S","T","U","V","W","X","Y","Z","0","1","2","3","4","5","6","7","8","9"},UPPER(TRIM(SUBSTITUTE(SUBSTITUTE(SUBSTITUTE(SUBSTITUTE(INDEX(PASTE_ALL,$DF224,$L$15)," "," "),CHAR(9)," "),CHAR(10)," "),CHAR(13)," "))))))&gt;0,TRIM(SUBSTITUTE(SUBSTITUTE(SUBSTITUTE(SUBSTITUTE(INDEX(PASTE_ALL,$DF224,$L$15)," "," "),CHAR(9)," "),CHAR(10)," "),CHAR(13)," ")),"")),"")))</f>
        <v/>
      </c>
      <c r="DX224">
        <f>IF($DM224=0,"",IF($L$16=0,"",IFERROR(IF(ISNUMBER(INDEX(PASTE_ALL,$DF224,$L$16)),INDEX(PASTE_ALL,$DF224,$L$16),SUBSTITUTE(SUBSTITUTE(TRIM(SUBSTITUTE(SUBSTITUTE(SUBSTITUTE(SUBSTITUTE(INDEX(PASTE_ALL,$DF224,$L$16)," "," "),CHAR(9)," "),CHAR(10)," "),CHAR(13)," ")),",",""),"%","")),"")))</f>
        <v/>
      </c>
      <c r="DY224">
        <f>IF($DM224=0,"",IFERROR(IF(ISNUMBER($DX224),$DX224,IF($DX224="","",IF(TRIM($DX224)="",0,IF(AND(AND(SUBSTITUTE(SUBSTITUTE(SUBSTITUTE(SUBSTITUTE(SUBSTITUTE(SUBSTITUTE(SUBSTITUTE(SUBSTITUTE(SUBSTITUTE(SUBSTITUTE(SUBSTITUTE(SUBSTITUTE(SUBSTITUTE(SUBSTITUTE(UPPER(TRIM($DX224)),"0",""),"1",""),"2",""),"3",""),"4",""),"5",""),"6",""),"7",""),"8",""),"9",""),".",""),"+",""),"-",""),"E","")="",LEN(SUBSTITUTE(SUBSTITUTE(MID(UPPER(TRIM($DX224)),1+OR(LEFT(UPPER(TRIM($DX224)),1)="+",LEFT(UPPER(TRIM($DX224)),1)="-"),999),"E+","E"),"E-","E"))=LEN(SUBSTITUTE(SUBSTITUTE(SUBSTITUTE(SUBSTITUTE(MID(UPPER(TRIM($DX224)),1+OR(LEFT(UPPER(TRIM($DX224)),1)="+",LEFT(UPPER(TRIM($DX224)),1)="-"),999),"E+","E"),"E-","E"),"+",""),"-","")),LEN(UPPER(TRIM($DX224)))-LEN(SUBSTITUTE(UPPER(TRIM($DX224)),"E",""))&lt;2,LEN(UPPER(TRIM($DX224)))-LEN(SUBSTITUTE(UPPER(TRIM($DX224)),".",""))&lt;2,IFERROR(FIND(".",UPPER(TRIM($DX224))),0)&lt;IFERROR(FIND("E",UPPER(TRIM($DX224))),999)),ISNUMBER(VALUE(TRIM($DX224)))),VALUE(TRIM($DX224)),"")))),""))</f>
        <v/>
      </c>
      <c r="DZ224">
        <f>IF($DM224=0,"",IF($L$17=0,"",IFERROR(IF(ISNUMBER(INDEX(PASTE_ALL,$DF224,$L$17)),INDEX(PASTE_ALL,$DF224,$L$17),SUBSTITUTE(SUBSTITUTE(TRIM(SUBSTITUTE(SUBSTITUTE(SUBSTITUTE(SUBSTITUTE(INDEX(PASTE_ALL,$DF224,$L$17)," "," "),CHAR(9)," "),CHAR(10)," "),CHAR(13)," ")),",",""),"%","")),"")))</f>
        <v/>
      </c>
      <c r="EA224">
        <f>IF($DM224=0,"",IFERROR(IF(ISNUMBER($DZ224),$DZ224,IF($DZ224="","",IF(TRIM($DZ224)="",0,IF(AND(AND(SUBSTITUTE(SUBSTITUTE(SUBSTITUTE(SUBSTITUTE(SUBSTITUTE(SUBSTITUTE(SUBSTITUTE(SUBSTITUTE(SUBSTITUTE(SUBSTITUTE(SUBSTITUTE(SUBSTITUTE(SUBSTITUTE(SUBSTITUTE(UPPER(TRIM($DZ224)),"0",""),"1",""),"2",""),"3",""),"4",""),"5",""),"6",""),"7",""),"8",""),"9",""),".",""),"+",""),"-",""),"E","")="",LEN(SUBSTITUTE(SUBSTITUTE(MID(UPPER(TRIM($DZ224)),1+OR(LEFT(UPPER(TRIM($DZ224)),1)="+",LEFT(UPPER(TRIM($DZ224)),1)="-"),999),"E+","E"),"E-","E"))=LEN(SUBSTITUTE(SUBSTITUTE(SUBSTITUTE(SUBSTITUTE(MID(UPPER(TRIM($DZ224)),1+OR(LEFT(UPPER(TRIM($DZ224)),1)="+",LEFT(UPPER(TRIM($DZ224)),1)="-"),999),"E+","E"),"E-","E"),"+",""),"-","")),LEN(UPPER(TRIM($DZ224)))-LEN(SUBSTITUTE(UPPER(TRIM($DZ224)),"E",""))&lt;2,LEN(UPPER(TRIM($DZ224)))-LEN(SUBSTITUTE(UPPER(TRIM($DZ224)),".",""))&lt;2,IFERROR(FIND(".",UPPER(TRIM($DZ224))),0)&lt;IFERROR(FIND("E",UPPER(TRIM($DZ224))),999)),ISNUMBER(VALUE(TRIM($DZ224)))),VALUE(TRIM($DZ224)),"")))),""))</f>
        <v/>
      </c>
      <c r="EB224">
        <f>IF($DM224=0,"",IF($L$18=0,"",IFERROR(IF(UPPER(TRIM(SUBSTITUTE(SUBSTITUTE(SUBSTITUTE(SUBSTITUTE(INDEX(PASTE_ALL,$DF224,$L$18)," "," "),CHAR(9)," "),CHAR(10)," "),CHAR(13)," ")))="READY","Ready",IF(UPPER(TRIM(SUBSTITUTE(SUBSTITUTE(SUBSTITUTE(SUBSTITUTE(INDEX(PASTE_ALL,$DF224,$L$18)," "," "),CHAR(9)," "),CHAR(10)," "),CHAR(13)," ")))="PM","PM",IF(OR(UPPER(TRIM(SUBSTITUTE(SUBSTITUTE(SUBSTITUTE(SUBSTITUTE(INDEX(PASTE_ALL,$DF224,$L$18)," "," "),CHAR(9)," "),CHAR(10)," "),CHAR(13)," ")))="OT",UPPER(TRIM(SUBSTITUTE(SUBSTITUTE(SUBSTITUTE(SUBSTITUTE(INDEX(PASTE_ALL,$DF224,$L$18)," "," "),CHAR(9)," "),CHAR(10)," "),CHAR(13)," ")))="OVERTIME",UPPER(TRIM(SUBSTITUTE(SUBSTITUTE(SUBSTITUTE(SUBSTITUTE(INDEX(PASTE_ALL,$DF224,$L$18)," "," "),CHAR(9)," "),CHAR(10)," "),CHAR(13)," ")))="TRIAL"),"OT",TRIM(SUBSTITUTE(SUBSTITUTE(SUBSTITUTE(SUBSTITUTE(INDEX(PASTE_ALL,$DF224,$L$18)," "," "),CHAR(9)," "),CHAR(10)," "),CHAR(13)," "))))),"")))</f>
        <v/>
      </c>
      <c r="EC224">
        <f>IF($DM224=0,"",IF($L$19=0,"",IFERROR(IF(ISNUMBER(INDEX(PASTE_ALL,$DF224,$L$19)),INDEX(PASTE_ALL,$DF224,$L$19),TRIM(SUBSTITUTE(SUBSTITUTE(SUBSTITUTE(SUBSTITUTE(INDEX(PASTE_ALL,$DF224,$L$19)," "," "),CHAR(9)," "),CHAR(10)," "),CHAR(13)," "))),"")))</f>
        <v/>
      </c>
      <c r="ED224">
        <f>IF($DM224=0,"",MATCH(1,INDEX(EXACT($DH$5:DH224,$DH224)*$DM$5:DM224,0),0))</f>
        <v/>
      </c>
      <c r="EE224">
        <f>IF($DM224=0,0,IF($ED224=$DE224,1,0))</f>
        <v/>
      </c>
      <c r="EF224">
        <f>EF223+$EE224</f>
        <v/>
      </c>
      <c r="EG224">
        <f>IF($DM224=0,"",INDEX($EF$5:$EF$1003,$ED224))</f>
        <v/>
      </c>
      <c r="EH224">
        <f>IF($DM224=0,"",IF($DO224&lt;&gt;"","",IFERROR(LOOKUP(2,1/(($EG$4:EG223=$EG224)*($DO$4:DO223&lt;&gt;"")),$DO$4:DO223),"")))</f>
        <v/>
      </c>
      <c r="EI224">
        <f>IF($DM224=0,"",IF($DO224&lt;&gt;"",$DO224,$EH224))</f>
        <v/>
      </c>
      <c r="EJ224">
        <f>IF($DM224=0,"",IF($EI224="",0,IF(OR(ISNUMBER($EI224),AND(AND(SUBSTITUTE(SUBSTITUTE(SUBSTITUTE(SUBSTITUTE(SUBSTITUTE(SUBSTITUTE(SUBSTITUTE(SUBSTITUTE(SUBSTITUTE(SUBSTITUTE(SUBSTITUTE(SUBSTITUTE(SUBSTITUTE(SUBSTITUTE(UPPER($EI224),"0",""),"1",""),"2",""),"3",""),"4",""),"5",""),"6",""),"7",""),"8",""),"9",""),".",""),"+",""),"-",""),"E","")="",LEN(SUBSTITUTE(SUBSTITUTE(MID(UPPER($EI224),1+OR(LEFT(UPPER($EI224),1)="+",LEFT(UPPER($EI224),1)="-"),999),"E+","E"),"E-","E"))=LEN(SUBSTITUTE(SUBSTITUTE(SUBSTITUTE(SUBSTITUTE(MID(UPPER($EI224),1+OR(LEFT(UPPER($EI224),1)="+",LEFT(UPPER($EI224),1)="-"),999),"E+","E"),"E-","E"),"+",""),"-","")),LEN(UPPER($EI224))-LEN(SUBSTITUTE(UPPER($EI224),"E",""))&lt;2,LEN(UPPER($EI224))-LEN(SUBSTITUTE(UPPER($EI224),".",""))&lt;2,IFERROR(FIND(".",UPPER($EI224)),0)&lt;IFERROR(FIND("E",UPPER($EI224)),999)),ISNUMBER(VALUE($EI224)))),1,2)))</f>
        <v/>
      </c>
      <c r="EK224">
        <f>IF($DM224=0,"",IF($EJ224=1,IF(ISNUMBER($EI224),$EI224,VALUE($EI224)),IF($EJ224=2,$DE224,0)))</f>
        <v/>
      </c>
      <c r="EL224">
        <f>IF($DM224=0,"",COUNTIF($EG$5:$EG$1003,"&lt;"&amp;$EG224)+SUMPRODUCT(($EG$5:$EG$1003=$EG224)*(($EJ$5:$EJ$1003&lt;$EJ224)+($EJ$5:$EJ$1003=$EJ224)*(($EK$5:$EK$1003&lt;$EK224)+($EK$5:$EK$1003=$EK224)*($DE$5:$DE$1003&lt;$DE224))))+1)</f>
        <v/>
      </c>
      <c r="EM224">
        <f>IF($DM224=0,"",$EL224+$EG224-1)</f>
        <v/>
      </c>
      <c r="EN224">
        <f>IF($DM224=0,0,IFERROR(MATCH(1,INDEX(--(TRIM(SUBSTITUTE(SUBSTITUTE(SUBSTITUTE(SUBSTITUTE(LINES_NAME&amp;""," "," "),CHAR(9)," "),CHAR(10)," "),CHAR(13)," "))=$DH224),0),0),0))</f>
        <v/>
      </c>
      <c r="EO224">
        <f>IF($EN224=0,0,IF(OR(UPPER(TRIM(INDEX(LINES_SCHEDULED,$EN224)&amp;""))="YES",UPPER(TRIM(INDEX(LINES_SCHEDULED,$EN224)&amp;""))="Y",UPPER(TRIM(INDEX(LINES_SCHEDULED,$EN224)&amp;""))="X"),1,0))</f>
        <v/>
      </c>
      <c r="EP224">
        <f>IF($DM224=0,"",IF(COUNTIFS($EG$5:$EG$1003,$EG224,$EB$5:$EB$1003,"Ready")&gt;0,"READY",IF(COUNTIFS($EG$5:$EG$1003,$EG224,$EB$5:$EB$1003,"PM")&gt;0,"PM",IF(COUNTIFS($EG$5:$EG$1003,$EG224,$EB$5:$EB$1003,"OT")&gt;0,"OT",""))))</f>
        <v/>
      </c>
      <c r="EQ224">
        <f>IF($EN224=0,"",UPPER(TRIM(INDEX(LINES_STATUS,$EN224)&amp;"")))</f>
        <v/>
      </c>
      <c r="ER224">
        <f>IF($DM224=0,"",IF(OR($EQ224="READY",$EQ224="PM",$EQ224="OT"),$EQ224,$EP224))</f>
        <v/>
      </c>
      <c r="ES224">
        <f>IF($DM224=0,"",IF(AND($DV224&lt;&gt;"",UPPER($DV224)&lt;&gt;"N"),"allergen",IF(ISNUMBER(SEARCH("oil",$DQ224)),"oil",IF(OR(EXACT($DS224,"A662"),EXACT($DS224,"A624")),"bulk",""))))</f>
        <v/>
      </c>
      <c r="ET224">
        <f>IF($DM224=0,"",IF(OR($EA224="",$EA224=0),"",$EA224/100))</f>
        <v/>
      </c>
      <c r="EU224">
        <f>IF(OR($ET224="",$DY224=""),"",INT($DY224*(1-$ET224)+0.5))</f>
        <v/>
      </c>
      <c r="EW224" t="n">
        <v>220</v>
      </c>
      <c r="EX224">
        <f>IFERROR(MATCH($EW224,$EM$5:$EM$1003,0),0)</f>
        <v/>
      </c>
      <c r="EY224">
        <f>IF($EW224&gt;$B$12,"",IF($EX224&gt;0,"row","spacer"))</f>
        <v/>
      </c>
      <c r="EZ224">
        <f>IF(AND($EY224="row",$EY223&lt;&gt;"row"),1,0)</f>
        <v/>
      </c>
      <c r="FA224">
        <f>IF(AND($EY224="row",$EY225&lt;&gt;"row"),1,0)</f>
        <v/>
      </c>
      <c r="FB224">
        <f>IF($EZ224=1,IFERROR(IF(ISNUMBER(INDEX(PASTE_ALL,INDEX($DF$5:$DF$1003,$EX224),$B$37)),INDEX(PASTE_ALL,INDEX($DF$5:$DF$1003,$EX224),$B$37),INDEX($DH$5:$DH$1003,$EX224)),INDEX($DH$5:$DH$1003,$EX224)),"")</f>
        <v/>
      </c>
      <c r="FC224">
        <f>IF($EY224="row",INDEX($ER$5:$ER$1003,$EX224),"")</f>
        <v/>
      </c>
      <c r="FD224">
        <f>IF($EY224="row",INDEX($DN$5:$DN$1003,$EX224),"")</f>
        <v/>
      </c>
      <c r="FE224">
        <f>IF($EY224="row",INDEX($DO$5:$DO$1003,$EX224),"")</f>
        <v/>
      </c>
      <c r="FF224">
        <f>IF($EY224="row",INDEX($DP$5:$DP$1003,$EX224),"")</f>
        <v/>
      </c>
      <c r="FG224">
        <f>IF($EY224="row",INDEX($DQ$5:$DQ$1003,$EX224),"")</f>
        <v/>
      </c>
      <c r="FH224">
        <f>IF($EY224="row",INDEX($DR$5:$DR$1003,$EX224),"")</f>
        <v/>
      </c>
      <c r="FI224">
        <f>IF($EY224="row",INDEX($DS$5:$DS$1003,$EX224),"")</f>
        <v/>
      </c>
      <c r="FJ224">
        <f>IF($EY224="row",INDEX($DT$5:$DT$1003,$EX224),"")</f>
        <v/>
      </c>
      <c r="FK224">
        <f>IF($EY224="row",INDEX($DU$5:$DU$1003,$EX224),"")</f>
        <v/>
      </c>
      <c r="FL224">
        <f>IF($EY224="row",INDEX($DV$5:$DV$1003,$EX224),"")</f>
        <v/>
      </c>
      <c r="FM224">
        <f>IF($EY224="row",INDEX($DW$5:$DW$1003,$EX224),"")</f>
        <v/>
      </c>
      <c r="FN224">
        <f>IF($EY224="row",INDEX($DY$5:$DY$1003,$EX224),"")</f>
        <v/>
      </c>
      <c r="FO224">
        <f>IF($EY224="row",INDEX($EA$5:$EA$1003,$EX224),"")</f>
        <v/>
      </c>
      <c r="FP224">
        <f>IF($EY224="row",INDEX($EC$5:$EC$1003,$EX224),"")</f>
        <v/>
      </c>
      <c r="FQ224">
        <f>IF($EY224="row",INDEX($ET$5:$ET$1003,$EX224),"")</f>
        <v/>
      </c>
      <c r="FR224">
        <f>IF($EY224="row",INDEX($EU$5:$EU$1003,$EX224),"")</f>
        <v/>
      </c>
      <c r="FS224">
        <f>IF(AND($EY224="row",$EY223="row"),IF(OR(INDEX($DT$5:$DT$1003,$EX223)="",INDEX($DT$5:$DT$1003,$EX224)=""),"",IF(NOT(EXACT(INDEX($DT$5:$DT$1003,$EX223),INDEX($DT$5:$DT$1003,$EX224))),"S4",IF(NOT(EXACT(INDEX($DS$5:$DS$1003,$EX223),INDEX($DS$5:$DS$1003,$EX224))),"S3",IF(NOT(EXACT(INDEX($DR$5:$DR$1003,$EX223),INDEX($DR$5:$DR$1003,$EX224))),"S1 Count Change","S1")))),"")</f>
        <v/>
      </c>
      <c r="FT224">
        <f>IF($EY224="row",INDEX($ES$5:$ES$1003,$EX224),"")</f>
        <v/>
      </c>
      <c r="FU224">
        <f>IF($EY224="row",INDEX($EO$5:$EO$1003,$EX224),0)</f>
        <v/>
      </c>
      <c r="FV224">
        <f>IF($FS224="S1 Count Change",1,0)</f>
        <v/>
      </c>
    </row>
    <row r="225">
      <c r="DA225" t="n">
        <v>221</v>
      </c>
      <c r="DB225">
        <f>IF($B$37=0,"",IFERROR(TRIM(SUBSTITUTE(SUBSTITUTE(SUBSTITUTE(SUBSTITUTE(INDEX(PASTE_ALL,221,$B$37)," "," "),CHAR(9)," "),CHAR(10)," "),CHAR(13)," ")),""))</f>
        <v/>
      </c>
      <c r="DC225">
        <f>IF(AND(221&gt;HEADER_ROW,UPPER(DB225)="LEGEND"),1,0)</f>
        <v/>
      </c>
      <c r="DE225" t="n">
        <v>221</v>
      </c>
      <c r="DF225">
        <f>HEADER_ROW+$DE225</f>
        <v/>
      </c>
      <c r="DG225">
        <f>IF(AND($DF225&lt;=1000,$DF225&lt;$B$8),1,0)</f>
        <v/>
      </c>
      <c r="DH225">
        <f>IF($DG225=1,IFERROR(INDEX($DB$5:$DB$1004,$DF225),""),"")</f>
        <v/>
      </c>
      <c r="DI225">
        <f>IF(AND($DG225=1,$DH225&lt;&gt;""),IFERROR(SUBSTITUTE(SUBSTITUTE(TRIM(SUBSTITUTE(SUBSTITUTE(SUBSTITUTE(SUBSTITUTE(IFERROR(INDEX(PASTE_ALL,$DF225,1)&amp;"","")&amp;"␟"&amp;IFERROR(INDEX(PASTE_ALL,$DF225,2)&amp;"","")&amp;"␟"&amp;IFERROR(INDEX(PASTE_ALL,$DF225,3)&amp;"","")&amp;"␟"&amp;IFERROR(INDEX(PASTE_ALL,$DF225,4)&amp;"","")&amp;"␟"&amp;IFERROR(INDEX(PASTE_ALL,$DF225,5)&amp;"","")&amp;"␟"&amp;IFERROR(INDEX(PASTE_ALL,$DF225,6)&amp;"","")&amp;"␟"&amp;IFERROR(INDEX(PASTE_ALL,$DF225,7)&amp;"","")&amp;"␟"&amp;IFERROR(INDEX(PASTE_ALL,$DF225,8)&amp;"","")&amp;"␟"&amp;IFERROR(INDEX(PASTE_ALL,$DF225,9)&amp;"","")&amp;"␟"&amp;IFERROR(INDEX(PASTE_ALL,$DF225,10)&amp;"","")&amp;"␟"&amp;IFERROR(INDEX(PASTE_ALL,$DF225,11)&amp;"","")&amp;"␟"&amp;IFERROR(INDEX(PASTE_ALL,$DF225,12)&amp;"","")&amp;"␟"&amp;IFERROR(INDEX(PASTE_ALL,$DF225,13)&amp;"","")&amp;"␟"&amp;IFERROR(INDEX(PASTE_ALL,$DF225,14)&amp;"","")&amp;"␟"&amp;IFERROR(INDEX(PASTE_ALL,$DF225,15)&amp;"","")&amp;"␟"&amp;IFERROR(INDEX(PASTE_ALL,$DF225,16)&amp;"","")&amp;"␟"&amp;IFERROR(INDEX(PASTE_ALL,$DF225,17)&amp;"","")&amp;"␟"&amp;IFERROR(INDEX(PASTE_ALL,$DF225,18)&amp;"","")&amp;"␟"&amp;IFERROR(INDEX(PASTE_ALL,$DF225,19)&amp;"","")&amp;"␟"&amp;IFERROR(INDEX(PASTE_ALL,$DF225,20)&amp;"","")&amp;"␟"&amp;IFERROR(INDEX(PASTE_ALL,$DF225,21)&amp;"","")&amp;"␟"&amp;IFERROR(INDEX(PASTE_ALL,$DF225,22)&amp;"","")&amp;"␟"&amp;IFERROR(INDEX(PASTE_ALL,$DF225,23)&amp;"","")&amp;"␟"&amp;IFERROR(INDEX(PASTE_ALL,$DF225,24)&amp;"","")&amp;"␟"&amp;IFERROR(INDEX(PASTE_ALL,$DF225,25)&amp;"","")&amp;"␟"&amp;IFERROR(INDEX(PASTE_ALL,$DF225,26)&amp;"","")&amp;"␟"&amp;IFERROR(INDEX(PASTE_ALL,$DF225,27)&amp;"","")&amp;"␟"&amp;IFERROR(INDEX(PASTE_ALL,$DF225,28)&amp;"","")&amp;"␟"&amp;IFERROR(INDEX(PASTE_ALL,$DF225,29)&amp;"","")&amp;"␟"&amp;IFERROR(INDEX(PASTE_ALL,$DF225,30)&amp;"","")&amp;"␟"&amp;IFERROR(INDEX(PASTE_ALL,$DF225,31)&amp;"","")&amp;"␟"&amp;IFERROR(INDEX(PASTE_ALL,$DF225,32)&amp;"","")&amp;"␟"&amp;IFERROR(INDEX(PASTE_ALL,$DF225,33)&amp;"","")&amp;"␟"&amp;IFERROR(INDEX(PASTE_ALL,$DF225,34)&amp;"","")&amp;"␟"&amp;IFERROR(INDEX(PASTE_ALL,$DF225,35)&amp;"","")&amp;"␟"&amp;IFERROR(INDEX(PASTE_ALL,$DF225,36)&amp;"","")&amp;"␟"&amp;IFERROR(INDEX(PASTE_ALL,$DF225,37)&amp;"","")&amp;"␟"&amp;IFERROR(INDEX(PASTE_ALL,$DF225,38)&amp;"","")&amp;"␟"&amp;IFERROR(INDEX(PASTE_ALL,$DF225,39)&amp;"","")&amp;"␟"&amp;IFERROR(INDEX(PASTE_ALL,$DF225,40)&amp;"","")&amp;"␟"&amp;IFERROR(INDEX(PASTE_ALL,$DF225,41)&amp;"","")&amp;"␟"&amp;IFERROR(INDEX(PASTE_ALL,$DF225,42)&amp;"","")&amp;"␟"&amp;IFERROR(INDEX(PASTE_ALL,$DF225,43)&amp;"","")&amp;"␟"&amp;IFERROR(INDEX(PASTE_ALL,$DF225,44)&amp;"","")&amp;"␟"&amp;IFERROR(INDEX(PASTE_ALL,$DF225,45)&amp;"","")&amp;"␟"&amp;IFERROR(INDEX(PASTE_ALL,$DF225,46)&amp;"","")&amp;"␟"&amp;IFERROR(INDEX(PASTE_ALL,$DF225,47)&amp;"","")&amp;"␟"&amp;IFERROR(INDEX(PASTE_ALL,$DF225,48)&amp;"","")&amp;"␟"&amp;IFERROR(INDEX(PASTE_ALL,$DF225,49)&amp;"","")&amp;"␟"&amp;IFERROR(INDEX(PASTE_ALL,$DF225,50)&amp;"","")&amp;"␟"&amp;IFERROR(INDEX(PASTE_ALL,$DF225,51)&amp;"","")&amp;"␟"&amp;IFERROR(INDEX(PASTE_ALL,$DF225,52)&amp;"","")&amp;"␟"&amp;IFERROR(INDEX(PASTE_ALL,$DF225,53)&amp;"","")&amp;"␟"&amp;IFERROR(INDEX(PASTE_ALL,$DF225,54)&amp;"","")&amp;"␟"&amp;IFERROR(INDEX(PASTE_ALL,$DF225,55)&amp;"","")&amp;"␟"&amp;IFERROR(INDEX(PASTE_ALL,$DF225,56)&amp;"","")&amp;"␟"&amp;IFERROR(INDEX(PASTE_ALL,$DF225,57)&amp;"","")&amp;"␟"&amp;IFERROR(INDEX(PASTE_ALL,$DF225,58)&amp;"","")&amp;"␟"&amp;IFERROR(INDEX(PASTE_ALL,$DF225,59)&amp;"","")&amp;"␟"&amp;IFERROR(INDEX(PASTE_ALL,$DF225,60)&amp;"","")," "," "),CHAR(9)," "),CHAR(10)," "),CHAR(13)," "))," ␟","␟"),"␟ ","␟"),"#"&amp;$DE225),"")</f>
        <v/>
      </c>
      <c r="DJ225">
        <f>IF($DI225="",0,IF(SUMPRODUCT(--EXACT($DI$4:DI224,$DI225))&gt;0,1,0))</f>
        <v/>
      </c>
      <c r="DK225">
        <f>IF(AND($DI225&lt;&gt;"",$DJ225=0),1,0)</f>
        <v/>
      </c>
      <c r="DL225">
        <f>DL224+$DK225</f>
        <v/>
      </c>
      <c r="DM225">
        <f>IF(AND($DK225=1,$DL225&lt;=600),1,0)</f>
        <v/>
      </c>
      <c r="DN225">
        <f>IF($DM225=0,"",IF($L$6=0,"",IFERROR(IF(ISNUMBER(INDEX(PASTE_ALL,$DF225,$L$6)),INDEX(PASTE_ALL,$DF225,$L$6),TRIM(SUBSTITUTE(SUBSTITUTE(SUBSTITUTE(SUBSTITUTE(INDEX(PASTE_ALL,$DF225,$L$6)," "," "),CHAR(9)," "),CHAR(10)," "),CHAR(13)," "))),"")))</f>
        <v/>
      </c>
      <c r="DO225">
        <f>IF($DM225=0,"",IF($L$7=0,"",IFERROR(IF(ISNUMBER(INDEX(PASTE_ALL,$DF225,$L$7)),INDEX(PASTE_ALL,$DF225,$L$7),TRIM(SUBSTITUTE(SUBSTITUTE(SUBSTITUTE(SUBSTITUTE(INDEX(PASTE_ALL,$DF225,$L$7)," "," "),CHAR(9)," "),CHAR(10)," "),CHAR(13)," "))),"")))</f>
        <v/>
      </c>
      <c r="DP225">
        <f>IF($DM225=0,"",IF($L$8=0,"",IFERROR(IF(ISNUMBER(INDEX(PASTE_ALL,$DF225,$L$8)),INDEX(PASTE_ALL,$DF225,$L$8),TRIM(SUBSTITUTE(SUBSTITUTE(SUBSTITUTE(SUBSTITUTE(INDEX(PASTE_ALL,$DF225,$L$8)," "," "),CHAR(9)," "),CHAR(10)," "),CHAR(13)," "))),"")))</f>
        <v/>
      </c>
      <c r="DQ225">
        <f>IF($DM225=0,"",IF($L$9=0,"",IFERROR(IF(ISNUMBER(INDEX(PASTE_ALL,$DF225,$L$9)),INDEX(PASTE_ALL,$DF225,$L$9),TRIM(SUBSTITUTE(SUBSTITUTE(SUBSTITUTE(SUBSTITUTE(INDEX(PASTE_ALL,$DF225,$L$9)," "," "),CHAR(9)," "),CHAR(10)," "),CHAR(13)," "))),"")))</f>
        <v/>
      </c>
      <c r="DR225">
        <f>IF($DM225=0,"",IF($L$10=0,"",IFERROR(IF(ISNUMBER(INDEX(PASTE_ALL,$DF225,$L$10)),INDEX(PASTE_ALL,$DF225,$L$10),TRIM(SUBSTITUTE(SUBSTITUTE(SUBSTITUTE(SUBSTITUTE(INDEX(PASTE_ALL,$DF225,$L$10)," "," "),CHAR(9)," "),CHAR(10)," "),CHAR(13)," "))),"")))</f>
        <v/>
      </c>
      <c r="DS225">
        <f>IF($DM225=0,"",IF($L$11=0,"",IFERROR(IF(ISNUMBER(INDEX(PASTE_ALL,$DF225,$L$11)),INDEX(PASTE_ALL,$DF225,$L$11),TRIM(SUBSTITUTE(SUBSTITUTE(SUBSTITUTE(SUBSTITUTE(INDEX(PASTE_ALL,$DF225,$L$11)," "," "),CHAR(9)," "),CHAR(10)," "),CHAR(13)," "))),"")))</f>
        <v/>
      </c>
      <c r="DT225">
        <f>IF($DM225=0,"",IF($L$12=0,"",IFERROR(IF(ISNUMBER(INDEX(PASTE_ALL,$DF225,$L$12)),INDEX(PASTE_ALL,$DF225,$L$12),TRIM(SUBSTITUTE(SUBSTITUTE(SUBSTITUTE(SUBSTITUTE(INDEX(PASTE_ALL,$DF225,$L$12)," "," "),CHAR(9)," "),CHAR(10)," "),CHAR(13)," "))),"")))</f>
        <v/>
      </c>
      <c r="DU225">
        <f>IF($DM225=0,"",IF($L$13=0,"",IFERROR(IF(ISNUMBER(INDEX(PASTE_ALL,$DF225,$L$13)),INDEX(PASTE_ALL,$DF225,$L$13),TRIM(SUBSTITUTE(SUBSTITUTE(SUBSTITUTE(SUBSTITUTE(INDEX(PASTE_ALL,$DF225,$L$13)," "," "),CHAR(9)," "),CHAR(10)," "),CHAR(13)," "))),"")))</f>
        <v/>
      </c>
      <c r="DV225">
        <f>IF($DM225=0,"",IF($L$14=0,"",IFERROR(IF(ISNUMBER(INDEX(PASTE_ALL,$DF225,$L$14)),INDEX(PASTE_ALL,$DF225,$L$14),TRIM(SUBSTITUTE(SUBSTITUTE(SUBSTITUTE(SUBSTITUTE(INDEX(PASTE_ALL,$DF225,$L$14)," "," "),CHAR(9)," "),CHAR(10)," "),CHAR(13)," "))),"")))</f>
        <v/>
      </c>
      <c r="DW225">
        <f>IF($DM225=0,"",IF($L$15=0,"",IFERROR(IF(ISNUMBER(INDEX(PASTE_ALL,$DF225,$L$15)),INDEX(PASTE_ALL,$DF225,$L$15),IF(SUMPRODUCT(--ISNUMBER(FIND({"A","B","C","D","E","F","G","H","I","J","K","L","M","N","O","P","Q","R","S","T","U","V","W","X","Y","Z","0","1","2","3","4","5","6","7","8","9"},UPPER(TRIM(SUBSTITUTE(SUBSTITUTE(SUBSTITUTE(SUBSTITUTE(INDEX(PASTE_ALL,$DF225,$L$15)," "," "),CHAR(9)," "),CHAR(10)," "),CHAR(13)," "))))))&gt;0,TRIM(SUBSTITUTE(SUBSTITUTE(SUBSTITUTE(SUBSTITUTE(INDEX(PASTE_ALL,$DF225,$L$15)," "," "),CHAR(9)," "),CHAR(10)," "),CHAR(13)," ")),"")),"")))</f>
        <v/>
      </c>
      <c r="DX225">
        <f>IF($DM225=0,"",IF($L$16=0,"",IFERROR(IF(ISNUMBER(INDEX(PASTE_ALL,$DF225,$L$16)),INDEX(PASTE_ALL,$DF225,$L$16),SUBSTITUTE(SUBSTITUTE(TRIM(SUBSTITUTE(SUBSTITUTE(SUBSTITUTE(SUBSTITUTE(INDEX(PASTE_ALL,$DF225,$L$16)," "," "),CHAR(9)," "),CHAR(10)," "),CHAR(13)," ")),",",""),"%","")),"")))</f>
        <v/>
      </c>
      <c r="DY225">
        <f>IF($DM225=0,"",IFERROR(IF(ISNUMBER($DX225),$DX225,IF($DX225="","",IF(TRIM($DX225)="",0,IF(AND(AND(SUBSTITUTE(SUBSTITUTE(SUBSTITUTE(SUBSTITUTE(SUBSTITUTE(SUBSTITUTE(SUBSTITUTE(SUBSTITUTE(SUBSTITUTE(SUBSTITUTE(SUBSTITUTE(SUBSTITUTE(SUBSTITUTE(SUBSTITUTE(UPPER(TRIM($DX225)),"0",""),"1",""),"2",""),"3",""),"4",""),"5",""),"6",""),"7",""),"8",""),"9",""),".",""),"+",""),"-",""),"E","")="",LEN(SUBSTITUTE(SUBSTITUTE(MID(UPPER(TRIM($DX225)),1+OR(LEFT(UPPER(TRIM($DX225)),1)="+",LEFT(UPPER(TRIM($DX225)),1)="-"),999),"E+","E"),"E-","E"))=LEN(SUBSTITUTE(SUBSTITUTE(SUBSTITUTE(SUBSTITUTE(MID(UPPER(TRIM($DX225)),1+OR(LEFT(UPPER(TRIM($DX225)),1)="+",LEFT(UPPER(TRIM($DX225)),1)="-"),999),"E+","E"),"E-","E"),"+",""),"-","")),LEN(UPPER(TRIM($DX225)))-LEN(SUBSTITUTE(UPPER(TRIM($DX225)),"E",""))&lt;2,LEN(UPPER(TRIM($DX225)))-LEN(SUBSTITUTE(UPPER(TRIM($DX225)),".",""))&lt;2,IFERROR(FIND(".",UPPER(TRIM($DX225))),0)&lt;IFERROR(FIND("E",UPPER(TRIM($DX225))),999)),ISNUMBER(VALUE(TRIM($DX225)))),VALUE(TRIM($DX225)),"")))),""))</f>
        <v/>
      </c>
      <c r="DZ225">
        <f>IF($DM225=0,"",IF($L$17=0,"",IFERROR(IF(ISNUMBER(INDEX(PASTE_ALL,$DF225,$L$17)),INDEX(PASTE_ALL,$DF225,$L$17),SUBSTITUTE(SUBSTITUTE(TRIM(SUBSTITUTE(SUBSTITUTE(SUBSTITUTE(SUBSTITUTE(INDEX(PASTE_ALL,$DF225,$L$17)," "," "),CHAR(9)," "),CHAR(10)," "),CHAR(13)," ")),",",""),"%","")),"")))</f>
        <v/>
      </c>
      <c r="EA225">
        <f>IF($DM225=0,"",IFERROR(IF(ISNUMBER($DZ225),$DZ225,IF($DZ225="","",IF(TRIM($DZ225)="",0,IF(AND(AND(SUBSTITUTE(SUBSTITUTE(SUBSTITUTE(SUBSTITUTE(SUBSTITUTE(SUBSTITUTE(SUBSTITUTE(SUBSTITUTE(SUBSTITUTE(SUBSTITUTE(SUBSTITUTE(SUBSTITUTE(SUBSTITUTE(SUBSTITUTE(UPPER(TRIM($DZ225)),"0",""),"1",""),"2",""),"3",""),"4",""),"5",""),"6",""),"7",""),"8",""),"9",""),".",""),"+",""),"-",""),"E","")="",LEN(SUBSTITUTE(SUBSTITUTE(MID(UPPER(TRIM($DZ225)),1+OR(LEFT(UPPER(TRIM($DZ225)),1)="+",LEFT(UPPER(TRIM($DZ225)),1)="-"),999),"E+","E"),"E-","E"))=LEN(SUBSTITUTE(SUBSTITUTE(SUBSTITUTE(SUBSTITUTE(MID(UPPER(TRIM($DZ225)),1+OR(LEFT(UPPER(TRIM($DZ225)),1)="+",LEFT(UPPER(TRIM($DZ225)),1)="-"),999),"E+","E"),"E-","E"),"+",""),"-","")),LEN(UPPER(TRIM($DZ225)))-LEN(SUBSTITUTE(UPPER(TRIM($DZ225)),"E",""))&lt;2,LEN(UPPER(TRIM($DZ225)))-LEN(SUBSTITUTE(UPPER(TRIM($DZ225)),".",""))&lt;2,IFERROR(FIND(".",UPPER(TRIM($DZ225))),0)&lt;IFERROR(FIND("E",UPPER(TRIM($DZ225))),999)),ISNUMBER(VALUE(TRIM($DZ225)))),VALUE(TRIM($DZ225)),"")))),""))</f>
        <v/>
      </c>
      <c r="EB225">
        <f>IF($DM225=0,"",IF($L$18=0,"",IFERROR(IF(UPPER(TRIM(SUBSTITUTE(SUBSTITUTE(SUBSTITUTE(SUBSTITUTE(INDEX(PASTE_ALL,$DF225,$L$18)," "," "),CHAR(9)," "),CHAR(10)," "),CHAR(13)," ")))="READY","Ready",IF(UPPER(TRIM(SUBSTITUTE(SUBSTITUTE(SUBSTITUTE(SUBSTITUTE(INDEX(PASTE_ALL,$DF225,$L$18)," "," "),CHAR(9)," "),CHAR(10)," "),CHAR(13)," ")))="PM","PM",IF(OR(UPPER(TRIM(SUBSTITUTE(SUBSTITUTE(SUBSTITUTE(SUBSTITUTE(INDEX(PASTE_ALL,$DF225,$L$18)," "," "),CHAR(9)," "),CHAR(10)," "),CHAR(13)," ")))="OT",UPPER(TRIM(SUBSTITUTE(SUBSTITUTE(SUBSTITUTE(SUBSTITUTE(INDEX(PASTE_ALL,$DF225,$L$18)," "," "),CHAR(9)," "),CHAR(10)," "),CHAR(13)," ")))="OVERTIME",UPPER(TRIM(SUBSTITUTE(SUBSTITUTE(SUBSTITUTE(SUBSTITUTE(INDEX(PASTE_ALL,$DF225,$L$18)," "," "),CHAR(9)," "),CHAR(10)," "),CHAR(13)," ")))="TRIAL"),"OT",TRIM(SUBSTITUTE(SUBSTITUTE(SUBSTITUTE(SUBSTITUTE(INDEX(PASTE_ALL,$DF225,$L$18)," "," "),CHAR(9)," "),CHAR(10)," "),CHAR(13)," "))))),"")))</f>
        <v/>
      </c>
      <c r="EC225">
        <f>IF($DM225=0,"",IF($L$19=0,"",IFERROR(IF(ISNUMBER(INDEX(PASTE_ALL,$DF225,$L$19)),INDEX(PASTE_ALL,$DF225,$L$19),TRIM(SUBSTITUTE(SUBSTITUTE(SUBSTITUTE(SUBSTITUTE(INDEX(PASTE_ALL,$DF225,$L$19)," "," "),CHAR(9)," "),CHAR(10)," "),CHAR(13)," "))),"")))</f>
        <v/>
      </c>
      <c r="ED225">
        <f>IF($DM225=0,"",MATCH(1,INDEX(EXACT($DH$5:DH225,$DH225)*$DM$5:DM225,0),0))</f>
        <v/>
      </c>
      <c r="EE225">
        <f>IF($DM225=0,0,IF($ED225=$DE225,1,0))</f>
        <v/>
      </c>
      <c r="EF225">
        <f>EF224+$EE225</f>
        <v/>
      </c>
      <c r="EG225">
        <f>IF($DM225=0,"",INDEX($EF$5:$EF$1003,$ED225))</f>
        <v/>
      </c>
      <c r="EH225">
        <f>IF($DM225=0,"",IF($DO225&lt;&gt;"","",IFERROR(LOOKUP(2,1/(($EG$4:EG224=$EG225)*($DO$4:DO224&lt;&gt;"")),$DO$4:DO224),"")))</f>
        <v/>
      </c>
      <c r="EI225">
        <f>IF($DM225=0,"",IF($DO225&lt;&gt;"",$DO225,$EH225))</f>
        <v/>
      </c>
      <c r="EJ225">
        <f>IF($DM225=0,"",IF($EI225="",0,IF(OR(ISNUMBER($EI225),AND(AND(SUBSTITUTE(SUBSTITUTE(SUBSTITUTE(SUBSTITUTE(SUBSTITUTE(SUBSTITUTE(SUBSTITUTE(SUBSTITUTE(SUBSTITUTE(SUBSTITUTE(SUBSTITUTE(SUBSTITUTE(SUBSTITUTE(SUBSTITUTE(UPPER($EI225),"0",""),"1",""),"2",""),"3",""),"4",""),"5",""),"6",""),"7",""),"8",""),"9",""),".",""),"+",""),"-",""),"E","")="",LEN(SUBSTITUTE(SUBSTITUTE(MID(UPPER($EI225),1+OR(LEFT(UPPER($EI225),1)="+",LEFT(UPPER($EI225),1)="-"),999),"E+","E"),"E-","E"))=LEN(SUBSTITUTE(SUBSTITUTE(SUBSTITUTE(SUBSTITUTE(MID(UPPER($EI225),1+OR(LEFT(UPPER($EI225),1)="+",LEFT(UPPER($EI225),1)="-"),999),"E+","E"),"E-","E"),"+",""),"-","")),LEN(UPPER($EI225))-LEN(SUBSTITUTE(UPPER($EI225),"E",""))&lt;2,LEN(UPPER($EI225))-LEN(SUBSTITUTE(UPPER($EI225),".",""))&lt;2,IFERROR(FIND(".",UPPER($EI225)),0)&lt;IFERROR(FIND("E",UPPER($EI225)),999)),ISNUMBER(VALUE($EI225)))),1,2)))</f>
        <v/>
      </c>
      <c r="EK225">
        <f>IF($DM225=0,"",IF($EJ225=1,IF(ISNUMBER($EI225),$EI225,VALUE($EI225)),IF($EJ225=2,$DE225,0)))</f>
        <v/>
      </c>
      <c r="EL225">
        <f>IF($DM225=0,"",COUNTIF($EG$5:$EG$1003,"&lt;"&amp;$EG225)+SUMPRODUCT(($EG$5:$EG$1003=$EG225)*(($EJ$5:$EJ$1003&lt;$EJ225)+($EJ$5:$EJ$1003=$EJ225)*(($EK$5:$EK$1003&lt;$EK225)+($EK$5:$EK$1003=$EK225)*($DE$5:$DE$1003&lt;$DE225))))+1)</f>
        <v/>
      </c>
      <c r="EM225">
        <f>IF($DM225=0,"",$EL225+$EG225-1)</f>
        <v/>
      </c>
      <c r="EN225">
        <f>IF($DM225=0,0,IFERROR(MATCH(1,INDEX(--(TRIM(SUBSTITUTE(SUBSTITUTE(SUBSTITUTE(SUBSTITUTE(LINES_NAME&amp;""," "," "),CHAR(9)," "),CHAR(10)," "),CHAR(13)," "))=$DH225),0),0),0))</f>
        <v/>
      </c>
      <c r="EO225">
        <f>IF($EN225=0,0,IF(OR(UPPER(TRIM(INDEX(LINES_SCHEDULED,$EN225)&amp;""))="YES",UPPER(TRIM(INDEX(LINES_SCHEDULED,$EN225)&amp;""))="Y",UPPER(TRIM(INDEX(LINES_SCHEDULED,$EN225)&amp;""))="X"),1,0))</f>
        <v/>
      </c>
      <c r="EP225">
        <f>IF($DM225=0,"",IF(COUNTIFS($EG$5:$EG$1003,$EG225,$EB$5:$EB$1003,"Ready")&gt;0,"READY",IF(COUNTIFS($EG$5:$EG$1003,$EG225,$EB$5:$EB$1003,"PM")&gt;0,"PM",IF(COUNTIFS($EG$5:$EG$1003,$EG225,$EB$5:$EB$1003,"OT")&gt;0,"OT",""))))</f>
        <v/>
      </c>
      <c r="EQ225">
        <f>IF($EN225=0,"",UPPER(TRIM(INDEX(LINES_STATUS,$EN225)&amp;"")))</f>
        <v/>
      </c>
      <c r="ER225">
        <f>IF($DM225=0,"",IF(OR($EQ225="READY",$EQ225="PM",$EQ225="OT"),$EQ225,$EP225))</f>
        <v/>
      </c>
      <c r="ES225">
        <f>IF($DM225=0,"",IF(AND($DV225&lt;&gt;"",UPPER($DV225)&lt;&gt;"N"),"allergen",IF(ISNUMBER(SEARCH("oil",$DQ225)),"oil",IF(OR(EXACT($DS225,"A662"),EXACT($DS225,"A624")),"bulk",""))))</f>
        <v/>
      </c>
      <c r="ET225">
        <f>IF($DM225=0,"",IF(OR($EA225="",$EA225=0),"",$EA225/100))</f>
        <v/>
      </c>
      <c r="EU225">
        <f>IF(OR($ET225="",$DY225=""),"",INT($DY225*(1-$ET225)+0.5))</f>
        <v/>
      </c>
      <c r="EW225" t="n">
        <v>221</v>
      </c>
      <c r="EX225">
        <f>IFERROR(MATCH($EW225,$EM$5:$EM$1003,0),0)</f>
        <v/>
      </c>
      <c r="EY225">
        <f>IF($EW225&gt;$B$12,"",IF($EX225&gt;0,"row","spacer"))</f>
        <v/>
      </c>
      <c r="EZ225">
        <f>IF(AND($EY225="row",$EY224&lt;&gt;"row"),1,0)</f>
        <v/>
      </c>
      <c r="FA225">
        <f>IF(AND($EY225="row",$EY226&lt;&gt;"row"),1,0)</f>
        <v/>
      </c>
      <c r="FB225">
        <f>IF($EZ225=1,IFERROR(IF(ISNUMBER(INDEX(PASTE_ALL,INDEX($DF$5:$DF$1003,$EX225),$B$37)),INDEX(PASTE_ALL,INDEX($DF$5:$DF$1003,$EX225),$B$37),INDEX($DH$5:$DH$1003,$EX225)),INDEX($DH$5:$DH$1003,$EX225)),"")</f>
        <v/>
      </c>
      <c r="FC225">
        <f>IF($EY225="row",INDEX($ER$5:$ER$1003,$EX225),"")</f>
        <v/>
      </c>
      <c r="FD225">
        <f>IF($EY225="row",INDEX($DN$5:$DN$1003,$EX225),"")</f>
        <v/>
      </c>
      <c r="FE225">
        <f>IF($EY225="row",INDEX($DO$5:$DO$1003,$EX225),"")</f>
        <v/>
      </c>
      <c r="FF225">
        <f>IF($EY225="row",INDEX($DP$5:$DP$1003,$EX225),"")</f>
        <v/>
      </c>
      <c r="FG225">
        <f>IF($EY225="row",INDEX($DQ$5:$DQ$1003,$EX225),"")</f>
        <v/>
      </c>
      <c r="FH225">
        <f>IF($EY225="row",INDEX($DR$5:$DR$1003,$EX225),"")</f>
        <v/>
      </c>
      <c r="FI225">
        <f>IF($EY225="row",INDEX($DS$5:$DS$1003,$EX225),"")</f>
        <v/>
      </c>
      <c r="FJ225">
        <f>IF($EY225="row",INDEX($DT$5:$DT$1003,$EX225),"")</f>
        <v/>
      </c>
      <c r="FK225">
        <f>IF($EY225="row",INDEX($DU$5:$DU$1003,$EX225),"")</f>
        <v/>
      </c>
      <c r="FL225">
        <f>IF($EY225="row",INDEX($DV$5:$DV$1003,$EX225),"")</f>
        <v/>
      </c>
      <c r="FM225">
        <f>IF($EY225="row",INDEX($DW$5:$DW$1003,$EX225),"")</f>
        <v/>
      </c>
      <c r="FN225">
        <f>IF($EY225="row",INDEX($DY$5:$DY$1003,$EX225),"")</f>
        <v/>
      </c>
      <c r="FO225">
        <f>IF($EY225="row",INDEX($EA$5:$EA$1003,$EX225),"")</f>
        <v/>
      </c>
      <c r="FP225">
        <f>IF($EY225="row",INDEX($EC$5:$EC$1003,$EX225),"")</f>
        <v/>
      </c>
      <c r="FQ225">
        <f>IF($EY225="row",INDEX($ET$5:$ET$1003,$EX225),"")</f>
        <v/>
      </c>
      <c r="FR225">
        <f>IF($EY225="row",INDEX($EU$5:$EU$1003,$EX225),"")</f>
        <v/>
      </c>
      <c r="FS225">
        <f>IF(AND($EY225="row",$EY224="row"),IF(OR(INDEX($DT$5:$DT$1003,$EX224)="",INDEX($DT$5:$DT$1003,$EX225)=""),"",IF(NOT(EXACT(INDEX($DT$5:$DT$1003,$EX224),INDEX($DT$5:$DT$1003,$EX225))),"S4",IF(NOT(EXACT(INDEX($DS$5:$DS$1003,$EX224),INDEX($DS$5:$DS$1003,$EX225))),"S3",IF(NOT(EXACT(INDEX($DR$5:$DR$1003,$EX224),INDEX($DR$5:$DR$1003,$EX225))),"S1 Count Change","S1")))),"")</f>
        <v/>
      </c>
      <c r="FT225">
        <f>IF($EY225="row",INDEX($ES$5:$ES$1003,$EX225),"")</f>
        <v/>
      </c>
      <c r="FU225">
        <f>IF($EY225="row",INDEX($EO$5:$EO$1003,$EX225),0)</f>
        <v/>
      </c>
      <c r="FV225">
        <f>IF($FS225="S1 Count Change",1,0)</f>
        <v/>
      </c>
    </row>
    <row r="226">
      <c r="DA226" t="n">
        <v>222</v>
      </c>
      <c r="DB226">
        <f>IF($B$37=0,"",IFERROR(TRIM(SUBSTITUTE(SUBSTITUTE(SUBSTITUTE(SUBSTITUTE(INDEX(PASTE_ALL,222,$B$37)," "," "),CHAR(9)," "),CHAR(10)," "),CHAR(13)," ")),""))</f>
        <v/>
      </c>
      <c r="DC226">
        <f>IF(AND(222&gt;HEADER_ROW,UPPER(DB226)="LEGEND"),1,0)</f>
        <v/>
      </c>
      <c r="DE226" t="n">
        <v>222</v>
      </c>
      <c r="DF226">
        <f>HEADER_ROW+$DE226</f>
        <v/>
      </c>
      <c r="DG226">
        <f>IF(AND($DF226&lt;=1000,$DF226&lt;$B$8),1,0)</f>
        <v/>
      </c>
      <c r="DH226">
        <f>IF($DG226=1,IFERROR(INDEX($DB$5:$DB$1004,$DF226),""),"")</f>
        <v/>
      </c>
      <c r="DI226">
        <f>IF(AND($DG226=1,$DH226&lt;&gt;""),IFERROR(SUBSTITUTE(SUBSTITUTE(TRIM(SUBSTITUTE(SUBSTITUTE(SUBSTITUTE(SUBSTITUTE(IFERROR(INDEX(PASTE_ALL,$DF226,1)&amp;"","")&amp;"␟"&amp;IFERROR(INDEX(PASTE_ALL,$DF226,2)&amp;"","")&amp;"␟"&amp;IFERROR(INDEX(PASTE_ALL,$DF226,3)&amp;"","")&amp;"␟"&amp;IFERROR(INDEX(PASTE_ALL,$DF226,4)&amp;"","")&amp;"␟"&amp;IFERROR(INDEX(PASTE_ALL,$DF226,5)&amp;"","")&amp;"␟"&amp;IFERROR(INDEX(PASTE_ALL,$DF226,6)&amp;"","")&amp;"␟"&amp;IFERROR(INDEX(PASTE_ALL,$DF226,7)&amp;"","")&amp;"␟"&amp;IFERROR(INDEX(PASTE_ALL,$DF226,8)&amp;"","")&amp;"␟"&amp;IFERROR(INDEX(PASTE_ALL,$DF226,9)&amp;"","")&amp;"␟"&amp;IFERROR(INDEX(PASTE_ALL,$DF226,10)&amp;"","")&amp;"␟"&amp;IFERROR(INDEX(PASTE_ALL,$DF226,11)&amp;"","")&amp;"␟"&amp;IFERROR(INDEX(PASTE_ALL,$DF226,12)&amp;"","")&amp;"␟"&amp;IFERROR(INDEX(PASTE_ALL,$DF226,13)&amp;"","")&amp;"␟"&amp;IFERROR(INDEX(PASTE_ALL,$DF226,14)&amp;"","")&amp;"␟"&amp;IFERROR(INDEX(PASTE_ALL,$DF226,15)&amp;"","")&amp;"␟"&amp;IFERROR(INDEX(PASTE_ALL,$DF226,16)&amp;"","")&amp;"␟"&amp;IFERROR(INDEX(PASTE_ALL,$DF226,17)&amp;"","")&amp;"␟"&amp;IFERROR(INDEX(PASTE_ALL,$DF226,18)&amp;"","")&amp;"␟"&amp;IFERROR(INDEX(PASTE_ALL,$DF226,19)&amp;"","")&amp;"␟"&amp;IFERROR(INDEX(PASTE_ALL,$DF226,20)&amp;"","")&amp;"␟"&amp;IFERROR(INDEX(PASTE_ALL,$DF226,21)&amp;"","")&amp;"␟"&amp;IFERROR(INDEX(PASTE_ALL,$DF226,22)&amp;"","")&amp;"␟"&amp;IFERROR(INDEX(PASTE_ALL,$DF226,23)&amp;"","")&amp;"␟"&amp;IFERROR(INDEX(PASTE_ALL,$DF226,24)&amp;"","")&amp;"␟"&amp;IFERROR(INDEX(PASTE_ALL,$DF226,25)&amp;"","")&amp;"␟"&amp;IFERROR(INDEX(PASTE_ALL,$DF226,26)&amp;"","")&amp;"␟"&amp;IFERROR(INDEX(PASTE_ALL,$DF226,27)&amp;"","")&amp;"␟"&amp;IFERROR(INDEX(PASTE_ALL,$DF226,28)&amp;"","")&amp;"␟"&amp;IFERROR(INDEX(PASTE_ALL,$DF226,29)&amp;"","")&amp;"␟"&amp;IFERROR(INDEX(PASTE_ALL,$DF226,30)&amp;"","")&amp;"␟"&amp;IFERROR(INDEX(PASTE_ALL,$DF226,31)&amp;"","")&amp;"␟"&amp;IFERROR(INDEX(PASTE_ALL,$DF226,32)&amp;"","")&amp;"␟"&amp;IFERROR(INDEX(PASTE_ALL,$DF226,33)&amp;"","")&amp;"␟"&amp;IFERROR(INDEX(PASTE_ALL,$DF226,34)&amp;"","")&amp;"␟"&amp;IFERROR(INDEX(PASTE_ALL,$DF226,35)&amp;"","")&amp;"␟"&amp;IFERROR(INDEX(PASTE_ALL,$DF226,36)&amp;"","")&amp;"␟"&amp;IFERROR(INDEX(PASTE_ALL,$DF226,37)&amp;"","")&amp;"␟"&amp;IFERROR(INDEX(PASTE_ALL,$DF226,38)&amp;"","")&amp;"␟"&amp;IFERROR(INDEX(PASTE_ALL,$DF226,39)&amp;"","")&amp;"␟"&amp;IFERROR(INDEX(PASTE_ALL,$DF226,40)&amp;"","")&amp;"␟"&amp;IFERROR(INDEX(PASTE_ALL,$DF226,41)&amp;"","")&amp;"␟"&amp;IFERROR(INDEX(PASTE_ALL,$DF226,42)&amp;"","")&amp;"␟"&amp;IFERROR(INDEX(PASTE_ALL,$DF226,43)&amp;"","")&amp;"␟"&amp;IFERROR(INDEX(PASTE_ALL,$DF226,44)&amp;"","")&amp;"␟"&amp;IFERROR(INDEX(PASTE_ALL,$DF226,45)&amp;"","")&amp;"␟"&amp;IFERROR(INDEX(PASTE_ALL,$DF226,46)&amp;"","")&amp;"␟"&amp;IFERROR(INDEX(PASTE_ALL,$DF226,47)&amp;"","")&amp;"␟"&amp;IFERROR(INDEX(PASTE_ALL,$DF226,48)&amp;"","")&amp;"␟"&amp;IFERROR(INDEX(PASTE_ALL,$DF226,49)&amp;"","")&amp;"␟"&amp;IFERROR(INDEX(PASTE_ALL,$DF226,50)&amp;"","")&amp;"␟"&amp;IFERROR(INDEX(PASTE_ALL,$DF226,51)&amp;"","")&amp;"␟"&amp;IFERROR(INDEX(PASTE_ALL,$DF226,52)&amp;"","")&amp;"␟"&amp;IFERROR(INDEX(PASTE_ALL,$DF226,53)&amp;"","")&amp;"␟"&amp;IFERROR(INDEX(PASTE_ALL,$DF226,54)&amp;"","")&amp;"␟"&amp;IFERROR(INDEX(PASTE_ALL,$DF226,55)&amp;"","")&amp;"␟"&amp;IFERROR(INDEX(PASTE_ALL,$DF226,56)&amp;"","")&amp;"␟"&amp;IFERROR(INDEX(PASTE_ALL,$DF226,57)&amp;"","")&amp;"␟"&amp;IFERROR(INDEX(PASTE_ALL,$DF226,58)&amp;"","")&amp;"␟"&amp;IFERROR(INDEX(PASTE_ALL,$DF226,59)&amp;"","")&amp;"␟"&amp;IFERROR(INDEX(PASTE_ALL,$DF226,60)&amp;"","")," "," "),CHAR(9)," "),CHAR(10)," "),CHAR(13)," "))," ␟","␟"),"␟ ","␟"),"#"&amp;$DE226),"")</f>
        <v/>
      </c>
      <c r="DJ226">
        <f>IF($DI226="",0,IF(SUMPRODUCT(--EXACT($DI$4:DI225,$DI226))&gt;0,1,0))</f>
        <v/>
      </c>
      <c r="DK226">
        <f>IF(AND($DI226&lt;&gt;"",$DJ226=0),1,0)</f>
        <v/>
      </c>
      <c r="DL226">
        <f>DL225+$DK226</f>
        <v/>
      </c>
      <c r="DM226">
        <f>IF(AND($DK226=1,$DL226&lt;=600),1,0)</f>
        <v/>
      </c>
      <c r="DN226">
        <f>IF($DM226=0,"",IF($L$6=0,"",IFERROR(IF(ISNUMBER(INDEX(PASTE_ALL,$DF226,$L$6)),INDEX(PASTE_ALL,$DF226,$L$6),TRIM(SUBSTITUTE(SUBSTITUTE(SUBSTITUTE(SUBSTITUTE(INDEX(PASTE_ALL,$DF226,$L$6)," "," "),CHAR(9)," "),CHAR(10)," "),CHAR(13)," "))),"")))</f>
        <v/>
      </c>
      <c r="DO226">
        <f>IF($DM226=0,"",IF($L$7=0,"",IFERROR(IF(ISNUMBER(INDEX(PASTE_ALL,$DF226,$L$7)),INDEX(PASTE_ALL,$DF226,$L$7),TRIM(SUBSTITUTE(SUBSTITUTE(SUBSTITUTE(SUBSTITUTE(INDEX(PASTE_ALL,$DF226,$L$7)," "," "),CHAR(9)," "),CHAR(10)," "),CHAR(13)," "))),"")))</f>
        <v/>
      </c>
      <c r="DP226">
        <f>IF($DM226=0,"",IF($L$8=0,"",IFERROR(IF(ISNUMBER(INDEX(PASTE_ALL,$DF226,$L$8)),INDEX(PASTE_ALL,$DF226,$L$8),TRIM(SUBSTITUTE(SUBSTITUTE(SUBSTITUTE(SUBSTITUTE(INDEX(PASTE_ALL,$DF226,$L$8)," "," "),CHAR(9)," "),CHAR(10)," "),CHAR(13)," "))),"")))</f>
        <v/>
      </c>
      <c r="DQ226">
        <f>IF($DM226=0,"",IF($L$9=0,"",IFERROR(IF(ISNUMBER(INDEX(PASTE_ALL,$DF226,$L$9)),INDEX(PASTE_ALL,$DF226,$L$9),TRIM(SUBSTITUTE(SUBSTITUTE(SUBSTITUTE(SUBSTITUTE(INDEX(PASTE_ALL,$DF226,$L$9)," "," "),CHAR(9)," "),CHAR(10)," "),CHAR(13)," "))),"")))</f>
        <v/>
      </c>
      <c r="DR226">
        <f>IF($DM226=0,"",IF($L$10=0,"",IFERROR(IF(ISNUMBER(INDEX(PASTE_ALL,$DF226,$L$10)),INDEX(PASTE_ALL,$DF226,$L$10),TRIM(SUBSTITUTE(SUBSTITUTE(SUBSTITUTE(SUBSTITUTE(INDEX(PASTE_ALL,$DF226,$L$10)," "," "),CHAR(9)," "),CHAR(10)," "),CHAR(13)," "))),"")))</f>
        <v/>
      </c>
      <c r="DS226">
        <f>IF($DM226=0,"",IF($L$11=0,"",IFERROR(IF(ISNUMBER(INDEX(PASTE_ALL,$DF226,$L$11)),INDEX(PASTE_ALL,$DF226,$L$11),TRIM(SUBSTITUTE(SUBSTITUTE(SUBSTITUTE(SUBSTITUTE(INDEX(PASTE_ALL,$DF226,$L$11)," "," "),CHAR(9)," "),CHAR(10)," "),CHAR(13)," "))),"")))</f>
        <v/>
      </c>
      <c r="DT226">
        <f>IF($DM226=0,"",IF($L$12=0,"",IFERROR(IF(ISNUMBER(INDEX(PASTE_ALL,$DF226,$L$12)),INDEX(PASTE_ALL,$DF226,$L$12),TRIM(SUBSTITUTE(SUBSTITUTE(SUBSTITUTE(SUBSTITUTE(INDEX(PASTE_ALL,$DF226,$L$12)," "," "),CHAR(9)," "),CHAR(10)," "),CHAR(13)," "))),"")))</f>
        <v/>
      </c>
      <c r="DU226">
        <f>IF($DM226=0,"",IF($L$13=0,"",IFERROR(IF(ISNUMBER(INDEX(PASTE_ALL,$DF226,$L$13)),INDEX(PASTE_ALL,$DF226,$L$13),TRIM(SUBSTITUTE(SUBSTITUTE(SUBSTITUTE(SUBSTITUTE(INDEX(PASTE_ALL,$DF226,$L$13)," "," "),CHAR(9)," "),CHAR(10)," "),CHAR(13)," "))),"")))</f>
        <v/>
      </c>
      <c r="DV226">
        <f>IF($DM226=0,"",IF($L$14=0,"",IFERROR(IF(ISNUMBER(INDEX(PASTE_ALL,$DF226,$L$14)),INDEX(PASTE_ALL,$DF226,$L$14),TRIM(SUBSTITUTE(SUBSTITUTE(SUBSTITUTE(SUBSTITUTE(INDEX(PASTE_ALL,$DF226,$L$14)," "," "),CHAR(9)," "),CHAR(10)," "),CHAR(13)," "))),"")))</f>
        <v/>
      </c>
      <c r="DW226">
        <f>IF($DM226=0,"",IF($L$15=0,"",IFERROR(IF(ISNUMBER(INDEX(PASTE_ALL,$DF226,$L$15)),INDEX(PASTE_ALL,$DF226,$L$15),IF(SUMPRODUCT(--ISNUMBER(FIND({"A","B","C","D","E","F","G","H","I","J","K","L","M","N","O","P","Q","R","S","T","U","V","W","X","Y","Z","0","1","2","3","4","5","6","7","8","9"},UPPER(TRIM(SUBSTITUTE(SUBSTITUTE(SUBSTITUTE(SUBSTITUTE(INDEX(PASTE_ALL,$DF226,$L$15)," "," "),CHAR(9)," "),CHAR(10)," "),CHAR(13)," "))))))&gt;0,TRIM(SUBSTITUTE(SUBSTITUTE(SUBSTITUTE(SUBSTITUTE(INDEX(PASTE_ALL,$DF226,$L$15)," "," "),CHAR(9)," "),CHAR(10)," "),CHAR(13)," ")),"")),"")))</f>
        <v/>
      </c>
      <c r="DX226">
        <f>IF($DM226=0,"",IF($L$16=0,"",IFERROR(IF(ISNUMBER(INDEX(PASTE_ALL,$DF226,$L$16)),INDEX(PASTE_ALL,$DF226,$L$16),SUBSTITUTE(SUBSTITUTE(TRIM(SUBSTITUTE(SUBSTITUTE(SUBSTITUTE(SUBSTITUTE(INDEX(PASTE_ALL,$DF226,$L$16)," "," "),CHAR(9)," "),CHAR(10)," "),CHAR(13)," ")),",",""),"%","")),"")))</f>
        <v/>
      </c>
      <c r="DY226">
        <f>IF($DM226=0,"",IFERROR(IF(ISNUMBER($DX226),$DX226,IF($DX226="","",IF(TRIM($DX226)="",0,IF(AND(AND(SUBSTITUTE(SUBSTITUTE(SUBSTITUTE(SUBSTITUTE(SUBSTITUTE(SUBSTITUTE(SUBSTITUTE(SUBSTITUTE(SUBSTITUTE(SUBSTITUTE(SUBSTITUTE(SUBSTITUTE(SUBSTITUTE(SUBSTITUTE(UPPER(TRIM($DX226)),"0",""),"1",""),"2",""),"3",""),"4",""),"5",""),"6",""),"7",""),"8",""),"9",""),".",""),"+",""),"-",""),"E","")="",LEN(SUBSTITUTE(SUBSTITUTE(MID(UPPER(TRIM($DX226)),1+OR(LEFT(UPPER(TRIM($DX226)),1)="+",LEFT(UPPER(TRIM($DX226)),1)="-"),999),"E+","E"),"E-","E"))=LEN(SUBSTITUTE(SUBSTITUTE(SUBSTITUTE(SUBSTITUTE(MID(UPPER(TRIM($DX226)),1+OR(LEFT(UPPER(TRIM($DX226)),1)="+",LEFT(UPPER(TRIM($DX226)),1)="-"),999),"E+","E"),"E-","E"),"+",""),"-","")),LEN(UPPER(TRIM($DX226)))-LEN(SUBSTITUTE(UPPER(TRIM($DX226)),"E",""))&lt;2,LEN(UPPER(TRIM($DX226)))-LEN(SUBSTITUTE(UPPER(TRIM($DX226)),".",""))&lt;2,IFERROR(FIND(".",UPPER(TRIM($DX226))),0)&lt;IFERROR(FIND("E",UPPER(TRIM($DX226))),999)),ISNUMBER(VALUE(TRIM($DX226)))),VALUE(TRIM($DX226)),"")))),""))</f>
        <v/>
      </c>
      <c r="DZ226">
        <f>IF($DM226=0,"",IF($L$17=0,"",IFERROR(IF(ISNUMBER(INDEX(PASTE_ALL,$DF226,$L$17)),INDEX(PASTE_ALL,$DF226,$L$17),SUBSTITUTE(SUBSTITUTE(TRIM(SUBSTITUTE(SUBSTITUTE(SUBSTITUTE(SUBSTITUTE(INDEX(PASTE_ALL,$DF226,$L$17)," "," "),CHAR(9)," "),CHAR(10)," "),CHAR(13)," ")),",",""),"%","")),"")))</f>
        <v/>
      </c>
      <c r="EA226">
        <f>IF($DM226=0,"",IFERROR(IF(ISNUMBER($DZ226),$DZ226,IF($DZ226="","",IF(TRIM($DZ226)="",0,IF(AND(AND(SUBSTITUTE(SUBSTITUTE(SUBSTITUTE(SUBSTITUTE(SUBSTITUTE(SUBSTITUTE(SUBSTITUTE(SUBSTITUTE(SUBSTITUTE(SUBSTITUTE(SUBSTITUTE(SUBSTITUTE(SUBSTITUTE(SUBSTITUTE(UPPER(TRIM($DZ226)),"0",""),"1",""),"2",""),"3",""),"4",""),"5",""),"6",""),"7",""),"8",""),"9",""),".",""),"+",""),"-",""),"E","")="",LEN(SUBSTITUTE(SUBSTITUTE(MID(UPPER(TRIM($DZ226)),1+OR(LEFT(UPPER(TRIM($DZ226)),1)="+",LEFT(UPPER(TRIM($DZ226)),1)="-"),999),"E+","E"),"E-","E"))=LEN(SUBSTITUTE(SUBSTITUTE(SUBSTITUTE(SUBSTITUTE(MID(UPPER(TRIM($DZ226)),1+OR(LEFT(UPPER(TRIM($DZ226)),1)="+",LEFT(UPPER(TRIM($DZ226)),1)="-"),999),"E+","E"),"E-","E"),"+",""),"-","")),LEN(UPPER(TRIM($DZ226)))-LEN(SUBSTITUTE(UPPER(TRIM($DZ226)),"E",""))&lt;2,LEN(UPPER(TRIM($DZ226)))-LEN(SUBSTITUTE(UPPER(TRIM($DZ226)),".",""))&lt;2,IFERROR(FIND(".",UPPER(TRIM($DZ226))),0)&lt;IFERROR(FIND("E",UPPER(TRIM($DZ226))),999)),ISNUMBER(VALUE(TRIM($DZ226)))),VALUE(TRIM($DZ226)),"")))),""))</f>
        <v/>
      </c>
      <c r="EB226">
        <f>IF($DM226=0,"",IF($L$18=0,"",IFERROR(IF(UPPER(TRIM(SUBSTITUTE(SUBSTITUTE(SUBSTITUTE(SUBSTITUTE(INDEX(PASTE_ALL,$DF226,$L$18)," "," "),CHAR(9)," "),CHAR(10)," "),CHAR(13)," ")))="READY","Ready",IF(UPPER(TRIM(SUBSTITUTE(SUBSTITUTE(SUBSTITUTE(SUBSTITUTE(INDEX(PASTE_ALL,$DF226,$L$18)," "," "),CHAR(9)," "),CHAR(10)," "),CHAR(13)," ")))="PM","PM",IF(OR(UPPER(TRIM(SUBSTITUTE(SUBSTITUTE(SUBSTITUTE(SUBSTITUTE(INDEX(PASTE_ALL,$DF226,$L$18)," "," "),CHAR(9)," "),CHAR(10)," "),CHAR(13)," ")))="OT",UPPER(TRIM(SUBSTITUTE(SUBSTITUTE(SUBSTITUTE(SUBSTITUTE(INDEX(PASTE_ALL,$DF226,$L$18)," "," "),CHAR(9)," "),CHAR(10)," "),CHAR(13)," ")))="OVERTIME",UPPER(TRIM(SUBSTITUTE(SUBSTITUTE(SUBSTITUTE(SUBSTITUTE(INDEX(PASTE_ALL,$DF226,$L$18)," "," "),CHAR(9)," "),CHAR(10)," "),CHAR(13)," ")))="TRIAL"),"OT",TRIM(SUBSTITUTE(SUBSTITUTE(SUBSTITUTE(SUBSTITUTE(INDEX(PASTE_ALL,$DF226,$L$18)," "," "),CHAR(9)," "),CHAR(10)," "),CHAR(13)," "))))),"")))</f>
        <v/>
      </c>
      <c r="EC226">
        <f>IF($DM226=0,"",IF($L$19=0,"",IFERROR(IF(ISNUMBER(INDEX(PASTE_ALL,$DF226,$L$19)),INDEX(PASTE_ALL,$DF226,$L$19),TRIM(SUBSTITUTE(SUBSTITUTE(SUBSTITUTE(SUBSTITUTE(INDEX(PASTE_ALL,$DF226,$L$19)," "," "),CHAR(9)," "),CHAR(10)," "),CHAR(13)," "))),"")))</f>
        <v/>
      </c>
      <c r="ED226">
        <f>IF($DM226=0,"",MATCH(1,INDEX(EXACT($DH$5:DH226,$DH226)*$DM$5:DM226,0),0))</f>
        <v/>
      </c>
      <c r="EE226">
        <f>IF($DM226=0,0,IF($ED226=$DE226,1,0))</f>
        <v/>
      </c>
      <c r="EF226">
        <f>EF225+$EE226</f>
        <v/>
      </c>
      <c r="EG226">
        <f>IF($DM226=0,"",INDEX($EF$5:$EF$1003,$ED226))</f>
        <v/>
      </c>
      <c r="EH226">
        <f>IF($DM226=0,"",IF($DO226&lt;&gt;"","",IFERROR(LOOKUP(2,1/(($EG$4:EG225=$EG226)*($DO$4:DO225&lt;&gt;"")),$DO$4:DO225),"")))</f>
        <v/>
      </c>
      <c r="EI226">
        <f>IF($DM226=0,"",IF($DO226&lt;&gt;"",$DO226,$EH226))</f>
        <v/>
      </c>
      <c r="EJ226">
        <f>IF($DM226=0,"",IF($EI226="",0,IF(OR(ISNUMBER($EI226),AND(AND(SUBSTITUTE(SUBSTITUTE(SUBSTITUTE(SUBSTITUTE(SUBSTITUTE(SUBSTITUTE(SUBSTITUTE(SUBSTITUTE(SUBSTITUTE(SUBSTITUTE(SUBSTITUTE(SUBSTITUTE(SUBSTITUTE(SUBSTITUTE(UPPER($EI226),"0",""),"1",""),"2",""),"3",""),"4",""),"5",""),"6",""),"7",""),"8",""),"9",""),".",""),"+",""),"-",""),"E","")="",LEN(SUBSTITUTE(SUBSTITUTE(MID(UPPER($EI226),1+OR(LEFT(UPPER($EI226),1)="+",LEFT(UPPER($EI226),1)="-"),999),"E+","E"),"E-","E"))=LEN(SUBSTITUTE(SUBSTITUTE(SUBSTITUTE(SUBSTITUTE(MID(UPPER($EI226),1+OR(LEFT(UPPER($EI226),1)="+",LEFT(UPPER($EI226),1)="-"),999),"E+","E"),"E-","E"),"+",""),"-","")),LEN(UPPER($EI226))-LEN(SUBSTITUTE(UPPER($EI226),"E",""))&lt;2,LEN(UPPER($EI226))-LEN(SUBSTITUTE(UPPER($EI226),".",""))&lt;2,IFERROR(FIND(".",UPPER($EI226)),0)&lt;IFERROR(FIND("E",UPPER($EI226)),999)),ISNUMBER(VALUE($EI226)))),1,2)))</f>
        <v/>
      </c>
      <c r="EK226">
        <f>IF($DM226=0,"",IF($EJ226=1,IF(ISNUMBER($EI226),$EI226,VALUE($EI226)),IF($EJ226=2,$DE226,0)))</f>
        <v/>
      </c>
      <c r="EL226">
        <f>IF($DM226=0,"",COUNTIF($EG$5:$EG$1003,"&lt;"&amp;$EG226)+SUMPRODUCT(($EG$5:$EG$1003=$EG226)*(($EJ$5:$EJ$1003&lt;$EJ226)+($EJ$5:$EJ$1003=$EJ226)*(($EK$5:$EK$1003&lt;$EK226)+($EK$5:$EK$1003=$EK226)*($DE$5:$DE$1003&lt;$DE226))))+1)</f>
        <v/>
      </c>
      <c r="EM226">
        <f>IF($DM226=0,"",$EL226+$EG226-1)</f>
        <v/>
      </c>
      <c r="EN226">
        <f>IF($DM226=0,0,IFERROR(MATCH(1,INDEX(--(TRIM(SUBSTITUTE(SUBSTITUTE(SUBSTITUTE(SUBSTITUTE(LINES_NAME&amp;""," "," "),CHAR(9)," "),CHAR(10)," "),CHAR(13)," "))=$DH226),0),0),0))</f>
        <v/>
      </c>
      <c r="EO226">
        <f>IF($EN226=0,0,IF(OR(UPPER(TRIM(INDEX(LINES_SCHEDULED,$EN226)&amp;""))="YES",UPPER(TRIM(INDEX(LINES_SCHEDULED,$EN226)&amp;""))="Y",UPPER(TRIM(INDEX(LINES_SCHEDULED,$EN226)&amp;""))="X"),1,0))</f>
        <v/>
      </c>
      <c r="EP226">
        <f>IF($DM226=0,"",IF(COUNTIFS($EG$5:$EG$1003,$EG226,$EB$5:$EB$1003,"Ready")&gt;0,"READY",IF(COUNTIFS($EG$5:$EG$1003,$EG226,$EB$5:$EB$1003,"PM")&gt;0,"PM",IF(COUNTIFS($EG$5:$EG$1003,$EG226,$EB$5:$EB$1003,"OT")&gt;0,"OT",""))))</f>
        <v/>
      </c>
      <c r="EQ226">
        <f>IF($EN226=0,"",UPPER(TRIM(INDEX(LINES_STATUS,$EN226)&amp;"")))</f>
        <v/>
      </c>
      <c r="ER226">
        <f>IF($DM226=0,"",IF(OR($EQ226="READY",$EQ226="PM",$EQ226="OT"),$EQ226,$EP226))</f>
        <v/>
      </c>
      <c r="ES226">
        <f>IF($DM226=0,"",IF(AND($DV226&lt;&gt;"",UPPER($DV226)&lt;&gt;"N"),"allergen",IF(ISNUMBER(SEARCH("oil",$DQ226)),"oil",IF(OR(EXACT($DS226,"A662"),EXACT($DS226,"A624")),"bulk",""))))</f>
        <v/>
      </c>
      <c r="ET226">
        <f>IF($DM226=0,"",IF(OR($EA226="",$EA226=0),"",$EA226/100))</f>
        <v/>
      </c>
      <c r="EU226">
        <f>IF(OR($ET226="",$DY226=""),"",INT($DY226*(1-$ET226)+0.5))</f>
        <v/>
      </c>
      <c r="EW226" t="n">
        <v>222</v>
      </c>
      <c r="EX226">
        <f>IFERROR(MATCH($EW226,$EM$5:$EM$1003,0),0)</f>
        <v/>
      </c>
      <c r="EY226">
        <f>IF($EW226&gt;$B$12,"",IF($EX226&gt;0,"row","spacer"))</f>
        <v/>
      </c>
      <c r="EZ226">
        <f>IF(AND($EY226="row",$EY225&lt;&gt;"row"),1,0)</f>
        <v/>
      </c>
      <c r="FA226">
        <f>IF(AND($EY226="row",$EY227&lt;&gt;"row"),1,0)</f>
        <v/>
      </c>
      <c r="FB226">
        <f>IF($EZ226=1,IFERROR(IF(ISNUMBER(INDEX(PASTE_ALL,INDEX($DF$5:$DF$1003,$EX226),$B$37)),INDEX(PASTE_ALL,INDEX($DF$5:$DF$1003,$EX226),$B$37),INDEX($DH$5:$DH$1003,$EX226)),INDEX($DH$5:$DH$1003,$EX226)),"")</f>
        <v/>
      </c>
      <c r="FC226">
        <f>IF($EY226="row",INDEX($ER$5:$ER$1003,$EX226),"")</f>
        <v/>
      </c>
      <c r="FD226">
        <f>IF($EY226="row",INDEX($DN$5:$DN$1003,$EX226),"")</f>
        <v/>
      </c>
      <c r="FE226">
        <f>IF($EY226="row",INDEX($DO$5:$DO$1003,$EX226),"")</f>
        <v/>
      </c>
      <c r="FF226">
        <f>IF($EY226="row",INDEX($DP$5:$DP$1003,$EX226),"")</f>
        <v/>
      </c>
      <c r="FG226">
        <f>IF($EY226="row",INDEX($DQ$5:$DQ$1003,$EX226),"")</f>
        <v/>
      </c>
      <c r="FH226">
        <f>IF($EY226="row",INDEX($DR$5:$DR$1003,$EX226),"")</f>
        <v/>
      </c>
      <c r="FI226">
        <f>IF($EY226="row",INDEX($DS$5:$DS$1003,$EX226),"")</f>
        <v/>
      </c>
      <c r="FJ226">
        <f>IF($EY226="row",INDEX($DT$5:$DT$1003,$EX226),"")</f>
        <v/>
      </c>
      <c r="FK226">
        <f>IF($EY226="row",INDEX($DU$5:$DU$1003,$EX226),"")</f>
        <v/>
      </c>
      <c r="FL226">
        <f>IF($EY226="row",INDEX($DV$5:$DV$1003,$EX226),"")</f>
        <v/>
      </c>
      <c r="FM226">
        <f>IF($EY226="row",INDEX($DW$5:$DW$1003,$EX226),"")</f>
        <v/>
      </c>
      <c r="FN226">
        <f>IF($EY226="row",INDEX($DY$5:$DY$1003,$EX226),"")</f>
        <v/>
      </c>
      <c r="FO226">
        <f>IF($EY226="row",INDEX($EA$5:$EA$1003,$EX226),"")</f>
        <v/>
      </c>
      <c r="FP226">
        <f>IF($EY226="row",INDEX($EC$5:$EC$1003,$EX226),"")</f>
        <v/>
      </c>
      <c r="FQ226">
        <f>IF($EY226="row",INDEX($ET$5:$ET$1003,$EX226),"")</f>
        <v/>
      </c>
      <c r="FR226">
        <f>IF($EY226="row",INDEX($EU$5:$EU$1003,$EX226),"")</f>
        <v/>
      </c>
      <c r="FS226">
        <f>IF(AND($EY226="row",$EY225="row"),IF(OR(INDEX($DT$5:$DT$1003,$EX225)="",INDEX($DT$5:$DT$1003,$EX226)=""),"",IF(NOT(EXACT(INDEX($DT$5:$DT$1003,$EX225),INDEX($DT$5:$DT$1003,$EX226))),"S4",IF(NOT(EXACT(INDEX($DS$5:$DS$1003,$EX225),INDEX($DS$5:$DS$1003,$EX226))),"S3",IF(NOT(EXACT(INDEX($DR$5:$DR$1003,$EX225),INDEX($DR$5:$DR$1003,$EX226))),"S1 Count Change","S1")))),"")</f>
        <v/>
      </c>
      <c r="FT226">
        <f>IF($EY226="row",INDEX($ES$5:$ES$1003,$EX226),"")</f>
        <v/>
      </c>
      <c r="FU226">
        <f>IF($EY226="row",INDEX($EO$5:$EO$1003,$EX226),0)</f>
        <v/>
      </c>
      <c r="FV226">
        <f>IF($FS226="S1 Count Change",1,0)</f>
        <v/>
      </c>
    </row>
    <row r="227">
      <c r="DA227" t="n">
        <v>223</v>
      </c>
      <c r="DB227">
        <f>IF($B$37=0,"",IFERROR(TRIM(SUBSTITUTE(SUBSTITUTE(SUBSTITUTE(SUBSTITUTE(INDEX(PASTE_ALL,223,$B$37)," "," "),CHAR(9)," "),CHAR(10)," "),CHAR(13)," ")),""))</f>
        <v/>
      </c>
      <c r="DC227">
        <f>IF(AND(223&gt;HEADER_ROW,UPPER(DB227)="LEGEND"),1,0)</f>
        <v/>
      </c>
      <c r="DE227" t="n">
        <v>223</v>
      </c>
      <c r="DF227">
        <f>HEADER_ROW+$DE227</f>
        <v/>
      </c>
      <c r="DG227">
        <f>IF(AND($DF227&lt;=1000,$DF227&lt;$B$8),1,0)</f>
        <v/>
      </c>
      <c r="DH227">
        <f>IF($DG227=1,IFERROR(INDEX($DB$5:$DB$1004,$DF227),""),"")</f>
        <v/>
      </c>
      <c r="DI227">
        <f>IF(AND($DG227=1,$DH227&lt;&gt;""),IFERROR(SUBSTITUTE(SUBSTITUTE(TRIM(SUBSTITUTE(SUBSTITUTE(SUBSTITUTE(SUBSTITUTE(IFERROR(INDEX(PASTE_ALL,$DF227,1)&amp;"","")&amp;"␟"&amp;IFERROR(INDEX(PASTE_ALL,$DF227,2)&amp;"","")&amp;"␟"&amp;IFERROR(INDEX(PASTE_ALL,$DF227,3)&amp;"","")&amp;"␟"&amp;IFERROR(INDEX(PASTE_ALL,$DF227,4)&amp;"","")&amp;"␟"&amp;IFERROR(INDEX(PASTE_ALL,$DF227,5)&amp;"","")&amp;"␟"&amp;IFERROR(INDEX(PASTE_ALL,$DF227,6)&amp;"","")&amp;"␟"&amp;IFERROR(INDEX(PASTE_ALL,$DF227,7)&amp;"","")&amp;"␟"&amp;IFERROR(INDEX(PASTE_ALL,$DF227,8)&amp;"","")&amp;"␟"&amp;IFERROR(INDEX(PASTE_ALL,$DF227,9)&amp;"","")&amp;"␟"&amp;IFERROR(INDEX(PASTE_ALL,$DF227,10)&amp;"","")&amp;"␟"&amp;IFERROR(INDEX(PASTE_ALL,$DF227,11)&amp;"","")&amp;"␟"&amp;IFERROR(INDEX(PASTE_ALL,$DF227,12)&amp;"","")&amp;"␟"&amp;IFERROR(INDEX(PASTE_ALL,$DF227,13)&amp;"","")&amp;"␟"&amp;IFERROR(INDEX(PASTE_ALL,$DF227,14)&amp;"","")&amp;"␟"&amp;IFERROR(INDEX(PASTE_ALL,$DF227,15)&amp;"","")&amp;"␟"&amp;IFERROR(INDEX(PASTE_ALL,$DF227,16)&amp;"","")&amp;"␟"&amp;IFERROR(INDEX(PASTE_ALL,$DF227,17)&amp;"","")&amp;"␟"&amp;IFERROR(INDEX(PASTE_ALL,$DF227,18)&amp;"","")&amp;"␟"&amp;IFERROR(INDEX(PASTE_ALL,$DF227,19)&amp;"","")&amp;"␟"&amp;IFERROR(INDEX(PASTE_ALL,$DF227,20)&amp;"","")&amp;"␟"&amp;IFERROR(INDEX(PASTE_ALL,$DF227,21)&amp;"","")&amp;"␟"&amp;IFERROR(INDEX(PASTE_ALL,$DF227,22)&amp;"","")&amp;"␟"&amp;IFERROR(INDEX(PASTE_ALL,$DF227,23)&amp;"","")&amp;"␟"&amp;IFERROR(INDEX(PASTE_ALL,$DF227,24)&amp;"","")&amp;"␟"&amp;IFERROR(INDEX(PASTE_ALL,$DF227,25)&amp;"","")&amp;"␟"&amp;IFERROR(INDEX(PASTE_ALL,$DF227,26)&amp;"","")&amp;"␟"&amp;IFERROR(INDEX(PASTE_ALL,$DF227,27)&amp;"","")&amp;"␟"&amp;IFERROR(INDEX(PASTE_ALL,$DF227,28)&amp;"","")&amp;"␟"&amp;IFERROR(INDEX(PASTE_ALL,$DF227,29)&amp;"","")&amp;"␟"&amp;IFERROR(INDEX(PASTE_ALL,$DF227,30)&amp;"","")&amp;"␟"&amp;IFERROR(INDEX(PASTE_ALL,$DF227,31)&amp;"","")&amp;"␟"&amp;IFERROR(INDEX(PASTE_ALL,$DF227,32)&amp;"","")&amp;"␟"&amp;IFERROR(INDEX(PASTE_ALL,$DF227,33)&amp;"","")&amp;"␟"&amp;IFERROR(INDEX(PASTE_ALL,$DF227,34)&amp;"","")&amp;"␟"&amp;IFERROR(INDEX(PASTE_ALL,$DF227,35)&amp;"","")&amp;"␟"&amp;IFERROR(INDEX(PASTE_ALL,$DF227,36)&amp;"","")&amp;"␟"&amp;IFERROR(INDEX(PASTE_ALL,$DF227,37)&amp;"","")&amp;"␟"&amp;IFERROR(INDEX(PASTE_ALL,$DF227,38)&amp;"","")&amp;"␟"&amp;IFERROR(INDEX(PASTE_ALL,$DF227,39)&amp;"","")&amp;"␟"&amp;IFERROR(INDEX(PASTE_ALL,$DF227,40)&amp;"","")&amp;"␟"&amp;IFERROR(INDEX(PASTE_ALL,$DF227,41)&amp;"","")&amp;"␟"&amp;IFERROR(INDEX(PASTE_ALL,$DF227,42)&amp;"","")&amp;"␟"&amp;IFERROR(INDEX(PASTE_ALL,$DF227,43)&amp;"","")&amp;"␟"&amp;IFERROR(INDEX(PASTE_ALL,$DF227,44)&amp;"","")&amp;"␟"&amp;IFERROR(INDEX(PASTE_ALL,$DF227,45)&amp;"","")&amp;"␟"&amp;IFERROR(INDEX(PASTE_ALL,$DF227,46)&amp;"","")&amp;"␟"&amp;IFERROR(INDEX(PASTE_ALL,$DF227,47)&amp;"","")&amp;"␟"&amp;IFERROR(INDEX(PASTE_ALL,$DF227,48)&amp;"","")&amp;"␟"&amp;IFERROR(INDEX(PASTE_ALL,$DF227,49)&amp;"","")&amp;"␟"&amp;IFERROR(INDEX(PASTE_ALL,$DF227,50)&amp;"","")&amp;"␟"&amp;IFERROR(INDEX(PASTE_ALL,$DF227,51)&amp;"","")&amp;"␟"&amp;IFERROR(INDEX(PASTE_ALL,$DF227,52)&amp;"","")&amp;"␟"&amp;IFERROR(INDEX(PASTE_ALL,$DF227,53)&amp;"","")&amp;"␟"&amp;IFERROR(INDEX(PASTE_ALL,$DF227,54)&amp;"","")&amp;"␟"&amp;IFERROR(INDEX(PASTE_ALL,$DF227,55)&amp;"","")&amp;"␟"&amp;IFERROR(INDEX(PASTE_ALL,$DF227,56)&amp;"","")&amp;"␟"&amp;IFERROR(INDEX(PASTE_ALL,$DF227,57)&amp;"","")&amp;"␟"&amp;IFERROR(INDEX(PASTE_ALL,$DF227,58)&amp;"","")&amp;"␟"&amp;IFERROR(INDEX(PASTE_ALL,$DF227,59)&amp;"","")&amp;"␟"&amp;IFERROR(INDEX(PASTE_ALL,$DF227,60)&amp;"","")," "," "),CHAR(9)," "),CHAR(10)," "),CHAR(13)," "))," ␟","␟"),"␟ ","␟"),"#"&amp;$DE227),"")</f>
        <v/>
      </c>
      <c r="DJ227">
        <f>IF($DI227="",0,IF(SUMPRODUCT(--EXACT($DI$4:DI226,$DI227))&gt;0,1,0))</f>
        <v/>
      </c>
      <c r="DK227">
        <f>IF(AND($DI227&lt;&gt;"",$DJ227=0),1,0)</f>
        <v/>
      </c>
      <c r="DL227">
        <f>DL226+$DK227</f>
        <v/>
      </c>
      <c r="DM227">
        <f>IF(AND($DK227=1,$DL227&lt;=600),1,0)</f>
        <v/>
      </c>
      <c r="DN227">
        <f>IF($DM227=0,"",IF($L$6=0,"",IFERROR(IF(ISNUMBER(INDEX(PASTE_ALL,$DF227,$L$6)),INDEX(PASTE_ALL,$DF227,$L$6),TRIM(SUBSTITUTE(SUBSTITUTE(SUBSTITUTE(SUBSTITUTE(INDEX(PASTE_ALL,$DF227,$L$6)," "," "),CHAR(9)," "),CHAR(10)," "),CHAR(13)," "))),"")))</f>
        <v/>
      </c>
      <c r="DO227">
        <f>IF($DM227=0,"",IF($L$7=0,"",IFERROR(IF(ISNUMBER(INDEX(PASTE_ALL,$DF227,$L$7)),INDEX(PASTE_ALL,$DF227,$L$7),TRIM(SUBSTITUTE(SUBSTITUTE(SUBSTITUTE(SUBSTITUTE(INDEX(PASTE_ALL,$DF227,$L$7)," "," "),CHAR(9)," "),CHAR(10)," "),CHAR(13)," "))),"")))</f>
        <v/>
      </c>
      <c r="DP227">
        <f>IF($DM227=0,"",IF($L$8=0,"",IFERROR(IF(ISNUMBER(INDEX(PASTE_ALL,$DF227,$L$8)),INDEX(PASTE_ALL,$DF227,$L$8),TRIM(SUBSTITUTE(SUBSTITUTE(SUBSTITUTE(SUBSTITUTE(INDEX(PASTE_ALL,$DF227,$L$8)," "," "),CHAR(9)," "),CHAR(10)," "),CHAR(13)," "))),"")))</f>
        <v/>
      </c>
      <c r="DQ227">
        <f>IF($DM227=0,"",IF($L$9=0,"",IFERROR(IF(ISNUMBER(INDEX(PASTE_ALL,$DF227,$L$9)),INDEX(PASTE_ALL,$DF227,$L$9),TRIM(SUBSTITUTE(SUBSTITUTE(SUBSTITUTE(SUBSTITUTE(INDEX(PASTE_ALL,$DF227,$L$9)," "," "),CHAR(9)," "),CHAR(10)," "),CHAR(13)," "))),"")))</f>
        <v/>
      </c>
      <c r="DR227">
        <f>IF($DM227=0,"",IF($L$10=0,"",IFERROR(IF(ISNUMBER(INDEX(PASTE_ALL,$DF227,$L$10)),INDEX(PASTE_ALL,$DF227,$L$10),TRIM(SUBSTITUTE(SUBSTITUTE(SUBSTITUTE(SUBSTITUTE(INDEX(PASTE_ALL,$DF227,$L$10)," "," "),CHAR(9)," "),CHAR(10)," "),CHAR(13)," "))),"")))</f>
        <v/>
      </c>
      <c r="DS227">
        <f>IF($DM227=0,"",IF($L$11=0,"",IFERROR(IF(ISNUMBER(INDEX(PASTE_ALL,$DF227,$L$11)),INDEX(PASTE_ALL,$DF227,$L$11),TRIM(SUBSTITUTE(SUBSTITUTE(SUBSTITUTE(SUBSTITUTE(INDEX(PASTE_ALL,$DF227,$L$11)," "," "),CHAR(9)," "),CHAR(10)," "),CHAR(13)," "))),"")))</f>
        <v/>
      </c>
      <c r="DT227">
        <f>IF($DM227=0,"",IF($L$12=0,"",IFERROR(IF(ISNUMBER(INDEX(PASTE_ALL,$DF227,$L$12)),INDEX(PASTE_ALL,$DF227,$L$12),TRIM(SUBSTITUTE(SUBSTITUTE(SUBSTITUTE(SUBSTITUTE(INDEX(PASTE_ALL,$DF227,$L$12)," "," "),CHAR(9)," "),CHAR(10)," "),CHAR(13)," "))),"")))</f>
        <v/>
      </c>
      <c r="DU227">
        <f>IF($DM227=0,"",IF($L$13=0,"",IFERROR(IF(ISNUMBER(INDEX(PASTE_ALL,$DF227,$L$13)),INDEX(PASTE_ALL,$DF227,$L$13),TRIM(SUBSTITUTE(SUBSTITUTE(SUBSTITUTE(SUBSTITUTE(INDEX(PASTE_ALL,$DF227,$L$13)," "," "),CHAR(9)," "),CHAR(10)," "),CHAR(13)," "))),"")))</f>
        <v/>
      </c>
      <c r="DV227">
        <f>IF($DM227=0,"",IF($L$14=0,"",IFERROR(IF(ISNUMBER(INDEX(PASTE_ALL,$DF227,$L$14)),INDEX(PASTE_ALL,$DF227,$L$14),TRIM(SUBSTITUTE(SUBSTITUTE(SUBSTITUTE(SUBSTITUTE(INDEX(PASTE_ALL,$DF227,$L$14)," "," "),CHAR(9)," "),CHAR(10)," "),CHAR(13)," "))),"")))</f>
        <v/>
      </c>
      <c r="DW227">
        <f>IF($DM227=0,"",IF($L$15=0,"",IFERROR(IF(ISNUMBER(INDEX(PASTE_ALL,$DF227,$L$15)),INDEX(PASTE_ALL,$DF227,$L$15),IF(SUMPRODUCT(--ISNUMBER(FIND({"A","B","C","D","E","F","G","H","I","J","K","L","M","N","O","P","Q","R","S","T","U","V","W","X","Y","Z","0","1","2","3","4","5","6","7","8","9"},UPPER(TRIM(SUBSTITUTE(SUBSTITUTE(SUBSTITUTE(SUBSTITUTE(INDEX(PASTE_ALL,$DF227,$L$15)," "," "),CHAR(9)," "),CHAR(10)," "),CHAR(13)," "))))))&gt;0,TRIM(SUBSTITUTE(SUBSTITUTE(SUBSTITUTE(SUBSTITUTE(INDEX(PASTE_ALL,$DF227,$L$15)," "," "),CHAR(9)," "),CHAR(10)," "),CHAR(13)," ")),"")),"")))</f>
        <v/>
      </c>
      <c r="DX227">
        <f>IF($DM227=0,"",IF($L$16=0,"",IFERROR(IF(ISNUMBER(INDEX(PASTE_ALL,$DF227,$L$16)),INDEX(PASTE_ALL,$DF227,$L$16),SUBSTITUTE(SUBSTITUTE(TRIM(SUBSTITUTE(SUBSTITUTE(SUBSTITUTE(SUBSTITUTE(INDEX(PASTE_ALL,$DF227,$L$16)," "," "),CHAR(9)," "),CHAR(10)," "),CHAR(13)," ")),",",""),"%","")),"")))</f>
        <v/>
      </c>
      <c r="DY227">
        <f>IF($DM227=0,"",IFERROR(IF(ISNUMBER($DX227),$DX227,IF($DX227="","",IF(TRIM($DX227)="",0,IF(AND(AND(SUBSTITUTE(SUBSTITUTE(SUBSTITUTE(SUBSTITUTE(SUBSTITUTE(SUBSTITUTE(SUBSTITUTE(SUBSTITUTE(SUBSTITUTE(SUBSTITUTE(SUBSTITUTE(SUBSTITUTE(SUBSTITUTE(SUBSTITUTE(UPPER(TRIM($DX227)),"0",""),"1",""),"2",""),"3",""),"4",""),"5",""),"6",""),"7",""),"8",""),"9",""),".",""),"+",""),"-",""),"E","")="",LEN(SUBSTITUTE(SUBSTITUTE(MID(UPPER(TRIM($DX227)),1+OR(LEFT(UPPER(TRIM($DX227)),1)="+",LEFT(UPPER(TRIM($DX227)),1)="-"),999),"E+","E"),"E-","E"))=LEN(SUBSTITUTE(SUBSTITUTE(SUBSTITUTE(SUBSTITUTE(MID(UPPER(TRIM($DX227)),1+OR(LEFT(UPPER(TRIM($DX227)),1)="+",LEFT(UPPER(TRIM($DX227)),1)="-"),999),"E+","E"),"E-","E"),"+",""),"-","")),LEN(UPPER(TRIM($DX227)))-LEN(SUBSTITUTE(UPPER(TRIM($DX227)),"E",""))&lt;2,LEN(UPPER(TRIM($DX227)))-LEN(SUBSTITUTE(UPPER(TRIM($DX227)),".",""))&lt;2,IFERROR(FIND(".",UPPER(TRIM($DX227))),0)&lt;IFERROR(FIND("E",UPPER(TRIM($DX227))),999)),ISNUMBER(VALUE(TRIM($DX227)))),VALUE(TRIM($DX227)),"")))),""))</f>
        <v/>
      </c>
      <c r="DZ227">
        <f>IF($DM227=0,"",IF($L$17=0,"",IFERROR(IF(ISNUMBER(INDEX(PASTE_ALL,$DF227,$L$17)),INDEX(PASTE_ALL,$DF227,$L$17),SUBSTITUTE(SUBSTITUTE(TRIM(SUBSTITUTE(SUBSTITUTE(SUBSTITUTE(SUBSTITUTE(INDEX(PASTE_ALL,$DF227,$L$17)," "," "),CHAR(9)," "),CHAR(10)," "),CHAR(13)," ")),",",""),"%","")),"")))</f>
        <v/>
      </c>
      <c r="EA227">
        <f>IF($DM227=0,"",IFERROR(IF(ISNUMBER($DZ227),$DZ227,IF($DZ227="","",IF(TRIM($DZ227)="",0,IF(AND(AND(SUBSTITUTE(SUBSTITUTE(SUBSTITUTE(SUBSTITUTE(SUBSTITUTE(SUBSTITUTE(SUBSTITUTE(SUBSTITUTE(SUBSTITUTE(SUBSTITUTE(SUBSTITUTE(SUBSTITUTE(SUBSTITUTE(SUBSTITUTE(UPPER(TRIM($DZ227)),"0",""),"1",""),"2",""),"3",""),"4",""),"5",""),"6",""),"7",""),"8",""),"9",""),".",""),"+",""),"-",""),"E","")="",LEN(SUBSTITUTE(SUBSTITUTE(MID(UPPER(TRIM($DZ227)),1+OR(LEFT(UPPER(TRIM($DZ227)),1)="+",LEFT(UPPER(TRIM($DZ227)),1)="-"),999),"E+","E"),"E-","E"))=LEN(SUBSTITUTE(SUBSTITUTE(SUBSTITUTE(SUBSTITUTE(MID(UPPER(TRIM($DZ227)),1+OR(LEFT(UPPER(TRIM($DZ227)),1)="+",LEFT(UPPER(TRIM($DZ227)),1)="-"),999),"E+","E"),"E-","E"),"+",""),"-","")),LEN(UPPER(TRIM($DZ227)))-LEN(SUBSTITUTE(UPPER(TRIM($DZ227)),"E",""))&lt;2,LEN(UPPER(TRIM($DZ227)))-LEN(SUBSTITUTE(UPPER(TRIM($DZ227)),".",""))&lt;2,IFERROR(FIND(".",UPPER(TRIM($DZ227))),0)&lt;IFERROR(FIND("E",UPPER(TRIM($DZ227))),999)),ISNUMBER(VALUE(TRIM($DZ227)))),VALUE(TRIM($DZ227)),"")))),""))</f>
        <v/>
      </c>
      <c r="EB227">
        <f>IF($DM227=0,"",IF($L$18=0,"",IFERROR(IF(UPPER(TRIM(SUBSTITUTE(SUBSTITUTE(SUBSTITUTE(SUBSTITUTE(INDEX(PASTE_ALL,$DF227,$L$18)," "," "),CHAR(9)," "),CHAR(10)," "),CHAR(13)," ")))="READY","Ready",IF(UPPER(TRIM(SUBSTITUTE(SUBSTITUTE(SUBSTITUTE(SUBSTITUTE(INDEX(PASTE_ALL,$DF227,$L$18)," "," "),CHAR(9)," "),CHAR(10)," "),CHAR(13)," ")))="PM","PM",IF(OR(UPPER(TRIM(SUBSTITUTE(SUBSTITUTE(SUBSTITUTE(SUBSTITUTE(INDEX(PASTE_ALL,$DF227,$L$18)," "," "),CHAR(9)," "),CHAR(10)," "),CHAR(13)," ")))="OT",UPPER(TRIM(SUBSTITUTE(SUBSTITUTE(SUBSTITUTE(SUBSTITUTE(INDEX(PASTE_ALL,$DF227,$L$18)," "," "),CHAR(9)," "),CHAR(10)," "),CHAR(13)," ")))="OVERTIME",UPPER(TRIM(SUBSTITUTE(SUBSTITUTE(SUBSTITUTE(SUBSTITUTE(INDEX(PASTE_ALL,$DF227,$L$18)," "," "),CHAR(9)," "),CHAR(10)," "),CHAR(13)," ")))="TRIAL"),"OT",TRIM(SUBSTITUTE(SUBSTITUTE(SUBSTITUTE(SUBSTITUTE(INDEX(PASTE_ALL,$DF227,$L$18)," "," "),CHAR(9)," "),CHAR(10)," "),CHAR(13)," "))))),"")))</f>
        <v/>
      </c>
      <c r="EC227">
        <f>IF($DM227=0,"",IF($L$19=0,"",IFERROR(IF(ISNUMBER(INDEX(PASTE_ALL,$DF227,$L$19)),INDEX(PASTE_ALL,$DF227,$L$19),TRIM(SUBSTITUTE(SUBSTITUTE(SUBSTITUTE(SUBSTITUTE(INDEX(PASTE_ALL,$DF227,$L$19)," "," "),CHAR(9)," "),CHAR(10)," "),CHAR(13)," "))),"")))</f>
        <v/>
      </c>
      <c r="ED227">
        <f>IF($DM227=0,"",MATCH(1,INDEX(EXACT($DH$5:DH227,$DH227)*$DM$5:DM227,0),0))</f>
        <v/>
      </c>
      <c r="EE227">
        <f>IF($DM227=0,0,IF($ED227=$DE227,1,0))</f>
        <v/>
      </c>
      <c r="EF227">
        <f>EF226+$EE227</f>
        <v/>
      </c>
      <c r="EG227">
        <f>IF($DM227=0,"",INDEX($EF$5:$EF$1003,$ED227))</f>
        <v/>
      </c>
      <c r="EH227">
        <f>IF($DM227=0,"",IF($DO227&lt;&gt;"","",IFERROR(LOOKUP(2,1/(($EG$4:EG226=$EG227)*($DO$4:DO226&lt;&gt;"")),$DO$4:DO226),"")))</f>
        <v/>
      </c>
      <c r="EI227">
        <f>IF($DM227=0,"",IF($DO227&lt;&gt;"",$DO227,$EH227))</f>
        <v/>
      </c>
      <c r="EJ227">
        <f>IF($DM227=0,"",IF($EI227="",0,IF(OR(ISNUMBER($EI227),AND(AND(SUBSTITUTE(SUBSTITUTE(SUBSTITUTE(SUBSTITUTE(SUBSTITUTE(SUBSTITUTE(SUBSTITUTE(SUBSTITUTE(SUBSTITUTE(SUBSTITUTE(SUBSTITUTE(SUBSTITUTE(SUBSTITUTE(SUBSTITUTE(UPPER($EI227),"0",""),"1",""),"2",""),"3",""),"4",""),"5",""),"6",""),"7",""),"8",""),"9",""),".",""),"+",""),"-",""),"E","")="",LEN(SUBSTITUTE(SUBSTITUTE(MID(UPPER($EI227),1+OR(LEFT(UPPER($EI227),1)="+",LEFT(UPPER($EI227),1)="-"),999),"E+","E"),"E-","E"))=LEN(SUBSTITUTE(SUBSTITUTE(SUBSTITUTE(SUBSTITUTE(MID(UPPER($EI227),1+OR(LEFT(UPPER($EI227),1)="+",LEFT(UPPER($EI227),1)="-"),999),"E+","E"),"E-","E"),"+",""),"-","")),LEN(UPPER($EI227))-LEN(SUBSTITUTE(UPPER($EI227),"E",""))&lt;2,LEN(UPPER($EI227))-LEN(SUBSTITUTE(UPPER($EI227),".",""))&lt;2,IFERROR(FIND(".",UPPER($EI227)),0)&lt;IFERROR(FIND("E",UPPER($EI227)),999)),ISNUMBER(VALUE($EI227)))),1,2)))</f>
        <v/>
      </c>
      <c r="EK227">
        <f>IF($DM227=0,"",IF($EJ227=1,IF(ISNUMBER($EI227),$EI227,VALUE($EI227)),IF($EJ227=2,$DE227,0)))</f>
        <v/>
      </c>
      <c r="EL227">
        <f>IF($DM227=0,"",COUNTIF($EG$5:$EG$1003,"&lt;"&amp;$EG227)+SUMPRODUCT(($EG$5:$EG$1003=$EG227)*(($EJ$5:$EJ$1003&lt;$EJ227)+($EJ$5:$EJ$1003=$EJ227)*(($EK$5:$EK$1003&lt;$EK227)+($EK$5:$EK$1003=$EK227)*($DE$5:$DE$1003&lt;$DE227))))+1)</f>
        <v/>
      </c>
      <c r="EM227">
        <f>IF($DM227=0,"",$EL227+$EG227-1)</f>
        <v/>
      </c>
      <c r="EN227">
        <f>IF($DM227=0,0,IFERROR(MATCH(1,INDEX(--(TRIM(SUBSTITUTE(SUBSTITUTE(SUBSTITUTE(SUBSTITUTE(LINES_NAME&amp;""," "," "),CHAR(9)," "),CHAR(10)," "),CHAR(13)," "))=$DH227),0),0),0))</f>
        <v/>
      </c>
      <c r="EO227">
        <f>IF($EN227=0,0,IF(OR(UPPER(TRIM(INDEX(LINES_SCHEDULED,$EN227)&amp;""))="YES",UPPER(TRIM(INDEX(LINES_SCHEDULED,$EN227)&amp;""))="Y",UPPER(TRIM(INDEX(LINES_SCHEDULED,$EN227)&amp;""))="X"),1,0))</f>
        <v/>
      </c>
      <c r="EP227">
        <f>IF($DM227=0,"",IF(COUNTIFS($EG$5:$EG$1003,$EG227,$EB$5:$EB$1003,"Ready")&gt;0,"READY",IF(COUNTIFS($EG$5:$EG$1003,$EG227,$EB$5:$EB$1003,"PM")&gt;0,"PM",IF(COUNTIFS($EG$5:$EG$1003,$EG227,$EB$5:$EB$1003,"OT")&gt;0,"OT",""))))</f>
        <v/>
      </c>
      <c r="EQ227">
        <f>IF($EN227=0,"",UPPER(TRIM(INDEX(LINES_STATUS,$EN227)&amp;"")))</f>
        <v/>
      </c>
      <c r="ER227">
        <f>IF($DM227=0,"",IF(OR($EQ227="READY",$EQ227="PM",$EQ227="OT"),$EQ227,$EP227))</f>
        <v/>
      </c>
      <c r="ES227">
        <f>IF($DM227=0,"",IF(AND($DV227&lt;&gt;"",UPPER($DV227)&lt;&gt;"N"),"allergen",IF(ISNUMBER(SEARCH("oil",$DQ227)),"oil",IF(OR(EXACT($DS227,"A662"),EXACT($DS227,"A624")),"bulk",""))))</f>
        <v/>
      </c>
      <c r="ET227">
        <f>IF($DM227=0,"",IF(OR($EA227="",$EA227=0),"",$EA227/100))</f>
        <v/>
      </c>
      <c r="EU227">
        <f>IF(OR($ET227="",$DY227=""),"",INT($DY227*(1-$ET227)+0.5))</f>
        <v/>
      </c>
      <c r="EW227" t="n">
        <v>223</v>
      </c>
      <c r="EX227">
        <f>IFERROR(MATCH($EW227,$EM$5:$EM$1003,0),0)</f>
        <v/>
      </c>
      <c r="EY227">
        <f>IF($EW227&gt;$B$12,"",IF($EX227&gt;0,"row","spacer"))</f>
        <v/>
      </c>
      <c r="EZ227">
        <f>IF(AND($EY227="row",$EY226&lt;&gt;"row"),1,0)</f>
        <v/>
      </c>
      <c r="FA227">
        <f>IF(AND($EY227="row",$EY228&lt;&gt;"row"),1,0)</f>
        <v/>
      </c>
      <c r="FB227">
        <f>IF($EZ227=1,IFERROR(IF(ISNUMBER(INDEX(PASTE_ALL,INDEX($DF$5:$DF$1003,$EX227),$B$37)),INDEX(PASTE_ALL,INDEX($DF$5:$DF$1003,$EX227),$B$37),INDEX($DH$5:$DH$1003,$EX227)),INDEX($DH$5:$DH$1003,$EX227)),"")</f>
        <v/>
      </c>
      <c r="FC227">
        <f>IF($EY227="row",INDEX($ER$5:$ER$1003,$EX227),"")</f>
        <v/>
      </c>
      <c r="FD227">
        <f>IF($EY227="row",INDEX($DN$5:$DN$1003,$EX227),"")</f>
        <v/>
      </c>
      <c r="FE227">
        <f>IF($EY227="row",INDEX($DO$5:$DO$1003,$EX227),"")</f>
        <v/>
      </c>
      <c r="FF227">
        <f>IF($EY227="row",INDEX($DP$5:$DP$1003,$EX227),"")</f>
        <v/>
      </c>
      <c r="FG227">
        <f>IF($EY227="row",INDEX($DQ$5:$DQ$1003,$EX227),"")</f>
        <v/>
      </c>
      <c r="FH227">
        <f>IF($EY227="row",INDEX($DR$5:$DR$1003,$EX227),"")</f>
        <v/>
      </c>
      <c r="FI227">
        <f>IF($EY227="row",INDEX($DS$5:$DS$1003,$EX227),"")</f>
        <v/>
      </c>
      <c r="FJ227">
        <f>IF($EY227="row",INDEX($DT$5:$DT$1003,$EX227),"")</f>
        <v/>
      </c>
      <c r="FK227">
        <f>IF($EY227="row",INDEX($DU$5:$DU$1003,$EX227),"")</f>
        <v/>
      </c>
      <c r="FL227">
        <f>IF($EY227="row",INDEX($DV$5:$DV$1003,$EX227),"")</f>
        <v/>
      </c>
      <c r="FM227">
        <f>IF($EY227="row",INDEX($DW$5:$DW$1003,$EX227),"")</f>
        <v/>
      </c>
      <c r="FN227">
        <f>IF($EY227="row",INDEX($DY$5:$DY$1003,$EX227),"")</f>
        <v/>
      </c>
      <c r="FO227">
        <f>IF($EY227="row",INDEX($EA$5:$EA$1003,$EX227),"")</f>
        <v/>
      </c>
      <c r="FP227">
        <f>IF($EY227="row",INDEX($EC$5:$EC$1003,$EX227),"")</f>
        <v/>
      </c>
      <c r="FQ227">
        <f>IF($EY227="row",INDEX($ET$5:$ET$1003,$EX227),"")</f>
        <v/>
      </c>
      <c r="FR227">
        <f>IF($EY227="row",INDEX($EU$5:$EU$1003,$EX227),"")</f>
        <v/>
      </c>
      <c r="FS227">
        <f>IF(AND($EY227="row",$EY226="row"),IF(OR(INDEX($DT$5:$DT$1003,$EX226)="",INDEX($DT$5:$DT$1003,$EX227)=""),"",IF(NOT(EXACT(INDEX($DT$5:$DT$1003,$EX226),INDEX($DT$5:$DT$1003,$EX227))),"S4",IF(NOT(EXACT(INDEX($DS$5:$DS$1003,$EX226),INDEX($DS$5:$DS$1003,$EX227))),"S3",IF(NOT(EXACT(INDEX($DR$5:$DR$1003,$EX226),INDEX($DR$5:$DR$1003,$EX227))),"S1 Count Change","S1")))),"")</f>
        <v/>
      </c>
      <c r="FT227">
        <f>IF($EY227="row",INDEX($ES$5:$ES$1003,$EX227),"")</f>
        <v/>
      </c>
      <c r="FU227">
        <f>IF($EY227="row",INDEX($EO$5:$EO$1003,$EX227),0)</f>
        <v/>
      </c>
      <c r="FV227">
        <f>IF($FS227="S1 Count Change",1,0)</f>
        <v/>
      </c>
    </row>
    <row r="228">
      <c r="DA228" t="n">
        <v>224</v>
      </c>
      <c r="DB228">
        <f>IF($B$37=0,"",IFERROR(TRIM(SUBSTITUTE(SUBSTITUTE(SUBSTITUTE(SUBSTITUTE(INDEX(PASTE_ALL,224,$B$37)," "," "),CHAR(9)," "),CHAR(10)," "),CHAR(13)," ")),""))</f>
        <v/>
      </c>
      <c r="DC228">
        <f>IF(AND(224&gt;HEADER_ROW,UPPER(DB228)="LEGEND"),1,0)</f>
        <v/>
      </c>
      <c r="DE228" t="n">
        <v>224</v>
      </c>
      <c r="DF228">
        <f>HEADER_ROW+$DE228</f>
        <v/>
      </c>
      <c r="DG228">
        <f>IF(AND($DF228&lt;=1000,$DF228&lt;$B$8),1,0)</f>
        <v/>
      </c>
      <c r="DH228">
        <f>IF($DG228=1,IFERROR(INDEX($DB$5:$DB$1004,$DF228),""),"")</f>
        <v/>
      </c>
      <c r="DI228">
        <f>IF(AND($DG228=1,$DH228&lt;&gt;""),IFERROR(SUBSTITUTE(SUBSTITUTE(TRIM(SUBSTITUTE(SUBSTITUTE(SUBSTITUTE(SUBSTITUTE(IFERROR(INDEX(PASTE_ALL,$DF228,1)&amp;"","")&amp;"␟"&amp;IFERROR(INDEX(PASTE_ALL,$DF228,2)&amp;"","")&amp;"␟"&amp;IFERROR(INDEX(PASTE_ALL,$DF228,3)&amp;"","")&amp;"␟"&amp;IFERROR(INDEX(PASTE_ALL,$DF228,4)&amp;"","")&amp;"␟"&amp;IFERROR(INDEX(PASTE_ALL,$DF228,5)&amp;"","")&amp;"␟"&amp;IFERROR(INDEX(PASTE_ALL,$DF228,6)&amp;"","")&amp;"␟"&amp;IFERROR(INDEX(PASTE_ALL,$DF228,7)&amp;"","")&amp;"␟"&amp;IFERROR(INDEX(PASTE_ALL,$DF228,8)&amp;"","")&amp;"␟"&amp;IFERROR(INDEX(PASTE_ALL,$DF228,9)&amp;"","")&amp;"␟"&amp;IFERROR(INDEX(PASTE_ALL,$DF228,10)&amp;"","")&amp;"␟"&amp;IFERROR(INDEX(PASTE_ALL,$DF228,11)&amp;"","")&amp;"␟"&amp;IFERROR(INDEX(PASTE_ALL,$DF228,12)&amp;"","")&amp;"␟"&amp;IFERROR(INDEX(PASTE_ALL,$DF228,13)&amp;"","")&amp;"␟"&amp;IFERROR(INDEX(PASTE_ALL,$DF228,14)&amp;"","")&amp;"␟"&amp;IFERROR(INDEX(PASTE_ALL,$DF228,15)&amp;"","")&amp;"␟"&amp;IFERROR(INDEX(PASTE_ALL,$DF228,16)&amp;"","")&amp;"␟"&amp;IFERROR(INDEX(PASTE_ALL,$DF228,17)&amp;"","")&amp;"␟"&amp;IFERROR(INDEX(PASTE_ALL,$DF228,18)&amp;"","")&amp;"␟"&amp;IFERROR(INDEX(PASTE_ALL,$DF228,19)&amp;"","")&amp;"␟"&amp;IFERROR(INDEX(PASTE_ALL,$DF228,20)&amp;"","")&amp;"␟"&amp;IFERROR(INDEX(PASTE_ALL,$DF228,21)&amp;"","")&amp;"␟"&amp;IFERROR(INDEX(PASTE_ALL,$DF228,22)&amp;"","")&amp;"␟"&amp;IFERROR(INDEX(PASTE_ALL,$DF228,23)&amp;"","")&amp;"␟"&amp;IFERROR(INDEX(PASTE_ALL,$DF228,24)&amp;"","")&amp;"␟"&amp;IFERROR(INDEX(PASTE_ALL,$DF228,25)&amp;"","")&amp;"␟"&amp;IFERROR(INDEX(PASTE_ALL,$DF228,26)&amp;"","")&amp;"␟"&amp;IFERROR(INDEX(PASTE_ALL,$DF228,27)&amp;"","")&amp;"␟"&amp;IFERROR(INDEX(PASTE_ALL,$DF228,28)&amp;"","")&amp;"␟"&amp;IFERROR(INDEX(PASTE_ALL,$DF228,29)&amp;"","")&amp;"␟"&amp;IFERROR(INDEX(PASTE_ALL,$DF228,30)&amp;"","")&amp;"␟"&amp;IFERROR(INDEX(PASTE_ALL,$DF228,31)&amp;"","")&amp;"␟"&amp;IFERROR(INDEX(PASTE_ALL,$DF228,32)&amp;"","")&amp;"␟"&amp;IFERROR(INDEX(PASTE_ALL,$DF228,33)&amp;"","")&amp;"␟"&amp;IFERROR(INDEX(PASTE_ALL,$DF228,34)&amp;"","")&amp;"␟"&amp;IFERROR(INDEX(PASTE_ALL,$DF228,35)&amp;"","")&amp;"␟"&amp;IFERROR(INDEX(PASTE_ALL,$DF228,36)&amp;"","")&amp;"␟"&amp;IFERROR(INDEX(PASTE_ALL,$DF228,37)&amp;"","")&amp;"␟"&amp;IFERROR(INDEX(PASTE_ALL,$DF228,38)&amp;"","")&amp;"␟"&amp;IFERROR(INDEX(PASTE_ALL,$DF228,39)&amp;"","")&amp;"␟"&amp;IFERROR(INDEX(PASTE_ALL,$DF228,40)&amp;"","")&amp;"␟"&amp;IFERROR(INDEX(PASTE_ALL,$DF228,41)&amp;"","")&amp;"␟"&amp;IFERROR(INDEX(PASTE_ALL,$DF228,42)&amp;"","")&amp;"␟"&amp;IFERROR(INDEX(PASTE_ALL,$DF228,43)&amp;"","")&amp;"␟"&amp;IFERROR(INDEX(PASTE_ALL,$DF228,44)&amp;"","")&amp;"␟"&amp;IFERROR(INDEX(PASTE_ALL,$DF228,45)&amp;"","")&amp;"␟"&amp;IFERROR(INDEX(PASTE_ALL,$DF228,46)&amp;"","")&amp;"␟"&amp;IFERROR(INDEX(PASTE_ALL,$DF228,47)&amp;"","")&amp;"␟"&amp;IFERROR(INDEX(PASTE_ALL,$DF228,48)&amp;"","")&amp;"␟"&amp;IFERROR(INDEX(PASTE_ALL,$DF228,49)&amp;"","")&amp;"␟"&amp;IFERROR(INDEX(PASTE_ALL,$DF228,50)&amp;"","")&amp;"␟"&amp;IFERROR(INDEX(PASTE_ALL,$DF228,51)&amp;"","")&amp;"␟"&amp;IFERROR(INDEX(PASTE_ALL,$DF228,52)&amp;"","")&amp;"␟"&amp;IFERROR(INDEX(PASTE_ALL,$DF228,53)&amp;"","")&amp;"␟"&amp;IFERROR(INDEX(PASTE_ALL,$DF228,54)&amp;"","")&amp;"␟"&amp;IFERROR(INDEX(PASTE_ALL,$DF228,55)&amp;"","")&amp;"␟"&amp;IFERROR(INDEX(PASTE_ALL,$DF228,56)&amp;"","")&amp;"␟"&amp;IFERROR(INDEX(PASTE_ALL,$DF228,57)&amp;"","")&amp;"␟"&amp;IFERROR(INDEX(PASTE_ALL,$DF228,58)&amp;"","")&amp;"␟"&amp;IFERROR(INDEX(PASTE_ALL,$DF228,59)&amp;"","")&amp;"␟"&amp;IFERROR(INDEX(PASTE_ALL,$DF228,60)&amp;"","")," "," "),CHAR(9)," "),CHAR(10)," "),CHAR(13)," "))," ␟","␟"),"␟ ","␟"),"#"&amp;$DE228),"")</f>
        <v/>
      </c>
      <c r="DJ228">
        <f>IF($DI228="",0,IF(SUMPRODUCT(--EXACT($DI$4:DI227,$DI228))&gt;0,1,0))</f>
        <v/>
      </c>
      <c r="DK228">
        <f>IF(AND($DI228&lt;&gt;"",$DJ228=0),1,0)</f>
        <v/>
      </c>
      <c r="DL228">
        <f>DL227+$DK228</f>
        <v/>
      </c>
      <c r="DM228">
        <f>IF(AND($DK228=1,$DL228&lt;=600),1,0)</f>
        <v/>
      </c>
      <c r="DN228">
        <f>IF($DM228=0,"",IF($L$6=0,"",IFERROR(IF(ISNUMBER(INDEX(PASTE_ALL,$DF228,$L$6)),INDEX(PASTE_ALL,$DF228,$L$6),TRIM(SUBSTITUTE(SUBSTITUTE(SUBSTITUTE(SUBSTITUTE(INDEX(PASTE_ALL,$DF228,$L$6)," "," "),CHAR(9)," "),CHAR(10)," "),CHAR(13)," "))),"")))</f>
        <v/>
      </c>
      <c r="DO228">
        <f>IF($DM228=0,"",IF($L$7=0,"",IFERROR(IF(ISNUMBER(INDEX(PASTE_ALL,$DF228,$L$7)),INDEX(PASTE_ALL,$DF228,$L$7),TRIM(SUBSTITUTE(SUBSTITUTE(SUBSTITUTE(SUBSTITUTE(INDEX(PASTE_ALL,$DF228,$L$7)," "," "),CHAR(9)," "),CHAR(10)," "),CHAR(13)," "))),"")))</f>
        <v/>
      </c>
      <c r="DP228">
        <f>IF($DM228=0,"",IF($L$8=0,"",IFERROR(IF(ISNUMBER(INDEX(PASTE_ALL,$DF228,$L$8)),INDEX(PASTE_ALL,$DF228,$L$8),TRIM(SUBSTITUTE(SUBSTITUTE(SUBSTITUTE(SUBSTITUTE(INDEX(PASTE_ALL,$DF228,$L$8)," "," "),CHAR(9)," "),CHAR(10)," "),CHAR(13)," "))),"")))</f>
        <v/>
      </c>
      <c r="DQ228">
        <f>IF($DM228=0,"",IF($L$9=0,"",IFERROR(IF(ISNUMBER(INDEX(PASTE_ALL,$DF228,$L$9)),INDEX(PASTE_ALL,$DF228,$L$9),TRIM(SUBSTITUTE(SUBSTITUTE(SUBSTITUTE(SUBSTITUTE(INDEX(PASTE_ALL,$DF228,$L$9)," "," "),CHAR(9)," "),CHAR(10)," "),CHAR(13)," "))),"")))</f>
        <v/>
      </c>
      <c r="DR228">
        <f>IF($DM228=0,"",IF($L$10=0,"",IFERROR(IF(ISNUMBER(INDEX(PASTE_ALL,$DF228,$L$10)),INDEX(PASTE_ALL,$DF228,$L$10),TRIM(SUBSTITUTE(SUBSTITUTE(SUBSTITUTE(SUBSTITUTE(INDEX(PASTE_ALL,$DF228,$L$10)," "," "),CHAR(9)," "),CHAR(10)," "),CHAR(13)," "))),"")))</f>
        <v/>
      </c>
      <c r="DS228">
        <f>IF($DM228=0,"",IF($L$11=0,"",IFERROR(IF(ISNUMBER(INDEX(PASTE_ALL,$DF228,$L$11)),INDEX(PASTE_ALL,$DF228,$L$11),TRIM(SUBSTITUTE(SUBSTITUTE(SUBSTITUTE(SUBSTITUTE(INDEX(PASTE_ALL,$DF228,$L$11)," "," "),CHAR(9)," "),CHAR(10)," "),CHAR(13)," "))),"")))</f>
        <v/>
      </c>
      <c r="DT228">
        <f>IF($DM228=0,"",IF($L$12=0,"",IFERROR(IF(ISNUMBER(INDEX(PASTE_ALL,$DF228,$L$12)),INDEX(PASTE_ALL,$DF228,$L$12),TRIM(SUBSTITUTE(SUBSTITUTE(SUBSTITUTE(SUBSTITUTE(INDEX(PASTE_ALL,$DF228,$L$12)," "," "),CHAR(9)," "),CHAR(10)," "),CHAR(13)," "))),"")))</f>
        <v/>
      </c>
      <c r="DU228">
        <f>IF($DM228=0,"",IF($L$13=0,"",IFERROR(IF(ISNUMBER(INDEX(PASTE_ALL,$DF228,$L$13)),INDEX(PASTE_ALL,$DF228,$L$13),TRIM(SUBSTITUTE(SUBSTITUTE(SUBSTITUTE(SUBSTITUTE(INDEX(PASTE_ALL,$DF228,$L$13)," "," "),CHAR(9)," "),CHAR(10)," "),CHAR(13)," "))),"")))</f>
        <v/>
      </c>
      <c r="DV228">
        <f>IF($DM228=0,"",IF($L$14=0,"",IFERROR(IF(ISNUMBER(INDEX(PASTE_ALL,$DF228,$L$14)),INDEX(PASTE_ALL,$DF228,$L$14),TRIM(SUBSTITUTE(SUBSTITUTE(SUBSTITUTE(SUBSTITUTE(INDEX(PASTE_ALL,$DF228,$L$14)," "," "),CHAR(9)," "),CHAR(10)," "),CHAR(13)," "))),"")))</f>
        <v/>
      </c>
      <c r="DW228">
        <f>IF($DM228=0,"",IF($L$15=0,"",IFERROR(IF(ISNUMBER(INDEX(PASTE_ALL,$DF228,$L$15)),INDEX(PASTE_ALL,$DF228,$L$15),IF(SUMPRODUCT(--ISNUMBER(FIND({"A","B","C","D","E","F","G","H","I","J","K","L","M","N","O","P","Q","R","S","T","U","V","W","X","Y","Z","0","1","2","3","4","5","6","7","8","9"},UPPER(TRIM(SUBSTITUTE(SUBSTITUTE(SUBSTITUTE(SUBSTITUTE(INDEX(PASTE_ALL,$DF228,$L$15)," "," "),CHAR(9)," "),CHAR(10)," "),CHAR(13)," "))))))&gt;0,TRIM(SUBSTITUTE(SUBSTITUTE(SUBSTITUTE(SUBSTITUTE(INDEX(PASTE_ALL,$DF228,$L$15)," "," "),CHAR(9)," "),CHAR(10)," "),CHAR(13)," ")),"")),"")))</f>
        <v/>
      </c>
      <c r="DX228">
        <f>IF($DM228=0,"",IF($L$16=0,"",IFERROR(IF(ISNUMBER(INDEX(PASTE_ALL,$DF228,$L$16)),INDEX(PASTE_ALL,$DF228,$L$16),SUBSTITUTE(SUBSTITUTE(TRIM(SUBSTITUTE(SUBSTITUTE(SUBSTITUTE(SUBSTITUTE(INDEX(PASTE_ALL,$DF228,$L$16)," "," "),CHAR(9)," "),CHAR(10)," "),CHAR(13)," ")),",",""),"%","")),"")))</f>
        <v/>
      </c>
      <c r="DY228">
        <f>IF($DM228=0,"",IFERROR(IF(ISNUMBER($DX228),$DX228,IF($DX228="","",IF(TRIM($DX228)="",0,IF(AND(AND(SUBSTITUTE(SUBSTITUTE(SUBSTITUTE(SUBSTITUTE(SUBSTITUTE(SUBSTITUTE(SUBSTITUTE(SUBSTITUTE(SUBSTITUTE(SUBSTITUTE(SUBSTITUTE(SUBSTITUTE(SUBSTITUTE(SUBSTITUTE(UPPER(TRIM($DX228)),"0",""),"1",""),"2",""),"3",""),"4",""),"5",""),"6",""),"7",""),"8",""),"9",""),".",""),"+",""),"-",""),"E","")="",LEN(SUBSTITUTE(SUBSTITUTE(MID(UPPER(TRIM($DX228)),1+OR(LEFT(UPPER(TRIM($DX228)),1)="+",LEFT(UPPER(TRIM($DX228)),1)="-"),999),"E+","E"),"E-","E"))=LEN(SUBSTITUTE(SUBSTITUTE(SUBSTITUTE(SUBSTITUTE(MID(UPPER(TRIM($DX228)),1+OR(LEFT(UPPER(TRIM($DX228)),1)="+",LEFT(UPPER(TRIM($DX228)),1)="-"),999),"E+","E"),"E-","E"),"+",""),"-","")),LEN(UPPER(TRIM($DX228)))-LEN(SUBSTITUTE(UPPER(TRIM($DX228)),"E",""))&lt;2,LEN(UPPER(TRIM($DX228)))-LEN(SUBSTITUTE(UPPER(TRIM($DX228)),".",""))&lt;2,IFERROR(FIND(".",UPPER(TRIM($DX228))),0)&lt;IFERROR(FIND("E",UPPER(TRIM($DX228))),999)),ISNUMBER(VALUE(TRIM($DX228)))),VALUE(TRIM($DX228)),"")))),""))</f>
        <v/>
      </c>
      <c r="DZ228">
        <f>IF($DM228=0,"",IF($L$17=0,"",IFERROR(IF(ISNUMBER(INDEX(PASTE_ALL,$DF228,$L$17)),INDEX(PASTE_ALL,$DF228,$L$17),SUBSTITUTE(SUBSTITUTE(TRIM(SUBSTITUTE(SUBSTITUTE(SUBSTITUTE(SUBSTITUTE(INDEX(PASTE_ALL,$DF228,$L$17)," "," "),CHAR(9)," "),CHAR(10)," "),CHAR(13)," ")),",",""),"%","")),"")))</f>
        <v/>
      </c>
      <c r="EA228">
        <f>IF($DM228=0,"",IFERROR(IF(ISNUMBER($DZ228),$DZ228,IF($DZ228="","",IF(TRIM($DZ228)="",0,IF(AND(AND(SUBSTITUTE(SUBSTITUTE(SUBSTITUTE(SUBSTITUTE(SUBSTITUTE(SUBSTITUTE(SUBSTITUTE(SUBSTITUTE(SUBSTITUTE(SUBSTITUTE(SUBSTITUTE(SUBSTITUTE(SUBSTITUTE(SUBSTITUTE(UPPER(TRIM($DZ228)),"0",""),"1",""),"2",""),"3",""),"4",""),"5",""),"6",""),"7",""),"8",""),"9",""),".",""),"+",""),"-",""),"E","")="",LEN(SUBSTITUTE(SUBSTITUTE(MID(UPPER(TRIM($DZ228)),1+OR(LEFT(UPPER(TRIM($DZ228)),1)="+",LEFT(UPPER(TRIM($DZ228)),1)="-"),999),"E+","E"),"E-","E"))=LEN(SUBSTITUTE(SUBSTITUTE(SUBSTITUTE(SUBSTITUTE(MID(UPPER(TRIM($DZ228)),1+OR(LEFT(UPPER(TRIM($DZ228)),1)="+",LEFT(UPPER(TRIM($DZ228)),1)="-"),999),"E+","E"),"E-","E"),"+",""),"-","")),LEN(UPPER(TRIM($DZ228)))-LEN(SUBSTITUTE(UPPER(TRIM($DZ228)),"E",""))&lt;2,LEN(UPPER(TRIM($DZ228)))-LEN(SUBSTITUTE(UPPER(TRIM($DZ228)),".",""))&lt;2,IFERROR(FIND(".",UPPER(TRIM($DZ228))),0)&lt;IFERROR(FIND("E",UPPER(TRIM($DZ228))),999)),ISNUMBER(VALUE(TRIM($DZ228)))),VALUE(TRIM($DZ228)),"")))),""))</f>
        <v/>
      </c>
      <c r="EB228">
        <f>IF($DM228=0,"",IF($L$18=0,"",IFERROR(IF(UPPER(TRIM(SUBSTITUTE(SUBSTITUTE(SUBSTITUTE(SUBSTITUTE(INDEX(PASTE_ALL,$DF228,$L$18)," "," "),CHAR(9)," "),CHAR(10)," "),CHAR(13)," ")))="READY","Ready",IF(UPPER(TRIM(SUBSTITUTE(SUBSTITUTE(SUBSTITUTE(SUBSTITUTE(INDEX(PASTE_ALL,$DF228,$L$18)," "," "),CHAR(9)," "),CHAR(10)," "),CHAR(13)," ")))="PM","PM",IF(OR(UPPER(TRIM(SUBSTITUTE(SUBSTITUTE(SUBSTITUTE(SUBSTITUTE(INDEX(PASTE_ALL,$DF228,$L$18)," "," "),CHAR(9)," "),CHAR(10)," "),CHAR(13)," ")))="OT",UPPER(TRIM(SUBSTITUTE(SUBSTITUTE(SUBSTITUTE(SUBSTITUTE(INDEX(PASTE_ALL,$DF228,$L$18)," "," "),CHAR(9)," "),CHAR(10)," "),CHAR(13)," ")))="OVERTIME",UPPER(TRIM(SUBSTITUTE(SUBSTITUTE(SUBSTITUTE(SUBSTITUTE(INDEX(PASTE_ALL,$DF228,$L$18)," "," "),CHAR(9)," "),CHAR(10)," "),CHAR(13)," ")))="TRIAL"),"OT",TRIM(SUBSTITUTE(SUBSTITUTE(SUBSTITUTE(SUBSTITUTE(INDEX(PASTE_ALL,$DF228,$L$18)," "," "),CHAR(9)," "),CHAR(10)," "),CHAR(13)," "))))),"")))</f>
        <v/>
      </c>
      <c r="EC228">
        <f>IF($DM228=0,"",IF($L$19=0,"",IFERROR(IF(ISNUMBER(INDEX(PASTE_ALL,$DF228,$L$19)),INDEX(PASTE_ALL,$DF228,$L$19),TRIM(SUBSTITUTE(SUBSTITUTE(SUBSTITUTE(SUBSTITUTE(INDEX(PASTE_ALL,$DF228,$L$19)," "," "),CHAR(9)," "),CHAR(10)," "),CHAR(13)," "))),"")))</f>
        <v/>
      </c>
      <c r="ED228">
        <f>IF($DM228=0,"",MATCH(1,INDEX(EXACT($DH$5:DH228,$DH228)*$DM$5:DM228,0),0))</f>
        <v/>
      </c>
      <c r="EE228">
        <f>IF($DM228=0,0,IF($ED228=$DE228,1,0))</f>
        <v/>
      </c>
      <c r="EF228">
        <f>EF227+$EE228</f>
        <v/>
      </c>
      <c r="EG228">
        <f>IF($DM228=0,"",INDEX($EF$5:$EF$1003,$ED228))</f>
        <v/>
      </c>
      <c r="EH228">
        <f>IF($DM228=0,"",IF($DO228&lt;&gt;"","",IFERROR(LOOKUP(2,1/(($EG$4:EG227=$EG228)*($DO$4:DO227&lt;&gt;"")),$DO$4:DO227),"")))</f>
        <v/>
      </c>
      <c r="EI228">
        <f>IF($DM228=0,"",IF($DO228&lt;&gt;"",$DO228,$EH228))</f>
        <v/>
      </c>
      <c r="EJ228">
        <f>IF($DM228=0,"",IF($EI228="",0,IF(OR(ISNUMBER($EI228),AND(AND(SUBSTITUTE(SUBSTITUTE(SUBSTITUTE(SUBSTITUTE(SUBSTITUTE(SUBSTITUTE(SUBSTITUTE(SUBSTITUTE(SUBSTITUTE(SUBSTITUTE(SUBSTITUTE(SUBSTITUTE(SUBSTITUTE(SUBSTITUTE(UPPER($EI228),"0",""),"1",""),"2",""),"3",""),"4",""),"5",""),"6",""),"7",""),"8",""),"9",""),".",""),"+",""),"-",""),"E","")="",LEN(SUBSTITUTE(SUBSTITUTE(MID(UPPER($EI228),1+OR(LEFT(UPPER($EI228),1)="+",LEFT(UPPER($EI228),1)="-"),999),"E+","E"),"E-","E"))=LEN(SUBSTITUTE(SUBSTITUTE(SUBSTITUTE(SUBSTITUTE(MID(UPPER($EI228),1+OR(LEFT(UPPER($EI228),1)="+",LEFT(UPPER($EI228),1)="-"),999),"E+","E"),"E-","E"),"+",""),"-","")),LEN(UPPER($EI228))-LEN(SUBSTITUTE(UPPER($EI228),"E",""))&lt;2,LEN(UPPER($EI228))-LEN(SUBSTITUTE(UPPER($EI228),".",""))&lt;2,IFERROR(FIND(".",UPPER($EI228)),0)&lt;IFERROR(FIND("E",UPPER($EI228)),999)),ISNUMBER(VALUE($EI228)))),1,2)))</f>
        <v/>
      </c>
      <c r="EK228">
        <f>IF($DM228=0,"",IF($EJ228=1,IF(ISNUMBER($EI228),$EI228,VALUE($EI228)),IF($EJ228=2,$DE228,0)))</f>
        <v/>
      </c>
      <c r="EL228">
        <f>IF($DM228=0,"",COUNTIF($EG$5:$EG$1003,"&lt;"&amp;$EG228)+SUMPRODUCT(($EG$5:$EG$1003=$EG228)*(($EJ$5:$EJ$1003&lt;$EJ228)+($EJ$5:$EJ$1003=$EJ228)*(($EK$5:$EK$1003&lt;$EK228)+($EK$5:$EK$1003=$EK228)*($DE$5:$DE$1003&lt;$DE228))))+1)</f>
        <v/>
      </c>
      <c r="EM228">
        <f>IF($DM228=0,"",$EL228+$EG228-1)</f>
        <v/>
      </c>
      <c r="EN228">
        <f>IF($DM228=0,0,IFERROR(MATCH(1,INDEX(--(TRIM(SUBSTITUTE(SUBSTITUTE(SUBSTITUTE(SUBSTITUTE(LINES_NAME&amp;""," "," "),CHAR(9)," "),CHAR(10)," "),CHAR(13)," "))=$DH228),0),0),0))</f>
        <v/>
      </c>
      <c r="EO228">
        <f>IF($EN228=0,0,IF(OR(UPPER(TRIM(INDEX(LINES_SCHEDULED,$EN228)&amp;""))="YES",UPPER(TRIM(INDEX(LINES_SCHEDULED,$EN228)&amp;""))="Y",UPPER(TRIM(INDEX(LINES_SCHEDULED,$EN228)&amp;""))="X"),1,0))</f>
        <v/>
      </c>
      <c r="EP228">
        <f>IF($DM228=0,"",IF(COUNTIFS($EG$5:$EG$1003,$EG228,$EB$5:$EB$1003,"Ready")&gt;0,"READY",IF(COUNTIFS($EG$5:$EG$1003,$EG228,$EB$5:$EB$1003,"PM")&gt;0,"PM",IF(COUNTIFS($EG$5:$EG$1003,$EG228,$EB$5:$EB$1003,"OT")&gt;0,"OT",""))))</f>
        <v/>
      </c>
      <c r="EQ228">
        <f>IF($EN228=0,"",UPPER(TRIM(INDEX(LINES_STATUS,$EN228)&amp;"")))</f>
        <v/>
      </c>
      <c r="ER228">
        <f>IF($DM228=0,"",IF(OR($EQ228="READY",$EQ228="PM",$EQ228="OT"),$EQ228,$EP228))</f>
        <v/>
      </c>
      <c r="ES228">
        <f>IF($DM228=0,"",IF(AND($DV228&lt;&gt;"",UPPER($DV228)&lt;&gt;"N"),"allergen",IF(ISNUMBER(SEARCH("oil",$DQ228)),"oil",IF(OR(EXACT($DS228,"A662"),EXACT($DS228,"A624")),"bulk",""))))</f>
        <v/>
      </c>
      <c r="ET228">
        <f>IF($DM228=0,"",IF(OR($EA228="",$EA228=0),"",$EA228/100))</f>
        <v/>
      </c>
      <c r="EU228">
        <f>IF(OR($ET228="",$DY228=""),"",INT($DY228*(1-$ET228)+0.5))</f>
        <v/>
      </c>
      <c r="EW228" t="n">
        <v>224</v>
      </c>
      <c r="EX228">
        <f>IFERROR(MATCH($EW228,$EM$5:$EM$1003,0),0)</f>
        <v/>
      </c>
      <c r="EY228">
        <f>IF($EW228&gt;$B$12,"",IF($EX228&gt;0,"row","spacer"))</f>
        <v/>
      </c>
      <c r="EZ228">
        <f>IF(AND($EY228="row",$EY227&lt;&gt;"row"),1,0)</f>
        <v/>
      </c>
      <c r="FA228">
        <f>IF(AND($EY228="row",$EY229&lt;&gt;"row"),1,0)</f>
        <v/>
      </c>
      <c r="FB228">
        <f>IF($EZ228=1,IFERROR(IF(ISNUMBER(INDEX(PASTE_ALL,INDEX($DF$5:$DF$1003,$EX228),$B$37)),INDEX(PASTE_ALL,INDEX($DF$5:$DF$1003,$EX228),$B$37),INDEX($DH$5:$DH$1003,$EX228)),INDEX($DH$5:$DH$1003,$EX228)),"")</f>
        <v/>
      </c>
      <c r="FC228">
        <f>IF($EY228="row",INDEX($ER$5:$ER$1003,$EX228),"")</f>
        <v/>
      </c>
      <c r="FD228">
        <f>IF($EY228="row",INDEX($DN$5:$DN$1003,$EX228),"")</f>
        <v/>
      </c>
      <c r="FE228">
        <f>IF($EY228="row",INDEX($DO$5:$DO$1003,$EX228),"")</f>
        <v/>
      </c>
      <c r="FF228">
        <f>IF($EY228="row",INDEX($DP$5:$DP$1003,$EX228),"")</f>
        <v/>
      </c>
      <c r="FG228">
        <f>IF($EY228="row",INDEX($DQ$5:$DQ$1003,$EX228),"")</f>
        <v/>
      </c>
      <c r="FH228">
        <f>IF($EY228="row",INDEX($DR$5:$DR$1003,$EX228),"")</f>
        <v/>
      </c>
      <c r="FI228">
        <f>IF($EY228="row",INDEX($DS$5:$DS$1003,$EX228),"")</f>
        <v/>
      </c>
      <c r="FJ228">
        <f>IF($EY228="row",INDEX($DT$5:$DT$1003,$EX228),"")</f>
        <v/>
      </c>
      <c r="FK228">
        <f>IF($EY228="row",INDEX($DU$5:$DU$1003,$EX228),"")</f>
        <v/>
      </c>
      <c r="FL228">
        <f>IF($EY228="row",INDEX($DV$5:$DV$1003,$EX228),"")</f>
        <v/>
      </c>
      <c r="FM228">
        <f>IF($EY228="row",INDEX($DW$5:$DW$1003,$EX228),"")</f>
        <v/>
      </c>
      <c r="FN228">
        <f>IF($EY228="row",INDEX($DY$5:$DY$1003,$EX228),"")</f>
        <v/>
      </c>
      <c r="FO228">
        <f>IF($EY228="row",INDEX($EA$5:$EA$1003,$EX228),"")</f>
        <v/>
      </c>
      <c r="FP228">
        <f>IF($EY228="row",INDEX($EC$5:$EC$1003,$EX228),"")</f>
        <v/>
      </c>
      <c r="FQ228">
        <f>IF($EY228="row",INDEX($ET$5:$ET$1003,$EX228),"")</f>
        <v/>
      </c>
      <c r="FR228">
        <f>IF($EY228="row",INDEX($EU$5:$EU$1003,$EX228),"")</f>
        <v/>
      </c>
      <c r="FS228">
        <f>IF(AND($EY228="row",$EY227="row"),IF(OR(INDEX($DT$5:$DT$1003,$EX227)="",INDEX($DT$5:$DT$1003,$EX228)=""),"",IF(NOT(EXACT(INDEX($DT$5:$DT$1003,$EX227),INDEX($DT$5:$DT$1003,$EX228))),"S4",IF(NOT(EXACT(INDEX($DS$5:$DS$1003,$EX227),INDEX($DS$5:$DS$1003,$EX228))),"S3",IF(NOT(EXACT(INDEX($DR$5:$DR$1003,$EX227),INDEX($DR$5:$DR$1003,$EX228))),"S1 Count Change","S1")))),"")</f>
        <v/>
      </c>
      <c r="FT228">
        <f>IF($EY228="row",INDEX($ES$5:$ES$1003,$EX228),"")</f>
        <v/>
      </c>
      <c r="FU228">
        <f>IF($EY228="row",INDEX($EO$5:$EO$1003,$EX228),0)</f>
        <v/>
      </c>
      <c r="FV228">
        <f>IF($FS228="S1 Count Change",1,0)</f>
        <v/>
      </c>
    </row>
    <row r="229">
      <c r="DA229" t="n">
        <v>225</v>
      </c>
      <c r="DB229">
        <f>IF($B$37=0,"",IFERROR(TRIM(SUBSTITUTE(SUBSTITUTE(SUBSTITUTE(SUBSTITUTE(INDEX(PASTE_ALL,225,$B$37)," "," "),CHAR(9)," "),CHAR(10)," "),CHAR(13)," ")),""))</f>
        <v/>
      </c>
      <c r="DC229">
        <f>IF(AND(225&gt;HEADER_ROW,UPPER(DB229)="LEGEND"),1,0)</f>
        <v/>
      </c>
      <c r="DE229" t="n">
        <v>225</v>
      </c>
      <c r="DF229">
        <f>HEADER_ROW+$DE229</f>
        <v/>
      </c>
      <c r="DG229">
        <f>IF(AND($DF229&lt;=1000,$DF229&lt;$B$8),1,0)</f>
        <v/>
      </c>
      <c r="DH229">
        <f>IF($DG229=1,IFERROR(INDEX($DB$5:$DB$1004,$DF229),""),"")</f>
        <v/>
      </c>
      <c r="DI229">
        <f>IF(AND($DG229=1,$DH229&lt;&gt;""),IFERROR(SUBSTITUTE(SUBSTITUTE(TRIM(SUBSTITUTE(SUBSTITUTE(SUBSTITUTE(SUBSTITUTE(IFERROR(INDEX(PASTE_ALL,$DF229,1)&amp;"","")&amp;"␟"&amp;IFERROR(INDEX(PASTE_ALL,$DF229,2)&amp;"","")&amp;"␟"&amp;IFERROR(INDEX(PASTE_ALL,$DF229,3)&amp;"","")&amp;"␟"&amp;IFERROR(INDEX(PASTE_ALL,$DF229,4)&amp;"","")&amp;"␟"&amp;IFERROR(INDEX(PASTE_ALL,$DF229,5)&amp;"","")&amp;"␟"&amp;IFERROR(INDEX(PASTE_ALL,$DF229,6)&amp;"","")&amp;"␟"&amp;IFERROR(INDEX(PASTE_ALL,$DF229,7)&amp;"","")&amp;"␟"&amp;IFERROR(INDEX(PASTE_ALL,$DF229,8)&amp;"","")&amp;"␟"&amp;IFERROR(INDEX(PASTE_ALL,$DF229,9)&amp;"","")&amp;"␟"&amp;IFERROR(INDEX(PASTE_ALL,$DF229,10)&amp;"","")&amp;"␟"&amp;IFERROR(INDEX(PASTE_ALL,$DF229,11)&amp;"","")&amp;"␟"&amp;IFERROR(INDEX(PASTE_ALL,$DF229,12)&amp;"","")&amp;"␟"&amp;IFERROR(INDEX(PASTE_ALL,$DF229,13)&amp;"","")&amp;"␟"&amp;IFERROR(INDEX(PASTE_ALL,$DF229,14)&amp;"","")&amp;"␟"&amp;IFERROR(INDEX(PASTE_ALL,$DF229,15)&amp;"","")&amp;"␟"&amp;IFERROR(INDEX(PASTE_ALL,$DF229,16)&amp;"","")&amp;"␟"&amp;IFERROR(INDEX(PASTE_ALL,$DF229,17)&amp;"","")&amp;"␟"&amp;IFERROR(INDEX(PASTE_ALL,$DF229,18)&amp;"","")&amp;"␟"&amp;IFERROR(INDEX(PASTE_ALL,$DF229,19)&amp;"","")&amp;"␟"&amp;IFERROR(INDEX(PASTE_ALL,$DF229,20)&amp;"","")&amp;"␟"&amp;IFERROR(INDEX(PASTE_ALL,$DF229,21)&amp;"","")&amp;"␟"&amp;IFERROR(INDEX(PASTE_ALL,$DF229,22)&amp;"","")&amp;"␟"&amp;IFERROR(INDEX(PASTE_ALL,$DF229,23)&amp;"","")&amp;"␟"&amp;IFERROR(INDEX(PASTE_ALL,$DF229,24)&amp;"","")&amp;"␟"&amp;IFERROR(INDEX(PASTE_ALL,$DF229,25)&amp;"","")&amp;"␟"&amp;IFERROR(INDEX(PASTE_ALL,$DF229,26)&amp;"","")&amp;"␟"&amp;IFERROR(INDEX(PASTE_ALL,$DF229,27)&amp;"","")&amp;"␟"&amp;IFERROR(INDEX(PASTE_ALL,$DF229,28)&amp;"","")&amp;"␟"&amp;IFERROR(INDEX(PASTE_ALL,$DF229,29)&amp;"","")&amp;"␟"&amp;IFERROR(INDEX(PASTE_ALL,$DF229,30)&amp;"","")&amp;"␟"&amp;IFERROR(INDEX(PASTE_ALL,$DF229,31)&amp;"","")&amp;"␟"&amp;IFERROR(INDEX(PASTE_ALL,$DF229,32)&amp;"","")&amp;"␟"&amp;IFERROR(INDEX(PASTE_ALL,$DF229,33)&amp;"","")&amp;"␟"&amp;IFERROR(INDEX(PASTE_ALL,$DF229,34)&amp;"","")&amp;"␟"&amp;IFERROR(INDEX(PASTE_ALL,$DF229,35)&amp;"","")&amp;"␟"&amp;IFERROR(INDEX(PASTE_ALL,$DF229,36)&amp;"","")&amp;"␟"&amp;IFERROR(INDEX(PASTE_ALL,$DF229,37)&amp;"","")&amp;"␟"&amp;IFERROR(INDEX(PASTE_ALL,$DF229,38)&amp;"","")&amp;"␟"&amp;IFERROR(INDEX(PASTE_ALL,$DF229,39)&amp;"","")&amp;"␟"&amp;IFERROR(INDEX(PASTE_ALL,$DF229,40)&amp;"","")&amp;"␟"&amp;IFERROR(INDEX(PASTE_ALL,$DF229,41)&amp;"","")&amp;"␟"&amp;IFERROR(INDEX(PASTE_ALL,$DF229,42)&amp;"","")&amp;"␟"&amp;IFERROR(INDEX(PASTE_ALL,$DF229,43)&amp;"","")&amp;"␟"&amp;IFERROR(INDEX(PASTE_ALL,$DF229,44)&amp;"","")&amp;"␟"&amp;IFERROR(INDEX(PASTE_ALL,$DF229,45)&amp;"","")&amp;"␟"&amp;IFERROR(INDEX(PASTE_ALL,$DF229,46)&amp;"","")&amp;"␟"&amp;IFERROR(INDEX(PASTE_ALL,$DF229,47)&amp;"","")&amp;"␟"&amp;IFERROR(INDEX(PASTE_ALL,$DF229,48)&amp;"","")&amp;"␟"&amp;IFERROR(INDEX(PASTE_ALL,$DF229,49)&amp;"","")&amp;"␟"&amp;IFERROR(INDEX(PASTE_ALL,$DF229,50)&amp;"","")&amp;"␟"&amp;IFERROR(INDEX(PASTE_ALL,$DF229,51)&amp;"","")&amp;"␟"&amp;IFERROR(INDEX(PASTE_ALL,$DF229,52)&amp;"","")&amp;"␟"&amp;IFERROR(INDEX(PASTE_ALL,$DF229,53)&amp;"","")&amp;"␟"&amp;IFERROR(INDEX(PASTE_ALL,$DF229,54)&amp;"","")&amp;"␟"&amp;IFERROR(INDEX(PASTE_ALL,$DF229,55)&amp;"","")&amp;"␟"&amp;IFERROR(INDEX(PASTE_ALL,$DF229,56)&amp;"","")&amp;"␟"&amp;IFERROR(INDEX(PASTE_ALL,$DF229,57)&amp;"","")&amp;"␟"&amp;IFERROR(INDEX(PASTE_ALL,$DF229,58)&amp;"","")&amp;"␟"&amp;IFERROR(INDEX(PASTE_ALL,$DF229,59)&amp;"","")&amp;"␟"&amp;IFERROR(INDEX(PASTE_ALL,$DF229,60)&amp;"","")," "," "),CHAR(9)," "),CHAR(10)," "),CHAR(13)," "))," ␟","␟"),"␟ ","␟"),"#"&amp;$DE229),"")</f>
        <v/>
      </c>
      <c r="DJ229">
        <f>IF($DI229="",0,IF(SUMPRODUCT(--EXACT($DI$4:DI228,$DI229))&gt;0,1,0))</f>
        <v/>
      </c>
      <c r="DK229">
        <f>IF(AND($DI229&lt;&gt;"",$DJ229=0),1,0)</f>
        <v/>
      </c>
      <c r="DL229">
        <f>DL228+$DK229</f>
        <v/>
      </c>
      <c r="DM229">
        <f>IF(AND($DK229=1,$DL229&lt;=600),1,0)</f>
        <v/>
      </c>
      <c r="DN229">
        <f>IF($DM229=0,"",IF($L$6=0,"",IFERROR(IF(ISNUMBER(INDEX(PASTE_ALL,$DF229,$L$6)),INDEX(PASTE_ALL,$DF229,$L$6),TRIM(SUBSTITUTE(SUBSTITUTE(SUBSTITUTE(SUBSTITUTE(INDEX(PASTE_ALL,$DF229,$L$6)," "," "),CHAR(9)," "),CHAR(10)," "),CHAR(13)," "))),"")))</f>
        <v/>
      </c>
      <c r="DO229">
        <f>IF($DM229=0,"",IF($L$7=0,"",IFERROR(IF(ISNUMBER(INDEX(PASTE_ALL,$DF229,$L$7)),INDEX(PASTE_ALL,$DF229,$L$7),TRIM(SUBSTITUTE(SUBSTITUTE(SUBSTITUTE(SUBSTITUTE(INDEX(PASTE_ALL,$DF229,$L$7)," "," "),CHAR(9)," "),CHAR(10)," "),CHAR(13)," "))),"")))</f>
        <v/>
      </c>
      <c r="DP229">
        <f>IF($DM229=0,"",IF($L$8=0,"",IFERROR(IF(ISNUMBER(INDEX(PASTE_ALL,$DF229,$L$8)),INDEX(PASTE_ALL,$DF229,$L$8),TRIM(SUBSTITUTE(SUBSTITUTE(SUBSTITUTE(SUBSTITUTE(INDEX(PASTE_ALL,$DF229,$L$8)," "," "),CHAR(9)," "),CHAR(10)," "),CHAR(13)," "))),"")))</f>
        <v/>
      </c>
      <c r="DQ229">
        <f>IF($DM229=0,"",IF($L$9=0,"",IFERROR(IF(ISNUMBER(INDEX(PASTE_ALL,$DF229,$L$9)),INDEX(PASTE_ALL,$DF229,$L$9),TRIM(SUBSTITUTE(SUBSTITUTE(SUBSTITUTE(SUBSTITUTE(INDEX(PASTE_ALL,$DF229,$L$9)," "," "),CHAR(9)," "),CHAR(10)," "),CHAR(13)," "))),"")))</f>
        <v/>
      </c>
      <c r="DR229">
        <f>IF($DM229=0,"",IF($L$10=0,"",IFERROR(IF(ISNUMBER(INDEX(PASTE_ALL,$DF229,$L$10)),INDEX(PASTE_ALL,$DF229,$L$10),TRIM(SUBSTITUTE(SUBSTITUTE(SUBSTITUTE(SUBSTITUTE(INDEX(PASTE_ALL,$DF229,$L$10)," "," "),CHAR(9)," "),CHAR(10)," "),CHAR(13)," "))),"")))</f>
        <v/>
      </c>
      <c r="DS229">
        <f>IF($DM229=0,"",IF($L$11=0,"",IFERROR(IF(ISNUMBER(INDEX(PASTE_ALL,$DF229,$L$11)),INDEX(PASTE_ALL,$DF229,$L$11),TRIM(SUBSTITUTE(SUBSTITUTE(SUBSTITUTE(SUBSTITUTE(INDEX(PASTE_ALL,$DF229,$L$11)," "," "),CHAR(9)," "),CHAR(10)," "),CHAR(13)," "))),"")))</f>
        <v/>
      </c>
      <c r="DT229">
        <f>IF($DM229=0,"",IF($L$12=0,"",IFERROR(IF(ISNUMBER(INDEX(PASTE_ALL,$DF229,$L$12)),INDEX(PASTE_ALL,$DF229,$L$12),TRIM(SUBSTITUTE(SUBSTITUTE(SUBSTITUTE(SUBSTITUTE(INDEX(PASTE_ALL,$DF229,$L$12)," "," "),CHAR(9)," "),CHAR(10)," "),CHAR(13)," "))),"")))</f>
        <v/>
      </c>
      <c r="DU229">
        <f>IF($DM229=0,"",IF($L$13=0,"",IFERROR(IF(ISNUMBER(INDEX(PASTE_ALL,$DF229,$L$13)),INDEX(PASTE_ALL,$DF229,$L$13),TRIM(SUBSTITUTE(SUBSTITUTE(SUBSTITUTE(SUBSTITUTE(INDEX(PASTE_ALL,$DF229,$L$13)," "," "),CHAR(9)," "),CHAR(10)," "),CHAR(13)," "))),"")))</f>
        <v/>
      </c>
      <c r="DV229">
        <f>IF($DM229=0,"",IF($L$14=0,"",IFERROR(IF(ISNUMBER(INDEX(PASTE_ALL,$DF229,$L$14)),INDEX(PASTE_ALL,$DF229,$L$14),TRIM(SUBSTITUTE(SUBSTITUTE(SUBSTITUTE(SUBSTITUTE(INDEX(PASTE_ALL,$DF229,$L$14)," "," "),CHAR(9)," "),CHAR(10)," "),CHAR(13)," "))),"")))</f>
        <v/>
      </c>
      <c r="DW229">
        <f>IF($DM229=0,"",IF($L$15=0,"",IFERROR(IF(ISNUMBER(INDEX(PASTE_ALL,$DF229,$L$15)),INDEX(PASTE_ALL,$DF229,$L$15),IF(SUMPRODUCT(--ISNUMBER(FIND({"A","B","C","D","E","F","G","H","I","J","K","L","M","N","O","P","Q","R","S","T","U","V","W","X","Y","Z","0","1","2","3","4","5","6","7","8","9"},UPPER(TRIM(SUBSTITUTE(SUBSTITUTE(SUBSTITUTE(SUBSTITUTE(INDEX(PASTE_ALL,$DF229,$L$15)," "," "),CHAR(9)," "),CHAR(10)," "),CHAR(13)," "))))))&gt;0,TRIM(SUBSTITUTE(SUBSTITUTE(SUBSTITUTE(SUBSTITUTE(INDEX(PASTE_ALL,$DF229,$L$15)," "," "),CHAR(9)," "),CHAR(10)," "),CHAR(13)," ")),"")),"")))</f>
        <v/>
      </c>
      <c r="DX229">
        <f>IF($DM229=0,"",IF($L$16=0,"",IFERROR(IF(ISNUMBER(INDEX(PASTE_ALL,$DF229,$L$16)),INDEX(PASTE_ALL,$DF229,$L$16),SUBSTITUTE(SUBSTITUTE(TRIM(SUBSTITUTE(SUBSTITUTE(SUBSTITUTE(SUBSTITUTE(INDEX(PASTE_ALL,$DF229,$L$16)," "," "),CHAR(9)," "),CHAR(10)," "),CHAR(13)," ")),",",""),"%","")),"")))</f>
        <v/>
      </c>
      <c r="DY229">
        <f>IF($DM229=0,"",IFERROR(IF(ISNUMBER($DX229),$DX229,IF($DX229="","",IF(TRIM($DX229)="",0,IF(AND(AND(SUBSTITUTE(SUBSTITUTE(SUBSTITUTE(SUBSTITUTE(SUBSTITUTE(SUBSTITUTE(SUBSTITUTE(SUBSTITUTE(SUBSTITUTE(SUBSTITUTE(SUBSTITUTE(SUBSTITUTE(SUBSTITUTE(SUBSTITUTE(UPPER(TRIM($DX229)),"0",""),"1",""),"2",""),"3",""),"4",""),"5",""),"6",""),"7",""),"8",""),"9",""),".",""),"+",""),"-",""),"E","")="",LEN(SUBSTITUTE(SUBSTITUTE(MID(UPPER(TRIM($DX229)),1+OR(LEFT(UPPER(TRIM($DX229)),1)="+",LEFT(UPPER(TRIM($DX229)),1)="-"),999),"E+","E"),"E-","E"))=LEN(SUBSTITUTE(SUBSTITUTE(SUBSTITUTE(SUBSTITUTE(MID(UPPER(TRIM($DX229)),1+OR(LEFT(UPPER(TRIM($DX229)),1)="+",LEFT(UPPER(TRIM($DX229)),1)="-"),999),"E+","E"),"E-","E"),"+",""),"-","")),LEN(UPPER(TRIM($DX229)))-LEN(SUBSTITUTE(UPPER(TRIM($DX229)),"E",""))&lt;2,LEN(UPPER(TRIM($DX229)))-LEN(SUBSTITUTE(UPPER(TRIM($DX229)),".",""))&lt;2,IFERROR(FIND(".",UPPER(TRIM($DX229))),0)&lt;IFERROR(FIND("E",UPPER(TRIM($DX229))),999)),ISNUMBER(VALUE(TRIM($DX229)))),VALUE(TRIM($DX229)),"")))),""))</f>
        <v/>
      </c>
      <c r="DZ229">
        <f>IF($DM229=0,"",IF($L$17=0,"",IFERROR(IF(ISNUMBER(INDEX(PASTE_ALL,$DF229,$L$17)),INDEX(PASTE_ALL,$DF229,$L$17),SUBSTITUTE(SUBSTITUTE(TRIM(SUBSTITUTE(SUBSTITUTE(SUBSTITUTE(SUBSTITUTE(INDEX(PASTE_ALL,$DF229,$L$17)," "," "),CHAR(9)," "),CHAR(10)," "),CHAR(13)," ")),",",""),"%","")),"")))</f>
        <v/>
      </c>
      <c r="EA229">
        <f>IF($DM229=0,"",IFERROR(IF(ISNUMBER($DZ229),$DZ229,IF($DZ229="","",IF(TRIM($DZ229)="",0,IF(AND(AND(SUBSTITUTE(SUBSTITUTE(SUBSTITUTE(SUBSTITUTE(SUBSTITUTE(SUBSTITUTE(SUBSTITUTE(SUBSTITUTE(SUBSTITUTE(SUBSTITUTE(SUBSTITUTE(SUBSTITUTE(SUBSTITUTE(SUBSTITUTE(UPPER(TRIM($DZ229)),"0",""),"1",""),"2",""),"3",""),"4",""),"5",""),"6",""),"7",""),"8",""),"9",""),".",""),"+",""),"-",""),"E","")="",LEN(SUBSTITUTE(SUBSTITUTE(MID(UPPER(TRIM($DZ229)),1+OR(LEFT(UPPER(TRIM($DZ229)),1)="+",LEFT(UPPER(TRIM($DZ229)),1)="-"),999),"E+","E"),"E-","E"))=LEN(SUBSTITUTE(SUBSTITUTE(SUBSTITUTE(SUBSTITUTE(MID(UPPER(TRIM($DZ229)),1+OR(LEFT(UPPER(TRIM($DZ229)),1)="+",LEFT(UPPER(TRIM($DZ229)),1)="-"),999),"E+","E"),"E-","E"),"+",""),"-","")),LEN(UPPER(TRIM($DZ229)))-LEN(SUBSTITUTE(UPPER(TRIM($DZ229)),"E",""))&lt;2,LEN(UPPER(TRIM($DZ229)))-LEN(SUBSTITUTE(UPPER(TRIM($DZ229)),".",""))&lt;2,IFERROR(FIND(".",UPPER(TRIM($DZ229))),0)&lt;IFERROR(FIND("E",UPPER(TRIM($DZ229))),999)),ISNUMBER(VALUE(TRIM($DZ229)))),VALUE(TRIM($DZ229)),"")))),""))</f>
        <v/>
      </c>
      <c r="EB229">
        <f>IF($DM229=0,"",IF($L$18=0,"",IFERROR(IF(UPPER(TRIM(SUBSTITUTE(SUBSTITUTE(SUBSTITUTE(SUBSTITUTE(INDEX(PASTE_ALL,$DF229,$L$18)," "," "),CHAR(9)," "),CHAR(10)," "),CHAR(13)," ")))="READY","Ready",IF(UPPER(TRIM(SUBSTITUTE(SUBSTITUTE(SUBSTITUTE(SUBSTITUTE(INDEX(PASTE_ALL,$DF229,$L$18)," "," "),CHAR(9)," "),CHAR(10)," "),CHAR(13)," ")))="PM","PM",IF(OR(UPPER(TRIM(SUBSTITUTE(SUBSTITUTE(SUBSTITUTE(SUBSTITUTE(INDEX(PASTE_ALL,$DF229,$L$18)," "," "),CHAR(9)," "),CHAR(10)," "),CHAR(13)," ")))="OT",UPPER(TRIM(SUBSTITUTE(SUBSTITUTE(SUBSTITUTE(SUBSTITUTE(INDEX(PASTE_ALL,$DF229,$L$18)," "," "),CHAR(9)," "),CHAR(10)," "),CHAR(13)," ")))="OVERTIME",UPPER(TRIM(SUBSTITUTE(SUBSTITUTE(SUBSTITUTE(SUBSTITUTE(INDEX(PASTE_ALL,$DF229,$L$18)," "," "),CHAR(9)," "),CHAR(10)," "),CHAR(13)," ")))="TRIAL"),"OT",TRIM(SUBSTITUTE(SUBSTITUTE(SUBSTITUTE(SUBSTITUTE(INDEX(PASTE_ALL,$DF229,$L$18)," "," "),CHAR(9)," "),CHAR(10)," "),CHAR(13)," "))))),"")))</f>
        <v/>
      </c>
      <c r="EC229">
        <f>IF($DM229=0,"",IF($L$19=0,"",IFERROR(IF(ISNUMBER(INDEX(PASTE_ALL,$DF229,$L$19)),INDEX(PASTE_ALL,$DF229,$L$19),TRIM(SUBSTITUTE(SUBSTITUTE(SUBSTITUTE(SUBSTITUTE(INDEX(PASTE_ALL,$DF229,$L$19)," "," "),CHAR(9)," "),CHAR(10)," "),CHAR(13)," "))),"")))</f>
        <v/>
      </c>
      <c r="ED229">
        <f>IF($DM229=0,"",MATCH(1,INDEX(EXACT($DH$5:DH229,$DH229)*$DM$5:DM229,0),0))</f>
        <v/>
      </c>
      <c r="EE229">
        <f>IF($DM229=0,0,IF($ED229=$DE229,1,0))</f>
        <v/>
      </c>
      <c r="EF229">
        <f>EF228+$EE229</f>
        <v/>
      </c>
      <c r="EG229">
        <f>IF($DM229=0,"",INDEX($EF$5:$EF$1003,$ED229))</f>
        <v/>
      </c>
      <c r="EH229">
        <f>IF($DM229=0,"",IF($DO229&lt;&gt;"","",IFERROR(LOOKUP(2,1/(($EG$4:EG228=$EG229)*($DO$4:DO228&lt;&gt;"")),$DO$4:DO228),"")))</f>
        <v/>
      </c>
      <c r="EI229">
        <f>IF($DM229=0,"",IF($DO229&lt;&gt;"",$DO229,$EH229))</f>
        <v/>
      </c>
      <c r="EJ229">
        <f>IF($DM229=0,"",IF($EI229="",0,IF(OR(ISNUMBER($EI229),AND(AND(SUBSTITUTE(SUBSTITUTE(SUBSTITUTE(SUBSTITUTE(SUBSTITUTE(SUBSTITUTE(SUBSTITUTE(SUBSTITUTE(SUBSTITUTE(SUBSTITUTE(SUBSTITUTE(SUBSTITUTE(SUBSTITUTE(SUBSTITUTE(UPPER($EI229),"0",""),"1",""),"2",""),"3",""),"4",""),"5",""),"6",""),"7",""),"8",""),"9",""),".",""),"+",""),"-",""),"E","")="",LEN(SUBSTITUTE(SUBSTITUTE(MID(UPPER($EI229),1+OR(LEFT(UPPER($EI229),1)="+",LEFT(UPPER($EI229),1)="-"),999),"E+","E"),"E-","E"))=LEN(SUBSTITUTE(SUBSTITUTE(SUBSTITUTE(SUBSTITUTE(MID(UPPER($EI229),1+OR(LEFT(UPPER($EI229),1)="+",LEFT(UPPER($EI229),1)="-"),999),"E+","E"),"E-","E"),"+",""),"-","")),LEN(UPPER($EI229))-LEN(SUBSTITUTE(UPPER($EI229),"E",""))&lt;2,LEN(UPPER($EI229))-LEN(SUBSTITUTE(UPPER($EI229),".",""))&lt;2,IFERROR(FIND(".",UPPER($EI229)),0)&lt;IFERROR(FIND("E",UPPER($EI229)),999)),ISNUMBER(VALUE($EI229)))),1,2)))</f>
        <v/>
      </c>
      <c r="EK229">
        <f>IF($DM229=0,"",IF($EJ229=1,IF(ISNUMBER($EI229),$EI229,VALUE($EI229)),IF($EJ229=2,$DE229,0)))</f>
        <v/>
      </c>
      <c r="EL229">
        <f>IF($DM229=0,"",COUNTIF($EG$5:$EG$1003,"&lt;"&amp;$EG229)+SUMPRODUCT(($EG$5:$EG$1003=$EG229)*(($EJ$5:$EJ$1003&lt;$EJ229)+($EJ$5:$EJ$1003=$EJ229)*(($EK$5:$EK$1003&lt;$EK229)+($EK$5:$EK$1003=$EK229)*($DE$5:$DE$1003&lt;$DE229))))+1)</f>
        <v/>
      </c>
      <c r="EM229">
        <f>IF($DM229=0,"",$EL229+$EG229-1)</f>
        <v/>
      </c>
      <c r="EN229">
        <f>IF($DM229=0,0,IFERROR(MATCH(1,INDEX(--(TRIM(SUBSTITUTE(SUBSTITUTE(SUBSTITUTE(SUBSTITUTE(LINES_NAME&amp;""," "," "),CHAR(9)," "),CHAR(10)," "),CHAR(13)," "))=$DH229),0),0),0))</f>
        <v/>
      </c>
      <c r="EO229">
        <f>IF($EN229=0,0,IF(OR(UPPER(TRIM(INDEX(LINES_SCHEDULED,$EN229)&amp;""))="YES",UPPER(TRIM(INDEX(LINES_SCHEDULED,$EN229)&amp;""))="Y",UPPER(TRIM(INDEX(LINES_SCHEDULED,$EN229)&amp;""))="X"),1,0))</f>
        <v/>
      </c>
      <c r="EP229">
        <f>IF($DM229=0,"",IF(COUNTIFS($EG$5:$EG$1003,$EG229,$EB$5:$EB$1003,"Ready")&gt;0,"READY",IF(COUNTIFS($EG$5:$EG$1003,$EG229,$EB$5:$EB$1003,"PM")&gt;0,"PM",IF(COUNTIFS($EG$5:$EG$1003,$EG229,$EB$5:$EB$1003,"OT")&gt;0,"OT",""))))</f>
        <v/>
      </c>
      <c r="EQ229">
        <f>IF($EN229=0,"",UPPER(TRIM(INDEX(LINES_STATUS,$EN229)&amp;"")))</f>
        <v/>
      </c>
      <c r="ER229">
        <f>IF($DM229=0,"",IF(OR($EQ229="READY",$EQ229="PM",$EQ229="OT"),$EQ229,$EP229))</f>
        <v/>
      </c>
      <c r="ES229">
        <f>IF($DM229=0,"",IF(AND($DV229&lt;&gt;"",UPPER($DV229)&lt;&gt;"N"),"allergen",IF(ISNUMBER(SEARCH("oil",$DQ229)),"oil",IF(OR(EXACT($DS229,"A662"),EXACT($DS229,"A624")),"bulk",""))))</f>
        <v/>
      </c>
      <c r="ET229">
        <f>IF($DM229=0,"",IF(OR($EA229="",$EA229=0),"",$EA229/100))</f>
        <v/>
      </c>
      <c r="EU229">
        <f>IF(OR($ET229="",$DY229=""),"",INT($DY229*(1-$ET229)+0.5))</f>
        <v/>
      </c>
      <c r="EW229" t="n">
        <v>225</v>
      </c>
      <c r="EX229">
        <f>IFERROR(MATCH($EW229,$EM$5:$EM$1003,0),0)</f>
        <v/>
      </c>
      <c r="EY229">
        <f>IF($EW229&gt;$B$12,"",IF($EX229&gt;0,"row","spacer"))</f>
        <v/>
      </c>
      <c r="EZ229">
        <f>IF(AND($EY229="row",$EY228&lt;&gt;"row"),1,0)</f>
        <v/>
      </c>
      <c r="FA229">
        <f>IF(AND($EY229="row",$EY230&lt;&gt;"row"),1,0)</f>
        <v/>
      </c>
      <c r="FB229">
        <f>IF($EZ229=1,IFERROR(IF(ISNUMBER(INDEX(PASTE_ALL,INDEX($DF$5:$DF$1003,$EX229),$B$37)),INDEX(PASTE_ALL,INDEX($DF$5:$DF$1003,$EX229),$B$37),INDEX($DH$5:$DH$1003,$EX229)),INDEX($DH$5:$DH$1003,$EX229)),"")</f>
        <v/>
      </c>
      <c r="FC229">
        <f>IF($EY229="row",INDEX($ER$5:$ER$1003,$EX229),"")</f>
        <v/>
      </c>
      <c r="FD229">
        <f>IF($EY229="row",INDEX($DN$5:$DN$1003,$EX229),"")</f>
        <v/>
      </c>
      <c r="FE229">
        <f>IF($EY229="row",INDEX($DO$5:$DO$1003,$EX229),"")</f>
        <v/>
      </c>
      <c r="FF229">
        <f>IF($EY229="row",INDEX($DP$5:$DP$1003,$EX229),"")</f>
        <v/>
      </c>
      <c r="FG229">
        <f>IF($EY229="row",INDEX($DQ$5:$DQ$1003,$EX229),"")</f>
        <v/>
      </c>
      <c r="FH229">
        <f>IF($EY229="row",INDEX($DR$5:$DR$1003,$EX229),"")</f>
        <v/>
      </c>
      <c r="FI229">
        <f>IF($EY229="row",INDEX($DS$5:$DS$1003,$EX229),"")</f>
        <v/>
      </c>
      <c r="FJ229">
        <f>IF($EY229="row",INDEX($DT$5:$DT$1003,$EX229),"")</f>
        <v/>
      </c>
      <c r="FK229">
        <f>IF($EY229="row",INDEX($DU$5:$DU$1003,$EX229),"")</f>
        <v/>
      </c>
      <c r="FL229">
        <f>IF($EY229="row",INDEX($DV$5:$DV$1003,$EX229),"")</f>
        <v/>
      </c>
      <c r="FM229">
        <f>IF($EY229="row",INDEX($DW$5:$DW$1003,$EX229),"")</f>
        <v/>
      </c>
      <c r="FN229">
        <f>IF($EY229="row",INDEX($DY$5:$DY$1003,$EX229),"")</f>
        <v/>
      </c>
      <c r="FO229">
        <f>IF($EY229="row",INDEX($EA$5:$EA$1003,$EX229),"")</f>
        <v/>
      </c>
      <c r="FP229">
        <f>IF($EY229="row",INDEX($EC$5:$EC$1003,$EX229),"")</f>
        <v/>
      </c>
      <c r="FQ229">
        <f>IF($EY229="row",INDEX($ET$5:$ET$1003,$EX229),"")</f>
        <v/>
      </c>
      <c r="FR229">
        <f>IF($EY229="row",INDEX($EU$5:$EU$1003,$EX229),"")</f>
        <v/>
      </c>
      <c r="FS229">
        <f>IF(AND($EY229="row",$EY228="row"),IF(OR(INDEX($DT$5:$DT$1003,$EX228)="",INDEX($DT$5:$DT$1003,$EX229)=""),"",IF(NOT(EXACT(INDEX($DT$5:$DT$1003,$EX228),INDEX($DT$5:$DT$1003,$EX229))),"S4",IF(NOT(EXACT(INDEX($DS$5:$DS$1003,$EX228),INDEX($DS$5:$DS$1003,$EX229))),"S3",IF(NOT(EXACT(INDEX($DR$5:$DR$1003,$EX228),INDEX($DR$5:$DR$1003,$EX229))),"S1 Count Change","S1")))),"")</f>
        <v/>
      </c>
      <c r="FT229">
        <f>IF($EY229="row",INDEX($ES$5:$ES$1003,$EX229),"")</f>
        <v/>
      </c>
      <c r="FU229">
        <f>IF($EY229="row",INDEX($EO$5:$EO$1003,$EX229),0)</f>
        <v/>
      </c>
      <c r="FV229">
        <f>IF($FS229="S1 Count Change",1,0)</f>
        <v/>
      </c>
    </row>
    <row r="230">
      <c r="X230" s="69" t="inlineStr">
        <is>
          <t>used row: normalized</t>
        </is>
      </c>
      <c r="Y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 ",""),"!",""),CHAR(34),""),"#",""),"$",""),"%",""),"&amp;",""),"'",""),"(",""),")",""),"*",""),"+",""),",",""),"-",""),".",""),"/",""),":",""),";",""),"&lt;",""),"=",""),"&gt;",""),"?",""),"@",""),"[",""),"\",""),"]",""),"^",""),"_",""),"`",""),"{",""),"|",""),"}",""),"~",""),CHAR(9),""),CHAR(10),""),CHAR(13),"")," ",""),"")</f>
        <v/>
      </c>
      <c r="Z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 ",""),"!",""),CHAR(34),""),"#",""),"$",""),"%",""),"&amp;",""),"'",""),"(",""),")",""),"*",""),"+",""),",",""),"-",""),".",""),"/",""),":",""),";",""),"&lt;",""),"=",""),"&gt;",""),"?",""),"@",""),"[",""),"\",""),"]",""),"^",""),"_",""),"`",""),"{",""),"|",""),"}",""),"~",""),CHAR(9),""),CHAR(10),""),CHAR(13),"")," ",""),"")</f>
        <v/>
      </c>
      <c r="AA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 ",""),"!",""),CHAR(34),""),"#",""),"$",""),"%",""),"&amp;",""),"'",""),"(",""),")",""),"*",""),"+",""),",",""),"-",""),".",""),"/",""),":",""),";",""),"&lt;",""),"=",""),"&gt;",""),"?",""),"@",""),"[",""),"\",""),"]",""),"^",""),"_",""),"`",""),"{",""),"|",""),"}",""),"~",""),CHAR(9),""),CHAR(10),""),CHAR(13),"")," ",""),"")</f>
        <v/>
      </c>
      <c r="AB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 ",""),"!",""),CHAR(34),""),"#",""),"$",""),"%",""),"&amp;",""),"'",""),"(",""),")",""),"*",""),"+",""),",",""),"-",""),".",""),"/",""),":",""),";",""),"&lt;",""),"=",""),"&gt;",""),"?",""),"@",""),"[",""),"\",""),"]",""),"^",""),"_",""),"`",""),"{",""),"|",""),"}",""),"~",""),CHAR(9),""),CHAR(10),""),CHAR(13),"")," ",""),"")</f>
        <v/>
      </c>
      <c r="AC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 ",""),"!",""),CHAR(34),""),"#",""),"$",""),"%",""),"&amp;",""),"'",""),"(",""),")",""),"*",""),"+",""),",",""),"-",""),".",""),"/",""),":",""),";",""),"&lt;",""),"=",""),"&gt;",""),"?",""),"@",""),"[",""),"\",""),"]",""),"^",""),"_",""),"`",""),"{",""),"|",""),"}",""),"~",""),CHAR(9),""),CHAR(10),""),CHAR(13),"")," ",""),"")</f>
        <v/>
      </c>
      <c r="AD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6))," ",""),"!",""),CHAR(34),""),"#",""),"$",""),"%",""),"&amp;",""),"'",""),"(",""),")",""),"*",""),"+",""),",",""),"-",""),".",""),"/",""),":",""),";",""),"&lt;",""),"=",""),"&gt;",""),"?",""),"@",""),"[",""),"\",""),"]",""),"^",""),"_",""),"`",""),"{",""),"|",""),"}",""),"~",""),CHAR(9),""),CHAR(10),""),CHAR(13),"")," ",""),"")</f>
        <v/>
      </c>
      <c r="AE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7))," ",""),"!",""),CHAR(34),""),"#",""),"$",""),"%",""),"&amp;",""),"'",""),"(",""),")",""),"*",""),"+",""),",",""),"-",""),".",""),"/",""),":",""),";",""),"&lt;",""),"=",""),"&gt;",""),"?",""),"@",""),"[",""),"\",""),"]",""),"^",""),"_",""),"`",""),"{",""),"|",""),"}",""),"~",""),CHAR(9),""),CHAR(10),""),CHAR(13),"")," ",""),"")</f>
        <v/>
      </c>
      <c r="AF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8))," ",""),"!",""),CHAR(34),""),"#",""),"$",""),"%",""),"&amp;",""),"'",""),"(",""),")",""),"*",""),"+",""),",",""),"-",""),".",""),"/",""),":",""),";",""),"&lt;",""),"=",""),"&gt;",""),"?",""),"@",""),"[",""),"\",""),"]",""),"^",""),"_",""),"`",""),"{",""),"|",""),"}",""),"~",""),CHAR(9),""),CHAR(10),""),CHAR(13),"")," ",""),"")</f>
        <v/>
      </c>
      <c r="AG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9))," ",""),"!",""),CHAR(34),""),"#",""),"$",""),"%",""),"&amp;",""),"'",""),"(",""),")",""),"*",""),"+",""),",",""),"-",""),".",""),"/",""),":",""),";",""),"&lt;",""),"=",""),"&gt;",""),"?",""),"@",""),"[",""),"\",""),"]",""),"^",""),"_",""),"`",""),"{",""),"|",""),"}",""),"~",""),CHAR(9),""),CHAR(10),""),CHAR(13),"")," ",""),"")</f>
        <v/>
      </c>
      <c r="AH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10))," ",""),"!",""),CHAR(34),""),"#",""),"$",""),"%",""),"&amp;",""),"'",""),"(",""),")",""),"*",""),"+",""),",",""),"-",""),".",""),"/",""),":",""),";",""),"&lt;",""),"=",""),"&gt;",""),"?",""),"@",""),"[",""),"\",""),"]",""),"^",""),"_",""),"`",""),"{",""),"|",""),"}",""),"~",""),CHAR(9),""),CHAR(10),""),CHAR(13),"")," ",""),"")</f>
        <v/>
      </c>
      <c r="AI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11))," ",""),"!",""),CHAR(34),""),"#",""),"$",""),"%",""),"&amp;",""),"'",""),"(",""),")",""),"*",""),"+",""),",",""),"-",""),".",""),"/",""),":",""),";",""),"&lt;",""),"=",""),"&gt;",""),"?",""),"@",""),"[",""),"\",""),"]",""),"^",""),"_",""),"`",""),"{",""),"|",""),"}",""),"~",""),CHAR(9),""),CHAR(10),""),CHAR(13),"")," ",""),"")</f>
        <v/>
      </c>
      <c r="AJ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12))," ",""),"!",""),CHAR(34),""),"#",""),"$",""),"%",""),"&amp;",""),"'",""),"(",""),")",""),"*",""),"+",""),",",""),"-",""),".",""),"/",""),":",""),";",""),"&lt;",""),"=",""),"&gt;",""),"?",""),"@",""),"[",""),"\",""),"]",""),"^",""),"_",""),"`",""),"{",""),"|",""),"}",""),"~",""),CHAR(9),""),CHAR(10),""),CHAR(13),"")," ",""),"")</f>
        <v/>
      </c>
      <c r="AK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13))," ",""),"!",""),CHAR(34),""),"#",""),"$",""),"%",""),"&amp;",""),"'",""),"(",""),")",""),"*",""),"+",""),",",""),"-",""),".",""),"/",""),":",""),";",""),"&lt;",""),"=",""),"&gt;",""),"?",""),"@",""),"[",""),"\",""),"]",""),"^",""),"_",""),"`",""),"{",""),"|",""),"}",""),"~",""),CHAR(9),""),CHAR(10),""),CHAR(13),"")," ",""),"")</f>
        <v/>
      </c>
      <c r="AL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14))," ",""),"!",""),CHAR(34),""),"#",""),"$",""),"%",""),"&amp;",""),"'",""),"(",""),")",""),"*",""),"+",""),",",""),"-",""),".",""),"/",""),":",""),";",""),"&lt;",""),"=",""),"&gt;",""),"?",""),"@",""),"[",""),"\",""),"]",""),"^",""),"_",""),"`",""),"{",""),"|",""),"}",""),"~",""),CHAR(9),""),CHAR(10),""),CHAR(13),"")," ",""),"")</f>
        <v/>
      </c>
      <c r="AM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15))," ",""),"!",""),CHAR(34),""),"#",""),"$",""),"%",""),"&amp;",""),"'",""),"(",""),")",""),"*",""),"+",""),",",""),"-",""),".",""),"/",""),":",""),";",""),"&lt;",""),"=",""),"&gt;",""),"?",""),"@",""),"[",""),"\",""),"]",""),"^",""),"_",""),"`",""),"{",""),"|",""),"}",""),"~",""),CHAR(9),""),CHAR(10),""),CHAR(13),"")," ",""),"")</f>
        <v/>
      </c>
      <c r="AN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16))," ",""),"!",""),CHAR(34),""),"#",""),"$",""),"%",""),"&amp;",""),"'",""),"(",""),")",""),"*",""),"+",""),",",""),"-",""),".",""),"/",""),":",""),";",""),"&lt;",""),"=",""),"&gt;",""),"?",""),"@",""),"[",""),"\",""),"]",""),"^",""),"_",""),"`",""),"{",""),"|",""),"}",""),"~",""),CHAR(9),""),CHAR(10),""),CHAR(13),"")," ",""),"")</f>
        <v/>
      </c>
      <c r="AO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17))," ",""),"!",""),CHAR(34),""),"#",""),"$",""),"%",""),"&amp;",""),"'",""),"(",""),")",""),"*",""),"+",""),",",""),"-",""),".",""),"/",""),":",""),";",""),"&lt;",""),"=",""),"&gt;",""),"?",""),"@",""),"[",""),"\",""),"]",""),"^",""),"_",""),"`",""),"{",""),"|",""),"}",""),"~",""),CHAR(9),""),CHAR(10),""),CHAR(13),"")," ",""),"")</f>
        <v/>
      </c>
      <c r="AP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18))," ",""),"!",""),CHAR(34),""),"#",""),"$",""),"%",""),"&amp;",""),"'",""),"(",""),")",""),"*",""),"+",""),",",""),"-",""),".",""),"/",""),":",""),";",""),"&lt;",""),"=",""),"&gt;",""),"?",""),"@",""),"[",""),"\",""),"]",""),"^",""),"_",""),"`",""),"{",""),"|",""),"}",""),"~",""),CHAR(9),""),CHAR(10),""),CHAR(13),"")," ",""),"")</f>
        <v/>
      </c>
      <c r="AQ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19))," ",""),"!",""),CHAR(34),""),"#",""),"$",""),"%",""),"&amp;",""),"'",""),"(",""),")",""),"*",""),"+",""),",",""),"-",""),".",""),"/",""),":",""),";",""),"&lt;",""),"=",""),"&gt;",""),"?",""),"@",""),"[",""),"\",""),"]",""),"^",""),"_",""),"`",""),"{",""),"|",""),"}",""),"~",""),CHAR(9),""),CHAR(10),""),CHAR(13),"")," ",""),"")</f>
        <v/>
      </c>
      <c r="AR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20))," ",""),"!",""),CHAR(34),""),"#",""),"$",""),"%",""),"&amp;",""),"'",""),"(",""),")",""),"*",""),"+",""),",",""),"-",""),".",""),"/",""),":",""),";",""),"&lt;",""),"=",""),"&gt;",""),"?",""),"@",""),"[",""),"\",""),"]",""),"^",""),"_",""),"`",""),"{",""),"|",""),"}",""),"~",""),CHAR(9),""),CHAR(10),""),CHAR(13),"")," ",""),"")</f>
        <v/>
      </c>
      <c r="AS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21))," ",""),"!",""),CHAR(34),""),"#",""),"$",""),"%",""),"&amp;",""),"'",""),"(",""),")",""),"*",""),"+",""),",",""),"-",""),".",""),"/",""),":",""),";",""),"&lt;",""),"=",""),"&gt;",""),"?",""),"@",""),"[",""),"\",""),"]",""),"^",""),"_",""),"`",""),"{",""),"|",""),"}",""),"~",""),CHAR(9),""),CHAR(10),""),CHAR(13),"")," ",""),"")</f>
        <v/>
      </c>
      <c r="AT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22))," ",""),"!",""),CHAR(34),""),"#",""),"$",""),"%",""),"&amp;",""),"'",""),"(",""),")",""),"*",""),"+",""),",",""),"-",""),".",""),"/",""),":",""),";",""),"&lt;",""),"=",""),"&gt;",""),"?",""),"@",""),"[",""),"\",""),"]",""),"^",""),"_",""),"`",""),"{",""),"|",""),"}",""),"~",""),CHAR(9),""),CHAR(10),""),CHAR(13),"")," ",""),"")</f>
        <v/>
      </c>
      <c r="AU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23))," ",""),"!",""),CHAR(34),""),"#",""),"$",""),"%",""),"&amp;",""),"'",""),"(",""),")",""),"*",""),"+",""),",",""),"-",""),".",""),"/",""),":",""),";",""),"&lt;",""),"=",""),"&gt;",""),"?",""),"@",""),"[",""),"\",""),"]",""),"^",""),"_",""),"`",""),"{",""),"|",""),"}",""),"~",""),CHAR(9),""),CHAR(10),""),CHAR(13),"")," ",""),"")</f>
        <v/>
      </c>
      <c r="AV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24))," ",""),"!",""),CHAR(34),""),"#",""),"$",""),"%",""),"&amp;",""),"'",""),"(",""),")",""),"*",""),"+",""),",",""),"-",""),".",""),"/",""),":",""),";",""),"&lt;",""),"=",""),"&gt;",""),"?",""),"@",""),"[",""),"\",""),"]",""),"^",""),"_",""),"`",""),"{",""),"|",""),"}",""),"~",""),CHAR(9),""),CHAR(10),""),CHAR(13),"")," ",""),"")</f>
        <v/>
      </c>
      <c r="AW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25))," ",""),"!",""),CHAR(34),""),"#",""),"$",""),"%",""),"&amp;",""),"'",""),"(",""),")",""),"*",""),"+",""),",",""),"-",""),".",""),"/",""),":",""),";",""),"&lt;",""),"=",""),"&gt;",""),"?",""),"@",""),"[",""),"\",""),"]",""),"^",""),"_",""),"`",""),"{",""),"|",""),"}",""),"~",""),CHAR(9),""),CHAR(10),""),CHAR(13),"")," ",""),"")</f>
        <v/>
      </c>
      <c r="AX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26))," ",""),"!",""),CHAR(34),""),"#",""),"$",""),"%",""),"&amp;",""),"'",""),"(",""),")",""),"*",""),"+",""),",",""),"-",""),".",""),"/",""),":",""),";",""),"&lt;",""),"=",""),"&gt;",""),"?",""),"@",""),"[",""),"\",""),"]",""),"^",""),"_",""),"`",""),"{",""),"|",""),"}",""),"~",""),CHAR(9),""),CHAR(10),""),CHAR(13),"")," ",""),"")</f>
        <v/>
      </c>
      <c r="AY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27))," ",""),"!",""),CHAR(34),""),"#",""),"$",""),"%",""),"&amp;",""),"'",""),"(",""),")",""),"*",""),"+",""),",",""),"-",""),".",""),"/",""),":",""),";",""),"&lt;",""),"=",""),"&gt;",""),"?",""),"@",""),"[",""),"\",""),"]",""),"^",""),"_",""),"`",""),"{",""),"|",""),"}",""),"~",""),CHAR(9),""),CHAR(10),""),CHAR(13),"")," ",""),"")</f>
        <v/>
      </c>
      <c r="AZ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28))," ",""),"!",""),CHAR(34),""),"#",""),"$",""),"%",""),"&amp;",""),"'",""),"(",""),")",""),"*",""),"+",""),",",""),"-",""),".",""),"/",""),":",""),";",""),"&lt;",""),"=",""),"&gt;",""),"?",""),"@",""),"[",""),"\",""),"]",""),"^",""),"_",""),"`",""),"{",""),"|",""),"}",""),"~",""),CHAR(9),""),CHAR(10),""),CHAR(13),"")," ",""),"")</f>
        <v/>
      </c>
      <c r="BA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29))," ",""),"!",""),CHAR(34),""),"#",""),"$",""),"%",""),"&amp;",""),"'",""),"(",""),")",""),"*",""),"+",""),",",""),"-",""),".",""),"/",""),":",""),";",""),"&lt;",""),"=",""),"&gt;",""),"?",""),"@",""),"[",""),"\",""),"]",""),"^",""),"_",""),"`",""),"{",""),"|",""),"}",""),"~",""),CHAR(9),""),CHAR(10),""),CHAR(13),"")," ",""),"")</f>
        <v/>
      </c>
      <c r="BB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30))," ",""),"!",""),CHAR(34),""),"#",""),"$",""),"%",""),"&amp;",""),"'",""),"(",""),")",""),"*",""),"+",""),",",""),"-",""),".",""),"/",""),":",""),";",""),"&lt;",""),"=",""),"&gt;",""),"?",""),"@",""),"[",""),"\",""),"]",""),"^",""),"_",""),"`",""),"{",""),"|",""),"}",""),"~",""),CHAR(9),""),CHAR(10),""),CHAR(13),"")," ",""),"")</f>
        <v/>
      </c>
      <c r="BC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31))," ",""),"!",""),CHAR(34),""),"#",""),"$",""),"%",""),"&amp;",""),"'",""),"(",""),")",""),"*",""),"+",""),",",""),"-",""),".",""),"/",""),":",""),";",""),"&lt;",""),"=",""),"&gt;",""),"?",""),"@",""),"[",""),"\",""),"]",""),"^",""),"_",""),"`",""),"{",""),"|",""),"}",""),"~",""),CHAR(9),""),CHAR(10),""),CHAR(13),"")," ",""),"")</f>
        <v/>
      </c>
      <c r="BD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32))," ",""),"!",""),CHAR(34),""),"#",""),"$",""),"%",""),"&amp;",""),"'",""),"(",""),")",""),"*",""),"+",""),",",""),"-",""),".",""),"/",""),":",""),";",""),"&lt;",""),"=",""),"&gt;",""),"?",""),"@",""),"[",""),"\",""),"]",""),"^",""),"_",""),"`",""),"{",""),"|",""),"}",""),"~",""),CHAR(9),""),CHAR(10),""),CHAR(13),"")," ",""),"")</f>
        <v/>
      </c>
      <c r="BE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33))," ",""),"!",""),CHAR(34),""),"#",""),"$",""),"%",""),"&amp;",""),"'",""),"(",""),")",""),"*",""),"+",""),",",""),"-",""),".",""),"/",""),":",""),";",""),"&lt;",""),"=",""),"&gt;",""),"?",""),"@",""),"[",""),"\",""),"]",""),"^",""),"_",""),"`",""),"{",""),"|",""),"}",""),"~",""),CHAR(9),""),CHAR(10),""),CHAR(13),"")," ",""),"")</f>
        <v/>
      </c>
      <c r="BF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34))," ",""),"!",""),CHAR(34),""),"#",""),"$",""),"%",""),"&amp;",""),"'",""),"(",""),")",""),"*",""),"+",""),",",""),"-",""),".",""),"/",""),":",""),";",""),"&lt;",""),"=",""),"&gt;",""),"?",""),"@",""),"[",""),"\",""),"]",""),"^",""),"_",""),"`",""),"{",""),"|",""),"}",""),"~",""),CHAR(9),""),CHAR(10),""),CHAR(13),"")," ",""),"")</f>
        <v/>
      </c>
      <c r="BG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35))," ",""),"!",""),CHAR(34),""),"#",""),"$",""),"%",""),"&amp;",""),"'",""),"(",""),")",""),"*",""),"+",""),",",""),"-",""),".",""),"/",""),":",""),";",""),"&lt;",""),"=",""),"&gt;",""),"?",""),"@",""),"[",""),"\",""),"]",""),"^",""),"_",""),"`",""),"{",""),"|",""),"}",""),"~",""),CHAR(9),""),CHAR(10),""),CHAR(13),"")," ",""),"")</f>
        <v/>
      </c>
      <c r="BH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36))," ",""),"!",""),CHAR(34),""),"#",""),"$",""),"%",""),"&amp;",""),"'",""),"(",""),")",""),"*",""),"+",""),",",""),"-",""),".",""),"/",""),":",""),";",""),"&lt;",""),"=",""),"&gt;",""),"?",""),"@",""),"[",""),"\",""),"]",""),"^",""),"_",""),"`",""),"{",""),"|",""),"}",""),"~",""),CHAR(9),""),CHAR(10),""),CHAR(13),"")," ",""),"")</f>
        <v/>
      </c>
      <c r="BI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37))," ",""),"!",""),CHAR(34),""),"#",""),"$",""),"%",""),"&amp;",""),"'",""),"(",""),")",""),"*",""),"+",""),",",""),"-",""),".",""),"/",""),":",""),";",""),"&lt;",""),"=",""),"&gt;",""),"?",""),"@",""),"[",""),"\",""),"]",""),"^",""),"_",""),"`",""),"{",""),"|",""),"}",""),"~",""),CHAR(9),""),CHAR(10),""),CHAR(13),"")," ",""),"")</f>
        <v/>
      </c>
      <c r="BJ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38))," ",""),"!",""),CHAR(34),""),"#",""),"$",""),"%",""),"&amp;",""),"'",""),"(",""),")",""),"*",""),"+",""),",",""),"-",""),".",""),"/",""),":",""),";",""),"&lt;",""),"=",""),"&gt;",""),"?",""),"@",""),"[",""),"\",""),"]",""),"^",""),"_",""),"`",""),"{",""),"|",""),"}",""),"~",""),CHAR(9),""),CHAR(10),""),CHAR(13),"")," ",""),"")</f>
        <v/>
      </c>
      <c r="BK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39))," ",""),"!",""),CHAR(34),""),"#",""),"$",""),"%",""),"&amp;",""),"'",""),"(",""),")",""),"*",""),"+",""),",",""),"-",""),".",""),"/",""),":",""),";",""),"&lt;",""),"=",""),"&gt;",""),"?",""),"@",""),"[",""),"\",""),"]",""),"^",""),"_",""),"`",""),"{",""),"|",""),"}",""),"~",""),CHAR(9),""),CHAR(10),""),CHAR(13),"")," ",""),"")</f>
        <v/>
      </c>
      <c r="BL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40))," ",""),"!",""),CHAR(34),""),"#",""),"$",""),"%",""),"&amp;",""),"'",""),"(",""),")",""),"*",""),"+",""),",",""),"-",""),".",""),"/",""),":",""),";",""),"&lt;",""),"=",""),"&gt;",""),"?",""),"@",""),"[",""),"\",""),"]",""),"^",""),"_",""),"`",""),"{",""),"|",""),"}",""),"~",""),CHAR(9),""),CHAR(10),""),CHAR(13),"")," ",""),"")</f>
        <v/>
      </c>
      <c r="BM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41))," ",""),"!",""),CHAR(34),""),"#",""),"$",""),"%",""),"&amp;",""),"'",""),"(",""),")",""),"*",""),"+",""),",",""),"-",""),".",""),"/",""),":",""),";",""),"&lt;",""),"=",""),"&gt;",""),"?",""),"@",""),"[",""),"\",""),"]",""),"^",""),"_",""),"`",""),"{",""),"|",""),"}",""),"~",""),CHAR(9),""),CHAR(10),""),CHAR(13),"")," ",""),"")</f>
        <v/>
      </c>
      <c r="BN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42))," ",""),"!",""),CHAR(34),""),"#",""),"$",""),"%",""),"&amp;",""),"'",""),"(",""),")",""),"*",""),"+",""),",",""),"-",""),".",""),"/",""),":",""),";",""),"&lt;",""),"=",""),"&gt;",""),"?",""),"@",""),"[",""),"\",""),"]",""),"^",""),"_",""),"`",""),"{",""),"|",""),"}",""),"~",""),CHAR(9),""),CHAR(10),""),CHAR(13),"")," ",""),"")</f>
        <v/>
      </c>
      <c r="BO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43))," ",""),"!",""),CHAR(34),""),"#",""),"$",""),"%",""),"&amp;",""),"'",""),"(",""),")",""),"*",""),"+",""),",",""),"-",""),".",""),"/",""),":",""),";",""),"&lt;",""),"=",""),"&gt;",""),"?",""),"@",""),"[",""),"\",""),"]",""),"^",""),"_",""),"`",""),"{",""),"|",""),"}",""),"~",""),CHAR(9),""),CHAR(10),""),CHAR(13),"")," ",""),"")</f>
        <v/>
      </c>
      <c r="BP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44))," ",""),"!",""),CHAR(34),""),"#",""),"$",""),"%",""),"&amp;",""),"'",""),"(",""),")",""),"*",""),"+",""),",",""),"-",""),".",""),"/",""),":",""),";",""),"&lt;",""),"=",""),"&gt;",""),"?",""),"@",""),"[",""),"\",""),"]",""),"^",""),"_",""),"`",""),"{",""),"|",""),"}",""),"~",""),CHAR(9),""),CHAR(10),""),CHAR(13),"")," ",""),"")</f>
        <v/>
      </c>
      <c r="BQ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45))," ",""),"!",""),CHAR(34),""),"#",""),"$",""),"%",""),"&amp;",""),"'",""),"(",""),")",""),"*",""),"+",""),",",""),"-",""),".",""),"/",""),":",""),";",""),"&lt;",""),"=",""),"&gt;",""),"?",""),"@",""),"[",""),"\",""),"]",""),"^",""),"_",""),"`",""),"{",""),"|",""),"}",""),"~",""),CHAR(9),""),CHAR(10),""),CHAR(13),"")," ",""),"")</f>
        <v/>
      </c>
      <c r="BR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46))," ",""),"!",""),CHAR(34),""),"#",""),"$",""),"%",""),"&amp;",""),"'",""),"(",""),")",""),"*",""),"+",""),",",""),"-",""),".",""),"/",""),":",""),";",""),"&lt;",""),"=",""),"&gt;",""),"?",""),"@",""),"[",""),"\",""),"]",""),"^",""),"_",""),"`",""),"{",""),"|",""),"}",""),"~",""),CHAR(9),""),CHAR(10),""),CHAR(13),"")," ",""),"")</f>
        <v/>
      </c>
      <c r="BS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47))," ",""),"!",""),CHAR(34),""),"#",""),"$",""),"%",""),"&amp;",""),"'",""),"(",""),")",""),"*",""),"+",""),",",""),"-",""),".",""),"/",""),":",""),";",""),"&lt;",""),"=",""),"&gt;",""),"?",""),"@",""),"[",""),"\",""),"]",""),"^",""),"_",""),"`",""),"{",""),"|",""),"}",""),"~",""),CHAR(9),""),CHAR(10),""),CHAR(13),"")," ",""),"")</f>
        <v/>
      </c>
      <c r="BT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48))," ",""),"!",""),CHAR(34),""),"#",""),"$",""),"%",""),"&amp;",""),"'",""),"(",""),")",""),"*",""),"+",""),",",""),"-",""),".",""),"/",""),":",""),";",""),"&lt;",""),"=",""),"&gt;",""),"?",""),"@",""),"[",""),"\",""),"]",""),"^",""),"_",""),"`",""),"{",""),"|",""),"}",""),"~",""),CHAR(9),""),CHAR(10),""),CHAR(13),"")," ",""),"")</f>
        <v/>
      </c>
      <c r="BU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49))," ",""),"!",""),CHAR(34),""),"#",""),"$",""),"%",""),"&amp;",""),"'",""),"(",""),")",""),"*",""),"+",""),",",""),"-",""),".",""),"/",""),":",""),";",""),"&lt;",""),"=",""),"&gt;",""),"?",""),"@",""),"[",""),"\",""),"]",""),"^",""),"_",""),"`",""),"{",""),"|",""),"}",""),"~",""),CHAR(9),""),CHAR(10),""),CHAR(13),"")," ",""),"")</f>
        <v/>
      </c>
      <c r="BV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50))," ",""),"!",""),CHAR(34),""),"#",""),"$",""),"%",""),"&amp;",""),"'",""),"(",""),")",""),"*",""),"+",""),",",""),"-",""),".",""),"/",""),":",""),";",""),"&lt;",""),"=",""),"&gt;",""),"?",""),"@",""),"[",""),"\",""),"]",""),"^",""),"_",""),"`",""),"{",""),"|",""),"}",""),"~",""),CHAR(9),""),CHAR(10),""),CHAR(13),"")," ",""),"")</f>
        <v/>
      </c>
      <c r="BW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51))," ",""),"!",""),CHAR(34),""),"#",""),"$",""),"%",""),"&amp;",""),"'",""),"(",""),")",""),"*",""),"+",""),",",""),"-",""),".",""),"/",""),":",""),";",""),"&lt;",""),"=",""),"&gt;",""),"?",""),"@",""),"[",""),"\",""),"]",""),"^",""),"_",""),"`",""),"{",""),"|",""),"}",""),"~",""),CHAR(9),""),CHAR(10),""),CHAR(13),"")," ",""),"")</f>
        <v/>
      </c>
      <c r="BX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52))," ",""),"!",""),CHAR(34),""),"#",""),"$",""),"%",""),"&amp;",""),"'",""),"(",""),")",""),"*",""),"+",""),",",""),"-",""),".",""),"/",""),":",""),";",""),"&lt;",""),"=",""),"&gt;",""),"?",""),"@",""),"[",""),"\",""),"]",""),"^",""),"_",""),"`",""),"{",""),"|",""),"}",""),"~",""),CHAR(9),""),CHAR(10),""),CHAR(13),"")," ",""),"")</f>
        <v/>
      </c>
      <c r="BY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53))," ",""),"!",""),CHAR(34),""),"#",""),"$",""),"%",""),"&amp;",""),"'",""),"(",""),")",""),"*",""),"+",""),",",""),"-",""),".",""),"/",""),":",""),";",""),"&lt;",""),"=",""),"&gt;",""),"?",""),"@",""),"[",""),"\",""),"]",""),"^",""),"_",""),"`",""),"{",""),"|",""),"}",""),"~",""),CHAR(9),""),CHAR(10),""),CHAR(13),"")," ",""),"")</f>
        <v/>
      </c>
      <c r="BZ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54))," ",""),"!",""),CHAR(34),""),"#",""),"$",""),"%",""),"&amp;",""),"'",""),"(",""),")",""),"*",""),"+",""),",",""),"-",""),".",""),"/",""),":",""),";",""),"&lt;",""),"=",""),"&gt;",""),"?",""),"@",""),"[",""),"\",""),"]",""),"^",""),"_",""),"`",""),"{",""),"|",""),"}",""),"~",""),CHAR(9),""),CHAR(10),""),CHAR(13),"")," ",""),"")</f>
        <v/>
      </c>
      <c r="CA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55))," ",""),"!",""),CHAR(34),""),"#",""),"$",""),"%",""),"&amp;",""),"'",""),"(",""),")",""),"*",""),"+",""),",",""),"-",""),".",""),"/",""),":",""),";",""),"&lt;",""),"=",""),"&gt;",""),"?",""),"@",""),"[",""),"\",""),"]",""),"^",""),"_",""),"`",""),"{",""),"|",""),"}",""),"~",""),CHAR(9),""),CHAR(10),""),CHAR(13),"")," ",""),"")</f>
        <v/>
      </c>
      <c r="CB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56))," ",""),"!",""),CHAR(34),""),"#",""),"$",""),"%",""),"&amp;",""),"'",""),"(",""),")",""),"*",""),"+",""),",",""),"-",""),".",""),"/",""),":",""),";",""),"&lt;",""),"=",""),"&gt;",""),"?",""),"@",""),"[",""),"\",""),"]",""),"^",""),"_",""),"`",""),"{",""),"|",""),"}",""),"~",""),CHAR(9),""),CHAR(10),""),CHAR(13),"")," ",""),"")</f>
        <v/>
      </c>
      <c r="CC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57))," ",""),"!",""),CHAR(34),""),"#",""),"$",""),"%",""),"&amp;",""),"'",""),"(",""),")",""),"*",""),"+",""),",",""),"-",""),".",""),"/",""),":",""),";",""),"&lt;",""),"=",""),"&gt;",""),"?",""),"@",""),"[",""),"\",""),"]",""),"^",""),"_",""),"`",""),"{",""),"|",""),"}",""),"~",""),CHAR(9),""),CHAR(10),""),CHAR(13),"")," ",""),"")</f>
        <v/>
      </c>
      <c r="CD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58))," ",""),"!",""),CHAR(34),""),"#",""),"$",""),"%",""),"&amp;",""),"'",""),"(",""),")",""),"*",""),"+",""),",",""),"-",""),".",""),"/",""),":",""),";",""),"&lt;",""),"=",""),"&gt;",""),"?",""),"@",""),"[",""),"\",""),"]",""),"^",""),"_",""),"`",""),"{",""),"|",""),"}",""),"~",""),CHAR(9),""),CHAR(10),""),CHAR(13),"")," ",""),"")</f>
        <v/>
      </c>
      <c r="CE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59))," ",""),"!",""),CHAR(34),""),"#",""),"$",""),"%",""),"&amp;",""),"'",""),"(",""),")",""),"*",""),"+",""),",",""),"-",""),".",""),"/",""),":",""),";",""),"&lt;",""),"=",""),"&gt;",""),"?",""),"@",""),"[",""),"\",""),"]",""),"^",""),"_",""),"`",""),"{",""),"|",""),"}",""),"~",""),CHAR(9),""),CHAR(10),""),CHAR(13),"")," ",""),"")</f>
        <v/>
      </c>
      <c r="CF230">
        <f>IFERROR(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INDEX(PASTE_ALL,HEADER_ROW,60))," ",""),"!",""),CHAR(34),""),"#",""),"$",""),"%",""),"&amp;",""),"'",""),"(",""),")",""),"*",""),"+",""),",",""),"-",""),".",""),"/",""),":",""),";",""),"&lt;",""),"=",""),"&gt;",""),"?",""),"@",""),"[",""),"\",""),"]",""),"^",""),"_",""),"`",""),"{",""),"|",""),"}",""),"~",""),CHAR(9),""),CHAR(10),""),CHAR(13),"")," ",""),"")</f>
        <v/>
      </c>
      <c r="DA230" t="n">
        <v>226</v>
      </c>
      <c r="DB230">
        <f>IF($B$37=0,"",IFERROR(TRIM(SUBSTITUTE(SUBSTITUTE(SUBSTITUTE(SUBSTITUTE(INDEX(PASTE_ALL,226,$B$37)," "," "),CHAR(9)," "),CHAR(10)," "),CHAR(13)," ")),""))</f>
        <v/>
      </c>
      <c r="DC230">
        <f>IF(AND(226&gt;HEADER_ROW,UPPER(DB230)="LEGEND"),1,0)</f>
        <v/>
      </c>
      <c r="DE230" t="n">
        <v>226</v>
      </c>
      <c r="DF230">
        <f>HEADER_ROW+$DE230</f>
        <v/>
      </c>
      <c r="DG230">
        <f>IF(AND($DF230&lt;=1000,$DF230&lt;$B$8),1,0)</f>
        <v/>
      </c>
      <c r="DH230">
        <f>IF($DG230=1,IFERROR(INDEX($DB$5:$DB$1004,$DF230),""),"")</f>
        <v/>
      </c>
      <c r="DI230">
        <f>IF(AND($DG230=1,$DH230&lt;&gt;""),IFERROR(SUBSTITUTE(SUBSTITUTE(TRIM(SUBSTITUTE(SUBSTITUTE(SUBSTITUTE(SUBSTITUTE(IFERROR(INDEX(PASTE_ALL,$DF230,1)&amp;"","")&amp;"␟"&amp;IFERROR(INDEX(PASTE_ALL,$DF230,2)&amp;"","")&amp;"␟"&amp;IFERROR(INDEX(PASTE_ALL,$DF230,3)&amp;"","")&amp;"␟"&amp;IFERROR(INDEX(PASTE_ALL,$DF230,4)&amp;"","")&amp;"␟"&amp;IFERROR(INDEX(PASTE_ALL,$DF230,5)&amp;"","")&amp;"␟"&amp;IFERROR(INDEX(PASTE_ALL,$DF230,6)&amp;"","")&amp;"␟"&amp;IFERROR(INDEX(PASTE_ALL,$DF230,7)&amp;"","")&amp;"␟"&amp;IFERROR(INDEX(PASTE_ALL,$DF230,8)&amp;"","")&amp;"␟"&amp;IFERROR(INDEX(PASTE_ALL,$DF230,9)&amp;"","")&amp;"␟"&amp;IFERROR(INDEX(PASTE_ALL,$DF230,10)&amp;"","")&amp;"␟"&amp;IFERROR(INDEX(PASTE_ALL,$DF230,11)&amp;"","")&amp;"␟"&amp;IFERROR(INDEX(PASTE_ALL,$DF230,12)&amp;"","")&amp;"␟"&amp;IFERROR(INDEX(PASTE_ALL,$DF230,13)&amp;"","")&amp;"␟"&amp;IFERROR(INDEX(PASTE_ALL,$DF230,14)&amp;"","")&amp;"␟"&amp;IFERROR(INDEX(PASTE_ALL,$DF230,15)&amp;"","")&amp;"␟"&amp;IFERROR(INDEX(PASTE_ALL,$DF230,16)&amp;"","")&amp;"␟"&amp;IFERROR(INDEX(PASTE_ALL,$DF230,17)&amp;"","")&amp;"␟"&amp;IFERROR(INDEX(PASTE_ALL,$DF230,18)&amp;"","")&amp;"␟"&amp;IFERROR(INDEX(PASTE_ALL,$DF230,19)&amp;"","")&amp;"␟"&amp;IFERROR(INDEX(PASTE_ALL,$DF230,20)&amp;"","")&amp;"␟"&amp;IFERROR(INDEX(PASTE_ALL,$DF230,21)&amp;"","")&amp;"␟"&amp;IFERROR(INDEX(PASTE_ALL,$DF230,22)&amp;"","")&amp;"␟"&amp;IFERROR(INDEX(PASTE_ALL,$DF230,23)&amp;"","")&amp;"␟"&amp;IFERROR(INDEX(PASTE_ALL,$DF230,24)&amp;"","")&amp;"␟"&amp;IFERROR(INDEX(PASTE_ALL,$DF230,25)&amp;"","")&amp;"␟"&amp;IFERROR(INDEX(PASTE_ALL,$DF230,26)&amp;"","")&amp;"␟"&amp;IFERROR(INDEX(PASTE_ALL,$DF230,27)&amp;"","")&amp;"␟"&amp;IFERROR(INDEX(PASTE_ALL,$DF230,28)&amp;"","")&amp;"␟"&amp;IFERROR(INDEX(PASTE_ALL,$DF230,29)&amp;"","")&amp;"␟"&amp;IFERROR(INDEX(PASTE_ALL,$DF230,30)&amp;"","")&amp;"␟"&amp;IFERROR(INDEX(PASTE_ALL,$DF230,31)&amp;"","")&amp;"␟"&amp;IFERROR(INDEX(PASTE_ALL,$DF230,32)&amp;"","")&amp;"␟"&amp;IFERROR(INDEX(PASTE_ALL,$DF230,33)&amp;"","")&amp;"␟"&amp;IFERROR(INDEX(PASTE_ALL,$DF230,34)&amp;"","")&amp;"␟"&amp;IFERROR(INDEX(PASTE_ALL,$DF230,35)&amp;"","")&amp;"␟"&amp;IFERROR(INDEX(PASTE_ALL,$DF230,36)&amp;"","")&amp;"␟"&amp;IFERROR(INDEX(PASTE_ALL,$DF230,37)&amp;"","")&amp;"␟"&amp;IFERROR(INDEX(PASTE_ALL,$DF230,38)&amp;"","")&amp;"␟"&amp;IFERROR(INDEX(PASTE_ALL,$DF230,39)&amp;"","")&amp;"␟"&amp;IFERROR(INDEX(PASTE_ALL,$DF230,40)&amp;"","")&amp;"␟"&amp;IFERROR(INDEX(PASTE_ALL,$DF230,41)&amp;"","")&amp;"␟"&amp;IFERROR(INDEX(PASTE_ALL,$DF230,42)&amp;"","")&amp;"␟"&amp;IFERROR(INDEX(PASTE_ALL,$DF230,43)&amp;"","")&amp;"␟"&amp;IFERROR(INDEX(PASTE_ALL,$DF230,44)&amp;"","")&amp;"␟"&amp;IFERROR(INDEX(PASTE_ALL,$DF230,45)&amp;"","")&amp;"␟"&amp;IFERROR(INDEX(PASTE_ALL,$DF230,46)&amp;"","")&amp;"␟"&amp;IFERROR(INDEX(PASTE_ALL,$DF230,47)&amp;"","")&amp;"␟"&amp;IFERROR(INDEX(PASTE_ALL,$DF230,48)&amp;"","")&amp;"␟"&amp;IFERROR(INDEX(PASTE_ALL,$DF230,49)&amp;"","")&amp;"␟"&amp;IFERROR(INDEX(PASTE_ALL,$DF230,50)&amp;"","")&amp;"␟"&amp;IFERROR(INDEX(PASTE_ALL,$DF230,51)&amp;"","")&amp;"␟"&amp;IFERROR(INDEX(PASTE_ALL,$DF230,52)&amp;"","")&amp;"␟"&amp;IFERROR(INDEX(PASTE_ALL,$DF230,53)&amp;"","")&amp;"␟"&amp;IFERROR(INDEX(PASTE_ALL,$DF230,54)&amp;"","")&amp;"␟"&amp;IFERROR(INDEX(PASTE_ALL,$DF230,55)&amp;"","")&amp;"␟"&amp;IFERROR(INDEX(PASTE_ALL,$DF230,56)&amp;"","")&amp;"␟"&amp;IFERROR(INDEX(PASTE_ALL,$DF230,57)&amp;"","")&amp;"␟"&amp;IFERROR(INDEX(PASTE_ALL,$DF230,58)&amp;"","")&amp;"␟"&amp;IFERROR(INDEX(PASTE_ALL,$DF230,59)&amp;"","")&amp;"␟"&amp;IFERROR(INDEX(PASTE_ALL,$DF230,60)&amp;"","")," "," "),CHAR(9)," "),CHAR(10)," "),CHAR(13)," "))," ␟","␟"),"␟ ","␟"),"#"&amp;$DE230),"")</f>
        <v/>
      </c>
      <c r="DJ230">
        <f>IF($DI230="",0,IF(SUMPRODUCT(--EXACT($DI$4:DI229,$DI230))&gt;0,1,0))</f>
        <v/>
      </c>
      <c r="DK230">
        <f>IF(AND($DI230&lt;&gt;"",$DJ230=0),1,0)</f>
        <v/>
      </c>
      <c r="DL230">
        <f>DL229+$DK230</f>
        <v/>
      </c>
      <c r="DM230">
        <f>IF(AND($DK230=1,$DL230&lt;=600),1,0)</f>
        <v/>
      </c>
      <c r="DN230">
        <f>IF($DM230=0,"",IF($L$6=0,"",IFERROR(IF(ISNUMBER(INDEX(PASTE_ALL,$DF230,$L$6)),INDEX(PASTE_ALL,$DF230,$L$6),TRIM(SUBSTITUTE(SUBSTITUTE(SUBSTITUTE(SUBSTITUTE(INDEX(PASTE_ALL,$DF230,$L$6)," "," "),CHAR(9)," "),CHAR(10)," "),CHAR(13)," "))),"")))</f>
        <v/>
      </c>
      <c r="DO230">
        <f>IF($DM230=0,"",IF($L$7=0,"",IFERROR(IF(ISNUMBER(INDEX(PASTE_ALL,$DF230,$L$7)),INDEX(PASTE_ALL,$DF230,$L$7),TRIM(SUBSTITUTE(SUBSTITUTE(SUBSTITUTE(SUBSTITUTE(INDEX(PASTE_ALL,$DF230,$L$7)," "," "),CHAR(9)," "),CHAR(10)," "),CHAR(13)," "))),"")))</f>
        <v/>
      </c>
      <c r="DP230">
        <f>IF($DM230=0,"",IF($L$8=0,"",IFERROR(IF(ISNUMBER(INDEX(PASTE_ALL,$DF230,$L$8)),INDEX(PASTE_ALL,$DF230,$L$8),TRIM(SUBSTITUTE(SUBSTITUTE(SUBSTITUTE(SUBSTITUTE(INDEX(PASTE_ALL,$DF230,$L$8)," "," "),CHAR(9)," "),CHAR(10)," "),CHAR(13)," "))),"")))</f>
        <v/>
      </c>
      <c r="DQ230">
        <f>IF($DM230=0,"",IF($L$9=0,"",IFERROR(IF(ISNUMBER(INDEX(PASTE_ALL,$DF230,$L$9)),INDEX(PASTE_ALL,$DF230,$L$9),TRIM(SUBSTITUTE(SUBSTITUTE(SUBSTITUTE(SUBSTITUTE(INDEX(PASTE_ALL,$DF230,$L$9)," "," "),CHAR(9)," "),CHAR(10)," "),CHAR(13)," "))),"")))</f>
        <v/>
      </c>
      <c r="DR230">
        <f>IF($DM230=0,"",IF($L$10=0,"",IFERROR(IF(ISNUMBER(INDEX(PASTE_ALL,$DF230,$L$10)),INDEX(PASTE_ALL,$DF230,$L$10),TRIM(SUBSTITUTE(SUBSTITUTE(SUBSTITUTE(SUBSTITUTE(INDEX(PASTE_ALL,$DF230,$L$10)," "," "),CHAR(9)," "),CHAR(10)," "),CHAR(13)," "))),"")))</f>
        <v/>
      </c>
      <c r="DS230">
        <f>IF($DM230=0,"",IF($L$11=0,"",IFERROR(IF(ISNUMBER(INDEX(PASTE_ALL,$DF230,$L$11)),INDEX(PASTE_ALL,$DF230,$L$11),TRIM(SUBSTITUTE(SUBSTITUTE(SUBSTITUTE(SUBSTITUTE(INDEX(PASTE_ALL,$DF230,$L$11)," "," "),CHAR(9)," "),CHAR(10)," "),CHAR(13)," "))),"")))</f>
        <v/>
      </c>
      <c r="DT230">
        <f>IF($DM230=0,"",IF($L$12=0,"",IFERROR(IF(ISNUMBER(INDEX(PASTE_ALL,$DF230,$L$12)),INDEX(PASTE_ALL,$DF230,$L$12),TRIM(SUBSTITUTE(SUBSTITUTE(SUBSTITUTE(SUBSTITUTE(INDEX(PASTE_ALL,$DF230,$L$12)," "," "),CHAR(9)," "),CHAR(10)," "),CHAR(13)," "))),"")))</f>
        <v/>
      </c>
      <c r="DU230">
        <f>IF($DM230=0,"",IF($L$13=0,"",IFERROR(IF(ISNUMBER(INDEX(PASTE_ALL,$DF230,$L$13)),INDEX(PASTE_ALL,$DF230,$L$13),TRIM(SUBSTITUTE(SUBSTITUTE(SUBSTITUTE(SUBSTITUTE(INDEX(PASTE_ALL,$DF230,$L$13)," "," "),CHAR(9)," "),CHAR(10)," "),CHAR(13)," "))),"")))</f>
        <v/>
      </c>
      <c r="DV230">
        <f>IF($DM230=0,"",IF($L$14=0,"",IFERROR(IF(ISNUMBER(INDEX(PASTE_ALL,$DF230,$L$14)),INDEX(PASTE_ALL,$DF230,$L$14),TRIM(SUBSTITUTE(SUBSTITUTE(SUBSTITUTE(SUBSTITUTE(INDEX(PASTE_ALL,$DF230,$L$14)," "," "),CHAR(9)," "),CHAR(10)," "),CHAR(13)," "))),"")))</f>
        <v/>
      </c>
      <c r="DW230">
        <f>IF($DM230=0,"",IF($L$15=0,"",IFERROR(IF(ISNUMBER(INDEX(PASTE_ALL,$DF230,$L$15)),INDEX(PASTE_ALL,$DF230,$L$15),IF(SUMPRODUCT(--ISNUMBER(FIND({"A","B","C","D","E","F","G","H","I","J","K","L","M","N","O","P","Q","R","S","T","U","V","W","X","Y","Z","0","1","2","3","4","5","6","7","8","9"},UPPER(TRIM(SUBSTITUTE(SUBSTITUTE(SUBSTITUTE(SUBSTITUTE(INDEX(PASTE_ALL,$DF230,$L$15)," "," "),CHAR(9)," "),CHAR(10)," "),CHAR(13)," "))))))&gt;0,TRIM(SUBSTITUTE(SUBSTITUTE(SUBSTITUTE(SUBSTITUTE(INDEX(PASTE_ALL,$DF230,$L$15)," "," "),CHAR(9)," "),CHAR(10)," "),CHAR(13)," ")),"")),"")))</f>
        <v/>
      </c>
      <c r="DX230">
        <f>IF($DM230=0,"",IF($L$16=0,"",IFERROR(IF(ISNUMBER(INDEX(PASTE_ALL,$DF230,$L$16)),INDEX(PASTE_ALL,$DF230,$L$16),SUBSTITUTE(SUBSTITUTE(TRIM(SUBSTITUTE(SUBSTITUTE(SUBSTITUTE(SUBSTITUTE(INDEX(PASTE_ALL,$DF230,$L$16)," "," "),CHAR(9)," "),CHAR(10)," "),CHAR(13)," ")),",",""),"%","")),"")))</f>
        <v/>
      </c>
      <c r="DY230">
        <f>IF($DM230=0,"",IFERROR(IF(ISNUMBER($DX230),$DX230,IF($DX230="","",IF(TRIM($DX230)="",0,IF(AND(AND(SUBSTITUTE(SUBSTITUTE(SUBSTITUTE(SUBSTITUTE(SUBSTITUTE(SUBSTITUTE(SUBSTITUTE(SUBSTITUTE(SUBSTITUTE(SUBSTITUTE(SUBSTITUTE(SUBSTITUTE(SUBSTITUTE(SUBSTITUTE(UPPER(TRIM($DX230)),"0",""),"1",""),"2",""),"3",""),"4",""),"5",""),"6",""),"7",""),"8",""),"9",""),".",""),"+",""),"-",""),"E","")="",LEN(SUBSTITUTE(SUBSTITUTE(MID(UPPER(TRIM($DX230)),1+OR(LEFT(UPPER(TRIM($DX230)),1)="+",LEFT(UPPER(TRIM($DX230)),1)="-"),999),"E+","E"),"E-","E"))=LEN(SUBSTITUTE(SUBSTITUTE(SUBSTITUTE(SUBSTITUTE(MID(UPPER(TRIM($DX230)),1+OR(LEFT(UPPER(TRIM($DX230)),1)="+",LEFT(UPPER(TRIM($DX230)),1)="-"),999),"E+","E"),"E-","E"),"+",""),"-","")),LEN(UPPER(TRIM($DX230)))-LEN(SUBSTITUTE(UPPER(TRIM($DX230)),"E",""))&lt;2,LEN(UPPER(TRIM($DX230)))-LEN(SUBSTITUTE(UPPER(TRIM($DX230)),".",""))&lt;2,IFERROR(FIND(".",UPPER(TRIM($DX230))),0)&lt;IFERROR(FIND("E",UPPER(TRIM($DX230))),999)),ISNUMBER(VALUE(TRIM($DX230)))),VALUE(TRIM($DX230)),"")))),""))</f>
        <v/>
      </c>
      <c r="DZ230">
        <f>IF($DM230=0,"",IF($L$17=0,"",IFERROR(IF(ISNUMBER(INDEX(PASTE_ALL,$DF230,$L$17)),INDEX(PASTE_ALL,$DF230,$L$17),SUBSTITUTE(SUBSTITUTE(TRIM(SUBSTITUTE(SUBSTITUTE(SUBSTITUTE(SUBSTITUTE(INDEX(PASTE_ALL,$DF230,$L$17)," "," "),CHAR(9)," "),CHAR(10)," "),CHAR(13)," ")),",",""),"%","")),"")))</f>
        <v/>
      </c>
      <c r="EA230">
        <f>IF($DM230=0,"",IFERROR(IF(ISNUMBER($DZ230),$DZ230,IF($DZ230="","",IF(TRIM($DZ230)="",0,IF(AND(AND(SUBSTITUTE(SUBSTITUTE(SUBSTITUTE(SUBSTITUTE(SUBSTITUTE(SUBSTITUTE(SUBSTITUTE(SUBSTITUTE(SUBSTITUTE(SUBSTITUTE(SUBSTITUTE(SUBSTITUTE(SUBSTITUTE(SUBSTITUTE(UPPER(TRIM($DZ230)),"0",""),"1",""),"2",""),"3",""),"4",""),"5",""),"6",""),"7",""),"8",""),"9",""),".",""),"+",""),"-",""),"E","")="",LEN(SUBSTITUTE(SUBSTITUTE(MID(UPPER(TRIM($DZ230)),1+OR(LEFT(UPPER(TRIM($DZ230)),1)="+",LEFT(UPPER(TRIM($DZ230)),1)="-"),999),"E+","E"),"E-","E"))=LEN(SUBSTITUTE(SUBSTITUTE(SUBSTITUTE(SUBSTITUTE(MID(UPPER(TRIM($DZ230)),1+OR(LEFT(UPPER(TRIM($DZ230)),1)="+",LEFT(UPPER(TRIM($DZ230)),1)="-"),999),"E+","E"),"E-","E"),"+",""),"-","")),LEN(UPPER(TRIM($DZ230)))-LEN(SUBSTITUTE(UPPER(TRIM($DZ230)),"E",""))&lt;2,LEN(UPPER(TRIM($DZ230)))-LEN(SUBSTITUTE(UPPER(TRIM($DZ230)),".",""))&lt;2,IFERROR(FIND(".",UPPER(TRIM($DZ230))),0)&lt;IFERROR(FIND("E",UPPER(TRIM($DZ230))),999)),ISNUMBER(VALUE(TRIM($DZ230)))),VALUE(TRIM($DZ230)),"")))),""))</f>
        <v/>
      </c>
      <c r="EB230">
        <f>IF($DM230=0,"",IF($L$18=0,"",IFERROR(IF(UPPER(TRIM(SUBSTITUTE(SUBSTITUTE(SUBSTITUTE(SUBSTITUTE(INDEX(PASTE_ALL,$DF230,$L$18)," "," "),CHAR(9)," "),CHAR(10)," "),CHAR(13)," ")))="READY","Ready",IF(UPPER(TRIM(SUBSTITUTE(SUBSTITUTE(SUBSTITUTE(SUBSTITUTE(INDEX(PASTE_ALL,$DF230,$L$18)," "," "),CHAR(9)," "),CHAR(10)," "),CHAR(13)," ")))="PM","PM",IF(OR(UPPER(TRIM(SUBSTITUTE(SUBSTITUTE(SUBSTITUTE(SUBSTITUTE(INDEX(PASTE_ALL,$DF230,$L$18)," "," "),CHAR(9)," "),CHAR(10)," "),CHAR(13)," ")))="OT",UPPER(TRIM(SUBSTITUTE(SUBSTITUTE(SUBSTITUTE(SUBSTITUTE(INDEX(PASTE_ALL,$DF230,$L$18)," "," "),CHAR(9)," "),CHAR(10)," "),CHAR(13)," ")))="OVERTIME",UPPER(TRIM(SUBSTITUTE(SUBSTITUTE(SUBSTITUTE(SUBSTITUTE(INDEX(PASTE_ALL,$DF230,$L$18)," "," "),CHAR(9)," "),CHAR(10)," "),CHAR(13)," ")))="TRIAL"),"OT",TRIM(SUBSTITUTE(SUBSTITUTE(SUBSTITUTE(SUBSTITUTE(INDEX(PASTE_ALL,$DF230,$L$18)," "," "),CHAR(9)," "),CHAR(10)," "),CHAR(13)," "))))),"")))</f>
        <v/>
      </c>
      <c r="EC230">
        <f>IF($DM230=0,"",IF($L$19=0,"",IFERROR(IF(ISNUMBER(INDEX(PASTE_ALL,$DF230,$L$19)),INDEX(PASTE_ALL,$DF230,$L$19),TRIM(SUBSTITUTE(SUBSTITUTE(SUBSTITUTE(SUBSTITUTE(INDEX(PASTE_ALL,$DF230,$L$19)," "," "),CHAR(9)," "),CHAR(10)," "),CHAR(13)," "))),"")))</f>
        <v/>
      </c>
      <c r="ED230">
        <f>IF($DM230=0,"",MATCH(1,INDEX(EXACT($DH$5:DH230,$DH230)*$DM$5:DM230,0),0))</f>
        <v/>
      </c>
      <c r="EE230">
        <f>IF($DM230=0,0,IF($ED230=$DE230,1,0))</f>
        <v/>
      </c>
      <c r="EF230">
        <f>EF229+$EE230</f>
        <v/>
      </c>
      <c r="EG230">
        <f>IF($DM230=0,"",INDEX($EF$5:$EF$1003,$ED230))</f>
        <v/>
      </c>
      <c r="EH230">
        <f>IF($DM230=0,"",IF($DO230&lt;&gt;"","",IFERROR(LOOKUP(2,1/(($EG$4:EG229=$EG230)*($DO$4:DO229&lt;&gt;"")),$DO$4:DO229),"")))</f>
        <v/>
      </c>
      <c r="EI230">
        <f>IF($DM230=0,"",IF($DO230&lt;&gt;"",$DO230,$EH230))</f>
        <v/>
      </c>
      <c r="EJ230">
        <f>IF($DM230=0,"",IF($EI230="",0,IF(OR(ISNUMBER($EI230),AND(AND(SUBSTITUTE(SUBSTITUTE(SUBSTITUTE(SUBSTITUTE(SUBSTITUTE(SUBSTITUTE(SUBSTITUTE(SUBSTITUTE(SUBSTITUTE(SUBSTITUTE(SUBSTITUTE(SUBSTITUTE(SUBSTITUTE(SUBSTITUTE(UPPER($EI230),"0",""),"1",""),"2",""),"3",""),"4",""),"5",""),"6",""),"7",""),"8",""),"9",""),".",""),"+",""),"-",""),"E","")="",LEN(SUBSTITUTE(SUBSTITUTE(MID(UPPER($EI230),1+OR(LEFT(UPPER($EI230),1)="+",LEFT(UPPER($EI230),1)="-"),999),"E+","E"),"E-","E"))=LEN(SUBSTITUTE(SUBSTITUTE(SUBSTITUTE(SUBSTITUTE(MID(UPPER($EI230),1+OR(LEFT(UPPER($EI230),1)="+",LEFT(UPPER($EI230),1)="-"),999),"E+","E"),"E-","E"),"+",""),"-","")),LEN(UPPER($EI230))-LEN(SUBSTITUTE(UPPER($EI230),"E",""))&lt;2,LEN(UPPER($EI230))-LEN(SUBSTITUTE(UPPER($EI230),".",""))&lt;2,IFERROR(FIND(".",UPPER($EI230)),0)&lt;IFERROR(FIND("E",UPPER($EI230)),999)),ISNUMBER(VALUE($EI230)))),1,2)))</f>
        <v/>
      </c>
      <c r="EK230">
        <f>IF($DM230=0,"",IF($EJ230=1,IF(ISNUMBER($EI230),$EI230,VALUE($EI230)),IF($EJ230=2,$DE230,0)))</f>
        <v/>
      </c>
      <c r="EL230">
        <f>IF($DM230=0,"",COUNTIF($EG$5:$EG$1003,"&lt;"&amp;$EG230)+SUMPRODUCT(($EG$5:$EG$1003=$EG230)*(($EJ$5:$EJ$1003&lt;$EJ230)+($EJ$5:$EJ$1003=$EJ230)*(($EK$5:$EK$1003&lt;$EK230)+($EK$5:$EK$1003=$EK230)*($DE$5:$DE$1003&lt;$DE230))))+1)</f>
        <v/>
      </c>
      <c r="EM230">
        <f>IF($DM230=0,"",$EL230+$EG230-1)</f>
        <v/>
      </c>
      <c r="EN230">
        <f>IF($DM230=0,0,IFERROR(MATCH(1,INDEX(--(TRIM(SUBSTITUTE(SUBSTITUTE(SUBSTITUTE(SUBSTITUTE(LINES_NAME&amp;""," "," "),CHAR(9)," "),CHAR(10)," "),CHAR(13)," "))=$DH230),0),0),0))</f>
        <v/>
      </c>
      <c r="EO230">
        <f>IF($EN230=0,0,IF(OR(UPPER(TRIM(INDEX(LINES_SCHEDULED,$EN230)&amp;""))="YES",UPPER(TRIM(INDEX(LINES_SCHEDULED,$EN230)&amp;""))="Y",UPPER(TRIM(INDEX(LINES_SCHEDULED,$EN230)&amp;""))="X"),1,0))</f>
        <v/>
      </c>
      <c r="EP230">
        <f>IF($DM230=0,"",IF(COUNTIFS($EG$5:$EG$1003,$EG230,$EB$5:$EB$1003,"Ready")&gt;0,"READY",IF(COUNTIFS($EG$5:$EG$1003,$EG230,$EB$5:$EB$1003,"PM")&gt;0,"PM",IF(COUNTIFS($EG$5:$EG$1003,$EG230,$EB$5:$EB$1003,"OT")&gt;0,"OT",""))))</f>
        <v/>
      </c>
      <c r="EQ230">
        <f>IF($EN230=0,"",UPPER(TRIM(INDEX(LINES_STATUS,$EN230)&amp;"")))</f>
        <v/>
      </c>
      <c r="ER230">
        <f>IF($DM230=0,"",IF(OR($EQ230="READY",$EQ230="PM",$EQ230="OT"),$EQ230,$EP230))</f>
        <v/>
      </c>
      <c r="ES230">
        <f>IF($DM230=0,"",IF(AND($DV230&lt;&gt;"",UPPER($DV230)&lt;&gt;"N"),"allergen",IF(ISNUMBER(SEARCH("oil",$DQ230)),"oil",IF(OR(EXACT($DS230,"A662"),EXACT($DS230,"A624")),"bulk",""))))</f>
        <v/>
      </c>
      <c r="ET230">
        <f>IF($DM230=0,"",IF(OR($EA230="",$EA230=0),"",$EA230/100))</f>
        <v/>
      </c>
      <c r="EU230">
        <f>IF(OR($ET230="",$DY230=""),"",INT($DY230*(1-$ET230)+0.5))</f>
        <v/>
      </c>
      <c r="EW230" t="n">
        <v>226</v>
      </c>
      <c r="EX230">
        <f>IFERROR(MATCH($EW230,$EM$5:$EM$1003,0),0)</f>
        <v/>
      </c>
      <c r="EY230">
        <f>IF($EW230&gt;$B$12,"",IF($EX230&gt;0,"row","spacer"))</f>
        <v/>
      </c>
      <c r="EZ230">
        <f>IF(AND($EY230="row",$EY229&lt;&gt;"row"),1,0)</f>
        <v/>
      </c>
      <c r="FA230">
        <f>IF(AND($EY230="row",$EY231&lt;&gt;"row"),1,0)</f>
        <v/>
      </c>
      <c r="FB230">
        <f>IF($EZ230=1,IFERROR(IF(ISNUMBER(INDEX(PASTE_ALL,INDEX($DF$5:$DF$1003,$EX230),$B$37)),INDEX(PASTE_ALL,INDEX($DF$5:$DF$1003,$EX230),$B$37),INDEX($DH$5:$DH$1003,$EX230)),INDEX($DH$5:$DH$1003,$EX230)),"")</f>
        <v/>
      </c>
      <c r="FC230">
        <f>IF($EY230="row",INDEX($ER$5:$ER$1003,$EX230),"")</f>
        <v/>
      </c>
      <c r="FD230">
        <f>IF($EY230="row",INDEX($DN$5:$DN$1003,$EX230),"")</f>
        <v/>
      </c>
      <c r="FE230">
        <f>IF($EY230="row",INDEX($DO$5:$DO$1003,$EX230),"")</f>
        <v/>
      </c>
      <c r="FF230">
        <f>IF($EY230="row",INDEX($DP$5:$DP$1003,$EX230),"")</f>
        <v/>
      </c>
      <c r="FG230">
        <f>IF($EY230="row",INDEX($DQ$5:$DQ$1003,$EX230),"")</f>
        <v/>
      </c>
      <c r="FH230">
        <f>IF($EY230="row",INDEX($DR$5:$DR$1003,$EX230),"")</f>
        <v/>
      </c>
      <c r="FI230">
        <f>IF($EY230="row",INDEX($DS$5:$DS$1003,$EX230),"")</f>
        <v/>
      </c>
      <c r="FJ230">
        <f>IF($EY230="row",INDEX($DT$5:$DT$1003,$EX230),"")</f>
        <v/>
      </c>
      <c r="FK230">
        <f>IF($EY230="row",INDEX($DU$5:$DU$1003,$EX230),"")</f>
        <v/>
      </c>
      <c r="FL230">
        <f>IF($EY230="row",INDEX($DV$5:$DV$1003,$EX230),"")</f>
        <v/>
      </c>
      <c r="FM230">
        <f>IF($EY230="row",INDEX($DW$5:$DW$1003,$EX230),"")</f>
        <v/>
      </c>
      <c r="FN230">
        <f>IF($EY230="row",INDEX($DY$5:$DY$1003,$EX230),"")</f>
        <v/>
      </c>
      <c r="FO230">
        <f>IF($EY230="row",INDEX($EA$5:$EA$1003,$EX230),"")</f>
        <v/>
      </c>
      <c r="FP230">
        <f>IF($EY230="row",INDEX($EC$5:$EC$1003,$EX230),"")</f>
        <v/>
      </c>
      <c r="FQ230">
        <f>IF($EY230="row",INDEX($ET$5:$ET$1003,$EX230),"")</f>
        <v/>
      </c>
      <c r="FR230">
        <f>IF($EY230="row",INDEX($EU$5:$EU$1003,$EX230),"")</f>
        <v/>
      </c>
      <c r="FS230">
        <f>IF(AND($EY230="row",$EY229="row"),IF(OR(INDEX($DT$5:$DT$1003,$EX229)="",INDEX($DT$5:$DT$1003,$EX230)=""),"",IF(NOT(EXACT(INDEX($DT$5:$DT$1003,$EX229),INDEX($DT$5:$DT$1003,$EX230))),"S4",IF(NOT(EXACT(INDEX($DS$5:$DS$1003,$EX229),INDEX($DS$5:$DS$1003,$EX230))),"S3",IF(NOT(EXACT(INDEX($DR$5:$DR$1003,$EX229),INDEX($DR$5:$DR$1003,$EX230))),"S1 Count Change","S1")))),"")</f>
        <v/>
      </c>
      <c r="FT230">
        <f>IF($EY230="row",INDEX($ES$5:$ES$1003,$EX230),"")</f>
        <v/>
      </c>
      <c r="FU230">
        <f>IF($EY230="row",INDEX($EO$5:$EO$1003,$EX230),0)</f>
        <v/>
      </c>
      <c r="FV230">
        <f>IF($FS230="S1 Count Change",1,0)</f>
        <v/>
      </c>
    </row>
    <row r="231">
      <c r="X231" s="69" t="inlineStr">
        <is>
          <t>EXACT field</t>
        </is>
      </c>
      <c r="Y231">
        <f>IF(Y230="",0,IFERROR(INDEX($W$5:$W$86,MATCH(Y230,$V$5:$V$86,0)),0))</f>
        <v/>
      </c>
      <c r="Z231">
        <f>IF(Z230="",0,IFERROR(INDEX($W$5:$W$86,MATCH(Z230,$V$5:$V$86,0)),0))</f>
        <v/>
      </c>
      <c r="AA231">
        <f>IF(AA230="",0,IFERROR(INDEX($W$5:$W$86,MATCH(AA230,$V$5:$V$86,0)),0))</f>
        <v/>
      </c>
      <c r="AB231">
        <f>IF(AB230="",0,IFERROR(INDEX($W$5:$W$86,MATCH(AB230,$V$5:$V$86,0)),0))</f>
        <v/>
      </c>
      <c r="AC231">
        <f>IF(AC230="",0,IFERROR(INDEX($W$5:$W$86,MATCH(AC230,$V$5:$V$86,0)),0))</f>
        <v/>
      </c>
      <c r="AD231">
        <f>IF(AD230="",0,IFERROR(INDEX($W$5:$W$86,MATCH(AD230,$V$5:$V$86,0)),0))</f>
        <v/>
      </c>
      <c r="AE231">
        <f>IF(AE230="",0,IFERROR(INDEX($W$5:$W$86,MATCH(AE230,$V$5:$V$86,0)),0))</f>
        <v/>
      </c>
      <c r="AF231">
        <f>IF(AF230="",0,IFERROR(INDEX($W$5:$W$86,MATCH(AF230,$V$5:$V$86,0)),0))</f>
        <v/>
      </c>
      <c r="AG231">
        <f>IF(AG230="",0,IFERROR(INDEX($W$5:$W$86,MATCH(AG230,$V$5:$V$86,0)),0))</f>
        <v/>
      </c>
      <c r="AH231">
        <f>IF(AH230="",0,IFERROR(INDEX($W$5:$W$86,MATCH(AH230,$V$5:$V$86,0)),0))</f>
        <v/>
      </c>
      <c r="AI231">
        <f>IF(AI230="",0,IFERROR(INDEX($W$5:$W$86,MATCH(AI230,$V$5:$V$86,0)),0))</f>
        <v/>
      </c>
      <c r="AJ231">
        <f>IF(AJ230="",0,IFERROR(INDEX($W$5:$W$86,MATCH(AJ230,$V$5:$V$86,0)),0))</f>
        <v/>
      </c>
      <c r="AK231">
        <f>IF(AK230="",0,IFERROR(INDEX($W$5:$W$86,MATCH(AK230,$V$5:$V$86,0)),0))</f>
        <v/>
      </c>
      <c r="AL231">
        <f>IF(AL230="",0,IFERROR(INDEX($W$5:$W$86,MATCH(AL230,$V$5:$V$86,0)),0))</f>
        <v/>
      </c>
      <c r="AM231">
        <f>IF(AM230="",0,IFERROR(INDEX($W$5:$W$86,MATCH(AM230,$V$5:$V$86,0)),0))</f>
        <v/>
      </c>
      <c r="AN231">
        <f>IF(AN230="",0,IFERROR(INDEX($W$5:$W$86,MATCH(AN230,$V$5:$V$86,0)),0))</f>
        <v/>
      </c>
      <c r="AO231">
        <f>IF(AO230="",0,IFERROR(INDEX($W$5:$W$86,MATCH(AO230,$V$5:$V$86,0)),0))</f>
        <v/>
      </c>
      <c r="AP231">
        <f>IF(AP230="",0,IFERROR(INDEX($W$5:$W$86,MATCH(AP230,$V$5:$V$86,0)),0))</f>
        <v/>
      </c>
      <c r="AQ231">
        <f>IF(AQ230="",0,IFERROR(INDEX($W$5:$W$86,MATCH(AQ230,$V$5:$V$86,0)),0))</f>
        <v/>
      </c>
      <c r="AR231">
        <f>IF(AR230="",0,IFERROR(INDEX($W$5:$W$86,MATCH(AR230,$V$5:$V$86,0)),0))</f>
        <v/>
      </c>
      <c r="AS231">
        <f>IF(AS230="",0,IFERROR(INDEX($W$5:$W$86,MATCH(AS230,$V$5:$V$86,0)),0))</f>
        <v/>
      </c>
      <c r="AT231">
        <f>IF(AT230="",0,IFERROR(INDEX($W$5:$W$86,MATCH(AT230,$V$5:$V$86,0)),0))</f>
        <v/>
      </c>
      <c r="AU231">
        <f>IF(AU230="",0,IFERROR(INDEX($W$5:$W$86,MATCH(AU230,$V$5:$V$86,0)),0))</f>
        <v/>
      </c>
      <c r="AV231">
        <f>IF(AV230="",0,IFERROR(INDEX($W$5:$W$86,MATCH(AV230,$V$5:$V$86,0)),0))</f>
        <v/>
      </c>
      <c r="AW231">
        <f>IF(AW230="",0,IFERROR(INDEX($W$5:$W$86,MATCH(AW230,$V$5:$V$86,0)),0))</f>
        <v/>
      </c>
      <c r="AX231">
        <f>IF(AX230="",0,IFERROR(INDEX($W$5:$W$86,MATCH(AX230,$V$5:$V$86,0)),0))</f>
        <v/>
      </c>
      <c r="AY231">
        <f>IF(AY230="",0,IFERROR(INDEX($W$5:$W$86,MATCH(AY230,$V$5:$V$86,0)),0))</f>
        <v/>
      </c>
      <c r="AZ231">
        <f>IF(AZ230="",0,IFERROR(INDEX($W$5:$W$86,MATCH(AZ230,$V$5:$V$86,0)),0))</f>
        <v/>
      </c>
      <c r="BA231">
        <f>IF(BA230="",0,IFERROR(INDEX($W$5:$W$86,MATCH(BA230,$V$5:$V$86,0)),0))</f>
        <v/>
      </c>
      <c r="BB231">
        <f>IF(BB230="",0,IFERROR(INDEX($W$5:$W$86,MATCH(BB230,$V$5:$V$86,0)),0))</f>
        <v/>
      </c>
      <c r="BC231">
        <f>IF(BC230="",0,IFERROR(INDEX($W$5:$W$86,MATCH(BC230,$V$5:$V$86,0)),0))</f>
        <v/>
      </c>
      <c r="BD231">
        <f>IF(BD230="",0,IFERROR(INDEX($W$5:$W$86,MATCH(BD230,$V$5:$V$86,0)),0))</f>
        <v/>
      </c>
      <c r="BE231">
        <f>IF(BE230="",0,IFERROR(INDEX($W$5:$W$86,MATCH(BE230,$V$5:$V$86,0)),0))</f>
        <v/>
      </c>
      <c r="BF231">
        <f>IF(BF230="",0,IFERROR(INDEX($W$5:$W$86,MATCH(BF230,$V$5:$V$86,0)),0))</f>
        <v/>
      </c>
      <c r="BG231">
        <f>IF(BG230="",0,IFERROR(INDEX($W$5:$W$86,MATCH(BG230,$V$5:$V$86,0)),0))</f>
        <v/>
      </c>
      <c r="BH231">
        <f>IF(BH230="",0,IFERROR(INDEX($W$5:$W$86,MATCH(BH230,$V$5:$V$86,0)),0))</f>
        <v/>
      </c>
      <c r="BI231">
        <f>IF(BI230="",0,IFERROR(INDEX($W$5:$W$86,MATCH(BI230,$V$5:$V$86,0)),0))</f>
        <v/>
      </c>
      <c r="BJ231">
        <f>IF(BJ230="",0,IFERROR(INDEX($W$5:$W$86,MATCH(BJ230,$V$5:$V$86,0)),0))</f>
        <v/>
      </c>
      <c r="BK231">
        <f>IF(BK230="",0,IFERROR(INDEX($W$5:$W$86,MATCH(BK230,$V$5:$V$86,0)),0))</f>
        <v/>
      </c>
      <c r="BL231">
        <f>IF(BL230="",0,IFERROR(INDEX($W$5:$W$86,MATCH(BL230,$V$5:$V$86,0)),0))</f>
        <v/>
      </c>
      <c r="BM231">
        <f>IF(BM230="",0,IFERROR(INDEX($W$5:$W$86,MATCH(BM230,$V$5:$V$86,0)),0))</f>
        <v/>
      </c>
      <c r="BN231">
        <f>IF(BN230="",0,IFERROR(INDEX($W$5:$W$86,MATCH(BN230,$V$5:$V$86,0)),0))</f>
        <v/>
      </c>
      <c r="BO231">
        <f>IF(BO230="",0,IFERROR(INDEX($W$5:$W$86,MATCH(BO230,$V$5:$V$86,0)),0))</f>
        <v/>
      </c>
      <c r="BP231">
        <f>IF(BP230="",0,IFERROR(INDEX($W$5:$W$86,MATCH(BP230,$V$5:$V$86,0)),0))</f>
        <v/>
      </c>
      <c r="BQ231">
        <f>IF(BQ230="",0,IFERROR(INDEX($W$5:$W$86,MATCH(BQ230,$V$5:$V$86,0)),0))</f>
        <v/>
      </c>
      <c r="BR231">
        <f>IF(BR230="",0,IFERROR(INDEX($W$5:$W$86,MATCH(BR230,$V$5:$V$86,0)),0))</f>
        <v/>
      </c>
      <c r="BS231">
        <f>IF(BS230="",0,IFERROR(INDEX($W$5:$W$86,MATCH(BS230,$V$5:$V$86,0)),0))</f>
        <v/>
      </c>
      <c r="BT231">
        <f>IF(BT230="",0,IFERROR(INDEX($W$5:$W$86,MATCH(BT230,$V$5:$V$86,0)),0))</f>
        <v/>
      </c>
      <c r="BU231">
        <f>IF(BU230="",0,IFERROR(INDEX($W$5:$W$86,MATCH(BU230,$V$5:$V$86,0)),0))</f>
        <v/>
      </c>
      <c r="BV231">
        <f>IF(BV230="",0,IFERROR(INDEX($W$5:$W$86,MATCH(BV230,$V$5:$V$86,0)),0))</f>
        <v/>
      </c>
      <c r="BW231">
        <f>IF(BW230="",0,IFERROR(INDEX($W$5:$W$86,MATCH(BW230,$V$5:$V$86,0)),0))</f>
        <v/>
      </c>
      <c r="BX231">
        <f>IF(BX230="",0,IFERROR(INDEX($W$5:$W$86,MATCH(BX230,$V$5:$V$86,0)),0))</f>
        <v/>
      </c>
      <c r="BY231">
        <f>IF(BY230="",0,IFERROR(INDEX($W$5:$W$86,MATCH(BY230,$V$5:$V$86,0)),0))</f>
        <v/>
      </c>
      <c r="BZ231">
        <f>IF(BZ230="",0,IFERROR(INDEX($W$5:$W$86,MATCH(BZ230,$V$5:$V$86,0)),0))</f>
        <v/>
      </c>
      <c r="CA231">
        <f>IF(CA230="",0,IFERROR(INDEX($W$5:$W$86,MATCH(CA230,$V$5:$V$86,0)),0))</f>
        <v/>
      </c>
      <c r="CB231">
        <f>IF(CB230="",0,IFERROR(INDEX($W$5:$W$86,MATCH(CB230,$V$5:$V$86,0)),0))</f>
        <v/>
      </c>
      <c r="CC231">
        <f>IF(CC230="",0,IFERROR(INDEX($W$5:$W$86,MATCH(CC230,$V$5:$V$86,0)),0))</f>
        <v/>
      </c>
      <c r="CD231">
        <f>IF(CD230="",0,IFERROR(INDEX($W$5:$W$86,MATCH(CD230,$V$5:$V$86,0)),0))</f>
        <v/>
      </c>
      <c r="CE231">
        <f>IF(CE230="",0,IFERROR(INDEX($W$5:$W$86,MATCH(CE230,$V$5:$V$86,0)),0))</f>
        <v/>
      </c>
      <c r="CF231">
        <f>IF(CF230="",0,IFERROR(INDEX($W$5:$W$86,MATCH(CF230,$V$5:$V$86,0)),0))</f>
        <v/>
      </c>
      <c r="DA231" t="n">
        <v>227</v>
      </c>
      <c r="DB231">
        <f>IF($B$37=0,"",IFERROR(TRIM(SUBSTITUTE(SUBSTITUTE(SUBSTITUTE(SUBSTITUTE(INDEX(PASTE_ALL,227,$B$37)," "," "),CHAR(9)," "),CHAR(10)," "),CHAR(13)," ")),""))</f>
        <v/>
      </c>
      <c r="DC231">
        <f>IF(AND(227&gt;HEADER_ROW,UPPER(DB231)="LEGEND"),1,0)</f>
        <v/>
      </c>
      <c r="DE231" t="n">
        <v>227</v>
      </c>
      <c r="DF231">
        <f>HEADER_ROW+$DE231</f>
        <v/>
      </c>
      <c r="DG231">
        <f>IF(AND($DF231&lt;=1000,$DF231&lt;$B$8),1,0)</f>
        <v/>
      </c>
      <c r="DH231">
        <f>IF($DG231=1,IFERROR(INDEX($DB$5:$DB$1004,$DF231),""),"")</f>
        <v/>
      </c>
      <c r="DI231">
        <f>IF(AND($DG231=1,$DH231&lt;&gt;""),IFERROR(SUBSTITUTE(SUBSTITUTE(TRIM(SUBSTITUTE(SUBSTITUTE(SUBSTITUTE(SUBSTITUTE(IFERROR(INDEX(PASTE_ALL,$DF231,1)&amp;"","")&amp;"␟"&amp;IFERROR(INDEX(PASTE_ALL,$DF231,2)&amp;"","")&amp;"␟"&amp;IFERROR(INDEX(PASTE_ALL,$DF231,3)&amp;"","")&amp;"␟"&amp;IFERROR(INDEX(PASTE_ALL,$DF231,4)&amp;"","")&amp;"␟"&amp;IFERROR(INDEX(PASTE_ALL,$DF231,5)&amp;"","")&amp;"␟"&amp;IFERROR(INDEX(PASTE_ALL,$DF231,6)&amp;"","")&amp;"␟"&amp;IFERROR(INDEX(PASTE_ALL,$DF231,7)&amp;"","")&amp;"␟"&amp;IFERROR(INDEX(PASTE_ALL,$DF231,8)&amp;"","")&amp;"␟"&amp;IFERROR(INDEX(PASTE_ALL,$DF231,9)&amp;"","")&amp;"␟"&amp;IFERROR(INDEX(PASTE_ALL,$DF231,10)&amp;"","")&amp;"␟"&amp;IFERROR(INDEX(PASTE_ALL,$DF231,11)&amp;"","")&amp;"␟"&amp;IFERROR(INDEX(PASTE_ALL,$DF231,12)&amp;"","")&amp;"␟"&amp;IFERROR(INDEX(PASTE_ALL,$DF231,13)&amp;"","")&amp;"␟"&amp;IFERROR(INDEX(PASTE_ALL,$DF231,14)&amp;"","")&amp;"␟"&amp;IFERROR(INDEX(PASTE_ALL,$DF231,15)&amp;"","")&amp;"␟"&amp;IFERROR(INDEX(PASTE_ALL,$DF231,16)&amp;"","")&amp;"␟"&amp;IFERROR(INDEX(PASTE_ALL,$DF231,17)&amp;"","")&amp;"␟"&amp;IFERROR(INDEX(PASTE_ALL,$DF231,18)&amp;"","")&amp;"␟"&amp;IFERROR(INDEX(PASTE_ALL,$DF231,19)&amp;"","")&amp;"␟"&amp;IFERROR(INDEX(PASTE_ALL,$DF231,20)&amp;"","")&amp;"␟"&amp;IFERROR(INDEX(PASTE_ALL,$DF231,21)&amp;"","")&amp;"␟"&amp;IFERROR(INDEX(PASTE_ALL,$DF231,22)&amp;"","")&amp;"␟"&amp;IFERROR(INDEX(PASTE_ALL,$DF231,23)&amp;"","")&amp;"␟"&amp;IFERROR(INDEX(PASTE_ALL,$DF231,24)&amp;"","")&amp;"␟"&amp;IFERROR(INDEX(PASTE_ALL,$DF231,25)&amp;"","")&amp;"␟"&amp;IFERROR(INDEX(PASTE_ALL,$DF231,26)&amp;"","")&amp;"␟"&amp;IFERROR(INDEX(PASTE_ALL,$DF231,27)&amp;"","")&amp;"␟"&amp;IFERROR(INDEX(PASTE_ALL,$DF231,28)&amp;"","")&amp;"␟"&amp;IFERROR(INDEX(PASTE_ALL,$DF231,29)&amp;"","")&amp;"␟"&amp;IFERROR(INDEX(PASTE_ALL,$DF231,30)&amp;"","")&amp;"␟"&amp;IFERROR(INDEX(PASTE_ALL,$DF231,31)&amp;"","")&amp;"␟"&amp;IFERROR(INDEX(PASTE_ALL,$DF231,32)&amp;"","")&amp;"␟"&amp;IFERROR(INDEX(PASTE_ALL,$DF231,33)&amp;"","")&amp;"␟"&amp;IFERROR(INDEX(PASTE_ALL,$DF231,34)&amp;"","")&amp;"␟"&amp;IFERROR(INDEX(PASTE_ALL,$DF231,35)&amp;"","")&amp;"␟"&amp;IFERROR(INDEX(PASTE_ALL,$DF231,36)&amp;"","")&amp;"␟"&amp;IFERROR(INDEX(PASTE_ALL,$DF231,37)&amp;"","")&amp;"␟"&amp;IFERROR(INDEX(PASTE_ALL,$DF231,38)&amp;"","")&amp;"␟"&amp;IFERROR(INDEX(PASTE_ALL,$DF231,39)&amp;"","")&amp;"␟"&amp;IFERROR(INDEX(PASTE_ALL,$DF231,40)&amp;"","")&amp;"␟"&amp;IFERROR(INDEX(PASTE_ALL,$DF231,41)&amp;"","")&amp;"␟"&amp;IFERROR(INDEX(PASTE_ALL,$DF231,42)&amp;"","")&amp;"␟"&amp;IFERROR(INDEX(PASTE_ALL,$DF231,43)&amp;"","")&amp;"␟"&amp;IFERROR(INDEX(PASTE_ALL,$DF231,44)&amp;"","")&amp;"␟"&amp;IFERROR(INDEX(PASTE_ALL,$DF231,45)&amp;"","")&amp;"␟"&amp;IFERROR(INDEX(PASTE_ALL,$DF231,46)&amp;"","")&amp;"␟"&amp;IFERROR(INDEX(PASTE_ALL,$DF231,47)&amp;"","")&amp;"␟"&amp;IFERROR(INDEX(PASTE_ALL,$DF231,48)&amp;"","")&amp;"␟"&amp;IFERROR(INDEX(PASTE_ALL,$DF231,49)&amp;"","")&amp;"␟"&amp;IFERROR(INDEX(PASTE_ALL,$DF231,50)&amp;"","")&amp;"␟"&amp;IFERROR(INDEX(PASTE_ALL,$DF231,51)&amp;"","")&amp;"␟"&amp;IFERROR(INDEX(PASTE_ALL,$DF231,52)&amp;"","")&amp;"␟"&amp;IFERROR(INDEX(PASTE_ALL,$DF231,53)&amp;"","")&amp;"␟"&amp;IFERROR(INDEX(PASTE_ALL,$DF231,54)&amp;"","")&amp;"␟"&amp;IFERROR(INDEX(PASTE_ALL,$DF231,55)&amp;"","")&amp;"␟"&amp;IFERROR(INDEX(PASTE_ALL,$DF231,56)&amp;"","")&amp;"␟"&amp;IFERROR(INDEX(PASTE_ALL,$DF231,57)&amp;"","")&amp;"␟"&amp;IFERROR(INDEX(PASTE_ALL,$DF231,58)&amp;"","")&amp;"␟"&amp;IFERROR(INDEX(PASTE_ALL,$DF231,59)&amp;"","")&amp;"␟"&amp;IFERROR(INDEX(PASTE_ALL,$DF231,60)&amp;"","")," "," "),CHAR(9)," "),CHAR(10)," "),CHAR(13)," "))," ␟","␟"),"␟ ","␟"),"#"&amp;$DE231),"")</f>
        <v/>
      </c>
      <c r="DJ231">
        <f>IF($DI231="",0,IF(SUMPRODUCT(--EXACT($DI$4:DI230,$DI231))&gt;0,1,0))</f>
        <v/>
      </c>
      <c r="DK231">
        <f>IF(AND($DI231&lt;&gt;"",$DJ231=0),1,0)</f>
        <v/>
      </c>
      <c r="DL231">
        <f>DL230+$DK231</f>
        <v/>
      </c>
      <c r="DM231">
        <f>IF(AND($DK231=1,$DL231&lt;=600),1,0)</f>
        <v/>
      </c>
      <c r="DN231">
        <f>IF($DM231=0,"",IF($L$6=0,"",IFERROR(IF(ISNUMBER(INDEX(PASTE_ALL,$DF231,$L$6)),INDEX(PASTE_ALL,$DF231,$L$6),TRIM(SUBSTITUTE(SUBSTITUTE(SUBSTITUTE(SUBSTITUTE(INDEX(PASTE_ALL,$DF231,$L$6)," "," "),CHAR(9)," "),CHAR(10)," "),CHAR(13)," "))),"")))</f>
        <v/>
      </c>
      <c r="DO231">
        <f>IF($DM231=0,"",IF($L$7=0,"",IFERROR(IF(ISNUMBER(INDEX(PASTE_ALL,$DF231,$L$7)),INDEX(PASTE_ALL,$DF231,$L$7),TRIM(SUBSTITUTE(SUBSTITUTE(SUBSTITUTE(SUBSTITUTE(INDEX(PASTE_ALL,$DF231,$L$7)," "," "),CHAR(9)," "),CHAR(10)," "),CHAR(13)," "))),"")))</f>
        <v/>
      </c>
      <c r="DP231">
        <f>IF($DM231=0,"",IF($L$8=0,"",IFERROR(IF(ISNUMBER(INDEX(PASTE_ALL,$DF231,$L$8)),INDEX(PASTE_ALL,$DF231,$L$8),TRIM(SUBSTITUTE(SUBSTITUTE(SUBSTITUTE(SUBSTITUTE(INDEX(PASTE_ALL,$DF231,$L$8)," "," "),CHAR(9)," "),CHAR(10)," "),CHAR(13)," "))),"")))</f>
        <v/>
      </c>
      <c r="DQ231">
        <f>IF($DM231=0,"",IF($L$9=0,"",IFERROR(IF(ISNUMBER(INDEX(PASTE_ALL,$DF231,$L$9)),INDEX(PASTE_ALL,$DF231,$L$9),TRIM(SUBSTITUTE(SUBSTITUTE(SUBSTITUTE(SUBSTITUTE(INDEX(PASTE_ALL,$DF231,$L$9)," "," "),CHAR(9)," "),CHAR(10)," "),CHAR(13)," "))),"")))</f>
        <v/>
      </c>
      <c r="DR231">
        <f>IF($DM231=0,"",IF($L$10=0,"",IFERROR(IF(ISNUMBER(INDEX(PASTE_ALL,$DF231,$L$10)),INDEX(PASTE_ALL,$DF231,$L$10),TRIM(SUBSTITUTE(SUBSTITUTE(SUBSTITUTE(SUBSTITUTE(INDEX(PASTE_ALL,$DF231,$L$10)," "," "),CHAR(9)," "),CHAR(10)," "),CHAR(13)," "))),"")))</f>
        <v/>
      </c>
      <c r="DS231">
        <f>IF($DM231=0,"",IF($L$11=0,"",IFERROR(IF(ISNUMBER(INDEX(PASTE_ALL,$DF231,$L$11)),INDEX(PASTE_ALL,$DF231,$L$11),TRIM(SUBSTITUTE(SUBSTITUTE(SUBSTITUTE(SUBSTITUTE(INDEX(PASTE_ALL,$DF231,$L$11)," "," "),CHAR(9)," "),CHAR(10)," "),CHAR(13)," "))),"")))</f>
        <v/>
      </c>
      <c r="DT231">
        <f>IF($DM231=0,"",IF($L$12=0,"",IFERROR(IF(ISNUMBER(INDEX(PASTE_ALL,$DF231,$L$12)),INDEX(PASTE_ALL,$DF231,$L$12),TRIM(SUBSTITUTE(SUBSTITUTE(SUBSTITUTE(SUBSTITUTE(INDEX(PASTE_ALL,$DF231,$L$12)," "," "),CHAR(9)," "),CHAR(10)," "),CHAR(13)," "))),"")))</f>
        <v/>
      </c>
      <c r="DU231">
        <f>IF($DM231=0,"",IF($L$13=0,"",IFERROR(IF(ISNUMBER(INDEX(PASTE_ALL,$DF231,$L$13)),INDEX(PASTE_ALL,$DF231,$L$13),TRIM(SUBSTITUTE(SUBSTITUTE(SUBSTITUTE(SUBSTITUTE(INDEX(PASTE_ALL,$DF231,$L$13)," "," "),CHAR(9)," "),CHAR(10)," "),CHAR(13)," "))),"")))</f>
        <v/>
      </c>
      <c r="DV231">
        <f>IF($DM231=0,"",IF($L$14=0,"",IFERROR(IF(ISNUMBER(INDEX(PASTE_ALL,$DF231,$L$14)),INDEX(PASTE_ALL,$DF231,$L$14),TRIM(SUBSTITUTE(SUBSTITUTE(SUBSTITUTE(SUBSTITUTE(INDEX(PASTE_ALL,$DF231,$L$14)," "," "),CHAR(9)," "),CHAR(10)," "),CHAR(13)," "))),"")))</f>
        <v/>
      </c>
      <c r="DW231">
        <f>IF($DM231=0,"",IF($L$15=0,"",IFERROR(IF(ISNUMBER(INDEX(PASTE_ALL,$DF231,$L$15)),INDEX(PASTE_ALL,$DF231,$L$15),IF(SUMPRODUCT(--ISNUMBER(FIND({"A","B","C","D","E","F","G","H","I","J","K","L","M","N","O","P","Q","R","S","T","U","V","W","X","Y","Z","0","1","2","3","4","5","6","7","8","9"},UPPER(TRIM(SUBSTITUTE(SUBSTITUTE(SUBSTITUTE(SUBSTITUTE(INDEX(PASTE_ALL,$DF231,$L$15)," "," "),CHAR(9)," "),CHAR(10)," "),CHAR(13)," "))))))&gt;0,TRIM(SUBSTITUTE(SUBSTITUTE(SUBSTITUTE(SUBSTITUTE(INDEX(PASTE_ALL,$DF231,$L$15)," "," "),CHAR(9)," "),CHAR(10)," "),CHAR(13)," ")),"")),"")))</f>
        <v/>
      </c>
      <c r="DX231">
        <f>IF($DM231=0,"",IF($L$16=0,"",IFERROR(IF(ISNUMBER(INDEX(PASTE_ALL,$DF231,$L$16)),INDEX(PASTE_ALL,$DF231,$L$16),SUBSTITUTE(SUBSTITUTE(TRIM(SUBSTITUTE(SUBSTITUTE(SUBSTITUTE(SUBSTITUTE(INDEX(PASTE_ALL,$DF231,$L$16)," "," "),CHAR(9)," "),CHAR(10)," "),CHAR(13)," ")),",",""),"%","")),"")))</f>
        <v/>
      </c>
      <c r="DY231">
        <f>IF($DM231=0,"",IFERROR(IF(ISNUMBER($DX231),$DX231,IF($DX231="","",IF(TRIM($DX231)="",0,IF(AND(AND(SUBSTITUTE(SUBSTITUTE(SUBSTITUTE(SUBSTITUTE(SUBSTITUTE(SUBSTITUTE(SUBSTITUTE(SUBSTITUTE(SUBSTITUTE(SUBSTITUTE(SUBSTITUTE(SUBSTITUTE(SUBSTITUTE(SUBSTITUTE(UPPER(TRIM($DX231)),"0",""),"1",""),"2",""),"3",""),"4",""),"5",""),"6",""),"7",""),"8",""),"9",""),".",""),"+",""),"-",""),"E","")="",LEN(SUBSTITUTE(SUBSTITUTE(MID(UPPER(TRIM($DX231)),1+OR(LEFT(UPPER(TRIM($DX231)),1)="+",LEFT(UPPER(TRIM($DX231)),1)="-"),999),"E+","E"),"E-","E"))=LEN(SUBSTITUTE(SUBSTITUTE(SUBSTITUTE(SUBSTITUTE(MID(UPPER(TRIM($DX231)),1+OR(LEFT(UPPER(TRIM($DX231)),1)="+",LEFT(UPPER(TRIM($DX231)),1)="-"),999),"E+","E"),"E-","E"),"+",""),"-","")),LEN(UPPER(TRIM($DX231)))-LEN(SUBSTITUTE(UPPER(TRIM($DX231)),"E",""))&lt;2,LEN(UPPER(TRIM($DX231)))-LEN(SUBSTITUTE(UPPER(TRIM($DX231)),".",""))&lt;2,IFERROR(FIND(".",UPPER(TRIM($DX231))),0)&lt;IFERROR(FIND("E",UPPER(TRIM($DX231))),999)),ISNUMBER(VALUE(TRIM($DX231)))),VALUE(TRIM($DX231)),"")))),""))</f>
        <v/>
      </c>
      <c r="DZ231">
        <f>IF($DM231=0,"",IF($L$17=0,"",IFERROR(IF(ISNUMBER(INDEX(PASTE_ALL,$DF231,$L$17)),INDEX(PASTE_ALL,$DF231,$L$17),SUBSTITUTE(SUBSTITUTE(TRIM(SUBSTITUTE(SUBSTITUTE(SUBSTITUTE(SUBSTITUTE(INDEX(PASTE_ALL,$DF231,$L$17)," "," "),CHAR(9)," "),CHAR(10)," "),CHAR(13)," ")),",",""),"%","")),"")))</f>
        <v/>
      </c>
      <c r="EA231">
        <f>IF($DM231=0,"",IFERROR(IF(ISNUMBER($DZ231),$DZ231,IF($DZ231="","",IF(TRIM($DZ231)="",0,IF(AND(AND(SUBSTITUTE(SUBSTITUTE(SUBSTITUTE(SUBSTITUTE(SUBSTITUTE(SUBSTITUTE(SUBSTITUTE(SUBSTITUTE(SUBSTITUTE(SUBSTITUTE(SUBSTITUTE(SUBSTITUTE(SUBSTITUTE(SUBSTITUTE(UPPER(TRIM($DZ231)),"0",""),"1",""),"2",""),"3",""),"4",""),"5",""),"6",""),"7",""),"8",""),"9",""),".",""),"+",""),"-",""),"E","")="",LEN(SUBSTITUTE(SUBSTITUTE(MID(UPPER(TRIM($DZ231)),1+OR(LEFT(UPPER(TRIM($DZ231)),1)="+",LEFT(UPPER(TRIM($DZ231)),1)="-"),999),"E+","E"),"E-","E"))=LEN(SUBSTITUTE(SUBSTITUTE(SUBSTITUTE(SUBSTITUTE(MID(UPPER(TRIM($DZ231)),1+OR(LEFT(UPPER(TRIM($DZ231)),1)="+",LEFT(UPPER(TRIM($DZ231)),1)="-"),999),"E+","E"),"E-","E"),"+",""),"-","")),LEN(UPPER(TRIM($DZ231)))-LEN(SUBSTITUTE(UPPER(TRIM($DZ231)),"E",""))&lt;2,LEN(UPPER(TRIM($DZ231)))-LEN(SUBSTITUTE(UPPER(TRIM($DZ231)),".",""))&lt;2,IFERROR(FIND(".",UPPER(TRIM($DZ231))),0)&lt;IFERROR(FIND("E",UPPER(TRIM($DZ231))),999)),ISNUMBER(VALUE(TRIM($DZ231)))),VALUE(TRIM($DZ231)),"")))),""))</f>
        <v/>
      </c>
      <c r="EB231">
        <f>IF($DM231=0,"",IF($L$18=0,"",IFERROR(IF(UPPER(TRIM(SUBSTITUTE(SUBSTITUTE(SUBSTITUTE(SUBSTITUTE(INDEX(PASTE_ALL,$DF231,$L$18)," "," "),CHAR(9)," "),CHAR(10)," "),CHAR(13)," ")))="READY","Ready",IF(UPPER(TRIM(SUBSTITUTE(SUBSTITUTE(SUBSTITUTE(SUBSTITUTE(INDEX(PASTE_ALL,$DF231,$L$18)," "," "),CHAR(9)," "),CHAR(10)," "),CHAR(13)," ")))="PM","PM",IF(OR(UPPER(TRIM(SUBSTITUTE(SUBSTITUTE(SUBSTITUTE(SUBSTITUTE(INDEX(PASTE_ALL,$DF231,$L$18)," "," "),CHAR(9)," "),CHAR(10)," "),CHAR(13)," ")))="OT",UPPER(TRIM(SUBSTITUTE(SUBSTITUTE(SUBSTITUTE(SUBSTITUTE(INDEX(PASTE_ALL,$DF231,$L$18)," "," "),CHAR(9)," "),CHAR(10)," "),CHAR(13)," ")))="OVERTIME",UPPER(TRIM(SUBSTITUTE(SUBSTITUTE(SUBSTITUTE(SUBSTITUTE(INDEX(PASTE_ALL,$DF231,$L$18)," "," "),CHAR(9)," "),CHAR(10)," "),CHAR(13)," ")))="TRIAL"),"OT",TRIM(SUBSTITUTE(SUBSTITUTE(SUBSTITUTE(SUBSTITUTE(INDEX(PASTE_ALL,$DF231,$L$18)," "," "),CHAR(9)," "),CHAR(10)," "),CHAR(13)," "))))),"")))</f>
        <v/>
      </c>
      <c r="EC231">
        <f>IF($DM231=0,"",IF($L$19=0,"",IFERROR(IF(ISNUMBER(INDEX(PASTE_ALL,$DF231,$L$19)),INDEX(PASTE_ALL,$DF231,$L$19),TRIM(SUBSTITUTE(SUBSTITUTE(SUBSTITUTE(SUBSTITUTE(INDEX(PASTE_ALL,$DF231,$L$19)," "," "),CHAR(9)," "),CHAR(10)," "),CHAR(13)," "))),"")))</f>
        <v/>
      </c>
      <c r="ED231">
        <f>IF($DM231=0,"",MATCH(1,INDEX(EXACT($DH$5:DH231,$DH231)*$DM$5:DM231,0),0))</f>
        <v/>
      </c>
      <c r="EE231">
        <f>IF($DM231=0,0,IF($ED231=$DE231,1,0))</f>
        <v/>
      </c>
      <c r="EF231">
        <f>EF230+$EE231</f>
        <v/>
      </c>
      <c r="EG231">
        <f>IF($DM231=0,"",INDEX($EF$5:$EF$1003,$ED231))</f>
        <v/>
      </c>
      <c r="EH231">
        <f>IF($DM231=0,"",IF($DO231&lt;&gt;"","",IFERROR(LOOKUP(2,1/(($EG$4:EG230=$EG231)*($DO$4:DO230&lt;&gt;"")),$DO$4:DO230),"")))</f>
        <v/>
      </c>
      <c r="EI231">
        <f>IF($DM231=0,"",IF($DO231&lt;&gt;"",$DO231,$EH231))</f>
        <v/>
      </c>
      <c r="EJ231">
        <f>IF($DM231=0,"",IF($EI231="",0,IF(OR(ISNUMBER($EI231),AND(AND(SUBSTITUTE(SUBSTITUTE(SUBSTITUTE(SUBSTITUTE(SUBSTITUTE(SUBSTITUTE(SUBSTITUTE(SUBSTITUTE(SUBSTITUTE(SUBSTITUTE(SUBSTITUTE(SUBSTITUTE(SUBSTITUTE(SUBSTITUTE(UPPER($EI231),"0",""),"1",""),"2",""),"3",""),"4",""),"5",""),"6",""),"7",""),"8",""),"9",""),".",""),"+",""),"-",""),"E","")="",LEN(SUBSTITUTE(SUBSTITUTE(MID(UPPER($EI231),1+OR(LEFT(UPPER($EI231),1)="+",LEFT(UPPER($EI231),1)="-"),999),"E+","E"),"E-","E"))=LEN(SUBSTITUTE(SUBSTITUTE(SUBSTITUTE(SUBSTITUTE(MID(UPPER($EI231),1+OR(LEFT(UPPER($EI231),1)="+",LEFT(UPPER($EI231),1)="-"),999),"E+","E"),"E-","E"),"+",""),"-","")),LEN(UPPER($EI231))-LEN(SUBSTITUTE(UPPER($EI231),"E",""))&lt;2,LEN(UPPER($EI231))-LEN(SUBSTITUTE(UPPER($EI231),".",""))&lt;2,IFERROR(FIND(".",UPPER($EI231)),0)&lt;IFERROR(FIND("E",UPPER($EI231)),999)),ISNUMBER(VALUE($EI231)))),1,2)))</f>
        <v/>
      </c>
      <c r="EK231">
        <f>IF($DM231=0,"",IF($EJ231=1,IF(ISNUMBER($EI231),$EI231,VALUE($EI231)),IF($EJ231=2,$DE231,0)))</f>
        <v/>
      </c>
      <c r="EL231">
        <f>IF($DM231=0,"",COUNTIF($EG$5:$EG$1003,"&lt;"&amp;$EG231)+SUMPRODUCT(($EG$5:$EG$1003=$EG231)*(($EJ$5:$EJ$1003&lt;$EJ231)+($EJ$5:$EJ$1003=$EJ231)*(($EK$5:$EK$1003&lt;$EK231)+($EK$5:$EK$1003=$EK231)*($DE$5:$DE$1003&lt;$DE231))))+1)</f>
        <v/>
      </c>
      <c r="EM231">
        <f>IF($DM231=0,"",$EL231+$EG231-1)</f>
        <v/>
      </c>
      <c r="EN231">
        <f>IF($DM231=0,0,IFERROR(MATCH(1,INDEX(--(TRIM(SUBSTITUTE(SUBSTITUTE(SUBSTITUTE(SUBSTITUTE(LINES_NAME&amp;""," "," "),CHAR(9)," "),CHAR(10)," "),CHAR(13)," "))=$DH231),0),0),0))</f>
        <v/>
      </c>
      <c r="EO231">
        <f>IF($EN231=0,0,IF(OR(UPPER(TRIM(INDEX(LINES_SCHEDULED,$EN231)&amp;""))="YES",UPPER(TRIM(INDEX(LINES_SCHEDULED,$EN231)&amp;""))="Y",UPPER(TRIM(INDEX(LINES_SCHEDULED,$EN231)&amp;""))="X"),1,0))</f>
        <v/>
      </c>
      <c r="EP231">
        <f>IF($DM231=0,"",IF(COUNTIFS($EG$5:$EG$1003,$EG231,$EB$5:$EB$1003,"Ready")&gt;0,"READY",IF(COUNTIFS($EG$5:$EG$1003,$EG231,$EB$5:$EB$1003,"PM")&gt;0,"PM",IF(COUNTIFS($EG$5:$EG$1003,$EG231,$EB$5:$EB$1003,"OT")&gt;0,"OT",""))))</f>
        <v/>
      </c>
      <c r="EQ231">
        <f>IF($EN231=0,"",UPPER(TRIM(INDEX(LINES_STATUS,$EN231)&amp;"")))</f>
        <v/>
      </c>
      <c r="ER231">
        <f>IF($DM231=0,"",IF(OR($EQ231="READY",$EQ231="PM",$EQ231="OT"),$EQ231,$EP231))</f>
        <v/>
      </c>
      <c r="ES231">
        <f>IF($DM231=0,"",IF(AND($DV231&lt;&gt;"",UPPER($DV231)&lt;&gt;"N"),"allergen",IF(ISNUMBER(SEARCH("oil",$DQ231)),"oil",IF(OR(EXACT($DS231,"A662"),EXACT($DS231,"A624")),"bulk",""))))</f>
        <v/>
      </c>
      <c r="ET231">
        <f>IF($DM231=0,"",IF(OR($EA231="",$EA231=0),"",$EA231/100))</f>
        <v/>
      </c>
      <c r="EU231">
        <f>IF(OR($ET231="",$DY231=""),"",INT($DY231*(1-$ET231)+0.5))</f>
        <v/>
      </c>
      <c r="EW231" t="n">
        <v>227</v>
      </c>
      <c r="EX231">
        <f>IFERROR(MATCH($EW231,$EM$5:$EM$1003,0),0)</f>
        <v/>
      </c>
      <c r="EY231">
        <f>IF($EW231&gt;$B$12,"",IF($EX231&gt;0,"row","spacer"))</f>
        <v/>
      </c>
      <c r="EZ231">
        <f>IF(AND($EY231="row",$EY230&lt;&gt;"row"),1,0)</f>
        <v/>
      </c>
      <c r="FA231">
        <f>IF(AND($EY231="row",$EY232&lt;&gt;"row"),1,0)</f>
        <v/>
      </c>
      <c r="FB231">
        <f>IF($EZ231=1,IFERROR(IF(ISNUMBER(INDEX(PASTE_ALL,INDEX($DF$5:$DF$1003,$EX231),$B$37)),INDEX(PASTE_ALL,INDEX($DF$5:$DF$1003,$EX231),$B$37),INDEX($DH$5:$DH$1003,$EX231)),INDEX($DH$5:$DH$1003,$EX231)),"")</f>
        <v/>
      </c>
      <c r="FC231">
        <f>IF($EY231="row",INDEX($ER$5:$ER$1003,$EX231),"")</f>
        <v/>
      </c>
      <c r="FD231">
        <f>IF($EY231="row",INDEX($DN$5:$DN$1003,$EX231),"")</f>
        <v/>
      </c>
      <c r="FE231">
        <f>IF($EY231="row",INDEX($DO$5:$DO$1003,$EX231),"")</f>
        <v/>
      </c>
      <c r="FF231">
        <f>IF($EY231="row",INDEX($DP$5:$DP$1003,$EX231),"")</f>
        <v/>
      </c>
      <c r="FG231">
        <f>IF($EY231="row",INDEX($DQ$5:$DQ$1003,$EX231),"")</f>
        <v/>
      </c>
      <c r="FH231">
        <f>IF($EY231="row",INDEX($DR$5:$DR$1003,$EX231),"")</f>
        <v/>
      </c>
      <c r="FI231">
        <f>IF($EY231="row",INDEX($DS$5:$DS$1003,$EX231),"")</f>
        <v/>
      </c>
      <c r="FJ231">
        <f>IF($EY231="row",INDEX($DT$5:$DT$1003,$EX231),"")</f>
        <v/>
      </c>
      <c r="FK231">
        <f>IF($EY231="row",INDEX($DU$5:$DU$1003,$EX231),"")</f>
        <v/>
      </c>
      <c r="FL231">
        <f>IF($EY231="row",INDEX($DV$5:$DV$1003,$EX231),"")</f>
        <v/>
      </c>
      <c r="FM231">
        <f>IF($EY231="row",INDEX($DW$5:$DW$1003,$EX231),"")</f>
        <v/>
      </c>
      <c r="FN231">
        <f>IF($EY231="row",INDEX($DY$5:$DY$1003,$EX231),"")</f>
        <v/>
      </c>
      <c r="FO231">
        <f>IF($EY231="row",INDEX($EA$5:$EA$1003,$EX231),"")</f>
        <v/>
      </c>
      <c r="FP231">
        <f>IF($EY231="row",INDEX($EC$5:$EC$1003,$EX231),"")</f>
        <v/>
      </c>
      <c r="FQ231">
        <f>IF($EY231="row",INDEX($ET$5:$ET$1003,$EX231),"")</f>
        <v/>
      </c>
      <c r="FR231">
        <f>IF($EY231="row",INDEX($EU$5:$EU$1003,$EX231),"")</f>
        <v/>
      </c>
      <c r="FS231">
        <f>IF(AND($EY231="row",$EY230="row"),IF(OR(INDEX($DT$5:$DT$1003,$EX230)="",INDEX($DT$5:$DT$1003,$EX231)=""),"",IF(NOT(EXACT(INDEX($DT$5:$DT$1003,$EX230),INDEX($DT$5:$DT$1003,$EX231))),"S4",IF(NOT(EXACT(INDEX($DS$5:$DS$1003,$EX230),INDEX($DS$5:$DS$1003,$EX231))),"S3",IF(NOT(EXACT(INDEX($DR$5:$DR$1003,$EX230),INDEX($DR$5:$DR$1003,$EX231))),"S1 Count Change","S1")))),"")</f>
        <v/>
      </c>
      <c r="FT231">
        <f>IF($EY231="row",INDEX($ES$5:$ES$1003,$EX231),"")</f>
        <v/>
      </c>
      <c r="FU231">
        <f>IF($EY231="row",INDEX($EO$5:$EO$1003,$EX231),0)</f>
        <v/>
      </c>
      <c r="FV231">
        <f>IF($FS231="S1 Count Change",1,0)</f>
        <v/>
      </c>
    </row>
    <row r="232">
      <c r="X232" s="69" t="inlineStr">
        <is>
          <t>CONTAINS mask</t>
        </is>
      </c>
      <c r="Y232">
        <f>IF(Y230="",0,2*(OR(ISNUMBER(FIND("WORKCENTER",Y230)),AND(LEFT(Y230,4)="LINE",NOT(ISNUMBER(FIND("STATUS",Y230))))))+4*(OR(ISNUMBER(FIND("WORKORDER",Y230)),AND(LEFT(Y230,2)="WO",OR(ISNUMBER(FIND("NUM",Y230)),RIGHT(Y230,2)="NO"))))+8*(LEFT(Y230,3)="SEQ")+16*(AND(LEFT(Y230,4)="ITEM",NOT(ISNUMBER(FIND("DESC",Y230)))))+32*(AND(ISNUMBER(FIND("DESC",Y230)),NOT(ISNUMBER(FIND("CAP",Y230)))))+64*(OR(RIGHT(Y230,5)="COUNT",RIGHT(Y230,2)="CT"))+128*(ISNUMBER(FIND("BULK",Y230)))+256*(ISNUMBER(FIND("SIZE",Y230)))+512*(LEFT(Y230,3)="CAP")+1024*(ISNUMBER(FIND("ALLERG",Y230)))+2048*(OR(ISNUMBER(FIND("REMARK",Y230)),ISNUMBER(FIND("COMMENT",Y230))))+4096*(OR(ISNUMBER(FIND("QTY",Y230)),ISNUMBER(FIND("QUANTITY",Y230))))+8192*(AND(OR(ISNUMBER(FIND("COMPLETE",Y230)),ISNUMBER(FIND("PCT",Y230)),ISNUMBER(FIND("PERCENT",Y230))),NOT(ISNUMBER(FIND("ACTUAL",Y230))),LEN(Y230)&lt;=16))+32768*(OR(ISNUMBER(FIND("DESIC",Y230)),ISNUMBER(FIND("DESSIC",Y230)))))</f>
        <v/>
      </c>
      <c r="Z232">
        <f>IF(Z230="",0,2*(OR(ISNUMBER(FIND("WORKCENTER",Z230)),AND(LEFT(Z230,4)="LINE",NOT(ISNUMBER(FIND("STATUS",Z230))))))+4*(OR(ISNUMBER(FIND("WORKORDER",Z230)),AND(LEFT(Z230,2)="WO",OR(ISNUMBER(FIND("NUM",Z230)),RIGHT(Z230,2)="NO"))))+8*(LEFT(Z230,3)="SEQ")+16*(AND(LEFT(Z230,4)="ITEM",NOT(ISNUMBER(FIND("DESC",Z230)))))+32*(AND(ISNUMBER(FIND("DESC",Z230)),NOT(ISNUMBER(FIND("CAP",Z230)))))+64*(OR(RIGHT(Z230,5)="COUNT",RIGHT(Z230,2)="CT"))+128*(ISNUMBER(FIND("BULK",Z230)))+256*(ISNUMBER(FIND("SIZE",Z230)))+512*(LEFT(Z230,3)="CAP")+1024*(ISNUMBER(FIND("ALLERG",Z230)))+2048*(OR(ISNUMBER(FIND("REMARK",Z230)),ISNUMBER(FIND("COMMENT",Z230))))+4096*(OR(ISNUMBER(FIND("QTY",Z230)),ISNUMBER(FIND("QUANTITY",Z230))))+8192*(AND(OR(ISNUMBER(FIND("COMPLETE",Z230)),ISNUMBER(FIND("PCT",Z230)),ISNUMBER(FIND("PERCENT",Z230))),NOT(ISNUMBER(FIND("ACTUAL",Z230))),LEN(Z230)&lt;=16))+32768*(OR(ISNUMBER(FIND("DESIC",Z230)),ISNUMBER(FIND("DESSIC",Z230)))))</f>
        <v/>
      </c>
      <c r="AA232">
        <f>IF(AA230="",0,2*(OR(ISNUMBER(FIND("WORKCENTER",AA230)),AND(LEFT(AA230,4)="LINE",NOT(ISNUMBER(FIND("STATUS",AA230))))))+4*(OR(ISNUMBER(FIND("WORKORDER",AA230)),AND(LEFT(AA230,2)="WO",OR(ISNUMBER(FIND("NUM",AA230)),RIGHT(AA230,2)="NO"))))+8*(LEFT(AA230,3)="SEQ")+16*(AND(LEFT(AA230,4)="ITEM",NOT(ISNUMBER(FIND("DESC",AA230)))))+32*(AND(ISNUMBER(FIND("DESC",AA230)),NOT(ISNUMBER(FIND("CAP",AA230)))))+64*(OR(RIGHT(AA230,5)="COUNT",RIGHT(AA230,2)="CT"))+128*(ISNUMBER(FIND("BULK",AA230)))+256*(ISNUMBER(FIND("SIZE",AA230)))+512*(LEFT(AA230,3)="CAP")+1024*(ISNUMBER(FIND("ALLERG",AA230)))+2048*(OR(ISNUMBER(FIND("REMARK",AA230)),ISNUMBER(FIND("COMMENT",AA230))))+4096*(OR(ISNUMBER(FIND("QTY",AA230)),ISNUMBER(FIND("QUANTITY",AA230))))+8192*(AND(OR(ISNUMBER(FIND("COMPLETE",AA230)),ISNUMBER(FIND("PCT",AA230)),ISNUMBER(FIND("PERCENT",AA230))),NOT(ISNUMBER(FIND("ACTUAL",AA230))),LEN(AA230)&lt;=16))+32768*(OR(ISNUMBER(FIND("DESIC",AA230)),ISNUMBER(FIND("DESSIC",AA230)))))</f>
        <v/>
      </c>
      <c r="AB232">
        <f>IF(AB230="",0,2*(OR(ISNUMBER(FIND("WORKCENTER",AB230)),AND(LEFT(AB230,4)="LINE",NOT(ISNUMBER(FIND("STATUS",AB230))))))+4*(OR(ISNUMBER(FIND("WORKORDER",AB230)),AND(LEFT(AB230,2)="WO",OR(ISNUMBER(FIND("NUM",AB230)),RIGHT(AB230,2)="NO"))))+8*(LEFT(AB230,3)="SEQ")+16*(AND(LEFT(AB230,4)="ITEM",NOT(ISNUMBER(FIND("DESC",AB230)))))+32*(AND(ISNUMBER(FIND("DESC",AB230)),NOT(ISNUMBER(FIND("CAP",AB230)))))+64*(OR(RIGHT(AB230,5)="COUNT",RIGHT(AB230,2)="CT"))+128*(ISNUMBER(FIND("BULK",AB230)))+256*(ISNUMBER(FIND("SIZE",AB230)))+512*(LEFT(AB230,3)="CAP")+1024*(ISNUMBER(FIND("ALLERG",AB230)))+2048*(OR(ISNUMBER(FIND("REMARK",AB230)),ISNUMBER(FIND("COMMENT",AB230))))+4096*(OR(ISNUMBER(FIND("QTY",AB230)),ISNUMBER(FIND("QUANTITY",AB230))))+8192*(AND(OR(ISNUMBER(FIND("COMPLETE",AB230)),ISNUMBER(FIND("PCT",AB230)),ISNUMBER(FIND("PERCENT",AB230))),NOT(ISNUMBER(FIND("ACTUAL",AB230))),LEN(AB230)&lt;=16))+32768*(OR(ISNUMBER(FIND("DESIC",AB230)),ISNUMBER(FIND("DESSIC",AB230)))))</f>
        <v/>
      </c>
      <c r="AC232">
        <f>IF(AC230="",0,2*(OR(ISNUMBER(FIND("WORKCENTER",AC230)),AND(LEFT(AC230,4)="LINE",NOT(ISNUMBER(FIND("STATUS",AC230))))))+4*(OR(ISNUMBER(FIND("WORKORDER",AC230)),AND(LEFT(AC230,2)="WO",OR(ISNUMBER(FIND("NUM",AC230)),RIGHT(AC230,2)="NO"))))+8*(LEFT(AC230,3)="SEQ")+16*(AND(LEFT(AC230,4)="ITEM",NOT(ISNUMBER(FIND("DESC",AC230)))))+32*(AND(ISNUMBER(FIND("DESC",AC230)),NOT(ISNUMBER(FIND("CAP",AC230)))))+64*(OR(RIGHT(AC230,5)="COUNT",RIGHT(AC230,2)="CT"))+128*(ISNUMBER(FIND("BULK",AC230)))+256*(ISNUMBER(FIND("SIZE",AC230)))+512*(LEFT(AC230,3)="CAP")+1024*(ISNUMBER(FIND("ALLERG",AC230)))+2048*(OR(ISNUMBER(FIND("REMARK",AC230)),ISNUMBER(FIND("COMMENT",AC230))))+4096*(OR(ISNUMBER(FIND("QTY",AC230)),ISNUMBER(FIND("QUANTITY",AC230))))+8192*(AND(OR(ISNUMBER(FIND("COMPLETE",AC230)),ISNUMBER(FIND("PCT",AC230)),ISNUMBER(FIND("PERCENT",AC230))),NOT(ISNUMBER(FIND("ACTUAL",AC230))),LEN(AC230)&lt;=16))+32768*(OR(ISNUMBER(FIND("DESIC",AC230)),ISNUMBER(FIND("DESSIC",AC230)))))</f>
        <v/>
      </c>
      <c r="AD232">
        <f>IF(AD230="",0,2*(OR(ISNUMBER(FIND("WORKCENTER",AD230)),AND(LEFT(AD230,4)="LINE",NOT(ISNUMBER(FIND("STATUS",AD230))))))+4*(OR(ISNUMBER(FIND("WORKORDER",AD230)),AND(LEFT(AD230,2)="WO",OR(ISNUMBER(FIND("NUM",AD230)),RIGHT(AD230,2)="NO"))))+8*(LEFT(AD230,3)="SEQ")+16*(AND(LEFT(AD230,4)="ITEM",NOT(ISNUMBER(FIND("DESC",AD230)))))+32*(AND(ISNUMBER(FIND("DESC",AD230)),NOT(ISNUMBER(FIND("CAP",AD230)))))+64*(OR(RIGHT(AD230,5)="COUNT",RIGHT(AD230,2)="CT"))+128*(ISNUMBER(FIND("BULK",AD230)))+256*(ISNUMBER(FIND("SIZE",AD230)))+512*(LEFT(AD230,3)="CAP")+1024*(ISNUMBER(FIND("ALLERG",AD230)))+2048*(OR(ISNUMBER(FIND("REMARK",AD230)),ISNUMBER(FIND("COMMENT",AD230))))+4096*(OR(ISNUMBER(FIND("QTY",AD230)),ISNUMBER(FIND("QUANTITY",AD230))))+8192*(AND(OR(ISNUMBER(FIND("COMPLETE",AD230)),ISNUMBER(FIND("PCT",AD230)),ISNUMBER(FIND("PERCENT",AD230))),NOT(ISNUMBER(FIND("ACTUAL",AD230))),LEN(AD230)&lt;=16))+32768*(OR(ISNUMBER(FIND("DESIC",AD230)),ISNUMBER(FIND("DESSIC",AD230)))))</f>
        <v/>
      </c>
      <c r="AE232">
        <f>IF(AE230="",0,2*(OR(ISNUMBER(FIND("WORKCENTER",AE230)),AND(LEFT(AE230,4)="LINE",NOT(ISNUMBER(FIND("STATUS",AE230))))))+4*(OR(ISNUMBER(FIND("WORKORDER",AE230)),AND(LEFT(AE230,2)="WO",OR(ISNUMBER(FIND("NUM",AE230)),RIGHT(AE230,2)="NO"))))+8*(LEFT(AE230,3)="SEQ")+16*(AND(LEFT(AE230,4)="ITEM",NOT(ISNUMBER(FIND("DESC",AE230)))))+32*(AND(ISNUMBER(FIND("DESC",AE230)),NOT(ISNUMBER(FIND("CAP",AE230)))))+64*(OR(RIGHT(AE230,5)="COUNT",RIGHT(AE230,2)="CT"))+128*(ISNUMBER(FIND("BULK",AE230)))+256*(ISNUMBER(FIND("SIZE",AE230)))+512*(LEFT(AE230,3)="CAP")+1024*(ISNUMBER(FIND("ALLERG",AE230)))+2048*(OR(ISNUMBER(FIND("REMARK",AE230)),ISNUMBER(FIND("COMMENT",AE230))))+4096*(OR(ISNUMBER(FIND("QTY",AE230)),ISNUMBER(FIND("QUANTITY",AE230))))+8192*(AND(OR(ISNUMBER(FIND("COMPLETE",AE230)),ISNUMBER(FIND("PCT",AE230)),ISNUMBER(FIND("PERCENT",AE230))),NOT(ISNUMBER(FIND("ACTUAL",AE230))),LEN(AE230)&lt;=16))+32768*(OR(ISNUMBER(FIND("DESIC",AE230)),ISNUMBER(FIND("DESSIC",AE230)))))</f>
        <v/>
      </c>
      <c r="AF232">
        <f>IF(AF230="",0,2*(OR(ISNUMBER(FIND("WORKCENTER",AF230)),AND(LEFT(AF230,4)="LINE",NOT(ISNUMBER(FIND("STATUS",AF230))))))+4*(OR(ISNUMBER(FIND("WORKORDER",AF230)),AND(LEFT(AF230,2)="WO",OR(ISNUMBER(FIND("NUM",AF230)),RIGHT(AF230,2)="NO"))))+8*(LEFT(AF230,3)="SEQ")+16*(AND(LEFT(AF230,4)="ITEM",NOT(ISNUMBER(FIND("DESC",AF230)))))+32*(AND(ISNUMBER(FIND("DESC",AF230)),NOT(ISNUMBER(FIND("CAP",AF230)))))+64*(OR(RIGHT(AF230,5)="COUNT",RIGHT(AF230,2)="CT"))+128*(ISNUMBER(FIND("BULK",AF230)))+256*(ISNUMBER(FIND("SIZE",AF230)))+512*(LEFT(AF230,3)="CAP")+1024*(ISNUMBER(FIND("ALLERG",AF230)))+2048*(OR(ISNUMBER(FIND("REMARK",AF230)),ISNUMBER(FIND("COMMENT",AF230))))+4096*(OR(ISNUMBER(FIND("QTY",AF230)),ISNUMBER(FIND("QUANTITY",AF230))))+8192*(AND(OR(ISNUMBER(FIND("COMPLETE",AF230)),ISNUMBER(FIND("PCT",AF230)),ISNUMBER(FIND("PERCENT",AF230))),NOT(ISNUMBER(FIND("ACTUAL",AF230))),LEN(AF230)&lt;=16))+32768*(OR(ISNUMBER(FIND("DESIC",AF230)),ISNUMBER(FIND("DESSIC",AF230)))))</f>
        <v/>
      </c>
      <c r="AG232">
        <f>IF(AG230="",0,2*(OR(ISNUMBER(FIND("WORKCENTER",AG230)),AND(LEFT(AG230,4)="LINE",NOT(ISNUMBER(FIND("STATUS",AG230))))))+4*(OR(ISNUMBER(FIND("WORKORDER",AG230)),AND(LEFT(AG230,2)="WO",OR(ISNUMBER(FIND("NUM",AG230)),RIGHT(AG230,2)="NO"))))+8*(LEFT(AG230,3)="SEQ")+16*(AND(LEFT(AG230,4)="ITEM",NOT(ISNUMBER(FIND("DESC",AG230)))))+32*(AND(ISNUMBER(FIND("DESC",AG230)),NOT(ISNUMBER(FIND("CAP",AG230)))))+64*(OR(RIGHT(AG230,5)="COUNT",RIGHT(AG230,2)="CT"))+128*(ISNUMBER(FIND("BULK",AG230)))+256*(ISNUMBER(FIND("SIZE",AG230)))+512*(LEFT(AG230,3)="CAP")+1024*(ISNUMBER(FIND("ALLERG",AG230)))+2048*(OR(ISNUMBER(FIND("REMARK",AG230)),ISNUMBER(FIND("COMMENT",AG230))))+4096*(OR(ISNUMBER(FIND("QTY",AG230)),ISNUMBER(FIND("QUANTITY",AG230))))+8192*(AND(OR(ISNUMBER(FIND("COMPLETE",AG230)),ISNUMBER(FIND("PCT",AG230)),ISNUMBER(FIND("PERCENT",AG230))),NOT(ISNUMBER(FIND("ACTUAL",AG230))),LEN(AG230)&lt;=16))+32768*(OR(ISNUMBER(FIND("DESIC",AG230)),ISNUMBER(FIND("DESSIC",AG230)))))</f>
        <v/>
      </c>
      <c r="AH232">
        <f>IF(AH230="",0,2*(OR(ISNUMBER(FIND("WORKCENTER",AH230)),AND(LEFT(AH230,4)="LINE",NOT(ISNUMBER(FIND("STATUS",AH230))))))+4*(OR(ISNUMBER(FIND("WORKORDER",AH230)),AND(LEFT(AH230,2)="WO",OR(ISNUMBER(FIND("NUM",AH230)),RIGHT(AH230,2)="NO"))))+8*(LEFT(AH230,3)="SEQ")+16*(AND(LEFT(AH230,4)="ITEM",NOT(ISNUMBER(FIND("DESC",AH230)))))+32*(AND(ISNUMBER(FIND("DESC",AH230)),NOT(ISNUMBER(FIND("CAP",AH230)))))+64*(OR(RIGHT(AH230,5)="COUNT",RIGHT(AH230,2)="CT"))+128*(ISNUMBER(FIND("BULK",AH230)))+256*(ISNUMBER(FIND("SIZE",AH230)))+512*(LEFT(AH230,3)="CAP")+1024*(ISNUMBER(FIND("ALLERG",AH230)))+2048*(OR(ISNUMBER(FIND("REMARK",AH230)),ISNUMBER(FIND("COMMENT",AH230))))+4096*(OR(ISNUMBER(FIND("QTY",AH230)),ISNUMBER(FIND("QUANTITY",AH230))))+8192*(AND(OR(ISNUMBER(FIND("COMPLETE",AH230)),ISNUMBER(FIND("PCT",AH230)),ISNUMBER(FIND("PERCENT",AH230))),NOT(ISNUMBER(FIND("ACTUAL",AH230))),LEN(AH230)&lt;=16))+32768*(OR(ISNUMBER(FIND("DESIC",AH230)),ISNUMBER(FIND("DESSIC",AH230)))))</f>
        <v/>
      </c>
      <c r="AI232">
        <f>IF(AI230="",0,2*(OR(ISNUMBER(FIND("WORKCENTER",AI230)),AND(LEFT(AI230,4)="LINE",NOT(ISNUMBER(FIND("STATUS",AI230))))))+4*(OR(ISNUMBER(FIND("WORKORDER",AI230)),AND(LEFT(AI230,2)="WO",OR(ISNUMBER(FIND("NUM",AI230)),RIGHT(AI230,2)="NO"))))+8*(LEFT(AI230,3)="SEQ")+16*(AND(LEFT(AI230,4)="ITEM",NOT(ISNUMBER(FIND("DESC",AI230)))))+32*(AND(ISNUMBER(FIND("DESC",AI230)),NOT(ISNUMBER(FIND("CAP",AI230)))))+64*(OR(RIGHT(AI230,5)="COUNT",RIGHT(AI230,2)="CT"))+128*(ISNUMBER(FIND("BULK",AI230)))+256*(ISNUMBER(FIND("SIZE",AI230)))+512*(LEFT(AI230,3)="CAP")+1024*(ISNUMBER(FIND("ALLERG",AI230)))+2048*(OR(ISNUMBER(FIND("REMARK",AI230)),ISNUMBER(FIND("COMMENT",AI230))))+4096*(OR(ISNUMBER(FIND("QTY",AI230)),ISNUMBER(FIND("QUANTITY",AI230))))+8192*(AND(OR(ISNUMBER(FIND("COMPLETE",AI230)),ISNUMBER(FIND("PCT",AI230)),ISNUMBER(FIND("PERCENT",AI230))),NOT(ISNUMBER(FIND("ACTUAL",AI230))),LEN(AI230)&lt;=16))+32768*(OR(ISNUMBER(FIND("DESIC",AI230)),ISNUMBER(FIND("DESSIC",AI230)))))</f>
        <v/>
      </c>
      <c r="AJ232">
        <f>IF(AJ230="",0,2*(OR(ISNUMBER(FIND("WORKCENTER",AJ230)),AND(LEFT(AJ230,4)="LINE",NOT(ISNUMBER(FIND("STATUS",AJ230))))))+4*(OR(ISNUMBER(FIND("WORKORDER",AJ230)),AND(LEFT(AJ230,2)="WO",OR(ISNUMBER(FIND("NUM",AJ230)),RIGHT(AJ230,2)="NO"))))+8*(LEFT(AJ230,3)="SEQ")+16*(AND(LEFT(AJ230,4)="ITEM",NOT(ISNUMBER(FIND("DESC",AJ230)))))+32*(AND(ISNUMBER(FIND("DESC",AJ230)),NOT(ISNUMBER(FIND("CAP",AJ230)))))+64*(OR(RIGHT(AJ230,5)="COUNT",RIGHT(AJ230,2)="CT"))+128*(ISNUMBER(FIND("BULK",AJ230)))+256*(ISNUMBER(FIND("SIZE",AJ230)))+512*(LEFT(AJ230,3)="CAP")+1024*(ISNUMBER(FIND("ALLERG",AJ230)))+2048*(OR(ISNUMBER(FIND("REMARK",AJ230)),ISNUMBER(FIND("COMMENT",AJ230))))+4096*(OR(ISNUMBER(FIND("QTY",AJ230)),ISNUMBER(FIND("QUANTITY",AJ230))))+8192*(AND(OR(ISNUMBER(FIND("COMPLETE",AJ230)),ISNUMBER(FIND("PCT",AJ230)),ISNUMBER(FIND("PERCENT",AJ230))),NOT(ISNUMBER(FIND("ACTUAL",AJ230))),LEN(AJ230)&lt;=16))+32768*(OR(ISNUMBER(FIND("DESIC",AJ230)),ISNUMBER(FIND("DESSIC",AJ230)))))</f>
        <v/>
      </c>
      <c r="AK232">
        <f>IF(AK230="",0,2*(OR(ISNUMBER(FIND("WORKCENTER",AK230)),AND(LEFT(AK230,4)="LINE",NOT(ISNUMBER(FIND("STATUS",AK230))))))+4*(OR(ISNUMBER(FIND("WORKORDER",AK230)),AND(LEFT(AK230,2)="WO",OR(ISNUMBER(FIND("NUM",AK230)),RIGHT(AK230,2)="NO"))))+8*(LEFT(AK230,3)="SEQ")+16*(AND(LEFT(AK230,4)="ITEM",NOT(ISNUMBER(FIND("DESC",AK230)))))+32*(AND(ISNUMBER(FIND("DESC",AK230)),NOT(ISNUMBER(FIND("CAP",AK230)))))+64*(OR(RIGHT(AK230,5)="COUNT",RIGHT(AK230,2)="CT"))+128*(ISNUMBER(FIND("BULK",AK230)))+256*(ISNUMBER(FIND("SIZE",AK230)))+512*(LEFT(AK230,3)="CAP")+1024*(ISNUMBER(FIND("ALLERG",AK230)))+2048*(OR(ISNUMBER(FIND("REMARK",AK230)),ISNUMBER(FIND("COMMENT",AK230))))+4096*(OR(ISNUMBER(FIND("QTY",AK230)),ISNUMBER(FIND("QUANTITY",AK230))))+8192*(AND(OR(ISNUMBER(FIND("COMPLETE",AK230)),ISNUMBER(FIND("PCT",AK230)),ISNUMBER(FIND("PERCENT",AK230))),NOT(ISNUMBER(FIND("ACTUAL",AK230))),LEN(AK230)&lt;=16))+32768*(OR(ISNUMBER(FIND("DESIC",AK230)),ISNUMBER(FIND("DESSIC",AK230)))))</f>
        <v/>
      </c>
      <c r="AL232">
        <f>IF(AL230="",0,2*(OR(ISNUMBER(FIND("WORKCENTER",AL230)),AND(LEFT(AL230,4)="LINE",NOT(ISNUMBER(FIND("STATUS",AL230))))))+4*(OR(ISNUMBER(FIND("WORKORDER",AL230)),AND(LEFT(AL230,2)="WO",OR(ISNUMBER(FIND("NUM",AL230)),RIGHT(AL230,2)="NO"))))+8*(LEFT(AL230,3)="SEQ")+16*(AND(LEFT(AL230,4)="ITEM",NOT(ISNUMBER(FIND("DESC",AL230)))))+32*(AND(ISNUMBER(FIND("DESC",AL230)),NOT(ISNUMBER(FIND("CAP",AL230)))))+64*(OR(RIGHT(AL230,5)="COUNT",RIGHT(AL230,2)="CT"))+128*(ISNUMBER(FIND("BULK",AL230)))+256*(ISNUMBER(FIND("SIZE",AL230)))+512*(LEFT(AL230,3)="CAP")+1024*(ISNUMBER(FIND("ALLERG",AL230)))+2048*(OR(ISNUMBER(FIND("REMARK",AL230)),ISNUMBER(FIND("COMMENT",AL230))))+4096*(OR(ISNUMBER(FIND("QTY",AL230)),ISNUMBER(FIND("QUANTITY",AL230))))+8192*(AND(OR(ISNUMBER(FIND("COMPLETE",AL230)),ISNUMBER(FIND("PCT",AL230)),ISNUMBER(FIND("PERCENT",AL230))),NOT(ISNUMBER(FIND("ACTUAL",AL230))),LEN(AL230)&lt;=16))+32768*(OR(ISNUMBER(FIND("DESIC",AL230)),ISNUMBER(FIND("DESSIC",AL230)))))</f>
        <v/>
      </c>
      <c r="AM232">
        <f>IF(AM230="",0,2*(OR(ISNUMBER(FIND("WORKCENTER",AM230)),AND(LEFT(AM230,4)="LINE",NOT(ISNUMBER(FIND("STATUS",AM230))))))+4*(OR(ISNUMBER(FIND("WORKORDER",AM230)),AND(LEFT(AM230,2)="WO",OR(ISNUMBER(FIND("NUM",AM230)),RIGHT(AM230,2)="NO"))))+8*(LEFT(AM230,3)="SEQ")+16*(AND(LEFT(AM230,4)="ITEM",NOT(ISNUMBER(FIND("DESC",AM230)))))+32*(AND(ISNUMBER(FIND("DESC",AM230)),NOT(ISNUMBER(FIND("CAP",AM230)))))+64*(OR(RIGHT(AM230,5)="COUNT",RIGHT(AM230,2)="CT"))+128*(ISNUMBER(FIND("BULK",AM230)))+256*(ISNUMBER(FIND("SIZE",AM230)))+512*(LEFT(AM230,3)="CAP")+1024*(ISNUMBER(FIND("ALLERG",AM230)))+2048*(OR(ISNUMBER(FIND("REMARK",AM230)),ISNUMBER(FIND("COMMENT",AM230))))+4096*(OR(ISNUMBER(FIND("QTY",AM230)),ISNUMBER(FIND("QUANTITY",AM230))))+8192*(AND(OR(ISNUMBER(FIND("COMPLETE",AM230)),ISNUMBER(FIND("PCT",AM230)),ISNUMBER(FIND("PERCENT",AM230))),NOT(ISNUMBER(FIND("ACTUAL",AM230))),LEN(AM230)&lt;=16))+32768*(OR(ISNUMBER(FIND("DESIC",AM230)),ISNUMBER(FIND("DESSIC",AM230)))))</f>
        <v/>
      </c>
      <c r="AN232">
        <f>IF(AN230="",0,2*(OR(ISNUMBER(FIND("WORKCENTER",AN230)),AND(LEFT(AN230,4)="LINE",NOT(ISNUMBER(FIND("STATUS",AN230))))))+4*(OR(ISNUMBER(FIND("WORKORDER",AN230)),AND(LEFT(AN230,2)="WO",OR(ISNUMBER(FIND("NUM",AN230)),RIGHT(AN230,2)="NO"))))+8*(LEFT(AN230,3)="SEQ")+16*(AND(LEFT(AN230,4)="ITEM",NOT(ISNUMBER(FIND("DESC",AN230)))))+32*(AND(ISNUMBER(FIND("DESC",AN230)),NOT(ISNUMBER(FIND("CAP",AN230)))))+64*(OR(RIGHT(AN230,5)="COUNT",RIGHT(AN230,2)="CT"))+128*(ISNUMBER(FIND("BULK",AN230)))+256*(ISNUMBER(FIND("SIZE",AN230)))+512*(LEFT(AN230,3)="CAP")+1024*(ISNUMBER(FIND("ALLERG",AN230)))+2048*(OR(ISNUMBER(FIND("REMARK",AN230)),ISNUMBER(FIND("COMMENT",AN230))))+4096*(OR(ISNUMBER(FIND("QTY",AN230)),ISNUMBER(FIND("QUANTITY",AN230))))+8192*(AND(OR(ISNUMBER(FIND("COMPLETE",AN230)),ISNUMBER(FIND("PCT",AN230)),ISNUMBER(FIND("PERCENT",AN230))),NOT(ISNUMBER(FIND("ACTUAL",AN230))),LEN(AN230)&lt;=16))+32768*(OR(ISNUMBER(FIND("DESIC",AN230)),ISNUMBER(FIND("DESSIC",AN230)))))</f>
        <v/>
      </c>
      <c r="AO232">
        <f>IF(AO230="",0,2*(OR(ISNUMBER(FIND("WORKCENTER",AO230)),AND(LEFT(AO230,4)="LINE",NOT(ISNUMBER(FIND("STATUS",AO230))))))+4*(OR(ISNUMBER(FIND("WORKORDER",AO230)),AND(LEFT(AO230,2)="WO",OR(ISNUMBER(FIND("NUM",AO230)),RIGHT(AO230,2)="NO"))))+8*(LEFT(AO230,3)="SEQ")+16*(AND(LEFT(AO230,4)="ITEM",NOT(ISNUMBER(FIND("DESC",AO230)))))+32*(AND(ISNUMBER(FIND("DESC",AO230)),NOT(ISNUMBER(FIND("CAP",AO230)))))+64*(OR(RIGHT(AO230,5)="COUNT",RIGHT(AO230,2)="CT"))+128*(ISNUMBER(FIND("BULK",AO230)))+256*(ISNUMBER(FIND("SIZE",AO230)))+512*(LEFT(AO230,3)="CAP")+1024*(ISNUMBER(FIND("ALLERG",AO230)))+2048*(OR(ISNUMBER(FIND("REMARK",AO230)),ISNUMBER(FIND("COMMENT",AO230))))+4096*(OR(ISNUMBER(FIND("QTY",AO230)),ISNUMBER(FIND("QUANTITY",AO230))))+8192*(AND(OR(ISNUMBER(FIND("COMPLETE",AO230)),ISNUMBER(FIND("PCT",AO230)),ISNUMBER(FIND("PERCENT",AO230))),NOT(ISNUMBER(FIND("ACTUAL",AO230))),LEN(AO230)&lt;=16))+32768*(OR(ISNUMBER(FIND("DESIC",AO230)),ISNUMBER(FIND("DESSIC",AO230)))))</f>
        <v/>
      </c>
      <c r="AP232">
        <f>IF(AP230="",0,2*(OR(ISNUMBER(FIND("WORKCENTER",AP230)),AND(LEFT(AP230,4)="LINE",NOT(ISNUMBER(FIND("STATUS",AP230))))))+4*(OR(ISNUMBER(FIND("WORKORDER",AP230)),AND(LEFT(AP230,2)="WO",OR(ISNUMBER(FIND("NUM",AP230)),RIGHT(AP230,2)="NO"))))+8*(LEFT(AP230,3)="SEQ")+16*(AND(LEFT(AP230,4)="ITEM",NOT(ISNUMBER(FIND("DESC",AP230)))))+32*(AND(ISNUMBER(FIND("DESC",AP230)),NOT(ISNUMBER(FIND("CAP",AP230)))))+64*(OR(RIGHT(AP230,5)="COUNT",RIGHT(AP230,2)="CT"))+128*(ISNUMBER(FIND("BULK",AP230)))+256*(ISNUMBER(FIND("SIZE",AP230)))+512*(LEFT(AP230,3)="CAP")+1024*(ISNUMBER(FIND("ALLERG",AP230)))+2048*(OR(ISNUMBER(FIND("REMARK",AP230)),ISNUMBER(FIND("COMMENT",AP230))))+4096*(OR(ISNUMBER(FIND("QTY",AP230)),ISNUMBER(FIND("QUANTITY",AP230))))+8192*(AND(OR(ISNUMBER(FIND("COMPLETE",AP230)),ISNUMBER(FIND("PCT",AP230)),ISNUMBER(FIND("PERCENT",AP230))),NOT(ISNUMBER(FIND("ACTUAL",AP230))),LEN(AP230)&lt;=16))+32768*(OR(ISNUMBER(FIND("DESIC",AP230)),ISNUMBER(FIND("DESSIC",AP230)))))</f>
        <v/>
      </c>
      <c r="AQ232">
        <f>IF(AQ230="",0,2*(OR(ISNUMBER(FIND("WORKCENTER",AQ230)),AND(LEFT(AQ230,4)="LINE",NOT(ISNUMBER(FIND("STATUS",AQ230))))))+4*(OR(ISNUMBER(FIND("WORKORDER",AQ230)),AND(LEFT(AQ230,2)="WO",OR(ISNUMBER(FIND("NUM",AQ230)),RIGHT(AQ230,2)="NO"))))+8*(LEFT(AQ230,3)="SEQ")+16*(AND(LEFT(AQ230,4)="ITEM",NOT(ISNUMBER(FIND("DESC",AQ230)))))+32*(AND(ISNUMBER(FIND("DESC",AQ230)),NOT(ISNUMBER(FIND("CAP",AQ230)))))+64*(OR(RIGHT(AQ230,5)="COUNT",RIGHT(AQ230,2)="CT"))+128*(ISNUMBER(FIND("BULK",AQ230)))+256*(ISNUMBER(FIND("SIZE",AQ230)))+512*(LEFT(AQ230,3)="CAP")+1024*(ISNUMBER(FIND("ALLERG",AQ230)))+2048*(OR(ISNUMBER(FIND("REMARK",AQ230)),ISNUMBER(FIND("COMMENT",AQ230))))+4096*(OR(ISNUMBER(FIND("QTY",AQ230)),ISNUMBER(FIND("QUANTITY",AQ230))))+8192*(AND(OR(ISNUMBER(FIND("COMPLETE",AQ230)),ISNUMBER(FIND("PCT",AQ230)),ISNUMBER(FIND("PERCENT",AQ230))),NOT(ISNUMBER(FIND("ACTUAL",AQ230))),LEN(AQ230)&lt;=16))+32768*(OR(ISNUMBER(FIND("DESIC",AQ230)),ISNUMBER(FIND("DESSIC",AQ230)))))</f>
        <v/>
      </c>
      <c r="AR232">
        <f>IF(AR230="",0,2*(OR(ISNUMBER(FIND("WORKCENTER",AR230)),AND(LEFT(AR230,4)="LINE",NOT(ISNUMBER(FIND("STATUS",AR230))))))+4*(OR(ISNUMBER(FIND("WORKORDER",AR230)),AND(LEFT(AR230,2)="WO",OR(ISNUMBER(FIND("NUM",AR230)),RIGHT(AR230,2)="NO"))))+8*(LEFT(AR230,3)="SEQ")+16*(AND(LEFT(AR230,4)="ITEM",NOT(ISNUMBER(FIND("DESC",AR230)))))+32*(AND(ISNUMBER(FIND("DESC",AR230)),NOT(ISNUMBER(FIND("CAP",AR230)))))+64*(OR(RIGHT(AR230,5)="COUNT",RIGHT(AR230,2)="CT"))+128*(ISNUMBER(FIND("BULK",AR230)))+256*(ISNUMBER(FIND("SIZE",AR230)))+512*(LEFT(AR230,3)="CAP")+1024*(ISNUMBER(FIND("ALLERG",AR230)))+2048*(OR(ISNUMBER(FIND("REMARK",AR230)),ISNUMBER(FIND("COMMENT",AR230))))+4096*(OR(ISNUMBER(FIND("QTY",AR230)),ISNUMBER(FIND("QUANTITY",AR230))))+8192*(AND(OR(ISNUMBER(FIND("COMPLETE",AR230)),ISNUMBER(FIND("PCT",AR230)),ISNUMBER(FIND("PERCENT",AR230))),NOT(ISNUMBER(FIND("ACTUAL",AR230))),LEN(AR230)&lt;=16))+32768*(OR(ISNUMBER(FIND("DESIC",AR230)),ISNUMBER(FIND("DESSIC",AR230)))))</f>
        <v/>
      </c>
      <c r="AS232">
        <f>IF(AS230="",0,2*(OR(ISNUMBER(FIND("WORKCENTER",AS230)),AND(LEFT(AS230,4)="LINE",NOT(ISNUMBER(FIND("STATUS",AS230))))))+4*(OR(ISNUMBER(FIND("WORKORDER",AS230)),AND(LEFT(AS230,2)="WO",OR(ISNUMBER(FIND("NUM",AS230)),RIGHT(AS230,2)="NO"))))+8*(LEFT(AS230,3)="SEQ")+16*(AND(LEFT(AS230,4)="ITEM",NOT(ISNUMBER(FIND("DESC",AS230)))))+32*(AND(ISNUMBER(FIND("DESC",AS230)),NOT(ISNUMBER(FIND("CAP",AS230)))))+64*(OR(RIGHT(AS230,5)="COUNT",RIGHT(AS230,2)="CT"))+128*(ISNUMBER(FIND("BULK",AS230)))+256*(ISNUMBER(FIND("SIZE",AS230)))+512*(LEFT(AS230,3)="CAP")+1024*(ISNUMBER(FIND("ALLERG",AS230)))+2048*(OR(ISNUMBER(FIND("REMARK",AS230)),ISNUMBER(FIND("COMMENT",AS230))))+4096*(OR(ISNUMBER(FIND("QTY",AS230)),ISNUMBER(FIND("QUANTITY",AS230))))+8192*(AND(OR(ISNUMBER(FIND("COMPLETE",AS230)),ISNUMBER(FIND("PCT",AS230)),ISNUMBER(FIND("PERCENT",AS230))),NOT(ISNUMBER(FIND("ACTUAL",AS230))),LEN(AS230)&lt;=16))+32768*(OR(ISNUMBER(FIND("DESIC",AS230)),ISNUMBER(FIND("DESSIC",AS230)))))</f>
        <v/>
      </c>
      <c r="AT232">
        <f>IF(AT230="",0,2*(OR(ISNUMBER(FIND("WORKCENTER",AT230)),AND(LEFT(AT230,4)="LINE",NOT(ISNUMBER(FIND("STATUS",AT230))))))+4*(OR(ISNUMBER(FIND("WORKORDER",AT230)),AND(LEFT(AT230,2)="WO",OR(ISNUMBER(FIND("NUM",AT230)),RIGHT(AT230,2)="NO"))))+8*(LEFT(AT230,3)="SEQ")+16*(AND(LEFT(AT230,4)="ITEM",NOT(ISNUMBER(FIND("DESC",AT230)))))+32*(AND(ISNUMBER(FIND("DESC",AT230)),NOT(ISNUMBER(FIND("CAP",AT230)))))+64*(OR(RIGHT(AT230,5)="COUNT",RIGHT(AT230,2)="CT"))+128*(ISNUMBER(FIND("BULK",AT230)))+256*(ISNUMBER(FIND("SIZE",AT230)))+512*(LEFT(AT230,3)="CAP")+1024*(ISNUMBER(FIND("ALLERG",AT230)))+2048*(OR(ISNUMBER(FIND("REMARK",AT230)),ISNUMBER(FIND("COMMENT",AT230))))+4096*(OR(ISNUMBER(FIND("QTY",AT230)),ISNUMBER(FIND("QUANTITY",AT230))))+8192*(AND(OR(ISNUMBER(FIND("COMPLETE",AT230)),ISNUMBER(FIND("PCT",AT230)),ISNUMBER(FIND("PERCENT",AT230))),NOT(ISNUMBER(FIND("ACTUAL",AT230))),LEN(AT230)&lt;=16))+32768*(OR(ISNUMBER(FIND("DESIC",AT230)),ISNUMBER(FIND("DESSIC",AT230)))))</f>
        <v/>
      </c>
      <c r="AU232">
        <f>IF(AU230="",0,2*(OR(ISNUMBER(FIND("WORKCENTER",AU230)),AND(LEFT(AU230,4)="LINE",NOT(ISNUMBER(FIND("STATUS",AU230))))))+4*(OR(ISNUMBER(FIND("WORKORDER",AU230)),AND(LEFT(AU230,2)="WO",OR(ISNUMBER(FIND("NUM",AU230)),RIGHT(AU230,2)="NO"))))+8*(LEFT(AU230,3)="SEQ")+16*(AND(LEFT(AU230,4)="ITEM",NOT(ISNUMBER(FIND("DESC",AU230)))))+32*(AND(ISNUMBER(FIND("DESC",AU230)),NOT(ISNUMBER(FIND("CAP",AU230)))))+64*(OR(RIGHT(AU230,5)="COUNT",RIGHT(AU230,2)="CT"))+128*(ISNUMBER(FIND("BULK",AU230)))+256*(ISNUMBER(FIND("SIZE",AU230)))+512*(LEFT(AU230,3)="CAP")+1024*(ISNUMBER(FIND("ALLERG",AU230)))+2048*(OR(ISNUMBER(FIND("REMARK",AU230)),ISNUMBER(FIND("COMMENT",AU230))))+4096*(OR(ISNUMBER(FIND("QTY",AU230)),ISNUMBER(FIND("QUANTITY",AU230))))+8192*(AND(OR(ISNUMBER(FIND("COMPLETE",AU230)),ISNUMBER(FIND("PCT",AU230)),ISNUMBER(FIND("PERCENT",AU230))),NOT(ISNUMBER(FIND("ACTUAL",AU230))),LEN(AU230)&lt;=16))+32768*(OR(ISNUMBER(FIND("DESIC",AU230)),ISNUMBER(FIND("DESSIC",AU230)))))</f>
        <v/>
      </c>
      <c r="AV232">
        <f>IF(AV230="",0,2*(OR(ISNUMBER(FIND("WORKCENTER",AV230)),AND(LEFT(AV230,4)="LINE",NOT(ISNUMBER(FIND("STATUS",AV230))))))+4*(OR(ISNUMBER(FIND("WORKORDER",AV230)),AND(LEFT(AV230,2)="WO",OR(ISNUMBER(FIND("NUM",AV230)),RIGHT(AV230,2)="NO"))))+8*(LEFT(AV230,3)="SEQ")+16*(AND(LEFT(AV230,4)="ITEM",NOT(ISNUMBER(FIND("DESC",AV230)))))+32*(AND(ISNUMBER(FIND("DESC",AV230)),NOT(ISNUMBER(FIND("CAP",AV230)))))+64*(OR(RIGHT(AV230,5)="COUNT",RIGHT(AV230,2)="CT"))+128*(ISNUMBER(FIND("BULK",AV230)))+256*(ISNUMBER(FIND("SIZE",AV230)))+512*(LEFT(AV230,3)="CAP")+1024*(ISNUMBER(FIND("ALLERG",AV230)))+2048*(OR(ISNUMBER(FIND("REMARK",AV230)),ISNUMBER(FIND("COMMENT",AV230))))+4096*(OR(ISNUMBER(FIND("QTY",AV230)),ISNUMBER(FIND("QUANTITY",AV230))))+8192*(AND(OR(ISNUMBER(FIND("COMPLETE",AV230)),ISNUMBER(FIND("PCT",AV230)),ISNUMBER(FIND("PERCENT",AV230))),NOT(ISNUMBER(FIND("ACTUAL",AV230))),LEN(AV230)&lt;=16))+32768*(OR(ISNUMBER(FIND("DESIC",AV230)),ISNUMBER(FIND("DESSIC",AV230)))))</f>
        <v/>
      </c>
      <c r="AW232">
        <f>IF(AW230="",0,2*(OR(ISNUMBER(FIND("WORKCENTER",AW230)),AND(LEFT(AW230,4)="LINE",NOT(ISNUMBER(FIND("STATUS",AW230))))))+4*(OR(ISNUMBER(FIND("WORKORDER",AW230)),AND(LEFT(AW230,2)="WO",OR(ISNUMBER(FIND("NUM",AW230)),RIGHT(AW230,2)="NO"))))+8*(LEFT(AW230,3)="SEQ")+16*(AND(LEFT(AW230,4)="ITEM",NOT(ISNUMBER(FIND("DESC",AW230)))))+32*(AND(ISNUMBER(FIND("DESC",AW230)),NOT(ISNUMBER(FIND("CAP",AW230)))))+64*(OR(RIGHT(AW230,5)="COUNT",RIGHT(AW230,2)="CT"))+128*(ISNUMBER(FIND("BULK",AW230)))+256*(ISNUMBER(FIND("SIZE",AW230)))+512*(LEFT(AW230,3)="CAP")+1024*(ISNUMBER(FIND("ALLERG",AW230)))+2048*(OR(ISNUMBER(FIND("REMARK",AW230)),ISNUMBER(FIND("COMMENT",AW230))))+4096*(OR(ISNUMBER(FIND("QTY",AW230)),ISNUMBER(FIND("QUANTITY",AW230))))+8192*(AND(OR(ISNUMBER(FIND("COMPLETE",AW230)),ISNUMBER(FIND("PCT",AW230)),ISNUMBER(FIND("PERCENT",AW230))),NOT(ISNUMBER(FIND("ACTUAL",AW230))),LEN(AW230)&lt;=16))+32768*(OR(ISNUMBER(FIND("DESIC",AW230)),ISNUMBER(FIND("DESSIC",AW230)))))</f>
        <v/>
      </c>
      <c r="AX232">
        <f>IF(AX230="",0,2*(OR(ISNUMBER(FIND("WORKCENTER",AX230)),AND(LEFT(AX230,4)="LINE",NOT(ISNUMBER(FIND("STATUS",AX230))))))+4*(OR(ISNUMBER(FIND("WORKORDER",AX230)),AND(LEFT(AX230,2)="WO",OR(ISNUMBER(FIND("NUM",AX230)),RIGHT(AX230,2)="NO"))))+8*(LEFT(AX230,3)="SEQ")+16*(AND(LEFT(AX230,4)="ITEM",NOT(ISNUMBER(FIND("DESC",AX230)))))+32*(AND(ISNUMBER(FIND("DESC",AX230)),NOT(ISNUMBER(FIND("CAP",AX230)))))+64*(OR(RIGHT(AX230,5)="COUNT",RIGHT(AX230,2)="CT"))+128*(ISNUMBER(FIND("BULK",AX230)))+256*(ISNUMBER(FIND("SIZE",AX230)))+512*(LEFT(AX230,3)="CAP")+1024*(ISNUMBER(FIND("ALLERG",AX230)))+2048*(OR(ISNUMBER(FIND("REMARK",AX230)),ISNUMBER(FIND("COMMENT",AX230))))+4096*(OR(ISNUMBER(FIND("QTY",AX230)),ISNUMBER(FIND("QUANTITY",AX230))))+8192*(AND(OR(ISNUMBER(FIND("COMPLETE",AX230)),ISNUMBER(FIND("PCT",AX230)),ISNUMBER(FIND("PERCENT",AX230))),NOT(ISNUMBER(FIND("ACTUAL",AX230))),LEN(AX230)&lt;=16))+32768*(OR(ISNUMBER(FIND("DESIC",AX230)),ISNUMBER(FIND("DESSIC",AX230)))))</f>
        <v/>
      </c>
      <c r="AY232">
        <f>IF(AY230="",0,2*(OR(ISNUMBER(FIND("WORKCENTER",AY230)),AND(LEFT(AY230,4)="LINE",NOT(ISNUMBER(FIND("STATUS",AY230))))))+4*(OR(ISNUMBER(FIND("WORKORDER",AY230)),AND(LEFT(AY230,2)="WO",OR(ISNUMBER(FIND("NUM",AY230)),RIGHT(AY230,2)="NO"))))+8*(LEFT(AY230,3)="SEQ")+16*(AND(LEFT(AY230,4)="ITEM",NOT(ISNUMBER(FIND("DESC",AY230)))))+32*(AND(ISNUMBER(FIND("DESC",AY230)),NOT(ISNUMBER(FIND("CAP",AY230)))))+64*(OR(RIGHT(AY230,5)="COUNT",RIGHT(AY230,2)="CT"))+128*(ISNUMBER(FIND("BULK",AY230)))+256*(ISNUMBER(FIND("SIZE",AY230)))+512*(LEFT(AY230,3)="CAP")+1024*(ISNUMBER(FIND("ALLERG",AY230)))+2048*(OR(ISNUMBER(FIND("REMARK",AY230)),ISNUMBER(FIND("COMMENT",AY230))))+4096*(OR(ISNUMBER(FIND("QTY",AY230)),ISNUMBER(FIND("QUANTITY",AY230))))+8192*(AND(OR(ISNUMBER(FIND("COMPLETE",AY230)),ISNUMBER(FIND("PCT",AY230)),ISNUMBER(FIND("PERCENT",AY230))),NOT(ISNUMBER(FIND("ACTUAL",AY230))),LEN(AY230)&lt;=16))+32768*(OR(ISNUMBER(FIND("DESIC",AY230)),ISNUMBER(FIND("DESSIC",AY230)))))</f>
        <v/>
      </c>
      <c r="AZ232">
        <f>IF(AZ230="",0,2*(OR(ISNUMBER(FIND("WORKCENTER",AZ230)),AND(LEFT(AZ230,4)="LINE",NOT(ISNUMBER(FIND("STATUS",AZ230))))))+4*(OR(ISNUMBER(FIND("WORKORDER",AZ230)),AND(LEFT(AZ230,2)="WO",OR(ISNUMBER(FIND("NUM",AZ230)),RIGHT(AZ230,2)="NO"))))+8*(LEFT(AZ230,3)="SEQ")+16*(AND(LEFT(AZ230,4)="ITEM",NOT(ISNUMBER(FIND("DESC",AZ230)))))+32*(AND(ISNUMBER(FIND("DESC",AZ230)),NOT(ISNUMBER(FIND("CAP",AZ230)))))+64*(OR(RIGHT(AZ230,5)="COUNT",RIGHT(AZ230,2)="CT"))+128*(ISNUMBER(FIND("BULK",AZ230)))+256*(ISNUMBER(FIND("SIZE",AZ230)))+512*(LEFT(AZ230,3)="CAP")+1024*(ISNUMBER(FIND("ALLERG",AZ230)))+2048*(OR(ISNUMBER(FIND("REMARK",AZ230)),ISNUMBER(FIND("COMMENT",AZ230))))+4096*(OR(ISNUMBER(FIND("QTY",AZ230)),ISNUMBER(FIND("QUANTITY",AZ230))))+8192*(AND(OR(ISNUMBER(FIND("COMPLETE",AZ230)),ISNUMBER(FIND("PCT",AZ230)),ISNUMBER(FIND("PERCENT",AZ230))),NOT(ISNUMBER(FIND("ACTUAL",AZ230))),LEN(AZ230)&lt;=16))+32768*(OR(ISNUMBER(FIND("DESIC",AZ230)),ISNUMBER(FIND("DESSIC",AZ230)))))</f>
        <v/>
      </c>
      <c r="BA232">
        <f>IF(BA230="",0,2*(OR(ISNUMBER(FIND("WORKCENTER",BA230)),AND(LEFT(BA230,4)="LINE",NOT(ISNUMBER(FIND("STATUS",BA230))))))+4*(OR(ISNUMBER(FIND("WORKORDER",BA230)),AND(LEFT(BA230,2)="WO",OR(ISNUMBER(FIND("NUM",BA230)),RIGHT(BA230,2)="NO"))))+8*(LEFT(BA230,3)="SEQ")+16*(AND(LEFT(BA230,4)="ITEM",NOT(ISNUMBER(FIND("DESC",BA230)))))+32*(AND(ISNUMBER(FIND("DESC",BA230)),NOT(ISNUMBER(FIND("CAP",BA230)))))+64*(OR(RIGHT(BA230,5)="COUNT",RIGHT(BA230,2)="CT"))+128*(ISNUMBER(FIND("BULK",BA230)))+256*(ISNUMBER(FIND("SIZE",BA230)))+512*(LEFT(BA230,3)="CAP")+1024*(ISNUMBER(FIND("ALLERG",BA230)))+2048*(OR(ISNUMBER(FIND("REMARK",BA230)),ISNUMBER(FIND("COMMENT",BA230))))+4096*(OR(ISNUMBER(FIND("QTY",BA230)),ISNUMBER(FIND("QUANTITY",BA230))))+8192*(AND(OR(ISNUMBER(FIND("COMPLETE",BA230)),ISNUMBER(FIND("PCT",BA230)),ISNUMBER(FIND("PERCENT",BA230))),NOT(ISNUMBER(FIND("ACTUAL",BA230))),LEN(BA230)&lt;=16))+32768*(OR(ISNUMBER(FIND("DESIC",BA230)),ISNUMBER(FIND("DESSIC",BA230)))))</f>
        <v/>
      </c>
      <c r="BB232">
        <f>IF(BB230="",0,2*(OR(ISNUMBER(FIND("WORKCENTER",BB230)),AND(LEFT(BB230,4)="LINE",NOT(ISNUMBER(FIND("STATUS",BB230))))))+4*(OR(ISNUMBER(FIND("WORKORDER",BB230)),AND(LEFT(BB230,2)="WO",OR(ISNUMBER(FIND("NUM",BB230)),RIGHT(BB230,2)="NO"))))+8*(LEFT(BB230,3)="SEQ")+16*(AND(LEFT(BB230,4)="ITEM",NOT(ISNUMBER(FIND("DESC",BB230)))))+32*(AND(ISNUMBER(FIND("DESC",BB230)),NOT(ISNUMBER(FIND("CAP",BB230)))))+64*(OR(RIGHT(BB230,5)="COUNT",RIGHT(BB230,2)="CT"))+128*(ISNUMBER(FIND("BULK",BB230)))+256*(ISNUMBER(FIND("SIZE",BB230)))+512*(LEFT(BB230,3)="CAP")+1024*(ISNUMBER(FIND("ALLERG",BB230)))+2048*(OR(ISNUMBER(FIND("REMARK",BB230)),ISNUMBER(FIND("COMMENT",BB230))))+4096*(OR(ISNUMBER(FIND("QTY",BB230)),ISNUMBER(FIND("QUANTITY",BB230))))+8192*(AND(OR(ISNUMBER(FIND("COMPLETE",BB230)),ISNUMBER(FIND("PCT",BB230)),ISNUMBER(FIND("PERCENT",BB230))),NOT(ISNUMBER(FIND("ACTUAL",BB230))),LEN(BB230)&lt;=16))+32768*(OR(ISNUMBER(FIND("DESIC",BB230)),ISNUMBER(FIND("DESSIC",BB230)))))</f>
        <v/>
      </c>
      <c r="BC232">
        <f>IF(BC230="",0,2*(OR(ISNUMBER(FIND("WORKCENTER",BC230)),AND(LEFT(BC230,4)="LINE",NOT(ISNUMBER(FIND("STATUS",BC230))))))+4*(OR(ISNUMBER(FIND("WORKORDER",BC230)),AND(LEFT(BC230,2)="WO",OR(ISNUMBER(FIND("NUM",BC230)),RIGHT(BC230,2)="NO"))))+8*(LEFT(BC230,3)="SEQ")+16*(AND(LEFT(BC230,4)="ITEM",NOT(ISNUMBER(FIND("DESC",BC230)))))+32*(AND(ISNUMBER(FIND("DESC",BC230)),NOT(ISNUMBER(FIND("CAP",BC230)))))+64*(OR(RIGHT(BC230,5)="COUNT",RIGHT(BC230,2)="CT"))+128*(ISNUMBER(FIND("BULK",BC230)))+256*(ISNUMBER(FIND("SIZE",BC230)))+512*(LEFT(BC230,3)="CAP")+1024*(ISNUMBER(FIND("ALLERG",BC230)))+2048*(OR(ISNUMBER(FIND("REMARK",BC230)),ISNUMBER(FIND("COMMENT",BC230))))+4096*(OR(ISNUMBER(FIND("QTY",BC230)),ISNUMBER(FIND("QUANTITY",BC230))))+8192*(AND(OR(ISNUMBER(FIND("COMPLETE",BC230)),ISNUMBER(FIND("PCT",BC230)),ISNUMBER(FIND("PERCENT",BC230))),NOT(ISNUMBER(FIND("ACTUAL",BC230))),LEN(BC230)&lt;=16))+32768*(OR(ISNUMBER(FIND("DESIC",BC230)),ISNUMBER(FIND("DESSIC",BC230)))))</f>
        <v/>
      </c>
      <c r="BD232">
        <f>IF(BD230="",0,2*(OR(ISNUMBER(FIND("WORKCENTER",BD230)),AND(LEFT(BD230,4)="LINE",NOT(ISNUMBER(FIND("STATUS",BD230))))))+4*(OR(ISNUMBER(FIND("WORKORDER",BD230)),AND(LEFT(BD230,2)="WO",OR(ISNUMBER(FIND("NUM",BD230)),RIGHT(BD230,2)="NO"))))+8*(LEFT(BD230,3)="SEQ")+16*(AND(LEFT(BD230,4)="ITEM",NOT(ISNUMBER(FIND("DESC",BD230)))))+32*(AND(ISNUMBER(FIND("DESC",BD230)),NOT(ISNUMBER(FIND("CAP",BD230)))))+64*(OR(RIGHT(BD230,5)="COUNT",RIGHT(BD230,2)="CT"))+128*(ISNUMBER(FIND("BULK",BD230)))+256*(ISNUMBER(FIND("SIZE",BD230)))+512*(LEFT(BD230,3)="CAP")+1024*(ISNUMBER(FIND("ALLERG",BD230)))+2048*(OR(ISNUMBER(FIND("REMARK",BD230)),ISNUMBER(FIND("COMMENT",BD230))))+4096*(OR(ISNUMBER(FIND("QTY",BD230)),ISNUMBER(FIND("QUANTITY",BD230))))+8192*(AND(OR(ISNUMBER(FIND("COMPLETE",BD230)),ISNUMBER(FIND("PCT",BD230)),ISNUMBER(FIND("PERCENT",BD230))),NOT(ISNUMBER(FIND("ACTUAL",BD230))),LEN(BD230)&lt;=16))+32768*(OR(ISNUMBER(FIND("DESIC",BD230)),ISNUMBER(FIND("DESSIC",BD230)))))</f>
        <v/>
      </c>
      <c r="BE232">
        <f>IF(BE230="",0,2*(OR(ISNUMBER(FIND("WORKCENTER",BE230)),AND(LEFT(BE230,4)="LINE",NOT(ISNUMBER(FIND("STATUS",BE230))))))+4*(OR(ISNUMBER(FIND("WORKORDER",BE230)),AND(LEFT(BE230,2)="WO",OR(ISNUMBER(FIND("NUM",BE230)),RIGHT(BE230,2)="NO"))))+8*(LEFT(BE230,3)="SEQ")+16*(AND(LEFT(BE230,4)="ITEM",NOT(ISNUMBER(FIND("DESC",BE230)))))+32*(AND(ISNUMBER(FIND("DESC",BE230)),NOT(ISNUMBER(FIND("CAP",BE230)))))+64*(OR(RIGHT(BE230,5)="COUNT",RIGHT(BE230,2)="CT"))+128*(ISNUMBER(FIND("BULK",BE230)))+256*(ISNUMBER(FIND("SIZE",BE230)))+512*(LEFT(BE230,3)="CAP")+1024*(ISNUMBER(FIND("ALLERG",BE230)))+2048*(OR(ISNUMBER(FIND("REMARK",BE230)),ISNUMBER(FIND("COMMENT",BE230))))+4096*(OR(ISNUMBER(FIND("QTY",BE230)),ISNUMBER(FIND("QUANTITY",BE230))))+8192*(AND(OR(ISNUMBER(FIND("COMPLETE",BE230)),ISNUMBER(FIND("PCT",BE230)),ISNUMBER(FIND("PERCENT",BE230))),NOT(ISNUMBER(FIND("ACTUAL",BE230))),LEN(BE230)&lt;=16))+32768*(OR(ISNUMBER(FIND("DESIC",BE230)),ISNUMBER(FIND("DESSIC",BE230)))))</f>
        <v/>
      </c>
      <c r="BF232">
        <f>IF(BF230="",0,2*(OR(ISNUMBER(FIND("WORKCENTER",BF230)),AND(LEFT(BF230,4)="LINE",NOT(ISNUMBER(FIND("STATUS",BF230))))))+4*(OR(ISNUMBER(FIND("WORKORDER",BF230)),AND(LEFT(BF230,2)="WO",OR(ISNUMBER(FIND("NUM",BF230)),RIGHT(BF230,2)="NO"))))+8*(LEFT(BF230,3)="SEQ")+16*(AND(LEFT(BF230,4)="ITEM",NOT(ISNUMBER(FIND("DESC",BF230)))))+32*(AND(ISNUMBER(FIND("DESC",BF230)),NOT(ISNUMBER(FIND("CAP",BF230)))))+64*(OR(RIGHT(BF230,5)="COUNT",RIGHT(BF230,2)="CT"))+128*(ISNUMBER(FIND("BULK",BF230)))+256*(ISNUMBER(FIND("SIZE",BF230)))+512*(LEFT(BF230,3)="CAP")+1024*(ISNUMBER(FIND("ALLERG",BF230)))+2048*(OR(ISNUMBER(FIND("REMARK",BF230)),ISNUMBER(FIND("COMMENT",BF230))))+4096*(OR(ISNUMBER(FIND("QTY",BF230)),ISNUMBER(FIND("QUANTITY",BF230))))+8192*(AND(OR(ISNUMBER(FIND("COMPLETE",BF230)),ISNUMBER(FIND("PCT",BF230)),ISNUMBER(FIND("PERCENT",BF230))),NOT(ISNUMBER(FIND("ACTUAL",BF230))),LEN(BF230)&lt;=16))+32768*(OR(ISNUMBER(FIND("DESIC",BF230)),ISNUMBER(FIND("DESSIC",BF230)))))</f>
        <v/>
      </c>
      <c r="BG232">
        <f>IF(BG230="",0,2*(OR(ISNUMBER(FIND("WORKCENTER",BG230)),AND(LEFT(BG230,4)="LINE",NOT(ISNUMBER(FIND("STATUS",BG230))))))+4*(OR(ISNUMBER(FIND("WORKORDER",BG230)),AND(LEFT(BG230,2)="WO",OR(ISNUMBER(FIND("NUM",BG230)),RIGHT(BG230,2)="NO"))))+8*(LEFT(BG230,3)="SEQ")+16*(AND(LEFT(BG230,4)="ITEM",NOT(ISNUMBER(FIND("DESC",BG230)))))+32*(AND(ISNUMBER(FIND("DESC",BG230)),NOT(ISNUMBER(FIND("CAP",BG230)))))+64*(OR(RIGHT(BG230,5)="COUNT",RIGHT(BG230,2)="CT"))+128*(ISNUMBER(FIND("BULK",BG230)))+256*(ISNUMBER(FIND("SIZE",BG230)))+512*(LEFT(BG230,3)="CAP")+1024*(ISNUMBER(FIND("ALLERG",BG230)))+2048*(OR(ISNUMBER(FIND("REMARK",BG230)),ISNUMBER(FIND("COMMENT",BG230))))+4096*(OR(ISNUMBER(FIND("QTY",BG230)),ISNUMBER(FIND("QUANTITY",BG230))))+8192*(AND(OR(ISNUMBER(FIND("COMPLETE",BG230)),ISNUMBER(FIND("PCT",BG230)),ISNUMBER(FIND("PERCENT",BG230))),NOT(ISNUMBER(FIND("ACTUAL",BG230))),LEN(BG230)&lt;=16))+32768*(OR(ISNUMBER(FIND("DESIC",BG230)),ISNUMBER(FIND("DESSIC",BG230)))))</f>
        <v/>
      </c>
      <c r="BH232">
        <f>IF(BH230="",0,2*(OR(ISNUMBER(FIND("WORKCENTER",BH230)),AND(LEFT(BH230,4)="LINE",NOT(ISNUMBER(FIND("STATUS",BH230))))))+4*(OR(ISNUMBER(FIND("WORKORDER",BH230)),AND(LEFT(BH230,2)="WO",OR(ISNUMBER(FIND("NUM",BH230)),RIGHT(BH230,2)="NO"))))+8*(LEFT(BH230,3)="SEQ")+16*(AND(LEFT(BH230,4)="ITEM",NOT(ISNUMBER(FIND("DESC",BH230)))))+32*(AND(ISNUMBER(FIND("DESC",BH230)),NOT(ISNUMBER(FIND("CAP",BH230)))))+64*(OR(RIGHT(BH230,5)="COUNT",RIGHT(BH230,2)="CT"))+128*(ISNUMBER(FIND("BULK",BH230)))+256*(ISNUMBER(FIND("SIZE",BH230)))+512*(LEFT(BH230,3)="CAP")+1024*(ISNUMBER(FIND("ALLERG",BH230)))+2048*(OR(ISNUMBER(FIND("REMARK",BH230)),ISNUMBER(FIND("COMMENT",BH230))))+4096*(OR(ISNUMBER(FIND("QTY",BH230)),ISNUMBER(FIND("QUANTITY",BH230))))+8192*(AND(OR(ISNUMBER(FIND("COMPLETE",BH230)),ISNUMBER(FIND("PCT",BH230)),ISNUMBER(FIND("PERCENT",BH230))),NOT(ISNUMBER(FIND("ACTUAL",BH230))),LEN(BH230)&lt;=16))+32768*(OR(ISNUMBER(FIND("DESIC",BH230)),ISNUMBER(FIND("DESSIC",BH230)))))</f>
        <v/>
      </c>
      <c r="BI232">
        <f>IF(BI230="",0,2*(OR(ISNUMBER(FIND("WORKCENTER",BI230)),AND(LEFT(BI230,4)="LINE",NOT(ISNUMBER(FIND("STATUS",BI230))))))+4*(OR(ISNUMBER(FIND("WORKORDER",BI230)),AND(LEFT(BI230,2)="WO",OR(ISNUMBER(FIND("NUM",BI230)),RIGHT(BI230,2)="NO"))))+8*(LEFT(BI230,3)="SEQ")+16*(AND(LEFT(BI230,4)="ITEM",NOT(ISNUMBER(FIND("DESC",BI230)))))+32*(AND(ISNUMBER(FIND("DESC",BI230)),NOT(ISNUMBER(FIND("CAP",BI230)))))+64*(OR(RIGHT(BI230,5)="COUNT",RIGHT(BI230,2)="CT"))+128*(ISNUMBER(FIND("BULK",BI230)))+256*(ISNUMBER(FIND("SIZE",BI230)))+512*(LEFT(BI230,3)="CAP")+1024*(ISNUMBER(FIND("ALLERG",BI230)))+2048*(OR(ISNUMBER(FIND("REMARK",BI230)),ISNUMBER(FIND("COMMENT",BI230))))+4096*(OR(ISNUMBER(FIND("QTY",BI230)),ISNUMBER(FIND("QUANTITY",BI230))))+8192*(AND(OR(ISNUMBER(FIND("COMPLETE",BI230)),ISNUMBER(FIND("PCT",BI230)),ISNUMBER(FIND("PERCENT",BI230))),NOT(ISNUMBER(FIND("ACTUAL",BI230))),LEN(BI230)&lt;=16))+32768*(OR(ISNUMBER(FIND("DESIC",BI230)),ISNUMBER(FIND("DESSIC",BI230)))))</f>
        <v/>
      </c>
      <c r="BJ232">
        <f>IF(BJ230="",0,2*(OR(ISNUMBER(FIND("WORKCENTER",BJ230)),AND(LEFT(BJ230,4)="LINE",NOT(ISNUMBER(FIND("STATUS",BJ230))))))+4*(OR(ISNUMBER(FIND("WORKORDER",BJ230)),AND(LEFT(BJ230,2)="WO",OR(ISNUMBER(FIND("NUM",BJ230)),RIGHT(BJ230,2)="NO"))))+8*(LEFT(BJ230,3)="SEQ")+16*(AND(LEFT(BJ230,4)="ITEM",NOT(ISNUMBER(FIND("DESC",BJ230)))))+32*(AND(ISNUMBER(FIND("DESC",BJ230)),NOT(ISNUMBER(FIND("CAP",BJ230)))))+64*(OR(RIGHT(BJ230,5)="COUNT",RIGHT(BJ230,2)="CT"))+128*(ISNUMBER(FIND("BULK",BJ230)))+256*(ISNUMBER(FIND("SIZE",BJ230)))+512*(LEFT(BJ230,3)="CAP")+1024*(ISNUMBER(FIND("ALLERG",BJ230)))+2048*(OR(ISNUMBER(FIND("REMARK",BJ230)),ISNUMBER(FIND("COMMENT",BJ230))))+4096*(OR(ISNUMBER(FIND("QTY",BJ230)),ISNUMBER(FIND("QUANTITY",BJ230))))+8192*(AND(OR(ISNUMBER(FIND("COMPLETE",BJ230)),ISNUMBER(FIND("PCT",BJ230)),ISNUMBER(FIND("PERCENT",BJ230))),NOT(ISNUMBER(FIND("ACTUAL",BJ230))),LEN(BJ230)&lt;=16))+32768*(OR(ISNUMBER(FIND("DESIC",BJ230)),ISNUMBER(FIND("DESSIC",BJ230)))))</f>
        <v/>
      </c>
      <c r="BK232">
        <f>IF(BK230="",0,2*(OR(ISNUMBER(FIND("WORKCENTER",BK230)),AND(LEFT(BK230,4)="LINE",NOT(ISNUMBER(FIND("STATUS",BK230))))))+4*(OR(ISNUMBER(FIND("WORKORDER",BK230)),AND(LEFT(BK230,2)="WO",OR(ISNUMBER(FIND("NUM",BK230)),RIGHT(BK230,2)="NO"))))+8*(LEFT(BK230,3)="SEQ")+16*(AND(LEFT(BK230,4)="ITEM",NOT(ISNUMBER(FIND("DESC",BK230)))))+32*(AND(ISNUMBER(FIND("DESC",BK230)),NOT(ISNUMBER(FIND("CAP",BK230)))))+64*(OR(RIGHT(BK230,5)="COUNT",RIGHT(BK230,2)="CT"))+128*(ISNUMBER(FIND("BULK",BK230)))+256*(ISNUMBER(FIND("SIZE",BK230)))+512*(LEFT(BK230,3)="CAP")+1024*(ISNUMBER(FIND("ALLERG",BK230)))+2048*(OR(ISNUMBER(FIND("REMARK",BK230)),ISNUMBER(FIND("COMMENT",BK230))))+4096*(OR(ISNUMBER(FIND("QTY",BK230)),ISNUMBER(FIND("QUANTITY",BK230))))+8192*(AND(OR(ISNUMBER(FIND("COMPLETE",BK230)),ISNUMBER(FIND("PCT",BK230)),ISNUMBER(FIND("PERCENT",BK230))),NOT(ISNUMBER(FIND("ACTUAL",BK230))),LEN(BK230)&lt;=16))+32768*(OR(ISNUMBER(FIND("DESIC",BK230)),ISNUMBER(FIND("DESSIC",BK230)))))</f>
        <v/>
      </c>
      <c r="BL232">
        <f>IF(BL230="",0,2*(OR(ISNUMBER(FIND("WORKCENTER",BL230)),AND(LEFT(BL230,4)="LINE",NOT(ISNUMBER(FIND("STATUS",BL230))))))+4*(OR(ISNUMBER(FIND("WORKORDER",BL230)),AND(LEFT(BL230,2)="WO",OR(ISNUMBER(FIND("NUM",BL230)),RIGHT(BL230,2)="NO"))))+8*(LEFT(BL230,3)="SEQ")+16*(AND(LEFT(BL230,4)="ITEM",NOT(ISNUMBER(FIND("DESC",BL230)))))+32*(AND(ISNUMBER(FIND("DESC",BL230)),NOT(ISNUMBER(FIND("CAP",BL230)))))+64*(OR(RIGHT(BL230,5)="COUNT",RIGHT(BL230,2)="CT"))+128*(ISNUMBER(FIND("BULK",BL230)))+256*(ISNUMBER(FIND("SIZE",BL230)))+512*(LEFT(BL230,3)="CAP")+1024*(ISNUMBER(FIND("ALLERG",BL230)))+2048*(OR(ISNUMBER(FIND("REMARK",BL230)),ISNUMBER(FIND("COMMENT",BL230))))+4096*(OR(ISNUMBER(FIND("QTY",BL230)),ISNUMBER(FIND("QUANTITY",BL230))))+8192*(AND(OR(ISNUMBER(FIND("COMPLETE",BL230)),ISNUMBER(FIND("PCT",BL230)),ISNUMBER(FIND("PERCENT",BL230))),NOT(ISNUMBER(FIND("ACTUAL",BL230))),LEN(BL230)&lt;=16))+32768*(OR(ISNUMBER(FIND("DESIC",BL230)),ISNUMBER(FIND("DESSIC",BL230)))))</f>
        <v/>
      </c>
      <c r="BM232">
        <f>IF(BM230="",0,2*(OR(ISNUMBER(FIND("WORKCENTER",BM230)),AND(LEFT(BM230,4)="LINE",NOT(ISNUMBER(FIND("STATUS",BM230))))))+4*(OR(ISNUMBER(FIND("WORKORDER",BM230)),AND(LEFT(BM230,2)="WO",OR(ISNUMBER(FIND("NUM",BM230)),RIGHT(BM230,2)="NO"))))+8*(LEFT(BM230,3)="SEQ")+16*(AND(LEFT(BM230,4)="ITEM",NOT(ISNUMBER(FIND("DESC",BM230)))))+32*(AND(ISNUMBER(FIND("DESC",BM230)),NOT(ISNUMBER(FIND("CAP",BM230)))))+64*(OR(RIGHT(BM230,5)="COUNT",RIGHT(BM230,2)="CT"))+128*(ISNUMBER(FIND("BULK",BM230)))+256*(ISNUMBER(FIND("SIZE",BM230)))+512*(LEFT(BM230,3)="CAP")+1024*(ISNUMBER(FIND("ALLERG",BM230)))+2048*(OR(ISNUMBER(FIND("REMARK",BM230)),ISNUMBER(FIND("COMMENT",BM230))))+4096*(OR(ISNUMBER(FIND("QTY",BM230)),ISNUMBER(FIND("QUANTITY",BM230))))+8192*(AND(OR(ISNUMBER(FIND("COMPLETE",BM230)),ISNUMBER(FIND("PCT",BM230)),ISNUMBER(FIND("PERCENT",BM230))),NOT(ISNUMBER(FIND("ACTUAL",BM230))),LEN(BM230)&lt;=16))+32768*(OR(ISNUMBER(FIND("DESIC",BM230)),ISNUMBER(FIND("DESSIC",BM230)))))</f>
        <v/>
      </c>
      <c r="BN232">
        <f>IF(BN230="",0,2*(OR(ISNUMBER(FIND("WORKCENTER",BN230)),AND(LEFT(BN230,4)="LINE",NOT(ISNUMBER(FIND("STATUS",BN230))))))+4*(OR(ISNUMBER(FIND("WORKORDER",BN230)),AND(LEFT(BN230,2)="WO",OR(ISNUMBER(FIND("NUM",BN230)),RIGHT(BN230,2)="NO"))))+8*(LEFT(BN230,3)="SEQ")+16*(AND(LEFT(BN230,4)="ITEM",NOT(ISNUMBER(FIND("DESC",BN230)))))+32*(AND(ISNUMBER(FIND("DESC",BN230)),NOT(ISNUMBER(FIND("CAP",BN230)))))+64*(OR(RIGHT(BN230,5)="COUNT",RIGHT(BN230,2)="CT"))+128*(ISNUMBER(FIND("BULK",BN230)))+256*(ISNUMBER(FIND("SIZE",BN230)))+512*(LEFT(BN230,3)="CAP")+1024*(ISNUMBER(FIND("ALLERG",BN230)))+2048*(OR(ISNUMBER(FIND("REMARK",BN230)),ISNUMBER(FIND("COMMENT",BN230))))+4096*(OR(ISNUMBER(FIND("QTY",BN230)),ISNUMBER(FIND("QUANTITY",BN230))))+8192*(AND(OR(ISNUMBER(FIND("COMPLETE",BN230)),ISNUMBER(FIND("PCT",BN230)),ISNUMBER(FIND("PERCENT",BN230))),NOT(ISNUMBER(FIND("ACTUAL",BN230))),LEN(BN230)&lt;=16))+32768*(OR(ISNUMBER(FIND("DESIC",BN230)),ISNUMBER(FIND("DESSIC",BN230)))))</f>
        <v/>
      </c>
      <c r="BO232">
        <f>IF(BO230="",0,2*(OR(ISNUMBER(FIND("WORKCENTER",BO230)),AND(LEFT(BO230,4)="LINE",NOT(ISNUMBER(FIND("STATUS",BO230))))))+4*(OR(ISNUMBER(FIND("WORKORDER",BO230)),AND(LEFT(BO230,2)="WO",OR(ISNUMBER(FIND("NUM",BO230)),RIGHT(BO230,2)="NO"))))+8*(LEFT(BO230,3)="SEQ")+16*(AND(LEFT(BO230,4)="ITEM",NOT(ISNUMBER(FIND("DESC",BO230)))))+32*(AND(ISNUMBER(FIND("DESC",BO230)),NOT(ISNUMBER(FIND("CAP",BO230)))))+64*(OR(RIGHT(BO230,5)="COUNT",RIGHT(BO230,2)="CT"))+128*(ISNUMBER(FIND("BULK",BO230)))+256*(ISNUMBER(FIND("SIZE",BO230)))+512*(LEFT(BO230,3)="CAP")+1024*(ISNUMBER(FIND("ALLERG",BO230)))+2048*(OR(ISNUMBER(FIND("REMARK",BO230)),ISNUMBER(FIND("COMMENT",BO230))))+4096*(OR(ISNUMBER(FIND("QTY",BO230)),ISNUMBER(FIND("QUANTITY",BO230))))+8192*(AND(OR(ISNUMBER(FIND("COMPLETE",BO230)),ISNUMBER(FIND("PCT",BO230)),ISNUMBER(FIND("PERCENT",BO230))),NOT(ISNUMBER(FIND("ACTUAL",BO230))),LEN(BO230)&lt;=16))+32768*(OR(ISNUMBER(FIND("DESIC",BO230)),ISNUMBER(FIND("DESSIC",BO230)))))</f>
        <v/>
      </c>
      <c r="BP232">
        <f>IF(BP230="",0,2*(OR(ISNUMBER(FIND("WORKCENTER",BP230)),AND(LEFT(BP230,4)="LINE",NOT(ISNUMBER(FIND("STATUS",BP230))))))+4*(OR(ISNUMBER(FIND("WORKORDER",BP230)),AND(LEFT(BP230,2)="WO",OR(ISNUMBER(FIND("NUM",BP230)),RIGHT(BP230,2)="NO"))))+8*(LEFT(BP230,3)="SEQ")+16*(AND(LEFT(BP230,4)="ITEM",NOT(ISNUMBER(FIND("DESC",BP230)))))+32*(AND(ISNUMBER(FIND("DESC",BP230)),NOT(ISNUMBER(FIND("CAP",BP230)))))+64*(OR(RIGHT(BP230,5)="COUNT",RIGHT(BP230,2)="CT"))+128*(ISNUMBER(FIND("BULK",BP230)))+256*(ISNUMBER(FIND("SIZE",BP230)))+512*(LEFT(BP230,3)="CAP")+1024*(ISNUMBER(FIND("ALLERG",BP230)))+2048*(OR(ISNUMBER(FIND("REMARK",BP230)),ISNUMBER(FIND("COMMENT",BP230))))+4096*(OR(ISNUMBER(FIND("QTY",BP230)),ISNUMBER(FIND("QUANTITY",BP230))))+8192*(AND(OR(ISNUMBER(FIND("COMPLETE",BP230)),ISNUMBER(FIND("PCT",BP230)),ISNUMBER(FIND("PERCENT",BP230))),NOT(ISNUMBER(FIND("ACTUAL",BP230))),LEN(BP230)&lt;=16))+32768*(OR(ISNUMBER(FIND("DESIC",BP230)),ISNUMBER(FIND("DESSIC",BP230)))))</f>
        <v/>
      </c>
      <c r="BQ232">
        <f>IF(BQ230="",0,2*(OR(ISNUMBER(FIND("WORKCENTER",BQ230)),AND(LEFT(BQ230,4)="LINE",NOT(ISNUMBER(FIND("STATUS",BQ230))))))+4*(OR(ISNUMBER(FIND("WORKORDER",BQ230)),AND(LEFT(BQ230,2)="WO",OR(ISNUMBER(FIND("NUM",BQ230)),RIGHT(BQ230,2)="NO"))))+8*(LEFT(BQ230,3)="SEQ")+16*(AND(LEFT(BQ230,4)="ITEM",NOT(ISNUMBER(FIND("DESC",BQ230)))))+32*(AND(ISNUMBER(FIND("DESC",BQ230)),NOT(ISNUMBER(FIND("CAP",BQ230)))))+64*(OR(RIGHT(BQ230,5)="COUNT",RIGHT(BQ230,2)="CT"))+128*(ISNUMBER(FIND("BULK",BQ230)))+256*(ISNUMBER(FIND("SIZE",BQ230)))+512*(LEFT(BQ230,3)="CAP")+1024*(ISNUMBER(FIND("ALLERG",BQ230)))+2048*(OR(ISNUMBER(FIND("REMARK",BQ230)),ISNUMBER(FIND("COMMENT",BQ230))))+4096*(OR(ISNUMBER(FIND("QTY",BQ230)),ISNUMBER(FIND("QUANTITY",BQ230))))+8192*(AND(OR(ISNUMBER(FIND("COMPLETE",BQ230)),ISNUMBER(FIND("PCT",BQ230)),ISNUMBER(FIND("PERCENT",BQ230))),NOT(ISNUMBER(FIND("ACTUAL",BQ230))),LEN(BQ230)&lt;=16))+32768*(OR(ISNUMBER(FIND("DESIC",BQ230)),ISNUMBER(FIND("DESSIC",BQ230)))))</f>
        <v/>
      </c>
      <c r="BR232">
        <f>IF(BR230="",0,2*(OR(ISNUMBER(FIND("WORKCENTER",BR230)),AND(LEFT(BR230,4)="LINE",NOT(ISNUMBER(FIND("STATUS",BR230))))))+4*(OR(ISNUMBER(FIND("WORKORDER",BR230)),AND(LEFT(BR230,2)="WO",OR(ISNUMBER(FIND("NUM",BR230)),RIGHT(BR230,2)="NO"))))+8*(LEFT(BR230,3)="SEQ")+16*(AND(LEFT(BR230,4)="ITEM",NOT(ISNUMBER(FIND("DESC",BR230)))))+32*(AND(ISNUMBER(FIND("DESC",BR230)),NOT(ISNUMBER(FIND("CAP",BR230)))))+64*(OR(RIGHT(BR230,5)="COUNT",RIGHT(BR230,2)="CT"))+128*(ISNUMBER(FIND("BULK",BR230)))+256*(ISNUMBER(FIND("SIZE",BR230)))+512*(LEFT(BR230,3)="CAP")+1024*(ISNUMBER(FIND("ALLERG",BR230)))+2048*(OR(ISNUMBER(FIND("REMARK",BR230)),ISNUMBER(FIND("COMMENT",BR230))))+4096*(OR(ISNUMBER(FIND("QTY",BR230)),ISNUMBER(FIND("QUANTITY",BR230))))+8192*(AND(OR(ISNUMBER(FIND("COMPLETE",BR230)),ISNUMBER(FIND("PCT",BR230)),ISNUMBER(FIND("PERCENT",BR230))),NOT(ISNUMBER(FIND("ACTUAL",BR230))),LEN(BR230)&lt;=16))+32768*(OR(ISNUMBER(FIND("DESIC",BR230)),ISNUMBER(FIND("DESSIC",BR230)))))</f>
        <v/>
      </c>
      <c r="BS232">
        <f>IF(BS230="",0,2*(OR(ISNUMBER(FIND("WORKCENTER",BS230)),AND(LEFT(BS230,4)="LINE",NOT(ISNUMBER(FIND("STATUS",BS230))))))+4*(OR(ISNUMBER(FIND("WORKORDER",BS230)),AND(LEFT(BS230,2)="WO",OR(ISNUMBER(FIND("NUM",BS230)),RIGHT(BS230,2)="NO"))))+8*(LEFT(BS230,3)="SEQ")+16*(AND(LEFT(BS230,4)="ITEM",NOT(ISNUMBER(FIND("DESC",BS230)))))+32*(AND(ISNUMBER(FIND("DESC",BS230)),NOT(ISNUMBER(FIND("CAP",BS230)))))+64*(OR(RIGHT(BS230,5)="COUNT",RIGHT(BS230,2)="CT"))+128*(ISNUMBER(FIND("BULK",BS230)))+256*(ISNUMBER(FIND("SIZE",BS230)))+512*(LEFT(BS230,3)="CAP")+1024*(ISNUMBER(FIND("ALLERG",BS230)))+2048*(OR(ISNUMBER(FIND("REMARK",BS230)),ISNUMBER(FIND("COMMENT",BS230))))+4096*(OR(ISNUMBER(FIND("QTY",BS230)),ISNUMBER(FIND("QUANTITY",BS230))))+8192*(AND(OR(ISNUMBER(FIND("COMPLETE",BS230)),ISNUMBER(FIND("PCT",BS230)),ISNUMBER(FIND("PERCENT",BS230))),NOT(ISNUMBER(FIND("ACTUAL",BS230))),LEN(BS230)&lt;=16))+32768*(OR(ISNUMBER(FIND("DESIC",BS230)),ISNUMBER(FIND("DESSIC",BS230)))))</f>
        <v/>
      </c>
      <c r="BT232">
        <f>IF(BT230="",0,2*(OR(ISNUMBER(FIND("WORKCENTER",BT230)),AND(LEFT(BT230,4)="LINE",NOT(ISNUMBER(FIND("STATUS",BT230))))))+4*(OR(ISNUMBER(FIND("WORKORDER",BT230)),AND(LEFT(BT230,2)="WO",OR(ISNUMBER(FIND("NUM",BT230)),RIGHT(BT230,2)="NO"))))+8*(LEFT(BT230,3)="SEQ")+16*(AND(LEFT(BT230,4)="ITEM",NOT(ISNUMBER(FIND("DESC",BT230)))))+32*(AND(ISNUMBER(FIND("DESC",BT230)),NOT(ISNUMBER(FIND("CAP",BT230)))))+64*(OR(RIGHT(BT230,5)="COUNT",RIGHT(BT230,2)="CT"))+128*(ISNUMBER(FIND("BULK",BT230)))+256*(ISNUMBER(FIND("SIZE",BT230)))+512*(LEFT(BT230,3)="CAP")+1024*(ISNUMBER(FIND("ALLERG",BT230)))+2048*(OR(ISNUMBER(FIND("REMARK",BT230)),ISNUMBER(FIND("COMMENT",BT230))))+4096*(OR(ISNUMBER(FIND("QTY",BT230)),ISNUMBER(FIND("QUANTITY",BT230))))+8192*(AND(OR(ISNUMBER(FIND("COMPLETE",BT230)),ISNUMBER(FIND("PCT",BT230)),ISNUMBER(FIND("PERCENT",BT230))),NOT(ISNUMBER(FIND("ACTUAL",BT230))),LEN(BT230)&lt;=16))+32768*(OR(ISNUMBER(FIND("DESIC",BT230)),ISNUMBER(FIND("DESSIC",BT230)))))</f>
        <v/>
      </c>
      <c r="BU232">
        <f>IF(BU230="",0,2*(OR(ISNUMBER(FIND("WORKCENTER",BU230)),AND(LEFT(BU230,4)="LINE",NOT(ISNUMBER(FIND("STATUS",BU230))))))+4*(OR(ISNUMBER(FIND("WORKORDER",BU230)),AND(LEFT(BU230,2)="WO",OR(ISNUMBER(FIND("NUM",BU230)),RIGHT(BU230,2)="NO"))))+8*(LEFT(BU230,3)="SEQ")+16*(AND(LEFT(BU230,4)="ITEM",NOT(ISNUMBER(FIND("DESC",BU230)))))+32*(AND(ISNUMBER(FIND("DESC",BU230)),NOT(ISNUMBER(FIND("CAP",BU230)))))+64*(OR(RIGHT(BU230,5)="COUNT",RIGHT(BU230,2)="CT"))+128*(ISNUMBER(FIND("BULK",BU230)))+256*(ISNUMBER(FIND("SIZE",BU230)))+512*(LEFT(BU230,3)="CAP")+1024*(ISNUMBER(FIND("ALLERG",BU230)))+2048*(OR(ISNUMBER(FIND("REMARK",BU230)),ISNUMBER(FIND("COMMENT",BU230))))+4096*(OR(ISNUMBER(FIND("QTY",BU230)),ISNUMBER(FIND("QUANTITY",BU230))))+8192*(AND(OR(ISNUMBER(FIND("COMPLETE",BU230)),ISNUMBER(FIND("PCT",BU230)),ISNUMBER(FIND("PERCENT",BU230))),NOT(ISNUMBER(FIND("ACTUAL",BU230))),LEN(BU230)&lt;=16))+32768*(OR(ISNUMBER(FIND("DESIC",BU230)),ISNUMBER(FIND("DESSIC",BU230)))))</f>
        <v/>
      </c>
      <c r="BV232">
        <f>IF(BV230="",0,2*(OR(ISNUMBER(FIND("WORKCENTER",BV230)),AND(LEFT(BV230,4)="LINE",NOT(ISNUMBER(FIND("STATUS",BV230))))))+4*(OR(ISNUMBER(FIND("WORKORDER",BV230)),AND(LEFT(BV230,2)="WO",OR(ISNUMBER(FIND("NUM",BV230)),RIGHT(BV230,2)="NO"))))+8*(LEFT(BV230,3)="SEQ")+16*(AND(LEFT(BV230,4)="ITEM",NOT(ISNUMBER(FIND("DESC",BV230)))))+32*(AND(ISNUMBER(FIND("DESC",BV230)),NOT(ISNUMBER(FIND("CAP",BV230)))))+64*(OR(RIGHT(BV230,5)="COUNT",RIGHT(BV230,2)="CT"))+128*(ISNUMBER(FIND("BULK",BV230)))+256*(ISNUMBER(FIND("SIZE",BV230)))+512*(LEFT(BV230,3)="CAP")+1024*(ISNUMBER(FIND("ALLERG",BV230)))+2048*(OR(ISNUMBER(FIND("REMARK",BV230)),ISNUMBER(FIND("COMMENT",BV230))))+4096*(OR(ISNUMBER(FIND("QTY",BV230)),ISNUMBER(FIND("QUANTITY",BV230))))+8192*(AND(OR(ISNUMBER(FIND("COMPLETE",BV230)),ISNUMBER(FIND("PCT",BV230)),ISNUMBER(FIND("PERCENT",BV230))),NOT(ISNUMBER(FIND("ACTUAL",BV230))),LEN(BV230)&lt;=16))+32768*(OR(ISNUMBER(FIND("DESIC",BV230)),ISNUMBER(FIND("DESSIC",BV230)))))</f>
        <v/>
      </c>
      <c r="BW232">
        <f>IF(BW230="",0,2*(OR(ISNUMBER(FIND("WORKCENTER",BW230)),AND(LEFT(BW230,4)="LINE",NOT(ISNUMBER(FIND("STATUS",BW230))))))+4*(OR(ISNUMBER(FIND("WORKORDER",BW230)),AND(LEFT(BW230,2)="WO",OR(ISNUMBER(FIND("NUM",BW230)),RIGHT(BW230,2)="NO"))))+8*(LEFT(BW230,3)="SEQ")+16*(AND(LEFT(BW230,4)="ITEM",NOT(ISNUMBER(FIND("DESC",BW230)))))+32*(AND(ISNUMBER(FIND("DESC",BW230)),NOT(ISNUMBER(FIND("CAP",BW230)))))+64*(OR(RIGHT(BW230,5)="COUNT",RIGHT(BW230,2)="CT"))+128*(ISNUMBER(FIND("BULK",BW230)))+256*(ISNUMBER(FIND("SIZE",BW230)))+512*(LEFT(BW230,3)="CAP")+1024*(ISNUMBER(FIND("ALLERG",BW230)))+2048*(OR(ISNUMBER(FIND("REMARK",BW230)),ISNUMBER(FIND("COMMENT",BW230))))+4096*(OR(ISNUMBER(FIND("QTY",BW230)),ISNUMBER(FIND("QUANTITY",BW230))))+8192*(AND(OR(ISNUMBER(FIND("COMPLETE",BW230)),ISNUMBER(FIND("PCT",BW230)),ISNUMBER(FIND("PERCENT",BW230))),NOT(ISNUMBER(FIND("ACTUAL",BW230))),LEN(BW230)&lt;=16))+32768*(OR(ISNUMBER(FIND("DESIC",BW230)),ISNUMBER(FIND("DESSIC",BW230)))))</f>
        <v/>
      </c>
      <c r="BX232">
        <f>IF(BX230="",0,2*(OR(ISNUMBER(FIND("WORKCENTER",BX230)),AND(LEFT(BX230,4)="LINE",NOT(ISNUMBER(FIND("STATUS",BX230))))))+4*(OR(ISNUMBER(FIND("WORKORDER",BX230)),AND(LEFT(BX230,2)="WO",OR(ISNUMBER(FIND("NUM",BX230)),RIGHT(BX230,2)="NO"))))+8*(LEFT(BX230,3)="SEQ")+16*(AND(LEFT(BX230,4)="ITEM",NOT(ISNUMBER(FIND("DESC",BX230)))))+32*(AND(ISNUMBER(FIND("DESC",BX230)),NOT(ISNUMBER(FIND("CAP",BX230)))))+64*(OR(RIGHT(BX230,5)="COUNT",RIGHT(BX230,2)="CT"))+128*(ISNUMBER(FIND("BULK",BX230)))+256*(ISNUMBER(FIND("SIZE",BX230)))+512*(LEFT(BX230,3)="CAP")+1024*(ISNUMBER(FIND("ALLERG",BX230)))+2048*(OR(ISNUMBER(FIND("REMARK",BX230)),ISNUMBER(FIND("COMMENT",BX230))))+4096*(OR(ISNUMBER(FIND("QTY",BX230)),ISNUMBER(FIND("QUANTITY",BX230))))+8192*(AND(OR(ISNUMBER(FIND("COMPLETE",BX230)),ISNUMBER(FIND("PCT",BX230)),ISNUMBER(FIND("PERCENT",BX230))),NOT(ISNUMBER(FIND("ACTUAL",BX230))),LEN(BX230)&lt;=16))+32768*(OR(ISNUMBER(FIND("DESIC",BX230)),ISNUMBER(FIND("DESSIC",BX230)))))</f>
        <v/>
      </c>
      <c r="BY232">
        <f>IF(BY230="",0,2*(OR(ISNUMBER(FIND("WORKCENTER",BY230)),AND(LEFT(BY230,4)="LINE",NOT(ISNUMBER(FIND("STATUS",BY230))))))+4*(OR(ISNUMBER(FIND("WORKORDER",BY230)),AND(LEFT(BY230,2)="WO",OR(ISNUMBER(FIND("NUM",BY230)),RIGHT(BY230,2)="NO"))))+8*(LEFT(BY230,3)="SEQ")+16*(AND(LEFT(BY230,4)="ITEM",NOT(ISNUMBER(FIND("DESC",BY230)))))+32*(AND(ISNUMBER(FIND("DESC",BY230)),NOT(ISNUMBER(FIND("CAP",BY230)))))+64*(OR(RIGHT(BY230,5)="COUNT",RIGHT(BY230,2)="CT"))+128*(ISNUMBER(FIND("BULK",BY230)))+256*(ISNUMBER(FIND("SIZE",BY230)))+512*(LEFT(BY230,3)="CAP")+1024*(ISNUMBER(FIND("ALLERG",BY230)))+2048*(OR(ISNUMBER(FIND("REMARK",BY230)),ISNUMBER(FIND("COMMENT",BY230))))+4096*(OR(ISNUMBER(FIND("QTY",BY230)),ISNUMBER(FIND("QUANTITY",BY230))))+8192*(AND(OR(ISNUMBER(FIND("COMPLETE",BY230)),ISNUMBER(FIND("PCT",BY230)),ISNUMBER(FIND("PERCENT",BY230))),NOT(ISNUMBER(FIND("ACTUAL",BY230))),LEN(BY230)&lt;=16))+32768*(OR(ISNUMBER(FIND("DESIC",BY230)),ISNUMBER(FIND("DESSIC",BY230)))))</f>
        <v/>
      </c>
      <c r="BZ232">
        <f>IF(BZ230="",0,2*(OR(ISNUMBER(FIND("WORKCENTER",BZ230)),AND(LEFT(BZ230,4)="LINE",NOT(ISNUMBER(FIND("STATUS",BZ230))))))+4*(OR(ISNUMBER(FIND("WORKORDER",BZ230)),AND(LEFT(BZ230,2)="WO",OR(ISNUMBER(FIND("NUM",BZ230)),RIGHT(BZ230,2)="NO"))))+8*(LEFT(BZ230,3)="SEQ")+16*(AND(LEFT(BZ230,4)="ITEM",NOT(ISNUMBER(FIND("DESC",BZ230)))))+32*(AND(ISNUMBER(FIND("DESC",BZ230)),NOT(ISNUMBER(FIND("CAP",BZ230)))))+64*(OR(RIGHT(BZ230,5)="COUNT",RIGHT(BZ230,2)="CT"))+128*(ISNUMBER(FIND("BULK",BZ230)))+256*(ISNUMBER(FIND("SIZE",BZ230)))+512*(LEFT(BZ230,3)="CAP")+1024*(ISNUMBER(FIND("ALLERG",BZ230)))+2048*(OR(ISNUMBER(FIND("REMARK",BZ230)),ISNUMBER(FIND("COMMENT",BZ230))))+4096*(OR(ISNUMBER(FIND("QTY",BZ230)),ISNUMBER(FIND("QUANTITY",BZ230))))+8192*(AND(OR(ISNUMBER(FIND("COMPLETE",BZ230)),ISNUMBER(FIND("PCT",BZ230)),ISNUMBER(FIND("PERCENT",BZ230))),NOT(ISNUMBER(FIND("ACTUAL",BZ230))),LEN(BZ230)&lt;=16))+32768*(OR(ISNUMBER(FIND("DESIC",BZ230)),ISNUMBER(FIND("DESSIC",BZ230)))))</f>
        <v/>
      </c>
      <c r="CA232">
        <f>IF(CA230="",0,2*(OR(ISNUMBER(FIND("WORKCENTER",CA230)),AND(LEFT(CA230,4)="LINE",NOT(ISNUMBER(FIND("STATUS",CA230))))))+4*(OR(ISNUMBER(FIND("WORKORDER",CA230)),AND(LEFT(CA230,2)="WO",OR(ISNUMBER(FIND("NUM",CA230)),RIGHT(CA230,2)="NO"))))+8*(LEFT(CA230,3)="SEQ")+16*(AND(LEFT(CA230,4)="ITEM",NOT(ISNUMBER(FIND("DESC",CA230)))))+32*(AND(ISNUMBER(FIND("DESC",CA230)),NOT(ISNUMBER(FIND("CAP",CA230)))))+64*(OR(RIGHT(CA230,5)="COUNT",RIGHT(CA230,2)="CT"))+128*(ISNUMBER(FIND("BULK",CA230)))+256*(ISNUMBER(FIND("SIZE",CA230)))+512*(LEFT(CA230,3)="CAP")+1024*(ISNUMBER(FIND("ALLERG",CA230)))+2048*(OR(ISNUMBER(FIND("REMARK",CA230)),ISNUMBER(FIND("COMMENT",CA230))))+4096*(OR(ISNUMBER(FIND("QTY",CA230)),ISNUMBER(FIND("QUANTITY",CA230))))+8192*(AND(OR(ISNUMBER(FIND("COMPLETE",CA230)),ISNUMBER(FIND("PCT",CA230)),ISNUMBER(FIND("PERCENT",CA230))),NOT(ISNUMBER(FIND("ACTUAL",CA230))),LEN(CA230)&lt;=16))+32768*(OR(ISNUMBER(FIND("DESIC",CA230)),ISNUMBER(FIND("DESSIC",CA230)))))</f>
        <v/>
      </c>
      <c r="CB232">
        <f>IF(CB230="",0,2*(OR(ISNUMBER(FIND("WORKCENTER",CB230)),AND(LEFT(CB230,4)="LINE",NOT(ISNUMBER(FIND("STATUS",CB230))))))+4*(OR(ISNUMBER(FIND("WORKORDER",CB230)),AND(LEFT(CB230,2)="WO",OR(ISNUMBER(FIND("NUM",CB230)),RIGHT(CB230,2)="NO"))))+8*(LEFT(CB230,3)="SEQ")+16*(AND(LEFT(CB230,4)="ITEM",NOT(ISNUMBER(FIND("DESC",CB230)))))+32*(AND(ISNUMBER(FIND("DESC",CB230)),NOT(ISNUMBER(FIND("CAP",CB230)))))+64*(OR(RIGHT(CB230,5)="COUNT",RIGHT(CB230,2)="CT"))+128*(ISNUMBER(FIND("BULK",CB230)))+256*(ISNUMBER(FIND("SIZE",CB230)))+512*(LEFT(CB230,3)="CAP")+1024*(ISNUMBER(FIND("ALLERG",CB230)))+2048*(OR(ISNUMBER(FIND("REMARK",CB230)),ISNUMBER(FIND("COMMENT",CB230))))+4096*(OR(ISNUMBER(FIND("QTY",CB230)),ISNUMBER(FIND("QUANTITY",CB230))))+8192*(AND(OR(ISNUMBER(FIND("COMPLETE",CB230)),ISNUMBER(FIND("PCT",CB230)),ISNUMBER(FIND("PERCENT",CB230))),NOT(ISNUMBER(FIND("ACTUAL",CB230))),LEN(CB230)&lt;=16))+32768*(OR(ISNUMBER(FIND("DESIC",CB230)),ISNUMBER(FIND("DESSIC",CB230)))))</f>
        <v/>
      </c>
      <c r="CC232">
        <f>IF(CC230="",0,2*(OR(ISNUMBER(FIND("WORKCENTER",CC230)),AND(LEFT(CC230,4)="LINE",NOT(ISNUMBER(FIND("STATUS",CC230))))))+4*(OR(ISNUMBER(FIND("WORKORDER",CC230)),AND(LEFT(CC230,2)="WO",OR(ISNUMBER(FIND("NUM",CC230)),RIGHT(CC230,2)="NO"))))+8*(LEFT(CC230,3)="SEQ")+16*(AND(LEFT(CC230,4)="ITEM",NOT(ISNUMBER(FIND("DESC",CC230)))))+32*(AND(ISNUMBER(FIND("DESC",CC230)),NOT(ISNUMBER(FIND("CAP",CC230)))))+64*(OR(RIGHT(CC230,5)="COUNT",RIGHT(CC230,2)="CT"))+128*(ISNUMBER(FIND("BULK",CC230)))+256*(ISNUMBER(FIND("SIZE",CC230)))+512*(LEFT(CC230,3)="CAP")+1024*(ISNUMBER(FIND("ALLERG",CC230)))+2048*(OR(ISNUMBER(FIND("REMARK",CC230)),ISNUMBER(FIND("COMMENT",CC230))))+4096*(OR(ISNUMBER(FIND("QTY",CC230)),ISNUMBER(FIND("QUANTITY",CC230))))+8192*(AND(OR(ISNUMBER(FIND("COMPLETE",CC230)),ISNUMBER(FIND("PCT",CC230)),ISNUMBER(FIND("PERCENT",CC230))),NOT(ISNUMBER(FIND("ACTUAL",CC230))),LEN(CC230)&lt;=16))+32768*(OR(ISNUMBER(FIND("DESIC",CC230)),ISNUMBER(FIND("DESSIC",CC230)))))</f>
        <v/>
      </c>
      <c r="CD232">
        <f>IF(CD230="",0,2*(OR(ISNUMBER(FIND("WORKCENTER",CD230)),AND(LEFT(CD230,4)="LINE",NOT(ISNUMBER(FIND("STATUS",CD230))))))+4*(OR(ISNUMBER(FIND("WORKORDER",CD230)),AND(LEFT(CD230,2)="WO",OR(ISNUMBER(FIND("NUM",CD230)),RIGHT(CD230,2)="NO"))))+8*(LEFT(CD230,3)="SEQ")+16*(AND(LEFT(CD230,4)="ITEM",NOT(ISNUMBER(FIND("DESC",CD230)))))+32*(AND(ISNUMBER(FIND("DESC",CD230)),NOT(ISNUMBER(FIND("CAP",CD230)))))+64*(OR(RIGHT(CD230,5)="COUNT",RIGHT(CD230,2)="CT"))+128*(ISNUMBER(FIND("BULK",CD230)))+256*(ISNUMBER(FIND("SIZE",CD230)))+512*(LEFT(CD230,3)="CAP")+1024*(ISNUMBER(FIND("ALLERG",CD230)))+2048*(OR(ISNUMBER(FIND("REMARK",CD230)),ISNUMBER(FIND("COMMENT",CD230))))+4096*(OR(ISNUMBER(FIND("QTY",CD230)),ISNUMBER(FIND("QUANTITY",CD230))))+8192*(AND(OR(ISNUMBER(FIND("COMPLETE",CD230)),ISNUMBER(FIND("PCT",CD230)),ISNUMBER(FIND("PERCENT",CD230))),NOT(ISNUMBER(FIND("ACTUAL",CD230))),LEN(CD230)&lt;=16))+32768*(OR(ISNUMBER(FIND("DESIC",CD230)),ISNUMBER(FIND("DESSIC",CD230)))))</f>
        <v/>
      </c>
      <c r="CE232">
        <f>IF(CE230="",0,2*(OR(ISNUMBER(FIND("WORKCENTER",CE230)),AND(LEFT(CE230,4)="LINE",NOT(ISNUMBER(FIND("STATUS",CE230))))))+4*(OR(ISNUMBER(FIND("WORKORDER",CE230)),AND(LEFT(CE230,2)="WO",OR(ISNUMBER(FIND("NUM",CE230)),RIGHT(CE230,2)="NO"))))+8*(LEFT(CE230,3)="SEQ")+16*(AND(LEFT(CE230,4)="ITEM",NOT(ISNUMBER(FIND("DESC",CE230)))))+32*(AND(ISNUMBER(FIND("DESC",CE230)),NOT(ISNUMBER(FIND("CAP",CE230)))))+64*(OR(RIGHT(CE230,5)="COUNT",RIGHT(CE230,2)="CT"))+128*(ISNUMBER(FIND("BULK",CE230)))+256*(ISNUMBER(FIND("SIZE",CE230)))+512*(LEFT(CE230,3)="CAP")+1024*(ISNUMBER(FIND("ALLERG",CE230)))+2048*(OR(ISNUMBER(FIND("REMARK",CE230)),ISNUMBER(FIND("COMMENT",CE230))))+4096*(OR(ISNUMBER(FIND("QTY",CE230)),ISNUMBER(FIND("QUANTITY",CE230))))+8192*(AND(OR(ISNUMBER(FIND("COMPLETE",CE230)),ISNUMBER(FIND("PCT",CE230)),ISNUMBER(FIND("PERCENT",CE230))),NOT(ISNUMBER(FIND("ACTUAL",CE230))),LEN(CE230)&lt;=16))+32768*(OR(ISNUMBER(FIND("DESIC",CE230)),ISNUMBER(FIND("DESSIC",CE230)))))</f>
        <v/>
      </c>
      <c r="CF232">
        <f>IF(CF230="",0,2*(OR(ISNUMBER(FIND("WORKCENTER",CF230)),AND(LEFT(CF230,4)="LINE",NOT(ISNUMBER(FIND("STATUS",CF230))))))+4*(OR(ISNUMBER(FIND("WORKORDER",CF230)),AND(LEFT(CF230,2)="WO",OR(ISNUMBER(FIND("NUM",CF230)),RIGHT(CF230,2)="NO"))))+8*(LEFT(CF230,3)="SEQ")+16*(AND(LEFT(CF230,4)="ITEM",NOT(ISNUMBER(FIND("DESC",CF230)))))+32*(AND(ISNUMBER(FIND("DESC",CF230)),NOT(ISNUMBER(FIND("CAP",CF230)))))+64*(OR(RIGHT(CF230,5)="COUNT",RIGHT(CF230,2)="CT"))+128*(ISNUMBER(FIND("BULK",CF230)))+256*(ISNUMBER(FIND("SIZE",CF230)))+512*(LEFT(CF230,3)="CAP")+1024*(ISNUMBER(FIND("ALLERG",CF230)))+2048*(OR(ISNUMBER(FIND("REMARK",CF230)),ISNUMBER(FIND("COMMENT",CF230))))+4096*(OR(ISNUMBER(FIND("QTY",CF230)),ISNUMBER(FIND("QUANTITY",CF230))))+8192*(AND(OR(ISNUMBER(FIND("COMPLETE",CF230)),ISNUMBER(FIND("PCT",CF230)),ISNUMBER(FIND("PERCENT",CF230))),NOT(ISNUMBER(FIND("ACTUAL",CF230))),LEN(CF230)&lt;=16))+32768*(OR(ISNUMBER(FIND("DESIC",CF230)),ISNUMBER(FIND("DESSIC",CF230)))))</f>
        <v/>
      </c>
      <c r="DA232" t="n">
        <v>228</v>
      </c>
      <c r="DB232">
        <f>IF($B$37=0,"",IFERROR(TRIM(SUBSTITUTE(SUBSTITUTE(SUBSTITUTE(SUBSTITUTE(INDEX(PASTE_ALL,228,$B$37)," "," "),CHAR(9)," "),CHAR(10)," "),CHAR(13)," ")),""))</f>
        <v/>
      </c>
      <c r="DC232">
        <f>IF(AND(228&gt;HEADER_ROW,UPPER(DB232)="LEGEND"),1,0)</f>
        <v/>
      </c>
      <c r="DE232" t="n">
        <v>228</v>
      </c>
      <c r="DF232">
        <f>HEADER_ROW+$DE232</f>
        <v/>
      </c>
      <c r="DG232">
        <f>IF(AND($DF232&lt;=1000,$DF232&lt;$B$8),1,0)</f>
        <v/>
      </c>
      <c r="DH232">
        <f>IF($DG232=1,IFERROR(INDEX($DB$5:$DB$1004,$DF232),""),"")</f>
        <v/>
      </c>
      <c r="DI232">
        <f>IF(AND($DG232=1,$DH232&lt;&gt;""),IFERROR(SUBSTITUTE(SUBSTITUTE(TRIM(SUBSTITUTE(SUBSTITUTE(SUBSTITUTE(SUBSTITUTE(IFERROR(INDEX(PASTE_ALL,$DF232,1)&amp;"","")&amp;"␟"&amp;IFERROR(INDEX(PASTE_ALL,$DF232,2)&amp;"","")&amp;"␟"&amp;IFERROR(INDEX(PASTE_ALL,$DF232,3)&amp;"","")&amp;"␟"&amp;IFERROR(INDEX(PASTE_ALL,$DF232,4)&amp;"","")&amp;"␟"&amp;IFERROR(INDEX(PASTE_ALL,$DF232,5)&amp;"","")&amp;"␟"&amp;IFERROR(INDEX(PASTE_ALL,$DF232,6)&amp;"","")&amp;"␟"&amp;IFERROR(INDEX(PASTE_ALL,$DF232,7)&amp;"","")&amp;"␟"&amp;IFERROR(INDEX(PASTE_ALL,$DF232,8)&amp;"","")&amp;"␟"&amp;IFERROR(INDEX(PASTE_ALL,$DF232,9)&amp;"","")&amp;"␟"&amp;IFERROR(INDEX(PASTE_ALL,$DF232,10)&amp;"","")&amp;"␟"&amp;IFERROR(INDEX(PASTE_ALL,$DF232,11)&amp;"","")&amp;"␟"&amp;IFERROR(INDEX(PASTE_ALL,$DF232,12)&amp;"","")&amp;"␟"&amp;IFERROR(INDEX(PASTE_ALL,$DF232,13)&amp;"","")&amp;"␟"&amp;IFERROR(INDEX(PASTE_ALL,$DF232,14)&amp;"","")&amp;"␟"&amp;IFERROR(INDEX(PASTE_ALL,$DF232,15)&amp;"","")&amp;"␟"&amp;IFERROR(INDEX(PASTE_ALL,$DF232,16)&amp;"","")&amp;"␟"&amp;IFERROR(INDEX(PASTE_ALL,$DF232,17)&amp;"","")&amp;"␟"&amp;IFERROR(INDEX(PASTE_ALL,$DF232,18)&amp;"","")&amp;"␟"&amp;IFERROR(INDEX(PASTE_ALL,$DF232,19)&amp;"","")&amp;"␟"&amp;IFERROR(INDEX(PASTE_ALL,$DF232,20)&amp;"","")&amp;"␟"&amp;IFERROR(INDEX(PASTE_ALL,$DF232,21)&amp;"","")&amp;"␟"&amp;IFERROR(INDEX(PASTE_ALL,$DF232,22)&amp;"","")&amp;"␟"&amp;IFERROR(INDEX(PASTE_ALL,$DF232,23)&amp;"","")&amp;"␟"&amp;IFERROR(INDEX(PASTE_ALL,$DF232,24)&amp;"","")&amp;"␟"&amp;IFERROR(INDEX(PASTE_ALL,$DF232,25)&amp;"","")&amp;"␟"&amp;IFERROR(INDEX(PASTE_ALL,$DF232,26)&amp;"","")&amp;"␟"&amp;IFERROR(INDEX(PASTE_ALL,$DF232,27)&amp;"","")&amp;"␟"&amp;IFERROR(INDEX(PASTE_ALL,$DF232,28)&amp;"","")&amp;"␟"&amp;IFERROR(INDEX(PASTE_ALL,$DF232,29)&amp;"","")&amp;"␟"&amp;IFERROR(INDEX(PASTE_ALL,$DF232,30)&amp;"","")&amp;"␟"&amp;IFERROR(INDEX(PASTE_ALL,$DF232,31)&amp;"","")&amp;"␟"&amp;IFERROR(INDEX(PASTE_ALL,$DF232,32)&amp;"","")&amp;"␟"&amp;IFERROR(INDEX(PASTE_ALL,$DF232,33)&amp;"","")&amp;"␟"&amp;IFERROR(INDEX(PASTE_ALL,$DF232,34)&amp;"","")&amp;"␟"&amp;IFERROR(INDEX(PASTE_ALL,$DF232,35)&amp;"","")&amp;"␟"&amp;IFERROR(INDEX(PASTE_ALL,$DF232,36)&amp;"","")&amp;"␟"&amp;IFERROR(INDEX(PASTE_ALL,$DF232,37)&amp;"","")&amp;"␟"&amp;IFERROR(INDEX(PASTE_ALL,$DF232,38)&amp;"","")&amp;"␟"&amp;IFERROR(INDEX(PASTE_ALL,$DF232,39)&amp;"","")&amp;"␟"&amp;IFERROR(INDEX(PASTE_ALL,$DF232,40)&amp;"","")&amp;"␟"&amp;IFERROR(INDEX(PASTE_ALL,$DF232,41)&amp;"","")&amp;"␟"&amp;IFERROR(INDEX(PASTE_ALL,$DF232,42)&amp;"","")&amp;"␟"&amp;IFERROR(INDEX(PASTE_ALL,$DF232,43)&amp;"","")&amp;"␟"&amp;IFERROR(INDEX(PASTE_ALL,$DF232,44)&amp;"","")&amp;"␟"&amp;IFERROR(INDEX(PASTE_ALL,$DF232,45)&amp;"","")&amp;"␟"&amp;IFERROR(INDEX(PASTE_ALL,$DF232,46)&amp;"","")&amp;"␟"&amp;IFERROR(INDEX(PASTE_ALL,$DF232,47)&amp;"","")&amp;"␟"&amp;IFERROR(INDEX(PASTE_ALL,$DF232,48)&amp;"","")&amp;"␟"&amp;IFERROR(INDEX(PASTE_ALL,$DF232,49)&amp;"","")&amp;"␟"&amp;IFERROR(INDEX(PASTE_ALL,$DF232,50)&amp;"","")&amp;"␟"&amp;IFERROR(INDEX(PASTE_ALL,$DF232,51)&amp;"","")&amp;"␟"&amp;IFERROR(INDEX(PASTE_ALL,$DF232,52)&amp;"","")&amp;"␟"&amp;IFERROR(INDEX(PASTE_ALL,$DF232,53)&amp;"","")&amp;"␟"&amp;IFERROR(INDEX(PASTE_ALL,$DF232,54)&amp;"","")&amp;"␟"&amp;IFERROR(INDEX(PASTE_ALL,$DF232,55)&amp;"","")&amp;"␟"&amp;IFERROR(INDEX(PASTE_ALL,$DF232,56)&amp;"","")&amp;"␟"&amp;IFERROR(INDEX(PASTE_ALL,$DF232,57)&amp;"","")&amp;"␟"&amp;IFERROR(INDEX(PASTE_ALL,$DF232,58)&amp;"","")&amp;"␟"&amp;IFERROR(INDEX(PASTE_ALL,$DF232,59)&amp;"","")&amp;"␟"&amp;IFERROR(INDEX(PASTE_ALL,$DF232,60)&amp;"","")," "," "),CHAR(9)," "),CHAR(10)," "),CHAR(13)," "))," ␟","␟"),"␟ ","␟"),"#"&amp;$DE232),"")</f>
        <v/>
      </c>
      <c r="DJ232">
        <f>IF($DI232="",0,IF(SUMPRODUCT(--EXACT($DI$4:DI231,$DI232))&gt;0,1,0))</f>
        <v/>
      </c>
      <c r="DK232">
        <f>IF(AND($DI232&lt;&gt;"",$DJ232=0),1,0)</f>
        <v/>
      </c>
      <c r="DL232">
        <f>DL231+$DK232</f>
        <v/>
      </c>
      <c r="DM232">
        <f>IF(AND($DK232=1,$DL232&lt;=600),1,0)</f>
        <v/>
      </c>
      <c r="DN232">
        <f>IF($DM232=0,"",IF($L$6=0,"",IFERROR(IF(ISNUMBER(INDEX(PASTE_ALL,$DF232,$L$6)),INDEX(PASTE_ALL,$DF232,$L$6),TRIM(SUBSTITUTE(SUBSTITUTE(SUBSTITUTE(SUBSTITUTE(INDEX(PASTE_ALL,$DF232,$L$6)," "," "),CHAR(9)," "),CHAR(10)," "),CHAR(13)," "))),"")))</f>
        <v/>
      </c>
      <c r="DO232">
        <f>IF($DM232=0,"",IF($L$7=0,"",IFERROR(IF(ISNUMBER(INDEX(PASTE_ALL,$DF232,$L$7)),INDEX(PASTE_ALL,$DF232,$L$7),TRIM(SUBSTITUTE(SUBSTITUTE(SUBSTITUTE(SUBSTITUTE(INDEX(PASTE_ALL,$DF232,$L$7)," "," "),CHAR(9)," "),CHAR(10)," "),CHAR(13)," "))),"")))</f>
        <v/>
      </c>
      <c r="DP232">
        <f>IF($DM232=0,"",IF($L$8=0,"",IFERROR(IF(ISNUMBER(INDEX(PASTE_ALL,$DF232,$L$8)),INDEX(PASTE_ALL,$DF232,$L$8),TRIM(SUBSTITUTE(SUBSTITUTE(SUBSTITUTE(SUBSTITUTE(INDEX(PASTE_ALL,$DF232,$L$8)," "," "),CHAR(9)," "),CHAR(10)," "),CHAR(13)," "))),"")))</f>
        <v/>
      </c>
      <c r="DQ232">
        <f>IF($DM232=0,"",IF($L$9=0,"",IFERROR(IF(ISNUMBER(INDEX(PASTE_ALL,$DF232,$L$9)),INDEX(PASTE_ALL,$DF232,$L$9),TRIM(SUBSTITUTE(SUBSTITUTE(SUBSTITUTE(SUBSTITUTE(INDEX(PASTE_ALL,$DF232,$L$9)," "," "),CHAR(9)," "),CHAR(10)," "),CHAR(13)," "))),"")))</f>
        <v/>
      </c>
      <c r="DR232">
        <f>IF($DM232=0,"",IF($L$10=0,"",IFERROR(IF(ISNUMBER(INDEX(PASTE_ALL,$DF232,$L$10)),INDEX(PASTE_ALL,$DF232,$L$10),TRIM(SUBSTITUTE(SUBSTITUTE(SUBSTITUTE(SUBSTITUTE(INDEX(PASTE_ALL,$DF232,$L$10)," "," "),CHAR(9)," "),CHAR(10)," "),CHAR(13)," "))),"")))</f>
        <v/>
      </c>
      <c r="DS232">
        <f>IF($DM232=0,"",IF($L$11=0,"",IFERROR(IF(ISNUMBER(INDEX(PASTE_ALL,$DF232,$L$11)),INDEX(PASTE_ALL,$DF232,$L$11),TRIM(SUBSTITUTE(SUBSTITUTE(SUBSTITUTE(SUBSTITUTE(INDEX(PASTE_ALL,$DF232,$L$11)," "," "),CHAR(9)," "),CHAR(10)," "),CHAR(13)," "))),"")))</f>
        <v/>
      </c>
      <c r="DT232">
        <f>IF($DM232=0,"",IF($L$12=0,"",IFERROR(IF(ISNUMBER(INDEX(PASTE_ALL,$DF232,$L$12)),INDEX(PASTE_ALL,$DF232,$L$12),TRIM(SUBSTITUTE(SUBSTITUTE(SUBSTITUTE(SUBSTITUTE(INDEX(PASTE_ALL,$DF232,$L$12)," "," "),CHAR(9)," "),CHAR(10)," "),CHAR(13)," "))),"")))</f>
        <v/>
      </c>
      <c r="DU232">
        <f>IF($DM232=0,"",IF($L$13=0,"",IFERROR(IF(ISNUMBER(INDEX(PASTE_ALL,$DF232,$L$13)),INDEX(PASTE_ALL,$DF232,$L$13),TRIM(SUBSTITUTE(SUBSTITUTE(SUBSTITUTE(SUBSTITUTE(INDEX(PASTE_ALL,$DF232,$L$13)," "," "),CHAR(9)," "),CHAR(10)," "),CHAR(13)," "))),"")))</f>
        <v/>
      </c>
      <c r="DV232">
        <f>IF($DM232=0,"",IF($L$14=0,"",IFERROR(IF(ISNUMBER(INDEX(PASTE_ALL,$DF232,$L$14)),INDEX(PASTE_ALL,$DF232,$L$14),TRIM(SUBSTITUTE(SUBSTITUTE(SUBSTITUTE(SUBSTITUTE(INDEX(PASTE_ALL,$DF232,$L$14)," "," "),CHAR(9)," "),CHAR(10)," "),CHAR(13)," "))),"")))</f>
        <v/>
      </c>
      <c r="DW232">
        <f>IF($DM232=0,"",IF($L$15=0,"",IFERROR(IF(ISNUMBER(INDEX(PASTE_ALL,$DF232,$L$15)),INDEX(PASTE_ALL,$DF232,$L$15),IF(SUMPRODUCT(--ISNUMBER(FIND({"A","B","C","D","E","F","G","H","I","J","K","L","M","N","O","P","Q","R","S","T","U","V","W","X","Y","Z","0","1","2","3","4","5","6","7","8","9"},UPPER(TRIM(SUBSTITUTE(SUBSTITUTE(SUBSTITUTE(SUBSTITUTE(INDEX(PASTE_ALL,$DF232,$L$15)," "," "),CHAR(9)," "),CHAR(10)," "),CHAR(13)," "))))))&gt;0,TRIM(SUBSTITUTE(SUBSTITUTE(SUBSTITUTE(SUBSTITUTE(INDEX(PASTE_ALL,$DF232,$L$15)," "," "),CHAR(9)," "),CHAR(10)," "),CHAR(13)," ")),"")),"")))</f>
        <v/>
      </c>
      <c r="DX232">
        <f>IF($DM232=0,"",IF($L$16=0,"",IFERROR(IF(ISNUMBER(INDEX(PASTE_ALL,$DF232,$L$16)),INDEX(PASTE_ALL,$DF232,$L$16),SUBSTITUTE(SUBSTITUTE(TRIM(SUBSTITUTE(SUBSTITUTE(SUBSTITUTE(SUBSTITUTE(INDEX(PASTE_ALL,$DF232,$L$16)," "," "),CHAR(9)," "),CHAR(10)," "),CHAR(13)," ")),",",""),"%","")),"")))</f>
        <v/>
      </c>
      <c r="DY232">
        <f>IF($DM232=0,"",IFERROR(IF(ISNUMBER($DX232),$DX232,IF($DX232="","",IF(TRIM($DX232)="",0,IF(AND(AND(SUBSTITUTE(SUBSTITUTE(SUBSTITUTE(SUBSTITUTE(SUBSTITUTE(SUBSTITUTE(SUBSTITUTE(SUBSTITUTE(SUBSTITUTE(SUBSTITUTE(SUBSTITUTE(SUBSTITUTE(SUBSTITUTE(SUBSTITUTE(UPPER(TRIM($DX232)),"0",""),"1",""),"2",""),"3",""),"4",""),"5",""),"6",""),"7",""),"8",""),"9",""),".",""),"+",""),"-",""),"E","")="",LEN(SUBSTITUTE(SUBSTITUTE(MID(UPPER(TRIM($DX232)),1+OR(LEFT(UPPER(TRIM($DX232)),1)="+",LEFT(UPPER(TRIM($DX232)),1)="-"),999),"E+","E"),"E-","E"))=LEN(SUBSTITUTE(SUBSTITUTE(SUBSTITUTE(SUBSTITUTE(MID(UPPER(TRIM($DX232)),1+OR(LEFT(UPPER(TRIM($DX232)),1)="+",LEFT(UPPER(TRIM($DX232)),1)="-"),999),"E+","E"),"E-","E"),"+",""),"-","")),LEN(UPPER(TRIM($DX232)))-LEN(SUBSTITUTE(UPPER(TRIM($DX232)),"E",""))&lt;2,LEN(UPPER(TRIM($DX232)))-LEN(SUBSTITUTE(UPPER(TRIM($DX232)),".",""))&lt;2,IFERROR(FIND(".",UPPER(TRIM($DX232))),0)&lt;IFERROR(FIND("E",UPPER(TRIM($DX232))),999)),ISNUMBER(VALUE(TRIM($DX232)))),VALUE(TRIM($DX232)),"")))),""))</f>
        <v/>
      </c>
      <c r="DZ232">
        <f>IF($DM232=0,"",IF($L$17=0,"",IFERROR(IF(ISNUMBER(INDEX(PASTE_ALL,$DF232,$L$17)),INDEX(PASTE_ALL,$DF232,$L$17),SUBSTITUTE(SUBSTITUTE(TRIM(SUBSTITUTE(SUBSTITUTE(SUBSTITUTE(SUBSTITUTE(INDEX(PASTE_ALL,$DF232,$L$17)," "," "),CHAR(9)," "),CHAR(10)," "),CHAR(13)," ")),",",""),"%","")),"")))</f>
        <v/>
      </c>
      <c r="EA232">
        <f>IF($DM232=0,"",IFERROR(IF(ISNUMBER($DZ232),$DZ232,IF($DZ232="","",IF(TRIM($DZ232)="",0,IF(AND(AND(SUBSTITUTE(SUBSTITUTE(SUBSTITUTE(SUBSTITUTE(SUBSTITUTE(SUBSTITUTE(SUBSTITUTE(SUBSTITUTE(SUBSTITUTE(SUBSTITUTE(SUBSTITUTE(SUBSTITUTE(SUBSTITUTE(SUBSTITUTE(UPPER(TRIM($DZ232)),"0",""),"1",""),"2",""),"3",""),"4",""),"5",""),"6",""),"7",""),"8",""),"9",""),".",""),"+",""),"-",""),"E","")="",LEN(SUBSTITUTE(SUBSTITUTE(MID(UPPER(TRIM($DZ232)),1+OR(LEFT(UPPER(TRIM($DZ232)),1)="+",LEFT(UPPER(TRIM($DZ232)),1)="-"),999),"E+","E"),"E-","E"))=LEN(SUBSTITUTE(SUBSTITUTE(SUBSTITUTE(SUBSTITUTE(MID(UPPER(TRIM($DZ232)),1+OR(LEFT(UPPER(TRIM($DZ232)),1)="+",LEFT(UPPER(TRIM($DZ232)),1)="-"),999),"E+","E"),"E-","E"),"+",""),"-","")),LEN(UPPER(TRIM($DZ232)))-LEN(SUBSTITUTE(UPPER(TRIM($DZ232)),"E",""))&lt;2,LEN(UPPER(TRIM($DZ232)))-LEN(SUBSTITUTE(UPPER(TRIM($DZ232)),".",""))&lt;2,IFERROR(FIND(".",UPPER(TRIM($DZ232))),0)&lt;IFERROR(FIND("E",UPPER(TRIM($DZ232))),999)),ISNUMBER(VALUE(TRIM($DZ232)))),VALUE(TRIM($DZ232)),"")))),""))</f>
        <v/>
      </c>
      <c r="EB232">
        <f>IF($DM232=0,"",IF($L$18=0,"",IFERROR(IF(UPPER(TRIM(SUBSTITUTE(SUBSTITUTE(SUBSTITUTE(SUBSTITUTE(INDEX(PASTE_ALL,$DF232,$L$18)," "," "),CHAR(9)," "),CHAR(10)," "),CHAR(13)," ")))="READY","Ready",IF(UPPER(TRIM(SUBSTITUTE(SUBSTITUTE(SUBSTITUTE(SUBSTITUTE(INDEX(PASTE_ALL,$DF232,$L$18)," "," "),CHAR(9)," "),CHAR(10)," "),CHAR(13)," ")))="PM","PM",IF(OR(UPPER(TRIM(SUBSTITUTE(SUBSTITUTE(SUBSTITUTE(SUBSTITUTE(INDEX(PASTE_ALL,$DF232,$L$18)," "," "),CHAR(9)," "),CHAR(10)," "),CHAR(13)," ")))="OT",UPPER(TRIM(SUBSTITUTE(SUBSTITUTE(SUBSTITUTE(SUBSTITUTE(INDEX(PASTE_ALL,$DF232,$L$18)," "," "),CHAR(9)," "),CHAR(10)," "),CHAR(13)," ")))="OVERTIME",UPPER(TRIM(SUBSTITUTE(SUBSTITUTE(SUBSTITUTE(SUBSTITUTE(INDEX(PASTE_ALL,$DF232,$L$18)," "," "),CHAR(9)," "),CHAR(10)," "),CHAR(13)," ")))="TRIAL"),"OT",TRIM(SUBSTITUTE(SUBSTITUTE(SUBSTITUTE(SUBSTITUTE(INDEX(PASTE_ALL,$DF232,$L$18)," "," "),CHAR(9)," "),CHAR(10)," "),CHAR(13)," "))))),"")))</f>
        <v/>
      </c>
      <c r="EC232">
        <f>IF($DM232=0,"",IF($L$19=0,"",IFERROR(IF(ISNUMBER(INDEX(PASTE_ALL,$DF232,$L$19)),INDEX(PASTE_ALL,$DF232,$L$19),TRIM(SUBSTITUTE(SUBSTITUTE(SUBSTITUTE(SUBSTITUTE(INDEX(PASTE_ALL,$DF232,$L$19)," "," "),CHAR(9)," "),CHAR(10)," "),CHAR(13)," "))),"")))</f>
        <v/>
      </c>
      <c r="ED232">
        <f>IF($DM232=0,"",MATCH(1,INDEX(EXACT($DH$5:DH232,$DH232)*$DM$5:DM232,0),0))</f>
        <v/>
      </c>
      <c r="EE232">
        <f>IF($DM232=0,0,IF($ED232=$DE232,1,0))</f>
        <v/>
      </c>
      <c r="EF232">
        <f>EF231+$EE232</f>
        <v/>
      </c>
      <c r="EG232">
        <f>IF($DM232=0,"",INDEX($EF$5:$EF$1003,$ED232))</f>
        <v/>
      </c>
      <c r="EH232">
        <f>IF($DM232=0,"",IF($DO232&lt;&gt;"","",IFERROR(LOOKUP(2,1/(($EG$4:EG231=$EG232)*($DO$4:DO231&lt;&gt;"")),$DO$4:DO231),"")))</f>
        <v/>
      </c>
      <c r="EI232">
        <f>IF($DM232=0,"",IF($DO232&lt;&gt;"",$DO232,$EH232))</f>
        <v/>
      </c>
      <c r="EJ232">
        <f>IF($DM232=0,"",IF($EI232="",0,IF(OR(ISNUMBER($EI232),AND(AND(SUBSTITUTE(SUBSTITUTE(SUBSTITUTE(SUBSTITUTE(SUBSTITUTE(SUBSTITUTE(SUBSTITUTE(SUBSTITUTE(SUBSTITUTE(SUBSTITUTE(SUBSTITUTE(SUBSTITUTE(SUBSTITUTE(SUBSTITUTE(UPPER($EI232),"0",""),"1",""),"2",""),"3",""),"4",""),"5",""),"6",""),"7",""),"8",""),"9",""),".",""),"+",""),"-",""),"E","")="",LEN(SUBSTITUTE(SUBSTITUTE(MID(UPPER($EI232),1+OR(LEFT(UPPER($EI232),1)="+",LEFT(UPPER($EI232),1)="-"),999),"E+","E"),"E-","E"))=LEN(SUBSTITUTE(SUBSTITUTE(SUBSTITUTE(SUBSTITUTE(MID(UPPER($EI232),1+OR(LEFT(UPPER($EI232),1)="+",LEFT(UPPER($EI232),1)="-"),999),"E+","E"),"E-","E"),"+",""),"-","")),LEN(UPPER($EI232))-LEN(SUBSTITUTE(UPPER($EI232),"E",""))&lt;2,LEN(UPPER($EI232))-LEN(SUBSTITUTE(UPPER($EI232),".",""))&lt;2,IFERROR(FIND(".",UPPER($EI232)),0)&lt;IFERROR(FIND("E",UPPER($EI232)),999)),ISNUMBER(VALUE($EI232)))),1,2)))</f>
        <v/>
      </c>
      <c r="EK232">
        <f>IF($DM232=0,"",IF($EJ232=1,IF(ISNUMBER($EI232),$EI232,VALUE($EI232)),IF($EJ232=2,$DE232,0)))</f>
        <v/>
      </c>
      <c r="EL232">
        <f>IF($DM232=0,"",COUNTIF($EG$5:$EG$1003,"&lt;"&amp;$EG232)+SUMPRODUCT(($EG$5:$EG$1003=$EG232)*(($EJ$5:$EJ$1003&lt;$EJ232)+($EJ$5:$EJ$1003=$EJ232)*(($EK$5:$EK$1003&lt;$EK232)+($EK$5:$EK$1003=$EK232)*($DE$5:$DE$1003&lt;$DE232))))+1)</f>
        <v/>
      </c>
      <c r="EM232">
        <f>IF($DM232=0,"",$EL232+$EG232-1)</f>
        <v/>
      </c>
      <c r="EN232">
        <f>IF($DM232=0,0,IFERROR(MATCH(1,INDEX(--(TRIM(SUBSTITUTE(SUBSTITUTE(SUBSTITUTE(SUBSTITUTE(LINES_NAME&amp;""," "," "),CHAR(9)," "),CHAR(10)," "),CHAR(13)," "))=$DH232),0),0),0))</f>
        <v/>
      </c>
      <c r="EO232">
        <f>IF($EN232=0,0,IF(OR(UPPER(TRIM(INDEX(LINES_SCHEDULED,$EN232)&amp;""))="YES",UPPER(TRIM(INDEX(LINES_SCHEDULED,$EN232)&amp;""))="Y",UPPER(TRIM(INDEX(LINES_SCHEDULED,$EN232)&amp;""))="X"),1,0))</f>
        <v/>
      </c>
      <c r="EP232">
        <f>IF($DM232=0,"",IF(COUNTIFS($EG$5:$EG$1003,$EG232,$EB$5:$EB$1003,"Ready")&gt;0,"READY",IF(COUNTIFS($EG$5:$EG$1003,$EG232,$EB$5:$EB$1003,"PM")&gt;0,"PM",IF(COUNTIFS($EG$5:$EG$1003,$EG232,$EB$5:$EB$1003,"OT")&gt;0,"OT",""))))</f>
        <v/>
      </c>
      <c r="EQ232">
        <f>IF($EN232=0,"",UPPER(TRIM(INDEX(LINES_STATUS,$EN232)&amp;"")))</f>
        <v/>
      </c>
      <c r="ER232">
        <f>IF($DM232=0,"",IF(OR($EQ232="READY",$EQ232="PM",$EQ232="OT"),$EQ232,$EP232))</f>
        <v/>
      </c>
      <c r="ES232">
        <f>IF($DM232=0,"",IF(AND($DV232&lt;&gt;"",UPPER($DV232)&lt;&gt;"N"),"allergen",IF(ISNUMBER(SEARCH("oil",$DQ232)),"oil",IF(OR(EXACT($DS232,"A662"),EXACT($DS232,"A624")),"bulk",""))))</f>
        <v/>
      </c>
      <c r="ET232">
        <f>IF($DM232=0,"",IF(OR($EA232="",$EA232=0),"",$EA232/100))</f>
        <v/>
      </c>
      <c r="EU232">
        <f>IF(OR($ET232="",$DY232=""),"",INT($DY232*(1-$ET232)+0.5))</f>
        <v/>
      </c>
      <c r="EW232" t="n">
        <v>228</v>
      </c>
      <c r="EX232">
        <f>IFERROR(MATCH($EW232,$EM$5:$EM$1003,0),0)</f>
        <v/>
      </c>
      <c r="EY232">
        <f>IF($EW232&gt;$B$12,"",IF($EX232&gt;0,"row","spacer"))</f>
        <v/>
      </c>
      <c r="EZ232">
        <f>IF(AND($EY232="row",$EY231&lt;&gt;"row"),1,0)</f>
        <v/>
      </c>
      <c r="FA232">
        <f>IF(AND($EY232="row",$EY233&lt;&gt;"row"),1,0)</f>
        <v/>
      </c>
      <c r="FB232">
        <f>IF($EZ232=1,IFERROR(IF(ISNUMBER(INDEX(PASTE_ALL,INDEX($DF$5:$DF$1003,$EX232),$B$37)),INDEX(PASTE_ALL,INDEX($DF$5:$DF$1003,$EX232),$B$37),INDEX($DH$5:$DH$1003,$EX232)),INDEX($DH$5:$DH$1003,$EX232)),"")</f>
        <v/>
      </c>
      <c r="FC232">
        <f>IF($EY232="row",INDEX($ER$5:$ER$1003,$EX232),"")</f>
        <v/>
      </c>
      <c r="FD232">
        <f>IF($EY232="row",INDEX($DN$5:$DN$1003,$EX232),"")</f>
        <v/>
      </c>
      <c r="FE232">
        <f>IF($EY232="row",INDEX($DO$5:$DO$1003,$EX232),"")</f>
        <v/>
      </c>
      <c r="FF232">
        <f>IF($EY232="row",INDEX($DP$5:$DP$1003,$EX232),"")</f>
        <v/>
      </c>
      <c r="FG232">
        <f>IF($EY232="row",INDEX($DQ$5:$DQ$1003,$EX232),"")</f>
        <v/>
      </c>
      <c r="FH232">
        <f>IF($EY232="row",INDEX($DR$5:$DR$1003,$EX232),"")</f>
        <v/>
      </c>
      <c r="FI232">
        <f>IF($EY232="row",INDEX($DS$5:$DS$1003,$EX232),"")</f>
        <v/>
      </c>
      <c r="FJ232">
        <f>IF($EY232="row",INDEX($DT$5:$DT$1003,$EX232),"")</f>
        <v/>
      </c>
      <c r="FK232">
        <f>IF($EY232="row",INDEX($DU$5:$DU$1003,$EX232),"")</f>
        <v/>
      </c>
      <c r="FL232">
        <f>IF($EY232="row",INDEX($DV$5:$DV$1003,$EX232),"")</f>
        <v/>
      </c>
      <c r="FM232">
        <f>IF($EY232="row",INDEX($DW$5:$DW$1003,$EX232),"")</f>
        <v/>
      </c>
      <c r="FN232">
        <f>IF($EY232="row",INDEX($DY$5:$DY$1003,$EX232),"")</f>
        <v/>
      </c>
      <c r="FO232">
        <f>IF($EY232="row",INDEX($EA$5:$EA$1003,$EX232),"")</f>
        <v/>
      </c>
      <c r="FP232">
        <f>IF($EY232="row",INDEX($EC$5:$EC$1003,$EX232),"")</f>
        <v/>
      </c>
      <c r="FQ232">
        <f>IF($EY232="row",INDEX($ET$5:$ET$1003,$EX232),"")</f>
        <v/>
      </c>
      <c r="FR232">
        <f>IF($EY232="row",INDEX($EU$5:$EU$1003,$EX232),"")</f>
        <v/>
      </c>
      <c r="FS232">
        <f>IF(AND($EY232="row",$EY231="row"),IF(OR(INDEX($DT$5:$DT$1003,$EX231)="",INDEX($DT$5:$DT$1003,$EX232)=""),"",IF(NOT(EXACT(INDEX($DT$5:$DT$1003,$EX231),INDEX($DT$5:$DT$1003,$EX232))),"S4",IF(NOT(EXACT(INDEX($DS$5:$DS$1003,$EX231),INDEX($DS$5:$DS$1003,$EX232))),"S3",IF(NOT(EXACT(INDEX($DR$5:$DR$1003,$EX231),INDEX($DR$5:$DR$1003,$EX232))),"S1 Count Change","S1")))),"")</f>
        <v/>
      </c>
      <c r="FT232">
        <f>IF($EY232="row",INDEX($ES$5:$ES$1003,$EX232),"")</f>
        <v/>
      </c>
      <c r="FU232">
        <f>IF($EY232="row",INDEX($EO$5:$EO$1003,$EX232),0)</f>
        <v/>
      </c>
      <c r="FV232">
        <f>IF($FS232="S1 Count Change",1,0)</f>
        <v/>
      </c>
    </row>
    <row r="233">
      <c r="X233" s="69" t="inlineStr">
        <is>
          <t>auto: EXACT claim</t>
        </is>
      </c>
      <c r="Y233">
        <f>IF(Y231&gt;0,Y231,0)</f>
        <v/>
      </c>
      <c r="Z233">
        <f>IF(AND(Z231&gt;0,COUNTIF($Y$231:Y231,Z231)=0),Z231,0)</f>
        <v/>
      </c>
      <c r="AA233">
        <f>IF(AND(AA231&gt;0,COUNTIF($Y$231:Z231,AA231)=0),AA231,0)</f>
        <v/>
      </c>
      <c r="AB233">
        <f>IF(AND(AB231&gt;0,COUNTIF($Y$231:AA231,AB231)=0),AB231,0)</f>
        <v/>
      </c>
      <c r="AC233">
        <f>IF(AND(AC231&gt;0,COUNTIF($Y$231:AB231,AC231)=0),AC231,0)</f>
        <v/>
      </c>
      <c r="AD233">
        <f>IF(AND(AD231&gt;0,COUNTIF($Y$231:AC231,AD231)=0),AD231,0)</f>
        <v/>
      </c>
      <c r="AE233">
        <f>IF(AND(AE231&gt;0,COUNTIF($Y$231:AD231,AE231)=0),AE231,0)</f>
        <v/>
      </c>
      <c r="AF233">
        <f>IF(AND(AF231&gt;0,COUNTIF($Y$231:AE231,AF231)=0),AF231,0)</f>
        <v/>
      </c>
      <c r="AG233">
        <f>IF(AND(AG231&gt;0,COUNTIF($Y$231:AF231,AG231)=0),AG231,0)</f>
        <v/>
      </c>
      <c r="AH233">
        <f>IF(AND(AH231&gt;0,COUNTIF($Y$231:AG231,AH231)=0),AH231,0)</f>
        <v/>
      </c>
      <c r="AI233">
        <f>IF(AND(AI231&gt;0,COUNTIF($Y$231:AH231,AI231)=0),AI231,0)</f>
        <v/>
      </c>
      <c r="AJ233">
        <f>IF(AND(AJ231&gt;0,COUNTIF($Y$231:AI231,AJ231)=0),AJ231,0)</f>
        <v/>
      </c>
      <c r="AK233">
        <f>IF(AND(AK231&gt;0,COUNTIF($Y$231:AJ231,AK231)=0),AK231,0)</f>
        <v/>
      </c>
      <c r="AL233">
        <f>IF(AND(AL231&gt;0,COUNTIF($Y$231:AK231,AL231)=0),AL231,0)</f>
        <v/>
      </c>
      <c r="AM233">
        <f>IF(AND(AM231&gt;0,COUNTIF($Y$231:AL231,AM231)=0),AM231,0)</f>
        <v/>
      </c>
      <c r="AN233">
        <f>IF(AND(AN231&gt;0,COUNTIF($Y$231:AM231,AN231)=0),AN231,0)</f>
        <v/>
      </c>
      <c r="AO233">
        <f>IF(AND(AO231&gt;0,COUNTIF($Y$231:AN231,AO231)=0),AO231,0)</f>
        <v/>
      </c>
      <c r="AP233">
        <f>IF(AND(AP231&gt;0,COUNTIF($Y$231:AO231,AP231)=0),AP231,0)</f>
        <v/>
      </c>
      <c r="AQ233">
        <f>IF(AND(AQ231&gt;0,COUNTIF($Y$231:AP231,AQ231)=0),AQ231,0)</f>
        <v/>
      </c>
      <c r="AR233">
        <f>IF(AND(AR231&gt;0,COUNTIF($Y$231:AQ231,AR231)=0),AR231,0)</f>
        <v/>
      </c>
      <c r="AS233">
        <f>IF(AND(AS231&gt;0,COUNTIF($Y$231:AR231,AS231)=0),AS231,0)</f>
        <v/>
      </c>
      <c r="AT233">
        <f>IF(AND(AT231&gt;0,COUNTIF($Y$231:AS231,AT231)=0),AT231,0)</f>
        <v/>
      </c>
      <c r="AU233">
        <f>IF(AND(AU231&gt;0,COUNTIF($Y$231:AT231,AU231)=0),AU231,0)</f>
        <v/>
      </c>
      <c r="AV233">
        <f>IF(AND(AV231&gt;0,COUNTIF($Y$231:AU231,AV231)=0),AV231,0)</f>
        <v/>
      </c>
      <c r="AW233">
        <f>IF(AND(AW231&gt;0,COUNTIF($Y$231:AV231,AW231)=0),AW231,0)</f>
        <v/>
      </c>
      <c r="AX233">
        <f>IF(AND(AX231&gt;0,COUNTIF($Y$231:AW231,AX231)=0),AX231,0)</f>
        <v/>
      </c>
      <c r="AY233">
        <f>IF(AND(AY231&gt;0,COUNTIF($Y$231:AX231,AY231)=0),AY231,0)</f>
        <v/>
      </c>
      <c r="AZ233">
        <f>IF(AND(AZ231&gt;0,COUNTIF($Y$231:AY231,AZ231)=0),AZ231,0)</f>
        <v/>
      </c>
      <c r="BA233">
        <f>IF(AND(BA231&gt;0,COUNTIF($Y$231:AZ231,BA231)=0),BA231,0)</f>
        <v/>
      </c>
      <c r="BB233">
        <f>IF(AND(BB231&gt;0,COUNTIF($Y$231:BA231,BB231)=0),BB231,0)</f>
        <v/>
      </c>
      <c r="BC233">
        <f>IF(AND(BC231&gt;0,COUNTIF($Y$231:BB231,BC231)=0),BC231,0)</f>
        <v/>
      </c>
      <c r="BD233">
        <f>IF(AND(BD231&gt;0,COUNTIF($Y$231:BC231,BD231)=0),BD231,0)</f>
        <v/>
      </c>
      <c r="BE233">
        <f>IF(AND(BE231&gt;0,COUNTIF($Y$231:BD231,BE231)=0),BE231,0)</f>
        <v/>
      </c>
      <c r="BF233">
        <f>IF(AND(BF231&gt;0,COUNTIF($Y$231:BE231,BF231)=0),BF231,0)</f>
        <v/>
      </c>
      <c r="BG233">
        <f>IF(AND(BG231&gt;0,COUNTIF($Y$231:BF231,BG231)=0),BG231,0)</f>
        <v/>
      </c>
      <c r="BH233">
        <f>IF(AND(BH231&gt;0,COUNTIF($Y$231:BG231,BH231)=0),BH231,0)</f>
        <v/>
      </c>
      <c r="BI233">
        <f>IF(AND(BI231&gt;0,COUNTIF($Y$231:BH231,BI231)=0),BI231,0)</f>
        <v/>
      </c>
      <c r="BJ233">
        <f>IF(AND(BJ231&gt;0,COUNTIF($Y$231:BI231,BJ231)=0),BJ231,0)</f>
        <v/>
      </c>
      <c r="BK233">
        <f>IF(AND(BK231&gt;0,COUNTIF($Y$231:BJ231,BK231)=0),BK231,0)</f>
        <v/>
      </c>
      <c r="BL233">
        <f>IF(AND(BL231&gt;0,COUNTIF($Y$231:BK231,BL231)=0),BL231,0)</f>
        <v/>
      </c>
      <c r="BM233">
        <f>IF(AND(BM231&gt;0,COUNTIF($Y$231:BL231,BM231)=0),BM231,0)</f>
        <v/>
      </c>
      <c r="BN233">
        <f>IF(AND(BN231&gt;0,COUNTIF($Y$231:BM231,BN231)=0),BN231,0)</f>
        <v/>
      </c>
      <c r="BO233">
        <f>IF(AND(BO231&gt;0,COUNTIF($Y$231:BN231,BO231)=0),BO231,0)</f>
        <v/>
      </c>
      <c r="BP233">
        <f>IF(AND(BP231&gt;0,COUNTIF($Y$231:BO231,BP231)=0),BP231,0)</f>
        <v/>
      </c>
      <c r="BQ233">
        <f>IF(AND(BQ231&gt;0,COUNTIF($Y$231:BP231,BQ231)=0),BQ231,0)</f>
        <v/>
      </c>
      <c r="BR233">
        <f>IF(AND(BR231&gt;0,COUNTIF($Y$231:BQ231,BR231)=0),BR231,0)</f>
        <v/>
      </c>
      <c r="BS233">
        <f>IF(AND(BS231&gt;0,COUNTIF($Y$231:BR231,BS231)=0),BS231,0)</f>
        <v/>
      </c>
      <c r="BT233">
        <f>IF(AND(BT231&gt;0,COUNTIF($Y$231:BS231,BT231)=0),BT231,0)</f>
        <v/>
      </c>
      <c r="BU233">
        <f>IF(AND(BU231&gt;0,COUNTIF($Y$231:BT231,BU231)=0),BU231,0)</f>
        <v/>
      </c>
      <c r="BV233">
        <f>IF(AND(BV231&gt;0,COUNTIF($Y$231:BU231,BV231)=0),BV231,0)</f>
        <v/>
      </c>
      <c r="BW233">
        <f>IF(AND(BW231&gt;0,COUNTIF($Y$231:BV231,BW231)=0),BW231,0)</f>
        <v/>
      </c>
      <c r="BX233">
        <f>IF(AND(BX231&gt;0,COUNTIF($Y$231:BW231,BX231)=0),BX231,0)</f>
        <v/>
      </c>
      <c r="BY233">
        <f>IF(AND(BY231&gt;0,COUNTIF($Y$231:BX231,BY231)=0),BY231,0)</f>
        <v/>
      </c>
      <c r="BZ233">
        <f>IF(AND(BZ231&gt;0,COUNTIF($Y$231:BY231,BZ231)=0),BZ231,0)</f>
        <v/>
      </c>
      <c r="CA233">
        <f>IF(AND(CA231&gt;0,COUNTIF($Y$231:BZ231,CA231)=0),CA231,0)</f>
        <v/>
      </c>
      <c r="CB233">
        <f>IF(AND(CB231&gt;0,COUNTIF($Y$231:CA231,CB231)=0),CB231,0)</f>
        <v/>
      </c>
      <c r="CC233">
        <f>IF(AND(CC231&gt;0,COUNTIF($Y$231:CB231,CC231)=0),CC231,0)</f>
        <v/>
      </c>
      <c r="CD233">
        <f>IF(AND(CD231&gt;0,COUNTIF($Y$231:CC231,CD231)=0),CD231,0)</f>
        <v/>
      </c>
      <c r="CE233">
        <f>IF(AND(CE231&gt;0,COUNTIF($Y$231:CD231,CE231)=0),CE231,0)</f>
        <v/>
      </c>
      <c r="CF233">
        <f>IF(AND(CF231&gt;0,COUNTIF($Y$231:CE231,CF231)=0),CF231,0)</f>
        <v/>
      </c>
      <c r="CH233">
        <f>SUMPRODUCT((COUNTIF($Y$231:$CF$231,{1,2,3,4,5,6,7,8,9,10,11,12,13,14,15})&gt;0)*{2,4,8,16,32,64,128,256,512,1024,2048,4096,8192,16384,32768})</f>
        <v/>
      </c>
      <c r="CI233" s="69" t="inlineStr">
        <is>
          <t>EXACT mask (auto)</t>
        </is>
      </c>
      <c r="DA233" t="n">
        <v>229</v>
      </c>
      <c r="DB233">
        <f>IF($B$37=0,"",IFERROR(TRIM(SUBSTITUTE(SUBSTITUTE(SUBSTITUTE(SUBSTITUTE(INDEX(PASTE_ALL,229,$B$37)," "," "),CHAR(9)," "),CHAR(10)," "),CHAR(13)," ")),""))</f>
        <v/>
      </c>
      <c r="DC233">
        <f>IF(AND(229&gt;HEADER_ROW,UPPER(DB233)="LEGEND"),1,0)</f>
        <v/>
      </c>
      <c r="DE233" t="n">
        <v>229</v>
      </c>
      <c r="DF233">
        <f>HEADER_ROW+$DE233</f>
        <v/>
      </c>
      <c r="DG233">
        <f>IF(AND($DF233&lt;=1000,$DF233&lt;$B$8),1,0)</f>
        <v/>
      </c>
      <c r="DH233">
        <f>IF($DG233=1,IFERROR(INDEX($DB$5:$DB$1004,$DF233),""),"")</f>
        <v/>
      </c>
      <c r="DI233">
        <f>IF(AND($DG233=1,$DH233&lt;&gt;""),IFERROR(SUBSTITUTE(SUBSTITUTE(TRIM(SUBSTITUTE(SUBSTITUTE(SUBSTITUTE(SUBSTITUTE(IFERROR(INDEX(PASTE_ALL,$DF233,1)&amp;"","")&amp;"␟"&amp;IFERROR(INDEX(PASTE_ALL,$DF233,2)&amp;"","")&amp;"␟"&amp;IFERROR(INDEX(PASTE_ALL,$DF233,3)&amp;"","")&amp;"␟"&amp;IFERROR(INDEX(PASTE_ALL,$DF233,4)&amp;"","")&amp;"␟"&amp;IFERROR(INDEX(PASTE_ALL,$DF233,5)&amp;"","")&amp;"␟"&amp;IFERROR(INDEX(PASTE_ALL,$DF233,6)&amp;"","")&amp;"␟"&amp;IFERROR(INDEX(PASTE_ALL,$DF233,7)&amp;"","")&amp;"␟"&amp;IFERROR(INDEX(PASTE_ALL,$DF233,8)&amp;"","")&amp;"␟"&amp;IFERROR(INDEX(PASTE_ALL,$DF233,9)&amp;"","")&amp;"␟"&amp;IFERROR(INDEX(PASTE_ALL,$DF233,10)&amp;"","")&amp;"␟"&amp;IFERROR(INDEX(PASTE_ALL,$DF233,11)&amp;"","")&amp;"␟"&amp;IFERROR(INDEX(PASTE_ALL,$DF233,12)&amp;"","")&amp;"␟"&amp;IFERROR(INDEX(PASTE_ALL,$DF233,13)&amp;"","")&amp;"␟"&amp;IFERROR(INDEX(PASTE_ALL,$DF233,14)&amp;"","")&amp;"␟"&amp;IFERROR(INDEX(PASTE_ALL,$DF233,15)&amp;"","")&amp;"␟"&amp;IFERROR(INDEX(PASTE_ALL,$DF233,16)&amp;"","")&amp;"␟"&amp;IFERROR(INDEX(PASTE_ALL,$DF233,17)&amp;"","")&amp;"␟"&amp;IFERROR(INDEX(PASTE_ALL,$DF233,18)&amp;"","")&amp;"␟"&amp;IFERROR(INDEX(PASTE_ALL,$DF233,19)&amp;"","")&amp;"␟"&amp;IFERROR(INDEX(PASTE_ALL,$DF233,20)&amp;"","")&amp;"␟"&amp;IFERROR(INDEX(PASTE_ALL,$DF233,21)&amp;"","")&amp;"␟"&amp;IFERROR(INDEX(PASTE_ALL,$DF233,22)&amp;"","")&amp;"␟"&amp;IFERROR(INDEX(PASTE_ALL,$DF233,23)&amp;"","")&amp;"␟"&amp;IFERROR(INDEX(PASTE_ALL,$DF233,24)&amp;"","")&amp;"␟"&amp;IFERROR(INDEX(PASTE_ALL,$DF233,25)&amp;"","")&amp;"␟"&amp;IFERROR(INDEX(PASTE_ALL,$DF233,26)&amp;"","")&amp;"␟"&amp;IFERROR(INDEX(PASTE_ALL,$DF233,27)&amp;"","")&amp;"␟"&amp;IFERROR(INDEX(PASTE_ALL,$DF233,28)&amp;"","")&amp;"␟"&amp;IFERROR(INDEX(PASTE_ALL,$DF233,29)&amp;"","")&amp;"␟"&amp;IFERROR(INDEX(PASTE_ALL,$DF233,30)&amp;"","")&amp;"␟"&amp;IFERROR(INDEX(PASTE_ALL,$DF233,31)&amp;"","")&amp;"␟"&amp;IFERROR(INDEX(PASTE_ALL,$DF233,32)&amp;"","")&amp;"␟"&amp;IFERROR(INDEX(PASTE_ALL,$DF233,33)&amp;"","")&amp;"␟"&amp;IFERROR(INDEX(PASTE_ALL,$DF233,34)&amp;"","")&amp;"␟"&amp;IFERROR(INDEX(PASTE_ALL,$DF233,35)&amp;"","")&amp;"␟"&amp;IFERROR(INDEX(PASTE_ALL,$DF233,36)&amp;"","")&amp;"␟"&amp;IFERROR(INDEX(PASTE_ALL,$DF233,37)&amp;"","")&amp;"␟"&amp;IFERROR(INDEX(PASTE_ALL,$DF233,38)&amp;"","")&amp;"␟"&amp;IFERROR(INDEX(PASTE_ALL,$DF233,39)&amp;"","")&amp;"␟"&amp;IFERROR(INDEX(PASTE_ALL,$DF233,40)&amp;"","")&amp;"␟"&amp;IFERROR(INDEX(PASTE_ALL,$DF233,41)&amp;"","")&amp;"␟"&amp;IFERROR(INDEX(PASTE_ALL,$DF233,42)&amp;"","")&amp;"␟"&amp;IFERROR(INDEX(PASTE_ALL,$DF233,43)&amp;"","")&amp;"␟"&amp;IFERROR(INDEX(PASTE_ALL,$DF233,44)&amp;"","")&amp;"␟"&amp;IFERROR(INDEX(PASTE_ALL,$DF233,45)&amp;"","")&amp;"␟"&amp;IFERROR(INDEX(PASTE_ALL,$DF233,46)&amp;"","")&amp;"␟"&amp;IFERROR(INDEX(PASTE_ALL,$DF233,47)&amp;"","")&amp;"␟"&amp;IFERROR(INDEX(PASTE_ALL,$DF233,48)&amp;"","")&amp;"␟"&amp;IFERROR(INDEX(PASTE_ALL,$DF233,49)&amp;"","")&amp;"␟"&amp;IFERROR(INDEX(PASTE_ALL,$DF233,50)&amp;"","")&amp;"␟"&amp;IFERROR(INDEX(PASTE_ALL,$DF233,51)&amp;"","")&amp;"␟"&amp;IFERROR(INDEX(PASTE_ALL,$DF233,52)&amp;"","")&amp;"␟"&amp;IFERROR(INDEX(PASTE_ALL,$DF233,53)&amp;"","")&amp;"␟"&amp;IFERROR(INDEX(PASTE_ALL,$DF233,54)&amp;"","")&amp;"␟"&amp;IFERROR(INDEX(PASTE_ALL,$DF233,55)&amp;"","")&amp;"␟"&amp;IFERROR(INDEX(PASTE_ALL,$DF233,56)&amp;"","")&amp;"␟"&amp;IFERROR(INDEX(PASTE_ALL,$DF233,57)&amp;"","")&amp;"␟"&amp;IFERROR(INDEX(PASTE_ALL,$DF233,58)&amp;"","")&amp;"␟"&amp;IFERROR(INDEX(PASTE_ALL,$DF233,59)&amp;"","")&amp;"␟"&amp;IFERROR(INDEX(PASTE_ALL,$DF233,60)&amp;"","")," "," "),CHAR(9)," "),CHAR(10)," "),CHAR(13)," "))," ␟","␟"),"␟ ","␟"),"#"&amp;$DE233),"")</f>
        <v/>
      </c>
      <c r="DJ233">
        <f>IF($DI233="",0,IF(SUMPRODUCT(--EXACT($DI$4:DI232,$DI233))&gt;0,1,0))</f>
        <v/>
      </c>
      <c r="DK233">
        <f>IF(AND($DI233&lt;&gt;"",$DJ233=0),1,0)</f>
        <v/>
      </c>
      <c r="DL233">
        <f>DL232+$DK233</f>
        <v/>
      </c>
      <c r="DM233">
        <f>IF(AND($DK233=1,$DL233&lt;=600),1,0)</f>
        <v/>
      </c>
      <c r="DN233">
        <f>IF($DM233=0,"",IF($L$6=0,"",IFERROR(IF(ISNUMBER(INDEX(PASTE_ALL,$DF233,$L$6)),INDEX(PASTE_ALL,$DF233,$L$6),TRIM(SUBSTITUTE(SUBSTITUTE(SUBSTITUTE(SUBSTITUTE(INDEX(PASTE_ALL,$DF233,$L$6)," "," "),CHAR(9)," "),CHAR(10)," "),CHAR(13)," "))),"")))</f>
        <v/>
      </c>
      <c r="DO233">
        <f>IF($DM233=0,"",IF($L$7=0,"",IFERROR(IF(ISNUMBER(INDEX(PASTE_ALL,$DF233,$L$7)),INDEX(PASTE_ALL,$DF233,$L$7),TRIM(SUBSTITUTE(SUBSTITUTE(SUBSTITUTE(SUBSTITUTE(INDEX(PASTE_ALL,$DF233,$L$7)," "," "),CHAR(9)," "),CHAR(10)," "),CHAR(13)," "))),"")))</f>
        <v/>
      </c>
      <c r="DP233">
        <f>IF($DM233=0,"",IF($L$8=0,"",IFERROR(IF(ISNUMBER(INDEX(PASTE_ALL,$DF233,$L$8)),INDEX(PASTE_ALL,$DF233,$L$8),TRIM(SUBSTITUTE(SUBSTITUTE(SUBSTITUTE(SUBSTITUTE(INDEX(PASTE_ALL,$DF233,$L$8)," "," "),CHAR(9)," "),CHAR(10)," "),CHAR(13)," "))),"")))</f>
        <v/>
      </c>
      <c r="DQ233">
        <f>IF($DM233=0,"",IF($L$9=0,"",IFERROR(IF(ISNUMBER(INDEX(PASTE_ALL,$DF233,$L$9)),INDEX(PASTE_ALL,$DF233,$L$9),TRIM(SUBSTITUTE(SUBSTITUTE(SUBSTITUTE(SUBSTITUTE(INDEX(PASTE_ALL,$DF233,$L$9)," "," "),CHAR(9)," "),CHAR(10)," "),CHAR(13)," "))),"")))</f>
        <v/>
      </c>
      <c r="DR233">
        <f>IF($DM233=0,"",IF($L$10=0,"",IFERROR(IF(ISNUMBER(INDEX(PASTE_ALL,$DF233,$L$10)),INDEX(PASTE_ALL,$DF233,$L$10),TRIM(SUBSTITUTE(SUBSTITUTE(SUBSTITUTE(SUBSTITUTE(INDEX(PASTE_ALL,$DF233,$L$10)," "," "),CHAR(9)," "),CHAR(10)," "),CHAR(13)," "))),"")))</f>
        <v/>
      </c>
      <c r="DS233">
        <f>IF($DM233=0,"",IF($L$11=0,"",IFERROR(IF(ISNUMBER(INDEX(PASTE_ALL,$DF233,$L$11)),INDEX(PASTE_ALL,$DF233,$L$11),TRIM(SUBSTITUTE(SUBSTITUTE(SUBSTITUTE(SUBSTITUTE(INDEX(PASTE_ALL,$DF233,$L$11)," "," "),CHAR(9)," "),CHAR(10)," "),CHAR(13)," "))),"")))</f>
        <v/>
      </c>
      <c r="DT233">
        <f>IF($DM233=0,"",IF($L$12=0,"",IFERROR(IF(ISNUMBER(INDEX(PASTE_ALL,$DF233,$L$12)),INDEX(PASTE_ALL,$DF233,$L$12),TRIM(SUBSTITUTE(SUBSTITUTE(SUBSTITUTE(SUBSTITUTE(INDEX(PASTE_ALL,$DF233,$L$12)," "," "),CHAR(9)," "),CHAR(10)," "),CHAR(13)," "))),"")))</f>
        <v/>
      </c>
      <c r="DU233">
        <f>IF($DM233=0,"",IF($L$13=0,"",IFERROR(IF(ISNUMBER(INDEX(PASTE_ALL,$DF233,$L$13)),INDEX(PASTE_ALL,$DF233,$L$13),TRIM(SUBSTITUTE(SUBSTITUTE(SUBSTITUTE(SUBSTITUTE(INDEX(PASTE_ALL,$DF233,$L$13)," "," "),CHAR(9)," "),CHAR(10)," "),CHAR(13)," "))),"")))</f>
        <v/>
      </c>
      <c r="DV233">
        <f>IF($DM233=0,"",IF($L$14=0,"",IFERROR(IF(ISNUMBER(INDEX(PASTE_ALL,$DF233,$L$14)),INDEX(PASTE_ALL,$DF233,$L$14),TRIM(SUBSTITUTE(SUBSTITUTE(SUBSTITUTE(SUBSTITUTE(INDEX(PASTE_ALL,$DF233,$L$14)," "," "),CHAR(9)," "),CHAR(10)," "),CHAR(13)," "))),"")))</f>
        <v/>
      </c>
      <c r="DW233">
        <f>IF($DM233=0,"",IF($L$15=0,"",IFERROR(IF(ISNUMBER(INDEX(PASTE_ALL,$DF233,$L$15)),INDEX(PASTE_ALL,$DF233,$L$15),IF(SUMPRODUCT(--ISNUMBER(FIND({"A","B","C","D","E","F","G","H","I","J","K","L","M","N","O","P","Q","R","S","T","U","V","W","X","Y","Z","0","1","2","3","4","5","6","7","8","9"},UPPER(TRIM(SUBSTITUTE(SUBSTITUTE(SUBSTITUTE(SUBSTITUTE(INDEX(PASTE_ALL,$DF233,$L$15)," "," "),CHAR(9)," "),CHAR(10)," "),CHAR(13)," "))))))&gt;0,TRIM(SUBSTITUTE(SUBSTITUTE(SUBSTITUTE(SUBSTITUTE(INDEX(PASTE_ALL,$DF233,$L$15)," "," "),CHAR(9)," "),CHAR(10)," "),CHAR(13)," ")),"")),"")))</f>
        <v/>
      </c>
      <c r="DX233">
        <f>IF($DM233=0,"",IF($L$16=0,"",IFERROR(IF(ISNUMBER(INDEX(PASTE_ALL,$DF233,$L$16)),INDEX(PASTE_ALL,$DF233,$L$16),SUBSTITUTE(SUBSTITUTE(TRIM(SUBSTITUTE(SUBSTITUTE(SUBSTITUTE(SUBSTITUTE(INDEX(PASTE_ALL,$DF233,$L$16)," "," "),CHAR(9)," "),CHAR(10)," "),CHAR(13)," ")),",",""),"%","")),"")))</f>
        <v/>
      </c>
      <c r="DY233">
        <f>IF($DM233=0,"",IFERROR(IF(ISNUMBER($DX233),$DX233,IF($DX233="","",IF(TRIM($DX233)="",0,IF(AND(AND(SUBSTITUTE(SUBSTITUTE(SUBSTITUTE(SUBSTITUTE(SUBSTITUTE(SUBSTITUTE(SUBSTITUTE(SUBSTITUTE(SUBSTITUTE(SUBSTITUTE(SUBSTITUTE(SUBSTITUTE(SUBSTITUTE(SUBSTITUTE(UPPER(TRIM($DX233)),"0",""),"1",""),"2",""),"3",""),"4",""),"5",""),"6",""),"7",""),"8",""),"9",""),".",""),"+",""),"-",""),"E","")="",LEN(SUBSTITUTE(SUBSTITUTE(MID(UPPER(TRIM($DX233)),1+OR(LEFT(UPPER(TRIM($DX233)),1)="+",LEFT(UPPER(TRIM($DX233)),1)="-"),999),"E+","E"),"E-","E"))=LEN(SUBSTITUTE(SUBSTITUTE(SUBSTITUTE(SUBSTITUTE(MID(UPPER(TRIM($DX233)),1+OR(LEFT(UPPER(TRIM($DX233)),1)="+",LEFT(UPPER(TRIM($DX233)),1)="-"),999),"E+","E"),"E-","E"),"+",""),"-","")),LEN(UPPER(TRIM($DX233)))-LEN(SUBSTITUTE(UPPER(TRIM($DX233)),"E",""))&lt;2,LEN(UPPER(TRIM($DX233)))-LEN(SUBSTITUTE(UPPER(TRIM($DX233)),".",""))&lt;2,IFERROR(FIND(".",UPPER(TRIM($DX233))),0)&lt;IFERROR(FIND("E",UPPER(TRIM($DX233))),999)),ISNUMBER(VALUE(TRIM($DX233)))),VALUE(TRIM($DX233)),"")))),""))</f>
        <v/>
      </c>
      <c r="DZ233">
        <f>IF($DM233=0,"",IF($L$17=0,"",IFERROR(IF(ISNUMBER(INDEX(PASTE_ALL,$DF233,$L$17)),INDEX(PASTE_ALL,$DF233,$L$17),SUBSTITUTE(SUBSTITUTE(TRIM(SUBSTITUTE(SUBSTITUTE(SUBSTITUTE(SUBSTITUTE(INDEX(PASTE_ALL,$DF233,$L$17)," "," "),CHAR(9)," "),CHAR(10)," "),CHAR(13)," ")),",",""),"%","")),"")))</f>
        <v/>
      </c>
      <c r="EA233">
        <f>IF($DM233=0,"",IFERROR(IF(ISNUMBER($DZ233),$DZ233,IF($DZ233="","",IF(TRIM($DZ233)="",0,IF(AND(AND(SUBSTITUTE(SUBSTITUTE(SUBSTITUTE(SUBSTITUTE(SUBSTITUTE(SUBSTITUTE(SUBSTITUTE(SUBSTITUTE(SUBSTITUTE(SUBSTITUTE(SUBSTITUTE(SUBSTITUTE(SUBSTITUTE(SUBSTITUTE(UPPER(TRIM($DZ233)),"0",""),"1",""),"2",""),"3",""),"4",""),"5",""),"6",""),"7",""),"8",""),"9",""),".",""),"+",""),"-",""),"E","")="",LEN(SUBSTITUTE(SUBSTITUTE(MID(UPPER(TRIM($DZ233)),1+OR(LEFT(UPPER(TRIM($DZ233)),1)="+",LEFT(UPPER(TRIM($DZ233)),1)="-"),999),"E+","E"),"E-","E"))=LEN(SUBSTITUTE(SUBSTITUTE(SUBSTITUTE(SUBSTITUTE(MID(UPPER(TRIM($DZ233)),1+OR(LEFT(UPPER(TRIM($DZ233)),1)="+",LEFT(UPPER(TRIM($DZ233)),1)="-"),999),"E+","E"),"E-","E"),"+",""),"-","")),LEN(UPPER(TRIM($DZ233)))-LEN(SUBSTITUTE(UPPER(TRIM($DZ233)),"E",""))&lt;2,LEN(UPPER(TRIM($DZ233)))-LEN(SUBSTITUTE(UPPER(TRIM($DZ233)),".",""))&lt;2,IFERROR(FIND(".",UPPER(TRIM($DZ233))),0)&lt;IFERROR(FIND("E",UPPER(TRIM($DZ233))),999)),ISNUMBER(VALUE(TRIM($DZ233)))),VALUE(TRIM($DZ233)),"")))),""))</f>
        <v/>
      </c>
      <c r="EB233">
        <f>IF($DM233=0,"",IF($L$18=0,"",IFERROR(IF(UPPER(TRIM(SUBSTITUTE(SUBSTITUTE(SUBSTITUTE(SUBSTITUTE(INDEX(PASTE_ALL,$DF233,$L$18)," "," "),CHAR(9)," "),CHAR(10)," "),CHAR(13)," ")))="READY","Ready",IF(UPPER(TRIM(SUBSTITUTE(SUBSTITUTE(SUBSTITUTE(SUBSTITUTE(INDEX(PASTE_ALL,$DF233,$L$18)," "," "),CHAR(9)," "),CHAR(10)," "),CHAR(13)," ")))="PM","PM",IF(OR(UPPER(TRIM(SUBSTITUTE(SUBSTITUTE(SUBSTITUTE(SUBSTITUTE(INDEX(PASTE_ALL,$DF233,$L$18)," "," "),CHAR(9)," "),CHAR(10)," "),CHAR(13)," ")))="OT",UPPER(TRIM(SUBSTITUTE(SUBSTITUTE(SUBSTITUTE(SUBSTITUTE(INDEX(PASTE_ALL,$DF233,$L$18)," "," "),CHAR(9)," "),CHAR(10)," "),CHAR(13)," ")))="OVERTIME",UPPER(TRIM(SUBSTITUTE(SUBSTITUTE(SUBSTITUTE(SUBSTITUTE(INDEX(PASTE_ALL,$DF233,$L$18)," "," "),CHAR(9)," "),CHAR(10)," "),CHAR(13)," ")))="TRIAL"),"OT",TRIM(SUBSTITUTE(SUBSTITUTE(SUBSTITUTE(SUBSTITUTE(INDEX(PASTE_ALL,$DF233,$L$18)," "," "),CHAR(9)," "),CHAR(10)," "),CHAR(13)," "))))),"")))</f>
        <v/>
      </c>
      <c r="EC233">
        <f>IF($DM233=0,"",IF($L$19=0,"",IFERROR(IF(ISNUMBER(INDEX(PASTE_ALL,$DF233,$L$19)),INDEX(PASTE_ALL,$DF233,$L$19),TRIM(SUBSTITUTE(SUBSTITUTE(SUBSTITUTE(SUBSTITUTE(INDEX(PASTE_ALL,$DF233,$L$19)," "," "),CHAR(9)," "),CHAR(10)," "),CHAR(13)," "))),"")))</f>
        <v/>
      </c>
      <c r="ED233">
        <f>IF($DM233=0,"",MATCH(1,INDEX(EXACT($DH$5:DH233,$DH233)*$DM$5:DM233,0),0))</f>
        <v/>
      </c>
      <c r="EE233">
        <f>IF($DM233=0,0,IF($ED233=$DE233,1,0))</f>
        <v/>
      </c>
      <c r="EF233">
        <f>EF232+$EE233</f>
        <v/>
      </c>
      <c r="EG233">
        <f>IF($DM233=0,"",INDEX($EF$5:$EF$1003,$ED233))</f>
        <v/>
      </c>
      <c r="EH233">
        <f>IF($DM233=0,"",IF($DO233&lt;&gt;"","",IFERROR(LOOKUP(2,1/(($EG$4:EG232=$EG233)*($DO$4:DO232&lt;&gt;"")),$DO$4:DO232),"")))</f>
        <v/>
      </c>
      <c r="EI233">
        <f>IF($DM233=0,"",IF($DO233&lt;&gt;"",$DO233,$EH233))</f>
        <v/>
      </c>
      <c r="EJ233">
        <f>IF($DM233=0,"",IF($EI233="",0,IF(OR(ISNUMBER($EI233),AND(AND(SUBSTITUTE(SUBSTITUTE(SUBSTITUTE(SUBSTITUTE(SUBSTITUTE(SUBSTITUTE(SUBSTITUTE(SUBSTITUTE(SUBSTITUTE(SUBSTITUTE(SUBSTITUTE(SUBSTITUTE(SUBSTITUTE(SUBSTITUTE(UPPER($EI233),"0",""),"1",""),"2",""),"3",""),"4",""),"5",""),"6",""),"7",""),"8",""),"9",""),".",""),"+",""),"-",""),"E","")="",LEN(SUBSTITUTE(SUBSTITUTE(MID(UPPER($EI233),1+OR(LEFT(UPPER($EI233),1)="+",LEFT(UPPER($EI233),1)="-"),999),"E+","E"),"E-","E"))=LEN(SUBSTITUTE(SUBSTITUTE(SUBSTITUTE(SUBSTITUTE(MID(UPPER($EI233),1+OR(LEFT(UPPER($EI233),1)="+",LEFT(UPPER($EI233),1)="-"),999),"E+","E"),"E-","E"),"+",""),"-","")),LEN(UPPER($EI233))-LEN(SUBSTITUTE(UPPER($EI233),"E",""))&lt;2,LEN(UPPER($EI233))-LEN(SUBSTITUTE(UPPER($EI233),".",""))&lt;2,IFERROR(FIND(".",UPPER($EI233)),0)&lt;IFERROR(FIND("E",UPPER($EI233)),999)),ISNUMBER(VALUE($EI233)))),1,2)))</f>
        <v/>
      </c>
      <c r="EK233">
        <f>IF($DM233=0,"",IF($EJ233=1,IF(ISNUMBER($EI233),$EI233,VALUE($EI233)),IF($EJ233=2,$DE233,0)))</f>
        <v/>
      </c>
      <c r="EL233">
        <f>IF($DM233=0,"",COUNTIF($EG$5:$EG$1003,"&lt;"&amp;$EG233)+SUMPRODUCT(($EG$5:$EG$1003=$EG233)*(($EJ$5:$EJ$1003&lt;$EJ233)+($EJ$5:$EJ$1003=$EJ233)*(($EK$5:$EK$1003&lt;$EK233)+($EK$5:$EK$1003=$EK233)*($DE$5:$DE$1003&lt;$DE233))))+1)</f>
        <v/>
      </c>
      <c r="EM233">
        <f>IF($DM233=0,"",$EL233+$EG233-1)</f>
        <v/>
      </c>
      <c r="EN233">
        <f>IF($DM233=0,0,IFERROR(MATCH(1,INDEX(--(TRIM(SUBSTITUTE(SUBSTITUTE(SUBSTITUTE(SUBSTITUTE(LINES_NAME&amp;""," "," "),CHAR(9)," "),CHAR(10)," "),CHAR(13)," "))=$DH233),0),0),0))</f>
        <v/>
      </c>
      <c r="EO233">
        <f>IF($EN233=0,0,IF(OR(UPPER(TRIM(INDEX(LINES_SCHEDULED,$EN233)&amp;""))="YES",UPPER(TRIM(INDEX(LINES_SCHEDULED,$EN233)&amp;""))="Y",UPPER(TRIM(INDEX(LINES_SCHEDULED,$EN233)&amp;""))="X"),1,0))</f>
        <v/>
      </c>
      <c r="EP233">
        <f>IF($DM233=0,"",IF(COUNTIFS($EG$5:$EG$1003,$EG233,$EB$5:$EB$1003,"Ready")&gt;0,"READY",IF(COUNTIFS($EG$5:$EG$1003,$EG233,$EB$5:$EB$1003,"PM")&gt;0,"PM",IF(COUNTIFS($EG$5:$EG$1003,$EG233,$EB$5:$EB$1003,"OT")&gt;0,"OT",""))))</f>
        <v/>
      </c>
      <c r="EQ233">
        <f>IF($EN233=0,"",UPPER(TRIM(INDEX(LINES_STATUS,$EN233)&amp;"")))</f>
        <v/>
      </c>
      <c r="ER233">
        <f>IF($DM233=0,"",IF(OR($EQ233="READY",$EQ233="PM",$EQ233="OT"),$EQ233,$EP233))</f>
        <v/>
      </c>
      <c r="ES233">
        <f>IF($DM233=0,"",IF(AND($DV233&lt;&gt;"",UPPER($DV233)&lt;&gt;"N"),"allergen",IF(ISNUMBER(SEARCH("oil",$DQ233)),"oil",IF(OR(EXACT($DS233,"A662"),EXACT($DS233,"A624")),"bulk",""))))</f>
        <v/>
      </c>
      <c r="ET233">
        <f>IF($DM233=0,"",IF(OR($EA233="",$EA233=0),"",$EA233/100))</f>
        <v/>
      </c>
      <c r="EU233">
        <f>IF(OR($ET233="",$DY233=""),"",INT($DY233*(1-$ET233)+0.5))</f>
        <v/>
      </c>
      <c r="EW233" t="n">
        <v>229</v>
      </c>
      <c r="EX233">
        <f>IFERROR(MATCH($EW233,$EM$5:$EM$1003,0),0)</f>
        <v/>
      </c>
      <c r="EY233">
        <f>IF($EW233&gt;$B$12,"",IF($EX233&gt;0,"row","spacer"))</f>
        <v/>
      </c>
      <c r="EZ233">
        <f>IF(AND($EY233="row",$EY232&lt;&gt;"row"),1,0)</f>
        <v/>
      </c>
      <c r="FA233">
        <f>IF(AND($EY233="row",$EY234&lt;&gt;"row"),1,0)</f>
        <v/>
      </c>
      <c r="FB233">
        <f>IF($EZ233=1,IFERROR(IF(ISNUMBER(INDEX(PASTE_ALL,INDEX($DF$5:$DF$1003,$EX233),$B$37)),INDEX(PASTE_ALL,INDEX($DF$5:$DF$1003,$EX233),$B$37),INDEX($DH$5:$DH$1003,$EX233)),INDEX($DH$5:$DH$1003,$EX233)),"")</f>
        <v/>
      </c>
      <c r="FC233">
        <f>IF($EY233="row",INDEX($ER$5:$ER$1003,$EX233),"")</f>
        <v/>
      </c>
      <c r="FD233">
        <f>IF($EY233="row",INDEX($DN$5:$DN$1003,$EX233),"")</f>
        <v/>
      </c>
      <c r="FE233">
        <f>IF($EY233="row",INDEX($DO$5:$DO$1003,$EX233),"")</f>
        <v/>
      </c>
      <c r="FF233">
        <f>IF($EY233="row",INDEX($DP$5:$DP$1003,$EX233),"")</f>
        <v/>
      </c>
      <c r="FG233">
        <f>IF($EY233="row",INDEX($DQ$5:$DQ$1003,$EX233),"")</f>
        <v/>
      </c>
      <c r="FH233">
        <f>IF($EY233="row",INDEX($DR$5:$DR$1003,$EX233),"")</f>
        <v/>
      </c>
      <c r="FI233">
        <f>IF($EY233="row",INDEX($DS$5:$DS$1003,$EX233),"")</f>
        <v/>
      </c>
      <c r="FJ233">
        <f>IF($EY233="row",INDEX($DT$5:$DT$1003,$EX233),"")</f>
        <v/>
      </c>
      <c r="FK233">
        <f>IF($EY233="row",INDEX($DU$5:$DU$1003,$EX233),"")</f>
        <v/>
      </c>
      <c r="FL233">
        <f>IF($EY233="row",INDEX($DV$5:$DV$1003,$EX233),"")</f>
        <v/>
      </c>
      <c r="FM233">
        <f>IF($EY233="row",INDEX($DW$5:$DW$1003,$EX233),"")</f>
        <v/>
      </c>
      <c r="FN233">
        <f>IF($EY233="row",INDEX($DY$5:$DY$1003,$EX233),"")</f>
        <v/>
      </c>
      <c r="FO233">
        <f>IF($EY233="row",INDEX($EA$5:$EA$1003,$EX233),"")</f>
        <v/>
      </c>
      <c r="FP233">
        <f>IF($EY233="row",INDEX($EC$5:$EC$1003,$EX233),"")</f>
        <v/>
      </c>
      <c r="FQ233">
        <f>IF($EY233="row",INDEX($ET$5:$ET$1003,$EX233),"")</f>
        <v/>
      </c>
      <c r="FR233">
        <f>IF($EY233="row",INDEX($EU$5:$EU$1003,$EX233),"")</f>
        <v/>
      </c>
      <c r="FS233">
        <f>IF(AND($EY233="row",$EY232="row"),IF(OR(INDEX($DT$5:$DT$1003,$EX232)="",INDEX($DT$5:$DT$1003,$EX233)=""),"",IF(NOT(EXACT(INDEX($DT$5:$DT$1003,$EX232),INDEX($DT$5:$DT$1003,$EX233))),"S4",IF(NOT(EXACT(INDEX($DS$5:$DS$1003,$EX232),INDEX($DS$5:$DS$1003,$EX233))),"S3",IF(NOT(EXACT(INDEX($DR$5:$DR$1003,$EX232),INDEX($DR$5:$DR$1003,$EX233))),"S1 Count Change","S1")))),"")</f>
        <v/>
      </c>
      <c r="FT233">
        <f>IF($EY233="row",INDEX($ES$5:$ES$1003,$EX233),"")</f>
        <v/>
      </c>
      <c r="FU233">
        <f>IF($EY233="row",INDEX($EO$5:$EO$1003,$EX233),0)</f>
        <v/>
      </c>
      <c r="FV233">
        <f>IF($FS233="S1 Count Change",1,0)</f>
        <v/>
      </c>
    </row>
    <row r="234">
      <c r="X234" s="69" t="inlineStr">
        <is>
          <t>auto: CONTAINS running</t>
        </is>
      </c>
      <c r="Y234">
        <f>0+IF(Y233&gt;0,0,IF(SUMPRODUCT(MOD(INT(Y232/{2,4,8,16,32,64,128,256,512,1024,2048,4096,8192,16384,32768}),2)*(1-MOD(INT(($CH$233+0)/{2,4,8,16,32,64,128,256,512,1024,2048,4096,8192,16384,32768}),2))*{2,4,8,16,32,64,128,256,512,1024,2048,4096,8192,16384,32768})=0,0,2^SUMPRODUCT(--(MOD(SUMPRODUCT(MOD(INT(Y232/{2,4,8,16,32,64,128,256,512,1024,2048,4096,8192,16384,32768}),2)*(1-MOD(INT(($CH$233+0)/{2,4,8,16,32,64,128,256,512,1024,2048,4096,8192,16384,32768}),2))*{2,4,8,16,32,64,128,256,512,1024,2048,4096,8192,16384,32768}),{2,4,8,16,32,64,128,256,512,1024,2048,4096,8192,16384,32768})=0))))</f>
        <v/>
      </c>
      <c r="Z234">
        <f>Y234+IF(Z233&gt;0,0,IF(SUMPRODUCT(MOD(INT(Z232/{2,4,8,16,32,64,128,256,512,1024,2048,4096,8192,16384,32768}),2)*(1-MOD(INT(($CH$233+Y234)/{2,4,8,16,32,64,128,256,512,1024,2048,4096,8192,16384,32768}),2))*{2,4,8,16,32,64,128,256,512,1024,2048,4096,8192,16384,32768})=0,0,2^SUMPRODUCT(--(MOD(SUMPRODUCT(MOD(INT(Z232/{2,4,8,16,32,64,128,256,512,1024,2048,4096,8192,16384,32768}),2)*(1-MOD(INT(($CH$233+Y234)/{2,4,8,16,32,64,128,256,512,1024,2048,4096,8192,16384,32768}),2))*{2,4,8,16,32,64,128,256,512,1024,2048,4096,8192,16384,32768}),{2,4,8,16,32,64,128,256,512,1024,2048,4096,8192,16384,32768})=0))))</f>
        <v/>
      </c>
      <c r="AA234">
        <f>Z234+IF(AA233&gt;0,0,IF(SUMPRODUCT(MOD(INT(AA232/{2,4,8,16,32,64,128,256,512,1024,2048,4096,8192,16384,32768}),2)*(1-MOD(INT(($CH$233+Z234)/{2,4,8,16,32,64,128,256,512,1024,2048,4096,8192,16384,32768}),2))*{2,4,8,16,32,64,128,256,512,1024,2048,4096,8192,16384,32768})=0,0,2^SUMPRODUCT(--(MOD(SUMPRODUCT(MOD(INT(AA232/{2,4,8,16,32,64,128,256,512,1024,2048,4096,8192,16384,32768}),2)*(1-MOD(INT(($CH$233+Z234)/{2,4,8,16,32,64,128,256,512,1024,2048,4096,8192,16384,32768}),2))*{2,4,8,16,32,64,128,256,512,1024,2048,4096,8192,16384,32768}),{2,4,8,16,32,64,128,256,512,1024,2048,4096,8192,16384,32768})=0))))</f>
        <v/>
      </c>
      <c r="AB234">
        <f>AA234+IF(AB233&gt;0,0,IF(SUMPRODUCT(MOD(INT(AB232/{2,4,8,16,32,64,128,256,512,1024,2048,4096,8192,16384,32768}),2)*(1-MOD(INT(($CH$233+AA234)/{2,4,8,16,32,64,128,256,512,1024,2048,4096,8192,16384,32768}),2))*{2,4,8,16,32,64,128,256,512,1024,2048,4096,8192,16384,32768})=0,0,2^SUMPRODUCT(--(MOD(SUMPRODUCT(MOD(INT(AB232/{2,4,8,16,32,64,128,256,512,1024,2048,4096,8192,16384,32768}),2)*(1-MOD(INT(($CH$233+AA234)/{2,4,8,16,32,64,128,256,512,1024,2048,4096,8192,16384,32768}),2))*{2,4,8,16,32,64,128,256,512,1024,2048,4096,8192,16384,32768}),{2,4,8,16,32,64,128,256,512,1024,2048,4096,8192,16384,32768})=0))))</f>
        <v/>
      </c>
      <c r="AC234">
        <f>AB234+IF(AC233&gt;0,0,IF(SUMPRODUCT(MOD(INT(AC232/{2,4,8,16,32,64,128,256,512,1024,2048,4096,8192,16384,32768}),2)*(1-MOD(INT(($CH$233+AB234)/{2,4,8,16,32,64,128,256,512,1024,2048,4096,8192,16384,32768}),2))*{2,4,8,16,32,64,128,256,512,1024,2048,4096,8192,16384,32768})=0,0,2^SUMPRODUCT(--(MOD(SUMPRODUCT(MOD(INT(AC232/{2,4,8,16,32,64,128,256,512,1024,2048,4096,8192,16384,32768}),2)*(1-MOD(INT(($CH$233+AB234)/{2,4,8,16,32,64,128,256,512,1024,2048,4096,8192,16384,32768}),2))*{2,4,8,16,32,64,128,256,512,1024,2048,4096,8192,16384,32768}),{2,4,8,16,32,64,128,256,512,1024,2048,4096,8192,16384,32768})=0))))</f>
        <v/>
      </c>
      <c r="AD234">
        <f>AC234+IF(AD233&gt;0,0,IF(SUMPRODUCT(MOD(INT(AD232/{2,4,8,16,32,64,128,256,512,1024,2048,4096,8192,16384,32768}),2)*(1-MOD(INT(($CH$233+AC234)/{2,4,8,16,32,64,128,256,512,1024,2048,4096,8192,16384,32768}),2))*{2,4,8,16,32,64,128,256,512,1024,2048,4096,8192,16384,32768})=0,0,2^SUMPRODUCT(--(MOD(SUMPRODUCT(MOD(INT(AD232/{2,4,8,16,32,64,128,256,512,1024,2048,4096,8192,16384,32768}),2)*(1-MOD(INT(($CH$233+AC234)/{2,4,8,16,32,64,128,256,512,1024,2048,4096,8192,16384,32768}),2))*{2,4,8,16,32,64,128,256,512,1024,2048,4096,8192,16384,32768}),{2,4,8,16,32,64,128,256,512,1024,2048,4096,8192,16384,32768})=0))))</f>
        <v/>
      </c>
      <c r="AE234">
        <f>AD234+IF(AE233&gt;0,0,IF(SUMPRODUCT(MOD(INT(AE232/{2,4,8,16,32,64,128,256,512,1024,2048,4096,8192,16384,32768}),2)*(1-MOD(INT(($CH$233+AD234)/{2,4,8,16,32,64,128,256,512,1024,2048,4096,8192,16384,32768}),2))*{2,4,8,16,32,64,128,256,512,1024,2048,4096,8192,16384,32768})=0,0,2^SUMPRODUCT(--(MOD(SUMPRODUCT(MOD(INT(AE232/{2,4,8,16,32,64,128,256,512,1024,2048,4096,8192,16384,32768}),2)*(1-MOD(INT(($CH$233+AD234)/{2,4,8,16,32,64,128,256,512,1024,2048,4096,8192,16384,32768}),2))*{2,4,8,16,32,64,128,256,512,1024,2048,4096,8192,16384,32768}),{2,4,8,16,32,64,128,256,512,1024,2048,4096,8192,16384,32768})=0))))</f>
        <v/>
      </c>
      <c r="AF234">
        <f>AE234+IF(AF233&gt;0,0,IF(SUMPRODUCT(MOD(INT(AF232/{2,4,8,16,32,64,128,256,512,1024,2048,4096,8192,16384,32768}),2)*(1-MOD(INT(($CH$233+AE234)/{2,4,8,16,32,64,128,256,512,1024,2048,4096,8192,16384,32768}),2))*{2,4,8,16,32,64,128,256,512,1024,2048,4096,8192,16384,32768})=0,0,2^SUMPRODUCT(--(MOD(SUMPRODUCT(MOD(INT(AF232/{2,4,8,16,32,64,128,256,512,1024,2048,4096,8192,16384,32768}),2)*(1-MOD(INT(($CH$233+AE234)/{2,4,8,16,32,64,128,256,512,1024,2048,4096,8192,16384,32768}),2))*{2,4,8,16,32,64,128,256,512,1024,2048,4096,8192,16384,32768}),{2,4,8,16,32,64,128,256,512,1024,2048,4096,8192,16384,32768})=0))))</f>
        <v/>
      </c>
      <c r="AG234">
        <f>AF234+IF(AG233&gt;0,0,IF(SUMPRODUCT(MOD(INT(AG232/{2,4,8,16,32,64,128,256,512,1024,2048,4096,8192,16384,32768}),2)*(1-MOD(INT(($CH$233+AF234)/{2,4,8,16,32,64,128,256,512,1024,2048,4096,8192,16384,32768}),2))*{2,4,8,16,32,64,128,256,512,1024,2048,4096,8192,16384,32768})=0,0,2^SUMPRODUCT(--(MOD(SUMPRODUCT(MOD(INT(AG232/{2,4,8,16,32,64,128,256,512,1024,2048,4096,8192,16384,32768}),2)*(1-MOD(INT(($CH$233+AF234)/{2,4,8,16,32,64,128,256,512,1024,2048,4096,8192,16384,32768}),2))*{2,4,8,16,32,64,128,256,512,1024,2048,4096,8192,16384,32768}),{2,4,8,16,32,64,128,256,512,1024,2048,4096,8192,16384,32768})=0))))</f>
        <v/>
      </c>
      <c r="AH234">
        <f>AG234+IF(AH233&gt;0,0,IF(SUMPRODUCT(MOD(INT(AH232/{2,4,8,16,32,64,128,256,512,1024,2048,4096,8192,16384,32768}),2)*(1-MOD(INT(($CH$233+AG234)/{2,4,8,16,32,64,128,256,512,1024,2048,4096,8192,16384,32768}),2))*{2,4,8,16,32,64,128,256,512,1024,2048,4096,8192,16384,32768})=0,0,2^SUMPRODUCT(--(MOD(SUMPRODUCT(MOD(INT(AH232/{2,4,8,16,32,64,128,256,512,1024,2048,4096,8192,16384,32768}),2)*(1-MOD(INT(($CH$233+AG234)/{2,4,8,16,32,64,128,256,512,1024,2048,4096,8192,16384,32768}),2))*{2,4,8,16,32,64,128,256,512,1024,2048,4096,8192,16384,32768}),{2,4,8,16,32,64,128,256,512,1024,2048,4096,8192,16384,32768})=0))))</f>
        <v/>
      </c>
      <c r="AI234">
        <f>AH234+IF(AI233&gt;0,0,IF(SUMPRODUCT(MOD(INT(AI232/{2,4,8,16,32,64,128,256,512,1024,2048,4096,8192,16384,32768}),2)*(1-MOD(INT(($CH$233+AH234)/{2,4,8,16,32,64,128,256,512,1024,2048,4096,8192,16384,32768}),2))*{2,4,8,16,32,64,128,256,512,1024,2048,4096,8192,16384,32768})=0,0,2^SUMPRODUCT(--(MOD(SUMPRODUCT(MOD(INT(AI232/{2,4,8,16,32,64,128,256,512,1024,2048,4096,8192,16384,32768}),2)*(1-MOD(INT(($CH$233+AH234)/{2,4,8,16,32,64,128,256,512,1024,2048,4096,8192,16384,32768}),2))*{2,4,8,16,32,64,128,256,512,1024,2048,4096,8192,16384,32768}),{2,4,8,16,32,64,128,256,512,1024,2048,4096,8192,16384,32768})=0))))</f>
        <v/>
      </c>
      <c r="AJ234">
        <f>AI234+IF(AJ233&gt;0,0,IF(SUMPRODUCT(MOD(INT(AJ232/{2,4,8,16,32,64,128,256,512,1024,2048,4096,8192,16384,32768}),2)*(1-MOD(INT(($CH$233+AI234)/{2,4,8,16,32,64,128,256,512,1024,2048,4096,8192,16384,32768}),2))*{2,4,8,16,32,64,128,256,512,1024,2048,4096,8192,16384,32768})=0,0,2^SUMPRODUCT(--(MOD(SUMPRODUCT(MOD(INT(AJ232/{2,4,8,16,32,64,128,256,512,1024,2048,4096,8192,16384,32768}),2)*(1-MOD(INT(($CH$233+AI234)/{2,4,8,16,32,64,128,256,512,1024,2048,4096,8192,16384,32768}),2))*{2,4,8,16,32,64,128,256,512,1024,2048,4096,8192,16384,32768}),{2,4,8,16,32,64,128,256,512,1024,2048,4096,8192,16384,32768})=0))))</f>
        <v/>
      </c>
      <c r="AK234">
        <f>AJ234+IF(AK233&gt;0,0,IF(SUMPRODUCT(MOD(INT(AK232/{2,4,8,16,32,64,128,256,512,1024,2048,4096,8192,16384,32768}),2)*(1-MOD(INT(($CH$233+AJ234)/{2,4,8,16,32,64,128,256,512,1024,2048,4096,8192,16384,32768}),2))*{2,4,8,16,32,64,128,256,512,1024,2048,4096,8192,16384,32768})=0,0,2^SUMPRODUCT(--(MOD(SUMPRODUCT(MOD(INT(AK232/{2,4,8,16,32,64,128,256,512,1024,2048,4096,8192,16384,32768}),2)*(1-MOD(INT(($CH$233+AJ234)/{2,4,8,16,32,64,128,256,512,1024,2048,4096,8192,16384,32768}),2))*{2,4,8,16,32,64,128,256,512,1024,2048,4096,8192,16384,32768}),{2,4,8,16,32,64,128,256,512,1024,2048,4096,8192,16384,32768})=0))))</f>
        <v/>
      </c>
      <c r="AL234">
        <f>AK234+IF(AL233&gt;0,0,IF(SUMPRODUCT(MOD(INT(AL232/{2,4,8,16,32,64,128,256,512,1024,2048,4096,8192,16384,32768}),2)*(1-MOD(INT(($CH$233+AK234)/{2,4,8,16,32,64,128,256,512,1024,2048,4096,8192,16384,32768}),2))*{2,4,8,16,32,64,128,256,512,1024,2048,4096,8192,16384,32768})=0,0,2^SUMPRODUCT(--(MOD(SUMPRODUCT(MOD(INT(AL232/{2,4,8,16,32,64,128,256,512,1024,2048,4096,8192,16384,32768}),2)*(1-MOD(INT(($CH$233+AK234)/{2,4,8,16,32,64,128,256,512,1024,2048,4096,8192,16384,32768}),2))*{2,4,8,16,32,64,128,256,512,1024,2048,4096,8192,16384,32768}),{2,4,8,16,32,64,128,256,512,1024,2048,4096,8192,16384,32768})=0))))</f>
        <v/>
      </c>
      <c r="AM234">
        <f>AL234+IF(AM233&gt;0,0,IF(SUMPRODUCT(MOD(INT(AM232/{2,4,8,16,32,64,128,256,512,1024,2048,4096,8192,16384,32768}),2)*(1-MOD(INT(($CH$233+AL234)/{2,4,8,16,32,64,128,256,512,1024,2048,4096,8192,16384,32768}),2))*{2,4,8,16,32,64,128,256,512,1024,2048,4096,8192,16384,32768})=0,0,2^SUMPRODUCT(--(MOD(SUMPRODUCT(MOD(INT(AM232/{2,4,8,16,32,64,128,256,512,1024,2048,4096,8192,16384,32768}),2)*(1-MOD(INT(($CH$233+AL234)/{2,4,8,16,32,64,128,256,512,1024,2048,4096,8192,16384,32768}),2))*{2,4,8,16,32,64,128,256,512,1024,2048,4096,8192,16384,32768}),{2,4,8,16,32,64,128,256,512,1024,2048,4096,8192,16384,32768})=0))))</f>
        <v/>
      </c>
      <c r="AN234">
        <f>AM234+IF(AN233&gt;0,0,IF(SUMPRODUCT(MOD(INT(AN232/{2,4,8,16,32,64,128,256,512,1024,2048,4096,8192,16384,32768}),2)*(1-MOD(INT(($CH$233+AM234)/{2,4,8,16,32,64,128,256,512,1024,2048,4096,8192,16384,32768}),2))*{2,4,8,16,32,64,128,256,512,1024,2048,4096,8192,16384,32768})=0,0,2^SUMPRODUCT(--(MOD(SUMPRODUCT(MOD(INT(AN232/{2,4,8,16,32,64,128,256,512,1024,2048,4096,8192,16384,32768}),2)*(1-MOD(INT(($CH$233+AM234)/{2,4,8,16,32,64,128,256,512,1024,2048,4096,8192,16384,32768}),2))*{2,4,8,16,32,64,128,256,512,1024,2048,4096,8192,16384,32768}),{2,4,8,16,32,64,128,256,512,1024,2048,4096,8192,16384,32768})=0))))</f>
        <v/>
      </c>
      <c r="AO234">
        <f>AN234+IF(AO233&gt;0,0,IF(SUMPRODUCT(MOD(INT(AO232/{2,4,8,16,32,64,128,256,512,1024,2048,4096,8192,16384,32768}),2)*(1-MOD(INT(($CH$233+AN234)/{2,4,8,16,32,64,128,256,512,1024,2048,4096,8192,16384,32768}),2))*{2,4,8,16,32,64,128,256,512,1024,2048,4096,8192,16384,32768})=0,0,2^SUMPRODUCT(--(MOD(SUMPRODUCT(MOD(INT(AO232/{2,4,8,16,32,64,128,256,512,1024,2048,4096,8192,16384,32768}),2)*(1-MOD(INT(($CH$233+AN234)/{2,4,8,16,32,64,128,256,512,1024,2048,4096,8192,16384,32768}),2))*{2,4,8,16,32,64,128,256,512,1024,2048,4096,8192,16384,32768}),{2,4,8,16,32,64,128,256,512,1024,2048,4096,8192,16384,32768})=0))))</f>
        <v/>
      </c>
      <c r="AP234">
        <f>AO234+IF(AP233&gt;0,0,IF(SUMPRODUCT(MOD(INT(AP232/{2,4,8,16,32,64,128,256,512,1024,2048,4096,8192,16384,32768}),2)*(1-MOD(INT(($CH$233+AO234)/{2,4,8,16,32,64,128,256,512,1024,2048,4096,8192,16384,32768}),2))*{2,4,8,16,32,64,128,256,512,1024,2048,4096,8192,16384,32768})=0,0,2^SUMPRODUCT(--(MOD(SUMPRODUCT(MOD(INT(AP232/{2,4,8,16,32,64,128,256,512,1024,2048,4096,8192,16384,32768}),2)*(1-MOD(INT(($CH$233+AO234)/{2,4,8,16,32,64,128,256,512,1024,2048,4096,8192,16384,32768}),2))*{2,4,8,16,32,64,128,256,512,1024,2048,4096,8192,16384,32768}),{2,4,8,16,32,64,128,256,512,1024,2048,4096,8192,16384,32768})=0))))</f>
        <v/>
      </c>
      <c r="AQ234">
        <f>AP234+IF(AQ233&gt;0,0,IF(SUMPRODUCT(MOD(INT(AQ232/{2,4,8,16,32,64,128,256,512,1024,2048,4096,8192,16384,32768}),2)*(1-MOD(INT(($CH$233+AP234)/{2,4,8,16,32,64,128,256,512,1024,2048,4096,8192,16384,32768}),2))*{2,4,8,16,32,64,128,256,512,1024,2048,4096,8192,16384,32768})=0,0,2^SUMPRODUCT(--(MOD(SUMPRODUCT(MOD(INT(AQ232/{2,4,8,16,32,64,128,256,512,1024,2048,4096,8192,16384,32768}),2)*(1-MOD(INT(($CH$233+AP234)/{2,4,8,16,32,64,128,256,512,1024,2048,4096,8192,16384,32768}),2))*{2,4,8,16,32,64,128,256,512,1024,2048,4096,8192,16384,32768}),{2,4,8,16,32,64,128,256,512,1024,2048,4096,8192,16384,32768})=0))))</f>
        <v/>
      </c>
      <c r="AR234">
        <f>AQ234+IF(AR233&gt;0,0,IF(SUMPRODUCT(MOD(INT(AR232/{2,4,8,16,32,64,128,256,512,1024,2048,4096,8192,16384,32768}),2)*(1-MOD(INT(($CH$233+AQ234)/{2,4,8,16,32,64,128,256,512,1024,2048,4096,8192,16384,32768}),2))*{2,4,8,16,32,64,128,256,512,1024,2048,4096,8192,16384,32768})=0,0,2^SUMPRODUCT(--(MOD(SUMPRODUCT(MOD(INT(AR232/{2,4,8,16,32,64,128,256,512,1024,2048,4096,8192,16384,32768}),2)*(1-MOD(INT(($CH$233+AQ234)/{2,4,8,16,32,64,128,256,512,1024,2048,4096,8192,16384,32768}),2))*{2,4,8,16,32,64,128,256,512,1024,2048,4096,8192,16384,32768}),{2,4,8,16,32,64,128,256,512,1024,2048,4096,8192,16384,32768})=0))))</f>
        <v/>
      </c>
      <c r="AS234">
        <f>AR234+IF(AS233&gt;0,0,IF(SUMPRODUCT(MOD(INT(AS232/{2,4,8,16,32,64,128,256,512,1024,2048,4096,8192,16384,32768}),2)*(1-MOD(INT(($CH$233+AR234)/{2,4,8,16,32,64,128,256,512,1024,2048,4096,8192,16384,32768}),2))*{2,4,8,16,32,64,128,256,512,1024,2048,4096,8192,16384,32768})=0,0,2^SUMPRODUCT(--(MOD(SUMPRODUCT(MOD(INT(AS232/{2,4,8,16,32,64,128,256,512,1024,2048,4096,8192,16384,32768}),2)*(1-MOD(INT(($CH$233+AR234)/{2,4,8,16,32,64,128,256,512,1024,2048,4096,8192,16384,32768}),2))*{2,4,8,16,32,64,128,256,512,1024,2048,4096,8192,16384,32768}),{2,4,8,16,32,64,128,256,512,1024,2048,4096,8192,16384,32768})=0))))</f>
        <v/>
      </c>
      <c r="AT234">
        <f>AS234+IF(AT233&gt;0,0,IF(SUMPRODUCT(MOD(INT(AT232/{2,4,8,16,32,64,128,256,512,1024,2048,4096,8192,16384,32768}),2)*(1-MOD(INT(($CH$233+AS234)/{2,4,8,16,32,64,128,256,512,1024,2048,4096,8192,16384,32768}),2))*{2,4,8,16,32,64,128,256,512,1024,2048,4096,8192,16384,32768})=0,0,2^SUMPRODUCT(--(MOD(SUMPRODUCT(MOD(INT(AT232/{2,4,8,16,32,64,128,256,512,1024,2048,4096,8192,16384,32768}),2)*(1-MOD(INT(($CH$233+AS234)/{2,4,8,16,32,64,128,256,512,1024,2048,4096,8192,16384,32768}),2))*{2,4,8,16,32,64,128,256,512,1024,2048,4096,8192,16384,32768}),{2,4,8,16,32,64,128,256,512,1024,2048,4096,8192,16384,32768})=0))))</f>
        <v/>
      </c>
      <c r="AU234">
        <f>AT234+IF(AU233&gt;0,0,IF(SUMPRODUCT(MOD(INT(AU232/{2,4,8,16,32,64,128,256,512,1024,2048,4096,8192,16384,32768}),2)*(1-MOD(INT(($CH$233+AT234)/{2,4,8,16,32,64,128,256,512,1024,2048,4096,8192,16384,32768}),2))*{2,4,8,16,32,64,128,256,512,1024,2048,4096,8192,16384,32768})=0,0,2^SUMPRODUCT(--(MOD(SUMPRODUCT(MOD(INT(AU232/{2,4,8,16,32,64,128,256,512,1024,2048,4096,8192,16384,32768}),2)*(1-MOD(INT(($CH$233+AT234)/{2,4,8,16,32,64,128,256,512,1024,2048,4096,8192,16384,32768}),2))*{2,4,8,16,32,64,128,256,512,1024,2048,4096,8192,16384,32768}),{2,4,8,16,32,64,128,256,512,1024,2048,4096,8192,16384,32768})=0))))</f>
        <v/>
      </c>
      <c r="AV234">
        <f>AU234+IF(AV233&gt;0,0,IF(SUMPRODUCT(MOD(INT(AV232/{2,4,8,16,32,64,128,256,512,1024,2048,4096,8192,16384,32768}),2)*(1-MOD(INT(($CH$233+AU234)/{2,4,8,16,32,64,128,256,512,1024,2048,4096,8192,16384,32768}),2))*{2,4,8,16,32,64,128,256,512,1024,2048,4096,8192,16384,32768})=0,0,2^SUMPRODUCT(--(MOD(SUMPRODUCT(MOD(INT(AV232/{2,4,8,16,32,64,128,256,512,1024,2048,4096,8192,16384,32768}),2)*(1-MOD(INT(($CH$233+AU234)/{2,4,8,16,32,64,128,256,512,1024,2048,4096,8192,16384,32768}),2))*{2,4,8,16,32,64,128,256,512,1024,2048,4096,8192,16384,32768}),{2,4,8,16,32,64,128,256,512,1024,2048,4096,8192,16384,32768})=0))))</f>
        <v/>
      </c>
      <c r="AW234">
        <f>AV234+IF(AW233&gt;0,0,IF(SUMPRODUCT(MOD(INT(AW232/{2,4,8,16,32,64,128,256,512,1024,2048,4096,8192,16384,32768}),2)*(1-MOD(INT(($CH$233+AV234)/{2,4,8,16,32,64,128,256,512,1024,2048,4096,8192,16384,32768}),2))*{2,4,8,16,32,64,128,256,512,1024,2048,4096,8192,16384,32768})=0,0,2^SUMPRODUCT(--(MOD(SUMPRODUCT(MOD(INT(AW232/{2,4,8,16,32,64,128,256,512,1024,2048,4096,8192,16384,32768}),2)*(1-MOD(INT(($CH$233+AV234)/{2,4,8,16,32,64,128,256,512,1024,2048,4096,8192,16384,32768}),2))*{2,4,8,16,32,64,128,256,512,1024,2048,4096,8192,16384,32768}),{2,4,8,16,32,64,128,256,512,1024,2048,4096,8192,16384,32768})=0))))</f>
        <v/>
      </c>
      <c r="AX234">
        <f>AW234+IF(AX233&gt;0,0,IF(SUMPRODUCT(MOD(INT(AX232/{2,4,8,16,32,64,128,256,512,1024,2048,4096,8192,16384,32768}),2)*(1-MOD(INT(($CH$233+AW234)/{2,4,8,16,32,64,128,256,512,1024,2048,4096,8192,16384,32768}),2))*{2,4,8,16,32,64,128,256,512,1024,2048,4096,8192,16384,32768})=0,0,2^SUMPRODUCT(--(MOD(SUMPRODUCT(MOD(INT(AX232/{2,4,8,16,32,64,128,256,512,1024,2048,4096,8192,16384,32768}),2)*(1-MOD(INT(($CH$233+AW234)/{2,4,8,16,32,64,128,256,512,1024,2048,4096,8192,16384,32768}),2))*{2,4,8,16,32,64,128,256,512,1024,2048,4096,8192,16384,32768}),{2,4,8,16,32,64,128,256,512,1024,2048,4096,8192,16384,32768})=0))))</f>
        <v/>
      </c>
      <c r="AY234">
        <f>AX234+IF(AY233&gt;0,0,IF(SUMPRODUCT(MOD(INT(AY232/{2,4,8,16,32,64,128,256,512,1024,2048,4096,8192,16384,32768}),2)*(1-MOD(INT(($CH$233+AX234)/{2,4,8,16,32,64,128,256,512,1024,2048,4096,8192,16384,32768}),2))*{2,4,8,16,32,64,128,256,512,1024,2048,4096,8192,16384,32768})=0,0,2^SUMPRODUCT(--(MOD(SUMPRODUCT(MOD(INT(AY232/{2,4,8,16,32,64,128,256,512,1024,2048,4096,8192,16384,32768}),2)*(1-MOD(INT(($CH$233+AX234)/{2,4,8,16,32,64,128,256,512,1024,2048,4096,8192,16384,32768}),2))*{2,4,8,16,32,64,128,256,512,1024,2048,4096,8192,16384,32768}),{2,4,8,16,32,64,128,256,512,1024,2048,4096,8192,16384,32768})=0))))</f>
        <v/>
      </c>
      <c r="AZ234">
        <f>AY234+IF(AZ233&gt;0,0,IF(SUMPRODUCT(MOD(INT(AZ232/{2,4,8,16,32,64,128,256,512,1024,2048,4096,8192,16384,32768}),2)*(1-MOD(INT(($CH$233+AY234)/{2,4,8,16,32,64,128,256,512,1024,2048,4096,8192,16384,32768}),2))*{2,4,8,16,32,64,128,256,512,1024,2048,4096,8192,16384,32768})=0,0,2^SUMPRODUCT(--(MOD(SUMPRODUCT(MOD(INT(AZ232/{2,4,8,16,32,64,128,256,512,1024,2048,4096,8192,16384,32768}),2)*(1-MOD(INT(($CH$233+AY234)/{2,4,8,16,32,64,128,256,512,1024,2048,4096,8192,16384,32768}),2))*{2,4,8,16,32,64,128,256,512,1024,2048,4096,8192,16384,32768}),{2,4,8,16,32,64,128,256,512,1024,2048,4096,8192,16384,32768})=0))))</f>
        <v/>
      </c>
      <c r="BA234">
        <f>AZ234+IF(BA233&gt;0,0,IF(SUMPRODUCT(MOD(INT(BA232/{2,4,8,16,32,64,128,256,512,1024,2048,4096,8192,16384,32768}),2)*(1-MOD(INT(($CH$233+AZ234)/{2,4,8,16,32,64,128,256,512,1024,2048,4096,8192,16384,32768}),2))*{2,4,8,16,32,64,128,256,512,1024,2048,4096,8192,16384,32768})=0,0,2^SUMPRODUCT(--(MOD(SUMPRODUCT(MOD(INT(BA232/{2,4,8,16,32,64,128,256,512,1024,2048,4096,8192,16384,32768}),2)*(1-MOD(INT(($CH$233+AZ234)/{2,4,8,16,32,64,128,256,512,1024,2048,4096,8192,16384,32768}),2))*{2,4,8,16,32,64,128,256,512,1024,2048,4096,8192,16384,32768}),{2,4,8,16,32,64,128,256,512,1024,2048,4096,8192,16384,32768})=0))))</f>
        <v/>
      </c>
      <c r="BB234">
        <f>BA234+IF(BB233&gt;0,0,IF(SUMPRODUCT(MOD(INT(BB232/{2,4,8,16,32,64,128,256,512,1024,2048,4096,8192,16384,32768}),2)*(1-MOD(INT(($CH$233+BA234)/{2,4,8,16,32,64,128,256,512,1024,2048,4096,8192,16384,32768}),2))*{2,4,8,16,32,64,128,256,512,1024,2048,4096,8192,16384,32768})=0,0,2^SUMPRODUCT(--(MOD(SUMPRODUCT(MOD(INT(BB232/{2,4,8,16,32,64,128,256,512,1024,2048,4096,8192,16384,32768}),2)*(1-MOD(INT(($CH$233+BA234)/{2,4,8,16,32,64,128,256,512,1024,2048,4096,8192,16384,32768}),2))*{2,4,8,16,32,64,128,256,512,1024,2048,4096,8192,16384,32768}),{2,4,8,16,32,64,128,256,512,1024,2048,4096,8192,16384,32768})=0))))</f>
        <v/>
      </c>
      <c r="BC234">
        <f>BB234+IF(BC233&gt;0,0,IF(SUMPRODUCT(MOD(INT(BC232/{2,4,8,16,32,64,128,256,512,1024,2048,4096,8192,16384,32768}),2)*(1-MOD(INT(($CH$233+BB234)/{2,4,8,16,32,64,128,256,512,1024,2048,4096,8192,16384,32768}),2))*{2,4,8,16,32,64,128,256,512,1024,2048,4096,8192,16384,32768})=0,0,2^SUMPRODUCT(--(MOD(SUMPRODUCT(MOD(INT(BC232/{2,4,8,16,32,64,128,256,512,1024,2048,4096,8192,16384,32768}),2)*(1-MOD(INT(($CH$233+BB234)/{2,4,8,16,32,64,128,256,512,1024,2048,4096,8192,16384,32768}),2))*{2,4,8,16,32,64,128,256,512,1024,2048,4096,8192,16384,32768}),{2,4,8,16,32,64,128,256,512,1024,2048,4096,8192,16384,32768})=0))))</f>
        <v/>
      </c>
      <c r="BD234">
        <f>BC234+IF(BD233&gt;0,0,IF(SUMPRODUCT(MOD(INT(BD232/{2,4,8,16,32,64,128,256,512,1024,2048,4096,8192,16384,32768}),2)*(1-MOD(INT(($CH$233+BC234)/{2,4,8,16,32,64,128,256,512,1024,2048,4096,8192,16384,32768}),2))*{2,4,8,16,32,64,128,256,512,1024,2048,4096,8192,16384,32768})=0,0,2^SUMPRODUCT(--(MOD(SUMPRODUCT(MOD(INT(BD232/{2,4,8,16,32,64,128,256,512,1024,2048,4096,8192,16384,32768}),2)*(1-MOD(INT(($CH$233+BC234)/{2,4,8,16,32,64,128,256,512,1024,2048,4096,8192,16384,32768}),2))*{2,4,8,16,32,64,128,256,512,1024,2048,4096,8192,16384,32768}),{2,4,8,16,32,64,128,256,512,1024,2048,4096,8192,16384,32768})=0))))</f>
        <v/>
      </c>
      <c r="BE234">
        <f>BD234+IF(BE233&gt;0,0,IF(SUMPRODUCT(MOD(INT(BE232/{2,4,8,16,32,64,128,256,512,1024,2048,4096,8192,16384,32768}),2)*(1-MOD(INT(($CH$233+BD234)/{2,4,8,16,32,64,128,256,512,1024,2048,4096,8192,16384,32768}),2))*{2,4,8,16,32,64,128,256,512,1024,2048,4096,8192,16384,32768})=0,0,2^SUMPRODUCT(--(MOD(SUMPRODUCT(MOD(INT(BE232/{2,4,8,16,32,64,128,256,512,1024,2048,4096,8192,16384,32768}),2)*(1-MOD(INT(($CH$233+BD234)/{2,4,8,16,32,64,128,256,512,1024,2048,4096,8192,16384,32768}),2))*{2,4,8,16,32,64,128,256,512,1024,2048,4096,8192,16384,32768}),{2,4,8,16,32,64,128,256,512,1024,2048,4096,8192,16384,32768})=0))))</f>
        <v/>
      </c>
      <c r="BF234">
        <f>BE234+IF(BF233&gt;0,0,IF(SUMPRODUCT(MOD(INT(BF232/{2,4,8,16,32,64,128,256,512,1024,2048,4096,8192,16384,32768}),2)*(1-MOD(INT(($CH$233+BE234)/{2,4,8,16,32,64,128,256,512,1024,2048,4096,8192,16384,32768}),2))*{2,4,8,16,32,64,128,256,512,1024,2048,4096,8192,16384,32768})=0,0,2^SUMPRODUCT(--(MOD(SUMPRODUCT(MOD(INT(BF232/{2,4,8,16,32,64,128,256,512,1024,2048,4096,8192,16384,32768}),2)*(1-MOD(INT(($CH$233+BE234)/{2,4,8,16,32,64,128,256,512,1024,2048,4096,8192,16384,32768}),2))*{2,4,8,16,32,64,128,256,512,1024,2048,4096,8192,16384,32768}),{2,4,8,16,32,64,128,256,512,1024,2048,4096,8192,16384,32768})=0))))</f>
        <v/>
      </c>
      <c r="BG234">
        <f>BF234+IF(BG233&gt;0,0,IF(SUMPRODUCT(MOD(INT(BG232/{2,4,8,16,32,64,128,256,512,1024,2048,4096,8192,16384,32768}),2)*(1-MOD(INT(($CH$233+BF234)/{2,4,8,16,32,64,128,256,512,1024,2048,4096,8192,16384,32768}),2))*{2,4,8,16,32,64,128,256,512,1024,2048,4096,8192,16384,32768})=0,0,2^SUMPRODUCT(--(MOD(SUMPRODUCT(MOD(INT(BG232/{2,4,8,16,32,64,128,256,512,1024,2048,4096,8192,16384,32768}),2)*(1-MOD(INT(($CH$233+BF234)/{2,4,8,16,32,64,128,256,512,1024,2048,4096,8192,16384,32768}),2))*{2,4,8,16,32,64,128,256,512,1024,2048,4096,8192,16384,32768}),{2,4,8,16,32,64,128,256,512,1024,2048,4096,8192,16384,32768})=0))))</f>
        <v/>
      </c>
      <c r="BH234">
        <f>BG234+IF(BH233&gt;0,0,IF(SUMPRODUCT(MOD(INT(BH232/{2,4,8,16,32,64,128,256,512,1024,2048,4096,8192,16384,32768}),2)*(1-MOD(INT(($CH$233+BG234)/{2,4,8,16,32,64,128,256,512,1024,2048,4096,8192,16384,32768}),2))*{2,4,8,16,32,64,128,256,512,1024,2048,4096,8192,16384,32768})=0,0,2^SUMPRODUCT(--(MOD(SUMPRODUCT(MOD(INT(BH232/{2,4,8,16,32,64,128,256,512,1024,2048,4096,8192,16384,32768}),2)*(1-MOD(INT(($CH$233+BG234)/{2,4,8,16,32,64,128,256,512,1024,2048,4096,8192,16384,32768}),2))*{2,4,8,16,32,64,128,256,512,1024,2048,4096,8192,16384,32768}),{2,4,8,16,32,64,128,256,512,1024,2048,4096,8192,16384,32768})=0))))</f>
        <v/>
      </c>
      <c r="BI234">
        <f>BH234+IF(BI233&gt;0,0,IF(SUMPRODUCT(MOD(INT(BI232/{2,4,8,16,32,64,128,256,512,1024,2048,4096,8192,16384,32768}),2)*(1-MOD(INT(($CH$233+BH234)/{2,4,8,16,32,64,128,256,512,1024,2048,4096,8192,16384,32768}),2))*{2,4,8,16,32,64,128,256,512,1024,2048,4096,8192,16384,32768})=0,0,2^SUMPRODUCT(--(MOD(SUMPRODUCT(MOD(INT(BI232/{2,4,8,16,32,64,128,256,512,1024,2048,4096,8192,16384,32768}),2)*(1-MOD(INT(($CH$233+BH234)/{2,4,8,16,32,64,128,256,512,1024,2048,4096,8192,16384,32768}),2))*{2,4,8,16,32,64,128,256,512,1024,2048,4096,8192,16384,32768}),{2,4,8,16,32,64,128,256,512,1024,2048,4096,8192,16384,32768})=0))))</f>
        <v/>
      </c>
      <c r="BJ234">
        <f>BI234+IF(BJ233&gt;0,0,IF(SUMPRODUCT(MOD(INT(BJ232/{2,4,8,16,32,64,128,256,512,1024,2048,4096,8192,16384,32768}),2)*(1-MOD(INT(($CH$233+BI234)/{2,4,8,16,32,64,128,256,512,1024,2048,4096,8192,16384,32768}),2))*{2,4,8,16,32,64,128,256,512,1024,2048,4096,8192,16384,32768})=0,0,2^SUMPRODUCT(--(MOD(SUMPRODUCT(MOD(INT(BJ232/{2,4,8,16,32,64,128,256,512,1024,2048,4096,8192,16384,32768}),2)*(1-MOD(INT(($CH$233+BI234)/{2,4,8,16,32,64,128,256,512,1024,2048,4096,8192,16384,32768}),2))*{2,4,8,16,32,64,128,256,512,1024,2048,4096,8192,16384,32768}),{2,4,8,16,32,64,128,256,512,1024,2048,4096,8192,16384,32768})=0))))</f>
        <v/>
      </c>
      <c r="BK234">
        <f>BJ234+IF(BK233&gt;0,0,IF(SUMPRODUCT(MOD(INT(BK232/{2,4,8,16,32,64,128,256,512,1024,2048,4096,8192,16384,32768}),2)*(1-MOD(INT(($CH$233+BJ234)/{2,4,8,16,32,64,128,256,512,1024,2048,4096,8192,16384,32768}),2))*{2,4,8,16,32,64,128,256,512,1024,2048,4096,8192,16384,32768})=0,0,2^SUMPRODUCT(--(MOD(SUMPRODUCT(MOD(INT(BK232/{2,4,8,16,32,64,128,256,512,1024,2048,4096,8192,16384,32768}),2)*(1-MOD(INT(($CH$233+BJ234)/{2,4,8,16,32,64,128,256,512,1024,2048,4096,8192,16384,32768}),2))*{2,4,8,16,32,64,128,256,512,1024,2048,4096,8192,16384,32768}),{2,4,8,16,32,64,128,256,512,1024,2048,4096,8192,16384,32768})=0))))</f>
        <v/>
      </c>
      <c r="BL234">
        <f>BK234+IF(BL233&gt;0,0,IF(SUMPRODUCT(MOD(INT(BL232/{2,4,8,16,32,64,128,256,512,1024,2048,4096,8192,16384,32768}),2)*(1-MOD(INT(($CH$233+BK234)/{2,4,8,16,32,64,128,256,512,1024,2048,4096,8192,16384,32768}),2))*{2,4,8,16,32,64,128,256,512,1024,2048,4096,8192,16384,32768})=0,0,2^SUMPRODUCT(--(MOD(SUMPRODUCT(MOD(INT(BL232/{2,4,8,16,32,64,128,256,512,1024,2048,4096,8192,16384,32768}),2)*(1-MOD(INT(($CH$233+BK234)/{2,4,8,16,32,64,128,256,512,1024,2048,4096,8192,16384,32768}),2))*{2,4,8,16,32,64,128,256,512,1024,2048,4096,8192,16384,32768}),{2,4,8,16,32,64,128,256,512,1024,2048,4096,8192,16384,32768})=0))))</f>
        <v/>
      </c>
      <c r="BM234">
        <f>BL234+IF(BM233&gt;0,0,IF(SUMPRODUCT(MOD(INT(BM232/{2,4,8,16,32,64,128,256,512,1024,2048,4096,8192,16384,32768}),2)*(1-MOD(INT(($CH$233+BL234)/{2,4,8,16,32,64,128,256,512,1024,2048,4096,8192,16384,32768}),2))*{2,4,8,16,32,64,128,256,512,1024,2048,4096,8192,16384,32768})=0,0,2^SUMPRODUCT(--(MOD(SUMPRODUCT(MOD(INT(BM232/{2,4,8,16,32,64,128,256,512,1024,2048,4096,8192,16384,32768}),2)*(1-MOD(INT(($CH$233+BL234)/{2,4,8,16,32,64,128,256,512,1024,2048,4096,8192,16384,32768}),2))*{2,4,8,16,32,64,128,256,512,1024,2048,4096,8192,16384,32768}),{2,4,8,16,32,64,128,256,512,1024,2048,4096,8192,16384,32768})=0))))</f>
        <v/>
      </c>
      <c r="BN234">
        <f>BM234+IF(BN233&gt;0,0,IF(SUMPRODUCT(MOD(INT(BN232/{2,4,8,16,32,64,128,256,512,1024,2048,4096,8192,16384,32768}),2)*(1-MOD(INT(($CH$233+BM234)/{2,4,8,16,32,64,128,256,512,1024,2048,4096,8192,16384,32768}),2))*{2,4,8,16,32,64,128,256,512,1024,2048,4096,8192,16384,32768})=0,0,2^SUMPRODUCT(--(MOD(SUMPRODUCT(MOD(INT(BN232/{2,4,8,16,32,64,128,256,512,1024,2048,4096,8192,16384,32768}),2)*(1-MOD(INT(($CH$233+BM234)/{2,4,8,16,32,64,128,256,512,1024,2048,4096,8192,16384,32768}),2))*{2,4,8,16,32,64,128,256,512,1024,2048,4096,8192,16384,32768}),{2,4,8,16,32,64,128,256,512,1024,2048,4096,8192,16384,32768})=0))))</f>
        <v/>
      </c>
      <c r="BO234">
        <f>BN234+IF(BO233&gt;0,0,IF(SUMPRODUCT(MOD(INT(BO232/{2,4,8,16,32,64,128,256,512,1024,2048,4096,8192,16384,32768}),2)*(1-MOD(INT(($CH$233+BN234)/{2,4,8,16,32,64,128,256,512,1024,2048,4096,8192,16384,32768}),2))*{2,4,8,16,32,64,128,256,512,1024,2048,4096,8192,16384,32768})=0,0,2^SUMPRODUCT(--(MOD(SUMPRODUCT(MOD(INT(BO232/{2,4,8,16,32,64,128,256,512,1024,2048,4096,8192,16384,32768}),2)*(1-MOD(INT(($CH$233+BN234)/{2,4,8,16,32,64,128,256,512,1024,2048,4096,8192,16384,32768}),2))*{2,4,8,16,32,64,128,256,512,1024,2048,4096,8192,16384,32768}),{2,4,8,16,32,64,128,256,512,1024,2048,4096,8192,16384,32768})=0))))</f>
        <v/>
      </c>
      <c r="BP234">
        <f>BO234+IF(BP233&gt;0,0,IF(SUMPRODUCT(MOD(INT(BP232/{2,4,8,16,32,64,128,256,512,1024,2048,4096,8192,16384,32768}),2)*(1-MOD(INT(($CH$233+BO234)/{2,4,8,16,32,64,128,256,512,1024,2048,4096,8192,16384,32768}),2))*{2,4,8,16,32,64,128,256,512,1024,2048,4096,8192,16384,32768})=0,0,2^SUMPRODUCT(--(MOD(SUMPRODUCT(MOD(INT(BP232/{2,4,8,16,32,64,128,256,512,1024,2048,4096,8192,16384,32768}),2)*(1-MOD(INT(($CH$233+BO234)/{2,4,8,16,32,64,128,256,512,1024,2048,4096,8192,16384,32768}),2))*{2,4,8,16,32,64,128,256,512,1024,2048,4096,8192,16384,32768}),{2,4,8,16,32,64,128,256,512,1024,2048,4096,8192,16384,32768})=0))))</f>
        <v/>
      </c>
      <c r="BQ234">
        <f>BP234+IF(BQ233&gt;0,0,IF(SUMPRODUCT(MOD(INT(BQ232/{2,4,8,16,32,64,128,256,512,1024,2048,4096,8192,16384,32768}),2)*(1-MOD(INT(($CH$233+BP234)/{2,4,8,16,32,64,128,256,512,1024,2048,4096,8192,16384,32768}),2))*{2,4,8,16,32,64,128,256,512,1024,2048,4096,8192,16384,32768})=0,0,2^SUMPRODUCT(--(MOD(SUMPRODUCT(MOD(INT(BQ232/{2,4,8,16,32,64,128,256,512,1024,2048,4096,8192,16384,32768}),2)*(1-MOD(INT(($CH$233+BP234)/{2,4,8,16,32,64,128,256,512,1024,2048,4096,8192,16384,32768}),2))*{2,4,8,16,32,64,128,256,512,1024,2048,4096,8192,16384,32768}),{2,4,8,16,32,64,128,256,512,1024,2048,4096,8192,16384,32768})=0))))</f>
        <v/>
      </c>
      <c r="BR234">
        <f>BQ234+IF(BR233&gt;0,0,IF(SUMPRODUCT(MOD(INT(BR232/{2,4,8,16,32,64,128,256,512,1024,2048,4096,8192,16384,32768}),2)*(1-MOD(INT(($CH$233+BQ234)/{2,4,8,16,32,64,128,256,512,1024,2048,4096,8192,16384,32768}),2))*{2,4,8,16,32,64,128,256,512,1024,2048,4096,8192,16384,32768})=0,0,2^SUMPRODUCT(--(MOD(SUMPRODUCT(MOD(INT(BR232/{2,4,8,16,32,64,128,256,512,1024,2048,4096,8192,16384,32768}),2)*(1-MOD(INT(($CH$233+BQ234)/{2,4,8,16,32,64,128,256,512,1024,2048,4096,8192,16384,32768}),2))*{2,4,8,16,32,64,128,256,512,1024,2048,4096,8192,16384,32768}),{2,4,8,16,32,64,128,256,512,1024,2048,4096,8192,16384,32768})=0))))</f>
        <v/>
      </c>
      <c r="BS234">
        <f>BR234+IF(BS233&gt;0,0,IF(SUMPRODUCT(MOD(INT(BS232/{2,4,8,16,32,64,128,256,512,1024,2048,4096,8192,16384,32768}),2)*(1-MOD(INT(($CH$233+BR234)/{2,4,8,16,32,64,128,256,512,1024,2048,4096,8192,16384,32768}),2))*{2,4,8,16,32,64,128,256,512,1024,2048,4096,8192,16384,32768})=0,0,2^SUMPRODUCT(--(MOD(SUMPRODUCT(MOD(INT(BS232/{2,4,8,16,32,64,128,256,512,1024,2048,4096,8192,16384,32768}),2)*(1-MOD(INT(($CH$233+BR234)/{2,4,8,16,32,64,128,256,512,1024,2048,4096,8192,16384,32768}),2))*{2,4,8,16,32,64,128,256,512,1024,2048,4096,8192,16384,32768}),{2,4,8,16,32,64,128,256,512,1024,2048,4096,8192,16384,32768})=0))))</f>
        <v/>
      </c>
      <c r="BT234">
        <f>BS234+IF(BT233&gt;0,0,IF(SUMPRODUCT(MOD(INT(BT232/{2,4,8,16,32,64,128,256,512,1024,2048,4096,8192,16384,32768}),2)*(1-MOD(INT(($CH$233+BS234)/{2,4,8,16,32,64,128,256,512,1024,2048,4096,8192,16384,32768}),2))*{2,4,8,16,32,64,128,256,512,1024,2048,4096,8192,16384,32768})=0,0,2^SUMPRODUCT(--(MOD(SUMPRODUCT(MOD(INT(BT232/{2,4,8,16,32,64,128,256,512,1024,2048,4096,8192,16384,32768}),2)*(1-MOD(INT(($CH$233+BS234)/{2,4,8,16,32,64,128,256,512,1024,2048,4096,8192,16384,32768}),2))*{2,4,8,16,32,64,128,256,512,1024,2048,4096,8192,16384,32768}),{2,4,8,16,32,64,128,256,512,1024,2048,4096,8192,16384,32768})=0))))</f>
        <v/>
      </c>
      <c r="BU234">
        <f>BT234+IF(BU233&gt;0,0,IF(SUMPRODUCT(MOD(INT(BU232/{2,4,8,16,32,64,128,256,512,1024,2048,4096,8192,16384,32768}),2)*(1-MOD(INT(($CH$233+BT234)/{2,4,8,16,32,64,128,256,512,1024,2048,4096,8192,16384,32768}),2))*{2,4,8,16,32,64,128,256,512,1024,2048,4096,8192,16384,32768})=0,0,2^SUMPRODUCT(--(MOD(SUMPRODUCT(MOD(INT(BU232/{2,4,8,16,32,64,128,256,512,1024,2048,4096,8192,16384,32768}),2)*(1-MOD(INT(($CH$233+BT234)/{2,4,8,16,32,64,128,256,512,1024,2048,4096,8192,16384,32768}),2))*{2,4,8,16,32,64,128,256,512,1024,2048,4096,8192,16384,32768}),{2,4,8,16,32,64,128,256,512,1024,2048,4096,8192,16384,32768})=0))))</f>
        <v/>
      </c>
      <c r="BV234">
        <f>BU234+IF(BV233&gt;0,0,IF(SUMPRODUCT(MOD(INT(BV232/{2,4,8,16,32,64,128,256,512,1024,2048,4096,8192,16384,32768}),2)*(1-MOD(INT(($CH$233+BU234)/{2,4,8,16,32,64,128,256,512,1024,2048,4096,8192,16384,32768}),2))*{2,4,8,16,32,64,128,256,512,1024,2048,4096,8192,16384,32768})=0,0,2^SUMPRODUCT(--(MOD(SUMPRODUCT(MOD(INT(BV232/{2,4,8,16,32,64,128,256,512,1024,2048,4096,8192,16384,32768}),2)*(1-MOD(INT(($CH$233+BU234)/{2,4,8,16,32,64,128,256,512,1024,2048,4096,8192,16384,32768}),2))*{2,4,8,16,32,64,128,256,512,1024,2048,4096,8192,16384,32768}),{2,4,8,16,32,64,128,256,512,1024,2048,4096,8192,16384,32768})=0))))</f>
        <v/>
      </c>
      <c r="BW234">
        <f>BV234+IF(BW233&gt;0,0,IF(SUMPRODUCT(MOD(INT(BW232/{2,4,8,16,32,64,128,256,512,1024,2048,4096,8192,16384,32768}),2)*(1-MOD(INT(($CH$233+BV234)/{2,4,8,16,32,64,128,256,512,1024,2048,4096,8192,16384,32768}),2))*{2,4,8,16,32,64,128,256,512,1024,2048,4096,8192,16384,32768})=0,0,2^SUMPRODUCT(--(MOD(SUMPRODUCT(MOD(INT(BW232/{2,4,8,16,32,64,128,256,512,1024,2048,4096,8192,16384,32768}),2)*(1-MOD(INT(($CH$233+BV234)/{2,4,8,16,32,64,128,256,512,1024,2048,4096,8192,16384,32768}),2))*{2,4,8,16,32,64,128,256,512,1024,2048,4096,8192,16384,32768}),{2,4,8,16,32,64,128,256,512,1024,2048,4096,8192,16384,32768})=0))))</f>
        <v/>
      </c>
      <c r="BX234">
        <f>BW234+IF(BX233&gt;0,0,IF(SUMPRODUCT(MOD(INT(BX232/{2,4,8,16,32,64,128,256,512,1024,2048,4096,8192,16384,32768}),2)*(1-MOD(INT(($CH$233+BW234)/{2,4,8,16,32,64,128,256,512,1024,2048,4096,8192,16384,32768}),2))*{2,4,8,16,32,64,128,256,512,1024,2048,4096,8192,16384,32768})=0,0,2^SUMPRODUCT(--(MOD(SUMPRODUCT(MOD(INT(BX232/{2,4,8,16,32,64,128,256,512,1024,2048,4096,8192,16384,32768}),2)*(1-MOD(INT(($CH$233+BW234)/{2,4,8,16,32,64,128,256,512,1024,2048,4096,8192,16384,32768}),2))*{2,4,8,16,32,64,128,256,512,1024,2048,4096,8192,16384,32768}),{2,4,8,16,32,64,128,256,512,1024,2048,4096,8192,16384,32768})=0))))</f>
        <v/>
      </c>
      <c r="BY234">
        <f>BX234+IF(BY233&gt;0,0,IF(SUMPRODUCT(MOD(INT(BY232/{2,4,8,16,32,64,128,256,512,1024,2048,4096,8192,16384,32768}),2)*(1-MOD(INT(($CH$233+BX234)/{2,4,8,16,32,64,128,256,512,1024,2048,4096,8192,16384,32768}),2))*{2,4,8,16,32,64,128,256,512,1024,2048,4096,8192,16384,32768})=0,0,2^SUMPRODUCT(--(MOD(SUMPRODUCT(MOD(INT(BY232/{2,4,8,16,32,64,128,256,512,1024,2048,4096,8192,16384,32768}),2)*(1-MOD(INT(($CH$233+BX234)/{2,4,8,16,32,64,128,256,512,1024,2048,4096,8192,16384,32768}),2))*{2,4,8,16,32,64,128,256,512,1024,2048,4096,8192,16384,32768}),{2,4,8,16,32,64,128,256,512,1024,2048,4096,8192,16384,32768})=0))))</f>
        <v/>
      </c>
      <c r="BZ234">
        <f>BY234+IF(BZ233&gt;0,0,IF(SUMPRODUCT(MOD(INT(BZ232/{2,4,8,16,32,64,128,256,512,1024,2048,4096,8192,16384,32768}),2)*(1-MOD(INT(($CH$233+BY234)/{2,4,8,16,32,64,128,256,512,1024,2048,4096,8192,16384,32768}),2))*{2,4,8,16,32,64,128,256,512,1024,2048,4096,8192,16384,32768})=0,0,2^SUMPRODUCT(--(MOD(SUMPRODUCT(MOD(INT(BZ232/{2,4,8,16,32,64,128,256,512,1024,2048,4096,8192,16384,32768}),2)*(1-MOD(INT(($CH$233+BY234)/{2,4,8,16,32,64,128,256,512,1024,2048,4096,8192,16384,32768}),2))*{2,4,8,16,32,64,128,256,512,1024,2048,4096,8192,16384,32768}),{2,4,8,16,32,64,128,256,512,1024,2048,4096,8192,16384,32768})=0))))</f>
        <v/>
      </c>
      <c r="CA234">
        <f>BZ234+IF(CA233&gt;0,0,IF(SUMPRODUCT(MOD(INT(CA232/{2,4,8,16,32,64,128,256,512,1024,2048,4096,8192,16384,32768}),2)*(1-MOD(INT(($CH$233+BZ234)/{2,4,8,16,32,64,128,256,512,1024,2048,4096,8192,16384,32768}),2))*{2,4,8,16,32,64,128,256,512,1024,2048,4096,8192,16384,32768})=0,0,2^SUMPRODUCT(--(MOD(SUMPRODUCT(MOD(INT(CA232/{2,4,8,16,32,64,128,256,512,1024,2048,4096,8192,16384,32768}),2)*(1-MOD(INT(($CH$233+BZ234)/{2,4,8,16,32,64,128,256,512,1024,2048,4096,8192,16384,32768}),2))*{2,4,8,16,32,64,128,256,512,1024,2048,4096,8192,16384,32768}),{2,4,8,16,32,64,128,256,512,1024,2048,4096,8192,16384,32768})=0))))</f>
        <v/>
      </c>
      <c r="CB234">
        <f>CA234+IF(CB233&gt;0,0,IF(SUMPRODUCT(MOD(INT(CB232/{2,4,8,16,32,64,128,256,512,1024,2048,4096,8192,16384,32768}),2)*(1-MOD(INT(($CH$233+CA234)/{2,4,8,16,32,64,128,256,512,1024,2048,4096,8192,16384,32768}),2))*{2,4,8,16,32,64,128,256,512,1024,2048,4096,8192,16384,32768})=0,0,2^SUMPRODUCT(--(MOD(SUMPRODUCT(MOD(INT(CB232/{2,4,8,16,32,64,128,256,512,1024,2048,4096,8192,16384,32768}),2)*(1-MOD(INT(($CH$233+CA234)/{2,4,8,16,32,64,128,256,512,1024,2048,4096,8192,16384,32768}),2))*{2,4,8,16,32,64,128,256,512,1024,2048,4096,8192,16384,32768}),{2,4,8,16,32,64,128,256,512,1024,2048,4096,8192,16384,32768})=0))))</f>
        <v/>
      </c>
      <c r="CC234">
        <f>CB234+IF(CC233&gt;0,0,IF(SUMPRODUCT(MOD(INT(CC232/{2,4,8,16,32,64,128,256,512,1024,2048,4096,8192,16384,32768}),2)*(1-MOD(INT(($CH$233+CB234)/{2,4,8,16,32,64,128,256,512,1024,2048,4096,8192,16384,32768}),2))*{2,4,8,16,32,64,128,256,512,1024,2048,4096,8192,16384,32768})=0,0,2^SUMPRODUCT(--(MOD(SUMPRODUCT(MOD(INT(CC232/{2,4,8,16,32,64,128,256,512,1024,2048,4096,8192,16384,32768}),2)*(1-MOD(INT(($CH$233+CB234)/{2,4,8,16,32,64,128,256,512,1024,2048,4096,8192,16384,32768}),2))*{2,4,8,16,32,64,128,256,512,1024,2048,4096,8192,16384,32768}),{2,4,8,16,32,64,128,256,512,1024,2048,4096,8192,16384,32768})=0))))</f>
        <v/>
      </c>
      <c r="CD234">
        <f>CC234+IF(CD233&gt;0,0,IF(SUMPRODUCT(MOD(INT(CD232/{2,4,8,16,32,64,128,256,512,1024,2048,4096,8192,16384,32768}),2)*(1-MOD(INT(($CH$233+CC234)/{2,4,8,16,32,64,128,256,512,1024,2048,4096,8192,16384,32768}),2))*{2,4,8,16,32,64,128,256,512,1024,2048,4096,8192,16384,32768})=0,0,2^SUMPRODUCT(--(MOD(SUMPRODUCT(MOD(INT(CD232/{2,4,8,16,32,64,128,256,512,1024,2048,4096,8192,16384,32768}),2)*(1-MOD(INT(($CH$233+CC234)/{2,4,8,16,32,64,128,256,512,1024,2048,4096,8192,16384,32768}),2))*{2,4,8,16,32,64,128,256,512,1024,2048,4096,8192,16384,32768}),{2,4,8,16,32,64,128,256,512,1024,2048,4096,8192,16384,32768})=0))))</f>
        <v/>
      </c>
      <c r="CE234">
        <f>CD234+IF(CE233&gt;0,0,IF(SUMPRODUCT(MOD(INT(CE232/{2,4,8,16,32,64,128,256,512,1024,2048,4096,8192,16384,32768}),2)*(1-MOD(INT(($CH$233+CD234)/{2,4,8,16,32,64,128,256,512,1024,2048,4096,8192,16384,32768}),2))*{2,4,8,16,32,64,128,256,512,1024,2048,4096,8192,16384,32768})=0,0,2^SUMPRODUCT(--(MOD(SUMPRODUCT(MOD(INT(CE232/{2,4,8,16,32,64,128,256,512,1024,2048,4096,8192,16384,32768}),2)*(1-MOD(INT(($CH$233+CD234)/{2,4,8,16,32,64,128,256,512,1024,2048,4096,8192,16384,32768}),2))*{2,4,8,16,32,64,128,256,512,1024,2048,4096,8192,16384,32768}),{2,4,8,16,32,64,128,256,512,1024,2048,4096,8192,16384,32768})=0))))</f>
        <v/>
      </c>
      <c r="CF234">
        <f>CE234+IF(CF233&gt;0,0,IF(SUMPRODUCT(MOD(INT(CF232/{2,4,8,16,32,64,128,256,512,1024,2048,4096,8192,16384,32768}),2)*(1-MOD(INT(($CH$233+CE234)/{2,4,8,16,32,64,128,256,512,1024,2048,4096,8192,16384,32768}),2))*{2,4,8,16,32,64,128,256,512,1024,2048,4096,8192,16384,32768})=0,0,2^SUMPRODUCT(--(MOD(SUMPRODUCT(MOD(INT(CF232/{2,4,8,16,32,64,128,256,512,1024,2048,4096,8192,16384,32768}),2)*(1-MOD(INT(($CH$233+CE234)/{2,4,8,16,32,64,128,256,512,1024,2048,4096,8192,16384,32768}),2))*{2,4,8,16,32,64,128,256,512,1024,2048,4096,8192,16384,32768}),{2,4,8,16,32,64,128,256,512,1024,2048,4096,8192,16384,32768})=0))))</f>
        <v/>
      </c>
      <c r="DA234" t="n">
        <v>230</v>
      </c>
      <c r="DB234">
        <f>IF($B$37=0,"",IFERROR(TRIM(SUBSTITUTE(SUBSTITUTE(SUBSTITUTE(SUBSTITUTE(INDEX(PASTE_ALL,230,$B$37)," "," "),CHAR(9)," "),CHAR(10)," "),CHAR(13)," ")),""))</f>
        <v/>
      </c>
      <c r="DC234">
        <f>IF(AND(230&gt;HEADER_ROW,UPPER(DB234)="LEGEND"),1,0)</f>
        <v/>
      </c>
      <c r="DE234" t="n">
        <v>230</v>
      </c>
      <c r="DF234">
        <f>HEADER_ROW+$DE234</f>
        <v/>
      </c>
      <c r="DG234">
        <f>IF(AND($DF234&lt;=1000,$DF234&lt;$B$8),1,0)</f>
        <v/>
      </c>
      <c r="DH234">
        <f>IF($DG234=1,IFERROR(INDEX($DB$5:$DB$1004,$DF234),""),"")</f>
        <v/>
      </c>
      <c r="DI234">
        <f>IF(AND($DG234=1,$DH234&lt;&gt;""),IFERROR(SUBSTITUTE(SUBSTITUTE(TRIM(SUBSTITUTE(SUBSTITUTE(SUBSTITUTE(SUBSTITUTE(IFERROR(INDEX(PASTE_ALL,$DF234,1)&amp;"","")&amp;"␟"&amp;IFERROR(INDEX(PASTE_ALL,$DF234,2)&amp;"","")&amp;"␟"&amp;IFERROR(INDEX(PASTE_ALL,$DF234,3)&amp;"","")&amp;"␟"&amp;IFERROR(INDEX(PASTE_ALL,$DF234,4)&amp;"","")&amp;"␟"&amp;IFERROR(INDEX(PASTE_ALL,$DF234,5)&amp;"","")&amp;"␟"&amp;IFERROR(INDEX(PASTE_ALL,$DF234,6)&amp;"","")&amp;"␟"&amp;IFERROR(INDEX(PASTE_ALL,$DF234,7)&amp;"","")&amp;"␟"&amp;IFERROR(INDEX(PASTE_ALL,$DF234,8)&amp;"","")&amp;"␟"&amp;IFERROR(INDEX(PASTE_ALL,$DF234,9)&amp;"","")&amp;"␟"&amp;IFERROR(INDEX(PASTE_ALL,$DF234,10)&amp;"","")&amp;"␟"&amp;IFERROR(INDEX(PASTE_ALL,$DF234,11)&amp;"","")&amp;"␟"&amp;IFERROR(INDEX(PASTE_ALL,$DF234,12)&amp;"","")&amp;"␟"&amp;IFERROR(INDEX(PASTE_ALL,$DF234,13)&amp;"","")&amp;"␟"&amp;IFERROR(INDEX(PASTE_ALL,$DF234,14)&amp;"","")&amp;"␟"&amp;IFERROR(INDEX(PASTE_ALL,$DF234,15)&amp;"","")&amp;"␟"&amp;IFERROR(INDEX(PASTE_ALL,$DF234,16)&amp;"","")&amp;"␟"&amp;IFERROR(INDEX(PASTE_ALL,$DF234,17)&amp;"","")&amp;"␟"&amp;IFERROR(INDEX(PASTE_ALL,$DF234,18)&amp;"","")&amp;"␟"&amp;IFERROR(INDEX(PASTE_ALL,$DF234,19)&amp;"","")&amp;"␟"&amp;IFERROR(INDEX(PASTE_ALL,$DF234,20)&amp;"","")&amp;"␟"&amp;IFERROR(INDEX(PASTE_ALL,$DF234,21)&amp;"","")&amp;"␟"&amp;IFERROR(INDEX(PASTE_ALL,$DF234,22)&amp;"","")&amp;"␟"&amp;IFERROR(INDEX(PASTE_ALL,$DF234,23)&amp;"","")&amp;"␟"&amp;IFERROR(INDEX(PASTE_ALL,$DF234,24)&amp;"","")&amp;"␟"&amp;IFERROR(INDEX(PASTE_ALL,$DF234,25)&amp;"","")&amp;"␟"&amp;IFERROR(INDEX(PASTE_ALL,$DF234,26)&amp;"","")&amp;"␟"&amp;IFERROR(INDEX(PASTE_ALL,$DF234,27)&amp;"","")&amp;"␟"&amp;IFERROR(INDEX(PASTE_ALL,$DF234,28)&amp;"","")&amp;"␟"&amp;IFERROR(INDEX(PASTE_ALL,$DF234,29)&amp;"","")&amp;"␟"&amp;IFERROR(INDEX(PASTE_ALL,$DF234,30)&amp;"","")&amp;"␟"&amp;IFERROR(INDEX(PASTE_ALL,$DF234,31)&amp;"","")&amp;"␟"&amp;IFERROR(INDEX(PASTE_ALL,$DF234,32)&amp;"","")&amp;"␟"&amp;IFERROR(INDEX(PASTE_ALL,$DF234,33)&amp;"","")&amp;"␟"&amp;IFERROR(INDEX(PASTE_ALL,$DF234,34)&amp;"","")&amp;"␟"&amp;IFERROR(INDEX(PASTE_ALL,$DF234,35)&amp;"","")&amp;"␟"&amp;IFERROR(INDEX(PASTE_ALL,$DF234,36)&amp;"","")&amp;"␟"&amp;IFERROR(INDEX(PASTE_ALL,$DF234,37)&amp;"","")&amp;"␟"&amp;IFERROR(INDEX(PASTE_ALL,$DF234,38)&amp;"","")&amp;"␟"&amp;IFERROR(INDEX(PASTE_ALL,$DF234,39)&amp;"","")&amp;"␟"&amp;IFERROR(INDEX(PASTE_ALL,$DF234,40)&amp;"","")&amp;"␟"&amp;IFERROR(INDEX(PASTE_ALL,$DF234,41)&amp;"","")&amp;"␟"&amp;IFERROR(INDEX(PASTE_ALL,$DF234,42)&amp;"","")&amp;"␟"&amp;IFERROR(INDEX(PASTE_ALL,$DF234,43)&amp;"","")&amp;"␟"&amp;IFERROR(INDEX(PASTE_ALL,$DF234,44)&amp;"","")&amp;"␟"&amp;IFERROR(INDEX(PASTE_ALL,$DF234,45)&amp;"","")&amp;"␟"&amp;IFERROR(INDEX(PASTE_ALL,$DF234,46)&amp;"","")&amp;"␟"&amp;IFERROR(INDEX(PASTE_ALL,$DF234,47)&amp;"","")&amp;"␟"&amp;IFERROR(INDEX(PASTE_ALL,$DF234,48)&amp;"","")&amp;"␟"&amp;IFERROR(INDEX(PASTE_ALL,$DF234,49)&amp;"","")&amp;"␟"&amp;IFERROR(INDEX(PASTE_ALL,$DF234,50)&amp;"","")&amp;"␟"&amp;IFERROR(INDEX(PASTE_ALL,$DF234,51)&amp;"","")&amp;"␟"&amp;IFERROR(INDEX(PASTE_ALL,$DF234,52)&amp;"","")&amp;"␟"&amp;IFERROR(INDEX(PASTE_ALL,$DF234,53)&amp;"","")&amp;"␟"&amp;IFERROR(INDEX(PASTE_ALL,$DF234,54)&amp;"","")&amp;"␟"&amp;IFERROR(INDEX(PASTE_ALL,$DF234,55)&amp;"","")&amp;"␟"&amp;IFERROR(INDEX(PASTE_ALL,$DF234,56)&amp;"","")&amp;"␟"&amp;IFERROR(INDEX(PASTE_ALL,$DF234,57)&amp;"","")&amp;"␟"&amp;IFERROR(INDEX(PASTE_ALL,$DF234,58)&amp;"","")&amp;"␟"&amp;IFERROR(INDEX(PASTE_ALL,$DF234,59)&amp;"","")&amp;"␟"&amp;IFERROR(INDEX(PASTE_ALL,$DF234,60)&amp;"","")," "," "),CHAR(9)," "),CHAR(10)," "),CHAR(13)," "))," ␟","␟"),"␟ ","␟"),"#"&amp;$DE234),"")</f>
        <v/>
      </c>
      <c r="DJ234">
        <f>IF($DI234="",0,IF(SUMPRODUCT(--EXACT($DI$4:DI233,$DI234))&gt;0,1,0))</f>
        <v/>
      </c>
      <c r="DK234">
        <f>IF(AND($DI234&lt;&gt;"",$DJ234=0),1,0)</f>
        <v/>
      </c>
      <c r="DL234">
        <f>DL233+$DK234</f>
        <v/>
      </c>
      <c r="DM234">
        <f>IF(AND($DK234=1,$DL234&lt;=600),1,0)</f>
        <v/>
      </c>
      <c r="DN234">
        <f>IF($DM234=0,"",IF($L$6=0,"",IFERROR(IF(ISNUMBER(INDEX(PASTE_ALL,$DF234,$L$6)),INDEX(PASTE_ALL,$DF234,$L$6),TRIM(SUBSTITUTE(SUBSTITUTE(SUBSTITUTE(SUBSTITUTE(INDEX(PASTE_ALL,$DF234,$L$6)," "," "),CHAR(9)," "),CHAR(10)," "),CHAR(13)," "))),"")))</f>
        <v/>
      </c>
      <c r="DO234">
        <f>IF($DM234=0,"",IF($L$7=0,"",IFERROR(IF(ISNUMBER(INDEX(PASTE_ALL,$DF234,$L$7)),INDEX(PASTE_ALL,$DF234,$L$7),TRIM(SUBSTITUTE(SUBSTITUTE(SUBSTITUTE(SUBSTITUTE(INDEX(PASTE_ALL,$DF234,$L$7)," "," "),CHAR(9)," "),CHAR(10)," "),CHAR(13)," "))),"")))</f>
        <v/>
      </c>
      <c r="DP234">
        <f>IF($DM234=0,"",IF($L$8=0,"",IFERROR(IF(ISNUMBER(INDEX(PASTE_ALL,$DF234,$L$8)),INDEX(PASTE_ALL,$DF234,$L$8),TRIM(SUBSTITUTE(SUBSTITUTE(SUBSTITUTE(SUBSTITUTE(INDEX(PASTE_ALL,$DF234,$L$8)," "," "),CHAR(9)," "),CHAR(10)," "),CHAR(13)," "))),"")))</f>
        <v/>
      </c>
      <c r="DQ234">
        <f>IF($DM234=0,"",IF($L$9=0,"",IFERROR(IF(ISNUMBER(INDEX(PASTE_ALL,$DF234,$L$9)),INDEX(PASTE_ALL,$DF234,$L$9),TRIM(SUBSTITUTE(SUBSTITUTE(SUBSTITUTE(SUBSTITUTE(INDEX(PASTE_ALL,$DF234,$L$9)," "," "),CHAR(9)," "),CHAR(10)," "),CHAR(13)," "))),"")))</f>
        <v/>
      </c>
      <c r="DR234">
        <f>IF($DM234=0,"",IF($L$10=0,"",IFERROR(IF(ISNUMBER(INDEX(PASTE_ALL,$DF234,$L$10)),INDEX(PASTE_ALL,$DF234,$L$10),TRIM(SUBSTITUTE(SUBSTITUTE(SUBSTITUTE(SUBSTITUTE(INDEX(PASTE_ALL,$DF234,$L$10)," "," "),CHAR(9)," "),CHAR(10)," "),CHAR(13)," "))),"")))</f>
        <v/>
      </c>
      <c r="DS234">
        <f>IF($DM234=0,"",IF($L$11=0,"",IFERROR(IF(ISNUMBER(INDEX(PASTE_ALL,$DF234,$L$11)),INDEX(PASTE_ALL,$DF234,$L$11),TRIM(SUBSTITUTE(SUBSTITUTE(SUBSTITUTE(SUBSTITUTE(INDEX(PASTE_ALL,$DF234,$L$11)," "," "),CHAR(9)," "),CHAR(10)," "),CHAR(13)," "))),"")))</f>
        <v/>
      </c>
      <c r="DT234">
        <f>IF($DM234=0,"",IF($L$12=0,"",IFERROR(IF(ISNUMBER(INDEX(PASTE_ALL,$DF234,$L$12)),INDEX(PASTE_ALL,$DF234,$L$12),TRIM(SUBSTITUTE(SUBSTITUTE(SUBSTITUTE(SUBSTITUTE(INDEX(PASTE_ALL,$DF234,$L$12)," "," "),CHAR(9)," "),CHAR(10)," "),CHAR(13)," "))),"")))</f>
        <v/>
      </c>
      <c r="DU234">
        <f>IF($DM234=0,"",IF($L$13=0,"",IFERROR(IF(ISNUMBER(INDEX(PASTE_ALL,$DF234,$L$13)),INDEX(PASTE_ALL,$DF234,$L$13),TRIM(SUBSTITUTE(SUBSTITUTE(SUBSTITUTE(SUBSTITUTE(INDEX(PASTE_ALL,$DF234,$L$13)," "," "),CHAR(9)," "),CHAR(10)," "),CHAR(13)," "))),"")))</f>
        <v/>
      </c>
      <c r="DV234">
        <f>IF($DM234=0,"",IF($L$14=0,"",IFERROR(IF(ISNUMBER(INDEX(PASTE_ALL,$DF234,$L$14)),INDEX(PASTE_ALL,$DF234,$L$14),TRIM(SUBSTITUTE(SUBSTITUTE(SUBSTITUTE(SUBSTITUTE(INDEX(PASTE_ALL,$DF234,$L$14)," "," "),CHAR(9)," "),CHAR(10)," "),CHAR(13)," "))),"")))</f>
        <v/>
      </c>
      <c r="DW234">
        <f>IF($DM234=0,"",IF($L$15=0,"",IFERROR(IF(ISNUMBER(INDEX(PASTE_ALL,$DF234,$L$15)),INDEX(PASTE_ALL,$DF234,$L$15),IF(SUMPRODUCT(--ISNUMBER(FIND({"A","B","C","D","E","F","G","H","I","J","K","L","M","N","O","P","Q","R","S","T","U","V","W","X","Y","Z","0","1","2","3","4","5","6","7","8","9"},UPPER(TRIM(SUBSTITUTE(SUBSTITUTE(SUBSTITUTE(SUBSTITUTE(INDEX(PASTE_ALL,$DF234,$L$15)," "," "),CHAR(9)," "),CHAR(10)," "),CHAR(13)," "))))))&gt;0,TRIM(SUBSTITUTE(SUBSTITUTE(SUBSTITUTE(SUBSTITUTE(INDEX(PASTE_ALL,$DF234,$L$15)," "," "),CHAR(9)," "),CHAR(10)," "),CHAR(13)," ")),"")),"")))</f>
        <v/>
      </c>
      <c r="DX234">
        <f>IF($DM234=0,"",IF($L$16=0,"",IFERROR(IF(ISNUMBER(INDEX(PASTE_ALL,$DF234,$L$16)),INDEX(PASTE_ALL,$DF234,$L$16),SUBSTITUTE(SUBSTITUTE(TRIM(SUBSTITUTE(SUBSTITUTE(SUBSTITUTE(SUBSTITUTE(INDEX(PASTE_ALL,$DF234,$L$16)," "," "),CHAR(9)," "),CHAR(10)," "),CHAR(13)," ")),",",""),"%","")),"")))</f>
        <v/>
      </c>
      <c r="DY234">
        <f>IF($DM234=0,"",IFERROR(IF(ISNUMBER($DX234),$DX234,IF($DX234="","",IF(TRIM($DX234)="",0,IF(AND(AND(SUBSTITUTE(SUBSTITUTE(SUBSTITUTE(SUBSTITUTE(SUBSTITUTE(SUBSTITUTE(SUBSTITUTE(SUBSTITUTE(SUBSTITUTE(SUBSTITUTE(SUBSTITUTE(SUBSTITUTE(SUBSTITUTE(SUBSTITUTE(UPPER(TRIM($DX234)),"0",""),"1",""),"2",""),"3",""),"4",""),"5",""),"6",""),"7",""),"8",""),"9",""),".",""),"+",""),"-",""),"E","")="",LEN(SUBSTITUTE(SUBSTITUTE(MID(UPPER(TRIM($DX234)),1+OR(LEFT(UPPER(TRIM($DX234)),1)="+",LEFT(UPPER(TRIM($DX234)),1)="-"),999),"E+","E"),"E-","E"))=LEN(SUBSTITUTE(SUBSTITUTE(SUBSTITUTE(SUBSTITUTE(MID(UPPER(TRIM($DX234)),1+OR(LEFT(UPPER(TRIM($DX234)),1)="+",LEFT(UPPER(TRIM($DX234)),1)="-"),999),"E+","E"),"E-","E"),"+",""),"-","")),LEN(UPPER(TRIM($DX234)))-LEN(SUBSTITUTE(UPPER(TRIM($DX234)),"E",""))&lt;2,LEN(UPPER(TRIM($DX234)))-LEN(SUBSTITUTE(UPPER(TRIM($DX234)),".",""))&lt;2,IFERROR(FIND(".",UPPER(TRIM($DX234))),0)&lt;IFERROR(FIND("E",UPPER(TRIM($DX234))),999)),ISNUMBER(VALUE(TRIM($DX234)))),VALUE(TRIM($DX234)),"")))),""))</f>
        <v/>
      </c>
      <c r="DZ234">
        <f>IF($DM234=0,"",IF($L$17=0,"",IFERROR(IF(ISNUMBER(INDEX(PASTE_ALL,$DF234,$L$17)),INDEX(PASTE_ALL,$DF234,$L$17),SUBSTITUTE(SUBSTITUTE(TRIM(SUBSTITUTE(SUBSTITUTE(SUBSTITUTE(SUBSTITUTE(INDEX(PASTE_ALL,$DF234,$L$17)," "," "),CHAR(9)," "),CHAR(10)," "),CHAR(13)," ")),",",""),"%","")),"")))</f>
        <v/>
      </c>
      <c r="EA234">
        <f>IF($DM234=0,"",IFERROR(IF(ISNUMBER($DZ234),$DZ234,IF($DZ234="","",IF(TRIM($DZ234)="",0,IF(AND(AND(SUBSTITUTE(SUBSTITUTE(SUBSTITUTE(SUBSTITUTE(SUBSTITUTE(SUBSTITUTE(SUBSTITUTE(SUBSTITUTE(SUBSTITUTE(SUBSTITUTE(SUBSTITUTE(SUBSTITUTE(SUBSTITUTE(SUBSTITUTE(UPPER(TRIM($DZ234)),"0",""),"1",""),"2",""),"3",""),"4",""),"5",""),"6",""),"7",""),"8",""),"9",""),".",""),"+",""),"-",""),"E","")="",LEN(SUBSTITUTE(SUBSTITUTE(MID(UPPER(TRIM($DZ234)),1+OR(LEFT(UPPER(TRIM($DZ234)),1)="+",LEFT(UPPER(TRIM($DZ234)),1)="-"),999),"E+","E"),"E-","E"))=LEN(SUBSTITUTE(SUBSTITUTE(SUBSTITUTE(SUBSTITUTE(MID(UPPER(TRIM($DZ234)),1+OR(LEFT(UPPER(TRIM($DZ234)),1)="+",LEFT(UPPER(TRIM($DZ234)),1)="-"),999),"E+","E"),"E-","E"),"+",""),"-","")),LEN(UPPER(TRIM($DZ234)))-LEN(SUBSTITUTE(UPPER(TRIM($DZ234)),"E",""))&lt;2,LEN(UPPER(TRIM($DZ234)))-LEN(SUBSTITUTE(UPPER(TRIM($DZ234)),".",""))&lt;2,IFERROR(FIND(".",UPPER(TRIM($DZ234))),0)&lt;IFERROR(FIND("E",UPPER(TRIM($DZ234))),999)),ISNUMBER(VALUE(TRIM($DZ234)))),VALUE(TRIM($DZ234)),"")))),""))</f>
        <v/>
      </c>
      <c r="EB234">
        <f>IF($DM234=0,"",IF($L$18=0,"",IFERROR(IF(UPPER(TRIM(SUBSTITUTE(SUBSTITUTE(SUBSTITUTE(SUBSTITUTE(INDEX(PASTE_ALL,$DF234,$L$18)," "," "),CHAR(9)," "),CHAR(10)," "),CHAR(13)," ")))="READY","Ready",IF(UPPER(TRIM(SUBSTITUTE(SUBSTITUTE(SUBSTITUTE(SUBSTITUTE(INDEX(PASTE_ALL,$DF234,$L$18)," "," "),CHAR(9)," "),CHAR(10)," "),CHAR(13)," ")))="PM","PM",IF(OR(UPPER(TRIM(SUBSTITUTE(SUBSTITUTE(SUBSTITUTE(SUBSTITUTE(INDEX(PASTE_ALL,$DF234,$L$18)," "," "),CHAR(9)," "),CHAR(10)," "),CHAR(13)," ")))="OT",UPPER(TRIM(SUBSTITUTE(SUBSTITUTE(SUBSTITUTE(SUBSTITUTE(INDEX(PASTE_ALL,$DF234,$L$18)," "," "),CHAR(9)," "),CHAR(10)," "),CHAR(13)," ")))="OVERTIME",UPPER(TRIM(SUBSTITUTE(SUBSTITUTE(SUBSTITUTE(SUBSTITUTE(INDEX(PASTE_ALL,$DF234,$L$18)," "," "),CHAR(9)," "),CHAR(10)," "),CHAR(13)," ")))="TRIAL"),"OT",TRIM(SUBSTITUTE(SUBSTITUTE(SUBSTITUTE(SUBSTITUTE(INDEX(PASTE_ALL,$DF234,$L$18)," "," "),CHAR(9)," "),CHAR(10)," "),CHAR(13)," "))))),"")))</f>
        <v/>
      </c>
      <c r="EC234">
        <f>IF($DM234=0,"",IF($L$19=0,"",IFERROR(IF(ISNUMBER(INDEX(PASTE_ALL,$DF234,$L$19)),INDEX(PASTE_ALL,$DF234,$L$19),TRIM(SUBSTITUTE(SUBSTITUTE(SUBSTITUTE(SUBSTITUTE(INDEX(PASTE_ALL,$DF234,$L$19)," "," "),CHAR(9)," "),CHAR(10)," "),CHAR(13)," "))),"")))</f>
        <v/>
      </c>
      <c r="ED234">
        <f>IF($DM234=0,"",MATCH(1,INDEX(EXACT($DH$5:DH234,$DH234)*$DM$5:DM234,0),0))</f>
        <v/>
      </c>
      <c r="EE234">
        <f>IF($DM234=0,0,IF($ED234=$DE234,1,0))</f>
        <v/>
      </c>
      <c r="EF234">
        <f>EF233+$EE234</f>
        <v/>
      </c>
      <c r="EG234">
        <f>IF($DM234=0,"",INDEX($EF$5:$EF$1003,$ED234))</f>
        <v/>
      </c>
      <c r="EH234">
        <f>IF($DM234=0,"",IF($DO234&lt;&gt;"","",IFERROR(LOOKUP(2,1/(($EG$4:EG233=$EG234)*($DO$4:DO233&lt;&gt;"")),$DO$4:DO233),"")))</f>
        <v/>
      </c>
      <c r="EI234">
        <f>IF($DM234=0,"",IF($DO234&lt;&gt;"",$DO234,$EH234))</f>
        <v/>
      </c>
      <c r="EJ234">
        <f>IF($DM234=0,"",IF($EI234="",0,IF(OR(ISNUMBER($EI234),AND(AND(SUBSTITUTE(SUBSTITUTE(SUBSTITUTE(SUBSTITUTE(SUBSTITUTE(SUBSTITUTE(SUBSTITUTE(SUBSTITUTE(SUBSTITUTE(SUBSTITUTE(SUBSTITUTE(SUBSTITUTE(SUBSTITUTE(SUBSTITUTE(UPPER($EI234),"0",""),"1",""),"2",""),"3",""),"4",""),"5",""),"6",""),"7",""),"8",""),"9",""),".",""),"+",""),"-",""),"E","")="",LEN(SUBSTITUTE(SUBSTITUTE(MID(UPPER($EI234),1+OR(LEFT(UPPER($EI234),1)="+",LEFT(UPPER($EI234),1)="-"),999),"E+","E"),"E-","E"))=LEN(SUBSTITUTE(SUBSTITUTE(SUBSTITUTE(SUBSTITUTE(MID(UPPER($EI234),1+OR(LEFT(UPPER($EI234),1)="+",LEFT(UPPER($EI234),1)="-"),999),"E+","E"),"E-","E"),"+",""),"-","")),LEN(UPPER($EI234))-LEN(SUBSTITUTE(UPPER($EI234),"E",""))&lt;2,LEN(UPPER($EI234))-LEN(SUBSTITUTE(UPPER($EI234),".",""))&lt;2,IFERROR(FIND(".",UPPER($EI234)),0)&lt;IFERROR(FIND("E",UPPER($EI234)),999)),ISNUMBER(VALUE($EI234)))),1,2)))</f>
        <v/>
      </c>
      <c r="EK234">
        <f>IF($DM234=0,"",IF($EJ234=1,IF(ISNUMBER($EI234),$EI234,VALUE($EI234)),IF($EJ234=2,$DE234,0)))</f>
        <v/>
      </c>
      <c r="EL234">
        <f>IF($DM234=0,"",COUNTIF($EG$5:$EG$1003,"&lt;"&amp;$EG234)+SUMPRODUCT(($EG$5:$EG$1003=$EG234)*(($EJ$5:$EJ$1003&lt;$EJ234)+($EJ$5:$EJ$1003=$EJ234)*(($EK$5:$EK$1003&lt;$EK234)+($EK$5:$EK$1003=$EK234)*($DE$5:$DE$1003&lt;$DE234))))+1)</f>
        <v/>
      </c>
      <c r="EM234">
        <f>IF($DM234=0,"",$EL234+$EG234-1)</f>
        <v/>
      </c>
      <c r="EN234">
        <f>IF($DM234=0,0,IFERROR(MATCH(1,INDEX(--(TRIM(SUBSTITUTE(SUBSTITUTE(SUBSTITUTE(SUBSTITUTE(LINES_NAME&amp;""," "," "),CHAR(9)," "),CHAR(10)," "),CHAR(13)," "))=$DH234),0),0),0))</f>
        <v/>
      </c>
      <c r="EO234">
        <f>IF($EN234=0,0,IF(OR(UPPER(TRIM(INDEX(LINES_SCHEDULED,$EN234)&amp;""))="YES",UPPER(TRIM(INDEX(LINES_SCHEDULED,$EN234)&amp;""))="Y",UPPER(TRIM(INDEX(LINES_SCHEDULED,$EN234)&amp;""))="X"),1,0))</f>
        <v/>
      </c>
      <c r="EP234">
        <f>IF($DM234=0,"",IF(COUNTIFS($EG$5:$EG$1003,$EG234,$EB$5:$EB$1003,"Ready")&gt;0,"READY",IF(COUNTIFS($EG$5:$EG$1003,$EG234,$EB$5:$EB$1003,"PM")&gt;0,"PM",IF(COUNTIFS($EG$5:$EG$1003,$EG234,$EB$5:$EB$1003,"OT")&gt;0,"OT",""))))</f>
        <v/>
      </c>
      <c r="EQ234">
        <f>IF($EN234=0,"",UPPER(TRIM(INDEX(LINES_STATUS,$EN234)&amp;"")))</f>
        <v/>
      </c>
      <c r="ER234">
        <f>IF($DM234=0,"",IF(OR($EQ234="READY",$EQ234="PM",$EQ234="OT"),$EQ234,$EP234))</f>
        <v/>
      </c>
      <c r="ES234">
        <f>IF($DM234=0,"",IF(AND($DV234&lt;&gt;"",UPPER($DV234)&lt;&gt;"N"),"allergen",IF(ISNUMBER(SEARCH("oil",$DQ234)),"oil",IF(OR(EXACT($DS234,"A662"),EXACT($DS234,"A624")),"bulk",""))))</f>
        <v/>
      </c>
      <c r="ET234">
        <f>IF($DM234=0,"",IF(OR($EA234="",$EA234=0),"",$EA234/100))</f>
        <v/>
      </c>
      <c r="EU234">
        <f>IF(OR($ET234="",$DY234=""),"",INT($DY234*(1-$ET234)+0.5))</f>
        <v/>
      </c>
      <c r="EW234" t="n">
        <v>230</v>
      </c>
      <c r="EX234">
        <f>IFERROR(MATCH($EW234,$EM$5:$EM$1003,0),0)</f>
        <v/>
      </c>
      <c r="EY234">
        <f>IF($EW234&gt;$B$12,"",IF($EX234&gt;0,"row","spacer"))</f>
        <v/>
      </c>
      <c r="EZ234">
        <f>IF(AND($EY234="row",$EY233&lt;&gt;"row"),1,0)</f>
        <v/>
      </c>
      <c r="FA234">
        <f>IF(AND($EY234="row",$EY235&lt;&gt;"row"),1,0)</f>
        <v/>
      </c>
      <c r="FB234">
        <f>IF($EZ234=1,IFERROR(IF(ISNUMBER(INDEX(PASTE_ALL,INDEX($DF$5:$DF$1003,$EX234),$B$37)),INDEX(PASTE_ALL,INDEX($DF$5:$DF$1003,$EX234),$B$37),INDEX($DH$5:$DH$1003,$EX234)),INDEX($DH$5:$DH$1003,$EX234)),"")</f>
        <v/>
      </c>
      <c r="FC234">
        <f>IF($EY234="row",INDEX($ER$5:$ER$1003,$EX234),"")</f>
        <v/>
      </c>
      <c r="FD234">
        <f>IF($EY234="row",INDEX($DN$5:$DN$1003,$EX234),"")</f>
        <v/>
      </c>
      <c r="FE234">
        <f>IF($EY234="row",INDEX($DO$5:$DO$1003,$EX234),"")</f>
        <v/>
      </c>
      <c r="FF234">
        <f>IF($EY234="row",INDEX($DP$5:$DP$1003,$EX234),"")</f>
        <v/>
      </c>
      <c r="FG234">
        <f>IF($EY234="row",INDEX($DQ$5:$DQ$1003,$EX234),"")</f>
        <v/>
      </c>
      <c r="FH234">
        <f>IF($EY234="row",INDEX($DR$5:$DR$1003,$EX234),"")</f>
        <v/>
      </c>
      <c r="FI234">
        <f>IF($EY234="row",INDEX($DS$5:$DS$1003,$EX234),"")</f>
        <v/>
      </c>
      <c r="FJ234">
        <f>IF($EY234="row",INDEX($DT$5:$DT$1003,$EX234),"")</f>
        <v/>
      </c>
      <c r="FK234">
        <f>IF($EY234="row",INDEX($DU$5:$DU$1003,$EX234),"")</f>
        <v/>
      </c>
      <c r="FL234">
        <f>IF($EY234="row",INDEX($DV$5:$DV$1003,$EX234),"")</f>
        <v/>
      </c>
      <c r="FM234">
        <f>IF($EY234="row",INDEX($DW$5:$DW$1003,$EX234),"")</f>
        <v/>
      </c>
      <c r="FN234">
        <f>IF($EY234="row",INDEX($DY$5:$DY$1003,$EX234),"")</f>
        <v/>
      </c>
      <c r="FO234">
        <f>IF($EY234="row",INDEX($EA$5:$EA$1003,$EX234),"")</f>
        <v/>
      </c>
      <c r="FP234">
        <f>IF($EY234="row",INDEX($EC$5:$EC$1003,$EX234),"")</f>
        <v/>
      </c>
      <c r="FQ234">
        <f>IF($EY234="row",INDEX($ET$5:$ET$1003,$EX234),"")</f>
        <v/>
      </c>
      <c r="FR234">
        <f>IF($EY234="row",INDEX($EU$5:$EU$1003,$EX234),"")</f>
        <v/>
      </c>
      <c r="FS234">
        <f>IF(AND($EY234="row",$EY233="row"),IF(OR(INDEX($DT$5:$DT$1003,$EX233)="",INDEX($DT$5:$DT$1003,$EX234)=""),"",IF(NOT(EXACT(INDEX($DT$5:$DT$1003,$EX233),INDEX($DT$5:$DT$1003,$EX234))),"S4",IF(NOT(EXACT(INDEX($DS$5:$DS$1003,$EX233),INDEX($DS$5:$DS$1003,$EX234))),"S3",IF(NOT(EXACT(INDEX($DR$5:$DR$1003,$EX233),INDEX($DR$5:$DR$1003,$EX234))),"S1 Count Change","S1")))),"")</f>
        <v/>
      </c>
      <c r="FT234">
        <f>IF($EY234="row",INDEX($ES$5:$ES$1003,$EX234),"")</f>
        <v/>
      </c>
      <c r="FU234">
        <f>IF($EY234="row",INDEX($EO$5:$EO$1003,$EX234),0)</f>
        <v/>
      </c>
      <c r="FV234">
        <f>IF($FS234="S1 Count Change",1,0)</f>
        <v/>
      </c>
    </row>
    <row r="235">
      <c r="X235" s="69" t="inlineStr">
        <is>
          <t>auto: field</t>
        </is>
      </c>
      <c r="Y235">
        <f>IF(Y233&gt;0,Y233,IF(Y234-0&gt;0,MATCH(Y234-0,{2,4,8,16,32,64,128,256,512,1024,2048,4096,8192,16384,32768},0),0))</f>
        <v/>
      </c>
      <c r="Z235">
        <f>IF(Z233&gt;0,Z233,IF(Z234-Y234&gt;0,MATCH(Z234-Y234,{2,4,8,16,32,64,128,256,512,1024,2048,4096,8192,16384,32768},0),0))</f>
        <v/>
      </c>
      <c r="AA235">
        <f>IF(AA233&gt;0,AA233,IF(AA234-Z234&gt;0,MATCH(AA234-Z234,{2,4,8,16,32,64,128,256,512,1024,2048,4096,8192,16384,32768},0),0))</f>
        <v/>
      </c>
      <c r="AB235">
        <f>IF(AB233&gt;0,AB233,IF(AB234-AA234&gt;0,MATCH(AB234-AA234,{2,4,8,16,32,64,128,256,512,1024,2048,4096,8192,16384,32768},0),0))</f>
        <v/>
      </c>
      <c r="AC235">
        <f>IF(AC233&gt;0,AC233,IF(AC234-AB234&gt;0,MATCH(AC234-AB234,{2,4,8,16,32,64,128,256,512,1024,2048,4096,8192,16384,32768},0),0))</f>
        <v/>
      </c>
      <c r="AD235">
        <f>IF(AD233&gt;0,AD233,IF(AD234-AC234&gt;0,MATCH(AD234-AC234,{2,4,8,16,32,64,128,256,512,1024,2048,4096,8192,16384,32768},0),0))</f>
        <v/>
      </c>
      <c r="AE235">
        <f>IF(AE233&gt;0,AE233,IF(AE234-AD234&gt;0,MATCH(AE234-AD234,{2,4,8,16,32,64,128,256,512,1024,2048,4096,8192,16384,32768},0),0))</f>
        <v/>
      </c>
      <c r="AF235">
        <f>IF(AF233&gt;0,AF233,IF(AF234-AE234&gt;0,MATCH(AF234-AE234,{2,4,8,16,32,64,128,256,512,1024,2048,4096,8192,16384,32768},0),0))</f>
        <v/>
      </c>
      <c r="AG235">
        <f>IF(AG233&gt;0,AG233,IF(AG234-AF234&gt;0,MATCH(AG234-AF234,{2,4,8,16,32,64,128,256,512,1024,2048,4096,8192,16384,32768},0),0))</f>
        <v/>
      </c>
      <c r="AH235">
        <f>IF(AH233&gt;0,AH233,IF(AH234-AG234&gt;0,MATCH(AH234-AG234,{2,4,8,16,32,64,128,256,512,1024,2048,4096,8192,16384,32768},0),0))</f>
        <v/>
      </c>
      <c r="AI235">
        <f>IF(AI233&gt;0,AI233,IF(AI234-AH234&gt;0,MATCH(AI234-AH234,{2,4,8,16,32,64,128,256,512,1024,2048,4096,8192,16384,32768},0),0))</f>
        <v/>
      </c>
      <c r="AJ235">
        <f>IF(AJ233&gt;0,AJ233,IF(AJ234-AI234&gt;0,MATCH(AJ234-AI234,{2,4,8,16,32,64,128,256,512,1024,2048,4096,8192,16384,32768},0),0))</f>
        <v/>
      </c>
      <c r="AK235">
        <f>IF(AK233&gt;0,AK233,IF(AK234-AJ234&gt;0,MATCH(AK234-AJ234,{2,4,8,16,32,64,128,256,512,1024,2048,4096,8192,16384,32768},0),0))</f>
        <v/>
      </c>
      <c r="AL235">
        <f>IF(AL233&gt;0,AL233,IF(AL234-AK234&gt;0,MATCH(AL234-AK234,{2,4,8,16,32,64,128,256,512,1024,2048,4096,8192,16384,32768},0),0))</f>
        <v/>
      </c>
      <c r="AM235">
        <f>IF(AM233&gt;0,AM233,IF(AM234-AL234&gt;0,MATCH(AM234-AL234,{2,4,8,16,32,64,128,256,512,1024,2048,4096,8192,16384,32768},0),0))</f>
        <v/>
      </c>
      <c r="AN235">
        <f>IF(AN233&gt;0,AN233,IF(AN234-AM234&gt;0,MATCH(AN234-AM234,{2,4,8,16,32,64,128,256,512,1024,2048,4096,8192,16384,32768},0),0))</f>
        <v/>
      </c>
      <c r="AO235">
        <f>IF(AO233&gt;0,AO233,IF(AO234-AN234&gt;0,MATCH(AO234-AN234,{2,4,8,16,32,64,128,256,512,1024,2048,4096,8192,16384,32768},0),0))</f>
        <v/>
      </c>
      <c r="AP235">
        <f>IF(AP233&gt;0,AP233,IF(AP234-AO234&gt;0,MATCH(AP234-AO234,{2,4,8,16,32,64,128,256,512,1024,2048,4096,8192,16384,32768},0),0))</f>
        <v/>
      </c>
      <c r="AQ235">
        <f>IF(AQ233&gt;0,AQ233,IF(AQ234-AP234&gt;0,MATCH(AQ234-AP234,{2,4,8,16,32,64,128,256,512,1024,2048,4096,8192,16384,32768},0),0))</f>
        <v/>
      </c>
      <c r="AR235">
        <f>IF(AR233&gt;0,AR233,IF(AR234-AQ234&gt;0,MATCH(AR234-AQ234,{2,4,8,16,32,64,128,256,512,1024,2048,4096,8192,16384,32768},0),0))</f>
        <v/>
      </c>
      <c r="AS235">
        <f>IF(AS233&gt;0,AS233,IF(AS234-AR234&gt;0,MATCH(AS234-AR234,{2,4,8,16,32,64,128,256,512,1024,2048,4096,8192,16384,32768},0),0))</f>
        <v/>
      </c>
      <c r="AT235">
        <f>IF(AT233&gt;0,AT233,IF(AT234-AS234&gt;0,MATCH(AT234-AS234,{2,4,8,16,32,64,128,256,512,1024,2048,4096,8192,16384,32768},0),0))</f>
        <v/>
      </c>
      <c r="AU235">
        <f>IF(AU233&gt;0,AU233,IF(AU234-AT234&gt;0,MATCH(AU234-AT234,{2,4,8,16,32,64,128,256,512,1024,2048,4096,8192,16384,32768},0),0))</f>
        <v/>
      </c>
      <c r="AV235">
        <f>IF(AV233&gt;0,AV233,IF(AV234-AU234&gt;0,MATCH(AV234-AU234,{2,4,8,16,32,64,128,256,512,1024,2048,4096,8192,16384,32768},0),0))</f>
        <v/>
      </c>
      <c r="AW235">
        <f>IF(AW233&gt;0,AW233,IF(AW234-AV234&gt;0,MATCH(AW234-AV234,{2,4,8,16,32,64,128,256,512,1024,2048,4096,8192,16384,32768},0),0))</f>
        <v/>
      </c>
      <c r="AX235">
        <f>IF(AX233&gt;0,AX233,IF(AX234-AW234&gt;0,MATCH(AX234-AW234,{2,4,8,16,32,64,128,256,512,1024,2048,4096,8192,16384,32768},0),0))</f>
        <v/>
      </c>
      <c r="AY235">
        <f>IF(AY233&gt;0,AY233,IF(AY234-AX234&gt;0,MATCH(AY234-AX234,{2,4,8,16,32,64,128,256,512,1024,2048,4096,8192,16384,32768},0),0))</f>
        <v/>
      </c>
      <c r="AZ235">
        <f>IF(AZ233&gt;0,AZ233,IF(AZ234-AY234&gt;0,MATCH(AZ234-AY234,{2,4,8,16,32,64,128,256,512,1024,2048,4096,8192,16384,32768},0),0))</f>
        <v/>
      </c>
      <c r="BA235">
        <f>IF(BA233&gt;0,BA233,IF(BA234-AZ234&gt;0,MATCH(BA234-AZ234,{2,4,8,16,32,64,128,256,512,1024,2048,4096,8192,16384,32768},0),0))</f>
        <v/>
      </c>
      <c r="BB235">
        <f>IF(BB233&gt;0,BB233,IF(BB234-BA234&gt;0,MATCH(BB234-BA234,{2,4,8,16,32,64,128,256,512,1024,2048,4096,8192,16384,32768},0),0))</f>
        <v/>
      </c>
      <c r="BC235">
        <f>IF(BC233&gt;0,BC233,IF(BC234-BB234&gt;0,MATCH(BC234-BB234,{2,4,8,16,32,64,128,256,512,1024,2048,4096,8192,16384,32768},0),0))</f>
        <v/>
      </c>
      <c r="BD235">
        <f>IF(BD233&gt;0,BD233,IF(BD234-BC234&gt;0,MATCH(BD234-BC234,{2,4,8,16,32,64,128,256,512,1024,2048,4096,8192,16384,32768},0),0))</f>
        <v/>
      </c>
      <c r="BE235">
        <f>IF(BE233&gt;0,BE233,IF(BE234-BD234&gt;0,MATCH(BE234-BD234,{2,4,8,16,32,64,128,256,512,1024,2048,4096,8192,16384,32768},0),0))</f>
        <v/>
      </c>
      <c r="BF235">
        <f>IF(BF233&gt;0,BF233,IF(BF234-BE234&gt;0,MATCH(BF234-BE234,{2,4,8,16,32,64,128,256,512,1024,2048,4096,8192,16384,32768},0),0))</f>
        <v/>
      </c>
      <c r="BG235">
        <f>IF(BG233&gt;0,BG233,IF(BG234-BF234&gt;0,MATCH(BG234-BF234,{2,4,8,16,32,64,128,256,512,1024,2048,4096,8192,16384,32768},0),0))</f>
        <v/>
      </c>
      <c r="BH235">
        <f>IF(BH233&gt;0,BH233,IF(BH234-BG234&gt;0,MATCH(BH234-BG234,{2,4,8,16,32,64,128,256,512,1024,2048,4096,8192,16384,32768},0),0))</f>
        <v/>
      </c>
      <c r="BI235">
        <f>IF(BI233&gt;0,BI233,IF(BI234-BH234&gt;0,MATCH(BI234-BH234,{2,4,8,16,32,64,128,256,512,1024,2048,4096,8192,16384,32768},0),0))</f>
        <v/>
      </c>
      <c r="BJ235">
        <f>IF(BJ233&gt;0,BJ233,IF(BJ234-BI234&gt;0,MATCH(BJ234-BI234,{2,4,8,16,32,64,128,256,512,1024,2048,4096,8192,16384,32768},0),0))</f>
        <v/>
      </c>
      <c r="BK235">
        <f>IF(BK233&gt;0,BK233,IF(BK234-BJ234&gt;0,MATCH(BK234-BJ234,{2,4,8,16,32,64,128,256,512,1024,2048,4096,8192,16384,32768},0),0))</f>
        <v/>
      </c>
      <c r="BL235">
        <f>IF(BL233&gt;0,BL233,IF(BL234-BK234&gt;0,MATCH(BL234-BK234,{2,4,8,16,32,64,128,256,512,1024,2048,4096,8192,16384,32768},0),0))</f>
        <v/>
      </c>
      <c r="BM235">
        <f>IF(BM233&gt;0,BM233,IF(BM234-BL234&gt;0,MATCH(BM234-BL234,{2,4,8,16,32,64,128,256,512,1024,2048,4096,8192,16384,32768},0),0))</f>
        <v/>
      </c>
      <c r="BN235">
        <f>IF(BN233&gt;0,BN233,IF(BN234-BM234&gt;0,MATCH(BN234-BM234,{2,4,8,16,32,64,128,256,512,1024,2048,4096,8192,16384,32768},0),0))</f>
        <v/>
      </c>
      <c r="BO235">
        <f>IF(BO233&gt;0,BO233,IF(BO234-BN234&gt;0,MATCH(BO234-BN234,{2,4,8,16,32,64,128,256,512,1024,2048,4096,8192,16384,32768},0),0))</f>
        <v/>
      </c>
      <c r="BP235">
        <f>IF(BP233&gt;0,BP233,IF(BP234-BO234&gt;0,MATCH(BP234-BO234,{2,4,8,16,32,64,128,256,512,1024,2048,4096,8192,16384,32768},0),0))</f>
        <v/>
      </c>
      <c r="BQ235">
        <f>IF(BQ233&gt;0,BQ233,IF(BQ234-BP234&gt;0,MATCH(BQ234-BP234,{2,4,8,16,32,64,128,256,512,1024,2048,4096,8192,16384,32768},0),0))</f>
        <v/>
      </c>
      <c r="BR235">
        <f>IF(BR233&gt;0,BR233,IF(BR234-BQ234&gt;0,MATCH(BR234-BQ234,{2,4,8,16,32,64,128,256,512,1024,2048,4096,8192,16384,32768},0),0))</f>
        <v/>
      </c>
      <c r="BS235">
        <f>IF(BS233&gt;0,BS233,IF(BS234-BR234&gt;0,MATCH(BS234-BR234,{2,4,8,16,32,64,128,256,512,1024,2048,4096,8192,16384,32768},0),0))</f>
        <v/>
      </c>
      <c r="BT235">
        <f>IF(BT233&gt;0,BT233,IF(BT234-BS234&gt;0,MATCH(BT234-BS234,{2,4,8,16,32,64,128,256,512,1024,2048,4096,8192,16384,32768},0),0))</f>
        <v/>
      </c>
      <c r="BU235">
        <f>IF(BU233&gt;0,BU233,IF(BU234-BT234&gt;0,MATCH(BU234-BT234,{2,4,8,16,32,64,128,256,512,1024,2048,4096,8192,16384,32768},0),0))</f>
        <v/>
      </c>
      <c r="BV235">
        <f>IF(BV233&gt;0,BV233,IF(BV234-BU234&gt;0,MATCH(BV234-BU234,{2,4,8,16,32,64,128,256,512,1024,2048,4096,8192,16384,32768},0),0))</f>
        <v/>
      </c>
      <c r="BW235">
        <f>IF(BW233&gt;0,BW233,IF(BW234-BV234&gt;0,MATCH(BW234-BV234,{2,4,8,16,32,64,128,256,512,1024,2048,4096,8192,16384,32768},0),0))</f>
        <v/>
      </c>
      <c r="BX235">
        <f>IF(BX233&gt;0,BX233,IF(BX234-BW234&gt;0,MATCH(BX234-BW234,{2,4,8,16,32,64,128,256,512,1024,2048,4096,8192,16384,32768},0),0))</f>
        <v/>
      </c>
      <c r="BY235">
        <f>IF(BY233&gt;0,BY233,IF(BY234-BX234&gt;0,MATCH(BY234-BX234,{2,4,8,16,32,64,128,256,512,1024,2048,4096,8192,16384,32768},0),0))</f>
        <v/>
      </c>
      <c r="BZ235">
        <f>IF(BZ233&gt;0,BZ233,IF(BZ234-BY234&gt;0,MATCH(BZ234-BY234,{2,4,8,16,32,64,128,256,512,1024,2048,4096,8192,16384,32768},0),0))</f>
        <v/>
      </c>
      <c r="CA235">
        <f>IF(CA233&gt;0,CA233,IF(CA234-BZ234&gt;0,MATCH(CA234-BZ234,{2,4,8,16,32,64,128,256,512,1024,2048,4096,8192,16384,32768},0),0))</f>
        <v/>
      </c>
      <c r="CB235">
        <f>IF(CB233&gt;0,CB233,IF(CB234-CA234&gt;0,MATCH(CB234-CA234,{2,4,8,16,32,64,128,256,512,1024,2048,4096,8192,16384,32768},0),0))</f>
        <v/>
      </c>
      <c r="CC235">
        <f>IF(CC233&gt;0,CC233,IF(CC234-CB234&gt;0,MATCH(CC234-CB234,{2,4,8,16,32,64,128,256,512,1024,2048,4096,8192,16384,32768},0),0))</f>
        <v/>
      </c>
      <c r="CD235">
        <f>IF(CD233&gt;0,CD233,IF(CD234-CC234&gt;0,MATCH(CD234-CC234,{2,4,8,16,32,64,128,256,512,1024,2048,4096,8192,16384,32768},0),0))</f>
        <v/>
      </c>
      <c r="CE235">
        <f>IF(CE233&gt;0,CE233,IF(CE234-CD234&gt;0,MATCH(CE234-CD234,{2,4,8,16,32,64,128,256,512,1024,2048,4096,8192,16384,32768},0),0))</f>
        <v/>
      </c>
      <c r="CF235">
        <f>IF(CF233&gt;0,CF233,IF(CF234-CE234&gt;0,MATCH(CF234-CE234,{2,4,8,16,32,64,128,256,512,1024,2048,4096,8192,16384,32768},0),0))</f>
        <v/>
      </c>
      <c r="DA235" t="n">
        <v>231</v>
      </c>
      <c r="DB235">
        <f>IF($B$37=0,"",IFERROR(TRIM(SUBSTITUTE(SUBSTITUTE(SUBSTITUTE(SUBSTITUTE(INDEX(PASTE_ALL,231,$B$37)," "," "),CHAR(9)," "),CHAR(10)," "),CHAR(13)," ")),""))</f>
        <v/>
      </c>
      <c r="DC235">
        <f>IF(AND(231&gt;HEADER_ROW,UPPER(DB235)="LEGEND"),1,0)</f>
        <v/>
      </c>
      <c r="DE235" t="n">
        <v>231</v>
      </c>
      <c r="DF235">
        <f>HEADER_ROW+$DE235</f>
        <v/>
      </c>
      <c r="DG235">
        <f>IF(AND($DF235&lt;=1000,$DF235&lt;$B$8),1,0)</f>
        <v/>
      </c>
      <c r="DH235">
        <f>IF($DG235=1,IFERROR(INDEX($DB$5:$DB$1004,$DF235),""),"")</f>
        <v/>
      </c>
      <c r="DI235">
        <f>IF(AND($DG235=1,$DH235&lt;&gt;""),IFERROR(SUBSTITUTE(SUBSTITUTE(TRIM(SUBSTITUTE(SUBSTITUTE(SUBSTITUTE(SUBSTITUTE(IFERROR(INDEX(PASTE_ALL,$DF235,1)&amp;"","")&amp;"␟"&amp;IFERROR(INDEX(PASTE_ALL,$DF235,2)&amp;"","")&amp;"␟"&amp;IFERROR(INDEX(PASTE_ALL,$DF235,3)&amp;"","")&amp;"␟"&amp;IFERROR(INDEX(PASTE_ALL,$DF235,4)&amp;"","")&amp;"␟"&amp;IFERROR(INDEX(PASTE_ALL,$DF235,5)&amp;"","")&amp;"␟"&amp;IFERROR(INDEX(PASTE_ALL,$DF235,6)&amp;"","")&amp;"␟"&amp;IFERROR(INDEX(PASTE_ALL,$DF235,7)&amp;"","")&amp;"␟"&amp;IFERROR(INDEX(PASTE_ALL,$DF235,8)&amp;"","")&amp;"␟"&amp;IFERROR(INDEX(PASTE_ALL,$DF235,9)&amp;"","")&amp;"␟"&amp;IFERROR(INDEX(PASTE_ALL,$DF235,10)&amp;"","")&amp;"␟"&amp;IFERROR(INDEX(PASTE_ALL,$DF235,11)&amp;"","")&amp;"␟"&amp;IFERROR(INDEX(PASTE_ALL,$DF235,12)&amp;"","")&amp;"␟"&amp;IFERROR(INDEX(PASTE_ALL,$DF235,13)&amp;"","")&amp;"␟"&amp;IFERROR(INDEX(PASTE_ALL,$DF235,14)&amp;"","")&amp;"␟"&amp;IFERROR(INDEX(PASTE_ALL,$DF235,15)&amp;"","")&amp;"␟"&amp;IFERROR(INDEX(PASTE_ALL,$DF235,16)&amp;"","")&amp;"␟"&amp;IFERROR(INDEX(PASTE_ALL,$DF235,17)&amp;"","")&amp;"␟"&amp;IFERROR(INDEX(PASTE_ALL,$DF235,18)&amp;"","")&amp;"␟"&amp;IFERROR(INDEX(PASTE_ALL,$DF235,19)&amp;"","")&amp;"␟"&amp;IFERROR(INDEX(PASTE_ALL,$DF235,20)&amp;"","")&amp;"␟"&amp;IFERROR(INDEX(PASTE_ALL,$DF235,21)&amp;"","")&amp;"␟"&amp;IFERROR(INDEX(PASTE_ALL,$DF235,22)&amp;"","")&amp;"␟"&amp;IFERROR(INDEX(PASTE_ALL,$DF235,23)&amp;"","")&amp;"␟"&amp;IFERROR(INDEX(PASTE_ALL,$DF235,24)&amp;"","")&amp;"␟"&amp;IFERROR(INDEX(PASTE_ALL,$DF235,25)&amp;"","")&amp;"␟"&amp;IFERROR(INDEX(PASTE_ALL,$DF235,26)&amp;"","")&amp;"␟"&amp;IFERROR(INDEX(PASTE_ALL,$DF235,27)&amp;"","")&amp;"␟"&amp;IFERROR(INDEX(PASTE_ALL,$DF235,28)&amp;"","")&amp;"␟"&amp;IFERROR(INDEX(PASTE_ALL,$DF235,29)&amp;"","")&amp;"␟"&amp;IFERROR(INDEX(PASTE_ALL,$DF235,30)&amp;"","")&amp;"␟"&amp;IFERROR(INDEX(PASTE_ALL,$DF235,31)&amp;"","")&amp;"␟"&amp;IFERROR(INDEX(PASTE_ALL,$DF235,32)&amp;"","")&amp;"␟"&amp;IFERROR(INDEX(PASTE_ALL,$DF235,33)&amp;"","")&amp;"␟"&amp;IFERROR(INDEX(PASTE_ALL,$DF235,34)&amp;"","")&amp;"␟"&amp;IFERROR(INDEX(PASTE_ALL,$DF235,35)&amp;"","")&amp;"␟"&amp;IFERROR(INDEX(PASTE_ALL,$DF235,36)&amp;"","")&amp;"␟"&amp;IFERROR(INDEX(PASTE_ALL,$DF235,37)&amp;"","")&amp;"␟"&amp;IFERROR(INDEX(PASTE_ALL,$DF235,38)&amp;"","")&amp;"␟"&amp;IFERROR(INDEX(PASTE_ALL,$DF235,39)&amp;"","")&amp;"␟"&amp;IFERROR(INDEX(PASTE_ALL,$DF235,40)&amp;"","")&amp;"␟"&amp;IFERROR(INDEX(PASTE_ALL,$DF235,41)&amp;"","")&amp;"␟"&amp;IFERROR(INDEX(PASTE_ALL,$DF235,42)&amp;"","")&amp;"␟"&amp;IFERROR(INDEX(PASTE_ALL,$DF235,43)&amp;"","")&amp;"␟"&amp;IFERROR(INDEX(PASTE_ALL,$DF235,44)&amp;"","")&amp;"␟"&amp;IFERROR(INDEX(PASTE_ALL,$DF235,45)&amp;"","")&amp;"␟"&amp;IFERROR(INDEX(PASTE_ALL,$DF235,46)&amp;"","")&amp;"␟"&amp;IFERROR(INDEX(PASTE_ALL,$DF235,47)&amp;"","")&amp;"␟"&amp;IFERROR(INDEX(PASTE_ALL,$DF235,48)&amp;"","")&amp;"␟"&amp;IFERROR(INDEX(PASTE_ALL,$DF235,49)&amp;"","")&amp;"␟"&amp;IFERROR(INDEX(PASTE_ALL,$DF235,50)&amp;"","")&amp;"␟"&amp;IFERROR(INDEX(PASTE_ALL,$DF235,51)&amp;"","")&amp;"␟"&amp;IFERROR(INDEX(PASTE_ALL,$DF235,52)&amp;"","")&amp;"␟"&amp;IFERROR(INDEX(PASTE_ALL,$DF235,53)&amp;"","")&amp;"␟"&amp;IFERROR(INDEX(PASTE_ALL,$DF235,54)&amp;"","")&amp;"␟"&amp;IFERROR(INDEX(PASTE_ALL,$DF235,55)&amp;"","")&amp;"␟"&amp;IFERROR(INDEX(PASTE_ALL,$DF235,56)&amp;"","")&amp;"␟"&amp;IFERROR(INDEX(PASTE_ALL,$DF235,57)&amp;"","")&amp;"␟"&amp;IFERROR(INDEX(PASTE_ALL,$DF235,58)&amp;"","")&amp;"␟"&amp;IFERROR(INDEX(PASTE_ALL,$DF235,59)&amp;"","")&amp;"␟"&amp;IFERROR(INDEX(PASTE_ALL,$DF235,60)&amp;"","")," "," "),CHAR(9)," "),CHAR(10)," "),CHAR(13)," "))," ␟","␟"),"␟ ","␟"),"#"&amp;$DE235),"")</f>
        <v/>
      </c>
      <c r="DJ235">
        <f>IF($DI235="",0,IF(SUMPRODUCT(--EXACT($DI$4:DI234,$DI235))&gt;0,1,0))</f>
        <v/>
      </c>
      <c r="DK235">
        <f>IF(AND($DI235&lt;&gt;"",$DJ235=0),1,0)</f>
        <v/>
      </c>
      <c r="DL235">
        <f>DL234+$DK235</f>
        <v/>
      </c>
      <c r="DM235">
        <f>IF(AND($DK235=1,$DL235&lt;=600),1,0)</f>
        <v/>
      </c>
      <c r="DN235">
        <f>IF($DM235=0,"",IF($L$6=0,"",IFERROR(IF(ISNUMBER(INDEX(PASTE_ALL,$DF235,$L$6)),INDEX(PASTE_ALL,$DF235,$L$6),TRIM(SUBSTITUTE(SUBSTITUTE(SUBSTITUTE(SUBSTITUTE(INDEX(PASTE_ALL,$DF235,$L$6)," "," "),CHAR(9)," "),CHAR(10)," "),CHAR(13)," "))),"")))</f>
        <v/>
      </c>
      <c r="DO235">
        <f>IF($DM235=0,"",IF($L$7=0,"",IFERROR(IF(ISNUMBER(INDEX(PASTE_ALL,$DF235,$L$7)),INDEX(PASTE_ALL,$DF235,$L$7),TRIM(SUBSTITUTE(SUBSTITUTE(SUBSTITUTE(SUBSTITUTE(INDEX(PASTE_ALL,$DF235,$L$7)," "," "),CHAR(9)," "),CHAR(10)," "),CHAR(13)," "))),"")))</f>
        <v/>
      </c>
      <c r="DP235">
        <f>IF($DM235=0,"",IF($L$8=0,"",IFERROR(IF(ISNUMBER(INDEX(PASTE_ALL,$DF235,$L$8)),INDEX(PASTE_ALL,$DF235,$L$8),TRIM(SUBSTITUTE(SUBSTITUTE(SUBSTITUTE(SUBSTITUTE(INDEX(PASTE_ALL,$DF235,$L$8)," "," "),CHAR(9)," "),CHAR(10)," "),CHAR(13)," "))),"")))</f>
        <v/>
      </c>
      <c r="DQ235">
        <f>IF($DM235=0,"",IF($L$9=0,"",IFERROR(IF(ISNUMBER(INDEX(PASTE_ALL,$DF235,$L$9)),INDEX(PASTE_ALL,$DF235,$L$9),TRIM(SUBSTITUTE(SUBSTITUTE(SUBSTITUTE(SUBSTITUTE(INDEX(PASTE_ALL,$DF235,$L$9)," "," "),CHAR(9)," "),CHAR(10)," "),CHAR(13)," "))),"")))</f>
        <v/>
      </c>
      <c r="DR235">
        <f>IF($DM235=0,"",IF($L$10=0,"",IFERROR(IF(ISNUMBER(INDEX(PASTE_ALL,$DF235,$L$10)),INDEX(PASTE_ALL,$DF235,$L$10),TRIM(SUBSTITUTE(SUBSTITUTE(SUBSTITUTE(SUBSTITUTE(INDEX(PASTE_ALL,$DF235,$L$10)," "," "),CHAR(9)," "),CHAR(10)," "),CHAR(13)," "))),"")))</f>
        <v/>
      </c>
      <c r="DS235">
        <f>IF($DM235=0,"",IF($L$11=0,"",IFERROR(IF(ISNUMBER(INDEX(PASTE_ALL,$DF235,$L$11)),INDEX(PASTE_ALL,$DF235,$L$11),TRIM(SUBSTITUTE(SUBSTITUTE(SUBSTITUTE(SUBSTITUTE(INDEX(PASTE_ALL,$DF235,$L$11)," "," "),CHAR(9)," "),CHAR(10)," "),CHAR(13)," "))),"")))</f>
        <v/>
      </c>
      <c r="DT235">
        <f>IF($DM235=0,"",IF($L$12=0,"",IFERROR(IF(ISNUMBER(INDEX(PASTE_ALL,$DF235,$L$12)),INDEX(PASTE_ALL,$DF235,$L$12),TRIM(SUBSTITUTE(SUBSTITUTE(SUBSTITUTE(SUBSTITUTE(INDEX(PASTE_ALL,$DF235,$L$12)," "," "),CHAR(9)," "),CHAR(10)," "),CHAR(13)," "))),"")))</f>
        <v/>
      </c>
      <c r="DU235">
        <f>IF($DM235=0,"",IF($L$13=0,"",IFERROR(IF(ISNUMBER(INDEX(PASTE_ALL,$DF235,$L$13)),INDEX(PASTE_ALL,$DF235,$L$13),TRIM(SUBSTITUTE(SUBSTITUTE(SUBSTITUTE(SUBSTITUTE(INDEX(PASTE_ALL,$DF235,$L$13)," "," "),CHAR(9)," "),CHAR(10)," "),CHAR(13)," "))),"")))</f>
        <v/>
      </c>
      <c r="DV235">
        <f>IF($DM235=0,"",IF($L$14=0,"",IFERROR(IF(ISNUMBER(INDEX(PASTE_ALL,$DF235,$L$14)),INDEX(PASTE_ALL,$DF235,$L$14),TRIM(SUBSTITUTE(SUBSTITUTE(SUBSTITUTE(SUBSTITUTE(INDEX(PASTE_ALL,$DF235,$L$14)," "," "),CHAR(9)," "),CHAR(10)," "),CHAR(13)," "))),"")))</f>
        <v/>
      </c>
      <c r="DW235">
        <f>IF($DM235=0,"",IF($L$15=0,"",IFERROR(IF(ISNUMBER(INDEX(PASTE_ALL,$DF235,$L$15)),INDEX(PASTE_ALL,$DF235,$L$15),IF(SUMPRODUCT(--ISNUMBER(FIND({"A","B","C","D","E","F","G","H","I","J","K","L","M","N","O","P","Q","R","S","T","U","V","W","X","Y","Z","0","1","2","3","4","5","6","7","8","9"},UPPER(TRIM(SUBSTITUTE(SUBSTITUTE(SUBSTITUTE(SUBSTITUTE(INDEX(PASTE_ALL,$DF235,$L$15)," "," "),CHAR(9)," "),CHAR(10)," "),CHAR(13)," "))))))&gt;0,TRIM(SUBSTITUTE(SUBSTITUTE(SUBSTITUTE(SUBSTITUTE(INDEX(PASTE_ALL,$DF235,$L$15)," "," "),CHAR(9)," "),CHAR(10)," "),CHAR(13)," ")),"")),"")))</f>
        <v/>
      </c>
      <c r="DX235">
        <f>IF($DM235=0,"",IF($L$16=0,"",IFERROR(IF(ISNUMBER(INDEX(PASTE_ALL,$DF235,$L$16)),INDEX(PASTE_ALL,$DF235,$L$16),SUBSTITUTE(SUBSTITUTE(TRIM(SUBSTITUTE(SUBSTITUTE(SUBSTITUTE(SUBSTITUTE(INDEX(PASTE_ALL,$DF235,$L$16)," "," "),CHAR(9)," "),CHAR(10)," "),CHAR(13)," ")),",",""),"%","")),"")))</f>
        <v/>
      </c>
      <c r="DY235">
        <f>IF($DM235=0,"",IFERROR(IF(ISNUMBER($DX235),$DX235,IF($DX235="","",IF(TRIM($DX235)="",0,IF(AND(AND(SUBSTITUTE(SUBSTITUTE(SUBSTITUTE(SUBSTITUTE(SUBSTITUTE(SUBSTITUTE(SUBSTITUTE(SUBSTITUTE(SUBSTITUTE(SUBSTITUTE(SUBSTITUTE(SUBSTITUTE(SUBSTITUTE(SUBSTITUTE(UPPER(TRIM($DX235)),"0",""),"1",""),"2",""),"3",""),"4",""),"5",""),"6",""),"7",""),"8",""),"9",""),".",""),"+",""),"-",""),"E","")="",LEN(SUBSTITUTE(SUBSTITUTE(MID(UPPER(TRIM($DX235)),1+OR(LEFT(UPPER(TRIM($DX235)),1)="+",LEFT(UPPER(TRIM($DX235)),1)="-"),999),"E+","E"),"E-","E"))=LEN(SUBSTITUTE(SUBSTITUTE(SUBSTITUTE(SUBSTITUTE(MID(UPPER(TRIM($DX235)),1+OR(LEFT(UPPER(TRIM($DX235)),1)="+",LEFT(UPPER(TRIM($DX235)),1)="-"),999),"E+","E"),"E-","E"),"+",""),"-","")),LEN(UPPER(TRIM($DX235)))-LEN(SUBSTITUTE(UPPER(TRIM($DX235)),"E",""))&lt;2,LEN(UPPER(TRIM($DX235)))-LEN(SUBSTITUTE(UPPER(TRIM($DX235)),".",""))&lt;2,IFERROR(FIND(".",UPPER(TRIM($DX235))),0)&lt;IFERROR(FIND("E",UPPER(TRIM($DX235))),999)),ISNUMBER(VALUE(TRIM($DX235)))),VALUE(TRIM($DX235)),"")))),""))</f>
        <v/>
      </c>
      <c r="DZ235">
        <f>IF($DM235=0,"",IF($L$17=0,"",IFERROR(IF(ISNUMBER(INDEX(PASTE_ALL,$DF235,$L$17)),INDEX(PASTE_ALL,$DF235,$L$17),SUBSTITUTE(SUBSTITUTE(TRIM(SUBSTITUTE(SUBSTITUTE(SUBSTITUTE(SUBSTITUTE(INDEX(PASTE_ALL,$DF235,$L$17)," "," "),CHAR(9)," "),CHAR(10)," "),CHAR(13)," ")),",",""),"%","")),"")))</f>
        <v/>
      </c>
      <c r="EA235">
        <f>IF($DM235=0,"",IFERROR(IF(ISNUMBER($DZ235),$DZ235,IF($DZ235="","",IF(TRIM($DZ235)="",0,IF(AND(AND(SUBSTITUTE(SUBSTITUTE(SUBSTITUTE(SUBSTITUTE(SUBSTITUTE(SUBSTITUTE(SUBSTITUTE(SUBSTITUTE(SUBSTITUTE(SUBSTITUTE(SUBSTITUTE(SUBSTITUTE(SUBSTITUTE(SUBSTITUTE(UPPER(TRIM($DZ235)),"0",""),"1",""),"2",""),"3",""),"4",""),"5",""),"6",""),"7",""),"8",""),"9",""),".",""),"+",""),"-",""),"E","")="",LEN(SUBSTITUTE(SUBSTITUTE(MID(UPPER(TRIM($DZ235)),1+OR(LEFT(UPPER(TRIM($DZ235)),1)="+",LEFT(UPPER(TRIM($DZ235)),1)="-"),999),"E+","E"),"E-","E"))=LEN(SUBSTITUTE(SUBSTITUTE(SUBSTITUTE(SUBSTITUTE(MID(UPPER(TRIM($DZ235)),1+OR(LEFT(UPPER(TRIM($DZ235)),1)="+",LEFT(UPPER(TRIM($DZ235)),1)="-"),999),"E+","E"),"E-","E"),"+",""),"-","")),LEN(UPPER(TRIM($DZ235)))-LEN(SUBSTITUTE(UPPER(TRIM($DZ235)),"E",""))&lt;2,LEN(UPPER(TRIM($DZ235)))-LEN(SUBSTITUTE(UPPER(TRIM($DZ235)),".",""))&lt;2,IFERROR(FIND(".",UPPER(TRIM($DZ235))),0)&lt;IFERROR(FIND("E",UPPER(TRIM($DZ235))),999)),ISNUMBER(VALUE(TRIM($DZ235)))),VALUE(TRIM($DZ235)),"")))),""))</f>
        <v/>
      </c>
      <c r="EB235">
        <f>IF($DM235=0,"",IF($L$18=0,"",IFERROR(IF(UPPER(TRIM(SUBSTITUTE(SUBSTITUTE(SUBSTITUTE(SUBSTITUTE(INDEX(PASTE_ALL,$DF235,$L$18)," "," "),CHAR(9)," "),CHAR(10)," "),CHAR(13)," ")))="READY","Ready",IF(UPPER(TRIM(SUBSTITUTE(SUBSTITUTE(SUBSTITUTE(SUBSTITUTE(INDEX(PASTE_ALL,$DF235,$L$18)," "," "),CHAR(9)," "),CHAR(10)," "),CHAR(13)," ")))="PM","PM",IF(OR(UPPER(TRIM(SUBSTITUTE(SUBSTITUTE(SUBSTITUTE(SUBSTITUTE(INDEX(PASTE_ALL,$DF235,$L$18)," "," "),CHAR(9)," "),CHAR(10)," "),CHAR(13)," ")))="OT",UPPER(TRIM(SUBSTITUTE(SUBSTITUTE(SUBSTITUTE(SUBSTITUTE(INDEX(PASTE_ALL,$DF235,$L$18)," "," "),CHAR(9)," "),CHAR(10)," "),CHAR(13)," ")))="OVERTIME",UPPER(TRIM(SUBSTITUTE(SUBSTITUTE(SUBSTITUTE(SUBSTITUTE(INDEX(PASTE_ALL,$DF235,$L$18)," "," "),CHAR(9)," "),CHAR(10)," "),CHAR(13)," ")))="TRIAL"),"OT",TRIM(SUBSTITUTE(SUBSTITUTE(SUBSTITUTE(SUBSTITUTE(INDEX(PASTE_ALL,$DF235,$L$18)," "," "),CHAR(9)," "),CHAR(10)," "),CHAR(13)," "))))),"")))</f>
        <v/>
      </c>
      <c r="EC235">
        <f>IF($DM235=0,"",IF($L$19=0,"",IFERROR(IF(ISNUMBER(INDEX(PASTE_ALL,$DF235,$L$19)),INDEX(PASTE_ALL,$DF235,$L$19),TRIM(SUBSTITUTE(SUBSTITUTE(SUBSTITUTE(SUBSTITUTE(INDEX(PASTE_ALL,$DF235,$L$19)," "," "),CHAR(9)," "),CHAR(10)," "),CHAR(13)," "))),"")))</f>
        <v/>
      </c>
      <c r="ED235">
        <f>IF($DM235=0,"",MATCH(1,INDEX(EXACT($DH$5:DH235,$DH235)*$DM$5:DM235,0),0))</f>
        <v/>
      </c>
      <c r="EE235">
        <f>IF($DM235=0,0,IF($ED235=$DE235,1,0))</f>
        <v/>
      </c>
      <c r="EF235">
        <f>EF234+$EE235</f>
        <v/>
      </c>
      <c r="EG235">
        <f>IF($DM235=0,"",INDEX($EF$5:$EF$1003,$ED235))</f>
        <v/>
      </c>
      <c r="EH235">
        <f>IF($DM235=0,"",IF($DO235&lt;&gt;"","",IFERROR(LOOKUP(2,1/(($EG$4:EG234=$EG235)*($DO$4:DO234&lt;&gt;"")),$DO$4:DO234),"")))</f>
        <v/>
      </c>
      <c r="EI235">
        <f>IF($DM235=0,"",IF($DO235&lt;&gt;"",$DO235,$EH235))</f>
        <v/>
      </c>
      <c r="EJ235">
        <f>IF($DM235=0,"",IF($EI235="",0,IF(OR(ISNUMBER($EI235),AND(AND(SUBSTITUTE(SUBSTITUTE(SUBSTITUTE(SUBSTITUTE(SUBSTITUTE(SUBSTITUTE(SUBSTITUTE(SUBSTITUTE(SUBSTITUTE(SUBSTITUTE(SUBSTITUTE(SUBSTITUTE(SUBSTITUTE(SUBSTITUTE(UPPER($EI235),"0",""),"1",""),"2",""),"3",""),"4",""),"5",""),"6",""),"7",""),"8",""),"9",""),".",""),"+",""),"-",""),"E","")="",LEN(SUBSTITUTE(SUBSTITUTE(MID(UPPER($EI235),1+OR(LEFT(UPPER($EI235),1)="+",LEFT(UPPER($EI235),1)="-"),999),"E+","E"),"E-","E"))=LEN(SUBSTITUTE(SUBSTITUTE(SUBSTITUTE(SUBSTITUTE(MID(UPPER($EI235),1+OR(LEFT(UPPER($EI235),1)="+",LEFT(UPPER($EI235),1)="-"),999),"E+","E"),"E-","E"),"+",""),"-","")),LEN(UPPER($EI235))-LEN(SUBSTITUTE(UPPER($EI235),"E",""))&lt;2,LEN(UPPER($EI235))-LEN(SUBSTITUTE(UPPER($EI235),".",""))&lt;2,IFERROR(FIND(".",UPPER($EI235)),0)&lt;IFERROR(FIND("E",UPPER($EI235)),999)),ISNUMBER(VALUE($EI235)))),1,2)))</f>
        <v/>
      </c>
      <c r="EK235">
        <f>IF($DM235=0,"",IF($EJ235=1,IF(ISNUMBER($EI235),$EI235,VALUE($EI235)),IF($EJ235=2,$DE235,0)))</f>
        <v/>
      </c>
      <c r="EL235">
        <f>IF($DM235=0,"",COUNTIF($EG$5:$EG$1003,"&lt;"&amp;$EG235)+SUMPRODUCT(($EG$5:$EG$1003=$EG235)*(($EJ$5:$EJ$1003&lt;$EJ235)+($EJ$5:$EJ$1003=$EJ235)*(($EK$5:$EK$1003&lt;$EK235)+($EK$5:$EK$1003=$EK235)*($DE$5:$DE$1003&lt;$DE235))))+1)</f>
        <v/>
      </c>
      <c r="EM235">
        <f>IF($DM235=0,"",$EL235+$EG235-1)</f>
        <v/>
      </c>
      <c r="EN235">
        <f>IF($DM235=0,0,IFERROR(MATCH(1,INDEX(--(TRIM(SUBSTITUTE(SUBSTITUTE(SUBSTITUTE(SUBSTITUTE(LINES_NAME&amp;""," "," "),CHAR(9)," "),CHAR(10)," "),CHAR(13)," "))=$DH235),0),0),0))</f>
        <v/>
      </c>
      <c r="EO235">
        <f>IF($EN235=0,0,IF(OR(UPPER(TRIM(INDEX(LINES_SCHEDULED,$EN235)&amp;""))="YES",UPPER(TRIM(INDEX(LINES_SCHEDULED,$EN235)&amp;""))="Y",UPPER(TRIM(INDEX(LINES_SCHEDULED,$EN235)&amp;""))="X"),1,0))</f>
        <v/>
      </c>
      <c r="EP235">
        <f>IF($DM235=0,"",IF(COUNTIFS($EG$5:$EG$1003,$EG235,$EB$5:$EB$1003,"Ready")&gt;0,"READY",IF(COUNTIFS($EG$5:$EG$1003,$EG235,$EB$5:$EB$1003,"PM")&gt;0,"PM",IF(COUNTIFS($EG$5:$EG$1003,$EG235,$EB$5:$EB$1003,"OT")&gt;0,"OT",""))))</f>
        <v/>
      </c>
      <c r="EQ235">
        <f>IF($EN235=0,"",UPPER(TRIM(INDEX(LINES_STATUS,$EN235)&amp;"")))</f>
        <v/>
      </c>
      <c r="ER235">
        <f>IF($DM235=0,"",IF(OR($EQ235="READY",$EQ235="PM",$EQ235="OT"),$EQ235,$EP235))</f>
        <v/>
      </c>
      <c r="ES235">
        <f>IF($DM235=0,"",IF(AND($DV235&lt;&gt;"",UPPER($DV235)&lt;&gt;"N"),"allergen",IF(ISNUMBER(SEARCH("oil",$DQ235)),"oil",IF(OR(EXACT($DS235,"A662"),EXACT($DS235,"A624")),"bulk",""))))</f>
        <v/>
      </c>
      <c r="ET235">
        <f>IF($DM235=0,"",IF(OR($EA235="",$EA235=0),"",$EA235/100))</f>
        <v/>
      </c>
      <c r="EU235">
        <f>IF(OR($ET235="",$DY235=""),"",INT($DY235*(1-$ET235)+0.5))</f>
        <v/>
      </c>
      <c r="EW235" t="n">
        <v>231</v>
      </c>
      <c r="EX235">
        <f>IFERROR(MATCH($EW235,$EM$5:$EM$1003,0),0)</f>
        <v/>
      </c>
      <c r="EY235">
        <f>IF($EW235&gt;$B$12,"",IF($EX235&gt;0,"row","spacer"))</f>
        <v/>
      </c>
      <c r="EZ235">
        <f>IF(AND($EY235="row",$EY234&lt;&gt;"row"),1,0)</f>
        <v/>
      </c>
      <c r="FA235">
        <f>IF(AND($EY235="row",$EY236&lt;&gt;"row"),1,0)</f>
        <v/>
      </c>
      <c r="FB235">
        <f>IF($EZ235=1,IFERROR(IF(ISNUMBER(INDEX(PASTE_ALL,INDEX($DF$5:$DF$1003,$EX235),$B$37)),INDEX(PASTE_ALL,INDEX($DF$5:$DF$1003,$EX235),$B$37),INDEX($DH$5:$DH$1003,$EX235)),INDEX($DH$5:$DH$1003,$EX235)),"")</f>
        <v/>
      </c>
      <c r="FC235">
        <f>IF($EY235="row",INDEX($ER$5:$ER$1003,$EX235),"")</f>
        <v/>
      </c>
      <c r="FD235">
        <f>IF($EY235="row",INDEX($DN$5:$DN$1003,$EX235),"")</f>
        <v/>
      </c>
      <c r="FE235">
        <f>IF($EY235="row",INDEX($DO$5:$DO$1003,$EX235),"")</f>
        <v/>
      </c>
      <c r="FF235">
        <f>IF($EY235="row",INDEX($DP$5:$DP$1003,$EX235),"")</f>
        <v/>
      </c>
      <c r="FG235">
        <f>IF($EY235="row",INDEX($DQ$5:$DQ$1003,$EX235),"")</f>
        <v/>
      </c>
      <c r="FH235">
        <f>IF($EY235="row",INDEX($DR$5:$DR$1003,$EX235),"")</f>
        <v/>
      </c>
      <c r="FI235">
        <f>IF($EY235="row",INDEX($DS$5:$DS$1003,$EX235),"")</f>
        <v/>
      </c>
      <c r="FJ235">
        <f>IF($EY235="row",INDEX($DT$5:$DT$1003,$EX235),"")</f>
        <v/>
      </c>
      <c r="FK235">
        <f>IF($EY235="row",INDEX($DU$5:$DU$1003,$EX235),"")</f>
        <v/>
      </c>
      <c r="FL235">
        <f>IF($EY235="row",INDEX($DV$5:$DV$1003,$EX235),"")</f>
        <v/>
      </c>
      <c r="FM235">
        <f>IF($EY235="row",INDEX($DW$5:$DW$1003,$EX235),"")</f>
        <v/>
      </c>
      <c r="FN235">
        <f>IF($EY235="row",INDEX($DY$5:$DY$1003,$EX235),"")</f>
        <v/>
      </c>
      <c r="FO235">
        <f>IF($EY235="row",INDEX($EA$5:$EA$1003,$EX235),"")</f>
        <v/>
      </c>
      <c r="FP235">
        <f>IF($EY235="row",INDEX($EC$5:$EC$1003,$EX235),"")</f>
        <v/>
      </c>
      <c r="FQ235">
        <f>IF($EY235="row",INDEX($ET$5:$ET$1003,$EX235),"")</f>
        <v/>
      </c>
      <c r="FR235">
        <f>IF($EY235="row",INDEX($EU$5:$EU$1003,$EX235),"")</f>
        <v/>
      </c>
      <c r="FS235">
        <f>IF(AND($EY235="row",$EY234="row"),IF(OR(INDEX($DT$5:$DT$1003,$EX234)="",INDEX($DT$5:$DT$1003,$EX235)=""),"",IF(NOT(EXACT(INDEX($DT$5:$DT$1003,$EX234),INDEX($DT$5:$DT$1003,$EX235))),"S4",IF(NOT(EXACT(INDEX($DS$5:$DS$1003,$EX234),INDEX($DS$5:$DS$1003,$EX235))),"S3",IF(NOT(EXACT(INDEX($DR$5:$DR$1003,$EX234),INDEX($DR$5:$DR$1003,$EX235))),"S1 Count Change","S1")))),"")</f>
        <v/>
      </c>
      <c r="FT235">
        <f>IF($EY235="row",INDEX($ES$5:$ES$1003,$EX235),"")</f>
        <v/>
      </c>
      <c r="FU235">
        <f>IF($EY235="row",INDEX($EO$5:$EO$1003,$EX235),0)</f>
        <v/>
      </c>
      <c r="FV235">
        <f>IF($FS235="S1 Count Change",1,0)</f>
        <v/>
      </c>
    </row>
    <row r="236">
      <c r="X236" s="69" t="inlineStr">
        <is>
          <t>override field</t>
        </is>
      </c>
      <c r="Y236">
        <f>IFERROR(MATCH(1,$J$5:$J$19,0),0)</f>
        <v/>
      </c>
      <c r="Z236">
        <f>IFERROR(MATCH(2,$J$5:$J$19,0),0)</f>
        <v/>
      </c>
      <c r="AA236">
        <f>IFERROR(MATCH(3,$J$5:$J$19,0),0)</f>
        <v/>
      </c>
      <c r="AB236">
        <f>IFERROR(MATCH(4,$J$5:$J$19,0),0)</f>
        <v/>
      </c>
      <c r="AC236">
        <f>IFERROR(MATCH(5,$J$5:$J$19,0),0)</f>
        <v/>
      </c>
      <c r="AD236">
        <f>IFERROR(MATCH(6,$J$5:$J$19,0),0)</f>
        <v/>
      </c>
      <c r="AE236">
        <f>IFERROR(MATCH(7,$J$5:$J$19,0),0)</f>
        <v/>
      </c>
      <c r="AF236">
        <f>IFERROR(MATCH(8,$J$5:$J$19,0),0)</f>
        <v/>
      </c>
      <c r="AG236">
        <f>IFERROR(MATCH(9,$J$5:$J$19,0),0)</f>
        <v/>
      </c>
      <c r="AH236">
        <f>IFERROR(MATCH(10,$J$5:$J$19,0),0)</f>
        <v/>
      </c>
      <c r="AI236">
        <f>IFERROR(MATCH(11,$J$5:$J$19,0),0)</f>
        <v/>
      </c>
      <c r="AJ236">
        <f>IFERROR(MATCH(12,$J$5:$J$19,0),0)</f>
        <v/>
      </c>
      <c r="AK236">
        <f>IFERROR(MATCH(13,$J$5:$J$19,0),0)</f>
        <v/>
      </c>
      <c r="AL236">
        <f>IFERROR(MATCH(14,$J$5:$J$19,0),0)</f>
        <v/>
      </c>
      <c r="AM236">
        <f>IFERROR(MATCH(15,$J$5:$J$19,0),0)</f>
        <v/>
      </c>
      <c r="AN236">
        <f>IFERROR(MATCH(16,$J$5:$J$19,0),0)</f>
        <v/>
      </c>
      <c r="AO236">
        <f>IFERROR(MATCH(17,$J$5:$J$19,0),0)</f>
        <v/>
      </c>
      <c r="AP236">
        <f>IFERROR(MATCH(18,$J$5:$J$19,0),0)</f>
        <v/>
      </c>
      <c r="AQ236">
        <f>IFERROR(MATCH(19,$J$5:$J$19,0),0)</f>
        <v/>
      </c>
      <c r="AR236">
        <f>IFERROR(MATCH(20,$J$5:$J$19,0),0)</f>
        <v/>
      </c>
      <c r="AS236">
        <f>IFERROR(MATCH(21,$J$5:$J$19,0),0)</f>
        <v/>
      </c>
      <c r="AT236">
        <f>IFERROR(MATCH(22,$J$5:$J$19,0),0)</f>
        <v/>
      </c>
      <c r="AU236">
        <f>IFERROR(MATCH(23,$J$5:$J$19,0),0)</f>
        <v/>
      </c>
      <c r="AV236">
        <f>IFERROR(MATCH(24,$J$5:$J$19,0),0)</f>
        <v/>
      </c>
      <c r="AW236">
        <f>IFERROR(MATCH(25,$J$5:$J$19,0),0)</f>
        <v/>
      </c>
      <c r="AX236">
        <f>IFERROR(MATCH(26,$J$5:$J$19,0),0)</f>
        <v/>
      </c>
      <c r="AY236">
        <f>IFERROR(MATCH(27,$J$5:$J$19,0),0)</f>
        <v/>
      </c>
      <c r="AZ236">
        <f>IFERROR(MATCH(28,$J$5:$J$19,0),0)</f>
        <v/>
      </c>
      <c r="BA236">
        <f>IFERROR(MATCH(29,$J$5:$J$19,0),0)</f>
        <v/>
      </c>
      <c r="BB236">
        <f>IFERROR(MATCH(30,$J$5:$J$19,0),0)</f>
        <v/>
      </c>
      <c r="BC236">
        <f>IFERROR(MATCH(31,$J$5:$J$19,0),0)</f>
        <v/>
      </c>
      <c r="BD236">
        <f>IFERROR(MATCH(32,$J$5:$J$19,0),0)</f>
        <v/>
      </c>
      <c r="BE236">
        <f>IFERROR(MATCH(33,$J$5:$J$19,0),0)</f>
        <v/>
      </c>
      <c r="BF236">
        <f>IFERROR(MATCH(34,$J$5:$J$19,0),0)</f>
        <v/>
      </c>
      <c r="BG236">
        <f>IFERROR(MATCH(35,$J$5:$J$19,0),0)</f>
        <v/>
      </c>
      <c r="BH236">
        <f>IFERROR(MATCH(36,$J$5:$J$19,0),0)</f>
        <v/>
      </c>
      <c r="BI236">
        <f>IFERROR(MATCH(37,$J$5:$J$19,0),0)</f>
        <v/>
      </c>
      <c r="BJ236">
        <f>IFERROR(MATCH(38,$J$5:$J$19,0),0)</f>
        <v/>
      </c>
      <c r="BK236">
        <f>IFERROR(MATCH(39,$J$5:$J$19,0),0)</f>
        <v/>
      </c>
      <c r="BL236">
        <f>IFERROR(MATCH(40,$J$5:$J$19,0),0)</f>
        <v/>
      </c>
      <c r="BM236">
        <f>IFERROR(MATCH(41,$J$5:$J$19,0),0)</f>
        <v/>
      </c>
      <c r="BN236">
        <f>IFERROR(MATCH(42,$J$5:$J$19,0),0)</f>
        <v/>
      </c>
      <c r="BO236">
        <f>IFERROR(MATCH(43,$J$5:$J$19,0),0)</f>
        <v/>
      </c>
      <c r="BP236">
        <f>IFERROR(MATCH(44,$J$5:$J$19,0),0)</f>
        <v/>
      </c>
      <c r="BQ236">
        <f>IFERROR(MATCH(45,$J$5:$J$19,0),0)</f>
        <v/>
      </c>
      <c r="BR236">
        <f>IFERROR(MATCH(46,$J$5:$J$19,0),0)</f>
        <v/>
      </c>
      <c r="BS236">
        <f>IFERROR(MATCH(47,$J$5:$J$19,0),0)</f>
        <v/>
      </c>
      <c r="BT236">
        <f>IFERROR(MATCH(48,$J$5:$J$19,0),0)</f>
        <v/>
      </c>
      <c r="BU236">
        <f>IFERROR(MATCH(49,$J$5:$J$19,0),0)</f>
        <v/>
      </c>
      <c r="BV236">
        <f>IFERROR(MATCH(50,$J$5:$J$19,0),0)</f>
        <v/>
      </c>
      <c r="BW236">
        <f>IFERROR(MATCH(51,$J$5:$J$19,0),0)</f>
        <v/>
      </c>
      <c r="BX236">
        <f>IFERROR(MATCH(52,$J$5:$J$19,0),0)</f>
        <v/>
      </c>
      <c r="BY236">
        <f>IFERROR(MATCH(53,$J$5:$J$19,0),0)</f>
        <v/>
      </c>
      <c r="BZ236">
        <f>IFERROR(MATCH(54,$J$5:$J$19,0),0)</f>
        <v/>
      </c>
      <c r="CA236">
        <f>IFERROR(MATCH(55,$J$5:$J$19,0),0)</f>
        <v/>
      </c>
      <c r="CB236">
        <f>IFERROR(MATCH(56,$J$5:$J$19,0),0)</f>
        <v/>
      </c>
      <c r="CC236">
        <f>IFERROR(MATCH(57,$J$5:$J$19,0),0)</f>
        <v/>
      </c>
      <c r="CD236">
        <f>IFERROR(MATCH(58,$J$5:$J$19,0),0)</f>
        <v/>
      </c>
      <c r="CE236">
        <f>IFERROR(MATCH(59,$J$5:$J$19,0),0)</f>
        <v/>
      </c>
      <c r="CF236">
        <f>IFERROR(MATCH(60,$J$5:$J$19,0),0)</f>
        <v/>
      </c>
      <c r="CH236">
        <f>SUMPRODUCT(($J$5:$J$19&lt;&gt;0)*$G$5:$G$19)</f>
        <v/>
      </c>
      <c r="CI236" s="69" t="inlineStr">
        <is>
          <t>overridden fields mask</t>
        </is>
      </c>
      <c r="DA236" t="n">
        <v>232</v>
      </c>
      <c r="DB236">
        <f>IF($B$37=0,"",IFERROR(TRIM(SUBSTITUTE(SUBSTITUTE(SUBSTITUTE(SUBSTITUTE(INDEX(PASTE_ALL,232,$B$37)," "," "),CHAR(9)," "),CHAR(10)," "),CHAR(13)," ")),""))</f>
        <v/>
      </c>
      <c r="DC236">
        <f>IF(AND(232&gt;HEADER_ROW,UPPER(DB236)="LEGEND"),1,0)</f>
        <v/>
      </c>
      <c r="DE236" t="n">
        <v>232</v>
      </c>
      <c r="DF236">
        <f>HEADER_ROW+$DE236</f>
        <v/>
      </c>
      <c r="DG236">
        <f>IF(AND($DF236&lt;=1000,$DF236&lt;$B$8),1,0)</f>
        <v/>
      </c>
      <c r="DH236">
        <f>IF($DG236=1,IFERROR(INDEX($DB$5:$DB$1004,$DF236),""),"")</f>
        <v/>
      </c>
      <c r="DI236">
        <f>IF(AND($DG236=1,$DH236&lt;&gt;""),IFERROR(SUBSTITUTE(SUBSTITUTE(TRIM(SUBSTITUTE(SUBSTITUTE(SUBSTITUTE(SUBSTITUTE(IFERROR(INDEX(PASTE_ALL,$DF236,1)&amp;"","")&amp;"␟"&amp;IFERROR(INDEX(PASTE_ALL,$DF236,2)&amp;"","")&amp;"␟"&amp;IFERROR(INDEX(PASTE_ALL,$DF236,3)&amp;"","")&amp;"␟"&amp;IFERROR(INDEX(PASTE_ALL,$DF236,4)&amp;"","")&amp;"␟"&amp;IFERROR(INDEX(PASTE_ALL,$DF236,5)&amp;"","")&amp;"␟"&amp;IFERROR(INDEX(PASTE_ALL,$DF236,6)&amp;"","")&amp;"␟"&amp;IFERROR(INDEX(PASTE_ALL,$DF236,7)&amp;"","")&amp;"␟"&amp;IFERROR(INDEX(PASTE_ALL,$DF236,8)&amp;"","")&amp;"␟"&amp;IFERROR(INDEX(PASTE_ALL,$DF236,9)&amp;"","")&amp;"␟"&amp;IFERROR(INDEX(PASTE_ALL,$DF236,10)&amp;"","")&amp;"␟"&amp;IFERROR(INDEX(PASTE_ALL,$DF236,11)&amp;"","")&amp;"␟"&amp;IFERROR(INDEX(PASTE_ALL,$DF236,12)&amp;"","")&amp;"␟"&amp;IFERROR(INDEX(PASTE_ALL,$DF236,13)&amp;"","")&amp;"␟"&amp;IFERROR(INDEX(PASTE_ALL,$DF236,14)&amp;"","")&amp;"␟"&amp;IFERROR(INDEX(PASTE_ALL,$DF236,15)&amp;"","")&amp;"␟"&amp;IFERROR(INDEX(PASTE_ALL,$DF236,16)&amp;"","")&amp;"␟"&amp;IFERROR(INDEX(PASTE_ALL,$DF236,17)&amp;"","")&amp;"␟"&amp;IFERROR(INDEX(PASTE_ALL,$DF236,18)&amp;"","")&amp;"␟"&amp;IFERROR(INDEX(PASTE_ALL,$DF236,19)&amp;"","")&amp;"␟"&amp;IFERROR(INDEX(PASTE_ALL,$DF236,20)&amp;"","")&amp;"␟"&amp;IFERROR(INDEX(PASTE_ALL,$DF236,21)&amp;"","")&amp;"␟"&amp;IFERROR(INDEX(PASTE_ALL,$DF236,22)&amp;"","")&amp;"␟"&amp;IFERROR(INDEX(PASTE_ALL,$DF236,23)&amp;"","")&amp;"␟"&amp;IFERROR(INDEX(PASTE_ALL,$DF236,24)&amp;"","")&amp;"␟"&amp;IFERROR(INDEX(PASTE_ALL,$DF236,25)&amp;"","")&amp;"␟"&amp;IFERROR(INDEX(PASTE_ALL,$DF236,26)&amp;"","")&amp;"␟"&amp;IFERROR(INDEX(PASTE_ALL,$DF236,27)&amp;"","")&amp;"␟"&amp;IFERROR(INDEX(PASTE_ALL,$DF236,28)&amp;"","")&amp;"␟"&amp;IFERROR(INDEX(PASTE_ALL,$DF236,29)&amp;"","")&amp;"␟"&amp;IFERROR(INDEX(PASTE_ALL,$DF236,30)&amp;"","")&amp;"␟"&amp;IFERROR(INDEX(PASTE_ALL,$DF236,31)&amp;"","")&amp;"␟"&amp;IFERROR(INDEX(PASTE_ALL,$DF236,32)&amp;"","")&amp;"␟"&amp;IFERROR(INDEX(PASTE_ALL,$DF236,33)&amp;"","")&amp;"␟"&amp;IFERROR(INDEX(PASTE_ALL,$DF236,34)&amp;"","")&amp;"␟"&amp;IFERROR(INDEX(PASTE_ALL,$DF236,35)&amp;"","")&amp;"␟"&amp;IFERROR(INDEX(PASTE_ALL,$DF236,36)&amp;"","")&amp;"␟"&amp;IFERROR(INDEX(PASTE_ALL,$DF236,37)&amp;"","")&amp;"␟"&amp;IFERROR(INDEX(PASTE_ALL,$DF236,38)&amp;"","")&amp;"␟"&amp;IFERROR(INDEX(PASTE_ALL,$DF236,39)&amp;"","")&amp;"␟"&amp;IFERROR(INDEX(PASTE_ALL,$DF236,40)&amp;"","")&amp;"␟"&amp;IFERROR(INDEX(PASTE_ALL,$DF236,41)&amp;"","")&amp;"␟"&amp;IFERROR(INDEX(PASTE_ALL,$DF236,42)&amp;"","")&amp;"␟"&amp;IFERROR(INDEX(PASTE_ALL,$DF236,43)&amp;"","")&amp;"␟"&amp;IFERROR(INDEX(PASTE_ALL,$DF236,44)&amp;"","")&amp;"␟"&amp;IFERROR(INDEX(PASTE_ALL,$DF236,45)&amp;"","")&amp;"␟"&amp;IFERROR(INDEX(PASTE_ALL,$DF236,46)&amp;"","")&amp;"␟"&amp;IFERROR(INDEX(PASTE_ALL,$DF236,47)&amp;"","")&amp;"␟"&amp;IFERROR(INDEX(PASTE_ALL,$DF236,48)&amp;"","")&amp;"␟"&amp;IFERROR(INDEX(PASTE_ALL,$DF236,49)&amp;"","")&amp;"␟"&amp;IFERROR(INDEX(PASTE_ALL,$DF236,50)&amp;"","")&amp;"␟"&amp;IFERROR(INDEX(PASTE_ALL,$DF236,51)&amp;"","")&amp;"␟"&amp;IFERROR(INDEX(PASTE_ALL,$DF236,52)&amp;"","")&amp;"␟"&amp;IFERROR(INDEX(PASTE_ALL,$DF236,53)&amp;"","")&amp;"␟"&amp;IFERROR(INDEX(PASTE_ALL,$DF236,54)&amp;"","")&amp;"␟"&amp;IFERROR(INDEX(PASTE_ALL,$DF236,55)&amp;"","")&amp;"␟"&amp;IFERROR(INDEX(PASTE_ALL,$DF236,56)&amp;"","")&amp;"␟"&amp;IFERROR(INDEX(PASTE_ALL,$DF236,57)&amp;"","")&amp;"␟"&amp;IFERROR(INDEX(PASTE_ALL,$DF236,58)&amp;"","")&amp;"␟"&amp;IFERROR(INDEX(PASTE_ALL,$DF236,59)&amp;"","")&amp;"␟"&amp;IFERROR(INDEX(PASTE_ALL,$DF236,60)&amp;"","")," "," "),CHAR(9)," "),CHAR(10)," "),CHAR(13)," "))," ␟","␟"),"␟ ","␟"),"#"&amp;$DE236),"")</f>
        <v/>
      </c>
      <c r="DJ236">
        <f>IF($DI236="",0,IF(SUMPRODUCT(--EXACT($DI$4:DI235,$DI236))&gt;0,1,0))</f>
        <v/>
      </c>
      <c r="DK236">
        <f>IF(AND($DI236&lt;&gt;"",$DJ236=0),1,0)</f>
        <v/>
      </c>
      <c r="DL236">
        <f>DL235+$DK236</f>
        <v/>
      </c>
      <c r="DM236">
        <f>IF(AND($DK236=1,$DL236&lt;=600),1,0)</f>
        <v/>
      </c>
      <c r="DN236">
        <f>IF($DM236=0,"",IF($L$6=0,"",IFERROR(IF(ISNUMBER(INDEX(PASTE_ALL,$DF236,$L$6)),INDEX(PASTE_ALL,$DF236,$L$6),TRIM(SUBSTITUTE(SUBSTITUTE(SUBSTITUTE(SUBSTITUTE(INDEX(PASTE_ALL,$DF236,$L$6)," "," "),CHAR(9)," "),CHAR(10)," "),CHAR(13)," "))),"")))</f>
        <v/>
      </c>
      <c r="DO236">
        <f>IF($DM236=0,"",IF($L$7=0,"",IFERROR(IF(ISNUMBER(INDEX(PASTE_ALL,$DF236,$L$7)),INDEX(PASTE_ALL,$DF236,$L$7),TRIM(SUBSTITUTE(SUBSTITUTE(SUBSTITUTE(SUBSTITUTE(INDEX(PASTE_ALL,$DF236,$L$7)," "," "),CHAR(9)," "),CHAR(10)," "),CHAR(13)," "))),"")))</f>
        <v/>
      </c>
      <c r="DP236">
        <f>IF($DM236=0,"",IF($L$8=0,"",IFERROR(IF(ISNUMBER(INDEX(PASTE_ALL,$DF236,$L$8)),INDEX(PASTE_ALL,$DF236,$L$8),TRIM(SUBSTITUTE(SUBSTITUTE(SUBSTITUTE(SUBSTITUTE(INDEX(PASTE_ALL,$DF236,$L$8)," "," "),CHAR(9)," "),CHAR(10)," "),CHAR(13)," "))),"")))</f>
        <v/>
      </c>
      <c r="DQ236">
        <f>IF($DM236=0,"",IF($L$9=0,"",IFERROR(IF(ISNUMBER(INDEX(PASTE_ALL,$DF236,$L$9)),INDEX(PASTE_ALL,$DF236,$L$9),TRIM(SUBSTITUTE(SUBSTITUTE(SUBSTITUTE(SUBSTITUTE(INDEX(PASTE_ALL,$DF236,$L$9)," "," "),CHAR(9)," "),CHAR(10)," "),CHAR(13)," "))),"")))</f>
        <v/>
      </c>
      <c r="DR236">
        <f>IF($DM236=0,"",IF($L$10=0,"",IFERROR(IF(ISNUMBER(INDEX(PASTE_ALL,$DF236,$L$10)),INDEX(PASTE_ALL,$DF236,$L$10),TRIM(SUBSTITUTE(SUBSTITUTE(SUBSTITUTE(SUBSTITUTE(INDEX(PASTE_ALL,$DF236,$L$10)," "," "),CHAR(9)," "),CHAR(10)," "),CHAR(13)," "))),"")))</f>
        <v/>
      </c>
      <c r="DS236">
        <f>IF($DM236=0,"",IF($L$11=0,"",IFERROR(IF(ISNUMBER(INDEX(PASTE_ALL,$DF236,$L$11)),INDEX(PASTE_ALL,$DF236,$L$11),TRIM(SUBSTITUTE(SUBSTITUTE(SUBSTITUTE(SUBSTITUTE(INDEX(PASTE_ALL,$DF236,$L$11)," "," "),CHAR(9)," "),CHAR(10)," "),CHAR(13)," "))),"")))</f>
        <v/>
      </c>
      <c r="DT236">
        <f>IF($DM236=0,"",IF($L$12=0,"",IFERROR(IF(ISNUMBER(INDEX(PASTE_ALL,$DF236,$L$12)),INDEX(PASTE_ALL,$DF236,$L$12),TRIM(SUBSTITUTE(SUBSTITUTE(SUBSTITUTE(SUBSTITUTE(INDEX(PASTE_ALL,$DF236,$L$12)," "," "),CHAR(9)," "),CHAR(10)," "),CHAR(13)," "))),"")))</f>
        <v/>
      </c>
      <c r="DU236">
        <f>IF($DM236=0,"",IF($L$13=0,"",IFERROR(IF(ISNUMBER(INDEX(PASTE_ALL,$DF236,$L$13)),INDEX(PASTE_ALL,$DF236,$L$13),TRIM(SUBSTITUTE(SUBSTITUTE(SUBSTITUTE(SUBSTITUTE(INDEX(PASTE_ALL,$DF236,$L$13)," "," "),CHAR(9)," "),CHAR(10)," "),CHAR(13)," "))),"")))</f>
        <v/>
      </c>
      <c r="DV236">
        <f>IF($DM236=0,"",IF($L$14=0,"",IFERROR(IF(ISNUMBER(INDEX(PASTE_ALL,$DF236,$L$14)),INDEX(PASTE_ALL,$DF236,$L$14),TRIM(SUBSTITUTE(SUBSTITUTE(SUBSTITUTE(SUBSTITUTE(INDEX(PASTE_ALL,$DF236,$L$14)," "," "),CHAR(9)," "),CHAR(10)," "),CHAR(13)," "))),"")))</f>
        <v/>
      </c>
      <c r="DW236">
        <f>IF($DM236=0,"",IF($L$15=0,"",IFERROR(IF(ISNUMBER(INDEX(PASTE_ALL,$DF236,$L$15)),INDEX(PASTE_ALL,$DF236,$L$15),IF(SUMPRODUCT(--ISNUMBER(FIND({"A","B","C","D","E","F","G","H","I","J","K","L","M","N","O","P","Q","R","S","T","U","V","W","X","Y","Z","0","1","2","3","4","5","6","7","8","9"},UPPER(TRIM(SUBSTITUTE(SUBSTITUTE(SUBSTITUTE(SUBSTITUTE(INDEX(PASTE_ALL,$DF236,$L$15)," "," "),CHAR(9)," "),CHAR(10)," "),CHAR(13)," "))))))&gt;0,TRIM(SUBSTITUTE(SUBSTITUTE(SUBSTITUTE(SUBSTITUTE(INDEX(PASTE_ALL,$DF236,$L$15)," "," "),CHAR(9)," "),CHAR(10)," "),CHAR(13)," ")),"")),"")))</f>
        <v/>
      </c>
      <c r="DX236">
        <f>IF($DM236=0,"",IF($L$16=0,"",IFERROR(IF(ISNUMBER(INDEX(PASTE_ALL,$DF236,$L$16)),INDEX(PASTE_ALL,$DF236,$L$16),SUBSTITUTE(SUBSTITUTE(TRIM(SUBSTITUTE(SUBSTITUTE(SUBSTITUTE(SUBSTITUTE(INDEX(PASTE_ALL,$DF236,$L$16)," "," "),CHAR(9)," "),CHAR(10)," "),CHAR(13)," ")),",",""),"%","")),"")))</f>
        <v/>
      </c>
      <c r="DY236">
        <f>IF($DM236=0,"",IFERROR(IF(ISNUMBER($DX236),$DX236,IF($DX236="","",IF(TRIM($DX236)="",0,IF(AND(AND(SUBSTITUTE(SUBSTITUTE(SUBSTITUTE(SUBSTITUTE(SUBSTITUTE(SUBSTITUTE(SUBSTITUTE(SUBSTITUTE(SUBSTITUTE(SUBSTITUTE(SUBSTITUTE(SUBSTITUTE(SUBSTITUTE(SUBSTITUTE(UPPER(TRIM($DX236)),"0",""),"1",""),"2",""),"3",""),"4",""),"5",""),"6",""),"7",""),"8",""),"9",""),".",""),"+",""),"-",""),"E","")="",LEN(SUBSTITUTE(SUBSTITUTE(MID(UPPER(TRIM($DX236)),1+OR(LEFT(UPPER(TRIM($DX236)),1)="+",LEFT(UPPER(TRIM($DX236)),1)="-"),999),"E+","E"),"E-","E"))=LEN(SUBSTITUTE(SUBSTITUTE(SUBSTITUTE(SUBSTITUTE(MID(UPPER(TRIM($DX236)),1+OR(LEFT(UPPER(TRIM($DX236)),1)="+",LEFT(UPPER(TRIM($DX236)),1)="-"),999),"E+","E"),"E-","E"),"+",""),"-","")),LEN(UPPER(TRIM($DX236)))-LEN(SUBSTITUTE(UPPER(TRIM($DX236)),"E",""))&lt;2,LEN(UPPER(TRIM($DX236)))-LEN(SUBSTITUTE(UPPER(TRIM($DX236)),".",""))&lt;2,IFERROR(FIND(".",UPPER(TRIM($DX236))),0)&lt;IFERROR(FIND("E",UPPER(TRIM($DX236))),999)),ISNUMBER(VALUE(TRIM($DX236)))),VALUE(TRIM($DX236)),"")))),""))</f>
        <v/>
      </c>
      <c r="DZ236">
        <f>IF($DM236=0,"",IF($L$17=0,"",IFERROR(IF(ISNUMBER(INDEX(PASTE_ALL,$DF236,$L$17)),INDEX(PASTE_ALL,$DF236,$L$17),SUBSTITUTE(SUBSTITUTE(TRIM(SUBSTITUTE(SUBSTITUTE(SUBSTITUTE(SUBSTITUTE(INDEX(PASTE_ALL,$DF236,$L$17)," "," "),CHAR(9)," "),CHAR(10)," "),CHAR(13)," ")),",",""),"%","")),"")))</f>
        <v/>
      </c>
      <c r="EA236">
        <f>IF($DM236=0,"",IFERROR(IF(ISNUMBER($DZ236),$DZ236,IF($DZ236="","",IF(TRIM($DZ236)="",0,IF(AND(AND(SUBSTITUTE(SUBSTITUTE(SUBSTITUTE(SUBSTITUTE(SUBSTITUTE(SUBSTITUTE(SUBSTITUTE(SUBSTITUTE(SUBSTITUTE(SUBSTITUTE(SUBSTITUTE(SUBSTITUTE(SUBSTITUTE(SUBSTITUTE(UPPER(TRIM($DZ236)),"0",""),"1",""),"2",""),"3",""),"4",""),"5",""),"6",""),"7",""),"8",""),"9",""),".",""),"+",""),"-",""),"E","")="",LEN(SUBSTITUTE(SUBSTITUTE(MID(UPPER(TRIM($DZ236)),1+OR(LEFT(UPPER(TRIM($DZ236)),1)="+",LEFT(UPPER(TRIM($DZ236)),1)="-"),999),"E+","E"),"E-","E"))=LEN(SUBSTITUTE(SUBSTITUTE(SUBSTITUTE(SUBSTITUTE(MID(UPPER(TRIM($DZ236)),1+OR(LEFT(UPPER(TRIM($DZ236)),1)="+",LEFT(UPPER(TRIM($DZ236)),1)="-"),999),"E+","E"),"E-","E"),"+",""),"-","")),LEN(UPPER(TRIM($DZ236)))-LEN(SUBSTITUTE(UPPER(TRIM($DZ236)),"E",""))&lt;2,LEN(UPPER(TRIM($DZ236)))-LEN(SUBSTITUTE(UPPER(TRIM($DZ236)),".",""))&lt;2,IFERROR(FIND(".",UPPER(TRIM($DZ236))),0)&lt;IFERROR(FIND("E",UPPER(TRIM($DZ236))),999)),ISNUMBER(VALUE(TRIM($DZ236)))),VALUE(TRIM($DZ236)),"")))),""))</f>
        <v/>
      </c>
      <c r="EB236">
        <f>IF($DM236=0,"",IF($L$18=0,"",IFERROR(IF(UPPER(TRIM(SUBSTITUTE(SUBSTITUTE(SUBSTITUTE(SUBSTITUTE(INDEX(PASTE_ALL,$DF236,$L$18)," "," "),CHAR(9)," "),CHAR(10)," "),CHAR(13)," ")))="READY","Ready",IF(UPPER(TRIM(SUBSTITUTE(SUBSTITUTE(SUBSTITUTE(SUBSTITUTE(INDEX(PASTE_ALL,$DF236,$L$18)," "," "),CHAR(9)," "),CHAR(10)," "),CHAR(13)," ")))="PM","PM",IF(OR(UPPER(TRIM(SUBSTITUTE(SUBSTITUTE(SUBSTITUTE(SUBSTITUTE(INDEX(PASTE_ALL,$DF236,$L$18)," "," "),CHAR(9)," "),CHAR(10)," "),CHAR(13)," ")))="OT",UPPER(TRIM(SUBSTITUTE(SUBSTITUTE(SUBSTITUTE(SUBSTITUTE(INDEX(PASTE_ALL,$DF236,$L$18)," "," "),CHAR(9)," "),CHAR(10)," "),CHAR(13)," ")))="OVERTIME",UPPER(TRIM(SUBSTITUTE(SUBSTITUTE(SUBSTITUTE(SUBSTITUTE(INDEX(PASTE_ALL,$DF236,$L$18)," "," "),CHAR(9)," "),CHAR(10)," "),CHAR(13)," ")))="TRIAL"),"OT",TRIM(SUBSTITUTE(SUBSTITUTE(SUBSTITUTE(SUBSTITUTE(INDEX(PASTE_ALL,$DF236,$L$18)," "," "),CHAR(9)," "),CHAR(10)," "),CHAR(13)," "))))),"")))</f>
        <v/>
      </c>
      <c r="EC236">
        <f>IF($DM236=0,"",IF($L$19=0,"",IFERROR(IF(ISNUMBER(INDEX(PASTE_ALL,$DF236,$L$19)),INDEX(PASTE_ALL,$DF236,$L$19),TRIM(SUBSTITUTE(SUBSTITUTE(SUBSTITUTE(SUBSTITUTE(INDEX(PASTE_ALL,$DF236,$L$19)," "," "),CHAR(9)," "),CHAR(10)," "),CHAR(13)," "))),"")))</f>
        <v/>
      </c>
      <c r="ED236">
        <f>IF($DM236=0,"",MATCH(1,INDEX(EXACT($DH$5:DH236,$DH236)*$DM$5:DM236,0),0))</f>
        <v/>
      </c>
      <c r="EE236">
        <f>IF($DM236=0,0,IF($ED236=$DE236,1,0))</f>
        <v/>
      </c>
      <c r="EF236">
        <f>EF235+$EE236</f>
        <v/>
      </c>
      <c r="EG236">
        <f>IF($DM236=0,"",INDEX($EF$5:$EF$1003,$ED236))</f>
        <v/>
      </c>
      <c r="EH236">
        <f>IF($DM236=0,"",IF($DO236&lt;&gt;"","",IFERROR(LOOKUP(2,1/(($EG$4:EG235=$EG236)*($DO$4:DO235&lt;&gt;"")),$DO$4:DO235),"")))</f>
        <v/>
      </c>
      <c r="EI236">
        <f>IF($DM236=0,"",IF($DO236&lt;&gt;"",$DO236,$EH236))</f>
        <v/>
      </c>
      <c r="EJ236">
        <f>IF($DM236=0,"",IF($EI236="",0,IF(OR(ISNUMBER($EI236),AND(AND(SUBSTITUTE(SUBSTITUTE(SUBSTITUTE(SUBSTITUTE(SUBSTITUTE(SUBSTITUTE(SUBSTITUTE(SUBSTITUTE(SUBSTITUTE(SUBSTITUTE(SUBSTITUTE(SUBSTITUTE(SUBSTITUTE(SUBSTITUTE(UPPER($EI236),"0",""),"1",""),"2",""),"3",""),"4",""),"5",""),"6",""),"7",""),"8",""),"9",""),".",""),"+",""),"-",""),"E","")="",LEN(SUBSTITUTE(SUBSTITUTE(MID(UPPER($EI236),1+OR(LEFT(UPPER($EI236),1)="+",LEFT(UPPER($EI236),1)="-"),999),"E+","E"),"E-","E"))=LEN(SUBSTITUTE(SUBSTITUTE(SUBSTITUTE(SUBSTITUTE(MID(UPPER($EI236),1+OR(LEFT(UPPER($EI236),1)="+",LEFT(UPPER($EI236),1)="-"),999),"E+","E"),"E-","E"),"+",""),"-","")),LEN(UPPER($EI236))-LEN(SUBSTITUTE(UPPER($EI236),"E",""))&lt;2,LEN(UPPER($EI236))-LEN(SUBSTITUTE(UPPER($EI236),".",""))&lt;2,IFERROR(FIND(".",UPPER($EI236)),0)&lt;IFERROR(FIND("E",UPPER($EI236)),999)),ISNUMBER(VALUE($EI236)))),1,2)))</f>
        <v/>
      </c>
      <c r="EK236">
        <f>IF($DM236=0,"",IF($EJ236=1,IF(ISNUMBER($EI236),$EI236,VALUE($EI236)),IF($EJ236=2,$DE236,0)))</f>
        <v/>
      </c>
      <c r="EL236">
        <f>IF($DM236=0,"",COUNTIF($EG$5:$EG$1003,"&lt;"&amp;$EG236)+SUMPRODUCT(($EG$5:$EG$1003=$EG236)*(($EJ$5:$EJ$1003&lt;$EJ236)+($EJ$5:$EJ$1003=$EJ236)*(($EK$5:$EK$1003&lt;$EK236)+($EK$5:$EK$1003=$EK236)*($DE$5:$DE$1003&lt;$DE236))))+1)</f>
        <v/>
      </c>
      <c r="EM236">
        <f>IF($DM236=0,"",$EL236+$EG236-1)</f>
        <v/>
      </c>
      <c r="EN236">
        <f>IF($DM236=0,0,IFERROR(MATCH(1,INDEX(--(TRIM(SUBSTITUTE(SUBSTITUTE(SUBSTITUTE(SUBSTITUTE(LINES_NAME&amp;""," "," "),CHAR(9)," "),CHAR(10)," "),CHAR(13)," "))=$DH236),0),0),0))</f>
        <v/>
      </c>
      <c r="EO236">
        <f>IF($EN236=0,0,IF(OR(UPPER(TRIM(INDEX(LINES_SCHEDULED,$EN236)&amp;""))="YES",UPPER(TRIM(INDEX(LINES_SCHEDULED,$EN236)&amp;""))="Y",UPPER(TRIM(INDEX(LINES_SCHEDULED,$EN236)&amp;""))="X"),1,0))</f>
        <v/>
      </c>
      <c r="EP236">
        <f>IF($DM236=0,"",IF(COUNTIFS($EG$5:$EG$1003,$EG236,$EB$5:$EB$1003,"Ready")&gt;0,"READY",IF(COUNTIFS($EG$5:$EG$1003,$EG236,$EB$5:$EB$1003,"PM")&gt;0,"PM",IF(COUNTIFS($EG$5:$EG$1003,$EG236,$EB$5:$EB$1003,"OT")&gt;0,"OT",""))))</f>
        <v/>
      </c>
      <c r="EQ236">
        <f>IF($EN236=0,"",UPPER(TRIM(INDEX(LINES_STATUS,$EN236)&amp;"")))</f>
        <v/>
      </c>
      <c r="ER236">
        <f>IF($DM236=0,"",IF(OR($EQ236="READY",$EQ236="PM",$EQ236="OT"),$EQ236,$EP236))</f>
        <v/>
      </c>
      <c r="ES236">
        <f>IF($DM236=0,"",IF(AND($DV236&lt;&gt;"",UPPER($DV236)&lt;&gt;"N"),"allergen",IF(ISNUMBER(SEARCH("oil",$DQ236)),"oil",IF(OR(EXACT($DS236,"A662"),EXACT($DS236,"A624")),"bulk",""))))</f>
        <v/>
      </c>
      <c r="ET236">
        <f>IF($DM236=0,"",IF(OR($EA236="",$EA236=0),"",$EA236/100))</f>
        <v/>
      </c>
      <c r="EU236">
        <f>IF(OR($ET236="",$DY236=""),"",INT($DY236*(1-$ET236)+0.5))</f>
        <v/>
      </c>
      <c r="EW236" t="n">
        <v>232</v>
      </c>
      <c r="EX236">
        <f>IFERROR(MATCH($EW236,$EM$5:$EM$1003,0),0)</f>
        <v/>
      </c>
      <c r="EY236">
        <f>IF($EW236&gt;$B$12,"",IF($EX236&gt;0,"row","spacer"))</f>
        <v/>
      </c>
      <c r="EZ236">
        <f>IF(AND($EY236="row",$EY235&lt;&gt;"row"),1,0)</f>
        <v/>
      </c>
      <c r="FA236">
        <f>IF(AND($EY236="row",$EY237&lt;&gt;"row"),1,0)</f>
        <v/>
      </c>
      <c r="FB236">
        <f>IF($EZ236=1,IFERROR(IF(ISNUMBER(INDEX(PASTE_ALL,INDEX($DF$5:$DF$1003,$EX236),$B$37)),INDEX(PASTE_ALL,INDEX($DF$5:$DF$1003,$EX236),$B$37),INDEX($DH$5:$DH$1003,$EX236)),INDEX($DH$5:$DH$1003,$EX236)),"")</f>
        <v/>
      </c>
      <c r="FC236">
        <f>IF($EY236="row",INDEX($ER$5:$ER$1003,$EX236),"")</f>
        <v/>
      </c>
      <c r="FD236">
        <f>IF($EY236="row",INDEX($DN$5:$DN$1003,$EX236),"")</f>
        <v/>
      </c>
      <c r="FE236">
        <f>IF($EY236="row",INDEX($DO$5:$DO$1003,$EX236),"")</f>
        <v/>
      </c>
      <c r="FF236">
        <f>IF($EY236="row",INDEX($DP$5:$DP$1003,$EX236),"")</f>
        <v/>
      </c>
      <c r="FG236">
        <f>IF($EY236="row",INDEX($DQ$5:$DQ$1003,$EX236),"")</f>
        <v/>
      </c>
      <c r="FH236">
        <f>IF($EY236="row",INDEX($DR$5:$DR$1003,$EX236),"")</f>
        <v/>
      </c>
      <c r="FI236">
        <f>IF($EY236="row",INDEX($DS$5:$DS$1003,$EX236),"")</f>
        <v/>
      </c>
      <c r="FJ236">
        <f>IF($EY236="row",INDEX($DT$5:$DT$1003,$EX236),"")</f>
        <v/>
      </c>
      <c r="FK236">
        <f>IF($EY236="row",INDEX($DU$5:$DU$1003,$EX236),"")</f>
        <v/>
      </c>
      <c r="FL236">
        <f>IF($EY236="row",INDEX($DV$5:$DV$1003,$EX236),"")</f>
        <v/>
      </c>
      <c r="FM236">
        <f>IF($EY236="row",INDEX($DW$5:$DW$1003,$EX236),"")</f>
        <v/>
      </c>
      <c r="FN236">
        <f>IF($EY236="row",INDEX($DY$5:$DY$1003,$EX236),"")</f>
        <v/>
      </c>
      <c r="FO236">
        <f>IF($EY236="row",INDEX($EA$5:$EA$1003,$EX236),"")</f>
        <v/>
      </c>
      <c r="FP236">
        <f>IF($EY236="row",INDEX($EC$5:$EC$1003,$EX236),"")</f>
        <v/>
      </c>
      <c r="FQ236">
        <f>IF($EY236="row",INDEX($ET$5:$ET$1003,$EX236),"")</f>
        <v/>
      </c>
      <c r="FR236">
        <f>IF($EY236="row",INDEX($EU$5:$EU$1003,$EX236),"")</f>
        <v/>
      </c>
      <c r="FS236">
        <f>IF(AND($EY236="row",$EY235="row"),IF(OR(INDEX($DT$5:$DT$1003,$EX235)="",INDEX($DT$5:$DT$1003,$EX236)=""),"",IF(NOT(EXACT(INDEX($DT$5:$DT$1003,$EX235),INDEX($DT$5:$DT$1003,$EX236))),"S4",IF(NOT(EXACT(INDEX($DS$5:$DS$1003,$EX235),INDEX($DS$5:$DS$1003,$EX236))),"S3",IF(NOT(EXACT(INDEX($DR$5:$DR$1003,$EX235),INDEX($DR$5:$DR$1003,$EX236))),"S1 Count Change","S1")))),"")</f>
        <v/>
      </c>
      <c r="FT236">
        <f>IF($EY236="row",INDEX($ES$5:$ES$1003,$EX236),"")</f>
        <v/>
      </c>
      <c r="FU236">
        <f>IF($EY236="row",INDEX($EO$5:$EO$1003,$EX236),0)</f>
        <v/>
      </c>
      <c r="FV236">
        <f>IF($FS236="S1 Count Change",1,0)</f>
        <v/>
      </c>
    </row>
    <row r="237">
      <c r="X237" s="69" t="inlineStr">
        <is>
          <t>EXACT claim</t>
        </is>
      </c>
      <c r="Y237">
        <f>IF(Y236&gt;0,0,IF(AND(Y231&gt;0,MOD(INT($CH$236/2^Y231),2)=0),Y231,0))</f>
        <v/>
      </c>
      <c r="Z237">
        <f>IF(Z236&gt;0,0,IF(AND(Z231&gt;0,MOD(INT($CH$236/2^Z231),2)=0,COUNTIFS($Y$231:Y231,Z231,$Y$236:Y236,0)=0),Z231,0))</f>
        <v/>
      </c>
      <c r="AA237">
        <f>IF(AA236&gt;0,0,IF(AND(AA231&gt;0,MOD(INT($CH$236/2^AA231),2)=0,COUNTIFS($Y$231:Z231,AA231,$Y$236:Z236,0)=0),AA231,0))</f>
        <v/>
      </c>
      <c r="AB237">
        <f>IF(AB236&gt;0,0,IF(AND(AB231&gt;0,MOD(INT($CH$236/2^AB231),2)=0,COUNTIFS($Y$231:AA231,AB231,$Y$236:AA236,0)=0),AB231,0))</f>
        <v/>
      </c>
      <c r="AC237">
        <f>IF(AC236&gt;0,0,IF(AND(AC231&gt;0,MOD(INT($CH$236/2^AC231),2)=0,COUNTIFS($Y$231:AB231,AC231,$Y$236:AB236,0)=0),AC231,0))</f>
        <v/>
      </c>
      <c r="AD237">
        <f>IF(AD236&gt;0,0,IF(AND(AD231&gt;0,MOD(INT($CH$236/2^AD231),2)=0,COUNTIFS($Y$231:AC231,AD231,$Y$236:AC236,0)=0),AD231,0))</f>
        <v/>
      </c>
      <c r="AE237">
        <f>IF(AE236&gt;0,0,IF(AND(AE231&gt;0,MOD(INT($CH$236/2^AE231),2)=0,COUNTIFS($Y$231:AD231,AE231,$Y$236:AD236,0)=0),AE231,0))</f>
        <v/>
      </c>
      <c r="AF237">
        <f>IF(AF236&gt;0,0,IF(AND(AF231&gt;0,MOD(INT($CH$236/2^AF231),2)=0,COUNTIFS($Y$231:AE231,AF231,$Y$236:AE236,0)=0),AF231,0))</f>
        <v/>
      </c>
      <c r="AG237">
        <f>IF(AG236&gt;0,0,IF(AND(AG231&gt;0,MOD(INT($CH$236/2^AG231),2)=0,COUNTIFS($Y$231:AF231,AG231,$Y$236:AF236,0)=0),AG231,0))</f>
        <v/>
      </c>
      <c r="AH237">
        <f>IF(AH236&gt;0,0,IF(AND(AH231&gt;0,MOD(INT($CH$236/2^AH231),2)=0,COUNTIFS($Y$231:AG231,AH231,$Y$236:AG236,0)=0),AH231,0))</f>
        <v/>
      </c>
      <c r="AI237">
        <f>IF(AI236&gt;0,0,IF(AND(AI231&gt;0,MOD(INT($CH$236/2^AI231),2)=0,COUNTIFS($Y$231:AH231,AI231,$Y$236:AH236,0)=0),AI231,0))</f>
        <v/>
      </c>
      <c r="AJ237">
        <f>IF(AJ236&gt;0,0,IF(AND(AJ231&gt;0,MOD(INT($CH$236/2^AJ231),2)=0,COUNTIFS($Y$231:AI231,AJ231,$Y$236:AI236,0)=0),AJ231,0))</f>
        <v/>
      </c>
      <c r="AK237">
        <f>IF(AK236&gt;0,0,IF(AND(AK231&gt;0,MOD(INT($CH$236/2^AK231),2)=0,COUNTIFS($Y$231:AJ231,AK231,$Y$236:AJ236,0)=0),AK231,0))</f>
        <v/>
      </c>
      <c r="AL237">
        <f>IF(AL236&gt;0,0,IF(AND(AL231&gt;0,MOD(INT($CH$236/2^AL231),2)=0,COUNTIFS($Y$231:AK231,AL231,$Y$236:AK236,0)=0),AL231,0))</f>
        <v/>
      </c>
      <c r="AM237">
        <f>IF(AM236&gt;0,0,IF(AND(AM231&gt;0,MOD(INT($CH$236/2^AM231),2)=0,COUNTIFS($Y$231:AL231,AM231,$Y$236:AL236,0)=0),AM231,0))</f>
        <v/>
      </c>
      <c r="AN237">
        <f>IF(AN236&gt;0,0,IF(AND(AN231&gt;0,MOD(INT($CH$236/2^AN231),2)=0,COUNTIFS($Y$231:AM231,AN231,$Y$236:AM236,0)=0),AN231,0))</f>
        <v/>
      </c>
      <c r="AO237">
        <f>IF(AO236&gt;0,0,IF(AND(AO231&gt;0,MOD(INT($CH$236/2^AO231),2)=0,COUNTIFS($Y$231:AN231,AO231,$Y$236:AN236,0)=0),AO231,0))</f>
        <v/>
      </c>
      <c r="AP237">
        <f>IF(AP236&gt;0,0,IF(AND(AP231&gt;0,MOD(INT($CH$236/2^AP231),2)=0,COUNTIFS($Y$231:AO231,AP231,$Y$236:AO236,0)=0),AP231,0))</f>
        <v/>
      </c>
      <c r="AQ237">
        <f>IF(AQ236&gt;0,0,IF(AND(AQ231&gt;0,MOD(INT($CH$236/2^AQ231),2)=0,COUNTIFS($Y$231:AP231,AQ231,$Y$236:AP236,0)=0),AQ231,0))</f>
        <v/>
      </c>
      <c r="AR237">
        <f>IF(AR236&gt;0,0,IF(AND(AR231&gt;0,MOD(INT($CH$236/2^AR231),2)=0,COUNTIFS($Y$231:AQ231,AR231,$Y$236:AQ236,0)=0),AR231,0))</f>
        <v/>
      </c>
      <c r="AS237">
        <f>IF(AS236&gt;0,0,IF(AND(AS231&gt;0,MOD(INT($CH$236/2^AS231),2)=0,COUNTIFS($Y$231:AR231,AS231,$Y$236:AR236,0)=0),AS231,0))</f>
        <v/>
      </c>
      <c r="AT237">
        <f>IF(AT236&gt;0,0,IF(AND(AT231&gt;0,MOD(INT($CH$236/2^AT231),2)=0,COUNTIFS($Y$231:AS231,AT231,$Y$236:AS236,0)=0),AT231,0))</f>
        <v/>
      </c>
      <c r="AU237">
        <f>IF(AU236&gt;0,0,IF(AND(AU231&gt;0,MOD(INT($CH$236/2^AU231),2)=0,COUNTIFS($Y$231:AT231,AU231,$Y$236:AT236,0)=0),AU231,0))</f>
        <v/>
      </c>
      <c r="AV237">
        <f>IF(AV236&gt;0,0,IF(AND(AV231&gt;0,MOD(INT($CH$236/2^AV231),2)=0,COUNTIFS($Y$231:AU231,AV231,$Y$236:AU236,0)=0),AV231,0))</f>
        <v/>
      </c>
      <c r="AW237">
        <f>IF(AW236&gt;0,0,IF(AND(AW231&gt;0,MOD(INT($CH$236/2^AW231),2)=0,COUNTIFS($Y$231:AV231,AW231,$Y$236:AV236,0)=0),AW231,0))</f>
        <v/>
      </c>
      <c r="AX237">
        <f>IF(AX236&gt;0,0,IF(AND(AX231&gt;0,MOD(INT($CH$236/2^AX231),2)=0,COUNTIFS($Y$231:AW231,AX231,$Y$236:AW236,0)=0),AX231,0))</f>
        <v/>
      </c>
      <c r="AY237">
        <f>IF(AY236&gt;0,0,IF(AND(AY231&gt;0,MOD(INT($CH$236/2^AY231),2)=0,COUNTIFS($Y$231:AX231,AY231,$Y$236:AX236,0)=0),AY231,0))</f>
        <v/>
      </c>
      <c r="AZ237">
        <f>IF(AZ236&gt;0,0,IF(AND(AZ231&gt;0,MOD(INT($CH$236/2^AZ231),2)=0,COUNTIFS($Y$231:AY231,AZ231,$Y$236:AY236,0)=0),AZ231,0))</f>
        <v/>
      </c>
      <c r="BA237">
        <f>IF(BA236&gt;0,0,IF(AND(BA231&gt;0,MOD(INT($CH$236/2^BA231),2)=0,COUNTIFS($Y$231:AZ231,BA231,$Y$236:AZ236,0)=0),BA231,0))</f>
        <v/>
      </c>
      <c r="BB237">
        <f>IF(BB236&gt;0,0,IF(AND(BB231&gt;0,MOD(INT($CH$236/2^BB231),2)=0,COUNTIFS($Y$231:BA231,BB231,$Y$236:BA236,0)=0),BB231,0))</f>
        <v/>
      </c>
      <c r="BC237">
        <f>IF(BC236&gt;0,0,IF(AND(BC231&gt;0,MOD(INT($CH$236/2^BC231),2)=0,COUNTIFS($Y$231:BB231,BC231,$Y$236:BB236,0)=0),BC231,0))</f>
        <v/>
      </c>
      <c r="BD237">
        <f>IF(BD236&gt;0,0,IF(AND(BD231&gt;0,MOD(INT($CH$236/2^BD231),2)=0,COUNTIFS($Y$231:BC231,BD231,$Y$236:BC236,0)=0),BD231,0))</f>
        <v/>
      </c>
      <c r="BE237">
        <f>IF(BE236&gt;0,0,IF(AND(BE231&gt;0,MOD(INT($CH$236/2^BE231),2)=0,COUNTIFS($Y$231:BD231,BE231,$Y$236:BD236,0)=0),BE231,0))</f>
        <v/>
      </c>
      <c r="BF237">
        <f>IF(BF236&gt;0,0,IF(AND(BF231&gt;0,MOD(INT($CH$236/2^BF231),2)=0,COUNTIFS($Y$231:BE231,BF231,$Y$236:BE236,0)=0),BF231,0))</f>
        <v/>
      </c>
      <c r="BG237">
        <f>IF(BG236&gt;0,0,IF(AND(BG231&gt;0,MOD(INT($CH$236/2^BG231),2)=0,COUNTIFS($Y$231:BF231,BG231,$Y$236:BF236,0)=0),BG231,0))</f>
        <v/>
      </c>
      <c r="BH237">
        <f>IF(BH236&gt;0,0,IF(AND(BH231&gt;0,MOD(INT($CH$236/2^BH231),2)=0,COUNTIFS($Y$231:BG231,BH231,$Y$236:BG236,0)=0),BH231,0))</f>
        <v/>
      </c>
      <c r="BI237">
        <f>IF(BI236&gt;0,0,IF(AND(BI231&gt;0,MOD(INT($CH$236/2^BI231),2)=0,COUNTIFS($Y$231:BH231,BI231,$Y$236:BH236,0)=0),BI231,0))</f>
        <v/>
      </c>
      <c r="BJ237">
        <f>IF(BJ236&gt;0,0,IF(AND(BJ231&gt;0,MOD(INT($CH$236/2^BJ231),2)=0,COUNTIFS($Y$231:BI231,BJ231,$Y$236:BI236,0)=0),BJ231,0))</f>
        <v/>
      </c>
      <c r="BK237">
        <f>IF(BK236&gt;0,0,IF(AND(BK231&gt;0,MOD(INT($CH$236/2^BK231),2)=0,COUNTIFS($Y$231:BJ231,BK231,$Y$236:BJ236,0)=0),BK231,0))</f>
        <v/>
      </c>
      <c r="BL237">
        <f>IF(BL236&gt;0,0,IF(AND(BL231&gt;0,MOD(INT($CH$236/2^BL231),2)=0,COUNTIFS($Y$231:BK231,BL231,$Y$236:BK236,0)=0),BL231,0))</f>
        <v/>
      </c>
      <c r="BM237">
        <f>IF(BM236&gt;0,0,IF(AND(BM231&gt;0,MOD(INT($CH$236/2^BM231),2)=0,COUNTIFS($Y$231:BL231,BM231,$Y$236:BL236,0)=0),BM231,0))</f>
        <v/>
      </c>
      <c r="BN237">
        <f>IF(BN236&gt;0,0,IF(AND(BN231&gt;0,MOD(INT($CH$236/2^BN231),2)=0,COUNTIFS($Y$231:BM231,BN231,$Y$236:BM236,0)=0),BN231,0))</f>
        <v/>
      </c>
      <c r="BO237">
        <f>IF(BO236&gt;0,0,IF(AND(BO231&gt;0,MOD(INT($CH$236/2^BO231),2)=0,COUNTIFS($Y$231:BN231,BO231,$Y$236:BN236,0)=0),BO231,0))</f>
        <v/>
      </c>
      <c r="BP237">
        <f>IF(BP236&gt;0,0,IF(AND(BP231&gt;0,MOD(INT($CH$236/2^BP231),2)=0,COUNTIFS($Y$231:BO231,BP231,$Y$236:BO236,0)=0),BP231,0))</f>
        <v/>
      </c>
      <c r="BQ237">
        <f>IF(BQ236&gt;0,0,IF(AND(BQ231&gt;0,MOD(INT($CH$236/2^BQ231),2)=0,COUNTIFS($Y$231:BP231,BQ231,$Y$236:BP236,0)=0),BQ231,0))</f>
        <v/>
      </c>
      <c r="BR237">
        <f>IF(BR236&gt;0,0,IF(AND(BR231&gt;0,MOD(INT($CH$236/2^BR231),2)=0,COUNTIFS($Y$231:BQ231,BR231,$Y$236:BQ236,0)=0),BR231,0))</f>
        <v/>
      </c>
      <c r="BS237">
        <f>IF(BS236&gt;0,0,IF(AND(BS231&gt;0,MOD(INT($CH$236/2^BS231),2)=0,COUNTIFS($Y$231:BR231,BS231,$Y$236:BR236,0)=0),BS231,0))</f>
        <v/>
      </c>
      <c r="BT237">
        <f>IF(BT236&gt;0,0,IF(AND(BT231&gt;0,MOD(INT($CH$236/2^BT231),2)=0,COUNTIFS($Y$231:BS231,BT231,$Y$236:BS236,0)=0),BT231,0))</f>
        <v/>
      </c>
      <c r="BU237">
        <f>IF(BU236&gt;0,0,IF(AND(BU231&gt;0,MOD(INT($CH$236/2^BU231),2)=0,COUNTIFS($Y$231:BT231,BU231,$Y$236:BT236,0)=0),BU231,0))</f>
        <v/>
      </c>
      <c r="BV237">
        <f>IF(BV236&gt;0,0,IF(AND(BV231&gt;0,MOD(INT($CH$236/2^BV231),2)=0,COUNTIFS($Y$231:BU231,BV231,$Y$236:BU236,0)=0),BV231,0))</f>
        <v/>
      </c>
      <c r="BW237">
        <f>IF(BW236&gt;0,0,IF(AND(BW231&gt;0,MOD(INT($CH$236/2^BW231),2)=0,COUNTIFS($Y$231:BV231,BW231,$Y$236:BV236,0)=0),BW231,0))</f>
        <v/>
      </c>
      <c r="BX237">
        <f>IF(BX236&gt;0,0,IF(AND(BX231&gt;0,MOD(INT($CH$236/2^BX231),2)=0,COUNTIFS($Y$231:BW231,BX231,$Y$236:BW236,0)=0),BX231,0))</f>
        <v/>
      </c>
      <c r="BY237">
        <f>IF(BY236&gt;0,0,IF(AND(BY231&gt;0,MOD(INT($CH$236/2^BY231),2)=0,COUNTIFS($Y$231:BX231,BY231,$Y$236:BX236,0)=0),BY231,0))</f>
        <v/>
      </c>
      <c r="BZ237">
        <f>IF(BZ236&gt;0,0,IF(AND(BZ231&gt;0,MOD(INT($CH$236/2^BZ231),2)=0,COUNTIFS($Y$231:BY231,BZ231,$Y$236:BY236,0)=0),BZ231,0))</f>
        <v/>
      </c>
      <c r="CA237">
        <f>IF(CA236&gt;0,0,IF(AND(CA231&gt;0,MOD(INT($CH$236/2^CA231),2)=0,COUNTIFS($Y$231:BZ231,CA231,$Y$236:BZ236,0)=0),CA231,0))</f>
        <v/>
      </c>
      <c r="CB237">
        <f>IF(CB236&gt;0,0,IF(AND(CB231&gt;0,MOD(INT($CH$236/2^CB231),2)=0,COUNTIFS($Y$231:CA231,CB231,$Y$236:CA236,0)=0),CB231,0))</f>
        <v/>
      </c>
      <c r="CC237">
        <f>IF(CC236&gt;0,0,IF(AND(CC231&gt;0,MOD(INT($CH$236/2^CC231),2)=0,COUNTIFS($Y$231:CB231,CC231,$Y$236:CB236,0)=0),CC231,0))</f>
        <v/>
      </c>
      <c r="CD237">
        <f>IF(CD236&gt;0,0,IF(AND(CD231&gt;0,MOD(INT($CH$236/2^CD231),2)=0,COUNTIFS($Y$231:CC231,CD231,$Y$236:CC236,0)=0),CD231,0))</f>
        <v/>
      </c>
      <c r="CE237">
        <f>IF(CE236&gt;0,0,IF(AND(CE231&gt;0,MOD(INT($CH$236/2^CE231),2)=0,COUNTIFS($Y$231:CD231,CE231,$Y$236:CD236,0)=0),CE231,0))</f>
        <v/>
      </c>
      <c r="CF237">
        <f>IF(CF236&gt;0,0,IF(AND(CF231&gt;0,MOD(INT($CH$236/2^CF231),2)=0,COUNTIFS($Y$231:CE231,CF231,$Y$236:CE236,0)=0),CF231,0))</f>
        <v/>
      </c>
      <c r="CH237">
        <f>SUMPRODUCT((COUNTIF($Y$237:$CF$237,{1,2,3,4,5,6,7,8,9,10,11,12,13,14,15})&gt;0)*{2,4,8,16,32,64,128,256,512,1024,2048,4096,8192,16384,32768})</f>
        <v/>
      </c>
      <c r="CI237" s="69" t="inlineStr">
        <is>
          <t>EXACT mask (used)</t>
        </is>
      </c>
      <c r="DA237" t="n">
        <v>233</v>
      </c>
      <c r="DB237">
        <f>IF($B$37=0,"",IFERROR(TRIM(SUBSTITUTE(SUBSTITUTE(SUBSTITUTE(SUBSTITUTE(INDEX(PASTE_ALL,233,$B$37)," "," "),CHAR(9)," "),CHAR(10)," "),CHAR(13)," ")),""))</f>
        <v/>
      </c>
      <c r="DC237">
        <f>IF(AND(233&gt;HEADER_ROW,UPPER(DB237)="LEGEND"),1,0)</f>
        <v/>
      </c>
      <c r="DE237" t="n">
        <v>233</v>
      </c>
      <c r="DF237">
        <f>HEADER_ROW+$DE237</f>
        <v/>
      </c>
      <c r="DG237">
        <f>IF(AND($DF237&lt;=1000,$DF237&lt;$B$8),1,0)</f>
        <v/>
      </c>
      <c r="DH237">
        <f>IF($DG237=1,IFERROR(INDEX($DB$5:$DB$1004,$DF237),""),"")</f>
        <v/>
      </c>
      <c r="DI237">
        <f>IF(AND($DG237=1,$DH237&lt;&gt;""),IFERROR(SUBSTITUTE(SUBSTITUTE(TRIM(SUBSTITUTE(SUBSTITUTE(SUBSTITUTE(SUBSTITUTE(IFERROR(INDEX(PASTE_ALL,$DF237,1)&amp;"","")&amp;"␟"&amp;IFERROR(INDEX(PASTE_ALL,$DF237,2)&amp;"","")&amp;"␟"&amp;IFERROR(INDEX(PASTE_ALL,$DF237,3)&amp;"","")&amp;"␟"&amp;IFERROR(INDEX(PASTE_ALL,$DF237,4)&amp;"","")&amp;"␟"&amp;IFERROR(INDEX(PASTE_ALL,$DF237,5)&amp;"","")&amp;"␟"&amp;IFERROR(INDEX(PASTE_ALL,$DF237,6)&amp;"","")&amp;"␟"&amp;IFERROR(INDEX(PASTE_ALL,$DF237,7)&amp;"","")&amp;"␟"&amp;IFERROR(INDEX(PASTE_ALL,$DF237,8)&amp;"","")&amp;"␟"&amp;IFERROR(INDEX(PASTE_ALL,$DF237,9)&amp;"","")&amp;"␟"&amp;IFERROR(INDEX(PASTE_ALL,$DF237,10)&amp;"","")&amp;"␟"&amp;IFERROR(INDEX(PASTE_ALL,$DF237,11)&amp;"","")&amp;"␟"&amp;IFERROR(INDEX(PASTE_ALL,$DF237,12)&amp;"","")&amp;"␟"&amp;IFERROR(INDEX(PASTE_ALL,$DF237,13)&amp;"","")&amp;"␟"&amp;IFERROR(INDEX(PASTE_ALL,$DF237,14)&amp;"","")&amp;"␟"&amp;IFERROR(INDEX(PASTE_ALL,$DF237,15)&amp;"","")&amp;"␟"&amp;IFERROR(INDEX(PASTE_ALL,$DF237,16)&amp;"","")&amp;"␟"&amp;IFERROR(INDEX(PASTE_ALL,$DF237,17)&amp;"","")&amp;"␟"&amp;IFERROR(INDEX(PASTE_ALL,$DF237,18)&amp;"","")&amp;"␟"&amp;IFERROR(INDEX(PASTE_ALL,$DF237,19)&amp;"","")&amp;"␟"&amp;IFERROR(INDEX(PASTE_ALL,$DF237,20)&amp;"","")&amp;"␟"&amp;IFERROR(INDEX(PASTE_ALL,$DF237,21)&amp;"","")&amp;"␟"&amp;IFERROR(INDEX(PASTE_ALL,$DF237,22)&amp;"","")&amp;"␟"&amp;IFERROR(INDEX(PASTE_ALL,$DF237,23)&amp;"","")&amp;"␟"&amp;IFERROR(INDEX(PASTE_ALL,$DF237,24)&amp;"","")&amp;"␟"&amp;IFERROR(INDEX(PASTE_ALL,$DF237,25)&amp;"","")&amp;"␟"&amp;IFERROR(INDEX(PASTE_ALL,$DF237,26)&amp;"","")&amp;"␟"&amp;IFERROR(INDEX(PASTE_ALL,$DF237,27)&amp;"","")&amp;"␟"&amp;IFERROR(INDEX(PASTE_ALL,$DF237,28)&amp;"","")&amp;"␟"&amp;IFERROR(INDEX(PASTE_ALL,$DF237,29)&amp;"","")&amp;"␟"&amp;IFERROR(INDEX(PASTE_ALL,$DF237,30)&amp;"","")&amp;"␟"&amp;IFERROR(INDEX(PASTE_ALL,$DF237,31)&amp;"","")&amp;"␟"&amp;IFERROR(INDEX(PASTE_ALL,$DF237,32)&amp;"","")&amp;"␟"&amp;IFERROR(INDEX(PASTE_ALL,$DF237,33)&amp;"","")&amp;"␟"&amp;IFERROR(INDEX(PASTE_ALL,$DF237,34)&amp;"","")&amp;"␟"&amp;IFERROR(INDEX(PASTE_ALL,$DF237,35)&amp;"","")&amp;"␟"&amp;IFERROR(INDEX(PASTE_ALL,$DF237,36)&amp;"","")&amp;"␟"&amp;IFERROR(INDEX(PASTE_ALL,$DF237,37)&amp;"","")&amp;"␟"&amp;IFERROR(INDEX(PASTE_ALL,$DF237,38)&amp;"","")&amp;"␟"&amp;IFERROR(INDEX(PASTE_ALL,$DF237,39)&amp;"","")&amp;"␟"&amp;IFERROR(INDEX(PASTE_ALL,$DF237,40)&amp;"","")&amp;"␟"&amp;IFERROR(INDEX(PASTE_ALL,$DF237,41)&amp;"","")&amp;"␟"&amp;IFERROR(INDEX(PASTE_ALL,$DF237,42)&amp;"","")&amp;"␟"&amp;IFERROR(INDEX(PASTE_ALL,$DF237,43)&amp;"","")&amp;"␟"&amp;IFERROR(INDEX(PASTE_ALL,$DF237,44)&amp;"","")&amp;"␟"&amp;IFERROR(INDEX(PASTE_ALL,$DF237,45)&amp;"","")&amp;"␟"&amp;IFERROR(INDEX(PASTE_ALL,$DF237,46)&amp;"","")&amp;"␟"&amp;IFERROR(INDEX(PASTE_ALL,$DF237,47)&amp;"","")&amp;"␟"&amp;IFERROR(INDEX(PASTE_ALL,$DF237,48)&amp;"","")&amp;"␟"&amp;IFERROR(INDEX(PASTE_ALL,$DF237,49)&amp;"","")&amp;"␟"&amp;IFERROR(INDEX(PASTE_ALL,$DF237,50)&amp;"","")&amp;"␟"&amp;IFERROR(INDEX(PASTE_ALL,$DF237,51)&amp;"","")&amp;"␟"&amp;IFERROR(INDEX(PASTE_ALL,$DF237,52)&amp;"","")&amp;"␟"&amp;IFERROR(INDEX(PASTE_ALL,$DF237,53)&amp;"","")&amp;"␟"&amp;IFERROR(INDEX(PASTE_ALL,$DF237,54)&amp;"","")&amp;"␟"&amp;IFERROR(INDEX(PASTE_ALL,$DF237,55)&amp;"","")&amp;"␟"&amp;IFERROR(INDEX(PASTE_ALL,$DF237,56)&amp;"","")&amp;"␟"&amp;IFERROR(INDEX(PASTE_ALL,$DF237,57)&amp;"","")&amp;"␟"&amp;IFERROR(INDEX(PASTE_ALL,$DF237,58)&amp;"","")&amp;"␟"&amp;IFERROR(INDEX(PASTE_ALL,$DF237,59)&amp;"","")&amp;"␟"&amp;IFERROR(INDEX(PASTE_ALL,$DF237,60)&amp;"","")," "," "),CHAR(9)," "),CHAR(10)," "),CHAR(13)," "))," ␟","␟"),"␟ ","␟"),"#"&amp;$DE237),"")</f>
        <v/>
      </c>
      <c r="DJ237">
        <f>IF($DI237="",0,IF(SUMPRODUCT(--EXACT($DI$4:DI236,$DI237))&gt;0,1,0))</f>
        <v/>
      </c>
      <c r="DK237">
        <f>IF(AND($DI237&lt;&gt;"",$DJ237=0),1,0)</f>
        <v/>
      </c>
      <c r="DL237">
        <f>DL236+$DK237</f>
        <v/>
      </c>
      <c r="DM237">
        <f>IF(AND($DK237=1,$DL237&lt;=600),1,0)</f>
        <v/>
      </c>
      <c r="DN237">
        <f>IF($DM237=0,"",IF($L$6=0,"",IFERROR(IF(ISNUMBER(INDEX(PASTE_ALL,$DF237,$L$6)),INDEX(PASTE_ALL,$DF237,$L$6),TRIM(SUBSTITUTE(SUBSTITUTE(SUBSTITUTE(SUBSTITUTE(INDEX(PASTE_ALL,$DF237,$L$6)," "," "),CHAR(9)," "),CHAR(10)," "),CHAR(13)," "))),"")))</f>
        <v/>
      </c>
      <c r="DO237">
        <f>IF($DM237=0,"",IF($L$7=0,"",IFERROR(IF(ISNUMBER(INDEX(PASTE_ALL,$DF237,$L$7)),INDEX(PASTE_ALL,$DF237,$L$7),TRIM(SUBSTITUTE(SUBSTITUTE(SUBSTITUTE(SUBSTITUTE(INDEX(PASTE_ALL,$DF237,$L$7)," "," "),CHAR(9)," "),CHAR(10)," "),CHAR(13)," "))),"")))</f>
        <v/>
      </c>
      <c r="DP237">
        <f>IF($DM237=0,"",IF($L$8=0,"",IFERROR(IF(ISNUMBER(INDEX(PASTE_ALL,$DF237,$L$8)),INDEX(PASTE_ALL,$DF237,$L$8),TRIM(SUBSTITUTE(SUBSTITUTE(SUBSTITUTE(SUBSTITUTE(INDEX(PASTE_ALL,$DF237,$L$8)," "," "),CHAR(9)," "),CHAR(10)," "),CHAR(13)," "))),"")))</f>
        <v/>
      </c>
      <c r="DQ237">
        <f>IF($DM237=0,"",IF($L$9=0,"",IFERROR(IF(ISNUMBER(INDEX(PASTE_ALL,$DF237,$L$9)),INDEX(PASTE_ALL,$DF237,$L$9),TRIM(SUBSTITUTE(SUBSTITUTE(SUBSTITUTE(SUBSTITUTE(INDEX(PASTE_ALL,$DF237,$L$9)," "," "),CHAR(9)," "),CHAR(10)," "),CHAR(13)," "))),"")))</f>
        <v/>
      </c>
      <c r="DR237">
        <f>IF($DM237=0,"",IF($L$10=0,"",IFERROR(IF(ISNUMBER(INDEX(PASTE_ALL,$DF237,$L$10)),INDEX(PASTE_ALL,$DF237,$L$10),TRIM(SUBSTITUTE(SUBSTITUTE(SUBSTITUTE(SUBSTITUTE(INDEX(PASTE_ALL,$DF237,$L$10)," "," "),CHAR(9)," "),CHAR(10)," "),CHAR(13)," "))),"")))</f>
        <v/>
      </c>
      <c r="DS237">
        <f>IF($DM237=0,"",IF($L$11=0,"",IFERROR(IF(ISNUMBER(INDEX(PASTE_ALL,$DF237,$L$11)),INDEX(PASTE_ALL,$DF237,$L$11),TRIM(SUBSTITUTE(SUBSTITUTE(SUBSTITUTE(SUBSTITUTE(INDEX(PASTE_ALL,$DF237,$L$11)," "," "),CHAR(9)," "),CHAR(10)," "),CHAR(13)," "))),"")))</f>
        <v/>
      </c>
      <c r="DT237">
        <f>IF($DM237=0,"",IF($L$12=0,"",IFERROR(IF(ISNUMBER(INDEX(PASTE_ALL,$DF237,$L$12)),INDEX(PASTE_ALL,$DF237,$L$12),TRIM(SUBSTITUTE(SUBSTITUTE(SUBSTITUTE(SUBSTITUTE(INDEX(PASTE_ALL,$DF237,$L$12)," "," "),CHAR(9)," "),CHAR(10)," "),CHAR(13)," "))),"")))</f>
        <v/>
      </c>
      <c r="DU237">
        <f>IF($DM237=0,"",IF($L$13=0,"",IFERROR(IF(ISNUMBER(INDEX(PASTE_ALL,$DF237,$L$13)),INDEX(PASTE_ALL,$DF237,$L$13),TRIM(SUBSTITUTE(SUBSTITUTE(SUBSTITUTE(SUBSTITUTE(INDEX(PASTE_ALL,$DF237,$L$13)," "," "),CHAR(9)," "),CHAR(10)," "),CHAR(13)," "))),"")))</f>
        <v/>
      </c>
      <c r="DV237">
        <f>IF($DM237=0,"",IF($L$14=0,"",IFERROR(IF(ISNUMBER(INDEX(PASTE_ALL,$DF237,$L$14)),INDEX(PASTE_ALL,$DF237,$L$14),TRIM(SUBSTITUTE(SUBSTITUTE(SUBSTITUTE(SUBSTITUTE(INDEX(PASTE_ALL,$DF237,$L$14)," "," "),CHAR(9)," "),CHAR(10)," "),CHAR(13)," "))),"")))</f>
        <v/>
      </c>
      <c r="DW237">
        <f>IF($DM237=0,"",IF($L$15=0,"",IFERROR(IF(ISNUMBER(INDEX(PASTE_ALL,$DF237,$L$15)),INDEX(PASTE_ALL,$DF237,$L$15),IF(SUMPRODUCT(--ISNUMBER(FIND({"A","B","C","D","E","F","G","H","I","J","K","L","M","N","O","P","Q","R","S","T","U","V","W","X","Y","Z","0","1","2","3","4","5","6","7","8","9"},UPPER(TRIM(SUBSTITUTE(SUBSTITUTE(SUBSTITUTE(SUBSTITUTE(INDEX(PASTE_ALL,$DF237,$L$15)," "," "),CHAR(9)," "),CHAR(10)," "),CHAR(13)," "))))))&gt;0,TRIM(SUBSTITUTE(SUBSTITUTE(SUBSTITUTE(SUBSTITUTE(INDEX(PASTE_ALL,$DF237,$L$15)," "," "),CHAR(9)," "),CHAR(10)," "),CHAR(13)," ")),"")),"")))</f>
        <v/>
      </c>
      <c r="DX237">
        <f>IF($DM237=0,"",IF($L$16=0,"",IFERROR(IF(ISNUMBER(INDEX(PASTE_ALL,$DF237,$L$16)),INDEX(PASTE_ALL,$DF237,$L$16),SUBSTITUTE(SUBSTITUTE(TRIM(SUBSTITUTE(SUBSTITUTE(SUBSTITUTE(SUBSTITUTE(INDEX(PASTE_ALL,$DF237,$L$16)," "," "),CHAR(9)," "),CHAR(10)," "),CHAR(13)," ")),",",""),"%","")),"")))</f>
        <v/>
      </c>
      <c r="DY237">
        <f>IF($DM237=0,"",IFERROR(IF(ISNUMBER($DX237),$DX237,IF($DX237="","",IF(TRIM($DX237)="",0,IF(AND(AND(SUBSTITUTE(SUBSTITUTE(SUBSTITUTE(SUBSTITUTE(SUBSTITUTE(SUBSTITUTE(SUBSTITUTE(SUBSTITUTE(SUBSTITUTE(SUBSTITUTE(SUBSTITUTE(SUBSTITUTE(SUBSTITUTE(SUBSTITUTE(UPPER(TRIM($DX237)),"0",""),"1",""),"2",""),"3",""),"4",""),"5",""),"6",""),"7",""),"8",""),"9",""),".",""),"+",""),"-",""),"E","")="",LEN(SUBSTITUTE(SUBSTITUTE(MID(UPPER(TRIM($DX237)),1+OR(LEFT(UPPER(TRIM($DX237)),1)="+",LEFT(UPPER(TRIM($DX237)),1)="-"),999),"E+","E"),"E-","E"))=LEN(SUBSTITUTE(SUBSTITUTE(SUBSTITUTE(SUBSTITUTE(MID(UPPER(TRIM($DX237)),1+OR(LEFT(UPPER(TRIM($DX237)),1)="+",LEFT(UPPER(TRIM($DX237)),1)="-"),999),"E+","E"),"E-","E"),"+",""),"-","")),LEN(UPPER(TRIM($DX237)))-LEN(SUBSTITUTE(UPPER(TRIM($DX237)),"E",""))&lt;2,LEN(UPPER(TRIM($DX237)))-LEN(SUBSTITUTE(UPPER(TRIM($DX237)),".",""))&lt;2,IFERROR(FIND(".",UPPER(TRIM($DX237))),0)&lt;IFERROR(FIND("E",UPPER(TRIM($DX237))),999)),ISNUMBER(VALUE(TRIM($DX237)))),VALUE(TRIM($DX237)),"")))),""))</f>
        <v/>
      </c>
      <c r="DZ237">
        <f>IF($DM237=0,"",IF($L$17=0,"",IFERROR(IF(ISNUMBER(INDEX(PASTE_ALL,$DF237,$L$17)),INDEX(PASTE_ALL,$DF237,$L$17),SUBSTITUTE(SUBSTITUTE(TRIM(SUBSTITUTE(SUBSTITUTE(SUBSTITUTE(SUBSTITUTE(INDEX(PASTE_ALL,$DF237,$L$17)," "," "),CHAR(9)," "),CHAR(10)," "),CHAR(13)," ")),",",""),"%","")),"")))</f>
        <v/>
      </c>
      <c r="EA237">
        <f>IF($DM237=0,"",IFERROR(IF(ISNUMBER($DZ237),$DZ237,IF($DZ237="","",IF(TRIM($DZ237)="",0,IF(AND(AND(SUBSTITUTE(SUBSTITUTE(SUBSTITUTE(SUBSTITUTE(SUBSTITUTE(SUBSTITUTE(SUBSTITUTE(SUBSTITUTE(SUBSTITUTE(SUBSTITUTE(SUBSTITUTE(SUBSTITUTE(SUBSTITUTE(SUBSTITUTE(UPPER(TRIM($DZ237)),"0",""),"1",""),"2",""),"3",""),"4",""),"5",""),"6",""),"7",""),"8",""),"9",""),".",""),"+",""),"-",""),"E","")="",LEN(SUBSTITUTE(SUBSTITUTE(MID(UPPER(TRIM($DZ237)),1+OR(LEFT(UPPER(TRIM($DZ237)),1)="+",LEFT(UPPER(TRIM($DZ237)),1)="-"),999),"E+","E"),"E-","E"))=LEN(SUBSTITUTE(SUBSTITUTE(SUBSTITUTE(SUBSTITUTE(MID(UPPER(TRIM($DZ237)),1+OR(LEFT(UPPER(TRIM($DZ237)),1)="+",LEFT(UPPER(TRIM($DZ237)),1)="-"),999),"E+","E"),"E-","E"),"+",""),"-","")),LEN(UPPER(TRIM($DZ237)))-LEN(SUBSTITUTE(UPPER(TRIM($DZ237)),"E",""))&lt;2,LEN(UPPER(TRIM($DZ237)))-LEN(SUBSTITUTE(UPPER(TRIM($DZ237)),".",""))&lt;2,IFERROR(FIND(".",UPPER(TRIM($DZ237))),0)&lt;IFERROR(FIND("E",UPPER(TRIM($DZ237))),999)),ISNUMBER(VALUE(TRIM($DZ237)))),VALUE(TRIM($DZ237)),"")))),""))</f>
        <v/>
      </c>
      <c r="EB237">
        <f>IF($DM237=0,"",IF($L$18=0,"",IFERROR(IF(UPPER(TRIM(SUBSTITUTE(SUBSTITUTE(SUBSTITUTE(SUBSTITUTE(INDEX(PASTE_ALL,$DF237,$L$18)," "," "),CHAR(9)," "),CHAR(10)," "),CHAR(13)," ")))="READY","Ready",IF(UPPER(TRIM(SUBSTITUTE(SUBSTITUTE(SUBSTITUTE(SUBSTITUTE(INDEX(PASTE_ALL,$DF237,$L$18)," "," "),CHAR(9)," "),CHAR(10)," "),CHAR(13)," ")))="PM","PM",IF(OR(UPPER(TRIM(SUBSTITUTE(SUBSTITUTE(SUBSTITUTE(SUBSTITUTE(INDEX(PASTE_ALL,$DF237,$L$18)," "," "),CHAR(9)," "),CHAR(10)," "),CHAR(13)," ")))="OT",UPPER(TRIM(SUBSTITUTE(SUBSTITUTE(SUBSTITUTE(SUBSTITUTE(INDEX(PASTE_ALL,$DF237,$L$18)," "," "),CHAR(9)," "),CHAR(10)," "),CHAR(13)," ")))="OVERTIME",UPPER(TRIM(SUBSTITUTE(SUBSTITUTE(SUBSTITUTE(SUBSTITUTE(INDEX(PASTE_ALL,$DF237,$L$18)," "," "),CHAR(9)," "),CHAR(10)," "),CHAR(13)," ")))="TRIAL"),"OT",TRIM(SUBSTITUTE(SUBSTITUTE(SUBSTITUTE(SUBSTITUTE(INDEX(PASTE_ALL,$DF237,$L$18)," "," "),CHAR(9)," "),CHAR(10)," "),CHAR(13)," "))))),"")))</f>
        <v/>
      </c>
      <c r="EC237">
        <f>IF($DM237=0,"",IF($L$19=0,"",IFERROR(IF(ISNUMBER(INDEX(PASTE_ALL,$DF237,$L$19)),INDEX(PASTE_ALL,$DF237,$L$19),TRIM(SUBSTITUTE(SUBSTITUTE(SUBSTITUTE(SUBSTITUTE(INDEX(PASTE_ALL,$DF237,$L$19)," "," "),CHAR(9)," "),CHAR(10)," "),CHAR(13)," "))),"")))</f>
        <v/>
      </c>
      <c r="ED237">
        <f>IF($DM237=0,"",MATCH(1,INDEX(EXACT($DH$5:DH237,$DH237)*$DM$5:DM237,0),0))</f>
        <v/>
      </c>
      <c r="EE237">
        <f>IF($DM237=0,0,IF($ED237=$DE237,1,0))</f>
        <v/>
      </c>
      <c r="EF237">
        <f>EF236+$EE237</f>
        <v/>
      </c>
      <c r="EG237">
        <f>IF($DM237=0,"",INDEX($EF$5:$EF$1003,$ED237))</f>
        <v/>
      </c>
      <c r="EH237">
        <f>IF($DM237=0,"",IF($DO237&lt;&gt;"","",IFERROR(LOOKUP(2,1/(($EG$4:EG236=$EG237)*($DO$4:DO236&lt;&gt;"")),$DO$4:DO236),"")))</f>
        <v/>
      </c>
      <c r="EI237">
        <f>IF($DM237=0,"",IF($DO237&lt;&gt;"",$DO237,$EH237))</f>
        <v/>
      </c>
      <c r="EJ237">
        <f>IF($DM237=0,"",IF($EI237="",0,IF(OR(ISNUMBER($EI237),AND(AND(SUBSTITUTE(SUBSTITUTE(SUBSTITUTE(SUBSTITUTE(SUBSTITUTE(SUBSTITUTE(SUBSTITUTE(SUBSTITUTE(SUBSTITUTE(SUBSTITUTE(SUBSTITUTE(SUBSTITUTE(SUBSTITUTE(SUBSTITUTE(UPPER($EI237),"0",""),"1",""),"2",""),"3",""),"4",""),"5",""),"6",""),"7",""),"8",""),"9",""),".",""),"+",""),"-",""),"E","")="",LEN(SUBSTITUTE(SUBSTITUTE(MID(UPPER($EI237),1+OR(LEFT(UPPER($EI237),1)="+",LEFT(UPPER($EI237),1)="-"),999),"E+","E"),"E-","E"))=LEN(SUBSTITUTE(SUBSTITUTE(SUBSTITUTE(SUBSTITUTE(MID(UPPER($EI237),1+OR(LEFT(UPPER($EI237),1)="+",LEFT(UPPER($EI237),1)="-"),999),"E+","E"),"E-","E"),"+",""),"-","")),LEN(UPPER($EI237))-LEN(SUBSTITUTE(UPPER($EI237),"E",""))&lt;2,LEN(UPPER($EI237))-LEN(SUBSTITUTE(UPPER($EI237),".",""))&lt;2,IFERROR(FIND(".",UPPER($EI237)),0)&lt;IFERROR(FIND("E",UPPER($EI237)),999)),ISNUMBER(VALUE($EI237)))),1,2)))</f>
        <v/>
      </c>
      <c r="EK237">
        <f>IF($DM237=0,"",IF($EJ237=1,IF(ISNUMBER($EI237),$EI237,VALUE($EI237)),IF($EJ237=2,$DE237,0)))</f>
        <v/>
      </c>
      <c r="EL237">
        <f>IF($DM237=0,"",COUNTIF($EG$5:$EG$1003,"&lt;"&amp;$EG237)+SUMPRODUCT(($EG$5:$EG$1003=$EG237)*(($EJ$5:$EJ$1003&lt;$EJ237)+($EJ$5:$EJ$1003=$EJ237)*(($EK$5:$EK$1003&lt;$EK237)+($EK$5:$EK$1003=$EK237)*($DE$5:$DE$1003&lt;$DE237))))+1)</f>
        <v/>
      </c>
      <c r="EM237">
        <f>IF($DM237=0,"",$EL237+$EG237-1)</f>
        <v/>
      </c>
      <c r="EN237">
        <f>IF($DM237=0,0,IFERROR(MATCH(1,INDEX(--(TRIM(SUBSTITUTE(SUBSTITUTE(SUBSTITUTE(SUBSTITUTE(LINES_NAME&amp;""," "," "),CHAR(9)," "),CHAR(10)," "),CHAR(13)," "))=$DH237),0),0),0))</f>
        <v/>
      </c>
      <c r="EO237">
        <f>IF($EN237=0,0,IF(OR(UPPER(TRIM(INDEX(LINES_SCHEDULED,$EN237)&amp;""))="YES",UPPER(TRIM(INDEX(LINES_SCHEDULED,$EN237)&amp;""))="Y",UPPER(TRIM(INDEX(LINES_SCHEDULED,$EN237)&amp;""))="X"),1,0))</f>
        <v/>
      </c>
      <c r="EP237">
        <f>IF($DM237=0,"",IF(COUNTIFS($EG$5:$EG$1003,$EG237,$EB$5:$EB$1003,"Ready")&gt;0,"READY",IF(COUNTIFS($EG$5:$EG$1003,$EG237,$EB$5:$EB$1003,"PM")&gt;0,"PM",IF(COUNTIFS($EG$5:$EG$1003,$EG237,$EB$5:$EB$1003,"OT")&gt;0,"OT",""))))</f>
        <v/>
      </c>
      <c r="EQ237">
        <f>IF($EN237=0,"",UPPER(TRIM(INDEX(LINES_STATUS,$EN237)&amp;"")))</f>
        <v/>
      </c>
      <c r="ER237">
        <f>IF($DM237=0,"",IF(OR($EQ237="READY",$EQ237="PM",$EQ237="OT"),$EQ237,$EP237))</f>
        <v/>
      </c>
      <c r="ES237">
        <f>IF($DM237=0,"",IF(AND($DV237&lt;&gt;"",UPPER($DV237)&lt;&gt;"N"),"allergen",IF(ISNUMBER(SEARCH("oil",$DQ237)),"oil",IF(OR(EXACT($DS237,"A662"),EXACT($DS237,"A624")),"bulk",""))))</f>
        <v/>
      </c>
      <c r="ET237">
        <f>IF($DM237=0,"",IF(OR($EA237="",$EA237=0),"",$EA237/100))</f>
        <v/>
      </c>
      <c r="EU237">
        <f>IF(OR($ET237="",$DY237=""),"",INT($DY237*(1-$ET237)+0.5))</f>
        <v/>
      </c>
      <c r="EW237" t="n">
        <v>233</v>
      </c>
      <c r="EX237">
        <f>IFERROR(MATCH($EW237,$EM$5:$EM$1003,0),0)</f>
        <v/>
      </c>
      <c r="EY237">
        <f>IF($EW237&gt;$B$12,"",IF($EX237&gt;0,"row","spacer"))</f>
        <v/>
      </c>
      <c r="EZ237">
        <f>IF(AND($EY237="row",$EY236&lt;&gt;"row"),1,0)</f>
        <v/>
      </c>
      <c r="FA237">
        <f>IF(AND($EY237="row",$EY238&lt;&gt;"row"),1,0)</f>
        <v/>
      </c>
      <c r="FB237">
        <f>IF($EZ237=1,IFERROR(IF(ISNUMBER(INDEX(PASTE_ALL,INDEX($DF$5:$DF$1003,$EX237),$B$37)),INDEX(PASTE_ALL,INDEX($DF$5:$DF$1003,$EX237),$B$37),INDEX($DH$5:$DH$1003,$EX237)),INDEX($DH$5:$DH$1003,$EX237)),"")</f>
        <v/>
      </c>
      <c r="FC237">
        <f>IF($EY237="row",INDEX($ER$5:$ER$1003,$EX237),"")</f>
        <v/>
      </c>
      <c r="FD237">
        <f>IF($EY237="row",INDEX($DN$5:$DN$1003,$EX237),"")</f>
        <v/>
      </c>
      <c r="FE237">
        <f>IF($EY237="row",INDEX($DO$5:$DO$1003,$EX237),"")</f>
        <v/>
      </c>
      <c r="FF237">
        <f>IF($EY237="row",INDEX($DP$5:$DP$1003,$EX237),"")</f>
        <v/>
      </c>
      <c r="FG237">
        <f>IF($EY237="row",INDEX($DQ$5:$DQ$1003,$EX237),"")</f>
        <v/>
      </c>
      <c r="FH237">
        <f>IF($EY237="row",INDEX($DR$5:$DR$1003,$EX237),"")</f>
        <v/>
      </c>
      <c r="FI237">
        <f>IF($EY237="row",INDEX($DS$5:$DS$1003,$EX237),"")</f>
        <v/>
      </c>
      <c r="FJ237">
        <f>IF($EY237="row",INDEX($DT$5:$DT$1003,$EX237),"")</f>
        <v/>
      </c>
      <c r="FK237">
        <f>IF($EY237="row",INDEX($DU$5:$DU$1003,$EX237),"")</f>
        <v/>
      </c>
      <c r="FL237">
        <f>IF($EY237="row",INDEX($DV$5:$DV$1003,$EX237),"")</f>
        <v/>
      </c>
      <c r="FM237">
        <f>IF($EY237="row",INDEX($DW$5:$DW$1003,$EX237),"")</f>
        <v/>
      </c>
      <c r="FN237">
        <f>IF($EY237="row",INDEX($DY$5:$DY$1003,$EX237),"")</f>
        <v/>
      </c>
      <c r="FO237">
        <f>IF($EY237="row",INDEX($EA$5:$EA$1003,$EX237),"")</f>
        <v/>
      </c>
      <c r="FP237">
        <f>IF($EY237="row",INDEX($EC$5:$EC$1003,$EX237),"")</f>
        <v/>
      </c>
      <c r="FQ237">
        <f>IF($EY237="row",INDEX($ET$5:$ET$1003,$EX237),"")</f>
        <v/>
      </c>
      <c r="FR237">
        <f>IF($EY237="row",INDEX($EU$5:$EU$1003,$EX237),"")</f>
        <v/>
      </c>
      <c r="FS237">
        <f>IF(AND($EY237="row",$EY236="row"),IF(OR(INDEX($DT$5:$DT$1003,$EX236)="",INDEX($DT$5:$DT$1003,$EX237)=""),"",IF(NOT(EXACT(INDEX($DT$5:$DT$1003,$EX236),INDEX($DT$5:$DT$1003,$EX237))),"S4",IF(NOT(EXACT(INDEX($DS$5:$DS$1003,$EX236),INDEX($DS$5:$DS$1003,$EX237))),"S3",IF(NOT(EXACT(INDEX($DR$5:$DR$1003,$EX236),INDEX($DR$5:$DR$1003,$EX237))),"S1 Count Change","S1")))),"")</f>
        <v/>
      </c>
      <c r="FT237">
        <f>IF($EY237="row",INDEX($ES$5:$ES$1003,$EX237),"")</f>
        <v/>
      </c>
      <c r="FU237">
        <f>IF($EY237="row",INDEX($EO$5:$EO$1003,$EX237),0)</f>
        <v/>
      </c>
      <c r="FV237">
        <f>IF($FS237="S1 Count Change",1,0)</f>
        <v/>
      </c>
    </row>
    <row r="238">
      <c r="X238" s="69" t="inlineStr">
        <is>
          <t>CONTAINS running</t>
        </is>
      </c>
      <c r="Y238">
        <f>0+IF(OR(Y236&gt;0,Y237&gt;0),0,IF(SUMPRODUCT(MOD(INT(Y232/{2,4,8,16,32,64,128,256,512,1024,2048,4096,8192,16384,32768}),2)*(1-MOD(INT(($CH$236+$CH$237+0)/{2,4,8,16,32,64,128,256,512,1024,2048,4096,8192,16384,32768}),2))*{2,4,8,16,32,64,128,256,512,1024,2048,4096,8192,16384,32768})=0,0,2^SUMPRODUCT(--(MOD(SUMPRODUCT(MOD(INT(Y232/{2,4,8,16,32,64,128,256,512,1024,2048,4096,8192,16384,32768}),2)*(1-MOD(INT(($CH$236+$CH$237+0)/{2,4,8,16,32,64,128,256,512,1024,2048,4096,8192,16384,32768}),2))*{2,4,8,16,32,64,128,256,512,1024,2048,4096,8192,16384,32768}),{2,4,8,16,32,64,128,256,512,1024,2048,4096,8192,16384,32768})=0))))</f>
        <v/>
      </c>
      <c r="Z238">
        <f>Y238+IF(OR(Z236&gt;0,Z237&gt;0),0,IF(SUMPRODUCT(MOD(INT(Z232/{2,4,8,16,32,64,128,256,512,1024,2048,4096,8192,16384,32768}),2)*(1-MOD(INT(($CH$236+$CH$237+Y238)/{2,4,8,16,32,64,128,256,512,1024,2048,4096,8192,16384,32768}),2))*{2,4,8,16,32,64,128,256,512,1024,2048,4096,8192,16384,32768})=0,0,2^SUMPRODUCT(--(MOD(SUMPRODUCT(MOD(INT(Z232/{2,4,8,16,32,64,128,256,512,1024,2048,4096,8192,16384,32768}),2)*(1-MOD(INT(($CH$236+$CH$237+Y238)/{2,4,8,16,32,64,128,256,512,1024,2048,4096,8192,16384,32768}),2))*{2,4,8,16,32,64,128,256,512,1024,2048,4096,8192,16384,32768}),{2,4,8,16,32,64,128,256,512,1024,2048,4096,8192,16384,32768})=0))))</f>
        <v/>
      </c>
      <c r="AA238">
        <f>Z238+IF(OR(AA236&gt;0,AA237&gt;0),0,IF(SUMPRODUCT(MOD(INT(AA232/{2,4,8,16,32,64,128,256,512,1024,2048,4096,8192,16384,32768}),2)*(1-MOD(INT(($CH$236+$CH$237+Z238)/{2,4,8,16,32,64,128,256,512,1024,2048,4096,8192,16384,32768}),2))*{2,4,8,16,32,64,128,256,512,1024,2048,4096,8192,16384,32768})=0,0,2^SUMPRODUCT(--(MOD(SUMPRODUCT(MOD(INT(AA232/{2,4,8,16,32,64,128,256,512,1024,2048,4096,8192,16384,32768}),2)*(1-MOD(INT(($CH$236+$CH$237+Z238)/{2,4,8,16,32,64,128,256,512,1024,2048,4096,8192,16384,32768}),2))*{2,4,8,16,32,64,128,256,512,1024,2048,4096,8192,16384,32768}),{2,4,8,16,32,64,128,256,512,1024,2048,4096,8192,16384,32768})=0))))</f>
        <v/>
      </c>
      <c r="AB238">
        <f>AA238+IF(OR(AB236&gt;0,AB237&gt;0),0,IF(SUMPRODUCT(MOD(INT(AB232/{2,4,8,16,32,64,128,256,512,1024,2048,4096,8192,16384,32768}),2)*(1-MOD(INT(($CH$236+$CH$237+AA238)/{2,4,8,16,32,64,128,256,512,1024,2048,4096,8192,16384,32768}),2))*{2,4,8,16,32,64,128,256,512,1024,2048,4096,8192,16384,32768})=0,0,2^SUMPRODUCT(--(MOD(SUMPRODUCT(MOD(INT(AB232/{2,4,8,16,32,64,128,256,512,1024,2048,4096,8192,16384,32768}),2)*(1-MOD(INT(($CH$236+$CH$237+AA238)/{2,4,8,16,32,64,128,256,512,1024,2048,4096,8192,16384,32768}),2))*{2,4,8,16,32,64,128,256,512,1024,2048,4096,8192,16384,32768}),{2,4,8,16,32,64,128,256,512,1024,2048,4096,8192,16384,32768})=0))))</f>
        <v/>
      </c>
      <c r="AC238">
        <f>AB238+IF(OR(AC236&gt;0,AC237&gt;0),0,IF(SUMPRODUCT(MOD(INT(AC232/{2,4,8,16,32,64,128,256,512,1024,2048,4096,8192,16384,32768}),2)*(1-MOD(INT(($CH$236+$CH$237+AB238)/{2,4,8,16,32,64,128,256,512,1024,2048,4096,8192,16384,32768}),2))*{2,4,8,16,32,64,128,256,512,1024,2048,4096,8192,16384,32768})=0,0,2^SUMPRODUCT(--(MOD(SUMPRODUCT(MOD(INT(AC232/{2,4,8,16,32,64,128,256,512,1024,2048,4096,8192,16384,32768}),2)*(1-MOD(INT(($CH$236+$CH$237+AB238)/{2,4,8,16,32,64,128,256,512,1024,2048,4096,8192,16384,32768}),2))*{2,4,8,16,32,64,128,256,512,1024,2048,4096,8192,16384,32768}),{2,4,8,16,32,64,128,256,512,1024,2048,4096,8192,16384,32768})=0))))</f>
        <v/>
      </c>
      <c r="AD238">
        <f>AC238+IF(OR(AD236&gt;0,AD237&gt;0),0,IF(SUMPRODUCT(MOD(INT(AD232/{2,4,8,16,32,64,128,256,512,1024,2048,4096,8192,16384,32768}),2)*(1-MOD(INT(($CH$236+$CH$237+AC238)/{2,4,8,16,32,64,128,256,512,1024,2048,4096,8192,16384,32768}),2))*{2,4,8,16,32,64,128,256,512,1024,2048,4096,8192,16384,32768})=0,0,2^SUMPRODUCT(--(MOD(SUMPRODUCT(MOD(INT(AD232/{2,4,8,16,32,64,128,256,512,1024,2048,4096,8192,16384,32768}),2)*(1-MOD(INT(($CH$236+$CH$237+AC238)/{2,4,8,16,32,64,128,256,512,1024,2048,4096,8192,16384,32768}),2))*{2,4,8,16,32,64,128,256,512,1024,2048,4096,8192,16384,32768}),{2,4,8,16,32,64,128,256,512,1024,2048,4096,8192,16384,32768})=0))))</f>
        <v/>
      </c>
      <c r="AE238">
        <f>AD238+IF(OR(AE236&gt;0,AE237&gt;0),0,IF(SUMPRODUCT(MOD(INT(AE232/{2,4,8,16,32,64,128,256,512,1024,2048,4096,8192,16384,32768}),2)*(1-MOD(INT(($CH$236+$CH$237+AD238)/{2,4,8,16,32,64,128,256,512,1024,2048,4096,8192,16384,32768}),2))*{2,4,8,16,32,64,128,256,512,1024,2048,4096,8192,16384,32768})=0,0,2^SUMPRODUCT(--(MOD(SUMPRODUCT(MOD(INT(AE232/{2,4,8,16,32,64,128,256,512,1024,2048,4096,8192,16384,32768}),2)*(1-MOD(INT(($CH$236+$CH$237+AD238)/{2,4,8,16,32,64,128,256,512,1024,2048,4096,8192,16384,32768}),2))*{2,4,8,16,32,64,128,256,512,1024,2048,4096,8192,16384,32768}),{2,4,8,16,32,64,128,256,512,1024,2048,4096,8192,16384,32768})=0))))</f>
        <v/>
      </c>
      <c r="AF238">
        <f>AE238+IF(OR(AF236&gt;0,AF237&gt;0),0,IF(SUMPRODUCT(MOD(INT(AF232/{2,4,8,16,32,64,128,256,512,1024,2048,4096,8192,16384,32768}),2)*(1-MOD(INT(($CH$236+$CH$237+AE238)/{2,4,8,16,32,64,128,256,512,1024,2048,4096,8192,16384,32768}),2))*{2,4,8,16,32,64,128,256,512,1024,2048,4096,8192,16384,32768})=0,0,2^SUMPRODUCT(--(MOD(SUMPRODUCT(MOD(INT(AF232/{2,4,8,16,32,64,128,256,512,1024,2048,4096,8192,16384,32768}),2)*(1-MOD(INT(($CH$236+$CH$237+AE238)/{2,4,8,16,32,64,128,256,512,1024,2048,4096,8192,16384,32768}),2))*{2,4,8,16,32,64,128,256,512,1024,2048,4096,8192,16384,32768}),{2,4,8,16,32,64,128,256,512,1024,2048,4096,8192,16384,32768})=0))))</f>
        <v/>
      </c>
      <c r="AG238">
        <f>AF238+IF(OR(AG236&gt;0,AG237&gt;0),0,IF(SUMPRODUCT(MOD(INT(AG232/{2,4,8,16,32,64,128,256,512,1024,2048,4096,8192,16384,32768}),2)*(1-MOD(INT(($CH$236+$CH$237+AF238)/{2,4,8,16,32,64,128,256,512,1024,2048,4096,8192,16384,32768}),2))*{2,4,8,16,32,64,128,256,512,1024,2048,4096,8192,16384,32768})=0,0,2^SUMPRODUCT(--(MOD(SUMPRODUCT(MOD(INT(AG232/{2,4,8,16,32,64,128,256,512,1024,2048,4096,8192,16384,32768}),2)*(1-MOD(INT(($CH$236+$CH$237+AF238)/{2,4,8,16,32,64,128,256,512,1024,2048,4096,8192,16384,32768}),2))*{2,4,8,16,32,64,128,256,512,1024,2048,4096,8192,16384,32768}),{2,4,8,16,32,64,128,256,512,1024,2048,4096,8192,16384,32768})=0))))</f>
        <v/>
      </c>
      <c r="AH238">
        <f>AG238+IF(OR(AH236&gt;0,AH237&gt;0),0,IF(SUMPRODUCT(MOD(INT(AH232/{2,4,8,16,32,64,128,256,512,1024,2048,4096,8192,16384,32768}),2)*(1-MOD(INT(($CH$236+$CH$237+AG238)/{2,4,8,16,32,64,128,256,512,1024,2048,4096,8192,16384,32768}),2))*{2,4,8,16,32,64,128,256,512,1024,2048,4096,8192,16384,32768})=0,0,2^SUMPRODUCT(--(MOD(SUMPRODUCT(MOD(INT(AH232/{2,4,8,16,32,64,128,256,512,1024,2048,4096,8192,16384,32768}),2)*(1-MOD(INT(($CH$236+$CH$237+AG238)/{2,4,8,16,32,64,128,256,512,1024,2048,4096,8192,16384,32768}),2))*{2,4,8,16,32,64,128,256,512,1024,2048,4096,8192,16384,32768}),{2,4,8,16,32,64,128,256,512,1024,2048,4096,8192,16384,32768})=0))))</f>
        <v/>
      </c>
      <c r="AI238">
        <f>AH238+IF(OR(AI236&gt;0,AI237&gt;0),0,IF(SUMPRODUCT(MOD(INT(AI232/{2,4,8,16,32,64,128,256,512,1024,2048,4096,8192,16384,32768}),2)*(1-MOD(INT(($CH$236+$CH$237+AH238)/{2,4,8,16,32,64,128,256,512,1024,2048,4096,8192,16384,32768}),2))*{2,4,8,16,32,64,128,256,512,1024,2048,4096,8192,16384,32768})=0,0,2^SUMPRODUCT(--(MOD(SUMPRODUCT(MOD(INT(AI232/{2,4,8,16,32,64,128,256,512,1024,2048,4096,8192,16384,32768}),2)*(1-MOD(INT(($CH$236+$CH$237+AH238)/{2,4,8,16,32,64,128,256,512,1024,2048,4096,8192,16384,32768}),2))*{2,4,8,16,32,64,128,256,512,1024,2048,4096,8192,16384,32768}),{2,4,8,16,32,64,128,256,512,1024,2048,4096,8192,16384,32768})=0))))</f>
        <v/>
      </c>
      <c r="AJ238">
        <f>AI238+IF(OR(AJ236&gt;0,AJ237&gt;0),0,IF(SUMPRODUCT(MOD(INT(AJ232/{2,4,8,16,32,64,128,256,512,1024,2048,4096,8192,16384,32768}),2)*(1-MOD(INT(($CH$236+$CH$237+AI238)/{2,4,8,16,32,64,128,256,512,1024,2048,4096,8192,16384,32768}),2))*{2,4,8,16,32,64,128,256,512,1024,2048,4096,8192,16384,32768})=0,0,2^SUMPRODUCT(--(MOD(SUMPRODUCT(MOD(INT(AJ232/{2,4,8,16,32,64,128,256,512,1024,2048,4096,8192,16384,32768}),2)*(1-MOD(INT(($CH$236+$CH$237+AI238)/{2,4,8,16,32,64,128,256,512,1024,2048,4096,8192,16384,32768}),2))*{2,4,8,16,32,64,128,256,512,1024,2048,4096,8192,16384,32768}),{2,4,8,16,32,64,128,256,512,1024,2048,4096,8192,16384,32768})=0))))</f>
        <v/>
      </c>
      <c r="AK238">
        <f>AJ238+IF(OR(AK236&gt;0,AK237&gt;0),0,IF(SUMPRODUCT(MOD(INT(AK232/{2,4,8,16,32,64,128,256,512,1024,2048,4096,8192,16384,32768}),2)*(1-MOD(INT(($CH$236+$CH$237+AJ238)/{2,4,8,16,32,64,128,256,512,1024,2048,4096,8192,16384,32768}),2))*{2,4,8,16,32,64,128,256,512,1024,2048,4096,8192,16384,32768})=0,0,2^SUMPRODUCT(--(MOD(SUMPRODUCT(MOD(INT(AK232/{2,4,8,16,32,64,128,256,512,1024,2048,4096,8192,16384,32768}),2)*(1-MOD(INT(($CH$236+$CH$237+AJ238)/{2,4,8,16,32,64,128,256,512,1024,2048,4096,8192,16384,32768}),2))*{2,4,8,16,32,64,128,256,512,1024,2048,4096,8192,16384,32768}),{2,4,8,16,32,64,128,256,512,1024,2048,4096,8192,16384,32768})=0))))</f>
        <v/>
      </c>
      <c r="AL238">
        <f>AK238+IF(OR(AL236&gt;0,AL237&gt;0),0,IF(SUMPRODUCT(MOD(INT(AL232/{2,4,8,16,32,64,128,256,512,1024,2048,4096,8192,16384,32768}),2)*(1-MOD(INT(($CH$236+$CH$237+AK238)/{2,4,8,16,32,64,128,256,512,1024,2048,4096,8192,16384,32768}),2))*{2,4,8,16,32,64,128,256,512,1024,2048,4096,8192,16384,32768})=0,0,2^SUMPRODUCT(--(MOD(SUMPRODUCT(MOD(INT(AL232/{2,4,8,16,32,64,128,256,512,1024,2048,4096,8192,16384,32768}),2)*(1-MOD(INT(($CH$236+$CH$237+AK238)/{2,4,8,16,32,64,128,256,512,1024,2048,4096,8192,16384,32768}),2))*{2,4,8,16,32,64,128,256,512,1024,2048,4096,8192,16384,32768}),{2,4,8,16,32,64,128,256,512,1024,2048,4096,8192,16384,32768})=0))))</f>
        <v/>
      </c>
      <c r="AM238">
        <f>AL238+IF(OR(AM236&gt;0,AM237&gt;0),0,IF(SUMPRODUCT(MOD(INT(AM232/{2,4,8,16,32,64,128,256,512,1024,2048,4096,8192,16384,32768}),2)*(1-MOD(INT(($CH$236+$CH$237+AL238)/{2,4,8,16,32,64,128,256,512,1024,2048,4096,8192,16384,32768}),2))*{2,4,8,16,32,64,128,256,512,1024,2048,4096,8192,16384,32768})=0,0,2^SUMPRODUCT(--(MOD(SUMPRODUCT(MOD(INT(AM232/{2,4,8,16,32,64,128,256,512,1024,2048,4096,8192,16384,32768}),2)*(1-MOD(INT(($CH$236+$CH$237+AL238)/{2,4,8,16,32,64,128,256,512,1024,2048,4096,8192,16384,32768}),2))*{2,4,8,16,32,64,128,256,512,1024,2048,4096,8192,16384,32768}),{2,4,8,16,32,64,128,256,512,1024,2048,4096,8192,16384,32768})=0))))</f>
        <v/>
      </c>
      <c r="AN238">
        <f>AM238+IF(OR(AN236&gt;0,AN237&gt;0),0,IF(SUMPRODUCT(MOD(INT(AN232/{2,4,8,16,32,64,128,256,512,1024,2048,4096,8192,16384,32768}),2)*(1-MOD(INT(($CH$236+$CH$237+AM238)/{2,4,8,16,32,64,128,256,512,1024,2048,4096,8192,16384,32768}),2))*{2,4,8,16,32,64,128,256,512,1024,2048,4096,8192,16384,32768})=0,0,2^SUMPRODUCT(--(MOD(SUMPRODUCT(MOD(INT(AN232/{2,4,8,16,32,64,128,256,512,1024,2048,4096,8192,16384,32768}),2)*(1-MOD(INT(($CH$236+$CH$237+AM238)/{2,4,8,16,32,64,128,256,512,1024,2048,4096,8192,16384,32768}),2))*{2,4,8,16,32,64,128,256,512,1024,2048,4096,8192,16384,32768}),{2,4,8,16,32,64,128,256,512,1024,2048,4096,8192,16384,32768})=0))))</f>
        <v/>
      </c>
      <c r="AO238">
        <f>AN238+IF(OR(AO236&gt;0,AO237&gt;0),0,IF(SUMPRODUCT(MOD(INT(AO232/{2,4,8,16,32,64,128,256,512,1024,2048,4096,8192,16384,32768}),2)*(1-MOD(INT(($CH$236+$CH$237+AN238)/{2,4,8,16,32,64,128,256,512,1024,2048,4096,8192,16384,32768}),2))*{2,4,8,16,32,64,128,256,512,1024,2048,4096,8192,16384,32768})=0,0,2^SUMPRODUCT(--(MOD(SUMPRODUCT(MOD(INT(AO232/{2,4,8,16,32,64,128,256,512,1024,2048,4096,8192,16384,32768}),2)*(1-MOD(INT(($CH$236+$CH$237+AN238)/{2,4,8,16,32,64,128,256,512,1024,2048,4096,8192,16384,32768}),2))*{2,4,8,16,32,64,128,256,512,1024,2048,4096,8192,16384,32768}),{2,4,8,16,32,64,128,256,512,1024,2048,4096,8192,16384,32768})=0))))</f>
        <v/>
      </c>
      <c r="AP238">
        <f>AO238+IF(OR(AP236&gt;0,AP237&gt;0),0,IF(SUMPRODUCT(MOD(INT(AP232/{2,4,8,16,32,64,128,256,512,1024,2048,4096,8192,16384,32768}),2)*(1-MOD(INT(($CH$236+$CH$237+AO238)/{2,4,8,16,32,64,128,256,512,1024,2048,4096,8192,16384,32768}),2))*{2,4,8,16,32,64,128,256,512,1024,2048,4096,8192,16384,32768})=0,0,2^SUMPRODUCT(--(MOD(SUMPRODUCT(MOD(INT(AP232/{2,4,8,16,32,64,128,256,512,1024,2048,4096,8192,16384,32768}),2)*(1-MOD(INT(($CH$236+$CH$237+AO238)/{2,4,8,16,32,64,128,256,512,1024,2048,4096,8192,16384,32768}),2))*{2,4,8,16,32,64,128,256,512,1024,2048,4096,8192,16384,32768}),{2,4,8,16,32,64,128,256,512,1024,2048,4096,8192,16384,32768})=0))))</f>
        <v/>
      </c>
      <c r="AQ238">
        <f>AP238+IF(OR(AQ236&gt;0,AQ237&gt;0),0,IF(SUMPRODUCT(MOD(INT(AQ232/{2,4,8,16,32,64,128,256,512,1024,2048,4096,8192,16384,32768}),2)*(1-MOD(INT(($CH$236+$CH$237+AP238)/{2,4,8,16,32,64,128,256,512,1024,2048,4096,8192,16384,32768}),2))*{2,4,8,16,32,64,128,256,512,1024,2048,4096,8192,16384,32768})=0,0,2^SUMPRODUCT(--(MOD(SUMPRODUCT(MOD(INT(AQ232/{2,4,8,16,32,64,128,256,512,1024,2048,4096,8192,16384,32768}),2)*(1-MOD(INT(($CH$236+$CH$237+AP238)/{2,4,8,16,32,64,128,256,512,1024,2048,4096,8192,16384,32768}),2))*{2,4,8,16,32,64,128,256,512,1024,2048,4096,8192,16384,32768}),{2,4,8,16,32,64,128,256,512,1024,2048,4096,8192,16384,32768})=0))))</f>
        <v/>
      </c>
      <c r="AR238">
        <f>AQ238+IF(OR(AR236&gt;0,AR237&gt;0),0,IF(SUMPRODUCT(MOD(INT(AR232/{2,4,8,16,32,64,128,256,512,1024,2048,4096,8192,16384,32768}),2)*(1-MOD(INT(($CH$236+$CH$237+AQ238)/{2,4,8,16,32,64,128,256,512,1024,2048,4096,8192,16384,32768}),2))*{2,4,8,16,32,64,128,256,512,1024,2048,4096,8192,16384,32768})=0,0,2^SUMPRODUCT(--(MOD(SUMPRODUCT(MOD(INT(AR232/{2,4,8,16,32,64,128,256,512,1024,2048,4096,8192,16384,32768}),2)*(1-MOD(INT(($CH$236+$CH$237+AQ238)/{2,4,8,16,32,64,128,256,512,1024,2048,4096,8192,16384,32768}),2))*{2,4,8,16,32,64,128,256,512,1024,2048,4096,8192,16384,32768}),{2,4,8,16,32,64,128,256,512,1024,2048,4096,8192,16384,32768})=0))))</f>
        <v/>
      </c>
      <c r="AS238">
        <f>AR238+IF(OR(AS236&gt;0,AS237&gt;0),0,IF(SUMPRODUCT(MOD(INT(AS232/{2,4,8,16,32,64,128,256,512,1024,2048,4096,8192,16384,32768}),2)*(1-MOD(INT(($CH$236+$CH$237+AR238)/{2,4,8,16,32,64,128,256,512,1024,2048,4096,8192,16384,32768}),2))*{2,4,8,16,32,64,128,256,512,1024,2048,4096,8192,16384,32768})=0,0,2^SUMPRODUCT(--(MOD(SUMPRODUCT(MOD(INT(AS232/{2,4,8,16,32,64,128,256,512,1024,2048,4096,8192,16384,32768}),2)*(1-MOD(INT(($CH$236+$CH$237+AR238)/{2,4,8,16,32,64,128,256,512,1024,2048,4096,8192,16384,32768}),2))*{2,4,8,16,32,64,128,256,512,1024,2048,4096,8192,16384,32768}),{2,4,8,16,32,64,128,256,512,1024,2048,4096,8192,16384,32768})=0))))</f>
        <v/>
      </c>
      <c r="AT238">
        <f>AS238+IF(OR(AT236&gt;0,AT237&gt;0),0,IF(SUMPRODUCT(MOD(INT(AT232/{2,4,8,16,32,64,128,256,512,1024,2048,4096,8192,16384,32768}),2)*(1-MOD(INT(($CH$236+$CH$237+AS238)/{2,4,8,16,32,64,128,256,512,1024,2048,4096,8192,16384,32768}),2))*{2,4,8,16,32,64,128,256,512,1024,2048,4096,8192,16384,32768})=0,0,2^SUMPRODUCT(--(MOD(SUMPRODUCT(MOD(INT(AT232/{2,4,8,16,32,64,128,256,512,1024,2048,4096,8192,16384,32768}),2)*(1-MOD(INT(($CH$236+$CH$237+AS238)/{2,4,8,16,32,64,128,256,512,1024,2048,4096,8192,16384,32768}),2))*{2,4,8,16,32,64,128,256,512,1024,2048,4096,8192,16384,32768}),{2,4,8,16,32,64,128,256,512,1024,2048,4096,8192,16384,32768})=0))))</f>
        <v/>
      </c>
      <c r="AU238">
        <f>AT238+IF(OR(AU236&gt;0,AU237&gt;0),0,IF(SUMPRODUCT(MOD(INT(AU232/{2,4,8,16,32,64,128,256,512,1024,2048,4096,8192,16384,32768}),2)*(1-MOD(INT(($CH$236+$CH$237+AT238)/{2,4,8,16,32,64,128,256,512,1024,2048,4096,8192,16384,32768}),2))*{2,4,8,16,32,64,128,256,512,1024,2048,4096,8192,16384,32768})=0,0,2^SUMPRODUCT(--(MOD(SUMPRODUCT(MOD(INT(AU232/{2,4,8,16,32,64,128,256,512,1024,2048,4096,8192,16384,32768}),2)*(1-MOD(INT(($CH$236+$CH$237+AT238)/{2,4,8,16,32,64,128,256,512,1024,2048,4096,8192,16384,32768}),2))*{2,4,8,16,32,64,128,256,512,1024,2048,4096,8192,16384,32768}),{2,4,8,16,32,64,128,256,512,1024,2048,4096,8192,16384,32768})=0))))</f>
        <v/>
      </c>
      <c r="AV238">
        <f>AU238+IF(OR(AV236&gt;0,AV237&gt;0),0,IF(SUMPRODUCT(MOD(INT(AV232/{2,4,8,16,32,64,128,256,512,1024,2048,4096,8192,16384,32768}),2)*(1-MOD(INT(($CH$236+$CH$237+AU238)/{2,4,8,16,32,64,128,256,512,1024,2048,4096,8192,16384,32768}),2))*{2,4,8,16,32,64,128,256,512,1024,2048,4096,8192,16384,32768})=0,0,2^SUMPRODUCT(--(MOD(SUMPRODUCT(MOD(INT(AV232/{2,4,8,16,32,64,128,256,512,1024,2048,4096,8192,16384,32768}),2)*(1-MOD(INT(($CH$236+$CH$237+AU238)/{2,4,8,16,32,64,128,256,512,1024,2048,4096,8192,16384,32768}),2))*{2,4,8,16,32,64,128,256,512,1024,2048,4096,8192,16384,32768}),{2,4,8,16,32,64,128,256,512,1024,2048,4096,8192,16384,32768})=0))))</f>
        <v/>
      </c>
      <c r="AW238">
        <f>AV238+IF(OR(AW236&gt;0,AW237&gt;0),0,IF(SUMPRODUCT(MOD(INT(AW232/{2,4,8,16,32,64,128,256,512,1024,2048,4096,8192,16384,32768}),2)*(1-MOD(INT(($CH$236+$CH$237+AV238)/{2,4,8,16,32,64,128,256,512,1024,2048,4096,8192,16384,32768}),2))*{2,4,8,16,32,64,128,256,512,1024,2048,4096,8192,16384,32768})=0,0,2^SUMPRODUCT(--(MOD(SUMPRODUCT(MOD(INT(AW232/{2,4,8,16,32,64,128,256,512,1024,2048,4096,8192,16384,32768}),2)*(1-MOD(INT(($CH$236+$CH$237+AV238)/{2,4,8,16,32,64,128,256,512,1024,2048,4096,8192,16384,32768}),2))*{2,4,8,16,32,64,128,256,512,1024,2048,4096,8192,16384,32768}),{2,4,8,16,32,64,128,256,512,1024,2048,4096,8192,16384,32768})=0))))</f>
        <v/>
      </c>
      <c r="AX238">
        <f>AW238+IF(OR(AX236&gt;0,AX237&gt;0),0,IF(SUMPRODUCT(MOD(INT(AX232/{2,4,8,16,32,64,128,256,512,1024,2048,4096,8192,16384,32768}),2)*(1-MOD(INT(($CH$236+$CH$237+AW238)/{2,4,8,16,32,64,128,256,512,1024,2048,4096,8192,16384,32768}),2))*{2,4,8,16,32,64,128,256,512,1024,2048,4096,8192,16384,32768})=0,0,2^SUMPRODUCT(--(MOD(SUMPRODUCT(MOD(INT(AX232/{2,4,8,16,32,64,128,256,512,1024,2048,4096,8192,16384,32768}),2)*(1-MOD(INT(($CH$236+$CH$237+AW238)/{2,4,8,16,32,64,128,256,512,1024,2048,4096,8192,16384,32768}),2))*{2,4,8,16,32,64,128,256,512,1024,2048,4096,8192,16384,32768}),{2,4,8,16,32,64,128,256,512,1024,2048,4096,8192,16384,32768})=0))))</f>
        <v/>
      </c>
      <c r="AY238">
        <f>AX238+IF(OR(AY236&gt;0,AY237&gt;0),0,IF(SUMPRODUCT(MOD(INT(AY232/{2,4,8,16,32,64,128,256,512,1024,2048,4096,8192,16384,32768}),2)*(1-MOD(INT(($CH$236+$CH$237+AX238)/{2,4,8,16,32,64,128,256,512,1024,2048,4096,8192,16384,32768}),2))*{2,4,8,16,32,64,128,256,512,1024,2048,4096,8192,16384,32768})=0,0,2^SUMPRODUCT(--(MOD(SUMPRODUCT(MOD(INT(AY232/{2,4,8,16,32,64,128,256,512,1024,2048,4096,8192,16384,32768}),2)*(1-MOD(INT(($CH$236+$CH$237+AX238)/{2,4,8,16,32,64,128,256,512,1024,2048,4096,8192,16384,32768}),2))*{2,4,8,16,32,64,128,256,512,1024,2048,4096,8192,16384,32768}),{2,4,8,16,32,64,128,256,512,1024,2048,4096,8192,16384,32768})=0))))</f>
        <v/>
      </c>
      <c r="AZ238">
        <f>AY238+IF(OR(AZ236&gt;0,AZ237&gt;0),0,IF(SUMPRODUCT(MOD(INT(AZ232/{2,4,8,16,32,64,128,256,512,1024,2048,4096,8192,16384,32768}),2)*(1-MOD(INT(($CH$236+$CH$237+AY238)/{2,4,8,16,32,64,128,256,512,1024,2048,4096,8192,16384,32768}),2))*{2,4,8,16,32,64,128,256,512,1024,2048,4096,8192,16384,32768})=0,0,2^SUMPRODUCT(--(MOD(SUMPRODUCT(MOD(INT(AZ232/{2,4,8,16,32,64,128,256,512,1024,2048,4096,8192,16384,32768}),2)*(1-MOD(INT(($CH$236+$CH$237+AY238)/{2,4,8,16,32,64,128,256,512,1024,2048,4096,8192,16384,32768}),2))*{2,4,8,16,32,64,128,256,512,1024,2048,4096,8192,16384,32768}),{2,4,8,16,32,64,128,256,512,1024,2048,4096,8192,16384,32768})=0))))</f>
        <v/>
      </c>
      <c r="BA238">
        <f>AZ238+IF(OR(BA236&gt;0,BA237&gt;0),0,IF(SUMPRODUCT(MOD(INT(BA232/{2,4,8,16,32,64,128,256,512,1024,2048,4096,8192,16384,32768}),2)*(1-MOD(INT(($CH$236+$CH$237+AZ238)/{2,4,8,16,32,64,128,256,512,1024,2048,4096,8192,16384,32768}),2))*{2,4,8,16,32,64,128,256,512,1024,2048,4096,8192,16384,32768})=0,0,2^SUMPRODUCT(--(MOD(SUMPRODUCT(MOD(INT(BA232/{2,4,8,16,32,64,128,256,512,1024,2048,4096,8192,16384,32768}),2)*(1-MOD(INT(($CH$236+$CH$237+AZ238)/{2,4,8,16,32,64,128,256,512,1024,2048,4096,8192,16384,32768}),2))*{2,4,8,16,32,64,128,256,512,1024,2048,4096,8192,16384,32768}),{2,4,8,16,32,64,128,256,512,1024,2048,4096,8192,16384,32768})=0))))</f>
        <v/>
      </c>
      <c r="BB238">
        <f>BA238+IF(OR(BB236&gt;0,BB237&gt;0),0,IF(SUMPRODUCT(MOD(INT(BB232/{2,4,8,16,32,64,128,256,512,1024,2048,4096,8192,16384,32768}),2)*(1-MOD(INT(($CH$236+$CH$237+BA238)/{2,4,8,16,32,64,128,256,512,1024,2048,4096,8192,16384,32768}),2))*{2,4,8,16,32,64,128,256,512,1024,2048,4096,8192,16384,32768})=0,0,2^SUMPRODUCT(--(MOD(SUMPRODUCT(MOD(INT(BB232/{2,4,8,16,32,64,128,256,512,1024,2048,4096,8192,16384,32768}),2)*(1-MOD(INT(($CH$236+$CH$237+BA238)/{2,4,8,16,32,64,128,256,512,1024,2048,4096,8192,16384,32768}),2))*{2,4,8,16,32,64,128,256,512,1024,2048,4096,8192,16384,32768}),{2,4,8,16,32,64,128,256,512,1024,2048,4096,8192,16384,32768})=0))))</f>
        <v/>
      </c>
      <c r="BC238">
        <f>BB238+IF(OR(BC236&gt;0,BC237&gt;0),0,IF(SUMPRODUCT(MOD(INT(BC232/{2,4,8,16,32,64,128,256,512,1024,2048,4096,8192,16384,32768}),2)*(1-MOD(INT(($CH$236+$CH$237+BB238)/{2,4,8,16,32,64,128,256,512,1024,2048,4096,8192,16384,32768}),2))*{2,4,8,16,32,64,128,256,512,1024,2048,4096,8192,16384,32768})=0,0,2^SUMPRODUCT(--(MOD(SUMPRODUCT(MOD(INT(BC232/{2,4,8,16,32,64,128,256,512,1024,2048,4096,8192,16384,32768}),2)*(1-MOD(INT(($CH$236+$CH$237+BB238)/{2,4,8,16,32,64,128,256,512,1024,2048,4096,8192,16384,32768}),2))*{2,4,8,16,32,64,128,256,512,1024,2048,4096,8192,16384,32768}),{2,4,8,16,32,64,128,256,512,1024,2048,4096,8192,16384,32768})=0))))</f>
        <v/>
      </c>
      <c r="BD238">
        <f>BC238+IF(OR(BD236&gt;0,BD237&gt;0),0,IF(SUMPRODUCT(MOD(INT(BD232/{2,4,8,16,32,64,128,256,512,1024,2048,4096,8192,16384,32768}),2)*(1-MOD(INT(($CH$236+$CH$237+BC238)/{2,4,8,16,32,64,128,256,512,1024,2048,4096,8192,16384,32768}),2))*{2,4,8,16,32,64,128,256,512,1024,2048,4096,8192,16384,32768})=0,0,2^SUMPRODUCT(--(MOD(SUMPRODUCT(MOD(INT(BD232/{2,4,8,16,32,64,128,256,512,1024,2048,4096,8192,16384,32768}),2)*(1-MOD(INT(($CH$236+$CH$237+BC238)/{2,4,8,16,32,64,128,256,512,1024,2048,4096,8192,16384,32768}),2))*{2,4,8,16,32,64,128,256,512,1024,2048,4096,8192,16384,32768}),{2,4,8,16,32,64,128,256,512,1024,2048,4096,8192,16384,32768})=0))))</f>
        <v/>
      </c>
      <c r="BE238">
        <f>BD238+IF(OR(BE236&gt;0,BE237&gt;0),0,IF(SUMPRODUCT(MOD(INT(BE232/{2,4,8,16,32,64,128,256,512,1024,2048,4096,8192,16384,32768}),2)*(1-MOD(INT(($CH$236+$CH$237+BD238)/{2,4,8,16,32,64,128,256,512,1024,2048,4096,8192,16384,32768}),2))*{2,4,8,16,32,64,128,256,512,1024,2048,4096,8192,16384,32768})=0,0,2^SUMPRODUCT(--(MOD(SUMPRODUCT(MOD(INT(BE232/{2,4,8,16,32,64,128,256,512,1024,2048,4096,8192,16384,32768}),2)*(1-MOD(INT(($CH$236+$CH$237+BD238)/{2,4,8,16,32,64,128,256,512,1024,2048,4096,8192,16384,32768}),2))*{2,4,8,16,32,64,128,256,512,1024,2048,4096,8192,16384,32768}),{2,4,8,16,32,64,128,256,512,1024,2048,4096,8192,16384,32768})=0))))</f>
        <v/>
      </c>
      <c r="BF238">
        <f>BE238+IF(OR(BF236&gt;0,BF237&gt;0),0,IF(SUMPRODUCT(MOD(INT(BF232/{2,4,8,16,32,64,128,256,512,1024,2048,4096,8192,16384,32768}),2)*(1-MOD(INT(($CH$236+$CH$237+BE238)/{2,4,8,16,32,64,128,256,512,1024,2048,4096,8192,16384,32768}),2))*{2,4,8,16,32,64,128,256,512,1024,2048,4096,8192,16384,32768})=0,0,2^SUMPRODUCT(--(MOD(SUMPRODUCT(MOD(INT(BF232/{2,4,8,16,32,64,128,256,512,1024,2048,4096,8192,16384,32768}),2)*(1-MOD(INT(($CH$236+$CH$237+BE238)/{2,4,8,16,32,64,128,256,512,1024,2048,4096,8192,16384,32768}),2))*{2,4,8,16,32,64,128,256,512,1024,2048,4096,8192,16384,32768}),{2,4,8,16,32,64,128,256,512,1024,2048,4096,8192,16384,32768})=0))))</f>
        <v/>
      </c>
      <c r="BG238">
        <f>BF238+IF(OR(BG236&gt;0,BG237&gt;0),0,IF(SUMPRODUCT(MOD(INT(BG232/{2,4,8,16,32,64,128,256,512,1024,2048,4096,8192,16384,32768}),2)*(1-MOD(INT(($CH$236+$CH$237+BF238)/{2,4,8,16,32,64,128,256,512,1024,2048,4096,8192,16384,32768}),2))*{2,4,8,16,32,64,128,256,512,1024,2048,4096,8192,16384,32768})=0,0,2^SUMPRODUCT(--(MOD(SUMPRODUCT(MOD(INT(BG232/{2,4,8,16,32,64,128,256,512,1024,2048,4096,8192,16384,32768}),2)*(1-MOD(INT(($CH$236+$CH$237+BF238)/{2,4,8,16,32,64,128,256,512,1024,2048,4096,8192,16384,32768}),2))*{2,4,8,16,32,64,128,256,512,1024,2048,4096,8192,16384,32768}),{2,4,8,16,32,64,128,256,512,1024,2048,4096,8192,16384,32768})=0))))</f>
        <v/>
      </c>
      <c r="BH238">
        <f>BG238+IF(OR(BH236&gt;0,BH237&gt;0),0,IF(SUMPRODUCT(MOD(INT(BH232/{2,4,8,16,32,64,128,256,512,1024,2048,4096,8192,16384,32768}),2)*(1-MOD(INT(($CH$236+$CH$237+BG238)/{2,4,8,16,32,64,128,256,512,1024,2048,4096,8192,16384,32768}),2))*{2,4,8,16,32,64,128,256,512,1024,2048,4096,8192,16384,32768})=0,0,2^SUMPRODUCT(--(MOD(SUMPRODUCT(MOD(INT(BH232/{2,4,8,16,32,64,128,256,512,1024,2048,4096,8192,16384,32768}),2)*(1-MOD(INT(($CH$236+$CH$237+BG238)/{2,4,8,16,32,64,128,256,512,1024,2048,4096,8192,16384,32768}),2))*{2,4,8,16,32,64,128,256,512,1024,2048,4096,8192,16384,32768}),{2,4,8,16,32,64,128,256,512,1024,2048,4096,8192,16384,32768})=0))))</f>
        <v/>
      </c>
      <c r="BI238">
        <f>BH238+IF(OR(BI236&gt;0,BI237&gt;0),0,IF(SUMPRODUCT(MOD(INT(BI232/{2,4,8,16,32,64,128,256,512,1024,2048,4096,8192,16384,32768}),2)*(1-MOD(INT(($CH$236+$CH$237+BH238)/{2,4,8,16,32,64,128,256,512,1024,2048,4096,8192,16384,32768}),2))*{2,4,8,16,32,64,128,256,512,1024,2048,4096,8192,16384,32768})=0,0,2^SUMPRODUCT(--(MOD(SUMPRODUCT(MOD(INT(BI232/{2,4,8,16,32,64,128,256,512,1024,2048,4096,8192,16384,32768}),2)*(1-MOD(INT(($CH$236+$CH$237+BH238)/{2,4,8,16,32,64,128,256,512,1024,2048,4096,8192,16384,32768}),2))*{2,4,8,16,32,64,128,256,512,1024,2048,4096,8192,16384,32768}),{2,4,8,16,32,64,128,256,512,1024,2048,4096,8192,16384,32768})=0))))</f>
        <v/>
      </c>
      <c r="BJ238">
        <f>BI238+IF(OR(BJ236&gt;0,BJ237&gt;0),0,IF(SUMPRODUCT(MOD(INT(BJ232/{2,4,8,16,32,64,128,256,512,1024,2048,4096,8192,16384,32768}),2)*(1-MOD(INT(($CH$236+$CH$237+BI238)/{2,4,8,16,32,64,128,256,512,1024,2048,4096,8192,16384,32768}),2))*{2,4,8,16,32,64,128,256,512,1024,2048,4096,8192,16384,32768})=0,0,2^SUMPRODUCT(--(MOD(SUMPRODUCT(MOD(INT(BJ232/{2,4,8,16,32,64,128,256,512,1024,2048,4096,8192,16384,32768}),2)*(1-MOD(INT(($CH$236+$CH$237+BI238)/{2,4,8,16,32,64,128,256,512,1024,2048,4096,8192,16384,32768}),2))*{2,4,8,16,32,64,128,256,512,1024,2048,4096,8192,16384,32768}),{2,4,8,16,32,64,128,256,512,1024,2048,4096,8192,16384,32768})=0))))</f>
        <v/>
      </c>
      <c r="BK238">
        <f>BJ238+IF(OR(BK236&gt;0,BK237&gt;0),0,IF(SUMPRODUCT(MOD(INT(BK232/{2,4,8,16,32,64,128,256,512,1024,2048,4096,8192,16384,32768}),2)*(1-MOD(INT(($CH$236+$CH$237+BJ238)/{2,4,8,16,32,64,128,256,512,1024,2048,4096,8192,16384,32768}),2))*{2,4,8,16,32,64,128,256,512,1024,2048,4096,8192,16384,32768})=0,0,2^SUMPRODUCT(--(MOD(SUMPRODUCT(MOD(INT(BK232/{2,4,8,16,32,64,128,256,512,1024,2048,4096,8192,16384,32768}),2)*(1-MOD(INT(($CH$236+$CH$237+BJ238)/{2,4,8,16,32,64,128,256,512,1024,2048,4096,8192,16384,32768}),2))*{2,4,8,16,32,64,128,256,512,1024,2048,4096,8192,16384,32768}),{2,4,8,16,32,64,128,256,512,1024,2048,4096,8192,16384,32768})=0))))</f>
        <v/>
      </c>
      <c r="BL238">
        <f>BK238+IF(OR(BL236&gt;0,BL237&gt;0),0,IF(SUMPRODUCT(MOD(INT(BL232/{2,4,8,16,32,64,128,256,512,1024,2048,4096,8192,16384,32768}),2)*(1-MOD(INT(($CH$236+$CH$237+BK238)/{2,4,8,16,32,64,128,256,512,1024,2048,4096,8192,16384,32768}),2))*{2,4,8,16,32,64,128,256,512,1024,2048,4096,8192,16384,32768})=0,0,2^SUMPRODUCT(--(MOD(SUMPRODUCT(MOD(INT(BL232/{2,4,8,16,32,64,128,256,512,1024,2048,4096,8192,16384,32768}),2)*(1-MOD(INT(($CH$236+$CH$237+BK238)/{2,4,8,16,32,64,128,256,512,1024,2048,4096,8192,16384,32768}),2))*{2,4,8,16,32,64,128,256,512,1024,2048,4096,8192,16384,32768}),{2,4,8,16,32,64,128,256,512,1024,2048,4096,8192,16384,32768})=0))))</f>
        <v/>
      </c>
      <c r="BM238">
        <f>BL238+IF(OR(BM236&gt;0,BM237&gt;0),0,IF(SUMPRODUCT(MOD(INT(BM232/{2,4,8,16,32,64,128,256,512,1024,2048,4096,8192,16384,32768}),2)*(1-MOD(INT(($CH$236+$CH$237+BL238)/{2,4,8,16,32,64,128,256,512,1024,2048,4096,8192,16384,32768}),2))*{2,4,8,16,32,64,128,256,512,1024,2048,4096,8192,16384,32768})=0,0,2^SUMPRODUCT(--(MOD(SUMPRODUCT(MOD(INT(BM232/{2,4,8,16,32,64,128,256,512,1024,2048,4096,8192,16384,32768}),2)*(1-MOD(INT(($CH$236+$CH$237+BL238)/{2,4,8,16,32,64,128,256,512,1024,2048,4096,8192,16384,32768}),2))*{2,4,8,16,32,64,128,256,512,1024,2048,4096,8192,16384,32768}),{2,4,8,16,32,64,128,256,512,1024,2048,4096,8192,16384,32768})=0))))</f>
        <v/>
      </c>
      <c r="BN238">
        <f>BM238+IF(OR(BN236&gt;0,BN237&gt;0),0,IF(SUMPRODUCT(MOD(INT(BN232/{2,4,8,16,32,64,128,256,512,1024,2048,4096,8192,16384,32768}),2)*(1-MOD(INT(($CH$236+$CH$237+BM238)/{2,4,8,16,32,64,128,256,512,1024,2048,4096,8192,16384,32768}),2))*{2,4,8,16,32,64,128,256,512,1024,2048,4096,8192,16384,32768})=0,0,2^SUMPRODUCT(--(MOD(SUMPRODUCT(MOD(INT(BN232/{2,4,8,16,32,64,128,256,512,1024,2048,4096,8192,16384,32768}),2)*(1-MOD(INT(($CH$236+$CH$237+BM238)/{2,4,8,16,32,64,128,256,512,1024,2048,4096,8192,16384,32768}),2))*{2,4,8,16,32,64,128,256,512,1024,2048,4096,8192,16384,32768}),{2,4,8,16,32,64,128,256,512,1024,2048,4096,8192,16384,32768})=0))))</f>
        <v/>
      </c>
      <c r="BO238">
        <f>BN238+IF(OR(BO236&gt;0,BO237&gt;0),0,IF(SUMPRODUCT(MOD(INT(BO232/{2,4,8,16,32,64,128,256,512,1024,2048,4096,8192,16384,32768}),2)*(1-MOD(INT(($CH$236+$CH$237+BN238)/{2,4,8,16,32,64,128,256,512,1024,2048,4096,8192,16384,32768}),2))*{2,4,8,16,32,64,128,256,512,1024,2048,4096,8192,16384,32768})=0,0,2^SUMPRODUCT(--(MOD(SUMPRODUCT(MOD(INT(BO232/{2,4,8,16,32,64,128,256,512,1024,2048,4096,8192,16384,32768}),2)*(1-MOD(INT(($CH$236+$CH$237+BN238)/{2,4,8,16,32,64,128,256,512,1024,2048,4096,8192,16384,32768}),2))*{2,4,8,16,32,64,128,256,512,1024,2048,4096,8192,16384,32768}),{2,4,8,16,32,64,128,256,512,1024,2048,4096,8192,16384,32768})=0))))</f>
        <v/>
      </c>
      <c r="BP238">
        <f>BO238+IF(OR(BP236&gt;0,BP237&gt;0),0,IF(SUMPRODUCT(MOD(INT(BP232/{2,4,8,16,32,64,128,256,512,1024,2048,4096,8192,16384,32768}),2)*(1-MOD(INT(($CH$236+$CH$237+BO238)/{2,4,8,16,32,64,128,256,512,1024,2048,4096,8192,16384,32768}),2))*{2,4,8,16,32,64,128,256,512,1024,2048,4096,8192,16384,32768})=0,0,2^SUMPRODUCT(--(MOD(SUMPRODUCT(MOD(INT(BP232/{2,4,8,16,32,64,128,256,512,1024,2048,4096,8192,16384,32768}),2)*(1-MOD(INT(($CH$236+$CH$237+BO238)/{2,4,8,16,32,64,128,256,512,1024,2048,4096,8192,16384,32768}),2))*{2,4,8,16,32,64,128,256,512,1024,2048,4096,8192,16384,32768}),{2,4,8,16,32,64,128,256,512,1024,2048,4096,8192,16384,32768})=0))))</f>
        <v/>
      </c>
      <c r="BQ238">
        <f>BP238+IF(OR(BQ236&gt;0,BQ237&gt;0),0,IF(SUMPRODUCT(MOD(INT(BQ232/{2,4,8,16,32,64,128,256,512,1024,2048,4096,8192,16384,32768}),2)*(1-MOD(INT(($CH$236+$CH$237+BP238)/{2,4,8,16,32,64,128,256,512,1024,2048,4096,8192,16384,32768}),2))*{2,4,8,16,32,64,128,256,512,1024,2048,4096,8192,16384,32768})=0,0,2^SUMPRODUCT(--(MOD(SUMPRODUCT(MOD(INT(BQ232/{2,4,8,16,32,64,128,256,512,1024,2048,4096,8192,16384,32768}),2)*(1-MOD(INT(($CH$236+$CH$237+BP238)/{2,4,8,16,32,64,128,256,512,1024,2048,4096,8192,16384,32768}),2))*{2,4,8,16,32,64,128,256,512,1024,2048,4096,8192,16384,32768}),{2,4,8,16,32,64,128,256,512,1024,2048,4096,8192,16384,32768})=0))))</f>
        <v/>
      </c>
      <c r="BR238">
        <f>BQ238+IF(OR(BR236&gt;0,BR237&gt;0),0,IF(SUMPRODUCT(MOD(INT(BR232/{2,4,8,16,32,64,128,256,512,1024,2048,4096,8192,16384,32768}),2)*(1-MOD(INT(($CH$236+$CH$237+BQ238)/{2,4,8,16,32,64,128,256,512,1024,2048,4096,8192,16384,32768}),2))*{2,4,8,16,32,64,128,256,512,1024,2048,4096,8192,16384,32768})=0,0,2^SUMPRODUCT(--(MOD(SUMPRODUCT(MOD(INT(BR232/{2,4,8,16,32,64,128,256,512,1024,2048,4096,8192,16384,32768}),2)*(1-MOD(INT(($CH$236+$CH$237+BQ238)/{2,4,8,16,32,64,128,256,512,1024,2048,4096,8192,16384,32768}),2))*{2,4,8,16,32,64,128,256,512,1024,2048,4096,8192,16384,32768}),{2,4,8,16,32,64,128,256,512,1024,2048,4096,8192,16384,32768})=0))))</f>
        <v/>
      </c>
      <c r="BS238">
        <f>BR238+IF(OR(BS236&gt;0,BS237&gt;0),0,IF(SUMPRODUCT(MOD(INT(BS232/{2,4,8,16,32,64,128,256,512,1024,2048,4096,8192,16384,32768}),2)*(1-MOD(INT(($CH$236+$CH$237+BR238)/{2,4,8,16,32,64,128,256,512,1024,2048,4096,8192,16384,32768}),2))*{2,4,8,16,32,64,128,256,512,1024,2048,4096,8192,16384,32768})=0,0,2^SUMPRODUCT(--(MOD(SUMPRODUCT(MOD(INT(BS232/{2,4,8,16,32,64,128,256,512,1024,2048,4096,8192,16384,32768}),2)*(1-MOD(INT(($CH$236+$CH$237+BR238)/{2,4,8,16,32,64,128,256,512,1024,2048,4096,8192,16384,32768}),2))*{2,4,8,16,32,64,128,256,512,1024,2048,4096,8192,16384,32768}),{2,4,8,16,32,64,128,256,512,1024,2048,4096,8192,16384,32768})=0))))</f>
        <v/>
      </c>
      <c r="BT238">
        <f>BS238+IF(OR(BT236&gt;0,BT237&gt;0),0,IF(SUMPRODUCT(MOD(INT(BT232/{2,4,8,16,32,64,128,256,512,1024,2048,4096,8192,16384,32768}),2)*(1-MOD(INT(($CH$236+$CH$237+BS238)/{2,4,8,16,32,64,128,256,512,1024,2048,4096,8192,16384,32768}),2))*{2,4,8,16,32,64,128,256,512,1024,2048,4096,8192,16384,32768})=0,0,2^SUMPRODUCT(--(MOD(SUMPRODUCT(MOD(INT(BT232/{2,4,8,16,32,64,128,256,512,1024,2048,4096,8192,16384,32768}),2)*(1-MOD(INT(($CH$236+$CH$237+BS238)/{2,4,8,16,32,64,128,256,512,1024,2048,4096,8192,16384,32768}),2))*{2,4,8,16,32,64,128,256,512,1024,2048,4096,8192,16384,32768}),{2,4,8,16,32,64,128,256,512,1024,2048,4096,8192,16384,32768})=0))))</f>
        <v/>
      </c>
      <c r="BU238">
        <f>BT238+IF(OR(BU236&gt;0,BU237&gt;0),0,IF(SUMPRODUCT(MOD(INT(BU232/{2,4,8,16,32,64,128,256,512,1024,2048,4096,8192,16384,32768}),2)*(1-MOD(INT(($CH$236+$CH$237+BT238)/{2,4,8,16,32,64,128,256,512,1024,2048,4096,8192,16384,32768}),2))*{2,4,8,16,32,64,128,256,512,1024,2048,4096,8192,16384,32768})=0,0,2^SUMPRODUCT(--(MOD(SUMPRODUCT(MOD(INT(BU232/{2,4,8,16,32,64,128,256,512,1024,2048,4096,8192,16384,32768}),2)*(1-MOD(INT(($CH$236+$CH$237+BT238)/{2,4,8,16,32,64,128,256,512,1024,2048,4096,8192,16384,32768}),2))*{2,4,8,16,32,64,128,256,512,1024,2048,4096,8192,16384,32768}),{2,4,8,16,32,64,128,256,512,1024,2048,4096,8192,16384,32768})=0))))</f>
        <v/>
      </c>
      <c r="BV238">
        <f>BU238+IF(OR(BV236&gt;0,BV237&gt;0),0,IF(SUMPRODUCT(MOD(INT(BV232/{2,4,8,16,32,64,128,256,512,1024,2048,4096,8192,16384,32768}),2)*(1-MOD(INT(($CH$236+$CH$237+BU238)/{2,4,8,16,32,64,128,256,512,1024,2048,4096,8192,16384,32768}),2))*{2,4,8,16,32,64,128,256,512,1024,2048,4096,8192,16384,32768})=0,0,2^SUMPRODUCT(--(MOD(SUMPRODUCT(MOD(INT(BV232/{2,4,8,16,32,64,128,256,512,1024,2048,4096,8192,16384,32768}),2)*(1-MOD(INT(($CH$236+$CH$237+BU238)/{2,4,8,16,32,64,128,256,512,1024,2048,4096,8192,16384,32768}),2))*{2,4,8,16,32,64,128,256,512,1024,2048,4096,8192,16384,32768}),{2,4,8,16,32,64,128,256,512,1024,2048,4096,8192,16384,32768})=0))))</f>
        <v/>
      </c>
      <c r="BW238">
        <f>BV238+IF(OR(BW236&gt;0,BW237&gt;0),0,IF(SUMPRODUCT(MOD(INT(BW232/{2,4,8,16,32,64,128,256,512,1024,2048,4096,8192,16384,32768}),2)*(1-MOD(INT(($CH$236+$CH$237+BV238)/{2,4,8,16,32,64,128,256,512,1024,2048,4096,8192,16384,32768}),2))*{2,4,8,16,32,64,128,256,512,1024,2048,4096,8192,16384,32768})=0,0,2^SUMPRODUCT(--(MOD(SUMPRODUCT(MOD(INT(BW232/{2,4,8,16,32,64,128,256,512,1024,2048,4096,8192,16384,32768}),2)*(1-MOD(INT(($CH$236+$CH$237+BV238)/{2,4,8,16,32,64,128,256,512,1024,2048,4096,8192,16384,32768}),2))*{2,4,8,16,32,64,128,256,512,1024,2048,4096,8192,16384,32768}),{2,4,8,16,32,64,128,256,512,1024,2048,4096,8192,16384,32768})=0))))</f>
        <v/>
      </c>
      <c r="BX238">
        <f>BW238+IF(OR(BX236&gt;0,BX237&gt;0),0,IF(SUMPRODUCT(MOD(INT(BX232/{2,4,8,16,32,64,128,256,512,1024,2048,4096,8192,16384,32768}),2)*(1-MOD(INT(($CH$236+$CH$237+BW238)/{2,4,8,16,32,64,128,256,512,1024,2048,4096,8192,16384,32768}),2))*{2,4,8,16,32,64,128,256,512,1024,2048,4096,8192,16384,32768})=0,0,2^SUMPRODUCT(--(MOD(SUMPRODUCT(MOD(INT(BX232/{2,4,8,16,32,64,128,256,512,1024,2048,4096,8192,16384,32768}),2)*(1-MOD(INT(($CH$236+$CH$237+BW238)/{2,4,8,16,32,64,128,256,512,1024,2048,4096,8192,16384,32768}),2))*{2,4,8,16,32,64,128,256,512,1024,2048,4096,8192,16384,32768}),{2,4,8,16,32,64,128,256,512,1024,2048,4096,8192,16384,32768})=0))))</f>
        <v/>
      </c>
      <c r="BY238">
        <f>BX238+IF(OR(BY236&gt;0,BY237&gt;0),0,IF(SUMPRODUCT(MOD(INT(BY232/{2,4,8,16,32,64,128,256,512,1024,2048,4096,8192,16384,32768}),2)*(1-MOD(INT(($CH$236+$CH$237+BX238)/{2,4,8,16,32,64,128,256,512,1024,2048,4096,8192,16384,32768}),2))*{2,4,8,16,32,64,128,256,512,1024,2048,4096,8192,16384,32768})=0,0,2^SUMPRODUCT(--(MOD(SUMPRODUCT(MOD(INT(BY232/{2,4,8,16,32,64,128,256,512,1024,2048,4096,8192,16384,32768}),2)*(1-MOD(INT(($CH$236+$CH$237+BX238)/{2,4,8,16,32,64,128,256,512,1024,2048,4096,8192,16384,32768}),2))*{2,4,8,16,32,64,128,256,512,1024,2048,4096,8192,16384,32768}),{2,4,8,16,32,64,128,256,512,1024,2048,4096,8192,16384,32768})=0))))</f>
        <v/>
      </c>
      <c r="BZ238">
        <f>BY238+IF(OR(BZ236&gt;0,BZ237&gt;0),0,IF(SUMPRODUCT(MOD(INT(BZ232/{2,4,8,16,32,64,128,256,512,1024,2048,4096,8192,16384,32768}),2)*(1-MOD(INT(($CH$236+$CH$237+BY238)/{2,4,8,16,32,64,128,256,512,1024,2048,4096,8192,16384,32768}),2))*{2,4,8,16,32,64,128,256,512,1024,2048,4096,8192,16384,32768})=0,0,2^SUMPRODUCT(--(MOD(SUMPRODUCT(MOD(INT(BZ232/{2,4,8,16,32,64,128,256,512,1024,2048,4096,8192,16384,32768}),2)*(1-MOD(INT(($CH$236+$CH$237+BY238)/{2,4,8,16,32,64,128,256,512,1024,2048,4096,8192,16384,32768}),2))*{2,4,8,16,32,64,128,256,512,1024,2048,4096,8192,16384,32768}),{2,4,8,16,32,64,128,256,512,1024,2048,4096,8192,16384,32768})=0))))</f>
        <v/>
      </c>
      <c r="CA238">
        <f>BZ238+IF(OR(CA236&gt;0,CA237&gt;0),0,IF(SUMPRODUCT(MOD(INT(CA232/{2,4,8,16,32,64,128,256,512,1024,2048,4096,8192,16384,32768}),2)*(1-MOD(INT(($CH$236+$CH$237+BZ238)/{2,4,8,16,32,64,128,256,512,1024,2048,4096,8192,16384,32768}),2))*{2,4,8,16,32,64,128,256,512,1024,2048,4096,8192,16384,32768})=0,0,2^SUMPRODUCT(--(MOD(SUMPRODUCT(MOD(INT(CA232/{2,4,8,16,32,64,128,256,512,1024,2048,4096,8192,16384,32768}),2)*(1-MOD(INT(($CH$236+$CH$237+BZ238)/{2,4,8,16,32,64,128,256,512,1024,2048,4096,8192,16384,32768}),2))*{2,4,8,16,32,64,128,256,512,1024,2048,4096,8192,16384,32768}),{2,4,8,16,32,64,128,256,512,1024,2048,4096,8192,16384,32768})=0))))</f>
        <v/>
      </c>
      <c r="CB238">
        <f>CA238+IF(OR(CB236&gt;0,CB237&gt;0),0,IF(SUMPRODUCT(MOD(INT(CB232/{2,4,8,16,32,64,128,256,512,1024,2048,4096,8192,16384,32768}),2)*(1-MOD(INT(($CH$236+$CH$237+CA238)/{2,4,8,16,32,64,128,256,512,1024,2048,4096,8192,16384,32768}),2))*{2,4,8,16,32,64,128,256,512,1024,2048,4096,8192,16384,32768})=0,0,2^SUMPRODUCT(--(MOD(SUMPRODUCT(MOD(INT(CB232/{2,4,8,16,32,64,128,256,512,1024,2048,4096,8192,16384,32768}),2)*(1-MOD(INT(($CH$236+$CH$237+CA238)/{2,4,8,16,32,64,128,256,512,1024,2048,4096,8192,16384,32768}),2))*{2,4,8,16,32,64,128,256,512,1024,2048,4096,8192,16384,32768}),{2,4,8,16,32,64,128,256,512,1024,2048,4096,8192,16384,32768})=0))))</f>
        <v/>
      </c>
      <c r="CC238">
        <f>CB238+IF(OR(CC236&gt;0,CC237&gt;0),0,IF(SUMPRODUCT(MOD(INT(CC232/{2,4,8,16,32,64,128,256,512,1024,2048,4096,8192,16384,32768}),2)*(1-MOD(INT(($CH$236+$CH$237+CB238)/{2,4,8,16,32,64,128,256,512,1024,2048,4096,8192,16384,32768}),2))*{2,4,8,16,32,64,128,256,512,1024,2048,4096,8192,16384,32768})=0,0,2^SUMPRODUCT(--(MOD(SUMPRODUCT(MOD(INT(CC232/{2,4,8,16,32,64,128,256,512,1024,2048,4096,8192,16384,32768}),2)*(1-MOD(INT(($CH$236+$CH$237+CB238)/{2,4,8,16,32,64,128,256,512,1024,2048,4096,8192,16384,32768}),2))*{2,4,8,16,32,64,128,256,512,1024,2048,4096,8192,16384,32768}),{2,4,8,16,32,64,128,256,512,1024,2048,4096,8192,16384,32768})=0))))</f>
        <v/>
      </c>
      <c r="CD238">
        <f>CC238+IF(OR(CD236&gt;0,CD237&gt;0),0,IF(SUMPRODUCT(MOD(INT(CD232/{2,4,8,16,32,64,128,256,512,1024,2048,4096,8192,16384,32768}),2)*(1-MOD(INT(($CH$236+$CH$237+CC238)/{2,4,8,16,32,64,128,256,512,1024,2048,4096,8192,16384,32768}),2))*{2,4,8,16,32,64,128,256,512,1024,2048,4096,8192,16384,32768})=0,0,2^SUMPRODUCT(--(MOD(SUMPRODUCT(MOD(INT(CD232/{2,4,8,16,32,64,128,256,512,1024,2048,4096,8192,16384,32768}),2)*(1-MOD(INT(($CH$236+$CH$237+CC238)/{2,4,8,16,32,64,128,256,512,1024,2048,4096,8192,16384,32768}),2))*{2,4,8,16,32,64,128,256,512,1024,2048,4096,8192,16384,32768}),{2,4,8,16,32,64,128,256,512,1024,2048,4096,8192,16384,32768})=0))))</f>
        <v/>
      </c>
      <c r="CE238">
        <f>CD238+IF(OR(CE236&gt;0,CE237&gt;0),0,IF(SUMPRODUCT(MOD(INT(CE232/{2,4,8,16,32,64,128,256,512,1024,2048,4096,8192,16384,32768}),2)*(1-MOD(INT(($CH$236+$CH$237+CD238)/{2,4,8,16,32,64,128,256,512,1024,2048,4096,8192,16384,32768}),2))*{2,4,8,16,32,64,128,256,512,1024,2048,4096,8192,16384,32768})=0,0,2^SUMPRODUCT(--(MOD(SUMPRODUCT(MOD(INT(CE232/{2,4,8,16,32,64,128,256,512,1024,2048,4096,8192,16384,32768}),2)*(1-MOD(INT(($CH$236+$CH$237+CD238)/{2,4,8,16,32,64,128,256,512,1024,2048,4096,8192,16384,32768}),2))*{2,4,8,16,32,64,128,256,512,1024,2048,4096,8192,16384,32768}),{2,4,8,16,32,64,128,256,512,1024,2048,4096,8192,16384,32768})=0))))</f>
        <v/>
      </c>
      <c r="CF238">
        <f>CE238+IF(OR(CF236&gt;0,CF237&gt;0),0,IF(SUMPRODUCT(MOD(INT(CF232/{2,4,8,16,32,64,128,256,512,1024,2048,4096,8192,16384,32768}),2)*(1-MOD(INT(($CH$236+$CH$237+CE238)/{2,4,8,16,32,64,128,256,512,1024,2048,4096,8192,16384,32768}),2))*{2,4,8,16,32,64,128,256,512,1024,2048,4096,8192,16384,32768})=0,0,2^SUMPRODUCT(--(MOD(SUMPRODUCT(MOD(INT(CF232/{2,4,8,16,32,64,128,256,512,1024,2048,4096,8192,16384,32768}),2)*(1-MOD(INT(($CH$236+$CH$237+CE238)/{2,4,8,16,32,64,128,256,512,1024,2048,4096,8192,16384,32768}),2))*{2,4,8,16,32,64,128,256,512,1024,2048,4096,8192,16384,32768}),{2,4,8,16,32,64,128,256,512,1024,2048,4096,8192,16384,32768})=0))))</f>
        <v/>
      </c>
      <c r="DA238" t="n">
        <v>234</v>
      </c>
      <c r="DB238">
        <f>IF($B$37=0,"",IFERROR(TRIM(SUBSTITUTE(SUBSTITUTE(SUBSTITUTE(SUBSTITUTE(INDEX(PASTE_ALL,234,$B$37)," "," "),CHAR(9)," "),CHAR(10)," "),CHAR(13)," ")),""))</f>
        <v/>
      </c>
      <c r="DC238">
        <f>IF(AND(234&gt;HEADER_ROW,UPPER(DB238)="LEGEND"),1,0)</f>
        <v/>
      </c>
      <c r="DE238" t="n">
        <v>234</v>
      </c>
      <c r="DF238">
        <f>HEADER_ROW+$DE238</f>
        <v/>
      </c>
      <c r="DG238">
        <f>IF(AND($DF238&lt;=1000,$DF238&lt;$B$8),1,0)</f>
        <v/>
      </c>
      <c r="DH238">
        <f>IF($DG238=1,IFERROR(INDEX($DB$5:$DB$1004,$DF238),""),"")</f>
        <v/>
      </c>
      <c r="DI238">
        <f>IF(AND($DG238=1,$DH238&lt;&gt;""),IFERROR(SUBSTITUTE(SUBSTITUTE(TRIM(SUBSTITUTE(SUBSTITUTE(SUBSTITUTE(SUBSTITUTE(IFERROR(INDEX(PASTE_ALL,$DF238,1)&amp;"","")&amp;"␟"&amp;IFERROR(INDEX(PASTE_ALL,$DF238,2)&amp;"","")&amp;"␟"&amp;IFERROR(INDEX(PASTE_ALL,$DF238,3)&amp;"","")&amp;"␟"&amp;IFERROR(INDEX(PASTE_ALL,$DF238,4)&amp;"","")&amp;"␟"&amp;IFERROR(INDEX(PASTE_ALL,$DF238,5)&amp;"","")&amp;"␟"&amp;IFERROR(INDEX(PASTE_ALL,$DF238,6)&amp;"","")&amp;"␟"&amp;IFERROR(INDEX(PASTE_ALL,$DF238,7)&amp;"","")&amp;"␟"&amp;IFERROR(INDEX(PASTE_ALL,$DF238,8)&amp;"","")&amp;"␟"&amp;IFERROR(INDEX(PASTE_ALL,$DF238,9)&amp;"","")&amp;"␟"&amp;IFERROR(INDEX(PASTE_ALL,$DF238,10)&amp;"","")&amp;"␟"&amp;IFERROR(INDEX(PASTE_ALL,$DF238,11)&amp;"","")&amp;"␟"&amp;IFERROR(INDEX(PASTE_ALL,$DF238,12)&amp;"","")&amp;"␟"&amp;IFERROR(INDEX(PASTE_ALL,$DF238,13)&amp;"","")&amp;"␟"&amp;IFERROR(INDEX(PASTE_ALL,$DF238,14)&amp;"","")&amp;"␟"&amp;IFERROR(INDEX(PASTE_ALL,$DF238,15)&amp;"","")&amp;"␟"&amp;IFERROR(INDEX(PASTE_ALL,$DF238,16)&amp;"","")&amp;"␟"&amp;IFERROR(INDEX(PASTE_ALL,$DF238,17)&amp;"","")&amp;"␟"&amp;IFERROR(INDEX(PASTE_ALL,$DF238,18)&amp;"","")&amp;"␟"&amp;IFERROR(INDEX(PASTE_ALL,$DF238,19)&amp;"","")&amp;"␟"&amp;IFERROR(INDEX(PASTE_ALL,$DF238,20)&amp;"","")&amp;"␟"&amp;IFERROR(INDEX(PASTE_ALL,$DF238,21)&amp;"","")&amp;"␟"&amp;IFERROR(INDEX(PASTE_ALL,$DF238,22)&amp;"","")&amp;"␟"&amp;IFERROR(INDEX(PASTE_ALL,$DF238,23)&amp;"","")&amp;"␟"&amp;IFERROR(INDEX(PASTE_ALL,$DF238,24)&amp;"","")&amp;"␟"&amp;IFERROR(INDEX(PASTE_ALL,$DF238,25)&amp;"","")&amp;"␟"&amp;IFERROR(INDEX(PASTE_ALL,$DF238,26)&amp;"","")&amp;"␟"&amp;IFERROR(INDEX(PASTE_ALL,$DF238,27)&amp;"","")&amp;"␟"&amp;IFERROR(INDEX(PASTE_ALL,$DF238,28)&amp;"","")&amp;"␟"&amp;IFERROR(INDEX(PASTE_ALL,$DF238,29)&amp;"","")&amp;"␟"&amp;IFERROR(INDEX(PASTE_ALL,$DF238,30)&amp;"","")&amp;"␟"&amp;IFERROR(INDEX(PASTE_ALL,$DF238,31)&amp;"","")&amp;"␟"&amp;IFERROR(INDEX(PASTE_ALL,$DF238,32)&amp;"","")&amp;"␟"&amp;IFERROR(INDEX(PASTE_ALL,$DF238,33)&amp;"","")&amp;"␟"&amp;IFERROR(INDEX(PASTE_ALL,$DF238,34)&amp;"","")&amp;"␟"&amp;IFERROR(INDEX(PASTE_ALL,$DF238,35)&amp;"","")&amp;"␟"&amp;IFERROR(INDEX(PASTE_ALL,$DF238,36)&amp;"","")&amp;"␟"&amp;IFERROR(INDEX(PASTE_ALL,$DF238,37)&amp;"","")&amp;"␟"&amp;IFERROR(INDEX(PASTE_ALL,$DF238,38)&amp;"","")&amp;"␟"&amp;IFERROR(INDEX(PASTE_ALL,$DF238,39)&amp;"","")&amp;"␟"&amp;IFERROR(INDEX(PASTE_ALL,$DF238,40)&amp;"","")&amp;"␟"&amp;IFERROR(INDEX(PASTE_ALL,$DF238,41)&amp;"","")&amp;"␟"&amp;IFERROR(INDEX(PASTE_ALL,$DF238,42)&amp;"","")&amp;"␟"&amp;IFERROR(INDEX(PASTE_ALL,$DF238,43)&amp;"","")&amp;"␟"&amp;IFERROR(INDEX(PASTE_ALL,$DF238,44)&amp;"","")&amp;"␟"&amp;IFERROR(INDEX(PASTE_ALL,$DF238,45)&amp;"","")&amp;"␟"&amp;IFERROR(INDEX(PASTE_ALL,$DF238,46)&amp;"","")&amp;"␟"&amp;IFERROR(INDEX(PASTE_ALL,$DF238,47)&amp;"","")&amp;"␟"&amp;IFERROR(INDEX(PASTE_ALL,$DF238,48)&amp;"","")&amp;"␟"&amp;IFERROR(INDEX(PASTE_ALL,$DF238,49)&amp;"","")&amp;"␟"&amp;IFERROR(INDEX(PASTE_ALL,$DF238,50)&amp;"","")&amp;"␟"&amp;IFERROR(INDEX(PASTE_ALL,$DF238,51)&amp;"","")&amp;"␟"&amp;IFERROR(INDEX(PASTE_ALL,$DF238,52)&amp;"","")&amp;"␟"&amp;IFERROR(INDEX(PASTE_ALL,$DF238,53)&amp;"","")&amp;"␟"&amp;IFERROR(INDEX(PASTE_ALL,$DF238,54)&amp;"","")&amp;"␟"&amp;IFERROR(INDEX(PASTE_ALL,$DF238,55)&amp;"","")&amp;"␟"&amp;IFERROR(INDEX(PASTE_ALL,$DF238,56)&amp;"","")&amp;"␟"&amp;IFERROR(INDEX(PASTE_ALL,$DF238,57)&amp;"","")&amp;"␟"&amp;IFERROR(INDEX(PASTE_ALL,$DF238,58)&amp;"","")&amp;"␟"&amp;IFERROR(INDEX(PASTE_ALL,$DF238,59)&amp;"","")&amp;"␟"&amp;IFERROR(INDEX(PASTE_ALL,$DF238,60)&amp;"","")," "," "),CHAR(9)," "),CHAR(10)," "),CHAR(13)," "))," ␟","␟"),"␟ ","␟"),"#"&amp;$DE238),"")</f>
        <v/>
      </c>
      <c r="DJ238">
        <f>IF($DI238="",0,IF(SUMPRODUCT(--EXACT($DI$4:DI237,$DI238))&gt;0,1,0))</f>
        <v/>
      </c>
      <c r="DK238">
        <f>IF(AND($DI238&lt;&gt;"",$DJ238=0),1,0)</f>
        <v/>
      </c>
      <c r="DL238">
        <f>DL237+$DK238</f>
        <v/>
      </c>
      <c r="DM238">
        <f>IF(AND($DK238=1,$DL238&lt;=600),1,0)</f>
        <v/>
      </c>
      <c r="DN238">
        <f>IF($DM238=0,"",IF($L$6=0,"",IFERROR(IF(ISNUMBER(INDEX(PASTE_ALL,$DF238,$L$6)),INDEX(PASTE_ALL,$DF238,$L$6),TRIM(SUBSTITUTE(SUBSTITUTE(SUBSTITUTE(SUBSTITUTE(INDEX(PASTE_ALL,$DF238,$L$6)," "," "),CHAR(9)," "),CHAR(10)," "),CHAR(13)," "))),"")))</f>
        <v/>
      </c>
      <c r="DO238">
        <f>IF($DM238=0,"",IF($L$7=0,"",IFERROR(IF(ISNUMBER(INDEX(PASTE_ALL,$DF238,$L$7)),INDEX(PASTE_ALL,$DF238,$L$7),TRIM(SUBSTITUTE(SUBSTITUTE(SUBSTITUTE(SUBSTITUTE(INDEX(PASTE_ALL,$DF238,$L$7)," "," "),CHAR(9)," "),CHAR(10)," "),CHAR(13)," "))),"")))</f>
        <v/>
      </c>
      <c r="DP238">
        <f>IF($DM238=0,"",IF($L$8=0,"",IFERROR(IF(ISNUMBER(INDEX(PASTE_ALL,$DF238,$L$8)),INDEX(PASTE_ALL,$DF238,$L$8),TRIM(SUBSTITUTE(SUBSTITUTE(SUBSTITUTE(SUBSTITUTE(INDEX(PASTE_ALL,$DF238,$L$8)," "," "),CHAR(9)," "),CHAR(10)," "),CHAR(13)," "))),"")))</f>
        <v/>
      </c>
      <c r="DQ238">
        <f>IF($DM238=0,"",IF($L$9=0,"",IFERROR(IF(ISNUMBER(INDEX(PASTE_ALL,$DF238,$L$9)),INDEX(PASTE_ALL,$DF238,$L$9),TRIM(SUBSTITUTE(SUBSTITUTE(SUBSTITUTE(SUBSTITUTE(INDEX(PASTE_ALL,$DF238,$L$9)," "," "),CHAR(9)," "),CHAR(10)," "),CHAR(13)," "))),"")))</f>
        <v/>
      </c>
      <c r="DR238">
        <f>IF($DM238=0,"",IF($L$10=0,"",IFERROR(IF(ISNUMBER(INDEX(PASTE_ALL,$DF238,$L$10)),INDEX(PASTE_ALL,$DF238,$L$10),TRIM(SUBSTITUTE(SUBSTITUTE(SUBSTITUTE(SUBSTITUTE(INDEX(PASTE_ALL,$DF238,$L$10)," "," "),CHAR(9)," "),CHAR(10)," "),CHAR(13)," "))),"")))</f>
        <v/>
      </c>
      <c r="DS238">
        <f>IF($DM238=0,"",IF($L$11=0,"",IFERROR(IF(ISNUMBER(INDEX(PASTE_ALL,$DF238,$L$11)),INDEX(PASTE_ALL,$DF238,$L$11),TRIM(SUBSTITUTE(SUBSTITUTE(SUBSTITUTE(SUBSTITUTE(INDEX(PASTE_ALL,$DF238,$L$11)," "," "),CHAR(9)," "),CHAR(10)," "),CHAR(13)," "))),"")))</f>
        <v/>
      </c>
      <c r="DT238">
        <f>IF($DM238=0,"",IF($L$12=0,"",IFERROR(IF(ISNUMBER(INDEX(PASTE_ALL,$DF238,$L$12)),INDEX(PASTE_ALL,$DF238,$L$12),TRIM(SUBSTITUTE(SUBSTITUTE(SUBSTITUTE(SUBSTITUTE(INDEX(PASTE_ALL,$DF238,$L$12)," "," "),CHAR(9)," "),CHAR(10)," "),CHAR(13)," "))),"")))</f>
        <v/>
      </c>
      <c r="DU238">
        <f>IF($DM238=0,"",IF($L$13=0,"",IFERROR(IF(ISNUMBER(INDEX(PASTE_ALL,$DF238,$L$13)),INDEX(PASTE_ALL,$DF238,$L$13),TRIM(SUBSTITUTE(SUBSTITUTE(SUBSTITUTE(SUBSTITUTE(INDEX(PASTE_ALL,$DF238,$L$13)," "," "),CHAR(9)," "),CHAR(10)," "),CHAR(13)," "))),"")))</f>
        <v/>
      </c>
      <c r="DV238">
        <f>IF($DM238=0,"",IF($L$14=0,"",IFERROR(IF(ISNUMBER(INDEX(PASTE_ALL,$DF238,$L$14)),INDEX(PASTE_ALL,$DF238,$L$14),TRIM(SUBSTITUTE(SUBSTITUTE(SUBSTITUTE(SUBSTITUTE(INDEX(PASTE_ALL,$DF238,$L$14)," "," "),CHAR(9)," "),CHAR(10)," "),CHAR(13)," "))),"")))</f>
        <v/>
      </c>
      <c r="DW238">
        <f>IF($DM238=0,"",IF($L$15=0,"",IFERROR(IF(ISNUMBER(INDEX(PASTE_ALL,$DF238,$L$15)),INDEX(PASTE_ALL,$DF238,$L$15),IF(SUMPRODUCT(--ISNUMBER(FIND({"A","B","C","D","E","F","G","H","I","J","K","L","M","N","O","P","Q","R","S","T","U","V","W","X","Y","Z","0","1","2","3","4","5","6","7","8","9"},UPPER(TRIM(SUBSTITUTE(SUBSTITUTE(SUBSTITUTE(SUBSTITUTE(INDEX(PASTE_ALL,$DF238,$L$15)," "," "),CHAR(9)," "),CHAR(10)," "),CHAR(13)," "))))))&gt;0,TRIM(SUBSTITUTE(SUBSTITUTE(SUBSTITUTE(SUBSTITUTE(INDEX(PASTE_ALL,$DF238,$L$15)," "," "),CHAR(9)," "),CHAR(10)," "),CHAR(13)," ")),"")),"")))</f>
        <v/>
      </c>
      <c r="DX238">
        <f>IF($DM238=0,"",IF($L$16=0,"",IFERROR(IF(ISNUMBER(INDEX(PASTE_ALL,$DF238,$L$16)),INDEX(PASTE_ALL,$DF238,$L$16),SUBSTITUTE(SUBSTITUTE(TRIM(SUBSTITUTE(SUBSTITUTE(SUBSTITUTE(SUBSTITUTE(INDEX(PASTE_ALL,$DF238,$L$16)," "," "),CHAR(9)," "),CHAR(10)," "),CHAR(13)," ")),",",""),"%","")),"")))</f>
        <v/>
      </c>
      <c r="DY238">
        <f>IF($DM238=0,"",IFERROR(IF(ISNUMBER($DX238),$DX238,IF($DX238="","",IF(TRIM($DX238)="",0,IF(AND(AND(SUBSTITUTE(SUBSTITUTE(SUBSTITUTE(SUBSTITUTE(SUBSTITUTE(SUBSTITUTE(SUBSTITUTE(SUBSTITUTE(SUBSTITUTE(SUBSTITUTE(SUBSTITUTE(SUBSTITUTE(SUBSTITUTE(SUBSTITUTE(UPPER(TRIM($DX238)),"0",""),"1",""),"2",""),"3",""),"4",""),"5",""),"6",""),"7",""),"8",""),"9",""),".",""),"+",""),"-",""),"E","")="",LEN(SUBSTITUTE(SUBSTITUTE(MID(UPPER(TRIM($DX238)),1+OR(LEFT(UPPER(TRIM($DX238)),1)="+",LEFT(UPPER(TRIM($DX238)),1)="-"),999),"E+","E"),"E-","E"))=LEN(SUBSTITUTE(SUBSTITUTE(SUBSTITUTE(SUBSTITUTE(MID(UPPER(TRIM($DX238)),1+OR(LEFT(UPPER(TRIM($DX238)),1)="+",LEFT(UPPER(TRIM($DX238)),1)="-"),999),"E+","E"),"E-","E"),"+",""),"-","")),LEN(UPPER(TRIM($DX238)))-LEN(SUBSTITUTE(UPPER(TRIM($DX238)),"E",""))&lt;2,LEN(UPPER(TRIM($DX238)))-LEN(SUBSTITUTE(UPPER(TRIM($DX238)),".",""))&lt;2,IFERROR(FIND(".",UPPER(TRIM($DX238))),0)&lt;IFERROR(FIND("E",UPPER(TRIM($DX238))),999)),ISNUMBER(VALUE(TRIM($DX238)))),VALUE(TRIM($DX238)),"")))),""))</f>
        <v/>
      </c>
      <c r="DZ238">
        <f>IF($DM238=0,"",IF($L$17=0,"",IFERROR(IF(ISNUMBER(INDEX(PASTE_ALL,$DF238,$L$17)),INDEX(PASTE_ALL,$DF238,$L$17),SUBSTITUTE(SUBSTITUTE(TRIM(SUBSTITUTE(SUBSTITUTE(SUBSTITUTE(SUBSTITUTE(INDEX(PASTE_ALL,$DF238,$L$17)," "," "),CHAR(9)," "),CHAR(10)," "),CHAR(13)," ")),",",""),"%","")),"")))</f>
        <v/>
      </c>
      <c r="EA238">
        <f>IF($DM238=0,"",IFERROR(IF(ISNUMBER($DZ238),$DZ238,IF($DZ238="","",IF(TRIM($DZ238)="",0,IF(AND(AND(SUBSTITUTE(SUBSTITUTE(SUBSTITUTE(SUBSTITUTE(SUBSTITUTE(SUBSTITUTE(SUBSTITUTE(SUBSTITUTE(SUBSTITUTE(SUBSTITUTE(SUBSTITUTE(SUBSTITUTE(SUBSTITUTE(SUBSTITUTE(UPPER(TRIM($DZ238)),"0",""),"1",""),"2",""),"3",""),"4",""),"5",""),"6",""),"7",""),"8",""),"9",""),".",""),"+",""),"-",""),"E","")="",LEN(SUBSTITUTE(SUBSTITUTE(MID(UPPER(TRIM($DZ238)),1+OR(LEFT(UPPER(TRIM($DZ238)),1)="+",LEFT(UPPER(TRIM($DZ238)),1)="-"),999),"E+","E"),"E-","E"))=LEN(SUBSTITUTE(SUBSTITUTE(SUBSTITUTE(SUBSTITUTE(MID(UPPER(TRIM($DZ238)),1+OR(LEFT(UPPER(TRIM($DZ238)),1)="+",LEFT(UPPER(TRIM($DZ238)),1)="-"),999),"E+","E"),"E-","E"),"+",""),"-","")),LEN(UPPER(TRIM($DZ238)))-LEN(SUBSTITUTE(UPPER(TRIM($DZ238)),"E",""))&lt;2,LEN(UPPER(TRIM($DZ238)))-LEN(SUBSTITUTE(UPPER(TRIM($DZ238)),".",""))&lt;2,IFERROR(FIND(".",UPPER(TRIM($DZ238))),0)&lt;IFERROR(FIND("E",UPPER(TRIM($DZ238))),999)),ISNUMBER(VALUE(TRIM($DZ238)))),VALUE(TRIM($DZ238)),"")))),""))</f>
        <v/>
      </c>
      <c r="EB238">
        <f>IF($DM238=0,"",IF($L$18=0,"",IFERROR(IF(UPPER(TRIM(SUBSTITUTE(SUBSTITUTE(SUBSTITUTE(SUBSTITUTE(INDEX(PASTE_ALL,$DF238,$L$18)," "," "),CHAR(9)," "),CHAR(10)," "),CHAR(13)," ")))="READY","Ready",IF(UPPER(TRIM(SUBSTITUTE(SUBSTITUTE(SUBSTITUTE(SUBSTITUTE(INDEX(PASTE_ALL,$DF238,$L$18)," "," "),CHAR(9)," "),CHAR(10)," "),CHAR(13)," ")))="PM","PM",IF(OR(UPPER(TRIM(SUBSTITUTE(SUBSTITUTE(SUBSTITUTE(SUBSTITUTE(INDEX(PASTE_ALL,$DF238,$L$18)," "," "),CHAR(9)," "),CHAR(10)," "),CHAR(13)," ")))="OT",UPPER(TRIM(SUBSTITUTE(SUBSTITUTE(SUBSTITUTE(SUBSTITUTE(INDEX(PASTE_ALL,$DF238,$L$18)," "," "),CHAR(9)," "),CHAR(10)," "),CHAR(13)," ")))="OVERTIME",UPPER(TRIM(SUBSTITUTE(SUBSTITUTE(SUBSTITUTE(SUBSTITUTE(INDEX(PASTE_ALL,$DF238,$L$18)," "," "),CHAR(9)," "),CHAR(10)," "),CHAR(13)," ")))="TRIAL"),"OT",TRIM(SUBSTITUTE(SUBSTITUTE(SUBSTITUTE(SUBSTITUTE(INDEX(PASTE_ALL,$DF238,$L$18)," "," "),CHAR(9)," "),CHAR(10)," "),CHAR(13)," "))))),"")))</f>
        <v/>
      </c>
      <c r="EC238">
        <f>IF($DM238=0,"",IF($L$19=0,"",IFERROR(IF(ISNUMBER(INDEX(PASTE_ALL,$DF238,$L$19)),INDEX(PASTE_ALL,$DF238,$L$19),TRIM(SUBSTITUTE(SUBSTITUTE(SUBSTITUTE(SUBSTITUTE(INDEX(PASTE_ALL,$DF238,$L$19)," "," "),CHAR(9)," "),CHAR(10)," "),CHAR(13)," "))),"")))</f>
        <v/>
      </c>
      <c r="ED238">
        <f>IF($DM238=0,"",MATCH(1,INDEX(EXACT($DH$5:DH238,$DH238)*$DM$5:DM238,0),0))</f>
        <v/>
      </c>
      <c r="EE238">
        <f>IF($DM238=0,0,IF($ED238=$DE238,1,0))</f>
        <v/>
      </c>
      <c r="EF238">
        <f>EF237+$EE238</f>
        <v/>
      </c>
      <c r="EG238">
        <f>IF($DM238=0,"",INDEX($EF$5:$EF$1003,$ED238))</f>
        <v/>
      </c>
      <c r="EH238">
        <f>IF($DM238=0,"",IF($DO238&lt;&gt;"","",IFERROR(LOOKUP(2,1/(($EG$4:EG237=$EG238)*($DO$4:DO237&lt;&gt;"")),$DO$4:DO237),"")))</f>
        <v/>
      </c>
      <c r="EI238">
        <f>IF($DM238=0,"",IF($DO238&lt;&gt;"",$DO238,$EH238))</f>
        <v/>
      </c>
      <c r="EJ238">
        <f>IF($DM238=0,"",IF($EI238="",0,IF(OR(ISNUMBER($EI238),AND(AND(SUBSTITUTE(SUBSTITUTE(SUBSTITUTE(SUBSTITUTE(SUBSTITUTE(SUBSTITUTE(SUBSTITUTE(SUBSTITUTE(SUBSTITUTE(SUBSTITUTE(SUBSTITUTE(SUBSTITUTE(SUBSTITUTE(SUBSTITUTE(UPPER($EI238),"0",""),"1",""),"2",""),"3",""),"4",""),"5",""),"6",""),"7",""),"8",""),"9",""),".",""),"+",""),"-",""),"E","")="",LEN(SUBSTITUTE(SUBSTITUTE(MID(UPPER($EI238),1+OR(LEFT(UPPER($EI238),1)="+",LEFT(UPPER($EI238),1)="-"),999),"E+","E"),"E-","E"))=LEN(SUBSTITUTE(SUBSTITUTE(SUBSTITUTE(SUBSTITUTE(MID(UPPER($EI238),1+OR(LEFT(UPPER($EI238),1)="+",LEFT(UPPER($EI238),1)="-"),999),"E+","E"),"E-","E"),"+",""),"-","")),LEN(UPPER($EI238))-LEN(SUBSTITUTE(UPPER($EI238),"E",""))&lt;2,LEN(UPPER($EI238))-LEN(SUBSTITUTE(UPPER($EI238),".",""))&lt;2,IFERROR(FIND(".",UPPER($EI238)),0)&lt;IFERROR(FIND("E",UPPER($EI238)),999)),ISNUMBER(VALUE($EI238)))),1,2)))</f>
        <v/>
      </c>
      <c r="EK238">
        <f>IF($DM238=0,"",IF($EJ238=1,IF(ISNUMBER($EI238),$EI238,VALUE($EI238)),IF($EJ238=2,$DE238,0)))</f>
        <v/>
      </c>
      <c r="EL238">
        <f>IF($DM238=0,"",COUNTIF($EG$5:$EG$1003,"&lt;"&amp;$EG238)+SUMPRODUCT(($EG$5:$EG$1003=$EG238)*(($EJ$5:$EJ$1003&lt;$EJ238)+($EJ$5:$EJ$1003=$EJ238)*(($EK$5:$EK$1003&lt;$EK238)+($EK$5:$EK$1003=$EK238)*($DE$5:$DE$1003&lt;$DE238))))+1)</f>
        <v/>
      </c>
      <c r="EM238">
        <f>IF($DM238=0,"",$EL238+$EG238-1)</f>
        <v/>
      </c>
      <c r="EN238">
        <f>IF($DM238=0,0,IFERROR(MATCH(1,INDEX(--(TRIM(SUBSTITUTE(SUBSTITUTE(SUBSTITUTE(SUBSTITUTE(LINES_NAME&amp;""," "," "),CHAR(9)," "),CHAR(10)," "),CHAR(13)," "))=$DH238),0),0),0))</f>
        <v/>
      </c>
      <c r="EO238">
        <f>IF($EN238=0,0,IF(OR(UPPER(TRIM(INDEX(LINES_SCHEDULED,$EN238)&amp;""))="YES",UPPER(TRIM(INDEX(LINES_SCHEDULED,$EN238)&amp;""))="Y",UPPER(TRIM(INDEX(LINES_SCHEDULED,$EN238)&amp;""))="X"),1,0))</f>
        <v/>
      </c>
      <c r="EP238">
        <f>IF($DM238=0,"",IF(COUNTIFS($EG$5:$EG$1003,$EG238,$EB$5:$EB$1003,"Ready")&gt;0,"READY",IF(COUNTIFS($EG$5:$EG$1003,$EG238,$EB$5:$EB$1003,"PM")&gt;0,"PM",IF(COUNTIFS($EG$5:$EG$1003,$EG238,$EB$5:$EB$1003,"OT")&gt;0,"OT",""))))</f>
        <v/>
      </c>
      <c r="EQ238">
        <f>IF($EN238=0,"",UPPER(TRIM(INDEX(LINES_STATUS,$EN238)&amp;"")))</f>
        <v/>
      </c>
      <c r="ER238">
        <f>IF($DM238=0,"",IF(OR($EQ238="READY",$EQ238="PM",$EQ238="OT"),$EQ238,$EP238))</f>
        <v/>
      </c>
      <c r="ES238">
        <f>IF($DM238=0,"",IF(AND($DV238&lt;&gt;"",UPPER($DV238)&lt;&gt;"N"),"allergen",IF(ISNUMBER(SEARCH("oil",$DQ238)),"oil",IF(OR(EXACT($DS238,"A662"),EXACT($DS238,"A624")),"bulk",""))))</f>
        <v/>
      </c>
      <c r="ET238">
        <f>IF($DM238=0,"",IF(OR($EA238="",$EA238=0),"",$EA238/100))</f>
        <v/>
      </c>
      <c r="EU238">
        <f>IF(OR($ET238="",$DY238=""),"",INT($DY238*(1-$ET238)+0.5))</f>
        <v/>
      </c>
      <c r="EW238" t="n">
        <v>234</v>
      </c>
      <c r="EX238">
        <f>IFERROR(MATCH($EW238,$EM$5:$EM$1003,0),0)</f>
        <v/>
      </c>
      <c r="EY238">
        <f>IF($EW238&gt;$B$12,"",IF($EX238&gt;0,"row","spacer"))</f>
        <v/>
      </c>
      <c r="EZ238">
        <f>IF(AND($EY238="row",$EY237&lt;&gt;"row"),1,0)</f>
        <v/>
      </c>
      <c r="FA238">
        <f>IF(AND($EY238="row",$EY239&lt;&gt;"row"),1,0)</f>
        <v/>
      </c>
      <c r="FB238">
        <f>IF($EZ238=1,IFERROR(IF(ISNUMBER(INDEX(PASTE_ALL,INDEX($DF$5:$DF$1003,$EX238),$B$37)),INDEX(PASTE_ALL,INDEX($DF$5:$DF$1003,$EX238),$B$37),INDEX($DH$5:$DH$1003,$EX238)),INDEX($DH$5:$DH$1003,$EX238)),"")</f>
        <v/>
      </c>
      <c r="FC238">
        <f>IF($EY238="row",INDEX($ER$5:$ER$1003,$EX238),"")</f>
        <v/>
      </c>
      <c r="FD238">
        <f>IF($EY238="row",INDEX($DN$5:$DN$1003,$EX238),"")</f>
        <v/>
      </c>
      <c r="FE238">
        <f>IF($EY238="row",INDEX($DO$5:$DO$1003,$EX238),"")</f>
        <v/>
      </c>
      <c r="FF238">
        <f>IF($EY238="row",INDEX($DP$5:$DP$1003,$EX238),"")</f>
        <v/>
      </c>
      <c r="FG238">
        <f>IF($EY238="row",INDEX($DQ$5:$DQ$1003,$EX238),"")</f>
        <v/>
      </c>
      <c r="FH238">
        <f>IF($EY238="row",INDEX($DR$5:$DR$1003,$EX238),"")</f>
        <v/>
      </c>
      <c r="FI238">
        <f>IF($EY238="row",INDEX($DS$5:$DS$1003,$EX238),"")</f>
        <v/>
      </c>
      <c r="FJ238">
        <f>IF($EY238="row",INDEX($DT$5:$DT$1003,$EX238),"")</f>
        <v/>
      </c>
      <c r="FK238">
        <f>IF($EY238="row",INDEX($DU$5:$DU$1003,$EX238),"")</f>
        <v/>
      </c>
      <c r="FL238">
        <f>IF($EY238="row",INDEX($DV$5:$DV$1003,$EX238),"")</f>
        <v/>
      </c>
      <c r="FM238">
        <f>IF($EY238="row",INDEX($DW$5:$DW$1003,$EX238),"")</f>
        <v/>
      </c>
      <c r="FN238">
        <f>IF($EY238="row",INDEX($DY$5:$DY$1003,$EX238),"")</f>
        <v/>
      </c>
      <c r="FO238">
        <f>IF($EY238="row",INDEX($EA$5:$EA$1003,$EX238),"")</f>
        <v/>
      </c>
      <c r="FP238">
        <f>IF($EY238="row",INDEX($EC$5:$EC$1003,$EX238),"")</f>
        <v/>
      </c>
      <c r="FQ238">
        <f>IF($EY238="row",INDEX($ET$5:$ET$1003,$EX238),"")</f>
        <v/>
      </c>
      <c r="FR238">
        <f>IF($EY238="row",INDEX($EU$5:$EU$1003,$EX238),"")</f>
        <v/>
      </c>
      <c r="FS238">
        <f>IF(AND($EY238="row",$EY237="row"),IF(OR(INDEX($DT$5:$DT$1003,$EX237)="",INDEX($DT$5:$DT$1003,$EX238)=""),"",IF(NOT(EXACT(INDEX($DT$5:$DT$1003,$EX237),INDEX($DT$5:$DT$1003,$EX238))),"S4",IF(NOT(EXACT(INDEX($DS$5:$DS$1003,$EX237),INDEX($DS$5:$DS$1003,$EX238))),"S3",IF(NOT(EXACT(INDEX($DR$5:$DR$1003,$EX237),INDEX($DR$5:$DR$1003,$EX238))),"S1 Count Change","S1")))),"")</f>
        <v/>
      </c>
      <c r="FT238">
        <f>IF($EY238="row",INDEX($ES$5:$ES$1003,$EX238),"")</f>
        <v/>
      </c>
      <c r="FU238">
        <f>IF($EY238="row",INDEX($EO$5:$EO$1003,$EX238),0)</f>
        <v/>
      </c>
      <c r="FV238">
        <f>IF($FS238="S1 Count Change",1,0)</f>
        <v/>
      </c>
    </row>
    <row r="239">
      <c r="X239" s="69" t="inlineStr">
        <is>
          <t>field used</t>
        </is>
      </c>
      <c r="Y239">
        <f>IF(Y236&gt;0,Y236,IF(Y237&gt;0,Y237,IF(Y238-0&gt;0,MATCH(Y238-0,{2,4,8,16,32,64,128,256,512,1024,2048,4096,8192,16384,32768},0),0)))</f>
        <v/>
      </c>
      <c r="Z239">
        <f>IF(Z236&gt;0,Z236,IF(Z237&gt;0,Z237,IF(Z238-Y238&gt;0,MATCH(Z238-Y238,{2,4,8,16,32,64,128,256,512,1024,2048,4096,8192,16384,32768},0),0)))</f>
        <v/>
      </c>
      <c r="AA239">
        <f>IF(AA236&gt;0,AA236,IF(AA237&gt;0,AA237,IF(AA238-Z238&gt;0,MATCH(AA238-Z238,{2,4,8,16,32,64,128,256,512,1024,2048,4096,8192,16384,32768},0),0)))</f>
        <v/>
      </c>
      <c r="AB239">
        <f>IF(AB236&gt;0,AB236,IF(AB237&gt;0,AB237,IF(AB238-AA238&gt;0,MATCH(AB238-AA238,{2,4,8,16,32,64,128,256,512,1024,2048,4096,8192,16384,32768},0),0)))</f>
        <v/>
      </c>
      <c r="AC239">
        <f>IF(AC236&gt;0,AC236,IF(AC237&gt;0,AC237,IF(AC238-AB238&gt;0,MATCH(AC238-AB238,{2,4,8,16,32,64,128,256,512,1024,2048,4096,8192,16384,32768},0),0)))</f>
        <v/>
      </c>
      <c r="AD239">
        <f>IF(AD236&gt;0,AD236,IF(AD237&gt;0,AD237,IF(AD238-AC238&gt;0,MATCH(AD238-AC238,{2,4,8,16,32,64,128,256,512,1024,2048,4096,8192,16384,32768},0),0)))</f>
        <v/>
      </c>
      <c r="AE239">
        <f>IF(AE236&gt;0,AE236,IF(AE237&gt;0,AE237,IF(AE238-AD238&gt;0,MATCH(AE238-AD238,{2,4,8,16,32,64,128,256,512,1024,2048,4096,8192,16384,32768},0),0)))</f>
        <v/>
      </c>
      <c r="AF239">
        <f>IF(AF236&gt;0,AF236,IF(AF237&gt;0,AF237,IF(AF238-AE238&gt;0,MATCH(AF238-AE238,{2,4,8,16,32,64,128,256,512,1024,2048,4096,8192,16384,32768},0),0)))</f>
        <v/>
      </c>
      <c r="AG239">
        <f>IF(AG236&gt;0,AG236,IF(AG237&gt;0,AG237,IF(AG238-AF238&gt;0,MATCH(AG238-AF238,{2,4,8,16,32,64,128,256,512,1024,2048,4096,8192,16384,32768},0),0)))</f>
        <v/>
      </c>
      <c r="AH239">
        <f>IF(AH236&gt;0,AH236,IF(AH237&gt;0,AH237,IF(AH238-AG238&gt;0,MATCH(AH238-AG238,{2,4,8,16,32,64,128,256,512,1024,2048,4096,8192,16384,32768},0),0)))</f>
        <v/>
      </c>
      <c r="AI239">
        <f>IF(AI236&gt;0,AI236,IF(AI237&gt;0,AI237,IF(AI238-AH238&gt;0,MATCH(AI238-AH238,{2,4,8,16,32,64,128,256,512,1024,2048,4096,8192,16384,32768},0),0)))</f>
        <v/>
      </c>
      <c r="AJ239">
        <f>IF(AJ236&gt;0,AJ236,IF(AJ237&gt;0,AJ237,IF(AJ238-AI238&gt;0,MATCH(AJ238-AI238,{2,4,8,16,32,64,128,256,512,1024,2048,4096,8192,16384,32768},0),0)))</f>
        <v/>
      </c>
      <c r="AK239">
        <f>IF(AK236&gt;0,AK236,IF(AK237&gt;0,AK237,IF(AK238-AJ238&gt;0,MATCH(AK238-AJ238,{2,4,8,16,32,64,128,256,512,1024,2048,4096,8192,16384,32768},0),0)))</f>
        <v/>
      </c>
      <c r="AL239">
        <f>IF(AL236&gt;0,AL236,IF(AL237&gt;0,AL237,IF(AL238-AK238&gt;0,MATCH(AL238-AK238,{2,4,8,16,32,64,128,256,512,1024,2048,4096,8192,16384,32768},0),0)))</f>
        <v/>
      </c>
      <c r="AM239">
        <f>IF(AM236&gt;0,AM236,IF(AM237&gt;0,AM237,IF(AM238-AL238&gt;0,MATCH(AM238-AL238,{2,4,8,16,32,64,128,256,512,1024,2048,4096,8192,16384,32768},0),0)))</f>
        <v/>
      </c>
      <c r="AN239">
        <f>IF(AN236&gt;0,AN236,IF(AN237&gt;0,AN237,IF(AN238-AM238&gt;0,MATCH(AN238-AM238,{2,4,8,16,32,64,128,256,512,1024,2048,4096,8192,16384,32768},0),0)))</f>
        <v/>
      </c>
      <c r="AO239">
        <f>IF(AO236&gt;0,AO236,IF(AO237&gt;0,AO237,IF(AO238-AN238&gt;0,MATCH(AO238-AN238,{2,4,8,16,32,64,128,256,512,1024,2048,4096,8192,16384,32768},0),0)))</f>
        <v/>
      </c>
      <c r="AP239">
        <f>IF(AP236&gt;0,AP236,IF(AP237&gt;0,AP237,IF(AP238-AO238&gt;0,MATCH(AP238-AO238,{2,4,8,16,32,64,128,256,512,1024,2048,4096,8192,16384,32768},0),0)))</f>
        <v/>
      </c>
      <c r="AQ239">
        <f>IF(AQ236&gt;0,AQ236,IF(AQ237&gt;0,AQ237,IF(AQ238-AP238&gt;0,MATCH(AQ238-AP238,{2,4,8,16,32,64,128,256,512,1024,2048,4096,8192,16384,32768},0),0)))</f>
        <v/>
      </c>
      <c r="AR239">
        <f>IF(AR236&gt;0,AR236,IF(AR237&gt;0,AR237,IF(AR238-AQ238&gt;0,MATCH(AR238-AQ238,{2,4,8,16,32,64,128,256,512,1024,2048,4096,8192,16384,32768},0),0)))</f>
        <v/>
      </c>
      <c r="AS239">
        <f>IF(AS236&gt;0,AS236,IF(AS237&gt;0,AS237,IF(AS238-AR238&gt;0,MATCH(AS238-AR238,{2,4,8,16,32,64,128,256,512,1024,2048,4096,8192,16384,32768},0),0)))</f>
        <v/>
      </c>
      <c r="AT239">
        <f>IF(AT236&gt;0,AT236,IF(AT237&gt;0,AT237,IF(AT238-AS238&gt;0,MATCH(AT238-AS238,{2,4,8,16,32,64,128,256,512,1024,2048,4096,8192,16384,32768},0),0)))</f>
        <v/>
      </c>
      <c r="AU239">
        <f>IF(AU236&gt;0,AU236,IF(AU237&gt;0,AU237,IF(AU238-AT238&gt;0,MATCH(AU238-AT238,{2,4,8,16,32,64,128,256,512,1024,2048,4096,8192,16384,32768},0),0)))</f>
        <v/>
      </c>
      <c r="AV239">
        <f>IF(AV236&gt;0,AV236,IF(AV237&gt;0,AV237,IF(AV238-AU238&gt;0,MATCH(AV238-AU238,{2,4,8,16,32,64,128,256,512,1024,2048,4096,8192,16384,32768},0),0)))</f>
        <v/>
      </c>
      <c r="AW239">
        <f>IF(AW236&gt;0,AW236,IF(AW237&gt;0,AW237,IF(AW238-AV238&gt;0,MATCH(AW238-AV238,{2,4,8,16,32,64,128,256,512,1024,2048,4096,8192,16384,32768},0),0)))</f>
        <v/>
      </c>
      <c r="AX239">
        <f>IF(AX236&gt;0,AX236,IF(AX237&gt;0,AX237,IF(AX238-AW238&gt;0,MATCH(AX238-AW238,{2,4,8,16,32,64,128,256,512,1024,2048,4096,8192,16384,32768},0),0)))</f>
        <v/>
      </c>
      <c r="AY239">
        <f>IF(AY236&gt;0,AY236,IF(AY237&gt;0,AY237,IF(AY238-AX238&gt;0,MATCH(AY238-AX238,{2,4,8,16,32,64,128,256,512,1024,2048,4096,8192,16384,32768},0),0)))</f>
        <v/>
      </c>
      <c r="AZ239">
        <f>IF(AZ236&gt;0,AZ236,IF(AZ237&gt;0,AZ237,IF(AZ238-AY238&gt;0,MATCH(AZ238-AY238,{2,4,8,16,32,64,128,256,512,1024,2048,4096,8192,16384,32768},0),0)))</f>
        <v/>
      </c>
      <c r="BA239">
        <f>IF(BA236&gt;0,BA236,IF(BA237&gt;0,BA237,IF(BA238-AZ238&gt;0,MATCH(BA238-AZ238,{2,4,8,16,32,64,128,256,512,1024,2048,4096,8192,16384,32768},0),0)))</f>
        <v/>
      </c>
      <c r="BB239">
        <f>IF(BB236&gt;0,BB236,IF(BB237&gt;0,BB237,IF(BB238-BA238&gt;0,MATCH(BB238-BA238,{2,4,8,16,32,64,128,256,512,1024,2048,4096,8192,16384,32768},0),0)))</f>
        <v/>
      </c>
      <c r="BC239">
        <f>IF(BC236&gt;0,BC236,IF(BC237&gt;0,BC237,IF(BC238-BB238&gt;0,MATCH(BC238-BB238,{2,4,8,16,32,64,128,256,512,1024,2048,4096,8192,16384,32768},0),0)))</f>
        <v/>
      </c>
      <c r="BD239">
        <f>IF(BD236&gt;0,BD236,IF(BD237&gt;0,BD237,IF(BD238-BC238&gt;0,MATCH(BD238-BC238,{2,4,8,16,32,64,128,256,512,1024,2048,4096,8192,16384,32768},0),0)))</f>
        <v/>
      </c>
      <c r="BE239">
        <f>IF(BE236&gt;0,BE236,IF(BE237&gt;0,BE237,IF(BE238-BD238&gt;0,MATCH(BE238-BD238,{2,4,8,16,32,64,128,256,512,1024,2048,4096,8192,16384,32768},0),0)))</f>
        <v/>
      </c>
      <c r="BF239">
        <f>IF(BF236&gt;0,BF236,IF(BF237&gt;0,BF237,IF(BF238-BE238&gt;0,MATCH(BF238-BE238,{2,4,8,16,32,64,128,256,512,1024,2048,4096,8192,16384,32768},0),0)))</f>
        <v/>
      </c>
      <c r="BG239">
        <f>IF(BG236&gt;0,BG236,IF(BG237&gt;0,BG237,IF(BG238-BF238&gt;0,MATCH(BG238-BF238,{2,4,8,16,32,64,128,256,512,1024,2048,4096,8192,16384,32768},0),0)))</f>
        <v/>
      </c>
      <c r="BH239">
        <f>IF(BH236&gt;0,BH236,IF(BH237&gt;0,BH237,IF(BH238-BG238&gt;0,MATCH(BH238-BG238,{2,4,8,16,32,64,128,256,512,1024,2048,4096,8192,16384,32768},0),0)))</f>
        <v/>
      </c>
      <c r="BI239">
        <f>IF(BI236&gt;0,BI236,IF(BI237&gt;0,BI237,IF(BI238-BH238&gt;0,MATCH(BI238-BH238,{2,4,8,16,32,64,128,256,512,1024,2048,4096,8192,16384,32768},0),0)))</f>
        <v/>
      </c>
      <c r="BJ239">
        <f>IF(BJ236&gt;0,BJ236,IF(BJ237&gt;0,BJ237,IF(BJ238-BI238&gt;0,MATCH(BJ238-BI238,{2,4,8,16,32,64,128,256,512,1024,2048,4096,8192,16384,32768},0),0)))</f>
        <v/>
      </c>
      <c r="BK239">
        <f>IF(BK236&gt;0,BK236,IF(BK237&gt;0,BK237,IF(BK238-BJ238&gt;0,MATCH(BK238-BJ238,{2,4,8,16,32,64,128,256,512,1024,2048,4096,8192,16384,32768},0),0)))</f>
        <v/>
      </c>
      <c r="BL239">
        <f>IF(BL236&gt;0,BL236,IF(BL237&gt;0,BL237,IF(BL238-BK238&gt;0,MATCH(BL238-BK238,{2,4,8,16,32,64,128,256,512,1024,2048,4096,8192,16384,32768},0),0)))</f>
        <v/>
      </c>
      <c r="BM239">
        <f>IF(BM236&gt;0,BM236,IF(BM237&gt;0,BM237,IF(BM238-BL238&gt;0,MATCH(BM238-BL238,{2,4,8,16,32,64,128,256,512,1024,2048,4096,8192,16384,32768},0),0)))</f>
        <v/>
      </c>
      <c r="BN239">
        <f>IF(BN236&gt;0,BN236,IF(BN237&gt;0,BN237,IF(BN238-BM238&gt;0,MATCH(BN238-BM238,{2,4,8,16,32,64,128,256,512,1024,2048,4096,8192,16384,32768},0),0)))</f>
        <v/>
      </c>
      <c r="BO239">
        <f>IF(BO236&gt;0,BO236,IF(BO237&gt;0,BO237,IF(BO238-BN238&gt;0,MATCH(BO238-BN238,{2,4,8,16,32,64,128,256,512,1024,2048,4096,8192,16384,32768},0),0)))</f>
        <v/>
      </c>
      <c r="BP239">
        <f>IF(BP236&gt;0,BP236,IF(BP237&gt;0,BP237,IF(BP238-BO238&gt;0,MATCH(BP238-BO238,{2,4,8,16,32,64,128,256,512,1024,2048,4096,8192,16384,32768},0),0)))</f>
        <v/>
      </c>
      <c r="BQ239">
        <f>IF(BQ236&gt;0,BQ236,IF(BQ237&gt;0,BQ237,IF(BQ238-BP238&gt;0,MATCH(BQ238-BP238,{2,4,8,16,32,64,128,256,512,1024,2048,4096,8192,16384,32768},0),0)))</f>
        <v/>
      </c>
      <c r="BR239">
        <f>IF(BR236&gt;0,BR236,IF(BR237&gt;0,BR237,IF(BR238-BQ238&gt;0,MATCH(BR238-BQ238,{2,4,8,16,32,64,128,256,512,1024,2048,4096,8192,16384,32768},0),0)))</f>
        <v/>
      </c>
      <c r="BS239">
        <f>IF(BS236&gt;0,BS236,IF(BS237&gt;0,BS237,IF(BS238-BR238&gt;0,MATCH(BS238-BR238,{2,4,8,16,32,64,128,256,512,1024,2048,4096,8192,16384,32768},0),0)))</f>
        <v/>
      </c>
      <c r="BT239">
        <f>IF(BT236&gt;0,BT236,IF(BT237&gt;0,BT237,IF(BT238-BS238&gt;0,MATCH(BT238-BS238,{2,4,8,16,32,64,128,256,512,1024,2048,4096,8192,16384,32768},0),0)))</f>
        <v/>
      </c>
      <c r="BU239">
        <f>IF(BU236&gt;0,BU236,IF(BU237&gt;0,BU237,IF(BU238-BT238&gt;0,MATCH(BU238-BT238,{2,4,8,16,32,64,128,256,512,1024,2048,4096,8192,16384,32768},0),0)))</f>
        <v/>
      </c>
      <c r="BV239">
        <f>IF(BV236&gt;0,BV236,IF(BV237&gt;0,BV237,IF(BV238-BU238&gt;0,MATCH(BV238-BU238,{2,4,8,16,32,64,128,256,512,1024,2048,4096,8192,16384,32768},0),0)))</f>
        <v/>
      </c>
      <c r="BW239">
        <f>IF(BW236&gt;0,BW236,IF(BW237&gt;0,BW237,IF(BW238-BV238&gt;0,MATCH(BW238-BV238,{2,4,8,16,32,64,128,256,512,1024,2048,4096,8192,16384,32768},0),0)))</f>
        <v/>
      </c>
      <c r="BX239">
        <f>IF(BX236&gt;0,BX236,IF(BX237&gt;0,BX237,IF(BX238-BW238&gt;0,MATCH(BX238-BW238,{2,4,8,16,32,64,128,256,512,1024,2048,4096,8192,16384,32768},0),0)))</f>
        <v/>
      </c>
      <c r="BY239">
        <f>IF(BY236&gt;0,BY236,IF(BY237&gt;0,BY237,IF(BY238-BX238&gt;0,MATCH(BY238-BX238,{2,4,8,16,32,64,128,256,512,1024,2048,4096,8192,16384,32768},0),0)))</f>
        <v/>
      </c>
      <c r="BZ239">
        <f>IF(BZ236&gt;0,BZ236,IF(BZ237&gt;0,BZ237,IF(BZ238-BY238&gt;0,MATCH(BZ238-BY238,{2,4,8,16,32,64,128,256,512,1024,2048,4096,8192,16384,32768},0),0)))</f>
        <v/>
      </c>
      <c r="CA239">
        <f>IF(CA236&gt;0,CA236,IF(CA237&gt;0,CA237,IF(CA238-BZ238&gt;0,MATCH(CA238-BZ238,{2,4,8,16,32,64,128,256,512,1024,2048,4096,8192,16384,32768},0),0)))</f>
        <v/>
      </c>
      <c r="CB239">
        <f>IF(CB236&gt;0,CB236,IF(CB237&gt;0,CB237,IF(CB238-CA238&gt;0,MATCH(CB238-CA238,{2,4,8,16,32,64,128,256,512,1024,2048,4096,8192,16384,32768},0),0)))</f>
        <v/>
      </c>
      <c r="CC239">
        <f>IF(CC236&gt;0,CC236,IF(CC237&gt;0,CC237,IF(CC238-CB238&gt;0,MATCH(CC238-CB238,{2,4,8,16,32,64,128,256,512,1024,2048,4096,8192,16384,32768},0),0)))</f>
        <v/>
      </c>
      <c r="CD239">
        <f>IF(CD236&gt;0,CD236,IF(CD237&gt;0,CD237,IF(CD238-CC238&gt;0,MATCH(CD238-CC238,{2,4,8,16,32,64,128,256,512,1024,2048,4096,8192,16384,32768},0),0)))</f>
        <v/>
      </c>
      <c r="CE239">
        <f>IF(CE236&gt;0,CE236,IF(CE237&gt;0,CE237,IF(CE238-CD238&gt;0,MATCH(CE238-CD238,{2,4,8,16,32,64,128,256,512,1024,2048,4096,8192,16384,32768},0),0)))</f>
        <v/>
      </c>
      <c r="CF239">
        <f>IF(CF236&gt;0,CF236,IF(CF237&gt;0,CF237,IF(CF238-CE238&gt;0,MATCH(CF238-CE238,{2,4,8,16,32,64,128,256,512,1024,2048,4096,8192,16384,32768},0),0)))</f>
        <v/>
      </c>
      <c r="DA239" t="n">
        <v>235</v>
      </c>
      <c r="DB239">
        <f>IF($B$37=0,"",IFERROR(TRIM(SUBSTITUTE(SUBSTITUTE(SUBSTITUTE(SUBSTITUTE(INDEX(PASTE_ALL,235,$B$37)," "," "),CHAR(9)," "),CHAR(10)," "),CHAR(13)," ")),""))</f>
        <v/>
      </c>
      <c r="DC239">
        <f>IF(AND(235&gt;HEADER_ROW,UPPER(DB239)="LEGEND"),1,0)</f>
        <v/>
      </c>
      <c r="DE239" t="n">
        <v>235</v>
      </c>
      <c r="DF239">
        <f>HEADER_ROW+$DE239</f>
        <v/>
      </c>
      <c r="DG239">
        <f>IF(AND($DF239&lt;=1000,$DF239&lt;$B$8),1,0)</f>
        <v/>
      </c>
      <c r="DH239">
        <f>IF($DG239=1,IFERROR(INDEX($DB$5:$DB$1004,$DF239),""),"")</f>
        <v/>
      </c>
      <c r="DI239">
        <f>IF(AND($DG239=1,$DH239&lt;&gt;""),IFERROR(SUBSTITUTE(SUBSTITUTE(TRIM(SUBSTITUTE(SUBSTITUTE(SUBSTITUTE(SUBSTITUTE(IFERROR(INDEX(PASTE_ALL,$DF239,1)&amp;"","")&amp;"␟"&amp;IFERROR(INDEX(PASTE_ALL,$DF239,2)&amp;"","")&amp;"␟"&amp;IFERROR(INDEX(PASTE_ALL,$DF239,3)&amp;"","")&amp;"␟"&amp;IFERROR(INDEX(PASTE_ALL,$DF239,4)&amp;"","")&amp;"␟"&amp;IFERROR(INDEX(PASTE_ALL,$DF239,5)&amp;"","")&amp;"␟"&amp;IFERROR(INDEX(PASTE_ALL,$DF239,6)&amp;"","")&amp;"␟"&amp;IFERROR(INDEX(PASTE_ALL,$DF239,7)&amp;"","")&amp;"␟"&amp;IFERROR(INDEX(PASTE_ALL,$DF239,8)&amp;"","")&amp;"␟"&amp;IFERROR(INDEX(PASTE_ALL,$DF239,9)&amp;"","")&amp;"␟"&amp;IFERROR(INDEX(PASTE_ALL,$DF239,10)&amp;"","")&amp;"␟"&amp;IFERROR(INDEX(PASTE_ALL,$DF239,11)&amp;"","")&amp;"␟"&amp;IFERROR(INDEX(PASTE_ALL,$DF239,12)&amp;"","")&amp;"␟"&amp;IFERROR(INDEX(PASTE_ALL,$DF239,13)&amp;"","")&amp;"␟"&amp;IFERROR(INDEX(PASTE_ALL,$DF239,14)&amp;"","")&amp;"␟"&amp;IFERROR(INDEX(PASTE_ALL,$DF239,15)&amp;"","")&amp;"␟"&amp;IFERROR(INDEX(PASTE_ALL,$DF239,16)&amp;"","")&amp;"␟"&amp;IFERROR(INDEX(PASTE_ALL,$DF239,17)&amp;"","")&amp;"␟"&amp;IFERROR(INDEX(PASTE_ALL,$DF239,18)&amp;"","")&amp;"␟"&amp;IFERROR(INDEX(PASTE_ALL,$DF239,19)&amp;"","")&amp;"␟"&amp;IFERROR(INDEX(PASTE_ALL,$DF239,20)&amp;"","")&amp;"␟"&amp;IFERROR(INDEX(PASTE_ALL,$DF239,21)&amp;"","")&amp;"␟"&amp;IFERROR(INDEX(PASTE_ALL,$DF239,22)&amp;"","")&amp;"␟"&amp;IFERROR(INDEX(PASTE_ALL,$DF239,23)&amp;"","")&amp;"␟"&amp;IFERROR(INDEX(PASTE_ALL,$DF239,24)&amp;"","")&amp;"␟"&amp;IFERROR(INDEX(PASTE_ALL,$DF239,25)&amp;"","")&amp;"␟"&amp;IFERROR(INDEX(PASTE_ALL,$DF239,26)&amp;"","")&amp;"␟"&amp;IFERROR(INDEX(PASTE_ALL,$DF239,27)&amp;"","")&amp;"␟"&amp;IFERROR(INDEX(PASTE_ALL,$DF239,28)&amp;"","")&amp;"␟"&amp;IFERROR(INDEX(PASTE_ALL,$DF239,29)&amp;"","")&amp;"␟"&amp;IFERROR(INDEX(PASTE_ALL,$DF239,30)&amp;"","")&amp;"␟"&amp;IFERROR(INDEX(PASTE_ALL,$DF239,31)&amp;"","")&amp;"␟"&amp;IFERROR(INDEX(PASTE_ALL,$DF239,32)&amp;"","")&amp;"␟"&amp;IFERROR(INDEX(PASTE_ALL,$DF239,33)&amp;"","")&amp;"␟"&amp;IFERROR(INDEX(PASTE_ALL,$DF239,34)&amp;"","")&amp;"␟"&amp;IFERROR(INDEX(PASTE_ALL,$DF239,35)&amp;"","")&amp;"␟"&amp;IFERROR(INDEX(PASTE_ALL,$DF239,36)&amp;"","")&amp;"␟"&amp;IFERROR(INDEX(PASTE_ALL,$DF239,37)&amp;"","")&amp;"␟"&amp;IFERROR(INDEX(PASTE_ALL,$DF239,38)&amp;"","")&amp;"␟"&amp;IFERROR(INDEX(PASTE_ALL,$DF239,39)&amp;"","")&amp;"␟"&amp;IFERROR(INDEX(PASTE_ALL,$DF239,40)&amp;"","")&amp;"␟"&amp;IFERROR(INDEX(PASTE_ALL,$DF239,41)&amp;"","")&amp;"␟"&amp;IFERROR(INDEX(PASTE_ALL,$DF239,42)&amp;"","")&amp;"␟"&amp;IFERROR(INDEX(PASTE_ALL,$DF239,43)&amp;"","")&amp;"␟"&amp;IFERROR(INDEX(PASTE_ALL,$DF239,44)&amp;"","")&amp;"␟"&amp;IFERROR(INDEX(PASTE_ALL,$DF239,45)&amp;"","")&amp;"␟"&amp;IFERROR(INDEX(PASTE_ALL,$DF239,46)&amp;"","")&amp;"␟"&amp;IFERROR(INDEX(PASTE_ALL,$DF239,47)&amp;"","")&amp;"␟"&amp;IFERROR(INDEX(PASTE_ALL,$DF239,48)&amp;"","")&amp;"␟"&amp;IFERROR(INDEX(PASTE_ALL,$DF239,49)&amp;"","")&amp;"␟"&amp;IFERROR(INDEX(PASTE_ALL,$DF239,50)&amp;"","")&amp;"␟"&amp;IFERROR(INDEX(PASTE_ALL,$DF239,51)&amp;"","")&amp;"␟"&amp;IFERROR(INDEX(PASTE_ALL,$DF239,52)&amp;"","")&amp;"␟"&amp;IFERROR(INDEX(PASTE_ALL,$DF239,53)&amp;"","")&amp;"␟"&amp;IFERROR(INDEX(PASTE_ALL,$DF239,54)&amp;"","")&amp;"␟"&amp;IFERROR(INDEX(PASTE_ALL,$DF239,55)&amp;"","")&amp;"␟"&amp;IFERROR(INDEX(PASTE_ALL,$DF239,56)&amp;"","")&amp;"␟"&amp;IFERROR(INDEX(PASTE_ALL,$DF239,57)&amp;"","")&amp;"␟"&amp;IFERROR(INDEX(PASTE_ALL,$DF239,58)&amp;"","")&amp;"␟"&amp;IFERROR(INDEX(PASTE_ALL,$DF239,59)&amp;"","")&amp;"␟"&amp;IFERROR(INDEX(PASTE_ALL,$DF239,60)&amp;"","")," "," "),CHAR(9)," "),CHAR(10)," "),CHAR(13)," "))," ␟","␟"),"␟ ","␟"),"#"&amp;$DE239),"")</f>
        <v/>
      </c>
      <c r="DJ239">
        <f>IF($DI239="",0,IF(SUMPRODUCT(--EXACT($DI$4:DI238,$DI239))&gt;0,1,0))</f>
        <v/>
      </c>
      <c r="DK239">
        <f>IF(AND($DI239&lt;&gt;"",$DJ239=0),1,0)</f>
        <v/>
      </c>
      <c r="DL239">
        <f>DL238+$DK239</f>
        <v/>
      </c>
      <c r="DM239">
        <f>IF(AND($DK239=1,$DL239&lt;=600),1,0)</f>
        <v/>
      </c>
      <c r="DN239">
        <f>IF($DM239=0,"",IF($L$6=0,"",IFERROR(IF(ISNUMBER(INDEX(PASTE_ALL,$DF239,$L$6)),INDEX(PASTE_ALL,$DF239,$L$6),TRIM(SUBSTITUTE(SUBSTITUTE(SUBSTITUTE(SUBSTITUTE(INDEX(PASTE_ALL,$DF239,$L$6)," "," "),CHAR(9)," "),CHAR(10)," "),CHAR(13)," "))),"")))</f>
        <v/>
      </c>
      <c r="DO239">
        <f>IF($DM239=0,"",IF($L$7=0,"",IFERROR(IF(ISNUMBER(INDEX(PASTE_ALL,$DF239,$L$7)),INDEX(PASTE_ALL,$DF239,$L$7),TRIM(SUBSTITUTE(SUBSTITUTE(SUBSTITUTE(SUBSTITUTE(INDEX(PASTE_ALL,$DF239,$L$7)," "," "),CHAR(9)," "),CHAR(10)," "),CHAR(13)," "))),"")))</f>
        <v/>
      </c>
      <c r="DP239">
        <f>IF($DM239=0,"",IF($L$8=0,"",IFERROR(IF(ISNUMBER(INDEX(PASTE_ALL,$DF239,$L$8)),INDEX(PASTE_ALL,$DF239,$L$8),TRIM(SUBSTITUTE(SUBSTITUTE(SUBSTITUTE(SUBSTITUTE(INDEX(PASTE_ALL,$DF239,$L$8)," "," "),CHAR(9)," "),CHAR(10)," "),CHAR(13)," "))),"")))</f>
        <v/>
      </c>
      <c r="DQ239">
        <f>IF($DM239=0,"",IF($L$9=0,"",IFERROR(IF(ISNUMBER(INDEX(PASTE_ALL,$DF239,$L$9)),INDEX(PASTE_ALL,$DF239,$L$9),TRIM(SUBSTITUTE(SUBSTITUTE(SUBSTITUTE(SUBSTITUTE(INDEX(PASTE_ALL,$DF239,$L$9)," "," "),CHAR(9)," "),CHAR(10)," "),CHAR(13)," "))),"")))</f>
        <v/>
      </c>
      <c r="DR239">
        <f>IF($DM239=0,"",IF($L$10=0,"",IFERROR(IF(ISNUMBER(INDEX(PASTE_ALL,$DF239,$L$10)),INDEX(PASTE_ALL,$DF239,$L$10),TRIM(SUBSTITUTE(SUBSTITUTE(SUBSTITUTE(SUBSTITUTE(INDEX(PASTE_ALL,$DF239,$L$10)," "," "),CHAR(9)," "),CHAR(10)," "),CHAR(13)," "))),"")))</f>
        <v/>
      </c>
      <c r="DS239">
        <f>IF($DM239=0,"",IF($L$11=0,"",IFERROR(IF(ISNUMBER(INDEX(PASTE_ALL,$DF239,$L$11)),INDEX(PASTE_ALL,$DF239,$L$11),TRIM(SUBSTITUTE(SUBSTITUTE(SUBSTITUTE(SUBSTITUTE(INDEX(PASTE_ALL,$DF239,$L$11)," "," "),CHAR(9)," "),CHAR(10)," "),CHAR(13)," "))),"")))</f>
        <v/>
      </c>
      <c r="DT239">
        <f>IF($DM239=0,"",IF($L$12=0,"",IFERROR(IF(ISNUMBER(INDEX(PASTE_ALL,$DF239,$L$12)),INDEX(PASTE_ALL,$DF239,$L$12),TRIM(SUBSTITUTE(SUBSTITUTE(SUBSTITUTE(SUBSTITUTE(INDEX(PASTE_ALL,$DF239,$L$12)," "," "),CHAR(9)," "),CHAR(10)," "),CHAR(13)," "))),"")))</f>
        <v/>
      </c>
      <c r="DU239">
        <f>IF($DM239=0,"",IF($L$13=0,"",IFERROR(IF(ISNUMBER(INDEX(PASTE_ALL,$DF239,$L$13)),INDEX(PASTE_ALL,$DF239,$L$13),TRIM(SUBSTITUTE(SUBSTITUTE(SUBSTITUTE(SUBSTITUTE(INDEX(PASTE_ALL,$DF239,$L$13)," "," "),CHAR(9)," "),CHAR(10)," "),CHAR(13)," "))),"")))</f>
        <v/>
      </c>
      <c r="DV239">
        <f>IF($DM239=0,"",IF($L$14=0,"",IFERROR(IF(ISNUMBER(INDEX(PASTE_ALL,$DF239,$L$14)),INDEX(PASTE_ALL,$DF239,$L$14),TRIM(SUBSTITUTE(SUBSTITUTE(SUBSTITUTE(SUBSTITUTE(INDEX(PASTE_ALL,$DF239,$L$14)," "," "),CHAR(9)," "),CHAR(10)," "),CHAR(13)," "))),"")))</f>
        <v/>
      </c>
      <c r="DW239">
        <f>IF($DM239=0,"",IF($L$15=0,"",IFERROR(IF(ISNUMBER(INDEX(PASTE_ALL,$DF239,$L$15)),INDEX(PASTE_ALL,$DF239,$L$15),IF(SUMPRODUCT(--ISNUMBER(FIND({"A","B","C","D","E","F","G","H","I","J","K","L","M","N","O","P","Q","R","S","T","U","V","W","X","Y","Z","0","1","2","3","4","5","6","7","8","9"},UPPER(TRIM(SUBSTITUTE(SUBSTITUTE(SUBSTITUTE(SUBSTITUTE(INDEX(PASTE_ALL,$DF239,$L$15)," "," "),CHAR(9)," "),CHAR(10)," "),CHAR(13)," "))))))&gt;0,TRIM(SUBSTITUTE(SUBSTITUTE(SUBSTITUTE(SUBSTITUTE(INDEX(PASTE_ALL,$DF239,$L$15)," "," "),CHAR(9)," "),CHAR(10)," "),CHAR(13)," ")),"")),"")))</f>
        <v/>
      </c>
      <c r="DX239">
        <f>IF($DM239=0,"",IF($L$16=0,"",IFERROR(IF(ISNUMBER(INDEX(PASTE_ALL,$DF239,$L$16)),INDEX(PASTE_ALL,$DF239,$L$16),SUBSTITUTE(SUBSTITUTE(TRIM(SUBSTITUTE(SUBSTITUTE(SUBSTITUTE(SUBSTITUTE(INDEX(PASTE_ALL,$DF239,$L$16)," "," "),CHAR(9)," "),CHAR(10)," "),CHAR(13)," ")),",",""),"%","")),"")))</f>
        <v/>
      </c>
      <c r="DY239">
        <f>IF($DM239=0,"",IFERROR(IF(ISNUMBER($DX239),$DX239,IF($DX239="","",IF(TRIM($DX239)="",0,IF(AND(AND(SUBSTITUTE(SUBSTITUTE(SUBSTITUTE(SUBSTITUTE(SUBSTITUTE(SUBSTITUTE(SUBSTITUTE(SUBSTITUTE(SUBSTITUTE(SUBSTITUTE(SUBSTITUTE(SUBSTITUTE(SUBSTITUTE(SUBSTITUTE(UPPER(TRIM($DX239)),"0",""),"1",""),"2",""),"3",""),"4",""),"5",""),"6",""),"7",""),"8",""),"9",""),".",""),"+",""),"-",""),"E","")="",LEN(SUBSTITUTE(SUBSTITUTE(MID(UPPER(TRIM($DX239)),1+OR(LEFT(UPPER(TRIM($DX239)),1)="+",LEFT(UPPER(TRIM($DX239)),1)="-"),999),"E+","E"),"E-","E"))=LEN(SUBSTITUTE(SUBSTITUTE(SUBSTITUTE(SUBSTITUTE(MID(UPPER(TRIM($DX239)),1+OR(LEFT(UPPER(TRIM($DX239)),1)="+",LEFT(UPPER(TRIM($DX239)),1)="-"),999),"E+","E"),"E-","E"),"+",""),"-","")),LEN(UPPER(TRIM($DX239)))-LEN(SUBSTITUTE(UPPER(TRIM($DX239)),"E",""))&lt;2,LEN(UPPER(TRIM($DX239)))-LEN(SUBSTITUTE(UPPER(TRIM($DX239)),".",""))&lt;2,IFERROR(FIND(".",UPPER(TRIM($DX239))),0)&lt;IFERROR(FIND("E",UPPER(TRIM($DX239))),999)),ISNUMBER(VALUE(TRIM($DX239)))),VALUE(TRIM($DX239)),"")))),""))</f>
        <v/>
      </c>
      <c r="DZ239">
        <f>IF($DM239=0,"",IF($L$17=0,"",IFERROR(IF(ISNUMBER(INDEX(PASTE_ALL,$DF239,$L$17)),INDEX(PASTE_ALL,$DF239,$L$17),SUBSTITUTE(SUBSTITUTE(TRIM(SUBSTITUTE(SUBSTITUTE(SUBSTITUTE(SUBSTITUTE(INDEX(PASTE_ALL,$DF239,$L$17)," "," "),CHAR(9)," "),CHAR(10)," "),CHAR(13)," ")),",",""),"%","")),"")))</f>
        <v/>
      </c>
      <c r="EA239">
        <f>IF($DM239=0,"",IFERROR(IF(ISNUMBER($DZ239),$DZ239,IF($DZ239="","",IF(TRIM($DZ239)="",0,IF(AND(AND(SUBSTITUTE(SUBSTITUTE(SUBSTITUTE(SUBSTITUTE(SUBSTITUTE(SUBSTITUTE(SUBSTITUTE(SUBSTITUTE(SUBSTITUTE(SUBSTITUTE(SUBSTITUTE(SUBSTITUTE(SUBSTITUTE(SUBSTITUTE(UPPER(TRIM($DZ239)),"0",""),"1",""),"2",""),"3",""),"4",""),"5",""),"6",""),"7",""),"8",""),"9",""),".",""),"+",""),"-",""),"E","")="",LEN(SUBSTITUTE(SUBSTITUTE(MID(UPPER(TRIM($DZ239)),1+OR(LEFT(UPPER(TRIM($DZ239)),1)="+",LEFT(UPPER(TRIM($DZ239)),1)="-"),999),"E+","E"),"E-","E"))=LEN(SUBSTITUTE(SUBSTITUTE(SUBSTITUTE(SUBSTITUTE(MID(UPPER(TRIM($DZ239)),1+OR(LEFT(UPPER(TRIM($DZ239)),1)="+",LEFT(UPPER(TRIM($DZ239)),1)="-"),999),"E+","E"),"E-","E"),"+",""),"-","")),LEN(UPPER(TRIM($DZ239)))-LEN(SUBSTITUTE(UPPER(TRIM($DZ239)),"E",""))&lt;2,LEN(UPPER(TRIM($DZ239)))-LEN(SUBSTITUTE(UPPER(TRIM($DZ239)),".",""))&lt;2,IFERROR(FIND(".",UPPER(TRIM($DZ239))),0)&lt;IFERROR(FIND("E",UPPER(TRIM($DZ239))),999)),ISNUMBER(VALUE(TRIM($DZ239)))),VALUE(TRIM($DZ239)),"")))),""))</f>
        <v/>
      </c>
      <c r="EB239">
        <f>IF($DM239=0,"",IF($L$18=0,"",IFERROR(IF(UPPER(TRIM(SUBSTITUTE(SUBSTITUTE(SUBSTITUTE(SUBSTITUTE(INDEX(PASTE_ALL,$DF239,$L$18)," "," "),CHAR(9)," "),CHAR(10)," "),CHAR(13)," ")))="READY","Ready",IF(UPPER(TRIM(SUBSTITUTE(SUBSTITUTE(SUBSTITUTE(SUBSTITUTE(INDEX(PASTE_ALL,$DF239,$L$18)," "," "),CHAR(9)," "),CHAR(10)," "),CHAR(13)," ")))="PM","PM",IF(OR(UPPER(TRIM(SUBSTITUTE(SUBSTITUTE(SUBSTITUTE(SUBSTITUTE(INDEX(PASTE_ALL,$DF239,$L$18)," "," "),CHAR(9)," "),CHAR(10)," "),CHAR(13)," ")))="OT",UPPER(TRIM(SUBSTITUTE(SUBSTITUTE(SUBSTITUTE(SUBSTITUTE(INDEX(PASTE_ALL,$DF239,$L$18)," "," "),CHAR(9)," "),CHAR(10)," "),CHAR(13)," ")))="OVERTIME",UPPER(TRIM(SUBSTITUTE(SUBSTITUTE(SUBSTITUTE(SUBSTITUTE(INDEX(PASTE_ALL,$DF239,$L$18)," "," "),CHAR(9)," "),CHAR(10)," "),CHAR(13)," ")))="TRIAL"),"OT",TRIM(SUBSTITUTE(SUBSTITUTE(SUBSTITUTE(SUBSTITUTE(INDEX(PASTE_ALL,$DF239,$L$18)," "," "),CHAR(9)," "),CHAR(10)," "),CHAR(13)," "))))),"")))</f>
        <v/>
      </c>
      <c r="EC239">
        <f>IF($DM239=0,"",IF($L$19=0,"",IFERROR(IF(ISNUMBER(INDEX(PASTE_ALL,$DF239,$L$19)),INDEX(PASTE_ALL,$DF239,$L$19),TRIM(SUBSTITUTE(SUBSTITUTE(SUBSTITUTE(SUBSTITUTE(INDEX(PASTE_ALL,$DF239,$L$19)," "," "),CHAR(9)," "),CHAR(10)," "),CHAR(13)," "))),"")))</f>
        <v/>
      </c>
      <c r="ED239">
        <f>IF($DM239=0,"",MATCH(1,INDEX(EXACT($DH$5:DH239,$DH239)*$DM$5:DM239,0),0))</f>
        <v/>
      </c>
      <c r="EE239">
        <f>IF($DM239=0,0,IF($ED239=$DE239,1,0))</f>
        <v/>
      </c>
      <c r="EF239">
        <f>EF238+$EE239</f>
        <v/>
      </c>
      <c r="EG239">
        <f>IF($DM239=0,"",INDEX($EF$5:$EF$1003,$ED239))</f>
        <v/>
      </c>
      <c r="EH239">
        <f>IF($DM239=0,"",IF($DO239&lt;&gt;"","",IFERROR(LOOKUP(2,1/(($EG$4:EG238=$EG239)*($DO$4:DO238&lt;&gt;"")),$DO$4:DO238),"")))</f>
        <v/>
      </c>
      <c r="EI239">
        <f>IF($DM239=0,"",IF($DO239&lt;&gt;"",$DO239,$EH239))</f>
        <v/>
      </c>
      <c r="EJ239">
        <f>IF($DM239=0,"",IF($EI239="",0,IF(OR(ISNUMBER($EI239),AND(AND(SUBSTITUTE(SUBSTITUTE(SUBSTITUTE(SUBSTITUTE(SUBSTITUTE(SUBSTITUTE(SUBSTITUTE(SUBSTITUTE(SUBSTITUTE(SUBSTITUTE(SUBSTITUTE(SUBSTITUTE(SUBSTITUTE(SUBSTITUTE(UPPER($EI239),"0",""),"1",""),"2",""),"3",""),"4",""),"5",""),"6",""),"7",""),"8",""),"9",""),".",""),"+",""),"-",""),"E","")="",LEN(SUBSTITUTE(SUBSTITUTE(MID(UPPER($EI239),1+OR(LEFT(UPPER($EI239),1)="+",LEFT(UPPER($EI239),1)="-"),999),"E+","E"),"E-","E"))=LEN(SUBSTITUTE(SUBSTITUTE(SUBSTITUTE(SUBSTITUTE(MID(UPPER($EI239),1+OR(LEFT(UPPER($EI239),1)="+",LEFT(UPPER($EI239),1)="-"),999),"E+","E"),"E-","E"),"+",""),"-","")),LEN(UPPER($EI239))-LEN(SUBSTITUTE(UPPER($EI239),"E",""))&lt;2,LEN(UPPER($EI239))-LEN(SUBSTITUTE(UPPER($EI239),".",""))&lt;2,IFERROR(FIND(".",UPPER($EI239)),0)&lt;IFERROR(FIND("E",UPPER($EI239)),999)),ISNUMBER(VALUE($EI239)))),1,2)))</f>
        <v/>
      </c>
      <c r="EK239">
        <f>IF($DM239=0,"",IF($EJ239=1,IF(ISNUMBER($EI239),$EI239,VALUE($EI239)),IF($EJ239=2,$DE239,0)))</f>
        <v/>
      </c>
      <c r="EL239">
        <f>IF($DM239=0,"",COUNTIF($EG$5:$EG$1003,"&lt;"&amp;$EG239)+SUMPRODUCT(($EG$5:$EG$1003=$EG239)*(($EJ$5:$EJ$1003&lt;$EJ239)+($EJ$5:$EJ$1003=$EJ239)*(($EK$5:$EK$1003&lt;$EK239)+($EK$5:$EK$1003=$EK239)*($DE$5:$DE$1003&lt;$DE239))))+1)</f>
        <v/>
      </c>
      <c r="EM239">
        <f>IF($DM239=0,"",$EL239+$EG239-1)</f>
        <v/>
      </c>
      <c r="EN239">
        <f>IF($DM239=0,0,IFERROR(MATCH(1,INDEX(--(TRIM(SUBSTITUTE(SUBSTITUTE(SUBSTITUTE(SUBSTITUTE(LINES_NAME&amp;""," "," "),CHAR(9)," "),CHAR(10)," "),CHAR(13)," "))=$DH239),0),0),0))</f>
        <v/>
      </c>
      <c r="EO239">
        <f>IF($EN239=0,0,IF(OR(UPPER(TRIM(INDEX(LINES_SCHEDULED,$EN239)&amp;""))="YES",UPPER(TRIM(INDEX(LINES_SCHEDULED,$EN239)&amp;""))="Y",UPPER(TRIM(INDEX(LINES_SCHEDULED,$EN239)&amp;""))="X"),1,0))</f>
        <v/>
      </c>
      <c r="EP239">
        <f>IF($DM239=0,"",IF(COUNTIFS($EG$5:$EG$1003,$EG239,$EB$5:$EB$1003,"Ready")&gt;0,"READY",IF(COUNTIFS($EG$5:$EG$1003,$EG239,$EB$5:$EB$1003,"PM")&gt;0,"PM",IF(COUNTIFS($EG$5:$EG$1003,$EG239,$EB$5:$EB$1003,"OT")&gt;0,"OT",""))))</f>
        <v/>
      </c>
      <c r="EQ239">
        <f>IF($EN239=0,"",UPPER(TRIM(INDEX(LINES_STATUS,$EN239)&amp;"")))</f>
        <v/>
      </c>
      <c r="ER239">
        <f>IF($DM239=0,"",IF(OR($EQ239="READY",$EQ239="PM",$EQ239="OT"),$EQ239,$EP239))</f>
        <v/>
      </c>
      <c r="ES239">
        <f>IF($DM239=0,"",IF(AND($DV239&lt;&gt;"",UPPER($DV239)&lt;&gt;"N"),"allergen",IF(ISNUMBER(SEARCH("oil",$DQ239)),"oil",IF(OR(EXACT($DS239,"A662"),EXACT($DS239,"A624")),"bulk",""))))</f>
        <v/>
      </c>
      <c r="ET239">
        <f>IF($DM239=0,"",IF(OR($EA239="",$EA239=0),"",$EA239/100))</f>
        <v/>
      </c>
      <c r="EU239">
        <f>IF(OR($ET239="",$DY239=""),"",INT($DY239*(1-$ET239)+0.5))</f>
        <v/>
      </c>
      <c r="EW239" t="n">
        <v>235</v>
      </c>
      <c r="EX239">
        <f>IFERROR(MATCH($EW239,$EM$5:$EM$1003,0),0)</f>
        <v/>
      </c>
      <c r="EY239">
        <f>IF($EW239&gt;$B$12,"",IF($EX239&gt;0,"row","spacer"))</f>
        <v/>
      </c>
      <c r="EZ239">
        <f>IF(AND($EY239="row",$EY238&lt;&gt;"row"),1,0)</f>
        <v/>
      </c>
      <c r="FA239">
        <f>IF(AND($EY239="row",$EY240&lt;&gt;"row"),1,0)</f>
        <v/>
      </c>
      <c r="FB239">
        <f>IF($EZ239=1,IFERROR(IF(ISNUMBER(INDEX(PASTE_ALL,INDEX($DF$5:$DF$1003,$EX239),$B$37)),INDEX(PASTE_ALL,INDEX($DF$5:$DF$1003,$EX239),$B$37),INDEX($DH$5:$DH$1003,$EX239)),INDEX($DH$5:$DH$1003,$EX239)),"")</f>
        <v/>
      </c>
      <c r="FC239">
        <f>IF($EY239="row",INDEX($ER$5:$ER$1003,$EX239),"")</f>
        <v/>
      </c>
      <c r="FD239">
        <f>IF($EY239="row",INDEX($DN$5:$DN$1003,$EX239),"")</f>
        <v/>
      </c>
      <c r="FE239">
        <f>IF($EY239="row",INDEX($DO$5:$DO$1003,$EX239),"")</f>
        <v/>
      </c>
      <c r="FF239">
        <f>IF($EY239="row",INDEX($DP$5:$DP$1003,$EX239),"")</f>
        <v/>
      </c>
      <c r="FG239">
        <f>IF($EY239="row",INDEX($DQ$5:$DQ$1003,$EX239),"")</f>
        <v/>
      </c>
      <c r="FH239">
        <f>IF($EY239="row",INDEX($DR$5:$DR$1003,$EX239),"")</f>
        <v/>
      </c>
      <c r="FI239">
        <f>IF($EY239="row",INDEX($DS$5:$DS$1003,$EX239),"")</f>
        <v/>
      </c>
      <c r="FJ239">
        <f>IF($EY239="row",INDEX($DT$5:$DT$1003,$EX239),"")</f>
        <v/>
      </c>
      <c r="FK239">
        <f>IF($EY239="row",INDEX($DU$5:$DU$1003,$EX239),"")</f>
        <v/>
      </c>
      <c r="FL239">
        <f>IF($EY239="row",INDEX($DV$5:$DV$1003,$EX239),"")</f>
        <v/>
      </c>
      <c r="FM239">
        <f>IF($EY239="row",INDEX($DW$5:$DW$1003,$EX239),"")</f>
        <v/>
      </c>
      <c r="FN239">
        <f>IF($EY239="row",INDEX($DY$5:$DY$1003,$EX239),"")</f>
        <v/>
      </c>
      <c r="FO239">
        <f>IF($EY239="row",INDEX($EA$5:$EA$1003,$EX239),"")</f>
        <v/>
      </c>
      <c r="FP239">
        <f>IF($EY239="row",INDEX($EC$5:$EC$1003,$EX239),"")</f>
        <v/>
      </c>
      <c r="FQ239">
        <f>IF($EY239="row",INDEX($ET$5:$ET$1003,$EX239),"")</f>
        <v/>
      </c>
      <c r="FR239">
        <f>IF($EY239="row",INDEX($EU$5:$EU$1003,$EX239),"")</f>
        <v/>
      </c>
      <c r="FS239">
        <f>IF(AND($EY239="row",$EY238="row"),IF(OR(INDEX($DT$5:$DT$1003,$EX238)="",INDEX($DT$5:$DT$1003,$EX239)=""),"",IF(NOT(EXACT(INDEX($DT$5:$DT$1003,$EX238),INDEX($DT$5:$DT$1003,$EX239))),"S4",IF(NOT(EXACT(INDEX($DS$5:$DS$1003,$EX238),INDEX($DS$5:$DS$1003,$EX239))),"S3",IF(NOT(EXACT(INDEX($DR$5:$DR$1003,$EX238),INDEX($DR$5:$DR$1003,$EX239))),"S1 Count Change","S1")))),"")</f>
        <v/>
      </c>
      <c r="FT239">
        <f>IF($EY239="row",INDEX($ES$5:$ES$1003,$EX239),"")</f>
        <v/>
      </c>
      <c r="FU239">
        <f>IF($EY239="row",INDEX($EO$5:$EO$1003,$EX239),0)</f>
        <v/>
      </c>
      <c r="FV239">
        <f>IF($FS239="S1 Count Change",1,0)</f>
        <v/>
      </c>
    </row>
    <row r="240">
      <c r="DA240" t="n">
        <v>236</v>
      </c>
      <c r="DB240">
        <f>IF($B$37=0,"",IFERROR(TRIM(SUBSTITUTE(SUBSTITUTE(SUBSTITUTE(SUBSTITUTE(INDEX(PASTE_ALL,236,$B$37)," "," "),CHAR(9)," "),CHAR(10)," "),CHAR(13)," ")),""))</f>
        <v/>
      </c>
      <c r="DC240">
        <f>IF(AND(236&gt;HEADER_ROW,UPPER(DB240)="LEGEND"),1,0)</f>
        <v/>
      </c>
      <c r="DE240" t="n">
        <v>236</v>
      </c>
      <c r="DF240">
        <f>HEADER_ROW+$DE240</f>
        <v/>
      </c>
      <c r="DG240">
        <f>IF(AND($DF240&lt;=1000,$DF240&lt;$B$8),1,0)</f>
        <v/>
      </c>
      <c r="DH240">
        <f>IF($DG240=1,IFERROR(INDEX($DB$5:$DB$1004,$DF240),""),"")</f>
        <v/>
      </c>
      <c r="DI240">
        <f>IF(AND($DG240=1,$DH240&lt;&gt;""),IFERROR(SUBSTITUTE(SUBSTITUTE(TRIM(SUBSTITUTE(SUBSTITUTE(SUBSTITUTE(SUBSTITUTE(IFERROR(INDEX(PASTE_ALL,$DF240,1)&amp;"","")&amp;"␟"&amp;IFERROR(INDEX(PASTE_ALL,$DF240,2)&amp;"","")&amp;"␟"&amp;IFERROR(INDEX(PASTE_ALL,$DF240,3)&amp;"","")&amp;"␟"&amp;IFERROR(INDEX(PASTE_ALL,$DF240,4)&amp;"","")&amp;"␟"&amp;IFERROR(INDEX(PASTE_ALL,$DF240,5)&amp;"","")&amp;"␟"&amp;IFERROR(INDEX(PASTE_ALL,$DF240,6)&amp;"","")&amp;"␟"&amp;IFERROR(INDEX(PASTE_ALL,$DF240,7)&amp;"","")&amp;"␟"&amp;IFERROR(INDEX(PASTE_ALL,$DF240,8)&amp;"","")&amp;"␟"&amp;IFERROR(INDEX(PASTE_ALL,$DF240,9)&amp;"","")&amp;"␟"&amp;IFERROR(INDEX(PASTE_ALL,$DF240,10)&amp;"","")&amp;"␟"&amp;IFERROR(INDEX(PASTE_ALL,$DF240,11)&amp;"","")&amp;"␟"&amp;IFERROR(INDEX(PASTE_ALL,$DF240,12)&amp;"","")&amp;"␟"&amp;IFERROR(INDEX(PASTE_ALL,$DF240,13)&amp;"","")&amp;"␟"&amp;IFERROR(INDEX(PASTE_ALL,$DF240,14)&amp;"","")&amp;"␟"&amp;IFERROR(INDEX(PASTE_ALL,$DF240,15)&amp;"","")&amp;"␟"&amp;IFERROR(INDEX(PASTE_ALL,$DF240,16)&amp;"","")&amp;"␟"&amp;IFERROR(INDEX(PASTE_ALL,$DF240,17)&amp;"","")&amp;"␟"&amp;IFERROR(INDEX(PASTE_ALL,$DF240,18)&amp;"","")&amp;"␟"&amp;IFERROR(INDEX(PASTE_ALL,$DF240,19)&amp;"","")&amp;"␟"&amp;IFERROR(INDEX(PASTE_ALL,$DF240,20)&amp;"","")&amp;"␟"&amp;IFERROR(INDEX(PASTE_ALL,$DF240,21)&amp;"","")&amp;"␟"&amp;IFERROR(INDEX(PASTE_ALL,$DF240,22)&amp;"","")&amp;"␟"&amp;IFERROR(INDEX(PASTE_ALL,$DF240,23)&amp;"","")&amp;"␟"&amp;IFERROR(INDEX(PASTE_ALL,$DF240,24)&amp;"","")&amp;"␟"&amp;IFERROR(INDEX(PASTE_ALL,$DF240,25)&amp;"","")&amp;"␟"&amp;IFERROR(INDEX(PASTE_ALL,$DF240,26)&amp;"","")&amp;"␟"&amp;IFERROR(INDEX(PASTE_ALL,$DF240,27)&amp;"","")&amp;"␟"&amp;IFERROR(INDEX(PASTE_ALL,$DF240,28)&amp;"","")&amp;"␟"&amp;IFERROR(INDEX(PASTE_ALL,$DF240,29)&amp;"","")&amp;"␟"&amp;IFERROR(INDEX(PASTE_ALL,$DF240,30)&amp;"","")&amp;"␟"&amp;IFERROR(INDEX(PASTE_ALL,$DF240,31)&amp;"","")&amp;"␟"&amp;IFERROR(INDEX(PASTE_ALL,$DF240,32)&amp;"","")&amp;"␟"&amp;IFERROR(INDEX(PASTE_ALL,$DF240,33)&amp;"","")&amp;"␟"&amp;IFERROR(INDEX(PASTE_ALL,$DF240,34)&amp;"","")&amp;"␟"&amp;IFERROR(INDEX(PASTE_ALL,$DF240,35)&amp;"","")&amp;"␟"&amp;IFERROR(INDEX(PASTE_ALL,$DF240,36)&amp;"","")&amp;"␟"&amp;IFERROR(INDEX(PASTE_ALL,$DF240,37)&amp;"","")&amp;"␟"&amp;IFERROR(INDEX(PASTE_ALL,$DF240,38)&amp;"","")&amp;"␟"&amp;IFERROR(INDEX(PASTE_ALL,$DF240,39)&amp;"","")&amp;"␟"&amp;IFERROR(INDEX(PASTE_ALL,$DF240,40)&amp;"","")&amp;"␟"&amp;IFERROR(INDEX(PASTE_ALL,$DF240,41)&amp;"","")&amp;"␟"&amp;IFERROR(INDEX(PASTE_ALL,$DF240,42)&amp;"","")&amp;"␟"&amp;IFERROR(INDEX(PASTE_ALL,$DF240,43)&amp;"","")&amp;"␟"&amp;IFERROR(INDEX(PASTE_ALL,$DF240,44)&amp;"","")&amp;"␟"&amp;IFERROR(INDEX(PASTE_ALL,$DF240,45)&amp;"","")&amp;"␟"&amp;IFERROR(INDEX(PASTE_ALL,$DF240,46)&amp;"","")&amp;"␟"&amp;IFERROR(INDEX(PASTE_ALL,$DF240,47)&amp;"","")&amp;"␟"&amp;IFERROR(INDEX(PASTE_ALL,$DF240,48)&amp;"","")&amp;"␟"&amp;IFERROR(INDEX(PASTE_ALL,$DF240,49)&amp;"","")&amp;"␟"&amp;IFERROR(INDEX(PASTE_ALL,$DF240,50)&amp;"","")&amp;"␟"&amp;IFERROR(INDEX(PASTE_ALL,$DF240,51)&amp;"","")&amp;"␟"&amp;IFERROR(INDEX(PASTE_ALL,$DF240,52)&amp;"","")&amp;"␟"&amp;IFERROR(INDEX(PASTE_ALL,$DF240,53)&amp;"","")&amp;"␟"&amp;IFERROR(INDEX(PASTE_ALL,$DF240,54)&amp;"","")&amp;"␟"&amp;IFERROR(INDEX(PASTE_ALL,$DF240,55)&amp;"","")&amp;"␟"&amp;IFERROR(INDEX(PASTE_ALL,$DF240,56)&amp;"","")&amp;"␟"&amp;IFERROR(INDEX(PASTE_ALL,$DF240,57)&amp;"","")&amp;"␟"&amp;IFERROR(INDEX(PASTE_ALL,$DF240,58)&amp;"","")&amp;"␟"&amp;IFERROR(INDEX(PASTE_ALL,$DF240,59)&amp;"","")&amp;"␟"&amp;IFERROR(INDEX(PASTE_ALL,$DF240,60)&amp;"","")," "," "),CHAR(9)," "),CHAR(10)," "),CHAR(13)," "))," ␟","␟"),"␟ ","␟"),"#"&amp;$DE240),"")</f>
        <v/>
      </c>
      <c r="DJ240">
        <f>IF($DI240="",0,IF(SUMPRODUCT(--EXACT($DI$4:DI239,$DI240))&gt;0,1,0))</f>
        <v/>
      </c>
      <c r="DK240">
        <f>IF(AND($DI240&lt;&gt;"",$DJ240=0),1,0)</f>
        <v/>
      </c>
      <c r="DL240">
        <f>DL239+$DK240</f>
        <v/>
      </c>
      <c r="DM240">
        <f>IF(AND($DK240=1,$DL240&lt;=600),1,0)</f>
        <v/>
      </c>
      <c r="DN240">
        <f>IF($DM240=0,"",IF($L$6=0,"",IFERROR(IF(ISNUMBER(INDEX(PASTE_ALL,$DF240,$L$6)),INDEX(PASTE_ALL,$DF240,$L$6),TRIM(SUBSTITUTE(SUBSTITUTE(SUBSTITUTE(SUBSTITUTE(INDEX(PASTE_ALL,$DF240,$L$6)," "," "),CHAR(9)," "),CHAR(10)," "),CHAR(13)," "))),"")))</f>
        <v/>
      </c>
      <c r="DO240">
        <f>IF($DM240=0,"",IF($L$7=0,"",IFERROR(IF(ISNUMBER(INDEX(PASTE_ALL,$DF240,$L$7)),INDEX(PASTE_ALL,$DF240,$L$7),TRIM(SUBSTITUTE(SUBSTITUTE(SUBSTITUTE(SUBSTITUTE(INDEX(PASTE_ALL,$DF240,$L$7)," "," "),CHAR(9)," "),CHAR(10)," "),CHAR(13)," "))),"")))</f>
        <v/>
      </c>
      <c r="DP240">
        <f>IF($DM240=0,"",IF($L$8=0,"",IFERROR(IF(ISNUMBER(INDEX(PASTE_ALL,$DF240,$L$8)),INDEX(PASTE_ALL,$DF240,$L$8),TRIM(SUBSTITUTE(SUBSTITUTE(SUBSTITUTE(SUBSTITUTE(INDEX(PASTE_ALL,$DF240,$L$8)," "," "),CHAR(9)," "),CHAR(10)," "),CHAR(13)," "))),"")))</f>
        <v/>
      </c>
      <c r="DQ240">
        <f>IF($DM240=0,"",IF($L$9=0,"",IFERROR(IF(ISNUMBER(INDEX(PASTE_ALL,$DF240,$L$9)),INDEX(PASTE_ALL,$DF240,$L$9),TRIM(SUBSTITUTE(SUBSTITUTE(SUBSTITUTE(SUBSTITUTE(INDEX(PASTE_ALL,$DF240,$L$9)," "," "),CHAR(9)," "),CHAR(10)," "),CHAR(13)," "))),"")))</f>
        <v/>
      </c>
      <c r="DR240">
        <f>IF($DM240=0,"",IF($L$10=0,"",IFERROR(IF(ISNUMBER(INDEX(PASTE_ALL,$DF240,$L$10)),INDEX(PASTE_ALL,$DF240,$L$10),TRIM(SUBSTITUTE(SUBSTITUTE(SUBSTITUTE(SUBSTITUTE(INDEX(PASTE_ALL,$DF240,$L$10)," "," "),CHAR(9)," "),CHAR(10)," "),CHAR(13)," "))),"")))</f>
        <v/>
      </c>
      <c r="DS240">
        <f>IF($DM240=0,"",IF($L$11=0,"",IFERROR(IF(ISNUMBER(INDEX(PASTE_ALL,$DF240,$L$11)),INDEX(PASTE_ALL,$DF240,$L$11),TRIM(SUBSTITUTE(SUBSTITUTE(SUBSTITUTE(SUBSTITUTE(INDEX(PASTE_ALL,$DF240,$L$11)," "," "),CHAR(9)," "),CHAR(10)," "),CHAR(13)," "))),"")))</f>
        <v/>
      </c>
      <c r="DT240">
        <f>IF($DM240=0,"",IF($L$12=0,"",IFERROR(IF(ISNUMBER(INDEX(PASTE_ALL,$DF240,$L$12)),INDEX(PASTE_ALL,$DF240,$L$12),TRIM(SUBSTITUTE(SUBSTITUTE(SUBSTITUTE(SUBSTITUTE(INDEX(PASTE_ALL,$DF240,$L$12)," "," "),CHAR(9)," "),CHAR(10)," "),CHAR(13)," "))),"")))</f>
        <v/>
      </c>
      <c r="DU240">
        <f>IF($DM240=0,"",IF($L$13=0,"",IFERROR(IF(ISNUMBER(INDEX(PASTE_ALL,$DF240,$L$13)),INDEX(PASTE_ALL,$DF240,$L$13),TRIM(SUBSTITUTE(SUBSTITUTE(SUBSTITUTE(SUBSTITUTE(INDEX(PASTE_ALL,$DF240,$L$13)," "," "),CHAR(9)," "),CHAR(10)," "),CHAR(13)," "))),"")))</f>
        <v/>
      </c>
      <c r="DV240">
        <f>IF($DM240=0,"",IF($L$14=0,"",IFERROR(IF(ISNUMBER(INDEX(PASTE_ALL,$DF240,$L$14)),INDEX(PASTE_ALL,$DF240,$L$14),TRIM(SUBSTITUTE(SUBSTITUTE(SUBSTITUTE(SUBSTITUTE(INDEX(PASTE_ALL,$DF240,$L$14)," "," "),CHAR(9)," "),CHAR(10)," "),CHAR(13)," "))),"")))</f>
        <v/>
      </c>
      <c r="DW240">
        <f>IF($DM240=0,"",IF($L$15=0,"",IFERROR(IF(ISNUMBER(INDEX(PASTE_ALL,$DF240,$L$15)),INDEX(PASTE_ALL,$DF240,$L$15),IF(SUMPRODUCT(--ISNUMBER(FIND({"A","B","C","D","E","F","G","H","I","J","K","L","M","N","O","P","Q","R","S","T","U","V","W","X","Y","Z","0","1","2","3","4","5","6","7","8","9"},UPPER(TRIM(SUBSTITUTE(SUBSTITUTE(SUBSTITUTE(SUBSTITUTE(INDEX(PASTE_ALL,$DF240,$L$15)," "," "),CHAR(9)," "),CHAR(10)," "),CHAR(13)," "))))))&gt;0,TRIM(SUBSTITUTE(SUBSTITUTE(SUBSTITUTE(SUBSTITUTE(INDEX(PASTE_ALL,$DF240,$L$15)," "," "),CHAR(9)," "),CHAR(10)," "),CHAR(13)," ")),"")),"")))</f>
        <v/>
      </c>
      <c r="DX240">
        <f>IF($DM240=0,"",IF($L$16=0,"",IFERROR(IF(ISNUMBER(INDEX(PASTE_ALL,$DF240,$L$16)),INDEX(PASTE_ALL,$DF240,$L$16),SUBSTITUTE(SUBSTITUTE(TRIM(SUBSTITUTE(SUBSTITUTE(SUBSTITUTE(SUBSTITUTE(INDEX(PASTE_ALL,$DF240,$L$16)," "," "),CHAR(9)," "),CHAR(10)," "),CHAR(13)," ")),",",""),"%","")),"")))</f>
        <v/>
      </c>
      <c r="DY240">
        <f>IF($DM240=0,"",IFERROR(IF(ISNUMBER($DX240),$DX240,IF($DX240="","",IF(TRIM($DX240)="",0,IF(AND(AND(SUBSTITUTE(SUBSTITUTE(SUBSTITUTE(SUBSTITUTE(SUBSTITUTE(SUBSTITUTE(SUBSTITUTE(SUBSTITUTE(SUBSTITUTE(SUBSTITUTE(SUBSTITUTE(SUBSTITUTE(SUBSTITUTE(SUBSTITUTE(UPPER(TRIM($DX240)),"0",""),"1",""),"2",""),"3",""),"4",""),"5",""),"6",""),"7",""),"8",""),"9",""),".",""),"+",""),"-",""),"E","")="",LEN(SUBSTITUTE(SUBSTITUTE(MID(UPPER(TRIM($DX240)),1+OR(LEFT(UPPER(TRIM($DX240)),1)="+",LEFT(UPPER(TRIM($DX240)),1)="-"),999),"E+","E"),"E-","E"))=LEN(SUBSTITUTE(SUBSTITUTE(SUBSTITUTE(SUBSTITUTE(MID(UPPER(TRIM($DX240)),1+OR(LEFT(UPPER(TRIM($DX240)),1)="+",LEFT(UPPER(TRIM($DX240)),1)="-"),999),"E+","E"),"E-","E"),"+",""),"-","")),LEN(UPPER(TRIM($DX240)))-LEN(SUBSTITUTE(UPPER(TRIM($DX240)),"E",""))&lt;2,LEN(UPPER(TRIM($DX240)))-LEN(SUBSTITUTE(UPPER(TRIM($DX240)),".",""))&lt;2,IFERROR(FIND(".",UPPER(TRIM($DX240))),0)&lt;IFERROR(FIND("E",UPPER(TRIM($DX240))),999)),ISNUMBER(VALUE(TRIM($DX240)))),VALUE(TRIM($DX240)),"")))),""))</f>
        <v/>
      </c>
      <c r="DZ240">
        <f>IF($DM240=0,"",IF($L$17=0,"",IFERROR(IF(ISNUMBER(INDEX(PASTE_ALL,$DF240,$L$17)),INDEX(PASTE_ALL,$DF240,$L$17),SUBSTITUTE(SUBSTITUTE(TRIM(SUBSTITUTE(SUBSTITUTE(SUBSTITUTE(SUBSTITUTE(INDEX(PASTE_ALL,$DF240,$L$17)," "," "),CHAR(9)," "),CHAR(10)," "),CHAR(13)," ")),",",""),"%","")),"")))</f>
        <v/>
      </c>
      <c r="EA240">
        <f>IF($DM240=0,"",IFERROR(IF(ISNUMBER($DZ240),$DZ240,IF($DZ240="","",IF(TRIM($DZ240)="",0,IF(AND(AND(SUBSTITUTE(SUBSTITUTE(SUBSTITUTE(SUBSTITUTE(SUBSTITUTE(SUBSTITUTE(SUBSTITUTE(SUBSTITUTE(SUBSTITUTE(SUBSTITUTE(SUBSTITUTE(SUBSTITUTE(SUBSTITUTE(SUBSTITUTE(UPPER(TRIM($DZ240)),"0",""),"1",""),"2",""),"3",""),"4",""),"5",""),"6",""),"7",""),"8",""),"9",""),".",""),"+",""),"-",""),"E","")="",LEN(SUBSTITUTE(SUBSTITUTE(MID(UPPER(TRIM($DZ240)),1+OR(LEFT(UPPER(TRIM($DZ240)),1)="+",LEFT(UPPER(TRIM($DZ240)),1)="-"),999),"E+","E"),"E-","E"))=LEN(SUBSTITUTE(SUBSTITUTE(SUBSTITUTE(SUBSTITUTE(MID(UPPER(TRIM($DZ240)),1+OR(LEFT(UPPER(TRIM($DZ240)),1)="+",LEFT(UPPER(TRIM($DZ240)),1)="-"),999),"E+","E"),"E-","E"),"+",""),"-","")),LEN(UPPER(TRIM($DZ240)))-LEN(SUBSTITUTE(UPPER(TRIM($DZ240)),"E",""))&lt;2,LEN(UPPER(TRIM($DZ240)))-LEN(SUBSTITUTE(UPPER(TRIM($DZ240)),".",""))&lt;2,IFERROR(FIND(".",UPPER(TRIM($DZ240))),0)&lt;IFERROR(FIND("E",UPPER(TRIM($DZ240))),999)),ISNUMBER(VALUE(TRIM($DZ240)))),VALUE(TRIM($DZ240)),"")))),""))</f>
        <v/>
      </c>
      <c r="EB240">
        <f>IF($DM240=0,"",IF($L$18=0,"",IFERROR(IF(UPPER(TRIM(SUBSTITUTE(SUBSTITUTE(SUBSTITUTE(SUBSTITUTE(INDEX(PASTE_ALL,$DF240,$L$18)," "," "),CHAR(9)," "),CHAR(10)," "),CHAR(13)," ")))="READY","Ready",IF(UPPER(TRIM(SUBSTITUTE(SUBSTITUTE(SUBSTITUTE(SUBSTITUTE(INDEX(PASTE_ALL,$DF240,$L$18)," "," "),CHAR(9)," "),CHAR(10)," "),CHAR(13)," ")))="PM","PM",IF(OR(UPPER(TRIM(SUBSTITUTE(SUBSTITUTE(SUBSTITUTE(SUBSTITUTE(INDEX(PASTE_ALL,$DF240,$L$18)," "," "),CHAR(9)," "),CHAR(10)," "),CHAR(13)," ")))="OT",UPPER(TRIM(SUBSTITUTE(SUBSTITUTE(SUBSTITUTE(SUBSTITUTE(INDEX(PASTE_ALL,$DF240,$L$18)," "," "),CHAR(9)," "),CHAR(10)," "),CHAR(13)," ")))="OVERTIME",UPPER(TRIM(SUBSTITUTE(SUBSTITUTE(SUBSTITUTE(SUBSTITUTE(INDEX(PASTE_ALL,$DF240,$L$18)," "," "),CHAR(9)," "),CHAR(10)," "),CHAR(13)," ")))="TRIAL"),"OT",TRIM(SUBSTITUTE(SUBSTITUTE(SUBSTITUTE(SUBSTITUTE(INDEX(PASTE_ALL,$DF240,$L$18)," "," "),CHAR(9)," "),CHAR(10)," "),CHAR(13)," "))))),"")))</f>
        <v/>
      </c>
      <c r="EC240">
        <f>IF($DM240=0,"",IF($L$19=0,"",IFERROR(IF(ISNUMBER(INDEX(PASTE_ALL,$DF240,$L$19)),INDEX(PASTE_ALL,$DF240,$L$19),TRIM(SUBSTITUTE(SUBSTITUTE(SUBSTITUTE(SUBSTITUTE(INDEX(PASTE_ALL,$DF240,$L$19)," "," "),CHAR(9)," "),CHAR(10)," "),CHAR(13)," "))),"")))</f>
        <v/>
      </c>
      <c r="ED240">
        <f>IF($DM240=0,"",MATCH(1,INDEX(EXACT($DH$5:DH240,$DH240)*$DM$5:DM240,0),0))</f>
        <v/>
      </c>
      <c r="EE240">
        <f>IF($DM240=0,0,IF($ED240=$DE240,1,0))</f>
        <v/>
      </c>
      <c r="EF240">
        <f>EF239+$EE240</f>
        <v/>
      </c>
      <c r="EG240">
        <f>IF($DM240=0,"",INDEX($EF$5:$EF$1003,$ED240))</f>
        <v/>
      </c>
      <c r="EH240">
        <f>IF($DM240=0,"",IF($DO240&lt;&gt;"","",IFERROR(LOOKUP(2,1/(($EG$4:EG239=$EG240)*($DO$4:DO239&lt;&gt;"")),$DO$4:DO239),"")))</f>
        <v/>
      </c>
      <c r="EI240">
        <f>IF($DM240=0,"",IF($DO240&lt;&gt;"",$DO240,$EH240))</f>
        <v/>
      </c>
      <c r="EJ240">
        <f>IF($DM240=0,"",IF($EI240="",0,IF(OR(ISNUMBER($EI240),AND(AND(SUBSTITUTE(SUBSTITUTE(SUBSTITUTE(SUBSTITUTE(SUBSTITUTE(SUBSTITUTE(SUBSTITUTE(SUBSTITUTE(SUBSTITUTE(SUBSTITUTE(SUBSTITUTE(SUBSTITUTE(SUBSTITUTE(SUBSTITUTE(UPPER($EI240),"0",""),"1",""),"2",""),"3",""),"4",""),"5",""),"6",""),"7",""),"8",""),"9",""),".",""),"+",""),"-",""),"E","")="",LEN(SUBSTITUTE(SUBSTITUTE(MID(UPPER($EI240),1+OR(LEFT(UPPER($EI240),1)="+",LEFT(UPPER($EI240),1)="-"),999),"E+","E"),"E-","E"))=LEN(SUBSTITUTE(SUBSTITUTE(SUBSTITUTE(SUBSTITUTE(MID(UPPER($EI240),1+OR(LEFT(UPPER($EI240),1)="+",LEFT(UPPER($EI240),1)="-"),999),"E+","E"),"E-","E"),"+",""),"-","")),LEN(UPPER($EI240))-LEN(SUBSTITUTE(UPPER($EI240),"E",""))&lt;2,LEN(UPPER($EI240))-LEN(SUBSTITUTE(UPPER($EI240),".",""))&lt;2,IFERROR(FIND(".",UPPER($EI240)),0)&lt;IFERROR(FIND("E",UPPER($EI240)),999)),ISNUMBER(VALUE($EI240)))),1,2)))</f>
        <v/>
      </c>
      <c r="EK240">
        <f>IF($DM240=0,"",IF($EJ240=1,IF(ISNUMBER($EI240),$EI240,VALUE($EI240)),IF($EJ240=2,$DE240,0)))</f>
        <v/>
      </c>
      <c r="EL240">
        <f>IF($DM240=0,"",COUNTIF($EG$5:$EG$1003,"&lt;"&amp;$EG240)+SUMPRODUCT(($EG$5:$EG$1003=$EG240)*(($EJ$5:$EJ$1003&lt;$EJ240)+($EJ$5:$EJ$1003=$EJ240)*(($EK$5:$EK$1003&lt;$EK240)+($EK$5:$EK$1003=$EK240)*($DE$5:$DE$1003&lt;$DE240))))+1)</f>
        <v/>
      </c>
      <c r="EM240">
        <f>IF($DM240=0,"",$EL240+$EG240-1)</f>
        <v/>
      </c>
      <c r="EN240">
        <f>IF($DM240=0,0,IFERROR(MATCH(1,INDEX(--(TRIM(SUBSTITUTE(SUBSTITUTE(SUBSTITUTE(SUBSTITUTE(LINES_NAME&amp;""," "," "),CHAR(9)," "),CHAR(10)," "),CHAR(13)," "))=$DH240),0),0),0))</f>
        <v/>
      </c>
      <c r="EO240">
        <f>IF($EN240=0,0,IF(OR(UPPER(TRIM(INDEX(LINES_SCHEDULED,$EN240)&amp;""))="YES",UPPER(TRIM(INDEX(LINES_SCHEDULED,$EN240)&amp;""))="Y",UPPER(TRIM(INDEX(LINES_SCHEDULED,$EN240)&amp;""))="X"),1,0))</f>
        <v/>
      </c>
      <c r="EP240">
        <f>IF($DM240=0,"",IF(COUNTIFS($EG$5:$EG$1003,$EG240,$EB$5:$EB$1003,"Ready")&gt;0,"READY",IF(COUNTIFS($EG$5:$EG$1003,$EG240,$EB$5:$EB$1003,"PM")&gt;0,"PM",IF(COUNTIFS($EG$5:$EG$1003,$EG240,$EB$5:$EB$1003,"OT")&gt;0,"OT",""))))</f>
        <v/>
      </c>
      <c r="EQ240">
        <f>IF($EN240=0,"",UPPER(TRIM(INDEX(LINES_STATUS,$EN240)&amp;"")))</f>
        <v/>
      </c>
      <c r="ER240">
        <f>IF($DM240=0,"",IF(OR($EQ240="READY",$EQ240="PM",$EQ240="OT"),$EQ240,$EP240))</f>
        <v/>
      </c>
      <c r="ES240">
        <f>IF($DM240=0,"",IF(AND($DV240&lt;&gt;"",UPPER($DV240)&lt;&gt;"N"),"allergen",IF(ISNUMBER(SEARCH("oil",$DQ240)),"oil",IF(OR(EXACT($DS240,"A662"),EXACT($DS240,"A624")),"bulk",""))))</f>
        <v/>
      </c>
      <c r="ET240">
        <f>IF($DM240=0,"",IF(OR($EA240="",$EA240=0),"",$EA240/100))</f>
        <v/>
      </c>
      <c r="EU240">
        <f>IF(OR($ET240="",$DY240=""),"",INT($DY240*(1-$ET240)+0.5))</f>
        <v/>
      </c>
      <c r="EW240" t="n">
        <v>236</v>
      </c>
      <c r="EX240">
        <f>IFERROR(MATCH($EW240,$EM$5:$EM$1003,0),0)</f>
        <v/>
      </c>
      <c r="EY240">
        <f>IF($EW240&gt;$B$12,"",IF($EX240&gt;0,"row","spacer"))</f>
        <v/>
      </c>
      <c r="EZ240">
        <f>IF(AND($EY240="row",$EY239&lt;&gt;"row"),1,0)</f>
        <v/>
      </c>
      <c r="FA240">
        <f>IF(AND($EY240="row",$EY241&lt;&gt;"row"),1,0)</f>
        <v/>
      </c>
      <c r="FB240">
        <f>IF($EZ240=1,IFERROR(IF(ISNUMBER(INDEX(PASTE_ALL,INDEX($DF$5:$DF$1003,$EX240),$B$37)),INDEX(PASTE_ALL,INDEX($DF$5:$DF$1003,$EX240),$B$37),INDEX($DH$5:$DH$1003,$EX240)),INDEX($DH$5:$DH$1003,$EX240)),"")</f>
        <v/>
      </c>
      <c r="FC240">
        <f>IF($EY240="row",INDEX($ER$5:$ER$1003,$EX240),"")</f>
        <v/>
      </c>
      <c r="FD240">
        <f>IF($EY240="row",INDEX($DN$5:$DN$1003,$EX240),"")</f>
        <v/>
      </c>
      <c r="FE240">
        <f>IF($EY240="row",INDEX($DO$5:$DO$1003,$EX240),"")</f>
        <v/>
      </c>
      <c r="FF240">
        <f>IF($EY240="row",INDEX($DP$5:$DP$1003,$EX240),"")</f>
        <v/>
      </c>
      <c r="FG240">
        <f>IF($EY240="row",INDEX($DQ$5:$DQ$1003,$EX240),"")</f>
        <v/>
      </c>
      <c r="FH240">
        <f>IF($EY240="row",INDEX($DR$5:$DR$1003,$EX240),"")</f>
        <v/>
      </c>
      <c r="FI240">
        <f>IF($EY240="row",INDEX($DS$5:$DS$1003,$EX240),"")</f>
        <v/>
      </c>
      <c r="FJ240">
        <f>IF($EY240="row",INDEX($DT$5:$DT$1003,$EX240),"")</f>
        <v/>
      </c>
      <c r="FK240">
        <f>IF($EY240="row",INDEX($DU$5:$DU$1003,$EX240),"")</f>
        <v/>
      </c>
      <c r="FL240">
        <f>IF($EY240="row",INDEX($DV$5:$DV$1003,$EX240),"")</f>
        <v/>
      </c>
      <c r="FM240">
        <f>IF($EY240="row",INDEX($DW$5:$DW$1003,$EX240),"")</f>
        <v/>
      </c>
      <c r="FN240">
        <f>IF($EY240="row",INDEX($DY$5:$DY$1003,$EX240),"")</f>
        <v/>
      </c>
      <c r="FO240">
        <f>IF($EY240="row",INDEX($EA$5:$EA$1003,$EX240),"")</f>
        <v/>
      </c>
      <c r="FP240">
        <f>IF($EY240="row",INDEX($EC$5:$EC$1003,$EX240),"")</f>
        <v/>
      </c>
      <c r="FQ240">
        <f>IF($EY240="row",INDEX($ET$5:$ET$1003,$EX240),"")</f>
        <v/>
      </c>
      <c r="FR240">
        <f>IF($EY240="row",INDEX($EU$5:$EU$1003,$EX240),"")</f>
        <v/>
      </c>
      <c r="FS240">
        <f>IF(AND($EY240="row",$EY239="row"),IF(OR(INDEX($DT$5:$DT$1003,$EX239)="",INDEX($DT$5:$DT$1003,$EX240)=""),"",IF(NOT(EXACT(INDEX($DT$5:$DT$1003,$EX239),INDEX($DT$5:$DT$1003,$EX240))),"S4",IF(NOT(EXACT(INDEX($DS$5:$DS$1003,$EX239),INDEX($DS$5:$DS$1003,$EX240))),"S3",IF(NOT(EXACT(INDEX($DR$5:$DR$1003,$EX239),INDEX($DR$5:$DR$1003,$EX240))),"S1 Count Change","S1")))),"")</f>
        <v/>
      </c>
      <c r="FT240">
        <f>IF($EY240="row",INDEX($ES$5:$ES$1003,$EX240),"")</f>
        <v/>
      </c>
      <c r="FU240">
        <f>IF($EY240="row",INDEX($EO$5:$EO$1003,$EX240),0)</f>
        <v/>
      </c>
      <c r="FV240">
        <f>IF($FS240="S1 Count Change",1,0)</f>
        <v/>
      </c>
    </row>
    <row r="241">
      <c r="DA241" t="n">
        <v>237</v>
      </c>
      <c r="DB241">
        <f>IF($B$37=0,"",IFERROR(TRIM(SUBSTITUTE(SUBSTITUTE(SUBSTITUTE(SUBSTITUTE(INDEX(PASTE_ALL,237,$B$37)," "," "),CHAR(9)," "),CHAR(10)," "),CHAR(13)," ")),""))</f>
        <v/>
      </c>
      <c r="DC241">
        <f>IF(AND(237&gt;HEADER_ROW,UPPER(DB241)="LEGEND"),1,0)</f>
        <v/>
      </c>
      <c r="DE241" t="n">
        <v>237</v>
      </c>
      <c r="DF241">
        <f>HEADER_ROW+$DE241</f>
        <v/>
      </c>
      <c r="DG241">
        <f>IF(AND($DF241&lt;=1000,$DF241&lt;$B$8),1,0)</f>
        <v/>
      </c>
      <c r="DH241">
        <f>IF($DG241=1,IFERROR(INDEX($DB$5:$DB$1004,$DF241),""),"")</f>
        <v/>
      </c>
      <c r="DI241">
        <f>IF(AND($DG241=1,$DH241&lt;&gt;""),IFERROR(SUBSTITUTE(SUBSTITUTE(TRIM(SUBSTITUTE(SUBSTITUTE(SUBSTITUTE(SUBSTITUTE(IFERROR(INDEX(PASTE_ALL,$DF241,1)&amp;"","")&amp;"␟"&amp;IFERROR(INDEX(PASTE_ALL,$DF241,2)&amp;"","")&amp;"␟"&amp;IFERROR(INDEX(PASTE_ALL,$DF241,3)&amp;"","")&amp;"␟"&amp;IFERROR(INDEX(PASTE_ALL,$DF241,4)&amp;"","")&amp;"␟"&amp;IFERROR(INDEX(PASTE_ALL,$DF241,5)&amp;"","")&amp;"␟"&amp;IFERROR(INDEX(PASTE_ALL,$DF241,6)&amp;"","")&amp;"␟"&amp;IFERROR(INDEX(PASTE_ALL,$DF241,7)&amp;"","")&amp;"␟"&amp;IFERROR(INDEX(PASTE_ALL,$DF241,8)&amp;"","")&amp;"␟"&amp;IFERROR(INDEX(PASTE_ALL,$DF241,9)&amp;"","")&amp;"␟"&amp;IFERROR(INDEX(PASTE_ALL,$DF241,10)&amp;"","")&amp;"␟"&amp;IFERROR(INDEX(PASTE_ALL,$DF241,11)&amp;"","")&amp;"␟"&amp;IFERROR(INDEX(PASTE_ALL,$DF241,12)&amp;"","")&amp;"␟"&amp;IFERROR(INDEX(PASTE_ALL,$DF241,13)&amp;"","")&amp;"␟"&amp;IFERROR(INDEX(PASTE_ALL,$DF241,14)&amp;"","")&amp;"␟"&amp;IFERROR(INDEX(PASTE_ALL,$DF241,15)&amp;"","")&amp;"␟"&amp;IFERROR(INDEX(PASTE_ALL,$DF241,16)&amp;"","")&amp;"␟"&amp;IFERROR(INDEX(PASTE_ALL,$DF241,17)&amp;"","")&amp;"␟"&amp;IFERROR(INDEX(PASTE_ALL,$DF241,18)&amp;"","")&amp;"␟"&amp;IFERROR(INDEX(PASTE_ALL,$DF241,19)&amp;"","")&amp;"␟"&amp;IFERROR(INDEX(PASTE_ALL,$DF241,20)&amp;"","")&amp;"␟"&amp;IFERROR(INDEX(PASTE_ALL,$DF241,21)&amp;"","")&amp;"␟"&amp;IFERROR(INDEX(PASTE_ALL,$DF241,22)&amp;"","")&amp;"␟"&amp;IFERROR(INDEX(PASTE_ALL,$DF241,23)&amp;"","")&amp;"␟"&amp;IFERROR(INDEX(PASTE_ALL,$DF241,24)&amp;"","")&amp;"␟"&amp;IFERROR(INDEX(PASTE_ALL,$DF241,25)&amp;"","")&amp;"␟"&amp;IFERROR(INDEX(PASTE_ALL,$DF241,26)&amp;"","")&amp;"␟"&amp;IFERROR(INDEX(PASTE_ALL,$DF241,27)&amp;"","")&amp;"␟"&amp;IFERROR(INDEX(PASTE_ALL,$DF241,28)&amp;"","")&amp;"␟"&amp;IFERROR(INDEX(PASTE_ALL,$DF241,29)&amp;"","")&amp;"␟"&amp;IFERROR(INDEX(PASTE_ALL,$DF241,30)&amp;"","")&amp;"␟"&amp;IFERROR(INDEX(PASTE_ALL,$DF241,31)&amp;"","")&amp;"␟"&amp;IFERROR(INDEX(PASTE_ALL,$DF241,32)&amp;"","")&amp;"␟"&amp;IFERROR(INDEX(PASTE_ALL,$DF241,33)&amp;"","")&amp;"␟"&amp;IFERROR(INDEX(PASTE_ALL,$DF241,34)&amp;"","")&amp;"␟"&amp;IFERROR(INDEX(PASTE_ALL,$DF241,35)&amp;"","")&amp;"␟"&amp;IFERROR(INDEX(PASTE_ALL,$DF241,36)&amp;"","")&amp;"␟"&amp;IFERROR(INDEX(PASTE_ALL,$DF241,37)&amp;"","")&amp;"␟"&amp;IFERROR(INDEX(PASTE_ALL,$DF241,38)&amp;"","")&amp;"␟"&amp;IFERROR(INDEX(PASTE_ALL,$DF241,39)&amp;"","")&amp;"␟"&amp;IFERROR(INDEX(PASTE_ALL,$DF241,40)&amp;"","")&amp;"␟"&amp;IFERROR(INDEX(PASTE_ALL,$DF241,41)&amp;"","")&amp;"␟"&amp;IFERROR(INDEX(PASTE_ALL,$DF241,42)&amp;"","")&amp;"␟"&amp;IFERROR(INDEX(PASTE_ALL,$DF241,43)&amp;"","")&amp;"␟"&amp;IFERROR(INDEX(PASTE_ALL,$DF241,44)&amp;"","")&amp;"␟"&amp;IFERROR(INDEX(PASTE_ALL,$DF241,45)&amp;"","")&amp;"␟"&amp;IFERROR(INDEX(PASTE_ALL,$DF241,46)&amp;"","")&amp;"␟"&amp;IFERROR(INDEX(PASTE_ALL,$DF241,47)&amp;"","")&amp;"␟"&amp;IFERROR(INDEX(PASTE_ALL,$DF241,48)&amp;"","")&amp;"␟"&amp;IFERROR(INDEX(PASTE_ALL,$DF241,49)&amp;"","")&amp;"␟"&amp;IFERROR(INDEX(PASTE_ALL,$DF241,50)&amp;"","")&amp;"␟"&amp;IFERROR(INDEX(PASTE_ALL,$DF241,51)&amp;"","")&amp;"␟"&amp;IFERROR(INDEX(PASTE_ALL,$DF241,52)&amp;"","")&amp;"␟"&amp;IFERROR(INDEX(PASTE_ALL,$DF241,53)&amp;"","")&amp;"␟"&amp;IFERROR(INDEX(PASTE_ALL,$DF241,54)&amp;"","")&amp;"␟"&amp;IFERROR(INDEX(PASTE_ALL,$DF241,55)&amp;"","")&amp;"␟"&amp;IFERROR(INDEX(PASTE_ALL,$DF241,56)&amp;"","")&amp;"␟"&amp;IFERROR(INDEX(PASTE_ALL,$DF241,57)&amp;"","")&amp;"␟"&amp;IFERROR(INDEX(PASTE_ALL,$DF241,58)&amp;"","")&amp;"␟"&amp;IFERROR(INDEX(PASTE_ALL,$DF241,59)&amp;"","")&amp;"␟"&amp;IFERROR(INDEX(PASTE_ALL,$DF241,60)&amp;"","")," "," "),CHAR(9)," "),CHAR(10)," "),CHAR(13)," "))," ␟","␟"),"␟ ","␟"),"#"&amp;$DE241),"")</f>
        <v/>
      </c>
      <c r="DJ241">
        <f>IF($DI241="",0,IF(SUMPRODUCT(--EXACT($DI$4:DI240,$DI241))&gt;0,1,0))</f>
        <v/>
      </c>
      <c r="DK241">
        <f>IF(AND($DI241&lt;&gt;"",$DJ241=0),1,0)</f>
        <v/>
      </c>
      <c r="DL241">
        <f>DL240+$DK241</f>
        <v/>
      </c>
      <c r="DM241">
        <f>IF(AND($DK241=1,$DL241&lt;=600),1,0)</f>
        <v/>
      </c>
      <c r="DN241">
        <f>IF($DM241=0,"",IF($L$6=0,"",IFERROR(IF(ISNUMBER(INDEX(PASTE_ALL,$DF241,$L$6)),INDEX(PASTE_ALL,$DF241,$L$6),TRIM(SUBSTITUTE(SUBSTITUTE(SUBSTITUTE(SUBSTITUTE(INDEX(PASTE_ALL,$DF241,$L$6)," "," "),CHAR(9)," "),CHAR(10)," "),CHAR(13)," "))),"")))</f>
        <v/>
      </c>
      <c r="DO241">
        <f>IF($DM241=0,"",IF($L$7=0,"",IFERROR(IF(ISNUMBER(INDEX(PASTE_ALL,$DF241,$L$7)),INDEX(PASTE_ALL,$DF241,$L$7),TRIM(SUBSTITUTE(SUBSTITUTE(SUBSTITUTE(SUBSTITUTE(INDEX(PASTE_ALL,$DF241,$L$7)," "," "),CHAR(9)," "),CHAR(10)," "),CHAR(13)," "))),"")))</f>
        <v/>
      </c>
      <c r="DP241">
        <f>IF($DM241=0,"",IF($L$8=0,"",IFERROR(IF(ISNUMBER(INDEX(PASTE_ALL,$DF241,$L$8)),INDEX(PASTE_ALL,$DF241,$L$8),TRIM(SUBSTITUTE(SUBSTITUTE(SUBSTITUTE(SUBSTITUTE(INDEX(PASTE_ALL,$DF241,$L$8)," "," "),CHAR(9)," "),CHAR(10)," "),CHAR(13)," "))),"")))</f>
        <v/>
      </c>
      <c r="DQ241">
        <f>IF($DM241=0,"",IF($L$9=0,"",IFERROR(IF(ISNUMBER(INDEX(PASTE_ALL,$DF241,$L$9)),INDEX(PASTE_ALL,$DF241,$L$9),TRIM(SUBSTITUTE(SUBSTITUTE(SUBSTITUTE(SUBSTITUTE(INDEX(PASTE_ALL,$DF241,$L$9)," "," "),CHAR(9)," "),CHAR(10)," "),CHAR(13)," "))),"")))</f>
        <v/>
      </c>
      <c r="DR241">
        <f>IF($DM241=0,"",IF($L$10=0,"",IFERROR(IF(ISNUMBER(INDEX(PASTE_ALL,$DF241,$L$10)),INDEX(PASTE_ALL,$DF241,$L$10),TRIM(SUBSTITUTE(SUBSTITUTE(SUBSTITUTE(SUBSTITUTE(INDEX(PASTE_ALL,$DF241,$L$10)," "," "),CHAR(9)," "),CHAR(10)," "),CHAR(13)," "))),"")))</f>
        <v/>
      </c>
      <c r="DS241">
        <f>IF($DM241=0,"",IF($L$11=0,"",IFERROR(IF(ISNUMBER(INDEX(PASTE_ALL,$DF241,$L$11)),INDEX(PASTE_ALL,$DF241,$L$11),TRIM(SUBSTITUTE(SUBSTITUTE(SUBSTITUTE(SUBSTITUTE(INDEX(PASTE_ALL,$DF241,$L$11)," "," "),CHAR(9)," "),CHAR(10)," "),CHAR(13)," "))),"")))</f>
        <v/>
      </c>
      <c r="DT241">
        <f>IF($DM241=0,"",IF($L$12=0,"",IFERROR(IF(ISNUMBER(INDEX(PASTE_ALL,$DF241,$L$12)),INDEX(PASTE_ALL,$DF241,$L$12),TRIM(SUBSTITUTE(SUBSTITUTE(SUBSTITUTE(SUBSTITUTE(INDEX(PASTE_ALL,$DF241,$L$12)," "," "),CHAR(9)," "),CHAR(10)," "),CHAR(13)," "))),"")))</f>
        <v/>
      </c>
      <c r="DU241">
        <f>IF($DM241=0,"",IF($L$13=0,"",IFERROR(IF(ISNUMBER(INDEX(PASTE_ALL,$DF241,$L$13)),INDEX(PASTE_ALL,$DF241,$L$13),TRIM(SUBSTITUTE(SUBSTITUTE(SUBSTITUTE(SUBSTITUTE(INDEX(PASTE_ALL,$DF241,$L$13)," "," "),CHAR(9)," "),CHAR(10)," "),CHAR(13)," "))),"")))</f>
        <v/>
      </c>
      <c r="DV241">
        <f>IF($DM241=0,"",IF($L$14=0,"",IFERROR(IF(ISNUMBER(INDEX(PASTE_ALL,$DF241,$L$14)),INDEX(PASTE_ALL,$DF241,$L$14),TRIM(SUBSTITUTE(SUBSTITUTE(SUBSTITUTE(SUBSTITUTE(INDEX(PASTE_ALL,$DF241,$L$14)," "," "),CHAR(9)," "),CHAR(10)," "),CHAR(13)," "))),"")))</f>
        <v/>
      </c>
      <c r="DW241">
        <f>IF($DM241=0,"",IF($L$15=0,"",IFERROR(IF(ISNUMBER(INDEX(PASTE_ALL,$DF241,$L$15)),INDEX(PASTE_ALL,$DF241,$L$15),IF(SUMPRODUCT(--ISNUMBER(FIND({"A","B","C","D","E","F","G","H","I","J","K","L","M","N","O","P","Q","R","S","T","U","V","W","X","Y","Z","0","1","2","3","4","5","6","7","8","9"},UPPER(TRIM(SUBSTITUTE(SUBSTITUTE(SUBSTITUTE(SUBSTITUTE(INDEX(PASTE_ALL,$DF241,$L$15)," "," "),CHAR(9)," "),CHAR(10)," "),CHAR(13)," "))))))&gt;0,TRIM(SUBSTITUTE(SUBSTITUTE(SUBSTITUTE(SUBSTITUTE(INDEX(PASTE_ALL,$DF241,$L$15)," "," "),CHAR(9)," "),CHAR(10)," "),CHAR(13)," ")),"")),"")))</f>
        <v/>
      </c>
      <c r="DX241">
        <f>IF($DM241=0,"",IF($L$16=0,"",IFERROR(IF(ISNUMBER(INDEX(PASTE_ALL,$DF241,$L$16)),INDEX(PASTE_ALL,$DF241,$L$16),SUBSTITUTE(SUBSTITUTE(TRIM(SUBSTITUTE(SUBSTITUTE(SUBSTITUTE(SUBSTITUTE(INDEX(PASTE_ALL,$DF241,$L$16)," "," "),CHAR(9)," "),CHAR(10)," "),CHAR(13)," ")),",",""),"%","")),"")))</f>
        <v/>
      </c>
      <c r="DY241">
        <f>IF($DM241=0,"",IFERROR(IF(ISNUMBER($DX241),$DX241,IF($DX241="","",IF(TRIM($DX241)="",0,IF(AND(AND(SUBSTITUTE(SUBSTITUTE(SUBSTITUTE(SUBSTITUTE(SUBSTITUTE(SUBSTITUTE(SUBSTITUTE(SUBSTITUTE(SUBSTITUTE(SUBSTITUTE(SUBSTITUTE(SUBSTITUTE(SUBSTITUTE(SUBSTITUTE(UPPER(TRIM($DX241)),"0",""),"1",""),"2",""),"3",""),"4",""),"5",""),"6",""),"7",""),"8",""),"9",""),".",""),"+",""),"-",""),"E","")="",LEN(SUBSTITUTE(SUBSTITUTE(MID(UPPER(TRIM($DX241)),1+OR(LEFT(UPPER(TRIM($DX241)),1)="+",LEFT(UPPER(TRIM($DX241)),1)="-"),999),"E+","E"),"E-","E"))=LEN(SUBSTITUTE(SUBSTITUTE(SUBSTITUTE(SUBSTITUTE(MID(UPPER(TRIM($DX241)),1+OR(LEFT(UPPER(TRIM($DX241)),1)="+",LEFT(UPPER(TRIM($DX241)),1)="-"),999),"E+","E"),"E-","E"),"+",""),"-","")),LEN(UPPER(TRIM($DX241)))-LEN(SUBSTITUTE(UPPER(TRIM($DX241)),"E",""))&lt;2,LEN(UPPER(TRIM($DX241)))-LEN(SUBSTITUTE(UPPER(TRIM($DX241)),".",""))&lt;2,IFERROR(FIND(".",UPPER(TRIM($DX241))),0)&lt;IFERROR(FIND("E",UPPER(TRIM($DX241))),999)),ISNUMBER(VALUE(TRIM($DX241)))),VALUE(TRIM($DX241)),"")))),""))</f>
        <v/>
      </c>
      <c r="DZ241">
        <f>IF($DM241=0,"",IF($L$17=0,"",IFERROR(IF(ISNUMBER(INDEX(PASTE_ALL,$DF241,$L$17)),INDEX(PASTE_ALL,$DF241,$L$17),SUBSTITUTE(SUBSTITUTE(TRIM(SUBSTITUTE(SUBSTITUTE(SUBSTITUTE(SUBSTITUTE(INDEX(PASTE_ALL,$DF241,$L$17)," "," "),CHAR(9)," "),CHAR(10)," "),CHAR(13)," ")),",",""),"%","")),"")))</f>
        <v/>
      </c>
      <c r="EA241">
        <f>IF($DM241=0,"",IFERROR(IF(ISNUMBER($DZ241),$DZ241,IF($DZ241="","",IF(TRIM($DZ241)="",0,IF(AND(AND(SUBSTITUTE(SUBSTITUTE(SUBSTITUTE(SUBSTITUTE(SUBSTITUTE(SUBSTITUTE(SUBSTITUTE(SUBSTITUTE(SUBSTITUTE(SUBSTITUTE(SUBSTITUTE(SUBSTITUTE(SUBSTITUTE(SUBSTITUTE(UPPER(TRIM($DZ241)),"0",""),"1",""),"2",""),"3",""),"4",""),"5",""),"6",""),"7",""),"8",""),"9",""),".",""),"+",""),"-",""),"E","")="",LEN(SUBSTITUTE(SUBSTITUTE(MID(UPPER(TRIM($DZ241)),1+OR(LEFT(UPPER(TRIM($DZ241)),1)="+",LEFT(UPPER(TRIM($DZ241)),1)="-"),999),"E+","E"),"E-","E"))=LEN(SUBSTITUTE(SUBSTITUTE(SUBSTITUTE(SUBSTITUTE(MID(UPPER(TRIM($DZ241)),1+OR(LEFT(UPPER(TRIM($DZ241)),1)="+",LEFT(UPPER(TRIM($DZ241)),1)="-"),999),"E+","E"),"E-","E"),"+",""),"-","")),LEN(UPPER(TRIM($DZ241)))-LEN(SUBSTITUTE(UPPER(TRIM($DZ241)),"E",""))&lt;2,LEN(UPPER(TRIM($DZ241)))-LEN(SUBSTITUTE(UPPER(TRIM($DZ241)),".",""))&lt;2,IFERROR(FIND(".",UPPER(TRIM($DZ241))),0)&lt;IFERROR(FIND("E",UPPER(TRIM($DZ241))),999)),ISNUMBER(VALUE(TRIM($DZ241)))),VALUE(TRIM($DZ241)),"")))),""))</f>
        <v/>
      </c>
      <c r="EB241">
        <f>IF($DM241=0,"",IF($L$18=0,"",IFERROR(IF(UPPER(TRIM(SUBSTITUTE(SUBSTITUTE(SUBSTITUTE(SUBSTITUTE(INDEX(PASTE_ALL,$DF241,$L$18)," "," "),CHAR(9)," "),CHAR(10)," "),CHAR(13)," ")))="READY","Ready",IF(UPPER(TRIM(SUBSTITUTE(SUBSTITUTE(SUBSTITUTE(SUBSTITUTE(INDEX(PASTE_ALL,$DF241,$L$18)," "," "),CHAR(9)," "),CHAR(10)," "),CHAR(13)," ")))="PM","PM",IF(OR(UPPER(TRIM(SUBSTITUTE(SUBSTITUTE(SUBSTITUTE(SUBSTITUTE(INDEX(PASTE_ALL,$DF241,$L$18)," "," "),CHAR(9)," "),CHAR(10)," "),CHAR(13)," ")))="OT",UPPER(TRIM(SUBSTITUTE(SUBSTITUTE(SUBSTITUTE(SUBSTITUTE(INDEX(PASTE_ALL,$DF241,$L$18)," "," "),CHAR(9)," "),CHAR(10)," "),CHAR(13)," ")))="OVERTIME",UPPER(TRIM(SUBSTITUTE(SUBSTITUTE(SUBSTITUTE(SUBSTITUTE(INDEX(PASTE_ALL,$DF241,$L$18)," "," "),CHAR(9)," "),CHAR(10)," "),CHAR(13)," ")))="TRIAL"),"OT",TRIM(SUBSTITUTE(SUBSTITUTE(SUBSTITUTE(SUBSTITUTE(INDEX(PASTE_ALL,$DF241,$L$18)," "," "),CHAR(9)," "),CHAR(10)," "),CHAR(13)," "))))),"")))</f>
        <v/>
      </c>
      <c r="EC241">
        <f>IF($DM241=0,"",IF($L$19=0,"",IFERROR(IF(ISNUMBER(INDEX(PASTE_ALL,$DF241,$L$19)),INDEX(PASTE_ALL,$DF241,$L$19),TRIM(SUBSTITUTE(SUBSTITUTE(SUBSTITUTE(SUBSTITUTE(INDEX(PASTE_ALL,$DF241,$L$19)," "," "),CHAR(9)," "),CHAR(10)," "),CHAR(13)," "))),"")))</f>
        <v/>
      </c>
      <c r="ED241">
        <f>IF($DM241=0,"",MATCH(1,INDEX(EXACT($DH$5:DH241,$DH241)*$DM$5:DM241,0),0))</f>
        <v/>
      </c>
      <c r="EE241">
        <f>IF($DM241=0,0,IF($ED241=$DE241,1,0))</f>
        <v/>
      </c>
      <c r="EF241">
        <f>EF240+$EE241</f>
        <v/>
      </c>
      <c r="EG241">
        <f>IF($DM241=0,"",INDEX($EF$5:$EF$1003,$ED241))</f>
        <v/>
      </c>
      <c r="EH241">
        <f>IF($DM241=0,"",IF($DO241&lt;&gt;"","",IFERROR(LOOKUP(2,1/(($EG$4:EG240=$EG241)*($DO$4:DO240&lt;&gt;"")),$DO$4:DO240),"")))</f>
        <v/>
      </c>
      <c r="EI241">
        <f>IF($DM241=0,"",IF($DO241&lt;&gt;"",$DO241,$EH241))</f>
        <v/>
      </c>
      <c r="EJ241">
        <f>IF($DM241=0,"",IF($EI241="",0,IF(OR(ISNUMBER($EI241),AND(AND(SUBSTITUTE(SUBSTITUTE(SUBSTITUTE(SUBSTITUTE(SUBSTITUTE(SUBSTITUTE(SUBSTITUTE(SUBSTITUTE(SUBSTITUTE(SUBSTITUTE(SUBSTITUTE(SUBSTITUTE(SUBSTITUTE(SUBSTITUTE(UPPER($EI241),"0",""),"1",""),"2",""),"3",""),"4",""),"5",""),"6",""),"7",""),"8",""),"9",""),".",""),"+",""),"-",""),"E","")="",LEN(SUBSTITUTE(SUBSTITUTE(MID(UPPER($EI241),1+OR(LEFT(UPPER($EI241),1)="+",LEFT(UPPER($EI241),1)="-"),999),"E+","E"),"E-","E"))=LEN(SUBSTITUTE(SUBSTITUTE(SUBSTITUTE(SUBSTITUTE(MID(UPPER($EI241),1+OR(LEFT(UPPER($EI241),1)="+",LEFT(UPPER($EI241),1)="-"),999),"E+","E"),"E-","E"),"+",""),"-","")),LEN(UPPER($EI241))-LEN(SUBSTITUTE(UPPER($EI241),"E",""))&lt;2,LEN(UPPER($EI241))-LEN(SUBSTITUTE(UPPER($EI241),".",""))&lt;2,IFERROR(FIND(".",UPPER($EI241)),0)&lt;IFERROR(FIND("E",UPPER($EI241)),999)),ISNUMBER(VALUE($EI241)))),1,2)))</f>
        <v/>
      </c>
      <c r="EK241">
        <f>IF($DM241=0,"",IF($EJ241=1,IF(ISNUMBER($EI241),$EI241,VALUE($EI241)),IF($EJ241=2,$DE241,0)))</f>
        <v/>
      </c>
      <c r="EL241">
        <f>IF($DM241=0,"",COUNTIF($EG$5:$EG$1003,"&lt;"&amp;$EG241)+SUMPRODUCT(($EG$5:$EG$1003=$EG241)*(($EJ$5:$EJ$1003&lt;$EJ241)+($EJ$5:$EJ$1003=$EJ241)*(($EK$5:$EK$1003&lt;$EK241)+($EK$5:$EK$1003=$EK241)*($DE$5:$DE$1003&lt;$DE241))))+1)</f>
        <v/>
      </c>
      <c r="EM241">
        <f>IF($DM241=0,"",$EL241+$EG241-1)</f>
        <v/>
      </c>
      <c r="EN241">
        <f>IF($DM241=0,0,IFERROR(MATCH(1,INDEX(--(TRIM(SUBSTITUTE(SUBSTITUTE(SUBSTITUTE(SUBSTITUTE(LINES_NAME&amp;""," "," "),CHAR(9)," "),CHAR(10)," "),CHAR(13)," "))=$DH241),0),0),0))</f>
        <v/>
      </c>
      <c r="EO241">
        <f>IF($EN241=0,0,IF(OR(UPPER(TRIM(INDEX(LINES_SCHEDULED,$EN241)&amp;""))="YES",UPPER(TRIM(INDEX(LINES_SCHEDULED,$EN241)&amp;""))="Y",UPPER(TRIM(INDEX(LINES_SCHEDULED,$EN241)&amp;""))="X"),1,0))</f>
        <v/>
      </c>
      <c r="EP241">
        <f>IF($DM241=0,"",IF(COUNTIFS($EG$5:$EG$1003,$EG241,$EB$5:$EB$1003,"Ready")&gt;0,"READY",IF(COUNTIFS($EG$5:$EG$1003,$EG241,$EB$5:$EB$1003,"PM")&gt;0,"PM",IF(COUNTIFS($EG$5:$EG$1003,$EG241,$EB$5:$EB$1003,"OT")&gt;0,"OT",""))))</f>
        <v/>
      </c>
      <c r="EQ241">
        <f>IF($EN241=0,"",UPPER(TRIM(INDEX(LINES_STATUS,$EN241)&amp;"")))</f>
        <v/>
      </c>
      <c r="ER241">
        <f>IF($DM241=0,"",IF(OR($EQ241="READY",$EQ241="PM",$EQ241="OT"),$EQ241,$EP241))</f>
        <v/>
      </c>
      <c r="ES241">
        <f>IF($DM241=0,"",IF(AND($DV241&lt;&gt;"",UPPER($DV241)&lt;&gt;"N"),"allergen",IF(ISNUMBER(SEARCH("oil",$DQ241)),"oil",IF(OR(EXACT($DS241,"A662"),EXACT($DS241,"A624")),"bulk",""))))</f>
        <v/>
      </c>
      <c r="ET241">
        <f>IF($DM241=0,"",IF(OR($EA241="",$EA241=0),"",$EA241/100))</f>
        <v/>
      </c>
      <c r="EU241">
        <f>IF(OR($ET241="",$DY241=""),"",INT($DY241*(1-$ET241)+0.5))</f>
        <v/>
      </c>
      <c r="EW241" t="n">
        <v>237</v>
      </c>
      <c r="EX241">
        <f>IFERROR(MATCH($EW241,$EM$5:$EM$1003,0),0)</f>
        <v/>
      </c>
      <c r="EY241">
        <f>IF($EW241&gt;$B$12,"",IF($EX241&gt;0,"row","spacer"))</f>
        <v/>
      </c>
      <c r="EZ241">
        <f>IF(AND($EY241="row",$EY240&lt;&gt;"row"),1,0)</f>
        <v/>
      </c>
      <c r="FA241">
        <f>IF(AND($EY241="row",$EY242&lt;&gt;"row"),1,0)</f>
        <v/>
      </c>
      <c r="FB241">
        <f>IF($EZ241=1,IFERROR(IF(ISNUMBER(INDEX(PASTE_ALL,INDEX($DF$5:$DF$1003,$EX241),$B$37)),INDEX(PASTE_ALL,INDEX($DF$5:$DF$1003,$EX241),$B$37),INDEX($DH$5:$DH$1003,$EX241)),INDEX($DH$5:$DH$1003,$EX241)),"")</f>
        <v/>
      </c>
      <c r="FC241">
        <f>IF($EY241="row",INDEX($ER$5:$ER$1003,$EX241),"")</f>
        <v/>
      </c>
      <c r="FD241">
        <f>IF($EY241="row",INDEX($DN$5:$DN$1003,$EX241),"")</f>
        <v/>
      </c>
      <c r="FE241">
        <f>IF($EY241="row",INDEX($DO$5:$DO$1003,$EX241),"")</f>
        <v/>
      </c>
      <c r="FF241">
        <f>IF($EY241="row",INDEX($DP$5:$DP$1003,$EX241),"")</f>
        <v/>
      </c>
      <c r="FG241">
        <f>IF($EY241="row",INDEX($DQ$5:$DQ$1003,$EX241),"")</f>
        <v/>
      </c>
      <c r="FH241">
        <f>IF($EY241="row",INDEX($DR$5:$DR$1003,$EX241),"")</f>
        <v/>
      </c>
      <c r="FI241">
        <f>IF($EY241="row",INDEX($DS$5:$DS$1003,$EX241),"")</f>
        <v/>
      </c>
      <c r="FJ241">
        <f>IF($EY241="row",INDEX($DT$5:$DT$1003,$EX241),"")</f>
        <v/>
      </c>
      <c r="FK241">
        <f>IF($EY241="row",INDEX($DU$5:$DU$1003,$EX241),"")</f>
        <v/>
      </c>
      <c r="FL241">
        <f>IF($EY241="row",INDEX($DV$5:$DV$1003,$EX241),"")</f>
        <v/>
      </c>
      <c r="FM241">
        <f>IF($EY241="row",INDEX($DW$5:$DW$1003,$EX241),"")</f>
        <v/>
      </c>
      <c r="FN241">
        <f>IF($EY241="row",INDEX($DY$5:$DY$1003,$EX241),"")</f>
        <v/>
      </c>
      <c r="FO241">
        <f>IF($EY241="row",INDEX($EA$5:$EA$1003,$EX241),"")</f>
        <v/>
      </c>
      <c r="FP241">
        <f>IF($EY241="row",INDEX($EC$5:$EC$1003,$EX241),"")</f>
        <v/>
      </c>
      <c r="FQ241">
        <f>IF($EY241="row",INDEX($ET$5:$ET$1003,$EX241),"")</f>
        <v/>
      </c>
      <c r="FR241">
        <f>IF($EY241="row",INDEX($EU$5:$EU$1003,$EX241),"")</f>
        <v/>
      </c>
      <c r="FS241">
        <f>IF(AND($EY241="row",$EY240="row"),IF(OR(INDEX($DT$5:$DT$1003,$EX240)="",INDEX($DT$5:$DT$1003,$EX241)=""),"",IF(NOT(EXACT(INDEX($DT$5:$DT$1003,$EX240),INDEX($DT$5:$DT$1003,$EX241))),"S4",IF(NOT(EXACT(INDEX($DS$5:$DS$1003,$EX240),INDEX($DS$5:$DS$1003,$EX241))),"S3",IF(NOT(EXACT(INDEX($DR$5:$DR$1003,$EX240),INDEX($DR$5:$DR$1003,$EX241))),"S1 Count Change","S1")))),"")</f>
        <v/>
      </c>
      <c r="FT241">
        <f>IF($EY241="row",INDEX($ES$5:$ES$1003,$EX241),"")</f>
        <v/>
      </c>
      <c r="FU241">
        <f>IF($EY241="row",INDEX($EO$5:$EO$1003,$EX241),0)</f>
        <v/>
      </c>
      <c r="FV241">
        <f>IF($FS241="S1 Count Change",1,0)</f>
        <v/>
      </c>
    </row>
    <row r="242">
      <c r="DA242" t="n">
        <v>238</v>
      </c>
      <c r="DB242">
        <f>IF($B$37=0,"",IFERROR(TRIM(SUBSTITUTE(SUBSTITUTE(SUBSTITUTE(SUBSTITUTE(INDEX(PASTE_ALL,238,$B$37)," "," "),CHAR(9)," "),CHAR(10)," "),CHAR(13)," ")),""))</f>
        <v/>
      </c>
      <c r="DC242">
        <f>IF(AND(238&gt;HEADER_ROW,UPPER(DB242)="LEGEND"),1,0)</f>
        <v/>
      </c>
      <c r="DE242" t="n">
        <v>238</v>
      </c>
      <c r="DF242">
        <f>HEADER_ROW+$DE242</f>
        <v/>
      </c>
      <c r="DG242">
        <f>IF(AND($DF242&lt;=1000,$DF242&lt;$B$8),1,0)</f>
        <v/>
      </c>
      <c r="DH242">
        <f>IF($DG242=1,IFERROR(INDEX($DB$5:$DB$1004,$DF242),""),"")</f>
        <v/>
      </c>
      <c r="DI242">
        <f>IF(AND($DG242=1,$DH242&lt;&gt;""),IFERROR(SUBSTITUTE(SUBSTITUTE(TRIM(SUBSTITUTE(SUBSTITUTE(SUBSTITUTE(SUBSTITUTE(IFERROR(INDEX(PASTE_ALL,$DF242,1)&amp;"","")&amp;"␟"&amp;IFERROR(INDEX(PASTE_ALL,$DF242,2)&amp;"","")&amp;"␟"&amp;IFERROR(INDEX(PASTE_ALL,$DF242,3)&amp;"","")&amp;"␟"&amp;IFERROR(INDEX(PASTE_ALL,$DF242,4)&amp;"","")&amp;"␟"&amp;IFERROR(INDEX(PASTE_ALL,$DF242,5)&amp;"","")&amp;"␟"&amp;IFERROR(INDEX(PASTE_ALL,$DF242,6)&amp;"","")&amp;"␟"&amp;IFERROR(INDEX(PASTE_ALL,$DF242,7)&amp;"","")&amp;"␟"&amp;IFERROR(INDEX(PASTE_ALL,$DF242,8)&amp;"","")&amp;"␟"&amp;IFERROR(INDEX(PASTE_ALL,$DF242,9)&amp;"","")&amp;"␟"&amp;IFERROR(INDEX(PASTE_ALL,$DF242,10)&amp;"","")&amp;"␟"&amp;IFERROR(INDEX(PASTE_ALL,$DF242,11)&amp;"","")&amp;"␟"&amp;IFERROR(INDEX(PASTE_ALL,$DF242,12)&amp;"","")&amp;"␟"&amp;IFERROR(INDEX(PASTE_ALL,$DF242,13)&amp;"","")&amp;"␟"&amp;IFERROR(INDEX(PASTE_ALL,$DF242,14)&amp;"","")&amp;"␟"&amp;IFERROR(INDEX(PASTE_ALL,$DF242,15)&amp;"","")&amp;"␟"&amp;IFERROR(INDEX(PASTE_ALL,$DF242,16)&amp;"","")&amp;"␟"&amp;IFERROR(INDEX(PASTE_ALL,$DF242,17)&amp;"","")&amp;"␟"&amp;IFERROR(INDEX(PASTE_ALL,$DF242,18)&amp;"","")&amp;"␟"&amp;IFERROR(INDEX(PASTE_ALL,$DF242,19)&amp;"","")&amp;"␟"&amp;IFERROR(INDEX(PASTE_ALL,$DF242,20)&amp;"","")&amp;"␟"&amp;IFERROR(INDEX(PASTE_ALL,$DF242,21)&amp;"","")&amp;"␟"&amp;IFERROR(INDEX(PASTE_ALL,$DF242,22)&amp;"","")&amp;"␟"&amp;IFERROR(INDEX(PASTE_ALL,$DF242,23)&amp;"","")&amp;"␟"&amp;IFERROR(INDEX(PASTE_ALL,$DF242,24)&amp;"","")&amp;"␟"&amp;IFERROR(INDEX(PASTE_ALL,$DF242,25)&amp;"","")&amp;"␟"&amp;IFERROR(INDEX(PASTE_ALL,$DF242,26)&amp;"","")&amp;"␟"&amp;IFERROR(INDEX(PASTE_ALL,$DF242,27)&amp;"","")&amp;"␟"&amp;IFERROR(INDEX(PASTE_ALL,$DF242,28)&amp;"","")&amp;"␟"&amp;IFERROR(INDEX(PASTE_ALL,$DF242,29)&amp;"","")&amp;"␟"&amp;IFERROR(INDEX(PASTE_ALL,$DF242,30)&amp;"","")&amp;"␟"&amp;IFERROR(INDEX(PASTE_ALL,$DF242,31)&amp;"","")&amp;"␟"&amp;IFERROR(INDEX(PASTE_ALL,$DF242,32)&amp;"","")&amp;"␟"&amp;IFERROR(INDEX(PASTE_ALL,$DF242,33)&amp;"","")&amp;"␟"&amp;IFERROR(INDEX(PASTE_ALL,$DF242,34)&amp;"","")&amp;"␟"&amp;IFERROR(INDEX(PASTE_ALL,$DF242,35)&amp;"","")&amp;"␟"&amp;IFERROR(INDEX(PASTE_ALL,$DF242,36)&amp;"","")&amp;"␟"&amp;IFERROR(INDEX(PASTE_ALL,$DF242,37)&amp;"","")&amp;"␟"&amp;IFERROR(INDEX(PASTE_ALL,$DF242,38)&amp;"","")&amp;"␟"&amp;IFERROR(INDEX(PASTE_ALL,$DF242,39)&amp;"","")&amp;"␟"&amp;IFERROR(INDEX(PASTE_ALL,$DF242,40)&amp;"","")&amp;"␟"&amp;IFERROR(INDEX(PASTE_ALL,$DF242,41)&amp;"","")&amp;"␟"&amp;IFERROR(INDEX(PASTE_ALL,$DF242,42)&amp;"","")&amp;"␟"&amp;IFERROR(INDEX(PASTE_ALL,$DF242,43)&amp;"","")&amp;"␟"&amp;IFERROR(INDEX(PASTE_ALL,$DF242,44)&amp;"","")&amp;"␟"&amp;IFERROR(INDEX(PASTE_ALL,$DF242,45)&amp;"","")&amp;"␟"&amp;IFERROR(INDEX(PASTE_ALL,$DF242,46)&amp;"","")&amp;"␟"&amp;IFERROR(INDEX(PASTE_ALL,$DF242,47)&amp;"","")&amp;"␟"&amp;IFERROR(INDEX(PASTE_ALL,$DF242,48)&amp;"","")&amp;"␟"&amp;IFERROR(INDEX(PASTE_ALL,$DF242,49)&amp;"","")&amp;"␟"&amp;IFERROR(INDEX(PASTE_ALL,$DF242,50)&amp;"","")&amp;"␟"&amp;IFERROR(INDEX(PASTE_ALL,$DF242,51)&amp;"","")&amp;"␟"&amp;IFERROR(INDEX(PASTE_ALL,$DF242,52)&amp;"","")&amp;"␟"&amp;IFERROR(INDEX(PASTE_ALL,$DF242,53)&amp;"","")&amp;"␟"&amp;IFERROR(INDEX(PASTE_ALL,$DF242,54)&amp;"","")&amp;"␟"&amp;IFERROR(INDEX(PASTE_ALL,$DF242,55)&amp;"","")&amp;"␟"&amp;IFERROR(INDEX(PASTE_ALL,$DF242,56)&amp;"","")&amp;"␟"&amp;IFERROR(INDEX(PASTE_ALL,$DF242,57)&amp;"","")&amp;"␟"&amp;IFERROR(INDEX(PASTE_ALL,$DF242,58)&amp;"","")&amp;"␟"&amp;IFERROR(INDEX(PASTE_ALL,$DF242,59)&amp;"","")&amp;"␟"&amp;IFERROR(INDEX(PASTE_ALL,$DF242,60)&amp;"","")," "," "),CHAR(9)," "),CHAR(10)," "),CHAR(13)," "))," ␟","␟"),"␟ ","␟"),"#"&amp;$DE242),"")</f>
        <v/>
      </c>
      <c r="DJ242">
        <f>IF($DI242="",0,IF(SUMPRODUCT(--EXACT($DI$4:DI241,$DI242))&gt;0,1,0))</f>
        <v/>
      </c>
      <c r="DK242">
        <f>IF(AND($DI242&lt;&gt;"",$DJ242=0),1,0)</f>
        <v/>
      </c>
      <c r="DL242">
        <f>DL241+$DK242</f>
        <v/>
      </c>
      <c r="DM242">
        <f>IF(AND($DK242=1,$DL242&lt;=600),1,0)</f>
        <v/>
      </c>
      <c r="DN242">
        <f>IF($DM242=0,"",IF($L$6=0,"",IFERROR(IF(ISNUMBER(INDEX(PASTE_ALL,$DF242,$L$6)),INDEX(PASTE_ALL,$DF242,$L$6),TRIM(SUBSTITUTE(SUBSTITUTE(SUBSTITUTE(SUBSTITUTE(INDEX(PASTE_ALL,$DF242,$L$6)," "," "),CHAR(9)," "),CHAR(10)," "),CHAR(13)," "))),"")))</f>
        <v/>
      </c>
      <c r="DO242">
        <f>IF($DM242=0,"",IF($L$7=0,"",IFERROR(IF(ISNUMBER(INDEX(PASTE_ALL,$DF242,$L$7)),INDEX(PASTE_ALL,$DF242,$L$7),TRIM(SUBSTITUTE(SUBSTITUTE(SUBSTITUTE(SUBSTITUTE(INDEX(PASTE_ALL,$DF242,$L$7)," "," "),CHAR(9)," "),CHAR(10)," "),CHAR(13)," "))),"")))</f>
        <v/>
      </c>
      <c r="DP242">
        <f>IF($DM242=0,"",IF($L$8=0,"",IFERROR(IF(ISNUMBER(INDEX(PASTE_ALL,$DF242,$L$8)),INDEX(PASTE_ALL,$DF242,$L$8),TRIM(SUBSTITUTE(SUBSTITUTE(SUBSTITUTE(SUBSTITUTE(INDEX(PASTE_ALL,$DF242,$L$8)," "," "),CHAR(9)," "),CHAR(10)," "),CHAR(13)," "))),"")))</f>
        <v/>
      </c>
      <c r="DQ242">
        <f>IF($DM242=0,"",IF($L$9=0,"",IFERROR(IF(ISNUMBER(INDEX(PASTE_ALL,$DF242,$L$9)),INDEX(PASTE_ALL,$DF242,$L$9),TRIM(SUBSTITUTE(SUBSTITUTE(SUBSTITUTE(SUBSTITUTE(INDEX(PASTE_ALL,$DF242,$L$9)," "," "),CHAR(9)," "),CHAR(10)," "),CHAR(13)," "))),"")))</f>
        <v/>
      </c>
      <c r="DR242">
        <f>IF($DM242=0,"",IF($L$10=0,"",IFERROR(IF(ISNUMBER(INDEX(PASTE_ALL,$DF242,$L$10)),INDEX(PASTE_ALL,$DF242,$L$10),TRIM(SUBSTITUTE(SUBSTITUTE(SUBSTITUTE(SUBSTITUTE(INDEX(PASTE_ALL,$DF242,$L$10)," "," "),CHAR(9)," "),CHAR(10)," "),CHAR(13)," "))),"")))</f>
        <v/>
      </c>
      <c r="DS242">
        <f>IF($DM242=0,"",IF($L$11=0,"",IFERROR(IF(ISNUMBER(INDEX(PASTE_ALL,$DF242,$L$11)),INDEX(PASTE_ALL,$DF242,$L$11),TRIM(SUBSTITUTE(SUBSTITUTE(SUBSTITUTE(SUBSTITUTE(INDEX(PASTE_ALL,$DF242,$L$11)," "," "),CHAR(9)," "),CHAR(10)," "),CHAR(13)," "))),"")))</f>
        <v/>
      </c>
      <c r="DT242">
        <f>IF($DM242=0,"",IF($L$12=0,"",IFERROR(IF(ISNUMBER(INDEX(PASTE_ALL,$DF242,$L$12)),INDEX(PASTE_ALL,$DF242,$L$12),TRIM(SUBSTITUTE(SUBSTITUTE(SUBSTITUTE(SUBSTITUTE(INDEX(PASTE_ALL,$DF242,$L$12)," "," "),CHAR(9)," "),CHAR(10)," "),CHAR(13)," "))),"")))</f>
        <v/>
      </c>
      <c r="DU242">
        <f>IF($DM242=0,"",IF($L$13=0,"",IFERROR(IF(ISNUMBER(INDEX(PASTE_ALL,$DF242,$L$13)),INDEX(PASTE_ALL,$DF242,$L$13),TRIM(SUBSTITUTE(SUBSTITUTE(SUBSTITUTE(SUBSTITUTE(INDEX(PASTE_ALL,$DF242,$L$13)," "," "),CHAR(9)," "),CHAR(10)," "),CHAR(13)," "))),"")))</f>
        <v/>
      </c>
      <c r="DV242">
        <f>IF($DM242=0,"",IF($L$14=0,"",IFERROR(IF(ISNUMBER(INDEX(PASTE_ALL,$DF242,$L$14)),INDEX(PASTE_ALL,$DF242,$L$14),TRIM(SUBSTITUTE(SUBSTITUTE(SUBSTITUTE(SUBSTITUTE(INDEX(PASTE_ALL,$DF242,$L$14)," "," "),CHAR(9)," "),CHAR(10)," "),CHAR(13)," "))),"")))</f>
        <v/>
      </c>
      <c r="DW242">
        <f>IF($DM242=0,"",IF($L$15=0,"",IFERROR(IF(ISNUMBER(INDEX(PASTE_ALL,$DF242,$L$15)),INDEX(PASTE_ALL,$DF242,$L$15),IF(SUMPRODUCT(--ISNUMBER(FIND({"A","B","C","D","E","F","G","H","I","J","K","L","M","N","O","P","Q","R","S","T","U","V","W","X","Y","Z","0","1","2","3","4","5","6","7","8","9"},UPPER(TRIM(SUBSTITUTE(SUBSTITUTE(SUBSTITUTE(SUBSTITUTE(INDEX(PASTE_ALL,$DF242,$L$15)," "," "),CHAR(9)," "),CHAR(10)," "),CHAR(13)," "))))))&gt;0,TRIM(SUBSTITUTE(SUBSTITUTE(SUBSTITUTE(SUBSTITUTE(INDEX(PASTE_ALL,$DF242,$L$15)," "," "),CHAR(9)," "),CHAR(10)," "),CHAR(13)," ")),"")),"")))</f>
        <v/>
      </c>
      <c r="DX242">
        <f>IF($DM242=0,"",IF($L$16=0,"",IFERROR(IF(ISNUMBER(INDEX(PASTE_ALL,$DF242,$L$16)),INDEX(PASTE_ALL,$DF242,$L$16),SUBSTITUTE(SUBSTITUTE(TRIM(SUBSTITUTE(SUBSTITUTE(SUBSTITUTE(SUBSTITUTE(INDEX(PASTE_ALL,$DF242,$L$16)," "," "),CHAR(9)," "),CHAR(10)," "),CHAR(13)," ")),",",""),"%","")),"")))</f>
        <v/>
      </c>
      <c r="DY242">
        <f>IF($DM242=0,"",IFERROR(IF(ISNUMBER($DX242),$DX242,IF($DX242="","",IF(TRIM($DX242)="",0,IF(AND(AND(SUBSTITUTE(SUBSTITUTE(SUBSTITUTE(SUBSTITUTE(SUBSTITUTE(SUBSTITUTE(SUBSTITUTE(SUBSTITUTE(SUBSTITUTE(SUBSTITUTE(SUBSTITUTE(SUBSTITUTE(SUBSTITUTE(SUBSTITUTE(UPPER(TRIM($DX242)),"0",""),"1",""),"2",""),"3",""),"4",""),"5",""),"6",""),"7",""),"8",""),"9",""),".",""),"+",""),"-",""),"E","")="",LEN(SUBSTITUTE(SUBSTITUTE(MID(UPPER(TRIM($DX242)),1+OR(LEFT(UPPER(TRIM($DX242)),1)="+",LEFT(UPPER(TRIM($DX242)),1)="-"),999),"E+","E"),"E-","E"))=LEN(SUBSTITUTE(SUBSTITUTE(SUBSTITUTE(SUBSTITUTE(MID(UPPER(TRIM($DX242)),1+OR(LEFT(UPPER(TRIM($DX242)),1)="+",LEFT(UPPER(TRIM($DX242)),1)="-"),999),"E+","E"),"E-","E"),"+",""),"-","")),LEN(UPPER(TRIM($DX242)))-LEN(SUBSTITUTE(UPPER(TRIM($DX242)),"E",""))&lt;2,LEN(UPPER(TRIM($DX242)))-LEN(SUBSTITUTE(UPPER(TRIM($DX242)),".",""))&lt;2,IFERROR(FIND(".",UPPER(TRIM($DX242))),0)&lt;IFERROR(FIND("E",UPPER(TRIM($DX242))),999)),ISNUMBER(VALUE(TRIM($DX242)))),VALUE(TRIM($DX242)),"")))),""))</f>
        <v/>
      </c>
      <c r="DZ242">
        <f>IF($DM242=0,"",IF($L$17=0,"",IFERROR(IF(ISNUMBER(INDEX(PASTE_ALL,$DF242,$L$17)),INDEX(PASTE_ALL,$DF242,$L$17),SUBSTITUTE(SUBSTITUTE(TRIM(SUBSTITUTE(SUBSTITUTE(SUBSTITUTE(SUBSTITUTE(INDEX(PASTE_ALL,$DF242,$L$17)," "," "),CHAR(9)," "),CHAR(10)," "),CHAR(13)," ")),",",""),"%","")),"")))</f>
        <v/>
      </c>
      <c r="EA242">
        <f>IF($DM242=0,"",IFERROR(IF(ISNUMBER($DZ242),$DZ242,IF($DZ242="","",IF(TRIM($DZ242)="",0,IF(AND(AND(SUBSTITUTE(SUBSTITUTE(SUBSTITUTE(SUBSTITUTE(SUBSTITUTE(SUBSTITUTE(SUBSTITUTE(SUBSTITUTE(SUBSTITUTE(SUBSTITUTE(SUBSTITUTE(SUBSTITUTE(SUBSTITUTE(SUBSTITUTE(UPPER(TRIM($DZ242)),"0",""),"1",""),"2",""),"3",""),"4",""),"5",""),"6",""),"7",""),"8",""),"9",""),".",""),"+",""),"-",""),"E","")="",LEN(SUBSTITUTE(SUBSTITUTE(MID(UPPER(TRIM($DZ242)),1+OR(LEFT(UPPER(TRIM($DZ242)),1)="+",LEFT(UPPER(TRIM($DZ242)),1)="-"),999),"E+","E"),"E-","E"))=LEN(SUBSTITUTE(SUBSTITUTE(SUBSTITUTE(SUBSTITUTE(MID(UPPER(TRIM($DZ242)),1+OR(LEFT(UPPER(TRIM($DZ242)),1)="+",LEFT(UPPER(TRIM($DZ242)),1)="-"),999),"E+","E"),"E-","E"),"+",""),"-","")),LEN(UPPER(TRIM($DZ242)))-LEN(SUBSTITUTE(UPPER(TRIM($DZ242)),"E",""))&lt;2,LEN(UPPER(TRIM($DZ242)))-LEN(SUBSTITUTE(UPPER(TRIM($DZ242)),".",""))&lt;2,IFERROR(FIND(".",UPPER(TRIM($DZ242))),0)&lt;IFERROR(FIND("E",UPPER(TRIM($DZ242))),999)),ISNUMBER(VALUE(TRIM($DZ242)))),VALUE(TRIM($DZ242)),"")))),""))</f>
        <v/>
      </c>
      <c r="EB242">
        <f>IF($DM242=0,"",IF($L$18=0,"",IFERROR(IF(UPPER(TRIM(SUBSTITUTE(SUBSTITUTE(SUBSTITUTE(SUBSTITUTE(INDEX(PASTE_ALL,$DF242,$L$18)," "," "),CHAR(9)," "),CHAR(10)," "),CHAR(13)," ")))="READY","Ready",IF(UPPER(TRIM(SUBSTITUTE(SUBSTITUTE(SUBSTITUTE(SUBSTITUTE(INDEX(PASTE_ALL,$DF242,$L$18)," "," "),CHAR(9)," "),CHAR(10)," "),CHAR(13)," ")))="PM","PM",IF(OR(UPPER(TRIM(SUBSTITUTE(SUBSTITUTE(SUBSTITUTE(SUBSTITUTE(INDEX(PASTE_ALL,$DF242,$L$18)," "," "),CHAR(9)," "),CHAR(10)," "),CHAR(13)," ")))="OT",UPPER(TRIM(SUBSTITUTE(SUBSTITUTE(SUBSTITUTE(SUBSTITUTE(INDEX(PASTE_ALL,$DF242,$L$18)," "," "),CHAR(9)," "),CHAR(10)," "),CHAR(13)," ")))="OVERTIME",UPPER(TRIM(SUBSTITUTE(SUBSTITUTE(SUBSTITUTE(SUBSTITUTE(INDEX(PASTE_ALL,$DF242,$L$18)," "," "),CHAR(9)," "),CHAR(10)," "),CHAR(13)," ")))="TRIAL"),"OT",TRIM(SUBSTITUTE(SUBSTITUTE(SUBSTITUTE(SUBSTITUTE(INDEX(PASTE_ALL,$DF242,$L$18)," "," "),CHAR(9)," "),CHAR(10)," "),CHAR(13)," "))))),"")))</f>
        <v/>
      </c>
      <c r="EC242">
        <f>IF($DM242=0,"",IF($L$19=0,"",IFERROR(IF(ISNUMBER(INDEX(PASTE_ALL,$DF242,$L$19)),INDEX(PASTE_ALL,$DF242,$L$19),TRIM(SUBSTITUTE(SUBSTITUTE(SUBSTITUTE(SUBSTITUTE(INDEX(PASTE_ALL,$DF242,$L$19)," "," "),CHAR(9)," "),CHAR(10)," "),CHAR(13)," "))),"")))</f>
        <v/>
      </c>
      <c r="ED242">
        <f>IF($DM242=0,"",MATCH(1,INDEX(EXACT($DH$5:DH242,$DH242)*$DM$5:DM242,0),0))</f>
        <v/>
      </c>
      <c r="EE242">
        <f>IF($DM242=0,0,IF($ED242=$DE242,1,0))</f>
        <v/>
      </c>
      <c r="EF242">
        <f>EF241+$EE242</f>
        <v/>
      </c>
      <c r="EG242">
        <f>IF($DM242=0,"",INDEX($EF$5:$EF$1003,$ED242))</f>
        <v/>
      </c>
      <c r="EH242">
        <f>IF($DM242=0,"",IF($DO242&lt;&gt;"","",IFERROR(LOOKUP(2,1/(($EG$4:EG241=$EG242)*($DO$4:DO241&lt;&gt;"")),$DO$4:DO241),"")))</f>
        <v/>
      </c>
      <c r="EI242">
        <f>IF($DM242=0,"",IF($DO242&lt;&gt;"",$DO242,$EH242))</f>
        <v/>
      </c>
      <c r="EJ242">
        <f>IF($DM242=0,"",IF($EI242="",0,IF(OR(ISNUMBER($EI242),AND(AND(SUBSTITUTE(SUBSTITUTE(SUBSTITUTE(SUBSTITUTE(SUBSTITUTE(SUBSTITUTE(SUBSTITUTE(SUBSTITUTE(SUBSTITUTE(SUBSTITUTE(SUBSTITUTE(SUBSTITUTE(SUBSTITUTE(SUBSTITUTE(UPPER($EI242),"0",""),"1",""),"2",""),"3",""),"4",""),"5",""),"6",""),"7",""),"8",""),"9",""),".",""),"+",""),"-",""),"E","")="",LEN(SUBSTITUTE(SUBSTITUTE(MID(UPPER($EI242),1+OR(LEFT(UPPER($EI242),1)="+",LEFT(UPPER($EI242),1)="-"),999),"E+","E"),"E-","E"))=LEN(SUBSTITUTE(SUBSTITUTE(SUBSTITUTE(SUBSTITUTE(MID(UPPER($EI242),1+OR(LEFT(UPPER($EI242),1)="+",LEFT(UPPER($EI242),1)="-"),999),"E+","E"),"E-","E"),"+",""),"-","")),LEN(UPPER($EI242))-LEN(SUBSTITUTE(UPPER($EI242),"E",""))&lt;2,LEN(UPPER($EI242))-LEN(SUBSTITUTE(UPPER($EI242),".",""))&lt;2,IFERROR(FIND(".",UPPER($EI242)),0)&lt;IFERROR(FIND("E",UPPER($EI242)),999)),ISNUMBER(VALUE($EI242)))),1,2)))</f>
        <v/>
      </c>
      <c r="EK242">
        <f>IF($DM242=0,"",IF($EJ242=1,IF(ISNUMBER($EI242),$EI242,VALUE($EI242)),IF($EJ242=2,$DE242,0)))</f>
        <v/>
      </c>
      <c r="EL242">
        <f>IF($DM242=0,"",COUNTIF($EG$5:$EG$1003,"&lt;"&amp;$EG242)+SUMPRODUCT(($EG$5:$EG$1003=$EG242)*(($EJ$5:$EJ$1003&lt;$EJ242)+($EJ$5:$EJ$1003=$EJ242)*(($EK$5:$EK$1003&lt;$EK242)+($EK$5:$EK$1003=$EK242)*($DE$5:$DE$1003&lt;$DE242))))+1)</f>
        <v/>
      </c>
      <c r="EM242">
        <f>IF($DM242=0,"",$EL242+$EG242-1)</f>
        <v/>
      </c>
      <c r="EN242">
        <f>IF($DM242=0,0,IFERROR(MATCH(1,INDEX(--(TRIM(SUBSTITUTE(SUBSTITUTE(SUBSTITUTE(SUBSTITUTE(LINES_NAME&amp;""," "," "),CHAR(9)," "),CHAR(10)," "),CHAR(13)," "))=$DH242),0),0),0))</f>
        <v/>
      </c>
      <c r="EO242">
        <f>IF($EN242=0,0,IF(OR(UPPER(TRIM(INDEX(LINES_SCHEDULED,$EN242)&amp;""))="YES",UPPER(TRIM(INDEX(LINES_SCHEDULED,$EN242)&amp;""))="Y",UPPER(TRIM(INDEX(LINES_SCHEDULED,$EN242)&amp;""))="X"),1,0))</f>
        <v/>
      </c>
      <c r="EP242">
        <f>IF($DM242=0,"",IF(COUNTIFS($EG$5:$EG$1003,$EG242,$EB$5:$EB$1003,"Ready")&gt;0,"READY",IF(COUNTIFS($EG$5:$EG$1003,$EG242,$EB$5:$EB$1003,"PM")&gt;0,"PM",IF(COUNTIFS($EG$5:$EG$1003,$EG242,$EB$5:$EB$1003,"OT")&gt;0,"OT",""))))</f>
        <v/>
      </c>
      <c r="EQ242">
        <f>IF($EN242=0,"",UPPER(TRIM(INDEX(LINES_STATUS,$EN242)&amp;"")))</f>
        <v/>
      </c>
      <c r="ER242">
        <f>IF($DM242=0,"",IF(OR($EQ242="READY",$EQ242="PM",$EQ242="OT"),$EQ242,$EP242))</f>
        <v/>
      </c>
      <c r="ES242">
        <f>IF($DM242=0,"",IF(AND($DV242&lt;&gt;"",UPPER($DV242)&lt;&gt;"N"),"allergen",IF(ISNUMBER(SEARCH("oil",$DQ242)),"oil",IF(OR(EXACT($DS242,"A662"),EXACT($DS242,"A624")),"bulk",""))))</f>
        <v/>
      </c>
      <c r="ET242">
        <f>IF($DM242=0,"",IF(OR($EA242="",$EA242=0),"",$EA242/100))</f>
        <v/>
      </c>
      <c r="EU242">
        <f>IF(OR($ET242="",$DY242=""),"",INT($DY242*(1-$ET242)+0.5))</f>
        <v/>
      </c>
      <c r="EW242" t="n">
        <v>238</v>
      </c>
      <c r="EX242">
        <f>IFERROR(MATCH($EW242,$EM$5:$EM$1003,0),0)</f>
        <v/>
      </c>
      <c r="EY242">
        <f>IF($EW242&gt;$B$12,"",IF($EX242&gt;0,"row","spacer"))</f>
        <v/>
      </c>
      <c r="EZ242">
        <f>IF(AND($EY242="row",$EY241&lt;&gt;"row"),1,0)</f>
        <v/>
      </c>
      <c r="FA242">
        <f>IF(AND($EY242="row",$EY243&lt;&gt;"row"),1,0)</f>
        <v/>
      </c>
      <c r="FB242">
        <f>IF($EZ242=1,IFERROR(IF(ISNUMBER(INDEX(PASTE_ALL,INDEX($DF$5:$DF$1003,$EX242),$B$37)),INDEX(PASTE_ALL,INDEX($DF$5:$DF$1003,$EX242),$B$37),INDEX($DH$5:$DH$1003,$EX242)),INDEX($DH$5:$DH$1003,$EX242)),"")</f>
        <v/>
      </c>
      <c r="FC242">
        <f>IF($EY242="row",INDEX($ER$5:$ER$1003,$EX242),"")</f>
        <v/>
      </c>
      <c r="FD242">
        <f>IF($EY242="row",INDEX($DN$5:$DN$1003,$EX242),"")</f>
        <v/>
      </c>
      <c r="FE242">
        <f>IF($EY242="row",INDEX($DO$5:$DO$1003,$EX242),"")</f>
        <v/>
      </c>
      <c r="FF242">
        <f>IF($EY242="row",INDEX($DP$5:$DP$1003,$EX242),"")</f>
        <v/>
      </c>
      <c r="FG242">
        <f>IF($EY242="row",INDEX($DQ$5:$DQ$1003,$EX242),"")</f>
        <v/>
      </c>
      <c r="FH242">
        <f>IF($EY242="row",INDEX($DR$5:$DR$1003,$EX242),"")</f>
        <v/>
      </c>
      <c r="FI242">
        <f>IF($EY242="row",INDEX($DS$5:$DS$1003,$EX242),"")</f>
        <v/>
      </c>
      <c r="FJ242">
        <f>IF($EY242="row",INDEX($DT$5:$DT$1003,$EX242),"")</f>
        <v/>
      </c>
      <c r="FK242">
        <f>IF($EY242="row",INDEX($DU$5:$DU$1003,$EX242),"")</f>
        <v/>
      </c>
      <c r="FL242">
        <f>IF($EY242="row",INDEX($DV$5:$DV$1003,$EX242),"")</f>
        <v/>
      </c>
      <c r="FM242">
        <f>IF($EY242="row",INDEX($DW$5:$DW$1003,$EX242),"")</f>
        <v/>
      </c>
      <c r="FN242">
        <f>IF($EY242="row",INDEX($DY$5:$DY$1003,$EX242),"")</f>
        <v/>
      </c>
      <c r="FO242">
        <f>IF($EY242="row",INDEX($EA$5:$EA$1003,$EX242),"")</f>
        <v/>
      </c>
      <c r="FP242">
        <f>IF($EY242="row",INDEX($EC$5:$EC$1003,$EX242),"")</f>
        <v/>
      </c>
      <c r="FQ242">
        <f>IF($EY242="row",INDEX($ET$5:$ET$1003,$EX242),"")</f>
        <v/>
      </c>
      <c r="FR242">
        <f>IF($EY242="row",INDEX($EU$5:$EU$1003,$EX242),"")</f>
        <v/>
      </c>
      <c r="FS242">
        <f>IF(AND($EY242="row",$EY241="row"),IF(OR(INDEX($DT$5:$DT$1003,$EX241)="",INDEX($DT$5:$DT$1003,$EX242)=""),"",IF(NOT(EXACT(INDEX($DT$5:$DT$1003,$EX241),INDEX($DT$5:$DT$1003,$EX242))),"S4",IF(NOT(EXACT(INDEX($DS$5:$DS$1003,$EX241),INDEX($DS$5:$DS$1003,$EX242))),"S3",IF(NOT(EXACT(INDEX($DR$5:$DR$1003,$EX241),INDEX($DR$5:$DR$1003,$EX242))),"S1 Count Change","S1")))),"")</f>
        <v/>
      </c>
      <c r="FT242">
        <f>IF($EY242="row",INDEX($ES$5:$ES$1003,$EX242),"")</f>
        <v/>
      </c>
      <c r="FU242">
        <f>IF($EY242="row",INDEX($EO$5:$EO$1003,$EX242),0)</f>
        <v/>
      </c>
      <c r="FV242">
        <f>IF($FS242="S1 Count Change",1,0)</f>
        <v/>
      </c>
    </row>
    <row r="243">
      <c r="DA243" t="n">
        <v>239</v>
      </c>
      <c r="DB243">
        <f>IF($B$37=0,"",IFERROR(TRIM(SUBSTITUTE(SUBSTITUTE(SUBSTITUTE(SUBSTITUTE(INDEX(PASTE_ALL,239,$B$37)," "," "),CHAR(9)," "),CHAR(10)," "),CHAR(13)," ")),""))</f>
        <v/>
      </c>
      <c r="DC243">
        <f>IF(AND(239&gt;HEADER_ROW,UPPER(DB243)="LEGEND"),1,0)</f>
        <v/>
      </c>
      <c r="DE243" t="n">
        <v>239</v>
      </c>
      <c r="DF243">
        <f>HEADER_ROW+$DE243</f>
        <v/>
      </c>
      <c r="DG243">
        <f>IF(AND($DF243&lt;=1000,$DF243&lt;$B$8),1,0)</f>
        <v/>
      </c>
      <c r="DH243">
        <f>IF($DG243=1,IFERROR(INDEX($DB$5:$DB$1004,$DF243),""),"")</f>
        <v/>
      </c>
      <c r="DI243">
        <f>IF(AND($DG243=1,$DH243&lt;&gt;""),IFERROR(SUBSTITUTE(SUBSTITUTE(TRIM(SUBSTITUTE(SUBSTITUTE(SUBSTITUTE(SUBSTITUTE(IFERROR(INDEX(PASTE_ALL,$DF243,1)&amp;"","")&amp;"␟"&amp;IFERROR(INDEX(PASTE_ALL,$DF243,2)&amp;"","")&amp;"␟"&amp;IFERROR(INDEX(PASTE_ALL,$DF243,3)&amp;"","")&amp;"␟"&amp;IFERROR(INDEX(PASTE_ALL,$DF243,4)&amp;"","")&amp;"␟"&amp;IFERROR(INDEX(PASTE_ALL,$DF243,5)&amp;"","")&amp;"␟"&amp;IFERROR(INDEX(PASTE_ALL,$DF243,6)&amp;"","")&amp;"␟"&amp;IFERROR(INDEX(PASTE_ALL,$DF243,7)&amp;"","")&amp;"␟"&amp;IFERROR(INDEX(PASTE_ALL,$DF243,8)&amp;"","")&amp;"␟"&amp;IFERROR(INDEX(PASTE_ALL,$DF243,9)&amp;"","")&amp;"␟"&amp;IFERROR(INDEX(PASTE_ALL,$DF243,10)&amp;"","")&amp;"␟"&amp;IFERROR(INDEX(PASTE_ALL,$DF243,11)&amp;"","")&amp;"␟"&amp;IFERROR(INDEX(PASTE_ALL,$DF243,12)&amp;"","")&amp;"␟"&amp;IFERROR(INDEX(PASTE_ALL,$DF243,13)&amp;"","")&amp;"␟"&amp;IFERROR(INDEX(PASTE_ALL,$DF243,14)&amp;"","")&amp;"␟"&amp;IFERROR(INDEX(PASTE_ALL,$DF243,15)&amp;"","")&amp;"␟"&amp;IFERROR(INDEX(PASTE_ALL,$DF243,16)&amp;"","")&amp;"␟"&amp;IFERROR(INDEX(PASTE_ALL,$DF243,17)&amp;"","")&amp;"␟"&amp;IFERROR(INDEX(PASTE_ALL,$DF243,18)&amp;"","")&amp;"␟"&amp;IFERROR(INDEX(PASTE_ALL,$DF243,19)&amp;"","")&amp;"␟"&amp;IFERROR(INDEX(PASTE_ALL,$DF243,20)&amp;"","")&amp;"␟"&amp;IFERROR(INDEX(PASTE_ALL,$DF243,21)&amp;"","")&amp;"␟"&amp;IFERROR(INDEX(PASTE_ALL,$DF243,22)&amp;"","")&amp;"␟"&amp;IFERROR(INDEX(PASTE_ALL,$DF243,23)&amp;"","")&amp;"␟"&amp;IFERROR(INDEX(PASTE_ALL,$DF243,24)&amp;"","")&amp;"␟"&amp;IFERROR(INDEX(PASTE_ALL,$DF243,25)&amp;"","")&amp;"␟"&amp;IFERROR(INDEX(PASTE_ALL,$DF243,26)&amp;"","")&amp;"␟"&amp;IFERROR(INDEX(PASTE_ALL,$DF243,27)&amp;"","")&amp;"␟"&amp;IFERROR(INDEX(PASTE_ALL,$DF243,28)&amp;"","")&amp;"␟"&amp;IFERROR(INDEX(PASTE_ALL,$DF243,29)&amp;"","")&amp;"␟"&amp;IFERROR(INDEX(PASTE_ALL,$DF243,30)&amp;"","")&amp;"␟"&amp;IFERROR(INDEX(PASTE_ALL,$DF243,31)&amp;"","")&amp;"␟"&amp;IFERROR(INDEX(PASTE_ALL,$DF243,32)&amp;"","")&amp;"␟"&amp;IFERROR(INDEX(PASTE_ALL,$DF243,33)&amp;"","")&amp;"␟"&amp;IFERROR(INDEX(PASTE_ALL,$DF243,34)&amp;"","")&amp;"␟"&amp;IFERROR(INDEX(PASTE_ALL,$DF243,35)&amp;"","")&amp;"␟"&amp;IFERROR(INDEX(PASTE_ALL,$DF243,36)&amp;"","")&amp;"␟"&amp;IFERROR(INDEX(PASTE_ALL,$DF243,37)&amp;"","")&amp;"␟"&amp;IFERROR(INDEX(PASTE_ALL,$DF243,38)&amp;"","")&amp;"␟"&amp;IFERROR(INDEX(PASTE_ALL,$DF243,39)&amp;"","")&amp;"␟"&amp;IFERROR(INDEX(PASTE_ALL,$DF243,40)&amp;"","")&amp;"␟"&amp;IFERROR(INDEX(PASTE_ALL,$DF243,41)&amp;"","")&amp;"␟"&amp;IFERROR(INDEX(PASTE_ALL,$DF243,42)&amp;"","")&amp;"␟"&amp;IFERROR(INDEX(PASTE_ALL,$DF243,43)&amp;"","")&amp;"␟"&amp;IFERROR(INDEX(PASTE_ALL,$DF243,44)&amp;"","")&amp;"␟"&amp;IFERROR(INDEX(PASTE_ALL,$DF243,45)&amp;"","")&amp;"␟"&amp;IFERROR(INDEX(PASTE_ALL,$DF243,46)&amp;"","")&amp;"␟"&amp;IFERROR(INDEX(PASTE_ALL,$DF243,47)&amp;"","")&amp;"␟"&amp;IFERROR(INDEX(PASTE_ALL,$DF243,48)&amp;"","")&amp;"␟"&amp;IFERROR(INDEX(PASTE_ALL,$DF243,49)&amp;"","")&amp;"␟"&amp;IFERROR(INDEX(PASTE_ALL,$DF243,50)&amp;"","")&amp;"␟"&amp;IFERROR(INDEX(PASTE_ALL,$DF243,51)&amp;"","")&amp;"␟"&amp;IFERROR(INDEX(PASTE_ALL,$DF243,52)&amp;"","")&amp;"␟"&amp;IFERROR(INDEX(PASTE_ALL,$DF243,53)&amp;"","")&amp;"␟"&amp;IFERROR(INDEX(PASTE_ALL,$DF243,54)&amp;"","")&amp;"␟"&amp;IFERROR(INDEX(PASTE_ALL,$DF243,55)&amp;"","")&amp;"␟"&amp;IFERROR(INDEX(PASTE_ALL,$DF243,56)&amp;"","")&amp;"␟"&amp;IFERROR(INDEX(PASTE_ALL,$DF243,57)&amp;"","")&amp;"␟"&amp;IFERROR(INDEX(PASTE_ALL,$DF243,58)&amp;"","")&amp;"␟"&amp;IFERROR(INDEX(PASTE_ALL,$DF243,59)&amp;"","")&amp;"␟"&amp;IFERROR(INDEX(PASTE_ALL,$DF243,60)&amp;"","")," "," "),CHAR(9)," "),CHAR(10)," "),CHAR(13)," "))," ␟","␟"),"␟ ","␟"),"#"&amp;$DE243),"")</f>
        <v/>
      </c>
      <c r="DJ243">
        <f>IF($DI243="",0,IF(SUMPRODUCT(--EXACT($DI$4:DI242,$DI243))&gt;0,1,0))</f>
        <v/>
      </c>
      <c r="DK243">
        <f>IF(AND($DI243&lt;&gt;"",$DJ243=0),1,0)</f>
        <v/>
      </c>
      <c r="DL243">
        <f>DL242+$DK243</f>
        <v/>
      </c>
      <c r="DM243">
        <f>IF(AND($DK243=1,$DL243&lt;=600),1,0)</f>
        <v/>
      </c>
      <c r="DN243">
        <f>IF($DM243=0,"",IF($L$6=0,"",IFERROR(IF(ISNUMBER(INDEX(PASTE_ALL,$DF243,$L$6)),INDEX(PASTE_ALL,$DF243,$L$6),TRIM(SUBSTITUTE(SUBSTITUTE(SUBSTITUTE(SUBSTITUTE(INDEX(PASTE_ALL,$DF243,$L$6)," "," "),CHAR(9)," "),CHAR(10)," "),CHAR(13)," "))),"")))</f>
        <v/>
      </c>
      <c r="DO243">
        <f>IF($DM243=0,"",IF($L$7=0,"",IFERROR(IF(ISNUMBER(INDEX(PASTE_ALL,$DF243,$L$7)),INDEX(PASTE_ALL,$DF243,$L$7),TRIM(SUBSTITUTE(SUBSTITUTE(SUBSTITUTE(SUBSTITUTE(INDEX(PASTE_ALL,$DF243,$L$7)," "," "),CHAR(9)," "),CHAR(10)," "),CHAR(13)," "))),"")))</f>
        <v/>
      </c>
      <c r="DP243">
        <f>IF($DM243=0,"",IF($L$8=0,"",IFERROR(IF(ISNUMBER(INDEX(PASTE_ALL,$DF243,$L$8)),INDEX(PASTE_ALL,$DF243,$L$8),TRIM(SUBSTITUTE(SUBSTITUTE(SUBSTITUTE(SUBSTITUTE(INDEX(PASTE_ALL,$DF243,$L$8)," "," "),CHAR(9)," "),CHAR(10)," "),CHAR(13)," "))),"")))</f>
        <v/>
      </c>
      <c r="DQ243">
        <f>IF($DM243=0,"",IF($L$9=0,"",IFERROR(IF(ISNUMBER(INDEX(PASTE_ALL,$DF243,$L$9)),INDEX(PASTE_ALL,$DF243,$L$9),TRIM(SUBSTITUTE(SUBSTITUTE(SUBSTITUTE(SUBSTITUTE(INDEX(PASTE_ALL,$DF243,$L$9)," "," "),CHAR(9)," "),CHAR(10)," "),CHAR(13)," "))),"")))</f>
        <v/>
      </c>
      <c r="DR243">
        <f>IF($DM243=0,"",IF($L$10=0,"",IFERROR(IF(ISNUMBER(INDEX(PASTE_ALL,$DF243,$L$10)),INDEX(PASTE_ALL,$DF243,$L$10),TRIM(SUBSTITUTE(SUBSTITUTE(SUBSTITUTE(SUBSTITUTE(INDEX(PASTE_ALL,$DF243,$L$10)," "," "),CHAR(9)," "),CHAR(10)," "),CHAR(13)," "))),"")))</f>
        <v/>
      </c>
      <c r="DS243">
        <f>IF($DM243=0,"",IF($L$11=0,"",IFERROR(IF(ISNUMBER(INDEX(PASTE_ALL,$DF243,$L$11)),INDEX(PASTE_ALL,$DF243,$L$11),TRIM(SUBSTITUTE(SUBSTITUTE(SUBSTITUTE(SUBSTITUTE(INDEX(PASTE_ALL,$DF243,$L$11)," "," "),CHAR(9)," "),CHAR(10)," "),CHAR(13)," "))),"")))</f>
        <v/>
      </c>
      <c r="DT243">
        <f>IF($DM243=0,"",IF($L$12=0,"",IFERROR(IF(ISNUMBER(INDEX(PASTE_ALL,$DF243,$L$12)),INDEX(PASTE_ALL,$DF243,$L$12),TRIM(SUBSTITUTE(SUBSTITUTE(SUBSTITUTE(SUBSTITUTE(INDEX(PASTE_ALL,$DF243,$L$12)," "," "),CHAR(9)," "),CHAR(10)," "),CHAR(13)," "))),"")))</f>
        <v/>
      </c>
      <c r="DU243">
        <f>IF($DM243=0,"",IF($L$13=0,"",IFERROR(IF(ISNUMBER(INDEX(PASTE_ALL,$DF243,$L$13)),INDEX(PASTE_ALL,$DF243,$L$13),TRIM(SUBSTITUTE(SUBSTITUTE(SUBSTITUTE(SUBSTITUTE(INDEX(PASTE_ALL,$DF243,$L$13)," "," "),CHAR(9)," "),CHAR(10)," "),CHAR(13)," "))),"")))</f>
        <v/>
      </c>
      <c r="DV243">
        <f>IF($DM243=0,"",IF($L$14=0,"",IFERROR(IF(ISNUMBER(INDEX(PASTE_ALL,$DF243,$L$14)),INDEX(PASTE_ALL,$DF243,$L$14),TRIM(SUBSTITUTE(SUBSTITUTE(SUBSTITUTE(SUBSTITUTE(INDEX(PASTE_ALL,$DF243,$L$14)," "," "),CHAR(9)," "),CHAR(10)," "),CHAR(13)," "))),"")))</f>
        <v/>
      </c>
      <c r="DW243">
        <f>IF($DM243=0,"",IF($L$15=0,"",IFERROR(IF(ISNUMBER(INDEX(PASTE_ALL,$DF243,$L$15)),INDEX(PASTE_ALL,$DF243,$L$15),IF(SUMPRODUCT(--ISNUMBER(FIND({"A","B","C","D","E","F","G","H","I","J","K","L","M","N","O","P","Q","R","S","T","U","V","W","X","Y","Z","0","1","2","3","4","5","6","7","8","9"},UPPER(TRIM(SUBSTITUTE(SUBSTITUTE(SUBSTITUTE(SUBSTITUTE(INDEX(PASTE_ALL,$DF243,$L$15)," "," "),CHAR(9)," "),CHAR(10)," "),CHAR(13)," "))))))&gt;0,TRIM(SUBSTITUTE(SUBSTITUTE(SUBSTITUTE(SUBSTITUTE(INDEX(PASTE_ALL,$DF243,$L$15)," "," "),CHAR(9)," "),CHAR(10)," "),CHAR(13)," ")),"")),"")))</f>
        <v/>
      </c>
      <c r="DX243">
        <f>IF($DM243=0,"",IF($L$16=0,"",IFERROR(IF(ISNUMBER(INDEX(PASTE_ALL,$DF243,$L$16)),INDEX(PASTE_ALL,$DF243,$L$16),SUBSTITUTE(SUBSTITUTE(TRIM(SUBSTITUTE(SUBSTITUTE(SUBSTITUTE(SUBSTITUTE(INDEX(PASTE_ALL,$DF243,$L$16)," "," "),CHAR(9)," "),CHAR(10)," "),CHAR(13)," ")),",",""),"%","")),"")))</f>
        <v/>
      </c>
      <c r="DY243">
        <f>IF($DM243=0,"",IFERROR(IF(ISNUMBER($DX243),$DX243,IF($DX243="","",IF(TRIM($DX243)="",0,IF(AND(AND(SUBSTITUTE(SUBSTITUTE(SUBSTITUTE(SUBSTITUTE(SUBSTITUTE(SUBSTITUTE(SUBSTITUTE(SUBSTITUTE(SUBSTITUTE(SUBSTITUTE(SUBSTITUTE(SUBSTITUTE(SUBSTITUTE(SUBSTITUTE(UPPER(TRIM($DX243)),"0",""),"1",""),"2",""),"3",""),"4",""),"5",""),"6",""),"7",""),"8",""),"9",""),".",""),"+",""),"-",""),"E","")="",LEN(SUBSTITUTE(SUBSTITUTE(MID(UPPER(TRIM($DX243)),1+OR(LEFT(UPPER(TRIM($DX243)),1)="+",LEFT(UPPER(TRIM($DX243)),1)="-"),999),"E+","E"),"E-","E"))=LEN(SUBSTITUTE(SUBSTITUTE(SUBSTITUTE(SUBSTITUTE(MID(UPPER(TRIM($DX243)),1+OR(LEFT(UPPER(TRIM($DX243)),1)="+",LEFT(UPPER(TRIM($DX243)),1)="-"),999),"E+","E"),"E-","E"),"+",""),"-","")),LEN(UPPER(TRIM($DX243)))-LEN(SUBSTITUTE(UPPER(TRIM($DX243)),"E",""))&lt;2,LEN(UPPER(TRIM($DX243)))-LEN(SUBSTITUTE(UPPER(TRIM($DX243)),".",""))&lt;2,IFERROR(FIND(".",UPPER(TRIM($DX243))),0)&lt;IFERROR(FIND("E",UPPER(TRIM($DX243))),999)),ISNUMBER(VALUE(TRIM($DX243)))),VALUE(TRIM($DX243)),"")))),""))</f>
        <v/>
      </c>
      <c r="DZ243">
        <f>IF($DM243=0,"",IF($L$17=0,"",IFERROR(IF(ISNUMBER(INDEX(PASTE_ALL,$DF243,$L$17)),INDEX(PASTE_ALL,$DF243,$L$17),SUBSTITUTE(SUBSTITUTE(TRIM(SUBSTITUTE(SUBSTITUTE(SUBSTITUTE(SUBSTITUTE(INDEX(PASTE_ALL,$DF243,$L$17)," "," "),CHAR(9)," "),CHAR(10)," "),CHAR(13)," ")),",",""),"%","")),"")))</f>
        <v/>
      </c>
      <c r="EA243">
        <f>IF($DM243=0,"",IFERROR(IF(ISNUMBER($DZ243),$DZ243,IF($DZ243="","",IF(TRIM($DZ243)="",0,IF(AND(AND(SUBSTITUTE(SUBSTITUTE(SUBSTITUTE(SUBSTITUTE(SUBSTITUTE(SUBSTITUTE(SUBSTITUTE(SUBSTITUTE(SUBSTITUTE(SUBSTITUTE(SUBSTITUTE(SUBSTITUTE(SUBSTITUTE(SUBSTITUTE(UPPER(TRIM($DZ243)),"0",""),"1",""),"2",""),"3",""),"4",""),"5",""),"6",""),"7",""),"8",""),"9",""),".",""),"+",""),"-",""),"E","")="",LEN(SUBSTITUTE(SUBSTITUTE(MID(UPPER(TRIM($DZ243)),1+OR(LEFT(UPPER(TRIM($DZ243)),1)="+",LEFT(UPPER(TRIM($DZ243)),1)="-"),999),"E+","E"),"E-","E"))=LEN(SUBSTITUTE(SUBSTITUTE(SUBSTITUTE(SUBSTITUTE(MID(UPPER(TRIM($DZ243)),1+OR(LEFT(UPPER(TRIM($DZ243)),1)="+",LEFT(UPPER(TRIM($DZ243)),1)="-"),999),"E+","E"),"E-","E"),"+",""),"-","")),LEN(UPPER(TRIM($DZ243)))-LEN(SUBSTITUTE(UPPER(TRIM($DZ243)),"E",""))&lt;2,LEN(UPPER(TRIM($DZ243)))-LEN(SUBSTITUTE(UPPER(TRIM($DZ243)),".",""))&lt;2,IFERROR(FIND(".",UPPER(TRIM($DZ243))),0)&lt;IFERROR(FIND("E",UPPER(TRIM($DZ243))),999)),ISNUMBER(VALUE(TRIM($DZ243)))),VALUE(TRIM($DZ243)),"")))),""))</f>
        <v/>
      </c>
      <c r="EB243">
        <f>IF($DM243=0,"",IF($L$18=0,"",IFERROR(IF(UPPER(TRIM(SUBSTITUTE(SUBSTITUTE(SUBSTITUTE(SUBSTITUTE(INDEX(PASTE_ALL,$DF243,$L$18)," "," "),CHAR(9)," "),CHAR(10)," "),CHAR(13)," ")))="READY","Ready",IF(UPPER(TRIM(SUBSTITUTE(SUBSTITUTE(SUBSTITUTE(SUBSTITUTE(INDEX(PASTE_ALL,$DF243,$L$18)," "," "),CHAR(9)," "),CHAR(10)," "),CHAR(13)," ")))="PM","PM",IF(OR(UPPER(TRIM(SUBSTITUTE(SUBSTITUTE(SUBSTITUTE(SUBSTITUTE(INDEX(PASTE_ALL,$DF243,$L$18)," "," "),CHAR(9)," "),CHAR(10)," "),CHAR(13)," ")))="OT",UPPER(TRIM(SUBSTITUTE(SUBSTITUTE(SUBSTITUTE(SUBSTITUTE(INDEX(PASTE_ALL,$DF243,$L$18)," "," "),CHAR(9)," "),CHAR(10)," "),CHAR(13)," ")))="OVERTIME",UPPER(TRIM(SUBSTITUTE(SUBSTITUTE(SUBSTITUTE(SUBSTITUTE(INDEX(PASTE_ALL,$DF243,$L$18)," "," "),CHAR(9)," "),CHAR(10)," "),CHAR(13)," ")))="TRIAL"),"OT",TRIM(SUBSTITUTE(SUBSTITUTE(SUBSTITUTE(SUBSTITUTE(INDEX(PASTE_ALL,$DF243,$L$18)," "," "),CHAR(9)," "),CHAR(10)," "),CHAR(13)," "))))),"")))</f>
        <v/>
      </c>
      <c r="EC243">
        <f>IF($DM243=0,"",IF($L$19=0,"",IFERROR(IF(ISNUMBER(INDEX(PASTE_ALL,$DF243,$L$19)),INDEX(PASTE_ALL,$DF243,$L$19),TRIM(SUBSTITUTE(SUBSTITUTE(SUBSTITUTE(SUBSTITUTE(INDEX(PASTE_ALL,$DF243,$L$19)," "," "),CHAR(9)," "),CHAR(10)," "),CHAR(13)," "))),"")))</f>
        <v/>
      </c>
      <c r="ED243">
        <f>IF($DM243=0,"",MATCH(1,INDEX(EXACT($DH$5:DH243,$DH243)*$DM$5:DM243,0),0))</f>
        <v/>
      </c>
      <c r="EE243">
        <f>IF($DM243=0,0,IF($ED243=$DE243,1,0))</f>
        <v/>
      </c>
      <c r="EF243">
        <f>EF242+$EE243</f>
        <v/>
      </c>
      <c r="EG243">
        <f>IF($DM243=0,"",INDEX($EF$5:$EF$1003,$ED243))</f>
        <v/>
      </c>
      <c r="EH243">
        <f>IF($DM243=0,"",IF($DO243&lt;&gt;"","",IFERROR(LOOKUP(2,1/(($EG$4:EG242=$EG243)*($DO$4:DO242&lt;&gt;"")),$DO$4:DO242),"")))</f>
        <v/>
      </c>
      <c r="EI243">
        <f>IF($DM243=0,"",IF($DO243&lt;&gt;"",$DO243,$EH243))</f>
        <v/>
      </c>
      <c r="EJ243">
        <f>IF($DM243=0,"",IF($EI243="",0,IF(OR(ISNUMBER($EI243),AND(AND(SUBSTITUTE(SUBSTITUTE(SUBSTITUTE(SUBSTITUTE(SUBSTITUTE(SUBSTITUTE(SUBSTITUTE(SUBSTITUTE(SUBSTITUTE(SUBSTITUTE(SUBSTITUTE(SUBSTITUTE(SUBSTITUTE(SUBSTITUTE(UPPER($EI243),"0",""),"1",""),"2",""),"3",""),"4",""),"5",""),"6",""),"7",""),"8",""),"9",""),".",""),"+",""),"-",""),"E","")="",LEN(SUBSTITUTE(SUBSTITUTE(MID(UPPER($EI243),1+OR(LEFT(UPPER($EI243),1)="+",LEFT(UPPER($EI243),1)="-"),999),"E+","E"),"E-","E"))=LEN(SUBSTITUTE(SUBSTITUTE(SUBSTITUTE(SUBSTITUTE(MID(UPPER($EI243),1+OR(LEFT(UPPER($EI243),1)="+",LEFT(UPPER($EI243),1)="-"),999),"E+","E"),"E-","E"),"+",""),"-","")),LEN(UPPER($EI243))-LEN(SUBSTITUTE(UPPER($EI243),"E",""))&lt;2,LEN(UPPER($EI243))-LEN(SUBSTITUTE(UPPER($EI243),".",""))&lt;2,IFERROR(FIND(".",UPPER($EI243)),0)&lt;IFERROR(FIND("E",UPPER($EI243)),999)),ISNUMBER(VALUE($EI243)))),1,2)))</f>
        <v/>
      </c>
      <c r="EK243">
        <f>IF($DM243=0,"",IF($EJ243=1,IF(ISNUMBER($EI243),$EI243,VALUE($EI243)),IF($EJ243=2,$DE243,0)))</f>
        <v/>
      </c>
      <c r="EL243">
        <f>IF($DM243=0,"",COUNTIF($EG$5:$EG$1003,"&lt;"&amp;$EG243)+SUMPRODUCT(($EG$5:$EG$1003=$EG243)*(($EJ$5:$EJ$1003&lt;$EJ243)+($EJ$5:$EJ$1003=$EJ243)*(($EK$5:$EK$1003&lt;$EK243)+($EK$5:$EK$1003=$EK243)*($DE$5:$DE$1003&lt;$DE243))))+1)</f>
        <v/>
      </c>
      <c r="EM243">
        <f>IF($DM243=0,"",$EL243+$EG243-1)</f>
        <v/>
      </c>
      <c r="EN243">
        <f>IF($DM243=0,0,IFERROR(MATCH(1,INDEX(--(TRIM(SUBSTITUTE(SUBSTITUTE(SUBSTITUTE(SUBSTITUTE(LINES_NAME&amp;""," "," "),CHAR(9)," "),CHAR(10)," "),CHAR(13)," "))=$DH243),0),0),0))</f>
        <v/>
      </c>
      <c r="EO243">
        <f>IF($EN243=0,0,IF(OR(UPPER(TRIM(INDEX(LINES_SCHEDULED,$EN243)&amp;""))="YES",UPPER(TRIM(INDEX(LINES_SCHEDULED,$EN243)&amp;""))="Y",UPPER(TRIM(INDEX(LINES_SCHEDULED,$EN243)&amp;""))="X"),1,0))</f>
        <v/>
      </c>
      <c r="EP243">
        <f>IF($DM243=0,"",IF(COUNTIFS($EG$5:$EG$1003,$EG243,$EB$5:$EB$1003,"Ready")&gt;0,"READY",IF(COUNTIFS($EG$5:$EG$1003,$EG243,$EB$5:$EB$1003,"PM")&gt;0,"PM",IF(COUNTIFS($EG$5:$EG$1003,$EG243,$EB$5:$EB$1003,"OT")&gt;0,"OT",""))))</f>
        <v/>
      </c>
      <c r="EQ243">
        <f>IF($EN243=0,"",UPPER(TRIM(INDEX(LINES_STATUS,$EN243)&amp;"")))</f>
        <v/>
      </c>
      <c r="ER243">
        <f>IF($DM243=0,"",IF(OR($EQ243="READY",$EQ243="PM",$EQ243="OT"),$EQ243,$EP243))</f>
        <v/>
      </c>
      <c r="ES243">
        <f>IF($DM243=0,"",IF(AND($DV243&lt;&gt;"",UPPER($DV243)&lt;&gt;"N"),"allergen",IF(ISNUMBER(SEARCH("oil",$DQ243)),"oil",IF(OR(EXACT($DS243,"A662"),EXACT($DS243,"A624")),"bulk",""))))</f>
        <v/>
      </c>
      <c r="ET243">
        <f>IF($DM243=0,"",IF(OR($EA243="",$EA243=0),"",$EA243/100))</f>
        <v/>
      </c>
      <c r="EU243">
        <f>IF(OR($ET243="",$DY243=""),"",INT($DY243*(1-$ET243)+0.5))</f>
        <v/>
      </c>
      <c r="EW243" t="n">
        <v>239</v>
      </c>
      <c r="EX243">
        <f>IFERROR(MATCH($EW243,$EM$5:$EM$1003,0),0)</f>
        <v/>
      </c>
      <c r="EY243">
        <f>IF($EW243&gt;$B$12,"",IF($EX243&gt;0,"row","spacer"))</f>
        <v/>
      </c>
      <c r="EZ243">
        <f>IF(AND($EY243="row",$EY242&lt;&gt;"row"),1,0)</f>
        <v/>
      </c>
      <c r="FA243">
        <f>IF(AND($EY243="row",$EY244&lt;&gt;"row"),1,0)</f>
        <v/>
      </c>
      <c r="FB243">
        <f>IF($EZ243=1,IFERROR(IF(ISNUMBER(INDEX(PASTE_ALL,INDEX($DF$5:$DF$1003,$EX243),$B$37)),INDEX(PASTE_ALL,INDEX($DF$5:$DF$1003,$EX243),$B$37),INDEX($DH$5:$DH$1003,$EX243)),INDEX($DH$5:$DH$1003,$EX243)),"")</f>
        <v/>
      </c>
      <c r="FC243">
        <f>IF($EY243="row",INDEX($ER$5:$ER$1003,$EX243),"")</f>
        <v/>
      </c>
      <c r="FD243">
        <f>IF($EY243="row",INDEX($DN$5:$DN$1003,$EX243),"")</f>
        <v/>
      </c>
      <c r="FE243">
        <f>IF($EY243="row",INDEX($DO$5:$DO$1003,$EX243),"")</f>
        <v/>
      </c>
      <c r="FF243">
        <f>IF($EY243="row",INDEX($DP$5:$DP$1003,$EX243),"")</f>
        <v/>
      </c>
      <c r="FG243">
        <f>IF($EY243="row",INDEX($DQ$5:$DQ$1003,$EX243),"")</f>
        <v/>
      </c>
      <c r="FH243">
        <f>IF($EY243="row",INDEX($DR$5:$DR$1003,$EX243),"")</f>
        <v/>
      </c>
      <c r="FI243">
        <f>IF($EY243="row",INDEX($DS$5:$DS$1003,$EX243),"")</f>
        <v/>
      </c>
      <c r="FJ243">
        <f>IF($EY243="row",INDEX($DT$5:$DT$1003,$EX243),"")</f>
        <v/>
      </c>
      <c r="FK243">
        <f>IF($EY243="row",INDEX($DU$5:$DU$1003,$EX243),"")</f>
        <v/>
      </c>
      <c r="FL243">
        <f>IF($EY243="row",INDEX($DV$5:$DV$1003,$EX243),"")</f>
        <v/>
      </c>
      <c r="FM243">
        <f>IF($EY243="row",INDEX($DW$5:$DW$1003,$EX243),"")</f>
        <v/>
      </c>
      <c r="FN243">
        <f>IF($EY243="row",INDEX($DY$5:$DY$1003,$EX243),"")</f>
        <v/>
      </c>
      <c r="FO243">
        <f>IF($EY243="row",INDEX($EA$5:$EA$1003,$EX243),"")</f>
        <v/>
      </c>
      <c r="FP243">
        <f>IF($EY243="row",INDEX($EC$5:$EC$1003,$EX243),"")</f>
        <v/>
      </c>
      <c r="FQ243">
        <f>IF($EY243="row",INDEX($ET$5:$ET$1003,$EX243),"")</f>
        <v/>
      </c>
      <c r="FR243">
        <f>IF($EY243="row",INDEX($EU$5:$EU$1003,$EX243),"")</f>
        <v/>
      </c>
      <c r="FS243">
        <f>IF(AND($EY243="row",$EY242="row"),IF(OR(INDEX($DT$5:$DT$1003,$EX242)="",INDEX($DT$5:$DT$1003,$EX243)=""),"",IF(NOT(EXACT(INDEX($DT$5:$DT$1003,$EX242),INDEX($DT$5:$DT$1003,$EX243))),"S4",IF(NOT(EXACT(INDEX($DS$5:$DS$1003,$EX242),INDEX($DS$5:$DS$1003,$EX243))),"S3",IF(NOT(EXACT(INDEX($DR$5:$DR$1003,$EX242),INDEX($DR$5:$DR$1003,$EX243))),"S1 Count Change","S1")))),"")</f>
        <v/>
      </c>
      <c r="FT243">
        <f>IF($EY243="row",INDEX($ES$5:$ES$1003,$EX243),"")</f>
        <v/>
      </c>
      <c r="FU243">
        <f>IF($EY243="row",INDEX($EO$5:$EO$1003,$EX243),0)</f>
        <v/>
      </c>
      <c r="FV243">
        <f>IF($FS243="S1 Count Change",1,0)</f>
        <v/>
      </c>
    </row>
    <row r="244">
      <c r="DA244" t="n">
        <v>240</v>
      </c>
      <c r="DB244">
        <f>IF($B$37=0,"",IFERROR(TRIM(SUBSTITUTE(SUBSTITUTE(SUBSTITUTE(SUBSTITUTE(INDEX(PASTE_ALL,240,$B$37)," "," "),CHAR(9)," "),CHAR(10)," "),CHAR(13)," ")),""))</f>
        <v/>
      </c>
      <c r="DC244">
        <f>IF(AND(240&gt;HEADER_ROW,UPPER(DB244)="LEGEND"),1,0)</f>
        <v/>
      </c>
      <c r="DE244" t="n">
        <v>240</v>
      </c>
      <c r="DF244">
        <f>HEADER_ROW+$DE244</f>
        <v/>
      </c>
      <c r="DG244">
        <f>IF(AND($DF244&lt;=1000,$DF244&lt;$B$8),1,0)</f>
        <v/>
      </c>
      <c r="DH244">
        <f>IF($DG244=1,IFERROR(INDEX($DB$5:$DB$1004,$DF244),""),"")</f>
        <v/>
      </c>
      <c r="DI244">
        <f>IF(AND($DG244=1,$DH244&lt;&gt;""),IFERROR(SUBSTITUTE(SUBSTITUTE(TRIM(SUBSTITUTE(SUBSTITUTE(SUBSTITUTE(SUBSTITUTE(IFERROR(INDEX(PASTE_ALL,$DF244,1)&amp;"","")&amp;"␟"&amp;IFERROR(INDEX(PASTE_ALL,$DF244,2)&amp;"","")&amp;"␟"&amp;IFERROR(INDEX(PASTE_ALL,$DF244,3)&amp;"","")&amp;"␟"&amp;IFERROR(INDEX(PASTE_ALL,$DF244,4)&amp;"","")&amp;"␟"&amp;IFERROR(INDEX(PASTE_ALL,$DF244,5)&amp;"","")&amp;"␟"&amp;IFERROR(INDEX(PASTE_ALL,$DF244,6)&amp;"","")&amp;"␟"&amp;IFERROR(INDEX(PASTE_ALL,$DF244,7)&amp;"","")&amp;"␟"&amp;IFERROR(INDEX(PASTE_ALL,$DF244,8)&amp;"","")&amp;"␟"&amp;IFERROR(INDEX(PASTE_ALL,$DF244,9)&amp;"","")&amp;"␟"&amp;IFERROR(INDEX(PASTE_ALL,$DF244,10)&amp;"","")&amp;"␟"&amp;IFERROR(INDEX(PASTE_ALL,$DF244,11)&amp;"","")&amp;"␟"&amp;IFERROR(INDEX(PASTE_ALL,$DF244,12)&amp;"","")&amp;"␟"&amp;IFERROR(INDEX(PASTE_ALL,$DF244,13)&amp;"","")&amp;"␟"&amp;IFERROR(INDEX(PASTE_ALL,$DF244,14)&amp;"","")&amp;"␟"&amp;IFERROR(INDEX(PASTE_ALL,$DF244,15)&amp;"","")&amp;"␟"&amp;IFERROR(INDEX(PASTE_ALL,$DF244,16)&amp;"","")&amp;"␟"&amp;IFERROR(INDEX(PASTE_ALL,$DF244,17)&amp;"","")&amp;"␟"&amp;IFERROR(INDEX(PASTE_ALL,$DF244,18)&amp;"","")&amp;"␟"&amp;IFERROR(INDEX(PASTE_ALL,$DF244,19)&amp;"","")&amp;"␟"&amp;IFERROR(INDEX(PASTE_ALL,$DF244,20)&amp;"","")&amp;"␟"&amp;IFERROR(INDEX(PASTE_ALL,$DF244,21)&amp;"","")&amp;"␟"&amp;IFERROR(INDEX(PASTE_ALL,$DF244,22)&amp;"","")&amp;"␟"&amp;IFERROR(INDEX(PASTE_ALL,$DF244,23)&amp;"","")&amp;"␟"&amp;IFERROR(INDEX(PASTE_ALL,$DF244,24)&amp;"","")&amp;"␟"&amp;IFERROR(INDEX(PASTE_ALL,$DF244,25)&amp;"","")&amp;"␟"&amp;IFERROR(INDEX(PASTE_ALL,$DF244,26)&amp;"","")&amp;"␟"&amp;IFERROR(INDEX(PASTE_ALL,$DF244,27)&amp;"","")&amp;"␟"&amp;IFERROR(INDEX(PASTE_ALL,$DF244,28)&amp;"","")&amp;"␟"&amp;IFERROR(INDEX(PASTE_ALL,$DF244,29)&amp;"","")&amp;"␟"&amp;IFERROR(INDEX(PASTE_ALL,$DF244,30)&amp;"","")&amp;"␟"&amp;IFERROR(INDEX(PASTE_ALL,$DF244,31)&amp;"","")&amp;"␟"&amp;IFERROR(INDEX(PASTE_ALL,$DF244,32)&amp;"","")&amp;"␟"&amp;IFERROR(INDEX(PASTE_ALL,$DF244,33)&amp;"","")&amp;"␟"&amp;IFERROR(INDEX(PASTE_ALL,$DF244,34)&amp;"","")&amp;"␟"&amp;IFERROR(INDEX(PASTE_ALL,$DF244,35)&amp;"","")&amp;"␟"&amp;IFERROR(INDEX(PASTE_ALL,$DF244,36)&amp;"","")&amp;"␟"&amp;IFERROR(INDEX(PASTE_ALL,$DF244,37)&amp;"","")&amp;"␟"&amp;IFERROR(INDEX(PASTE_ALL,$DF244,38)&amp;"","")&amp;"␟"&amp;IFERROR(INDEX(PASTE_ALL,$DF244,39)&amp;"","")&amp;"␟"&amp;IFERROR(INDEX(PASTE_ALL,$DF244,40)&amp;"","")&amp;"␟"&amp;IFERROR(INDEX(PASTE_ALL,$DF244,41)&amp;"","")&amp;"␟"&amp;IFERROR(INDEX(PASTE_ALL,$DF244,42)&amp;"","")&amp;"␟"&amp;IFERROR(INDEX(PASTE_ALL,$DF244,43)&amp;"","")&amp;"␟"&amp;IFERROR(INDEX(PASTE_ALL,$DF244,44)&amp;"","")&amp;"␟"&amp;IFERROR(INDEX(PASTE_ALL,$DF244,45)&amp;"","")&amp;"␟"&amp;IFERROR(INDEX(PASTE_ALL,$DF244,46)&amp;"","")&amp;"␟"&amp;IFERROR(INDEX(PASTE_ALL,$DF244,47)&amp;"","")&amp;"␟"&amp;IFERROR(INDEX(PASTE_ALL,$DF244,48)&amp;"","")&amp;"␟"&amp;IFERROR(INDEX(PASTE_ALL,$DF244,49)&amp;"","")&amp;"␟"&amp;IFERROR(INDEX(PASTE_ALL,$DF244,50)&amp;"","")&amp;"␟"&amp;IFERROR(INDEX(PASTE_ALL,$DF244,51)&amp;"","")&amp;"␟"&amp;IFERROR(INDEX(PASTE_ALL,$DF244,52)&amp;"","")&amp;"␟"&amp;IFERROR(INDEX(PASTE_ALL,$DF244,53)&amp;"","")&amp;"␟"&amp;IFERROR(INDEX(PASTE_ALL,$DF244,54)&amp;"","")&amp;"␟"&amp;IFERROR(INDEX(PASTE_ALL,$DF244,55)&amp;"","")&amp;"␟"&amp;IFERROR(INDEX(PASTE_ALL,$DF244,56)&amp;"","")&amp;"␟"&amp;IFERROR(INDEX(PASTE_ALL,$DF244,57)&amp;"","")&amp;"␟"&amp;IFERROR(INDEX(PASTE_ALL,$DF244,58)&amp;"","")&amp;"␟"&amp;IFERROR(INDEX(PASTE_ALL,$DF244,59)&amp;"","")&amp;"␟"&amp;IFERROR(INDEX(PASTE_ALL,$DF244,60)&amp;"","")," "," "),CHAR(9)," "),CHAR(10)," "),CHAR(13)," "))," ␟","␟"),"␟ ","␟"),"#"&amp;$DE244),"")</f>
        <v/>
      </c>
      <c r="DJ244">
        <f>IF($DI244="",0,IF(SUMPRODUCT(--EXACT($DI$4:DI243,$DI244))&gt;0,1,0))</f>
        <v/>
      </c>
      <c r="DK244">
        <f>IF(AND($DI244&lt;&gt;"",$DJ244=0),1,0)</f>
        <v/>
      </c>
      <c r="DL244">
        <f>DL243+$DK244</f>
        <v/>
      </c>
      <c r="DM244">
        <f>IF(AND($DK244=1,$DL244&lt;=600),1,0)</f>
        <v/>
      </c>
      <c r="DN244">
        <f>IF($DM244=0,"",IF($L$6=0,"",IFERROR(IF(ISNUMBER(INDEX(PASTE_ALL,$DF244,$L$6)),INDEX(PASTE_ALL,$DF244,$L$6),TRIM(SUBSTITUTE(SUBSTITUTE(SUBSTITUTE(SUBSTITUTE(INDEX(PASTE_ALL,$DF244,$L$6)," "," "),CHAR(9)," "),CHAR(10)," "),CHAR(13)," "))),"")))</f>
        <v/>
      </c>
      <c r="DO244">
        <f>IF($DM244=0,"",IF($L$7=0,"",IFERROR(IF(ISNUMBER(INDEX(PASTE_ALL,$DF244,$L$7)),INDEX(PASTE_ALL,$DF244,$L$7),TRIM(SUBSTITUTE(SUBSTITUTE(SUBSTITUTE(SUBSTITUTE(INDEX(PASTE_ALL,$DF244,$L$7)," "," "),CHAR(9)," "),CHAR(10)," "),CHAR(13)," "))),"")))</f>
        <v/>
      </c>
      <c r="DP244">
        <f>IF($DM244=0,"",IF($L$8=0,"",IFERROR(IF(ISNUMBER(INDEX(PASTE_ALL,$DF244,$L$8)),INDEX(PASTE_ALL,$DF244,$L$8),TRIM(SUBSTITUTE(SUBSTITUTE(SUBSTITUTE(SUBSTITUTE(INDEX(PASTE_ALL,$DF244,$L$8)," "," "),CHAR(9)," "),CHAR(10)," "),CHAR(13)," "))),"")))</f>
        <v/>
      </c>
      <c r="DQ244">
        <f>IF($DM244=0,"",IF($L$9=0,"",IFERROR(IF(ISNUMBER(INDEX(PASTE_ALL,$DF244,$L$9)),INDEX(PASTE_ALL,$DF244,$L$9),TRIM(SUBSTITUTE(SUBSTITUTE(SUBSTITUTE(SUBSTITUTE(INDEX(PASTE_ALL,$DF244,$L$9)," "," "),CHAR(9)," "),CHAR(10)," "),CHAR(13)," "))),"")))</f>
        <v/>
      </c>
      <c r="DR244">
        <f>IF($DM244=0,"",IF($L$10=0,"",IFERROR(IF(ISNUMBER(INDEX(PASTE_ALL,$DF244,$L$10)),INDEX(PASTE_ALL,$DF244,$L$10),TRIM(SUBSTITUTE(SUBSTITUTE(SUBSTITUTE(SUBSTITUTE(INDEX(PASTE_ALL,$DF244,$L$10)," "," "),CHAR(9)," "),CHAR(10)," "),CHAR(13)," "))),"")))</f>
        <v/>
      </c>
      <c r="DS244">
        <f>IF($DM244=0,"",IF($L$11=0,"",IFERROR(IF(ISNUMBER(INDEX(PASTE_ALL,$DF244,$L$11)),INDEX(PASTE_ALL,$DF244,$L$11),TRIM(SUBSTITUTE(SUBSTITUTE(SUBSTITUTE(SUBSTITUTE(INDEX(PASTE_ALL,$DF244,$L$11)," "," "),CHAR(9)," "),CHAR(10)," "),CHAR(13)," "))),"")))</f>
        <v/>
      </c>
      <c r="DT244">
        <f>IF($DM244=0,"",IF($L$12=0,"",IFERROR(IF(ISNUMBER(INDEX(PASTE_ALL,$DF244,$L$12)),INDEX(PASTE_ALL,$DF244,$L$12),TRIM(SUBSTITUTE(SUBSTITUTE(SUBSTITUTE(SUBSTITUTE(INDEX(PASTE_ALL,$DF244,$L$12)," "," "),CHAR(9)," "),CHAR(10)," "),CHAR(13)," "))),"")))</f>
        <v/>
      </c>
      <c r="DU244">
        <f>IF($DM244=0,"",IF($L$13=0,"",IFERROR(IF(ISNUMBER(INDEX(PASTE_ALL,$DF244,$L$13)),INDEX(PASTE_ALL,$DF244,$L$13),TRIM(SUBSTITUTE(SUBSTITUTE(SUBSTITUTE(SUBSTITUTE(INDEX(PASTE_ALL,$DF244,$L$13)," "," "),CHAR(9)," "),CHAR(10)," "),CHAR(13)," "))),"")))</f>
        <v/>
      </c>
      <c r="DV244">
        <f>IF($DM244=0,"",IF($L$14=0,"",IFERROR(IF(ISNUMBER(INDEX(PASTE_ALL,$DF244,$L$14)),INDEX(PASTE_ALL,$DF244,$L$14),TRIM(SUBSTITUTE(SUBSTITUTE(SUBSTITUTE(SUBSTITUTE(INDEX(PASTE_ALL,$DF244,$L$14)," "," "),CHAR(9)," "),CHAR(10)," "),CHAR(13)," "))),"")))</f>
        <v/>
      </c>
      <c r="DW244">
        <f>IF($DM244=0,"",IF($L$15=0,"",IFERROR(IF(ISNUMBER(INDEX(PASTE_ALL,$DF244,$L$15)),INDEX(PASTE_ALL,$DF244,$L$15),IF(SUMPRODUCT(--ISNUMBER(FIND({"A","B","C","D","E","F","G","H","I","J","K","L","M","N","O","P","Q","R","S","T","U","V","W","X","Y","Z","0","1","2","3","4","5","6","7","8","9"},UPPER(TRIM(SUBSTITUTE(SUBSTITUTE(SUBSTITUTE(SUBSTITUTE(INDEX(PASTE_ALL,$DF244,$L$15)," "," "),CHAR(9)," "),CHAR(10)," "),CHAR(13)," "))))))&gt;0,TRIM(SUBSTITUTE(SUBSTITUTE(SUBSTITUTE(SUBSTITUTE(INDEX(PASTE_ALL,$DF244,$L$15)," "," "),CHAR(9)," "),CHAR(10)," "),CHAR(13)," ")),"")),"")))</f>
        <v/>
      </c>
      <c r="DX244">
        <f>IF($DM244=0,"",IF($L$16=0,"",IFERROR(IF(ISNUMBER(INDEX(PASTE_ALL,$DF244,$L$16)),INDEX(PASTE_ALL,$DF244,$L$16),SUBSTITUTE(SUBSTITUTE(TRIM(SUBSTITUTE(SUBSTITUTE(SUBSTITUTE(SUBSTITUTE(INDEX(PASTE_ALL,$DF244,$L$16)," "," "),CHAR(9)," "),CHAR(10)," "),CHAR(13)," ")),",",""),"%","")),"")))</f>
        <v/>
      </c>
      <c r="DY244">
        <f>IF($DM244=0,"",IFERROR(IF(ISNUMBER($DX244),$DX244,IF($DX244="","",IF(TRIM($DX244)="",0,IF(AND(AND(SUBSTITUTE(SUBSTITUTE(SUBSTITUTE(SUBSTITUTE(SUBSTITUTE(SUBSTITUTE(SUBSTITUTE(SUBSTITUTE(SUBSTITUTE(SUBSTITUTE(SUBSTITUTE(SUBSTITUTE(SUBSTITUTE(SUBSTITUTE(UPPER(TRIM($DX244)),"0",""),"1",""),"2",""),"3",""),"4",""),"5",""),"6",""),"7",""),"8",""),"9",""),".",""),"+",""),"-",""),"E","")="",LEN(SUBSTITUTE(SUBSTITUTE(MID(UPPER(TRIM($DX244)),1+OR(LEFT(UPPER(TRIM($DX244)),1)="+",LEFT(UPPER(TRIM($DX244)),1)="-"),999),"E+","E"),"E-","E"))=LEN(SUBSTITUTE(SUBSTITUTE(SUBSTITUTE(SUBSTITUTE(MID(UPPER(TRIM($DX244)),1+OR(LEFT(UPPER(TRIM($DX244)),1)="+",LEFT(UPPER(TRIM($DX244)),1)="-"),999),"E+","E"),"E-","E"),"+",""),"-","")),LEN(UPPER(TRIM($DX244)))-LEN(SUBSTITUTE(UPPER(TRIM($DX244)),"E",""))&lt;2,LEN(UPPER(TRIM($DX244)))-LEN(SUBSTITUTE(UPPER(TRIM($DX244)),".",""))&lt;2,IFERROR(FIND(".",UPPER(TRIM($DX244))),0)&lt;IFERROR(FIND("E",UPPER(TRIM($DX244))),999)),ISNUMBER(VALUE(TRIM($DX244)))),VALUE(TRIM($DX244)),"")))),""))</f>
        <v/>
      </c>
      <c r="DZ244">
        <f>IF($DM244=0,"",IF($L$17=0,"",IFERROR(IF(ISNUMBER(INDEX(PASTE_ALL,$DF244,$L$17)),INDEX(PASTE_ALL,$DF244,$L$17),SUBSTITUTE(SUBSTITUTE(TRIM(SUBSTITUTE(SUBSTITUTE(SUBSTITUTE(SUBSTITUTE(INDEX(PASTE_ALL,$DF244,$L$17)," "," "),CHAR(9)," "),CHAR(10)," "),CHAR(13)," ")),",",""),"%","")),"")))</f>
        <v/>
      </c>
      <c r="EA244">
        <f>IF($DM244=0,"",IFERROR(IF(ISNUMBER($DZ244),$DZ244,IF($DZ244="","",IF(TRIM($DZ244)="",0,IF(AND(AND(SUBSTITUTE(SUBSTITUTE(SUBSTITUTE(SUBSTITUTE(SUBSTITUTE(SUBSTITUTE(SUBSTITUTE(SUBSTITUTE(SUBSTITUTE(SUBSTITUTE(SUBSTITUTE(SUBSTITUTE(SUBSTITUTE(SUBSTITUTE(UPPER(TRIM($DZ244)),"0",""),"1",""),"2",""),"3",""),"4",""),"5",""),"6",""),"7",""),"8",""),"9",""),".",""),"+",""),"-",""),"E","")="",LEN(SUBSTITUTE(SUBSTITUTE(MID(UPPER(TRIM($DZ244)),1+OR(LEFT(UPPER(TRIM($DZ244)),1)="+",LEFT(UPPER(TRIM($DZ244)),1)="-"),999),"E+","E"),"E-","E"))=LEN(SUBSTITUTE(SUBSTITUTE(SUBSTITUTE(SUBSTITUTE(MID(UPPER(TRIM($DZ244)),1+OR(LEFT(UPPER(TRIM($DZ244)),1)="+",LEFT(UPPER(TRIM($DZ244)),1)="-"),999),"E+","E"),"E-","E"),"+",""),"-","")),LEN(UPPER(TRIM($DZ244)))-LEN(SUBSTITUTE(UPPER(TRIM($DZ244)),"E",""))&lt;2,LEN(UPPER(TRIM($DZ244)))-LEN(SUBSTITUTE(UPPER(TRIM($DZ244)),".",""))&lt;2,IFERROR(FIND(".",UPPER(TRIM($DZ244))),0)&lt;IFERROR(FIND("E",UPPER(TRIM($DZ244))),999)),ISNUMBER(VALUE(TRIM($DZ244)))),VALUE(TRIM($DZ244)),"")))),""))</f>
        <v/>
      </c>
      <c r="EB244">
        <f>IF($DM244=0,"",IF($L$18=0,"",IFERROR(IF(UPPER(TRIM(SUBSTITUTE(SUBSTITUTE(SUBSTITUTE(SUBSTITUTE(INDEX(PASTE_ALL,$DF244,$L$18)," "," "),CHAR(9)," "),CHAR(10)," "),CHAR(13)," ")))="READY","Ready",IF(UPPER(TRIM(SUBSTITUTE(SUBSTITUTE(SUBSTITUTE(SUBSTITUTE(INDEX(PASTE_ALL,$DF244,$L$18)," "," "),CHAR(9)," "),CHAR(10)," "),CHAR(13)," ")))="PM","PM",IF(OR(UPPER(TRIM(SUBSTITUTE(SUBSTITUTE(SUBSTITUTE(SUBSTITUTE(INDEX(PASTE_ALL,$DF244,$L$18)," "," "),CHAR(9)," "),CHAR(10)," "),CHAR(13)," ")))="OT",UPPER(TRIM(SUBSTITUTE(SUBSTITUTE(SUBSTITUTE(SUBSTITUTE(INDEX(PASTE_ALL,$DF244,$L$18)," "," "),CHAR(9)," "),CHAR(10)," "),CHAR(13)," ")))="OVERTIME",UPPER(TRIM(SUBSTITUTE(SUBSTITUTE(SUBSTITUTE(SUBSTITUTE(INDEX(PASTE_ALL,$DF244,$L$18)," "," "),CHAR(9)," "),CHAR(10)," "),CHAR(13)," ")))="TRIAL"),"OT",TRIM(SUBSTITUTE(SUBSTITUTE(SUBSTITUTE(SUBSTITUTE(INDEX(PASTE_ALL,$DF244,$L$18)," "," "),CHAR(9)," "),CHAR(10)," "),CHAR(13)," "))))),"")))</f>
        <v/>
      </c>
      <c r="EC244">
        <f>IF($DM244=0,"",IF($L$19=0,"",IFERROR(IF(ISNUMBER(INDEX(PASTE_ALL,$DF244,$L$19)),INDEX(PASTE_ALL,$DF244,$L$19),TRIM(SUBSTITUTE(SUBSTITUTE(SUBSTITUTE(SUBSTITUTE(INDEX(PASTE_ALL,$DF244,$L$19)," "," "),CHAR(9)," "),CHAR(10)," "),CHAR(13)," "))),"")))</f>
        <v/>
      </c>
      <c r="ED244">
        <f>IF($DM244=0,"",MATCH(1,INDEX(EXACT($DH$5:DH244,$DH244)*$DM$5:DM244,0),0))</f>
        <v/>
      </c>
      <c r="EE244">
        <f>IF($DM244=0,0,IF($ED244=$DE244,1,0))</f>
        <v/>
      </c>
      <c r="EF244">
        <f>EF243+$EE244</f>
        <v/>
      </c>
      <c r="EG244">
        <f>IF($DM244=0,"",INDEX($EF$5:$EF$1003,$ED244))</f>
        <v/>
      </c>
      <c r="EH244">
        <f>IF($DM244=0,"",IF($DO244&lt;&gt;"","",IFERROR(LOOKUP(2,1/(($EG$4:EG243=$EG244)*($DO$4:DO243&lt;&gt;"")),$DO$4:DO243),"")))</f>
        <v/>
      </c>
      <c r="EI244">
        <f>IF($DM244=0,"",IF($DO244&lt;&gt;"",$DO244,$EH244))</f>
        <v/>
      </c>
      <c r="EJ244">
        <f>IF($DM244=0,"",IF($EI244="",0,IF(OR(ISNUMBER($EI244),AND(AND(SUBSTITUTE(SUBSTITUTE(SUBSTITUTE(SUBSTITUTE(SUBSTITUTE(SUBSTITUTE(SUBSTITUTE(SUBSTITUTE(SUBSTITUTE(SUBSTITUTE(SUBSTITUTE(SUBSTITUTE(SUBSTITUTE(SUBSTITUTE(UPPER($EI244),"0",""),"1",""),"2",""),"3",""),"4",""),"5",""),"6",""),"7",""),"8",""),"9",""),".",""),"+",""),"-",""),"E","")="",LEN(SUBSTITUTE(SUBSTITUTE(MID(UPPER($EI244),1+OR(LEFT(UPPER($EI244),1)="+",LEFT(UPPER($EI244),1)="-"),999),"E+","E"),"E-","E"))=LEN(SUBSTITUTE(SUBSTITUTE(SUBSTITUTE(SUBSTITUTE(MID(UPPER($EI244),1+OR(LEFT(UPPER($EI244),1)="+",LEFT(UPPER($EI244),1)="-"),999),"E+","E"),"E-","E"),"+",""),"-","")),LEN(UPPER($EI244))-LEN(SUBSTITUTE(UPPER($EI244),"E",""))&lt;2,LEN(UPPER($EI244))-LEN(SUBSTITUTE(UPPER($EI244),".",""))&lt;2,IFERROR(FIND(".",UPPER($EI244)),0)&lt;IFERROR(FIND("E",UPPER($EI244)),999)),ISNUMBER(VALUE($EI244)))),1,2)))</f>
        <v/>
      </c>
      <c r="EK244">
        <f>IF($DM244=0,"",IF($EJ244=1,IF(ISNUMBER($EI244),$EI244,VALUE($EI244)),IF($EJ244=2,$DE244,0)))</f>
        <v/>
      </c>
      <c r="EL244">
        <f>IF($DM244=0,"",COUNTIF($EG$5:$EG$1003,"&lt;"&amp;$EG244)+SUMPRODUCT(($EG$5:$EG$1003=$EG244)*(($EJ$5:$EJ$1003&lt;$EJ244)+($EJ$5:$EJ$1003=$EJ244)*(($EK$5:$EK$1003&lt;$EK244)+($EK$5:$EK$1003=$EK244)*($DE$5:$DE$1003&lt;$DE244))))+1)</f>
        <v/>
      </c>
      <c r="EM244">
        <f>IF($DM244=0,"",$EL244+$EG244-1)</f>
        <v/>
      </c>
      <c r="EN244">
        <f>IF($DM244=0,0,IFERROR(MATCH(1,INDEX(--(TRIM(SUBSTITUTE(SUBSTITUTE(SUBSTITUTE(SUBSTITUTE(LINES_NAME&amp;""," "," "),CHAR(9)," "),CHAR(10)," "),CHAR(13)," "))=$DH244),0),0),0))</f>
        <v/>
      </c>
      <c r="EO244">
        <f>IF($EN244=0,0,IF(OR(UPPER(TRIM(INDEX(LINES_SCHEDULED,$EN244)&amp;""))="YES",UPPER(TRIM(INDEX(LINES_SCHEDULED,$EN244)&amp;""))="Y",UPPER(TRIM(INDEX(LINES_SCHEDULED,$EN244)&amp;""))="X"),1,0))</f>
        <v/>
      </c>
      <c r="EP244">
        <f>IF($DM244=0,"",IF(COUNTIFS($EG$5:$EG$1003,$EG244,$EB$5:$EB$1003,"Ready")&gt;0,"READY",IF(COUNTIFS($EG$5:$EG$1003,$EG244,$EB$5:$EB$1003,"PM")&gt;0,"PM",IF(COUNTIFS($EG$5:$EG$1003,$EG244,$EB$5:$EB$1003,"OT")&gt;0,"OT",""))))</f>
        <v/>
      </c>
      <c r="EQ244">
        <f>IF($EN244=0,"",UPPER(TRIM(INDEX(LINES_STATUS,$EN244)&amp;"")))</f>
        <v/>
      </c>
      <c r="ER244">
        <f>IF($DM244=0,"",IF(OR($EQ244="READY",$EQ244="PM",$EQ244="OT"),$EQ244,$EP244))</f>
        <v/>
      </c>
      <c r="ES244">
        <f>IF($DM244=0,"",IF(AND($DV244&lt;&gt;"",UPPER($DV244)&lt;&gt;"N"),"allergen",IF(ISNUMBER(SEARCH("oil",$DQ244)),"oil",IF(OR(EXACT($DS244,"A662"),EXACT($DS244,"A624")),"bulk",""))))</f>
        <v/>
      </c>
      <c r="ET244">
        <f>IF($DM244=0,"",IF(OR($EA244="",$EA244=0),"",$EA244/100))</f>
        <v/>
      </c>
      <c r="EU244">
        <f>IF(OR($ET244="",$DY244=""),"",INT($DY244*(1-$ET244)+0.5))</f>
        <v/>
      </c>
      <c r="EW244" t="n">
        <v>240</v>
      </c>
      <c r="EX244">
        <f>IFERROR(MATCH($EW244,$EM$5:$EM$1003,0),0)</f>
        <v/>
      </c>
      <c r="EY244">
        <f>IF($EW244&gt;$B$12,"",IF($EX244&gt;0,"row","spacer"))</f>
        <v/>
      </c>
      <c r="EZ244">
        <f>IF(AND($EY244="row",$EY243&lt;&gt;"row"),1,0)</f>
        <v/>
      </c>
      <c r="FA244">
        <f>IF(AND($EY244="row",$EY245&lt;&gt;"row"),1,0)</f>
        <v/>
      </c>
      <c r="FB244">
        <f>IF($EZ244=1,IFERROR(IF(ISNUMBER(INDEX(PASTE_ALL,INDEX($DF$5:$DF$1003,$EX244),$B$37)),INDEX(PASTE_ALL,INDEX($DF$5:$DF$1003,$EX244),$B$37),INDEX($DH$5:$DH$1003,$EX244)),INDEX($DH$5:$DH$1003,$EX244)),"")</f>
        <v/>
      </c>
      <c r="FC244">
        <f>IF($EY244="row",INDEX($ER$5:$ER$1003,$EX244),"")</f>
        <v/>
      </c>
      <c r="FD244">
        <f>IF($EY244="row",INDEX($DN$5:$DN$1003,$EX244),"")</f>
        <v/>
      </c>
      <c r="FE244">
        <f>IF($EY244="row",INDEX($DO$5:$DO$1003,$EX244),"")</f>
        <v/>
      </c>
      <c r="FF244">
        <f>IF($EY244="row",INDEX($DP$5:$DP$1003,$EX244),"")</f>
        <v/>
      </c>
      <c r="FG244">
        <f>IF($EY244="row",INDEX($DQ$5:$DQ$1003,$EX244),"")</f>
        <v/>
      </c>
      <c r="FH244">
        <f>IF($EY244="row",INDEX($DR$5:$DR$1003,$EX244),"")</f>
        <v/>
      </c>
      <c r="FI244">
        <f>IF($EY244="row",INDEX($DS$5:$DS$1003,$EX244),"")</f>
        <v/>
      </c>
      <c r="FJ244">
        <f>IF($EY244="row",INDEX($DT$5:$DT$1003,$EX244),"")</f>
        <v/>
      </c>
      <c r="FK244">
        <f>IF($EY244="row",INDEX($DU$5:$DU$1003,$EX244),"")</f>
        <v/>
      </c>
      <c r="FL244">
        <f>IF($EY244="row",INDEX($DV$5:$DV$1003,$EX244),"")</f>
        <v/>
      </c>
      <c r="FM244">
        <f>IF($EY244="row",INDEX($DW$5:$DW$1003,$EX244),"")</f>
        <v/>
      </c>
      <c r="FN244">
        <f>IF($EY244="row",INDEX($DY$5:$DY$1003,$EX244),"")</f>
        <v/>
      </c>
      <c r="FO244">
        <f>IF($EY244="row",INDEX($EA$5:$EA$1003,$EX244),"")</f>
        <v/>
      </c>
      <c r="FP244">
        <f>IF($EY244="row",INDEX($EC$5:$EC$1003,$EX244),"")</f>
        <v/>
      </c>
      <c r="FQ244">
        <f>IF($EY244="row",INDEX($ET$5:$ET$1003,$EX244),"")</f>
        <v/>
      </c>
      <c r="FR244">
        <f>IF($EY244="row",INDEX($EU$5:$EU$1003,$EX244),"")</f>
        <v/>
      </c>
      <c r="FS244">
        <f>IF(AND($EY244="row",$EY243="row"),IF(OR(INDEX($DT$5:$DT$1003,$EX243)="",INDEX($DT$5:$DT$1003,$EX244)=""),"",IF(NOT(EXACT(INDEX($DT$5:$DT$1003,$EX243),INDEX($DT$5:$DT$1003,$EX244))),"S4",IF(NOT(EXACT(INDEX($DS$5:$DS$1003,$EX243),INDEX($DS$5:$DS$1003,$EX244))),"S3",IF(NOT(EXACT(INDEX($DR$5:$DR$1003,$EX243),INDEX($DR$5:$DR$1003,$EX244))),"S1 Count Change","S1")))),"")</f>
        <v/>
      </c>
      <c r="FT244">
        <f>IF($EY244="row",INDEX($ES$5:$ES$1003,$EX244),"")</f>
        <v/>
      </c>
      <c r="FU244">
        <f>IF($EY244="row",INDEX($EO$5:$EO$1003,$EX244),0)</f>
        <v/>
      </c>
      <c r="FV244">
        <f>IF($FS244="S1 Count Change",1,0)</f>
        <v/>
      </c>
    </row>
    <row r="245">
      <c r="DA245" t="n">
        <v>241</v>
      </c>
      <c r="DB245">
        <f>IF($B$37=0,"",IFERROR(TRIM(SUBSTITUTE(SUBSTITUTE(SUBSTITUTE(SUBSTITUTE(INDEX(PASTE_ALL,241,$B$37)," "," "),CHAR(9)," "),CHAR(10)," "),CHAR(13)," ")),""))</f>
        <v/>
      </c>
      <c r="DC245">
        <f>IF(AND(241&gt;HEADER_ROW,UPPER(DB245)="LEGEND"),1,0)</f>
        <v/>
      </c>
      <c r="DE245" t="n">
        <v>241</v>
      </c>
      <c r="DF245">
        <f>HEADER_ROW+$DE245</f>
        <v/>
      </c>
      <c r="DG245">
        <f>IF(AND($DF245&lt;=1000,$DF245&lt;$B$8),1,0)</f>
        <v/>
      </c>
      <c r="DH245">
        <f>IF($DG245=1,IFERROR(INDEX($DB$5:$DB$1004,$DF245),""),"")</f>
        <v/>
      </c>
      <c r="DI245">
        <f>IF(AND($DG245=1,$DH245&lt;&gt;""),IFERROR(SUBSTITUTE(SUBSTITUTE(TRIM(SUBSTITUTE(SUBSTITUTE(SUBSTITUTE(SUBSTITUTE(IFERROR(INDEX(PASTE_ALL,$DF245,1)&amp;"","")&amp;"␟"&amp;IFERROR(INDEX(PASTE_ALL,$DF245,2)&amp;"","")&amp;"␟"&amp;IFERROR(INDEX(PASTE_ALL,$DF245,3)&amp;"","")&amp;"␟"&amp;IFERROR(INDEX(PASTE_ALL,$DF245,4)&amp;"","")&amp;"␟"&amp;IFERROR(INDEX(PASTE_ALL,$DF245,5)&amp;"","")&amp;"␟"&amp;IFERROR(INDEX(PASTE_ALL,$DF245,6)&amp;"","")&amp;"␟"&amp;IFERROR(INDEX(PASTE_ALL,$DF245,7)&amp;"","")&amp;"␟"&amp;IFERROR(INDEX(PASTE_ALL,$DF245,8)&amp;"","")&amp;"␟"&amp;IFERROR(INDEX(PASTE_ALL,$DF245,9)&amp;"","")&amp;"␟"&amp;IFERROR(INDEX(PASTE_ALL,$DF245,10)&amp;"","")&amp;"␟"&amp;IFERROR(INDEX(PASTE_ALL,$DF245,11)&amp;"","")&amp;"␟"&amp;IFERROR(INDEX(PASTE_ALL,$DF245,12)&amp;"","")&amp;"␟"&amp;IFERROR(INDEX(PASTE_ALL,$DF245,13)&amp;"","")&amp;"␟"&amp;IFERROR(INDEX(PASTE_ALL,$DF245,14)&amp;"","")&amp;"␟"&amp;IFERROR(INDEX(PASTE_ALL,$DF245,15)&amp;"","")&amp;"␟"&amp;IFERROR(INDEX(PASTE_ALL,$DF245,16)&amp;"","")&amp;"␟"&amp;IFERROR(INDEX(PASTE_ALL,$DF245,17)&amp;"","")&amp;"␟"&amp;IFERROR(INDEX(PASTE_ALL,$DF245,18)&amp;"","")&amp;"␟"&amp;IFERROR(INDEX(PASTE_ALL,$DF245,19)&amp;"","")&amp;"␟"&amp;IFERROR(INDEX(PASTE_ALL,$DF245,20)&amp;"","")&amp;"␟"&amp;IFERROR(INDEX(PASTE_ALL,$DF245,21)&amp;"","")&amp;"␟"&amp;IFERROR(INDEX(PASTE_ALL,$DF245,22)&amp;"","")&amp;"␟"&amp;IFERROR(INDEX(PASTE_ALL,$DF245,23)&amp;"","")&amp;"␟"&amp;IFERROR(INDEX(PASTE_ALL,$DF245,24)&amp;"","")&amp;"␟"&amp;IFERROR(INDEX(PASTE_ALL,$DF245,25)&amp;"","")&amp;"␟"&amp;IFERROR(INDEX(PASTE_ALL,$DF245,26)&amp;"","")&amp;"␟"&amp;IFERROR(INDEX(PASTE_ALL,$DF245,27)&amp;"","")&amp;"␟"&amp;IFERROR(INDEX(PASTE_ALL,$DF245,28)&amp;"","")&amp;"␟"&amp;IFERROR(INDEX(PASTE_ALL,$DF245,29)&amp;"","")&amp;"␟"&amp;IFERROR(INDEX(PASTE_ALL,$DF245,30)&amp;"","")&amp;"␟"&amp;IFERROR(INDEX(PASTE_ALL,$DF245,31)&amp;"","")&amp;"␟"&amp;IFERROR(INDEX(PASTE_ALL,$DF245,32)&amp;"","")&amp;"␟"&amp;IFERROR(INDEX(PASTE_ALL,$DF245,33)&amp;"","")&amp;"␟"&amp;IFERROR(INDEX(PASTE_ALL,$DF245,34)&amp;"","")&amp;"␟"&amp;IFERROR(INDEX(PASTE_ALL,$DF245,35)&amp;"","")&amp;"␟"&amp;IFERROR(INDEX(PASTE_ALL,$DF245,36)&amp;"","")&amp;"␟"&amp;IFERROR(INDEX(PASTE_ALL,$DF245,37)&amp;"","")&amp;"␟"&amp;IFERROR(INDEX(PASTE_ALL,$DF245,38)&amp;"","")&amp;"␟"&amp;IFERROR(INDEX(PASTE_ALL,$DF245,39)&amp;"","")&amp;"␟"&amp;IFERROR(INDEX(PASTE_ALL,$DF245,40)&amp;"","")&amp;"␟"&amp;IFERROR(INDEX(PASTE_ALL,$DF245,41)&amp;"","")&amp;"␟"&amp;IFERROR(INDEX(PASTE_ALL,$DF245,42)&amp;"","")&amp;"␟"&amp;IFERROR(INDEX(PASTE_ALL,$DF245,43)&amp;"","")&amp;"␟"&amp;IFERROR(INDEX(PASTE_ALL,$DF245,44)&amp;"","")&amp;"␟"&amp;IFERROR(INDEX(PASTE_ALL,$DF245,45)&amp;"","")&amp;"␟"&amp;IFERROR(INDEX(PASTE_ALL,$DF245,46)&amp;"","")&amp;"␟"&amp;IFERROR(INDEX(PASTE_ALL,$DF245,47)&amp;"","")&amp;"␟"&amp;IFERROR(INDEX(PASTE_ALL,$DF245,48)&amp;"","")&amp;"␟"&amp;IFERROR(INDEX(PASTE_ALL,$DF245,49)&amp;"","")&amp;"␟"&amp;IFERROR(INDEX(PASTE_ALL,$DF245,50)&amp;"","")&amp;"␟"&amp;IFERROR(INDEX(PASTE_ALL,$DF245,51)&amp;"","")&amp;"␟"&amp;IFERROR(INDEX(PASTE_ALL,$DF245,52)&amp;"","")&amp;"␟"&amp;IFERROR(INDEX(PASTE_ALL,$DF245,53)&amp;"","")&amp;"␟"&amp;IFERROR(INDEX(PASTE_ALL,$DF245,54)&amp;"","")&amp;"␟"&amp;IFERROR(INDEX(PASTE_ALL,$DF245,55)&amp;"","")&amp;"␟"&amp;IFERROR(INDEX(PASTE_ALL,$DF245,56)&amp;"","")&amp;"␟"&amp;IFERROR(INDEX(PASTE_ALL,$DF245,57)&amp;"","")&amp;"␟"&amp;IFERROR(INDEX(PASTE_ALL,$DF245,58)&amp;"","")&amp;"␟"&amp;IFERROR(INDEX(PASTE_ALL,$DF245,59)&amp;"","")&amp;"␟"&amp;IFERROR(INDEX(PASTE_ALL,$DF245,60)&amp;"","")," "," "),CHAR(9)," "),CHAR(10)," "),CHAR(13)," "))," ␟","␟"),"␟ ","␟"),"#"&amp;$DE245),"")</f>
        <v/>
      </c>
      <c r="DJ245">
        <f>IF($DI245="",0,IF(SUMPRODUCT(--EXACT($DI$4:DI244,$DI245))&gt;0,1,0))</f>
        <v/>
      </c>
      <c r="DK245">
        <f>IF(AND($DI245&lt;&gt;"",$DJ245=0),1,0)</f>
        <v/>
      </c>
      <c r="DL245">
        <f>DL244+$DK245</f>
        <v/>
      </c>
      <c r="DM245">
        <f>IF(AND($DK245=1,$DL245&lt;=600),1,0)</f>
        <v/>
      </c>
      <c r="DN245">
        <f>IF($DM245=0,"",IF($L$6=0,"",IFERROR(IF(ISNUMBER(INDEX(PASTE_ALL,$DF245,$L$6)),INDEX(PASTE_ALL,$DF245,$L$6),TRIM(SUBSTITUTE(SUBSTITUTE(SUBSTITUTE(SUBSTITUTE(INDEX(PASTE_ALL,$DF245,$L$6)," "," "),CHAR(9)," "),CHAR(10)," "),CHAR(13)," "))),"")))</f>
        <v/>
      </c>
      <c r="DO245">
        <f>IF($DM245=0,"",IF($L$7=0,"",IFERROR(IF(ISNUMBER(INDEX(PASTE_ALL,$DF245,$L$7)),INDEX(PASTE_ALL,$DF245,$L$7),TRIM(SUBSTITUTE(SUBSTITUTE(SUBSTITUTE(SUBSTITUTE(INDEX(PASTE_ALL,$DF245,$L$7)," "," "),CHAR(9)," "),CHAR(10)," "),CHAR(13)," "))),"")))</f>
        <v/>
      </c>
      <c r="DP245">
        <f>IF($DM245=0,"",IF($L$8=0,"",IFERROR(IF(ISNUMBER(INDEX(PASTE_ALL,$DF245,$L$8)),INDEX(PASTE_ALL,$DF245,$L$8),TRIM(SUBSTITUTE(SUBSTITUTE(SUBSTITUTE(SUBSTITUTE(INDEX(PASTE_ALL,$DF245,$L$8)," "," "),CHAR(9)," "),CHAR(10)," "),CHAR(13)," "))),"")))</f>
        <v/>
      </c>
      <c r="DQ245">
        <f>IF($DM245=0,"",IF($L$9=0,"",IFERROR(IF(ISNUMBER(INDEX(PASTE_ALL,$DF245,$L$9)),INDEX(PASTE_ALL,$DF245,$L$9),TRIM(SUBSTITUTE(SUBSTITUTE(SUBSTITUTE(SUBSTITUTE(INDEX(PASTE_ALL,$DF245,$L$9)," "," "),CHAR(9)," "),CHAR(10)," "),CHAR(13)," "))),"")))</f>
        <v/>
      </c>
      <c r="DR245">
        <f>IF($DM245=0,"",IF($L$10=0,"",IFERROR(IF(ISNUMBER(INDEX(PASTE_ALL,$DF245,$L$10)),INDEX(PASTE_ALL,$DF245,$L$10),TRIM(SUBSTITUTE(SUBSTITUTE(SUBSTITUTE(SUBSTITUTE(INDEX(PASTE_ALL,$DF245,$L$10)," "," "),CHAR(9)," "),CHAR(10)," "),CHAR(13)," "))),"")))</f>
        <v/>
      </c>
      <c r="DS245">
        <f>IF($DM245=0,"",IF($L$11=0,"",IFERROR(IF(ISNUMBER(INDEX(PASTE_ALL,$DF245,$L$11)),INDEX(PASTE_ALL,$DF245,$L$11),TRIM(SUBSTITUTE(SUBSTITUTE(SUBSTITUTE(SUBSTITUTE(INDEX(PASTE_ALL,$DF245,$L$11)," "," "),CHAR(9)," "),CHAR(10)," "),CHAR(13)," "))),"")))</f>
        <v/>
      </c>
      <c r="DT245">
        <f>IF($DM245=0,"",IF($L$12=0,"",IFERROR(IF(ISNUMBER(INDEX(PASTE_ALL,$DF245,$L$12)),INDEX(PASTE_ALL,$DF245,$L$12),TRIM(SUBSTITUTE(SUBSTITUTE(SUBSTITUTE(SUBSTITUTE(INDEX(PASTE_ALL,$DF245,$L$12)," "," "),CHAR(9)," "),CHAR(10)," "),CHAR(13)," "))),"")))</f>
        <v/>
      </c>
      <c r="DU245">
        <f>IF($DM245=0,"",IF($L$13=0,"",IFERROR(IF(ISNUMBER(INDEX(PASTE_ALL,$DF245,$L$13)),INDEX(PASTE_ALL,$DF245,$L$13),TRIM(SUBSTITUTE(SUBSTITUTE(SUBSTITUTE(SUBSTITUTE(INDEX(PASTE_ALL,$DF245,$L$13)," "," "),CHAR(9)," "),CHAR(10)," "),CHAR(13)," "))),"")))</f>
        <v/>
      </c>
      <c r="DV245">
        <f>IF($DM245=0,"",IF($L$14=0,"",IFERROR(IF(ISNUMBER(INDEX(PASTE_ALL,$DF245,$L$14)),INDEX(PASTE_ALL,$DF245,$L$14),TRIM(SUBSTITUTE(SUBSTITUTE(SUBSTITUTE(SUBSTITUTE(INDEX(PASTE_ALL,$DF245,$L$14)," "," "),CHAR(9)," "),CHAR(10)," "),CHAR(13)," "))),"")))</f>
        <v/>
      </c>
      <c r="DW245">
        <f>IF($DM245=0,"",IF($L$15=0,"",IFERROR(IF(ISNUMBER(INDEX(PASTE_ALL,$DF245,$L$15)),INDEX(PASTE_ALL,$DF245,$L$15),IF(SUMPRODUCT(--ISNUMBER(FIND({"A","B","C","D","E","F","G","H","I","J","K","L","M","N","O","P","Q","R","S","T","U","V","W","X","Y","Z","0","1","2","3","4","5","6","7","8","9"},UPPER(TRIM(SUBSTITUTE(SUBSTITUTE(SUBSTITUTE(SUBSTITUTE(INDEX(PASTE_ALL,$DF245,$L$15)," "," "),CHAR(9)," "),CHAR(10)," "),CHAR(13)," "))))))&gt;0,TRIM(SUBSTITUTE(SUBSTITUTE(SUBSTITUTE(SUBSTITUTE(INDEX(PASTE_ALL,$DF245,$L$15)," "," "),CHAR(9)," "),CHAR(10)," "),CHAR(13)," ")),"")),"")))</f>
        <v/>
      </c>
      <c r="DX245">
        <f>IF($DM245=0,"",IF($L$16=0,"",IFERROR(IF(ISNUMBER(INDEX(PASTE_ALL,$DF245,$L$16)),INDEX(PASTE_ALL,$DF245,$L$16),SUBSTITUTE(SUBSTITUTE(TRIM(SUBSTITUTE(SUBSTITUTE(SUBSTITUTE(SUBSTITUTE(INDEX(PASTE_ALL,$DF245,$L$16)," "," "),CHAR(9)," "),CHAR(10)," "),CHAR(13)," ")),",",""),"%","")),"")))</f>
        <v/>
      </c>
      <c r="DY245">
        <f>IF($DM245=0,"",IFERROR(IF(ISNUMBER($DX245),$DX245,IF($DX245="","",IF(TRIM($DX245)="",0,IF(AND(AND(SUBSTITUTE(SUBSTITUTE(SUBSTITUTE(SUBSTITUTE(SUBSTITUTE(SUBSTITUTE(SUBSTITUTE(SUBSTITUTE(SUBSTITUTE(SUBSTITUTE(SUBSTITUTE(SUBSTITUTE(SUBSTITUTE(SUBSTITUTE(UPPER(TRIM($DX245)),"0",""),"1",""),"2",""),"3",""),"4",""),"5",""),"6",""),"7",""),"8",""),"9",""),".",""),"+",""),"-",""),"E","")="",LEN(SUBSTITUTE(SUBSTITUTE(MID(UPPER(TRIM($DX245)),1+OR(LEFT(UPPER(TRIM($DX245)),1)="+",LEFT(UPPER(TRIM($DX245)),1)="-"),999),"E+","E"),"E-","E"))=LEN(SUBSTITUTE(SUBSTITUTE(SUBSTITUTE(SUBSTITUTE(MID(UPPER(TRIM($DX245)),1+OR(LEFT(UPPER(TRIM($DX245)),1)="+",LEFT(UPPER(TRIM($DX245)),1)="-"),999),"E+","E"),"E-","E"),"+",""),"-","")),LEN(UPPER(TRIM($DX245)))-LEN(SUBSTITUTE(UPPER(TRIM($DX245)),"E",""))&lt;2,LEN(UPPER(TRIM($DX245)))-LEN(SUBSTITUTE(UPPER(TRIM($DX245)),".",""))&lt;2,IFERROR(FIND(".",UPPER(TRIM($DX245))),0)&lt;IFERROR(FIND("E",UPPER(TRIM($DX245))),999)),ISNUMBER(VALUE(TRIM($DX245)))),VALUE(TRIM($DX245)),"")))),""))</f>
        <v/>
      </c>
      <c r="DZ245">
        <f>IF($DM245=0,"",IF($L$17=0,"",IFERROR(IF(ISNUMBER(INDEX(PASTE_ALL,$DF245,$L$17)),INDEX(PASTE_ALL,$DF245,$L$17),SUBSTITUTE(SUBSTITUTE(TRIM(SUBSTITUTE(SUBSTITUTE(SUBSTITUTE(SUBSTITUTE(INDEX(PASTE_ALL,$DF245,$L$17)," "," "),CHAR(9)," "),CHAR(10)," "),CHAR(13)," ")),",",""),"%","")),"")))</f>
        <v/>
      </c>
      <c r="EA245">
        <f>IF($DM245=0,"",IFERROR(IF(ISNUMBER($DZ245),$DZ245,IF($DZ245="","",IF(TRIM($DZ245)="",0,IF(AND(AND(SUBSTITUTE(SUBSTITUTE(SUBSTITUTE(SUBSTITUTE(SUBSTITUTE(SUBSTITUTE(SUBSTITUTE(SUBSTITUTE(SUBSTITUTE(SUBSTITUTE(SUBSTITUTE(SUBSTITUTE(SUBSTITUTE(SUBSTITUTE(UPPER(TRIM($DZ245)),"0",""),"1",""),"2",""),"3",""),"4",""),"5",""),"6",""),"7",""),"8",""),"9",""),".",""),"+",""),"-",""),"E","")="",LEN(SUBSTITUTE(SUBSTITUTE(MID(UPPER(TRIM($DZ245)),1+OR(LEFT(UPPER(TRIM($DZ245)),1)="+",LEFT(UPPER(TRIM($DZ245)),1)="-"),999),"E+","E"),"E-","E"))=LEN(SUBSTITUTE(SUBSTITUTE(SUBSTITUTE(SUBSTITUTE(MID(UPPER(TRIM($DZ245)),1+OR(LEFT(UPPER(TRIM($DZ245)),1)="+",LEFT(UPPER(TRIM($DZ245)),1)="-"),999),"E+","E"),"E-","E"),"+",""),"-","")),LEN(UPPER(TRIM($DZ245)))-LEN(SUBSTITUTE(UPPER(TRIM($DZ245)),"E",""))&lt;2,LEN(UPPER(TRIM($DZ245)))-LEN(SUBSTITUTE(UPPER(TRIM($DZ245)),".",""))&lt;2,IFERROR(FIND(".",UPPER(TRIM($DZ245))),0)&lt;IFERROR(FIND("E",UPPER(TRIM($DZ245))),999)),ISNUMBER(VALUE(TRIM($DZ245)))),VALUE(TRIM($DZ245)),"")))),""))</f>
        <v/>
      </c>
      <c r="EB245">
        <f>IF($DM245=0,"",IF($L$18=0,"",IFERROR(IF(UPPER(TRIM(SUBSTITUTE(SUBSTITUTE(SUBSTITUTE(SUBSTITUTE(INDEX(PASTE_ALL,$DF245,$L$18)," "," "),CHAR(9)," "),CHAR(10)," "),CHAR(13)," ")))="READY","Ready",IF(UPPER(TRIM(SUBSTITUTE(SUBSTITUTE(SUBSTITUTE(SUBSTITUTE(INDEX(PASTE_ALL,$DF245,$L$18)," "," "),CHAR(9)," "),CHAR(10)," "),CHAR(13)," ")))="PM","PM",IF(OR(UPPER(TRIM(SUBSTITUTE(SUBSTITUTE(SUBSTITUTE(SUBSTITUTE(INDEX(PASTE_ALL,$DF245,$L$18)," "," "),CHAR(9)," "),CHAR(10)," "),CHAR(13)," ")))="OT",UPPER(TRIM(SUBSTITUTE(SUBSTITUTE(SUBSTITUTE(SUBSTITUTE(INDEX(PASTE_ALL,$DF245,$L$18)," "," "),CHAR(9)," "),CHAR(10)," "),CHAR(13)," ")))="OVERTIME",UPPER(TRIM(SUBSTITUTE(SUBSTITUTE(SUBSTITUTE(SUBSTITUTE(INDEX(PASTE_ALL,$DF245,$L$18)," "," "),CHAR(9)," "),CHAR(10)," "),CHAR(13)," ")))="TRIAL"),"OT",TRIM(SUBSTITUTE(SUBSTITUTE(SUBSTITUTE(SUBSTITUTE(INDEX(PASTE_ALL,$DF245,$L$18)," "," "),CHAR(9)," "),CHAR(10)," "),CHAR(13)," "))))),"")))</f>
        <v/>
      </c>
      <c r="EC245">
        <f>IF($DM245=0,"",IF($L$19=0,"",IFERROR(IF(ISNUMBER(INDEX(PASTE_ALL,$DF245,$L$19)),INDEX(PASTE_ALL,$DF245,$L$19),TRIM(SUBSTITUTE(SUBSTITUTE(SUBSTITUTE(SUBSTITUTE(INDEX(PASTE_ALL,$DF245,$L$19)," "," "),CHAR(9)," "),CHAR(10)," "),CHAR(13)," "))),"")))</f>
        <v/>
      </c>
      <c r="ED245">
        <f>IF($DM245=0,"",MATCH(1,INDEX(EXACT($DH$5:DH245,$DH245)*$DM$5:DM245,0),0))</f>
        <v/>
      </c>
      <c r="EE245">
        <f>IF($DM245=0,0,IF($ED245=$DE245,1,0))</f>
        <v/>
      </c>
      <c r="EF245">
        <f>EF244+$EE245</f>
        <v/>
      </c>
      <c r="EG245">
        <f>IF($DM245=0,"",INDEX($EF$5:$EF$1003,$ED245))</f>
        <v/>
      </c>
      <c r="EH245">
        <f>IF($DM245=0,"",IF($DO245&lt;&gt;"","",IFERROR(LOOKUP(2,1/(($EG$4:EG244=$EG245)*($DO$4:DO244&lt;&gt;"")),$DO$4:DO244),"")))</f>
        <v/>
      </c>
      <c r="EI245">
        <f>IF($DM245=0,"",IF($DO245&lt;&gt;"",$DO245,$EH245))</f>
        <v/>
      </c>
      <c r="EJ245">
        <f>IF($DM245=0,"",IF($EI245="",0,IF(OR(ISNUMBER($EI245),AND(AND(SUBSTITUTE(SUBSTITUTE(SUBSTITUTE(SUBSTITUTE(SUBSTITUTE(SUBSTITUTE(SUBSTITUTE(SUBSTITUTE(SUBSTITUTE(SUBSTITUTE(SUBSTITUTE(SUBSTITUTE(SUBSTITUTE(SUBSTITUTE(UPPER($EI245),"0",""),"1",""),"2",""),"3",""),"4",""),"5",""),"6",""),"7",""),"8",""),"9",""),".",""),"+",""),"-",""),"E","")="",LEN(SUBSTITUTE(SUBSTITUTE(MID(UPPER($EI245),1+OR(LEFT(UPPER($EI245),1)="+",LEFT(UPPER($EI245),1)="-"),999),"E+","E"),"E-","E"))=LEN(SUBSTITUTE(SUBSTITUTE(SUBSTITUTE(SUBSTITUTE(MID(UPPER($EI245),1+OR(LEFT(UPPER($EI245),1)="+",LEFT(UPPER($EI245),1)="-"),999),"E+","E"),"E-","E"),"+",""),"-","")),LEN(UPPER($EI245))-LEN(SUBSTITUTE(UPPER($EI245),"E",""))&lt;2,LEN(UPPER($EI245))-LEN(SUBSTITUTE(UPPER($EI245),".",""))&lt;2,IFERROR(FIND(".",UPPER($EI245)),0)&lt;IFERROR(FIND("E",UPPER($EI245)),999)),ISNUMBER(VALUE($EI245)))),1,2)))</f>
        <v/>
      </c>
      <c r="EK245">
        <f>IF($DM245=0,"",IF($EJ245=1,IF(ISNUMBER($EI245),$EI245,VALUE($EI245)),IF($EJ245=2,$DE245,0)))</f>
        <v/>
      </c>
      <c r="EL245">
        <f>IF($DM245=0,"",COUNTIF($EG$5:$EG$1003,"&lt;"&amp;$EG245)+SUMPRODUCT(($EG$5:$EG$1003=$EG245)*(($EJ$5:$EJ$1003&lt;$EJ245)+($EJ$5:$EJ$1003=$EJ245)*(($EK$5:$EK$1003&lt;$EK245)+($EK$5:$EK$1003=$EK245)*($DE$5:$DE$1003&lt;$DE245))))+1)</f>
        <v/>
      </c>
      <c r="EM245">
        <f>IF($DM245=0,"",$EL245+$EG245-1)</f>
        <v/>
      </c>
      <c r="EN245">
        <f>IF($DM245=0,0,IFERROR(MATCH(1,INDEX(--(TRIM(SUBSTITUTE(SUBSTITUTE(SUBSTITUTE(SUBSTITUTE(LINES_NAME&amp;""," "," "),CHAR(9)," "),CHAR(10)," "),CHAR(13)," "))=$DH245),0),0),0))</f>
        <v/>
      </c>
      <c r="EO245">
        <f>IF($EN245=0,0,IF(OR(UPPER(TRIM(INDEX(LINES_SCHEDULED,$EN245)&amp;""))="YES",UPPER(TRIM(INDEX(LINES_SCHEDULED,$EN245)&amp;""))="Y",UPPER(TRIM(INDEX(LINES_SCHEDULED,$EN245)&amp;""))="X"),1,0))</f>
        <v/>
      </c>
      <c r="EP245">
        <f>IF($DM245=0,"",IF(COUNTIFS($EG$5:$EG$1003,$EG245,$EB$5:$EB$1003,"Ready")&gt;0,"READY",IF(COUNTIFS($EG$5:$EG$1003,$EG245,$EB$5:$EB$1003,"PM")&gt;0,"PM",IF(COUNTIFS($EG$5:$EG$1003,$EG245,$EB$5:$EB$1003,"OT")&gt;0,"OT",""))))</f>
        <v/>
      </c>
      <c r="EQ245">
        <f>IF($EN245=0,"",UPPER(TRIM(INDEX(LINES_STATUS,$EN245)&amp;"")))</f>
        <v/>
      </c>
      <c r="ER245">
        <f>IF($DM245=0,"",IF(OR($EQ245="READY",$EQ245="PM",$EQ245="OT"),$EQ245,$EP245))</f>
        <v/>
      </c>
      <c r="ES245">
        <f>IF($DM245=0,"",IF(AND($DV245&lt;&gt;"",UPPER($DV245)&lt;&gt;"N"),"allergen",IF(ISNUMBER(SEARCH("oil",$DQ245)),"oil",IF(OR(EXACT($DS245,"A662"),EXACT($DS245,"A624")),"bulk",""))))</f>
        <v/>
      </c>
      <c r="ET245">
        <f>IF($DM245=0,"",IF(OR($EA245="",$EA245=0),"",$EA245/100))</f>
        <v/>
      </c>
      <c r="EU245">
        <f>IF(OR($ET245="",$DY245=""),"",INT($DY245*(1-$ET245)+0.5))</f>
        <v/>
      </c>
      <c r="EW245" t="n">
        <v>241</v>
      </c>
      <c r="EX245">
        <f>IFERROR(MATCH($EW245,$EM$5:$EM$1003,0),0)</f>
        <v/>
      </c>
      <c r="EY245">
        <f>IF($EW245&gt;$B$12,"",IF($EX245&gt;0,"row","spacer"))</f>
        <v/>
      </c>
      <c r="EZ245">
        <f>IF(AND($EY245="row",$EY244&lt;&gt;"row"),1,0)</f>
        <v/>
      </c>
      <c r="FA245">
        <f>IF(AND($EY245="row",$EY246&lt;&gt;"row"),1,0)</f>
        <v/>
      </c>
      <c r="FB245">
        <f>IF($EZ245=1,IFERROR(IF(ISNUMBER(INDEX(PASTE_ALL,INDEX($DF$5:$DF$1003,$EX245),$B$37)),INDEX(PASTE_ALL,INDEX($DF$5:$DF$1003,$EX245),$B$37),INDEX($DH$5:$DH$1003,$EX245)),INDEX($DH$5:$DH$1003,$EX245)),"")</f>
        <v/>
      </c>
      <c r="FC245">
        <f>IF($EY245="row",INDEX($ER$5:$ER$1003,$EX245),"")</f>
        <v/>
      </c>
      <c r="FD245">
        <f>IF($EY245="row",INDEX($DN$5:$DN$1003,$EX245),"")</f>
        <v/>
      </c>
      <c r="FE245">
        <f>IF($EY245="row",INDEX($DO$5:$DO$1003,$EX245),"")</f>
        <v/>
      </c>
      <c r="FF245">
        <f>IF($EY245="row",INDEX($DP$5:$DP$1003,$EX245),"")</f>
        <v/>
      </c>
      <c r="FG245">
        <f>IF($EY245="row",INDEX($DQ$5:$DQ$1003,$EX245),"")</f>
        <v/>
      </c>
      <c r="FH245">
        <f>IF($EY245="row",INDEX($DR$5:$DR$1003,$EX245),"")</f>
        <v/>
      </c>
      <c r="FI245">
        <f>IF($EY245="row",INDEX($DS$5:$DS$1003,$EX245),"")</f>
        <v/>
      </c>
      <c r="FJ245">
        <f>IF($EY245="row",INDEX($DT$5:$DT$1003,$EX245),"")</f>
        <v/>
      </c>
      <c r="FK245">
        <f>IF($EY245="row",INDEX($DU$5:$DU$1003,$EX245),"")</f>
        <v/>
      </c>
      <c r="FL245">
        <f>IF($EY245="row",INDEX($DV$5:$DV$1003,$EX245),"")</f>
        <v/>
      </c>
      <c r="FM245">
        <f>IF($EY245="row",INDEX($DW$5:$DW$1003,$EX245),"")</f>
        <v/>
      </c>
      <c r="FN245">
        <f>IF($EY245="row",INDEX($DY$5:$DY$1003,$EX245),"")</f>
        <v/>
      </c>
      <c r="FO245">
        <f>IF($EY245="row",INDEX($EA$5:$EA$1003,$EX245),"")</f>
        <v/>
      </c>
      <c r="FP245">
        <f>IF($EY245="row",INDEX($EC$5:$EC$1003,$EX245),"")</f>
        <v/>
      </c>
      <c r="FQ245">
        <f>IF($EY245="row",INDEX($ET$5:$ET$1003,$EX245),"")</f>
        <v/>
      </c>
      <c r="FR245">
        <f>IF($EY245="row",INDEX($EU$5:$EU$1003,$EX245),"")</f>
        <v/>
      </c>
      <c r="FS245">
        <f>IF(AND($EY245="row",$EY244="row"),IF(OR(INDEX($DT$5:$DT$1003,$EX244)="",INDEX($DT$5:$DT$1003,$EX245)=""),"",IF(NOT(EXACT(INDEX($DT$5:$DT$1003,$EX244),INDEX($DT$5:$DT$1003,$EX245))),"S4",IF(NOT(EXACT(INDEX($DS$5:$DS$1003,$EX244),INDEX($DS$5:$DS$1003,$EX245))),"S3",IF(NOT(EXACT(INDEX($DR$5:$DR$1003,$EX244),INDEX($DR$5:$DR$1003,$EX245))),"S1 Count Change","S1")))),"")</f>
        <v/>
      </c>
      <c r="FT245">
        <f>IF($EY245="row",INDEX($ES$5:$ES$1003,$EX245),"")</f>
        <v/>
      </c>
      <c r="FU245">
        <f>IF($EY245="row",INDEX($EO$5:$EO$1003,$EX245),0)</f>
        <v/>
      </c>
      <c r="FV245">
        <f>IF($FS245="S1 Count Change",1,0)</f>
        <v/>
      </c>
    </row>
    <row r="246">
      <c r="DA246" t="n">
        <v>242</v>
      </c>
      <c r="DB246">
        <f>IF($B$37=0,"",IFERROR(TRIM(SUBSTITUTE(SUBSTITUTE(SUBSTITUTE(SUBSTITUTE(INDEX(PASTE_ALL,242,$B$37)," "," "),CHAR(9)," "),CHAR(10)," "),CHAR(13)," ")),""))</f>
        <v/>
      </c>
      <c r="DC246">
        <f>IF(AND(242&gt;HEADER_ROW,UPPER(DB246)="LEGEND"),1,0)</f>
        <v/>
      </c>
      <c r="DE246" t="n">
        <v>242</v>
      </c>
      <c r="DF246">
        <f>HEADER_ROW+$DE246</f>
        <v/>
      </c>
      <c r="DG246">
        <f>IF(AND($DF246&lt;=1000,$DF246&lt;$B$8),1,0)</f>
        <v/>
      </c>
      <c r="DH246">
        <f>IF($DG246=1,IFERROR(INDEX($DB$5:$DB$1004,$DF246),""),"")</f>
        <v/>
      </c>
      <c r="DI246">
        <f>IF(AND($DG246=1,$DH246&lt;&gt;""),IFERROR(SUBSTITUTE(SUBSTITUTE(TRIM(SUBSTITUTE(SUBSTITUTE(SUBSTITUTE(SUBSTITUTE(IFERROR(INDEX(PASTE_ALL,$DF246,1)&amp;"","")&amp;"␟"&amp;IFERROR(INDEX(PASTE_ALL,$DF246,2)&amp;"","")&amp;"␟"&amp;IFERROR(INDEX(PASTE_ALL,$DF246,3)&amp;"","")&amp;"␟"&amp;IFERROR(INDEX(PASTE_ALL,$DF246,4)&amp;"","")&amp;"␟"&amp;IFERROR(INDEX(PASTE_ALL,$DF246,5)&amp;"","")&amp;"␟"&amp;IFERROR(INDEX(PASTE_ALL,$DF246,6)&amp;"","")&amp;"␟"&amp;IFERROR(INDEX(PASTE_ALL,$DF246,7)&amp;"","")&amp;"␟"&amp;IFERROR(INDEX(PASTE_ALL,$DF246,8)&amp;"","")&amp;"␟"&amp;IFERROR(INDEX(PASTE_ALL,$DF246,9)&amp;"","")&amp;"␟"&amp;IFERROR(INDEX(PASTE_ALL,$DF246,10)&amp;"","")&amp;"␟"&amp;IFERROR(INDEX(PASTE_ALL,$DF246,11)&amp;"","")&amp;"␟"&amp;IFERROR(INDEX(PASTE_ALL,$DF246,12)&amp;"","")&amp;"␟"&amp;IFERROR(INDEX(PASTE_ALL,$DF246,13)&amp;"","")&amp;"␟"&amp;IFERROR(INDEX(PASTE_ALL,$DF246,14)&amp;"","")&amp;"␟"&amp;IFERROR(INDEX(PASTE_ALL,$DF246,15)&amp;"","")&amp;"␟"&amp;IFERROR(INDEX(PASTE_ALL,$DF246,16)&amp;"","")&amp;"␟"&amp;IFERROR(INDEX(PASTE_ALL,$DF246,17)&amp;"","")&amp;"␟"&amp;IFERROR(INDEX(PASTE_ALL,$DF246,18)&amp;"","")&amp;"␟"&amp;IFERROR(INDEX(PASTE_ALL,$DF246,19)&amp;"","")&amp;"␟"&amp;IFERROR(INDEX(PASTE_ALL,$DF246,20)&amp;"","")&amp;"␟"&amp;IFERROR(INDEX(PASTE_ALL,$DF246,21)&amp;"","")&amp;"␟"&amp;IFERROR(INDEX(PASTE_ALL,$DF246,22)&amp;"","")&amp;"␟"&amp;IFERROR(INDEX(PASTE_ALL,$DF246,23)&amp;"","")&amp;"␟"&amp;IFERROR(INDEX(PASTE_ALL,$DF246,24)&amp;"","")&amp;"␟"&amp;IFERROR(INDEX(PASTE_ALL,$DF246,25)&amp;"","")&amp;"␟"&amp;IFERROR(INDEX(PASTE_ALL,$DF246,26)&amp;"","")&amp;"␟"&amp;IFERROR(INDEX(PASTE_ALL,$DF246,27)&amp;"","")&amp;"␟"&amp;IFERROR(INDEX(PASTE_ALL,$DF246,28)&amp;"","")&amp;"␟"&amp;IFERROR(INDEX(PASTE_ALL,$DF246,29)&amp;"","")&amp;"␟"&amp;IFERROR(INDEX(PASTE_ALL,$DF246,30)&amp;"","")&amp;"␟"&amp;IFERROR(INDEX(PASTE_ALL,$DF246,31)&amp;"","")&amp;"␟"&amp;IFERROR(INDEX(PASTE_ALL,$DF246,32)&amp;"","")&amp;"␟"&amp;IFERROR(INDEX(PASTE_ALL,$DF246,33)&amp;"","")&amp;"␟"&amp;IFERROR(INDEX(PASTE_ALL,$DF246,34)&amp;"","")&amp;"␟"&amp;IFERROR(INDEX(PASTE_ALL,$DF246,35)&amp;"","")&amp;"␟"&amp;IFERROR(INDEX(PASTE_ALL,$DF246,36)&amp;"","")&amp;"␟"&amp;IFERROR(INDEX(PASTE_ALL,$DF246,37)&amp;"","")&amp;"␟"&amp;IFERROR(INDEX(PASTE_ALL,$DF246,38)&amp;"","")&amp;"␟"&amp;IFERROR(INDEX(PASTE_ALL,$DF246,39)&amp;"","")&amp;"␟"&amp;IFERROR(INDEX(PASTE_ALL,$DF246,40)&amp;"","")&amp;"␟"&amp;IFERROR(INDEX(PASTE_ALL,$DF246,41)&amp;"","")&amp;"␟"&amp;IFERROR(INDEX(PASTE_ALL,$DF246,42)&amp;"","")&amp;"␟"&amp;IFERROR(INDEX(PASTE_ALL,$DF246,43)&amp;"","")&amp;"␟"&amp;IFERROR(INDEX(PASTE_ALL,$DF246,44)&amp;"","")&amp;"␟"&amp;IFERROR(INDEX(PASTE_ALL,$DF246,45)&amp;"","")&amp;"␟"&amp;IFERROR(INDEX(PASTE_ALL,$DF246,46)&amp;"","")&amp;"␟"&amp;IFERROR(INDEX(PASTE_ALL,$DF246,47)&amp;"","")&amp;"␟"&amp;IFERROR(INDEX(PASTE_ALL,$DF246,48)&amp;"","")&amp;"␟"&amp;IFERROR(INDEX(PASTE_ALL,$DF246,49)&amp;"","")&amp;"␟"&amp;IFERROR(INDEX(PASTE_ALL,$DF246,50)&amp;"","")&amp;"␟"&amp;IFERROR(INDEX(PASTE_ALL,$DF246,51)&amp;"","")&amp;"␟"&amp;IFERROR(INDEX(PASTE_ALL,$DF246,52)&amp;"","")&amp;"␟"&amp;IFERROR(INDEX(PASTE_ALL,$DF246,53)&amp;"","")&amp;"␟"&amp;IFERROR(INDEX(PASTE_ALL,$DF246,54)&amp;"","")&amp;"␟"&amp;IFERROR(INDEX(PASTE_ALL,$DF246,55)&amp;"","")&amp;"␟"&amp;IFERROR(INDEX(PASTE_ALL,$DF246,56)&amp;"","")&amp;"␟"&amp;IFERROR(INDEX(PASTE_ALL,$DF246,57)&amp;"","")&amp;"␟"&amp;IFERROR(INDEX(PASTE_ALL,$DF246,58)&amp;"","")&amp;"␟"&amp;IFERROR(INDEX(PASTE_ALL,$DF246,59)&amp;"","")&amp;"␟"&amp;IFERROR(INDEX(PASTE_ALL,$DF246,60)&amp;"","")," "," "),CHAR(9)," "),CHAR(10)," "),CHAR(13)," "))," ␟","␟"),"␟ ","␟"),"#"&amp;$DE246),"")</f>
        <v/>
      </c>
      <c r="DJ246">
        <f>IF($DI246="",0,IF(SUMPRODUCT(--EXACT($DI$4:DI245,$DI246))&gt;0,1,0))</f>
        <v/>
      </c>
      <c r="DK246">
        <f>IF(AND($DI246&lt;&gt;"",$DJ246=0),1,0)</f>
        <v/>
      </c>
      <c r="DL246">
        <f>DL245+$DK246</f>
        <v/>
      </c>
      <c r="DM246">
        <f>IF(AND($DK246=1,$DL246&lt;=600),1,0)</f>
        <v/>
      </c>
      <c r="DN246">
        <f>IF($DM246=0,"",IF($L$6=0,"",IFERROR(IF(ISNUMBER(INDEX(PASTE_ALL,$DF246,$L$6)),INDEX(PASTE_ALL,$DF246,$L$6),TRIM(SUBSTITUTE(SUBSTITUTE(SUBSTITUTE(SUBSTITUTE(INDEX(PASTE_ALL,$DF246,$L$6)," "," "),CHAR(9)," "),CHAR(10)," "),CHAR(13)," "))),"")))</f>
        <v/>
      </c>
      <c r="DO246">
        <f>IF($DM246=0,"",IF($L$7=0,"",IFERROR(IF(ISNUMBER(INDEX(PASTE_ALL,$DF246,$L$7)),INDEX(PASTE_ALL,$DF246,$L$7),TRIM(SUBSTITUTE(SUBSTITUTE(SUBSTITUTE(SUBSTITUTE(INDEX(PASTE_ALL,$DF246,$L$7)," "," "),CHAR(9)," "),CHAR(10)," "),CHAR(13)," "))),"")))</f>
        <v/>
      </c>
      <c r="DP246">
        <f>IF($DM246=0,"",IF($L$8=0,"",IFERROR(IF(ISNUMBER(INDEX(PASTE_ALL,$DF246,$L$8)),INDEX(PASTE_ALL,$DF246,$L$8),TRIM(SUBSTITUTE(SUBSTITUTE(SUBSTITUTE(SUBSTITUTE(INDEX(PASTE_ALL,$DF246,$L$8)," "," "),CHAR(9)," "),CHAR(10)," "),CHAR(13)," "))),"")))</f>
        <v/>
      </c>
      <c r="DQ246">
        <f>IF($DM246=0,"",IF($L$9=0,"",IFERROR(IF(ISNUMBER(INDEX(PASTE_ALL,$DF246,$L$9)),INDEX(PASTE_ALL,$DF246,$L$9),TRIM(SUBSTITUTE(SUBSTITUTE(SUBSTITUTE(SUBSTITUTE(INDEX(PASTE_ALL,$DF246,$L$9)," "," "),CHAR(9)," "),CHAR(10)," "),CHAR(13)," "))),"")))</f>
        <v/>
      </c>
      <c r="DR246">
        <f>IF($DM246=0,"",IF($L$10=0,"",IFERROR(IF(ISNUMBER(INDEX(PASTE_ALL,$DF246,$L$10)),INDEX(PASTE_ALL,$DF246,$L$10),TRIM(SUBSTITUTE(SUBSTITUTE(SUBSTITUTE(SUBSTITUTE(INDEX(PASTE_ALL,$DF246,$L$10)," "," "),CHAR(9)," "),CHAR(10)," "),CHAR(13)," "))),"")))</f>
        <v/>
      </c>
      <c r="DS246">
        <f>IF($DM246=0,"",IF($L$11=0,"",IFERROR(IF(ISNUMBER(INDEX(PASTE_ALL,$DF246,$L$11)),INDEX(PASTE_ALL,$DF246,$L$11),TRIM(SUBSTITUTE(SUBSTITUTE(SUBSTITUTE(SUBSTITUTE(INDEX(PASTE_ALL,$DF246,$L$11)," "," "),CHAR(9)," "),CHAR(10)," "),CHAR(13)," "))),"")))</f>
        <v/>
      </c>
      <c r="DT246">
        <f>IF($DM246=0,"",IF($L$12=0,"",IFERROR(IF(ISNUMBER(INDEX(PASTE_ALL,$DF246,$L$12)),INDEX(PASTE_ALL,$DF246,$L$12),TRIM(SUBSTITUTE(SUBSTITUTE(SUBSTITUTE(SUBSTITUTE(INDEX(PASTE_ALL,$DF246,$L$12)," "," "),CHAR(9)," "),CHAR(10)," "),CHAR(13)," "))),"")))</f>
        <v/>
      </c>
      <c r="DU246">
        <f>IF($DM246=0,"",IF($L$13=0,"",IFERROR(IF(ISNUMBER(INDEX(PASTE_ALL,$DF246,$L$13)),INDEX(PASTE_ALL,$DF246,$L$13),TRIM(SUBSTITUTE(SUBSTITUTE(SUBSTITUTE(SUBSTITUTE(INDEX(PASTE_ALL,$DF246,$L$13)," "," "),CHAR(9)," "),CHAR(10)," "),CHAR(13)," "))),"")))</f>
        <v/>
      </c>
      <c r="DV246">
        <f>IF($DM246=0,"",IF($L$14=0,"",IFERROR(IF(ISNUMBER(INDEX(PASTE_ALL,$DF246,$L$14)),INDEX(PASTE_ALL,$DF246,$L$14),TRIM(SUBSTITUTE(SUBSTITUTE(SUBSTITUTE(SUBSTITUTE(INDEX(PASTE_ALL,$DF246,$L$14)," "," "),CHAR(9)," "),CHAR(10)," "),CHAR(13)," "))),"")))</f>
        <v/>
      </c>
      <c r="DW246">
        <f>IF($DM246=0,"",IF($L$15=0,"",IFERROR(IF(ISNUMBER(INDEX(PASTE_ALL,$DF246,$L$15)),INDEX(PASTE_ALL,$DF246,$L$15),IF(SUMPRODUCT(--ISNUMBER(FIND({"A","B","C","D","E","F","G","H","I","J","K","L","M","N","O","P","Q","R","S","T","U","V","W","X","Y","Z","0","1","2","3","4","5","6","7","8","9"},UPPER(TRIM(SUBSTITUTE(SUBSTITUTE(SUBSTITUTE(SUBSTITUTE(INDEX(PASTE_ALL,$DF246,$L$15)," "," "),CHAR(9)," "),CHAR(10)," "),CHAR(13)," "))))))&gt;0,TRIM(SUBSTITUTE(SUBSTITUTE(SUBSTITUTE(SUBSTITUTE(INDEX(PASTE_ALL,$DF246,$L$15)," "," "),CHAR(9)," "),CHAR(10)," "),CHAR(13)," ")),"")),"")))</f>
        <v/>
      </c>
      <c r="DX246">
        <f>IF($DM246=0,"",IF($L$16=0,"",IFERROR(IF(ISNUMBER(INDEX(PASTE_ALL,$DF246,$L$16)),INDEX(PASTE_ALL,$DF246,$L$16),SUBSTITUTE(SUBSTITUTE(TRIM(SUBSTITUTE(SUBSTITUTE(SUBSTITUTE(SUBSTITUTE(INDEX(PASTE_ALL,$DF246,$L$16)," "," "),CHAR(9)," "),CHAR(10)," "),CHAR(13)," ")),",",""),"%","")),"")))</f>
        <v/>
      </c>
      <c r="DY246">
        <f>IF($DM246=0,"",IFERROR(IF(ISNUMBER($DX246),$DX246,IF($DX246="","",IF(TRIM($DX246)="",0,IF(AND(AND(SUBSTITUTE(SUBSTITUTE(SUBSTITUTE(SUBSTITUTE(SUBSTITUTE(SUBSTITUTE(SUBSTITUTE(SUBSTITUTE(SUBSTITUTE(SUBSTITUTE(SUBSTITUTE(SUBSTITUTE(SUBSTITUTE(SUBSTITUTE(UPPER(TRIM($DX246)),"0",""),"1",""),"2",""),"3",""),"4",""),"5",""),"6",""),"7",""),"8",""),"9",""),".",""),"+",""),"-",""),"E","")="",LEN(SUBSTITUTE(SUBSTITUTE(MID(UPPER(TRIM($DX246)),1+OR(LEFT(UPPER(TRIM($DX246)),1)="+",LEFT(UPPER(TRIM($DX246)),1)="-"),999),"E+","E"),"E-","E"))=LEN(SUBSTITUTE(SUBSTITUTE(SUBSTITUTE(SUBSTITUTE(MID(UPPER(TRIM($DX246)),1+OR(LEFT(UPPER(TRIM($DX246)),1)="+",LEFT(UPPER(TRIM($DX246)),1)="-"),999),"E+","E"),"E-","E"),"+",""),"-","")),LEN(UPPER(TRIM($DX246)))-LEN(SUBSTITUTE(UPPER(TRIM($DX246)),"E",""))&lt;2,LEN(UPPER(TRIM($DX246)))-LEN(SUBSTITUTE(UPPER(TRIM($DX246)),".",""))&lt;2,IFERROR(FIND(".",UPPER(TRIM($DX246))),0)&lt;IFERROR(FIND("E",UPPER(TRIM($DX246))),999)),ISNUMBER(VALUE(TRIM($DX246)))),VALUE(TRIM($DX246)),"")))),""))</f>
        <v/>
      </c>
      <c r="DZ246">
        <f>IF($DM246=0,"",IF($L$17=0,"",IFERROR(IF(ISNUMBER(INDEX(PASTE_ALL,$DF246,$L$17)),INDEX(PASTE_ALL,$DF246,$L$17),SUBSTITUTE(SUBSTITUTE(TRIM(SUBSTITUTE(SUBSTITUTE(SUBSTITUTE(SUBSTITUTE(INDEX(PASTE_ALL,$DF246,$L$17)," "," "),CHAR(9)," "),CHAR(10)," "),CHAR(13)," ")),",",""),"%","")),"")))</f>
        <v/>
      </c>
      <c r="EA246">
        <f>IF($DM246=0,"",IFERROR(IF(ISNUMBER($DZ246),$DZ246,IF($DZ246="","",IF(TRIM($DZ246)="",0,IF(AND(AND(SUBSTITUTE(SUBSTITUTE(SUBSTITUTE(SUBSTITUTE(SUBSTITUTE(SUBSTITUTE(SUBSTITUTE(SUBSTITUTE(SUBSTITUTE(SUBSTITUTE(SUBSTITUTE(SUBSTITUTE(SUBSTITUTE(SUBSTITUTE(UPPER(TRIM($DZ246)),"0",""),"1",""),"2",""),"3",""),"4",""),"5",""),"6",""),"7",""),"8",""),"9",""),".",""),"+",""),"-",""),"E","")="",LEN(SUBSTITUTE(SUBSTITUTE(MID(UPPER(TRIM($DZ246)),1+OR(LEFT(UPPER(TRIM($DZ246)),1)="+",LEFT(UPPER(TRIM($DZ246)),1)="-"),999),"E+","E"),"E-","E"))=LEN(SUBSTITUTE(SUBSTITUTE(SUBSTITUTE(SUBSTITUTE(MID(UPPER(TRIM($DZ246)),1+OR(LEFT(UPPER(TRIM($DZ246)),1)="+",LEFT(UPPER(TRIM($DZ246)),1)="-"),999),"E+","E"),"E-","E"),"+",""),"-","")),LEN(UPPER(TRIM($DZ246)))-LEN(SUBSTITUTE(UPPER(TRIM($DZ246)),"E",""))&lt;2,LEN(UPPER(TRIM($DZ246)))-LEN(SUBSTITUTE(UPPER(TRIM($DZ246)),".",""))&lt;2,IFERROR(FIND(".",UPPER(TRIM($DZ246))),0)&lt;IFERROR(FIND("E",UPPER(TRIM($DZ246))),999)),ISNUMBER(VALUE(TRIM($DZ246)))),VALUE(TRIM($DZ246)),"")))),""))</f>
        <v/>
      </c>
      <c r="EB246">
        <f>IF($DM246=0,"",IF($L$18=0,"",IFERROR(IF(UPPER(TRIM(SUBSTITUTE(SUBSTITUTE(SUBSTITUTE(SUBSTITUTE(INDEX(PASTE_ALL,$DF246,$L$18)," "," "),CHAR(9)," "),CHAR(10)," "),CHAR(13)," ")))="READY","Ready",IF(UPPER(TRIM(SUBSTITUTE(SUBSTITUTE(SUBSTITUTE(SUBSTITUTE(INDEX(PASTE_ALL,$DF246,$L$18)," "," "),CHAR(9)," "),CHAR(10)," "),CHAR(13)," ")))="PM","PM",IF(OR(UPPER(TRIM(SUBSTITUTE(SUBSTITUTE(SUBSTITUTE(SUBSTITUTE(INDEX(PASTE_ALL,$DF246,$L$18)," "," "),CHAR(9)," "),CHAR(10)," "),CHAR(13)," ")))="OT",UPPER(TRIM(SUBSTITUTE(SUBSTITUTE(SUBSTITUTE(SUBSTITUTE(INDEX(PASTE_ALL,$DF246,$L$18)," "," "),CHAR(9)," "),CHAR(10)," "),CHAR(13)," ")))="OVERTIME",UPPER(TRIM(SUBSTITUTE(SUBSTITUTE(SUBSTITUTE(SUBSTITUTE(INDEX(PASTE_ALL,$DF246,$L$18)," "," "),CHAR(9)," "),CHAR(10)," "),CHAR(13)," ")))="TRIAL"),"OT",TRIM(SUBSTITUTE(SUBSTITUTE(SUBSTITUTE(SUBSTITUTE(INDEX(PASTE_ALL,$DF246,$L$18)," "," "),CHAR(9)," "),CHAR(10)," "),CHAR(13)," "))))),"")))</f>
        <v/>
      </c>
      <c r="EC246">
        <f>IF($DM246=0,"",IF($L$19=0,"",IFERROR(IF(ISNUMBER(INDEX(PASTE_ALL,$DF246,$L$19)),INDEX(PASTE_ALL,$DF246,$L$19),TRIM(SUBSTITUTE(SUBSTITUTE(SUBSTITUTE(SUBSTITUTE(INDEX(PASTE_ALL,$DF246,$L$19)," "," "),CHAR(9)," "),CHAR(10)," "),CHAR(13)," "))),"")))</f>
        <v/>
      </c>
      <c r="ED246">
        <f>IF($DM246=0,"",MATCH(1,INDEX(EXACT($DH$5:DH246,$DH246)*$DM$5:DM246,0),0))</f>
        <v/>
      </c>
      <c r="EE246">
        <f>IF($DM246=0,0,IF($ED246=$DE246,1,0))</f>
        <v/>
      </c>
      <c r="EF246">
        <f>EF245+$EE246</f>
        <v/>
      </c>
      <c r="EG246">
        <f>IF($DM246=0,"",INDEX($EF$5:$EF$1003,$ED246))</f>
        <v/>
      </c>
      <c r="EH246">
        <f>IF($DM246=0,"",IF($DO246&lt;&gt;"","",IFERROR(LOOKUP(2,1/(($EG$4:EG245=$EG246)*($DO$4:DO245&lt;&gt;"")),$DO$4:DO245),"")))</f>
        <v/>
      </c>
      <c r="EI246">
        <f>IF($DM246=0,"",IF($DO246&lt;&gt;"",$DO246,$EH246))</f>
        <v/>
      </c>
      <c r="EJ246">
        <f>IF($DM246=0,"",IF($EI246="",0,IF(OR(ISNUMBER($EI246),AND(AND(SUBSTITUTE(SUBSTITUTE(SUBSTITUTE(SUBSTITUTE(SUBSTITUTE(SUBSTITUTE(SUBSTITUTE(SUBSTITUTE(SUBSTITUTE(SUBSTITUTE(SUBSTITUTE(SUBSTITUTE(SUBSTITUTE(SUBSTITUTE(UPPER($EI246),"0",""),"1",""),"2",""),"3",""),"4",""),"5",""),"6",""),"7",""),"8",""),"9",""),".",""),"+",""),"-",""),"E","")="",LEN(SUBSTITUTE(SUBSTITUTE(MID(UPPER($EI246),1+OR(LEFT(UPPER($EI246),1)="+",LEFT(UPPER($EI246),1)="-"),999),"E+","E"),"E-","E"))=LEN(SUBSTITUTE(SUBSTITUTE(SUBSTITUTE(SUBSTITUTE(MID(UPPER($EI246),1+OR(LEFT(UPPER($EI246),1)="+",LEFT(UPPER($EI246),1)="-"),999),"E+","E"),"E-","E"),"+",""),"-","")),LEN(UPPER($EI246))-LEN(SUBSTITUTE(UPPER($EI246),"E",""))&lt;2,LEN(UPPER($EI246))-LEN(SUBSTITUTE(UPPER($EI246),".",""))&lt;2,IFERROR(FIND(".",UPPER($EI246)),0)&lt;IFERROR(FIND("E",UPPER($EI246)),999)),ISNUMBER(VALUE($EI246)))),1,2)))</f>
        <v/>
      </c>
      <c r="EK246">
        <f>IF($DM246=0,"",IF($EJ246=1,IF(ISNUMBER($EI246),$EI246,VALUE($EI246)),IF($EJ246=2,$DE246,0)))</f>
        <v/>
      </c>
      <c r="EL246">
        <f>IF($DM246=0,"",COUNTIF($EG$5:$EG$1003,"&lt;"&amp;$EG246)+SUMPRODUCT(($EG$5:$EG$1003=$EG246)*(($EJ$5:$EJ$1003&lt;$EJ246)+($EJ$5:$EJ$1003=$EJ246)*(($EK$5:$EK$1003&lt;$EK246)+($EK$5:$EK$1003=$EK246)*($DE$5:$DE$1003&lt;$DE246))))+1)</f>
        <v/>
      </c>
      <c r="EM246">
        <f>IF($DM246=0,"",$EL246+$EG246-1)</f>
        <v/>
      </c>
      <c r="EN246">
        <f>IF($DM246=0,0,IFERROR(MATCH(1,INDEX(--(TRIM(SUBSTITUTE(SUBSTITUTE(SUBSTITUTE(SUBSTITUTE(LINES_NAME&amp;""," "," "),CHAR(9)," "),CHAR(10)," "),CHAR(13)," "))=$DH246),0),0),0))</f>
        <v/>
      </c>
      <c r="EO246">
        <f>IF($EN246=0,0,IF(OR(UPPER(TRIM(INDEX(LINES_SCHEDULED,$EN246)&amp;""))="YES",UPPER(TRIM(INDEX(LINES_SCHEDULED,$EN246)&amp;""))="Y",UPPER(TRIM(INDEX(LINES_SCHEDULED,$EN246)&amp;""))="X"),1,0))</f>
        <v/>
      </c>
      <c r="EP246">
        <f>IF($DM246=0,"",IF(COUNTIFS($EG$5:$EG$1003,$EG246,$EB$5:$EB$1003,"Ready")&gt;0,"READY",IF(COUNTIFS($EG$5:$EG$1003,$EG246,$EB$5:$EB$1003,"PM")&gt;0,"PM",IF(COUNTIFS($EG$5:$EG$1003,$EG246,$EB$5:$EB$1003,"OT")&gt;0,"OT",""))))</f>
        <v/>
      </c>
      <c r="EQ246">
        <f>IF($EN246=0,"",UPPER(TRIM(INDEX(LINES_STATUS,$EN246)&amp;"")))</f>
        <v/>
      </c>
      <c r="ER246">
        <f>IF($DM246=0,"",IF(OR($EQ246="READY",$EQ246="PM",$EQ246="OT"),$EQ246,$EP246))</f>
        <v/>
      </c>
      <c r="ES246">
        <f>IF($DM246=0,"",IF(AND($DV246&lt;&gt;"",UPPER($DV246)&lt;&gt;"N"),"allergen",IF(ISNUMBER(SEARCH("oil",$DQ246)),"oil",IF(OR(EXACT($DS246,"A662"),EXACT($DS246,"A624")),"bulk",""))))</f>
        <v/>
      </c>
      <c r="ET246">
        <f>IF($DM246=0,"",IF(OR($EA246="",$EA246=0),"",$EA246/100))</f>
        <v/>
      </c>
      <c r="EU246">
        <f>IF(OR($ET246="",$DY246=""),"",INT($DY246*(1-$ET246)+0.5))</f>
        <v/>
      </c>
      <c r="EW246" t="n">
        <v>242</v>
      </c>
      <c r="EX246">
        <f>IFERROR(MATCH($EW246,$EM$5:$EM$1003,0),0)</f>
        <v/>
      </c>
      <c r="EY246">
        <f>IF($EW246&gt;$B$12,"",IF($EX246&gt;0,"row","spacer"))</f>
        <v/>
      </c>
      <c r="EZ246">
        <f>IF(AND($EY246="row",$EY245&lt;&gt;"row"),1,0)</f>
        <v/>
      </c>
      <c r="FA246">
        <f>IF(AND($EY246="row",$EY247&lt;&gt;"row"),1,0)</f>
        <v/>
      </c>
      <c r="FB246">
        <f>IF($EZ246=1,IFERROR(IF(ISNUMBER(INDEX(PASTE_ALL,INDEX($DF$5:$DF$1003,$EX246),$B$37)),INDEX(PASTE_ALL,INDEX($DF$5:$DF$1003,$EX246),$B$37),INDEX($DH$5:$DH$1003,$EX246)),INDEX($DH$5:$DH$1003,$EX246)),"")</f>
        <v/>
      </c>
      <c r="FC246">
        <f>IF($EY246="row",INDEX($ER$5:$ER$1003,$EX246),"")</f>
        <v/>
      </c>
      <c r="FD246">
        <f>IF($EY246="row",INDEX($DN$5:$DN$1003,$EX246),"")</f>
        <v/>
      </c>
      <c r="FE246">
        <f>IF($EY246="row",INDEX($DO$5:$DO$1003,$EX246),"")</f>
        <v/>
      </c>
      <c r="FF246">
        <f>IF($EY246="row",INDEX($DP$5:$DP$1003,$EX246),"")</f>
        <v/>
      </c>
      <c r="FG246">
        <f>IF($EY246="row",INDEX($DQ$5:$DQ$1003,$EX246),"")</f>
        <v/>
      </c>
      <c r="FH246">
        <f>IF($EY246="row",INDEX($DR$5:$DR$1003,$EX246),"")</f>
        <v/>
      </c>
      <c r="FI246">
        <f>IF($EY246="row",INDEX($DS$5:$DS$1003,$EX246),"")</f>
        <v/>
      </c>
      <c r="FJ246">
        <f>IF($EY246="row",INDEX($DT$5:$DT$1003,$EX246),"")</f>
        <v/>
      </c>
      <c r="FK246">
        <f>IF($EY246="row",INDEX($DU$5:$DU$1003,$EX246),"")</f>
        <v/>
      </c>
      <c r="FL246">
        <f>IF($EY246="row",INDEX($DV$5:$DV$1003,$EX246),"")</f>
        <v/>
      </c>
      <c r="FM246">
        <f>IF($EY246="row",INDEX($DW$5:$DW$1003,$EX246),"")</f>
        <v/>
      </c>
      <c r="FN246">
        <f>IF($EY246="row",INDEX($DY$5:$DY$1003,$EX246),"")</f>
        <v/>
      </c>
      <c r="FO246">
        <f>IF($EY246="row",INDEX($EA$5:$EA$1003,$EX246),"")</f>
        <v/>
      </c>
      <c r="FP246">
        <f>IF($EY246="row",INDEX($EC$5:$EC$1003,$EX246),"")</f>
        <v/>
      </c>
      <c r="FQ246">
        <f>IF($EY246="row",INDEX($ET$5:$ET$1003,$EX246),"")</f>
        <v/>
      </c>
      <c r="FR246">
        <f>IF($EY246="row",INDEX($EU$5:$EU$1003,$EX246),"")</f>
        <v/>
      </c>
      <c r="FS246">
        <f>IF(AND($EY246="row",$EY245="row"),IF(OR(INDEX($DT$5:$DT$1003,$EX245)="",INDEX($DT$5:$DT$1003,$EX246)=""),"",IF(NOT(EXACT(INDEX($DT$5:$DT$1003,$EX245),INDEX($DT$5:$DT$1003,$EX246))),"S4",IF(NOT(EXACT(INDEX($DS$5:$DS$1003,$EX245),INDEX($DS$5:$DS$1003,$EX246))),"S3",IF(NOT(EXACT(INDEX($DR$5:$DR$1003,$EX245),INDEX($DR$5:$DR$1003,$EX246))),"S1 Count Change","S1")))),"")</f>
        <v/>
      </c>
      <c r="FT246">
        <f>IF($EY246="row",INDEX($ES$5:$ES$1003,$EX246),"")</f>
        <v/>
      </c>
      <c r="FU246">
        <f>IF($EY246="row",INDEX($EO$5:$EO$1003,$EX246),0)</f>
        <v/>
      </c>
      <c r="FV246">
        <f>IF($FS246="S1 Count Change",1,0)</f>
        <v/>
      </c>
    </row>
    <row r="247">
      <c r="DA247" t="n">
        <v>243</v>
      </c>
      <c r="DB247">
        <f>IF($B$37=0,"",IFERROR(TRIM(SUBSTITUTE(SUBSTITUTE(SUBSTITUTE(SUBSTITUTE(INDEX(PASTE_ALL,243,$B$37)," "," "),CHAR(9)," "),CHAR(10)," "),CHAR(13)," ")),""))</f>
        <v/>
      </c>
      <c r="DC247">
        <f>IF(AND(243&gt;HEADER_ROW,UPPER(DB247)="LEGEND"),1,0)</f>
        <v/>
      </c>
      <c r="DE247" t="n">
        <v>243</v>
      </c>
      <c r="DF247">
        <f>HEADER_ROW+$DE247</f>
        <v/>
      </c>
      <c r="DG247">
        <f>IF(AND($DF247&lt;=1000,$DF247&lt;$B$8),1,0)</f>
        <v/>
      </c>
      <c r="DH247">
        <f>IF($DG247=1,IFERROR(INDEX($DB$5:$DB$1004,$DF247),""),"")</f>
        <v/>
      </c>
      <c r="DI247">
        <f>IF(AND($DG247=1,$DH247&lt;&gt;""),IFERROR(SUBSTITUTE(SUBSTITUTE(TRIM(SUBSTITUTE(SUBSTITUTE(SUBSTITUTE(SUBSTITUTE(IFERROR(INDEX(PASTE_ALL,$DF247,1)&amp;"","")&amp;"␟"&amp;IFERROR(INDEX(PASTE_ALL,$DF247,2)&amp;"","")&amp;"␟"&amp;IFERROR(INDEX(PASTE_ALL,$DF247,3)&amp;"","")&amp;"␟"&amp;IFERROR(INDEX(PASTE_ALL,$DF247,4)&amp;"","")&amp;"␟"&amp;IFERROR(INDEX(PASTE_ALL,$DF247,5)&amp;"","")&amp;"␟"&amp;IFERROR(INDEX(PASTE_ALL,$DF247,6)&amp;"","")&amp;"␟"&amp;IFERROR(INDEX(PASTE_ALL,$DF247,7)&amp;"","")&amp;"␟"&amp;IFERROR(INDEX(PASTE_ALL,$DF247,8)&amp;"","")&amp;"␟"&amp;IFERROR(INDEX(PASTE_ALL,$DF247,9)&amp;"","")&amp;"␟"&amp;IFERROR(INDEX(PASTE_ALL,$DF247,10)&amp;"","")&amp;"␟"&amp;IFERROR(INDEX(PASTE_ALL,$DF247,11)&amp;"","")&amp;"␟"&amp;IFERROR(INDEX(PASTE_ALL,$DF247,12)&amp;"","")&amp;"␟"&amp;IFERROR(INDEX(PASTE_ALL,$DF247,13)&amp;"","")&amp;"␟"&amp;IFERROR(INDEX(PASTE_ALL,$DF247,14)&amp;"","")&amp;"␟"&amp;IFERROR(INDEX(PASTE_ALL,$DF247,15)&amp;"","")&amp;"␟"&amp;IFERROR(INDEX(PASTE_ALL,$DF247,16)&amp;"","")&amp;"␟"&amp;IFERROR(INDEX(PASTE_ALL,$DF247,17)&amp;"","")&amp;"␟"&amp;IFERROR(INDEX(PASTE_ALL,$DF247,18)&amp;"","")&amp;"␟"&amp;IFERROR(INDEX(PASTE_ALL,$DF247,19)&amp;"","")&amp;"␟"&amp;IFERROR(INDEX(PASTE_ALL,$DF247,20)&amp;"","")&amp;"␟"&amp;IFERROR(INDEX(PASTE_ALL,$DF247,21)&amp;"","")&amp;"␟"&amp;IFERROR(INDEX(PASTE_ALL,$DF247,22)&amp;"","")&amp;"␟"&amp;IFERROR(INDEX(PASTE_ALL,$DF247,23)&amp;"","")&amp;"␟"&amp;IFERROR(INDEX(PASTE_ALL,$DF247,24)&amp;"","")&amp;"␟"&amp;IFERROR(INDEX(PASTE_ALL,$DF247,25)&amp;"","")&amp;"␟"&amp;IFERROR(INDEX(PASTE_ALL,$DF247,26)&amp;"","")&amp;"␟"&amp;IFERROR(INDEX(PASTE_ALL,$DF247,27)&amp;"","")&amp;"␟"&amp;IFERROR(INDEX(PASTE_ALL,$DF247,28)&amp;"","")&amp;"␟"&amp;IFERROR(INDEX(PASTE_ALL,$DF247,29)&amp;"","")&amp;"␟"&amp;IFERROR(INDEX(PASTE_ALL,$DF247,30)&amp;"","")&amp;"␟"&amp;IFERROR(INDEX(PASTE_ALL,$DF247,31)&amp;"","")&amp;"␟"&amp;IFERROR(INDEX(PASTE_ALL,$DF247,32)&amp;"","")&amp;"␟"&amp;IFERROR(INDEX(PASTE_ALL,$DF247,33)&amp;"","")&amp;"␟"&amp;IFERROR(INDEX(PASTE_ALL,$DF247,34)&amp;"","")&amp;"␟"&amp;IFERROR(INDEX(PASTE_ALL,$DF247,35)&amp;"","")&amp;"␟"&amp;IFERROR(INDEX(PASTE_ALL,$DF247,36)&amp;"","")&amp;"␟"&amp;IFERROR(INDEX(PASTE_ALL,$DF247,37)&amp;"","")&amp;"␟"&amp;IFERROR(INDEX(PASTE_ALL,$DF247,38)&amp;"","")&amp;"␟"&amp;IFERROR(INDEX(PASTE_ALL,$DF247,39)&amp;"","")&amp;"␟"&amp;IFERROR(INDEX(PASTE_ALL,$DF247,40)&amp;"","")&amp;"␟"&amp;IFERROR(INDEX(PASTE_ALL,$DF247,41)&amp;"","")&amp;"␟"&amp;IFERROR(INDEX(PASTE_ALL,$DF247,42)&amp;"","")&amp;"␟"&amp;IFERROR(INDEX(PASTE_ALL,$DF247,43)&amp;"","")&amp;"␟"&amp;IFERROR(INDEX(PASTE_ALL,$DF247,44)&amp;"","")&amp;"␟"&amp;IFERROR(INDEX(PASTE_ALL,$DF247,45)&amp;"","")&amp;"␟"&amp;IFERROR(INDEX(PASTE_ALL,$DF247,46)&amp;"","")&amp;"␟"&amp;IFERROR(INDEX(PASTE_ALL,$DF247,47)&amp;"","")&amp;"␟"&amp;IFERROR(INDEX(PASTE_ALL,$DF247,48)&amp;"","")&amp;"␟"&amp;IFERROR(INDEX(PASTE_ALL,$DF247,49)&amp;"","")&amp;"␟"&amp;IFERROR(INDEX(PASTE_ALL,$DF247,50)&amp;"","")&amp;"␟"&amp;IFERROR(INDEX(PASTE_ALL,$DF247,51)&amp;"","")&amp;"␟"&amp;IFERROR(INDEX(PASTE_ALL,$DF247,52)&amp;"","")&amp;"␟"&amp;IFERROR(INDEX(PASTE_ALL,$DF247,53)&amp;"","")&amp;"␟"&amp;IFERROR(INDEX(PASTE_ALL,$DF247,54)&amp;"","")&amp;"␟"&amp;IFERROR(INDEX(PASTE_ALL,$DF247,55)&amp;"","")&amp;"␟"&amp;IFERROR(INDEX(PASTE_ALL,$DF247,56)&amp;"","")&amp;"␟"&amp;IFERROR(INDEX(PASTE_ALL,$DF247,57)&amp;"","")&amp;"␟"&amp;IFERROR(INDEX(PASTE_ALL,$DF247,58)&amp;"","")&amp;"␟"&amp;IFERROR(INDEX(PASTE_ALL,$DF247,59)&amp;"","")&amp;"␟"&amp;IFERROR(INDEX(PASTE_ALL,$DF247,60)&amp;"","")," "," "),CHAR(9)," "),CHAR(10)," "),CHAR(13)," "))," ␟","␟"),"␟ ","␟"),"#"&amp;$DE247),"")</f>
        <v/>
      </c>
      <c r="DJ247">
        <f>IF($DI247="",0,IF(SUMPRODUCT(--EXACT($DI$4:DI246,$DI247))&gt;0,1,0))</f>
        <v/>
      </c>
      <c r="DK247">
        <f>IF(AND($DI247&lt;&gt;"",$DJ247=0),1,0)</f>
        <v/>
      </c>
      <c r="DL247">
        <f>DL246+$DK247</f>
        <v/>
      </c>
      <c r="DM247">
        <f>IF(AND($DK247=1,$DL247&lt;=600),1,0)</f>
        <v/>
      </c>
      <c r="DN247">
        <f>IF($DM247=0,"",IF($L$6=0,"",IFERROR(IF(ISNUMBER(INDEX(PASTE_ALL,$DF247,$L$6)),INDEX(PASTE_ALL,$DF247,$L$6),TRIM(SUBSTITUTE(SUBSTITUTE(SUBSTITUTE(SUBSTITUTE(INDEX(PASTE_ALL,$DF247,$L$6)," "," "),CHAR(9)," "),CHAR(10)," "),CHAR(13)," "))),"")))</f>
        <v/>
      </c>
      <c r="DO247">
        <f>IF($DM247=0,"",IF($L$7=0,"",IFERROR(IF(ISNUMBER(INDEX(PASTE_ALL,$DF247,$L$7)),INDEX(PASTE_ALL,$DF247,$L$7),TRIM(SUBSTITUTE(SUBSTITUTE(SUBSTITUTE(SUBSTITUTE(INDEX(PASTE_ALL,$DF247,$L$7)," "," "),CHAR(9)," "),CHAR(10)," "),CHAR(13)," "))),"")))</f>
        <v/>
      </c>
      <c r="DP247">
        <f>IF($DM247=0,"",IF($L$8=0,"",IFERROR(IF(ISNUMBER(INDEX(PASTE_ALL,$DF247,$L$8)),INDEX(PASTE_ALL,$DF247,$L$8),TRIM(SUBSTITUTE(SUBSTITUTE(SUBSTITUTE(SUBSTITUTE(INDEX(PASTE_ALL,$DF247,$L$8)," "," "),CHAR(9)," "),CHAR(10)," "),CHAR(13)," "))),"")))</f>
        <v/>
      </c>
      <c r="DQ247">
        <f>IF($DM247=0,"",IF($L$9=0,"",IFERROR(IF(ISNUMBER(INDEX(PASTE_ALL,$DF247,$L$9)),INDEX(PASTE_ALL,$DF247,$L$9),TRIM(SUBSTITUTE(SUBSTITUTE(SUBSTITUTE(SUBSTITUTE(INDEX(PASTE_ALL,$DF247,$L$9)," "," "),CHAR(9)," "),CHAR(10)," "),CHAR(13)," "))),"")))</f>
        <v/>
      </c>
      <c r="DR247">
        <f>IF($DM247=0,"",IF($L$10=0,"",IFERROR(IF(ISNUMBER(INDEX(PASTE_ALL,$DF247,$L$10)),INDEX(PASTE_ALL,$DF247,$L$10),TRIM(SUBSTITUTE(SUBSTITUTE(SUBSTITUTE(SUBSTITUTE(INDEX(PASTE_ALL,$DF247,$L$10)," "," "),CHAR(9)," "),CHAR(10)," "),CHAR(13)," "))),"")))</f>
        <v/>
      </c>
      <c r="DS247">
        <f>IF($DM247=0,"",IF($L$11=0,"",IFERROR(IF(ISNUMBER(INDEX(PASTE_ALL,$DF247,$L$11)),INDEX(PASTE_ALL,$DF247,$L$11),TRIM(SUBSTITUTE(SUBSTITUTE(SUBSTITUTE(SUBSTITUTE(INDEX(PASTE_ALL,$DF247,$L$11)," "," "),CHAR(9)," "),CHAR(10)," "),CHAR(13)," "))),"")))</f>
        <v/>
      </c>
      <c r="DT247">
        <f>IF($DM247=0,"",IF($L$12=0,"",IFERROR(IF(ISNUMBER(INDEX(PASTE_ALL,$DF247,$L$12)),INDEX(PASTE_ALL,$DF247,$L$12),TRIM(SUBSTITUTE(SUBSTITUTE(SUBSTITUTE(SUBSTITUTE(INDEX(PASTE_ALL,$DF247,$L$12)," "," "),CHAR(9)," "),CHAR(10)," "),CHAR(13)," "))),"")))</f>
        <v/>
      </c>
      <c r="DU247">
        <f>IF($DM247=0,"",IF($L$13=0,"",IFERROR(IF(ISNUMBER(INDEX(PASTE_ALL,$DF247,$L$13)),INDEX(PASTE_ALL,$DF247,$L$13),TRIM(SUBSTITUTE(SUBSTITUTE(SUBSTITUTE(SUBSTITUTE(INDEX(PASTE_ALL,$DF247,$L$13)," "," "),CHAR(9)," "),CHAR(10)," "),CHAR(13)," "))),"")))</f>
        <v/>
      </c>
      <c r="DV247">
        <f>IF($DM247=0,"",IF($L$14=0,"",IFERROR(IF(ISNUMBER(INDEX(PASTE_ALL,$DF247,$L$14)),INDEX(PASTE_ALL,$DF247,$L$14),TRIM(SUBSTITUTE(SUBSTITUTE(SUBSTITUTE(SUBSTITUTE(INDEX(PASTE_ALL,$DF247,$L$14)," "," "),CHAR(9)," "),CHAR(10)," "),CHAR(13)," "))),"")))</f>
        <v/>
      </c>
      <c r="DW247">
        <f>IF($DM247=0,"",IF($L$15=0,"",IFERROR(IF(ISNUMBER(INDEX(PASTE_ALL,$DF247,$L$15)),INDEX(PASTE_ALL,$DF247,$L$15),IF(SUMPRODUCT(--ISNUMBER(FIND({"A","B","C","D","E","F","G","H","I","J","K","L","M","N","O","P","Q","R","S","T","U","V","W","X","Y","Z","0","1","2","3","4","5","6","7","8","9"},UPPER(TRIM(SUBSTITUTE(SUBSTITUTE(SUBSTITUTE(SUBSTITUTE(INDEX(PASTE_ALL,$DF247,$L$15)," "," "),CHAR(9)," "),CHAR(10)," "),CHAR(13)," "))))))&gt;0,TRIM(SUBSTITUTE(SUBSTITUTE(SUBSTITUTE(SUBSTITUTE(INDEX(PASTE_ALL,$DF247,$L$15)," "," "),CHAR(9)," "),CHAR(10)," "),CHAR(13)," ")),"")),"")))</f>
        <v/>
      </c>
      <c r="DX247">
        <f>IF($DM247=0,"",IF($L$16=0,"",IFERROR(IF(ISNUMBER(INDEX(PASTE_ALL,$DF247,$L$16)),INDEX(PASTE_ALL,$DF247,$L$16),SUBSTITUTE(SUBSTITUTE(TRIM(SUBSTITUTE(SUBSTITUTE(SUBSTITUTE(SUBSTITUTE(INDEX(PASTE_ALL,$DF247,$L$16)," "," "),CHAR(9)," "),CHAR(10)," "),CHAR(13)," ")),",",""),"%","")),"")))</f>
        <v/>
      </c>
      <c r="DY247">
        <f>IF($DM247=0,"",IFERROR(IF(ISNUMBER($DX247),$DX247,IF($DX247="","",IF(TRIM($DX247)="",0,IF(AND(AND(SUBSTITUTE(SUBSTITUTE(SUBSTITUTE(SUBSTITUTE(SUBSTITUTE(SUBSTITUTE(SUBSTITUTE(SUBSTITUTE(SUBSTITUTE(SUBSTITUTE(SUBSTITUTE(SUBSTITUTE(SUBSTITUTE(SUBSTITUTE(UPPER(TRIM($DX247)),"0",""),"1",""),"2",""),"3",""),"4",""),"5",""),"6",""),"7",""),"8",""),"9",""),".",""),"+",""),"-",""),"E","")="",LEN(SUBSTITUTE(SUBSTITUTE(MID(UPPER(TRIM($DX247)),1+OR(LEFT(UPPER(TRIM($DX247)),1)="+",LEFT(UPPER(TRIM($DX247)),1)="-"),999),"E+","E"),"E-","E"))=LEN(SUBSTITUTE(SUBSTITUTE(SUBSTITUTE(SUBSTITUTE(MID(UPPER(TRIM($DX247)),1+OR(LEFT(UPPER(TRIM($DX247)),1)="+",LEFT(UPPER(TRIM($DX247)),1)="-"),999),"E+","E"),"E-","E"),"+",""),"-","")),LEN(UPPER(TRIM($DX247)))-LEN(SUBSTITUTE(UPPER(TRIM($DX247)),"E",""))&lt;2,LEN(UPPER(TRIM($DX247)))-LEN(SUBSTITUTE(UPPER(TRIM($DX247)),".",""))&lt;2,IFERROR(FIND(".",UPPER(TRIM($DX247))),0)&lt;IFERROR(FIND("E",UPPER(TRIM($DX247))),999)),ISNUMBER(VALUE(TRIM($DX247)))),VALUE(TRIM($DX247)),"")))),""))</f>
        <v/>
      </c>
      <c r="DZ247">
        <f>IF($DM247=0,"",IF($L$17=0,"",IFERROR(IF(ISNUMBER(INDEX(PASTE_ALL,$DF247,$L$17)),INDEX(PASTE_ALL,$DF247,$L$17),SUBSTITUTE(SUBSTITUTE(TRIM(SUBSTITUTE(SUBSTITUTE(SUBSTITUTE(SUBSTITUTE(INDEX(PASTE_ALL,$DF247,$L$17)," "," "),CHAR(9)," "),CHAR(10)," "),CHAR(13)," ")),",",""),"%","")),"")))</f>
        <v/>
      </c>
      <c r="EA247">
        <f>IF($DM247=0,"",IFERROR(IF(ISNUMBER($DZ247),$DZ247,IF($DZ247="","",IF(TRIM($DZ247)="",0,IF(AND(AND(SUBSTITUTE(SUBSTITUTE(SUBSTITUTE(SUBSTITUTE(SUBSTITUTE(SUBSTITUTE(SUBSTITUTE(SUBSTITUTE(SUBSTITUTE(SUBSTITUTE(SUBSTITUTE(SUBSTITUTE(SUBSTITUTE(SUBSTITUTE(UPPER(TRIM($DZ247)),"0",""),"1",""),"2",""),"3",""),"4",""),"5",""),"6",""),"7",""),"8",""),"9",""),".",""),"+",""),"-",""),"E","")="",LEN(SUBSTITUTE(SUBSTITUTE(MID(UPPER(TRIM($DZ247)),1+OR(LEFT(UPPER(TRIM($DZ247)),1)="+",LEFT(UPPER(TRIM($DZ247)),1)="-"),999),"E+","E"),"E-","E"))=LEN(SUBSTITUTE(SUBSTITUTE(SUBSTITUTE(SUBSTITUTE(MID(UPPER(TRIM($DZ247)),1+OR(LEFT(UPPER(TRIM($DZ247)),1)="+",LEFT(UPPER(TRIM($DZ247)),1)="-"),999),"E+","E"),"E-","E"),"+",""),"-","")),LEN(UPPER(TRIM($DZ247)))-LEN(SUBSTITUTE(UPPER(TRIM($DZ247)),"E",""))&lt;2,LEN(UPPER(TRIM($DZ247)))-LEN(SUBSTITUTE(UPPER(TRIM($DZ247)),".",""))&lt;2,IFERROR(FIND(".",UPPER(TRIM($DZ247))),0)&lt;IFERROR(FIND("E",UPPER(TRIM($DZ247))),999)),ISNUMBER(VALUE(TRIM($DZ247)))),VALUE(TRIM($DZ247)),"")))),""))</f>
        <v/>
      </c>
      <c r="EB247">
        <f>IF($DM247=0,"",IF($L$18=0,"",IFERROR(IF(UPPER(TRIM(SUBSTITUTE(SUBSTITUTE(SUBSTITUTE(SUBSTITUTE(INDEX(PASTE_ALL,$DF247,$L$18)," "," "),CHAR(9)," "),CHAR(10)," "),CHAR(13)," ")))="READY","Ready",IF(UPPER(TRIM(SUBSTITUTE(SUBSTITUTE(SUBSTITUTE(SUBSTITUTE(INDEX(PASTE_ALL,$DF247,$L$18)," "," "),CHAR(9)," "),CHAR(10)," "),CHAR(13)," ")))="PM","PM",IF(OR(UPPER(TRIM(SUBSTITUTE(SUBSTITUTE(SUBSTITUTE(SUBSTITUTE(INDEX(PASTE_ALL,$DF247,$L$18)," "," "),CHAR(9)," "),CHAR(10)," "),CHAR(13)," ")))="OT",UPPER(TRIM(SUBSTITUTE(SUBSTITUTE(SUBSTITUTE(SUBSTITUTE(INDEX(PASTE_ALL,$DF247,$L$18)," "," "),CHAR(9)," "),CHAR(10)," "),CHAR(13)," ")))="OVERTIME",UPPER(TRIM(SUBSTITUTE(SUBSTITUTE(SUBSTITUTE(SUBSTITUTE(INDEX(PASTE_ALL,$DF247,$L$18)," "," "),CHAR(9)," "),CHAR(10)," "),CHAR(13)," ")))="TRIAL"),"OT",TRIM(SUBSTITUTE(SUBSTITUTE(SUBSTITUTE(SUBSTITUTE(INDEX(PASTE_ALL,$DF247,$L$18)," "," "),CHAR(9)," "),CHAR(10)," "),CHAR(13)," "))))),"")))</f>
        <v/>
      </c>
      <c r="EC247">
        <f>IF($DM247=0,"",IF($L$19=0,"",IFERROR(IF(ISNUMBER(INDEX(PASTE_ALL,$DF247,$L$19)),INDEX(PASTE_ALL,$DF247,$L$19),TRIM(SUBSTITUTE(SUBSTITUTE(SUBSTITUTE(SUBSTITUTE(INDEX(PASTE_ALL,$DF247,$L$19)," "," "),CHAR(9)," "),CHAR(10)," "),CHAR(13)," "))),"")))</f>
        <v/>
      </c>
      <c r="ED247">
        <f>IF($DM247=0,"",MATCH(1,INDEX(EXACT($DH$5:DH247,$DH247)*$DM$5:DM247,0),0))</f>
        <v/>
      </c>
      <c r="EE247">
        <f>IF($DM247=0,0,IF($ED247=$DE247,1,0))</f>
        <v/>
      </c>
      <c r="EF247">
        <f>EF246+$EE247</f>
        <v/>
      </c>
      <c r="EG247">
        <f>IF($DM247=0,"",INDEX($EF$5:$EF$1003,$ED247))</f>
        <v/>
      </c>
      <c r="EH247">
        <f>IF($DM247=0,"",IF($DO247&lt;&gt;"","",IFERROR(LOOKUP(2,1/(($EG$4:EG246=$EG247)*($DO$4:DO246&lt;&gt;"")),$DO$4:DO246),"")))</f>
        <v/>
      </c>
      <c r="EI247">
        <f>IF($DM247=0,"",IF($DO247&lt;&gt;"",$DO247,$EH247))</f>
        <v/>
      </c>
      <c r="EJ247">
        <f>IF($DM247=0,"",IF($EI247="",0,IF(OR(ISNUMBER($EI247),AND(AND(SUBSTITUTE(SUBSTITUTE(SUBSTITUTE(SUBSTITUTE(SUBSTITUTE(SUBSTITUTE(SUBSTITUTE(SUBSTITUTE(SUBSTITUTE(SUBSTITUTE(SUBSTITUTE(SUBSTITUTE(SUBSTITUTE(SUBSTITUTE(UPPER($EI247),"0",""),"1",""),"2",""),"3",""),"4",""),"5",""),"6",""),"7",""),"8",""),"9",""),".",""),"+",""),"-",""),"E","")="",LEN(SUBSTITUTE(SUBSTITUTE(MID(UPPER($EI247),1+OR(LEFT(UPPER($EI247),1)="+",LEFT(UPPER($EI247),1)="-"),999),"E+","E"),"E-","E"))=LEN(SUBSTITUTE(SUBSTITUTE(SUBSTITUTE(SUBSTITUTE(MID(UPPER($EI247),1+OR(LEFT(UPPER($EI247),1)="+",LEFT(UPPER($EI247),1)="-"),999),"E+","E"),"E-","E"),"+",""),"-","")),LEN(UPPER($EI247))-LEN(SUBSTITUTE(UPPER($EI247),"E",""))&lt;2,LEN(UPPER($EI247))-LEN(SUBSTITUTE(UPPER($EI247),".",""))&lt;2,IFERROR(FIND(".",UPPER($EI247)),0)&lt;IFERROR(FIND("E",UPPER($EI247)),999)),ISNUMBER(VALUE($EI247)))),1,2)))</f>
        <v/>
      </c>
      <c r="EK247">
        <f>IF($DM247=0,"",IF($EJ247=1,IF(ISNUMBER($EI247),$EI247,VALUE($EI247)),IF($EJ247=2,$DE247,0)))</f>
        <v/>
      </c>
      <c r="EL247">
        <f>IF($DM247=0,"",COUNTIF($EG$5:$EG$1003,"&lt;"&amp;$EG247)+SUMPRODUCT(($EG$5:$EG$1003=$EG247)*(($EJ$5:$EJ$1003&lt;$EJ247)+($EJ$5:$EJ$1003=$EJ247)*(($EK$5:$EK$1003&lt;$EK247)+($EK$5:$EK$1003=$EK247)*($DE$5:$DE$1003&lt;$DE247))))+1)</f>
        <v/>
      </c>
      <c r="EM247">
        <f>IF($DM247=0,"",$EL247+$EG247-1)</f>
        <v/>
      </c>
      <c r="EN247">
        <f>IF($DM247=0,0,IFERROR(MATCH(1,INDEX(--(TRIM(SUBSTITUTE(SUBSTITUTE(SUBSTITUTE(SUBSTITUTE(LINES_NAME&amp;""," "," "),CHAR(9)," "),CHAR(10)," "),CHAR(13)," "))=$DH247),0),0),0))</f>
        <v/>
      </c>
      <c r="EO247">
        <f>IF($EN247=0,0,IF(OR(UPPER(TRIM(INDEX(LINES_SCHEDULED,$EN247)&amp;""))="YES",UPPER(TRIM(INDEX(LINES_SCHEDULED,$EN247)&amp;""))="Y",UPPER(TRIM(INDEX(LINES_SCHEDULED,$EN247)&amp;""))="X"),1,0))</f>
        <v/>
      </c>
      <c r="EP247">
        <f>IF($DM247=0,"",IF(COUNTIFS($EG$5:$EG$1003,$EG247,$EB$5:$EB$1003,"Ready")&gt;0,"READY",IF(COUNTIFS($EG$5:$EG$1003,$EG247,$EB$5:$EB$1003,"PM")&gt;0,"PM",IF(COUNTIFS($EG$5:$EG$1003,$EG247,$EB$5:$EB$1003,"OT")&gt;0,"OT",""))))</f>
        <v/>
      </c>
      <c r="EQ247">
        <f>IF($EN247=0,"",UPPER(TRIM(INDEX(LINES_STATUS,$EN247)&amp;"")))</f>
        <v/>
      </c>
      <c r="ER247">
        <f>IF($DM247=0,"",IF(OR($EQ247="READY",$EQ247="PM",$EQ247="OT"),$EQ247,$EP247))</f>
        <v/>
      </c>
      <c r="ES247">
        <f>IF($DM247=0,"",IF(AND($DV247&lt;&gt;"",UPPER($DV247)&lt;&gt;"N"),"allergen",IF(ISNUMBER(SEARCH("oil",$DQ247)),"oil",IF(OR(EXACT($DS247,"A662"),EXACT($DS247,"A624")),"bulk",""))))</f>
        <v/>
      </c>
      <c r="ET247">
        <f>IF($DM247=0,"",IF(OR($EA247="",$EA247=0),"",$EA247/100))</f>
        <v/>
      </c>
      <c r="EU247">
        <f>IF(OR($ET247="",$DY247=""),"",INT($DY247*(1-$ET247)+0.5))</f>
        <v/>
      </c>
      <c r="EW247" t="n">
        <v>243</v>
      </c>
      <c r="EX247">
        <f>IFERROR(MATCH($EW247,$EM$5:$EM$1003,0),0)</f>
        <v/>
      </c>
      <c r="EY247">
        <f>IF($EW247&gt;$B$12,"",IF($EX247&gt;0,"row","spacer"))</f>
        <v/>
      </c>
      <c r="EZ247">
        <f>IF(AND($EY247="row",$EY246&lt;&gt;"row"),1,0)</f>
        <v/>
      </c>
      <c r="FA247">
        <f>IF(AND($EY247="row",$EY248&lt;&gt;"row"),1,0)</f>
        <v/>
      </c>
      <c r="FB247">
        <f>IF($EZ247=1,IFERROR(IF(ISNUMBER(INDEX(PASTE_ALL,INDEX($DF$5:$DF$1003,$EX247),$B$37)),INDEX(PASTE_ALL,INDEX($DF$5:$DF$1003,$EX247),$B$37),INDEX($DH$5:$DH$1003,$EX247)),INDEX($DH$5:$DH$1003,$EX247)),"")</f>
        <v/>
      </c>
      <c r="FC247">
        <f>IF($EY247="row",INDEX($ER$5:$ER$1003,$EX247),"")</f>
        <v/>
      </c>
      <c r="FD247">
        <f>IF($EY247="row",INDEX($DN$5:$DN$1003,$EX247),"")</f>
        <v/>
      </c>
      <c r="FE247">
        <f>IF($EY247="row",INDEX($DO$5:$DO$1003,$EX247),"")</f>
        <v/>
      </c>
      <c r="FF247">
        <f>IF($EY247="row",INDEX($DP$5:$DP$1003,$EX247),"")</f>
        <v/>
      </c>
      <c r="FG247">
        <f>IF($EY247="row",INDEX($DQ$5:$DQ$1003,$EX247),"")</f>
        <v/>
      </c>
      <c r="FH247">
        <f>IF($EY247="row",INDEX($DR$5:$DR$1003,$EX247),"")</f>
        <v/>
      </c>
      <c r="FI247">
        <f>IF($EY247="row",INDEX($DS$5:$DS$1003,$EX247),"")</f>
        <v/>
      </c>
      <c r="FJ247">
        <f>IF($EY247="row",INDEX($DT$5:$DT$1003,$EX247),"")</f>
        <v/>
      </c>
      <c r="FK247">
        <f>IF($EY247="row",INDEX($DU$5:$DU$1003,$EX247),"")</f>
        <v/>
      </c>
      <c r="FL247">
        <f>IF($EY247="row",INDEX($DV$5:$DV$1003,$EX247),"")</f>
        <v/>
      </c>
      <c r="FM247">
        <f>IF($EY247="row",INDEX($DW$5:$DW$1003,$EX247),"")</f>
        <v/>
      </c>
      <c r="FN247">
        <f>IF($EY247="row",INDEX($DY$5:$DY$1003,$EX247),"")</f>
        <v/>
      </c>
      <c r="FO247">
        <f>IF($EY247="row",INDEX($EA$5:$EA$1003,$EX247),"")</f>
        <v/>
      </c>
      <c r="FP247">
        <f>IF($EY247="row",INDEX($EC$5:$EC$1003,$EX247),"")</f>
        <v/>
      </c>
      <c r="FQ247">
        <f>IF($EY247="row",INDEX($ET$5:$ET$1003,$EX247),"")</f>
        <v/>
      </c>
      <c r="FR247">
        <f>IF($EY247="row",INDEX($EU$5:$EU$1003,$EX247),"")</f>
        <v/>
      </c>
      <c r="FS247">
        <f>IF(AND($EY247="row",$EY246="row"),IF(OR(INDEX($DT$5:$DT$1003,$EX246)="",INDEX($DT$5:$DT$1003,$EX247)=""),"",IF(NOT(EXACT(INDEX($DT$5:$DT$1003,$EX246),INDEX($DT$5:$DT$1003,$EX247))),"S4",IF(NOT(EXACT(INDEX($DS$5:$DS$1003,$EX246),INDEX($DS$5:$DS$1003,$EX247))),"S3",IF(NOT(EXACT(INDEX($DR$5:$DR$1003,$EX246),INDEX($DR$5:$DR$1003,$EX247))),"S1 Count Change","S1")))),"")</f>
        <v/>
      </c>
      <c r="FT247">
        <f>IF($EY247="row",INDEX($ES$5:$ES$1003,$EX247),"")</f>
        <v/>
      </c>
      <c r="FU247">
        <f>IF($EY247="row",INDEX($EO$5:$EO$1003,$EX247),0)</f>
        <v/>
      </c>
      <c r="FV247">
        <f>IF($FS247="S1 Count Change",1,0)</f>
        <v/>
      </c>
    </row>
    <row r="248">
      <c r="DA248" t="n">
        <v>244</v>
      </c>
      <c r="DB248">
        <f>IF($B$37=0,"",IFERROR(TRIM(SUBSTITUTE(SUBSTITUTE(SUBSTITUTE(SUBSTITUTE(INDEX(PASTE_ALL,244,$B$37)," "," "),CHAR(9)," "),CHAR(10)," "),CHAR(13)," ")),""))</f>
        <v/>
      </c>
      <c r="DC248">
        <f>IF(AND(244&gt;HEADER_ROW,UPPER(DB248)="LEGEND"),1,0)</f>
        <v/>
      </c>
      <c r="DE248" t="n">
        <v>244</v>
      </c>
      <c r="DF248">
        <f>HEADER_ROW+$DE248</f>
        <v/>
      </c>
      <c r="DG248">
        <f>IF(AND($DF248&lt;=1000,$DF248&lt;$B$8),1,0)</f>
        <v/>
      </c>
      <c r="DH248">
        <f>IF($DG248=1,IFERROR(INDEX($DB$5:$DB$1004,$DF248),""),"")</f>
        <v/>
      </c>
      <c r="DI248">
        <f>IF(AND($DG248=1,$DH248&lt;&gt;""),IFERROR(SUBSTITUTE(SUBSTITUTE(TRIM(SUBSTITUTE(SUBSTITUTE(SUBSTITUTE(SUBSTITUTE(IFERROR(INDEX(PASTE_ALL,$DF248,1)&amp;"","")&amp;"␟"&amp;IFERROR(INDEX(PASTE_ALL,$DF248,2)&amp;"","")&amp;"␟"&amp;IFERROR(INDEX(PASTE_ALL,$DF248,3)&amp;"","")&amp;"␟"&amp;IFERROR(INDEX(PASTE_ALL,$DF248,4)&amp;"","")&amp;"␟"&amp;IFERROR(INDEX(PASTE_ALL,$DF248,5)&amp;"","")&amp;"␟"&amp;IFERROR(INDEX(PASTE_ALL,$DF248,6)&amp;"","")&amp;"␟"&amp;IFERROR(INDEX(PASTE_ALL,$DF248,7)&amp;"","")&amp;"␟"&amp;IFERROR(INDEX(PASTE_ALL,$DF248,8)&amp;"","")&amp;"␟"&amp;IFERROR(INDEX(PASTE_ALL,$DF248,9)&amp;"","")&amp;"␟"&amp;IFERROR(INDEX(PASTE_ALL,$DF248,10)&amp;"","")&amp;"␟"&amp;IFERROR(INDEX(PASTE_ALL,$DF248,11)&amp;"","")&amp;"␟"&amp;IFERROR(INDEX(PASTE_ALL,$DF248,12)&amp;"","")&amp;"␟"&amp;IFERROR(INDEX(PASTE_ALL,$DF248,13)&amp;"","")&amp;"␟"&amp;IFERROR(INDEX(PASTE_ALL,$DF248,14)&amp;"","")&amp;"␟"&amp;IFERROR(INDEX(PASTE_ALL,$DF248,15)&amp;"","")&amp;"␟"&amp;IFERROR(INDEX(PASTE_ALL,$DF248,16)&amp;"","")&amp;"␟"&amp;IFERROR(INDEX(PASTE_ALL,$DF248,17)&amp;"","")&amp;"␟"&amp;IFERROR(INDEX(PASTE_ALL,$DF248,18)&amp;"","")&amp;"␟"&amp;IFERROR(INDEX(PASTE_ALL,$DF248,19)&amp;"","")&amp;"␟"&amp;IFERROR(INDEX(PASTE_ALL,$DF248,20)&amp;"","")&amp;"␟"&amp;IFERROR(INDEX(PASTE_ALL,$DF248,21)&amp;"","")&amp;"␟"&amp;IFERROR(INDEX(PASTE_ALL,$DF248,22)&amp;"","")&amp;"␟"&amp;IFERROR(INDEX(PASTE_ALL,$DF248,23)&amp;"","")&amp;"␟"&amp;IFERROR(INDEX(PASTE_ALL,$DF248,24)&amp;"","")&amp;"␟"&amp;IFERROR(INDEX(PASTE_ALL,$DF248,25)&amp;"","")&amp;"␟"&amp;IFERROR(INDEX(PASTE_ALL,$DF248,26)&amp;"","")&amp;"␟"&amp;IFERROR(INDEX(PASTE_ALL,$DF248,27)&amp;"","")&amp;"␟"&amp;IFERROR(INDEX(PASTE_ALL,$DF248,28)&amp;"","")&amp;"␟"&amp;IFERROR(INDEX(PASTE_ALL,$DF248,29)&amp;"","")&amp;"␟"&amp;IFERROR(INDEX(PASTE_ALL,$DF248,30)&amp;"","")&amp;"␟"&amp;IFERROR(INDEX(PASTE_ALL,$DF248,31)&amp;"","")&amp;"␟"&amp;IFERROR(INDEX(PASTE_ALL,$DF248,32)&amp;"","")&amp;"␟"&amp;IFERROR(INDEX(PASTE_ALL,$DF248,33)&amp;"","")&amp;"␟"&amp;IFERROR(INDEX(PASTE_ALL,$DF248,34)&amp;"","")&amp;"␟"&amp;IFERROR(INDEX(PASTE_ALL,$DF248,35)&amp;"","")&amp;"␟"&amp;IFERROR(INDEX(PASTE_ALL,$DF248,36)&amp;"","")&amp;"␟"&amp;IFERROR(INDEX(PASTE_ALL,$DF248,37)&amp;"","")&amp;"␟"&amp;IFERROR(INDEX(PASTE_ALL,$DF248,38)&amp;"","")&amp;"␟"&amp;IFERROR(INDEX(PASTE_ALL,$DF248,39)&amp;"","")&amp;"␟"&amp;IFERROR(INDEX(PASTE_ALL,$DF248,40)&amp;"","")&amp;"␟"&amp;IFERROR(INDEX(PASTE_ALL,$DF248,41)&amp;"","")&amp;"␟"&amp;IFERROR(INDEX(PASTE_ALL,$DF248,42)&amp;"","")&amp;"␟"&amp;IFERROR(INDEX(PASTE_ALL,$DF248,43)&amp;"","")&amp;"␟"&amp;IFERROR(INDEX(PASTE_ALL,$DF248,44)&amp;"","")&amp;"␟"&amp;IFERROR(INDEX(PASTE_ALL,$DF248,45)&amp;"","")&amp;"␟"&amp;IFERROR(INDEX(PASTE_ALL,$DF248,46)&amp;"","")&amp;"␟"&amp;IFERROR(INDEX(PASTE_ALL,$DF248,47)&amp;"","")&amp;"␟"&amp;IFERROR(INDEX(PASTE_ALL,$DF248,48)&amp;"","")&amp;"␟"&amp;IFERROR(INDEX(PASTE_ALL,$DF248,49)&amp;"","")&amp;"␟"&amp;IFERROR(INDEX(PASTE_ALL,$DF248,50)&amp;"","")&amp;"␟"&amp;IFERROR(INDEX(PASTE_ALL,$DF248,51)&amp;"","")&amp;"␟"&amp;IFERROR(INDEX(PASTE_ALL,$DF248,52)&amp;"","")&amp;"␟"&amp;IFERROR(INDEX(PASTE_ALL,$DF248,53)&amp;"","")&amp;"␟"&amp;IFERROR(INDEX(PASTE_ALL,$DF248,54)&amp;"","")&amp;"␟"&amp;IFERROR(INDEX(PASTE_ALL,$DF248,55)&amp;"","")&amp;"␟"&amp;IFERROR(INDEX(PASTE_ALL,$DF248,56)&amp;"","")&amp;"␟"&amp;IFERROR(INDEX(PASTE_ALL,$DF248,57)&amp;"","")&amp;"␟"&amp;IFERROR(INDEX(PASTE_ALL,$DF248,58)&amp;"","")&amp;"␟"&amp;IFERROR(INDEX(PASTE_ALL,$DF248,59)&amp;"","")&amp;"␟"&amp;IFERROR(INDEX(PASTE_ALL,$DF248,60)&amp;"","")," "," "),CHAR(9)," "),CHAR(10)," "),CHAR(13)," "))," ␟","␟"),"␟ ","␟"),"#"&amp;$DE248),"")</f>
        <v/>
      </c>
      <c r="DJ248">
        <f>IF($DI248="",0,IF(SUMPRODUCT(--EXACT($DI$4:DI247,$DI248))&gt;0,1,0))</f>
        <v/>
      </c>
      <c r="DK248">
        <f>IF(AND($DI248&lt;&gt;"",$DJ248=0),1,0)</f>
        <v/>
      </c>
      <c r="DL248">
        <f>DL247+$DK248</f>
        <v/>
      </c>
      <c r="DM248">
        <f>IF(AND($DK248=1,$DL248&lt;=600),1,0)</f>
        <v/>
      </c>
      <c r="DN248">
        <f>IF($DM248=0,"",IF($L$6=0,"",IFERROR(IF(ISNUMBER(INDEX(PASTE_ALL,$DF248,$L$6)),INDEX(PASTE_ALL,$DF248,$L$6),TRIM(SUBSTITUTE(SUBSTITUTE(SUBSTITUTE(SUBSTITUTE(INDEX(PASTE_ALL,$DF248,$L$6)," "," "),CHAR(9)," "),CHAR(10)," "),CHAR(13)," "))),"")))</f>
        <v/>
      </c>
      <c r="DO248">
        <f>IF($DM248=0,"",IF($L$7=0,"",IFERROR(IF(ISNUMBER(INDEX(PASTE_ALL,$DF248,$L$7)),INDEX(PASTE_ALL,$DF248,$L$7),TRIM(SUBSTITUTE(SUBSTITUTE(SUBSTITUTE(SUBSTITUTE(INDEX(PASTE_ALL,$DF248,$L$7)," "," "),CHAR(9)," "),CHAR(10)," "),CHAR(13)," "))),"")))</f>
        <v/>
      </c>
      <c r="DP248">
        <f>IF($DM248=0,"",IF($L$8=0,"",IFERROR(IF(ISNUMBER(INDEX(PASTE_ALL,$DF248,$L$8)),INDEX(PASTE_ALL,$DF248,$L$8),TRIM(SUBSTITUTE(SUBSTITUTE(SUBSTITUTE(SUBSTITUTE(INDEX(PASTE_ALL,$DF248,$L$8)," "," "),CHAR(9)," "),CHAR(10)," "),CHAR(13)," "))),"")))</f>
        <v/>
      </c>
      <c r="DQ248">
        <f>IF($DM248=0,"",IF($L$9=0,"",IFERROR(IF(ISNUMBER(INDEX(PASTE_ALL,$DF248,$L$9)),INDEX(PASTE_ALL,$DF248,$L$9),TRIM(SUBSTITUTE(SUBSTITUTE(SUBSTITUTE(SUBSTITUTE(INDEX(PASTE_ALL,$DF248,$L$9)," "," "),CHAR(9)," "),CHAR(10)," "),CHAR(13)," "))),"")))</f>
        <v/>
      </c>
      <c r="DR248">
        <f>IF($DM248=0,"",IF($L$10=0,"",IFERROR(IF(ISNUMBER(INDEX(PASTE_ALL,$DF248,$L$10)),INDEX(PASTE_ALL,$DF248,$L$10),TRIM(SUBSTITUTE(SUBSTITUTE(SUBSTITUTE(SUBSTITUTE(INDEX(PASTE_ALL,$DF248,$L$10)," "," "),CHAR(9)," "),CHAR(10)," "),CHAR(13)," "))),"")))</f>
        <v/>
      </c>
      <c r="DS248">
        <f>IF($DM248=0,"",IF($L$11=0,"",IFERROR(IF(ISNUMBER(INDEX(PASTE_ALL,$DF248,$L$11)),INDEX(PASTE_ALL,$DF248,$L$11),TRIM(SUBSTITUTE(SUBSTITUTE(SUBSTITUTE(SUBSTITUTE(INDEX(PASTE_ALL,$DF248,$L$11)," "," "),CHAR(9)," "),CHAR(10)," "),CHAR(13)," "))),"")))</f>
        <v/>
      </c>
      <c r="DT248">
        <f>IF($DM248=0,"",IF($L$12=0,"",IFERROR(IF(ISNUMBER(INDEX(PASTE_ALL,$DF248,$L$12)),INDEX(PASTE_ALL,$DF248,$L$12),TRIM(SUBSTITUTE(SUBSTITUTE(SUBSTITUTE(SUBSTITUTE(INDEX(PASTE_ALL,$DF248,$L$12)," "," "),CHAR(9)," "),CHAR(10)," "),CHAR(13)," "))),"")))</f>
        <v/>
      </c>
      <c r="DU248">
        <f>IF($DM248=0,"",IF($L$13=0,"",IFERROR(IF(ISNUMBER(INDEX(PASTE_ALL,$DF248,$L$13)),INDEX(PASTE_ALL,$DF248,$L$13),TRIM(SUBSTITUTE(SUBSTITUTE(SUBSTITUTE(SUBSTITUTE(INDEX(PASTE_ALL,$DF248,$L$13)," "," "),CHAR(9)," "),CHAR(10)," "),CHAR(13)," "))),"")))</f>
        <v/>
      </c>
      <c r="DV248">
        <f>IF($DM248=0,"",IF($L$14=0,"",IFERROR(IF(ISNUMBER(INDEX(PASTE_ALL,$DF248,$L$14)),INDEX(PASTE_ALL,$DF248,$L$14),TRIM(SUBSTITUTE(SUBSTITUTE(SUBSTITUTE(SUBSTITUTE(INDEX(PASTE_ALL,$DF248,$L$14)," "," "),CHAR(9)," "),CHAR(10)," "),CHAR(13)," "))),"")))</f>
        <v/>
      </c>
      <c r="DW248">
        <f>IF($DM248=0,"",IF($L$15=0,"",IFERROR(IF(ISNUMBER(INDEX(PASTE_ALL,$DF248,$L$15)),INDEX(PASTE_ALL,$DF248,$L$15),IF(SUMPRODUCT(--ISNUMBER(FIND({"A","B","C","D","E","F","G","H","I","J","K","L","M","N","O","P","Q","R","S","T","U","V","W","X","Y","Z","0","1","2","3","4","5","6","7","8","9"},UPPER(TRIM(SUBSTITUTE(SUBSTITUTE(SUBSTITUTE(SUBSTITUTE(INDEX(PASTE_ALL,$DF248,$L$15)," "," "),CHAR(9)," "),CHAR(10)," "),CHAR(13)," "))))))&gt;0,TRIM(SUBSTITUTE(SUBSTITUTE(SUBSTITUTE(SUBSTITUTE(INDEX(PASTE_ALL,$DF248,$L$15)," "," "),CHAR(9)," "),CHAR(10)," "),CHAR(13)," ")),"")),"")))</f>
        <v/>
      </c>
      <c r="DX248">
        <f>IF($DM248=0,"",IF($L$16=0,"",IFERROR(IF(ISNUMBER(INDEX(PASTE_ALL,$DF248,$L$16)),INDEX(PASTE_ALL,$DF248,$L$16),SUBSTITUTE(SUBSTITUTE(TRIM(SUBSTITUTE(SUBSTITUTE(SUBSTITUTE(SUBSTITUTE(INDEX(PASTE_ALL,$DF248,$L$16)," "," "),CHAR(9)," "),CHAR(10)," "),CHAR(13)," ")),",",""),"%","")),"")))</f>
        <v/>
      </c>
      <c r="DY248">
        <f>IF($DM248=0,"",IFERROR(IF(ISNUMBER($DX248),$DX248,IF($DX248="","",IF(TRIM($DX248)="",0,IF(AND(AND(SUBSTITUTE(SUBSTITUTE(SUBSTITUTE(SUBSTITUTE(SUBSTITUTE(SUBSTITUTE(SUBSTITUTE(SUBSTITUTE(SUBSTITUTE(SUBSTITUTE(SUBSTITUTE(SUBSTITUTE(SUBSTITUTE(SUBSTITUTE(UPPER(TRIM($DX248)),"0",""),"1",""),"2",""),"3",""),"4",""),"5",""),"6",""),"7",""),"8",""),"9",""),".",""),"+",""),"-",""),"E","")="",LEN(SUBSTITUTE(SUBSTITUTE(MID(UPPER(TRIM($DX248)),1+OR(LEFT(UPPER(TRIM($DX248)),1)="+",LEFT(UPPER(TRIM($DX248)),1)="-"),999),"E+","E"),"E-","E"))=LEN(SUBSTITUTE(SUBSTITUTE(SUBSTITUTE(SUBSTITUTE(MID(UPPER(TRIM($DX248)),1+OR(LEFT(UPPER(TRIM($DX248)),1)="+",LEFT(UPPER(TRIM($DX248)),1)="-"),999),"E+","E"),"E-","E"),"+",""),"-","")),LEN(UPPER(TRIM($DX248)))-LEN(SUBSTITUTE(UPPER(TRIM($DX248)),"E",""))&lt;2,LEN(UPPER(TRIM($DX248)))-LEN(SUBSTITUTE(UPPER(TRIM($DX248)),".",""))&lt;2,IFERROR(FIND(".",UPPER(TRIM($DX248))),0)&lt;IFERROR(FIND("E",UPPER(TRIM($DX248))),999)),ISNUMBER(VALUE(TRIM($DX248)))),VALUE(TRIM($DX248)),"")))),""))</f>
        <v/>
      </c>
      <c r="DZ248">
        <f>IF($DM248=0,"",IF($L$17=0,"",IFERROR(IF(ISNUMBER(INDEX(PASTE_ALL,$DF248,$L$17)),INDEX(PASTE_ALL,$DF248,$L$17),SUBSTITUTE(SUBSTITUTE(TRIM(SUBSTITUTE(SUBSTITUTE(SUBSTITUTE(SUBSTITUTE(INDEX(PASTE_ALL,$DF248,$L$17)," "," "),CHAR(9)," "),CHAR(10)," "),CHAR(13)," ")),",",""),"%","")),"")))</f>
        <v/>
      </c>
      <c r="EA248">
        <f>IF($DM248=0,"",IFERROR(IF(ISNUMBER($DZ248),$DZ248,IF($DZ248="","",IF(TRIM($DZ248)="",0,IF(AND(AND(SUBSTITUTE(SUBSTITUTE(SUBSTITUTE(SUBSTITUTE(SUBSTITUTE(SUBSTITUTE(SUBSTITUTE(SUBSTITUTE(SUBSTITUTE(SUBSTITUTE(SUBSTITUTE(SUBSTITUTE(SUBSTITUTE(SUBSTITUTE(UPPER(TRIM($DZ248)),"0",""),"1",""),"2",""),"3",""),"4",""),"5",""),"6",""),"7",""),"8",""),"9",""),".",""),"+",""),"-",""),"E","")="",LEN(SUBSTITUTE(SUBSTITUTE(MID(UPPER(TRIM($DZ248)),1+OR(LEFT(UPPER(TRIM($DZ248)),1)="+",LEFT(UPPER(TRIM($DZ248)),1)="-"),999),"E+","E"),"E-","E"))=LEN(SUBSTITUTE(SUBSTITUTE(SUBSTITUTE(SUBSTITUTE(MID(UPPER(TRIM($DZ248)),1+OR(LEFT(UPPER(TRIM($DZ248)),1)="+",LEFT(UPPER(TRIM($DZ248)),1)="-"),999),"E+","E"),"E-","E"),"+",""),"-","")),LEN(UPPER(TRIM($DZ248)))-LEN(SUBSTITUTE(UPPER(TRIM($DZ248)),"E",""))&lt;2,LEN(UPPER(TRIM($DZ248)))-LEN(SUBSTITUTE(UPPER(TRIM($DZ248)),".",""))&lt;2,IFERROR(FIND(".",UPPER(TRIM($DZ248))),0)&lt;IFERROR(FIND("E",UPPER(TRIM($DZ248))),999)),ISNUMBER(VALUE(TRIM($DZ248)))),VALUE(TRIM($DZ248)),"")))),""))</f>
        <v/>
      </c>
      <c r="EB248">
        <f>IF($DM248=0,"",IF($L$18=0,"",IFERROR(IF(UPPER(TRIM(SUBSTITUTE(SUBSTITUTE(SUBSTITUTE(SUBSTITUTE(INDEX(PASTE_ALL,$DF248,$L$18)," "," "),CHAR(9)," "),CHAR(10)," "),CHAR(13)," ")))="READY","Ready",IF(UPPER(TRIM(SUBSTITUTE(SUBSTITUTE(SUBSTITUTE(SUBSTITUTE(INDEX(PASTE_ALL,$DF248,$L$18)," "," "),CHAR(9)," "),CHAR(10)," "),CHAR(13)," ")))="PM","PM",IF(OR(UPPER(TRIM(SUBSTITUTE(SUBSTITUTE(SUBSTITUTE(SUBSTITUTE(INDEX(PASTE_ALL,$DF248,$L$18)," "," "),CHAR(9)," "),CHAR(10)," "),CHAR(13)," ")))="OT",UPPER(TRIM(SUBSTITUTE(SUBSTITUTE(SUBSTITUTE(SUBSTITUTE(INDEX(PASTE_ALL,$DF248,$L$18)," "," "),CHAR(9)," "),CHAR(10)," "),CHAR(13)," ")))="OVERTIME",UPPER(TRIM(SUBSTITUTE(SUBSTITUTE(SUBSTITUTE(SUBSTITUTE(INDEX(PASTE_ALL,$DF248,$L$18)," "," "),CHAR(9)," "),CHAR(10)," "),CHAR(13)," ")))="TRIAL"),"OT",TRIM(SUBSTITUTE(SUBSTITUTE(SUBSTITUTE(SUBSTITUTE(INDEX(PASTE_ALL,$DF248,$L$18)," "," "),CHAR(9)," "),CHAR(10)," "),CHAR(13)," "))))),"")))</f>
        <v/>
      </c>
      <c r="EC248">
        <f>IF($DM248=0,"",IF($L$19=0,"",IFERROR(IF(ISNUMBER(INDEX(PASTE_ALL,$DF248,$L$19)),INDEX(PASTE_ALL,$DF248,$L$19),TRIM(SUBSTITUTE(SUBSTITUTE(SUBSTITUTE(SUBSTITUTE(INDEX(PASTE_ALL,$DF248,$L$19)," "," "),CHAR(9)," "),CHAR(10)," "),CHAR(13)," "))),"")))</f>
        <v/>
      </c>
      <c r="ED248">
        <f>IF($DM248=0,"",MATCH(1,INDEX(EXACT($DH$5:DH248,$DH248)*$DM$5:DM248,0),0))</f>
        <v/>
      </c>
      <c r="EE248">
        <f>IF($DM248=0,0,IF($ED248=$DE248,1,0))</f>
        <v/>
      </c>
      <c r="EF248">
        <f>EF247+$EE248</f>
        <v/>
      </c>
      <c r="EG248">
        <f>IF($DM248=0,"",INDEX($EF$5:$EF$1003,$ED248))</f>
        <v/>
      </c>
      <c r="EH248">
        <f>IF($DM248=0,"",IF($DO248&lt;&gt;"","",IFERROR(LOOKUP(2,1/(($EG$4:EG247=$EG248)*($DO$4:DO247&lt;&gt;"")),$DO$4:DO247),"")))</f>
        <v/>
      </c>
      <c r="EI248">
        <f>IF($DM248=0,"",IF($DO248&lt;&gt;"",$DO248,$EH248))</f>
        <v/>
      </c>
      <c r="EJ248">
        <f>IF($DM248=0,"",IF($EI248="",0,IF(OR(ISNUMBER($EI248),AND(AND(SUBSTITUTE(SUBSTITUTE(SUBSTITUTE(SUBSTITUTE(SUBSTITUTE(SUBSTITUTE(SUBSTITUTE(SUBSTITUTE(SUBSTITUTE(SUBSTITUTE(SUBSTITUTE(SUBSTITUTE(SUBSTITUTE(SUBSTITUTE(UPPER($EI248),"0",""),"1",""),"2",""),"3",""),"4",""),"5",""),"6",""),"7",""),"8",""),"9",""),".",""),"+",""),"-",""),"E","")="",LEN(SUBSTITUTE(SUBSTITUTE(MID(UPPER($EI248),1+OR(LEFT(UPPER($EI248),1)="+",LEFT(UPPER($EI248),1)="-"),999),"E+","E"),"E-","E"))=LEN(SUBSTITUTE(SUBSTITUTE(SUBSTITUTE(SUBSTITUTE(MID(UPPER($EI248),1+OR(LEFT(UPPER($EI248),1)="+",LEFT(UPPER($EI248),1)="-"),999),"E+","E"),"E-","E"),"+",""),"-","")),LEN(UPPER($EI248))-LEN(SUBSTITUTE(UPPER($EI248),"E",""))&lt;2,LEN(UPPER($EI248))-LEN(SUBSTITUTE(UPPER($EI248),".",""))&lt;2,IFERROR(FIND(".",UPPER($EI248)),0)&lt;IFERROR(FIND("E",UPPER($EI248)),999)),ISNUMBER(VALUE($EI248)))),1,2)))</f>
        <v/>
      </c>
      <c r="EK248">
        <f>IF($DM248=0,"",IF($EJ248=1,IF(ISNUMBER($EI248),$EI248,VALUE($EI248)),IF($EJ248=2,$DE248,0)))</f>
        <v/>
      </c>
      <c r="EL248">
        <f>IF($DM248=0,"",COUNTIF($EG$5:$EG$1003,"&lt;"&amp;$EG248)+SUMPRODUCT(($EG$5:$EG$1003=$EG248)*(($EJ$5:$EJ$1003&lt;$EJ248)+($EJ$5:$EJ$1003=$EJ248)*(($EK$5:$EK$1003&lt;$EK248)+($EK$5:$EK$1003=$EK248)*($DE$5:$DE$1003&lt;$DE248))))+1)</f>
        <v/>
      </c>
      <c r="EM248">
        <f>IF($DM248=0,"",$EL248+$EG248-1)</f>
        <v/>
      </c>
      <c r="EN248">
        <f>IF($DM248=0,0,IFERROR(MATCH(1,INDEX(--(TRIM(SUBSTITUTE(SUBSTITUTE(SUBSTITUTE(SUBSTITUTE(LINES_NAME&amp;""," "," "),CHAR(9)," "),CHAR(10)," "),CHAR(13)," "))=$DH248),0),0),0))</f>
        <v/>
      </c>
      <c r="EO248">
        <f>IF($EN248=0,0,IF(OR(UPPER(TRIM(INDEX(LINES_SCHEDULED,$EN248)&amp;""))="YES",UPPER(TRIM(INDEX(LINES_SCHEDULED,$EN248)&amp;""))="Y",UPPER(TRIM(INDEX(LINES_SCHEDULED,$EN248)&amp;""))="X"),1,0))</f>
        <v/>
      </c>
      <c r="EP248">
        <f>IF($DM248=0,"",IF(COUNTIFS($EG$5:$EG$1003,$EG248,$EB$5:$EB$1003,"Ready")&gt;0,"READY",IF(COUNTIFS($EG$5:$EG$1003,$EG248,$EB$5:$EB$1003,"PM")&gt;0,"PM",IF(COUNTIFS($EG$5:$EG$1003,$EG248,$EB$5:$EB$1003,"OT")&gt;0,"OT",""))))</f>
        <v/>
      </c>
      <c r="EQ248">
        <f>IF($EN248=0,"",UPPER(TRIM(INDEX(LINES_STATUS,$EN248)&amp;"")))</f>
        <v/>
      </c>
      <c r="ER248">
        <f>IF($DM248=0,"",IF(OR($EQ248="READY",$EQ248="PM",$EQ248="OT"),$EQ248,$EP248))</f>
        <v/>
      </c>
      <c r="ES248">
        <f>IF($DM248=0,"",IF(AND($DV248&lt;&gt;"",UPPER($DV248)&lt;&gt;"N"),"allergen",IF(ISNUMBER(SEARCH("oil",$DQ248)),"oil",IF(OR(EXACT($DS248,"A662"),EXACT($DS248,"A624")),"bulk",""))))</f>
        <v/>
      </c>
      <c r="ET248">
        <f>IF($DM248=0,"",IF(OR($EA248="",$EA248=0),"",$EA248/100))</f>
        <v/>
      </c>
      <c r="EU248">
        <f>IF(OR($ET248="",$DY248=""),"",INT($DY248*(1-$ET248)+0.5))</f>
        <v/>
      </c>
      <c r="EW248" t="n">
        <v>244</v>
      </c>
      <c r="EX248">
        <f>IFERROR(MATCH($EW248,$EM$5:$EM$1003,0),0)</f>
        <v/>
      </c>
      <c r="EY248">
        <f>IF($EW248&gt;$B$12,"",IF($EX248&gt;0,"row","spacer"))</f>
        <v/>
      </c>
      <c r="EZ248">
        <f>IF(AND($EY248="row",$EY247&lt;&gt;"row"),1,0)</f>
        <v/>
      </c>
      <c r="FA248">
        <f>IF(AND($EY248="row",$EY249&lt;&gt;"row"),1,0)</f>
        <v/>
      </c>
      <c r="FB248">
        <f>IF($EZ248=1,IFERROR(IF(ISNUMBER(INDEX(PASTE_ALL,INDEX($DF$5:$DF$1003,$EX248),$B$37)),INDEX(PASTE_ALL,INDEX($DF$5:$DF$1003,$EX248),$B$37),INDEX($DH$5:$DH$1003,$EX248)),INDEX($DH$5:$DH$1003,$EX248)),"")</f>
        <v/>
      </c>
      <c r="FC248">
        <f>IF($EY248="row",INDEX($ER$5:$ER$1003,$EX248),"")</f>
        <v/>
      </c>
      <c r="FD248">
        <f>IF($EY248="row",INDEX($DN$5:$DN$1003,$EX248),"")</f>
        <v/>
      </c>
      <c r="FE248">
        <f>IF($EY248="row",INDEX($DO$5:$DO$1003,$EX248),"")</f>
        <v/>
      </c>
      <c r="FF248">
        <f>IF($EY248="row",INDEX($DP$5:$DP$1003,$EX248),"")</f>
        <v/>
      </c>
      <c r="FG248">
        <f>IF($EY248="row",INDEX($DQ$5:$DQ$1003,$EX248),"")</f>
        <v/>
      </c>
      <c r="FH248">
        <f>IF($EY248="row",INDEX($DR$5:$DR$1003,$EX248),"")</f>
        <v/>
      </c>
      <c r="FI248">
        <f>IF($EY248="row",INDEX($DS$5:$DS$1003,$EX248),"")</f>
        <v/>
      </c>
      <c r="FJ248">
        <f>IF($EY248="row",INDEX($DT$5:$DT$1003,$EX248),"")</f>
        <v/>
      </c>
      <c r="FK248">
        <f>IF($EY248="row",INDEX($DU$5:$DU$1003,$EX248),"")</f>
        <v/>
      </c>
      <c r="FL248">
        <f>IF($EY248="row",INDEX($DV$5:$DV$1003,$EX248),"")</f>
        <v/>
      </c>
      <c r="FM248">
        <f>IF($EY248="row",INDEX($DW$5:$DW$1003,$EX248),"")</f>
        <v/>
      </c>
      <c r="FN248">
        <f>IF($EY248="row",INDEX($DY$5:$DY$1003,$EX248),"")</f>
        <v/>
      </c>
      <c r="FO248">
        <f>IF($EY248="row",INDEX($EA$5:$EA$1003,$EX248),"")</f>
        <v/>
      </c>
      <c r="FP248">
        <f>IF($EY248="row",INDEX($EC$5:$EC$1003,$EX248),"")</f>
        <v/>
      </c>
      <c r="FQ248">
        <f>IF($EY248="row",INDEX($ET$5:$ET$1003,$EX248),"")</f>
        <v/>
      </c>
      <c r="FR248">
        <f>IF($EY248="row",INDEX($EU$5:$EU$1003,$EX248),"")</f>
        <v/>
      </c>
      <c r="FS248">
        <f>IF(AND($EY248="row",$EY247="row"),IF(OR(INDEX($DT$5:$DT$1003,$EX247)="",INDEX($DT$5:$DT$1003,$EX248)=""),"",IF(NOT(EXACT(INDEX($DT$5:$DT$1003,$EX247),INDEX($DT$5:$DT$1003,$EX248))),"S4",IF(NOT(EXACT(INDEX($DS$5:$DS$1003,$EX247),INDEX($DS$5:$DS$1003,$EX248))),"S3",IF(NOT(EXACT(INDEX($DR$5:$DR$1003,$EX247),INDEX($DR$5:$DR$1003,$EX248))),"S1 Count Change","S1")))),"")</f>
        <v/>
      </c>
      <c r="FT248">
        <f>IF($EY248="row",INDEX($ES$5:$ES$1003,$EX248),"")</f>
        <v/>
      </c>
      <c r="FU248">
        <f>IF($EY248="row",INDEX($EO$5:$EO$1003,$EX248),0)</f>
        <v/>
      </c>
      <c r="FV248">
        <f>IF($FS248="S1 Count Change",1,0)</f>
        <v/>
      </c>
    </row>
    <row r="249">
      <c r="DA249" t="n">
        <v>245</v>
      </c>
      <c r="DB249">
        <f>IF($B$37=0,"",IFERROR(TRIM(SUBSTITUTE(SUBSTITUTE(SUBSTITUTE(SUBSTITUTE(INDEX(PASTE_ALL,245,$B$37)," "," "),CHAR(9)," "),CHAR(10)," "),CHAR(13)," ")),""))</f>
        <v/>
      </c>
      <c r="DC249">
        <f>IF(AND(245&gt;HEADER_ROW,UPPER(DB249)="LEGEND"),1,0)</f>
        <v/>
      </c>
      <c r="DE249" t="n">
        <v>245</v>
      </c>
      <c r="DF249">
        <f>HEADER_ROW+$DE249</f>
        <v/>
      </c>
      <c r="DG249">
        <f>IF(AND($DF249&lt;=1000,$DF249&lt;$B$8),1,0)</f>
        <v/>
      </c>
      <c r="DH249">
        <f>IF($DG249=1,IFERROR(INDEX($DB$5:$DB$1004,$DF249),""),"")</f>
        <v/>
      </c>
      <c r="DI249">
        <f>IF(AND($DG249=1,$DH249&lt;&gt;""),IFERROR(SUBSTITUTE(SUBSTITUTE(TRIM(SUBSTITUTE(SUBSTITUTE(SUBSTITUTE(SUBSTITUTE(IFERROR(INDEX(PASTE_ALL,$DF249,1)&amp;"","")&amp;"␟"&amp;IFERROR(INDEX(PASTE_ALL,$DF249,2)&amp;"","")&amp;"␟"&amp;IFERROR(INDEX(PASTE_ALL,$DF249,3)&amp;"","")&amp;"␟"&amp;IFERROR(INDEX(PASTE_ALL,$DF249,4)&amp;"","")&amp;"␟"&amp;IFERROR(INDEX(PASTE_ALL,$DF249,5)&amp;"","")&amp;"␟"&amp;IFERROR(INDEX(PASTE_ALL,$DF249,6)&amp;"","")&amp;"␟"&amp;IFERROR(INDEX(PASTE_ALL,$DF249,7)&amp;"","")&amp;"␟"&amp;IFERROR(INDEX(PASTE_ALL,$DF249,8)&amp;"","")&amp;"␟"&amp;IFERROR(INDEX(PASTE_ALL,$DF249,9)&amp;"","")&amp;"␟"&amp;IFERROR(INDEX(PASTE_ALL,$DF249,10)&amp;"","")&amp;"␟"&amp;IFERROR(INDEX(PASTE_ALL,$DF249,11)&amp;"","")&amp;"␟"&amp;IFERROR(INDEX(PASTE_ALL,$DF249,12)&amp;"","")&amp;"␟"&amp;IFERROR(INDEX(PASTE_ALL,$DF249,13)&amp;"","")&amp;"␟"&amp;IFERROR(INDEX(PASTE_ALL,$DF249,14)&amp;"","")&amp;"␟"&amp;IFERROR(INDEX(PASTE_ALL,$DF249,15)&amp;"","")&amp;"␟"&amp;IFERROR(INDEX(PASTE_ALL,$DF249,16)&amp;"","")&amp;"␟"&amp;IFERROR(INDEX(PASTE_ALL,$DF249,17)&amp;"","")&amp;"␟"&amp;IFERROR(INDEX(PASTE_ALL,$DF249,18)&amp;"","")&amp;"␟"&amp;IFERROR(INDEX(PASTE_ALL,$DF249,19)&amp;"","")&amp;"␟"&amp;IFERROR(INDEX(PASTE_ALL,$DF249,20)&amp;"","")&amp;"␟"&amp;IFERROR(INDEX(PASTE_ALL,$DF249,21)&amp;"","")&amp;"␟"&amp;IFERROR(INDEX(PASTE_ALL,$DF249,22)&amp;"","")&amp;"␟"&amp;IFERROR(INDEX(PASTE_ALL,$DF249,23)&amp;"","")&amp;"␟"&amp;IFERROR(INDEX(PASTE_ALL,$DF249,24)&amp;"","")&amp;"␟"&amp;IFERROR(INDEX(PASTE_ALL,$DF249,25)&amp;"","")&amp;"␟"&amp;IFERROR(INDEX(PASTE_ALL,$DF249,26)&amp;"","")&amp;"␟"&amp;IFERROR(INDEX(PASTE_ALL,$DF249,27)&amp;"","")&amp;"␟"&amp;IFERROR(INDEX(PASTE_ALL,$DF249,28)&amp;"","")&amp;"␟"&amp;IFERROR(INDEX(PASTE_ALL,$DF249,29)&amp;"","")&amp;"␟"&amp;IFERROR(INDEX(PASTE_ALL,$DF249,30)&amp;"","")&amp;"␟"&amp;IFERROR(INDEX(PASTE_ALL,$DF249,31)&amp;"","")&amp;"␟"&amp;IFERROR(INDEX(PASTE_ALL,$DF249,32)&amp;"","")&amp;"␟"&amp;IFERROR(INDEX(PASTE_ALL,$DF249,33)&amp;"","")&amp;"␟"&amp;IFERROR(INDEX(PASTE_ALL,$DF249,34)&amp;"","")&amp;"␟"&amp;IFERROR(INDEX(PASTE_ALL,$DF249,35)&amp;"","")&amp;"␟"&amp;IFERROR(INDEX(PASTE_ALL,$DF249,36)&amp;"","")&amp;"␟"&amp;IFERROR(INDEX(PASTE_ALL,$DF249,37)&amp;"","")&amp;"␟"&amp;IFERROR(INDEX(PASTE_ALL,$DF249,38)&amp;"","")&amp;"␟"&amp;IFERROR(INDEX(PASTE_ALL,$DF249,39)&amp;"","")&amp;"␟"&amp;IFERROR(INDEX(PASTE_ALL,$DF249,40)&amp;"","")&amp;"␟"&amp;IFERROR(INDEX(PASTE_ALL,$DF249,41)&amp;"","")&amp;"␟"&amp;IFERROR(INDEX(PASTE_ALL,$DF249,42)&amp;"","")&amp;"␟"&amp;IFERROR(INDEX(PASTE_ALL,$DF249,43)&amp;"","")&amp;"␟"&amp;IFERROR(INDEX(PASTE_ALL,$DF249,44)&amp;"","")&amp;"␟"&amp;IFERROR(INDEX(PASTE_ALL,$DF249,45)&amp;"","")&amp;"␟"&amp;IFERROR(INDEX(PASTE_ALL,$DF249,46)&amp;"","")&amp;"␟"&amp;IFERROR(INDEX(PASTE_ALL,$DF249,47)&amp;"","")&amp;"␟"&amp;IFERROR(INDEX(PASTE_ALL,$DF249,48)&amp;"","")&amp;"␟"&amp;IFERROR(INDEX(PASTE_ALL,$DF249,49)&amp;"","")&amp;"␟"&amp;IFERROR(INDEX(PASTE_ALL,$DF249,50)&amp;"","")&amp;"␟"&amp;IFERROR(INDEX(PASTE_ALL,$DF249,51)&amp;"","")&amp;"␟"&amp;IFERROR(INDEX(PASTE_ALL,$DF249,52)&amp;"","")&amp;"␟"&amp;IFERROR(INDEX(PASTE_ALL,$DF249,53)&amp;"","")&amp;"␟"&amp;IFERROR(INDEX(PASTE_ALL,$DF249,54)&amp;"","")&amp;"␟"&amp;IFERROR(INDEX(PASTE_ALL,$DF249,55)&amp;"","")&amp;"␟"&amp;IFERROR(INDEX(PASTE_ALL,$DF249,56)&amp;"","")&amp;"␟"&amp;IFERROR(INDEX(PASTE_ALL,$DF249,57)&amp;"","")&amp;"␟"&amp;IFERROR(INDEX(PASTE_ALL,$DF249,58)&amp;"","")&amp;"␟"&amp;IFERROR(INDEX(PASTE_ALL,$DF249,59)&amp;"","")&amp;"␟"&amp;IFERROR(INDEX(PASTE_ALL,$DF249,60)&amp;"","")," "," "),CHAR(9)," "),CHAR(10)," "),CHAR(13)," "))," ␟","␟"),"␟ ","␟"),"#"&amp;$DE249),"")</f>
        <v/>
      </c>
      <c r="DJ249">
        <f>IF($DI249="",0,IF(SUMPRODUCT(--EXACT($DI$4:DI248,$DI249))&gt;0,1,0))</f>
        <v/>
      </c>
      <c r="DK249">
        <f>IF(AND($DI249&lt;&gt;"",$DJ249=0),1,0)</f>
        <v/>
      </c>
      <c r="DL249">
        <f>DL248+$DK249</f>
        <v/>
      </c>
      <c r="DM249">
        <f>IF(AND($DK249=1,$DL249&lt;=600),1,0)</f>
        <v/>
      </c>
      <c r="DN249">
        <f>IF($DM249=0,"",IF($L$6=0,"",IFERROR(IF(ISNUMBER(INDEX(PASTE_ALL,$DF249,$L$6)),INDEX(PASTE_ALL,$DF249,$L$6),TRIM(SUBSTITUTE(SUBSTITUTE(SUBSTITUTE(SUBSTITUTE(INDEX(PASTE_ALL,$DF249,$L$6)," "," "),CHAR(9)," "),CHAR(10)," "),CHAR(13)," "))),"")))</f>
        <v/>
      </c>
      <c r="DO249">
        <f>IF($DM249=0,"",IF($L$7=0,"",IFERROR(IF(ISNUMBER(INDEX(PASTE_ALL,$DF249,$L$7)),INDEX(PASTE_ALL,$DF249,$L$7),TRIM(SUBSTITUTE(SUBSTITUTE(SUBSTITUTE(SUBSTITUTE(INDEX(PASTE_ALL,$DF249,$L$7)," "," "),CHAR(9)," "),CHAR(10)," "),CHAR(13)," "))),"")))</f>
        <v/>
      </c>
      <c r="DP249">
        <f>IF($DM249=0,"",IF($L$8=0,"",IFERROR(IF(ISNUMBER(INDEX(PASTE_ALL,$DF249,$L$8)),INDEX(PASTE_ALL,$DF249,$L$8),TRIM(SUBSTITUTE(SUBSTITUTE(SUBSTITUTE(SUBSTITUTE(INDEX(PASTE_ALL,$DF249,$L$8)," "," "),CHAR(9)," "),CHAR(10)," "),CHAR(13)," "))),"")))</f>
        <v/>
      </c>
      <c r="DQ249">
        <f>IF($DM249=0,"",IF($L$9=0,"",IFERROR(IF(ISNUMBER(INDEX(PASTE_ALL,$DF249,$L$9)),INDEX(PASTE_ALL,$DF249,$L$9),TRIM(SUBSTITUTE(SUBSTITUTE(SUBSTITUTE(SUBSTITUTE(INDEX(PASTE_ALL,$DF249,$L$9)," "," "),CHAR(9)," "),CHAR(10)," "),CHAR(13)," "))),"")))</f>
        <v/>
      </c>
      <c r="DR249">
        <f>IF($DM249=0,"",IF($L$10=0,"",IFERROR(IF(ISNUMBER(INDEX(PASTE_ALL,$DF249,$L$10)),INDEX(PASTE_ALL,$DF249,$L$10),TRIM(SUBSTITUTE(SUBSTITUTE(SUBSTITUTE(SUBSTITUTE(INDEX(PASTE_ALL,$DF249,$L$10)," "," "),CHAR(9)," "),CHAR(10)," "),CHAR(13)," "))),"")))</f>
        <v/>
      </c>
      <c r="DS249">
        <f>IF($DM249=0,"",IF($L$11=0,"",IFERROR(IF(ISNUMBER(INDEX(PASTE_ALL,$DF249,$L$11)),INDEX(PASTE_ALL,$DF249,$L$11),TRIM(SUBSTITUTE(SUBSTITUTE(SUBSTITUTE(SUBSTITUTE(INDEX(PASTE_ALL,$DF249,$L$11)," "," "),CHAR(9)," "),CHAR(10)," "),CHAR(13)," "))),"")))</f>
        <v/>
      </c>
      <c r="DT249">
        <f>IF($DM249=0,"",IF($L$12=0,"",IFERROR(IF(ISNUMBER(INDEX(PASTE_ALL,$DF249,$L$12)),INDEX(PASTE_ALL,$DF249,$L$12),TRIM(SUBSTITUTE(SUBSTITUTE(SUBSTITUTE(SUBSTITUTE(INDEX(PASTE_ALL,$DF249,$L$12)," "," "),CHAR(9)," "),CHAR(10)," "),CHAR(13)," "))),"")))</f>
        <v/>
      </c>
      <c r="DU249">
        <f>IF($DM249=0,"",IF($L$13=0,"",IFERROR(IF(ISNUMBER(INDEX(PASTE_ALL,$DF249,$L$13)),INDEX(PASTE_ALL,$DF249,$L$13),TRIM(SUBSTITUTE(SUBSTITUTE(SUBSTITUTE(SUBSTITUTE(INDEX(PASTE_ALL,$DF249,$L$13)," "," "),CHAR(9)," "),CHAR(10)," "),CHAR(13)," "))),"")))</f>
        <v/>
      </c>
      <c r="DV249">
        <f>IF($DM249=0,"",IF($L$14=0,"",IFERROR(IF(ISNUMBER(INDEX(PASTE_ALL,$DF249,$L$14)),INDEX(PASTE_ALL,$DF249,$L$14),TRIM(SUBSTITUTE(SUBSTITUTE(SUBSTITUTE(SUBSTITUTE(INDEX(PASTE_ALL,$DF249,$L$14)," "," "),CHAR(9)," "),CHAR(10)," "),CHAR(13)," "))),"")))</f>
        <v/>
      </c>
      <c r="DW249">
        <f>IF($DM249=0,"",IF($L$15=0,"",IFERROR(IF(ISNUMBER(INDEX(PASTE_ALL,$DF249,$L$15)),INDEX(PASTE_ALL,$DF249,$L$15),IF(SUMPRODUCT(--ISNUMBER(FIND({"A","B","C","D","E","F","G","H","I","J","K","L","M","N","O","P","Q","R","S","T","U","V","W","X","Y","Z","0","1","2","3","4","5","6","7","8","9"},UPPER(TRIM(SUBSTITUTE(SUBSTITUTE(SUBSTITUTE(SUBSTITUTE(INDEX(PASTE_ALL,$DF249,$L$15)," "," "),CHAR(9)," "),CHAR(10)," "),CHAR(13)," "))))))&gt;0,TRIM(SUBSTITUTE(SUBSTITUTE(SUBSTITUTE(SUBSTITUTE(INDEX(PASTE_ALL,$DF249,$L$15)," "," "),CHAR(9)," "),CHAR(10)," "),CHAR(13)," ")),"")),"")))</f>
        <v/>
      </c>
      <c r="DX249">
        <f>IF($DM249=0,"",IF($L$16=0,"",IFERROR(IF(ISNUMBER(INDEX(PASTE_ALL,$DF249,$L$16)),INDEX(PASTE_ALL,$DF249,$L$16),SUBSTITUTE(SUBSTITUTE(TRIM(SUBSTITUTE(SUBSTITUTE(SUBSTITUTE(SUBSTITUTE(INDEX(PASTE_ALL,$DF249,$L$16)," "," "),CHAR(9)," "),CHAR(10)," "),CHAR(13)," ")),",",""),"%","")),"")))</f>
        <v/>
      </c>
      <c r="DY249">
        <f>IF($DM249=0,"",IFERROR(IF(ISNUMBER($DX249),$DX249,IF($DX249="","",IF(TRIM($DX249)="",0,IF(AND(AND(SUBSTITUTE(SUBSTITUTE(SUBSTITUTE(SUBSTITUTE(SUBSTITUTE(SUBSTITUTE(SUBSTITUTE(SUBSTITUTE(SUBSTITUTE(SUBSTITUTE(SUBSTITUTE(SUBSTITUTE(SUBSTITUTE(SUBSTITUTE(UPPER(TRIM($DX249)),"0",""),"1",""),"2",""),"3",""),"4",""),"5",""),"6",""),"7",""),"8",""),"9",""),".",""),"+",""),"-",""),"E","")="",LEN(SUBSTITUTE(SUBSTITUTE(MID(UPPER(TRIM($DX249)),1+OR(LEFT(UPPER(TRIM($DX249)),1)="+",LEFT(UPPER(TRIM($DX249)),1)="-"),999),"E+","E"),"E-","E"))=LEN(SUBSTITUTE(SUBSTITUTE(SUBSTITUTE(SUBSTITUTE(MID(UPPER(TRIM($DX249)),1+OR(LEFT(UPPER(TRIM($DX249)),1)="+",LEFT(UPPER(TRIM($DX249)),1)="-"),999),"E+","E"),"E-","E"),"+",""),"-","")),LEN(UPPER(TRIM($DX249)))-LEN(SUBSTITUTE(UPPER(TRIM($DX249)),"E",""))&lt;2,LEN(UPPER(TRIM($DX249)))-LEN(SUBSTITUTE(UPPER(TRIM($DX249)),".",""))&lt;2,IFERROR(FIND(".",UPPER(TRIM($DX249))),0)&lt;IFERROR(FIND("E",UPPER(TRIM($DX249))),999)),ISNUMBER(VALUE(TRIM($DX249)))),VALUE(TRIM($DX249)),"")))),""))</f>
        <v/>
      </c>
      <c r="DZ249">
        <f>IF($DM249=0,"",IF($L$17=0,"",IFERROR(IF(ISNUMBER(INDEX(PASTE_ALL,$DF249,$L$17)),INDEX(PASTE_ALL,$DF249,$L$17),SUBSTITUTE(SUBSTITUTE(TRIM(SUBSTITUTE(SUBSTITUTE(SUBSTITUTE(SUBSTITUTE(INDEX(PASTE_ALL,$DF249,$L$17)," "," "),CHAR(9)," "),CHAR(10)," "),CHAR(13)," ")),",",""),"%","")),"")))</f>
        <v/>
      </c>
      <c r="EA249">
        <f>IF($DM249=0,"",IFERROR(IF(ISNUMBER($DZ249),$DZ249,IF($DZ249="","",IF(TRIM($DZ249)="",0,IF(AND(AND(SUBSTITUTE(SUBSTITUTE(SUBSTITUTE(SUBSTITUTE(SUBSTITUTE(SUBSTITUTE(SUBSTITUTE(SUBSTITUTE(SUBSTITUTE(SUBSTITUTE(SUBSTITUTE(SUBSTITUTE(SUBSTITUTE(SUBSTITUTE(UPPER(TRIM($DZ249)),"0",""),"1",""),"2",""),"3",""),"4",""),"5",""),"6",""),"7",""),"8",""),"9",""),".",""),"+",""),"-",""),"E","")="",LEN(SUBSTITUTE(SUBSTITUTE(MID(UPPER(TRIM($DZ249)),1+OR(LEFT(UPPER(TRIM($DZ249)),1)="+",LEFT(UPPER(TRIM($DZ249)),1)="-"),999),"E+","E"),"E-","E"))=LEN(SUBSTITUTE(SUBSTITUTE(SUBSTITUTE(SUBSTITUTE(MID(UPPER(TRIM($DZ249)),1+OR(LEFT(UPPER(TRIM($DZ249)),1)="+",LEFT(UPPER(TRIM($DZ249)),1)="-"),999),"E+","E"),"E-","E"),"+",""),"-","")),LEN(UPPER(TRIM($DZ249)))-LEN(SUBSTITUTE(UPPER(TRIM($DZ249)),"E",""))&lt;2,LEN(UPPER(TRIM($DZ249)))-LEN(SUBSTITUTE(UPPER(TRIM($DZ249)),".",""))&lt;2,IFERROR(FIND(".",UPPER(TRIM($DZ249))),0)&lt;IFERROR(FIND("E",UPPER(TRIM($DZ249))),999)),ISNUMBER(VALUE(TRIM($DZ249)))),VALUE(TRIM($DZ249)),"")))),""))</f>
        <v/>
      </c>
      <c r="EB249">
        <f>IF($DM249=0,"",IF($L$18=0,"",IFERROR(IF(UPPER(TRIM(SUBSTITUTE(SUBSTITUTE(SUBSTITUTE(SUBSTITUTE(INDEX(PASTE_ALL,$DF249,$L$18)," "," "),CHAR(9)," "),CHAR(10)," "),CHAR(13)," ")))="READY","Ready",IF(UPPER(TRIM(SUBSTITUTE(SUBSTITUTE(SUBSTITUTE(SUBSTITUTE(INDEX(PASTE_ALL,$DF249,$L$18)," "," "),CHAR(9)," "),CHAR(10)," "),CHAR(13)," ")))="PM","PM",IF(OR(UPPER(TRIM(SUBSTITUTE(SUBSTITUTE(SUBSTITUTE(SUBSTITUTE(INDEX(PASTE_ALL,$DF249,$L$18)," "," "),CHAR(9)," "),CHAR(10)," "),CHAR(13)," ")))="OT",UPPER(TRIM(SUBSTITUTE(SUBSTITUTE(SUBSTITUTE(SUBSTITUTE(INDEX(PASTE_ALL,$DF249,$L$18)," "," "),CHAR(9)," "),CHAR(10)," "),CHAR(13)," ")))="OVERTIME",UPPER(TRIM(SUBSTITUTE(SUBSTITUTE(SUBSTITUTE(SUBSTITUTE(INDEX(PASTE_ALL,$DF249,$L$18)," "," "),CHAR(9)," "),CHAR(10)," "),CHAR(13)," ")))="TRIAL"),"OT",TRIM(SUBSTITUTE(SUBSTITUTE(SUBSTITUTE(SUBSTITUTE(INDEX(PASTE_ALL,$DF249,$L$18)," "," "),CHAR(9)," "),CHAR(10)," "),CHAR(13)," "))))),"")))</f>
        <v/>
      </c>
      <c r="EC249">
        <f>IF($DM249=0,"",IF($L$19=0,"",IFERROR(IF(ISNUMBER(INDEX(PASTE_ALL,$DF249,$L$19)),INDEX(PASTE_ALL,$DF249,$L$19),TRIM(SUBSTITUTE(SUBSTITUTE(SUBSTITUTE(SUBSTITUTE(INDEX(PASTE_ALL,$DF249,$L$19)," "," "),CHAR(9)," "),CHAR(10)," "),CHAR(13)," "))),"")))</f>
        <v/>
      </c>
      <c r="ED249">
        <f>IF($DM249=0,"",MATCH(1,INDEX(EXACT($DH$5:DH249,$DH249)*$DM$5:DM249,0),0))</f>
        <v/>
      </c>
      <c r="EE249">
        <f>IF($DM249=0,0,IF($ED249=$DE249,1,0))</f>
        <v/>
      </c>
      <c r="EF249">
        <f>EF248+$EE249</f>
        <v/>
      </c>
      <c r="EG249">
        <f>IF($DM249=0,"",INDEX($EF$5:$EF$1003,$ED249))</f>
        <v/>
      </c>
      <c r="EH249">
        <f>IF($DM249=0,"",IF($DO249&lt;&gt;"","",IFERROR(LOOKUP(2,1/(($EG$4:EG248=$EG249)*($DO$4:DO248&lt;&gt;"")),$DO$4:DO248),"")))</f>
        <v/>
      </c>
      <c r="EI249">
        <f>IF($DM249=0,"",IF($DO249&lt;&gt;"",$DO249,$EH249))</f>
        <v/>
      </c>
      <c r="EJ249">
        <f>IF($DM249=0,"",IF($EI249="",0,IF(OR(ISNUMBER($EI249),AND(AND(SUBSTITUTE(SUBSTITUTE(SUBSTITUTE(SUBSTITUTE(SUBSTITUTE(SUBSTITUTE(SUBSTITUTE(SUBSTITUTE(SUBSTITUTE(SUBSTITUTE(SUBSTITUTE(SUBSTITUTE(SUBSTITUTE(SUBSTITUTE(UPPER($EI249),"0",""),"1",""),"2",""),"3",""),"4",""),"5",""),"6",""),"7",""),"8",""),"9",""),".",""),"+",""),"-",""),"E","")="",LEN(SUBSTITUTE(SUBSTITUTE(MID(UPPER($EI249),1+OR(LEFT(UPPER($EI249),1)="+",LEFT(UPPER($EI249),1)="-"),999),"E+","E"),"E-","E"))=LEN(SUBSTITUTE(SUBSTITUTE(SUBSTITUTE(SUBSTITUTE(MID(UPPER($EI249),1+OR(LEFT(UPPER($EI249),1)="+",LEFT(UPPER($EI249),1)="-"),999),"E+","E"),"E-","E"),"+",""),"-","")),LEN(UPPER($EI249))-LEN(SUBSTITUTE(UPPER($EI249),"E",""))&lt;2,LEN(UPPER($EI249))-LEN(SUBSTITUTE(UPPER($EI249),".",""))&lt;2,IFERROR(FIND(".",UPPER($EI249)),0)&lt;IFERROR(FIND("E",UPPER($EI249)),999)),ISNUMBER(VALUE($EI249)))),1,2)))</f>
        <v/>
      </c>
      <c r="EK249">
        <f>IF($DM249=0,"",IF($EJ249=1,IF(ISNUMBER($EI249),$EI249,VALUE($EI249)),IF($EJ249=2,$DE249,0)))</f>
        <v/>
      </c>
      <c r="EL249">
        <f>IF($DM249=0,"",COUNTIF($EG$5:$EG$1003,"&lt;"&amp;$EG249)+SUMPRODUCT(($EG$5:$EG$1003=$EG249)*(($EJ$5:$EJ$1003&lt;$EJ249)+($EJ$5:$EJ$1003=$EJ249)*(($EK$5:$EK$1003&lt;$EK249)+($EK$5:$EK$1003=$EK249)*($DE$5:$DE$1003&lt;$DE249))))+1)</f>
        <v/>
      </c>
      <c r="EM249">
        <f>IF($DM249=0,"",$EL249+$EG249-1)</f>
        <v/>
      </c>
      <c r="EN249">
        <f>IF($DM249=0,0,IFERROR(MATCH(1,INDEX(--(TRIM(SUBSTITUTE(SUBSTITUTE(SUBSTITUTE(SUBSTITUTE(LINES_NAME&amp;""," "," "),CHAR(9)," "),CHAR(10)," "),CHAR(13)," "))=$DH249),0),0),0))</f>
        <v/>
      </c>
      <c r="EO249">
        <f>IF($EN249=0,0,IF(OR(UPPER(TRIM(INDEX(LINES_SCHEDULED,$EN249)&amp;""))="YES",UPPER(TRIM(INDEX(LINES_SCHEDULED,$EN249)&amp;""))="Y",UPPER(TRIM(INDEX(LINES_SCHEDULED,$EN249)&amp;""))="X"),1,0))</f>
        <v/>
      </c>
      <c r="EP249">
        <f>IF($DM249=0,"",IF(COUNTIFS($EG$5:$EG$1003,$EG249,$EB$5:$EB$1003,"Ready")&gt;0,"READY",IF(COUNTIFS($EG$5:$EG$1003,$EG249,$EB$5:$EB$1003,"PM")&gt;0,"PM",IF(COUNTIFS($EG$5:$EG$1003,$EG249,$EB$5:$EB$1003,"OT")&gt;0,"OT",""))))</f>
        <v/>
      </c>
      <c r="EQ249">
        <f>IF($EN249=0,"",UPPER(TRIM(INDEX(LINES_STATUS,$EN249)&amp;"")))</f>
        <v/>
      </c>
      <c r="ER249">
        <f>IF($DM249=0,"",IF(OR($EQ249="READY",$EQ249="PM",$EQ249="OT"),$EQ249,$EP249))</f>
        <v/>
      </c>
      <c r="ES249">
        <f>IF($DM249=0,"",IF(AND($DV249&lt;&gt;"",UPPER($DV249)&lt;&gt;"N"),"allergen",IF(ISNUMBER(SEARCH("oil",$DQ249)),"oil",IF(OR(EXACT($DS249,"A662"),EXACT($DS249,"A624")),"bulk",""))))</f>
        <v/>
      </c>
      <c r="ET249">
        <f>IF($DM249=0,"",IF(OR($EA249="",$EA249=0),"",$EA249/100))</f>
        <v/>
      </c>
      <c r="EU249">
        <f>IF(OR($ET249="",$DY249=""),"",INT($DY249*(1-$ET249)+0.5))</f>
        <v/>
      </c>
      <c r="EW249" t="n">
        <v>245</v>
      </c>
      <c r="EX249">
        <f>IFERROR(MATCH($EW249,$EM$5:$EM$1003,0),0)</f>
        <v/>
      </c>
      <c r="EY249">
        <f>IF($EW249&gt;$B$12,"",IF($EX249&gt;0,"row","spacer"))</f>
        <v/>
      </c>
      <c r="EZ249">
        <f>IF(AND($EY249="row",$EY248&lt;&gt;"row"),1,0)</f>
        <v/>
      </c>
      <c r="FA249">
        <f>IF(AND($EY249="row",$EY250&lt;&gt;"row"),1,0)</f>
        <v/>
      </c>
      <c r="FB249">
        <f>IF($EZ249=1,IFERROR(IF(ISNUMBER(INDEX(PASTE_ALL,INDEX($DF$5:$DF$1003,$EX249),$B$37)),INDEX(PASTE_ALL,INDEX($DF$5:$DF$1003,$EX249),$B$37),INDEX($DH$5:$DH$1003,$EX249)),INDEX($DH$5:$DH$1003,$EX249)),"")</f>
        <v/>
      </c>
      <c r="FC249">
        <f>IF($EY249="row",INDEX($ER$5:$ER$1003,$EX249),"")</f>
        <v/>
      </c>
      <c r="FD249">
        <f>IF($EY249="row",INDEX($DN$5:$DN$1003,$EX249),"")</f>
        <v/>
      </c>
      <c r="FE249">
        <f>IF($EY249="row",INDEX($DO$5:$DO$1003,$EX249),"")</f>
        <v/>
      </c>
      <c r="FF249">
        <f>IF($EY249="row",INDEX($DP$5:$DP$1003,$EX249),"")</f>
        <v/>
      </c>
      <c r="FG249">
        <f>IF($EY249="row",INDEX($DQ$5:$DQ$1003,$EX249),"")</f>
        <v/>
      </c>
      <c r="FH249">
        <f>IF($EY249="row",INDEX($DR$5:$DR$1003,$EX249),"")</f>
        <v/>
      </c>
      <c r="FI249">
        <f>IF($EY249="row",INDEX($DS$5:$DS$1003,$EX249),"")</f>
        <v/>
      </c>
      <c r="FJ249">
        <f>IF($EY249="row",INDEX($DT$5:$DT$1003,$EX249),"")</f>
        <v/>
      </c>
      <c r="FK249">
        <f>IF($EY249="row",INDEX($DU$5:$DU$1003,$EX249),"")</f>
        <v/>
      </c>
      <c r="FL249">
        <f>IF($EY249="row",INDEX($DV$5:$DV$1003,$EX249),"")</f>
        <v/>
      </c>
      <c r="FM249">
        <f>IF($EY249="row",INDEX($DW$5:$DW$1003,$EX249),"")</f>
        <v/>
      </c>
      <c r="FN249">
        <f>IF($EY249="row",INDEX($DY$5:$DY$1003,$EX249),"")</f>
        <v/>
      </c>
      <c r="FO249">
        <f>IF($EY249="row",INDEX($EA$5:$EA$1003,$EX249),"")</f>
        <v/>
      </c>
      <c r="FP249">
        <f>IF($EY249="row",INDEX($EC$5:$EC$1003,$EX249),"")</f>
        <v/>
      </c>
      <c r="FQ249">
        <f>IF($EY249="row",INDEX($ET$5:$ET$1003,$EX249),"")</f>
        <v/>
      </c>
      <c r="FR249">
        <f>IF($EY249="row",INDEX($EU$5:$EU$1003,$EX249),"")</f>
        <v/>
      </c>
      <c r="FS249">
        <f>IF(AND($EY249="row",$EY248="row"),IF(OR(INDEX($DT$5:$DT$1003,$EX248)="",INDEX($DT$5:$DT$1003,$EX249)=""),"",IF(NOT(EXACT(INDEX($DT$5:$DT$1003,$EX248),INDEX($DT$5:$DT$1003,$EX249))),"S4",IF(NOT(EXACT(INDEX($DS$5:$DS$1003,$EX248),INDEX($DS$5:$DS$1003,$EX249))),"S3",IF(NOT(EXACT(INDEX($DR$5:$DR$1003,$EX248),INDEX($DR$5:$DR$1003,$EX249))),"S1 Count Change","S1")))),"")</f>
        <v/>
      </c>
      <c r="FT249">
        <f>IF($EY249="row",INDEX($ES$5:$ES$1003,$EX249),"")</f>
        <v/>
      </c>
      <c r="FU249">
        <f>IF($EY249="row",INDEX($EO$5:$EO$1003,$EX249),0)</f>
        <v/>
      </c>
      <c r="FV249">
        <f>IF($FS249="S1 Count Change",1,0)</f>
        <v/>
      </c>
    </row>
    <row r="250">
      <c r="DA250" t="n">
        <v>246</v>
      </c>
      <c r="DB250">
        <f>IF($B$37=0,"",IFERROR(TRIM(SUBSTITUTE(SUBSTITUTE(SUBSTITUTE(SUBSTITUTE(INDEX(PASTE_ALL,246,$B$37)," "," "),CHAR(9)," "),CHAR(10)," "),CHAR(13)," ")),""))</f>
        <v/>
      </c>
      <c r="DC250">
        <f>IF(AND(246&gt;HEADER_ROW,UPPER(DB250)="LEGEND"),1,0)</f>
        <v/>
      </c>
      <c r="DE250" t="n">
        <v>246</v>
      </c>
      <c r="DF250">
        <f>HEADER_ROW+$DE250</f>
        <v/>
      </c>
      <c r="DG250">
        <f>IF(AND($DF250&lt;=1000,$DF250&lt;$B$8),1,0)</f>
        <v/>
      </c>
      <c r="DH250">
        <f>IF($DG250=1,IFERROR(INDEX($DB$5:$DB$1004,$DF250),""),"")</f>
        <v/>
      </c>
      <c r="DI250">
        <f>IF(AND($DG250=1,$DH250&lt;&gt;""),IFERROR(SUBSTITUTE(SUBSTITUTE(TRIM(SUBSTITUTE(SUBSTITUTE(SUBSTITUTE(SUBSTITUTE(IFERROR(INDEX(PASTE_ALL,$DF250,1)&amp;"","")&amp;"␟"&amp;IFERROR(INDEX(PASTE_ALL,$DF250,2)&amp;"","")&amp;"␟"&amp;IFERROR(INDEX(PASTE_ALL,$DF250,3)&amp;"","")&amp;"␟"&amp;IFERROR(INDEX(PASTE_ALL,$DF250,4)&amp;"","")&amp;"␟"&amp;IFERROR(INDEX(PASTE_ALL,$DF250,5)&amp;"","")&amp;"␟"&amp;IFERROR(INDEX(PASTE_ALL,$DF250,6)&amp;"","")&amp;"␟"&amp;IFERROR(INDEX(PASTE_ALL,$DF250,7)&amp;"","")&amp;"␟"&amp;IFERROR(INDEX(PASTE_ALL,$DF250,8)&amp;"","")&amp;"␟"&amp;IFERROR(INDEX(PASTE_ALL,$DF250,9)&amp;"","")&amp;"␟"&amp;IFERROR(INDEX(PASTE_ALL,$DF250,10)&amp;"","")&amp;"␟"&amp;IFERROR(INDEX(PASTE_ALL,$DF250,11)&amp;"","")&amp;"␟"&amp;IFERROR(INDEX(PASTE_ALL,$DF250,12)&amp;"","")&amp;"␟"&amp;IFERROR(INDEX(PASTE_ALL,$DF250,13)&amp;"","")&amp;"␟"&amp;IFERROR(INDEX(PASTE_ALL,$DF250,14)&amp;"","")&amp;"␟"&amp;IFERROR(INDEX(PASTE_ALL,$DF250,15)&amp;"","")&amp;"␟"&amp;IFERROR(INDEX(PASTE_ALL,$DF250,16)&amp;"","")&amp;"␟"&amp;IFERROR(INDEX(PASTE_ALL,$DF250,17)&amp;"","")&amp;"␟"&amp;IFERROR(INDEX(PASTE_ALL,$DF250,18)&amp;"","")&amp;"␟"&amp;IFERROR(INDEX(PASTE_ALL,$DF250,19)&amp;"","")&amp;"␟"&amp;IFERROR(INDEX(PASTE_ALL,$DF250,20)&amp;"","")&amp;"␟"&amp;IFERROR(INDEX(PASTE_ALL,$DF250,21)&amp;"","")&amp;"␟"&amp;IFERROR(INDEX(PASTE_ALL,$DF250,22)&amp;"","")&amp;"␟"&amp;IFERROR(INDEX(PASTE_ALL,$DF250,23)&amp;"","")&amp;"␟"&amp;IFERROR(INDEX(PASTE_ALL,$DF250,24)&amp;"","")&amp;"␟"&amp;IFERROR(INDEX(PASTE_ALL,$DF250,25)&amp;"","")&amp;"␟"&amp;IFERROR(INDEX(PASTE_ALL,$DF250,26)&amp;"","")&amp;"␟"&amp;IFERROR(INDEX(PASTE_ALL,$DF250,27)&amp;"","")&amp;"␟"&amp;IFERROR(INDEX(PASTE_ALL,$DF250,28)&amp;"","")&amp;"␟"&amp;IFERROR(INDEX(PASTE_ALL,$DF250,29)&amp;"","")&amp;"␟"&amp;IFERROR(INDEX(PASTE_ALL,$DF250,30)&amp;"","")&amp;"␟"&amp;IFERROR(INDEX(PASTE_ALL,$DF250,31)&amp;"","")&amp;"␟"&amp;IFERROR(INDEX(PASTE_ALL,$DF250,32)&amp;"","")&amp;"␟"&amp;IFERROR(INDEX(PASTE_ALL,$DF250,33)&amp;"","")&amp;"␟"&amp;IFERROR(INDEX(PASTE_ALL,$DF250,34)&amp;"","")&amp;"␟"&amp;IFERROR(INDEX(PASTE_ALL,$DF250,35)&amp;"","")&amp;"␟"&amp;IFERROR(INDEX(PASTE_ALL,$DF250,36)&amp;"","")&amp;"␟"&amp;IFERROR(INDEX(PASTE_ALL,$DF250,37)&amp;"","")&amp;"␟"&amp;IFERROR(INDEX(PASTE_ALL,$DF250,38)&amp;"","")&amp;"␟"&amp;IFERROR(INDEX(PASTE_ALL,$DF250,39)&amp;"","")&amp;"␟"&amp;IFERROR(INDEX(PASTE_ALL,$DF250,40)&amp;"","")&amp;"␟"&amp;IFERROR(INDEX(PASTE_ALL,$DF250,41)&amp;"","")&amp;"␟"&amp;IFERROR(INDEX(PASTE_ALL,$DF250,42)&amp;"","")&amp;"␟"&amp;IFERROR(INDEX(PASTE_ALL,$DF250,43)&amp;"","")&amp;"␟"&amp;IFERROR(INDEX(PASTE_ALL,$DF250,44)&amp;"","")&amp;"␟"&amp;IFERROR(INDEX(PASTE_ALL,$DF250,45)&amp;"","")&amp;"␟"&amp;IFERROR(INDEX(PASTE_ALL,$DF250,46)&amp;"","")&amp;"␟"&amp;IFERROR(INDEX(PASTE_ALL,$DF250,47)&amp;"","")&amp;"␟"&amp;IFERROR(INDEX(PASTE_ALL,$DF250,48)&amp;"","")&amp;"␟"&amp;IFERROR(INDEX(PASTE_ALL,$DF250,49)&amp;"","")&amp;"␟"&amp;IFERROR(INDEX(PASTE_ALL,$DF250,50)&amp;"","")&amp;"␟"&amp;IFERROR(INDEX(PASTE_ALL,$DF250,51)&amp;"","")&amp;"␟"&amp;IFERROR(INDEX(PASTE_ALL,$DF250,52)&amp;"","")&amp;"␟"&amp;IFERROR(INDEX(PASTE_ALL,$DF250,53)&amp;"","")&amp;"␟"&amp;IFERROR(INDEX(PASTE_ALL,$DF250,54)&amp;"","")&amp;"␟"&amp;IFERROR(INDEX(PASTE_ALL,$DF250,55)&amp;"","")&amp;"␟"&amp;IFERROR(INDEX(PASTE_ALL,$DF250,56)&amp;"","")&amp;"␟"&amp;IFERROR(INDEX(PASTE_ALL,$DF250,57)&amp;"","")&amp;"␟"&amp;IFERROR(INDEX(PASTE_ALL,$DF250,58)&amp;"","")&amp;"␟"&amp;IFERROR(INDEX(PASTE_ALL,$DF250,59)&amp;"","")&amp;"␟"&amp;IFERROR(INDEX(PASTE_ALL,$DF250,60)&amp;"","")," "," "),CHAR(9)," "),CHAR(10)," "),CHAR(13)," "))," ␟","␟"),"␟ ","␟"),"#"&amp;$DE250),"")</f>
        <v/>
      </c>
      <c r="DJ250">
        <f>IF($DI250="",0,IF(SUMPRODUCT(--EXACT($DI$4:DI249,$DI250))&gt;0,1,0))</f>
        <v/>
      </c>
      <c r="DK250">
        <f>IF(AND($DI250&lt;&gt;"",$DJ250=0),1,0)</f>
        <v/>
      </c>
      <c r="DL250">
        <f>DL249+$DK250</f>
        <v/>
      </c>
      <c r="DM250">
        <f>IF(AND($DK250=1,$DL250&lt;=600),1,0)</f>
        <v/>
      </c>
      <c r="DN250">
        <f>IF($DM250=0,"",IF($L$6=0,"",IFERROR(IF(ISNUMBER(INDEX(PASTE_ALL,$DF250,$L$6)),INDEX(PASTE_ALL,$DF250,$L$6),TRIM(SUBSTITUTE(SUBSTITUTE(SUBSTITUTE(SUBSTITUTE(INDEX(PASTE_ALL,$DF250,$L$6)," "," "),CHAR(9)," "),CHAR(10)," "),CHAR(13)," "))),"")))</f>
        <v/>
      </c>
      <c r="DO250">
        <f>IF($DM250=0,"",IF($L$7=0,"",IFERROR(IF(ISNUMBER(INDEX(PASTE_ALL,$DF250,$L$7)),INDEX(PASTE_ALL,$DF250,$L$7),TRIM(SUBSTITUTE(SUBSTITUTE(SUBSTITUTE(SUBSTITUTE(INDEX(PASTE_ALL,$DF250,$L$7)," "," "),CHAR(9)," "),CHAR(10)," "),CHAR(13)," "))),"")))</f>
        <v/>
      </c>
      <c r="DP250">
        <f>IF($DM250=0,"",IF($L$8=0,"",IFERROR(IF(ISNUMBER(INDEX(PASTE_ALL,$DF250,$L$8)),INDEX(PASTE_ALL,$DF250,$L$8),TRIM(SUBSTITUTE(SUBSTITUTE(SUBSTITUTE(SUBSTITUTE(INDEX(PASTE_ALL,$DF250,$L$8)," "," "),CHAR(9)," "),CHAR(10)," "),CHAR(13)," "))),"")))</f>
        <v/>
      </c>
      <c r="DQ250">
        <f>IF($DM250=0,"",IF($L$9=0,"",IFERROR(IF(ISNUMBER(INDEX(PASTE_ALL,$DF250,$L$9)),INDEX(PASTE_ALL,$DF250,$L$9),TRIM(SUBSTITUTE(SUBSTITUTE(SUBSTITUTE(SUBSTITUTE(INDEX(PASTE_ALL,$DF250,$L$9)," "," "),CHAR(9)," "),CHAR(10)," "),CHAR(13)," "))),"")))</f>
        <v/>
      </c>
      <c r="DR250">
        <f>IF($DM250=0,"",IF($L$10=0,"",IFERROR(IF(ISNUMBER(INDEX(PASTE_ALL,$DF250,$L$10)),INDEX(PASTE_ALL,$DF250,$L$10),TRIM(SUBSTITUTE(SUBSTITUTE(SUBSTITUTE(SUBSTITUTE(INDEX(PASTE_ALL,$DF250,$L$10)," "," "),CHAR(9)," "),CHAR(10)," "),CHAR(13)," "))),"")))</f>
        <v/>
      </c>
      <c r="DS250">
        <f>IF($DM250=0,"",IF($L$11=0,"",IFERROR(IF(ISNUMBER(INDEX(PASTE_ALL,$DF250,$L$11)),INDEX(PASTE_ALL,$DF250,$L$11),TRIM(SUBSTITUTE(SUBSTITUTE(SUBSTITUTE(SUBSTITUTE(INDEX(PASTE_ALL,$DF250,$L$11)," "," "),CHAR(9)," "),CHAR(10)," "),CHAR(13)," "))),"")))</f>
        <v/>
      </c>
      <c r="DT250">
        <f>IF($DM250=0,"",IF($L$12=0,"",IFERROR(IF(ISNUMBER(INDEX(PASTE_ALL,$DF250,$L$12)),INDEX(PASTE_ALL,$DF250,$L$12),TRIM(SUBSTITUTE(SUBSTITUTE(SUBSTITUTE(SUBSTITUTE(INDEX(PASTE_ALL,$DF250,$L$12)," "," "),CHAR(9)," "),CHAR(10)," "),CHAR(13)," "))),"")))</f>
        <v/>
      </c>
      <c r="DU250">
        <f>IF($DM250=0,"",IF($L$13=0,"",IFERROR(IF(ISNUMBER(INDEX(PASTE_ALL,$DF250,$L$13)),INDEX(PASTE_ALL,$DF250,$L$13),TRIM(SUBSTITUTE(SUBSTITUTE(SUBSTITUTE(SUBSTITUTE(INDEX(PASTE_ALL,$DF250,$L$13)," "," "),CHAR(9)," "),CHAR(10)," "),CHAR(13)," "))),"")))</f>
        <v/>
      </c>
      <c r="DV250">
        <f>IF($DM250=0,"",IF($L$14=0,"",IFERROR(IF(ISNUMBER(INDEX(PASTE_ALL,$DF250,$L$14)),INDEX(PASTE_ALL,$DF250,$L$14),TRIM(SUBSTITUTE(SUBSTITUTE(SUBSTITUTE(SUBSTITUTE(INDEX(PASTE_ALL,$DF250,$L$14)," "," "),CHAR(9)," "),CHAR(10)," "),CHAR(13)," "))),"")))</f>
        <v/>
      </c>
      <c r="DW250">
        <f>IF($DM250=0,"",IF($L$15=0,"",IFERROR(IF(ISNUMBER(INDEX(PASTE_ALL,$DF250,$L$15)),INDEX(PASTE_ALL,$DF250,$L$15),IF(SUMPRODUCT(--ISNUMBER(FIND({"A","B","C","D","E","F","G","H","I","J","K","L","M","N","O","P","Q","R","S","T","U","V","W","X","Y","Z","0","1","2","3","4","5","6","7","8","9"},UPPER(TRIM(SUBSTITUTE(SUBSTITUTE(SUBSTITUTE(SUBSTITUTE(INDEX(PASTE_ALL,$DF250,$L$15)," "," "),CHAR(9)," "),CHAR(10)," "),CHAR(13)," "))))))&gt;0,TRIM(SUBSTITUTE(SUBSTITUTE(SUBSTITUTE(SUBSTITUTE(INDEX(PASTE_ALL,$DF250,$L$15)," "," "),CHAR(9)," "),CHAR(10)," "),CHAR(13)," ")),"")),"")))</f>
        <v/>
      </c>
      <c r="DX250">
        <f>IF($DM250=0,"",IF($L$16=0,"",IFERROR(IF(ISNUMBER(INDEX(PASTE_ALL,$DF250,$L$16)),INDEX(PASTE_ALL,$DF250,$L$16),SUBSTITUTE(SUBSTITUTE(TRIM(SUBSTITUTE(SUBSTITUTE(SUBSTITUTE(SUBSTITUTE(INDEX(PASTE_ALL,$DF250,$L$16)," "," "),CHAR(9)," "),CHAR(10)," "),CHAR(13)," ")),",",""),"%","")),"")))</f>
        <v/>
      </c>
      <c r="DY250">
        <f>IF($DM250=0,"",IFERROR(IF(ISNUMBER($DX250),$DX250,IF($DX250="","",IF(TRIM($DX250)="",0,IF(AND(AND(SUBSTITUTE(SUBSTITUTE(SUBSTITUTE(SUBSTITUTE(SUBSTITUTE(SUBSTITUTE(SUBSTITUTE(SUBSTITUTE(SUBSTITUTE(SUBSTITUTE(SUBSTITUTE(SUBSTITUTE(SUBSTITUTE(SUBSTITUTE(UPPER(TRIM($DX250)),"0",""),"1",""),"2",""),"3",""),"4",""),"5",""),"6",""),"7",""),"8",""),"9",""),".",""),"+",""),"-",""),"E","")="",LEN(SUBSTITUTE(SUBSTITUTE(MID(UPPER(TRIM($DX250)),1+OR(LEFT(UPPER(TRIM($DX250)),1)="+",LEFT(UPPER(TRIM($DX250)),1)="-"),999),"E+","E"),"E-","E"))=LEN(SUBSTITUTE(SUBSTITUTE(SUBSTITUTE(SUBSTITUTE(MID(UPPER(TRIM($DX250)),1+OR(LEFT(UPPER(TRIM($DX250)),1)="+",LEFT(UPPER(TRIM($DX250)),1)="-"),999),"E+","E"),"E-","E"),"+",""),"-","")),LEN(UPPER(TRIM($DX250)))-LEN(SUBSTITUTE(UPPER(TRIM($DX250)),"E",""))&lt;2,LEN(UPPER(TRIM($DX250)))-LEN(SUBSTITUTE(UPPER(TRIM($DX250)),".",""))&lt;2,IFERROR(FIND(".",UPPER(TRIM($DX250))),0)&lt;IFERROR(FIND("E",UPPER(TRIM($DX250))),999)),ISNUMBER(VALUE(TRIM($DX250)))),VALUE(TRIM($DX250)),"")))),""))</f>
        <v/>
      </c>
      <c r="DZ250">
        <f>IF($DM250=0,"",IF($L$17=0,"",IFERROR(IF(ISNUMBER(INDEX(PASTE_ALL,$DF250,$L$17)),INDEX(PASTE_ALL,$DF250,$L$17),SUBSTITUTE(SUBSTITUTE(TRIM(SUBSTITUTE(SUBSTITUTE(SUBSTITUTE(SUBSTITUTE(INDEX(PASTE_ALL,$DF250,$L$17)," "," "),CHAR(9)," "),CHAR(10)," "),CHAR(13)," ")),",",""),"%","")),"")))</f>
        <v/>
      </c>
      <c r="EA250">
        <f>IF($DM250=0,"",IFERROR(IF(ISNUMBER($DZ250),$DZ250,IF($DZ250="","",IF(TRIM($DZ250)="",0,IF(AND(AND(SUBSTITUTE(SUBSTITUTE(SUBSTITUTE(SUBSTITUTE(SUBSTITUTE(SUBSTITUTE(SUBSTITUTE(SUBSTITUTE(SUBSTITUTE(SUBSTITUTE(SUBSTITUTE(SUBSTITUTE(SUBSTITUTE(SUBSTITUTE(UPPER(TRIM($DZ250)),"0",""),"1",""),"2",""),"3",""),"4",""),"5",""),"6",""),"7",""),"8",""),"9",""),".",""),"+",""),"-",""),"E","")="",LEN(SUBSTITUTE(SUBSTITUTE(MID(UPPER(TRIM($DZ250)),1+OR(LEFT(UPPER(TRIM($DZ250)),1)="+",LEFT(UPPER(TRIM($DZ250)),1)="-"),999),"E+","E"),"E-","E"))=LEN(SUBSTITUTE(SUBSTITUTE(SUBSTITUTE(SUBSTITUTE(MID(UPPER(TRIM($DZ250)),1+OR(LEFT(UPPER(TRIM($DZ250)),1)="+",LEFT(UPPER(TRIM($DZ250)),1)="-"),999),"E+","E"),"E-","E"),"+",""),"-","")),LEN(UPPER(TRIM($DZ250)))-LEN(SUBSTITUTE(UPPER(TRIM($DZ250)),"E",""))&lt;2,LEN(UPPER(TRIM($DZ250)))-LEN(SUBSTITUTE(UPPER(TRIM($DZ250)),".",""))&lt;2,IFERROR(FIND(".",UPPER(TRIM($DZ250))),0)&lt;IFERROR(FIND("E",UPPER(TRIM($DZ250))),999)),ISNUMBER(VALUE(TRIM($DZ250)))),VALUE(TRIM($DZ250)),"")))),""))</f>
        <v/>
      </c>
      <c r="EB250">
        <f>IF($DM250=0,"",IF($L$18=0,"",IFERROR(IF(UPPER(TRIM(SUBSTITUTE(SUBSTITUTE(SUBSTITUTE(SUBSTITUTE(INDEX(PASTE_ALL,$DF250,$L$18)," "," "),CHAR(9)," "),CHAR(10)," "),CHAR(13)," ")))="READY","Ready",IF(UPPER(TRIM(SUBSTITUTE(SUBSTITUTE(SUBSTITUTE(SUBSTITUTE(INDEX(PASTE_ALL,$DF250,$L$18)," "," "),CHAR(9)," "),CHAR(10)," "),CHAR(13)," ")))="PM","PM",IF(OR(UPPER(TRIM(SUBSTITUTE(SUBSTITUTE(SUBSTITUTE(SUBSTITUTE(INDEX(PASTE_ALL,$DF250,$L$18)," "," "),CHAR(9)," "),CHAR(10)," "),CHAR(13)," ")))="OT",UPPER(TRIM(SUBSTITUTE(SUBSTITUTE(SUBSTITUTE(SUBSTITUTE(INDEX(PASTE_ALL,$DF250,$L$18)," "," "),CHAR(9)," "),CHAR(10)," "),CHAR(13)," ")))="OVERTIME",UPPER(TRIM(SUBSTITUTE(SUBSTITUTE(SUBSTITUTE(SUBSTITUTE(INDEX(PASTE_ALL,$DF250,$L$18)," "," "),CHAR(9)," "),CHAR(10)," "),CHAR(13)," ")))="TRIAL"),"OT",TRIM(SUBSTITUTE(SUBSTITUTE(SUBSTITUTE(SUBSTITUTE(INDEX(PASTE_ALL,$DF250,$L$18)," "," "),CHAR(9)," "),CHAR(10)," "),CHAR(13)," "))))),"")))</f>
        <v/>
      </c>
      <c r="EC250">
        <f>IF($DM250=0,"",IF($L$19=0,"",IFERROR(IF(ISNUMBER(INDEX(PASTE_ALL,$DF250,$L$19)),INDEX(PASTE_ALL,$DF250,$L$19),TRIM(SUBSTITUTE(SUBSTITUTE(SUBSTITUTE(SUBSTITUTE(INDEX(PASTE_ALL,$DF250,$L$19)," "," "),CHAR(9)," "),CHAR(10)," "),CHAR(13)," "))),"")))</f>
        <v/>
      </c>
      <c r="ED250">
        <f>IF($DM250=0,"",MATCH(1,INDEX(EXACT($DH$5:DH250,$DH250)*$DM$5:DM250,0),0))</f>
        <v/>
      </c>
      <c r="EE250">
        <f>IF($DM250=0,0,IF($ED250=$DE250,1,0))</f>
        <v/>
      </c>
      <c r="EF250">
        <f>EF249+$EE250</f>
        <v/>
      </c>
      <c r="EG250">
        <f>IF($DM250=0,"",INDEX($EF$5:$EF$1003,$ED250))</f>
        <v/>
      </c>
      <c r="EH250">
        <f>IF($DM250=0,"",IF($DO250&lt;&gt;"","",IFERROR(LOOKUP(2,1/(($EG$4:EG249=$EG250)*($DO$4:DO249&lt;&gt;"")),$DO$4:DO249),"")))</f>
        <v/>
      </c>
      <c r="EI250">
        <f>IF($DM250=0,"",IF($DO250&lt;&gt;"",$DO250,$EH250))</f>
        <v/>
      </c>
      <c r="EJ250">
        <f>IF($DM250=0,"",IF($EI250="",0,IF(OR(ISNUMBER($EI250),AND(AND(SUBSTITUTE(SUBSTITUTE(SUBSTITUTE(SUBSTITUTE(SUBSTITUTE(SUBSTITUTE(SUBSTITUTE(SUBSTITUTE(SUBSTITUTE(SUBSTITUTE(SUBSTITUTE(SUBSTITUTE(SUBSTITUTE(SUBSTITUTE(UPPER($EI250),"0",""),"1",""),"2",""),"3",""),"4",""),"5",""),"6",""),"7",""),"8",""),"9",""),".",""),"+",""),"-",""),"E","")="",LEN(SUBSTITUTE(SUBSTITUTE(MID(UPPER($EI250),1+OR(LEFT(UPPER($EI250),1)="+",LEFT(UPPER($EI250),1)="-"),999),"E+","E"),"E-","E"))=LEN(SUBSTITUTE(SUBSTITUTE(SUBSTITUTE(SUBSTITUTE(MID(UPPER($EI250),1+OR(LEFT(UPPER($EI250),1)="+",LEFT(UPPER($EI250),1)="-"),999),"E+","E"),"E-","E"),"+",""),"-","")),LEN(UPPER($EI250))-LEN(SUBSTITUTE(UPPER($EI250),"E",""))&lt;2,LEN(UPPER($EI250))-LEN(SUBSTITUTE(UPPER($EI250),".",""))&lt;2,IFERROR(FIND(".",UPPER($EI250)),0)&lt;IFERROR(FIND("E",UPPER($EI250)),999)),ISNUMBER(VALUE($EI250)))),1,2)))</f>
        <v/>
      </c>
      <c r="EK250">
        <f>IF($DM250=0,"",IF($EJ250=1,IF(ISNUMBER($EI250),$EI250,VALUE($EI250)),IF($EJ250=2,$DE250,0)))</f>
        <v/>
      </c>
      <c r="EL250">
        <f>IF($DM250=0,"",COUNTIF($EG$5:$EG$1003,"&lt;"&amp;$EG250)+SUMPRODUCT(($EG$5:$EG$1003=$EG250)*(($EJ$5:$EJ$1003&lt;$EJ250)+($EJ$5:$EJ$1003=$EJ250)*(($EK$5:$EK$1003&lt;$EK250)+($EK$5:$EK$1003=$EK250)*($DE$5:$DE$1003&lt;$DE250))))+1)</f>
        <v/>
      </c>
      <c r="EM250">
        <f>IF($DM250=0,"",$EL250+$EG250-1)</f>
        <v/>
      </c>
      <c r="EN250">
        <f>IF($DM250=0,0,IFERROR(MATCH(1,INDEX(--(TRIM(SUBSTITUTE(SUBSTITUTE(SUBSTITUTE(SUBSTITUTE(LINES_NAME&amp;""," "," "),CHAR(9)," "),CHAR(10)," "),CHAR(13)," "))=$DH250),0),0),0))</f>
        <v/>
      </c>
      <c r="EO250">
        <f>IF($EN250=0,0,IF(OR(UPPER(TRIM(INDEX(LINES_SCHEDULED,$EN250)&amp;""))="YES",UPPER(TRIM(INDEX(LINES_SCHEDULED,$EN250)&amp;""))="Y",UPPER(TRIM(INDEX(LINES_SCHEDULED,$EN250)&amp;""))="X"),1,0))</f>
        <v/>
      </c>
      <c r="EP250">
        <f>IF($DM250=0,"",IF(COUNTIFS($EG$5:$EG$1003,$EG250,$EB$5:$EB$1003,"Ready")&gt;0,"READY",IF(COUNTIFS($EG$5:$EG$1003,$EG250,$EB$5:$EB$1003,"PM")&gt;0,"PM",IF(COUNTIFS($EG$5:$EG$1003,$EG250,$EB$5:$EB$1003,"OT")&gt;0,"OT",""))))</f>
        <v/>
      </c>
      <c r="EQ250">
        <f>IF($EN250=0,"",UPPER(TRIM(INDEX(LINES_STATUS,$EN250)&amp;"")))</f>
        <v/>
      </c>
      <c r="ER250">
        <f>IF($DM250=0,"",IF(OR($EQ250="READY",$EQ250="PM",$EQ250="OT"),$EQ250,$EP250))</f>
        <v/>
      </c>
      <c r="ES250">
        <f>IF($DM250=0,"",IF(AND($DV250&lt;&gt;"",UPPER($DV250)&lt;&gt;"N"),"allergen",IF(ISNUMBER(SEARCH("oil",$DQ250)),"oil",IF(OR(EXACT($DS250,"A662"),EXACT($DS250,"A624")),"bulk",""))))</f>
        <v/>
      </c>
      <c r="ET250">
        <f>IF($DM250=0,"",IF(OR($EA250="",$EA250=0),"",$EA250/100))</f>
        <v/>
      </c>
      <c r="EU250">
        <f>IF(OR($ET250="",$DY250=""),"",INT($DY250*(1-$ET250)+0.5))</f>
        <v/>
      </c>
      <c r="EW250" t="n">
        <v>246</v>
      </c>
      <c r="EX250">
        <f>IFERROR(MATCH($EW250,$EM$5:$EM$1003,0),0)</f>
        <v/>
      </c>
      <c r="EY250">
        <f>IF($EW250&gt;$B$12,"",IF($EX250&gt;0,"row","spacer"))</f>
        <v/>
      </c>
      <c r="EZ250">
        <f>IF(AND($EY250="row",$EY249&lt;&gt;"row"),1,0)</f>
        <v/>
      </c>
      <c r="FA250">
        <f>IF(AND($EY250="row",$EY251&lt;&gt;"row"),1,0)</f>
        <v/>
      </c>
      <c r="FB250">
        <f>IF($EZ250=1,IFERROR(IF(ISNUMBER(INDEX(PASTE_ALL,INDEX($DF$5:$DF$1003,$EX250),$B$37)),INDEX(PASTE_ALL,INDEX($DF$5:$DF$1003,$EX250),$B$37),INDEX($DH$5:$DH$1003,$EX250)),INDEX($DH$5:$DH$1003,$EX250)),"")</f>
        <v/>
      </c>
      <c r="FC250">
        <f>IF($EY250="row",INDEX($ER$5:$ER$1003,$EX250),"")</f>
        <v/>
      </c>
      <c r="FD250">
        <f>IF($EY250="row",INDEX($DN$5:$DN$1003,$EX250),"")</f>
        <v/>
      </c>
      <c r="FE250">
        <f>IF($EY250="row",INDEX($DO$5:$DO$1003,$EX250),"")</f>
        <v/>
      </c>
      <c r="FF250">
        <f>IF($EY250="row",INDEX($DP$5:$DP$1003,$EX250),"")</f>
        <v/>
      </c>
      <c r="FG250">
        <f>IF($EY250="row",INDEX($DQ$5:$DQ$1003,$EX250),"")</f>
        <v/>
      </c>
      <c r="FH250">
        <f>IF($EY250="row",INDEX($DR$5:$DR$1003,$EX250),"")</f>
        <v/>
      </c>
      <c r="FI250">
        <f>IF($EY250="row",INDEX($DS$5:$DS$1003,$EX250),"")</f>
        <v/>
      </c>
      <c r="FJ250">
        <f>IF($EY250="row",INDEX($DT$5:$DT$1003,$EX250),"")</f>
        <v/>
      </c>
      <c r="FK250">
        <f>IF($EY250="row",INDEX($DU$5:$DU$1003,$EX250),"")</f>
        <v/>
      </c>
      <c r="FL250">
        <f>IF($EY250="row",INDEX($DV$5:$DV$1003,$EX250),"")</f>
        <v/>
      </c>
      <c r="FM250">
        <f>IF($EY250="row",INDEX($DW$5:$DW$1003,$EX250),"")</f>
        <v/>
      </c>
      <c r="FN250">
        <f>IF($EY250="row",INDEX($DY$5:$DY$1003,$EX250),"")</f>
        <v/>
      </c>
      <c r="FO250">
        <f>IF($EY250="row",INDEX($EA$5:$EA$1003,$EX250),"")</f>
        <v/>
      </c>
      <c r="FP250">
        <f>IF($EY250="row",INDEX($EC$5:$EC$1003,$EX250),"")</f>
        <v/>
      </c>
      <c r="FQ250">
        <f>IF($EY250="row",INDEX($ET$5:$ET$1003,$EX250),"")</f>
        <v/>
      </c>
      <c r="FR250">
        <f>IF($EY250="row",INDEX($EU$5:$EU$1003,$EX250),"")</f>
        <v/>
      </c>
      <c r="FS250">
        <f>IF(AND($EY250="row",$EY249="row"),IF(OR(INDEX($DT$5:$DT$1003,$EX249)="",INDEX($DT$5:$DT$1003,$EX250)=""),"",IF(NOT(EXACT(INDEX($DT$5:$DT$1003,$EX249),INDEX($DT$5:$DT$1003,$EX250))),"S4",IF(NOT(EXACT(INDEX($DS$5:$DS$1003,$EX249),INDEX($DS$5:$DS$1003,$EX250))),"S3",IF(NOT(EXACT(INDEX($DR$5:$DR$1003,$EX249),INDEX($DR$5:$DR$1003,$EX250))),"S1 Count Change","S1")))),"")</f>
        <v/>
      </c>
      <c r="FT250">
        <f>IF($EY250="row",INDEX($ES$5:$ES$1003,$EX250),"")</f>
        <v/>
      </c>
      <c r="FU250">
        <f>IF($EY250="row",INDEX($EO$5:$EO$1003,$EX250),0)</f>
        <v/>
      </c>
      <c r="FV250">
        <f>IF($FS250="S1 Count Change",1,0)</f>
        <v/>
      </c>
    </row>
    <row r="251">
      <c r="DA251" t="n">
        <v>247</v>
      </c>
      <c r="DB251">
        <f>IF($B$37=0,"",IFERROR(TRIM(SUBSTITUTE(SUBSTITUTE(SUBSTITUTE(SUBSTITUTE(INDEX(PASTE_ALL,247,$B$37)," "," "),CHAR(9)," "),CHAR(10)," "),CHAR(13)," ")),""))</f>
        <v/>
      </c>
      <c r="DC251">
        <f>IF(AND(247&gt;HEADER_ROW,UPPER(DB251)="LEGEND"),1,0)</f>
        <v/>
      </c>
      <c r="DE251" t="n">
        <v>247</v>
      </c>
      <c r="DF251">
        <f>HEADER_ROW+$DE251</f>
        <v/>
      </c>
      <c r="DG251">
        <f>IF(AND($DF251&lt;=1000,$DF251&lt;$B$8),1,0)</f>
        <v/>
      </c>
      <c r="DH251">
        <f>IF($DG251=1,IFERROR(INDEX($DB$5:$DB$1004,$DF251),""),"")</f>
        <v/>
      </c>
      <c r="DI251">
        <f>IF(AND($DG251=1,$DH251&lt;&gt;""),IFERROR(SUBSTITUTE(SUBSTITUTE(TRIM(SUBSTITUTE(SUBSTITUTE(SUBSTITUTE(SUBSTITUTE(IFERROR(INDEX(PASTE_ALL,$DF251,1)&amp;"","")&amp;"␟"&amp;IFERROR(INDEX(PASTE_ALL,$DF251,2)&amp;"","")&amp;"␟"&amp;IFERROR(INDEX(PASTE_ALL,$DF251,3)&amp;"","")&amp;"␟"&amp;IFERROR(INDEX(PASTE_ALL,$DF251,4)&amp;"","")&amp;"␟"&amp;IFERROR(INDEX(PASTE_ALL,$DF251,5)&amp;"","")&amp;"␟"&amp;IFERROR(INDEX(PASTE_ALL,$DF251,6)&amp;"","")&amp;"␟"&amp;IFERROR(INDEX(PASTE_ALL,$DF251,7)&amp;"","")&amp;"␟"&amp;IFERROR(INDEX(PASTE_ALL,$DF251,8)&amp;"","")&amp;"␟"&amp;IFERROR(INDEX(PASTE_ALL,$DF251,9)&amp;"","")&amp;"␟"&amp;IFERROR(INDEX(PASTE_ALL,$DF251,10)&amp;"","")&amp;"␟"&amp;IFERROR(INDEX(PASTE_ALL,$DF251,11)&amp;"","")&amp;"␟"&amp;IFERROR(INDEX(PASTE_ALL,$DF251,12)&amp;"","")&amp;"␟"&amp;IFERROR(INDEX(PASTE_ALL,$DF251,13)&amp;"","")&amp;"␟"&amp;IFERROR(INDEX(PASTE_ALL,$DF251,14)&amp;"","")&amp;"␟"&amp;IFERROR(INDEX(PASTE_ALL,$DF251,15)&amp;"","")&amp;"␟"&amp;IFERROR(INDEX(PASTE_ALL,$DF251,16)&amp;"","")&amp;"␟"&amp;IFERROR(INDEX(PASTE_ALL,$DF251,17)&amp;"","")&amp;"␟"&amp;IFERROR(INDEX(PASTE_ALL,$DF251,18)&amp;"","")&amp;"␟"&amp;IFERROR(INDEX(PASTE_ALL,$DF251,19)&amp;"","")&amp;"␟"&amp;IFERROR(INDEX(PASTE_ALL,$DF251,20)&amp;"","")&amp;"␟"&amp;IFERROR(INDEX(PASTE_ALL,$DF251,21)&amp;"","")&amp;"␟"&amp;IFERROR(INDEX(PASTE_ALL,$DF251,22)&amp;"","")&amp;"␟"&amp;IFERROR(INDEX(PASTE_ALL,$DF251,23)&amp;"","")&amp;"␟"&amp;IFERROR(INDEX(PASTE_ALL,$DF251,24)&amp;"","")&amp;"␟"&amp;IFERROR(INDEX(PASTE_ALL,$DF251,25)&amp;"","")&amp;"␟"&amp;IFERROR(INDEX(PASTE_ALL,$DF251,26)&amp;"","")&amp;"␟"&amp;IFERROR(INDEX(PASTE_ALL,$DF251,27)&amp;"","")&amp;"␟"&amp;IFERROR(INDEX(PASTE_ALL,$DF251,28)&amp;"","")&amp;"␟"&amp;IFERROR(INDEX(PASTE_ALL,$DF251,29)&amp;"","")&amp;"␟"&amp;IFERROR(INDEX(PASTE_ALL,$DF251,30)&amp;"","")&amp;"␟"&amp;IFERROR(INDEX(PASTE_ALL,$DF251,31)&amp;"","")&amp;"␟"&amp;IFERROR(INDEX(PASTE_ALL,$DF251,32)&amp;"","")&amp;"␟"&amp;IFERROR(INDEX(PASTE_ALL,$DF251,33)&amp;"","")&amp;"␟"&amp;IFERROR(INDEX(PASTE_ALL,$DF251,34)&amp;"","")&amp;"␟"&amp;IFERROR(INDEX(PASTE_ALL,$DF251,35)&amp;"","")&amp;"␟"&amp;IFERROR(INDEX(PASTE_ALL,$DF251,36)&amp;"","")&amp;"␟"&amp;IFERROR(INDEX(PASTE_ALL,$DF251,37)&amp;"","")&amp;"␟"&amp;IFERROR(INDEX(PASTE_ALL,$DF251,38)&amp;"","")&amp;"␟"&amp;IFERROR(INDEX(PASTE_ALL,$DF251,39)&amp;"","")&amp;"␟"&amp;IFERROR(INDEX(PASTE_ALL,$DF251,40)&amp;"","")&amp;"␟"&amp;IFERROR(INDEX(PASTE_ALL,$DF251,41)&amp;"","")&amp;"␟"&amp;IFERROR(INDEX(PASTE_ALL,$DF251,42)&amp;"","")&amp;"␟"&amp;IFERROR(INDEX(PASTE_ALL,$DF251,43)&amp;"","")&amp;"␟"&amp;IFERROR(INDEX(PASTE_ALL,$DF251,44)&amp;"","")&amp;"␟"&amp;IFERROR(INDEX(PASTE_ALL,$DF251,45)&amp;"","")&amp;"␟"&amp;IFERROR(INDEX(PASTE_ALL,$DF251,46)&amp;"","")&amp;"␟"&amp;IFERROR(INDEX(PASTE_ALL,$DF251,47)&amp;"","")&amp;"␟"&amp;IFERROR(INDEX(PASTE_ALL,$DF251,48)&amp;"","")&amp;"␟"&amp;IFERROR(INDEX(PASTE_ALL,$DF251,49)&amp;"","")&amp;"␟"&amp;IFERROR(INDEX(PASTE_ALL,$DF251,50)&amp;"","")&amp;"␟"&amp;IFERROR(INDEX(PASTE_ALL,$DF251,51)&amp;"","")&amp;"␟"&amp;IFERROR(INDEX(PASTE_ALL,$DF251,52)&amp;"","")&amp;"␟"&amp;IFERROR(INDEX(PASTE_ALL,$DF251,53)&amp;"","")&amp;"␟"&amp;IFERROR(INDEX(PASTE_ALL,$DF251,54)&amp;"","")&amp;"␟"&amp;IFERROR(INDEX(PASTE_ALL,$DF251,55)&amp;"","")&amp;"␟"&amp;IFERROR(INDEX(PASTE_ALL,$DF251,56)&amp;"","")&amp;"␟"&amp;IFERROR(INDEX(PASTE_ALL,$DF251,57)&amp;"","")&amp;"␟"&amp;IFERROR(INDEX(PASTE_ALL,$DF251,58)&amp;"","")&amp;"␟"&amp;IFERROR(INDEX(PASTE_ALL,$DF251,59)&amp;"","")&amp;"␟"&amp;IFERROR(INDEX(PASTE_ALL,$DF251,60)&amp;"","")," "," "),CHAR(9)," "),CHAR(10)," "),CHAR(13)," "))," ␟","␟"),"␟ ","␟"),"#"&amp;$DE251),"")</f>
        <v/>
      </c>
      <c r="DJ251">
        <f>IF($DI251="",0,IF(SUMPRODUCT(--EXACT($DI$4:DI250,$DI251))&gt;0,1,0))</f>
        <v/>
      </c>
      <c r="DK251">
        <f>IF(AND($DI251&lt;&gt;"",$DJ251=0),1,0)</f>
        <v/>
      </c>
      <c r="DL251">
        <f>DL250+$DK251</f>
        <v/>
      </c>
      <c r="DM251">
        <f>IF(AND($DK251=1,$DL251&lt;=600),1,0)</f>
        <v/>
      </c>
      <c r="DN251">
        <f>IF($DM251=0,"",IF($L$6=0,"",IFERROR(IF(ISNUMBER(INDEX(PASTE_ALL,$DF251,$L$6)),INDEX(PASTE_ALL,$DF251,$L$6),TRIM(SUBSTITUTE(SUBSTITUTE(SUBSTITUTE(SUBSTITUTE(INDEX(PASTE_ALL,$DF251,$L$6)," "," "),CHAR(9)," "),CHAR(10)," "),CHAR(13)," "))),"")))</f>
        <v/>
      </c>
      <c r="DO251">
        <f>IF($DM251=0,"",IF($L$7=0,"",IFERROR(IF(ISNUMBER(INDEX(PASTE_ALL,$DF251,$L$7)),INDEX(PASTE_ALL,$DF251,$L$7),TRIM(SUBSTITUTE(SUBSTITUTE(SUBSTITUTE(SUBSTITUTE(INDEX(PASTE_ALL,$DF251,$L$7)," "," "),CHAR(9)," "),CHAR(10)," "),CHAR(13)," "))),"")))</f>
        <v/>
      </c>
      <c r="DP251">
        <f>IF($DM251=0,"",IF($L$8=0,"",IFERROR(IF(ISNUMBER(INDEX(PASTE_ALL,$DF251,$L$8)),INDEX(PASTE_ALL,$DF251,$L$8),TRIM(SUBSTITUTE(SUBSTITUTE(SUBSTITUTE(SUBSTITUTE(INDEX(PASTE_ALL,$DF251,$L$8)," "," "),CHAR(9)," "),CHAR(10)," "),CHAR(13)," "))),"")))</f>
        <v/>
      </c>
      <c r="DQ251">
        <f>IF($DM251=0,"",IF($L$9=0,"",IFERROR(IF(ISNUMBER(INDEX(PASTE_ALL,$DF251,$L$9)),INDEX(PASTE_ALL,$DF251,$L$9),TRIM(SUBSTITUTE(SUBSTITUTE(SUBSTITUTE(SUBSTITUTE(INDEX(PASTE_ALL,$DF251,$L$9)," "," "),CHAR(9)," "),CHAR(10)," "),CHAR(13)," "))),"")))</f>
        <v/>
      </c>
      <c r="DR251">
        <f>IF($DM251=0,"",IF($L$10=0,"",IFERROR(IF(ISNUMBER(INDEX(PASTE_ALL,$DF251,$L$10)),INDEX(PASTE_ALL,$DF251,$L$10),TRIM(SUBSTITUTE(SUBSTITUTE(SUBSTITUTE(SUBSTITUTE(INDEX(PASTE_ALL,$DF251,$L$10)," "," "),CHAR(9)," "),CHAR(10)," "),CHAR(13)," "))),"")))</f>
        <v/>
      </c>
      <c r="DS251">
        <f>IF($DM251=0,"",IF($L$11=0,"",IFERROR(IF(ISNUMBER(INDEX(PASTE_ALL,$DF251,$L$11)),INDEX(PASTE_ALL,$DF251,$L$11),TRIM(SUBSTITUTE(SUBSTITUTE(SUBSTITUTE(SUBSTITUTE(INDEX(PASTE_ALL,$DF251,$L$11)," "," "),CHAR(9)," "),CHAR(10)," "),CHAR(13)," "))),"")))</f>
        <v/>
      </c>
      <c r="DT251">
        <f>IF($DM251=0,"",IF($L$12=0,"",IFERROR(IF(ISNUMBER(INDEX(PASTE_ALL,$DF251,$L$12)),INDEX(PASTE_ALL,$DF251,$L$12),TRIM(SUBSTITUTE(SUBSTITUTE(SUBSTITUTE(SUBSTITUTE(INDEX(PASTE_ALL,$DF251,$L$12)," "," "),CHAR(9)," "),CHAR(10)," "),CHAR(13)," "))),"")))</f>
        <v/>
      </c>
      <c r="DU251">
        <f>IF($DM251=0,"",IF($L$13=0,"",IFERROR(IF(ISNUMBER(INDEX(PASTE_ALL,$DF251,$L$13)),INDEX(PASTE_ALL,$DF251,$L$13),TRIM(SUBSTITUTE(SUBSTITUTE(SUBSTITUTE(SUBSTITUTE(INDEX(PASTE_ALL,$DF251,$L$13)," "," "),CHAR(9)," "),CHAR(10)," "),CHAR(13)," "))),"")))</f>
        <v/>
      </c>
      <c r="DV251">
        <f>IF($DM251=0,"",IF($L$14=0,"",IFERROR(IF(ISNUMBER(INDEX(PASTE_ALL,$DF251,$L$14)),INDEX(PASTE_ALL,$DF251,$L$14),TRIM(SUBSTITUTE(SUBSTITUTE(SUBSTITUTE(SUBSTITUTE(INDEX(PASTE_ALL,$DF251,$L$14)," "," "),CHAR(9)," "),CHAR(10)," "),CHAR(13)," "))),"")))</f>
        <v/>
      </c>
      <c r="DW251">
        <f>IF($DM251=0,"",IF($L$15=0,"",IFERROR(IF(ISNUMBER(INDEX(PASTE_ALL,$DF251,$L$15)),INDEX(PASTE_ALL,$DF251,$L$15),IF(SUMPRODUCT(--ISNUMBER(FIND({"A","B","C","D","E","F","G","H","I","J","K","L","M","N","O","P","Q","R","S","T","U","V","W","X","Y","Z","0","1","2","3","4","5","6","7","8","9"},UPPER(TRIM(SUBSTITUTE(SUBSTITUTE(SUBSTITUTE(SUBSTITUTE(INDEX(PASTE_ALL,$DF251,$L$15)," "," "),CHAR(9)," "),CHAR(10)," "),CHAR(13)," "))))))&gt;0,TRIM(SUBSTITUTE(SUBSTITUTE(SUBSTITUTE(SUBSTITUTE(INDEX(PASTE_ALL,$DF251,$L$15)," "," "),CHAR(9)," "),CHAR(10)," "),CHAR(13)," ")),"")),"")))</f>
        <v/>
      </c>
      <c r="DX251">
        <f>IF($DM251=0,"",IF($L$16=0,"",IFERROR(IF(ISNUMBER(INDEX(PASTE_ALL,$DF251,$L$16)),INDEX(PASTE_ALL,$DF251,$L$16),SUBSTITUTE(SUBSTITUTE(TRIM(SUBSTITUTE(SUBSTITUTE(SUBSTITUTE(SUBSTITUTE(INDEX(PASTE_ALL,$DF251,$L$16)," "," "),CHAR(9)," "),CHAR(10)," "),CHAR(13)," ")),",",""),"%","")),"")))</f>
        <v/>
      </c>
      <c r="DY251">
        <f>IF($DM251=0,"",IFERROR(IF(ISNUMBER($DX251),$DX251,IF($DX251="","",IF(TRIM($DX251)="",0,IF(AND(AND(SUBSTITUTE(SUBSTITUTE(SUBSTITUTE(SUBSTITUTE(SUBSTITUTE(SUBSTITUTE(SUBSTITUTE(SUBSTITUTE(SUBSTITUTE(SUBSTITUTE(SUBSTITUTE(SUBSTITUTE(SUBSTITUTE(SUBSTITUTE(UPPER(TRIM($DX251)),"0",""),"1",""),"2",""),"3",""),"4",""),"5",""),"6",""),"7",""),"8",""),"9",""),".",""),"+",""),"-",""),"E","")="",LEN(SUBSTITUTE(SUBSTITUTE(MID(UPPER(TRIM($DX251)),1+OR(LEFT(UPPER(TRIM($DX251)),1)="+",LEFT(UPPER(TRIM($DX251)),1)="-"),999),"E+","E"),"E-","E"))=LEN(SUBSTITUTE(SUBSTITUTE(SUBSTITUTE(SUBSTITUTE(MID(UPPER(TRIM($DX251)),1+OR(LEFT(UPPER(TRIM($DX251)),1)="+",LEFT(UPPER(TRIM($DX251)),1)="-"),999),"E+","E"),"E-","E"),"+",""),"-","")),LEN(UPPER(TRIM($DX251)))-LEN(SUBSTITUTE(UPPER(TRIM($DX251)),"E",""))&lt;2,LEN(UPPER(TRIM($DX251)))-LEN(SUBSTITUTE(UPPER(TRIM($DX251)),".",""))&lt;2,IFERROR(FIND(".",UPPER(TRIM($DX251))),0)&lt;IFERROR(FIND("E",UPPER(TRIM($DX251))),999)),ISNUMBER(VALUE(TRIM($DX251)))),VALUE(TRIM($DX251)),"")))),""))</f>
        <v/>
      </c>
      <c r="DZ251">
        <f>IF($DM251=0,"",IF($L$17=0,"",IFERROR(IF(ISNUMBER(INDEX(PASTE_ALL,$DF251,$L$17)),INDEX(PASTE_ALL,$DF251,$L$17),SUBSTITUTE(SUBSTITUTE(TRIM(SUBSTITUTE(SUBSTITUTE(SUBSTITUTE(SUBSTITUTE(INDEX(PASTE_ALL,$DF251,$L$17)," "," "),CHAR(9)," "),CHAR(10)," "),CHAR(13)," ")),",",""),"%","")),"")))</f>
        <v/>
      </c>
      <c r="EA251">
        <f>IF($DM251=0,"",IFERROR(IF(ISNUMBER($DZ251),$DZ251,IF($DZ251="","",IF(TRIM($DZ251)="",0,IF(AND(AND(SUBSTITUTE(SUBSTITUTE(SUBSTITUTE(SUBSTITUTE(SUBSTITUTE(SUBSTITUTE(SUBSTITUTE(SUBSTITUTE(SUBSTITUTE(SUBSTITUTE(SUBSTITUTE(SUBSTITUTE(SUBSTITUTE(SUBSTITUTE(UPPER(TRIM($DZ251)),"0",""),"1",""),"2",""),"3",""),"4",""),"5",""),"6",""),"7",""),"8",""),"9",""),".",""),"+",""),"-",""),"E","")="",LEN(SUBSTITUTE(SUBSTITUTE(MID(UPPER(TRIM($DZ251)),1+OR(LEFT(UPPER(TRIM($DZ251)),1)="+",LEFT(UPPER(TRIM($DZ251)),1)="-"),999),"E+","E"),"E-","E"))=LEN(SUBSTITUTE(SUBSTITUTE(SUBSTITUTE(SUBSTITUTE(MID(UPPER(TRIM($DZ251)),1+OR(LEFT(UPPER(TRIM($DZ251)),1)="+",LEFT(UPPER(TRIM($DZ251)),1)="-"),999),"E+","E"),"E-","E"),"+",""),"-","")),LEN(UPPER(TRIM($DZ251)))-LEN(SUBSTITUTE(UPPER(TRIM($DZ251)),"E",""))&lt;2,LEN(UPPER(TRIM($DZ251)))-LEN(SUBSTITUTE(UPPER(TRIM($DZ251)),".",""))&lt;2,IFERROR(FIND(".",UPPER(TRIM($DZ251))),0)&lt;IFERROR(FIND("E",UPPER(TRIM($DZ251))),999)),ISNUMBER(VALUE(TRIM($DZ251)))),VALUE(TRIM($DZ251)),"")))),""))</f>
        <v/>
      </c>
      <c r="EB251">
        <f>IF($DM251=0,"",IF($L$18=0,"",IFERROR(IF(UPPER(TRIM(SUBSTITUTE(SUBSTITUTE(SUBSTITUTE(SUBSTITUTE(INDEX(PASTE_ALL,$DF251,$L$18)," "," "),CHAR(9)," "),CHAR(10)," "),CHAR(13)," ")))="READY","Ready",IF(UPPER(TRIM(SUBSTITUTE(SUBSTITUTE(SUBSTITUTE(SUBSTITUTE(INDEX(PASTE_ALL,$DF251,$L$18)," "," "),CHAR(9)," "),CHAR(10)," "),CHAR(13)," ")))="PM","PM",IF(OR(UPPER(TRIM(SUBSTITUTE(SUBSTITUTE(SUBSTITUTE(SUBSTITUTE(INDEX(PASTE_ALL,$DF251,$L$18)," "," "),CHAR(9)," "),CHAR(10)," "),CHAR(13)," ")))="OT",UPPER(TRIM(SUBSTITUTE(SUBSTITUTE(SUBSTITUTE(SUBSTITUTE(INDEX(PASTE_ALL,$DF251,$L$18)," "," "),CHAR(9)," "),CHAR(10)," "),CHAR(13)," ")))="OVERTIME",UPPER(TRIM(SUBSTITUTE(SUBSTITUTE(SUBSTITUTE(SUBSTITUTE(INDEX(PASTE_ALL,$DF251,$L$18)," "," "),CHAR(9)," "),CHAR(10)," "),CHAR(13)," ")))="TRIAL"),"OT",TRIM(SUBSTITUTE(SUBSTITUTE(SUBSTITUTE(SUBSTITUTE(INDEX(PASTE_ALL,$DF251,$L$18)," "," "),CHAR(9)," "),CHAR(10)," "),CHAR(13)," "))))),"")))</f>
        <v/>
      </c>
      <c r="EC251">
        <f>IF($DM251=0,"",IF($L$19=0,"",IFERROR(IF(ISNUMBER(INDEX(PASTE_ALL,$DF251,$L$19)),INDEX(PASTE_ALL,$DF251,$L$19),TRIM(SUBSTITUTE(SUBSTITUTE(SUBSTITUTE(SUBSTITUTE(INDEX(PASTE_ALL,$DF251,$L$19)," "," "),CHAR(9)," "),CHAR(10)," "),CHAR(13)," "))),"")))</f>
        <v/>
      </c>
      <c r="ED251">
        <f>IF($DM251=0,"",MATCH(1,INDEX(EXACT($DH$5:DH251,$DH251)*$DM$5:DM251,0),0))</f>
        <v/>
      </c>
      <c r="EE251">
        <f>IF($DM251=0,0,IF($ED251=$DE251,1,0))</f>
        <v/>
      </c>
      <c r="EF251">
        <f>EF250+$EE251</f>
        <v/>
      </c>
      <c r="EG251">
        <f>IF($DM251=0,"",INDEX($EF$5:$EF$1003,$ED251))</f>
        <v/>
      </c>
      <c r="EH251">
        <f>IF($DM251=0,"",IF($DO251&lt;&gt;"","",IFERROR(LOOKUP(2,1/(($EG$4:EG250=$EG251)*($DO$4:DO250&lt;&gt;"")),$DO$4:DO250),"")))</f>
        <v/>
      </c>
      <c r="EI251">
        <f>IF($DM251=0,"",IF($DO251&lt;&gt;"",$DO251,$EH251))</f>
        <v/>
      </c>
      <c r="EJ251">
        <f>IF($DM251=0,"",IF($EI251="",0,IF(OR(ISNUMBER($EI251),AND(AND(SUBSTITUTE(SUBSTITUTE(SUBSTITUTE(SUBSTITUTE(SUBSTITUTE(SUBSTITUTE(SUBSTITUTE(SUBSTITUTE(SUBSTITUTE(SUBSTITUTE(SUBSTITUTE(SUBSTITUTE(SUBSTITUTE(SUBSTITUTE(UPPER($EI251),"0",""),"1",""),"2",""),"3",""),"4",""),"5",""),"6",""),"7",""),"8",""),"9",""),".",""),"+",""),"-",""),"E","")="",LEN(SUBSTITUTE(SUBSTITUTE(MID(UPPER($EI251),1+OR(LEFT(UPPER($EI251),1)="+",LEFT(UPPER($EI251),1)="-"),999),"E+","E"),"E-","E"))=LEN(SUBSTITUTE(SUBSTITUTE(SUBSTITUTE(SUBSTITUTE(MID(UPPER($EI251),1+OR(LEFT(UPPER($EI251),1)="+",LEFT(UPPER($EI251),1)="-"),999),"E+","E"),"E-","E"),"+",""),"-","")),LEN(UPPER($EI251))-LEN(SUBSTITUTE(UPPER($EI251),"E",""))&lt;2,LEN(UPPER($EI251))-LEN(SUBSTITUTE(UPPER($EI251),".",""))&lt;2,IFERROR(FIND(".",UPPER($EI251)),0)&lt;IFERROR(FIND("E",UPPER($EI251)),999)),ISNUMBER(VALUE($EI251)))),1,2)))</f>
        <v/>
      </c>
      <c r="EK251">
        <f>IF($DM251=0,"",IF($EJ251=1,IF(ISNUMBER($EI251),$EI251,VALUE($EI251)),IF($EJ251=2,$DE251,0)))</f>
        <v/>
      </c>
      <c r="EL251">
        <f>IF($DM251=0,"",COUNTIF($EG$5:$EG$1003,"&lt;"&amp;$EG251)+SUMPRODUCT(($EG$5:$EG$1003=$EG251)*(($EJ$5:$EJ$1003&lt;$EJ251)+($EJ$5:$EJ$1003=$EJ251)*(($EK$5:$EK$1003&lt;$EK251)+($EK$5:$EK$1003=$EK251)*($DE$5:$DE$1003&lt;$DE251))))+1)</f>
        <v/>
      </c>
      <c r="EM251">
        <f>IF($DM251=0,"",$EL251+$EG251-1)</f>
        <v/>
      </c>
      <c r="EN251">
        <f>IF($DM251=0,0,IFERROR(MATCH(1,INDEX(--(TRIM(SUBSTITUTE(SUBSTITUTE(SUBSTITUTE(SUBSTITUTE(LINES_NAME&amp;""," "," "),CHAR(9)," "),CHAR(10)," "),CHAR(13)," "))=$DH251),0),0),0))</f>
        <v/>
      </c>
      <c r="EO251">
        <f>IF($EN251=0,0,IF(OR(UPPER(TRIM(INDEX(LINES_SCHEDULED,$EN251)&amp;""))="YES",UPPER(TRIM(INDEX(LINES_SCHEDULED,$EN251)&amp;""))="Y",UPPER(TRIM(INDEX(LINES_SCHEDULED,$EN251)&amp;""))="X"),1,0))</f>
        <v/>
      </c>
      <c r="EP251">
        <f>IF($DM251=0,"",IF(COUNTIFS($EG$5:$EG$1003,$EG251,$EB$5:$EB$1003,"Ready")&gt;0,"READY",IF(COUNTIFS($EG$5:$EG$1003,$EG251,$EB$5:$EB$1003,"PM")&gt;0,"PM",IF(COUNTIFS($EG$5:$EG$1003,$EG251,$EB$5:$EB$1003,"OT")&gt;0,"OT",""))))</f>
        <v/>
      </c>
      <c r="EQ251">
        <f>IF($EN251=0,"",UPPER(TRIM(INDEX(LINES_STATUS,$EN251)&amp;"")))</f>
        <v/>
      </c>
      <c r="ER251">
        <f>IF($DM251=0,"",IF(OR($EQ251="READY",$EQ251="PM",$EQ251="OT"),$EQ251,$EP251))</f>
        <v/>
      </c>
      <c r="ES251">
        <f>IF($DM251=0,"",IF(AND($DV251&lt;&gt;"",UPPER($DV251)&lt;&gt;"N"),"allergen",IF(ISNUMBER(SEARCH("oil",$DQ251)),"oil",IF(OR(EXACT($DS251,"A662"),EXACT($DS251,"A624")),"bulk",""))))</f>
        <v/>
      </c>
      <c r="ET251">
        <f>IF($DM251=0,"",IF(OR($EA251="",$EA251=0),"",$EA251/100))</f>
        <v/>
      </c>
      <c r="EU251">
        <f>IF(OR($ET251="",$DY251=""),"",INT($DY251*(1-$ET251)+0.5))</f>
        <v/>
      </c>
      <c r="EW251" t="n">
        <v>247</v>
      </c>
      <c r="EX251">
        <f>IFERROR(MATCH($EW251,$EM$5:$EM$1003,0),0)</f>
        <v/>
      </c>
      <c r="EY251">
        <f>IF($EW251&gt;$B$12,"",IF($EX251&gt;0,"row","spacer"))</f>
        <v/>
      </c>
      <c r="EZ251">
        <f>IF(AND($EY251="row",$EY250&lt;&gt;"row"),1,0)</f>
        <v/>
      </c>
      <c r="FA251">
        <f>IF(AND($EY251="row",$EY252&lt;&gt;"row"),1,0)</f>
        <v/>
      </c>
      <c r="FB251">
        <f>IF($EZ251=1,IFERROR(IF(ISNUMBER(INDEX(PASTE_ALL,INDEX($DF$5:$DF$1003,$EX251),$B$37)),INDEX(PASTE_ALL,INDEX($DF$5:$DF$1003,$EX251),$B$37),INDEX($DH$5:$DH$1003,$EX251)),INDEX($DH$5:$DH$1003,$EX251)),"")</f>
        <v/>
      </c>
      <c r="FC251">
        <f>IF($EY251="row",INDEX($ER$5:$ER$1003,$EX251),"")</f>
        <v/>
      </c>
      <c r="FD251">
        <f>IF($EY251="row",INDEX($DN$5:$DN$1003,$EX251),"")</f>
        <v/>
      </c>
      <c r="FE251">
        <f>IF($EY251="row",INDEX($DO$5:$DO$1003,$EX251),"")</f>
        <v/>
      </c>
      <c r="FF251">
        <f>IF($EY251="row",INDEX($DP$5:$DP$1003,$EX251),"")</f>
        <v/>
      </c>
      <c r="FG251">
        <f>IF($EY251="row",INDEX($DQ$5:$DQ$1003,$EX251),"")</f>
        <v/>
      </c>
      <c r="FH251">
        <f>IF($EY251="row",INDEX($DR$5:$DR$1003,$EX251),"")</f>
        <v/>
      </c>
      <c r="FI251">
        <f>IF($EY251="row",INDEX($DS$5:$DS$1003,$EX251),"")</f>
        <v/>
      </c>
      <c r="FJ251">
        <f>IF($EY251="row",INDEX($DT$5:$DT$1003,$EX251),"")</f>
        <v/>
      </c>
      <c r="FK251">
        <f>IF($EY251="row",INDEX($DU$5:$DU$1003,$EX251),"")</f>
        <v/>
      </c>
      <c r="FL251">
        <f>IF($EY251="row",INDEX($DV$5:$DV$1003,$EX251),"")</f>
        <v/>
      </c>
      <c r="FM251">
        <f>IF($EY251="row",INDEX($DW$5:$DW$1003,$EX251),"")</f>
        <v/>
      </c>
      <c r="FN251">
        <f>IF($EY251="row",INDEX($DY$5:$DY$1003,$EX251),"")</f>
        <v/>
      </c>
      <c r="FO251">
        <f>IF($EY251="row",INDEX($EA$5:$EA$1003,$EX251),"")</f>
        <v/>
      </c>
      <c r="FP251">
        <f>IF($EY251="row",INDEX($EC$5:$EC$1003,$EX251),"")</f>
        <v/>
      </c>
      <c r="FQ251">
        <f>IF($EY251="row",INDEX($ET$5:$ET$1003,$EX251),"")</f>
        <v/>
      </c>
      <c r="FR251">
        <f>IF($EY251="row",INDEX($EU$5:$EU$1003,$EX251),"")</f>
        <v/>
      </c>
      <c r="FS251">
        <f>IF(AND($EY251="row",$EY250="row"),IF(OR(INDEX($DT$5:$DT$1003,$EX250)="",INDEX($DT$5:$DT$1003,$EX251)=""),"",IF(NOT(EXACT(INDEX($DT$5:$DT$1003,$EX250),INDEX($DT$5:$DT$1003,$EX251))),"S4",IF(NOT(EXACT(INDEX($DS$5:$DS$1003,$EX250),INDEX($DS$5:$DS$1003,$EX251))),"S3",IF(NOT(EXACT(INDEX($DR$5:$DR$1003,$EX250),INDEX($DR$5:$DR$1003,$EX251))),"S1 Count Change","S1")))),"")</f>
        <v/>
      </c>
      <c r="FT251">
        <f>IF($EY251="row",INDEX($ES$5:$ES$1003,$EX251),"")</f>
        <v/>
      </c>
      <c r="FU251">
        <f>IF($EY251="row",INDEX($EO$5:$EO$1003,$EX251),0)</f>
        <v/>
      </c>
      <c r="FV251">
        <f>IF($FS251="S1 Count Change",1,0)</f>
        <v/>
      </c>
    </row>
    <row r="252">
      <c r="DA252" t="n">
        <v>248</v>
      </c>
      <c r="DB252">
        <f>IF($B$37=0,"",IFERROR(TRIM(SUBSTITUTE(SUBSTITUTE(SUBSTITUTE(SUBSTITUTE(INDEX(PASTE_ALL,248,$B$37)," "," "),CHAR(9)," "),CHAR(10)," "),CHAR(13)," ")),""))</f>
        <v/>
      </c>
      <c r="DC252">
        <f>IF(AND(248&gt;HEADER_ROW,UPPER(DB252)="LEGEND"),1,0)</f>
        <v/>
      </c>
      <c r="DE252" t="n">
        <v>248</v>
      </c>
      <c r="DF252">
        <f>HEADER_ROW+$DE252</f>
        <v/>
      </c>
      <c r="DG252">
        <f>IF(AND($DF252&lt;=1000,$DF252&lt;$B$8),1,0)</f>
        <v/>
      </c>
      <c r="DH252">
        <f>IF($DG252=1,IFERROR(INDEX($DB$5:$DB$1004,$DF252),""),"")</f>
        <v/>
      </c>
      <c r="DI252">
        <f>IF(AND($DG252=1,$DH252&lt;&gt;""),IFERROR(SUBSTITUTE(SUBSTITUTE(TRIM(SUBSTITUTE(SUBSTITUTE(SUBSTITUTE(SUBSTITUTE(IFERROR(INDEX(PASTE_ALL,$DF252,1)&amp;"","")&amp;"␟"&amp;IFERROR(INDEX(PASTE_ALL,$DF252,2)&amp;"","")&amp;"␟"&amp;IFERROR(INDEX(PASTE_ALL,$DF252,3)&amp;"","")&amp;"␟"&amp;IFERROR(INDEX(PASTE_ALL,$DF252,4)&amp;"","")&amp;"␟"&amp;IFERROR(INDEX(PASTE_ALL,$DF252,5)&amp;"","")&amp;"␟"&amp;IFERROR(INDEX(PASTE_ALL,$DF252,6)&amp;"","")&amp;"␟"&amp;IFERROR(INDEX(PASTE_ALL,$DF252,7)&amp;"","")&amp;"␟"&amp;IFERROR(INDEX(PASTE_ALL,$DF252,8)&amp;"","")&amp;"␟"&amp;IFERROR(INDEX(PASTE_ALL,$DF252,9)&amp;"","")&amp;"␟"&amp;IFERROR(INDEX(PASTE_ALL,$DF252,10)&amp;"","")&amp;"␟"&amp;IFERROR(INDEX(PASTE_ALL,$DF252,11)&amp;"","")&amp;"␟"&amp;IFERROR(INDEX(PASTE_ALL,$DF252,12)&amp;"","")&amp;"␟"&amp;IFERROR(INDEX(PASTE_ALL,$DF252,13)&amp;"","")&amp;"␟"&amp;IFERROR(INDEX(PASTE_ALL,$DF252,14)&amp;"","")&amp;"␟"&amp;IFERROR(INDEX(PASTE_ALL,$DF252,15)&amp;"","")&amp;"␟"&amp;IFERROR(INDEX(PASTE_ALL,$DF252,16)&amp;"","")&amp;"␟"&amp;IFERROR(INDEX(PASTE_ALL,$DF252,17)&amp;"","")&amp;"␟"&amp;IFERROR(INDEX(PASTE_ALL,$DF252,18)&amp;"","")&amp;"␟"&amp;IFERROR(INDEX(PASTE_ALL,$DF252,19)&amp;"","")&amp;"␟"&amp;IFERROR(INDEX(PASTE_ALL,$DF252,20)&amp;"","")&amp;"␟"&amp;IFERROR(INDEX(PASTE_ALL,$DF252,21)&amp;"","")&amp;"␟"&amp;IFERROR(INDEX(PASTE_ALL,$DF252,22)&amp;"","")&amp;"␟"&amp;IFERROR(INDEX(PASTE_ALL,$DF252,23)&amp;"","")&amp;"␟"&amp;IFERROR(INDEX(PASTE_ALL,$DF252,24)&amp;"","")&amp;"␟"&amp;IFERROR(INDEX(PASTE_ALL,$DF252,25)&amp;"","")&amp;"␟"&amp;IFERROR(INDEX(PASTE_ALL,$DF252,26)&amp;"","")&amp;"␟"&amp;IFERROR(INDEX(PASTE_ALL,$DF252,27)&amp;"","")&amp;"␟"&amp;IFERROR(INDEX(PASTE_ALL,$DF252,28)&amp;"","")&amp;"␟"&amp;IFERROR(INDEX(PASTE_ALL,$DF252,29)&amp;"","")&amp;"␟"&amp;IFERROR(INDEX(PASTE_ALL,$DF252,30)&amp;"","")&amp;"␟"&amp;IFERROR(INDEX(PASTE_ALL,$DF252,31)&amp;"","")&amp;"␟"&amp;IFERROR(INDEX(PASTE_ALL,$DF252,32)&amp;"","")&amp;"␟"&amp;IFERROR(INDEX(PASTE_ALL,$DF252,33)&amp;"","")&amp;"␟"&amp;IFERROR(INDEX(PASTE_ALL,$DF252,34)&amp;"","")&amp;"␟"&amp;IFERROR(INDEX(PASTE_ALL,$DF252,35)&amp;"","")&amp;"␟"&amp;IFERROR(INDEX(PASTE_ALL,$DF252,36)&amp;"","")&amp;"␟"&amp;IFERROR(INDEX(PASTE_ALL,$DF252,37)&amp;"","")&amp;"␟"&amp;IFERROR(INDEX(PASTE_ALL,$DF252,38)&amp;"","")&amp;"␟"&amp;IFERROR(INDEX(PASTE_ALL,$DF252,39)&amp;"","")&amp;"␟"&amp;IFERROR(INDEX(PASTE_ALL,$DF252,40)&amp;"","")&amp;"␟"&amp;IFERROR(INDEX(PASTE_ALL,$DF252,41)&amp;"","")&amp;"␟"&amp;IFERROR(INDEX(PASTE_ALL,$DF252,42)&amp;"","")&amp;"␟"&amp;IFERROR(INDEX(PASTE_ALL,$DF252,43)&amp;"","")&amp;"␟"&amp;IFERROR(INDEX(PASTE_ALL,$DF252,44)&amp;"","")&amp;"␟"&amp;IFERROR(INDEX(PASTE_ALL,$DF252,45)&amp;"","")&amp;"␟"&amp;IFERROR(INDEX(PASTE_ALL,$DF252,46)&amp;"","")&amp;"␟"&amp;IFERROR(INDEX(PASTE_ALL,$DF252,47)&amp;"","")&amp;"␟"&amp;IFERROR(INDEX(PASTE_ALL,$DF252,48)&amp;"","")&amp;"␟"&amp;IFERROR(INDEX(PASTE_ALL,$DF252,49)&amp;"","")&amp;"␟"&amp;IFERROR(INDEX(PASTE_ALL,$DF252,50)&amp;"","")&amp;"␟"&amp;IFERROR(INDEX(PASTE_ALL,$DF252,51)&amp;"","")&amp;"␟"&amp;IFERROR(INDEX(PASTE_ALL,$DF252,52)&amp;"","")&amp;"␟"&amp;IFERROR(INDEX(PASTE_ALL,$DF252,53)&amp;"","")&amp;"␟"&amp;IFERROR(INDEX(PASTE_ALL,$DF252,54)&amp;"","")&amp;"␟"&amp;IFERROR(INDEX(PASTE_ALL,$DF252,55)&amp;"","")&amp;"␟"&amp;IFERROR(INDEX(PASTE_ALL,$DF252,56)&amp;"","")&amp;"␟"&amp;IFERROR(INDEX(PASTE_ALL,$DF252,57)&amp;"","")&amp;"␟"&amp;IFERROR(INDEX(PASTE_ALL,$DF252,58)&amp;"","")&amp;"␟"&amp;IFERROR(INDEX(PASTE_ALL,$DF252,59)&amp;"","")&amp;"␟"&amp;IFERROR(INDEX(PASTE_ALL,$DF252,60)&amp;"","")," "," "),CHAR(9)," "),CHAR(10)," "),CHAR(13)," "))," ␟","␟"),"␟ ","␟"),"#"&amp;$DE252),"")</f>
        <v/>
      </c>
      <c r="DJ252">
        <f>IF($DI252="",0,IF(SUMPRODUCT(--EXACT($DI$4:DI251,$DI252))&gt;0,1,0))</f>
        <v/>
      </c>
      <c r="DK252">
        <f>IF(AND($DI252&lt;&gt;"",$DJ252=0),1,0)</f>
        <v/>
      </c>
      <c r="DL252">
        <f>DL251+$DK252</f>
        <v/>
      </c>
      <c r="DM252">
        <f>IF(AND($DK252=1,$DL252&lt;=600),1,0)</f>
        <v/>
      </c>
      <c r="DN252">
        <f>IF($DM252=0,"",IF($L$6=0,"",IFERROR(IF(ISNUMBER(INDEX(PASTE_ALL,$DF252,$L$6)),INDEX(PASTE_ALL,$DF252,$L$6),TRIM(SUBSTITUTE(SUBSTITUTE(SUBSTITUTE(SUBSTITUTE(INDEX(PASTE_ALL,$DF252,$L$6)," "," "),CHAR(9)," "),CHAR(10)," "),CHAR(13)," "))),"")))</f>
        <v/>
      </c>
      <c r="DO252">
        <f>IF($DM252=0,"",IF($L$7=0,"",IFERROR(IF(ISNUMBER(INDEX(PASTE_ALL,$DF252,$L$7)),INDEX(PASTE_ALL,$DF252,$L$7),TRIM(SUBSTITUTE(SUBSTITUTE(SUBSTITUTE(SUBSTITUTE(INDEX(PASTE_ALL,$DF252,$L$7)," "," "),CHAR(9)," "),CHAR(10)," "),CHAR(13)," "))),"")))</f>
        <v/>
      </c>
      <c r="DP252">
        <f>IF($DM252=0,"",IF($L$8=0,"",IFERROR(IF(ISNUMBER(INDEX(PASTE_ALL,$DF252,$L$8)),INDEX(PASTE_ALL,$DF252,$L$8),TRIM(SUBSTITUTE(SUBSTITUTE(SUBSTITUTE(SUBSTITUTE(INDEX(PASTE_ALL,$DF252,$L$8)," "," "),CHAR(9)," "),CHAR(10)," "),CHAR(13)," "))),"")))</f>
        <v/>
      </c>
      <c r="DQ252">
        <f>IF($DM252=0,"",IF($L$9=0,"",IFERROR(IF(ISNUMBER(INDEX(PASTE_ALL,$DF252,$L$9)),INDEX(PASTE_ALL,$DF252,$L$9),TRIM(SUBSTITUTE(SUBSTITUTE(SUBSTITUTE(SUBSTITUTE(INDEX(PASTE_ALL,$DF252,$L$9)," "," "),CHAR(9)," "),CHAR(10)," "),CHAR(13)," "))),"")))</f>
        <v/>
      </c>
      <c r="DR252">
        <f>IF($DM252=0,"",IF($L$10=0,"",IFERROR(IF(ISNUMBER(INDEX(PASTE_ALL,$DF252,$L$10)),INDEX(PASTE_ALL,$DF252,$L$10),TRIM(SUBSTITUTE(SUBSTITUTE(SUBSTITUTE(SUBSTITUTE(INDEX(PASTE_ALL,$DF252,$L$10)," "," "),CHAR(9)," "),CHAR(10)," "),CHAR(13)," "))),"")))</f>
        <v/>
      </c>
      <c r="DS252">
        <f>IF($DM252=0,"",IF($L$11=0,"",IFERROR(IF(ISNUMBER(INDEX(PASTE_ALL,$DF252,$L$11)),INDEX(PASTE_ALL,$DF252,$L$11),TRIM(SUBSTITUTE(SUBSTITUTE(SUBSTITUTE(SUBSTITUTE(INDEX(PASTE_ALL,$DF252,$L$11)," "," "),CHAR(9)," "),CHAR(10)," "),CHAR(13)," "))),"")))</f>
        <v/>
      </c>
      <c r="DT252">
        <f>IF($DM252=0,"",IF($L$12=0,"",IFERROR(IF(ISNUMBER(INDEX(PASTE_ALL,$DF252,$L$12)),INDEX(PASTE_ALL,$DF252,$L$12),TRIM(SUBSTITUTE(SUBSTITUTE(SUBSTITUTE(SUBSTITUTE(INDEX(PASTE_ALL,$DF252,$L$12)," "," "),CHAR(9)," "),CHAR(10)," "),CHAR(13)," "))),"")))</f>
        <v/>
      </c>
      <c r="DU252">
        <f>IF($DM252=0,"",IF($L$13=0,"",IFERROR(IF(ISNUMBER(INDEX(PASTE_ALL,$DF252,$L$13)),INDEX(PASTE_ALL,$DF252,$L$13),TRIM(SUBSTITUTE(SUBSTITUTE(SUBSTITUTE(SUBSTITUTE(INDEX(PASTE_ALL,$DF252,$L$13)," "," "),CHAR(9)," "),CHAR(10)," "),CHAR(13)," "))),"")))</f>
        <v/>
      </c>
      <c r="DV252">
        <f>IF($DM252=0,"",IF($L$14=0,"",IFERROR(IF(ISNUMBER(INDEX(PASTE_ALL,$DF252,$L$14)),INDEX(PASTE_ALL,$DF252,$L$14),TRIM(SUBSTITUTE(SUBSTITUTE(SUBSTITUTE(SUBSTITUTE(INDEX(PASTE_ALL,$DF252,$L$14)," "," "),CHAR(9)," "),CHAR(10)," "),CHAR(13)," "))),"")))</f>
        <v/>
      </c>
      <c r="DW252">
        <f>IF($DM252=0,"",IF($L$15=0,"",IFERROR(IF(ISNUMBER(INDEX(PASTE_ALL,$DF252,$L$15)),INDEX(PASTE_ALL,$DF252,$L$15),IF(SUMPRODUCT(--ISNUMBER(FIND({"A","B","C","D","E","F","G","H","I","J","K","L","M","N","O","P","Q","R","S","T","U","V","W","X","Y","Z","0","1","2","3","4","5","6","7","8","9"},UPPER(TRIM(SUBSTITUTE(SUBSTITUTE(SUBSTITUTE(SUBSTITUTE(INDEX(PASTE_ALL,$DF252,$L$15)," "," "),CHAR(9)," "),CHAR(10)," "),CHAR(13)," "))))))&gt;0,TRIM(SUBSTITUTE(SUBSTITUTE(SUBSTITUTE(SUBSTITUTE(INDEX(PASTE_ALL,$DF252,$L$15)," "," "),CHAR(9)," "),CHAR(10)," "),CHAR(13)," ")),"")),"")))</f>
        <v/>
      </c>
      <c r="DX252">
        <f>IF($DM252=0,"",IF($L$16=0,"",IFERROR(IF(ISNUMBER(INDEX(PASTE_ALL,$DF252,$L$16)),INDEX(PASTE_ALL,$DF252,$L$16),SUBSTITUTE(SUBSTITUTE(TRIM(SUBSTITUTE(SUBSTITUTE(SUBSTITUTE(SUBSTITUTE(INDEX(PASTE_ALL,$DF252,$L$16)," "," "),CHAR(9)," "),CHAR(10)," "),CHAR(13)," ")),",",""),"%","")),"")))</f>
        <v/>
      </c>
      <c r="DY252">
        <f>IF($DM252=0,"",IFERROR(IF(ISNUMBER($DX252),$DX252,IF($DX252="","",IF(TRIM($DX252)="",0,IF(AND(AND(SUBSTITUTE(SUBSTITUTE(SUBSTITUTE(SUBSTITUTE(SUBSTITUTE(SUBSTITUTE(SUBSTITUTE(SUBSTITUTE(SUBSTITUTE(SUBSTITUTE(SUBSTITUTE(SUBSTITUTE(SUBSTITUTE(SUBSTITUTE(UPPER(TRIM($DX252)),"0",""),"1",""),"2",""),"3",""),"4",""),"5",""),"6",""),"7",""),"8",""),"9",""),".",""),"+",""),"-",""),"E","")="",LEN(SUBSTITUTE(SUBSTITUTE(MID(UPPER(TRIM($DX252)),1+OR(LEFT(UPPER(TRIM($DX252)),1)="+",LEFT(UPPER(TRIM($DX252)),1)="-"),999),"E+","E"),"E-","E"))=LEN(SUBSTITUTE(SUBSTITUTE(SUBSTITUTE(SUBSTITUTE(MID(UPPER(TRIM($DX252)),1+OR(LEFT(UPPER(TRIM($DX252)),1)="+",LEFT(UPPER(TRIM($DX252)),1)="-"),999),"E+","E"),"E-","E"),"+",""),"-","")),LEN(UPPER(TRIM($DX252)))-LEN(SUBSTITUTE(UPPER(TRIM($DX252)),"E",""))&lt;2,LEN(UPPER(TRIM($DX252)))-LEN(SUBSTITUTE(UPPER(TRIM($DX252)),".",""))&lt;2,IFERROR(FIND(".",UPPER(TRIM($DX252))),0)&lt;IFERROR(FIND("E",UPPER(TRIM($DX252))),999)),ISNUMBER(VALUE(TRIM($DX252)))),VALUE(TRIM($DX252)),"")))),""))</f>
        <v/>
      </c>
      <c r="DZ252">
        <f>IF($DM252=0,"",IF($L$17=0,"",IFERROR(IF(ISNUMBER(INDEX(PASTE_ALL,$DF252,$L$17)),INDEX(PASTE_ALL,$DF252,$L$17),SUBSTITUTE(SUBSTITUTE(TRIM(SUBSTITUTE(SUBSTITUTE(SUBSTITUTE(SUBSTITUTE(INDEX(PASTE_ALL,$DF252,$L$17)," "," "),CHAR(9)," "),CHAR(10)," "),CHAR(13)," ")),",",""),"%","")),"")))</f>
        <v/>
      </c>
      <c r="EA252">
        <f>IF($DM252=0,"",IFERROR(IF(ISNUMBER($DZ252),$DZ252,IF($DZ252="","",IF(TRIM($DZ252)="",0,IF(AND(AND(SUBSTITUTE(SUBSTITUTE(SUBSTITUTE(SUBSTITUTE(SUBSTITUTE(SUBSTITUTE(SUBSTITUTE(SUBSTITUTE(SUBSTITUTE(SUBSTITUTE(SUBSTITUTE(SUBSTITUTE(SUBSTITUTE(SUBSTITUTE(UPPER(TRIM($DZ252)),"0",""),"1",""),"2",""),"3",""),"4",""),"5",""),"6",""),"7",""),"8",""),"9",""),".",""),"+",""),"-",""),"E","")="",LEN(SUBSTITUTE(SUBSTITUTE(MID(UPPER(TRIM($DZ252)),1+OR(LEFT(UPPER(TRIM($DZ252)),1)="+",LEFT(UPPER(TRIM($DZ252)),1)="-"),999),"E+","E"),"E-","E"))=LEN(SUBSTITUTE(SUBSTITUTE(SUBSTITUTE(SUBSTITUTE(MID(UPPER(TRIM($DZ252)),1+OR(LEFT(UPPER(TRIM($DZ252)),1)="+",LEFT(UPPER(TRIM($DZ252)),1)="-"),999),"E+","E"),"E-","E"),"+",""),"-","")),LEN(UPPER(TRIM($DZ252)))-LEN(SUBSTITUTE(UPPER(TRIM($DZ252)),"E",""))&lt;2,LEN(UPPER(TRIM($DZ252)))-LEN(SUBSTITUTE(UPPER(TRIM($DZ252)),".",""))&lt;2,IFERROR(FIND(".",UPPER(TRIM($DZ252))),0)&lt;IFERROR(FIND("E",UPPER(TRIM($DZ252))),999)),ISNUMBER(VALUE(TRIM($DZ252)))),VALUE(TRIM($DZ252)),"")))),""))</f>
        <v/>
      </c>
      <c r="EB252">
        <f>IF($DM252=0,"",IF($L$18=0,"",IFERROR(IF(UPPER(TRIM(SUBSTITUTE(SUBSTITUTE(SUBSTITUTE(SUBSTITUTE(INDEX(PASTE_ALL,$DF252,$L$18)," "," "),CHAR(9)," "),CHAR(10)," "),CHAR(13)," ")))="READY","Ready",IF(UPPER(TRIM(SUBSTITUTE(SUBSTITUTE(SUBSTITUTE(SUBSTITUTE(INDEX(PASTE_ALL,$DF252,$L$18)," "," "),CHAR(9)," "),CHAR(10)," "),CHAR(13)," ")))="PM","PM",IF(OR(UPPER(TRIM(SUBSTITUTE(SUBSTITUTE(SUBSTITUTE(SUBSTITUTE(INDEX(PASTE_ALL,$DF252,$L$18)," "," "),CHAR(9)," "),CHAR(10)," "),CHAR(13)," ")))="OT",UPPER(TRIM(SUBSTITUTE(SUBSTITUTE(SUBSTITUTE(SUBSTITUTE(INDEX(PASTE_ALL,$DF252,$L$18)," "," "),CHAR(9)," "),CHAR(10)," "),CHAR(13)," ")))="OVERTIME",UPPER(TRIM(SUBSTITUTE(SUBSTITUTE(SUBSTITUTE(SUBSTITUTE(INDEX(PASTE_ALL,$DF252,$L$18)," "," "),CHAR(9)," "),CHAR(10)," "),CHAR(13)," ")))="TRIAL"),"OT",TRIM(SUBSTITUTE(SUBSTITUTE(SUBSTITUTE(SUBSTITUTE(INDEX(PASTE_ALL,$DF252,$L$18)," "," "),CHAR(9)," "),CHAR(10)," "),CHAR(13)," "))))),"")))</f>
        <v/>
      </c>
      <c r="EC252">
        <f>IF($DM252=0,"",IF($L$19=0,"",IFERROR(IF(ISNUMBER(INDEX(PASTE_ALL,$DF252,$L$19)),INDEX(PASTE_ALL,$DF252,$L$19),TRIM(SUBSTITUTE(SUBSTITUTE(SUBSTITUTE(SUBSTITUTE(INDEX(PASTE_ALL,$DF252,$L$19)," "," "),CHAR(9)," "),CHAR(10)," "),CHAR(13)," "))),"")))</f>
        <v/>
      </c>
      <c r="ED252">
        <f>IF($DM252=0,"",MATCH(1,INDEX(EXACT($DH$5:DH252,$DH252)*$DM$5:DM252,0),0))</f>
        <v/>
      </c>
      <c r="EE252">
        <f>IF($DM252=0,0,IF($ED252=$DE252,1,0))</f>
        <v/>
      </c>
      <c r="EF252">
        <f>EF251+$EE252</f>
        <v/>
      </c>
      <c r="EG252">
        <f>IF($DM252=0,"",INDEX($EF$5:$EF$1003,$ED252))</f>
        <v/>
      </c>
      <c r="EH252">
        <f>IF($DM252=0,"",IF($DO252&lt;&gt;"","",IFERROR(LOOKUP(2,1/(($EG$4:EG251=$EG252)*($DO$4:DO251&lt;&gt;"")),$DO$4:DO251),"")))</f>
        <v/>
      </c>
      <c r="EI252">
        <f>IF($DM252=0,"",IF($DO252&lt;&gt;"",$DO252,$EH252))</f>
        <v/>
      </c>
      <c r="EJ252">
        <f>IF($DM252=0,"",IF($EI252="",0,IF(OR(ISNUMBER($EI252),AND(AND(SUBSTITUTE(SUBSTITUTE(SUBSTITUTE(SUBSTITUTE(SUBSTITUTE(SUBSTITUTE(SUBSTITUTE(SUBSTITUTE(SUBSTITUTE(SUBSTITUTE(SUBSTITUTE(SUBSTITUTE(SUBSTITUTE(SUBSTITUTE(UPPER($EI252),"0",""),"1",""),"2",""),"3",""),"4",""),"5",""),"6",""),"7",""),"8",""),"9",""),".",""),"+",""),"-",""),"E","")="",LEN(SUBSTITUTE(SUBSTITUTE(MID(UPPER($EI252),1+OR(LEFT(UPPER($EI252),1)="+",LEFT(UPPER($EI252),1)="-"),999),"E+","E"),"E-","E"))=LEN(SUBSTITUTE(SUBSTITUTE(SUBSTITUTE(SUBSTITUTE(MID(UPPER($EI252),1+OR(LEFT(UPPER($EI252),1)="+",LEFT(UPPER($EI252),1)="-"),999),"E+","E"),"E-","E"),"+",""),"-","")),LEN(UPPER($EI252))-LEN(SUBSTITUTE(UPPER($EI252),"E",""))&lt;2,LEN(UPPER($EI252))-LEN(SUBSTITUTE(UPPER($EI252),".",""))&lt;2,IFERROR(FIND(".",UPPER($EI252)),0)&lt;IFERROR(FIND("E",UPPER($EI252)),999)),ISNUMBER(VALUE($EI252)))),1,2)))</f>
        <v/>
      </c>
      <c r="EK252">
        <f>IF($DM252=0,"",IF($EJ252=1,IF(ISNUMBER($EI252),$EI252,VALUE($EI252)),IF($EJ252=2,$DE252,0)))</f>
        <v/>
      </c>
      <c r="EL252">
        <f>IF($DM252=0,"",COUNTIF($EG$5:$EG$1003,"&lt;"&amp;$EG252)+SUMPRODUCT(($EG$5:$EG$1003=$EG252)*(($EJ$5:$EJ$1003&lt;$EJ252)+($EJ$5:$EJ$1003=$EJ252)*(($EK$5:$EK$1003&lt;$EK252)+($EK$5:$EK$1003=$EK252)*($DE$5:$DE$1003&lt;$DE252))))+1)</f>
        <v/>
      </c>
      <c r="EM252">
        <f>IF($DM252=0,"",$EL252+$EG252-1)</f>
        <v/>
      </c>
      <c r="EN252">
        <f>IF($DM252=0,0,IFERROR(MATCH(1,INDEX(--(TRIM(SUBSTITUTE(SUBSTITUTE(SUBSTITUTE(SUBSTITUTE(LINES_NAME&amp;""," "," "),CHAR(9)," "),CHAR(10)," "),CHAR(13)," "))=$DH252),0),0),0))</f>
        <v/>
      </c>
      <c r="EO252">
        <f>IF($EN252=0,0,IF(OR(UPPER(TRIM(INDEX(LINES_SCHEDULED,$EN252)&amp;""))="YES",UPPER(TRIM(INDEX(LINES_SCHEDULED,$EN252)&amp;""))="Y",UPPER(TRIM(INDEX(LINES_SCHEDULED,$EN252)&amp;""))="X"),1,0))</f>
        <v/>
      </c>
      <c r="EP252">
        <f>IF($DM252=0,"",IF(COUNTIFS($EG$5:$EG$1003,$EG252,$EB$5:$EB$1003,"Ready")&gt;0,"READY",IF(COUNTIFS($EG$5:$EG$1003,$EG252,$EB$5:$EB$1003,"PM")&gt;0,"PM",IF(COUNTIFS($EG$5:$EG$1003,$EG252,$EB$5:$EB$1003,"OT")&gt;0,"OT",""))))</f>
        <v/>
      </c>
      <c r="EQ252">
        <f>IF($EN252=0,"",UPPER(TRIM(INDEX(LINES_STATUS,$EN252)&amp;"")))</f>
        <v/>
      </c>
      <c r="ER252">
        <f>IF($DM252=0,"",IF(OR($EQ252="READY",$EQ252="PM",$EQ252="OT"),$EQ252,$EP252))</f>
        <v/>
      </c>
      <c r="ES252">
        <f>IF($DM252=0,"",IF(AND($DV252&lt;&gt;"",UPPER($DV252)&lt;&gt;"N"),"allergen",IF(ISNUMBER(SEARCH("oil",$DQ252)),"oil",IF(OR(EXACT($DS252,"A662"),EXACT($DS252,"A624")),"bulk",""))))</f>
        <v/>
      </c>
      <c r="ET252">
        <f>IF($DM252=0,"",IF(OR($EA252="",$EA252=0),"",$EA252/100))</f>
        <v/>
      </c>
      <c r="EU252">
        <f>IF(OR($ET252="",$DY252=""),"",INT($DY252*(1-$ET252)+0.5))</f>
        <v/>
      </c>
      <c r="EW252" t="n">
        <v>248</v>
      </c>
      <c r="EX252">
        <f>IFERROR(MATCH($EW252,$EM$5:$EM$1003,0),0)</f>
        <v/>
      </c>
      <c r="EY252">
        <f>IF($EW252&gt;$B$12,"",IF($EX252&gt;0,"row","spacer"))</f>
        <v/>
      </c>
      <c r="EZ252">
        <f>IF(AND($EY252="row",$EY251&lt;&gt;"row"),1,0)</f>
        <v/>
      </c>
      <c r="FA252">
        <f>IF(AND($EY252="row",$EY253&lt;&gt;"row"),1,0)</f>
        <v/>
      </c>
      <c r="FB252">
        <f>IF($EZ252=1,IFERROR(IF(ISNUMBER(INDEX(PASTE_ALL,INDEX($DF$5:$DF$1003,$EX252),$B$37)),INDEX(PASTE_ALL,INDEX($DF$5:$DF$1003,$EX252),$B$37),INDEX($DH$5:$DH$1003,$EX252)),INDEX($DH$5:$DH$1003,$EX252)),"")</f>
        <v/>
      </c>
      <c r="FC252">
        <f>IF($EY252="row",INDEX($ER$5:$ER$1003,$EX252),"")</f>
        <v/>
      </c>
      <c r="FD252">
        <f>IF($EY252="row",INDEX($DN$5:$DN$1003,$EX252),"")</f>
        <v/>
      </c>
      <c r="FE252">
        <f>IF($EY252="row",INDEX($DO$5:$DO$1003,$EX252),"")</f>
        <v/>
      </c>
      <c r="FF252">
        <f>IF($EY252="row",INDEX($DP$5:$DP$1003,$EX252),"")</f>
        <v/>
      </c>
      <c r="FG252">
        <f>IF($EY252="row",INDEX($DQ$5:$DQ$1003,$EX252),"")</f>
        <v/>
      </c>
      <c r="FH252">
        <f>IF($EY252="row",INDEX($DR$5:$DR$1003,$EX252),"")</f>
        <v/>
      </c>
      <c r="FI252">
        <f>IF($EY252="row",INDEX($DS$5:$DS$1003,$EX252),"")</f>
        <v/>
      </c>
      <c r="FJ252">
        <f>IF($EY252="row",INDEX($DT$5:$DT$1003,$EX252),"")</f>
        <v/>
      </c>
      <c r="FK252">
        <f>IF($EY252="row",INDEX($DU$5:$DU$1003,$EX252),"")</f>
        <v/>
      </c>
      <c r="FL252">
        <f>IF($EY252="row",INDEX($DV$5:$DV$1003,$EX252),"")</f>
        <v/>
      </c>
      <c r="FM252">
        <f>IF($EY252="row",INDEX($DW$5:$DW$1003,$EX252),"")</f>
        <v/>
      </c>
      <c r="FN252">
        <f>IF($EY252="row",INDEX($DY$5:$DY$1003,$EX252),"")</f>
        <v/>
      </c>
      <c r="FO252">
        <f>IF($EY252="row",INDEX($EA$5:$EA$1003,$EX252),"")</f>
        <v/>
      </c>
      <c r="FP252">
        <f>IF($EY252="row",INDEX($EC$5:$EC$1003,$EX252),"")</f>
        <v/>
      </c>
      <c r="FQ252">
        <f>IF($EY252="row",INDEX($ET$5:$ET$1003,$EX252),"")</f>
        <v/>
      </c>
      <c r="FR252">
        <f>IF($EY252="row",INDEX($EU$5:$EU$1003,$EX252),"")</f>
        <v/>
      </c>
      <c r="FS252">
        <f>IF(AND($EY252="row",$EY251="row"),IF(OR(INDEX($DT$5:$DT$1003,$EX251)="",INDEX($DT$5:$DT$1003,$EX252)=""),"",IF(NOT(EXACT(INDEX($DT$5:$DT$1003,$EX251),INDEX($DT$5:$DT$1003,$EX252))),"S4",IF(NOT(EXACT(INDEX($DS$5:$DS$1003,$EX251),INDEX($DS$5:$DS$1003,$EX252))),"S3",IF(NOT(EXACT(INDEX($DR$5:$DR$1003,$EX251),INDEX($DR$5:$DR$1003,$EX252))),"S1 Count Change","S1")))),"")</f>
        <v/>
      </c>
      <c r="FT252">
        <f>IF($EY252="row",INDEX($ES$5:$ES$1003,$EX252),"")</f>
        <v/>
      </c>
      <c r="FU252">
        <f>IF($EY252="row",INDEX($EO$5:$EO$1003,$EX252),0)</f>
        <v/>
      </c>
      <c r="FV252">
        <f>IF($FS252="S1 Count Change",1,0)</f>
        <v/>
      </c>
    </row>
    <row r="253">
      <c r="DA253" t="n">
        <v>249</v>
      </c>
      <c r="DB253">
        <f>IF($B$37=0,"",IFERROR(TRIM(SUBSTITUTE(SUBSTITUTE(SUBSTITUTE(SUBSTITUTE(INDEX(PASTE_ALL,249,$B$37)," "," "),CHAR(9)," "),CHAR(10)," "),CHAR(13)," ")),""))</f>
        <v/>
      </c>
      <c r="DC253">
        <f>IF(AND(249&gt;HEADER_ROW,UPPER(DB253)="LEGEND"),1,0)</f>
        <v/>
      </c>
      <c r="DE253" t="n">
        <v>249</v>
      </c>
      <c r="DF253">
        <f>HEADER_ROW+$DE253</f>
        <v/>
      </c>
      <c r="DG253">
        <f>IF(AND($DF253&lt;=1000,$DF253&lt;$B$8),1,0)</f>
        <v/>
      </c>
      <c r="DH253">
        <f>IF($DG253=1,IFERROR(INDEX($DB$5:$DB$1004,$DF253),""),"")</f>
        <v/>
      </c>
      <c r="DI253">
        <f>IF(AND($DG253=1,$DH253&lt;&gt;""),IFERROR(SUBSTITUTE(SUBSTITUTE(TRIM(SUBSTITUTE(SUBSTITUTE(SUBSTITUTE(SUBSTITUTE(IFERROR(INDEX(PASTE_ALL,$DF253,1)&amp;"","")&amp;"␟"&amp;IFERROR(INDEX(PASTE_ALL,$DF253,2)&amp;"","")&amp;"␟"&amp;IFERROR(INDEX(PASTE_ALL,$DF253,3)&amp;"","")&amp;"␟"&amp;IFERROR(INDEX(PASTE_ALL,$DF253,4)&amp;"","")&amp;"␟"&amp;IFERROR(INDEX(PASTE_ALL,$DF253,5)&amp;"","")&amp;"␟"&amp;IFERROR(INDEX(PASTE_ALL,$DF253,6)&amp;"","")&amp;"␟"&amp;IFERROR(INDEX(PASTE_ALL,$DF253,7)&amp;"","")&amp;"␟"&amp;IFERROR(INDEX(PASTE_ALL,$DF253,8)&amp;"","")&amp;"␟"&amp;IFERROR(INDEX(PASTE_ALL,$DF253,9)&amp;"","")&amp;"␟"&amp;IFERROR(INDEX(PASTE_ALL,$DF253,10)&amp;"","")&amp;"␟"&amp;IFERROR(INDEX(PASTE_ALL,$DF253,11)&amp;"","")&amp;"␟"&amp;IFERROR(INDEX(PASTE_ALL,$DF253,12)&amp;"","")&amp;"␟"&amp;IFERROR(INDEX(PASTE_ALL,$DF253,13)&amp;"","")&amp;"␟"&amp;IFERROR(INDEX(PASTE_ALL,$DF253,14)&amp;"","")&amp;"␟"&amp;IFERROR(INDEX(PASTE_ALL,$DF253,15)&amp;"","")&amp;"␟"&amp;IFERROR(INDEX(PASTE_ALL,$DF253,16)&amp;"","")&amp;"␟"&amp;IFERROR(INDEX(PASTE_ALL,$DF253,17)&amp;"","")&amp;"␟"&amp;IFERROR(INDEX(PASTE_ALL,$DF253,18)&amp;"","")&amp;"␟"&amp;IFERROR(INDEX(PASTE_ALL,$DF253,19)&amp;"","")&amp;"␟"&amp;IFERROR(INDEX(PASTE_ALL,$DF253,20)&amp;"","")&amp;"␟"&amp;IFERROR(INDEX(PASTE_ALL,$DF253,21)&amp;"","")&amp;"␟"&amp;IFERROR(INDEX(PASTE_ALL,$DF253,22)&amp;"","")&amp;"␟"&amp;IFERROR(INDEX(PASTE_ALL,$DF253,23)&amp;"","")&amp;"␟"&amp;IFERROR(INDEX(PASTE_ALL,$DF253,24)&amp;"","")&amp;"␟"&amp;IFERROR(INDEX(PASTE_ALL,$DF253,25)&amp;"","")&amp;"␟"&amp;IFERROR(INDEX(PASTE_ALL,$DF253,26)&amp;"","")&amp;"␟"&amp;IFERROR(INDEX(PASTE_ALL,$DF253,27)&amp;"","")&amp;"␟"&amp;IFERROR(INDEX(PASTE_ALL,$DF253,28)&amp;"","")&amp;"␟"&amp;IFERROR(INDEX(PASTE_ALL,$DF253,29)&amp;"","")&amp;"␟"&amp;IFERROR(INDEX(PASTE_ALL,$DF253,30)&amp;"","")&amp;"␟"&amp;IFERROR(INDEX(PASTE_ALL,$DF253,31)&amp;"","")&amp;"␟"&amp;IFERROR(INDEX(PASTE_ALL,$DF253,32)&amp;"","")&amp;"␟"&amp;IFERROR(INDEX(PASTE_ALL,$DF253,33)&amp;"","")&amp;"␟"&amp;IFERROR(INDEX(PASTE_ALL,$DF253,34)&amp;"","")&amp;"␟"&amp;IFERROR(INDEX(PASTE_ALL,$DF253,35)&amp;"","")&amp;"␟"&amp;IFERROR(INDEX(PASTE_ALL,$DF253,36)&amp;"","")&amp;"␟"&amp;IFERROR(INDEX(PASTE_ALL,$DF253,37)&amp;"","")&amp;"␟"&amp;IFERROR(INDEX(PASTE_ALL,$DF253,38)&amp;"","")&amp;"␟"&amp;IFERROR(INDEX(PASTE_ALL,$DF253,39)&amp;"","")&amp;"␟"&amp;IFERROR(INDEX(PASTE_ALL,$DF253,40)&amp;"","")&amp;"␟"&amp;IFERROR(INDEX(PASTE_ALL,$DF253,41)&amp;"","")&amp;"␟"&amp;IFERROR(INDEX(PASTE_ALL,$DF253,42)&amp;"","")&amp;"␟"&amp;IFERROR(INDEX(PASTE_ALL,$DF253,43)&amp;"","")&amp;"␟"&amp;IFERROR(INDEX(PASTE_ALL,$DF253,44)&amp;"","")&amp;"␟"&amp;IFERROR(INDEX(PASTE_ALL,$DF253,45)&amp;"","")&amp;"␟"&amp;IFERROR(INDEX(PASTE_ALL,$DF253,46)&amp;"","")&amp;"␟"&amp;IFERROR(INDEX(PASTE_ALL,$DF253,47)&amp;"","")&amp;"␟"&amp;IFERROR(INDEX(PASTE_ALL,$DF253,48)&amp;"","")&amp;"␟"&amp;IFERROR(INDEX(PASTE_ALL,$DF253,49)&amp;"","")&amp;"␟"&amp;IFERROR(INDEX(PASTE_ALL,$DF253,50)&amp;"","")&amp;"␟"&amp;IFERROR(INDEX(PASTE_ALL,$DF253,51)&amp;"","")&amp;"␟"&amp;IFERROR(INDEX(PASTE_ALL,$DF253,52)&amp;"","")&amp;"␟"&amp;IFERROR(INDEX(PASTE_ALL,$DF253,53)&amp;"","")&amp;"␟"&amp;IFERROR(INDEX(PASTE_ALL,$DF253,54)&amp;"","")&amp;"␟"&amp;IFERROR(INDEX(PASTE_ALL,$DF253,55)&amp;"","")&amp;"␟"&amp;IFERROR(INDEX(PASTE_ALL,$DF253,56)&amp;"","")&amp;"␟"&amp;IFERROR(INDEX(PASTE_ALL,$DF253,57)&amp;"","")&amp;"␟"&amp;IFERROR(INDEX(PASTE_ALL,$DF253,58)&amp;"","")&amp;"␟"&amp;IFERROR(INDEX(PASTE_ALL,$DF253,59)&amp;"","")&amp;"␟"&amp;IFERROR(INDEX(PASTE_ALL,$DF253,60)&amp;"","")," "," "),CHAR(9)," "),CHAR(10)," "),CHAR(13)," "))," ␟","␟"),"␟ ","␟"),"#"&amp;$DE253),"")</f>
        <v/>
      </c>
      <c r="DJ253">
        <f>IF($DI253="",0,IF(SUMPRODUCT(--EXACT($DI$4:DI252,$DI253))&gt;0,1,0))</f>
        <v/>
      </c>
      <c r="DK253">
        <f>IF(AND($DI253&lt;&gt;"",$DJ253=0),1,0)</f>
        <v/>
      </c>
      <c r="DL253">
        <f>DL252+$DK253</f>
        <v/>
      </c>
      <c r="DM253">
        <f>IF(AND($DK253=1,$DL253&lt;=600),1,0)</f>
        <v/>
      </c>
      <c r="DN253">
        <f>IF($DM253=0,"",IF($L$6=0,"",IFERROR(IF(ISNUMBER(INDEX(PASTE_ALL,$DF253,$L$6)),INDEX(PASTE_ALL,$DF253,$L$6),TRIM(SUBSTITUTE(SUBSTITUTE(SUBSTITUTE(SUBSTITUTE(INDEX(PASTE_ALL,$DF253,$L$6)," "," "),CHAR(9)," "),CHAR(10)," "),CHAR(13)," "))),"")))</f>
        <v/>
      </c>
      <c r="DO253">
        <f>IF($DM253=0,"",IF($L$7=0,"",IFERROR(IF(ISNUMBER(INDEX(PASTE_ALL,$DF253,$L$7)),INDEX(PASTE_ALL,$DF253,$L$7),TRIM(SUBSTITUTE(SUBSTITUTE(SUBSTITUTE(SUBSTITUTE(INDEX(PASTE_ALL,$DF253,$L$7)," "," "),CHAR(9)," "),CHAR(10)," "),CHAR(13)," "))),"")))</f>
        <v/>
      </c>
      <c r="DP253">
        <f>IF($DM253=0,"",IF($L$8=0,"",IFERROR(IF(ISNUMBER(INDEX(PASTE_ALL,$DF253,$L$8)),INDEX(PASTE_ALL,$DF253,$L$8),TRIM(SUBSTITUTE(SUBSTITUTE(SUBSTITUTE(SUBSTITUTE(INDEX(PASTE_ALL,$DF253,$L$8)," "," "),CHAR(9)," "),CHAR(10)," "),CHAR(13)," "))),"")))</f>
        <v/>
      </c>
      <c r="DQ253">
        <f>IF($DM253=0,"",IF($L$9=0,"",IFERROR(IF(ISNUMBER(INDEX(PASTE_ALL,$DF253,$L$9)),INDEX(PASTE_ALL,$DF253,$L$9),TRIM(SUBSTITUTE(SUBSTITUTE(SUBSTITUTE(SUBSTITUTE(INDEX(PASTE_ALL,$DF253,$L$9)," "," "),CHAR(9)," "),CHAR(10)," "),CHAR(13)," "))),"")))</f>
        <v/>
      </c>
      <c r="DR253">
        <f>IF($DM253=0,"",IF($L$10=0,"",IFERROR(IF(ISNUMBER(INDEX(PASTE_ALL,$DF253,$L$10)),INDEX(PASTE_ALL,$DF253,$L$10),TRIM(SUBSTITUTE(SUBSTITUTE(SUBSTITUTE(SUBSTITUTE(INDEX(PASTE_ALL,$DF253,$L$10)," "," "),CHAR(9)," "),CHAR(10)," "),CHAR(13)," "))),"")))</f>
        <v/>
      </c>
      <c r="DS253">
        <f>IF($DM253=0,"",IF($L$11=0,"",IFERROR(IF(ISNUMBER(INDEX(PASTE_ALL,$DF253,$L$11)),INDEX(PASTE_ALL,$DF253,$L$11),TRIM(SUBSTITUTE(SUBSTITUTE(SUBSTITUTE(SUBSTITUTE(INDEX(PASTE_ALL,$DF253,$L$11)," "," "),CHAR(9)," "),CHAR(10)," "),CHAR(13)," "))),"")))</f>
        <v/>
      </c>
      <c r="DT253">
        <f>IF($DM253=0,"",IF($L$12=0,"",IFERROR(IF(ISNUMBER(INDEX(PASTE_ALL,$DF253,$L$12)),INDEX(PASTE_ALL,$DF253,$L$12),TRIM(SUBSTITUTE(SUBSTITUTE(SUBSTITUTE(SUBSTITUTE(INDEX(PASTE_ALL,$DF253,$L$12)," "," "),CHAR(9)," "),CHAR(10)," "),CHAR(13)," "))),"")))</f>
        <v/>
      </c>
      <c r="DU253">
        <f>IF($DM253=0,"",IF($L$13=0,"",IFERROR(IF(ISNUMBER(INDEX(PASTE_ALL,$DF253,$L$13)),INDEX(PASTE_ALL,$DF253,$L$13),TRIM(SUBSTITUTE(SUBSTITUTE(SUBSTITUTE(SUBSTITUTE(INDEX(PASTE_ALL,$DF253,$L$13)," "," "),CHAR(9)," "),CHAR(10)," "),CHAR(13)," "))),"")))</f>
        <v/>
      </c>
      <c r="DV253">
        <f>IF($DM253=0,"",IF($L$14=0,"",IFERROR(IF(ISNUMBER(INDEX(PASTE_ALL,$DF253,$L$14)),INDEX(PASTE_ALL,$DF253,$L$14),TRIM(SUBSTITUTE(SUBSTITUTE(SUBSTITUTE(SUBSTITUTE(INDEX(PASTE_ALL,$DF253,$L$14)," "," "),CHAR(9)," "),CHAR(10)," "),CHAR(13)," "))),"")))</f>
        <v/>
      </c>
      <c r="DW253">
        <f>IF($DM253=0,"",IF($L$15=0,"",IFERROR(IF(ISNUMBER(INDEX(PASTE_ALL,$DF253,$L$15)),INDEX(PASTE_ALL,$DF253,$L$15),IF(SUMPRODUCT(--ISNUMBER(FIND({"A","B","C","D","E","F","G","H","I","J","K","L","M","N","O","P","Q","R","S","T","U","V","W","X","Y","Z","0","1","2","3","4","5","6","7","8","9"},UPPER(TRIM(SUBSTITUTE(SUBSTITUTE(SUBSTITUTE(SUBSTITUTE(INDEX(PASTE_ALL,$DF253,$L$15)," "," "),CHAR(9)," "),CHAR(10)," "),CHAR(13)," "))))))&gt;0,TRIM(SUBSTITUTE(SUBSTITUTE(SUBSTITUTE(SUBSTITUTE(INDEX(PASTE_ALL,$DF253,$L$15)," "," "),CHAR(9)," "),CHAR(10)," "),CHAR(13)," ")),"")),"")))</f>
        <v/>
      </c>
      <c r="DX253">
        <f>IF($DM253=0,"",IF($L$16=0,"",IFERROR(IF(ISNUMBER(INDEX(PASTE_ALL,$DF253,$L$16)),INDEX(PASTE_ALL,$DF253,$L$16),SUBSTITUTE(SUBSTITUTE(TRIM(SUBSTITUTE(SUBSTITUTE(SUBSTITUTE(SUBSTITUTE(INDEX(PASTE_ALL,$DF253,$L$16)," "," "),CHAR(9)," "),CHAR(10)," "),CHAR(13)," ")),",",""),"%","")),"")))</f>
        <v/>
      </c>
      <c r="DY253">
        <f>IF($DM253=0,"",IFERROR(IF(ISNUMBER($DX253),$DX253,IF($DX253="","",IF(TRIM($DX253)="",0,IF(AND(AND(SUBSTITUTE(SUBSTITUTE(SUBSTITUTE(SUBSTITUTE(SUBSTITUTE(SUBSTITUTE(SUBSTITUTE(SUBSTITUTE(SUBSTITUTE(SUBSTITUTE(SUBSTITUTE(SUBSTITUTE(SUBSTITUTE(SUBSTITUTE(UPPER(TRIM($DX253)),"0",""),"1",""),"2",""),"3",""),"4",""),"5",""),"6",""),"7",""),"8",""),"9",""),".",""),"+",""),"-",""),"E","")="",LEN(SUBSTITUTE(SUBSTITUTE(MID(UPPER(TRIM($DX253)),1+OR(LEFT(UPPER(TRIM($DX253)),1)="+",LEFT(UPPER(TRIM($DX253)),1)="-"),999),"E+","E"),"E-","E"))=LEN(SUBSTITUTE(SUBSTITUTE(SUBSTITUTE(SUBSTITUTE(MID(UPPER(TRIM($DX253)),1+OR(LEFT(UPPER(TRIM($DX253)),1)="+",LEFT(UPPER(TRIM($DX253)),1)="-"),999),"E+","E"),"E-","E"),"+",""),"-","")),LEN(UPPER(TRIM($DX253)))-LEN(SUBSTITUTE(UPPER(TRIM($DX253)),"E",""))&lt;2,LEN(UPPER(TRIM($DX253)))-LEN(SUBSTITUTE(UPPER(TRIM($DX253)),".",""))&lt;2,IFERROR(FIND(".",UPPER(TRIM($DX253))),0)&lt;IFERROR(FIND("E",UPPER(TRIM($DX253))),999)),ISNUMBER(VALUE(TRIM($DX253)))),VALUE(TRIM($DX253)),"")))),""))</f>
        <v/>
      </c>
      <c r="DZ253">
        <f>IF($DM253=0,"",IF($L$17=0,"",IFERROR(IF(ISNUMBER(INDEX(PASTE_ALL,$DF253,$L$17)),INDEX(PASTE_ALL,$DF253,$L$17),SUBSTITUTE(SUBSTITUTE(TRIM(SUBSTITUTE(SUBSTITUTE(SUBSTITUTE(SUBSTITUTE(INDEX(PASTE_ALL,$DF253,$L$17)," "," "),CHAR(9)," "),CHAR(10)," "),CHAR(13)," ")),",",""),"%","")),"")))</f>
        <v/>
      </c>
      <c r="EA253">
        <f>IF($DM253=0,"",IFERROR(IF(ISNUMBER($DZ253),$DZ253,IF($DZ253="","",IF(TRIM($DZ253)="",0,IF(AND(AND(SUBSTITUTE(SUBSTITUTE(SUBSTITUTE(SUBSTITUTE(SUBSTITUTE(SUBSTITUTE(SUBSTITUTE(SUBSTITUTE(SUBSTITUTE(SUBSTITUTE(SUBSTITUTE(SUBSTITUTE(SUBSTITUTE(SUBSTITUTE(UPPER(TRIM($DZ253)),"0",""),"1",""),"2",""),"3",""),"4",""),"5",""),"6",""),"7",""),"8",""),"9",""),".",""),"+",""),"-",""),"E","")="",LEN(SUBSTITUTE(SUBSTITUTE(MID(UPPER(TRIM($DZ253)),1+OR(LEFT(UPPER(TRIM($DZ253)),1)="+",LEFT(UPPER(TRIM($DZ253)),1)="-"),999),"E+","E"),"E-","E"))=LEN(SUBSTITUTE(SUBSTITUTE(SUBSTITUTE(SUBSTITUTE(MID(UPPER(TRIM($DZ253)),1+OR(LEFT(UPPER(TRIM($DZ253)),1)="+",LEFT(UPPER(TRIM($DZ253)),1)="-"),999),"E+","E"),"E-","E"),"+",""),"-","")),LEN(UPPER(TRIM($DZ253)))-LEN(SUBSTITUTE(UPPER(TRIM($DZ253)),"E",""))&lt;2,LEN(UPPER(TRIM($DZ253)))-LEN(SUBSTITUTE(UPPER(TRIM($DZ253)),".",""))&lt;2,IFERROR(FIND(".",UPPER(TRIM($DZ253))),0)&lt;IFERROR(FIND("E",UPPER(TRIM($DZ253))),999)),ISNUMBER(VALUE(TRIM($DZ253)))),VALUE(TRIM($DZ253)),"")))),""))</f>
        <v/>
      </c>
      <c r="EB253">
        <f>IF($DM253=0,"",IF($L$18=0,"",IFERROR(IF(UPPER(TRIM(SUBSTITUTE(SUBSTITUTE(SUBSTITUTE(SUBSTITUTE(INDEX(PASTE_ALL,$DF253,$L$18)," "," "),CHAR(9)," "),CHAR(10)," "),CHAR(13)," ")))="READY","Ready",IF(UPPER(TRIM(SUBSTITUTE(SUBSTITUTE(SUBSTITUTE(SUBSTITUTE(INDEX(PASTE_ALL,$DF253,$L$18)," "," "),CHAR(9)," "),CHAR(10)," "),CHAR(13)," ")))="PM","PM",IF(OR(UPPER(TRIM(SUBSTITUTE(SUBSTITUTE(SUBSTITUTE(SUBSTITUTE(INDEX(PASTE_ALL,$DF253,$L$18)," "," "),CHAR(9)," "),CHAR(10)," "),CHAR(13)," ")))="OT",UPPER(TRIM(SUBSTITUTE(SUBSTITUTE(SUBSTITUTE(SUBSTITUTE(INDEX(PASTE_ALL,$DF253,$L$18)," "," "),CHAR(9)," "),CHAR(10)," "),CHAR(13)," ")))="OVERTIME",UPPER(TRIM(SUBSTITUTE(SUBSTITUTE(SUBSTITUTE(SUBSTITUTE(INDEX(PASTE_ALL,$DF253,$L$18)," "," "),CHAR(9)," "),CHAR(10)," "),CHAR(13)," ")))="TRIAL"),"OT",TRIM(SUBSTITUTE(SUBSTITUTE(SUBSTITUTE(SUBSTITUTE(INDEX(PASTE_ALL,$DF253,$L$18)," "," "),CHAR(9)," "),CHAR(10)," "),CHAR(13)," "))))),"")))</f>
        <v/>
      </c>
      <c r="EC253">
        <f>IF($DM253=0,"",IF($L$19=0,"",IFERROR(IF(ISNUMBER(INDEX(PASTE_ALL,$DF253,$L$19)),INDEX(PASTE_ALL,$DF253,$L$19),TRIM(SUBSTITUTE(SUBSTITUTE(SUBSTITUTE(SUBSTITUTE(INDEX(PASTE_ALL,$DF253,$L$19)," "," "),CHAR(9)," "),CHAR(10)," "),CHAR(13)," "))),"")))</f>
        <v/>
      </c>
      <c r="ED253">
        <f>IF($DM253=0,"",MATCH(1,INDEX(EXACT($DH$5:DH253,$DH253)*$DM$5:DM253,0),0))</f>
        <v/>
      </c>
      <c r="EE253">
        <f>IF($DM253=0,0,IF($ED253=$DE253,1,0))</f>
        <v/>
      </c>
      <c r="EF253">
        <f>EF252+$EE253</f>
        <v/>
      </c>
      <c r="EG253">
        <f>IF($DM253=0,"",INDEX($EF$5:$EF$1003,$ED253))</f>
        <v/>
      </c>
      <c r="EH253">
        <f>IF($DM253=0,"",IF($DO253&lt;&gt;"","",IFERROR(LOOKUP(2,1/(($EG$4:EG252=$EG253)*($DO$4:DO252&lt;&gt;"")),$DO$4:DO252),"")))</f>
        <v/>
      </c>
      <c r="EI253">
        <f>IF($DM253=0,"",IF($DO253&lt;&gt;"",$DO253,$EH253))</f>
        <v/>
      </c>
      <c r="EJ253">
        <f>IF($DM253=0,"",IF($EI253="",0,IF(OR(ISNUMBER($EI253),AND(AND(SUBSTITUTE(SUBSTITUTE(SUBSTITUTE(SUBSTITUTE(SUBSTITUTE(SUBSTITUTE(SUBSTITUTE(SUBSTITUTE(SUBSTITUTE(SUBSTITUTE(SUBSTITUTE(SUBSTITUTE(SUBSTITUTE(SUBSTITUTE(UPPER($EI253),"0",""),"1",""),"2",""),"3",""),"4",""),"5",""),"6",""),"7",""),"8",""),"9",""),".",""),"+",""),"-",""),"E","")="",LEN(SUBSTITUTE(SUBSTITUTE(MID(UPPER($EI253),1+OR(LEFT(UPPER($EI253),1)="+",LEFT(UPPER($EI253),1)="-"),999),"E+","E"),"E-","E"))=LEN(SUBSTITUTE(SUBSTITUTE(SUBSTITUTE(SUBSTITUTE(MID(UPPER($EI253),1+OR(LEFT(UPPER($EI253),1)="+",LEFT(UPPER($EI253),1)="-"),999),"E+","E"),"E-","E"),"+",""),"-","")),LEN(UPPER($EI253))-LEN(SUBSTITUTE(UPPER($EI253),"E",""))&lt;2,LEN(UPPER($EI253))-LEN(SUBSTITUTE(UPPER($EI253),".",""))&lt;2,IFERROR(FIND(".",UPPER($EI253)),0)&lt;IFERROR(FIND("E",UPPER($EI253)),999)),ISNUMBER(VALUE($EI253)))),1,2)))</f>
        <v/>
      </c>
      <c r="EK253">
        <f>IF($DM253=0,"",IF($EJ253=1,IF(ISNUMBER($EI253),$EI253,VALUE($EI253)),IF($EJ253=2,$DE253,0)))</f>
        <v/>
      </c>
      <c r="EL253">
        <f>IF($DM253=0,"",COUNTIF($EG$5:$EG$1003,"&lt;"&amp;$EG253)+SUMPRODUCT(($EG$5:$EG$1003=$EG253)*(($EJ$5:$EJ$1003&lt;$EJ253)+($EJ$5:$EJ$1003=$EJ253)*(($EK$5:$EK$1003&lt;$EK253)+($EK$5:$EK$1003=$EK253)*($DE$5:$DE$1003&lt;$DE253))))+1)</f>
        <v/>
      </c>
      <c r="EM253">
        <f>IF($DM253=0,"",$EL253+$EG253-1)</f>
        <v/>
      </c>
      <c r="EN253">
        <f>IF($DM253=0,0,IFERROR(MATCH(1,INDEX(--(TRIM(SUBSTITUTE(SUBSTITUTE(SUBSTITUTE(SUBSTITUTE(LINES_NAME&amp;""," "," "),CHAR(9)," "),CHAR(10)," "),CHAR(13)," "))=$DH253),0),0),0))</f>
        <v/>
      </c>
      <c r="EO253">
        <f>IF($EN253=0,0,IF(OR(UPPER(TRIM(INDEX(LINES_SCHEDULED,$EN253)&amp;""))="YES",UPPER(TRIM(INDEX(LINES_SCHEDULED,$EN253)&amp;""))="Y",UPPER(TRIM(INDEX(LINES_SCHEDULED,$EN253)&amp;""))="X"),1,0))</f>
        <v/>
      </c>
      <c r="EP253">
        <f>IF($DM253=0,"",IF(COUNTIFS($EG$5:$EG$1003,$EG253,$EB$5:$EB$1003,"Ready")&gt;0,"READY",IF(COUNTIFS($EG$5:$EG$1003,$EG253,$EB$5:$EB$1003,"PM")&gt;0,"PM",IF(COUNTIFS($EG$5:$EG$1003,$EG253,$EB$5:$EB$1003,"OT")&gt;0,"OT",""))))</f>
        <v/>
      </c>
      <c r="EQ253">
        <f>IF($EN253=0,"",UPPER(TRIM(INDEX(LINES_STATUS,$EN253)&amp;"")))</f>
        <v/>
      </c>
      <c r="ER253">
        <f>IF($DM253=0,"",IF(OR($EQ253="READY",$EQ253="PM",$EQ253="OT"),$EQ253,$EP253))</f>
        <v/>
      </c>
      <c r="ES253">
        <f>IF($DM253=0,"",IF(AND($DV253&lt;&gt;"",UPPER($DV253)&lt;&gt;"N"),"allergen",IF(ISNUMBER(SEARCH("oil",$DQ253)),"oil",IF(OR(EXACT($DS253,"A662"),EXACT($DS253,"A624")),"bulk",""))))</f>
        <v/>
      </c>
      <c r="ET253">
        <f>IF($DM253=0,"",IF(OR($EA253="",$EA253=0),"",$EA253/100))</f>
        <v/>
      </c>
      <c r="EU253">
        <f>IF(OR($ET253="",$DY253=""),"",INT($DY253*(1-$ET253)+0.5))</f>
        <v/>
      </c>
      <c r="EW253" t="n">
        <v>249</v>
      </c>
      <c r="EX253">
        <f>IFERROR(MATCH($EW253,$EM$5:$EM$1003,0),0)</f>
        <v/>
      </c>
      <c r="EY253">
        <f>IF($EW253&gt;$B$12,"",IF($EX253&gt;0,"row","spacer"))</f>
        <v/>
      </c>
      <c r="EZ253">
        <f>IF(AND($EY253="row",$EY252&lt;&gt;"row"),1,0)</f>
        <v/>
      </c>
      <c r="FA253">
        <f>IF(AND($EY253="row",$EY254&lt;&gt;"row"),1,0)</f>
        <v/>
      </c>
      <c r="FB253">
        <f>IF($EZ253=1,IFERROR(IF(ISNUMBER(INDEX(PASTE_ALL,INDEX($DF$5:$DF$1003,$EX253),$B$37)),INDEX(PASTE_ALL,INDEX($DF$5:$DF$1003,$EX253),$B$37),INDEX($DH$5:$DH$1003,$EX253)),INDEX($DH$5:$DH$1003,$EX253)),"")</f>
        <v/>
      </c>
      <c r="FC253">
        <f>IF($EY253="row",INDEX($ER$5:$ER$1003,$EX253),"")</f>
        <v/>
      </c>
      <c r="FD253">
        <f>IF($EY253="row",INDEX($DN$5:$DN$1003,$EX253),"")</f>
        <v/>
      </c>
      <c r="FE253">
        <f>IF($EY253="row",INDEX($DO$5:$DO$1003,$EX253),"")</f>
        <v/>
      </c>
      <c r="FF253">
        <f>IF($EY253="row",INDEX($DP$5:$DP$1003,$EX253),"")</f>
        <v/>
      </c>
      <c r="FG253">
        <f>IF($EY253="row",INDEX($DQ$5:$DQ$1003,$EX253),"")</f>
        <v/>
      </c>
      <c r="FH253">
        <f>IF($EY253="row",INDEX($DR$5:$DR$1003,$EX253),"")</f>
        <v/>
      </c>
      <c r="FI253">
        <f>IF($EY253="row",INDEX($DS$5:$DS$1003,$EX253),"")</f>
        <v/>
      </c>
      <c r="FJ253">
        <f>IF($EY253="row",INDEX($DT$5:$DT$1003,$EX253),"")</f>
        <v/>
      </c>
      <c r="FK253">
        <f>IF($EY253="row",INDEX($DU$5:$DU$1003,$EX253),"")</f>
        <v/>
      </c>
      <c r="FL253">
        <f>IF($EY253="row",INDEX($DV$5:$DV$1003,$EX253),"")</f>
        <v/>
      </c>
      <c r="FM253">
        <f>IF($EY253="row",INDEX($DW$5:$DW$1003,$EX253),"")</f>
        <v/>
      </c>
      <c r="FN253">
        <f>IF($EY253="row",INDEX($DY$5:$DY$1003,$EX253),"")</f>
        <v/>
      </c>
      <c r="FO253">
        <f>IF($EY253="row",INDEX($EA$5:$EA$1003,$EX253),"")</f>
        <v/>
      </c>
      <c r="FP253">
        <f>IF($EY253="row",INDEX($EC$5:$EC$1003,$EX253),"")</f>
        <v/>
      </c>
      <c r="FQ253">
        <f>IF($EY253="row",INDEX($ET$5:$ET$1003,$EX253),"")</f>
        <v/>
      </c>
      <c r="FR253">
        <f>IF($EY253="row",INDEX($EU$5:$EU$1003,$EX253),"")</f>
        <v/>
      </c>
      <c r="FS253">
        <f>IF(AND($EY253="row",$EY252="row"),IF(OR(INDEX($DT$5:$DT$1003,$EX252)="",INDEX($DT$5:$DT$1003,$EX253)=""),"",IF(NOT(EXACT(INDEX($DT$5:$DT$1003,$EX252),INDEX($DT$5:$DT$1003,$EX253))),"S4",IF(NOT(EXACT(INDEX($DS$5:$DS$1003,$EX252),INDEX($DS$5:$DS$1003,$EX253))),"S3",IF(NOT(EXACT(INDEX($DR$5:$DR$1003,$EX252),INDEX($DR$5:$DR$1003,$EX253))),"S1 Count Change","S1")))),"")</f>
        <v/>
      </c>
      <c r="FT253">
        <f>IF($EY253="row",INDEX($ES$5:$ES$1003,$EX253),"")</f>
        <v/>
      </c>
      <c r="FU253">
        <f>IF($EY253="row",INDEX($EO$5:$EO$1003,$EX253),0)</f>
        <v/>
      </c>
      <c r="FV253">
        <f>IF($FS253="S1 Count Change",1,0)</f>
        <v/>
      </c>
    </row>
    <row r="254">
      <c r="DA254" t="n">
        <v>250</v>
      </c>
      <c r="DB254">
        <f>IF($B$37=0,"",IFERROR(TRIM(SUBSTITUTE(SUBSTITUTE(SUBSTITUTE(SUBSTITUTE(INDEX(PASTE_ALL,250,$B$37)," "," "),CHAR(9)," "),CHAR(10)," "),CHAR(13)," ")),""))</f>
        <v/>
      </c>
      <c r="DC254">
        <f>IF(AND(250&gt;HEADER_ROW,UPPER(DB254)="LEGEND"),1,0)</f>
        <v/>
      </c>
      <c r="DE254" t="n">
        <v>250</v>
      </c>
      <c r="DF254">
        <f>HEADER_ROW+$DE254</f>
        <v/>
      </c>
      <c r="DG254">
        <f>IF(AND($DF254&lt;=1000,$DF254&lt;$B$8),1,0)</f>
        <v/>
      </c>
      <c r="DH254">
        <f>IF($DG254=1,IFERROR(INDEX($DB$5:$DB$1004,$DF254),""),"")</f>
        <v/>
      </c>
      <c r="DI254">
        <f>IF(AND($DG254=1,$DH254&lt;&gt;""),IFERROR(SUBSTITUTE(SUBSTITUTE(TRIM(SUBSTITUTE(SUBSTITUTE(SUBSTITUTE(SUBSTITUTE(IFERROR(INDEX(PASTE_ALL,$DF254,1)&amp;"","")&amp;"␟"&amp;IFERROR(INDEX(PASTE_ALL,$DF254,2)&amp;"","")&amp;"␟"&amp;IFERROR(INDEX(PASTE_ALL,$DF254,3)&amp;"","")&amp;"␟"&amp;IFERROR(INDEX(PASTE_ALL,$DF254,4)&amp;"","")&amp;"␟"&amp;IFERROR(INDEX(PASTE_ALL,$DF254,5)&amp;"","")&amp;"␟"&amp;IFERROR(INDEX(PASTE_ALL,$DF254,6)&amp;"","")&amp;"␟"&amp;IFERROR(INDEX(PASTE_ALL,$DF254,7)&amp;"","")&amp;"␟"&amp;IFERROR(INDEX(PASTE_ALL,$DF254,8)&amp;"","")&amp;"␟"&amp;IFERROR(INDEX(PASTE_ALL,$DF254,9)&amp;"","")&amp;"␟"&amp;IFERROR(INDEX(PASTE_ALL,$DF254,10)&amp;"","")&amp;"␟"&amp;IFERROR(INDEX(PASTE_ALL,$DF254,11)&amp;"","")&amp;"␟"&amp;IFERROR(INDEX(PASTE_ALL,$DF254,12)&amp;"","")&amp;"␟"&amp;IFERROR(INDEX(PASTE_ALL,$DF254,13)&amp;"","")&amp;"␟"&amp;IFERROR(INDEX(PASTE_ALL,$DF254,14)&amp;"","")&amp;"␟"&amp;IFERROR(INDEX(PASTE_ALL,$DF254,15)&amp;"","")&amp;"␟"&amp;IFERROR(INDEX(PASTE_ALL,$DF254,16)&amp;"","")&amp;"␟"&amp;IFERROR(INDEX(PASTE_ALL,$DF254,17)&amp;"","")&amp;"␟"&amp;IFERROR(INDEX(PASTE_ALL,$DF254,18)&amp;"","")&amp;"␟"&amp;IFERROR(INDEX(PASTE_ALL,$DF254,19)&amp;"","")&amp;"␟"&amp;IFERROR(INDEX(PASTE_ALL,$DF254,20)&amp;"","")&amp;"␟"&amp;IFERROR(INDEX(PASTE_ALL,$DF254,21)&amp;"","")&amp;"␟"&amp;IFERROR(INDEX(PASTE_ALL,$DF254,22)&amp;"","")&amp;"␟"&amp;IFERROR(INDEX(PASTE_ALL,$DF254,23)&amp;"","")&amp;"␟"&amp;IFERROR(INDEX(PASTE_ALL,$DF254,24)&amp;"","")&amp;"␟"&amp;IFERROR(INDEX(PASTE_ALL,$DF254,25)&amp;"","")&amp;"␟"&amp;IFERROR(INDEX(PASTE_ALL,$DF254,26)&amp;"","")&amp;"␟"&amp;IFERROR(INDEX(PASTE_ALL,$DF254,27)&amp;"","")&amp;"␟"&amp;IFERROR(INDEX(PASTE_ALL,$DF254,28)&amp;"","")&amp;"␟"&amp;IFERROR(INDEX(PASTE_ALL,$DF254,29)&amp;"","")&amp;"␟"&amp;IFERROR(INDEX(PASTE_ALL,$DF254,30)&amp;"","")&amp;"␟"&amp;IFERROR(INDEX(PASTE_ALL,$DF254,31)&amp;"","")&amp;"␟"&amp;IFERROR(INDEX(PASTE_ALL,$DF254,32)&amp;"","")&amp;"␟"&amp;IFERROR(INDEX(PASTE_ALL,$DF254,33)&amp;"","")&amp;"␟"&amp;IFERROR(INDEX(PASTE_ALL,$DF254,34)&amp;"","")&amp;"␟"&amp;IFERROR(INDEX(PASTE_ALL,$DF254,35)&amp;"","")&amp;"␟"&amp;IFERROR(INDEX(PASTE_ALL,$DF254,36)&amp;"","")&amp;"␟"&amp;IFERROR(INDEX(PASTE_ALL,$DF254,37)&amp;"","")&amp;"␟"&amp;IFERROR(INDEX(PASTE_ALL,$DF254,38)&amp;"","")&amp;"␟"&amp;IFERROR(INDEX(PASTE_ALL,$DF254,39)&amp;"","")&amp;"␟"&amp;IFERROR(INDEX(PASTE_ALL,$DF254,40)&amp;"","")&amp;"␟"&amp;IFERROR(INDEX(PASTE_ALL,$DF254,41)&amp;"","")&amp;"␟"&amp;IFERROR(INDEX(PASTE_ALL,$DF254,42)&amp;"","")&amp;"␟"&amp;IFERROR(INDEX(PASTE_ALL,$DF254,43)&amp;"","")&amp;"␟"&amp;IFERROR(INDEX(PASTE_ALL,$DF254,44)&amp;"","")&amp;"␟"&amp;IFERROR(INDEX(PASTE_ALL,$DF254,45)&amp;"","")&amp;"␟"&amp;IFERROR(INDEX(PASTE_ALL,$DF254,46)&amp;"","")&amp;"␟"&amp;IFERROR(INDEX(PASTE_ALL,$DF254,47)&amp;"","")&amp;"␟"&amp;IFERROR(INDEX(PASTE_ALL,$DF254,48)&amp;"","")&amp;"␟"&amp;IFERROR(INDEX(PASTE_ALL,$DF254,49)&amp;"","")&amp;"␟"&amp;IFERROR(INDEX(PASTE_ALL,$DF254,50)&amp;"","")&amp;"␟"&amp;IFERROR(INDEX(PASTE_ALL,$DF254,51)&amp;"","")&amp;"␟"&amp;IFERROR(INDEX(PASTE_ALL,$DF254,52)&amp;"","")&amp;"␟"&amp;IFERROR(INDEX(PASTE_ALL,$DF254,53)&amp;"","")&amp;"␟"&amp;IFERROR(INDEX(PASTE_ALL,$DF254,54)&amp;"","")&amp;"␟"&amp;IFERROR(INDEX(PASTE_ALL,$DF254,55)&amp;"","")&amp;"␟"&amp;IFERROR(INDEX(PASTE_ALL,$DF254,56)&amp;"","")&amp;"␟"&amp;IFERROR(INDEX(PASTE_ALL,$DF254,57)&amp;"","")&amp;"␟"&amp;IFERROR(INDEX(PASTE_ALL,$DF254,58)&amp;"","")&amp;"␟"&amp;IFERROR(INDEX(PASTE_ALL,$DF254,59)&amp;"","")&amp;"␟"&amp;IFERROR(INDEX(PASTE_ALL,$DF254,60)&amp;"","")," "," "),CHAR(9)," "),CHAR(10)," "),CHAR(13)," "))," ␟","␟"),"␟ ","␟"),"#"&amp;$DE254),"")</f>
        <v/>
      </c>
      <c r="DJ254">
        <f>IF($DI254="",0,IF(SUMPRODUCT(--EXACT($DI$4:DI253,$DI254))&gt;0,1,0))</f>
        <v/>
      </c>
      <c r="DK254">
        <f>IF(AND($DI254&lt;&gt;"",$DJ254=0),1,0)</f>
        <v/>
      </c>
      <c r="DL254">
        <f>DL253+$DK254</f>
        <v/>
      </c>
      <c r="DM254">
        <f>IF(AND($DK254=1,$DL254&lt;=600),1,0)</f>
        <v/>
      </c>
      <c r="DN254">
        <f>IF($DM254=0,"",IF($L$6=0,"",IFERROR(IF(ISNUMBER(INDEX(PASTE_ALL,$DF254,$L$6)),INDEX(PASTE_ALL,$DF254,$L$6),TRIM(SUBSTITUTE(SUBSTITUTE(SUBSTITUTE(SUBSTITUTE(INDEX(PASTE_ALL,$DF254,$L$6)," "," "),CHAR(9)," "),CHAR(10)," "),CHAR(13)," "))),"")))</f>
        <v/>
      </c>
      <c r="DO254">
        <f>IF($DM254=0,"",IF($L$7=0,"",IFERROR(IF(ISNUMBER(INDEX(PASTE_ALL,$DF254,$L$7)),INDEX(PASTE_ALL,$DF254,$L$7),TRIM(SUBSTITUTE(SUBSTITUTE(SUBSTITUTE(SUBSTITUTE(INDEX(PASTE_ALL,$DF254,$L$7)," "," "),CHAR(9)," "),CHAR(10)," "),CHAR(13)," "))),"")))</f>
        <v/>
      </c>
      <c r="DP254">
        <f>IF($DM254=0,"",IF($L$8=0,"",IFERROR(IF(ISNUMBER(INDEX(PASTE_ALL,$DF254,$L$8)),INDEX(PASTE_ALL,$DF254,$L$8),TRIM(SUBSTITUTE(SUBSTITUTE(SUBSTITUTE(SUBSTITUTE(INDEX(PASTE_ALL,$DF254,$L$8)," "," "),CHAR(9)," "),CHAR(10)," "),CHAR(13)," "))),"")))</f>
        <v/>
      </c>
      <c r="DQ254">
        <f>IF($DM254=0,"",IF($L$9=0,"",IFERROR(IF(ISNUMBER(INDEX(PASTE_ALL,$DF254,$L$9)),INDEX(PASTE_ALL,$DF254,$L$9),TRIM(SUBSTITUTE(SUBSTITUTE(SUBSTITUTE(SUBSTITUTE(INDEX(PASTE_ALL,$DF254,$L$9)," "," "),CHAR(9)," "),CHAR(10)," "),CHAR(13)," "))),"")))</f>
        <v/>
      </c>
      <c r="DR254">
        <f>IF($DM254=0,"",IF($L$10=0,"",IFERROR(IF(ISNUMBER(INDEX(PASTE_ALL,$DF254,$L$10)),INDEX(PASTE_ALL,$DF254,$L$10),TRIM(SUBSTITUTE(SUBSTITUTE(SUBSTITUTE(SUBSTITUTE(INDEX(PASTE_ALL,$DF254,$L$10)," "," "),CHAR(9)," "),CHAR(10)," "),CHAR(13)," "))),"")))</f>
        <v/>
      </c>
      <c r="DS254">
        <f>IF($DM254=0,"",IF($L$11=0,"",IFERROR(IF(ISNUMBER(INDEX(PASTE_ALL,$DF254,$L$11)),INDEX(PASTE_ALL,$DF254,$L$11),TRIM(SUBSTITUTE(SUBSTITUTE(SUBSTITUTE(SUBSTITUTE(INDEX(PASTE_ALL,$DF254,$L$11)," "," "),CHAR(9)," "),CHAR(10)," "),CHAR(13)," "))),"")))</f>
        <v/>
      </c>
      <c r="DT254">
        <f>IF($DM254=0,"",IF($L$12=0,"",IFERROR(IF(ISNUMBER(INDEX(PASTE_ALL,$DF254,$L$12)),INDEX(PASTE_ALL,$DF254,$L$12),TRIM(SUBSTITUTE(SUBSTITUTE(SUBSTITUTE(SUBSTITUTE(INDEX(PASTE_ALL,$DF254,$L$12)," "," "),CHAR(9)," "),CHAR(10)," "),CHAR(13)," "))),"")))</f>
        <v/>
      </c>
      <c r="DU254">
        <f>IF($DM254=0,"",IF($L$13=0,"",IFERROR(IF(ISNUMBER(INDEX(PASTE_ALL,$DF254,$L$13)),INDEX(PASTE_ALL,$DF254,$L$13),TRIM(SUBSTITUTE(SUBSTITUTE(SUBSTITUTE(SUBSTITUTE(INDEX(PASTE_ALL,$DF254,$L$13)," "," "),CHAR(9)," "),CHAR(10)," "),CHAR(13)," "))),"")))</f>
        <v/>
      </c>
      <c r="DV254">
        <f>IF($DM254=0,"",IF($L$14=0,"",IFERROR(IF(ISNUMBER(INDEX(PASTE_ALL,$DF254,$L$14)),INDEX(PASTE_ALL,$DF254,$L$14),TRIM(SUBSTITUTE(SUBSTITUTE(SUBSTITUTE(SUBSTITUTE(INDEX(PASTE_ALL,$DF254,$L$14)," "," "),CHAR(9)," "),CHAR(10)," "),CHAR(13)," "))),"")))</f>
        <v/>
      </c>
      <c r="DW254">
        <f>IF($DM254=0,"",IF($L$15=0,"",IFERROR(IF(ISNUMBER(INDEX(PASTE_ALL,$DF254,$L$15)),INDEX(PASTE_ALL,$DF254,$L$15),IF(SUMPRODUCT(--ISNUMBER(FIND({"A","B","C","D","E","F","G","H","I","J","K","L","M","N","O","P","Q","R","S","T","U","V","W","X","Y","Z","0","1","2","3","4","5","6","7","8","9"},UPPER(TRIM(SUBSTITUTE(SUBSTITUTE(SUBSTITUTE(SUBSTITUTE(INDEX(PASTE_ALL,$DF254,$L$15)," "," "),CHAR(9)," "),CHAR(10)," "),CHAR(13)," "))))))&gt;0,TRIM(SUBSTITUTE(SUBSTITUTE(SUBSTITUTE(SUBSTITUTE(INDEX(PASTE_ALL,$DF254,$L$15)," "," "),CHAR(9)," "),CHAR(10)," "),CHAR(13)," ")),"")),"")))</f>
        <v/>
      </c>
      <c r="DX254">
        <f>IF($DM254=0,"",IF($L$16=0,"",IFERROR(IF(ISNUMBER(INDEX(PASTE_ALL,$DF254,$L$16)),INDEX(PASTE_ALL,$DF254,$L$16),SUBSTITUTE(SUBSTITUTE(TRIM(SUBSTITUTE(SUBSTITUTE(SUBSTITUTE(SUBSTITUTE(INDEX(PASTE_ALL,$DF254,$L$16)," "," "),CHAR(9)," "),CHAR(10)," "),CHAR(13)," ")),",",""),"%","")),"")))</f>
        <v/>
      </c>
      <c r="DY254">
        <f>IF($DM254=0,"",IFERROR(IF(ISNUMBER($DX254),$DX254,IF($DX254="","",IF(TRIM($DX254)="",0,IF(AND(AND(SUBSTITUTE(SUBSTITUTE(SUBSTITUTE(SUBSTITUTE(SUBSTITUTE(SUBSTITUTE(SUBSTITUTE(SUBSTITUTE(SUBSTITUTE(SUBSTITUTE(SUBSTITUTE(SUBSTITUTE(SUBSTITUTE(SUBSTITUTE(UPPER(TRIM($DX254)),"0",""),"1",""),"2",""),"3",""),"4",""),"5",""),"6",""),"7",""),"8",""),"9",""),".",""),"+",""),"-",""),"E","")="",LEN(SUBSTITUTE(SUBSTITUTE(MID(UPPER(TRIM($DX254)),1+OR(LEFT(UPPER(TRIM($DX254)),1)="+",LEFT(UPPER(TRIM($DX254)),1)="-"),999),"E+","E"),"E-","E"))=LEN(SUBSTITUTE(SUBSTITUTE(SUBSTITUTE(SUBSTITUTE(MID(UPPER(TRIM($DX254)),1+OR(LEFT(UPPER(TRIM($DX254)),1)="+",LEFT(UPPER(TRIM($DX254)),1)="-"),999),"E+","E"),"E-","E"),"+",""),"-","")),LEN(UPPER(TRIM($DX254)))-LEN(SUBSTITUTE(UPPER(TRIM($DX254)),"E",""))&lt;2,LEN(UPPER(TRIM($DX254)))-LEN(SUBSTITUTE(UPPER(TRIM($DX254)),".",""))&lt;2,IFERROR(FIND(".",UPPER(TRIM($DX254))),0)&lt;IFERROR(FIND("E",UPPER(TRIM($DX254))),999)),ISNUMBER(VALUE(TRIM($DX254)))),VALUE(TRIM($DX254)),"")))),""))</f>
        <v/>
      </c>
      <c r="DZ254">
        <f>IF($DM254=0,"",IF($L$17=0,"",IFERROR(IF(ISNUMBER(INDEX(PASTE_ALL,$DF254,$L$17)),INDEX(PASTE_ALL,$DF254,$L$17),SUBSTITUTE(SUBSTITUTE(TRIM(SUBSTITUTE(SUBSTITUTE(SUBSTITUTE(SUBSTITUTE(INDEX(PASTE_ALL,$DF254,$L$17)," "," "),CHAR(9)," "),CHAR(10)," "),CHAR(13)," ")),",",""),"%","")),"")))</f>
        <v/>
      </c>
      <c r="EA254">
        <f>IF($DM254=0,"",IFERROR(IF(ISNUMBER($DZ254),$DZ254,IF($DZ254="","",IF(TRIM($DZ254)="",0,IF(AND(AND(SUBSTITUTE(SUBSTITUTE(SUBSTITUTE(SUBSTITUTE(SUBSTITUTE(SUBSTITUTE(SUBSTITUTE(SUBSTITUTE(SUBSTITUTE(SUBSTITUTE(SUBSTITUTE(SUBSTITUTE(SUBSTITUTE(SUBSTITUTE(UPPER(TRIM($DZ254)),"0",""),"1",""),"2",""),"3",""),"4",""),"5",""),"6",""),"7",""),"8",""),"9",""),".",""),"+",""),"-",""),"E","")="",LEN(SUBSTITUTE(SUBSTITUTE(MID(UPPER(TRIM($DZ254)),1+OR(LEFT(UPPER(TRIM($DZ254)),1)="+",LEFT(UPPER(TRIM($DZ254)),1)="-"),999),"E+","E"),"E-","E"))=LEN(SUBSTITUTE(SUBSTITUTE(SUBSTITUTE(SUBSTITUTE(MID(UPPER(TRIM($DZ254)),1+OR(LEFT(UPPER(TRIM($DZ254)),1)="+",LEFT(UPPER(TRIM($DZ254)),1)="-"),999),"E+","E"),"E-","E"),"+",""),"-","")),LEN(UPPER(TRIM($DZ254)))-LEN(SUBSTITUTE(UPPER(TRIM($DZ254)),"E",""))&lt;2,LEN(UPPER(TRIM($DZ254)))-LEN(SUBSTITUTE(UPPER(TRIM($DZ254)),".",""))&lt;2,IFERROR(FIND(".",UPPER(TRIM($DZ254))),0)&lt;IFERROR(FIND("E",UPPER(TRIM($DZ254))),999)),ISNUMBER(VALUE(TRIM($DZ254)))),VALUE(TRIM($DZ254)),"")))),""))</f>
        <v/>
      </c>
      <c r="EB254">
        <f>IF($DM254=0,"",IF($L$18=0,"",IFERROR(IF(UPPER(TRIM(SUBSTITUTE(SUBSTITUTE(SUBSTITUTE(SUBSTITUTE(INDEX(PASTE_ALL,$DF254,$L$18)," "," "),CHAR(9)," "),CHAR(10)," "),CHAR(13)," ")))="READY","Ready",IF(UPPER(TRIM(SUBSTITUTE(SUBSTITUTE(SUBSTITUTE(SUBSTITUTE(INDEX(PASTE_ALL,$DF254,$L$18)," "," "),CHAR(9)," "),CHAR(10)," "),CHAR(13)," ")))="PM","PM",IF(OR(UPPER(TRIM(SUBSTITUTE(SUBSTITUTE(SUBSTITUTE(SUBSTITUTE(INDEX(PASTE_ALL,$DF254,$L$18)," "," "),CHAR(9)," "),CHAR(10)," "),CHAR(13)," ")))="OT",UPPER(TRIM(SUBSTITUTE(SUBSTITUTE(SUBSTITUTE(SUBSTITUTE(INDEX(PASTE_ALL,$DF254,$L$18)," "," "),CHAR(9)," "),CHAR(10)," "),CHAR(13)," ")))="OVERTIME",UPPER(TRIM(SUBSTITUTE(SUBSTITUTE(SUBSTITUTE(SUBSTITUTE(INDEX(PASTE_ALL,$DF254,$L$18)," "," "),CHAR(9)," "),CHAR(10)," "),CHAR(13)," ")))="TRIAL"),"OT",TRIM(SUBSTITUTE(SUBSTITUTE(SUBSTITUTE(SUBSTITUTE(INDEX(PASTE_ALL,$DF254,$L$18)," "," "),CHAR(9)," "),CHAR(10)," "),CHAR(13)," "))))),"")))</f>
        <v/>
      </c>
      <c r="EC254">
        <f>IF($DM254=0,"",IF($L$19=0,"",IFERROR(IF(ISNUMBER(INDEX(PASTE_ALL,$DF254,$L$19)),INDEX(PASTE_ALL,$DF254,$L$19),TRIM(SUBSTITUTE(SUBSTITUTE(SUBSTITUTE(SUBSTITUTE(INDEX(PASTE_ALL,$DF254,$L$19)," "," "),CHAR(9)," "),CHAR(10)," "),CHAR(13)," "))),"")))</f>
        <v/>
      </c>
      <c r="ED254">
        <f>IF($DM254=0,"",MATCH(1,INDEX(EXACT($DH$5:DH254,$DH254)*$DM$5:DM254,0),0))</f>
        <v/>
      </c>
      <c r="EE254">
        <f>IF($DM254=0,0,IF($ED254=$DE254,1,0))</f>
        <v/>
      </c>
      <c r="EF254">
        <f>EF253+$EE254</f>
        <v/>
      </c>
      <c r="EG254">
        <f>IF($DM254=0,"",INDEX($EF$5:$EF$1003,$ED254))</f>
        <v/>
      </c>
      <c r="EH254">
        <f>IF($DM254=0,"",IF($DO254&lt;&gt;"","",IFERROR(LOOKUP(2,1/(($EG$4:EG253=$EG254)*($DO$4:DO253&lt;&gt;"")),$DO$4:DO253),"")))</f>
        <v/>
      </c>
      <c r="EI254">
        <f>IF($DM254=0,"",IF($DO254&lt;&gt;"",$DO254,$EH254))</f>
        <v/>
      </c>
      <c r="EJ254">
        <f>IF($DM254=0,"",IF($EI254="",0,IF(OR(ISNUMBER($EI254),AND(AND(SUBSTITUTE(SUBSTITUTE(SUBSTITUTE(SUBSTITUTE(SUBSTITUTE(SUBSTITUTE(SUBSTITUTE(SUBSTITUTE(SUBSTITUTE(SUBSTITUTE(SUBSTITUTE(SUBSTITUTE(SUBSTITUTE(SUBSTITUTE(UPPER($EI254),"0",""),"1",""),"2",""),"3",""),"4",""),"5",""),"6",""),"7",""),"8",""),"9",""),".",""),"+",""),"-",""),"E","")="",LEN(SUBSTITUTE(SUBSTITUTE(MID(UPPER($EI254),1+OR(LEFT(UPPER($EI254),1)="+",LEFT(UPPER($EI254),1)="-"),999),"E+","E"),"E-","E"))=LEN(SUBSTITUTE(SUBSTITUTE(SUBSTITUTE(SUBSTITUTE(MID(UPPER($EI254),1+OR(LEFT(UPPER($EI254),1)="+",LEFT(UPPER($EI254),1)="-"),999),"E+","E"),"E-","E"),"+",""),"-","")),LEN(UPPER($EI254))-LEN(SUBSTITUTE(UPPER($EI254),"E",""))&lt;2,LEN(UPPER($EI254))-LEN(SUBSTITUTE(UPPER($EI254),".",""))&lt;2,IFERROR(FIND(".",UPPER($EI254)),0)&lt;IFERROR(FIND("E",UPPER($EI254)),999)),ISNUMBER(VALUE($EI254)))),1,2)))</f>
        <v/>
      </c>
      <c r="EK254">
        <f>IF($DM254=0,"",IF($EJ254=1,IF(ISNUMBER($EI254),$EI254,VALUE($EI254)),IF($EJ254=2,$DE254,0)))</f>
        <v/>
      </c>
      <c r="EL254">
        <f>IF($DM254=0,"",COUNTIF($EG$5:$EG$1003,"&lt;"&amp;$EG254)+SUMPRODUCT(($EG$5:$EG$1003=$EG254)*(($EJ$5:$EJ$1003&lt;$EJ254)+($EJ$5:$EJ$1003=$EJ254)*(($EK$5:$EK$1003&lt;$EK254)+($EK$5:$EK$1003=$EK254)*($DE$5:$DE$1003&lt;$DE254))))+1)</f>
        <v/>
      </c>
      <c r="EM254">
        <f>IF($DM254=0,"",$EL254+$EG254-1)</f>
        <v/>
      </c>
      <c r="EN254">
        <f>IF($DM254=0,0,IFERROR(MATCH(1,INDEX(--(TRIM(SUBSTITUTE(SUBSTITUTE(SUBSTITUTE(SUBSTITUTE(LINES_NAME&amp;""," "," "),CHAR(9)," "),CHAR(10)," "),CHAR(13)," "))=$DH254),0),0),0))</f>
        <v/>
      </c>
      <c r="EO254">
        <f>IF($EN254=0,0,IF(OR(UPPER(TRIM(INDEX(LINES_SCHEDULED,$EN254)&amp;""))="YES",UPPER(TRIM(INDEX(LINES_SCHEDULED,$EN254)&amp;""))="Y",UPPER(TRIM(INDEX(LINES_SCHEDULED,$EN254)&amp;""))="X"),1,0))</f>
        <v/>
      </c>
      <c r="EP254">
        <f>IF($DM254=0,"",IF(COUNTIFS($EG$5:$EG$1003,$EG254,$EB$5:$EB$1003,"Ready")&gt;0,"READY",IF(COUNTIFS($EG$5:$EG$1003,$EG254,$EB$5:$EB$1003,"PM")&gt;0,"PM",IF(COUNTIFS($EG$5:$EG$1003,$EG254,$EB$5:$EB$1003,"OT")&gt;0,"OT",""))))</f>
        <v/>
      </c>
      <c r="EQ254">
        <f>IF($EN254=0,"",UPPER(TRIM(INDEX(LINES_STATUS,$EN254)&amp;"")))</f>
        <v/>
      </c>
      <c r="ER254">
        <f>IF($DM254=0,"",IF(OR($EQ254="READY",$EQ254="PM",$EQ254="OT"),$EQ254,$EP254))</f>
        <v/>
      </c>
      <c r="ES254">
        <f>IF($DM254=0,"",IF(AND($DV254&lt;&gt;"",UPPER($DV254)&lt;&gt;"N"),"allergen",IF(ISNUMBER(SEARCH("oil",$DQ254)),"oil",IF(OR(EXACT($DS254,"A662"),EXACT($DS254,"A624")),"bulk",""))))</f>
        <v/>
      </c>
      <c r="ET254">
        <f>IF($DM254=0,"",IF(OR($EA254="",$EA254=0),"",$EA254/100))</f>
        <v/>
      </c>
      <c r="EU254">
        <f>IF(OR($ET254="",$DY254=""),"",INT($DY254*(1-$ET254)+0.5))</f>
        <v/>
      </c>
      <c r="EW254" t="n">
        <v>250</v>
      </c>
      <c r="EX254">
        <f>IFERROR(MATCH($EW254,$EM$5:$EM$1003,0),0)</f>
        <v/>
      </c>
      <c r="EY254">
        <f>IF($EW254&gt;$B$12,"",IF($EX254&gt;0,"row","spacer"))</f>
        <v/>
      </c>
      <c r="EZ254">
        <f>IF(AND($EY254="row",$EY253&lt;&gt;"row"),1,0)</f>
        <v/>
      </c>
      <c r="FA254">
        <f>IF(AND($EY254="row",$EY255&lt;&gt;"row"),1,0)</f>
        <v/>
      </c>
      <c r="FB254">
        <f>IF($EZ254=1,IFERROR(IF(ISNUMBER(INDEX(PASTE_ALL,INDEX($DF$5:$DF$1003,$EX254),$B$37)),INDEX(PASTE_ALL,INDEX($DF$5:$DF$1003,$EX254),$B$37),INDEX($DH$5:$DH$1003,$EX254)),INDEX($DH$5:$DH$1003,$EX254)),"")</f>
        <v/>
      </c>
      <c r="FC254">
        <f>IF($EY254="row",INDEX($ER$5:$ER$1003,$EX254),"")</f>
        <v/>
      </c>
      <c r="FD254">
        <f>IF($EY254="row",INDEX($DN$5:$DN$1003,$EX254),"")</f>
        <v/>
      </c>
      <c r="FE254">
        <f>IF($EY254="row",INDEX($DO$5:$DO$1003,$EX254),"")</f>
        <v/>
      </c>
      <c r="FF254">
        <f>IF($EY254="row",INDEX($DP$5:$DP$1003,$EX254),"")</f>
        <v/>
      </c>
      <c r="FG254">
        <f>IF($EY254="row",INDEX($DQ$5:$DQ$1003,$EX254),"")</f>
        <v/>
      </c>
      <c r="FH254">
        <f>IF($EY254="row",INDEX($DR$5:$DR$1003,$EX254),"")</f>
        <v/>
      </c>
      <c r="FI254">
        <f>IF($EY254="row",INDEX($DS$5:$DS$1003,$EX254),"")</f>
        <v/>
      </c>
      <c r="FJ254">
        <f>IF($EY254="row",INDEX($DT$5:$DT$1003,$EX254),"")</f>
        <v/>
      </c>
      <c r="FK254">
        <f>IF($EY254="row",INDEX($DU$5:$DU$1003,$EX254),"")</f>
        <v/>
      </c>
      <c r="FL254">
        <f>IF($EY254="row",INDEX($DV$5:$DV$1003,$EX254),"")</f>
        <v/>
      </c>
      <c r="FM254">
        <f>IF($EY254="row",INDEX($DW$5:$DW$1003,$EX254),"")</f>
        <v/>
      </c>
      <c r="FN254">
        <f>IF($EY254="row",INDEX($DY$5:$DY$1003,$EX254),"")</f>
        <v/>
      </c>
      <c r="FO254">
        <f>IF($EY254="row",INDEX($EA$5:$EA$1003,$EX254),"")</f>
        <v/>
      </c>
      <c r="FP254">
        <f>IF($EY254="row",INDEX($EC$5:$EC$1003,$EX254),"")</f>
        <v/>
      </c>
      <c r="FQ254">
        <f>IF($EY254="row",INDEX($ET$5:$ET$1003,$EX254),"")</f>
        <v/>
      </c>
      <c r="FR254">
        <f>IF($EY254="row",INDEX($EU$5:$EU$1003,$EX254),"")</f>
        <v/>
      </c>
      <c r="FS254">
        <f>IF(AND($EY254="row",$EY253="row"),IF(OR(INDEX($DT$5:$DT$1003,$EX253)="",INDEX($DT$5:$DT$1003,$EX254)=""),"",IF(NOT(EXACT(INDEX($DT$5:$DT$1003,$EX253),INDEX($DT$5:$DT$1003,$EX254))),"S4",IF(NOT(EXACT(INDEX($DS$5:$DS$1003,$EX253),INDEX($DS$5:$DS$1003,$EX254))),"S3",IF(NOT(EXACT(INDEX($DR$5:$DR$1003,$EX253),INDEX($DR$5:$DR$1003,$EX254))),"S1 Count Change","S1")))),"")</f>
        <v/>
      </c>
      <c r="FT254">
        <f>IF($EY254="row",INDEX($ES$5:$ES$1003,$EX254),"")</f>
        <v/>
      </c>
      <c r="FU254">
        <f>IF($EY254="row",INDEX($EO$5:$EO$1003,$EX254),0)</f>
        <v/>
      </c>
      <c r="FV254">
        <f>IF($FS254="S1 Count Change",1,0)</f>
        <v/>
      </c>
    </row>
    <row r="255">
      <c r="DA255" t="n">
        <v>251</v>
      </c>
      <c r="DB255">
        <f>IF($B$37=0,"",IFERROR(TRIM(SUBSTITUTE(SUBSTITUTE(SUBSTITUTE(SUBSTITUTE(INDEX(PASTE_ALL,251,$B$37)," "," "),CHAR(9)," "),CHAR(10)," "),CHAR(13)," ")),""))</f>
        <v/>
      </c>
      <c r="DC255">
        <f>IF(AND(251&gt;HEADER_ROW,UPPER(DB255)="LEGEND"),1,0)</f>
        <v/>
      </c>
      <c r="DE255" t="n">
        <v>251</v>
      </c>
      <c r="DF255">
        <f>HEADER_ROW+$DE255</f>
        <v/>
      </c>
      <c r="DG255">
        <f>IF(AND($DF255&lt;=1000,$DF255&lt;$B$8),1,0)</f>
        <v/>
      </c>
      <c r="DH255">
        <f>IF($DG255=1,IFERROR(INDEX($DB$5:$DB$1004,$DF255),""),"")</f>
        <v/>
      </c>
      <c r="DI255">
        <f>IF(AND($DG255=1,$DH255&lt;&gt;""),IFERROR(SUBSTITUTE(SUBSTITUTE(TRIM(SUBSTITUTE(SUBSTITUTE(SUBSTITUTE(SUBSTITUTE(IFERROR(INDEX(PASTE_ALL,$DF255,1)&amp;"","")&amp;"␟"&amp;IFERROR(INDEX(PASTE_ALL,$DF255,2)&amp;"","")&amp;"␟"&amp;IFERROR(INDEX(PASTE_ALL,$DF255,3)&amp;"","")&amp;"␟"&amp;IFERROR(INDEX(PASTE_ALL,$DF255,4)&amp;"","")&amp;"␟"&amp;IFERROR(INDEX(PASTE_ALL,$DF255,5)&amp;"","")&amp;"␟"&amp;IFERROR(INDEX(PASTE_ALL,$DF255,6)&amp;"","")&amp;"␟"&amp;IFERROR(INDEX(PASTE_ALL,$DF255,7)&amp;"","")&amp;"␟"&amp;IFERROR(INDEX(PASTE_ALL,$DF255,8)&amp;"","")&amp;"␟"&amp;IFERROR(INDEX(PASTE_ALL,$DF255,9)&amp;"","")&amp;"␟"&amp;IFERROR(INDEX(PASTE_ALL,$DF255,10)&amp;"","")&amp;"␟"&amp;IFERROR(INDEX(PASTE_ALL,$DF255,11)&amp;"","")&amp;"␟"&amp;IFERROR(INDEX(PASTE_ALL,$DF255,12)&amp;"","")&amp;"␟"&amp;IFERROR(INDEX(PASTE_ALL,$DF255,13)&amp;"","")&amp;"␟"&amp;IFERROR(INDEX(PASTE_ALL,$DF255,14)&amp;"","")&amp;"␟"&amp;IFERROR(INDEX(PASTE_ALL,$DF255,15)&amp;"","")&amp;"␟"&amp;IFERROR(INDEX(PASTE_ALL,$DF255,16)&amp;"","")&amp;"␟"&amp;IFERROR(INDEX(PASTE_ALL,$DF255,17)&amp;"","")&amp;"␟"&amp;IFERROR(INDEX(PASTE_ALL,$DF255,18)&amp;"","")&amp;"␟"&amp;IFERROR(INDEX(PASTE_ALL,$DF255,19)&amp;"","")&amp;"␟"&amp;IFERROR(INDEX(PASTE_ALL,$DF255,20)&amp;"","")&amp;"␟"&amp;IFERROR(INDEX(PASTE_ALL,$DF255,21)&amp;"","")&amp;"␟"&amp;IFERROR(INDEX(PASTE_ALL,$DF255,22)&amp;"","")&amp;"␟"&amp;IFERROR(INDEX(PASTE_ALL,$DF255,23)&amp;"","")&amp;"␟"&amp;IFERROR(INDEX(PASTE_ALL,$DF255,24)&amp;"","")&amp;"␟"&amp;IFERROR(INDEX(PASTE_ALL,$DF255,25)&amp;"","")&amp;"␟"&amp;IFERROR(INDEX(PASTE_ALL,$DF255,26)&amp;"","")&amp;"␟"&amp;IFERROR(INDEX(PASTE_ALL,$DF255,27)&amp;"","")&amp;"␟"&amp;IFERROR(INDEX(PASTE_ALL,$DF255,28)&amp;"","")&amp;"␟"&amp;IFERROR(INDEX(PASTE_ALL,$DF255,29)&amp;"","")&amp;"␟"&amp;IFERROR(INDEX(PASTE_ALL,$DF255,30)&amp;"","")&amp;"␟"&amp;IFERROR(INDEX(PASTE_ALL,$DF255,31)&amp;"","")&amp;"␟"&amp;IFERROR(INDEX(PASTE_ALL,$DF255,32)&amp;"","")&amp;"␟"&amp;IFERROR(INDEX(PASTE_ALL,$DF255,33)&amp;"","")&amp;"␟"&amp;IFERROR(INDEX(PASTE_ALL,$DF255,34)&amp;"","")&amp;"␟"&amp;IFERROR(INDEX(PASTE_ALL,$DF255,35)&amp;"","")&amp;"␟"&amp;IFERROR(INDEX(PASTE_ALL,$DF255,36)&amp;"","")&amp;"␟"&amp;IFERROR(INDEX(PASTE_ALL,$DF255,37)&amp;"","")&amp;"␟"&amp;IFERROR(INDEX(PASTE_ALL,$DF255,38)&amp;"","")&amp;"␟"&amp;IFERROR(INDEX(PASTE_ALL,$DF255,39)&amp;"","")&amp;"␟"&amp;IFERROR(INDEX(PASTE_ALL,$DF255,40)&amp;"","")&amp;"␟"&amp;IFERROR(INDEX(PASTE_ALL,$DF255,41)&amp;"","")&amp;"␟"&amp;IFERROR(INDEX(PASTE_ALL,$DF255,42)&amp;"","")&amp;"␟"&amp;IFERROR(INDEX(PASTE_ALL,$DF255,43)&amp;"","")&amp;"␟"&amp;IFERROR(INDEX(PASTE_ALL,$DF255,44)&amp;"","")&amp;"␟"&amp;IFERROR(INDEX(PASTE_ALL,$DF255,45)&amp;"","")&amp;"␟"&amp;IFERROR(INDEX(PASTE_ALL,$DF255,46)&amp;"","")&amp;"␟"&amp;IFERROR(INDEX(PASTE_ALL,$DF255,47)&amp;"","")&amp;"␟"&amp;IFERROR(INDEX(PASTE_ALL,$DF255,48)&amp;"","")&amp;"␟"&amp;IFERROR(INDEX(PASTE_ALL,$DF255,49)&amp;"","")&amp;"␟"&amp;IFERROR(INDEX(PASTE_ALL,$DF255,50)&amp;"","")&amp;"␟"&amp;IFERROR(INDEX(PASTE_ALL,$DF255,51)&amp;"","")&amp;"␟"&amp;IFERROR(INDEX(PASTE_ALL,$DF255,52)&amp;"","")&amp;"␟"&amp;IFERROR(INDEX(PASTE_ALL,$DF255,53)&amp;"","")&amp;"␟"&amp;IFERROR(INDEX(PASTE_ALL,$DF255,54)&amp;"","")&amp;"␟"&amp;IFERROR(INDEX(PASTE_ALL,$DF255,55)&amp;"","")&amp;"␟"&amp;IFERROR(INDEX(PASTE_ALL,$DF255,56)&amp;"","")&amp;"␟"&amp;IFERROR(INDEX(PASTE_ALL,$DF255,57)&amp;"","")&amp;"␟"&amp;IFERROR(INDEX(PASTE_ALL,$DF255,58)&amp;"","")&amp;"␟"&amp;IFERROR(INDEX(PASTE_ALL,$DF255,59)&amp;"","")&amp;"␟"&amp;IFERROR(INDEX(PASTE_ALL,$DF255,60)&amp;"","")," "," "),CHAR(9)," "),CHAR(10)," "),CHAR(13)," "))," ␟","␟"),"␟ ","␟"),"#"&amp;$DE255),"")</f>
        <v/>
      </c>
      <c r="DJ255">
        <f>IF($DI255="",0,IF(SUMPRODUCT(--EXACT($DI$4:DI254,$DI255))&gt;0,1,0))</f>
        <v/>
      </c>
      <c r="DK255">
        <f>IF(AND($DI255&lt;&gt;"",$DJ255=0),1,0)</f>
        <v/>
      </c>
      <c r="DL255">
        <f>DL254+$DK255</f>
        <v/>
      </c>
      <c r="DM255">
        <f>IF(AND($DK255=1,$DL255&lt;=600),1,0)</f>
        <v/>
      </c>
      <c r="DN255">
        <f>IF($DM255=0,"",IF($L$6=0,"",IFERROR(IF(ISNUMBER(INDEX(PASTE_ALL,$DF255,$L$6)),INDEX(PASTE_ALL,$DF255,$L$6),TRIM(SUBSTITUTE(SUBSTITUTE(SUBSTITUTE(SUBSTITUTE(INDEX(PASTE_ALL,$DF255,$L$6)," "," "),CHAR(9)," "),CHAR(10)," "),CHAR(13)," "))),"")))</f>
        <v/>
      </c>
      <c r="DO255">
        <f>IF($DM255=0,"",IF($L$7=0,"",IFERROR(IF(ISNUMBER(INDEX(PASTE_ALL,$DF255,$L$7)),INDEX(PASTE_ALL,$DF255,$L$7),TRIM(SUBSTITUTE(SUBSTITUTE(SUBSTITUTE(SUBSTITUTE(INDEX(PASTE_ALL,$DF255,$L$7)," "," "),CHAR(9)," "),CHAR(10)," "),CHAR(13)," "))),"")))</f>
        <v/>
      </c>
      <c r="DP255">
        <f>IF($DM255=0,"",IF($L$8=0,"",IFERROR(IF(ISNUMBER(INDEX(PASTE_ALL,$DF255,$L$8)),INDEX(PASTE_ALL,$DF255,$L$8),TRIM(SUBSTITUTE(SUBSTITUTE(SUBSTITUTE(SUBSTITUTE(INDEX(PASTE_ALL,$DF255,$L$8)," "," "),CHAR(9)," "),CHAR(10)," "),CHAR(13)," "))),"")))</f>
        <v/>
      </c>
      <c r="DQ255">
        <f>IF($DM255=0,"",IF($L$9=0,"",IFERROR(IF(ISNUMBER(INDEX(PASTE_ALL,$DF255,$L$9)),INDEX(PASTE_ALL,$DF255,$L$9),TRIM(SUBSTITUTE(SUBSTITUTE(SUBSTITUTE(SUBSTITUTE(INDEX(PASTE_ALL,$DF255,$L$9)," "," "),CHAR(9)," "),CHAR(10)," "),CHAR(13)," "))),"")))</f>
        <v/>
      </c>
      <c r="DR255">
        <f>IF($DM255=0,"",IF($L$10=0,"",IFERROR(IF(ISNUMBER(INDEX(PASTE_ALL,$DF255,$L$10)),INDEX(PASTE_ALL,$DF255,$L$10),TRIM(SUBSTITUTE(SUBSTITUTE(SUBSTITUTE(SUBSTITUTE(INDEX(PASTE_ALL,$DF255,$L$10)," "," "),CHAR(9)," "),CHAR(10)," "),CHAR(13)," "))),"")))</f>
        <v/>
      </c>
      <c r="DS255">
        <f>IF($DM255=0,"",IF($L$11=0,"",IFERROR(IF(ISNUMBER(INDEX(PASTE_ALL,$DF255,$L$11)),INDEX(PASTE_ALL,$DF255,$L$11),TRIM(SUBSTITUTE(SUBSTITUTE(SUBSTITUTE(SUBSTITUTE(INDEX(PASTE_ALL,$DF255,$L$11)," "," "),CHAR(9)," "),CHAR(10)," "),CHAR(13)," "))),"")))</f>
        <v/>
      </c>
      <c r="DT255">
        <f>IF($DM255=0,"",IF($L$12=0,"",IFERROR(IF(ISNUMBER(INDEX(PASTE_ALL,$DF255,$L$12)),INDEX(PASTE_ALL,$DF255,$L$12),TRIM(SUBSTITUTE(SUBSTITUTE(SUBSTITUTE(SUBSTITUTE(INDEX(PASTE_ALL,$DF255,$L$12)," "," "),CHAR(9)," "),CHAR(10)," "),CHAR(13)," "))),"")))</f>
        <v/>
      </c>
      <c r="DU255">
        <f>IF($DM255=0,"",IF($L$13=0,"",IFERROR(IF(ISNUMBER(INDEX(PASTE_ALL,$DF255,$L$13)),INDEX(PASTE_ALL,$DF255,$L$13),TRIM(SUBSTITUTE(SUBSTITUTE(SUBSTITUTE(SUBSTITUTE(INDEX(PASTE_ALL,$DF255,$L$13)," "," "),CHAR(9)," "),CHAR(10)," "),CHAR(13)," "))),"")))</f>
        <v/>
      </c>
      <c r="DV255">
        <f>IF($DM255=0,"",IF($L$14=0,"",IFERROR(IF(ISNUMBER(INDEX(PASTE_ALL,$DF255,$L$14)),INDEX(PASTE_ALL,$DF255,$L$14),TRIM(SUBSTITUTE(SUBSTITUTE(SUBSTITUTE(SUBSTITUTE(INDEX(PASTE_ALL,$DF255,$L$14)," "," "),CHAR(9)," "),CHAR(10)," "),CHAR(13)," "))),"")))</f>
        <v/>
      </c>
      <c r="DW255">
        <f>IF($DM255=0,"",IF($L$15=0,"",IFERROR(IF(ISNUMBER(INDEX(PASTE_ALL,$DF255,$L$15)),INDEX(PASTE_ALL,$DF255,$L$15),IF(SUMPRODUCT(--ISNUMBER(FIND({"A","B","C","D","E","F","G","H","I","J","K","L","M","N","O","P","Q","R","S","T","U","V","W","X","Y","Z","0","1","2","3","4","5","6","7","8","9"},UPPER(TRIM(SUBSTITUTE(SUBSTITUTE(SUBSTITUTE(SUBSTITUTE(INDEX(PASTE_ALL,$DF255,$L$15)," "," "),CHAR(9)," "),CHAR(10)," "),CHAR(13)," "))))))&gt;0,TRIM(SUBSTITUTE(SUBSTITUTE(SUBSTITUTE(SUBSTITUTE(INDEX(PASTE_ALL,$DF255,$L$15)," "," "),CHAR(9)," "),CHAR(10)," "),CHAR(13)," ")),"")),"")))</f>
        <v/>
      </c>
      <c r="DX255">
        <f>IF($DM255=0,"",IF($L$16=0,"",IFERROR(IF(ISNUMBER(INDEX(PASTE_ALL,$DF255,$L$16)),INDEX(PASTE_ALL,$DF255,$L$16),SUBSTITUTE(SUBSTITUTE(TRIM(SUBSTITUTE(SUBSTITUTE(SUBSTITUTE(SUBSTITUTE(INDEX(PASTE_ALL,$DF255,$L$16)," "," "),CHAR(9)," "),CHAR(10)," "),CHAR(13)," ")),",",""),"%","")),"")))</f>
        <v/>
      </c>
      <c r="DY255">
        <f>IF($DM255=0,"",IFERROR(IF(ISNUMBER($DX255),$DX255,IF($DX255="","",IF(TRIM($DX255)="",0,IF(AND(AND(SUBSTITUTE(SUBSTITUTE(SUBSTITUTE(SUBSTITUTE(SUBSTITUTE(SUBSTITUTE(SUBSTITUTE(SUBSTITUTE(SUBSTITUTE(SUBSTITUTE(SUBSTITUTE(SUBSTITUTE(SUBSTITUTE(SUBSTITUTE(UPPER(TRIM($DX255)),"0",""),"1",""),"2",""),"3",""),"4",""),"5",""),"6",""),"7",""),"8",""),"9",""),".",""),"+",""),"-",""),"E","")="",LEN(SUBSTITUTE(SUBSTITUTE(MID(UPPER(TRIM($DX255)),1+OR(LEFT(UPPER(TRIM($DX255)),1)="+",LEFT(UPPER(TRIM($DX255)),1)="-"),999),"E+","E"),"E-","E"))=LEN(SUBSTITUTE(SUBSTITUTE(SUBSTITUTE(SUBSTITUTE(MID(UPPER(TRIM($DX255)),1+OR(LEFT(UPPER(TRIM($DX255)),1)="+",LEFT(UPPER(TRIM($DX255)),1)="-"),999),"E+","E"),"E-","E"),"+",""),"-","")),LEN(UPPER(TRIM($DX255)))-LEN(SUBSTITUTE(UPPER(TRIM($DX255)),"E",""))&lt;2,LEN(UPPER(TRIM($DX255)))-LEN(SUBSTITUTE(UPPER(TRIM($DX255)),".",""))&lt;2,IFERROR(FIND(".",UPPER(TRIM($DX255))),0)&lt;IFERROR(FIND("E",UPPER(TRIM($DX255))),999)),ISNUMBER(VALUE(TRIM($DX255)))),VALUE(TRIM($DX255)),"")))),""))</f>
        <v/>
      </c>
      <c r="DZ255">
        <f>IF($DM255=0,"",IF($L$17=0,"",IFERROR(IF(ISNUMBER(INDEX(PASTE_ALL,$DF255,$L$17)),INDEX(PASTE_ALL,$DF255,$L$17),SUBSTITUTE(SUBSTITUTE(TRIM(SUBSTITUTE(SUBSTITUTE(SUBSTITUTE(SUBSTITUTE(INDEX(PASTE_ALL,$DF255,$L$17)," "," "),CHAR(9)," "),CHAR(10)," "),CHAR(13)," ")),",",""),"%","")),"")))</f>
        <v/>
      </c>
      <c r="EA255">
        <f>IF($DM255=0,"",IFERROR(IF(ISNUMBER($DZ255),$DZ255,IF($DZ255="","",IF(TRIM($DZ255)="",0,IF(AND(AND(SUBSTITUTE(SUBSTITUTE(SUBSTITUTE(SUBSTITUTE(SUBSTITUTE(SUBSTITUTE(SUBSTITUTE(SUBSTITUTE(SUBSTITUTE(SUBSTITUTE(SUBSTITUTE(SUBSTITUTE(SUBSTITUTE(SUBSTITUTE(UPPER(TRIM($DZ255)),"0",""),"1",""),"2",""),"3",""),"4",""),"5",""),"6",""),"7",""),"8",""),"9",""),".",""),"+",""),"-",""),"E","")="",LEN(SUBSTITUTE(SUBSTITUTE(MID(UPPER(TRIM($DZ255)),1+OR(LEFT(UPPER(TRIM($DZ255)),1)="+",LEFT(UPPER(TRIM($DZ255)),1)="-"),999),"E+","E"),"E-","E"))=LEN(SUBSTITUTE(SUBSTITUTE(SUBSTITUTE(SUBSTITUTE(MID(UPPER(TRIM($DZ255)),1+OR(LEFT(UPPER(TRIM($DZ255)),1)="+",LEFT(UPPER(TRIM($DZ255)),1)="-"),999),"E+","E"),"E-","E"),"+",""),"-","")),LEN(UPPER(TRIM($DZ255)))-LEN(SUBSTITUTE(UPPER(TRIM($DZ255)),"E",""))&lt;2,LEN(UPPER(TRIM($DZ255)))-LEN(SUBSTITUTE(UPPER(TRIM($DZ255)),".",""))&lt;2,IFERROR(FIND(".",UPPER(TRIM($DZ255))),0)&lt;IFERROR(FIND("E",UPPER(TRIM($DZ255))),999)),ISNUMBER(VALUE(TRIM($DZ255)))),VALUE(TRIM($DZ255)),"")))),""))</f>
        <v/>
      </c>
      <c r="EB255">
        <f>IF($DM255=0,"",IF($L$18=0,"",IFERROR(IF(UPPER(TRIM(SUBSTITUTE(SUBSTITUTE(SUBSTITUTE(SUBSTITUTE(INDEX(PASTE_ALL,$DF255,$L$18)," "," "),CHAR(9)," "),CHAR(10)," "),CHAR(13)," ")))="READY","Ready",IF(UPPER(TRIM(SUBSTITUTE(SUBSTITUTE(SUBSTITUTE(SUBSTITUTE(INDEX(PASTE_ALL,$DF255,$L$18)," "," "),CHAR(9)," "),CHAR(10)," "),CHAR(13)," ")))="PM","PM",IF(OR(UPPER(TRIM(SUBSTITUTE(SUBSTITUTE(SUBSTITUTE(SUBSTITUTE(INDEX(PASTE_ALL,$DF255,$L$18)," "," "),CHAR(9)," "),CHAR(10)," "),CHAR(13)," ")))="OT",UPPER(TRIM(SUBSTITUTE(SUBSTITUTE(SUBSTITUTE(SUBSTITUTE(INDEX(PASTE_ALL,$DF255,$L$18)," "," "),CHAR(9)," "),CHAR(10)," "),CHAR(13)," ")))="OVERTIME",UPPER(TRIM(SUBSTITUTE(SUBSTITUTE(SUBSTITUTE(SUBSTITUTE(INDEX(PASTE_ALL,$DF255,$L$18)," "," "),CHAR(9)," "),CHAR(10)," "),CHAR(13)," ")))="TRIAL"),"OT",TRIM(SUBSTITUTE(SUBSTITUTE(SUBSTITUTE(SUBSTITUTE(INDEX(PASTE_ALL,$DF255,$L$18)," "," "),CHAR(9)," "),CHAR(10)," "),CHAR(13)," "))))),"")))</f>
        <v/>
      </c>
      <c r="EC255">
        <f>IF($DM255=0,"",IF($L$19=0,"",IFERROR(IF(ISNUMBER(INDEX(PASTE_ALL,$DF255,$L$19)),INDEX(PASTE_ALL,$DF255,$L$19),TRIM(SUBSTITUTE(SUBSTITUTE(SUBSTITUTE(SUBSTITUTE(INDEX(PASTE_ALL,$DF255,$L$19)," "," "),CHAR(9)," "),CHAR(10)," "),CHAR(13)," "))),"")))</f>
        <v/>
      </c>
      <c r="ED255">
        <f>IF($DM255=0,"",MATCH(1,INDEX(EXACT($DH$5:DH255,$DH255)*$DM$5:DM255,0),0))</f>
        <v/>
      </c>
      <c r="EE255">
        <f>IF($DM255=0,0,IF($ED255=$DE255,1,0))</f>
        <v/>
      </c>
      <c r="EF255">
        <f>EF254+$EE255</f>
        <v/>
      </c>
      <c r="EG255">
        <f>IF($DM255=0,"",INDEX($EF$5:$EF$1003,$ED255))</f>
        <v/>
      </c>
      <c r="EH255">
        <f>IF($DM255=0,"",IF($DO255&lt;&gt;"","",IFERROR(LOOKUP(2,1/(($EG$4:EG254=$EG255)*($DO$4:DO254&lt;&gt;"")),$DO$4:DO254),"")))</f>
        <v/>
      </c>
      <c r="EI255">
        <f>IF($DM255=0,"",IF($DO255&lt;&gt;"",$DO255,$EH255))</f>
        <v/>
      </c>
      <c r="EJ255">
        <f>IF($DM255=0,"",IF($EI255="",0,IF(OR(ISNUMBER($EI255),AND(AND(SUBSTITUTE(SUBSTITUTE(SUBSTITUTE(SUBSTITUTE(SUBSTITUTE(SUBSTITUTE(SUBSTITUTE(SUBSTITUTE(SUBSTITUTE(SUBSTITUTE(SUBSTITUTE(SUBSTITUTE(SUBSTITUTE(SUBSTITUTE(UPPER($EI255),"0",""),"1",""),"2",""),"3",""),"4",""),"5",""),"6",""),"7",""),"8",""),"9",""),".",""),"+",""),"-",""),"E","")="",LEN(SUBSTITUTE(SUBSTITUTE(MID(UPPER($EI255),1+OR(LEFT(UPPER($EI255),1)="+",LEFT(UPPER($EI255),1)="-"),999),"E+","E"),"E-","E"))=LEN(SUBSTITUTE(SUBSTITUTE(SUBSTITUTE(SUBSTITUTE(MID(UPPER($EI255),1+OR(LEFT(UPPER($EI255),1)="+",LEFT(UPPER($EI255),1)="-"),999),"E+","E"),"E-","E"),"+",""),"-","")),LEN(UPPER($EI255))-LEN(SUBSTITUTE(UPPER($EI255),"E",""))&lt;2,LEN(UPPER($EI255))-LEN(SUBSTITUTE(UPPER($EI255),".",""))&lt;2,IFERROR(FIND(".",UPPER($EI255)),0)&lt;IFERROR(FIND("E",UPPER($EI255)),999)),ISNUMBER(VALUE($EI255)))),1,2)))</f>
        <v/>
      </c>
      <c r="EK255">
        <f>IF($DM255=0,"",IF($EJ255=1,IF(ISNUMBER($EI255),$EI255,VALUE($EI255)),IF($EJ255=2,$DE255,0)))</f>
        <v/>
      </c>
      <c r="EL255">
        <f>IF($DM255=0,"",COUNTIF($EG$5:$EG$1003,"&lt;"&amp;$EG255)+SUMPRODUCT(($EG$5:$EG$1003=$EG255)*(($EJ$5:$EJ$1003&lt;$EJ255)+($EJ$5:$EJ$1003=$EJ255)*(($EK$5:$EK$1003&lt;$EK255)+($EK$5:$EK$1003=$EK255)*($DE$5:$DE$1003&lt;$DE255))))+1)</f>
        <v/>
      </c>
      <c r="EM255">
        <f>IF($DM255=0,"",$EL255+$EG255-1)</f>
        <v/>
      </c>
      <c r="EN255">
        <f>IF($DM255=0,0,IFERROR(MATCH(1,INDEX(--(TRIM(SUBSTITUTE(SUBSTITUTE(SUBSTITUTE(SUBSTITUTE(LINES_NAME&amp;""," "," "),CHAR(9)," "),CHAR(10)," "),CHAR(13)," "))=$DH255),0),0),0))</f>
        <v/>
      </c>
      <c r="EO255">
        <f>IF($EN255=0,0,IF(OR(UPPER(TRIM(INDEX(LINES_SCHEDULED,$EN255)&amp;""))="YES",UPPER(TRIM(INDEX(LINES_SCHEDULED,$EN255)&amp;""))="Y",UPPER(TRIM(INDEX(LINES_SCHEDULED,$EN255)&amp;""))="X"),1,0))</f>
        <v/>
      </c>
      <c r="EP255">
        <f>IF($DM255=0,"",IF(COUNTIFS($EG$5:$EG$1003,$EG255,$EB$5:$EB$1003,"Ready")&gt;0,"READY",IF(COUNTIFS($EG$5:$EG$1003,$EG255,$EB$5:$EB$1003,"PM")&gt;0,"PM",IF(COUNTIFS($EG$5:$EG$1003,$EG255,$EB$5:$EB$1003,"OT")&gt;0,"OT",""))))</f>
        <v/>
      </c>
      <c r="EQ255">
        <f>IF($EN255=0,"",UPPER(TRIM(INDEX(LINES_STATUS,$EN255)&amp;"")))</f>
        <v/>
      </c>
      <c r="ER255">
        <f>IF($DM255=0,"",IF(OR($EQ255="READY",$EQ255="PM",$EQ255="OT"),$EQ255,$EP255))</f>
        <v/>
      </c>
      <c r="ES255">
        <f>IF($DM255=0,"",IF(AND($DV255&lt;&gt;"",UPPER($DV255)&lt;&gt;"N"),"allergen",IF(ISNUMBER(SEARCH("oil",$DQ255)),"oil",IF(OR(EXACT($DS255,"A662"),EXACT($DS255,"A624")),"bulk",""))))</f>
        <v/>
      </c>
      <c r="ET255">
        <f>IF($DM255=0,"",IF(OR($EA255="",$EA255=0),"",$EA255/100))</f>
        <v/>
      </c>
      <c r="EU255">
        <f>IF(OR($ET255="",$DY255=""),"",INT($DY255*(1-$ET255)+0.5))</f>
        <v/>
      </c>
      <c r="EW255" t="n">
        <v>251</v>
      </c>
      <c r="EX255">
        <f>IFERROR(MATCH($EW255,$EM$5:$EM$1003,0),0)</f>
        <v/>
      </c>
      <c r="EY255">
        <f>IF($EW255&gt;$B$12,"",IF($EX255&gt;0,"row","spacer"))</f>
        <v/>
      </c>
      <c r="EZ255">
        <f>IF(AND($EY255="row",$EY254&lt;&gt;"row"),1,0)</f>
        <v/>
      </c>
      <c r="FA255">
        <f>IF(AND($EY255="row",$EY256&lt;&gt;"row"),1,0)</f>
        <v/>
      </c>
      <c r="FB255">
        <f>IF($EZ255=1,IFERROR(IF(ISNUMBER(INDEX(PASTE_ALL,INDEX($DF$5:$DF$1003,$EX255),$B$37)),INDEX(PASTE_ALL,INDEX($DF$5:$DF$1003,$EX255),$B$37),INDEX($DH$5:$DH$1003,$EX255)),INDEX($DH$5:$DH$1003,$EX255)),"")</f>
        <v/>
      </c>
      <c r="FC255">
        <f>IF($EY255="row",INDEX($ER$5:$ER$1003,$EX255),"")</f>
        <v/>
      </c>
      <c r="FD255">
        <f>IF($EY255="row",INDEX($DN$5:$DN$1003,$EX255),"")</f>
        <v/>
      </c>
      <c r="FE255">
        <f>IF($EY255="row",INDEX($DO$5:$DO$1003,$EX255),"")</f>
        <v/>
      </c>
      <c r="FF255">
        <f>IF($EY255="row",INDEX($DP$5:$DP$1003,$EX255),"")</f>
        <v/>
      </c>
      <c r="FG255">
        <f>IF($EY255="row",INDEX($DQ$5:$DQ$1003,$EX255),"")</f>
        <v/>
      </c>
      <c r="FH255">
        <f>IF($EY255="row",INDEX($DR$5:$DR$1003,$EX255),"")</f>
        <v/>
      </c>
      <c r="FI255">
        <f>IF($EY255="row",INDEX($DS$5:$DS$1003,$EX255),"")</f>
        <v/>
      </c>
      <c r="FJ255">
        <f>IF($EY255="row",INDEX($DT$5:$DT$1003,$EX255),"")</f>
        <v/>
      </c>
      <c r="FK255">
        <f>IF($EY255="row",INDEX($DU$5:$DU$1003,$EX255),"")</f>
        <v/>
      </c>
      <c r="FL255">
        <f>IF($EY255="row",INDEX($DV$5:$DV$1003,$EX255),"")</f>
        <v/>
      </c>
      <c r="FM255">
        <f>IF($EY255="row",INDEX($DW$5:$DW$1003,$EX255),"")</f>
        <v/>
      </c>
      <c r="FN255">
        <f>IF($EY255="row",INDEX($DY$5:$DY$1003,$EX255),"")</f>
        <v/>
      </c>
      <c r="FO255">
        <f>IF($EY255="row",INDEX($EA$5:$EA$1003,$EX255),"")</f>
        <v/>
      </c>
      <c r="FP255">
        <f>IF($EY255="row",INDEX($EC$5:$EC$1003,$EX255),"")</f>
        <v/>
      </c>
      <c r="FQ255">
        <f>IF($EY255="row",INDEX($ET$5:$ET$1003,$EX255),"")</f>
        <v/>
      </c>
      <c r="FR255">
        <f>IF($EY255="row",INDEX($EU$5:$EU$1003,$EX255),"")</f>
        <v/>
      </c>
      <c r="FS255">
        <f>IF(AND($EY255="row",$EY254="row"),IF(OR(INDEX($DT$5:$DT$1003,$EX254)="",INDEX($DT$5:$DT$1003,$EX255)=""),"",IF(NOT(EXACT(INDEX($DT$5:$DT$1003,$EX254),INDEX($DT$5:$DT$1003,$EX255))),"S4",IF(NOT(EXACT(INDEX($DS$5:$DS$1003,$EX254),INDEX($DS$5:$DS$1003,$EX255))),"S3",IF(NOT(EXACT(INDEX($DR$5:$DR$1003,$EX254),INDEX($DR$5:$DR$1003,$EX255))),"S1 Count Change","S1")))),"")</f>
        <v/>
      </c>
      <c r="FT255">
        <f>IF($EY255="row",INDEX($ES$5:$ES$1003,$EX255),"")</f>
        <v/>
      </c>
      <c r="FU255">
        <f>IF($EY255="row",INDEX($EO$5:$EO$1003,$EX255),0)</f>
        <v/>
      </c>
      <c r="FV255">
        <f>IF($FS255="S1 Count Change",1,0)</f>
        <v/>
      </c>
    </row>
    <row r="256">
      <c r="DA256" t="n">
        <v>252</v>
      </c>
      <c r="DB256">
        <f>IF($B$37=0,"",IFERROR(TRIM(SUBSTITUTE(SUBSTITUTE(SUBSTITUTE(SUBSTITUTE(INDEX(PASTE_ALL,252,$B$37)," "," "),CHAR(9)," "),CHAR(10)," "),CHAR(13)," ")),""))</f>
        <v/>
      </c>
      <c r="DC256">
        <f>IF(AND(252&gt;HEADER_ROW,UPPER(DB256)="LEGEND"),1,0)</f>
        <v/>
      </c>
      <c r="DE256" t="n">
        <v>252</v>
      </c>
      <c r="DF256">
        <f>HEADER_ROW+$DE256</f>
        <v/>
      </c>
      <c r="DG256">
        <f>IF(AND($DF256&lt;=1000,$DF256&lt;$B$8),1,0)</f>
        <v/>
      </c>
      <c r="DH256">
        <f>IF($DG256=1,IFERROR(INDEX($DB$5:$DB$1004,$DF256),""),"")</f>
        <v/>
      </c>
      <c r="DI256">
        <f>IF(AND($DG256=1,$DH256&lt;&gt;""),IFERROR(SUBSTITUTE(SUBSTITUTE(TRIM(SUBSTITUTE(SUBSTITUTE(SUBSTITUTE(SUBSTITUTE(IFERROR(INDEX(PASTE_ALL,$DF256,1)&amp;"","")&amp;"␟"&amp;IFERROR(INDEX(PASTE_ALL,$DF256,2)&amp;"","")&amp;"␟"&amp;IFERROR(INDEX(PASTE_ALL,$DF256,3)&amp;"","")&amp;"␟"&amp;IFERROR(INDEX(PASTE_ALL,$DF256,4)&amp;"","")&amp;"␟"&amp;IFERROR(INDEX(PASTE_ALL,$DF256,5)&amp;"","")&amp;"␟"&amp;IFERROR(INDEX(PASTE_ALL,$DF256,6)&amp;"","")&amp;"␟"&amp;IFERROR(INDEX(PASTE_ALL,$DF256,7)&amp;"","")&amp;"␟"&amp;IFERROR(INDEX(PASTE_ALL,$DF256,8)&amp;"","")&amp;"␟"&amp;IFERROR(INDEX(PASTE_ALL,$DF256,9)&amp;"","")&amp;"␟"&amp;IFERROR(INDEX(PASTE_ALL,$DF256,10)&amp;"","")&amp;"␟"&amp;IFERROR(INDEX(PASTE_ALL,$DF256,11)&amp;"","")&amp;"␟"&amp;IFERROR(INDEX(PASTE_ALL,$DF256,12)&amp;"","")&amp;"␟"&amp;IFERROR(INDEX(PASTE_ALL,$DF256,13)&amp;"","")&amp;"␟"&amp;IFERROR(INDEX(PASTE_ALL,$DF256,14)&amp;"","")&amp;"␟"&amp;IFERROR(INDEX(PASTE_ALL,$DF256,15)&amp;"","")&amp;"␟"&amp;IFERROR(INDEX(PASTE_ALL,$DF256,16)&amp;"","")&amp;"␟"&amp;IFERROR(INDEX(PASTE_ALL,$DF256,17)&amp;"","")&amp;"␟"&amp;IFERROR(INDEX(PASTE_ALL,$DF256,18)&amp;"","")&amp;"␟"&amp;IFERROR(INDEX(PASTE_ALL,$DF256,19)&amp;"","")&amp;"␟"&amp;IFERROR(INDEX(PASTE_ALL,$DF256,20)&amp;"","")&amp;"␟"&amp;IFERROR(INDEX(PASTE_ALL,$DF256,21)&amp;"","")&amp;"␟"&amp;IFERROR(INDEX(PASTE_ALL,$DF256,22)&amp;"","")&amp;"␟"&amp;IFERROR(INDEX(PASTE_ALL,$DF256,23)&amp;"","")&amp;"␟"&amp;IFERROR(INDEX(PASTE_ALL,$DF256,24)&amp;"","")&amp;"␟"&amp;IFERROR(INDEX(PASTE_ALL,$DF256,25)&amp;"","")&amp;"␟"&amp;IFERROR(INDEX(PASTE_ALL,$DF256,26)&amp;"","")&amp;"␟"&amp;IFERROR(INDEX(PASTE_ALL,$DF256,27)&amp;"","")&amp;"␟"&amp;IFERROR(INDEX(PASTE_ALL,$DF256,28)&amp;"","")&amp;"␟"&amp;IFERROR(INDEX(PASTE_ALL,$DF256,29)&amp;"","")&amp;"␟"&amp;IFERROR(INDEX(PASTE_ALL,$DF256,30)&amp;"","")&amp;"␟"&amp;IFERROR(INDEX(PASTE_ALL,$DF256,31)&amp;"","")&amp;"␟"&amp;IFERROR(INDEX(PASTE_ALL,$DF256,32)&amp;"","")&amp;"␟"&amp;IFERROR(INDEX(PASTE_ALL,$DF256,33)&amp;"","")&amp;"␟"&amp;IFERROR(INDEX(PASTE_ALL,$DF256,34)&amp;"","")&amp;"␟"&amp;IFERROR(INDEX(PASTE_ALL,$DF256,35)&amp;"","")&amp;"␟"&amp;IFERROR(INDEX(PASTE_ALL,$DF256,36)&amp;"","")&amp;"␟"&amp;IFERROR(INDEX(PASTE_ALL,$DF256,37)&amp;"","")&amp;"␟"&amp;IFERROR(INDEX(PASTE_ALL,$DF256,38)&amp;"","")&amp;"␟"&amp;IFERROR(INDEX(PASTE_ALL,$DF256,39)&amp;"","")&amp;"␟"&amp;IFERROR(INDEX(PASTE_ALL,$DF256,40)&amp;"","")&amp;"␟"&amp;IFERROR(INDEX(PASTE_ALL,$DF256,41)&amp;"","")&amp;"␟"&amp;IFERROR(INDEX(PASTE_ALL,$DF256,42)&amp;"","")&amp;"␟"&amp;IFERROR(INDEX(PASTE_ALL,$DF256,43)&amp;"","")&amp;"␟"&amp;IFERROR(INDEX(PASTE_ALL,$DF256,44)&amp;"","")&amp;"␟"&amp;IFERROR(INDEX(PASTE_ALL,$DF256,45)&amp;"","")&amp;"␟"&amp;IFERROR(INDEX(PASTE_ALL,$DF256,46)&amp;"","")&amp;"␟"&amp;IFERROR(INDEX(PASTE_ALL,$DF256,47)&amp;"","")&amp;"␟"&amp;IFERROR(INDEX(PASTE_ALL,$DF256,48)&amp;"","")&amp;"␟"&amp;IFERROR(INDEX(PASTE_ALL,$DF256,49)&amp;"","")&amp;"␟"&amp;IFERROR(INDEX(PASTE_ALL,$DF256,50)&amp;"","")&amp;"␟"&amp;IFERROR(INDEX(PASTE_ALL,$DF256,51)&amp;"","")&amp;"␟"&amp;IFERROR(INDEX(PASTE_ALL,$DF256,52)&amp;"","")&amp;"␟"&amp;IFERROR(INDEX(PASTE_ALL,$DF256,53)&amp;"","")&amp;"␟"&amp;IFERROR(INDEX(PASTE_ALL,$DF256,54)&amp;"","")&amp;"␟"&amp;IFERROR(INDEX(PASTE_ALL,$DF256,55)&amp;"","")&amp;"␟"&amp;IFERROR(INDEX(PASTE_ALL,$DF256,56)&amp;"","")&amp;"␟"&amp;IFERROR(INDEX(PASTE_ALL,$DF256,57)&amp;"","")&amp;"␟"&amp;IFERROR(INDEX(PASTE_ALL,$DF256,58)&amp;"","")&amp;"␟"&amp;IFERROR(INDEX(PASTE_ALL,$DF256,59)&amp;"","")&amp;"␟"&amp;IFERROR(INDEX(PASTE_ALL,$DF256,60)&amp;"","")," "," "),CHAR(9)," "),CHAR(10)," "),CHAR(13)," "))," ␟","␟"),"␟ ","␟"),"#"&amp;$DE256),"")</f>
        <v/>
      </c>
      <c r="DJ256">
        <f>IF($DI256="",0,IF(SUMPRODUCT(--EXACT($DI$4:DI255,$DI256))&gt;0,1,0))</f>
        <v/>
      </c>
      <c r="DK256">
        <f>IF(AND($DI256&lt;&gt;"",$DJ256=0),1,0)</f>
        <v/>
      </c>
      <c r="DL256">
        <f>DL255+$DK256</f>
        <v/>
      </c>
      <c r="DM256">
        <f>IF(AND($DK256=1,$DL256&lt;=600),1,0)</f>
        <v/>
      </c>
      <c r="DN256">
        <f>IF($DM256=0,"",IF($L$6=0,"",IFERROR(IF(ISNUMBER(INDEX(PASTE_ALL,$DF256,$L$6)),INDEX(PASTE_ALL,$DF256,$L$6),TRIM(SUBSTITUTE(SUBSTITUTE(SUBSTITUTE(SUBSTITUTE(INDEX(PASTE_ALL,$DF256,$L$6)," "," "),CHAR(9)," "),CHAR(10)," "),CHAR(13)," "))),"")))</f>
        <v/>
      </c>
      <c r="DO256">
        <f>IF($DM256=0,"",IF($L$7=0,"",IFERROR(IF(ISNUMBER(INDEX(PASTE_ALL,$DF256,$L$7)),INDEX(PASTE_ALL,$DF256,$L$7),TRIM(SUBSTITUTE(SUBSTITUTE(SUBSTITUTE(SUBSTITUTE(INDEX(PASTE_ALL,$DF256,$L$7)," "," "),CHAR(9)," "),CHAR(10)," "),CHAR(13)," "))),"")))</f>
        <v/>
      </c>
      <c r="DP256">
        <f>IF($DM256=0,"",IF($L$8=0,"",IFERROR(IF(ISNUMBER(INDEX(PASTE_ALL,$DF256,$L$8)),INDEX(PASTE_ALL,$DF256,$L$8),TRIM(SUBSTITUTE(SUBSTITUTE(SUBSTITUTE(SUBSTITUTE(INDEX(PASTE_ALL,$DF256,$L$8)," "," "),CHAR(9)," "),CHAR(10)," "),CHAR(13)," "))),"")))</f>
        <v/>
      </c>
      <c r="DQ256">
        <f>IF($DM256=0,"",IF($L$9=0,"",IFERROR(IF(ISNUMBER(INDEX(PASTE_ALL,$DF256,$L$9)),INDEX(PASTE_ALL,$DF256,$L$9),TRIM(SUBSTITUTE(SUBSTITUTE(SUBSTITUTE(SUBSTITUTE(INDEX(PASTE_ALL,$DF256,$L$9)," "," "),CHAR(9)," "),CHAR(10)," "),CHAR(13)," "))),"")))</f>
        <v/>
      </c>
      <c r="DR256">
        <f>IF($DM256=0,"",IF($L$10=0,"",IFERROR(IF(ISNUMBER(INDEX(PASTE_ALL,$DF256,$L$10)),INDEX(PASTE_ALL,$DF256,$L$10),TRIM(SUBSTITUTE(SUBSTITUTE(SUBSTITUTE(SUBSTITUTE(INDEX(PASTE_ALL,$DF256,$L$10)," "," "),CHAR(9)," "),CHAR(10)," "),CHAR(13)," "))),"")))</f>
        <v/>
      </c>
      <c r="DS256">
        <f>IF($DM256=0,"",IF($L$11=0,"",IFERROR(IF(ISNUMBER(INDEX(PASTE_ALL,$DF256,$L$11)),INDEX(PASTE_ALL,$DF256,$L$11),TRIM(SUBSTITUTE(SUBSTITUTE(SUBSTITUTE(SUBSTITUTE(INDEX(PASTE_ALL,$DF256,$L$11)," "," "),CHAR(9)," "),CHAR(10)," "),CHAR(13)," "))),"")))</f>
        <v/>
      </c>
      <c r="DT256">
        <f>IF($DM256=0,"",IF($L$12=0,"",IFERROR(IF(ISNUMBER(INDEX(PASTE_ALL,$DF256,$L$12)),INDEX(PASTE_ALL,$DF256,$L$12),TRIM(SUBSTITUTE(SUBSTITUTE(SUBSTITUTE(SUBSTITUTE(INDEX(PASTE_ALL,$DF256,$L$12)," "," "),CHAR(9)," "),CHAR(10)," "),CHAR(13)," "))),"")))</f>
        <v/>
      </c>
      <c r="DU256">
        <f>IF($DM256=0,"",IF($L$13=0,"",IFERROR(IF(ISNUMBER(INDEX(PASTE_ALL,$DF256,$L$13)),INDEX(PASTE_ALL,$DF256,$L$13),TRIM(SUBSTITUTE(SUBSTITUTE(SUBSTITUTE(SUBSTITUTE(INDEX(PASTE_ALL,$DF256,$L$13)," "," "),CHAR(9)," "),CHAR(10)," "),CHAR(13)," "))),"")))</f>
        <v/>
      </c>
      <c r="DV256">
        <f>IF($DM256=0,"",IF($L$14=0,"",IFERROR(IF(ISNUMBER(INDEX(PASTE_ALL,$DF256,$L$14)),INDEX(PASTE_ALL,$DF256,$L$14),TRIM(SUBSTITUTE(SUBSTITUTE(SUBSTITUTE(SUBSTITUTE(INDEX(PASTE_ALL,$DF256,$L$14)," "," "),CHAR(9)," "),CHAR(10)," "),CHAR(13)," "))),"")))</f>
        <v/>
      </c>
      <c r="DW256">
        <f>IF($DM256=0,"",IF($L$15=0,"",IFERROR(IF(ISNUMBER(INDEX(PASTE_ALL,$DF256,$L$15)),INDEX(PASTE_ALL,$DF256,$L$15),IF(SUMPRODUCT(--ISNUMBER(FIND({"A","B","C","D","E","F","G","H","I","J","K","L","M","N","O","P","Q","R","S","T","U","V","W","X","Y","Z","0","1","2","3","4","5","6","7","8","9"},UPPER(TRIM(SUBSTITUTE(SUBSTITUTE(SUBSTITUTE(SUBSTITUTE(INDEX(PASTE_ALL,$DF256,$L$15)," "," "),CHAR(9)," "),CHAR(10)," "),CHAR(13)," "))))))&gt;0,TRIM(SUBSTITUTE(SUBSTITUTE(SUBSTITUTE(SUBSTITUTE(INDEX(PASTE_ALL,$DF256,$L$15)," "," "),CHAR(9)," "),CHAR(10)," "),CHAR(13)," ")),"")),"")))</f>
        <v/>
      </c>
      <c r="DX256">
        <f>IF($DM256=0,"",IF($L$16=0,"",IFERROR(IF(ISNUMBER(INDEX(PASTE_ALL,$DF256,$L$16)),INDEX(PASTE_ALL,$DF256,$L$16),SUBSTITUTE(SUBSTITUTE(TRIM(SUBSTITUTE(SUBSTITUTE(SUBSTITUTE(SUBSTITUTE(INDEX(PASTE_ALL,$DF256,$L$16)," "," "),CHAR(9)," "),CHAR(10)," "),CHAR(13)," ")),",",""),"%","")),"")))</f>
        <v/>
      </c>
      <c r="DY256">
        <f>IF($DM256=0,"",IFERROR(IF(ISNUMBER($DX256),$DX256,IF($DX256="","",IF(TRIM($DX256)="",0,IF(AND(AND(SUBSTITUTE(SUBSTITUTE(SUBSTITUTE(SUBSTITUTE(SUBSTITUTE(SUBSTITUTE(SUBSTITUTE(SUBSTITUTE(SUBSTITUTE(SUBSTITUTE(SUBSTITUTE(SUBSTITUTE(SUBSTITUTE(SUBSTITUTE(UPPER(TRIM($DX256)),"0",""),"1",""),"2",""),"3",""),"4",""),"5",""),"6",""),"7",""),"8",""),"9",""),".",""),"+",""),"-",""),"E","")="",LEN(SUBSTITUTE(SUBSTITUTE(MID(UPPER(TRIM($DX256)),1+OR(LEFT(UPPER(TRIM($DX256)),1)="+",LEFT(UPPER(TRIM($DX256)),1)="-"),999),"E+","E"),"E-","E"))=LEN(SUBSTITUTE(SUBSTITUTE(SUBSTITUTE(SUBSTITUTE(MID(UPPER(TRIM($DX256)),1+OR(LEFT(UPPER(TRIM($DX256)),1)="+",LEFT(UPPER(TRIM($DX256)),1)="-"),999),"E+","E"),"E-","E"),"+",""),"-","")),LEN(UPPER(TRIM($DX256)))-LEN(SUBSTITUTE(UPPER(TRIM($DX256)),"E",""))&lt;2,LEN(UPPER(TRIM($DX256)))-LEN(SUBSTITUTE(UPPER(TRIM($DX256)),".",""))&lt;2,IFERROR(FIND(".",UPPER(TRIM($DX256))),0)&lt;IFERROR(FIND("E",UPPER(TRIM($DX256))),999)),ISNUMBER(VALUE(TRIM($DX256)))),VALUE(TRIM($DX256)),"")))),""))</f>
        <v/>
      </c>
      <c r="DZ256">
        <f>IF($DM256=0,"",IF($L$17=0,"",IFERROR(IF(ISNUMBER(INDEX(PASTE_ALL,$DF256,$L$17)),INDEX(PASTE_ALL,$DF256,$L$17),SUBSTITUTE(SUBSTITUTE(TRIM(SUBSTITUTE(SUBSTITUTE(SUBSTITUTE(SUBSTITUTE(INDEX(PASTE_ALL,$DF256,$L$17)," "," "),CHAR(9)," "),CHAR(10)," "),CHAR(13)," ")),",",""),"%","")),"")))</f>
        <v/>
      </c>
      <c r="EA256">
        <f>IF($DM256=0,"",IFERROR(IF(ISNUMBER($DZ256),$DZ256,IF($DZ256="","",IF(TRIM($DZ256)="",0,IF(AND(AND(SUBSTITUTE(SUBSTITUTE(SUBSTITUTE(SUBSTITUTE(SUBSTITUTE(SUBSTITUTE(SUBSTITUTE(SUBSTITUTE(SUBSTITUTE(SUBSTITUTE(SUBSTITUTE(SUBSTITUTE(SUBSTITUTE(SUBSTITUTE(UPPER(TRIM($DZ256)),"0",""),"1",""),"2",""),"3",""),"4",""),"5",""),"6",""),"7",""),"8",""),"9",""),".",""),"+",""),"-",""),"E","")="",LEN(SUBSTITUTE(SUBSTITUTE(MID(UPPER(TRIM($DZ256)),1+OR(LEFT(UPPER(TRIM($DZ256)),1)="+",LEFT(UPPER(TRIM($DZ256)),1)="-"),999),"E+","E"),"E-","E"))=LEN(SUBSTITUTE(SUBSTITUTE(SUBSTITUTE(SUBSTITUTE(MID(UPPER(TRIM($DZ256)),1+OR(LEFT(UPPER(TRIM($DZ256)),1)="+",LEFT(UPPER(TRIM($DZ256)),1)="-"),999),"E+","E"),"E-","E"),"+",""),"-","")),LEN(UPPER(TRIM($DZ256)))-LEN(SUBSTITUTE(UPPER(TRIM($DZ256)),"E",""))&lt;2,LEN(UPPER(TRIM($DZ256)))-LEN(SUBSTITUTE(UPPER(TRIM($DZ256)),".",""))&lt;2,IFERROR(FIND(".",UPPER(TRIM($DZ256))),0)&lt;IFERROR(FIND("E",UPPER(TRIM($DZ256))),999)),ISNUMBER(VALUE(TRIM($DZ256)))),VALUE(TRIM($DZ256)),"")))),""))</f>
        <v/>
      </c>
      <c r="EB256">
        <f>IF($DM256=0,"",IF($L$18=0,"",IFERROR(IF(UPPER(TRIM(SUBSTITUTE(SUBSTITUTE(SUBSTITUTE(SUBSTITUTE(INDEX(PASTE_ALL,$DF256,$L$18)," "," "),CHAR(9)," "),CHAR(10)," "),CHAR(13)," ")))="READY","Ready",IF(UPPER(TRIM(SUBSTITUTE(SUBSTITUTE(SUBSTITUTE(SUBSTITUTE(INDEX(PASTE_ALL,$DF256,$L$18)," "," "),CHAR(9)," "),CHAR(10)," "),CHAR(13)," ")))="PM","PM",IF(OR(UPPER(TRIM(SUBSTITUTE(SUBSTITUTE(SUBSTITUTE(SUBSTITUTE(INDEX(PASTE_ALL,$DF256,$L$18)," "," "),CHAR(9)," "),CHAR(10)," "),CHAR(13)," ")))="OT",UPPER(TRIM(SUBSTITUTE(SUBSTITUTE(SUBSTITUTE(SUBSTITUTE(INDEX(PASTE_ALL,$DF256,$L$18)," "," "),CHAR(9)," "),CHAR(10)," "),CHAR(13)," ")))="OVERTIME",UPPER(TRIM(SUBSTITUTE(SUBSTITUTE(SUBSTITUTE(SUBSTITUTE(INDEX(PASTE_ALL,$DF256,$L$18)," "," "),CHAR(9)," "),CHAR(10)," "),CHAR(13)," ")))="TRIAL"),"OT",TRIM(SUBSTITUTE(SUBSTITUTE(SUBSTITUTE(SUBSTITUTE(INDEX(PASTE_ALL,$DF256,$L$18)," "," "),CHAR(9)," "),CHAR(10)," "),CHAR(13)," "))))),"")))</f>
        <v/>
      </c>
      <c r="EC256">
        <f>IF($DM256=0,"",IF($L$19=0,"",IFERROR(IF(ISNUMBER(INDEX(PASTE_ALL,$DF256,$L$19)),INDEX(PASTE_ALL,$DF256,$L$19),TRIM(SUBSTITUTE(SUBSTITUTE(SUBSTITUTE(SUBSTITUTE(INDEX(PASTE_ALL,$DF256,$L$19)," "," "),CHAR(9)," "),CHAR(10)," "),CHAR(13)," "))),"")))</f>
        <v/>
      </c>
      <c r="ED256">
        <f>IF($DM256=0,"",MATCH(1,INDEX(EXACT($DH$5:DH256,$DH256)*$DM$5:DM256,0),0))</f>
        <v/>
      </c>
      <c r="EE256">
        <f>IF($DM256=0,0,IF($ED256=$DE256,1,0))</f>
        <v/>
      </c>
      <c r="EF256">
        <f>EF255+$EE256</f>
        <v/>
      </c>
      <c r="EG256">
        <f>IF($DM256=0,"",INDEX($EF$5:$EF$1003,$ED256))</f>
        <v/>
      </c>
      <c r="EH256">
        <f>IF($DM256=0,"",IF($DO256&lt;&gt;"","",IFERROR(LOOKUP(2,1/(($EG$4:EG255=$EG256)*($DO$4:DO255&lt;&gt;"")),$DO$4:DO255),"")))</f>
        <v/>
      </c>
      <c r="EI256">
        <f>IF($DM256=0,"",IF($DO256&lt;&gt;"",$DO256,$EH256))</f>
        <v/>
      </c>
      <c r="EJ256">
        <f>IF($DM256=0,"",IF($EI256="",0,IF(OR(ISNUMBER($EI256),AND(AND(SUBSTITUTE(SUBSTITUTE(SUBSTITUTE(SUBSTITUTE(SUBSTITUTE(SUBSTITUTE(SUBSTITUTE(SUBSTITUTE(SUBSTITUTE(SUBSTITUTE(SUBSTITUTE(SUBSTITUTE(SUBSTITUTE(SUBSTITUTE(UPPER($EI256),"0",""),"1",""),"2",""),"3",""),"4",""),"5",""),"6",""),"7",""),"8",""),"9",""),".",""),"+",""),"-",""),"E","")="",LEN(SUBSTITUTE(SUBSTITUTE(MID(UPPER($EI256),1+OR(LEFT(UPPER($EI256),1)="+",LEFT(UPPER($EI256),1)="-"),999),"E+","E"),"E-","E"))=LEN(SUBSTITUTE(SUBSTITUTE(SUBSTITUTE(SUBSTITUTE(MID(UPPER($EI256),1+OR(LEFT(UPPER($EI256),1)="+",LEFT(UPPER($EI256),1)="-"),999),"E+","E"),"E-","E"),"+",""),"-","")),LEN(UPPER($EI256))-LEN(SUBSTITUTE(UPPER($EI256),"E",""))&lt;2,LEN(UPPER($EI256))-LEN(SUBSTITUTE(UPPER($EI256),".",""))&lt;2,IFERROR(FIND(".",UPPER($EI256)),0)&lt;IFERROR(FIND("E",UPPER($EI256)),999)),ISNUMBER(VALUE($EI256)))),1,2)))</f>
        <v/>
      </c>
      <c r="EK256">
        <f>IF($DM256=0,"",IF($EJ256=1,IF(ISNUMBER($EI256),$EI256,VALUE($EI256)),IF($EJ256=2,$DE256,0)))</f>
        <v/>
      </c>
      <c r="EL256">
        <f>IF($DM256=0,"",COUNTIF($EG$5:$EG$1003,"&lt;"&amp;$EG256)+SUMPRODUCT(($EG$5:$EG$1003=$EG256)*(($EJ$5:$EJ$1003&lt;$EJ256)+($EJ$5:$EJ$1003=$EJ256)*(($EK$5:$EK$1003&lt;$EK256)+($EK$5:$EK$1003=$EK256)*($DE$5:$DE$1003&lt;$DE256))))+1)</f>
        <v/>
      </c>
      <c r="EM256">
        <f>IF($DM256=0,"",$EL256+$EG256-1)</f>
        <v/>
      </c>
      <c r="EN256">
        <f>IF($DM256=0,0,IFERROR(MATCH(1,INDEX(--(TRIM(SUBSTITUTE(SUBSTITUTE(SUBSTITUTE(SUBSTITUTE(LINES_NAME&amp;""," "," "),CHAR(9)," "),CHAR(10)," "),CHAR(13)," "))=$DH256),0),0),0))</f>
        <v/>
      </c>
      <c r="EO256">
        <f>IF($EN256=0,0,IF(OR(UPPER(TRIM(INDEX(LINES_SCHEDULED,$EN256)&amp;""))="YES",UPPER(TRIM(INDEX(LINES_SCHEDULED,$EN256)&amp;""))="Y",UPPER(TRIM(INDEX(LINES_SCHEDULED,$EN256)&amp;""))="X"),1,0))</f>
        <v/>
      </c>
      <c r="EP256">
        <f>IF($DM256=0,"",IF(COUNTIFS($EG$5:$EG$1003,$EG256,$EB$5:$EB$1003,"Ready")&gt;0,"READY",IF(COUNTIFS($EG$5:$EG$1003,$EG256,$EB$5:$EB$1003,"PM")&gt;0,"PM",IF(COUNTIFS($EG$5:$EG$1003,$EG256,$EB$5:$EB$1003,"OT")&gt;0,"OT",""))))</f>
        <v/>
      </c>
      <c r="EQ256">
        <f>IF($EN256=0,"",UPPER(TRIM(INDEX(LINES_STATUS,$EN256)&amp;"")))</f>
        <v/>
      </c>
      <c r="ER256">
        <f>IF($DM256=0,"",IF(OR($EQ256="READY",$EQ256="PM",$EQ256="OT"),$EQ256,$EP256))</f>
        <v/>
      </c>
      <c r="ES256">
        <f>IF($DM256=0,"",IF(AND($DV256&lt;&gt;"",UPPER($DV256)&lt;&gt;"N"),"allergen",IF(ISNUMBER(SEARCH("oil",$DQ256)),"oil",IF(OR(EXACT($DS256,"A662"),EXACT($DS256,"A624")),"bulk",""))))</f>
        <v/>
      </c>
      <c r="ET256">
        <f>IF($DM256=0,"",IF(OR($EA256="",$EA256=0),"",$EA256/100))</f>
        <v/>
      </c>
      <c r="EU256">
        <f>IF(OR($ET256="",$DY256=""),"",INT($DY256*(1-$ET256)+0.5))</f>
        <v/>
      </c>
      <c r="EW256" t="n">
        <v>252</v>
      </c>
      <c r="EX256">
        <f>IFERROR(MATCH($EW256,$EM$5:$EM$1003,0),0)</f>
        <v/>
      </c>
      <c r="EY256">
        <f>IF($EW256&gt;$B$12,"",IF($EX256&gt;0,"row","spacer"))</f>
        <v/>
      </c>
      <c r="EZ256">
        <f>IF(AND($EY256="row",$EY255&lt;&gt;"row"),1,0)</f>
        <v/>
      </c>
      <c r="FA256">
        <f>IF(AND($EY256="row",$EY257&lt;&gt;"row"),1,0)</f>
        <v/>
      </c>
      <c r="FB256">
        <f>IF($EZ256=1,IFERROR(IF(ISNUMBER(INDEX(PASTE_ALL,INDEX($DF$5:$DF$1003,$EX256),$B$37)),INDEX(PASTE_ALL,INDEX($DF$5:$DF$1003,$EX256),$B$37),INDEX($DH$5:$DH$1003,$EX256)),INDEX($DH$5:$DH$1003,$EX256)),"")</f>
        <v/>
      </c>
      <c r="FC256">
        <f>IF($EY256="row",INDEX($ER$5:$ER$1003,$EX256),"")</f>
        <v/>
      </c>
      <c r="FD256">
        <f>IF($EY256="row",INDEX($DN$5:$DN$1003,$EX256),"")</f>
        <v/>
      </c>
      <c r="FE256">
        <f>IF($EY256="row",INDEX($DO$5:$DO$1003,$EX256),"")</f>
        <v/>
      </c>
      <c r="FF256">
        <f>IF($EY256="row",INDEX($DP$5:$DP$1003,$EX256),"")</f>
        <v/>
      </c>
      <c r="FG256">
        <f>IF($EY256="row",INDEX($DQ$5:$DQ$1003,$EX256),"")</f>
        <v/>
      </c>
      <c r="FH256">
        <f>IF($EY256="row",INDEX($DR$5:$DR$1003,$EX256),"")</f>
        <v/>
      </c>
      <c r="FI256">
        <f>IF($EY256="row",INDEX($DS$5:$DS$1003,$EX256),"")</f>
        <v/>
      </c>
      <c r="FJ256">
        <f>IF($EY256="row",INDEX($DT$5:$DT$1003,$EX256),"")</f>
        <v/>
      </c>
      <c r="FK256">
        <f>IF($EY256="row",INDEX($DU$5:$DU$1003,$EX256),"")</f>
        <v/>
      </c>
      <c r="FL256">
        <f>IF($EY256="row",INDEX($DV$5:$DV$1003,$EX256),"")</f>
        <v/>
      </c>
      <c r="FM256">
        <f>IF($EY256="row",INDEX($DW$5:$DW$1003,$EX256),"")</f>
        <v/>
      </c>
      <c r="FN256">
        <f>IF($EY256="row",INDEX($DY$5:$DY$1003,$EX256),"")</f>
        <v/>
      </c>
      <c r="FO256">
        <f>IF($EY256="row",INDEX($EA$5:$EA$1003,$EX256),"")</f>
        <v/>
      </c>
      <c r="FP256">
        <f>IF($EY256="row",INDEX($EC$5:$EC$1003,$EX256),"")</f>
        <v/>
      </c>
      <c r="FQ256">
        <f>IF($EY256="row",INDEX($ET$5:$ET$1003,$EX256),"")</f>
        <v/>
      </c>
      <c r="FR256">
        <f>IF($EY256="row",INDEX($EU$5:$EU$1003,$EX256),"")</f>
        <v/>
      </c>
      <c r="FS256">
        <f>IF(AND($EY256="row",$EY255="row"),IF(OR(INDEX($DT$5:$DT$1003,$EX255)="",INDEX($DT$5:$DT$1003,$EX256)=""),"",IF(NOT(EXACT(INDEX($DT$5:$DT$1003,$EX255),INDEX($DT$5:$DT$1003,$EX256))),"S4",IF(NOT(EXACT(INDEX($DS$5:$DS$1003,$EX255),INDEX($DS$5:$DS$1003,$EX256))),"S3",IF(NOT(EXACT(INDEX($DR$5:$DR$1003,$EX255),INDEX($DR$5:$DR$1003,$EX256))),"S1 Count Change","S1")))),"")</f>
        <v/>
      </c>
      <c r="FT256">
        <f>IF($EY256="row",INDEX($ES$5:$ES$1003,$EX256),"")</f>
        <v/>
      </c>
      <c r="FU256">
        <f>IF($EY256="row",INDEX($EO$5:$EO$1003,$EX256),0)</f>
        <v/>
      </c>
      <c r="FV256">
        <f>IF($FS256="S1 Count Change",1,0)</f>
        <v/>
      </c>
    </row>
    <row r="257">
      <c r="DA257" t="n">
        <v>253</v>
      </c>
      <c r="DB257">
        <f>IF($B$37=0,"",IFERROR(TRIM(SUBSTITUTE(SUBSTITUTE(SUBSTITUTE(SUBSTITUTE(INDEX(PASTE_ALL,253,$B$37)," "," "),CHAR(9)," "),CHAR(10)," "),CHAR(13)," ")),""))</f>
        <v/>
      </c>
      <c r="DC257">
        <f>IF(AND(253&gt;HEADER_ROW,UPPER(DB257)="LEGEND"),1,0)</f>
        <v/>
      </c>
      <c r="DE257" t="n">
        <v>253</v>
      </c>
      <c r="DF257">
        <f>HEADER_ROW+$DE257</f>
        <v/>
      </c>
      <c r="DG257">
        <f>IF(AND($DF257&lt;=1000,$DF257&lt;$B$8),1,0)</f>
        <v/>
      </c>
      <c r="DH257">
        <f>IF($DG257=1,IFERROR(INDEX($DB$5:$DB$1004,$DF257),""),"")</f>
        <v/>
      </c>
      <c r="DI257">
        <f>IF(AND($DG257=1,$DH257&lt;&gt;""),IFERROR(SUBSTITUTE(SUBSTITUTE(TRIM(SUBSTITUTE(SUBSTITUTE(SUBSTITUTE(SUBSTITUTE(IFERROR(INDEX(PASTE_ALL,$DF257,1)&amp;"","")&amp;"␟"&amp;IFERROR(INDEX(PASTE_ALL,$DF257,2)&amp;"","")&amp;"␟"&amp;IFERROR(INDEX(PASTE_ALL,$DF257,3)&amp;"","")&amp;"␟"&amp;IFERROR(INDEX(PASTE_ALL,$DF257,4)&amp;"","")&amp;"␟"&amp;IFERROR(INDEX(PASTE_ALL,$DF257,5)&amp;"","")&amp;"␟"&amp;IFERROR(INDEX(PASTE_ALL,$DF257,6)&amp;"","")&amp;"␟"&amp;IFERROR(INDEX(PASTE_ALL,$DF257,7)&amp;"","")&amp;"␟"&amp;IFERROR(INDEX(PASTE_ALL,$DF257,8)&amp;"","")&amp;"␟"&amp;IFERROR(INDEX(PASTE_ALL,$DF257,9)&amp;"","")&amp;"␟"&amp;IFERROR(INDEX(PASTE_ALL,$DF257,10)&amp;"","")&amp;"␟"&amp;IFERROR(INDEX(PASTE_ALL,$DF257,11)&amp;"","")&amp;"␟"&amp;IFERROR(INDEX(PASTE_ALL,$DF257,12)&amp;"","")&amp;"␟"&amp;IFERROR(INDEX(PASTE_ALL,$DF257,13)&amp;"","")&amp;"␟"&amp;IFERROR(INDEX(PASTE_ALL,$DF257,14)&amp;"","")&amp;"␟"&amp;IFERROR(INDEX(PASTE_ALL,$DF257,15)&amp;"","")&amp;"␟"&amp;IFERROR(INDEX(PASTE_ALL,$DF257,16)&amp;"","")&amp;"␟"&amp;IFERROR(INDEX(PASTE_ALL,$DF257,17)&amp;"","")&amp;"␟"&amp;IFERROR(INDEX(PASTE_ALL,$DF257,18)&amp;"","")&amp;"␟"&amp;IFERROR(INDEX(PASTE_ALL,$DF257,19)&amp;"","")&amp;"␟"&amp;IFERROR(INDEX(PASTE_ALL,$DF257,20)&amp;"","")&amp;"␟"&amp;IFERROR(INDEX(PASTE_ALL,$DF257,21)&amp;"","")&amp;"␟"&amp;IFERROR(INDEX(PASTE_ALL,$DF257,22)&amp;"","")&amp;"␟"&amp;IFERROR(INDEX(PASTE_ALL,$DF257,23)&amp;"","")&amp;"␟"&amp;IFERROR(INDEX(PASTE_ALL,$DF257,24)&amp;"","")&amp;"␟"&amp;IFERROR(INDEX(PASTE_ALL,$DF257,25)&amp;"","")&amp;"␟"&amp;IFERROR(INDEX(PASTE_ALL,$DF257,26)&amp;"","")&amp;"␟"&amp;IFERROR(INDEX(PASTE_ALL,$DF257,27)&amp;"","")&amp;"␟"&amp;IFERROR(INDEX(PASTE_ALL,$DF257,28)&amp;"","")&amp;"␟"&amp;IFERROR(INDEX(PASTE_ALL,$DF257,29)&amp;"","")&amp;"␟"&amp;IFERROR(INDEX(PASTE_ALL,$DF257,30)&amp;"","")&amp;"␟"&amp;IFERROR(INDEX(PASTE_ALL,$DF257,31)&amp;"","")&amp;"␟"&amp;IFERROR(INDEX(PASTE_ALL,$DF257,32)&amp;"","")&amp;"␟"&amp;IFERROR(INDEX(PASTE_ALL,$DF257,33)&amp;"","")&amp;"␟"&amp;IFERROR(INDEX(PASTE_ALL,$DF257,34)&amp;"","")&amp;"␟"&amp;IFERROR(INDEX(PASTE_ALL,$DF257,35)&amp;"","")&amp;"␟"&amp;IFERROR(INDEX(PASTE_ALL,$DF257,36)&amp;"","")&amp;"␟"&amp;IFERROR(INDEX(PASTE_ALL,$DF257,37)&amp;"","")&amp;"␟"&amp;IFERROR(INDEX(PASTE_ALL,$DF257,38)&amp;"","")&amp;"␟"&amp;IFERROR(INDEX(PASTE_ALL,$DF257,39)&amp;"","")&amp;"␟"&amp;IFERROR(INDEX(PASTE_ALL,$DF257,40)&amp;"","")&amp;"␟"&amp;IFERROR(INDEX(PASTE_ALL,$DF257,41)&amp;"","")&amp;"␟"&amp;IFERROR(INDEX(PASTE_ALL,$DF257,42)&amp;"","")&amp;"␟"&amp;IFERROR(INDEX(PASTE_ALL,$DF257,43)&amp;"","")&amp;"␟"&amp;IFERROR(INDEX(PASTE_ALL,$DF257,44)&amp;"","")&amp;"␟"&amp;IFERROR(INDEX(PASTE_ALL,$DF257,45)&amp;"","")&amp;"␟"&amp;IFERROR(INDEX(PASTE_ALL,$DF257,46)&amp;"","")&amp;"␟"&amp;IFERROR(INDEX(PASTE_ALL,$DF257,47)&amp;"","")&amp;"␟"&amp;IFERROR(INDEX(PASTE_ALL,$DF257,48)&amp;"","")&amp;"␟"&amp;IFERROR(INDEX(PASTE_ALL,$DF257,49)&amp;"","")&amp;"␟"&amp;IFERROR(INDEX(PASTE_ALL,$DF257,50)&amp;"","")&amp;"␟"&amp;IFERROR(INDEX(PASTE_ALL,$DF257,51)&amp;"","")&amp;"␟"&amp;IFERROR(INDEX(PASTE_ALL,$DF257,52)&amp;"","")&amp;"␟"&amp;IFERROR(INDEX(PASTE_ALL,$DF257,53)&amp;"","")&amp;"␟"&amp;IFERROR(INDEX(PASTE_ALL,$DF257,54)&amp;"","")&amp;"␟"&amp;IFERROR(INDEX(PASTE_ALL,$DF257,55)&amp;"","")&amp;"␟"&amp;IFERROR(INDEX(PASTE_ALL,$DF257,56)&amp;"","")&amp;"␟"&amp;IFERROR(INDEX(PASTE_ALL,$DF257,57)&amp;"","")&amp;"␟"&amp;IFERROR(INDEX(PASTE_ALL,$DF257,58)&amp;"","")&amp;"␟"&amp;IFERROR(INDEX(PASTE_ALL,$DF257,59)&amp;"","")&amp;"␟"&amp;IFERROR(INDEX(PASTE_ALL,$DF257,60)&amp;"","")," "," "),CHAR(9)," "),CHAR(10)," "),CHAR(13)," "))," ␟","␟"),"␟ ","␟"),"#"&amp;$DE257),"")</f>
        <v/>
      </c>
      <c r="DJ257">
        <f>IF($DI257="",0,IF(SUMPRODUCT(--EXACT($DI$4:DI256,$DI257))&gt;0,1,0))</f>
        <v/>
      </c>
      <c r="DK257">
        <f>IF(AND($DI257&lt;&gt;"",$DJ257=0),1,0)</f>
        <v/>
      </c>
      <c r="DL257">
        <f>DL256+$DK257</f>
        <v/>
      </c>
      <c r="DM257">
        <f>IF(AND($DK257=1,$DL257&lt;=600),1,0)</f>
        <v/>
      </c>
      <c r="DN257">
        <f>IF($DM257=0,"",IF($L$6=0,"",IFERROR(IF(ISNUMBER(INDEX(PASTE_ALL,$DF257,$L$6)),INDEX(PASTE_ALL,$DF257,$L$6),TRIM(SUBSTITUTE(SUBSTITUTE(SUBSTITUTE(SUBSTITUTE(INDEX(PASTE_ALL,$DF257,$L$6)," "," "),CHAR(9)," "),CHAR(10)," "),CHAR(13)," "))),"")))</f>
        <v/>
      </c>
      <c r="DO257">
        <f>IF($DM257=0,"",IF($L$7=0,"",IFERROR(IF(ISNUMBER(INDEX(PASTE_ALL,$DF257,$L$7)),INDEX(PASTE_ALL,$DF257,$L$7),TRIM(SUBSTITUTE(SUBSTITUTE(SUBSTITUTE(SUBSTITUTE(INDEX(PASTE_ALL,$DF257,$L$7)," "," "),CHAR(9)," "),CHAR(10)," "),CHAR(13)," "))),"")))</f>
        <v/>
      </c>
      <c r="DP257">
        <f>IF($DM257=0,"",IF($L$8=0,"",IFERROR(IF(ISNUMBER(INDEX(PASTE_ALL,$DF257,$L$8)),INDEX(PASTE_ALL,$DF257,$L$8),TRIM(SUBSTITUTE(SUBSTITUTE(SUBSTITUTE(SUBSTITUTE(INDEX(PASTE_ALL,$DF257,$L$8)," "," "),CHAR(9)," "),CHAR(10)," "),CHAR(13)," "))),"")))</f>
        <v/>
      </c>
      <c r="DQ257">
        <f>IF($DM257=0,"",IF($L$9=0,"",IFERROR(IF(ISNUMBER(INDEX(PASTE_ALL,$DF257,$L$9)),INDEX(PASTE_ALL,$DF257,$L$9),TRIM(SUBSTITUTE(SUBSTITUTE(SUBSTITUTE(SUBSTITUTE(INDEX(PASTE_ALL,$DF257,$L$9)," "," "),CHAR(9)," "),CHAR(10)," "),CHAR(13)," "))),"")))</f>
        <v/>
      </c>
      <c r="DR257">
        <f>IF($DM257=0,"",IF($L$10=0,"",IFERROR(IF(ISNUMBER(INDEX(PASTE_ALL,$DF257,$L$10)),INDEX(PASTE_ALL,$DF257,$L$10),TRIM(SUBSTITUTE(SUBSTITUTE(SUBSTITUTE(SUBSTITUTE(INDEX(PASTE_ALL,$DF257,$L$10)," "," "),CHAR(9)," "),CHAR(10)," "),CHAR(13)," "))),"")))</f>
        <v/>
      </c>
      <c r="DS257">
        <f>IF($DM257=0,"",IF($L$11=0,"",IFERROR(IF(ISNUMBER(INDEX(PASTE_ALL,$DF257,$L$11)),INDEX(PASTE_ALL,$DF257,$L$11),TRIM(SUBSTITUTE(SUBSTITUTE(SUBSTITUTE(SUBSTITUTE(INDEX(PASTE_ALL,$DF257,$L$11)," "," "),CHAR(9)," "),CHAR(10)," "),CHAR(13)," "))),"")))</f>
        <v/>
      </c>
      <c r="DT257">
        <f>IF($DM257=0,"",IF($L$12=0,"",IFERROR(IF(ISNUMBER(INDEX(PASTE_ALL,$DF257,$L$12)),INDEX(PASTE_ALL,$DF257,$L$12),TRIM(SUBSTITUTE(SUBSTITUTE(SUBSTITUTE(SUBSTITUTE(INDEX(PASTE_ALL,$DF257,$L$12)," "," "),CHAR(9)," "),CHAR(10)," "),CHAR(13)," "))),"")))</f>
        <v/>
      </c>
      <c r="DU257">
        <f>IF($DM257=0,"",IF($L$13=0,"",IFERROR(IF(ISNUMBER(INDEX(PASTE_ALL,$DF257,$L$13)),INDEX(PASTE_ALL,$DF257,$L$13),TRIM(SUBSTITUTE(SUBSTITUTE(SUBSTITUTE(SUBSTITUTE(INDEX(PASTE_ALL,$DF257,$L$13)," "," "),CHAR(9)," "),CHAR(10)," "),CHAR(13)," "))),"")))</f>
        <v/>
      </c>
      <c r="DV257">
        <f>IF($DM257=0,"",IF($L$14=0,"",IFERROR(IF(ISNUMBER(INDEX(PASTE_ALL,$DF257,$L$14)),INDEX(PASTE_ALL,$DF257,$L$14),TRIM(SUBSTITUTE(SUBSTITUTE(SUBSTITUTE(SUBSTITUTE(INDEX(PASTE_ALL,$DF257,$L$14)," "," "),CHAR(9)," "),CHAR(10)," "),CHAR(13)," "))),"")))</f>
        <v/>
      </c>
      <c r="DW257">
        <f>IF($DM257=0,"",IF($L$15=0,"",IFERROR(IF(ISNUMBER(INDEX(PASTE_ALL,$DF257,$L$15)),INDEX(PASTE_ALL,$DF257,$L$15),IF(SUMPRODUCT(--ISNUMBER(FIND({"A","B","C","D","E","F","G","H","I","J","K","L","M","N","O","P","Q","R","S","T","U","V","W","X","Y","Z","0","1","2","3","4","5","6","7","8","9"},UPPER(TRIM(SUBSTITUTE(SUBSTITUTE(SUBSTITUTE(SUBSTITUTE(INDEX(PASTE_ALL,$DF257,$L$15)," "," "),CHAR(9)," "),CHAR(10)," "),CHAR(13)," "))))))&gt;0,TRIM(SUBSTITUTE(SUBSTITUTE(SUBSTITUTE(SUBSTITUTE(INDEX(PASTE_ALL,$DF257,$L$15)," "," "),CHAR(9)," "),CHAR(10)," "),CHAR(13)," ")),"")),"")))</f>
        <v/>
      </c>
      <c r="DX257">
        <f>IF($DM257=0,"",IF($L$16=0,"",IFERROR(IF(ISNUMBER(INDEX(PASTE_ALL,$DF257,$L$16)),INDEX(PASTE_ALL,$DF257,$L$16),SUBSTITUTE(SUBSTITUTE(TRIM(SUBSTITUTE(SUBSTITUTE(SUBSTITUTE(SUBSTITUTE(INDEX(PASTE_ALL,$DF257,$L$16)," "," "),CHAR(9)," "),CHAR(10)," "),CHAR(13)," ")),",",""),"%","")),"")))</f>
        <v/>
      </c>
      <c r="DY257">
        <f>IF($DM257=0,"",IFERROR(IF(ISNUMBER($DX257),$DX257,IF($DX257="","",IF(TRIM($DX257)="",0,IF(AND(AND(SUBSTITUTE(SUBSTITUTE(SUBSTITUTE(SUBSTITUTE(SUBSTITUTE(SUBSTITUTE(SUBSTITUTE(SUBSTITUTE(SUBSTITUTE(SUBSTITUTE(SUBSTITUTE(SUBSTITUTE(SUBSTITUTE(SUBSTITUTE(UPPER(TRIM($DX257)),"0",""),"1",""),"2",""),"3",""),"4",""),"5",""),"6",""),"7",""),"8",""),"9",""),".",""),"+",""),"-",""),"E","")="",LEN(SUBSTITUTE(SUBSTITUTE(MID(UPPER(TRIM($DX257)),1+OR(LEFT(UPPER(TRIM($DX257)),1)="+",LEFT(UPPER(TRIM($DX257)),1)="-"),999),"E+","E"),"E-","E"))=LEN(SUBSTITUTE(SUBSTITUTE(SUBSTITUTE(SUBSTITUTE(MID(UPPER(TRIM($DX257)),1+OR(LEFT(UPPER(TRIM($DX257)),1)="+",LEFT(UPPER(TRIM($DX257)),1)="-"),999),"E+","E"),"E-","E"),"+",""),"-","")),LEN(UPPER(TRIM($DX257)))-LEN(SUBSTITUTE(UPPER(TRIM($DX257)),"E",""))&lt;2,LEN(UPPER(TRIM($DX257)))-LEN(SUBSTITUTE(UPPER(TRIM($DX257)),".",""))&lt;2,IFERROR(FIND(".",UPPER(TRIM($DX257))),0)&lt;IFERROR(FIND("E",UPPER(TRIM($DX257))),999)),ISNUMBER(VALUE(TRIM($DX257)))),VALUE(TRIM($DX257)),"")))),""))</f>
        <v/>
      </c>
      <c r="DZ257">
        <f>IF($DM257=0,"",IF($L$17=0,"",IFERROR(IF(ISNUMBER(INDEX(PASTE_ALL,$DF257,$L$17)),INDEX(PASTE_ALL,$DF257,$L$17),SUBSTITUTE(SUBSTITUTE(TRIM(SUBSTITUTE(SUBSTITUTE(SUBSTITUTE(SUBSTITUTE(INDEX(PASTE_ALL,$DF257,$L$17)," "," "),CHAR(9)," "),CHAR(10)," "),CHAR(13)," ")),",",""),"%","")),"")))</f>
        <v/>
      </c>
      <c r="EA257">
        <f>IF($DM257=0,"",IFERROR(IF(ISNUMBER($DZ257),$DZ257,IF($DZ257="","",IF(TRIM($DZ257)="",0,IF(AND(AND(SUBSTITUTE(SUBSTITUTE(SUBSTITUTE(SUBSTITUTE(SUBSTITUTE(SUBSTITUTE(SUBSTITUTE(SUBSTITUTE(SUBSTITUTE(SUBSTITUTE(SUBSTITUTE(SUBSTITUTE(SUBSTITUTE(SUBSTITUTE(UPPER(TRIM($DZ257)),"0",""),"1",""),"2",""),"3",""),"4",""),"5",""),"6",""),"7",""),"8",""),"9",""),".",""),"+",""),"-",""),"E","")="",LEN(SUBSTITUTE(SUBSTITUTE(MID(UPPER(TRIM($DZ257)),1+OR(LEFT(UPPER(TRIM($DZ257)),1)="+",LEFT(UPPER(TRIM($DZ257)),1)="-"),999),"E+","E"),"E-","E"))=LEN(SUBSTITUTE(SUBSTITUTE(SUBSTITUTE(SUBSTITUTE(MID(UPPER(TRIM($DZ257)),1+OR(LEFT(UPPER(TRIM($DZ257)),1)="+",LEFT(UPPER(TRIM($DZ257)),1)="-"),999),"E+","E"),"E-","E"),"+",""),"-","")),LEN(UPPER(TRIM($DZ257)))-LEN(SUBSTITUTE(UPPER(TRIM($DZ257)),"E",""))&lt;2,LEN(UPPER(TRIM($DZ257)))-LEN(SUBSTITUTE(UPPER(TRIM($DZ257)),".",""))&lt;2,IFERROR(FIND(".",UPPER(TRIM($DZ257))),0)&lt;IFERROR(FIND("E",UPPER(TRIM($DZ257))),999)),ISNUMBER(VALUE(TRIM($DZ257)))),VALUE(TRIM($DZ257)),"")))),""))</f>
        <v/>
      </c>
      <c r="EB257">
        <f>IF($DM257=0,"",IF($L$18=0,"",IFERROR(IF(UPPER(TRIM(SUBSTITUTE(SUBSTITUTE(SUBSTITUTE(SUBSTITUTE(INDEX(PASTE_ALL,$DF257,$L$18)," "," "),CHAR(9)," "),CHAR(10)," "),CHAR(13)," ")))="READY","Ready",IF(UPPER(TRIM(SUBSTITUTE(SUBSTITUTE(SUBSTITUTE(SUBSTITUTE(INDEX(PASTE_ALL,$DF257,$L$18)," "," "),CHAR(9)," "),CHAR(10)," "),CHAR(13)," ")))="PM","PM",IF(OR(UPPER(TRIM(SUBSTITUTE(SUBSTITUTE(SUBSTITUTE(SUBSTITUTE(INDEX(PASTE_ALL,$DF257,$L$18)," "," "),CHAR(9)," "),CHAR(10)," "),CHAR(13)," ")))="OT",UPPER(TRIM(SUBSTITUTE(SUBSTITUTE(SUBSTITUTE(SUBSTITUTE(INDEX(PASTE_ALL,$DF257,$L$18)," "," "),CHAR(9)," "),CHAR(10)," "),CHAR(13)," ")))="OVERTIME",UPPER(TRIM(SUBSTITUTE(SUBSTITUTE(SUBSTITUTE(SUBSTITUTE(INDEX(PASTE_ALL,$DF257,$L$18)," "," "),CHAR(9)," "),CHAR(10)," "),CHAR(13)," ")))="TRIAL"),"OT",TRIM(SUBSTITUTE(SUBSTITUTE(SUBSTITUTE(SUBSTITUTE(INDEX(PASTE_ALL,$DF257,$L$18)," "," "),CHAR(9)," "),CHAR(10)," "),CHAR(13)," "))))),"")))</f>
        <v/>
      </c>
      <c r="EC257">
        <f>IF($DM257=0,"",IF($L$19=0,"",IFERROR(IF(ISNUMBER(INDEX(PASTE_ALL,$DF257,$L$19)),INDEX(PASTE_ALL,$DF257,$L$19),TRIM(SUBSTITUTE(SUBSTITUTE(SUBSTITUTE(SUBSTITUTE(INDEX(PASTE_ALL,$DF257,$L$19)," "," "),CHAR(9)," "),CHAR(10)," "),CHAR(13)," "))),"")))</f>
        <v/>
      </c>
      <c r="ED257">
        <f>IF($DM257=0,"",MATCH(1,INDEX(EXACT($DH$5:DH257,$DH257)*$DM$5:DM257,0),0))</f>
        <v/>
      </c>
      <c r="EE257">
        <f>IF($DM257=0,0,IF($ED257=$DE257,1,0))</f>
        <v/>
      </c>
      <c r="EF257">
        <f>EF256+$EE257</f>
        <v/>
      </c>
      <c r="EG257">
        <f>IF($DM257=0,"",INDEX($EF$5:$EF$1003,$ED257))</f>
        <v/>
      </c>
      <c r="EH257">
        <f>IF($DM257=0,"",IF($DO257&lt;&gt;"","",IFERROR(LOOKUP(2,1/(($EG$4:EG256=$EG257)*($DO$4:DO256&lt;&gt;"")),$DO$4:DO256),"")))</f>
        <v/>
      </c>
      <c r="EI257">
        <f>IF($DM257=0,"",IF($DO257&lt;&gt;"",$DO257,$EH257))</f>
        <v/>
      </c>
      <c r="EJ257">
        <f>IF($DM257=0,"",IF($EI257="",0,IF(OR(ISNUMBER($EI257),AND(AND(SUBSTITUTE(SUBSTITUTE(SUBSTITUTE(SUBSTITUTE(SUBSTITUTE(SUBSTITUTE(SUBSTITUTE(SUBSTITUTE(SUBSTITUTE(SUBSTITUTE(SUBSTITUTE(SUBSTITUTE(SUBSTITUTE(SUBSTITUTE(UPPER($EI257),"0",""),"1",""),"2",""),"3",""),"4",""),"5",""),"6",""),"7",""),"8",""),"9",""),".",""),"+",""),"-",""),"E","")="",LEN(SUBSTITUTE(SUBSTITUTE(MID(UPPER($EI257),1+OR(LEFT(UPPER($EI257),1)="+",LEFT(UPPER($EI257),1)="-"),999),"E+","E"),"E-","E"))=LEN(SUBSTITUTE(SUBSTITUTE(SUBSTITUTE(SUBSTITUTE(MID(UPPER($EI257),1+OR(LEFT(UPPER($EI257),1)="+",LEFT(UPPER($EI257),1)="-"),999),"E+","E"),"E-","E"),"+",""),"-","")),LEN(UPPER($EI257))-LEN(SUBSTITUTE(UPPER($EI257),"E",""))&lt;2,LEN(UPPER($EI257))-LEN(SUBSTITUTE(UPPER($EI257),".",""))&lt;2,IFERROR(FIND(".",UPPER($EI257)),0)&lt;IFERROR(FIND("E",UPPER($EI257)),999)),ISNUMBER(VALUE($EI257)))),1,2)))</f>
        <v/>
      </c>
      <c r="EK257">
        <f>IF($DM257=0,"",IF($EJ257=1,IF(ISNUMBER($EI257),$EI257,VALUE($EI257)),IF($EJ257=2,$DE257,0)))</f>
        <v/>
      </c>
      <c r="EL257">
        <f>IF($DM257=0,"",COUNTIF($EG$5:$EG$1003,"&lt;"&amp;$EG257)+SUMPRODUCT(($EG$5:$EG$1003=$EG257)*(($EJ$5:$EJ$1003&lt;$EJ257)+($EJ$5:$EJ$1003=$EJ257)*(($EK$5:$EK$1003&lt;$EK257)+($EK$5:$EK$1003=$EK257)*($DE$5:$DE$1003&lt;$DE257))))+1)</f>
        <v/>
      </c>
      <c r="EM257">
        <f>IF($DM257=0,"",$EL257+$EG257-1)</f>
        <v/>
      </c>
      <c r="EN257">
        <f>IF($DM257=0,0,IFERROR(MATCH(1,INDEX(--(TRIM(SUBSTITUTE(SUBSTITUTE(SUBSTITUTE(SUBSTITUTE(LINES_NAME&amp;""," "," "),CHAR(9)," "),CHAR(10)," "),CHAR(13)," "))=$DH257),0),0),0))</f>
        <v/>
      </c>
      <c r="EO257">
        <f>IF($EN257=0,0,IF(OR(UPPER(TRIM(INDEX(LINES_SCHEDULED,$EN257)&amp;""))="YES",UPPER(TRIM(INDEX(LINES_SCHEDULED,$EN257)&amp;""))="Y",UPPER(TRIM(INDEX(LINES_SCHEDULED,$EN257)&amp;""))="X"),1,0))</f>
        <v/>
      </c>
      <c r="EP257">
        <f>IF($DM257=0,"",IF(COUNTIFS($EG$5:$EG$1003,$EG257,$EB$5:$EB$1003,"Ready")&gt;0,"READY",IF(COUNTIFS($EG$5:$EG$1003,$EG257,$EB$5:$EB$1003,"PM")&gt;0,"PM",IF(COUNTIFS($EG$5:$EG$1003,$EG257,$EB$5:$EB$1003,"OT")&gt;0,"OT",""))))</f>
        <v/>
      </c>
      <c r="EQ257">
        <f>IF($EN257=0,"",UPPER(TRIM(INDEX(LINES_STATUS,$EN257)&amp;"")))</f>
        <v/>
      </c>
      <c r="ER257">
        <f>IF($DM257=0,"",IF(OR($EQ257="READY",$EQ257="PM",$EQ257="OT"),$EQ257,$EP257))</f>
        <v/>
      </c>
      <c r="ES257">
        <f>IF($DM257=0,"",IF(AND($DV257&lt;&gt;"",UPPER($DV257)&lt;&gt;"N"),"allergen",IF(ISNUMBER(SEARCH("oil",$DQ257)),"oil",IF(OR(EXACT($DS257,"A662"),EXACT($DS257,"A624")),"bulk",""))))</f>
        <v/>
      </c>
      <c r="ET257">
        <f>IF($DM257=0,"",IF(OR($EA257="",$EA257=0),"",$EA257/100))</f>
        <v/>
      </c>
      <c r="EU257">
        <f>IF(OR($ET257="",$DY257=""),"",INT($DY257*(1-$ET257)+0.5))</f>
        <v/>
      </c>
      <c r="EW257" t="n">
        <v>253</v>
      </c>
      <c r="EX257">
        <f>IFERROR(MATCH($EW257,$EM$5:$EM$1003,0),0)</f>
        <v/>
      </c>
      <c r="EY257">
        <f>IF($EW257&gt;$B$12,"",IF($EX257&gt;0,"row","spacer"))</f>
        <v/>
      </c>
      <c r="EZ257">
        <f>IF(AND($EY257="row",$EY256&lt;&gt;"row"),1,0)</f>
        <v/>
      </c>
      <c r="FA257">
        <f>IF(AND($EY257="row",$EY258&lt;&gt;"row"),1,0)</f>
        <v/>
      </c>
      <c r="FB257">
        <f>IF($EZ257=1,IFERROR(IF(ISNUMBER(INDEX(PASTE_ALL,INDEX($DF$5:$DF$1003,$EX257),$B$37)),INDEX(PASTE_ALL,INDEX($DF$5:$DF$1003,$EX257),$B$37),INDEX($DH$5:$DH$1003,$EX257)),INDEX($DH$5:$DH$1003,$EX257)),"")</f>
        <v/>
      </c>
      <c r="FC257">
        <f>IF($EY257="row",INDEX($ER$5:$ER$1003,$EX257),"")</f>
        <v/>
      </c>
      <c r="FD257">
        <f>IF($EY257="row",INDEX($DN$5:$DN$1003,$EX257),"")</f>
        <v/>
      </c>
      <c r="FE257">
        <f>IF($EY257="row",INDEX($DO$5:$DO$1003,$EX257),"")</f>
        <v/>
      </c>
      <c r="FF257">
        <f>IF($EY257="row",INDEX($DP$5:$DP$1003,$EX257),"")</f>
        <v/>
      </c>
      <c r="FG257">
        <f>IF($EY257="row",INDEX($DQ$5:$DQ$1003,$EX257),"")</f>
        <v/>
      </c>
      <c r="FH257">
        <f>IF($EY257="row",INDEX($DR$5:$DR$1003,$EX257),"")</f>
        <v/>
      </c>
      <c r="FI257">
        <f>IF($EY257="row",INDEX($DS$5:$DS$1003,$EX257),"")</f>
        <v/>
      </c>
      <c r="FJ257">
        <f>IF($EY257="row",INDEX($DT$5:$DT$1003,$EX257),"")</f>
        <v/>
      </c>
      <c r="FK257">
        <f>IF($EY257="row",INDEX($DU$5:$DU$1003,$EX257),"")</f>
        <v/>
      </c>
      <c r="FL257">
        <f>IF($EY257="row",INDEX($DV$5:$DV$1003,$EX257),"")</f>
        <v/>
      </c>
      <c r="FM257">
        <f>IF($EY257="row",INDEX($DW$5:$DW$1003,$EX257),"")</f>
        <v/>
      </c>
      <c r="FN257">
        <f>IF($EY257="row",INDEX($DY$5:$DY$1003,$EX257),"")</f>
        <v/>
      </c>
      <c r="FO257">
        <f>IF($EY257="row",INDEX($EA$5:$EA$1003,$EX257),"")</f>
        <v/>
      </c>
      <c r="FP257">
        <f>IF($EY257="row",INDEX($EC$5:$EC$1003,$EX257),"")</f>
        <v/>
      </c>
      <c r="FQ257">
        <f>IF($EY257="row",INDEX($ET$5:$ET$1003,$EX257),"")</f>
        <v/>
      </c>
      <c r="FR257">
        <f>IF($EY257="row",INDEX($EU$5:$EU$1003,$EX257),"")</f>
        <v/>
      </c>
      <c r="FS257">
        <f>IF(AND($EY257="row",$EY256="row"),IF(OR(INDEX($DT$5:$DT$1003,$EX256)="",INDEX($DT$5:$DT$1003,$EX257)=""),"",IF(NOT(EXACT(INDEX($DT$5:$DT$1003,$EX256),INDEX($DT$5:$DT$1003,$EX257))),"S4",IF(NOT(EXACT(INDEX($DS$5:$DS$1003,$EX256),INDEX($DS$5:$DS$1003,$EX257))),"S3",IF(NOT(EXACT(INDEX($DR$5:$DR$1003,$EX256),INDEX($DR$5:$DR$1003,$EX257))),"S1 Count Change","S1")))),"")</f>
        <v/>
      </c>
      <c r="FT257">
        <f>IF($EY257="row",INDEX($ES$5:$ES$1003,$EX257),"")</f>
        <v/>
      </c>
      <c r="FU257">
        <f>IF($EY257="row",INDEX($EO$5:$EO$1003,$EX257),0)</f>
        <v/>
      </c>
      <c r="FV257">
        <f>IF($FS257="S1 Count Change",1,0)</f>
        <v/>
      </c>
    </row>
    <row r="258">
      <c r="DA258" t="n">
        <v>254</v>
      </c>
      <c r="DB258">
        <f>IF($B$37=0,"",IFERROR(TRIM(SUBSTITUTE(SUBSTITUTE(SUBSTITUTE(SUBSTITUTE(INDEX(PASTE_ALL,254,$B$37)," "," "),CHAR(9)," "),CHAR(10)," "),CHAR(13)," ")),""))</f>
        <v/>
      </c>
      <c r="DC258">
        <f>IF(AND(254&gt;HEADER_ROW,UPPER(DB258)="LEGEND"),1,0)</f>
        <v/>
      </c>
      <c r="DE258" t="n">
        <v>254</v>
      </c>
      <c r="DF258">
        <f>HEADER_ROW+$DE258</f>
        <v/>
      </c>
      <c r="DG258">
        <f>IF(AND($DF258&lt;=1000,$DF258&lt;$B$8),1,0)</f>
        <v/>
      </c>
      <c r="DH258">
        <f>IF($DG258=1,IFERROR(INDEX($DB$5:$DB$1004,$DF258),""),"")</f>
        <v/>
      </c>
      <c r="DI258">
        <f>IF(AND($DG258=1,$DH258&lt;&gt;""),IFERROR(SUBSTITUTE(SUBSTITUTE(TRIM(SUBSTITUTE(SUBSTITUTE(SUBSTITUTE(SUBSTITUTE(IFERROR(INDEX(PASTE_ALL,$DF258,1)&amp;"","")&amp;"␟"&amp;IFERROR(INDEX(PASTE_ALL,$DF258,2)&amp;"","")&amp;"␟"&amp;IFERROR(INDEX(PASTE_ALL,$DF258,3)&amp;"","")&amp;"␟"&amp;IFERROR(INDEX(PASTE_ALL,$DF258,4)&amp;"","")&amp;"␟"&amp;IFERROR(INDEX(PASTE_ALL,$DF258,5)&amp;"","")&amp;"␟"&amp;IFERROR(INDEX(PASTE_ALL,$DF258,6)&amp;"","")&amp;"␟"&amp;IFERROR(INDEX(PASTE_ALL,$DF258,7)&amp;"","")&amp;"␟"&amp;IFERROR(INDEX(PASTE_ALL,$DF258,8)&amp;"","")&amp;"␟"&amp;IFERROR(INDEX(PASTE_ALL,$DF258,9)&amp;"","")&amp;"␟"&amp;IFERROR(INDEX(PASTE_ALL,$DF258,10)&amp;"","")&amp;"␟"&amp;IFERROR(INDEX(PASTE_ALL,$DF258,11)&amp;"","")&amp;"␟"&amp;IFERROR(INDEX(PASTE_ALL,$DF258,12)&amp;"","")&amp;"␟"&amp;IFERROR(INDEX(PASTE_ALL,$DF258,13)&amp;"","")&amp;"␟"&amp;IFERROR(INDEX(PASTE_ALL,$DF258,14)&amp;"","")&amp;"␟"&amp;IFERROR(INDEX(PASTE_ALL,$DF258,15)&amp;"","")&amp;"␟"&amp;IFERROR(INDEX(PASTE_ALL,$DF258,16)&amp;"","")&amp;"␟"&amp;IFERROR(INDEX(PASTE_ALL,$DF258,17)&amp;"","")&amp;"␟"&amp;IFERROR(INDEX(PASTE_ALL,$DF258,18)&amp;"","")&amp;"␟"&amp;IFERROR(INDEX(PASTE_ALL,$DF258,19)&amp;"","")&amp;"␟"&amp;IFERROR(INDEX(PASTE_ALL,$DF258,20)&amp;"","")&amp;"␟"&amp;IFERROR(INDEX(PASTE_ALL,$DF258,21)&amp;"","")&amp;"␟"&amp;IFERROR(INDEX(PASTE_ALL,$DF258,22)&amp;"","")&amp;"␟"&amp;IFERROR(INDEX(PASTE_ALL,$DF258,23)&amp;"","")&amp;"␟"&amp;IFERROR(INDEX(PASTE_ALL,$DF258,24)&amp;"","")&amp;"␟"&amp;IFERROR(INDEX(PASTE_ALL,$DF258,25)&amp;"","")&amp;"␟"&amp;IFERROR(INDEX(PASTE_ALL,$DF258,26)&amp;"","")&amp;"␟"&amp;IFERROR(INDEX(PASTE_ALL,$DF258,27)&amp;"","")&amp;"␟"&amp;IFERROR(INDEX(PASTE_ALL,$DF258,28)&amp;"","")&amp;"␟"&amp;IFERROR(INDEX(PASTE_ALL,$DF258,29)&amp;"","")&amp;"␟"&amp;IFERROR(INDEX(PASTE_ALL,$DF258,30)&amp;"","")&amp;"␟"&amp;IFERROR(INDEX(PASTE_ALL,$DF258,31)&amp;"","")&amp;"␟"&amp;IFERROR(INDEX(PASTE_ALL,$DF258,32)&amp;"","")&amp;"␟"&amp;IFERROR(INDEX(PASTE_ALL,$DF258,33)&amp;"","")&amp;"␟"&amp;IFERROR(INDEX(PASTE_ALL,$DF258,34)&amp;"","")&amp;"␟"&amp;IFERROR(INDEX(PASTE_ALL,$DF258,35)&amp;"","")&amp;"␟"&amp;IFERROR(INDEX(PASTE_ALL,$DF258,36)&amp;"","")&amp;"␟"&amp;IFERROR(INDEX(PASTE_ALL,$DF258,37)&amp;"","")&amp;"␟"&amp;IFERROR(INDEX(PASTE_ALL,$DF258,38)&amp;"","")&amp;"␟"&amp;IFERROR(INDEX(PASTE_ALL,$DF258,39)&amp;"","")&amp;"␟"&amp;IFERROR(INDEX(PASTE_ALL,$DF258,40)&amp;"","")&amp;"␟"&amp;IFERROR(INDEX(PASTE_ALL,$DF258,41)&amp;"","")&amp;"␟"&amp;IFERROR(INDEX(PASTE_ALL,$DF258,42)&amp;"","")&amp;"␟"&amp;IFERROR(INDEX(PASTE_ALL,$DF258,43)&amp;"","")&amp;"␟"&amp;IFERROR(INDEX(PASTE_ALL,$DF258,44)&amp;"","")&amp;"␟"&amp;IFERROR(INDEX(PASTE_ALL,$DF258,45)&amp;"","")&amp;"␟"&amp;IFERROR(INDEX(PASTE_ALL,$DF258,46)&amp;"","")&amp;"␟"&amp;IFERROR(INDEX(PASTE_ALL,$DF258,47)&amp;"","")&amp;"␟"&amp;IFERROR(INDEX(PASTE_ALL,$DF258,48)&amp;"","")&amp;"␟"&amp;IFERROR(INDEX(PASTE_ALL,$DF258,49)&amp;"","")&amp;"␟"&amp;IFERROR(INDEX(PASTE_ALL,$DF258,50)&amp;"","")&amp;"␟"&amp;IFERROR(INDEX(PASTE_ALL,$DF258,51)&amp;"","")&amp;"␟"&amp;IFERROR(INDEX(PASTE_ALL,$DF258,52)&amp;"","")&amp;"␟"&amp;IFERROR(INDEX(PASTE_ALL,$DF258,53)&amp;"","")&amp;"␟"&amp;IFERROR(INDEX(PASTE_ALL,$DF258,54)&amp;"","")&amp;"␟"&amp;IFERROR(INDEX(PASTE_ALL,$DF258,55)&amp;"","")&amp;"␟"&amp;IFERROR(INDEX(PASTE_ALL,$DF258,56)&amp;"","")&amp;"␟"&amp;IFERROR(INDEX(PASTE_ALL,$DF258,57)&amp;"","")&amp;"␟"&amp;IFERROR(INDEX(PASTE_ALL,$DF258,58)&amp;"","")&amp;"␟"&amp;IFERROR(INDEX(PASTE_ALL,$DF258,59)&amp;"","")&amp;"␟"&amp;IFERROR(INDEX(PASTE_ALL,$DF258,60)&amp;"","")," "," "),CHAR(9)," "),CHAR(10)," "),CHAR(13)," "))," ␟","␟"),"␟ ","␟"),"#"&amp;$DE258),"")</f>
        <v/>
      </c>
      <c r="DJ258">
        <f>IF($DI258="",0,IF(SUMPRODUCT(--EXACT($DI$4:DI257,$DI258))&gt;0,1,0))</f>
        <v/>
      </c>
      <c r="DK258">
        <f>IF(AND($DI258&lt;&gt;"",$DJ258=0),1,0)</f>
        <v/>
      </c>
      <c r="DL258">
        <f>DL257+$DK258</f>
        <v/>
      </c>
      <c r="DM258">
        <f>IF(AND($DK258=1,$DL258&lt;=600),1,0)</f>
        <v/>
      </c>
      <c r="DN258">
        <f>IF($DM258=0,"",IF($L$6=0,"",IFERROR(IF(ISNUMBER(INDEX(PASTE_ALL,$DF258,$L$6)),INDEX(PASTE_ALL,$DF258,$L$6),TRIM(SUBSTITUTE(SUBSTITUTE(SUBSTITUTE(SUBSTITUTE(INDEX(PASTE_ALL,$DF258,$L$6)," "," "),CHAR(9)," "),CHAR(10)," "),CHAR(13)," "))),"")))</f>
        <v/>
      </c>
      <c r="DO258">
        <f>IF($DM258=0,"",IF($L$7=0,"",IFERROR(IF(ISNUMBER(INDEX(PASTE_ALL,$DF258,$L$7)),INDEX(PASTE_ALL,$DF258,$L$7),TRIM(SUBSTITUTE(SUBSTITUTE(SUBSTITUTE(SUBSTITUTE(INDEX(PASTE_ALL,$DF258,$L$7)," "," "),CHAR(9)," "),CHAR(10)," "),CHAR(13)," "))),"")))</f>
        <v/>
      </c>
      <c r="DP258">
        <f>IF($DM258=0,"",IF($L$8=0,"",IFERROR(IF(ISNUMBER(INDEX(PASTE_ALL,$DF258,$L$8)),INDEX(PASTE_ALL,$DF258,$L$8),TRIM(SUBSTITUTE(SUBSTITUTE(SUBSTITUTE(SUBSTITUTE(INDEX(PASTE_ALL,$DF258,$L$8)," "," "),CHAR(9)," "),CHAR(10)," "),CHAR(13)," "))),"")))</f>
        <v/>
      </c>
      <c r="DQ258">
        <f>IF($DM258=0,"",IF($L$9=0,"",IFERROR(IF(ISNUMBER(INDEX(PASTE_ALL,$DF258,$L$9)),INDEX(PASTE_ALL,$DF258,$L$9),TRIM(SUBSTITUTE(SUBSTITUTE(SUBSTITUTE(SUBSTITUTE(INDEX(PASTE_ALL,$DF258,$L$9)," "," "),CHAR(9)," "),CHAR(10)," "),CHAR(13)," "))),"")))</f>
        <v/>
      </c>
      <c r="DR258">
        <f>IF($DM258=0,"",IF($L$10=0,"",IFERROR(IF(ISNUMBER(INDEX(PASTE_ALL,$DF258,$L$10)),INDEX(PASTE_ALL,$DF258,$L$10),TRIM(SUBSTITUTE(SUBSTITUTE(SUBSTITUTE(SUBSTITUTE(INDEX(PASTE_ALL,$DF258,$L$10)," "," "),CHAR(9)," "),CHAR(10)," "),CHAR(13)," "))),"")))</f>
        <v/>
      </c>
      <c r="DS258">
        <f>IF($DM258=0,"",IF($L$11=0,"",IFERROR(IF(ISNUMBER(INDEX(PASTE_ALL,$DF258,$L$11)),INDEX(PASTE_ALL,$DF258,$L$11),TRIM(SUBSTITUTE(SUBSTITUTE(SUBSTITUTE(SUBSTITUTE(INDEX(PASTE_ALL,$DF258,$L$11)," "," "),CHAR(9)," "),CHAR(10)," "),CHAR(13)," "))),"")))</f>
        <v/>
      </c>
      <c r="DT258">
        <f>IF($DM258=0,"",IF($L$12=0,"",IFERROR(IF(ISNUMBER(INDEX(PASTE_ALL,$DF258,$L$12)),INDEX(PASTE_ALL,$DF258,$L$12),TRIM(SUBSTITUTE(SUBSTITUTE(SUBSTITUTE(SUBSTITUTE(INDEX(PASTE_ALL,$DF258,$L$12)," "," "),CHAR(9)," "),CHAR(10)," "),CHAR(13)," "))),"")))</f>
        <v/>
      </c>
      <c r="DU258">
        <f>IF($DM258=0,"",IF($L$13=0,"",IFERROR(IF(ISNUMBER(INDEX(PASTE_ALL,$DF258,$L$13)),INDEX(PASTE_ALL,$DF258,$L$13),TRIM(SUBSTITUTE(SUBSTITUTE(SUBSTITUTE(SUBSTITUTE(INDEX(PASTE_ALL,$DF258,$L$13)," "," "),CHAR(9)," "),CHAR(10)," "),CHAR(13)," "))),"")))</f>
        <v/>
      </c>
      <c r="DV258">
        <f>IF($DM258=0,"",IF($L$14=0,"",IFERROR(IF(ISNUMBER(INDEX(PASTE_ALL,$DF258,$L$14)),INDEX(PASTE_ALL,$DF258,$L$14),TRIM(SUBSTITUTE(SUBSTITUTE(SUBSTITUTE(SUBSTITUTE(INDEX(PASTE_ALL,$DF258,$L$14)," "," "),CHAR(9)," "),CHAR(10)," "),CHAR(13)," "))),"")))</f>
        <v/>
      </c>
      <c r="DW258">
        <f>IF($DM258=0,"",IF($L$15=0,"",IFERROR(IF(ISNUMBER(INDEX(PASTE_ALL,$DF258,$L$15)),INDEX(PASTE_ALL,$DF258,$L$15),IF(SUMPRODUCT(--ISNUMBER(FIND({"A","B","C","D","E","F","G","H","I","J","K","L","M","N","O","P","Q","R","S","T","U","V","W","X","Y","Z","0","1","2","3","4","5","6","7","8","9"},UPPER(TRIM(SUBSTITUTE(SUBSTITUTE(SUBSTITUTE(SUBSTITUTE(INDEX(PASTE_ALL,$DF258,$L$15)," "," "),CHAR(9)," "),CHAR(10)," "),CHAR(13)," "))))))&gt;0,TRIM(SUBSTITUTE(SUBSTITUTE(SUBSTITUTE(SUBSTITUTE(INDEX(PASTE_ALL,$DF258,$L$15)," "," "),CHAR(9)," "),CHAR(10)," "),CHAR(13)," ")),"")),"")))</f>
        <v/>
      </c>
      <c r="DX258">
        <f>IF($DM258=0,"",IF($L$16=0,"",IFERROR(IF(ISNUMBER(INDEX(PASTE_ALL,$DF258,$L$16)),INDEX(PASTE_ALL,$DF258,$L$16),SUBSTITUTE(SUBSTITUTE(TRIM(SUBSTITUTE(SUBSTITUTE(SUBSTITUTE(SUBSTITUTE(INDEX(PASTE_ALL,$DF258,$L$16)," "," "),CHAR(9)," "),CHAR(10)," "),CHAR(13)," ")),",",""),"%","")),"")))</f>
        <v/>
      </c>
      <c r="DY258">
        <f>IF($DM258=0,"",IFERROR(IF(ISNUMBER($DX258),$DX258,IF($DX258="","",IF(TRIM($DX258)="",0,IF(AND(AND(SUBSTITUTE(SUBSTITUTE(SUBSTITUTE(SUBSTITUTE(SUBSTITUTE(SUBSTITUTE(SUBSTITUTE(SUBSTITUTE(SUBSTITUTE(SUBSTITUTE(SUBSTITUTE(SUBSTITUTE(SUBSTITUTE(SUBSTITUTE(UPPER(TRIM($DX258)),"0",""),"1",""),"2",""),"3",""),"4",""),"5",""),"6",""),"7",""),"8",""),"9",""),".",""),"+",""),"-",""),"E","")="",LEN(SUBSTITUTE(SUBSTITUTE(MID(UPPER(TRIM($DX258)),1+OR(LEFT(UPPER(TRIM($DX258)),1)="+",LEFT(UPPER(TRIM($DX258)),1)="-"),999),"E+","E"),"E-","E"))=LEN(SUBSTITUTE(SUBSTITUTE(SUBSTITUTE(SUBSTITUTE(MID(UPPER(TRIM($DX258)),1+OR(LEFT(UPPER(TRIM($DX258)),1)="+",LEFT(UPPER(TRIM($DX258)),1)="-"),999),"E+","E"),"E-","E"),"+",""),"-","")),LEN(UPPER(TRIM($DX258)))-LEN(SUBSTITUTE(UPPER(TRIM($DX258)),"E",""))&lt;2,LEN(UPPER(TRIM($DX258)))-LEN(SUBSTITUTE(UPPER(TRIM($DX258)),".",""))&lt;2,IFERROR(FIND(".",UPPER(TRIM($DX258))),0)&lt;IFERROR(FIND("E",UPPER(TRIM($DX258))),999)),ISNUMBER(VALUE(TRIM($DX258)))),VALUE(TRIM($DX258)),"")))),""))</f>
        <v/>
      </c>
      <c r="DZ258">
        <f>IF($DM258=0,"",IF($L$17=0,"",IFERROR(IF(ISNUMBER(INDEX(PASTE_ALL,$DF258,$L$17)),INDEX(PASTE_ALL,$DF258,$L$17),SUBSTITUTE(SUBSTITUTE(TRIM(SUBSTITUTE(SUBSTITUTE(SUBSTITUTE(SUBSTITUTE(INDEX(PASTE_ALL,$DF258,$L$17)," "," "),CHAR(9)," "),CHAR(10)," "),CHAR(13)," ")),",",""),"%","")),"")))</f>
        <v/>
      </c>
      <c r="EA258">
        <f>IF($DM258=0,"",IFERROR(IF(ISNUMBER($DZ258),$DZ258,IF($DZ258="","",IF(TRIM($DZ258)="",0,IF(AND(AND(SUBSTITUTE(SUBSTITUTE(SUBSTITUTE(SUBSTITUTE(SUBSTITUTE(SUBSTITUTE(SUBSTITUTE(SUBSTITUTE(SUBSTITUTE(SUBSTITUTE(SUBSTITUTE(SUBSTITUTE(SUBSTITUTE(SUBSTITUTE(UPPER(TRIM($DZ258)),"0",""),"1",""),"2",""),"3",""),"4",""),"5",""),"6",""),"7",""),"8",""),"9",""),".",""),"+",""),"-",""),"E","")="",LEN(SUBSTITUTE(SUBSTITUTE(MID(UPPER(TRIM($DZ258)),1+OR(LEFT(UPPER(TRIM($DZ258)),1)="+",LEFT(UPPER(TRIM($DZ258)),1)="-"),999),"E+","E"),"E-","E"))=LEN(SUBSTITUTE(SUBSTITUTE(SUBSTITUTE(SUBSTITUTE(MID(UPPER(TRIM($DZ258)),1+OR(LEFT(UPPER(TRIM($DZ258)),1)="+",LEFT(UPPER(TRIM($DZ258)),1)="-"),999),"E+","E"),"E-","E"),"+",""),"-","")),LEN(UPPER(TRIM($DZ258)))-LEN(SUBSTITUTE(UPPER(TRIM($DZ258)),"E",""))&lt;2,LEN(UPPER(TRIM($DZ258)))-LEN(SUBSTITUTE(UPPER(TRIM($DZ258)),".",""))&lt;2,IFERROR(FIND(".",UPPER(TRIM($DZ258))),0)&lt;IFERROR(FIND("E",UPPER(TRIM($DZ258))),999)),ISNUMBER(VALUE(TRIM($DZ258)))),VALUE(TRIM($DZ258)),"")))),""))</f>
        <v/>
      </c>
      <c r="EB258">
        <f>IF($DM258=0,"",IF($L$18=0,"",IFERROR(IF(UPPER(TRIM(SUBSTITUTE(SUBSTITUTE(SUBSTITUTE(SUBSTITUTE(INDEX(PASTE_ALL,$DF258,$L$18)," "," "),CHAR(9)," "),CHAR(10)," "),CHAR(13)," ")))="READY","Ready",IF(UPPER(TRIM(SUBSTITUTE(SUBSTITUTE(SUBSTITUTE(SUBSTITUTE(INDEX(PASTE_ALL,$DF258,$L$18)," "," "),CHAR(9)," "),CHAR(10)," "),CHAR(13)," ")))="PM","PM",IF(OR(UPPER(TRIM(SUBSTITUTE(SUBSTITUTE(SUBSTITUTE(SUBSTITUTE(INDEX(PASTE_ALL,$DF258,$L$18)," "," "),CHAR(9)," "),CHAR(10)," "),CHAR(13)," ")))="OT",UPPER(TRIM(SUBSTITUTE(SUBSTITUTE(SUBSTITUTE(SUBSTITUTE(INDEX(PASTE_ALL,$DF258,$L$18)," "," "),CHAR(9)," "),CHAR(10)," "),CHAR(13)," ")))="OVERTIME",UPPER(TRIM(SUBSTITUTE(SUBSTITUTE(SUBSTITUTE(SUBSTITUTE(INDEX(PASTE_ALL,$DF258,$L$18)," "," "),CHAR(9)," "),CHAR(10)," "),CHAR(13)," ")))="TRIAL"),"OT",TRIM(SUBSTITUTE(SUBSTITUTE(SUBSTITUTE(SUBSTITUTE(INDEX(PASTE_ALL,$DF258,$L$18)," "," "),CHAR(9)," "),CHAR(10)," "),CHAR(13)," "))))),"")))</f>
        <v/>
      </c>
      <c r="EC258">
        <f>IF($DM258=0,"",IF($L$19=0,"",IFERROR(IF(ISNUMBER(INDEX(PASTE_ALL,$DF258,$L$19)),INDEX(PASTE_ALL,$DF258,$L$19),TRIM(SUBSTITUTE(SUBSTITUTE(SUBSTITUTE(SUBSTITUTE(INDEX(PASTE_ALL,$DF258,$L$19)," "," "),CHAR(9)," "),CHAR(10)," "),CHAR(13)," "))),"")))</f>
        <v/>
      </c>
      <c r="ED258">
        <f>IF($DM258=0,"",MATCH(1,INDEX(EXACT($DH$5:DH258,$DH258)*$DM$5:DM258,0),0))</f>
        <v/>
      </c>
      <c r="EE258">
        <f>IF($DM258=0,0,IF($ED258=$DE258,1,0))</f>
        <v/>
      </c>
      <c r="EF258">
        <f>EF257+$EE258</f>
        <v/>
      </c>
      <c r="EG258">
        <f>IF($DM258=0,"",INDEX($EF$5:$EF$1003,$ED258))</f>
        <v/>
      </c>
      <c r="EH258">
        <f>IF($DM258=0,"",IF($DO258&lt;&gt;"","",IFERROR(LOOKUP(2,1/(($EG$4:EG257=$EG258)*($DO$4:DO257&lt;&gt;"")),$DO$4:DO257),"")))</f>
        <v/>
      </c>
      <c r="EI258">
        <f>IF($DM258=0,"",IF($DO258&lt;&gt;"",$DO258,$EH258))</f>
        <v/>
      </c>
      <c r="EJ258">
        <f>IF($DM258=0,"",IF($EI258="",0,IF(OR(ISNUMBER($EI258),AND(AND(SUBSTITUTE(SUBSTITUTE(SUBSTITUTE(SUBSTITUTE(SUBSTITUTE(SUBSTITUTE(SUBSTITUTE(SUBSTITUTE(SUBSTITUTE(SUBSTITUTE(SUBSTITUTE(SUBSTITUTE(SUBSTITUTE(SUBSTITUTE(UPPER($EI258),"0",""),"1",""),"2",""),"3",""),"4",""),"5",""),"6",""),"7",""),"8",""),"9",""),".",""),"+",""),"-",""),"E","")="",LEN(SUBSTITUTE(SUBSTITUTE(MID(UPPER($EI258),1+OR(LEFT(UPPER($EI258),1)="+",LEFT(UPPER($EI258),1)="-"),999),"E+","E"),"E-","E"))=LEN(SUBSTITUTE(SUBSTITUTE(SUBSTITUTE(SUBSTITUTE(MID(UPPER($EI258),1+OR(LEFT(UPPER($EI258),1)="+",LEFT(UPPER($EI258),1)="-"),999),"E+","E"),"E-","E"),"+",""),"-","")),LEN(UPPER($EI258))-LEN(SUBSTITUTE(UPPER($EI258),"E",""))&lt;2,LEN(UPPER($EI258))-LEN(SUBSTITUTE(UPPER($EI258),".",""))&lt;2,IFERROR(FIND(".",UPPER($EI258)),0)&lt;IFERROR(FIND("E",UPPER($EI258)),999)),ISNUMBER(VALUE($EI258)))),1,2)))</f>
        <v/>
      </c>
      <c r="EK258">
        <f>IF($DM258=0,"",IF($EJ258=1,IF(ISNUMBER($EI258),$EI258,VALUE($EI258)),IF($EJ258=2,$DE258,0)))</f>
        <v/>
      </c>
      <c r="EL258">
        <f>IF($DM258=0,"",COUNTIF($EG$5:$EG$1003,"&lt;"&amp;$EG258)+SUMPRODUCT(($EG$5:$EG$1003=$EG258)*(($EJ$5:$EJ$1003&lt;$EJ258)+($EJ$5:$EJ$1003=$EJ258)*(($EK$5:$EK$1003&lt;$EK258)+($EK$5:$EK$1003=$EK258)*($DE$5:$DE$1003&lt;$DE258))))+1)</f>
        <v/>
      </c>
      <c r="EM258">
        <f>IF($DM258=0,"",$EL258+$EG258-1)</f>
        <v/>
      </c>
      <c r="EN258">
        <f>IF($DM258=0,0,IFERROR(MATCH(1,INDEX(--(TRIM(SUBSTITUTE(SUBSTITUTE(SUBSTITUTE(SUBSTITUTE(LINES_NAME&amp;""," "," "),CHAR(9)," "),CHAR(10)," "),CHAR(13)," "))=$DH258),0),0),0))</f>
        <v/>
      </c>
      <c r="EO258">
        <f>IF($EN258=0,0,IF(OR(UPPER(TRIM(INDEX(LINES_SCHEDULED,$EN258)&amp;""))="YES",UPPER(TRIM(INDEX(LINES_SCHEDULED,$EN258)&amp;""))="Y",UPPER(TRIM(INDEX(LINES_SCHEDULED,$EN258)&amp;""))="X"),1,0))</f>
        <v/>
      </c>
      <c r="EP258">
        <f>IF($DM258=0,"",IF(COUNTIFS($EG$5:$EG$1003,$EG258,$EB$5:$EB$1003,"Ready")&gt;0,"READY",IF(COUNTIFS($EG$5:$EG$1003,$EG258,$EB$5:$EB$1003,"PM")&gt;0,"PM",IF(COUNTIFS($EG$5:$EG$1003,$EG258,$EB$5:$EB$1003,"OT")&gt;0,"OT",""))))</f>
        <v/>
      </c>
      <c r="EQ258">
        <f>IF($EN258=0,"",UPPER(TRIM(INDEX(LINES_STATUS,$EN258)&amp;"")))</f>
        <v/>
      </c>
      <c r="ER258">
        <f>IF($DM258=0,"",IF(OR($EQ258="READY",$EQ258="PM",$EQ258="OT"),$EQ258,$EP258))</f>
        <v/>
      </c>
      <c r="ES258">
        <f>IF($DM258=0,"",IF(AND($DV258&lt;&gt;"",UPPER($DV258)&lt;&gt;"N"),"allergen",IF(ISNUMBER(SEARCH("oil",$DQ258)),"oil",IF(OR(EXACT($DS258,"A662"),EXACT($DS258,"A624")),"bulk",""))))</f>
        <v/>
      </c>
      <c r="ET258">
        <f>IF($DM258=0,"",IF(OR($EA258="",$EA258=0),"",$EA258/100))</f>
        <v/>
      </c>
      <c r="EU258">
        <f>IF(OR($ET258="",$DY258=""),"",INT($DY258*(1-$ET258)+0.5))</f>
        <v/>
      </c>
      <c r="EW258" t="n">
        <v>254</v>
      </c>
      <c r="EX258">
        <f>IFERROR(MATCH($EW258,$EM$5:$EM$1003,0),0)</f>
        <v/>
      </c>
      <c r="EY258">
        <f>IF($EW258&gt;$B$12,"",IF($EX258&gt;0,"row","spacer"))</f>
        <v/>
      </c>
      <c r="EZ258">
        <f>IF(AND($EY258="row",$EY257&lt;&gt;"row"),1,0)</f>
        <v/>
      </c>
      <c r="FA258">
        <f>IF(AND($EY258="row",$EY259&lt;&gt;"row"),1,0)</f>
        <v/>
      </c>
      <c r="FB258">
        <f>IF($EZ258=1,IFERROR(IF(ISNUMBER(INDEX(PASTE_ALL,INDEX($DF$5:$DF$1003,$EX258),$B$37)),INDEX(PASTE_ALL,INDEX($DF$5:$DF$1003,$EX258),$B$37),INDEX($DH$5:$DH$1003,$EX258)),INDEX($DH$5:$DH$1003,$EX258)),"")</f>
        <v/>
      </c>
      <c r="FC258">
        <f>IF($EY258="row",INDEX($ER$5:$ER$1003,$EX258),"")</f>
        <v/>
      </c>
      <c r="FD258">
        <f>IF($EY258="row",INDEX($DN$5:$DN$1003,$EX258),"")</f>
        <v/>
      </c>
      <c r="FE258">
        <f>IF($EY258="row",INDEX($DO$5:$DO$1003,$EX258),"")</f>
        <v/>
      </c>
      <c r="FF258">
        <f>IF($EY258="row",INDEX($DP$5:$DP$1003,$EX258),"")</f>
        <v/>
      </c>
      <c r="FG258">
        <f>IF($EY258="row",INDEX($DQ$5:$DQ$1003,$EX258),"")</f>
        <v/>
      </c>
      <c r="FH258">
        <f>IF($EY258="row",INDEX($DR$5:$DR$1003,$EX258),"")</f>
        <v/>
      </c>
      <c r="FI258">
        <f>IF($EY258="row",INDEX($DS$5:$DS$1003,$EX258),"")</f>
        <v/>
      </c>
      <c r="FJ258">
        <f>IF($EY258="row",INDEX($DT$5:$DT$1003,$EX258),"")</f>
        <v/>
      </c>
      <c r="FK258">
        <f>IF($EY258="row",INDEX($DU$5:$DU$1003,$EX258),"")</f>
        <v/>
      </c>
      <c r="FL258">
        <f>IF($EY258="row",INDEX($DV$5:$DV$1003,$EX258),"")</f>
        <v/>
      </c>
      <c r="FM258">
        <f>IF($EY258="row",INDEX($DW$5:$DW$1003,$EX258),"")</f>
        <v/>
      </c>
      <c r="FN258">
        <f>IF($EY258="row",INDEX($DY$5:$DY$1003,$EX258),"")</f>
        <v/>
      </c>
      <c r="FO258">
        <f>IF($EY258="row",INDEX($EA$5:$EA$1003,$EX258),"")</f>
        <v/>
      </c>
      <c r="FP258">
        <f>IF($EY258="row",INDEX($EC$5:$EC$1003,$EX258),"")</f>
        <v/>
      </c>
      <c r="FQ258">
        <f>IF($EY258="row",INDEX($ET$5:$ET$1003,$EX258),"")</f>
        <v/>
      </c>
      <c r="FR258">
        <f>IF($EY258="row",INDEX($EU$5:$EU$1003,$EX258),"")</f>
        <v/>
      </c>
      <c r="FS258">
        <f>IF(AND($EY258="row",$EY257="row"),IF(OR(INDEX($DT$5:$DT$1003,$EX257)="",INDEX($DT$5:$DT$1003,$EX258)=""),"",IF(NOT(EXACT(INDEX($DT$5:$DT$1003,$EX257),INDEX($DT$5:$DT$1003,$EX258))),"S4",IF(NOT(EXACT(INDEX($DS$5:$DS$1003,$EX257),INDEX($DS$5:$DS$1003,$EX258))),"S3",IF(NOT(EXACT(INDEX($DR$5:$DR$1003,$EX257),INDEX($DR$5:$DR$1003,$EX258))),"S1 Count Change","S1")))),"")</f>
        <v/>
      </c>
      <c r="FT258">
        <f>IF($EY258="row",INDEX($ES$5:$ES$1003,$EX258),"")</f>
        <v/>
      </c>
      <c r="FU258">
        <f>IF($EY258="row",INDEX($EO$5:$EO$1003,$EX258),0)</f>
        <v/>
      </c>
      <c r="FV258">
        <f>IF($FS258="S1 Count Change",1,0)</f>
        <v/>
      </c>
    </row>
    <row r="259">
      <c r="DA259" t="n">
        <v>255</v>
      </c>
      <c r="DB259">
        <f>IF($B$37=0,"",IFERROR(TRIM(SUBSTITUTE(SUBSTITUTE(SUBSTITUTE(SUBSTITUTE(INDEX(PASTE_ALL,255,$B$37)," "," "),CHAR(9)," "),CHAR(10)," "),CHAR(13)," ")),""))</f>
        <v/>
      </c>
      <c r="DC259">
        <f>IF(AND(255&gt;HEADER_ROW,UPPER(DB259)="LEGEND"),1,0)</f>
        <v/>
      </c>
      <c r="DE259" t="n">
        <v>255</v>
      </c>
      <c r="DF259">
        <f>HEADER_ROW+$DE259</f>
        <v/>
      </c>
      <c r="DG259">
        <f>IF(AND($DF259&lt;=1000,$DF259&lt;$B$8),1,0)</f>
        <v/>
      </c>
      <c r="DH259">
        <f>IF($DG259=1,IFERROR(INDEX($DB$5:$DB$1004,$DF259),""),"")</f>
        <v/>
      </c>
      <c r="DI259">
        <f>IF(AND($DG259=1,$DH259&lt;&gt;""),IFERROR(SUBSTITUTE(SUBSTITUTE(TRIM(SUBSTITUTE(SUBSTITUTE(SUBSTITUTE(SUBSTITUTE(IFERROR(INDEX(PASTE_ALL,$DF259,1)&amp;"","")&amp;"␟"&amp;IFERROR(INDEX(PASTE_ALL,$DF259,2)&amp;"","")&amp;"␟"&amp;IFERROR(INDEX(PASTE_ALL,$DF259,3)&amp;"","")&amp;"␟"&amp;IFERROR(INDEX(PASTE_ALL,$DF259,4)&amp;"","")&amp;"␟"&amp;IFERROR(INDEX(PASTE_ALL,$DF259,5)&amp;"","")&amp;"␟"&amp;IFERROR(INDEX(PASTE_ALL,$DF259,6)&amp;"","")&amp;"␟"&amp;IFERROR(INDEX(PASTE_ALL,$DF259,7)&amp;"","")&amp;"␟"&amp;IFERROR(INDEX(PASTE_ALL,$DF259,8)&amp;"","")&amp;"␟"&amp;IFERROR(INDEX(PASTE_ALL,$DF259,9)&amp;"","")&amp;"␟"&amp;IFERROR(INDEX(PASTE_ALL,$DF259,10)&amp;"","")&amp;"␟"&amp;IFERROR(INDEX(PASTE_ALL,$DF259,11)&amp;"","")&amp;"␟"&amp;IFERROR(INDEX(PASTE_ALL,$DF259,12)&amp;"","")&amp;"␟"&amp;IFERROR(INDEX(PASTE_ALL,$DF259,13)&amp;"","")&amp;"␟"&amp;IFERROR(INDEX(PASTE_ALL,$DF259,14)&amp;"","")&amp;"␟"&amp;IFERROR(INDEX(PASTE_ALL,$DF259,15)&amp;"","")&amp;"␟"&amp;IFERROR(INDEX(PASTE_ALL,$DF259,16)&amp;"","")&amp;"␟"&amp;IFERROR(INDEX(PASTE_ALL,$DF259,17)&amp;"","")&amp;"␟"&amp;IFERROR(INDEX(PASTE_ALL,$DF259,18)&amp;"","")&amp;"␟"&amp;IFERROR(INDEX(PASTE_ALL,$DF259,19)&amp;"","")&amp;"␟"&amp;IFERROR(INDEX(PASTE_ALL,$DF259,20)&amp;"","")&amp;"␟"&amp;IFERROR(INDEX(PASTE_ALL,$DF259,21)&amp;"","")&amp;"␟"&amp;IFERROR(INDEX(PASTE_ALL,$DF259,22)&amp;"","")&amp;"␟"&amp;IFERROR(INDEX(PASTE_ALL,$DF259,23)&amp;"","")&amp;"␟"&amp;IFERROR(INDEX(PASTE_ALL,$DF259,24)&amp;"","")&amp;"␟"&amp;IFERROR(INDEX(PASTE_ALL,$DF259,25)&amp;"","")&amp;"␟"&amp;IFERROR(INDEX(PASTE_ALL,$DF259,26)&amp;"","")&amp;"␟"&amp;IFERROR(INDEX(PASTE_ALL,$DF259,27)&amp;"","")&amp;"␟"&amp;IFERROR(INDEX(PASTE_ALL,$DF259,28)&amp;"","")&amp;"␟"&amp;IFERROR(INDEX(PASTE_ALL,$DF259,29)&amp;"","")&amp;"␟"&amp;IFERROR(INDEX(PASTE_ALL,$DF259,30)&amp;"","")&amp;"␟"&amp;IFERROR(INDEX(PASTE_ALL,$DF259,31)&amp;"","")&amp;"␟"&amp;IFERROR(INDEX(PASTE_ALL,$DF259,32)&amp;"","")&amp;"␟"&amp;IFERROR(INDEX(PASTE_ALL,$DF259,33)&amp;"","")&amp;"␟"&amp;IFERROR(INDEX(PASTE_ALL,$DF259,34)&amp;"","")&amp;"␟"&amp;IFERROR(INDEX(PASTE_ALL,$DF259,35)&amp;"","")&amp;"␟"&amp;IFERROR(INDEX(PASTE_ALL,$DF259,36)&amp;"","")&amp;"␟"&amp;IFERROR(INDEX(PASTE_ALL,$DF259,37)&amp;"","")&amp;"␟"&amp;IFERROR(INDEX(PASTE_ALL,$DF259,38)&amp;"","")&amp;"␟"&amp;IFERROR(INDEX(PASTE_ALL,$DF259,39)&amp;"","")&amp;"␟"&amp;IFERROR(INDEX(PASTE_ALL,$DF259,40)&amp;"","")&amp;"␟"&amp;IFERROR(INDEX(PASTE_ALL,$DF259,41)&amp;"","")&amp;"␟"&amp;IFERROR(INDEX(PASTE_ALL,$DF259,42)&amp;"","")&amp;"␟"&amp;IFERROR(INDEX(PASTE_ALL,$DF259,43)&amp;"","")&amp;"␟"&amp;IFERROR(INDEX(PASTE_ALL,$DF259,44)&amp;"","")&amp;"␟"&amp;IFERROR(INDEX(PASTE_ALL,$DF259,45)&amp;"","")&amp;"␟"&amp;IFERROR(INDEX(PASTE_ALL,$DF259,46)&amp;"","")&amp;"␟"&amp;IFERROR(INDEX(PASTE_ALL,$DF259,47)&amp;"","")&amp;"␟"&amp;IFERROR(INDEX(PASTE_ALL,$DF259,48)&amp;"","")&amp;"␟"&amp;IFERROR(INDEX(PASTE_ALL,$DF259,49)&amp;"","")&amp;"␟"&amp;IFERROR(INDEX(PASTE_ALL,$DF259,50)&amp;"","")&amp;"␟"&amp;IFERROR(INDEX(PASTE_ALL,$DF259,51)&amp;"","")&amp;"␟"&amp;IFERROR(INDEX(PASTE_ALL,$DF259,52)&amp;"","")&amp;"␟"&amp;IFERROR(INDEX(PASTE_ALL,$DF259,53)&amp;"","")&amp;"␟"&amp;IFERROR(INDEX(PASTE_ALL,$DF259,54)&amp;"","")&amp;"␟"&amp;IFERROR(INDEX(PASTE_ALL,$DF259,55)&amp;"","")&amp;"␟"&amp;IFERROR(INDEX(PASTE_ALL,$DF259,56)&amp;"","")&amp;"␟"&amp;IFERROR(INDEX(PASTE_ALL,$DF259,57)&amp;"","")&amp;"␟"&amp;IFERROR(INDEX(PASTE_ALL,$DF259,58)&amp;"","")&amp;"␟"&amp;IFERROR(INDEX(PASTE_ALL,$DF259,59)&amp;"","")&amp;"␟"&amp;IFERROR(INDEX(PASTE_ALL,$DF259,60)&amp;"","")," "," "),CHAR(9)," "),CHAR(10)," "),CHAR(13)," "))," ␟","␟"),"␟ ","␟"),"#"&amp;$DE259),"")</f>
        <v/>
      </c>
      <c r="DJ259">
        <f>IF($DI259="",0,IF(SUMPRODUCT(--EXACT($DI$4:DI258,$DI259))&gt;0,1,0))</f>
        <v/>
      </c>
      <c r="DK259">
        <f>IF(AND($DI259&lt;&gt;"",$DJ259=0),1,0)</f>
        <v/>
      </c>
      <c r="DL259">
        <f>DL258+$DK259</f>
        <v/>
      </c>
      <c r="DM259">
        <f>IF(AND($DK259=1,$DL259&lt;=600),1,0)</f>
        <v/>
      </c>
      <c r="DN259">
        <f>IF($DM259=0,"",IF($L$6=0,"",IFERROR(IF(ISNUMBER(INDEX(PASTE_ALL,$DF259,$L$6)),INDEX(PASTE_ALL,$DF259,$L$6),TRIM(SUBSTITUTE(SUBSTITUTE(SUBSTITUTE(SUBSTITUTE(INDEX(PASTE_ALL,$DF259,$L$6)," "," "),CHAR(9)," "),CHAR(10)," "),CHAR(13)," "))),"")))</f>
        <v/>
      </c>
      <c r="DO259">
        <f>IF($DM259=0,"",IF($L$7=0,"",IFERROR(IF(ISNUMBER(INDEX(PASTE_ALL,$DF259,$L$7)),INDEX(PASTE_ALL,$DF259,$L$7),TRIM(SUBSTITUTE(SUBSTITUTE(SUBSTITUTE(SUBSTITUTE(INDEX(PASTE_ALL,$DF259,$L$7)," "," "),CHAR(9)," "),CHAR(10)," "),CHAR(13)," "))),"")))</f>
        <v/>
      </c>
      <c r="DP259">
        <f>IF($DM259=0,"",IF($L$8=0,"",IFERROR(IF(ISNUMBER(INDEX(PASTE_ALL,$DF259,$L$8)),INDEX(PASTE_ALL,$DF259,$L$8),TRIM(SUBSTITUTE(SUBSTITUTE(SUBSTITUTE(SUBSTITUTE(INDEX(PASTE_ALL,$DF259,$L$8)," "," "),CHAR(9)," "),CHAR(10)," "),CHAR(13)," "))),"")))</f>
        <v/>
      </c>
      <c r="DQ259">
        <f>IF($DM259=0,"",IF($L$9=0,"",IFERROR(IF(ISNUMBER(INDEX(PASTE_ALL,$DF259,$L$9)),INDEX(PASTE_ALL,$DF259,$L$9),TRIM(SUBSTITUTE(SUBSTITUTE(SUBSTITUTE(SUBSTITUTE(INDEX(PASTE_ALL,$DF259,$L$9)," "," "),CHAR(9)," "),CHAR(10)," "),CHAR(13)," "))),"")))</f>
        <v/>
      </c>
      <c r="DR259">
        <f>IF($DM259=0,"",IF($L$10=0,"",IFERROR(IF(ISNUMBER(INDEX(PASTE_ALL,$DF259,$L$10)),INDEX(PASTE_ALL,$DF259,$L$10),TRIM(SUBSTITUTE(SUBSTITUTE(SUBSTITUTE(SUBSTITUTE(INDEX(PASTE_ALL,$DF259,$L$10)," "," "),CHAR(9)," "),CHAR(10)," "),CHAR(13)," "))),"")))</f>
        <v/>
      </c>
      <c r="DS259">
        <f>IF($DM259=0,"",IF($L$11=0,"",IFERROR(IF(ISNUMBER(INDEX(PASTE_ALL,$DF259,$L$11)),INDEX(PASTE_ALL,$DF259,$L$11),TRIM(SUBSTITUTE(SUBSTITUTE(SUBSTITUTE(SUBSTITUTE(INDEX(PASTE_ALL,$DF259,$L$11)," "," "),CHAR(9)," "),CHAR(10)," "),CHAR(13)," "))),"")))</f>
        <v/>
      </c>
      <c r="DT259">
        <f>IF($DM259=0,"",IF($L$12=0,"",IFERROR(IF(ISNUMBER(INDEX(PASTE_ALL,$DF259,$L$12)),INDEX(PASTE_ALL,$DF259,$L$12),TRIM(SUBSTITUTE(SUBSTITUTE(SUBSTITUTE(SUBSTITUTE(INDEX(PASTE_ALL,$DF259,$L$12)," "," "),CHAR(9)," "),CHAR(10)," "),CHAR(13)," "))),"")))</f>
        <v/>
      </c>
      <c r="DU259">
        <f>IF($DM259=0,"",IF($L$13=0,"",IFERROR(IF(ISNUMBER(INDEX(PASTE_ALL,$DF259,$L$13)),INDEX(PASTE_ALL,$DF259,$L$13),TRIM(SUBSTITUTE(SUBSTITUTE(SUBSTITUTE(SUBSTITUTE(INDEX(PASTE_ALL,$DF259,$L$13)," "," "),CHAR(9)," "),CHAR(10)," "),CHAR(13)," "))),"")))</f>
        <v/>
      </c>
      <c r="DV259">
        <f>IF($DM259=0,"",IF($L$14=0,"",IFERROR(IF(ISNUMBER(INDEX(PASTE_ALL,$DF259,$L$14)),INDEX(PASTE_ALL,$DF259,$L$14),TRIM(SUBSTITUTE(SUBSTITUTE(SUBSTITUTE(SUBSTITUTE(INDEX(PASTE_ALL,$DF259,$L$14)," "," "),CHAR(9)," "),CHAR(10)," "),CHAR(13)," "))),"")))</f>
        <v/>
      </c>
      <c r="DW259">
        <f>IF($DM259=0,"",IF($L$15=0,"",IFERROR(IF(ISNUMBER(INDEX(PASTE_ALL,$DF259,$L$15)),INDEX(PASTE_ALL,$DF259,$L$15),IF(SUMPRODUCT(--ISNUMBER(FIND({"A","B","C","D","E","F","G","H","I","J","K","L","M","N","O","P","Q","R","S","T","U","V","W","X","Y","Z","0","1","2","3","4","5","6","7","8","9"},UPPER(TRIM(SUBSTITUTE(SUBSTITUTE(SUBSTITUTE(SUBSTITUTE(INDEX(PASTE_ALL,$DF259,$L$15)," "," "),CHAR(9)," "),CHAR(10)," "),CHAR(13)," "))))))&gt;0,TRIM(SUBSTITUTE(SUBSTITUTE(SUBSTITUTE(SUBSTITUTE(INDEX(PASTE_ALL,$DF259,$L$15)," "," "),CHAR(9)," "),CHAR(10)," "),CHAR(13)," ")),"")),"")))</f>
        <v/>
      </c>
      <c r="DX259">
        <f>IF($DM259=0,"",IF($L$16=0,"",IFERROR(IF(ISNUMBER(INDEX(PASTE_ALL,$DF259,$L$16)),INDEX(PASTE_ALL,$DF259,$L$16),SUBSTITUTE(SUBSTITUTE(TRIM(SUBSTITUTE(SUBSTITUTE(SUBSTITUTE(SUBSTITUTE(INDEX(PASTE_ALL,$DF259,$L$16)," "," "),CHAR(9)," "),CHAR(10)," "),CHAR(13)," ")),",",""),"%","")),"")))</f>
        <v/>
      </c>
      <c r="DY259">
        <f>IF($DM259=0,"",IFERROR(IF(ISNUMBER($DX259),$DX259,IF($DX259="","",IF(TRIM($DX259)="",0,IF(AND(AND(SUBSTITUTE(SUBSTITUTE(SUBSTITUTE(SUBSTITUTE(SUBSTITUTE(SUBSTITUTE(SUBSTITUTE(SUBSTITUTE(SUBSTITUTE(SUBSTITUTE(SUBSTITUTE(SUBSTITUTE(SUBSTITUTE(SUBSTITUTE(UPPER(TRIM($DX259)),"0",""),"1",""),"2",""),"3",""),"4",""),"5",""),"6",""),"7",""),"8",""),"9",""),".",""),"+",""),"-",""),"E","")="",LEN(SUBSTITUTE(SUBSTITUTE(MID(UPPER(TRIM($DX259)),1+OR(LEFT(UPPER(TRIM($DX259)),1)="+",LEFT(UPPER(TRIM($DX259)),1)="-"),999),"E+","E"),"E-","E"))=LEN(SUBSTITUTE(SUBSTITUTE(SUBSTITUTE(SUBSTITUTE(MID(UPPER(TRIM($DX259)),1+OR(LEFT(UPPER(TRIM($DX259)),1)="+",LEFT(UPPER(TRIM($DX259)),1)="-"),999),"E+","E"),"E-","E"),"+",""),"-","")),LEN(UPPER(TRIM($DX259)))-LEN(SUBSTITUTE(UPPER(TRIM($DX259)),"E",""))&lt;2,LEN(UPPER(TRIM($DX259)))-LEN(SUBSTITUTE(UPPER(TRIM($DX259)),".",""))&lt;2,IFERROR(FIND(".",UPPER(TRIM($DX259))),0)&lt;IFERROR(FIND("E",UPPER(TRIM($DX259))),999)),ISNUMBER(VALUE(TRIM($DX259)))),VALUE(TRIM($DX259)),"")))),""))</f>
        <v/>
      </c>
      <c r="DZ259">
        <f>IF($DM259=0,"",IF($L$17=0,"",IFERROR(IF(ISNUMBER(INDEX(PASTE_ALL,$DF259,$L$17)),INDEX(PASTE_ALL,$DF259,$L$17),SUBSTITUTE(SUBSTITUTE(TRIM(SUBSTITUTE(SUBSTITUTE(SUBSTITUTE(SUBSTITUTE(INDEX(PASTE_ALL,$DF259,$L$17)," "," "),CHAR(9)," "),CHAR(10)," "),CHAR(13)," ")),",",""),"%","")),"")))</f>
        <v/>
      </c>
      <c r="EA259">
        <f>IF($DM259=0,"",IFERROR(IF(ISNUMBER($DZ259),$DZ259,IF($DZ259="","",IF(TRIM($DZ259)="",0,IF(AND(AND(SUBSTITUTE(SUBSTITUTE(SUBSTITUTE(SUBSTITUTE(SUBSTITUTE(SUBSTITUTE(SUBSTITUTE(SUBSTITUTE(SUBSTITUTE(SUBSTITUTE(SUBSTITUTE(SUBSTITUTE(SUBSTITUTE(SUBSTITUTE(UPPER(TRIM($DZ259)),"0",""),"1",""),"2",""),"3",""),"4",""),"5",""),"6",""),"7",""),"8",""),"9",""),".",""),"+",""),"-",""),"E","")="",LEN(SUBSTITUTE(SUBSTITUTE(MID(UPPER(TRIM($DZ259)),1+OR(LEFT(UPPER(TRIM($DZ259)),1)="+",LEFT(UPPER(TRIM($DZ259)),1)="-"),999),"E+","E"),"E-","E"))=LEN(SUBSTITUTE(SUBSTITUTE(SUBSTITUTE(SUBSTITUTE(MID(UPPER(TRIM($DZ259)),1+OR(LEFT(UPPER(TRIM($DZ259)),1)="+",LEFT(UPPER(TRIM($DZ259)),1)="-"),999),"E+","E"),"E-","E"),"+",""),"-","")),LEN(UPPER(TRIM($DZ259)))-LEN(SUBSTITUTE(UPPER(TRIM($DZ259)),"E",""))&lt;2,LEN(UPPER(TRIM($DZ259)))-LEN(SUBSTITUTE(UPPER(TRIM($DZ259)),".",""))&lt;2,IFERROR(FIND(".",UPPER(TRIM($DZ259))),0)&lt;IFERROR(FIND("E",UPPER(TRIM($DZ259))),999)),ISNUMBER(VALUE(TRIM($DZ259)))),VALUE(TRIM($DZ259)),"")))),""))</f>
        <v/>
      </c>
      <c r="EB259">
        <f>IF($DM259=0,"",IF($L$18=0,"",IFERROR(IF(UPPER(TRIM(SUBSTITUTE(SUBSTITUTE(SUBSTITUTE(SUBSTITUTE(INDEX(PASTE_ALL,$DF259,$L$18)," "," "),CHAR(9)," "),CHAR(10)," "),CHAR(13)," ")))="READY","Ready",IF(UPPER(TRIM(SUBSTITUTE(SUBSTITUTE(SUBSTITUTE(SUBSTITUTE(INDEX(PASTE_ALL,$DF259,$L$18)," "," "),CHAR(9)," "),CHAR(10)," "),CHAR(13)," ")))="PM","PM",IF(OR(UPPER(TRIM(SUBSTITUTE(SUBSTITUTE(SUBSTITUTE(SUBSTITUTE(INDEX(PASTE_ALL,$DF259,$L$18)," "," "),CHAR(9)," "),CHAR(10)," "),CHAR(13)," ")))="OT",UPPER(TRIM(SUBSTITUTE(SUBSTITUTE(SUBSTITUTE(SUBSTITUTE(INDEX(PASTE_ALL,$DF259,$L$18)," "," "),CHAR(9)," "),CHAR(10)," "),CHAR(13)," ")))="OVERTIME",UPPER(TRIM(SUBSTITUTE(SUBSTITUTE(SUBSTITUTE(SUBSTITUTE(INDEX(PASTE_ALL,$DF259,$L$18)," "," "),CHAR(9)," "),CHAR(10)," "),CHAR(13)," ")))="TRIAL"),"OT",TRIM(SUBSTITUTE(SUBSTITUTE(SUBSTITUTE(SUBSTITUTE(INDEX(PASTE_ALL,$DF259,$L$18)," "," "),CHAR(9)," "),CHAR(10)," "),CHAR(13)," "))))),"")))</f>
        <v/>
      </c>
      <c r="EC259">
        <f>IF($DM259=0,"",IF($L$19=0,"",IFERROR(IF(ISNUMBER(INDEX(PASTE_ALL,$DF259,$L$19)),INDEX(PASTE_ALL,$DF259,$L$19),TRIM(SUBSTITUTE(SUBSTITUTE(SUBSTITUTE(SUBSTITUTE(INDEX(PASTE_ALL,$DF259,$L$19)," "," "),CHAR(9)," "),CHAR(10)," "),CHAR(13)," "))),"")))</f>
        <v/>
      </c>
      <c r="ED259">
        <f>IF($DM259=0,"",MATCH(1,INDEX(EXACT($DH$5:DH259,$DH259)*$DM$5:DM259,0),0))</f>
        <v/>
      </c>
      <c r="EE259">
        <f>IF($DM259=0,0,IF($ED259=$DE259,1,0))</f>
        <v/>
      </c>
      <c r="EF259">
        <f>EF258+$EE259</f>
        <v/>
      </c>
      <c r="EG259">
        <f>IF($DM259=0,"",INDEX($EF$5:$EF$1003,$ED259))</f>
        <v/>
      </c>
      <c r="EH259">
        <f>IF($DM259=0,"",IF($DO259&lt;&gt;"","",IFERROR(LOOKUP(2,1/(($EG$4:EG258=$EG259)*($DO$4:DO258&lt;&gt;"")),$DO$4:DO258),"")))</f>
        <v/>
      </c>
      <c r="EI259">
        <f>IF($DM259=0,"",IF($DO259&lt;&gt;"",$DO259,$EH259))</f>
        <v/>
      </c>
      <c r="EJ259">
        <f>IF($DM259=0,"",IF($EI259="",0,IF(OR(ISNUMBER($EI259),AND(AND(SUBSTITUTE(SUBSTITUTE(SUBSTITUTE(SUBSTITUTE(SUBSTITUTE(SUBSTITUTE(SUBSTITUTE(SUBSTITUTE(SUBSTITUTE(SUBSTITUTE(SUBSTITUTE(SUBSTITUTE(SUBSTITUTE(SUBSTITUTE(UPPER($EI259),"0",""),"1",""),"2",""),"3",""),"4",""),"5",""),"6",""),"7",""),"8",""),"9",""),".",""),"+",""),"-",""),"E","")="",LEN(SUBSTITUTE(SUBSTITUTE(MID(UPPER($EI259),1+OR(LEFT(UPPER($EI259),1)="+",LEFT(UPPER($EI259),1)="-"),999),"E+","E"),"E-","E"))=LEN(SUBSTITUTE(SUBSTITUTE(SUBSTITUTE(SUBSTITUTE(MID(UPPER($EI259),1+OR(LEFT(UPPER($EI259),1)="+",LEFT(UPPER($EI259),1)="-"),999),"E+","E"),"E-","E"),"+",""),"-","")),LEN(UPPER($EI259))-LEN(SUBSTITUTE(UPPER($EI259),"E",""))&lt;2,LEN(UPPER($EI259))-LEN(SUBSTITUTE(UPPER($EI259),".",""))&lt;2,IFERROR(FIND(".",UPPER($EI259)),0)&lt;IFERROR(FIND("E",UPPER($EI259)),999)),ISNUMBER(VALUE($EI259)))),1,2)))</f>
        <v/>
      </c>
      <c r="EK259">
        <f>IF($DM259=0,"",IF($EJ259=1,IF(ISNUMBER($EI259),$EI259,VALUE($EI259)),IF($EJ259=2,$DE259,0)))</f>
        <v/>
      </c>
      <c r="EL259">
        <f>IF($DM259=0,"",COUNTIF($EG$5:$EG$1003,"&lt;"&amp;$EG259)+SUMPRODUCT(($EG$5:$EG$1003=$EG259)*(($EJ$5:$EJ$1003&lt;$EJ259)+($EJ$5:$EJ$1003=$EJ259)*(($EK$5:$EK$1003&lt;$EK259)+($EK$5:$EK$1003=$EK259)*($DE$5:$DE$1003&lt;$DE259))))+1)</f>
        <v/>
      </c>
      <c r="EM259">
        <f>IF($DM259=0,"",$EL259+$EG259-1)</f>
        <v/>
      </c>
      <c r="EN259">
        <f>IF($DM259=0,0,IFERROR(MATCH(1,INDEX(--(TRIM(SUBSTITUTE(SUBSTITUTE(SUBSTITUTE(SUBSTITUTE(LINES_NAME&amp;""," "," "),CHAR(9)," "),CHAR(10)," "),CHAR(13)," "))=$DH259),0),0),0))</f>
        <v/>
      </c>
      <c r="EO259">
        <f>IF($EN259=0,0,IF(OR(UPPER(TRIM(INDEX(LINES_SCHEDULED,$EN259)&amp;""))="YES",UPPER(TRIM(INDEX(LINES_SCHEDULED,$EN259)&amp;""))="Y",UPPER(TRIM(INDEX(LINES_SCHEDULED,$EN259)&amp;""))="X"),1,0))</f>
        <v/>
      </c>
      <c r="EP259">
        <f>IF($DM259=0,"",IF(COUNTIFS($EG$5:$EG$1003,$EG259,$EB$5:$EB$1003,"Ready")&gt;0,"READY",IF(COUNTIFS($EG$5:$EG$1003,$EG259,$EB$5:$EB$1003,"PM")&gt;0,"PM",IF(COUNTIFS($EG$5:$EG$1003,$EG259,$EB$5:$EB$1003,"OT")&gt;0,"OT",""))))</f>
        <v/>
      </c>
      <c r="EQ259">
        <f>IF($EN259=0,"",UPPER(TRIM(INDEX(LINES_STATUS,$EN259)&amp;"")))</f>
        <v/>
      </c>
      <c r="ER259">
        <f>IF($DM259=0,"",IF(OR($EQ259="READY",$EQ259="PM",$EQ259="OT"),$EQ259,$EP259))</f>
        <v/>
      </c>
      <c r="ES259">
        <f>IF($DM259=0,"",IF(AND($DV259&lt;&gt;"",UPPER($DV259)&lt;&gt;"N"),"allergen",IF(ISNUMBER(SEARCH("oil",$DQ259)),"oil",IF(OR(EXACT($DS259,"A662"),EXACT($DS259,"A624")),"bulk",""))))</f>
        <v/>
      </c>
      <c r="ET259">
        <f>IF($DM259=0,"",IF(OR($EA259="",$EA259=0),"",$EA259/100))</f>
        <v/>
      </c>
      <c r="EU259">
        <f>IF(OR($ET259="",$DY259=""),"",INT($DY259*(1-$ET259)+0.5))</f>
        <v/>
      </c>
      <c r="EW259" t="n">
        <v>255</v>
      </c>
      <c r="EX259">
        <f>IFERROR(MATCH($EW259,$EM$5:$EM$1003,0),0)</f>
        <v/>
      </c>
      <c r="EY259">
        <f>IF($EW259&gt;$B$12,"",IF($EX259&gt;0,"row","spacer"))</f>
        <v/>
      </c>
      <c r="EZ259">
        <f>IF(AND($EY259="row",$EY258&lt;&gt;"row"),1,0)</f>
        <v/>
      </c>
      <c r="FA259">
        <f>IF(AND($EY259="row",$EY260&lt;&gt;"row"),1,0)</f>
        <v/>
      </c>
      <c r="FB259">
        <f>IF($EZ259=1,IFERROR(IF(ISNUMBER(INDEX(PASTE_ALL,INDEX($DF$5:$DF$1003,$EX259),$B$37)),INDEX(PASTE_ALL,INDEX($DF$5:$DF$1003,$EX259),$B$37),INDEX($DH$5:$DH$1003,$EX259)),INDEX($DH$5:$DH$1003,$EX259)),"")</f>
        <v/>
      </c>
      <c r="FC259">
        <f>IF($EY259="row",INDEX($ER$5:$ER$1003,$EX259),"")</f>
        <v/>
      </c>
      <c r="FD259">
        <f>IF($EY259="row",INDEX($DN$5:$DN$1003,$EX259),"")</f>
        <v/>
      </c>
      <c r="FE259">
        <f>IF($EY259="row",INDEX($DO$5:$DO$1003,$EX259),"")</f>
        <v/>
      </c>
      <c r="FF259">
        <f>IF($EY259="row",INDEX($DP$5:$DP$1003,$EX259),"")</f>
        <v/>
      </c>
      <c r="FG259">
        <f>IF($EY259="row",INDEX($DQ$5:$DQ$1003,$EX259),"")</f>
        <v/>
      </c>
      <c r="FH259">
        <f>IF($EY259="row",INDEX($DR$5:$DR$1003,$EX259),"")</f>
        <v/>
      </c>
      <c r="FI259">
        <f>IF($EY259="row",INDEX($DS$5:$DS$1003,$EX259),"")</f>
        <v/>
      </c>
      <c r="FJ259">
        <f>IF($EY259="row",INDEX($DT$5:$DT$1003,$EX259),"")</f>
        <v/>
      </c>
      <c r="FK259">
        <f>IF($EY259="row",INDEX($DU$5:$DU$1003,$EX259),"")</f>
        <v/>
      </c>
      <c r="FL259">
        <f>IF($EY259="row",INDEX($DV$5:$DV$1003,$EX259),"")</f>
        <v/>
      </c>
      <c r="FM259">
        <f>IF($EY259="row",INDEX($DW$5:$DW$1003,$EX259),"")</f>
        <v/>
      </c>
      <c r="FN259">
        <f>IF($EY259="row",INDEX($DY$5:$DY$1003,$EX259),"")</f>
        <v/>
      </c>
      <c r="FO259">
        <f>IF($EY259="row",INDEX($EA$5:$EA$1003,$EX259),"")</f>
        <v/>
      </c>
      <c r="FP259">
        <f>IF($EY259="row",INDEX($EC$5:$EC$1003,$EX259),"")</f>
        <v/>
      </c>
      <c r="FQ259">
        <f>IF($EY259="row",INDEX($ET$5:$ET$1003,$EX259),"")</f>
        <v/>
      </c>
      <c r="FR259">
        <f>IF($EY259="row",INDEX($EU$5:$EU$1003,$EX259),"")</f>
        <v/>
      </c>
      <c r="FS259">
        <f>IF(AND($EY259="row",$EY258="row"),IF(OR(INDEX($DT$5:$DT$1003,$EX258)="",INDEX($DT$5:$DT$1003,$EX259)=""),"",IF(NOT(EXACT(INDEX($DT$5:$DT$1003,$EX258),INDEX($DT$5:$DT$1003,$EX259))),"S4",IF(NOT(EXACT(INDEX($DS$5:$DS$1003,$EX258),INDEX($DS$5:$DS$1003,$EX259))),"S3",IF(NOT(EXACT(INDEX($DR$5:$DR$1003,$EX258),INDEX($DR$5:$DR$1003,$EX259))),"S1 Count Change","S1")))),"")</f>
        <v/>
      </c>
      <c r="FT259">
        <f>IF($EY259="row",INDEX($ES$5:$ES$1003,$EX259),"")</f>
        <v/>
      </c>
      <c r="FU259">
        <f>IF($EY259="row",INDEX($EO$5:$EO$1003,$EX259),0)</f>
        <v/>
      </c>
      <c r="FV259">
        <f>IF($FS259="S1 Count Change",1,0)</f>
        <v/>
      </c>
    </row>
    <row r="260">
      <c r="DA260" t="n">
        <v>256</v>
      </c>
      <c r="DB260">
        <f>IF($B$37=0,"",IFERROR(TRIM(SUBSTITUTE(SUBSTITUTE(SUBSTITUTE(SUBSTITUTE(INDEX(PASTE_ALL,256,$B$37)," "," "),CHAR(9)," "),CHAR(10)," "),CHAR(13)," ")),""))</f>
        <v/>
      </c>
      <c r="DC260">
        <f>IF(AND(256&gt;HEADER_ROW,UPPER(DB260)="LEGEND"),1,0)</f>
        <v/>
      </c>
      <c r="DE260" t="n">
        <v>256</v>
      </c>
      <c r="DF260">
        <f>HEADER_ROW+$DE260</f>
        <v/>
      </c>
      <c r="DG260">
        <f>IF(AND($DF260&lt;=1000,$DF260&lt;$B$8),1,0)</f>
        <v/>
      </c>
      <c r="DH260">
        <f>IF($DG260=1,IFERROR(INDEX($DB$5:$DB$1004,$DF260),""),"")</f>
        <v/>
      </c>
      <c r="DI260">
        <f>IF(AND($DG260=1,$DH260&lt;&gt;""),IFERROR(SUBSTITUTE(SUBSTITUTE(TRIM(SUBSTITUTE(SUBSTITUTE(SUBSTITUTE(SUBSTITUTE(IFERROR(INDEX(PASTE_ALL,$DF260,1)&amp;"","")&amp;"␟"&amp;IFERROR(INDEX(PASTE_ALL,$DF260,2)&amp;"","")&amp;"␟"&amp;IFERROR(INDEX(PASTE_ALL,$DF260,3)&amp;"","")&amp;"␟"&amp;IFERROR(INDEX(PASTE_ALL,$DF260,4)&amp;"","")&amp;"␟"&amp;IFERROR(INDEX(PASTE_ALL,$DF260,5)&amp;"","")&amp;"␟"&amp;IFERROR(INDEX(PASTE_ALL,$DF260,6)&amp;"","")&amp;"␟"&amp;IFERROR(INDEX(PASTE_ALL,$DF260,7)&amp;"","")&amp;"␟"&amp;IFERROR(INDEX(PASTE_ALL,$DF260,8)&amp;"","")&amp;"␟"&amp;IFERROR(INDEX(PASTE_ALL,$DF260,9)&amp;"","")&amp;"␟"&amp;IFERROR(INDEX(PASTE_ALL,$DF260,10)&amp;"","")&amp;"␟"&amp;IFERROR(INDEX(PASTE_ALL,$DF260,11)&amp;"","")&amp;"␟"&amp;IFERROR(INDEX(PASTE_ALL,$DF260,12)&amp;"","")&amp;"␟"&amp;IFERROR(INDEX(PASTE_ALL,$DF260,13)&amp;"","")&amp;"␟"&amp;IFERROR(INDEX(PASTE_ALL,$DF260,14)&amp;"","")&amp;"␟"&amp;IFERROR(INDEX(PASTE_ALL,$DF260,15)&amp;"","")&amp;"␟"&amp;IFERROR(INDEX(PASTE_ALL,$DF260,16)&amp;"","")&amp;"␟"&amp;IFERROR(INDEX(PASTE_ALL,$DF260,17)&amp;"","")&amp;"␟"&amp;IFERROR(INDEX(PASTE_ALL,$DF260,18)&amp;"","")&amp;"␟"&amp;IFERROR(INDEX(PASTE_ALL,$DF260,19)&amp;"","")&amp;"␟"&amp;IFERROR(INDEX(PASTE_ALL,$DF260,20)&amp;"","")&amp;"␟"&amp;IFERROR(INDEX(PASTE_ALL,$DF260,21)&amp;"","")&amp;"␟"&amp;IFERROR(INDEX(PASTE_ALL,$DF260,22)&amp;"","")&amp;"␟"&amp;IFERROR(INDEX(PASTE_ALL,$DF260,23)&amp;"","")&amp;"␟"&amp;IFERROR(INDEX(PASTE_ALL,$DF260,24)&amp;"","")&amp;"␟"&amp;IFERROR(INDEX(PASTE_ALL,$DF260,25)&amp;"","")&amp;"␟"&amp;IFERROR(INDEX(PASTE_ALL,$DF260,26)&amp;"","")&amp;"␟"&amp;IFERROR(INDEX(PASTE_ALL,$DF260,27)&amp;"","")&amp;"␟"&amp;IFERROR(INDEX(PASTE_ALL,$DF260,28)&amp;"","")&amp;"␟"&amp;IFERROR(INDEX(PASTE_ALL,$DF260,29)&amp;"","")&amp;"␟"&amp;IFERROR(INDEX(PASTE_ALL,$DF260,30)&amp;"","")&amp;"␟"&amp;IFERROR(INDEX(PASTE_ALL,$DF260,31)&amp;"","")&amp;"␟"&amp;IFERROR(INDEX(PASTE_ALL,$DF260,32)&amp;"","")&amp;"␟"&amp;IFERROR(INDEX(PASTE_ALL,$DF260,33)&amp;"","")&amp;"␟"&amp;IFERROR(INDEX(PASTE_ALL,$DF260,34)&amp;"","")&amp;"␟"&amp;IFERROR(INDEX(PASTE_ALL,$DF260,35)&amp;"","")&amp;"␟"&amp;IFERROR(INDEX(PASTE_ALL,$DF260,36)&amp;"","")&amp;"␟"&amp;IFERROR(INDEX(PASTE_ALL,$DF260,37)&amp;"","")&amp;"␟"&amp;IFERROR(INDEX(PASTE_ALL,$DF260,38)&amp;"","")&amp;"␟"&amp;IFERROR(INDEX(PASTE_ALL,$DF260,39)&amp;"","")&amp;"␟"&amp;IFERROR(INDEX(PASTE_ALL,$DF260,40)&amp;"","")&amp;"␟"&amp;IFERROR(INDEX(PASTE_ALL,$DF260,41)&amp;"","")&amp;"␟"&amp;IFERROR(INDEX(PASTE_ALL,$DF260,42)&amp;"","")&amp;"␟"&amp;IFERROR(INDEX(PASTE_ALL,$DF260,43)&amp;"","")&amp;"␟"&amp;IFERROR(INDEX(PASTE_ALL,$DF260,44)&amp;"","")&amp;"␟"&amp;IFERROR(INDEX(PASTE_ALL,$DF260,45)&amp;"","")&amp;"␟"&amp;IFERROR(INDEX(PASTE_ALL,$DF260,46)&amp;"","")&amp;"␟"&amp;IFERROR(INDEX(PASTE_ALL,$DF260,47)&amp;"","")&amp;"␟"&amp;IFERROR(INDEX(PASTE_ALL,$DF260,48)&amp;"","")&amp;"␟"&amp;IFERROR(INDEX(PASTE_ALL,$DF260,49)&amp;"","")&amp;"␟"&amp;IFERROR(INDEX(PASTE_ALL,$DF260,50)&amp;"","")&amp;"␟"&amp;IFERROR(INDEX(PASTE_ALL,$DF260,51)&amp;"","")&amp;"␟"&amp;IFERROR(INDEX(PASTE_ALL,$DF260,52)&amp;"","")&amp;"␟"&amp;IFERROR(INDEX(PASTE_ALL,$DF260,53)&amp;"","")&amp;"␟"&amp;IFERROR(INDEX(PASTE_ALL,$DF260,54)&amp;"","")&amp;"␟"&amp;IFERROR(INDEX(PASTE_ALL,$DF260,55)&amp;"","")&amp;"␟"&amp;IFERROR(INDEX(PASTE_ALL,$DF260,56)&amp;"","")&amp;"␟"&amp;IFERROR(INDEX(PASTE_ALL,$DF260,57)&amp;"","")&amp;"␟"&amp;IFERROR(INDEX(PASTE_ALL,$DF260,58)&amp;"","")&amp;"␟"&amp;IFERROR(INDEX(PASTE_ALL,$DF260,59)&amp;"","")&amp;"␟"&amp;IFERROR(INDEX(PASTE_ALL,$DF260,60)&amp;"","")," "," "),CHAR(9)," "),CHAR(10)," "),CHAR(13)," "))," ␟","␟"),"␟ ","␟"),"#"&amp;$DE260),"")</f>
        <v/>
      </c>
      <c r="DJ260">
        <f>IF($DI260="",0,IF(SUMPRODUCT(--EXACT($DI$4:DI259,$DI260))&gt;0,1,0))</f>
        <v/>
      </c>
      <c r="DK260">
        <f>IF(AND($DI260&lt;&gt;"",$DJ260=0),1,0)</f>
        <v/>
      </c>
      <c r="DL260">
        <f>DL259+$DK260</f>
        <v/>
      </c>
      <c r="DM260">
        <f>IF(AND($DK260=1,$DL260&lt;=600),1,0)</f>
        <v/>
      </c>
      <c r="DN260">
        <f>IF($DM260=0,"",IF($L$6=0,"",IFERROR(IF(ISNUMBER(INDEX(PASTE_ALL,$DF260,$L$6)),INDEX(PASTE_ALL,$DF260,$L$6),TRIM(SUBSTITUTE(SUBSTITUTE(SUBSTITUTE(SUBSTITUTE(INDEX(PASTE_ALL,$DF260,$L$6)," "," "),CHAR(9)," "),CHAR(10)," "),CHAR(13)," "))),"")))</f>
        <v/>
      </c>
      <c r="DO260">
        <f>IF($DM260=0,"",IF($L$7=0,"",IFERROR(IF(ISNUMBER(INDEX(PASTE_ALL,$DF260,$L$7)),INDEX(PASTE_ALL,$DF260,$L$7),TRIM(SUBSTITUTE(SUBSTITUTE(SUBSTITUTE(SUBSTITUTE(INDEX(PASTE_ALL,$DF260,$L$7)," "," "),CHAR(9)," "),CHAR(10)," "),CHAR(13)," "))),"")))</f>
        <v/>
      </c>
      <c r="DP260">
        <f>IF($DM260=0,"",IF($L$8=0,"",IFERROR(IF(ISNUMBER(INDEX(PASTE_ALL,$DF260,$L$8)),INDEX(PASTE_ALL,$DF260,$L$8),TRIM(SUBSTITUTE(SUBSTITUTE(SUBSTITUTE(SUBSTITUTE(INDEX(PASTE_ALL,$DF260,$L$8)," "," "),CHAR(9)," "),CHAR(10)," "),CHAR(13)," "))),"")))</f>
        <v/>
      </c>
      <c r="DQ260">
        <f>IF($DM260=0,"",IF($L$9=0,"",IFERROR(IF(ISNUMBER(INDEX(PASTE_ALL,$DF260,$L$9)),INDEX(PASTE_ALL,$DF260,$L$9),TRIM(SUBSTITUTE(SUBSTITUTE(SUBSTITUTE(SUBSTITUTE(INDEX(PASTE_ALL,$DF260,$L$9)," "," "),CHAR(9)," "),CHAR(10)," "),CHAR(13)," "))),"")))</f>
        <v/>
      </c>
      <c r="DR260">
        <f>IF($DM260=0,"",IF($L$10=0,"",IFERROR(IF(ISNUMBER(INDEX(PASTE_ALL,$DF260,$L$10)),INDEX(PASTE_ALL,$DF260,$L$10),TRIM(SUBSTITUTE(SUBSTITUTE(SUBSTITUTE(SUBSTITUTE(INDEX(PASTE_ALL,$DF260,$L$10)," "," "),CHAR(9)," "),CHAR(10)," "),CHAR(13)," "))),"")))</f>
        <v/>
      </c>
      <c r="DS260">
        <f>IF($DM260=0,"",IF($L$11=0,"",IFERROR(IF(ISNUMBER(INDEX(PASTE_ALL,$DF260,$L$11)),INDEX(PASTE_ALL,$DF260,$L$11),TRIM(SUBSTITUTE(SUBSTITUTE(SUBSTITUTE(SUBSTITUTE(INDEX(PASTE_ALL,$DF260,$L$11)," "," "),CHAR(9)," "),CHAR(10)," "),CHAR(13)," "))),"")))</f>
        <v/>
      </c>
      <c r="DT260">
        <f>IF($DM260=0,"",IF($L$12=0,"",IFERROR(IF(ISNUMBER(INDEX(PASTE_ALL,$DF260,$L$12)),INDEX(PASTE_ALL,$DF260,$L$12),TRIM(SUBSTITUTE(SUBSTITUTE(SUBSTITUTE(SUBSTITUTE(INDEX(PASTE_ALL,$DF260,$L$12)," "," "),CHAR(9)," "),CHAR(10)," "),CHAR(13)," "))),"")))</f>
        <v/>
      </c>
      <c r="DU260">
        <f>IF($DM260=0,"",IF($L$13=0,"",IFERROR(IF(ISNUMBER(INDEX(PASTE_ALL,$DF260,$L$13)),INDEX(PASTE_ALL,$DF260,$L$13),TRIM(SUBSTITUTE(SUBSTITUTE(SUBSTITUTE(SUBSTITUTE(INDEX(PASTE_ALL,$DF260,$L$13)," "," "),CHAR(9)," "),CHAR(10)," "),CHAR(13)," "))),"")))</f>
        <v/>
      </c>
      <c r="DV260">
        <f>IF($DM260=0,"",IF($L$14=0,"",IFERROR(IF(ISNUMBER(INDEX(PASTE_ALL,$DF260,$L$14)),INDEX(PASTE_ALL,$DF260,$L$14),TRIM(SUBSTITUTE(SUBSTITUTE(SUBSTITUTE(SUBSTITUTE(INDEX(PASTE_ALL,$DF260,$L$14)," "," "),CHAR(9)," "),CHAR(10)," "),CHAR(13)," "))),"")))</f>
        <v/>
      </c>
      <c r="DW260">
        <f>IF($DM260=0,"",IF($L$15=0,"",IFERROR(IF(ISNUMBER(INDEX(PASTE_ALL,$DF260,$L$15)),INDEX(PASTE_ALL,$DF260,$L$15),IF(SUMPRODUCT(--ISNUMBER(FIND({"A","B","C","D","E","F","G","H","I","J","K","L","M","N","O","P","Q","R","S","T","U","V","W","X","Y","Z","0","1","2","3","4","5","6","7","8","9"},UPPER(TRIM(SUBSTITUTE(SUBSTITUTE(SUBSTITUTE(SUBSTITUTE(INDEX(PASTE_ALL,$DF260,$L$15)," "," "),CHAR(9)," "),CHAR(10)," "),CHAR(13)," "))))))&gt;0,TRIM(SUBSTITUTE(SUBSTITUTE(SUBSTITUTE(SUBSTITUTE(INDEX(PASTE_ALL,$DF260,$L$15)," "," "),CHAR(9)," "),CHAR(10)," "),CHAR(13)," ")),"")),"")))</f>
        <v/>
      </c>
      <c r="DX260">
        <f>IF($DM260=0,"",IF($L$16=0,"",IFERROR(IF(ISNUMBER(INDEX(PASTE_ALL,$DF260,$L$16)),INDEX(PASTE_ALL,$DF260,$L$16),SUBSTITUTE(SUBSTITUTE(TRIM(SUBSTITUTE(SUBSTITUTE(SUBSTITUTE(SUBSTITUTE(INDEX(PASTE_ALL,$DF260,$L$16)," "," "),CHAR(9)," "),CHAR(10)," "),CHAR(13)," ")),",",""),"%","")),"")))</f>
        <v/>
      </c>
      <c r="DY260">
        <f>IF($DM260=0,"",IFERROR(IF(ISNUMBER($DX260),$DX260,IF($DX260="","",IF(TRIM($DX260)="",0,IF(AND(AND(SUBSTITUTE(SUBSTITUTE(SUBSTITUTE(SUBSTITUTE(SUBSTITUTE(SUBSTITUTE(SUBSTITUTE(SUBSTITUTE(SUBSTITUTE(SUBSTITUTE(SUBSTITUTE(SUBSTITUTE(SUBSTITUTE(SUBSTITUTE(UPPER(TRIM($DX260)),"0",""),"1",""),"2",""),"3",""),"4",""),"5",""),"6",""),"7",""),"8",""),"9",""),".",""),"+",""),"-",""),"E","")="",LEN(SUBSTITUTE(SUBSTITUTE(MID(UPPER(TRIM($DX260)),1+OR(LEFT(UPPER(TRIM($DX260)),1)="+",LEFT(UPPER(TRIM($DX260)),1)="-"),999),"E+","E"),"E-","E"))=LEN(SUBSTITUTE(SUBSTITUTE(SUBSTITUTE(SUBSTITUTE(MID(UPPER(TRIM($DX260)),1+OR(LEFT(UPPER(TRIM($DX260)),1)="+",LEFT(UPPER(TRIM($DX260)),1)="-"),999),"E+","E"),"E-","E"),"+",""),"-","")),LEN(UPPER(TRIM($DX260)))-LEN(SUBSTITUTE(UPPER(TRIM($DX260)),"E",""))&lt;2,LEN(UPPER(TRIM($DX260)))-LEN(SUBSTITUTE(UPPER(TRIM($DX260)),".",""))&lt;2,IFERROR(FIND(".",UPPER(TRIM($DX260))),0)&lt;IFERROR(FIND("E",UPPER(TRIM($DX260))),999)),ISNUMBER(VALUE(TRIM($DX260)))),VALUE(TRIM($DX260)),"")))),""))</f>
        <v/>
      </c>
      <c r="DZ260">
        <f>IF($DM260=0,"",IF($L$17=0,"",IFERROR(IF(ISNUMBER(INDEX(PASTE_ALL,$DF260,$L$17)),INDEX(PASTE_ALL,$DF260,$L$17),SUBSTITUTE(SUBSTITUTE(TRIM(SUBSTITUTE(SUBSTITUTE(SUBSTITUTE(SUBSTITUTE(INDEX(PASTE_ALL,$DF260,$L$17)," "," "),CHAR(9)," "),CHAR(10)," "),CHAR(13)," ")),",",""),"%","")),"")))</f>
        <v/>
      </c>
      <c r="EA260">
        <f>IF($DM260=0,"",IFERROR(IF(ISNUMBER($DZ260),$DZ260,IF($DZ260="","",IF(TRIM($DZ260)="",0,IF(AND(AND(SUBSTITUTE(SUBSTITUTE(SUBSTITUTE(SUBSTITUTE(SUBSTITUTE(SUBSTITUTE(SUBSTITUTE(SUBSTITUTE(SUBSTITUTE(SUBSTITUTE(SUBSTITUTE(SUBSTITUTE(SUBSTITUTE(SUBSTITUTE(UPPER(TRIM($DZ260)),"0",""),"1",""),"2",""),"3",""),"4",""),"5",""),"6",""),"7",""),"8",""),"9",""),".",""),"+",""),"-",""),"E","")="",LEN(SUBSTITUTE(SUBSTITUTE(MID(UPPER(TRIM($DZ260)),1+OR(LEFT(UPPER(TRIM($DZ260)),1)="+",LEFT(UPPER(TRIM($DZ260)),1)="-"),999),"E+","E"),"E-","E"))=LEN(SUBSTITUTE(SUBSTITUTE(SUBSTITUTE(SUBSTITUTE(MID(UPPER(TRIM($DZ260)),1+OR(LEFT(UPPER(TRIM($DZ260)),1)="+",LEFT(UPPER(TRIM($DZ260)),1)="-"),999),"E+","E"),"E-","E"),"+",""),"-","")),LEN(UPPER(TRIM($DZ260)))-LEN(SUBSTITUTE(UPPER(TRIM($DZ260)),"E",""))&lt;2,LEN(UPPER(TRIM($DZ260)))-LEN(SUBSTITUTE(UPPER(TRIM($DZ260)),".",""))&lt;2,IFERROR(FIND(".",UPPER(TRIM($DZ260))),0)&lt;IFERROR(FIND("E",UPPER(TRIM($DZ260))),999)),ISNUMBER(VALUE(TRIM($DZ260)))),VALUE(TRIM($DZ260)),"")))),""))</f>
        <v/>
      </c>
      <c r="EB260">
        <f>IF($DM260=0,"",IF($L$18=0,"",IFERROR(IF(UPPER(TRIM(SUBSTITUTE(SUBSTITUTE(SUBSTITUTE(SUBSTITUTE(INDEX(PASTE_ALL,$DF260,$L$18)," "," "),CHAR(9)," "),CHAR(10)," "),CHAR(13)," ")))="READY","Ready",IF(UPPER(TRIM(SUBSTITUTE(SUBSTITUTE(SUBSTITUTE(SUBSTITUTE(INDEX(PASTE_ALL,$DF260,$L$18)," "," "),CHAR(9)," "),CHAR(10)," "),CHAR(13)," ")))="PM","PM",IF(OR(UPPER(TRIM(SUBSTITUTE(SUBSTITUTE(SUBSTITUTE(SUBSTITUTE(INDEX(PASTE_ALL,$DF260,$L$18)," "," "),CHAR(9)," "),CHAR(10)," "),CHAR(13)," ")))="OT",UPPER(TRIM(SUBSTITUTE(SUBSTITUTE(SUBSTITUTE(SUBSTITUTE(INDEX(PASTE_ALL,$DF260,$L$18)," "," "),CHAR(9)," "),CHAR(10)," "),CHAR(13)," ")))="OVERTIME",UPPER(TRIM(SUBSTITUTE(SUBSTITUTE(SUBSTITUTE(SUBSTITUTE(INDEX(PASTE_ALL,$DF260,$L$18)," "," "),CHAR(9)," "),CHAR(10)," "),CHAR(13)," ")))="TRIAL"),"OT",TRIM(SUBSTITUTE(SUBSTITUTE(SUBSTITUTE(SUBSTITUTE(INDEX(PASTE_ALL,$DF260,$L$18)," "," "),CHAR(9)," "),CHAR(10)," "),CHAR(13)," "))))),"")))</f>
        <v/>
      </c>
      <c r="EC260">
        <f>IF($DM260=0,"",IF($L$19=0,"",IFERROR(IF(ISNUMBER(INDEX(PASTE_ALL,$DF260,$L$19)),INDEX(PASTE_ALL,$DF260,$L$19),TRIM(SUBSTITUTE(SUBSTITUTE(SUBSTITUTE(SUBSTITUTE(INDEX(PASTE_ALL,$DF260,$L$19)," "," "),CHAR(9)," "),CHAR(10)," "),CHAR(13)," "))),"")))</f>
        <v/>
      </c>
      <c r="ED260">
        <f>IF($DM260=0,"",MATCH(1,INDEX(EXACT($DH$5:DH260,$DH260)*$DM$5:DM260,0),0))</f>
        <v/>
      </c>
      <c r="EE260">
        <f>IF($DM260=0,0,IF($ED260=$DE260,1,0))</f>
        <v/>
      </c>
      <c r="EF260">
        <f>EF259+$EE260</f>
        <v/>
      </c>
      <c r="EG260">
        <f>IF($DM260=0,"",INDEX($EF$5:$EF$1003,$ED260))</f>
        <v/>
      </c>
      <c r="EH260">
        <f>IF($DM260=0,"",IF($DO260&lt;&gt;"","",IFERROR(LOOKUP(2,1/(($EG$4:EG259=$EG260)*($DO$4:DO259&lt;&gt;"")),$DO$4:DO259),"")))</f>
        <v/>
      </c>
      <c r="EI260">
        <f>IF($DM260=0,"",IF($DO260&lt;&gt;"",$DO260,$EH260))</f>
        <v/>
      </c>
      <c r="EJ260">
        <f>IF($DM260=0,"",IF($EI260="",0,IF(OR(ISNUMBER($EI260),AND(AND(SUBSTITUTE(SUBSTITUTE(SUBSTITUTE(SUBSTITUTE(SUBSTITUTE(SUBSTITUTE(SUBSTITUTE(SUBSTITUTE(SUBSTITUTE(SUBSTITUTE(SUBSTITUTE(SUBSTITUTE(SUBSTITUTE(SUBSTITUTE(UPPER($EI260),"0",""),"1",""),"2",""),"3",""),"4",""),"5",""),"6",""),"7",""),"8",""),"9",""),".",""),"+",""),"-",""),"E","")="",LEN(SUBSTITUTE(SUBSTITUTE(MID(UPPER($EI260),1+OR(LEFT(UPPER($EI260),1)="+",LEFT(UPPER($EI260),1)="-"),999),"E+","E"),"E-","E"))=LEN(SUBSTITUTE(SUBSTITUTE(SUBSTITUTE(SUBSTITUTE(MID(UPPER($EI260),1+OR(LEFT(UPPER($EI260),1)="+",LEFT(UPPER($EI260),1)="-"),999),"E+","E"),"E-","E"),"+",""),"-","")),LEN(UPPER($EI260))-LEN(SUBSTITUTE(UPPER($EI260),"E",""))&lt;2,LEN(UPPER($EI260))-LEN(SUBSTITUTE(UPPER($EI260),".",""))&lt;2,IFERROR(FIND(".",UPPER($EI260)),0)&lt;IFERROR(FIND("E",UPPER($EI260)),999)),ISNUMBER(VALUE($EI260)))),1,2)))</f>
        <v/>
      </c>
      <c r="EK260">
        <f>IF($DM260=0,"",IF($EJ260=1,IF(ISNUMBER($EI260),$EI260,VALUE($EI260)),IF($EJ260=2,$DE260,0)))</f>
        <v/>
      </c>
      <c r="EL260">
        <f>IF($DM260=0,"",COUNTIF($EG$5:$EG$1003,"&lt;"&amp;$EG260)+SUMPRODUCT(($EG$5:$EG$1003=$EG260)*(($EJ$5:$EJ$1003&lt;$EJ260)+($EJ$5:$EJ$1003=$EJ260)*(($EK$5:$EK$1003&lt;$EK260)+($EK$5:$EK$1003=$EK260)*($DE$5:$DE$1003&lt;$DE260))))+1)</f>
        <v/>
      </c>
      <c r="EM260">
        <f>IF($DM260=0,"",$EL260+$EG260-1)</f>
        <v/>
      </c>
      <c r="EN260">
        <f>IF($DM260=0,0,IFERROR(MATCH(1,INDEX(--(TRIM(SUBSTITUTE(SUBSTITUTE(SUBSTITUTE(SUBSTITUTE(LINES_NAME&amp;""," "," "),CHAR(9)," "),CHAR(10)," "),CHAR(13)," "))=$DH260),0),0),0))</f>
        <v/>
      </c>
      <c r="EO260">
        <f>IF($EN260=0,0,IF(OR(UPPER(TRIM(INDEX(LINES_SCHEDULED,$EN260)&amp;""))="YES",UPPER(TRIM(INDEX(LINES_SCHEDULED,$EN260)&amp;""))="Y",UPPER(TRIM(INDEX(LINES_SCHEDULED,$EN260)&amp;""))="X"),1,0))</f>
        <v/>
      </c>
      <c r="EP260">
        <f>IF($DM260=0,"",IF(COUNTIFS($EG$5:$EG$1003,$EG260,$EB$5:$EB$1003,"Ready")&gt;0,"READY",IF(COUNTIFS($EG$5:$EG$1003,$EG260,$EB$5:$EB$1003,"PM")&gt;0,"PM",IF(COUNTIFS($EG$5:$EG$1003,$EG260,$EB$5:$EB$1003,"OT")&gt;0,"OT",""))))</f>
        <v/>
      </c>
      <c r="EQ260">
        <f>IF($EN260=0,"",UPPER(TRIM(INDEX(LINES_STATUS,$EN260)&amp;"")))</f>
        <v/>
      </c>
      <c r="ER260">
        <f>IF($DM260=0,"",IF(OR($EQ260="READY",$EQ260="PM",$EQ260="OT"),$EQ260,$EP260))</f>
        <v/>
      </c>
      <c r="ES260">
        <f>IF($DM260=0,"",IF(AND($DV260&lt;&gt;"",UPPER($DV260)&lt;&gt;"N"),"allergen",IF(ISNUMBER(SEARCH("oil",$DQ260)),"oil",IF(OR(EXACT($DS260,"A662"),EXACT($DS260,"A624")),"bulk",""))))</f>
        <v/>
      </c>
      <c r="ET260">
        <f>IF($DM260=0,"",IF(OR($EA260="",$EA260=0),"",$EA260/100))</f>
        <v/>
      </c>
      <c r="EU260">
        <f>IF(OR($ET260="",$DY260=""),"",INT($DY260*(1-$ET260)+0.5))</f>
        <v/>
      </c>
      <c r="EW260" t="n">
        <v>256</v>
      </c>
      <c r="EX260">
        <f>IFERROR(MATCH($EW260,$EM$5:$EM$1003,0),0)</f>
        <v/>
      </c>
      <c r="EY260">
        <f>IF($EW260&gt;$B$12,"",IF($EX260&gt;0,"row","spacer"))</f>
        <v/>
      </c>
      <c r="EZ260">
        <f>IF(AND($EY260="row",$EY259&lt;&gt;"row"),1,0)</f>
        <v/>
      </c>
      <c r="FA260">
        <f>IF(AND($EY260="row",$EY261&lt;&gt;"row"),1,0)</f>
        <v/>
      </c>
      <c r="FB260">
        <f>IF($EZ260=1,IFERROR(IF(ISNUMBER(INDEX(PASTE_ALL,INDEX($DF$5:$DF$1003,$EX260),$B$37)),INDEX(PASTE_ALL,INDEX($DF$5:$DF$1003,$EX260),$B$37),INDEX($DH$5:$DH$1003,$EX260)),INDEX($DH$5:$DH$1003,$EX260)),"")</f>
        <v/>
      </c>
      <c r="FC260">
        <f>IF($EY260="row",INDEX($ER$5:$ER$1003,$EX260),"")</f>
        <v/>
      </c>
      <c r="FD260">
        <f>IF($EY260="row",INDEX($DN$5:$DN$1003,$EX260),"")</f>
        <v/>
      </c>
      <c r="FE260">
        <f>IF($EY260="row",INDEX($DO$5:$DO$1003,$EX260),"")</f>
        <v/>
      </c>
      <c r="FF260">
        <f>IF($EY260="row",INDEX($DP$5:$DP$1003,$EX260),"")</f>
        <v/>
      </c>
      <c r="FG260">
        <f>IF($EY260="row",INDEX($DQ$5:$DQ$1003,$EX260),"")</f>
        <v/>
      </c>
      <c r="FH260">
        <f>IF($EY260="row",INDEX($DR$5:$DR$1003,$EX260),"")</f>
        <v/>
      </c>
      <c r="FI260">
        <f>IF($EY260="row",INDEX($DS$5:$DS$1003,$EX260),"")</f>
        <v/>
      </c>
      <c r="FJ260">
        <f>IF($EY260="row",INDEX($DT$5:$DT$1003,$EX260),"")</f>
        <v/>
      </c>
      <c r="FK260">
        <f>IF($EY260="row",INDEX($DU$5:$DU$1003,$EX260),"")</f>
        <v/>
      </c>
      <c r="FL260">
        <f>IF($EY260="row",INDEX($DV$5:$DV$1003,$EX260),"")</f>
        <v/>
      </c>
      <c r="FM260">
        <f>IF($EY260="row",INDEX($DW$5:$DW$1003,$EX260),"")</f>
        <v/>
      </c>
      <c r="FN260">
        <f>IF($EY260="row",INDEX($DY$5:$DY$1003,$EX260),"")</f>
        <v/>
      </c>
      <c r="FO260">
        <f>IF($EY260="row",INDEX($EA$5:$EA$1003,$EX260),"")</f>
        <v/>
      </c>
      <c r="FP260">
        <f>IF($EY260="row",INDEX($EC$5:$EC$1003,$EX260),"")</f>
        <v/>
      </c>
      <c r="FQ260">
        <f>IF($EY260="row",INDEX($ET$5:$ET$1003,$EX260),"")</f>
        <v/>
      </c>
      <c r="FR260">
        <f>IF($EY260="row",INDEX($EU$5:$EU$1003,$EX260),"")</f>
        <v/>
      </c>
      <c r="FS260">
        <f>IF(AND($EY260="row",$EY259="row"),IF(OR(INDEX($DT$5:$DT$1003,$EX259)="",INDEX($DT$5:$DT$1003,$EX260)=""),"",IF(NOT(EXACT(INDEX($DT$5:$DT$1003,$EX259),INDEX($DT$5:$DT$1003,$EX260))),"S4",IF(NOT(EXACT(INDEX($DS$5:$DS$1003,$EX259),INDEX($DS$5:$DS$1003,$EX260))),"S3",IF(NOT(EXACT(INDEX($DR$5:$DR$1003,$EX259),INDEX($DR$5:$DR$1003,$EX260))),"S1 Count Change","S1")))),"")</f>
        <v/>
      </c>
      <c r="FT260">
        <f>IF($EY260="row",INDEX($ES$5:$ES$1003,$EX260),"")</f>
        <v/>
      </c>
      <c r="FU260">
        <f>IF($EY260="row",INDEX($EO$5:$EO$1003,$EX260),0)</f>
        <v/>
      </c>
      <c r="FV260">
        <f>IF($FS260="S1 Count Change",1,0)</f>
        <v/>
      </c>
    </row>
    <row r="261">
      <c r="DA261" t="n">
        <v>257</v>
      </c>
      <c r="DB261">
        <f>IF($B$37=0,"",IFERROR(TRIM(SUBSTITUTE(SUBSTITUTE(SUBSTITUTE(SUBSTITUTE(INDEX(PASTE_ALL,257,$B$37)," "," "),CHAR(9)," "),CHAR(10)," "),CHAR(13)," ")),""))</f>
        <v/>
      </c>
      <c r="DC261">
        <f>IF(AND(257&gt;HEADER_ROW,UPPER(DB261)="LEGEND"),1,0)</f>
        <v/>
      </c>
      <c r="DE261" t="n">
        <v>257</v>
      </c>
      <c r="DF261">
        <f>HEADER_ROW+$DE261</f>
        <v/>
      </c>
      <c r="DG261">
        <f>IF(AND($DF261&lt;=1000,$DF261&lt;$B$8),1,0)</f>
        <v/>
      </c>
      <c r="DH261">
        <f>IF($DG261=1,IFERROR(INDEX($DB$5:$DB$1004,$DF261),""),"")</f>
        <v/>
      </c>
      <c r="DI261">
        <f>IF(AND($DG261=1,$DH261&lt;&gt;""),IFERROR(SUBSTITUTE(SUBSTITUTE(TRIM(SUBSTITUTE(SUBSTITUTE(SUBSTITUTE(SUBSTITUTE(IFERROR(INDEX(PASTE_ALL,$DF261,1)&amp;"","")&amp;"␟"&amp;IFERROR(INDEX(PASTE_ALL,$DF261,2)&amp;"","")&amp;"␟"&amp;IFERROR(INDEX(PASTE_ALL,$DF261,3)&amp;"","")&amp;"␟"&amp;IFERROR(INDEX(PASTE_ALL,$DF261,4)&amp;"","")&amp;"␟"&amp;IFERROR(INDEX(PASTE_ALL,$DF261,5)&amp;"","")&amp;"␟"&amp;IFERROR(INDEX(PASTE_ALL,$DF261,6)&amp;"","")&amp;"␟"&amp;IFERROR(INDEX(PASTE_ALL,$DF261,7)&amp;"","")&amp;"␟"&amp;IFERROR(INDEX(PASTE_ALL,$DF261,8)&amp;"","")&amp;"␟"&amp;IFERROR(INDEX(PASTE_ALL,$DF261,9)&amp;"","")&amp;"␟"&amp;IFERROR(INDEX(PASTE_ALL,$DF261,10)&amp;"","")&amp;"␟"&amp;IFERROR(INDEX(PASTE_ALL,$DF261,11)&amp;"","")&amp;"␟"&amp;IFERROR(INDEX(PASTE_ALL,$DF261,12)&amp;"","")&amp;"␟"&amp;IFERROR(INDEX(PASTE_ALL,$DF261,13)&amp;"","")&amp;"␟"&amp;IFERROR(INDEX(PASTE_ALL,$DF261,14)&amp;"","")&amp;"␟"&amp;IFERROR(INDEX(PASTE_ALL,$DF261,15)&amp;"","")&amp;"␟"&amp;IFERROR(INDEX(PASTE_ALL,$DF261,16)&amp;"","")&amp;"␟"&amp;IFERROR(INDEX(PASTE_ALL,$DF261,17)&amp;"","")&amp;"␟"&amp;IFERROR(INDEX(PASTE_ALL,$DF261,18)&amp;"","")&amp;"␟"&amp;IFERROR(INDEX(PASTE_ALL,$DF261,19)&amp;"","")&amp;"␟"&amp;IFERROR(INDEX(PASTE_ALL,$DF261,20)&amp;"","")&amp;"␟"&amp;IFERROR(INDEX(PASTE_ALL,$DF261,21)&amp;"","")&amp;"␟"&amp;IFERROR(INDEX(PASTE_ALL,$DF261,22)&amp;"","")&amp;"␟"&amp;IFERROR(INDEX(PASTE_ALL,$DF261,23)&amp;"","")&amp;"␟"&amp;IFERROR(INDEX(PASTE_ALL,$DF261,24)&amp;"","")&amp;"␟"&amp;IFERROR(INDEX(PASTE_ALL,$DF261,25)&amp;"","")&amp;"␟"&amp;IFERROR(INDEX(PASTE_ALL,$DF261,26)&amp;"","")&amp;"␟"&amp;IFERROR(INDEX(PASTE_ALL,$DF261,27)&amp;"","")&amp;"␟"&amp;IFERROR(INDEX(PASTE_ALL,$DF261,28)&amp;"","")&amp;"␟"&amp;IFERROR(INDEX(PASTE_ALL,$DF261,29)&amp;"","")&amp;"␟"&amp;IFERROR(INDEX(PASTE_ALL,$DF261,30)&amp;"","")&amp;"␟"&amp;IFERROR(INDEX(PASTE_ALL,$DF261,31)&amp;"","")&amp;"␟"&amp;IFERROR(INDEX(PASTE_ALL,$DF261,32)&amp;"","")&amp;"␟"&amp;IFERROR(INDEX(PASTE_ALL,$DF261,33)&amp;"","")&amp;"␟"&amp;IFERROR(INDEX(PASTE_ALL,$DF261,34)&amp;"","")&amp;"␟"&amp;IFERROR(INDEX(PASTE_ALL,$DF261,35)&amp;"","")&amp;"␟"&amp;IFERROR(INDEX(PASTE_ALL,$DF261,36)&amp;"","")&amp;"␟"&amp;IFERROR(INDEX(PASTE_ALL,$DF261,37)&amp;"","")&amp;"␟"&amp;IFERROR(INDEX(PASTE_ALL,$DF261,38)&amp;"","")&amp;"␟"&amp;IFERROR(INDEX(PASTE_ALL,$DF261,39)&amp;"","")&amp;"␟"&amp;IFERROR(INDEX(PASTE_ALL,$DF261,40)&amp;"","")&amp;"␟"&amp;IFERROR(INDEX(PASTE_ALL,$DF261,41)&amp;"","")&amp;"␟"&amp;IFERROR(INDEX(PASTE_ALL,$DF261,42)&amp;"","")&amp;"␟"&amp;IFERROR(INDEX(PASTE_ALL,$DF261,43)&amp;"","")&amp;"␟"&amp;IFERROR(INDEX(PASTE_ALL,$DF261,44)&amp;"","")&amp;"␟"&amp;IFERROR(INDEX(PASTE_ALL,$DF261,45)&amp;"","")&amp;"␟"&amp;IFERROR(INDEX(PASTE_ALL,$DF261,46)&amp;"","")&amp;"␟"&amp;IFERROR(INDEX(PASTE_ALL,$DF261,47)&amp;"","")&amp;"␟"&amp;IFERROR(INDEX(PASTE_ALL,$DF261,48)&amp;"","")&amp;"␟"&amp;IFERROR(INDEX(PASTE_ALL,$DF261,49)&amp;"","")&amp;"␟"&amp;IFERROR(INDEX(PASTE_ALL,$DF261,50)&amp;"","")&amp;"␟"&amp;IFERROR(INDEX(PASTE_ALL,$DF261,51)&amp;"","")&amp;"␟"&amp;IFERROR(INDEX(PASTE_ALL,$DF261,52)&amp;"","")&amp;"␟"&amp;IFERROR(INDEX(PASTE_ALL,$DF261,53)&amp;"","")&amp;"␟"&amp;IFERROR(INDEX(PASTE_ALL,$DF261,54)&amp;"","")&amp;"␟"&amp;IFERROR(INDEX(PASTE_ALL,$DF261,55)&amp;"","")&amp;"␟"&amp;IFERROR(INDEX(PASTE_ALL,$DF261,56)&amp;"","")&amp;"␟"&amp;IFERROR(INDEX(PASTE_ALL,$DF261,57)&amp;"","")&amp;"␟"&amp;IFERROR(INDEX(PASTE_ALL,$DF261,58)&amp;"","")&amp;"␟"&amp;IFERROR(INDEX(PASTE_ALL,$DF261,59)&amp;"","")&amp;"␟"&amp;IFERROR(INDEX(PASTE_ALL,$DF261,60)&amp;"","")," "," "),CHAR(9)," "),CHAR(10)," "),CHAR(13)," "))," ␟","␟"),"␟ ","␟"),"#"&amp;$DE261),"")</f>
        <v/>
      </c>
      <c r="DJ261">
        <f>IF($DI261="",0,IF(SUMPRODUCT(--EXACT($DI$4:DI260,$DI261))&gt;0,1,0))</f>
        <v/>
      </c>
      <c r="DK261">
        <f>IF(AND($DI261&lt;&gt;"",$DJ261=0),1,0)</f>
        <v/>
      </c>
      <c r="DL261">
        <f>DL260+$DK261</f>
        <v/>
      </c>
      <c r="DM261">
        <f>IF(AND($DK261=1,$DL261&lt;=600),1,0)</f>
        <v/>
      </c>
      <c r="DN261">
        <f>IF($DM261=0,"",IF($L$6=0,"",IFERROR(IF(ISNUMBER(INDEX(PASTE_ALL,$DF261,$L$6)),INDEX(PASTE_ALL,$DF261,$L$6),TRIM(SUBSTITUTE(SUBSTITUTE(SUBSTITUTE(SUBSTITUTE(INDEX(PASTE_ALL,$DF261,$L$6)," "," "),CHAR(9)," "),CHAR(10)," "),CHAR(13)," "))),"")))</f>
        <v/>
      </c>
      <c r="DO261">
        <f>IF($DM261=0,"",IF($L$7=0,"",IFERROR(IF(ISNUMBER(INDEX(PASTE_ALL,$DF261,$L$7)),INDEX(PASTE_ALL,$DF261,$L$7),TRIM(SUBSTITUTE(SUBSTITUTE(SUBSTITUTE(SUBSTITUTE(INDEX(PASTE_ALL,$DF261,$L$7)," "," "),CHAR(9)," "),CHAR(10)," "),CHAR(13)," "))),"")))</f>
        <v/>
      </c>
      <c r="DP261">
        <f>IF($DM261=0,"",IF($L$8=0,"",IFERROR(IF(ISNUMBER(INDEX(PASTE_ALL,$DF261,$L$8)),INDEX(PASTE_ALL,$DF261,$L$8),TRIM(SUBSTITUTE(SUBSTITUTE(SUBSTITUTE(SUBSTITUTE(INDEX(PASTE_ALL,$DF261,$L$8)," "," "),CHAR(9)," "),CHAR(10)," "),CHAR(13)," "))),"")))</f>
        <v/>
      </c>
      <c r="DQ261">
        <f>IF($DM261=0,"",IF($L$9=0,"",IFERROR(IF(ISNUMBER(INDEX(PASTE_ALL,$DF261,$L$9)),INDEX(PASTE_ALL,$DF261,$L$9),TRIM(SUBSTITUTE(SUBSTITUTE(SUBSTITUTE(SUBSTITUTE(INDEX(PASTE_ALL,$DF261,$L$9)," "," "),CHAR(9)," "),CHAR(10)," "),CHAR(13)," "))),"")))</f>
        <v/>
      </c>
      <c r="DR261">
        <f>IF($DM261=0,"",IF($L$10=0,"",IFERROR(IF(ISNUMBER(INDEX(PASTE_ALL,$DF261,$L$10)),INDEX(PASTE_ALL,$DF261,$L$10),TRIM(SUBSTITUTE(SUBSTITUTE(SUBSTITUTE(SUBSTITUTE(INDEX(PASTE_ALL,$DF261,$L$10)," "," "),CHAR(9)," "),CHAR(10)," "),CHAR(13)," "))),"")))</f>
        <v/>
      </c>
      <c r="DS261">
        <f>IF($DM261=0,"",IF($L$11=0,"",IFERROR(IF(ISNUMBER(INDEX(PASTE_ALL,$DF261,$L$11)),INDEX(PASTE_ALL,$DF261,$L$11),TRIM(SUBSTITUTE(SUBSTITUTE(SUBSTITUTE(SUBSTITUTE(INDEX(PASTE_ALL,$DF261,$L$11)," "," "),CHAR(9)," "),CHAR(10)," "),CHAR(13)," "))),"")))</f>
        <v/>
      </c>
      <c r="DT261">
        <f>IF($DM261=0,"",IF($L$12=0,"",IFERROR(IF(ISNUMBER(INDEX(PASTE_ALL,$DF261,$L$12)),INDEX(PASTE_ALL,$DF261,$L$12),TRIM(SUBSTITUTE(SUBSTITUTE(SUBSTITUTE(SUBSTITUTE(INDEX(PASTE_ALL,$DF261,$L$12)," "," "),CHAR(9)," "),CHAR(10)," "),CHAR(13)," "))),"")))</f>
        <v/>
      </c>
      <c r="DU261">
        <f>IF($DM261=0,"",IF($L$13=0,"",IFERROR(IF(ISNUMBER(INDEX(PASTE_ALL,$DF261,$L$13)),INDEX(PASTE_ALL,$DF261,$L$13),TRIM(SUBSTITUTE(SUBSTITUTE(SUBSTITUTE(SUBSTITUTE(INDEX(PASTE_ALL,$DF261,$L$13)," "," "),CHAR(9)," "),CHAR(10)," "),CHAR(13)," "))),"")))</f>
        <v/>
      </c>
      <c r="DV261">
        <f>IF($DM261=0,"",IF($L$14=0,"",IFERROR(IF(ISNUMBER(INDEX(PASTE_ALL,$DF261,$L$14)),INDEX(PASTE_ALL,$DF261,$L$14),TRIM(SUBSTITUTE(SUBSTITUTE(SUBSTITUTE(SUBSTITUTE(INDEX(PASTE_ALL,$DF261,$L$14)," "," "),CHAR(9)," "),CHAR(10)," "),CHAR(13)," "))),"")))</f>
        <v/>
      </c>
      <c r="DW261">
        <f>IF($DM261=0,"",IF($L$15=0,"",IFERROR(IF(ISNUMBER(INDEX(PASTE_ALL,$DF261,$L$15)),INDEX(PASTE_ALL,$DF261,$L$15),IF(SUMPRODUCT(--ISNUMBER(FIND({"A","B","C","D","E","F","G","H","I","J","K","L","M","N","O","P","Q","R","S","T","U","V","W","X","Y","Z","0","1","2","3","4","5","6","7","8","9"},UPPER(TRIM(SUBSTITUTE(SUBSTITUTE(SUBSTITUTE(SUBSTITUTE(INDEX(PASTE_ALL,$DF261,$L$15)," "," "),CHAR(9)," "),CHAR(10)," "),CHAR(13)," "))))))&gt;0,TRIM(SUBSTITUTE(SUBSTITUTE(SUBSTITUTE(SUBSTITUTE(INDEX(PASTE_ALL,$DF261,$L$15)," "," "),CHAR(9)," "),CHAR(10)," "),CHAR(13)," ")),"")),"")))</f>
        <v/>
      </c>
      <c r="DX261">
        <f>IF($DM261=0,"",IF($L$16=0,"",IFERROR(IF(ISNUMBER(INDEX(PASTE_ALL,$DF261,$L$16)),INDEX(PASTE_ALL,$DF261,$L$16),SUBSTITUTE(SUBSTITUTE(TRIM(SUBSTITUTE(SUBSTITUTE(SUBSTITUTE(SUBSTITUTE(INDEX(PASTE_ALL,$DF261,$L$16)," "," "),CHAR(9)," "),CHAR(10)," "),CHAR(13)," ")),",",""),"%","")),"")))</f>
        <v/>
      </c>
      <c r="DY261">
        <f>IF($DM261=0,"",IFERROR(IF(ISNUMBER($DX261),$DX261,IF($DX261="","",IF(TRIM($DX261)="",0,IF(AND(AND(SUBSTITUTE(SUBSTITUTE(SUBSTITUTE(SUBSTITUTE(SUBSTITUTE(SUBSTITUTE(SUBSTITUTE(SUBSTITUTE(SUBSTITUTE(SUBSTITUTE(SUBSTITUTE(SUBSTITUTE(SUBSTITUTE(SUBSTITUTE(UPPER(TRIM($DX261)),"0",""),"1",""),"2",""),"3",""),"4",""),"5",""),"6",""),"7",""),"8",""),"9",""),".",""),"+",""),"-",""),"E","")="",LEN(SUBSTITUTE(SUBSTITUTE(MID(UPPER(TRIM($DX261)),1+OR(LEFT(UPPER(TRIM($DX261)),1)="+",LEFT(UPPER(TRIM($DX261)),1)="-"),999),"E+","E"),"E-","E"))=LEN(SUBSTITUTE(SUBSTITUTE(SUBSTITUTE(SUBSTITUTE(MID(UPPER(TRIM($DX261)),1+OR(LEFT(UPPER(TRIM($DX261)),1)="+",LEFT(UPPER(TRIM($DX261)),1)="-"),999),"E+","E"),"E-","E"),"+",""),"-","")),LEN(UPPER(TRIM($DX261)))-LEN(SUBSTITUTE(UPPER(TRIM($DX261)),"E",""))&lt;2,LEN(UPPER(TRIM($DX261)))-LEN(SUBSTITUTE(UPPER(TRIM($DX261)),".",""))&lt;2,IFERROR(FIND(".",UPPER(TRIM($DX261))),0)&lt;IFERROR(FIND("E",UPPER(TRIM($DX261))),999)),ISNUMBER(VALUE(TRIM($DX261)))),VALUE(TRIM($DX261)),"")))),""))</f>
        <v/>
      </c>
      <c r="DZ261">
        <f>IF($DM261=0,"",IF($L$17=0,"",IFERROR(IF(ISNUMBER(INDEX(PASTE_ALL,$DF261,$L$17)),INDEX(PASTE_ALL,$DF261,$L$17),SUBSTITUTE(SUBSTITUTE(TRIM(SUBSTITUTE(SUBSTITUTE(SUBSTITUTE(SUBSTITUTE(INDEX(PASTE_ALL,$DF261,$L$17)," "," "),CHAR(9)," "),CHAR(10)," "),CHAR(13)," ")),",",""),"%","")),"")))</f>
        <v/>
      </c>
      <c r="EA261">
        <f>IF($DM261=0,"",IFERROR(IF(ISNUMBER($DZ261),$DZ261,IF($DZ261="","",IF(TRIM($DZ261)="",0,IF(AND(AND(SUBSTITUTE(SUBSTITUTE(SUBSTITUTE(SUBSTITUTE(SUBSTITUTE(SUBSTITUTE(SUBSTITUTE(SUBSTITUTE(SUBSTITUTE(SUBSTITUTE(SUBSTITUTE(SUBSTITUTE(SUBSTITUTE(SUBSTITUTE(UPPER(TRIM($DZ261)),"0",""),"1",""),"2",""),"3",""),"4",""),"5",""),"6",""),"7",""),"8",""),"9",""),".",""),"+",""),"-",""),"E","")="",LEN(SUBSTITUTE(SUBSTITUTE(MID(UPPER(TRIM($DZ261)),1+OR(LEFT(UPPER(TRIM($DZ261)),1)="+",LEFT(UPPER(TRIM($DZ261)),1)="-"),999),"E+","E"),"E-","E"))=LEN(SUBSTITUTE(SUBSTITUTE(SUBSTITUTE(SUBSTITUTE(MID(UPPER(TRIM($DZ261)),1+OR(LEFT(UPPER(TRIM($DZ261)),1)="+",LEFT(UPPER(TRIM($DZ261)),1)="-"),999),"E+","E"),"E-","E"),"+",""),"-","")),LEN(UPPER(TRIM($DZ261)))-LEN(SUBSTITUTE(UPPER(TRIM($DZ261)),"E",""))&lt;2,LEN(UPPER(TRIM($DZ261)))-LEN(SUBSTITUTE(UPPER(TRIM($DZ261)),".",""))&lt;2,IFERROR(FIND(".",UPPER(TRIM($DZ261))),0)&lt;IFERROR(FIND("E",UPPER(TRIM($DZ261))),999)),ISNUMBER(VALUE(TRIM($DZ261)))),VALUE(TRIM($DZ261)),"")))),""))</f>
        <v/>
      </c>
      <c r="EB261">
        <f>IF($DM261=0,"",IF($L$18=0,"",IFERROR(IF(UPPER(TRIM(SUBSTITUTE(SUBSTITUTE(SUBSTITUTE(SUBSTITUTE(INDEX(PASTE_ALL,$DF261,$L$18)," "," "),CHAR(9)," "),CHAR(10)," "),CHAR(13)," ")))="READY","Ready",IF(UPPER(TRIM(SUBSTITUTE(SUBSTITUTE(SUBSTITUTE(SUBSTITUTE(INDEX(PASTE_ALL,$DF261,$L$18)," "," "),CHAR(9)," "),CHAR(10)," "),CHAR(13)," ")))="PM","PM",IF(OR(UPPER(TRIM(SUBSTITUTE(SUBSTITUTE(SUBSTITUTE(SUBSTITUTE(INDEX(PASTE_ALL,$DF261,$L$18)," "," "),CHAR(9)," "),CHAR(10)," "),CHAR(13)," ")))="OT",UPPER(TRIM(SUBSTITUTE(SUBSTITUTE(SUBSTITUTE(SUBSTITUTE(INDEX(PASTE_ALL,$DF261,$L$18)," "," "),CHAR(9)," "),CHAR(10)," "),CHAR(13)," ")))="OVERTIME",UPPER(TRIM(SUBSTITUTE(SUBSTITUTE(SUBSTITUTE(SUBSTITUTE(INDEX(PASTE_ALL,$DF261,$L$18)," "," "),CHAR(9)," "),CHAR(10)," "),CHAR(13)," ")))="TRIAL"),"OT",TRIM(SUBSTITUTE(SUBSTITUTE(SUBSTITUTE(SUBSTITUTE(INDEX(PASTE_ALL,$DF261,$L$18)," "," "),CHAR(9)," "),CHAR(10)," "),CHAR(13)," "))))),"")))</f>
        <v/>
      </c>
      <c r="EC261">
        <f>IF($DM261=0,"",IF($L$19=0,"",IFERROR(IF(ISNUMBER(INDEX(PASTE_ALL,$DF261,$L$19)),INDEX(PASTE_ALL,$DF261,$L$19),TRIM(SUBSTITUTE(SUBSTITUTE(SUBSTITUTE(SUBSTITUTE(INDEX(PASTE_ALL,$DF261,$L$19)," "," "),CHAR(9)," "),CHAR(10)," "),CHAR(13)," "))),"")))</f>
        <v/>
      </c>
      <c r="ED261">
        <f>IF($DM261=0,"",MATCH(1,INDEX(EXACT($DH$5:DH261,$DH261)*$DM$5:DM261,0),0))</f>
        <v/>
      </c>
      <c r="EE261">
        <f>IF($DM261=0,0,IF($ED261=$DE261,1,0))</f>
        <v/>
      </c>
      <c r="EF261">
        <f>EF260+$EE261</f>
        <v/>
      </c>
      <c r="EG261">
        <f>IF($DM261=0,"",INDEX($EF$5:$EF$1003,$ED261))</f>
        <v/>
      </c>
      <c r="EH261">
        <f>IF($DM261=0,"",IF($DO261&lt;&gt;"","",IFERROR(LOOKUP(2,1/(($EG$4:EG260=$EG261)*($DO$4:DO260&lt;&gt;"")),$DO$4:DO260),"")))</f>
        <v/>
      </c>
      <c r="EI261">
        <f>IF($DM261=0,"",IF($DO261&lt;&gt;"",$DO261,$EH261))</f>
        <v/>
      </c>
      <c r="EJ261">
        <f>IF($DM261=0,"",IF($EI261="",0,IF(OR(ISNUMBER($EI261),AND(AND(SUBSTITUTE(SUBSTITUTE(SUBSTITUTE(SUBSTITUTE(SUBSTITUTE(SUBSTITUTE(SUBSTITUTE(SUBSTITUTE(SUBSTITUTE(SUBSTITUTE(SUBSTITUTE(SUBSTITUTE(SUBSTITUTE(SUBSTITUTE(UPPER($EI261),"0",""),"1",""),"2",""),"3",""),"4",""),"5",""),"6",""),"7",""),"8",""),"9",""),".",""),"+",""),"-",""),"E","")="",LEN(SUBSTITUTE(SUBSTITUTE(MID(UPPER($EI261),1+OR(LEFT(UPPER($EI261),1)="+",LEFT(UPPER($EI261),1)="-"),999),"E+","E"),"E-","E"))=LEN(SUBSTITUTE(SUBSTITUTE(SUBSTITUTE(SUBSTITUTE(MID(UPPER($EI261),1+OR(LEFT(UPPER($EI261),1)="+",LEFT(UPPER($EI261),1)="-"),999),"E+","E"),"E-","E"),"+",""),"-","")),LEN(UPPER($EI261))-LEN(SUBSTITUTE(UPPER($EI261),"E",""))&lt;2,LEN(UPPER($EI261))-LEN(SUBSTITUTE(UPPER($EI261),".",""))&lt;2,IFERROR(FIND(".",UPPER($EI261)),0)&lt;IFERROR(FIND("E",UPPER($EI261)),999)),ISNUMBER(VALUE($EI261)))),1,2)))</f>
        <v/>
      </c>
      <c r="EK261">
        <f>IF($DM261=0,"",IF($EJ261=1,IF(ISNUMBER($EI261),$EI261,VALUE($EI261)),IF($EJ261=2,$DE261,0)))</f>
        <v/>
      </c>
      <c r="EL261">
        <f>IF($DM261=0,"",COUNTIF($EG$5:$EG$1003,"&lt;"&amp;$EG261)+SUMPRODUCT(($EG$5:$EG$1003=$EG261)*(($EJ$5:$EJ$1003&lt;$EJ261)+($EJ$5:$EJ$1003=$EJ261)*(($EK$5:$EK$1003&lt;$EK261)+($EK$5:$EK$1003=$EK261)*($DE$5:$DE$1003&lt;$DE261))))+1)</f>
        <v/>
      </c>
      <c r="EM261">
        <f>IF($DM261=0,"",$EL261+$EG261-1)</f>
        <v/>
      </c>
      <c r="EN261">
        <f>IF($DM261=0,0,IFERROR(MATCH(1,INDEX(--(TRIM(SUBSTITUTE(SUBSTITUTE(SUBSTITUTE(SUBSTITUTE(LINES_NAME&amp;""," "," "),CHAR(9)," "),CHAR(10)," "),CHAR(13)," "))=$DH261),0),0),0))</f>
        <v/>
      </c>
      <c r="EO261">
        <f>IF($EN261=0,0,IF(OR(UPPER(TRIM(INDEX(LINES_SCHEDULED,$EN261)&amp;""))="YES",UPPER(TRIM(INDEX(LINES_SCHEDULED,$EN261)&amp;""))="Y",UPPER(TRIM(INDEX(LINES_SCHEDULED,$EN261)&amp;""))="X"),1,0))</f>
        <v/>
      </c>
      <c r="EP261">
        <f>IF($DM261=0,"",IF(COUNTIFS($EG$5:$EG$1003,$EG261,$EB$5:$EB$1003,"Ready")&gt;0,"READY",IF(COUNTIFS($EG$5:$EG$1003,$EG261,$EB$5:$EB$1003,"PM")&gt;0,"PM",IF(COUNTIFS($EG$5:$EG$1003,$EG261,$EB$5:$EB$1003,"OT")&gt;0,"OT",""))))</f>
        <v/>
      </c>
      <c r="EQ261">
        <f>IF($EN261=0,"",UPPER(TRIM(INDEX(LINES_STATUS,$EN261)&amp;"")))</f>
        <v/>
      </c>
      <c r="ER261">
        <f>IF($DM261=0,"",IF(OR($EQ261="READY",$EQ261="PM",$EQ261="OT"),$EQ261,$EP261))</f>
        <v/>
      </c>
      <c r="ES261">
        <f>IF($DM261=0,"",IF(AND($DV261&lt;&gt;"",UPPER($DV261)&lt;&gt;"N"),"allergen",IF(ISNUMBER(SEARCH("oil",$DQ261)),"oil",IF(OR(EXACT($DS261,"A662"),EXACT($DS261,"A624")),"bulk",""))))</f>
        <v/>
      </c>
      <c r="ET261">
        <f>IF($DM261=0,"",IF(OR($EA261="",$EA261=0),"",$EA261/100))</f>
        <v/>
      </c>
      <c r="EU261">
        <f>IF(OR($ET261="",$DY261=""),"",INT($DY261*(1-$ET261)+0.5))</f>
        <v/>
      </c>
      <c r="EW261" t="n">
        <v>257</v>
      </c>
      <c r="EX261">
        <f>IFERROR(MATCH($EW261,$EM$5:$EM$1003,0),0)</f>
        <v/>
      </c>
      <c r="EY261">
        <f>IF($EW261&gt;$B$12,"",IF($EX261&gt;0,"row","spacer"))</f>
        <v/>
      </c>
      <c r="EZ261">
        <f>IF(AND($EY261="row",$EY260&lt;&gt;"row"),1,0)</f>
        <v/>
      </c>
      <c r="FA261">
        <f>IF(AND($EY261="row",$EY262&lt;&gt;"row"),1,0)</f>
        <v/>
      </c>
      <c r="FB261">
        <f>IF($EZ261=1,IFERROR(IF(ISNUMBER(INDEX(PASTE_ALL,INDEX($DF$5:$DF$1003,$EX261),$B$37)),INDEX(PASTE_ALL,INDEX($DF$5:$DF$1003,$EX261),$B$37),INDEX($DH$5:$DH$1003,$EX261)),INDEX($DH$5:$DH$1003,$EX261)),"")</f>
        <v/>
      </c>
      <c r="FC261">
        <f>IF($EY261="row",INDEX($ER$5:$ER$1003,$EX261),"")</f>
        <v/>
      </c>
      <c r="FD261">
        <f>IF($EY261="row",INDEX($DN$5:$DN$1003,$EX261),"")</f>
        <v/>
      </c>
      <c r="FE261">
        <f>IF($EY261="row",INDEX($DO$5:$DO$1003,$EX261),"")</f>
        <v/>
      </c>
      <c r="FF261">
        <f>IF($EY261="row",INDEX($DP$5:$DP$1003,$EX261),"")</f>
        <v/>
      </c>
      <c r="FG261">
        <f>IF($EY261="row",INDEX($DQ$5:$DQ$1003,$EX261),"")</f>
        <v/>
      </c>
      <c r="FH261">
        <f>IF($EY261="row",INDEX($DR$5:$DR$1003,$EX261),"")</f>
        <v/>
      </c>
      <c r="FI261">
        <f>IF($EY261="row",INDEX($DS$5:$DS$1003,$EX261),"")</f>
        <v/>
      </c>
      <c r="FJ261">
        <f>IF($EY261="row",INDEX($DT$5:$DT$1003,$EX261),"")</f>
        <v/>
      </c>
      <c r="FK261">
        <f>IF($EY261="row",INDEX($DU$5:$DU$1003,$EX261),"")</f>
        <v/>
      </c>
      <c r="FL261">
        <f>IF($EY261="row",INDEX($DV$5:$DV$1003,$EX261),"")</f>
        <v/>
      </c>
      <c r="FM261">
        <f>IF($EY261="row",INDEX($DW$5:$DW$1003,$EX261),"")</f>
        <v/>
      </c>
      <c r="FN261">
        <f>IF($EY261="row",INDEX($DY$5:$DY$1003,$EX261),"")</f>
        <v/>
      </c>
      <c r="FO261">
        <f>IF($EY261="row",INDEX($EA$5:$EA$1003,$EX261),"")</f>
        <v/>
      </c>
      <c r="FP261">
        <f>IF($EY261="row",INDEX($EC$5:$EC$1003,$EX261),"")</f>
        <v/>
      </c>
      <c r="FQ261">
        <f>IF($EY261="row",INDEX($ET$5:$ET$1003,$EX261),"")</f>
        <v/>
      </c>
      <c r="FR261">
        <f>IF($EY261="row",INDEX($EU$5:$EU$1003,$EX261),"")</f>
        <v/>
      </c>
      <c r="FS261">
        <f>IF(AND($EY261="row",$EY260="row"),IF(OR(INDEX($DT$5:$DT$1003,$EX260)="",INDEX($DT$5:$DT$1003,$EX261)=""),"",IF(NOT(EXACT(INDEX($DT$5:$DT$1003,$EX260),INDEX($DT$5:$DT$1003,$EX261))),"S4",IF(NOT(EXACT(INDEX($DS$5:$DS$1003,$EX260),INDEX($DS$5:$DS$1003,$EX261))),"S3",IF(NOT(EXACT(INDEX($DR$5:$DR$1003,$EX260),INDEX($DR$5:$DR$1003,$EX261))),"S1 Count Change","S1")))),"")</f>
        <v/>
      </c>
      <c r="FT261">
        <f>IF($EY261="row",INDEX($ES$5:$ES$1003,$EX261),"")</f>
        <v/>
      </c>
      <c r="FU261">
        <f>IF($EY261="row",INDEX($EO$5:$EO$1003,$EX261),0)</f>
        <v/>
      </c>
      <c r="FV261">
        <f>IF($FS261="S1 Count Change",1,0)</f>
        <v/>
      </c>
    </row>
    <row r="262">
      <c r="DA262" t="n">
        <v>258</v>
      </c>
      <c r="DB262">
        <f>IF($B$37=0,"",IFERROR(TRIM(SUBSTITUTE(SUBSTITUTE(SUBSTITUTE(SUBSTITUTE(INDEX(PASTE_ALL,258,$B$37)," "," "),CHAR(9)," "),CHAR(10)," "),CHAR(13)," ")),""))</f>
        <v/>
      </c>
      <c r="DC262">
        <f>IF(AND(258&gt;HEADER_ROW,UPPER(DB262)="LEGEND"),1,0)</f>
        <v/>
      </c>
      <c r="DE262" t="n">
        <v>258</v>
      </c>
      <c r="DF262">
        <f>HEADER_ROW+$DE262</f>
        <v/>
      </c>
      <c r="DG262">
        <f>IF(AND($DF262&lt;=1000,$DF262&lt;$B$8),1,0)</f>
        <v/>
      </c>
      <c r="DH262">
        <f>IF($DG262=1,IFERROR(INDEX($DB$5:$DB$1004,$DF262),""),"")</f>
        <v/>
      </c>
      <c r="DI262">
        <f>IF(AND($DG262=1,$DH262&lt;&gt;""),IFERROR(SUBSTITUTE(SUBSTITUTE(TRIM(SUBSTITUTE(SUBSTITUTE(SUBSTITUTE(SUBSTITUTE(IFERROR(INDEX(PASTE_ALL,$DF262,1)&amp;"","")&amp;"␟"&amp;IFERROR(INDEX(PASTE_ALL,$DF262,2)&amp;"","")&amp;"␟"&amp;IFERROR(INDEX(PASTE_ALL,$DF262,3)&amp;"","")&amp;"␟"&amp;IFERROR(INDEX(PASTE_ALL,$DF262,4)&amp;"","")&amp;"␟"&amp;IFERROR(INDEX(PASTE_ALL,$DF262,5)&amp;"","")&amp;"␟"&amp;IFERROR(INDEX(PASTE_ALL,$DF262,6)&amp;"","")&amp;"␟"&amp;IFERROR(INDEX(PASTE_ALL,$DF262,7)&amp;"","")&amp;"␟"&amp;IFERROR(INDEX(PASTE_ALL,$DF262,8)&amp;"","")&amp;"␟"&amp;IFERROR(INDEX(PASTE_ALL,$DF262,9)&amp;"","")&amp;"␟"&amp;IFERROR(INDEX(PASTE_ALL,$DF262,10)&amp;"","")&amp;"␟"&amp;IFERROR(INDEX(PASTE_ALL,$DF262,11)&amp;"","")&amp;"␟"&amp;IFERROR(INDEX(PASTE_ALL,$DF262,12)&amp;"","")&amp;"␟"&amp;IFERROR(INDEX(PASTE_ALL,$DF262,13)&amp;"","")&amp;"␟"&amp;IFERROR(INDEX(PASTE_ALL,$DF262,14)&amp;"","")&amp;"␟"&amp;IFERROR(INDEX(PASTE_ALL,$DF262,15)&amp;"","")&amp;"␟"&amp;IFERROR(INDEX(PASTE_ALL,$DF262,16)&amp;"","")&amp;"␟"&amp;IFERROR(INDEX(PASTE_ALL,$DF262,17)&amp;"","")&amp;"␟"&amp;IFERROR(INDEX(PASTE_ALL,$DF262,18)&amp;"","")&amp;"␟"&amp;IFERROR(INDEX(PASTE_ALL,$DF262,19)&amp;"","")&amp;"␟"&amp;IFERROR(INDEX(PASTE_ALL,$DF262,20)&amp;"","")&amp;"␟"&amp;IFERROR(INDEX(PASTE_ALL,$DF262,21)&amp;"","")&amp;"␟"&amp;IFERROR(INDEX(PASTE_ALL,$DF262,22)&amp;"","")&amp;"␟"&amp;IFERROR(INDEX(PASTE_ALL,$DF262,23)&amp;"","")&amp;"␟"&amp;IFERROR(INDEX(PASTE_ALL,$DF262,24)&amp;"","")&amp;"␟"&amp;IFERROR(INDEX(PASTE_ALL,$DF262,25)&amp;"","")&amp;"␟"&amp;IFERROR(INDEX(PASTE_ALL,$DF262,26)&amp;"","")&amp;"␟"&amp;IFERROR(INDEX(PASTE_ALL,$DF262,27)&amp;"","")&amp;"␟"&amp;IFERROR(INDEX(PASTE_ALL,$DF262,28)&amp;"","")&amp;"␟"&amp;IFERROR(INDEX(PASTE_ALL,$DF262,29)&amp;"","")&amp;"␟"&amp;IFERROR(INDEX(PASTE_ALL,$DF262,30)&amp;"","")&amp;"␟"&amp;IFERROR(INDEX(PASTE_ALL,$DF262,31)&amp;"","")&amp;"␟"&amp;IFERROR(INDEX(PASTE_ALL,$DF262,32)&amp;"","")&amp;"␟"&amp;IFERROR(INDEX(PASTE_ALL,$DF262,33)&amp;"","")&amp;"␟"&amp;IFERROR(INDEX(PASTE_ALL,$DF262,34)&amp;"","")&amp;"␟"&amp;IFERROR(INDEX(PASTE_ALL,$DF262,35)&amp;"","")&amp;"␟"&amp;IFERROR(INDEX(PASTE_ALL,$DF262,36)&amp;"","")&amp;"␟"&amp;IFERROR(INDEX(PASTE_ALL,$DF262,37)&amp;"","")&amp;"␟"&amp;IFERROR(INDEX(PASTE_ALL,$DF262,38)&amp;"","")&amp;"␟"&amp;IFERROR(INDEX(PASTE_ALL,$DF262,39)&amp;"","")&amp;"␟"&amp;IFERROR(INDEX(PASTE_ALL,$DF262,40)&amp;"","")&amp;"␟"&amp;IFERROR(INDEX(PASTE_ALL,$DF262,41)&amp;"","")&amp;"␟"&amp;IFERROR(INDEX(PASTE_ALL,$DF262,42)&amp;"","")&amp;"␟"&amp;IFERROR(INDEX(PASTE_ALL,$DF262,43)&amp;"","")&amp;"␟"&amp;IFERROR(INDEX(PASTE_ALL,$DF262,44)&amp;"","")&amp;"␟"&amp;IFERROR(INDEX(PASTE_ALL,$DF262,45)&amp;"","")&amp;"␟"&amp;IFERROR(INDEX(PASTE_ALL,$DF262,46)&amp;"","")&amp;"␟"&amp;IFERROR(INDEX(PASTE_ALL,$DF262,47)&amp;"","")&amp;"␟"&amp;IFERROR(INDEX(PASTE_ALL,$DF262,48)&amp;"","")&amp;"␟"&amp;IFERROR(INDEX(PASTE_ALL,$DF262,49)&amp;"","")&amp;"␟"&amp;IFERROR(INDEX(PASTE_ALL,$DF262,50)&amp;"","")&amp;"␟"&amp;IFERROR(INDEX(PASTE_ALL,$DF262,51)&amp;"","")&amp;"␟"&amp;IFERROR(INDEX(PASTE_ALL,$DF262,52)&amp;"","")&amp;"␟"&amp;IFERROR(INDEX(PASTE_ALL,$DF262,53)&amp;"","")&amp;"␟"&amp;IFERROR(INDEX(PASTE_ALL,$DF262,54)&amp;"","")&amp;"␟"&amp;IFERROR(INDEX(PASTE_ALL,$DF262,55)&amp;"","")&amp;"␟"&amp;IFERROR(INDEX(PASTE_ALL,$DF262,56)&amp;"","")&amp;"␟"&amp;IFERROR(INDEX(PASTE_ALL,$DF262,57)&amp;"","")&amp;"␟"&amp;IFERROR(INDEX(PASTE_ALL,$DF262,58)&amp;"","")&amp;"␟"&amp;IFERROR(INDEX(PASTE_ALL,$DF262,59)&amp;"","")&amp;"␟"&amp;IFERROR(INDEX(PASTE_ALL,$DF262,60)&amp;"","")," "," "),CHAR(9)," "),CHAR(10)," "),CHAR(13)," "))," ␟","␟"),"␟ ","␟"),"#"&amp;$DE262),"")</f>
        <v/>
      </c>
      <c r="DJ262">
        <f>IF($DI262="",0,IF(SUMPRODUCT(--EXACT($DI$4:DI261,$DI262))&gt;0,1,0))</f>
        <v/>
      </c>
      <c r="DK262">
        <f>IF(AND($DI262&lt;&gt;"",$DJ262=0),1,0)</f>
        <v/>
      </c>
      <c r="DL262">
        <f>DL261+$DK262</f>
        <v/>
      </c>
      <c r="DM262">
        <f>IF(AND($DK262=1,$DL262&lt;=600),1,0)</f>
        <v/>
      </c>
      <c r="DN262">
        <f>IF($DM262=0,"",IF($L$6=0,"",IFERROR(IF(ISNUMBER(INDEX(PASTE_ALL,$DF262,$L$6)),INDEX(PASTE_ALL,$DF262,$L$6),TRIM(SUBSTITUTE(SUBSTITUTE(SUBSTITUTE(SUBSTITUTE(INDEX(PASTE_ALL,$DF262,$L$6)," "," "),CHAR(9)," "),CHAR(10)," "),CHAR(13)," "))),"")))</f>
        <v/>
      </c>
      <c r="DO262">
        <f>IF($DM262=0,"",IF($L$7=0,"",IFERROR(IF(ISNUMBER(INDEX(PASTE_ALL,$DF262,$L$7)),INDEX(PASTE_ALL,$DF262,$L$7),TRIM(SUBSTITUTE(SUBSTITUTE(SUBSTITUTE(SUBSTITUTE(INDEX(PASTE_ALL,$DF262,$L$7)," "," "),CHAR(9)," "),CHAR(10)," "),CHAR(13)," "))),"")))</f>
        <v/>
      </c>
      <c r="DP262">
        <f>IF($DM262=0,"",IF($L$8=0,"",IFERROR(IF(ISNUMBER(INDEX(PASTE_ALL,$DF262,$L$8)),INDEX(PASTE_ALL,$DF262,$L$8),TRIM(SUBSTITUTE(SUBSTITUTE(SUBSTITUTE(SUBSTITUTE(INDEX(PASTE_ALL,$DF262,$L$8)," "," "),CHAR(9)," "),CHAR(10)," "),CHAR(13)," "))),"")))</f>
        <v/>
      </c>
      <c r="DQ262">
        <f>IF($DM262=0,"",IF($L$9=0,"",IFERROR(IF(ISNUMBER(INDEX(PASTE_ALL,$DF262,$L$9)),INDEX(PASTE_ALL,$DF262,$L$9),TRIM(SUBSTITUTE(SUBSTITUTE(SUBSTITUTE(SUBSTITUTE(INDEX(PASTE_ALL,$DF262,$L$9)," "," "),CHAR(9)," "),CHAR(10)," "),CHAR(13)," "))),"")))</f>
        <v/>
      </c>
      <c r="DR262">
        <f>IF($DM262=0,"",IF($L$10=0,"",IFERROR(IF(ISNUMBER(INDEX(PASTE_ALL,$DF262,$L$10)),INDEX(PASTE_ALL,$DF262,$L$10),TRIM(SUBSTITUTE(SUBSTITUTE(SUBSTITUTE(SUBSTITUTE(INDEX(PASTE_ALL,$DF262,$L$10)," "," "),CHAR(9)," "),CHAR(10)," "),CHAR(13)," "))),"")))</f>
        <v/>
      </c>
      <c r="DS262">
        <f>IF($DM262=0,"",IF($L$11=0,"",IFERROR(IF(ISNUMBER(INDEX(PASTE_ALL,$DF262,$L$11)),INDEX(PASTE_ALL,$DF262,$L$11),TRIM(SUBSTITUTE(SUBSTITUTE(SUBSTITUTE(SUBSTITUTE(INDEX(PASTE_ALL,$DF262,$L$11)," "," "),CHAR(9)," "),CHAR(10)," "),CHAR(13)," "))),"")))</f>
        <v/>
      </c>
      <c r="DT262">
        <f>IF($DM262=0,"",IF($L$12=0,"",IFERROR(IF(ISNUMBER(INDEX(PASTE_ALL,$DF262,$L$12)),INDEX(PASTE_ALL,$DF262,$L$12),TRIM(SUBSTITUTE(SUBSTITUTE(SUBSTITUTE(SUBSTITUTE(INDEX(PASTE_ALL,$DF262,$L$12)," "," "),CHAR(9)," "),CHAR(10)," "),CHAR(13)," "))),"")))</f>
        <v/>
      </c>
      <c r="DU262">
        <f>IF($DM262=0,"",IF($L$13=0,"",IFERROR(IF(ISNUMBER(INDEX(PASTE_ALL,$DF262,$L$13)),INDEX(PASTE_ALL,$DF262,$L$13),TRIM(SUBSTITUTE(SUBSTITUTE(SUBSTITUTE(SUBSTITUTE(INDEX(PASTE_ALL,$DF262,$L$13)," "," "),CHAR(9)," "),CHAR(10)," "),CHAR(13)," "))),"")))</f>
        <v/>
      </c>
      <c r="DV262">
        <f>IF($DM262=0,"",IF($L$14=0,"",IFERROR(IF(ISNUMBER(INDEX(PASTE_ALL,$DF262,$L$14)),INDEX(PASTE_ALL,$DF262,$L$14),TRIM(SUBSTITUTE(SUBSTITUTE(SUBSTITUTE(SUBSTITUTE(INDEX(PASTE_ALL,$DF262,$L$14)," "," "),CHAR(9)," "),CHAR(10)," "),CHAR(13)," "))),"")))</f>
        <v/>
      </c>
      <c r="DW262">
        <f>IF($DM262=0,"",IF($L$15=0,"",IFERROR(IF(ISNUMBER(INDEX(PASTE_ALL,$DF262,$L$15)),INDEX(PASTE_ALL,$DF262,$L$15),IF(SUMPRODUCT(--ISNUMBER(FIND({"A","B","C","D","E","F","G","H","I","J","K","L","M","N","O","P","Q","R","S","T","U","V","W","X","Y","Z","0","1","2","3","4","5","6","7","8","9"},UPPER(TRIM(SUBSTITUTE(SUBSTITUTE(SUBSTITUTE(SUBSTITUTE(INDEX(PASTE_ALL,$DF262,$L$15)," "," "),CHAR(9)," "),CHAR(10)," "),CHAR(13)," "))))))&gt;0,TRIM(SUBSTITUTE(SUBSTITUTE(SUBSTITUTE(SUBSTITUTE(INDEX(PASTE_ALL,$DF262,$L$15)," "," "),CHAR(9)," "),CHAR(10)," "),CHAR(13)," ")),"")),"")))</f>
        <v/>
      </c>
      <c r="DX262">
        <f>IF($DM262=0,"",IF($L$16=0,"",IFERROR(IF(ISNUMBER(INDEX(PASTE_ALL,$DF262,$L$16)),INDEX(PASTE_ALL,$DF262,$L$16),SUBSTITUTE(SUBSTITUTE(TRIM(SUBSTITUTE(SUBSTITUTE(SUBSTITUTE(SUBSTITUTE(INDEX(PASTE_ALL,$DF262,$L$16)," "," "),CHAR(9)," "),CHAR(10)," "),CHAR(13)," ")),",",""),"%","")),"")))</f>
        <v/>
      </c>
      <c r="DY262">
        <f>IF($DM262=0,"",IFERROR(IF(ISNUMBER($DX262),$DX262,IF($DX262="","",IF(TRIM($DX262)="",0,IF(AND(AND(SUBSTITUTE(SUBSTITUTE(SUBSTITUTE(SUBSTITUTE(SUBSTITUTE(SUBSTITUTE(SUBSTITUTE(SUBSTITUTE(SUBSTITUTE(SUBSTITUTE(SUBSTITUTE(SUBSTITUTE(SUBSTITUTE(SUBSTITUTE(UPPER(TRIM($DX262)),"0",""),"1",""),"2",""),"3",""),"4",""),"5",""),"6",""),"7",""),"8",""),"9",""),".",""),"+",""),"-",""),"E","")="",LEN(SUBSTITUTE(SUBSTITUTE(MID(UPPER(TRIM($DX262)),1+OR(LEFT(UPPER(TRIM($DX262)),1)="+",LEFT(UPPER(TRIM($DX262)),1)="-"),999),"E+","E"),"E-","E"))=LEN(SUBSTITUTE(SUBSTITUTE(SUBSTITUTE(SUBSTITUTE(MID(UPPER(TRIM($DX262)),1+OR(LEFT(UPPER(TRIM($DX262)),1)="+",LEFT(UPPER(TRIM($DX262)),1)="-"),999),"E+","E"),"E-","E"),"+",""),"-","")),LEN(UPPER(TRIM($DX262)))-LEN(SUBSTITUTE(UPPER(TRIM($DX262)),"E",""))&lt;2,LEN(UPPER(TRIM($DX262)))-LEN(SUBSTITUTE(UPPER(TRIM($DX262)),".",""))&lt;2,IFERROR(FIND(".",UPPER(TRIM($DX262))),0)&lt;IFERROR(FIND("E",UPPER(TRIM($DX262))),999)),ISNUMBER(VALUE(TRIM($DX262)))),VALUE(TRIM($DX262)),"")))),""))</f>
        <v/>
      </c>
      <c r="DZ262">
        <f>IF($DM262=0,"",IF($L$17=0,"",IFERROR(IF(ISNUMBER(INDEX(PASTE_ALL,$DF262,$L$17)),INDEX(PASTE_ALL,$DF262,$L$17),SUBSTITUTE(SUBSTITUTE(TRIM(SUBSTITUTE(SUBSTITUTE(SUBSTITUTE(SUBSTITUTE(INDEX(PASTE_ALL,$DF262,$L$17)," "," "),CHAR(9)," "),CHAR(10)," "),CHAR(13)," ")),",",""),"%","")),"")))</f>
        <v/>
      </c>
      <c r="EA262">
        <f>IF($DM262=0,"",IFERROR(IF(ISNUMBER($DZ262),$DZ262,IF($DZ262="","",IF(TRIM($DZ262)="",0,IF(AND(AND(SUBSTITUTE(SUBSTITUTE(SUBSTITUTE(SUBSTITUTE(SUBSTITUTE(SUBSTITUTE(SUBSTITUTE(SUBSTITUTE(SUBSTITUTE(SUBSTITUTE(SUBSTITUTE(SUBSTITUTE(SUBSTITUTE(SUBSTITUTE(UPPER(TRIM($DZ262)),"0",""),"1",""),"2",""),"3",""),"4",""),"5",""),"6",""),"7",""),"8",""),"9",""),".",""),"+",""),"-",""),"E","")="",LEN(SUBSTITUTE(SUBSTITUTE(MID(UPPER(TRIM($DZ262)),1+OR(LEFT(UPPER(TRIM($DZ262)),1)="+",LEFT(UPPER(TRIM($DZ262)),1)="-"),999),"E+","E"),"E-","E"))=LEN(SUBSTITUTE(SUBSTITUTE(SUBSTITUTE(SUBSTITUTE(MID(UPPER(TRIM($DZ262)),1+OR(LEFT(UPPER(TRIM($DZ262)),1)="+",LEFT(UPPER(TRIM($DZ262)),1)="-"),999),"E+","E"),"E-","E"),"+",""),"-","")),LEN(UPPER(TRIM($DZ262)))-LEN(SUBSTITUTE(UPPER(TRIM($DZ262)),"E",""))&lt;2,LEN(UPPER(TRIM($DZ262)))-LEN(SUBSTITUTE(UPPER(TRIM($DZ262)),".",""))&lt;2,IFERROR(FIND(".",UPPER(TRIM($DZ262))),0)&lt;IFERROR(FIND("E",UPPER(TRIM($DZ262))),999)),ISNUMBER(VALUE(TRIM($DZ262)))),VALUE(TRIM($DZ262)),"")))),""))</f>
        <v/>
      </c>
      <c r="EB262">
        <f>IF($DM262=0,"",IF($L$18=0,"",IFERROR(IF(UPPER(TRIM(SUBSTITUTE(SUBSTITUTE(SUBSTITUTE(SUBSTITUTE(INDEX(PASTE_ALL,$DF262,$L$18)," "," "),CHAR(9)," "),CHAR(10)," "),CHAR(13)," ")))="READY","Ready",IF(UPPER(TRIM(SUBSTITUTE(SUBSTITUTE(SUBSTITUTE(SUBSTITUTE(INDEX(PASTE_ALL,$DF262,$L$18)," "," "),CHAR(9)," "),CHAR(10)," "),CHAR(13)," ")))="PM","PM",IF(OR(UPPER(TRIM(SUBSTITUTE(SUBSTITUTE(SUBSTITUTE(SUBSTITUTE(INDEX(PASTE_ALL,$DF262,$L$18)," "," "),CHAR(9)," "),CHAR(10)," "),CHAR(13)," ")))="OT",UPPER(TRIM(SUBSTITUTE(SUBSTITUTE(SUBSTITUTE(SUBSTITUTE(INDEX(PASTE_ALL,$DF262,$L$18)," "," "),CHAR(9)," "),CHAR(10)," "),CHAR(13)," ")))="OVERTIME",UPPER(TRIM(SUBSTITUTE(SUBSTITUTE(SUBSTITUTE(SUBSTITUTE(INDEX(PASTE_ALL,$DF262,$L$18)," "," "),CHAR(9)," "),CHAR(10)," "),CHAR(13)," ")))="TRIAL"),"OT",TRIM(SUBSTITUTE(SUBSTITUTE(SUBSTITUTE(SUBSTITUTE(INDEX(PASTE_ALL,$DF262,$L$18)," "," "),CHAR(9)," "),CHAR(10)," "),CHAR(13)," "))))),"")))</f>
        <v/>
      </c>
      <c r="EC262">
        <f>IF($DM262=0,"",IF($L$19=0,"",IFERROR(IF(ISNUMBER(INDEX(PASTE_ALL,$DF262,$L$19)),INDEX(PASTE_ALL,$DF262,$L$19),TRIM(SUBSTITUTE(SUBSTITUTE(SUBSTITUTE(SUBSTITUTE(INDEX(PASTE_ALL,$DF262,$L$19)," "," "),CHAR(9)," "),CHAR(10)," "),CHAR(13)," "))),"")))</f>
        <v/>
      </c>
      <c r="ED262">
        <f>IF($DM262=0,"",MATCH(1,INDEX(EXACT($DH$5:DH262,$DH262)*$DM$5:DM262,0),0))</f>
        <v/>
      </c>
      <c r="EE262">
        <f>IF($DM262=0,0,IF($ED262=$DE262,1,0))</f>
        <v/>
      </c>
      <c r="EF262">
        <f>EF261+$EE262</f>
        <v/>
      </c>
      <c r="EG262">
        <f>IF($DM262=0,"",INDEX($EF$5:$EF$1003,$ED262))</f>
        <v/>
      </c>
      <c r="EH262">
        <f>IF($DM262=0,"",IF($DO262&lt;&gt;"","",IFERROR(LOOKUP(2,1/(($EG$4:EG261=$EG262)*($DO$4:DO261&lt;&gt;"")),$DO$4:DO261),"")))</f>
        <v/>
      </c>
      <c r="EI262">
        <f>IF($DM262=0,"",IF($DO262&lt;&gt;"",$DO262,$EH262))</f>
        <v/>
      </c>
      <c r="EJ262">
        <f>IF($DM262=0,"",IF($EI262="",0,IF(OR(ISNUMBER($EI262),AND(AND(SUBSTITUTE(SUBSTITUTE(SUBSTITUTE(SUBSTITUTE(SUBSTITUTE(SUBSTITUTE(SUBSTITUTE(SUBSTITUTE(SUBSTITUTE(SUBSTITUTE(SUBSTITUTE(SUBSTITUTE(SUBSTITUTE(SUBSTITUTE(UPPER($EI262),"0",""),"1",""),"2",""),"3",""),"4",""),"5",""),"6",""),"7",""),"8",""),"9",""),".",""),"+",""),"-",""),"E","")="",LEN(SUBSTITUTE(SUBSTITUTE(MID(UPPER($EI262),1+OR(LEFT(UPPER($EI262),1)="+",LEFT(UPPER($EI262),1)="-"),999),"E+","E"),"E-","E"))=LEN(SUBSTITUTE(SUBSTITUTE(SUBSTITUTE(SUBSTITUTE(MID(UPPER($EI262),1+OR(LEFT(UPPER($EI262),1)="+",LEFT(UPPER($EI262),1)="-"),999),"E+","E"),"E-","E"),"+",""),"-","")),LEN(UPPER($EI262))-LEN(SUBSTITUTE(UPPER($EI262),"E",""))&lt;2,LEN(UPPER($EI262))-LEN(SUBSTITUTE(UPPER($EI262),".",""))&lt;2,IFERROR(FIND(".",UPPER($EI262)),0)&lt;IFERROR(FIND("E",UPPER($EI262)),999)),ISNUMBER(VALUE($EI262)))),1,2)))</f>
        <v/>
      </c>
      <c r="EK262">
        <f>IF($DM262=0,"",IF($EJ262=1,IF(ISNUMBER($EI262),$EI262,VALUE($EI262)),IF($EJ262=2,$DE262,0)))</f>
        <v/>
      </c>
      <c r="EL262">
        <f>IF($DM262=0,"",COUNTIF($EG$5:$EG$1003,"&lt;"&amp;$EG262)+SUMPRODUCT(($EG$5:$EG$1003=$EG262)*(($EJ$5:$EJ$1003&lt;$EJ262)+($EJ$5:$EJ$1003=$EJ262)*(($EK$5:$EK$1003&lt;$EK262)+($EK$5:$EK$1003=$EK262)*($DE$5:$DE$1003&lt;$DE262))))+1)</f>
        <v/>
      </c>
      <c r="EM262">
        <f>IF($DM262=0,"",$EL262+$EG262-1)</f>
        <v/>
      </c>
      <c r="EN262">
        <f>IF($DM262=0,0,IFERROR(MATCH(1,INDEX(--(TRIM(SUBSTITUTE(SUBSTITUTE(SUBSTITUTE(SUBSTITUTE(LINES_NAME&amp;""," "," "),CHAR(9)," "),CHAR(10)," "),CHAR(13)," "))=$DH262),0),0),0))</f>
        <v/>
      </c>
      <c r="EO262">
        <f>IF($EN262=0,0,IF(OR(UPPER(TRIM(INDEX(LINES_SCHEDULED,$EN262)&amp;""))="YES",UPPER(TRIM(INDEX(LINES_SCHEDULED,$EN262)&amp;""))="Y",UPPER(TRIM(INDEX(LINES_SCHEDULED,$EN262)&amp;""))="X"),1,0))</f>
        <v/>
      </c>
      <c r="EP262">
        <f>IF($DM262=0,"",IF(COUNTIFS($EG$5:$EG$1003,$EG262,$EB$5:$EB$1003,"Ready")&gt;0,"READY",IF(COUNTIFS($EG$5:$EG$1003,$EG262,$EB$5:$EB$1003,"PM")&gt;0,"PM",IF(COUNTIFS($EG$5:$EG$1003,$EG262,$EB$5:$EB$1003,"OT")&gt;0,"OT",""))))</f>
        <v/>
      </c>
      <c r="EQ262">
        <f>IF($EN262=0,"",UPPER(TRIM(INDEX(LINES_STATUS,$EN262)&amp;"")))</f>
        <v/>
      </c>
      <c r="ER262">
        <f>IF($DM262=0,"",IF(OR($EQ262="READY",$EQ262="PM",$EQ262="OT"),$EQ262,$EP262))</f>
        <v/>
      </c>
      <c r="ES262">
        <f>IF($DM262=0,"",IF(AND($DV262&lt;&gt;"",UPPER($DV262)&lt;&gt;"N"),"allergen",IF(ISNUMBER(SEARCH("oil",$DQ262)),"oil",IF(OR(EXACT($DS262,"A662"),EXACT($DS262,"A624")),"bulk",""))))</f>
        <v/>
      </c>
      <c r="ET262">
        <f>IF($DM262=0,"",IF(OR($EA262="",$EA262=0),"",$EA262/100))</f>
        <v/>
      </c>
      <c r="EU262">
        <f>IF(OR($ET262="",$DY262=""),"",INT($DY262*(1-$ET262)+0.5))</f>
        <v/>
      </c>
      <c r="EW262" t="n">
        <v>258</v>
      </c>
      <c r="EX262">
        <f>IFERROR(MATCH($EW262,$EM$5:$EM$1003,0),0)</f>
        <v/>
      </c>
      <c r="EY262">
        <f>IF($EW262&gt;$B$12,"",IF($EX262&gt;0,"row","spacer"))</f>
        <v/>
      </c>
      <c r="EZ262">
        <f>IF(AND($EY262="row",$EY261&lt;&gt;"row"),1,0)</f>
        <v/>
      </c>
      <c r="FA262">
        <f>IF(AND($EY262="row",$EY263&lt;&gt;"row"),1,0)</f>
        <v/>
      </c>
      <c r="FB262">
        <f>IF($EZ262=1,IFERROR(IF(ISNUMBER(INDEX(PASTE_ALL,INDEX($DF$5:$DF$1003,$EX262),$B$37)),INDEX(PASTE_ALL,INDEX($DF$5:$DF$1003,$EX262),$B$37),INDEX($DH$5:$DH$1003,$EX262)),INDEX($DH$5:$DH$1003,$EX262)),"")</f>
        <v/>
      </c>
      <c r="FC262">
        <f>IF($EY262="row",INDEX($ER$5:$ER$1003,$EX262),"")</f>
        <v/>
      </c>
      <c r="FD262">
        <f>IF($EY262="row",INDEX($DN$5:$DN$1003,$EX262),"")</f>
        <v/>
      </c>
      <c r="FE262">
        <f>IF($EY262="row",INDEX($DO$5:$DO$1003,$EX262),"")</f>
        <v/>
      </c>
      <c r="FF262">
        <f>IF($EY262="row",INDEX($DP$5:$DP$1003,$EX262),"")</f>
        <v/>
      </c>
      <c r="FG262">
        <f>IF($EY262="row",INDEX($DQ$5:$DQ$1003,$EX262),"")</f>
        <v/>
      </c>
      <c r="FH262">
        <f>IF($EY262="row",INDEX($DR$5:$DR$1003,$EX262),"")</f>
        <v/>
      </c>
      <c r="FI262">
        <f>IF($EY262="row",INDEX($DS$5:$DS$1003,$EX262),"")</f>
        <v/>
      </c>
      <c r="FJ262">
        <f>IF($EY262="row",INDEX($DT$5:$DT$1003,$EX262),"")</f>
        <v/>
      </c>
      <c r="FK262">
        <f>IF($EY262="row",INDEX($DU$5:$DU$1003,$EX262),"")</f>
        <v/>
      </c>
      <c r="FL262">
        <f>IF($EY262="row",INDEX($DV$5:$DV$1003,$EX262),"")</f>
        <v/>
      </c>
      <c r="FM262">
        <f>IF($EY262="row",INDEX($DW$5:$DW$1003,$EX262),"")</f>
        <v/>
      </c>
      <c r="FN262">
        <f>IF($EY262="row",INDEX($DY$5:$DY$1003,$EX262),"")</f>
        <v/>
      </c>
      <c r="FO262">
        <f>IF($EY262="row",INDEX($EA$5:$EA$1003,$EX262),"")</f>
        <v/>
      </c>
      <c r="FP262">
        <f>IF($EY262="row",INDEX($EC$5:$EC$1003,$EX262),"")</f>
        <v/>
      </c>
      <c r="FQ262">
        <f>IF($EY262="row",INDEX($ET$5:$ET$1003,$EX262),"")</f>
        <v/>
      </c>
      <c r="FR262">
        <f>IF($EY262="row",INDEX($EU$5:$EU$1003,$EX262),"")</f>
        <v/>
      </c>
      <c r="FS262">
        <f>IF(AND($EY262="row",$EY261="row"),IF(OR(INDEX($DT$5:$DT$1003,$EX261)="",INDEX($DT$5:$DT$1003,$EX262)=""),"",IF(NOT(EXACT(INDEX($DT$5:$DT$1003,$EX261),INDEX($DT$5:$DT$1003,$EX262))),"S4",IF(NOT(EXACT(INDEX($DS$5:$DS$1003,$EX261),INDEX($DS$5:$DS$1003,$EX262))),"S3",IF(NOT(EXACT(INDEX($DR$5:$DR$1003,$EX261),INDEX($DR$5:$DR$1003,$EX262))),"S1 Count Change","S1")))),"")</f>
        <v/>
      </c>
      <c r="FT262">
        <f>IF($EY262="row",INDEX($ES$5:$ES$1003,$EX262),"")</f>
        <v/>
      </c>
      <c r="FU262">
        <f>IF($EY262="row",INDEX($EO$5:$EO$1003,$EX262),0)</f>
        <v/>
      </c>
      <c r="FV262">
        <f>IF($FS262="S1 Count Change",1,0)</f>
        <v/>
      </c>
    </row>
    <row r="263">
      <c r="DA263" t="n">
        <v>259</v>
      </c>
      <c r="DB263">
        <f>IF($B$37=0,"",IFERROR(TRIM(SUBSTITUTE(SUBSTITUTE(SUBSTITUTE(SUBSTITUTE(INDEX(PASTE_ALL,259,$B$37)," "," "),CHAR(9)," "),CHAR(10)," "),CHAR(13)," ")),""))</f>
        <v/>
      </c>
      <c r="DC263">
        <f>IF(AND(259&gt;HEADER_ROW,UPPER(DB263)="LEGEND"),1,0)</f>
        <v/>
      </c>
      <c r="DE263" t="n">
        <v>259</v>
      </c>
      <c r="DF263">
        <f>HEADER_ROW+$DE263</f>
        <v/>
      </c>
      <c r="DG263">
        <f>IF(AND($DF263&lt;=1000,$DF263&lt;$B$8),1,0)</f>
        <v/>
      </c>
      <c r="DH263">
        <f>IF($DG263=1,IFERROR(INDEX($DB$5:$DB$1004,$DF263),""),"")</f>
        <v/>
      </c>
      <c r="DI263">
        <f>IF(AND($DG263=1,$DH263&lt;&gt;""),IFERROR(SUBSTITUTE(SUBSTITUTE(TRIM(SUBSTITUTE(SUBSTITUTE(SUBSTITUTE(SUBSTITUTE(IFERROR(INDEX(PASTE_ALL,$DF263,1)&amp;"","")&amp;"␟"&amp;IFERROR(INDEX(PASTE_ALL,$DF263,2)&amp;"","")&amp;"␟"&amp;IFERROR(INDEX(PASTE_ALL,$DF263,3)&amp;"","")&amp;"␟"&amp;IFERROR(INDEX(PASTE_ALL,$DF263,4)&amp;"","")&amp;"␟"&amp;IFERROR(INDEX(PASTE_ALL,$DF263,5)&amp;"","")&amp;"␟"&amp;IFERROR(INDEX(PASTE_ALL,$DF263,6)&amp;"","")&amp;"␟"&amp;IFERROR(INDEX(PASTE_ALL,$DF263,7)&amp;"","")&amp;"␟"&amp;IFERROR(INDEX(PASTE_ALL,$DF263,8)&amp;"","")&amp;"␟"&amp;IFERROR(INDEX(PASTE_ALL,$DF263,9)&amp;"","")&amp;"␟"&amp;IFERROR(INDEX(PASTE_ALL,$DF263,10)&amp;"","")&amp;"␟"&amp;IFERROR(INDEX(PASTE_ALL,$DF263,11)&amp;"","")&amp;"␟"&amp;IFERROR(INDEX(PASTE_ALL,$DF263,12)&amp;"","")&amp;"␟"&amp;IFERROR(INDEX(PASTE_ALL,$DF263,13)&amp;"","")&amp;"␟"&amp;IFERROR(INDEX(PASTE_ALL,$DF263,14)&amp;"","")&amp;"␟"&amp;IFERROR(INDEX(PASTE_ALL,$DF263,15)&amp;"","")&amp;"␟"&amp;IFERROR(INDEX(PASTE_ALL,$DF263,16)&amp;"","")&amp;"␟"&amp;IFERROR(INDEX(PASTE_ALL,$DF263,17)&amp;"","")&amp;"␟"&amp;IFERROR(INDEX(PASTE_ALL,$DF263,18)&amp;"","")&amp;"␟"&amp;IFERROR(INDEX(PASTE_ALL,$DF263,19)&amp;"","")&amp;"␟"&amp;IFERROR(INDEX(PASTE_ALL,$DF263,20)&amp;"","")&amp;"␟"&amp;IFERROR(INDEX(PASTE_ALL,$DF263,21)&amp;"","")&amp;"␟"&amp;IFERROR(INDEX(PASTE_ALL,$DF263,22)&amp;"","")&amp;"␟"&amp;IFERROR(INDEX(PASTE_ALL,$DF263,23)&amp;"","")&amp;"␟"&amp;IFERROR(INDEX(PASTE_ALL,$DF263,24)&amp;"","")&amp;"␟"&amp;IFERROR(INDEX(PASTE_ALL,$DF263,25)&amp;"","")&amp;"␟"&amp;IFERROR(INDEX(PASTE_ALL,$DF263,26)&amp;"","")&amp;"␟"&amp;IFERROR(INDEX(PASTE_ALL,$DF263,27)&amp;"","")&amp;"␟"&amp;IFERROR(INDEX(PASTE_ALL,$DF263,28)&amp;"","")&amp;"␟"&amp;IFERROR(INDEX(PASTE_ALL,$DF263,29)&amp;"","")&amp;"␟"&amp;IFERROR(INDEX(PASTE_ALL,$DF263,30)&amp;"","")&amp;"␟"&amp;IFERROR(INDEX(PASTE_ALL,$DF263,31)&amp;"","")&amp;"␟"&amp;IFERROR(INDEX(PASTE_ALL,$DF263,32)&amp;"","")&amp;"␟"&amp;IFERROR(INDEX(PASTE_ALL,$DF263,33)&amp;"","")&amp;"␟"&amp;IFERROR(INDEX(PASTE_ALL,$DF263,34)&amp;"","")&amp;"␟"&amp;IFERROR(INDEX(PASTE_ALL,$DF263,35)&amp;"","")&amp;"␟"&amp;IFERROR(INDEX(PASTE_ALL,$DF263,36)&amp;"","")&amp;"␟"&amp;IFERROR(INDEX(PASTE_ALL,$DF263,37)&amp;"","")&amp;"␟"&amp;IFERROR(INDEX(PASTE_ALL,$DF263,38)&amp;"","")&amp;"␟"&amp;IFERROR(INDEX(PASTE_ALL,$DF263,39)&amp;"","")&amp;"␟"&amp;IFERROR(INDEX(PASTE_ALL,$DF263,40)&amp;"","")&amp;"␟"&amp;IFERROR(INDEX(PASTE_ALL,$DF263,41)&amp;"","")&amp;"␟"&amp;IFERROR(INDEX(PASTE_ALL,$DF263,42)&amp;"","")&amp;"␟"&amp;IFERROR(INDEX(PASTE_ALL,$DF263,43)&amp;"","")&amp;"␟"&amp;IFERROR(INDEX(PASTE_ALL,$DF263,44)&amp;"","")&amp;"␟"&amp;IFERROR(INDEX(PASTE_ALL,$DF263,45)&amp;"","")&amp;"␟"&amp;IFERROR(INDEX(PASTE_ALL,$DF263,46)&amp;"","")&amp;"␟"&amp;IFERROR(INDEX(PASTE_ALL,$DF263,47)&amp;"","")&amp;"␟"&amp;IFERROR(INDEX(PASTE_ALL,$DF263,48)&amp;"","")&amp;"␟"&amp;IFERROR(INDEX(PASTE_ALL,$DF263,49)&amp;"","")&amp;"␟"&amp;IFERROR(INDEX(PASTE_ALL,$DF263,50)&amp;"","")&amp;"␟"&amp;IFERROR(INDEX(PASTE_ALL,$DF263,51)&amp;"","")&amp;"␟"&amp;IFERROR(INDEX(PASTE_ALL,$DF263,52)&amp;"","")&amp;"␟"&amp;IFERROR(INDEX(PASTE_ALL,$DF263,53)&amp;"","")&amp;"␟"&amp;IFERROR(INDEX(PASTE_ALL,$DF263,54)&amp;"","")&amp;"␟"&amp;IFERROR(INDEX(PASTE_ALL,$DF263,55)&amp;"","")&amp;"␟"&amp;IFERROR(INDEX(PASTE_ALL,$DF263,56)&amp;"","")&amp;"␟"&amp;IFERROR(INDEX(PASTE_ALL,$DF263,57)&amp;"","")&amp;"␟"&amp;IFERROR(INDEX(PASTE_ALL,$DF263,58)&amp;"","")&amp;"␟"&amp;IFERROR(INDEX(PASTE_ALL,$DF263,59)&amp;"","")&amp;"␟"&amp;IFERROR(INDEX(PASTE_ALL,$DF263,60)&amp;"","")," "," "),CHAR(9)," "),CHAR(10)," "),CHAR(13)," "))," ␟","␟"),"␟ ","␟"),"#"&amp;$DE263),"")</f>
        <v/>
      </c>
      <c r="DJ263">
        <f>IF($DI263="",0,IF(SUMPRODUCT(--EXACT($DI$4:DI262,$DI263))&gt;0,1,0))</f>
        <v/>
      </c>
      <c r="DK263">
        <f>IF(AND($DI263&lt;&gt;"",$DJ263=0),1,0)</f>
        <v/>
      </c>
      <c r="DL263">
        <f>DL262+$DK263</f>
        <v/>
      </c>
      <c r="DM263">
        <f>IF(AND($DK263=1,$DL263&lt;=600),1,0)</f>
        <v/>
      </c>
      <c r="DN263">
        <f>IF($DM263=0,"",IF($L$6=0,"",IFERROR(IF(ISNUMBER(INDEX(PASTE_ALL,$DF263,$L$6)),INDEX(PASTE_ALL,$DF263,$L$6),TRIM(SUBSTITUTE(SUBSTITUTE(SUBSTITUTE(SUBSTITUTE(INDEX(PASTE_ALL,$DF263,$L$6)," "," "),CHAR(9)," "),CHAR(10)," "),CHAR(13)," "))),"")))</f>
        <v/>
      </c>
      <c r="DO263">
        <f>IF($DM263=0,"",IF($L$7=0,"",IFERROR(IF(ISNUMBER(INDEX(PASTE_ALL,$DF263,$L$7)),INDEX(PASTE_ALL,$DF263,$L$7),TRIM(SUBSTITUTE(SUBSTITUTE(SUBSTITUTE(SUBSTITUTE(INDEX(PASTE_ALL,$DF263,$L$7)," "," "),CHAR(9)," "),CHAR(10)," "),CHAR(13)," "))),"")))</f>
        <v/>
      </c>
      <c r="DP263">
        <f>IF($DM263=0,"",IF($L$8=0,"",IFERROR(IF(ISNUMBER(INDEX(PASTE_ALL,$DF263,$L$8)),INDEX(PASTE_ALL,$DF263,$L$8),TRIM(SUBSTITUTE(SUBSTITUTE(SUBSTITUTE(SUBSTITUTE(INDEX(PASTE_ALL,$DF263,$L$8)," "," "),CHAR(9)," "),CHAR(10)," "),CHAR(13)," "))),"")))</f>
        <v/>
      </c>
      <c r="DQ263">
        <f>IF($DM263=0,"",IF($L$9=0,"",IFERROR(IF(ISNUMBER(INDEX(PASTE_ALL,$DF263,$L$9)),INDEX(PASTE_ALL,$DF263,$L$9),TRIM(SUBSTITUTE(SUBSTITUTE(SUBSTITUTE(SUBSTITUTE(INDEX(PASTE_ALL,$DF263,$L$9)," "," "),CHAR(9)," "),CHAR(10)," "),CHAR(13)," "))),"")))</f>
        <v/>
      </c>
      <c r="DR263">
        <f>IF($DM263=0,"",IF($L$10=0,"",IFERROR(IF(ISNUMBER(INDEX(PASTE_ALL,$DF263,$L$10)),INDEX(PASTE_ALL,$DF263,$L$10),TRIM(SUBSTITUTE(SUBSTITUTE(SUBSTITUTE(SUBSTITUTE(INDEX(PASTE_ALL,$DF263,$L$10)," "," "),CHAR(9)," "),CHAR(10)," "),CHAR(13)," "))),"")))</f>
        <v/>
      </c>
      <c r="DS263">
        <f>IF($DM263=0,"",IF($L$11=0,"",IFERROR(IF(ISNUMBER(INDEX(PASTE_ALL,$DF263,$L$11)),INDEX(PASTE_ALL,$DF263,$L$11),TRIM(SUBSTITUTE(SUBSTITUTE(SUBSTITUTE(SUBSTITUTE(INDEX(PASTE_ALL,$DF263,$L$11)," "," "),CHAR(9)," "),CHAR(10)," "),CHAR(13)," "))),"")))</f>
        <v/>
      </c>
      <c r="DT263">
        <f>IF($DM263=0,"",IF($L$12=0,"",IFERROR(IF(ISNUMBER(INDEX(PASTE_ALL,$DF263,$L$12)),INDEX(PASTE_ALL,$DF263,$L$12),TRIM(SUBSTITUTE(SUBSTITUTE(SUBSTITUTE(SUBSTITUTE(INDEX(PASTE_ALL,$DF263,$L$12)," "," "),CHAR(9)," "),CHAR(10)," "),CHAR(13)," "))),"")))</f>
        <v/>
      </c>
      <c r="DU263">
        <f>IF($DM263=0,"",IF($L$13=0,"",IFERROR(IF(ISNUMBER(INDEX(PASTE_ALL,$DF263,$L$13)),INDEX(PASTE_ALL,$DF263,$L$13),TRIM(SUBSTITUTE(SUBSTITUTE(SUBSTITUTE(SUBSTITUTE(INDEX(PASTE_ALL,$DF263,$L$13)," "," "),CHAR(9)," "),CHAR(10)," "),CHAR(13)," "))),"")))</f>
        <v/>
      </c>
      <c r="DV263">
        <f>IF($DM263=0,"",IF($L$14=0,"",IFERROR(IF(ISNUMBER(INDEX(PASTE_ALL,$DF263,$L$14)),INDEX(PASTE_ALL,$DF263,$L$14),TRIM(SUBSTITUTE(SUBSTITUTE(SUBSTITUTE(SUBSTITUTE(INDEX(PASTE_ALL,$DF263,$L$14)," "," "),CHAR(9)," "),CHAR(10)," "),CHAR(13)," "))),"")))</f>
        <v/>
      </c>
      <c r="DW263">
        <f>IF($DM263=0,"",IF($L$15=0,"",IFERROR(IF(ISNUMBER(INDEX(PASTE_ALL,$DF263,$L$15)),INDEX(PASTE_ALL,$DF263,$L$15),IF(SUMPRODUCT(--ISNUMBER(FIND({"A","B","C","D","E","F","G","H","I","J","K","L","M","N","O","P","Q","R","S","T","U","V","W","X","Y","Z","0","1","2","3","4","5","6","7","8","9"},UPPER(TRIM(SUBSTITUTE(SUBSTITUTE(SUBSTITUTE(SUBSTITUTE(INDEX(PASTE_ALL,$DF263,$L$15)," "," "),CHAR(9)," "),CHAR(10)," "),CHAR(13)," "))))))&gt;0,TRIM(SUBSTITUTE(SUBSTITUTE(SUBSTITUTE(SUBSTITUTE(INDEX(PASTE_ALL,$DF263,$L$15)," "," "),CHAR(9)," "),CHAR(10)," "),CHAR(13)," ")),"")),"")))</f>
        <v/>
      </c>
      <c r="DX263">
        <f>IF($DM263=0,"",IF($L$16=0,"",IFERROR(IF(ISNUMBER(INDEX(PASTE_ALL,$DF263,$L$16)),INDEX(PASTE_ALL,$DF263,$L$16),SUBSTITUTE(SUBSTITUTE(TRIM(SUBSTITUTE(SUBSTITUTE(SUBSTITUTE(SUBSTITUTE(INDEX(PASTE_ALL,$DF263,$L$16)," "," "),CHAR(9)," "),CHAR(10)," "),CHAR(13)," ")),",",""),"%","")),"")))</f>
        <v/>
      </c>
      <c r="DY263">
        <f>IF($DM263=0,"",IFERROR(IF(ISNUMBER($DX263),$DX263,IF($DX263="","",IF(TRIM($DX263)="",0,IF(AND(AND(SUBSTITUTE(SUBSTITUTE(SUBSTITUTE(SUBSTITUTE(SUBSTITUTE(SUBSTITUTE(SUBSTITUTE(SUBSTITUTE(SUBSTITUTE(SUBSTITUTE(SUBSTITUTE(SUBSTITUTE(SUBSTITUTE(SUBSTITUTE(UPPER(TRIM($DX263)),"0",""),"1",""),"2",""),"3",""),"4",""),"5",""),"6",""),"7",""),"8",""),"9",""),".",""),"+",""),"-",""),"E","")="",LEN(SUBSTITUTE(SUBSTITUTE(MID(UPPER(TRIM($DX263)),1+OR(LEFT(UPPER(TRIM($DX263)),1)="+",LEFT(UPPER(TRIM($DX263)),1)="-"),999),"E+","E"),"E-","E"))=LEN(SUBSTITUTE(SUBSTITUTE(SUBSTITUTE(SUBSTITUTE(MID(UPPER(TRIM($DX263)),1+OR(LEFT(UPPER(TRIM($DX263)),1)="+",LEFT(UPPER(TRIM($DX263)),1)="-"),999),"E+","E"),"E-","E"),"+",""),"-","")),LEN(UPPER(TRIM($DX263)))-LEN(SUBSTITUTE(UPPER(TRIM($DX263)),"E",""))&lt;2,LEN(UPPER(TRIM($DX263)))-LEN(SUBSTITUTE(UPPER(TRIM($DX263)),".",""))&lt;2,IFERROR(FIND(".",UPPER(TRIM($DX263))),0)&lt;IFERROR(FIND("E",UPPER(TRIM($DX263))),999)),ISNUMBER(VALUE(TRIM($DX263)))),VALUE(TRIM($DX263)),"")))),""))</f>
        <v/>
      </c>
      <c r="DZ263">
        <f>IF($DM263=0,"",IF($L$17=0,"",IFERROR(IF(ISNUMBER(INDEX(PASTE_ALL,$DF263,$L$17)),INDEX(PASTE_ALL,$DF263,$L$17),SUBSTITUTE(SUBSTITUTE(TRIM(SUBSTITUTE(SUBSTITUTE(SUBSTITUTE(SUBSTITUTE(INDEX(PASTE_ALL,$DF263,$L$17)," "," "),CHAR(9)," "),CHAR(10)," "),CHAR(13)," ")),",",""),"%","")),"")))</f>
        <v/>
      </c>
      <c r="EA263">
        <f>IF($DM263=0,"",IFERROR(IF(ISNUMBER($DZ263),$DZ263,IF($DZ263="","",IF(TRIM($DZ263)="",0,IF(AND(AND(SUBSTITUTE(SUBSTITUTE(SUBSTITUTE(SUBSTITUTE(SUBSTITUTE(SUBSTITUTE(SUBSTITUTE(SUBSTITUTE(SUBSTITUTE(SUBSTITUTE(SUBSTITUTE(SUBSTITUTE(SUBSTITUTE(SUBSTITUTE(UPPER(TRIM($DZ263)),"0",""),"1",""),"2",""),"3",""),"4",""),"5",""),"6",""),"7",""),"8",""),"9",""),".",""),"+",""),"-",""),"E","")="",LEN(SUBSTITUTE(SUBSTITUTE(MID(UPPER(TRIM($DZ263)),1+OR(LEFT(UPPER(TRIM($DZ263)),1)="+",LEFT(UPPER(TRIM($DZ263)),1)="-"),999),"E+","E"),"E-","E"))=LEN(SUBSTITUTE(SUBSTITUTE(SUBSTITUTE(SUBSTITUTE(MID(UPPER(TRIM($DZ263)),1+OR(LEFT(UPPER(TRIM($DZ263)),1)="+",LEFT(UPPER(TRIM($DZ263)),1)="-"),999),"E+","E"),"E-","E"),"+",""),"-","")),LEN(UPPER(TRIM($DZ263)))-LEN(SUBSTITUTE(UPPER(TRIM($DZ263)),"E",""))&lt;2,LEN(UPPER(TRIM($DZ263)))-LEN(SUBSTITUTE(UPPER(TRIM($DZ263)),".",""))&lt;2,IFERROR(FIND(".",UPPER(TRIM($DZ263))),0)&lt;IFERROR(FIND("E",UPPER(TRIM($DZ263))),999)),ISNUMBER(VALUE(TRIM($DZ263)))),VALUE(TRIM($DZ263)),"")))),""))</f>
        <v/>
      </c>
      <c r="EB263">
        <f>IF($DM263=0,"",IF($L$18=0,"",IFERROR(IF(UPPER(TRIM(SUBSTITUTE(SUBSTITUTE(SUBSTITUTE(SUBSTITUTE(INDEX(PASTE_ALL,$DF263,$L$18)," "," "),CHAR(9)," "),CHAR(10)," "),CHAR(13)," ")))="READY","Ready",IF(UPPER(TRIM(SUBSTITUTE(SUBSTITUTE(SUBSTITUTE(SUBSTITUTE(INDEX(PASTE_ALL,$DF263,$L$18)," "," "),CHAR(9)," "),CHAR(10)," "),CHAR(13)," ")))="PM","PM",IF(OR(UPPER(TRIM(SUBSTITUTE(SUBSTITUTE(SUBSTITUTE(SUBSTITUTE(INDEX(PASTE_ALL,$DF263,$L$18)," "," "),CHAR(9)," "),CHAR(10)," "),CHAR(13)," ")))="OT",UPPER(TRIM(SUBSTITUTE(SUBSTITUTE(SUBSTITUTE(SUBSTITUTE(INDEX(PASTE_ALL,$DF263,$L$18)," "," "),CHAR(9)," "),CHAR(10)," "),CHAR(13)," ")))="OVERTIME",UPPER(TRIM(SUBSTITUTE(SUBSTITUTE(SUBSTITUTE(SUBSTITUTE(INDEX(PASTE_ALL,$DF263,$L$18)," "," "),CHAR(9)," "),CHAR(10)," "),CHAR(13)," ")))="TRIAL"),"OT",TRIM(SUBSTITUTE(SUBSTITUTE(SUBSTITUTE(SUBSTITUTE(INDEX(PASTE_ALL,$DF263,$L$18)," "," "),CHAR(9)," "),CHAR(10)," "),CHAR(13)," "))))),"")))</f>
        <v/>
      </c>
      <c r="EC263">
        <f>IF($DM263=0,"",IF($L$19=0,"",IFERROR(IF(ISNUMBER(INDEX(PASTE_ALL,$DF263,$L$19)),INDEX(PASTE_ALL,$DF263,$L$19),TRIM(SUBSTITUTE(SUBSTITUTE(SUBSTITUTE(SUBSTITUTE(INDEX(PASTE_ALL,$DF263,$L$19)," "," "),CHAR(9)," "),CHAR(10)," "),CHAR(13)," "))),"")))</f>
        <v/>
      </c>
      <c r="ED263">
        <f>IF($DM263=0,"",MATCH(1,INDEX(EXACT($DH$5:DH263,$DH263)*$DM$5:DM263,0),0))</f>
        <v/>
      </c>
      <c r="EE263">
        <f>IF($DM263=0,0,IF($ED263=$DE263,1,0))</f>
        <v/>
      </c>
      <c r="EF263">
        <f>EF262+$EE263</f>
        <v/>
      </c>
      <c r="EG263">
        <f>IF($DM263=0,"",INDEX($EF$5:$EF$1003,$ED263))</f>
        <v/>
      </c>
      <c r="EH263">
        <f>IF($DM263=0,"",IF($DO263&lt;&gt;"","",IFERROR(LOOKUP(2,1/(($EG$4:EG262=$EG263)*($DO$4:DO262&lt;&gt;"")),$DO$4:DO262),"")))</f>
        <v/>
      </c>
      <c r="EI263">
        <f>IF($DM263=0,"",IF($DO263&lt;&gt;"",$DO263,$EH263))</f>
        <v/>
      </c>
      <c r="EJ263">
        <f>IF($DM263=0,"",IF($EI263="",0,IF(OR(ISNUMBER($EI263),AND(AND(SUBSTITUTE(SUBSTITUTE(SUBSTITUTE(SUBSTITUTE(SUBSTITUTE(SUBSTITUTE(SUBSTITUTE(SUBSTITUTE(SUBSTITUTE(SUBSTITUTE(SUBSTITUTE(SUBSTITUTE(SUBSTITUTE(SUBSTITUTE(UPPER($EI263),"0",""),"1",""),"2",""),"3",""),"4",""),"5",""),"6",""),"7",""),"8",""),"9",""),".",""),"+",""),"-",""),"E","")="",LEN(SUBSTITUTE(SUBSTITUTE(MID(UPPER($EI263),1+OR(LEFT(UPPER($EI263),1)="+",LEFT(UPPER($EI263),1)="-"),999),"E+","E"),"E-","E"))=LEN(SUBSTITUTE(SUBSTITUTE(SUBSTITUTE(SUBSTITUTE(MID(UPPER($EI263),1+OR(LEFT(UPPER($EI263),1)="+",LEFT(UPPER($EI263),1)="-"),999),"E+","E"),"E-","E"),"+",""),"-","")),LEN(UPPER($EI263))-LEN(SUBSTITUTE(UPPER($EI263),"E",""))&lt;2,LEN(UPPER($EI263))-LEN(SUBSTITUTE(UPPER($EI263),".",""))&lt;2,IFERROR(FIND(".",UPPER($EI263)),0)&lt;IFERROR(FIND("E",UPPER($EI263)),999)),ISNUMBER(VALUE($EI263)))),1,2)))</f>
        <v/>
      </c>
      <c r="EK263">
        <f>IF($DM263=0,"",IF($EJ263=1,IF(ISNUMBER($EI263),$EI263,VALUE($EI263)),IF($EJ263=2,$DE263,0)))</f>
        <v/>
      </c>
      <c r="EL263">
        <f>IF($DM263=0,"",COUNTIF($EG$5:$EG$1003,"&lt;"&amp;$EG263)+SUMPRODUCT(($EG$5:$EG$1003=$EG263)*(($EJ$5:$EJ$1003&lt;$EJ263)+($EJ$5:$EJ$1003=$EJ263)*(($EK$5:$EK$1003&lt;$EK263)+($EK$5:$EK$1003=$EK263)*($DE$5:$DE$1003&lt;$DE263))))+1)</f>
        <v/>
      </c>
      <c r="EM263">
        <f>IF($DM263=0,"",$EL263+$EG263-1)</f>
        <v/>
      </c>
      <c r="EN263">
        <f>IF($DM263=0,0,IFERROR(MATCH(1,INDEX(--(TRIM(SUBSTITUTE(SUBSTITUTE(SUBSTITUTE(SUBSTITUTE(LINES_NAME&amp;""," "," "),CHAR(9)," "),CHAR(10)," "),CHAR(13)," "))=$DH263),0),0),0))</f>
        <v/>
      </c>
      <c r="EO263">
        <f>IF($EN263=0,0,IF(OR(UPPER(TRIM(INDEX(LINES_SCHEDULED,$EN263)&amp;""))="YES",UPPER(TRIM(INDEX(LINES_SCHEDULED,$EN263)&amp;""))="Y",UPPER(TRIM(INDEX(LINES_SCHEDULED,$EN263)&amp;""))="X"),1,0))</f>
        <v/>
      </c>
      <c r="EP263">
        <f>IF($DM263=0,"",IF(COUNTIFS($EG$5:$EG$1003,$EG263,$EB$5:$EB$1003,"Ready")&gt;0,"READY",IF(COUNTIFS($EG$5:$EG$1003,$EG263,$EB$5:$EB$1003,"PM")&gt;0,"PM",IF(COUNTIFS($EG$5:$EG$1003,$EG263,$EB$5:$EB$1003,"OT")&gt;0,"OT",""))))</f>
        <v/>
      </c>
      <c r="EQ263">
        <f>IF($EN263=0,"",UPPER(TRIM(INDEX(LINES_STATUS,$EN263)&amp;"")))</f>
        <v/>
      </c>
      <c r="ER263">
        <f>IF($DM263=0,"",IF(OR($EQ263="READY",$EQ263="PM",$EQ263="OT"),$EQ263,$EP263))</f>
        <v/>
      </c>
      <c r="ES263">
        <f>IF($DM263=0,"",IF(AND($DV263&lt;&gt;"",UPPER($DV263)&lt;&gt;"N"),"allergen",IF(ISNUMBER(SEARCH("oil",$DQ263)),"oil",IF(OR(EXACT($DS263,"A662"),EXACT($DS263,"A624")),"bulk",""))))</f>
        <v/>
      </c>
      <c r="ET263">
        <f>IF($DM263=0,"",IF(OR($EA263="",$EA263=0),"",$EA263/100))</f>
        <v/>
      </c>
      <c r="EU263">
        <f>IF(OR($ET263="",$DY263=""),"",INT($DY263*(1-$ET263)+0.5))</f>
        <v/>
      </c>
      <c r="EW263" t="n">
        <v>259</v>
      </c>
      <c r="EX263">
        <f>IFERROR(MATCH($EW263,$EM$5:$EM$1003,0),0)</f>
        <v/>
      </c>
      <c r="EY263">
        <f>IF($EW263&gt;$B$12,"",IF($EX263&gt;0,"row","spacer"))</f>
        <v/>
      </c>
      <c r="EZ263">
        <f>IF(AND($EY263="row",$EY262&lt;&gt;"row"),1,0)</f>
        <v/>
      </c>
      <c r="FA263">
        <f>IF(AND($EY263="row",$EY264&lt;&gt;"row"),1,0)</f>
        <v/>
      </c>
      <c r="FB263">
        <f>IF($EZ263=1,IFERROR(IF(ISNUMBER(INDEX(PASTE_ALL,INDEX($DF$5:$DF$1003,$EX263),$B$37)),INDEX(PASTE_ALL,INDEX($DF$5:$DF$1003,$EX263),$B$37),INDEX($DH$5:$DH$1003,$EX263)),INDEX($DH$5:$DH$1003,$EX263)),"")</f>
        <v/>
      </c>
      <c r="FC263">
        <f>IF($EY263="row",INDEX($ER$5:$ER$1003,$EX263),"")</f>
        <v/>
      </c>
      <c r="FD263">
        <f>IF($EY263="row",INDEX($DN$5:$DN$1003,$EX263),"")</f>
        <v/>
      </c>
      <c r="FE263">
        <f>IF($EY263="row",INDEX($DO$5:$DO$1003,$EX263),"")</f>
        <v/>
      </c>
      <c r="FF263">
        <f>IF($EY263="row",INDEX($DP$5:$DP$1003,$EX263),"")</f>
        <v/>
      </c>
      <c r="FG263">
        <f>IF($EY263="row",INDEX($DQ$5:$DQ$1003,$EX263),"")</f>
        <v/>
      </c>
      <c r="FH263">
        <f>IF($EY263="row",INDEX($DR$5:$DR$1003,$EX263),"")</f>
        <v/>
      </c>
      <c r="FI263">
        <f>IF($EY263="row",INDEX($DS$5:$DS$1003,$EX263),"")</f>
        <v/>
      </c>
      <c r="FJ263">
        <f>IF($EY263="row",INDEX($DT$5:$DT$1003,$EX263),"")</f>
        <v/>
      </c>
      <c r="FK263">
        <f>IF($EY263="row",INDEX($DU$5:$DU$1003,$EX263),"")</f>
        <v/>
      </c>
      <c r="FL263">
        <f>IF($EY263="row",INDEX($DV$5:$DV$1003,$EX263),"")</f>
        <v/>
      </c>
      <c r="FM263">
        <f>IF($EY263="row",INDEX($DW$5:$DW$1003,$EX263),"")</f>
        <v/>
      </c>
      <c r="FN263">
        <f>IF($EY263="row",INDEX($DY$5:$DY$1003,$EX263),"")</f>
        <v/>
      </c>
      <c r="FO263">
        <f>IF($EY263="row",INDEX($EA$5:$EA$1003,$EX263),"")</f>
        <v/>
      </c>
      <c r="FP263">
        <f>IF($EY263="row",INDEX($EC$5:$EC$1003,$EX263),"")</f>
        <v/>
      </c>
      <c r="FQ263">
        <f>IF($EY263="row",INDEX($ET$5:$ET$1003,$EX263),"")</f>
        <v/>
      </c>
      <c r="FR263">
        <f>IF($EY263="row",INDEX($EU$5:$EU$1003,$EX263),"")</f>
        <v/>
      </c>
      <c r="FS263">
        <f>IF(AND($EY263="row",$EY262="row"),IF(OR(INDEX($DT$5:$DT$1003,$EX262)="",INDEX($DT$5:$DT$1003,$EX263)=""),"",IF(NOT(EXACT(INDEX($DT$5:$DT$1003,$EX262),INDEX($DT$5:$DT$1003,$EX263))),"S4",IF(NOT(EXACT(INDEX($DS$5:$DS$1003,$EX262),INDEX($DS$5:$DS$1003,$EX263))),"S3",IF(NOT(EXACT(INDEX($DR$5:$DR$1003,$EX262),INDEX($DR$5:$DR$1003,$EX263))),"S1 Count Change","S1")))),"")</f>
        <v/>
      </c>
      <c r="FT263">
        <f>IF($EY263="row",INDEX($ES$5:$ES$1003,$EX263),"")</f>
        <v/>
      </c>
      <c r="FU263">
        <f>IF($EY263="row",INDEX($EO$5:$EO$1003,$EX263),0)</f>
        <v/>
      </c>
      <c r="FV263">
        <f>IF($FS263="S1 Count Change",1,0)</f>
        <v/>
      </c>
    </row>
    <row r="264">
      <c r="DA264" t="n">
        <v>260</v>
      </c>
      <c r="DB264">
        <f>IF($B$37=0,"",IFERROR(TRIM(SUBSTITUTE(SUBSTITUTE(SUBSTITUTE(SUBSTITUTE(INDEX(PASTE_ALL,260,$B$37)," "," "),CHAR(9)," "),CHAR(10)," "),CHAR(13)," ")),""))</f>
        <v/>
      </c>
      <c r="DC264">
        <f>IF(AND(260&gt;HEADER_ROW,UPPER(DB264)="LEGEND"),1,0)</f>
        <v/>
      </c>
      <c r="DE264" t="n">
        <v>260</v>
      </c>
      <c r="DF264">
        <f>HEADER_ROW+$DE264</f>
        <v/>
      </c>
      <c r="DG264">
        <f>IF(AND($DF264&lt;=1000,$DF264&lt;$B$8),1,0)</f>
        <v/>
      </c>
      <c r="DH264">
        <f>IF($DG264=1,IFERROR(INDEX($DB$5:$DB$1004,$DF264),""),"")</f>
        <v/>
      </c>
      <c r="DI264">
        <f>IF(AND($DG264=1,$DH264&lt;&gt;""),IFERROR(SUBSTITUTE(SUBSTITUTE(TRIM(SUBSTITUTE(SUBSTITUTE(SUBSTITUTE(SUBSTITUTE(IFERROR(INDEX(PASTE_ALL,$DF264,1)&amp;"","")&amp;"␟"&amp;IFERROR(INDEX(PASTE_ALL,$DF264,2)&amp;"","")&amp;"␟"&amp;IFERROR(INDEX(PASTE_ALL,$DF264,3)&amp;"","")&amp;"␟"&amp;IFERROR(INDEX(PASTE_ALL,$DF264,4)&amp;"","")&amp;"␟"&amp;IFERROR(INDEX(PASTE_ALL,$DF264,5)&amp;"","")&amp;"␟"&amp;IFERROR(INDEX(PASTE_ALL,$DF264,6)&amp;"","")&amp;"␟"&amp;IFERROR(INDEX(PASTE_ALL,$DF264,7)&amp;"","")&amp;"␟"&amp;IFERROR(INDEX(PASTE_ALL,$DF264,8)&amp;"","")&amp;"␟"&amp;IFERROR(INDEX(PASTE_ALL,$DF264,9)&amp;"","")&amp;"␟"&amp;IFERROR(INDEX(PASTE_ALL,$DF264,10)&amp;"","")&amp;"␟"&amp;IFERROR(INDEX(PASTE_ALL,$DF264,11)&amp;"","")&amp;"␟"&amp;IFERROR(INDEX(PASTE_ALL,$DF264,12)&amp;"","")&amp;"␟"&amp;IFERROR(INDEX(PASTE_ALL,$DF264,13)&amp;"","")&amp;"␟"&amp;IFERROR(INDEX(PASTE_ALL,$DF264,14)&amp;"","")&amp;"␟"&amp;IFERROR(INDEX(PASTE_ALL,$DF264,15)&amp;"","")&amp;"␟"&amp;IFERROR(INDEX(PASTE_ALL,$DF264,16)&amp;"","")&amp;"␟"&amp;IFERROR(INDEX(PASTE_ALL,$DF264,17)&amp;"","")&amp;"␟"&amp;IFERROR(INDEX(PASTE_ALL,$DF264,18)&amp;"","")&amp;"␟"&amp;IFERROR(INDEX(PASTE_ALL,$DF264,19)&amp;"","")&amp;"␟"&amp;IFERROR(INDEX(PASTE_ALL,$DF264,20)&amp;"","")&amp;"␟"&amp;IFERROR(INDEX(PASTE_ALL,$DF264,21)&amp;"","")&amp;"␟"&amp;IFERROR(INDEX(PASTE_ALL,$DF264,22)&amp;"","")&amp;"␟"&amp;IFERROR(INDEX(PASTE_ALL,$DF264,23)&amp;"","")&amp;"␟"&amp;IFERROR(INDEX(PASTE_ALL,$DF264,24)&amp;"","")&amp;"␟"&amp;IFERROR(INDEX(PASTE_ALL,$DF264,25)&amp;"","")&amp;"␟"&amp;IFERROR(INDEX(PASTE_ALL,$DF264,26)&amp;"","")&amp;"␟"&amp;IFERROR(INDEX(PASTE_ALL,$DF264,27)&amp;"","")&amp;"␟"&amp;IFERROR(INDEX(PASTE_ALL,$DF264,28)&amp;"","")&amp;"␟"&amp;IFERROR(INDEX(PASTE_ALL,$DF264,29)&amp;"","")&amp;"␟"&amp;IFERROR(INDEX(PASTE_ALL,$DF264,30)&amp;"","")&amp;"␟"&amp;IFERROR(INDEX(PASTE_ALL,$DF264,31)&amp;"","")&amp;"␟"&amp;IFERROR(INDEX(PASTE_ALL,$DF264,32)&amp;"","")&amp;"␟"&amp;IFERROR(INDEX(PASTE_ALL,$DF264,33)&amp;"","")&amp;"␟"&amp;IFERROR(INDEX(PASTE_ALL,$DF264,34)&amp;"","")&amp;"␟"&amp;IFERROR(INDEX(PASTE_ALL,$DF264,35)&amp;"","")&amp;"␟"&amp;IFERROR(INDEX(PASTE_ALL,$DF264,36)&amp;"","")&amp;"␟"&amp;IFERROR(INDEX(PASTE_ALL,$DF264,37)&amp;"","")&amp;"␟"&amp;IFERROR(INDEX(PASTE_ALL,$DF264,38)&amp;"","")&amp;"␟"&amp;IFERROR(INDEX(PASTE_ALL,$DF264,39)&amp;"","")&amp;"␟"&amp;IFERROR(INDEX(PASTE_ALL,$DF264,40)&amp;"","")&amp;"␟"&amp;IFERROR(INDEX(PASTE_ALL,$DF264,41)&amp;"","")&amp;"␟"&amp;IFERROR(INDEX(PASTE_ALL,$DF264,42)&amp;"","")&amp;"␟"&amp;IFERROR(INDEX(PASTE_ALL,$DF264,43)&amp;"","")&amp;"␟"&amp;IFERROR(INDEX(PASTE_ALL,$DF264,44)&amp;"","")&amp;"␟"&amp;IFERROR(INDEX(PASTE_ALL,$DF264,45)&amp;"","")&amp;"␟"&amp;IFERROR(INDEX(PASTE_ALL,$DF264,46)&amp;"","")&amp;"␟"&amp;IFERROR(INDEX(PASTE_ALL,$DF264,47)&amp;"","")&amp;"␟"&amp;IFERROR(INDEX(PASTE_ALL,$DF264,48)&amp;"","")&amp;"␟"&amp;IFERROR(INDEX(PASTE_ALL,$DF264,49)&amp;"","")&amp;"␟"&amp;IFERROR(INDEX(PASTE_ALL,$DF264,50)&amp;"","")&amp;"␟"&amp;IFERROR(INDEX(PASTE_ALL,$DF264,51)&amp;"","")&amp;"␟"&amp;IFERROR(INDEX(PASTE_ALL,$DF264,52)&amp;"","")&amp;"␟"&amp;IFERROR(INDEX(PASTE_ALL,$DF264,53)&amp;"","")&amp;"␟"&amp;IFERROR(INDEX(PASTE_ALL,$DF264,54)&amp;"","")&amp;"␟"&amp;IFERROR(INDEX(PASTE_ALL,$DF264,55)&amp;"","")&amp;"␟"&amp;IFERROR(INDEX(PASTE_ALL,$DF264,56)&amp;"","")&amp;"␟"&amp;IFERROR(INDEX(PASTE_ALL,$DF264,57)&amp;"","")&amp;"␟"&amp;IFERROR(INDEX(PASTE_ALL,$DF264,58)&amp;"","")&amp;"␟"&amp;IFERROR(INDEX(PASTE_ALL,$DF264,59)&amp;"","")&amp;"␟"&amp;IFERROR(INDEX(PASTE_ALL,$DF264,60)&amp;"","")," "," "),CHAR(9)," "),CHAR(10)," "),CHAR(13)," "))," ␟","␟"),"␟ ","␟"),"#"&amp;$DE264),"")</f>
        <v/>
      </c>
      <c r="DJ264">
        <f>IF($DI264="",0,IF(SUMPRODUCT(--EXACT($DI$4:DI263,$DI264))&gt;0,1,0))</f>
        <v/>
      </c>
      <c r="DK264">
        <f>IF(AND($DI264&lt;&gt;"",$DJ264=0),1,0)</f>
        <v/>
      </c>
      <c r="DL264">
        <f>DL263+$DK264</f>
        <v/>
      </c>
      <c r="DM264">
        <f>IF(AND($DK264=1,$DL264&lt;=600),1,0)</f>
        <v/>
      </c>
      <c r="DN264">
        <f>IF($DM264=0,"",IF($L$6=0,"",IFERROR(IF(ISNUMBER(INDEX(PASTE_ALL,$DF264,$L$6)),INDEX(PASTE_ALL,$DF264,$L$6),TRIM(SUBSTITUTE(SUBSTITUTE(SUBSTITUTE(SUBSTITUTE(INDEX(PASTE_ALL,$DF264,$L$6)," "," "),CHAR(9)," "),CHAR(10)," "),CHAR(13)," "))),"")))</f>
        <v/>
      </c>
      <c r="DO264">
        <f>IF($DM264=0,"",IF($L$7=0,"",IFERROR(IF(ISNUMBER(INDEX(PASTE_ALL,$DF264,$L$7)),INDEX(PASTE_ALL,$DF264,$L$7),TRIM(SUBSTITUTE(SUBSTITUTE(SUBSTITUTE(SUBSTITUTE(INDEX(PASTE_ALL,$DF264,$L$7)," "," "),CHAR(9)," "),CHAR(10)," "),CHAR(13)," "))),"")))</f>
        <v/>
      </c>
      <c r="DP264">
        <f>IF($DM264=0,"",IF($L$8=0,"",IFERROR(IF(ISNUMBER(INDEX(PASTE_ALL,$DF264,$L$8)),INDEX(PASTE_ALL,$DF264,$L$8),TRIM(SUBSTITUTE(SUBSTITUTE(SUBSTITUTE(SUBSTITUTE(INDEX(PASTE_ALL,$DF264,$L$8)," "," "),CHAR(9)," "),CHAR(10)," "),CHAR(13)," "))),"")))</f>
        <v/>
      </c>
      <c r="DQ264">
        <f>IF($DM264=0,"",IF($L$9=0,"",IFERROR(IF(ISNUMBER(INDEX(PASTE_ALL,$DF264,$L$9)),INDEX(PASTE_ALL,$DF264,$L$9),TRIM(SUBSTITUTE(SUBSTITUTE(SUBSTITUTE(SUBSTITUTE(INDEX(PASTE_ALL,$DF264,$L$9)," "," "),CHAR(9)," "),CHAR(10)," "),CHAR(13)," "))),"")))</f>
        <v/>
      </c>
      <c r="DR264">
        <f>IF($DM264=0,"",IF($L$10=0,"",IFERROR(IF(ISNUMBER(INDEX(PASTE_ALL,$DF264,$L$10)),INDEX(PASTE_ALL,$DF264,$L$10),TRIM(SUBSTITUTE(SUBSTITUTE(SUBSTITUTE(SUBSTITUTE(INDEX(PASTE_ALL,$DF264,$L$10)," "," "),CHAR(9)," "),CHAR(10)," "),CHAR(13)," "))),"")))</f>
        <v/>
      </c>
      <c r="DS264">
        <f>IF($DM264=0,"",IF($L$11=0,"",IFERROR(IF(ISNUMBER(INDEX(PASTE_ALL,$DF264,$L$11)),INDEX(PASTE_ALL,$DF264,$L$11),TRIM(SUBSTITUTE(SUBSTITUTE(SUBSTITUTE(SUBSTITUTE(INDEX(PASTE_ALL,$DF264,$L$11)," "," "),CHAR(9)," "),CHAR(10)," "),CHAR(13)," "))),"")))</f>
        <v/>
      </c>
      <c r="DT264">
        <f>IF($DM264=0,"",IF($L$12=0,"",IFERROR(IF(ISNUMBER(INDEX(PASTE_ALL,$DF264,$L$12)),INDEX(PASTE_ALL,$DF264,$L$12),TRIM(SUBSTITUTE(SUBSTITUTE(SUBSTITUTE(SUBSTITUTE(INDEX(PASTE_ALL,$DF264,$L$12)," "," "),CHAR(9)," "),CHAR(10)," "),CHAR(13)," "))),"")))</f>
        <v/>
      </c>
      <c r="DU264">
        <f>IF($DM264=0,"",IF($L$13=0,"",IFERROR(IF(ISNUMBER(INDEX(PASTE_ALL,$DF264,$L$13)),INDEX(PASTE_ALL,$DF264,$L$13),TRIM(SUBSTITUTE(SUBSTITUTE(SUBSTITUTE(SUBSTITUTE(INDEX(PASTE_ALL,$DF264,$L$13)," "," "),CHAR(9)," "),CHAR(10)," "),CHAR(13)," "))),"")))</f>
        <v/>
      </c>
      <c r="DV264">
        <f>IF($DM264=0,"",IF($L$14=0,"",IFERROR(IF(ISNUMBER(INDEX(PASTE_ALL,$DF264,$L$14)),INDEX(PASTE_ALL,$DF264,$L$14),TRIM(SUBSTITUTE(SUBSTITUTE(SUBSTITUTE(SUBSTITUTE(INDEX(PASTE_ALL,$DF264,$L$14)," "," "),CHAR(9)," "),CHAR(10)," "),CHAR(13)," "))),"")))</f>
        <v/>
      </c>
      <c r="DW264">
        <f>IF($DM264=0,"",IF($L$15=0,"",IFERROR(IF(ISNUMBER(INDEX(PASTE_ALL,$DF264,$L$15)),INDEX(PASTE_ALL,$DF264,$L$15),IF(SUMPRODUCT(--ISNUMBER(FIND({"A","B","C","D","E","F","G","H","I","J","K","L","M","N","O","P","Q","R","S","T","U","V","W","X","Y","Z","0","1","2","3","4","5","6","7","8","9"},UPPER(TRIM(SUBSTITUTE(SUBSTITUTE(SUBSTITUTE(SUBSTITUTE(INDEX(PASTE_ALL,$DF264,$L$15)," "," "),CHAR(9)," "),CHAR(10)," "),CHAR(13)," "))))))&gt;0,TRIM(SUBSTITUTE(SUBSTITUTE(SUBSTITUTE(SUBSTITUTE(INDEX(PASTE_ALL,$DF264,$L$15)," "," "),CHAR(9)," "),CHAR(10)," "),CHAR(13)," ")),"")),"")))</f>
        <v/>
      </c>
      <c r="DX264">
        <f>IF($DM264=0,"",IF($L$16=0,"",IFERROR(IF(ISNUMBER(INDEX(PASTE_ALL,$DF264,$L$16)),INDEX(PASTE_ALL,$DF264,$L$16),SUBSTITUTE(SUBSTITUTE(TRIM(SUBSTITUTE(SUBSTITUTE(SUBSTITUTE(SUBSTITUTE(INDEX(PASTE_ALL,$DF264,$L$16)," "," "),CHAR(9)," "),CHAR(10)," "),CHAR(13)," ")),",",""),"%","")),"")))</f>
        <v/>
      </c>
      <c r="DY264">
        <f>IF($DM264=0,"",IFERROR(IF(ISNUMBER($DX264),$DX264,IF($DX264="","",IF(TRIM($DX264)="",0,IF(AND(AND(SUBSTITUTE(SUBSTITUTE(SUBSTITUTE(SUBSTITUTE(SUBSTITUTE(SUBSTITUTE(SUBSTITUTE(SUBSTITUTE(SUBSTITUTE(SUBSTITUTE(SUBSTITUTE(SUBSTITUTE(SUBSTITUTE(SUBSTITUTE(UPPER(TRIM($DX264)),"0",""),"1",""),"2",""),"3",""),"4",""),"5",""),"6",""),"7",""),"8",""),"9",""),".",""),"+",""),"-",""),"E","")="",LEN(SUBSTITUTE(SUBSTITUTE(MID(UPPER(TRIM($DX264)),1+OR(LEFT(UPPER(TRIM($DX264)),1)="+",LEFT(UPPER(TRIM($DX264)),1)="-"),999),"E+","E"),"E-","E"))=LEN(SUBSTITUTE(SUBSTITUTE(SUBSTITUTE(SUBSTITUTE(MID(UPPER(TRIM($DX264)),1+OR(LEFT(UPPER(TRIM($DX264)),1)="+",LEFT(UPPER(TRIM($DX264)),1)="-"),999),"E+","E"),"E-","E"),"+",""),"-","")),LEN(UPPER(TRIM($DX264)))-LEN(SUBSTITUTE(UPPER(TRIM($DX264)),"E",""))&lt;2,LEN(UPPER(TRIM($DX264)))-LEN(SUBSTITUTE(UPPER(TRIM($DX264)),".",""))&lt;2,IFERROR(FIND(".",UPPER(TRIM($DX264))),0)&lt;IFERROR(FIND("E",UPPER(TRIM($DX264))),999)),ISNUMBER(VALUE(TRIM($DX264)))),VALUE(TRIM($DX264)),"")))),""))</f>
        <v/>
      </c>
      <c r="DZ264">
        <f>IF($DM264=0,"",IF($L$17=0,"",IFERROR(IF(ISNUMBER(INDEX(PASTE_ALL,$DF264,$L$17)),INDEX(PASTE_ALL,$DF264,$L$17),SUBSTITUTE(SUBSTITUTE(TRIM(SUBSTITUTE(SUBSTITUTE(SUBSTITUTE(SUBSTITUTE(INDEX(PASTE_ALL,$DF264,$L$17)," "," "),CHAR(9)," "),CHAR(10)," "),CHAR(13)," ")),",",""),"%","")),"")))</f>
        <v/>
      </c>
      <c r="EA264">
        <f>IF($DM264=0,"",IFERROR(IF(ISNUMBER($DZ264),$DZ264,IF($DZ264="","",IF(TRIM($DZ264)="",0,IF(AND(AND(SUBSTITUTE(SUBSTITUTE(SUBSTITUTE(SUBSTITUTE(SUBSTITUTE(SUBSTITUTE(SUBSTITUTE(SUBSTITUTE(SUBSTITUTE(SUBSTITUTE(SUBSTITUTE(SUBSTITUTE(SUBSTITUTE(SUBSTITUTE(UPPER(TRIM($DZ264)),"0",""),"1",""),"2",""),"3",""),"4",""),"5",""),"6",""),"7",""),"8",""),"9",""),".",""),"+",""),"-",""),"E","")="",LEN(SUBSTITUTE(SUBSTITUTE(MID(UPPER(TRIM($DZ264)),1+OR(LEFT(UPPER(TRIM($DZ264)),1)="+",LEFT(UPPER(TRIM($DZ264)),1)="-"),999),"E+","E"),"E-","E"))=LEN(SUBSTITUTE(SUBSTITUTE(SUBSTITUTE(SUBSTITUTE(MID(UPPER(TRIM($DZ264)),1+OR(LEFT(UPPER(TRIM($DZ264)),1)="+",LEFT(UPPER(TRIM($DZ264)),1)="-"),999),"E+","E"),"E-","E"),"+",""),"-","")),LEN(UPPER(TRIM($DZ264)))-LEN(SUBSTITUTE(UPPER(TRIM($DZ264)),"E",""))&lt;2,LEN(UPPER(TRIM($DZ264)))-LEN(SUBSTITUTE(UPPER(TRIM($DZ264)),".",""))&lt;2,IFERROR(FIND(".",UPPER(TRIM($DZ264))),0)&lt;IFERROR(FIND("E",UPPER(TRIM($DZ264))),999)),ISNUMBER(VALUE(TRIM($DZ264)))),VALUE(TRIM($DZ264)),"")))),""))</f>
        <v/>
      </c>
      <c r="EB264">
        <f>IF($DM264=0,"",IF($L$18=0,"",IFERROR(IF(UPPER(TRIM(SUBSTITUTE(SUBSTITUTE(SUBSTITUTE(SUBSTITUTE(INDEX(PASTE_ALL,$DF264,$L$18)," "," "),CHAR(9)," "),CHAR(10)," "),CHAR(13)," ")))="READY","Ready",IF(UPPER(TRIM(SUBSTITUTE(SUBSTITUTE(SUBSTITUTE(SUBSTITUTE(INDEX(PASTE_ALL,$DF264,$L$18)," "," "),CHAR(9)," "),CHAR(10)," "),CHAR(13)," ")))="PM","PM",IF(OR(UPPER(TRIM(SUBSTITUTE(SUBSTITUTE(SUBSTITUTE(SUBSTITUTE(INDEX(PASTE_ALL,$DF264,$L$18)," "," "),CHAR(9)," "),CHAR(10)," "),CHAR(13)," ")))="OT",UPPER(TRIM(SUBSTITUTE(SUBSTITUTE(SUBSTITUTE(SUBSTITUTE(INDEX(PASTE_ALL,$DF264,$L$18)," "," "),CHAR(9)," "),CHAR(10)," "),CHAR(13)," ")))="OVERTIME",UPPER(TRIM(SUBSTITUTE(SUBSTITUTE(SUBSTITUTE(SUBSTITUTE(INDEX(PASTE_ALL,$DF264,$L$18)," "," "),CHAR(9)," "),CHAR(10)," "),CHAR(13)," ")))="TRIAL"),"OT",TRIM(SUBSTITUTE(SUBSTITUTE(SUBSTITUTE(SUBSTITUTE(INDEX(PASTE_ALL,$DF264,$L$18)," "," "),CHAR(9)," "),CHAR(10)," "),CHAR(13)," "))))),"")))</f>
        <v/>
      </c>
      <c r="EC264">
        <f>IF($DM264=0,"",IF($L$19=0,"",IFERROR(IF(ISNUMBER(INDEX(PASTE_ALL,$DF264,$L$19)),INDEX(PASTE_ALL,$DF264,$L$19),TRIM(SUBSTITUTE(SUBSTITUTE(SUBSTITUTE(SUBSTITUTE(INDEX(PASTE_ALL,$DF264,$L$19)," "," "),CHAR(9)," "),CHAR(10)," "),CHAR(13)," "))),"")))</f>
        <v/>
      </c>
      <c r="ED264">
        <f>IF($DM264=0,"",MATCH(1,INDEX(EXACT($DH$5:DH264,$DH264)*$DM$5:DM264,0),0))</f>
        <v/>
      </c>
      <c r="EE264">
        <f>IF($DM264=0,0,IF($ED264=$DE264,1,0))</f>
        <v/>
      </c>
      <c r="EF264">
        <f>EF263+$EE264</f>
        <v/>
      </c>
      <c r="EG264">
        <f>IF($DM264=0,"",INDEX($EF$5:$EF$1003,$ED264))</f>
        <v/>
      </c>
      <c r="EH264">
        <f>IF($DM264=0,"",IF($DO264&lt;&gt;"","",IFERROR(LOOKUP(2,1/(($EG$4:EG263=$EG264)*($DO$4:DO263&lt;&gt;"")),$DO$4:DO263),"")))</f>
        <v/>
      </c>
      <c r="EI264">
        <f>IF($DM264=0,"",IF($DO264&lt;&gt;"",$DO264,$EH264))</f>
        <v/>
      </c>
      <c r="EJ264">
        <f>IF($DM264=0,"",IF($EI264="",0,IF(OR(ISNUMBER($EI264),AND(AND(SUBSTITUTE(SUBSTITUTE(SUBSTITUTE(SUBSTITUTE(SUBSTITUTE(SUBSTITUTE(SUBSTITUTE(SUBSTITUTE(SUBSTITUTE(SUBSTITUTE(SUBSTITUTE(SUBSTITUTE(SUBSTITUTE(SUBSTITUTE(UPPER($EI264),"0",""),"1",""),"2",""),"3",""),"4",""),"5",""),"6",""),"7",""),"8",""),"9",""),".",""),"+",""),"-",""),"E","")="",LEN(SUBSTITUTE(SUBSTITUTE(MID(UPPER($EI264),1+OR(LEFT(UPPER($EI264),1)="+",LEFT(UPPER($EI264),1)="-"),999),"E+","E"),"E-","E"))=LEN(SUBSTITUTE(SUBSTITUTE(SUBSTITUTE(SUBSTITUTE(MID(UPPER($EI264),1+OR(LEFT(UPPER($EI264),1)="+",LEFT(UPPER($EI264),1)="-"),999),"E+","E"),"E-","E"),"+",""),"-","")),LEN(UPPER($EI264))-LEN(SUBSTITUTE(UPPER($EI264),"E",""))&lt;2,LEN(UPPER($EI264))-LEN(SUBSTITUTE(UPPER($EI264),".",""))&lt;2,IFERROR(FIND(".",UPPER($EI264)),0)&lt;IFERROR(FIND("E",UPPER($EI264)),999)),ISNUMBER(VALUE($EI264)))),1,2)))</f>
        <v/>
      </c>
      <c r="EK264">
        <f>IF($DM264=0,"",IF($EJ264=1,IF(ISNUMBER($EI264),$EI264,VALUE($EI264)),IF($EJ264=2,$DE264,0)))</f>
        <v/>
      </c>
      <c r="EL264">
        <f>IF($DM264=0,"",COUNTIF($EG$5:$EG$1003,"&lt;"&amp;$EG264)+SUMPRODUCT(($EG$5:$EG$1003=$EG264)*(($EJ$5:$EJ$1003&lt;$EJ264)+($EJ$5:$EJ$1003=$EJ264)*(($EK$5:$EK$1003&lt;$EK264)+($EK$5:$EK$1003=$EK264)*($DE$5:$DE$1003&lt;$DE264))))+1)</f>
        <v/>
      </c>
      <c r="EM264">
        <f>IF($DM264=0,"",$EL264+$EG264-1)</f>
        <v/>
      </c>
      <c r="EN264">
        <f>IF($DM264=0,0,IFERROR(MATCH(1,INDEX(--(TRIM(SUBSTITUTE(SUBSTITUTE(SUBSTITUTE(SUBSTITUTE(LINES_NAME&amp;""," "," "),CHAR(9)," "),CHAR(10)," "),CHAR(13)," "))=$DH264),0),0),0))</f>
        <v/>
      </c>
      <c r="EO264">
        <f>IF($EN264=0,0,IF(OR(UPPER(TRIM(INDEX(LINES_SCHEDULED,$EN264)&amp;""))="YES",UPPER(TRIM(INDEX(LINES_SCHEDULED,$EN264)&amp;""))="Y",UPPER(TRIM(INDEX(LINES_SCHEDULED,$EN264)&amp;""))="X"),1,0))</f>
        <v/>
      </c>
      <c r="EP264">
        <f>IF($DM264=0,"",IF(COUNTIFS($EG$5:$EG$1003,$EG264,$EB$5:$EB$1003,"Ready")&gt;0,"READY",IF(COUNTIFS($EG$5:$EG$1003,$EG264,$EB$5:$EB$1003,"PM")&gt;0,"PM",IF(COUNTIFS($EG$5:$EG$1003,$EG264,$EB$5:$EB$1003,"OT")&gt;0,"OT",""))))</f>
        <v/>
      </c>
      <c r="EQ264">
        <f>IF($EN264=0,"",UPPER(TRIM(INDEX(LINES_STATUS,$EN264)&amp;"")))</f>
        <v/>
      </c>
      <c r="ER264">
        <f>IF($DM264=0,"",IF(OR($EQ264="READY",$EQ264="PM",$EQ264="OT"),$EQ264,$EP264))</f>
        <v/>
      </c>
      <c r="ES264">
        <f>IF($DM264=0,"",IF(AND($DV264&lt;&gt;"",UPPER($DV264)&lt;&gt;"N"),"allergen",IF(ISNUMBER(SEARCH("oil",$DQ264)),"oil",IF(OR(EXACT($DS264,"A662"),EXACT($DS264,"A624")),"bulk",""))))</f>
        <v/>
      </c>
      <c r="ET264">
        <f>IF($DM264=0,"",IF(OR($EA264="",$EA264=0),"",$EA264/100))</f>
        <v/>
      </c>
      <c r="EU264">
        <f>IF(OR($ET264="",$DY264=""),"",INT($DY264*(1-$ET264)+0.5))</f>
        <v/>
      </c>
      <c r="EW264" t="n">
        <v>260</v>
      </c>
      <c r="EX264">
        <f>IFERROR(MATCH($EW264,$EM$5:$EM$1003,0),0)</f>
        <v/>
      </c>
      <c r="EY264">
        <f>IF($EW264&gt;$B$12,"",IF($EX264&gt;0,"row","spacer"))</f>
        <v/>
      </c>
      <c r="EZ264">
        <f>IF(AND($EY264="row",$EY263&lt;&gt;"row"),1,0)</f>
        <v/>
      </c>
      <c r="FA264">
        <f>IF(AND($EY264="row",$EY265&lt;&gt;"row"),1,0)</f>
        <v/>
      </c>
      <c r="FB264">
        <f>IF($EZ264=1,IFERROR(IF(ISNUMBER(INDEX(PASTE_ALL,INDEX($DF$5:$DF$1003,$EX264),$B$37)),INDEX(PASTE_ALL,INDEX($DF$5:$DF$1003,$EX264),$B$37),INDEX($DH$5:$DH$1003,$EX264)),INDEX($DH$5:$DH$1003,$EX264)),"")</f>
        <v/>
      </c>
      <c r="FC264">
        <f>IF($EY264="row",INDEX($ER$5:$ER$1003,$EX264),"")</f>
        <v/>
      </c>
      <c r="FD264">
        <f>IF($EY264="row",INDEX($DN$5:$DN$1003,$EX264),"")</f>
        <v/>
      </c>
      <c r="FE264">
        <f>IF($EY264="row",INDEX($DO$5:$DO$1003,$EX264),"")</f>
        <v/>
      </c>
      <c r="FF264">
        <f>IF($EY264="row",INDEX($DP$5:$DP$1003,$EX264),"")</f>
        <v/>
      </c>
      <c r="FG264">
        <f>IF($EY264="row",INDEX($DQ$5:$DQ$1003,$EX264),"")</f>
        <v/>
      </c>
      <c r="FH264">
        <f>IF($EY264="row",INDEX($DR$5:$DR$1003,$EX264),"")</f>
        <v/>
      </c>
      <c r="FI264">
        <f>IF($EY264="row",INDEX($DS$5:$DS$1003,$EX264),"")</f>
        <v/>
      </c>
      <c r="FJ264">
        <f>IF($EY264="row",INDEX($DT$5:$DT$1003,$EX264),"")</f>
        <v/>
      </c>
      <c r="FK264">
        <f>IF($EY264="row",INDEX($DU$5:$DU$1003,$EX264),"")</f>
        <v/>
      </c>
      <c r="FL264">
        <f>IF($EY264="row",INDEX($DV$5:$DV$1003,$EX264),"")</f>
        <v/>
      </c>
      <c r="FM264">
        <f>IF($EY264="row",INDEX($DW$5:$DW$1003,$EX264),"")</f>
        <v/>
      </c>
      <c r="FN264">
        <f>IF($EY264="row",INDEX($DY$5:$DY$1003,$EX264),"")</f>
        <v/>
      </c>
      <c r="FO264">
        <f>IF($EY264="row",INDEX($EA$5:$EA$1003,$EX264),"")</f>
        <v/>
      </c>
      <c r="FP264">
        <f>IF($EY264="row",INDEX($EC$5:$EC$1003,$EX264),"")</f>
        <v/>
      </c>
      <c r="FQ264">
        <f>IF($EY264="row",INDEX($ET$5:$ET$1003,$EX264),"")</f>
        <v/>
      </c>
      <c r="FR264">
        <f>IF($EY264="row",INDEX($EU$5:$EU$1003,$EX264),"")</f>
        <v/>
      </c>
      <c r="FS264">
        <f>IF(AND($EY264="row",$EY263="row"),IF(OR(INDEX($DT$5:$DT$1003,$EX263)="",INDEX($DT$5:$DT$1003,$EX264)=""),"",IF(NOT(EXACT(INDEX($DT$5:$DT$1003,$EX263),INDEX($DT$5:$DT$1003,$EX264))),"S4",IF(NOT(EXACT(INDEX($DS$5:$DS$1003,$EX263),INDEX($DS$5:$DS$1003,$EX264))),"S3",IF(NOT(EXACT(INDEX($DR$5:$DR$1003,$EX263),INDEX($DR$5:$DR$1003,$EX264))),"S1 Count Change","S1")))),"")</f>
        <v/>
      </c>
      <c r="FT264">
        <f>IF($EY264="row",INDEX($ES$5:$ES$1003,$EX264),"")</f>
        <v/>
      </c>
      <c r="FU264">
        <f>IF($EY264="row",INDEX($EO$5:$EO$1003,$EX264),0)</f>
        <v/>
      </c>
      <c r="FV264">
        <f>IF($FS264="S1 Count Change",1,0)</f>
        <v/>
      </c>
    </row>
    <row r="265">
      <c r="DA265" t="n">
        <v>261</v>
      </c>
      <c r="DB265">
        <f>IF($B$37=0,"",IFERROR(TRIM(SUBSTITUTE(SUBSTITUTE(SUBSTITUTE(SUBSTITUTE(INDEX(PASTE_ALL,261,$B$37)," "," "),CHAR(9)," "),CHAR(10)," "),CHAR(13)," ")),""))</f>
        <v/>
      </c>
      <c r="DC265">
        <f>IF(AND(261&gt;HEADER_ROW,UPPER(DB265)="LEGEND"),1,0)</f>
        <v/>
      </c>
      <c r="DE265" t="n">
        <v>261</v>
      </c>
      <c r="DF265">
        <f>HEADER_ROW+$DE265</f>
        <v/>
      </c>
      <c r="DG265">
        <f>IF(AND($DF265&lt;=1000,$DF265&lt;$B$8),1,0)</f>
        <v/>
      </c>
      <c r="DH265">
        <f>IF($DG265=1,IFERROR(INDEX($DB$5:$DB$1004,$DF265),""),"")</f>
        <v/>
      </c>
      <c r="DI265">
        <f>IF(AND($DG265=1,$DH265&lt;&gt;""),IFERROR(SUBSTITUTE(SUBSTITUTE(TRIM(SUBSTITUTE(SUBSTITUTE(SUBSTITUTE(SUBSTITUTE(IFERROR(INDEX(PASTE_ALL,$DF265,1)&amp;"","")&amp;"␟"&amp;IFERROR(INDEX(PASTE_ALL,$DF265,2)&amp;"","")&amp;"␟"&amp;IFERROR(INDEX(PASTE_ALL,$DF265,3)&amp;"","")&amp;"␟"&amp;IFERROR(INDEX(PASTE_ALL,$DF265,4)&amp;"","")&amp;"␟"&amp;IFERROR(INDEX(PASTE_ALL,$DF265,5)&amp;"","")&amp;"␟"&amp;IFERROR(INDEX(PASTE_ALL,$DF265,6)&amp;"","")&amp;"␟"&amp;IFERROR(INDEX(PASTE_ALL,$DF265,7)&amp;"","")&amp;"␟"&amp;IFERROR(INDEX(PASTE_ALL,$DF265,8)&amp;"","")&amp;"␟"&amp;IFERROR(INDEX(PASTE_ALL,$DF265,9)&amp;"","")&amp;"␟"&amp;IFERROR(INDEX(PASTE_ALL,$DF265,10)&amp;"","")&amp;"␟"&amp;IFERROR(INDEX(PASTE_ALL,$DF265,11)&amp;"","")&amp;"␟"&amp;IFERROR(INDEX(PASTE_ALL,$DF265,12)&amp;"","")&amp;"␟"&amp;IFERROR(INDEX(PASTE_ALL,$DF265,13)&amp;"","")&amp;"␟"&amp;IFERROR(INDEX(PASTE_ALL,$DF265,14)&amp;"","")&amp;"␟"&amp;IFERROR(INDEX(PASTE_ALL,$DF265,15)&amp;"","")&amp;"␟"&amp;IFERROR(INDEX(PASTE_ALL,$DF265,16)&amp;"","")&amp;"␟"&amp;IFERROR(INDEX(PASTE_ALL,$DF265,17)&amp;"","")&amp;"␟"&amp;IFERROR(INDEX(PASTE_ALL,$DF265,18)&amp;"","")&amp;"␟"&amp;IFERROR(INDEX(PASTE_ALL,$DF265,19)&amp;"","")&amp;"␟"&amp;IFERROR(INDEX(PASTE_ALL,$DF265,20)&amp;"","")&amp;"␟"&amp;IFERROR(INDEX(PASTE_ALL,$DF265,21)&amp;"","")&amp;"␟"&amp;IFERROR(INDEX(PASTE_ALL,$DF265,22)&amp;"","")&amp;"␟"&amp;IFERROR(INDEX(PASTE_ALL,$DF265,23)&amp;"","")&amp;"␟"&amp;IFERROR(INDEX(PASTE_ALL,$DF265,24)&amp;"","")&amp;"␟"&amp;IFERROR(INDEX(PASTE_ALL,$DF265,25)&amp;"","")&amp;"␟"&amp;IFERROR(INDEX(PASTE_ALL,$DF265,26)&amp;"","")&amp;"␟"&amp;IFERROR(INDEX(PASTE_ALL,$DF265,27)&amp;"","")&amp;"␟"&amp;IFERROR(INDEX(PASTE_ALL,$DF265,28)&amp;"","")&amp;"␟"&amp;IFERROR(INDEX(PASTE_ALL,$DF265,29)&amp;"","")&amp;"␟"&amp;IFERROR(INDEX(PASTE_ALL,$DF265,30)&amp;"","")&amp;"␟"&amp;IFERROR(INDEX(PASTE_ALL,$DF265,31)&amp;"","")&amp;"␟"&amp;IFERROR(INDEX(PASTE_ALL,$DF265,32)&amp;"","")&amp;"␟"&amp;IFERROR(INDEX(PASTE_ALL,$DF265,33)&amp;"","")&amp;"␟"&amp;IFERROR(INDEX(PASTE_ALL,$DF265,34)&amp;"","")&amp;"␟"&amp;IFERROR(INDEX(PASTE_ALL,$DF265,35)&amp;"","")&amp;"␟"&amp;IFERROR(INDEX(PASTE_ALL,$DF265,36)&amp;"","")&amp;"␟"&amp;IFERROR(INDEX(PASTE_ALL,$DF265,37)&amp;"","")&amp;"␟"&amp;IFERROR(INDEX(PASTE_ALL,$DF265,38)&amp;"","")&amp;"␟"&amp;IFERROR(INDEX(PASTE_ALL,$DF265,39)&amp;"","")&amp;"␟"&amp;IFERROR(INDEX(PASTE_ALL,$DF265,40)&amp;"","")&amp;"␟"&amp;IFERROR(INDEX(PASTE_ALL,$DF265,41)&amp;"","")&amp;"␟"&amp;IFERROR(INDEX(PASTE_ALL,$DF265,42)&amp;"","")&amp;"␟"&amp;IFERROR(INDEX(PASTE_ALL,$DF265,43)&amp;"","")&amp;"␟"&amp;IFERROR(INDEX(PASTE_ALL,$DF265,44)&amp;"","")&amp;"␟"&amp;IFERROR(INDEX(PASTE_ALL,$DF265,45)&amp;"","")&amp;"␟"&amp;IFERROR(INDEX(PASTE_ALL,$DF265,46)&amp;"","")&amp;"␟"&amp;IFERROR(INDEX(PASTE_ALL,$DF265,47)&amp;"","")&amp;"␟"&amp;IFERROR(INDEX(PASTE_ALL,$DF265,48)&amp;"","")&amp;"␟"&amp;IFERROR(INDEX(PASTE_ALL,$DF265,49)&amp;"","")&amp;"␟"&amp;IFERROR(INDEX(PASTE_ALL,$DF265,50)&amp;"","")&amp;"␟"&amp;IFERROR(INDEX(PASTE_ALL,$DF265,51)&amp;"","")&amp;"␟"&amp;IFERROR(INDEX(PASTE_ALL,$DF265,52)&amp;"","")&amp;"␟"&amp;IFERROR(INDEX(PASTE_ALL,$DF265,53)&amp;"","")&amp;"␟"&amp;IFERROR(INDEX(PASTE_ALL,$DF265,54)&amp;"","")&amp;"␟"&amp;IFERROR(INDEX(PASTE_ALL,$DF265,55)&amp;"","")&amp;"␟"&amp;IFERROR(INDEX(PASTE_ALL,$DF265,56)&amp;"","")&amp;"␟"&amp;IFERROR(INDEX(PASTE_ALL,$DF265,57)&amp;"","")&amp;"␟"&amp;IFERROR(INDEX(PASTE_ALL,$DF265,58)&amp;"","")&amp;"␟"&amp;IFERROR(INDEX(PASTE_ALL,$DF265,59)&amp;"","")&amp;"␟"&amp;IFERROR(INDEX(PASTE_ALL,$DF265,60)&amp;"","")," "," "),CHAR(9)," "),CHAR(10)," "),CHAR(13)," "))," ␟","␟"),"␟ ","␟"),"#"&amp;$DE265),"")</f>
        <v/>
      </c>
      <c r="DJ265">
        <f>IF($DI265="",0,IF(SUMPRODUCT(--EXACT($DI$4:DI264,$DI265))&gt;0,1,0))</f>
        <v/>
      </c>
      <c r="DK265">
        <f>IF(AND($DI265&lt;&gt;"",$DJ265=0),1,0)</f>
        <v/>
      </c>
      <c r="DL265">
        <f>DL264+$DK265</f>
        <v/>
      </c>
      <c r="DM265">
        <f>IF(AND($DK265=1,$DL265&lt;=600),1,0)</f>
        <v/>
      </c>
      <c r="DN265">
        <f>IF($DM265=0,"",IF($L$6=0,"",IFERROR(IF(ISNUMBER(INDEX(PASTE_ALL,$DF265,$L$6)),INDEX(PASTE_ALL,$DF265,$L$6),TRIM(SUBSTITUTE(SUBSTITUTE(SUBSTITUTE(SUBSTITUTE(INDEX(PASTE_ALL,$DF265,$L$6)," "," "),CHAR(9)," "),CHAR(10)," "),CHAR(13)," "))),"")))</f>
        <v/>
      </c>
      <c r="DO265">
        <f>IF($DM265=0,"",IF($L$7=0,"",IFERROR(IF(ISNUMBER(INDEX(PASTE_ALL,$DF265,$L$7)),INDEX(PASTE_ALL,$DF265,$L$7),TRIM(SUBSTITUTE(SUBSTITUTE(SUBSTITUTE(SUBSTITUTE(INDEX(PASTE_ALL,$DF265,$L$7)," "," "),CHAR(9)," "),CHAR(10)," "),CHAR(13)," "))),"")))</f>
        <v/>
      </c>
      <c r="DP265">
        <f>IF($DM265=0,"",IF($L$8=0,"",IFERROR(IF(ISNUMBER(INDEX(PASTE_ALL,$DF265,$L$8)),INDEX(PASTE_ALL,$DF265,$L$8),TRIM(SUBSTITUTE(SUBSTITUTE(SUBSTITUTE(SUBSTITUTE(INDEX(PASTE_ALL,$DF265,$L$8)," "," "),CHAR(9)," "),CHAR(10)," "),CHAR(13)," "))),"")))</f>
        <v/>
      </c>
      <c r="DQ265">
        <f>IF($DM265=0,"",IF($L$9=0,"",IFERROR(IF(ISNUMBER(INDEX(PASTE_ALL,$DF265,$L$9)),INDEX(PASTE_ALL,$DF265,$L$9),TRIM(SUBSTITUTE(SUBSTITUTE(SUBSTITUTE(SUBSTITUTE(INDEX(PASTE_ALL,$DF265,$L$9)," "," "),CHAR(9)," "),CHAR(10)," "),CHAR(13)," "))),"")))</f>
        <v/>
      </c>
      <c r="DR265">
        <f>IF($DM265=0,"",IF($L$10=0,"",IFERROR(IF(ISNUMBER(INDEX(PASTE_ALL,$DF265,$L$10)),INDEX(PASTE_ALL,$DF265,$L$10),TRIM(SUBSTITUTE(SUBSTITUTE(SUBSTITUTE(SUBSTITUTE(INDEX(PASTE_ALL,$DF265,$L$10)," "," "),CHAR(9)," "),CHAR(10)," "),CHAR(13)," "))),"")))</f>
        <v/>
      </c>
      <c r="DS265">
        <f>IF($DM265=0,"",IF($L$11=0,"",IFERROR(IF(ISNUMBER(INDEX(PASTE_ALL,$DF265,$L$11)),INDEX(PASTE_ALL,$DF265,$L$11),TRIM(SUBSTITUTE(SUBSTITUTE(SUBSTITUTE(SUBSTITUTE(INDEX(PASTE_ALL,$DF265,$L$11)," "," "),CHAR(9)," "),CHAR(10)," "),CHAR(13)," "))),"")))</f>
        <v/>
      </c>
      <c r="DT265">
        <f>IF($DM265=0,"",IF($L$12=0,"",IFERROR(IF(ISNUMBER(INDEX(PASTE_ALL,$DF265,$L$12)),INDEX(PASTE_ALL,$DF265,$L$12),TRIM(SUBSTITUTE(SUBSTITUTE(SUBSTITUTE(SUBSTITUTE(INDEX(PASTE_ALL,$DF265,$L$12)," "," "),CHAR(9)," "),CHAR(10)," "),CHAR(13)," "))),"")))</f>
        <v/>
      </c>
      <c r="DU265">
        <f>IF($DM265=0,"",IF($L$13=0,"",IFERROR(IF(ISNUMBER(INDEX(PASTE_ALL,$DF265,$L$13)),INDEX(PASTE_ALL,$DF265,$L$13),TRIM(SUBSTITUTE(SUBSTITUTE(SUBSTITUTE(SUBSTITUTE(INDEX(PASTE_ALL,$DF265,$L$13)," "," "),CHAR(9)," "),CHAR(10)," "),CHAR(13)," "))),"")))</f>
        <v/>
      </c>
      <c r="DV265">
        <f>IF($DM265=0,"",IF($L$14=0,"",IFERROR(IF(ISNUMBER(INDEX(PASTE_ALL,$DF265,$L$14)),INDEX(PASTE_ALL,$DF265,$L$14),TRIM(SUBSTITUTE(SUBSTITUTE(SUBSTITUTE(SUBSTITUTE(INDEX(PASTE_ALL,$DF265,$L$14)," "," "),CHAR(9)," "),CHAR(10)," "),CHAR(13)," "))),"")))</f>
        <v/>
      </c>
      <c r="DW265">
        <f>IF($DM265=0,"",IF($L$15=0,"",IFERROR(IF(ISNUMBER(INDEX(PASTE_ALL,$DF265,$L$15)),INDEX(PASTE_ALL,$DF265,$L$15),IF(SUMPRODUCT(--ISNUMBER(FIND({"A","B","C","D","E","F","G","H","I","J","K","L","M","N","O","P","Q","R","S","T","U","V","W","X","Y","Z","0","1","2","3","4","5","6","7","8","9"},UPPER(TRIM(SUBSTITUTE(SUBSTITUTE(SUBSTITUTE(SUBSTITUTE(INDEX(PASTE_ALL,$DF265,$L$15)," "," "),CHAR(9)," "),CHAR(10)," "),CHAR(13)," "))))))&gt;0,TRIM(SUBSTITUTE(SUBSTITUTE(SUBSTITUTE(SUBSTITUTE(INDEX(PASTE_ALL,$DF265,$L$15)," "," "),CHAR(9)," "),CHAR(10)," "),CHAR(13)," ")),"")),"")))</f>
        <v/>
      </c>
      <c r="DX265">
        <f>IF($DM265=0,"",IF($L$16=0,"",IFERROR(IF(ISNUMBER(INDEX(PASTE_ALL,$DF265,$L$16)),INDEX(PASTE_ALL,$DF265,$L$16),SUBSTITUTE(SUBSTITUTE(TRIM(SUBSTITUTE(SUBSTITUTE(SUBSTITUTE(SUBSTITUTE(INDEX(PASTE_ALL,$DF265,$L$16)," "," "),CHAR(9)," "),CHAR(10)," "),CHAR(13)," ")),",",""),"%","")),"")))</f>
        <v/>
      </c>
      <c r="DY265">
        <f>IF($DM265=0,"",IFERROR(IF(ISNUMBER($DX265),$DX265,IF($DX265="","",IF(TRIM($DX265)="",0,IF(AND(AND(SUBSTITUTE(SUBSTITUTE(SUBSTITUTE(SUBSTITUTE(SUBSTITUTE(SUBSTITUTE(SUBSTITUTE(SUBSTITUTE(SUBSTITUTE(SUBSTITUTE(SUBSTITUTE(SUBSTITUTE(SUBSTITUTE(SUBSTITUTE(UPPER(TRIM($DX265)),"0",""),"1",""),"2",""),"3",""),"4",""),"5",""),"6",""),"7",""),"8",""),"9",""),".",""),"+",""),"-",""),"E","")="",LEN(SUBSTITUTE(SUBSTITUTE(MID(UPPER(TRIM($DX265)),1+OR(LEFT(UPPER(TRIM($DX265)),1)="+",LEFT(UPPER(TRIM($DX265)),1)="-"),999),"E+","E"),"E-","E"))=LEN(SUBSTITUTE(SUBSTITUTE(SUBSTITUTE(SUBSTITUTE(MID(UPPER(TRIM($DX265)),1+OR(LEFT(UPPER(TRIM($DX265)),1)="+",LEFT(UPPER(TRIM($DX265)),1)="-"),999),"E+","E"),"E-","E"),"+",""),"-","")),LEN(UPPER(TRIM($DX265)))-LEN(SUBSTITUTE(UPPER(TRIM($DX265)),"E",""))&lt;2,LEN(UPPER(TRIM($DX265)))-LEN(SUBSTITUTE(UPPER(TRIM($DX265)),".",""))&lt;2,IFERROR(FIND(".",UPPER(TRIM($DX265))),0)&lt;IFERROR(FIND("E",UPPER(TRIM($DX265))),999)),ISNUMBER(VALUE(TRIM($DX265)))),VALUE(TRIM($DX265)),"")))),""))</f>
        <v/>
      </c>
      <c r="DZ265">
        <f>IF($DM265=0,"",IF($L$17=0,"",IFERROR(IF(ISNUMBER(INDEX(PASTE_ALL,$DF265,$L$17)),INDEX(PASTE_ALL,$DF265,$L$17),SUBSTITUTE(SUBSTITUTE(TRIM(SUBSTITUTE(SUBSTITUTE(SUBSTITUTE(SUBSTITUTE(INDEX(PASTE_ALL,$DF265,$L$17)," "," "),CHAR(9)," "),CHAR(10)," "),CHAR(13)," ")),",",""),"%","")),"")))</f>
        <v/>
      </c>
      <c r="EA265">
        <f>IF($DM265=0,"",IFERROR(IF(ISNUMBER($DZ265),$DZ265,IF($DZ265="","",IF(TRIM($DZ265)="",0,IF(AND(AND(SUBSTITUTE(SUBSTITUTE(SUBSTITUTE(SUBSTITUTE(SUBSTITUTE(SUBSTITUTE(SUBSTITUTE(SUBSTITUTE(SUBSTITUTE(SUBSTITUTE(SUBSTITUTE(SUBSTITUTE(SUBSTITUTE(SUBSTITUTE(UPPER(TRIM($DZ265)),"0",""),"1",""),"2",""),"3",""),"4",""),"5",""),"6",""),"7",""),"8",""),"9",""),".",""),"+",""),"-",""),"E","")="",LEN(SUBSTITUTE(SUBSTITUTE(MID(UPPER(TRIM($DZ265)),1+OR(LEFT(UPPER(TRIM($DZ265)),1)="+",LEFT(UPPER(TRIM($DZ265)),1)="-"),999),"E+","E"),"E-","E"))=LEN(SUBSTITUTE(SUBSTITUTE(SUBSTITUTE(SUBSTITUTE(MID(UPPER(TRIM($DZ265)),1+OR(LEFT(UPPER(TRIM($DZ265)),1)="+",LEFT(UPPER(TRIM($DZ265)),1)="-"),999),"E+","E"),"E-","E"),"+",""),"-","")),LEN(UPPER(TRIM($DZ265)))-LEN(SUBSTITUTE(UPPER(TRIM($DZ265)),"E",""))&lt;2,LEN(UPPER(TRIM($DZ265)))-LEN(SUBSTITUTE(UPPER(TRIM($DZ265)),".",""))&lt;2,IFERROR(FIND(".",UPPER(TRIM($DZ265))),0)&lt;IFERROR(FIND("E",UPPER(TRIM($DZ265))),999)),ISNUMBER(VALUE(TRIM($DZ265)))),VALUE(TRIM($DZ265)),"")))),""))</f>
        <v/>
      </c>
      <c r="EB265">
        <f>IF($DM265=0,"",IF($L$18=0,"",IFERROR(IF(UPPER(TRIM(SUBSTITUTE(SUBSTITUTE(SUBSTITUTE(SUBSTITUTE(INDEX(PASTE_ALL,$DF265,$L$18)," "," "),CHAR(9)," "),CHAR(10)," "),CHAR(13)," ")))="READY","Ready",IF(UPPER(TRIM(SUBSTITUTE(SUBSTITUTE(SUBSTITUTE(SUBSTITUTE(INDEX(PASTE_ALL,$DF265,$L$18)," "," "),CHAR(9)," "),CHAR(10)," "),CHAR(13)," ")))="PM","PM",IF(OR(UPPER(TRIM(SUBSTITUTE(SUBSTITUTE(SUBSTITUTE(SUBSTITUTE(INDEX(PASTE_ALL,$DF265,$L$18)," "," "),CHAR(9)," "),CHAR(10)," "),CHAR(13)," ")))="OT",UPPER(TRIM(SUBSTITUTE(SUBSTITUTE(SUBSTITUTE(SUBSTITUTE(INDEX(PASTE_ALL,$DF265,$L$18)," "," "),CHAR(9)," "),CHAR(10)," "),CHAR(13)," ")))="OVERTIME",UPPER(TRIM(SUBSTITUTE(SUBSTITUTE(SUBSTITUTE(SUBSTITUTE(INDEX(PASTE_ALL,$DF265,$L$18)," "," "),CHAR(9)," "),CHAR(10)," "),CHAR(13)," ")))="TRIAL"),"OT",TRIM(SUBSTITUTE(SUBSTITUTE(SUBSTITUTE(SUBSTITUTE(INDEX(PASTE_ALL,$DF265,$L$18)," "," "),CHAR(9)," "),CHAR(10)," "),CHAR(13)," "))))),"")))</f>
        <v/>
      </c>
      <c r="EC265">
        <f>IF($DM265=0,"",IF($L$19=0,"",IFERROR(IF(ISNUMBER(INDEX(PASTE_ALL,$DF265,$L$19)),INDEX(PASTE_ALL,$DF265,$L$19),TRIM(SUBSTITUTE(SUBSTITUTE(SUBSTITUTE(SUBSTITUTE(INDEX(PASTE_ALL,$DF265,$L$19)," "," "),CHAR(9)," "),CHAR(10)," "),CHAR(13)," "))),"")))</f>
        <v/>
      </c>
      <c r="ED265">
        <f>IF($DM265=0,"",MATCH(1,INDEX(EXACT($DH$5:DH265,$DH265)*$DM$5:DM265,0),0))</f>
        <v/>
      </c>
      <c r="EE265">
        <f>IF($DM265=0,0,IF($ED265=$DE265,1,0))</f>
        <v/>
      </c>
      <c r="EF265">
        <f>EF264+$EE265</f>
        <v/>
      </c>
      <c r="EG265">
        <f>IF($DM265=0,"",INDEX($EF$5:$EF$1003,$ED265))</f>
        <v/>
      </c>
      <c r="EH265">
        <f>IF($DM265=0,"",IF($DO265&lt;&gt;"","",IFERROR(LOOKUP(2,1/(($EG$4:EG264=$EG265)*($DO$4:DO264&lt;&gt;"")),$DO$4:DO264),"")))</f>
        <v/>
      </c>
      <c r="EI265">
        <f>IF($DM265=0,"",IF($DO265&lt;&gt;"",$DO265,$EH265))</f>
        <v/>
      </c>
      <c r="EJ265">
        <f>IF($DM265=0,"",IF($EI265="",0,IF(OR(ISNUMBER($EI265),AND(AND(SUBSTITUTE(SUBSTITUTE(SUBSTITUTE(SUBSTITUTE(SUBSTITUTE(SUBSTITUTE(SUBSTITUTE(SUBSTITUTE(SUBSTITUTE(SUBSTITUTE(SUBSTITUTE(SUBSTITUTE(SUBSTITUTE(SUBSTITUTE(UPPER($EI265),"0",""),"1",""),"2",""),"3",""),"4",""),"5",""),"6",""),"7",""),"8",""),"9",""),".",""),"+",""),"-",""),"E","")="",LEN(SUBSTITUTE(SUBSTITUTE(MID(UPPER($EI265),1+OR(LEFT(UPPER($EI265),1)="+",LEFT(UPPER($EI265),1)="-"),999),"E+","E"),"E-","E"))=LEN(SUBSTITUTE(SUBSTITUTE(SUBSTITUTE(SUBSTITUTE(MID(UPPER($EI265),1+OR(LEFT(UPPER($EI265),1)="+",LEFT(UPPER($EI265),1)="-"),999),"E+","E"),"E-","E"),"+",""),"-","")),LEN(UPPER($EI265))-LEN(SUBSTITUTE(UPPER($EI265),"E",""))&lt;2,LEN(UPPER($EI265))-LEN(SUBSTITUTE(UPPER($EI265),".",""))&lt;2,IFERROR(FIND(".",UPPER($EI265)),0)&lt;IFERROR(FIND("E",UPPER($EI265)),999)),ISNUMBER(VALUE($EI265)))),1,2)))</f>
        <v/>
      </c>
      <c r="EK265">
        <f>IF($DM265=0,"",IF($EJ265=1,IF(ISNUMBER($EI265),$EI265,VALUE($EI265)),IF($EJ265=2,$DE265,0)))</f>
        <v/>
      </c>
      <c r="EL265">
        <f>IF($DM265=0,"",COUNTIF($EG$5:$EG$1003,"&lt;"&amp;$EG265)+SUMPRODUCT(($EG$5:$EG$1003=$EG265)*(($EJ$5:$EJ$1003&lt;$EJ265)+($EJ$5:$EJ$1003=$EJ265)*(($EK$5:$EK$1003&lt;$EK265)+($EK$5:$EK$1003=$EK265)*($DE$5:$DE$1003&lt;$DE265))))+1)</f>
        <v/>
      </c>
      <c r="EM265">
        <f>IF($DM265=0,"",$EL265+$EG265-1)</f>
        <v/>
      </c>
      <c r="EN265">
        <f>IF($DM265=0,0,IFERROR(MATCH(1,INDEX(--(TRIM(SUBSTITUTE(SUBSTITUTE(SUBSTITUTE(SUBSTITUTE(LINES_NAME&amp;""," "," "),CHAR(9)," "),CHAR(10)," "),CHAR(13)," "))=$DH265),0),0),0))</f>
        <v/>
      </c>
      <c r="EO265">
        <f>IF($EN265=0,0,IF(OR(UPPER(TRIM(INDEX(LINES_SCHEDULED,$EN265)&amp;""))="YES",UPPER(TRIM(INDEX(LINES_SCHEDULED,$EN265)&amp;""))="Y",UPPER(TRIM(INDEX(LINES_SCHEDULED,$EN265)&amp;""))="X"),1,0))</f>
        <v/>
      </c>
      <c r="EP265">
        <f>IF($DM265=0,"",IF(COUNTIFS($EG$5:$EG$1003,$EG265,$EB$5:$EB$1003,"Ready")&gt;0,"READY",IF(COUNTIFS($EG$5:$EG$1003,$EG265,$EB$5:$EB$1003,"PM")&gt;0,"PM",IF(COUNTIFS($EG$5:$EG$1003,$EG265,$EB$5:$EB$1003,"OT")&gt;0,"OT",""))))</f>
        <v/>
      </c>
      <c r="EQ265">
        <f>IF($EN265=0,"",UPPER(TRIM(INDEX(LINES_STATUS,$EN265)&amp;"")))</f>
        <v/>
      </c>
      <c r="ER265">
        <f>IF($DM265=0,"",IF(OR($EQ265="READY",$EQ265="PM",$EQ265="OT"),$EQ265,$EP265))</f>
        <v/>
      </c>
      <c r="ES265">
        <f>IF($DM265=0,"",IF(AND($DV265&lt;&gt;"",UPPER($DV265)&lt;&gt;"N"),"allergen",IF(ISNUMBER(SEARCH("oil",$DQ265)),"oil",IF(OR(EXACT($DS265,"A662"),EXACT($DS265,"A624")),"bulk",""))))</f>
        <v/>
      </c>
      <c r="ET265">
        <f>IF($DM265=0,"",IF(OR($EA265="",$EA265=0),"",$EA265/100))</f>
        <v/>
      </c>
      <c r="EU265">
        <f>IF(OR($ET265="",$DY265=""),"",INT($DY265*(1-$ET265)+0.5))</f>
        <v/>
      </c>
      <c r="EW265" t="n">
        <v>261</v>
      </c>
      <c r="EX265">
        <f>IFERROR(MATCH($EW265,$EM$5:$EM$1003,0),0)</f>
        <v/>
      </c>
      <c r="EY265">
        <f>IF($EW265&gt;$B$12,"",IF($EX265&gt;0,"row","spacer"))</f>
        <v/>
      </c>
      <c r="EZ265">
        <f>IF(AND($EY265="row",$EY264&lt;&gt;"row"),1,0)</f>
        <v/>
      </c>
      <c r="FA265">
        <f>IF(AND($EY265="row",$EY266&lt;&gt;"row"),1,0)</f>
        <v/>
      </c>
      <c r="FB265">
        <f>IF($EZ265=1,IFERROR(IF(ISNUMBER(INDEX(PASTE_ALL,INDEX($DF$5:$DF$1003,$EX265),$B$37)),INDEX(PASTE_ALL,INDEX($DF$5:$DF$1003,$EX265),$B$37),INDEX($DH$5:$DH$1003,$EX265)),INDEX($DH$5:$DH$1003,$EX265)),"")</f>
        <v/>
      </c>
      <c r="FC265">
        <f>IF($EY265="row",INDEX($ER$5:$ER$1003,$EX265),"")</f>
        <v/>
      </c>
      <c r="FD265">
        <f>IF($EY265="row",INDEX($DN$5:$DN$1003,$EX265),"")</f>
        <v/>
      </c>
      <c r="FE265">
        <f>IF($EY265="row",INDEX($DO$5:$DO$1003,$EX265),"")</f>
        <v/>
      </c>
      <c r="FF265">
        <f>IF($EY265="row",INDEX($DP$5:$DP$1003,$EX265),"")</f>
        <v/>
      </c>
      <c r="FG265">
        <f>IF($EY265="row",INDEX($DQ$5:$DQ$1003,$EX265),"")</f>
        <v/>
      </c>
      <c r="FH265">
        <f>IF($EY265="row",INDEX($DR$5:$DR$1003,$EX265),"")</f>
        <v/>
      </c>
      <c r="FI265">
        <f>IF($EY265="row",INDEX($DS$5:$DS$1003,$EX265),"")</f>
        <v/>
      </c>
      <c r="FJ265">
        <f>IF($EY265="row",INDEX($DT$5:$DT$1003,$EX265),"")</f>
        <v/>
      </c>
      <c r="FK265">
        <f>IF($EY265="row",INDEX($DU$5:$DU$1003,$EX265),"")</f>
        <v/>
      </c>
      <c r="FL265">
        <f>IF($EY265="row",INDEX($DV$5:$DV$1003,$EX265),"")</f>
        <v/>
      </c>
      <c r="FM265">
        <f>IF($EY265="row",INDEX($DW$5:$DW$1003,$EX265),"")</f>
        <v/>
      </c>
      <c r="FN265">
        <f>IF($EY265="row",INDEX($DY$5:$DY$1003,$EX265),"")</f>
        <v/>
      </c>
      <c r="FO265">
        <f>IF($EY265="row",INDEX($EA$5:$EA$1003,$EX265),"")</f>
        <v/>
      </c>
      <c r="FP265">
        <f>IF($EY265="row",INDEX($EC$5:$EC$1003,$EX265),"")</f>
        <v/>
      </c>
      <c r="FQ265">
        <f>IF($EY265="row",INDEX($ET$5:$ET$1003,$EX265),"")</f>
        <v/>
      </c>
      <c r="FR265">
        <f>IF($EY265="row",INDEX($EU$5:$EU$1003,$EX265),"")</f>
        <v/>
      </c>
      <c r="FS265">
        <f>IF(AND($EY265="row",$EY264="row"),IF(OR(INDEX($DT$5:$DT$1003,$EX264)="",INDEX($DT$5:$DT$1003,$EX265)=""),"",IF(NOT(EXACT(INDEX($DT$5:$DT$1003,$EX264),INDEX($DT$5:$DT$1003,$EX265))),"S4",IF(NOT(EXACT(INDEX($DS$5:$DS$1003,$EX264),INDEX($DS$5:$DS$1003,$EX265))),"S3",IF(NOT(EXACT(INDEX($DR$5:$DR$1003,$EX264),INDEX($DR$5:$DR$1003,$EX265))),"S1 Count Change","S1")))),"")</f>
        <v/>
      </c>
      <c r="FT265">
        <f>IF($EY265="row",INDEX($ES$5:$ES$1003,$EX265),"")</f>
        <v/>
      </c>
      <c r="FU265">
        <f>IF($EY265="row",INDEX($EO$5:$EO$1003,$EX265),0)</f>
        <v/>
      </c>
      <c r="FV265">
        <f>IF($FS265="S1 Count Change",1,0)</f>
        <v/>
      </c>
    </row>
    <row r="266">
      <c r="DA266" t="n">
        <v>262</v>
      </c>
      <c r="DB266">
        <f>IF($B$37=0,"",IFERROR(TRIM(SUBSTITUTE(SUBSTITUTE(SUBSTITUTE(SUBSTITUTE(INDEX(PASTE_ALL,262,$B$37)," "," "),CHAR(9)," "),CHAR(10)," "),CHAR(13)," ")),""))</f>
        <v/>
      </c>
      <c r="DC266">
        <f>IF(AND(262&gt;HEADER_ROW,UPPER(DB266)="LEGEND"),1,0)</f>
        <v/>
      </c>
      <c r="DE266" t="n">
        <v>262</v>
      </c>
      <c r="DF266">
        <f>HEADER_ROW+$DE266</f>
        <v/>
      </c>
      <c r="DG266">
        <f>IF(AND($DF266&lt;=1000,$DF266&lt;$B$8),1,0)</f>
        <v/>
      </c>
      <c r="DH266">
        <f>IF($DG266=1,IFERROR(INDEX($DB$5:$DB$1004,$DF266),""),"")</f>
        <v/>
      </c>
      <c r="DI266">
        <f>IF(AND($DG266=1,$DH266&lt;&gt;""),IFERROR(SUBSTITUTE(SUBSTITUTE(TRIM(SUBSTITUTE(SUBSTITUTE(SUBSTITUTE(SUBSTITUTE(IFERROR(INDEX(PASTE_ALL,$DF266,1)&amp;"","")&amp;"␟"&amp;IFERROR(INDEX(PASTE_ALL,$DF266,2)&amp;"","")&amp;"␟"&amp;IFERROR(INDEX(PASTE_ALL,$DF266,3)&amp;"","")&amp;"␟"&amp;IFERROR(INDEX(PASTE_ALL,$DF266,4)&amp;"","")&amp;"␟"&amp;IFERROR(INDEX(PASTE_ALL,$DF266,5)&amp;"","")&amp;"␟"&amp;IFERROR(INDEX(PASTE_ALL,$DF266,6)&amp;"","")&amp;"␟"&amp;IFERROR(INDEX(PASTE_ALL,$DF266,7)&amp;"","")&amp;"␟"&amp;IFERROR(INDEX(PASTE_ALL,$DF266,8)&amp;"","")&amp;"␟"&amp;IFERROR(INDEX(PASTE_ALL,$DF266,9)&amp;"","")&amp;"␟"&amp;IFERROR(INDEX(PASTE_ALL,$DF266,10)&amp;"","")&amp;"␟"&amp;IFERROR(INDEX(PASTE_ALL,$DF266,11)&amp;"","")&amp;"␟"&amp;IFERROR(INDEX(PASTE_ALL,$DF266,12)&amp;"","")&amp;"␟"&amp;IFERROR(INDEX(PASTE_ALL,$DF266,13)&amp;"","")&amp;"␟"&amp;IFERROR(INDEX(PASTE_ALL,$DF266,14)&amp;"","")&amp;"␟"&amp;IFERROR(INDEX(PASTE_ALL,$DF266,15)&amp;"","")&amp;"␟"&amp;IFERROR(INDEX(PASTE_ALL,$DF266,16)&amp;"","")&amp;"␟"&amp;IFERROR(INDEX(PASTE_ALL,$DF266,17)&amp;"","")&amp;"␟"&amp;IFERROR(INDEX(PASTE_ALL,$DF266,18)&amp;"","")&amp;"␟"&amp;IFERROR(INDEX(PASTE_ALL,$DF266,19)&amp;"","")&amp;"␟"&amp;IFERROR(INDEX(PASTE_ALL,$DF266,20)&amp;"","")&amp;"␟"&amp;IFERROR(INDEX(PASTE_ALL,$DF266,21)&amp;"","")&amp;"␟"&amp;IFERROR(INDEX(PASTE_ALL,$DF266,22)&amp;"","")&amp;"␟"&amp;IFERROR(INDEX(PASTE_ALL,$DF266,23)&amp;"","")&amp;"␟"&amp;IFERROR(INDEX(PASTE_ALL,$DF266,24)&amp;"","")&amp;"␟"&amp;IFERROR(INDEX(PASTE_ALL,$DF266,25)&amp;"","")&amp;"␟"&amp;IFERROR(INDEX(PASTE_ALL,$DF266,26)&amp;"","")&amp;"␟"&amp;IFERROR(INDEX(PASTE_ALL,$DF266,27)&amp;"","")&amp;"␟"&amp;IFERROR(INDEX(PASTE_ALL,$DF266,28)&amp;"","")&amp;"␟"&amp;IFERROR(INDEX(PASTE_ALL,$DF266,29)&amp;"","")&amp;"␟"&amp;IFERROR(INDEX(PASTE_ALL,$DF266,30)&amp;"","")&amp;"␟"&amp;IFERROR(INDEX(PASTE_ALL,$DF266,31)&amp;"","")&amp;"␟"&amp;IFERROR(INDEX(PASTE_ALL,$DF266,32)&amp;"","")&amp;"␟"&amp;IFERROR(INDEX(PASTE_ALL,$DF266,33)&amp;"","")&amp;"␟"&amp;IFERROR(INDEX(PASTE_ALL,$DF266,34)&amp;"","")&amp;"␟"&amp;IFERROR(INDEX(PASTE_ALL,$DF266,35)&amp;"","")&amp;"␟"&amp;IFERROR(INDEX(PASTE_ALL,$DF266,36)&amp;"","")&amp;"␟"&amp;IFERROR(INDEX(PASTE_ALL,$DF266,37)&amp;"","")&amp;"␟"&amp;IFERROR(INDEX(PASTE_ALL,$DF266,38)&amp;"","")&amp;"␟"&amp;IFERROR(INDEX(PASTE_ALL,$DF266,39)&amp;"","")&amp;"␟"&amp;IFERROR(INDEX(PASTE_ALL,$DF266,40)&amp;"","")&amp;"␟"&amp;IFERROR(INDEX(PASTE_ALL,$DF266,41)&amp;"","")&amp;"␟"&amp;IFERROR(INDEX(PASTE_ALL,$DF266,42)&amp;"","")&amp;"␟"&amp;IFERROR(INDEX(PASTE_ALL,$DF266,43)&amp;"","")&amp;"␟"&amp;IFERROR(INDEX(PASTE_ALL,$DF266,44)&amp;"","")&amp;"␟"&amp;IFERROR(INDEX(PASTE_ALL,$DF266,45)&amp;"","")&amp;"␟"&amp;IFERROR(INDEX(PASTE_ALL,$DF266,46)&amp;"","")&amp;"␟"&amp;IFERROR(INDEX(PASTE_ALL,$DF266,47)&amp;"","")&amp;"␟"&amp;IFERROR(INDEX(PASTE_ALL,$DF266,48)&amp;"","")&amp;"␟"&amp;IFERROR(INDEX(PASTE_ALL,$DF266,49)&amp;"","")&amp;"␟"&amp;IFERROR(INDEX(PASTE_ALL,$DF266,50)&amp;"","")&amp;"␟"&amp;IFERROR(INDEX(PASTE_ALL,$DF266,51)&amp;"","")&amp;"␟"&amp;IFERROR(INDEX(PASTE_ALL,$DF266,52)&amp;"","")&amp;"␟"&amp;IFERROR(INDEX(PASTE_ALL,$DF266,53)&amp;"","")&amp;"␟"&amp;IFERROR(INDEX(PASTE_ALL,$DF266,54)&amp;"","")&amp;"␟"&amp;IFERROR(INDEX(PASTE_ALL,$DF266,55)&amp;"","")&amp;"␟"&amp;IFERROR(INDEX(PASTE_ALL,$DF266,56)&amp;"","")&amp;"␟"&amp;IFERROR(INDEX(PASTE_ALL,$DF266,57)&amp;"","")&amp;"␟"&amp;IFERROR(INDEX(PASTE_ALL,$DF266,58)&amp;"","")&amp;"␟"&amp;IFERROR(INDEX(PASTE_ALL,$DF266,59)&amp;"","")&amp;"␟"&amp;IFERROR(INDEX(PASTE_ALL,$DF266,60)&amp;"","")," "," "),CHAR(9)," "),CHAR(10)," "),CHAR(13)," "))," ␟","␟"),"␟ ","␟"),"#"&amp;$DE266),"")</f>
        <v/>
      </c>
      <c r="DJ266">
        <f>IF($DI266="",0,IF(SUMPRODUCT(--EXACT($DI$4:DI265,$DI266))&gt;0,1,0))</f>
        <v/>
      </c>
      <c r="DK266">
        <f>IF(AND($DI266&lt;&gt;"",$DJ266=0),1,0)</f>
        <v/>
      </c>
      <c r="DL266">
        <f>DL265+$DK266</f>
        <v/>
      </c>
      <c r="DM266">
        <f>IF(AND($DK266=1,$DL266&lt;=600),1,0)</f>
        <v/>
      </c>
      <c r="DN266">
        <f>IF($DM266=0,"",IF($L$6=0,"",IFERROR(IF(ISNUMBER(INDEX(PASTE_ALL,$DF266,$L$6)),INDEX(PASTE_ALL,$DF266,$L$6),TRIM(SUBSTITUTE(SUBSTITUTE(SUBSTITUTE(SUBSTITUTE(INDEX(PASTE_ALL,$DF266,$L$6)," "," "),CHAR(9)," "),CHAR(10)," "),CHAR(13)," "))),"")))</f>
        <v/>
      </c>
      <c r="DO266">
        <f>IF($DM266=0,"",IF($L$7=0,"",IFERROR(IF(ISNUMBER(INDEX(PASTE_ALL,$DF266,$L$7)),INDEX(PASTE_ALL,$DF266,$L$7),TRIM(SUBSTITUTE(SUBSTITUTE(SUBSTITUTE(SUBSTITUTE(INDEX(PASTE_ALL,$DF266,$L$7)," "," "),CHAR(9)," "),CHAR(10)," "),CHAR(13)," "))),"")))</f>
        <v/>
      </c>
      <c r="DP266">
        <f>IF($DM266=0,"",IF($L$8=0,"",IFERROR(IF(ISNUMBER(INDEX(PASTE_ALL,$DF266,$L$8)),INDEX(PASTE_ALL,$DF266,$L$8),TRIM(SUBSTITUTE(SUBSTITUTE(SUBSTITUTE(SUBSTITUTE(INDEX(PASTE_ALL,$DF266,$L$8)," "," "),CHAR(9)," "),CHAR(10)," "),CHAR(13)," "))),"")))</f>
        <v/>
      </c>
      <c r="DQ266">
        <f>IF($DM266=0,"",IF($L$9=0,"",IFERROR(IF(ISNUMBER(INDEX(PASTE_ALL,$DF266,$L$9)),INDEX(PASTE_ALL,$DF266,$L$9),TRIM(SUBSTITUTE(SUBSTITUTE(SUBSTITUTE(SUBSTITUTE(INDEX(PASTE_ALL,$DF266,$L$9)," "," "),CHAR(9)," "),CHAR(10)," "),CHAR(13)," "))),"")))</f>
        <v/>
      </c>
      <c r="DR266">
        <f>IF($DM266=0,"",IF($L$10=0,"",IFERROR(IF(ISNUMBER(INDEX(PASTE_ALL,$DF266,$L$10)),INDEX(PASTE_ALL,$DF266,$L$10),TRIM(SUBSTITUTE(SUBSTITUTE(SUBSTITUTE(SUBSTITUTE(INDEX(PASTE_ALL,$DF266,$L$10)," "," "),CHAR(9)," "),CHAR(10)," "),CHAR(13)," "))),"")))</f>
        <v/>
      </c>
      <c r="DS266">
        <f>IF($DM266=0,"",IF($L$11=0,"",IFERROR(IF(ISNUMBER(INDEX(PASTE_ALL,$DF266,$L$11)),INDEX(PASTE_ALL,$DF266,$L$11),TRIM(SUBSTITUTE(SUBSTITUTE(SUBSTITUTE(SUBSTITUTE(INDEX(PASTE_ALL,$DF266,$L$11)," "," "),CHAR(9)," "),CHAR(10)," "),CHAR(13)," "))),"")))</f>
        <v/>
      </c>
      <c r="DT266">
        <f>IF($DM266=0,"",IF($L$12=0,"",IFERROR(IF(ISNUMBER(INDEX(PASTE_ALL,$DF266,$L$12)),INDEX(PASTE_ALL,$DF266,$L$12),TRIM(SUBSTITUTE(SUBSTITUTE(SUBSTITUTE(SUBSTITUTE(INDEX(PASTE_ALL,$DF266,$L$12)," "," "),CHAR(9)," "),CHAR(10)," "),CHAR(13)," "))),"")))</f>
        <v/>
      </c>
      <c r="DU266">
        <f>IF($DM266=0,"",IF($L$13=0,"",IFERROR(IF(ISNUMBER(INDEX(PASTE_ALL,$DF266,$L$13)),INDEX(PASTE_ALL,$DF266,$L$13),TRIM(SUBSTITUTE(SUBSTITUTE(SUBSTITUTE(SUBSTITUTE(INDEX(PASTE_ALL,$DF266,$L$13)," "," "),CHAR(9)," "),CHAR(10)," "),CHAR(13)," "))),"")))</f>
        <v/>
      </c>
      <c r="DV266">
        <f>IF($DM266=0,"",IF($L$14=0,"",IFERROR(IF(ISNUMBER(INDEX(PASTE_ALL,$DF266,$L$14)),INDEX(PASTE_ALL,$DF266,$L$14),TRIM(SUBSTITUTE(SUBSTITUTE(SUBSTITUTE(SUBSTITUTE(INDEX(PASTE_ALL,$DF266,$L$14)," "," "),CHAR(9)," "),CHAR(10)," "),CHAR(13)," "))),"")))</f>
        <v/>
      </c>
      <c r="DW266">
        <f>IF($DM266=0,"",IF($L$15=0,"",IFERROR(IF(ISNUMBER(INDEX(PASTE_ALL,$DF266,$L$15)),INDEX(PASTE_ALL,$DF266,$L$15),IF(SUMPRODUCT(--ISNUMBER(FIND({"A","B","C","D","E","F","G","H","I","J","K","L","M","N","O","P","Q","R","S","T","U","V","W","X","Y","Z","0","1","2","3","4","5","6","7","8","9"},UPPER(TRIM(SUBSTITUTE(SUBSTITUTE(SUBSTITUTE(SUBSTITUTE(INDEX(PASTE_ALL,$DF266,$L$15)," "," "),CHAR(9)," "),CHAR(10)," "),CHAR(13)," "))))))&gt;0,TRIM(SUBSTITUTE(SUBSTITUTE(SUBSTITUTE(SUBSTITUTE(INDEX(PASTE_ALL,$DF266,$L$15)," "," "),CHAR(9)," "),CHAR(10)," "),CHAR(13)," ")),"")),"")))</f>
        <v/>
      </c>
      <c r="DX266">
        <f>IF($DM266=0,"",IF($L$16=0,"",IFERROR(IF(ISNUMBER(INDEX(PASTE_ALL,$DF266,$L$16)),INDEX(PASTE_ALL,$DF266,$L$16),SUBSTITUTE(SUBSTITUTE(TRIM(SUBSTITUTE(SUBSTITUTE(SUBSTITUTE(SUBSTITUTE(INDEX(PASTE_ALL,$DF266,$L$16)," "," "),CHAR(9)," "),CHAR(10)," "),CHAR(13)," ")),",",""),"%","")),"")))</f>
        <v/>
      </c>
      <c r="DY266">
        <f>IF($DM266=0,"",IFERROR(IF(ISNUMBER($DX266),$DX266,IF($DX266="","",IF(TRIM($DX266)="",0,IF(AND(AND(SUBSTITUTE(SUBSTITUTE(SUBSTITUTE(SUBSTITUTE(SUBSTITUTE(SUBSTITUTE(SUBSTITUTE(SUBSTITUTE(SUBSTITUTE(SUBSTITUTE(SUBSTITUTE(SUBSTITUTE(SUBSTITUTE(SUBSTITUTE(UPPER(TRIM($DX266)),"0",""),"1",""),"2",""),"3",""),"4",""),"5",""),"6",""),"7",""),"8",""),"9",""),".",""),"+",""),"-",""),"E","")="",LEN(SUBSTITUTE(SUBSTITUTE(MID(UPPER(TRIM($DX266)),1+OR(LEFT(UPPER(TRIM($DX266)),1)="+",LEFT(UPPER(TRIM($DX266)),1)="-"),999),"E+","E"),"E-","E"))=LEN(SUBSTITUTE(SUBSTITUTE(SUBSTITUTE(SUBSTITUTE(MID(UPPER(TRIM($DX266)),1+OR(LEFT(UPPER(TRIM($DX266)),1)="+",LEFT(UPPER(TRIM($DX266)),1)="-"),999),"E+","E"),"E-","E"),"+",""),"-","")),LEN(UPPER(TRIM($DX266)))-LEN(SUBSTITUTE(UPPER(TRIM($DX266)),"E",""))&lt;2,LEN(UPPER(TRIM($DX266)))-LEN(SUBSTITUTE(UPPER(TRIM($DX266)),".",""))&lt;2,IFERROR(FIND(".",UPPER(TRIM($DX266))),0)&lt;IFERROR(FIND("E",UPPER(TRIM($DX266))),999)),ISNUMBER(VALUE(TRIM($DX266)))),VALUE(TRIM($DX266)),"")))),""))</f>
        <v/>
      </c>
      <c r="DZ266">
        <f>IF($DM266=0,"",IF($L$17=0,"",IFERROR(IF(ISNUMBER(INDEX(PASTE_ALL,$DF266,$L$17)),INDEX(PASTE_ALL,$DF266,$L$17),SUBSTITUTE(SUBSTITUTE(TRIM(SUBSTITUTE(SUBSTITUTE(SUBSTITUTE(SUBSTITUTE(INDEX(PASTE_ALL,$DF266,$L$17)," "," "),CHAR(9)," "),CHAR(10)," "),CHAR(13)," ")),",",""),"%","")),"")))</f>
        <v/>
      </c>
      <c r="EA266">
        <f>IF($DM266=0,"",IFERROR(IF(ISNUMBER($DZ266),$DZ266,IF($DZ266="","",IF(TRIM($DZ266)="",0,IF(AND(AND(SUBSTITUTE(SUBSTITUTE(SUBSTITUTE(SUBSTITUTE(SUBSTITUTE(SUBSTITUTE(SUBSTITUTE(SUBSTITUTE(SUBSTITUTE(SUBSTITUTE(SUBSTITUTE(SUBSTITUTE(SUBSTITUTE(SUBSTITUTE(UPPER(TRIM($DZ266)),"0",""),"1",""),"2",""),"3",""),"4",""),"5",""),"6",""),"7",""),"8",""),"9",""),".",""),"+",""),"-",""),"E","")="",LEN(SUBSTITUTE(SUBSTITUTE(MID(UPPER(TRIM($DZ266)),1+OR(LEFT(UPPER(TRIM($DZ266)),1)="+",LEFT(UPPER(TRIM($DZ266)),1)="-"),999),"E+","E"),"E-","E"))=LEN(SUBSTITUTE(SUBSTITUTE(SUBSTITUTE(SUBSTITUTE(MID(UPPER(TRIM($DZ266)),1+OR(LEFT(UPPER(TRIM($DZ266)),1)="+",LEFT(UPPER(TRIM($DZ266)),1)="-"),999),"E+","E"),"E-","E"),"+",""),"-","")),LEN(UPPER(TRIM($DZ266)))-LEN(SUBSTITUTE(UPPER(TRIM($DZ266)),"E",""))&lt;2,LEN(UPPER(TRIM($DZ266)))-LEN(SUBSTITUTE(UPPER(TRIM($DZ266)),".",""))&lt;2,IFERROR(FIND(".",UPPER(TRIM($DZ266))),0)&lt;IFERROR(FIND("E",UPPER(TRIM($DZ266))),999)),ISNUMBER(VALUE(TRIM($DZ266)))),VALUE(TRIM($DZ266)),"")))),""))</f>
        <v/>
      </c>
      <c r="EB266">
        <f>IF($DM266=0,"",IF($L$18=0,"",IFERROR(IF(UPPER(TRIM(SUBSTITUTE(SUBSTITUTE(SUBSTITUTE(SUBSTITUTE(INDEX(PASTE_ALL,$DF266,$L$18)," "," "),CHAR(9)," "),CHAR(10)," "),CHAR(13)," ")))="READY","Ready",IF(UPPER(TRIM(SUBSTITUTE(SUBSTITUTE(SUBSTITUTE(SUBSTITUTE(INDEX(PASTE_ALL,$DF266,$L$18)," "," "),CHAR(9)," "),CHAR(10)," "),CHAR(13)," ")))="PM","PM",IF(OR(UPPER(TRIM(SUBSTITUTE(SUBSTITUTE(SUBSTITUTE(SUBSTITUTE(INDEX(PASTE_ALL,$DF266,$L$18)," "," "),CHAR(9)," "),CHAR(10)," "),CHAR(13)," ")))="OT",UPPER(TRIM(SUBSTITUTE(SUBSTITUTE(SUBSTITUTE(SUBSTITUTE(INDEX(PASTE_ALL,$DF266,$L$18)," "," "),CHAR(9)," "),CHAR(10)," "),CHAR(13)," ")))="OVERTIME",UPPER(TRIM(SUBSTITUTE(SUBSTITUTE(SUBSTITUTE(SUBSTITUTE(INDEX(PASTE_ALL,$DF266,$L$18)," "," "),CHAR(9)," "),CHAR(10)," "),CHAR(13)," ")))="TRIAL"),"OT",TRIM(SUBSTITUTE(SUBSTITUTE(SUBSTITUTE(SUBSTITUTE(INDEX(PASTE_ALL,$DF266,$L$18)," "," "),CHAR(9)," "),CHAR(10)," "),CHAR(13)," "))))),"")))</f>
        <v/>
      </c>
      <c r="EC266">
        <f>IF($DM266=0,"",IF($L$19=0,"",IFERROR(IF(ISNUMBER(INDEX(PASTE_ALL,$DF266,$L$19)),INDEX(PASTE_ALL,$DF266,$L$19),TRIM(SUBSTITUTE(SUBSTITUTE(SUBSTITUTE(SUBSTITUTE(INDEX(PASTE_ALL,$DF266,$L$19)," "," "),CHAR(9)," "),CHAR(10)," "),CHAR(13)," "))),"")))</f>
        <v/>
      </c>
      <c r="ED266">
        <f>IF($DM266=0,"",MATCH(1,INDEX(EXACT($DH$5:DH266,$DH266)*$DM$5:DM266,0),0))</f>
        <v/>
      </c>
      <c r="EE266">
        <f>IF($DM266=0,0,IF($ED266=$DE266,1,0))</f>
        <v/>
      </c>
      <c r="EF266">
        <f>EF265+$EE266</f>
        <v/>
      </c>
      <c r="EG266">
        <f>IF($DM266=0,"",INDEX($EF$5:$EF$1003,$ED266))</f>
        <v/>
      </c>
      <c r="EH266">
        <f>IF($DM266=0,"",IF($DO266&lt;&gt;"","",IFERROR(LOOKUP(2,1/(($EG$4:EG265=$EG266)*($DO$4:DO265&lt;&gt;"")),$DO$4:DO265),"")))</f>
        <v/>
      </c>
      <c r="EI266">
        <f>IF($DM266=0,"",IF($DO266&lt;&gt;"",$DO266,$EH266))</f>
        <v/>
      </c>
      <c r="EJ266">
        <f>IF($DM266=0,"",IF($EI266="",0,IF(OR(ISNUMBER($EI266),AND(AND(SUBSTITUTE(SUBSTITUTE(SUBSTITUTE(SUBSTITUTE(SUBSTITUTE(SUBSTITUTE(SUBSTITUTE(SUBSTITUTE(SUBSTITUTE(SUBSTITUTE(SUBSTITUTE(SUBSTITUTE(SUBSTITUTE(SUBSTITUTE(UPPER($EI266),"0",""),"1",""),"2",""),"3",""),"4",""),"5",""),"6",""),"7",""),"8",""),"9",""),".",""),"+",""),"-",""),"E","")="",LEN(SUBSTITUTE(SUBSTITUTE(MID(UPPER($EI266),1+OR(LEFT(UPPER($EI266),1)="+",LEFT(UPPER($EI266),1)="-"),999),"E+","E"),"E-","E"))=LEN(SUBSTITUTE(SUBSTITUTE(SUBSTITUTE(SUBSTITUTE(MID(UPPER($EI266),1+OR(LEFT(UPPER($EI266),1)="+",LEFT(UPPER($EI266),1)="-"),999),"E+","E"),"E-","E"),"+",""),"-","")),LEN(UPPER($EI266))-LEN(SUBSTITUTE(UPPER($EI266),"E",""))&lt;2,LEN(UPPER($EI266))-LEN(SUBSTITUTE(UPPER($EI266),".",""))&lt;2,IFERROR(FIND(".",UPPER($EI266)),0)&lt;IFERROR(FIND("E",UPPER($EI266)),999)),ISNUMBER(VALUE($EI266)))),1,2)))</f>
        <v/>
      </c>
      <c r="EK266">
        <f>IF($DM266=0,"",IF($EJ266=1,IF(ISNUMBER($EI266),$EI266,VALUE($EI266)),IF($EJ266=2,$DE266,0)))</f>
        <v/>
      </c>
      <c r="EL266">
        <f>IF($DM266=0,"",COUNTIF($EG$5:$EG$1003,"&lt;"&amp;$EG266)+SUMPRODUCT(($EG$5:$EG$1003=$EG266)*(($EJ$5:$EJ$1003&lt;$EJ266)+($EJ$5:$EJ$1003=$EJ266)*(($EK$5:$EK$1003&lt;$EK266)+($EK$5:$EK$1003=$EK266)*($DE$5:$DE$1003&lt;$DE266))))+1)</f>
        <v/>
      </c>
      <c r="EM266">
        <f>IF($DM266=0,"",$EL266+$EG266-1)</f>
        <v/>
      </c>
      <c r="EN266">
        <f>IF($DM266=0,0,IFERROR(MATCH(1,INDEX(--(TRIM(SUBSTITUTE(SUBSTITUTE(SUBSTITUTE(SUBSTITUTE(LINES_NAME&amp;""," "," "),CHAR(9)," "),CHAR(10)," "),CHAR(13)," "))=$DH266),0),0),0))</f>
        <v/>
      </c>
      <c r="EO266">
        <f>IF($EN266=0,0,IF(OR(UPPER(TRIM(INDEX(LINES_SCHEDULED,$EN266)&amp;""))="YES",UPPER(TRIM(INDEX(LINES_SCHEDULED,$EN266)&amp;""))="Y",UPPER(TRIM(INDEX(LINES_SCHEDULED,$EN266)&amp;""))="X"),1,0))</f>
        <v/>
      </c>
      <c r="EP266">
        <f>IF($DM266=0,"",IF(COUNTIFS($EG$5:$EG$1003,$EG266,$EB$5:$EB$1003,"Ready")&gt;0,"READY",IF(COUNTIFS($EG$5:$EG$1003,$EG266,$EB$5:$EB$1003,"PM")&gt;0,"PM",IF(COUNTIFS($EG$5:$EG$1003,$EG266,$EB$5:$EB$1003,"OT")&gt;0,"OT",""))))</f>
        <v/>
      </c>
      <c r="EQ266">
        <f>IF($EN266=0,"",UPPER(TRIM(INDEX(LINES_STATUS,$EN266)&amp;"")))</f>
        <v/>
      </c>
      <c r="ER266">
        <f>IF($DM266=0,"",IF(OR($EQ266="READY",$EQ266="PM",$EQ266="OT"),$EQ266,$EP266))</f>
        <v/>
      </c>
      <c r="ES266">
        <f>IF($DM266=0,"",IF(AND($DV266&lt;&gt;"",UPPER($DV266)&lt;&gt;"N"),"allergen",IF(ISNUMBER(SEARCH("oil",$DQ266)),"oil",IF(OR(EXACT($DS266,"A662"),EXACT($DS266,"A624")),"bulk",""))))</f>
        <v/>
      </c>
      <c r="ET266">
        <f>IF($DM266=0,"",IF(OR($EA266="",$EA266=0),"",$EA266/100))</f>
        <v/>
      </c>
      <c r="EU266">
        <f>IF(OR($ET266="",$DY266=""),"",INT($DY266*(1-$ET266)+0.5))</f>
        <v/>
      </c>
      <c r="EW266" t="n">
        <v>262</v>
      </c>
      <c r="EX266">
        <f>IFERROR(MATCH($EW266,$EM$5:$EM$1003,0),0)</f>
        <v/>
      </c>
      <c r="EY266">
        <f>IF($EW266&gt;$B$12,"",IF($EX266&gt;0,"row","spacer"))</f>
        <v/>
      </c>
      <c r="EZ266">
        <f>IF(AND($EY266="row",$EY265&lt;&gt;"row"),1,0)</f>
        <v/>
      </c>
      <c r="FA266">
        <f>IF(AND($EY266="row",$EY267&lt;&gt;"row"),1,0)</f>
        <v/>
      </c>
      <c r="FB266">
        <f>IF($EZ266=1,IFERROR(IF(ISNUMBER(INDEX(PASTE_ALL,INDEX($DF$5:$DF$1003,$EX266),$B$37)),INDEX(PASTE_ALL,INDEX($DF$5:$DF$1003,$EX266),$B$37),INDEX($DH$5:$DH$1003,$EX266)),INDEX($DH$5:$DH$1003,$EX266)),"")</f>
        <v/>
      </c>
      <c r="FC266">
        <f>IF($EY266="row",INDEX($ER$5:$ER$1003,$EX266),"")</f>
        <v/>
      </c>
      <c r="FD266">
        <f>IF($EY266="row",INDEX($DN$5:$DN$1003,$EX266),"")</f>
        <v/>
      </c>
      <c r="FE266">
        <f>IF($EY266="row",INDEX($DO$5:$DO$1003,$EX266),"")</f>
        <v/>
      </c>
      <c r="FF266">
        <f>IF($EY266="row",INDEX($DP$5:$DP$1003,$EX266),"")</f>
        <v/>
      </c>
      <c r="FG266">
        <f>IF($EY266="row",INDEX($DQ$5:$DQ$1003,$EX266),"")</f>
        <v/>
      </c>
      <c r="FH266">
        <f>IF($EY266="row",INDEX($DR$5:$DR$1003,$EX266),"")</f>
        <v/>
      </c>
      <c r="FI266">
        <f>IF($EY266="row",INDEX($DS$5:$DS$1003,$EX266),"")</f>
        <v/>
      </c>
      <c r="FJ266">
        <f>IF($EY266="row",INDEX($DT$5:$DT$1003,$EX266),"")</f>
        <v/>
      </c>
      <c r="FK266">
        <f>IF($EY266="row",INDEX($DU$5:$DU$1003,$EX266),"")</f>
        <v/>
      </c>
      <c r="FL266">
        <f>IF($EY266="row",INDEX($DV$5:$DV$1003,$EX266),"")</f>
        <v/>
      </c>
      <c r="FM266">
        <f>IF($EY266="row",INDEX($DW$5:$DW$1003,$EX266),"")</f>
        <v/>
      </c>
      <c r="FN266">
        <f>IF($EY266="row",INDEX($DY$5:$DY$1003,$EX266),"")</f>
        <v/>
      </c>
      <c r="FO266">
        <f>IF($EY266="row",INDEX($EA$5:$EA$1003,$EX266),"")</f>
        <v/>
      </c>
      <c r="FP266">
        <f>IF($EY266="row",INDEX($EC$5:$EC$1003,$EX266),"")</f>
        <v/>
      </c>
      <c r="FQ266">
        <f>IF($EY266="row",INDEX($ET$5:$ET$1003,$EX266),"")</f>
        <v/>
      </c>
      <c r="FR266">
        <f>IF($EY266="row",INDEX($EU$5:$EU$1003,$EX266),"")</f>
        <v/>
      </c>
      <c r="FS266">
        <f>IF(AND($EY266="row",$EY265="row"),IF(OR(INDEX($DT$5:$DT$1003,$EX265)="",INDEX($DT$5:$DT$1003,$EX266)=""),"",IF(NOT(EXACT(INDEX($DT$5:$DT$1003,$EX265),INDEX($DT$5:$DT$1003,$EX266))),"S4",IF(NOT(EXACT(INDEX($DS$5:$DS$1003,$EX265),INDEX($DS$5:$DS$1003,$EX266))),"S3",IF(NOT(EXACT(INDEX($DR$5:$DR$1003,$EX265),INDEX($DR$5:$DR$1003,$EX266))),"S1 Count Change","S1")))),"")</f>
        <v/>
      </c>
      <c r="FT266">
        <f>IF($EY266="row",INDEX($ES$5:$ES$1003,$EX266),"")</f>
        <v/>
      </c>
      <c r="FU266">
        <f>IF($EY266="row",INDEX($EO$5:$EO$1003,$EX266),0)</f>
        <v/>
      </c>
      <c r="FV266">
        <f>IF($FS266="S1 Count Change",1,0)</f>
        <v/>
      </c>
    </row>
    <row r="267">
      <c r="DA267" t="n">
        <v>263</v>
      </c>
      <c r="DB267">
        <f>IF($B$37=0,"",IFERROR(TRIM(SUBSTITUTE(SUBSTITUTE(SUBSTITUTE(SUBSTITUTE(INDEX(PASTE_ALL,263,$B$37)," "," "),CHAR(9)," "),CHAR(10)," "),CHAR(13)," ")),""))</f>
        <v/>
      </c>
      <c r="DC267">
        <f>IF(AND(263&gt;HEADER_ROW,UPPER(DB267)="LEGEND"),1,0)</f>
        <v/>
      </c>
      <c r="DE267" t="n">
        <v>263</v>
      </c>
      <c r="DF267">
        <f>HEADER_ROW+$DE267</f>
        <v/>
      </c>
      <c r="DG267">
        <f>IF(AND($DF267&lt;=1000,$DF267&lt;$B$8),1,0)</f>
        <v/>
      </c>
      <c r="DH267">
        <f>IF($DG267=1,IFERROR(INDEX($DB$5:$DB$1004,$DF267),""),"")</f>
        <v/>
      </c>
      <c r="DI267">
        <f>IF(AND($DG267=1,$DH267&lt;&gt;""),IFERROR(SUBSTITUTE(SUBSTITUTE(TRIM(SUBSTITUTE(SUBSTITUTE(SUBSTITUTE(SUBSTITUTE(IFERROR(INDEX(PASTE_ALL,$DF267,1)&amp;"","")&amp;"␟"&amp;IFERROR(INDEX(PASTE_ALL,$DF267,2)&amp;"","")&amp;"␟"&amp;IFERROR(INDEX(PASTE_ALL,$DF267,3)&amp;"","")&amp;"␟"&amp;IFERROR(INDEX(PASTE_ALL,$DF267,4)&amp;"","")&amp;"␟"&amp;IFERROR(INDEX(PASTE_ALL,$DF267,5)&amp;"","")&amp;"␟"&amp;IFERROR(INDEX(PASTE_ALL,$DF267,6)&amp;"","")&amp;"␟"&amp;IFERROR(INDEX(PASTE_ALL,$DF267,7)&amp;"","")&amp;"␟"&amp;IFERROR(INDEX(PASTE_ALL,$DF267,8)&amp;"","")&amp;"␟"&amp;IFERROR(INDEX(PASTE_ALL,$DF267,9)&amp;"","")&amp;"␟"&amp;IFERROR(INDEX(PASTE_ALL,$DF267,10)&amp;"","")&amp;"␟"&amp;IFERROR(INDEX(PASTE_ALL,$DF267,11)&amp;"","")&amp;"␟"&amp;IFERROR(INDEX(PASTE_ALL,$DF267,12)&amp;"","")&amp;"␟"&amp;IFERROR(INDEX(PASTE_ALL,$DF267,13)&amp;"","")&amp;"␟"&amp;IFERROR(INDEX(PASTE_ALL,$DF267,14)&amp;"","")&amp;"␟"&amp;IFERROR(INDEX(PASTE_ALL,$DF267,15)&amp;"","")&amp;"␟"&amp;IFERROR(INDEX(PASTE_ALL,$DF267,16)&amp;"","")&amp;"␟"&amp;IFERROR(INDEX(PASTE_ALL,$DF267,17)&amp;"","")&amp;"␟"&amp;IFERROR(INDEX(PASTE_ALL,$DF267,18)&amp;"","")&amp;"␟"&amp;IFERROR(INDEX(PASTE_ALL,$DF267,19)&amp;"","")&amp;"␟"&amp;IFERROR(INDEX(PASTE_ALL,$DF267,20)&amp;"","")&amp;"␟"&amp;IFERROR(INDEX(PASTE_ALL,$DF267,21)&amp;"","")&amp;"␟"&amp;IFERROR(INDEX(PASTE_ALL,$DF267,22)&amp;"","")&amp;"␟"&amp;IFERROR(INDEX(PASTE_ALL,$DF267,23)&amp;"","")&amp;"␟"&amp;IFERROR(INDEX(PASTE_ALL,$DF267,24)&amp;"","")&amp;"␟"&amp;IFERROR(INDEX(PASTE_ALL,$DF267,25)&amp;"","")&amp;"␟"&amp;IFERROR(INDEX(PASTE_ALL,$DF267,26)&amp;"","")&amp;"␟"&amp;IFERROR(INDEX(PASTE_ALL,$DF267,27)&amp;"","")&amp;"␟"&amp;IFERROR(INDEX(PASTE_ALL,$DF267,28)&amp;"","")&amp;"␟"&amp;IFERROR(INDEX(PASTE_ALL,$DF267,29)&amp;"","")&amp;"␟"&amp;IFERROR(INDEX(PASTE_ALL,$DF267,30)&amp;"","")&amp;"␟"&amp;IFERROR(INDEX(PASTE_ALL,$DF267,31)&amp;"","")&amp;"␟"&amp;IFERROR(INDEX(PASTE_ALL,$DF267,32)&amp;"","")&amp;"␟"&amp;IFERROR(INDEX(PASTE_ALL,$DF267,33)&amp;"","")&amp;"␟"&amp;IFERROR(INDEX(PASTE_ALL,$DF267,34)&amp;"","")&amp;"␟"&amp;IFERROR(INDEX(PASTE_ALL,$DF267,35)&amp;"","")&amp;"␟"&amp;IFERROR(INDEX(PASTE_ALL,$DF267,36)&amp;"","")&amp;"␟"&amp;IFERROR(INDEX(PASTE_ALL,$DF267,37)&amp;"","")&amp;"␟"&amp;IFERROR(INDEX(PASTE_ALL,$DF267,38)&amp;"","")&amp;"␟"&amp;IFERROR(INDEX(PASTE_ALL,$DF267,39)&amp;"","")&amp;"␟"&amp;IFERROR(INDEX(PASTE_ALL,$DF267,40)&amp;"","")&amp;"␟"&amp;IFERROR(INDEX(PASTE_ALL,$DF267,41)&amp;"","")&amp;"␟"&amp;IFERROR(INDEX(PASTE_ALL,$DF267,42)&amp;"","")&amp;"␟"&amp;IFERROR(INDEX(PASTE_ALL,$DF267,43)&amp;"","")&amp;"␟"&amp;IFERROR(INDEX(PASTE_ALL,$DF267,44)&amp;"","")&amp;"␟"&amp;IFERROR(INDEX(PASTE_ALL,$DF267,45)&amp;"","")&amp;"␟"&amp;IFERROR(INDEX(PASTE_ALL,$DF267,46)&amp;"","")&amp;"␟"&amp;IFERROR(INDEX(PASTE_ALL,$DF267,47)&amp;"","")&amp;"␟"&amp;IFERROR(INDEX(PASTE_ALL,$DF267,48)&amp;"","")&amp;"␟"&amp;IFERROR(INDEX(PASTE_ALL,$DF267,49)&amp;"","")&amp;"␟"&amp;IFERROR(INDEX(PASTE_ALL,$DF267,50)&amp;"","")&amp;"␟"&amp;IFERROR(INDEX(PASTE_ALL,$DF267,51)&amp;"","")&amp;"␟"&amp;IFERROR(INDEX(PASTE_ALL,$DF267,52)&amp;"","")&amp;"␟"&amp;IFERROR(INDEX(PASTE_ALL,$DF267,53)&amp;"","")&amp;"␟"&amp;IFERROR(INDEX(PASTE_ALL,$DF267,54)&amp;"","")&amp;"␟"&amp;IFERROR(INDEX(PASTE_ALL,$DF267,55)&amp;"","")&amp;"␟"&amp;IFERROR(INDEX(PASTE_ALL,$DF267,56)&amp;"","")&amp;"␟"&amp;IFERROR(INDEX(PASTE_ALL,$DF267,57)&amp;"","")&amp;"␟"&amp;IFERROR(INDEX(PASTE_ALL,$DF267,58)&amp;"","")&amp;"␟"&amp;IFERROR(INDEX(PASTE_ALL,$DF267,59)&amp;"","")&amp;"␟"&amp;IFERROR(INDEX(PASTE_ALL,$DF267,60)&amp;"","")," "," "),CHAR(9)," "),CHAR(10)," "),CHAR(13)," "))," ␟","␟"),"␟ ","␟"),"#"&amp;$DE267),"")</f>
        <v/>
      </c>
      <c r="DJ267">
        <f>IF($DI267="",0,IF(SUMPRODUCT(--EXACT($DI$4:DI266,$DI267))&gt;0,1,0))</f>
        <v/>
      </c>
      <c r="DK267">
        <f>IF(AND($DI267&lt;&gt;"",$DJ267=0),1,0)</f>
        <v/>
      </c>
      <c r="DL267">
        <f>DL266+$DK267</f>
        <v/>
      </c>
      <c r="DM267">
        <f>IF(AND($DK267=1,$DL267&lt;=600),1,0)</f>
        <v/>
      </c>
      <c r="DN267">
        <f>IF($DM267=0,"",IF($L$6=0,"",IFERROR(IF(ISNUMBER(INDEX(PASTE_ALL,$DF267,$L$6)),INDEX(PASTE_ALL,$DF267,$L$6),TRIM(SUBSTITUTE(SUBSTITUTE(SUBSTITUTE(SUBSTITUTE(INDEX(PASTE_ALL,$DF267,$L$6)," "," "),CHAR(9)," "),CHAR(10)," "),CHAR(13)," "))),"")))</f>
        <v/>
      </c>
      <c r="DO267">
        <f>IF($DM267=0,"",IF($L$7=0,"",IFERROR(IF(ISNUMBER(INDEX(PASTE_ALL,$DF267,$L$7)),INDEX(PASTE_ALL,$DF267,$L$7),TRIM(SUBSTITUTE(SUBSTITUTE(SUBSTITUTE(SUBSTITUTE(INDEX(PASTE_ALL,$DF267,$L$7)," "," "),CHAR(9)," "),CHAR(10)," "),CHAR(13)," "))),"")))</f>
        <v/>
      </c>
      <c r="DP267">
        <f>IF($DM267=0,"",IF($L$8=0,"",IFERROR(IF(ISNUMBER(INDEX(PASTE_ALL,$DF267,$L$8)),INDEX(PASTE_ALL,$DF267,$L$8),TRIM(SUBSTITUTE(SUBSTITUTE(SUBSTITUTE(SUBSTITUTE(INDEX(PASTE_ALL,$DF267,$L$8)," "," "),CHAR(9)," "),CHAR(10)," "),CHAR(13)," "))),"")))</f>
        <v/>
      </c>
      <c r="DQ267">
        <f>IF($DM267=0,"",IF($L$9=0,"",IFERROR(IF(ISNUMBER(INDEX(PASTE_ALL,$DF267,$L$9)),INDEX(PASTE_ALL,$DF267,$L$9),TRIM(SUBSTITUTE(SUBSTITUTE(SUBSTITUTE(SUBSTITUTE(INDEX(PASTE_ALL,$DF267,$L$9)," "," "),CHAR(9)," "),CHAR(10)," "),CHAR(13)," "))),"")))</f>
        <v/>
      </c>
      <c r="DR267">
        <f>IF($DM267=0,"",IF($L$10=0,"",IFERROR(IF(ISNUMBER(INDEX(PASTE_ALL,$DF267,$L$10)),INDEX(PASTE_ALL,$DF267,$L$10),TRIM(SUBSTITUTE(SUBSTITUTE(SUBSTITUTE(SUBSTITUTE(INDEX(PASTE_ALL,$DF267,$L$10)," "," "),CHAR(9)," "),CHAR(10)," "),CHAR(13)," "))),"")))</f>
        <v/>
      </c>
      <c r="DS267">
        <f>IF($DM267=0,"",IF($L$11=0,"",IFERROR(IF(ISNUMBER(INDEX(PASTE_ALL,$DF267,$L$11)),INDEX(PASTE_ALL,$DF267,$L$11),TRIM(SUBSTITUTE(SUBSTITUTE(SUBSTITUTE(SUBSTITUTE(INDEX(PASTE_ALL,$DF267,$L$11)," "," "),CHAR(9)," "),CHAR(10)," "),CHAR(13)," "))),"")))</f>
        <v/>
      </c>
      <c r="DT267">
        <f>IF($DM267=0,"",IF($L$12=0,"",IFERROR(IF(ISNUMBER(INDEX(PASTE_ALL,$DF267,$L$12)),INDEX(PASTE_ALL,$DF267,$L$12),TRIM(SUBSTITUTE(SUBSTITUTE(SUBSTITUTE(SUBSTITUTE(INDEX(PASTE_ALL,$DF267,$L$12)," "," "),CHAR(9)," "),CHAR(10)," "),CHAR(13)," "))),"")))</f>
        <v/>
      </c>
      <c r="DU267">
        <f>IF($DM267=0,"",IF($L$13=0,"",IFERROR(IF(ISNUMBER(INDEX(PASTE_ALL,$DF267,$L$13)),INDEX(PASTE_ALL,$DF267,$L$13),TRIM(SUBSTITUTE(SUBSTITUTE(SUBSTITUTE(SUBSTITUTE(INDEX(PASTE_ALL,$DF267,$L$13)," "," "),CHAR(9)," "),CHAR(10)," "),CHAR(13)," "))),"")))</f>
        <v/>
      </c>
      <c r="DV267">
        <f>IF($DM267=0,"",IF($L$14=0,"",IFERROR(IF(ISNUMBER(INDEX(PASTE_ALL,$DF267,$L$14)),INDEX(PASTE_ALL,$DF267,$L$14),TRIM(SUBSTITUTE(SUBSTITUTE(SUBSTITUTE(SUBSTITUTE(INDEX(PASTE_ALL,$DF267,$L$14)," "," "),CHAR(9)," "),CHAR(10)," "),CHAR(13)," "))),"")))</f>
        <v/>
      </c>
      <c r="DW267">
        <f>IF($DM267=0,"",IF($L$15=0,"",IFERROR(IF(ISNUMBER(INDEX(PASTE_ALL,$DF267,$L$15)),INDEX(PASTE_ALL,$DF267,$L$15),IF(SUMPRODUCT(--ISNUMBER(FIND({"A","B","C","D","E","F","G","H","I","J","K","L","M","N","O","P","Q","R","S","T","U","V","W","X","Y","Z","0","1","2","3","4","5","6","7","8","9"},UPPER(TRIM(SUBSTITUTE(SUBSTITUTE(SUBSTITUTE(SUBSTITUTE(INDEX(PASTE_ALL,$DF267,$L$15)," "," "),CHAR(9)," "),CHAR(10)," "),CHAR(13)," "))))))&gt;0,TRIM(SUBSTITUTE(SUBSTITUTE(SUBSTITUTE(SUBSTITUTE(INDEX(PASTE_ALL,$DF267,$L$15)," "," "),CHAR(9)," "),CHAR(10)," "),CHAR(13)," ")),"")),"")))</f>
        <v/>
      </c>
      <c r="DX267">
        <f>IF($DM267=0,"",IF($L$16=0,"",IFERROR(IF(ISNUMBER(INDEX(PASTE_ALL,$DF267,$L$16)),INDEX(PASTE_ALL,$DF267,$L$16),SUBSTITUTE(SUBSTITUTE(TRIM(SUBSTITUTE(SUBSTITUTE(SUBSTITUTE(SUBSTITUTE(INDEX(PASTE_ALL,$DF267,$L$16)," "," "),CHAR(9)," "),CHAR(10)," "),CHAR(13)," ")),",",""),"%","")),"")))</f>
        <v/>
      </c>
      <c r="DY267">
        <f>IF($DM267=0,"",IFERROR(IF(ISNUMBER($DX267),$DX267,IF($DX267="","",IF(TRIM($DX267)="",0,IF(AND(AND(SUBSTITUTE(SUBSTITUTE(SUBSTITUTE(SUBSTITUTE(SUBSTITUTE(SUBSTITUTE(SUBSTITUTE(SUBSTITUTE(SUBSTITUTE(SUBSTITUTE(SUBSTITUTE(SUBSTITUTE(SUBSTITUTE(SUBSTITUTE(UPPER(TRIM($DX267)),"0",""),"1",""),"2",""),"3",""),"4",""),"5",""),"6",""),"7",""),"8",""),"9",""),".",""),"+",""),"-",""),"E","")="",LEN(SUBSTITUTE(SUBSTITUTE(MID(UPPER(TRIM($DX267)),1+OR(LEFT(UPPER(TRIM($DX267)),1)="+",LEFT(UPPER(TRIM($DX267)),1)="-"),999),"E+","E"),"E-","E"))=LEN(SUBSTITUTE(SUBSTITUTE(SUBSTITUTE(SUBSTITUTE(MID(UPPER(TRIM($DX267)),1+OR(LEFT(UPPER(TRIM($DX267)),1)="+",LEFT(UPPER(TRIM($DX267)),1)="-"),999),"E+","E"),"E-","E"),"+",""),"-","")),LEN(UPPER(TRIM($DX267)))-LEN(SUBSTITUTE(UPPER(TRIM($DX267)),"E",""))&lt;2,LEN(UPPER(TRIM($DX267)))-LEN(SUBSTITUTE(UPPER(TRIM($DX267)),".",""))&lt;2,IFERROR(FIND(".",UPPER(TRIM($DX267))),0)&lt;IFERROR(FIND("E",UPPER(TRIM($DX267))),999)),ISNUMBER(VALUE(TRIM($DX267)))),VALUE(TRIM($DX267)),"")))),""))</f>
        <v/>
      </c>
      <c r="DZ267">
        <f>IF($DM267=0,"",IF($L$17=0,"",IFERROR(IF(ISNUMBER(INDEX(PASTE_ALL,$DF267,$L$17)),INDEX(PASTE_ALL,$DF267,$L$17),SUBSTITUTE(SUBSTITUTE(TRIM(SUBSTITUTE(SUBSTITUTE(SUBSTITUTE(SUBSTITUTE(INDEX(PASTE_ALL,$DF267,$L$17)," "," "),CHAR(9)," "),CHAR(10)," "),CHAR(13)," ")),",",""),"%","")),"")))</f>
        <v/>
      </c>
      <c r="EA267">
        <f>IF($DM267=0,"",IFERROR(IF(ISNUMBER($DZ267),$DZ267,IF($DZ267="","",IF(TRIM($DZ267)="",0,IF(AND(AND(SUBSTITUTE(SUBSTITUTE(SUBSTITUTE(SUBSTITUTE(SUBSTITUTE(SUBSTITUTE(SUBSTITUTE(SUBSTITUTE(SUBSTITUTE(SUBSTITUTE(SUBSTITUTE(SUBSTITUTE(SUBSTITUTE(SUBSTITUTE(UPPER(TRIM($DZ267)),"0",""),"1",""),"2",""),"3",""),"4",""),"5",""),"6",""),"7",""),"8",""),"9",""),".",""),"+",""),"-",""),"E","")="",LEN(SUBSTITUTE(SUBSTITUTE(MID(UPPER(TRIM($DZ267)),1+OR(LEFT(UPPER(TRIM($DZ267)),1)="+",LEFT(UPPER(TRIM($DZ267)),1)="-"),999),"E+","E"),"E-","E"))=LEN(SUBSTITUTE(SUBSTITUTE(SUBSTITUTE(SUBSTITUTE(MID(UPPER(TRIM($DZ267)),1+OR(LEFT(UPPER(TRIM($DZ267)),1)="+",LEFT(UPPER(TRIM($DZ267)),1)="-"),999),"E+","E"),"E-","E"),"+",""),"-","")),LEN(UPPER(TRIM($DZ267)))-LEN(SUBSTITUTE(UPPER(TRIM($DZ267)),"E",""))&lt;2,LEN(UPPER(TRIM($DZ267)))-LEN(SUBSTITUTE(UPPER(TRIM($DZ267)),".",""))&lt;2,IFERROR(FIND(".",UPPER(TRIM($DZ267))),0)&lt;IFERROR(FIND("E",UPPER(TRIM($DZ267))),999)),ISNUMBER(VALUE(TRIM($DZ267)))),VALUE(TRIM($DZ267)),"")))),""))</f>
        <v/>
      </c>
      <c r="EB267">
        <f>IF($DM267=0,"",IF($L$18=0,"",IFERROR(IF(UPPER(TRIM(SUBSTITUTE(SUBSTITUTE(SUBSTITUTE(SUBSTITUTE(INDEX(PASTE_ALL,$DF267,$L$18)," "," "),CHAR(9)," "),CHAR(10)," "),CHAR(13)," ")))="READY","Ready",IF(UPPER(TRIM(SUBSTITUTE(SUBSTITUTE(SUBSTITUTE(SUBSTITUTE(INDEX(PASTE_ALL,$DF267,$L$18)," "," "),CHAR(9)," "),CHAR(10)," "),CHAR(13)," ")))="PM","PM",IF(OR(UPPER(TRIM(SUBSTITUTE(SUBSTITUTE(SUBSTITUTE(SUBSTITUTE(INDEX(PASTE_ALL,$DF267,$L$18)," "," "),CHAR(9)," "),CHAR(10)," "),CHAR(13)," ")))="OT",UPPER(TRIM(SUBSTITUTE(SUBSTITUTE(SUBSTITUTE(SUBSTITUTE(INDEX(PASTE_ALL,$DF267,$L$18)," "," "),CHAR(9)," "),CHAR(10)," "),CHAR(13)," ")))="OVERTIME",UPPER(TRIM(SUBSTITUTE(SUBSTITUTE(SUBSTITUTE(SUBSTITUTE(INDEX(PASTE_ALL,$DF267,$L$18)," "," "),CHAR(9)," "),CHAR(10)," "),CHAR(13)," ")))="TRIAL"),"OT",TRIM(SUBSTITUTE(SUBSTITUTE(SUBSTITUTE(SUBSTITUTE(INDEX(PASTE_ALL,$DF267,$L$18)," "," "),CHAR(9)," "),CHAR(10)," "),CHAR(13)," "))))),"")))</f>
        <v/>
      </c>
      <c r="EC267">
        <f>IF($DM267=0,"",IF($L$19=0,"",IFERROR(IF(ISNUMBER(INDEX(PASTE_ALL,$DF267,$L$19)),INDEX(PASTE_ALL,$DF267,$L$19),TRIM(SUBSTITUTE(SUBSTITUTE(SUBSTITUTE(SUBSTITUTE(INDEX(PASTE_ALL,$DF267,$L$19)," "," "),CHAR(9)," "),CHAR(10)," "),CHAR(13)," "))),"")))</f>
        <v/>
      </c>
      <c r="ED267">
        <f>IF($DM267=0,"",MATCH(1,INDEX(EXACT($DH$5:DH267,$DH267)*$DM$5:DM267,0),0))</f>
        <v/>
      </c>
      <c r="EE267">
        <f>IF($DM267=0,0,IF($ED267=$DE267,1,0))</f>
        <v/>
      </c>
      <c r="EF267">
        <f>EF266+$EE267</f>
        <v/>
      </c>
      <c r="EG267">
        <f>IF($DM267=0,"",INDEX($EF$5:$EF$1003,$ED267))</f>
        <v/>
      </c>
      <c r="EH267">
        <f>IF($DM267=0,"",IF($DO267&lt;&gt;"","",IFERROR(LOOKUP(2,1/(($EG$4:EG266=$EG267)*($DO$4:DO266&lt;&gt;"")),$DO$4:DO266),"")))</f>
        <v/>
      </c>
      <c r="EI267">
        <f>IF($DM267=0,"",IF($DO267&lt;&gt;"",$DO267,$EH267))</f>
        <v/>
      </c>
      <c r="EJ267">
        <f>IF($DM267=0,"",IF($EI267="",0,IF(OR(ISNUMBER($EI267),AND(AND(SUBSTITUTE(SUBSTITUTE(SUBSTITUTE(SUBSTITUTE(SUBSTITUTE(SUBSTITUTE(SUBSTITUTE(SUBSTITUTE(SUBSTITUTE(SUBSTITUTE(SUBSTITUTE(SUBSTITUTE(SUBSTITUTE(SUBSTITUTE(UPPER($EI267),"0",""),"1",""),"2",""),"3",""),"4",""),"5",""),"6",""),"7",""),"8",""),"9",""),".",""),"+",""),"-",""),"E","")="",LEN(SUBSTITUTE(SUBSTITUTE(MID(UPPER($EI267),1+OR(LEFT(UPPER($EI267),1)="+",LEFT(UPPER($EI267),1)="-"),999),"E+","E"),"E-","E"))=LEN(SUBSTITUTE(SUBSTITUTE(SUBSTITUTE(SUBSTITUTE(MID(UPPER($EI267),1+OR(LEFT(UPPER($EI267),1)="+",LEFT(UPPER($EI267),1)="-"),999),"E+","E"),"E-","E"),"+",""),"-","")),LEN(UPPER($EI267))-LEN(SUBSTITUTE(UPPER($EI267),"E",""))&lt;2,LEN(UPPER($EI267))-LEN(SUBSTITUTE(UPPER($EI267),".",""))&lt;2,IFERROR(FIND(".",UPPER($EI267)),0)&lt;IFERROR(FIND("E",UPPER($EI267)),999)),ISNUMBER(VALUE($EI267)))),1,2)))</f>
        <v/>
      </c>
      <c r="EK267">
        <f>IF($DM267=0,"",IF($EJ267=1,IF(ISNUMBER($EI267),$EI267,VALUE($EI267)),IF($EJ267=2,$DE267,0)))</f>
        <v/>
      </c>
      <c r="EL267">
        <f>IF($DM267=0,"",COUNTIF($EG$5:$EG$1003,"&lt;"&amp;$EG267)+SUMPRODUCT(($EG$5:$EG$1003=$EG267)*(($EJ$5:$EJ$1003&lt;$EJ267)+($EJ$5:$EJ$1003=$EJ267)*(($EK$5:$EK$1003&lt;$EK267)+($EK$5:$EK$1003=$EK267)*($DE$5:$DE$1003&lt;$DE267))))+1)</f>
        <v/>
      </c>
      <c r="EM267">
        <f>IF($DM267=0,"",$EL267+$EG267-1)</f>
        <v/>
      </c>
      <c r="EN267">
        <f>IF($DM267=0,0,IFERROR(MATCH(1,INDEX(--(TRIM(SUBSTITUTE(SUBSTITUTE(SUBSTITUTE(SUBSTITUTE(LINES_NAME&amp;""," "," "),CHAR(9)," "),CHAR(10)," "),CHAR(13)," "))=$DH267),0),0),0))</f>
        <v/>
      </c>
      <c r="EO267">
        <f>IF($EN267=0,0,IF(OR(UPPER(TRIM(INDEX(LINES_SCHEDULED,$EN267)&amp;""))="YES",UPPER(TRIM(INDEX(LINES_SCHEDULED,$EN267)&amp;""))="Y",UPPER(TRIM(INDEX(LINES_SCHEDULED,$EN267)&amp;""))="X"),1,0))</f>
        <v/>
      </c>
      <c r="EP267">
        <f>IF($DM267=0,"",IF(COUNTIFS($EG$5:$EG$1003,$EG267,$EB$5:$EB$1003,"Ready")&gt;0,"READY",IF(COUNTIFS($EG$5:$EG$1003,$EG267,$EB$5:$EB$1003,"PM")&gt;0,"PM",IF(COUNTIFS($EG$5:$EG$1003,$EG267,$EB$5:$EB$1003,"OT")&gt;0,"OT",""))))</f>
        <v/>
      </c>
      <c r="EQ267">
        <f>IF($EN267=0,"",UPPER(TRIM(INDEX(LINES_STATUS,$EN267)&amp;"")))</f>
        <v/>
      </c>
      <c r="ER267">
        <f>IF($DM267=0,"",IF(OR($EQ267="READY",$EQ267="PM",$EQ267="OT"),$EQ267,$EP267))</f>
        <v/>
      </c>
      <c r="ES267">
        <f>IF($DM267=0,"",IF(AND($DV267&lt;&gt;"",UPPER($DV267)&lt;&gt;"N"),"allergen",IF(ISNUMBER(SEARCH("oil",$DQ267)),"oil",IF(OR(EXACT($DS267,"A662"),EXACT($DS267,"A624")),"bulk",""))))</f>
        <v/>
      </c>
      <c r="ET267">
        <f>IF($DM267=0,"",IF(OR($EA267="",$EA267=0),"",$EA267/100))</f>
        <v/>
      </c>
      <c r="EU267">
        <f>IF(OR($ET267="",$DY267=""),"",INT($DY267*(1-$ET267)+0.5))</f>
        <v/>
      </c>
      <c r="EW267" t="n">
        <v>263</v>
      </c>
      <c r="EX267">
        <f>IFERROR(MATCH($EW267,$EM$5:$EM$1003,0),0)</f>
        <v/>
      </c>
      <c r="EY267">
        <f>IF($EW267&gt;$B$12,"",IF($EX267&gt;0,"row","spacer"))</f>
        <v/>
      </c>
      <c r="EZ267">
        <f>IF(AND($EY267="row",$EY266&lt;&gt;"row"),1,0)</f>
        <v/>
      </c>
      <c r="FA267">
        <f>IF(AND($EY267="row",$EY268&lt;&gt;"row"),1,0)</f>
        <v/>
      </c>
      <c r="FB267">
        <f>IF($EZ267=1,IFERROR(IF(ISNUMBER(INDEX(PASTE_ALL,INDEX($DF$5:$DF$1003,$EX267),$B$37)),INDEX(PASTE_ALL,INDEX($DF$5:$DF$1003,$EX267),$B$37),INDEX($DH$5:$DH$1003,$EX267)),INDEX($DH$5:$DH$1003,$EX267)),"")</f>
        <v/>
      </c>
      <c r="FC267">
        <f>IF($EY267="row",INDEX($ER$5:$ER$1003,$EX267),"")</f>
        <v/>
      </c>
      <c r="FD267">
        <f>IF($EY267="row",INDEX($DN$5:$DN$1003,$EX267),"")</f>
        <v/>
      </c>
      <c r="FE267">
        <f>IF($EY267="row",INDEX($DO$5:$DO$1003,$EX267),"")</f>
        <v/>
      </c>
      <c r="FF267">
        <f>IF($EY267="row",INDEX($DP$5:$DP$1003,$EX267),"")</f>
        <v/>
      </c>
      <c r="FG267">
        <f>IF($EY267="row",INDEX($DQ$5:$DQ$1003,$EX267),"")</f>
        <v/>
      </c>
      <c r="FH267">
        <f>IF($EY267="row",INDEX($DR$5:$DR$1003,$EX267),"")</f>
        <v/>
      </c>
      <c r="FI267">
        <f>IF($EY267="row",INDEX($DS$5:$DS$1003,$EX267),"")</f>
        <v/>
      </c>
      <c r="FJ267">
        <f>IF($EY267="row",INDEX($DT$5:$DT$1003,$EX267),"")</f>
        <v/>
      </c>
      <c r="FK267">
        <f>IF($EY267="row",INDEX($DU$5:$DU$1003,$EX267),"")</f>
        <v/>
      </c>
      <c r="FL267">
        <f>IF($EY267="row",INDEX($DV$5:$DV$1003,$EX267),"")</f>
        <v/>
      </c>
      <c r="FM267">
        <f>IF($EY267="row",INDEX($DW$5:$DW$1003,$EX267),"")</f>
        <v/>
      </c>
      <c r="FN267">
        <f>IF($EY267="row",INDEX($DY$5:$DY$1003,$EX267),"")</f>
        <v/>
      </c>
      <c r="FO267">
        <f>IF($EY267="row",INDEX($EA$5:$EA$1003,$EX267),"")</f>
        <v/>
      </c>
      <c r="FP267">
        <f>IF($EY267="row",INDEX($EC$5:$EC$1003,$EX267),"")</f>
        <v/>
      </c>
      <c r="FQ267">
        <f>IF($EY267="row",INDEX($ET$5:$ET$1003,$EX267),"")</f>
        <v/>
      </c>
      <c r="FR267">
        <f>IF($EY267="row",INDEX($EU$5:$EU$1003,$EX267),"")</f>
        <v/>
      </c>
      <c r="FS267">
        <f>IF(AND($EY267="row",$EY266="row"),IF(OR(INDEX($DT$5:$DT$1003,$EX266)="",INDEX($DT$5:$DT$1003,$EX267)=""),"",IF(NOT(EXACT(INDEX($DT$5:$DT$1003,$EX266),INDEX($DT$5:$DT$1003,$EX267))),"S4",IF(NOT(EXACT(INDEX($DS$5:$DS$1003,$EX266),INDEX($DS$5:$DS$1003,$EX267))),"S3",IF(NOT(EXACT(INDEX($DR$5:$DR$1003,$EX266),INDEX($DR$5:$DR$1003,$EX267))),"S1 Count Change","S1")))),"")</f>
        <v/>
      </c>
      <c r="FT267">
        <f>IF($EY267="row",INDEX($ES$5:$ES$1003,$EX267),"")</f>
        <v/>
      </c>
      <c r="FU267">
        <f>IF($EY267="row",INDEX($EO$5:$EO$1003,$EX267),0)</f>
        <v/>
      </c>
      <c r="FV267">
        <f>IF($FS267="S1 Count Change",1,0)</f>
        <v/>
      </c>
    </row>
    <row r="268">
      <c r="DA268" t="n">
        <v>264</v>
      </c>
      <c r="DB268">
        <f>IF($B$37=0,"",IFERROR(TRIM(SUBSTITUTE(SUBSTITUTE(SUBSTITUTE(SUBSTITUTE(INDEX(PASTE_ALL,264,$B$37)," "," "),CHAR(9)," "),CHAR(10)," "),CHAR(13)," ")),""))</f>
        <v/>
      </c>
      <c r="DC268">
        <f>IF(AND(264&gt;HEADER_ROW,UPPER(DB268)="LEGEND"),1,0)</f>
        <v/>
      </c>
      <c r="DE268" t="n">
        <v>264</v>
      </c>
      <c r="DF268">
        <f>HEADER_ROW+$DE268</f>
        <v/>
      </c>
      <c r="DG268">
        <f>IF(AND($DF268&lt;=1000,$DF268&lt;$B$8),1,0)</f>
        <v/>
      </c>
      <c r="DH268">
        <f>IF($DG268=1,IFERROR(INDEX($DB$5:$DB$1004,$DF268),""),"")</f>
        <v/>
      </c>
      <c r="DI268">
        <f>IF(AND($DG268=1,$DH268&lt;&gt;""),IFERROR(SUBSTITUTE(SUBSTITUTE(TRIM(SUBSTITUTE(SUBSTITUTE(SUBSTITUTE(SUBSTITUTE(IFERROR(INDEX(PASTE_ALL,$DF268,1)&amp;"","")&amp;"␟"&amp;IFERROR(INDEX(PASTE_ALL,$DF268,2)&amp;"","")&amp;"␟"&amp;IFERROR(INDEX(PASTE_ALL,$DF268,3)&amp;"","")&amp;"␟"&amp;IFERROR(INDEX(PASTE_ALL,$DF268,4)&amp;"","")&amp;"␟"&amp;IFERROR(INDEX(PASTE_ALL,$DF268,5)&amp;"","")&amp;"␟"&amp;IFERROR(INDEX(PASTE_ALL,$DF268,6)&amp;"","")&amp;"␟"&amp;IFERROR(INDEX(PASTE_ALL,$DF268,7)&amp;"","")&amp;"␟"&amp;IFERROR(INDEX(PASTE_ALL,$DF268,8)&amp;"","")&amp;"␟"&amp;IFERROR(INDEX(PASTE_ALL,$DF268,9)&amp;"","")&amp;"␟"&amp;IFERROR(INDEX(PASTE_ALL,$DF268,10)&amp;"","")&amp;"␟"&amp;IFERROR(INDEX(PASTE_ALL,$DF268,11)&amp;"","")&amp;"␟"&amp;IFERROR(INDEX(PASTE_ALL,$DF268,12)&amp;"","")&amp;"␟"&amp;IFERROR(INDEX(PASTE_ALL,$DF268,13)&amp;"","")&amp;"␟"&amp;IFERROR(INDEX(PASTE_ALL,$DF268,14)&amp;"","")&amp;"␟"&amp;IFERROR(INDEX(PASTE_ALL,$DF268,15)&amp;"","")&amp;"␟"&amp;IFERROR(INDEX(PASTE_ALL,$DF268,16)&amp;"","")&amp;"␟"&amp;IFERROR(INDEX(PASTE_ALL,$DF268,17)&amp;"","")&amp;"␟"&amp;IFERROR(INDEX(PASTE_ALL,$DF268,18)&amp;"","")&amp;"␟"&amp;IFERROR(INDEX(PASTE_ALL,$DF268,19)&amp;"","")&amp;"␟"&amp;IFERROR(INDEX(PASTE_ALL,$DF268,20)&amp;"","")&amp;"␟"&amp;IFERROR(INDEX(PASTE_ALL,$DF268,21)&amp;"","")&amp;"␟"&amp;IFERROR(INDEX(PASTE_ALL,$DF268,22)&amp;"","")&amp;"␟"&amp;IFERROR(INDEX(PASTE_ALL,$DF268,23)&amp;"","")&amp;"␟"&amp;IFERROR(INDEX(PASTE_ALL,$DF268,24)&amp;"","")&amp;"␟"&amp;IFERROR(INDEX(PASTE_ALL,$DF268,25)&amp;"","")&amp;"␟"&amp;IFERROR(INDEX(PASTE_ALL,$DF268,26)&amp;"","")&amp;"␟"&amp;IFERROR(INDEX(PASTE_ALL,$DF268,27)&amp;"","")&amp;"␟"&amp;IFERROR(INDEX(PASTE_ALL,$DF268,28)&amp;"","")&amp;"␟"&amp;IFERROR(INDEX(PASTE_ALL,$DF268,29)&amp;"","")&amp;"␟"&amp;IFERROR(INDEX(PASTE_ALL,$DF268,30)&amp;"","")&amp;"␟"&amp;IFERROR(INDEX(PASTE_ALL,$DF268,31)&amp;"","")&amp;"␟"&amp;IFERROR(INDEX(PASTE_ALL,$DF268,32)&amp;"","")&amp;"␟"&amp;IFERROR(INDEX(PASTE_ALL,$DF268,33)&amp;"","")&amp;"␟"&amp;IFERROR(INDEX(PASTE_ALL,$DF268,34)&amp;"","")&amp;"␟"&amp;IFERROR(INDEX(PASTE_ALL,$DF268,35)&amp;"","")&amp;"␟"&amp;IFERROR(INDEX(PASTE_ALL,$DF268,36)&amp;"","")&amp;"␟"&amp;IFERROR(INDEX(PASTE_ALL,$DF268,37)&amp;"","")&amp;"␟"&amp;IFERROR(INDEX(PASTE_ALL,$DF268,38)&amp;"","")&amp;"␟"&amp;IFERROR(INDEX(PASTE_ALL,$DF268,39)&amp;"","")&amp;"␟"&amp;IFERROR(INDEX(PASTE_ALL,$DF268,40)&amp;"","")&amp;"␟"&amp;IFERROR(INDEX(PASTE_ALL,$DF268,41)&amp;"","")&amp;"␟"&amp;IFERROR(INDEX(PASTE_ALL,$DF268,42)&amp;"","")&amp;"␟"&amp;IFERROR(INDEX(PASTE_ALL,$DF268,43)&amp;"","")&amp;"␟"&amp;IFERROR(INDEX(PASTE_ALL,$DF268,44)&amp;"","")&amp;"␟"&amp;IFERROR(INDEX(PASTE_ALL,$DF268,45)&amp;"","")&amp;"␟"&amp;IFERROR(INDEX(PASTE_ALL,$DF268,46)&amp;"","")&amp;"␟"&amp;IFERROR(INDEX(PASTE_ALL,$DF268,47)&amp;"","")&amp;"␟"&amp;IFERROR(INDEX(PASTE_ALL,$DF268,48)&amp;"","")&amp;"␟"&amp;IFERROR(INDEX(PASTE_ALL,$DF268,49)&amp;"","")&amp;"␟"&amp;IFERROR(INDEX(PASTE_ALL,$DF268,50)&amp;"","")&amp;"␟"&amp;IFERROR(INDEX(PASTE_ALL,$DF268,51)&amp;"","")&amp;"␟"&amp;IFERROR(INDEX(PASTE_ALL,$DF268,52)&amp;"","")&amp;"␟"&amp;IFERROR(INDEX(PASTE_ALL,$DF268,53)&amp;"","")&amp;"␟"&amp;IFERROR(INDEX(PASTE_ALL,$DF268,54)&amp;"","")&amp;"␟"&amp;IFERROR(INDEX(PASTE_ALL,$DF268,55)&amp;"","")&amp;"␟"&amp;IFERROR(INDEX(PASTE_ALL,$DF268,56)&amp;"","")&amp;"␟"&amp;IFERROR(INDEX(PASTE_ALL,$DF268,57)&amp;"","")&amp;"␟"&amp;IFERROR(INDEX(PASTE_ALL,$DF268,58)&amp;"","")&amp;"␟"&amp;IFERROR(INDEX(PASTE_ALL,$DF268,59)&amp;"","")&amp;"␟"&amp;IFERROR(INDEX(PASTE_ALL,$DF268,60)&amp;"","")," "," "),CHAR(9)," "),CHAR(10)," "),CHAR(13)," "))," ␟","␟"),"␟ ","␟"),"#"&amp;$DE268),"")</f>
        <v/>
      </c>
      <c r="DJ268">
        <f>IF($DI268="",0,IF(SUMPRODUCT(--EXACT($DI$4:DI267,$DI268))&gt;0,1,0))</f>
        <v/>
      </c>
      <c r="DK268">
        <f>IF(AND($DI268&lt;&gt;"",$DJ268=0),1,0)</f>
        <v/>
      </c>
      <c r="DL268">
        <f>DL267+$DK268</f>
        <v/>
      </c>
      <c r="DM268">
        <f>IF(AND($DK268=1,$DL268&lt;=600),1,0)</f>
        <v/>
      </c>
      <c r="DN268">
        <f>IF($DM268=0,"",IF($L$6=0,"",IFERROR(IF(ISNUMBER(INDEX(PASTE_ALL,$DF268,$L$6)),INDEX(PASTE_ALL,$DF268,$L$6),TRIM(SUBSTITUTE(SUBSTITUTE(SUBSTITUTE(SUBSTITUTE(INDEX(PASTE_ALL,$DF268,$L$6)," "," "),CHAR(9)," "),CHAR(10)," "),CHAR(13)," "))),"")))</f>
        <v/>
      </c>
      <c r="DO268">
        <f>IF($DM268=0,"",IF($L$7=0,"",IFERROR(IF(ISNUMBER(INDEX(PASTE_ALL,$DF268,$L$7)),INDEX(PASTE_ALL,$DF268,$L$7),TRIM(SUBSTITUTE(SUBSTITUTE(SUBSTITUTE(SUBSTITUTE(INDEX(PASTE_ALL,$DF268,$L$7)," "," "),CHAR(9)," "),CHAR(10)," "),CHAR(13)," "))),"")))</f>
        <v/>
      </c>
      <c r="DP268">
        <f>IF($DM268=0,"",IF($L$8=0,"",IFERROR(IF(ISNUMBER(INDEX(PASTE_ALL,$DF268,$L$8)),INDEX(PASTE_ALL,$DF268,$L$8),TRIM(SUBSTITUTE(SUBSTITUTE(SUBSTITUTE(SUBSTITUTE(INDEX(PASTE_ALL,$DF268,$L$8)," "," "),CHAR(9)," "),CHAR(10)," "),CHAR(13)," "))),"")))</f>
        <v/>
      </c>
      <c r="DQ268">
        <f>IF($DM268=0,"",IF($L$9=0,"",IFERROR(IF(ISNUMBER(INDEX(PASTE_ALL,$DF268,$L$9)),INDEX(PASTE_ALL,$DF268,$L$9),TRIM(SUBSTITUTE(SUBSTITUTE(SUBSTITUTE(SUBSTITUTE(INDEX(PASTE_ALL,$DF268,$L$9)," "," "),CHAR(9)," "),CHAR(10)," "),CHAR(13)," "))),"")))</f>
        <v/>
      </c>
      <c r="DR268">
        <f>IF($DM268=0,"",IF($L$10=0,"",IFERROR(IF(ISNUMBER(INDEX(PASTE_ALL,$DF268,$L$10)),INDEX(PASTE_ALL,$DF268,$L$10),TRIM(SUBSTITUTE(SUBSTITUTE(SUBSTITUTE(SUBSTITUTE(INDEX(PASTE_ALL,$DF268,$L$10)," "," "),CHAR(9)," "),CHAR(10)," "),CHAR(13)," "))),"")))</f>
        <v/>
      </c>
      <c r="DS268">
        <f>IF($DM268=0,"",IF($L$11=0,"",IFERROR(IF(ISNUMBER(INDEX(PASTE_ALL,$DF268,$L$11)),INDEX(PASTE_ALL,$DF268,$L$11),TRIM(SUBSTITUTE(SUBSTITUTE(SUBSTITUTE(SUBSTITUTE(INDEX(PASTE_ALL,$DF268,$L$11)," "," "),CHAR(9)," "),CHAR(10)," "),CHAR(13)," "))),"")))</f>
        <v/>
      </c>
      <c r="DT268">
        <f>IF($DM268=0,"",IF($L$12=0,"",IFERROR(IF(ISNUMBER(INDEX(PASTE_ALL,$DF268,$L$12)),INDEX(PASTE_ALL,$DF268,$L$12),TRIM(SUBSTITUTE(SUBSTITUTE(SUBSTITUTE(SUBSTITUTE(INDEX(PASTE_ALL,$DF268,$L$12)," "," "),CHAR(9)," "),CHAR(10)," "),CHAR(13)," "))),"")))</f>
        <v/>
      </c>
      <c r="DU268">
        <f>IF($DM268=0,"",IF($L$13=0,"",IFERROR(IF(ISNUMBER(INDEX(PASTE_ALL,$DF268,$L$13)),INDEX(PASTE_ALL,$DF268,$L$13),TRIM(SUBSTITUTE(SUBSTITUTE(SUBSTITUTE(SUBSTITUTE(INDEX(PASTE_ALL,$DF268,$L$13)," "," "),CHAR(9)," "),CHAR(10)," "),CHAR(13)," "))),"")))</f>
        <v/>
      </c>
      <c r="DV268">
        <f>IF($DM268=0,"",IF($L$14=0,"",IFERROR(IF(ISNUMBER(INDEX(PASTE_ALL,$DF268,$L$14)),INDEX(PASTE_ALL,$DF268,$L$14),TRIM(SUBSTITUTE(SUBSTITUTE(SUBSTITUTE(SUBSTITUTE(INDEX(PASTE_ALL,$DF268,$L$14)," "," "),CHAR(9)," "),CHAR(10)," "),CHAR(13)," "))),"")))</f>
        <v/>
      </c>
      <c r="DW268">
        <f>IF($DM268=0,"",IF($L$15=0,"",IFERROR(IF(ISNUMBER(INDEX(PASTE_ALL,$DF268,$L$15)),INDEX(PASTE_ALL,$DF268,$L$15),IF(SUMPRODUCT(--ISNUMBER(FIND({"A","B","C","D","E","F","G","H","I","J","K","L","M","N","O","P","Q","R","S","T","U","V","W","X","Y","Z","0","1","2","3","4","5","6","7","8","9"},UPPER(TRIM(SUBSTITUTE(SUBSTITUTE(SUBSTITUTE(SUBSTITUTE(INDEX(PASTE_ALL,$DF268,$L$15)," "," "),CHAR(9)," "),CHAR(10)," "),CHAR(13)," "))))))&gt;0,TRIM(SUBSTITUTE(SUBSTITUTE(SUBSTITUTE(SUBSTITUTE(INDEX(PASTE_ALL,$DF268,$L$15)," "," "),CHAR(9)," "),CHAR(10)," "),CHAR(13)," ")),"")),"")))</f>
        <v/>
      </c>
      <c r="DX268">
        <f>IF($DM268=0,"",IF($L$16=0,"",IFERROR(IF(ISNUMBER(INDEX(PASTE_ALL,$DF268,$L$16)),INDEX(PASTE_ALL,$DF268,$L$16),SUBSTITUTE(SUBSTITUTE(TRIM(SUBSTITUTE(SUBSTITUTE(SUBSTITUTE(SUBSTITUTE(INDEX(PASTE_ALL,$DF268,$L$16)," "," "),CHAR(9)," "),CHAR(10)," "),CHAR(13)," ")),",",""),"%","")),"")))</f>
        <v/>
      </c>
      <c r="DY268">
        <f>IF($DM268=0,"",IFERROR(IF(ISNUMBER($DX268),$DX268,IF($DX268="","",IF(TRIM($DX268)="",0,IF(AND(AND(SUBSTITUTE(SUBSTITUTE(SUBSTITUTE(SUBSTITUTE(SUBSTITUTE(SUBSTITUTE(SUBSTITUTE(SUBSTITUTE(SUBSTITUTE(SUBSTITUTE(SUBSTITUTE(SUBSTITUTE(SUBSTITUTE(SUBSTITUTE(UPPER(TRIM($DX268)),"0",""),"1",""),"2",""),"3",""),"4",""),"5",""),"6",""),"7",""),"8",""),"9",""),".",""),"+",""),"-",""),"E","")="",LEN(SUBSTITUTE(SUBSTITUTE(MID(UPPER(TRIM($DX268)),1+OR(LEFT(UPPER(TRIM($DX268)),1)="+",LEFT(UPPER(TRIM($DX268)),1)="-"),999),"E+","E"),"E-","E"))=LEN(SUBSTITUTE(SUBSTITUTE(SUBSTITUTE(SUBSTITUTE(MID(UPPER(TRIM($DX268)),1+OR(LEFT(UPPER(TRIM($DX268)),1)="+",LEFT(UPPER(TRIM($DX268)),1)="-"),999),"E+","E"),"E-","E"),"+",""),"-","")),LEN(UPPER(TRIM($DX268)))-LEN(SUBSTITUTE(UPPER(TRIM($DX268)),"E",""))&lt;2,LEN(UPPER(TRIM($DX268)))-LEN(SUBSTITUTE(UPPER(TRIM($DX268)),".",""))&lt;2,IFERROR(FIND(".",UPPER(TRIM($DX268))),0)&lt;IFERROR(FIND("E",UPPER(TRIM($DX268))),999)),ISNUMBER(VALUE(TRIM($DX268)))),VALUE(TRIM($DX268)),"")))),""))</f>
        <v/>
      </c>
      <c r="DZ268">
        <f>IF($DM268=0,"",IF($L$17=0,"",IFERROR(IF(ISNUMBER(INDEX(PASTE_ALL,$DF268,$L$17)),INDEX(PASTE_ALL,$DF268,$L$17),SUBSTITUTE(SUBSTITUTE(TRIM(SUBSTITUTE(SUBSTITUTE(SUBSTITUTE(SUBSTITUTE(INDEX(PASTE_ALL,$DF268,$L$17)," "," "),CHAR(9)," "),CHAR(10)," "),CHAR(13)," ")),",",""),"%","")),"")))</f>
        <v/>
      </c>
      <c r="EA268">
        <f>IF($DM268=0,"",IFERROR(IF(ISNUMBER($DZ268),$DZ268,IF($DZ268="","",IF(TRIM($DZ268)="",0,IF(AND(AND(SUBSTITUTE(SUBSTITUTE(SUBSTITUTE(SUBSTITUTE(SUBSTITUTE(SUBSTITUTE(SUBSTITUTE(SUBSTITUTE(SUBSTITUTE(SUBSTITUTE(SUBSTITUTE(SUBSTITUTE(SUBSTITUTE(SUBSTITUTE(UPPER(TRIM($DZ268)),"0",""),"1",""),"2",""),"3",""),"4",""),"5",""),"6",""),"7",""),"8",""),"9",""),".",""),"+",""),"-",""),"E","")="",LEN(SUBSTITUTE(SUBSTITUTE(MID(UPPER(TRIM($DZ268)),1+OR(LEFT(UPPER(TRIM($DZ268)),1)="+",LEFT(UPPER(TRIM($DZ268)),1)="-"),999),"E+","E"),"E-","E"))=LEN(SUBSTITUTE(SUBSTITUTE(SUBSTITUTE(SUBSTITUTE(MID(UPPER(TRIM($DZ268)),1+OR(LEFT(UPPER(TRIM($DZ268)),1)="+",LEFT(UPPER(TRIM($DZ268)),1)="-"),999),"E+","E"),"E-","E"),"+",""),"-","")),LEN(UPPER(TRIM($DZ268)))-LEN(SUBSTITUTE(UPPER(TRIM($DZ268)),"E",""))&lt;2,LEN(UPPER(TRIM($DZ268)))-LEN(SUBSTITUTE(UPPER(TRIM($DZ268)),".",""))&lt;2,IFERROR(FIND(".",UPPER(TRIM($DZ268))),0)&lt;IFERROR(FIND("E",UPPER(TRIM($DZ268))),999)),ISNUMBER(VALUE(TRIM($DZ268)))),VALUE(TRIM($DZ268)),"")))),""))</f>
        <v/>
      </c>
      <c r="EB268">
        <f>IF($DM268=0,"",IF($L$18=0,"",IFERROR(IF(UPPER(TRIM(SUBSTITUTE(SUBSTITUTE(SUBSTITUTE(SUBSTITUTE(INDEX(PASTE_ALL,$DF268,$L$18)," "," "),CHAR(9)," "),CHAR(10)," "),CHAR(13)," ")))="READY","Ready",IF(UPPER(TRIM(SUBSTITUTE(SUBSTITUTE(SUBSTITUTE(SUBSTITUTE(INDEX(PASTE_ALL,$DF268,$L$18)," "," "),CHAR(9)," "),CHAR(10)," "),CHAR(13)," ")))="PM","PM",IF(OR(UPPER(TRIM(SUBSTITUTE(SUBSTITUTE(SUBSTITUTE(SUBSTITUTE(INDEX(PASTE_ALL,$DF268,$L$18)," "," "),CHAR(9)," "),CHAR(10)," "),CHAR(13)," ")))="OT",UPPER(TRIM(SUBSTITUTE(SUBSTITUTE(SUBSTITUTE(SUBSTITUTE(INDEX(PASTE_ALL,$DF268,$L$18)," "," "),CHAR(9)," "),CHAR(10)," "),CHAR(13)," ")))="OVERTIME",UPPER(TRIM(SUBSTITUTE(SUBSTITUTE(SUBSTITUTE(SUBSTITUTE(INDEX(PASTE_ALL,$DF268,$L$18)," "," "),CHAR(9)," "),CHAR(10)," "),CHAR(13)," ")))="TRIAL"),"OT",TRIM(SUBSTITUTE(SUBSTITUTE(SUBSTITUTE(SUBSTITUTE(INDEX(PASTE_ALL,$DF268,$L$18)," "," "),CHAR(9)," "),CHAR(10)," "),CHAR(13)," "))))),"")))</f>
        <v/>
      </c>
      <c r="EC268">
        <f>IF($DM268=0,"",IF($L$19=0,"",IFERROR(IF(ISNUMBER(INDEX(PASTE_ALL,$DF268,$L$19)),INDEX(PASTE_ALL,$DF268,$L$19),TRIM(SUBSTITUTE(SUBSTITUTE(SUBSTITUTE(SUBSTITUTE(INDEX(PASTE_ALL,$DF268,$L$19)," "," "),CHAR(9)," "),CHAR(10)," "),CHAR(13)," "))),"")))</f>
        <v/>
      </c>
      <c r="ED268">
        <f>IF($DM268=0,"",MATCH(1,INDEX(EXACT($DH$5:DH268,$DH268)*$DM$5:DM268,0),0))</f>
        <v/>
      </c>
      <c r="EE268">
        <f>IF($DM268=0,0,IF($ED268=$DE268,1,0))</f>
        <v/>
      </c>
      <c r="EF268">
        <f>EF267+$EE268</f>
        <v/>
      </c>
      <c r="EG268">
        <f>IF($DM268=0,"",INDEX($EF$5:$EF$1003,$ED268))</f>
        <v/>
      </c>
      <c r="EH268">
        <f>IF($DM268=0,"",IF($DO268&lt;&gt;"","",IFERROR(LOOKUP(2,1/(($EG$4:EG267=$EG268)*($DO$4:DO267&lt;&gt;"")),$DO$4:DO267),"")))</f>
        <v/>
      </c>
      <c r="EI268">
        <f>IF($DM268=0,"",IF($DO268&lt;&gt;"",$DO268,$EH268))</f>
        <v/>
      </c>
      <c r="EJ268">
        <f>IF($DM268=0,"",IF($EI268="",0,IF(OR(ISNUMBER($EI268),AND(AND(SUBSTITUTE(SUBSTITUTE(SUBSTITUTE(SUBSTITUTE(SUBSTITUTE(SUBSTITUTE(SUBSTITUTE(SUBSTITUTE(SUBSTITUTE(SUBSTITUTE(SUBSTITUTE(SUBSTITUTE(SUBSTITUTE(SUBSTITUTE(UPPER($EI268),"0",""),"1",""),"2",""),"3",""),"4",""),"5",""),"6",""),"7",""),"8",""),"9",""),".",""),"+",""),"-",""),"E","")="",LEN(SUBSTITUTE(SUBSTITUTE(MID(UPPER($EI268),1+OR(LEFT(UPPER($EI268),1)="+",LEFT(UPPER($EI268),1)="-"),999),"E+","E"),"E-","E"))=LEN(SUBSTITUTE(SUBSTITUTE(SUBSTITUTE(SUBSTITUTE(MID(UPPER($EI268),1+OR(LEFT(UPPER($EI268),1)="+",LEFT(UPPER($EI268),1)="-"),999),"E+","E"),"E-","E"),"+",""),"-","")),LEN(UPPER($EI268))-LEN(SUBSTITUTE(UPPER($EI268),"E",""))&lt;2,LEN(UPPER($EI268))-LEN(SUBSTITUTE(UPPER($EI268),".",""))&lt;2,IFERROR(FIND(".",UPPER($EI268)),0)&lt;IFERROR(FIND("E",UPPER($EI268)),999)),ISNUMBER(VALUE($EI268)))),1,2)))</f>
        <v/>
      </c>
      <c r="EK268">
        <f>IF($DM268=0,"",IF($EJ268=1,IF(ISNUMBER($EI268),$EI268,VALUE($EI268)),IF($EJ268=2,$DE268,0)))</f>
        <v/>
      </c>
      <c r="EL268">
        <f>IF($DM268=0,"",COUNTIF($EG$5:$EG$1003,"&lt;"&amp;$EG268)+SUMPRODUCT(($EG$5:$EG$1003=$EG268)*(($EJ$5:$EJ$1003&lt;$EJ268)+($EJ$5:$EJ$1003=$EJ268)*(($EK$5:$EK$1003&lt;$EK268)+($EK$5:$EK$1003=$EK268)*($DE$5:$DE$1003&lt;$DE268))))+1)</f>
        <v/>
      </c>
      <c r="EM268">
        <f>IF($DM268=0,"",$EL268+$EG268-1)</f>
        <v/>
      </c>
      <c r="EN268">
        <f>IF($DM268=0,0,IFERROR(MATCH(1,INDEX(--(TRIM(SUBSTITUTE(SUBSTITUTE(SUBSTITUTE(SUBSTITUTE(LINES_NAME&amp;""," "," "),CHAR(9)," "),CHAR(10)," "),CHAR(13)," "))=$DH268),0),0),0))</f>
        <v/>
      </c>
      <c r="EO268">
        <f>IF($EN268=0,0,IF(OR(UPPER(TRIM(INDEX(LINES_SCHEDULED,$EN268)&amp;""))="YES",UPPER(TRIM(INDEX(LINES_SCHEDULED,$EN268)&amp;""))="Y",UPPER(TRIM(INDEX(LINES_SCHEDULED,$EN268)&amp;""))="X"),1,0))</f>
        <v/>
      </c>
      <c r="EP268">
        <f>IF($DM268=0,"",IF(COUNTIFS($EG$5:$EG$1003,$EG268,$EB$5:$EB$1003,"Ready")&gt;0,"READY",IF(COUNTIFS($EG$5:$EG$1003,$EG268,$EB$5:$EB$1003,"PM")&gt;0,"PM",IF(COUNTIFS($EG$5:$EG$1003,$EG268,$EB$5:$EB$1003,"OT")&gt;0,"OT",""))))</f>
        <v/>
      </c>
      <c r="EQ268">
        <f>IF($EN268=0,"",UPPER(TRIM(INDEX(LINES_STATUS,$EN268)&amp;"")))</f>
        <v/>
      </c>
      <c r="ER268">
        <f>IF($DM268=0,"",IF(OR($EQ268="READY",$EQ268="PM",$EQ268="OT"),$EQ268,$EP268))</f>
        <v/>
      </c>
      <c r="ES268">
        <f>IF($DM268=0,"",IF(AND($DV268&lt;&gt;"",UPPER($DV268)&lt;&gt;"N"),"allergen",IF(ISNUMBER(SEARCH("oil",$DQ268)),"oil",IF(OR(EXACT($DS268,"A662"),EXACT($DS268,"A624")),"bulk",""))))</f>
        <v/>
      </c>
      <c r="ET268">
        <f>IF($DM268=0,"",IF(OR($EA268="",$EA268=0),"",$EA268/100))</f>
        <v/>
      </c>
      <c r="EU268">
        <f>IF(OR($ET268="",$DY268=""),"",INT($DY268*(1-$ET268)+0.5))</f>
        <v/>
      </c>
      <c r="EW268" t="n">
        <v>264</v>
      </c>
      <c r="EX268">
        <f>IFERROR(MATCH($EW268,$EM$5:$EM$1003,0),0)</f>
        <v/>
      </c>
      <c r="EY268">
        <f>IF($EW268&gt;$B$12,"",IF($EX268&gt;0,"row","spacer"))</f>
        <v/>
      </c>
      <c r="EZ268">
        <f>IF(AND($EY268="row",$EY267&lt;&gt;"row"),1,0)</f>
        <v/>
      </c>
      <c r="FA268">
        <f>IF(AND($EY268="row",$EY269&lt;&gt;"row"),1,0)</f>
        <v/>
      </c>
      <c r="FB268">
        <f>IF($EZ268=1,IFERROR(IF(ISNUMBER(INDEX(PASTE_ALL,INDEX($DF$5:$DF$1003,$EX268),$B$37)),INDEX(PASTE_ALL,INDEX($DF$5:$DF$1003,$EX268),$B$37),INDEX($DH$5:$DH$1003,$EX268)),INDEX($DH$5:$DH$1003,$EX268)),"")</f>
        <v/>
      </c>
      <c r="FC268">
        <f>IF($EY268="row",INDEX($ER$5:$ER$1003,$EX268),"")</f>
        <v/>
      </c>
      <c r="FD268">
        <f>IF($EY268="row",INDEX($DN$5:$DN$1003,$EX268),"")</f>
        <v/>
      </c>
      <c r="FE268">
        <f>IF($EY268="row",INDEX($DO$5:$DO$1003,$EX268),"")</f>
        <v/>
      </c>
      <c r="FF268">
        <f>IF($EY268="row",INDEX($DP$5:$DP$1003,$EX268),"")</f>
        <v/>
      </c>
      <c r="FG268">
        <f>IF($EY268="row",INDEX($DQ$5:$DQ$1003,$EX268),"")</f>
        <v/>
      </c>
      <c r="FH268">
        <f>IF($EY268="row",INDEX($DR$5:$DR$1003,$EX268),"")</f>
        <v/>
      </c>
      <c r="FI268">
        <f>IF($EY268="row",INDEX($DS$5:$DS$1003,$EX268),"")</f>
        <v/>
      </c>
      <c r="FJ268">
        <f>IF($EY268="row",INDEX($DT$5:$DT$1003,$EX268),"")</f>
        <v/>
      </c>
      <c r="FK268">
        <f>IF($EY268="row",INDEX($DU$5:$DU$1003,$EX268),"")</f>
        <v/>
      </c>
      <c r="FL268">
        <f>IF($EY268="row",INDEX($DV$5:$DV$1003,$EX268),"")</f>
        <v/>
      </c>
      <c r="FM268">
        <f>IF($EY268="row",INDEX($DW$5:$DW$1003,$EX268),"")</f>
        <v/>
      </c>
      <c r="FN268">
        <f>IF($EY268="row",INDEX($DY$5:$DY$1003,$EX268),"")</f>
        <v/>
      </c>
      <c r="FO268">
        <f>IF($EY268="row",INDEX($EA$5:$EA$1003,$EX268),"")</f>
        <v/>
      </c>
      <c r="FP268">
        <f>IF($EY268="row",INDEX($EC$5:$EC$1003,$EX268),"")</f>
        <v/>
      </c>
      <c r="FQ268">
        <f>IF($EY268="row",INDEX($ET$5:$ET$1003,$EX268),"")</f>
        <v/>
      </c>
      <c r="FR268">
        <f>IF($EY268="row",INDEX($EU$5:$EU$1003,$EX268),"")</f>
        <v/>
      </c>
      <c r="FS268">
        <f>IF(AND($EY268="row",$EY267="row"),IF(OR(INDEX($DT$5:$DT$1003,$EX267)="",INDEX($DT$5:$DT$1003,$EX268)=""),"",IF(NOT(EXACT(INDEX($DT$5:$DT$1003,$EX267),INDEX($DT$5:$DT$1003,$EX268))),"S4",IF(NOT(EXACT(INDEX($DS$5:$DS$1003,$EX267),INDEX($DS$5:$DS$1003,$EX268))),"S3",IF(NOT(EXACT(INDEX($DR$5:$DR$1003,$EX267),INDEX($DR$5:$DR$1003,$EX268))),"S1 Count Change","S1")))),"")</f>
        <v/>
      </c>
      <c r="FT268">
        <f>IF($EY268="row",INDEX($ES$5:$ES$1003,$EX268),"")</f>
        <v/>
      </c>
      <c r="FU268">
        <f>IF($EY268="row",INDEX($EO$5:$EO$1003,$EX268),0)</f>
        <v/>
      </c>
      <c r="FV268">
        <f>IF($FS268="S1 Count Change",1,0)</f>
        <v/>
      </c>
    </row>
    <row r="269">
      <c r="DA269" t="n">
        <v>265</v>
      </c>
      <c r="DB269">
        <f>IF($B$37=0,"",IFERROR(TRIM(SUBSTITUTE(SUBSTITUTE(SUBSTITUTE(SUBSTITUTE(INDEX(PASTE_ALL,265,$B$37)," "," "),CHAR(9)," "),CHAR(10)," "),CHAR(13)," ")),""))</f>
        <v/>
      </c>
      <c r="DC269">
        <f>IF(AND(265&gt;HEADER_ROW,UPPER(DB269)="LEGEND"),1,0)</f>
        <v/>
      </c>
      <c r="DE269" t="n">
        <v>265</v>
      </c>
      <c r="DF269">
        <f>HEADER_ROW+$DE269</f>
        <v/>
      </c>
      <c r="DG269">
        <f>IF(AND($DF269&lt;=1000,$DF269&lt;$B$8),1,0)</f>
        <v/>
      </c>
      <c r="DH269">
        <f>IF($DG269=1,IFERROR(INDEX($DB$5:$DB$1004,$DF269),""),"")</f>
        <v/>
      </c>
      <c r="DI269">
        <f>IF(AND($DG269=1,$DH269&lt;&gt;""),IFERROR(SUBSTITUTE(SUBSTITUTE(TRIM(SUBSTITUTE(SUBSTITUTE(SUBSTITUTE(SUBSTITUTE(IFERROR(INDEX(PASTE_ALL,$DF269,1)&amp;"","")&amp;"␟"&amp;IFERROR(INDEX(PASTE_ALL,$DF269,2)&amp;"","")&amp;"␟"&amp;IFERROR(INDEX(PASTE_ALL,$DF269,3)&amp;"","")&amp;"␟"&amp;IFERROR(INDEX(PASTE_ALL,$DF269,4)&amp;"","")&amp;"␟"&amp;IFERROR(INDEX(PASTE_ALL,$DF269,5)&amp;"","")&amp;"␟"&amp;IFERROR(INDEX(PASTE_ALL,$DF269,6)&amp;"","")&amp;"␟"&amp;IFERROR(INDEX(PASTE_ALL,$DF269,7)&amp;"","")&amp;"␟"&amp;IFERROR(INDEX(PASTE_ALL,$DF269,8)&amp;"","")&amp;"␟"&amp;IFERROR(INDEX(PASTE_ALL,$DF269,9)&amp;"","")&amp;"␟"&amp;IFERROR(INDEX(PASTE_ALL,$DF269,10)&amp;"","")&amp;"␟"&amp;IFERROR(INDEX(PASTE_ALL,$DF269,11)&amp;"","")&amp;"␟"&amp;IFERROR(INDEX(PASTE_ALL,$DF269,12)&amp;"","")&amp;"␟"&amp;IFERROR(INDEX(PASTE_ALL,$DF269,13)&amp;"","")&amp;"␟"&amp;IFERROR(INDEX(PASTE_ALL,$DF269,14)&amp;"","")&amp;"␟"&amp;IFERROR(INDEX(PASTE_ALL,$DF269,15)&amp;"","")&amp;"␟"&amp;IFERROR(INDEX(PASTE_ALL,$DF269,16)&amp;"","")&amp;"␟"&amp;IFERROR(INDEX(PASTE_ALL,$DF269,17)&amp;"","")&amp;"␟"&amp;IFERROR(INDEX(PASTE_ALL,$DF269,18)&amp;"","")&amp;"␟"&amp;IFERROR(INDEX(PASTE_ALL,$DF269,19)&amp;"","")&amp;"␟"&amp;IFERROR(INDEX(PASTE_ALL,$DF269,20)&amp;"","")&amp;"␟"&amp;IFERROR(INDEX(PASTE_ALL,$DF269,21)&amp;"","")&amp;"␟"&amp;IFERROR(INDEX(PASTE_ALL,$DF269,22)&amp;"","")&amp;"␟"&amp;IFERROR(INDEX(PASTE_ALL,$DF269,23)&amp;"","")&amp;"␟"&amp;IFERROR(INDEX(PASTE_ALL,$DF269,24)&amp;"","")&amp;"␟"&amp;IFERROR(INDEX(PASTE_ALL,$DF269,25)&amp;"","")&amp;"␟"&amp;IFERROR(INDEX(PASTE_ALL,$DF269,26)&amp;"","")&amp;"␟"&amp;IFERROR(INDEX(PASTE_ALL,$DF269,27)&amp;"","")&amp;"␟"&amp;IFERROR(INDEX(PASTE_ALL,$DF269,28)&amp;"","")&amp;"␟"&amp;IFERROR(INDEX(PASTE_ALL,$DF269,29)&amp;"","")&amp;"␟"&amp;IFERROR(INDEX(PASTE_ALL,$DF269,30)&amp;"","")&amp;"␟"&amp;IFERROR(INDEX(PASTE_ALL,$DF269,31)&amp;"","")&amp;"␟"&amp;IFERROR(INDEX(PASTE_ALL,$DF269,32)&amp;"","")&amp;"␟"&amp;IFERROR(INDEX(PASTE_ALL,$DF269,33)&amp;"","")&amp;"␟"&amp;IFERROR(INDEX(PASTE_ALL,$DF269,34)&amp;"","")&amp;"␟"&amp;IFERROR(INDEX(PASTE_ALL,$DF269,35)&amp;"","")&amp;"␟"&amp;IFERROR(INDEX(PASTE_ALL,$DF269,36)&amp;"","")&amp;"␟"&amp;IFERROR(INDEX(PASTE_ALL,$DF269,37)&amp;"","")&amp;"␟"&amp;IFERROR(INDEX(PASTE_ALL,$DF269,38)&amp;"","")&amp;"␟"&amp;IFERROR(INDEX(PASTE_ALL,$DF269,39)&amp;"","")&amp;"␟"&amp;IFERROR(INDEX(PASTE_ALL,$DF269,40)&amp;"","")&amp;"␟"&amp;IFERROR(INDEX(PASTE_ALL,$DF269,41)&amp;"","")&amp;"␟"&amp;IFERROR(INDEX(PASTE_ALL,$DF269,42)&amp;"","")&amp;"␟"&amp;IFERROR(INDEX(PASTE_ALL,$DF269,43)&amp;"","")&amp;"␟"&amp;IFERROR(INDEX(PASTE_ALL,$DF269,44)&amp;"","")&amp;"␟"&amp;IFERROR(INDEX(PASTE_ALL,$DF269,45)&amp;"","")&amp;"␟"&amp;IFERROR(INDEX(PASTE_ALL,$DF269,46)&amp;"","")&amp;"␟"&amp;IFERROR(INDEX(PASTE_ALL,$DF269,47)&amp;"","")&amp;"␟"&amp;IFERROR(INDEX(PASTE_ALL,$DF269,48)&amp;"","")&amp;"␟"&amp;IFERROR(INDEX(PASTE_ALL,$DF269,49)&amp;"","")&amp;"␟"&amp;IFERROR(INDEX(PASTE_ALL,$DF269,50)&amp;"","")&amp;"␟"&amp;IFERROR(INDEX(PASTE_ALL,$DF269,51)&amp;"","")&amp;"␟"&amp;IFERROR(INDEX(PASTE_ALL,$DF269,52)&amp;"","")&amp;"␟"&amp;IFERROR(INDEX(PASTE_ALL,$DF269,53)&amp;"","")&amp;"␟"&amp;IFERROR(INDEX(PASTE_ALL,$DF269,54)&amp;"","")&amp;"␟"&amp;IFERROR(INDEX(PASTE_ALL,$DF269,55)&amp;"","")&amp;"␟"&amp;IFERROR(INDEX(PASTE_ALL,$DF269,56)&amp;"","")&amp;"␟"&amp;IFERROR(INDEX(PASTE_ALL,$DF269,57)&amp;"","")&amp;"␟"&amp;IFERROR(INDEX(PASTE_ALL,$DF269,58)&amp;"","")&amp;"␟"&amp;IFERROR(INDEX(PASTE_ALL,$DF269,59)&amp;"","")&amp;"␟"&amp;IFERROR(INDEX(PASTE_ALL,$DF269,60)&amp;"","")," "," "),CHAR(9)," "),CHAR(10)," "),CHAR(13)," "))," ␟","␟"),"␟ ","␟"),"#"&amp;$DE269),"")</f>
        <v/>
      </c>
      <c r="DJ269">
        <f>IF($DI269="",0,IF(SUMPRODUCT(--EXACT($DI$4:DI268,$DI269))&gt;0,1,0))</f>
        <v/>
      </c>
      <c r="DK269">
        <f>IF(AND($DI269&lt;&gt;"",$DJ269=0),1,0)</f>
        <v/>
      </c>
      <c r="DL269">
        <f>DL268+$DK269</f>
        <v/>
      </c>
      <c r="DM269">
        <f>IF(AND($DK269=1,$DL269&lt;=600),1,0)</f>
        <v/>
      </c>
      <c r="DN269">
        <f>IF($DM269=0,"",IF($L$6=0,"",IFERROR(IF(ISNUMBER(INDEX(PASTE_ALL,$DF269,$L$6)),INDEX(PASTE_ALL,$DF269,$L$6),TRIM(SUBSTITUTE(SUBSTITUTE(SUBSTITUTE(SUBSTITUTE(INDEX(PASTE_ALL,$DF269,$L$6)," "," "),CHAR(9)," "),CHAR(10)," "),CHAR(13)," "))),"")))</f>
        <v/>
      </c>
      <c r="DO269">
        <f>IF($DM269=0,"",IF($L$7=0,"",IFERROR(IF(ISNUMBER(INDEX(PASTE_ALL,$DF269,$L$7)),INDEX(PASTE_ALL,$DF269,$L$7),TRIM(SUBSTITUTE(SUBSTITUTE(SUBSTITUTE(SUBSTITUTE(INDEX(PASTE_ALL,$DF269,$L$7)," "," "),CHAR(9)," "),CHAR(10)," "),CHAR(13)," "))),"")))</f>
        <v/>
      </c>
      <c r="DP269">
        <f>IF($DM269=0,"",IF($L$8=0,"",IFERROR(IF(ISNUMBER(INDEX(PASTE_ALL,$DF269,$L$8)),INDEX(PASTE_ALL,$DF269,$L$8),TRIM(SUBSTITUTE(SUBSTITUTE(SUBSTITUTE(SUBSTITUTE(INDEX(PASTE_ALL,$DF269,$L$8)," "," "),CHAR(9)," "),CHAR(10)," "),CHAR(13)," "))),"")))</f>
        <v/>
      </c>
      <c r="DQ269">
        <f>IF($DM269=0,"",IF($L$9=0,"",IFERROR(IF(ISNUMBER(INDEX(PASTE_ALL,$DF269,$L$9)),INDEX(PASTE_ALL,$DF269,$L$9),TRIM(SUBSTITUTE(SUBSTITUTE(SUBSTITUTE(SUBSTITUTE(INDEX(PASTE_ALL,$DF269,$L$9)," "," "),CHAR(9)," "),CHAR(10)," "),CHAR(13)," "))),"")))</f>
        <v/>
      </c>
      <c r="DR269">
        <f>IF($DM269=0,"",IF($L$10=0,"",IFERROR(IF(ISNUMBER(INDEX(PASTE_ALL,$DF269,$L$10)),INDEX(PASTE_ALL,$DF269,$L$10),TRIM(SUBSTITUTE(SUBSTITUTE(SUBSTITUTE(SUBSTITUTE(INDEX(PASTE_ALL,$DF269,$L$10)," "," "),CHAR(9)," "),CHAR(10)," "),CHAR(13)," "))),"")))</f>
        <v/>
      </c>
      <c r="DS269">
        <f>IF($DM269=0,"",IF($L$11=0,"",IFERROR(IF(ISNUMBER(INDEX(PASTE_ALL,$DF269,$L$11)),INDEX(PASTE_ALL,$DF269,$L$11),TRIM(SUBSTITUTE(SUBSTITUTE(SUBSTITUTE(SUBSTITUTE(INDEX(PASTE_ALL,$DF269,$L$11)," "," "),CHAR(9)," "),CHAR(10)," "),CHAR(13)," "))),"")))</f>
        <v/>
      </c>
      <c r="DT269">
        <f>IF($DM269=0,"",IF($L$12=0,"",IFERROR(IF(ISNUMBER(INDEX(PASTE_ALL,$DF269,$L$12)),INDEX(PASTE_ALL,$DF269,$L$12),TRIM(SUBSTITUTE(SUBSTITUTE(SUBSTITUTE(SUBSTITUTE(INDEX(PASTE_ALL,$DF269,$L$12)," "," "),CHAR(9)," "),CHAR(10)," "),CHAR(13)," "))),"")))</f>
        <v/>
      </c>
      <c r="DU269">
        <f>IF($DM269=0,"",IF($L$13=0,"",IFERROR(IF(ISNUMBER(INDEX(PASTE_ALL,$DF269,$L$13)),INDEX(PASTE_ALL,$DF269,$L$13),TRIM(SUBSTITUTE(SUBSTITUTE(SUBSTITUTE(SUBSTITUTE(INDEX(PASTE_ALL,$DF269,$L$13)," "," "),CHAR(9)," "),CHAR(10)," "),CHAR(13)," "))),"")))</f>
        <v/>
      </c>
      <c r="DV269">
        <f>IF($DM269=0,"",IF($L$14=0,"",IFERROR(IF(ISNUMBER(INDEX(PASTE_ALL,$DF269,$L$14)),INDEX(PASTE_ALL,$DF269,$L$14),TRIM(SUBSTITUTE(SUBSTITUTE(SUBSTITUTE(SUBSTITUTE(INDEX(PASTE_ALL,$DF269,$L$14)," "," "),CHAR(9)," "),CHAR(10)," "),CHAR(13)," "))),"")))</f>
        <v/>
      </c>
      <c r="DW269">
        <f>IF($DM269=0,"",IF($L$15=0,"",IFERROR(IF(ISNUMBER(INDEX(PASTE_ALL,$DF269,$L$15)),INDEX(PASTE_ALL,$DF269,$L$15),IF(SUMPRODUCT(--ISNUMBER(FIND({"A","B","C","D","E","F","G","H","I","J","K","L","M","N","O","P","Q","R","S","T","U","V","W","X","Y","Z","0","1","2","3","4","5","6","7","8","9"},UPPER(TRIM(SUBSTITUTE(SUBSTITUTE(SUBSTITUTE(SUBSTITUTE(INDEX(PASTE_ALL,$DF269,$L$15)," "," "),CHAR(9)," "),CHAR(10)," "),CHAR(13)," "))))))&gt;0,TRIM(SUBSTITUTE(SUBSTITUTE(SUBSTITUTE(SUBSTITUTE(INDEX(PASTE_ALL,$DF269,$L$15)," "," "),CHAR(9)," "),CHAR(10)," "),CHAR(13)," ")),"")),"")))</f>
        <v/>
      </c>
      <c r="DX269">
        <f>IF($DM269=0,"",IF($L$16=0,"",IFERROR(IF(ISNUMBER(INDEX(PASTE_ALL,$DF269,$L$16)),INDEX(PASTE_ALL,$DF269,$L$16),SUBSTITUTE(SUBSTITUTE(TRIM(SUBSTITUTE(SUBSTITUTE(SUBSTITUTE(SUBSTITUTE(INDEX(PASTE_ALL,$DF269,$L$16)," "," "),CHAR(9)," "),CHAR(10)," "),CHAR(13)," ")),",",""),"%","")),"")))</f>
        <v/>
      </c>
      <c r="DY269">
        <f>IF($DM269=0,"",IFERROR(IF(ISNUMBER($DX269),$DX269,IF($DX269="","",IF(TRIM($DX269)="",0,IF(AND(AND(SUBSTITUTE(SUBSTITUTE(SUBSTITUTE(SUBSTITUTE(SUBSTITUTE(SUBSTITUTE(SUBSTITUTE(SUBSTITUTE(SUBSTITUTE(SUBSTITUTE(SUBSTITUTE(SUBSTITUTE(SUBSTITUTE(SUBSTITUTE(UPPER(TRIM($DX269)),"0",""),"1",""),"2",""),"3",""),"4",""),"5",""),"6",""),"7",""),"8",""),"9",""),".",""),"+",""),"-",""),"E","")="",LEN(SUBSTITUTE(SUBSTITUTE(MID(UPPER(TRIM($DX269)),1+OR(LEFT(UPPER(TRIM($DX269)),1)="+",LEFT(UPPER(TRIM($DX269)),1)="-"),999),"E+","E"),"E-","E"))=LEN(SUBSTITUTE(SUBSTITUTE(SUBSTITUTE(SUBSTITUTE(MID(UPPER(TRIM($DX269)),1+OR(LEFT(UPPER(TRIM($DX269)),1)="+",LEFT(UPPER(TRIM($DX269)),1)="-"),999),"E+","E"),"E-","E"),"+",""),"-","")),LEN(UPPER(TRIM($DX269)))-LEN(SUBSTITUTE(UPPER(TRIM($DX269)),"E",""))&lt;2,LEN(UPPER(TRIM($DX269)))-LEN(SUBSTITUTE(UPPER(TRIM($DX269)),".",""))&lt;2,IFERROR(FIND(".",UPPER(TRIM($DX269))),0)&lt;IFERROR(FIND("E",UPPER(TRIM($DX269))),999)),ISNUMBER(VALUE(TRIM($DX269)))),VALUE(TRIM($DX269)),"")))),""))</f>
        <v/>
      </c>
      <c r="DZ269">
        <f>IF($DM269=0,"",IF($L$17=0,"",IFERROR(IF(ISNUMBER(INDEX(PASTE_ALL,$DF269,$L$17)),INDEX(PASTE_ALL,$DF269,$L$17),SUBSTITUTE(SUBSTITUTE(TRIM(SUBSTITUTE(SUBSTITUTE(SUBSTITUTE(SUBSTITUTE(INDEX(PASTE_ALL,$DF269,$L$17)," "," "),CHAR(9)," "),CHAR(10)," "),CHAR(13)," ")),",",""),"%","")),"")))</f>
        <v/>
      </c>
      <c r="EA269">
        <f>IF($DM269=0,"",IFERROR(IF(ISNUMBER($DZ269),$DZ269,IF($DZ269="","",IF(TRIM($DZ269)="",0,IF(AND(AND(SUBSTITUTE(SUBSTITUTE(SUBSTITUTE(SUBSTITUTE(SUBSTITUTE(SUBSTITUTE(SUBSTITUTE(SUBSTITUTE(SUBSTITUTE(SUBSTITUTE(SUBSTITUTE(SUBSTITUTE(SUBSTITUTE(SUBSTITUTE(UPPER(TRIM($DZ269)),"0",""),"1",""),"2",""),"3",""),"4",""),"5",""),"6",""),"7",""),"8",""),"9",""),".",""),"+",""),"-",""),"E","")="",LEN(SUBSTITUTE(SUBSTITUTE(MID(UPPER(TRIM($DZ269)),1+OR(LEFT(UPPER(TRIM($DZ269)),1)="+",LEFT(UPPER(TRIM($DZ269)),1)="-"),999),"E+","E"),"E-","E"))=LEN(SUBSTITUTE(SUBSTITUTE(SUBSTITUTE(SUBSTITUTE(MID(UPPER(TRIM($DZ269)),1+OR(LEFT(UPPER(TRIM($DZ269)),1)="+",LEFT(UPPER(TRIM($DZ269)),1)="-"),999),"E+","E"),"E-","E"),"+",""),"-","")),LEN(UPPER(TRIM($DZ269)))-LEN(SUBSTITUTE(UPPER(TRIM($DZ269)),"E",""))&lt;2,LEN(UPPER(TRIM($DZ269)))-LEN(SUBSTITUTE(UPPER(TRIM($DZ269)),".",""))&lt;2,IFERROR(FIND(".",UPPER(TRIM($DZ269))),0)&lt;IFERROR(FIND("E",UPPER(TRIM($DZ269))),999)),ISNUMBER(VALUE(TRIM($DZ269)))),VALUE(TRIM($DZ269)),"")))),""))</f>
        <v/>
      </c>
      <c r="EB269">
        <f>IF($DM269=0,"",IF($L$18=0,"",IFERROR(IF(UPPER(TRIM(SUBSTITUTE(SUBSTITUTE(SUBSTITUTE(SUBSTITUTE(INDEX(PASTE_ALL,$DF269,$L$18)," "," "),CHAR(9)," "),CHAR(10)," "),CHAR(13)," ")))="READY","Ready",IF(UPPER(TRIM(SUBSTITUTE(SUBSTITUTE(SUBSTITUTE(SUBSTITUTE(INDEX(PASTE_ALL,$DF269,$L$18)," "," "),CHAR(9)," "),CHAR(10)," "),CHAR(13)," ")))="PM","PM",IF(OR(UPPER(TRIM(SUBSTITUTE(SUBSTITUTE(SUBSTITUTE(SUBSTITUTE(INDEX(PASTE_ALL,$DF269,$L$18)," "," "),CHAR(9)," "),CHAR(10)," "),CHAR(13)," ")))="OT",UPPER(TRIM(SUBSTITUTE(SUBSTITUTE(SUBSTITUTE(SUBSTITUTE(INDEX(PASTE_ALL,$DF269,$L$18)," "," "),CHAR(9)," "),CHAR(10)," "),CHAR(13)," ")))="OVERTIME",UPPER(TRIM(SUBSTITUTE(SUBSTITUTE(SUBSTITUTE(SUBSTITUTE(INDEX(PASTE_ALL,$DF269,$L$18)," "," "),CHAR(9)," "),CHAR(10)," "),CHAR(13)," ")))="TRIAL"),"OT",TRIM(SUBSTITUTE(SUBSTITUTE(SUBSTITUTE(SUBSTITUTE(INDEX(PASTE_ALL,$DF269,$L$18)," "," "),CHAR(9)," "),CHAR(10)," "),CHAR(13)," "))))),"")))</f>
        <v/>
      </c>
      <c r="EC269">
        <f>IF($DM269=0,"",IF($L$19=0,"",IFERROR(IF(ISNUMBER(INDEX(PASTE_ALL,$DF269,$L$19)),INDEX(PASTE_ALL,$DF269,$L$19),TRIM(SUBSTITUTE(SUBSTITUTE(SUBSTITUTE(SUBSTITUTE(INDEX(PASTE_ALL,$DF269,$L$19)," "," "),CHAR(9)," "),CHAR(10)," "),CHAR(13)," "))),"")))</f>
        <v/>
      </c>
      <c r="ED269">
        <f>IF($DM269=0,"",MATCH(1,INDEX(EXACT($DH$5:DH269,$DH269)*$DM$5:DM269,0),0))</f>
        <v/>
      </c>
      <c r="EE269">
        <f>IF($DM269=0,0,IF($ED269=$DE269,1,0))</f>
        <v/>
      </c>
      <c r="EF269">
        <f>EF268+$EE269</f>
        <v/>
      </c>
      <c r="EG269">
        <f>IF($DM269=0,"",INDEX($EF$5:$EF$1003,$ED269))</f>
        <v/>
      </c>
      <c r="EH269">
        <f>IF($DM269=0,"",IF($DO269&lt;&gt;"","",IFERROR(LOOKUP(2,1/(($EG$4:EG268=$EG269)*($DO$4:DO268&lt;&gt;"")),$DO$4:DO268),"")))</f>
        <v/>
      </c>
      <c r="EI269">
        <f>IF($DM269=0,"",IF($DO269&lt;&gt;"",$DO269,$EH269))</f>
        <v/>
      </c>
      <c r="EJ269">
        <f>IF($DM269=0,"",IF($EI269="",0,IF(OR(ISNUMBER($EI269),AND(AND(SUBSTITUTE(SUBSTITUTE(SUBSTITUTE(SUBSTITUTE(SUBSTITUTE(SUBSTITUTE(SUBSTITUTE(SUBSTITUTE(SUBSTITUTE(SUBSTITUTE(SUBSTITUTE(SUBSTITUTE(SUBSTITUTE(SUBSTITUTE(UPPER($EI269),"0",""),"1",""),"2",""),"3",""),"4",""),"5",""),"6",""),"7",""),"8",""),"9",""),".",""),"+",""),"-",""),"E","")="",LEN(SUBSTITUTE(SUBSTITUTE(MID(UPPER($EI269),1+OR(LEFT(UPPER($EI269),1)="+",LEFT(UPPER($EI269),1)="-"),999),"E+","E"),"E-","E"))=LEN(SUBSTITUTE(SUBSTITUTE(SUBSTITUTE(SUBSTITUTE(MID(UPPER($EI269),1+OR(LEFT(UPPER($EI269),1)="+",LEFT(UPPER($EI269),1)="-"),999),"E+","E"),"E-","E"),"+",""),"-","")),LEN(UPPER($EI269))-LEN(SUBSTITUTE(UPPER($EI269),"E",""))&lt;2,LEN(UPPER($EI269))-LEN(SUBSTITUTE(UPPER($EI269),".",""))&lt;2,IFERROR(FIND(".",UPPER($EI269)),0)&lt;IFERROR(FIND("E",UPPER($EI269)),999)),ISNUMBER(VALUE($EI269)))),1,2)))</f>
        <v/>
      </c>
      <c r="EK269">
        <f>IF($DM269=0,"",IF($EJ269=1,IF(ISNUMBER($EI269),$EI269,VALUE($EI269)),IF($EJ269=2,$DE269,0)))</f>
        <v/>
      </c>
      <c r="EL269">
        <f>IF($DM269=0,"",COUNTIF($EG$5:$EG$1003,"&lt;"&amp;$EG269)+SUMPRODUCT(($EG$5:$EG$1003=$EG269)*(($EJ$5:$EJ$1003&lt;$EJ269)+($EJ$5:$EJ$1003=$EJ269)*(($EK$5:$EK$1003&lt;$EK269)+($EK$5:$EK$1003=$EK269)*($DE$5:$DE$1003&lt;$DE269))))+1)</f>
        <v/>
      </c>
      <c r="EM269">
        <f>IF($DM269=0,"",$EL269+$EG269-1)</f>
        <v/>
      </c>
      <c r="EN269">
        <f>IF($DM269=0,0,IFERROR(MATCH(1,INDEX(--(TRIM(SUBSTITUTE(SUBSTITUTE(SUBSTITUTE(SUBSTITUTE(LINES_NAME&amp;""," "," "),CHAR(9)," "),CHAR(10)," "),CHAR(13)," "))=$DH269),0),0),0))</f>
        <v/>
      </c>
      <c r="EO269">
        <f>IF($EN269=0,0,IF(OR(UPPER(TRIM(INDEX(LINES_SCHEDULED,$EN269)&amp;""))="YES",UPPER(TRIM(INDEX(LINES_SCHEDULED,$EN269)&amp;""))="Y",UPPER(TRIM(INDEX(LINES_SCHEDULED,$EN269)&amp;""))="X"),1,0))</f>
        <v/>
      </c>
      <c r="EP269">
        <f>IF($DM269=0,"",IF(COUNTIFS($EG$5:$EG$1003,$EG269,$EB$5:$EB$1003,"Ready")&gt;0,"READY",IF(COUNTIFS($EG$5:$EG$1003,$EG269,$EB$5:$EB$1003,"PM")&gt;0,"PM",IF(COUNTIFS($EG$5:$EG$1003,$EG269,$EB$5:$EB$1003,"OT")&gt;0,"OT",""))))</f>
        <v/>
      </c>
      <c r="EQ269">
        <f>IF($EN269=0,"",UPPER(TRIM(INDEX(LINES_STATUS,$EN269)&amp;"")))</f>
        <v/>
      </c>
      <c r="ER269">
        <f>IF($DM269=0,"",IF(OR($EQ269="READY",$EQ269="PM",$EQ269="OT"),$EQ269,$EP269))</f>
        <v/>
      </c>
      <c r="ES269">
        <f>IF($DM269=0,"",IF(AND($DV269&lt;&gt;"",UPPER($DV269)&lt;&gt;"N"),"allergen",IF(ISNUMBER(SEARCH("oil",$DQ269)),"oil",IF(OR(EXACT($DS269,"A662"),EXACT($DS269,"A624")),"bulk",""))))</f>
        <v/>
      </c>
      <c r="ET269">
        <f>IF($DM269=0,"",IF(OR($EA269="",$EA269=0),"",$EA269/100))</f>
        <v/>
      </c>
      <c r="EU269">
        <f>IF(OR($ET269="",$DY269=""),"",INT($DY269*(1-$ET269)+0.5))</f>
        <v/>
      </c>
      <c r="EW269" t="n">
        <v>265</v>
      </c>
      <c r="EX269">
        <f>IFERROR(MATCH($EW269,$EM$5:$EM$1003,0),0)</f>
        <v/>
      </c>
      <c r="EY269">
        <f>IF($EW269&gt;$B$12,"",IF($EX269&gt;0,"row","spacer"))</f>
        <v/>
      </c>
      <c r="EZ269">
        <f>IF(AND($EY269="row",$EY268&lt;&gt;"row"),1,0)</f>
        <v/>
      </c>
      <c r="FA269">
        <f>IF(AND($EY269="row",$EY270&lt;&gt;"row"),1,0)</f>
        <v/>
      </c>
      <c r="FB269">
        <f>IF($EZ269=1,IFERROR(IF(ISNUMBER(INDEX(PASTE_ALL,INDEX($DF$5:$DF$1003,$EX269),$B$37)),INDEX(PASTE_ALL,INDEX($DF$5:$DF$1003,$EX269),$B$37),INDEX($DH$5:$DH$1003,$EX269)),INDEX($DH$5:$DH$1003,$EX269)),"")</f>
        <v/>
      </c>
      <c r="FC269">
        <f>IF($EY269="row",INDEX($ER$5:$ER$1003,$EX269),"")</f>
        <v/>
      </c>
      <c r="FD269">
        <f>IF($EY269="row",INDEX($DN$5:$DN$1003,$EX269),"")</f>
        <v/>
      </c>
      <c r="FE269">
        <f>IF($EY269="row",INDEX($DO$5:$DO$1003,$EX269),"")</f>
        <v/>
      </c>
      <c r="FF269">
        <f>IF($EY269="row",INDEX($DP$5:$DP$1003,$EX269),"")</f>
        <v/>
      </c>
      <c r="FG269">
        <f>IF($EY269="row",INDEX($DQ$5:$DQ$1003,$EX269),"")</f>
        <v/>
      </c>
      <c r="FH269">
        <f>IF($EY269="row",INDEX($DR$5:$DR$1003,$EX269),"")</f>
        <v/>
      </c>
      <c r="FI269">
        <f>IF($EY269="row",INDEX($DS$5:$DS$1003,$EX269),"")</f>
        <v/>
      </c>
      <c r="FJ269">
        <f>IF($EY269="row",INDEX($DT$5:$DT$1003,$EX269),"")</f>
        <v/>
      </c>
      <c r="FK269">
        <f>IF($EY269="row",INDEX($DU$5:$DU$1003,$EX269),"")</f>
        <v/>
      </c>
      <c r="FL269">
        <f>IF($EY269="row",INDEX($DV$5:$DV$1003,$EX269),"")</f>
        <v/>
      </c>
      <c r="FM269">
        <f>IF($EY269="row",INDEX($DW$5:$DW$1003,$EX269),"")</f>
        <v/>
      </c>
      <c r="FN269">
        <f>IF($EY269="row",INDEX($DY$5:$DY$1003,$EX269),"")</f>
        <v/>
      </c>
      <c r="FO269">
        <f>IF($EY269="row",INDEX($EA$5:$EA$1003,$EX269),"")</f>
        <v/>
      </c>
      <c r="FP269">
        <f>IF($EY269="row",INDEX($EC$5:$EC$1003,$EX269),"")</f>
        <v/>
      </c>
      <c r="FQ269">
        <f>IF($EY269="row",INDEX($ET$5:$ET$1003,$EX269),"")</f>
        <v/>
      </c>
      <c r="FR269">
        <f>IF($EY269="row",INDEX($EU$5:$EU$1003,$EX269),"")</f>
        <v/>
      </c>
      <c r="FS269">
        <f>IF(AND($EY269="row",$EY268="row"),IF(OR(INDEX($DT$5:$DT$1003,$EX268)="",INDEX($DT$5:$DT$1003,$EX269)=""),"",IF(NOT(EXACT(INDEX($DT$5:$DT$1003,$EX268),INDEX($DT$5:$DT$1003,$EX269))),"S4",IF(NOT(EXACT(INDEX($DS$5:$DS$1003,$EX268),INDEX($DS$5:$DS$1003,$EX269))),"S3",IF(NOT(EXACT(INDEX($DR$5:$DR$1003,$EX268),INDEX($DR$5:$DR$1003,$EX269))),"S1 Count Change","S1")))),"")</f>
        <v/>
      </c>
      <c r="FT269">
        <f>IF($EY269="row",INDEX($ES$5:$ES$1003,$EX269),"")</f>
        <v/>
      </c>
      <c r="FU269">
        <f>IF($EY269="row",INDEX($EO$5:$EO$1003,$EX269),0)</f>
        <v/>
      </c>
      <c r="FV269">
        <f>IF($FS269="S1 Count Change",1,0)</f>
        <v/>
      </c>
    </row>
    <row r="270">
      <c r="DA270" t="n">
        <v>266</v>
      </c>
      <c r="DB270">
        <f>IF($B$37=0,"",IFERROR(TRIM(SUBSTITUTE(SUBSTITUTE(SUBSTITUTE(SUBSTITUTE(INDEX(PASTE_ALL,266,$B$37)," "," "),CHAR(9)," "),CHAR(10)," "),CHAR(13)," ")),""))</f>
        <v/>
      </c>
      <c r="DC270">
        <f>IF(AND(266&gt;HEADER_ROW,UPPER(DB270)="LEGEND"),1,0)</f>
        <v/>
      </c>
      <c r="DE270" t="n">
        <v>266</v>
      </c>
      <c r="DF270">
        <f>HEADER_ROW+$DE270</f>
        <v/>
      </c>
      <c r="DG270">
        <f>IF(AND($DF270&lt;=1000,$DF270&lt;$B$8),1,0)</f>
        <v/>
      </c>
      <c r="DH270">
        <f>IF($DG270=1,IFERROR(INDEX($DB$5:$DB$1004,$DF270),""),"")</f>
        <v/>
      </c>
      <c r="DI270">
        <f>IF(AND($DG270=1,$DH270&lt;&gt;""),IFERROR(SUBSTITUTE(SUBSTITUTE(TRIM(SUBSTITUTE(SUBSTITUTE(SUBSTITUTE(SUBSTITUTE(IFERROR(INDEX(PASTE_ALL,$DF270,1)&amp;"","")&amp;"␟"&amp;IFERROR(INDEX(PASTE_ALL,$DF270,2)&amp;"","")&amp;"␟"&amp;IFERROR(INDEX(PASTE_ALL,$DF270,3)&amp;"","")&amp;"␟"&amp;IFERROR(INDEX(PASTE_ALL,$DF270,4)&amp;"","")&amp;"␟"&amp;IFERROR(INDEX(PASTE_ALL,$DF270,5)&amp;"","")&amp;"␟"&amp;IFERROR(INDEX(PASTE_ALL,$DF270,6)&amp;"","")&amp;"␟"&amp;IFERROR(INDEX(PASTE_ALL,$DF270,7)&amp;"","")&amp;"␟"&amp;IFERROR(INDEX(PASTE_ALL,$DF270,8)&amp;"","")&amp;"␟"&amp;IFERROR(INDEX(PASTE_ALL,$DF270,9)&amp;"","")&amp;"␟"&amp;IFERROR(INDEX(PASTE_ALL,$DF270,10)&amp;"","")&amp;"␟"&amp;IFERROR(INDEX(PASTE_ALL,$DF270,11)&amp;"","")&amp;"␟"&amp;IFERROR(INDEX(PASTE_ALL,$DF270,12)&amp;"","")&amp;"␟"&amp;IFERROR(INDEX(PASTE_ALL,$DF270,13)&amp;"","")&amp;"␟"&amp;IFERROR(INDEX(PASTE_ALL,$DF270,14)&amp;"","")&amp;"␟"&amp;IFERROR(INDEX(PASTE_ALL,$DF270,15)&amp;"","")&amp;"␟"&amp;IFERROR(INDEX(PASTE_ALL,$DF270,16)&amp;"","")&amp;"␟"&amp;IFERROR(INDEX(PASTE_ALL,$DF270,17)&amp;"","")&amp;"␟"&amp;IFERROR(INDEX(PASTE_ALL,$DF270,18)&amp;"","")&amp;"␟"&amp;IFERROR(INDEX(PASTE_ALL,$DF270,19)&amp;"","")&amp;"␟"&amp;IFERROR(INDEX(PASTE_ALL,$DF270,20)&amp;"","")&amp;"␟"&amp;IFERROR(INDEX(PASTE_ALL,$DF270,21)&amp;"","")&amp;"␟"&amp;IFERROR(INDEX(PASTE_ALL,$DF270,22)&amp;"","")&amp;"␟"&amp;IFERROR(INDEX(PASTE_ALL,$DF270,23)&amp;"","")&amp;"␟"&amp;IFERROR(INDEX(PASTE_ALL,$DF270,24)&amp;"","")&amp;"␟"&amp;IFERROR(INDEX(PASTE_ALL,$DF270,25)&amp;"","")&amp;"␟"&amp;IFERROR(INDEX(PASTE_ALL,$DF270,26)&amp;"","")&amp;"␟"&amp;IFERROR(INDEX(PASTE_ALL,$DF270,27)&amp;"","")&amp;"␟"&amp;IFERROR(INDEX(PASTE_ALL,$DF270,28)&amp;"","")&amp;"␟"&amp;IFERROR(INDEX(PASTE_ALL,$DF270,29)&amp;"","")&amp;"␟"&amp;IFERROR(INDEX(PASTE_ALL,$DF270,30)&amp;"","")&amp;"␟"&amp;IFERROR(INDEX(PASTE_ALL,$DF270,31)&amp;"","")&amp;"␟"&amp;IFERROR(INDEX(PASTE_ALL,$DF270,32)&amp;"","")&amp;"␟"&amp;IFERROR(INDEX(PASTE_ALL,$DF270,33)&amp;"","")&amp;"␟"&amp;IFERROR(INDEX(PASTE_ALL,$DF270,34)&amp;"","")&amp;"␟"&amp;IFERROR(INDEX(PASTE_ALL,$DF270,35)&amp;"","")&amp;"␟"&amp;IFERROR(INDEX(PASTE_ALL,$DF270,36)&amp;"","")&amp;"␟"&amp;IFERROR(INDEX(PASTE_ALL,$DF270,37)&amp;"","")&amp;"␟"&amp;IFERROR(INDEX(PASTE_ALL,$DF270,38)&amp;"","")&amp;"␟"&amp;IFERROR(INDEX(PASTE_ALL,$DF270,39)&amp;"","")&amp;"␟"&amp;IFERROR(INDEX(PASTE_ALL,$DF270,40)&amp;"","")&amp;"␟"&amp;IFERROR(INDEX(PASTE_ALL,$DF270,41)&amp;"","")&amp;"␟"&amp;IFERROR(INDEX(PASTE_ALL,$DF270,42)&amp;"","")&amp;"␟"&amp;IFERROR(INDEX(PASTE_ALL,$DF270,43)&amp;"","")&amp;"␟"&amp;IFERROR(INDEX(PASTE_ALL,$DF270,44)&amp;"","")&amp;"␟"&amp;IFERROR(INDEX(PASTE_ALL,$DF270,45)&amp;"","")&amp;"␟"&amp;IFERROR(INDEX(PASTE_ALL,$DF270,46)&amp;"","")&amp;"␟"&amp;IFERROR(INDEX(PASTE_ALL,$DF270,47)&amp;"","")&amp;"␟"&amp;IFERROR(INDEX(PASTE_ALL,$DF270,48)&amp;"","")&amp;"␟"&amp;IFERROR(INDEX(PASTE_ALL,$DF270,49)&amp;"","")&amp;"␟"&amp;IFERROR(INDEX(PASTE_ALL,$DF270,50)&amp;"","")&amp;"␟"&amp;IFERROR(INDEX(PASTE_ALL,$DF270,51)&amp;"","")&amp;"␟"&amp;IFERROR(INDEX(PASTE_ALL,$DF270,52)&amp;"","")&amp;"␟"&amp;IFERROR(INDEX(PASTE_ALL,$DF270,53)&amp;"","")&amp;"␟"&amp;IFERROR(INDEX(PASTE_ALL,$DF270,54)&amp;"","")&amp;"␟"&amp;IFERROR(INDEX(PASTE_ALL,$DF270,55)&amp;"","")&amp;"␟"&amp;IFERROR(INDEX(PASTE_ALL,$DF270,56)&amp;"","")&amp;"␟"&amp;IFERROR(INDEX(PASTE_ALL,$DF270,57)&amp;"","")&amp;"␟"&amp;IFERROR(INDEX(PASTE_ALL,$DF270,58)&amp;"","")&amp;"␟"&amp;IFERROR(INDEX(PASTE_ALL,$DF270,59)&amp;"","")&amp;"␟"&amp;IFERROR(INDEX(PASTE_ALL,$DF270,60)&amp;"","")," "," "),CHAR(9)," "),CHAR(10)," "),CHAR(13)," "))," ␟","␟"),"␟ ","␟"),"#"&amp;$DE270),"")</f>
        <v/>
      </c>
      <c r="DJ270">
        <f>IF($DI270="",0,IF(SUMPRODUCT(--EXACT($DI$4:DI269,$DI270))&gt;0,1,0))</f>
        <v/>
      </c>
      <c r="DK270">
        <f>IF(AND($DI270&lt;&gt;"",$DJ270=0),1,0)</f>
        <v/>
      </c>
      <c r="DL270">
        <f>DL269+$DK270</f>
        <v/>
      </c>
      <c r="DM270">
        <f>IF(AND($DK270=1,$DL270&lt;=600),1,0)</f>
        <v/>
      </c>
      <c r="DN270">
        <f>IF($DM270=0,"",IF($L$6=0,"",IFERROR(IF(ISNUMBER(INDEX(PASTE_ALL,$DF270,$L$6)),INDEX(PASTE_ALL,$DF270,$L$6),TRIM(SUBSTITUTE(SUBSTITUTE(SUBSTITUTE(SUBSTITUTE(INDEX(PASTE_ALL,$DF270,$L$6)," "," "),CHAR(9)," "),CHAR(10)," "),CHAR(13)," "))),"")))</f>
        <v/>
      </c>
      <c r="DO270">
        <f>IF($DM270=0,"",IF($L$7=0,"",IFERROR(IF(ISNUMBER(INDEX(PASTE_ALL,$DF270,$L$7)),INDEX(PASTE_ALL,$DF270,$L$7),TRIM(SUBSTITUTE(SUBSTITUTE(SUBSTITUTE(SUBSTITUTE(INDEX(PASTE_ALL,$DF270,$L$7)," "," "),CHAR(9)," "),CHAR(10)," "),CHAR(13)," "))),"")))</f>
        <v/>
      </c>
      <c r="DP270">
        <f>IF($DM270=0,"",IF($L$8=0,"",IFERROR(IF(ISNUMBER(INDEX(PASTE_ALL,$DF270,$L$8)),INDEX(PASTE_ALL,$DF270,$L$8),TRIM(SUBSTITUTE(SUBSTITUTE(SUBSTITUTE(SUBSTITUTE(INDEX(PASTE_ALL,$DF270,$L$8)," "," "),CHAR(9)," "),CHAR(10)," "),CHAR(13)," "))),"")))</f>
        <v/>
      </c>
      <c r="DQ270">
        <f>IF($DM270=0,"",IF($L$9=0,"",IFERROR(IF(ISNUMBER(INDEX(PASTE_ALL,$DF270,$L$9)),INDEX(PASTE_ALL,$DF270,$L$9),TRIM(SUBSTITUTE(SUBSTITUTE(SUBSTITUTE(SUBSTITUTE(INDEX(PASTE_ALL,$DF270,$L$9)," "," "),CHAR(9)," "),CHAR(10)," "),CHAR(13)," "))),"")))</f>
        <v/>
      </c>
      <c r="DR270">
        <f>IF($DM270=0,"",IF($L$10=0,"",IFERROR(IF(ISNUMBER(INDEX(PASTE_ALL,$DF270,$L$10)),INDEX(PASTE_ALL,$DF270,$L$10),TRIM(SUBSTITUTE(SUBSTITUTE(SUBSTITUTE(SUBSTITUTE(INDEX(PASTE_ALL,$DF270,$L$10)," "," "),CHAR(9)," "),CHAR(10)," "),CHAR(13)," "))),"")))</f>
        <v/>
      </c>
      <c r="DS270">
        <f>IF($DM270=0,"",IF($L$11=0,"",IFERROR(IF(ISNUMBER(INDEX(PASTE_ALL,$DF270,$L$11)),INDEX(PASTE_ALL,$DF270,$L$11),TRIM(SUBSTITUTE(SUBSTITUTE(SUBSTITUTE(SUBSTITUTE(INDEX(PASTE_ALL,$DF270,$L$11)," "," "),CHAR(9)," "),CHAR(10)," "),CHAR(13)," "))),"")))</f>
        <v/>
      </c>
      <c r="DT270">
        <f>IF($DM270=0,"",IF($L$12=0,"",IFERROR(IF(ISNUMBER(INDEX(PASTE_ALL,$DF270,$L$12)),INDEX(PASTE_ALL,$DF270,$L$12),TRIM(SUBSTITUTE(SUBSTITUTE(SUBSTITUTE(SUBSTITUTE(INDEX(PASTE_ALL,$DF270,$L$12)," "," "),CHAR(9)," "),CHAR(10)," "),CHAR(13)," "))),"")))</f>
        <v/>
      </c>
      <c r="DU270">
        <f>IF($DM270=0,"",IF($L$13=0,"",IFERROR(IF(ISNUMBER(INDEX(PASTE_ALL,$DF270,$L$13)),INDEX(PASTE_ALL,$DF270,$L$13),TRIM(SUBSTITUTE(SUBSTITUTE(SUBSTITUTE(SUBSTITUTE(INDEX(PASTE_ALL,$DF270,$L$13)," "," "),CHAR(9)," "),CHAR(10)," "),CHAR(13)," "))),"")))</f>
        <v/>
      </c>
      <c r="DV270">
        <f>IF($DM270=0,"",IF($L$14=0,"",IFERROR(IF(ISNUMBER(INDEX(PASTE_ALL,$DF270,$L$14)),INDEX(PASTE_ALL,$DF270,$L$14),TRIM(SUBSTITUTE(SUBSTITUTE(SUBSTITUTE(SUBSTITUTE(INDEX(PASTE_ALL,$DF270,$L$14)," "," "),CHAR(9)," "),CHAR(10)," "),CHAR(13)," "))),"")))</f>
        <v/>
      </c>
      <c r="DW270">
        <f>IF($DM270=0,"",IF($L$15=0,"",IFERROR(IF(ISNUMBER(INDEX(PASTE_ALL,$DF270,$L$15)),INDEX(PASTE_ALL,$DF270,$L$15),IF(SUMPRODUCT(--ISNUMBER(FIND({"A","B","C","D","E","F","G","H","I","J","K","L","M","N","O","P","Q","R","S","T","U","V","W","X","Y","Z","0","1","2","3","4","5","6","7","8","9"},UPPER(TRIM(SUBSTITUTE(SUBSTITUTE(SUBSTITUTE(SUBSTITUTE(INDEX(PASTE_ALL,$DF270,$L$15)," "," "),CHAR(9)," "),CHAR(10)," "),CHAR(13)," "))))))&gt;0,TRIM(SUBSTITUTE(SUBSTITUTE(SUBSTITUTE(SUBSTITUTE(INDEX(PASTE_ALL,$DF270,$L$15)," "," "),CHAR(9)," "),CHAR(10)," "),CHAR(13)," ")),"")),"")))</f>
        <v/>
      </c>
      <c r="DX270">
        <f>IF($DM270=0,"",IF($L$16=0,"",IFERROR(IF(ISNUMBER(INDEX(PASTE_ALL,$DF270,$L$16)),INDEX(PASTE_ALL,$DF270,$L$16),SUBSTITUTE(SUBSTITUTE(TRIM(SUBSTITUTE(SUBSTITUTE(SUBSTITUTE(SUBSTITUTE(INDEX(PASTE_ALL,$DF270,$L$16)," "," "),CHAR(9)," "),CHAR(10)," "),CHAR(13)," ")),",",""),"%","")),"")))</f>
        <v/>
      </c>
      <c r="DY270">
        <f>IF($DM270=0,"",IFERROR(IF(ISNUMBER($DX270),$DX270,IF($DX270="","",IF(TRIM($DX270)="",0,IF(AND(AND(SUBSTITUTE(SUBSTITUTE(SUBSTITUTE(SUBSTITUTE(SUBSTITUTE(SUBSTITUTE(SUBSTITUTE(SUBSTITUTE(SUBSTITUTE(SUBSTITUTE(SUBSTITUTE(SUBSTITUTE(SUBSTITUTE(SUBSTITUTE(UPPER(TRIM($DX270)),"0",""),"1",""),"2",""),"3",""),"4",""),"5",""),"6",""),"7",""),"8",""),"9",""),".",""),"+",""),"-",""),"E","")="",LEN(SUBSTITUTE(SUBSTITUTE(MID(UPPER(TRIM($DX270)),1+OR(LEFT(UPPER(TRIM($DX270)),1)="+",LEFT(UPPER(TRIM($DX270)),1)="-"),999),"E+","E"),"E-","E"))=LEN(SUBSTITUTE(SUBSTITUTE(SUBSTITUTE(SUBSTITUTE(MID(UPPER(TRIM($DX270)),1+OR(LEFT(UPPER(TRIM($DX270)),1)="+",LEFT(UPPER(TRIM($DX270)),1)="-"),999),"E+","E"),"E-","E"),"+",""),"-","")),LEN(UPPER(TRIM($DX270)))-LEN(SUBSTITUTE(UPPER(TRIM($DX270)),"E",""))&lt;2,LEN(UPPER(TRIM($DX270)))-LEN(SUBSTITUTE(UPPER(TRIM($DX270)),".",""))&lt;2,IFERROR(FIND(".",UPPER(TRIM($DX270))),0)&lt;IFERROR(FIND("E",UPPER(TRIM($DX270))),999)),ISNUMBER(VALUE(TRIM($DX270)))),VALUE(TRIM($DX270)),"")))),""))</f>
        <v/>
      </c>
      <c r="DZ270">
        <f>IF($DM270=0,"",IF($L$17=0,"",IFERROR(IF(ISNUMBER(INDEX(PASTE_ALL,$DF270,$L$17)),INDEX(PASTE_ALL,$DF270,$L$17),SUBSTITUTE(SUBSTITUTE(TRIM(SUBSTITUTE(SUBSTITUTE(SUBSTITUTE(SUBSTITUTE(INDEX(PASTE_ALL,$DF270,$L$17)," "," "),CHAR(9)," "),CHAR(10)," "),CHAR(13)," ")),",",""),"%","")),"")))</f>
        <v/>
      </c>
      <c r="EA270">
        <f>IF($DM270=0,"",IFERROR(IF(ISNUMBER($DZ270),$DZ270,IF($DZ270="","",IF(TRIM($DZ270)="",0,IF(AND(AND(SUBSTITUTE(SUBSTITUTE(SUBSTITUTE(SUBSTITUTE(SUBSTITUTE(SUBSTITUTE(SUBSTITUTE(SUBSTITUTE(SUBSTITUTE(SUBSTITUTE(SUBSTITUTE(SUBSTITUTE(SUBSTITUTE(SUBSTITUTE(UPPER(TRIM($DZ270)),"0",""),"1",""),"2",""),"3",""),"4",""),"5",""),"6",""),"7",""),"8",""),"9",""),".",""),"+",""),"-",""),"E","")="",LEN(SUBSTITUTE(SUBSTITUTE(MID(UPPER(TRIM($DZ270)),1+OR(LEFT(UPPER(TRIM($DZ270)),1)="+",LEFT(UPPER(TRIM($DZ270)),1)="-"),999),"E+","E"),"E-","E"))=LEN(SUBSTITUTE(SUBSTITUTE(SUBSTITUTE(SUBSTITUTE(MID(UPPER(TRIM($DZ270)),1+OR(LEFT(UPPER(TRIM($DZ270)),1)="+",LEFT(UPPER(TRIM($DZ270)),1)="-"),999),"E+","E"),"E-","E"),"+",""),"-","")),LEN(UPPER(TRIM($DZ270)))-LEN(SUBSTITUTE(UPPER(TRIM($DZ270)),"E",""))&lt;2,LEN(UPPER(TRIM($DZ270)))-LEN(SUBSTITUTE(UPPER(TRIM($DZ270)),".",""))&lt;2,IFERROR(FIND(".",UPPER(TRIM($DZ270))),0)&lt;IFERROR(FIND("E",UPPER(TRIM($DZ270))),999)),ISNUMBER(VALUE(TRIM($DZ270)))),VALUE(TRIM($DZ270)),"")))),""))</f>
        <v/>
      </c>
      <c r="EB270">
        <f>IF($DM270=0,"",IF($L$18=0,"",IFERROR(IF(UPPER(TRIM(SUBSTITUTE(SUBSTITUTE(SUBSTITUTE(SUBSTITUTE(INDEX(PASTE_ALL,$DF270,$L$18)," "," "),CHAR(9)," "),CHAR(10)," "),CHAR(13)," ")))="READY","Ready",IF(UPPER(TRIM(SUBSTITUTE(SUBSTITUTE(SUBSTITUTE(SUBSTITUTE(INDEX(PASTE_ALL,$DF270,$L$18)," "," "),CHAR(9)," "),CHAR(10)," "),CHAR(13)," ")))="PM","PM",IF(OR(UPPER(TRIM(SUBSTITUTE(SUBSTITUTE(SUBSTITUTE(SUBSTITUTE(INDEX(PASTE_ALL,$DF270,$L$18)," "," "),CHAR(9)," "),CHAR(10)," "),CHAR(13)," ")))="OT",UPPER(TRIM(SUBSTITUTE(SUBSTITUTE(SUBSTITUTE(SUBSTITUTE(INDEX(PASTE_ALL,$DF270,$L$18)," "," "),CHAR(9)," "),CHAR(10)," "),CHAR(13)," ")))="OVERTIME",UPPER(TRIM(SUBSTITUTE(SUBSTITUTE(SUBSTITUTE(SUBSTITUTE(INDEX(PASTE_ALL,$DF270,$L$18)," "," "),CHAR(9)," "),CHAR(10)," "),CHAR(13)," ")))="TRIAL"),"OT",TRIM(SUBSTITUTE(SUBSTITUTE(SUBSTITUTE(SUBSTITUTE(INDEX(PASTE_ALL,$DF270,$L$18)," "," "),CHAR(9)," "),CHAR(10)," "),CHAR(13)," "))))),"")))</f>
        <v/>
      </c>
      <c r="EC270">
        <f>IF($DM270=0,"",IF($L$19=0,"",IFERROR(IF(ISNUMBER(INDEX(PASTE_ALL,$DF270,$L$19)),INDEX(PASTE_ALL,$DF270,$L$19),TRIM(SUBSTITUTE(SUBSTITUTE(SUBSTITUTE(SUBSTITUTE(INDEX(PASTE_ALL,$DF270,$L$19)," "," "),CHAR(9)," "),CHAR(10)," "),CHAR(13)," "))),"")))</f>
        <v/>
      </c>
      <c r="ED270">
        <f>IF($DM270=0,"",MATCH(1,INDEX(EXACT($DH$5:DH270,$DH270)*$DM$5:DM270,0),0))</f>
        <v/>
      </c>
      <c r="EE270">
        <f>IF($DM270=0,0,IF($ED270=$DE270,1,0))</f>
        <v/>
      </c>
      <c r="EF270">
        <f>EF269+$EE270</f>
        <v/>
      </c>
      <c r="EG270">
        <f>IF($DM270=0,"",INDEX($EF$5:$EF$1003,$ED270))</f>
        <v/>
      </c>
      <c r="EH270">
        <f>IF($DM270=0,"",IF($DO270&lt;&gt;"","",IFERROR(LOOKUP(2,1/(($EG$4:EG269=$EG270)*($DO$4:DO269&lt;&gt;"")),$DO$4:DO269),"")))</f>
        <v/>
      </c>
      <c r="EI270">
        <f>IF($DM270=0,"",IF($DO270&lt;&gt;"",$DO270,$EH270))</f>
        <v/>
      </c>
      <c r="EJ270">
        <f>IF($DM270=0,"",IF($EI270="",0,IF(OR(ISNUMBER($EI270),AND(AND(SUBSTITUTE(SUBSTITUTE(SUBSTITUTE(SUBSTITUTE(SUBSTITUTE(SUBSTITUTE(SUBSTITUTE(SUBSTITUTE(SUBSTITUTE(SUBSTITUTE(SUBSTITUTE(SUBSTITUTE(SUBSTITUTE(SUBSTITUTE(UPPER($EI270),"0",""),"1",""),"2",""),"3",""),"4",""),"5",""),"6",""),"7",""),"8",""),"9",""),".",""),"+",""),"-",""),"E","")="",LEN(SUBSTITUTE(SUBSTITUTE(MID(UPPER($EI270),1+OR(LEFT(UPPER($EI270),1)="+",LEFT(UPPER($EI270),1)="-"),999),"E+","E"),"E-","E"))=LEN(SUBSTITUTE(SUBSTITUTE(SUBSTITUTE(SUBSTITUTE(MID(UPPER($EI270),1+OR(LEFT(UPPER($EI270),1)="+",LEFT(UPPER($EI270),1)="-"),999),"E+","E"),"E-","E"),"+",""),"-","")),LEN(UPPER($EI270))-LEN(SUBSTITUTE(UPPER($EI270),"E",""))&lt;2,LEN(UPPER($EI270))-LEN(SUBSTITUTE(UPPER($EI270),".",""))&lt;2,IFERROR(FIND(".",UPPER($EI270)),0)&lt;IFERROR(FIND("E",UPPER($EI270)),999)),ISNUMBER(VALUE($EI270)))),1,2)))</f>
        <v/>
      </c>
      <c r="EK270">
        <f>IF($DM270=0,"",IF($EJ270=1,IF(ISNUMBER($EI270),$EI270,VALUE($EI270)),IF($EJ270=2,$DE270,0)))</f>
        <v/>
      </c>
      <c r="EL270">
        <f>IF($DM270=0,"",COUNTIF($EG$5:$EG$1003,"&lt;"&amp;$EG270)+SUMPRODUCT(($EG$5:$EG$1003=$EG270)*(($EJ$5:$EJ$1003&lt;$EJ270)+($EJ$5:$EJ$1003=$EJ270)*(($EK$5:$EK$1003&lt;$EK270)+($EK$5:$EK$1003=$EK270)*($DE$5:$DE$1003&lt;$DE270))))+1)</f>
        <v/>
      </c>
      <c r="EM270">
        <f>IF($DM270=0,"",$EL270+$EG270-1)</f>
        <v/>
      </c>
      <c r="EN270">
        <f>IF($DM270=0,0,IFERROR(MATCH(1,INDEX(--(TRIM(SUBSTITUTE(SUBSTITUTE(SUBSTITUTE(SUBSTITUTE(LINES_NAME&amp;""," "," "),CHAR(9)," "),CHAR(10)," "),CHAR(13)," "))=$DH270),0),0),0))</f>
        <v/>
      </c>
      <c r="EO270">
        <f>IF($EN270=0,0,IF(OR(UPPER(TRIM(INDEX(LINES_SCHEDULED,$EN270)&amp;""))="YES",UPPER(TRIM(INDEX(LINES_SCHEDULED,$EN270)&amp;""))="Y",UPPER(TRIM(INDEX(LINES_SCHEDULED,$EN270)&amp;""))="X"),1,0))</f>
        <v/>
      </c>
      <c r="EP270">
        <f>IF($DM270=0,"",IF(COUNTIFS($EG$5:$EG$1003,$EG270,$EB$5:$EB$1003,"Ready")&gt;0,"READY",IF(COUNTIFS($EG$5:$EG$1003,$EG270,$EB$5:$EB$1003,"PM")&gt;0,"PM",IF(COUNTIFS($EG$5:$EG$1003,$EG270,$EB$5:$EB$1003,"OT")&gt;0,"OT",""))))</f>
        <v/>
      </c>
      <c r="EQ270">
        <f>IF($EN270=0,"",UPPER(TRIM(INDEX(LINES_STATUS,$EN270)&amp;"")))</f>
        <v/>
      </c>
      <c r="ER270">
        <f>IF($DM270=0,"",IF(OR($EQ270="READY",$EQ270="PM",$EQ270="OT"),$EQ270,$EP270))</f>
        <v/>
      </c>
      <c r="ES270">
        <f>IF($DM270=0,"",IF(AND($DV270&lt;&gt;"",UPPER($DV270)&lt;&gt;"N"),"allergen",IF(ISNUMBER(SEARCH("oil",$DQ270)),"oil",IF(OR(EXACT($DS270,"A662"),EXACT($DS270,"A624")),"bulk",""))))</f>
        <v/>
      </c>
      <c r="ET270">
        <f>IF($DM270=0,"",IF(OR($EA270="",$EA270=0),"",$EA270/100))</f>
        <v/>
      </c>
      <c r="EU270">
        <f>IF(OR($ET270="",$DY270=""),"",INT($DY270*(1-$ET270)+0.5))</f>
        <v/>
      </c>
      <c r="EW270" t="n">
        <v>266</v>
      </c>
      <c r="EX270">
        <f>IFERROR(MATCH($EW270,$EM$5:$EM$1003,0),0)</f>
        <v/>
      </c>
      <c r="EY270">
        <f>IF($EW270&gt;$B$12,"",IF($EX270&gt;0,"row","spacer"))</f>
        <v/>
      </c>
      <c r="EZ270">
        <f>IF(AND($EY270="row",$EY269&lt;&gt;"row"),1,0)</f>
        <v/>
      </c>
      <c r="FA270">
        <f>IF(AND($EY270="row",$EY271&lt;&gt;"row"),1,0)</f>
        <v/>
      </c>
      <c r="FB270">
        <f>IF($EZ270=1,IFERROR(IF(ISNUMBER(INDEX(PASTE_ALL,INDEX($DF$5:$DF$1003,$EX270),$B$37)),INDEX(PASTE_ALL,INDEX($DF$5:$DF$1003,$EX270),$B$37),INDEX($DH$5:$DH$1003,$EX270)),INDEX($DH$5:$DH$1003,$EX270)),"")</f>
        <v/>
      </c>
      <c r="FC270">
        <f>IF($EY270="row",INDEX($ER$5:$ER$1003,$EX270),"")</f>
        <v/>
      </c>
      <c r="FD270">
        <f>IF($EY270="row",INDEX($DN$5:$DN$1003,$EX270),"")</f>
        <v/>
      </c>
      <c r="FE270">
        <f>IF($EY270="row",INDEX($DO$5:$DO$1003,$EX270),"")</f>
        <v/>
      </c>
      <c r="FF270">
        <f>IF($EY270="row",INDEX($DP$5:$DP$1003,$EX270),"")</f>
        <v/>
      </c>
      <c r="FG270">
        <f>IF($EY270="row",INDEX($DQ$5:$DQ$1003,$EX270),"")</f>
        <v/>
      </c>
      <c r="FH270">
        <f>IF($EY270="row",INDEX($DR$5:$DR$1003,$EX270),"")</f>
        <v/>
      </c>
      <c r="FI270">
        <f>IF($EY270="row",INDEX($DS$5:$DS$1003,$EX270),"")</f>
        <v/>
      </c>
      <c r="FJ270">
        <f>IF($EY270="row",INDEX($DT$5:$DT$1003,$EX270),"")</f>
        <v/>
      </c>
      <c r="FK270">
        <f>IF($EY270="row",INDEX($DU$5:$DU$1003,$EX270),"")</f>
        <v/>
      </c>
      <c r="FL270">
        <f>IF($EY270="row",INDEX($DV$5:$DV$1003,$EX270),"")</f>
        <v/>
      </c>
      <c r="FM270">
        <f>IF($EY270="row",INDEX($DW$5:$DW$1003,$EX270),"")</f>
        <v/>
      </c>
      <c r="FN270">
        <f>IF($EY270="row",INDEX($DY$5:$DY$1003,$EX270),"")</f>
        <v/>
      </c>
      <c r="FO270">
        <f>IF($EY270="row",INDEX($EA$5:$EA$1003,$EX270),"")</f>
        <v/>
      </c>
      <c r="FP270">
        <f>IF($EY270="row",INDEX($EC$5:$EC$1003,$EX270),"")</f>
        <v/>
      </c>
      <c r="FQ270">
        <f>IF($EY270="row",INDEX($ET$5:$ET$1003,$EX270),"")</f>
        <v/>
      </c>
      <c r="FR270">
        <f>IF($EY270="row",INDEX($EU$5:$EU$1003,$EX270),"")</f>
        <v/>
      </c>
      <c r="FS270">
        <f>IF(AND($EY270="row",$EY269="row"),IF(OR(INDEX($DT$5:$DT$1003,$EX269)="",INDEX($DT$5:$DT$1003,$EX270)=""),"",IF(NOT(EXACT(INDEX($DT$5:$DT$1003,$EX269),INDEX($DT$5:$DT$1003,$EX270))),"S4",IF(NOT(EXACT(INDEX($DS$5:$DS$1003,$EX269),INDEX($DS$5:$DS$1003,$EX270))),"S3",IF(NOT(EXACT(INDEX($DR$5:$DR$1003,$EX269),INDEX($DR$5:$DR$1003,$EX270))),"S1 Count Change","S1")))),"")</f>
        <v/>
      </c>
      <c r="FT270">
        <f>IF($EY270="row",INDEX($ES$5:$ES$1003,$EX270),"")</f>
        <v/>
      </c>
      <c r="FU270">
        <f>IF($EY270="row",INDEX($EO$5:$EO$1003,$EX270),0)</f>
        <v/>
      </c>
      <c r="FV270">
        <f>IF($FS270="S1 Count Change",1,0)</f>
        <v/>
      </c>
    </row>
    <row r="271">
      <c r="DA271" t="n">
        <v>267</v>
      </c>
      <c r="DB271">
        <f>IF($B$37=0,"",IFERROR(TRIM(SUBSTITUTE(SUBSTITUTE(SUBSTITUTE(SUBSTITUTE(INDEX(PASTE_ALL,267,$B$37)," "," "),CHAR(9)," "),CHAR(10)," "),CHAR(13)," ")),""))</f>
        <v/>
      </c>
      <c r="DC271">
        <f>IF(AND(267&gt;HEADER_ROW,UPPER(DB271)="LEGEND"),1,0)</f>
        <v/>
      </c>
      <c r="DE271" t="n">
        <v>267</v>
      </c>
      <c r="DF271">
        <f>HEADER_ROW+$DE271</f>
        <v/>
      </c>
      <c r="DG271">
        <f>IF(AND($DF271&lt;=1000,$DF271&lt;$B$8),1,0)</f>
        <v/>
      </c>
      <c r="DH271">
        <f>IF($DG271=1,IFERROR(INDEX($DB$5:$DB$1004,$DF271),""),"")</f>
        <v/>
      </c>
      <c r="DI271">
        <f>IF(AND($DG271=1,$DH271&lt;&gt;""),IFERROR(SUBSTITUTE(SUBSTITUTE(TRIM(SUBSTITUTE(SUBSTITUTE(SUBSTITUTE(SUBSTITUTE(IFERROR(INDEX(PASTE_ALL,$DF271,1)&amp;"","")&amp;"␟"&amp;IFERROR(INDEX(PASTE_ALL,$DF271,2)&amp;"","")&amp;"␟"&amp;IFERROR(INDEX(PASTE_ALL,$DF271,3)&amp;"","")&amp;"␟"&amp;IFERROR(INDEX(PASTE_ALL,$DF271,4)&amp;"","")&amp;"␟"&amp;IFERROR(INDEX(PASTE_ALL,$DF271,5)&amp;"","")&amp;"␟"&amp;IFERROR(INDEX(PASTE_ALL,$DF271,6)&amp;"","")&amp;"␟"&amp;IFERROR(INDEX(PASTE_ALL,$DF271,7)&amp;"","")&amp;"␟"&amp;IFERROR(INDEX(PASTE_ALL,$DF271,8)&amp;"","")&amp;"␟"&amp;IFERROR(INDEX(PASTE_ALL,$DF271,9)&amp;"","")&amp;"␟"&amp;IFERROR(INDEX(PASTE_ALL,$DF271,10)&amp;"","")&amp;"␟"&amp;IFERROR(INDEX(PASTE_ALL,$DF271,11)&amp;"","")&amp;"␟"&amp;IFERROR(INDEX(PASTE_ALL,$DF271,12)&amp;"","")&amp;"␟"&amp;IFERROR(INDEX(PASTE_ALL,$DF271,13)&amp;"","")&amp;"␟"&amp;IFERROR(INDEX(PASTE_ALL,$DF271,14)&amp;"","")&amp;"␟"&amp;IFERROR(INDEX(PASTE_ALL,$DF271,15)&amp;"","")&amp;"␟"&amp;IFERROR(INDEX(PASTE_ALL,$DF271,16)&amp;"","")&amp;"␟"&amp;IFERROR(INDEX(PASTE_ALL,$DF271,17)&amp;"","")&amp;"␟"&amp;IFERROR(INDEX(PASTE_ALL,$DF271,18)&amp;"","")&amp;"␟"&amp;IFERROR(INDEX(PASTE_ALL,$DF271,19)&amp;"","")&amp;"␟"&amp;IFERROR(INDEX(PASTE_ALL,$DF271,20)&amp;"","")&amp;"␟"&amp;IFERROR(INDEX(PASTE_ALL,$DF271,21)&amp;"","")&amp;"␟"&amp;IFERROR(INDEX(PASTE_ALL,$DF271,22)&amp;"","")&amp;"␟"&amp;IFERROR(INDEX(PASTE_ALL,$DF271,23)&amp;"","")&amp;"␟"&amp;IFERROR(INDEX(PASTE_ALL,$DF271,24)&amp;"","")&amp;"␟"&amp;IFERROR(INDEX(PASTE_ALL,$DF271,25)&amp;"","")&amp;"␟"&amp;IFERROR(INDEX(PASTE_ALL,$DF271,26)&amp;"","")&amp;"␟"&amp;IFERROR(INDEX(PASTE_ALL,$DF271,27)&amp;"","")&amp;"␟"&amp;IFERROR(INDEX(PASTE_ALL,$DF271,28)&amp;"","")&amp;"␟"&amp;IFERROR(INDEX(PASTE_ALL,$DF271,29)&amp;"","")&amp;"␟"&amp;IFERROR(INDEX(PASTE_ALL,$DF271,30)&amp;"","")&amp;"␟"&amp;IFERROR(INDEX(PASTE_ALL,$DF271,31)&amp;"","")&amp;"␟"&amp;IFERROR(INDEX(PASTE_ALL,$DF271,32)&amp;"","")&amp;"␟"&amp;IFERROR(INDEX(PASTE_ALL,$DF271,33)&amp;"","")&amp;"␟"&amp;IFERROR(INDEX(PASTE_ALL,$DF271,34)&amp;"","")&amp;"␟"&amp;IFERROR(INDEX(PASTE_ALL,$DF271,35)&amp;"","")&amp;"␟"&amp;IFERROR(INDEX(PASTE_ALL,$DF271,36)&amp;"","")&amp;"␟"&amp;IFERROR(INDEX(PASTE_ALL,$DF271,37)&amp;"","")&amp;"␟"&amp;IFERROR(INDEX(PASTE_ALL,$DF271,38)&amp;"","")&amp;"␟"&amp;IFERROR(INDEX(PASTE_ALL,$DF271,39)&amp;"","")&amp;"␟"&amp;IFERROR(INDEX(PASTE_ALL,$DF271,40)&amp;"","")&amp;"␟"&amp;IFERROR(INDEX(PASTE_ALL,$DF271,41)&amp;"","")&amp;"␟"&amp;IFERROR(INDEX(PASTE_ALL,$DF271,42)&amp;"","")&amp;"␟"&amp;IFERROR(INDEX(PASTE_ALL,$DF271,43)&amp;"","")&amp;"␟"&amp;IFERROR(INDEX(PASTE_ALL,$DF271,44)&amp;"","")&amp;"␟"&amp;IFERROR(INDEX(PASTE_ALL,$DF271,45)&amp;"","")&amp;"␟"&amp;IFERROR(INDEX(PASTE_ALL,$DF271,46)&amp;"","")&amp;"␟"&amp;IFERROR(INDEX(PASTE_ALL,$DF271,47)&amp;"","")&amp;"␟"&amp;IFERROR(INDEX(PASTE_ALL,$DF271,48)&amp;"","")&amp;"␟"&amp;IFERROR(INDEX(PASTE_ALL,$DF271,49)&amp;"","")&amp;"␟"&amp;IFERROR(INDEX(PASTE_ALL,$DF271,50)&amp;"","")&amp;"␟"&amp;IFERROR(INDEX(PASTE_ALL,$DF271,51)&amp;"","")&amp;"␟"&amp;IFERROR(INDEX(PASTE_ALL,$DF271,52)&amp;"","")&amp;"␟"&amp;IFERROR(INDEX(PASTE_ALL,$DF271,53)&amp;"","")&amp;"␟"&amp;IFERROR(INDEX(PASTE_ALL,$DF271,54)&amp;"","")&amp;"␟"&amp;IFERROR(INDEX(PASTE_ALL,$DF271,55)&amp;"","")&amp;"␟"&amp;IFERROR(INDEX(PASTE_ALL,$DF271,56)&amp;"","")&amp;"␟"&amp;IFERROR(INDEX(PASTE_ALL,$DF271,57)&amp;"","")&amp;"␟"&amp;IFERROR(INDEX(PASTE_ALL,$DF271,58)&amp;"","")&amp;"␟"&amp;IFERROR(INDEX(PASTE_ALL,$DF271,59)&amp;"","")&amp;"␟"&amp;IFERROR(INDEX(PASTE_ALL,$DF271,60)&amp;"","")," "," "),CHAR(9)," "),CHAR(10)," "),CHAR(13)," "))," ␟","␟"),"␟ ","␟"),"#"&amp;$DE271),"")</f>
        <v/>
      </c>
      <c r="DJ271">
        <f>IF($DI271="",0,IF(SUMPRODUCT(--EXACT($DI$4:DI270,$DI271))&gt;0,1,0))</f>
        <v/>
      </c>
      <c r="DK271">
        <f>IF(AND($DI271&lt;&gt;"",$DJ271=0),1,0)</f>
        <v/>
      </c>
      <c r="DL271">
        <f>DL270+$DK271</f>
        <v/>
      </c>
      <c r="DM271">
        <f>IF(AND($DK271=1,$DL271&lt;=600),1,0)</f>
        <v/>
      </c>
      <c r="DN271">
        <f>IF($DM271=0,"",IF($L$6=0,"",IFERROR(IF(ISNUMBER(INDEX(PASTE_ALL,$DF271,$L$6)),INDEX(PASTE_ALL,$DF271,$L$6),TRIM(SUBSTITUTE(SUBSTITUTE(SUBSTITUTE(SUBSTITUTE(INDEX(PASTE_ALL,$DF271,$L$6)," "," "),CHAR(9)," "),CHAR(10)," "),CHAR(13)," "))),"")))</f>
        <v/>
      </c>
      <c r="DO271">
        <f>IF($DM271=0,"",IF($L$7=0,"",IFERROR(IF(ISNUMBER(INDEX(PASTE_ALL,$DF271,$L$7)),INDEX(PASTE_ALL,$DF271,$L$7),TRIM(SUBSTITUTE(SUBSTITUTE(SUBSTITUTE(SUBSTITUTE(INDEX(PASTE_ALL,$DF271,$L$7)," "," "),CHAR(9)," "),CHAR(10)," "),CHAR(13)," "))),"")))</f>
        <v/>
      </c>
      <c r="DP271">
        <f>IF($DM271=0,"",IF($L$8=0,"",IFERROR(IF(ISNUMBER(INDEX(PASTE_ALL,$DF271,$L$8)),INDEX(PASTE_ALL,$DF271,$L$8),TRIM(SUBSTITUTE(SUBSTITUTE(SUBSTITUTE(SUBSTITUTE(INDEX(PASTE_ALL,$DF271,$L$8)," "," "),CHAR(9)," "),CHAR(10)," "),CHAR(13)," "))),"")))</f>
        <v/>
      </c>
      <c r="DQ271">
        <f>IF($DM271=0,"",IF($L$9=0,"",IFERROR(IF(ISNUMBER(INDEX(PASTE_ALL,$DF271,$L$9)),INDEX(PASTE_ALL,$DF271,$L$9),TRIM(SUBSTITUTE(SUBSTITUTE(SUBSTITUTE(SUBSTITUTE(INDEX(PASTE_ALL,$DF271,$L$9)," "," "),CHAR(9)," "),CHAR(10)," "),CHAR(13)," "))),"")))</f>
        <v/>
      </c>
      <c r="DR271">
        <f>IF($DM271=0,"",IF($L$10=0,"",IFERROR(IF(ISNUMBER(INDEX(PASTE_ALL,$DF271,$L$10)),INDEX(PASTE_ALL,$DF271,$L$10),TRIM(SUBSTITUTE(SUBSTITUTE(SUBSTITUTE(SUBSTITUTE(INDEX(PASTE_ALL,$DF271,$L$10)," "," "),CHAR(9)," "),CHAR(10)," "),CHAR(13)," "))),"")))</f>
        <v/>
      </c>
      <c r="DS271">
        <f>IF($DM271=0,"",IF($L$11=0,"",IFERROR(IF(ISNUMBER(INDEX(PASTE_ALL,$DF271,$L$11)),INDEX(PASTE_ALL,$DF271,$L$11),TRIM(SUBSTITUTE(SUBSTITUTE(SUBSTITUTE(SUBSTITUTE(INDEX(PASTE_ALL,$DF271,$L$11)," "," "),CHAR(9)," "),CHAR(10)," "),CHAR(13)," "))),"")))</f>
        <v/>
      </c>
      <c r="DT271">
        <f>IF($DM271=0,"",IF($L$12=0,"",IFERROR(IF(ISNUMBER(INDEX(PASTE_ALL,$DF271,$L$12)),INDEX(PASTE_ALL,$DF271,$L$12),TRIM(SUBSTITUTE(SUBSTITUTE(SUBSTITUTE(SUBSTITUTE(INDEX(PASTE_ALL,$DF271,$L$12)," "," "),CHAR(9)," "),CHAR(10)," "),CHAR(13)," "))),"")))</f>
        <v/>
      </c>
      <c r="DU271">
        <f>IF($DM271=0,"",IF($L$13=0,"",IFERROR(IF(ISNUMBER(INDEX(PASTE_ALL,$DF271,$L$13)),INDEX(PASTE_ALL,$DF271,$L$13),TRIM(SUBSTITUTE(SUBSTITUTE(SUBSTITUTE(SUBSTITUTE(INDEX(PASTE_ALL,$DF271,$L$13)," "," "),CHAR(9)," "),CHAR(10)," "),CHAR(13)," "))),"")))</f>
        <v/>
      </c>
      <c r="DV271">
        <f>IF($DM271=0,"",IF($L$14=0,"",IFERROR(IF(ISNUMBER(INDEX(PASTE_ALL,$DF271,$L$14)),INDEX(PASTE_ALL,$DF271,$L$14),TRIM(SUBSTITUTE(SUBSTITUTE(SUBSTITUTE(SUBSTITUTE(INDEX(PASTE_ALL,$DF271,$L$14)," "," "),CHAR(9)," "),CHAR(10)," "),CHAR(13)," "))),"")))</f>
        <v/>
      </c>
      <c r="DW271">
        <f>IF($DM271=0,"",IF($L$15=0,"",IFERROR(IF(ISNUMBER(INDEX(PASTE_ALL,$DF271,$L$15)),INDEX(PASTE_ALL,$DF271,$L$15),IF(SUMPRODUCT(--ISNUMBER(FIND({"A","B","C","D","E","F","G","H","I","J","K","L","M","N","O","P","Q","R","S","T","U","V","W","X","Y","Z","0","1","2","3","4","5","6","7","8","9"},UPPER(TRIM(SUBSTITUTE(SUBSTITUTE(SUBSTITUTE(SUBSTITUTE(INDEX(PASTE_ALL,$DF271,$L$15)," "," "),CHAR(9)," "),CHAR(10)," "),CHAR(13)," "))))))&gt;0,TRIM(SUBSTITUTE(SUBSTITUTE(SUBSTITUTE(SUBSTITUTE(INDEX(PASTE_ALL,$DF271,$L$15)," "," "),CHAR(9)," "),CHAR(10)," "),CHAR(13)," ")),"")),"")))</f>
        <v/>
      </c>
      <c r="DX271">
        <f>IF($DM271=0,"",IF($L$16=0,"",IFERROR(IF(ISNUMBER(INDEX(PASTE_ALL,$DF271,$L$16)),INDEX(PASTE_ALL,$DF271,$L$16),SUBSTITUTE(SUBSTITUTE(TRIM(SUBSTITUTE(SUBSTITUTE(SUBSTITUTE(SUBSTITUTE(INDEX(PASTE_ALL,$DF271,$L$16)," "," "),CHAR(9)," "),CHAR(10)," "),CHAR(13)," ")),",",""),"%","")),"")))</f>
        <v/>
      </c>
      <c r="DY271">
        <f>IF($DM271=0,"",IFERROR(IF(ISNUMBER($DX271),$DX271,IF($DX271="","",IF(TRIM($DX271)="",0,IF(AND(AND(SUBSTITUTE(SUBSTITUTE(SUBSTITUTE(SUBSTITUTE(SUBSTITUTE(SUBSTITUTE(SUBSTITUTE(SUBSTITUTE(SUBSTITUTE(SUBSTITUTE(SUBSTITUTE(SUBSTITUTE(SUBSTITUTE(SUBSTITUTE(UPPER(TRIM($DX271)),"0",""),"1",""),"2",""),"3",""),"4",""),"5",""),"6",""),"7",""),"8",""),"9",""),".",""),"+",""),"-",""),"E","")="",LEN(SUBSTITUTE(SUBSTITUTE(MID(UPPER(TRIM($DX271)),1+OR(LEFT(UPPER(TRIM($DX271)),1)="+",LEFT(UPPER(TRIM($DX271)),1)="-"),999),"E+","E"),"E-","E"))=LEN(SUBSTITUTE(SUBSTITUTE(SUBSTITUTE(SUBSTITUTE(MID(UPPER(TRIM($DX271)),1+OR(LEFT(UPPER(TRIM($DX271)),1)="+",LEFT(UPPER(TRIM($DX271)),1)="-"),999),"E+","E"),"E-","E"),"+",""),"-","")),LEN(UPPER(TRIM($DX271)))-LEN(SUBSTITUTE(UPPER(TRIM($DX271)),"E",""))&lt;2,LEN(UPPER(TRIM($DX271)))-LEN(SUBSTITUTE(UPPER(TRIM($DX271)),".",""))&lt;2,IFERROR(FIND(".",UPPER(TRIM($DX271))),0)&lt;IFERROR(FIND("E",UPPER(TRIM($DX271))),999)),ISNUMBER(VALUE(TRIM($DX271)))),VALUE(TRIM($DX271)),"")))),""))</f>
        <v/>
      </c>
      <c r="DZ271">
        <f>IF($DM271=0,"",IF($L$17=0,"",IFERROR(IF(ISNUMBER(INDEX(PASTE_ALL,$DF271,$L$17)),INDEX(PASTE_ALL,$DF271,$L$17),SUBSTITUTE(SUBSTITUTE(TRIM(SUBSTITUTE(SUBSTITUTE(SUBSTITUTE(SUBSTITUTE(INDEX(PASTE_ALL,$DF271,$L$17)," "," "),CHAR(9)," "),CHAR(10)," "),CHAR(13)," ")),",",""),"%","")),"")))</f>
        <v/>
      </c>
      <c r="EA271">
        <f>IF($DM271=0,"",IFERROR(IF(ISNUMBER($DZ271),$DZ271,IF($DZ271="","",IF(TRIM($DZ271)="",0,IF(AND(AND(SUBSTITUTE(SUBSTITUTE(SUBSTITUTE(SUBSTITUTE(SUBSTITUTE(SUBSTITUTE(SUBSTITUTE(SUBSTITUTE(SUBSTITUTE(SUBSTITUTE(SUBSTITUTE(SUBSTITUTE(SUBSTITUTE(SUBSTITUTE(UPPER(TRIM($DZ271)),"0",""),"1",""),"2",""),"3",""),"4",""),"5",""),"6",""),"7",""),"8",""),"9",""),".",""),"+",""),"-",""),"E","")="",LEN(SUBSTITUTE(SUBSTITUTE(MID(UPPER(TRIM($DZ271)),1+OR(LEFT(UPPER(TRIM($DZ271)),1)="+",LEFT(UPPER(TRIM($DZ271)),1)="-"),999),"E+","E"),"E-","E"))=LEN(SUBSTITUTE(SUBSTITUTE(SUBSTITUTE(SUBSTITUTE(MID(UPPER(TRIM($DZ271)),1+OR(LEFT(UPPER(TRIM($DZ271)),1)="+",LEFT(UPPER(TRIM($DZ271)),1)="-"),999),"E+","E"),"E-","E"),"+",""),"-","")),LEN(UPPER(TRIM($DZ271)))-LEN(SUBSTITUTE(UPPER(TRIM($DZ271)),"E",""))&lt;2,LEN(UPPER(TRIM($DZ271)))-LEN(SUBSTITUTE(UPPER(TRIM($DZ271)),".",""))&lt;2,IFERROR(FIND(".",UPPER(TRIM($DZ271))),0)&lt;IFERROR(FIND("E",UPPER(TRIM($DZ271))),999)),ISNUMBER(VALUE(TRIM($DZ271)))),VALUE(TRIM($DZ271)),"")))),""))</f>
        <v/>
      </c>
      <c r="EB271">
        <f>IF($DM271=0,"",IF($L$18=0,"",IFERROR(IF(UPPER(TRIM(SUBSTITUTE(SUBSTITUTE(SUBSTITUTE(SUBSTITUTE(INDEX(PASTE_ALL,$DF271,$L$18)," "," "),CHAR(9)," "),CHAR(10)," "),CHAR(13)," ")))="READY","Ready",IF(UPPER(TRIM(SUBSTITUTE(SUBSTITUTE(SUBSTITUTE(SUBSTITUTE(INDEX(PASTE_ALL,$DF271,$L$18)," "," "),CHAR(9)," "),CHAR(10)," "),CHAR(13)," ")))="PM","PM",IF(OR(UPPER(TRIM(SUBSTITUTE(SUBSTITUTE(SUBSTITUTE(SUBSTITUTE(INDEX(PASTE_ALL,$DF271,$L$18)," "," "),CHAR(9)," "),CHAR(10)," "),CHAR(13)," ")))="OT",UPPER(TRIM(SUBSTITUTE(SUBSTITUTE(SUBSTITUTE(SUBSTITUTE(INDEX(PASTE_ALL,$DF271,$L$18)," "," "),CHAR(9)," "),CHAR(10)," "),CHAR(13)," ")))="OVERTIME",UPPER(TRIM(SUBSTITUTE(SUBSTITUTE(SUBSTITUTE(SUBSTITUTE(INDEX(PASTE_ALL,$DF271,$L$18)," "," "),CHAR(9)," "),CHAR(10)," "),CHAR(13)," ")))="TRIAL"),"OT",TRIM(SUBSTITUTE(SUBSTITUTE(SUBSTITUTE(SUBSTITUTE(INDEX(PASTE_ALL,$DF271,$L$18)," "," "),CHAR(9)," "),CHAR(10)," "),CHAR(13)," "))))),"")))</f>
        <v/>
      </c>
      <c r="EC271">
        <f>IF($DM271=0,"",IF($L$19=0,"",IFERROR(IF(ISNUMBER(INDEX(PASTE_ALL,$DF271,$L$19)),INDEX(PASTE_ALL,$DF271,$L$19),TRIM(SUBSTITUTE(SUBSTITUTE(SUBSTITUTE(SUBSTITUTE(INDEX(PASTE_ALL,$DF271,$L$19)," "," "),CHAR(9)," "),CHAR(10)," "),CHAR(13)," "))),"")))</f>
        <v/>
      </c>
      <c r="ED271">
        <f>IF($DM271=0,"",MATCH(1,INDEX(EXACT($DH$5:DH271,$DH271)*$DM$5:DM271,0),0))</f>
        <v/>
      </c>
      <c r="EE271">
        <f>IF($DM271=0,0,IF($ED271=$DE271,1,0))</f>
        <v/>
      </c>
      <c r="EF271">
        <f>EF270+$EE271</f>
        <v/>
      </c>
      <c r="EG271">
        <f>IF($DM271=0,"",INDEX($EF$5:$EF$1003,$ED271))</f>
        <v/>
      </c>
      <c r="EH271">
        <f>IF($DM271=0,"",IF($DO271&lt;&gt;"","",IFERROR(LOOKUP(2,1/(($EG$4:EG270=$EG271)*($DO$4:DO270&lt;&gt;"")),$DO$4:DO270),"")))</f>
        <v/>
      </c>
      <c r="EI271">
        <f>IF($DM271=0,"",IF($DO271&lt;&gt;"",$DO271,$EH271))</f>
        <v/>
      </c>
      <c r="EJ271">
        <f>IF($DM271=0,"",IF($EI271="",0,IF(OR(ISNUMBER($EI271),AND(AND(SUBSTITUTE(SUBSTITUTE(SUBSTITUTE(SUBSTITUTE(SUBSTITUTE(SUBSTITUTE(SUBSTITUTE(SUBSTITUTE(SUBSTITUTE(SUBSTITUTE(SUBSTITUTE(SUBSTITUTE(SUBSTITUTE(SUBSTITUTE(UPPER($EI271),"0",""),"1",""),"2",""),"3",""),"4",""),"5",""),"6",""),"7",""),"8",""),"9",""),".",""),"+",""),"-",""),"E","")="",LEN(SUBSTITUTE(SUBSTITUTE(MID(UPPER($EI271),1+OR(LEFT(UPPER($EI271),1)="+",LEFT(UPPER($EI271),1)="-"),999),"E+","E"),"E-","E"))=LEN(SUBSTITUTE(SUBSTITUTE(SUBSTITUTE(SUBSTITUTE(MID(UPPER($EI271),1+OR(LEFT(UPPER($EI271),1)="+",LEFT(UPPER($EI271),1)="-"),999),"E+","E"),"E-","E"),"+",""),"-","")),LEN(UPPER($EI271))-LEN(SUBSTITUTE(UPPER($EI271),"E",""))&lt;2,LEN(UPPER($EI271))-LEN(SUBSTITUTE(UPPER($EI271),".",""))&lt;2,IFERROR(FIND(".",UPPER($EI271)),0)&lt;IFERROR(FIND("E",UPPER($EI271)),999)),ISNUMBER(VALUE($EI271)))),1,2)))</f>
        <v/>
      </c>
      <c r="EK271">
        <f>IF($DM271=0,"",IF($EJ271=1,IF(ISNUMBER($EI271),$EI271,VALUE($EI271)),IF($EJ271=2,$DE271,0)))</f>
        <v/>
      </c>
      <c r="EL271">
        <f>IF($DM271=0,"",COUNTIF($EG$5:$EG$1003,"&lt;"&amp;$EG271)+SUMPRODUCT(($EG$5:$EG$1003=$EG271)*(($EJ$5:$EJ$1003&lt;$EJ271)+($EJ$5:$EJ$1003=$EJ271)*(($EK$5:$EK$1003&lt;$EK271)+($EK$5:$EK$1003=$EK271)*($DE$5:$DE$1003&lt;$DE271))))+1)</f>
        <v/>
      </c>
      <c r="EM271">
        <f>IF($DM271=0,"",$EL271+$EG271-1)</f>
        <v/>
      </c>
      <c r="EN271">
        <f>IF($DM271=0,0,IFERROR(MATCH(1,INDEX(--(TRIM(SUBSTITUTE(SUBSTITUTE(SUBSTITUTE(SUBSTITUTE(LINES_NAME&amp;""," "," "),CHAR(9)," "),CHAR(10)," "),CHAR(13)," "))=$DH271),0),0),0))</f>
        <v/>
      </c>
      <c r="EO271">
        <f>IF($EN271=0,0,IF(OR(UPPER(TRIM(INDEX(LINES_SCHEDULED,$EN271)&amp;""))="YES",UPPER(TRIM(INDEX(LINES_SCHEDULED,$EN271)&amp;""))="Y",UPPER(TRIM(INDEX(LINES_SCHEDULED,$EN271)&amp;""))="X"),1,0))</f>
        <v/>
      </c>
      <c r="EP271">
        <f>IF($DM271=0,"",IF(COUNTIFS($EG$5:$EG$1003,$EG271,$EB$5:$EB$1003,"Ready")&gt;0,"READY",IF(COUNTIFS($EG$5:$EG$1003,$EG271,$EB$5:$EB$1003,"PM")&gt;0,"PM",IF(COUNTIFS($EG$5:$EG$1003,$EG271,$EB$5:$EB$1003,"OT")&gt;0,"OT",""))))</f>
        <v/>
      </c>
      <c r="EQ271">
        <f>IF($EN271=0,"",UPPER(TRIM(INDEX(LINES_STATUS,$EN271)&amp;"")))</f>
        <v/>
      </c>
      <c r="ER271">
        <f>IF($DM271=0,"",IF(OR($EQ271="READY",$EQ271="PM",$EQ271="OT"),$EQ271,$EP271))</f>
        <v/>
      </c>
      <c r="ES271">
        <f>IF($DM271=0,"",IF(AND($DV271&lt;&gt;"",UPPER($DV271)&lt;&gt;"N"),"allergen",IF(ISNUMBER(SEARCH("oil",$DQ271)),"oil",IF(OR(EXACT($DS271,"A662"),EXACT($DS271,"A624")),"bulk",""))))</f>
        <v/>
      </c>
      <c r="ET271">
        <f>IF($DM271=0,"",IF(OR($EA271="",$EA271=0),"",$EA271/100))</f>
        <v/>
      </c>
      <c r="EU271">
        <f>IF(OR($ET271="",$DY271=""),"",INT($DY271*(1-$ET271)+0.5))</f>
        <v/>
      </c>
      <c r="EW271" t="n">
        <v>267</v>
      </c>
      <c r="EX271">
        <f>IFERROR(MATCH($EW271,$EM$5:$EM$1003,0),0)</f>
        <v/>
      </c>
      <c r="EY271">
        <f>IF($EW271&gt;$B$12,"",IF($EX271&gt;0,"row","spacer"))</f>
        <v/>
      </c>
      <c r="EZ271">
        <f>IF(AND($EY271="row",$EY270&lt;&gt;"row"),1,0)</f>
        <v/>
      </c>
      <c r="FA271">
        <f>IF(AND($EY271="row",$EY272&lt;&gt;"row"),1,0)</f>
        <v/>
      </c>
      <c r="FB271">
        <f>IF($EZ271=1,IFERROR(IF(ISNUMBER(INDEX(PASTE_ALL,INDEX($DF$5:$DF$1003,$EX271),$B$37)),INDEX(PASTE_ALL,INDEX($DF$5:$DF$1003,$EX271),$B$37),INDEX($DH$5:$DH$1003,$EX271)),INDEX($DH$5:$DH$1003,$EX271)),"")</f>
        <v/>
      </c>
      <c r="FC271">
        <f>IF($EY271="row",INDEX($ER$5:$ER$1003,$EX271),"")</f>
        <v/>
      </c>
      <c r="FD271">
        <f>IF($EY271="row",INDEX($DN$5:$DN$1003,$EX271),"")</f>
        <v/>
      </c>
      <c r="FE271">
        <f>IF($EY271="row",INDEX($DO$5:$DO$1003,$EX271),"")</f>
        <v/>
      </c>
      <c r="FF271">
        <f>IF($EY271="row",INDEX($DP$5:$DP$1003,$EX271),"")</f>
        <v/>
      </c>
      <c r="FG271">
        <f>IF($EY271="row",INDEX($DQ$5:$DQ$1003,$EX271),"")</f>
        <v/>
      </c>
      <c r="FH271">
        <f>IF($EY271="row",INDEX($DR$5:$DR$1003,$EX271),"")</f>
        <v/>
      </c>
      <c r="FI271">
        <f>IF($EY271="row",INDEX($DS$5:$DS$1003,$EX271),"")</f>
        <v/>
      </c>
      <c r="FJ271">
        <f>IF($EY271="row",INDEX($DT$5:$DT$1003,$EX271),"")</f>
        <v/>
      </c>
      <c r="FK271">
        <f>IF($EY271="row",INDEX($DU$5:$DU$1003,$EX271),"")</f>
        <v/>
      </c>
      <c r="FL271">
        <f>IF($EY271="row",INDEX($DV$5:$DV$1003,$EX271),"")</f>
        <v/>
      </c>
      <c r="FM271">
        <f>IF($EY271="row",INDEX($DW$5:$DW$1003,$EX271),"")</f>
        <v/>
      </c>
      <c r="FN271">
        <f>IF($EY271="row",INDEX($DY$5:$DY$1003,$EX271),"")</f>
        <v/>
      </c>
      <c r="FO271">
        <f>IF($EY271="row",INDEX($EA$5:$EA$1003,$EX271),"")</f>
        <v/>
      </c>
      <c r="FP271">
        <f>IF($EY271="row",INDEX($EC$5:$EC$1003,$EX271),"")</f>
        <v/>
      </c>
      <c r="FQ271">
        <f>IF($EY271="row",INDEX($ET$5:$ET$1003,$EX271),"")</f>
        <v/>
      </c>
      <c r="FR271">
        <f>IF($EY271="row",INDEX($EU$5:$EU$1003,$EX271),"")</f>
        <v/>
      </c>
      <c r="FS271">
        <f>IF(AND($EY271="row",$EY270="row"),IF(OR(INDEX($DT$5:$DT$1003,$EX270)="",INDEX($DT$5:$DT$1003,$EX271)=""),"",IF(NOT(EXACT(INDEX($DT$5:$DT$1003,$EX270),INDEX($DT$5:$DT$1003,$EX271))),"S4",IF(NOT(EXACT(INDEX($DS$5:$DS$1003,$EX270),INDEX($DS$5:$DS$1003,$EX271))),"S3",IF(NOT(EXACT(INDEX($DR$5:$DR$1003,$EX270),INDEX($DR$5:$DR$1003,$EX271))),"S1 Count Change","S1")))),"")</f>
        <v/>
      </c>
      <c r="FT271">
        <f>IF($EY271="row",INDEX($ES$5:$ES$1003,$EX271),"")</f>
        <v/>
      </c>
      <c r="FU271">
        <f>IF($EY271="row",INDEX($EO$5:$EO$1003,$EX271),0)</f>
        <v/>
      </c>
      <c r="FV271">
        <f>IF($FS271="S1 Count Change",1,0)</f>
        <v/>
      </c>
    </row>
    <row r="272">
      <c r="DA272" t="n">
        <v>268</v>
      </c>
      <c r="DB272">
        <f>IF($B$37=0,"",IFERROR(TRIM(SUBSTITUTE(SUBSTITUTE(SUBSTITUTE(SUBSTITUTE(INDEX(PASTE_ALL,268,$B$37)," "," "),CHAR(9)," "),CHAR(10)," "),CHAR(13)," ")),""))</f>
        <v/>
      </c>
      <c r="DC272">
        <f>IF(AND(268&gt;HEADER_ROW,UPPER(DB272)="LEGEND"),1,0)</f>
        <v/>
      </c>
      <c r="DE272" t="n">
        <v>268</v>
      </c>
      <c r="DF272">
        <f>HEADER_ROW+$DE272</f>
        <v/>
      </c>
      <c r="DG272">
        <f>IF(AND($DF272&lt;=1000,$DF272&lt;$B$8),1,0)</f>
        <v/>
      </c>
      <c r="DH272">
        <f>IF($DG272=1,IFERROR(INDEX($DB$5:$DB$1004,$DF272),""),"")</f>
        <v/>
      </c>
      <c r="DI272">
        <f>IF(AND($DG272=1,$DH272&lt;&gt;""),IFERROR(SUBSTITUTE(SUBSTITUTE(TRIM(SUBSTITUTE(SUBSTITUTE(SUBSTITUTE(SUBSTITUTE(IFERROR(INDEX(PASTE_ALL,$DF272,1)&amp;"","")&amp;"␟"&amp;IFERROR(INDEX(PASTE_ALL,$DF272,2)&amp;"","")&amp;"␟"&amp;IFERROR(INDEX(PASTE_ALL,$DF272,3)&amp;"","")&amp;"␟"&amp;IFERROR(INDEX(PASTE_ALL,$DF272,4)&amp;"","")&amp;"␟"&amp;IFERROR(INDEX(PASTE_ALL,$DF272,5)&amp;"","")&amp;"␟"&amp;IFERROR(INDEX(PASTE_ALL,$DF272,6)&amp;"","")&amp;"␟"&amp;IFERROR(INDEX(PASTE_ALL,$DF272,7)&amp;"","")&amp;"␟"&amp;IFERROR(INDEX(PASTE_ALL,$DF272,8)&amp;"","")&amp;"␟"&amp;IFERROR(INDEX(PASTE_ALL,$DF272,9)&amp;"","")&amp;"␟"&amp;IFERROR(INDEX(PASTE_ALL,$DF272,10)&amp;"","")&amp;"␟"&amp;IFERROR(INDEX(PASTE_ALL,$DF272,11)&amp;"","")&amp;"␟"&amp;IFERROR(INDEX(PASTE_ALL,$DF272,12)&amp;"","")&amp;"␟"&amp;IFERROR(INDEX(PASTE_ALL,$DF272,13)&amp;"","")&amp;"␟"&amp;IFERROR(INDEX(PASTE_ALL,$DF272,14)&amp;"","")&amp;"␟"&amp;IFERROR(INDEX(PASTE_ALL,$DF272,15)&amp;"","")&amp;"␟"&amp;IFERROR(INDEX(PASTE_ALL,$DF272,16)&amp;"","")&amp;"␟"&amp;IFERROR(INDEX(PASTE_ALL,$DF272,17)&amp;"","")&amp;"␟"&amp;IFERROR(INDEX(PASTE_ALL,$DF272,18)&amp;"","")&amp;"␟"&amp;IFERROR(INDEX(PASTE_ALL,$DF272,19)&amp;"","")&amp;"␟"&amp;IFERROR(INDEX(PASTE_ALL,$DF272,20)&amp;"","")&amp;"␟"&amp;IFERROR(INDEX(PASTE_ALL,$DF272,21)&amp;"","")&amp;"␟"&amp;IFERROR(INDEX(PASTE_ALL,$DF272,22)&amp;"","")&amp;"␟"&amp;IFERROR(INDEX(PASTE_ALL,$DF272,23)&amp;"","")&amp;"␟"&amp;IFERROR(INDEX(PASTE_ALL,$DF272,24)&amp;"","")&amp;"␟"&amp;IFERROR(INDEX(PASTE_ALL,$DF272,25)&amp;"","")&amp;"␟"&amp;IFERROR(INDEX(PASTE_ALL,$DF272,26)&amp;"","")&amp;"␟"&amp;IFERROR(INDEX(PASTE_ALL,$DF272,27)&amp;"","")&amp;"␟"&amp;IFERROR(INDEX(PASTE_ALL,$DF272,28)&amp;"","")&amp;"␟"&amp;IFERROR(INDEX(PASTE_ALL,$DF272,29)&amp;"","")&amp;"␟"&amp;IFERROR(INDEX(PASTE_ALL,$DF272,30)&amp;"","")&amp;"␟"&amp;IFERROR(INDEX(PASTE_ALL,$DF272,31)&amp;"","")&amp;"␟"&amp;IFERROR(INDEX(PASTE_ALL,$DF272,32)&amp;"","")&amp;"␟"&amp;IFERROR(INDEX(PASTE_ALL,$DF272,33)&amp;"","")&amp;"␟"&amp;IFERROR(INDEX(PASTE_ALL,$DF272,34)&amp;"","")&amp;"␟"&amp;IFERROR(INDEX(PASTE_ALL,$DF272,35)&amp;"","")&amp;"␟"&amp;IFERROR(INDEX(PASTE_ALL,$DF272,36)&amp;"","")&amp;"␟"&amp;IFERROR(INDEX(PASTE_ALL,$DF272,37)&amp;"","")&amp;"␟"&amp;IFERROR(INDEX(PASTE_ALL,$DF272,38)&amp;"","")&amp;"␟"&amp;IFERROR(INDEX(PASTE_ALL,$DF272,39)&amp;"","")&amp;"␟"&amp;IFERROR(INDEX(PASTE_ALL,$DF272,40)&amp;"","")&amp;"␟"&amp;IFERROR(INDEX(PASTE_ALL,$DF272,41)&amp;"","")&amp;"␟"&amp;IFERROR(INDEX(PASTE_ALL,$DF272,42)&amp;"","")&amp;"␟"&amp;IFERROR(INDEX(PASTE_ALL,$DF272,43)&amp;"","")&amp;"␟"&amp;IFERROR(INDEX(PASTE_ALL,$DF272,44)&amp;"","")&amp;"␟"&amp;IFERROR(INDEX(PASTE_ALL,$DF272,45)&amp;"","")&amp;"␟"&amp;IFERROR(INDEX(PASTE_ALL,$DF272,46)&amp;"","")&amp;"␟"&amp;IFERROR(INDEX(PASTE_ALL,$DF272,47)&amp;"","")&amp;"␟"&amp;IFERROR(INDEX(PASTE_ALL,$DF272,48)&amp;"","")&amp;"␟"&amp;IFERROR(INDEX(PASTE_ALL,$DF272,49)&amp;"","")&amp;"␟"&amp;IFERROR(INDEX(PASTE_ALL,$DF272,50)&amp;"","")&amp;"␟"&amp;IFERROR(INDEX(PASTE_ALL,$DF272,51)&amp;"","")&amp;"␟"&amp;IFERROR(INDEX(PASTE_ALL,$DF272,52)&amp;"","")&amp;"␟"&amp;IFERROR(INDEX(PASTE_ALL,$DF272,53)&amp;"","")&amp;"␟"&amp;IFERROR(INDEX(PASTE_ALL,$DF272,54)&amp;"","")&amp;"␟"&amp;IFERROR(INDEX(PASTE_ALL,$DF272,55)&amp;"","")&amp;"␟"&amp;IFERROR(INDEX(PASTE_ALL,$DF272,56)&amp;"","")&amp;"␟"&amp;IFERROR(INDEX(PASTE_ALL,$DF272,57)&amp;"","")&amp;"␟"&amp;IFERROR(INDEX(PASTE_ALL,$DF272,58)&amp;"","")&amp;"␟"&amp;IFERROR(INDEX(PASTE_ALL,$DF272,59)&amp;"","")&amp;"␟"&amp;IFERROR(INDEX(PASTE_ALL,$DF272,60)&amp;"","")," "," "),CHAR(9)," "),CHAR(10)," "),CHAR(13)," "))," ␟","␟"),"␟ ","␟"),"#"&amp;$DE272),"")</f>
        <v/>
      </c>
      <c r="DJ272">
        <f>IF($DI272="",0,IF(SUMPRODUCT(--EXACT($DI$4:DI271,$DI272))&gt;0,1,0))</f>
        <v/>
      </c>
      <c r="DK272">
        <f>IF(AND($DI272&lt;&gt;"",$DJ272=0),1,0)</f>
        <v/>
      </c>
      <c r="DL272">
        <f>DL271+$DK272</f>
        <v/>
      </c>
      <c r="DM272">
        <f>IF(AND($DK272=1,$DL272&lt;=600),1,0)</f>
        <v/>
      </c>
      <c r="DN272">
        <f>IF($DM272=0,"",IF($L$6=0,"",IFERROR(IF(ISNUMBER(INDEX(PASTE_ALL,$DF272,$L$6)),INDEX(PASTE_ALL,$DF272,$L$6),TRIM(SUBSTITUTE(SUBSTITUTE(SUBSTITUTE(SUBSTITUTE(INDEX(PASTE_ALL,$DF272,$L$6)," "," "),CHAR(9)," "),CHAR(10)," "),CHAR(13)," "))),"")))</f>
        <v/>
      </c>
      <c r="DO272">
        <f>IF($DM272=0,"",IF($L$7=0,"",IFERROR(IF(ISNUMBER(INDEX(PASTE_ALL,$DF272,$L$7)),INDEX(PASTE_ALL,$DF272,$L$7),TRIM(SUBSTITUTE(SUBSTITUTE(SUBSTITUTE(SUBSTITUTE(INDEX(PASTE_ALL,$DF272,$L$7)," "," "),CHAR(9)," "),CHAR(10)," "),CHAR(13)," "))),"")))</f>
        <v/>
      </c>
      <c r="DP272">
        <f>IF($DM272=0,"",IF($L$8=0,"",IFERROR(IF(ISNUMBER(INDEX(PASTE_ALL,$DF272,$L$8)),INDEX(PASTE_ALL,$DF272,$L$8),TRIM(SUBSTITUTE(SUBSTITUTE(SUBSTITUTE(SUBSTITUTE(INDEX(PASTE_ALL,$DF272,$L$8)," "," "),CHAR(9)," "),CHAR(10)," "),CHAR(13)," "))),"")))</f>
        <v/>
      </c>
      <c r="DQ272">
        <f>IF($DM272=0,"",IF($L$9=0,"",IFERROR(IF(ISNUMBER(INDEX(PASTE_ALL,$DF272,$L$9)),INDEX(PASTE_ALL,$DF272,$L$9),TRIM(SUBSTITUTE(SUBSTITUTE(SUBSTITUTE(SUBSTITUTE(INDEX(PASTE_ALL,$DF272,$L$9)," "," "),CHAR(9)," "),CHAR(10)," "),CHAR(13)," "))),"")))</f>
        <v/>
      </c>
      <c r="DR272">
        <f>IF($DM272=0,"",IF($L$10=0,"",IFERROR(IF(ISNUMBER(INDEX(PASTE_ALL,$DF272,$L$10)),INDEX(PASTE_ALL,$DF272,$L$10),TRIM(SUBSTITUTE(SUBSTITUTE(SUBSTITUTE(SUBSTITUTE(INDEX(PASTE_ALL,$DF272,$L$10)," "," "),CHAR(9)," "),CHAR(10)," "),CHAR(13)," "))),"")))</f>
        <v/>
      </c>
      <c r="DS272">
        <f>IF($DM272=0,"",IF($L$11=0,"",IFERROR(IF(ISNUMBER(INDEX(PASTE_ALL,$DF272,$L$11)),INDEX(PASTE_ALL,$DF272,$L$11),TRIM(SUBSTITUTE(SUBSTITUTE(SUBSTITUTE(SUBSTITUTE(INDEX(PASTE_ALL,$DF272,$L$11)," "," "),CHAR(9)," "),CHAR(10)," "),CHAR(13)," "))),"")))</f>
        <v/>
      </c>
      <c r="DT272">
        <f>IF($DM272=0,"",IF($L$12=0,"",IFERROR(IF(ISNUMBER(INDEX(PASTE_ALL,$DF272,$L$12)),INDEX(PASTE_ALL,$DF272,$L$12),TRIM(SUBSTITUTE(SUBSTITUTE(SUBSTITUTE(SUBSTITUTE(INDEX(PASTE_ALL,$DF272,$L$12)," "," "),CHAR(9)," "),CHAR(10)," "),CHAR(13)," "))),"")))</f>
        <v/>
      </c>
      <c r="DU272">
        <f>IF($DM272=0,"",IF($L$13=0,"",IFERROR(IF(ISNUMBER(INDEX(PASTE_ALL,$DF272,$L$13)),INDEX(PASTE_ALL,$DF272,$L$13),TRIM(SUBSTITUTE(SUBSTITUTE(SUBSTITUTE(SUBSTITUTE(INDEX(PASTE_ALL,$DF272,$L$13)," "," "),CHAR(9)," "),CHAR(10)," "),CHAR(13)," "))),"")))</f>
        <v/>
      </c>
      <c r="DV272">
        <f>IF($DM272=0,"",IF($L$14=0,"",IFERROR(IF(ISNUMBER(INDEX(PASTE_ALL,$DF272,$L$14)),INDEX(PASTE_ALL,$DF272,$L$14),TRIM(SUBSTITUTE(SUBSTITUTE(SUBSTITUTE(SUBSTITUTE(INDEX(PASTE_ALL,$DF272,$L$14)," "," "),CHAR(9)," "),CHAR(10)," "),CHAR(13)," "))),"")))</f>
        <v/>
      </c>
      <c r="DW272">
        <f>IF($DM272=0,"",IF($L$15=0,"",IFERROR(IF(ISNUMBER(INDEX(PASTE_ALL,$DF272,$L$15)),INDEX(PASTE_ALL,$DF272,$L$15),IF(SUMPRODUCT(--ISNUMBER(FIND({"A","B","C","D","E","F","G","H","I","J","K","L","M","N","O","P","Q","R","S","T","U","V","W","X","Y","Z","0","1","2","3","4","5","6","7","8","9"},UPPER(TRIM(SUBSTITUTE(SUBSTITUTE(SUBSTITUTE(SUBSTITUTE(INDEX(PASTE_ALL,$DF272,$L$15)," "," "),CHAR(9)," "),CHAR(10)," "),CHAR(13)," "))))))&gt;0,TRIM(SUBSTITUTE(SUBSTITUTE(SUBSTITUTE(SUBSTITUTE(INDEX(PASTE_ALL,$DF272,$L$15)," "," "),CHAR(9)," "),CHAR(10)," "),CHAR(13)," ")),"")),"")))</f>
        <v/>
      </c>
      <c r="DX272">
        <f>IF($DM272=0,"",IF($L$16=0,"",IFERROR(IF(ISNUMBER(INDEX(PASTE_ALL,$DF272,$L$16)),INDEX(PASTE_ALL,$DF272,$L$16),SUBSTITUTE(SUBSTITUTE(TRIM(SUBSTITUTE(SUBSTITUTE(SUBSTITUTE(SUBSTITUTE(INDEX(PASTE_ALL,$DF272,$L$16)," "," "),CHAR(9)," "),CHAR(10)," "),CHAR(13)," ")),",",""),"%","")),"")))</f>
        <v/>
      </c>
      <c r="DY272">
        <f>IF($DM272=0,"",IFERROR(IF(ISNUMBER($DX272),$DX272,IF($DX272="","",IF(TRIM($DX272)="",0,IF(AND(AND(SUBSTITUTE(SUBSTITUTE(SUBSTITUTE(SUBSTITUTE(SUBSTITUTE(SUBSTITUTE(SUBSTITUTE(SUBSTITUTE(SUBSTITUTE(SUBSTITUTE(SUBSTITUTE(SUBSTITUTE(SUBSTITUTE(SUBSTITUTE(UPPER(TRIM($DX272)),"0",""),"1",""),"2",""),"3",""),"4",""),"5",""),"6",""),"7",""),"8",""),"9",""),".",""),"+",""),"-",""),"E","")="",LEN(SUBSTITUTE(SUBSTITUTE(MID(UPPER(TRIM($DX272)),1+OR(LEFT(UPPER(TRIM($DX272)),1)="+",LEFT(UPPER(TRIM($DX272)),1)="-"),999),"E+","E"),"E-","E"))=LEN(SUBSTITUTE(SUBSTITUTE(SUBSTITUTE(SUBSTITUTE(MID(UPPER(TRIM($DX272)),1+OR(LEFT(UPPER(TRIM($DX272)),1)="+",LEFT(UPPER(TRIM($DX272)),1)="-"),999),"E+","E"),"E-","E"),"+",""),"-","")),LEN(UPPER(TRIM($DX272)))-LEN(SUBSTITUTE(UPPER(TRIM($DX272)),"E",""))&lt;2,LEN(UPPER(TRIM($DX272)))-LEN(SUBSTITUTE(UPPER(TRIM($DX272)),".",""))&lt;2,IFERROR(FIND(".",UPPER(TRIM($DX272))),0)&lt;IFERROR(FIND("E",UPPER(TRIM($DX272))),999)),ISNUMBER(VALUE(TRIM($DX272)))),VALUE(TRIM($DX272)),"")))),""))</f>
        <v/>
      </c>
      <c r="DZ272">
        <f>IF($DM272=0,"",IF($L$17=0,"",IFERROR(IF(ISNUMBER(INDEX(PASTE_ALL,$DF272,$L$17)),INDEX(PASTE_ALL,$DF272,$L$17),SUBSTITUTE(SUBSTITUTE(TRIM(SUBSTITUTE(SUBSTITUTE(SUBSTITUTE(SUBSTITUTE(INDEX(PASTE_ALL,$DF272,$L$17)," "," "),CHAR(9)," "),CHAR(10)," "),CHAR(13)," ")),",",""),"%","")),"")))</f>
        <v/>
      </c>
      <c r="EA272">
        <f>IF($DM272=0,"",IFERROR(IF(ISNUMBER($DZ272),$DZ272,IF($DZ272="","",IF(TRIM($DZ272)="",0,IF(AND(AND(SUBSTITUTE(SUBSTITUTE(SUBSTITUTE(SUBSTITUTE(SUBSTITUTE(SUBSTITUTE(SUBSTITUTE(SUBSTITUTE(SUBSTITUTE(SUBSTITUTE(SUBSTITUTE(SUBSTITUTE(SUBSTITUTE(SUBSTITUTE(UPPER(TRIM($DZ272)),"0",""),"1",""),"2",""),"3",""),"4",""),"5",""),"6",""),"7",""),"8",""),"9",""),".",""),"+",""),"-",""),"E","")="",LEN(SUBSTITUTE(SUBSTITUTE(MID(UPPER(TRIM($DZ272)),1+OR(LEFT(UPPER(TRIM($DZ272)),1)="+",LEFT(UPPER(TRIM($DZ272)),1)="-"),999),"E+","E"),"E-","E"))=LEN(SUBSTITUTE(SUBSTITUTE(SUBSTITUTE(SUBSTITUTE(MID(UPPER(TRIM($DZ272)),1+OR(LEFT(UPPER(TRIM($DZ272)),1)="+",LEFT(UPPER(TRIM($DZ272)),1)="-"),999),"E+","E"),"E-","E"),"+",""),"-","")),LEN(UPPER(TRIM($DZ272)))-LEN(SUBSTITUTE(UPPER(TRIM($DZ272)),"E",""))&lt;2,LEN(UPPER(TRIM($DZ272)))-LEN(SUBSTITUTE(UPPER(TRIM($DZ272)),".",""))&lt;2,IFERROR(FIND(".",UPPER(TRIM($DZ272))),0)&lt;IFERROR(FIND("E",UPPER(TRIM($DZ272))),999)),ISNUMBER(VALUE(TRIM($DZ272)))),VALUE(TRIM($DZ272)),"")))),""))</f>
        <v/>
      </c>
      <c r="EB272">
        <f>IF($DM272=0,"",IF($L$18=0,"",IFERROR(IF(UPPER(TRIM(SUBSTITUTE(SUBSTITUTE(SUBSTITUTE(SUBSTITUTE(INDEX(PASTE_ALL,$DF272,$L$18)," "," "),CHAR(9)," "),CHAR(10)," "),CHAR(13)," ")))="READY","Ready",IF(UPPER(TRIM(SUBSTITUTE(SUBSTITUTE(SUBSTITUTE(SUBSTITUTE(INDEX(PASTE_ALL,$DF272,$L$18)," "," "),CHAR(9)," "),CHAR(10)," "),CHAR(13)," ")))="PM","PM",IF(OR(UPPER(TRIM(SUBSTITUTE(SUBSTITUTE(SUBSTITUTE(SUBSTITUTE(INDEX(PASTE_ALL,$DF272,$L$18)," "," "),CHAR(9)," "),CHAR(10)," "),CHAR(13)," ")))="OT",UPPER(TRIM(SUBSTITUTE(SUBSTITUTE(SUBSTITUTE(SUBSTITUTE(INDEX(PASTE_ALL,$DF272,$L$18)," "," "),CHAR(9)," "),CHAR(10)," "),CHAR(13)," ")))="OVERTIME",UPPER(TRIM(SUBSTITUTE(SUBSTITUTE(SUBSTITUTE(SUBSTITUTE(INDEX(PASTE_ALL,$DF272,$L$18)," "," "),CHAR(9)," "),CHAR(10)," "),CHAR(13)," ")))="TRIAL"),"OT",TRIM(SUBSTITUTE(SUBSTITUTE(SUBSTITUTE(SUBSTITUTE(INDEX(PASTE_ALL,$DF272,$L$18)," "," "),CHAR(9)," "),CHAR(10)," "),CHAR(13)," "))))),"")))</f>
        <v/>
      </c>
      <c r="EC272">
        <f>IF($DM272=0,"",IF($L$19=0,"",IFERROR(IF(ISNUMBER(INDEX(PASTE_ALL,$DF272,$L$19)),INDEX(PASTE_ALL,$DF272,$L$19),TRIM(SUBSTITUTE(SUBSTITUTE(SUBSTITUTE(SUBSTITUTE(INDEX(PASTE_ALL,$DF272,$L$19)," "," "),CHAR(9)," "),CHAR(10)," "),CHAR(13)," "))),"")))</f>
        <v/>
      </c>
      <c r="ED272">
        <f>IF($DM272=0,"",MATCH(1,INDEX(EXACT($DH$5:DH272,$DH272)*$DM$5:DM272,0),0))</f>
        <v/>
      </c>
      <c r="EE272">
        <f>IF($DM272=0,0,IF($ED272=$DE272,1,0))</f>
        <v/>
      </c>
      <c r="EF272">
        <f>EF271+$EE272</f>
        <v/>
      </c>
      <c r="EG272">
        <f>IF($DM272=0,"",INDEX($EF$5:$EF$1003,$ED272))</f>
        <v/>
      </c>
      <c r="EH272">
        <f>IF($DM272=0,"",IF($DO272&lt;&gt;"","",IFERROR(LOOKUP(2,1/(($EG$4:EG271=$EG272)*($DO$4:DO271&lt;&gt;"")),$DO$4:DO271),"")))</f>
        <v/>
      </c>
      <c r="EI272">
        <f>IF($DM272=0,"",IF($DO272&lt;&gt;"",$DO272,$EH272))</f>
        <v/>
      </c>
      <c r="EJ272">
        <f>IF($DM272=0,"",IF($EI272="",0,IF(OR(ISNUMBER($EI272),AND(AND(SUBSTITUTE(SUBSTITUTE(SUBSTITUTE(SUBSTITUTE(SUBSTITUTE(SUBSTITUTE(SUBSTITUTE(SUBSTITUTE(SUBSTITUTE(SUBSTITUTE(SUBSTITUTE(SUBSTITUTE(SUBSTITUTE(SUBSTITUTE(UPPER($EI272),"0",""),"1",""),"2",""),"3",""),"4",""),"5",""),"6",""),"7",""),"8",""),"9",""),".",""),"+",""),"-",""),"E","")="",LEN(SUBSTITUTE(SUBSTITUTE(MID(UPPER($EI272),1+OR(LEFT(UPPER($EI272),1)="+",LEFT(UPPER($EI272),1)="-"),999),"E+","E"),"E-","E"))=LEN(SUBSTITUTE(SUBSTITUTE(SUBSTITUTE(SUBSTITUTE(MID(UPPER($EI272),1+OR(LEFT(UPPER($EI272),1)="+",LEFT(UPPER($EI272),1)="-"),999),"E+","E"),"E-","E"),"+",""),"-","")),LEN(UPPER($EI272))-LEN(SUBSTITUTE(UPPER($EI272),"E",""))&lt;2,LEN(UPPER($EI272))-LEN(SUBSTITUTE(UPPER($EI272),".",""))&lt;2,IFERROR(FIND(".",UPPER($EI272)),0)&lt;IFERROR(FIND("E",UPPER($EI272)),999)),ISNUMBER(VALUE($EI272)))),1,2)))</f>
        <v/>
      </c>
      <c r="EK272">
        <f>IF($DM272=0,"",IF($EJ272=1,IF(ISNUMBER($EI272),$EI272,VALUE($EI272)),IF($EJ272=2,$DE272,0)))</f>
        <v/>
      </c>
      <c r="EL272">
        <f>IF($DM272=0,"",COUNTIF($EG$5:$EG$1003,"&lt;"&amp;$EG272)+SUMPRODUCT(($EG$5:$EG$1003=$EG272)*(($EJ$5:$EJ$1003&lt;$EJ272)+($EJ$5:$EJ$1003=$EJ272)*(($EK$5:$EK$1003&lt;$EK272)+($EK$5:$EK$1003=$EK272)*($DE$5:$DE$1003&lt;$DE272))))+1)</f>
        <v/>
      </c>
      <c r="EM272">
        <f>IF($DM272=0,"",$EL272+$EG272-1)</f>
        <v/>
      </c>
      <c r="EN272">
        <f>IF($DM272=0,0,IFERROR(MATCH(1,INDEX(--(TRIM(SUBSTITUTE(SUBSTITUTE(SUBSTITUTE(SUBSTITUTE(LINES_NAME&amp;""," "," "),CHAR(9)," "),CHAR(10)," "),CHAR(13)," "))=$DH272),0),0),0))</f>
        <v/>
      </c>
      <c r="EO272">
        <f>IF($EN272=0,0,IF(OR(UPPER(TRIM(INDEX(LINES_SCHEDULED,$EN272)&amp;""))="YES",UPPER(TRIM(INDEX(LINES_SCHEDULED,$EN272)&amp;""))="Y",UPPER(TRIM(INDEX(LINES_SCHEDULED,$EN272)&amp;""))="X"),1,0))</f>
        <v/>
      </c>
      <c r="EP272">
        <f>IF($DM272=0,"",IF(COUNTIFS($EG$5:$EG$1003,$EG272,$EB$5:$EB$1003,"Ready")&gt;0,"READY",IF(COUNTIFS($EG$5:$EG$1003,$EG272,$EB$5:$EB$1003,"PM")&gt;0,"PM",IF(COUNTIFS($EG$5:$EG$1003,$EG272,$EB$5:$EB$1003,"OT")&gt;0,"OT",""))))</f>
        <v/>
      </c>
      <c r="EQ272">
        <f>IF($EN272=0,"",UPPER(TRIM(INDEX(LINES_STATUS,$EN272)&amp;"")))</f>
        <v/>
      </c>
      <c r="ER272">
        <f>IF($DM272=0,"",IF(OR($EQ272="READY",$EQ272="PM",$EQ272="OT"),$EQ272,$EP272))</f>
        <v/>
      </c>
      <c r="ES272">
        <f>IF($DM272=0,"",IF(AND($DV272&lt;&gt;"",UPPER($DV272)&lt;&gt;"N"),"allergen",IF(ISNUMBER(SEARCH("oil",$DQ272)),"oil",IF(OR(EXACT($DS272,"A662"),EXACT($DS272,"A624")),"bulk",""))))</f>
        <v/>
      </c>
      <c r="ET272">
        <f>IF($DM272=0,"",IF(OR($EA272="",$EA272=0),"",$EA272/100))</f>
        <v/>
      </c>
      <c r="EU272">
        <f>IF(OR($ET272="",$DY272=""),"",INT($DY272*(1-$ET272)+0.5))</f>
        <v/>
      </c>
      <c r="EW272" t="n">
        <v>268</v>
      </c>
      <c r="EX272">
        <f>IFERROR(MATCH($EW272,$EM$5:$EM$1003,0),0)</f>
        <v/>
      </c>
      <c r="EY272">
        <f>IF($EW272&gt;$B$12,"",IF($EX272&gt;0,"row","spacer"))</f>
        <v/>
      </c>
      <c r="EZ272">
        <f>IF(AND($EY272="row",$EY271&lt;&gt;"row"),1,0)</f>
        <v/>
      </c>
      <c r="FA272">
        <f>IF(AND($EY272="row",$EY273&lt;&gt;"row"),1,0)</f>
        <v/>
      </c>
      <c r="FB272">
        <f>IF($EZ272=1,IFERROR(IF(ISNUMBER(INDEX(PASTE_ALL,INDEX($DF$5:$DF$1003,$EX272),$B$37)),INDEX(PASTE_ALL,INDEX($DF$5:$DF$1003,$EX272),$B$37),INDEX($DH$5:$DH$1003,$EX272)),INDEX($DH$5:$DH$1003,$EX272)),"")</f>
        <v/>
      </c>
      <c r="FC272">
        <f>IF($EY272="row",INDEX($ER$5:$ER$1003,$EX272),"")</f>
        <v/>
      </c>
      <c r="FD272">
        <f>IF($EY272="row",INDEX($DN$5:$DN$1003,$EX272),"")</f>
        <v/>
      </c>
      <c r="FE272">
        <f>IF($EY272="row",INDEX($DO$5:$DO$1003,$EX272),"")</f>
        <v/>
      </c>
      <c r="FF272">
        <f>IF($EY272="row",INDEX($DP$5:$DP$1003,$EX272),"")</f>
        <v/>
      </c>
      <c r="FG272">
        <f>IF($EY272="row",INDEX($DQ$5:$DQ$1003,$EX272),"")</f>
        <v/>
      </c>
      <c r="FH272">
        <f>IF($EY272="row",INDEX($DR$5:$DR$1003,$EX272),"")</f>
        <v/>
      </c>
      <c r="FI272">
        <f>IF($EY272="row",INDEX($DS$5:$DS$1003,$EX272),"")</f>
        <v/>
      </c>
      <c r="FJ272">
        <f>IF($EY272="row",INDEX($DT$5:$DT$1003,$EX272),"")</f>
        <v/>
      </c>
      <c r="FK272">
        <f>IF($EY272="row",INDEX($DU$5:$DU$1003,$EX272),"")</f>
        <v/>
      </c>
      <c r="FL272">
        <f>IF($EY272="row",INDEX($DV$5:$DV$1003,$EX272),"")</f>
        <v/>
      </c>
      <c r="FM272">
        <f>IF($EY272="row",INDEX($DW$5:$DW$1003,$EX272),"")</f>
        <v/>
      </c>
      <c r="FN272">
        <f>IF($EY272="row",INDEX($DY$5:$DY$1003,$EX272),"")</f>
        <v/>
      </c>
      <c r="FO272">
        <f>IF($EY272="row",INDEX($EA$5:$EA$1003,$EX272),"")</f>
        <v/>
      </c>
      <c r="FP272">
        <f>IF($EY272="row",INDEX($EC$5:$EC$1003,$EX272),"")</f>
        <v/>
      </c>
      <c r="FQ272">
        <f>IF($EY272="row",INDEX($ET$5:$ET$1003,$EX272),"")</f>
        <v/>
      </c>
      <c r="FR272">
        <f>IF($EY272="row",INDEX($EU$5:$EU$1003,$EX272),"")</f>
        <v/>
      </c>
      <c r="FS272">
        <f>IF(AND($EY272="row",$EY271="row"),IF(OR(INDEX($DT$5:$DT$1003,$EX271)="",INDEX($DT$5:$DT$1003,$EX272)=""),"",IF(NOT(EXACT(INDEX($DT$5:$DT$1003,$EX271),INDEX($DT$5:$DT$1003,$EX272))),"S4",IF(NOT(EXACT(INDEX($DS$5:$DS$1003,$EX271),INDEX($DS$5:$DS$1003,$EX272))),"S3",IF(NOT(EXACT(INDEX($DR$5:$DR$1003,$EX271),INDEX($DR$5:$DR$1003,$EX272))),"S1 Count Change","S1")))),"")</f>
        <v/>
      </c>
      <c r="FT272">
        <f>IF($EY272="row",INDEX($ES$5:$ES$1003,$EX272),"")</f>
        <v/>
      </c>
      <c r="FU272">
        <f>IF($EY272="row",INDEX($EO$5:$EO$1003,$EX272),0)</f>
        <v/>
      </c>
      <c r="FV272">
        <f>IF($FS272="S1 Count Change",1,0)</f>
        <v/>
      </c>
    </row>
    <row r="273">
      <c r="DA273" t="n">
        <v>269</v>
      </c>
      <c r="DB273">
        <f>IF($B$37=0,"",IFERROR(TRIM(SUBSTITUTE(SUBSTITUTE(SUBSTITUTE(SUBSTITUTE(INDEX(PASTE_ALL,269,$B$37)," "," "),CHAR(9)," "),CHAR(10)," "),CHAR(13)," ")),""))</f>
        <v/>
      </c>
      <c r="DC273">
        <f>IF(AND(269&gt;HEADER_ROW,UPPER(DB273)="LEGEND"),1,0)</f>
        <v/>
      </c>
      <c r="DE273" t="n">
        <v>269</v>
      </c>
      <c r="DF273">
        <f>HEADER_ROW+$DE273</f>
        <v/>
      </c>
      <c r="DG273">
        <f>IF(AND($DF273&lt;=1000,$DF273&lt;$B$8),1,0)</f>
        <v/>
      </c>
      <c r="DH273">
        <f>IF($DG273=1,IFERROR(INDEX($DB$5:$DB$1004,$DF273),""),"")</f>
        <v/>
      </c>
      <c r="DI273">
        <f>IF(AND($DG273=1,$DH273&lt;&gt;""),IFERROR(SUBSTITUTE(SUBSTITUTE(TRIM(SUBSTITUTE(SUBSTITUTE(SUBSTITUTE(SUBSTITUTE(IFERROR(INDEX(PASTE_ALL,$DF273,1)&amp;"","")&amp;"␟"&amp;IFERROR(INDEX(PASTE_ALL,$DF273,2)&amp;"","")&amp;"␟"&amp;IFERROR(INDEX(PASTE_ALL,$DF273,3)&amp;"","")&amp;"␟"&amp;IFERROR(INDEX(PASTE_ALL,$DF273,4)&amp;"","")&amp;"␟"&amp;IFERROR(INDEX(PASTE_ALL,$DF273,5)&amp;"","")&amp;"␟"&amp;IFERROR(INDEX(PASTE_ALL,$DF273,6)&amp;"","")&amp;"␟"&amp;IFERROR(INDEX(PASTE_ALL,$DF273,7)&amp;"","")&amp;"␟"&amp;IFERROR(INDEX(PASTE_ALL,$DF273,8)&amp;"","")&amp;"␟"&amp;IFERROR(INDEX(PASTE_ALL,$DF273,9)&amp;"","")&amp;"␟"&amp;IFERROR(INDEX(PASTE_ALL,$DF273,10)&amp;"","")&amp;"␟"&amp;IFERROR(INDEX(PASTE_ALL,$DF273,11)&amp;"","")&amp;"␟"&amp;IFERROR(INDEX(PASTE_ALL,$DF273,12)&amp;"","")&amp;"␟"&amp;IFERROR(INDEX(PASTE_ALL,$DF273,13)&amp;"","")&amp;"␟"&amp;IFERROR(INDEX(PASTE_ALL,$DF273,14)&amp;"","")&amp;"␟"&amp;IFERROR(INDEX(PASTE_ALL,$DF273,15)&amp;"","")&amp;"␟"&amp;IFERROR(INDEX(PASTE_ALL,$DF273,16)&amp;"","")&amp;"␟"&amp;IFERROR(INDEX(PASTE_ALL,$DF273,17)&amp;"","")&amp;"␟"&amp;IFERROR(INDEX(PASTE_ALL,$DF273,18)&amp;"","")&amp;"␟"&amp;IFERROR(INDEX(PASTE_ALL,$DF273,19)&amp;"","")&amp;"␟"&amp;IFERROR(INDEX(PASTE_ALL,$DF273,20)&amp;"","")&amp;"␟"&amp;IFERROR(INDEX(PASTE_ALL,$DF273,21)&amp;"","")&amp;"␟"&amp;IFERROR(INDEX(PASTE_ALL,$DF273,22)&amp;"","")&amp;"␟"&amp;IFERROR(INDEX(PASTE_ALL,$DF273,23)&amp;"","")&amp;"␟"&amp;IFERROR(INDEX(PASTE_ALL,$DF273,24)&amp;"","")&amp;"␟"&amp;IFERROR(INDEX(PASTE_ALL,$DF273,25)&amp;"","")&amp;"␟"&amp;IFERROR(INDEX(PASTE_ALL,$DF273,26)&amp;"","")&amp;"␟"&amp;IFERROR(INDEX(PASTE_ALL,$DF273,27)&amp;"","")&amp;"␟"&amp;IFERROR(INDEX(PASTE_ALL,$DF273,28)&amp;"","")&amp;"␟"&amp;IFERROR(INDEX(PASTE_ALL,$DF273,29)&amp;"","")&amp;"␟"&amp;IFERROR(INDEX(PASTE_ALL,$DF273,30)&amp;"","")&amp;"␟"&amp;IFERROR(INDEX(PASTE_ALL,$DF273,31)&amp;"","")&amp;"␟"&amp;IFERROR(INDEX(PASTE_ALL,$DF273,32)&amp;"","")&amp;"␟"&amp;IFERROR(INDEX(PASTE_ALL,$DF273,33)&amp;"","")&amp;"␟"&amp;IFERROR(INDEX(PASTE_ALL,$DF273,34)&amp;"","")&amp;"␟"&amp;IFERROR(INDEX(PASTE_ALL,$DF273,35)&amp;"","")&amp;"␟"&amp;IFERROR(INDEX(PASTE_ALL,$DF273,36)&amp;"","")&amp;"␟"&amp;IFERROR(INDEX(PASTE_ALL,$DF273,37)&amp;"","")&amp;"␟"&amp;IFERROR(INDEX(PASTE_ALL,$DF273,38)&amp;"","")&amp;"␟"&amp;IFERROR(INDEX(PASTE_ALL,$DF273,39)&amp;"","")&amp;"␟"&amp;IFERROR(INDEX(PASTE_ALL,$DF273,40)&amp;"","")&amp;"␟"&amp;IFERROR(INDEX(PASTE_ALL,$DF273,41)&amp;"","")&amp;"␟"&amp;IFERROR(INDEX(PASTE_ALL,$DF273,42)&amp;"","")&amp;"␟"&amp;IFERROR(INDEX(PASTE_ALL,$DF273,43)&amp;"","")&amp;"␟"&amp;IFERROR(INDEX(PASTE_ALL,$DF273,44)&amp;"","")&amp;"␟"&amp;IFERROR(INDEX(PASTE_ALL,$DF273,45)&amp;"","")&amp;"␟"&amp;IFERROR(INDEX(PASTE_ALL,$DF273,46)&amp;"","")&amp;"␟"&amp;IFERROR(INDEX(PASTE_ALL,$DF273,47)&amp;"","")&amp;"␟"&amp;IFERROR(INDEX(PASTE_ALL,$DF273,48)&amp;"","")&amp;"␟"&amp;IFERROR(INDEX(PASTE_ALL,$DF273,49)&amp;"","")&amp;"␟"&amp;IFERROR(INDEX(PASTE_ALL,$DF273,50)&amp;"","")&amp;"␟"&amp;IFERROR(INDEX(PASTE_ALL,$DF273,51)&amp;"","")&amp;"␟"&amp;IFERROR(INDEX(PASTE_ALL,$DF273,52)&amp;"","")&amp;"␟"&amp;IFERROR(INDEX(PASTE_ALL,$DF273,53)&amp;"","")&amp;"␟"&amp;IFERROR(INDEX(PASTE_ALL,$DF273,54)&amp;"","")&amp;"␟"&amp;IFERROR(INDEX(PASTE_ALL,$DF273,55)&amp;"","")&amp;"␟"&amp;IFERROR(INDEX(PASTE_ALL,$DF273,56)&amp;"","")&amp;"␟"&amp;IFERROR(INDEX(PASTE_ALL,$DF273,57)&amp;"","")&amp;"␟"&amp;IFERROR(INDEX(PASTE_ALL,$DF273,58)&amp;"","")&amp;"␟"&amp;IFERROR(INDEX(PASTE_ALL,$DF273,59)&amp;"","")&amp;"␟"&amp;IFERROR(INDEX(PASTE_ALL,$DF273,60)&amp;"","")," "," "),CHAR(9)," "),CHAR(10)," "),CHAR(13)," "))," ␟","␟"),"␟ ","␟"),"#"&amp;$DE273),"")</f>
        <v/>
      </c>
      <c r="DJ273">
        <f>IF($DI273="",0,IF(SUMPRODUCT(--EXACT($DI$4:DI272,$DI273))&gt;0,1,0))</f>
        <v/>
      </c>
      <c r="DK273">
        <f>IF(AND($DI273&lt;&gt;"",$DJ273=0),1,0)</f>
        <v/>
      </c>
      <c r="DL273">
        <f>DL272+$DK273</f>
        <v/>
      </c>
      <c r="DM273">
        <f>IF(AND($DK273=1,$DL273&lt;=600),1,0)</f>
        <v/>
      </c>
      <c r="DN273">
        <f>IF($DM273=0,"",IF($L$6=0,"",IFERROR(IF(ISNUMBER(INDEX(PASTE_ALL,$DF273,$L$6)),INDEX(PASTE_ALL,$DF273,$L$6),TRIM(SUBSTITUTE(SUBSTITUTE(SUBSTITUTE(SUBSTITUTE(INDEX(PASTE_ALL,$DF273,$L$6)," "," "),CHAR(9)," "),CHAR(10)," "),CHAR(13)," "))),"")))</f>
        <v/>
      </c>
      <c r="DO273">
        <f>IF($DM273=0,"",IF($L$7=0,"",IFERROR(IF(ISNUMBER(INDEX(PASTE_ALL,$DF273,$L$7)),INDEX(PASTE_ALL,$DF273,$L$7),TRIM(SUBSTITUTE(SUBSTITUTE(SUBSTITUTE(SUBSTITUTE(INDEX(PASTE_ALL,$DF273,$L$7)," "," "),CHAR(9)," "),CHAR(10)," "),CHAR(13)," "))),"")))</f>
        <v/>
      </c>
      <c r="DP273">
        <f>IF($DM273=0,"",IF($L$8=0,"",IFERROR(IF(ISNUMBER(INDEX(PASTE_ALL,$DF273,$L$8)),INDEX(PASTE_ALL,$DF273,$L$8),TRIM(SUBSTITUTE(SUBSTITUTE(SUBSTITUTE(SUBSTITUTE(INDEX(PASTE_ALL,$DF273,$L$8)," "," "),CHAR(9)," "),CHAR(10)," "),CHAR(13)," "))),"")))</f>
        <v/>
      </c>
      <c r="DQ273">
        <f>IF($DM273=0,"",IF($L$9=0,"",IFERROR(IF(ISNUMBER(INDEX(PASTE_ALL,$DF273,$L$9)),INDEX(PASTE_ALL,$DF273,$L$9),TRIM(SUBSTITUTE(SUBSTITUTE(SUBSTITUTE(SUBSTITUTE(INDEX(PASTE_ALL,$DF273,$L$9)," "," "),CHAR(9)," "),CHAR(10)," "),CHAR(13)," "))),"")))</f>
        <v/>
      </c>
      <c r="DR273">
        <f>IF($DM273=0,"",IF($L$10=0,"",IFERROR(IF(ISNUMBER(INDEX(PASTE_ALL,$DF273,$L$10)),INDEX(PASTE_ALL,$DF273,$L$10),TRIM(SUBSTITUTE(SUBSTITUTE(SUBSTITUTE(SUBSTITUTE(INDEX(PASTE_ALL,$DF273,$L$10)," "," "),CHAR(9)," "),CHAR(10)," "),CHAR(13)," "))),"")))</f>
        <v/>
      </c>
      <c r="DS273">
        <f>IF($DM273=0,"",IF($L$11=0,"",IFERROR(IF(ISNUMBER(INDEX(PASTE_ALL,$DF273,$L$11)),INDEX(PASTE_ALL,$DF273,$L$11),TRIM(SUBSTITUTE(SUBSTITUTE(SUBSTITUTE(SUBSTITUTE(INDEX(PASTE_ALL,$DF273,$L$11)," "," "),CHAR(9)," "),CHAR(10)," "),CHAR(13)," "))),"")))</f>
        <v/>
      </c>
      <c r="DT273">
        <f>IF($DM273=0,"",IF($L$12=0,"",IFERROR(IF(ISNUMBER(INDEX(PASTE_ALL,$DF273,$L$12)),INDEX(PASTE_ALL,$DF273,$L$12),TRIM(SUBSTITUTE(SUBSTITUTE(SUBSTITUTE(SUBSTITUTE(INDEX(PASTE_ALL,$DF273,$L$12)," "," "),CHAR(9)," "),CHAR(10)," "),CHAR(13)," "))),"")))</f>
        <v/>
      </c>
      <c r="DU273">
        <f>IF($DM273=0,"",IF($L$13=0,"",IFERROR(IF(ISNUMBER(INDEX(PASTE_ALL,$DF273,$L$13)),INDEX(PASTE_ALL,$DF273,$L$13),TRIM(SUBSTITUTE(SUBSTITUTE(SUBSTITUTE(SUBSTITUTE(INDEX(PASTE_ALL,$DF273,$L$13)," "," "),CHAR(9)," "),CHAR(10)," "),CHAR(13)," "))),"")))</f>
        <v/>
      </c>
      <c r="DV273">
        <f>IF($DM273=0,"",IF($L$14=0,"",IFERROR(IF(ISNUMBER(INDEX(PASTE_ALL,$DF273,$L$14)),INDEX(PASTE_ALL,$DF273,$L$14),TRIM(SUBSTITUTE(SUBSTITUTE(SUBSTITUTE(SUBSTITUTE(INDEX(PASTE_ALL,$DF273,$L$14)," "," "),CHAR(9)," "),CHAR(10)," "),CHAR(13)," "))),"")))</f>
        <v/>
      </c>
      <c r="DW273">
        <f>IF($DM273=0,"",IF($L$15=0,"",IFERROR(IF(ISNUMBER(INDEX(PASTE_ALL,$DF273,$L$15)),INDEX(PASTE_ALL,$DF273,$L$15),IF(SUMPRODUCT(--ISNUMBER(FIND({"A","B","C","D","E","F","G","H","I","J","K","L","M","N","O","P","Q","R","S","T","U","V","W","X","Y","Z","0","1","2","3","4","5","6","7","8","9"},UPPER(TRIM(SUBSTITUTE(SUBSTITUTE(SUBSTITUTE(SUBSTITUTE(INDEX(PASTE_ALL,$DF273,$L$15)," "," "),CHAR(9)," "),CHAR(10)," "),CHAR(13)," "))))))&gt;0,TRIM(SUBSTITUTE(SUBSTITUTE(SUBSTITUTE(SUBSTITUTE(INDEX(PASTE_ALL,$DF273,$L$15)," "," "),CHAR(9)," "),CHAR(10)," "),CHAR(13)," ")),"")),"")))</f>
        <v/>
      </c>
      <c r="DX273">
        <f>IF($DM273=0,"",IF($L$16=0,"",IFERROR(IF(ISNUMBER(INDEX(PASTE_ALL,$DF273,$L$16)),INDEX(PASTE_ALL,$DF273,$L$16),SUBSTITUTE(SUBSTITUTE(TRIM(SUBSTITUTE(SUBSTITUTE(SUBSTITUTE(SUBSTITUTE(INDEX(PASTE_ALL,$DF273,$L$16)," "," "),CHAR(9)," "),CHAR(10)," "),CHAR(13)," ")),",",""),"%","")),"")))</f>
        <v/>
      </c>
      <c r="DY273">
        <f>IF($DM273=0,"",IFERROR(IF(ISNUMBER($DX273),$DX273,IF($DX273="","",IF(TRIM($DX273)="",0,IF(AND(AND(SUBSTITUTE(SUBSTITUTE(SUBSTITUTE(SUBSTITUTE(SUBSTITUTE(SUBSTITUTE(SUBSTITUTE(SUBSTITUTE(SUBSTITUTE(SUBSTITUTE(SUBSTITUTE(SUBSTITUTE(SUBSTITUTE(SUBSTITUTE(UPPER(TRIM($DX273)),"0",""),"1",""),"2",""),"3",""),"4",""),"5",""),"6",""),"7",""),"8",""),"9",""),".",""),"+",""),"-",""),"E","")="",LEN(SUBSTITUTE(SUBSTITUTE(MID(UPPER(TRIM($DX273)),1+OR(LEFT(UPPER(TRIM($DX273)),1)="+",LEFT(UPPER(TRIM($DX273)),1)="-"),999),"E+","E"),"E-","E"))=LEN(SUBSTITUTE(SUBSTITUTE(SUBSTITUTE(SUBSTITUTE(MID(UPPER(TRIM($DX273)),1+OR(LEFT(UPPER(TRIM($DX273)),1)="+",LEFT(UPPER(TRIM($DX273)),1)="-"),999),"E+","E"),"E-","E"),"+",""),"-","")),LEN(UPPER(TRIM($DX273)))-LEN(SUBSTITUTE(UPPER(TRIM($DX273)),"E",""))&lt;2,LEN(UPPER(TRIM($DX273)))-LEN(SUBSTITUTE(UPPER(TRIM($DX273)),".",""))&lt;2,IFERROR(FIND(".",UPPER(TRIM($DX273))),0)&lt;IFERROR(FIND("E",UPPER(TRIM($DX273))),999)),ISNUMBER(VALUE(TRIM($DX273)))),VALUE(TRIM($DX273)),"")))),""))</f>
        <v/>
      </c>
      <c r="DZ273">
        <f>IF($DM273=0,"",IF($L$17=0,"",IFERROR(IF(ISNUMBER(INDEX(PASTE_ALL,$DF273,$L$17)),INDEX(PASTE_ALL,$DF273,$L$17),SUBSTITUTE(SUBSTITUTE(TRIM(SUBSTITUTE(SUBSTITUTE(SUBSTITUTE(SUBSTITUTE(INDEX(PASTE_ALL,$DF273,$L$17)," "," "),CHAR(9)," "),CHAR(10)," "),CHAR(13)," ")),",",""),"%","")),"")))</f>
        <v/>
      </c>
      <c r="EA273">
        <f>IF($DM273=0,"",IFERROR(IF(ISNUMBER($DZ273),$DZ273,IF($DZ273="","",IF(TRIM($DZ273)="",0,IF(AND(AND(SUBSTITUTE(SUBSTITUTE(SUBSTITUTE(SUBSTITUTE(SUBSTITUTE(SUBSTITUTE(SUBSTITUTE(SUBSTITUTE(SUBSTITUTE(SUBSTITUTE(SUBSTITUTE(SUBSTITUTE(SUBSTITUTE(SUBSTITUTE(UPPER(TRIM($DZ273)),"0",""),"1",""),"2",""),"3",""),"4",""),"5",""),"6",""),"7",""),"8",""),"9",""),".",""),"+",""),"-",""),"E","")="",LEN(SUBSTITUTE(SUBSTITUTE(MID(UPPER(TRIM($DZ273)),1+OR(LEFT(UPPER(TRIM($DZ273)),1)="+",LEFT(UPPER(TRIM($DZ273)),1)="-"),999),"E+","E"),"E-","E"))=LEN(SUBSTITUTE(SUBSTITUTE(SUBSTITUTE(SUBSTITUTE(MID(UPPER(TRIM($DZ273)),1+OR(LEFT(UPPER(TRIM($DZ273)),1)="+",LEFT(UPPER(TRIM($DZ273)),1)="-"),999),"E+","E"),"E-","E"),"+",""),"-","")),LEN(UPPER(TRIM($DZ273)))-LEN(SUBSTITUTE(UPPER(TRIM($DZ273)),"E",""))&lt;2,LEN(UPPER(TRIM($DZ273)))-LEN(SUBSTITUTE(UPPER(TRIM($DZ273)),".",""))&lt;2,IFERROR(FIND(".",UPPER(TRIM($DZ273))),0)&lt;IFERROR(FIND("E",UPPER(TRIM($DZ273))),999)),ISNUMBER(VALUE(TRIM($DZ273)))),VALUE(TRIM($DZ273)),"")))),""))</f>
        <v/>
      </c>
      <c r="EB273">
        <f>IF($DM273=0,"",IF($L$18=0,"",IFERROR(IF(UPPER(TRIM(SUBSTITUTE(SUBSTITUTE(SUBSTITUTE(SUBSTITUTE(INDEX(PASTE_ALL,$DF273,$L$18)," "," "),CHAR(9)," "),CHAR(10)," "),CHAR(13)," ")))="READY","Ready",IF(UPPER(TRIM(SUBSTITUTE(SUBSTITUTE(SUBSTITUTE(SUBSTITUTE(INDEX(PASTE_ALL,$DF273,$L$18)," "," "),CHAR(9)," "),CHAR(10)," "),CHAR(13)," ")))="PM","PM",IF(OR(UPPER(TRIM(SUBSTITUTE(SUBSTITUTE(SUBSTITUTE(SUBSTITUTE(INDEX(PASTE_ALL,$DF273,$L$18)," "," "),CHAR(9)," "),CHAR(10)," "),CHAR(13)," ")))="OT",UPPER(TRIM(SUBSTITUTE(SUBSTITUTE(SUBSTITUTE(SUBSTITUTE(INDEX(PASTE_ALL,$DF273,$L$18)," "," "),CHAR(9)," "),CHAR(10)," "),CHAR(13)," ")))="OVERTIME",UPPER(TRIM(SUBSTITUTE(SUBSTITUTE(SUBSTITUTE(SUBSTITUTE(INDEX(PASTE_ALL,$DF273,$L$18)," "," "),CHAR(9)," "),CHAR(10)," "),CHAR(13)," ")))="TRIAL"),"OT",TRIM(SUBSTITUTE(SUBSTITUTE(SUBSTITUTE(SUBSTITUTE(INDEX(PASTE_ALL,$DF273,$L$18)," "," "),CHAR(9)," "),CHAR(10)," "),CHAR(13)," "))))),"")))</f>
        <v/>
      </c>
      <c r="EC273">
        <f>IF($DM273=0,"",IF($L$19=0,"",IFERROR(IF(ISNUMBER(INDEX(PASTE_ALL,$DF273,$L$19)),INDEX(PASTE_ALL,$DF273,$L$19),TRIM(SUBSTITUTE(SUBSTITUTE(SUBSTITUTE(SUBSTITUTE(INDEX(PASTE_ALL,$DF273,$L$19)," "," "),CHAR(9)," "),CHAR(10)," "),CHAR(13)," "))),"")))</f>
        <v/>
      </c>
      <c r="ED273">
        <f>IF($DM273=0,"",MATCH(1,INDEX(EXACT($DH$5:DH273,$DH273)*$DM$5:DM273,0),0))</f>
        <v/>
      </c>
      <c r="EE273">
        <f>IF($DM273=0,0,IF($ED273=$DE273,1,0))</f>
        <v/>
      </c>
      <c r="EF273">
        <f>EF272+$EE273</f>
        <v/>
      </c>
      <c r="EG273">
        <f>IF($DM273=0,"",INDEX($EF$5:$EF$1003,$ED273))</f>
        <v/>
      </c>
      <c r="EH273">
        <f>IF($DM273=0,"",IF($DO273&lt;&gt;"","",IFERROR(LOOKUP(2,1/(($EG$4:EG272=$EG273)*($DO$4:DO272&lt;&gt;"")),$DO$4:DO272),"")))</f>
        <v/>
      </c>
      <c r="EI273">
        <f>IF($DM273=0,"",IF($DO273&lt;&gt;"",$DO273,$EH273))</f>
        <v/>
      </c>
      <c r="EJ273">
        <f>IF($DM273=0,"",IF($EI273="",0,IF(OR(ISNUMBER($EI273),AND(AND(SUBSTITUTE(SUBSTITUTE(SUBSTITUTE(SUBSTITUTE(SUBSTITUTE(SUBSTITUTE(SUBSTITUTE(SUBSTITUTE(SUBSTITUTE(SUBSTITUTE(SUBSTITUTE(SUBSTITUTE(SUBSTITUTE(SUBSTITUTE(UPPER($EI273),"0",""),"1",""),"2",""),"3",""),"4",""),"5",""),"6",""),"7",""),"8",""),"9",""),".",""),"+",""),"-",""),"E","")="",LEN(SUBSTITUTE(SUBSTITUTE(MID(UPPER($EI273),1+OR(LEFT(UPPER($EI273),1)="+",LEFT(UPPER($EI273),1)="-"),999),"E+","E"),"E-","E"))=LEN(SUBSTITUTE(SUBSTITUTE(SUBSTITUTE(SUBSTITUTE(MID(UPPER($EI273),1+OR(LEFT(UPPER($EI273),1)="+",LEFT(UPPER($EI273),1)="-"),999),"E+","E"),"E-","E"),"+",""),"-","")),LEN(UPPER($EI273))-LEN(SUBSTITUTE(UPPER($EI273),"E",""))&lt;2,LEN(UPPER($EI273))-LEN(SUBSTITUTE(UPPER($EI273),".",""))&lt;2,IFERROR(FIND(".",UPPER($EI273)),0)&lt;IFERROR(FIND("E",UPPER($EI273)),999)),ISNUMBER(VALUE($EI273)))),1,2)))</f>
        <v/>
      </c>
      <c r="EK273">
        <f>IF($DM273=0,"",IF($EJ273=1,IF(ISNUMBER($EI273),$EI273,VALUE($EI273)),IF($EJ273=2,$DE273,0)))</f>
        <v/>
      </c>
      <c r="EL273">
        <f>IF($DM273=0,"",COUNTIF($EG$5:$EG$1003,"&lt;"&amp;$EG273)+SUMPRODUCT(($EG$5:$EG$1003=$EG273)*(($EJ$5:$EJ$1003&lt;$EJ273)+($EJ$5:$EJ$1003=$EJ273)*(($EK$5:$EK$1003&lt;$EK273)+($EK$5:$EK$1003=$EK273)*($DE$5:$DE$1003&lt;$DE273))))+1)</f>
        <v/>
      </c>
      <c r="EM273">
        <f>IF($DM273=0,"",$EL273+$EG273-1)</f>
        <v/>
      </c>
      <c r="EN273">
        <f>IF($DM273=0,0,IFERROR(MATCH(1,INDEX(--(TRIM(SUBSTITUTE(SUBSTITUTE(SUBSTITUTE(SUBSTITUTE(LINES_NAME&amp;""," "," "),CHAR(9)," "),CHAR(10)," "),CHAR(13)," "))=$DH273),0),0),0))</f>
        <v/>
      </c>
      <c r="EO273">
        <f>IF($EN273=0,0,IF(OR(UPPER(TRIM(INDEX(LINES_SCHEDULED,$EN273)&amp;""))="YES",UPPER(TRIM(INDEX(LINES_SCHEDULED,$EN273)&amp;""))="Y",UPPER(TRIM(INDEX(LINES_SCHEDULED,$EN273)&amp;""))="X"),1,0))</f>
        <v/>
      </c>
      <c r="EP273">
        <f>IF($DM273=0,"",IF(COUNTIFS($EG$5:$EG$1003,$EG273,$EB$5:$EB$1003,"Ready")&gt;0,"READY",IF(COUNTIFS($EG$5:$EG$1003,$EG273,$EB$5:$EB$1003,"PM")&gt;0,"PM",IF(COUNTIFS($EG$5:$EG$1003,$EG273,$EB$5:$EB$1003,"OT")&gt;0,"OT",""))))</f>
        <v/>
      </c>
      <c r="EQ273">
        <f>IF($EN273=0,"",UPPER(TRIM(INDEX(LINES_STATUS,$EN273)&amp;"")))</f>
        <v/>
      </c>
      <c r="ER273">
        <f>IF($DM273=0,"",IF(OR($EQ273="READY",$EQ273="PM",$EQ273="OT"),$EQ273,$EP273))</f>
        <v/>
      </c>
      <c r="ES273">
        <f>IF($DM273=0,"",IF(AND($DV273&lt;&gt;"",UPPER($DV273)&lt;&gt;"N"),"allergen",IF(ISNUMBER(SEARCH("oil",$DQ273)),"oil",IF(OR(EXACT($DS273,"A662"),EXACT($DS273,"A624")),"bulk",""))))</f>
        <v/>
      </c>
      <c r="ET273">
        <f>IF($DM273=0,"",IF(OR($EA273="",$EA273=0),"",$EA273/100))</f>
        <v/>
      </c>
      <c r="EU273">
        <f>IF(OR($ET273="",$DY273=""),"",INT($DY273*(1-$ET273)+0.5))</f>
        <v/>
      </c>
      <c r="EW273" t="n">
        <v>269</v>
      </c>
      <c r="EX273">
        <f>IFERROR(MATCH($EW273,$EM$5:$EM$1003,0),0)</f>
        <v/>
      </c>
      <c r="EY273">
        <f>IF($EW273&gt;$B$12,"",IF($EX273&gt;0,"row","spacer"))</f>
        <v/>
      </c>
      <c r="EZ273">
        <f>IF(AND($EY273="row",$EY272&lt;&gt;"row"),1,0)</f>
        <v/>
      </c>
      <c r="FA273">
        <f>IF(AND($EY273="row",$EY274&lt;&gt;"row"),1,0)</f>
        <v/>
      </c>
      <c r="FB273">
        <f>IF($EZ273=1,IFERROR(IF(ISNUMBER(INDEX(PASTE_ALL,INDEX($DF$5:$DF$1003,$EX273),$B$37)),INDEX(PASTE_ALL,INDEX($DF$5:$DF$1003,$EX273),$B$37),INDEX($DH$5:$DH$1003,$EX273)),INDEX($DH$5:$DH$1003,$EX273)),"")</f>
        <v/>
      </c>
      <c r="FC273">
        <f>IF($EY273="row",INDEX($ER$5:$ER$1003,$EX273),"")</f>
        <v/>
      </c>
      <c r="FD273">
        <f>IF($EY273="row",INDEX($DN$5:$DN$1003,$EX273),"")</f>
        <v/>
      </c>
      <c r="FE273">
        <f>IF($EY273="row",INDEX($DO$5:$DO$1003,$EX273),"")</f>
        <v/>
      </c>
      <c r="FF273">
        <f>IF($EY273="row",INDEX($DP$5:$DP$1003,$EX273),"")</f>
        <v/>
      </c>
      <c r="FG273">
        <f>IF($EY273="row",INDEX($DQ$5:$DQ$1003,$EX273),"")</f>
        <v/>
      </c>
      <c r="FH273">
        <f>IF($EY273="row",INDEX($DR$5:$DR$1003,$EX273),"")</f>
        <v/>
      </c>
      <c r="FI273">
        <f>IF($EY273="row",INDEX($DS$5:$DS$1003,$EX273),"")</f>
        <v/>
      </c>
      <c r="FJ273">
        <f>IF($EY273="row",INDEX($DT$5:$DT$1003,$EX273),"")</f>
        <v/>
      </c>
      <c r="FK273">
        <f>IF($EY273="row",INDEX($DU$5:$DU$1003,$EX273),"")</f>
        <v/>
      </c>
      <c r="FL273">
        <f>IF($EY273="row",INDEX($DV$5:$DV$1003,$EX273),"")</f>
        <v/>
      </c>
      <c r="FM273">
        <f>IF($EY273="row",INDEX($DW$5:$DW$1003,$EX273),"")</f>
        <v/>
      </c>
      <c r="FN273">
        <f>IF($EY273="row",INDEX($DY$5:$DY$1003,$EX273),"")</f>
        <v/>
      </c>
      <c r="FO273">
        <f>IF($EY273="row",INDEX($EA$5:$EA$1003,$EX273),"")</f>
        <v/>
      </c>
      <c r="FP273">
        <f>IF($EY273="row",INDEX($EC$5:$EC$1003,$EX273),"")</f>
        <v/>
      </c>
      <c r="FQ273">
        <f>IF($EY273="row",INDEX($ET$5:$ET$1003,$EX273),"")</f>
        <v/>
      </c>
      <c r="FR273">
        <f>IF($EY273="row",INDEX($EU$5:$EU$1003,$EX273),"")</f>
        <v/>
      </c>
      <c r="FS273">
        <f>IF(AND($EY273="row",$EY272="row"),IF(OR(INDEX($DT$5:$DT$1003,$EX272)="",INDEX($DT$5:$DT$1003,$EX273)=""),"",IF(NOT(EXACT(INDEX($DT$5:$DT$1003,$EX272),INDEX($DT$5:$DT$1003,$EX273))),"S4",IF(NOT(EXACT(INDEX($DS$5:$DS$1003,$EX272),INDEX($DS$5:$DS$1003,$EX273))),"S3",IF(NOT(EXACT(INDEX($DR$5:$DR$1003,$EX272),INDEX($DR$5:$DR$1003,$EX273))),"S1 Count Change","S1")))),"")</f>
        <v/>
      </c>
      <c r="FT273">
        <f>IF($EY273="row",INDEX($ES$5:$ES$1003,$EX273),"")</f>
        <v/>
      </c>
      <c r="FU273">
        <f>IF($EY273="row",INDEX($EO$5:$EO$1003,$EX273),0)</f>
        <v/>
      </c>
      <c r="FV273">
        <f>IF($FS273="S1 Count Change",1,0)</f>
        <v/>
      </c>
    </row>
    <row r="274">
      <c r="DA274" t="n">
        <v>270</v>
      </c>
      <c r="DB274">
        <f>IF($B$37=0,"",IFERROR(TRIM(SUBSTITUTE(SUBSTITUTE(SUBSTITUTE(SUBSTITUTE(INDEX(PASTE_ALL,270,$B$37)," "," "),CHAR(9)," "),CHAR(10)," "),CHAR(13)," ")),""))</f>
        <v/>
      </c>
      <c r="DC274">
        <f>IF(AND(270&gt;HEADER_ROW,UPPER(DB274)="LEGEND"),1,0)</f>
        <v/>
      </c>
      <c r="DE274" t="n">
        <v>270</v>
      </c>
      <c r="DF274">
        <f>HEADER_ROW+$DE274</f>
        <v/>
      </c>
      <c r="DG274">
        <f>IF(AND($DF274&lt;=1000,$DF274&lt;$B$8),1,0)</f>
        <v/>
      </c>
      <c r="DH274">
        <f>IF($DG274=1,IFERROR(INDEX($DB$5:$DB$1004,$DF274),""),"")</f>
        <v/>
      </c>
      <c r="DI274">
        <f>IF(AND($DG274=1,$DH274&lt;&gt;""),IFERROR(SUBSTITUTE(SUBSTITUTE(TRIM(SUBSTITUTE(SUBSTITUTE(SUBSTITUTE(SUBSTITUTE(IFERROR(INDEX(PASTE_ALL,$DF274,1)&amp;"","")&amp;"␟"&amp;IFERROR(INDEX(PASTE_ALL,$DF274,2)&amp;"","")&amp;"␟"&amp;IFERROR(INDEX(PASTE_ALL,$DF274,3)&amp;"","")&amp;"␟"&amp;IFERROR(INDEX(PASTE_ALL,$DF274,4)&amp;"","")&amp;"␟"&amp;IFERROR(INDEX(PASTE_ALL,$DF274,5)&amp;"","")&amp;"␟"&amp;IFERROR(INDEX(PASTE_ALL,$DF274,6)&amp;"","")&amp;"␟"&amp;IFERROR(INDEX(PASTE_ALL,$DF274,7)&amp;"","")&amp;"␟"&amp;IFERROR(INDEX(PASTE_ALL,$DF274,8)&amp;"","")&amp;"␟"&amp;IFERROR(INDEX(PASTE_ALL,$DF274,9)&amp;"","")&amp;"␟"&amp;IFERROR(INDEX(PASTE_ALL,$DF274,10)&amp;"","")&amp;"␟"&amp;IFERROR(INDEX(PASTE_ALL,$DF274,11)&amp;"","")&amp;"␟"&amp;IFERROR(INDEX(PASTE_ALL,$DF274,12)&amp;"","")&amp;"␟"&amp;IFERROR(INDEX(PASTE_ALL,$DF274,13)&amp;"","")&amp;"␟"&amp;IFERROR(INDEX(PASTE_ALL,$DF274,14)&amp;"","")&amp;"␟"&amp;IFERROR(INDEX(PASTE_ALL,$DF274,15)&amp;"","")&amp;"␟"&amp;IFERROR(INDEX(PASTE_ALL,$DF274,16)&amp;"","")&amp;"␟"&amp;IFERROR(INDEX(PASTE_ALL,$DF274,17)&amp;"","")&amp;"␟"&amp;IFERROR(INDEX(PASTE_ALL,$DF274,18)&amp;"","")&amp;"␟"&amp;IFERROR(INDEX(PASTE_ALL,$DF274,19)&amp;"","")&amp;"␟"&amp;IFERROR(INDEX(PASTE_ALL,$DF274,20)&amp;"","")&amp;"␟"&amp;IFERROR(INDEX(PASTE_ALL,$DF274,21)&amp;"","")&amp;"␟"&amp;IFERROR(INDEX(PASTE_ALL,$DF274,22)&amp;"","")&amp;"␟"&amp;IFERROR(INDEX(PASTE_ALL,$DF274,23)&amp;"","")&amp;"␟"&amp;IFERROR(INDEX(PASTE_ALL,$DF274,24)&amp;"","")&amp;"␟"&amp;IFERROR(INDEX(PASTE_ALL,$DF274,25)&amp;"","")&amp;"␟"&amp;IFERROR(INDEX(PASTE_ALL,$DF274,26)&amp;"","")&amp;"␟"&amp;IFERROR(INDEX(PASTE_ALL,$DF274,27)&amp;"","")&amp;"␟"&amp;IFERROR(INDEX(PASTE_ALL,$DF274,28)&amp;"","")&amp;"␟"&amp;IFERROR(INDEX(PASTE_ALL,$DF274,29)&amp;"","")&amp;"␟"&amp;IFERROR(INDEX(PASTE_ALL,$DF274,30)&amp;"","")&amp;"␟"&amp;IFERROR(INDEX(PASTE_ALL,$DF274,31)&amp;"","")&amp;"␟"&amp;IFERROR(INDEX(PASTE_ALL,$DF274,32)&amp;"","")&amp;"␟"&amp;IFERROR(INDEX(PASTE_ALL,$DF274,33)&amp;"","")&amp;"␟"&amp;IFERROR(INDEX(PASTE_ALL,$DF274,34)&amp;"","")&amp;"␟"&amp;IFERROR(INDEX(PASTE_ALL,$DF274,35)&amp;"","")&amp;"␟"&amp;IFERROR(INDEX(PASTE_ALL,$DF274,36)&amp;"","")&amp;"␟"&amp;IFERROR(INDEX(PASTE_ALL,$DF274,37)&amp;"","")&amp;"␟"&amp;IFERROR(INDEX(PASTE_ALL,$DF274,38)&amp;"","")&amp;"␟"&amp;IFERROR(INDEX(PASTE_ALL,$DF274,39)&amp;"","")&amp;"␟"&amp;IFERROR(INDEX(PASTE_ALL,$DF274,40)&amp;"","")&amp;"␟"&amp;IFERROR(INDEX(PASTE_ALL,$DF274,41)&amp;"","")&amp;"␟"&amp;IFERROR(INDEX(PASTE_ALL,$DF274,42)&amp;"","")&amp;"␟"&amp;IFERROR(INDEX(PASTE_ALL,$DF274,43)&amp;"","")&amp;"␟"&amp;IFERROR(INDEX(PASTE_ALL,$DF274,44)&amp;"","")&amp;"␟"&amp;IFERROR(INDEX(PASTE_ALL,$DF274,45)&amp;"","")&amp;"␟"&amp;IFERROR(INDEX(PASTE_ALL,$DF274,46)&amp;"","")&amp;"␟"&amp;IFERROR(INDEX(PASTE_ALL,$DF274,47)&amp;"","")&amp;"␟"&amp;IFERROR(INDEX(PASTE_ALL,$DF274,48)&amp;"","")&amp;"␟"&amp;IFERROR(INDEX(PASTE_ALL,$DF274,49)&amp;"","")&amp;"␟"&amp;IFERROR(INDEX(PASTE_ALL,$DF274,50)&amp;"","")&amp;"␟"&amp;IFERROR(INDEX(PASTE_ALL,$DF274,51)&amp;"","")&amp;"␟"&amp;IFERROR(INDEX(PASTE_ALL,$DF274,52)&amp;"","")&amp;"␟"&amp;IFERROR(INDEX(PASTE_ALL,$DF274,53)&amp;"","")&amp;"␟"&amp;IFERROR(INDEX(PASTE_ALL,$DF274,54)&amp;"","")&amp;"␟"&amp;IFERROR(INDEX(PASTE_ALL,$DF274,55)&amp;"","")&amp;"␟"&amp;IFERROR(INDEX(PASTE_ALL,$DF274,56)&amp;"","")&amp;"␟"&amp;IFERROR(INDEX(PASTE_ALL,$DF274,57)&amp;"","")&amp;"␟"&amp;IFERROR(INDEX(PASTE_ALL,$DF274,58)&amp;"","")&amp;"␟"&amp;IFERROR(INDEX(PASTE_ALL,$DF274,59)&amp;"","")&amp;"␟"&amp;IFERROR(INDEX(PASTE_ALL,$DF274,60)&amp;"","")," "," "),CHAR(9)," "),CHAR(10)," "),CHAR(13)," "))," ␟","␟"),"␟ ","␟"),"#"&amp;$DE274),"")</f>
        <v/>
      </c>
      <c r="DJ274">
        <f>IF($DI274="",0,IF(SUMPRODUCT(--EXACT($DI$4:DI273,$DI274))&gt;0,1,0))</f>
        <v/>
      </c>
      <c r="DK274">
        <f>IF(AND($DI274&lt;&gt;"",$DJ274=0),1,0)</f>
        <v/>
      </c>
      <c r="DL274">
        <f>DL273+$DK274</f>
        <v/>
      </c>
      <c r="DM274">
        <f>IF(AND($DK274=1,$DL274&lt;=600),1,0)</f>
        <v/>
      </c>
      <c r="DN274">
        <f>IF($DM274=0,"",IF($L$6=0,"",IFERROR(IF(ISNUMBER(INDEX(PASTE_ALL,$DF274,$L$6)),INDEX(PASTE_ALL,$DF274,$L$6),TRIM(SUBSTITUTE(SUBSTITUTE(SUBSTITUTE(SUBSTITUTE(INDEX(PASTE_ALL,$DF274,$L$6)," "," "),CHAR(9)," "),CHAR(10)," "),CHAR(13)," "))),"")))</f>
        <v/>
      </c>
      <c r="DO274">
        <f>IF($DM274=0,"",IF($L$7=0,"",IFERROR(IF(ISNUMBER(INDEX(PASTE_ALL,$DF274,$L$7)),INDEX(PASTE_ALL,$DF274,$L$7),TRIM(SUBSTITUTE(SUBSTITUTE(SUBSTITUTE(SUBSTITUTE(INDEX(PASTE_ALL,$DF274,$L$7)," "," "),CHAR(9)," "),CHAR(10)," "),CHAR(13)," "))),"")))</f>
        <v/>
      </c>
      <c r="DP274">
        <f>IF($DM274=0,"",IF($L$8=0,"",IFERROR(IF(ISNUMBER(INDEX(PASTE_ALL,$DF274,$L$8)),INDEX(PASTE_ALL,$DF274,$L$8),TRIM(SUBSTITUTE(SUBSTITUTE(SUBSTITUTE(SUBSTITUTE(INDEX(PASTE_ALL,$DF274,$L$8)," "," "),CHAR(9)," "),CHAR(10)," "),CHAR(13)," "))),"")))</f>
        <v/>
      </c>
      <c r="DQ274">
        <f>IF($DM274=0,"",IF($L$9=0,"",IFERROR(IF(ISNUMBER(INDEX(PASTE_ALL,$DF274,$L$9)),INDEX(PASTE_ALL,$DF274,$L$9),TRIM(SUBSTITUTE(SUBSTITUTE(SUBSTITUTE(SUBSTITUTE(INDEX(PASTE_ALL,$DF274,$L$9)," "," "),CHAR(9)," "),CHAR(10)," "),CHAR(13)," "))),"")))</f>
        <v/>
      </c>
      <c r="DR274">
        <f>IF($DM274=0,"",IF($L$10=0,"",IFERROR(IF(ISNUMBER(INDEX(PASTE_ALL,$DF274,$L$10)),INDEX(PASTE_ALL,$DF274,$L$10),TRIM(SUBSTITUTE(SUBSTITUTE(SUBSTITUTE(SUBSTITUTE(INDEX(PASTE_ALL,$DF274,$L$10)," "," "),CHAR(9)," "),CHAR(10)," "),CHAR(13)," "))),"")))</f>
        <v/>
      </c>
      <c r="DS274">
        <f>IF($DM274=0,"",IF($L$11=0,"",IFERROR(IF(ISNUMBER(INDEX(PASTE_ALL,$DF274,$L$11)),INDEX(PASTE_ALL,$DF274,$L$11),TRIM(SUBSTITUTE(SUBSTITUTE(SUBSTITUTE(SUBSTITUTE(INDEX(PASTE_ALL,$DF274,$L$11)," "," "),CHAR(9)," "),CHAR(10)," "),CHAR(13)," "))),"")))</f>
        <v/>
      </c>
      <c r="DT274">
        <f>IF($DM274=0,"",IF($L$12=0,"",IFERROR(IF(ISNUMBER(INDEX(PASTE_ALL,$DF274,$L$12)),INDEX(PASTE_ALL,$DF274,$L$12),TRIM(SUBSTITUTE(SUBSTITUTE(SUBSTITUTE(SUBSTITUTE(INDEX(PASTE_ALL,$DF274,$L$12)," "," "),CHAR(9)," "),CHAR(10)," "),CHAR(13)," "))),"")))</f>
        <v/>
      </c>
      <c r="DU274">
        <f>IF($DM274=0,"",IF($L$13=0,"",IFERROR(IF(ISNUMBER(INDEX(PASTE_ALL,$DF274,$L$13)),INDEX(PASTE_ALL,$DF274,$L$13),TRIM(SUBSTITUTE(SUBSTITUTE(SUBSTITUTE(SUBSTITUTE(INDEX(PASTE_ALL,$DF274,$L$13)," "," "),CHAR(9)," "),CHAR(10)," "),CHAR(13)," "))),"")))</f>
        <v/>
      </c>
      <c r="DV274">
        <f>IF($DM274=0,"",IF($L$14=0,"",IFERROR(IF(ISNUMBER(INDEX(PASTE_ALL,$DF274,$L$14)),INDEX(PASTE_ALL,$DF274,$L$14),TRIM(SUBSTITUTE(SUBSTITUTE(SUBSTITUTE(SUBSTITUTE(INDEX(PASTE_ALL,$DF274,$L$14)," "," "),CHAR(9)," "),CHAR(10)," "),CHAR(13)," "))),"")))</f>
        <v/>
      </c>
      <c r="DW274">
        <f>IF($DM274=0,"",IF($L$15=0,"",IFERROR(IF(ISNUMBER(INDEX(PASTE_ALL,$DF274,$L$15)),INDEX(PASTE_ALL,$DF274,$L$15),IF(SUMPRODUCT(--ISNUMBER(FIND({"A","B","C","D","E","F","G","H","I","J","K","L","M","N","O","P","Q","R","S","T","U","V","W","X","Y","Z","0","1","2","3","4","5","6","7","8","9"},UPPER(TRIM(SUBSTITUTE(SUBSTITUTE(SUBSTITUTE(SUBSTITUTE(INDEX(PASTE_ALL,$DF274,$L$15)," "," "),CHAR(9)," "),CHAR(10)," "),CHAR(13)," "))))))&gt;0,TRIM(SUBSTITUTE(SUBSTITUTE(SUBSTITUTE(SUBSTITUTE(INDEX(PASTE_ALL,$DF274,$L$15)," "," "),CHAR(9)," "),CHAR(10)," "),CHAR(13)," ")),"")),"")))</f>
        <v/>
      </c>
      <c r="DX274">
        <f>IF($DM274=0,"",IF($L$16=0,"",IFERROR(IF(ISNUMBER(INDEX(PASTE_ALL,$DF274,$L$16)),INDEX(PASTE_ALL,$DF274,$L$16),SUBSTITUTE(SUBSTITUTE(TRIM(SUBSTITUTE(SUBSTITUTE(SUBSTITUTE(SUBSTITUTE(INDEX(PASTE_ALL,$DF274,$L$16)," "," "),CHAR(9)," "),CHAR(10)," "),CHAR(13)," ")),",",""),"%","")),"")))</f>
        <v/>
      </c>
      <c r="DY274">
        <f>IF($DM274=0,"",IFERROR(IF(ISNUMBER($DX274),$DX274,IF($DX274="","",IF(TRIM($DX274)="",0,IF(AND(AND(SUBSTITUTE(SUBSTITUTE(SUBSTITUTE(SUBSTITUTE(SUBSTITUTE(SUBSTITUTE(SUBSTITUTE(SUBSTITUTE(SUBSTITUTE(SUBSTITUTE(SUBSTITUTE(SUBSTITUTE(SUBSTITUTE(SUBSTITUTE(UPPER(TRIM($DX274)),"0",""),"1",""),"2",""),"3",""),"4",""),"5",""),"6",""),"7",""),"8",""),"9",""),".",""),"+",""),"-",""),"E","")="",LEN(SUBSTITUTE(SUBSTITUTE(MID(UPPER(TRIM($DX274)),1+OR(LEFT(UPPER(TRIM($DX274)),1)="+",LEFT(UPPER(TRIM($DX274)),1)="-"),999),"E+","E"),"E-","E"))=LEN(SUBSTITUTE(SUBSTITUTE(SUBSTITUTE(SUBSTITUTE(MID(UPPER(TRIM($DX274)),1+OR(LEFT(UPPER(TRIM($DX274)),1)="+",LEFT(UPPER(TRIM($DX274)),1)="-"),999),"E+","E"),"E-","E"),"+",""),"-","")),LEN(UPPER(TRIM($DX274)))-LEN(SUBSTITUTE(UPPER(TRIM($DX274)),"E",""))&lt;2,LEN(UPPER(TRIM($DX274)))-LEN(SUBSTITUTE(UPPER(TRIM($DX274)),".",""))&lt;2,IFERROR(FIND(".",UPPER(TRIM($DX274))),0)&lt;IFERROR(FIND("E",UPPER(TRIM($DX274))),999)),ISNUMBER(VALUE(TRIM($DX274)))),VALUE(TRIM($DX274)),"")))),""))</f>
        <v/>
      </c>
      <c r="DZ274">
        <f>IF($DM274=0,"",IF($L$17=0,"",IFERROR(IF(ISNUMBER(INDEX(PASTE_ALL,$DF274,$L$17)),INDEX(PASTE_ALL,$DF274,$L$17),SUBSTITUTE(SUBSTITUTE(TRIM(SUBSTITUTE(SUBSTITUTE(SUBSTITUTE(SUBSTITUTE(INDEX(PASTE_ALL,$DF274,$L$17)," "," "),CHAR(9)," "),CHAR(10)," "),CHAR(13)," ")),",",""),"%","")),"")))</f>
        <v/>
      </c>
      <c r="EA274">
        <f>IF($DM274=0,"",IFERROR(IF(ISNUMBER($DZ274),$DZ274,IF($DZ274="","",IF(TRIM($DZ274)="",0,IF(AND(AND(SUBSTITUTE(SUBSTITUTE(SUBSTITUTE(SUBSTITUTE(SUBSTITUTE(SUBSTITUTE(SUBSTITUTE(SUBSTITUTE(SUBSTITUTE(SUBSTITUTE(SUBSTITUTE(SUBSTITUTE(SUBSTITUTE(SUBSTITUTE(UPPER(TRIM($DZ274)),"0",""),"1",""),"2",""),"3",""),"4",""),"5",""),"6",""),"7",""),"8",""),"9",""),".",""),"+",""),"-",""),"E","")="",LEN(SUBSTITUTE(SUBSTITUTE(MID(UPPER(TRIM($DZ274)),1+OR(LEFT(UPPER(TRIM($DZ274)),1)="+",LEFT(UPPER(TRIM($DZ274)),1)="-"),999),"E+","E"),"E-","E"))=LEN(SUBSTITUTE(SUBSTITUTE(SUBSTITUTE(SUBSTITUTE(MID(UPPER(TRIM($DZ274)),1+OR(LEFT(UPPER(TRIM($DZ274)),1)="+",LEFT(UPPER(TRIM($DZ274)),1)="-"),999),"E+","E"),"E-","E"),"+",""),"-","")),LEN(UPPER(TRIM($DZ274)))-LEN(SUBSTITUTE(UPPER(TRIM($DZ274)),"E",""))&lt;2,LEN(UPPER(TRIM($DZ274)))-LEN(SUBSTITUTE(UPPER(TRIM($DZ274)),".",""))&lt;2,IFERROR(FIND(".",UPPER(TRIM($DZ274))),0)&lt;IFERROR(FIND("E",UPPER(TRIM($DZ274))),999)),ISNUMBER(VALUE(TRIM($DZ274)))),VALUE(TRIM($DZ274)),"")))),""))</f>
        <v/>
      </c>
      <c r="EB274">
        <f>IF($DM274=0,"",IF($L$18=0,"",IFERROR(IF(UPPER(TRIM(SUBSTITUTE(SUBSTITUTE(SUBSTITUTE(SUBSTITUTE(INDEX(PASTE_ALL,$DF274,$L$18)," "," "),CHAR(9)," "),CHAR(10)," "),CHAR(13)," ")))="READY","Ready",IF(UPPER(TRIM(SUBSTITUTE(SUBSTITUTE(SUBSTITUTE(SUBSTITUTE(INDEX(PASTE_ALL,$DF274,$L$18)," "," "),CHAR(9)," "),CHAR(10)," "),CHAR(13)," ")))="PM","PM",IF(OR(UPPER(TRIM(SUBSTITUTE(SUBSTITUTE(SUBSTITUTE(SUBSTITUTE(INDEX(PASTE_ALL,$DF274,$L$18)," "," "),CHAR(9)," "),CHAR(10)," "),CHAR(13)," ")))="OT",UPPER(TRIM(SUBSTITUTE(SUBSTITUTE(SUBSTITUTE(SUBSTITUTE(INDEX(PASTE_ALL,$DF274,$L$18)," "," "),CHAR(9)," "),CHAR(10)," "),CHAR(13)," ")))="OVERTIME",UPPER(TRIM(SUBSTITUTE(SUBSTITUTE(SUBSTITUTE(SUBSTITUTE(INDEX(PASTE_ALL,$DF274,$L$18)," "," "),CHAR(9)," "),CHAR(10)," "),CHAR(13)," ")))="TRIAL"),"OT",TRIM(SUBSTITUTE(SUBSTITUTE(SUBSTITUTE(SUBSTITUTE(INDEX(PASTE_ALL,$DF274,$L$18)," "," "),CHAR(9)," "),CHAR(10)," "),CHAR(13)," "))))),"")))</f>
        <v/>
      </c>
      <c r="EC274">
        <f>IF($DM274=0,"",IF($L$19=0,"",IFERROR(IF(ISNUMBER(INDEX(PASTE_ALL,$DF274,$L$19)),INDEX(PASTE_ALL,$DF274,$L$19),TRIM(SUBSTITUTE(SUBSTITUTE(SUBSTITUTE(SUBSTITUTE(INDEX(PASTE_ALL,$DF274,$L$19)," "," "),CHAR(9)," "),CHAR(10)," "),CHAR(13)," "))),"")))</f>
        <v/>
      </c>
      <c r="ED274">
        <f>IF($DM274=0,"",MATCH(1,INDEX(EXACT($DH$5:DH274,$DH274)*$DM$5:DM274,0),0))</f>
        <v/>
      </c>
      <c r="EE274">
        <f>IF($DM274=0,0,IF($ED274=$DE274,1,0))</f>
        <v/>
      </c>
      <c r="EF274">
        <f>EF273+$EE274</f>
        <v/>
      </c>
      <c r="EG274">
        <f>IF($DM274=0,"",INDEX($EF$5:$EF$1003,$ED274))</f>
        <v/>
      </c>
      <c r="EH274">
        <f>IF($DM274=0,"",IF($DO274&lt;&gt;"","",IFERROR(LOOKUP(2,1/(($EG$4:EG273=$EG274)*($DO$4:DO273&lt;&gt;"")),$DO$4:DO273),"")))</f>
        <v/>
      </c>
      <c r="EI274">
        <f>IF($DM274=0,"",IF($DO274&lt;&gt;"",$DO274,$EH274))</f>
        <v/>
      </c>
      <c r="EJ274">
        <f>IF($DM274=0,"",IF($EI274="",0,IF(OR(ISNUMBER($EI274),AND(AND(SUBSTITUTE(SUBSTITUTE(SUBSTITUTE(SUBSTITUTE(SUBSTITUTE(SUBSTITUTE(SUBSTITUTE(SUBSTITUTE(SUBSTITUTE(SUBSTITUTE(SUBSTITUTE(SUBSTITUTE(SUBSTITUTE(SUBSTITUTE(UPPER($EI274),"0",""),"1",""),"2",""),"3",""),"4",""),"5",""),"6",""),"7",""),"8",""),"9",""),".",""),"+",""),"-",""),"E","")="",LEN(SUBSTITUTE(SUBSTITUTE(MID(UPPER($EI274),1+OR(LEFT(UPPER($EI274),1)="+",LEFT(UPPER($EI274),1)="-"),999),"E+","E"),"E-","E"))=LEN(SUBSTITUTE(SUBSTITUTE(SUBSTITUTE(SUBSTITUTE(MID(UPPER($EI274),1+OR(LEFT(UPPER($EI274),1)="+",LEFT(UPPER($EI274),1)="-"),999),"E+","E"),"E-","E"),"+",""),"-","")),LEN(UPPER($EI274))-LEN(SUBSTITUTE(UPPER($EI274),"E",""))&lt;2,LEN(UPPER($EI274))-LEN(SUBSTITUTE(UPPER($EI274),".",""))&lt;2,IFERROR(FIND(".",UPPER($EI274)),0)&lt;IFERROR(FIND("E",UPPER($EI274)),999)),ISNUMBER(VALUE($EI274)))),1,2)))</f>
        <v/>
      </c>
      <c r="EK274">
        <f>IF($DM274=0,"",IF($EJ274=1,IF(ISNUMBER($EI274),$EI274,VALUE($EI274)),IF($EJ274=2,$DE274,0)))</f>
        <v/>
      </c>
      <c r="EL274">
        <f>IF($DM274=0,"",COUNTIF($EG$5:$EG$1003,"&lt;"&amp;$EG274)+SUMPRODUCT(($EG$5:$EG$1003=$EG274)*(($EJ$5:$EJ$1003&lt;$EJ274)+($EJ$5:$EJ$1003=$EJ274)*(($EK$5:$EK$1003&lt;$EK274)+($EK$5:$EK$1003=$EK274)*($DE$5:$DE$1003&lt;$DE274))))+1)</f>
        <v/>
      </c>
      <c r="EM274">
        <f>IF($DM274=0,"",$EL274+$EG274-1)</f>
        <v/>
      </c>
      <c r="EN274">
        <f>IF($DM274=0,0,IFERROR(MATCH(1,INDEX(--(TRIM(SUBSTITUTE(SUBSTITUTE(SUBSTITUTE(SUBSTITUTE(LINES_NAME&amp;""," "," "),CHAR(9)," "),CHAR(10)," "),CHAR(13)," "))=$DH274),0),0),0))</f>
        <v/>
      </c>
      <c r="EO274">
        <f>IF($EN274=0,0,IF(OR(UPPER(TRIM(INDEX(LINES_SCHEDULED,$EN274)&amp;""))="YES",UPPER(TRIM(INDEX(LINES_SCHEDULED,$EN274)&amp;""))="Y",UPPER(TRIM(INDEX(LINES_SCHEDULED,$EN274)&amp;""))="X"),1,0))</f>
        <v/>
      </c>
      <c r="EP274">
        <f>IF($DM274=0,"",IF(COUNTIFS($EG$5:$EG$1003,$EG274,$EB$5:$EB$1003,"Ready")&gt;0,"READY",IF(COUNTIFS($EG$5:$EG$1003,$EG274,$EB$5:$EB$1003,"PM")&gt;0,"PM",IF(COUNTIFS($EG$5:$EG$1003,$EG274,$EB$5:$EB$1003,"OT")&gt;0,"OT",""))))</f>
        <v/>
      </c>
      <c r="EQ274">
        <f>IF($EN274=0,"",UPPER(TRIM(INDEX(LINES_STATUS,$EN274)&amp;"")))</f>
        <v/>
      </c>
      <c r="ER274">
        <f>IF($DM274=0,"",IF(OR($EQ274="READY",$EQ274="PM",$EQ274="OT"),$EQ274,$EP274))</f>
        <v/>
      </c>
      <c r="ES274">
        <f>IF($DM274=0,"",IF(AND($DV274&lt;&gt;"",UPPER($DV274)&lt;&gt;"N"),"allergen",IF(ISNUMBER(SEARCH("oil",$DQ274)),"oil",IF(OR(EXACT($DS274,"A662"),EXACT($DS274,"A624")),"bulk",""))))</f>
        <v/>
      </c>
      <c r="ET274">
        <f>IF($DM274=0,"",IF(OR($EA274="",$EA274=0),"",$EA274/100))</f>
        <v/>
      </c>
      <c r="EU274">
        <f>IF(OR($ET274="",$DY274=""),"",INT($DY274*(1-$ET274)+0.5))</f>
        <v/>
      </c>
      <c r="EW274" t="n">
        <v>270</v>
      </c>
      <c r="EX274">
        <f>IFERROR(MATCH($EW274,$EM$5:$EM$1003,0),0)</f>
        <v/>
      </c>
      <c r="EY274">
        <f>IF($EW274&gt;$B$12,"",IF($EX274&gt;0,"row","spacer"))</f>
        <v/>
      </c>
      <c r="EZ274">
        <f>IF(AND($EY274="row",$EY273&lt;&gt;"row"),1,0)</f>
        <v/>
      </c>
      <c r="FA274">
        <f>IF(AND($EY274="row",$EY275&lt;&gt;"row"),1,0)</f>
        <v/>
      </c>
      <c r="FB274">
        <f>IF($EZ274=1,IFERROR(IF(ISNUMBER(INDEX(PASTE_ALL,INDEX($DF$5:$DF$1003,$EX274),$B$37)),INDEX(PASTE_ALL,INDEX($DF$5:$DF$1003,$EX274),$B$37),INDEX($DH$5:$DH$1003,$EX274)),INDEX($DH$5:$DH$1003,$EX274)),"")</f>
        <v/>
      </c>
      <c r="FC274">
        <f>IF($EY274="row",INDEX($ER$5:$ER$1003,$EX274),"")</f>
        <v/>
      </c>
      <c r="FD274">
        <f>IF($EY274="row",INDEX($DN$5:$DN$1003,$EX274),"")</f>
        <v/>
      </c>
      <c r="FE274">
        <f>IF($EY274="row",INDEX($DO$5:$DO$1003,$EX274),"")</f>
        <v/>
      </c>
      <c r="FF274">
        <f>IF($EY274="row",INDEX($DP$5:$DP$1003,$EX274),"")</f>
        <v/>
      </c>
      <c r="FG274">
        <f>IF($EY274="row",INDEX($DQ$5:$DQ$1003,$EX274),"")</f>
        <v/>
      </c>
      <c r="FH274">
        <f>IF($EY274="row",INDEX($DR$5:$DR$1003,$EX274),"")</f>
        <v/>
      </c>
      <c r="FI274">
        <f>IF($EY274="row",INDEX($DS$5:$DS$1003,$EX274),"")</f>
        <v/>
      </c>
      <c r="FJ274">
        <f>IF($EY274="row",INDEX($DT$5:$DT$1003,$EX274),"")</f>
        <v/>
      </c>
      <c r="FK274">
        <f>IF($EY274="row",INDEX($DU$5:$DU$1003,$EX274),"")</f>
        <v/>
      </c>
      <c r="FL274">
        <f>IF($EY274="row",INDEX($DV$5:$DV$1003,$EX274),"")</f>
        <v/>
      </c>
      <c r="FM274">
        <f>IF($EY274="row",INDEX($DW$5:$DW$1003,$EX274),"")</f>
        <v/>
      </c>
      <c r="FN274">
        <f>IF($EY274="row",INDEX($DY$5:$DY$1003,$EX274),"")</f>
        <v/>
      </c>
      <c r="FO274">
        <f>IF($EY274="row",INDEX($EA$5:$EA$1003,$EX274),"")</f>
        <v/>
      </c>
      <c r="FP274">
        <f>IF($EY274="row",INDEX($EC$5:$EC$1003,$EX274),"")</f>
        <v/>
      </c>
      <c r="FQ274">
        <f>IF($EY274="row",INDEX($ET$5:$ET$1003,$EX274),"")</f>
        <v/>
      </c>
      <c r="FR274">
        <f>IF($EY274="row",INDEX($EU$5:$EU$1003,$EX274),"")</f>
        <v/>
      </c>
      <c r="FS274">
        <f>IF(AND($EY274="row",$EY273="row"),IF(OR(INDEX($DT$5:$DT$1003,$EX273)="",INDEX($DT$5:$DT$1003,$EX274)=""),"",IF(NOT(EXACT(INDEX($DT$5:$DT$1003,$EX273),INDEX($DT$5:$DT$1003,$EX274))),"S4",IF(NOT(EXACT(INDEX($DS$5:$DS$1003,$EX273),INDEX($DS$5:$DS$1003,$EX274))),"S3",IF(NOT(EXACT(INDEX($DR$5:$DR$1003,$EX273),INDEX($DR$5:$DR$1003,$EX274))),"S1 Count Change","S1")))),"")</f>
        <v/>
      </c>
      <c r="FT274">
        <f>IF($EY274="row",INDEX($ES$5:$ES$1003,$EX274),"")</f>
        <v/>
      </c>
      <c r="FU274">
        <f>IF($EY274="row",INDEX($EO$5:$EO$1003,$EX274),0)</f>
        <v/>
      </c>
      <c r="FV274">
        <f>IF($FS274="S1 Count Change",1,0)</f>
        <v/>
      </c>
    </row>
    <row r="275">
      <c r="DA275" t="n">
        <v>271</v>
      </c>
      <c r="DB275">
        <f>IF($B$37=0,"",IFERROR(TRIM(SUBSTITUTE(SUBSTITUTE(SUBSTITUTE(SUBSTITUTE(INDEX(PASTE_ALL,271,$B$37)," "," "),CHAR(9)," "),CHAR(10)," "),CHAR(13)," ")),""))</f>
        <v/>
      </c>
      <c r="DC275">
        <f>IF(AND(271&gt;HEADER_ROW,UPPER(DB275)="LEGEND"),1,0)</f>
        <v/>
      </c>
      <c r="DE275" t="n">
        <v>271</v>
      </c>
      <c r="DF275">
        <f>HEADER_ROW+$DE275</f>
        <v/>
      </c>
      <c r="DG275">
        <f>IF(AND($DF275&lt;=1000,$DF275&lt;$B$8),1,0)</f>
        <v/>
      </c>
      <c r="DH275">
        <f>IF($DG275=1,IFERROR(INDEX($DB$5:$DB$1004,$DF275),""),"")</f>
        <v/>
      </c>
      <c r="DI275">
        <f>IF(AND($DG275=1,$DH275&lt;&gt;""),IFERROR(SUBSTITUTE(SUBSTITUTE(TRIM(SUBSTITUTE(SUBSTITUTE(SUBSTITUTE(SUBSTITUTE(IFERROR(INDEX(PASTE_ALL,$DF275,1)&amp;"","")&amp;"␟"&amp;IFERROR(INDEX(PASTE_ALL,$DF275,2)&amp;"","")&amp;"␟"&amp;IFERROR(INDEX(PASTE_ALL,$DF275,3)&amp;"","")&amp;"␟"&amp;IFERROR(INDEX(PASTE_ALL,$DF275,4)&amp;"","")&amp;"␟"&amp;IFERROR(INDEX(PASTE_ALL,$DF275,5)&amp;"","")&amp;"␟"&amp;IFERROR(INDEX(PASTE_ALL,$DF275,6)&amp;"","")&amp;"␟"&amp;IFERROR(INDEX(PASTE_ALL,$DF275,7)&amp;"","")&amp;"␟"&amp;IFERROR(INDEX(PASTE_ALL,$DF275,8)&amp;"","")&amp;"␟"&amp;IFERROR(INDEX(PASTE_ALL,$DF275,9)&amp;"","")&amp;"␟"&amp;IFERROR(INDEX(PASTE_ALL,$DF275,10)&amp;"","")&amp;"␟"&amp;IFERROR(INDEX(PASTE_ALL,$DF275,11)&amp;"","")&amp;"␟"&amp;IFERROR(INDEX(PASTE_ALL,$DF275,12)&amp;"","")&amp;"␟"&amp;IFERROR(INDEX(PASTE_ALL,$DF275,13)&amp;"","")&amp;"␟"&amp;IFERROR(INDEX(PASTE_ALL,$DF275,14)&amp;"","")&amp;"␟"&amp;IFERROR(INDEX(PASTE_ALL,$DF275,15)&amp;"","")&amp;"␟"&amp;IFERROR(INDEX(PASTE_ALL,$DF275,16)&amp;"","")&amp;"␟"&amp;IFERROR(INDEX(PASTE_ALL,$DF275,17)&amp;"","")&amp;"␟"&amp;IFERROR(INDEX(PASTE_ALL,$DF275,18)&amp;"","")&amp;"␟"&amp;IFERROR(INDEX(PASTE_ALL,$DF275,19)&amp;"","")&amp;"␟"&amp;IFERROR(INDEX(PASTE_ALL,$DF275,20)&amp;"","")&amp;"␟"&amp;IFERROR(INDEX(PASTE_ALL,$DF275,21)&amp;"","")&amp;"␟"&amp;IFERROR(INDEX(PASTE_ALL,$DF275,22)&amp;"","")&amp;"␟"&amp;IFERROR(INDEX(PASTE_ALL,$DF275,23)&amp;"","")&amp;"␟"&amp;IFERROR(INDEX(PASTE_ALL,$DF275,24)&amp;"","")&amp;"␟"&amp;IFERROR(INDEX(PASTE_ALL,$DF275,25)&amp;"","")&amp;"␟"&amp;IFERROR(INDEX(PASTE_ALL,$DF275,26)&amp;"","")&amp;"␟"&amp;IFERROR(INDEX(PASTE_ALL,$DF275,27)&amp;"","")&amp;"␟"&amp;IFERROR(INDEX(PASTE_ALL,$DF275,28)&amp;"","")&amp;"␟"&amp;IFERROR(INDEX(PASTE_ALL,$DF275,29)&amp;"","")&amp;"␟"&amp;IFERROR(INDEX(PASTE_ALL,$DF275,30)&amp;"","")&amp;"␟"&amp;IFERROR(INDEX(PASTE_ALL,$DF275,31)&amp;"","")&amp;"␟"&amp;IFERROR(INDEX(PASTE_ALL,$DF275,32)&amp;"","")&amp;"␟"&amp;IFERROR(INDEX(PASTE_ALL,$DF275,33)&amp;"","")&amp;"␟"&amp;IFERROR(INDEX(PASTE_ALL,$DF275,34)&amp;"","")&amp;"␟"&amp;IFERROR(INDEX(PASTE_ALL,$DF275,35)&amp;"","")&amp;"␟"&amp;IFERROR(INDEX(PASTE_ALL,$DF275,36)&amp;"","")&amp;"␟"&amp;IFERROR(INDEX(PASTE_ALL,$DF275,37)&amp;"","")&amp;"␟"&amp;IFERROR(INDEX(PASTE_ALL,$DF275,38)&amp;"","")&amp;"␟"&amp;IFERROR(INDEX(PASTE_ALL,$DF275,39)&amp;"","")&amp;"␟"&amp;IFERROR(INDEX(PASTE_ALL,$DF275,40)&amp;"","")&amp;"␟"&amp;IFERROR(INDEX(PASTE_ALL,$DF275,41)&amp;"","")&amp;"␟"&amp;IFERROR(INDEX(PASTE_ALL,$DF275,42)&amp;"","")&amp;"␟"&amp;IFERROR(INDEX(PASTE_ALL,$DF275,43)&amp;"","")&amp;"␟"&amp;IFERROR(INDEX(PASTE_ALL,$DF275,44)&amp;"","")&amp;"␟"&amp;IFERROR(INDEX(PASTE_ALL,$DF275,45)&amp;"","")&amp;"␟"&amp;IFERROR(INDEX(PASTE_ALL,$DF275,46)&amp;"","")&amp;"␟"&amp;IFERROR(INDEX(PASTE_ALL,$DF275,47)&amp;"","")&amp;"␟"&amp;IFERROR(INDEX(PASTE_ALL,$DF275,48)&amp;"","")&amp;"␟"&amp;IFERROR(INDEX(PASTE_ALL,$DF275,49)&amp;"","")&amp;"␟"&amp;IFERROR(INDEX(PASTE_ALL,$DF275,50)&amp;"","")&amp;"␟"&amp;IFERROR(INDEX(PASTE_ALL,$DF275,51)&amp;"","")&amp;"␟"&amp;IFERROR(INDEX(PASTE_ALL,$DF275,52)&amp;"","")&amp;"␟"&amp;IFERROR(INDEX(PASTE_ALL,$DF275,53)&amp;"","")&amp;"␟"&amp;IFERROR(INDEX(PASTE_ALL,$DF275,54)&amp;"","")&amp;"␟"&amp;IFERROR(INDEX(PASTE_ALL,$DF275,55)&amp;"","")&amp;"␟"&amp;IFERROR(INDEX(PASTE_ALL,$DF275,56)&amp;"","")&amp;"␟"&amp;IFERROR(INDEX(PASTE_ALL,$DF275,57)&amp;"","")&amp;"␟"&amp;IFERROR(INDEX(PASTE_ALL,$DF275,58)&amp;"","")&amp;"␟"&amp;IFERROR(INDEX(PASTE_ALL,$DF275,59)&amp;"","")&amp;"␟"&amp;IFERROR(INDEX(PASTE_ALL,$DF275,60)&amp;"","")," "," "),CHAR(9)," "),CHAR(10)," "),CHAR(13)," "))," ␟","␟"),"␟ ","␟"),"#"&amp;$DE275),"")</f>
        <v/>
      </c>
      <c r="DJ275">
        <f>IF($DI275="",0,IF(SUMPRODUCT(--EXACT($DI$4:DI274,$DI275))&gt;0,1,0))</f>
        <v/>
      </c>
      <c r="DK275">
        <f>IF(AND($DI275&lt;&gt;"",$DJ275=0),1,0)</f>
        <v/>
      </c>
      <c r="DL275">
        <f>DL274+$DK275</f>
        <v/>
      </c>
      <c r="DM275">
        <f>IF(AND($DK275=1,$DL275&lt;=600),1,0)</f>
        <v/>
      </c>
      <c r="DN275">
        <f>IF($DM275=0,"",IF($L$6=0,"",IFERROR(IF(ISNUMBER(INDEX(PASTE_ALL,$DF275,$L$6)),INDEX(PASTE_ALL,$DF275,$L$6),TRIM(SUBSTITUTE(SUBSTITUTE(SUBSTITUTE(SUBSTITUTE(INDEX(PASTE_ALL,$DF275,$L$6)," "," "),CHAR(9)," "),CHAR(10)," "),CHAR(13)," "))),"")))</f>
        <v/>
      </c>
      <c r="DO275">
        <f>IF($DM275=0,"",IF($L$7=0,"",IFERROR(IF(ISNUMBER(INDEX(PASTE_ALL,$DF275,$L$7)),INDEX(PASTE_ALL,$DF275,$L$7),TRIM(SUBSTITUTE(SUBSTITUTE(SUBSTITUTE(SUBSTITUTE(INDEX(PASTE_ALL,$DF275,$L$7)," "," "),CHAR(9)," "),CHAR(10)," "),CHAR(13)," "))),"")))</f>
        <v/>
      </c>
      <c r="DP275">
        <f>IF($DM275=0,"",IF($L$8=0,"",IFERROR(IF(ISNUMBER(INDEX(PASTE_ALL,$DF275,$L$8)),INDEX(PASTE_ALL,$DF275,$L$8),TRIM(SUBSTITUTE(SUBSTITUTE(SUBSTITUTE(SUBSTITUTE(INDEX(PASTE_ALL,$DF275,$L$8)," "," "),CHAR(9)," "),CHAR(10)," "),CHAR(13)," "))),"")))</f>
        <v/>
      </c>
      <c r="DQ275">
        <f>IF($DM275=0,"",IF($L$9=0,"",IFERROR(IF(ISNUMBER(INDEX(PASTE_ALL,$DF275,$L$9)),INDEX(PASTE_ALL,$DF275,$L$9),TRIM(SUBSTITUTE(SUBSTITUTE(SUBSTITUTE(SUBSTITUTE(INDEX(PASTE_ALL,$DF275,$L$9)," "," "),CHAR(9)," "),CHAR(10)," "),CHAR(13)," "))),"")))</f>
        <v/>
      </c>
      <c r="DR275">
        <f>IF($DM275=0,"",IF($L$10=0,"",IFERROR(IF(ISNUMBER(INDEX(PASTE_ALL,$DF275,$L$10)),INDEX(PASTE_ALL,$DF275,$L$10),TRIM(SUBSTITUTE(SUBSTITUTE(SUBSTITUTE(SUBSTITUTE(INDEX(PASTE_ALL,$DF275,$L$10)," "," "),CHAR(9)," "),CHAR(10)," "),CHAR(13)," "))),"")))</f>
        <v/>
      </c>
      <c r="DS275">
        <f>IF($DM275=0,"",IF($L$11=0,"",IFERROR(IF(ISNUMBER(INDEX(PASTE_ALL,$DF275,$L$11)),INDEX(PASTE_ALL,$DF275,$L$11),TRIM(SUBSTITUTE(SUBSTITUTE(SUBSTITUTE(SUBSTITUTE(INDEX(PASTE_ALL,$DF275,$L$11)," "," "),CHAR(9)," "),CHAR(10)," "),CHAR(13)," "))),"")))</f>
        <v/>
      </c>
      <c r="DT275">
        <f>IF($DM275=0,"",IF($L$12=0,"",IFERROR(IF(ISNUMBER(INDEX(PASTE_ALL,$DF275,$L$12)),INDEX(PASTE_ALL,$DF275,$L$12),TRIM(SUBSTITUTE(SUBSTITUTE(SUBSTITUTE(SUBSTITUTE(INDEX(PASTE_ALL,$DF275,$L$12)," "," "),CHAR(9)," "),CHAR(10)," "),CHAR(13)," "))),"")))</f>
        <v/>
      </c>
      <c r="DU275">
        <f>IF($DM275=0,"",IF($L$13=0,"",IFERROR(IF(ISNUMBER(INDEX(PASTE_ALL,$DF275,$L$13)),INDEX(PASTE_ALL,$DF275,$L$13),TRIM(SUBSTITUTE(SUBSTITUTE(SUBSTITUTE(SUBSTITUTE(INDEX(PASTE_ALL,$DF275,$L$13)," "," "),CHAR(9)," "),CHAR(10)," "),CHAR(13)," "))),"")))</f>
        <v/>
      </c>
      <c r="DV275">
        <f>IF($DM275=0,"",IF($L$14=0,"",IFERROR(IF(ISNUMBER(INDEX(PASTE_ALL,$DF275,$L$14)),INDEX(PASTE_ALL,$DF275,$L$14),TRIM(SUBSTITUTE(SUBSTITUTE(SUBSTITUTE(SUBSTITUTE(INDEX(PASTE_ALL,$DF275,$L$14)," "," "),CHAR(9)," "),CHAR(10)," "),CHAR(13)," "))),"")))</f>
        <v/>
      </c>
      <c r="DW275">
        <f>IF($DM275=0,"",IF($L$15=0,"",IFERROR(IF(ISNUMBER(INDEX(PASTE_ALL,$DF275,$L$15)),INDEX(PASTE_ALL,$DF275,$L$15),IF(SUMPRODUCT(--ISNUMBER(FIND({"A","B","C","D","E","F","G","H","I","J","K","L","M","N","O","P","Q","R","S","T","U","V","W","X","Y","Z","0","1","2","3","4","5","6","7","8","9"},UPPER(TRIM(SUBSTITUTE(SUBSTITUTE(SUBSTITUTE(SUBSTITUTE(INDEX(PASTE_ALL,$DF275,$L$15)," "," "),CHAR(9)," "),CHAR(10)," "),CHAR(13)," "))))))&gt;0,TRIM(SUBSTITUTE(SUBSTITUTE(SUBSTITUTE(SUBSTITUTE(INDEX(PASTE_ALL,$DF275,$L$15)," "," "),CHAR(9)," "),CHAR(10)," "),CHAR(13)," ")),"")),"")))</f>
        <v/>
      </c>
      <c r="DX275">
        <f>IF($DM275=0,"",IF($L$16=0,"",IFERROR(IF(ISNUMBER(INDEX(PASTE_ALL,$DF275,$L$16)),INDEX(PASTE_ALL,$DF275,$L$16),SUBSTITUTE(SUBSTITUTE(TRIM(SUBSTITUTE(SUBSTITUTE(SUBSTITUTE(SUBSTITUTE(INDEX(PASTE_ALL,$DF275,$L$16)," "," "),CHAR(9)," "),CHAR(10)," "),CHAR(13)," ")),",",""),"%","")),"")))</f>
        <v/>
      </c>
      <c r="DY275">
        <f>IF($DM275=0,"",IFERROR(IF(ISNUMBER($DX275),$DX275,IF($DX275="","",IF(TRIM($DX275)="",0,IF(AND(AND(SUBSTITUTE(SUBSTITUTE(SUBSTITUTE(SUBSTITUTE(SUBSTITUTE(SUBSTITUTE(SUBSTITUTE(SUBSTITUTE(SUBSTITUTE(SUBSTITUTE(SUBSTITUTE(SUBSTITUTE(SUBSTITUTE(SUBSTITUTE(UPPER(TRIM($DX275)),"0",""),"1",""),"2",""),"3",""),"4",""),"5",""),"6",""),"7",""),"8",""),"9",""),".",""),"+",""),"-",""),"E","")="",LEN(SUBSTITUTE(SUBSTITUTE(MID(UPPER(TRIM($DX275)),1+OR(LEFT(UPPER(TRIM($DX275)),1)="+",LEFT(UPPER(TRIM($DX275)),1)="-"),999),"E+","E"),"E-","E"))=LEN(SUBSTITUTE(SUBSTITUTE(SUBSTITUTE(SUBSTITUTE(MID(UPPER(TRIM($DX275)),1+OR(LEFT(UPPER(TRIM($DX275)),1)="+",LEFT(UPPER(TRIM($DX275)),1)="-"),999),"E+","E"),"E-","E"),"+",""),"-","")),LEN(UPPER(TRIM($DX275)))-LEN(SUBSTITUTE(UPPER(TRIM($DX275)),"E",""))&lt;2,LEN(UPPER(TRIM($DX275)))-LEN(SUBSTITUTE(UPPER(TRIM($DX275)),".",""))&lt;2,IFERROR(FIND(".",UPPER(TRIM($DX275))),0)&lt;IFERROR(FIND("E",UPPER(TRIM($DX275))),999)),ISNUMBER(VALUE(TRIM($DX275)))),VALUE(TRIM($DX275)),"")))),""))</f>
        <v/>
      </c>
      <c r="DZ275">
        <f>IF($DM275=0,"",IF($L$17=0,"",IFERROR(IF(ISNUMBER(INDEX(PASTE_ALL,$DF275,$L$17)),INDEX(PASTE_ALL,$DF275,$L$17),SUBSTITUTE(SUBSTITUTE(TRIM(SUBSTITUTE(SUBSTITUTE(SUBSTITUTE(SUBSTITUTE(INDEX(PASTE_ALL,$DF275,$L$17)," "," "),CHAR(9)," "),CHAR(10)," "),CHAR(13)," ")),",",""),"%","")),"")))</f>
        <v/>
      </c>
      <c r="EA275">
        <f>IF($DM275=0,"",IFERROR(IF(ISNUMBER($DZ275),$DZ275,IF($DZ275="","",IF(TRIM($DZ275)="",0,IF(AND(AND(SUBSTITUTE(SUBSTITUTE(SUBSTITUTE(SUBSTITUTE(SUBSTITUTE(SUBSTITUTE(SUBSTITUTE(SUBSTITUTE(SUBSTITUTE(SUBSTITUTE(SUBSTITUTE(SUBSTITUTE(SUBSTITUTE(SUBSTITUTE(UPPER(TRIM($DZ275)),"0",""),"1",""),"2",""),"3",""),"4",""),"5",""),"6",""),"7",""),"8",""),"9",""),".",""),"+",""),"-",""),"E","")="",LEN(SUBSTITUTE(SUBSTITUTE(MID(UPPER(TRIM($DZ275)),1+OR(LEFT(UPPER(TRIM($DZ275)),1)="+",LEFT(UPPER(TRIM($DZ275)),1)="-"),999),"E+","E"),"E-","E"))=LEN(SUBSTITUTE(SUBSTITUTE(SUBSTITUTE(SUBSTITUTE(MID(UPPER(TRIM($DZ275)),1+OR(LEFT(UPPER(TRIM($DZ275)),1)="+",LEFT(UPPER(TRIM($DZ275)),1)="-"),999),"E+","E"),"E-","E"),"+",""),"-","")),LEN(UPPER(TRIM($DZ275)))-LEN(SUBSTITUTE(UPPER(TRIM($DZ275)),"E",""))&lt;2,LEN(UPPER(TRIM($DZ275)))-LEN(SUBSTITUTE(UPPER(TRIM($DZ275)),".",""))&lt;2,IFERROR(FIND(".",UPPER(TRIM($DZ275))),0)&lt;IFERROR(FIND("E",UPPER(TRIM($DZ275))),999)),ISNUMBER(VALUE(TRIM($DZ275)))),VALUE(TRIM($DZ275)),"")))),""))</f>
        <v/>
      </c>
      <c r="EB275">
        <f>IF($DM275=0,"",IF($L$18=0,"",IFERROR(IF(UPPER(TRIM(SUBSTITUTE(SUBSTITUTE(SUBSTITUTE(SUBSTITUTE(INDEX(PASTE_ALL,$DF275,$L$18)," "," "),CHAR(9)," "),CHAR(10)," "),CHAR(13)," ")))="READY","Ready",IF(UPPER(TRIM(SUBSTITUTE(SUBSTITUTE(SUBSTITUTE(SUBSTITUTE(INDEX(PASTE_ALL,$DF275,$L$18)," "," "),CHAR(9)," "),CHAR(10)," "),CHAR(13)," ")))="PM","PM",IF(OR(UPPER(TRIM(SUBSTITUTE(SUBSTITUTE(SUBSTITUTE(SUBSTITUTE(INDEX(PASTE_ALL,$DF275,$L$18)," "," "),CHAR(9)," "),CHAR(10)," "),CHAR(13)," ")))="OT",UPPER(TRIM(SUBSTITUTE(SUBSTITUTE(SUBSTITUTE(SUBSTITUTE(INDEX(PASTE_ALL,$DF275,$L$18)," "," "),CHAR(9)," "),CHAR(10)," "),CHAR(13)," ")))="OVERTIME",UPPER(TRIM(SUBSTITUTE(SUBSTITUTE(SUBSTITUTE(SUBSTITUTE(INDEX(PASTE_ALL,$DF275,$L$18)," "," "),CHAR(9)," "),CHAR(10)," "),CHAR(13)," ")))="TRIAL"),"OT",TRIM(SUBSTITUTE(SUBSTITUTE(SUBSTITUTE(SUBSTITUTE(INDEX(PASTE_ALL,$DF275,$L$18)," "," "),CHAR(9)," "),CHAR(10)," "),CHAR(13)," "))))),"")))</f>
        <v/>
      </c>
      <c r="EC275">
        <f>IF($DM275=0,"",IF($L$19=0,"",IFERROR(IF(ISNUMBER(INDEX(PASTE_ALL,$DF275,$L$19)),INDEX(PASTE_ALL,$DF275,$L$19),TRIM(SUBSTITUTE(SUBSTITUTE(SUBSTITUTE(SUBSTITUTE(INDEX(PASTE_ALL,$DF275,$L$19)," "," "),CHAR(9)," "),CHAR(10)," "),CHAR(13)," "))),"")))</f>
        <v/>
      </c>
      <c r="ED275">
        <f>IF($DM275=0,"",MATCH(1,INDEX(EXACT($DH$5:DH275,$DH275)*$DM$5:DM275,0),0))</f>
        <v/>
      </c>
      <c r="EE275">
        <f>IF($DM275=0,0,IF($ED275=$DE275,1,0))</f>
        <v/>
      </c>
      <c r="EF275">
        <f>EF274+$EE275</f>
        <v/>
      </c>
      <c r="EG275">
        <f>IF($DM275=0,"",INDEX($EF$5:$EF$1003,$ED275))</f>
        <v/>
      </c>
      <c r="EH275">
        <f>IF($DM275=0,"",IF($DO275&lt;&gt;"","",IFERROR(LOOKUP(2,1/(($EG$4:EG274=$EG275)*($DO$4:DO274&lt;&gt;"")),$DO$4:DO274),"")))</f>
        <v/>
      </c>
      <c r="EI275">
        <f>IF($DM275=0,"",IF($DO275&lt;&gt;"",$DO275,$EH275))</f>
        <v/>
      </c>
      <c r="EJ275">
        <f>IF($DM275=0,"",IF($EI275="",0,IF(OR(ISNUMBER($EI275),AND(AND(SUBSTITUTE(SUBSTITUTE(SUBSTITUTE(SUBSTITUTE(SUBSTITUTE(SUBSTITUTE(SUBSTITUTE(SUBSTITUTE(SUBSTITUTE(SUBSTITUTE(SUBSTITUTE(SUBSTITUTE(SUBSTITUTE(SUBSTITUTE(UPPER($EI275),"0",""),"1",""),"2",""),"3",""),"4",""),"5",""),"6",""),"7",""),"8",""),"9",""),".",""),"+",""),"-",""),"E","")="",LEN(SUBSTITUTE(SUBSTITUTE(MID(UPPER($EI275),1+OR(LEFT(UPPER($EI275),1)="+",LEFT(UPPER($EI275),1)="-"),999),"E+","E"),"E-","E"))=LEN(SUBSTITUTE(SUBSTITUTE(SUBSTITUTE(SUBSTITUTE(MID(UPPER($EI275),1+OR(LEFT(UPPER($EI275),1)="+",LEFT(UPPER($EI275),1)="-"),999),"E+","E"),"E-","E"),"+",""),"-","")),LEN(UPPER($EI275))-LEN(SUBSTITUTE(UPPER($EI275),"E",""))&lt;2,LEN(UPPER($EI275))-LEN(SUBSTITUTE(UPPER($EI275),".",""))&lt;2,IFERROR(FIND(".",UPPER($EI275)),0)&lt;IFERROR(FIND("E",UPPER($EI275)),999)),ISNUMBER(VALUE($EI275)))),1,2)))</f>
        <v/>
      </c>
      <c r="EK275">
        <f>IF($DM275=0,"",IF($EJ275=1,IF(ISNUMBER($EI275),$EI275,VALUE($EI275)),IF($EJ275=2,$DE275,0)))</f>
        <v/>
      </c>
      <c r="EL275">
        <f>IF($DM275=0,"",COUNTIF($EG$5:$EG$1003,"&lt;"&amp;$EG275)+SUMPRODUCT(($EG$5:$EG$1003=$EG275)*(($EJ$5:$EJ$1003&lt;$EJ275)+($EJ$5:$EJ$1003=$EJ275)*(($EK$5:$EK$1003&lt;$EK275)+($EK$5:$EK$1003=$EK275)*($DE$5:$DE$1003&lt;$DE275))))+1)</f>
        <v/>
      </c>
      <c r="EM275">
        <f>IF($DM275=0,"",$EL275+$EG275-1)</f>
        <v/>
      </c>
      <c r="EN275">
        <f>IF($DM275=0,0,IFERROR(MATCH(1,INDEX(--(TRIM(SUBSTITUTE(SUBSTITUTE(SUBSTITUTE(SUBSTITUTE(LINES_NAME&amp;""," "," "),CHAR(9)," "),CHAR(10)," "),CHAR(13)," "))=$DH275),0),0),0))</f>
        <v/>
      </c>
      <c r="EO275">
        <f>IF($EN275=0,0,IF(OR(UPPER(TRIM(INDEX(LINES_SCHEDULED,$EN275)&amp;""))="YES",UPPER(TRIM(INDEX(LINES_SCHEDULED,$EN275)&amp;""))="Y",UPPER(TRIM(INDEX(LINES_SCHEDULED,$EN275)&amp;""))="X"),1,0))</f>
        <v/>
      </c>
      <c r="EP275">
        <f>IF($DM275=0,"",IF(COUNTIFS($EG$5:$EG$1003,$EG275,$EB$5:$EB$1003,"Ready")&gt;0,"READY",IF(COUNTIFS($EG$5:$EG$1003,$EG275,$EB$5:$EB$1003,"PM")&gt;0,"PM",IF(COUNTIFS($EG$5:$EG$1003,$EG275,$EB$5:$EB$1003,"OT")&gt;0,"OT",""))))</f>
        <v/>
      </c>
      <c r="EQ275">
        <f>IF($EN275=0,"",UPPER(TRIM(INDEX(LINES_STATUS,$EN275)&amp;"")))</f>
        <v/>
      </c>
      <c r="ER275">
        <f>IF($DM275=0,"",IF(OR($EQ275="READY",$EQ275="PM",$EQ275="OT"),$EQ275,$EP275))</f>
        <v/>
      </c>
      <c r="ES275">
        <f>IF($DM275=0,"",IF(AND($DV275&lt;&gt;"",UPPER($DV275)&lt;&gt;"N"),"allergen",IF(ISNUMBER(SEARCH("oil",$DQ275)),"oil",IF(OR(EXACT($DS275,"A662"),EXACT($DS275,"A624")),"bulk",""))))</f>
        <v/>
      </c>
      <c r="ET275">
        <f>IF($DM275=0,"",IF(OR($EA275="",$EA275=0),"",$EA275/100))</f>
        <v/>
      </c>
      <c r="EU275">
        <f>IF(OR($ET275="",$DY275=""),"",INT($DY275*(1-$ET275)+0.5))</f>
        <v/>
      </c>
      <c r="EW275" t="n">
        <v>271</v>
      </c>
      <c r="EX275">
        <f>IFERROR(MATCH($EW275,$EM$5:$EM$1003,0),0)</f>
        <v/>
      </c>
      <c r="EY275">
        <f>IF($EW275&gt;$B$12,"",IF($EX275&gt;0,"row","spacer"))</f>
        <v/>
      </c>
      <c r="EZ275">
        <f>IF(AND($EY275="row",$EY274&lt;&gt;"row"),1,0)</f>
        <v/>
      </c>
      <c r="FA275">
        <f>IF(AND($EY275="row",$EY276&lt;&gt;"row"),1,0)</f>
        <v/>
      </c>
      <c r="FB275">
        <f>IF($EZ275=1,IFERROR(IF(ISNUMBER(INDEX(PASTE_ALL,INDEX($DF$5:$DF$1003,$EX275),$B$37)),INDEX(PASTE_ALL,INDEX($DF$5:$DF$1003,$EX275),$B$37),INDEX($DH$5:$DH$1003,$EX275)),INDEX($DH$5:$DH$1003,$EX275)),"")</f>
        <v/>
      </c>
      <c r="FC275">
        <f>IF($EY275="row",INDEX($ER$5:$ER$1003,$EX275),"")</f>
        <v/>
      </c>
      <c r="FD275">
        <f>IF($EY275="row",INDEX($DN$5:$DN$1003,$EX275),"")</f>
        <v/>
      </c>
      <c r="FE275">
        <f>IF($EY275="row",INDEX($DO$5:$DO$1003,$EX275),"")</f>
        <v/>
      </c>
      <c r="FF275">
        <f>IF($EY275="row",INDEX($DP$5:$DP$1003,$EX275),"")</f>
        <v/>
      </c>
      <c r="FG275">
        <f>IF($EY275="row",INDEX($DQ$5:$DQ$1003,$EX275),"")</f>
        <v/>
      </c>
      <c r="FH275">
        <f>IF($EY275="row",INDEX($DR$5:$DR$1003,$EX275),"")</f>
        <v/>
      </c>
      <c r="FI275">
        <f>IF($EY275="row",INDEX($DS$5:$DS$1003,$EX275),"")</f>
        <v/>
      </c>
      <c r="FJ275">
        <f>IF($EY275="row",INDEX($DT$5:$DT$1003,$EX275),"")</f>
        <v/>
      </c>
      <c r="FK275">
        <f>IF($EY275="row",INDEX($DU$5:$DU$1003,$EX275),"")</f>
        <v/>
      </c>
      <c r="FL275">
        <f>IF($EY275="row",INDEX($DV$5:$DV$1003,$EX275),"")</f>
        <v/>
      </c>
      <c r="FM275">
        <f>IF($EY275="row",INDEX($DW$5:$DW$1003,$EX275),"")</f>
        <v/>
      </c>
      <c r="FN275">
        <f>IF($EY275="row",INDEX($DY$5:$DY$1003,$EX275),"")</f>
        <v/>
      </c>
      <c r="FO275">
        <f>IF($EY275="row",INDEX($EA$5:$EA$1003,$EX275),"")</f>
        <v/>
      </c>
      <c r="FP275">
        <f>IF($EY275="row",INDEX($EC$5:$EC$1003,$EX275),"")</f>
        <v/>
      </c>
      <c r="FQ275">
        <f>IF($EY275="row",INDEX($ET$5:$ET$1003,$EX275),"")</f>
        <v/>
      </c>
      <c r="FR275">
        <f>IF($EY275="row",INDEX($EU$5:$EU$1003,$EX275),"")</f>
        <v/>
      </c>
      <c r="FS275">
        <f>IF(AND($EY275="row",$EY274="row"),IF(OR(INDEX($DT$5:$DT$1003,$EX274)="",INDEX($DT$5:$DT$1003,$EX275)=""),"",IF(NOT(EXACT(INDEX($DT$5:$DT$1003,$EX274),INDEX($DT$5:$DT$1003,$EX275))),"S4",IF(NOT(EXACT(INDEX($DS$5:$DS$1003,$EX274),INDEX($DS$5:$DS$1003,$EX275))),"S3",IF(NOT(EXACT(INDEX($DR$5:$DR$1003,$EX274),INDEX($DR$5:$DR$1003,$EX275))),"S1 Count Change","S1")))),"")</f>
        <v/>
      </c>
      <c r="FT275">
        <f>IF($EY275="row",INDEX($ES$5:$ES$1003,$EX275),"")</f>
        <v/>
      </c>
      <c r="FU275">
        <f>IF($EY275="row",INDEX($EO$5:$EO$1003,$EX275),0)</f>
        <v/>
      </c>
      <c r="FV275">
        <f>IF($FS275="S1 Count Change",1,0)</f>
        <v/>
      </c>
    </row>
    <row r="276">
      <c r="DA276" t="n">
        <v>272</v>
      </c>
      <c r="DB276">
        <f>IF($B$37=0,"",IFERROR(TRIM(SUBSTITUTE(SUBSTITUTE(SUBSTITUTE(SUBSTITUTE(INDEX(PASTE_ALL,272,$B$37)," "," "),CHAR(9)," "),CHAR(10)," "),CHAR(13)," ")),""))</f>
        <v/>
      </c>
      <c r="DC276">
        <f>IF(AND(272&gt;HEADER_ROW,UPPER(DB276)="LEGEND"),1,0)</f>
        <v/>
      </c>
      <c r="DE276" t="n">
        <v>272</v>
      </c>
      <c r="DF276">
        <f>HEADER_ROW+$DE276</f>
        <v/>
      </c>
      <c r="DG276">
        <f>IF(AND($DF276&lt;=1000,$DF276&lt;$B$8),1,0)</f>
        <v/>
      </c>
      <c r="DH276">
        <f>IF($DG276=1,IFERROR(INDEX($DB$5:$DB$1004,$DF276),""),"")</f>
        <v/>
      </c>
      <c r="DI276">
        <f>IF(AND($DG276=1,$DH276&lt;&gt;""),IFERROR(SUBSTITUTE(SUBSTITUTE(TRIM(SUBSTITUTE(SUBSTITUTE(SUBSTITUTE(SUBSTITUTE(IFERROR(INDEX(PASTE_ALL,$DF276,1)&amp;"","")&amp;"␟"&amp;IFERROR(INDEX(PASTE_ALL,$DF276,2)&amp;"","")&amp;"␟"&amp;IFERROR(INDEX(PASTE_ALL,$DF276,3)&amp;"","")&amp;"␟"&amp;IFERROR(INDEX(PASTE_ALL,$DF276,4)&amp;"","")&amp;"␟"&amp;IFERROR(INDEX(PASTE_ALL,$DF276,5)&amp;"","")&amp;"␟"&amp;IFERROR(INDEX(PASTE_ALL,$DF276,6)&amp;"","")&amp;"␟"&amp;IFERROR(INDEX(PASTE_ALL,$DF276,7)&amp;"","")&amp;"␟"&amp;IFERROR(INDEX(PASTE_ALL,$DF276,8)&amp;"","")&amp;"␟"&amp;IFERROR(INDEX(PASTE_ALL,$DF276,9)&amp;"","")&amp;"␟"&amp;IFERROR(INDEX(PASTE_ALL,$DF276,10)&amp;"","")&amp;"␟"&amp;IFERROR(INDEX(PASTE_ALL,$DF276,11)&amp;"","")&amp;"␟"&amp;IFERROR(INDEX(PASTE_ALL,$DF276,12)&amp;"","")&amp;"␟"&amp;IFERROR(INDEX(PASTE_ALL,$DF276,13)&amp;"","")&amp;"␟"&amp;IFERROR(INDEX(PASTE_ALL,$DF276,14)&amp;"","")&amp;"␟"&amp;IFERROR(INDEX(PASTE_ALL,$DF276,15)&amp;"","")&amp;"␟"&amp;IFERROR(INDEX(PASTE_ALL,$DF276,16)&amp;"","")&amp;"␟"&amp;IFERROR(INDEX(PASTE_ALL,$DF276,17)&amp;"","")&amp;"␟"&amp;IFERROR(INDEX(PASTE_ALL,$DF276,18)&amp;"","")&amp;"␟"&amp;IFERROR(INDEX(PASTE_ALL,$DF276,19)&amp;"","")&amp;"␟"&amp;IFERROR(INDEX(PASTE_ALL,$DF276,20)&amp;"","")&amp;"␟"&amp;IFERROR(INDEX(PASTE_ALL,$DF276,21)&amp;"","")&amp;"␟"&amp;IFERROR(INDEX(PASTE_ALL,$DF276,22)&amp;"","")&amp;"␟"&amp;IFERROR(INDEX(PASTE_ALL,$DF276,23)&amp;"","")&amp;"␟"&amp;IFERROR(INDEX(PASTE_ALL,$DF276,24)&amp;"","")&amp;"␟"&amp;IFERROR(INDEX(PASTE_ALL,$DF276,25)&amp;"","")&amp;"␟"&amp;IFERROR(INDEX(PASTE_ALL,$DF276,26)&amp;"","")&amp;"␟"&amp;IFERROR(INDEX(PASTE_ALL,$DF276,27)&amp;"","")&amp;"␟"&amp;IFERROR(INDEX(PASTE_ALL,$DF276,28)&amp;"","")&amp;"␟"&amp;IFERROR(INDEX(PASTE_ALL,$DF276,29)&amp;"","")&amp;"␟"&amp;IFERROR(INDEX(PASTE_ALL,$DF276,30)&amp;"","")&amp;"␟"&amp;IFERROR(INDEX(PASTE_ALL,$DF276,31)&amp;"","")&amp;"␟"&amp;IFERROR(INDEX(PASTE_ALL,$DF276,32)&amp;"","")&amp;"␟"&amp;IFERROR(INDEX(PASTE_ALL,$DF276,33)&amp;"","")&amp;"␟"&amp;IFERROR(INDEX(PASTE_ALL,$DF276,34)&amp;"","")&amp;"␟"&amp;IFERROR(INDEX(PASTE_ALL,$DF276,35)&amp;"","")&amp;"␟"&amp;IFERROR(INDEX(PASTE_ALL,$DF276,36)&amp;"","")&amp;"␟"&amp;IFERROR(INDEX(PASTE_ALL,$DF276,37)&amp;"","")&amp;"␟"&amp;IFERROR(INDEX(PASTE_ALL,$DF276,38)&amp;"","")&amp;"␟"&amp;IFERROR(INDEX(PASTE_ALL,$DF276,39)&amp;"","")&amp;"␟"&amp;IFERROR(INDEX(PASTE_ALL,$DF276,40)&amp;"","")&amp;"␟"&amp;IFERROR(INDEX(PASTE_ALL,$DF276,41)&amp;"","")&amp;"␟"&amp;IFERROR(INDEX(PASTE_ALL,$DF276,42)&amp;"","")&amp;"␟"&amp;IFERROR(INDEX(PASTE_ALL,$DF276,43)&amp;"","")&amp;"␟"&amp;IFERROR(INDEX(PASTE_ALL,$DF276,44)&amp;"","")&amp;"␟"&amp;IFERROR(INDEX(PASTE_ALL,$DF276,45)&amp;"","")&amp;"␟"&amp;IFERROR(INDEX(PASTE_ALL,$DF276,46)&amp;"","")&amp;"␟"&amp;IFERROR(INDEX(PASTE_ALL,$DF276,47)&amp;"","")&amp;"␟"&amp;IFERROR(INDEX(PASTE_ALL,$DF276,48)&amp;"","")&amp;"␟"&amp;IFERROR(INDEX(PASTE_ALL,$DF276,49)&amp;"","")&amp;"␟"&amp;IFERROR(INDEX(PASTE_ALL,$DF276,50)&amp;"","")&amp;"␟"&amp;IFERROR(INDEX(PASTE_ALL,$DF276,51)&amp;"","")&amp;"␟"&amp;IFERROR(INDEX(PASTE_ALL,$DF276,52)&amp;"","")&amp;"␟"&amp;IFERROR(INDEX(PASTE_ALL,$DF276,53)&amp;"","")&amp;"␟"&amp;IFERROR(INDEX(PASTE_ALL,$DF276,54)&amp;"","")&amp;"␟"&amp;IFERROR(INDEX(PASTE_ALL,$DF276,55)&amp;"","")&amp;"␟"&amp;IFERROR(INDEX(PASTE_ALL,$DF276,56)&amp;"","")&amp;"␟"&amp;IFERROR(INDEX(PASTE_ALL,$DF276,57)&amp;"","")&amp;"␟"&amp;IFERROR(INDEX(PASTE_ALL,$DF276,58)&amp;"","")&amp;"␟"&amp;IFERROR(INDEX(PASTE_ALL,$DF276,59)&amp;"","")&amp;"␟"&amp;IFERROR(INDEX(PASTE_ALL,$DF276,60)&amp;"","")," "," "),CHAR(9)," "),CHAR(10)," "),CHAR(13)," "))," ␟","␟"),"␟ ","␟"),"#"&amp;$DE276),"")</f>
        <v/>
      </c>
      <c r="DJ276">
        <f>IF($DI276="",0,IF(SUMPRODUCT(--EXACT($DI$4:DI275,$DI276))&gt;0,1,0))</f>
        <v/>
      </c>
      <c r="DK276">
        <f>IF(AND($DI276&lt;&gt;"",$DJ276=0),1,0)</f>
        <v/>
      </c>
      <c r="DL276">
        <f>DL275+$DK276</f>
        <v/>
      </c>
      <c r="DM276">
        <f>IF(AND($DK276=1,$DL276&lt;=600),1,0)</f>
        <v/>
      </c>
      <c r="DN276">
        <f>IF($DM276=0,"",IF($L$6=0,"",IFERROR(IF(ISNUMBER(INDEX(PASTE_ALL,$DF276,$L$6)),INDEX(PASTE_ALL,$DF276,$L$6),TRIM(SUBSTITUTE(SUBSTITUTE(SUBSTITUTE(SUBSTITUTE(INDEX(PASTE_ALL,$DF276,$L$6)," "," "),CHAR(9)," "),CHAR(10)," "),CHAR(13)," "))),"")))</f>
        <v/>
      </c>
      <c r="DO276">
        <f>IF($DM276=0,"",IF($L$7=0,"",IFERROR(IF(ISNUMBER(INDEX(PASTE_ALL,$DF276,$L$7)),INDEX(PASTE_ALL,$DF276,$L$7),TRIM(SUBSTITUTE(SUBSTITUTE(SUBSTITUTE(SUBSTITUTE(INDEX(PASTE_ALL,$DF276,$L$7)," "," "),CHAR(9)," "),CHAR(10)," "),CHAR(13)," "))),"")))</f>
        <v/>
      </c>
      <c r="DP276">
        <f>IF($DM276=0,"",IF($L$8=0,"",IFERROR(IF(ISNUMBER(INDEX(PASTE_ALL,$DF276,$L$8)),INDEX(PASTE_ALL,$DF276,$L$8),TRIM(SUBSTITUTE(SUBSTITUTE(SUBSTITUTE(SUBSTITUTE(INDEX(PASTE_ALL,$DF276,$L$8)," "," "),CHAR(9)," "),CHAR(10)," "),CHAR(13)," "))),"")))</f>
        <v/>
      </c>
      <c r="DQ276">
        <f>IF($DM276=0,"",IF($L$9=0,"",IFERROR(IF(ISNUMBER(INDEX(PASTE_ALL,$DF276,$L$9)),INDEX(PASTE_ALL,$DF276,$L$9),TRIM(SUBSTITUTE(SUBSTITUTE(SUBSTITUTE(SUBSTITUTE(INDEX(PASTE_ALL,$DF276,$L$9)," "," "),CHAR(9)," "),CHAR(10)," "),CHAR(13)," "))),"")))</f>
        <v/>
      </c>
      <c r="DR276">
        <f>IF($DM276=0,"",IF($L$10=0,"",IFERROR(IF(ISNUMBER(INDEX(PASTE_ALL,$DF276,$L$10)),INDEX(PASTE_ALL,$DF276,$L$10),TRIM(SUBSTITUTE(SUBSTITUTE(SUBSTITUTE(SUBSTITUTE(INDEX(PASTE_ALL,$DF276,$L$10)," "," "),CHAR(9)," "),CHAR(10)," "),CHAR(13)," "))),"")))</f>
        <v/>
      </c>
      <c r="DS276">
        <f>IF($DM276=0,"",IF($L$11=0,"",IFERROR(IF(ISNUMBER(INDEX(PASTE_ALL,$DF276,$L$11)),INDEX(PASTE_ALL,$DF276,$L$11),TRIM(SUBSTITUTE(SUBSTITUTE(SUBSTITUTE(SUBSTITUTE(INDEX(PASTE_ALL,$DF276,$L$11)," "," "),CHAR(9)," "),CHAR(10)," "),CHAR(13)," "))),"")))</f>
        <v/>
      </c>
      <c r="DT276">
        <f>IF($DM276=0,"",IF($L$12=0,"",IFERROR(IF(ISNUMBER(INDEX(PASTE_ALL,$DF276,$L$12)),INDEX(PASTE_ALL,$DF276,$L$12),TRIM(SUBSTITUTE(SUBSTITUTE(SUBSTITUTE(SUBSTITUTE(INDEX(PASTE_ALL,$DF276,$L$12)," "," "),CHAR(9)," "),CHAR(10)," "),CHAR(13)," "))),"")))</f>
        <v/>
      </c>
      <c r="DU276">
        <f>IF($DM276=0,"",IF($L$13=0,"",IFERROR(IF(ISNUMBER(INDEX(PASTE_ALL,$DF276,$L$13)),INDEX(PASTE_ALL,$DF276,$L$13),TRIM(SUBSTITUTE(SUBSTITUTE(SUBSTITUTE(SUBSTITUTE(INDEX(PASTE_ALL,$DF276,$L$13)," "," "),CHAR(9)," "),CHAR(10)," "),CHAR(13)," "))),"")))</f>
        <v/>
      </c>
      <c r="DV276">
        <f>IF($DM276=0,"",IF($L$14=0,"",IFERROR(IF(ISNUMBER(INDEX(PASTE_ALL,$DF276,$L$14)),INDEX(PASTE_ALL,$DF276,$L$14),TRIM(SUBSTITUTE(SUBSTITUTE(SUBSTITUTE(SUBSTITUTE(INDEX(PASTE_ALL,$DF276,$L$14)," "," "),CHAR(9)," "),CHAR(10)," "),CHAR(13)," "))),"")))</f>
        <v/>
      </c>
      <c r="DW276">
        <f>IF($DM276=0,"",IF($L$15=0,"",IFERROR(IF(ISNUMBER(INDEX(PASTE_ALL,$DF276,$L$15)),INDEX(PASTE_ALL,$DF276,$L$15),IF(SUMPRODUCT(--ISNUMBER(FIND({"A","B","C","D","E","F","G","H","I","J","K","L","M","N","O","P","Q","R","S","T","U","V","W","X","Y","Z","0","1","2","3","4","5","6","7","8","9"},UPPER(TRIM(SUBSTITUTE(SUBSTITUTE(SUBSTITUTE(SUBSTITUTE(INDEX(PASTE_ALL,$DF276,$L$15)," "," "),CHAR(9)," "),CHAR(10)," "),CHAR(13)," "))))))&gt;0,TRIM(SUBSTITUTE(SUBSTITUTE(SUBSTITUTE(SUBSTITUTE(INDEX(PASTE_ALL,$DF276,$L$15)," "," "),CHAR(9)," "),CHAR(10)," "),CHAR(13)," ")),"")),"")))</f>
        <v/>
      </c>
      <c r="DX276">
        <f>IF($DM276=0,"",IF($L$16=0,"",IFERROR(IF(ISNUMBER(INDEX(PASTE_ALL,$DF276,$L$16)),INDEX(PASTE_ALL,$DF276,$L$16),SUBSTITUTE(SUBSTITUTE(TRIM(SUBSTITUTE(SUBSTITUTE(SUBSTITUTE(SUBSTITUTE(INDEX(PASTE_ALL,$DF276,$L$16)," "," "),CHAR(9)," "),CHAR(10)," "),CHAR(13)," ")),",",""),"%","")),"")))</f>
        <v/>
      </c>
      <c r="DY276">
        <f>IF($DM276=0,"",IFERROR(IF(ISNUMBER($DX276),$DX276,IF($DX276="","",IF(TRIM($DX276)="",0,IF(AND(AND(SUBSTITUTE(SUBSTITUTE(SUBSTITUTE(SUBSTITUTE(SUBSTITUTE(SUBSTITUTE(SUBSTITUTE(SUBSTITUTE(SUBSTITUTE(SUBSTITUTE(SUBSTITUTE(SUBSTITUTE(SUBSTITUTE(SUBSTITUTE(UPPER(TRIM($DX276)),"0",""),"1",""),"2",""),"3",""),"4",""),"5",""),"6",""),"7",""),"8",""),"9",""),".",""),"+",""),"-",""),"E","")="",LEN(SUBSTITUTE(SUBSTITUTE(MID(UPPER(TRIM($DX276)),1+OR(LEFT(UPPER(TRIM($DX276)),1)="+",LEFT(UPPER(TRIM($DX276)),1)="-"),999),"E+","E"),"E-","E"))=LEN(SUBSTITUTE(SUBSTITUTE(SUBSTITUTE(SUBSTITUTE(MID(UPPER(TRIM($DX276)),1+OR(LEFT(UPPER(TRIM($DX276)),1)="+",LEFT(UPPER(TRIM($DX276)),1)="-"),999),"E+","E"),"E-","E"),"+",""),"-","")),LEN(UPPER(TRIM($DX276)))-LEN(SUBSTITUTE(UPPER(TRIM($DX276)),"E",""))&lt;2,LEN(UPPER(TRIM($DX276)))-LEN(SUBSTITUTE(UPPER(TRIM($DX276)),".",""))&lt;2,IFERROR(FIND(".",UPPER(TRIM($DX276))),0)&lt;IFERROR(FIND("E",UPPER(TRIM($DX276))),999)),ISNUMBER(VALUE(TRIM($DX276)))),VALUE(TRIM($DX276)),"")))),""))</f>
        <v/>
      </c>
      <c r="DZ276">
        <f>IF($DM276=0,"",IF($L$17=0,"",IFERROR(IF(ISNUMBER(INDEX(PASTE_ALL,$DF276,$L$17)),INDEX(PASTE_ALL,$DF276,$L$17),SUBSTITUTE(SUBSTITUTE(TRIM(SUBSTITUTE(SUBSTITUTE(SUBSTITUTE(SUBSTITUTE(INDEX(PASTE_ALL,$DF276,$L$17)," "," "),CHAR(9)," "),CHAR(10)," "),CHAR(13)," ")),",",""),"%","")),"")))</f>
        <v/>
      </c>
      <c r="EA276">
        <f>IF($DM276=0,"",IFERROR(IF(ISNUMBER($DZ276),$DZ276,IF($DZ276="","",IF(TRIM($DZ276)="",0,IF(AND(AND(SUBSTITUTE(SUBSTITUTE(SUBSTITUTE(SUBSTITUTE(SUBSTITUTE(SUBSTITUTE(SUBSTITUTE(SUBSTITUTE(SUBSTITUTE(SUBSTITUTE(SUBSTITUTE(SUBSTITUTE(SUBSTITUTE(SUBSTITUTE(UPPER(TRIM($DZ276)),"0",""),"1",""),"2",""),"3",""),"4",""),"5",""),"6",""),"7",""),"8",""),"9",""),".",""),"+",""),"-",""),"E","")="",LEN(SUBSTITUTE(SUBSTITUTE(MID(UPPER(TRIM($DZ276)),1+OR(LEFT(UPPER(TRIM($DZ276)),1)="+",LEFT(UPPER(TRIM($DZ276)),1)="-"),999),"E+","E"),"E-","E"))=LEN(SUBSTITUTE(SUBSTITUTE(SUBSTITUTE(SUBSTITUTE(MID(UPPER(TRIM($DZ276)),1+OR(LEFT(UPPER(TRIM($DZ276)),1)="+",LEFT(UPPER(TRIM($DZ276)),1)="-"),999),"E+","E"),"E-","E"),"+",""),"-","")),LEN(UPPER(TRIM($DZ276)))-LEN(SUBSTITUTE(UPPER(TRIM($DZ276)),"E",""))&lt;2,LEN(UPPER(TRIM($DZ276)))-LEN(SUBSTITUTE(UPPER(TRIM($DZ276)),".",""))&lt;2,IFERROR(FIND(".",UPPER(TRIM($DZ276))),0)&lt;IFERROR(FIND("E",UPPER(TRIM($DZ276))),999)),ISNUMBER(VALUE(TRIM($DZ276)))),VALUE(TRIM($DZ276)),"")))),""))</f>
        <v/>
      </c>
      <c r="EB276">
        <f>IF($DM276=0,"",IF($L$18=0,"",IFERROR(IF(UPPER(TRIM(SUBSTITUTE(SUBSTITUTE(SUBSTITUTE(SUBSTITUTE(INDEX(PASTE_ALL,$DF276,$L$18)," "," "),CHAR(9)," "),CHAR(10)," "),CHAR(13)," ")))="READY","Ready",IF(UPPER(TRIM(SUBSTITUTE(SUBSTITUTE(SUBSTITUTE(SUBSTITUTE(INDEX(PASTE_ALL,$DF276,$L$18)," "," "),CHAR(9)," "),CHAR(10)," "),CHAR(13)," ")))="PM","PM",IF(OR(UPPER(TRIM(SUBSTITUTE(SUBSTITUTE(SUBSTITUTE(SUBSTITUTE(INDEX(PASTE_ALL,$DF276,$L$18)," "," "),CHAR(9)," "),CHAR(10)," "),CHAR(13)," ")))="OT",UPPER(TRIM(SUBSTITUTE(SUBSTITUTE(SUBSTITUTE(SUBSTITUTE(INDEX(PASTE_ALL,$DF276,$L$18)," "," "),CHAR(9)," "),CHAR(10)," "),CHAR(13)," ")))="OVERTIME",UPPER(TRIM(SUBSTITUTE(SUBSTITUTE(SUBSTITUTE(SUBSTITUTE(INDEX(PASTE_ALL,$DF276,$L$18)," "," "),CHAR(9)," "),CHAR(10)," "),CHAR(13)," ")))="TRIAL"),"OT",TRIM(SUBSTITUTE(SUBSTITUTE(SUBSTITUTE(SUBSTITUTE(INDEX(PASTE_ALL,$DF276,$L$18)," "," "),CHAR(9)," "),CHAR(10)," "),CHAR(13)," "))))),"")))</f>
        <v/>
      </c>
      <c r="EC276">
        <f>IF($DM276=0,"",IF($L$19=0,"",IFERROR(IF(ISNUMBER(INDEX(PASTE_ALL,$DF276,$L$19)),INDEX(PASTE_ALL,$DF276,$L$19),TRIM(SUBSTITUTE(SUBSTITUTE(SUBSTITUTE(SUBSTITUTE(INDEX(PASTE_ALL,$DF276,$L$19)," "," "),CHAR(9)," "),CHAR(10)," "),CHAR(13)," "))),"")))</f>
        <v/>
      </c>
      <c r="ED276">
        <f>IF($DM276=0,"",MATCH(1,INDEX(EXACT($DH$5:DH276,$DH276)*$DM$5:DM276,0),0))</f>
        <v/>
      </c>
      <c r="EE276">
        <f>IF($DM276=0,0,IF($ED276=$DE276,1,0))</f>
        <v/>
      </c>
      <c r="EF276">
        <f>EF275+$EE276</f>
        <v/>
      </c>
      <c r="EG276">
        <f>IF($DM276=0,"",INDEX($EF$5:$EF$1003,$ED276))</f>
        <v/>
      </c>
      <c r="EH276">
        <f>IF($DM276=0,"",IF($DO276&lt;&gt;"","",IFERROR(LOOKUP(2,1/(($EG$4:EG275=$EG276)*($DO$4:DO275&lt;&gt;"")),$DO$4:DO275),"")))</f>
        <v/>
      </c>
      <c r="EI276">
        <f>IF($DM276=0,"",IF($DO276&lt;&gt;"",$DO276,$EH276))</f>
        <v/>
      </c>
      <c r="EJ276">
        <f>IF($DM276=0,"",IF($EI276="",0,IF(OR(ISNUMBER($EI276),AND(AND(SUBSTITUTE(SUBSTITUTE(SUBSTITUTE(SUBSTITUTE(SUBSTITUTE(SUBSTITUTE(SUBSTITUTE(SUBSTITUTE(SUBSTITUTE(SUBSTITUTE(SUBSTITUTE(SUBSTITUTE(SUBSTITUTE(SUBSTITUTE(UPPER($EI276),"0",""),"1",""),"2",""),"3",""),"4",""),"5",""),"6",""),"7",""),"8",""),"9",""),".",""),"+",""),"-",""),"E","")="",LEN(SUBSTITUTE(SUBSTITUTE(MID(UPPER($EI276),1+OR(LEFT(UPPER($EI276),1)="+",LEFT(UPPER($EI276),1)="-"),999),"E+","E"),"E-","E"))=LEN(SUBSTITUTE(SUBSTITUTE(SUBSTITUTE(SUBSTITUTE(MID(UPPER($EI276),1+OR(LEFT(UPPER($EI276),1)="+",LEFT(UPPER($EI276),1)="-"),999),"E+","E"),"E-","E"),"+",""),"-","")),LEN(UPPER($EI276))-LEN(SUBSTITUTE(UPPER($EI276),"E",""))&lt;2,LEN(UPPER($EI276))-LEN(SUBSTITUTE(UPPER($EI276),".",""))&lt;2,IFERROR(FIND(".",UPPER($EI276)),0)&lt;IFERROR(FIND("E",UPPER($EI276)),999)),ISNUMBER(VALUE($EI276)))),1,2)))</f>
        <v/>
      </c>
      <c r="EK276">
        <f>IF($DM276=0,"",IF($EJ276=1,IF(ISNUMBER($EI276),$EI276,VALUE($EI276)),IF($EJ276=2,$DE276,0)))</f>
        <v/>
      </c>
      <c r="EL276">
        <f>IF($DM276=0,"",COUNTIF($EG$5:$EG$1003,"&lt;"&amp;$EG276)+SUMPRODUCT(($EG$5:$EG$1003=$EG276)*(($EJ$5:$EJ$1003&lt;$EJ276)+($EJ$5:$EJ$1003=$EJ276)*(($EK$5:$EK$1003&lt;$EK276)+($EK$5:$EK$1003=$EK276)*($DE$5:$DE$1003&lt;$DE276))))+1)</f>
        <v/>
      </c>
      <c r="EM276">
        <f>IF($DM276=0,"",$EL276+$EG276-1)</f>
        <v/>
      </c>
      <c r="EN276">
        <f>IF($DM276=0,0,IFERROR(MATCH(1,INDEX(--(TRIM(SUBSTITUTE(SUBSTITUTE(SUBSTITUTE(SUBSTITUTE(LINES_NAME&amp;""," "," "),CHAR(9)," "),CHAR(10)," "),CHAR(13)," "))=$DH276),0),0),0))</f>
        <v/>
      </c>
      <c r="EO276">
        <f>IF($EN276=0,0,IF(OR(UPPER(TRIM(INDEX(LINES_SCHEDULED,$EN276)&amp;""))="YES",UPPER(TRIM(INDEX(LINES_SCHEDULED,$EN276)&amp;""))="Y",UPPER(TRIM(INDEX(LINES_SCHEDULED,$EN276)&amp;""))="X"),1,0))</f>
        <v/>
      </c>
      <c r="EP276">
        <f>IF($DM276=0,"",IF(COUNTIFS($EG$5:$EG$1003,$EG276,$EB$5:$EB$1003,"Ready")&gt;0,"READY",IF(COUNTIFS($EG$5:$EG$1003,$EG276,$EB$5:$EB$1003,"PM")&gt;0,"PM",IF(COUNTIFS($EG$5:$EG$1003,$EG276,$EB$5:$EB$1003,"OT")&gt;0,"OT",""))))</f>
        <v/>
      </c>
      <c r="EQ276">
        <f>IF($EN276=0,"",UPPER(TRIM(INDEX(LINES_STATUS,$EN276)&amp;"")))</f>
        <v/>
      </c>
      <c r="ER276">
        <f>IF($DM276=0,"",IF(OR($EQ276="READY",$EQ276="PM",$EQ276="OT"),$EQ276,$EP276))</f>
        <v/>
      </c>
      <c r="ES276">
        <f>IF($DM276=0,"",IF(AND($DV276&lt;&gt;"",UPPER($DV276)&lt;&gt;"N"),"allergen",IF(ISNUMBER(SEARCH("oil",$DQ276)),"oil",IF(OR(EXACT($DS276,"A662"),EXACT($DS276,"A624")),"bulk",""))))</f>
        <v/>
      </c>
      <c r="ET276">
        <f>IF($DM276=0,"",IF(OR($EA276="",$EA276=0),"",$EA276/100))</f>
        <v/>
      </c>
      <c r="EU276">
        <f>IF(OR($ET276="",$DY276=""),"",INT($DY276*(1-$ET276)+0.5))</f>
        <v/>
      </c>
      <c r="EW276" t="n">
        <v>272</v>
      </c>
      <c r="EX276">
        <f>IFERROR(MATCH($EW276,$EM$5:$EM$1003,0),0)</f>
        <v/>
      </c>
      <c r="EY276">
        <f>IF($EW276&gt;$B$12,"",IF($EX276&gt;0,"row","spacer"))</f>
        <v/>
      </c>
      <c r="EZ276">
        <f>IF(AND($EY276="row",$EY275&lt;&gt;"row"),1,0)</f>
        <v/>
      </c>
      <c r="FA276">
        <f>IF(AND($EY276="row",$EY277&lt;&gt;"row"),1,0)</f>
        <v/>
      </c>
      <c r="FB276">
        <f>IF($EZ276=1,IFERROR(IF(ISNUMBER(INDEX(PASTE_ALL,INDEX($DF$5:$DF$1003,$EX276),$B$37)),INDEX(PASTE_ALL,INDEX($DF$5:$DF$1003,$EX276),$B$37),INDEX($DH$5:$DH$1003,$EX276)),INDEX($DH$5:$DH$1003,$EX276)),"")</f>
        <v/>
      </c>
      <c r="FC276">
        <f>IF($EY276="row",INDEX($ER$5:$ER$1003,$EX276),"")</f>
        <v/>
      </c>
      <c r="FD276">
        <f>IF($EY276="row",INDEX($DN$5:$DN$1003,$EX276),"")</f>
        <v/>
      </c>
      <c r="FE276">
        <f>IF($EY276="row",INDEX($DO$5:$DO$1003,$EX276),"")</f>
        <v/>
      </c>
      <c r="FF276">
        <f>IF($EY276="row",INDEX($DP$5:$DP$1003,$EX276),"")</f>
        <v/>
      </c>
      <c r="FG276">
        <f>IF($EY276="row",INDEX($DQ$5:$DQ$1003,$EX276),"")</f>
        <v/>
      </c>
      <c r="FH276">
        <f>IF($EY276="row",INDEX($DR$5:$DR$1003,$EX276),"")</f>
        <v/>
      </c>
      <c r="FI276">
        <f>IF($EY276="row",INDEX($DS$5:$DS$1003,$EX276),"")</f>
        <v/>
      </c>
      <c r="FJ276">
        <f>IF($EY276="row",INDEX($DT$5:$DT$1003,$EX276),"")</f>
        <v/>
      </c>
      <c r="FK276">
        <f>IF($EY276="row",INDEX($DU$5:$DU$1003,$EX276),"")</f>
        <v/>
      </c>
      <c r="FL276">
        <f>IF($EY276="row",INDEX($DV$5:$DV$1003,$EX276),"")</f>
        <v/>
      </c>
      <c r="FM276">
        <f>IF($EY276="row",INDEX($DW$5:$DW$1003,$EX276),"")</f>
        <v/>
      </c>
      <c r="FN276">
        <f>IF($EY276="row",INDEX($DY$5:$DY$1003,$EX276),"")</f>
        <v/>
      </c>
      <c r="FO276">
        <f>IF($EY276="row",INDEX($EA$5:$EA$1003,$EX276),"")</f>
        <v/>
      </c>
      <c r="FP276">
        <f>IF($EY276="row",INDEX($EC$5:$EC$1003,$EX276),"")</f>
        <v/>
      </c>
      <c r="FQ276">
        <f>IF($EY276="row",INDEX($ET$5:$ET$1003,$EX276),"")</f>
        <v/>
      </c>
      <c r="FR276">
        <f>IF($EY276="row",INDEX($EU$5:$EU$1003,$EX276),"")</f>
        <v/>
      </c>
      <c r="FS276">
        <f>IF(AND($EY276="row",$EY275="row"),IF(OR(INDEX($DT$5:$DT$1003,$EX275)="",INDEX($DT$5:$DT$1003,$EX276)=""),"",IF(NOT(EXACT(INDEX($DT$5:$DT$1003,$EX275),INDEX($DT$5:$DT$1003,$EX276))),"S4",IF(NOT(EXACT(INDEX($DS$5:$DS$1003,$EX275),INDEX($DS$5:$DS$1003,$EX276))),"S3",IF(NOT(EXACT(INDEX($DR$5:$DR$1003,$EX275),INDEX($DR$5:$DR$1003,$EX276))),"S1 Count Change","S1")))),"")</f>
        <v/>
      </c>
      <c r="FT276">
        <f>IF($EY276="row",INDEX($ES$5:$ES$1003,$EX276),"")</f>
        <v/>
      </c>
      <c r="FU276">
        <f>IF($EY276="row",INDEX($EO$5:$EO$1003,$EX276),0)</f>
        <v/>
      </c>
      <c r="FV276">
        <f>IF($FS276="S1 Count Change",1,0)</f>
        <v/>
      </c>
    </row>
    <row r="277">
      <c r="DA277" t="n">
        <v>273</v>
      </c>
      <c r="DB277">
        <f>IF($B$37=0,"",IFERROR(TRIM(SUBSTITUTE(SUBSTITUTE(SUBSTITUTE(SUBSTITUTE(INDEX(PASTE_ALL,273,$B$37)," "," "),CHAR(9)," "),CHAR(10)," "),CHAR(13)," ")),""))</f>
        <v/>
      </c>
      <c r="DC277">
        <f>IF(AND(273&gt;HEADER_ROW,UPPER(DB277)="LEGEND"),1,0)</f>
        <v/>
      </c>
      <c r="DE277" t="n">
        <v>273</v>
      </c>
      <c r="DF277">
        <f>HEADER_ROW+$DE277</f>
        <v/>
      </c>
      <c r="DG277">
        <f>IF(AND($DF277&lt;=1000,$DF277&lt;$B$8),1,0)</f>
        <v/>
      </c>
      <c r="DH277">
        <f>IF($DG277=1,IFERROR(INDEX($DB$5:$DB$1004,$DF277),""),"")</f>
        <v/>
      </c>
      <c r="DI277">
        <f>IF(AND($DG277=1,$DH277&lt;&gt;""),IFERROR(SUBSTITUTE(SUBSTITUTE(TRIM(SUBSTITUTE(SUBSTITUTE(SUBSTITUTE(SUBSTITUTE(IFERROR(INDEX(PASTE_ALL,$DF277,1)&amp;"","")&amp;"␟"&amp;IFERROR(INDEX(PASTE_ALL,$DF277,2)&amp;"","")&amp;"␟"&amp;IFERROR(INDEX(PASTE_ALL,$DF277,3)&amp;"","")&amp;"␟"&amp;IFERROR(INDEX(PASTE_ALL,$DF277,4)&amp;"","")&amp;"␟"&amp;IFERROR(INDEX(PASTE_ALL,$DF277,5)&amp;"","")&amp;"␟"&amp;IFERROR(INDEX(PASTE_ALL,$DF277,6)&amp;"","")&amp;"␟"&amp;IFERROR(INDEX(PASTE_ALL,$DF277,7)&amp;"","")&amp;"␟"&amp;IFERROR(INDEX(PASTE_ALL,$DF277,8)&amp;"","")&amp;"␟"&amp;IFERROR(INDEX(PASTE_ALL,$DF277,9)&amp;"","")&amp;"␟"&amp;IFERROR(INDEX(PASTE_ALL,$DF277,10)&amp;"","")&amp;"␟"&amp;IFERROR(INDEX(PASTE_ALL,$DF277,11)&amp;"","")&amp;"␟"&amp;IFERROR(INDEX(PASTE_ALL,$DF277,12)&amp;"","")&amp;"␟"&amp;IFERROR(INDEX(PASTE_ALL,$DF277,13)&amp;"","")&amp;"␟"&amp;IFERROR(INDEX(PASTE_ALL,$DF277,14)&amp;"","")&amp;"␟"&amp;IFERROR(INDEX(PASTE_ALL,$DF277,15)&amp;"","")&amp;"␟"&amp;IFERROR(INDEX(PASTE_ALL,$DF277,16)&amp;"","")&amp;"␟"&amp;IFERROR(INDEX(PASTE_ALL,$DF277,17)&amp;"","")&amp;"␟"&amp;IFERROR(INDEX(PASTE_ALL,$DF277,18)&amp;"","")&amp;"␟"&amp;IFERROR(INDEX(PASTE_ALL,$DF277,19)&amp;"","")&amp;"␟"&amp;IFERROR(INDEX(PASTE_ALL,$DF277,20)&amp;"","")&amp;"␟"&amp;IFERROR(INDEX(PASTE_ALL,$DF277,21)&amp;"","")&amp;"␟"&amp;IFERROR(INDEX(PASTE_ALL,$DF277,22)&amp;"","")&amp;"␟"&amp;IFERROR(INDEX(PASTE_ALL,$DF277,23)&amp;"","")&amp;"␟"&amp;IFERROR(INDEX(PASTE_ALL,$DF277,24)&amp;"","")&amp;"␟"&amp;IFERROR(INDEX(PASTE_ALL,$DF277,25)&amp;"","")&amp;"␟"&amp;IFERROR(INDEX(PASTE_ALL,$DF277,26)&amp;"","")&amp;"␟"&amp;IFERROR(INDEX(PASTE_ALL,$DF277,27)&amp;"","")&amp;"␟"&amp;IFERROR(INDEX(PASTE_ALL,$DF277,28)&amp;"","")&amp;"␟"&amp;IFERROR(INDEX(PASTE_ALL,$DF277,29)&amp;"","")&amp;"␟"&amp;IFERROR(INDEX(PASTE_ALL,$DF277,30)&amp;"","")&amp;"␟"&amp;IFERROR(INDEX(PASTE_ALL,$DF277,31)&amp;"","")&amp;"␟"&amp;IFERROR(INDEX(PASTE_ALL,$DF277,32)&amp;"","")&amp;"␟"&amp;IFERROR(INDEX(PASTE_ALL,$DF277,33)&amp;"","")&amp;"␟"&amp;IFERROR(INDEX(PASTE_ALL,$DF277,34)&amp;"","")&amp;"␟"&amp;IFERROR(INDEX(PASTE_ALL,$DF277,35)&amp;"","")&amp;"␟"&amp;IFERROR(INDEX(PASTE_ALL,$DF277,36)&amp;"","")&amp;"␟"&amp;IFERROR(INDEX(PASTE_ALL,$DF277,37)&amp;"","")&amp;"␟"&amp;IFERROR(INDEX(PASTE_ALL,$DF277,38)&amp;"","")&amp;"␟"&amp;IFERROR(INDEX(PASTE_ALL,$DF277,39)&amp;"","")&amp;"␟"&amp;IFERROR(INDEX(PASTE_ALL,$DF277,40)&amp;"","")&amp;"␟"&amp;IFERROR(INDEX(PASTE_ALL,$DF277,41)&amp;"","")&amp;"␟"&amp;IFERROR(INDEX(PASTE_ALL,$DF277,42)&amp;"","")&amp;"␟"&amp;IFERROR(INDEX(PASTE_ALL,$DF277,43)&amp;"","")&amp;"␟"&amp;IFERROR(INDEX(PASTE_ALL,$DF277,44)&amp;"","")&amp;"␟"&amp;IFERROR(INDEX(PASTE_ALL,$DF277,45)&amp;"","")&amp;"␟"&amp;IFERROR(INDEX(PASTE_ALL,$DF277,46)&amp;"","")&amp;"␟"&amp;IFERROR(INDEX(PASTE_ALL,$DF277,47)&amp;"","")&amp;"␟"&amp;IFERROR(INDEX(PASTE_ALL,$DF277,48)&amp;"","")&amp;"␟"&amp;IFERROR(INDEX(PASTE_ALL,$DF277,49)&amp;"","")&amp;"␟"&amp;IFERROR(INDEX(PASTE_ALL,$DF277,50)&amp;"","")&amp;"␟"&amp;IFERROR(INDEX(PASTE_ALL,$DF277,51)&amp;"","")&amp;"␟"&amp;IFERROR(INDEX(PASTE_ALL,$DF277,52)&amp;"","")&amp;"␟"&amp;IFERROR(INDEX(PASTE_ALL,$DF277,53)&amp;"","")&amp;"␟"&amp;IFERROR(INDEX(PASTE_ALL,$DF277,54)&amp;"","")&amp;"␟"&amp;IFERROR(INDEX(PASTE_ALL,$DF277,55)&amp;"","")&amp;"␟"&amp;IFERROR(INDEX(PASTE_ALL,$DF277,56)&amp;"","")&amp;"␟"&amp;IFERROR(INDEX(PASTE_ALL,$DF277,57)&amp;"","")&amp;"␟"&amp;IFERROR(INDEX(PASTE_ALL,$DF277,58)&amp;"","")&amp;"␟"&amp;IFERROR(INDEX(PASTE_ALL,$DF277,59)&amp;"","")&amp;"␟"&amp;IFERROR(INDEX(PASTE_ALL,$DF277,60)&amp;"","")," "," "),CHAR(9)," "),CHAR(10)," "),CHAR(13)," "))," ␟","␟"),"␟ ","␟"),"#"&amp;$DE277),"")</f>
        <v/>
      </c>
      <c r="DJ277">
        <f>IF($DI277="",0,IF(SUMPRODUCT(--EXACT($DI$4:DI276,$DI277))&gt;0,1,0))</f>
        <v/>
      </c>
      <c r="DK277">
        <f>IF(AND($DI277&lt;&gt;"",$DJ277=0),1,0)</f>
        <v/>
      </c>
      <c r="DL277">
        <f>DL276+$DK277</f>
        <v/>
      </c>
      <c r="DM277">
        <f>IF(AND($DK277=1,$DL277&lt;=600),1,0)</f>
        <v/>
      </c>
      <c r="DN277">
        <f>IF($DM277=0,"",IF($L$6=0,"",IFERROR(IF(ISNUMBER(INDEX(PASTE_ALL,$DF277,$L$6)),INDEX(PASTE_ALL,$DF277,$L$6),TRIM(SUBSTITUTE(SUBSTITUTE(SUBSTITUTE(SUBSTITUTE(INDEX(PASTE_ALL,$DF277,$L$6)," "," "),CHAR(9)," "),CHAR(10)," "),CHAR(13)," "))),"")))</f>
        <v/>
      </c>
      <c r="DO277">
        <f>IF($DM277=0,"",IF($L$7=0,"",IFERROR(IF(ISNUMBER(INDEX(PASTE_ALL,$DF277,$L$7)),INDEX(PASTE_ALL,$DF277,$L$7),TRIM(SUBSTITUTE(SUBSTITUTE(SUBSTITUTE(SUBSTITUTE(INDEX(PASTE_ALL,$DF277,$L$7)," "," "),CHAR(9)," "),CHAR(10)," "),CHAR(13)," "))),"")))</f>
        <v/>
      </c>
      <c r="DP277">
        <f>IF($DM277=0,"",IF($L$8=0,"",IFERROR(IF(ISNUMBER(INDEX(PASTE_ALL,$DF277,$L$8)),INDEX(PASTE_ALL,$DF277,$L$8),TRIM(SUBSTITUTE(SUBSTITUTE(SUBSTITUTE(SUBSTITUTE(INDEX(PASTE_ALL,$DF277,$L$8)," "," "),CHAR(9)," "),CHAR(10)," "),CHAR(13)," "))),"")))</f>
        <v/>
      </c>
      <c r="DQ277">
        <f>IF($DM277=0,"",IF($L$9=0,"",IFERROR(IF(ISNUMBER(INDEX(PASTE_ALL,$DF277,$L$9)),INDEX(PASTE_ALL,$DF277,$L$9),TRIM(SUBSTITUTE(SUBSTITUTE(SUBSTITUTE(SUBSTITUTE(INDEX(PASTE_ALL,$DF277,$L$9)," "," "),CHAR(9)," "),CHAR(10)," "),CHAR(13)," "))),"")))</f>
        <v/>
      </c>
      <c r="DR277">
        <f>IF($DM277=0,"",IF($L$10=0,"",IFERROR(IF(ISNUMBER(INDEX(PASTE_ALL,$DF277,$L$10)),INDEX(PASTE_ALL,$DF277,$L$10),TRIM(SUBSTITUTE(SUBSTITUTE(SUBSTITUTE(SUBSTITUTE(INDEX(PASTE_ALL,$DF277,$L$10)," "," "),CHAR(9)," "),CHAR(10)," "),CHAR(13)," "))),"")))</f>
        <v/>
      </c>
      <c r="DS277">
        <f>IF($DM277=0,"",IF($L$11=0,"",IFERROR(IF(ISNUMBER(INDEX(PASTE_ALL,$DF277,$L$11)),INDEX(PASTE_ALL,$DF277,$L$11),TRIM(SUBSTITUTE(SUBSTITUTE(SUBSTITUTE(SUBSTITUTE(INDEX(PASTE_ALL,$DF277,$L$11)," "," "),CHAR(9)," "),CHAR(10)," "),CHAR(13)," "))),"")))</f>
        <v/>
      </c>
      <c r="DT277">
        <f>IF($DM277=0,"",IF($L$12=0,"",IFERROR(IF(ISNUMBER(INDEX(PASTE_ALL,$DF277,$L$12)),INDEX(PASTE_ALL,$DF277,$L$12),TRIM(SUBSTITUTE(SUBSTITUTE(SUBSTITUTE(SUBSTITUTE(INDEX(PASTE_ALL,$DF277,$L$12)," "," "),CHAR(9)," "),CHAR(10)," "),CHAR(13)," "))),"")))</f>
        <v/>
      </c>
      <c r="DU277">
        <f>IF($DM277=0,"",IF($L$13=0,"",IFERROR(IF(ISNUMBER(INDEX(PASTE_ALL,$DF277,$L$13)),INDEX(PASTE_ALL,$DF277,$L$13),TRIM(SUBSTITUTE(SUBSTITUTE(SUBSTITUTE(SUBSTITUTE(INDEX(PASTE_ALL,$DF277,$L$13)," "," "),CHAR(9)," "),CHAR(10)," "),CHAR(13)," "))),"")))</f>
        <v/>
      </c>
      <c r="DV277">
        <f>IF($DM277=0,"",IF($L$14=0,"",IFERROR(IF(ISNUMBER(INDEX(PASTE_ALL,$DF277,$L$14)),INDEX(PASTE_ALL,$DF277,$L$14),TRIM(SUBSTITUTE(SUBSTITUTE(SUBSTITUTE(SUBSTITUTE(INDEX(PASTE_ALL,$DF277,$L$14)," "," "),CHAR(9)," "),CHAR(10)," "),CHAR(13)," "))),"")))</f>
        <v/>
      </c>
      <c r="DW277">
        <f>IF($DM277=0,"",IF($L$15=0,"",IFERROR(IF(ISNUMBER(INDEX(PASTE_ALL,$DF277,$L$15)),INDEX(PASTE_ALL,$DF277,$L$15),IF(SUMPRODUCT(--ISNUMBER(FIND({"A","B","C","D","E","F","G","H","I","J","K","L","M","N","O","P","Q","R","S","T","U","V","W","X","Y","Z","0","1","2","3","4","5","6","7","8","9"},UPPER(TRIM(SUBSTITUTE(SUBSTITUTE(SUBSTITUTE(SUBSTITUTE(INDEX(PASTE_ALL,$DF277,$L$15)," "," "),CHAR(9)," "),CHAR(10)," "),CHAR(13)," "))))))&gt;0,TRIM(SUBSTITUTE(SUBSTITUTE(SUBSTITUTE(SUBSTITUTE(INDEX(PASTE_ALL,$DF277,$L$15)," "," "),CHAR(9)," "),CHAR(10)," "),CHAR(13)," ")),"")),"")))</f>
        <v/>
      </c>
      <c r="DX277">
        <f>IF($DM277=0,"",IF($L$16=0,"",IFERROR(IF(ISNUMBER(INDEX(PASTE_ALL,$DF277,$L$16)),INDEX(PASTE_ALL,$DF277,$L$16),SUBSTITUTE(SUBSTITUTE(TRIM(SUBSTITUTE(SUBSTITUTE(SUBSTITUTE(SUBSTITUTE(INDEX(PASTE_ALL,$DF277,$L$16)," "," "),CHAR(9)," "),CHAR(10)," "),CHAR(13)," ")),",",""),"%","")),"")))</f>
        <v/>
      </c>
      <c r="DY277">
        <f>IF($DM277=0,"",IFERROR(IF(ISNUMBER($DX277),$DX277,IF($DX277="","",IF(TRIM($DX277)="",0,IF(AND(AND(SUBSTITUTE(SUBSTITUTE(SUBSTITUTE(SUBSTITUTE(SUBSTITUTE(SUBSTITUTE(SUBSTITUTE(SUBSTITUTE(SUBSTITUTE(SUBSTITUTE(SUBSTITUTE(SUBSTITUTE(SUBSTITUTE(SUBSTITUTE(UPPER(TRIM($DX277)),"0",""),"1",""),"2",""),"3",""),"4",""),"5",""),"6",""),"7",""),"8",""),"9",""),".",""),"+",""),"-",""),"E","")="",LEN(SUBSTITUTE(SUBSTITUTE(MID(UPPER(TRIM($DX277)),1+OR(LEFT(UPPER(TRIM($DX277)),1)="+",LEFT(UPPER(TRIM($DX277)),1)="-"),999),"E+","E"),"E-","E"))=LEN(SUBSTITUTE(SUBSTITUTE(SUBSTITUTE(SUBSTITUTE(MID(UPPER(TRIM($DX277)),1+OR(LEFT(UPPER(TRIM($DX277)),1)="+",LEFT(UPPER(TRIM($DX277)),1)="-"),999),"E+","E"),"E-","E"),"+",""),"-","")),LEN(UPPER(TRIM($DX277)))-LEN(SUBSTITUTE(UPPER(TRIM($DX277)),"E",""))&lt;2,LEN(UPPER(TRIM($DX277)))-LEN(SUBSTITUTE(UPPER(TRIM($DX277)),".",""))&lt;2,IFERROR(FIND(".",UPPER(TRIM($DX277))),0)&lt;IFERROR(FIND("E",UPPER(TRIM($DX277))),999)),ISNUMBER(VALUE(TRIM($DX277)))),VALUE(TRIM($DX277)),"")))),""))</f>
        <v/>
      </c>
      <c r="DZ277">
        <f>IF($DM277=0,"",IF($L$17=0,"",IFERROR(IF(ISNUMBER(INDEX(PASTE_ALL,$DF277,$L$17)),INDEX(PASTE_ALL,$DF277,$L$17),SUBSTITUTE(SUBSTITUTE(TRIM(SUBSTITUTE(SUBSTITUTE(SUBSTITUTE(SUBSTITUTE(INDEX(PASTE_ALL,$DF277,$L$17)," "," "),CHAR(9)," "),CHAR(10)," "),CHAR(13)," ")),",",""),"%","")),"")))</f>
        <v/>
      </c>
      <c r="EA277">
        <f>IF($DM277=0,"",IFERROR(IF(ISNUMBER($DZ277),$DZ277,IF($DZ277="","",IF(TRIM($DZ277)="",0,IF(AND(AND(SUBSTITUTE(SUBSTITUTE(SUBSTITUTE(SUBSTITUTE(SUBSTITUTE(SUBSTITUTE(SUBSTITUTE(SUBSTITUTE(SUBSTITUTE(SUBSTITUTE(SUBSTITUTE(SUBSTITUTE(SUBSTITUTE(SUBSTITUTE(UPPER(TRIM($DZ277)),"0",""),"1",""),"2",""),"3",""),"4",""),"5",""),"6",""),"7",""),"8",""),"9",""),".",""),"+",""),"-",""),"E","")="",LEN(SUBSTITUTE(SUBSTITUTE(MID(UPPER(TRIM($DZ277)),1+OR(LEFT(UPPER(TRIM($DZ277)),1)="+",LEFT(UPPER(TRIM($DZ277)),1)="-"),999),"E+","E"),"E-","E"))=LEN(SUBSTITUTE(SUBSTITUTE(SUBSTITUTE(SUBSTITUTE(MID(UPPER(TRIM($DZ277)),1+OR(LEFT(UPPER(TRIM($DZ277)),1)="+",LEFT(UPPER(TRIM($DZ277)),1)="-"),999),"E+","E"),"E-","E"),"+",""),"-","")),LEN(UPPER(TRIM($DZ277)))-LEN(SUBSTITUTE(UPPER(TRIM($DZ277)),"E",""))&lt;2,LEN(UPPER(TRIM($DZ277)))-LEN(SUBSTITUTE(UPPER(TRIM($DZ277)),".",""))&lt;2,IFERROR(FIND(".",UPPER(TRIM($DZ277))),0)&lt;IFERROR(FIND("E",UPPER(TRIM($DZ277))),999)),ISNUMBER(VALUE(TRIM($DZ277)))),VALUE(TRIM($DZ277)),"")))),""))</f>
        <v/>
      </c>
      <c r="EB277">
        <f>IF($DM277=0,"",IF($L$18=0,"",IFERROR(IF(UPPER(TRIM(SUBSTITUTE(SUBSTITUTE(SUBSTITUTE(SUBSTITUTE(INDEX(PASTE_ALL,$DF277,$L$18)," "," "),CHAR(9)," "),CHAR(10)," "),CHAR(13)," ")))="READY","Ready",IF(UPPER(TRIM(SUBSTITUTE(SUBSTITUTE(SUBSTITUTE(SUBSTITUTE(INDEX(PASTE_ALL,$DF277,$L$18)," "," "),CHAR(9)," "),CHAR(10)," "),CHAR(13)," ")))="PM","PM",IF(OR(UPPER(TRIM(SUBSTITUTE(SUBSTITUTE(SUBSTITUTE(SUBSTITUTE(INDEX(PASTE_ALL,$DF277,$L$18)," "," "),CHAR(9)," "),CHAR(10)," "),CHAR(13)," ")))="OT",UPPER(TRIM(SUBSTITUTE(SUBSTITUTE(SUBSTITUTE(SUBSTITUTE(INDEX(PASTE_ALL,$DF277,$L$18)," "," "),CHAR(9)," "),CHAR(10)," "),CHAR(13)," ")))="OVERTIME",UPPER(TRIM(SUBSTITUTE(SUBSTITUTE(SUBSTITUTE(SUBSTITUTE(INDEX(PASTE_ALL,$DF277,$L$18)," "," "),CHAR(9)," "),CHAR(10)," "),CHAR(13)," ")))="TRIAL"),"OT",TRIM(SUBSTITUTE(SUBSTITUTE(SUBSTITUTE(SUBSTITUTE(INDEX(PASTE_ALL,$DF277,$L$18)," "," "),CHAR(9)," "),CHAR(10)," "),CHAR(13)," "))))),"")))</f>
        <v/>
      </c>
      <c r="EC277">
        <f>IF($DM277=0,"",IF($L$19=0,"",IFERROR(IF(ISNUMBER(INDEX(PASTE_ALL,$DF277,$L$19)),INDEX(PASTE_ALL,$DF277,$L$19),TRIM(SUBSTITUTE(SUBSTITUTE(SUBSTITUTE(SUBSTITUTE(INDEX(PASTE_ALL,$DF277,$L$19)," "," "),CHAR(9)," "),CHAR(10)," "),CHAR(13)," "))),"")))</f>
        <v/>
      </c>
      <c r="ED277">
        <f>IF($DM277=0,"",MATCH(1,INDEX(EXACT($DH$5:DH277,$DH277)*$DM$5:DM277,0),0))</f>
        <v/>
      </c>
      <c r="EE277">
        <f>IF($DM277=0,0,IF($ED277=$DE277,1,0))</f>
        <v/>
      </c>
      <c r="EF277">
        <f>EF276+$EE277</f>
        <v/>
      </c>
      <c r="EG277">
        <f>IF($DM277=0,"",INDEX($EF$5:$EF$1003,$ED277))</f>
        <v/>
      </c>
      <c r="EH277">
        <f>IF($DM277=0,"",IF($DO277&lt;&gt;"","",IFERROR(LOOKUP(2,1/(($EG$4:EG276=$EG277)*($DO$4:DO276&lt;&gt;"")),$DO$4:DO276),"")))</f>
        <v/>
      </c>
      <c r="EI277">
        <f>IF($DM277=0,"",IF($DO277&lt;&gt;"",$DO277,$EH277))</f>
        <v/>
      </c>
      <c r="EJ277">
        <f>IF($DM277=0,"",IF($EI277="",0,IF(OR(ISNUMBER($EI277),AND(AND(SUBSTITUTE(SUBSTITUTE(SUBSTITUTE(SUBSTITUTE(SUBSTITUTE(SUBSTITUTE(SUBSTITUTE(SUBSTITUTE(SUBSTITUTE(SUBSTITUTE(SUBSTITUTE(SUBSTITUTE(SUBSTITUTE(SUBSTITUTE(UPPER($EI277),"0",""),"1",""),"2",""),"3",""),"4",""),"5",""),"6",""),"7",""),"8",""),"9",""),".",""),"+",""),"-",""),"E","")="",LEN(SUBSTITUTE(SUBSTITUTE(MID(UPPER($EI277),1+OR(LEFT(UPPER($EI277),1)="+",LEFT(UPPER($EI277),1)="-"),999),"E+","E"),"E-","E"))=LEN(SUBSTITUTE(SUBSTITUTE(SUBSTITUTE(SUBSTITUTE(MID(UPPER($EI277),1+OR(LEFT(UPPER($EI277),1)="+",LEFT(UPPER($EI277),1)="-"),999),"E+","E"),"E-","E"),"+",""),"-","")),LEN(UPPER($EI277))-LEN(SUBSTITUTE(UPPER($EI277),"E",""))&lt;2,LEN(UPPER($EI277))-LEN(SUBSTITUTE(UPPER($EI277),".",""))&lt;2,IFERROR(FIND(".",UPPER($EI277)),0)&lt;IFERROR(FIND("E",UPPER($EI277)),999)),ISNUMBER(VALUE($EI277)))),1,2)))</f>
        <v/>
      </c>
      <c r="EK277">
        <f>IF($DM277=0,"",IF($EJ277=1,IF(ISNUMBER($EI277),$EI277,VALUE($EI277)),IF($EJ277=2,$DE277,0)))</f>
        <v/>
      </c>
      <c r="EL277">
        <f>IF($DM277=0,"",COUNTIF($EG$5:$EG$1003,"&lt;"&amp;$EG277)+SUMPRODUCT(($EG$5:$EG$1003=$EG277)*(($EJ$5:$EJ$1003&lt;$EJ277)+($EJ$5:$EJ$1003=$EJ277)*(($EK$5:$EK$1003&lt;$EK277)+($EK$5:$EK$1003=$EK277)*($DE$5:$DE$1003&lt;$DE277))))+1)</f>
        <v/>
      </c>
      <c r="EM277">
        <f>IF($DM277=0,"",$EL277+$EG277-1)</f>
        <v/>
      </c>
      <c r="EN277">
        <f>IF($DM277=0,0,IFERROR(MATCH(1,INDEX(--(TRIM(SUBSTITUTE(SUBSTITUTE(SUBSTITUTE(SUBSTITUTE(LINES_NAME&amp;""," "," "),CHAR(9)," "),CHAR(10)," "),CHAR(13)," "))=$DH277),0),0),0))</f>
        <v/>
      </c>
      <c r="EO277">
        <f>IF($EN277=0,0,IF(OR(UPPER(TRIM(INDEX(LINES_SCHEDULED,$EN277)&amp;""))="YES",UPPER(TRIM(INDEX(LINES_SCHEDULED,$EN277)&amp;""))="Y",UPPER(TRIM(INDEX(LINES_SCHEDULED,$EN277)&amp;""))="X"),1,0))</f>
        <v/>
      </c>
      <c r="EP277">
        <f>IF($DM277=0,"",IF(COUNTIFS($EG$5:$EG$1003,$EG277,$EB$5:$EB$1003,"Ready")&gt;0,"READY",IF(COUNTIFS($EG$5:$EG$1003,$EG277,$EB$5:$EB$1003,"PM")&gt;0,"PM",IF(COUNTIFS($EG$5:$EG$1003,$EG277,$EB$5:$EB$1003,"OT")&gt;0,"OT",""))))</f>
        <v/>
      </c>
      <c r="EQ277">
        <f>IF($EN277=0,"",UPPER(TRIM(INDEX(LINES_STATUS,$EN277)&amp;"")))</f>
        <v/>
      </c>
      <c r="ER277">
        <f>IF($DM277=0,"",IF(OR($EQ277="READY",$EQ277="PM",$EQ277="OT"),$EQ277,$EP277))</f>
        <v/>
      </c>
      <c r="ES277">
        <f>IF($DM277=0,"",IF(AND($DV277&lt;&gt;"",UPPER($DV277)&lt;&gt;"N"),"allergen",IF(ISNUMBER(SEARCH("oil",$DQ277)),"oil",IF(OR(EXACT($DS277,"A662"),EXACT($DS277,"A624")),"bulk",""))))</f>
        <v/>
      </c>
      <c r="ET277">
        <f>IF($DM277=0,"",IF(OR($EA277="",$EA277=0),"",$EA277/100))</f>
        <v/>
      </c>
      <c r="EU277">
        <f>IF(OR($ET277="",$DY277=""),"",INT($DY277*(1-$ET277)+0.5))</f>
        <v/>
      </c>
      <c r="EW277" t="n">
        <v>273</v>
      </c>
      <c r="EX277">
        <f>IFERROR(MATCH($EW277,$EM$5:$EM$1003,0),0)</f>
        <v/>
      </c>
      <c r="EY277">
        <f>IF($EW277&gt;$B$12,"",IF($EX277&gt;0,"row","spacer"))</f>
        <v/>
      </c>
      <c r="EZ277">
        <f>IF(AND($EY277="row",$EY276&lt;&gt;"row"),1,0)</f>
        <v/>
      </c>
      <c r="FA277">
        <f>IF(AND($EY277="row",$EY278&lt;&gt;"row"),1,0)</f>
        <v/>
      </c>
      <c r="FB277">
        <f>IF($EZ277=1,IFERROR(IF(ISNUMBER(INDEX(PASTE_ALL,INDEX($DF$5:$DF$1003,$EX277),$B$37)),INDEX(PASTE_ALL,INDEX($DF$5:$DF$1003,$EX277),$B$37),INDEX($DH$5:$DH$1003,$EX277)),INDEX($DH$5:$DH$1003,$EX277)),"")</f>
        <v/>
      </c>
      <c r="FC277">
        <f>IF($EY277="row",INDEX($ER$5:$ER$1003,$EX277),"")</f>
        <v/>
      </c>
      <c r="FD277">
        <f>IF($EY277="row",INDEX($DN$5:$DN$1003,$EX277),"")</f>
        <v/>
      </c>
      <c r="FE277">
        <f>IF($EY277="row",INDEX($DO$5:$DO$1003,$EX277),"")</f>
        <v/>
      </c>
      <c r="FF277">
        <f>IF($EY277="row",INDEX($DP$5:$DP$1003,$EX277),"")</f>
        <v/>
      </c>
      <c r="FG277">
        <f>IF($EY277="row",INDEX($DQ$5:$DQ$1003,$EX277),"")</f>
        <v/>
      </c>
      <c r="FH277">
        <f>IF($EY277="row",INDEX($DR$5:$DR$1003,$EX277),"")</f>
        <v/>
      </c>
      <c r="FI277">
        <f>IF($EY277="row",INDEX($DS$5:$DS$1003,$EX277),"")</f>
        <v/>
      </c>
      <c r="FJ277">
        <f>IF($EY277="row",INDEX($DT$5:$DT$1003,$EX277),"")</f>
        <v/>
      </c>
      <c r="FK277">
        <f>IF($EY277="row",INDEX($DU$5:$DU$1003,$EX277),"")</f>
        <v/>
      </c>
      <c r="FL277">
        <f>IF($EY277="row",INDEX($DV$5:$DV$1003,$EX277),"")</f>
        <v/>
      </c>
      <c r="FM277">
        <f>IF($EY277="row",INDEX($DW$5:$DW$1003,$EX277),"")</f>
        <v/>
      </c>
      <c r="FN277">
        <f>IF($EY277="row",INDEX($DY$5:$DY$1003,$EX277),"")</f>
        <v/>
      </c>
      <c r="FO277">
        <f>IF($EY277="row",INDEX($EA$5:$EA$1003,$EX277),"")</f>
        <v/>
      </c>
      <c r="FP277">
        <f>IF($EY277="row",INDEX($EC$5:$EC$1003,$EX277),"")</f>
        <v/>
      </c>
      <c r="FQ277">
        <f>IF($EY277="row",INDEX($ET$5:$ET$1003,$EX277),"")</f>
        <v/>
      </c>
      <c r="FR277">
        <f>IF($EY277="row",INDEX($EU$5:$EU$1003,$EX277),"")</f>
        <v/>
      </c>
      <c r="FS277">
        <f>IF(AND($EY277="row",$EY276="row"),IF(OR(INDEX($DT$5:$DT$1003,$EX276)="",INDEX($DT$5:$DT$1003,$EX277)=""),"",IF(NOT(EXACT(INDEX($DT$5:$DT$1003,$EX276),INDEX($DT$5:$DT$1003,$EX277))),"S4",IF(NOT(EXACT(INDEX($DS$5:$DS$1003,$EX276),INDEX($DS$5:$DS$1003,$EX277))),"S3",IF(NOT(EXACT(INDEX($DR$5:$DR$1003,$EX276),INDEX($DR$5:$DR$1003,$EX277))),"S1 Count Change","S1")))),"")</f>
        <v/>
      </c>
      <c r="FT277">
        <f>IF($EY277="row",INDEX($ES$5:$ES$1003,$EX277),"")</f>
        <v/>
      </c>
      <c r="FU277">
        <f>IF($EY277="row",INDEX($EO$5:$EO$1003,$EX277),0)</f>
        <v/>
      </c>
      <c r="FV277">
        <f>IF($FS277="S1 Count Change",1,0)</f>
        <v/>
      </c>
    </row>
    <row r="278">
      <c r="DA278" t="n">
        <v>274</v>
      </c>
      <c r="DB278">
        <f>IF($B$37=0,"",IFERROR(TRIM(SUBSTITUTE(SUBSTITUTE(SUBSTITUTE(SUBSTITUTE(INDEX(PASTE_ALL,274,$B$37)," "," "),CHAR(9)," "),CHAR(10)," "),CHAR(13)," ")),""))</f>
        <v/>
      </c>
      <c r="DC278">
        <f>IF(AND(274&gt;HEADER_ROW,UPPER(DB278)="LEGEND"),1,0)</f>
        <v/>
      </c>
      <c r="DE278" t="n">
        <v>274</v>
      </c>
      <c r="DF278">
        <f>HEADER_ROW+$DE278</f>
        <v/>
      </c>
      <c r="DG278">
        <f>IF(AND($DF278&lt;=1000,$DF278&lt;$B$8),1,0)</f>
        <v/>
      </c>
      <c r="DH278">
        <f>IF($DG278=1,IFERROR(INDEX($DB$5:$DB$1004,$DF278),""),"")</f>
        <v/>
      </c>
      <c r="DI278">
        <f>IF(AND($DG278=1,$DH278&lt;&gt;""),IFERROR(SUBSTITUTE(SUBSTITUTE(TRIM(SUBSTITUTE(SUBSTITUTE(SUBSTITUTE(SUBSTITUTE(IFERROR(INDEX(PASTE_ALL,$DF278,1)&amp;"","")&amp;"␟"&amp;IFERROR(INDEX(PASTE_ALL,$DF278,2)&amp;"","")&amp;"␟"&amp;IFERROR(INDEX(PASTE_ALL,$DF278,3)&amp;"","")&amp;"␟"&amp;IFERROR(INDEX(PASTE_ALL,$DF278,4)&amp;"","")&amp;"␟"&amp;IFERROR(INDEX(PASTE_ALL,$DF278,5)&amp;"","")&amp;"␟"&amp;IFERROR(INDEX(PASTE_ALL,$DF278,6)&amp;"","")&amp;"␟"&amp;IFERROR(INDEX(PASTE_ALL,$DF278,7)&amp;"","")&amp;"␟"&amp;IFERROR(INDEX(PASTE_ALL,$DF278,8)&amp;"","")&amp;"␟"&amp;IFERROR(INDEX(PASTE_ALL,$DF278,9)&amp;"","")&amp;"␟"&amp;IFERROR(INDEX(PASTE_ALL,$DF278,10)&amp;"","")&amp;"␟"&amp;IFERROR(INDEX(PASTE_ALL,$DF278,11)&amp;"","")&amp;"␟"&amp;IFERROR(INDEX(PASTE_ALL,$DF278,12)&amp;"","")&amp;"␟"&amp;IFERROR(INDEX(PASTE_ALL,$DF278,13)&amp;"","")&amp;"␟"&amp;IFERROR(INDEX(PASTE_ALL,$DF278,14)&amp;"","")&amp;"␟"&amp;IFERROR(INDEX(PASTE_ALL,$DF278,15)&amp;"","")&amp;"␟"&amp;IFERROR(INDEX(PASTE_ALL,$DF278,16)&amp;"","")&amp;"␟"&amp;IFERROR(INDEX(PASTE_ALL,$DF278,17)&amp;"","")&amp;"␟"&amp;IFERROR(INDEX(PASTE_ALL,$DF278,18)&amp;"","")&amp;"␟"&amp;IFERROR(INDEX(PASTE_ALL,$DF278,19)&amp;"","")&amp;"␟"&amp;IFERROR(INDEX(PASTE_ALL,$DF278,20)&amp;"","")&amp;"␟"&amp;IFERROR(INDEX(PASTE_ALL,$DF278,21)&amp;"","")&amp;"␟"&amp;IFERROR(INDEX(PASTE_ALL,$DF278,22)&amp;"","")&amp;"␟"&amp;IFERROR(INDEX(PASTE_ALL,$DF278,23)&amp;"","")&amp;"␟"&amp;IFERROR(INDEX(PASTE_ALL,$DF278,24)&amp;"","")&amp;"␟"&amp;IFERROR(INDEX(PASTE_ALL,$DF278,25)&amp;"","")&amp;"␟"&amp;IFERROR(INDEX(PASTE_ALL,$DF278,26)&amp;"","")&amp;"␟"&amp;IFERROR(INDEX(PASTE_ALL,$DF278,27)&amp;"","")&amp;"␟"&amp;IFERROR(INDEX(PASTE_ALL,$DF278,28)&amp;"","")&amp;"␟"&amp;IFERROR(INDEX(PASTE_ALL,$DF278,29)&amp;"","")&amp;"␟"&amp;IFERROR(INDEX(PASTE_ALL,$DF278,30)&amp;"","")&amp;"␟"&amp;IFERROR(INDEX(PASTE_ALL,$DF278,31)&amp;"","")&amp;"␟"&amp;IFERROR(INDEX(PASTE_ALL,$DF278,32)&amp;"","")&amp;"␟"&amp;IFERROR(INDEX(PASTE_ALL,$DF278,33)&amp;"","")&amp;"␟"&amp;IFERROR(INDEX(PASTE_ALL,$DF278,34)&amp;"","")&amp;"␟"&amp;IFERROR(INDEX(PASTE_ALL,$DF278,35)&amp;"","")&amp;"␟"&amp;IFERROR(INDEX(PASTE_ALL,$DF278,36)&amp;"","")&amp;"␟"&amp;IFERROR(INDEX(PASTE_ALL,$DF278,37)&amp;"","")&amp;"␟"&amp;IFERROR(INDEX(PASTE_ALL,$DF278,38)&amp;"","")&amp;"␟"&amp;IFERROR(INDEX(PASTE_ALL,$DF278,39)&amp;"","")&amp;"␟"&amp;IFERROR(INDEX(PASTE_ALL,$DF278,40)&amp;"","")&amp;"␟"&amp;IFERROR(INDEX(PASTE_ALL,$DF278,41)&amp;"","")&amp;"␟"&amp;IFERROR(INDEX(PASTE_ALL,$DF278,42)&amp;"","")&amp;"␟"&amp;IFERROR(INDEX(PASTE_ALL,$DF278,43)&amp;"","")&amp;"␟"&amp;IFERROR(INDEX(PASTE_ALL,$DF278,44)&amp;"","")&amp;"␟"&amp;IFERROR(INDEX(PASTE_ALL,$DF278,45)&amp;"","")&amp;"␟"&amp;IFERROR(INDEX(PASTE_ALL,$DF278,46)&amp;"","")&amp;"␟"&amp;IFERROR(INDEX(PASTE_ALL,$DF278,47)&amp;"","")&amp;"␟"&amp;IFERROR(INDEX(PASTE_ALL,$DF278,48)&amp;"","")&amp;"␟"&amp;IFERROR(INDEX(PASTE_ALL,$DF278,49)&amp;"","")&amp;"␟"&amp;IFERROR(INDEX(PASTE_ALL,$DF278,50)&amp;"","")&amp;"␟"&amp;IFERROR(INDEX(PASTE_ALL,$DF278,51)&amp;"","")&amp;"␟"&amp;IFERROR(INDEX(PASTE_ALL,$DF278,52)&amp;"","")&amp;"␟"&amp;IFERROR(INDEX(PASTE_ALL,$DF278,53)&amp;"","")&amp;"␟"&amp;IFERROR(INDEX(PASTE_ALL,$DF278,54)&amp;"","")&amp;"␟"&amp;IFERROR(INDEX(PASTE_ALL,$DF278,55)&amp;"","")&amp;"␟"&amp;IFERROR(INDEX(PASTE_ALL,$DF278,56)&amp;"","")&amp;"␟"&amp;IFERROR(INDEX(PASTE_ALL,$DF278,57)&amp;"","")&amp;"␟"&amp;IFERROR(INDEX(PASTE_ALL,$DF278,58)&amp;"","")&amp;"␟"&amp;IFERROR(INDEX(PASTE_ALL,$DF278,59)&amp;"","")&amp;"␟"&amp;IFERROR(INDEX(PASTE_ALL,$DF278,60)&amp;"","")," "," "),CHAR(9)," "),CHAR(10)," "),CHAR(13)," "))," ␟","␟"),"␟ ","␟"),"#"&amp;$DE278),"")</f>
        <v/>
      </c>
      <c r="DJ278">
        <f>IF($DI278="",0,IF(SUMPRODUCT(--EXACT($DI$4:DI277,$DI278))&gt;0,1,0))</f>
        <v/>
      </c>
      <c r="DK278">
        <f>IF(AND($DI278&lt;&gt;"",$DJ278=0),1,0)</f>
        <v/>
      </c>
      <c r="DL278">
        <f>DL277+$DK278</f>
        <v/>
      </c>
      <c r="DM278">
        <f>IF(AND($DK278=1,$DL278&lt;=600),1,0)</f>
        <v/>
      </c>
      <c r="DN278">
        <f>IF($DM278=0,"",IF($L$6=0,"",IFERROR(IF(ISNUMBER(INDEX(PASTE_ALL,$DF278,$L$6)),INDEX(PASTE_ALL,$DF278,$L$6),TRIM(SUBSTITUTE(SUBSTITUTE(SUBSTITUTE(SUBSTITUTE(INDEX(PASTE_ALL,$DF278,$L$6)," "," "),CHAR(9)," "),CHAR(10)," "),CHAR(13)," "))),"")))</f>
        <v/>
      </c>
      <c r="DO278">
        <f>IF($DM278=0,"",IF($L$7=0,"",IFERROR(IF(ISNUMBER(INDEX(PASTE_ALL,$DF278,$L$7)),INDEX(PASTE_ALL,$DF278,$L$7),TRIM(SUBSTITUTE(SUBSTITUTE(SUBSTITUTE(SUBSTITUTE(INDEX(PASTE_ALL,$DF278,$L$7)," "," "),CHAR(9)," "),CHAR(10)," "),CHAR(13)," "))),"")))</f>
        <v/>
      </c>
      <c r="DP278">
        <f>IF($DM278=0,"",IF($L$8=0,"",IFERROR(IF(ISNUMBER(INDEX(PASTE_ALL,$DF278,$L$8)),INDEX(PASTE_ALL,$DF278,$L$8),TRIM(SUBSTITUTE(SUBSTITUTE(SUBSTITUTE(SUBSTITUTE(INDEX(PASTE_ALL,$DF278,$L$8)," "," "),CHAR(9)," "),CHAR(10)," "),CHAR(13)," "))),"")))</f>
        <v/>
      </c>
      <c r="DQ278">
        <f>IF($DM278=0,"",IF($L$9=0,"",IFERROR(IF(ISNUMBER(INDEX(PASTE_ALL,$DF278,$L$9)),INDEX(PASTE_ALL,$DF278,$L$9),TRIM(SUBSTITUTE(SUBSTITUTE(SUBSTITUTE(SUBSTITUTE(INDEX(PASTE_ALL,$DF278,$L$9)," "," "),CHAR(9)," "),CHAR(10)," "),CHAR(13)," "))),"")))</f>
        <v/>
      </c>
      <c r="DR278">
        <f>IF($DM278=0,"",IF($L$10=0,"",IFERROR(IF(ISNUMBER(INDEX(PASTE_ALL,$DF278,$L$10)),INDEX(PASTE_ALL,$DF278,$L$10),TRIM(SUBSTITUTE(SUBSTITUTE(SUBSTITUTE(SUBSTITUTE(INDEX(PASTE_ALL,$DF278,$L$10)," "," "),CHAR(9)," "),CHAR(10)," "),CHAR(13)," "))),"")))</f>
        <v/>
      </c>
      <c r="DS278">
        <f>IF($DM278=0,"",IF($L$11=0,"",IFERROR(IF(ISNUMBER(INDEX(PASTE_ALL,$DF278,$L$11)),INDEX(PASTE_ALL,$DF278,$L$11),TRIM(SUBSTITUTE(SUBSTITUTE(SUBSTITUTE(SUBSTITUTE(INDEX(PASTE_ALL,$DF278,$L$11)," "," "),CHAR(9)," "),CHAR(10)," "),CHAR(13)," "))),"")))</f>
        <v/>
      </c>
      <c r="DT278">
        <f>IF($DM278=0,"",IF($L$12=0,"",IFERROR(IF(ISNUMBER(INDEX(PASTE_ALL,$DF278,$L$12)),INDEX(PASTE_ALL,$DF278,$L$12),TRIM(SUBSTITUTE(SUBSTITUTE(SUBSTITUTE(SUBSTITUTE(INDEX(PASTE_ALL,$DF278,$L$12)," "," "),CHAR(9)," "),CHAR(10)," "),CHAR(13)," "))),"")))</f>
        <v/>
      </c>
      <c r="DU278">
        <f>IF($DM278=0,"",IF($L$13=0,"",IFERROR(IF(ISNUMBER(INDEX(PASTE_ALL,$DF278,$L$13)),INDEX(PASTE_ALL,$DF278,$L$13),TRIM(SUBSTITUTE(SUBSTITUTE(SUBSTITUTE(SUBSTITUTE(INDEX(PASTE_ALL,$DF278,$L$13)," "," "),CHAR(9)," "),CHAR(10)," "),CHAR(13)," "))),"")))</f>
        <v/>
      </c>
      <c r="DV278">
        <f>IF($DM278=0,"",IF($L$14=0,"",IFERROR(IF(ISNUMBER(INDEX(PASTE_ALL,$DF278,$L$14)),INDEX(PASTE_ALL,$DF278,$L$14),TRIM(SUBSTITUTE(SUBSTITUTE(SUBSTITUTE(SUBSTITUTE(INDEX(PASTE_ALL,$DF278,$L$14)," "," "),CHAR(9)," "),CHAR(10)," "),CHAR(13)," "))),"")))</f>
        <v/>
      </c>
      <c r="DW278">
        <f>IF($DM278=0,"",IF($L$15=0,"",IFERROR(IF(ISNUMBER(INDEX(PASTE_ALL,$DF278,$L$15)),INDEX(PASTE_ALL,$DF278,$L$15),IF(SUMPRODUCT(--ISNUMBER(FIND({"A","B","C","D","E","F","G","H","I","J","K","L","M","N","O","P","Q","R","S","T","U","V","W","X","Y","Z","0","1","2","3","4","5","6","7","8","9"},UPPER(TRIM(SUBSTITUTE(SUBSTITUTE(SUBSTITUTE(SUBSTITUTE(INDEX(PASTE_ALL,$DF278,$L$15)," "," "),CHAR(9)," "),CHAR(10)," "),CHAR(13)," "))))))&gt;0,TRIM(SUBSTITUTE(SUBSTITUTE(SUBSTITUTE(SUBSTITUTE(INDEX(PASTE_ALL,$DF278,$L$15)," "," "),CHAR(9)," "),CHAR(10)," "),CHAR(13)," ")),"")),"")))</f>
        <v/>
      </c>
      <c r="DX278">
        <f>IF($DM278=0,"",IF($L$16=0,"",IFERROR(IF(ISNUMBER(INDEX(PASTE_ALL,$DF278,$L$16)),INDEX(PASTE_ALL,$DF278,$L$16),SUBSTITUTE(SUBSTITUTE(TRIM(SUBSTITUTE(SUBSTITUTE(SUBSTITUTE(SUBSTITUTE(INDEX(PASTE_ALL,$DF278,$L$16)," "," "),CHAR(9)," "),CHAR(10)," "),CHAR(13)," ")),",",""),"%","")),"")))</f>
        <v/>
      </c>
      <c r="DY278">
        <f>IF($DM278=0,"",IFERROR(IF(ISNUMBER($DX278),$DX278,IF($DX278="","",IF(TRIM($DX278)="",0,IF(AND(AND(SUBSTITUTE(SUBSTITUTE(SUBSTITUTE(SUBSTITUTE(SUBSTITUTE(SUBSTITUTE(SUBSTITUTE(SUBSTITUTE(SUBSTITUTE(SUBSTITUTE(SUBSTITUTE(SUBSTITUTE(SUBSTITUTE(SUBSTITUTE(UPPER(TRIM($DX278)),"0",""),"1",""),"2",""),"3",""),"4",""),"5",""),"6",""),"7",""),"8",""),"9",""),".",""),"+",""),"-",""),"E","")="",LEN(SUBSTITUTE(SUBSTITUTE(MID(UPPER(TRIM($DX278)),1+OR(LEFT(UPPER(TRIM($DX278)),1)="+",LEFT(UPPER(TRIM($DX278)),1)="-"),999),"E+","E"),"E-","E"))=LEN(SUBSTITUTE(SUBSTITUTE(SUBSTITUTE(SUBSTITUTE(MID(UPPER(TRIM($DX278)),1+OR(LEFT(UPPER(TRIM($DX278)),1)="+",LEFT(UPPER(TRIM($DX278)),1)="-"),999),"E+","E"),"E-","E"),"+",""),"-","")),LEN(UPPER(TRIM($DX278)))-LEN(SUBSTITUTE(UPPER(TRIM($DX278)),"E",""))&lt;2,LEN(UPPER(TRIM($DX278)))-LEN(SUBSTITUTE(UPPER(TRIM($DX278)),".",""))&lt;2,IFERROR(FIND(".",UPPER(TRIM($DX278))),0)&lt;IFERROR(FIND("E",UPPER(TRIM($DX278))),999)),ISNUMBER(VALUE(TRIM($DX278)))),VALUE(TRIM($DX278)),"")))),""))</f>
        <v/>
      </c>
      <c r="DZ278">
        <f>IF($DM278=0,"",IF($L$17=0,"",IFERROR(IF(ISNUMBER(INDEX(PASTE_ALL,$DF278,$L$17)),INDEX(PASTE_ALL,$DF278,$L$17),SUBSTITUTE(SUBSTITUTE(TRIM(SUBSTITUTE(SUBSTITUTE(SUBSTITUTE(SUBSTITUTE(INDEX(PASTE_ALL,$DF278,$L$17)," "," "),CHAR(9)," "),CHAR(10)," "),CHAR(13)," ")),",",""),"%","")),"")))</f>
        <v/>
      </c>
      <c r="EA278">
        <f>IF($DM278=0,"",IFERROR(IF(ISNUMBER($DZ278),$DZ278,IF($DZ278="","",IF(TRIM($DZ278)="",0,IF(AND(AND(SUBSTITUTE(SUBSTITUTE(SUBSTITUTE(SUBSTITUTE(SUBSTITUTE(SUBSTITUTE(SUBSTITUTE(SUBSTITUTE(SUBSTITUTE(SUBSTITUTE(SUBSTITUTE(SUBSTITUTE(SUBSTITUTE(SUBSTITUTE(UPPER(TRIM($DZ278)),"0",""),"1",""),"2",""),"3",""),"4",""),"5",""),"6",""),"7",""),"8",""),"9",""),".",""),"+",""),"-",""),"E","")="",LEN(SUBSTITUTE(SUBSTITUTE(MID(UPPER(TRIM($DZ278)),1+OR(LEFT(UPPER(TRIM($DZ278)),1)="+",LEFT(UPPER(TRIM($DZ278)),1)="-"),999),"E+","E"),"E-","E"))=LEN(SUBSTITUTE(SUBSTITUTE(SUBSTITUTE(SUBSTITUTE(MID(UPPER(TRIM($DZ278)),1+OR(LEFT(UPPER(TRIM($DZ278)),1)="+",LEFT(UPPER(TRIM($DZ278)),1)="-"),999),"E+","E"),"E-","E"),"+",""),"-","")),LEN(UPPER(TRIM($DZ278)))-LEN(SUBSTITUTE(UPPER(TRIM($DZ278)),"E",""))&lt;2,LEN(UPPER(TRIM($DZ278)))-LEN(SUBSTITUTE(UPPER(TRIM($DZ278)),".",""))&lt;2,IFERROR(FIND(".",UPPER(TRIM($DZ278))),0)&lt;IFERROR(FIND("E",UPPER(TRIM($DZ278))),999)),ISNUMBER(VALUE(TRIM($DZ278)))),VALUE(TRIM($DZ278)),"")))),""))</f>
        <v/>
      </c>
      <c r="EB278">
        <f>IF($DM278=0,"",IF($L$18=0,"",IFERROR(IF(UPPER(TRIM(SUBSTITUTE(SUBSTITUTE(SUBSTITUTE(SUBSTITUTE(INDEX(PASTE_ALL,$DF278,$L$18)," "," "),CHAR(9)," "),CHAR(10)," "),CHAR(13)," ")))="READY","Ready",IF(UPPER(TRIM(SUBSTITUTE(SUBSTITUTE(SUBSTITUTE(SUBSTITUTE(INDEX(PASTE_ALL,$DF278,$L$18)," "," "),CHAR(9)," "),CHAR(10)," "),CHAR(13)," ")))="PM","PM",IF(OR(UPPER(TRIM(SUBSTITUTE(SUBSTITUTE(SUBSTITUTE(SUBSTITUTE(INDEX(PASTE_ALL,$DF278,$L$18)," "," "),CHAR(9)," "),CHAR(10)," "),CHAR(13)," ")))="OT",UPPER(TRIM(SUBSTITUTE(SUBSTITUTE(SUBSTITUTE(SUBSTITUTE(INDEX(PASTE_ALL,$DF278,$L$18)," "," "),CHAR(9)," "),CHAR(10)," "),CHAR(13)," ")))="OVERTIME",UPPER(TRIM(SUBSTITUTE(SUBSTITUTE(SUBSTITUTE(SUBSTITUTE(INDEX(PASTE_ALL,$DF278,$L$18)," "," "),CHAR(9)," "),CHAR(10)," "),CHAR(13)," ")))="TRIAL"),"OT",TRIM(SUBSTITUTE(SUBSTITUTE(SUBSTITUTE(SUBSTITUTE(INDEX(PASTE_ALL,$DF278,$L$18)," "," "),CHAR(9)," "),CHAR(10)," "),CHAR(13)," "))))),"")))</f>
        <v/>
      </c>
      <c r="EC278">
        <f>IF($DM278=0,"",IF($L$19=0,"",IFERROR(IF(ISNUMBER(INDEX(PASTE_ALL,$DF278,$L$19)),INDEX(PASTE_ALL,$DF278,$L$19),TRIM(SUBSTITUTE(SUBSTITUTE(SUBSTITUTE(SUBSTITUTE(INDEX(PASTE_ALL,$DF278,$L$19)," "," "),CHAR(9)," "),CHAR(10)," "),CHAR(13)," "))),"")))</f>
        <v/>
      </c>
      <c r="ED278">
        <f>IF($DM278=0,"",MATCH(1,INDEX(EXACT($DH$5:DH278,$DH278)*$DM$5:DM278,0),0))</f>
        <v/>
      </c>
      <c r="EE278">
        <f>IF($DM278=0,0,IF($ED278=$DE278,1,0))</f>
        <v/>
      </c>
      <c r="EF278">
        <f>EF277+$EE278</f>
        <v/>
      </c>
      <c r="EG278">
        <f>IF($DM278=0,"",INDEX($EF$5:$EF$1003,$ED278))</f>
        <v/>
      </c>
      <c r="EH278">
        <f>IF($DM278=0,"",IF($DO278&lt;&gt;"","",IFERROR(LOOKUP(2,1/(($EG$4:EG277=$EG278)*($DO$4:DO277&lt;&gt;"")),$DO$4:DO277),"")))</f>
        <v/>
      </c>
      <c r="EI278">
        <f>IF($DM278=0,"",IF($DO278&lt;&gt;"",$DO278,$EH278))</f>
        <v/>
      </c>
      <c r="EJ278">
        <f>IF($DM278=0,"",IF($EI278="",0,IF(OR(ISNUMBER($EI278),AND(AND(SUBSTITUTE(SUBSTITUTE(SUBSTITUTE(SUBSTITUTE(SUBSTITUTE(SUBSTITUTE(SUBSTITUTE(SUBSTITUTE(SUBSTITUTE(SUBSTITUTE(SUBSTITUTE(SUBSTITUTE(SUBSTITUTE(SUBSTITUTE(UPPER($EI278),"0",""),"1",""),"2",""),"3",""),"4",""),"5",""),"6",""),"7",""),"8",""),"9",""),".",""),"+",""),"-",""),"E","")="",LEN(SUBSTITUTE(SUBSTITUTE(MID(UPPER($EI278),1+OR(LEFT(UPPER($EI278),1)="+",LEFT(UPPER($EI278),1)="-"),999),"E+","E"),"E-","E"))=LEN(SUBSTITUTE(SUBSTITUTE(SUBSTITUTE(SUBSTITUTE(MID(UPPER($EI278),1+OR(LEFT(UPPER($EI278),1)="+",LEFT(UPPER($EI278),1)="-"),999),"E+","E"),"E-","E"),"+",""),"-","")),LEN(UPPER($EI278))-LEN(SUBSTITUTE(UPPER($EI278),"E",""))&lt;2,LEN(UPPER($EI278))-LEN(SUBSTITUTE(UPPER($EI278),".",""))&lt;2,IFERROR(FIND(".",UPPER($EI278)),0)&lt;IFERROR(FIND("E",UPPER($EI278)),999)),ISNUMBER(VALUE($EI278)))),1,2)))</f>
        <v/>
      </c>
      <c r="EK278">
        <f>IF($DM278=0,"",IF($EJ278=1,IF(ISNUMBER($EI278),$EI278,VALUE($EI278)),IF($EJ278=2,$DE278,0)))</f>
        <v/>
      </c>
      <c r="EL278">
        <f>IF($DM278=0,"",COUNTIF($EG$5:$EG$1003,"&lt;"&amp;$EG278)+SUMPRODUCT(($EG$5:$EG$1003=$EG278)*(($EJ$5:$EJ$1003&lt;$EJ278)+($EJ$5:$EJ$1003=$EJ278)*(($EK$5:$EK$1003&lt;$EK278)+($EK$5:$EK$1003=$EK278)*($DE$5:$DE$1003&lt;$DE278))))+1)</f>
        <v/>
      </c>
      <c r="EM278">
        <f>IF($DM278=0,"",$EL278+$EG278-1)</f>
        <v/>
      </c>
      <c r="EN278">
        <f>IF($DM278=0,0,IFERROR(MATCH(1,INDEX(--(TRIM(SUBSTITUTE(SUBSTITUTE(SUBSTITUTE(SUBSTITUTE(LINES_NAME&amp;""," "," "),CHAR(9)," "),CHAR(10)," "),CHAR(13)," "))=$DH278),0),0),0))</f>
        <v/>
      </c>
      <c r="EO278">
        <f>IF($EN278=0,0,IF(OR(UPPER(TRIM(INDEX(LINES_SCHEDULED,$EN278)&amp;""))="YES",UPPER(TRIM(INDEX(LINES_SCHEDULED,$EN278)&amp;""))="Y",UPPER(TRIM(INDEX(LINES_SCHEDULED,$EN278)&amp;""))="X"),1,0))</f>
        <v/>
      </c>
      <c r="EP278">
        <f>IF($DM278=0,"",IF(COUNTIFS($EG$5:$EG$1003,$EG278,$EB$5:$EB$1003,"Ready")&gt;0,"READY",IF(COUNTIFS($EG$5:$EG$1003,$EG278,$EB$5:$EB$1003,"PM")&gt;0,"PM",IF(COUNTIFS($EG$5:$EG$1003,$EG278,$EB$5:$EB$1003,"OT")&gt;0,"OT",""))))</f>
        <v/>
      </c>
      <c r="EQ278">
        <f>IF($EN278=0,"",UPPER(TRIM(INDEX(LINES_STATUS,$EN278)&amp;"")))</f>
        <v/>
      </c>
      <c r="ER278">
        <f>IF($DM278=0,"",IF(OR($EQ278="READY",$EQ278="PM",$EQ278="OT"),$EQ278,$EP278))</f>
        <v/>
      </c>
      <c r="ES278">
        <f>IF($DM278=0,"",IF(AND($DV278&lt;&gt;"",UPPER($DV278)&lt;&gt;"N"),"allergen",IF(ISNUMBER(SEARCH("oil",$DQ278)),"oil",IF(OR(EXACT($DS278,"A662"),EXACT($DS278,"A624")),"bulk",""))))</f>
        <v/>
      </c>
      <c r="ET278">
        <f>IF($DM278=0,"",IF(OR($EA278="",$EA278=0),"",$EA278/100))</f>
        <v/>
      </c>
      <c r="EU278">
        <f>IF(OR($ET278="",$DY278=""),"",INT($DY278*(1-$ET278)+0.5))</f>
        <v/>
      </c>
      <c r="EW278" t="n">
        <v>274</v>
      </c>
      <c r="EX278">
        <f>IFERROR(MATCH($EW278,$EM$5:$EM$1003,0),0)</f>
        <v/>
      </c>
      <c r="EY278">
        <f>IF($EW278&gt;$B$12,"",IF($EX278&gt;0,"row","spacer"))</f>
        <v/>
      </c>
      <c r="EZ278">
        <f>IF(AND($EY278="row",$EY277&lt;&gt;"row"),1,0)</f>
        <v/>
      </c>
      <c r="FA278">
        <f>IF(AND($EY278="row",$EY279&lt;&gt;"row"),1,0)</f>
        <v/>
      </c>
      <c r="FB278">
        <f>IF($EZ278=1,IFERROR(IF(ISNUMBER(INDEX(PASTE_ALL,INDEX($DF$5:$DF$1003,$EX278),$B$37)),INDEX(PASTE_ALL,INDEX($DF$5:$DF$1003,$EX278),$B$37),INDEX($DH$5:$DH$1003,$EX278)),INDEX($DH$5:$DH$1003,$EX278)),"")</f>
        <v/>
      </c>
      <c r="FC278">
        <f>IF($EY278="row",INDEX($ER$5:$ER$1003,$EX278),"")</f>
        <v/>
      </c>
      <c r="FD278">
        <f>IF($EY278="row",INDEX($DN$5:$DN$1003,$EX278),"")</f>
        <v/>
      </c>
      <c r="FE278">
        <f>IF($EY278="row",INDEX($DO$5:$DO$1003,$EX278),"")</f>
        <v/>
      </c>
      <c r="FF278">
        <f>IF($EY278="row",INDEX($DP$5:$DP$1003,$EX278),"")</f>
        <v/>
      </c>
      <c r="FG278">
        <f>IF($EY278="row",INDEX($DQ$5:$DQ$1003,$EX278),"")</f>
        <v/>
      </c>
      <c r="FH278">
        <f>IF($EY278="row",INDEX($DR$5:$DR$1003,$EX278),"")</f>
        <v/>
      </c>
      <c r="FI278">
        <f>IF($EY278="row",INDEX($DS$5:$DS$1003,$EX278),"")</f>
        <v/>
      </c>
      <c r="FJ278">
        <f>IF($EY278="row",INDEX($DT$5:$DT$1003,$EX278),"")</f>
        <v/>
      </c>
      <c r="FK278">
        <f>IF($EY278="row",INDEX($DU$5:$DU$1003,$EX278),"")</f>
        <v/>
      </c>
      <c r="FL278">
        <f>IF($EY278="row",INDEX($DV$5:$DV$1003,$EX278),"")</f>
        <v/>
      </c>
      <c r="FM278">
        <f>IF($EY278="row",INDEX($DW$5:$DW$1003,$EX278),"")</f>
        <v/>
      </c>
      <c r="FN278">
        <f>IF($EY278="row",INDEX($DY$5:$DY$1003,$EX278),"")</f>
        <v/>
      </c>
      <c r="FO278">
        <f>IF($EY278="row",INDEX($EA$5:$EA$1003,$EX278),"")</f>
        <v/>
      </c>
      <c r="FP278">
        <f>IF($EY278="row",INDEX($EC$5:$EC$1003,$EX278),"")</f>
        <v/>
      </c>
      <c r="FQ278">
        <f>IF($EY278="row",INDEX($ET$5:$ET$1003,$EX278),"")</f>
        <v/>
      </c>
      <c r="FR278">
        <f>IF($EY278="row",INDEX($EU$5:$EU$1003,$EX278),"")</f>
        <v/>
      </c>
      <c r="FS278">
        <f>IF(AND($EY278="row",$EY277="row"),IF(OR(INDEX($DT$5:$DT$1003,$EX277)="",INDEX($DT$5:$DT$1003,$EX278)=""),"",IF(NOT(EXACT(INDEX($DT$5:$DT$1003,$EX277),INDEX($DT$5:$DT$1003,$EX278))),"S4",IF(NOT(EXACT(INDEX($DS$5:$DS$1003,$EX277),INDEX($DS$5:$DS$1003,$EX278))),"S3",IF(NOT(EXACT(INDEX($DR$5:$DR$1003,$EX277),INDEX($DR$5:$DR$1003,$EX278))),"S1 Count Change","S1")))),"")</f>
        <v/>
      </c>
      <c r="FT278">
        <f>IF($EY278="row",INDEX($ES$5:$ES$1003,$EX278),"")</f>
        <v/>
      </c>
      <c r="FU278">
        <f>IF($EY278="row",INDEX($EO$5:$EO$1003,$EX278),0)</f>
        <v/>
      </c>
      <c r="FV278">
        <f>IF($FS278="S1 Count Change",1,0)</f>
        <v/>
      </c>
    </row>
    <row r="279">
      <c r="DA279" t="n">
        <v>275</v>
      </c>
      <c r="DB279">
        <f>IF($B$37=0,"",IFERROR(TRIM(SUBSTITUTE(SUBSTITUTE(SUBSTITUTE(SUBSTITUTE(INDEX(PASTE_ALL,275,$B$37)," "," "),CHAR(9)," "),CHAR(10)," "),CHAR(13)," ")),""))</f>
        <v/>
      </c>
      <c r="DC279">
        <f>IF(AND(275&gt;HEADER_ROW,UPPER(DB279)="LEGEND"),1,0)</f>
        <v/>
      </c>
      <c r="DE279" t="n">
        <v>275</v>
      </c>
      <c r="DF279">
        <f>HEADER_ROW+$DE279</f>
        <v/>
      </c>
      <c r="DG279">
        <f>IF(AND($DF279&lt;=1000,$DF279&lt;$B$8),1,0)</f>
        <v/>
      </c>
      <c r="DH279">
        <f>IF($DG279=1,IFERROR(INDEX($DB$5:$DB$1004,$DF279),""),"")</f>
        <v/>
      </c>
      <c r="DI279">
        <f>IF(AND($DG279=1,$DH279&lt;&gt;""),IFERROR(SUBSTITUTE(SUBSTITUTE(TRIM(SUBSTITUTE(SUBSTITUTE(SUBSTITUTE(SUBSTITUTE(IFERROR(INDEX(PASTE_ALL,$DF279,1)&amp;"","")&amp;"␟"&amp;IFERROR(INDEX(PASTE_ALL,$DF279,2)&amp;"","")&amp;"␟"&amp;IFERROR(INDEX(PASTE_ALL,$DF279,3)&amp;"","")&amp;"␟"&amp;IFERROR(INDEX(PASTE_ALL,$DF279,4)&amp;"","")&amp;"␟"&amp;IFERROR(INDEX(PASTE_ALL,$DF279,5)&amp;"","")&amp;"␟"&amp;IFERROR(INDEX(PASTE_ALL,$DF279,6)&amp;"","")&amp;"␟"&amp;IFERROR(INDEX(PASTE_ALL,$DF279,7)&amp;"","")&amp;"␟"&amp;IFERROR(INDEX(PASTE_ALL,$DF279,8)&amp;"","")&amp;"␟"&amp;IFERROR(INDEX(PASTE_ALL,$DF279,9)&amp;"","")&amp;"␟"&amp;IFERROR(INDEX(PASTE_ALL,$DF279,10)&amp;"","")&amp;"␟"&amp;IFERROR(INDEX(PASTE_ALL,$DF279,11)&amp;"","")&amp;"␟"&amp;IFERROR(INDEX(PASTE_ALL,$DF279,12)&amp;"","")&amp;"␟"&amp;IFERROR(INDEX(PASTE_ALL,$DF279,13)&amp;"","")&amp;"␟"&amp;IFERROR(INDEX(PASTE_ALL,$DF279,14)&amp;"","")&amp;"␟"&amp;IFERROR(INDEX(PASTE_ALL,$DF279,15)&amp;"","")&amp;"␟"&amp;IFERROR(INDEX(PASTE_ALL,$DF279,16)&amp;"","")&amp;"␟"&amp;IFERROR(INDEX(PASTE_ALL,$DF279,17)&amp;"","")&amp;"␟"&amp;IFERROR(INDEX(PASTE_ALL,$DF279,18)&amp;"","")&amp;"␟"&amp;IFERROR(INDEX(PASTE_ALL,$DF279,19)&amp;"","")&amp;"␟"&amp;IFERROR(INDEX(PASTE_ALL,$DF279,20)&amp;"","")&amp;"␟"&amp;IFERROR(INDEX(PASTE_ALL,$DF279,21)&amp;"","")&amp;"␟"&amp;IFERROR(INDEX(PASTE_ALL,$DF279,22)&amp;"","")&amp;"␟"&amp;IFERROR(INDEX(PASTE_ALL,$DF279,23)&amp;"","")&amp;"␟"&amp;IFERROR(INDEX(PASTE_ALL,$DF279,24)&amp;"","")&amp;"␟"&amp;IFERROR(INDEX(PASTE_ALL,$DF279,25)&amp;"","")&amp;"␟"&amp;IFERROR(INDEX(PASTE_ALL,$DF279,26)&amp;"","")&amp;"␟"&amp;IFERROR(INDEX(PASTE_ALL,$DF279,27)&amp;"","")&amp;"␟"&amp;IFERROR(INDEX(PASTE_ALL,$DF279,28)&amp;"","")&amp;"␟"&amp;IFERROR(INDEX(PASTE_ALL,$DF279,29)&amp;"","")&amp;"␟"&amp;IFERROR(INDEX(PASTE_ALL,$DF279,30)&amp;"","")&amp;"␟"&amp;IFERROR(INDEX(PASTE_ALL,$DF279,31)&amp;"","")&amp;"␟"&amp;IFERROR(INDEX(PASTE_ALL,$DF279,32)&amp;"","")&amp;"␟"&amp;IFERROR(INDEX(PASTE_ALL,$DF279,33)&amp;"","")&amp;"␟"&amp;IFERROR(INDEX(PASTE_ALL,$DF279,34)&amp;"","")&amp;"␟"&amp;IFERROR(INDEX(PASTE_ALL,$DF279,35)&amp;"","")&amp;"␟"&amp;IFERROR(INDEX(PASTE_ALL,$DF279,36)&amp;"","")&amp;"␟"&amp;IFERROR(INDEX(PASTE_ALL,$DF279,37)&amp;"","")&amp;"␟"&amp;IFERROR(INDEX(PASTE_ALL,$DF279,38)&amp;"","")&amp;"␟"&amp;IFERROR(INDEX(PASTE_ALL,$DF279,39)&amp;"","")&amp;"␟"&amp;IFERROR(INDEX(PASTE_ALL,$DF279,40)&amp;"","")&amp;"␟"&amp;IFERROR(INDEX(PASTE_ALL,$DF279,41)&amp;"","")&amp;"␟"&amp;IFERROR(INDEX(PASTE_ALL,$DF279,42)&amp;"","")&amp;"␟"&amp;IFERROR(INDEX(PASTE_ALL,$DF279,43)&amp;"","")&amp;"␟"&amp;IFERROR(INDEX(PASTE_ALL,$DF279,44)&amp;"","")&amp;"␟"&amp;IFERROR(INDEX(PASTE_ALL,$DF279,45)&amp;"","")&amp;"␟"&amp;IFERROR(INDEX(PASTE_ALL,$DF279,46)&amp;"","")&amp;"␟"&amp;IFERROR(INDEX(PASTE_ALL,$DF279,47)&amp;"","")&amp;"␟"&amp;IFERROR(INDEX(PASTE_ALL,$DF279,48)&amp;"","")&amp;"␟"&amp;IFERROR(INDEX(PASTE_ALL,$DF279,49)&amp;"","")&amp;"␟"&amp;IFERROR(INDEX(PASTE_ALL,$DF279,50)&amp;"","")&amp;"␟"&amp;IFERROR(INDEX(PASTE_ALL,$DF279,51)&amp;"","")&amp;"␟"&amp;IFERROR(INDEX(PASTE_ALL,$DF279,52)&amp;"","")&amp;"␟"&amp;IFERROR(INDEX(PASTE_ALL,$DF279,53)&amp;"","")&amp;"␟"&amp;IFERROR(INDEX(PASTE_ALL,$DF279,54)&amp;"","")&amp;"␟"&amp;IFERROR(INDEX(PASTE_ALL,$DF279,55)&amp;"","")&amp;"␟"&amp;IFERROR(INDEX(PASTE_ALL,$DF279,56)&amp;"","")&amp;"␟"&amp;IFERROR(INDEX(PASTE_ALL,$DF279,57)&amp;"","")&amp;"␟"&amp;IFERROR(INDEX(PASTE_ALL,$DF279,58)&amp;"","")&amp;"␟"&amp;IFERROR(INDEX(PASTE_ALL,$DF279,59)&amp;"","")&amp;"␟"&amp;IFERROR(INDEX(PASTE_ALL,$DF279,60)&amp;"","")," "," "),CHAR(9)," "),CHAR(10)," "),CHAR(13)," "))," ␟","␟"),"␟ ","␟"),"#"&amp;$DE279),"")</f>
        <v/>
      </c>
      <c r="DJ279">
        <f>IF($DI279="",0,IF(SUMPRODUCT(--EXACT($DI$4:DI278,$DI279))&gt;0,1,0))</f>
        <v/>
      </c>
      <c r="DK279">
        <f>IF(AND($DI279&lt;&gt;"",$DJ279=0),1,0)</f>
        <v/>
      </c>
      <c r="DL279">
        <f>DL278+$DK279</f>
        <v/>
      </c>
      <c r="DM279">
        <f>IF(AND($DK279=1,$DL279&lt;=600),1,0)</f>
        <v/>
      </c>
      <c r="DN279">
        <f>IF($DM279=0,"",IF($L$6=0,"",IFERROR(IF(ISNUMBER(INDEX(PASTE_ALL,$DF279,$L$6)),INDEX(PASTE_ALL,$DF279,$L$6),TRIM(SUBSTITUTE(SUBSTITUTE(SUBSTITUTE(SUBSTITUTE(INDEX(PASTE_ALL,$DF279,$L$6)," "," "),CHAR(9)," "),CHAR(10)," "),CHAR(13)," "))),"")))</f>
        <v/>
      </c>
      <c r="DO279">
        <f>IF($DM279=0,"",IF($L$7=0,"",IFERROR(IF(ISNUMBER(INDEX(PASTE_ALL,$DF279,$L$7)),INDEX(PASTE_ALL,$DF279,$L$7),TRIM(SUBSTITUTE(SUBSTITUTE(SUBSTITUTE(SUBSTITUTE(INDEX(PASTE_ALL,$DF279,$L$7)," "," "),CHAR(9)," "),CHAR(10)," "),CHAR(13)," "))),"")))</f>
        <v/>
      </c>
      <c r="DP279">
        <f>IF($DM279=0,"",IF($L$8=0,"",IFERROR(IF(ISNUMBER(INDEX(PASTE_ALL,$DF279,$L$8)),INDEX(PASTE_ALL,$DF279,$L$8),TRIM(SUBSTITUTE(SUBSTITUTE(SUBSTITUTE(SUBSTITUTE(INDEX(PASTE_ALL,$DF279,$L$8)," "," "),CHAR(9)," "),CHAR(10)," "),CHAR(13)," "))),"")))</f>
        <v/>
      </c>
      <c r="DQ279">
        <f>IF($DM279=0,"",IF($L$9=0,"",IFERROR(IF(ISNUMBER(INDEX(PASTE_ALL,$DF279,$L$9)),INDEX(PASTE_ALL,$DF279,$L$9),TRIM(SUBSTITUTE(SUBSTITUTE(SUBSTITUTE(SUBSTITUTE(INDEX(PASTE_ALL,$DF279,$L$9)," "," "),CHAR(9)," "),CHAR(10)," "),CHAR(13)," "))),"")))</f>
        <v/>
      </c>
      <c r="DR279">
        <f>IF($DM279=0,"",IF($L$10=0,"",IFERROR(IF(ISNUMBER(INDEX(PASTE_ALL,$DF279,$L$10)),INDEX(PASTE_ALL,$DF279,$L$10),TRIM(SUBSTITUTE(SUBSTITUTE(SUBSTITUTE(SUBSTITUTE(INDEX(PASTE_ALL,$DF279,$L$10)," "," "),CHAR(9)," "),CHAR(10)," "),CHAR(13)," "))),"")))</f>
        <v/>
      </c>
      <c r="DS279">
        <f>IF($DM279=0,"",IF($L$11=0,"",IFERROR(IF(ISNUMBER(INDEX(PASTE_ALL,$DF279,$L$11)),INDEX(PASTE_ALL,$DF279,$L$11),TRIM(SUBSTITUTE(SUBSTITUTE(SUBSTITUTE(SUBSTITUTE(INDEX(PASTE_ALL,$DF279,$L$11)," "," "),CHAR(9)," "),CHAR(10)," "),CHAR(13)," "))),"")))</f>
        <v/>
      </c>
      <c r="DT279">
        <f>IF($DM279=0,"",IF($L$12=0,"",IFERROR(IF(ISNUMBER(INDEX(PASTE_ALL,$DF279,$L$12)),INDEX(PASTE_ALL,$DF279,$L$12),TRIM(SUBSTITUTE(SUBSTITUTE(SUBSTITUTE(SUBSTITUTE(INDEX(PASTE_ALL,$DF279,$L$12)," "," "),CHAR(9)," "),CHAR(10)," "),CHAR(13)," "))),"")))</f>
        <v/>
      </c>
      <c r="DU279">
        <f>IF($DM279=0,"",IF($L$13=0,"",IFERROR(IF(ISNUMBER(INDEX(PASTE_ALL,$DF279,$L$13)),INDEX(PASTE_ALL,$DF279,$L$13),TRIM(SUBSTITUTE(SUBSTITUTE(SUBSTITUTE(SUBSTITUTE(INDEX(PASTE_ALL,$DF279,$L$13)," "," "),CHAR(9)," "),CHAR(10)," "),CHAR(13)," "))),"")))</f>
        <v/>
      </c>
      <c r="DV279">
        <f>IF($DM279=0,"",IF($L$14=0,"",IFERROR(IF(ISNUMBER(INDEX(PASTE_ALL,$DF279,$L$14)),INDEX(PASTE_ALL,$DF279,$L$14),TRIM(SUBSTITUTE(SUBSTITUTE(SUBSTITUTE(SUBSTITUTE(INDEX(PASTE_ALL,$DF279,$L$14)," "," "),CHAR(9)," "),CHAR(10)," "),CHAR(13)," "))),"")))</f>
        <v/>
      </c>
      <c r="DW279">
        <f>IF($DM279=0,"",IF($L$15=0,"",IFERROR(IF(ISNUMBER(INDEX(PASTE_ALL,$DF279,$L$15)),INDEX(PASTE_ALL,$DF279,$L$15),IF(SUMPRODUCT(--ISNUMBER(FIND({"A","B","C","D","E","F","G","H","I","J","K","L","M","N","O","P","Q","R","S","T","U","V","W","X","Y","Z","0","1","2","3","4","5","6","7","8","9"},UPPER(TRIM(SUBSTITUTE(SUBSTITUTE(SUBSTITUTE(SUBSTITUTE(INDEX(PASTE_ALL,$DF279,$L$15)," "," "),CHAR(9)," "),CHAR(10)," "),CHAR(13)," "))))))&gt;0,TRIM(SUBSTITUTE(SUBSTITUTE(SUBSTITUTE(SUBSTITUTE(INDEX(PASTE_ALL,$DF279,$L$15)," "," "),CHAR(9)," "),CHAR(10)," "),CHAR(13)," ")),"")),"")))</f>
        <v/>
      </c>
      <c r="DX279">
        <f>IF($DM279=0,"",IF($L$16=0,"",IFERROR(IF(ISNUMBER(INDEX(PASTE_ALL,$DF279,$L$16)),INDEX(PASTE_ALL,$DF279,$L$16),SUBSTITUTE(SUBSTITUTE(TRIM(SUBSTITUTE(SUBSTITUTE(SUBSTITUTE(SUBSTITUTE(INDEX(PASTE_ALL,$DF279,$L$16)," "," "),CHAR(9)," "),CHAR(10)," "),CHAR(13)," ")),",",""),"%","")),"")))</f>
        <v/>
      </c>
      <c r="DY279">
        <f>IF($DM279=0,"",IFERROR(IF(ISNUMBER($DX279),$DX279,IF($DX279="","",IF(TRIM($DX279)="",0,IF(AND(AND(SUBSTITUTE(SUBSTITUTE(SUBSTITUTE(SUBSTITUTE(SUBSTITUTE(SUBSTITUTE(SUBSTITUTE(SUBSTITUTE(SUBSTITUTE(SUBSTITUTE(SUBSTITUTE(SUBSTITUTE(SUBSTITUTE(SUBSTITUTE(UPPER(TRIM($DX279)),"0",""),"1",""),"2",""),"3",""),"4",""),"5",""),"6",""),"7",""),"8",""),"9",""),".",""),"+",""),"-",""),"E","")="",LEN(SUBSTITUTE(SUBSTITUTE(MID(UPPER(TRIM($DX279)),1+OR(LEFT(UPPER(TRIM($DX279)),1)="+",LEFT(UPPER(TRIM($DX279)),1)="-"),999),"E+","E"),"E-","E"))=LEN(SUBSTITUTE(SUBSTITUTE(SUBSTITUTE(SUBSTITUTE(MID(UPPER(TRIM($DX279)),1+OR(LEFT(UPPER(TRIM($DX279)),1)="+",LEFT(UPPER(TRIM($DX279)),1)="-"),999),"E+","E"),"E-","E"),"+",""),"-","")),LEN(UPPER(TRIM($DX279)))-LEN(SUBSTITUTE(UPPER(TRIM($DX279)),"E",""))&lt;2,LEN(UPPER(TRIM($DX279)))-LEN(SUBSTITUTE(UPPER(TRIM($DX279)),".",""))&lt;2,IFERROR(FIND(".",UPPER(TRIM($DX279))),0)&lt;IFERROR(FIND("E",UPPER(TRIM($DX279))),999)),ISNUMBER(VALUE(TRIM($DX279)))),VALUE(TRIM($DX279)),"")))),""))</f>
        <v/>
      </c>
      <c r="DZ279">
        <f>IF($DM279=0,"",IF($L$17=0,"",IFERROR(IF(ISNUMBER(INDEX(PASTE_ALL,$DF279,$L$17)),INDEX(PASTE_ALL,$DF279,$L$17),SUBSTITUTE(SUBSTITUTE(TRIM(SUBSTITUTE(SUBSTITUTE(SUBSTITUTE(SUBSTITUTE(INDEX(PASTE_ALL,$DF279,$L$17)," "," "),CHAR(9)," "),CHAR(10)," "),CHAR(13)," ")),",",""),"%","")),"")))</f>
        <v/>
      </c>
      <c r="EA279">
        <f>IF($DM279=0,"",IFERROR(IF(ISNUMBER($DZ279),$DZ279,IF($DZ279="","",IF(TRIM($DZ279)="",0,IF(AND(AND(SUBSTITUTE(SUBSTITUTE(SUBSTITUTE(SUBSTITUTE(SUBSTITUTE(SUBSTITUTE(SUBSTITUTE(SUBSTITUTE(SUBSTITUTE(SUBSTITUTE(SUBSTITUTE(SUBSTITUTE(SUBSTITUTE(SUBSTITUTE(UPPER(TRIM($DZ279)),"0",""),"1",""),"2",""),"3",""),"4",""),"5",""),"6",""),"7",""),"8",""),"9",""),".",""),"+",""),"-",""),"E","")="",LEN(SUBSTITUTE(SUBSTITUTE(MID(UPPER(TRIM($DZ279)),1+OR(LEFT(UPPER(TRIM($DZ279)),1)="+",LEFT(UPPER(TRIM($DZ279)),1)="-"),999),"E+","E"),"E-","E"))=LEN(SUBSTITUTE(SUBSTITUTE(SUBSTITUTE(SUBSTITUTE(MID(UPPER(TRIM($DZ279)),1+OR(LEFT(UPPER(TRIM($DZ279)),1)="+",LEFT(UPPER(TRIM($DZ279)),1)="-"),999),"E+","E"),"E-","E"),"+",""),"-","")),LEN(UPPER(TRIM($DZ279)))-LEN(SUBSTITUTE(UPPER(TRIM($DZ279)),"E",""))&lt;2,LEN(UPPER(TRIM($DZ279)))-LEN(SUBSTITUTE(UPPER(TRIM($DZ279)),".",""))&lt;2,IFERROR(FIND(".",UPPER(TRIM($DZ279))),0)&lt;IFERROR(FIND("E",UPPER(TRIM($DZ279))),999)),ISNUMBER(VALUE(TRIM($DZ279)))),VALUE(TRIM($DZ279)),"")))),""))</f>
        <v/>
      </c>
      <c r="EB279">
        <f>IF($DM279=0,"",IF($L$18=0,"",IFERROR(IF(UPPER(TRIM(SUBSTITUTE(SUBSTITUTE(SUBSTITUTE(SUBSTITUTE(INDEX(PASTE_ALL,$DF279,$L$18)," "," "),CHAR(9)," "),CHAR(10)," "),CHAR(13)," ")))="READY","Ready",IF(UPPER(TRIM(SUBSTITUTE(SUBSTITUTE(SUBSTITUTE(SUBSTITUTE(INDEX(PASTE_ALL,$DF279,$L$18)," "," "),CHAR(9)," "),CHAR(10)," "),CHAR(13)," ")))="PM","PM",IF(OR(UPPER(TRIM(SUBSTITUTE(SUBSTITUTE(SUBSTITUTE(SUBSTITUTE(INDEX(PASTE_ALL,$DF279,$L$18)," "," "),CHAR(9)," "),CHAR(10)," "),CHAR(13)," ")))="OT",UPPER(TRIM(SUBSTITUTE(SUBSTITUTE(SUBSTITUTE(SUBSTITUTE(INDEX(PASTE_ALL,$DF279,$L$18)," "," "),CHAR(9)," "),CHAR(10)," "),CHAR(13)," ")))="OVERTIME",UPPER(TRIM(SUBSTITUTE(SUBSTITUTE(SUBSTITUTE(SUBSTITUTE(INDEX(PASTE_ALL,$DF279,$L$18)," "," "),CHAR(9)," "),CHAR(10)," "),CHAR(13)," ")))="TRIAL"),"OT",TRIM(SUBSTITUTE(SUBSTITUTE(SUBSTITUTE(SUBSTITUTE(INDEX(PASTE_ALL,$DF279,$L$18)," "," "),CHAR(9)," "),CHAR(10)," "),CHAR(13)," "))))),"")))</f>
        <v/>
      </c>
      <c r="EC279">
        <f>IF($DM279=0,"",IF($L$19=0,"",IFERROR(IF(ISNUMBER(INDEX(PASTE_ALL,$DF279,$L$19)),INDEX(PASTE_ALL,$DF279,$L$19),TRIM(SUBSTITUTE(SUBSTITUTE(SUBSTITUTE(SUBSTITUTE(INDEX(PASTE_ALL,$DF279,$L$19)," "," "),CHAR(9)," "),CHAR(10)," "),CHAR(13)," "))),"")))</f>
        <v/>
      </c>
      <c r="ED279">
        <f>IF($DM279=0,"",MATCH(1,INDEX(EXACT($DH$5:DH279,$DH279)*$DM$5:DM279,0),0))</f>
        <v/>
      </c>
      <c r="EE279">
        <f>IF($DM279=0,0,IF($ED279=$DE279,1,0))</f>
        <v/>
      </c>
      <c r="EF279">
        <f>EF278+$EE279</f>
        <v/>
      </c>
      <c r="EG279">
        <f>IF($DM279=0,"",INDEX($EF$5:$EF$1003,$ED279))</f>
        <v/>
      </c>
      <c r="EH279">
        <f>IF($DM279=0,"",IF($DO279&lt;&gt;"","",IFERROR(LOOKUP(2,1/(($EG$4:EG278=$EG279)*($DO$4:DO278&lt;&gt;"")),$DO$4:DO278),"")))</f>
        <v/>
      </c>
      <c r="EI279">
        <f>IF($DM279=0,"",IF($DO279&lt;&gt;"",$DO279,$EH279))</f>
        <v/>
      </c>
      <c r="EJ279">
        <f>IF($DM279=0,"",IF($EI279="",0,IF(OR(ISNUMBER($EI279),AND(AND(SUBSTITUTE(SUBSTITUTE(SUBSTITUTE(SUBSTITUTE(SUBSTITUTE(SUBSTITUTE(SUBSTITUTE(SUBSTITUTE(SUBSTITUTE(SUBSTITUTE(SUBSTITUTE(SUBSTITUTE(SUBSTITUTE(SUBSTITUTE(UPPER($EI279),"0",""),"1",""),"2",""),"3",""),"4",""),"5",""),"6",""),"7",""),"8",""),"9",""),".",""),"+",""),"-",""),"E","")="",LEN(SUBSTITUTE(SUBSTITUTE(MID(UPPER($EI279),1+OR(LEFT(UPPER($EI279),1)="+",LEFT(UPPER($EI279),1)="-"),999),"E+","E"),"E-","E"))=LEN(SUBSTITUTE(SUBSTITUTE(SUBSTITUTE(SUBSTITUTE(MID(UPPER($EI279),1+OR(LEFT(UPPER($EI279),1)="+",LEFT(UPPER($EI279),1)="-"),999),"E+","E"),"E-","E"),"+",""),"-","")),LEN(UPPER($EI279))-LEN(SUBSTITUTE(UPPER($EI279),"E",""))&lt;2,LEN(UPPER($EI279))-LEN(SUBSTITUTE(UPPER($EI279),".",""))&lt;2,IFERROR(FIND(".",UPPER($EI279)),0)&lt;IFERROR(FIND("E",UPPER($EI279)),999)),ISNUMBER(VALUE($EI279)))),1,2)))</f>
        <v/>
      </c>
      <c r="EK279">
        <f>IF($DM279=0,"",IF($EJ279=1,IF(ISNUMBER($EI279),$EI279,VALUE($EI279)),IF($EJ279=2,$DE279,0)))</f>
        <v/>
      </c>
      <c r="EL279">
        <f>IF($DM279=0,"",COUNTIF($EG$5:$EG$1003,"&lt;"&amp;$EG279)+SUMPRODUCT(($EG$5:$EG$1003=$EG279)*(($EJ$5:$EJ$1003&lt;$EJ279)+($EJ$5:$EJ$1003=$EJ279)*(($EK$5:$EK$1003&lt;$EK279)+($EK$5:$EK$1003=$EK279)*($DE$5:$DE$1003&lt;$DE279))))+1)</f>
        <v/>
      </c>
      <c r="EM279">
        <f>IF($DM279=0,"",$EL279+$EG279-1)</f>
        <v/>
      </c>
      <c r="EN279">
        <f>IF($DM279=0,0,IFERROR(MATCH(1,INDEX(--(TRIM(SUBSTITUTE(SUBSTITUTE(SUBSTITUTE(SUBSTITUTE(LINES_NAME&amp;""," "," "),CHAR(9)," "),CHAR(10)," "),CHAR(13)," "))=$DH279),0),0),0))</f>
        <v/>
      </c>
      <c r="EO279">
        <f>IF($EN279=0,0,IF(OR(UPPER(TRIM(INDEX(LINES_SCHEDULED,$EN279)&amp;""))="YES",UPPER(TRIM(INDEX(LINES_SCHEDULED,$EN279)&amp;""))="Y",UPPER(TRIM(INDEX(LINES_SCHEDULED,$EN279)&amp;""))="X"),1,0))</f>
        <v/>
      </c>
      <c r="EP279">
        <f>IF($DM279=0,"",IF(COUNTIFS($EG$5:$EG$1003,$EG279,$EB$5:$EB$1003,"Ready")&gt;0,"READY",IF(COUNTIFS($EG$5:$EG$1003,$EG279,$EB$5:$EB$1003,"PM")&gt;0,"PM",IF(COUNTIFS($EG$5:$EG$1003,$EG279,$EB$5:$EB$1003,"OT")&gt;0,"OT",""))))</f>
        <v/>
      </c>
      <c r="EQ279">
        <f>IF($EN279=0,"",UPPER(TRIM(INDEX(LINES_STATUS,$EN279)&amp;"")))</f>
        <v/>
      </c>
      <c r="ER279">
        <f>IF($DM279=0,"",IF(OR($EQ279="READY",$EQ279="PM",$EQ279="OT"),$EQ279,$EP279))</f>
        <v/>
      </c>
      <c r="ES279">
        <f>IF($DM279=0,"",IF(AND($DV279&lt;&gt;"",UPPER($DV279)&lt;&gt;"N"),"allergen",IF(ISNUMBER(SEARCH("oil",$DQ279)),"oil",IF(OR(EXACT($DS279,"A662"),EXACT($DS279,"A624")),"bulk",""))))</f>
        <v/>
      </c>
      <c r="ET279">
        <f>IF($DM279=0,"",IF(OR($EA279="",$EA279=0),"",$EA279/100))</f>
        <v/>
      </c>
      <c r="EU279">
        <f>IF(OR($ET279="",$DY279=""),"",INT($DY279*(1-$ET279)+0.5))</f>
        <v/>
      </c>
      <c r="EW279" t="n">
        <v>275</v>
      </c>
      <c r="EX279">
        <f>IFERROR(MATCH($EW279,$EM$5:$EM$1003,0),0)</f>
        <v/>
      </c>
      <c r="EY279">
        <f>IF($EW279&gt;$B$12,"",IF($EX279&gt;0,"row","spacer"))</f>
        <v/>
      </c>
      <c r="EZ279">
        <f>IF(AND($EY279="row",$EY278&lt;&gt;"row"),1,0)</f>
        <v/>
      </c>
      <c r="FA279">
        <f>IF(AND($EY279="row",$EY280&lt;&gt;"row"),1,0)</f>
        <v/>
      </c>
      <c r="FB279">
        <f>IF($EZ279=1,IFERROR(IF(ISNUMBER(INDEX(PASTE_ALL,INDEX($DF$5:$DF$1003,$EX279),$B$37)),INDEX(PASTE_ALL,INDEX($DF$5:$DF$1003,$EX279),$B$37),INDEX($DH$5:$DH$1003,$EX279)),INDEX($DH$5:$DH$1003,$EX279)),"")</f>
        <v/>
      </c>
      <c r="FC279">
        <f>IF($EY279="row",INDEX($ER$5:$ER$1003,$EX279),"")</f>
        <v/>
      </c>
      <c r="FD279">
        <f>IF($EY279="row",INDEX($DN$5:$DN$1003,$EX279),"")</f>
        <v/>
      </c>
      <c r="FE279">
        <f>IF($EY279="row",INDEX($DO$5:$DO$1003,$EX279),"")</f>
        <v/>
      </c>
      <c r="FF279">
        <f>IF($EY279="row",INDEX($DP$5:$DP$1003,$EX279),"")</f>
        <v/>
      </c>
      <c r="FG279">
        <f>IF($EY279="row",INDEX($DQ$5:$DQ$1003,$EX279),"")</f>
        <v/>
      </c>
      <c r="FH279">
        <f>IF($EY279="row",INDEX($DR$5:$DR$1003,$EX279),"")</f>
        <v/>
      </c>
      <c r="FI279">
        <f>IF($EY279="row",INDEX($DS$5:$DS$1003,$EX279),"")</f>
        <v/>
      </c>
      <c r="FJ279">
        <f>IF($EY279="row",INDEX($DT$5:$DT$1003,$EX279),"")</f>
        <v/>
      </c>
      <c r="FK279">
        <f>IF($EY279="row",INDEX($DU$5:$DU$1003,$EX279),"")</f>
        <v/>
      </c>
      <c r="FL279">
        <f>IF($EY279="row",INDEX($DV$5:$DV$1003,$EX279),"")</f>
        <v/>
      </c>
      <c r="FM279">
        <f>IF($EY279="row",INDEX($DW$5:$DW$1003,$EX279),"")</f>
        <v/>
      </c>
      <c r="FN279">
        <f>IF($EY279="row",INDEX($DY$5:$DY$1003,$EX279),"")</f>
        <v/>
      </c>
      <c r="FO279">
        <f>IF($EY279="row",INDEX($EA$5:$EA$1003,$EX279),"")</f>
        <v/>
      </c>
      <c r="FP279">
        <f>IF($EY279="row",INDEX($EC$5:$EC$1003,$EX279),"")</f>
        <v/>
      </c>
      <c r="FQ279">
        <f>IF($EY279="row",INDEX($ET$5:$ET$1003,$EX279),"")</f>
        <v/>
      </c>
      <c r="FR279">
        <f>IF($EY279="row",INDEX($EU$5:$EU$1003,$EX279),"")</f>
        <v/>
      </c>
      <c r="FS279">
        <f>IF(AND($EY279="row",$EY278="row"),IF(OR(INDEX($DT$5:$DT$1003,$EX278)="",INDEX($DT$5:$DT$1003,$EX279)=""),"",IF(NOT(EXACT(INDEX($DT$5:$DT$1003,$EX278),INDEX($DT$5:$DT$1003,$EX279))),"S4",IF(NOT(EXACT(INDEX($DS$5:$DS$1003,$EX278),INDEX($DS$5:$DS$1003,$EX279))),"S3",IF(NOT(EXACT(INDEX($DR$5:$DR$1003,$EX278),INDEX($DR$5:$DR$1003,$EX279))),"S1 Count Change","S1")))),"")</f>
        <v/>
      </c>
      <c r="FT279">
        <f>IF($EY279="row",INDEX($ES$5:$ES$1003,$EX279),"")</f>
        <v/>
      </c>
      <c r="FU279">
        <f>IF($EY279="row",INDEX($EO$5:$EO$1003,$EX279),0)</f>
        <v/>
      </c>
      <c r="FV279">
        <f>IF($FS279="S1 Count Change",1,0)</f>
        <v/>
      </c>
    </row>
    <row r="280">
      <c r="DA280" t="n">
        <v>276</v>
      </c>
      <c r="DB280">
        <f>IF($B$37=0,"",IFERROR(TRIM(SUBSTITUTE(SUBSTITUTE(SUBSTITUTE(SUBSTITUTE(INDEX(PASTE_ALL,276,$B$37)," "," "),CHAR(9)," "),CHAR(10)," "),CHAR(13)," ")),""))</f>
        <v/>
      </c>
      <c r="DC280">
        <f>IF(AND(276&gt;HEADER_ROW,UPPER(DB280)="LEGEND"),1,0)</f>
        <v/>
      </c>
      <c r="DE280" t="n">
        <v>276</v>
      </c>
      <c r="DF280">
        <f>HEADER_ROW+$DE280</f>
        <v/>
      </c>
      <c r="DG280">
        <f>IF(AND($DF280&lt;=1000,$DF280&lt;$B$8),1,0)</f>
        <v/>
      </c>
      <c r="DH280">
        <f>IF($DG280=1,IFERROR(INDEX($DB$5:$DB$1004,$DF280),""),"")</f>
        <v/>
      </c>
      <c r="DI280">
        <f>IF(AND($DG280=1,$DH280&lt;&gt;""),IFERROR(SUBSTITUTE(SUBSTITUTE(TRIM(SUBSTITUTE(SUBSTITUTE(SUBSTITUTE(SUBSTITUTE(IFERROR(INDEX(PASTE_ALL,$DF280,1)&amp;"","")&amp;"␟"&amp;IFERROR(INDEX(PASTE_ALL,$DF280,2)&amp;"","")&amp;"␟"&amp;IFERROR(INDEX(PASTE_ALL,$DF280,3)&amp;"","")&amp;"␟"&amp;IFERROR(INDEX(PASTE_ALL,$DF280,4)&amp;"","")&amp;"␟"&amp;IFERROR(INDEX(PASTE_ALL,$DF280,5)&amp;"","")&amp;"␟"&amp;IFERROR(INDEX(PASTE_ALL,$DF280,6)&amp;"","")&amp;"␟"&amp;IFERROR(INDEX(PASTE_ALL,$DF280,7)&amp;"","")&amp;"␟"&amp;IFERROR(INDEX(PASTE_ALL,$DF280,8)&amp;"","")&amp;"␟"&amp;IFERROR(INDEX(PASTE_ALL,$DF280,9)&amp;"","")&amp;"␟"&amp;IFERROR(INDEX(PASTE_ALL,$DF280,10)&amp;"","")&amp;"␟"&amp;IFERROR(INDEX(PASTE_ALL,$DF280,11)&amp;"","")&amp;"␟"&amp;IFERROR(INDEX(PASTE_ALL,$DF280,12)&amp;"","")&amp;"␟"&amp;IFERROR(INDEX(PASTE_ALL,$DF280,13)&amp;"","")&amp;"␟"&amp;IFERROR(INDEX(PASTE_ALL,$DF280,14)&amp;"","")&amp;"␟"&amp;IFERROR(INDEX(PASTE_ALL,$DF280,15)&amp;"","")&amp;"␟"&amp;IFERROR(INDEX(PASTE_ALL,$DF280,16)&amp;"","")&amp;"␟"&amp;IFERROR(INDEX(PASTE_ALL,$DF280,17)&amp;"","")&amp;"␟"&amp;IFERROR(INDEX(PASTE_ALL,$DF280,18)&amp;"","")&amp;"␟"&amp;IFERROR(INDEX(PASTE_ALL,$DF280,19)&amp;"","")&amp;"␟"&amp;IFERROR(INDEX(PASTE_ALL,$DF280,20)&amp;"","")&amp;"␟"&amp;IFERROR(INDEX(PASTE_ALL,$DF280,21)&amp;"","")&amp;"␟"&amp;IFERROR(INDEX(PASTE_ALL,$DF280,22)&amp;"","")&amp;"␟"&amp;IFERROR(INDEX(PASTE_ALL,$DF280,23)&amp;"","")&amp;"␟"&amp;IFERROR(INDEX(PASTE_ALL,$DF280,24)&amp;"","")&amp;"␟"&amp;IFERROR(INDEX(PASTE_ALL,$DF280,25)&amp;"","")&amp;"␟"&amp;IFERROR(INDEX(PASTE_ALL,$DF280,26)&amp;"","")&amp;"␟"&amp;IFERROR(INDEX(PASTE_ALL,$DF280,27)&amp;"","")&amp;"␟"&amp;IFERROR(INDEX(PASTE_ALL,$DF280,28)&amp;"","")&amp;"␟"&amp;IFERROR(INDEX(PASTE_ALL,$DF280,29)&amp;"","")&amp;"␟"&amp;IFERROR(INDEX(PASTE_ALL,$DF280,30)&amp;"","")&amp;"␟"&amp;IFERROR(INDEX(PASTE_ALL,$DF280,31)&amp;"","")&amp;"␟"&amp;IFERROR(INDEX(PASTE_ALL,$DF280,32)&amp;"","")&amp;"␟"&amp;IFERROR(INDEX(PASTE_ALL,$DF280,33)&amp;"","")&amp;"␟"&amp;IFERROR(INDEX(PASTE_ALL,$DF280,34)&amp;"","")&amp;"␟"&amp;IFERROR(INDEX(PASTE_ALL,$DF280,35)&amp;"","")&amp;"␟"&amp;IFERROR(INDEX(PASTE_ALL,$DF280,36)&amp;"","")&amp;"␟"&amp;IFERROR(INDEX(PASTE_ALL,$DF280,37)&amp;"","")&amp;"␟"&amp;IFERROR(INDEX(PASTE_ALL,$DF280,38)&amp;"","")&amp;"␟"&amp;IFERROR(INDEX(PASTE_ALL,$DF280,39)&amp;"","")&amp;"␟"&amp;IFERROR(INDEX(PASTE_ALL,$DF280,40)&amp;"","")&amp;"␟"&amp;IFERROR(INDEX(PASTE_ALL,$DF280,41)&amp;"","")&amp;"␟"&amp;IFERROR(INDEX(PASTE_ALL,$DF280,42)&amp;"","")&amp;"␟"&amp;IFERROR(INDEX(PASTE_ALL,$DF280,43)&amp;"","")&amp;"␟"&amp;IFERROR(INDEX(PASTE_ALL,$DF280,44)&amp;"","")&amp;"␟"&amp;IFERROR(INDEX(PASTE_ALL,$DF280,45)&amp;"","")&amp;"␟"&amp;IFERROR(INDEX(PASTE_ALL,$DF280,46)&amp;"","")&amp;"␟"&amp;IFERROR(INDEX(PASTE_ALL,$DF280,47)&amp;"","")&amp;"␟"&amp;IFERROR(INDEX(PASTE_ALL,$DF280,48)&amp;"","")&amp;"␟"&amp;IFERROR(INDEX(PASTE_ALL,$DF280,49)&amp;"","")&amp;"␟"&amp;IFERROR(INDEX(PASTE_ALL,$DF280,50)&amp;"","")&amp;"␟"&amp;IFERROR(INDEX(PASTE_ALL,$DF280,51)&amp;"","")&amp;"␟"&amp;IFERROR(INDEX(PASTE_ALL,$DF280,52)&amp;"","")&amp;"␟"&amp;IFERROR(INDEX(PASTE_ALL,$DF280,53)&amp;"","")&amp;"␟"&amp;IFERROR(INDEX(PASTE_ALL,$DF280,54)&amp;"","")&amp;"␟"&amp;IFERROR(INDEX(PASTE_ALL,$DF280,55)&amp;"","")&amp;"␟"&amp;IFERROR(INDEX(PASTE_ALL,$DF280,56)&amp;"","")&amp;"␟"&amp;IFERROR(INDEX(PASTE_ALL,$DF280,57)&amp;"","")&amp;"␟"&amp;IFERROR(INDEX(PASTE_ALL,$DF280,58)&amp;"","")&amp;"␟"&amp;IFERROR(INDEX(PASTE_ALL,$DF280,59)&amp;"","")&amp;"␟"&amp;IFERROR(INDEX(PASTE_ALL,$DF280,60)&amp;"","")," "," "),CHAR(9)," "),CHAR(10)," "),CHAR(13)," "))," ␟","␟"),"␟ ","␟"),"#"&amp;$DE280),"")</f>
        <v/>
      </c>
      <c r="DJ280">
        <f>IF($DI280="",0,IF(SUMPRODUCT(--EXACT($DI$4:DI279,$DI280))&gt;0,1,0))</f>
        <v/>
      </c>
      <c r="DK280">
        <f>IF(AND($DI280&lt;&gt;"",$DJ280=0),1,0)</f>
        <v/>
      </c>
      <c r="DL280">
        <f>DL279+$DK280</f>
        <v/>
      </c>
      <c r="DM280">
        <f>IF(AND($DK280=1,$DL280&lt;=600),1,0)</f>
        <v/>
      </c>
      <c r="DN280">
        <f>IF($DM280=0,"",IF($L$6=0,"",IFERROR(IF(ISNUMBER(INDEX(PASTE_ALL,$DF280,$L$6)),INDEX(PASTE_ALL,$DF280,$L$6),TRIM(SUBSTITUTE(SUBSTITUTE(SUBSTITUTE(SUBSTITUTE(INDEX(PASTE_ALL,$DF280,$L$6)," "," "),CHAR(9)," "),CHAR(10)," "),CHAR(13)," "))),"")))</f>
        <v/>
      </c>
      <c r="DO280">
        <f>IF($DM280=0,"",IF($L$7=0,"",IFERROR(IF(ISNUMBER(INDEX(PASTE_ALL,$DF280,$L$7)),INDEX(PASTE_ALL,$DF280,$L$7),TRIM(SUBSTITUTE(SUBSTITUTE(SUBSTITUTE(SUBSTITUTE(INDEX(PASTE_ALL,$DF280,$L$7)," "," "),CHAR(9)," "),CHAR(10)," "),CHAR(13)," "))),"")))</f>
        <v/>
      </c>
      <c r="DP280">
        <f>IF($DM280=0,"",IF($L$8=0,"",IFERROR(IF(ISNUMBER(INDEX(PASTE_ALL,$DF280,$L$8)),INDEX(PASTE_ALL,$DF280,$L$8),TRIM(SUBSTITUTE(SUBSTITUTE(SUBSTITUTE(SUBSTITUTE(INDEX(PASTE_ALL,$DF280,$L$8)," "," "),CHAR(9)," "),CHAR(10)," "),CHAR(13)," "))),"")))</f>
        <v/>
      </c>
      <c r="DQ280">
        <f>IF($DM280=0,"",IF($L$9=0,"",IFERROR(IF(ISNUMBER(INDEX(PASTE_ALL,$DF280,$L$9)),INDEX(PASTE_ALL,$DF280,$L$9),TRIM(SUBSTITUTE(SUBSTITUTE(SUBSTITUTE(SUBSTITUTE(INDEX(PASTE_ALL,$DF280,$L$9)," "," "),CHAR(9)," "),CHAR(10)," "),CHAR(13)," "))),"")))</f>
        <v/>
      </c>
      <c r="DR280">
        <f>IF($DM280=0,"",IF($L$10=0,"",IFERROR(IF(ISNUMBER(INDEX(PASTE_ALL,$DF280,$L$10)),INDEX(PASTE_ALL,$DF280,$L$10),TRIM(SUBSTITUTE(SUBSTITUTE(SUBSTITUTE(SUBSTITUTE(INDEX(PASTE_ALL,$DF280,$L$10)," "," "),CHAR(9)," "),CHAR(10)," "),CHAR(13)," "))),"")))</f>
        <v/>
      </c>
      <c r="DS280">
        <f>IF($DM280=0,"",IF($L$11=0,"",IFERROR(IF(ISNUMBER(INDEX(PASTE_ALL,$DF280,$L$11)),INDEX(PASTE_ALL,$DF280,$L$11),TRIM(SUBSTITUTE(SUBSTITUTE(SUBSTITUTE(SUBSTITUTE(INDEX(PASTE_ALL,$DF280,$L$11)," "," "),CHAR(9)," "),CHAR(10)," "),CHAR(13)," "))),"")))</f>
        <v/>
      </c>
      <c r="DT280">
        <f>IF($DM280=0,"",IF($L$12=0,"",IFERROR(IF(ISNUMBER(INDEX(PASTE_ALL,$DF280,$L$12)),INDEX(PASTE_ALL,$DF280,$L$12),TRIM(SUBSTITUTE(SUBSTITUTE(SUBSTITUTE(SUBSTITUTE(INDEX(PASTE_ALL,$DF280,$L$12)," "," "),CHAR(9)," "),CHAR(10)," "),CHAR(13)," "))),"")))</f>
        <v/>
      </c>
      <c r="DU280">
        <f>IF($DM280=0,"",IF($L$13=0,"",IFERROR(IF(ISNUMBER(INDEX(PASTE_ALL,$DF280,$L$13)),INDEX(PASTE_ALL,$DF280,$L$13),TRIM(SUBSTITUTE(SUBSTITUTE(SUBSTITUTE(SUBSTITUTE(INDEX(PASTE_ALL,$DF280,$L$13)," "," "),CHAR(9)," "),CHAR(10)," "),CHAR(13)," "))),"")))</f>
        <v/>
      </c>
      <c r="DV280">
        <f>IF($DM280=0,"",IF($L$14=0,"",IFERROR(IF(ISNUMBER(INDEX(PASTE_ALL,$DF280,$L$14)),INDEX(PASTE_ALL,$DF280,$L$14),TRIM(SUBSTITUTE(SUBSTITUTE(SUBSTITUTE(SUBSTITUTE(INDEX(PASTE_ALL,$DF280,$L$14)," "," "),CHAR(9)," "),CHAR(10)," "),CHAR(13)," "))),"")))</f>
        <v/>
      </c>
      <c r="DW280">
        <f>IF($DM280=0,"",IF($L$15=0,"",IFERROR(IF(ISNUMBER(INDEX(PASTE_ALL,$DF280,$L$15)),INDEX(PASTE_ALL,$DF280,$L$15),IF(SUMPRODUCT(--ISNUMBER(FIND({"A","B","C","D","E","F","G","H","I","J","K","L","M","N","O","P","Q","R","S","T","U","V","W","X","Y","Z","0","1","2","3","4","5","6","7","8","9"},UPPER(TRIM(SUBSTITUTE(SUBSTITUTE(SUBSTITUTE(SUBSTITUTE(INDEX(PASTE_ALL,$DF280,$L$15)," "," "),CHAR(9)," "),CHAR(10)," "),CHAR(13)," "))))))&gt;0,TRIM(SUBSTITUTE(SUBSTITUTE(SUBSTITUTE(SUBSTITUTE(INDEX(PASTE_ALL,$DF280,$L$15)," "," "),CHAR(9)," "),CHAR(10)," "),CHAR(13)," ")),"")),"")))</f>
        <v/>
      </c>
      <c r="DX280">
        <f>IF($DM280=0,"",IF($L$16=0,"",IFERROR(IF(ISNUMBER(INDEX(PASTE_ALL,$DF280,$L$16)),INDEX(PASTE_ALL,$DF280,$L$16),SUBSTITUTE(SUBSTITUTE(TRIM(SUBSTITUTE(SUBSTITUTE(SUBSTITUTE(SUBSTITUTE(INDEX(PASTE_ALL,$DF280,$L$16)," "," "),CHAR(9)," "),CHAR(10)," "),CHAR(13)," ")),",",""),"%","")),"")))</f>
        <v/>
      </c>
      <c r="DY280">
        <f>IF($DM280=0,"",IFERROR(IF(ISNUMBER($DX280),$DX280,IF($DX280="","",IF(TRIM($DX280)="",0,IF(AND(AND(SUBSTITUTE(SUBSTITUTE(SUBSTITUTE(SUBSTITUTE(SUBSTITUTE(SUBSTITUTE(SUBSTITUTE(SUBSTITUTE(SUBSTITUTE(SUBSTITUTE(SUBSTITUTE(SUBSTITUTE(SUBSTITUTE(SUBSTITUTE(UPPER(TRIM($DX280)),"0",""),"1",""),"2",""),"3",""),"4",""),"5",""),"6",""),"7",""),"8",""),"9",""),".",""),"+",""),"-",""),"E","")="",LEN(SUBSTITUTE(SUBSTITUTE(MID(UPPER(TRIM($DX280)),1+OR(LEFT(UPPER(TRIM($DX280)),1)="+",LEFT(UPPER(TRIM($DX280)),1)="-"),999),"E+","E"),"E-","E"))=LEN(SUBSTITUTE(SUBSTITUTE(SUBSTITUTE(SUBSTITUTE(MID(UPPER(TRIM($DX280)),1+OR(LEFT(UPPER(TRIM($DX280)),1)="+",LEFT(UPPER(TRIM($DX280)),1)="-"),999),"E+","E"),"E-","E"),"+",""),"-","")),LEN(UPPER(TRIM($DX280)))-LEN(SUBSTITUTE(UPPER(TRIM($DX280)),"E",""))&lt;2,LEN(UPPER(TRIM($DX280)))-LEN(SUBSTITUTE(UPPER(TRIM($DX280)),".",""))&lt;2,IFERROR(FIND(".",UPPER(TRIM($DX280))),0)&lt;IFERROR(FIND("E",UPPER(TRIM($DX280))),999)),ISNUMBER(VALUE(TRIM($DX280)))),VALUE(TRIM($DX280)),"")))),""))</f>
        <v/>
      </c>
      <c r="DZ280">
        <f>IF($DM280=0,"",IF($L$17=0,"",IFERROR(IF(ISNUMBER(INDEX(PASTE_ALL,$DF280,$L$17)),INDEX(PASTE_ALL,$DF280,$L$17),SUBSTITUTE(SUBSTITUTE(TRIM(SUBSTITUTE(SUBSTITUTE(SUBSTITUTE(SUBSTITUTE(INDEX(PASTE_ALL,$DF280,$L$17)," "," "),CHAR(9)," "),CHAR(10)," "),CHAR(13)," ")),",",""),"%","")),"")))</f>
        <v/>
      </c>
      <c r="EA280">
        <f>IF($DM280=0,"",IFERROR(IF(ISNUMBER($DZ280),$DZ280,IF($DZ280="","",IF(TRIM($DZ280)="",0,IF(AND(AND(SUBSTITUTE(SUBSTITUTE(SUBSTITUTE(SUBSTITUTE(SUBSTITUTE(SUBSTITUTE(SUBSTITUTE(SUBSTITUTE(SUBSTITUTE(SUBSTITUTE(SUBSTITUTE(SUBSTITUTE(SUBSTITUTE(SUBSTITUTE(UPPER(TRIM($DZ280)),"0",""),"1",""),"2",""),"3",""),"4",""),"5",""),"6",""),"7",""),"8",""),"9",""),".",""),"+",""),"-",""),"E","")="",LEN(SUBSTITUTE(SUBSTITUTE(MID(UPPER(TRIM($DZ280)),1+OR(LEFT(UPPER(TRIM($DZ280)),1)="+",LEFT(UPPER(TRIM($DZ280)),1)="-"),999),"E+","E"),"E-","E"))=LEN(SUBSTITUTE(SUBSTITUTE(SUBSTITUTE(SUBSTITUTE(MID(UPPER(TRIM($DZ280)),1+OR(LEFT(UPPER(TRIM($DZ280)),1)="+",LEFT(UPPER(TRIM($DZ280)),1)="-"),999),"E+","E"),"E-","E"),"+",""),"-","")),LEN(UPPER(TRIM($DZ280)))-LEN(SUBSTITUTE(UPPER(TRIM($DZ280)),"E",""))&lt;2,LEN(UPPER(TRIM($DZ280)))-LEN(SUBSTITUTE(UPPER(TRIM($DZ280)),".",""))&lt;2,IFERROR(FIND(".",UPPER(TRIM($DZ280))),0)&lt;IFERROR(FIND("E",UPPER(TRIM($DZ280))),999)),ISNUMBER(VALUE(TRIM($DZ280)))),VALUE(TRIM($DZ280)),"")))),""))</f>
        <v/>
      </c>
      <c r="EB280">
        <f>IF($DM280=0,"",IF($L$18=0,"",IFERROR(IF(UPPER(TRIM(SUBSTITUTE(SUBSTITUTE(SUBSTITUTE(SUBSTITUTE(INDEX(PASTE_ALL,$DF280,$L$18)," "," "),CHAR(9)," "),CHAR(10)," "),CHAR(13)," ")))="READY","Ready",IF(UPPER(TRIM(SUBSTITUTE(SUBSTITUTE(SUBSTITUTE(SUBSTITUTE(INDEX(PASTE_ALL,$DF280,$L$18)," "," "),CHAR(9)," "),CHAR(10)," "),CHAR(13)," ")))="PM","PM",IF(OR(UPPER(TRIM(SUBSTITUTE(SUBSTITUTE(SUBSTITUTE(SUBSTITUTE(INDEX(PASTE_ALL,$DF280,$L$18)," "," "),CHAR(9)," "),CHAR(10)," "),CHAR(13)," ")))="OT",UPPER(TRIM(SUBSTITUTE(SUBSTITUTE(SUBSTITUTE(SUBSTITUTE(INDEX(PASTE_ALL,$DF280,$L$18)," "," "),CHAR(9)," "),CHAR(10)," "),CHAR(13)," ")))="OVERTIME",UPPER(TRIM(SUBSTITUTE(SUBSTITUTE(SUBSTITUTE(SUBSTITUTE(INDEX(PASTE_ALL,$DF280,$L$18)," "," "),CHAR(9)," "),CHAR(10)," "),CHAR(13)," ")))="TRIAL"),"OT",TRIM(SUBSTITUTE(SUBSTITUTE(SUBSTITUTE(SUBSTITUTE(INDEX(PASTE_ALL,$DF280,$L$18)," "," "),CHAR(9)," "),CHAR(10)," "),CHAR(13)," "))))),"")))</f>
        <v/>
      </c>
      <c r="EC280">
        <f>IF($DM280=0,"",IF($L$19=0,"",IFERROR(IF(ISNUMBER(INDEX(PASTE_ALL,$DF280,$L$19)),INDEX(PASTE_ALL,$DF280,$L$19),TRIM(SUBSTITUTE(SUBSTITUTE(SUBSTITUTE(SUBSTITUTE(INDEX(PASTE_ALL,$DF280,$L$19)," "," "),CHAR(9)," "),CHAR(10)," "),CHAR(13)," "))),"")))</f>
        <v/>
      </c>
      <c r="ED280">
        <f>IF($DM280=0,"",MATCH(1,INDEX(EXACT($DH$5:DH280,$DH280)*$DM$5:DM280,0),0))</f>
        <v/>
      </c>
      <c r="EE280">
        <f>IF($DM280=0,0,IF($ED280=$DE280,1,0))</f>
        <v/>
      </c>
      <c r="EF280">
        <f>EF279+$EE280</f>
        <v/>
      </c>
      <c r="EG280">
        <f>IF($DM280=0,"",INDEX($EF$5:$EF$1003,$ED280))</f>
        <v/>
      </c>
      <c r="EH280">
        <f>IF($DM280=0,"",IF($DO280&lt;&gt;"","",IFERROR(LOOKUP(2,1/(($EG$4:EG279=$EG280)*($DO$4:DO279&lt;&gt;"")),$DO$4:DO279),"")))</f>
        <v/>
      </c>
      <c r="EI280">
        <f>IF($DM280=0,"",IF($DO280&lt;&gt;"",$DO280,$EH280))</f>
        <v/>
      </c>
      <c r="EJ280">
        <f>IF($DM280=0,"",IF($EI280="",0,IF(OR(ISNUMBER($EI280),AND(AND(SUBSTITUTE(SUBSTITUTE(SUBSTITUTE(SUBSTITUTE(SUBSTITUTE(SUBSTITUTE(SUBSTITUTE(SUBSTITUTE(SUBSTITUTE(SUBSTITUTE(SUBSTITUTE(SUBSTITUTE(SUBSTITUTE(SUBSTITUTE(UPPER($EI280),"0",""),"1",""),"2",""),"3",""),"4",""),"5",""),"6",""),"7",""),"8",""),"9",""),".",""),"+",""),"-",""),"E","")="",LEN(SUBSTITUTE(SUBSTITUTE(MID(UPPER($EI280),1+OR(LEFT(UPPER($EI280),1)="+",LEFT(UPPER($EI280),1)="-"),999),"E+","E"),"E-","E"))=LEN(SUBSTITUTE(SUBSTITUTE(SUBSTITUTE(SUBSTITUTE(MID(UPPER($EI280),1+OR(LEFT(UPPER($EI280),1)="+",LEFT(UPPER($EI280),1)="-"),999),"E+","E"),"E-","E"),"+",""),"-","")),LEN(UPPER($EI280))-LEN(SUBSTITUTE(UPPER($EI280),"E",""))&lt;2,LEN(UPPER($EI280))-LEN(SUBSTITUTE(UPPER($EI280),".",""))&lt;2,IFERROR(FIND(".",UPPER($EI280)),0)&lt;IFERROR(FIND("E",UPPER($EI280)),999)),ISNUMBER(VALUE($EI280)))),1,2)))</f>
        <v/>
      </c>
      <c r="EK280">
        <f>IF($DM280=0,"",IF($EJ280=1,IF(ISNUMBER($EI280),$EI280,VALUE($EI280)),IF($EJ280=2,$DE280,0)))</f>
        <v/>
      </c>
      <c r="EL280">
        <f>IF($DM280=0,"",COUNTIF($EG$5:$EG$1003,"&lt;"&amp;$EG280)+SUMPRODUCT(($EG$5:$EG$1003=$EG280)*(($EJ$5:$EJ$1003&lt;$EJ280)+($EJ$5:$EJ$1003=$EJ280)*(($EK$5:$EK$1003&lt;$EK280)+($EK$5:$EK$1003=$EK280)*($DE$5:$DE$1003&lt;$DE280))))+1)</f>
        <v/>
      </c>
      <c r="EM280">
        <f>IF($DM280=0,"",$EL280+$EG280-1)</f>
        <v/>
      </c>
      <c r="EN280">
        <f>IF($DM280=0,0,IFERROR(MATCH(1,INDEX(--(TRIM(SUBSTITUTE(SUBSTITUTE(SUBSTITUTE(SUBSTITUTE(LINES_NAME&amp;""," "," "),CHAR(9)," "),CHAR(10)," "),CHAR(13)," "))=$DH280),0),0),0))</f>
        <v/>
      </c>
      <c r="EO280">
        <f>IF($EN280=0,0,IF(OR(UPPER(TRIM(INDEX(LINES_SCHEDULED,$EN280)&amp;""))="YES",UPPER(TRIM(INDEX(LINES_SCHEDULED,$EN280)&amp;""))="Y",UPPER(TRIM(INDEX(LINES_SCHEDULED,$EN280)&amp;""))="X"),1,0))</f>
        <v/>
      </c>
      <c r="EP280">
        <f>IF($DM280=0,"",IF(COUNTIFS($EG$5:$EG$1003,$EG280,$EB$5:$EB$1003,"Ready")&gt;0,"READY",IF(COUNTIFS($EG$5:$EG$1003,$EG280,$EB$5:$EB$1003,"PM")&gt;0,"PM",IF(COUNTIFS($EG$5:$EG$1003,$EG280,$EB$5:$EB$1003,"OT")&gt;0,"OT",""))))</f>
        <v/>
      </c>
      <c r="EQ280">
        <f>IF($EN280=0,"",UPPER(TRIM(INDEX(LINES_STATUS,$EN280)&amp;"")))</f>
        <v/>
      </c>
      <c r="ER280">
        <f>IF($DM280=0,"",IF(OR($EQ280="READY",$EQ280="PM",$EQ280="OT"),$EQ280,$EP280))</f>
        <v/>
      </c>
      <c r="ES280">
        <f>IF($DM280=0,"",IF(AND($DV280&lt;&gt;"",UPPER($DV280)&lt;&gt;"N"),"allergen",IF(ISNUMBER(SEARCH("oil",$DQ280)),"oil",IF(OR(EXACT($DS280,"A662"),EXACT($DS280,"A624")),"bulk",""))))</f>
        <v/>
      </c>
      <c r="ET280">
        <f>IF($DM280=0,"",IF(OR($EA280="",$EA280=0),"",$EA280/100))</f>
        <v/>
      </c>
      <c r="EU280">
        <f>IF(OR($ET280="",$DY280=""),"",INT($DY280*(1-$ET280)+0.5))</f>
        <v/>
      </c>
      <c r="EW280" t="n">
        <v>276</v>
      </c>
      <c r="EX280">
        <f>IFERROR(MATCH($EW280,$EM$5:$EM$1003,0),0)</f>
        <v/>
      </c>
      <c r="EY280">
        <f>IF($EW280&gt;$B$12,"",IF($EX280&gt;0,"row","spacer"))</f>
        <v/>
      </c>
      <c r="EZ280">
        <f>IF(AND($EY280="row",$EY279&lt;&gt;"row"),1,0)</f>
        <v/>
      </c>
      <c r="FA280">
        <f>IF(AND($EY280="row",$EY281&lt;&gt;"row"),1,0)</f>
        <v/>
      </c>
      <c r="FB280">
        <f>IF($EZ280=1,IFERROR(IF(ISNUMBER(INDEX(PASTE_ALL,INDEX($DF$5:$DF$1003,$EX280),$B$37)),INDEX(PASTE_ALL,INDEX($DF$5:$DF$1003,$EX280),$B$37),INDEX($DH$5:$DH$1003,$EX280)),INDEX($DH$5:$DH$1003,$EX280)),"")</f>
        <v/>
      </c>
      <c r="FC280">
        <f>IF($EY280="row",INDEX($ER$5:$ER$1003,$EX280),"")</f>
        <v/>
      </c>
      <c r="FD280">
        <f>IF($EY280="row",INDEX($DN$5:$DN$1003,$EX280),"")</f>
        <v/>
      </c>
      <c r="FE280">
        <f>IF($EY280="row",INDEX($DO$5:$DO$1003,$EX280),"")</f>
        <v/>
      </c>
      <c r="FF280">
        <f>IF($EY280="row",INDEX($DP$5:$DP$1003,$EX280),"")</f>
        <v/>
      </c>
      <c r="FG280">
        <f>IF($EY280="row",INDEX($DQ$5:$DQ$1003,$EX280),"")</f>
        <v/>
      </c>
      <c r="FH280">
        <f>IF($EY280="row",INDEX($DR$5:$DR$1003,$EX280),"")</f>
        <v/>
      </c>
      <c r="FI280">
        <f>IF($EY280="row",INDEX($DS$5:$DS$1003,$EX280),"")</f>
        <v/>
      </c>
      <c r="FJ280">
        <f>IF($EY280="row",INDEX($DT$5:$DT$1003,$EX280),"")</f>
        <v/>
      </c>
      <c r="FK280">
        <f>IF($EY280="row",INDEX($DU$5:$DU$1003,$EX280),"")</f>
        <v/>
      </c>
      <c r="FL280">
        <f>IF($EY280="row",INDEX($DV$5:$DV$1003,$EX280),"")</f>
        <v/>
      </c>
      <c r="FM280">
        <f>IF($EY280="row",INDEX($DW$5:$DW$1003,$EX280),"")</f>
        <v/>
      </c>
      <c r="FN280">
        <f>IF($EY280="row",INDEX($DY$5:$DY$1003,$EX280),"")</f>
        <v/>
      </c>
      <c r="FO280">
        <f>IF($EY280="row",INDEX($EA$5:$EA$1003,$EX280),"")</f>
        <v/>
      </c>
      <c r="FP280">
        <f>IF($EY280="row",INDEX($EC$5:$EC$1003,$EX280),"")</f>
        <v/>
      </c>
      <c r="FQ280">
        <f>IF($EY280="row",INDEX($ET$5:$ET$1003,$EX280),"")</f>
        <v/>
      </c>
      <c r="FR280">
        <f>IF($EY280="row",INDEX($EU$5:$EU$1003,$EX280),"")</f>
        <v/>
      </c>
      <c r="FS280">
        <f>IF(AND($EY280="row",$EY279="row"),IF(OR(INDEX($DT$5:$DT$1003,$EX279)="",INDEX($DT$5:$DT$1003,$EX280)=""),"",IF(NOT(EXACT(INDEX($DT$5:$DT$1003,$EX279),INDEX($DT$5:$DT$1003,$EX280))),"S4",IF(NOT(EXACT(INDEX($DS$5:$DS$1003,$EX279),INDEX($DS$5:$DS$1003,$EX280))),"S3",IF(NOT(EXACT(INDEX($DR$5:$DR$1003,$EX279),INDEX($DR$5:$DR$1003,$EX280))),"S1 Count Change","S1")))),"")</f>
        <v/>
      </c>
      <c r="FT280">
        <f>IF($EY280="row",INDEX($ES$5:$ES$1003,$EX280),"")</f>
        <v/>
      </c>
      <c r="FU280">
        <f>IF($EY280="row",INDEX($EO$5:$EO$1003,$EX280),0)</f>
        <v/>
      </c>
      <c r="FV280">
        <f>IF($FS280="S1 Count Change",1,0)</f>
        <v/>
      </c>
    </row>
    <row r="281">
      <c r="DA281" t="n">
        <v>277</v>
      </c>
      <c r="DB281">
        <f>IF($B$37=0,"",IFERROR(TRIM(SUBSTITUTE(SUBSTITUTE(SUBSTITUTE(SUBSTITUTE(INDEX(PASTE_ALL,277,$B$37)," "," "),CHAR(9)," "),CHAR(10)," "),CHAR(13)," ")),""))</f>
        <v/>
      </c>
      <c r="DC281">
        <f>IF(AND(277&gt;HEADER_ROW,UPPER(DB281)="LEGEND"),1,0)</f>
        <v/>
      </c>
      <c r="DE281" t="n">
        <v>277</v>
      </c>
      <c r="DF281">
        <f>HEADER_ROW+$DE281</f>
        <v/>
      </c>
      <c r="DG281">
        <f>IF(AND($DF281&lt;=1000,$DF281&lt;$B$8),1,0)</f>
        <v/>
      </c>
      <c r="DH281">
        <f>IF($DG281=1,IFERROR(INDEX($DB$5:$DB$1004,$DF281),""),"")</f>
        <v/>
      </c>
      <c r="DI281">
        <f>IF(AND($DG281=1,$DH281&lt;&gt;""),IFERROR(SUBSTITUTE(SUBSTITUTE(TRIM(SUBSTITUTE(SUBSTITUTE(SUBSTITUTE(SUBSTITUTE(IFERROR(INDEX(PASTE_ALL,$DF281,1)&amp;"","")&amp;"␟"&amp;IFERROR(INDEX(PASTE_ALL,$DF281,2)&amp;"","")&amp;"␟"&amp;IFERROR(INDEX(PASTE_ALL,$DF281,3)&amp;"","")&amp;"␟"&amp;IFERROR(INDEX(PASTE_ALL,$DF281,4)&amp;"","")&amp;"␟"&amp;IFERROR(INDEX(PASTE_ALL,$DF281,5)&amp;"","")&amp;"␟"&amp;IFERROR(INDEX(PASTE_ALL,$DF281,6)&amp;"","")&amp;"␟"&amp;IFERROR(INDEX(PASTE_ALL,$DF281,7)&amp;"","")&amp;"␟"&amp;IFERROR(INDEX(PASTE_ALL,$DF281,8)&amp;"","")&amp;"␟"&amp;IFERROR(INDEX(PASTE_ALL,$DF281,9)&amp;"","")&amp;"␟"&amp;IFERROR(INDEX(PASTE_ALL,$DF281,10)&amp;"","")&amp;"␟"&amp;IFERROR(INDEX(PASTE_ALL,$DF281,11)&amp;"","")&amp;"␟"&amp;IFERROR(INDEX(PASTE_ALL,$DF281,12)&amp;"","")&amp;"␟"&amp;IFERROR(INDEX(PASTE_ALL,$DF281,13)&amp;"","")&amp;"␟"&amp;IFERROR(INDEX(PASTE_ALL,$DF281,14)&amp;"","")&amp;"␟"&amp;IFERROR(INDEX(PASTE_ALL,$DF281,15)&amp;"","")&amp;"␟"&amp;IFERROR(INDEX(PASTE_ALL,$DF281,16)&amp;"","")&amp;"␟"&amp;IFERROR(INDEX(PASTE_ALL,$DF281,17)&amp;"","")&amp;"␟"&amp;IFERROR(INDEX(PASTE_ALL,$DF281,18)&amp;"","")&amp;"␟"&amp;IFERROR(INDEX(PASTE_ALL,$DF281,19)&amp;"","")&amp;"␟"&amp;IFERROR(INDEX(PASTE_ALL,$DF281,20)&amp;"","")&amp;"␟"&amp;IFERROR(INDEX(PASTE_ALL,$DF281,21)&amp;"","")&amp;"␟"&amp;IFERROR(INDEX(PASTE_ALL,$DF281,22)&amp;"","")&amp;"␟"&amp;IFERROR(INDEX(PASTE_ALL,$DF281,23)&amp;"","")&amp;"␟"&amp;IFERROR(INDEX(PASTE_ALL,$DF281,24)&amp;"","")&amp;"␟"&amp;IFERROR(INDEX(PASTE_ALL,$DF281,25)&amp;"","")&amp;"␟"&amp;IFERROR(INDEX(PASTE_ALL,$DF281,26)&amp;"","")&amp;"␟"&amp;IFERROR(INDEX(PASTE_ALL,$DF281,27)&amp;"","")&amp;"␟"&amp;IFERROR(INDEX(PASTE_ALL,$DF281,28)&amp;"","")&amp;"␟"&amp;IFERROR(INDEX(PASTE_ALL,$DF281,29)&amp;"","")&amp;"␟"&amp;IFERROR(INDEX(PASTE_ALL,$DF281,30)&amp;"","")&amp;"␟"&amp;IFERROR(INDEX(PASTE_ALL,$DF281,31)&amp;"","")&amp;"␟"&amp;IFERROR(INDEX(PASTE_ALL,$DF281,32)&amp;"","")&amp;"␟"&amp;IFERROR(INDEX(PASTE_ALL,$DF281,33)&amp;"","")&amp;"␟"&amp;IFERROR(INDEX(PASTE_ALL,$DF281,34)&amp;"","")&amp;"␟"&amp;IFERROR(INDEX(PASTE_ALL,$DF281,35)&amp;"","")&amp;"␟"&amp;IFERROR(INDEX(PASTE_ALL,$DF281,36)&amp;"","")&amp;"␟"&amp;IFERROR(INDEX(PASTE_ALL,$DF281,37)&amp;"","")&amp;"␟"&amp;IFERROR(INDEX(PASTE_ALL,$DF281,38)&amp;"","")&amp;"␟"&amp;IFERROR(INDEX(PASTE_ALL,$DF281,39)&amp;"","")&amp;"␟"&amp;IFERROR(INDEX(PASTE_ALL,$DF281,40)&amp;"","")&amp;"␟"&amp;IFERROR(INDEX(PASTE_ALL,$DF281,41)&amp;"","")&amp;"␟"&amp;IFERROR(INDEX(PASTE_ALL,$DF281,42)&amp;"","")&amp;"␟"&amp;IFERROR(INDEX(PASTE_ALL,$DF281,43)&amp;"","")&amp;"␟"&amp;IFERROR(INDEX(PASTE_ALL,$DF281,44)&amp;"","")&amp;"␟"&amp;IFERROR(INDEX(PASTE_ALL,$DF281,45)&amp;"","")&amp;"␟"&amp;IFERROR(INDEX(PASTE_ALL,$DF281,46)&amp;"","")&amp;"␟"&amp;IFERROR(INDEX(PASTE_ALL,$DF281,47)&amp;"","")&amp;"␟"&amp;IFERROR(INDEX(PASTE_ALL,$DF281,48)&amp;"","")&amp;"␟"&amp;IFERROR(INDEX(PASTE_ALL,$DF281,49)&amp;"","")&amp;"␟"&amp;IFERROR(INDEX(PASTE_ALL,$DF281,50)&amp;"","")&amp;"␟"&amp;IFERROR(INDEX(PASTE_ALL,$DF281,51)&amp;"","")&amp;"␟"&amp;IFERROR(INDEX(PASTE_ALL,$DF281,52)&amp;"","")&amp;"␟"&amp;IFERROR(INDEX(PASTE_ALL,$DF281,53)&amp;"","")&amp;"␟"&amp;IFERROR(INDEX(PASTE_ALL,$DF281,54)&amp;"","")&amp;"␟"&amp;IFERROR(INDEX(PASTE_ALL,$DF281,55)&amp;"","")&amp;"␟"&amp;IFERROR(INDEX(PASTE_ALL,$DF281,56)&amp;"","")&amp;"␟"&amp;IFERROR(INDEX(PASTE_ALL,$DF281,57)&amp;"","")&amp;"␟"&amp;IFERROR(INDEX(PASTE_ALL,$DF281,58)&amp;"","")&amp;"␟"&amp;IFERROR(INDEX(PASTE_ALL,$DF281,59)&amp;"","")&amp;"␟"&amp;IFERROR(INDEX(PASTE_ALL,$DF281,60)&amp;"","")," "," "),CHAR(9)," "),CHAR(10)," "),CHAR(13)," "))," ␟","␟"),"␟ ","␟"),"#"&amp;$DE281),"")</f>
        <v/>
      </c>
      <c r="DJ281">
        <f>IF($DI281="",0,IF(SUMPRODUCT(--EXACT($DI$4:DI280,$DI281))&gt;0,1,0))</f>
        <v/>
      </c>
      <c r="DK281">
        <f>IF(AND($DI281&lt;&gt;"",$DJ281=0),1,0)</f>
        <v/>
      </c>
      <c r="DL281">
        <f>DL280+$DK281</f>
        <v/>
      </c>
      <c r="DM281">
        <f>IF(AND($DK281=1,$DL281&lt;=600),1,0)</f>
        <v/>
      </c>
      <c r="DN281">
        <f>IF($DM281=0,"",IF($L$6=0,"",IFERROR(IF(ISNUMBER(INDEX(PASTE_ALL,$DF281,$L$6)),INDEX(PASTE_ALL,$DF281,$L$6),TRIM(SUBSTITUTE(SUBSTITUTE(SUBSTITUTE(SUBSTITUTE(INDEX(PASTE_ALL,$DF281,$L$6)," "," "),CHAR(9)," "),CHAR(10)," "),CHAR(13)," "))),"")))</f>
        <v/>
      </c>
      <c r="DO281">
        <f>IF($DM281=0,"",IF($L$7=0,"",IFERROR(IF(ISNUMBER(INDEX(PASTE_ALL,$DF281,$L$7)),INDEX(PASTE_ALL,$DF281,$L$7),TRIM(SUBSTITUTE(SUBSTITUTE(SUBSTITUTE(SUBSTITUTE(INDEX(PASTE_ALL,$DF281,$L$7)," "," "),CHAR(9)," "),CHAR(10)," "),CHAR(13)," "))),"")))</f>
        <v/>
      </c>
      <c r="DP281">
        <f>IF($DM281=0,"",IF($L$8=0,"",IFERROR(IF(ISNUMBER(INDEX(PASTE_ALL,$DF281,$L$8)),INDEX(PASTE_ALL,$DF281,$L$8),TRIM(SUBSTITUTE(SUBSTITUTE(SUBSTITUTE(SUBSTITUTE(INDEX(PASTE_ALL,$DF281,$L$8)," "," "),CHAR(9)," "),CHAR(10)," "),CHAR(13)," "))),"")))</f>
        <v/>
      </c>
      <c r="DQ281">
        <f>IF($DM281=0,"",IF($L$9=0,"",IFERROR(IF(ISNUMBER(INDEX(PASTE_ALL,$DF281,$L$9)),INDEX(PASTE_ALL,$DF281,$L$9),TRIM(SUBSTITUTE(SUBSTITUTE(SUBSTITUTE(SUBSTITUTE(INDEX(PASTE_ALL,$DF281,$L$9)," "," "),CHAR(9)," "),CHAR(10)," "),CHAR(13)," "))),"")))</f>
        <v/>
      </c>
      <c r="DR281">
        <f>IF($DM281=0,"",IF($L$10=0,"",IFERROR(IF(ISNUMBER(INDEX(PASTE_ALL,$DF281,$L$10)),INDEX(PASTE_ALL,$DF281,$L$10),TRIM(SUBSTITUTE(SUBSTITUTE(SUBSTITUTE(SUBSTITUTE(INDEX(PASTE_ALL,$DF281,$L$10)," "," "),CHAR(9)," "),CHAR(10)," "),CHAR(13)," "))),"")))</f>
        <v/>
      </c>
      <c r="DS281">
        <f>IF($DM281=0,"",IF($L$11=0,"",IFERROR(IF(ISNUMBER(INDEX(PASTE_ALL,$DF281,$L$11)),INDEX(PASTE_ALL,$DF281,$L$11),TRIM(SUBSTITUTE(SUBSTITUTE(SUBSTITUTE(SUBSTITUTE(INDEX(PASTE_ALL,$DF281,$L$11)," "," "),CHAR(9)," "),CHAR(10)," "),CHAR(13)," "))),"")))</f>
        <v/>
      </c>
      <c r="DT281">
        <f>IF($DM281=0,"",IF($L$12=0,"",IFERROR(IF(ISNUMBER(INDEX(PASTE_ALL,$DF281,$L$12)),INDEX(PASTE_ALL,$DF281,$L$12),TRIM(SUBSTITUTE(SUBSTITUTE(SUBSTITUTE(SUBSTITUTE(INDEX(PASTE_ALL,$DF281,$L$12)," "," "),CHAR(9)," "),CHAR(10)," "),CHAR(13)," "))),"")))</f>
        <v/>
      </c>
      <c r="DU281">
        <f>IF($DM281=0,"",IF($L$13=0,"",IFERROR(IF(ISNUMBER(INDEX(PASTE_ALL,$DF281,$L$13)),INDEX(PASTE_ALL,$DF281,$L$13),TRIM(SUBSTITUTE(SUBSTITUTE(SUBSTITUTE(SUBSTITUTE(INDEX(PASTE_ALL,$DF281,$L$13)," "," "),CHAR(9)," "),CHAR(10)," "),CHAR(13)," "))),"")))</f>
        <v/>
      </c>
      <c r="DV281">
        <f>IF($DM281=0,"",IF($L$14=0,"",IFERROR(IF(ISNUMBER(INDEX(PASTE_ALL,$DF281,$L$14)),INDEX(PASTE_ALL,$DF281,$L$14),TRIM(SUBSTITUTE(SUBSTITUTE(SUBSTITUTE(SUBSTITUTE(INDEX(PASTE_ALL,$DF281,$L$14)," "," "),CHAR(9)," "),CHAR(10)," "),CHAR(13)," "))),"")))</f>
        <v/>
      </c>
      <c r="DW281">
        <f>IF($DM281=0,"",IF($L$15=0,"",IFERROR(IF(ISNUMBER(INDEX(PASTE_ALL,$DF281,$L$15)),INDEX(PASTE_ALL,$DF281,$L$15),IF(SUMPRODUCT(--ISNUMBER(FIND({"A","B","C","D","E","F","G","H","I","J","K","L","M","N","O","P","Q","R","S","T","U","V","W","X","Y","Z","0","1","2","3","4","5","6","7","8","9"},UPPER(TRIM(SUBSTITUTE(SUBSTITUTE(SUBSTITUTE(SUBSTITUTE(INDEX(PASTE_ALL,$DF281,$L$15)," "," "),CHAR(9)," "),CHAR(10)," "),CHAR(13)," "))))))&gt;0,TRIM(SUBSTITUTE(SUBSTITUTE(SUBSTITUTE(SUBSTITUTE(INDEX(PASTE_ALL,$DF281,$L$15)," "," "),CHAR(9)," "),CHAR(10)," "),CHAR(13)," ")),"")),"")))</f>
        <v/>
      </c>
      <c r="DX281">
        <f>IF($DM281=0,"",IF($L$16=0,"",IFERROR(IF(ISNUMBER(INDEX(PASTE_ALL,$DF281,$L$16)),INDEX(PASTE_ALL,$DF281,$L$16),SUBSTITUTE(SUBSTITUTE(TRIM(SUBSTITUTE(SUBSTITUTE(SUBSTITUTE(SUBSTITUTE(INDEX(PASTE_ALL,$DF281,$L$16)," "," "),CHAR(9)," "),CHAR(10)," "),CHAR(13)," ")),",",""),"%","")),"")))</f>
        <v/>
      </c>
      <c r="DY281">
        <f>IF($DM281=0,"",IFERROR(IF(ISNUMBER($DX281),$DX281,IF($DX281="","",IF(TRIM($DX281)="",0,IF(AND(AND(SUBSTITUTE(SUBSTITUTE(SUBSTITUTE(SUBSTITUTE(SUBSTITUTE(SUBSTITUTE(SUBSTITUTE(SUBSTITUTE(SUBSTITUTE(SUBSTITUTE(SUBSTITUTE(SUBSTITUTE(SUBSTITUTE(SUBSTITUTE(UPPER(TRIM($DX281)),"0",""),"1",""),"2",""),"3",""),"4",""),"5",""),"6",""),"7",""),"8",""),"9",""),".",""),"+",""),"-",""),"E","")="",LEN(SUBSTITUTE(SUBSTITUTE(MID(UPPER(TRIM($DX281)),1+OR(LEFT(UPPER(TRIM($DX281)),1)="+",LEFT(UPPER(TRIM($DX281)),1)="-"),999),"E+","E"),"E-","E"))=LEN(SUBSTITUTE(SUBSTITUTE(SUBSTITUTE(SUBSTITUTE(MID(UPPER(TRIM($DX281)),1+OR(LEFT(UPPER(TRIM($DX281)),1)="+",LEFT(UPPER(TRIM($DX281)),1)="-"),999),"E+","E"),"E-","E"),"+",""),"-","")),LEN(UPPER(TRIM($DX281)))-LEN(SUBSTITUTE(UPPER(TRIM($DX281)),"E",""))&lt;2,LEN(UPPER(TRIM($DX281)))-LEN(SUBSTITUTE(UPPER(TRIM($DX281)),".",""))&lt;2,IFERROR(FIND(".",UPPER(TRIM($DX281))),0)&lt;IFERROR(FIND("E",UPPER(TRIM($DX281))),999)),ISNUMBER(VALUE(TRIM($DX281)))),VALUE(TRIM($DX281)),"")))),""))</f>
        <v/>
      </c>
      <c r="DZ281">
        <f>IF($DM281=0,"",IF($L$17=0,"",IFERROR(IF(ISNUMBER(INDEX(PASTE_ALL,$DF281,$L$17)),INDEX(PASTE_ALL,$DF281,$L$17),SUBSTITUTE(SUBSTITUTE(TRIM(SUBSTITUTE(SUBSTITUTE(SUBSTITUTE(SUBSTITUTE(INDEX(PASTE_ALL,$DF281,$L$17)," "," "),CHAR(9)," "),CHAR(10)," "),CHAR(13)," ")),",",""),"%","")),"")))</f>
        <v/>
      </c>
      <c r="EA281">
        <f>IF($DM281=0,"",IFERROR(IF(ISNUMBER($DZ281),$DZ281,IF($DZ281="","",IF(TRIM($DZ281)="",0,IF(AND(AND(SUBSTITUTE(SUBSTITUTE(SUBSTITUTE(SUBSTITUTE(SUBSTITUTE(SUBSTITUTE(SUBSTITUTE(SUBSTITUTE(SUBSTITUTE(SUBSTITUTE(SUBSTITUTE(SUBSTITUTE(SUBSTITUTE(SUBSTITUTE(UPPER(TRIM($DZ281)),"0",""),"1",""),"2",""),"3",""),"4",""),"5",""),"6",""),"7",""),"8",""),"9",""),".",""),"+",""),"-",""),"E","")="",LEN(SUBSTITUTE(SUBSTITUTE(MID(UPPER(TRIM($DZ281)),1+OR(LEFT(UPPER(TRIM($DZ281)),1)="+",LEFT(UPPER(TRIM($DZ281)),1)="-"),999),"E+","E"),"E-","E"))=LEN(SUBSTITUTE(SUBSTITUTE(SUBSTITUTE(SUBSTITUTE(MID(UPPER(TRIM($DZ281)),1+OR(LEFT(UPPER(TRIM($DZ281)),1)="+",LEFT(UPPER(TRIM($DZ281)),1)="-"),999),"E+","E"),"E-","E"),"+",""),"-","")),LEN(UPPER(TRIM($DZ281)))-LEN(SUBSTITUTE(UPPER(TRIM($DZ281)),"E",""))&lt;2,LEN(UPPER(TRIM($DZ281)))-LEN(SUBSTITUTE(UPPER(TRIM($DZ281)),".",""))&lt;2,IFERROR(FIND(".",UPPER(TRIM($DZ281))),0)&lt;IFERROR(FIND("E",UPPER(TRIM($DZ281))),999)),ISNUMBER(VALUE(TRIM($DZ281)))),VALUE(TRIM($DZ281)),"")))),""))</f>
        <v/>
      </c>
      <c r="EB281">
        <f>IF($DM281=0,"",IF($L$18=0,"",IFERROR(IF(UPPER(TRIM(SUBSTITUTE(SUBSTITUTE(SUBSTITUTE(SUBSTITUTE(INDEX(PASTE_ALL,$DF281,$L$18)," "," "),CHAR(9)," "),CHAR(10)," "),CHAR(13)," ")))="READY","Ready",IF(UPPER(TRIM(SUBSTITUTE(SUBSTITUTE(SUBSTITUTE(SUBSTITUTE(INDEX(PASTE_ALL,$DF281,$L$18)," "," "),CHAR(9)," "),CHAR(10)," "),CHAR(13)," ")))="PM","PM",IF(OR(UPPER(TRIM(SUBSTITUTE(SUBSTITUTE(SUBSTITUTE(SUBSTITUTE(INDEX(PASTE_ALL,$DF281,$L$18)," "," "),CHAR(9)," "),CHAR(10)," "),CHAR(13)," ")))="OT",UPPER(TRIM(SUBSTITUTE(SUBSTITUTE(SUBSTITUTE(SUBSTITUTE(INDEX(PASTE_ALL,$DF281,$L$18)," "," "),CHAR(9)," "),CHAR(10)," "),CHAR(13)," ")))="OVERTIME",UPPER(TRIM(SUBSTITUTE(SUBSTITUTE(SUBSTITUTE(SUBSTITUTE(INDEX(PASTE_ALL,$DF281,$L$18)," "," "),CHAR(9)," "),CHAR(10)," "),CHAR(13)," ")))="TRIAL"),"OT",TRIM(SUBSTITUTE(SUBSTITUTE(SUBSTITUTE(SUBSTITUTE(INDEX(PASTE_ALL,$DF281,$L$18)," "," "),CHAR(9)," "),CHAR(10)," "),CHAR(13)," "))))),"")))</f>
        <v/>
      </c>
      <c r="EC281">
        <f>IF($DM281=0,"",IF($L$19=0,"",IFERROR(IF(ISNUMBER(INDEX(PASTE_ALL,$DF281,$L$19)),INDEX(PASTE_ALL,$DF281,$L$19),TRIM(SUBSTITUTE(SUBSTITUTE(SUBSTITUTE(SUBSTITUTE(INDEX(PASTE_ALL,$DF281,$L$19)," "," "),CHAR(9)," "),CHAR(10)," "),CHAR(13)," "))),"")))</f>
        <v/>
      </c>
      <c r="ED281">
        <f>IF($DM281=0,"",MATCH(1,INDEX(EXACT($DH$5:DH281,$DH281)*$DM$5:DM281,0),0))</f>
        <v/>
      </c>
      <c r="EE281">
        <f>IF($DM281=0,0,IF($ED281=$DE281,1,0))</f>
        <v/>
      </c>
      <c r="EF281">
        <f>EF280+$EE281</f>
        <v/>
      </c>
      <c r="EG281">
        <f>IF($DM281=0,"",INDEX($EF$5:$EF$1003,$ED281))</f>
        <v/>
      </c>
      <c r="EH281">
        <f>IF($DM281=0,"",IF($DO281&lt;&gt;"","",IFERROR(LOOKUP(2,1/(($EG$4:EG280=$EG281)*($DO$4:DO280&lt;&gt;"")),$DO$4:DO280),"")))</f>
        <v/>
      </c>
      <c r="EI281">
        <f>IF($DM281=0,"",IF($DO281&lt;&gt;"",$DO281,$EH281))</f>
        <v/>
      </c>
      <c r="EJ281">
        <f>IF($DM281=0,"",IF($EI281="",0,IF(OR(ISNUMBER($EI281),AND(AND(SUBSTITUTE(SUBSTITUTE(SUBSTITUTE(SUBSTITUTE(SUBSTITUTE(SUBSTITUTE(SUBSTITUTE(SUBSTITUTE(SUBSTITUTE(SUBSTITUTE(SUBSTITUTE(SUBSTITUTE(SUBSTITUTE(SUBSTITUTE(UPPER($EI281),"0",""),"1",""),"2",""),"3",""),"4",""),"5",""),"6",""),"7",""),"8",""),"9",""),".",""),"+",""),"-",""),"E","")="",LEN(SUBSTITUTE(SUBSTITUTE(MID(UPPER($EI281),1+OR(LEFT(UPPER($EI281),1)="+",LEFT(UPPER($EI281),1)="-"),999),"E+","E"),"E-","E"))=LEN(SUBSTITUTE(SUBSTITUTE(SUBSTITUTE(SUBSTITUTE(MID(UPPER($EI281),1+OR(LEFT(UPPER($EI281),1)="+",LEFT(UPPER($EI281),1)="-"),999),"E+","E"),"E-","E"),"+",""),"-","")),LEN(UPPER($EI281))-LEN(SUBSTITUTE(UPPER($EI281),"E",""))&lt;2,LEN(UPPER($EI281))-LEN(SUBSTITUTE(UPPER($EI281),".",""))&lt;2,IFERROR(FIND(".",UPPER($EI281)),0)&lt;IFERROR(FIND("E",UPPER($EI281)),999)),ISNUMBER(VALUE($EI281)))),1,2)))</f>
        <v/>
      </c>
      <c r="EK281">
        <f>IF($DM281=0,"",IF($EJ281=1,IF(ISNUMBER($EI281),$EI281,VALUE($EI281)),IF($EJ281=2,$DE281,0)))</f>
        <v/>
      </c>
      <c r="EL281">
        <f>IF($DM281=0,"",COUNTIF($EG$5:$EG$1003,"&lt;"&amp;$EG281)+SUMPRODUCT(($EG$5:$EG$1003=$EG281)*(($EJ$5:$EJ$1003&lt;$EJ281)+($EJ$5:$EJ$1003=$EJ281)*(($EK$5:$EK$1003&lt;$EK281)+($EK$5:$EK$1003=$EK281)*($DE$5:$DE$1003&lt;$DE281))))+1)</f>
        <v/>
      </c>
      <c r="EM281">
        <f>IF($DM281=0,"",$EL281+$EG281-1)</f>
        <v/>
      </c>
      <c r="EN281">
        <f>IF($DM281=0,0,IFERROR(MATCH(1,INDEX(--(TRIM(SUBSTITUTE(SUBSTITUTE(SUBSTITUTE(SUBSTITUTE(LINES_NAME&amp;""," "," "),CHAR(9)," "),CHAR(10)," "),CHAR(13)," "))=$DH281),0),0),0))</f>
        <v/>
      </c>
      <c r="EO281">
        <f>IF($EN281=0,0,IF(OR(UPPER(TRIM(INDEX(LINES_SCHEDULED,$EN281)&amp;""))="YES",UPPER(TRIM(INDEX(LINES_SCHEDULED,$EN281)&amp;""))="Y",UPPER(TRIM(INDEX(LINES_SCHEDULED,$EN281)&amp;""))="X"),1,0))</f>
        <v/>
      </c>
      <c r="EP281">
        <f>IF($DM281=0,"",IF(COUNTIFS($EG$5:$EG$1003,$EG281,$EB$5:$EB$1003,"Ready")&gt;0,"READY",IF(COUNTIFS($EG$5:$EG$1003,$EG281,$EB$5:$EB$1003,"PM")&gt;0,"PM",IF(COUNTIFS($EG$5:$EG$1003,$EG281,$EB$5:$EB$1003,"OT")&gt;0,"OT",""))))</f>
        <v/>
      </c>
      <c r="EQ281">
        <f>IF($EN281=0,"",UPPER(TRIM(INDEX(LINES_STATUS,$EN281)&amp;"")))</f>
        <v/>
      </c>
      <c r="ER281">
        <f>IF($DM281=0,"",IF(OR($EQ281="READY",$EQ281="PM",$EQ281="OT"),$EQ281,$EP281))</f>
        <v/>
      </c>
      <c r="ES281">
        <f>IF($DM281=0,"",IF(AND($DV281&lt;&gt;"",UPPER($DV281)&lt;&gt;"N"),"allergen",IF(ISNUMBER(SEARCH("oil",$DQ281)),"oil",IF(OR(EXACT($DS281,"A662"),EXACT($DS281,"A624")),"bulk",""))))</f>
        <v/>
      </c>
      <c r="ET281">
        <f>IF($DM281=0,"",IF(OR($EA281="",$EA281=0),"",$EA281/100))</f>
        <v/>
      </c>
      <c r="EU281">
        <f>IF(OR($ET281="",$DY281=""),"",INT($DY281*(1-$ET281)+0.5))</f>
        <v/>
      </c>
      <c r="EW281" t="n">
        <v>277</v>
      </c>
      <c r="EX281">
        <f>IFERROR(MATCH($EW281,$EM$5:$EM$1003,0),0)</f>
        <v/>
      </c>
      <c r="EY281">
        <f>IF($EW281&gt;$B$12,"",IF($EX281&gt;0,"row","spacer"))</f>
        <v/>
      </c>
      <c r="EZ281">
        <f>IF(AND($EY281="row",$EY280&lt;&gt;"row"),1,0)</f>
        <v/>
      </c>
      <c r="FA281">
        <f>IF(AND($EY281="row",$EY282&lt;&gt;"row"),1,0)</f>
        <v/>
      </c>
      <c r="FB281">
        <f>IF($EZ281=1,IFERROR(IF(ISNUMBER(INDEX(PASTE_ALL,INDEX($DF$5:$DF$1003,$EX281),$B$37)),INDEX(PASTE_ALL,INDEX($DF$5:$DF$1003,$EX281),$B$37),INDEX($DH$5:$DH$1003,$EX281)),INDEX($DH$5:$DH$1003,$EX281)),"")</f>
        <v/>
      </c>
      <c r="FC281">
        <f>IF($EY281="row",INDEX($ER$5:$ER$1003,$EX281),"")</f>
        <v/>
      </c>
      <c r="FD281">
        <f>IF($EY281="row",INDEX($DN$5:$DN$1003,$EX281),"")</f>
        <v/>
      </c>
      <c r="FE281">
        <f>IF($EY281="row",INDEX($DO$5:$DO$1003,$EX281),"")</f>
        <v/>
      </c>
      <c r="FF281">
        <f>IF($EY281="row",INDEX($DP$5:$DP$1003,$EX281),"")</f>
        <v/>
      </c>
      <c r="FG281">
        <f>IF($EY281="row",INDEX($DQ$5:$DQ$1003,$EX281),"")</f>
        <v/>
      </c>
      <c r="FH281">
        <f>IF($EY281="row",INDEX($DR$5:$DR$1003,$EX281),"")</f>
        <v/>
      </c>
      <c r="FI281">
        <f>IF($EY281="row",INDEX($DS$5:$DS$1003,$EX281),"")</f>
        <v/>
      </c>
      <c r="FJ281">
        <f>IF($EY281="row",INDEX($DT$5:$DT$1003,$EX281),"")</f>
        <v/>
      </c>
      <c r="FK281">
        <f>IF($EY281="row",INDEX($DU$5:$DU$1003,$EX281),"")</f>
        <v/>
      </c>
      <c r="FL281">
        <f>IF($EY281="row",INDEX($DV$5:$DV$1003,$EX281),"")</f>
        <v/>
      </c>
      <c r="FM281">
        <f>IF($EY281="row",INDEX($DW$5:$DW$1003,$EX281),"")</f>
        <v/>
      </c>
      <c r="FN281">
        <f>IF($EY281="row",INDEX($DY$5:$DY$1003,$EX281),"")</f>
        <v/>
      </c>
      <c r="FO281">
        <f>IF($EY281="row",INDEX($EA$5:$EA$1003,$EX281),"")</f>
        <v/>
      </c>
      <c r="FP281">
        <f>IF($EY281="row",INDEX($EC$5:$EC$1003,$EX281),"")</f>
        <v/>
      </c>
      <c r="FQ281">
        <f>IF($EY281="row",INDEX($ET$5:$ET$1003,$EX281),"")</f>
        <v/>
      </c>
      <c r="FR281">
        <f>IF($EY281="row",INDEX($EU$5:$EU$1003,$EX281),"")</f>
        <v/>
      </c>
      <c r="FS281">
        <f>IF(AND($EY281="row",$EY280="row"),IF(OR(INDEX($DT$5:$DT$1003,$EX280)="",INDEX($DT$5:$DT$1003,$EX281)=""),"",IF(NOT(EXACT(INDEX($DT$5:$DT$1003,$EX280),INDEX($DT$5:$DT$1003,$EX281))),"S4",IF(NOT(EXACT(INDEX($DS$5:$DS$1003,$EX280),INDEX($DS$5:$DS$1003,$EX281))),"S3",IF(NOT(EXACT(INDEX($DR$5:$DR$1003,$EX280),INDEX($DR$5:$DR$1003,$EX281))),"S1 Count Change","S1")))),"")</f>
        <v/>
      </c>
      <c r="FT281">
        <f>IF($EY281="row",INDEX($ES$5:$ES$1003,$EX281),"")</f>
        <v/>
      </c>
      <c r="FU281">
        <f>IF($EY281="row",INDEX($EO$5:$EO$1003,$EX281),0)</f>
        <v/>
      </c>
      <c r="FV281">
        <f>IF($FS281="S1 Count Change",1,0)</f>
        <v/>
      </c>
    </row>
    <row r="282">
      <c r="DA282" t="n">
        <v>278</v>
      </c>
      <c r="DB282">
        <f>IF($B$37=0,"",IFERROR(TRIM(SUBSTITUTE(SUBSTITUTE(SUBSTITUTE(SUBSTITUTE(INDEX(PASTE_ALL,278,$B$37)," "," "),CHAR(9)," "),CHAR(10)," "),CHAR(13)," ")),""))</f>
        <v/>
      </c>
      <c r="DC282">
        <f>IF(AND(278&gt;HEADER_ROW,UPPER(DB282)="LEGEND"),1,0)</f>
        <v/>
      </c>
      <c r="DE282" t="n">
        <v>278</v>
      </c>
      <c r="DF282">
        <f>HEADER_ROW+$DE282</f>
        <v/>
      </c>
      <c r="DG282">
        <f>IF(AND($DF282&lt;=1000,$DF282&lt;$B$8),1,0)</f>
        <v/>
      </c>
      <c r="DH282">
        <f>IF($DG282=1,IFERROR(INDEX($DB$5:$DB$1004,$DF282),""),"")</f>
        <v/>
      </c>
      <c r="DI282">
        <f>IF(AND($DG282=1,$DH282&lt;&gt;""),IFERROR(SUBSTITUTE(SUBSTITUTE(TRIM(SUBSTITUTE(SUBSTITUTE(SUBSTITUTE(SUBSTITUTE(IFERROR(INDEX(PASTE_ALL,$DF282,1)&amp;"","")&amp;"␟"&amp;IFERROR(INDEX(PASTE_ALL,$DF282,2)&amp;"","")&amp;"␟"&amp;IFERROR(INDEX(PASTE_ALL,$DF282,3)&amp;"","")&amp;"␟"&amp;IFERROR(INDEX(PASTE_ALL,$DF282,4)&amp;"","")&amp;"␟"&amp;IFERROR(INDEX(PASTE_ALL,$DF282,5)&amp;"","")&amp;"␟"&amp;IFERROR(INDEX(PASTE_ALL,$DF282,6)&amp;"","")&amp;"␟"&amp;IFERROR(INDEX(PASTE_ALL,$DF282,7)&amp;"","")&amp;"␟"&amp;IFERROR(INDEX(PASTE_ALL,$DF282,8)&amp;"","")&amp;"␟"&amp;IFERROR(INDEX(PASTE_ALL,$DF282,9)&amp;"","")&amp;"␟"&amp;IFERROR(INDEX(PASTE_ALL,$DF282,10)&amp;"","")&amp;"␟"&amp;IFERROR(INDEX(PASTE_ALL,$DF282,11)&amp;"","")&amp;"␟"&amp;IFERROR(INDEX(PASTE_ALL,$DF282,12)&amp;"","")&amp;"␟"&amp;IFERROR(INDEX(PASTE_ALL,$DF282,13)&amp;"","")&amp;"␟"&amp;IFERROR(INDEX(PASTE_ALL,$DF282,14)&amp;"","")&amp;"␟"&amp;IFERROR(INDEX(PASTE_ALL,$DF282,15)&amp;"","")&amp;"␟"&amp;IFERROR(INDEX(PASTE_ALL,$DF282,16)&amp;"","")&amp;"␟"&amp;IFERROR(INDEX(PASTE_ALL,$DF282,17)&amp;"","")&amp;"␟"&amp;IFERROR(INDEX(PASTE_ALL,$DF282,18)&amp;"","")&amp;"␟"&amp;IFERROR(INDEX(PASTE_ALL,$DF282,19)&amp;"","")&amp;"␟"&amp;IFERROR(INDEX(PASTE_ALL,$DF282,20)&amp;"","")&amp;"␟"&amp;IFERROR(INDEX(PASTE_ALL,$DF282,21)&amp;"","")&amp;"␟"&amp;IFERROR(INDEX(PASTE_ALL,$DF282,22)&amp;"","")&amp;"␟"&amp;IFERROR(INDEX(PASTE_ALL,$DF282,23)&amp;"","")&amp;"␟"&amp;IFERROR(INDEX(PASTE_ALL,$DF282,24)&amp;"","")&amp;"␟"&amp;IFERROR(INDEX(PASTE_ALL,$DF282,25)&amp;"","")&amp;"␟"&amp;IFERROR(INDEX(PASTE_ALL,$DF282,26)&amp;"","")&amp;"␟"&amp;IFERROR(INDEX(PASTE_ALL,$DF282,27)&amp;"","")&amp;"␟"&amp;IFERROR(INDEX(PASTE_ALL,$DF282,28)&amp;"","")&amp;"␟"&amp;IFERROR(INDEX(PASTE_ALL,$DF282,29)&amp;"","")&amp;"␟"&amp;IFERROR(INDEX(PASTE_ALL,$DF282,30)&amp;"","")&amp;"␟"&amp;IFERROR(INDEX(PASTE_ALL,$DF282,31)&amp;"","")&amp;"␟"&amp;IFERROR(INDEX(PASTE_ALL,$DF282,32)&amp;"","")&amp;"␟"&amp;IFERROR(INDEX(PASTE_ALL,$DF282,33)&amp;"","")&amp;"␟"&amp;IFERROR(INDEX(PASTE_ALL,$DF282,34)&amp;"","")&amp;"␟"&amp;IFERROR(INDEX(PASTE_ALL,$DF282,35)&amp;"","")&amp;"␟"&amp;IFERROR(INDEX(PASTE_ALL,$DF282,36)&amp;"","")&amp;"␟"&amp;IFERROR(INDEX(PASTE_ALL,$DF282,37)&amp;"","")&amp;"␟"&amp;IFERROR(INDEX(PASTE_ALL,$DF282,38)&amp;"","")&amp;"␟"&amp;IFERROR(INDEX(PASTE_ALL,$DF282,39)&amp;"","")&amp;"␟"&amp;IFERROR(INDEX(PASTE_ALL,$DF282,40)&amp;"","")&amp;"␟"&amp;IFERROR(INDEX(PASTE_ALL,$DF282,41)&amp;"","")&amp;"␟"&amp;IFERROR(INDEX(PASTE_ALL,$DF282,42)&amp;"","")&amp;"␟"&amp;IFERROR(INDEX(PASTE_ALL,$DF282,43)&amp;"","")&amp;"␟"&amp;IFERROR(INDEX(PASTE_ALL,$DF282,44)&amp;"","")&amp;"␟"&amp;IFERROR(INDEX(PASTE_ALL,$DF282,45)&amp;"","")&amp;"␟"&amp;IFERROR(INDEX(PASTE_ALL,$DF282,46)&amp;"","")&amp;"␟"&amp;IFERROR(INDEX(PASTE_ALL,$DF282,47)&amp;"","")&amp;"␟"&amp;IFERROR(INDEX(PASTE_ALL,$DF282,48)&amp;"","")&amp;"␟"&amp;IFERROR(INDEX(PASTE_ALL,$DF282,49)&amp;"","")&amp;"␟"&amp;IFERROR(INDEX(PASTE_ALL,$DF282,50)&amp;"","")&amp;"␟"&amp;IFERROR(INDEX(PASTE_ALL,$DF282,51)&amp;"","")&amp;"␟"&amp;IFERROR(INDEX(PASTE_ALL,$DF282,52)&amp;"","")&amp;"␟"&amp;IFERROR(INDEX(PASTE_ALL,$DF282,53)&amp;"","")&amp;"␟"&amp;IFERROR(INDEX(PASTE_ALL,$DF282,54)&amp;"","")&amp;"␟"&amp;IFERROR(INDEX(PASTE_ALL,$DF282,55)&amp;"","")&amp;"␟"&amp;IFERROR(INDEX(PASTE_ALL,$DF282,56)&amp;"","")&amp;"␟"&amp;IFERROR(INDEX(PASTE_ALL,$DF282,57)&amp;"","")&amp;"␟"&amp;IFERROR(INDEX(PASTE_ALL,$DF282,58)&amp;"","")&amp;"␟"&amp;IFERROR(INDEX(PASTE_ALL,$DF282,59)&amp;"","")&amp;"␟"&amp;IFERROR(INDEX(PASTE_ALL,$DF282,60)&amp;"","")," "," "),CHAR(9)," "),CHAR(10)," "),CHAR(13)," "))," ␟","␟"),"␟ ","␟"),"#"&amp;$DE282),"")</f>
        <v/>
      </c>
      <c r="DJ282">
        <f>IF($DI282="",0,IF(SUMPRODUCT(--EXACT($DI$4:DI281,$DI282))&gt;0,1,0))</f>
        <v/>
      </c>
      <c r="DK282">
        <f>IF(AND($DI282&lt;&gt;"",$DJ282=0),1,0)</f>
        <v/>
      </c>
      <c r="DL282">
        <f>DL281+$DK282</f>
        <v/>
      </c>
      <c r="DM282">
        <f>IF(AND($DK282=1,$DL282&lt;=600),1,0)</f>
        <v/>
      </c>
      <c r="DN282">
        <f>IF($DM282=0,"",IF($L$6=0,"",IFERROR(IF(ISNUMBER(INDEX(PASTE_ALL,$DF282,$L$6)),INDEX(PASTE_ALL,$DF282,$L$6),TRIM(SUBSTITUTE(SUBSTITUTE(SUBSTITUTE(SUBSTITUTE(INDEX(PASTE_ALL,$DF282,$L$6)," "," "),CHAR(9)," "),CHAR(10)," "),CHAR(13)," "))),"")))</f>
        <v/>
      </c>
      <c r="DO282">
        <f>IF($DM282=0,"",IF($L$7=0,"",IFERROR(IF(ISNUMBER(INDEX(PASTE_ALL,$DF282,$L$7)),INDEX(PASTE_ALL,$DF282,$L$7),TRIM(SUBSTITUTE(SUBSTITUTE(SUBSTITUTE(SUBSTITUTE(INDEX(PASTE_ALL,$DF282,$L$7)," "," "),CHAR(9)," "),CHAR(10)," "),CHAR(13)," "))),"")))</f>
        <v/>
      </c>
      <c r="DP282">
        <f>IF($DM282=0,"",IF($L$8=0,"",IFERROR(IF(ISNUMBER(INDEX(PASTE_ALL,$DF282,$L$8)),INDEX(PASTE_ALL,$DF282,$L$8),TRIM(SUBSTITUTE(SUBSTITUTE(SUBSTITUTE(SUBSTITUTE(INDEX(PASTE_ALL,$DF282,$L$8)," "," "),CHAR(9)," "),CHAR(10)," "),CHAR(13)," "))),"")))</f>
        <v/>
      </c>
      <c r="DQ282">
        <f>IF($DM282=0,"",IF($L$9=0,"",IFERROR(IF(ISNUMBER(INDEX(PASTE_ALL,$DF282,$L$9)),INDEX(PASTE_ALL,$DF282,$L$9),TRIM(SUBSTITUTE(SUBSTITUTE(SUBSTITUTE(SUBSTITUTE(INDEX(PASTE_ALL,$DF282,$L$9)," "," "),CHAR(9)," "),CHAR(10)," "),CHAR(13)," "))),"")))</f>
        <v/>
      </c>
      <c r="DR282">
        <f>IF($DM282=0,"",IF($L$10=0,"",IFERROR(IF(ISNUMBER(INDEX(PASTE_ALL,$DF282,$L$10)),INDEX(PASTE_ALL,$DF282,$L$10),TRIM(SUBSTITUTE(SUBSTITUTE(SUBSTITUTE(SUBSTITUTE(INDEX(PASTE_ALL,$DF282,$L$10)," "," "),CHAR(9)," "),CHAR(10)," "),CHAR(13)," "))),"")))</f>
        <v/>
      </c>
      <c r="DS282">
        <f>IF($DM282=0,"",IF($L$11=0,"",IFERROR(IF(ISNUMBER(INDEX(PASTE_ALL,$DF282,$L$11)),INDEX(PASTE_ALL,$DF282,$L$11),TRIM(SUBSTITUTE(SUBSTITUTE(SUBSTITUTE(SUBSTITUTE(INDEX(PASTE_ALL,$DF282,$L$11)," "," "),CHAR(9)," "),CHAR(10)," "),CHAR(13)," "))),"")))</f>
        <v/>
      </c>
      <c r="DT282">
        <f>IF($DM282=0,"",IF($L$12=0,"",IFERROR(IF(ISNUMBER(INDEX(PASTE_ALL,$DF282,$L$12)),INDEX(PASTE_ALL,$DF282,$L$12),TRIM(SUBSTITUTE(SUBSTITUTE(SUBSTITUTE(SUBSTITUTE(INDEX(PASTE_ALL,$DF282,$L$12)," "," "),CHAR(9)," "),CHAR(10)," "),CHAR(13)," "))),"")))</f>
        <v/>
      </c>
      <c r="DU282">
        <f>IF($DM282=0,"",IF($L$13=0,"",IFERROR(IF(ISNUMBER(INDEX(PASTE_ALL,$DF282,$L$13)),INDEX(PASTE_ALL,$DF282,$L$13),TRIM(SUBSTITUTE(SUBSTITUTE(SUBSTITUTE(SUBSTITUTE(INDEX(PASTE_ALL,$DF282,$L$13)," "," "),CHAR(9)," "),CHAR(10)," "),CHAR(13)," "))),"")))</f>
        <v/>
      </c>
      <c r="DV282">
        <f>IF($DM282=0,"",IF($L$14=0,"",IFERROR(IF(ISNUMBER(INDEX(PASTE_ALL,$DF282,$L$14)),INDEX(PASTE_ALL,$DF282,$L$14),TRIM(SUBSTITUTE(SUBSTITUTE(SUBSTITUTE(SUBSTITUTE(INDEX(PASTE_ALL,$DF282,$L$14)," "," "),CHAR(9)," "),CHAR(10)," "),CHAR(13)," "))),"")))</f>
        <v/>
      </c>
      <c r="DW282">
        <f>IF($DM282=0,"",IF($L$15=0,"",IFERROR(IF(ISNUMBER(INDEX(PASTE_ALL,$DF282,$L$15)),INDEX(PASTE_ALL,$DF282,$L$15),IF(SUMPRODUCT(--ISNUMBER(FIND({"A","B","C","D","E","F","G","H","I","J","K","L","M","N","O","P","Q","R","S","T","U","V","W","X","Y","Z","0","1","2","3","4","5","6","7","8","9"},UPPER(TRIM(SUBSTITUTE(SUBSTITUTE(SUBSTITUTE(SUBSTITUTE(INDEX(PASTE_ALL,$DF282,$L$15)," "," "),CHAR(9)," "),CHAR(10)," "),CHAR(13)," "))))))&gt;0,TRIM(SUBSTITUTE(SUBSTITUTE(SUBSTITUTE(SUBSTITUTE(INDEX(PASTE_ALL,$DF282,$L$15)," "," "),CHAR(9)," "),CHAR(10)," "),CHAR(13)," ")),"")),"")))</f>
        <v/>
      </c>
      <c r="DX282">
        <f>IF($DM282=0,"",IF($L$16=0,"",IFERROR(IF(ISNUMBER(INDEX(PASTE_ALL,$DF282,$L$16)),INDEX(PASTE_ALL,$DF282,$L$16),SUBSTITUTE(SUBSTITUTE(TRIM(SUBSTITUTE(SUBSTITUTE(SUBSTITUTE(SUBSTITUTE(INDEX(PASTE_ALL,$DF282,$L$16)," "," "),CHAR(9)," "),CHAR(10)," "),CHAR(13)," ")),",",""),"%","")),"")))</f>
        <v/>
      </c>
      <c r="DY282">
        <f>IF($DM282=0,"",IFERROR(IF(ISNUMBER($DX282),$DX282,IF($DX282="","",IF(TRIM($DX282)="",0,IF(AND(AND(SUBSTITUTE(SUBSTITUTE(SUBSTITUTE(SUBSTITUTE(SUBSTITUTE(SUBSTITUTE(SUBSTITUTE(SUBSTITUTE(SUBSTITUTE(SUBSTITUTE(SUBSTITUTE(SUBSTITUTE(SUBSTITUTE(SUBSTITUTE(UPPER(TRIM($DX282)),"0",""),"1",""),"2",""),"3",""),"4",""),"5",""),"6",""),"7",""),"8",""),"9",""),".",""),"+",""),"-",""),"E","")="",LEN(SUBSTITUTE(SUBSTITUTE(MID(UPPER(TRIM($DX282)),1+OR(LEFT(UPPER(TRIM($DX282)),1)="+",LEFT(UPPER(TRIM($DX282)),1)="-"),999),"E+","E"),"E-","E"))=LEN(SUBSTITUTE(SUBSTITUTE(SUBSTITUTE(SUBSTITUTE(MID(UPPER(TRIM($DX282)),1+OR(LEFT(UPPER(TRIM($DX282)),1)="+",LEFT(UPPER(TRIM($DX282)),1)="-"),999),"E+","E"),"E-","E"),"+",""),"-","")),LEN(UPPER(TRIM($DX282)))-LEN(SUBSTITUTE(UPPER(TRIM($DX282)),"E",""))&lt;2,LEN(UPPER(TRIM($DX282)))-LEN(SUBSTITUTE(UPPER(TRIM($DX282)),".",""))&lt;2,IFERROR(FIND(".",UPPER(TRIM($DX282))),0)&lt;IFERROR(FIND("E",UPPER(TRIM($DX282))),999)),ISNUMBER(VALUE(TRIM($DX282)))),VALUE(TRIM($DX282)),"")))),""))</f>
        <v/>
      </c>
      <c r="DZ282">
        <f>IF($DM282=0,"",IF($L$17=0,"",IFERROR(IF(ISNUMBER(INDEX(PASTE_ALL,$DF282,$L$17)),INDEX(PASTE_ALL,$DF282,$L$17),SUBSTITUTE(SUBSTITUTE(TRIM(SUBSTITUTE(SUBSTITUTE(SUBSTITUTE(SUBSTITUTE(INDEX(PASTE_ALL,$DF282,$L$17)," "," "),CHAR(9)," "),CHAR(10)," "),CHAR(13)," ")),",",""),"%","")),"")))</f>
        <v/>
      </c>
      <c r="EA282">
        <f>IF($DM282=0,"",IFERROR(IF(ISNUMBER($DZ282),$DZ282,IF($DZ282="","",IF(TRIM($DZ282)="",0,IF(AND(AND(SUBSTITUTE(SUBSTITUTE(SUBSTITUTE(SUBSTITUTE(SUBSTITUTE(SUBSTITUTE(SUBSTITUTE(SUBSTITUTE(SUBSTITUTE(SUBSTITUTE(SUBSTITUTE(SUBSTITUTE(SUBSTITUTE(SUBSTITUTE(UPPER(TRIM($DZ282)),"0",""),"1",""),"2",""),"3",""),"4",""),"5",""),"6",""),"7",""),"8",""),"9",""),".",""),"+",""),"-",""),"E","")="",LEN(SUBSTITUTE(SUBSTITUTE(MID(UPPER(TRIM($DZ282)),1+OR(LEFT(UPPER(TRIM($DZ282)),1)="+",LEFT(UPPER(TRIM($DZ282)),1)="-"),999),"E+","E"),"E-","E"))=LEN(SUBSTITUTE(SUBSTITUTE(SUBSTITUTE(SUBSTITUTE(MID(UPPER(TRIM($DZ282)),1+OR(LEFT(UPPER(TRIM($DZ282)),1)="+",LEFT(UPPER(TRIM($DZ282)),1)="-"),999),"E+","E"),"E-","E"),"+",""),"-","")),LEN(UPPER(TRIM($DZ282)))-LEN(SUBSTITUTE(UPPER(TRIM($DZ282)),"E",""))&lt;2,LEN(UPPER(TRIM($DZ282)))-LEN(SUBSTITUTE(UPPER(TRIM($DZ282)),".",""))&lt;2,IFERROR(FIND(".",UPPER(TRIM($DZ282))),0)&lt;IFERROR(FIND("E",UPPER(TRIM($DZ282))),999)),ISNUMBER(VALUE(TRIM($DZ282)))),VALUE(TRIM($DZ282)),"")))),""))</f>
        <v/>
      </c>
      <c r="EB282">
        <f>IF($DM282=0,"",IF($L$18=0,"",IFERROR(IF(UPPER(TRIM(SUBSTITUTE(SUBSTITUTE(SUBSTITUTE(SUBSTITUTE(INDEX(PASTE_ALL,$DF282,$L$18)," "," "),CHAR(9)," "),CHAR(10)," "),CHAR(13)," ")))="READY","Ready",IF(UPPER(TRIM(SUBSTITUTE(SUBSTITUTE(SUBSTITUTE(SUBSTITUTE(INDEX(PASTE_ALL,$DF282,$L$18)," "," "),CHAR(9)," "),CHAR(10)," "),CHAR(13)," ")))="PM","PM",IF(OR(UPPER(TRIM(SUBSTITUTE(SUBSTITUTE(SUBSTITUTE(SUBSTITUTE(INDEX(PASTE_ALL,$DF282,$L$18)," "," "),CHAR(9)," "),CHAR(10)," "),CHAR(13)," ")))="OT",UPPER(TRIM(SUBSTITUTE(SUBSTITUTE(SUBSTITUTE(SUBSTITUTE(INDEX(PASTE_ALL,$DF282,$L$18)," "," "),CHAR(9)," "),CHAR(10)," "),CHAR(13)," ")))="OVERTIME",UPPER(TRIM(SUBSTITUTE(SUBSTITUTE(SUBSTITUTE(SUBSTITUTE(INDEX(PASTE_ALL,$DF282,$L$18)," "," "),CHAR(9)," "),CHAR(10)," "),CHAR(13)," ")))="TRIAL"),"OT",TRIM(SUBSTITUTE(SUBSTITUTE(SUBSTITUTE(SUBSTITUTE(INDEX(PASTE_ALL,$DF282,$L$18)," "," "),CHAR(9)," "),CHAR(10)," "),CHAR(13)," "))))),"")))</f>
        <v/>
      </c>
      <c r="EC282">
        <f>IF($DM282=0,"",IF($L$19=0,"",IFERROR(IF(ISNUMBER(INDEX(PASTE_ALL,$DF282,$L$19)),INDEX(PASTE_ALL,$DF282,$L$19),TRIM(SUBSTITUTE(SUBSTITUTE(SUBSTITUTE(SUBSTITUTE(INDEX(PASTE_ALL,$DF282,$L$19)," "," "),CHAR(9)," "),CHAR(10)," "),CHAR(13)," "))),"")))</f>
        <v/>
      </c>
      <c r="ED282">
        <f>IF($DM282=0,"",MATCH(1,INDEX(EXACT($DH$5:DH282,$DH282)*$DM$5:DM282,0),0))</f>
        <v/>
      </c>
      <c r="EE282">
        <f>IF($DM282=0,0,IF($ED282=$DE282,1,0))</f>
        <v/>
      </c>
      <c r="EF282">
        <f>EF281+$EE282</f>
        <v/>
      </c>
      <c r="EG282">
        <f>IF($DM282=0,"",INDEX($EF$5:$EF$1003,$ED282))</f>
        <v/>
      </c>
      <c r="EH282">
        <f>IF($DM282=0,"",IF($DO282&lt;&gt;"","",IFERROR(LOOKUP(2,1/(($EG$4:EG281=$EG282)*($DO$4:DO281&lt;&gt;"")),$DO$4:DO281),"")))</f>
        <v/>
      </c>
      <c r="EI282">
        <f>IF($DM282=0,"",IF($DO282&lt;&gt;"",$DO282,$EH282))</f>
        <v/>
      </c>
      <c r="EJ282">
        <f>IF($DM282=0,"",IF($EI282="",0,IF(OR(ISNUMBER($EI282),AND(AND(SUBSTITUTE(SUBSTITUTE(SUBSTITUTE(SUBSTITUTE(SUBSTITUTE(SUBSTITUTE(SUBSTITUTE(SUBSTITUTE(SUBSTITUTE(SUBSTITUTE(SUBSTITUTE(SUBSTITUTE(SUBSTITUTE(SUBSTITUTE(UPPER($EI282),"0",""),"1",""),"2",""),"3",""),"4",""),"5",""),"6",""),"7",""),"8",""),"9",""),".",""),"+",""),"-",""),"E","")="",LEN(SUBSTITUTE(SUBSTITUTE(MID(UPPER($EI282),1+OR(LEFT(UPPER($EI282),1)="+",LEFT(UPPER($EI282),1)="-"),999),"E+","E"),"E-","E"))=LEN(SUBSTITUTE(SUBSTITUTE(SUBSTITUTE(SUBSTITUTE(MID(UPPER($EI282),1+OR(LEFT(UPPER($EI282),1)="+",LEFT(UPPER($EI282),1)="-"),999),"E+","E"),"E-","E"),"+",""),"-","")),LEN(UPPER($EI282))-LEN(SUBSTITUTE(UPPER($EI282),"E",""))&lt;2,LEN(UPPER($EI282))-LEN(SUBSTITUTE(UPPER($EI282),".",""))&lt;2,IFERROR(FIND(".",UPPER($EI282)),0)&lt;IFERROR(FIND("E",UPPER($EI282)),999)),ISNUMBER(VALUE($EI282)))),1,2)))</f>
        <v/>
      </c>
      <c r="EK282">
        <f>IF($DM282=0,"",IF($EJ282=1,IF(ISNUMBER($EI282),$EI282,VALUE($EI282)),IF($EJ282=2,$DE282,0)))</f>
        <v/>
      </c>
      <c r="EL282">
        <f>IF($DM282=0,"",COUNTIF($EG$5:$EG$1003,"&lt;"&amp;$EG282)+SUMPRODUCT(($EG$5:$EG$1003=$EG282)*(($EJ$5:$EJ$1003&lt;$EJ282)+($EJ$5:$EJ$1003=$EJ282)*(($EK$5:$EK$1003&lt;$EK282)+($EK$5:$EK$1003=$EK282)*($DE$5:$DE$1003&lt;$DE282))))+1)</f>
        <v/>
      </c>
      <c r="EM282">
        <f>IF($DM282=0,"",$EL282+$EG282-1)</f>
        <v/>
      </c>
      <c r="EN282">
        <f>IF($DM282=0,0,IFERROR(MATCH(1,INDEX(--(TRIM(SUBSTITUTE(SUBSTITUTE(SUBSTITUTE(SUBSTITUTE(LINES_NAME&amp;""," "," "),CHAR(9)," "),CHAR(10)," "),CHAR(13)," "))=$DH282),0),0),0))</f>
        <v/>
      </c>
      <c r="EO282">
        <f>IF($EN282=0,0,IF(OR(UPPER(TRIM(INDEX(LINES_SCHEDULED,$EN282)&amp;""))="YES",UPPER(TRIM(INDEX(LINES_SCHEDULED,$EN282)&amp;""))="Y",UPPER(TRIM(INDEX(LINES_SCHEDULED,$EN282)&amp;""))="X"),1,0))</f>
        <v/>
      </c>
      <c r="EP282">
        <f>IF($DM282=0,"",IF(COUNTIFS($EG$5:$EG$1003,$EG282,$EB$5:$EB$1003,"Ready")&gt;0,"READY",IF(COUNTIFS($EG$5:$EG$1003,$EG282,$EB$5:$EB$1003,"PM")&gt;0,"PM",IF(COUNTIFS($EG$5:$EG$1003,$EG282,$EB$5:$EB$1003,"OT")&gt;0,"OT",""))))</f>
        <v/>
      </c>
      <c r="EQ282">
        <f>IF($EN282=0,"",UPPER(TRIM(INDEX(LINES_STATUS,$EN282)&amp;"")))</f>
        <v/>
      </c>
      <c r="ER282">
        <f>IF($DM282=0,"",IF(OR($EQ282="READY",$EQ282="PM",$EQ282="OT"),$EQ282,$EP282))</f>
        <v/>
      </c>
      <c r="ES282">
        <f>IF($DM282=0,"",IF(AND($DV282&lt;&gt;"",UPPER($DV282)&lt;&gt;"N"),"allergen",IF(ISNUMBER(SEARCH("oil",$DQ282)),"oil",IF(OR(EXACT($DS282,"A662"),EXACT($DS282,"A624")),"bulk",""))))</f>
        <v/>
      </c>
      <c r="ET282">
        <f>IF($DM282=0,"",IF(OR($EA282="",$EA282=0),"",$EA282/100))</f>
        <v/>
      </c>
      <c r="EU282">
        <f>IF(OR($ET282="",$DY282=""),"",INT($DY282*(1-$ET282)+0.5))</f>
        <v/>
      </c>
      <c r="EW282" t="n">
        <v>278</v>
      </c>
      <c r="EX282">
        <f>IFERROR(MATCH($EW282,$EM$5:$EM$1003,0),0)</f>
        <v/>
      </c>
      <c r="EY282">
        <f>IF($EW282&gt;$B$12,"",IF($EX282&gt;0,"row","spacer"))</f>
        <v/>
      </c>
      <c r="EZ282">
        <f>IF(AND($EY282="row",$EY281&lt;&gt;"row"),1,0)</f>
        <v/>
      </c>
      <c r="FA282">
        <f>IF(AND($EY282="row",$EY283&lt;&gt;"row"),1,0)</f>
        <v/>
      </c>
      <c r="FB282">
        <f>IF($EZ282=1,IFERROR(IF(ISNUMBER(INDEX(PASTE_ALL,INDEX($DF$5:$DF$1003,$EX282),$B$37)),INDEX(PASTE_ALL,INDEX($DF$5:$DF$1003,$EX282),$B$37),INDEX($DH$5:$DH$1003,$EX282)),INDEX($DH$5:$DH$1003,$EX282)),"")</f>
        <v/>
      </c>
      <c r="FC282">
        <f>IF($EY282="row",INDEX($ER$5:$ER$1003,$EX282),"")</f>
        <v/>
      </c>
      <c r="FD282">
        <f>IF($EY282="row",INDEX($DN$5:$DN$1003,$EX282),"")</f>
        <v/>
      </c>
      <c r="FE282">
        <f>IF($EY282="row",INDEX($DO$5:$DO$1003,$EX282),"")</f>
        <v/>
      </c>
      <c r="FF282">
        <f>IF($EY282="row",INDEX($DP$5:$DP$1003,$EX282),"")</f>
        <v/>
      </c>
      <c r="FG282">
        <f>IF($EY282="row",INDEX($DQ$5:$DQ$1003,$EX282),"")</f>
        <v/>
      </c>
      <c r="FH282">
        <f>IF($EY282="row",INDEX($DR$5:$DR$1003,$EX282),"")</f>
        <v/>
      </c>
      <c r="FI282">
        <f>IF($EY282="row",INDEX($DS$5:$DS$1003,$EX282),"")</f>
        <v/>
      </c>
      <c r="FJ282">
        <f>IF($EY282="row",INDEX($DT$5:$DT$1003,$EX282),"")</f>
        <v/>
      </c>
      <c r="FK282">
        <f>IF($EY282="row",INDEX($DU$5:$DU$1003,$EX282),"")</f>
        <v/>
      </c>
      <c r="FL282">
        <f>IF($EY282="row",INDEX($DV$5:$DV$1003,$EX282),"")</f>
        <v/>
      </c>
      <c r="FM282">
        <f>IF($EY282="row",INDEX($DW$5:$DW$1003,$EX282),"")</f>
        <v/>
      </c>
      <c r="FN282">
        <f>IF($EY282="row",INDEX($DY$5:$DY$1003,$EX282),"")</f>
        <v/>
      </c>
      <c r="FO282">
        <f>IF($EY282="row",INDEX($EA$5:$EA$1003,$EX282),"")</f>
        <v/>
      </c>
      <c r="FP282">
        <f>IF($EY282="row",INDEX($EC$5:$EC$1003,$EX282),"")</f>
        <v/>
      </c>
      <c r="FQ282">
        <f>IF($EY282="row",INDEX($ET$5:$ET$1003,$EX282),"")</f>
        <v/>
      </c>
      <c r="FR282">
        <f>IF($EY282="row",INDEX($EU$5:$EU$1003,$EX282),"")</f>
        <v/>
      </c>
      <c r="FS282">
        <f>IF(AND($EY282="row",$EY281="row"),IF(OR(INDEX($DT$5:$DT$1003,$EX281)="",INDEX($DT$5:$DT$1003,$EX282)=""),"",IF(NOT(EXACT(INDEX($DT$5:$DT$1003,$EX281),INDEX($DT$5:$DT$1003,$EX282))),"S4",IF(NOT(EXACT(INDEX($DS$5:$DS$1003,$EX281),INDEX($DS$5:$DS$1003,$EX282))),"S3",IF(NOT(EXACT(INDEX($DR$5:$DR$1003,$EX281),INDEX($DR$5:$DR$1003,$EX282))),"S1 Count Change","S1")))),"")</f>
        <v/>
      </c>
      <c r="FT282">
        <f>IF($EY282="row",INDEX($ES$5:$ES$1003,$EX282),"")</f>
        <v/>
      </c>
      <c r="FU282">
        <f>IF($EY282="row",INDEX($EO$5:$EO$1003,$EX282),0)</f>
        <v/>
      </c>
      <c r="FV282">
        <f>IF($FS282="S1 Count Change",1,0)</f>
        <v/>
      </c>
    </row>
    <row r="283">
      <c r="DA283" t="n">
        <v>279</v>
      </c>
      <c r="DB283">
        <f>IF($B$37=0,"",IFERROR(TRIM(SUBSTITUTE(SUBSTITUTE(SUBSTITUTE(SUBSTITUTE(INDEX(PASTE_ALL,279,$B$37)," "," "),CHAR(9)," "),CHAR(10)," "),CHAR(13)," ")),""))</f>
        <v/>
      </c>
      <c r="DC283">
        <f>IF(AND(279&gt;HEADER_ROW,UPPER(DB283)="LEGEND"),1,0)</f>
        <v/>
      </c>
      <c r="DE283" t="n">
        <v>279</v>
      </c>
      <c r="DF283">
        <f>HEADER_ROW+$DE283</f>
        <v/>
      </c>
      <c r="DG283">
        <f>IF(AND($DF283&lt;=1000,$DF283&lt;$B$8),1,0)</f>
        <v/>
      </c>
      <c r="DH283">
        <f>IF($DG283=1,IFERROR(INDEX($DB$5:$DB$1004,$DF283),""),"")</f>
        <v/>
      </c>
      <c r="DI283">
        <f>IF(AND($DG283=1,$DH283&lt;&gt;""),IFERROR(SUBSTITUTE(SUBSTITUTE(TRIM(SUBSTITUTE(SUBSTITUTE(SUBSTITUTE(SUBSTITUTE(IFERROR(INDEX(PASTE_ALL,$DF283,1)&amp;"","")&amp;"␟"&amp;IFERROR(INDEX(PASTE_ALL,$DF283,2)&amp;"","")&amp;"␟"&amp;IFERROR(INDEX(PASTE_ALL,$DF283,3)&amp;"","")&amp;"␟"&amp;IFERROR(INDEX(PASTE_ALL,$DF283,4)&amp;"","")&amp;"␟"&amp;IFERROR(INDEX(PASTE_ALL,$DF283,5)&amp;"","")&amp;"␟"&amp;IFERROR(INDEX(PASTE_ALL,$DF283,6)&amp;"","")&amp;"␟"&amp;IFERROR(INDEX(PASTE_ALL,$DF283,7)&amp;"","")&amp;"␟"&amp;IFERROR(INDEX(PASTE_ALL,$DF283,8)&amp;"","")&amp;"␟"&amp;IFERROR(INDEX(PASTE_ALL,$DF283,9)&amp;"","")&amp;"␟"&amp;IFERROR(INDEX(PASTE_ALL,$DF283,10)&amp;"","")&amp;"␟"&amp;IFERROR(INDEX(PASTE_ALL,$DF283,11)&amp;"","")&amp;"␟"&amp;IFERROR(INDEX(PASTE_ALL,$DF283,12)&amp;"","")&amp;"␟"&amp;IFERROR(INDEX(PASTE_ALL,$DF283,13)&amp;"","")&amp;"␟"&amp;IFERROR(INDEX(PASTE_ALL,$DF283,14)&amp;"","")&amp;"␟"&amp;IFERROR(INDEX(PASTE_ALL,$DF283,15)&amp;"","")&amp;"␟"&amp;IFERROR(INDEX(PASTE_ALL,$DF283,16)&amp;"","")&amp;"␟"&amp;IFERROR(INDEX(PASTE_ALL,$DF283,17)&amp;"","")&amp;"␟"&amp;IFERROR(INDEX(PASTE_ALL,$DF283,18)&amp;"","")&amp;"␟"&amp;IFERROR(INDEX(PASTE_ALL,$DF283,19)&amp;"","")&amp;"␟"&amp;IFERROR(INDEX(PASTE_ALL,$DF283,20)&amp;"","")&amp;"␟"&amp;IFERROR(INDEX(PASTE_ALL,$DF283,21)&amp;"","")&amp;"␟"&amp;IFERROR(INDEX(PASTE_ALL,$DF283,22)&amp;"","")&amp;"␟"&amp;IFERROR(INDEX(PASTE_ALL,$DF283,23)&amp;"","")&amp;"␟"&amp;IFERROR(INDEX(PASTE_ALL,$DF283,24)&amp;"","")&amp;"␟"&amp;IFERROR(INDEX(PASTE_ALL,$DF283,25)&amp;"","")&amp;"␟"&amp;IFERROR(INDEX(PASTE_ALL,$DF283,26)&amp;"","")&amp;"␟"&amp;IFERROR(INDEX(PASTE_ALL,$DF283,27)&amp;"","")&amp;"␟"&amp;IFERROR(INDEX(PASTE_ALL,$DF283,28)&amp;"","")&amp;"␟"&amp;IFERROR(INDEX(PASTE_ALL,$DF283,29)&amp;"","")&amp;"␟"&amp;IFERROR(INDEX(PASTE_ALL,$DF283,30)&amp;"","")&amp;"␟"&amp;IFERROR(INDEX(PASTE_ALL,$DF283,31)&amp;"","")&amp;"␟"&amp;IFERROR(INDEX(PASTE_ALL,$DF283,32)&amp;"","")&amp;"␟"&amp;IFERROR(INDEX(PASTE_ALL,$DF283,33)&amp;"","")&amp;"␟"&amp;IFERROR(INDEX(PASTE_ALL,$DF283,34)&amp;"","")&amp;"␟"&amp;IFERROR(INDEX(PASTE_ALL,$DF283,35)&amp;"","")&amp;"␟"&amp;IFERROR(INDEX(PASTE_ALL,$DF283,36)&amp;"","")&amp;"␟"&amp;IFERROR(INDEX(PASTE_ALL,$DF283,37)&amp;"","")&amp;"␟"&amp;IFERROR(INDEX(PASTE_ALL,$DF283,38)&amp;"","")&amp;"␟"&amp;IFERROR(INDEX(PASTE_ALL,$DF283,39)&amp;"","")&amp;"␟"&amp;IFERROR(INDEX(PASTE_ALL,$DF283,40)&amp;"","")&amp;"␟"&amp;IFERROR(INDEX(PASTE_ALL,$DF283,41)&amp;"","")&amp;"␟"&amp;IFERROR(INDEX(PASTE_ALL,$DF283,42)&amp;"","")&amp;"␟"&amp;IFERROR(INDEX(PASTE_ALL,$DF283,43)&amp;"","")&amp;"␟"&amp;IFERROR(INDEX(PASTE_ALL,$DF283,44)&amp;"","")&amp;"␟"&amp;IFERROR(INDEX(PASTE_ALL,$DF283,45)&amp;"","")&amp;"␟"&amp;IFERROR(INDEX(PASTE_ALL,$DF283,46)&amp;"","")&amp;"␟"&amp;IFERROR(INDEX(PASTE_ALL,$DF283,47)&amp;"","")&amp;"␟"&amp;IFERROR(INDEX(PASTE_ALL,$DF283,48)&amp;"","")&amp;"␟"&amp;IFERROR(INDEX(PASTE_ALL,$DF283,49)&amp;"","")&amp;"␟"&amp;IFERROR(INDEX(PASTE_ALL,$DF283,50)&amp;"","")&amp;"␟"&amp;IFERROR(INDEX(PASTE_ALL,$DF283,51)&amp;"","")&amp;"␟"&amp;IFERROR(INDEX(PASTE_ALL,$DF283,52)&amp;"","")&amp;"␟"&amp;IFERROR(INDEX(PASTE_ALL,$DF283,53)&amp;"","")&amp;"␟"&amp;IFERROR(INDEX(PASTE_ALL,$DF283,54)&amp;"","")&amp;"␟"&amp;IFERROR(INDEX(PASTE_ALL,$DF283,55)&amp;"","")&amp;"␟"&amp;IFERROR(INDEX(PASTE_ALL,$DF283,56)&amp;"","")&amp;"␟"&amp;IFERROR(INDEX(PASTE_ALL,$DF283,57)&amp;"","")&amp;"␟"&amp;IFERROR(INDEX(PASTE_ALL,$DF283,58)&amp;"","")&amp;"␟"&amp;IFERROR(INDEX(PASTE_ALL,$DF283,59)&amp;"","")&amp;"␟"&amp;IFERROR(INDEX(PASTE_ALL,$DF283,60)&amp;"","")," "," "),CHAR(9)," "),CHAR(10)," "),CHAR(13)," "))," ␟","␟"),"␟ ","␟"),"#"&amp;$DE283),"")</f>
        <v/>
      </c>
      <c r="DJ283">
        <f>IF($DI283="",0,IF(SUMPRODUCT(--EXACT($DI$4:DI282,$DI283))&gt;0,1,0))</f>
        <v/>
      </c>
      <c r="DK283">
        <f>IF(AND($DI283&lt;&gt;"",$DJ283=0),1,0)</f>
        <v/>
      </c>
      <c r="DL283">
        <f>DL282+$DK283</f>
        <v/>
      </c>
      <c r="DM283">
        <f>IF(AND($DK283=1,$DL283&lt;=600),1,0)</f>
        <v/>
      </c>
      <c r="DN283">
        <f>IF($DM283=0,"",IF($L$6=0,"",IFERROR(IF(ISNUMBER(INDEX(PASTE_ALL,$DF283,$L$6)),INDEX(PASTE_ALL,$DF283,$L$6),TRIM(SUBSTITUTE(SUBSTITUTE(SUBSTITUTE(SUBSTITUTE(INDEX(PASTE_ALL,$DF283,$L$6)," "," "),CHAR(9)," "),CHAR(10)," "),CHAR(13)," "))),"")))</f>
        <v/>
      </c>
      <c r="DO283">
        <f>IF($DM283=0,"",IF($L$7=0,"",IFERROR(IF(ISNUMBER(INDEX(PASTE_ALL,$DF283,$L$7)),INDEX(PASTE_ALL,$DF283,$L$7),TRIM(SUBSTITUTE(SUBSTITUTE(SUBSTITUTE(SUBSTITUTE(INDEX(PASTE_ALL,$DF283,$L$7)," "," "),CHAR(9)," "),CHAR(10)," "),CHAR(13)," "))),"")))</f>
        <v/>
      </c>
      <c r="DP283">
        <f>IF($DM283=0,"",IF($L$8=0,"",IFERROR(IF(ISNUMBER(INDEX(PASTE_ALL,$DF283,$L$8)),INDEX(PASTE_ALL,$DF283,$L$8),TRIM(SUBSTITUTE(SUBSTITUTE(SUBSTITUTE(SUBSTITUTE(INDEX(PASTE_ALL,$DF283,$L$8)," "," "),CHAR(9)," "),CHAR(10)," "),CHAR(13)," "))),"")))</f>
        <v/>
      </c>
      <c r="DQ283">
        <f>IF($DM283=0,"",IF($L$9=0,"",IFERROR(IF(ISNUMBER(INDEX(PASTE_ALL,$DF283,$L$9)),INDEX(PASTE_ALL,$DF283,$L$9),TRIM(SUBSTITUTE(SUBSTITUTE(SUBSTITUTE(SUBSTITUTE(INDEX(PASTE_ALL,$DF283,$L$9)," "," "),CHAR(9)," "),CHAR(10)," "),CHAR(13)," "))),"")))</f>
        <v/>
      </c>
      <c r="DR283">
        <f>IF($DM283=0,"",IF($L$10=0,"",IFERROR(IF(ISNUMBER(INDEX(PASTE_ALL,$DF283,$L$10)),INDEX(PASTE_ALL,$DF283,$L$10),TRIM(SUBSTITUTE(SUBSTITUTE(SUBSTITUTE(SUBSTITUTE(INDEX(PASTE_ALL,$DF283,$L$10)," "," "),CHAR(9)," "),CHAR(10)," "),CHAR(13)," "))),"")))</f>
        <v/>
      </c>
      <c r="DS283">
        <f>IF($DM283=0,"",IF($L$11=0,"",IFERROR(IF(ISNUMBER(INDEX(PASTE_ALL,$DF283,$L$11)),INDEX(PASTE_ALL,$DF283,$L$11),TRIM(SUBSTITUTE(SUBSTITUTE(SUBSTITUTE(SUBSTITUTE(INDEX(PASTE_ALL,$DF283,$L$11)," "," "),CHAR(9)," "),CHAR(10)," "),CHAR(13)," "))),"")))</f>
        <v/>
      </c>
      <c r="DT283">
        <f>IF($DM283=0,"",IF($L$12=0,"",IFERROR(IF(ISNUMBER(INDEX(PASTE_ALL,$DF283,$L$12)),INDEX(PASTE_ALL,$DF283,$L$12),TRIM(SUBSTITUTE(SUBSTITUTE(SUBSTITUTE(SUBSTITUTE(INDEX(PASTE_ALL,$DF283,$L$12)," "," "),CHAR(9)," "),CHAR(10)," "),CHAR(13)," "))),"")))</f>
        <v/>
      </c>
      <c r="DU283">
        <f>IF($DM283=0,"",IF($L$13=0,"",IFERROR(IF(ISNUMBER(INDEX(PASTE_ALL,$DF283,$L$13)),INDEX(PASTE_ALL,$DF283,$L$13),TRIM(SUBSTITUTE(SUBSTITUTE(SUBSTITUTE(SUBSTITUTE(INDEX(PASTE_ALL,$DF283,$L$13)," "," "),CHAR(9)," "),CHAR(10)," "),CHAR(13)," "))),"")))</f>
        <v/>
      </c>
      <c r="DV283">
        <f>IF($DM283=0,"",IF($L$14=0,"",IFERROR(IF(ISNUMBER(INDEX(PASTE_ALL,$DF283,$L$14)),INDEX(PASTE_ALL,$DF283,$L$14),TRIM(SUBSTITUTE(SUBSTITUTE(SUBSTITUTE(SUBSTITUTE(INDEX(PASTE_ALL,$DF283,$L$14)," "," "),CHAR(9)," "),CHAR(10)," "),CHAR(13)," "))),"")))</f>
        <v/>
      </c>
      <c r="DW283">
        <f>IF($DM283=0,"",IF($L$15=0,"",IFERROR(IF(ISNUMBER(INDEX(PASTE_ALL,$DF283,$L$15)),INDEX(PASTE_ALL,$DF283,$L$15),IF(SUMPRODUCT(--ISNUMBER(FIND({"A","B","C","D","E","F","G","H","I","J","K","L","M","N","O","P","Q","R","S","T","U","V","W","X","Y","Z","0","1","2","3","4","5","6","7","8","9"},UPPER(TRIM(SUBSTITUTE(SUBSTITUTE(SUBSTITUTE(SUBSTITUTE(INDEX(PASTE_ALL,$DF283,$L$15)," "," "),CHAR(9)," "),CHAR(10)," "),CHAR(13)," "))))))&gt;0,TRIM(SUBSTITUTE(SUBSTITUTE(SUBSTITUTE(SUBSTITUTE(INDEX(PASTE_ALL,$DF283,$L$15)," "," "),CHAR(9)," "),CHAR(10)," "),CHAR(13)," ")),"")),"")))</f>
        <v/>
      </c>
      <c r="DX283">
        <f>IF($DM283=0,"",IF($L$16=0,"",IFERROR(IF(ISNUMBER(INDEX(PASTE_ALL,$DF283,$L$16)),INDEX(PASTE_ALL,$DF283,$L$16),SUBSTITUTE(SUBSTITUTE(TRIM(SUBSTITUTE(SUBSTITUTE(SUBSTITUTE(SUBSTITUTE(INDEX(PASTE_ALL,$DF283,$L$16)," "," "),CHAR(9)," "),CHAR(10)," "),CHAR(13)," ")),",",""),"%","")),"")))</f>
        <v/>
      </c>
      <c r="DY283">
        <f>IF($DM283=0,"",IFERROR(IF(ISNUMBER($DX283),$DX283,IF($DX283="","",IF(TRIM($DX283)="",0,IF(AND(AND(SUBSTITUTE(SUBSTITUTE(SUBSTITUTE(SUBSTITUTE(SUBSTITUTE(SUBSTITUTE(SUBSTITUTE(SUBSTITUTE(SUBSTITUTE(SUBSTITUTE(SUBSTITUTE(SUBSTITUTE(SUBSTITUTE(SUBSTITUTE(UPPER(TRIM($DX283)),"0",""),"1",""),"2",""),"3",""),"4",""),"5",""),"6",""),"7",""),"8",""),"9",""),".",""),"+",""),"-",""),"E","")="",LEN(SUBSTITUTE(SUBSTITUTE(MID(UPPER(TRIM($DX283)),1+OR(LEFT(UPPER(TRIM($DX283)),1)="+",LEFT(UPPER(TRIM($DX283)),1)="-"),999),"E+","E"),"E-","E"))=LEN(SUBSTITUTE(SUBSTITUTE(SUBSTITUTE(SUBSTITUTE(MID(UPPER(TRIM($DX283)),1+OR(LEFT(UPPER(TRIM($DX283)),1)="+",LEFT(UPPER(TRIM($DX283)),1)="-"),999),"E+","E"),"E-","E"),"+",""),"-","")),LEN(UPPER(TRIM($DX283)))-LEN(SUBSTITUTE(UPPER(TRIM($DX283)),"E",""))&lt;2,LEN(UPPER(TRIM($DX283)))-LEN(SUBSTITUTE(UPPER(TRIM($DX283)),".",""))&lt;2,IFERROR(FIND(".",UPPER(TRIM($DX283))),0)&lt;IFERROR(FIND("E",UPPER(TRIM($DX283))),999)),ISNUMBER(VALUE(TRIM($DX283)))),VALUE(TRIM($DX283)),"")))),""))</f>
        <v/>
      </c>
      <c r="DZ283">
        <f>IF($DM283=0,"",IF($L$17=0,"",IFERROR(IF(ISNUMBER(INDEX(PASTE_ALL,$DF283,$L$17)),INDEX(PASTE_ALL,$DF283,$L$17),SUBSTITUTE(SUBSTITUTE(TRIM(SUBSTITUTE(SUBSTITUTE(SUBSTITUTE(SUBSTITUTE(INDEX(PASTE_ALL,$DF283,$L$17)," "," "),CHAR(9)," "),CHAR(10)," "),CHAR(13)," ")),",",""),"%","")),"")))</f>
        <v/>
      </c>
      <c r="EA283">
        <f>IF($DM283=0,"",IFERROR(IF(ISNUMBER($DZ283),$DZ283,IF($DZ283="","",IF(TRIM($DZ283)="",0,IF(AND(AND(SUBSTITUTE(SUBSTITUTE(SUBSTITUTE(SUBSTITUTE(SUBSTITUTE(SUBSTITUTE(SUBSTITUTE(SUBSTITUTE(SUBSTITUTE(SUBSTITUTE(SUBSTITUTE(SUBSTITUTE(SUBSTITUTE(SUBSTITUTE(UPPER(TRIM($DZ283)),"0",""),"1",""),"2",""),"3",""),"4",""),"5",""),"6",""),"7",""),"8",""),"9",""),".",""),"+",""),"-",""),"E","")="",LEN(SUBSTITUTE(SUBSTITUTE(MID(UPPER(TRIM($DZ283)),1+OR(LEFT(UPPER(TRIM($DZ283)),1)="+",LEFT(UPPER(TRIM($DZ283)),1)="-"),999),"E+","E"),"E-","E"))=LEN(SUBSTITUTE(SUBSTITUTE(SUBSTITUTE(SUBSTITUTE(MID(UPPER(TRIM($DZ283)),1+OR(LEFT(UPPER(TRIM($DZ283)),1)="+",LEFT(UPPER(TRIM($DZ283)),1)="-"),999),"E+","E"),"E-","E"),"+",""),"-","")),LEN(UPPER(TRIM($DZ283)))-LEN(SUBSTITUTE(UPPER(TRIM($DZ283)),"E",""))&lt;2,LEN(UPPER(TRIM($DZ283)))-LEN(SUBSTITUTE(UPPER(TRIM($DZ283)),".",""))&lt;2,IFERROR(FIND(".",UPPER(TRIM($DZ283))),0)&lt;IFERROR(FIND("E",UPPER(TRIM($DZ283))),999)),ISNUMBER(VALUE(TRIM($DZ283)))),VALUE(TRIM($DZ283)),"")))),""))</f>
        <v/>
      </c>
      <c r="EB283">
        <f>IF($DM283=0,"",IF($L$18=0,"",IFERROR(IF(UPPER(TRIM(SUBSTITUTE(SUBSTITUTE(SUBSTITUTE(SUBSTITUTE(INDEX(PASTE_ALL,$DF283,$L$18)," "," "),CHAR(9)," "),CHAR(10)," "),CHAR(13)," ")))="READY","Ready",IF(UPPER(TRIM(SUBSTITUTE(SUBSTITUTE(SUBSTITUTE(SUBSTITUTE(INDEX(PASTE_ALL,$DF283,$L$18)," "," "),CHAR(9)," "),CHAR(10)," "),CHAR(13)," ")))="PM","PM",IF(OR(UPPER(TRIM(SUBSTITUTE(SUBSTITUTE(SUBSTITUTE(SUBSTITUTE(INDEX(PASTE_ALL,$DF283,$L$18)," "," "),CHAR(9)," "),CHAR(10)," "),CHAR(13)," ")))="OT",UPPER(TRIM(SUBSTITUTE(SUBSTITUTE(SUBSTITUTE(SUBSTITUTE(INDEX(PASTE_ALL,$DF283,$L$18)," "," "),CHAR(9)," "),CHAR(10)," "),CHAR(13)," ")))="OVERTIME",UPPER(TRIM(SUBSTITUTE(SUBSTITUTE(SUBSTITUTE(SUBSTITUTE(INDEX(PASTE_ALL,$DF283,$L$18)," "," "),CHAR(9)," "),CHAR(10)," "),CHAR(13)," ")))="TRIAL"),"OT",TRIM(SUBSTITUTE(SUBSTITUTE(SUBSTITUTE(SUBSTITUTE(INDEX(PASTE_ALL,$DF283,$L$18)," "," "),CHAR(9)," "),CHAR(10)," "),CHAR(13)," "))))),"")))</f>
        <v/>
      </c>
      <c r="EC283">
        <f>IF($DM283=0,"",IF($L$19=0,"",IFERROR(IF(ISNUMBER(INDEX(PASTE_ALL,$DF283,$L$19)),INDEX(PASTE_ALL,$DF283,$L$19),TRIM(SUBSTITUTE(SUBSTITUTE(SUBSTITUTE(SUBSTITUTE(INDEX(PASTE_ALL,$DF283,$L$19)," "," "),CHAR(9)," "),CHAR(10)," "),CHAR(13)," "))),"")))</f>
        <v/>
      </c>
      <c r="ED283">
        <f>IF($DM283=0,"",MATCH(1,INDEX(EXACT($DH$5:DH283,$DH283)*$DM$5:DM283,0),0))</f>
        <v/>
      </c>
      <c r="EE283">
        <f>IF($DM283=0,0,IF($ED283=$DE283,1,0))</f>
        <v/>
      </c>
      <c r="EF283">
        <f>EF282+$EE283</f>
        <v/>
      </c>
      <c r="EG283">
        <f>IF($DM283=0,"",INDEX($EF$5:$EF$1003,$ED283))</f>
        <v/>
      </c>
      <c r="EH283">
        <f>IF($DM283=0,"",IF($DO283&lt;&gt;"","",IFERROR(LOOKUP(2,1/(($EG$4:EG282=$EG283)*($DO$4:DO282&lt;&gt;"")),$DO$4:DO282),"")))</f>
        <v/>
      </c>
      <c r="EI283">
        <f>IF($DM283=0,"",IF($DO283&lt;&gt;"",$DO283,$EH283))</f>
        <v/>
      </c>
      <c r="EJ283">
        <f>IF($DM283=0,"",IF($EI283="",0,IF(OR(ISNUMBER($EI283),AND(AND(SUBSTITUTE(SUBSTITUTE(SUBSTITUTE(SUBSTITUTE(SUBSTITUTE(SUBSTITUTE(SUBSTITUTE(SUBSTITUTE(SUBSTITUTE(SUBSTITUTE(SUBSTITUTE(SUBSTITUTE(SUBSTITUTE(SUBSTITUTE(UPPER($EI283),"0",""),"1",""),"2",""),"3",""),"4",""),"5",""),"6",""),"7",""),"8",""),"9",""),".",""),"+",""),"-",""),"E","")="",LEN(SUBSTITUTE(SUBSTITUTE(MID(UPPER($EI283),1+OR(LEFT(UPPER($EI283),1)="+",LEFT(UPPER($EI283),1)="-"),999),"E+","E"),"E-","E"))=LEN(SUBSTITUTE(SUBSTITUTE(SUBSTITUTE(SUBSTITUTE(MID(UPPER($EI283),1+OR(LEFT(UPPER($EI283),1)="+",LEFT(UPPER($EI283),1)="-"),999),"E+","E"),"E-","E"),"+",""),"-","")),LEN(UPPER($EI283))-LEN(SUBSTITUTE(UPPER($EI283),"E",""))&lt;2,LEN(UPPER($EI283))-LEN(SUBSTITUTE(UPPER($EI283),".",""))&lt;2,IFERROR(FIND(".",UPPER($EI283)),0)&lt;IFERROR(FIND("E",UPPER($EI283)),999)),ISNUMBER(VALUE($EI283)))),1,2)))</f>
        <v/>
      </c>
      <c r="EK283">
        <f>IF($DM283=0,"",IF($EJ283=1,IF(ISNUMBER($EI283),$EI283,VALUE($EI283)),IF($EJ283=2,$DE283,0)))</f>
        <v/>
      </c>
      <c r="EL283">
        <f>IF($DM283=0,"",COUNTIF($EG$5:$EG$1003,"&lt;"&amp;$EG283)+SUMPRODUCT(($EG$5:$EG$1003=$EG283)*(($EJ$5:$EJ$1003&lt;$EJ283)+($EJ$5:$EJ$1003=$EJ283)*(($EK$5:$EK$1003&lt;$EK283)+($EK$5:$EK$1003=$EK283)*($DE$5:$DE$1003&lt;$DE283))))+1)</f>
        <v/>
      </c>
      <c r="EM283">
        <f>IF($DM283=0,"",$EL283+$EG283-1)</f>
        <v/>
      </c>
      <c r="EN283">
        <f>IF($DM283=0,0,IFERROR(MATCH(1,INDEX(--(TRIM(SUBSTITUTE(SUBSTITUTE(SUBSTITUTE(SUBSTITUTE(LINES_NAME&amp;""," "," "),CHAR(9)," "),CHAR(10)," "),CHAR(13)," "))=$DH283),0),0),0))</f>
        <v/>
      </c>
      <c r="EO283">
        <f>IF($EN283=0,0,IF(OR(UPPER(TRIM(INDEX(LINES_SCHEDULED,$EN283)&amp;""))="YES",UPPER(TRIM(INDEX(LINES_SCHEDULED,$EN283)&amp;""))="Y",UPPER(TRIM(INDEX(LINES_SCHEDULED,$EN283)&amp;""))="X"),1,0))</f>
        <v/>
      </c>
      <c r="EP283">
        <f>IF($DM283=0,"",IF(COUNTIFS($EG$5:$EG$1003,$EG283,$EB$5:$EB$1003,"Ready")&gt;0,"READY",IF(COUNTIFS($EG$5:$EG$1003,$EG283,$EB$5:$EB$1003,"PM")&gt;0,"PM",IF(COUNTIFS($EG$5:$EG$1003,$EG283,$EB$5:$EB$1003,"OT")&gt;0,"OT",""))))</f>
        <v/>
      </c>
      <c r="EQ283">
        <f>IF($EN283=0,"",UPPER(TRIM(INDEX(LINES_STATUS,$EN283)&amp;"")))</f>
        <v/>
      </c>
      <c r="ER283">
        <f>IF($DM283=0,"",IF(OR($EQ283="READY",$EQ283="PM",$EQ283="OT"),$EQ283,$EP283))</f>
        <v/>
      </c>
      <c r="ES283">
        <f>IF($DM283=0,"",IF(AND($DV283&lt;&gt;"",UPPER($DV283)&lt;&gt;"N"),"allergen",IF(ISNUMBER(SEARCH("oil",$DQ283)),"oil",IF(OR(EXACT($DS283,"A662"),EXACT($DS283,"A624")),"bulk",""))))</f>
        <v/>
      </c>
      <c r="ET283">
        <f>IF($DM283=0,"",IF(OR($EA283="",$EA283=0),"",$EA283/100))</f>
        <v/>
      </c>
      <c r="EU283">
        <f>IF(OR($ET283="",$DY283=""),"",INT($DY283*(1-$ET283)+0.5))</f>
        <v/>
      </c>
      <c r="EW283" t="n">
        <v>279</v>
      </c>
      <c r="EX283">
        <f>IFERROR(MATCH($EW283,$EM$5:$EM$1003,0),0)</f>
        <v/>
      </c>
      <c r="EY283">
        <f>IF($EW283&gt;$B$12,"",IF($EX283&gt;0,"row","spacer"))</f>
        <v/>
      </c>
      <c r="EZ283">
        <f>IF(AND($EY283="row",$EY282&lt;&gt;"row"),1,0)</f>
        <v/>
      </c>
      <c r="FA283">
        <f>IF(AND($EY283="row",$EY284&lt;&gt;"row"),1,0)</f>
        <v/>
      </c>
      <c r="FB283">
        <f>IF($EZ283=1,IFERROR(IF(ISNUMBER(INDEX(PASTE_ALL,INDEX($DF$5:$DF$1003,$EX283),$B$37)),INDEX(PASTE_ALL,INDEX($DF$5:$DF$1003,$EX283),$B$37),INDEX($DH$5:$DH$1003,$EX283)),INDEX($DH$5:$DH$1003,$EX283)),"")</f>
        <v/>
      </c>
      <c r="FC283">
        <f>IF($EY283="row",INDEX($ER$5:$ER$1003,$EX283),"")</f>
        <v/>
      </c>
      <c r="FD283">
        <f>IF($EY283="row",INDEX($DN$5:$DN$1003,$EX283),"")</f>
        <v/>
      </c>
      <c r="FE283">
        <f>IF($EY283="row",INDEX($DO$5:$DO$1003,$EX283),"")</f>
        <v/>
      </c>
      <c r="FF283">
        <f>IF($EY283="row",INDEX($DP$5:$DP$1003,$EX283),"")</f>
        <v/>
      </c>
      <c r="FG283">
        <f>IF($EY283="row",INDEX($DQ$5:$DQ$1003,$EX283),"")</f>
        <v/>
      </c>
      <c r="FH283">
        <f>IF($EY283="row",INDEX($DR$5:$DR$1003,$EX283),"")</f>
        <v/>
      </c>
      <c r="FI283">
        <f>IF($EY283="row",INDEX($DS$5:$DS$1003,$EX283),"")</f>
        <v/>
      </c>
      <c r="FJ283">
        <f>IF($EY283="row",INDEX($DT$5:$DT$1003,$EX283),"")</f>
        <v/>
      </c>
      <c r="FK283">
        <f>IF($EY283="row",INDEX($DU$5:$DU$1003,$EX283),"")</f>
        <v/>
      </c>
      <c r="FL283">
        <f>IF($EY283="row",INDEX($DV$5:$DV$1003,$EX283),"")</f>
        <v/>
      </c>
      <c r="FM283">
        <f>IF($EY283="row",INDEX($DW$5:$DW$1003,$EX283),"")</f>
        <v/>
      </c>
      <c r="FN283">
        <f>IF($EY283="row",INDEX($DY$5:$DY$1003,$EX283),"")</f>
        <v/>
      </c>
      <c r="FO283">
        <f>IF($EY283="row",INDEX($EA$5:$EA$1003,$EX283),"")</f>
        <v/>
      </c>
      <c r="FP283">
        <f>IF($EY283="row",INDEX($EC$5:$EC$1003,$EX283),"")</f>
        <v/>
      </c>
      <c r="FQ283">
        <f>IF($EY283="row",INDEX($ET$5:$ET$1003,$EX283),"")</f>
        <v/>
      </c>
      <c r="FR283">
        <f>IF($EY283="row",INDEX($EU$5:$EU$1003,$EX283),"")</f>
        <v/>
      </c>
      <c r="FS283">
        <f>IF(AND($EY283="row",$EY282="row"),IF(OR(INDEX($DT$5:$DT$1003,$EX282)="",INDEX($DT$5:$DT$1003,$EX283)=""),"",IF(NOT(EXACT(INDEX($DT$5:$DT$1003,$EX282),INDEX($DT$5:$DT$1003,$EX283))),"S4",IF(NOT(EXACT(INDEX($DS$5:$DS$1003,$EX282),INDEX($DS$5:$DS$1003,$EX283))),"S3",IF(NOT(EXACT(INDEX($DR$5:$DR$1003,$EX282),INDEX($DR$5:$DR$1003,$EX283))),"S1 Count Change","S1")))),"")</f>
        <v/>
      </c>
      <c r="FT283">
        <f>IF($EY283="row",INDEX($ES$5:$ES$1003,$EX283),"")</f>
        <v/>
      </c>
      <c r="FU283">
        <f>IF($EY283="row",INDEX($EO$5:$EO$1003,$EX283),0)</f>
        <v/>
      </c>
      <c r="FV283">
        <f>IF($FS283="S1 Count Change",1,0)</f>
        <v/>
      </c>
    </row>
    <row r="284">
      <c r="DA284" t="n">
        <v>280</v>
      </c>
      <c r="DB284">
        <f>IF($B$37=0,"",IFERROR(TRIM(SUBSTITUTE(SUBSTITUTE(SUBSTITUTE(SUBSTITUTE(INDEX(PASTE_ALL,280,$B$37)," "," "),CHAR(9)," "),CHAR(10)," "),CHAR(13)," ")),""))</f>
        <v/>
      </c>
      <c r="DC284">
        <f>IF(AND(280&gt;HEADER_ROW,UPPER(DB284)="LEGEND"),1,0)</f>
        <v/>
      </c>
      <c r="DE284" t="n">
        <v>280</v>
      </c>
      <c r="DF284">
        <f>HEADER_ROW+$DE284</f>
        <v/>
      </c>
      <c r="DG284">
        <f>IF(AND($DF284&lt;=1000,$DF284&lt;$B$8),1,0)</f>
        <v/>
      </c>
      <c r="DH284">
        <f>IF($DG284=1,IFERROR(INDEX($DB$5:$DB$1004,$DF284),""),"")</f>
        <v/>
      </c>
      <c r="DI284">
        <f>IF(AND($DG284=1,$DH284&lt;&gt;""),IFERROR(SUBSTITUTE(SUBSTITUTE(TRIM(SUBSTITUTE(SUBSTITUTE(SUBSTITUTE(SUBSTITUTE(IFERROR(INDEX(PASTE_ALL,$DF284,1)&amp;"","")&amp;"␟"&amp;IFERROR(INDEX(PASTE_ALL,$DF284,2)&amp;"","")&amp;"␟"&amp;IFERROR(INDEX(PASTE_ALL,$DF284,3)&amp;"","")&amp;"␟"&amp;IFERROR(INDEX(PASTE_ALL,$DF284,4)&amp;"","")&amp;"␟"&amp;IFERROR(INDEX(PASTE_ALL,$DF284,5)&amp;"","")&amp;"␟"&amp;IFERROR(INDEX(PASTE_ALL,$DF284,6)&amp;"","")&amp;"␟"&amp;IFERROR(INDEX(PASTE_ALL,$DF284,7)&amp;"","")&amp;"␟"&amp;IFERROR(INDEX(PASTE_ALL,$DF284,8)&amp;"","")&amp;"␟"&amp;IFERROR(INDEX(PASTE_ALL,$DF284,9)&amp;"","")&amp;"␟"&amp;IFERROR(INDEX(PASTE_ALL,$DF284,10)&amp;"","")&amp;"␟"&amp;IFERROR(INDEX(PASTE_ALL,$DF284,11)&amp;"","")&amp;"␟"&amp;IFERROR(INDEX(PASTE_ALL,$DF284,12)&amp;"","")&amp;"␟"&amp;IFERROR(INDEX(PASTE_ALL,$DF284,13)&amp;"","")&amp;"␟"&amp;IFERROR(INDEX(PASTE_ALL,$DF284,14)&amp;"","")&amp;"␟"&amp;IFERROR(INDEX(PASTE_ALL,$DF284,15)&amp;"","")&amp;"␟"&amp;IFERROR(INDEX(PASTE_ALL,$DF284,16)&amp;"","")&amp;"␟"&amp;IFERROR(INDEX(PASTE_ALL,$DF284,17)&amp;"","")&amp;"␟"&amp;IFERROR(INDEX(PASTE_ALL,$DF284,18)&amp;"","")&amp;"␟"&amp;IFERROR(INDEX(PASTE_ALL,$DF284,19)&amp;"","")&amp;"␟"&amp;IFERROR(INDEX(PASTE_ALL,$DF284,20)&amp;"","")&amp;"␟"&amp;IFERROR(INDEX(PASTE_ALL,$DF284,21)&amp;"","")&amp;"␟"&amp;IFERROR(INDEX(PASTE_ALL,$DF284,22)&amp;"","")&amp;"␟"&amp;IFERROR(INDEX(PASTE_ALL,$DF284,23)&amp;"","")&amp;"␟"&amp;IFERROR(INDEX(PASTE_ALL,$DF284,24)&amp;"","")&amp;"␟"&amp;IFERROR(INDEX(PASTE_ALL,$DF284,25)&amp;"","")&amp;"␟"&amp;IFERROR(INDEX(PASTE_ALL,$DF284,26)&amp;"","")&amp;"␟"&amp;IFERROR(INDEX(PASTE_ALL,$DF284,27)&amp;"","")&amp;"␟"&amp;IFERROR(INDEX(PASTE_ALL,$DF284,28)&amp;"","")&amp;"␟"&amp;IFERROR(INDEX(PASTE_ALL,$DF284,29)&amp;"","")&amp;"␟"&amp;IFERROR(INDEX(PASTE_ALL,$DF284,30)&amp;"","")&amp;"␟"&amp;IFERROR(INDEX(PASTE_ALL,$DF284,31)&amp;"","")&amp;"␟"&amp;IFERROR(INDEX(PASTE_ALL,$DF284,32)&amp;"","")&amp;"␟"&amp;IFERROR(INDEX(PASTE_ALL,$DF284,33)&amp;"","")&amp;"␟"&amp;IFERROR(INDEX(PASTE_ALL,$DF284,34)&amp;"","")&amp;"␟"&amp;IFERROR(INDEX(PASTE_ALL,$DF284,35)&amp;"","")&amp;"␟"&amp;IFERROR(INDEX(PASTE_ALL,$DF284,36)&amp;"","")&amp;"␟"&amp;IFERROR(INDEX(PASTE_ALL,$DF284,37)&amp;"","")&amp;"␟"&amp;IFERROR(INDEX(PASTE_ALL,$DF284,38)&amp;"","")&amp;"␟"&amp;IFERROR(INDEX(PASTE_ALL,$DF284,39)&amp;"","")&amp;"␟"&amp;IFERROR(INDEX(PASTE_ALL,$DF284,40)&amp;"","")&amp;"␟"&amp;IFERROR(INDEX(PASTE_ALL,$DF284,41)&amp;"","")&amp;"␟"&amp;IFERROR(INDEX(PASTE_ALL,$DF284,42)&amp;"","")&amp;"␟"&amp;IFERROR(INDEX(PASTE_ALL,$DF284,43)&amp;"","")&amp;"␟"&amp;IFERROR(INDEX(PASTE_ALL,$DF284,44)&amp;"","")&amp;"␟"&amp;IFERROR(INDEX(PASTE_ALL,$DF284,45)&amp;"","")&amp;"␟"&amp;IFERROR(INDEX(PASTE_ALL,$DF284,46)&amp;"","")&amp;"␟"&amp;IFERROR(INDEX(PASTE_ALL,$DF284,47)&amp;"","")&amp;"␟"&amp;IFERROR(INDEX(PASTE_ALL,$DF284,48)&amp;"","")&amp;"␟"&amp;IFERROR(INDEX(PASTE_ALL,$DF284,49)&amp;"","")&amp;"␟"&amp;IFERROR(INDEX(PASTE_ALL,$DF284,50)&amp;"","")&amp;"␟"&amp;IFERROR(INDEX(PASTE_ALL,$DF284,51)&amp;"","")&amp;"␟"&amp;IFERROR(INDEX(PASTE_ALL,$DF284,52)&amp;"","")&amp;"␟"&amp;IFERROR(INDEX(PASTE_ALL,$DF284,53)&amp;"","")&amp;"␟"&amp;IFERROR(INDEX(PASTE_ALL,$DF284,54)&amp;"","")&amp;"␟"&amp;IFERROR(INDEX(PASTE_ALL,$DF284,55)&amp;"","")&amp;"␟"&amp;IFERROR(INDEX(PASTE_ALL,$DF284,56)&amp;"","")&amp;"␟"&amp;IFERROR(INDEX(PASTE_ALL,$DF284,57)&amp;"","")&amp;"␟"&amp;IFERROR(INDEX(PASTE_ALL,$DF284,58)&amp;"","")&amp;"␟"&amp;IFERROR(INDEX(PASTE_ALL,$DF284,59)&amp;"","")&amp;"␟"&amp;IFERROR(INDEX(PASTE_ALL,$DF284,60)&amp;"","")," "," "),CHAR(9)," "),CHAR(10)," "),CHAR(13)," "))," ␟","␟"),"␟ ","␟"),"#"&amp;$DE284),"")</f>
        <v/>
      </c>
      <c r="DJ284">
        <f>IF($DI284="",0,IF(SUMPRODUCT(--EXACT($DI$4:DI283,$DI284))&gt;0,1,0))</f>
        <v/>
      </c>
      <c r="DK284">
        <f>IF(AND($DI284&lt;&gt;"",$DJ284=0),1,0)</f>
        <v/>
      </c>
      <c r="DL284">
        <f>DL283+$DK284</f>
        <v/>
      </c>
      <c r="DM284">
        <f>IF(AND($DK284=1,$DL284&lt;=600),1,0)</f>
        <v/>
      </c>
      <c r="DN284">
        <f>IF($DM284=0,"",IF($L$6=0,"",IFERROR(IF(ISNUMBER(INDEX(PASTE_ALL,$DF284,$L$6)),INDEX(PASTE_ALL,$DF284,$L$6),TRIM(SUBSTITUTE(SUBSTITUTE(SUBSTITUTE(SUBSTITUTE(INDEX(PASTE_ALL,$DF284,$L$6)," "," "),CHAR(9)," "),CHAR(10)," "),CHAR(13)," "))),"")))</f>
        <v/>
      </c>
      <c r="DO284">
        <f>IF($DM284=0,"",IF($L$7=0,"",IFERROR(IF(ISNUMBER(INDEX(PASTE_ALL,$DF284,$L$7)),INDEX(PASTE_ALL,$DF284,$L$7),TRIM(SUBSTITUTE(SUBSTITUTE(SUBSTITUTE(SUBSTITUTE(INDEX(PASTE_ALL,$DF284,$L$7)," "," "),CHAR(9)," "),CHAR(10)," "),CHAR(13)," "))),"")))</f>
        <v/>
      </c>
      <c r="DP284">
        <f>IF($DM284=0,"",IF($L$8=0,"",IFERROR(IF(ISNUMBER(INDEX(PASTE_ALL,$DF284,$L$8)),INDEX(PASTE_ALL,$DF284,$L$8),TRIM(SUBSTITUTE(SUBSTITUTE(SUBSTITUTE(SUBSTITUTE(INDEX(PASTE_ALL,$DF284,$L$8)," "," "),CHAR(9)," "),CHAR(10)," "),CHAR(13)," "))),"")))</f>
        <v/>
      </c>
      <c r="DQ284">
        <f>IF($DM284=0,"",IF($L$9=0,"",IFERROR(IF(ISNUMBER(INDEX(PASTE_ALL,$DF284,$L$9)),INDEX(PASTE_ALL,$DF284,$L$9),TRIM(SUBSTITUTE(SUBSTITUTE(SUBSTITUTE(SUBSTITUTE(INDEX(PASTE_ALL,$DF284,$L$9)," "," "),CHAR(9)," "),CHAR(10)," "),CHAR(13)," "))),"")))</f>
        <v/>
      </c>
      <c r="DR284">
        <f>IF($DM284=0,"",IF($L$10=0,"",IFERROR(IF(ISNUMBER(INDEX(PASTE_ALL,$DF284,$L$10)),INDEX(PASTE_ALL,$DF284,$L$10),TRIM(SUBSTITUTE(SUBSTITUTE(SUBSTITUTE(SUBSTITUTE(INDEX(PASTE_ALL,$DF284,$L$10)," "," "),CHAR(9)," "),CHAR(10)," "),CHAR(13)," "))),"")))</f>
        <v/>
      </c>
      <c r="DS284">
        <f>IF($DM284=0,"",IF($L$11=0,"",IFERROR(IF(ISNUMBER(INDEX(PASTE_ALL,$DF284,$L$11)),INDEX(PASTE_ALL,$DF284,$L$11),TRIM(SUBSTITUTE(SUBSTITUTE(SUBSTITUTE(SUBSTITUTE(INDEX(PASTE_ALL,$DF284,$L$11)," "," "),CHAR(9)," "),CHAR(10)," "),CHAR(13)," "))),"")))</f>
        <v/>
      </c>
      <c r="DT284">
        <f>IF($DM284=0,"",IF($L$12=0,"",IFERROR(IF(ISNUMBER(INDEX(PASTE_ALL,$DF284,$L$12)),INDEX(PASTE_ALL,$DF284,$L$12),TRIM(SUBSTITUTE(SUBSTITUTE(SUBSTITUTE(SUBSTITUTE(INDEX(PASTE_ALL,$DF284,$L$12)," "," "),CHAR(9)," "),CHAR(10)," "),CHAR(13)," "))),"")))</f>
        <v/>
      </c>
      <c r="DU284">
        <f>IF($DM284=0,"",IF($L$13=0,"",IFERROR(IF(ISNUMBER(INDEX(PASTE_ALL,$DF284,$L$13)),INDEX(PASTE_ALL,$DF284,$L$13),TRIM(SUBSTITUTE(SUBSTITUTE(SUBSTITUTE(SUBSTITUTE(INDEX(PASTE_ALL,$DF284,$L$13)," "," "),CHAR(9)," "),CHAR(10)," "),CHAR(13)," "))),"")))</f>
        <v/>
      </c>
      <c r="DV284">
        <f>IF($DM284=0,"",IF($L$14=0,"",IFERROR(IF(ISNUMBER(INDEX(PASTE_ALL,$DF284,$L$14)),INDEX(PASTE_ALL,$DF284,$L$14),TRIM(SUBSTITUTE(SUBSTITUTE(SUBSTITUTE(SUBSTITUTE(INDEX(PASTE_ALL,$DF284,$L$14)," "," "),CHAR(9)," "),CHAR(10)," "),CHAR(13)," "))),"")))</f>
        <v/>
      </c>
      <c r="DW284">
        <f>IF($DM284=0,"",IF($L$15=0,"",IFERROR(IF(ISNUMBER(INDEX(PASTE_ALL,$DF284,$L$15)),INDEX(PASTE_ALL,$DF284,$L$15),IF(SUMPRODUCT(--ISNUMBER(FIND({"A","B","C","D","E","F","G","H","I","J","K","L","M","N","O","P","Q","R","S","T","U","V","W","X","Y","Z","0","1","2","3","4","5","6","7","8","9"},UPPER(TRIM(SUBSTITUTE(SUBSTITUTE(SUBSTITUTE(SUBSTITUTE(INDEX(PASTE_ALL,$DF284,$L$15)," "," "),CHAR(9)," "),CHAR(10)," "),CHAR(13)," "))))))&gt;0,TRIM(SUBSTITUTE(SUBSTITUTE(SUBSTITUTE(SUBSTITUTE(INDEX(PASTE_ALL,$DF284,$L$15)," "," "),CHAR(9)," "),CHAR(10)," "),CHAR(13)," ")),"")),"")))</f>
        <v/>
      </c>
      <c r="DX284">
        <f>IF($DM284=0,"",IF($L$16=0,"",IFERROR(IF(ISNUMBER(INDEX(PASTE_ALL,$DF284,$L$16)),INDEX(PASTE_ALL,$DF284,$L$16),SUBSTITUTE(SUBSTITUTE(TRIM(SUBSTITUTE(SUBSTITUTE(SUBSTITUTE(SUBSTITUTE(INDEX(PASTE_ALL,$DF284,$L$16)," "," "),CHAR(9)," "),CHAR(10)," "),CHAR(13)," ")),",",""),"%","")),"")))</f>
        <v/>
      </c>
      <c r="DY284">
        <f>IF($DM284=0,"",IFERROR(IF(ISNUMBER($DX284),$DX284,IF($DX284="","",IF(TRIM($DX284)="",0,IF(AND(AND(SUBSTITUTE(SUBSTITUTE(SUBSTITUTE(SUBSTITUTE(SUBSTITUTE(SUBSTITUTE(SUBSTITUTE(SUBSTITUTE(SUBSTITUTE(SUBSTITUTE(SUBSTITUTE(SUBSTITUTE(SUBSTITUTE(SUBSTITUTE(UPPER(TRIM($DX284)),"0",""),"1",""),"2",""),"3",""),"4",""),"5",""),"6",""),"7",""),"8",""),"9",""),".",""),"+",""),"-",""),"E","")="",LEN(SUBSTITUTE(SUBSTITUTE(MID(UPPER(TRIM($DX284)),1+OR(LEFT(UPPER(TRIM($DX284)),1)="+",LEFT(UPPER(TRIM($DX284)),1)="-"),999),"E+","E"),"E-","E"))=LEN(SUBSTITUTE(SUBSTITUTE(SUBSTITUTE(SUBSTITUTE(MID(UPPER(TRIM($DX284)),1+OR(LEFT(UPPER(TRIM($DX284)),1)="+",LEFT(UPPER(TRIM($DX284)),1)="-"),999),"E+","E"),"E-","E"),"+",""),"-","")),LEN(UPPER(TRIM($DX284)))-LEN(SUBSTITUTE(UPPER(TRIM($DX284)),"E",""))&lt;2,LEN(UPPER(TRIM($DX284)))-LEN(SUBSTITUTE(UPPER(TRIM($DX284)),".",""))&lt;2,IFERROR(FIND(".",UPPER(TRIM($DX284))),0)&lt;IFERROR(FIND("E",UPPER(TRIM($DX284))),999)),ISNUMBER(VALUE(TRIM($DX284)))),VALUE(TRIM($DX284)),"")))),""))</f>
        <v/>
      </c>
      <c r="DZ284">
        <f>IF($DM284=0,"",IF($L$17=0,"",IFERROR(IF(ISNUMBER(INDEX(PASTE_ALL,$DF284,$L$17)),INDEX(PASTE_ALL,$DF284,$L$17),SUBSTITUTE(SUBSTITUTE(TRIM(SUBSTITUTE(SUBSTITUTE(SUBSTITUTE(SUBSTITUTE(INDEX(PASTE_ALL,$DF284,$L$17)," "," "),CHAR(9)," "),CHAR(10)," "),CHAR(13)," ")),",",""),"%","")),"")))</f>
        <v/>
      </c>
      <c r="EA284">
        <f>IF($DM284=0,"",IFERROR(IF(ISNUMBER($DZ284),$DZ284,IF($DZ284="","",IF(TRIM($DZ284)="",0,IF(AND(AND(SUBSTITUTE(SUBSTITUTE(SUBSTITUTE(SUBSTITUTE(SUBSTITUTE(SUBSTITUTE(SUBSTITUTE(SUBSTITUTE(SUBSTITUTE(SUBSTITUTE(SUBSTITUTE(SUBSTITUTE(SUBSTITUTE(SUBSTITUTE(UPPER(TRIM($DZ284)),"0",""),"1",""),"2",""),"3",""),"4",""),"5",""),"6",""),"7",""),"8",""),"9",""),".",""),"+",""),"-",""),"E","")="",LEN(SUBSTITUTE(SUBSTITUTE(MID(UPPER(TRIM($DZ284)),1+OR(LEFT(UPPER(TRIM($DZ284)),1)="+",LEFT(UPPER(TRIM($DZ284)),1)="-"),999),"E+","E"),"E-","E"))=LEN(SUBSTITUTE(SUBSTITUTE(SUBSTITUTE(SUBSTITUTE(MID(UPPER(TRIM($DZ284)),1+OR(LEFT(UPPER(TRIM($DZ284)),1)="+",LEFT(UPPER(TRIM($DZ284)),1)="-"),999),"E+","E"),"E-","E"),"+",""),"-","")),LEN(UPPER(TRIM($DZ284)))-LEN(SUBSTITUTE(UPPER(TRIM($DZ284)),"E",""))&lt;2,LEN(UPPER(TRIM($DZ284)))-LEN(SUBSTITUTE(UPPER(TRIM($DZ284)),".",""))&lt;2,IFERROR(FIND(".",UPPER(TRIM($DZ284))),0)&lt;IFERROR(FIND("E",UPPER(TRIM($DZ284))),999)),ISNUMBER(VALUE(TRIM($DZ284)))),VALUE(TRIM($DZ284)),"")))),""))</f>
        <v/>
      </c>
      <c r="EB284">
        <f>IF($DM284=0,"",IF($L$18=0,"",IFERROR(IF(UPPER(TRIM(SUBSTITUTE(SUBSTITUTE(SUBSTITUTE(SUBSTITUTE(INDEX(PASTE_ALL,$DF284,$L$18)," "," "),CHAR(9)," "),CHAR(10)," "),CHAR(13)," ")))="READY","Ready",IF(UPPER(TRIM(SUBSTITUTE(SUBSTITUTE(SUBSTITUTE(SUBSTITUTE(INDEX(PASTE_ALL,$DF284,$L$18)," "," "),CHAR(9)," "),CHAR(10)," "),CHAR(13)," ")))="PM","PM",IF(OR(UPPER(TRIM(SUBSTITUTE(SUBSTITUTE(SUBSTITUTE(SUBSTITUTE(INDEX(PASTE_ALL,$DF284,$L$18)," "," "),CHAR(9)," "),CHAR(10)," "),CHAR(13)," ")))="OT",UPPER(TRIM(SUBSTITUTE(SUBSTITUTE(SUBSTITUTE(SUBSTITUTE(INDEX(PASTE_ALL,$DF284,$L$18)," "," "),CHAR(9)," "),CHAR(10)," "),CHAR(13)," ")))="OVERTIME",UPPER(TRIM(SUBSTITUTE(SUBSTITUTE(SUBSTITUTE(SUBSTITUTE(INDEX(PASTE_ALL,$DF284,$L$18)," "," "),CHAR(9)," "),CHAR(10)," "),CHAR(13)," ")))="TRIAL"),"OT",TRIM(SUBSTITUTE(SUBSTITUTE(SUBSTITUTE(SUBSTITUTE(INDEX(PASTE_ALL,$DF284,$L$18)," "," "),CHAR(9)," "),CHAR(10)," "),CHAR(13)," "))))),"")))</f>
        <v/>
      </c>
      <c r="EC284">
        <f>IF($DM284=0,"",IF($L$19=0,"",IFERROR(IF(ISNUMBER(INDEX(PASTE_ALL,$DF284,$L$19)),INDEX(PASTE_ALL,$DF284,$L$19),TRIM(SUBSTITUTE(SUBSTITUTE(SUBSTITUTE(SUBSTITUTE(INDEX(PASTE_ALL,$DF284,$L$19)," "," "),CHAR(9)," "),CHAR(10)," "),CHAR(13)," "))),"")))</f>
        <v/>
      </c>
      <c r="ED284">
        <f>IF($DM284=0,"",MATCH(1,INDEX(EXACT($DH$5:DH284,$DH284)*$DM$5:DM284,0),0))</f>
        <v/>
      </c>
      <c r="EE284">
        <f>IF($DM284=0,0,IF($ED284=$DE284,1,0))</f>
        <v/>
      </c>
      <c r="EF284">
        <f>EF283+$EE284</f>
        <v/>
      </c>
      <c r="EG284">
        <f>IF($DM284=0,"",INDEX($EF$5:$EF$1003,$ED284))</f>
        <v/>
      </c>
      <c r="EH284">
        <f>IF($DM284=0,"",IF($DO284&lt;&gt;"","",IFERROR(LOOKUP(2,1/(($EG$4:EG283=$EG284)*($DO$4:DO283&lt;&gt;"")),$DO$4:DO283),"")))</f>
        <v/>
      </c>
      <c r="EI284">
        <f>IF($DM284=0,"",IF($DO284&lt;&gt;"",$DO284,$EH284))</f>
        <v/>
      </c>
      <c r="EJ284">
        <f>IF($DM284=0,"",IF($EI284="",0,IF(OR(ISNUMBER($EI284),AND(AND(SUBSTITUTE(SUBSTITUTE(SUBSTITUTE(SUBSTITUTE(SUBSTITUTE(SUBSTITUTE(SUBSTITUTE(SUBSTITUTE(SUBSTITUTE(SUBSTITUTE(SUBSTITUTE(SUBSTITUTE(SUBSTITUTE(SUBSTITUTE(UPPER($EI284),"0",""),"1",""),"2",""),"3",""),"4",""),"5",""),"6",""),"7",""),"8",""),"9",""),".",""),"+",""),"-",""),"E","")="",LEN(SUBSTITUTE(SUBSTITUTE(MID(UPPER($EI284),1+OR(LEFT(UPPER($EI284),1)="+",LEFT(UPPER($EI284),1)="-"),999),"E+","E"),"E-","E"))=LEN(SUBSTITUTE(SUBSTITUTE(SUBSTITUTE(SUBSTITUTE(MID(UPPER($EI284),1+OR(LEFT(UPPER($EI284),1)="+",LEFT(UPPER($EI284),1)="-"),999),"E+","E"),"E-","E"),"+",""),"-","")),LEN(UPPER($EI284))-LEN(SUBSTITUTE(UPPER($EI284),"E",""))&lt;2,LEN(UPPER($EI284))-LEN(SUBSTITUTE(UPPER($EI284),".",""))&lt;2,IFERROR(FIND(".",UPPER($EI284)),0)&lt;IFERROR(FIND("E",UPPER($EI284)),999)),ISNUMBER(VALUE($EI284)))),1,2)))</f>
        <v/>
      </c>
      <c r="EK284">
        <f>IF($DM284=0,"",IF($EJ284=1,IF(ISNUMBER($EI284),$EI284,VALUE($EI284)),IF($EJ284=2,$DE284,0)))</f>
        <v/>
      </c>
      <c r="EL284">
        <f>IF($DM284=0,"",COUNTIF($EG$5:$EG$1003,"&lt;"&amp;$EG284)+SUMPRODUCT(($EG$5:$EG$1003=$EG284)*(($EJ$5:$EJ$1003&lt;$EJ284)+($EJ$5:$EJ$1003=$EJ284)*(($EK$5:$EK$1003&lt;$EK284)+($EK$5:$EK$1003=$EK284)*($DE$5:$DE$1003&lt;$DE284))))+1)</f>
        <v/>
      </c>
      <c r="EM284">
        <f>IF($DM284=0,"",$EL284+$EG284-1)</f>
        <v/>
      </c>
      <c r="EN284">
        <f>IF($DM284=0,0,IFERROR(MATCH(1,INDEX(--(TRIM(SUBSTITUTE(SUBSTITUTE(SUBSTITUTE(SUBSTITUTE(LINES_NAME&amp;""," "," "),CHAR(9)," "),CHAR(10)," "),CHAR(13)," "))=$DH284),0),0),0))</f>
        <v/>
      </c>
      <c r="EO284">
        <f>IF($EN284=0,0,IF(OR(UPPER(TRIM(INDEX(LINES_SCHEDULED,$EN284)&amp;""))="YES",UPPER(TRIM(INDEX(LINES_SCHEDULED,$EN284)&amp;""))="Y",UPPER(TRIM(INDEX(LINES_SCHEDULED,$EN284)&amp;""))="X"),1,0))</f>
        <v/>
      </c>
      <c r="EP284">
        <f>IF($DM284=0,"",IF(COUNTIFS($EG$5:$EG$1003,$EG284,$EB$5:$EB$1003,"Ready")&gt;0,"READY",IF(COUNTIFS($EG$5:$EG$1003,$EG284,$EB$5:$EB$1003,"PM")&gt;0,"PM",IF(COUNTIFS($EG$5:$EG$1003,$EG284,$EB$5:$EB$1003,"OT")&gt;0,"OT",""))))</f>
        <v/>
      </c>
      <c r="EQ284">
        <f>IF($EN284=0,"",UPPER(TRIM(INDEX(LINES_STATUS,$EN284)&amp;"")))</f>
        <v/>
      </c>
      <c r="ER284">
        <f>IF($DM284=0,"",IF(OR($EQ284="READY",$EQ284="PM",$EQ284="OT"),$EQ284,$EP284))</f>
        <v/>
      </c>
      <c r="ES284">
        <f>IF($DM284=0,"",IF(AND($DV284&lt;&gt;"",UPPER($DV284)&lt;&gt;"N"),"allergen",IF(ISNUMBER(SEARCH("oil",$DQ284)),"oil",IF(OR(EXACT($DS284,"A662"),EXACT($DS284,"A624")),"bulk",""))))</f>
        <v/>
      </c>
      <c r="ET284">
        <f>IF($DM284=0,"",IF(OR($EA284="",$EA284=0),"",$EA284/100))</f>
        <v/>
      </c>
      <c r="EU284">
        <f>IF(OR($ET284="",$DY284=""),"",INT($DY284*(1-$ET284)+0.5))</f>
        <v/>
      </c>
      <c r="EW284" t="n">
        <v>280</v>
      </c>
      <c r="EX284">
        <f>IFERROR(MATCH($EW284,$EM$5:$EM$1003,0),0)</f>
        <v/>
      </c>
      <c r="EY284">
        <f>IF($EW284&gt;$B$12,"",IF($EX284&gt;0,"row","spacer"))</f>
        <v/>
      </c>
      <c r="EZ284">
        <f>IF(AND($EY284="row",$EY283&lt;&gt;"row"),1,0)</f>
        <v/>
      </c>
      <c r="FA284">
        <f>IF(AND($EY284="row",$EY285&lt;&gt;"row"),1,0)</f>
        <v/>
      </c>
      <c r="FB284">
        <f>IF($EZ284=1,IFERROR(IF(ISNUMBER(INDEX(PASTE_ALL,INDEX($DF$5:$DF$1003,$EX284),$B$37)),INDEX(PASTE_ALL,INDEX($DF$5:$DF$1003,$EX284),$B$37),INDEX($DH$5:$DH$1003,$EX284)),INDEX($DH$5:$DH$1003,$EX284)),"")</f>
        <v/>
      </c>
      <c r="FC284">
        <f>IF($EY284="row",INDEX($ER$5:$ER$1003,$EX284),"")</f>
        <v/>
      </c>
      <c r="FD284">
        <f>IF($EY284="row",INDEX($DN$5:$DN$1003,$EX284),"")</f>
        <v/>
      </c>
      <c r="FE284">
        <f>IF($EY284="row",INDEX($DO$5:$DO$1003,$EX284),"")</f>
        <v/>
      </c>
      <c r="FF284">
        <f>IF($EY284="row",INDEX($DP$5:$DP$1003,$EX284),"")</f>
        <v/>
      </c>
      <c r="FG284">
        <f>IF($EY284="row",INDEX($DQ$5:$DQ$1003,$EX284),"")</f>
        <v/>
      </c>
      <c r="FH284">
        <f>IF($EY284="row",INDEX($DR$5:$DR$1003,$EX284),"")</f>
        <v/>
      </c>
      <c r="FI284">
        <f>IF($EY284="row",INDEX($DS$5:$DS$1003,$EX284),"")</f>
        <v/>
      </c>
      <c r="FJ284">
        <f>IF($EY284="row",INDEX($DT$5:$DT$1003,$EX284),"")</f>
        <v/>
      </c>
      <c r="FK284">
        <f>IF($EY284="row",INDEX($DU$5:$DU$1003,$EX284),"")</f>
        <v/>
      </c>
      <c r="FL284">
        <f>IF($EY284="row",INDEX($DV$5:$DV$1003,$EX284),"")</f>
        <v/>
      </c>
      <c r="FM284">
        <f>IF($EY284="row",INDEX($DW$5:$DW$1003,$EX284),"")</f>
        <v/>
      </c>
      <c r="FN284">
        <f>IF($EY284="row",INDEX($DY$5:$DY$1003,$EX284),"")</f>
        <v/>
      </c>
      <c r="FO284">
        <f>IF($EY284="row",INDEX($EA$5:$EA$1003,$EX284),"")</f>
        <v/>
      </c>
      <c r="FP284">
        <f>IF($EY284="row",INDEX($EC$5:$EC$1003,$EX284),"")</f>
        <v/>
      </c>
      <c r="FQ284">
        <f>IF($EY284="row",INDEX($ET$5:$ET$1003,$EX284),"")</f>
        <v/>
      </c>
      <c r="FR284">
        <f>IF($EY284="row",INDEX($EU$5:$EU$1003,$EX284),"")</f>
        <v/>
      </c>
      <c r="FS284">
        <f>IF(AND($EY284="row",$EY283="row"),IF(OR(INDEX($DT$5:$DT$1003,$EX283)="",INDEX($DT$5:$DT$1003,$EX284)=""),"",IF(NOT(EXACT(INDEX($DT$5:$DT$1003,$EX283),INDEX($DT$5:$DT$1003,$EX284))),"S4",IF(NOT(EXACT(INDEX($DS$5:$DS$1003,$EX283),INDEX($DS$5:$DS$1003,$EX284))),"S3",IF(NOT(EXACT(INDEX($DR$5:$DR$1003,$EX283),INDEX($DR$5:$DR$1003,$EX284))),"S1 Count Change","S1")))),"")</f>
        <v/>
      </c>
      <c r="FT284">
        <f>IF($EY284="row",INDEX($ES$5:$ES$1003,$EX284),"")</f>
        <v/>
      </c>
      <c r="FU284">
        <f>IF($EY284="row",INDEX($EO$5:$EO$1003,$EX284),0)</f>
        <v/>
      </c>
      <c r="FV284">
        <f>IF($FS284="S1 Count Change",1,0)</f>
        <v/>
      </c>
    </row>
    <row r="285">
      <c r="DA285" t="n">
        <v>281</v>
      </c>
      <c r="DB285">
        <f>IF($B$37=0,"",IFERROR(TRIM(SUBSTITUTE(SUBSTITUTE(SUBSTITUTE(SUBSTITUTE(INDEX(PASTE_ALL,281,$B$37)," "," "),CHAR(9)," "),CHAR(10)," "),CHAR(13)," ")),""))</f>
        <v/>
      </c>
      <c r="DC285">
        <f>IF(AND(281&gt;HEADER_ROW,UPPER(DB285)="LEGEND"),1,0)</f>
        <v/>
      </c>
      <c r="DE285" t="n">
        <v>281</v>
      </c>
      <c r="DF285">
        <f>HEADER_ROW+$DE285</f>
        <v/>
      </c>
      <c r="DG285">
        <f>IF(AND($DF285&lt;=1000,$DF285&lt;$B$8),1,0)</f>
        <v/>
      </c>
      <c r="DH285">
        <f>IF($DG285=1,IFERROR(INDEX($DB$5:$DB$1004,$DF285),""),"")</f>
        <v/>
      </c>
      <c r="DI285">
        <f>IF(AND($DG285=1,$DH285&lt;&gt;""),IFERROR(SUBSTITUTE(SUBSTITUTE(TRIM(SUBSTITUTE(SUBSTITUTE(SUBSTITUTE(SUBSTITUTE(IFERROR(INDEX(PASTE_ALL,$DF285,1)&amp;"","")&amp;"␟"&amp;IFERROR(INDEX(PASTE_ALL,$DF285,2)&amp;"","")&amp;"␟"&amp;IFERROR(INDEX(PASTE_ALL,$DF285,3)&amp;"","")&amp;"␟"&amp;IFERROR(INDEX(PASTE_ALL,$DF285,4)&amp;"","")&amp;"␟"&amp;IFERROR(INDEX(PASTE_ALL,$DF285,5)&amp;"","")&amp;"␟"&amp;IFERROR(INDEX(PASTE_ALL,$DF285,6)&amp;"","")&amp;"␟"&amp;IFERROR(INDEX(PASTE_ALL,$DF285,7)&amp;"","")&amp;"␟"&amp;IFERROR(INDEX(PASTE_ALL,$DF285,8)&amp;"","")&amp;"␟"&amp;IFERROR(INDEX(PASTE_ALL,$DF285,9)&amp;"","")&amp;"␟"&amp;IFERROR(INDEX(PASTE_ALL,$DF285,10)&amp;"","")&amp;"␟"&amp;IFERROR(INDEX(PASTE_ALL,$DF285,11)&amp;"","")&amp;"␟"&amp;IFERROR(INDEX(PASTE_ALL,$DF285,12)&amp;"","")&amp;"␟"&amp;IFERROR(INDEX(PASTE_ALL,$DF285,13)&amp;"","")&amp;"␟"&amp;IFERROR(INDEX(PASTE_ALL,$DF285,14)&amp;"","")&amp;"␟"&amp;IFERROR(INDEX(PASTE_ALL,$DF285,15)&amp;"","")&amp;"␟"&amp;IFERROR(INDEX(PASTE_ALL,$DF285,16)&amp;"","")&amp;"␟"&amp;IFERROR(INDEX(PASTE_ALL,$DF285,17)&amp;"","")&amp;"␟"&amp;IFERROR(INDEX(PASTE_ALL,$DF285,18)&amp;"","")&amp;"␟"&amp;IFERROR(INDEX(PASTE_ALL,$DF285,19)&amp;"","")&amp;"␟"&amp;IFERROR(INDEX(PASTE_ALL,$DF285,20)&amp;"","")&amp;"␟"&amp;IFERROR(INDEX(PASTE_ALL,$DF285,21)&amp;"","")&amp;"␟"&amp;IFERROR(INDEX(PASTE_ALL,$DF285,22)&amp;"","")&amp;"␟"&amp;IFERROR(INDEX(PASTE_ALL,$DF285,23)&amp;"","")&amp;"␟"&amp;IFERROR(INDEX(PASTE_ALL,$DF285,24)&amp;"","")&amp;"␟"&amp;IFERROR(INDEX(PASTE_ALL,$DF285,25)&amp;"","")&amp;"␟"&amp;IFERROR(INDEX(PASTE_ALL,$DF285,26)&amp;"","")&amp;"␟"&amp;IFERROR(INDEX(PASTE_ALL,$DF285,27)&amp;"","")&amp;"␟"&amp;IFERROR(INDEX(PASTE_ALL,$DF285,28)&amp;"","")&amp;"␟"&amp;IFERROR(INDEX(PASTE_ALL,$DF285,29)&amp;"","")&amp;"␟"&amp;IFERROR(INDEX(PASTE_ALL,$DF285,30)&amp;"","")&amp;"␟"&amp;IFERROR(INDEX(PASTE_ALL,$DF285,31)&amp;"","")&amp;"␟"&amp;IFERROR(INDEX(PASTE_ALL,$DF285,32)&amp;"","")&amp;"␟"&amp;IFERROR(INDEX(PASTE_ALL,$DF285,33)&amp;"","")&amp;"␟"&amp;IFERROR(INDEX(PASTE_ALL,$DF285,34)&amp;"","")&amp;"␟"&amp;IFERROR(INDEX(PASTE_ALL,$DF285,35)&amp;"","")&amp;"␟"&amp;IFERROR(INDEX(PASTE_ALL,$DF285,36)&amp;"","")&amp;"␟"&amp;IFERROR(INDEX(PASTE_ALL,$DF285,37)&amp;"","")&amp;"␟"&amp;IFERROR(INDEX(PASTE_ALL,$DF285,38)&amp;"","")&amp;"␟"&amp;IFERROR(INDEX(PASTE_ALL,$DF285,39)&amp;"","")&amp;"␟"&amp;IFERROR(INDEX(PASTE_ALL,$DF285,40)&amp;"","")&amp;"␟"&amp;IFERROR(INDEX(PASTE_ALL,$DF285,41)&amp;"","")&amp;"␟"&amp;IFERROR(INDEX(PASTE_ALL,$DF285,42)&amp;"","")&amp;"␟"&amp;IFERROR(INDEX(PASTE_ALL,$DF285,43)&amp;"","")&amp;"␟"&amp;IFERROR(INDEX(PASTE_ALL,$DF285,44)&amp;"","")&amp;"␟"&amp;IFERROR(INDEX(PASTE_ALL,$DF285,45)&amp;"","")&amp;"␟"&amp;IFERROR(INDEX(PASTE_ALL,$DF285,46)&amp;"","")&amp;"␟"&amp;IFERROR(INDEX(PASTE_ALL,$DF285,47)&amp;"","")&amp;"␟"&amp;IFERROR(INDEX(PASTE_ALL,$DF285,48)&amp;"","")&amp;"␟"&amp;IFERROR(INDEX(PASTE_ALL,$DF285,49)&amp;"","")&amp;"␟"&amp;IFERROR(INDEX(PASTE_ALL,$DF285,50)&amp;"","")&amp;"␟"&amp;IFERROR(INDEX(PASTE_ALL,$DF285,51)&amp;"","")&amp;"␟"&amp;IFERROR(INDEX(PASTE_ALL,$DF285,52)&amp;"","")&amp;"␟"&amp;IFERROR(INDEX(PASTE_ALL,$DF285,53)&amp;"","")&amp;"␟"&amp;IFERROR(INDEX(PASTE_ALL,$DF285,54)&amp;"","")&amp;"␟"&amp;IFERROR(INDEX(PASTE_ALL,$DF285,55)&amp;"","")&amp;"␟"&amp;IFERROR(INDEX(PASTE_ALL,$DF285,56)&amp;"","")&amp;"␟"&amp;IFERROR(INDEX(PASTE_ALL,$DF285,57)&amp;"","")&amp;"␟"&amp;IFERROR(INDEX(PASTE_ALL,$DF285,58)&amp;"","")&amp;"␟"&amp;IFERROR(INDEX(PASTE_ALL,$DF285,59)&amp;"","")&amp;"␟"&amp;IFERROR(INDEX(PASTE_ALL,$DF285,60)&amp;"","")," "," "),CHAR(9)," "),CHAR(10)," "),CHAR(13)," "))," ␟","␟"),"␟ ","␟"),"#"&amp;$DE285),"")</f>
        <v/>
      </c>
      <c r="DJ285">
        <f>IF($DI285="",0,IF(SUMPRODUCT(--EXACT($DI$4:DI284,$DI285))&gt;0,1,0))</f>
        <v/>
      </c>
      <c r="DK285">
        <f>IF(AND($DI285&lt;&gt;"",$DJ285=0),1,0)</f>
        <v/>
      </c>
      <c r="DL285">
        <f>DL284+$DK285</f>
        <v/>
      </c>
      <c r="DM285">
        <f>IF(AND($DK285=1,$DL285&lt;=600),1,0)</f>
        <v/>
      </c>
      <c r="DN285">
        <f>IF($DM285=0,"",IF($L$6=0,"",IFERROR(IF(ISNUMBER(INDEX(PASTE_ALL,$DF285,$L$6)),INDEX(PASTE_ALL,$DF285,$L$6),TRIM(SUBSTITUTE(SUBSTITUTE(SUBSTITUTE(SUBSTITUTE(INDEX(PASTE_ALL,$DF285,$L$6)," "," "),CHAR(9)," "),CHAR(10)," "),CHAR(13)," "))),"")))</f>
        <v/>
      </c>
      <c r="DO285">
        <f>IF($DM285=0,"",IF($L$7=0,"",IFERROR(IF(ISNUMBER(INDEX(PASTE_ALL,$DF285,$L$7)),INDEX(PASTE_ALL,$DF285,$L$7),TRIM(SUBSTITUTE(SUBSTITUTE(SUBSTITUTE(SUBSTITUTE(INDEX(PASTE_ALL,$DF285,$L$7)," "," "),CHAR(9)," "),CHAR(10)," "),CHAR(13)," "))),"")))</f>
        <v/>
      </c>
      <c r="DP285">
        <f>IF($DM285=0,"",IF($L$8=0,"",IFERROR(IF(ISNUMBER(INDEX(PASTE_ALL,$DF285,$L$8)),INDEX(PASTE_ALL,$DF285,$L$8),TRIM(SUBSTITUTE(SUBSTITUTE(SUBSTITUTE(SUBSTITUTE(INDEX(PASTE_ALL,$DF285,$L$8)," "," "),CHAR(9)," "),CHAR(10)," "),CHAR(13)," "))),"")))</f>
        <v/>
      </c>
      <c r="DQ285">
        <f>IF($DM285=0,"",IF($L$9=0,"",IFERROR(IF(ISNUMBER(INDEX(PASTE_ALL,$DF285,$L$9)),INDEX(PASTE_ALL,$DF285,$L$9),TRIM(SUBSTITUTE(SUBSTITUTE(SUBSTITUTE(SUBSTITUTE(INDEX(PASTE_ALL,$DF285,$L$9)," "," "),CHAR(9)," "),CHAR(10)," "),CHAR(13)," "))),"")))</f>
        <v/>
      </c>
      <c r="DR285">
        <f>IF($DM285=0,"",IF($L$10=0,"",IFERROR(IF(ISNUMBER(INDEX(PASTE_ALL,$DF285,$L$10)),INDEX(PASTE_ALL,$DF285,$L$10),TRIM(SUBSTITUTE(SUBSTITUTE(SUBSTITUTE(SUBSTITUTE(INDEX(PASTE_ALL,$DF285,$L$10)," "," "),CHAR(9)," "),CHAR(10)," "),CHAR(13)," "))),"")))</f>
        <v/>
      </c>
      <c r="DS285">
        <f>IF($DM285=0,"",IF($L$11=0,"",IFERROR(IF(ISNUMBER(INDEX(PASTE_ALL,$DF285,$L$11)),INDEX(PASTE_ALL,$DF285,$L$11),TRIM(SUBSTITUTE(SUBSTITUTE(SUBSTITUTE(SUBSTITUTE(INDEX(PASTE_ALL,$DF285,$L$11)," "," "),CHAR(9)," "),CHAR(10)," "),CHAR(13)," "))),"")))</f>
        <v/>
      </c>
      <c r="DT285">
        <f>IF($DM285=0,"",IF($L$12=0,"",IFERROR(IF(ISNUMBER(INDEX(PASTE_ALL,$DF285,$L$12)),INDEX(PASTE_ALL,$DF285,$L$12),TRIM(SUBSTITUTE(SUBSTITUTE(SUBSTITUTE(SUBSTITUTE(INDEX(PASTE_ALL,$DF285,$L$12)," "," "),CHAR(9)," "),CHAR(10)," "),CHAR(13)," "))),"")))</f>
        <v/>
      </c>
      <c r="DU285">
        <f>IF($DM285=0,"",IF($L$13=0,"",IFERROR(IF(ISNUMBER(INDEX(PASTE_ALL,$DF285,$L$13)),INDEX(PASTE_ALL,$DF285,$L$13),TRIM(SUBSTITUTE(SUBSTITUTE(SUBSTITUTE(SUBSTITUTE(INDEX(PASTE_ALL,$DF285,$L$13)," "," "),CHAR(9)," "),CHAR(10)," "),CHAR(13)," "))),"")))</f>
        <v/>
      </c>
      <c r="DV285">
        <f>IF($DM285=0,"",IF($L$14=0,"",IFERROR(IF(ISNUMBER(INDEX(PASTE_ALL,$DF285,$L$14)),INDEX(PASTE_ALL,$DF285,$L$14),TRIM(SUBSTITUTE(SUBSTITUTE(SUBSTITUTE(SUBSTITUTE(INDEX(PASTE_ALL,$DF285,$L$14)," "," "),CHAR(9)," "),CHAR(10)," "),CHAR(13)," "))),"")))</f>
        <v/>
      </c>
      <c r="DW285">
        <f>IF($DM285=0,"",IF($L$15=0,"",IFERROR(IF(ISNUMBER(INDEX(PASTE_ALL,$DF285,$L$15)),INDEX(PASTE_ALL,$DF285,$L$15),IF(SUMPRODUCT(--ISNUMBER(FIND({"A","B","C","D","E","F","G","H","I","J","K","L","M","N","O","P","Q","R","S","T","U","V","W","X","Y","Z","0","1","2","3","4","5","6","7","8","9"},UPPER(TRIM(SUBSTITUTE(SUBSTITUTE(SUBSTITUTE(SUBSTITUTE(INDEX(PASTE_ALL,$DF285,$L$15)," "," "),CHAR(9)," "),CHAR(10)," "),CHAR(13)," "))))))&gt;0,TRIM(SUBSTITUTE(SUBSTITUTE(SUBSTITUTE(SUBSTITUTE(INDEX(PASTE_ALL,$DF285,$L$15)," "," "),CHAR(9)," "),CHAR(10)," "),CHAR(13)," ")),"")),"")))</f>
        <v/>
      </c>
      <c r="DX285">
        <f>IF($DM285=0,"",IF($L$16=0,"",IFERROR(IF(ISNUMBER(INDEX(PASTE_ALL,$DF285,$L$16)),INDEX(PASTE_ALL,$DF285,$L$16),SUBSTITUTE(SUBSTITUTE(TRIM(SUBSTITUTE(SUBSTITUTE(SUBSTITUTE(SUBSTITUTE(INDEX(PASTE_ALL,$DF285,$L$16)," "," "),CHAR(9)," "),CHAR(10)," "),CHAR(13)," ")),",",""),"%","")),"")))</f>
        <v/>
      </c>
      <c r="DY285">
        <f>IF($DM285=0,"",IFERROR(IF(ISNUMBER($DX285),$DX285,IF($DX285="","",IF(TRIM($DX285)="",0,IF(AND(AND(SUBSTITUTE(SUBSTITUTE(SUBSTITUTE(SUBSTITUTE(SUBSTITUTE(SUBSTITUTE(SUBSTITUTE(SUBSTITUTE(SUBSTITUTE(SUBSTITUTE(SUBSTITUTE(SUBSTITUTE(SUBSTITUTE(SUBSTITUTE(UPPER(TRIM($DX285)),"0",""),"1",""),"2",""),"3",""),"4",""),"5",""),"6",""),"7",""),"8",""),"9",""),".",""),"+",""),"-",""),"E","")="",LEN(SUBSTITUTE(SUBSTITUTE(MID(UPPER(TRIM($DX285)),1+OR(LEFT(UPPER(TRIM($DX285)),1)="+",LEFT(UPPER(TRIM($DX285)),1)="-"),999),"E+","E"),"E-","E"))=LEN(SUBSTITUTE(SUBSTITUTE(SUBSTITUTE(SUBSTITUTE(MID(UPPER(TRIM($DX285)),1+OR(LEFT(UPPER(TRIM($DX285)),1)="+",LEFT(UPPER(TRIM($DX285)),1)="-"),999),"E+","E"),"E-","E"),"+",""),"-","")),LEN(UPPER(TRIM($DX285)))-LEN(SUBSTITUTE(UPPER(TRIM($DX285)),"E",""))&lt;2,LEN(UPPER(TRIM($DX285)))-LEN(SUBSTITUTE(UPPER(TRIM($DX285)),".",""))&lt;2,IFERROR(FIND(".",UPPER(TRIM($DX285))),0)&lt;IFERROR(FIND("E",UPPER(TRIM($DX285))),999)),ISNUMBER(VALUE(TRIM($DX285)))),VALUE(TRIM($DX285)),"")))),""))</f>
        <v/>
      </c>
      <c r="DZ285">
        <f>IF($DM285=0,"",IF($L$17=0,"",IFERROR(IF(ISNUMBER(INDEX(PASTE_ALL,$DF285,$L$17)),INDEX(PASTE_ALL,$DF285,$L$17),SUBSTITUTE(SUBSTITUTE(TRIM(SUBSTITUTE(SUBSTITUTE(SUBSTITUTE(SUBSTITUTE(INDEX(PASTE_ALL,$DF285,$L$17)," "," "),CHAR(9)," "),CHAR(10)," "),CHAR(13)," ")),",",""),"%","")),"")))</f>
        <v/>
      </c>
      <c r="EA285">
        <f>IF($DM285=0,"",IFERROR(IF(ISNUMBER($DZ285),$DZ285,IF($DZ285="","",IF(TRIM($DZ285)="",0,IF(AND(AND(SUBSTITUTE(SUBSTITUTE(SUBSTITUTE(SUBSTITUTE(SUBSTITUTE(SUBSTITUTE(SUBSTITUTE(SUBSTITUTE(SUBSTITUTE(SUBSTITUTE(SUBSTITUTE(SUBSTITUTE(SUBSTITUTE(SUBSTITUTE(UPPER(TRIM($DZ285)),"0",""),"1",""),"2",""),"3",""),"4",""),"5",""),"6",""),"7",""),"8",""),"9",""),".",""),"+",""),"-",""),"E","")="",LEN(SUBSTITUTE(SUBSTITUTE(MID(UPPER(TRIM($DZ285)),1+OR(LEFT(UPPER(TRIM($DZ285)),1)="+",LEFT(UPPER(TRIM($DZ285)),1)="-"),999),"E+","E"),"E-","E"))=LEN(SUBSTITUTE(SUBSTITUTE(SUBSTITUTE(SUBSTITUTE(MID(UPPER(TRIM($DZ285)),1+OR(LEFT(UPPER(TRIM($DZ285)),1)="+",LEFT(UPPER(TRIM($DZ285)),1)="-"),999),"E+","E"),"E-","E"),"+",""),"-","")),LEN(UPPER(TRIM($DZ285)))-LEN(SUBSTITUTE(UPPER(TRIM($DZ285)),"E",""))&lt;2,LEN(UPPER(TRIM($DZ285)))-LEN(SUBSTITUTE(UPPER(TRIM($DZ285)),".",""))&lt;2,IFERROR(FIND(".",UPPER(TRIM($DZ285))),0)&lt;IFERROR(FIND("E",UPPER(TRIM($DZ285))),999)),ISNUMBER(VALUE(TRIM($DZ285)))),VALUE(TRIM($DZ285)),"")))),""))</f>
        <v/>
      </c>
      <c r="EB285">
        <f>IF($DM285=0,"",IF($L$18=0,"",IFERROR(IF(UPPER(TRIM(SUBSTITUTE(SUBSTITUTE(SUBSTITUTE(SUBSTITUTE(INDEX(PASTE_ALL,$DF285,$L$18)," "," "),CHAR(9)," "),CHAR(10)," "),CHAR(13)," ")))="READY","Ready",IF(UPPER(TRIM(SUBSTITUTE(SUBSTITUTE(SUBSTITUTE(SUBSTITUTE(INDEX(PASTE_ALL,$DF285,$L$18)," "," "),CHAR(9)," "),CHAR(10)," "),CHAR(13)," ")))="PM","PM",IF(OR(UPPER(TRIM(SUBSTITUTE(SUBSTITUTE(SUBSTITUTE(SUBSTITUTE(INDEX(PASTE_ALL,$DF285,$L$18)," "," "),CHAR(9)," "),CHAR(10)," "),CHAR(13)," ")))="OT",UPPER(TRIM(SUBSTITUTE(SUBSTITUTE(SUBSTITUTE(SUBSTITUTE(INDEX(PASTE_ALL,$DF285,$L$18)," "," "),CHAR(9)," "),CHAR(10)," "),CHAR(13)," ")))="OVERTIME",UPPER(TRIM(SUBSTITUTE(SUBSTITUTE(SUBSTITUTE(SUBSTITUTE(INDEX(PASTE_ALL,$DF285,$L$18)," "," "),CHAR(9)," "),CHAR(10)," "),CHAR(13)," ")))="TRIAL"),"OT",TRIM(SUBSTITUTE(SUBSTITUTE(SUBSTITUTE(SUBSTITUTE(INDEX(PASTE_ALL,$DF285,$L$18)," "," "),CHAR(9)," "),CHAR(10)," "),CHAR(13)," "))))),"")))</f>
        <v/>
      </c>
      <c r="EC285">
        <f>IF($DM285=0,"",IF($L$19=0,"",IFERROR(IF(ISNUMBER(INDEX(PASTE_ALL,$DF285,$L$19)),INDEX(PASTE_ALL,$DF285,$L$19),TRIM(SUBSTITUTE(SUBSTITUTE(SUBSTITUTE(SUBSTITUTE(INDEX(PASTE_ALL,$DF285,$L$19)," "," "),CHAR(9)," "),CHAR(10)," "),CHAR(13)," "))),"")))</f>
        <v/>
      </c>
      <c r="ED285">
        <f>IF($DM285=0,"",MATCH(1,INDEX(EXACT($DH$5:DH285,$DH285)*$DM$5:DM285,0),0))</f>
        <v/>
      </c>
      <c r="EE285">
        <f>IF($DM285=0,0,IF($ED285=$DE285,1,0))</f>
        <v/>
      </c>
      <c r="EF285">
        <f>EF284+$EE285</f>
        <v/>
      </c>
      <c r="EG285">
        <f>IF($DM285=0,"",INDEX($EF$5:$EF$1003,$ED285))</f>
        <v/>
      </c>
      <c r="EH285">
        <f>IF($DM285=0,"",IF($DO285&lt;&gt;"","",IFERROR(LOOKUP(2,1/(($EG$4:EG284=$EG285)*($DO$4:DO284&lt;&gt;"")),$DO$4:DO284),"")))</f>
        <v/>
      </c>
      <c r="EI285">
        <f>IF($DM285=0,"",IF($DO285&lt;&gt;"",$DO285,$EH285))</f>
        <v/>
      </c>
      <c r="EJ285">
        <f>IF($DM285=0,"",IF($EI285="",0,IF(OR(ISNUMBER($EI285),AND(AND(SUBSTITUTE(SUBSTITUTE(SUBSTITUTE(SUBSTITUTE(SUBSTITUTE(SUBSTITUTE(SUBSTITUTE(SUBSTITUTE(SUBSTITUTE(SUBSTITUTE(SUBSTITUTE(SUBSTITUTE(SUBSTITUTE(SUBSTITUTE(UPPER($EI285),"0",""),"1",""),"2",""),"3",""),"4",""),"5",""),"6",""),"7",""),"8",""),"9",""),".",""),"+",""),"-",""),"E","")="",LEN(SUBSTITUTE(SUBSTITUTE(MID(UPPER($EI285),1+OR(LEFT(UPPER($EI285),1)="+",LEFT(UPPER($EI285),1)="-"),999),"E+","E"),"E-","E"))=LEN(SUBSTITUTE(SUBSTITUTE(SUBSTITUTE(SUBSTITUTE(MID(UPPER($EI285),1+OR(LEFT(UPPER($EI285),1)="+",LEFT(UPPER($EI285),1)="-"),999),"E+","E"),"E-","E"),"+",""),"-","")),LEN(UPPER($EI285))-LEN(SUBSTITUTE(UPPER($EI285),"E",""))&lt;2,LEN(UPPER($EI285))-LEN(SUBSTITUTE(UPPER($EI285),".",""))&lt;2,IFERROR(FIND(".",UPPER($EI285)),0)&lt;IFERROR(FIND("E",UPPER($EI285)),999)),ISNUMBER(VALUE($EI285)))),1,2)))</f>
        <v/>
      </c>
      <c r="EK285">
        <f>IF($DM285=0,"",IF($EJ285=1,IF(ISNUMBER($EI285),$EI285,VALUE($EI285)),IF($EJ285=2,$DE285,0)))</f>
        <v/>
      </c>
      <c r="EL285">
        <f>IF($DM285=0,"",COUNTIF($EG$5:$EG$1003,"&lt;"&amp;$EG285)+SUMPRODUCT(($EG$5:$EG$1003=$EG285)*(($EJ$5:$EJ$1003&lt;$EJ285)+($EJ$5:$EJ$1003=$EJ285)*(($EK$5:$EK$1003&lt;$EK285)+($EK$5:$EK$1003=$EK285)*($DE$5:$DE$1003&lt;$DE285))))+1)</f>
        <v/>
      </c>
      <c r="EM285">
        <f>IF($DM285=0,"",$EL285+$EG285-1)</f>
        <v/>
      </c>
      <c r="EN285">
        <f>IF($DM285=0,0,IFERROR(MATCH(1,INDEX(--(TRIM(SUBSTITUTE(SUBSTITUTE(SUBSTITUTE(SUBSTITUTE(LINES_NAME&amp;""," "," "),CHAR(9)," "),CHAR(10)," "),CHAR(13)," "))=$DH285),0),0),0))</f>
        <v/>
      </c>
      <c r="EO285">
        <f>IF($EN285=0,0,IF(OR(UPPER(TRIM(INDEX(LINES_SCHEDULED,$EN285)&amp;""))="YES",UPPER(TRIM(INDEX(LINES_SCHEDULED,$EN285)&amp;""))="Y",UPPER(TRIM(INDEX(LINES_SCHEDULED,$EN285)&amp;""))="X"),1,0))</f>
        <v/>
      </c>
      <c r="EP285">
        <f>IF($DM285=0,"",IF(COUNTIFS($EG$5:$EG$1003,$EG285,$EB$5:$EB$1003,"Ready")&gt;0,"READY",IF(COUNTIFS($EG$5:$EG$1003,$EG285,$EB$5:$EB$1003,"PM")&gt;0,"PM",IF(COUNTIFS($EG$5:$EG$1003,$EG285,$EB$5:$EB$1003,"OT")&gt;0,"OT",""))))</f>
        <v/>
      </c>
      <c r="EQ285">
        <f>IF($EN285=0,"",UPPER(TRIM(INDEX(LINES_STATUS,$EN285)&amp;"")))</f>
        <v/>
      </c>
      <c r="ER285">
        <f>IF($DM285=0,"",IF(OR($EQ285="READY",$EQ285="PM",$EQ285="OT"),$EQ285,$EP285))</f>
        <v/>
      </c>
      <c r="ES285">
        <f>IF($DM285=0,"",IF(AND($DV285&lt;&gt;"",UPPER($DV285)&lt;&gt;"N"),"allergen",IF(ISNUMBER(SEARCH("oil",$DQ285)),"oil",IF(OR(EXACT($DS285,"A662"),EXACT($DS285,"A624")),"bulk",""))))</f>
        <v/>
      </c>
      <c r="ET285">
        <f>IF($DM285=0,"",IF(OR($EA285="",$EA285=0),"",$EA285/100))</f>
        <v/>
      </c>
      <c r="EU285">
        <f>IF(OR($ET285="",$DY285=""),"",INT($DY285*(1-$ET285)+0.5))</f>
        <v/>
      </c>
      <c r="EW285" t="n">
        <v>281</v>
      </c>
      <c r="EX285">
        <f>IFERROR(MATCH($EW285,$EM$5:$EM$1003,0),0)</f>
        <v/>
      </c>
      <c r="EY285">
        <f>IF($EW285&gt;$B$12,"",IF($EX285&gt;0,"row","spacer"))</f>
        <v/>
      </c>
      <c r="EZ285">
        <f>IF(AND($EY285="row",$EY284&lt;&gt;"row"),1,0)</f>
        <v/>
      </c>
      <c r="FA285">
        <f>IF(AND($EY285="row",$EY286&lt;&gt;"row"),1,0)</f>
        <v/>
      </c>
      <c r="FB285">
        <f>IF($EZ285=1,IFERROR(IF(ISNUMBER(INDEX(PASTE_ALL,INDEX($DF$5:$DF$1003,$EX285),$B$37)),INDEX(PASTE_ALL,INDEX($DF$5:$DF$1003,$EX285),$B$37),INDEX($DH$5:$DH$1003,$EX285)),INDEX($DH$5:$DH$1003,$EX285)),"")</f>
        <v/>
      </c>
      <c r="FC285">
        <f>IF($EY285="row",INDEX($ER$5:$ER$1003,$EX285),"")</f>
        <v/>
      </c>
      <c r="FD285">
        <f>IF($EY285="row",INDEX($DN$5:$DN$1003,$EX285),"")</f>
        <v/>
      </c>
      <c r="FE285">
        <f>IF($EY285="row",INDEX($DO$5:$DO$1003,$EX285),"")</f>
        <v/>
      </c>
      <c r="FF285">
        <f>IF($EY285="row",INDEX($DP$5:$DP$1003,$EX285),"")</f>
        <v/>
      </c>
      <c r="FG285">
        <f>IF($EY285="row",INDEX($DQ$5:$DQ$1003,$EX285),"")</f>
        <v/>
      </c>
      <c r="FH285">
        <f>IF($EY285="row",INDEX($DR$5:$DR$1003,$EX285),"")</f>
        <v/>
      </c>
      <c r="FI285">
        <f>IF($EY285="row",INDEX($DS$5:$DS$1003,$EX285),"")</f>
        <v/>
      </c>
      <c r="FJ285">
        <f>IF($EY285="row",INDEX($DT$5:$DT$1003,$EX285),"")</f>
        <v/>
      </c>
      <c r="FK285">
        <f>IF($EY285="row",INDEX($DU$5:$DU$1003,$EX285),"")</f>
        <v/>
      </c>
      <c r="FL285">
        <f>IF($EY285="row",INDEX($DV$5:$DV$1003,$EX285),"")</f>
        <v/>
      </c>
      <c r="FM285">
        <f>IF($EY285="row",INDEX($DW$5:$DW$1003,$EX285),"")</f>
        <v/>
      </c>
      <c r="FN285">
        <f>IF($EY285="row",INDEX($DY$5:$DY$1003,$EX285),"")</f>
        <v/>
      </c>
      <c r="FO285">
        <f>IF($EY285="row",INDEX($EA$5:$EA$1003,$EX285),"")</f>
        <v/>
      </c>
      <c r="FP285">
        <f>IF($EY285="row",INDEX($EC$5:$EC$1003,$EX285),"")</f>
        <v/>
      </c>
      <c r="FQ285">
        <f>IF($EY285="row",INDEX($ET$5:$ET$1003,$EX285),"")</f>
        <v/>
      </c>
      <c r="FR285">
        <f>IF($EY285="row",INDEX($EU$5:$EU$1003,$EX285),"")</f>
        <v/>
      </c>
      <c r="FS285">
        <f>IF(AND($EY285="row",$EY284="row"),IF(OR(INDEX($DT$5:$DT$1003,$EX284)="",INDEX($DT$5:$DT$1003,$EX285)=""),"",IF(NOT(EXACT(INDEX($DT$5:$DT$1003,$EX284),INDEX($DT$5:$DT$1003,$EX285))),"S4",IF(NOT(EXACT(INDEX($DS$5:$DS$1003,$EX284),INDEX($DS$5:$DS$1003,$EX285))),"S3",IF(NOT(EXACT(INDEX($DR$5:$DR$1003,$EX284),INDEX($DR$5:$DR$1003,$EX285))),"S1 Count Change","S1")))),"")</f>
        <v/>
      </c>
      <c r="FT285">
        <f>IF($EY285="row",INDEX($ES$5:$ES$1003,$EX285),"")</f>
        <v/>
      </c>
      <c r="FU285">
        <f>IF($EY285="row",INDEX($EO$5:$EO$1003,$EX285),0)</f>
        <v/>
      </c>
      <c r="FV285">
        <f>IF($FS285="S1 Count Change",1,0)</f>
        <v/>
      </c>
    </row>
    <row r="286">
      <c r="DA286" t="n">
        <v>282</v>
      </c>
      <c r="DB286">
        <f>IF($B$37=0,"",IFERROR(TRIM(SUBSTITUTE(SUBSTITUTE(SUBSTITUTE(SUBSTITUTE(INDEX(PASTE_ALL,282,$B$37)," "," "),CHAR(9)," "),CHAR(10)," "),CHAR(13)," ")),""))</f>
        <v/>
      </c>
      <c r="DC286">
        <f>IF(AND(282&gt;HEADER_ROW,UPPER(DB286)="LEGEND"),1,0)</f>
        <v/>
      </c>
      <c r="DE286" t="n">
        <v>282</v>
      </c>
      <c r="DF286">
        <f>HEADER_ROW+$DE286</f>
        <v/>
      </c>
      <c r="DG286">
        <f>IF(AND($DF286&lt;=1000,$DF286&lt;$B$8),1,0)</f>
        <v/>
      </c>
      <c r="DH286">
        <f>IF($DG286=1,IFERROR(INDEX($DB$5:$DB$1004,$DF286),""),"")</f>
        <v/>
      </c>
      <c r="DI286">
        <f>IF(AND($DG286=1,$DH286&lt;&gt;""),IFERROR(SUBSTITUTE(SUBSTITUTE(TRIM(SUBSTITUTE(SUBSTITUTE(SUBSTITUTE(SUBSTITUTE(IFERROR(INDEX(PASTE_ALL,$DF286,1)&amp;"","")&amp;"␟"&amp;IFERROR(INDEX(PASTE_ALL,$DF286,2)&amp;"","")&amp;"␟"&amp;IFERROR(INDEX(PASTE_ALL,$DF286,3)&amp;"","")&amp;"␟"&amp;IFERROR(INDEX(PASTE_ALL,$DF286,4)&amp;"","")&amp;"␟"&amp;IFERROR(INDEX(PASTE_ALL,$DF286,5)&amp;"","")&amp;"␟"&amp;IFERROR(INDEX(PASTE_ALL,$DF286,6)&amp;"","")&amp;"␟"&amp;IFERROR(INDEX(PASTE_ALL,$DF286,7)&amp;"","")&amp;"␟"&amp;IFERROR(INDEX(PASTE_ALL,$DF286,8)&amp;"","")&amp;"␟"&amp;IFERROR(INDEX(PASTE_ALL,$DF286,9)&amp;"","")&amp;"␟"&amp;IFERROR(INDEX(PASTE_ALL,$DF286,10)&amp;"","")&amp;"␟"&amp;IFERROR(INDEX(PASTE_ALL,$DF286,11)&amp;"","")&amp;"␟"&amp;IFERROR(INDEX(PASTE_ALL,$DF286,12)&amp;"","")&amp;"␟"&amp;IFERROR(INDEX(PASTE_ALL,$DF286,13)&amp;"","")&amp;"␟"&amp;IFERROR(INDEX(PASTE_ALL,$DF286,14)&amp;"","")&amp;"␟"&amp;IFERROR(INDEX(PASTE_ALL,$DF286,15)&amp;"","")&amp;"␟"&amp;IFERROR(INDEX(PASTE_ALL,$DF286,16)&amp;"","")&amp;"␟"&amp;IFERROR(INDEX(PASTE_ALL,$DF286,17)&amp;"","")&amp;"␟"&amp;IFERROR(INDEX(PASTE_ALL,$DF286,18)&amp;"","")&amp;"␟"&amp;IFERROR(INDEX(PASTE_ALL,$DF286,19)&amp;"","")&amp;"␟"&amp;IFERROR(INDEX(PASTE_ALL,$DF286,20)&amp;"","")&amp;"␟"&amp;IFERROR(INDEX(PASTE_ALL,$DF286,21)&amp;"","")&amp;"␟"&amp;IFERROR(INDEX(PASTE_ALL,$DF286,22)&amp;"","")&amp;"␟"&amp;IFERROR(INDEX(PASTE_ALL,$DF286,23)&amp;"","")&amp;"␟"&amp;IFERROR(INDEX(PASTE_ALL,$DF286,24)&amp;"","")&amp;"␟"&amp;IFERROR(INDEX(PASTE_ALL,$DF286,25)&amp;"","")&amp;"␟"&amp;IFERROR(INDEX(PASTE_ALL,$DF286,26)&amp;"","")&amp;"␟"&amp;IFERROR(INDEX(PASTE_ALL,$DF286,27)&amp;"","")&amp;"␟"&amp;IFERROR(INDEX(PASTE_ALL,$DF286,28)&amp;"","")&amp;"␟"&amp;IFERROR(INDEX(PASTE_ALL,$DF286,29)&amp;"","")&amp;"␟"&amp;IFERROR(INDEX(PASTE_ALL,$DF286,30)&amp;"","")&amp;"␟"&amp;IFERROR(INDEX(PASTE_ALL,$DF286,31)&amp;"","")&amp;"␟"&amp;IFERROR(INDEX(PASTE_ALL,$DF286,32)&amp;"","")&amp;"␟"&amp;IFERROR(INDEX(PASTE_ALL,$DF286,33)&amp;"","")&amp;"␟"&amp;IFERROR(INDEX(PASTE_ALL,$DF286,34)&amp;"","")&amp;"␟"&amp;IFERROR(INDEX(PASTE_ALL,$DF286,35)&amp;"","")&amp;"␟"&amp;IFERROR(INDEX(PASTE_ALL,$DF286,36)&amp;"","")&amp;"␟"&amp;IFERROR(INDEX(PASTE_ALL,$DF286,37)&amp;"","")&amp;"␟"&amp;IFERROR(INDEX(PASTE_ALL,$DF286,38)&amp;"","")&amp;"␟"&amp;IFERROR(INDEX(PASTE_ALL,$DF286,39)&amp;"","")&amp;"␟"&amp;IFERROR(INDEX(PASTE_ALL,$DF286,40)&amp;"","")&amp;"␟"&amp;IFERROR(INDEX(PASTE_ALL,$DF286,41)&amp;"","")&amp;"␟"&amp;IFERROR(INDEX(PASTE_ALL,$DF286,42)&amp;"","")&amp;"␟"&amp;IFERROR(INDEX(PASTE_ALL,$DF286,43)&amp;"","")&amp;"␟"&amp;IFERROR(INDEX(PASTE_ALL,$DF286,44)&amp;"","")&amp;"␟"&amp;IFERROR(INDEX(PASTE_ALL,$DF286,45)&amp;"","")&amp;"␟"&amp;IFERROR(INDEX(PASTE_ALL,$DF286,46)&amp;"","")&amp;"␟"&amp;IFERROR(INDEX(PASTE_ALL,$DF286,47)&amp;"","")&amp;"␟"&amp;IFERROR(INDEX(PASTE_ALL,$DF286,48)&amp;"","")&amp;"␟"&amp;IFERROR(INDEX(PASTE_ALL,$DF286,49)&amp;"","")&amp;"␟"&amp;IFERROR(INDEX(PASTE_ALL,$DF286,50)&amp;"","")&amp;"␟"&amp;IFERROR(INDEX(PASTE_ALL,$DF286,51)&amp;"","")&amp;"␟"&amp;IFERROR(INDEX(PASTE_ALL,$DF286,52)&amp;"","")&amp;"␟"&amp;IFERROR(INDEX(PASTE_ALL,$DF286,53)&amp;"","")&amp;"␟"&amp;IFERROR(INDEX(PASTE_ALL,$DF286,54)&amp;"","")&amp;"␟"&amp;IFERROR(INDEX(PASTE_ALL,$DF286,55)&amp;"","")&amp;"␟"&amp;IFERROR(INDEX(PASTE_ALL,$DF286,56)&amp;"","")&amp;"␟"&amp;IFERROR(INDEX(PASTE_ALL,$DF286,57)&amp;"","")&amp;"␟"&amp;IFERROR(INDEX(PASTE_ALL,$DF286,58)&amp;"","")&amp;"␟"&amp;IFERROR(INDEX(PASTE_ALL,$DF286,59)&amp;"","")&amp;"␟"&amp;IFERROR(INDEX(PASTE_ALL,$DF286,60)&amp;"","")," "," "),CHAR(9)," "),CHAR(10)," "),CHAR(13)," "))," ␟","␟"),"␟ ","␟"),"#"&amp;$DE286),"")</f>
        <v/>
      </c>
      <c r="DJ286">
        <f>IF($DI286="",0,IF(SUMPRODUCT(--EXACT($DI$4:DI285,$DI286))&gt;0,1,0))</f>
        <v/>
      </c>
      <c r="DK286">
        <f>IF(AND($DI286&lt;&gt;"",$DJ286=0),1,0)</f>
        <v/>
      </c>
      <c r="DL286">
        <f>DL285+$DK286</f>
        <v/>
      </c>
      <c r="DM286">
        <f>IF(AND($DK286=1,$DL286&lt;=600),1,0)</f>
        <v/>
      </c>
      <c r="DN286">
        <f>IF($DM286=0,"",IF($L$6=0,"",IFERROR(IF(ISNUMBER(INDEX(PASTE_ALL,$DF286,$L$6)),INDEX(PASTE_ALL,$DF286,$L$6),TRIM(SUBSTITUTE(SUBSTITUTE(SUBSTITUTE(SUBSTITUTE(INDEX(PASTE_ALL,$DF286,$L$6)," "," "),CHAR(9)," "),CHAR(10)," "),CHAR(13)," "))),"")))</f>
        <v/>
      </c>
      <c r="DO286">
        <f>IF($DM286=0,"",IF($L$7=0,"",IFERROR(IF(ISNUMBER(INDEX(PASTE_ALL,$DF286,$L$7)),INDEX(PASTE_ALL,$DF286,$L$7),TRIM(SUBSTITUTE(SUBSTITUTE(SUBSTITUTE(SUBSTITUTE(INDEX(PASTE_ALL,$DF286,$L$7)," "," "),CHAR(9)," "),CHAR(10)," "),CHAR(13)," "))),"")))</f>
        <v/>
      </c>
      <c r="DP286">
        <f>IF($DM286=0,"",IF($L$8=0,"",IFERROR(IF(ISNUMBER(INDEX(PASTE_ALL,$DF286,$L$8)),INDEX(PASTE_ALL,$DF286,$L$8),TRIM(SUBSTITUTE(SUBSTITUTE(SUBSTITUTE(SUBSTITUTE(INDEX(PASTE_ALL,$DF286,$L$8)," "," "),CHAR(9)," "),CHAR(10)," "),CHAR(13)," "))),"")))</f>
        <v/>
      </c>
      <c r="DQ286">
        <f>IF($DM286=0,"",IF($L$9=0,"",IFERROR(IF(ISNUMBER(INDEX(PASTE_ALL,$DF286,$L$9)),INDEX(PASTE_ALL,$DF286,$L$9),TRIM(SUBSTITUTE(SUBSTITUTE(SUBSTITUTE(SUBSTITUTE(INDEX(PASTE_ALL,$DF286,$L$9)," "," "),CHAR(9)," "),CHAR(10)," "),CHAR(13)," "))),"")))</f>
        <v/>
      </c>
      <c r="DR286">
        <f>IF($DM286=0,"",IF($L$10=0,"",IFERROR(IF(ISNUMBER(INDEX(PASTE_ALL,$DF286,$L$10)),INDEX(PASTE_ALL,$DF286,$L$10),TRIM(SUBSTITUTE(SUBSTITUTE(SUBSTITUTE(SUBSTITUTE(INDEX(PASTE_ALL,$DF286,$L$10)," "," "),CHAR(9)," "),CHAR(10)," "),CHAR(13)," "))),"")))</f>
        <v/>
      </c>
      <c r="DS286">
        <f>IF($DM286=0,"",IF($L$11=0,"",IFERROR(IF(ISNUMBER(INDEX(PASTE_ALL,$DF286,$L$11)),INDEX(PASTE_ALL,$DF286,$L$11),TRIM(SUBSTITUTE(SUBSTITUTE(SUBSTITUTE(SUBSTITUTE(INDEX(PASTE_ALL,$DF286,$L$11)," "," "),CHAR(9)," "),CHAR(10)," "),CHAR(13)," "))),"")))</f>
        <v/>
      </c>
      <c r="DT286">
        <f>IF($DM286=0,"",IF($L$12=0,"",IFERROR(IF(ISNUMBER(INDEX(PASTE_ALL,$DF286,$L$12)),INDEX(PASTE_ALL,$DF286,$L$12),TRIM(SUBSTITUTE(SUBSTITUTE(SUBSTITUTE(SUBSTITUTE(INDEX(PASTE_ALL,$DF286,$L$12)," "," "),CHAR(9)," "),CHAR(10)," "),CHAR(13)," "))),"")))</f>
        <v/>
      </c>
      <c r="DU286">
        <f>IF($DM286=0,"",IF($L$13=0,"",IFERROR(IF(ISNUMBER(INDEX(PASTE_ALL,$DF286,$L$13)),INDEX(PASTE_ALL,$DF286,$L$13),TRIM(SUBSTITUTE(SUBSTITUTE(SUBSTITUTE(SUBSTITUTE(INDEX(PASTE_ALL,$DF286,$L$13)," "," "),CHAR(9)," "),CHAR(10)," "),CHAR(13)," "))),"")))</f>
        <v/>
      </c>
      <c r="DV286">
        <f>IF($DM286=0,"",IF($L$14=0,"",IFERROR(IF(ISNUMBER(INDEX(PASTE_ALL,$DF286,$L$14)),INDEX(PASTE_ALL,$DF286,$L$14),TRIM(SUBSTITUTE(SUBSTITUTE(SUBSTITUTE(SUBSTITUTE(INDEX(PASTE_ALL,$DF286,$L$14)," "," "),CHAR(9)," "),CHAR(10)," "),CHAR(13)," "))),"")))</f>
        <v/>
      </c>
      <c r="DW286">
        <f>IF($DM286=0,"",IF($L$15=0,"",IFERROR(IF(ISNUMBER(INDEX(PASTE_ALL,$DF286,$L$15)),INDEX(PASTE_ALL,$DF286,$L$15),IF(SUMPRODUCT(--ISNUMBER(FIND({"A","B","C","D","E","F","G","H","I","J","K","L","M","N","O","P","Q","R","S","T","U","V","W","X","Y","Z","0","1","2","3","4","5","6","7","8","9"},UPPER(TRIM(SUBSTITUTE(SUBSTITUTE(SUBSTITUTE(SUBSTITUTE(INDEX(PASTE_ALL,$DF286,$L$15)," "," "),CHAR(9)," "),CHAR(10)," "),CHAR(13)," "))))))&gt;0,TRIM(SUBSTITUTE(SUBSTITUTE(SUBSTITUTE(SUBSTITUTE(INDEX(PASTE_ALL,$DF286,$L$15)," "," "),CHAR(9)," "),CHAR(10)," "),CHAR(13)," ")),"")),"")))</f>
        <v/>
      </c>
      <c r="DX286">
        <f>IF($DM286=0,"",IF($L$16=0,"",IFERROR(IF(ISNUMBER(INDEX(PASTE_ALL,$DF286,$L$16)),INDEX(PASTE_ALL,$DF286,$L$16),SUBSTITUTE(SUBSTITUTE(TRIM(SUBSTITUTE(SUBSTITUTE(SUBSTITUTE(SUBSTITUTE(INDEX(PASTE_ALL,$DF286,$L$16)," "," "),CHAR(9)," "),CHAR(10)," "),CHAR(13)," ")),",",""),"%","")),"")))</f>
        <v/>
      </c>
      <c r="DY286">
        <f>IF($DM286=0,"",IFERROR(IF(ISNUMBER($DX286),$DX286,IF($DX286="","",IF(TRIM($DX286)="",0,IF(AND(AND(SUBSTITUTE(SUBSTITUTE(SUBSTITUTE(SUBSTITUTE(SUBSTITUTE(SUBSTITUTE(SUBSTITUTE(SUBSTITUTE(SUBSTITUTE(SUBSTITUTE(SUBSTITUTE(SUBSTITUTE(SUBSTITUTE(SUBSTITUTE(UPPER(TRIM($DX286)),"0",""),"1",""),"2",""),"3",""),"4",""),"5",""),"6",""),"7",""),"8",""),"9",""),".",""),"+",""),"-",""),"E","")="",LEN(SUBSTITUTE(SUBSTITUTE(MID(UPPER(TRIM($DX286)),1+OR(LEFT(UPPER(TRIM($DX286)),1)="+",LEFT(UPPER(TRIM($DX286)),1)="-"),999),"E+","E"),"E-","E"))=LEN(SUBSTITUTE(SUBSTITUTE(SUBSTITUTE(SUBSTITUTE(MID(UPPER(TRIM($DX286)),1+OR(LEFT(UPPER(TRIM($DX286)),1)="+",LEFT(UPPER(TRIM($DX286)),1)="-"),999),"E+","E"),"E-","E"),"+",""),"-","")),LEN(UPPER(TRIM($DX286)))-LEN(SUBSTITUTE(UPPER(TRIM($DX286)),"E",""))&lt;2,LEN(UPPER(TRIM($DX286)))-LEN(SUBSTITUTE(UPPER(TRIM($DX286)),".",""))&lt;2,IFERROR(FIND(".",UPPER(TRIM($DX286))),0)&lt;IFERROR(FIND("E",UPPER(TRIM($DX286))),999)),ISNUMBER(VALUE(TRIM($DX286)))),VALUE(TRIM($DX286)),"")))),""))</f>
        <v/>
      </c>
      <c r="DZ286">
        <f>IF($DM286=0,"",IF($L$17=0,"",IFERROR(IF(ISNUMBER(INDEX(PASTE_ALL,$DF286,$L$17)),INDEX(PASTE_ALL,$DF286,$L$17),SUBSTITUTE(SUBSTITUTE(TRIM(SUBSTITUTE(SUBSTITUTE(SUBSTITUTE(SUBSTITUTE(INDEX(PASTE_ALL,$DF286,$L$17)," "," "),CHAR(9)," "),CHAR(10)," "),CHAR(13)," ")),",",""),"%","")),"")))</f>
        <v/>
      </c>
      <c r="EA286">
        <f>IF($DM286=0,"",IFERROR(IF(ISNUMBER($DZ286),$DZ286,IF($DZ286="","",IF(TRIM($DZ286)="",0,IF(AND(AND(SUBSTITUTE(SUBSTITUTE(SUBSTITUTE(SUBSTITUTE(SUBSTITUTE(SUBSTITUTE(SUBSTITUTE(SUBSTITUTE(SUBSTITUTE(SUBSTITUTE(SUBSTITUTE(SUBSTITUTE(SUBSTITUTE(SUBSTITUTE(UPPER(TRIM($DZ286)),"0",""),"1",""),"2",""),"3",""),"4",""),"5",""),"6",""),"7",""),"8",""),"9",""),".",""),"+",""),"-",""),"E","")="",LEN(SUBSTITUTE(SUBSTITUTE(MID(UPPER(TRIM($DZ286)),1+OR(LEFT(UPPER(TRIM($DZ286)),1)="+",LEFT(UPPER(TRIM($DZ286)),1)="-"),999),"E+","E"),"E-","E"))=LEN(SUBSTITUTE(SUBSTITUTE(SUBSTITUTE(SUBSTITUTE(MID(UPPER(TRIM($DZ286)),1+OR(LEFT(UPPER(TRIM($DZ286)),1)="+",LEFT(UPPER(TRIM($DZ286)),1)="-"),999),"E+","E"),"E-","E"),"+",""),"-","")),LEN(UPPER(TRIM($DZ286)))-LEN(SUBSTITUTE(UPPER(TRIM($DZ286)),"E",""))&lt;2,LEN(UPPER(TRIM($DZ286)))-LEN(SUBSTITUTE(UPPER(TRIM($DZ286)),".",""))&lt;2,IFERROR(FIND(".",UPPER(TRIM($DZ286))),0)&lt;IFERROR(FIND("E",UPPER(TRIM($DZ286))),999)),ISNUMBER(VALUE(TRIM($DZ286)))),VALUE(TRIM($DZ286)),"")))),""))</f>
        <v/>
      </c>
      <c r="EB286">
        <f>IF($DM286=0,"",IF($L$18=0,"",IFERROR(IF(UPPER(TRIM(SUBSTITUTE(SUBSTITUTE(SUBSTITUTE(SUBSTITUTE(INDEX(PASTE_ALL,$DF286,$L$18)," "," "),CHAR(9)," "),CHAR(10)," "),CHAR(13)," ")))="READY","Ready",IF(UPPER(TRIM(SUBSTITUTE(SUBSTITUTE(SUBSTITUTE(SUBSTITUTE(INDEX(PASTE_ALL,$DF286,$L$18)," "," "),CHAR(9)," "),CHAR(10)," "),CHAR(13)," ")))="PM","PM",IF(OR(UPPER(TRIM(SUBSTITUTE(SUBSTITUTE(SUBSTITUTE(SUBSTITUTE(INDEX(PASTE_ALL,$DF286,$L$18)," "," "),CHAR(9)," "),CHAR(10)," "),CHAR(13)," ")))="OT",UPPER(TRIM(SUBSTITUTE(SUBSTITUTE(SUBSTITUTE(SUBSTITUTE(INDEX(PASTE_ALL,$DF286,$L$18)," "," "),CHAR(9)," "),CHAR(10)," "),CHAR(13)," ")))="OVERTIME",UPPER(TRIM(SUBSTITUTE(SUBSTITUTE(SUBSTITUTE(SUBSTITUTE(INDEX(PASTE_ALL,$DF286,$L$18)," "," "),CHAR(9)," "),CHAR(10)," "),CHAR(13)," ")))="TRIAL"),"OT",TRIM(SUBSTITUTE(SUBSTITUTE(SUBSTITUTE(SUBSTITUTE(INDEX(PASTE_ALL,$DF286,$L$18)," "," "),CHAR(9)," "),CHAR(10)," "),CHAR(13)," "))))),"")))</f>
        <v/>
      </c>
      <c r="EC286">
        <f>IF($DM286=0,"",IF($L$19=0,"",IFERROR(IF(ISNUMBER(INDEX(PASTE_ALL,$DF286,$L$19)),INDEX(PASTE_ALL,$DF286,$L$19),TRIM(SUBSTITUTE(SUBSTITUTE(SUBSTITUTE(SUBSTITUTE(INDEX(PASTE_ALL,$DF286,$L$19)," "," "),CHAR(9)," "),CHAR(10)," "),CHAR(13)," "))),"")))</f>
        <v/>
      </c>
      <c r="ED286">
        <f>IF($DM286=0,"",MATCH(1,INDEX(EXACT($DH$5:DH286,$DH286)*$DM$5:DM286,0),0))</f>
        <v/>
      </c>
      <c r="EE286">
        <f>IF($DM286=0,0,IF($ED286=$DE286,1,0))</f>
        <v/>
      </c>
      <c r="EF286">
        <f>EF285+$EE286</f>
        <v/>
      </c>
      <c r="EG286">
        <f>IF($DM286=0,"",INDEX($EF$5:$EF$1003,$ED286))</f>
        <v/>
      </c>
      <c r="EH286">
        <f>IF($DM286=0,"",IF($DO286&lt;&gt;"","",IFERROR(LOOKUP(2,1/(($EG$4:EG285=$EG286)*($DO$4:DO285&lt;&gt;"")),$DO$4:DO285),"")))</f>
        <v/>
      </c>
      <c r="EI286">
        <f>IF($DM286=0,"",IF($DO286&lt;&gt;"",$DO286,$EH286))</f>
        <v/>
      </c>
      <c r="EJ286">
        <f>IF($DM286=0,"",IF($EI286="",0,IF(OR(ISNUMBER($EI286),AND(AND(SUBSTITUTE(SUBSTITUTE(SUBSTITUTE(SUBSTITUTE(SUBSTITUTE(SUBSTITUTE(SUBSTITUTE(SUBSTITUTE(SUBSTITUTE(SUBSTITUTE(SUBSTITUTE(SUBSTITUTE(SUBSTITUTE(SUBSTITUTE(UPPER($EI286),"0",""),"1",""),"2",""),"3",""),"4",""),"5",""),"6",""),"7",""),"8",""),"9",""),".",""),"+",""),"-",""),"E","")="",LEN(SUBSTITUTE(SUBSTITUTE(MID(UPPER($EI286),1+OR(LEFT(UPPER($EI286),1)="+",LEFT(UPPER($EI286),1)="-"),999),"E+","E"),"E-","E"))=LEN(SUBSTITUTE(SUBSTITUTE(SUBSTITUTE(SUBSTITUTE(MID(UPPER($EI286),1+OR(LEFT(UPPER($EI286),1)="+",LEFT(UPPER($EI286),1)="-"),999),"E+","E"),"E-","E"),"+",""),"-","")),LEN(UPPER($EI286))-LEN(SUBSTITUTE(UPPER($EI286),"E",""))&lt;2,LEN(UPPER($EI286))-LEN(SUBSTITUTE(UPPER($EI286),".",""))&lt;2,IFERROR(FIND(".",UPPER($EI286)),0)&lt;IFERROR(FIND("E",UPPER($EI286)),999)),ISNUMBER(VALUE($EI286)))),1,2)))</f>
        <v/>
      </c>
      <c r="EK286">
        <f>IF($DM286=0,"",IF($EJ286=1,IF(ISNUMBER($EI286),$EI286,VALUE($EI286)),IF($EJ286=2,$DE286,0)))</f>
        <v/>
      </c>
      <c r="EL286">
        <f>IF($DM286=0,"",COUNTIF($EG$5:$EG$1003,"&lt;"&amp;$EG286)+SUMPRODUCT(($EG$5:$EG$1003=$EG286)*(($EJ$5:$EJ$1003&lt;$EJ286)+($EJ$5:$EJ$1003=$EJ286)*(($EK$5:$EK$1003&lt;$EK286)+($EK$5:$EK$1003=$EK286)*($DE$5:$DE$1003&lt;$DE286))))+1)</f>
        <v/>
      </c>
      <c r="EM286">
        <f>IF($DM286=0,"",$EL286+$EG286-1)</f>
        <v/>
      </c>
      <c r="EN286">
        <f>IF($DM286=0,0,IFERROR(MATCH(1,INDEX(--(TRIM(SUBSTITUTE(SUBSTITUTE(SUBSTITUTE(SUBSTITUTE(LINES_NAME&amp;""," "," "),CHAR(9)," "),CHAR(10)," "),CHAR(13)," "))=$DH286),0),0),0))</f>
        <v/>
      </c>
      <c r="EO286">
        <f>IF($EN286=0,0,IF(OR(UPPER(TRIM(INDEX(LINES_SCHEDULED,$EN286)&amp;""))="YES",UPPER(TRIM(INDEX(LINES_SCHEDULED,$EN286)&amp;""))="Y",UPPER(TRIM(INDEX(LINES_SCHEDULED,$EN286)&amp;""))="X"),1,0))</f>
        <v/>
      </c>
      <c r="EP286">
        <f>IF($DM286=0,"",IF(COUNTIFS($EG$5:$EG$1003,$EG286,$EB$5:$EB$1003,"Ready")&gt;0,"READY",IF(COUNTIFS($EG$5:$EG$1003,$EG286,$EB$5:$EB$1003,"PM")&gt;0,"PM",IF(COUNTIFS($EG$5:$EG$1003,$EG286,$EB$5:$EB$1003,"OT")&gt;0,"OT",""))))</f>
        <v/>
      </c>
      <c r="EQ286">
        <f>IF($EN286=0,"",UPPER(TRIM(INDEX(LINES_STATUS,$EN286)&amp;"")))</f>
        <v/>
      </c>
      <c r="ER286">
        <f>IF($DM286=0,"",IF(OR($EQ286="READY",$EQ286="PM",$EQ286="OT"),$EQ286,$EP286))</f>
        <v/>
      </c>
      <c r="ES286">
        <f>IF($DM286=0,"",IF(AND($DV286&lt;&gt;"",UPPER($DV286)&lt;&gt;"N"),"allergen",IF(ISNUMBER(SEARCH("oil",$DQ286)),"oil",IF(OR(EXACT($DS286,"A662"),EXACT($DS286,"A624")),"bulk",""))))</f>
        <v/>
      </c>
      <c r="ET286">
        <f>IF($DM286=0,"",IF(OR($EA286="",$EA286=0),"",$EA286/100))</f>
        <v/>
      </c>
      <c r="EU286">
        <f>IF(OR($ET286="",$DY286=""),"",INT($DY286*(1-$ET286)+0.5))</f>
        <v/>
      </c>
      <c r="EW286" t="n">
        <v>282</v>
      </c>
      <c r="EX286">
        <f>IFERROR(MATCH($EW286,$EM$5:$EM$1003,0),0)</f>
        <v/>
      </c>
      <c r="EY286">
        <f>IF($EW286&gt;$B$12,"",IF($EX286&gt;0,"row","spacer"))</f>
        <v/>
      </c>
      <c r="EZ286">
        <f>IF(AND($EY286="row",$EY285&lt;&gt;"row"),1,0)</f>
        <v/>
      </c>
      <c r="FA286">
        <f>IF(AND($EY286="row",$EY287&lt;&gt;"row"),1,0)</f>
        <v/>
      </c>
      <c r="FB286">
        <f>IF($EZ286=1,IFERROR(IF(ISNUMBER(INDEX(PASTE_ALL,INDEX($DF$5:$DF$1003,$EX286),$B$37)),INDEX(PASTE_ALL,INDEX($DF$5:$DF$1003,$EX286),$B$37),INDEX($DH$5:$DH$1003,$EX286)),INDEX($DH$5:$DH$1003,$EX286)),"")</f>
        <v/>
      </c>
      <c r="FC286">
        <f>IF($EY286="row",INDEX($ER$5:$ER$1003,$EX286),"")</f>
        <v/>
      </c>
      <c r="FD286">
        <f>IF($EY286="row",INDEX($DN$5:$DN$1003,$EX286),"")</f>
        <v/>
      </c>
      <c r="FE286">
        <f>IF($EY286="row",INDEX($DO$5:$DO$1003,$EX286),"")</f>
        <v/>
      </c>
      <c r="FF286">
        <f>IF($EY286="row",INDEX($DP$5:$DP$1003,$EX286),"")</f>
        <v/>
      </c>
      <c r="FG286">
        <f>IF($EY286="row",INDEX($DQ$5:$DQ$1003,$EX286),"")</f>
        <v/>
      </c>
      <c r="FH286">
        <f>IF($EY286="row",INDEX($DR$5:$DR$1003,$EX286),"")</f>
        <v/>
      </c>
      <c r="FI286">
        <f>IF($EY286="row",INDEX($DS$5:$DS$1003,$EX286),"")</f>
        <v/>
      </c>
      <c r="FJ286">
        <f>IF($EY286="row",INDEX($DT$5:$DT$1003,$EX286),"")</f>
        <v/>
      </c>
      <c r="FK286">
        <f>IF($EY286="row",INDEX($DU$5:$DU$1003,$EX286),"")</f>
        <v/>
      </c>
      <c r="FL286">
        <f>IF($EY286="row",INDEX($DV$5:$DV$1003,$EX286),"")</f>
        <v/>
      </c>
      <c r="FM286">
        <f>IF($EY286="row",INDEX($DW$5:$DW$1003,$EX286),"")</f>
        <v/>
      </c>
      <c r="FN286">
        <f>IF($EY286="row",INDEX($DY$5:$DY$1003,$EX286),"")</f>
        <v/>
      </c>
      <c r="FO286">
        <f>IF($EY286="row",INDEX($EA$5:$EA$1003,$EX286),"")</f>
        <v/>
      </c>
      <c r="FP286">
        <f>IF($EY286="row",INDEX($EC$5:$EC$1003,$EX286),"")</f>
        <v/>
      </c>
      <c r="FQ286">
        <f>IF($EY286="row",INDEX($ET$5:$ET$1003,$EX286),"")</f>
        <v/>
      </c>
      <c r="FR286">
        <f>IF($EY286="row",INDEX($EU$5:$EU$1003,$EX286),"")</f>
        <v/>
      </c>
      <c r="FS286">
        <f>IF(AND($EY286="row",$EY285="row"),IF(OR(INDEX($DT$5:$DT$1003,$EX285)="",INDEX($DT$5:$DT$1003,$EX286)=""),"",IF(NOT(EXACT(INDEX($DT$5:$DT$1003,$EX285),INDEX($DT$5:$DT$1003,$EX286))),"S4",IF(NOT(EXACT(INDEX($DS$5:$DS$1003,$EX285),INDEX($DS$5:$DS$1003,$EX286))),"S3",IF(NOT(EXACT(INDEX($DR$5:$DR$1003,$EX285),INDEX($DR$5:$DR$1003,$EX286))),"S1 Count Change","S1")))),"")</f>
        <v/>
      </c>
      <c r="FT286">
        <f>IF($EY286="row",INDEX($ES$5:$ES$1003,$EX286),"")</f>
        <v/>
      </c>
      <c r="FU286">
        <f>IF($EY286="row",INDEX($EO$5:$EO$1003,$EX286),0)</f>
        <v/>
      </c>
      <c r="FV286">
        <f>IF($FS286="S1 Count Change",1,0)</f>
        <v/>
      </c>
    </row>
    <row r="287">
      <c r="DA287" t="n">
        <v>283</v>
      </c>
      <c r="DB287">
        <f>IF($B$37=0,"",IFERROR(TRIM(SUBSTITUTE(SUBSTITUTE(SUBSTITUTE(SUBSTITUTE(INDEX(PASTE_ALL,283,$B$37)," "," "),CHAR(9)," "),CHAR(10)," "),CHAR(13)," ")),""))</f>
        <v/>
      </c>
      <c r="DC287">
        <f>IF(AND(283&gt;HEADER_ROW,UPPER(DB287)="LEGEND"),1,0)</f>
        <v/>
      </c>
      <c r="DE287" t="n">
        <v>283</v>
      </c>
      <c r="DF287">
        <f>HEADER_ROW+$DE287</f>
        <v/>
      </c>
      <c r="DG287">
        <f>IF(AND($DF287&lt;=1000,$DF287&lt;$B$8),1,0)</f>
        <v/>
      </c>
      <c r="DH287">
        <f>IF($DG287=1,IFERROR(INDEX($DB$5:$DB$1004,$DF287),""),"")</f>
        <v/>
      </c>
      <c r="DI287">
        <f>IF(AND($DG287=1,$DH287&lt;&gt;""),IFERROR(SUBSTITUTE(SUBSTITUTE(TRIM(SUBSTITUTE(SUBSTITUTE(SUBSTITUTE(SUBSTITUTE(IFERROR(INDEX(PASTE_ALL,$DF287,1)&amp;"","")&amp;"␟"&amp;IFERROR(INDEX(PASTE_ALL,$DF287,2)&amp;"","")&amp;"␟"&amp;IFERROR(INDEX(PASTE_ALL,$DF287,3)&amp;"","")&amp;"␟"&amp;IFERROR(INDEX(PASTE_ALL,$DF287,4)&amp;"","")&amp;"␟"&amp;IFERROR(INDEX(PASTE_ALL,$DF287,5)&amp;"","")&amp;"␟"&amp;IFERROR(INDEX(PASTE_ALL,$DF287,6)&amp;"","")&amp;"␟"&amp;IFERROR(INDEX(PASTE_ALL,$DF287,7)&amp;"","")&amp;"␟"&amp;IFERROR(INDEX(PASTE_ALL,$DF287,8)&amp;"","")&amp;"␟"&amp;IFERROR(INDEX(PASTE_ALL,$DF287,9)&amp;"","")&amp;"␟"&amp;IFERROR(INDEX(PASTE_ALL,$DF287,10)&amp;"","")&amp;"␟"&amp;IFERROR(INDEX(PASTE_ALL,$DF287,11)&amp;"","")&amp;"␟"&amp;IFERROR(INDEX(PASTE_ALL,$DF287,12)&amp;"","")&amp;"␟"&amp;IFERROR(INDEX(PASTE_ALL,$DF287,13)&amp;"","")&amp;"␟"&amp;IFERROR(INDEX(PASTE_ALL,$DF287,14)&amp;"","")&amp;"␟"&amp;IFERROR(INDEX(PASTE_ALL,$DF287,15)&amp;"","")&amp;"␟"&amp;IFERROR(INDEX(PASTE_ALL,$DF287,16)&amp;"","")&amp;"␟"&amp;IFERROR(INDEX(PASTE_ALL,$DF287,17)&amp;"","")&amp;"␟"&amp;IFERROR(INDEX(PASTE_ALL,$DF287,18)&amp;"","")&amp;"␟"&amp;IFERROR(INDEX(PASTE_ALL,$DF287,19)&amp;"","")&amp;"␟"&amp;IFERROR(INDEX(PASTE_ALL,$DF287,20)&amp;"","")&amp;"␟"&amp;IFERROR(INDEX(PASTE_ALL,$DF287,21)&amp;"","")&amp;"␟"&amp;IFERROR(INDEX(PASTE_ALL,$DF287,22)&amp;"","")&amp;"␟"&amp;IFERROR(INDEX(PASTE_ALL,$DF287,23)&amp;"","")&amp;"␟"&amp;IFERROR(INDEX(PASTE_ALL,$DF287,24)&amp;"","")&amp;"␟"&amp;IFERROR(INDEX(PASTE_ALL,$DF287,25)&amp;"","")&amp;"␟"&amp;IFERROR(INDEX(PASTE_ALL,$DF287,26)&amp;"","")&amp;"␟"&amp;IFERROR(INDEX(PASTE_ALL,$DF287,27)&amp;"","")&amp;"␟"&amp;IFERROR(INDEX(PASTE_ALL,$DF287,28)&amp;"","")&amp;"␟"&amp;IFERROR(INDEX(PASTE_ALL,$DF287,29)&amp;"","")&amp;"␟"&amp;IFERROR(INDEX(PASTE_ALL,$DF287,30)&amp;"","")&amp;"␟"&amp;IFERROR(INDEX(PASTE_ALL,$DF287,31)&amp;"","")&amp;"␟"&amp;IFERROR(INDEX(PASTE_ALL,$DF287,32)&amp;"","")&amp;"␟"&amp;IFERROR(INDEX(PASTE_ALL,$DF287,33)&amp;"","")&amp;"␟"&amp;IFERROR(INDEX(PASTE_ALL,$DF287,34)&amp;"","")&amp;"␟"&amp;IFERROR(INDEX(PASTE_ALL,$DF287,35)&amp;"","")&amp;"␟"&amp;IFERROR(INDEX(PASTE_ALL,$DF287,36)&amp;"","")&amp;"␟"&amp;IFERROR(INDEX(PASTE_ALL,$DF287,37)&amp;"","")&amp;"␟"&amp;IFERROR(INDEX(PASTE_ALL,$DF287,38)&amp;"","")&amp;"␟"&amp;IFERROR(INDEX(PASTE_ALL,$DF287,39)&amp;"","")&amp;"␟"&amp;IFERROR(INDEX(PASTE_ALL,$DF287,40)&amp;"","")&amp;"␟"&amp;IFERROR(INDEX(PASTE_ALL,$DF287,41)&amp;"","")&amp;"␟"&amp;IFERROR(INDEX(PASTE_ALL,$DF287,42)&amp;"","")&amp;"␟"&amp;IFERROR(INDEX(PASTE_ALL,$DF287,43)&amp;"","")&amp;"␟"&amp;IFERROR(INDEX(PASTE_ALL,$DF287,44)&amp;"","")&amp;"␟"&amp;IFERROR(INDEX(PASTE_ALL,$DF287,45)&amp;"","")&amp;"␟"&amp;IFERROR(INDEX(PASTE_ALL,$DF287,46)&amp;"","")&amp;"␟"&amp;IFERROR(INDEX(PASTE_ALL,$DF287,47)&amp;"","")&amp;"␟"&amp;IFERROR(INDEX(PASTE_ALL,$DF287,48)&amp;"","")&amp;"␟"&amp;IFERROR(INDEX(PASTE_ALL,$DF287,49)&amp;"","")&amp;"␟"&amp;IFERROR(INDEX(PASTE_ALL,$DF287,50)&amp;"","")&amp;"␟"&amp;IFERROR(INDEX(PASTE_ALL,$DF287,51)&amp;"","")&amp;"␟"&amp;IFERROR(INDEX(PASTE_ALL,$DF287,52)&amp;"","")&amp;"␟"&amp;IFERROR(INDEX(PASTE_ALL,$DF287,53)&amp;"","")&amp;"␟"&amp;IFERROR(INDEX(PASTE_ALL,$DF287,54)&amp;"","")&amp;"␟"&amp;IFERROR(INDEX(PASTE_ALL,$DF287,55)&amp;"","")&amp;"␟"&amp;IFERROR(INDEX(PASTE_ALL,$DF287,56)&amp;"","")&amp;"␟"&amp;IFERROR(INDEX(PASTE_ALL,$DF287,57)&amp;"","")&amp;"␟"&amp;IFERROR(INDEX(PASTE_ALL,$DF287,58)&amp;"","")&amp;"␟"&amp;IFERROR(INDEX(PASTE_ALL,$DF287,59)&amp;"","")&amp;"␟"&amp;IFERROR(INDEX(PASTE_ALL,$DF287,60)&amp;"","")," "," "),CHAR(9)," "),CHAR(10)," "),CHAR(13)," "))," ␟","␟"),"␟ ","␟"),"#"&amp;$DE287),"")</f>
        <v/>
      </c>
      <c r="DJ287">
        <f>IF($DI287="",0,IF(SUMPRODUCT(--EXACT($DI$4:DI286,$DI287))&gt;0,1,0))</f>
        <v/>
      </c>
      <c r="DK287">
        <f>IF(AND($DI287&lt;&gt;"",$DJ287=0),1,0)</f>
        <v/>
      </c>
      <c r="DL287">
        <f>DL286+$DK287</f>
        <v/>
      </c>
      <c r="DM287">
        <f>IF(AND($DK287=1,$DL287&lt;=600),1,0)</f>
        <v/>
      </c>
      <c r="DN287">
        <f>IF($DM287=0,"",IF($L$6=0,"",IFERROR(IF(ISNUMBER(INDEX(PASTE_ALL,$DF287,$L$6)),INDEX(PASTE_ALL,$DF287,$L$6),TRIM(SUBSTITUTE(SUBSTITUTE(SUBSTITUTE(SUBSTITUTE(INDEX(PASTE_ALL,$DF287,$L$6)," "," "),CHAR(9)," "),CHAR(10)," "),CHAR(13)," "))),"")))</f>
        <v/>
      </c>
      <c r="DO287">
        <f>IF($DM287=0,"",IF($L$7=0,"",IFERROR(IF(ISNUMBER(INDEX(PASTE_ALL,$DF287,$L$7)),INDEX(PASTE_ALL,$DF287,$L$7),TRIM(SUBSTITUTE(SUBSTITUTE(SUBSTITUTE(SUBSTITUTE(INDEX(PASTE_ALL,$DF287,$L$7)," "," "),CHAR(9)," "),CHAR(10)," "),CHAR(13)," "))),"")))</f>
        <v/>
      </c>
      <c r="DP287">
        <f>IF($DM287=0,"",IF($L$8=0,"",IFERROR(IF(ISNUMBER(INDEX(PASTE_ALL,$DF287,$L$8)),INDEX(PASTE_ALL,$DF287,$L$8),TRIM(SUBSTITUTE(SUBSTITUTE(SUBSTITUTE(SUBSTITUTE(INDEX(PASTE_ALL,$DF287,$L$8)," "," "),CHAR(9)," "),CHAR(10)," "),CHAR(13)," "))),"")))</f>
        <v/>
      </c>
      <c r="DQ287">
        <f>IF($DM287=0,"",IF($L$9=0,"",IFERROR(IF(ISNUMBER(INDEX(PASTE_ALL,$DF287,$L$9)),INDEX(PASTE_ALL,$DF287,$L$9),TRIM(SUBSTITUTE(SUBSTITUTE(SUBSTITUTE(SUBSTITUTE(INDEX(PASTE_ALL,$DF287,$L$9)," "," "),CHAR(9)," "),CHAR(10)," "),CHAR(13)," "))),"")))</f>
        <v/>
      </c>
      <c r="DR287">
        <f>IF($DM287=0,"",IF($L$10=0,"",IFERROR(IF(ISNUMBER(INDEX(PASTE_ALL,$DF287,$L$10)),INDEX(PASTE_ALL,$DF287,$L$10),TRIM(SUBSTITUTE(SUBSTITUTE(SUBSTITUTE(SUBSTITUTE(INDEX(PASTE_ALL,$DF287,$L$10)," "," "),CHAR(9)," "),CHAR(10)," "),CHAR(13)," "))),"")))</f>
        <v/>
      </c>
      <c r="DS287">
        <f>IF($DM287=0,"",IF($L$11=0,"",IFERROR(IF(ISNUMBER(INDEX(PASTE_ALL,$DF287,$L$11)),INDEX(PASTE_ALL,$DF287,$L$11),TRIM(SUBSTITUTE(SUBSTITUTE(SUBSTITUTE(SUBSTITUTE(INDEX(PASTE_ALL,$DF287,$L$11)," "," "),CHAR(9)," "),CHAR(10)," "),CHAR(13)," "))),"")))</f>
        <v/>
      </c>
      <c r="DT287">
        <f>IF($DM287=0,"",IF($L$12=0,"",IFERROR(IF(ISNUMBER(INDEX(PASTE_ALL,$DF287,$L$12)),INDEX(PASTE_ALL,$DF287,$L$12),TRIM(SUBSTITUTE(SUBSTITUTE(SUBSTITUTE(SUBSTITUTE(INDEX(PASTE_ALL,$DF287,$L$12)," "," "),CHAR(9)," "),CHAR(10)," "),CHAR(13)," "))),"")))</f>
        <v/>
      </c>
      <c r="DU287">
        <f>IF($DM287=0,"",IF($L$13=0,"",IFERROR(IF(ISNUMBER(INDEX(PASTE_ALL,$DF287,$L$13)),INDEX(PASTE_ALL,$DF287,$L$13),TRIM(SUBSTITUTE(SUBSTITUTE(SUBSTITUTE(SUBSTITUTE(INDEX(PASTE_ALL,$DF287,$L$13)," "," "),CHAR(9)," "),CHAR(10)," "),CHAR(13)," "))),"")))</f>
        <v/>
      </c>
      <c r="DV287">
        <f>IF($DM287=0,"",IF($L$14=0,"",IFERROR(IF(ISNUMBER(INDEX(PASTE_ALL,$DF287,$L$14)),INDEX(PASTE_ALL,$DF287,$L$14),TRIM(SUBSTITUTE(SUBSTITUTE(SUBSTITUTE(SUBSTITUTE(INDEX(PASTE_ALL,$DF287,$L$14)," "," "),CHAR(9)," "),CHAR(10)," "),CHAR(13)," "))),"")))</f>
        <v/>
      </c>
      <c r="DW287">
        <f>IF($DM287=0,"",IF($L$15=0,"",IFERROR(IF(ISNUMBER(INDEX(PASTE_ALL,$DF287,$L$15)),INDEX(PASTE_ALL,$DF287,$L$15),IF(SUMPRODUCT(--ISNUMBER(FIND({"A","B","C","D","E","F","G","H","I","J","K","L","M","N","O","P","Q","R","S","T","U","V","W","X","Y","Z","0","1","2","3","4","5","6","7","8","9"},UPPER(TRIM(SUBSTITUTE(SUBSTITUTE(SUBSTITUTE(SUBSTITUTE(INDEX(PASTE_ALL,$DF287,$L$15)," "," "),CHAR(9)," "),CHAR(10)," "),CHAR(13)," "))))))&gt;0,TRIM(SUBSTITUTE(SUBSTITUTE(SUBSTITUTE(SUBSTITUTE(INDEX(PASTE_ALL,$DF287,$L$15)," "," "),CHAR(9)," "),CHAR(10)," "),CHAR(13)," ")),"")),"")))</f>
        <v/>
      </c>
      <c r="DX287">
        <f>IF($DM287=0,"",IF($L$16=0,"",IFERROR(IF(ISNUMBER(INDEX(PASTE_ALL,$DF287,$L$16)),INDEX(PASTE_ALL,$DF287,$L$16),SUBSTITUTE(SUBSTITUTE(TRIM(SUBSTITUTE(SUBSTITUTE(SUBSTITUTE(SUBSTITUTE(INDEX(PASTE_ALL,$DF287,$L$16)," "," "),CHAR(9)," "),CHAR(10)," "),CHAR(13)," ")),",",""),"%","")),"")))</f>
        <v/>
      </c>
      <c r="DY287">
        <f>IF($DM287=0,"",IFERROR(IF(ISNUMBER($DX287),$DX287,IF($DX287="","",IF(TRIM($DX287)="",0,IF(AND(AND(SUBSTITUTE(SUBSTITUTE(SUBSTITUTE(SUBSTITUTE(SUBSTITUTE(SUBSTITUTE(SUBSTITUTE(SUBSTITUTE(SUBSTITUTE(SUBSTITUTE(SUBSTITUTE(SUBSTITUTE(SUBSTITUTE(SUBSTITUTE(UPPER(TRIM($DX287)),"0",""),"1",""),"2",""),"3",""),"4",""),"5",""),"6",""),"7",""),"8",""),"9",""),".",""),"+",""),"-",""),"E","")="",LEN(SUBSTITUTE(SUBSTITUTE(MID(UPPER(TRIM($DX287)),1+OR(LEFT(UPPER(TRIM($DX287)),1)="+",LEFT(UPPER(TRIM($DX287)),1)="-"),999),"E+","E"),"E-","E"))=LEN(SUBSTITUTE(SUBSTITUTE(SUBSTITUTE(SUBSTITUTE(MID(UPPER(TRIM($DX287)),1+OR(LEFT(UPPER(TRIM($DX287)),1)="+",LEFT(UPPER(TRIM($DX287)),1)="-"),999),"E+","E"),"E-","E"),"+",""),"-","")),LEN(UPPER(TRIM($DX287)))-LEN(SUBSTITUTE(UPPER(TRIM($DX287)),"E",""))&lt;2,LEN(UPPER(TRIM($DX287)))-LEN(SUBSTITUTE(UPPER(TRIM($DX287)),".",""))&lt;2,IFERROR(FIND(".",UPPER(TRIM($DX287))),0)&lt;IFERROR(FIND("E",UPPER(TRIM($DX287))),999)),ISNUMBER(VALUE(TRIM($DX287)))),VALUE(TRIM($DX287)),"")))),""))</f>
        <v/>
      </c>
      <c r="DZ287">
        <f>IF($DM287=0,"",IF($L$17=0,"",IFERROR(IF(ISNUMBER(INDEX(PASTE_ALL,$DF287,$L$17)),INDEX(PASTE_ALL,$DF287,$L$17),SUBSTITUTE(SUBSTITUTE(TRIM(SUBSTITUTE(SUBSTITUTE(SUBSTITUTE(SUBSTITUTE(INDEX(PASTE_ALL,$DF287,$L$17)," "," "),CHAR(9)," "),CHAR(10)," "),CHAR(13)," ")),",",""),"%","")),"")))</f>
        <v/>
      </c>
      <c r="EA287">
        <f>IF($DM287=0,"",IFERROR(IF(ISNUMBER($DZ287),$DZ287,IF($DZ287="","",IF(TRIM($DZ287)="",0,IF(AND(AND(SUBSTITUTE(SUBSTITUTE(SUBSTITUTE(SUBSTITUTE(SUBSTITUTE(SUBSTITUTE(SUBSTITUTE(SUBSTITUTE(SUBSTITUTE(SUBSTITUTE(SUBSTITUTE(SUBSTITUTE(SUBSTITUTE(SUBSTITUTE(UPPER(TRIM($DZ287)),"0",""),"1",""),"2",""),"3",""),"4",""),"5",""),"6",""),"7",""),"8",""),"9",""),".",""),"+",""),"-",""),"E","")="",LEN(SUBSTITUTE(SUBSTITUTE(MID(UPPER(TRIM($DZ287)),1+OR(LEFT(UPPER(TRIM($DZ287)),1)="+",LEFT(UPPER(TRIM($DZ287)),1)="-"),999),"E+","E"),"E-","E"))=LEN(SUBSTITUTE(SUBSTITUTE(SUBSTITUTE(SUBSTITUTE(MID(UPPER(TRIM($DZ287)),1+OR(LEFT(UPPER(TRIM($DZ287)),1)="+",LEFT(UPPER(TRIM($DZ287)),1)="-"),999),"E+","E"),"E-","E"),"+",""),"-","")),LEN(UPPER(TRIM($DZ287)))-LEN(SUBSTITUTE(UPPER(TRIM($DZ287)),"E",""))&lt;2,LEN(UPPER(TRIM($DZ287)))-LEN(SUBSTITUTE(UPPER(TRIM($DZ287)),".",""))&lt;2,IFERROR(FIND(".",UPPER(TRIM($DZ287))),0)&lt;IFERROR(FIND("E",UPPER(TRIM($DZ287))),999)),ISNUMBER(VALUE(TRIM($DZ287)))),VALUE(TRIM($DZ287)),"")))),""))</f>
        <v/>
      </c>
      <c r="EB287">
        <f>IF($DM287=0,"",IF($L$18=0,"",IFERROR(IF(UPPER(TRIM(SUBSTITUTE(SUBSTITUTE(SUBSTITUTE(SUBSTITUTE(INDEX(PASTE_ALL,$DF287,$L$18)," "," "),CHAR(9)," "),CHAR(10)," "),CHAR(13)," ")))="READY","Ready",IF(UPPER(TRIM(SUBSTITUTE(SUBSTITUTE(SUBSTITUTE(SUBSTITUTE(INDEX(PASTE_ALL,$DF287,$L$18)," "," "),CHAR(9)," "),CHAR(10)," "),CHAR(13)," ")))="PM","PM",IF(OR(UPPER(TRIM(SUBSTITUTE(SUBSTITUTE(SUBSTITUTE(SUBSTITUTE(INDEX(PASTE_ALL,$DF287,$L$18)," "," "),CHAR(9)," "),CHAR(10)," "),CHAR(13)," ")))="OT",UPPER(TRIM(SUBSTITUTE(SUBSTITUTE(SUBSTITUTE(SUBSTITUTE(INDEX(PASTE_ALL,$DF287,$L$18)," "," "),CHAR(9)," "),CHAR(10)," "),CHAR(13)," ")))="OVERTIME",UPPER(TRIM(SUBSTITUTE(SUBSTITUTE(SUBSTITUTE(SUBSTITUTE(INDEX(PASTE_ALL,$DF287,$L$18)," "," "),CHAR(9)," "),CHAR(10)," "),CHAR(13)," ")))="TRIAL"),"OT",TRIM(SUBSTITUTE(SUBSTITUTE(SUBSTITUTE(SUBSTITUTE(INDEX(PASTE_ALL,$DF287,$L$18)," "," "),CHAR(9)," "),CHAR(10)," "),CHAR(13)," "))))),"")))</f>
        <v/>
      </c>
      <c r="EC287">
        <f>IF($DM287=0,"",IF($L$19=0,"",IFERROR(IF(ISNUMBER(INDEX(PASTE_ALL,$DF287,$L$19)),INDEX(PASTE_ALL,$DF287,$L$19),TRIM(SUBSTITUTE(SUBSTITUTE(SUBSTITUTE(SUBSTITUTE(INDEX(PASTE_ALL,$DF287,$L$19)," "," "),CHAR(9)," "),CHAR(10)," "),CHAR(13)," "))),"")))</f>
        <v/>
      </c>
      <c r="ED287">
        <f>IF($DM287=0,"",MATCH(1,INDEX(EXACT($DH$5:DH287,$DH287)*$DM$5:DM287,0),0))</f>
        <v/>
      </c>
      <c r="EE287">
        <f>IF($DM287=0,0,IF($ED287=$DE287,1,0))</f>
        <v/>
      </c>
      <c r="EF287">
        <f>EF286+$EE287</f>
        <v/>
      </c>
      <c r="EG287">
        <f>IF($DM287=0,"",INDEX($EF$5:$EF$1003,$ED287))</f>
        <v/>
      </c>
      <c r="EH287">
        <f>IF($DM287=0,"",IF($DO287&lt;&gt;"","",IFERROR(LOOKUP(2,1/(($EG$4:EG286=$EG287)*($DO$4:DO286&lt;&gt;"")),$DO$4:DO286),"")))</f>
        <v/>
      </c>
      <c r="EI287">
        <f>IF($DM287=0,"",IF($DO287&lt;&gt;"",$DO287,$EH287))</f>
        <v/>
      </c>
      <c r="EJ287">
        <f>IF($DM287=0,"",IF($EI287="",0,IF(OR(ISNUMBER($EI287),AND(AND(SUBSTITUTE(SUBSTITUTE(SUBSTITUTE(SUBSTITUTE(SUBSTITUTE(SUBSTITUTE(SUBSTITUTE(SUBSTITUTE(SUBSTITUTE(SUBSTITUTE(SUBSTITUTE(SUBSTITUTE(SUBSTITUTE(SUBSTITUTE(UPPER($EI287),"0",""),"1",""),"2",""),"3",""),"4",""),"5",""),"6",""),"7",""),"8",""),"9",""),".",""),"+",""),"-",""),"E","")="",LEN(SUBSTITUTE(SUBSTITUTE(MID(UPPER($EI287),1+OR(LEFT(UPPER($EI287),1)="+",LEFT(UPPER($EI287),1)="-"),999),"E+","E"),"E-","E"))=LEN(SUBSTITUTE(SUBSTITUTE(SUBSTITUTE(SUBSTITUTE(MID(UPPER($EI287),1+OR(LEFT(UPPER($EI287),1)="+",LEFT(UPPER($EI287),1)="-"),999),"E+","E"),"E-","E"),"+",""),"-","")),LEN(UPPER($EI287))-LEN(SUBSTITUTE(UPPER($EI287),"E",""))&lt;2,LEN(UPPER($EI287))-LEN(SUBSTITUTE(UPPER($EI287),".",""))&lt;2,IFERROR(FIND(".",UPPER($EI287)),0)&lt;IFERROR(FIND("E",UPPER($EI287)),999)),ISNUMBER(VALUE($EI287)))),1,2)))</f>
        <v/>
      </c>
      <c r="EK287">
        <f>IF($DM287=0,"",IF($EJ287=1,IF(ISNUMBER($EI287),$EI287,VALUE($EI287)),IF($EJ287=2,$DE287,0)))</f>
        <v/>
      </c>
      <c r="EL287">
        <f>IF($DM287=0,"",COUNTIF($EG$5:$EG$1003,"&lt;"&amp;$EG287)+SUMPRODUCT(($EG$5:$EG$1003=$EG287)*(($EJ$5:$EJ$1003&lt;$EJ287)+($EJ$5:$EJ$1003=$EJ287)*(($EK$5:$EK$1003&lt;$EK287)+($EK$5:$EK$1003=$EK287)*($DE$5:$DE$1003&lt;$DE287))))+1)</f>
        <v/>
      </c>
      <c r="EM287">
        <f>IF($DM287=0,"",$EL287+$EG287-1)</f>
        <v/>
      </c>
      <c r="EN287">
        <f>IF($DM287=0,0,IFERROR(MATCH(1,INDEX(--(TRIM(SUBSTITUTE(SUBSTITUTE(SUBSTITUTE(SUBSTITUTE(LINES_NAME&amp;""," "," "),CHAR(9)," "),CHAR(10)," "),CHAR(13)," "))=$DH287),0),0),0))</f>
        <v/>
      </c>
      <c r="EO287">
        <f>IF($EN287=0,0,IF(OR(UPPER(TRIM(INDEX(LINES_SCHEDULED,$EN287)&amp;""))="YES",UPPER(TRIM(INDEX(LINES_SCHEDULED,$EN287)&amp;""))="Y",UPPER(TRIM(INDEX(LINES_SCHEDULED,$EN287)&amp;""))="X"),1,0))</f>
        <v/>
      </c>
      <c r="EP287">
        <f>IF($DM287=0,"",IF(COUNTIFS($EG$5:$EG$1003,$EG287,$EB$5:$EB$1003,"Ready")&gt;0,"READY",IF(COUNTIFS($EG$5:$EG$1003,$EG287,$EB$5:$EB$1003,"PM")&gt;0,"PM",IF(COUNTIFS($EG$5:$EG$1003,$EG287,$EB$5:$EB$1003,"OT")&gt;0,"OT",""))))</f>
        <v/>
      </c>
      <c r="EQ287">
        <f>IF($EN287=0,"",UPPER(TRIM(INDEX(LINES_STATUS,$EN287)&amp;"")))</f>
        <v/>
      </c>
      <c r="ER287">
        <f>IF($DM287=0,"",IF(OR($EQ287="READY",$EQ287="PM",$EQ287="OT"),$EQ287,$EP287))</f>
        <v/>
      </c>
      <c r="ES287">
        <f>IF($DM287=0,"",IF(AND($DV287&lt;&gt;"",UPPER($DV287)&lt;&gt;"N"),"allergen",IF(ISNUMBER(SEARCH("oil",$DQ287)),"oil",IF(OR(EXACT($DS287,"A662"),EXACT($DS287,"A624")),"bulk",""))))</f>
        <v/>
      </c>
      <c r="ET287">
        <f>IF($DM287=0,"",IF(OR($EA287="",$EA287=0),"",$EA287/100))</f>
        <v/>
      </c>
      <c r="EU287">
        <f>IF(OR($ET287="",$DY287=""),"",INT($DY287*(1-$ET287)+0.5))</f>
        <v/>
      </c>
      <c r="EW287" t="n">
        <v>283</v>
      </c>
      <c r="EX287">
        <f>IFERROR(MATCH($EW287,$EM$5:$EM$1003,0),0)</f>
        <v/>
      </c>
      <c r="EY287">
        <f>IF($EW287&gt;$B$12,"",IF($EX287&gt;0,"row","spacer"))</f>
        <v/>
      </c>
      <c r="EZ287">
        <f>IF(AND($EY287="row",$EY286&lt;&gt;"row"),1,0)</f>
        <v/>
      </c>
      <c r="FA287">
        <f>IF(AND($EY287="row",$EY288&lt;&gt;"row"),1,0)</f>
        <v/>
      </c>
      <c r="FB287">
        <f>IF($EZ287=1,IFERROR(IF(ISNUMBER(INDEX(PASTE_ALL,INDEX($DF$5:$DF$1003,$EX287),$B$37)),INDEX(PASTE_ALL,INDEX($DF$5:$DF$1003,$EX287),$B$37),INDEX($DH$5:$DH$1003,$EX287)),INDEX($DH$5:$DH$1003,$EX287)),"")</f>
        <v/>
      </c>
      <c r="FC287">
        <f>IF($EY287="row",INDEX($ER$5:$ER$1003,$EX287),"")</f>
        <v/>
      </c>
      <c r="FD287">
        <f>IF($EY287="row",INDEX($DN$5:$DN$1003,$EX287),"")</f>
        <v/>
      </c>
      <c r="FE287">
        <f>IF($EY287="row",INDEX($DO$5:$DO$1003,$EX287),"")</f>
        <v/>
      </c>
      <c r="FF287">
        <f>IF($EY287="row",INDEX($DP$5:$DP$1003,$EX287),"")</f>
        <v/>
      </c>
      <c r="FG287">
        <f>IF($EY287="row",INDEX($DQ$5:$DQ$1003,$EX287),"")</f>
        <v/>
      </c>
      <c r="FH287">
        <f>IF($EY287="row",INDEX($DR$5:$DR$1003,$EX287),"")</f>
        <v/>
      </c>
      <c r="FI287">
        <f>IF($EY287="row",INDEX($DS$5:$DS$1003,$EX287),"")</f>
        <v/>
      </c>
      <c r="FJ287">
        <f>IF($EY287="row",INDEX($DT$5:$DT$1003,$EX287),"")</f>
        <v/>
      </c>
      <c r="FK287">
        <f>IF($EY287="row",INDEX($DU$5:$DU$1003,$EX287),"")</f>
        <v/>
      </c>
      <c r="FL287">
        <f>IF($EY287="row",INDEX($DV$5:$DV$1003,$EX287),"")</f>
        <v/>
      </c>
      <c r="FM287">
        <f>IF($EY287="row",INDEX($DW$5:$DW$1003,$EX287),"")</f>
        <v/>
      </c>
      <c r="FN287">
        <f>IF($EY287="row",INDEX($DY$5:$DY$1003,$EX287),"")</f>
        <v/>
      </c>
      <c r="FO287">
        <f>IF($EY287="row",INDEX($EA$5:$EA$1003,$EX287),"")</f>
        <v/>
      </c>
      <c r="FP287">
        <f>IF($EY287="row",INDEX($EC$5:$EC$1003,$EX287),"")</f>
        <v/>
      </c>
      <c r="FQ287">
        <f>IF($EY287="row",INDEX($ET$5:$ET$1003,$EX287),"")</f>
        <v/>
      </c>
      <c r="FR287">
        <f>IF($EY287="row",INDEX($EU$5:$EU$1003,$EX287),"")</f>
        <v/>
      </c>
      <c r="FS287">
        <f>IF(AND($EY287="row",$EY286="row"),IF(OR(INDEX($DT$5:$DT$1003,$EX286)="",INDEX($DT$5:$DT$1003,$EX287)=""),"",IF(NOT(EXACT(INDEX($DT$5:$DT$1003,$EX286),INDEX($DT$5:$DT$1003,$EX287))),"S4",IF(NOT(EXACT(INDEX($DS$5:$DS$1003,$EX286),INDEX($DS$5:$DS$1003,$EX287))),"S3",IF(NOT(EXACT(INDEX($DR$5:$DR$1003,$EX286),INDEX($DR$5:$DR$1003,$EX287))),"S1 Count Change","S1")))),"")</f>
        <v/>
      </c>
      <c r="FT287">
        <f>IF($EY287="row",INDEX($ES$5:$ES$1003,$EX287),"")</f>
        <v/>
      </c>
      <c r="FU287">
        <f>IF($EY287="row",INDEX($EO$5:$EO$1003,$EX287),0)</f>
        <v/>
      </c>
      <c r="FV287">
        <f>IF($FS287="S1 Count Change",1,0)</f>
        <v/>
      </c>
    </row>
    <row r="288">
      <c r="DA288" t="n">
        <v>284</v>
      </c>
      <c r="DB288">
        <f>IF($B$37=0,"",IFERROR(TRIM(SUBSTITUTE(SUBSTITUTE(SUBSTITUTE(SUBSTITUTE(INDEX(PASTE_ALL,284,$B$37)," "," "),CHAR(9)," "),CHAR(10)," "),CHAR(13)," ")),""))</f>
        <v/>
      </c>
      <c r="DC288">
        <f>IF(AND(284&gt;HEADER_ROW,UPPER(DB288)="LEGEND"),1,0)</f>
        <v/>
      </c>
      <c r="DE288" t="n">
        <v>284</v>
      </c>
      <c r="DF288">
        <f>HEADER_ROW+$DE288</f>
        <v/>
      </c>
      <c r="DG288">
        <f>IF(AND($DF288&lt;=1000,$DF288&lt;$B$8),1,0)</f>
        <v/>
      </c>
      <c r="DH288">
        <f>IF($DG288=1,IFERROR(INDEX($DB$5:$DB$1004,$DF288),""),"")</f>
        <v/>
      </c>
      <c r="DI288">
        <f>IF(AND($DG288=1,$DH288&lt;&gt;""),IFERROR(SUBSTITUTE(SUBSTITUTE(TRIM(SUBSTITUTE(SUBSTITUTE(SUBSTITUTE(SUBSTITUTE(IFERROR(INDEX(PASTE_ALL,$DF288,1)&amp;"","")&amp;"␟"&amp;IFERROR(INDEX(PASTE_ALL,$DF288,2)&amp;"","")&amp;"␟"&amp;IFERROR(INDEX(PASTE_ALL,$DF288,3)&amp;"","")&amp;"␟"&amp;IFERROR(INDEX(PASTE_ALL,$DF288,4)&amp;"","")&amp;"␟"&amp;IFERROR(INDEX(PASTE_ALL,$DF288,5)&amp;"","")&amp;"␟"&amp;IFERROR(INDEX(PASTE_ALL,$DF288,6)&amp;"","")&amp;"␟"&amp;IFERROR(INDEX(PASTE_ALL,$DF288,7)&amp;"","")&amp;"␟"&amp;IFERROR(INDEX(PASTE_ALL,$DF288,8)&amp;"","")&amp;"␟"&amp;IFERROR(INDEX(PASTE_ALL,$DF288,9)&amp;"","")&amp;"␟"&amp;IFERROR(INDEX(PASTE_ALL,$DF288,10)&amp;"","")&amp;"␟"&amp;IFERROR(INDEX(PASTE_ALL,$DF288,11)&amp;"","")&amp;"␟"&amp;IFERROR(INDEX(PASTE_ALL,$DF288,12)&amp;"","")&amp;"␟"&amp;IFERROR(INDEX(PASTE_ALL,$DF288,13)&amp;"","")&amp;"␟"&amp;IFERROR(INDEX(PASTE_ALL,$DF288,14)&amp;"","")&amp;"␟"&amp;IFERROR(INDEX(PASTE_ALL,$DF288,15)&amp;"","")&amp;"␟"&amp;IFERROR(INDEX(PASTE_ALL,$DF288,16)&amp;"","")&amp;"␟"&amp;IFERROR(INDEX(PASTE_ALL,$DF288,17)&amp;"","")&amp;"␟"&amp;IFERROR(INDEX(PASTE_ALL,$DF288,18)&amp;"","")&amp;"␟"&amp;IFERROR(INDEX(PASTE_ALL,$DF288,19)&amp;"","")&amp;"␟"&amp;IFERROR(INDEX(PASTE_ALL,$DF288,20)&amp;"","")&amp;"␟"&amp;IFERROR(INDEX(PASTE_ALL,$DF288,21)&amp;"","")&amp;"␟"&amp;IFERROR(INDEX(PASTE_ALL,$DF288,22)&amp;"","")&amp;"␟"&amp;IFERROR(INDEX(PASTE_ALL,$DF288,23)&amp;"","")&amp;"␟"&amp;IFERROR(INDEX(PASTE_ALL,$DF288,24)&amp;"","")&amp;"␟"&amp;IFERROR(INDEX(PASTE_ALL,$DF288,25)&amp;"","")&amp;"␟"&amp;IFERROR(INDEX(PASTE_ALL,$DF288,26)&amp;"","")&amp;"␟"&amp;IFERROR(INDEX(PASTE_ALL,$DF288,27)&amp;"","")&amp;"␟"&amp;IFERROR(INDEX(PASTE_ALL,$DF288,28)&amp;"","")&amp;"␟"&amp;IFERROR(INDEX(PASTE_ALL,$DF288,29)&amp;"","")&amp;"␟"&amp;IFERROR(INDEX(PASTE_ALL,$DF288,30)&amp;"","")&amp;"␟"&amp;IFERROR(INDEX(PASTE_ALL,$DF288,31)&amp;"","")&amp;"␟"&amp;IFERROR(INDEX(PASTE_ALL,$DF288,32)&amp;"","")&amp;"␟"&amp;IFERROR(INDEX(PASTE_ALL,$DF288,33)&amp;"","")&amp;"␟"&amp;IFERROR(INDEX(PASTE_ALL,$DF288,34)&amp;"","")&amp;"␟"&amp;IFERROR(INDEX(PASTE_ALL,$DF288,35)&amp;"","")&amp;"␟"&amp;IFERROR(INDEX(PASTE_ALL,$DF288,36)&amp;"","")&amp;"␟"&amp;IFERROR(INDEX(PASTE_ALL,$DF288,37)&amp;"","")&amp;"␟"&amp;IFERROR(INDEX(PASTE_ALL,$DF288,38)&amp;"","")&amp;"␟"&amp;IFERROR(INDEX(PASTE_ALL,$DF288,39)&amp;"","")&amp;"␟"&amp;IFERROR(INDEX(PASTE_ALL,$DF288,40)&amp;"","")&amp;"␟"&amp;IFERROR(INDEX(PASTE_ALL,$DF288,41)&amp;"","")&amp;"␟"&amp;IFERROR(INDEX(PASTE_ALL,$DF288,42)&amp;"","")&amp;"␟"&amp;IFERROR(INDEX(PASTE_ALL,$DF288,43)&amp;"","")&amp;"␟"&amp;IFERROR(INDEX(PASTE_ALL,$DF288,44)&amp;"","")&amp;"␟"&amp;IFERROR(INDEX(PASTE_ALL,$DF288,45)&amp;"","")&amp;"␟"&amp;IFERROR(INDEX(PASTE_ALL,$DF288,46)&amp;"","")&amp;"␟"&amp;IFERROR(INDEX(PASTE_ALL,$DF288,47)&amp;"","")&amp;"␟"&amp;IFERROR(INDEX(PASTE_ALL,$DF288,48)&amp;"","")&amp;"␟"&amp;IFERROR(INDEX(PASTE_ALL,$DF288,49)&amp;"","")&amp;"␟"&amp;IFERROR(INDEX(PASTE_ALL,$DF288,50)&amp;"","")&amp;"␟"&amp;IFERROR(INDEX(PASTE_ALL,$DF288,51)&amp;"","")&amp;"␟"&amp;IFERROR(INDEX(PASTE_ALL,$DF288,52)&amp;"","")&amp;"␟"&amp;IFERROR(INDEX(PASTE_ALL,$DF288,53)&amp;"","")&amp;"␟"&amp;IFERROR(INDEX(PASTE_ALL,$DF288,54)&amp;"","")&amp;"␟"&amp;IFERROR(INDEX(PASTE_ALL,$DF288,55)&amp;"","")&amp;"␟"&amp;IFERROR(INDEX(PASTE_ALL,$DF288,56)&amp;"","")&amp;"␟"&amp;IFERROR(INDEX(PASTE_ALL,$DF288,57)&amp;"","")&amp;"␟"&amp;IFERROR(INDEX(PASTE_ALL,$DF288,58)&amp;"","")&amp;"␟"&amp;IFERROR(INDEX(PASTE_ALL,$DF288,59)&amp;"","")&amp;"␟"&amp;IFERROR(INDEX(PASTE_ALL,$DF288,60)&amp;"","")," "," "),CHAR(9)," "),CHAR(10)," "),CHAR(13)," "))," ␟","␟"),"␟ ","␟"),"#"&amp;$DE288),"")</f>
        <v/>
      </c>
      <c r="DJ288">
        <f>IF($DI288="",0,IF(SUMPRODUCT(--EXACT($DI$4:DI287,$DI288))&gt;0,1,0))</f>
        <v/>
      </c>
      <c r="DK288">
        <f>IF(AND($DI288&lt;&gt;"",$DJ288=0),1,0)</f>
        <v/>
      </c>
      <c r="DL288">
        <f>DL287+$DK288</f>
        <v/>
      </c>
      <c r="DM288">
        <f>IF(AND($DK288=1,$DL288&lt;=600),1,0)</f>
        <v/>
      </c>
      <c r="DN288">
        <f>IF($DM288=0,"",IF($L$6=0,"",IFERROR(IF(ISNUMBER(INDEX(PASTE_ALL,$DF288,$L$6)),INDEX(PASTE_ALL,$DF288,$L$6),TRIM(SUBSTITUTE(SUBSTITUTE(SUBSTITUTE(SUBSTITUTE(INDEX(PASTE_ALL,$DF288,$L$6)," "," "),CHAR(9)," "),CHAR(10)," "),CHAR(13)," "))),"")))</f>
        <v/>
      </c>
      <c r="DO288">
        <f>IF($DM288=0,"",IF($L$7=0,"",IFERROR(IF(ISNUMBER(INDEX(PASTE_ALL,$DF288,$L$7)),INDEX(PASTE_ALL,$DF288,$L$7),TRIM(SUBSTITUTE(SUBSTITUTE(SUBSTITUTE(SUBSTITUTE(INDEX(PASTE_ALL,$DF288,$L$7)," "," "),CHAR(9)," "),CHAR(10)," "),CHAR(13)," "))),"")))</f>
        <v/>
      </c>
      <c r="DP288">
        <f>IF($DM288=0,"",IF($L$8=0,"",IFERROR(IF(ISNUMBER(INDEX(PASTE_ALL,$DF288,$L$8)),INDEX(PASTE_ALL,$DF288,$L$8),TRIM(SUBSTITUTE(SUBSTITUTE(SUBSTITUTE(SUBSTITUTE(INDEX(PASTE_ALL,$DF288,$L$8)," "," "),CHAR(9)," "),CHAR(10)," "),CHAR(13)," "))),"")))</f>
        <v/>
      </c>
      <c r="DQ288">
        <f>IF($DM288=0,"",IF($L$9=0,"",IFERROR(IF(ISNUMBER(INDEX(PASTE_ALL,$DF288,$L$9)),INDEX(PASTE_ALL,$DF288,$L$9),TRIM(SUBSTITUTE(SUBSTITUTE(SUBSTITUTE(SUBSTITUTE(INDEX(PASTE_ALL,$DF288,$L$9)," "," "),CHAR(9)," "),CHAR(10)," "),CHAR(13)," "))),"")))</f>
        <v/>
      </c>
      <c r="DR288">
        <f>IF($DM288=0,"",IF($L$10=0,"",IFERROR(IF(ISNUMBER(INDEX(PASTE_ALL,$DF288,$L$10)),INDEX(PASTE_ALL,$DF288,$L$10),TRIM(SUBSTITUTE(SUBSTITUTE(SUBSTITUTE(SUBSTITUTE(INDEX(PASTE_ALL,$DF288,$L$10)," "," "),CHAR(9)," "),CHAR(10)," "),CHAR(13)," "))),"")))</f>
        <v/>
      </c>
      <c r="DS288">
        <f>IF($DM288=0,"",IF($L$11=0,"",IFERROR(IF(ISNUMBER(INDEX(PASTE_ALL,$DF288,$L$11)),INDEX(PASTE_ALL,$DF288,$L$11),TRIM(SUBSTITUTE(SUBSTITUTE(SUBSTITUTE(SUBSTITUTE(INDEX(PASTE_ALL,$DF288,$L$11)," "," "),CHAR(9)," "),CHAR(10)," "),CHAR(13)," "))),"")))</f>
        <v/>
      </c>
      <c r="DT288">
        <f>IF($DM288=0,"",IF($L$12=0,"",IFERROR(IF(ISNUMBER(INDEX(PASTE_ALL,$DF288,$L$12)),INDEX(PASTE_ALL,$DF288,$L$12),TRIM(SUBSTITUTE(SUBSTITUTE(SUBSTITUTE(SUBSTITUTE(INDEX(PASTE_ALL,$DF288,$L$12)," "," "),CHAR(9)," "),CHAR(10)," "),CHAR(13)," "))),"")))</f>
        <v/>
      </c>
      <c r="DU288">
        <f>IF($DM288=0,"",IF($L$13=0,"",IFERROR(IF(ISNUMBER(INDEX(PASTE_ALL,$DF288,$L$13)),INDEX(PASTE_ALL,$DF288,$L$13),TRIM(SUBSTITUTE(SUBSTITUTE(SUBSTITUTE(SUBSTITUTE(INDEX(PASTE_ALL,$DF288,$L$13)," "," "),CHAR(9)," "),CHAR(10)," "),CHAR(13)," "))),"")))</f>
        <v/>
      </c>
      <c r="DV288">
        <f>IF($DM288=0,"",IF($L$14=0,"",IFERROR(IF(ISNUMBER(INDEX(PASTE_ALL,$DF288,$L$14)),INDEX(PASTE_ALL,$DF288,$L$14),TRIM(SUBSTITUTE(SUBSTITUTE(SUBSTITUTE(SUBSTITUTE(INDEX(PASTE_ALL,$DF288,$L$14)," "," "),CHAR(9)," "),CHAR(10)," "),CHAR(13)," "))),"")))</f>
        <v/>
      </c>
      <c r="DW288">
        <f>IF($DM288=0,"",IF($L$15=0,"",IFERROR(IF(ISNUMBER(INDEX(PASTE_ALL,$DF288,$L$15)),INDEX(PASTE_ALL,$DF288,$L$15),IF(SUMPRODUCT(--ISNUMBER(FIND({"A","B","C","D","E","F","G","H","I","J","K","L","M","N","O","P","Q","R","S","T","U","V","W","X","Y","Z","0","1","2","3","4","5","6","7","8","9"},UPPER(TRIM(SUBSTITUTE(SUBSTITUTE(SUBSTITUTE(SUBSTITUTE(INDEX(PASTE_ALL,$DF288,$L$15)," "," "),CHAR(9)," "),CHAR(10)," "),CHAR(13)," "))))))&gt;0,TRIM(SUBSTITUTE(SUBSTITUTE(SUBSTITUTE(SUBSTITUTE(INDEX(PASTE_ALL,$DF288,$L$15)," "," "),CHAR(9)," "),CHAR(10)," "),CHAR(13)," ")),"")),"")))</f>
        <v/>
      </c>
      <c r="DX288">
        <f>IF($DM288=0,"",IF($L$16=0,"",IFERROR(IF(ISNUMBER(INDEX(PASTE_ALL,$DF288,$L$16)),INDEX(PASTE_ALL,$DF288,$L$16),SUBSTITUTE(SUBSTITUTE(TRIM(SUBSTITUTE(SUBSTITUTE(SUBSTITUTE(SUBSTITUTE(INDEX(PASTE_ALL,$DF288,$L$16)," "," "),CHAR(9)," "),CHAR(10)," "),CHAR(13)," ")),",",""),"%","")),"")))</f>
        <v/>
      </c>
      <c r="DY288">
        <f>IF($DM288=0,"",IFERROR(IF(ISNUMBER($DX288),$DX288,IF($DX288="","",IF(TRIM($DX288)="",0,IF(AND(AND(SUBSTITUTE(SUBSTITUTE(SUBSTITUTE(SUBSTITUTE(SUBSTITUTE(SUBSTITUTE(SUBSTITUTE(SUBSTITUTE(SUBSTITUTE(SUBSTITUTE(SUBSTITUTE(SUBSTITUTE(SUBSTITUTE(SUBSTITUTE(UPPER(TRIM($DX288)),"0",""),"1",""),"2",""),"3",""),"4",""),"5",""),"6",""),"7",""),"8",""),"9",""),".",""),"+",""),"-",""),"E","")="",LEN(SUBSTITUTE(SUBSTITUTE(MID(UPPER(TRIM($DX288)),1+OR(LEFT(UPPER(TRIM($DX288)),1)="+",LEFT(UPPER(TRIM($DX288)),1)="-"),999),"E+","E"),"E-","E"))=LEN(SUBSTITUTE(SUBSTITUTE(SUBSTITUTE(SUBSTITUTE(MID(UPPER(TRIM($DX288)),1+OR(LEFT(UPPER(TRIM($DX288)),1)="+",LEFT(UPPER(TRIM($DX288)),1)="-"),999),"E+","E"),"E-","E"),"+",""),"-","")),LEN(UPPER(TRIM($DX288)))-LEN(SUBSTITUTE(UPPER(TRIM($DX288)),"E",""))&lt;2,LEN(UPPER(TRIM($DX288)))-LEN(SUBSTITUTE(UPPER(TRIM($DX288)),".",""))&lt;2,IFERROR(FIND(".",UPPER(TRIM($DX288))),0)&lt;IFERROR(FIND("E",UPPER(TRIM($DX288))),999)),ISNUMBER(VALUE(TRIM($DX288)))),VALUE(TRIM($DX288)),"")))),""))</f>
        <v/>
      </c>
      <c r="DZ288">
        <f>IF($DM288=0,"",IF($L$17=0,"",IFERROR(IF(ISNUMBER(INDEX(PASTE_ALL,$DF288,$L$17)),INDEX(PASTE_ALL,$DF288,$L$17),SUBSTITUTE(SUBSTITUTE(TRIM(SUBSTITUTE(SUBSTITUTE(SUBSTITUTE(SUBSTITUTE(INDEX(PASTE_ALL,$DF288,$L$17)," "," "),CHAR(9)," "),CHAR(10)," "),CHAR(13)," ")),",",""),"%","")),"")))</f>
        <v/>
      </c>
      <c r="EA288">
        <f>IF($DM288=0,"",IFERROR(IF(ISNUMBER($DZ288),$DZ288,IF($DZ288="","",IF(TRIM($DZ288)="",0,IF(AND(AND(SUBSTITUTE(SUBSTITUTE(SUBSTITUTE(SUBSTITUTE(SUBSTITUTE(SUBSTITUTE(SUBSTITUTE(SUBSTITUTE(SUBSTITUTE(SUBSTITUTE(SUBSTITUTE(SUBSTITUTE(SUBSTITUTE(SUBSTITUTE(UPPER(TRIM($DZ288)),"0",""),"1",""),"2",""),"3",""),"4",""),"5",""),"6",""),"7",""),"8",""),"9",""),".",""),"+",""),"-",""),"E","")="",LEN(SUBSTITUTE(SUBSTITUTE(MID(UPPER(TRIM($DZ288)),1+OR(LEFT(UPPER(TRIM($DZ288)),1)="+",LEFT(UPPER(TRIM($DZ288)),1)="-"),999),"E+","E"),"E-","E"))=LEN(SUBSTITUTE(SUBSTITUTE(SUBSTITUTE(SUBSTITUTE(MID(UPPER(TRIM($DZ288)),1+OR(LEFT(UPPER(TRIM($DZ288)),1)="+",LEFT(UPPER(TRIM($DZ288)),1)="-"),999),"E+","E"),"E-","E"),"+",""),"-","")),LEN(UPPER(TRIM($DZ288)))-LEN(SUBSTITUTE(UPPER(TRIM($DZ288)),"E",""))&lt;2,LEN(UPPER(TRIM($DZ288)))-LEN(SUBSTITUTE(UPPER(TRIM($DZ288)),".",""))&lt;2,IFERROR(FIND(".",UPPER(TRIM($DZ288))),0)&lt;IFERROR(FIND("E",UPPER(TRIM($DZ288))),999)),ISNUMBER(VALUE(TRIM($DZ288)))),VALUE(TRIM($DZ288)),"")))),""))</f>
        <v/>
      </c>
      <c r="EB288">
        <f>IF($DM288=0,"",IF($L$18=0,"",IFERROR(IF(UPPER(TRIM(SUBSTITUTE(SUBSTITUTE(SUBSTITUTE(SUBSTITUTE(INDEX(PASTE_ALL,$DF288,$L$18)," "," "),CHAR(9)," "),CHAR(10)," "),CHAR(13)," ")))="READY","Ready",IF(UPPER(TRIM(SUBSTITUTE(SUBSTITUTE(SUBSTITUTE(SUBSTITUTE(INDEX(PASTE_ALL,$DF288,$L$18)," "," "),CHAR(9)," "),CHAR(10)," "),CHAR(13)," ")))="PM","PM",IF(OR(UPPER(TRIM(SUBSTITUTE(SUBSTITUTE(SUBSTITUTE(SUBSTITUTE(INDEX(PASTE_ALL,$DF288,$L$18)," "," "),CHAR(9)," "),CHAR(10)," "),CHAR(13)," ")))="OT",UPPER(TRIM(SUBSTITUTE(SUBSTITUTE(SUBSTITUTE(SUBSTITUTE(INDEX(PASTE_ALL,$DF288,$L$18)," "," "),CHAR(9)," "),CHAR(10)," "),CHAR(13)," ")))="OVERTIME",UPPER(TRIM(SUBSTITUTE(SUBSTITUTE(SUBSTITUTE(SUBSTITUTE(INDEX(PASTE_ALL,$DF288,$L$18)," "," "),CHAR(9)," "),CHAR(10)," "),CHAR(13)," ")))="TRIAL"),"OT",TRIM(SUBSTITUTE(SUBSTITUTE(SUBSTITUTE(SUBSTITUTE(INDEX(PASTE_ALL,$DF288,$L$18)," "," "),CHAR(9)," "),CHAR(10)," "),CHAR(13)," "))))),"")))</f>
        <v/>
      </c>
      <c r="EC288">
        <f>IF($DM288=0,"",IF($L$19=0,"",IFERROR(IF(ISNUMBER(INDEX(PASTE_ALL,$DF288,$L$19)),INDEX(PASTE_ALL,$DF288,$L$19),TRIM(SUBSTITUTE(SUBSTITUTE(SUBSTITUTE(SUBSTITUTE(INDEX(PASTE_ALL,$DF288,$L$19)," "," "),CHAR(9)," "),CHAR(10)," "),CHAR(13)," "))),"")))</f>
        <v/>
      </c>
      <c r="ED288">
        <f>IF($DM288=0,"",MATCH(1,INDEX(EXACT($DH$5:DH288,$DH288)*$DM$5:DM288,0),0))</f>
        <v/>
      </c>
      <c r="EE288">
        <f>IF($DM288=0,0,IF($ED288=$DE288,1,0))</f>
        <v/>
      </c>
      <c r="EF288">
        <f>EF287+$EE288</f>
        <v/>
      </c>
      <c r="EG288">
        <f>IF($DM288=0,"",INDEX($EF$5:$EF$1003,$ED288))</f>
        <v/>
      </c>
      <c r="EH288">
        <f>IF($DM288=0,"",IF($DO288&lt;&gt;"","",IFERROR(LOOKUP(2,1/(($EG$4:EG287=$EG288)*($DO$4:DO287&lt;&gt;"")),$DO$4:DO287),"")))</f>
        <v/>
      </c>
      <c r="EI288">
        <f>IF($DM288=0,"",IF($DO288&lt;&gt;"",$DO288,$EH288))</f>
        <v/>
      </c>
      <c r="EJ288">
        <f>IF($DM288=0,"",IF($EI288="",0,IF(OR(ISNUMBER($EI288),AND(AND(SUBSTITUTE(SUBSTITUTE(SUBSTITUTE(SUBSTITUTE(SUBSTITUTE(SUBSTITUTE(SUBSTITUTE(SUBSTITUTE(SUBSTITUTE(SUBSTITUTE(SUBSTITUTE(SUBSTITUTE(SUBSTITUTE(SUBSTITUTE(UPPER($EI288),"0",""),"1",""),"2",""),"3",""),"4",""),"5",""),"6",""),"7",""),"8",""),"9",""),".",""),"+",""),"-",""),"E","")="",LEN(SUBSTITUTE(SUBSTITUTE(MID(UPPER($EI288),1+OR(LEFT(UPPER($EI288),1)="+",LEFT(UPPER($EI288),1)="-"),999),"E+","E"),"E-","E"))=LEN(SUBSTITUTE(SUBSTITUTE(SUBSTITUTE(SUBSTITUTE(MID(UPPER($EI288),1+OR(LEFT(UPPER($EI288),1)="+",LEFT(UPPER($EI288),1)="-"),999),"E+","E"),"E-","E"),"+",""),"-","")),LEN(UPPER($EI288))-LEN(SUBSTITUTE(UPPER($EI288),"E",""))&lt;2,LEN(UPPER($EI288))-LEN(SUBSTITUTE(UPPER($EI288),".",""))&lt;2,IFERROR(FIND(".",UPPER($EI288)),0)&lt;IFERROR(FIND("E",UPPER($EI288)),999)),ISNUMBER(VALUE($EI288)))),1,2)))</f>
        <v/>
      </c>
      <c r="EK288">
        <f>IF($DM288=0,"",IF($EJ288=1,IF(ISNUMBER($EI288),$EI288,VALUE($EI288)),IF($EJ288=2,$DE288,0)))</f>
        <v/>
      </c>
      <c r="EL288">
        <f>IF($DM288=0,"",COUNTIF($EG$5:$EG$1003,"&lt;"&amp;$EG288)+SUMPRODUCT(($EG$5:$EG$1003=$EG288)*(($EJ$5:$EJ$1003&lt;$EJ288)+($EJ$5:$EJ$1003=$EJ288)*(($EK$5:$EK$1003&lt;$EK288)+($EK$5:$EK$1003=$EK288)*($DE$5:$DE$1003&lt;$DE288))))+1)</f>
        <v/>
      </c>
      <c r="EM288">
        <f>IF($DM288=0,"",$EL288+$EG288-1)</f>
        <v/>
      </c>
      <c r="EN288">
        <f>IF($DM288=0,0,IFERROR(MATCH(1,INDEX(--(TRIM(SUBSTITUTE(SUBSTITUTE(SUBSTITUTE(SUBSTITUTE(LINES_NAME&amp;""," "," "),CHAR(9)," "),CHAR(10)," "),CHAR(13)," "))=$DH288),0),0),0))</f>
        <v/>
      </c>
      <c r="EO288">
        <f>IF($EN288=0,0,IF(OR(UPPER(TRIM(INDEX(LINES_SCHEDULED,$EN288)&amp;""))="YES",UPPER(TRIM(INDEX(LINES_SCHEDULED,$EN288)&amp;""))="Y",UPPER(TRIM(INDEX(LINES_SCHEDULED,$EN288)&amp;""))="X"),1,0))</f>
        <v/>
      </c>
      <c r="EP288">
        <f>IF($DM288=0,"",IF(COUNTIFS($EG$5:$EG$1003,$EG288,$EB$5:$EB$1003,"Ready")&gt;0,"READY",IF(COUNTIFS($EG$5:$EG$1003,$EG288,$EB$5:$EB$1003,"PM")&gt;0,"PM",IF(COUNTIFS($EG$5:$EG$1003,$EG288,$EB$5:$EB$1003,"OT")&gt;0,"OT",""))))</f>
        <v/>
      </c>
      <c r="EQ288">
        <f>IF($EN288=0,"",UPPER(TRIM(INDEX(LINES_STATUS,$EN288)&amp;"")))</f>
        <v/>
      </c>
      <c r="ER288">
        <f>IF($DM288=0,"",IF(OR($EQ288="READY",$EQ288="PM",$EQ288="OT"),$EQ288,$EP288))</f>
        <v/>
      </c>
      <c r="ES288">
        <f>IF($DM288=0,"",IF(AND($DV288&lt;&gt;"",UPPER($DV288)&lt;&gt;"N"),"allergen",IF(ISNUMBER(SEARCH("oil",$DQ288)),"oil",IF(OR(EXACT($DS288,"A662"),EXACT($DS288,"A624")),"bulk",""))))</f>
        <v/>
      </c>
      <c r="ET288">
        <f>IF($DM288=0,"",IF(OR($EA288="",$EA288=0),"",$EA288/100))</f>
        <v/>
      </c>
      <c r="EU288">
        <f>IF(OR($ET288="",$DY288=""),"",INT($DY288*(1-$ET288)+0.5))</f>
        <v/>
      </c>
      <c r="EW288" t="n">
        <v>284</v>
      </c>
      <c r="EX288">
        <f>IFERROR(MATCH($EW288,$EM$5:$EM$1003,0),0)</f>
        <v/>
      </c>
      <c r="EY288">
        <f>IF($EW288&gt;$B$12,"",IF($EX288&gt;0,"row","spacer"))</f>
        <v/>
      </c>
      <c r="EZ288">
        <f>IF(AND($EY288="row",$EY287&lt;&gt;"row"),1,0)</f>
        <v/>
      </c>
      <c r="FA288">
        <f>IF(AND($EY288="row",$EY289&lt;&gt;"row"),1,0)</f>
        <v/>
      </c>
      <c r="FB288">
        <f>IF($EZ288=1,IFERROR(IF(ISNUMBER(INDEX(PASTE_ALL,INDEX($DF$5:$DF$1003,$EX288),$B$37)),INDEX(PASTE_ALL,INDEX($DF$5:$DF$1003,$EX288),$B$37),INDEX($DH$5:$DH$1003,$EX288)),INDEX($DH$5:$DH$1003,$EX288)),"")</f>
        <v/>
      </c>
      <c r="FC288">
        <f>IF($EY288="row",INDEX($ER$5:$ER$1003,$EX288),"")</f>
        <v/>
      </c>
      <c r="FD288">
        <f>IF($EY288="row",INDEX($DN$5:$DN$1003,$EX288),"")</f>
        <v/>
      </c>
      <c r="FE288">
        <f>IF($EY288="row",INDEX($DO$5:$DO$1003,$EX288),"")</f>
        <v/>
      </c>
      <c r="FF288">
        <f>IF($EY288="row",INDEX($DP$5:$DP$1003,$EX288),"")</f>
        <v/>
      </c>
      <c r="FG288">
        <f>IF($EY288="row",INDEX($DQ$5:$DQ$1003,$EX288),"")</f>
        <v/>
      </c>
      <c r="FH288">
        <f>IF($EY288="row",INDEX($DR$5:$DR$1003,$EX288),"")</f>
        <v/>
      </c>
      <c r="FI288">
        <f>IF($EY288="row",INDEX($DS$5:$DS$1003,$EX288),"")</f>
        <v/>
      </c>
      <c r="FJ288">
        <f>IF($EY288="row",INDEX($DT$5:$DT$1003,$EX288),"")</f>
        <v/>
      </c>
      <c r="FK288">
        <f>IF($EY288="row",INDEX($DU$5:$DU$1003,$EX288),"")</f>
        <v/>
      </c>
      <c r="FL288">
        <f>IF($EY288="row",INDEX($DV$5:$DV$1003,$EX288),"")</f>
        <v/>
      </c>
      <c r="FM288">
        <f>IF($EY288="row",INDEX($DW$5:$DW$1003,$EX288),"")</f>
        <v/>
      </c>
      <c r="FN288">
        <f>IF($EY288="row",INDEX($DY$5:$DY$1003,$EX288),"")</f>
        <v/>
      </c>
      <c r="FO288">
        <f>IF($EY288="row",INDEX($EA$5:$EA$1003,$EX288),"")</f>
        <v/>
      </c>
      <c r="FP288">
        <f>IF($EY288="row",INDEX($EC$5:$EC$1003,$EX288),"")</f>
        <v/>
      </c>
      <c r="FQ288">
        <f>IF($EY288="row",INDEX($ET$5:$ET$1003,$EX288),"")</f>
        <v/>
      </c>
      <c r="FR288">
        <f>IF($EY288="row",INDEX($EU$5:$EU$1003,$EX288),"")</f>
        <v/>
      </c>
      <c r="FS288">
        <f>IF(AND($EY288="row",$EY287="row"),IF(OR(INDEX($DT$5:$DT$1003,$EX287)="",INDEX($DT$5:$DT$1003,$EX288)=""),"",IF(NOT(EXACT(INDEX($DT$5:$DT$1003,$EX287),INDEX($DT$5:$DT$1003,$EX288))),"S4",IF(NOT(EXACT(INDEX($DS$5:$DS$1003,$EX287),INDEX($DS$5:$DS$1003,$EX288))),"S3",IF(NOT(EXACT(INDEX($DR$5:$DR$1003,$EX287),INDEX($DR$5:$DR$1003,$EX288))),"S1 Count Change","S1")))),"")</f>
        <v/>
      </c>
      <c r="FT288">
        <f>IF($EY288="row",INDEX($ES$5:$ES$1003,$EX288),"")</f>
        <v/>
      </c>
      <c r="FU288">
        <f>IF($EY288="row",INDEX($EO$5:$EO$1003,$EX288),0)</f>
        <v/>
      </c>
      <c r="FV288">
        <f>IF($FS288="S1 Count Change",1,0)</f>
        <v/>
      </c>
    </row>
    <row r="289">
      <c r="DA289" t="n">
        <v>285</v>
      </c>
      <c r="DB289">
        <f>IF($B$37=0,"",IFERROR(TRIM(SUBSTITUTE(SUBSTITUTE(SUBSTITUTE(SUBSTITUTE(INDEX(PASTE_ALL,285,$B$37)," "," "),CHAR(9)," "),CHAR(10)," "),CHAR(13)," ")),""))</f>
        <v/>
      </c>
      <c r="DC289">
        <f>IF(AND(285&gt;HEADER_ROW,UPPER(DB289)="LEGEND"),1,0)</f>
        <v/>
      </c>
      <c r="DE289" t="n">
        <v>285</v>
      </c>
      <c r="DF289">
        <f>HEADER_ROW+$DE289</f>
        <v/>
      </c>
      <c r="DG289">
        <f>IF(AND($DF289&lt;=1000,$DF289&lt;$B$8),1,0)</f>
        <v/>
      </c>
      <c r="DH289">
        <f>IF($DG289=1,IFERROR(INDEX($DB$5:$DB$1004,$DF289),""),"")</f>
        <v/>
      </c>
      <c r="DI289">
        <f>IF(AND($DG289=1,$DH289&lt;&gt;""),IFERROR(SUBSTITUTE(SUBSTITUTE(TRIM(SUBSTITUTE(SUBSTITUTE(SUBSTITUTE(SUBSTITUTE(IFERROR(INDEX(PASTE_ALL,$DF289,1)&amp;"","")&amp;"␟"&amp;IFERROR(INDEX(PASTE_ALL,$DF289,2)&amp;"","")&amp;"␟"&amp;IFERROR(INDEX(PASTE_ALL,$DF289,3)&amp;"","")&amp;"␟"&amp;IFERROR(INDEX(PASTE_ALL,$DF289,4)&amp;"","")&amp;"␟"&amp;IFERROR(INDEX(PASTE_ALL,$DF289,5)&amp;"","")&amp;"␟"&amp;IFERROR(INDEX(PASTE_ALL,$DF289,6)&amp;"","")&amp;"␟"&amp;IFERROR(INDEX(PASTE_ALL,$DF289,7)&amp;"","")&amp;"␟"&amp;IFERROR(INDEX(PASTE_ALL,$DF289,8)&amp;"","")&amp;"␟"&amp;IFERROR(INDEX(PASTE_ALL,$DF289,9)&amp;"","")&amp;"␟"&amp;IFERROR(INDEX(PASTE_ALL,$DF289,10)&amp;"","")&amp;"␟"&amp;IFERROR(INDEX(PASTE_ALL,$DF289,11)&amp;"","")&amp;"␟"&amp;IFERROR(INDEX(PASTE_ALL,$DF289,12)&amp;"","")&amp;"␟"&amp;IFERROR(INDEX(PASTE_ALL,$DF289,13)&amp;"","")&amp;"␟"&amp;IFERROR(INDEX(PASTE_ALL,$DF289,14)&amp;"","")&amp;"␟"&amp;IFERROR(INDEX(PASTE_ALL,$DF289,15)&amp;"","")&amp;"␟"&amp;IFERROR(INDEX(PASTE_ALL,$DF289,16)&amp;"","")&amp;"␟"&amp;IFERROR(INDEX(PASTE_ALL,$DF289,17)&amp;"","")&amp;"␟"&amp;IFERROR(INDEX(PASTE_ALL,$DF289,18)&amp;"","")&amp;"␟"&amp;IFERROR(INDEX(PASTE_ALL,$DF289,19)&amp;"","")&amp;"␟"&amp;IFERROR(INDEX(PASTE_ALL,$DF289,20)&amp;"","")&amp;"␟"&amp;IFERROR(INDEX(PASTE_ALL,$DF289,21)&amp;"","")&amp;"␟"&amp;IFERROR(INDEX(PASTE_ALL,$DF289,22)&amp;"","")&amp;"␟"&amp;IFERROR(INDEX(PASTE_ALL,$DF289,23)&amp;"","")&amp;"␟"&amp;IFERROR(INDEX(PASTE_ALL,$DF289,24)&amp;"","")&amp;"␟"&amp;IFERROR(INDEX(PASTE_ALL,$DF289,25)&amp;"","")&amp;"␟"&amp;IFERROR(INDEX(PASTE_ALL,$DF289,26)&amp;"","")&amp;"␟"&amp;IFERROR(INDEX(PASTE_ALL,$DF289,27)&amp;"","")&amp;"␟"&amp;IFERROR(INDEX(PASTE_ALL,$DF289,28)&amp;"","")&amp;"␟"&amp;IFERROR(INDEX(PASTE_ALL,$DF289,29)&amp;"","")&amp;"␟"&amp;IFERROR(INDEX(PASTE_ALL,$DF289,30)&amp;"","")&amp;"␟"&amp;IFERROR(INDEX(PASTE_ALL,$DF289,31)&amp;"","")&amp;"␟"&amp;IFERROR(INDEX(PASTE_ALL,$DF289,32)&amp;"","")&amp;"␟"&amp;IFERROR(INDEX(PASTE_ALL,$DF289,33)&amp;"","")&amp;"␟"&amp;IFERROR(INDEX(PASTE_ALL,$DF289,34)&amp;"","")&amp;"␟"&amp;IFERROR(INDEX(PASTE_ALL,$DF289,35)&amp;"","")&amp;"␟"&amp;IFERROR(INDEX(PASTE_ALL,$DF289,36)&amp;"","")&amp;"␟"&amp;IFERROR(INDEX(PASTE_ALL,$DF289,37)&amp;"","")&amp;"␟"&amp;IFERROR(INDEX(PASTE_ALL,$DF289,38)&amp;"","")&amp;"␟"&amp;IFERROR(INDEX(PASTE_ALL,$DF289,39)&amp;"","")&amp;"␟"&amp;IFERROR(INDEX(PASTE_ALL,$DF289,40)&amp;"","")&amp;"␟"&amp;IFERROR(INDEX(PASTE_ALL,$DF289,41)&amp;"","")&amp;"␟"&amp;IFERROR(INDEX(PASTE_ALL,$DF289,42)&amp;"","")&amp;"␟"&amp;IFERROR(INDEX(PASTE_ALL,$DF289,43)&amp;"","")&amp;"␟"&amp;IFERROR(INDEX(PASTE_ALL,$DF289,44)&amp;"","")&amp;"␟"&amp;IFERROR(INDEX(PASTE_ALL,$DF289,45)&amp;"","")&amp;"␟"&amp;IFERROR(INDEX(PASTE_ALL,$DF289,46)&amp;"","")&amp;"␟"&amp;IFERROR(INDEX(PASTE_ALL,$DF289,47)&amp;"","")&amp;"␟"&amp;IFERROR(INDEX(PASTE_ALL,$DF289,48)&amp;"","")&amp;"␟"&amp;IFERROR(INDEX(PASTE_ALL,$DF289,49)&amp;"","")&amp;"␟"&amp;IFERROR(INDEX(PASTE_ALL,$DF289,50)&amp;"","")&amp;"␟"&amp;IFERROR(INDEX(PASTE_ALL,$DF289,51)&amp;"","")&amp;"␟"&amp;IFERROR(INDEX(PASTE_ALL,$DF289,52)&amp;"","")&amp;"␟"&amp;IFERROR(INDEX(PASTE_ALL,$DF289,53)&amp;"","")&amp;"␟"&amp;IFERROR(INDEX(PASTE_ALL,$DF289,54)&amp;"","")&amp;"␟"&amp;IFERROR(INDEX(PASTE_ALL,$DF289,55)&amp;"","")&amp;"␟"&amp;IFERROR(INDEX(PASTE_ALL,$DF289,56)&amp;"","")&amp;"␟"&amp;IFERROR(INDEX(PASTE_ALL,$DF289,57)&amp;"","")&amp;"␟"&amp;IFERROR(INDEX(PASTE_ALL,$DF289,58)&amp;"","")&amp;"␟"&amp;IFERROR(INDEX(PASTE_ALL,$DF289,59)&amp;"","")&amp;"␟"&amp;IFERROR(INDEX(PASTE_ALL,$DF289,60)&amp;"","")," "," "),CHAR(9)," "),CHAR(10)," "),CHAR(13)," "))," ␟","␟"),"␟ ","␟"),"#"&amp;$DE289),"")</f>
        <v/>
      </c>
      <c r="DJ289">
        <f>IF($DI289="",0,IF(SUMPRODUCT(--EXACT($DI$4:DI288,$DI289))&gt;0,1,0))</f>
        <v/>
      </c>
      <c r="DK289">
        <f>IF(AND($DI289&lt;&gt;"",$DJ289=0),1,0)</f>
        <v/>
      </c>
      <c r="DL289">
        <f>DL288+$DK289</f>
        <v/>
      </c>
      <c r="DM289">
        <f>IF(AND($DK289=1,$DL289&lt;=600),1,0)</f>
        <v/>
      </c>
      <c r="DN289">
        <f>IF($DM289=0,"",IF($L$6=0,"",IFERROR(IF(ISNUMBER(INDEX(PASTE_ALL,$DF289,$L$6)),INDEX(PASTE_ALL,$DF289,$L$6),TRIM(SUBSTITUTE(SUBSTITUTE(SUBSTITUTE(SUBSTITUTE(INDEX(PASTE_ALL,$DF289,$L$6)," "," "),CHAR(9)," "),CHAR(10)," "),CHAR(13)," "))),"")))</f>
        <v/>
      </c>
      <c r="DO289">
        <f>IF($DM289=0,"",IF($L$7=0,"",IFERROR(IF(ISNUMBER(INDEX(PASTE_ALL,$DF289,$L$7)),INDEX(PASTE_ALL,$DF289,$L$7),TRIM(SUBSTITUTE(SUBSTITUTE(SUBSTITUTE(SUBSTITUTE(INDEX(PASTE_ALL,$DF289,$L$7)," "," "),CHAR(9)," "),CHAR(10)," "),CHAR(13)," "))),"")))</f>
        <v/>
      </c>
      <c r="DP289">
        <f>IF($DM289=0,"",IF($L$8=0,"",IFERROR(IF(ISNUMBER(INDEX(PASTE_ALL,$DF289,$L$8)),INDEX(PASTE_ALL,$DF289,$L$8),TRIM(SUBSTITUTE(SUBSTITUTE(SUBSTITUTE(SUBSTITUTE(INDEX(PASTE_ALL,$DF289,$L$8)," "," "),CHAR(9)," "),CHAR(10)," "),CHAR(13)," "))),"")))</f>
        <v/>
      </c>
      <c r="DQ289">
        <f>IF($DM289=0,"",IF($L$9=0,"",IFERROR(IF(ISNUMBER(INDEX(PASTE_ALL,$DF289,$L$9)),INDEX(PASTE_ALL,$DF289,$L$9),TRIM(SUBSTITUTE(SUBSTITUTE(SUBSTITUTE(SUBSTITUTE(INDEX(PASTE_ALL,$DF289,$L$9)," "," "),CHAR(9)," "),CHAR(10)," "),CHAR(13)," "))),"")))</f>
        <v/>
      </c>
      <c r="DR289">
        <f>IF($DM289=0,"",IF($L$10=0,"",IFERROR(IF(ISNUMBER(INDEX(PASTE_ALL,$DF289,$L$10)),INDEX(PASTE_ALL,$DF289,$L$10),TRIM(SUBSTITUTE(SUBSTITUTE(SUBSTITUTE(SUBSTITUTE(INDEX(PASTE_ALL,$DF289,$L$10)," "," "),CHAR(9)," "),CHAR(10)," "),CHAR(13)," "))),"")))</f>
        <v/>
      </c>
      <c r="DS289">
        <f>IF($DM289=0,"",IF($L$11=0,"",IFERROR(IF(ISNUMBER(INDEX(PASTE_ALL,$DF289,$L$11)),INDEX(PASTE_ALL,$DF289,$L$11),TRIM(SUBSTITUTE(SUBSTITUTE(SUBSTITUTE(SUBSTITUTE(INDEX(PASTE_ALL,$DF289,$L$11)," "," "),CHAR(9)," "),CHAR(10)," "),CHAR(13)," "))),"")))</f>
        <v/>
      </c>
      <c r="DT289">
        <f>IF($DM289=0,"",IF($L$12=0,"",IFERROR(IF(ISNUMBER(INDEX(PASTE_ALL,$DF289,$L$12)),INDEX(PASTE_ALL,$DF289,$L$12),TRIM(SUBSTITUTE(SUBSTITUTE(SUBSTITUTE(SUBSTITUTE(INDEX(PASTE_ALL,$DF289,$L$12)," "," "),CHAR(9)," "),CHAR(10)," "),CHAR(13)," "))),"")))</f>
        <v/>
      </c>
      <c r="DU289">
        <f>IF($DM289=0,"",IF($L$13=0,"",IFERROR(IF(ISNUMBER(INDEX(PASTE_ALL,$DF289,$L$13)),INDEX(PASTE_ALL,$DF289,$L$13),TRIM(SUBSTITUTE(SUBSTITUTE(SUBSTITUTE(SUBSTITUTE(INDEX(PASTE_ALL,$DF289,$L$13)," "," "),CHAR(9)," "),CHAR(10)," "),CHAR(13)," "))),"")))</f>
        <v/>
      </c>
      <c r="DV289">
        <f>IF($DM289=0,"",IF($L$14=0,"",IFERROR(IF(ISNUMBER(INDEX(PASTE_ALL,$DF289,$L$14)),INDEX(PASTE_ALL,$DF289,$L$14),TRIM(SUBSTITUTE(SUBSTITUTE(SUBSTITUTE(SUBSTITUTE(INDEX(PASTE_ALL,$DF289,$L$14)," "," "),CHAR(9)," "),CHAR(10)," "),CHAR(13)," "))),"")))</f>
        <v/>
      </c>
      <c r="DW289">
        <f>IF($DM289=0,"",IF($L$15=0,"",IFERROR(IF(ISNUMBER(INDEX(PASTE_ALL,$DF289,$L$15)),INDEX(PASTE_ALL,$DF289,$L$15),IF(SUMPRODUCT(--ISNUMBER(FIND({"A","B","C","D","E","F","G","H","I","J","K","L","M","N","O","P","Q","R","S","T","U","V","W","X","Y","Z","0","1","2","3","4","5","6","7","8","9"},UPPER(TRIM(SUBSTITUTE(SUBSTITUTE(SUBSTITUTE(SUBSTITUTE(INDEX(PASTE_ALL,$DF289,$L$15)," "," "),CHAR(9)," "),CHAR(10)," "),CHAR(13)," "))))))&gt;0,TRIM(SUBSTITUTE(SUBSTITUTE(SUBSTITUTE(SUBSTITUTE(INDEX(PASTE_ALL,$DF289,$L$15)," "," "),CHAR(9)," "),CHAR(10)," "),CHAR(13)," ")),"")),"")))</f>
        <v/>
      </c>
      <c r="DX289">
        <f>IF($DM289=0,"",IF($L$16=0,"",IFERROR(IF(ISNUMBER(INDEX(PASTE_ALL,$DF289,$L$16)),INDEX(PASTE_ALL,$DF289,$L$16),SUBSTITUTE(SUBSTITUTE(TRIM(SUBSTITUTE(SUBSTITUTE(SUBSTITUTE(SUBSTITUTE(INDEX(PASTE_ALL,$DF289,$L$16)," "," "),CHAR(9)," "),CHAR(10)," "),CHAR(13)," ")),",",""),"%","")),"")))</f>
        <v/>
      </c>
      <c r="DY289">
        <f>IF($DM289=0,"",IFERROR(IF(ISNUMBER($DX289),$DX289,IF($DX289="","",IF(TRIM($DX289)="",0,IF(AND(AND(SUBSTITUTE(SUBSTITUTE(SUBSTITUTE(SUBSTITUTE(SUBSTITUTE(SUBSTITUTE(SUBSTITUTE(SUBSTITUTE(SUBSTITUTE(SUBSTITUTE(SUBSTITUTE(SUBSTITUTE(SUBSTITUTE(SUBSTITUTE(UPPER(TRIM($DX289)),"0",""),"1",""),"2",""),"3",""),"4",""),"5",""),"6",""),"7",""),"8",""),"9",""),".",""),"+",""),"-",""),"E","")="",LEN(SUBSTITUTE(SUBSTITUTE(MID(UPPER(TRIM($DX289)),1+OR(LEFT(UPPER(TRIM($DX289)),1)="+",LEFT(UPPER(TRIM($DX289)),1)="-"),999),"E+","E"),"E-","E"))=LEN(SUBSTITUTE(SUBSTITUTE(SUBSTITUTE(SUBSTITUTE(MID(UPPER(TRIM($DX289)),1+OR(LEFT(UPPER(TRIM($DX289)),1)="+",LEFT(UPPER(TRIM($DX289)),1)="-"),999),"E+","E"),"E-","E"),"+",""),"-","")),LEN(UPPER(TRIM($DX289)))-LEN(SUBSTITUTE(UPPER(TRIM($DX289)),"E",""))&lt;2,LEN(UPPER(TRIM($DX289)))-LEN(SUBSTITUTE(UPPER(TRIM($DX289)),".",""))&lt;2,IFERROR(FIND(".",UPPER(TRIM($DX289))),0)&lt;IFERROR(FIND("E",UPPER(TRIM($DX289))),999)),ISNUMBER(VALUE(TRIM($DX289)))),VALUE(TRIM($DX289)),"")))),""))</f>
        <v/>
      </c>
      <c r="DZ289">
        <f>IF($DM289=0,"",IF($L$17=0,"",IFERROR(IF(ISNUMBER(INDEX(PASTE_ALL,$DF289,$L$17)),INDEX(PASTE_ALL,$DF289,$L$17),SUBSTITUTE(SUBSTITUTE(TRIM(SUBSTITUTE(SUBSTITUTE(SUBSTITUTE(SUBSTITUTE(INDEX(PASTE_ALL,$DF289,$L$17)," "," "),CHAR(9)," "),CHAR(10)," "),CHAR(13)," ")),",",""),"%","")),"")))</f>
        <v/>
      </c>
      <c r="EA289">
        <f>IF($DM289=0,"",IFERROR(IF(ISNUMBER($DZ289),$DZ289,IF($DZ289="","",IF(TRIM($DZ289)="",0,IF(AND(AND(SUBSTITUTE(SUBSTITUTE(SUBSTITUTE(SUBSTITUTE(SUBSTITUTE(SUBSTITUTE(SUBSTITUTE(SUBSTITUTE(SUBSTITUTE(SUBSTITUTE(SUBSTITUTE(SUBSTITUTE(SUBSTITUTE(SUBSTITUTE(UPPER(TRIM($DZ289)),"0",""),"1",""),"2",""),"3",""),"4",""),"5",""),"6",""),"7",""),"8",""),"9",""),".",""),"+",""),"-",""),"E","")="",LEN(SUBSTITUTE(SUBSTITUTE(MID(UPPER(TRIM($DZ289)),1+OR(LEFT(UPPER(TRIM($DZ289)),1)="+",LEFT(UPPER(TRIM($DZ289)),1)="-"),999),"E+","E"),"E-","E"))=LEN(SUBSTITUTE(SUBSTITUTE(SUBSTITUTE(SUBSTITUTE(MID(UPPER(TRIM($DZ289)),1+OR(LEFT(UPPER(TRIM($DZ289)),1)="+",LEFT(UPPER(TRIM($DZ289)),1)="-"),999),"E+","E"),"E-","E"),"+",""),"-","")),LEN(UPPER(TRIM($DZ289)))-LEN(SUBSTITUTE(UPPER(TRIM($DZ289)),"E",""))&lt;2,LEN(UPPER(TRIM($DZ289)))-LEN(SUBSTITUTE(UPPER(TRIM($DZ289)),".",""))&lt;2,IFERROR(FIND(".",UPPER(TRIM($DZ289))),0)&lt;IFERROR(FIND("E",UPPER(TRIM($DZ289))),999)),ISNUMBER(VALUE(TRIM($DZ289)))),VALUE(TRIM($DZ289)),"")))),""))</f>
        <v/>
      </c>
      <c r="EB289">
        <f>IF($DM289=0,"",IF($L$18=0,"",IFERROR(IF(UPPER(TRIM(SUBSTITUTE(SUBSTITUTE(SUBSTITUTE(SUBSTITUTE(INDEX(PASTE_ALL,$DF289,$L$18)," "," "),CHAR(9)," "),CHAR(10)," "),CHAR(13)," ")))="READY","Ready",IF(UPPER(TRIM(SUBSTITUTE(SUBSTITUTE(SUBSTITUTE(SUBSTITUTE(INDEX(PASTE_ALL,$DF289,$L$18)," "," "),CHAR(9)," "),CHAR(10)," "),CHAR(13)," ")))="PM","PM",IF(OR(UPPER(TRIM(SUBSTITUTE(SUBSTITUTE(SUBSTITUTE(SUBSTITUTE(INDEX(PASTE_ALL,$DF289,$L$18)," "," "),CHAR(9)," "),CHAR(10)," "),CHAR(13)," ")))="OT",UPPER(TRIM(SUBSTITUTE(SUBSTITUTE(SUBSTITUTE(SUBSTITUTE(INDEX(PASTE_ALL,$DF289,$L$18)," "," "),CHAR(9)," "),CHAR(10)," "),CHAR(13)," ")))="OVERTIME",UPPER(TRIM(SUBSTITUTE(SUBSTITUTE(SUBSTITUTE(SUBSTITUTE(INDEX(PASTE_ALL,$DF289,$L$18)," "," "),CHAR(9)," "),CHAR(10)," "),CHAR(13)," ")))="TRIAL"),"OT",TRIM(SUBSTITUTE(SUBSTITUTE(SUBSTITUTE(SUBSTITUTE(INDEX(PASTE_ALL,$DF289,$L$18)," "," "),CHAR(9)," "),CHAR(10)," "),CHAR(13)," "))))),"")))</f>
        <v/>
      </c>
      <c r="EC289">
        <f>IF($DM289=0,"",IF($L$19=0,"",IFERROR(IF(ISNUMBER(INDEX(PASTE_ALL,$DF289,$L$19)),INDEX(PASTE_ALL,$DF289,$L$19),TRIM(SUBSTITUTE(SUBSTITUTE(SUBSTITUTE(SUBSTITUTE(INDEX(PASTE_ALL,$DF289,$L$19)," "," "),CHAR(9)," "),CHAR(10)," "),CHAR(13)," "))),"")))</f>
        <v/>
      </c>
      <c r="ED289">
        <f>IF($DM289=0,"",MATCH(1,INDEX(EXACT($DH$5:DH289,$DH289)*$DM$5:DM289,0),0))</f>
        <v/>
      </c>
      <c r="EE289">
        <f>IF($DM289=0,0,IF($ED289=$DE289,1,0))</f>
        <v/>
      </c>
      <c r="EF289">
        <f>EF288+$EE289</f>
        <v/>
      </c>
      <c r="EG289">
        <f>IF($DM289=0,"",INDEX($EF$5:$EF$1003,$ED289))</f>
        <v/>
      </c>
      <c r="EH289">
        <f>IF($DM289=0,"",IF($DO289&lt;&gt;"","",IFERROR(LOOKUP(2,1/(($EG$4:EG288=$EG289)*($DO$4:DO288&lt;&gt;"")),$DO$4:DO288),"")))</f>
        <v/>
      </c>
      <c r="EI289">
        <f>IF($DM289=0,"",IF($DO289&lt;&gt;"",$DO289,$EH289))</f>
        <v/>
      </c>
      <c r="EJ289">
        <f>IF($DM289=0,"",IF($EI289="",0,IF(OR(ISNUMBER($EI289),AND(AND(SUBSTITUTE(SUBSTITUTE(SUBSTITUTE(SUBSTITUTE(SUBSTITUTE(SUBSTITUTE(SUBSTITUTE(SUBSTITUTE(SUBSTITUTE(SUBSTITUTE(SUBSTITUTE(SUBSTITUTE(SUBSTITUTE(SUBSTITUTE(UPPER($EI289),"0",""),"1",""),"2",""),"3",""),"4",""),"5",""),"6",""),"7",""),"8",""),"9",""),".",""),"+",""),"-",""),"E","")="",LEN(SUBSTITUTE(SUBSTITUTE(MID(UPPER($EI289),1+OR(LEFT(UPPER($EI289),1)="+",LEFT(UPPER($EI289),1)="-"),999),"E+","E"),"E-","E"))=LEN(SUBSTITUTE(SUBSTITUTE(SUBSTITUTE(SUBSTITUTE(MID(UPPER($EI289),1+OR(LEFT(UPPER($EI289),1)="+",LEFT(UPPER($EI289),1)="-"),999),"E+","E"),"E-","E"),"+",""),"-","")),LEN(UPPER($EI289))-LEN(SUBSTITUTE(UPPER($EI289),"E",""))&lt;2,LEN(UPPER($EI289))-LEN(SUBSTITUTE(UPPER($EI289),".",""))&lt;2,IFERROR(FIND(".",UPPER($EI289)),0)&lt;IFERROR(FIND("E",UPPER($EI289)),999)),ISNUMBER(VALUE($EI289)))),1,2)))</f>
        <v/>
      </c>
      <c r="EK289">
        <f>IF($DM289=0,"",IF($EJ289=1,IF(ISNUMBER($EI289),$EI289,VALUE($EI289)),IF($EJ289=2,$DE289,0)))</f>
        <v/>
      </c>
      <c r="EL289">
        <f>IF($DM289=0,"",COUNTIF($EG$5:$EG$1003,"&lt;"&amp;$EG289)+SUMPRODUCT(($EG$5:$EG$1003=$EG289)*(($EJ$5:$EJ$1003&lt;$EJ289)+($EJ$5:$EJ$1003=$EJ289)*(($EK$5:$EK$1003&lt;$EK289)+($EK$5:$EK$1003=$EK289)*($DE$5:$DE$1003&lt;$DE289))))+1)</f>
        <v/>
      </c>
      <c r="EM289">
        <f>IF($DM289=0,"",$EL289+$EG289-1)</f>
        <v/>
      </c>
      <c r="EN289">
        <f>IF($DM289=0,0,IFERROR(MATCH(1,INDEX(--(TRIM(SUBSTITUTE(SUBSTITUTE(SUBSTITUTE(SUBSTITUTE(LINES_NAME&amp;""," "," "),CHAR(9)," "),CHAR(10)," "),CHAR(13)," "))=$DH289),0),0),0))</f>
        <v/>
      </c>
      <c r="EO289">
        <f>IF($EN289=0,0,IF(OR(UPPER(TRIM(INDEX(LINES_SCHEDULED,$EN289)&amp;""))="YES",UPPER(TRIM(INDEX(LINES_SCHEDULED,$EN289)&amp;""))="Y",UPPER(TRIM(INDEX(LINES_SCHEDULED,$EN289)&amp;""))="X"),1,0))</f>
        <v/>
      </c>
      <c r="EP289">
        <f>IF($DM289=0,"",IF(COUNTIFS($EG$5:$EG$1003,$EG289,$EB$5:$EB$1003,"Ready")&gt;0,"READY",IF(COUNTIFS($EG$5:$EG$1003,$EG289,$EB$5:$EB$1003,"PM")&gt;0,"PM",IF(COUNTIFS($EG$5:$EG$1003,$EG289,$EB$5:$EB$1003,"OT")&gt;0,"OT",""))))</f>
        <v/>
      </c>
      <c r="EQ289">
        <f>IF($EN289=0,"",UPPER(TRIM(INDEX(LINES_STATUS,$EN289)&amp;"")))</f>
        <v/>
      </c>
      <c r="ER289">
        <f>IF($DM289=0,"",IF(OR($EQ289="READY",$EQ289="PM",$EQ289="OT"),$EQ289,$EP289))</f>
        <v/>
      </c>
      <c r="ES289">
        <f>IF($DM289=0,"",IF(AND($DV289&lt;&gt;"",UPPER($DV289)&lt;&gt;"N"),"allergen",IF(ISNUMBER(SEARCH("oil",$DQ289)),"oil",IF(OR(EXACT($DS289,"A662"),EXACT($DS289,"A624")),"bulk",""))))</f>
        <v/>
      </c>
      <c r="ET289">
        <f>IF($DM289=0,"",IF(OR($EA289="",$EA289=0),"",$EA289/100))</f>
        <v/>
      </c>
      <c r="EU289">
        <f>IF(OR($ET289="",$DY289=""),"",INT($DY289*(1-$ET289)+0.5))</f>
        <v/>
      </c>
      <c r="EW289" t="n">
        <v>285</v>
      </c>
      <c r="EX289">
        <f>IFERROR(MATCH($EW289,$EM$5:$EM$1003,0),0)</f>
        <v/>
      </c>
      <c r="EY289">
        <f>IF($EW289&gt;$B$12,"",IF($EX289&gt;0,"row","spacer"))</f>
        <v/>
      </c>
      <c r="EZ289">
        <f>IF(AND($EY289="row",$EY288&lt;&gt;"row"),1,0)</f>
        <v/>
      </c>
      <c r="FA289">
        <f>IF(AND($EY289="row",$EY290&lt;&gt;"row"),1,0)</f>
        <v/>
      </c>
      <c r="FB289">
        <f>IF($EZ289=1,IFERROR(IF(ISNUMBER(INDEX(PASTE_ALL,INDEX($DF$5:$DF$1003,$EX289),$B$37)),INDEX(PASTE_ALL,INDEX($DF$5:$DF$1003,$EX289),$B$37),INDEX($DH$5:$DH$1003,$EX289)),INDEX($DH$5:$DH$1003,$EX289)),"")</f>
        <v/>
      </c>
      <c r="FC289">
        <f>IF($EY289="row",INDEX($ER$5:$ER$1003,$EX289),"")</f>
        <v/>
      </c>
      <c r="FD289">
        <f>IF($EY289="row",INDEX($DN$5:$DN$1003,$EX289),"")</f>
        <v/>
      </c>
      <c r="FE289">
        <f>IF($EY289="row",INDEX($DO$5:$DO$1003,$EX289),"")</f>
        <v/>
      </c>
      <c r="FF289">
        <f>IF($EY289="row",INDEX($DP$5:$DP$1003,$EX289),"")</f>
        <v/>
      </c>
      <c r="FG289">
        <f>IF($EY289="row",INDEX($DQ$5:$DQ$1003,$EX289),"")</f>
        <v/>
      </c>
      <c r="FH289">
        <f>IF($EY289="row",INDEX($DR$5:$DR$1003,$EX289),"")</f>
        <v/>
      </c>
      <c r="FI289">
        <f>IF($EY289="row",INDEX($DS$5:$DS$1003,$EX289),"")</f>
        <v/>
      </c>
      <c r="FJ289">
        <f>IF($EY289="row",INDEX($DT$5:$DT$1003,$EX289),"")</f>
        <v/>
      </c>
      <c r="FK289">
        <f>IF($EY289="row",INDEX($DU$5:$DU$1003,$EX289),"")</f>
        <v/>
      </c>
      <c r="FL289">
        <f>IF($EY289="row",INDEX($DV$5:$DV$1003,$EX289),"")</f>
        <v/>
      </c>
      <c r="FM289">
        <f>IF($EY289="row",INDEX($DW$5:$DW$1003,$EX289),"")</f>
        <v/>
      </c>
      <c r="FN289">
        <f>IF($EY289="row",INDEX($DY$5:$DY$1003,$EX289),"")</f>
        <v/>
      </c>
      <c r="FO289">
        <f>IF($EY289="row",INDEX($EA$5:$EA$1003,$EX289),"")</f>
        <v/>
      </c>
      <c r="FP289">
        <f>IF($EY289="row",INDEX($EC$5:$EC$1003,$EX289),"")</f>
        <v/>
      </c>
      <c r="FQ289">
        <f>IF($EY289="row",INDEX($ET$5:$ET$1003,$EX289),"")</f>
        <v/>
      </c>
      <c r="FR289">
        <f>IF($EY289="row",INDEX($EU$5:$EU$1003,$EX289),"")</f>
        <v/>
      </c>
      <c r="FS289">
        <f>IF(AND($EY289="row",$EY288="row"),IF(OR(INDEX($DT$5:$DT$1003,$EX288)="",INDEX($DT$5:$DT$1003,$EX289)=""),"",IF(NOT(EXACT(INDEX($DT$5:$DT$1003,$EX288),INDEX($DT$5:$DT$1003,$EX289))),"S4",IF(NOT(EXACT(INDEX($DS$5:$DS$1003,$EX288),INDEX($DS$5:$DS$1003,$EX289))),"S3",IF(NOT(EXACT(INDEX($DR$5:$DR$1003,$EX288),INDEX($DR$5:$DR$1003,$EX289))),"S1 Count Change","S1")))),"")</f>
        <v/>
      </c>
      <c r="FT289">
        <f>IF($EY289="row",INDEX($ES$5:$ES$1003,$EX289),"")</f>
        <v/>
      </c>
      <c r="FU289">
        <f>IF($EY289="row",INDEX($EO$5:$EO$1003,$EX289),0)</f>
        <v/>
      </c>
      <c r="FV289">
        <f>IF($FS289="S1 Count Change",1,0)</f>
        <v/>
      </c>
    </row>
    <row r="290">
      <c r="DA290" t="n">
        <v>286</v>
      </c>
      <c r="DB290">
        <f>IF($B$37=0,"",IFERROR(TRIM(SUBSTITUTE(SUBSTITUTE(SUBSTITUTE(SUBSTITUTE(INDEX(PASTE_ALL,286,$B$37)," "," "),CHAR(9)," "),CHAR(10)," "),CHAR(13)," ")),""))</f>
        <v/>
      </c>
      <c r="DC290">
        <f>IF(AND(286&gt;HEADER_ROW,UPPER(DB290)="LEGEND"),1,0)</f>
        <v/>
      </c>
      <c r="DE290" t="n">
        <v>286</v>
      </c>
      <c r="DF290">
        <f>HEADER_ROW+$DE290</f>
        <v/>
      </c>
      <c r="DG290">
        <f>IF(AND($DF290&lt;=1000,$DF290&lt;$B$8),1,0)</f>
        <v/>
      </c>
      <c r="DH290">
        <f>IF($DG290=1,IFERROR(INDEX($DB$5:$DB$1004,$DF290),""),"")</f>
        <v/>
      </c>
      <c r="DI290">
        <f>IF(AND($DG290=1,$DH290&lt;&gt;""),IFERROR(SUBSTITUTE(SUBSTITUTE(TRIM(SUBSTITUTE(SUBSTITUTE(SUBSTITUTE(SUBSTITUTE(IFERROR(INDEX(PASTE_ALL,$DF290,1)&amp;"","")&amp;"␟"&amp;IFERROR(INDEX(PASTE_ALL,$DF290,2)&amp;"","")&amp;"␟"&amp;IFERROR(INDEX(PASTE_ALL,$DF290,3)&amp;"","")&amp;"␟"&amp;IFERROR(INDEX(PASTE_ALL,$DF290,4)&amp;"","")&amp;"␟"&amp;IFERROR(INDEX(PASTE_ALL,$DF290,5)&amp;"","")&amp;"␟"&amp;IFERROR(INDEX(PASTE_ALL,$DF290,6)&amp;"","")&amp;"␟"&amp;IFERROR(INDEX(PASTE_ALL,$DF290,7)&amp;"","")&amp;"␟"&amp;IFERROR(INDEX(PASTE_ALL,$DF290,8)&amp;"","")&amp;"␟"&amp;IFERROR(INDEX(PASTE_ALL,$DF290,9)&amp;"","")&amp;"␟"&amp;IFERROR(INDEX(PASTE_ALL,$DF290,10)&amp;"","")&amp;"␟"&amp;IFERROR(INDEX(PASTE_ALL,$DF290,11)&amp;"","")&amp;"␟"&amp;IFERROR(INDEX(PASTE_ALL,$DF290,12)&amp;"","")&amp;"␟"&amp;IFERROR(INDEX(PASTE_ALL,$DF290,13)&amp;"","")&amp;"␟"&amp;IFERROR(INDEX(PASTE_ALL,$DF290,14)&amp;"","")&amp;"␟"&amp;IFERROR(INDEX(PASTE_ALL,$DF290,15)&amp;"","")&amp;"␟"&amp;IFERROR(INDEX(PASTE_ALL,$DF290,16)&amp;"","")&amp;"␟"&amp;IFERROR(INDEX(PASTE_ALL,$DF290,17)&amp;"","")&amp;"␟"&amp;IFERROR(INDEX(PASTE_ALL,$DF290,18)&amp;"","")&amp;"␟"&amp;IFERROR(INDEX(PASTE_ALL,$DF290,19)&amp;"","")&amp;"␟"&amp;IFERROR(INDEX(PASTE_ALL,$DF290,20)&amp;"","")&amp;"␟"&amp;IFERROR(INDEX(PASTE_ALL,$DF290,21)&amp;"","")&amp;"␟"&amp;IFERROR(INDEX(PASTE_ALL,$DF290,22)&amp;"","")&amp;"␟"&amp;IFERROR(INDEX(PASTE_ALL,$DF290,23)&amp;"","")&amp;"␟"&amp;IFERROR(INDEX(PASTE_ALL,$DF290,24)&amp;"","")&amp;"␟"&amp;IFERROR(INDEX(PASTE_ALL,$DF290,25)&amp;"","")&amp;"␟"&amp;IFERROR(INDEX(PASTE_ALL,$DF290,26)&amp;"","")&amp;"␟"&amp;IFERROR(INDEX(PASTE_ALL,$DF290,27)&amp;"","")&amp;"␟"&amp;IFERROR(INDEX(PASTE_ALL,$DF290,28)&amp;"","")&amp;"␟"&amp;IFERROR(INDEX(PASTE_ALL,$DF290,29)&amp;"","")&amp;"␟"&amp;IFERROR(INDEX(PASTE_ALL,$DF290,30)&amp;"","")&amp;"␟"&amp;IFERROR(INDEX(PASTE_ALL,$DF290,31)&amp;"","")&amp;"␟"&amp;IFERROR(INDEX(PASTE_ALL,$DF290,32)&amp;"","")&amp;"␟"&amp;IFERROR(INDEX(PASTE_ALL,$DF290,33)&amp;"","")&amp;"␟"&amp;IFERROR(INDEX(PASTE_ALL,$DF290,34)&amp;"","")&amp;"␟"&amp;IFERROR(INDEX(PASTE_ALL,$DF290,35)&amp;"","")&amp;"␟"&amp;IFERROR(INDEX(PASTE_ALL,$DF290,36)&amp;"","")&amp;"␟"&amp;IFERROR(INDEX(PASTE_ALL,$DF290,37)&amp;"","")&amp;"␟"&amp;IFERROR(INDEX(PASTE_ALL,$DF290,38)&amp;"","")&amp;"␟"&amp;IFERROR(INDEX(PASTE_ALL,$DF290,39)&amp;"","")&amp;"␟"&amp;IFERROR(INDEX(PASTE_ALL,$DF290,40)&amp;"","")&amp;"␟"&amp;IFERROR(INDEX(PASTE_ALL,$DF290,41)&amp;"","")&amp;"␟"&amp;IFERROR(INDEX(PASTE_ALL,$DF290,42)&amp;"","")&amp;"␟"&amp;IFERROR(INDEX(PASTE_ALL,$DF290,43)&amp;"","")&amp;"␟"&amp;IFERROR(INDEX(PASTE_ALL,$DF290,44)&amp;"","")&amp;"␟"&amp;IFERROR(INDEX(PASTE_ALL,$DF290,45)&amp;"","")&amp;"␟"&amp;IFERROR(INDEX(PASTE_ALL,$DF290,46)&amp;"","")&amp;"␟"&amp;IFERROR(INDEX(PASTE_ALL,$DF290,47)&amp;"","")&amp;"␟"&amp;IFERROR(INDEX(PASTE_ALL,$DF290,48)&amp;"","")&amp;"␟"&amp;IFERROR(INDEX(PASTE_ALL,$DF290,49)&amp;"","")&amp;"␟"&amp;IFERROR(INDEX(PASTE_ALL,$DF290,50)&amp;"","")&amp;"␟"&amp;IFERROR(INDEX(PASTE_ALL,$DF290,51)&amp;"","")&amp;"␟"&amp;IFERROR(INDEX(PASTE_ALL,$DF290,52)&amp;"","")&amp;"␟"&amp;IFERROR(INDEX(PASTE_ALL,$DF290,53)&amp;"","")&amp;"␟"&amp;IFERROR(INDEX(PASTE_ALL,$DF290,54)&amp;"","")&amp;"␟"&amp;IFERROR(INDEX(PASTE_ALL,$DF290,55)&amp;"","")&amp;"␟"&amp;IFERROR(INDEX(PASTE_ALL,$DF290,56)&amp;"","")&amp;"␟"&amp;IFERROR(INDEX(PASTE_ALL,$DF290,57)&amp;"","")&amp;"␟"&amp;IFERROR(INDEX(PASTE_ALL,$DF290,58)&amp;"","")&amp;"␟"&amp;IFERROR(INDEX(PASTE_ALL,$DF290,59)&amp;"","")&amp;"␟"&amp;IFERROR(INDEX(PASTE_ALL,$DF290,60)&amp;"","")," "," "),CHAR(9)," "),CHAR(10)," "),CHAR(13)," "))," ␟","␟"),"␟ ","␟"),"#"&amp;$DE290),"")</f>
        <v/>
      </c>
      <c r="DJ290">
        <f>IF($DI290="",0,IF(SUMPRODUCT(--EXACT($DI$4:DI289,$DI290))&gt;0,1,0))</f>
        <v/>
      </c>
      <c r="DK290">
        <f>IF(AND($DI290&lt;&gt;"",$DJ290=0),1,0)</f>
        <v/>
      </c>
      <c r="DL290">
        <f>DL289+$DK290</f>
        <v/>
      </c>
      <c r="DM290">
        <f>IF(AND($DK290=1,$DL290&lt;=600),1,0)</f>
        <v/>
      </c>
      <c r="DN290">
        <f>IF($DM290=0,"",IF($L$6=0,"",IFERROR(IF(ISNUMBER(INDEX(PASTE_ALL,$DF290,$L$6)),INDEX(PASTE_ALL,$DF290,$L$6),TRIM(SUBSTITUTE(SUBSTITUTE(SUBSTITUTE(SUBSTITUTE(INDEX(PASTE_ALL,$DF290,$L$6)," "," "),CHAR(9)," "),CHAR(10)," "),CHAR(13)," "))),"")))</f>
        <v/>
      </c>
      <c r="DO290">
        <f>IF($DM290=0,"",IF($L$7=0,"",IFERROR(IF(ISNUMBER(INDEX(PASTE_ALL,$DF290,$L$7)),INDEX(PASTE_ALL,$DF290,$L$7),TRIM(SUBSTITUTE(SUBSTITUTE(SUBSTITUTE(SUBSTITUTE(INDEX(PASTE_ALL,$DF290,$L$7)," "," "),CHAR(9)," "),CHAR(10)," "),CHAR(13)," "))),"")))</f>
        <v/>
      </c>
      <c r="DP290">
        <f>IF($DM290=0,"",IF($L$8=0,"",IFERROR(IF(ISNUMBER(INDEX(PASTE_ALL,$DF290,$L$8)),INDEX(PASTE_ALL,$DF290,$L$8),TRIM(SUBSTITUTE(SUBSTITUTE(SUBSTITUTE(SUBSTITUTE(INDEX(PASTE_ALL,$DF290,$L$8)," "," "),CHAR(9)," "),CHAR(10)," "),CHAR(13)," "))),"")))</f>
        <v/>
      </c>
      <c r="DQ290">
        <f>IF($DM290=0,"",IF($L$9=0,"",IFERROR(IF(ISNUMBER(INDEX(PASTE_ALL,$DF290,$L$9)),INDEX(PASTE_ALL,$DF290,$L$9),TRIM(SUBSTITUTE(SUBSTITUTE(SUBSTITUTE(SUBSTITUTE(INDEX(PASTE_ALL,$DF290,$L$9)," "," "),CHAR(9)," "),CHAR(10)," "),CHAR(13)," "))),"")))</f>
        <v/>
      </c>
      <c r="DR290">
        <f>IF($DM290=0,"",IF($L$10=0,"",IFERROR(IF(ISNUMBER(INDEX(PASTE_ALL,$DF290,$L$10)),INDEX(PASTE_ALL,$DF290,$L$10),TRIM(SUBSTITUTE(SUBSTITUTE(SUBSTITUTE(SUBSTITUTE(INDEX(PASTE_ALL,$DF290,$L$10)," "," "),CHAR(9)," "),CHAR(10)," "),CHAR(13)," "))),"")))</f>
        <v/>
      </c>
      <c r="DS290">
        <f>IF($DM290=0,"",IF($L$11=0,"",IFERROR(IF(ISNUMBER(INDEX(PASTE_ALL,$DF290,$L$11)),INDEX(PASTE_ALL,$DF290,$L$11),TRIM(SUBSTITUTE(SUBSTITUTE(SUBSTITUTE(SUBSTITUTE(INDEX(PASTE_ALL,$DF290,$L$11)," "," "),CHAR(9)," "),CHAR(10)," "),CHAR(13)," "))),"")))</f>
        <v/>
      </c>
      <c r="DT290">
        <f>IF($DM290=0,"",IF($L$12=0,"",IFERROR(IF(ISNUMBER(INDEX(PASTE_ALL,$DF290,$L$12)),INDEX(PASTE_ALL,$DF290,$L$12),TRIM(SUBSTITUTE(SUBSTITUTE(SUBSTITUTE(SUBSTITUTE(INDEX(PASTE_ALL,$DF290,$L$12)," "," "),CHAR(9)," "),CHAR(10)," "),CHAR(13)," "))),"")))</f>
        <v/>
      </c>
      <c r="DU290">
        <f>IF($DM290=0,"",IF($L$13=0,"",IFERROR(IF(ISNUMBER(INDEX(PASTE_ALL,$DF290,$L$13)),INDEX(PASTE_ALL,$DF290,$L$13),TRIM(SUBSTITUTE(SUBSTITUTE(SUBSTITUTE(SUBSTITUTE(INDEX(PASTE_ALL,$DF290,$L$13)," "," "),CHAR(9)," "),CHAR(10)," "),CHAR(13)," "))),"")))</f>
        <v/>
      </c>
      <c r="DV290">
        <f>IF($DM290=0,"",IF($L$14=0,"",IFERROR(IF(ISNUMBER(INDEX(PASTE_ALL,$DF290,$L$14)),INDEX(PASTE_ALL,$DF290,$L$14),TRIM(SUBSTITUTE(SUBSTITUTE(SUBSTITUTE(SUBSTITUTE(INDEX(PASTE_ALL,$DF290,$L$14)," "," "),CHAR(9)," "),CHAR(10)," "),CHAR(13)," "))),"")))</f>
        <v/>
      </c>
      <c r="DW290">
        <f>IF($DM290=0,"",IF($L$15=0,"",IFERROR(IF(ISNUMBER(INDEX(PASTE_ALL,$DF290,$L$15)),INDEX(PASTE_ALL,$DF290,$L$15),IF(SUMPRODUCT(--ISNUMBER(FIND({"A","B","C","D","E","F","G","H","I","J","K","L","M","N","O","P","Q","R","S","T","U","V","W","X","Y","Z","0","1","2","3","4","5","6","7","8","9"},UPPER(TRIM(SUBSTITUTE(SUBSTITUTE(SUBSTITUTE(SUBSTITUTE(INDEX(PASTE_ALL,$DF290,$L$15)," "," "),CHAR(9)," "),CHAR(10)," "),CHAR(13)," "))))))&gt;0,TRIM(SUBSTITUTE(SUBSTITUTE(SUBSTITUTE(SUBSTITUTE(INDEX(PASTE_ALL,$DF290,$L$15)," "," "),CHAR(9)," "),CHAR(10)," "),CHAR(13)," ")),"")),"")))</f>
        <v/>
      </c>
      <c r="DX290">
        <f>IF($DM290=0,"",IF($L$16=0,"",IFERROR(IF(ISNUMBER(INDEX(PASTE_ALL,$DF290,$L$16)),INDEX(PASTE_ALL,$DF290,$L$16),SUBSTITUTE(SUBSTITUTE(TRIM(SUBSTITUTE(SUBSTITUTE(SUBSTITUTE(SUBSTITUTE(INDEX(PASTE_ALL,$DF290,$L$16)," "," "),CHAR(9)," "),CHAR(10)," "),CHAR(13)," ")),",",""),"%","")),"")))</f>
        <v/>
      </c>
      <c r="DY290">
        <f>IF($DM290=0,"",IFERROR(IF(ISNUMBER($DX290),$DX290,IF($DX290="","",IF(TRIM($DX290)="",0,IF(AND(AND(SUBSTITUTE(SUBSTITUTE(SUBSTITUTE(SUBSTITUTE(SUBSTITUTE(SUBSTITUTE(SUBSTITUTE(SUBSTITUTE(SUBSTITUTE(SUBSTITUTE(SUBSTITUTE(SUBSTITUTE(SUBSTITUTE(SUBSTITUTE(UPPER(TRIM($DX290)),"0",""),"1",""),"2",""),"3",""),"4",""),"5",""),"6",""),"7",""),"8",""),"9",""),".",""),"+",""),"-",""),"E","")="",LEN(SUBSTITUTE(SUBSTITUTE(MID(UPPER(TRIM($DX290)),1+OR(LEFT(UPPER(TRIM($DX290)),1)="+",LEFT(UPPER(TRIM($DX290)),1)="-"),999),"E+","E"),"E-","E"))=LEN(SUBSTITUTE(SUBSTITUTE(SUBSTITUTE(SUBSTITUTE(MID(UPPER(TRIM($DX290)),1+OR(LEFT(UPPER(TRIM($DX290)),1)="+",LEFT(UPPER(TRIM($DX290)),1)="-"),999),"E+","E"),"E-","E"),"+",""),"-","")),LEN(UPPER(TRIM($DX290)))-LEN(SUBSTITUTE(UPPER(TRIM($DX290)),"E",""))&lt;2,LEN(UPPER(TRIM($DX290)))-LEN(SUBSTITUTE(UPPER(TRIM($DX290)),".",""))&lt;2,IFERROR(FIND(".",UPPER(TRIM($DX290))),0)&lt;IFERROR(FIND("E",UPPER(TRIM($DX290))),999)),ISNUMBER(VALUE(TRIM($DX290)))),VALUE(TRIM($DX290)),"")))),""))</f>
        <v/>
      </c>
      <c r="DZ290">
        <f>IF($DM290=0,"",IF($L$17=0,"",IFERROR(IF(ISNUMBER(INDEX(PASTE_ALL,$DF290,$L$17)),INDEX(PASTE_ALL,$DF290,$L$17),SUBSTITUTE(SUBSTITUTE(TRIM(SUBSTITUTE(SUBSTITUTE(SUBSTITUTE(SUBSTITUTE(INDEX(PASTE_ALL,$DF290,$L$17)," "," "),CHAR(9)," "),CHAR(10)," "),CHAR(13)," ")),",",""),"%","")),"")))</f>
        <v/>
      </c>
      <c r="EA290">
        <f>IF($DM290=0,"",IFERROR(IF(ISNUMBER($DZ290),$DZ290,IF($DZ290="","",IF(TRIM($DZ290)="",0,IF(AND(AND(SUBSTITUTE(SUBSTITUTE(SUBSTITUTE(SUBSTITUTE(SUBSTITUTE(SUBSTITUTE(SUBSTITUTE(SUBSTITUTE(SUBSTITUTE(SUBSTITUTE(SUBSTITUTE(SUBSTITUTE(SUBSTITUTE(SUBSTITUTE(UPPER(TRIM($DZ290)),"0",""),"1",""),"2",""),"3",""),"4",""),"5",""),"6",""),"7",""),"8",""),"9",""),".",""),"+",""),"-",""),"E","")="",LEN(SUBSTITUTE(SUBSTITUTE(MID(UPPER(TRIM($DZ290)),1+OR(LEFT(UPPER(TRIM($DZ290)),1)="+",LEFT(UPPER(TRIM($DZ290)),1)="-"),999),"E+","E"),"E-","E"))=LEN(SUBSTITUTE(SUBSTITUTE(SUBSTITUTE(SUBSTITUTE(MID(UPPER(TRIM($DZ290)),1+OR(LEFT(UPPER(TRIM($DZ290)),1)="+",LEFT(UPPER(TRIM($DZ290)),1)="-"),999),"E+","E"),"E-","E"),"+",""),"-","")),LEN(UPPER(TRIM($DZ290)))-LEN(SUBSTITUTE(UPPER(TRIM($DZ290)),"E",""))&lt;2,LEN(UPPER(TRIM($DZ290)))-LEN(SUBSTITUTE(UPPER(TRIM($DZ290)),".",""))&lt;2,IFERROR(FIND(".",UPPER(TRIM($DZ290))),0)&lt;IFERROR(FIND("E",UPPER(TRIM($DZ290))),999)),ISNUMBER(VALUE(TRIM($DZ290)))),VALUE(TRIM($DZ290)),"")))),""))</f>
        <v/>
      </c>
      <c r="EB290">
        <f>IF($DM290=0,"",IF($L$18=0,"",IFERROR(IF(UPPER(TRIM(SUBSTITUTE(SUBSTITUTE(SUBSTITUTE(SUBSTITUTE(INDEX(PASTE_ALL,$DF290,$L$18)," "," "),CHAR(9)," "),CHAR(10)," "),CHAR(13)," ")))="READY","Ready",IF(UPPER(TRIM(SUBSTITUTE(SUBSTITUTE(SUBSTITUTE(SUBSTITUTE(INDEX(PASTE_ALL,$DF290,$L$18)," "," "),CHAR(9)," "),CHAR(10)," "),CHAR(13)," ")))="PM","PM",IF(OR(UPPER(TRIM(SUBSTITUTE(SUBSTITUTE(SUBSTITUTE(SUBSTITUTE(INDEX(PASTE_ALL,$DF290,$L$18)," "," "),CHAR(9)," "),CHAR(10)," "),CHAR(13)," ")))="OT",UPPER(TRIM(SUBSTITUTE(SUBSTITUTE(SUBSTITUTE(SUBSTITUTE(INDEX(PASTE_ALL,$DF290,$L$18)," "," "),CHAR(9)," "),CHAR(10)," "),CHAR(13)," ")))="OVERTIME",UPPER(TRIM(SUBSTITUTE(SUBSTITUTE(SUBSTITUTE(SUBSTITUTE(INDEX(PASTE_ALL,$DF290,$L$18)," "," "),CHAR(9)," "),CHAR(10)," "),CHAR(13)," ")))="TRIAL"),"OT",TRIM(SUBSTITUTE(SUBSTITUTE(SUBSTITUTE(SUBSTITUTE(INDEX(PASTE_ALL,$DF290,$L$18)," "," "),CHAR(9)," "),CHAR(10)," "),CHAR(13)," "))))),"")))</f>
        <v/>
      </c>
      <c r="EC290">
        <f>IF($DM290=0,"",IF($L$19=0,"",IFERROR(IF(ISNUMBER(INDEX(PASTE_ALL,$DF290,$L$19)),INDEX(PASTE_ALL,$DF290,$L$19),TRIM(SUBSTITUTE(SUBSTITUTE(SUBSTITUTE(SUBSTITUTE(INDEX(PASTE_ALL,$DF290,$L$19)," "," "),CHAR(9)," "),CHAR(10)," "),CHAR(13)," "))),"")))</f>
        <v/>
      </c>
      <c r="ED290">
        <f>IF($DM290=0,"",MATCH(1,INDEX(EXACT($DH$5:DH290,$DH290)*$DM$5:DM290,0),0))</f>
        <v/>
      </c>
      <c r="EE290">
        <f>IF($DM290=0,0,IF($ED290=$DE290,1,0))</f>
        <v/>
      </c>
      <c r="EF290">
        <f>EF289+$EE290</f>
        <v/>
      </c>
      <c r="EG290">
        <f>IF($DM290=0,"",INDEX($EF$5:$EF$1003,$ED290))</f>
        <v/>
      </c>
      <c r="EH290">
        <f>IF($DM290=0,"",IF($DO290&lt;&gt;"","",IFERROR(LOOKUP(2,1/(($EG$4:EG289=$EG290)*($DO$4:DO289&lt;&gt;"")),$DO$4:DO289),"")))</f>
        <v/>
      </c>
      <c r="EI290">
        <f>IF($DM290=0,"",IF($DO290&lt;&gt;"",$DO290,$EH290))</f>
        <v/>
      </c>
      <c r="EJ290">
        <f>IF($DM290=0,"",IF($EI290="",0,IF(OR(ISNUMBER($EI290),AND(AND(SUBSTITUTE(SUBSTITUTE(SUBSTITUTE(SUBSTITUTE(SUBSTITUTE(SUBSTITUTE(SUBSTITUTE(SUBSTITUTE(SUBSTITUTE(SUBSTITUTE(SUBSTITUTE(SUBSTITUTE(SUBSTITUTE(SUBSTITUTE(UPPER($EI290),"0",""),"1",""),"2",""),"3",""),"4",""),"5",""),"6",""),"7",""),"8",""),"9",""),".",""),"+",""),"-",""),"E","")="",LEN(SUBSTITUTE(SUBSTITUTE(MID(UPPER($EI290),1+OR(LEFT(UPPER($EI290),1)="+",LEFT(UPPER($EI290),1)="-"),999),"E+","E"),"E-","E"))=LEN(SUBSTITUTE(SUBSTITUTE(SUBSTITUTE(SUBSTITUTE(MID(UPPER($EI290),1+OR(LEFT(UPPER($EI290),1)="+",LEFT(UPPER($EI290),1)="-"),999),"E+","E"),"E-","E"),"+",""),"-","")),LEN(UPPER($EI290))-LEN(SUBSTITUTE(UPPER($EI290),"E",""))&lt;2,LEN(UPPER($EI290))-LEN(SUBSTITUTE(UPPER($EI290),".",""))&lt;2,IFERROR(FIND(".",UPPER($EI290)),0)&lt;IFERROR(FIND("E",UPPER($EI290)),999)),ISNUMBER(VALUE($EI290)))),1,2)))</f>
        <v/>
      </c>
      <c r="EK290">
        <f>IF($DM290=0,"",IF($EJ290=1,IF(ISNUMBER($EI290),$EI290,VALUE($EI290)),IF($EJ290=2,$DE290,0)))</f>
        <v/>
      </c>
      <c r="EL290">
        <f>IF($DM290=0,"",COUNTIF($EG$5:$EG$1003,"&lt;"&amp;$EG290)+SUMPRODUCT(($EG$5:$EG$1003=$EG290)*(($EJ$5:$EJ$1003&lt;$EJ290)+($EJ$5:$EJ$1003=$EJ290)*(($EK$5:$EK$1003&lt;$EK290)+($EK$5:$EK$1003=$EK290)*($DE$5:$DE$1003&lt;$DE290))))+1)</f>
        <v/>
      </c>
      <c r="EM290">
        <f>IF($DM290=0,"",$EL290+$EG290-1)</f>
        <v/>
      </c>
      <c r="EN290">
        <f>IF($DM290=0,0,IFERROR(MATCH(1,INDEX(--(TRIM(SUBSTITUTE(SUBSTITUTE(SUBSTITUTE(SUBSTITUTE(LINES_NAME&amp;""," "," "),CHAR(9)," "),CHAR(10)," "),CHAR(13)," "))=$DH290),0),0),0))</f>
        <v/>
      </c>
      <c r="EO290">
        <f>IF($EN290=0,0,IF(OR(UPPER(TRIM(INDEX(LINES_SCHEDULED,$EN290)&amp;""))="YES",UPPER(TRIM(INDEX(LINES_SCHEDULED,$EN290)&amp;""))="Y",UPPER(TRIM(INDEX(LINES_SCHEDULED,$EN290)&amp;""))="X"),1,0))</f>
        <v/>
      </c>
      <c r="EP290">
        <f>IF($DM290=0,"",IF(COUNTIFS($EG$5:$EG$1003,$EG290,$EB$5:$EB$1003,"Ready")&gt;0,"READY",IF(COUNTIFS($EG$5:$EG$1003,$EG290,$EB$5:$EB$1003,"PM")&gt;0,"PM",IF(COUNTIFS($EG$5:$EG$1003,$EG290,$EB$5:$EB$1003,"OT")&gt;0,"OT",""))))</f>
        <v/>
      </c>
      <c r="EQ290">
        <f>IF($EN290=0,"",UPPER(TRIM(INDEX(LINES_STATUS,$EN290)&amp;"")))</f>
        <v/>
      </c>
      <c r="ER290">
        <f>IF($DM290=0,"",IF(OR($EQ290="READY",$EQ290="PM",$EQ290="OT"),$EQ290,$EP290))</f>
        <v/>
      </c>
      <c r="ES290">
        <f>IF($DM290=0,"",IF(AND($DV290&lt;&gt;"",UPPER($DV290)&lt;&gt;"N"),"allergen",IF(ISNUMBER(SEARCH("oil",$DQ290)),"oil",IF(OR(EXACT($DS290,"A662"),EXACT($DS290,"A624")),"bulk",""))))</f>
        <v/>
      </c>
      <c r="ET290">
        <f>IF($DM290=0,"",IF(OR($EA290="",$EA290=0),"",$EA290/100))</f>
        <v/>
      </c>
      <c r="EU290">
        <f>IF(OR($ET290="",$DY290=""),"",INT($DY290*(1-$ET290)+0.5))</f>
        <v/>
      </c>
      <c r="EW290" t="n">
        <v>286</v>
      </c>
      <c r="EX290">
        <f>IFERROR(MATCH($EW290,$EM$5:$EM$1003,0),0)</f>
        <v/>
      </c>
      <c r="EY290">
        <f>IF($EW290&gt;$B$12,"",IF($EX290&gt;0,"row","spacer"))</f>
        <v/>
      </c>
      <c r="EZ290">
        <f>IF(AND($EY290="row",$EY289&lt;&gt;"row"),1,0)</f>
        <v/>
      </c>
      <c r="FA290">
        <f>IF(AND($EY290="row",$EY291&lt;&gt;"row"),1,0)</f>
        <v/>
      </c>
      <c r="FB290">
        <f>IF($EZ290=1,IFERROR(IF(ISNUMBER(INDEX(PASTE_ALL,INDEX($DF$5:$DF$1003,$EX290),$B$37)),INDEX(PASTE_ALL,INDEX($DF$5:$DF$1003,$EX290),$B$37),INDEX($DH$5:$DH$1003,$EX290)),INDEX($DH$5:$DH$1003,$EX290)),"")</f>
        <v/>
      </c>
      <c r="FC290">
        <f>IF($EY290="row",INDEX($ER$5:$ER$1003,$EX290),"")</f>
        <v/>
      </c>
      <c r="FD290">
        <f>IF($EY290="row",INDEX($DN$5:$DN$1003,$EX290),"")</f>
        <v/>
      </c>
      <c r="FE290">
        <f>IF($EY290="row",INDEX($DO$5:$DO$1003,$EX290),"")</f>
        <v/>
      </c>
      <c r="FF290">
        <f>IF($EY290="row",INDEX($DP$5:$DP$1003,$EX290),"")</f>
        <v/>
      </c>
      <c r="FG290">
        <f>IF($EY290="row",INDEX($DQ$5:$DQ$1003,$EX290),"")</f>
        <v/>
      </c>
      <c r="FH290">
        <f>IF($EY290="row",INDEX($DR$5:$DR$1003,$EX290),"")</f>
        <v/>
      </c>
      <c r="FI290">
        <f>IF($EY290="row",INDEX($DS$5:$DS$1003,$EX290),"")</f>
        <v/>
      </c>
      <c r="FJ290">
        <f>IF($EY290="row",INDEX($DT$5:$DT$1003,$EX290),"")</f>
        <v/>
      </c>
      <c r="FK290">
        <f>IF($EY290="row",INDEX($DU$5:$DU$1003,$EX290),"")</f>
        <v/>
      </c>
      <c r="FL290">
        <f>IF($EY290="row",INDEX($DV$5:$DV$1003,$EX290),"")</f>
        <v/>
      </c>
      <c r="FM290">
        <f>IF($EY290="row",INDEX($DW$5:$DW$1003,$EX290),"")</f>
        <v/>
      </c>
      <c r="FN290">
        <f>IF($EY290="row",INDEX($DY$5:$DY$1003,$EX290),"")</f>
        <v/>
      </c>
      <c r="FO290">
        <f>IF($EY290="row",INDEX($EA$5:$EA$1003,$EX290),"")</f>
        <v/>
      </c>
      <c r="FP290">
        <f>IF($EY290="row",INDEX($EC$5:$EC$1003,$EX290),"")</f>
        <v/>
      </c>
      <c r="FQ290">
        <f>IF($EY290="row",INDEX($ET$5:$ET$1003,$EX290),"")</f>
        <v/>
      </c>
      <c r="FR290">
        <f>IF($EY290="row",INDEX($EU$5:$EU$1003,$EX290),"")</f>
        <v/>
      </c>
      <c r="FS290">
        <f>IF(AND($EY290="row",$EY289="row"),IF(OR(INDEX($DT$5:$DT$1003,$EX289)="",INDEX($DT$5:$DT$1003,$EX290)=""),"",IF(NOT(EXACT(INDEX($DT$5:$DT$1003,$EX289),INDEX($DT$5:$DT$1003,$EX290))),"S4",IF(NOT(EXACT(INDEX($DS$5:$DS$1003,$EX289),INDEX($DS$5:$DS$1003,$EX290))),"S3",IF(NOT(EXACT(INDEX($DR$5:$DR$1003,$EX289),INDEX($DR$5:$DR$1003,$EX290))),"S1 Count Change","S1")))),"")</f>
        <v/>
      </c>
      <c r="FT290">
        <f>IF($EY290="row",INDEX($ES$5:$ES$1003,$EX290),"")</f>
        <v/>
      </c>
      <c r="FU290">
        <f>IF($EY290="row",INDEX($EO$5:$EO$1003,$EX290),0)</f>
        <v/>
      </c>
      <c r="FV290">
        <f>IF($FS290="S1 Count Change",1,0)</f>
        <v/>
      </c>
    </row>
    <row r="291">
      <c r="DA291" t="n">
        <v>287</v>
      </c>
      <c r="DB291">
        <f>IF($B$37=0,"",IFERROR(TRIM(SUBSTITUTE(SUBSTITUTE(SUBSTITUTE(SUBSTITUTE(INDEX(PASTE_ALL,287,$B$37)," "," "),CHAR(9)," "),CHAR(10)," "),CHAR(13)," ")),""))</f>
        <v/>
      </c>
      <c r="DC291">
        <f>IF(AND(287&gt;HEADER_ROW,UPPER(DB291)="LEGEND"),1,0)</f>
        <v/>
      </c>
      <c r="DE291" t="n">
        <v>287</v>
      </c>
      <c r="DF291">
        <f>HEADER_ROW+$DE291</f>
        <v/>
      </c>
      <c r="DG291">
        <f>IF(AND($DF291&lt;=1000,$DF291&lt;$B$8),1,0)</f>
        <v/>
      </c>
      <c r="DH291">
        <f>IF($DG291=1,IFERROR(INDEX($DB$5:$DB$1004,$DF291),""),"")</f>
        <v/>
      </c>
      <c r="DI291">
        <f>IF(AND($DG291=1,$DH291&lt;&gt;""),IFERROR(SUBSTITUTE(SUBSTITUTE(TRIM(SUBSTITUTE(SUBSTITUTE(SUBSTITUTE(SUBSTITUTE(IFERROR(INDEX(PASTE_ALL,$DF291,1)&amp;"","")&amp;"␟"&amp;IFERROR(INDEX(PASTE_ALL,$DF291,2)&amp;"","")&amp;"␟"&amp;IFERROR(INDEX(PASTE_ALL,$DF291,3)&amp;"","")&amp;"␟"&amp;IFERROR(INDEX(PASTE_ALL,$DF291,4)&amp;"","")&amp;"␟"&amp;IFERROR(INDEX(PASTE_ALL,$DF291,5)&amp;"","")&amp;"␟"&amp;IFERROR(INDEX(PASTE_ALL,$DF291,6)&amp;"","")&amp;"␟"&amp;IFERROR(INDEX(PASTE_ALL,$DF291,7)&amp;"","")&amp;"␟"&amp;IFERROR(INDEX(PASTE_ALL,$DF291,8)&amp;"","")&amp;"␟"&amp;IFERROR(INDEX(PASTE_ALL,$DF291,9)&amp;"","")&amp;"␟"&amp;IFERROR(INDEX(PASTE_ALL,$DF291,10)&amp;"","")&amp;"␟"&amp;IFERROR(INDEX(PASTE_ALL,$DF291,11)&amp;"","")&amp;"␟"&amp;IFERROR(INDEX(PASTE_ALL,$DF291,12)&amp;"","")&amp;"␟"&amp;IFERROR(INDEX(PASTE_ALL,$DF291,13)&amp;"","")&amp;"␟"&amp;IFERROR(INDEX(PASTE_ALL,$DF291,14)&amp;"","")&amp;"␟"&amp;IFERROR(INDEX(PASTE_ALL,$DF291,15)&amp;"","")&amp;"␟"&amp;IFERROR(INDEX(PASTE_ALL,$DF291,16)&amp;"","")&amp;"␟"&amp;IFERROR(INDEX(PASTE_ALL,$DF291,17)&amp;"","")&amp;"␟"&amp;IFERROR(INDEX(PASTE_ALL,$DF291,18)&amp;"","")&amp;"␟"&amp;IFERROR(INDEX(PASTE_ALL,$DF291,19)&amp;"","")&amp;"␟"&amp;IFERROR(INDEX(PASTE_ALL,$DF291,20)&amp;"","")&amp;"␟"&amp;IFERROR(INDEX(PASTE_ALL,$DF291,21)&amp;"","")&amp;"␟"&amp;IFERROR(INDEX(PASTE_ALL,$DF291,22)&amp;"","")&amp;"␟"&amp;IFERROR(INDEX(PASTE_ALL,$DF291,23)&amp;"","")&amp;"␟"&amp;IFERROR(INDEX(PASTE_ALL,$DF291,24)&amp;"","")&amp;"␟"&amp;IFERROR(INDEX(PASTE_ALL,$DF291,25)&amp;"","")&amp;"␟"&amp;IFERROR(INDEX(PASTE_ALL,$DF291,26)&amp;"","")&amp;"␟"&amp;IFERROR(INDEX(PASTE_ALL,$DF291,27)&amp;"","")&amp;"␟"&amp;IFERROR(INDEX(PASTE_ALL,$DF291,28)&amp;"","")&amp;"␟"&amp;IFERROR(INDEX(PASTE_ALL,$DF291,29)&amp;"","")&amp;"␟"&amp;IFERROR(INDEX(PASTE_ALL,$DF291,30)&amp;"","")&amp;"␟"&amp;IFERROR(INDEX(PASTE_ALL,$DF291,31)&amp;"","")&amp;"␟"&amp;IFERROR(INDEX(PASTE_ALL,$DF291,32)&amp;"","")&amp;"␟"&amp;IFERROR(INDEX(PASTE_ALL,$DF291,33)&amp;"","")&amp;"␟"&amp;IFERROR(INDEX(PASTE_ALL,$DF291,34)&amp;"","")&amp;"␟"&amp;IFERROR(INDEX(PASTE_ALL,$DF291,35)&amp;"","")&amp;"␟"&amp;IFERROR(INDEX(PASTE_ALL,$DF291,36)&amp;"","")&amp;"␟"&amp;IFERROR(INDEX(PASTE_ALL,$DF291,37)&amp;"","")&amp;"␟"&amp;IFERROR(INDEX(PASTE_ALL,$DF291,38)&amp;"","")&amp;"␟"&amp;IFERROR(INDEX(PASTE_ALL,$DF291,39)&amp;"","")&amp;"␟"&amp;IFERROR(INDEX(PASTE_ALL,$DF291,40)&amp;"","")&amp;"␟"&amp;IFERROR(INDEX(PASTE_ALL,$DF291,41)&amp;"","")&amp;"␟"&amp;IFERROR(INDEX(PASTE_ALL,$DF291,42)&amp;"","")&amp;"␟"&amp;IFERROR(INDEX(PASTE_ALL,$DF291,43)&amp;"","")&amp;"␟"&amp;IFERROR(INDEX(PASTE_ALL,$DF291,44)&amp;"","")&amp;"␟"&amp;IFERROR(INDEX(PASTE_ALL,$DF291,45)&amp;"","")&amp;"␟"&amp;IFERROR(INDEX(PASTE_ALL,$DF291,46)&amp;"","")&amp;"␟"&amp;IFERROR(INDEX(PASTE_ALL,$DF291,47)&amp;"","")&amp;"␟"&amp;IFERROR(INDEX(PASTE_ALL,$DF291,48)&amp;"","")&amp;"␟"&amp;IFERROR(INDEX(PASTE_ALL,$DF291,49)&amp;"","")&amp;"␟"&amp;IFERROR(INDEX(PASTE_ALL,$DF291,50)&amp;"","")&amp;"␟"&amp;IFERROR(INDEX(PASTE_ALL,$DF291,51)&amp;"","")&amp;"␟"&amp;IFERROR(INDEX(PASTE_ALL,$DF291,52)&amp;"","")&amp;"␟"&amp;IFERROR(INDEX(PASTE_ALL,$DF291,53)&amp;"","")&amp;"␟"&amp;IFERROR(INDEX(PASTE_ALL,$DF291,54)&amp;"","")&amp;"␟"&amp;IFERROR(INDEX(PASTE_ALL,$DF291,55)&amp;"","")&amp;"␟"&amp;IFERROR(INDEX(PASTE_ALL,$DF291,56)&amp;"","")&amp;"␟"&amp;IFERROR(INDEX(PASTE_ALL,$DF291,57)&amp;"","")&amp;"␟"&amp;IFERROR(INDEX(PASTE_ALL,$DF291,58)&amp;"","")&amp;"␟"&amp;IFERROR(INDEX(PASTE_ALL,$DF291,59)&amp;"","")&amp;"␟"&amp;IFERROR(INDEX(PASTE_ALL,$DF291,60)&amp;"","")," "," "),CHAR(9)," "),CHAR(10)," "),CHAR(13)," "))," ␟","␟"),"␟ ","␟"),"#"&amp;$DE291),"")</f>
        <v/>
      </c>
      <c r="DJ291">
        <f>IF($DI291="",0,IF(SUMPRODUCT(--EXACT($DI$4:DI290,$DI291))&gt;0,1,0))</f>
        <v/>
      </c>
      <c r="DK291">
        <f>IF(AND($DI291&lt;&gt;"",$DJ291=0),1,0)</f>
        <v/>
      </c>
      <c r="DL291">
        <f>DL290+$DK291</f>
        <v/>
      </c>
      <c r="DM291">
        <f>IF(AND($DK291=1,$DL291&lt;=600),1,0)</f>
        <v/>
      </c>
      <c r="DN291">
        <f>IF($DM291=0,"",IF($L$6=0,"",IFERROR(IF(ISNUMBER(INDEX(PASTE_ALL,$DF291,$L$6)),INDEX(PASTE_ALL,$DF291,$L$6),TRIM(SUBSTITUTE(SUBSTITUTE(SUBSTITUTE(SUBSTITUTE(INDEX(PASTE_ALL,$DF291,$L$6)," "," "),CHAR(9)," "),CHAR(10)," "),CHAR(13)," "))),"")))</f>
        <v/>
      </c>
      <c r="DO291">
        <f>IF($DM291=0,"",IF($L$7=0,"",IFERROR(IF(ISNUMBER(INDEX(PASTE_ALL,$DF291,$L$7)),INDEX(PASTE_ALL,$DF291,$L$7),TRIM(SUBSTITUTE(SUBSTITUTE(SUBSTITUTE(SUBSTITUTE(INDEX(PASTE_ALL,$DF291,$L$7)," "," "),CHAR(9)," "),CHAR(10)," "),CHAR(13)," "))),"")))</f>
        <v/>
      </c>
      <c r="DP291">
        <f>IF($DM291=0,"",IF($L$8=0,"",IFERROR(IF(ISNUMBER(INDEX(PASTE_ALL,$DF291,$L$8)),INDEX(PASTE_ALL,$DF291,$L$8),TRIM(SUBSTITUTE(SUBSTITUTE(SUBSTITUTE(SUBSTITUTE(INDEX(PASTE_ALL,$DF291,$L$8)," "," "),CHAR(9)," "),CHAR(10)," "),CHAR(13)," "))),"")))</f>
        <v/>
      </c>
      <c r="DQ291">
        <f>IF($DM291=0,"",IF($L$9=0,"",IFERROR(IF(ISNUMBER(INDEX(PASTE_ALL,$DF291,$L$9)),INDEX(PASTE_ALL,$DF291,$L$9),TRIM(SUBSTITUTE(SUBSTITUTE(SUBSTITUTE(SUBSTITUTE(INDEX(PASTE_ALL,$DF291,$L$9)," "," "),CHAR(9)," "),CHAR(10)," "),CHAR(13)," "))),"")))</f>
        <v/>
      </c>
      <c r="DR291">
        <f>IF($DM291=0,"",IF($L$10=0,"",IFERROR(IF(ISNUMBER(INDEX(PASTE_ALL,$DF291,$L$10)),INDEX(PASTE_ALL,$DF291,$L$10),TRIM(SUBSTITUTE(SUBSTITUTE(SUBSTITUTE(SUBSTITUTE(INDEX(PASTE_ALL,$DF291,$L$10)," "," "),CHAR(9)," "),CHAR(10)," "),CHAR(13)," "))),"")))</f>
        <v/>
      </c>
      <c r="DS291">
        <f>IF($DM291=0,"",IF($L$11=0,"",IFERROR(IF(ISNUMBER(INDEX(PASTE_ALL,$DF291,$L$11)),INDEX(PASTE_ALL,$DF291,$L$11),TRIM(SUBSTITUTE(SUBSTITUTE(SUBSTITUTE(SUBSTITUTE(INDEX(PASTE_ALL,$DF291,$L$11)," "," "),CHAR(9)," "),CHAR(10)," "),CHAR(13)," "))),"")))</f>
        <v/>
      </c>
      <c r="DT291">
        <f>IF($DM291=0,"",IF($L$12=0,"",IFERROR(IF(ISNUMBER(INDEX(PASTE_ALL,$DF291,$L$12)),INDEX(PASTE_ALL,$DF291,$L$12),TRIM(SUBSTITUTE(SUBSTITUTE(SUBSTITUTE(SUBSTITUTE(INDEX(PASTE_ALL,$DF291,$L$12)," "," "),CHAR(9)," "),CHAR(10)," "),CHAR(13)," "))),"")))</f>
        <v/>
      </c>
      <c r="DU291">
        <f>IF($DM291=0,"",IF($L$13=0,"",IFERROR(IF(ISNUMBER(INDEX(PASTE_ALL,$DF291,$L$13)),INDEX(PASTE_ALL,$DF291,$L$13),TRIM(SUBSTITUTE(SUBSTITUTE(SUBSTITUTE(SUBSTITUTE(INDEX(PASTE_ALL,$DF291,$L$13)," "," "),CHAR(9)," "),CHAR(10)," "),CHAR(13)," "))),"")))</f>
        <v/>
      </c>
      <c r="DV291">
        <f>IF($DM291=0,"",IF($L$14=0,"",IFERROR(IF(ISNUMBER(INDEX(PASTE_ALL,$DF291,$L$14)),INDEX(PASTE_ALL,$DF291,$L$14),TRIM(SUBSTITUTE(SUBSTITUTE(SUBSTITUTE(SUBSTITUTE(INDEX(PASTE_ALL,$DF291,$L$14)," "," "),CHAR(9)," "),CHAR(10)," "),CHAR(13)," "))),"")))</f>
        <v/>
      </c>
      <c r="DW291">
        <f>IF($DM291=0,"",IF($L$15=0,"",IFERROR(IF(ISNUMBER(INDEX(PASTE_ALL,$DF291,$L$15)),INDEX(PASTE_ALL,$DF291,$L$15),IF(SUMPRODUCT(--ISNUMBER(FIND({"A","B","C","D","E","F","G","H","I","J","K","L","M","N","O","P","Q","R","S","T","U","V","W","X","Y","Z","0","1","2","3","4","5","6","7","8","9"},UPPER(TRIM(SUBSTITUTE(SUBSTITUTE(SUBSTITUTE(SUBSTITUTE(INDEX(PASTE_ALL,$DF291,$L$15)," "," "),CHAR(9)," "),CHAR(10)," "),CHAR(13)," "))))))&gt;0,TRIM(SUBSTITUTE(SUBSTITUTE(SUBSTITUTE(SUBSTITUTE(INDEX(PASTE_ALL,$DF291,$L$15)," "," "),CHAR(9)," "),CHAR(10)," "),CHAR(13)," ")),"")),"")))</f>
        <v/>
      </c>
      <c r="DX291">
        <f>IF($DM291=0,"",IF($L$16=0,"",IFERROR(IF(ISNUMBER(INDEX(PASTE_ALL,$DF291,$L$16)),INDEX(PASTE_ALL,$DF291,$L$16),SUBSTITUTE(SUBSTITUTE(TRIM(SUBSTITUTE(SUBSTITUTE(SUBSTITUTE(SUBSTITUTE(INDEX(PASTE_ALL,$DF291,$L$16)," "," "),CHAR(9)," "),CHAR(10)," "),CHAR(13)," ")),",",""),"%","")),"")))</f>
        <v/>
      </c>
      <c r="DY291">
        <f>IF($DM291=0,"",IFERROR(IF(ISNUMBER($DX291),$DX291,IF($DX291="","",IF(TRIM($DX291)="",0,IF(AND(AND(SUBSTITUTE(SUBSTITUTE(SUBSTITUTE(SUBSTITUTE(SUBSTITUTE(SUBSTITUTE(SUBSTITUTE(SUBSTITUTE(SUBSTITUTE(SUBSTITUTE(SUBSTITUTE(SUBSTITUTE(SUBSTITUTE(SUBSTITUTE(UPPER(TRIM($DX291)),"0",""),"1",""),"2",""),"3",""),"4",""),"5",""),"6",""),"7",""),"8",""),"9",""),".",""),"+",""),"-",""),"E","")="",LEN(SUBSTITUTE(SUBSTITUTE(MID(UPPER(TRIM($DX291)),1+OR(LEFT(UPPER(TRIM($DX291)),1)="+",LEFT(UPPER(TRIM($DX291)),1)="-"),999),"E+","E"),"E-","E"))=LEN(SUBSTITUTE(SUBSTITUTE(SUBSTITUTE(SUBSTITUTE(MID(UPPER(TRIM($DX291)),1+OR(LEFT(UPPER(TRIM($DX291)),1)="+",LEFT(UPPER(TRIM($DX291)),1)="-"),999),"E+","E"),"E-","E"),"+",""),"-","")),LEN(UPPER(TRIM($DX291)))-LEN(SUBSTITUTE(UPPER(TRIM($DX291)),"E",""))&lt;2,LEN(UPPER(TRIM($DX291)))-LEN(SUBSTITUTE(UPPER(TRIM($DX291)),".",""))&lt;2,IFERROR(FIND(".",UPPER(TRIM($DX291))),0)&lt;IFERROR(FIND("E",UPPER(TRIM($DX291))),999)),ISNUMBER(VALUE(TRIM($DX291)))),VALUE(TRIM($DX291)),"")))),""))</f>
        <v/>
      </c>
      <c r="DZ291">
        <f>IF($DM291=0,"",IF($L$17=0,"",IFERROR(IF(ISNUMBER(INDEX(PASTE_ALL,$DF291,$L$17)),INDEX(PASTE_ALL,$DF291,$L$17),SUBSTITUTE(SUBSTITUTE(TRIM(SUBSTITUTE(SUBSTITUTE(SUBSTITUTE(SUBSTITUTE(INDEX(PASTE_ALL,$DF291,$L$17)," "," "),CHAR(9)," "),CHAR(10)," "),CHAR(13)," ")),",",""),"%","")),"")))</f>
        <v/>
      </c>
      <c r="EA291">
        <f>IF($DM291=0,"",IFERROR(IF(ISNUMBER($DZ291),$DZ291,IF($DZ291="","",IF(TRIM($DZ291)="",0,IF(AND(AND(SUBSTITUTE(SUBSTITUTE(SUBSTITUTE(SUBSTITUTE(SUBSTITUTE(SUBSTITUTE(SUBSTITUTE(SUBSTITUTE(SUBSTITUTE(SUBSTITUTE(SUBSTITUTE(SUBSTITUTE(SUBSTITUTE(SUBSTITUTE(UPPER(TRIM($DZ291)),"0",""),"1",""),"2",""),"3",""),"4",""),"5",""),"6",""),"7",""),"8",""),"9",""),".",""),"+",""),"-",""),"E","")="",LEN(SUBSTITUTE(SUBSTITUTE(MID(UPPER(TRIM($DZ291)),1+OR(LEFT(UPPER(TRIM($DZ291)),1)="+",LEFT(UPPER(TRIM($DZ291)),1)="-"),999),"E+","E"),"E-","E"))=LEN(SUBSTITUTE(SUBSTITUTE(SUBSTITUTE(SUBSTITUTE(MID(UPPER(TRIM($DZ291)),1+OR(LEFT(UPPER(TRIM($DZ291)),1)="+",LEFT(UPPER(TRIM($DZ291)),1)="-"),999),"E+","E"),"E-","E"),"+",""),"-","")),LEN(UPPER(TRIM($DZ291)))-LEN(SUBSTITUTE(UPPER(TRIM($DZ291)),"E",""))&lt;2,LEN(UPPER(TRIM($DZ291)))-LEN(SUBSTITUTE(UPPER(TRIM($DZ291)),".",""))&lt;2,IFERROR(FIND(".",UPPER(TRIM($DZ291))),0)&lt;IFERROR(FIND("E",UPPER(TRIM($DZ291))),999)),ISNUMBER(VALUE(TRIM($DZ291)))),VALUE(TRIM($DZ291)),"")))),""))</f>
        <v/>
      </c>
      <c r="EB291">
        <f>IF($DM291=0,"",IF($L$18=0,"",IFERROR(IF(UPPER(TRIM(SUBSTITUTE(SUBSTITUTE(SUBSTITUTE(SUBSTITUTE(INDEX(PASTE_ALL,$DF291,$L$18)," "," "),CHAR(9)," "),CHAR(10)," "),CHAR(13)," ")))="READY","Ready",IF(UPPER(TRIM(SUBSTITUTE(SUBSTITUTE(SUBSTITUTE(SUBSTITUTE(INDEX(PASTE_ALL,$DF291,$L$18)," "," "),CHAR(9)," "),CHAR(10)," "),CHAR(13)," ")))="PM","PM",IF(OR(UPPER(TRIM(SUBSTITUTE(SUBSTITUTE(SUBSTITUTE(SUBSTITUTE(INDEX(PASTE_ALL,$DF291,$L$18)," "," "),CHAR(9)," "),CHAR(10)," "),CHAR(13)," ")))="OT",UPPER(TRIM(SUBSTITUTE(SUBSTITUTE(SUBSTITUTE(SUBSTITUTE(INDEX(PASTE_ALL,$DF291,$L$18)," "," "),CHAR(9)," "),CHAR(10)," "),CHAR(13)," ")))="OVERTIME",UPPER(TRIM(SUBSTITUTE(SUBSTITUTE(SUBSTITUTE(SUBSTITUTE(INDEX(PASTE_ALL,$DF291,$L$18)," "," "),CHAR(9)," "),CHAR(10)," "),CHAR(13)," ")))="TRIAL"),"OT",TRIM(SUBSTITUTE(SUBSTITUTE(SUBSTITUTE(SUBSTITUTE(INDEX(PASTE_ALL,$DF291,$L$18)," "," "),CHAR(9)," "),CHAR(10)," "),CHAR(13)," "))))),"")))</f>
        <v/>
      </c>
      <c r="EC291">
        <f>IF($DM291=0,"",IF($L$19=0,"",IFERROR(IF(ISNUMBER(INDEX(PASTE_ALL,$DF291,$L$19)),INDEX(PASTE_ALL,$DF291,$L$19),TRIM(SUBSTITUTE(SUBSTITUTE(SUBSTITUTE(SUBSTITUTE(INDEX(PASTE_ALL,$DF291,$L$19)," "," "),CHAR(9)," "),CHAR(10)," "),CHAR(13)," "))),"")))</f>
        <v/>
      </c>
      <c r="ED291">
        <f>IF($DM291=0,"",MATCH(1,INDEX(EXACT($DH$5:DH291,$DH291)*$DM$5:DM291,0),0))</f>
        <v/>
      </c>
      <c r="EE291">
        <f>IF($DM291=0,0,IF($ED291=$DE291,1,0))</f>
        <v/>
      </c>
      <c r="EF291">
        <f>EF290+$EE291</f>
        <v/>
      </c>
      <c r="EG291">
        <f>IF($DM291=0,"",INDEX($EF$5:$EF$1003,$ED291))</f>
        <v/>
      </c>
      <c r="EH291">
        <f>IF($DM291=0,"",IF($DO291&lt;&gt;"","",IFERROR(LOOKUP(2,1/(($EG$4:EG290=$EG291)*($DO$4:DO290&lt;&gt;"")),$DO$4:DO290),"")))</f>
        <v/>
      </c>
      <c r="EI291">
        <f>IF($DM291=0,"",IF($DO291&lt;&gt;"",$DO291,$EH291))</f>
        <v/>
      </c>
      <c r="EJ291">
        <f>IF($DM291=0,"",IF($EI291="",0,IF(OR(ISNUMBER($EI291),AND(AND(SUBSTITUTE(SUBSTITUTE(SUBSTITUTE(SUBSTITUTE(SUBSTITUTE(SUBSTITUTE(SUBSTITUTE(SUBSTITUTE(SUBSTITUTE(SUBSTITUTE(SUBSTITUTE(SUBSTITUTE(SUBSTITUTE(SUBSTITUTE(UPPER($EI291),"0",""),"1",""),"2",""),"3",""),"4",""),"5",""),"6",""),"7",""),"8",""),"9",""),".",""),"+",""),"-",""),"E","")="",LEN(SUBSTITUTE(SUBSTITUTE(MID(UPPER($EI291),1+OR(LEFT(UPPER($EI291),1)="+",LEFT(UPPER($EI291),1)="-"),999),"E+","E"),"E-","E"))=LEN(SUBSTITUTE(SUBSTITUTE(SUBSTITUTE(SUBSTITUTE(MID(UPPER($EI291),1+OR(LEFT(UPPER($EI291),1)="+",LEFT(UPPER($EI291),1)="-"),999),"E+","E"),"E-","E"),"+",""),"-","")),LEN(UPPER($EI291))-LEN(SUBSTITUTE(UPPER($EI291),"E",""))&lt;2,LEN(UPPER($EI291))-LEN(SUBSTITUTE(UPPER($EI291),".",""))&lt;2,IFERROR(FIND(".",UPPER($EI291)),0)&lt;IFERROR(FIND("E",UPPER($EI291)),999)),ISNUMBER(VALUE($EI291)))),1,2)))</f>
        <v/>
      </c>
      <c r="EK291">
        <f>IF($DM291=0,"",IF($EJ291=1,IF(ISNUMBER($EI291),$EI291,VALUE($EI291)),IF($EJ291=2,$DE291,0)))</f>
        <v/>
      </c>
      <c r="EL291">
        <f>IF($DM291=0,"",COUNTIF($EG$5:$EG$1003,"&lt;"&amp;$EG291)+SUMPRODUCT(($EG$5:$EG$1003=$EG291)*(($EJ$5:$EJ$1003&lt;$EJ291)+($EJ$5:$EJ$1003=$EJ291)*(($EK$5:$EK$1003&lt;$EK291)+($EK$5:$EK$1003=$EK291)*($DE$5:$DE$1003&lt;$DE291))))+1)</f>
        <v/>
      </c>
      <c r="EM291">
        <f>IF($DM291=0,"",$EL291+$EG291-1)</f>
        <v/>
      </c>
      <c r="EN291">
        <f>IF($DM291=0,0,IFERROR(MATCH(1,INDEX(--(TRIM(SUBSTITUTE(SUBSTITUTE(SUBSTITUTE(SUBSTITUTE(LINES_NAME&amp;""," "," "),CHAR(9)," "),CHAR(10)," "),CHAR(13)," "))=$DH291),0),0),0))</f>
        <v/>
      </c>
      <c r="EO291">
        <f>IF($EN291=0,0,IF(OR(UPPER(TRIM(INDEX(LINES_SCHEDULED,$EN291)&amp;""))="YES",UPPER(TRIM(INDEX(LINES_SCHEDULED,$EN291)&amp;""))="Y",UPPER(TRIM(INDEX(LINES_SCHEDULED,$EN291)&amp;""))="X"),1,0))</f>
        <v/>
      </c>
      <c r="EP291">
        <f>IF($DM291=0,"",IF(COUNTIFS($EG$5:$EG$1003,$EG291,$EB$5:$EB$1003,"Ready")&gt;0,"READY",IF(COUNTIFS($EG$5:$EG$1003,$EG291,$EB$5:$EB$1003,"PM")&gt;0,"PM",IF(COUNTIFS($EG$5:$EG$1003,$EG291,$EB$5:$EB$1003,"OT")&gt;0,"OT",""))))</f>
        <v/>
      </c>
      <c r="EQ291">
        <f>IF($EN291=0,"",UPPER(TRIM(INDEX(LINES_STATUS,$EN291)&amp;"")))</f>
        <v/>
      </c>
      <c r="ER291">
        <f>IF($DM291=0,"",IF(OR($EQ291="READY",$EQ291="PM",$EQ291="OT"),$EQ291,$EP291))</f>
        <v/>
      </c>
      <c r="ES291">
        <f>IF($DM291=0,"",IF(AND($DV291&lt;&gt;"",UPPER($DV291)&lt;&gt;"N"),"allergen",IF(ISNUMBER(SEARCH("oil",$DQ291)),"oil",IF(OR(EXACT($DS291,"A662"),EXACT($DS291,"A624")),"bulk",""))))</f>
        <v/>
      </c>
      <c r="ET291">
        <f>IF($DM291=0,"",IF(OR($EA291="",$EA291=0),"",$EA291/100))</f>
        <v/>
      </c>
      <c r="EU291">
        <f>IF(OR($ET291="",$DY291=""),"",INT($DY291*(1-$ET291)+0.5))</f>
        <v/>
      </c>
      <c r="EW291" t="n">
        <v>287</v>
      </c>
      <c r="EX291">
        <f>IFERROR(MATCH($EW291,$EM$5:$EM$1003,0),0)</f>
        <v/>
      </c>
      <c r="EY291">
        <f>IF($EW291&gt;$B$12,"",IF($EX291&gt;0,"row","spacer"))</f>
        <v/>
      </c>
      <c r="EZ291">
        <f>IF(AND($EY291="row",$EY290&lt;&gt;"row"),1,0)</f>
        <v/>
      </c>
      <c r="FA291">
        <f>IF(AND($EY291="row",$EY292&lt;&gt;"row"),1,0)</f>
        <v/>
      </c>
      <c r="FB291">
        <f>IF($EZ291=1,IFERROR(IF(ISNUMBER(INDEX(PASTE_ALL,INDEX($DF$5:$DF$1003,$EX291),$B$37)),INDEX(PASTE_ALL,INDEX($DF$5:$DF$1003,$EX291),$B$37),INDEX($DH$5:$DH$1003,$EX291)),INDEX($DH$5:$DH$1003,$EX291)),"")</f>
        <v/>
      </c>
      <c r="FC291">
        <f>IF($EY291="row",INDEX($ER$5:$ER$1003,$EX291),"")</f>
        <v/>
      </c>
      <c r="FD291">
        <f>IF($EY291="row",INDEX($DN$5:$DN$1003,$EX291),"")</f>
        <v/>
      </c>
      <c r="FE291">
        <f>IF($EY291="row",INDEX($DO$5:$DO$1003,$EX291),"")</f>
        <v/>
      </c>
      <c r="FF291">
        <f>IF($EY291="row",INDEX($DP$5:$DP$1003,$EX291),"")</f>
        <v/>
      </c>
      <c r="FG291">
        <f>IF($EY291="row",INDEX($DQ$5:$DQ$1003,$EX291),"")</f>
        <v/>
      </c>
      <c r="FH291">
        <f>IF($EY291="row",INDEX($DR$5:$DR$1003,$EX291),"")</f>
        <v/>
      </c>
      <c r="FI291">
        <f>IF($EY291="row",INDEX($DS$5:$DS$1003,$EX291),"")</f>
        <v/>
      </c>
      <c r="FJ291">
        <f>IF($EY291="row",INDEX($DT$5:$DT$1003,$EX291),"")</f>
        <v/>
      </c>
      <c r="FK291">
        <f>IF($EY291="row",INDEX($DU$5:$DU$1003,$EX291),"")</f>
        <v/>
      </c>
      <c r="FL291">
        <f>IF($EY291="row",INDEX($DV$5:$DV$1003,$EX291),"")</f>
        <v/>
      </c>
      <c r="FM291">
        <f>IF($EY291="row",INDEX($DW$5:$DW$1003,$EX291),"")</f>
        <v/>
      </c>
      <c r="FN291">
        <f>IF($EY291="row",INDEX($DY$5:$DY$1003,$EX291),"")</f>
        <v/>
      </c>
      <c r="FO291">
        <f>IF($EY291="row",INDEX($EA$5:$EA$1003,$EX291),"")</f>
        <v/>
      </c>
      <c r="FP291">
        <f>IF($EY291="row",INDEX($EC$5:$EC$1003,$EX291),"")</f>
        <v/>
      </c>
      <c r="FQ291">
        <f>IF($EY291="row",INDEX($ET$5:$ET$1003,$EX291),"")</f>
        <v/>
      </c>
      <c r="FR291">
        <f>IF($EY291="row",INDEX($EU$5:$EU$1003,$EX291),"")</f>
        <v/>
      </c>
      <c r="FS291">
        <f>IF(AND($EY291="row",$EY290="row"),IF(OR(INDEX($DT$5:$DT$1003,$EX290)="",INDEX($DT$5:$DT$1003,$EX291)=""),"",IF(NOT(EXACT(INDEX($DT$5:$DT$1003,$EX290),INDEX($DT$5:$DT$1003,$EX291))),"S4",IF(NOT(EXACT(INDEX($DS$5:$DS$1003,$EX290),INDEX($DS$5:$DS$1003,$EX291))),"S3",IF(NOT(EXACT(INDEX($DR$5:$DR$1003,$EX290),INDEX($DR$5:$DR$1003,$EX291))),"S1 Count Change","S1")))),"")</f>
        <v/>
      </c>
      <c r="FT291">
        <f>IF($EY291="row",INDEX($ES$5:$ES$1003,$EX291),"")</f>
        <v/>
      </c>
      <c r="FU291">
        <f>IF($EY291="row",INDEX($EO$5:$EO$1003,$EX291),0)</f>
        <v/>
      </c>
      <c r="FV291">
        <f>IF($FS291="S1 Count Change",1,0)</f>
        <v/>
      </c>
    </row>
    <row r="292">
      <c r="DA292" t="n">
        <v>288</v>
      </c>
      <c r="DB292">
        <f>IF($B$37=0,"",IFERROR(TRIM(SUBSTITUTE(SUBSTITUTE(SUBSTITUTE(SUBSTITUTE(INDEX(PASTE_ALL,288,$B$37)," "," "),CHAR(9)," "),CHAR(10)," "),CHAR(13)," ")),""))</f>
        <v/>
      </c>
      <c r="DC292">
        <f>IF(AND(288&gt;HEADER_ROW,UPPER(DB292)="LEGEND"),1,0)</f>
        <v/>
      </c>
      <c r="DE292" t="n">
        <v>288</v>
      </c>
      <c r="DF292">
        <f>HEADER_ROW+$DE292</f>
        <v/>
      </c>
      <c r="DG292">
        <f>IF(AND($DF292&lt;=1000,$DF292&lt;$B$8),1,0)</f>
        <v/>
      </c>
      <c r="DH292">
        <f>IF($DG292=1,IFERROR(INDEX($DB$5:$DB$1004,$DF292),""),"")</f>
        <v/>
      </c>
      <c r="DI292">
        <f>IF(AND($DG292=1,$DH292&lt;&gt;""),IFERROR(SUBSTITUTE(SUBSTITUTE(TRIM(SUBSTITUTE(SUBSTITUTE(SUBSTITUTE(SUBSTITUTE(IFERROR(INDEX(PASTE_ALL,$DF292,1)&amp;"","")&amp;"␟"&amp;IFERROR(INDEX(PASTE_ALL,$DF292,2)&amp;"","")&amp;"␟"&amp;IFERROR(INDEX(PASTE_ALL,$DF292,3)&amp;"","")&amp;"␟"&amp;IFERROR(INDEX(PASTE_ALL,$DF292,4)&amp;"","")&amp;"␟"&amp;IFERROR(INDEX(PASTE_ALL,$DF292,5)&amp;"","")&amp;"␟"&amp;IFERROR(INDEX(PASTE_ALL,$DF292,6)&amp;"","")&amp;"␟"&amp;IFERROR(INDEX(PASTE_ALL,$DF292,7)&amp;"","")&amp;"␟"&amp;IFERROR(INDEX(PASTE_ALL,$DF292,8)&amp;"","")&amp;"␟"&amp;IFERROR(INDEX(PASTE_ALL,$DF292,9)&amp;"","")&amp;"␟"&amp;IFERROR(INDEX(PASTE_ALL,$DF292,10)&amp;"","")&amp;"␟"&amp;IFERROR(INDEX(PASTE_ALL,$DF292,11)&amp;"","")&amp;"␟"&amp;IFERROR(INDEX(PASTE_ALL,$DF292,12)&amp;"","")&amp;"␟"&amp;IFERROR(INDEX(PASTE_ALL,$DF292,13)&amp;"","")&amp;"␟"&amp;IFERROR(INDEX(PASTE_ALL,$DF292,14)&amp;"","")&amp;"␟"&amp;IFERROR(INDEX(PASTE_ALL,$DF292,15)&amp;"","")&amp;"␟"&amp;IFERROR(INDEX(PASTE_ALL,$DF292,16)&amp;"","")&amp;"␟"&amp;IFERROR(INDEX(PASTE_ALL,$DF292,17)&amp;"","")&amp;"␟"&amp;IFERROR(INDEX(PASTE_ALL,$DF292,18)&amp;"","")&amp;"␟"&amp;IFERROR(INDEX(PASTE_ALL,$DF292,19)&amp;"","")&amp;"␟"&amp;IFERROR(INDEX(PASTE_ALL,$DF292,20)&amp;"","")&amp;"␟"&amp;IFERROR(INDEX(PASTE_ALL,$DF292,21)&amp;"","")&amp;"␟"&amp;IFERROR(INDEX(PASTE_ALL,$DF292,22)&amp;"","")&amp;"␟"&amp;IFERROR(INDEX(PASTE_ALL,$DF292,23)&amp;"","")&amp;"␟"&amp;IFERROR(INDEX(PASTE_ALL,$DF292,24)&amp;"","")&amp;"␟"&amp;IFERROR(INDEX(PASTE_ALL,$DF292,25)&amp;"","")&amp;"␟"&amp;IFERROR(INDEX(PASTE_ALL,$DF292,26)&amp;"","")&amp;"␟"&amp;IFERROR(INDEX(PASTE_ALL,$DF292,27)&amp;"","")&amp;"␟"&amp;IFERROR(INDEX(PASTE_ALL,$DF292,28)&amp;"","")&amp;"␟"&amp;IFERROR(INDEX(PASTE_ALL,$DF292,29)&amp;"","")&amp;"␟"&amp;IFERROR(INDEX(PASTE_ALL,$DF292,30)&amp;"","")&amp;"␟"&amp;IFERROR(INDEX(PASTE_ALL,$DF292,31)&amp;"","")&amp;"␟"&amp;IFERROR(INDEX(PASTE_ALL,$DF292,32)&amp;"","")&amp;"␟"&amp;IFERROR(INDEX(PASTE_ALL,$DF292,33)&amp;"","")&amp;"␟"&amp;IFERROR(INDEX(PASTE_ALL,$DF292,34)&amp;"","")&amp;"␟"&amp;IFERROR(INDEX(PASTE_ALL,$DF292,35)&amp;"","")&amp;"␟"&amp;IFERROR(INDEX(PASTE_ALL,$DF292,36)&amp;"","")&amp;"␟"&amp;IFERROR(INDEX(PASTE_ALL,$DF292,37)&amp;"","")&amp;"␟"&amp;IFERROR(INDEX(PASTE_ALL,$DF292,38)&amp;"","")&amp;"␟"&amp;IFERROR(INDEX(PASTE_ALL,$DF292,39)&amp;"","")&amp;"␟"&amp;IFERROR(INDEX(PASTE_ALL,$DF292,40)&amp;"","")&amp;"␟"&amp;IFERROR(INDEX(PASTE_ALL,$DF292,41)&amp;"","")&amp;"␟"&amp;IFERROR(INDEX(PASTE_ALL,$DF292,42)&amp;"","")&amp;"␟"&amp;IFERROR(INDEX(PASTE_ALL,$DF292,43)&amp;"","")&amp;"␟"&amp;IFERROR(INDEX(PASTE_ALL,$DF292,44)&amp;"","")&amp;"␟"&amp;IFERROR(INDEX(PASTE_ALL,$DF292,45)&amp;"","")&amp;"␟"&amp;IFERROR(INDEX(PASTE_ALL,$DF292,46)&amp;"","")&amp;"␟"&amp;IFERROR(INDEX(PASTE_ALL,$DF292,47)&amp;"","")&amp;"␟"&amp;IFERROR(INDEX(PASTE_ALL,$DF292,48)&amp;"","")&amp;"␟"&amp;IFERROR(INDEX(PASTE_ALL,$DF292,49)&amp;"","")&amp;"␟"&amp;IFERROR(INDEX(PASTE_ALL,$DF292,50)&amp;"","")&amp;"␟"&amp;IFERROR(INDEX(PASTE_ALL,$DF292,51)&amp;"","")&amp;"␟"&amp;IFERROR(INDEX(PASTE_ALL,$DF292,52)&amp;"","")&amp;"␟"&amp;IFERROR(INDEX(PASTE_ALL,$DF292,53)&amp;"","")&amp;"␟"&amp;IFERROR(INDEX(PASTE_ALL,$DF292,54)&amp;"","")&amp;"␟"&amp;IFERROR(INDEX(PASTE_ALL,$DF292,55)&amp;"","")&amp;"␟"&amp;IFERROR(INDEX(PASTE_ALL,$DF292,56)&amp;"","")&amp;"␟"&amp;IFERROR(INDEX(PASTE_ALL,$DF292,57)&amp;"","")&amp;"␟"&amp;IFERROR(INDEX(PASTE_ALL,$DF292,58)&amp;"","")&amp;"␟"&amp;IFERROR(INDEX(PASTE_ALL,$DF292,59)&amp;"","")&amp;"␟"&amp;IFERROR(INDEX(PASTE_ALL,$DF292,60)&amp;"","")," "," "),CHAR(9)," "),CHAR(10)," "),CHAR(13)," "))," ␟","␟"),"␟ ","␟"),"#"&amp;$DE292),"")</f>
        <v/>
      </c>
      <c r="DJ292">
        <f>IF($DI292="",0,IF(SUMPRODUCT(--EXACT($DI$4:DI291,$DI292))&gt;0,1,0))</f>
        <v/>
      </c>
      <c r="DK292">
        <f>IF(AND($DI292&lt;&gt;"",$DJ292=0),1,0)</f>
        <v/>
      </c>
      <c r="DL292">
        <f>DL291+$DK292</f>
        <v/>
      </c>
      <c r="DM292">
        <f>IF(AND($DK292=1,$DL292&lt;=600),1,0)</f>
        <v/>
      </c>
      <c r="DN292">
        <f>IF($DM292=0,"",IF($L$6=0,"",IFERROR(IF(ISNUMBER(INDEX(PASTE_ALL,$DF292,$L$6)),INDEX(PASTE_ALL,$DF292,$L$6),TRIM(SUBSTITUTE(SUBSTITUTE(SUBSTITUTE(SUBSTITUTE(INDEX(PASTE_ALL,$DF292,$L$6)," "," "),CHAR(9)," "),CHAR(10)," "),CHAR(13)," "))),"")))</f>
        <v/>
      </c>
      <c r="DO292">
        <f>IF($DM292=0,"",IF($L$7=0,"",IFERROR(IF(ISNUMBER(INDEX(PASTE_ALL,$DF292,$L$7)),INDEX(PASTE_ALL,$DF292,$L$7),TRIM(SUBSTITUTE(SUBSTITUTE(SUBSTITUTE(SUBSTITUTE(INDEX(PASTE_ALL,$DF292,$L$7)," "," "),CHAR(9)," "),CHAR(10)," "),CHAR(13)," "))),"")))</f>
        <v/>
      </c>
      <c r="DP292">
        <f>IF($DM292=0,"",IF($L$8=0,"",IFERROR(IF(ISNUMBER(INDEX(PASTE_ALL,$DF292,$L$8)),INDEX(PASTE_ALL,$DF292,$L$8),TRIM(SUBSTITUTE(SUBSTITUTE(SUBSTITUTE(SUBSTITUTE(INDEX(PASTE_ALL,$DF292,$L$8)," "," "),CHAR(9)," "),CHAR(10)," "),CHAR(13)," "))),"")))</f>
        <v/>
      </c>
      <c r="DQ292">
        <f>IF($DM292=0,"",IF($L$9=0,"",IFERROR(IF(ISNUMBER(INDEX(PASTE_ALL,$DF292,$L$9)),INDEX(PASTE_ALL,$DF292,$L$9),TRIM(SUBSTITUTE(SUBSTITUTE(SUBSTITUTE(SUBSTITUTE(INDEX(PASTE_ALL,$DF292,$L$9)," "," "),CHAR(9)," "),CHAR(10)," "),CHAR(13)," "))),"")))</f>
        <v/>
      </c>
      <c r="DR292">
        <f>IF($DM292=0,"",IF($L$10=0,"",IFERROR(IF(ISNUMBER(INDEX(PASTE_ALL,$DF292,$L$10)),INDEX(PASTE_ALL,$DF292,$L$10),TRIM(SUBSTITUTE(SUBSTITUTE(SUBSTITUTE(SUBSTITUTE(INDEX(PASTE_ALL,$DF292,$L$10)," "," "),CHAR(9)," "),CHAR(10)," "),CHAR(13)," "))),"")))</f>
        <v/>
      </c>
      <c r="DS292">
        <f>IF($DM292=0,"",IF($L$11=0,"",IFERROR(IF(ISNUMBER(INDEX(PASTE_ALL,$DF292,$L$11)),INDEX(PASTE_ALL,$DF292,$L$11),TRIM(SUBSTITUTE(SUBSTITUTE(SUBSTITUTE(SUBSTITUTE(INDEX(PASTE_ALL,$DF292,$L$11)," "," "),CHAR(9)," "),CHAR(10)," "),CHAR(13)," "))),"")))</f>
        <v/>
      </c>
      <c r="DT292">
        <f>IF($DM292=0,"",IF($L$12=0,"",IFERROR(IF(ISNUMBER(INDEX(PASTE_ALL,$DF292,$L$12)),INDEX(PASTE_ALL,$DF292,$L$12),TRIM(SUBSTITUTE(SUBSTITUTE(SUBSTITUTE(SUBSTITUTE(INDEX(PASTE_ALL,$DF292,$L$12)," "," "),CHAR(9)," "),CHAR(10)," "),CHAR(13)," "))),"")))</f>
        <v/>
      </c>
      <c r="DU292">
        <f>IF($DM292=0,"",IF($L$13=0,"",IFERROR(IF(ISNUMBER(INDEX(PASTE_ALL,$DF292,$L$13)),INDEX(PASTE_ALL,$DF292,$L$13),TRIM(SUBSTITUTE(SUBSTITUTE(SUBSTITUTE(SUBSTITUTE(INDEX(PASTE_ALL,$DF292,$L$13)," "," "),CHAR(9)," "),CHAR(10)," "),CHAR(13)," "))),"")))</f>
        <v/>
      </c>
      <c r="DV292">
        <f>IF($DM292=0,"",IF($L$14=0,"",IFERROR(IF(ISNUMBER(INDEX(PASTE_ALL,$DF292,$L$14)),INDEX(PASTE_ALL,$DF292,$L$14),TRIM(SUBSTITUTE(SUBSTITUTE(SUBSTITUTE(SUBSTITUTE(INDEX(PASTE_ALL,$DF292,$L$14)," "," "),CHAR(9)," "),CHAR(10)," "),CHAR(13)," "))),"")))</f>
        <v/>
      </c>
      <c r="DW292">
        <f>IF($DM292=0,"",IF($L$15=0,"",IFERROR(IF(ISNUMBER(INDEX(PASTE_ALL,$DF292,$L$15)),INDEX(PASTE_ALL,$DF292,$L$15),IF(SUMPRODUCT(--ISNUMBER(FIND({"A","B","C","D","E","F","G","H","I","J","K","L","M","N","O","P","Q","R","S","T","U","V","W","X","Y","Z","0","1","2","3","4","5","6","7","8","9"},UPPER(TRIM(SUBSTITUTE(SUBSTITUTE(SUBSTITUTE(SUBSTITUTE(INDEX(PASTE_ALL,$DF292,$L$15)," "," "),CHAR(9)," "),CHAR(10)," "),CHAR(13)," "))))))&gt;0,TRIM(SUBSTITUTE(SUBSTITUTE(SUBSTITUTE(SUBSTITUTE(INDEX(PASTE_ALL,$DF292,$L$15)," "," "),CHAR(9)," "),CHAR(10)," "),CHAR(13)," ")),"")),"")))</f>
        <v/>
      </c>
      <c r="DX292">
        <f>IF($DM292=0,"",IF($L$16=0,"",IFERROR(IF(ISNUMBER(INDEX(PASTE_ALL,$DF292,$L$16)),INDEX(PASTE_ALL,$DF292,$L$16),SUBSTITUTE(SUBSTITUTE(TRIM(SUBSTITUTE(SUBSTITUTE(SUBSTITUTE(SUBSTITUTE(INDEX(PASTE_ALL,$DF292,$L$16)," "," "),CHAR(9)," "),CHAR(10)," "),CHAR(13)," ")),",",""),"%","")),"")))</f>
        <v/>
      </c>
      <c r="DY292">
        <f>IF($DM292=0,"",IFERROR(IF(ISNUMBER($DX292),$DX292,IF($DX292="","",IF(TRIM($DX292)="",0,IF(AND(AND(SUBSTITUTE(SUBSTITUTE(SUBSTITUTE(SUBSTITUTE(SUBSTITUTE(SUBSTITUTE(SUBSTITUTE(SUBSTITUTE(SUBSTITUTE(SUBSTITUTE(SUBSTITUTE(SUBSTITUTE(SUBSTITUTE(SUBSTITUTE(UPPER(TRIM($DX292)),"0",""),"1",""),"2",""),"3",""),"4",""),"5",""),"6",""),"7",""),"8",""),"9",""),".",""),"+",""),"-",""),"E","")="",LEN(SUBSTITUTE(SUBSTITUTE(MID(UPPER(TRIM($DX292)),1+OR(LEFT(UPPER(TRIM($DX292)),1)="+",LEFT(UPPER(TRIM($DX292)),1)="-"),999),"E+","E"),"E-","E"))=LEN(SUBSTITUTE(SUBSTITUTE(SUBSTITUTE(SUBSTITUTE(MID(UPPER(TRIM($DX292)),1+OR(LEFT(UPPER(TRIM($DX292)),1)="+",LEFT(UPPER(TRIM($DX292)),1)="-"),999),"E+","E"),"E-","E"),"+",""),"-","")),LEN(UPPER(TRIM($DX292)))-LEN(SUBSTITUTE(UPPER(TRIM($DX292)),"E",""))&lt;2,LEN(UPPER(TRIM($DX292)))-LEN(SUBSTITUTE(UPPER(TRIM($DX292)),".",""))&lt;2,IFERROR(FIND(".",UPPER(TRIM($DX292))),0)&lt;IFERROR(FIND("E",UPPER(TRIM($DX292))),999)),ISNUMBER(VALUE(TRIM($DX292)))),VALUE(TRIM($DX292)),"")))),""))</f>
        <v/>
      </c>
      <c r="DZ292">
        <f>IF($DM292=0,"",IF($L$17=0,"",IFERROR(IF(ISNUMBER(INDEX(PASTE_ALL,$DF292,$L$17)),INDEX(PASTE_ALL,$DF292,$L$17),SUBSTITUTE(SUBSTITUTE(TRIM(SUBSTITUTE(SUBSTITUTE(SUBSTITUTE(SUBSTITUTE(INDEX(PASTE_ALL,$DF292,$L$17)," "," "),CHAR(9)," "),CHAR(10)," "),CHAR(13)," ")),",",""),"%","")),"")))</f>
        <v/>
      </c>
      <c r="EA292">
        <f>IF($DM292=0,"",IFERROR(IF(ISNUMBER($DZ292),$DZ292,IF($DZ292="","",IF(TRIM($DZ292)="",0,IF(AND(AND(SUBSTITUTE(SUBSTITUTE(SUBSTITUTE(SUBSTITUTE(SUBSTITUTE(SUBSTITUTE(SUBSTITUTE(SUBSTITUTE(SUBSTITUTE(SUBSTITUTE(SUBSTITUTE(SUBSTITUTE(SUBSTITUTE(SUBSTITUTE(UPPER(TRIM($DZ292)),"0",""),"1",""),"2",""),"3",""),"4",""),"5",""),"6",""),"7",""),"8",""),"9",""),".",""),"+",""),"-",""),"E","")="",LEN(SUBSTITUTE(SUBSTITUTE(MID(UPPER(TRIM($DZ292)),1+OR(LEFT(UPPER(TRIM($DZ292)),1)="+",LEFT(UPPER(TRIM($DZ292)),1)="-"),999),"E+","E"),"E-","E"))=LEN(SUBSTITUTE(SUBSTITUTE(SUBSTITUTE(SUBSTITUTE(MID(UPPER(TRIM($DZ292)),1+OR(LEFT(UPPER(TRIM($DZ292)),1)="+",LEFT(UPPER(TRIM($DZ292)),1)="-"),999),"E+","E"),"E-","E"),"+",""),"-","")),LEN(UPPER(TRIM($DZ292)))-LEN(SUBSTITUTE(UPPER(TRIM($DZ292)),"E",""))&lt;2,LEN(UPPER(TRIM($DZ292)))-LEN(SUBSTITUTE(UPPER(TRIM($DZ292)),".",""))&lt;2,IFERROR(FIND(".",UPPER(TRIM($DZ292))),0)&lt;IFERROR(FIND("E",UPPER(TRIM($DZ292))),999)),ISNUMBER(VALUE(TRIM($DZ292)))),VALUE(TRIM($DZ292)),"")))),""))</f>
        <v/>
      </c>
      <c r="EB292">
        <f>IF($DM292=0,"",IF($L$18=0,"",IFERROR(IF(UPPER(TRIM(SUBSTITUTE(SUBSTITUTE(SUBSTITUTE(SUBSTITUTE(INDEX(PASTE_ALL,$DF292,$L$18)," "," "),CHAR(9)," "),CHAR(10)," "),CHAR(13)," ")))="READY","Ready",IF(UPPER(TRIM(SUBSTITUTE(SUBSTITUTE(SUBSTITUTE(SUBSTITUTE(INDEX(PASTE_ALL,$DF292,$L$18)," "," "),CHAR(9)," "),CHAR(10)," "),CHAR(13)," ")))="PM","PM",IF(OR(UPPER(TRIM(SUBSTITUTE(SUBSTITUTE(SUBSTITUTE(SUBSTITUTE(INDEX(PASTE_ALL,$DF292,$L$18)," "," "),CHAR(9)," "),CHAR(10)," "),CHAR(13)," ")))="OT",UPPER(TRIM(SUBSTITUTE(SUBSTITUTE(SUBSTITUTE(SUBSTITUTE(INDEX(PASTE_ALL,$DF292,$L$18)," "," "),CHAR(9)," "),CHAR(10)," "),CHAR(13)," ")))="OVERTIME",UPPER(TRIM(SUBSTITUTE(SUBSTITUTE(SUBSTITUTE(SUBSTITUTE(INDEX(PASTE_ALL,$DF292,$L$18)," "," "),CHAR(9)," "),CHAR(10)," "),CHAR(13)," ")))="TRIAL"),"OT",TRIM(SUBSTITUTE(SUBSTITUTE(SUBSTITUTE(SUBSTITUTE(INDEX(PASTE_ALL,$DF292,$L$18)," "," "),CHAR(9)," "),CHAR(10)," "),CHAR(13)," "))))),"")))</f>
        <v/>
      </c>
      <c r="EC292">
        <f>IF($DM292=0,"",IF($L$19=0,"",IFERROR(IF(ISNUMBER(INDEX(PASTE_ALL,$DF292,$L$19)),INDEX(PASTE_ALL,$DF292,$L$19),TRIM(SUBSTITUTE(SUBSTITUTE(SUBSTITUTE(SUBSTITUTE(INDEX(PASTE_ALL,$DF292,$L$19)," "," "),CHAR(9)," "),CHAR(10)," "),CHAR(13)," "))),"")))</f>
        <v/>
      </c>
      <c r="ED292">
        <f>IF($DM292=0,"",MATCH(1,INDEX(EXACT($DH$5:DH292,$DH292)*$DM$5:DM292,0),0))</f>
        <v/>
      </c>
      <c r="EE292">
        <f>IF($DM292=0,0,IF($ED292=$DE292,1,0))</f>
        <v/>
      </c>
      <c r="EF292">
        <f>EF291+$EE292</f>
        <v/>
      </c>
      <c r="EG292">
        <f>IF($DM292=0,"",INDEX($EF$5:$EF$1003,$ED292))</f>
        <v/>
      </c>
      <c r="EH292">
        <f>IF($DM292=0,"",IF($DO292&lt;&gt;"","",IFERROR(LOOKUP(2,1/(($EG$4:EG291=$EG292)*($DO$4:DO291&lt;&gt;"")),$DO$4:DO291),"")))</f>
        <v/>
      </c>
      <c r="EI292">
        <f>IF($DM292=0,"",IF($DO292&lt;&gt;"",$DO292,$EH292))</f>
        <v/>
      </c>
      <c r="EJ292">
        <f>IF($DM292=0,"",IF($EI292="",0,IF(OR(ISNUMBER($EI292),AND(AND(SUBSTITUTE(SUBSTITUTE(SUBSTITUTE(SUBSTITUTE(SUBSTITUTE(SUBSTITUTE(SUBSTITUTE(SUBSTITUTE(SUBSTITUTE(SUBSTITUTE(SUBSTITUTE(SUBSTITUTE(SUBSTITUTE(SUBSTITUTE(UPPER($EI292),"0",""),"1",""),"2",""),"3",""),"4",""),"5",""),"6",""),"7",""),"8",""),"9",""),".",""),"+",""),"-",""),"E","")="",LEN(SUBSTITUTE(SUBSTITUTE(MID(UPPER($EI292),1+OR(LEFT(UPPER($EI292),1)="+",LEFT(UPPER($EI292),1)="-"),999),"E+","E"),"E-","E"))=LEN(SUBSTITUTE(SUBSTITUTE(SUBSTITUTE(SUBSTITUTE(MID(UPPER($EI292),1+OR(LEFT(UPPER($EI292),1)="+",LEFT(UPPER($EI292),1)="-"),999),"E+","E"),"E-","E"),"+",""),"-","")),LEN(UPPER($EI292))-LEN(SUBSTITUTE(UPPER($EI292),"E",""))&lt;2,LEN(UPPER($EI292))-LEN(SUBSTITUTE(UPPER($EI292),".",""))&lt;2,IFERROR(FIND(".",UPPER($EI292)),0)&lt;IFERROR(FIND("E",UPPER($EI292)),999)),ISNUMBER(VALUE($EI292)))),1,2)))</f>
        <v/>
      </c>
      <c r="EK292">
        <f>IF($DM292=0,"",IF($EJ292=1,IF(ISNUMBER($EI292),$EI292,VALUE($EI292)),IF($EJ292=2,$DE292,0)))</f>
        <v/>
      </c>
      <c r="EL292">
        <f>IF($DM292=0,"",COUNTIF($EG$5:$EG$1003,"&lt;"&amp;$EG292)+SUMPRODUCT(($EG$5:$EG$1003=$EG292)*(($EJ$5:$EJ$1003&lt;$EJ292)+($EJ$5:$EJ$1003=$EJ292)*(($EK$5:$EK$1003&lt;$EK292)+($EK$5:$EK$1003=$EK292)*($DE$5:$DE$1003&lt;$DE292))))+1)</f>
        <v/>
      </c>
      <c r="EM292">
        <f>IF($DM292=0,"",$EL292+$EG292-1)</f>
        <v/>
      </c>
      <c r="EN292">
        <f>IF($DM292=0,0,IFERROR(MATCH(1,INDEX(--(TRIM(SUBSTITUTE(SUBSTITUTE(SUBSTITUTE(SUBSTITUTE(LINES_NAME&amp;""," "," "),CHAR(9)," "),CHAR(10)," "),CHAR(13)," "))=$DH292),0),0),0))</f>
        <v/>
      </c>
      <c r="EO292">
        <f>IF($EN292=0,0,IF(OR(UPPER(TRIM(INDEX(LINES_SCHEDULED,$EN292)&amp;""))="YES",UPPER(TRIM(INDEX(LINES_SCHEDULED,$EN292)&amp;""))="Y",UPPER(TRIM(INDEX(LINES_SCHEDULED,$EN292)&amp;""))="X"),1,0))</f>
        <v/>
      </c>
      <c r="EP292">
        <f>IF($DM292=0,"",IF(COUNTIFS($EG$5:$EG$1003,$EG292,$EB$5:$EB$1003,"Ready")&gt;0,"READY",IF(COUNTIFS($EG$5:$EG$1003,$EG292,$EB$5:$EB$1003,"PM")&gt;0,"PM",IF(COUNTIFS($EG$5:$EG$1003,$EG292,$EB$5:$EB$1003,"OT")&gt;0,"OT",""))))</f>
        <v/>
      </c>
      <c r="EQ292">
        <f>IF($EN292=0,"",UPPER(TRIM(INDEX(LINES_STATUS,$EN292)&amp;"")))</f>
        <v/>
      </c>
      <c r="ER292">
        <f>IF($DM292=0,"",IF(OR($EQ292="READY",$EQ292="PM",$EQ292="OT"),$EQ292,$EP292))</f>
        <v/>
      </c>
      <c r="ES292">
        <f>IF($DM292=0,"",IF(AND($DV292&lt;&gt;"",UPPER($DV292)&lt;&gt;"N"),"allergen",IF(ISNUMBER(SEARCH("oil",$DQ292)),"oil",IF(OR(EXACT($DS292,"A662"),EXACT($DS292,"A624")),"bulk",""))))</f>
        <v/>
      </c>
      <c r="ET292">
        <f>IF($DM292=0,"",IF(OR($EA292="",$EA292=0),"",$EA292/100))</f>
        <v/>
      </c>
      <c r="EU292">
        <f>IF(OR($ET292="",$DY292=""),"",INT($DY292*(1-$ET292)+0.5))</f>
        <v/>
      </c>
      <c r="EW292" t="n">
        <v>288</v>
      </c>
      <c r="EX292">
        <f>IFERROR(MATCH($EW292,$EM$5:$EM$1003,0),0)</f>
        <v/>
      </c>
      <c r="EY292">
        <f>IF($EW292&gt;$B$12,"",IF($EX292&gt;0,"row","spacer"))</f>
        <v/>
      </c>
      <c r="EZ292">
        <f>IF(AND($EY292="row",$EY291&lt;&gt;"row"),1,0)</f>
        <v/>
      </c>
      <c r="FA292">
        <f>IF(AND($EY292="row",$EY293&lt;&gt;"row"),1,0)</f>
        <v/>
      </c>
      <c r="FB292">
        <f>IF($EZ292=1,IFERROR(IF(ISNUMBER(INDEX(PASTE_ALL,INDEX($DF$5:$DF$1003,$EX292),$B$37)),INDEX(PASTE_ALL,INDEX($DF$5:$DF$1003,$EX292),$B$37),INDEX($DH$5:$DH$1003,$EX292)),INDEX($DH$5:$DH$1003,$EX292)),"")</f>
        <v/>
      </c>
      <c r="FC292">
        <f>IF($EY292="row",INDEX($ER$5:$ER$1003,$EX292),"")</f>
        <v/>
      </c>
      <c r="FD292">
        <f>IF($EY292="row",INDEX($DN$5:$DN$1003,$EX292),"")</f>
        <v/>
      </c>
      <c r="FE292">
        <f>IF($EY292="row",INDEX($DO$5:$DO$1003,$EX292),"")</f>
        <v/>
      </c>
      <c r="FF292">
        <f>IF($EY292="row",INDEX($DP$5:$DP$1003,$EX292),"")</f>
        <v/>
      </c>
      <c r="FG292">
        <f>IF($EY292="row",INDEX($DQ$5:$DQ$1003,$EX292),"")</f>
        <v/>
      </c>
      <c r="FH292">
        <f>IF($EY292="row",INDEX($DR$5:$DR$1003,$EX292),"")</f>
        <v/>
      </c>
      <c r="FI292">
        <f>IF($EY292="row",INDEX($DS$5:$DS$1003,$EX292),"")</f>
        <v/>
      </c>
      <c r="FJ292">
        <f>IF($EY292="row",INDEX($DT$5:$DT$1003,$EX292),"")</f>
        <v/>
      </c>
      <c r="FK292">
        <f>IF($EY292="row",INDEX($DU$5:$DU$1003,$EX292),"")</f>
        <v/>
      </c>
      <c r="FL292">
        <f>IF($EY292="row",INDEX($DV$5:$DV$1003,$EX292),"")</f>
        <v/>
      </c>
      <c r="FM292">
        <f>IF($EY292="row",INDEX($DW$5:$DW$1003,$EX292),"")</f>
        <v/>
      </c>
      <c r="FN292">
        <f>IF($EY292="row",INDEX($DY$5:$DY$1003,$EX292),"")</f>
        <v/>
      </c>
      <c r="FO292">
        <f>IF($EY292="row",INDEX($EA$5:$EA$1003,$EX292),"")</f>
        <v/>
      </c>
      <c r="FP292">
        <f>IF($EY292="row",INDEX($EC$5:$EC$1003,$EX292),"")</f>
        <v/>
      </c>
      <c r="FQ292">
        <f>IF($EY292="row",INDEX($ET$5:$ET$1003,$EX292),"")</f>
        <v/>
      </c>
      <c r="FR292">
        <f>IF($EY292="row",INDEX($EU$5:$EU$1003,$EX292),"")</f>
        <v/>
      </c>
      <c r="FS292">
        <f>IF(AND($EY292="row",$EY291="row"),IF(OR(INDEX($DT$5:$DT$1003,$EX291)="",INDEX($DT$5:$DT$1003,$EX292)=""),"",IF(NOT(EXACT(INDEX($DT$5:$DT$1003,$EX291),INDEX($DT$5:$DT$1003,$EX292))),"S4",IF(NOT(EXACT(INDEX($DS$5:$DS$1003,$EX291),INDEX($DS$5:$DS$1003,$EX292))),"S3",IF(NOT(EXACT(INDEX($DR$5:$DR$1003,$EX291),INDEX($DR$5:$DR$1003,$EX292))),"S1 Count Change","S1")))),"")</f>
        <v/>
      </c>
      <c r="FT292">
        <f>IF($EY292="row",INDEX($ES$5:$ES$1003,$EX292),"")</f>
        <v/>
      </c>
      <c r="FU292">
        <f>IF($EY292="row",INDEX($EO$5:$EO$1003,$EX292),0)</f>
        <v/>
      </c>
      <c r="FV292">
        <f>IF($FS292="S1 Count Change",1,0)</f>
        <v/>
      </c>
    </row>
    <row r="293">
      <c r="DA293" t="n">
        <v>289</v>
      </c>
      <c r="DB293">
        <f>IF($B$37=0,"",IFERROR(TRIM(SUBSTITUTE(SUBSTITUTE(SUBSTITUTE(SUBSTITUTE(INDEX(PASTE_ALL,289,$B$37)," "," "),CHAR(9)," "),CHAR(10)," "),CHAR(13)," ")),""))</f>
        <v/>
      </c>
      <c r="DC293">
        <f>IF(AND(289&gt;HEADER_ROW,UPPER(DB293)="LEGEND"),1,0)</f>
        <v/>
      </c>
      <c r="DE293" t="n">
        <v>289</v>
      </c>
      <c r="DF293">
        <f>HEADER_ROW+$DE293</f>
        <v/>
      </c>
      <c r="DG293">
        <f>IF(AND($DF293&lt;=1000,$DF293&lt;$B$8),1,0)</f>
        <v/>
      </c>
      <c r="DH293">
        <f>IF($DG293=1,IFERROR(INDEX($DB$5:$DB$1004,$DF293),""),"")</f>
        <v/>
      </c>
      <c r="DI293">
        <f>IF(AND($DG293=1,$DH293&lt;&gt;""),IFERROR(SUBSTITUTE(SUBSTITUTE(TRIM(SUBSTITUTE(SUBSTITUTE(SUBSTITUTE(SUBSTITUTE(IFERROR(INDEX(PASTE_ALL,$DF293,1)&amp;"","")&amp;"␟"&amp;IFERROR(INDEX(PASTE_ALL,$DF293,2)&amp;"","")&amp;"␟"&amp;IFERROR(INDEX(PASTE_ALL,$DF293,3)&amp;"","")&amp;"␟"&amp;IFERROR(INDEX(PASTE_ALL,$DF293,4)&amp;"","")&amp;"␟"&amp;IFERROR(INDEX(PASTE_ALL,$DF293,5)&amp;"","")&amp;"␟"&amp;IFERROR(INDEX(PASTE_ALL,$DF293,6)&amp;"","")&amp;"␟"&amp;IFERROR(INDEX(PASTE_ALL,$DF293,7)&amp;"","")&amp;"␟"&amp;IFERROR(INDEX(PASTE_ALL,$DF293,8)&amp;"","")&amp;"␟"&amp;IFERROR(INDEX(PASTE_ALL,$DF293,9)&amp;"","")&amp;"␟"&amp;IFERROR(INDEX(PASTE_ALL,$DF293,10)&amp;"","")&amp;"␟"&amp;IFERROR(INDEX(PASTE_ALL,$DF293,11)&amp;"","")&amp;"␟"&amp;IFERROR(INDEX(PASTE_ALL,$DF293,12)&amp;"","")&amp;"␟"&amp;IFERROR(INDEX(PASTE_ALL,$DF293,13)&amp;"","")&amp;"␟"&amp;IFERROR(INDEX(PASTE_ALL,$DF293,14)&amp;"","")&amp;"␟"&amp;IFERROR(INDEX(PASTE_ALL,$DF293,15)&amp;"","")&amp;"␟"&amp;IFERROR(INDEX(PASTE_ALL,$DF293,16)&amp;"","")&amp;"␟"&amp;IFERROR(INDEX(PASTE_ALL,$DF293,17)&amp;"","")&amp;"␟"&amp;IFERROR(INDEX(PASTE_ALL,$DF293,18)&amp;"","")&amp;"␟"&amp;IFERROR(INDEX(PASTE_ALL,$DF293,19)&amp;"","")&amp;"␟"&amp;IFERROR(INDEX(PASTE_ALL,$DF293,20)&amp;"","")&amp;"␟"&amp;IFERROR(INDEX(PASTE_ALL,$DF293,21)&amp;"","")&amp;"␟"&amp;IFERROR(INDEX(PASTE_ALL,$DF293,22)&amp;"","")&amp;"␟"&amp;IFERROR(INDEX(PASTE_ALL,$DF293,23)&amp;"","")&amp;"␟"&amp;IFERROR(INDEX(PASTE_ALL,$DF293,24)&amp;"","")&amp;"␟"&amp;IFERROR(INDEX(PASTE_ALL,$DF293,25)&amp;"","")&amp;"␟"&amp;IFERROR(INDEX(PASTE_ALL,$DF293,26)&amp;"","")&amp;"␟"&amp;IFERROR(INDEX(PASTE_ALL,$DF293,27)&amp;"","")&amp;"␟"&amp;IFERROR(INDEX(PASTE_ALL,$DF293,28)&amp;"","")&amp;"␟"&amp;IFERROR(INDEX(PASTE_ALL,$DF293,29)&amp;"","")&amp;"␟"&amp;IFERROR(INDEX(PASTE_ALL,$DF293,30)&amp;"","")&amp;"␟"&amp;IFERROR(INDEX(PASTE_ALL,$DF293,31)&amp;"","")&amp;"␟"&amp;IFERROR(INDEX(PASTE_ALL,$DF293,32)&amp;"","")&amp;"␟"&amp;IFERROR(INDEX(PASTE_ALL,$DF293,33)&amp;"","")&amp;"␟"&amp;IFERROR(INDEX(PASTE_ALL,$DF293,34)&amp;"","")&amp;"␟"&amp;IFERROR(INDEX(PASTE_ALL,$DF293,35)&amp;"","")&amp;"␟"&amp;IFERROR(INDEX(PASTE_ALL,$DF293,36)&amp;"","")&amp;"␟"&amp;IFERROR(INDEX(PASTE_ALL,$DF293,37)&amp;"","")&amp;"␟"&amp;IFERROR(INDEX(PASTE_ALL,$DF293,38)&amp;"","")&amp;"␟"&amp;IFERROR(INDEX(PASTE_ALL,$DF293,39)&amp;"","")&amp;"␟"&amp;IFERROR(INDEX(PASTE_ALL,$DF293,40)&amp;"","")&amp;"␟"&amp;IFERROR(INDEX(PASTE_ALL,$DF293,41)&amp;"","")&amp;"␟"&amp;IFERROR(INDEX(PASTE_ALL,$DF293,42)&amp;"","")&amp;"␟"&amp;IFERROR(INDEX(PASTE_ALL,$DF293,43)&amp;"","")&amp;"␟"&amp;IFERROR(INDEX(PASTE_ALL,$DF293,44)&amp;"","")&amp;"␟"&amp;IFERROR(INDEX(PASTE_ALL,$DF293,45)&amp;"","")&amp;"␟"&amp;IFERROR(INDEX(PASTE_ALL,$DF293,46)&amp;"","")&amp;"␟"&amp;IFERROR(INDEX(PASTE_ALL,$DF293,47)&amp;"","")&amp;"␟"&amp;IFERROR(INDEX(PASTE_ALL,$DF293,48)&amp;"","")&amp;"␟"&amp;IFERROR(INDEX(PASTE_ALL,$DF293,49)&amp;"","")&amp;"␟"&amp;IFERROR(INDEX(PASTE_ALL,$DF293,50)&amp;"","")&amp;"␟"&amp;IFERROR(INDEX(PASTE_ALL,$DF293,51)&amp;"","")&amp;"␟"&amp;IFERROR(INDEX(PASTE_ALL,$DF293,52)&amp;"","")&amp;"␟"&amp;IFERROR(INDEX(PASTE_ALL,$DF293,53)&amp;"","")&amp;"␟"&amp;IFERROR(INDEX(PASTE_ALL,$DF293,54)&amp;"","")&amp;"␟"&amp;IFERROR(INDEX(PASTE_ALL,$DF293,55)&amp;"","")&amp;"␟"&amp;IFERROR(INDEX(PASTE_ALL,$DF293,56)&amp;"","")&amp;"␟"&amp;IFERROR(INDEX(PASTE_ALL,$DF293,57)&amp;"","")&amp;"␟"&amp;IFERROR(INDEX(PASTE_ALL,$DF293,58)&amp;"","")&amp;"␟"&amp;IFERROR(INDEX(PASTE_ALL,$DF293,59)&amp;"","")&amp;"␟"&amp;IFERROR(INDEX(PASTE_ALL,$DF293,60)&amp;"","")," "," "),CHAR(9)," "),CHAR(10)," "),CHAR(13)," "))," ␟","␟"),"␟ ","␟"),"#"&amp;$DE293),"")</f>
        <v/>
      </c>
      <c r="DJ293">
        <f>IF($DI293="",0,IF(SUMPRODUCT(--EXACT($DI$4:DI292,$DI293))&gt;0,1,0))</f>
        <v/>
      </c>
      <c r="DK293">
        <f>IF(AND($DI293&lt;&gt;"",$DJ293=0),1,0)</f>
        <v/>
      </c>
      <c r="DL293">
        <f>DL292+$DK293</f>
        <v/>
      </c>
      <c r="DM293">
        <f>IF(AND($DK293=1,$DL293&lt;=600),1,0)</f>
        <v/>
      </c>
      <c r="DN293">
        <f>IF($DM293=0,"",IF($L$6=0,"",IFERROR(IF(ISNUMBER(INDEX(PASTE_ALL,$DF293,$L$6)),INDEX(PASTE_ALL,$DF293,$L$6),TRIM(SUBSTITUTE(SUBSTITUTE(SUBSTITUTE(SUBSTITUTE(INDEX(PASTE_ALL,$DF293,$L$6)," "," "),CHAR(9)," "),CHAR(10)," "),CHAR(13)," "))),"")))</f>
        <v/>
      </c>
      <c r="DO293">
        <f>IF($DM293=0,"",IF($L$7=0,"",IFERROR(IF(ISNUMBER(INDEX(PASTE_ALL,$DF293,$L$7)),INDEX(PASTE_ALL,$DF293,$L$7),TRIM(SUBSTITUTE(SUBSTITUTE(SUBSTITUTE(SUBSTITUTE(INDEX(PASTE_ALL,$DF293,$L$7)," "," "),CHAR(9)," "),CHAR(10)," "),CHAR(13)," "))),"")))</f>
        <v/>
      </c>
      <c r="DP293">
        <f>IF($DM293=0,"",IF($L$8=0,"",IFERROR(IF(ISNUMBER(INDEX(PASTE_ALL,$DF293,$L$8)),INDEX(PASTE_ALL,$DF293,$L$8),TRIM(SUBSTITUTE(SUBSTITUTE(SUBSTITUTE(SUBSTITUTE(INDEX(PASTE_ALL,$DF293,$L$8)," "," "),CHAR(9)," "),CHAR(10)," "),CHAR(13)," "))),"")))</f>
        <v/>
      </c>
      <c r="DQ293">
        <f>IF($DM293=0,"",IF($L$9=0,"",IFERROR(IF(ISNUMBER(INDEX(PASTE_ALL,$DF293,$L$9)),INDEX(PASTE_ALL,$DF293,$L$9),TRIM(SUBSTITUTE(SUBSTITUTE(SUBSTITUTE(SUBSTITUTE(INDEX(PASTE_ALL,$DF293,$L$9)," "," "),CHAR(9)," "),CHAR(10)," "),CHAR(13)," "))),"")))</f>
        <v/>
      </c>
      <c r="DR293">
        <f>IF($DM293=0,"",IF($L$10=0,"",IFERROR(IF(ISNUMBER(INDEX(PASTE_ALL,$DF293,$L$10)),INDEX(PASTE_ALL,$DF293,$L$10),TRIM(SUBSTITUTE(SUBSTITUTE(SUBSTITUTE(SUBSTITUTE(INDEX(PASTE_ALL,$DF293,$L$10)," "," "),CHAR(9)," "),CHAR(10)," "),CHAR(13)," "))),"")))</f>
        <v/>
      </c>
      <c r="DS293">
        <f>IF($DM293=0,"",IF($L$11=0,"",IFERROR(IF(ISNUMBER(INDEX(PASTE_ALL,$DF293,$L$11)),INDEX(PASTE_ALL,$DF293,$L$11),TRIM(SUBSTITUTE(SUBSTITUTE(SUBSTITUTE(SUBSTITUTE(INDEX(PASTE_ALL,$DF293,$L$11)," "," "),CHAR(9)," "),CHAR(10)," "),CHAR(13)," "))),"")))</f>
        <v/>
      </c>
      <c r="DT293">
        <f>IF($DM293=0,"",IF($L$12=0,"",IFERROR(IF(ISNUMBER(INDEX(PASTE_ALL,$DF293,$L$12)),INDEX(PASTE_ALL,$DF293,$L$12),TRIM(SUBSTITUTE(SUBSTITUTE(SUBSTITUTE(SUBSTITUTE(INDEX(PASTE_ALL,$DF293,$L$12)," "," "),CHAR(9)," "),CHAR(10)," "),CHAR(13)," "))),"")))</f>
        <v/>
      </c>
      <c r="DU293">
        <f>IF($DM293=0,"",IF($L$13=0,"",IFERROR(IF(ISNUMBER(INDEX(PASTE_ALL,$DF293,$L$13)),INDEX(PASTE_ALL,$DF293,$L$13),TRIM(SUBSTITUTE(SUBSTITUTE(SUBSTITUTE(SUBSTITUTE(INDEX(PASTE_ALL,$DF293,$L$13)," "," "),CHAR(9)," "),CHAR(10)," "),CHAR(13)," "))),"")))</f>
        <v/>
      </c>
      <c r="DV293">
        <f>IF($DM293=0,"",IF($L$14=0,"",IFERROR(IF(ISNUMBER(INDEX(PASTE_ALL,$DF293,$L$14)),INDEX(PASTE_ALL,$DF293,$L$14),TRIM(SUBSTITUTE(SUBSTITUTE(SUBSTITUTE(SUBSTITUTE(INDEX(PASTE_ALL,$DF293,$L$14)," "," "),CHAR(9)," "),CHAR(10)," "),CHAR(13)," "))),"")))</f>
        <v/>
      </c>
      <c r="DW293">
        <f>IF($DM293=0,"",IF($L$15=0,"",IFERROR(IF(ISNUMBER(INDEX(PASTE_ALL,$DF293,$L$15)),INDEX(PASTE_ALL,$DF293,$L$15),IF(SUMPRODUCT(--ISNUMBER(FIND({"A","B","C","D","E","F","G","H","I","J","K","L","M","N","O","P","Q","R","S","T","U","V","W","X","Y","Z","0","1","2","3","4","5","6","7","8","9"},UPPER(TRIM(SUBSTITUTE(SUBSTITUTE(SUBSTITUTE(SUBSTITUTE(INDEX(PASTE_ALL,$DF293,$L$15)," "," "),CHAR(9)," "),CHAR(10)," "),CHAR(13)," "))))))&gt;0,TRIM(SUBSTITUTE(SUBSTITUTE(SUBSTITUTE(SUBSTITUTE(INDEX(PASTE_ALL,$DF293,$L$15)," "," "),CHAR(9)," "),CHAR(10)," "),CHAR(13)," ")),"")),"")))</f>
        <v/>
      </c>
      <c r="DX293">
        <f>IF($DM293=0,"",IF($L$16=0,"",IFERROR(IF(ISNUMBER(INDEX(PASTE_ALL,$DF293,$L$16)),INDEX(PASTE_ALL,$DF293,$L$16),SUBSTITUTE(SUBSTITUTE(TRIM(SUBSTITUTE(SUBSTITUTE(SUBSTITUTE(SUBSTITUTE(INDEX(PASTE_ALL,$DF293,$L$16)," "," "),CHAR(9)," "),CHAR(10)," "),CHAR(13)," ")),",",""),"%","")),"")))</f>
        <v/>
      </c>
      <c r="DY293">
        <f>IF($DM293=0,"",IFERROR(IF(ISNUMBER($DX293),$DX293,IF($DX293="","",IF(TRIM($DX293)="",0,IF(AND(AND(SUBSTITUTE(SUBSTITUTE(SUBSTITUTE(SUBSTITUTE(SUBSTITUTE(SUBSTITUTE(SUBSTITUTE(SUBSTITUTE(SUBSTITUTE(SUBSTITUTE(SUBSTITUTE(SUBSTITUTE(SUBSTITUTE(SUBSTITUTE(UPPER(TRIM($DX293)),"0",""),"1",""),"2",""),"3",""),"4",""),"5",""),"6",""),"7",""),"8",""),"9",""),".",""),"+",""),"-",""),"E","")="",LEN(SUBSTITUTE(SUBSTITUTE(MID(UPPER(TRIM($DX293)),1+OR(LEFT(UPPER(TRIM($DX293)),1)="+",LEFT(UPPER(TRIM($DX293)),1)="-"),999),"E+","E"),"E-","E"))=LEN(SUBSTITUTE(SUBSTITUTE(SUBSTITUTE(SUBSTITUTE(MID(UPPER(TRIM($DX293)),1+OR(LEFT(UPPER(TRIM($DX293)),1)="+",LEFT(UPPER(TRIM($DX293)),1)="-"),999),"E+","E"),"E-","E"),"+",""),"-","")),LEN(UPPER(TRIM($DX293)))-LEN(SUBSTITUTE(UPPER(TRIM($DX293)),"E",""))&lt;2,LEN(UPPER(TRIM($DX293)))-LEN(SUBSTITUTE(UPPER(TRIM($DX293)),".",""))&lt;2,IFERROR(FIND(".",UPPER(TRIM($DX293))),0)&lt;IFERROR(FIND("E",UPPER(TRIM($DX293))),999)),ISNUMBER(VALUE(TRIM($DX293)))),VALUE(TRIM($DX293)),"")))),""))</f>
        <v/>
      </c>
      <c r="DZ293">
        <f>IF($DM293=0,"",IF($L$17=0,"",IFERROR(IF(ISNUMBER(INDEX(PASTE_ALL,$DF293,$L$17)),INDEX(PASTE_ALL,$DF293,$L$17),SUBSTITUTE(SUBSTITUTE(TRIM(SUBSTITUTE(SUBSTITUTE(SUBSTITUTE(SUBSTITUTE(INDEX(PASTE_ALL,$DF293,$L$17)," "," "),CHAR(9)," "),CHAR(10)," "),CHAR(13)," ")),",",""),"%","")),"")))</f>
        <v/>
      </c>
      <c r="EA293">
        <f>IF($DM293=0,"",IFERROR(IF(ISNUMBER($DZ293),$DZ293,IF($DZ293="","",IF(TRIM($DZ293)="",0,IF(AND(AND(SUBSTITUTE(SUBSTITUTE(SUBSTITUTE(SUBSTITUTE(SUBSTITUTE(SUBSTITUTE(SUBSTITUTE(SUBSTITUTE(SUBSTITUTE(SUBSTITUTE(SUBSTITUTE(SUBSTITUTE(SUBSTITUTE(SUBSTITUTE(UPPER(TRIM($DZ293)),"0",""),"1",""),"2",""),"3",""),"4",""),"5",""),"6",""),"7",""),"8",""),"9",""),".",""),"+",""),"-",""),"E","")="",LEN(SUBSTITUTE(SUBSTITUTE(MID(UPPER(TRIM($DZ293)),1+OR(LEFT(UPPER(TRIM($DZ293)),1)="+",LEFT(UPPER(TRIM($DZ293)),1)="-"),999),"E+","E"),"E-","E"))=LEN(SUBSTITUTE(SUBSTITUTE(SUBSTITUTE(SUBSTITUTE(MID(UPPER(TRIM($DZ293)),1+OR(LEFT(UPPER(TRIM($DZ293)),1)="+",LEFT(UPPER(TRIM($DZ293)),1)="-"),999),"E+","E"),"E-","E"),"+",""),"-","")),LEN(UPPER(TRIM($DZ293)))-LEN(SUBSTITUTE(UPPER(TRIM($DZ293)),"E",""))&lt;2,LEN(UPPER(TRIM($DZ293)))-LEN(SUBSTITUTE(UPPER(TRIM($DZ293)),".",""))&lt;2,IFERROR(FIND(".",UPPER(TRIM($DZ293))),0)&lt;IFERROR(FIND("E",UPPER(TRIM($DZ293))),999)),ISNUMBER(VALUE(TRIM($DZ293)))),VALUE(TRIM($DZ293)),"")))),""))</f>
        <v/>
      </c>
      <c r="EB293">
        <f>IF($DM293=0,"",IF($L$18=0,"",IFERROR(IF(UPPER(TRIM(SUBSTITUTE(SUBSTITUTE(SUBSTITUTE(SUBSTITUTE(INDEX(PASTE_ALL,$DF293,$L$18)," "," "),CHAR(9)," "),CHAR(10)," "),CHAR(13)," ")))="READY","Ready",IF(UPPER(TRIM(SUBSTITUTE(SUBSTITUTE(SUBSTITUTE(SUBSTITUTE(INDEX(PASTE_ALL,$DF293,$L$18)," "," "),CHAR(9)," "),CHAR(10)," "),CHAR(13)," ")))="PM","PM",IF(OR(UPPER(TRIM(SUBSTITUTE(SUBSTITUTE(SUBSTITUTE(SUBSTITUTE(INDEX(PASTE_ALL,$DF293,$L$18)," "," "),CHAR(9)," "),CHAR(10)," "),CHAR(13)," ")))="OT",UPPER(TRIM(SUBSTITUTE(SUBSTITUTE(SUBSTITUTE(SUBSTITUTE(INDEX(PASTE_ALL,$DF293,$L$18)," "," "),CHAR(9)," "),CHAR(10)," "),CHAR(13)," ")))="OVERTIME",UPPER(TRIM(SUBSTITUTE(SUBSTITUTE(SUBSTITUTE(SUBSTITUTE(INDEX(PASTE_ALL,$DF293,$L$18)," "," "),CHAR(9)," "),CHAR(10)," "),CHAR(13)," ")))="TRIAL"),"OT",TRIM(SUBSTITUTE(SUBSTITUTE(SUBSTITUTE(SUBSTITUTE(INDEX(PASTE_ALL,$DF293,$L$18)," "," "),CHAR(9)," "),CHAR(10)," "),CHAR(13)," "))))),"")))</f>
        <v/>
      </c>
      <c r="EC293">
        <f>IF($DM293=0,"",IF($L$19=0,"",IFERROR(IF(ISNUMBER(INDEX(PASTE_ALL,$DF293,$L$19)),INDEX(PASTE_ALL,$DF293,$L$19),TRIM(SUBSTITUTE(SUBSTITUTE(SUBSTITUTE(SUBSTITUTE(INDEX(PASTE_ALL,$DF293,$L$19)," "," "),CHAR(9)," "),CHAR(10)," "),CHAR(13)," "))),"")))</f>
        <v/>
      </c>
      <c r="ED293">
        <f>IF($DM293=0,"",MATCH(1,INDEX(EXACT($DH$5:DH293,$DH293)*$DM$5:DM293,0),0))</f>
        <v/>
      </c>
      <c r="EE293">
        <f>IF($DM293=0,0,IF($ED293=$DE293,1,0))</f>
        <v/>
      </c>
      <c r="EF293">
        <f>EF292+$EE293</f>
        <v/>
      </c>
      <c r="EG293">
        <f>IF($DM293=0,"",INDEX($EF$5:$EF$1003,$ED293))</f>
        <v/>
      </c>
      <c r="EH293">
        <f>IF($DM293=0,"",IF($DO293&lt;&gt;"","",IFERROR(LOOKUP(2,1/(($EG$4:EG292=$EG293)*($DO$4:DO292&lt;&gt;"")),$DO$4:DO292),"")))</f>
        <v/>
      </c>
      <c r="EI293">
        <f>IF($DM293=0,"",IF($DO293&lt;&gt;"",$DO293,$EH293))</f>
        <v/>
      </c>
      <c r="EJ293">
        <f>IF($DM293=0,"",IF($EI293="",0,IF(OR(ISNUMBER($EI293),AND(AND(SUBSTITUTE(SUBSTITUTE(SUBSTITUTE(SUBSTITUTE(SUBSTITUTE(SUBSTITUTE(SUBSTITUTE(SUBSTITUTE(SUBSTITUTE(SUBSTITUTE(SUBSTITUTE(SUBSTITUTE(SUBSTITUTE(SUBSTITUTE(UPPER($EI293),"0",""),"1",""),"2",""),"3",""),"4",""),"5",""),"6",""),"7",""),"8",""),"9",""),".",""),"+",""),"-",""),"E","")="",LEN(SUBSTITUTE(SUBSTITUTE(MID(UPPER($EI293),1+OR(LEFT(UPPER($EI293),1)="+",LEFT(UPPER($EI293),1)="-"),999),"E+","E"),"E-","E"))=LEN(SUBSTITUTE(SUBSTITUTE(SUBSTITUTE(SUBSTITUTE(MID(UPPER($EI293),1+OR(LEFT(UPPER($EI293),1)="+",LEFT(UPPER($EI293),1)="-"),999),"E+","E"),"E-","E"),"+",""),"-","")),LEN(UPPER($EI293))-LEN(SUBSTITUTE(UPPER($EI293),"E",""))&lt;2,LEN(UPPER($EI293))-LEN(SUBSTITUTE(UPPER($EI293),".",""))&lt;2,IFERROR(FIND(".",UPPER($EI293)),0)&lt;IFERROR(FIND("E",UPPER($EI293)),999)),ISNUMBER(VALUE($EI293)))),1,2)))</f>
        <v/>
      </c>
      <c r="EK293">
        <f>IF($DM293=0,"",IF($EJ293=1,IF(ISNUMBER($EI293),$EI293,VALUE($EI293)),IF($EJ293=2,$DE293,0)))</f>
        <v/>
      </c>
      <c r="EL293">
        <f>IF($DM293=0,"",COUNTIF($EG$5:$EG$1003,"&lt;"&amp;$EG293)+SUMPRODUCT(($EG$5:$EG$1003=$EG293)*(($EJ$5:$EJ$1003&lt;$EJ293)+($EJ$5:$EJ$1003=$EJ293)*(($EK$5:$EK$1003&lt;$EK293)+($EK$5:$EK$1003=$EK293)*($DE$5:$DE$1003&lt;$DE293))))+1)</f>
        <v/>
      </c>
      <c r="EM293">
        <f>IF($DM293=0,"",$EL293+$EG293-1)</f>
        <v/>
      </c>
      <c r="EN293">
        <f>IF($DM293=0,0,IFERROR(MATCH(1,INDEX(--(TRIM(SUBSTITUTE(SUBSTITUTE(SUBSTITUTE(SUBSTITUTE(LINES_NAME&amp;""," "," "),CHAR(9)," "),CHAR(10)," "),CHAR(13)," "))=$DH293),0),0),0))</f>
        <v/>
      </c>
      <c r="EO293">
        <f>IF($EN293=0,0,IF(OR(UPPER(TRIM(INDEX(LINES_SCHEDULED,$EN293)&amp;""))="YES",UPPER(TRIM(INDEX(LINES_SCHEDULED,$EN293)&amp;""))="Y",UPPER(TRIM(INDEX(LINES_SCHEDULED,$EN293)&amp;""))="X"),1,0))</f>
        <v/>
      </c>
      <c r="EP293">
        <f>IF($DM293=0,"",IF(COUNTIFS($EG$5:$EG$1003,$EG293,$EB$5:$EB$1003,"Ready")&gt;0,"READY",IF(COUNTIFS($EG$5:$EG$1003,$EG293,$EB$5:$EB$1003,"PM")&gt;0,"PM",IF(COUNTIFS($EG$5:$EG$1003,$EG293,$EB$5:$EB$1003,"OT")&gt;0,"OT",""))))</f>
        <v/>
      </c>
      <c r="EQ293">
        <f>IF($EN293=0,"",UPPER(TRIM(INDEX(LINES_STATUS,$EN293)&amp;"")))</f>
        <v/>
      </c>
      <c r="ER293">
        <f>IF($DM293=0,"",IF(OR($EQ293="READY",$EQ293="PM",$EQ293="OT"),$EQ293,$EP293))</f>
        <v/>
      </c>
      <c r="ES293">
        <f>IF($DM293=0,"",IF(AND($DV293&lt;&gt;"",UPPER($DV293)&lt;&gt;"N"),"allergen",IF(ISNUMBER(SEARCH("oil",$DQ293)),"oil",IF(OR(EXACT($DS293,"A662"),EXACT($DS293,"A624")),"bulk",""))))</f>
        <v/>
      </c>
      <c r="ET293">
        <f>IF($DM293=0,"",IF(OR($EA293="",$EA293=0),"",$EA293/100))</f>
        <v/>
      </c>
      <c r="EU293">
        <f>IF(OR($ET293="",$DY293=""),"",INT($DY293*(1-$ET293)+0.5))</f>
        <v/>
      </c>
      <c r="EW293" t="n">
        <v>289</v>
      </c>
      <c r="EX293">
        <f>IFERROR(MATCH($EW293,$EM$5:$EM$1003,0),0)</f>
        <v/>
      </c>
      <c r="EY293">
        <f>IF($EW293&gt;$B$12,"",IF($EX293&gt;0,"row","spacer"))</f>
        <v/>
      </c>
      <c r="EZ293">
        <f>IF(AND($EY293="row",$EY292&lt;&gt;"row"),1,0)</f>
        <v/>
      </c>
      <c r="FA293">
        <f>IF(AND($EY293="row",$EY294&lt;&gt;"row"),1,0)</f>
        <v/>
      </c>
      <c r="FB293">
        <f>IF($EZ293=1,IFERROR(IF(ISNUMBER(INDEX(PASTE_ALL,INDEX($DF$5:$DF$1003,$EX293),$B$37)),INDEX(PASTE_ALL,INDEX($DF$5:$DF$1003,$EX293),$B$37),INDEX($DH$5:$DH$1003,$EX293)),INDEX($DH$5:$DH$1003,$EX293)),"")</f>
        <v/>
      </c>
      <c r="FC293">
        <f>IF($EY293="row",INDEX($ER$5:$ER$1003,$EX293),"")</f>
        <v/>
      </c>
      <c r="FD293">
        <f>IF($EY293="row",INDEX($DN$5:$DN$1003,$EX293),"")</f>
        <v/>
      </c>
      <c r="FE293">
        <f>IF($EY293="row",INDEX($DO$5:$DO$1003,$EX293),"")</f>
        <v/>
      </c>
      <c r="FF293">
        <f>IF($EY293="row",INDEX($DP$5:$DP$1003,$EX293),"")</f>
        <v/>
      </c>
      <c r="FG293">
        <f>IF($EY293="row",INDEX($DQ$5:$DQ$1003,$EX293),"")</f>
        <v/>
      </c>
      <c r="FH293">
        <f>IF($EY293="row",INDEX($DR$5:$DR$1003,$EX293),"")</f>
        <v/>
      </c>
      <c r="FI293">
        <f>IF($EY293="row",INDEX($DS$5:$DS$1003,$EX293),"")</f>
        <v/>
      </c>
      <c r="FJ293">
        <f>IF($EY293="row",INDEX($DT$5:$DT$1003,$EX293),"")</f>
        <v/>
      </c>
      <c r="FK293">
        <f>IF($EY293="row",INDEX($DU$5:$DU$1003,$EX293),"")</f>
        <v/>
      </c>
      <c r="FL293">
        <f>IF($EY293="row",INDEX($DV$5:$DV$1003,$EX293),"")</f>
        <v/>
      </c>
      <c r="FM293">
        <f>IF($EY293="row",INDEX($DW$5:$DW$1003,$EX293),"")</f>
        <v/>
      </c>
      <c r="FN293">
        <f>IF($EY293="row",INDEX($DY$5:$DY$1003,$EX293),"")</f>
        <v/>
      </c>
      <c r="FO293">
        <f>IF($EY293="row",INDEX($EA$5:$EA$1003,$EX293),"")</f>
        <v/>
      </c>
      <c r="FP293">
        <f>IF($EY293="row",INDEX($EC$5:$EC$1003,$EX293),"")</f>
        <v/>
      </c>
      <c r="FQ293">
        <f>IF($EY293="row",INDEX($ET$5:$ET$1003,$EX293),"")</f>
        <v/>
      </c>
      <c r="FR293">
        <f>IF($EY293="row",INDEX($EU$5:$EU$1003,$EX293),"")</f>
        <v/>
      </c>
      <c r="FS293">
        <f>IF(AND($EY293="row",$EY292="row"),IF(OR(INDEX($DT$5:$DT$1003,$EX292)="",INDEX($DT$5:$DT$1003,$EX293)=""),"",IF(NOT(EXACT(INDEX($DT$5:$DT$1003,$EX292),INDEX($DT$5:$DT$1003,$EX293))),"S4",IF(NOT(EXACT(INDEX($DS$5:$DS$1003,$EX292),INDEX($DS$5:$DS$1003,$EX293))),"S3",IF(NOT(EXACT(INDEX($DR$5:$DR$1003,$EX292),INDEX($DR$5:$DR$1003,$EX293))),"S1 Count Change","S1")))),"")</f>
        <v/>
      </c>
      <c r="FT293">
        <f>IF($EY293="row",INDEX($ES$5:$ES$1003,$EX293),"")</f>
        <v/>
      </c>
      <c r="FU293">
        <f>IF($EY293="row",INDEX($EO$5:$EO$1003,$EX293),0)</f>
        <v/>
      </c>
      <c r="FV293">
        <f>IF($FS293="S1 Count Change",1,0)</f>
        <v/>
      </c>
    </row>
    <row r="294">
      <c r="DA294" t="n">
        <v>290</v>
      </c>
      <c r="DB294">
        <f>IF($B$37=0,"",IFERROR(TRIM(SUBSTITUTE(SUBSTITUTE(SUBSTITUTE(SUBSTITUTE(INDEX(PASTE_ALL,290,$B$37)," "," "),CHAR(9)," "),CHAR(10)," "),CHAR(13)," ")),""))</f>
        <v/>
      </c>
      <c r="DC294">
        <f>IF(AND(290&gt;HEADER_ROW,UPPER(DB294)="LEGEND"),1,0)</f>
        <v/>
      </c>
      <c r="DE294" t="n">
        <v>290</v>
      </c>
      <c r="DF294">
        <f>HEADER_ROW+$DE294</f>
        <v/>
      </c>
      <c r="DG294">
        <f>IF(AND($DF294&lt;=1000,$DF294&lt;$B$8),1,0)</f>
        <v/>
      </c>
      <c r="DH294">
        <f>IF($DG294=1,IFERROR(INDEX($DB$5:$DB$1004,$DF294),""),"")</f>
        <v/>
      </c>
      <c r="DI294">
        <f>IF(AND($DG294=1,$DH294&lt;&gt;""),IFERROR(SUBSTITUTE(SUBSTITUTE(TRIM(SUBSTITUTE(SUBSTITUTE(SUBSTITUTE(SUBSTITUTE(IFERROR(INDEX(PASTE_ALL,$DF294,1)&amp;"","")&amp;"␟"&amp;IFERROR(INDEX(PASTE_ALL,$DF294,2)&amp;"","")&amp;"␟"&amp;IFERROR(INDEX(PASTE_ALL,$DF294,3)&amp;"","")&amp;"␟"&amp;IFERROR(INDEX(PASTE_ALL,$DF294,4)&amp;"","")&amp;"␟"&amp;IFERROR(INDEX(PASTE_ALL,$DF294,5)&amp;"","")&amp;"␟"&amp;IFERROR(INDEX(PASTE_ALL,$DF294,6)&amp;"","")&amp;"␟"&amp;IFERROR(INDEX(PASTE_ALL,$DF294,7)&amp;"","")&amp;"␟"&amp;IFERROR(INDEX(PASTE_ALL,$DF294,8)&amp;"","")&amp;"␟"&amp;IFERROR(INDEX(PASTE_ALL,$DF294,9)&amp;"","")&amp;"␟"&amp;IFERROR(INDEX(PASTE_ALL,$DF294,10)&amp;"","")&amp;"␟"&amp;IFERROR(INDEX(PASTE_ALL,$DF294,11)&amp;"","")&amp;"␟"&amp;IFERROR(INDEX(PASTE_ALL,$DF294,12)&amp;"","")&amp;"␟"&amp;IFERROR(INDEX(PASTE_ALL,$DF294,13)&amp;"","")&amp;"␟"&amp;IFERROR(INDEX(PASTE_ALL,$DF294,14)&amp;"","")&amp;"␟"&amp;IFERROR(INDEX(PASTE_ALL,$DF294,15)&amp;"","")&amp;"␟"&amp;IFERROR(INDEX(PASTE_ALL,$DF294,16)&amp;"","")&amp;"␟"&amp;IFERROR(INDEX(PASTE_ALL,$DF294,17)&amp;"","")&amp;"␟"&amp;IFERROR(INDEX(PASTE_ALL,$DF294,18)&amp;"","")&amp;"␟"&amp;IFERROR(INDEX(PASTE_ALL,$DF294,19)&amp;"","")&amp;"␟"&amp;IFERROR(INDEX(PASTE_ALL,$DF294,20)&amp;"","")&amp;"␟"&amp;IFERROR(INDEX(PASTE_ALL,$DF294,21)&amp;"","")&amp;"␟"&amp;IFERROR(INDEX(PASTE_ALL,$DF294,22)&amp;"","")&amp;"␟"&amp;IFERROR(INDEX(PASTE_ALL,$DF294,23)&amp;"","")&amp;"␟"&amp;IFERROR(INDEX(PASTE_ALL,$DF294,24)&amp;"","")&amp;"␟"&amp;IFERROR(INDEX(PASTE_ALL,$DF294,25)&amp;"","")&amp;"␟"&amp;IFERROR(INDEX(PASTE_ALL,$DF294,26)&amp;"","")&amp;"␟"&amp;IFERROR(INDEX(PASTE_ALL,$DF294,27)&amp;"","")&amp;"␟"&amp;IFERROR(INDEX(PASTE_ALL,$DF294,28)&amp;"","")&amp;"␟"&amp;IFERROR(INDEX(PASTE_ALL,$DF294,29)&amp;"","")&amp;"␟"&amp;IFERROR(INDEX(PASTE_ALL,$DF294,30)&amp;"","")&amp;"␟"&amp;IFERROR(INDEX(PASTE_ALL,$DF294,31)&amp;"","")&amp;"␟"&amp;IFERROR(INDEX(PASTE_ALL,$DF294,32)&amp;"","")&amp;"␟"&amp;IFERROR(INDEX(PASTE_ALL,$DF294,33)&amp;"","")&amp;"␟"&amp;IFERROR(INDEX(PASTE_ALL,$DF294,34)&amp;"","")&amp;"␟"&amp;IFERROR(INDEX(PASTE_ALL,$DF294,35)&amp;"","")&amp;"␟"&amp;IFERROR(INDEX(PASTE_ALL,$DF294,36)&amp;"","")&amp;"␟"&amp;IFERROR(INDEX(PASTE_ALL,$DF294,37)&amp;"","")&amp;"␟"&amp;IFERROR(INDEX(PASTE_ALL,$DF294,38)&amp;"","")&amp;"␟"&amp;IFERROR(INDEX(PASTE_ALL,$DF294,39)&amp;"","")&amp;"␟"&amp;IFERROR(INDEX(PASTE_ALL,$DF294,40)&amp;"","")&amp;"␟"&amp;IFERROR(INDEX(PASTE_ALL,$DF294,41)&amp;"","")&amp;"␟"&amp;IFERROR(INDEX(PASTE_ALL,$DF294,42)&amp;"","")&amp;"␟"&amp;IFERROR(INDEX(PASTE_ALL,$DF294,43)&amp;"","")&amp;"␟"&amp;IFERROR(INDEX(PASTE_ALL,$DF294,44)&amp;"","")&amp;"␟"&amp;IFERROR(INDEX(PASTE_ALL,$DF294,45)&amp;"","")&amp;"␟"&amp;IFERROR(INDEX(PASTE_ALL,$DF294,46)&amp;"","")&amp;"␟"&amp;IFERROR(INDEX(PASTE_ALL,$DF294,47)&amp;"","")&amp;"␟"&amp;IFERROR(INDEX(PASTE_ALL,$DF294,48)&amp;"","")&amp;"␟"&amp;IFERROR(INDEX(PASTE_ALL,$DF294,49)&amp;"","")&amp;"␟"&amp;IFERROR(INDEX(PASTE_ALL,$DF294,50)&amp;"","")&amp;"␟"&amp;IFERROR(INDEX(PASTE_ALL,$DF294,51)&amp;"","")&amp;"␟"&amp;IFERROR(INDEX(PASTE_ALL,$DF294,52)&amp;"","")&amp;"␟"&amp;IFERROR(INDEX(PASTE_ALL,$DF294,53)&amp;"","")&amp;"␟"&amp;IFERROR(INDEX(PASTE_ALL,$DF294,54)&amp;"","")&amp;"␟"&amp;IFERROR(INDEX(PASTE_ALL,$DF294,55)&amp;"","")&amp;"␟"&amp;IFERROR(INDEX(PASTE_ALL,$DF294,56)&amp;"","")&amp;"␟"&amp;IFERROR(INDEX(PASTE_ALL,$DF294,57)&amp;"","")&amp;"␟"&amp;IFERROR(INDEX(PASTE_ALL,$DF294,58)&amp;"","")&amp;"␟"&amp;IFERROR(INDEX(PASTE_ALL,$DF294,59)&amp;"","")&amp;"␟"&amp;IFERROR(INDEX(PASTE_ALL,$DF294,60)&amp;"","")," "," "),CHAR(9)," "),CHAR(10)," "),CHAR(13)," "))," ␟","␟"),"␟ ","␟"),"#"&amp;$DE294),"")</f>
        <v/>
      </c>
      <c r="DJ294">
        <f>IF($DI294="",0,IF(SUMPRODUCT(--EXACT($DI$4:DI293,$DI294))&gt;0,1,0))</f>
        <v/>
      </c>
      <c r="DK294">
        <f>IF(AND($DI294&lt;&gt;"",$DJ294=0),1,0)</f>
        <v/>
      </c>
      <c r="DL294">
        <f>DL293+$DK294</f>
        <v/>
      </c>
      <c r="DM294">
        <f>IF(AND($DK294=1,$DL294&lt;=600),1,0)</f>
        <v/>
      </c>
      <c r="DN294">
        <f>IF($DM294=0,"",IF($L$6=0,"",IFERROR(IF(ISNUMBER(INDEX(PASTE_ALL,$DF294,$L$6)),INDEX(PASTE_ALL,$DF294,$L$6),TRIM(SUBSTITUTE(SUBSTITUTE(SUBSTITUTE(SUBSTITUTE(INDEX(PASTE_ALL,$DF294,$L$6)," "," "),CHAR(9)," "),CHAR(10)," "),CHAR(13)," "))),"")))</f>
        <v/>
      </c>
      <c r="DO294">
        <f>IF($DM294=0,"",IF($L$7=0,"",IFERROR(IF(ISNUMBER(INDEX(PASTE_ALL,$DF294,$L$7)),INDEX(PASTE_ALL,$DF294,$L$7),TRIM(SUBSTITUTE(SUBSTITUTE(SUBSTITUTE(SUBSTITUTE(INDEX(PASTE_ALL,$DF294,$L$7)," "," "),CHAR(9)," "),CHAR(10)," "),CHAR(13)," "))),"")))</f>
        <v/>
      </c>
      <c r="DP294">
        <f>IF($DM294=0,"",IF($L$8=0,"",IFERROR(IF(ISNUMBER(INDEX(PASTE_ALL,$DF294,$L$8)),INDEX(PASTE_ALL,$DF294,$L$8),TRIM(SUBSTITUTE(SUBSTITUTE(SUBSTITUTE(SUBSTITUTE(INDEX(PASTE_ALL,$DF294,$L$8)," "," "),CHAR(9)," "),CHAR(10)," "),CHAR(13)," "))),"")))</f>
        <v/>
      </c>
      <c r="DQ294">
        <f>IF($DM294=0,"",IF($L$9=0,"",IFERROR(IF(ISNUMBER(INDEX(PASTE_ALL,$DF294,$L$9)),INDEX(PASTE_ALL,$DF294,$L$9),TRIM(SUBSTITUTE(SUBSTITUTE(SUBSTITUTE(SUBSTITUTE(INDEX(PASTE_ALL,$DF294,$L$9)," "," "),CHAR(9)," "),CHAR(10)," "),CHAR(13)," "))),"")))</f>
        <v/>
      </c>
      <c r="DR294">
        <f>IF($DM294=0,"",IF($L$10=0,"",IFERROR(IF(ISNUMBER(INDEX(PASTE_ALL,$DF294,$L$10)),INDEX(PASTE_ALL,$DF294,$L$10),TRIM(SUBSTITUTE(SUBSTITUTE(SUBSTITUTE(SUBSTITUTE(INDEX(PASTE_ALL,$DF294,$L$10)," "," "),CHAR(9)," "),CHAR(10)," "),CHAR(13)," "))),"")))</f>
        <v/>
      </c>
      <c r="DS294">
        <f>IF($DM294=0,"",IF($L$11=0,"",IFERROR(IF(ISNUMBER(INDEX(PASTE_ALL,$DF294,$L$11)),INDEX(PASTE_ALL,$DF294,$L$11),TRIM(SUBSTITUTE(SUBSTITUTE(SUBSTITUTE(SUBSTITUTE(INDEX(PASTE_ALL,$DF294,$L$11)," "," "),CHAR(9)," "),CHAR(10)," "),CHAR(13)," "))),"")))</f>
        <v/>
      </c>
      <c r="DT294">
        <f>IF($DM294=0,"",IF($L$12=0,"",IFERROR(IF(ISNUMBER(INDEX(PASTE_ALL,$DF294,$L$12)),INDEX(PASTE_ALL,$DF294,$L$12),TRIM(SUBSTITUTE(SUBSTITUTE(SUBSTITUTE(SUBSTITUTE(INDEX(PASTE_ALL,$DF294,$L$12)," "," "),CHAR(9)," "),CHAR(10)," "),CHAR(13)," "))),"")))</f>
        <v/>
      </c>
      <c r="DU294">
        <f>IF($DM294=0,"",IF($L$13=0,"",IFERROR(IF(ISNUMBER(INDEX(PASTE_ALL,$DF294,$L$13)),INDEX(PASTE_ALL,$DF294,$L$13),TRIM(SUBSTITUTE(SUBSTITUTE(SUBSTITUTE(SUBSTITUTE(INDEX(PASTE_ALL,$DF294,$L$13)," "," "),CHAR(9)," "),CHAR(10)," "),CHAR(13)," "))),"")))</f>
        <v/>
      </c>
      <c r="DV294">
        <f>IF($DM294=0,"",IF($L$14=0,"",IFERROR(IF(ISNUMBER(INDEX(PASTE_ALL,$DF294,$L$14)),INDEX(PASTE_ALL,$DF294,$L$14),TRIM(SUBSTITUTE(SUBSTITUTE(SUBSTITUTE(SUBSTITUTE(INDEX(PASTE_ALL,$DF294,$L$14)," "," "),CHAR(9)," "),CHAR(10)," "),CHAR(13)," "))),"")))</f>
        <v/>
      </c>
      <c r="DW294">
        <f>IF($DM294=0,"",IF($L$15=0,"",IFERROR(IF(ISNUMBER(INDEX(PASTE_ALL,$DF294,$L$15)),INDEX(PASTE_ALL,$DF294,$L$15),IF(SUMPRODUCT(--ISNUMBER(FIND({"A","B","C","D","E","F","G","H","I","J","K","L","M","N","O","P","Q","R","S","T","U","V","W","X","Y","Z","0","1","2","3","4","5","6","7","8","9"},UPPER(TRIM(SUBSTITUTE(SUBSTITUTE(SUBSTITUTE(SUBSTITUTE(INDEX(PASTE_ALL,$DF294,$L$15)," "," "),CHAR(9)," "),CHAR(10)," "),CHAR(13)," "))))))&gt;0,TRIM(SUBSTITUTE(SUBSTITUTE(SUBSTITUTE(SUBSTITUTE(INDEX(PASTE_ALL,$DF294,$L$15)," "," "),CHAR(9)," "),CHAR(10)," "),CHAR(13)," ")),"")),"")))</f>
        <v/>
      </c>
      <c r="DX294">
        <f>IF($DM294=0,"",IF($L$16=0,"",IFERROR(IF(ISNUMBER(INDEX(PASTE_ALL,$DF294,$L$16)),INDEX(PASTE_ALL,$DF294,$L$16),SUBSTITUTE(SUBSTITUTE(TRIM(SUBSTITUTE(SUBSTITUTE(SUBSTITUTE(SUBSTITUTE(INDEX(PASTE_ALL,$DF294,$L$16)," "," "),CHAR(9)," "),CHAR(10)," "),CHAR(13)," ")),",",""),"%","")),"")))</f>
        <v/>
      </c>
      <c r="DY294">
        <f>IF($DM294=0,"",IFERROR(IF(ISNUMBER($DX294),$DX294,IF($DX294="","",IF(TRIM($DX294)="",0,IF(AND(AND(SUBSTITUTE(SUBSTITUTE(SUBSTITUTE(SUBSTITUTE(SUBSTITUTE(SUBSTITUTE(SUBSTITUTE(SUBSTITUTE(SUBSTITUTE(SUBSTITUTE(SUBSTITUTE(SUBSTITUTE(SUBSTITUTE(SUBSTITUTE(UPPER(TRIM($DX294)),"0",""),"1",""),"2",""),"3",""),"4",""),"5",""),"6",""),"7",""),"8",""),"9",""),".",""),"+",""),"-",""),"E","")="",LEN(SUBSTITUTE(SUBSTITUTE(MID(UPPER(TRIM($DX294)),1+OR(LEFT(UPPER(TRIM($DX294)),1)="+",LEFT(UPPER(TRIM($DX294)),1)="-"),999),"E+","E"),"E-","E"))=LEN(SUBSTITUTE(SUBSTITUTE(SUBSTITUTE(SUBSTITUTE(MID(UPPER(TRIM($DX294)),1+OR(LEFT(UPPER(TRIM($DX294)),1)="+",LEFT(UPPER(TRIM($DX294)),1)="-"),999),"E+","E"),"E-","E"),"+",""),"-","")),LEN(UPPER(TRIM($DX294)))-LEN(SUBSTITUTE(UPPER(TRIM($DX294)),"E",""))&lt;2,LEN(UPPER(TRIM($DX294)))-LEN(SUBSTITUTE(UPPER(TRIM($DX294)),".",""))&lt;2,IFERROR(FIND(".",UPPER(TRIM($DX294))),0)&lt;IFERROR(FIND("E",UPPER(TRIM($DX294))),999)),ISNUMBER(VALUE(TRIM($DX294)))),VALUE(TRIM($DX294)),"")))),""))</f>
        <v/>
      </c>
      <c r="DZ294">
        <f>IF($DM294=0,"",IF($L$17=0,"",IFERROR(IF(ISNUMBER(INDEX(PASTE_ALL,$DF294,$L$17)),INDEX(PASTE_ALL,$DF294,$L$17),SUBSTITUTE(SUBSTITUTE(TRIM(SUBSTITUTE(SUBSTITUTE(SUBSTITUTE(SUBSTITUTE(INDEX(PASTE_ALL,$DF294,$L$17)," "," "),CHAR(9)," "),CHAR(10)," "),CHAR(13)," ")),",",""),"%","")),"")))</f>
        <v/>
      </c>
      <c r="EA294">
        <f>IF($DM294=0,"",IFERROR(IF(ISNUMBER($DZ294),$DZ294,IF($DZ294="","",IF(TRIM($DZ294)="",0,IF(AND(AND(SUBSTITUTE(SUBSTITUTE(SUBSTITUTE(SUBSTITUTE(SUBSTITUTE(SUBSTITUTE(SUBSTITUTE(SUBSTITUTE(SUBSTITUTE(SUBSTITUTE(SUBSTITUTE(SUBSTITUTE(SUBSTITUTE(SUBSTITUTE(UPPER(TRIM($DZ294)),"0",""),"1",""),"2",""),"3",""),"4",""),"5",""),"6",""),"7",""),"8",""),"9",""),".",""),"+",""),"-",""),"E","")="",LEN(SUBSTITUTE(SUBSTITUTE(MID(UPPER(TRIM($DZ294)),1+OR(LEFT(UPPER(TRIM($DZ294)),1)="+",LEFT(UPPER(TRIM($DZ294)),1)="-"),999),"E+","E"),"E-","E"))=LEN(SUBSTITUTE(SUBSTITUTE(SUBSTITUTE(SUBSTITUTE(MID(UPPER(TRIM($DZ294)),1+OR(LEFT(UPPER(TRIM($DZ294)),1)="+",LEFT(UPPER(TRIM($DZ294)),1)="-"),999),"E+","E"),"E-","E"),"+",""),"-","")),LEN(UPPER(TRIM($DZ294)))-LEN(SUBSTITUTE(UPPER(TRIM($DZ294)),"E",""))&lt;2,LEN(UPPER(TRIM($DZ294)))-LEN(SUBSTITUTE(UPPER(TRIM($DZ294)),".",""))&lt;2,IFERROR(FIND(".",UPPER(TRIM($DZ294))),0)&lt;IFERROR(FIND("E",UPPER(TRIM($DZ294))),999)),ISNUMBER(VALUE(TRIM($DZ294)))),VALUE(TRIM($DZ294)),"")))),""))</f>
        <v/>
      </c>
      <c r="EB294">
        <f>IF($DM294=0,"",IF($L$18=0,"",IFERROR(IF(UPPER(TRIM(SUBSTITUTE(SUBSTITUTE(SUBSTITUTE(SUBSTITUTE(INDEX(PASTE_ALL,$DF294,$L$18)," "," "),CHAR(9)," "),CHAR(10)," "),CHAR(13)," ")))="READY","Ready",IF(UPPER(TRIM(SUBSTITUTE(SUBSTITUTE(SUBSTITUTE(SUBSTITUTE(INDEX(PASTE_ALL,$DF294,$L$18)," "," "),CHAR(9)," "),CHAR(10)," "),CHAR(13)," ")))="PM","PM",IF(OR(UPPER(TRIM(SUBSTITUTE(SUBSTITUTE(SUBSTITUTE(SUBSTITUTE(INDEX(PASTE_ALL,$DF294,$L$18)," "," "),CHAR(9)," "),CHAR(10)," "),CHAR(13)," ")))="OT",UPPER(TRIM(SUBSTITUTE(SUBSTITUTE(SUBSTITUTE(SUBSTITUTE(INDEX(PASTE_ALL,$DF294,$L$18)," "," "),CHAR(9)," "),CHAR(10)," "),CHAR(13)," ")))="OVERTIME",UPPER(TRIM(SUBSTITUTE(SUBSTITUTE(SUBSTITUTE(SUBSTITUTE(INDEX(PASTE_ALL,$DF294,$L$18)," "," "),CHAR(9)," "),CHAR(10)," "),CHAR(13)," ")))="TRIAL"),"OT",TRIM(SUBSTITUTE(SUBSTITUTE(SUBSTITUTE(SUBSTITUTE(INDEX(PASTE_ALL,$DF294,$L$18)," "," "),CHAR(9)," "),CHAR(10)," "),CHAR(13)," "))))),"")))</f>
        <v/>
      </c>
      <c r="EC294">
        <f>IF($DM294=0,"",IF($L$19=0,"",IFERROR(IF(ISNUMBER(INDEX(PASTE_ALL,$DF294,$L$19)),INDEX(PASTE_ALL,$DF294,$L$19),TRIM(SUBSTITUTE(SUBSTITUTE(SUBSTITUTE(SUBSTITUTE(INDEX(PASTE_ALL,$DF294,$L$19)," "," "),CHAR(9)," "),CHAR(10)," "),CHAR(13)," "))),"")))</f>
        <v/>
      </c>
      <c r="ED294">
        <f>IF($DM294=0,"",MATCH(1,INDEX(EXACT($DH$5:DH294,$DH294)*$DM$5:DM294,0),0))</f>
        <v/>
      </c>
      <c r="EE294">
        <f>IF($DM294=0,0,IF($ED294=$DE294,1,0))</f>
        <v/>
      </c>
      <c r="EF294">
        <f>EF293+$EE294</f>
        <v/>
      </c>
      <c r="EG294">
        <f>IF($DM294=0,"",INDEX($EF$5:$EF$1003,$ED294))</f>
        <v/>
      </c>
      <c r="EH294">
        <f>IF($DM294=0,"",IF($DO294&lt;&gt;"","",IFERROR(LOOKUP(2,1/(($EG$4:EG293=$EG294)*($DO$4:DO293&lt;&gt;"")),$DO$4:DO293),"")))</f>
        <v/>
      </c>
      <c r="EI294">
        <f>IF($DM294=0,"",IF($DO294&lt;&gt;"",$DO294,$EH294))</f>
        <v/>
      </c>
      <c r="EJ294">
        <f>IF($DM294=0,"",IF($EI294="",0,IF(OR(ISNUMBER($EI294),AND(AND(SUBSTITUTE(SUBSTITUTE(SUBSTITUTE(SUBSTITUTE(SUBSTITUTE(SUBSTITUTE(SUBSTITUTE(SUBSTITUTE(SUBSTITUTE(SUBSTITUTE(SUBSTITUTE(SUBSTITUTE(SUBSTITUTE(SUBSTITUTE(UPPER($EI294),"0",""),"1",""),"2",""),"3",""),"4",""),"5",""),"6",""),"7",""),"8",""),"9",""),".",""),"+",""),"-",""),"E","")="",LEN(SUBSTITUTE(SUBSTITUTE(MID(UPPER($EI294),1+OR(LEFT(UPPER($EI294),1)="+",LEFT(UPPER($EI294),1)="-"),999),"E+","E"),"E-","E"))=LEN(SUBSTITUTE(SUBSTITUTE(SUBSTITUTE(SUBSTITUTE(MID(UPPER($EI294),1+OR(LEFT(UPPER($EI294),1)="+",LEFT(UPPER($EI294),1)="-"),999),"E+","E"),"E-","E"),"+",""),"-","")),LEN(UPPER($EI294))-LEN(SUBSTITUTE(UPPER($EI294),"E",""))&lt;2,LEN(UPPER($EI294))-LEN(SUBSTITUTE(UPPER($EI294),".",""))&lt;2,IFERROR(FIND(".",UPPER($EI294)),0)&lt;IFERROR(FIND("E",UPPER($EI294)),999)),ISNUMBER(VALUE($EI294)))),1,2)))</f>
        <v/>
      </c>
      <c r="EK294">
        <f>IF($DM294=0,"",IF($EJ294=1,IF(ISNUMBER($EI294),$EI294,VALUE($EI294)),IF($EJ294=2,$DE294,0)))</f>
        <v/>
      </c>
      <c r="EL294">
        <f>IF($DM294=0,"",COUNTIF($EG$5:$EG$1003,"&lt;"&amp;$EG294)+SUMPRODUCT(($EG$5:$EG$1003=$EG294)*(($EJ$5:$EJ$1003&lt;$EJ294)+($EJ$5:$EJ$1003=$EJ294)*(($EK$5:$EK$1003&lt;$EK294)+($EK$5:$EK$1003=$EK294)*($DE$5:$DE$1003&lt;$DE294))))+1)</f>
        <v/>
      </c>
      <c r="EM294">
        <f>IF($DM294=0,"",$EL294+$EG294-1)</f>
        <v/>
      </c>
      <c r="EN294">
        <f>IF($DM294=0,0,IFERROR(MATCH(1,INDEX(--(TRIM(SUBSTITUTE(SUBSTITUTE(SUBSTITUTE(SUBSTITUTE(LINES_NAME&amp;""," "," "),CHAR(9)," "),CHAR(10)," "),CHAR(13)," "))=$DH294),0),0),0))</f>
        <v/>
      </c>
      <c r="EO294">
        <f>IF($EN294=0,0,IF(OR(UPPER(TRIM(INDEX(LINES_SCHEDULED,$EN294)&amp;""))="YES",UPPER(TRIM(INDEX(LINES_SCHEDULED,$EN294)&amp;""))="Y",UPPER(TRIM(INDEX(LINES_SCHEDULED,$EN294)&amp;""))="X"),1,0))</f>
        <v/>
      </c>
      <c r="EP294">
        <f>IF($DM294=0,"",IF(COUNTIFS($EG$5:$EG$1003,$EG294,$EB$5:$EB$1003,"Ready")&gt;0,"READY",IF(COUNTIFS($EG$5:$EG$1003,$EG294,$EB$5:$EB$1003,"PM")&gt;0,"PM",IF(COUNTIFS($EG$5:$EG$1003,$EG294,$EB$5:$EB$1003,"OT")&gt;0,"OT",""))))</f>
        <v/>
      </c>
      <c r="EQ294">
        <f>IF($EN294=0,"",UPPER(TRIM(INDEX(LINES_STATUS,$EN294)&amp;"")))</f>
        <v/>
      </c>
      <c r="ER294">
        <f>IF($DM294=0,"",IF(OR($EQ294="READY",$EQ294="PM",$EQ294="OT"),$EQ294,$EP294))</f>
        <v/>
      </c>
      <c r="ES294">
        <f>IF($DM294=0,"",IF(AND($DV294&lt;&gt;"",UPPER($DV294)&lt;&gt;"N"),"allergen",IF(ISNUMBER(SEARCH("oil",$DQ294)),"oil",IF(OR(EXACT($DS294,"A662"),EXACT($DS294,"A624")),"bulk",""))))</f>
        <v/>
      </c>
      <c r="ET294">
        <f>IF($DM294=0,"",IF(OR($EA294="",$EA294=0),"",$EA294/100))</f>
        <v/>
      </c>
      <c r="EU294">
        <f>IF(OR($ET294="",$DY294=""),"",INT($DY294*(1-$ET294)+0.5))</f>
        <v/>
      </c>
      <c r="EW294" t="n">
        <v>290</v>
      </c>
      <c r="EX294">
        <f>IFERROR(MATCH($EW294,$EM$5:$EM$1003,0),0)</f>
        <v/>
      </c>
      <c r="EY294">
        <f>IF($EW294&gt;$B$12,"",IF($EX294&gt;0,"row","spacer"))</f>
        <v/>
      </c>
      <c r="EZ294">
        <f>IF(AND($EY294="row",$EY293&lt;&gt;"row"),1,0)</f>
        <v/>
      </c>
      <c r="FA294">
        <f>IF(AND($EY294="row",$EY295&lt;&gt;"row"),1,0)</f>
        <v/>
      </c>
      <c r="FB294">
        <f>IF($EZ294=1,IFERROR(IF(ISNUMBER(INDEX(PASTE_ALL,INDEX($DF$5:$DF$1003,$EX294),$B$37)),INDEX(PASTE_ALL,INDEX($DF$5:$DF$1003,$EX294),$B$37),INDEX($DH$5:$DH$1003,$EX294)),INDEX($DH$5:$DH$1003,$EX294)),"")</f>
        <v/>
      </c>
      <c r="FC294">
        <f>IF($EY294="row",INDEX($ER$5:$ER$1003,$EX294),"")</f>
        <v/>
      </c>
      <c r="FD294">
        <f>IF($EY294="row",INDEX($DN$5:$DN$1003,$EX294),"")</f>
        <v/>
      </c>
      <c r="FE294">
        <f>IF($EY294="row",INDEX($DO$5:$DO$1003,$EX294),"")</f>
        <v/>
      </c>
      <c r="FF294">
        <f>IF($EY294="row",INDEX($DP$5:$DP$1003,$EX294),"")</f>
        <v/>
      </c>
      <c r="FG294">
        <f>IF($EY294="row",INDEX($DQ$5:$DQ$1003,$EX294),"")</f>
        <v/>
      </c>
      <c r="FH294">
        <f>IF($EY294="row",INDEX($DR$5:$DR$1003,$EX294),"")</f>
        <v/>
      </c>
      <c r="FI294">
        <f>IF($EY294="row",INDEX($DS$5:$DS$1003,$EX294),"")</f>
        <v/>
      </c>
      <c r="FJ294">
        <f>IF($EY294="row",INDEX($DT$5:$DT$1003,$EX294),"")</f>
        <v/>
      </c>
      <c r="FK294">
        <f>IF($EY294="row",INDEX($DU$5:$DU$1003,$EX294),"")</f>
        <v/>
      </c>
      <c r="FL294">
        <f>IF($EY294="row",INDEX($DV$5:$DV$1003,$EX294),"")</f>
        <v/>
      </c>
      <c r="FM294">
        <f>IF($EY294="row",INDEX($DW$5:$DW$1003,$EX294),"")</f>
        <v/>
      </c>
      <c r="FN294">
        <f>IF($EY294="row",INDEX($DY$5:$DY$1003,$EX294),"")</f>
        <v/>
      </c>
      <c r="FO294">
        <f>IF($EY294="row",INDEX($EA$5:$EA$1003,$EX294),"")</f>
        <v/>
      </c>
      <c r="FP294">
        <f>IF($EY294="row",INDEX($EC$5:$EC$1003,$EX294),"")</f>
        <v/>
      </c>
      <c r="FQ294">
        <f>IF($EY294="row",INDEX($ET$5:$ET$1003,$EX294),"")</f>
        <v/>
      </c>
      <c r="FR294">
        <f>IF($EY294="row",INDEX($EU$5:$EU$1003,$EX294),"")</f>
        <v/>
      </c>
      <c r="FS294">
        <f>IF(AND($EY294="row",$EY293="row"),IF(OR(INDEX($DT$5:$DT$1003,$EX293)="",INDEX($DT$5:$DT$1003,$EX294)=""),"",IF(NOT(EXACT(INDEX($DT$5:$DT$1003,$EX293),INDEX($DT$5:$DT$1003,$EX294))),"S4",IF(NOT(EXACT(INDEX($DS$5:$DS$1003,$EX293),INDEX($DS$5:$DS$1003,$EX294))),"S3",IF(NOT(EXACT(INDEX($DR$5:$DR$1003,$EX293),INDEX($DR$5:$DR$1003,$EX294))),"S1 Count Change","S1")))),"")</f>
        <v/>
      </c>
      <c r="FT294">
        <f>IF($EY294="row",INDEX($ES$5:$ES$1003,$EX294),"")</f>
        <v/>
      </c>
      <c r="FU294">
        <f>IF($EY294="row",INDEX($EO$5:$EO$1003,$EX294),0)</f>
        <v/>
      </c>
      <c r="FV294">
        <f>IF($FS294="S1 Count Change",1,0)</f>
        <v/>
      </c>
    </row>
    <row r="295">
      <c r="DA295" t="n">
        <v>291</v>
      </c>
      <c r="DB295">
        <f>IF($B$37=0,"",IFERROR(TRIM(SUBSTITUTE(SUBSTITUTE(SUBSTITUTE(SUBSTITUTE(INDEX(PASTE_ALL,291,$B$37)," "," "),CHAR(9)," "),CHAR(10)," "),CHAR(13)," ")),""))</f>
        <v/>
      </c>
      <c r="DC295">
        <f>IF(AND(291&gt;HEADER_ROW,UPPER(DB295)="LEGEND"),1,0)</f>
        <v/>
      </c>
      <c r="DE295" t="n">
        <v>291</v>
      </c>
      <c r="DF295">
        <f>HEADER_ROW+$DE295</f>
        <v/>
      </c>
      <c r="DG295">
        <f>IF(AND($DF295&lt;=1000,$DF295&lt;$B$8),1,0)</f>
        <v/>
      </c>
      <c r="DH295">
        <f>IF($DG295=1,IFERROR(INDEX($DB$5:$DB$1004,$DF295),""),"")</f>
        <v/>
      </c>
      <c r="DI295">
        <f>IF(AND($DG295=1,$DH295&lt;&gt;""),IFERROR(SUBSTITUTE(SUBSTITUTE(TRIM(SUBSTITUTE(SUBSTITUTE(SUBSTITUTE(SUBSTITUTE(IFERROR(INDEX(PASTE_ALL,$DF295,1)&amp;"","")&amp;"␟"&amp;IFERROR(INDEX(PASTE_ALL,$DF295,2)&amp;"","")&amp;"␟"&amp;IFERROR(INDEX(PASTE_ALL,$DF295,3)&amp;"","")&amp;"␟"&amp;IFERROR(INDEX(PASTE_ALL,$DF295,4)&amp;"","")&amp;"␟"&amp;IFERROR(INDEX(PASTE_ALL,$DF295,5)&amp;"","")&amp;"␟"&amp;IFERROR(INDEX(PASTE_ALL,$DF295,6)&amp;"","")&amp;"␟"&amp;IFERROR(INDEX(PASTE_ALL,$DF295,7)&amp;"","")&amp;"␟"&amp;IFERROR(INDEX(PASTE_ALL,$DF295,8)&amp;"","")&amp;"␟"&amp;IFERROR(INDEX(PASTE_ALL,$DF295,9)&amp;"","")&amp;"␟"&amp;IFERROR(INDEX(PASTE_ALL,$DF295,10)&amp;"","")&amp;"␟"&amp;IFERROR(INDEX(PASTE_ALL,$DF295,11)&amp;"","")&amp;"␟"&amp;IFERROR(INDEX(PASTE_ALL,$DF295,12)&amp;"","")&amp;"␟"&amp;IFERROR(INDEX(PASTE_ALL,$DF295,13)&amp;"","")&amp;"␟"&amp;IFERROR(INDEX(PASTE_ALL,$DF295,14)&amp;"","")&amp;"␟"&amp;IFERROR(INDEX(PASTE_ALL,$DF295,15)&amp;"","")&amp;"␟"&amp;IFERROR(INDEX(PASTE_ALL,$DF295,16)&amp;"","")&amp;"␟"&amp;IFERROR(INDEX(PASTE_ALL,$DF295,17)&amp;"","")&amp;"␟"&amp;IFERROR(INDEX(PASTE_ALL,$DF295,18)&amp;"","")&amp;"␟"&amp;IFERROR(INDEX(PASTE_ALL,$DF295,19)&amp;"","")&amp;"␟"&amp;IFERROR(INDEX(PASTE_ALL,$DF295,20)&amp;"","")&amp;"␟"&amp;IFERROR(INDEX(PASTE_ALL,$DF295,21)&amp;"","")&amp;"␟"&amp;IFERROR(INDEX(PASTE_ALL,$DF295,22)&amp;"","")&amp;"␟"&amp;IFERROR(INDEX(PASTE_ALL,$DF295,23)&amp;"","")&amp;"␟"&amp;IFERROR(INDEX(PASTE_ALL,$DF295,24)&amp;"","")&amp;"␟"&amp;IFERROR(INDEX(PASTE_ALL,$DF295,25)&amp;"","")&amp;"␟"&amp;IFERROR(INDEX(PASTE_ALL,$DF295,26)&amp;"","")&amp;"␟"&amp;IFERROR(INDEX(PASTE_ALL,$DF295,27)&amp;"","")&amp;"␟"&amp;IFERROR(INDEX(PASTE_ALL,$DF295,28)&amp;"","")&amp;"␟"&amp;IFERROR(INDEX(PASTE_ALL,$DF295,29)&amp;"","")&amp;"␟"&amp;IFERROR(INDEX(PASTE_ALL,$DF295,30)&amp;"","")&amp;"␟"&amp;IFERROR(INDEX(PASTE_ALL,$DF295,31)&amp;"","")&amp;"␟"&amp;IFERROR(INDEX(PASTE_ALL,$DF295,32)&amp;"","")&amp;"␟"&amp;IFERROR(INDEX(PASTE_ALL,$DF295,33)&amp;"","")&amp;"␟"&amp;IFERROR(INDEX(PASTE_ALL,$DF295,34)&amp;"","")&amp;"␟"&amp;IFERROR(INDEX(PASTE_ALL,$DF295,35)&amp;"","")&amp;"␟"&amp;IFERROR(INDEX(PASTE_ALL,$DF295,36)&amp;"","")&amp;"␟"&amp;IFERROR(INDEX(PASTE_ALL,$DF295,37)&amp;"","")&amp;"␟"&amp;IFERROR(INDEX(PASTE_ALL,$DF295,38)&amp;"","")&amp;"␟"&amp;IFERROR(INDEX(PASTE_ALL,$DF295,39)&amp;"","")&amp;"␟"&amp;IFERROR(INDEX(PASTE_ALL,$DF295,40)&amp;"","")&amp;"␟"&amp;IFERROR(INDEX(PASTE_ALL,$DF295,41)&amp;"","")&amp;"␟"&amp;IFERROR(INDEX(PASTE_ALL,$DF295,42)&amp;"","")&amp;"␟"&amp;IFERROR(INDEX(PASTE_ALL,$DF295,43)&amp;"","")&amp;"␟"&amp;IFERROR(INDEX(PASTE_ALL,$DF295,44)&amp;"","")&amp;"␟"&amp;IFERROR(INDEX(PASTE_ALL,$DF295,45)&amp;"","")&amp;"␟"&amp;IFERROR(INDEX(PASTE_ALL,$DF295,46)&amp;"","")&amp;"␟"&amp;IFERROR(INDEX(PASTE_ALL,$DF295,47)&amp;"","")&amp;"␟"&amp;IFERROR(INDEX(PASTE_ALL,$DF295,48)&amp;"","")&amp;"␟"&amp;IFERROR(INDEX(PASTE_ALL,$DF295,49)&amp;"","")&amp;"␟"&amp;IFERROR(INDEX(PASTE_ALL,$DF295,50)&amp;"","")&amp;"␟"&amp;IFERROR(INDEX(PASTE_ALL,$DF295,51)&amp;"","")&amp;"␟"&amp;IFERROR(INDEX(PASTE_ALL,$DF295,52)&amp;"","")&amp;"␟"&amp;IFERROR(INDEX(PASTE_ALL,$DF295,53)&amp;"","")&amp;"␟"&amp;IFERROR(INDEX(PASTE_ALL,$DF295,54)&amp;"","")&amp;"␟"&amp;IFERROR(INDEX(PASTE_ALL,$DF295,55)&amp;"","")&amp;"␟"&amp;IFERROR(INDEX(PASTE_ALL,$DF295,56)&amp;"","")&amp;"␟"&amp;IFERROR(INDEX(PASTE_ALL,$DF295,57)&amp;"","")&amp;"␟"&amp;IFERROR(INDEX(PASTE_ALL,$DF295,58)&amp;"","")&amp;"␟"&amp;IFERROR(INDEX(PASTE_ALL,$DF295,59)&amp;"","")&amp;"␟"&amp;IFERROR(INDEX(PASTE_ALL,$DF295,60)&amp;"","")," "," "),CHAR(9)," "),CHAR(10)," "),CHAR(13)," "))," ␟","␟"),"␟ ","␟"),"#"&amp;$DE295),"")</f>
        <v/>
      </c>
      <c r="DJ295">
        <f>IF($DI295="",0,IF(SUMPRODUCT(--EXACT($DI$4:DI294,$DI295))&gt;0,1,0))</f>
        <v/>
      </c>
      <c r="DK295">
        <f>IF(AND($DI295&lt;&gt;"",$DJ295=0),1,0)</f>
        <v/>
      </c>
      <c r="DL295">
        <f>DL294+$DK295</f>
        <v/>
      </c>
      <c r="DM295">
        <f>IF(AND($DK295=1,$DL295&lt;=600),1,0)</f>
        <v/>
      </c>
      <c r="DN295">
        <f>IF($DM295=0,"",IF($L$6=0,"",IFERROR(IF(ISNUMBER(INDEX(PASTE_ALL,$DF295,$L$6)),INDEX(PASTE_ALL,$DF295,$L$6),TRIM(SUBSTITUTE(SUBSTITUTE(SUBSTITUTE(SUBSTITUTE(INDEX(PASTE_ALL,$DF295,$L$6)," "," "),CHAR(9)," "),CHAR(10)," "),CHAR(13)," "))),"")))</f>
        <v/>
      </c>
      <c r="DO295">
        <f>IF($DM295=0,"",IF($L$7=0,"",IFERROR(IF(ISNUMBER(INDEX(PASTE_ALL,$DF295,$L$7)),INDEX(PASTE_ALL,$DF295,$L$7),TRIM(SUBSTITUTE(SUBSTITUTE(SUBSTITUTE(SUBSTITUTE(INDEX(PASTE_ALL,$DF295,$L$7)," "," "),CHAR(9)," "),CHAR(10)," "),CHAR(13)," "))),"")))</f>
        <v/>
      </c>
      <c r="DP295">
        <f>IF($DM295=0,"",IF($L$8=0,"",IFERROR(IF(ISNUMBER(INDEX(PASTE_ALL,$DF295,$L$8)),INDEX(PASTE_ALL,$DF295,$L$8),TRIM(SUBSTITUTE(SUBSTITUTE(SUBSTITUTE(SUBSTITUTE(INDEX(PASTE_ALL,$DF295,$L$8)," "," "),CHAR(9)," "),CHAR(10)," "),CHAR(13)," "))),"")))</f>
        <v/>
      </c>
      <c r="DQ295">
        <f>IF($DM295=0,"",IF($L$9=0,"",IFERROR(IF(ISNUMBER(INDEX(PASTE_ALL,$DF295,$L$9)),INDEX(PASTE_ALL,$DF295,$L$9),TRIM(SUBSTITUTE(SUBSTITUTE(SUBSTITUTE(SUBSTITUTE(INDEX(PASTE_ALL,$DF295,$L$9)," "," "),CHAR(9)," "),CHAR(10)," "),CHAR(13)," "))),"")))</f>
        <v/>
      </c>
      <c r="DR295">
        <f>IF($DM295=0,"",IF($L$10=0,"",IFERROR(IF(ISNUMBER(INDEX(PASTE_ALL,$DF295,$L$10)),INDEX(PASTE_ALL,$DF295,$L$10),TRIM(SUBSTITUTE(SUBSTITUTE(SUBSTITUTE(SUBSTITUTE(INDEX(PASTE_ALL,$DF295,$L$10)," "," "),CHAR(9)," "),CHAR(10)," "),CHAR(13)," "))),"")))</f>
        <v/>
      </c>
      <c r="DS295">
        <f>IF($DM295=0,"",IF($L$11=0,"",IFERROR(IF(ISNUMBER(INDEX(PASTE_ALL,$DF295,$L$11)),INDEX(PASTE_ALL,$DF295,$L$11),TRIM(SUBSTITUTE(SUBSTITUTE(SUBSTITUTE(SUBSTITUTE(INDEX(PASTE_ALL,$DF295,$L$11)," "," "),CHAR(9)," "),CHAR(10)," "),CHAR(13)," "))),"")))</f>
        <v/>
      </c>
      <c r="DT295">
        <f>IF($DM295=0,"",IF($L$12=0,"",IFERROR(IF(ISNUMBER(INDEX(PASTE_ALL,$DF295,$L$12)),INDEX(PASTE_ALL,$DF295,$L$12),TRIM(SUBSTITUTE(SUBSTITUTE(SUBSTITUTE(SUBSTITUTE(INDEX(PASTE_ALL,$DF295,$L$12)," "," "),CHAR(9)," "),CHAR(10)," "),CHAR(13)," "))),"")))</f>
        <v/>
      </c>
      <c r="DU295">
        <f>IF($DM295=0,"",IF($L$13=0,"",IFERROR(IF(ISNUMBER(INDEX(PASTE_ALL,$DF295,$L$13)),INDEX(PASTE_ALL,$DF295,$L$13),TRIM(SUBSTITUTE(SUBSTITUTE(SUBSTITUTE(SUBSTITUTE(INDEX(PASTE_ALL,$DF295,$L$13)," "," "),CHAR(9)," "),CHAR(10)," "),CHAR(13)," "))),"")))</f>
        <v/>
      </c>
      <c r="DV295">
        <f>IF($DM295=0,"",IF($L$14=0,"",IFERROR(IF(ISNUMBER(INDEX(PASTE_ALL,$DF295,$L$14)),INDEX(PASTE_ALL,$DF295,$L$14),TRIM(SUBSTITUTE(SUBSTITUTE(SUBSTITUTE(SUBSTITUTE(INDEX(PASTE_ALL,$DF295,$L$14)," "," "),CHAR(9)," "),CHAR(10)," "),CHAR(13)," "))),"")))</f>
        <v/>
      </c>
      <c r="DW295">
        <f>IF($DM295=0,"",IF($L$15=0,"",IFERROR(IF(ISNUMBER(INDEX(PASTE_ALL,$DF295,$L$15)),INDEX(PASTE_ALL,$DF295,$L$15),IF(SUMPRODUCT(--ISNUMBER(FIND({"A","B","C","D","E","F","G","H","I","J","K","L","M","N","O","P","Q","R","S","T","U","V","W","X","Y","Z","0","1","2","3","4","5","6","7","8","9"},UPPER(TRIM(SUBSTITUTE(SUBSTITUTE(SUBSTITUTE(SUBSTITUTE(INDEX(PASTE_ALL,$DF295,$L$15)," "," "),CHAR(9)," "),CHAR(10)," "),CHAR(13)," "))))))&gt;0,TRIM(SUBSTITUTE(SUBSTITUTE(SUBSTITUTE(SUBSTITUTE(INDEX(PASTE_ALL,$DF295,$L$15)," "," "),CHAR(9)," "),CHAR(10)," "),CHAR(13)," ")),"")),"")))</f>
        <v/>
      </c>
      <c r="DX295">
        <f>IF($DM295=0,"",IF($L$16=0,"",IFERROR(IF(ISNUMBER(INDEX(PASTE_ALL,$DF295,$L$16)),INDEX(PASTE_ALL,$DF295,$L$16),SUBSTITUTE(SUBSTITUTE(TRIM(SUBSTITUTE(SUBSTITUTE(SUBSTITUTE(SUBSTITUTE(INDEX(PASTE_ALL,$DF295,$L$16)," "," "),CHAR(9)," "),CHAR(10)," "),CHAR(13)," ")),",",""),"%","")),"")))</f>
        <v/>
      </c>
      <c r="DY295">
        <f>IF($DM295=0,"",IFERROR(IF(ISNUMBER($DX295),$DX295,IF($DX295="","",IF(TRIM($DX295)="",0,IF(AND(AND(SUBSTITUTE(SUBSTITUTE(SUBSTITUTE(SUBSTITUTE(SUBSTITUTE(SUBSTITUTE(SUBSTITUTE(SUBSTITUTE(SUBSTITUTE(SUBSTITUTE(SUBSTITUTE(SUBSTITUTE(SUBSTITUTE(SUBSTITUTE(UPPER(TRIM($DX295)),"0",""),"1",""),"2",""),"3",""),"4",""),"5",""),"6",""),"7",""),"8",""),"9",""),".",""),"+",""),"-",""),"E","")="",LEN(SUBSTITUTE(SUBSTITUTE(MID(UPPER(TRIM($DX295)),1+OR(LEFT(UPPER(TRIM($DX295)),1)="+",LEFT(UPPER(TRIM($DX295)),1)="-"),999),"E+","E"),"E-","E"))=LEN(SUBSTITUTE(SUBSTITUTE(SUBSTITUTE(SUBSTITUTE(MID(UPPER(TRIM($DX295)),1+OR(LEFT(UPPER(TRIM($DX295)),1)="+",LEFT(UPPER(TRIM($DX295)),1)="-"),999),"E+","E"),"E-","E"),"+",""),"-","")),LEN(UPPER(TRIM($DX295)))-LEN(SUBSTITUTE(UPPER(TRIM($DX295)),"E",""))&lt;2,LEN(UPPER(TRIM($DX295)))-LEN(SUBSTITUTE(UPPER(TRIM($DX295)),".",""))&lt;2,IFERROR(FIND(".",UPPER(TRIM($DX295))),0)&lt;IFERROR(FIND("E",UPPER(TRIM($DX295))),999)),ISNUMBER(VALUE(TRIM($DX295)))),VALUE(TRIM($DX295)),"")))),""))</f>
        <v/>
      </c>
      <c r="DZ295">
        <f>IF($DM295=0,"",IF($L$17=0,"",IFERROR(IF(ISNUMBER(INDEX(PASTE_ALL,$DF295,$L$17)),INDEX(PASTE_ALL,$DF295,$L$17),SUBSTITUTE(SUBSTITUTE(TRIM(SUBSTITUTE(SUBSTITUTE(SUBSTITUTE(SUBSTITUTE(INDEX(PASTE_ALL,$DF295,$L$17)," "," "),CHAR(9)," "),CHAR(10)," "),CHAR(13)," ")),",",""),"%","")),"")))</f>
        <v/>
      </c>
      <c r="EA295">
        <f>IF($DM295=0,"",IFERROR(IF(ISNUMBER($DZ295),$DZ295,IF($DZ295="","",IF(TRIM($DZ295)="",0,IF(AND(AND(SUBSTITUTE(SUBSTITUTE(SUBSTITUTE(SUBSTITUTE(SUBSTITUTE(SUBSTITUTE(SUBSTITUTE(SUBSTITUTE(SUBSTITUTE(SUBSTITUTE(SUBSTITUTE(SUBSTITUTE(SUBSTITUTE(SUBSTITUTE(UPPER(TRIM($DZ295)),"0",""),"1",""),"2",""),"3",""),"4",""),"5",""),"6",""),"7",""),"8",""),"9",""),".",""),"+",""),"-",""),"E","")="",LEN(SUBSTITUTE(SUBSTITUTE(MID(UPPER(TRIM($DZ295)),1+OR(LEFT(UPPER(TRIM($DZ295)),1)="+",LEFT(UPPER(TRIM($DZ295)),1)="-"),999),"E+","E"),"E-","E"))=LEN(SUBSTITUTE(SUBSTITUTE(SUBSTITUTE(SUBSTITUTE(MID(UPPER(TRIM($DZ295)),1+OR(LEFT(UPPER(TRIM($DZ295)),1)="+",LEFT(UPPER(TRIM($DZ295)),1)="-"),999),"E+","E"),"E-","E"),"+",""),"-","")),LEN(UPPER(TRIM($DZ295)))-LEN(SUBSTITUTE(UPPER(TRIM($DZ295)),"E",""))&lt;2,LEN(UPPER(TRIM($DZ295)))-LEN(SUBSTITUTE(UPPER(TRIM($DZ295)),".",""))&lt;2,IFERROR(FIND(".",UPPER(TRIM($DZ295))),0)&lt;IFERROR(FIND("E",UPPER(TRIM($DZ295))),999)),ISNUMBER(VALUE(TRIM($DZ295)))),VALUE(TRIM($DZ295)),"")))),""))</f>
        <v/>
      </c>
      <c r="EB295">
        <f>IF($DM295=0,"",IF($L$18=0,"",IFERROR(IF(UPPER(TRIM(SUBSTITUTE(SUBSTITUTE(SUBSTITUTE(SUBSTITUTE(INDEX(PASTE_ALL,$DF295,$L$18)," "," "),CHAR(9)," "),CHAR(10)," "),CHAR(13)," ")))="READY","Ready",IF(UPPER(TRIM(SUBSTITUTE(SUBSTITUTE(SUBSTITUTE(SUBSTITUTE(INDEX(PASTE_ALL,$DF295,$L$18)," "," "),CHAR(9)," "),CHAR(10)," "),CHAR(13)," ")))="PM","PM",IF(OR(UPPER(TRIM(SUBSTITUTE(SUBSTITUTE(SUBSTITUTE(SUBSTITUTE(INDEX(PASTE_ALL,$DF295,$L$18)," "," "),CHAR(9)," "),CHAR(10)," "),CHAR(13)," ")))="OT",UPPER(TRIM(SUBSTITUTE(SUBSTITUTE(SUBSTITUTE(SUBSTITUTE(INDEX(PASTE_ALL,$DF295,$L$18)," "," "),CHAR(9)," "),CHAR(10)," "),CHAR(13)," ")))="OVERTIME",UPPER(TRIM(SUBSTITUTE(SUBSTITUTE(SUBSTITUTE(SUBSTITUTE(INDEX(PASTE_ALL,$DF295,$L$18)," "," "),CHAR(9)," "),CHAR(10)," "),CHAR(13)," ")))="TRIAL"),"OT",TRIM(SUBSTITUTE(SUBSTITUTE(SUBSTITUTE(SUBSTITUTE(INDEX(PASTE_ALL,$DF295,$L$18)," "," "),CHAR(9)," "),CHAR(10)," "),CHAR(13)," "))))),"")))</f>
        <v/>
      </c>
      <c r="EC295">
        <f>IF($DM295=0,"",IF($L$19=0,"",IFERROR(IF(ISNUMBER(INDEX(PASTE_ALL,$DF295,$L$19)),INDEX(PASTE_ALL,$DF295,$L$19),TRIM(SUBSTITUTE(SUBSTITUTE(SUBSTITUTE(SUBSTITUTE(INDEX(PASTE_ALL,$DF295,$L$19)," "," "),CHAR(9)," "),CHAR(10)," "),CHAR(13)," "))),"")))</f>
        <v/>
      </c>
      <c r="ED295">
        <f>IF($DM295=0,"",MATCH(1,INDEX(EXACT($DH$5:DH295,$DH295)*$DM$5:DM295,0),0))</f>
        <v/>
      </c>
      <c r="EE295">
        <f>IF($DM295=0,0,IF($ED295=$DE295,1,0))</f>
        <v/>
      </c>
      <c r="EF295">
        <f>EF294+$EE295</f>
        <v/>
      </c>
      <c r="EG295">
        <f>IF($DM295=0,"",INDEX($EF$5:$EF$1003,$ED295))</f>
        <v/>
      </c>
      <c r="EH295">
        <f>IF($DM295=0,"",IF($DO295&lt;&gt;"","",IFERROR(LOOKUP(2,1/(($EG$4:EG294=$EG295)*($DO$4:DO294&lt;&gt;"")),$DO$4:DO294),"")))</f>
        <v/>
      </c>
      <c r="EI295">
        <f>IF($DM295=0,"",IF($DO295&lt;&gt;"",$DO295,$EH295))</f>
        <v/>
      </c>
      <c r="EJ295">
        <f>IF($DM295=0,"",IF($EI295="",0,IF(OR(ISNUMBER($EI295),AND(AND(SUBSTITUTE(SUBSTITUTE(SUBSTITUTE(SUBSTITUTE(SUBSTITUTE(SUBSTITUTE(SUBSTITUTE(SUBSTITUTE(SUBSTITUTE(SUBSTITUTE(SUBSTITUTE(SUBSTITUTE(SUBSTITUTE(SUBSTITUTE(UPPER($EI295),"0",""),"1",""),"2",""),"3",""),"4",""),"5",""),"6",""),"7",""),"8",""),"9",""),".",""),"+",""),"-",""),"E","")="",LEN(SUBSTITUTE(SUBSTITUTE(MID(UPPER($EI295),1+OR(LEFT(UPPER($EI295),1)="+",LEFT(UPPER($EI295),1)="-"),999),"E+","E"),"E-","E"))=LEN(SUBSTITUTE(SUBSTITUTE(SUBSTITUTE(SUBSTITUTE(MID(UPPER($EI295),1+OR(LEFT(UPPER($EI295),1)="+",LEFT(UPPER($EI295),1)="-"),999),"E+","E"),"E-","E"),"+",""),"-","")),LEN(UPPER($EI295))-LEN(SUBSTITUTE(UPPER($EI295),"E",""))&lt;2,LEN(UPPER($EI295))-LEN(SUBSTITUTE(UPPER($EI295),".",""))&lt;2,IFERROR(FIND(".",UPPER($EI295)),0)&lt;IFERROR(FIND("E",UPPER($EI295)),999)),ISNUMBER(VALUE($EI295)))),1,2)))</f>
        <v/>
      </c>
      <c r="EK295">
        <f>IF($DM295=0,"",IF($EJ295=1,IF(ISNUMBER($EI295),$EI295,VALUE($EI295)),IF($EJ295=2,$DE295,0)))</f>
        <v/>
      </c>
      <c r="EL295">
        <f>IF($DM295=0,"",COUNTIF($EG$5:$EG$1003,"&lt;"&amp;$EG295)+SUMPRODUCT(($EG$5:$EG$1003=$EG295)*(($EJ$5:$EJ$1003&lt;$EJ295)+($EJ$5:$EJ$1003=$EJ295)*(($EK$5:$EK$1003&lt;$EK295)+($EK$5:$EK$1003=$EK295)*($DE$5:$DE$1003&lt;$DE295))))+1)</f>
        <v/>
      </c>
      <c r="EM295">
        <f>IF($DM295=0,"",$EL295+$EG295-1)</f>
        <v/>
      </c>
      <c r="EN295">
        <f>IF($DM295=0,0,IFERROR(MATCH(1,INDEX(--(TRIM(SUBSTITUTE(SUBSTITUTE(SUBSTITUTE(SUBSTITUTE(LINES_NAME&amp;""," "," "),CHAR(9)," "),CHAR(10)," "),CHAR(13)," "))=$DH295),0),0),0))</f>
        <v/>
      </c>
      <c r="EO295">
        <f>IF($EN295=0,0,IF(OR(UPPER(TRIM(INDEX(LINES_SCHEDULED,$EN295)&amp;""))="YES",UPPER(TRIM(INDEX(LINES_SCHEDULED,$EN295)&amp;""))="Y",UPPER(TRIM(INDEX(LINES_SCHEDULED,$EN295)&amp;""))="X"),1,0))</f>
        <v/>
      </c>
      <c r="EP295">
        <f>IF($DM295=0,"",IF(COUNTIFS($EG$5:$EG$1003,$EG295,$EB$5:$EB$1003,"Ready")&gt;0,"READY",IF(COUNTIFS($EG$5:$EG$1003,$EG295,$EB$5:$EB$1003,"PM")&gt;0,"PM",IF(COUNTIFS($EG$5:$EG$1003,$EG295,$EB$5:$EB$1003,"OT")&gt;0,"OT",""))))</f>
        <v/>
      </c>
      <c r="EQ295">
        <f>IF($EN295=0,"",UPPER(TRIM(INDEX(LINES_STATUS,$EN295)&amp;"")))</f>
        <v/>
      </c>
      <c r="ER295">
        <f>IF($DM295=0,"",IF(OR($EQ295="READY",$EQ295="PM",$EQ295="OT"),$EQ295,$EP295))</f>
        <v/>
      </c>
      <c r="ES295">
        <f>IF($DM295=0,"",IF(AND($DV295&lt;&gt;"",UPPER($DV295)&lt;&gt;"N"),"allergen",IF(ISNUMBER(SEARCH("oil",$DQ295)),"oil",IF(OR(EXACT($DS295,"A662"),EXACT($DS295,"A624")),"bulk",""))))</f>
        <v/>
      </c>
      <c r="ET295">
        <f>IF($DM295=0,"",IF(OR($EA295="",$EA295=0),"",$EA295/100))</f>
        <v/>
      </c>
      <c r="EU295">
        <f>IF(OR($ET295="",$DY295=""),"",INT($DY295*(1-$ET295)+0.5))</f>
        <v/>
      </c>
      <c r="EW295" t="n">
        <v>291</v>
      </c>
      <c r="EX295">
        <f>IFERROR(MATCH($EW295,$EM$5:$EM$1003,0),0)</f>
        <v/>
      </c>
      <c r="EY295">
        <f>IF($EW295&gt;$B$12,"",IF($EX295&gt;0,"row","spacer"))</f>
        <v/>
      </c>
      <c r="EZ295">
        <f>IF(AND($EY295="row",$EY294&lt;&gt;"row"),1,0)</f>
        <v/>
      </c>
      <c r="FA295">
        <f>IF(AND($EY295="row",$EY296&lt;&gt;"row"),1,0)</f>
        <v/>
      </c>
      <c r="FB295">
        <f>IF($EZ295=1,IFERROR(IF(ISNUMBER(INDEX(PASTE_ALL,INDEX($DF$5:$DF$1003,$EX295),$B$37)),INDEX(PASTE_ALL,INDEX($DF$5:$DF$1003,$EX295),$B$37),INDEX($DH$5:$DH$1003,$EX295)),INDEX($DH$5:$DH$1003,$EX295)),"")</f>
        <v/>
      </c>
      <c r="FC295">
        <f>IF($EY295="row",INDEX($ER$5:$ER$1003,$EX295),"")</f>
        <v/>
      </c>
      <c r="FD295">
        <f>IF($EY295="row",INDEX($DN$5:$DN$1003,$EX295),"")</f>
        <v/>
      </c>
      <c r="FE295">
        <f>IF($EY295="row",INDEX($DO$5:$DO$1003,$EX295),"")</f>
        <v/>
      </c>
      <c r="FF295">
        <f>IF($EY295="row",INDEX($DP$5:$DP$1003,$EX295),"")</f>
        <v/>
      </c>
      <c r="FG295">
        <f>IF($EY295="row",INDEX($DQ$5:$DQ$1003,$EX295),"")</f>
        <v/>
      </c>
      <c r="FH295">
        <f>IF($EY295="row",INDEX($DR$5:$DR$1003,$EX295),"")</f>
        <v/>
      </c>
      <c r="FI295">
        <f>IF($EY295="row",INDEX($DS$5:$DS$1003,$EX295),"")</f>
        <v/>
      </c>
      <c r="FJ295">
        <f>IF($EY295="row",INDEX($DT$5:$DT$1003,$EX295),"")</f>
        <v/>
      </c>
      <c r="FK295">
        <f>IF($EY295="row",INDEX($DU$5:$DU$1003,$EX295),"")</f>
        <v/>
      </c>
      <c r="FL295">
        <f>IF($EY295="row",INDEX($DV$5:$DV$1003,$EX295),"")</f>
        <v/>
      </c>
      <c r="FM295">
        <f>IF($EY295="row",INDEX($DW$5:$DW$1003,$EX295),"")</f>
        <v/>
      </c>
      <c r="FN295">
        <f>IF($EY295="row",INDEX($DY$5:$DY$1003,$EX295),"")</f>
        <v/>
      </c>
      <c r="FO295">
        <f>IF($EY295="row",INDEX($EA$5:$EA$1003,$EX295),"")</f>
        <v/>
      </c>
      <c r="FP295">
        <f>IF($EY295="row",INDEX($EC$5:$EC$1003,$EX295),"")</f>
        <v/>
      </c>
      <c r="FQ295">
        <f>IF($EY295="row",INDEX($ET$5:$ET$1003,$EX295),"")</f>
        <v/>
      </c>
      <c r="FR295">
        <f>IF($EY295="row",INDEX($EU$5:$EU$1003,$EX295),"")</f>
        <v/>
      </c>
      <c r="FS295">
        <f>IF(AND($EY295="row",$EY294="row"),IF(OR(INDEX($DT$5:$DT$1003,$EX294)="",INDEX($DT$5:$DT$1003,$EX295)=""),"",IF(NOT(EXACT(INDEX($DT$5:$DT$1003,$EX294),INDEX($DT$5:$DT$1003,$EX295))),"S4",IF(NOT(EXACT(INDEX($DS$5:$DS$1003,$EX294),INDEX($DS$5:$DS$1003,$EX295))),"S3",IF(NOT(EXACT(INDEX($DR$5:$DR$1003,$EX294),INDEX($DR$5:$DR$1003,$EX295))),"S1 Count Change","S1")))),"")</f>
        <v/>
      </c>
      <c r="FT295">
        <f>IF($EY295="row",INDEX($ES$5:$ES$1003,$EX295),"")</f>
        <v/>
      </c>
      <c r="FU295">
        <f>IF($EY295="row",INDEX($EO$5:$EO$1003,$EX295),0)</f>
        <v/>
      </c>
      <c r="FV295">
        <f>IF($FS295="S1 Count Change",1,0)</f>
        <v/>
      </c>
    </row>
    <row r="296">
      <c r="DA296" t="n">
        <v>292</v>
      </c>
      <c r="DB296">
        <f>IF($B$37=0,"",IFERROR(TRIM(SUBSTITUTE(SUBSTITUTE(SUBSTITUTE(SUBSTITUTE(INDEX(PASTE_ALL,292,$B$37)," "," "),CHAR(9)," "),CHAR(10)," "),CHAR(13)," ")),""))</f>
        <v/>
      </c>
      <c r="DC296">
        <f>IF(AND(292&gt;HEADER_ROW,UPPER(DB296)="LEGEND"),1,0)</f>
        <v/>
      </c>
      <c r="DE296" t="n">
        <v>292</v>
      </c>
      <c r="DF296">
        <f>HEADER_ROW+$DE296</f>
        <v/>
      </c>
      <c r="DG296">
        <f>IF(AND($DF296&lt;=1000,$DF296&lt;$B$8),1,0)</f>
        <v/>
      </c>
      <c r="DH296">
        <f>IF($DG296=1,IFERROR(INDEX($DB$5:$DB$1004,$DF296),""),"")</f>
        <v/>
      </c>
      <c r="DI296">
        <f>IF(AND($DG296=1,$DH296&lt;&gt;""),IFERROR(SUBSTITUTE(SUBSTITUTE(TRIM(SUBSTITUTE(SUBSTITUTE(SUBSTITUTE(SUBSTITUTE(IFERROR(INDEX(PASTE_ALL,$DF296,1)&amp;"","")&amp;"␟"&amp;IFERROR(INDEX(PASTE_ALL,$DF296,2)&amp;"","")&amp;"␟"&amp;IFERROR(INDEX(PASTE_ALL,$DF296,3)&amp;"","")&amp;"␟"&amp;IFERROR(INDEX(PASTE_ALL,$DF296,4)&amp;"","")&amp;"␟"&amp;IFERROR(INDEX(PASTE_ALL,$DF296,5)&amp;"","")&amp;"␟"&amp;IFERROR(INDEX(PASTE_ALL,$DF296,6)&amp;"","")&amp;"␟"&amp;IFERROR(INDEX(PASTE_ALL,$DF296,7)&amp;"","")&amp;"␟"&amp;IFERROR(INDEX(PASTE_ALL,$DF296,8)&amp;"","")&amp;"␟"&amp;IFERROR(INDEX(PASTE_ALL,$DF296,9)&amp;"","")&amp;"␟"&amp;IFERROR(INDEX(PASTE_ALL,$DF296,10)&amp;"","")&amp;"␟"&amp;IFERROR(INDEX(PASTE_ALL,$DF296,11)&amp;"","")&amp;"␟"&amp;IFERROR(INDEX(PASTE_ALL,$DF296,12)&amp;"","")&amp;"␟"&amp;IFERROR(INDEX(PASTE_ALL,$DF296,13)&amp;"","")&amp;"␟"&amp;IFERROR(INDEX(PASTE_ALL,$DF296,14)&amp;"","")&amp;"␟"&amp;IFERROR(INDEX(PASTE_ALL,$DF296,15)&amp;"","")&amp;"␟"&amp;IFERROR(INDEX(PASTE_ALL,$DF296,16)&amp;"","")&amp;"␟"&amp;IFERROR(INDEX(PASTE_ALL,$DF296,17)&amp;"","")&amp;"␟"&amp;IFERROR(INDEX(PASTE_ALL,$DF296,18)&amp;"","")&amp;"␟"&amp;IFERROR(INDEX(PASTE_ALL,$DF296,19)&amp;"","")&amp;"␟"&amp;IFERROR(INDEX(PASTE_ALL,$DF296,20)&amp;"","")&amp;"␟"&amp;IFERROR(INDEX(PASTE_ALL,$DF296,21)&amp;"","")&amp;"␟"&amp;IFERROR(INDEX(PASTE_ALL,$DF296,22)&amp;"","")&amp;"␟"&amp;IFERROR(INDEX(PASTE_ALL,$DF296,23)&amp;"","")&amp;"␟"&amp;IFERROR(INDEX(PASTE_ALL,$DF296,24)&amp;"","")&amp;"␟"&amp;IFERROR(INDEX(PASTE_ALL,$DF296,25)&amp;"","")&amp;"␟"&amp;IFERROR(INDEX(PASTE_ALL,$DF296,26)&amp;"","")&amp;"␟"&amp;IFERROR(INDEX(PASTE_ALL,$DF296,27)&amp;"","")&amp;"␟"&amp;IFERROR(INDEX(PASTE_ALL,$DF296,28)&amp;"","")&amp;"␟"&amp;IFERROR(INDEX(PASTE_ALL,$DF296,29)&amp;"","")&amp;"␟"&amp;IFERROR(INDEX(PASTE_ALL,$DF296,30)&amp;"","")&amp;"␟"&amp;IFERROR(INDEX(PASTE_ALL,$DF296,31)&amp;"","")&amp;"␟"&amp;IFERROR(INDEX(PASTE_ALL,$DF296,32)&amp;"","")&amp;"␟"&amp;IFERROR(INDEX(PASTE_ALL,$DF296,33)&amp;"","")&amp;"␟"&amp;IFERROR(INDEX(PASTE_ALL,$DF296,34)&amp;"","")&amp;"␟"&amp;IFERROR(INDEX(PASTE_ALL,$DF296,35)&amp;"","")&amp;"␟"&amp;IFERROR(INDEX(PASTE_ALL,$DF296,36)&amp;"","")&amp;"␟"&amp;IFERROR(INDEX(PASTE_ALL,$DF296,37)&amp;"","")&amp;"␟"&amp;IFERROR(INDEX(PASTE_ALL,$DF296,38)&amp;"","")&amp;"␟"&amp;IFERROR(INDEX(PASTE_ALL,$DF296,39)&amp;"","")&amp;"␟"&amp;IFERROR(INDEX(PASTE_ALL,$DF296,40)&amp;"","")&amp;"␟"&amp;IFERROR(INDEX(PASTE_ALL,$DF296,41)&amp;"","")&amp;"␟"&amp;IFERROR(INDEX(PASTE_ALL,$DF296,42)&amp;"","")&amp;"␟"&amp;IFERROR(INDEX(PASTE_ALL,$DF296,43)&amp;"","")&amp;"␟"&amp;IFERROR(INDEX(PASTE_ALL,$DF296,44)&amp;"","")&amp;"␟"&amp;IFERROR(INDEX(PASTE_ALL,$DF296,45)&amp;"","")&amp;"␟"&amp;IFERROR(INDEX(PASTE_ALL,$DF296,46)&amp;"","")&amp;"␟"&amp;IFERROR(INDEX(PASTE_ALL,$DF296,47)&amp;"","")&amp;"␟"&amp;IFERROR(INDEX(PASTE_ALL,$DF296,48)&amp;"","")&amp;"␟"&amp;IFERROR(INDEX(PASTE_ALL,$DF296,49)&amp;"","")&amp;"␟"&amp;IFERROR(INDEX(PASTE_ALL,$DF296,50)&amp;"","")&amp;"␟"&amp;IFERROR(INDEX(PASTE_ALL,$DF296,51)&amp;"","")&amp;"␟"&amp;IFERROR(INDEX(PASTE_ALL,$DF296,52)&amp;"","")&amp;"␟"&amp;IFERROR(INDEX(PASTE_ALL,$DF296,53)&amp;"","")&amp;"␟"&amp;IFERROR(INDEX(PASTE_ALL,$DF296,54)&amp;"","")&amp;"␟"&amp;IFERROR(INDEX(PASTE_ALL,$DF296,55)&amp;"","")&amp;"␟"&amp;IFERROR(INDEX(PASTE_ALL,$DF296,56)&amp;"","")&amp;"␟"&amp;IFERROR(INDEX(PASTE_ALL,$DF296,57)&amp;"","")&amp;"␟"&amp;IFERROR(INDEX(PASTE_ALL,$DF296,58)&amp;"","")&amp;"␟"&amp;IFERROR(INDEX(PASTE_ALL,$DF296,59)&amp;"","")&amp;"␟"&amp;IFERROR(INDEX(PASTE_ALL,$DF296,60)&amp;"","")," "," "),CHAR(9)," "),CHAR(10)," "),CHAR(13)," "))," ␟","␟"),"␟ ","␟"),"#"&amp;$DE296),"")</f>
        <v/>
      </c>
      <c r="DJ296">
        <f>IF($DI296="",0,IF(SUMPRODUCT(--EXACT($DI$4:DI295,$DI296))&gt;0,1,0))</f>
        <v/>
      </c>
      <c r="DK296">
        <f>IF(AND($DI296&lt;&gt;"",$DJ296=0),1,0)</f>
        <v/>
      </c>
      <c r="DL296">
        <f>DL295+$DK296</f>
        <v/>
      </c>
      <c r="DM296">
        <f>IF(AND($DK296=1,$DL296&lt;=600),1,0)</f>
        <v/>
      </c>
      <c r="DN296">
        <f>IF($DM296=0,"",IF($L$6=0,"",IFERROR(IF(ISNUMBER(INDEX(PASTE_ALL,$DF296,$L$6)),INDEX(PASTE_ALL,$DF296,$L$6),TRIM(SUBSTITUTE(SUBSTITUTE(SUBSTITUTE(SUBSTITUTE(INDEX(PASTE_ALL,$DF296,$L$6)," "," "),CHAR(9)," "),CHAR(10)," "),CHAR(13)," "))),"")))</f>
        <v/>
      </c>
      <c r="DO296">
        <f>IF($DM296=0,"",IF($L$7=0,"",IFERROR(IF(ISNUMBER(INDEX(PASTE_ALL,$DF296,$L$7)),INDEX(PASTE_ALL,$DF296,$L$7),TRIM(SUBSTITUTE(SUBSTITUTE(SUBSTITUTE(SUBSTITUTE(INDEX(PASTE_ALL,$DF296,$L$7)," "," "),CHAR(9)," "),CHAR(10)," "),CHAR(13)," "))),"")))</f>
        <v/>
      </c>
      <c r="DP296">
        <f>IF($DM296=0,"",IF($L$8=0,"",IFERROR(IF(ISNUMBER(INDEX(PASTE_ALL,$DF296,$L$8)),INDEX(PASTE_ALL,$DF296,$L$8),TRIM(SUBSTITUTE(SUBSTITUTE(SUBSTITUTE(SUBSTITUTE(INDEX(PASTE_ALL,$DF296,$L$8)," "," "),CHAR(9)," "),CHAR(10)," "),CHAR(13)," "))),"")))</f>
        <v/>
      </c>
      <c r="DQ296">
        <f>IF($DM296=0,"",IF($L$9=0,"",IFERROR(IF(ISNUMBER(INDEX(PASTE_ALL,$DF296,$L$9)),INDEX(PASTE_ALL,$DF296,$L$9),TRIM(SUBSTITUTE(SUBSTITUTE(SUBSTITUTE(SUBSTITUTE(INDEX(PASTE_ALL,$DF296,$L$9)," "," "),CHAR(9)," "),CHAR(10)," "),CHAR(13)," "))),"")))</f>
        <v/>
      </c>
      <c r="DR296">
        <f>IF($DM296=0,"",IF($L$10=0,"",IFERROR(IF(ISNUMBER(INDEX(PASTE_ALL,$DF296,$L$10)),INDEX(PASTE_ALL,$DF296,$L$10),TRIM(SUBSTITUTE(SUBSTITUTE(SUBSTITUTE(SUBSTITUTE(INDEX(PASTE_ALL,$DF296,$L$10)," "," "),CHAR(9)," "),CHAR(10)," "),CHAR(13)," "))),"")))</f>
        <v/>
      </c>
      <c r="DS296">
        <f>IF($DM296=0,"",IF($L$11=0,"",IFERROR(IF(ISNUMBER(INDEX(PASTE_ALL,$DF296,$L$11)),INDEX(PASTE_ALL,$DF296,$L$11),TRIM(SUBSTITUTE(SUBSTITUTE(SUBSTITUTE(SUBSTITUTE(INDEX(PASTE_ALL,$DF296,$L$11)," "," "),CHAR(9)," "),CHAR(10)," "),CHAR(13)," "))),"")))</f>
        <v/>
      </c>
      <c r="DT296">
        <f>IF($DM296=0,"",IF($L$12=0,"",IFERROR(IF(ISNUMBER(INDEX(PASTE_ALL,$DF296,$L$12)),INDEX(PASTE_ALL,$DF296,$L$12),TRIM(SUBSTITUTE(SUBSTITUTE(SUBSTITUTE(SUBSTITUTE(INDEX(PASTE_ALL,$DF296,$L$12)," "," "),CHAR(9)," "),CHAR(10)," "),CHAR(13)," "))),"")))</f>
        <v/>
      </c>
      <c r="DU296">
        <f>IF($DM296=0,"",IF($L$13=0,"",IFERROR(IF(ISNUMBER(INDEX(PASTE_ALL,$DF296,$L$13)),INDEX(PASTE_ALL,$DF296,$L$13),TRIM(SUBSTITUTE(SUBSTITUTE(SUBSTITUTE(SUBSTITUTE(INDEX(PASTE_ALL,$DF296,$L$13)," "," "),CHAR(9)," "),CHAR(10)," "),CHAR(13)," "))),"")))</f>
        <v/>
      </c>
      <c r="DV296">
        <f>IF($DM296=0,"",IF($L$14=0,"",IFERROR(IF(ISNUMBER(INDEX(PASTE_ALL,$DF296,$L$14)),INDEX(PASTE_ALL,$DF296,$L$14),TRIM(SUBSTITUTE(SUBSTITUTE(SUBSTITUTE(SUBSTITUTE(INDEX(PASTE_ALL,$DF296,$L$14)," "," "),CHAR(9)," "),CHAR(10)," "),CHAR(13)," "))),"")))</f>
        <v/>
      </c>
      <c r="DW296">
        <f>IF($DM296=0,"",IF($L$15=0,"",IFERROR(IF(ISNUMBER(INDEX(PASTE_ALL,$DF296,$L$15)),INDEX(PASTE_ALL,$DF296,$L$15),IF(SUMPRODUCT(--ISNUMBER(FIND({"A","B","C","D","E","F","G","H","I","J","K","L","M","N","O","P","Q","R","S","T","U","V","W","X","Y","Z","0","1","2","3","4","5","6","7","8","9"},UPPER(TRIM(SUBSTITUTE(SUBSTITUTE(SUBSTITUTE(SUBSTITUTE(INDEX(PASTE_ALL,$DF296,$L$15)," "," "),CHAR(9)," "),CHAR(10)," "),CHAR(13)," "))))))&gt;0,TRIM(SUBSTITUTE(SUBSTITUTE(SUBSTITUTE(SUBSTITUTE(INDEX(PASTE_ALL,$DF296,$L$15)," "," "),CHAR(9)," "),CHAR(10)," "),CHAR(13)," ")),"")),"")))</f>
        <v/>
      </c>
      <c r="DX296">
        <f>IF($DM296=0,"",IF($L$16=0,"",IFERROR(IF(ISNUMBER(INDEX(PASTE_ALL,$DF296,$L$16)),INDEX(PASTE_ALL,$DF296,$L$16),SUBSTITUTE(SUBSTITUTE(TRIM(SUBSTITUTE(SUBSTITUTE(SUBSTITUTE(SUBSTITUTE(INDEX(PASTE_ALL,$DF296,$L$16)," "," "),CHAR(9)," "),CHAR(10)," "),CHAR(13)," ")),",",""),"%","")),"")))</f>
        <v/>
      </c>
      <c r="DY296">
        <f>IF($DM296=0,"",IFERROR(IF(ISNUMBER($DX296),$DX296,IF($DX296="","",IF(TRIM($DX296)="",0,IF(AND(AND(SUBSTITUTE(SUBSTITUTE(SUBSTITUTE(SUBSTITUTE(SUBSTITUTE(SUBSTITUTE(SUBSTITUTE(SUBSTITUTE(SUBSTITUTE(SUBSTITUTE(SUBSTITUTE(SUBSTITUTE(SUBSTITUTE(SUBSTITUTE(UPPER(TRIM($DX296)),"0",""),"1",""),"2",""),"3",""),"4",""),"5",""),"6",""),"7",""),"8",""),"9",""),".",""),"+",""),"-",""),"E","")="",LEN(SUBSTITUTE(SUBSTITUTE(MID(UPPER(TRIM($DX296)),1+OR(LEFT(UPPER(TRIM($DX296)),1)="+",LEFT(UPPER(TRIM($DX296)),1)="-"),999),"E+","E"),"E-","E"))=LEN(SUBSTITUTE(SUBSTITUTE(SUBSTITUTE(SUBSTITUTE(MID(UPPER(TRIM($DX296)),1+OR(LEFT(UPPER(TRIM($DX296)),1)="+",LEFT(UPPER(TRIM($DX296)),1)="-"),999),"E+","E"),"E-","E"),"+",""),"-","")),LEN(UPPER(TRIM($DX296)))-LEN(SUBSTITUTE(UPPER(TRIM($DX296)),"E",""))&lt;2,LEN(UPPER(TRIM($DX296)))-LEN(SUBSTITUTE(UPPER(TRIM($DX296)),".",""))&lt;2,IFERROR(FIND(".",UPPER(TRIM($DX296))),0)&lt;IFERROR(FIND("E",UPPER(TRIM($DX296))),999)),ISNUMBER(VALUE(TRIM($DX296)))),VALUE(TRIM($DX296)),"")))),""))</f>
        <v/>
      </c>
      <c r="DZ296">
        <f>IF($DM296=0,"",IF($L$17=0,"",IFERROR(IF(ISNUMBER(INDEX(PASTE_ALL,$DF296,$L$17)),INDEX(PASTE_ALL,$DF296,$L$17),SUBSTITUTE(SUBSTITUTE(TRIM(SUBSTITUTE(SUBSTITUTE(SUBSTITUTE(SUBSTITUTE(INDEX(PASTE_ALL,$DF296,$L$17)," "," "),CHAR(9)," "),CHAR(10)," "),CHAR(13)," ")),",",""),"%","")),"")))</f>
        <v/>
      </c>
      <c r="EA296">
        <f>IF($DM296=0,"",IFERROR(IF(ISNUMBER($DZ296),$DZ296,IF($DZ296="","",IF(TRIM($DZ296)="",0,IF(AND(AND(SUBSTITUTE(SUBSTITUTE(SUBSTITUTE(SUBSTITUTE(SUBSTITUTE(SUBSTITUTE(SUBSTITUTE(SUBSTITUTE(SUBSTITUTE(SUBSTITUTE(SUBSTITUTE(SUBSTITUTE(SUBSTITUTE(SUBSTITUTE(UPPER(TRIM($DZ296)),"0",""),"1",""),"2",""),"3",""),"4",""),"5",""),"6",""),"7",""),"8",""),"9",""),".",""),"+",""),"-",""),"E","")="",LEN(SUBSTITUTE(SUBSTITUTE(MID(UPPER(TRIM($DZ296)),1+OR(LEFT(UPPER(TRIM($DZ296)),1)="+",LEFT(UPPER(TRIM($DZ296)),1)="-"),999),"E+","E"),"E-","E"))=LEN(SUBSTITUTE(SUBSTITUTE(SUBSTITUTE(SUBSTITUTE(MID(UPPER(TRIM($DZ296)),1+OR(LEFT(UPPER(TRIM($DZ296)),1)="+",LEFT(UPPER(TRIM($DZ296)),1)="-"),999),"E+","E"),"E-","E"),"+",""),"-","")),LEN(UPPER(TRIM($DZ296)))-LEN(SUBSTITUTE(UPPER(TRIM($DZ296)),"E",""))&lt;2,LEN(UPPER(TRIM($DZ296)))-LEN(SUBSTITUTE(UPPER(TRIM($DZ296)),".",""))&lt;2,IFERROR(FIND(".",UPPER(TRIM($DZ296))),0)&lt;IFERROR(FIND("E",UPPER(TRIM($DZ296))),999)),ISNUMBER(VALUE(TRIM($DZ296)))),VALUE(TRIM($DZ296)),"")))),""))</f>
        <v/>
      </c>
      <c r="EB296">
        <f>IF($DM296=0,"",IF($L$18=0,"",IFERROR(IF(UPPER(TRIM(SUBSTITUTE(SUBSTITUTE(SUBSTITUTE(SUBSTITUTE(INDEX(PASTE_ALL,$DF296,$L$18)," "," "),CHAR(9)," "),CHAR(10)," "),CHAR(13)," ")))="READY","Ready",IF(UPPER(TRIM(SUBSTITUTE(SUBSTITUTE(SUBSTITUTE(SUBSTITUTE(INDEX(PASTE_ALL,$DF296,$L$18)," "," "),CHAR(9)," "),CHAR(10)," "),CHAR(13)," ")))="PM","PM",IF(OR(UPPER(TRIM(SUBSTITUTE(SUBSTITUTE(SUBSTITUTE(SUBSTITUTE(INDEX(PASTE_ALL,$DF296,$L$18)," "," "),CHAR(9)," "),CHAR(10)," "),CHAR(13)," ")))="OT",UPPER(TRIM(SUBSTITUTE(SUBSTITUTE(SUBSTITUTE(SUBSTITUTE(INDEX(PASTE_ALL,$DF296,$L$18)," "," "),CHAR(9)," "),CHAR(10)," "),CHAR(13)," ")))="OVERTIME",UPPER(TRIM(SUBSTITUTE(SUBSTITUTE(SUBSTITUTE(SUBSTITUTE(INDEX(PASTE_ALL,$DF296,$L$18)," "," "),CHAR(9)," "),CHAR(10)," "),CHAR(13)," ")))="TRIAL"),"OT",TRIM(SUBSTITUTE(SUBSTITUTE(SUBSTITUTE(SUBSTITUTE(INDEX(PASTE_ALL,$DF296,$L$18)," "," "),CHAR(9)," "),CHAR(10)," "),CHAR(13)," "))))),"")))</f>
        <v/>
      </c>
      <c r="EC296">
        <f>IF($DM296=0,"",IF($L$19=0,"",IFERROR(IF(ISNUMBER(INDEX(PASTE_ALL,$DF296,$L$19)),INDEX(PASTE_ALL,$DF296,$L$19),TRIM(SUBSTITUTE(SUBSTITUTE(SUBSTITUTE(SUBSTITUTE(INDEX(PASTE_ALL,$DF296,$L$19)," "," "),CHAR(9)," "),CHAR(10)," "),CHAR(13)," "))),"")))</f>
        <v/>
      </c>
      <c r="ED296">
        <f>IF($DM296=0,"",MATCH(1,INDEX(EXACT($DH$5:DH296,$DH296)*$DM$5:DM296,0),0))</f>
        <v/>
      </c>
      <c r="EE296">
        <f>IF($DM296=0,0,IF($ED296=$DE296,1,0))</f>
        <v/>
      </c>
      <c r="EF296">
        <f>EF295+$EE296</f>
        <v/>
      </c>
      <c r="EG296">
        <f>IF($DM296=0,"",INDEX($EF$5:$EF$1003,$ED296))</f>
        <v/>
      </c>
      <c r="EH296">
        <f>IF($DM296=0,"",IF($DO296&lt;&gt;"","",IFERROR(LOOKUP(2,1/(($EG$4:EG295=$EG296)*($DO$4:DO295&lt;&gt;"")),$DO$4:DO295),"")))</f>
        <v/>
      </c>
      <c r="EI296">
        <f>IF($DM296=0,"",IF($DO296&lt;&gt;"",$DO296,$EH296))</f>
        <v/>
      </c>
      <c r="EJ296">
        <f>IF($DM296=0,"",IF($EI296="",0,IF(OR(ISNUMBER($EI296),AND(AND(SUBSTITUTE(SUBSTITUTE(SUBSTITUTE(SUBSTITUTE(SUBSTITUTE(SUBSTITUTE(SUBSTITUTE(SUBSTITUTE(SUBSTITUTE(SUBSTITUTE(SUBSTITUTE(SUBSTITUTE(SUBSTITUTE(SUBSTITUTE(UPPER($EI296),"0",""),"1",""),"2",""),"3",""),"4",""),"5",""),"6",""),"7",""),"8",""),"9",""),".",""),"+",""),"-",""),"E","")="",LEN(SUBSTITUTE(SUBSTITUTE(MID(UPPER($EI296),1+OR(LEFT(UPPER($EI296),1)="+",LEFT(UPPER($EI296),1)="-"),999),"E+","E"),"E-","E"))=LEN(SUBSTITUTE(SUBSTITUTE(SUBSTITUTE(SUBSTITUTE(MID(UPPER($EI296),1+OR(LEFT(UPPER($EI296),1)="+",LEFT(UPPER($EI296),1)="-"),999),"E+","E"),"E-","E"),"+",""),"-","")),LEN(UPPER($EI296))-LEN(SUBSTITUTE(UPPER($EI296),"E",""))&lt;2,LEN(UPPER($EI296))-LEN(SUBSTITUTE(UPPER($EI296),".",""))&lt;2,IFERROR(FIND(".",UPPER($EI296)),0)&lt;IFERROR(FIND("E",UPPER($EI296)),999)),ISNUMBER(VALUE($EI296)))),1,2)))</f>
        <v/>
      </c>
      <c r="EK296">
        <f>IF($DM296=0,"",IF($EJ296=1,IF(ISNUMBER($EI296),$EI296,VALUE($EI296)),IF($EJ296=2,$DE296,0)))</f>
        <v/>
      </c>
      <c r="EL296">
        <f>IF($DM296=0,"",COUNTIF($EG$5:$EG$1003,"&lt;"&amp;$EG296)+SUMPRODUCT(($EG$5:$EG$1003=$EG296)*(($EJ$5:$EJ$1003&lt;$EJ296)+($EJ$5:$EJ$1003=$EJ296)*(($EK$5:$EK$1003&lt;$EK296)+($EK$5:$EK$1003=$EK296)*($DE$5:$DE$1003&lt;$DE296))))+1)</f>
        <v/>
      </c>
      <c r="EM296">
        <f>IF($DM296=0,"",$EL296+$EG296-1)</f>
        <v/>
      </c>
      <c r="EN296">
        <f>IF($DM296=0,0,IFERROR(MATCH(1,INDEX(--(TRIM(SUBSTITUTE(SUBSTITUTE(SUBSTITUTE(SUBSTITUTE(LINES_NAME&amp;""," "," "),CHAR(9)," "),CHAR(10)," "),CHAR(13)," "))=$DH296),0),0),0))</f>
        <v/>
      </c>
      <c r="EO296">
        <f>IF($EN296=0,0,IF(OR(UPPER(TRIM(INDEX(LINES_SCHEDULED,$EN296)&amp;""))="YES",UPPER(TRIM(INDEX(LINES_SCHEDULED,$EN296)&amp;""))="Y",UPPER(TRIM(INDEX(LINES_SCHEDULED,$EN296)&amp;""))="X"),1,0))</f>
        <v/>
      </c>
      <c r="EP296">
        <f>IF($DM296=0,"",IF(COUNTIFS($EG$5:$EG$1003,$EG296,$EB$5:$EB$1003,"Ready")&gt;0,"READY",IF(COUNTIFS($EG$5:$EG$1003,$EG296,$EB$5:$EB$1003,"PM")&gt;0,"PM",IF(COUNTIFS($EG$5:$EG$1003,$EG296,$EB$5:$EB$1003,"OT")&gt;0,"OT",""))))</f>
        <v/>
      </c>
      <c r="EQ296">
        <f>IF($EN296=0,"",UPPER(TRIM(INDEX(LINES_STATUS,$EN296)&amp;"")))</f>
        <v/>
      </c>
      <c r="ER296">
        <f>IF($DM296=0,"",IF(OR($EQ296="READY",$EQ296="PM",$EQ296="OT"),$EQ296,$EP296))</f>
        <v/>
      </c>
      <c r="ES296">
        <f>IF($DM296=0,"",IF(AND($DV296&lt;&gt;"",UPPER($DV296)&lt;&gt;"N"),"allergen",IF(ISNUMBER(SEARCH("oil",$DQ296)),"oil",IF(OR(EXACT($DS296,"A662"),EXACT($DS296,"A624")),"bulk",""))))</f>
        <v/>
      </c>
      <c r="ET296">
        <f>IF($DM296=0,"",IF(OR($EA296="",$EA296=0),"",$EA296/100))</f>
        <v/>
      </c>
      <c r="EU296">
        <f>IF(OR($ET296="",$DY296=""),"",INT($DY296*(1-$ET296)+0.5))</f>
        <v/>
      </c>
      <c r="EW296" t="n">
        <v>292</v>
      </c>
      <c r="EX296">
        <f>IFERROR(MATCH($EW296,$EM$5:$EM$1003,0),0)</f>
        <v/>
      </c>
      <c r="EY296">
        <f>IF($EW296&gt;$B$12,"",IF($EX296&gt;0,"row","spacer"))</f>
        <v/>
      </c>
      <c r="EZ296">
        <f>IF(AND($EY296="row",$EY295&lt;&gt;"row"),1,0)</f>
        <v/>
      </c>
      <c r="FA296">
        <f>IF(AND($EY296="row",$EY297&lt;&gt;"row"),1,0)</f>
        <v/>
      </c>
      <c r="FB296">
        <f>IF($EZ296=1,IFERROR(IF(ISNUMBER(INDEX(PASTE_ALL,INDEX($DF$5:$DF$1003,$EX296),$B$37)),INDEX(PASTE_ALL,INDEX($DF$5:$DF$1003,$EX296),$B$37),INDEX($DH$5:$DH$1003,$EX296)),INDEX($DH$5:$DH$1003,$EX296)),"")</f>
        <v/>
      </c>
      <c r="FC296">
        <f>IF($EY296="row",INDEX($ER$5:$ER$1003,$EX296),"")</f>
        <v/>
      </c>
      <c r="FD296">
        <f>IF($EY296="row",INDEX($DN$5:$DN$1003,$EX296),"")</f>
        <v/>
      </c>
      <c r="FE296">
        <f>IF($EY296="row",INDEX($DO$5:$DO$1003,$EX296),"")</f>
        <v/>
      </c>
      <c r="FF296">
        <f>IF($EY296="row",INDEX($DP$5:$DP$1003,$EX296),"")</f>
        <v/>
      </c>
      <c r="FG296">
        <f>IF($EY296="row",INDEX($DQ$5:$DQ$1003,$EX296),"")</f>
        <v/>
      </c>
      <c r="FH296">
        <f>IF($EY296="row",INDEX($DR$5:$DR$1003,$EX296),"")</f>
        <v/>
      </c>
      <c r="FI296">
        <f>IF($EY296="row",INDEX($DS$5:$DS$1003,$EX296),"")</f>
        <v/>
      </c>
      <c r="FJ296">
        <f>IF($EY296="row",INDEX($DT$5:$DT$1003,$EX296),"")</f>
        <v/>
      </c>
      <c r="FK296">
        <f>IF($EY296="row",INDEX($DU$5:$DU$1003,$EX296),"")</f>
        <v/>
      </c>
      <c r="FL296">
        <f>IF($EY296="row",INDEX($DV$5:$DV$1003,$EX296),"")</f>
        <v/>
      </c>
      <c r="FM296">
        <f>IF($EY296="row",INDEX($DW$5:$DW$1003,$EX296),"")</f>
        <v/>
      </c>
      <c r="FN296">
        <f>IF($EY296="row",INDEX($DY$5:$DY$1003,$EX296),"")</f>
        <v/>
      </c>
      <c r="FO296">
        <f>IF($EY296="row",INDEX($EA$5:$EA$1003,$EX296),"")</f>
        <v/>
      </c>
      <c r="FP296">
        <f>IF($EY296="row",INDEX($EC$5:$EC$1003,$EX296),"")</f>
        <v/>
      </c>
      <c r="FQ296">
        <f>IF($EY296="row",INDEX($ET$5:$ET$1003,$EX296),"")</f>
        <v/>
      </c>
      <c r="FR296">
        <f>IF($EY296="row",INDEX($EU$5:$EU$1003,$EX296),"")</f>
        <v/>
      </c>
      <c r="FS296">
        <f>IF(AND($EY296="row",$EY295="row"),IF(OR(INDEX($DT$5:$DT$1003,$EX295)="",INDEX($DT$5:$DT$1003,$EX296)=""),"",IF(NOT(EXACT(INDEX($DT$5:$DT$1003,$EX295),INDEX($DT$5:$DT$1003,$EX296))),"S4",IF(NOT(EXACT(INDEX($DS$5:$DS$1003,$EX295),INDEX($DS$5:$DS$1003,$EX296))),"S3",IF(NOT(EXACT(INDEX($DR$5:$DR$1003,$EX295),INDEX($DR$5:$DR$1003,$EX296))),"S1 Count Change","S1")))),"")</f>
        <v/>
      </c>
      <c r="FT296">
        <f>IF($EY296="row",INDEX($ES$5:$ES$1003,$EX296),"")</f>
        <v/>
      </c>
      <c r="FU296">
        <f>IF($EY296="row",INDEX($EO$5:$EO$1003,$EX296),0)</f>
        <v/>
      </c>
      <c r="FV296">
        <f>IF($FS296="S1 Count Change",1,0)</f>
        <v/>
      </c>
    </row>
    <row r="297">
      <c r="DA297" t="n">
        <v>293</v>
      </c>
      <c r="DB297">
        <f>IF($B$37=0,"",IFERROR(TRIM(SUBSTITUTE(SUBSTITUTE(SUBSTITUTE(SUBSTITUTE(INDEX(PASTE_ALL,293,$B$37)," "," "),CHAR(9)," "),CHAR(10)," "),CHAR(13)," ")),""))</f>
        <v/>
      </c>
      <c r="DC297">
        <f>IF(AND(293&gt;HEADER_ROW,UPPER(DB297)="LEGEND"),1,0)</f>
        <v/>
      </c>
      <c r="DE297" t="n">
        <v>293</v>
      </c>
      <c r="DF297">
        <f>HEADER_ROW+$DE297</f>
        <v/>
      </c>
      <c r="DG297">
        <f>IF(AND($DF297&lt;=1000,$DF297&lt;$B$8),1,0)</f>
        <v/>
      </c>
      <c r="DH297">
        <f>IF($DG297=1,IFERROR(INDEX($DB$5:$DB$1004,$DF297),""),"")</f>
        <v/>
      </c>
      <c r="DI297">
        <f>IF(AND($DG297=1,$DH297&lt;&gt;""),IFERROR(SUBSTITUTE(SUBSTITUTE(TRIM(SUBSTITUTE(SUBSTITUTE(SUBSTITUTE(SUBSTITUTE(IFERROR(INDEX(PASTE_ALL,$DF297,1)&amp;"","")&amp;"␟"&amp;IFERROR(INDEX(PASTE_ALL,$DF297,2)&amp;"","")&amp;"␟"&amp;IFERROR(INDEX(PASTE_ALL,$DF297,3)&amp;"","")&amp;"␟"&amp;IFERROR(INDEX(PASTE_ALL,$DF297,4)&amp;"","")&amp;"␟"&amp;IFERROR(INDEX(PASTE_ALL,$DF297,5)&amp;"","")&amp;"␟"&amp;IFERROR(INDEX(PASTE_ALL,$DF297,6)&amp;"","")&amp;"␟"&amp;IFERROR(INDEX(PASTE_ALL,$DF297,7)&amp;"","")&amp;"␟"&amp;IFERROR(INDEX(PASTE_ALL,$DF297,8)&amp;"","")&amp;"␟"&amp;IFERROR(INDEX(PASTE_ALL,$DF297,9)&amp;"","")&amp;"␟"&amp;IFERROR(INDEX(PASTE_ALL,$DF297,10)&amp;"","")&amp;"␟"&amp;IFERROR(INDEX(PASTE_ALL,$DF297,11)&amp;"","")&amp;"␟"&amp;IFERROR(INDEX(PASTE_ALL,$DF297,12)&amp;"","")&amp;"␟"&amp;IFERROR(INDEX(PASTE_ALL,$DF297,13)&amp;"","")&amp;"␟"&amp;IFERROR(INDEX(PASTE_ALL,$DF297,14)&amp;"","")&amp;"␟"&amp;IFERROR(INDEX(PASTE_ALL,$DF297,15)&amp;"","")&amp;"␟"&amp;IFERROR(INDEX(PASTE_ALL,$DF297,16)&amp;"","")&amp;"␟"&amp;IFERROR(INDEX(PASTE_ALL,$DF297,17)&amp;"","")&amp;"␟"&amp;IFERROR(INDEX(PASTE_ALL,$DF297,18)&amp;"","")&amp;"␟"&amp;IFERROR(INDEX(PASTE_ALL,$DF297,19)&amp;"","")&amp;"␟"&amp;IFERROR(INDEX(PASTE_ALL,$DF297,20)&amp;"","")&amp;"␟"&amp;IFERROR(INDEX(PASTE_ALL,$DF297,21)&amp;"","")&amp;"␟"&amp;IFERROR(INDEX(PASTE_ALL,$DF297,22)&amp;"","")&amp;"␟"&amp;IFERROR(INDEX(PASTE_ALL,$DF297,23)&amp;"","")&amp;"␟"&amp;IFERROR(INDEX(PASTE_ALL,$DF297,24)&amp;"","")&amp;"␟"&amp;IFERROR(INDEX(PASTE_ALL,$DF297,25)&amp;"","")&amp;"␟"&amp;IFERROR(INDEX(PASTE_ALL,$DF297,26)&amp;"","")&amp;"␟"&amp;IFERROR(INDEX(PASTE_ALL,$DF297,27)&amp;"","")&amp;"␟"&amp;IFERROR(INDEX(PASTE_ALL,$DF297,28)&amp;"","")&amp;"␟"&amp;IFERROR(INDEX(PASTE_ALL,$DF297,29)&amp;"","")&amp;"␟"&amp;IFERROR(INDEX(PASTE_ALL,$DF297,30)&amp;"","")&amp;"␟"&amp;IFERROR(INDEX(PASTE_ALL,$DF297,31)&amp;"","")&amp;"␟"&amp;IFERROR(INDEX(PASTE_ALL,$DF297,32)&amp;"","")&amp;"␟"&amp;IFERROR(INDEX(PASTE_ALL,$DF297,33)&amp;"","")&amp;"␟"&amp;IFERROR(INDEX(PASTE_ALL,$DF297,34)&amp;"","")&amp;"␟"&amp;IFERROR(INDEX(PASTE_ALL,$DF297,35)&amp;"","")&amp;"␟"&amp;IFERROR(INDEX(PASTE_ALL,$DF297,36)&amp;"","")&amp;"␟"&amp;IFERROR(INDEX(PASTE_ALL,$DF297,37)&amp;"","")&amp;"␟"&amp;IFERROR(INDEX(PASTE_ALL,$DF297,38)&amp;"","")&amp;"␟"&amp;IFERROR(INDEX(PASTE_ALL,$DF297,39)&amp;"","")&amp;"␟"&amp;IFERROR(INDEX(PASTE_ALL,$DF297,40)&amp;"","")&amp;"␟"&amp;IFERROR(INDEX(PASTE_ALL,$DF297,41)&amp;"","")&amp;"␟"&amp;IFERROR(INDEX(PASTE_ALL,$DF297,42)&amp;"","")&amp;"␟"&amp;IFERROR(INDEX(PASTE_ALL,$DF297,43)&amp;"","")&amp;"␟"&amp;IFERROR(INDEX(PASTE_ALL,$DF297,44)&amp;"","")&amp;"␟"&amp;IFERROR(INDEX(PASTE_ALL,$DF297,45)&amp;"","")&amp;"␟"&amp;IFERROR(INDEX(PASTE_ALL,$DF297,46)&amp;"","")&amp;"␟"&amp;IFERROR(INDEX(PASTE_ALL,$DF297,47)&amp;"","")&amp;"␟"&amp;IFERROR(INDEX(PASTE_ALL,$DF297,48)&amp;"","")&amp;"␟"&amp;IFERROR(INDEX(PASTE_ALL,$DF297,49)&amp;"","")&amp;"␟"&amp;IFERROR(INDEX(PASTE_ALL,$DF297,50)&amp;"","")&amp;"␟"&amp;IFERROR(INDEX(PASTE_ALL,$DF297,51)&amp;"","")&amp;"␟"&amp;IFERROR(INDEX(PASTE_ALL,$DF297,52)&amp;"","")&amp;"␟"&amp;IFERROR(INDEX(PASTE_ALL,$DF297,53)&amp;"","")&amp;"␟"&amp;IFERROR(INDEX(PASTE_ALL,$DF297,54)&amp;"","")&amp;"␟"&amp;IFERROR(INDEX(PASTE_ALL,$DF297,55)&amp;"","")&amp;"␟"&amp;IFERROR(INDEX(PASTE_ALL,$DF297,56)&amp;"","")&amp;"␟"&amp;IFERROR(INDEX(PASTE_ALL,$DF297,57)&amp;"","")&amp;"␟"&amp;IFERROR(INDEX(PASTE_ALL,$DF297,58)&amp;"","")&amp;"␟"&amp;IFERROR(INDEX(PASTE_ALL,$DF297,59)&amp;"","")&amp;"␟"&amp;IFERROR(INDEX(PASTE_ALL,$DF297,60)&amp;"","")," "," "),CHAR(9)," "),CHAR(10)," "),CHAR(13)," "))," ␟","␟"),"␟ ","␟"),"#"&amp;$DE297),"")</f>
        <v/>
      </c>
      <c r="DJ297">
        <f>IF($DI297="",0,IF(SUMPRODUCT(--EXACT($DI$4:DI296,$DI297))&gt;0,1,0))</f>
        <v/>
      </c>
      <c r="DK297">
        <f>IF(AND($DI297&lt;&gt;"",$DJ297=0),1,0)</f>
        <v/>
      </c>
      <c r="DL297">
        <f>DL296+$DK297</f>
        <v/>
      </c>
      <c r="DM297">
        <f>IF(AND($DK297=1,$DL297&lt;=600),1,0)</f>
        <v/>
      </c>
      <c r="DN297">
        <f>IF($DM297=0,"",IF($L$6=0,"",IFERROR(IF(ISNUMBER(INDEX(PASTE_ALL,$DF297,$L$6)),INDEX(PASTE_ALL,$DF297,$L$6),TRIM(SUBSTITUTE(SUBSTITUTE(SUBSTITUTE(SUBSTITUTE(INDEX(PASTE_ALL,$DF297,$L$6)," "," "),CHAR(9)," "),CHAR(10)," "),CHAR(13)," "))),"")))</f>
        <v/>
      </c>
      <c r="DO297">
        <f>IF($DM297=0,"",IF($L$7=0,"",IFERROR(IF(ISNUMBER(INDEX(PASTE_ALL,$DF297,$L$7)),INDEX(PASTE_ALL,$DF297,$L$7),TRIM(SUBSTITUTE(SUBSTITUTE(SUBSTITUTE(SUBSTITUTE(INDEX(PASTE_ALL,$DF297,$L$7)," "," "),CHAR(9)," "),CHAR(10)," "),CHAR(13)," "))),"")))</f>
        <v/>
      </c>
      <c r="DP297">
        <f>IF($DM297=0,"",IF($L$8=0,"",IFERROR(IF(ISNUMBER(INDEX(PASTE_ALL,$DF297,$L$8)),INDEX(PASTE_ALL,$DF297,$L$8),TRIM(SUBSTITUTE(SUBSTITUTE(SUBSTITUTE(SUBSTITUTE(INDEX(PASTE_ALL,$DF297,$L$8)," "," "),CHAR(9)," "),CHAR(10)," "),CHAR(13)," "))),"")))</f>
        <v/>
      </c>
      <c r="DQ297">
        <f>IF($DM297=0,"",IF($L$9=0,"",IFERROR(IF(ISNUMBER(INDEX(PASTE_ALL,$DF297,$L$9)),INDEX(PASTE_ALL,$DF297,$L$9),TRIM(SUBSTITUTE(SUBSTITUTE(SUBSTITUTE(SUBSTITUTE(INDEX(PASTE_ALL,$DF297,$L$9)," "," "),CHAR(9)," "),CHAR(10)," "),CHAR(13)," "))),"")))</f>
        <v/>
      </c>
      <c r="DR297">
        <f>IF($DM297=0,"",IF($L$10=0,"",IFERROR(IF(ISNUMBER(INDEX(PASTE_ALL,$DF297,$L$10)),INDEX(PASTE_ALL,$DF297,$L$10),TRIM(SUBSTITUTE(SUBSTITUTE(SUBSTITUTE(SUBSTITUTE(INDEX(PASTE_ALL,$DF297,$L$10)," "," "),CHAR(9)," "),CHAR(10)," "),CHAR(13)," "))),"")))</f>
        <v/>
      </c>
      <c r="DS297">
        <f>IF($DM297=0,"",IF($L$11=0,"",IFERROR(IF(ISNUMBER(INDEX(PASTE_ALL,$DF297,$L$11)),INDEX(PASTE_ALL,$DF297,$L$11),TRIM(SUBSTITUTE(SUBSTITUTE(SUBSTITUTE(SUBSTITUTE(INDEX(PASTE_ALL,$DF297,$L$11)," "," "),CHAR(9)," "),CHAR(10)," "),CHAR(13)," "))),"")))</f>
        <v/>
      </c>
      <c r="DT297">
        <f>IF($DM297=0,"",IF($L$12=0,"",IFERROR(IF(ISNUMBER(INDEX(PASTE_ALL,$DF297,$L$12)),INDEX(PASTE_ALL,$DF297,$L$12),TRIM(SUBSTITUTE(SUBSTITUTE(SUBSTITUTE(SUBSTITUTE(INDEX(PASTE_ALL,$DF297,$L$12)," "," "),CHAR(9)," "),CHAR(10)," "),CHAR(13)," "))),"")))</f>
        <v/>
      </c>
      <c r="DU297">
        <f>IF($DM297=0,"",IF($L$13=0,"",IFERROR(IF(ISNUMBER(INDEX(PASTE_ALL,$DF297,$L$13)),INDEX(PASTE_ALL,$DF297,$L$13),TRIM(SUBSTITUTE(SUBSTITUTE(SUBSTITUTE(SUBSTITUTE(INDEX(PASTE_ALL,$DF297,$L$13)," "," "),CHAR(9)," "),CHAR(10)," "),CHAR(13)," "))),"")))</f>
        <v/>
      </c>
      <c r="DV297">
        <f>IF($DM297=0,"",IF($L$14=0,"",IFERROR(IF(ISNUMBER(INDEX(PASTE_ALL,$DF297,$L$14)),INDEX(PASTE_ALL,$DF297,$L$14),TRIM(SUBSTITUTE(SUBSTITUTE(SUBSTITUTE(SUBSTITUTE(INDEX(PASTE_ALL,$DF297,$L$14)," "," "),CHAR(9)," "),CHAR(10)," "),CHAR(13)," "))),"")))</f>
        <v/>
      </c>
      <c r="DW297">
        <f>IF($DM297=0,"",IF($L$15=0,"",IFERROR(IF(ISNUMBER(INDEX(PASTE_ALL,$DF297,$L$15)),INDEX(PASTE_ALL,$DF297,$L$15),IF(SUMPRODUCT(--ISNUMBER(FIND({"A","B","C","D","E","F","G","H","I","J","K","L","M","N","O","P","Q","R","S","T","U","V","W","X","Y","Z","0","1","2","3","4","5","6","7","8","9"},UPPER(TRIM(SUBSTITUTE(SUBSTITUTE(SUBSTITUTE(SUBSTITUTE(INDEX(PASTE_ALL,$DF297,$L$15)," "," "),CHAR(9)," "),CHAR(10)," "),CHAR(13)," "))))))&gt;0,TRIM(SUBSTITUTE(SUBSTITUTE(SUBSTITUTE(SUBSTITUTE(INDEX(PASTE_ALL,$DF297,$L$15)," "," "),CHAR(9)," "),CHAR(10)," "),CHAR(13)," ")),"")),"")))</f>
        <v/>
      </c>
      <c r="DX297">
        <f>IF($DM297=0,"",IF($L$16=0,"",IFERROR(IF(ISNUMBER(INDEX(PASTE_ALL,$DF297,$L$16)),INDEX(PASTE_ALL,$DF297,$L$16),SUBSTITUTE(SUBSTITUTE(TRIM(SUBSTITUTE(SUBSTITUTE(SUBSTITUTE(SUBSTITUTE(INDEX(PASTE_ALL,$DF297,$L$16)," "," "),CHAR(9)," "),CHAR(10)," "),CHAR(13)," ")),",",""),"%","")),"")))</f>
        <v/>
      </c>
      <c r="DY297">
        <f>IF($DM297=0,"",IFERROR(IF(ISNUMBER($DX297),$DX297,IF($DX297="","",IF(TRIM($DX297)="",0,IF(AND(AND(SUBSTITUTE(SUBSTITUTE(SUBSTITUTE(SUBSTITUTE(SUBSTITUTE(SUBSTITUTE(SUBSTITUTE(SUBSTITUTE(SUBSTITUTE(SUBSTITUTE(SUBSTITUTE(SUBSTITUTE(SUBSTITUTE(SUBSTITUTE(UPPER(TRIM($DX297)),"0",""),"1",""),"2",""),"3",""),"4",""),"5",""),"6",""),"7",""),"8",""),"9",""),".",""),"+",""),"-",""),"E","")="",LEN(SUBSTITUTE(SUBSTITUTE(MID(UPPER(TRIM($DX297)),1+OR(LEFT(UPPER(TRIM($DX297)),1)="+",LEFT(UPPER(TRIM($DX297)),1)="-"),999),"E+","E"),"E-","E"))=LEN(SUBSTITUTE(SUBSTITUTE(SUBSTITUTE(SUBSTITUTE(MID(UPPER(TRIM($DX297)),1+OR(LEFT(UPPER(TRIM($DX297)),1)="+",LEFT(UPPER(TRIM($DX297)),1)="-"),999),"E+","E"),"E-","E"),"+",""),"-","")),LEN(UPPER(TRIM($DX297)))-LEN(SUBSTITUTE(UPPER(TRIM($DX297)),"E",""))&lt;2,LEN(UPPER(TRIM($DX297)))-LEN(SUBSTITUTE(UPPER(TRIM($DX297)),".",""))&lt;2,IFERROR(FIND(".",UPPER(TRIM($DX297))),0)&lt;IFERROR(FIND("E",UPPER(TRIM($DX297))),999)),ISNUMBER(VALUE(TRIM($DX297)))),VALUE(TRIM($DX297)),"")))),""))</f>
        <v/>
      </c>
      <c r="DZ297">
        <f>IF($DM297=0,"",IF($L$17=0,"",IFERROR(IF(ISNUMBER(INDEX(PASTE_ALL,$DF297,$L$17)),INDEX(PASTE_ALL,$DF297,$L$17),SUBSTITUTE(SUBSTITUTE(TRIM(SUBSTITUTE(SUBSTITUTE(SUBSTITUTE(SUBSTITUTE(INDEX(PASTE_ALL,$DF297,$L$17)," "," "),CHAR(9)," "),CHAR(10)," "),CHAR(13)," ")),",",""),"%","")),"")))</f>
        <v/>
      </c>
      <c r="EA297">
        <f>IF($DM297=0,"",IFERROR(IF(ISNUMBER($DZ297),$DZ297,IF($DZ297="","",IF(TRIM($DZ297)="",0,IF(AND(AND(SUBSTITUTE(SUBSTITUTE(SUBSTITUTE(SUBSTITUTE(SUBSTITUTE(SUBSTITUTE(SUBSTITUTE(SUBSTITUTE(SUBSTITUTE(SUBSTITUTE(SUBSTITUTE(SUBSTITUTE(SUBSTITUTE(SUBSTITUTE(UPPER(TRIM($DZ297)),"0",""),"1",""),"2",""),"3",""),"4",""),"5",""),"6",""),"7",""),"8",""),"9",""),".",""),"+",""),"-",""),"E","")="",LEN(SUBSTITUTE(SUBSTITUTE(MID(UPPER(TRIM($DZ297)),1+OR(LEFT(UPPER(TRIM($DZ297)),1)="+",LEFT(UPPER(TRIM($DZ297)),1)="-"),999),"E+","E"),"E-","E"))=LEN(SUBSTITUTE(SUBSTITUTE(SUBSTITUTE(SUBSTITUTE(MID(UPPER(TRIM($DZ297)),1+OR(LEFT(UPPER(TRIM($DZ297)),1)="+",LEFT(UPPER(TRIM($DZ297)),1)="-"),999),"E+","E"),"E-","E"),"+",""),"-","")),LEN(UPPER(TRIM($DZ297)))-LEN(SUBSTITUTE(UPPER(TRIM($DZ297)),"E",""))&lt;2,LEN(UPPER(TRIM($DZ297)))-LEN(SUBSTITUTE(UPPER(TRIM($DZ297)),".",""))&lt;2,IFERROR(FIND(".",UPPER(TRIM($DZ297))),0)&lt;IFERROR(FIND("E",UPPER(TRIM($DZ297))),999)),ISNUMBER(VALUE(TRIM($DZ297)))),VALUE(TRIM($DZ297)),"")))),""))</f>
        <v/>
      </c>
      <c r="EB297">
        <f>IF($DM297=0,"",IF($L$18=0,"",IFERROR(IF(UPPER(TRIM(SUBSTITUTE(SUBSTITUTE(SUBSTITUTE(SUBSTITUTE(INDEX(PASTE_ALL,$DF297,$L$18)," "," "),CHAR(9)," "),CHAR(10)," "),CHAR(13)," ")))="READY","Ready",IF(UPPER(TRIM(SUBSTITUTE(SUBSTITUTE(SUBSTITUTE(SUBSTITUTE(INDEX(PASTE_ALL,$DF297,$L$18)," "," "),CHAR(9)," "),CHAR(10)," "),CHAR(13)," ")))="PM","PM",IF(OR(UPPER(TRIM(SUBSTITUTE(SUBSTITUTE(SUBSTITUTE(SUBSTITUTE(INDEX(PASTE_ALL,$DF297,$L$18)," "," "),CHAR(9)," "),CHAR(10)," "),CHAR(13)," ")))="OT",UPPER(TRIM(SUBSTITUTE(SUBSTITUTE(SUBSTITUTE(SUBSTITUTE(INDEX(PASTE_ALL,$DF297,$L$18)," "," "),CHAR(9)," "),CHAR(10)," "),CHAR(13)," ")))="OVERTIME",UPPER(TRIM(SUBSTITUTE(SUBSTITUTE(SUBSTITUTE(SUBSTITUTE(INDEX(PASTE_ALL,$DF297,$L$18)," "," "),CHAR(9)," "),CHAR(10)," "),CHAR(13)," ")))="TRIAL"),"OT",TRIM(SUBSTITUTE(SUBSTITUTE(SUBSTITUTE(SUBSTITUTE(INDEX(PASTE_ALL,$DF297,$L$18)," "," "),CHAR(9)," "),CHAR(10)," "),CHAR(13)," "))))),"")))</f>
        <v/>
      </c>
      <c r="EC297">
        <f>IF($DM297=0,"",IF($L$19=0,"",IFERROR(IF(ISNUMBER(INDEX(PASTE_ALL,$DF297,$L$19)),INDEX(PASTE_ALL,$DF297,$L$19),TRIM(SUBSTITUTE(SUBSTITUTE(SUBSTITUTE(SUBSTITUTE(INDEX(PASTE_ALL,$DF297,$L$19)," "," "),CHAR(9)," "),CHAR(10)," "),CHAR(13)," "))),"")))</f>
        <v/>
      </c>
      <c r="ED297">
        <f>IF($DM297=0,"",MATCH(1,INDEX(EXACT($DH$5:DH297,$DH297)*$DM$5:DM297,0),0))</f>
        <v/>
      </c>
      <c r="EE297">
        <f>IF($DM297=0,0,IF($ED297=$DE297,1,0))</f>
        <v/>
      </c>
      <c r="EF297">
        <f>EF296+$EE297</f>
        <v/>
      </c>
      <c r="EG297">
        <f>IF($DM297=0,"",INDEX($EF$5:$EF$1003,$ED297))</f>
        <v/>
      </c>
      <c r="EH297">
        <f>IF($DM297=0,"",IF($DO297&lt;&gt;"","",IFERROR(LOOKUP(2,1/(($EG$4:EG296=$EG297)*($DO$4:DO296&lt;&gt;"")),$DO$4:DO296),"")))</f>
        <v/>
      </c>
      <c r="EI297">
        <f>IF($DM297=0,"",IF($DO297&lt;&gt;"",$DO297,$EH297))</f>
        <v/>
      </c>
      <c r="EJ297">
        <f>IF($DM297=0,"",IF($EI297="",0,IF(OR(ISNUMBER($EI297),AND(AND(SUBSTITUTE(SUBSTITUTE(SUBSTITUTE(SUBSTITUTE(SUBSTITUTE(SUBSTITUTE(SUBSTITUTE(SUBSTITUTE(SUBSTITUTE(SUBSTITUTE(SUBSTITUTE(SUBSTITUTE(SUBSTITUTE(SUBSTITUTE(UPPER($EI297),"0",""),"1",""),"2",""),"3",""),"4",""),"5",""),"6",""),"7",""),"8",""),"9",""),".",""),"+",""),"-",""),"E","")="",LEN(SUBSTITUTE(SUBSTITUTE(MID(UPPER($EI297),1+OR(LEFT(UPPER($EI297),1)="+",LEFT(UPPER($EI297),1)="-"),999),"E+","E"),"E-","E"))=LEN(SUBSTITUTE(SUBSTITUTE(SUBSTITUTE(SUBSTITUTE(MID(UPPER($EI297),1+OR(LEFT(UPPER($EI297),1)="+",LEFT(UPPER($EI297),1)="-"),999),"E+","E"),"E-","E"),"+",""),"-","")),LEN(UPPER($EI297))-LEN(SUBSTITUTE(UPPER($EI297),"E",""))&lt;2,LEN(UPPER($EI297))-LEN(SUBSTITUTE(UPPER($EI297),".",""))&lt;2,IFERROR(FIND(".",UPPER($EI297)),0)&lt;IFERROR(FIND("E",UPPER($EI297)),999)),ISNUMBER(VALUE($EI297)))),1,2)))</f>
        <v/>
      </c>
      <c r="EK297">
        <f>IF($DM297=0,"",IF($EJ297=1,IF(ISNUMBER($EI297),$EI297,VALUE($EI297)),IF($EJ297=2,$DE297,0)))</f>
        <v/>
      </c>
      <c r="EL297">
        <f>IF($DM297=0,"",COUNTIF($EG$5:$EG$1003,"&lt;"&amp;$EG297)+SUMPRODUCT(($EG$5:$EG$1003=$EG297)*(($EJ$5:$EJ$1003&lt;$EJ297)+($EJ$5:$EJ$1003=$EJ297)*(($EK$5:$EK$1003&lt;$EK297)+($EK$5:$EK$1003=$EK297)*($DE$5:$DE$1003&lt;$DE297))))+1)</f>
        <v/>
      </c>
      <c r="EM297">
        <f>IF($DM297=0,"",$EL297+$EG297-1)</f>
        <v/>
      </c>
      <c r="EN297">
        <f>IF($DM297=0,0,IFERROR(MATCH(1,INDEX(--(TRIM(SUBSTITUTE(SUBSTITUTE(SUBSTITUTE(SUBSTITUTE(LINES_NAME&amp;""," "," "),CHAR(9)," "),CHAR(10)," "),CHAR(13)," "))=$DH297),0),0),0))</f>
        <v/>
      </c>
      <c r="EO297">
        <f>IF($EN297=0,0,IF(OR(UPPER(TRIM(INDEX(LINES_SCHEDULED,$EN297)&amp;""))="YES",UPPER(TRIM(INDEX(LINES_SCHEDULED,$EN297)&amp;""))="Y",UPPER(TRIM(INDEX(LINES_SCHEDULED,$EN297)&amp;""))="X"),1,0))</f>
        <v/>
      </c>
      <c r="EP297">
        <f>IF($DM297=0,"",IF(COUNTIFS($EG$5:$EG$1003,$EG297,$EB$5:$EB$1003,"Ready")&gt;0,"READY",IF(COUNTIFS($EG$5:$EG$1003,$EG297,$EB$5:$EB$1003,"PM")&gt;0,"PM",IF(COUNTIFS($EG$5:$EG$1003,$EG297,$EB$5:$EB$1003,"OT")&gt;0,"OT",""))))</f>
        <v/>
      </c>
      <c r="EQ297">
        <f>IF($EN297=0,"",UPPER(TRIM(INDEX(LINES_STATUS,$EN297)&amp;"")))</f>
        <v/>
      </c>
      <c r="ER297">
        <f>IF($DM297=0,"",IF(OR($EQ297="READY",$EQ297="PM",$EQ297="OT"),$EQ297,$EP297))</f>
        <v/>
      </c>
      <c r="ES297">
        <f>IF($DM297=0,"",IF(AND($DV297&lt;&gt;"",UPPER($DV297)&lt;&gt;"N"),"allergen",IF(ISNUMBER(SEARCH("oil",$DQ297)),"oil",IF(OR(EXACT($DS297,"A662"),EXACT($DS297,"A624")),"bulk",""))))</f>
        <v/>
      </c>
      <c r="ET297">
        <f>IF($DM297=0,"",IF(OR($EA297="",$EA297=0),"",$EA297/100))</f>
        <v/>
      </c>
      <c r="EU297">
        <f>IF(OR($ET297="",$DY297=""),"",INT($DY297*(1-$ET297)+0.5))</f>
        <v/>
      </c>
      <c r="EW297" t="n">
        <v>293</v>
      </c>
      <c r="EX297">
        <f>IFERROR(MATCH($EW297,$EM$5:$EM$1003,0),0)</f>
        <v/>
      </c>
      <c r="EY297">
        <f>IF($EW297&gt;$B$12,"",IF($EX297&gt;0,"row","spacer"))</f>
        <v/>
      </c>
      <c r="EZ297">
        <f>IF(AND($EY297="row",$EY296&lt;&gt;"row"),1,0)</f>
        <v/>
      </c>
      <c r="FA297">
        <f>IF(AND($EY297="row",$EY298&lt;&gt;"row"),1,0)</f>
        <v/>
      </c>
      <c r="FB297">
        <f>IF($EZ297=1,IFERROR(IF(ISNUMBER(INDEX(PASTE_ALL,INDEX($DF$5:$DF$1003,$EX297),$B$37)),INDEX(PASTE_ALL,INDEX($DF$5:$DF$1003,$EX297),$B$37),INDEX($DH$5:$DH$1003,$EX297)),INDEX($DH$5:$DH$1003,$EX297)),"")</f>
        <v/>
      </c>
      <c r="FC297">
        <f>IF($EY297="row",INDEX($ER$5:$ER$1003,$EX297),"")</f>
        <v/>
      </c>
      <c r="FD297">
        <f>IF($EY297="row",INDEX($DN$5:$DN$1003,$EX297),"")</f>
        <v/>
      </c>
      <c r="FE297">
        <f>IF($EY297="row",INDEX($DO$5:$DO$1003,$EX297),"")</f>
        <v/>
      </c>
      <c r="FF297">
        <f>IF($EY297="row",INDEX($DP$5:$DP$1003,$EX297),"")</f>
        <v/>
      </c>
      <c r="FG297">
        <f>IF($EY297="row",INDEX($DQ$5:$DQ$1003,$EX297),"")</f>
        <v/>
      </c>
      <c r="FH297">
        <f>IF($EY297="row",INDEX($DR$5:$DR$1003,$EX297),"")</f>
        <v/>
      </c>
      <c r="FI297">
        <f>IF($EY297="row",INDEX($DS$5:$DS$1003,$EX297),"")</f>
        <v/>
      </c>
      <c r="FJ297">
        <f>IF($EY297="row",INDEX($DT$5:$DT$1003,$EX297),"")</f>
        <v/>
      </c>
      <c r="FK297">
        <f>IF($EY297="row",INDEX($DU$5:$DU$1003,$EX297),"")</f>
        <v/>
      </c>
      <c r="FL297">
        <f>IF($EY297="row",INDEX($DV$5:$DV$1003,$EX297),"")</f>
        <v/>
      </c>
      <c r="FM297">
        <f>IF($EY297="row",INDEX($DW$5:$DW$1003,$EX297),"")</f>
        <v/>
      </c>
      <c r="FN297">
        <f>IF($EY297="row",INDEX($DY$5:$DY$1003,$EX297),"")</f>
        <v/>
      </c>
      <c r="FO297">
        <f>IF($EY297="row",INDEX($EA$5:$EA$1003,$EX297),"")</f>
        <v/>
      </c>
      <c r="FP297">
        <f>IF($EY297="row",INDEX($EC$5:$EC$1003,$EX297),"")</f>
        <v/>
      </c>
      <c r="FQ297">
        <f>IF($EY297="row",INDEX($ET$5:$ET$1003,$EX297),"")</f>
        <v/>
      </c>
      <c r="FR297">
        <f>IF($EY297="row",INDEX($EU$5:$EU$1003,$EX297),"")</f>
        <v/>
      </c>
      <c r="FS297">
        <f>IF(AND($EY297="row",$EY296="row"),IF(OR(INDEX($DT$5:$DT$1003,$EX296)="",INDEX($DT$5:$DT$1003,$EX297)=""),"",IF(NOT(EXACT(INDEX($DT$5:$DT$1003,$EX296),INDEX($DT$5:$DT$1003,$EX297))),"S4",IF(NOT(EXACT(INDEX($DS$5:$DS$1003,$EX296),INDEX($DS$5:$DS$1003,$EX297))),"S3",IF(NOT(EXACT(INDEX($DR$5:$DR$1003,$EX296),INDEX($DR$5:$DR$1003,$EX297))),"S1 Count Change","S1")))),"")</f>
        <v/>
      </c>
      <c r="FT297">
        <f>IF($EY297="row",INDEX($ES$5:$ES$1003,$EX297),"")</f>
        <v/>
      </c>
      <c r="FU297">
        <f>IF($EY297="row",INDEX($EO$5:$EO$1003,$EX297),0)</f>
        <v/>
      </c>
      <c r="FV297">
        <f>IF($FS297="S1 Count Change",1,0)</f>
        <v/>
      </c>
    </row>
    <row r="298">
      <c r="DA298" t="n">
        <v>294</v>
      </c>
      <c r="DB298">
        <f>IF($B$37=0,"",IFERROR(TRIM(SUBSTITUTE(SUBSTITUTE(SUBSTITUTE(SUBSTITUTE(INDEX(PASTE_ALL,294,$B$37)," "," "),CHAR(9)," "),CHAR(10)," "),CHAR(13)," ")),""))</f>
        <v/>
      </c>
      <c r="DC298">
        <f>IF(AND(294&gt;HEADER_ROW,UPPER(DB298)="LEGEND"),1,0)</f>
        <v/>
      </c>
      <c r="DE298" t="n">
        <v>294</v>
      </c>
      <c r="DF298">
        <f>HEADER_ROW+$DE298</f>
        <v/>
      </c>
      <c r="DG298">
        <f>IF(AND($DF298&lt;=1000,$DF298&lt;$B$8),1,0)</f>
        <v/>
      </c>
      <c r="DH298">
        <f>IF($DG298=1,IFERROR(INDEX($DB$5:$DB$1004,$DF298),""),"")</f>
        <v/>
      </c>
      <c r="DI298">
        <f>IF(AND($DG298=1,$DH298&lt;&gt;""),IFERROR(SUBSTITUTE(SUBSTITUTE(TRIM(SUBSTITUTE(SUBSTITUTE(SUBSTITUTE(SUBSTITUTE(IFERROR(INDEX(PASTE_ALL,$DF298,1)&amp;"","")&amp;"␟"&amp;IFERROR(INDEX(PASTE_ALL,$DF298,2)&amp;"","")&amp;"␟"&amp;IFERROR(INDEX(PASTE_ALL,$DF298,3)&amp;"","")&amp;"␟"&amp;IFERROR(INDEX(PASTE_ALL,$DF298,4)&amp;"","")&amp;"␟"&amp;IFERROR(INDEX(PASTE_ALL,$DF298,5)&amp;"","")&amp;"␟"&amp;IFERROR(INDEX(PASTE_ALL,$DF298,6)&amp;"","")&amp;"␟"&amp;IFERROR(INDEX(PASTE_ALL,$DF298,7)&amp;"","")&amp;"␟"&amp;IFERROR(INDEX(PASTE_ALL,$DF298,8)&amp;"","")&amp;"␟"&amp;IFERROR(INDEX(PASTE_ALL,$DF298,9)&amp;"","")&amp;"␟"&amp;IFERROR(INDEX(PASTE_ALL,$DF298,10)&amp;"","")&amp;"␟"&amp;IFERROR(INDEX(PASTE_ALL,$DF298,11)&amp;"","")&amp;"␟"&amp;IFERROR(INDEX(PASTE_ALL,$DF298,12)&amp;"","")&amp;"␟"&amp;IFERROR(INDEX(PASTE_ALL,$DF298,13)&amp;"","")&amp;"␟"&amp;IFERROR(INDEX(PASTE_ALL,$DF298,14)&amp;"","")&amp;"␟"&amp;IFERROR(INDEX(PASTE_ALL,$DF298,15)&amp;"","")&amp;"␟"&amp;IFERROR(INDEX(PASTE_ALL,$DF298,16)&amp;"","")&amp;"␟"&amp;IFERROR(INDEX(PASTE_ALL,$DF298,17)&amp;"","")&amp;"␟"&amp;IFERROR(INDEX(PASTE_ALL,$DF298,18)&amp;"","")&amp;"␟"&amp;IFERROR(INDEX(PASTE_ALL,$DF298,19)&amp;"","")&amp;"␟"&amp;IFERROR(INDEX(PASTE_ALL,$DF298,20)&amp;"","")&amp;"␟"&amp;IFERROR(INDEX(PASTE_ALL,$DF298,21)&amp;"","")&amp;"␟"&amp;IFERROR(INDEX(PASTE_ALL,$DF298,22)&amp;"","")&amp;"␟"&amp;IFERROR(INDEX(PASTE_ALL,$DF298,23)&amp;"","")&amp;"␟"&amp;IFERROR(INDEX(PASTE_ALL,$DF298,24)&amp;"","")&amp;"␟"&amp;IFERROR(INDEX(PASTE_ALL,$DF298,25)&amp;"","")&amp;"␟"&amp;IFERROR(INDEX(PASTE_ALL,$DF298,26)&amp;"","")&amp;"␟"&amp;IFERROR(INDEX(PASTE_ALL,$DF298,27)&amp;"","")&amp;"␟"&amp;IFERROR(INDEX(PASTE_ALL,$DF298,28)&amp;"","")&amp;"␟"&amp;IFERROR(INDEX(PASTE_ALL,$DF298,29)&amp;"","")&amp;"␟"&amp;IFERROR(INDEX(PASTE_ALL,$DF298,30)&amp;"","")&amp;"␟"&amp;IFERROR(INDEX(PASTE_ALL,$DF298,31)&amp;"","")&amp;"␟"&amp;IFERROR(INDEX(PASTE_ALL,$DF298,32)&amp;"","")&amp;"␟"&amp;IFERROR(INDEX(PASTE_ALL,$DF298,33)&amp;"","")&amp;"␟"&amp;IFERROR(INDEX(PASTE_ALL,$DF298,34)&amp;"","")&amp;"␟"&amp;IFERROR(INDEX(PASTE_ALL,$DF298,35)&amp;"","")&amp;"␟"&amp;IFERROR(INDEX(PASTE_ALL,$DF298,36)&amp;"","")&amp;"␟"&amp;IFERROR(INDEX(PASTE_ALL,$DF298,37)&amp;"","")&amp;"␟"&amp;IFERROR(INDEX(PASTE_ALL,$DF298,38)&amp;"","")&amp;"␟"&amp;IFERROR(INDEX(PASTE_ALL,$DF298,39)&amp;"","")&amp;"␟"&amp;IFERROR(INDEX(PASTE_ALL,$DF298,40)&amp;"","")&amp;"␟"&amp;IFERROR(INDEX(PASTE_ALL,$DF298,41)&amp;"","")&amp;"␟"&amp;IFERROR(INDEX(PASTE_ALL,$DF298,42)&amp;"","")&amp;"␟"&amp;IFERROR(INDEX(PASTE_ALL,$DF298,43)&amp;"","")&amp;"␟"&amp;IFERROR(INDEX(PASTE_ALL,$DF298,44)&amp;"","")&amp;"␟"&amp;IFERROR(INDEX(PASTE_ALL,$DF298,45)&amp;"","")&amp;"␟"&amp;IFERROR(INDEX(PASTE_ALL,$DF298,46)&amp;"","")&amp;"␟"&amp;IFERROR(INDEX(PASTE_ALL,$DF298,47)&amp;"","")&amp;"␟"&amp;IFERROR(INDEX(PASTE_ALL,$DF298,48)&amp;"","")&amp;"␟"&amp;IFERROR(INDEX(PASTE_ALL,$DF298,49)&amp;"","")&amp;"␟"&amp;IFERROR(INDEX(PASTE_ALL,$DF298,50)&amp;"","")&amp;"␟"&amp;IFERROR(INDEX(PASTE_ALL,$DF298,51)&amp;"","")&amp;"␟"&amp;IFERROR(INDEX(PASTE_ALL,$DF298,52)&amp;"","")&amp;"␟"&amp;IFERROR(INDEX(PASTE_ALL,$DF298,53)&amp;"","")&amp;"␟"&amp;IFERROR(INDEX(PASTE_ALL,$DF298,54)&amp;"","")&amp;"␟"&amp;IFERROR(INDEX(PASTE_ALL,$DF298,55)&amp;"","")&amp;"␟"&amp;IFERROR(INDEX(PASTE_ALL,$DF298,56)&amp;"","")&amp;"␟"&amp;IFERROR(INDEX(PASTE_ALL,$DF298,57)&amp;"","")&amp;"␟"&amp;IFERROR(INDEX(PASTE_ALL,$DF298,58)&amp;"","")&amp;"␟"&amp;IFERROR(INDEX(PASTE_ALL,$DF298,59)&amp;"","")&amp;"␟"&amp;IFERROR(INDEX(PASTE_ALL,$DF298,60)&amp;"","")," "," "),CHAR(9)," "),CHAR(10)," "),CHAR(13)," "))," ␟","␟"),"␟ ","␟"),"#"&amp;$DE298),"")</f>
        <v/>
      </c>
      <c r="DJ298">
        <f>IF($DI298="",0,IF(SUMPRODUCT(--EXACT($DI$4:DI297,$DI298))&gt;0,1,0))</f>
        <v/>
      </c>
      <c r="DK298">
        <f>IF(AND($DI298&lt;&gt;"",$DJ298=0),1,0)</f>
        <v/>
      </c>
      <c r="DL298">
        <f>DL297+$DK298</f>
        <v/>
      </c>
      <c r="DM298">
        <f>IF(AND($DK298=1,$DL298&lt;=600),1,0)</f>
        <v/>
      </c>
      <c r="DN298">
        <f>IF($DM298=0,"",IF($L$6=0,"",IFERROR(IF(ISNUMBER(INDEX(PASTE_ALL,$DF298,$L$6)),INDEX(PASTE_ALL,$DF298,$L$6),TRIM(SUBSTITUTE(SUBSTITUTE(SUBSTITUTE(SUBSTITUTE(INDEX(PASTE_ALL,$DF298,$L$6)," "," "),CHAR(9)," "),CHAR(10)," "),CHAR(13)," "))),"")))</f>
        <v/>
      </c>
      <c r="DO298">
        <f>IF($DM298=0,"",IF($L$7=0,"",IFERROR(IF(ISNUMBER(INDEX(PASTE_ALL,$DF298,$L$7)),INDEX(PASTE_ALL,$DF298,$L$7),TRIM(SUBSTITUTE(SUBSTITUTE(SUBSTITUTE(SUBSTITUTE(INDEX(PASTE_ALL,$DF298,$L$7)," "," "),CHAR(9)," "),CHAR(10)," "),CHAR(13)," "))),"")))</f>
        <v/>
      </c>
      <c r="DP298">
        <f>IF($DM298=0,"",IF($L$8=0,"",IFERROR(IF(ISNUMBER(INDEX(PASTE_ALL,$DF298,$L$8)),INDEX(PASTE_ALL,$DF298,$L$8),TRIM(SUBSTITUTE(SUBSTITUTE(SUBSTITUTE(SUBSTITUTE(INDEX(PASTE_ALL,$DF298,$L$8)," "," "),CHAR(9)," "),CHAR(10)," "),CHAR(13)," "))),"")))</f>
        <v/>
      </c>
      <c r="DQ298">
        <f>IF($DM298=0,"",IF($L$9=0,"",IFERROR(IF(ISNUMBER(INDEX(PASTE_ALL,$DF298,$L$9)),INDEX(PASTE_ALL,$DF298,$L$9),TRIM(SUBSTITUTE(SUBSTITUTE(SUBSTITUTE(SUBSTITUTE(INDEX(PASTE_ALL,$DF298,$L$9)," "," "),CHAR(9)," "),CHAR(10)," "),CHAR(13)," "))),"")))</f>
        <v/>
      </c>
      <c r="DR298">
        <f>IF($DM298=0,"",IF($L$10=0,"",IFERROR(IF(ISNUMBER(INDEX(PASTE_ALL,$DF298,$L$10)),INDEX(PASTE_ALL,$DF298,$L$10),TRIM(SUBSTITUTE(SUBSTITUTE(SUBSTITUTE(SUBSTITUTE(INDEX(PASTE_ALL,$DF298,$L$10)," "," "),CHAR(9)," "),CHAR(10)," "),CHAR(13)," "))),"")))</f>
        <v/>
      </c>
      <c r="DS298">
        <f>IF($DM298=0,"",IF($L$11=0,"",IFERROR(IF(ISNUMBER(INDEX(PASTE_ALL,$DF298,$L$11)),INDEX(PASTE_ALL,$DF298,$L$11),TRIM(SUBSTITUTE(SUBSTITUTE(SUBSTITUTE(SUBSTITUTE(INDEX(PASTE_ALL,$DF298,$L$11)," "," "),CHAR(9)," "),CHAR(10)," "),CHAR(13)," "))),"")))</f>
        <v/>
      </c>
      <c r="DT298">
        <f>IF($DM298=0,"",IF($L$12=0,"",IFERROR(IF(ISNUMBER(INDEX(PASTE_ALL,$DF298,$L$12)),INDEX(PASTE_ALL,$DF298,$L$12),TRIM(SUBSTITUTE(SUBSTITUTE(SUBSTITUTE(SUBSTITUTE(INDEX(PASTE_ALL,$DF298,$L$12)," "," "),CHAR(9)," "),CHAR(10)," "),CHAR(13)," "))),"")))</f>
        <v/>
      </c>
      <c r="DU298">
        <f>IF($DM298=0,"",IF($L$13=0,"",IFERROR(IF(ISNUMBER(INDEX(PASTE_ALL,$DF298,$L$13)),INDEX(PASTE_ALL,$DF298,$L$13),TRIM(SUBSTITUTE(SUBSTITUTE(SUBSTITUTE(SUBSTITUTE(INDEX(PASTE_ALL,$DF298,$L$13)," "," "),CHAR(9)," "),CHAR(10)," "),CHAR(13)," "))),"")))</f>
        <v/>
      </c>
      <c r="DV298">
        <f>IF($DM298=0,"",IF($L$14=0,"",IFERROR(IF(ISNUMBER(INDEX(PASTE_ALL,$DF298,$L$14)),INDEX(PASTE_ALL,$DF298,$L$14),TRIM(SUBSTITUTE(SUBSTITUTE(SUBSTITUTE(SUBSTITUTE(INDEX(PASTE_ALL,$DF298,$L$14)," "," "),CHAR(9)," "),CHAR(10)," "),CHAR(13)," "))),"")))</f>
        <v/>
      </c>
      <c r="DW298">
        <f>IF($DM298=0,"",IF($L$15=0,"",IFERROR(IF(ISNUMBER(INDEX(PASTE_ALL,$DF298,$L$15)),INDEX(PASTE_ALL,$DF298,$L$15),IF(SUMPRODUCT(--ISNUMBER(FIND({"A","B","C","D","E","F","G","H","I","J","K","L","M","N","O","P","Q","R","S","T","U","V","W","X","Y","Z","0","1","2","3","4","5","6","7","8","9"},UPPER(TRIM(SUBSTITUTE(SUBSTITUTE(SUBSTITUTE(SUBSTITUTE(INDEX(PASTE_ALL,$DF298,$L$15)," "," "),CHAR(9)," "),CHAR(10)," "),CHAR(13)," "))))))&gt;0,TRIM(SUBSTITUTE(SUBSTITUTE(SUBSTITUTE(SUBSTITUTE(INDEX(PASTE_ALL,$DF298,$L$15)," "," "),CHAR(9)," "),CHAR(10)," "),CHAR(13)," ")),"")),"")))</f>
        <v/>
      </c>
      <c r="DX298">
        <f>IF($DM298=0,"",IF($L$16=0,"",IFERROR(IF(ISNUMBER(INDEX(PASTE_ALL,$DF298,$L$16)),INDEX(PASTE_ALL,$DF298,$L$16),SUBSTITUTE(SUBSTITUTE(TRIM(SUBSTITUTE(SUBSTITUTE(SUBSTITUTE(SUBSTITUTE(INDEX(PASTE_ALL,$DF298,$L$16)," "," "),CHAR(9)," "),CHAR(10)," "),CHAR(13)," ")),",",""),"%","")),"")))</f>
        <v/>
      </c>
      <c r="DY298">
        <f>IF($DM298=0,"",IFERROR(IF(ISNUMBER($DX298),$DX298,IF($DX298="","",IF(TRIM($DX298)="",0,IF(AND(AND(SUBSTITUTE(SUBSTITUTE(SUBSTITUTE(SUBSTITUTE(SUBSTITUTE(SUBSTITUTE(SUBSTITUTE(SUBSTITUTE(SUBSTITUTE(SUBSTITUTE(SUBSTITUTE(SUBSTITUTE(SUBSTITUTE(SUBSTITUTE(UPPER(TRIM($DX298)),"0",""),"1",""),"2",""),"3",""),"4",""),"5",""),"6",""),"7",""),"8",""),"9",""),".",""),"+",""),"-",""),"E","")="",LEN(SUBSTITUTE(SUBSTITUTE(MID(UPPER(TRIM($DX298)),1+OR(LEFT(UPPER(TRIM($DX298)),1)="+",LEFT(UPPER(TRIM($DX298)),1)="-"),999),"E+","E"),"E-","E"))=LEN(SUBSTITUTE(SUBSTITUTE(SUBSTITUTE(SUBSTITUTE(MID(UPPER(TRIM($DX298)),1+OR(LEFT(UPPER(TRIM($DX298)),1)="+",LEFT(UPPER(TRIM($DX298)),1)="-"),999),"E+","E"),"E-","E"),"+",""),"-","")),LEN(UPPER(TRIM($DX298)))-LEN(SUBSTITUTE(UPPER(TRIM($DX298)),"E",""))&lt;2,LEN(UPPER(TRIM($DX298)))-LEN(SUBSTITUTE(UPPER(TRIM($DX298)),".",""))&lt;2,IFERROR(FIND(".",UPPER(TRIM($DX298))),0)&lt;IFERROR(FIND("E",UPPER(TRIM($DX298))),999)),ISNUMBER(VALUE(TRIM($DX298)))),VALUE(TRIM($DX298)),"")))),""))</f>
        <v/>
      </c>
      <c r="DZ298">
        <f>IF($DM298=0,"",IF($L$17=0,"",IFERROR(IF(ISNUMBER(INDEX(PASTE_ALL,$DF298,$L$17)),INDEX(PASTE_ALL,$DF298,$L$17),SUBSTITUTE(SUBSTITUTE(TRIM(SUBSTITUTE(SUBSTITUTE(SUBSTITUTE(SUBSTITUTE(INDEX(PASTE_ALL,$DF298,$L$17)," "," "),CHAR(9)," "),CHAR(10)," "),CHAR(13)," ")),",",""),"%","")),"")))</f>
        <v/>
      </c>
      <c r="EA298">
        <f>IF($DM298=0,"",IFERROR(IF(ISNUMBER($DZ298),$DZ298,IF($DZ298="","",IF(TRIM($DZ298)="",0,IF(AND(AND(SUBSTITUTE(SUBSTITUTE(SUBSTITUTE(SUBSTITUTE(SUBSTITUTE(SUBSTITUTE(SUBSTITUTE(SUBSTITUTE(SUBSTITUTE(SUBSTITUTE(SUBSTITUTE(SUBSTITUTE(SUBSTITUTE(SUBSTITUTE(UPPER(TRIM($DZ298)),"0",""),"1",""),"2",""),"3",""),"4",""),"5",""),"6",""),"7",""),"8",""),"9",""),".",""),"+",""),"-",""),"E","")="",LEN(SUBSTITUTE(SUBSTITUTE(MID(UPPER(TRIM($DZ298)),1+OR(LEFT(UPPER(TRIM($DZ298)),1)="+",LEFT(UPPER(TRIM($DZ298)),1)="-"),999),"E+","E"),"E-","E"))=LEN(SUBSTITUTE(SUBSTITUTE(SUBSTITUTE(SUBSTITUTE(MID(UPPER(TRIM($DZ298)),1+OR(LEFT(UPPER(TRIM($DZ298)),1)="+",LEFT(UPPER(TRIM($DZ298)),1)="-"),999),"E+","E"),"E-","E"),"+",""),"-","")),LEN(UPPER(TRIM($DZ298)))-LEN(SUBSTITUTE(UPPER(TRIM($DZ298)),"E",""))&lt;2,LEN(UPPER(TRIM($DZ298)))-LEN(SUBSTITUTE(UPPER(TRIM($DZ298)),".",""))&lt;2,IFERROR(FIND(".",UPPER(TRIM($DZ298))),0)&lt;IFERROR(FIND("E",UPPER(TRIM($DZ298))),999)),ISNUMBER(VALUE(TRIM($DZ298)))),VALUE(TRIM($DZ298)),"")))),""))</f>
        <v/>
      </c>
      <c r="EB298">
        <f>IF($DM298=0,"",IF($L$18=0,"",IFERROR(IF(UPPER(TRIM(SUBSTITUTE(SUBSTITUTE(SUBSTITUTE(SUBSTITUTE(INDEX(PASTE_ALL,$DF298,$L$18)," "," "),CHAR(9)," "),CHAR(10)," "),CHAR(13)," ")))="READY","Ready",IF(UPPER(TRIM(SUBSTITUTE(SUBSTITUTE(SUBSTITUTE(SUBSTITUTE(INDEX(PASTE_ALL,$DF298,$L$18)," "," "),CHAR(9)," "),CHAR(10)," "),CHAR(13)," ")))="PM","PM",IF(OR(UPPER(TRIM(SUBSTITUTE(SUBSTITUTE(SUBSTITUTE(SUBSTITUTE(INDEX(PASTE_ALL,$DF298,$L$18)," "," "),CHAR(9)," "),CHAR(10)," "),CHAR(13)," ")))="OT",UPPER(TRIM(SUBSTITUTE(SUBSTITUTE(SUBSTITUTE(SUBSTITUTE(INDEX(PASTE_ALL,$DF298,$L$18)," "," "),CHAR(9)," "),CHAR(10)," "),CHAR(13)," ")))="OVERTIME",UPPER(TRIM(SUBSTITUTE(SUBSTITUTE(SUBSTITUTE(SUBSTITUTE(INDEX(PASTE_ALL,$DF298,$L$18)," "," "),CHAR(9)," "),CHAR(10)," "),CHAR(13)," ")))="TRIAL"),"OT",TRIM(SUBSTITUTE(SUBSTITUTE(SUBSTITUTE(SUBSTITUTE(INDEX(PASTE_ALL,$DF298,$L$18)," "," "),CHAR(9)," "),CHAR(10)," "),CHAR(13)," "))))),"")))</f>
        <v/>
      </c>
      <c r="EC298">
        <f>IF($DM298=0,"",IF($L$19=0,"",IFERROR(IF(ISNUMBER(INDEX(PASTE_ALL,$DF298,$L$19)),INDEX(PASTE_ALL,$DF298,$L$19),TRIM(SUBSTITUTE(SUBSTITUTE(SUBSTITUTE(SUBSTITUTE(INDEX(PASTE_ALL,$DF298,$L$19)," "," "),CHAR(9)," "),CHAR(10)," "),CHAR(13)," "))),"")))</f>
        <v/>
      </c>
      <c r="ED298">
        <f>IF($DM298=0,"",MATCH(1,INDEX(EXACT($DH$5:DH298,$DH298)*$DM$5:DM298,0),0))</f>
        <v/>
      </c>
      <c r="EE298">
        <f>IF($DM298=0,0,IF($ED298=$DE298,1,0))</f>
        <v/>
      </c>
      <c r="EF298">
        <f>EF297+$EE298</f>
        <v/>
      </c>
      <c r="EG298">
        <f>IF($DM298=0,"",INDEX($EF$5:$EF$1003,$ED298))</f>
        <v/>
      </c>
      <c r="EH298">
        <f>IF($DM298=0,"",IF($DO298&lt;&gt;"","",IFERROR(LOOKUP(2,1/(($EG$4:EG297=$EG298)*($DO$4:DO297&lt;&gt;"")),$DO$4:DO297),"")))</f>
        <v/>
      </c>
      <c r="EI298">
        <f>IF($DM298=0,"",IF($DO298&lt;&gt;"",$DO298,$EH298))</f>
        <v/>
      </c>
      <c r="EJ298">
        <f>IF($DM298=0,"",IF($EI298="",0,IF(OR(ISNUMBER($EI298),AND(AND(SUBSTITUTE(SUBSTITUTE(SUBSTITUTE(SUBSTITUTE(SUBSTITUTE(SUBSTITUTE(SUBSTITUTE(SUBSTITUTE(SUBSTITUTE(SUBSTITUTE(SUBSTITUTE(SUBSTITUTE(SUBSTITUTE(SUBSTITUTE(UPPER($EI298),"0",""),"1",""),"2",""),"3",""),"4",""),"5",""),"6",""),"7",""),"8",""),"9",""),".",""),"+",""),"-",""),"E","")="",LEN(SUBSTITUTE(SUBSTITUTE(MID(UPPER($EI298),1+OR(LEFT(UPPER($EI298),1)="+",LEFT(UPPER($EI298),1)="-"),999),"E+","E"),"E-","E"))=LEN(SUBSTITUTE(SUBSTITUTE(SUBSTITUTE(SUBSTITUTE(MID(UPPER($EI298),1+OR(LEFT(UPPER($EI298),1)="+",LEFT(UPPER($EI298),1)="-"),999),"E+","E"),"E-","E"),"+",""),"-","")),LEN(UPPER($EI298))-LEN(SUBSTITUTE(UPPER($EI298),"E",""))&lt;2,LEN(UPPER($EI298))-LEN(SUBSTITUTE(UPPER($EI298),".",""))&lt;2,IFERROR(FIND(".",UPPER($EI298)),0)&lt;IFERROR(FIND("E",UPPER($EI298)),999)),ISNUMBER(VALUE($EI298)))),1,2)))</f>
        <v/>
      </c>
      <c r="EK298">
        <f>IF($DM298=0,"",IF($EJ298=1,IF(ISNUMBER($EI298),$EI298,VALUE($EI298)),IF($EJ298=2,$DE298,0)))</f>
        <v/>
      </c>
      <c r="EL298">
        <f>IF($DM298=0,"",COUNTIF($EG$5:$EG$1003,"&lt;"&amp;$EG298)+SUMPRODUCT(($EG$5:$EG$1003=$EG298)*(($EJ$5:$EJ$1003&lt;$EJ298)+($EJ$5:$EJ$1003=$EJ298)*(($EK$5:$EK$1003&lt;$EK298)+($EK$5:$EK$1003=$EK298)*($DE$5:$DE$1003&lt;$DE298))))+1)</f>
        <v/>
      </c>
      <c r="EM298">
        <f>IF($DM298=0,"",$EL298+$EG298-1)</f>
        <v/>
      </c>
      <c r="EN298">
        <f>IF($DM298=0,0,IFERROR(MATCH(1,INDEX(--(TRIM(SUBSTITUTE(SUBSTITUTE(SUBSTITUTE(SUBSTITUTE(LINES_NAME&amp;""," "," "),CHAR(9)," "),CHAR(10)," "),CHAR(13)," "))=$DH298),0),0),0))</f>
        <v/>
      </c>
      <c r="EO298">
        <f>IF($EN298=0,0,IF(OR(UPPER(TRIM(INDEX(LINES_SCHEDULED,$EN298)&amp;""))="YES",UPPER(TRIM(INDEX(LINES_SCHEDULED,$EN298)&amp;""))="Y",UPPER(TRIM(INDEX(LINES_SCHEDULED,$EN298)&amp;""))="X"),1,0))</f>
        <v/>
      </c>
      <c r="EP298">
        <f>IF($DM298=0,"",IF(COUNTIFS($EG$5:$EG$1003,$EG298,$EB$5:$EB$1003,"Ready")&gt;0,"READY",IF(COUNTIFS($EG$5:$EG$1003,$EG298,$EB$5:$EB$1003,"PM")&gt;0,"PM",IF(COUNTIFS($EG$5:$EG$1003,$EG298,$EB$5:$EB$1003,"OT")&gt;0,"OT",""))))</f>
        <v/>
      </c>
      <c r="EQ298">
        <f>IF($EN298=0,"",UPPER(TRIM(INDEX(LINES_STATUS,$EN298)&amp;"")))</f>
        <v/>
      </c>
      <c r="ER298">
        <f>IF($DM298=0,"",IF(OR($EQ298="READY",$EQ298="PM",$EQ298="OT"),$EQ298,$EP298))</f>
        <v/>
      </c>
      <c r="ES298">
        <f>IF($DM298=0,"",IF(AND($DV298&lt;&gt;"",UPPER($DV298)&lt;&gt;"N"),"allergen",IF(ISNUMBER(SEARCH("oil",$DQ298)),"oil",IF(OR(EXACT($DS298,"A662"),EXACT($DS298,"A624")),"bulk",""))))</f>
        <v/>
      </c>
      <c r="ET298">
        <f>IF($DM298=0,"",IF(OR($EA298="",$EA298=0),"",$EA298/100))</f>
        <v/>
      </c>
      <c r="EU298">
        <f>IF(OR($ET298="",$DY298=""),"",INT($DY298*(1-$ET298)+0.5))</f>
        <v/>
      </c>
      <c r="EW298" t="n">
        <v>294</v>
      </c>
      <c r="EX298">
        <f>IFERROR(MATCH($EW298,$EM$5:$EM$1003,0),0)</f>
        <v/>
      </c>
      <c r="EY298">
        <f>IF($EW298&gt;$B$12,"",IF($EX298&gt;0,"row","spacer"))</f>
        <v/>
      </c>
      <c r="EZ298">
        <f>IF(AND($EY298="row",$EY297&lt;&gt;"row"),1,0)</f>
        <v/>
      </c>
      <c r="FA298">
        <f>IF(AND($EY298="row",$EY299&lt;&gt;"row"),1,0)</f>
        <v/>
      </c>
      <c r="FB298">
        <f>IF($EZ298=1,IFERROR(IF(ISNUMBER(INDEX(PASTE_ALL,INDEX($DF$5:$DF$1003,$EX298),$B$37)),INDEX(PASTE_ALL,INDEX($DF$5:$DF$1003,$EX298),$B$37),INDEX($DH$5:$DH$1003,$EX298)),INDEX($DH$5:$DH$1003,$EX298)),"")</f>
        <v/>
      </c>
      <c r="FC298">
        <f>IF($EY298="row",INDEX($ER$5:$ER$1003,$EX298),"")</f>
        <v/>
      </c>
      <c r="FD298">
        <f>IF($EY298="row",INDEX($DN$5:$DN$1003,$EX298),"")</f>
        <v/>
      </c>
      <c r="FE298">
        <f>IF($EY298="row",INDEX($DO$5:$DO$1003,$EX298),"")</f>
        <v/>
      </c>
      <c r="FF298">
        <f>IF($EY298="row",INDEX($DP$5:$DP$1003,$EX298),"")</f>
        <v/>
      </c>
      <c r="FG298">
        <f>IF($EY298="row",INDEX($DQ$5:$DQ$1003,$EX298),"")</f>
        <v/>
      </c>
      <c r="FH298">
        <f>IF($EY298="row",INDEX($DR$5:$DR$1003,$EX298),"")</f>
        <v/>
      </c>
      <c r="FI298">
        <f>IF($EY298="row",INDEX($DS$5:$DS$1003,$EX298),"")</f>
        <v/>
      </c>
      <c r="FJ298">
        <f>IF($EY298="row",INDEX($DT$5:$DT$1003,$EX298),"")</f>
        <v/>
      </c>
      <c r="FK298">
        <f>IF($EY298="row",INDEX($DU$5:$DU$1003,$EX298),"")</f>
        <v/>
      </c>
      <c r="FL298">
        <f>IF($EY298="row",INDEX($DV$5:$DV$1003,$EX298),"")</f>
        <v/>
      </c>
      <c r="FM298">
        <f>IF($EY298="row",INDEX($DW$5:$DW$1003,$EX298),"")</f>
        <v/>
      </c>
      <c r="FN298">
        <f>IF($EY298="row",INDEX($DY$5:$DY$1003,$EX298),"")</f>
        <v/>
      </c>
      <c r="FO298">
        <f>IF($EY298="row",INDEX($EA$5:$EA$1003,$EX298),"")</f>
        <v/>
      </c>
      <c r="FP298">
        <f>IF($EY298="row",INDEX($EC$5:$EC$1003,$EX298),"")</f>
        <v/>
      </c>
      <c r="FQ298">
        <f>IF($EY298="row",INDEX($ET$5:$ET$1003,$EX298),"")</f>
        <v/>
      </c>
      <c r="FR298">
        <f>IF($EY298="row",INDEX($EU$5:$EU$1003,$EX298),"")</f>
        <v/>
      </c>
      <c r="FS298">
        <f>IF(AND($EY298="row",$EY297="row"),IF(OR(INDEX($DT$5:$DT$1003,$EX297)="",INDEX($DT$5:$DT$1003,$EX298)=""),"",IF(NOT(EXACT(INDEX($DT$5:$DT$1003,$EX297),INDEX($DT$5:$DT$1003,$EX298))),"S4",IF(NOT(EXACT(INDEX($DS$5:$DS$1003,$EX297),INDEX($DS$5:$DS$1003,$EX298))),"S3",IF(NOT(EXACT(INDEX($DR$5:$DR$1003,$EX297),INDEX($DR$5:$DR$1003,$EX298))),"S1 Count Change","S1")))),"")</f>
        <v/>
      </c>
      <c r="FT298">
        <f>IF($EY298="row",INDEX($ES$5:$ES$1003,$EX298),"")</f>
        <v/>
      </c>
      <c r="FU298">
        <f>IF($EY298="row",INDEX($EO$5:$EO$1003,$EX298),0)</f>
        <v/>
      </c>
      <c r="FV298">
        <f>IF($FS298="S1 Count Change",1,0)</f>
        <v/>
      </c>
    </row>
    <row r="299">
      <c r="DA299" t="n">
        <v>295</v>
      </c>
      <c r="DB299">
        <f>IF($B$37=0,"",IFERROR(TRIM(SUBSTITUTE(SUBSTITUTE(SUBSTITUTE(SUBSTITUTE(INDEX(PASTE_ALL,295,$B$37)," "," "),CHAR(9)," "),CHAR(10)," "),CHAR(13)," ")),""))</f>
        <v/>
      </c>
      <c r="DC299">
        <f>IF(AND(295&gt;HEADER_ROW,UPPER(DB299)="LEGEND"),1,0)</f>
        <v/>
      </c>
      <c r="DE299" t="n">
        <v>295</v>
      </c>
      <c r="DF299">
        <f>HEADER_ROW+$DE299</f>
        <v/>
      </c>
      <c r="DG299">
        <f>IF(AND($DF299&lt;=1000,$DF299&lt;$B$8),1,0)</f>
        <v/>
      </c>
      <c r="DH299">
        <f>IF($DG299=1,IFERROR(INDEX($DB$5:$DB$1004,$DF299),""),"")</f>
        <v/>
      </c>
      <c r="DI299">
        <f>IF(AND($DG299=1,$DH299&lt;&gt;""),IFERROR(SUBSTITUTE(SUBSTITUTE(TRIM(SUBSTITUTE(SUBSTITUTE(SUBSTITUTE(SUBSTITUTE(IFERROR(INDEX(PASTE_ALL,$DF299,1)&amp;"","")&amp;"␟"&amp;IFERROR(INDEX(PASTE_ALL,$DF299,2)&amp;"","")&amp;"␟"&amp;IFERROR(INDEX(PASTE_ALL,$DF299,3)&amp;"","")&amp;"␟"&amp;IFERROR(INDEX(PASTE_ALL,$DF299,4)&amp;"","")&amp;"␟"&amp;IFERROR(INDEX(PASTE_ALL,$DF299,5)&amp;"","")&amp;"␟"&amp;IFERROR(INDEX(PASTE_ALL,$DF299,6)&amp;"","")&amp;"␟"&amp;IFERROR(INDEX(PASTE_ALL,$DF299,7)&amp;"","")&amp;"␟"&amp;IFERROR(INDEX(PASTE_ALL,$DF299,8)&amp;"","")&amp;"␟"&amp;IFERROR(INDEX(PASTE_ALL,$DF299,9)&amp;"","")&amp;"␟"&amp;IFERROR(INDEX(PASTE_ALL,$DF299,10)&amp;"","")&amp;"␟"&amp;IFERROR(INDEX(PASTE_ALL,$DF299,11)&amp;"","")&amp;"␟"&amp;IFERROR(INDEX(PASTE_ALL,$DF299,12)&amp;"","")&amp;"␟"&amp;IFERROR(INDEX(PASTE_ALL,$DF299,13)&amp;"","")&amp;"␟"&amp;IFERROR(INDEX(PASTE_ALL,$DF299,14)&amp;"","")&amp;"␟"&amp;IFERROR(INDEX(PASTE_ALL,$DF299,15)&amp;"","")&amp;"␟"&amp;IFERROR(INDEX(PASTE_ALL,$DF299,16)&amp;"","")&amp;"␟"&amp;IFERROR(INDEX(PASTE_ALL,$DF299,17)&amp;"","")&amp;"␟"&amp;IFERROR(INDEX(PASTE_ALL,$DF299,18)&amp;"","")&amp;"␟"&amp;IFERROR(INDEX(PASTE_ALL,$DF299,19)&amp;"","")&amp;"␟"&amp;IFERROR(INDEX(PASTE_ALL,$DF299,20)&amp;"","")&amp;"␟"&amp;IFERROR(INDEX(PASTE_ALL,$DF299,21)&amp;"","")&amp;"␟"&amp;IFERROR(INDEX(PASTE_ALL,$DF299,22)&amp;"","")&amp;"␟"&amp;IFERROR(INDEX(PASTE_ALL,$DF299,23)&amp;"","")&amp;"␟"&amp;IFERROR(INDEX(PASTE_ALL,$DF299,24)&amp;"","")&amp;"␟"&amp;IFERROR(INDEX(PASTE_ALL,$DF299,25)&amp;"","")&amp;"␟"&amp;IFERROR(INDEX(PASTE_ALL,$DF299,26)&amp;"","")&amp;"␟"&amp;IFERROR(INDEX(PASTE_ALL,$DF299,27)&amp;"","")&amp;"␟"&amp;IFERROR(INDEX(PASTE_ALL,$DF299,28)&amp;"","")&amp;"␟"&amp;IFERROR(INDEX(PASTE_ALL,$DF299,29)&amp;"","")&amp;"␟"&amp;IFERROR(INDEX(PASTE_ALL,$DF299,30)&amp;"","")&amp;"␟"&amp;IFERROR(INDEX(PASTE_ALL,$DF299,31)&amp;"","")&amp;"␟"&amp;IFERROR(INDEX(PASTE_ALL,$DF299,32)&amp;"","")&amp;"␟"&amp;IFERROR(INDEX(PASTE_ALL,$DF299,33)&amp;"","")&amp;"␟"&amp;IFERROR(INDEX(PASTE_ALL,$DF299,34)&amp;"","")&amp;"␟"&amp;IFERROR(INDEX(PASTE_ALL,$DF299,35)&amp;"","")&amp;"␟"&amp;IFERROR(INDEX(PASTE_ALL,$DF299,36)&amp;"","")&amp;"␟"&amp;IFERROR(INDEX(PASTE_ALL,$DF299,37)&amp;"","")&amp;"␟"&amp;IFERROR(INDEX(PASTE_ALL,$DF299,38)&amp;"","")&amp;"␟"&amp;IFERROR(INDEX(PASTE_ALL,$DF299,39)&amp;"","")&amp;"␟"&amp;IFERROR(INDEX(PASTE_ALL,$DF299,40)&amp;"","")&amp;"␟"&amp;IFERROR(INDEX(PASTE_ALL,$DF299,41)&amp;"","")&amp;"␟"&amp;IFERROR(INDEX(PASTE_ALL,$DF299,42)&amp;"","")&amp;"␟"&amp;IFERROR(INDEX(PASTE_ALL,$DF299,43)&amp;"","")&amp;"␟"&amp;IFERROR(INDEX(PASTE_ALL,$DF299,44)&amp;"","")&amp;"␟"&amp;IFERROR(INDEX(PASTE_ALL,$DF299,45)&amp;"","")&amp;"␟"&amp;IFERROR(INDEX(PASTE_ALL,$DF299,46)&amp;"","")&amp;"␟"&amp;IFERROR(INDEX(PASTE_ALL,$DF299,47)&amp;"","")&amp;"␟"&amp;IFERROR(INDEX(PASTE_ALL,$DF299,48)&amp;"","")&amp;"␟"&amp;IFERROR(INDEX(PASTE_ALL,$DF299,49)&amp;"","")&amp;"␟"&amp;IFERROR(INDEX(PASTE_ALL,$DF299,50)&amp;"","")&amp;"␟"&amp;IFERROR(INDEX(PASTE_ALL,$DF299,51)&amp;"","")&amp;"␟"&amp;IFERROR(INDEX(PASTE_ALL,$DF299,52)&amp;"","")&amp;"␟"&amp;IFERROR(INDEX(PASTE_ALL,$DF299,53)&amp;"","")&amp;"␟"&amp;IFERROR(INDEX(PASTE_ALL,$DF299,54)&amp;"","")&amp;"␟"&amp;IFERROR(INDEX(PASTE_ALL,$DF299,55)&amp;"","")&amp;"␟"&amp;IFERROR(INDEX(PASTE_ALL,$DF299,56)&amp;"","")&amp;"␟"&amp;IFERROR(INDEX(PASTE_ALL,$DF299,57)&amp;"","")&amp;"␟"&amp;IFERROR(INDEX(PASTE_ALL,$DF299,58)&amp;"","")&amp;"␟"&amp;IFERROR(INDEX(PASTE_ALL,$DF299,59)&amp;"","")&amp;"␟"&amp;IFERROR(INDEX(PASTE_ALL,$DF299,60)&amp;"","")," "," "),CHAR(9)," "),CHAR(10)," "),CHAR(13)," "))," ␟","␟"),"␟ ","␟"),"#"&amp;$DE299),"")</f>
        <v/>
      </c>
      <c r="DJ299">
        <f>IF($DI299="",0,IF(SUMPRODUCT(--EXACT($DI$4:DI298,$DI299))&gt;0,1,0))</f>
        <v/>
      </c>
      <c r="DK299">
        <f>IF(AND($DI299&lt;&gt;"",$DJ299=0),1,0)</f>
        <v/>
      </c>
      <c r="DL299">
        <f>DL298+$DK299</f>
        <v/>
      </c>
      <c r="DM299">
        <f>IF(AND($DK299=1,$DL299&lt;=600),1,0)</f>
        <v/>
      </c>
      <c r="DN299">
        <f>IF($DM299=0,"",IF($L$6=0,"",IFERROR(IF(ISNUMBER(INDEX(PASTE_ALL,$DF299,$L$6)),INDEX(PASTE_ALL,$DF299,$L$6),TRIM(SUBSTITUTE(SUBSTITUTE(SUBSTITUTE(SUBSTITUTE(INDEX(PASTE_ALL,$DF299,$L$6)," "," "),CHAR(9)," "),CHAR(10)," "),CHAR(13)," "))),"")))</f>
        <v/>
      </c>
      <c r="DO299">
        <f>IF($DM299=0,"",IF($L$7=0,"",IFERROR(IF(ISNUMBER(INDEX(PASTE_ALL,$DF299,$L$7)),INDEX(PASTE_ALL,$DF299,$L$7),TRIM(SUBSTITUTE(SUBSTITUTE(SUBSTITUTE(SUBSTITUTE(INDEX(PASTE_ALL,$DF299,$L$7)," "," "),CHAR(9)," "),CHAR(10)," "),CHAR(13)," "))),"")))</f>
        <v/>
      </c>
      <c r="DP299">
        <f>IF($DM299=0,"",IF($L$8=0,"",IFERROR(IF(ISNUMBER(INDEX(PASTE_ALL,$DF299,$L$8)),INDEX(PASTE_ALL,$DF299,$L$8),TRIM(SUBSTITUTE(SUBSTITUTE(SUBSTITUTE(SUBSTITUTE(INDEX(PASTE_ALL,$DF299,$L$8)," "," "),CHAR(9)," "),CHAR(10)," "),CHAR(13)," "))),"")))</f>
        <v/>
      </c>
      <c r="DQ299">
        <f>IF($DM299=0,"",IF($L$9=0,"",IFERROR(IF(ISNUMBER(INDEX(PASTE_ALL,$DF299,$L$9)),INDEX(PASTE_ALL,$DF299,$L$9),TRIM(SUBSTITUTE(SUBSTITUTE(SUBSTITUTE(SUBSTITUTE(INDEX(PASTE_ALL,$DF299,$L$9)," "," "),CHAR(9)," "),CHAR(10)," "),CHAR(13)," "))),"")))</f>
        <v/>
      </c>
      <c r="DR299">
        <f>IF($DM299=0,"",IF($L$10=0,"",IFERROR(IF(ISNUMBER(INDEX(PASTE_ALL,$DF299,$L$10)),INDEX(PASTE_ALL,$DF299,$L$10),TRIM(SUBSTITUTE(SUBSTITUTE(SUBSTITUTE(SUBSTITUTE(INDEX(PASTE_ALL,$DF299,$L$10)," "," "),CHAR(9)," "),CHAR(10)," "),CHAR(13)," "))),"")))</f>
        <v/>
      </c>
      <c r="DS299">
        <f>IF($DM299=0,"",IF($L$11=0,"",IFERROR(IF(ISNUMBER(INDEX(PASTE_ALL,$DF299,$L$11)),INDEX(PASTE_ALL,$DF299,$L$11),TRIM(SUBSTITUTE(SUBSTITUTE(SUBSTITUTE(SUBSTITUTE(INDEX(PASTE_ALL,$DF299,$L$11)," "," "),CHAR(9)," "),CHAR(10)," "),CHAR(13)," "))),"")))</f>
        <v/>
      </c>
      <c r="DT299">
        <f>IF($DM299=0,"",IF($L$12=0,"",IFERROR(IF(ISNUMBER(INDEX(PASTE_ALL,$DF299,$L$12)),INDEX(PASTE_ALL,$DF299,$L$12),TRIM(SUBSTITUTE(SUBSTITUTE(SUBSTITUTE(SUBSTITUTE(INDEX(PASTE_ALL,$DF299,$L$12)," "," "),CHAR(9)," "),CHAR(10)," "),CHAR(13)," "))),"")))</f>
        <v/>
      </c>
      <c r="DU299">
        <f>IF($DM299=0,"",IF($L$13=0,"",IFERROR(IF(ISNUMBER(INDEX(PASTE_ALL,$DF299,$L$13)),INDEX(PASTE_ALL,$DF299,$L$13),TRIM(SUBSTITUTE(SUBSTITUTE(SUBSTITUTE(SUBSTITUTE(INDEX(PASTE_ALL,$DF299,$L$13)," "," "),CHAR(9)," "),CHAR(10)," "),CHAR(13)," "))),"")))</f>
        <v/>
      </c>
      <c r="DV299">
        <f>IF($DM299=0,"",IF($L$14=0,"",IFERROR(IF(ISNUMBER(INDEX(PASTE_ALL,$DF299,$L$14)),INDEX(PASTE_ALL,$DF299,$L$14),TRIM(SUBSTITUTE(SUBSTITUTE(SUBSTITUTE(SUBSTITUTE(INDEX(PASTE_ALL,$DF299,$L$14)," "," "),CHAR(9)," "),CHAR(10)," "),CHAR(13)," "))),"")))</f>
        <v/>
      </c>
      <c r="DW299">
        <f>IF($DM299=0,"",IF($L$15=0,"",IFERROR(IF(ISNUMBER(INDEX(PASTE_ALL,$DF299,$L$15)),INDEX(PASTE_ALL,$DF299,$L$15),IF(SUMPRODUCT(--ISNUMBER(FIND({"A","B","C","D","E","F","G","H","I","J","K","L","M","N","O","P","Q","R","S","T","U","V","W","X","Y","Z","0","1","2","3","4","5","6","7","8","9"},UPPER(TRIM(SUBSTITUTE(SUBSTITUTE(SUBSTITUTE(SUBSTITUTE(INDEX(PASTE_ALL,$DF299,$L$15)," "," "),CHAR(9)," "),CHAR(10)," "),CHAR(13)," "))))))&gt;0,TRIM(SUBSTITUTE(SUBSTITUTE(SUBSTITUTE(SUBSTITUTE(INDEX(PASTE_ALL,$DF299,$L$15)," "," "),CHAR(9)," "),CHAR(10)," "),CHAR(13)," ")),"")),"")))</f>
        <v/>
      </c>
      <c r="DX299">
        <f>IF($DM299=0,"",IF($L$16=0,"",IFERROR(IF(ISNUMBER(INDEX(PASTE_ALL,$DF299,$L$16)),INDEX(PASTE_ALL,$DF299,$L$16),SUBSTITUTE(SUBSTITUTE(TRIM(SUBSTITUTE(SUBSTITUTE(SUBSTITUTE(SUBSTITUTE(INDEX(PASTE_ALL,$DF299,$L$16)," "," "),CHAR(9)," "),CHAR(10)," "),CHAR(13)," ")),",",""),"%","")),"")))</f>
        <v/>
      </c>
      <c r="DY299">
        <f>IF($DM299=0,"",IFERROR(IF(ISNUMBER($DX299),$DX299,IF($DX299="","",IF(TRIM($DX299)="",0,IF(AND(AND(SUBSTITUTE(SUBSTITUTE(SUBSTITUTE(SUBSTITUTE(SUBSTITUTE(SUBSTITUTE(SUBSTITUTE(SUBSTITUTE(SUBSTITUTE(SUBSTITUTE(SUBSTITUTE(SUBSTITUTE(SUBSTITUTE(SUBSTITUTE(UPPER(TRIM($DX299)),"0",""),"1",""),"2",""),"3",""),"4",""),"5",""),"6",""),"7",""),"8",""),"9",""),".",""),"+",""),"-",""),"E","")="",LEN(SUBSTITUTE(SUBSTITUTE(MID(UPPER(TRIM($DX299)),1+OR(LEFT(UPPER(TRIM($DX299)),1)="+",LEFT(UPPER(TRIM($DX299)),1)="-"),999),"E+","E"),"E-","E"))=LEN(SUBSTITUTE(SUBSTITUTE(SUBSTITUTE(SUBSTITUTE(MID(UPPER(TRIM($DX299)),1+OR(LEFT(UPPER(TRIM($DX299)),1)="+",LEFT(UPPER(TRIM($DX299)),1)="-"),999),"E+","E"),"E-","E"),"+",""),"-","")),LEN(UPPER(TRIM($DX299)))-LEN(SUBSTITUTE(UPPER(TRIM($DX299)),"E",""))&lt;2,LEN(UPPER(TRIM($DX299)))-LEN(SUBSTITUTE(UPPER(TRIM($DX299)),".",""))&lt;2,IFERROR(FIND(".",UPPER(TRIM($DX299))),0)&lt;IFERROR(FIND("E",UPPER(TRIM($DX299))),999)),ISNUMBER(VALUE(TRIM($DX299)))),VALUE(TRIM($DX299)),"")))),""))</f>
        <v/>
      </c>
      <c r="DZ299">
        <f>IF($DM299=0,"",IF($L$17=0,"",IFERROR(IF(ISNUMBER(INDEX(PASTE_ALL,$DF299,$L$17)),INDEX(PASTE_ALL,$DF299,$L$17),SUBSTITUTE(SUBSTITUTE(TRIM(SUBSTITUTE(SUBSTITUTE(SUBSTITUTE(SUBSTITUTE(INDEX(PASTE_ALL,$DF299,$L$17)," "," "),CHAR(9)," "),CHAR(10)," "),CHAR(13)," ")),",",""),"%","")),"")))</f>
        <v/>
      </c>
      <c r="EA299">
        <f>IF($DM299=0,"",IFERROR(IF(ISNUMBER($DZ299),$DZ299,IF($DZ299="","",IF(TRIM($DZ299)="",0,IF(AND(AND(SUBSTITUTE(SUBSTITUTE(SUBSTITUTE(SUBSTITUTE(SUBSTITUTE(SUBSTITUTE(SUBSTITUTE(SUBSTITUTE(SUBSTITUTE(SUBSTITUTE(SUBSTITUTE(SUBSTITUTE(SUBSTITUTE(SUBSTITUTE(UPPER(TRIM($DZ299)),"0",""),"1",""),"2",""),"3",""),"4",""),"5",""),"6",""),"7",""),"8",""),"9",""),".",""),"+",""),"-",""),"E","")="",LEN(SUBSTITUTE(SUBSTITUTE(MID(UPPER(TRIM($DZ299)),1+OR(LEFT(UPPER(TRIM($DZ299)),1)="+",LEFT(UPPER(TRIM($DZ299)),1)="-"),999),"E+","E"),"E-","E"))=LEN(SUBSTITUTE(SUBSTITUTE(SUBSTITUTE(SUBSTITUTE(MID(UPPER(TRIM($DZ299)),1+OR(LEFT(UPPER(TRIM($DZ299)),1)="+",LEFT(UPPER(TRIM($DZ299)),1)="-"),999),"E+","E"),"E-","E"),"+",""),"-","")),LEN(UPPER(TRIM($DZ299)))-LEN(SUBSTITUTE(UPPER(TRIM($DZ299)),"E",""))&lt;2,LEN(UPPER(TRIM($DZ299)))-LEN(SUBSTITUTE(UPPER(TRIM($DZ299)),".",""))&lt;2,IFERROR(FIND(".",UPPER(TRIM($DZ299))),0)&lt;IFERROR(FIND("E",UPPER(TRIM($DZ299))),999)),ISNUMBER(VALUE(TRIM($DZ299)))),VALUE(TRIM($DZ299)),"")))),""))</f>
        <v/>
      </c>
      <c r="EB299">
        <f>IF($DM299=0,"",IF($L$18=0,"",IFERROR(IF(UPPER(TRIM(SUBSTITUTE(SUBSTITUTE(SUBSTITUTE(SUBSTITUTE(INDEX(PASTE_ALL,$DF299,$L$18)," "," "),CHAR(9)," "),CHAR(10)," "),CHAR(13)," ")))="READY","Ready",IF(UPPER(TRIM(SUBSTITUTE(SUBSTITUTE(SUBSTITUTE(SUBSTITUTE(INDEX(PASTE_ALL,$DF299,$L$18)," "," "),CHAR(9)," "),CHAR(10)," "),CHAR(13)," ")))="PM","PM",IF(OR(UPPER(TRIM(SUBSTITUTE(SUBSTITUTE(SUBSTITUTE(SUBSTITUTE(INDEX(PASTE_ALL,$DF299,$L$18)," "," "),CHAR(9)," "),CHAR(10)," "),CHAR(13)," ")))="OT",UPPER(TRIM(SUBSTITUTE(SUBSTITUTE(SUBSTITUTE(SUBSTITUTE(INDEX(PASTE_ALL,$DF299,$L$18)," "," "),CHAR(9)," "),CHAR(10)," "),CHAR(13)," ")))="OVERTIME",UPPER(TRIM(SUBSTITUTE(SUBSTITUTE(SUBSTITUTE(SUBSTITUTE(INDEX(PASTE_ALL,$DF299,$L$18)," "," "),CHAR(9)," "),CHAR(10)," "),CHAR(13)," ")))="TRIAL"),"OT",TRIM(SUBSTITUTE(SUBSTITUTE(SUBSTITUTE(SUBSTITUTE(INDEX(PASTE_ALL,$DF299,$L$18)," "," "),CHAR(9)," "),CHAR(10)," "),CHAR(13)," "))))),"")))</f>
        <v/>
      </c>
      <c r="EC299">
        <f>IF($DM299=0,"",IF($L$19=0,"",IFERROR(IF(ISNUMBER(INDEX(PASTE_ALL,$DF299,$L$19)),INDEX(PASTE_ALL,$DF299,$L$19),TRIM(SUBSTITUTE(SUBSTITUTE(SUBSTITUTE(SUBSTITUTE(INDEX(PASTE_ALL,$DF299,$L$19)," "," "),CHAR(9)," "),CHAR(10)," "),CHAR(13)," "))),"")))</f>
        <v/>
      </c>
      <c r="ED299">
        <f>IF($DM299=0,"",MATCH(1,INDEX(EXACT($DH$5:DH299,$DH299)*$DM$5:DM299,0),0))</f>
        <v/>
      </c>
      <c r="EE299">
        <f>IF($DM299=0,0,IF($ED299=$DE299,1,0))</f>
        <v/>
      </c>
      <c r="EF299">
        <f>EF298+$EE299</f>
        <v/>
      </c>
      <c r="EG299">
        <f>IF($DM299=0,"",INDEX($EF$5:$EF$1003,$ED299))</f>
        <v/>
      </c>
      <c r="EH299">
        <f>IF($DM299=0,"",IF($DO299&lt;&gt;"","",IFERROR(LOOKUP(2,1/(($EG$4:EG298=$EG299)*($DO$4:DO298&lt;&gt;"")),$DO$4:DO298),"")))</f>
        <v/>
      </c>
      <c r="EI299">
        <f>IF($DM299=0,"",IF($DO299&lt;&gt;"",$DO299,$EH299))</f>
        <v/>
      </c>
      <c r="EJ299">
        <f>IF($DM299=0,"",IF($EI299="",0,IF(OR(ISNUMBER($EI299),AND(AND(SUBSTITUTE(SUBSTITUTE(SUBSTITUTE(SUBSTITUTE(SUBSTITUTE(SUBSTITUTE(SUBSTITUTE(SUBSTITUTE(SUBSTITUTE(SUBSTITUTE(SUBSTITUTE(SUBSTITUTE(SUBSTITUTE(SUBSTITUTE(UPPER($EI299),"0",""),"1",""),"2",""),"3",""),"4",""),"5",""),"6",""),"7",""),"8",""),"9",""),".",""),"+",""),"-",""),"E","")="",LEN(SUBSTITUTE(SUBSTITUTE(MID(UPPER($EI299),1+OR(LEFT(UPPER($EI299),1)="+",LEFT(UPPER($EI299),1)="-"),999),"E+","E"),"E-","E"))=LEN(SUBSTITUTE(SUBSTITUTE(SUBSTITUTE(SUBSTITUTE(MID(UPPER($EI299),1+OR(LEFT(UPPER($EI299),1)="+",LEFT(UPPER($EI299),1)="-"),999),"E+","E"),"E-","E"),"+",""),"-","")),LEN(UPPER($EI299))-LEN(SUBSTITUTE(UPPER($EI299),"E",""))&lt;2,LEN(UPPER($EI299))-LEN(SUBSTITUTE(UPPER($EI299),".",""))&lt;2,IFERROR(FIND(".",UPPER($EI299)),0)&lt;IFERROR(FIND("E",UPPER($EI299)),999)),ISNUMBER(VALUE($EI299)))),1,2)))</f>
        <v/>
      </c>
      <c r="EK299">
        <f>IF($DM299=0,"",IF($EJ299=1,IF(ISNUMBER($EI299),$EI299,VALUE($EI299)),IF($EJ299=2,$DE299,0)))</f>
        <v/>
      </c>
      <c r="EL299">
        <f>IF($DM299=0,"",COUNTIF($EG$5:$EG$1003,"&lt;"&amp;$EG299)+SUMPRODUCT(($EG$5:$EG$1003=$EG299)*(($EJ$5:$EJ$1003&lt;$EJ299)+($EJ$5:$EJ$1003=$EJ299)*(($EK$5:$EK$1003&lt;$EK299)+($EK$5:$EK$1003=$EK299)*($DE$5:$DE$1003&lt;$DE299))))+1)</f>
        <v/>
      </c>
      <c r="EM299">
        <f>IF($DM299=0,"",$EL299+$EG299-1)</f>
        <v/>
      </c>
      <c r="EN299">
        <f>IF($DM299=0,0,IFERROR(MATCH(1,INDEX(--(TRIM(SUBSTITUTE(SUBSTITUTE(SUBSTITUTE(SUBSTITUTE(LINES_NAME&amp;""," "," "),CHAR(9)," "),CHAR(10)," "),CHAR(13)," "))=$DH299),0),0),0))</f>
        <v/>
      </c>
      <c r="EO299">
        <f>IF($EN299=0,0,IF(OR(UPPER(TRIM(INDEX(LINES_SCHEDULED,$EN299)&amp;""))="YES",UPPER(TRIM(INDEX(LINES_SCHEDULED,$EN299)&amp;""))="Y",UPPER(TRIM(INDEX(LINES_SCHEDULED,$EN299)&amp;""))="X"),1,0))</f>
        <v/>
      </c>
      <c r="EP299">
        <f>IF($DM299=0,"",IF(COUNTIFS($EG$5:$EG$1003,$EG299,$EB$5:$EB$1003,"Ready")&gt;0,"READY",IF(COUNTIFS($EG$5:$EG$1003,$EG299,$EB$5:$EB$1003,"PM")&gt;0,"PM",IF(COUNTIFS($EG$5:$EG$1003,$EG299,$EB$5:$EB$1003,"OT")&gt;0,"OT",""))))</f>
        <v/>
      </c>
      <c r="EQ299">
        <f>IF($EN299=0,"",UPPER(TRIM(INDEX(LINES_STATUS,$EN299)&amp;"")))</f>
        <v/>
      </c>
      <c r="ER299">
        <f>IF($DM299=0,"",IF(OR($EQ299="READY",$EQ299="PM",$EQ299="OT"),$EQ299,$EP299))</f>
        <v/>
      </c>
      <c r="ES299">
        <f>IF($DM299=0,"",IF(AND($DV299&lt;&gt;"",UPPER($DV299)&lt;&gt;"N"),"allergen",IF(ISNUMBER(SEARCH("oil",$DQ299)),"oil",IF(OR(EXACT($DS299,"A662"),EXACT($DS299,"A624")),"bulk",""))))</f>
        <v/>
      </c>
      <c r="ET299">
        <f>IF($DM299=0,"",IF(OR($EA299="",$EA299=0),"",$EA299/100))</f>
        <v/>
      </c>
      <c r="EU299">
        <f>IF(OR($ET299="",$DY299=""),"",INT($DY299*(1-$ET299)+0.5))</f>
        <v/>
      </c>
      <c r="EW299" t="n">
        <v>295</v>
      </c>
      <c r="EX299">
        <f>IFERROR(MATCH($EW299,$EM$5:$EM$1003,0),0)</f>
        <v/>
      </c>
      <c r="EY299">
        <f>IF($EW299&gt;$B$12,"",IF($EX299&gt;0,"row","spacer"))</f>
        <v/>
      </c>
      <c r="EZ299">
        <f>IF(AND($EY299="row",$EY298&lt;&gt;"row"),1,0)</f>
        <v/>
      </c>
      <c r="FA299">
        <f>IF(AND($EY299="row",$EY300&lt;&gt;"row"),1,0)</f>
        <v/>
      </c>
      <c r="FB299">
        <f>IF($EZ299=1,IFERROR(IF(ISNUMBER(INDEX(PASTE_ALL,INDEX($DF$5:$DF$1003,$EX299),$B$37)),INDEX(PASTE_ALL,INDEX($DF$5:$DF$1003,$EX299),$B$37),INDEX($DH$5:$DH$1003,$EX299)),INDEX($DH$5:$DH$1003,$EX299)),"")</f>
        <v/>
      </c>
      <c r="FC299">
        <f>IF($EY299="row",INDEX($ER$5:$ER$1003,$EX299),"")</f>
        <v/>
      </c>
      <c r="FD299">
        <f>IF($EY299="row",INDEX($DN$5:$DN$1003,$EX299),"")</f>
        <v/>
      </c>
      <c r="FE299">
        <f>IF($EY299="row",INDEX($DO$5:$DO$1003,$EX299),"")</f>
        <v/>
      </c>
      <c r="FF299">
        <f>IF($EY299="row",INDEX($DP$5:$DP$1003,$EX299),"")</f>
        <v/>
      </c>
      <c r="FG299">
        <f>IF($EY299="row",INDEX($DQ$5:$DQ$1003,$EX299),"")</f>
        <v/>
      </c>
      <c r="FH299">
        <f>IF($EY299="row",INDEX($DR$5:$DR$1003,$EX299),"")</f>
        <v/>
      </c>
      <c r="FI299">
        <f>IF($EY299="row",INDEX($DS$5:$DS$1003,$EX299),"")</f>
        <v/>
      </c>
      <c r="FJ299">
        <f>IF($EY299="row",INDEX($DT$5:$DT$1003,$EX299),"")</f>
        <v/>
      </c>
      <c r="FK299">
        <f>IF($EY299="row",INDEX($DU$5:$DU$1003,$EX299),"")</f>
        <v/>
      </c>
      <c r="FL299">
        <f>IF($EY299="row",INDEX($DV$5:$DV$1003,$EX299),"")</f>
        <v/>
      </c>
      <c r="FM299">
        <f>IF($EY299="row",INDEX($DW$5:$DW$1003,$EX299),"")</f>
        <v/>
      </c>
      <c r="FN299">
        <f>IF($EY299="row",INDEX($DY$5:$DY$1003,$EX299),"")</f>
        <v/>
      </c>
      <c r="FO299">
        <f>IF($EY299="row",INDEX($EA$5:$EA$1003,$EX299),"")</f>
        <v/>
      </c>
      <c r="FP299">
        <f>IF($EY299="row",INDEX($EC$5:$EC$1003,$EX299),"")</f>
        <v/>
      </c>
      <c r="FQ299">
        <f>IF($EY299="row",INDEX($ET$5:$ET$1003,$EX299),"")</f>
        <v/>
      </c>
      <c r="FR299">
        <f>IF($EY299="row",INDEX($EU$5:$EU$1003,$EX299),"")</f>
        <v/>
      </c>
      <c r="FS299">
        <f>IF(AND($EY299="row",$EY298="row"),IF(OR(INDEX($DT$5:$DT$1003,$EX298)="",INDEX($DT$5:$DT$1003,$EX299)=""),"",IF(NOT(EXACT(INDEX($DT$5:$DT$1003,$EX298),INDEX($DT$5:$DT$1003,$EX299))),"S4",IF(NOT(EXACT(INDEX($DS$5:$DS$1003,$EX298),INDEX($DS$5:$DS$1003,$EX299))),"S3",IF(NOT(EXACT(INDEX($DR$5:$DR$1003,$EX298),INDEX($DR$5:$DR$1003,$EX299))),"S1 Count Change","S1")))),"")</f>
        <v/>
      </c>
      <c r="FT299">
        <f>IF($EY299="row",INDEX($ES$5:$ES$1003,$EX299),"")</f>
        <v/>
      </c>
      <c r="FU299">
        <f>IF($EY299="row",INDEX($EO$5:$EO$1003,$EX299),0)</f>
        <v/>
      </c>
      <c r="FV299">
        <f>IF($FS299="S1 Count Change",1,0)</f>
        <v/>
      </c>
    </row>
    <row r="300">
      <c r="DA300" t="n">
        <v>296</v>
      </c>
      <c r="DB300">
        <f>IF($B$37=0,"",IFERROR(TRIM(SUBSTITUTE(SUBSTITUTE(SUBSTITUTE(SUBSTITUTE(INDEX(PASTE_ALL,296,$B$37)," "," "),CHAR(9)," "),CHAR(10)," "),CHAR(13)," ")),""))</f>
        <v/>
      </c>
      <c r="DC300">
        <f>IF(AND(296&gt;HEADER_ROW,UPPER(DB300)="LEGEND"),1,0)</f>
        <v/>
      </c>
      <c r="DE300" t="n">
        <v>296</v>
      </c>
      <c r="DF300">
        <f>HEADER_ROW+$DE300</f>
        <v/>
      </c>
      <c r="DG300">
        <f>IF(AND($DF300&lt;=1000,$DF300&lt;$B$8),1,0)</f>
        <v/>
      </c>
      <c r="DH300">
        <f>IF($DG300=1,IFERROR(INDEX($DB$5:$DB$1004,$DF300),""),"")</f>
        <v/>
      </c>
      <c r="DI300">
        <f>IF(AND($DG300=1,$DH300&lt;&gt;""),IFERROR(SUBSTITUTE(SUBSTITUTE(TRIM(SUBSTITUTE(SUBSTITUTE(SUBSTITUTE(SUBSTITUTE(IFERROR(INDEX(PASTE_ALL,$DF300,1)&amp;"","")&amp;"␟"&amp;IFERROR(INDEX(PASTE_ALL,$DF300,2)&amp;"","")&amp;"␟"&amp;IFERROR(INDEX(PASTE_ALL,$DF300,3)&amp;"","")&amp;"␟"&amp;IFERROR(INDEX(PASTE_ALL,$DF300,4)&amp;"","")&amp;"␟"&amp;IFERROR(INDEX(PASTE_ALL,$DF300,5)&amp;"","")&amp;"␟"&amp;IFERROR(INDEX(PASTE_ALL,$DF300,6)&amp;"","")&amp;"␟"&amp;IFERROR(INDEX(PASTE_ALL,$DF300,7)&amp;"","")&amp;"␟"&amp;IFERROR(INDEX(PASTE_ALL,$DF300,8)&amp;"","")&amp;"␟"&amp;IFERROR(INDEX(PASTE_ALL,$DF300,9)&amp;"","")&amp;"␟"&amp;IFERROR(INDEX(PASTE_ALL,$DF300,10)&amp;"","")&amp;"␟"&amp;IFERROR(INDEX(PASTE_ALL,$DF300,11)&amp;"","")&amp;"␟"&amp;IFERROR(INDEX(PASTE_ALL,$DF300,12)&amp;"","")&amp;"␟"&amp;IFERROR(INDEX(PASTE_ALL,$DF300,13)&amp;"","")&amp;"␟"&amp;IFERROR(INDEX(PASTE_ALL,$DF300,14)&amp;"","")&amp;"␟"&amp;IFERROR(INDEX(PASTE_ALL,$DF300,15)&amp;"","")&amp;"␟"&amp;IFERROR(INDEX(PASTE_ALL,$DF300,16)&amp;"","")&amp;"␟"&amp;IFERROR(INDEX(PASTE_ALL,$DF300,17)&amp;"","")&amp;"␟"&amp;IFERROR(INDEX(PASTE_ALL,$DF300,18)&amp;"","")&amp;"␟"&amp;IFERROR(INDEX(PASTE_ALL,$DF300,19)&amp;"","")&amp;"␟"&amp;IFERROR(INDEX(PASTE_ALL,$DF300,20)&amp;"","")&amp;"␟"&amp;IFERROR(INDEX(PASTE_ALL,$DF300,21)&amp;"","")&amp;"␟"&amp;IFERROR(INDEX(PASTE_ALL,$DF300,22)&amp;"","")&amp;"␟"&amp;IFERROR(INDEX(PASTE_ALL,$DF300,23)&amp;"","")&amp;"␟"&amp;IFERROR(INDEX(PASTE_ALL,$DF300,24)&amp;"","")&amp;"␟"&amp;IFERROR(INDEX(PASTE_ALL,$DF300,25)&amp;"","")&amp;"␟"&amp;IFERROR(INDEX(PASTE_ALL,$DF300,26)&amp;"","")&amp;"␟"&amp;IFERROR(INDEX(PASTE_ALL,$DF300,27)&amp;"","")&amp;"␟"&amp;IFERROR(INDEX(PASTE_ALL,$DF300,28)&amp;"","")&amp;"␟"&amp;IFERROR(INDEX(PASTE_ALL,$DF300,29)&amp;"","")&amp;"␟"&amp;IFERROR(INDEX(PASTE_ALL,$DF300,30)&amp;"","")&amp;"␟"&amp;IFERROR(INDEX(PASTE_ALL,$DF300,31)&amp;"","")&amp;"␟"&amp;IFERROR(INDEX(PASTE_ALL,$DF300,32)&amp;"","")&amp;"␟"&amp;IFERROR(INDEX(PASTE_ALL,$DF300,33)&amp;"","")&amp;"␟"&amp;IFERROR(INDEX(PASTE_ALL,$DF300,34)&amp;"","")&amp;"␟"&amp;IFERROR(INDEX(PASTE_ALL,$DF300,35)&amp;"","")&amp;"␟"&amp;IFERROR(INDEX(PASTE_ALL,$DF300,36)&amp;"","")&amp;"␟"&amp;IFERROR(INDEX(PASTE_ALL,$DF300,37)&amp;"","")&amp;"␟"&amp;IFERROR(INDEX(PASTE_ALL,$DF300,38)&amp;"","")&amp;"␟"&amp;IFERROR(INDEX(PASTE_ALL,$DF300,39)&amp;"","")&amp;"␟"&amp;IFERROR(INDEX(PASTE_ALL,$DF300,40)&amp;"","")&amp;"␟"&amp;IFERROR(INDEX(PASTE_ALL,$DF300,41)&amp;"","")&amp;"␟"&amp;IFERROR(INDEX(PASTE_ALL,$DF300,42)&amp;"","")&amp;"␟"&amp;IFERROR(INDEX(PASTE_ALL,$DF300,43)&amp;"","")&amp;"␟"&amp;IFERROR(INDEX(PASTE_ALL,$DF300,44)&amp;"","")&amp;"␟"&amp;IFERROR(INDEX(PASTE_ALL,$DF300,45)&amp;"","")&amp;"␟"&amp;IFERROR(INDEX(PASTE_ALL,$DF300,46)&amp;"","")&amp;"␟"&amp;IFERROR(INDEX(PASTE_ALL,$DF300,47)&amp;"","")&amp;"␟"&amp;IFERROR(INDEX(PASTE_ALL,$DF300,48)&amp;"","")&amp;"␟"&amp;IFERROR(INDEX(PASTE_ALL,$DF300,49)&amp;"","")&amp;"␟"&amp;IFERROR(INDEX(PASTE_ALL,$DF300,50)&amp;"","")&amp;"␟"&amp;IFERROR(INDEX(PASTE_ALL,$DF300,51)&amp;"","")&amp;"␟"&amp;IFERROR(INDEX(PASTE_ALL,$DF300,52)&amp;"","")&amp;"␟"&amp;IFERROR(INDEX(PASTE_ALL,$DF300,53)&amp;"","")&amp;"␟"&amp;IFERROR(INDEX(PASTE_ALL,$DF300,54)&amp;"","")&amp;"␟"&amp;IFERROR(INDEX(PASTE_ALL,$DF300,55)&amp;"","")&amp;"␟"&amp;IFERROR(INDEX(PASTE_ALL,$DF300,56)&amp;"","")&amp;"␟"&amp;IFERROR(INDEX(PASTE_ALL,$DF300,57)&amp;"","")&amp;"␟"&amp;IFERROR(INDEX(PASTE_ALL,$DF300,58)&amp;"","")&amp;"␟"&amp;IFERROR(INDEX(PASTE_ALL,$DF300,59)&amp;"","")&amp;"␟"&amp;IFERROR(INDEX(PASTE_ALL,$DF300,60)&amp;"","")," "," "),CHAR(9)," "),CHAR(10)," "),CHAR(13)," "))," ␟","␟"),"␟ ","␟"),"#"&amp;$DE300),"")</f>
        <v/>
      </c>
      <c r="DJ300">
        <f>IF($DI300="",0,IF(SUMPRODUCT(--EXACT($DI$4:DI299,$DI300))&gt;0,1,0))</f>
        <v/>
      </c>
      <c r="DK300">
        <f>IF(AND($DI300&lt;&gt;"",$DJ300=0),1,0)</f>
        <v/>
      </c>
      <c r="DL300">
        <f>DL299+$DK300</f>
        <v/>
      </c>
      <c r="DM300">
        <f>IF(AND($DK300=1,$DL300&lt;=600),1,0)</f>
        <v/>
      </c>
      <c r="DN300">
        <f>IF($DM300=0,"",IF($L$6=0,"",IFERROR(IF(ISNUMBER(INDEX(PASTE_ALL,$DF300,$L$6)),INDEX(PASTE_ALL,$DF300,$L$6),TRIM(SUBSTITUTE(SUBSTITUTE(SUBSTITUTE(SUBSTITUTE(INDEX(PASTE_ALL,$DF300,$L$6)," "," "),CHAR(9)," "),CHAR(10)," "),CHAR(13)," "))),"")))</f>
        <v/>
      </c>
      <c r="DO300">
        <f>IF($DM300=0,"",IF($L$7=0,"",IFERROR(IF(ISNUMBER(INDEX(PASTE_ALL,$DF300,$L$7)),INDEX(PASTE_ALL,$DF300,$L$7),TRIM(SUBSTITUTE(SUBSTITUTE(SUBSTITUTE(SUBSTITUTE(INDEX(PASTE_ALL,$DF300,$L$7)," "," "),CHAR(9)," "),CHAR(10)," "),CHAR(13)," "))),"")))</f>
        <v/>
      </c>
      <c r="DP300">
        <f>IF($DM300=0,"",IF($L$8=0,"",IFERROR(IF(ISNUMBER(INDEX(PASTE_ALL,$DF300,$L$8)),INDEX(PASTE_ALL,$DF300,$L$8),TRIM(SUBSTITUTE(SUBSTITUTE(SUBSTITUTE(SUBSTITUTE(INDEX(PASTE_ALL,$DF300,$L$8)," "," "),CHAR(9)," "),CHAR(10)," "),CHAR(13)," "))),"")))</f>
        <v/>
      </c>
      <c r="DQ300">
        <f>IF($DM300=0,"",IF($L$9=0,"",IFERROR(IF(ISNUMBER(INDEX(PASTE_ALL,$DF300,$L$9)),INDEX(PASTE_ALL,$DF300,$L$9),TRIM(SUBSTITUTE(SUBSTITUTE(SUBSTITUTE(SUBSTITUTE(INDEX(PASTE_ALL,$DF300,$L$9)," "," "),CHAR(9)," "),CHAR(10)," "),CHAR(13)," "))),"")))</f>
        <v/>
      </c>
      <c r="DR300">
        <f>IF($DM300=0,"",IF($L$10=0,"",IFERROR(IF(ISNUMBER(INDEX(PASTE_ALL,$DF300,$L$10)),INDEX(PASTE_ALL,$DF300,$L$10),TRIM(SUBSTITUTE(SUBSTITUTE(SUBSTITUTE(SUBSTITUTE(INDEX(PASTE_ALL,$DF300,$L$10)," "," "),CHAR(9)," "),CHAR(10)," "),CHAR(13)," "))),"")))</f>
        <v/>
      </c>
      <c r="DS300">
        <f>IF($DM300=0,"",IF($L$11=0,"",IFERROR(IF(ISNUMBER(INDEX(PASTE_ALL,$DF300,$L$11)),INDEX(PASTE_ALL,$DF300,$L$11),TRIM(SUBSTITUTE(SUBSTITUTE(SUBSTITUTE(SUBSTITUTE(INDEX(PASTE_ALL,$DF300,$L$11)," "," "),CHAR(9)," "),CHAR(10)," "),CHAR(13)," "))),"")))</f>
        <v/>
      </c>
      <c r="DT300">
        <f>IF($DM300=0,"",IF($L$12=0,"",IFERROR(IF(ISNUMBER(INDEX(PASTE_ALL,$DF300,$L$12)),INDEX(PASTE_ALL,$DF300,$L$12),TRIM(SUBSTITUTE(SUBSTITUTE(SUBSTITUTE(SUBSTITUTE(INDEX(PASTE_ALL,$DF300,$L$12)," "," "),CHAR(9)," "),CHAR(10)," "),CHAR(13)," "))),"")))</f>
        <v/>
      </c>
      <c r="DU300">
        <f>IF($DM300=0,"",IF($L$13=0,"",IFERROR(IF(ISNUMBER(INDEX(PASTE_ALL,$DF300,$L$13)),INDEX(PASTE_ALL,$DF300,$L$13),TRIM(SUBSTITUTE(SUBSTITUTE(SUBSTITUTE(SUBSTITUTE(INDEX(PASTE_ALL,$DF300,$L$13)," "," "),CHAR(9)," "),CHAR(10)," "),CHAR(13)," "))),"")))</f>
        <v/>
      </c>
      <c r="DV300">
        <f>IF($DM300=0,"",IF($L$14=0,"",IFERROR(IF(ISNUMBER(INDEX(PASTE_ALL,$DF300,$L$14)),INDEX(PASTE_ALL,$DF300,$L$14),TRIM(SUBSTITUTE(SUBSTITUTE(SUBSTITUTE(SUBSTITUTE(INDEX(PASTE_ALL,$DF300,$L$14)," "," "),CHAR(9)," "),CHAR(10)," "),CHAR(13)," "))),"")))</f>
        <v/>
      </c>
      <c r="DW300">
        <f>IF($DM300=0,"",IF($L$15=0,"",IFERROR(IF(ISNUMBER(INDEX(PASTE_ALL,$DF300,$L$15)),INDEX(PASTE_ALL,$DF300,$L$15),IF(SUMPRODUCT(--ISNUMBER(FIND({"A","B","C","D","E","F","G","H","I","J","K","L","M","N","O","P","Q","R","S","T","U","V","W","X","Y","Z","0","1","2","3","4","5","6","7","8","9"},UPPER(TRIM(SUBSTITUTE(SUBSTITUTE(SUBSTITUTE(SUBSTITUTE(INDEX(PASTE_ALL,$DF300,$L$15)," "," "),CHAR(9)," "),CHAR(10)," "),CHAR(13)," "))))))&gt;0,TRIM(SUBSTITUTE(SUBSTITUTE(SUBSTITUTE(SUBSTITUTE(INDEX(PASTE_ALL,$DF300,$L$15)," "," "),CHAR(9)," "),CHAR(10)," "),CHAR(13)," ")),"")),"")))</f>
        <v/>
      </c>
      <c r="DX300">
        <f>IF($DM300=0,"",IF($L$16=0,"",IFERROR(IF(ISNUMBER(INDEX(PASTE_ALL,$DF300,$L$16)),INDEX(PASTE_ALL,$DF300,$L$16),SUBSTITUTE(SUBSTITUTE(TRIM(SUBSTITUTE(SUBSTITUTE(SUBSTITUTE(SUBSTITUTE(INDEX(PASTE_ALL,$DF300,$L$16)," "," "),CHAR(9)," "),CHAR(10)," "),CHAR(13)," ")),",",""),"%","")),"")))</f>
        <v/>
      </c>
      <c r="DY300">
        <f>IF($DM300=0,"",IFERROR(IF(ISNUMBER($DX300),$DX300,IF($DX300="","",IF(TRIM($DX300)="",0,IF(AND(AND(SUBSTITUTE(SUBSTITUTE(SUBSTITUTE(SUBSTITUTE(SUBSTITUTE(SUBSTITUTE(SUBSTITUTE(SUBSTITUTE(SUBSTITUTE(SUBSTITUTE(SUBSTITUTE(SUBSTITUTE(SUBSTITUTE(SUBSTITUTE(UPPER(TRIM($DX300)),"0",""),"1",""),"2",""),"3",""),"4",""),"5",""),"6",""),"7",""),"8",""),"9",""),".",""),"+",""),"-",""),"E","")="",LEN(SUBSTITUTE(SUBSTITUTE(MID(UPPER(TRIM($DX300)),1+OR(LEFT(UPPER(TRIM($DX300)),1)="+",LEFT(UPPER(TRIM($DX300)),1)="-"),999),"E+","E"),"E-","E"))=LEN(SUBSTITUTE(SUBSTITUTE(SUBSTITUTE(SUBSTITUTE(MID(UPPER(TRIM($DX300)),1+OR(LEFT(UPPER(TRIM($DX300)),1)="+",LEFT(UPPER(TRIM($DX300)),1)="-"),999),"E+","E"),"E-","E"),"+",""),"-","")),LEN(UPPER(TRIM($DX300)))-LEN(SUBSTITUTE(UPPER(TRIM($DX300)),"E",""))&lt;2,LEN(UPPER(TRIM($DX300)))-LEN(SUBSTITUTE(UPPER(TRIM($DX300)),".",""))&lt;2,IFERROR(FIND(".",UPPER(TRIM($DX300))),0)&lt;IFERROR(FIND("E",UPPER(TRIM($DX300))),999)),ISNUMBER(VALUE(TRIM($DX300)))),VALUE(TRIM($DX300)),"")))),""))</f>
        <v/>
      </c>
      <c r="DZ300">
        <f>IF($DM300=0,"",IF($L$17=0,"",IFERROR(IF(ISNUMBER(INDEX(PASTE_ALL,$DF300,$L$17)),INDEX(PASTE_ALL,$DF300,$L$17),SUBSTITUTE(SUBSTITUTE(TRIM(SUBSTITUTE(SUBSTITUTE(SUBSTITUTE(SUBSTITUTE(INDEX(PASTE_ALL,$DF300,$L$17)," "," "),CHAR(9)," "),CHAR(10)," "),CHAR(13)," ")),",",""),"%","")),"")))</f>
        <v/>
      </c>
      <c r="EA300">
        <f>IF($DM300=0,"",IFERROR(IF(ISNUMBER($DZ300),$DZ300,IF($DZ300="","",IF(TRIM($DZ300)="",0,IF(AND(AND(SUBSTITUTE(SUBSTITUTE(SUBSTITUTE(SUBSTITUTE(SUBSTITUTE(SUBSTITUTE(SUBSTITUTE(SUBSTITUTE(SUBSTITUTE(SUBSTITUTE(SUBSTITUTE(SUBSTITUTE(SUBSTITUTE(SUBSTITUTE(UPPER(TRIM($DZ300)),"0",""),"1",""),"2",""),"3",""),"4",""),"5",""),"6",""),"7",""),"8",""),"9",""),".",""),"+",""),"-",""),"E","")="",LEN(SUBSTITUTE(SUBSTITUTE(MID(UPPER(TRIM($DZ300)),1+OR(LEFT(UPPER(TRIM($DZ300)),1)="+",LEFT(UPPER(TRIM($DZ300)),1)="-"),999),"E+","E"),"E-","E"))=LEN(SUBSTITUTE(SUBSTITUTE(SUBSTITUTE(SUBSTITUTE(MID(UPPER(TRIM($DZ300)),1+OR(LEFT(UPPER(TRIM($DZ300)),1)="+",LEFT(UPPER(TRIM($DZ300)),1)="-"),999),"E+","E"),"E-","E"),"+",""),"-","")),LEN(UPPER(TRIM($DZ300)))-LEN(SUBSTITUTE(UPPER(TRIM($DZ300)),"E",""))&lt;2,LEN(UPPER(TRIM($DZ300)))-LEN(SUBSTITUTE(UPPER(TRIM($DZ300)),".",""))&lt;2,IFERROR(FIND(".",UPPER(TRIM($DZ300))),0)&lt;IFERROR(FIND("E",UPPER(TRIM($DZ300))),999)),ISNUMBER(VALUE(TRIM($DZ300)))),VALUE(TRIM($DZ300)),"")))),""))</f>
        <v/>
      </c>
      <c r="EB300">
        <f>IF($DM300=0,"",IF($L$18=0,"",IFERROR(IF(UPPER(TRIM(SUBSTITUTE(SUBSTITUTE(SUBSTITUTE(SUBSTITUTE(INDEX(PASTE_ALL,$DF300,$L$18)," "," "),CHAR(9)," "),CHAR(10)," "),CHAR(13)," ")))="READY","Ready",IF(UPPER(TRIM(SUBSTITUTE(SUBSTITUTE(SUBSTITUTE(SUBSTITUTE(INDEX(PASTE_ALL,$DF300,$L$18)," "," "),CHAR(9)," "),CHAR(10)," "),CHAR(13)," ")))="PM","PM",IF(OR(UPPER(TRIM(SUBSTITUTE(SUBSTITUTE(SUBSTITUTE(SUBSTITUTE(INDEX(PASTE_ALL,$DF300,$L$18)," "," "),CHAR(9)," "),CHAR(10)," "),CHAR(13)," ")))="OT",UPPER(TRIM(SUBSTITUTE(SUBSTITUTE(SUBSTITUTE(SUBSTITUTE(INDEX(PASTE_ALL,$DF300,$L$18)," "," "),CHAR(9)," "),CHAR(10)," "),CHAR(13)," ")))="OVERTIME",UPPER(TRIM(SUBSTITUTE(SUBSTITUTE(SUBSTITUTE(SUBSTITUTE(INDEX(PASTE_ALL,$DF300,$L$18)," "," "),CHAR(9)," "),CHAR(10)," "),CHAR(13)," ")))="TRIAL"),"OT",TRIM(SUBSTITUTE(SUBSTITUTE(SUBSTITUTE(SUBSTITUTE(INDEX(PASTE_ALL,$DF300,$L$18)," "," "),CHAR(9)," "),CHAR(10)," "),CHAR(13)," "))))),"")))</f>
        <v/>
      </c>
      <c r="EC300">
        <f>IF($DM300=0,"",IF($L$19=0,"",IFERROR(IF(ISNUMBER(INDEX(PASTE_ALL,$DF300,$L$19)),INDEX(PASTE_ALL,$DF300,$L$19),TRIM(SUBSTITUTE(SUBSTITUTE(SUBSTITUTE(SUBSTITUTE(INDEX(PASTE_ALL,$DF300,$L$19)," "," "),CHAR(9)," "),CHAR(10)," "),CHAR(13)," "))),"")))</f>
        <v/>
      </c>
      <c r="ED300">
        <f>IF($DM300=0,"",MATCH(1,INDEX(EXACT($DH$5:DH300,$DH300)*$DM$5:DM300,0),0))</f>
        <v/>
      </c>
      <c r="EE300">
        <f>IF($DM300=0,0,IF($ED300=$DE300,1,0))</f>
        <v/>
      </c>
      <c r="EF300">
        <f>EF299+$EE300</f>
        <v/>
      </c>
      <c r="EG300">
        <f>IF($DM300=0,"",INDEX($EF$5:$EF$1003,$ED300))</f>
        <v/>
      </c>
      <c r="EH300">
        <f>IF($DM300=0,"",IF($DO300&lt;&gt;"","",IFERROR(LOOKUP(2,1/(($EG$4:EG299=$EG300)*($DO$4:DO299&lt;&gt;"")),$DO$4:DO299),"")))</f>
        <v/>
      </c>
      <c r="EI300">
        <f>IF($DM300=0,"",IF($DO300&lt;&gt;"",$DO300,$EH300))</f>
        <v/>
      </c>
      <c r="EJ300">
        <f>IF($DM300=0,"",IF($EI300="",0,IF(OR(ISNUMBER($EI300),AND(AND(SUBSTITUTE(SUBSTITUTE(SUBSTITUTE(SUBSTITUTE(SUBSTITUTE(SUBSTITUTE(SUBSTITUTE(SUBSTITUTE(SUBSTITUTE(SUBSTITUTE(SUBSTITUTE(SUBSTITUTE(SUBSTITUTE(SUBSTITUTE(UPPER($EI300),"0",""),"1",""),"2",""),"3",""),"4",""),"5",""),"6",""),"7",""),"8",""),"9",""),".",""),"+",""),"-",""),"E","")="",LEN(SUBSTITUTE(SUBSTITUTE(MID(UPPER($EI300),1+OR(LEFT(UPPER($EI300),1)="+",LEFT(UPPER($EI300),1)="-"),999),"E+","E"),"E-","E"))=LEN(SUBSTITUTE(SUBSTITUTE(SUBSTITUTE(SUBSTITUTE(MID(UPPER($EI300),1+OR(LEFT(UPPER($EI300),1)="+",LEFT(UPPER($EI300),1)="-"),999),"E+","E"),"E-","E"),"+",""),"-","")),LEN(UPPER($EI300))-LEN(SUBSTITUTE(UPPER($EI300),"E",""))&lt;2,LEN(UPPER($EI300))-LEN(SUBSTITUTE(UPPER($EI300),".",""))&lt;2,IFERROR(FIND(".",UPPER($EI300)),0)&lt;IFERROR(FIND("E",UPPER($EI300)),999)),ISNUMBER(VALUE($EI300)))),1,2)))</f>
        <v/>
      </c>
      <c r="EK300">
        <f>IF($DM300=0,"",IF($EJ300=1,IF(ISNUMBER($EI300),$EI300,VALUE($EI300)),IF($EJ300=2,$DE300,0)))</f>
        <v/>
      </c>
      <c r="EL300">
        <f>IF($DM300=0,"",COUNTIF($EG$5:$EG$1003,"&lt;"&amp;$EG300)+SUMPRODUCT(($EG$5:$EG$1003=$EG300)*(($EJ$5:$EJ$1003&lt;$EJ300)+($EJ$5:$EJ$1003=$EJ300)*(($EK$5:$EK$1003&lt;$EK300)+($EK$5:$EK$1003=$EK300)*($DE$5:$DE$1003&lt;$DE300))))+1)</f>
        <v/>
      </c>
      <c r="EM300">
        <f>IF($DM300=0,"",$EL300+$EG300-1)</f>
        <v/>
      </c>
      <c r="EN300">
        <f>IF($DM300=0,0,IFERROR(MATCH(1,INDEX(--(TRIM(SUBSTITUTE(SUBSTITUTE(SUBSTITUTE(SUBSTITUTE(LINES_NAME&amp;""," "," "),CHAR(9)," "),CHAR(10)," "),CHAR(13)," "))=$DH300),0),0),0))</f>
        <v/>
      </c>
      <c r="EO300">
        <f>IF($EN300=0,0,IF(OR(UPPER(TRIM(INDEX(LINES_SCHEDULED,$EN300)&amp;""))="YES",UPPER(TRIM(INDEX(LINES_SCHEDULED,$EN300)&amp;""))="Y",UPPER(TRIM(INDEX(LINES_SCHEDULED,$EN300)&amp;""))="X"),1,0))</f>
        <v/>
      </c>
      <c r="EP300">
        <f>IF($DM300=0,"",IF(COUNTIFS($EG$5:$EG$1003,$EG300,$EB$5:$EB$1003,"Ready")&gt;0,"READY",IF(COUNTIFS($EG$5:$EG$1003,$EG300,$EB$5:$EB$1003,"PM")&gt;0,"PM",IF(COUNTIFS($EG$5:$EG$1003,$EG300,$EB$5:$EB$1003,"OT")&gt;0,"OT",""))))</f>
        <v/>
      </c>
      <c r="EQ300">
        <f>IF($EN300=0,"",UPPER(TRIM(INDEX(LINES_STATUS,$EN300)&amp;"")))</f>
        <v/>
      </c>
      <c r="ER300">
        <f>IF($DM300=0,"",IF(OR($EQ300="READY",$EQ300="PM",$EQ300="OT"),$EQ300,$EP300))</f>
        <v/>
      </c>
      <c r="ES300">
        <f>IF($DM300=0,"",IF(AND($DV300&lt;&gt;"",UPPER($DV300)&lt;&gt;"N"),"allergen",IF(ISNUMBER(SEARCH("oil",$DQ300)),"oil",IF(OR(EXACT($DS300,"A662"),EXACT($DS300,"A624")),"bulk",""))))</f>
        <v/>
      </c>
      <c r="ET300">
        <f>IF($DM300=0,"",IF(OR($EA300="",$EA300=0),"",$EA300/100))</f>
        <v/>
      </c>
      <c r="EU300">
        <f>IF(OR($ET300="",$DY300=""),"",INT($DY300*(1-$ET300)+0.5))</f>
        <v/>
      </c>
      <c r="EW300" t="n">
        <v>296</v>
      </c>
      <c r="EX300">
        <f>IFERROR(MATCH($EW300,$EM$5:$EM$1003,0),0)</f>
        <v/>
      </c>
      <c r="EY300">
        <f>IF($EW300&gt;$B$12,"",IF($EX300&gt;0,"row","spacer"))</f>
        <v/>
      </c>
      <c r="EZ300">
        <f>IF(AND($EY300="row",$EY299&lt;&gt;"row"),1,0)</f>
        <v/>
      </c>
      <c r="FA300">
        <f>IF(AND($EY300="row",$EY301&lt;&gt;"row"),1,0)</f>
        <v/>
      </c>
      <c r="FB300">
        <f>IF($EZ300=1,IFERROR(IF(ISNUMBER(INDEX(PASTE_ALL,INDEX($DF$5:$DF$1003,$EX300),$B$37)),INDEX(PASTE_ALL,INDEX($DF$5:$DF$1003,$EX300),$B$37),INDEX($DH$5:$DH$1003,$EX300)),INDEX($DH$5:$DH$1003,$EX300)),"")</f>
        <v/>
      </c>
      <c r="FC300">
        <f>IF($EY300="row",INDEX($ER$5:$ER$1003,$EX300),"")</f>
        <v/>
      </c>
      <c r="FD300">
        <f>IF($EY300="row",INDEX($DN$5:$DN$1003,$EX300),"")</f>
        <v/>
      </c>
      <c r="FE300">
        <f>IF($EY300="row",INDEX($DO$5:$DO$1003,$EX300),"")</f>
        <v/>
      </c>
      <c r="FF300">
        <f>IF($EY300="row",INDEX($DP$5:$DP$1003,$EX300),"")</f>
        <v/>
      </c>
      <c r="FG300">
        <f>IF($EY300="row",INDEX($DQ$5:$DQ$1003,$EX300),"")</f>
        <v/>
      </c>
      <c r="FH300">
        <f>IF($EY300="row",INDEX($DR$5:$DR$1003,$EX300),"")</f>
        <v/>
      </c>
      <c r="FI300">
        <f>IF($EY300="row",INDEX($DS$5:$DS$1003,$EX300),"")</f>
        <v/>
      </c>
      <c r="FJ300">
        <f>IF($EY300="row",INDEX($DT$5:$DT$1003,$EX300),"")</f>
        <v/>
      </c>
      <c r="FK300">
        <f>IF($EY300="row",INDEX($DU$5:$DU$1003,$EX300),"")</f>
        <v/>
      </c>
      <c r="FL300">
        <f>IF($EY300="row",INDEX($DV$5:$DV$1003,$EX300),"")</f>
        <v/>
      </c>
      <c r="FM300">
        <f>IF($EY300="row",INDEX($DW$5:$DW$1003,$EX300),"")</f>
        <v/>
      </c>
      <c r="FN300">
        <f>IF($EY300="row",INDEX($DY$5:$DY$1003,$EX300),"")</f>
        <v/>
      </c>
      <c r="FO300">
        <f>IF($EY300="row",INDEX($EA$5:$EA$1003,$EX300),"")</f>
        <v/>
      </c>
      <c r="FP300">
        <f>IF($EY300="row",INDEX($EC$5:$EC$1003,$EX300),"")</f>
        <v/>
      </c>
      <c r="FQ300">
        <f>IF($EY300="row",INDEX($ET$5:$ET$1003,$EX300),"")</f>
        <v/>
      </c>
      <c r="FR300">
        <f>IF($EY300="row",INDEX($EU$5:$EU$1003,$EX300),"")</f>
        <v/>
      </c>
      <c r="FS300">
        <f>IF(AND($EY300="row",$EY299="row"),IF(OR(INDEX($DT$5:$DT$1003,$EX299)="",INDEX($DT$5:$DT$1003,$EX300)=""),"",IF(NOT(EXACT(INDEX($DT$5:$DT$1003,$EX299),INDEX($DT$5:$DT$1003,$EX300))),"S4",IF(NOT(EXACT(INDEX($DS$5:$DS$1003,$EX299),INDEX($DS$5:$DS$1003,$EX300))),"S3",IF(NOT(EXACT(INDEX($DR$5:$DR$1003,$EX299),INDEX($DR$5:$DR$1003,$EX300))),"S1 Count Change","S1")))),"")</f>
        <v/>
      </c>
      <c r="FT300">
        <f>IF($EY300="row",INDEX($ES$5:$ES$1003,$EX300),"")</f>
        <v/>
      </c>
      <c r="FU300">
        <f>IF($EY300="row",INDEX($EO$5:$EO$1003,$EX300),0)</f>
        <v/>
      </c>
      <c r="FV300">
        <f>IF($FS300="S1 Count Change",1,0)</f>
        <v/>
      </c>
    </row>
    <row r="301">
      <c r="DA301" t="n">
        <v>297</v>
      </c>
      <c r="DB301">
        <f>IF($B$37=0,"",IFERROR(TRIM(SUBSTITUTE(SUBSTITUTE(SUBSTITUTE(SUBSTITUTE(INDEX(PASTE_ALL,297,$B$37)," "," "),CHAR(9)," "),CHAR(10)," "),CHAR(13)," ")),""))</f>
        <v/>
      </c>
      <c r="DC301">
        <f>IF(AND(297&gt;HEADER_ROW,UPPER(DB301)="LEGEND"),1,0)</f>
        <v/>
      </c>
      <c r="DE301" t="n">
        <v>297</v>
      </c>
      <c r="DF301">
        <f>HEADER_ROW+$DE301</f>
        <v/>
      </c>
      <c r="DG301">
        <f>IF(AND($DF301&lt;=1000,$DF301&lt;$B$8),1,0)</f>
        <v/>
      </c>
      <c r="DH301">
        <f>IF($DG301=1,IFERROR(INDEX($DB$5:$DB$1004,$DF301),""),"")</f>
        <v/>
      </c>
      <c r="DI301">
        <f>IF(AND($DG301=1,$DH301&lt;&gt;""),IFERROR(SUBSTITUTE(SUBSTITUTE(TRIM(SUBSTITUTE(SUBSTITUTE(SUBSTITUTE(SUBSTITUTE(IFERROR(INDEX(PASTE_ALL,$DF301,1)&amp;"","")&amp;"␟"&amp;IFERROR(INDEX(PASTE_ALL,$DF301,2)&amp;"","")&amp;"␟"&amp;IFERROR(INDEX(PASTE_ALL,$DF301,3)&amp;"","")&amp;"␟"&amp;IFERROR(INDEX(PASTE_ALL,$DF301,4)&amp;"","")&amp;"␟"&amp;IFERROR(INDEX(PASTE_ALL,$DF301,5)&amp;"","")&amp;"␟"&amp;IFERROR(INDEX(PASTE_ALL,$DF301,6)&amp;"","")&amp;"␟"&amp;IFERROR(INDEX(PASTE_ALL,$DF301,7)&amp;"","")&amp;"␟"&amp;IFERROR(INDEX(PASTE_ALL,$DF301,8)&amp;"","")&amp;"␟"&amp;IFERROR(INDEX(PASTE_ALL,$DF301,9)&amp;"","")&amp;"␟"&amp;IFERROR(INDEX(PASTE_ALL,$DF301,10)&amp;"","")&amp;"␟"&amp;IFERROR(INDEX(PASTE_ALL,$DF301,11)&amp;"","")&amp;"␟"&amp;IFERROR(INDEX(PASTE_ALL,$DF301,12)&amp;"","")&amp;"␟"&amp;IFERROR(INDEX(PASTE_ALL,$DF301,13)&amp;"","")&amp;"␟"&amp;IFERROR(INDEX(PASTE_ALL,$DF301,14)&amp;"","")&amp;"␟"&amp;IFERROR(INDEX(PASTE_ALL,$DF301,15)&amp;"","")&amp;"␟"&amp;IFERROR(INDEX(PASTE_ALL,$DF301,16)&amp;"","")&amp;"␟"&amp;IFERROR(INDEX(PASTE_ALL,$DF301,17)&amp;"","")&amp;"␟"&amp;IFERROR(INDEX(PASTE_ALL,$DF301,18)&amp;"","")&amp;"␟"&amp;IFERROR(INDEX(PASTE_ALL,$DF301,19)&amp;"","")&amp;"␟"&amp;IFERROR(INDEX(PASTE_ALL,$DF301,20)&amp;"","")&amp;"␟"&amp;IFERROR(INDEX(PASTE_ALL,$DF301,21)&amp;"","")&amp;"␟"&amp;IFERROR(INDEX(PASTE_ALL,$DF301,22)&amp;"","")&amp;"␟"&amp;IFERROR(INDEX(PASTE_ALL,$DF301,23)&amp;"","")&amp;"␟"&amp;IFERROR(INDEX(PASTE_ALL,$DF301,24)&amp;"","")&amp;"␟"&amp;IFERROR(INDEX(PASTE_ALL,$DF301,25)&amp;"","")&amp;"␟"&amp;IFERROR(INDEX(PASTE_ALL,$DF301,26)&amp;"","")&amp;"␟"&amp;IFERROR(INDEX(PASTE_ALL,$DF301,27)&amp;"","")&amp;"␟"&amp;IFERROR(INDEX(PASTE_ALL,$DF301,28)&amp;"","")&amp;"␟"&amp;IFERROR(INDEX(PASTE_ALL,$DF301,29)&amp;"","")&amp;"␟"&amp;IFERROR(INDEX(PASTE_ALL,$DF301,30)&amp;"","")&amp;"␟"&amp;IFERROR(INDEX(PASTE_ALL,$DF301,31)&amp;"","")&amp;"␟"&amp;IFERROR(INDEX(PASTE_ALL,$DF301,32)&amp;"","")&amp;"␟"&amp;IFERROR(INDEX(PASTE_ALL,$DF301,33)&amp;"","")&amp;"␟"&amp;IFERROR(INDEX(PASTE_ALL,$DF301,34)&amp;"","")&amp;"␟"&amp;IFERROR(INDEX(PASTE_ALL,$DF301,35)&amp;"","")&amp;"␟"&amp;IFERROR(INDEX(PASTE_ALL,$DF301,36)&amp;"","")&amp;"␟"&amp;IFERROR(INDEX(PASTE_ALL,$DF301,37)&amp;"","")&amp;"␟"&amp;IFERROR(INDEX(PASTE_ALL,$DF301,38)&amp;"","")&amp;"␟"&amp;IFERROR(INDEX(PASTE_ALL,$DF301,39)&amp;"","")&amp;"␟"&amp;IFERROR(INDEX(PASTE_ALL,$DF301,40)&amp;"","")&amp;"␟"&amp;IFERROR(INDEX(PASTE_ALL,$DF301,41)&amp;"","")&amp;"␟"&amp;IFERROR(INDEX(PASTE_ALL,$DF301,42)&amp;"","")&amp;"␟"&amp;IFERROR(INDEX(PASTE_ALL,$DF301,43)&amp;"","")&amp;"␟"&amp;IFERROR(INDEX(PASTE_ALL,$DF301,44)&amp;"","")&amp;"␟"&amp;IFERROR(INDEX(PASTE_ALL,$DF301,45)&amp;"","")&amp;"␟"&amp;IFERROR(INDEX(PASTE_ALL,$DF301,46)&amp;"","")&amp;"␟"&amp;IFERROR(INDEX(PASTE_ALL,$DF301,47)&amp;"","")&amp;"␟"&amp;IFERROR(INDEX(PASTE_ALL,$DF301,48)&amp;"","")&amp;"␟"&amp;IFERROR(INDEX(PASTE_ALL,$DF301,49)&amp;"","")&amp;"␟"&amp;IFERROR(INDEX(PASTE_ALL,$DF301,50)&amp;"","")&amp;"␟"&amp;IFERROR(INDEX(PASTE_ALL,$DF301,51)&amp;"","")&amp;"␟"&amp;IFERROR(INDEX(PASTE_ALL,$DF301,52)&amp;"","")&amp;"␟"&amp;IFERROR(INDEX(PASTE_ALL,$DF301,53)&amp;"","")&amp;"␟"&amp;IFERROR(INDEX(PASTE_ALL,$DF301,54)&amp;"","")&amp;"␟"&amp;IFERROR(INDEX(PASTE_ALL,$DF301,55)&amp;"","")&amp;"␟"&amp;IFERROR(INDEX(PASTE_ALL,$DF301,56)&amp;"","")&amp;"␟"&amp;IFERROR(INDEX(PASTE_ALL,$DF301,57)&amp;"","")&amp;"␟"&amp;IFERROR(INDEX(PASTE_ALL,$DF301,58)&amp;"","")&amp;"␟"&amp;IFERROR(INDEX(PASTE_ALL,$DF301,59)&amp;"","")&amp;"␟"&amp;IFERROR(INDEX(PASTE_ALL,$DF301,60)&amp;"","")," "," "),CHAR(9)," "),CHAR(10)," "),CHAR(13)," "))," ␟","␟"),"␟ ","␟"),"#"&amp;$DE301),"")</f>
        <v/>
      </c>
      <c r="DJ301">
        <f>IF($DI301="",0,IF(SUMPRODUCT(--EXACT($DI$4:DI300,$DI301))&gt;0,1,0))</f>
        <v/>
      </c>
      <c r="DK301">
        <f>IF(AND($DI301&lt;&gt;"",$DJ301=0),1,0)</f>
        <v/>
      </c>
      <c r="DL301">
        <f>DL300+$DK301</f>
        <v/>
      </c>
      <c r="DM301">
        <f>IF(AND($DK301=1,$DL301&lt;=600),1,0)</f>
        <v/>
      </c>
      <c r="DN301">
        <f>IF($DM301=0,"",IF($L$6=0,"",IFERROR(IF(ISNUMBER(INDEX(PASTE_ALL,$DF301,$L$6)),INDEX(PASTE_ALL,$DF301,$L$6),TRIM(SUBSTITUTE(SUBSTITUTE(SUBSTITUTE(SUBSTITUTE(INDEX(PASTE_ALL,$DF301,$L$6)," "," "),CHAR(9)," "),CHAR(10)," "),CHAR(13)," "))),"")))</f>
        <v/>
      </c>
      <c r="DO301">
        <f>IF($DM301=0,"",IF($L$7=0,"",IFERROR(IF(ISNUMBER(INDEX(PASTE_ALL,$DF301,$L$7)),INDEX(PASTE_ALL,$DF301,$L$7),TRIM(SUBSTITUTE(SUBSTITUTE(SUBSTITUTE(SUBSTITUTE(INDEX(PASTE_ALL,$DF301,$L$7)," "," "),CHAR(9)," "),CHAR(10)," "),CHAR(13)," "))),"")))</f>
        <v/>
      </c>
      <c r="DP301">
        <f>IF($DM301=0,"",IF($L$8=0,"",IFERROR(IF(ISNUMBER(INDEX(PASTE_ALL,$DF301,$L$8)),INDEX(PASTE_ALL,$DF301,$L$8),TRIM(SUBSTITUTE(SUBSTITUTE(SUBSTITUTE(SUBSTITUTE(INDEX(PASTE_ALL,$DF301,$L$8)," "," "),CHAR(9)," "),CHAR(10)," "),CHAR(13)," "))),"")))</f>
        <v/>
      </c>
      <c r="DQ301">
        <f>IF($DM301=0,"",IF($L$9=0,"",IFERROR(IF(ISNUMBER(INDEX(PASTE_ALL,$DF301,$L$9)),INDEX(PASTE_ALL,$DF301,$L$9),TRIM(SUBSTITUTE(SUBSTITUTE(SUBSTITUTE(SUBSTITUTE(INDEX(PASTE_ALL,$DF301,$L$9)," "," "),CHAR(9)," "),CHAR(10)," "),CHAR(13)," "))),"")))</f>
        <v/>
      </c>
      <c r="DR301">
        <f>IF($DM301=0,"",IF($L$10=0,"",IFERROR(IF(ISNUMBER(INDEX(PASTE_ALL,$DF301,$L$10)),INDEX(PASTE_ALL,$DF301,$L$10),TRIM(SUBSTITUTE(SUBSTITUTE(SUBSTITUTE(SUBSTITUTE(INDEX(PASTE_ALL,$DF301,$L$10)," "," "),CHAR(9)," "),CHAR(10)," "),CHAR(13)," "))),"")))</f>
        <v/>
      </c>
      <c r="DS301">
        <f>IF($DM301=0,"",IF($L$11=0,"",IFERROR(IF(ISNUMBER(INDEX(PASTE_ALL,$DF301,$L$11)),INDEX(PASTE_ALL,$DF301,$L$11),TRIM(SUBSTITUTE(SUBSTITUTE(SUBSTITUTE(SUBSTITUTE(INDEX(PASTE_ALL,$DF301,$L$11)," "," "),CHAR(9)," "),CHAR(10)," "),CHAR(13)," "))),"")))</f>
        <v/>
      </c>
      <c r="DT301">
        <f>IF($DM301=0,"",IF($L$12=0,"",IFERROR(IF(ISNUMBER(INDEX(PASTE_ALL,$DF301,$L$12)),INDEX(PASTE_ALL,$DF301,$L$12),TRIM(SUBSTITUTE(SUBSTITUTE(SUBSTITUTE(SUBSTITUTE(INDEX(PASTE_ALL,$DF301,$L$12)," "," "),CHAR(9)," "),CHAR(10)," "),CHAR(13)," "))),"")))</f>
        <v/>
      </c>
      <c r="DU301">
        <f>IF($DM301=0,"",IF($L$13=0,"",IFERROR(IF(ISNUMBER(INDEX(PASTE_ALL,$DF301,$L$13)),INDEX(PASTE_ALL,$DF301,$L$13),TRIM(SUBSTITUTE(SUBSTITUTE(SUBSTITUTE(SUBSTITUTE(INDEX(PASTE_ALL,$DF301,$L$13)," "," "),CHAR(9)," "),CHAR(10)," "),CHAR(13)," "))),"")))</f>
        <v/>
      </c>
      <c r="DV301">
        <f>IF($DM301=0,"",IF($L$14=0,"",IFERROR(IF(ISNUMBER(INDEX(PASTE_ALL,$DF301,$L$14)),INDEX(PASTE_ALL,$DF301,$L$14),TRIM(SUBSTITUTE(SUBSTITUTE(SUBSTITUTE(SUBSTITUTE(INDEX(PASTE_ALL,$DF301,$L$14)," "," "),CHAR(9)," "),CHAR(10)," "),CHAR(13)," "))),"")))</f>
        <v/>
      </c>
      <c r="DW301">
        <f>IF($DM301=0,"",IF($L$15=0,"",IFERROR(IF(ISNUMBER(INDEX(PASTE_ALL,$DF301,$L$15)),INDEX(PASTE_ALL,$DF301,$L$15),IF(SUMPRODUCT(--ISNUMBER(FIND({"A","B","C","D","E","F","G","H","I","J","K","L","M","N","O","P","Q","R","S","T","U","V","W","X","Y","Z","0","1","2","3","4","5","6","7","8","9"},UPPER(TRIM(SUBSTITUTE(SUBSTITUTE(SUBSTITUTE(SUBSTITUTE(INDEX(PASTE_ALL,$DF301,$L$15)," "," "),CHAR(9)," "),CHAR(10)," "),CHAR(13)," "))))))&gt;0,TRIM(SUBSTITUTE(SUBSTITUTE(SUBSTITUTE(SUBSTITUTE(INDEX(PASTE_ALL,$DF301,$L$15)," "," "),CHAR(9)," "),CHAR(10)," "),CHAR(13)," ")),"")),"")))</f>
        <v/>
      </c>
      <c r="DX301">
        <f>IF($DM301=0,"",IF($L$16=0,"",IFERROR(IF(ISNUMBER(INDEX(PASTE_ALL,$DF301,$L$16)),INDEX(PASTE_ALL,$DF301,$L$16),SUBSTITUTE(SUBSTITUTE(TRIM(SUBSTITUTE(SUBSTITUTE(SUBSTITUTE(SUBSTITUTE(INDEX(PASTE_ALL,$DF301,$L$16)," "," "),CHAR(9)," "),CHAR(10)," "),CHAR(13)," ")),",",""),"%","")),"")))</f>
        <v/>
      </c>
      <c r="DY301">
        <f>IF($DM301=0,"",IFERROR(IF(ISNUMBER($DX301),$DX301,IF($DX301="","",IF(TRIM($DX301)="",0,IF(AND(AND(SUBSTITUTE(SUBSTITUTE(SUBSTITUTE(SUBSTITUTE(SUBSTITUTE(SUBSTITUTE(SUBSTITUTE(SUBSTITUTE(SUBSTITUTE(SUBSTITUTE(SUBSTITUTE(SUBSTITUTE(SUBSTITUTE(SUBSTITUTE(UPPER(TRIM($DX301)),"0",""),"1",""),"2",""),"3",""),"4",""),"5",""),"6",""),"7",""),"8",""),"9",""),".",""),"+",""),"-",""),"E","")="",LEN(SUBSTITUTE(SUBSTITUTE(MID(UPPER(TRIM($DX301)),1+OR(LEFT(UPPER(TRIM($DX301)),1)="+",LEFT(UPPER(TRIM($DX301)),1)="-"),999),"E+","E"),"E-","E"))=LEN(SUBSTITUTE(SUBSTITUTE(SUBSTITUTE(SUBSTITUTE(MID(UPPER(TRIM($DX301)),1+OR(LEFT(UPPER(TRIM($DX301)),1)="+",LEFT(UPPER(TRIM($DX301)),1)="-"),999),"E+","E"),"E-","E"),"+",""),"-","")),LEN(UPPER(TRIM($DX301)))-LEN(SUBSTITUTE(UPPER(TRIM($DX301)),"E",""))&lt;2,LEN(UPPER(TRIM($DX301)))-LEN(SUBSTITUTE(UPPER(TRIM($DX301)),".",""))&lt;2,IFERROR(FIND(".",UPPER(TRIM($DX301))),0)&lt;IFERROR(FIND("E",UPPER(TRIM($DX301))),999)),ISNUMBER(VALUE(TRIM($DX301)))),VALUE(TRIM($DX301)),"")))),""))</f>
        <v/>
      </c>
      <c r="DZ301">
        <f>IF($DM301=0,"",IF($L$17=0,"",IFERROR(IF(ISNUMBER(INDEX(PASTE_ALL,$DF301,$L$17)),INDEX(PASTE_ALL,$DF301,$L$17),SUBSTITUTE(SUBSTITUTE(TRIM(SUBSTITUTE(SUBSTITUTE(SUBSTITUTE(SUBSTITUTE(INDEX(PASTE_ALL,$DF301,$L$17)," "," "),CHAR(9)," "),CHAR(10)," "),CHAR(13)," ")),",",""),"%","")),"")))</f>
        <v/>
      </c>
      <c r="EA301">
        <f>IF($DM301=0,"",IFERROR(IF(ISNUMBER($DZ301),$DZ301,IF($DZ301="","",IF(TRIM($DZ301)="",0,IF(AND(AND(SUBSTITUTE(SUBSTITUTE(SUBSTITUTE(SUBSTITUTE(SUBSTITUTE(SUBSTITUTE(SUBSTITUTE(SUBSTITUTE(SUBSTITUTE(SUBSTITUTE(SUBSTITUTE(SUBSTITUTE(SUBSTITUTE(SUBSTITUTE(UPPER(TRIM($DZ301)),"0",""),"1",""),"2",""),"3",""),"4",""),"5",""),"6",""),"7",""),"8",""),"9",""),".",""),"+",""),"-",""),"E","")="",LEN(SUBSTITUTE(SUBSTITUTE(MID(UPPER(TRIM($DZ301)),1+OR(LEFT(UPPER(TRIM($DZ301)),1)="+",LEFT(UPPER(TRIM($DZ301)),1)="-"),999),"E+","E"),"E-","E"))=LEN(SUBSTITUTE(SUBSTITUTE(SUBSTITUTE(SUBSTITUTE(MID(UPPER(TRIM($DZ301)),1+OR(LEFT(UPPER(TRIM($DZ301)),1)="+",LEFT(UPPER(TRIM($DZ301)),1)="-"),999),"E+","E"),"E-","E"),"+",""),"-","")),LEN(UPPER(TRIM($DZ301)))-LEN(SUBSTITUTE(UPPER(TRIM($DZ301)),"E",""))&lt;2,LEN(UPPER(TRIM($DZ301)))-LEN(SUBSTITUTE(UPPER(TRIM($DZ301)),".",""))&lt;2,IFERROR(FIND(".",UPPER(TRIM($DZ301))),0)&lt;IFERROR(FIND("E",UPPER(TRIM($DZ301))),999)),ISNUMBER(VALUE(TRIM($DZ301)))),VALUE(TRIM($DZ301)),"")))),""))</f>
        <v/>
      </c>
      <c r="EB301">
        <f>IF($DM301=0,"",IF($L$18=0,"",IFERROR(IF(UPPER(TRIM(SUBSTITUTE(SUBSTITUTE(SUBSTITUTE(SUBSTITUTE(INDEX(PASTE_ALL,$DF301,$L$18)," "," "),CHAR(9)," "),CHAR(10)," "),CHAR(13)," ")))="READY","Ready",IF(UPPER(TRIM(SUBSTITUTE(SUBSTITUTE(SUBSTITUTE(SUBSTITUTE(INDEX(PASTE_ALL,$DF301,$L$18)," "," "),CHAR(9)," "),CHAR(10)," "),CHAR(13)," ")))="PM","PM",IF(OR(UPPER(TRIM(SUBSTITUTE(SUBSTITUTE(SUBSTITUTE(SUBSTITUTE(INDEX(PASTE_ALL,$DF301,$L$18)," "," "),CHAR(9)," "),CHAR(10)," "),CHAR(13)," ")))="OT",UPPER(TRIM(SUBSTITUTE(SUBSTITUTE(SUBSTITUTE(SUBSTITUTE(INDEX(PASTE_ALL,$DF301,$L$18)," "," "),CHAR(9)," "),CHAR(10)," "),CHAR(13)," ")))="OVERTIME",UPPER(TRIM(SUBSTITUTE(SUBSTITUTE(SUBSTITUTE(SUBSTITUTE(INDEX(PASTE_ALL,$DF301,$L$18)," "," "),CHAR(9)," "),CHAR(10)," "),CHAR(13)," ")))="TRIAL"),"OT",TRIM(SUBSTITUTE(SUBSTITUTE(SUBSTITUTE(SUBSTITUTE(INDEX(PASTE_ALL,$DF301,$L$18)," "," "),CHAR(9)," "),CHAR(10)," "),CHAR(13)," "))))),"")))</f>
        <v/>
      </c>
      <c r="EC301">
        <f>IF($DM301=0,"",IF($L$19=0,"",IFERROR(IF(ISNUMBER(INDEX(PASTE_ALL,$DF301,$L$19)),INDEX(PASTE_ALL,$DF301,$L$19),TRIM(SUBSTITUTE(SUBSTITUTE(SUBSTITUTE(SUBSTITUTE(INDEX(PASTE_ALL,$DF301,$L$19)," "," "),CHAR(9)," "),CHAR(10)," "),CHAR(13)," "))),"")))</f>
        <v/>
      </c>
      <c r="ED301">
        <f>IF($DM301=0,"",MATCH(1,INDEX(EXACT($DH$5:DH301,$DH301)*$DM$5:DM301,0),0))</f>
        <v/>
      </c>
      <c r="EE301">
        <f>IF($DM301=0,0,IF($ED301=$DE301,1,0))</f>
        <v/>
      </c>
      <c r="EF301">
        <f>EF300+$EE301</f>
        <v/>
      </c>
      <c r="EG301">
        <f>IF($DM301=0,"",INDEX($EF$5:$EF$1003,$ED301))</f>
        <v/>
      </c>
      <c r="EH301">
        <f>IF($DM301=0,"",IF($DO301&lt;&gt;"","",IFERROR(LOOKUP(2,1/(($EG$4:EG300=$EG301)*($DO$4:DO300&lt;&gt;"")),$DO$4:DO300),"")))</f>
        <v/>
      </c>
      <c r="EI301">
        <f>IF($DM301=0,"",IF($DO301&lt;&gt;"",$DO301,$EH301))</f>
        <v/>
      </c>
      <c r="EJ301">
        <f>IF($DM301=0,"",IF($EI301="",0,IF(OR(ISNUMBER($EI301),AND(AND(SUBSTITUTE(SUBSTITUTE(SUBSTITUTE(SUBSTITUTE(SUBSTITUTE(SUBSTITUTE(SUBSTITUTE(SUBSTITUTE(SUBSTITUTE(SUBSTITUTE(SUBSTITUTE(SUBSTITUTE(SUBSTITUTE(SUBSTITUTE(UPPER($EI301),"0",""),"1",""),"2",""),"3",""),"4",""),"5",""),"6",""),"7",""),"8",""),"9",""),".",""),"+",""),"-",""),"E","")="",LEN(SUBSTITUTE(SUBSTITUTE(MID(UPPER($EI301),1+OR(LEFT(UPPER($EI301),1)="+",LEFT(UPPER($EI301),1)="-"),999),"E+","E"),"E-","E"))=LEN(SUBSTITUTE(SUBSTITUTE(SUBSTITUTE(SUBSTITUTE(MID(UPPER($EI301),1+OR(LEFT(UPPER($EI301),1)="+",LEFT(UPPER($EI301),1)="-"),999),"E+","E"),"E-","E"),"+",""),"-","")),LEN(UPPER($EI301))-LEN(SUBSTITUTE(UPPER($EI301),"E",""))&lt;2,LEN(UPPER($EI301))-LEN(SUBSTITUTE(UPPER($EI301),".",""))&lt;2,IFERROR(FIND(".",UPPER($EI301)),0)&lt;IFERROR(FIND("E",UPPER($EI301)),999)),ISNUMBER(VALUE($EI301)))),1,2)))</f>
        <v/>
      </c>
      <c r="EK301">
        <f>IF($DM301=0,"",IF($EJ301=1,IF(ISNUMBER($EI301),$EI301,VALUE($EI301)),IF($EJ301=2,$DE301,0)))</f>
        <v/>
      </c>
      <c r="EL301">
        <f>IF($DM301=0,"",COUNTIF($EG$5:$EG$1003,"&lt;"&amp;$EG301)+SUMPRODUCT(($EG$5:$EG$1003=$EG301)*(($EJ$5:$EJ$1003&lt;$EJ301)+($EJ$5:$EJ$1003=$EJ301)*(($EK$5:$EK$1003&lt;$EK301)+($EK$5:$EK$1003=$EK301)*($DE$5:$DE$1003&lt;$DE301))))+1)</f>
        <v/>
      </c>
      <c r="EM301">
        <f>IF($DM301=0,"",$EL301+$EG301-1)</f>
        <v/>
      </c>
      <c r="EN301">
        <f>IF($DM301=0,0,IFERROR(MATCH(1,INDEX(--(TRIM(SUBSTITUTE(SUBSTITUTE(SUBSTITUTE(SUBSTITUTE(LINES_NAME&amp;""," "," "),CHAR(9)," "),CHAR(10)," "),CHAR(13)," "))=$DH301),0),0),0))</f>
        <v/>
      </c>
      <c r="EO301">
        <f>IF($EN301=0,0,IF(OR(UPPER(TRIM(INDEX(LINES_SCHEDULED,$EN301)&amp;""))="YES",UPPER(TRIM(INDEX(LINES_SCHEDULED,$EN301)&amp;""))="Y",UPPER(TRIM(INDEX(LINES_SCHEDULED,$EN301)&amp;""))="X"),1,0))</f>
        <v/>
      </c>
      <c r="EP301">
        <f>IF($DM301=0,"",IF(COUNTIFS($EG$5:$EG$1003,$EG301,$EB$5:$EB$1003,"Ready")&gt;0,"READY",IF(COUNTIFS($EG$5:$EG$1003,$EG301,$EB$5:$EB$1003,"PM")&gt;0,"PM",IF(COUNTIFS($EG$5:$EG$1003,$EG301,$EB$5:$EB$1003,"OT")&gt;0,"OT",""))))</f>
        <v/>
      </c>
      <c r="EQ301">
        <f>IF($EN301=0,"",UPPER(TRIM(INDEX(LINES_STATUS,$EN301)&amp;"")))</f>
        <v/>
      </c>
      <c r="ER301">
        <f>IF($DM301=0,"",IF(OR($EQ301="READY",$EQ301="PM",$EQ301="OT"),$EQ301,$EP301))</f>
        <v/>
      </c>
      <c r="ES301">
        <f>IF($DM301=0,"",IF(AND($DV301&lt;&gt;"",UPPER($DV301)&lt;&gt;"N"),"allergen",IF(ISNUMBER(SEARCH("oil",$DQ301)),"oil",IF(OR(EXACT($DS301,"A662"),EXACT($DS301,"A624")),"bulk",""))))</f>
        <v/>
      </c>
      <c r="ET301">
        <f>IF($DM301=0,"",IF(OR($EA301="",$EA301=0),"",$EA301/100))</f>
        <v/>
      </c>
      <c r="EU301">
        <f>IF(OR($ET301="",$DY301=""),"",INT($DY301*(1-$ET301)+0.5))</f>
        <v/>
      </c>
      <c r="EW301" t="n">
        <v>297</v>
      </c>
      <c r="EX301">
        <f>IFERROR(MATCH($EW301,$EM$5:$EM$1003,0),0)</f>
        <v/>
      </c>
      <c r="EY301">
        <f>IF($EW301&gt;$B$12,"",IF($EX301&gt;0,"row","spacer"))</f>
        <v/>
      </c>
      <c r="EZ301">
        <f>IF(AND($EY301="row",$EY300&lt;&gt;"row"),1,0)</f>
        <v/>
      </c>
      <c r="FA301">
        <f>IF(AND($EY301="row",$EY302&lt;&gt;"row"),1,0)</f>
        <v/>
      </c>
      <c r="FB301">
        <f>IF($EZ301=1,IFERROR(IF(ISNUMBER(INDEX(PASTE_ALL,INDEX($DF$5:$DF$1003,$EX301),$B$37)),INDEX(PASTE_ALL,INDEX($DF$5:$DF$1003,$EX301),$B$37),INDEX($DH$5:$DH$1003,$EX301)),INDEX($DH$5:$DH$1003,$EX301)),"")</f>
        <v/>
      </c>
      <c r="FC301">
        <f>IF($EY301="row",INDEX($ER$5:$ER$1003,$EX301),"")</f>
        <v/>
      </c>
      <c r="FD301">
        <f>IF($EY301="row",INDEX($DN$5:$DN$1003,$EX301),"")</f>
        <v/>
      </c>
      <c r="FE301">
        <f>IF($EY301="row",INDEX($DO$5:$DO$1003,$EX301),"")</f>
        <v/>
      </c>
      <c r="FF301">
        <f>IF($EY301="row",INDEX($DP$5:$DP$1003,$EX301),"")</f>
        <v/>
      </c>
      <c r="FG301">
        <f>IF($EY301="row",INDEX($DQ$5:$DQ$1003,$EX301),"")</f>
        <v/>
      </c>
      <c r="FH301">
        <f>IF($EY301="row",INDEX($DR$5:$DR$1003,$EX301),"")</f>
        <v/>
      </c>
      <c r="FI301">
        <f>IF($EY301="row",INDEX($DS$5:$DS$1003,$EX301),"")</f>
        <v/>
      </c>
      <c r="FJ301">
        <f>IF($EY301="row",INDEX($DT$5:$DT$1003,$EX301),"")</f>
        <v/>
      </c>
      <c r="FK301">
        <f>IF($EY301="row",INDEX($DU$5:$DU$1003,$EX301),"")</f>
        <v/>
      </c>
      <c r="FL301">
        <f>IF($EY301="row",INDEX($DV$5:$DV$1003,$EX301),"")</f>
        <v/>
      </c>
      <c r="FM301">
        <f>IF($EY301="row",INDEX($DW$5:$DW$1003,$EX301),"")</f>
        <v/>
      </c>
      <c r="FN301">
        <f>IF($EY301="row",INDEX($DY$5:$DY$1003,$EX301),"")</f>
        <v/>
      </c>
      <c r="FO301">
        <f>IF($EY301="row",INDEX($EA$5:$EA$1003,$EX301),"")</f>
        <v/>
      </c>
      <c r="FP301">
        <f>IF($EY301="row",INDEX($EC$5:$EC$1003,$EX301),"")</f>
        <v/>
      </c>
      <c r="FQ301">
        <f>IF($EY301="row",INDEX($ET$5:$ET$1003,$EX301),"")</f>
        <v/>
      </c>
      <c r="FR301">
        <f>IF($EY301="row",INDEX($EU$5:$EU$1003,$EX301),"")</f>
        <v/>
      </c>
      <c r="FS301">
        <f>IF(AND($EY301="row",$EY300="row"),IF(OR(INDEX($DT$5:$DT$1003,$EX300)="",INDEX($DT$5:$DT$1003,$EX301)=""),"",IF(NOT(EXACT(INDEX($DT$5:$DT$1003,$EX300),INDEX($DT$5:$DT$1003,$EX301))),"S4",IF(NOT(EXACT(INDEX($DS$5:$DS$1003,$EX300),INDEX($DS$5:$DS$1003,$EX301))),"S3",IF(NOT(EXACT(INDEX($DR$5:$DR$1003,$EX300),INDEX($DR$5:$DR$1003,$EX301))),"S1 Count Change","S1")))),"")</f>
        <v/>
      </c>
      <c r="FT301">
        <f>IF($EY301="row",INDEX($ES$5:$ES$1003,$EX301),"")</f>
        <v/>
      </c>
      <c r="FU301">
        <f>IF($EY301="row",INDEX($EO$5:$EO$1003,$EX301),0)</f>
        <v/>
      </c>
      <c r="FV301">
        <f>IF($FS301="S1 Count Change",1,0)</f>
        <v/>
      </c>
    </row>
    <row r="302">
      <c r="DA302" t="n">
        <v>298</v>
      </c>
      <c r="DB302">
        <f>IF($B$37=0,"",IFERROR(TRIM(SUBSTITUTE(SUBSTITUTE(SUBSTITUTE(SUBSTITUTE(INDEX(PASTE_ALL,298,$B$37)," "," "),CHAR(9)," "),CHAR(10)," "),CHAR(13)," ")),""))</f>
        <v/>
      </c>
      <c r="DC302">
        <f>IF(AND(298&gt;HEADER_ROW,UPPER(DB302)="LEGEND"),1,0)</f>
        <v/>
      </c>
      <c r="DE302" t="n">
        <v>298</v>
      </c>
      <c r="DF302">
        <f>HEADER_ROW+$DE302</f>
        <v/>
      </c>
      <c r="DG302">
        <f>IF(AND($DF302&lt;=1000,$DF302&lt;$B$8),1,0)</f>
        <v/>
      </c>
      <c r="DH302">
        <f>IF($DG302=1,IFERROR(INDEX($DB$5:$DB$1004,$DF302),""),"")</f>
        <v/>
      </c>
      <c r="DI302">
        <f>IF(AND($DG302=1,$DH302&lt;&gt;""),IFERROR(SUBSTITUTE(SUBSTITUTE(TRIM(SUBSTITUTE(SUBSTITUTE(SUBSTITUTE(SUBSTITUTE(IFERROR(INDEX(PASTE_ALL,$DF302,1)&amp;"","")&amp;"␟"&amp;IFERROR(INDEX(PASTE_ALL,$DF302,2)&amp;"","")&amp;"␟"&amp;IFERROR(INDEX(PASTE_ALL,$DF302,3)&amp;"","")&amp;"␟"&amp;IFERROR(INDEX(PASTE_ALL,$DF302,4)&amp;"","")&amp;"␟"&amp;IFERROR(INDEX(PASTE_ALL,$DF302,5)&amp;"","")&amp;"␟"&amp;IFERROR(INDEX(PASTE_ALL,$DF302,6)&amp;"","")&amp;"␟"&amp;IFERROR(INDEX(PASTE_ALL,$DF302,7)&amp;"","")&amp;"␟"&amp;IFERROR(INDEX(PASTE_ALL,$DF302,8)&amp;"","")&amp;"␟"&amp;IFERROR(INDEX(PASTE_ALL,$DF302,9)&amp;"","")&amp;"␟"&amp;IFERROR(INDEX(PASTE_ALL,$DF302,10)&amp;"","")&amp;"␟"&amp;IFERROR(INDEX(PASTE_ALL,$DF302,11)&amp;"","")&amp;"␟"&amp;IFERROR(INDEX(PASTE_ALL,$DF302,12)&amp;"","")&amp;"␟"&amp;IFERROR(INDEX(PASTE_ALL,$DF302,13)&amp;"","")&amp;"␟"&amp;IFERROR(INDEX(PASTE_ALL,$DF302,14)&amp;"","")&amp;"␟"&amp;IFERROR(INDEX(PASTE_ALL,$DF302,15)&amp;"","")&amp;"␟"&amp;IFERROR(INDEX(PASTE_ALL,$DF302,16)&amp;"","")&amp;"␟"&amp;IFERROR(INDEX(PASTE_ALL,$DF302,17)&amp;"","")&amp;"␟"&amp;IFERROR(INDEX(PASTE_ALL,$DF302,18)&amp;"","")&amp;"␟"&amp;IFERROR(INDEX(PASTE_ALL,$DF302,19)&amp;"","")&amp;"␟"&amp;IFERROR(INDEX(PASTE_ALL,$DF302,20)&amp;"","")&amp;"␟"&amp;IFERROR(INDEX(PASTE_ALL,$DF302,21)&amp;"","")&amp;"␟"&amp;IFERROR(INDEX(PASTE_ALL,$DF302,22)&amp;"","")&amp;"␟"&amp;IFERROR(INDEX(PASTE_ALL,$DF302,23)&amp;"","")&amp;"␟"&amp;IFERROR(INDEX(PASTE_ALL,$DF302,24)&amp;"","")&amp;"␟"&amp;IFERROR(INDEX(PASTE_ALL,$DF302,25)&amp;"","")&amp;"␟"&amp;IFERROR(INDEX(PASTE_ALL,$DF302,26)&amp;"","")&amp;"␟"&amp;IFERROR(INDEX(PASTE_ALL,$DF302,27)&amp;"","")&amp;"␟"&amp;IFERROR(INDEX(PASTE_ALL,$DF302,28)&amp;"","")&amp;"␟"&amp;IFERROR(INDEX(PASTE_ALL,$DF302,29)&amp;"","")&amp;"␟"&amp;IFERROR(INDEX(PASTE_ALL,$DF302,30)&amp;"","")&amp;"␟"&amp;IFERROR(INDEX(PASTE_ALL,$DF302,31)&amp;"","")&amp;"␟"&amp;IFERROR(INDEX(PASTE_ALL,$DF302,32)&amp;"","")&amp;"␟"&amp;IFERROR(INDEX(PASTE_ALL,$DF302,33)&amp;"","")&amp;"␟"&amp;IFERROR(INDEX(PASTE_ALL,$DF302,34)&amp;"","")&amp;"␟"&amp;IFERROR(INDEX(PASTE_ALL,$DF302,35)&amp;"","")&amp;"␟"&amp;IFERROR(INDEX(PASTE_ALL,$DF302,36)&amp;"","")&amp;"␟"&amp;IFERROR(INDEX(PASTE_ALL,$DF302,37)&amp;"","")&amp;"␟"&amp;IFERROR(INDEX(PASTE_ALL,$DF302,38)&amp;"","")&amp;"␟"&amp;IFERROR(INDEX(PASTE_ALL,$DF302,39)&amp;"","")&amp;"␟"&amp;IFERROR(INDEX(PASTE_ALL,$DF302,40)&amp;"","")&amp;"␟"&amp;IFERROR(INDEX(PASTE_ALL,$DF302,41)&amp;"","")&amp;"␟"&amp;IFERROR(INDEX(PASTE_ALL,$DF302,42)&amp;"","")&amp;"␟"&amp;IFERROR(INDEX(PASTE_ALL,$DF302,43)&amp;"","")&amp;"␟"&amp;IFERROR(INDEX(PASTE_ALL,$DF302,44)&amp;"","")&amp;"␟"&amp;IFERROR(INDEX(PASTE_ALL,$DF302,45)&amp;"","")&amp;"␟"&amp;IFERROR(INDEX(PASTE_ALL,$DF302,46)&amp;"","")&amp;"␟"&amp;IFERROR(INDEX(PASTE_ALL,$DF302,47)&amp;"","")&amp;"␟"&amp;IFERROR(INDEX(PASTE_ALL,$DF302,48)&amp;"","")&amp;"␟"&amp;IFERROR(INDEX(PASTE_ALL,$DF302,49)&amp;"","")&amp;"␟"&amp;IFERROR(INDEX(PASTE_ALL,$DF302,50)&amp;"","")&amp;"␟"&amp;IFERROR(INDEX(PASTE_ALL,$DF302,51)&amp;"","")&amp;"␟"&amp;IFERROR(INDEX(PASTE_ALL,$DF302,52)&amp;"","")&amp;"␟"&amp;IFERROR(INDEX(PASTE_ALL,$DF302,53)&amp;"","")&amp;"␟"&amp;IFERROR(INDEX(PASTE_ALL,$DF302,54)&amp;"","")&amp;"␟"&amp;IFERROR(INDEX(PASTE_ALL,$DF302,55)&amp;"","")&amp;"␟"&amp;IFERROR(INDEX(PASTE_ALL,$DF302,56)&amp;"","")&amp;"␟"&amp;IFERROR(INDEX(PASTE_ALL,$DF302,57)&amp;"","")&amp;"␟"&amp;IFERROR(INDEX(PASTE_ALL,$DF302,58)&amp;"","")&amp;"␟"&amp;IFERROR(INDEX(PASTE_ALL,$DF302,59)&amp;"","")&amp;"␟"&amp;IFERROR(INDEX(PASTE_ALL,$DF302,60)&amp;"","")," "," "),CHAR(9)," "),CHAR(10)," "),CHAR(13)," "))," ␟","␟"),"␟ ","␟"),"#"&amp;$DE302),"")</f>
        <v/>
      </c>
      <c r="DJ302">
        <f>IF($DI302="",0,IF(SUMPRODUCT(--EXACT($DI$4:DI301,$DI302))&gt;0,1,0))</f>
        <v/>
      </c>
      <c r="DK302">
        <f>IF(AND($DI302&lt;&gt;"",$DJ302=0),1,0)</f>
        <v/>
      </c>
      <c r="DL302">
        <f>DL301+$DK302</f>
        <v/>
      </c>
      <c r="DM302">
        <f>IF(AND($DK302=1,$DL302&lt;=600),1,0)</f>
        <v/>
      </c>
      <c r="DN302">
        <f>IF($DM302=0,"",IF($L$6=0,"",IFERROR(IF(ISNUMBER(INDEX(PASTE_ALL,$DF302,$L$6)),INDEX(PASTE_ALL,$DF302,$L$6),TRIM(SUBSTITUTE(SUBSTITUTE(SUBSTITUTE(SUBSTITUTE(INDEX(PASTE_ALL,$DF302,$L$6)," "," "),CHAR(9)," "),CHAR(10)," "),CHAR(13)," "))),"")))</f>
        <v/>
      </c>
      <c r="DO302">
        <f>IF($DM302=0,"",IF($L$7=0,"",IFERROR(IF(ISNUMBER(INDEX(PASTE_ALL,$DF302,$L$7)),INDEX(PASTE_ALL,$DF302,$L$7),TRIM(SUBSTITUTE(SUBSTITUTE(SUBSTITUTE(SUBSTITUTE(INDEX(PASTE_ALL,$DF302,$L$7)," "," "),CHAR(9)," "),CHAR(10)," "),CHAR(13)," "))),"")))</f>
        <v/>
      </c>
      <c r="DP302">
        <f>IF($DM302=0,"",IF($L$8=0,"",IFERROR(IF(ISNUMBER(INDEX(PASTE_ALL,$DF302,$L$8)),INDEX(PASTE_ALL,$DF302,$L$8),TRIM(SUBSTITUTE(SUBSTITUTE(SUBSTITUTE(SUBSTITUTE(INDEX(PASTE_ALL,$DF302,$L$8)," "," "),CHAR(9)," "),CHAR(10)," "),CHAR(13)," "))),"")))</f>
        <v/>
      </c>
      <c r="DQ302">
        <f>IF($DM302=0,"",IF($L$9=0,"",IFERROR(IF(ISNUMBER(INDEX(PASTE_ALL,$DF302,$L$9)),INDEX(PASTE_ALL,$DF302,$L$9),TRIM(SUBSTITUTE(SUBSTITUTE(SUBSTITUTE(SUBSTITUTE(INDEX(PASTE_ALL,$DF302,$L$9)," "," "),CHAR(9)," "),CHAR(10)," "),CHAR(13)," "))),"")))</f>
        <v/>
      </c>
      <c r="DR302">
        <f>IF($DM302=0,"",IF($L$10=0,"",IFERROR(IF(ISNUMBER(INDEX(PASTE_ALL,$DF302,$L$10)),INDEX(PASTE_ALL,$DF302,$L$10),TRIM(SUBSTITUTE(SUBSTITUTE(SUBSTITUTE(SUBSTITUTE(INDEX(PASTE_ALL,$DF302,$L$10)," "," "),CHAR(9)," "),CHAR(10)," "),CHAR(13)," "))),"")))</f>
        <v/>
      </c>
      <c r="DS302">
        <f>IF($DM302=0,"",IF($L$11=0,"",IFERROR(IF(ISNUMBER(INDEX(PASTE_ALL,$DF302,$L$11)),INDEX(PASTE_ALL,$DF302,$L$11),TRIM(SUBSTITUTE(SUBSTITUTE(SUBSTITUTE(SUBSTITUTE(INDEX(PASTE_ALL,$DF302,$L$11)," "," "),CHAR(9)," "),CHAR(10)," "),CHAR(13)," "))),"")))</f>
        <v/>
      </c>
      <c r="DT302">
        <f>IF($DM302=0,"",IF($L$12=0,"",IFERROR(IF(ISNUMBER(INDEX(PASTE_ALL,$DF302,$L$12)),INDEX(PASTE_ALL,$DF302,$L$12),TRIM(SUBSTITUTE(SUBSTITUTE(SUBSTITUTE(SUBSTITUTE(INDEX(PASTE_ALL,$DF302,$L$12)," "," "),CHAR(9)," "),CHAR(10)," "),CHAR(13)," "))),"")))</f>
        <v/>
      </c>
      <c r="DU302">
        <f>IF($DM302=0,"",IF($L$13=0,"",IFERROR(IF(ISNUMBER(INDEX(PASTE_ALL,$DF302,$L$13)),INDEX(PASTE_ALL,$DF302,$L$13),TRIM(SUBSTITUTE(SUBSTITUTE(SUBSTITUTE(SUBSTITUTE(INDEX(PASTE_ALL,$DF302,$L$13)," "," "),CHAR(9)," "),CHAR(10)," "),CHAR(13)," "))),"")))</f>
        <v/>
      </c>
      <c r="DV302">
        <f>IF($DM302=0,"",IF($L$14=0,"",IFERROR(IF(ISNUMBER(INDEX(PASTE_ALL,$DF302,$L$14)),INDEX(PASTE_ALL,$DF302,$L$14),TRIM(SUBSTITUTE(SUBSTITUTE(SUBSTITUTE(SUBSTITUTE(INDEX(PASTE_ALL,$DF302,$L$14)," "," "),CHAR(9)," "),CHAR(10)," "),CHAR(13)," "))),"")))</f>
        <v/>
      </c>
      <c r="DW302">
        <f>IF($DM302=0,"",IF($L$15=0,"",IFERROR(IF(ISNUMBER(INDEX(PASTE_ALL,$DF302,$L$15)),INDEX(PASTE_ALL,$DF302,$L$15),IF(SUMPRODUCT(--ISNUMBER(FIND({"A","B","C","D","E","F","G","H","I","J","K","L","M","N","O","P","Q","R","S","T","U","V","W","X","Y","Z","0","1","2","3","4","5","6","7","8","9"},UPPER(TRIM(SUBSTITUTE(SUBSTITUTE(SUBSTITUTE(SUBSTITUTE(INDEX(PASTE_ALL,$DF302,$L$15)," "," "),CHAR(9)," "),CHAR(10)," "),CHAR(13)," "))))))&gt;0,TRIM(SUBSTITUTE(SUBSTITUTE(SUBSTITUTE(SUBSTITUTE(INDEX(PASTE_ALL,$DF302,$L$15)," "," "),CHAR(9)," "),CHAR(10)," "),CHAR(13)," ")),"")),"")))</f>
        <v/>
      </c>
      <c r="DX302">
        <f>IF($DM302=0,"",IF($L$16=0,"",IFERROR(IF(ISNUMBER(INDEX(PASTE_ALL,$DF302,$L$16)),INDEX(PASTE_ALL,$DF302,$L$16),SUBSTITUTE(SUBSTITUTE(TRIM(SUBSTITUTE(SUBSTITUTE(SUBSTITUTE(SUBSTITUTE(INDEX(PASTE_ALL,$DF302,$L$16)," "," "),CHAR(9)," "),CHAR(10)," "),CHAR(13)," ")),",",""),"%","")),"")))</f>
        <v/>
      </c>
      <c r="DY302">
        <f>IF($DM302=0,"",IFERROR(IF(ISNUMBER($DX302),$DX302,IF($DX302="","",IF(TRIM($DX302)="",0,IF(AND(AND(SUBSTITUTE(SUBSTITUTE(SUBSTITUTE(SUBSTITUTE(SUBSTITUTE(SUBSTITUTE(SUBSTITUTE(SUBSTITUTE(SUBSTITUTE(SUBSTITUTE(SUBSTITUTE(SUBSTITUTE(SUBSTITUTE(SUBSTITUTE(UPPER(TRIM($DX302)),"0",""),"1",""),"2",""),"3",""),"4",""),"5",""),"6",""),"7",""),"8",""),"9",""),".",""),"+",""),"-",""),"E","")="",LEN(SUBSTITUTE(SUBSTITUTE(MID(UPPER(TRIM($DX302)),1+OR(LEFT(UPPER(TRIM($DX302)),1)="+",LEFT(UPPER(TRIM($DX302)),1)="-"),999),"E+","E"),"E-","E"))=LEN(SUBSTITUTE(SUBSTITUTE(SUBSTITUTE(SUBSTITUTE(MID(UPPER(TRIM($DX302)),1+OR(LEFT(UPPER(TRIM($DX302)),1)="+",LEFT(UPPER(TRIM($DX302)),1)="-"),999),"E+","E"),"E-","E"),"+",""),"-","")),LEN(UPPER(TRIM($DX302)))-LEN(SUBSTITUTE(UPPER(TRIM($DX302)),"E",""))&lt;2,LEN(UPPER(TRIM($DX302)))-LEN(SUBSTITUTE(UPPER(TRIM($DX302)),".",""))&lt;2,IFERROR(FIND(".",UPPER(TRIM($DX302))),0)&lt;IFERROR(FIND("E",UPPER(TRIM($DX302))),999)),ISNUMBER(VALUE(TRIM($DX302)))),VALUE(TRIM($DX302)),"")))),""))</f>
        <v/>
      </c>
      <c r="DZ302">
        <f>IF($DM302=0,"",IF($L$17=0,"",IFERROR(IF(ISNUMBER(INDEX(PASTE_ALL,$DF302,$L$17)),INDEX(PASTE_ALL,$DF302,$L$17),SUBSTITUTE(SUBSTITUTE(TRIM(SUBSTITUTE(SUBSTITUTE(SUBSTITUTE(SUBSTITUTE(INDEX(PASTE_ALL,$DF302,$L$17)," "," "),CHAR(9)," "),CHAR(10)," "),CHAR(13)," ")),",",""),"%","")),"")))</f>
        <v/>
      </c>
      <c r="EA302">
        <f>IF($DM302=0,"",IFERROR(IF(ISNUMBER($DZ302),$DZ302,IF($DZ302="","",IF(TRIM($DZ302)="",0,IF(AND(AND(SUBSTITUTE(SUBSTITUTE(SUBSTITUTE(SUBSTITUTE(SUBSTITUTE(SUBSTITUTE(SUBSTITUTE(SUBSTITUTE(SUBSTITUTE(SUBSTITUTE(SUBSTITUTE(SUBSTITUTE(SUBSTITUTE(SUBSTITUTE(UPPER(TRIM($DZ302)),"0",""),"1",""),"2",""),"3",""),"4",""),"5",""),"6",""),"7",""),"8",""),"9",""),".",""),"+",""),"-",""),"E","")="",LEN(SUBSTITUTE(SUBSTITUTE(MID(UPPER(TRIM($DZ302)),1+OR(LEFT(UPPER(TRIM($DZ302)),1)="+",LEFT(UPPER(TRIM($DZ302)),1)="-"),999),"E+","E"),"E-","E"))=LEN(SUBSTITUTE(SUBSTITUTE(SUBSTITUTE(SUBSTITUTE(MID(UPPER(TRIM($DZ302)),1+OR(LEFT(UPPER(TRIM($DZ302)),1)="+",LEFT(UPPER(TRIM($DZ302)),1)="-"),999),"E+","E"),"E-","E"),"+",""),"-","")),LEN(UPPER(TRIM($DZ302)))-LEN(SUBSTITUTE(UPPER(TRIM($DZ302)),"E",""))&lt;2,LEN(UPPER(TRIM($DZ302)))-LEN(SUBSTITUTE(UPPER(TRIM($DZ302)),".",""))&lt;2,IFERROR(FIND(".",UPPER(TRIM($DZ302))),0)&lt;IFERROR(FIND("E",UPPER(TRIM($DZ302))),999)),ISNUMBER(VALUE(TRIM($DZ302)))),VALUE(TRIM($DZ302)),"")))),""))</f>
        <v/>
      </c>
      <c r="EB302">
        <f>IF($DM302=0,"",IF($L$18=0,"",IFERROR(IF(UPPER(TRIM(SUBSTITUTE(SUBSTITUTE(SUBSTITUTE(SUBSTITUTE(INDEX(PASTE_ALL,$DF302,$L$18)," "," "),CHAR(9)," "),CHAR(10)," "),CHAR(13)," ")))="READY","Ready",IF(UPPER(TRIM(SUBSTITUTE(SUBSTITUTE(SUBSTITUTE(SUBSTITUTE(INDEX(PASTE_ALL,$DF302,$L$18)," "," "),CHAR(9)," "),CHAR(10)," "),CHAR(13)," ")))="PM","PM",IF(OR(UPPER(TRIM(SUBSTITUTE(SUBSTITUTE(SUBSTITUTE(SUBSTITUTE(INDEX(PASTE_ALL,$DF302,$L$18)," "," "),CHAR(9)," "),CHAR(10)," "),CHAR(13)," ")))="OT",UPPER(TRIM(SUBSTITUTE(SUBSTITUTE(SUBSTITUTE(SUBSTITUTE(INDEX(PASTE_ALL,$DF302,$L$18)," "," "),CHAR(9)," "),CHAR(10)," "),CHAR(13)," ")))="OVERTIME",UPPER(TRIM(SUBSTITUTE(SUBSTITUTE(SUBSTITUTE(SUBSTITUTE(INDEX(PASTE_ALL,$DF302,$L$18)," "," "),CHAR(9)," "),CHAR(10)," "),CHAR(13)," ")))="TRIAL"),"OT",TRIM(SUBSTITUTE(SUBSTITUTE(SUBSTITUTE(SUBSTITUTE(INDEX(PASTE_ALL,$DF302,$L$18)," "," "),CHAR(9)," "),CHAR(10)," "),CHAR(13)," "))))),"")))</f>
        <v/>
      </c>
      <c r="EC302">
        <f>IF($DM302=0,"",IF($L$19=0,"",IFERROR(IF(ISNUMBER(INDEX(PASTE_ALL,$DF302,$L$19)),INDEX(PASTE_ALL,$DF302,$L$19),TRIM(SUBSTITUTE(SUBSTITUTE(SUBSTITUTE(SUBSTITUTE(INDEX(PASTE_ALL,$DF302,$L$19)," "," "),CHAR(9)," "),CHAR(10)," "),CHAR(13)," "))),"")))</f>
        <v/>
      </c>
      <c r="ED302">
        <f>IF($DM302=0,"",MATCH(1,INDEX(EXACT($DH$5:DH302,$DH302)*$DM$5:DM302,0),0))</f>
        <v/>
      </c>
      <c r="EE302">
        <f>IF($DM302=0,0,IF($ED302=$DE302,1,0))</f>
        <v/>
      </c>
      <c r="EF302">
        <f>EF301+$EE302</f>
        <v/>
      </c>
      <c r="EG302">
        <f>IF($DM302=0,"",INDEX($EF$5:$EF$1003,$ED302))</f>
        <v/>
      </c>
      <c r="EH302">
        <f>IF($DM302=0,"",IF($DO302&lt;&gt;"","",IFERROR(LOOKUP(2,1/(($EG$4:EG301=$EG302)*($DO$4:DO301&lt;&gt;"")),$DO$4:DO301),"")))</f>
        <v/>
      </c>
      <c r="EI302">
        <f>IF($DM302=0,"",IF($DO302&lt;&gt;"",$DO302,$EH302))</f>
        <v/>
      </c>
      <c r="EJ302">
        <f>IF($DM302=0,"",IF($EI302="",0,IF(OR(ISNUMBER($EI302),AND(AND(SUBSTITUTE(SUBSTITUTE(SUBSTITUTE(SUBSTITUTE(SUBSTITUTE(SUBSTITUTE(SUBSTITUTE(SUBSTITUTE(SUBSTITUTE(SUBSTITUTE(SUBSTITUTE(SUBSTITUTE(SUBSTITUTE(SUBSTITUTE(UPPER($EI302),"0",""),"1",""),"2",""),"3",""),"4",""),"5",""),"6",""),"7",""),"8",""),"9",""),".",""),"+",""),"-",""),"E","")="",LEN(SUBSTITUTE(SUBSTITUTE(MID(UPPER($EI302),1+OR(LEFT(UPPER($EI302),1)="+",LEFT(UPPER($EI302),1)="-"),999),"E+","E"),"E-","E"))=LEN(SUBSTITUTE(SUBSTITUTE(SUBSTITUTE(SUBSTITUTE(MID(UPPER($EI302),1+OR(LEFT(UPPER($EI302),1)="+",LEFT(UPPER($EI302),1)="-"),999),"E+","E"),"E-","E"),"+",""),"-","")),LEN(UPPER($EI302))-LEN(SUBSTITUTE(UPPER($EI302),"E",""))&lt;2,LEN(UPPER($EI302))-LEN(SUBSTITUTE(UPPER($EI302),".",""))&lt;2,IFERROR(FIND(".",UPPER($EI302)),0)&lt;IFERROR(FIND("E",UPPER($EI302)),999)),ISNUMBER(VALUE($EI302)))),1,2)))</f>
        <v/>
      </c>
      <c r="EK302">
        <f>IF($DM302=0,"",IF($EJ302=1,IF(ISNUMBER($EI302),$EI302,VALUE($EI302)),IF($EJ302=2,$DE302,0)))</f>
        <v/>
      </c>
      <c r="EL302">
        <f>IF($DM302=0,"",COUNTIF($EG$5:$EG$1003,"&lt;"&amp;$EG302)+SUMPRODUCT(($EG$5:$EG$1003=$EG302)*(($EJ$5:$EJ$1003&lt;$EJ302)+($EJ$5:$EJ$1003=$EJ302)*(($EK$5:$EK$1003&lt;$EK302)+($EK$5:$EK$1003=$EK302)*($DE$5:$DE$1003&lt;$DE302))))+1)</f>
        <v/>
      </c>
      <c r="EM302">
        <f>IF($DM302=0,"",$EL302+$EG302-1)</f>
        <v/>
      </c>
      <c r="EN302">
        <f>IF($DM302=0,0,IFERROR(MATCH(1,INDEX(--(TRIM(SUBSTITUTE(SUBSTITUTE(SUBSTITUTE(SUBSTITUTE(LINES_NAME&amp;""," "," "),CHAR(9)," "),CHAR(10)," "),CHAR(13)," "))=$DH302),0),0),0))</f>
        <v/>
      </c>
      <c r="EO302">
        <f>IF($EN302=0,0,IF(OR(UPPER(TRIM(INDEX(LINES_SCHEDULED,$EN302)&amp;""))="YES",UPPER(TRIM(INDEX(LINES_SCHEDULED,$EN302)&amp;""))="Y",UPPER(TRIM(INDEX(LINES_SCHEDULED,$EN302)&amp;""))="X"),1,0))</f>
        <v/>
      </c>
      <c r="EP302">
        <f>IF($DM302=0,"",IF(COUNTIFS($EG$5:$EG$1003,$EG302,$EB$5:$EB$1003,"Ready")&gt;0,"READY",IF(COUNTIFS($EG$5:$EG$1003,$EG302,$EB$5:$EB$1003,"PM")&gt;0,"PM",IF(COUNTIFS($EG$5:$EG$1003,$EG302,$EB$5:$EB$1003,"OT")&gt;0,"OT",""))))</f>
        <v/>
      </c>
      <c r="EQ302">
        <f>IF($EN302=0,"",UPPER(TRIM(INDEX(LINES_STATUS,$EN302)&amp;"")))</f>
        <v/>
      </c>
      <c r="ER302">
        <f>IF($DM302=0,"",IF(OR($EQ302="READY",$EQ302="PM",$EQ302="OT"),$EQ302,$EP302))</f>
        <v/>
      </c>
      <c r="ES302">
        <f>IF($DM302=0,"",IF(AND($DV302&lt;&gt;"",UPPER($DV302)&lt;&gt;"N"),"allergen",IF(ISNUMBER(SEARCH("oil",$DQ302)),"oil",IF(OR(EXACT($DS302,"A662"),EXACT($DS302,"A624")),"bulk",""))))</f>
        <v/>
      </c>
      <c r="ET302">
        <f>IF($DM302=0,"",IF(OR($EA302="",$EA302=0),"",$EA302/100))</f>
        <v/>
      </c>
      <c r="EU302">
        <f>IF(OR($ET302="",$DY302=""),"",INT($DY302*(1-$ET302)+0.5))</f>
        <v/>
      </c>
      <c r="EW302" t="n">
        <v>298</v>
      </c>
      <c r="EX302">
        <f>IFERROR(MATCH($EW302,$EM$5:$EM$1003,0),0)</f>
        <v/>
      </c>
      <c r="EY302">
        <f>IF($EW302&gt;$B$12,"",IF($EX302&gt;0,"row","spacer"))</f>
        <v/>
      </c>
      <c r="EZ302">
        <f>IF(AND($EY302="row",$EY301&lt;&gt;"row"),1,0)</f>
        <v/>
      </c>
      <c r="FA302">
        <f>IF(AND($EY302="row",$EY303&lt;&gt;"row"),1,0)</f>
        <v/>
      </c>
      <c r="FB302">
        <f>IF($EZ302=1,IFERROR(IF(ISNUMBER(INDEX(PASTE_ALL,INDEX($DF$5:$DF$1003,$EX302),$B$37)),INDEX(PASTE_ALL,INDEX($DF$5:$DF$1003,$EX302),$B$37),INDEX($DH$5:$DH$1003,$EX302)),INDEX($DH$5:$DH$1003,$EX302)),"")</f>
        <v/>
      </c>
      <c r="FC302">
        <f>IF($EY302="row",INDEX($ER$5:$ER$1003,$EX302),"")</f>
        <v/>
      </c>
      <c r="FD302">
        <f>IF($EY302="row",INDEX($DN$5:$DN$1003,$EX302),"")</f>
        <v/>
      </c>
      <c r="FE302">
        <f>IF($EY302="row",INDEX($DO$5:$DO$1003,$EX302),"")</f>
        <v/>
      </c>
      <c r="FF302">
        <f>IF($EY302="row",INDEX($DP$5:$DP$1003,$EX302),"")</f>
        <v/>
      </c>
      <c r="FG302">
        <f>IF($EY302="row",INDEX($DQ$5:$DQ$1003,$EX302),"")</f>
        <v/>
      </c>
      <c r="FH302">
        <f>IF($EY302="row",INDEX($DR$5:$DR$1003,$EX302),"")</f>
        <v/>
      </c>
      <c r="FI302">
        <f>IF($EY302="row",INDEX($DS$5:$DS$1003,$EX302),"")</f>
        <v/>
      </c>
      <c r="FJ302">
        <f>IF($EY302="row",INDEX($DT$5:$DT$1003,$EX302),"")</f>
        <v/>
      </c>
      <c r="FK302">
        <f>IF($EY302="row",INDEX($DU$5:$DU$1003,$EX302),"")</f>
        <v/>
      </c>
      <c r="FL302">
        <f>IF($EY302="row",INDEX($DV$5:$DV$1003,$EX302),"")</f>
        <v/>
      </c>
      <c r="FM302">
        <f>IF($EY302="row",INDEX($DW$5:$DW$1003,$EX302),"")</f>
        <v/>
      </c>
      <c r="FN302">
        <f>IF($EY302="row",INDEX($DY$5:$DY$1003,$EX302),"")</f>
        <v/>
      </c>
      <c r="FO302">
        <f>IF($EY302="row",INDEX($EA$5:$EA$1003,$EX302),"")</f>
        <v/>
      </c>
      <c r="FP302">
        <f>IF($EY302="row",INDEX($EC$5:$EC$1003,$EX302),"")</f>
        <v/>
      </c>
      <c r="FQ302">
        <f>IF($EY302="row",INDEX($ET$5:$ET$1003,$EX302),"")</f>
        <v/>
      </c>
      <c r="FR302">
        <f>IF($EY302="row",INDEX($EU$5:$EU$1003,$EX302),"")</f>
        <v/>
      </c>
      <c r="FS302">
        <f>IF(AND($EY302="row",$EY301="row"),IF(OR(INDEX($DT$5:$DT$1003,$EX301)="",INDEX($DT$5:$DT$1003,$EX302)=""),"",IF(NOT(EXACT(INDEX($DT$5:$DT$1003,$EX301),INDEX($DT$5:$DT$1003,$EX302))),"S4",IF(NOT(EXACT(INDEX($DS$5:$DS$1003,$EX301),INDEX($DS$5:$DS$1003,$EX302))),"S3",IF(NOT(EXACT(INDEX($DR$5:$DR$1003,$EX301),INDEX($DR$5:$DR$1003,$EX302))),"S1 Count Change","S1")))),"")</f>
        <v/>
      </c>
      <c r="FT302">
        <f>IF($EY302="row",INDEX($ES$5:$ES$1003,$EX302),"")</f>
        <v/>
      </c>
      <c r="FU302">
        <f>IF($EY302="row",INDEX($EO$5:$EO$1003,$EX302),0)</f>
        <v/>
      </c>
      <c r="FV302">
        <f>IF($FS302="S1 Count Change",1,0)</f>
        <v/>
      </c>
    </row>
    <row r="303">
      <c r="DA303" t="n">
        <v>299</v>
      </c>
      <c r="DB303">
        <f>IF($B$37=0,"",IFERROR(TRIM(SUBSTITUTE(SUBSTITUTE(SUBSTITUTE(SUBSTITUTE(INDEX(PASTE_ALL,299,$B$37)," "," "),CHAR(9)," "),CHAR(10)," "),CHAR(13)," ")),""))</f>
        <v/>
      </c>
      <c r="DC303">
        <f>IF(AND(299&gt;HEADER_ROW,UPPER(DB303)="LEGEND"),1,0)</f>
        <v/>
      </c>
      <c r="DE303" t="n">
        <v>299</v>
      </c>
      <c r="DF303">
        <f>HEADER_ROW+$DE303</f>
        <v/>
      </c>
      <c r="DG303">
        <f>IF(AND($DF303&lt;=1000,$DF303&lt;$B$8),1,0)</f>
        <v/>
      </c>
      <c r="DH303">
        <f>IF($DG303=1,IFERROR(INDEX($DB$5:$DB$1004,$DF303),""),"")</f>
        <v/>
      </c>
      <c r="DI303">
        <f>IF(AND($DG303=1,$DH303&lt;&gt;""),IFERROR(SUBSTITUTE(SUBSTITUTE(TRIM(SUBSTITUTE(SUBSTITUTE(SUBSTITUTE(SUBSTITUTE(IFERROR(INDEX(PASTE_ALL,$DF303,1)&amp;"","")&amp;"␟"&amp;IFERROR(INDEX(PASTE_ALL,$DF303,2)&amp;"","")&amp;"␟"&amp;IFERROR(INDEX(PASTE_ALL,$DF303,3)&amp;"","")&amp;"␟"&amp;IFERROR(INDEX(PASTE_ALL,$DF303,4)&amp;"","")&amp;"␟"&amp;IFERROR(INDEX(PASTE_ALL,$DF303,5)&amp;"","")&amp;"␟"&amp;IFERROR(INDEX(PASTE_ALL,$DF303,6)&amp;"","")&amp;"␟"&amp;IFERROR(INDEX(PASTE_ALL,$DF303,7)&amp;"","")&amp;"␟"&amp;IFERROR(INDEX(PASTE_ALL,$DF303,8)&amp;"","")&amp;"␟"&amp;IFERROR(INDEX(PASTE_ALL,$DF303,9)&amp;"","")&amp;"␟"&amp;IFERROR(INDEX(PASTE_ALL,$DF303,10)&amp;"","")&amp;"␟"&amp;IFERROR(INDEX(PASTE_ALL,$DF303,11)&amp;"","")&amp;"␟"&amp;IFERROR(INDEX(PASTE_ALL,$DF303,12)&amp;"","")&amp;"␟"&amp;IFERROR(INDEX(PASTE_ALL,$DF303,13)&amp;"","")&amp;"␟"&amp;IFERROR(INDEX(PASTE_ALL,$DF303,14)&amp;"","")&amp;"␟"&amp;IFERROR(INDEX(PASTE_ALL,$DF303,15)&amp;"","")&amp;"␟"&amp;IFERROR(INDEX(PASTE_ALL,$DF303,16)&amp;"","")&amp;"␟"&amp;IFERROR(INDEX(PASTE_ALL,$DF303,17)&amp;"","")&amp;"␟"&amp;IFERROR(INDEX(PASTE_ALL,$DF303,18)&amp;"","")&amp;"␟"&amp;IFERROR(INDEX(PASTE_ALL,$DF303,19)&amp;"","")&amp;"␟"&amp;IFERROR(INDEX(PASTE_ALL,$DF303,20)&amp;"","")&amp;"␟"&amp;IFERROR(INDEX(PASTE_ALL,$DF303,21)&amp;"","")&amp;"␟"&amp;IFERROR(INDEX(PASTE_ALL,$DF303,22)&amp;"","")&amp;"␟"&amp;IFERROR(INDEX(PASTE_ALL,$DF303,23)&amp;"","")&amp;"␟"&amp;IFERROR(INDEX(PASTE_ALL,$DF303,24)&amp;"","")&amp;"␟"&amp;IFERROR(INDEX(PASTE_ALL,$DF303,25)&amp;"","")&amp;"␟"&amp;IFERROR(INDEX(PASTE_ALL,$DF303,26)&amp;"","")&amp;"␟"&amp;IFERROR(INDEX(PASTE_ALL,$DF303,27)&amp;"","")&amp;"␟"&amp;IFERROR(INDEX(PASTE_ALL,$DF303,28)&amp;"","")&amp;"␟"&amp;IFERROR(INDEX(PASTE_ALL,$DF303,29)&amp;"","")&amp;"␟"&amp;IFERROR(INDEX(PASTE_ALL,$DF303,30)&amp;"","")&amp;"␟"&amp;IFERROR(INDEX(PASTE_ALL,$DF303,31)&amp;"","")&amp;"␟"&amp;IFERROR(INDEX(PASTE_ALL,$DF303,32)&amp;"","")&amp;"␟"&amp;IFERROR(INDEX(PASTE_ALL,$DF303,33)&amp;"","")&amp;"␟"&amp;IFERROR(INDEX(PASTE_ALL,$DF303,34)&amp;"","")&amp;"␟"&amp;IFERROR(INDEX(PASTE_ALL,$DF303,35)&amp;"","")&amp;"␟"&amp;IFERROR(INDEX(PASTE_ALL,$DF303,36)&amp;"","")&amp;"␟"&amp;IFERROR(INDEX(PASTE_ALL,$DF303,37)&amp;"","")&amp;"␟"&amp;IFERROR(INDEX(PASTE_ALL,$DF303,38)&amp;"","")&amp;"␟"&amp;IFERROR(INDEX(PASTE_ALL,$DF303,39)&amp;"","")&amp;"␟"&amp;IFERROR(INDEX(PASTE_ALL,$DF303,40)&amp;"","")&amp;"␟"&amp;IFERROR(INDEX(PASTE_ALL,$DF303,41)&amp;"","")&amp;"␟"&amp;IFERROR(INDEX(PASTE_ALL,$DF303,42)&amp;"","")&amp;"␟"&amp;IFERROR(INDEX(PASTE_ALL,$DF303,43)&amp;"","")&amp;"␟"&amp;IFERROR(INDEX(PASTE_ALL,$DF303,44)&amp;"","")&amp;"␟"&amp;IFERROR(INDEX(PASTE_ALL,$DF303,45)&amp;"","")&amp;"␟"&amp;IFERROR(INDEX(PASTE_ALL,$DF303,46)&amp;"","")&amp;"␟"&amp;IFERROR(INDEX(PASTE_ALL,$DF303,47)&amp;"","")&amp;"␟"&amp;IFERROR(INDEX(PASTE_ALL,$DF303,48)&amp;"","")&amp;"␟"&amp;IFERROR(INDEX(PASTE_ALL,$DF303,49)&amp;"","")&amp;"␟"&amp;IFERROR(INDEX(PASTE_ALL,$DF303,50)&amp;"","")&amp;"␟"&amp;IFERROR(INDEX(PASTE_ALL,$DF303,51)&amp;"","")&amp;"␟"&amp;IFERROR(INDEX(PASTE_ALL,$DF303,52)&amp;"","")&amp;"␟"&amp;IFERROR(INDEX(PASTE_ALL,$DF303,53)&amp;"","")&amp;"␟"&amp;IFERROR(INDEX(PASTE_ALL,$DF303,54)&amp;"","")&amp;"␟"&amp;IFERROR(INDEX(PASTE_ALL,$DF303,55)&amp;"","")&amp;"␟"&amp;IFERROR(INDEX(PASTE_ALL,$DF303,56)&amp;"","")&amp;"␟"&amp;IFERROR(INDEX(PASTE_ALL,$DF303,57)&amp;"","")&amp;"␟"&amp;IFERROR(INDEX(PASTE_ALL,$DF303,58)&amp;"","")&amp;"␟"&amp;IFERROR(INDEX(PASTE_ALL,$DF303,59)&amp;"","")&amp;"␟"&amp;IFERROR(INDEX(PASTE_ALL,$DF303,60)&amp;"","")," "," "),CHAR(9)," "),CHAR(10)," "),CHAR(13)," "))," ␟","␟"),"␟ ","␟"),"#"&amp;$DE303),"")</f>
        <v/>
      </c>
      <c r="DJ303">
        <f>IF($DI303="",0,IF(SUMPRODUCT(--EXACT($DI$4:DI302,$DI303))&gt;0,1,0))</f>
        <v/>
      </c>
      <c r="DK303">
        <f>IF(AND($DI303&lt;&gt;"",$DJ303=0),1,0)</f>
        <v/>
      </c>
      <c r="DL303">
        <f>DL302+$DK303</f>
        <v/>
      </c>
      <c r="DM303">
        <f>IF(AND($DK303=1,$DL303&lt;=600),1,0)</f>
        <v/>
      </c>
      <c r="DN303">
        <f>IF($DM303=0,"",IF($L$6=0,"",IFERROR(IF(ISNUMBER(INDEX(PASTE_ALL,$DF303,$L$6)),INDEX(PASTE_ALL,$DF303,$L$6),TRIM(SUBSTITUTE(SUBSTITUTE(SUBSTITUTE(SUBSTITUTE(INDEX(PASTE_ALL,$DF303,$L$6)," "," "),CHAR(9)," "),CHAR(10)," "),CHAR(13)," "))),"")))</f>
        <v/>
      </c>
      <c r="DO303">
        <f>IF($DM303=0,"",IF($L$7=0,"",IFERROR(IF(ISNUMBER(INDEX(PASTE_ALL,$DF303,$L$7)),INDEX(PASTE_ALL,$DF303,$L$7),TRIM(SUBSTITUTE(SUBSTITUTE(SUBSTITUTE(SUBSTITUTE(INDEX(PASTE_ALL,$DF303,$L$7)," "," "),CHAR(9)," "),CHAR(10)," "),CHAR(13)," "))),"")))</f>
        <v/>
      </c>
      <c r="DP303">
        <f>IF($DM303=0,"",IF($L$8=0,"",IFERROR(IF(ISNUMBER(INDEX(PASTE_ALL,$DF303,$L$8)),INDEX(PASTE_ALL,$DF303,$L$8),TRIM(SUBSTITUTE(SUBSTITUTE(SUBSTITUTE(SUBSTITUTE(INDEX(PASTE_ALL,$DF303,$L$8)," "," "),CHAR(9)," "),CHAR(10)," "),CHAR(13)," "))),"")))</f>
        <v/>
      </c>
      <c r="DQ303">
        <f>IF($DM303=0,"",IF($L$9=0,"",IFERROR(IF(ISNUMBER(INDEX(PASTE_ALL,$DF303,$L$9)),INDEX(PASTE_ALL,$DF303,$L$9),TRIM(SUBSTITUTE(SUBSTITUTE(SUBSTITUTE(SUBSTITUTE(INDEX(PASTE_ALL,$DF303,$L$9)," "," "),CHAR(9)," "),CHAR(10)," "),CHAR(13)," "))),"")))</f>
        <v/>
      </c>
      <c r="DR303">
        <f>IF($DM303=0,"",IF($L$10=0,"",IFERROR(IF(ISNUMBER(INDEX(PASTE_ALL,$DF303,$L$10)),INDEX(PASTE_ALL,$DF303,$L$10),TRIM(SUBSTITUTE(SUBSTITUTE(SUBSTITUTE(SUBSTITUTE(INDEX(PASTE_ALL,$DF303,$L$10)," "," "),CHAR(9)," "),CHAR(10)," "),CHAR(13)," "))),"")))</f>
        <v/>
      </c>
      <c r="DS303">
        <f>IF($DM303=0,"",IF($L$11=0,"",IFERROR(IF(ISNUMBER(INDEX(PASTE_ALL,$DF303,$L$11)),INDEX(PASTE_ALL,$DF303,$L$11),TRIM(SUBSTITUTE(SUBSTITUTE(SUBSTITUTE(SUBSTITUTE(INDEX(PASTE_ALL,$DF303,$L$11)," "," "),CHAR(9)," "),CHAR(10)," "),CHAR(13)," "))),"")))</f>
        <v/>
      </c>
      <c r="DT303">
        <f>IF($DM303=0,"",IF($L$12=0,"",IFERROR(IF(ISNUMBER(INDEX(PASTE_ALL,$DF303,$L$12)),INDEX(PASTE_ALL,$DF303,$L$12),TRIM(SUBSTITUTE(SUBSTITUTE(SUBSTITUTE(SUBSTITUTE(INDEX(PASTE_ALL,$DF303,$L$12)," "," "),CHAR(9)," "),CHAR(10)," "),CHAR(13)," "))),"")))</f>
        <v/>
      </c>
      <c r="DU303">
        <f>IF($DM303=0,"",IF($L$13=0,"",IFERROR(IF(ISNUMBER(INDEX(PASTE_ALL,$DF303,$L$13)),INDEX(PASTE_ALL,$DF303,$L$13),TRIM(SUBSTITUTE(SUBSTITUTE(SUBSTITUTE(SUBSTITUTE(INDEX(PASTE_ALL,$DF303,$L$13)," "," "),CHAR(9)," "),CHAR(10)," "),CHAR(13)," "))),"")))</f>
        <v/>
      </c>
      <c r="DV303">
        <f>IF($DM303=0,"",IF($L$14=0,"",IFERROR(IF(ISNUMBER(INDEX(PASTE_ALL,$DF303,$L$14)),INDEX(PASTE_ALL,$DF303,$L$14),TRIM(SUBSTITUTE(SUBSTITUTE(SUBSTITUTE(SUBSTITUTE(INDEX(PASTE_ALL,$DF303,$L$14)," "," "),CHAR(9)," "),CHAR(10)," "),CHAR(13)," "))),"")))</f>
        <v/>
      </c>
      <c r="DW303">
        <f>IF($DM303=0,"",IF($L$15=0,"",IFERROR(IF(ISNUMBER(INDEX(PASTE_ALL,$DF303,$L$15)),INDEX(PASTE_ALL,$DF303,$L$15),IF(SUMPRODUCT(--ISNUMBER(FIND({"A","B","C","D","E","F","G","H","I","J","K","L","M","N","O","P","Q","R","S","T","U","V","W","X","Y","Z","0","1","2","3","4","5","6","7","8","9"},UPPER(TRIM(SUBSTITUTE(SUBSTITUTE(SUBSTITUTE(SUBSTITUTE(INDEX(PASTE_ALL,$DF303,$L$15)," "," "),CHAR(9)," "),CHAR(10)," "),CHAR(13)," "))))))&gt;0,TRIM(SUBSTITUTE(SUBSTITUTE(SUBSTITUTE(SUBSTITUTE(INDEX(PASTE_ALL,$DF303,$L$15)," "," "),CHAR(9)," "),CHAR(10)," "),CHAR(13)," ")),"")),"")))</f>
        <v/>
      </c>
      <c r="DX303">
        <f>IF($DM303=0,"",IF($L$16=0,"",IFERROR(IF(ISNUMBER(INDEX(PASTE_ALL,$DF303,$L$16)),INDEX(PASTE_ALL,$DF303,$L$16),SUBSTITUTE(SUBSTITUTE(TRIM(SUBSTITUTE(SUBSTITUTE(SUBSTITUTE(SUBSTITUTE(INDEX(PASTE_ALL,$DF303,$L$16)," "," "),CHAR(9)," "),CHAR(10)," "),CHAR(13)," ")),",",""),"%","")),"")))</f>
        <v/>
      </c>
      <c r="DY303">
        <f>IF($DM303=0,"",IFERROR(IF(ISNUMBER($DX303),$DX303,IF($DX303="","",IF(TRIM($DX303)="",0,IF(AND(AND(SUBSTITUTE(SUBSTITUTE(SUBSTITUTE(SUBSTITUTE(SUBSTITUTE(SUBSTITUTE(SUBSTITUTE(SUBSTITUTE(SUBSTITUTE(SUBSTITUTE(SUBSTITUTE(SUBSTITUTE(SUBSTITUTE(SUBSTITUTE(UPPER(TRIM($DX303)),"0",""),"1",""),"2",""),"3",""),"4",""),"5",""),"6",""),"7",""),"8",""),"9",""),".",""),"+",""),"-",""),"E","")="",LEN(SUBSTITUTE(SUBSTITUTE(MID(UPPER(TRIM($DX303)),1+OR(LEFT(UPPER(TRIM($DX303)),1)="+",LEFT(UPPER(TRIM($DX303)),1)="-"),999),"E+","E"),"E-","E"))=LEN(SUBSTITUTE(SUBSTITUTE(SUBSTITUTE(SUBSTITUTE(MID(UPPER(TRIM($DX303)),1+OR(LEFT(UPPER(TRIM($DX303)),1)="+",LEFT(UPPER(TRIM($DX303)),1)="-"),999),"E+","E"),"E-","E"),"+",""),"-","")),LEN(UPPER(TRIM($DX303)))-LEN(SUBSTITUTE(UPPER(TRIM($DX303)),"E",""))&lt;2,LEN(UPPER(TRIM($DX303)))-LEN(SUBSTITUTE(UPPER(TRIM($DX303)),".",""))&lt;2,IFERROR(FIND(".",UPPER(TRIM($DX303))),0)&lt;IFERROR(FIND("E",UPPER(TRIM($DX303))),999)),ISNUMBER(VALUE(TRIM($DX303)))),VALUE(TRIM($DX303)),"")))),""))</f>
        <v/>
      </c>
      <c r="DZ303">
        <f>IF($DM303=0,"",IF($L$17=0,"",IFERROR(IF(ISNUMBER(INDEX(PASTE_ALL,$DF303,$L$17)),INDEX(PASTE_ALL,$DF303,$L$17),SUBSTITUTE(SUBSTITUTE(TRIM(SUBSTITUTE(SUBSTITUTE(SUBSTITUTE(SUBSTITUTE(INDEX(PASTE_ALL,$DF303,$L$17)," "," "),CHAR(9)," "),CHAR(10)," "),CHAR(13)," ")),",",""),"%","")),"")))</f>
        <v/>
      </c>
      <c r="EA303">
        <f>IF($DM303=0,"",IFERROR(IF(ISNUMBER($DZ303),$DZ303,IF($DZ303="","",IF(TRIM($DZ303)="",0,IF(AND(AND(SUBSTITUTE(SUBSTITUTE(SUBSTITUTE(SUBSTITUTE(SUBSTITUTE(SUBSTITUTE(SUBSTITUTE(SUBSTITUTE(SUBSTITUTE(SUBSTITUTE(SUBSTITUTE(SUBSTITUTE(SUBSTITUTE(SUBSTITUTE(UPPER(TRIM($DZ303)),"0",""),"1",""),"2",""),"3",""),"4",""),"5",""),"6",""),"7",""),"8",""),"9",""),".",""),"+",""),"-",""),"E","")="",LEN(SUBSTITUTE(SUBSTITUTE(MID(UPPER(TRIM($DZ303)),1+OR(LEFT(UPPER(TRIM($DZ303)),1)="+",LEFT(UPPER(TRIM($DZ303)),1)="-"),999),"E+","E"),"E-","E"))=LEN(SUBSTITUTE(SUBSTITUTE(SUBSTITUTE(SUBSTITUTE(MID(UPPER(TRIM($DZ303)),1+OR(LEFT(UPPER(TRIM($DZ303)),1)="+",LEFT(UPPER(TRIM($DZ303)),1)="-"),999),"E+","E"),"E-","E"),"+",""),"-","")),LEN(UPPER(TRIM($DZ303)))-LEN(SUBSTITUTE(UPPER(TRIM($DZ303)),"E",""))&lt;2,LEN(UPPER(TRIM($DZ303)))-LEN(SUBSTITUTE(UPPER(TRIM($DZ303)),".",""))&lt;2,IFERROR(FIND(".",UPPER(TRIM($DZ303))),0)&lt;IFERROR(FIND("E",UPPER(TRIM($DZ303))),999)),ISNUMBER(VALUE(TRIM($DZ303)))),VALUE(TRIM($DZ303)),"")))),""))</f>
        <v/>
      </c>
      <c r="EB303">
        <f>IF($DM303=0,"",IF($L$18=0,"",IFERROR(IF(UPPER(TRIM(SUBSTITUTE(SUBSTITUTE(SUBSTITUTE(SUBSTITUTE(INDEX(PASTE_ALL,$DF303,$L$18)," "," "),CHAR(9)," "),CHAR(10)," "),CHAR(13)," ")))="READY","Ready",IF(UPPER(TRIM(SUBSTITUTE(SUBSTITUTE(SUBSTITUTE(SUBSTITUTE(INDEX(PASTE_ALL,$DF303,$L$18)," "," "),CHAR(9)," "),CHAR(10)," "),CHAR(13)," ")))="PM","PM",IF(OR(UPPER(TRIM(SUBSTITUTE(SUBSTITUTE(SUBSTITUTE(SUBSTITUTE(INDEX(PASTE_ALL,$DF303,$L$18)," "," "),CHAR(9)," "),CHAR(10)," "),CHAR(13)," ")))="OT",UPPER(TRIM(SUBSTITUTE(SUBSTITUTE(SUBSTITUTE(SUBSTITUTE(INDEX(PASTE_ALL,$DF303,$L$18)," "," "),CHAR(9)," "),CHAR(10)," "),CHAR(13)," ")))="OVERTIME",UPPER(TRIM(SUBSTITUTE(SUBSTITUTE(SUBSTITUTE(SUBSTITUTE(INDEX(PASTE_ALL,$DF303,$L$18)," "," "),CHAR(9)," "),CHAR(10)," "),CHAR(13)," ")))="TRIAL"),"OT",TRIM(SUBSTITUTE(SUBSTITUTE(SUBSTITUTE(SUBSTITUTE(INDEX(PASTE_ALL,$DF303,$L$18)," "," "),CHAR(9)," "),CHAR(10)," "),CHAR(13)," "))))),"")))</f>
        <v/>
      </c>
      <c r="EC303">
        <f>IF($DM303=0,"",IF($L$19=0,"",IFERROR(IF(ISNUMBER(INDEX(PASTE_ALL,$DF303,$L$19)),INDEX(PASTE_ALL,$DF303,$L$19),TRIM(SUBSTITUTE(SUBSTITUTE(SUBSTITUTE(SUBSTITUTE(INDEX(PASTE_ALL,$DF303,$L$19)," "," "),CHAR(9)," "),CHAR(10)," "),CHAR(13)," "))),"")))</f>
        <v/>
      </c>
      <c r="ED303">
        <f>IF($DM303=0,"",MATCH(1,INDEX(EXACT($DH$5:DH303,$DH303)*$DM$5:DM303,0),0))</f>
        <v/>
      </c>
      <c r="EE303">
        <f>IF($DM303=0,0,IF($ED303=$DE303,1,0))</f>
        <v/>
      </c>
      <c r="EF303">
        <f>EF302+$EE303</f>
        <v/>
      </c>
      <c r="EG303">
        <f>IF($DM303=0,"",INDEX($EF$5:$EF$1003,$ED303))</f>
        <v/>
      </c>
      <c r="EH303">
        <f>IF($DM303=0,"",IF($DO303&lt;&gt;"","",IFERROR(LOOKUP(2,1/(($EG$4:EG302=$EG303)*($DO$4:DO302&lt;&gt;"")),$DO$4:DO302),"")))</f>
        <v/>
      </c>
      <c r="EI303">
        <f>IF($DM303=0,"",IF($DO303&lt;&gt;"",$DO303,$EH303))</f>
        <v/>
      </c>
      <c r="EJ303">
        <f>IF($DM303=0,"",IF($EI303="",0,IF(OR(ISNUMBER($EI303),AND(AND(SUBSTITUTE(SUBSTITUTE(SUBSTITUTE(SUBSTITUTE(SUBSTITUTE(SUBSTITUTE(SUBSTITUTE(SUBSTITUTE(SUBSTITUTE(SUBSTITUTE(SUBSTITUTE(SUBSTITUTE(SUBSTITUTE(SUBSTITUTE(UPPER($EI303),"0",""),"1",""),"2",""),"3",""),"4",""),"5",""),"6",""),"7",""),"8",""),"9",""),".",""),"+",""),"-",""),"E","")="",LEN(SUBSTITUTE(SUBSTITUTE(MID(UPPER($EI303),1+OR(LEFT(UPPER($EI303),1)="+",LEFT(UPPER($EI303),1)="-"),999),"E+","E"),"E-","E"))=LEN(SUBSTITUTE(SUBSTITUTE(SUBSTITUTE(SUBSTITUTE(MID(UPPER($EI303),1+OR(LEFT(UPPER($EI303),1)="+",LEFT(UPPER($EI303),1)="-"),999),"E+","E"),"E-","E"),"+",""),"-","")),LEN(UPPER($EI303))-LEN(SUBSTITUTE(UPPER($EI303),"E",""))&lt;2,LEN(UPPER($EI303))-LEN(SUBSTITUTE(UPPER($EI303),".",""))&lt;2,IFERROR(FIND(".",UPPER($EI303)),0)&lt;IFERROR(FIND("E",UPPER($EI303)),999)),ISNUMBER(VALUE($EI303)))),1,2)))</f>
        <v/>
      </c>
      <c r="EK303">
        <f>IF($DM303=0,"",IF($EJ303=1,IF(ISNUMBER($EI303),$EI303,VALUE($EI303)),IF($EJ303=2,$DE303,0)))</f>
        <v/>
      </c>
      <c r="EL303">
        <f>IF($DM303=0,"",COUNTIF($EG$5:$EG$1003,"&lt;"&amp;$EG303)+SUMPRODUCT(($EG$5:$EG$1003=$EG303)*(($EJ$5:$EJ$1003&lt;$EJ303)+($EJ$5:$EJ$1003=$EJ303)*(($EK$5:$EK$1003&lt;$EK303)+($EK$5:$EK$1003=$EK303)*($DE$5:$DE$1003&lt;$DE303))))+1)</f>
        <v/>
      </c>
      <c r="EM303">
        <f>IF($DM303=0,"",$EL303+$EG303-1)</f>
        <v/>
      </c>
      <c r="EN303">
        <f>IF($DM303=0,0,IFERROR(MATCH(1,INDEX(--(TRIM(SUBSTITUTE(SUBSTITUTE(SUBSTITUTE(SUBSTITUTE(LINES_NAME&amp;""," "," "),CHAR(9)," "),CHAR(10)," "),CHAR(13)," "))=$DH303),0),0),0))</f>
        <v/>
      </c>
      <c r="EO303">
        <f>IF($EN303=0,0,IF(OR(UPPER(TRIM(INDEX(LINES_SCHEDULED,$EN303)&amp;""))="YES",UPPER(TRIM(INDEX(LINES_SCHEDULED,$EN303)&amp;""))="Y",UPPER(TRIM(INDEX(LINES_SCHEDULED,$EN303)&amp;""))="X"),1,0))</f>
        <v/>
      </c>
      <c r="EP303">
        <f>IF($DM303=0,"",IF(COUNTIFS($EG$5:$EG$1003,$EG303,$EB$5:$EB$1003,"Ready")&gt;0,"READY",IF(COUNTIFS($EG$5:$EG$1003,$EG303,$EB$5:$EB$1003,"PM")&gt;0,"PM",IF(COUNTIFS($EG$5:$EG$1003,$EG303,$EB$5:$EB$1003,"OT")&gt;0,"OT",""))))</f>
        <v/>
      </c>
      <c r="EQ303">
        <f>IF($EN303=0,"",UPPER(TRIM(INDEX(LINES_STATUS,$EN303)&amp;"")))</f>
        <v/>
      </c>
      <c r="ER303">
        <f>IF($DM303=0,"",IF(OR($EQ303="READY",$EQ303="PM",$EQ303="OT"),$EQ303,$EP303))</f>
        <v/>
      </c>
      <c r="ES303">
        <f>IF($DM303=0,"",IF(AND($DV303&lt;&gt;"",UPPER($DV303)&lt;&gt;"N"),"allergen",IF(ISNUMBER(SEARCH("oil",$DQ303)),"oil",IF(OR(EXACT($DS303,"A662"),EXACT($DS303,"A624")),"bulk",""))))</f>
        <v/>
      </c>
      <c r="ET303">
        <f>IF($DM303=0,"",IF(OR($EA303="",$EA303=0),"",$EA303/100))</f>
        <v/>
      </c>
      <c r="EU303">
        <f>IF(OR($ET303="",$DY303=""),"",INT($DY303*(1-$ET303)+0.5))</f>
        <v/>
      </c>
      <c r="EW303" t="n">
        <v>299</v>
      </c>
      <c r="EX303">
        <f>IFERROR(MATCH($EW303,$EM$5:$EM$1003,0),0)</f>
        <v/>
      </c>
      <c r="EY303">
        <f>IF($EW303&gt;$B$12,"",IF($EX303&gt;0,"row","spacer"))</f>
        <v/>
      </c>
      <c r="EZ303">
        <f>IF(AND($EY303="row",$EY302&lt;&gt;"row"),1,0)</f>
        <v/>
      </c>
      <c r="FA303">
        <f>IF(AND($EY303="row",$EY304&lt;&gt;"row"),1,0)</f>
        <v/>
      </c>
      <c r="FB303">
        <f>IF($EZ303=1,IFERROR(IF(ISNUMBER(INDEX(PASTE_ALL,INDEX($DF$5:$DF$1003,$EX303),$B$37)),INDEX(PASTE_ALL,INDEX($DF$5:$DF$1003,$EX303),$B$37),INDEX($DH$5:$DH$1003,$EX303)),INDEX($DH$5:$DH$1003,$EX303)),"")</f>
        <v/>
      </c>
      <c r="FC303">
        <f>IF($EY303="row",INDEX($ER$5:$ER$1003,$EX303),"")</f>
        <v/>
      </c>
      <c r="FD303">
        <f>IF($EY303="row",INDEX($DN$5:$DN$1003,$EX303),"")</f>
        <v/>
      </c>
      <c r="FE303">
        <f>IF($EY303="row",INDEX($DO$5:$DO$1003,$EX303),"")</f>
        <v/>
      </c>
      <c r="FF303">
        <f>IF($EY303="row",INDEX($DP$5:$DP$1003,$EX303),"")</f>
        <v/>
      </c>
      <c r="FG303">
        <f>IF($EY303="row",INDEX($DQ$5:$DQ$1003,$EX303),"")</f>
        <v/>
      </c>
      <c r="FH303">
        <f>IF($EY303="row",INDEX($DR$5:$DR$1003,$EX303),"")</f>
        <v/>
      </c>
      <c r="FI303">
        <f>IF($EY303="row",INDEX($DS$5:$DS$1003,$EX303),"")</f>
        <v/>
      </c>
      <c r="FJ303">
        <f>IF($EY303="row",INDEX($DT$5:$DT$1003,$EX303),"")</f>
        <v/>
      </c>
      <c r="FK303">
        <f>IF($EY303="row",INDEX($DU$5:$DU$1003,$EX303),"")</f>
        <v/>
      </c>
      <c r="FL303">
        <f>IF($EY303="row",INDEX($DV$5:$DV$1003,$EX303),"")</f>
        <v/>
      </c>
      <c r="FM303">
        <f>IF($EY303="row",INDEX($DW$5:$DW$1003,$EX303),"")</f>
        <v/>
      </c>
      <c r="FN303">
        <f>IF($EY303="row",INDEX($DY$5:$DY$1003,$EX303),"")</f>
        <v/>
      </c>
      <c r="FO303">
        <f>IF($EY303="row",INDEX($EA$5:$EA$1003,$EX303),"")</f>
        <v/>
      </c>
      <c r="FP303">
        <f>IF($EY303="row",INDEX($EC$5:$EC$1003,$EX303),"")</f>
        <v/>
      </c>
      <c r="FQ303">
        <f>IF($EY303="row",INDEX($ET$5:$ET$1003,$EX303),"")</f>
        <v/>
      </c>
      <c r="FR303">
        <f>IF($EY303="row",INDEX($EU$5:$EU$1003,$EX303),"")</f>
        <v/>
      </c>
      <c r="FS303">
        <f>IF(AND($EY303="row",$EY302="row"),IF(OR(INDEX($DT$5:$DT$1003,$EX302)="",INDEX($DT$5:$DT$1003,$EX303)=""),"",IF(NOT(EXACT(INDEX($DT$5:$DT$1003,$EX302),INDEX($DT$5:$DT$1003,$EX303))),"S4",IF(NOT(EXACT(INDEX($DS$5:$DS$1003,$EX302),INDEX($DS$5:$DS$1003,$EX303))),"S3",IF(NOT(EXACT(INDEX($DR$5:$DR$1003,$EX302),INDEX($DR$5:$DR$1003,$EX303))),"S1 Count Change","S1")))),"")</f>
        <v/>
      </c>
      <c r="FT303">
        <f>IF($EY303="row",INDEX($ES$5:$ES$1003,$EX303),"")</f>
        <v/>
      </c>
      <c r="FU303">
        <f>IF($EY303="row",INDEX($EO$5:$EO$1003,$EX303),0)</f>
        <v/>
      </c>
      <c r="FV303">
        <f>IF($FS303="S1 Count Change",1,0)</f>
        <v/>
      </c>
    </row>
    <row r="304">
      <c r="DA304" t="n">
        <v>300</v>
      </c>
      <c r="DB304">
        <f>IF($B$37=0,"",IFERROR(TRIM(SUBSTITUTE(SUBSTITUTE(SUBSTITUTE(SUBSTITUTE(INDEX(PASTE_ALL,300,$B$37)," "," "),CHAR(9)," "),CHAR(10)," "),CHAR(13)," ")),""))</f>
        <v/>
      </c>
      <c r="DC304">
        <f>IF(AND(300&gt;HEADER_ROW,UPPER(DB304)="LEGEND"),1,0)</f>
        <v/>
      </c>
      <c r="DE304" t="n">
        <v>300</v>
      </c>
      <c r="DF304">
        <f>HEADER_ROW+$DE304</f>
        <v/>
      </c>
      <c r="DG304">
        <f>IF(AND($DF304&lt;=1000,$DF304&lt;$B$8),1,0)</f>
        <v/>
      </c>
      <c r="DH304">
        <f>IF($DG304=1,IFERROR(INDEX($DB$5:$DB$1004,$DF304),""),"")</f>
        <v/>
      </c>
      <c r="DI304">
        <f>IF(AND($DG304=1,$DH304&lt;&gt;""),IFERROR(SUBSTITUTE(SUBSTITUTE(TRIM(SUBSTITUTE(SUBSTITUTE(SUBSTITUTE(SUBSTITUTE(IFERROR(INDEX(PASTE_ALL,$DF304,1)&amp;"","")&amp;"␟"&amp;IFERROR(INDEX(PASTE_ALL,$DF304,2)&amp;"","")&amp;"␟"&amp;IFERROR(INDEX(PASTE_ALL,$DF304,3)&amp;"","")&amp;"␟"&amp;IFERROR(INDEX(PASTE_ALL,$DF304,4)&amp;"","")&amp;"␟"&amp;IFERROR(INDEX(PASTE_ALL,$DF304,5)&amp;"","")&amp;"␟"&amp;IFERROR(INDEX(PASTE_ALL,$DF304,6)&amp;"","")&amp;"␟"&amp;IFERROR(INDEX(PASTE_ALL,$DF304,7)&amp;"","")&amp;"␟"&amp;IFERROR(INDEX(PASTE_ALL,$DF304,8)&amp;"","")&amp;"␟"&amp;IFERROR(INDEX(PASTE_ALL,$DF304,9)&amp;"","")&amp;"␟"&amp;IFERROR(INDEX(PASTE_ALL,$DF304,10)&amp;"","")&amp;"␟"&amp;IFERROR(INDEX(PASTE_ALL,$DF304,11)&amp;"","")&amp;"␟"&amp;IFERROR(INDEX(PASTE_ALL,$DF304,12)&amp;"","")&amp;"␟"&amp;IFERROR(INDEX(PASTE_ALL,$DF304,13)&amp;"","")&amp;"␟"&amp;IFERROR(INDEX(PASTE_ALL,$DF304,14)&amp;"","")&amp;"␟"&amp;IFERROR(INDEX(PASTE_ALL,$DF304,15)&amp;"","")&amp;"␟"&amp;IFERROR(INDEX(PASTE_ALL,$DF304,16)&amp;"","")&amp;"␟"&amp;IFERROR(INDEX(PASTE_ALL,$DF304,17)&amp;"","")&amp;"␟"&amp;IFERROR(INDEX(PASTE_ALL,$DF304,18)&amp;"","")&amp;"␟"&amp;IFERROR(INDEX(PASTE_ALL,$DF304,19)&amp;"","")&amp;"␟"&amp;IFERROR(INDEX(PASTE_ALL,$DF304,20)&amp;"","")&amp;"␟"&amp;IFERROR(INDEX(PASTE_ALL,$DF304,21)&amp;"","")&amp;"␟"&amp;IFERROR(INDEX(PASTE_ALL,$DF304,22)&amp;"","")&amp;"␟"&amp;IFERROR(INDEX(PASTE_ALL,$DF304,23)&amp;"","")&amp;"␟"&amp;IFERROR(INDEX(PASTE_ALL,$DF304,24)&amp;"","")&amp;"␟"&amp;IFERROR(INDEX(PASTE_ALL,$DF304,25)&amp;"","")&amp;"␟"&amp;IFERROR(INDEX(PASTE_ALL,$DF304,26)&amp;"","")&amp;"␟"&amp;IFERROR(INDEX(PASTE_ALL,$DF304,27)&amp;"","")&amp;"␟"&amp;IFERROR(INDEX(PASTE_ALL,$DF304,28)&amp;"","")&amp;"␟"&amp;IFERROR(INDEX(PASTE_ALL,$DF304,29)&amp;"","")&amp;"␟"&amp;IFERROR(INDEX(PASTE_ALL,$DF304,30)&amp;"","")&amp;"␟"&amp;IFERROR(INDEX(PASTE_ALL,$DF304,31)&amp;"","")&amp;"␟"&amp;IFERROR(INDEX(PASTE_ALL,$DF304,32)&amp;"","")&amp;"␟"&amp;IFERROR(INDEX(PASTE_ALL,$DF304,33)&amp;"","")&amp;"␟"&amp;IFERROR(INDEX(PASTE_ALL,$DF304,34)&amp;"","")&amp;"␟"&amp;IFERROR(INDEX(PASTE_ALL,$DF304,35)&amp;"","")&amp;"␟"&amp;IFERROR(INDEX(PASTE_ALL,$DF304,36)&amp;"","")&amp;"␟"&amp;IFERROR(INDEX(PASTE_ALL,$DF304,37)&amp;"","")&amp;"␟"&amp;IFERROR(INDEX(PASTE_ALL,$DF304,38)&amp;"","")&amp;"␟"&amp;IFERROR(INDEX(PASTE_ALL,$DF304,39)&amp;"","")&amp;"␟"&amp;IFERROR(INDEX(PASTE_ALL,$DF304,40)&amp;"","")&amp;"␟"&amp;IFERROR(INDEX(PASTE_ALL,$DF304,41)&amp;"","")&amp;"␟"&amp;IFERROR(INDEX(PASTE_ALL,$DF304,42)&amp;"","")&amp;"␟"&amp;IFERROR(INDEX(PASTE_ALL,$DF304,43)&amp;"","")&amp;"␟"&amp;IFERROR(INDEX(PASTE_ALL,$DF304,44)&amp;"","")&amp;"␟"&amp;IFERROR(INDEX(PASTE_ALL,$DF304,45)&amp;"","")&amp;"␟"&amp;IFERROR(INDEX(PASTE_ALL,$DF304,46)&amp;"","")&amp;"␟"&amp;IFERROR(INDEX(PASTE_ALL,$DF304,47)&amp;"","")&amp;"␟"&amp;IFERROR(INDEX(PASTE_ALL,$DF304,48)&amp;"","")&amp;"␟"&amp;IFERROR(INDEX(PASTE_ALL,$DF304,49)&amp;"","")&amp;"␟"&amp;IFERROR(INDEX(PASTE_ALL,$DF304,50)&amp;"","")&amp;"␟"&amp;IFERROR(INDEX(PASTE_ALL,$DF304,51)&amp;"","")&amp;"␟"&amp;IFERROR(INDEX(PASTE_ALL,$DF304,52)&amp;"","")&amp;"␟"&amp;IFERROR(INDEX(PASTE_ALL,$DF304,53)&amp;"","")&amp;"␟"&amp;IFERROR(INDEX(PASTE_ALL,$DF304,54)&amp;"","")&amp;"␟"&amp;IFERROR(INDEX(PASTE_ALL,$DF304,55)&amp;"","")&amp;"␟"&amp;IFERROR(INDEX(PASTE_ALL,$DF304,56)&amp;"","")&amp;"␟"&amp;IFERROR(INDEX(PASTE_ALL,$DF304,57)&amp;"","")&amp;"␟"&amp;IFERROR(INDEX(PASTE_ALL,$DF304,58)&amp;"","")&amp;"␟"&amp;IFERROR(INDEX(PASTE_ALL,$DF304,59)&amp;"","")&amp;"␟"&amp;IFERROR(INDEX(PASTE_ALL,$DF304,60)&amp;"","")," "," "),CHAR(9)," "),CHAR(10)," "),CHAR(13)," "))," ␟","␟"),"␟ ","␟"),"#"&amp;$DE304),"")</f>
        <v/>
      </c>
      <c r="DJ304">
        <f>IF($DI304="",0,IF(SUMPRODUCT(--EXACT($DI$4:DI303,$DI304))&gt;0,1,0))</f>
        <v/>
      </c>
      <c r="DK304">
        <f>IF(AND($DI304&lt;&gt;"",$DJ304=0),1,0)</f>
        <v/>
      </c>
      <c r="DL304">
        <f>DL303+$DK304</f>
        <v/>
      </c>
      <c r="DM304">
        <f>IF(AND($DK304=1,$DL304&lt;=600),1,0)</f>
        <v/>
      </c>
      <c r="DN304">
        <f>IF($DM304=0,"",IF($L$6=0,"",IFERROR(IF(ISNUMBER(INDEX(PASTE_ALL,$DF304,$L$6)),INDEX(PASTE_ALL,$DF304,$L$6),TRIM(SUBSTITUTE(SUBSTITUTE(SUBSTITUTE(SUBSTITUTE(INDEX(PASTE_ALL,$DF304,$L$6)," "," "),CHAR(9)," "),CHAR(10)," "),CHAR(13)," "))),"")))</f>
        <v/>
      </c>
      <c r="DO304">
        <f>IF($DM304=0,"",IF($L$7=0,"",IFERROR(IF(ISNUMBER(INDEX(PASTE_ALL,$DF304,$L$7)),INDEX(PASTE_ALL,$DF304,$L$7),TRIM(SUBSTITUTE(SUBSTITUTE(SUBSTITUTE(SUBSTITUTE(INDEX(PASTE_ALL,$DF304,$L$7)," "," "),CHAR(9)," "),CHAR(10)," "),CHAR(13)," "))),"")))</f>
        <v/>
      </c>
      <c r="DP304">
        <f>IF($DM304=0,"",IF($L$8=0,"",IFERROR(IF(ISNUMBER(INDEX(PASTE_ALL,$DF304,$L$8)),INDEX(PASTE_ALL,$DF304,$L$8),TRIM(SUBSTITUTE(SUBSTITUTE(SUBSTITUTE(SUBSTITUTE(INDEX(PASTE_ALL,$DF304,$L$8)," "," "),CHAR(9)," "),CHAR(10)," "),CHAR(13)," "))),"")))</f>
        <v/>
      </c>
      <c r="DQ304">
        <f>IF($DM304=0,"",IF($L$9=0,"",IFERROR(IF(ISNUMBER(INDEX(PASTE_ALL,$DF304,$L$9)),INDEX(PASTE_ALL,$DF304,$L$9),TRIM(SUBSTITUTE(SUBSTITUTE(SUBSTITUTE(SUBSTITUTE(INDEX(PASTE_ALL,$DF304,$L$9)," "," "),CHAR(9)," "),CHAR(10)," "),CHAR(13)," "))),"")))</f>
        <v/>
      </c>
      <c r="DR304">
        <f>IF($DM304=0,"",IF($L$10=0,"",IFERROR(IF(ISNUMBER(INDEX(PASTE_ALL,$DF304,$L$10)),INDEX(PASTE_ALL,$DF304,$L$10),TRIM(SUBSTITUTE(SUBSTITUTE(SUBSTITUTE(SUBSTITUTE(INDEX(PASTE_ALL,$DF304,$L$10)," "," "),CHAR(9)," "),CHAR(10)," "),CHAR(13)," "))),"")))</f>
        <v/>
      </c>
      <c r="DS304">
        <f>IF($DM304=0,"",IF($L$11=0,"",IFERROR(IF(ISNUMBER(INDEX(PASTE_ALL,$DF304,$L$11)),INDEX(PASTE_ALL,$DF304,$L$11),TRIM(SUBSTITUTE(SUBSTITUTE(SUBSTITUTE(SUBSTITUTE(INDEX(PASTE_ALL,$DF304,$L$11)," "," "),CHAR(9)," "),CHAR(10)," "),CHAR(13)," "))),"")))</f>
        <v/>
      </c>
      <c r="DT304">
        <f>IF($DM304=0,"",IF($L$12=0,"",IFERROR(IF(ISNUMBER(INDEX(PASTE_ALL,$DF304,$L$12)),INDEX(PASTE_ALL,$DF304,$L$12),TRIM(SUBSTITUTE(SUBSTITUTE(SUBSTITUTE(SUBSTITUTE(INDEX(PASTE_ALL,$DF304,$L$12)," "," "),CHAR(9)," "),CHAR(10)," "),CHAR(13)," "))),"")))</f>
        <v/>
      </c>
      <c r="DU304">
        <f>IF($DM304=0,"",IF($L$13=0,"",IFERROR(IF(ISNUMBER(INDEX(PASTE_ALL,$DF304,$L$13)),INDEX(PASTE_ALL,$DF304,$L$13),TRIM(SUBSTITUTE(SUBSTITUTE(SUBSTITUTE(SUBSTITUTE(INDEX(PASTE_ALL,$DF304,$L$13)," "," "),CHAR(9)," "),CHAR(10)," "),CHAR(13)," "))),"")))</f>
        <v/>
      </c>
      <c r="DV304">
        <f>IF($DM304=0,"",IF($L$14=0,"",IFERROR(IF(ISNUMBER(INDEX(PASTE_ALL,$DF304,$L$14)),INDEX(PASTE_ALL,$DF304,$L$14),TRIM(SUBSTITUTE(SUBSTITUTE(SUBSTITUTE(SUBSTITUTE(INDEX(PASTE_ALL,$DF304,$L$14)," "," "),CHAR(9)," "),CHAR(10)," "),CHAR(13)," "))),"")))</f>
        <v/>
      </c>
      <c r="DW304">
        <f>IF($DM304=0,"",IF($L$15=0,"",IFERROR(IF(ISNUMBER(INDEX(PASTE_ALL,$DF304,$L$15)),INDEX(PASTE_ALL,$DF304,$L$15),IF(SUMPRODUCT(--ISNUMBER(FIND({"A","B","C","D","E","F","G","H","I","J","K","L","M","N","O","P","Q","R","S","T","U","V","W","X","Y","Z","0","1","2","3","4","5","6","7","8","9"},UPPER(TRIM(SUBSTITUTE(SUBSTITUTE(SUBSTITUTE(SUBSTITUTE(INDEX(PASTE_ALL,$DF304,$L$15)," "," "),CHAR(9)," "),CHAR(10)," "),CHAR(13)," "))))))&gt;0,TRIM(SUBSTITUTE(SUBSTITUTE(SUBSTITUTE(SUBSTITUTE(INDEX(PASTE_ALL,$DF304,$L$15)," "," "),CHAR(9)," "),CHAR(10)," "),CHAR(13)," ")),"")),"")))</f>
        <v/>
      </c>
      <c r="DX304">
        <f>IF($DM304=0,"",IF($L$16=0,"",IFERROR(IF(ISNUMBER(INDEX(PASTE_ALL,$DF304,$L$16)),INDEX(PASTE_ALL,$DF304,$L$16),SUBSTITUTE(SUBSTITUTE(TRIM(SUBSTITUTE(SUBSTITUTE(SUBSTITUTE(SUBSTITUTE(INDEX(PASTE_ALL,$DF304,$L$16)," "," "),CHAR(9)," "),CHAR(10)," "),CHAR(13)," ")),",",""),"%","")),"")))</f>
        <v/>
      </c>
      <c r="DY304">
        <f>IF($DM304=0,"",IFERROR(IF(ISNUMBER($DX304),$DX304,IF($DX304="","",IF(TRIM($DX304)="",0,IF(AND(AND(SUBSTITUTE(SUBSTITUTE(SUBSTITUTE(SUBSTITUTE(SUBSTITUTE(SUBSTITUTE(SUBSTITUTE(SUBSTITUTE(SUBSTITUTE(SUBSTITUTE(SUBSTITUTE(SUBSTITUTE(SUBSTITUTE(SUBSTITUTE(UPPER(TRIM($DX304)),"0",""),"1",""),"2",""),"3",""),"4",""),"5",""),"6",""),"7",""),"8",""),"9",""),".",""),"+",""),"-",""),"E","")="",LEN(SUBSTITUTE(SUBSTITUTE(MID(UPPER(TRIM($DX304)),1+OR(LEFT(UPPER(TRIM($DX304)),1)="+",LEFT(UPPER(TRIM($DX304)),1)="-"),999),"E+","E"),"E-","E"))=LEN(SUBSTITUTE(SUBSTITUTE(SUBSTITUTE(SUBSTITUTE(MID(UPPER(TRIM($DX304)),1+OR(LEFT(UPPER(TRIM($DX304)),1)="+",LEFT(UPPER(TRIM($DX304)),1)="-"),999),"E+","E"),"E-","E"),"+",""),"-","")),LEN(UPPER(TRIM($DX304)))-LEN(SUBSTITUTE(UPPER(TRIM($DX304)),"E",""))&lt;2,LEN(UPPER(TRIM($DX304)))-LEN(SUBSTITUTE(UPPER(TRIM($DX304)),".",""))&lt;2,IFERROR(FIND(".",UPPER(TRIM($DX304))),0)&lt;IFERROR(FIND("E",UPPER(TRIM($DX304))),999)),ISNUMBER(VALUE(TRIM($DX304)))),VALUE(TRIM($DX304)),"")))),""))</f>
        <v/>
      </c>
      <c r="DZ304">
        <f>IF($DM304=0,"",IF($L$17=0,"",IFERROR(IF(ISNUMBER(INDEX(PASTE_ALL,$DF304,$L$17)),INDEX(PASTE_ALL,$DF304,$L$17),SUBSTITUTE(SUBSTITUTE(TRIM(SUBSTITUTE(SUBSTITUTE(SUBSTITUTE(SUBSTITUTE(INDEX(PASTE_ALL,$DF304,$L$17)," "," "),CHAR(9)," "),CHAR(10)," "),CHAR(13)," ")),",",""),"%","")),"")))</f>
        <v/>
      </c>
      <c r="EA304">
        <f>IF($DM304=0,"",IFERROR(IF(ISNUMBER($DZ304),$DZ304,IF($DZ304="","",IF(TRIM($DZ304)="",0,IF(AND(AND(SUBSTITUTE(SUBSTITUTE(SUBSTITUTE(SUBSTITUTE(SUBSTITUTE(SUBSTITUTE(SUBSTITUTE(SUBSTITUTE(SUBSTITUTE(SUBSTITUTE(SUBSTITUTE(SUBSTITUTE(SUBSTITUTE(SUBSTITUTE(UPPER(TRIM($DZ304)),"0",""),"1",""),"2",""),"3",""),"4",""),"5",""),"6",""),"7",""),"8",""),"9",""),".",""),"+",""),"-",""),"E","")="",LEN(SUBSTITUTE(SUBSTITUTE(MID(UPPER(TRIM($DZ304)),1+OR(LEFT(UPPER(TRIM($DZ304)),1)="+",LEFT(UPPER(TRIM($DZ304)),1)="-"),999),"E+","E"),"E-","E"))=LEN(SUBSTITUTE(SUBSTITUTE(SUBSTITUTE(SUBSTITUTE(MID(UPPER(TRIM($DZ304)),1+OR(LEFT(UPPER(TRIM($DZ304)),1)="+",LEFT(UPPER(TRIM($DZ304)),1)="-"),999),"E+","E"),"E-","E"),"+",""),"-","")),LEN(UPPER(TRIM($DZ304)))-LEN(SUBSTITUTE(UPPER(TRIM($DZ304)),"E",""))&lt;2,LEN(UPPER(TRIM($DZ304)))-LEN(SUBSTITUTE(UPPER(TRIM($DZ304)),".",""))&lt;2,IFERROR(FIND(".",UPPER(TRIM($DZ304))),0)&lt;IFERROR(FIND("E",UPPER(TRIM($DZ304))),999)),ISNUMBER(VALUE(TRIM($DZ304)))),VALUE(TRIM($DZ304)),"")))),""))</f>
        <v/>
      </c>
      <c r="EB304">
        <f>IF($DM304=0,"",IF($L$18=0,"",IFERROR(IF(UPPER(TRIM(SUBSTITUTE(SUBSTITUTE(SUBSTITUTE(SUBSTITUTE(INDEX(PASTE_ALL,$DF304,$L$18)," "," "),CHAR(9)," "),CHAR(10)," "),CHAR(13)," ")))="READY","Ready",IF(UPPER(TRIM(SUBSTITUTE(SUBSTITUTE(SUBSTITUTE(SUBSTITUTE(INDEX(PASTE_ALL,$DF304,$L$18)," "," "),CHAR(9)," "),CHAR(10)," "),CHAR(13)," ")))="PM","PM",IF(OR(UPPER(TRIM(SUBSTITUTE(SUBSTITUTE(SUBSTITUTE(SUBSTITUTE(INDEX(PASTE_ALL,$DF304,$L$18)," "," "),CHAR(9)," "),CHAR(10)," "),CHAR(13)," ")))="OT",UPPER(TRIM(SUBSTITUTE(SUBSTITUTE(SUBSTITUTE(SUBSTITUTE(INDEX(PASTE_ALL,$DF304,$L$18)," "," "),CHAR(9)," "),CHAR(10)," "),CHAR(13)," ")))="OVERTIME",UPPER(TRIM(SUBSTITUTE(SUBSTITUTE(SUBSTITUTE(SUBSTITUTE(INDEX(PASTE_ALL,$DF304,$L$18)," "," "),CHAR(9)," "),CHAR(10)," "),CHAR(13)," ")))="TRIAL"),"OT",TRIM(SUBSTITUTE(SUBSTITUTE(SUBSTITUTE(SUBSTITUTE(INDEX(PASTE_ALL,$DF304,$L$18)," "," "),CHAR(9)," "),CHAR(10)," "),CHAR(13)," "))))),"")))</f>
        <v/>
      </c>
      <c r="EC304">
        <f>IF($DM304=0,"",IF($L$19=0,"",IFERROR(IF(ISNUMBER(INDEX(PASTE_ALL,$DF304,$L$19)),INDEX(PASTE_ALL,$DF304,$L$19),TRIM(SUBSTITUTE(SUBSTITUTE(SUBSTITUTE(SUBSTITUTE(INDEX(PASTE_ALL,$DF304,$L$19)," "," "),CHAR(9)," "),CHAR(10)," "),CHAR(13)," "))),"")))</f>
        <v/>
      </c>
      <c r="ED304">
        <f>IF($DM304=0,"",MATCH(1,INDEX(EXACT($DH$5:DH304,$DH304)*$DM$5:DM304,0),0))</f>
        <v/>
      </c>
      <c r="EE304">
        <f>IF($DM304=0,0,IF($ED304=$DE304,1,0))</f>
        <v/>
      </c>
      <c r="EF304">
        <f>EF303+$EE304</f>
        <v/>
      </c>
      <c r="EG304">
        <f>IF($DM304=0,"",INDEX($EF$5:$EF$1003,$ED304))</f>
        <v/>
      </c>
      <c r="EH304">
        <f>IF($DM304=0,"",IF($DO304&lt;&gt;"","",IFERROR(LOOKUP(2,1/(($EG$4:EG303=$EG304)*($DO$4:DO303&lt;&gt;"")),$DO$4:DO303),"")))</f>
        <v/>
      </c>
      <c r="EI304">
        <f>IF($DM304=0,"",IF($DO304&lt;&gt;"",$DO304,$EH304))</f>
        <v/>
      </c>
      <c r="EJ304">
        <f>IF($DM304=0,"",IF($EI304="",0,IF(OR(ISNUMBER($EI304),AND(AND(SUBSTITUTE(SUBSTITUTE(SUBSTITUTE(SUBSTITUTE(SUBSTITUTE(SUBSTITUTE(SUBSTITUTE(SUBSTITUTE(SUBSTITUTE(SUBSTITUTE(SUBSTITUTE(SUBSTITUTE(SUBSTITUTE(SUBSTITUTE(UPPER($EI304),"0",""),"1",""),"2",""),"3",""),"4",""),"5",""),"6",""),"7",""),"8",""),"9",""),".",""),"+",""),"-",""),"E","")="",LEN(SUBSTITUTE(SUBSTITUTE(MID(UPPER($EI304),1+OR(LEFT(UPPER($EI304),1)="+",LEFT(UPPER($EI304),1)="-"),999),"E+","E"),"E-","E"))=LEN(SUBSTITUTE(SUBSTITUTE(SUBSTITUTE(SUBSTITUTE(MID(UPPER($EI304),1+OR(LEFT(UPPER($EI304),1)="+",LEFT(UPPER($EI304),1)="-"),999),"E+","E"),"E-","E"),"+",""),"-","")),LEN(UPPER($EI304))-LEN(SUBSTITUTE(UPPER($EI304),"E",""))&lt;2,LEN(UPPER($EI304))-LEN(SUBSTITUTE(UPPER($EI304),".",""))&lt;2,IFERROR(FIND(".",UPPER($EI304)),0)&lt;IFERROR(FIND("E",UPPER($EI304)),999)),ISNUMBER(VALUE($EI304)))),1,2)))</f>
        <v/>
      </c>
      <c r="EK304">
        <f>IF($DM304=0,"",IF($EJ304=1,IF(ISNUMBER($EI304),$EI304,VALUE($EI304)),IF($EJ304=2,$DE304,0)))</f>
        <v/>
      </c>
      <c r="EL304">
        <f>IF($DM304=0,"",COUNTIF($EG$5:$EG$1003,"&lt;"&amp;$EG304)+SUMPRODUCT(($EG$5:$EG$1003=$EG304)*(($EJ$5:$EJ$1003&lt;$EJ304)+($EJ$5:$EJ$1003=$EJ304)*(($EK$5:$EK$1003&lt;$EK304)+($EK$5:$EK$1003=$EK304)*($DE$5:$DE$1003&lt;$DE304))))+1)</f>
        <v/>
      </c>
      <c r="EM304">
        <f>IF($DM304=0,"",$EL304+$EG304-1)</f>
        <v/>
      </c>
      <c r="EN304">
        <f>IF($DM304=0,0,IFERROR(MATCH(1,INDEX(--(TRIM(SUBSTITUTE(SUBSTITUTE(SUBSTITUTE(SUBSTITUTE(LINES_NAME&amp;""," "," "),CHAR(9)," "),CHAR(10)," "),CHAR(13)," "))=$DH304),0),0),0))</f>
        <v/>
      </c>
      <c r="EO304">
        <f>IF($EN304=0,0,IF(OR(UPPER(TRIM(INDEX(LINES_SCHEDULED,$EN304)&amp;""))="YES",UPPER(TRIM(INDEX(LINES_SCHEDULED,$EN304)&amp;""))="Y",UPPER(TRIM(INDEX(LINES_SCHEDULED,$EN304)&amp;""))="X"),1,0))</f>
        <v/>
      </c>
      <c r="EP304">
        <f>IF($DM304=0,"",IF(COUNTIFS($EG$5:$EG$1003,$EG304,$EB$5:$EB$1003,"Ready")&gt;0,"READY",IF(COUNTIFS($EG$5:$EG$1003,$EG304,$EB$5:$EB$1003,"PM")&gt;0,"PM",IF(COUNTIFS($EG$5:$EG$1003,$EG304,$EB$5:$EB$1003,"OT")&gt;0,"OT",""))))</f>
        <v/>
      </c>
      <c r="EQ304">
        <f>IF($EN304=0,"",UPPER(TRIM(INDEX(LINES_STATUS,$EN304)&amp;"")))</f>
        <v/>
      </c>
      <c r="ER304">
        <f>IF($DM304=0,"",IF(OR($EQ304="READY",$EQ304="PM",$EQ304="OT"),$EQ304,$EP304))</f>
        <v/>
      </c>
      <c r="ES304">
        <f>IF($DM304=0,"",IF(AND($DV304&lt;&gt;"",UPPER($DV304)&lt;&gt;"N"),"allergen",IF(ISNUMBER(SEARCH("oil",$DQ304)),"oil",IF(OR(EXACT($DS304,"A662"),EXACT($DS304,"A624")),"bulk",""))))</f>
        <v/>
      </c>
      <c r="ET304">
        <f>IF($DM304=0,"",IF(OR($EA304="",$EA304=0),"",$EA304/100))</f>
        <v/>
      </c>
      <c r="EU304">
        <f>IF(OR($ET304="",$DY304=""),"",INT($DY304*(1-$ET304)+0.5))</f>
        <v/>
      </c>
      <c r="EW304" t="n">
        <v>300</v>
      </c>
      <c r="EX304">
        <f>IFERROR(MATCH($EW304,$EM$5:$EM$1003,0),0)</f>
        <v/>
      </c>
      <c r="EY304">
        <f>IF($EW304&gt;$B$12,"",IF($EX304&gt;0,"row","spacer"))</f>
        <v/>
      </c>
      <c r="EZ304">
        <f>IF(AND($EY304="row",$EY303&lt;&gt;"row"),1,0)</f>
        <v/>
      </c>
      <c r="FA304">
        <f>IF(AND($EY304="row",$EY305&lt;&gt;"row"),1,0)</f>
        <v/>
      </c>
      <c r="FB304">
        <f>IF($EZ304=1,IFERROR(IF(ISNUMBER(INDEX(PASTE_ALL,INDEX($DF$5:$DF$1003,$EX304),$B$37)),INDEX(PASTE_ALL,INDEX($DF$5:$DF$1003,$EX304),$B$37),INDEX($DH$5:$DH$1003,$EX304)),INDEX($DH$5:$DH$1003,$EX304)),"")</f>
        <v/>
      </c>
      <c r="FC304">
        <f>IF($EY304="row",INDEX($ER$5:$ER$1003,$EX304),"")</f>
        <v/>
      </c>
      <c r="FD304">
        <f>IF($EY304="row",INDEX($DN$5:$DN$1003,$EX304),"")</f>
        <v/>
      </c>
      <c r="FE304">
        <f>IF($EY304="row",INDEX($DO$5:$DO$1003,$EX304),"")</f>
        <v/>
      </c>
      <c r="FF304">
        <f>IF($EY304="row",INDEX($DP$5:$DP$1003,$EX304),"")</f>
        <v/>
      </c>
      <c r="FG304">
        <f>IF($EY304="row",INDEX($DQ$5:$DQ$1003,$EX304),"")</f>
        <v/>
      </c>
      <c r="FH304">
        <f>IF($EY304="row",INDEX($DR$5:$DR$1003,$EX304),"")</f>
        <v/>
      </c>
      <c r="FI304">
        <f>IF($EY304="row",INDEX($DS$5:$DS$1003,$EX304),"")</f>
        <v/>
      </c>
      <c r="FJ304">
        <f>IF($EY304="row",INDEX($DT$5:$DT$1003,$EX304),"")</f>
        <v/>
      </c>
      <c r="FK304">
        <f>IF($EY304="row",INDEX($DU$5:$DU$1003,$EX304),"")</f>
        <v/>
      </c>
      <c r="FL304">
        <f>IF($EY304="row",INDEX($DV$5:$DV$1003,$EX304),"")</f>
        <v/>
      </c>
      <c r="FM304">
        <f>IF($EY304="row",INDEX($DW$5:$DW$1003,$EX304),"")</f>
        <v/>
      </c>
      <c r="FN304">
        <f>IF($EY304="row",INDEX($DY$5:$DY$1003,$EX304),"")</f>
        <v/>
      </c>
      <c r="FO304">
        <f>IF($EY304="row",INDEX($EA$5:$EA$1003,$EX304),"")</f>
        <v/>
      </c>
      <c r="FP304">
        <f>IF($EY304="row",INDEX($EC$5:$EC$1003,$EX304),"")</f>
        <v/>
      </c>
      <c r="FQ304">
        <f>IF($EY304="row",INDEX($ET$5:$ET$1003,$EX304),"")</f>
        <v/>
      </c>
      <c r="FR304">
        <f>IF($EY304="row",INDEX($EU$5:$EU$1003,$EX304),"")</f>
        <v/>
      </c>
      <c r="FS304">
        <f>IF(AND($EY304="row",$EY303="row"),IF(OR(INDEX($DT$5:$DT$1003,$EX303)="",INDEX($DT$5:$DT$1003,$EX304)=""),"",IF(NOT(EXACT(INDEX($DT$5:$DT$1003,$EX303),INDEX($DT$5:$DT$1003,$EX304))),"S4",IF(NOT(EXACT(INDEX($DS$5:$DS$1003,$EX303),INDEX($DS$5:$DS$1003,$EX304))),"S3",IF(NOT(EXACT(INDEX($DR$5:$DR$1003,$EX303),INDEX($DR$5:$DR$1003,$EX304))),"S1 Count Change","S1")))),"")</f>
        <v/>
      </c>
      <c r="FT304">
        <f>IF($EY304="row",INDEX($ES$5:$ES$1003,$EX304),"")</f>
        <v/>
      </c>
      <c r="FU304">
        <f>IF($EY304="row",INDEX($EO$5:$EO$1003,$EX304),0)</f>
        <v/>
      </c>
      <c r="FV304">
        <f>IF($FS304="S1 Count Change",1,0)</f>
        <v/>
      </c>
    </row>
    <row r="305">
      <c r="DA305" t="n">
        <v>301</v>
      </c>
      <c r="DB305">
        <f>IF($B$37=0,"",IFERROR(TRIM(SUBSTITUTE(SUBSTITUTE(SUBSTITUTE(SUBSTITUTE(INDEX(PASTE_ALL,301,$B$37)," "," "),CHAR(9)," "),CHAR(10)," "),CHAR(13)," ")),""))</f>
        <v/>
      </c>
      <c r="DC305">
        <f>IF(AND(301&gt;HEADER_ROW,UPPER(DB305)="LEGEND"),1,0)</f>
        <v/>
      </c>
      <c r="DE305" t="n">
        <v>301</v>
      </c>
      <c r="DF305">
        <f>HEADER_ROW+$DE305</f>
        <v/>
      </c>
      <c r="DG305">
        <f>IF(AND($DF305&lt;=1000,$DF305&lt;$B$8),1,0)</f>
        <v/>
      </c>
      <c r="DH305">
        <f>IF($DG305=1,IFERROR(INDEX($DB$5:$DB$1004,$DF305),""),"")</f>
        <v/>
      </c>
      <c r="DI305">
        <f>IF(AND($DG305=1,$DH305&lt;&gt;""),IFERROR(SUBSTITUTE(SUBSTITUTE(TRIM(SUBSTITUTE(SUBSTITUTE(SUBSTITUTE(SUBSTITUTE(IFERROR(INDEX(PASTE_ALL,$DF305,1)&amp;"","")&amp;"␟"&amp;IFERROR(INDEX(PASTE_ALL,$DF305,2)&amp;"","")&amp;"␟"&amp;IFERROR(INDEX(PASTE_ALL,$DF305,3)&amp;"","")&amp;"␟"&amp;IFERROR(INDEX(PASTE_ALL,$DF305,4)&amp;"","")&amp;"␟"&amp;IFERROR(INDEX(PASTE_ALL,$DF305,5)&amp;"","")&amp;"␟"&amp;IFERROR(INDEX(PASTE_ALL,$DF305,6)&amp;"","")&amp;"␟"&amp;IFERROR(INDEX(PASTE_ALL,$DF305,7)&amp;"","")&amp;"␟"&amp;IFERROR(INDEX(PASTE_ALL,$DF305,8)&amp;"","")&amp;"␟"&amp;IFERROR(INDEX(PASTE_ALL,$DF305,9)&amp;"","")&amp;"␟"&amp;IFERROR(INDEX(PASTE_ALL,$DF305,10)&amp;"","")&amp;"␟"&amp;IFERROR(INDEX(PASTE_ALL,$DF305,11)&amp;"","")&amp;"␟"&amp;IFERROR(INDEX(PASTE_ALL,$DF305,12)&amp;"","")&amp;"␟"&amp;IFERROR(INDEX(PASTE_ALL,$DF305,13)&amp;"","")&amp;"␟"&amp;IFERROR(INDEX(PASTE_ALL,$DF305,14)&amp;"","")&amp;"␟"&amp;IFERROR(INDEX(PASTE_ALL,$DF305,15)&amp;"","")&amp;"␟"&amp;IFERROR(INDEX(PASTE_ALL,$DF305,16)&amp;"","")&amp;"␟"&amp;IFERROR(INDEX(PASTE_ALL,$DF305,17)&amp;"","")&amp;"␟"&amp;IFERROR(INDEX(PASTE_ALL,$DF305,18)&amp;"","")&amp;"␟"&amp;IFERROR(INDEX(PASTE_ALL,$DF305,19)&amp;"","")&amp;"␟"&amp;IFERROR(INDEX(PASTE_ALL,$DF305,20)&amp;"","")&amp;"␟"&amp;IFERROR(INDEX(PASTE_ALL,$DF305,21)&amp;"","")&amp;"␟"&amp;IFERROR(INDEX(PASTE_ALL,$DF305,22)&amp;"","")&amp;"␟"&amp;IFERROR(INDEX(PASTE_ALL,$DF305,23)&amp;"","")&amp;"␟"&amp;IFERROR(INDEX(PASTE_ALL,$DF305,24)&amp;"","")&amp;"␟"&amp;IFERROR(INDEX(PASTE_ALL,$DF305,25)&amp;"","")&amp;"␟"&amp;IFERROR(INDEX(PASTE_ALL,$DF305,26)&amp;"","")&amp;"␟"&amp;IFERROR(INDEX(PASTE_ALL,$DF305,27)&amp;"","")&amp;"␟"&amp;IFERROR(INDEX(PASTE_ALL,$DF305,28)&amp;"","")&amp;"␟"&amp;IFERROR(INDEX(PASTE_ALL,$DF305,29)&amp;"","")&amp;"␟"&amp;IFERROR(INDEX(PASTE_ALL,$DF305,30)&amp;"","")&amp;"␟"&amp;IFERROR(INDEX(PASTE_ALL,$DF305,31)&amp;"","")&amp;"␟"&amp;IFERROR(INDEX(PASTE_ALL,$DF305,32)&amp;"","")&amp;"␟"&amp;IFERROR(INDEX(PASTE_ALL,$DF305,33)&amp;"","")&amp;"␟"&amp;IFERROR(INDEX(PASTE_ALL,$DF305,34)&amp;"","")&amp;"␟"&amp;IFERROR(INDEX(PASTE_ALL,$DF305,35)&amp;"","")&amp;"␟"&amp;IFERROR(INDEX(PASTE_ALL,$DF305,36)&amp;"","")&amp;"␟"&amp;IFERROR(INDEX(PASTE_ALL,$DF305,37)&amp;"","")&amp;"␟"&amp;IFERROR(INDEX(PASTE_ALL,$DF305,38)&amp;"","")&amp;"␟"&amp;IFERROR(INDEX(PASTE_ALL,$DF305,39)&amp;"","")&amp;"␟"&amp;IFERROR(INDEX(PASTE_ALL,$DF305,40)&amp;"","")&amp;"␟"&amp;IFERROR(INDEX(PASTE_ALL,$DF305,41)&amp;"","")&amp;"␟"&amp;IFERROR(INDEX(PASTE_ALL,$DF305,42)&amp;"","")&amp;"␟"&amp;IFERROR(INDEX(PASTE_ALL,$DF305,43)&amp;"","")&amp;"␟"&amp;IFERROR(INDEX(PASTE_ALL,$DF305,44)&amp;"","")&amp;"␟"&amp;IFERROR(INDEX(PASTE_ALL,$DF305,45)&amp;"","")&amp;"␟"&amp;IFERROR(INDEX(PASTE_ALL,$DF305,46)&amp;"","")&amp;"␟"&amp;IFERROR(INDEX(PASTE_ALL,$DF305,47)&amp;"","")&amp;"␟"&amp;IFERROR(INDEX(PASTE_ALL,$DF305,48)&amp;"","")&amp;"␟"&amp;IFERROR(INDEX(PASTE_ALL,$DF305,49)&amp;"","")&amp;"␟"&amp;IFERROR(INDEX(PASTE_ALL,$DF305,50)&amp;"","")&amp;"␟"&amp;IFERROR(INDEX(PASTE_ALL,$DF305,51)&amp;"","")&amp;"␟"&amp;IFERROR(INDEX(PASTE_ALL,$DF305,52)&amp;"","")&amp;"␟"&amp;IFERROR(INDEX(PASTE_ALL,$DF305,53)&amp;"","")&amp;"␟"&amp;IFERROR(INDEX(PASTE_ALL,$DF305,54)&amp;"","")&amp;"␟"&amp;IFERROR(INDEX(PASTE_ALL,$DF305,55)&amp;"","")&amp;"␟"&amp;IFERROR(INDEX(PASTE_ALL,$DF305,56)&amp;"","")&amp;"␟"&amp;IFERROR(INDEX(PASTE_ALL,$DF305,57)&amp;"","")&amp;"␟"&amp;IFERROR(INDEX(PASTE_ALL,$DF305,58)&amp;"","")&amp;"␟"&amp;IFERROR(INDEX(PASTE_ALL,$DF305,59)&amp;"","")&amp;"␟"&amp;IFERROR(INDEX(PASTE_ALL,$DF305,60)&amp;"","")," "," "),CHAR(9)," "),CHAR(10)," "),CHAR(13)," "))," ␟","␟"),"␟ ","␟"),"#"&amp;$DE305),"")</f>
        <v/>
      </c>
      <c r="DJ305">
        <f>IF($DI305="",0,IF(SUMPRODUCT(--EXACT($DI$4:DI304,$DI305))&gt;0,1,0))</f>
        <v/>
      </c>
      <c r="DK305">
        <f>IF(AND($DI305&lt;&gt;"",$DJ305=0),1,0)</f>
        <v/>
      </c>
      <c r="DL305">
        <f>DL304+$DK305</f>
        <v/>
      </c>
      <c r="DM305">
        <f>IF(AND($DK305=1,$DL305&lt;=600),1,0)</f>
        <v/>
      </c>
      <c r="DN305">
        <f>IF($DM305=0,"",IF($L$6=0,"",IFERROR(IF(ISNUMBER(INDEX(PASTE_ALL,$DF305,$L$6)),INDEX(PASTE_ALL,$DF305,$L$6),TRIM(SUBSTITUTE(SUBSTITUTE(SUBSTITUTE(SUBSTITUTE(INDEX(PASTE_ALL,$DF305,$L$6)," "," "),CHAR(9)," "),CHAR(10)," "),CHAR(13)," "))),"")))</f>
        <v/>
      </c>
      <c r="DO305">
        <f>IF($DM305=0,"",IF($L$7=0,"",IFERROR(IF(ISNUMBER(INDEX(PASTE_ALL,$DF305,$L$7)),INDEX(PASTE_ALL,$DF305,$L$7),TRIM(SUBSTITUTE(SUBSTITUTE(SUBSTITUTE(SUBSTITUTE(INDEX(PASTE_ALL,$DF305,$L$7)," "," "),CHAR(9)," "),CHAR(10)," "),CHAR(13)," "))),"")))</f>
        <v/>
      </c>
      <c r="DP305">
        <f>IF($DM305=0,"",IF($L$8=0,"",IFERROR(IF(ISNUMBER(INDEX(PASTE_ALL,$DF305,$L$8)),INDEX(PASTE_ALL,$DF305,$L$8),TRIM(SUBSTITUTE(SUBSTITUTE(SUBSTITUTE(SUBSTITUTE(INDEX(PASTE_ALL,$DF305,$L$8)," "," "),CHAR(9)," "),CHAR(10)," "),CHAR(13)," "))),"")))</f>
        <v/>
      </c>
      <c r="DQ305">
        <f>IF($DM305=0,"",IF($L$9=0,"",IFERROR(IF(ISNUMBER(INDEX(PASTE_ALL,$DF305,$L$9)),INDEX(PASTE_ALL,$DF305,$L$9),TRIM(SUBSTITUTE(SUBSTITUTE(SUBSTITUTE(SUBSTITUTE(INDEX(PASTE_ALL,$DF305,$L$9)," "," "),CHAR(9)," "),CHAR(10)," "),CHAR(13)," "))),"")))</f>
        <v/>
      </c>
      <c r="DR305">
        <f>IF($DM305=0,"",IF($L$10=0,"",IFERROR(IF(ISNUMBER(INDEX(PASTE_ALL,$DF305,$L$10)),INDEX(PASTE_ALL,$DF305,$L$10),TRIM(SUBSTITUTE(SUBSTITUTE(SUBSTITUTE(SUBSTITUTE(INDEX(PASTE_ALL,$DF305,$L$10)," "," "),CHAR(9)," "),CHAR(10)," "),CHAR(13)," "))),"")))</f>
        <v/>
      </c>
      <c r="DS305">
        <f>IF($DM305=0,"",IF($L$11=0,"",IFERROR(IF(ISNUMBER(INDEX(PASTE_ALL,$DF305,$L$11)),INDEX(PASTE_ALL,$DF305,$L$11),TRIM(SUBSTITUTE(SUBSTITUTE(SUBSTITUTE(SUBSTITUTE(INDEX(PASTE_ALL,$DF305,$L$11)," "," "),CHAR(9)," "),CHAR(10)," "),CHAR(13)," "))),"")))</f>
        <v/>
      </c>
      <c r="DT305">
        <f>IF($DM305=0,"",IF($L$12=0,"",IFERROR(IF(ISNUMBER(INDEX(PASTE_ALL,$DF305,$L$12)),INDEX(PASTE_ALL,$DF305,$L$12),TRIM(SUBSTITUTE(SUBSTITUTE(SUBSTITUTE(SUBSTITUTE(INDEX(PASTE_ALL,$DF305,$L$12)," "," "),CHAR(9)," "),CHAR(10)," "),CHAR(13)," "))),"")))</f>
        <v/>
      </c>
      <c r="DU305">
        <f>IF($DM305=0,"",IF($L$13=0,"",IFERROR(IF(ISNUMBER(INDEX(PASTE_ALL,$DF305,$L$13)),INDEX(PASTE_ALL,$DF305,$L$13),TRIM(SUBSTITUTE(SUBSTITUTE(SUBSTITUTE(SUBSTITUTE(INDEX(PASTE_ALL,$DF305,$L$13)," "," "),CHAR(9)," "),CHAR(10)," "),CHAR(13)," "))),"")))</f>
        <v/>
      </c>
      <c r="DV305">
        <f>IF($DM305=0,"",IF($L$14=0,"",IFERROR(IF(ISNUMBER(INDEX(PASTE_ALL,$DF305,$L$14)),INDEX(PASTE_ALL,$DF305,$L$14),TRIM(SUBSTITUTE(SUBSTITUTE(SUBSTITUTE(SUBSTITUTE(INDEX(PASTE_ALL,$DF305,$L$14)," "," "),CHAR(9)," "),CHAR(10)," "),CHAR(13)," "))),"")))</f>
        <v/>
      </c>
      <c r="DW305">
        <f>IF($DM305=0,"",IF($L$15=0,"",IFERROR(IF(ISNUMBER(INDEX(PASTE_ALL,$DF305,$L$15)),INDEX(PASTE_ALL,$DF305,$L$15),IF(SUMPRODUCT(--ISNUMBER(FIND({"A","B","C","D","E","F","G","H","I","J","K","L","M","N","O","P","Q","R","S","T","U","V","W","X","Y","Z","0","1","2","3","4","5","6","7","8","9"},UPPER(TRIM(SUBSTITUTE(SUBSTITUTE(SUBSTITUTE(SUBSTITUTE(INDEX(PASTE_ALL,$DF305,$L$15)," "," "),CHAR(9)," "),CHAR(10)," "),CHAR(13)," "))))))&gt;0,TRIM(SUBSTITUTE(SUBSTITUTE(SUBSTITUTE(SUBSTITUTE(INDEX(PASTE_ALL,$DF305,$L$15)," "," "),CHAR(9)," "),CHAR(10)," "),CHAR(13)," ")),"")),"")))</f>
        <v/>
      </c>
      <c r="DX305">
        <f>IF($DM305=0,"",IF($L$16=0,"",IFERROR(IF(ISNUMBER(INDEX(PASTE_ALL,$DF305,$L$16)),INDEX(PASTE_ALL,$DF305,$L$16),SUBSTITUTE(SUBSTITUTE(TRIM(SUBSTITUTE(SUBSTITUTE(SUBSTITUTE(SUBSTITUTE(INDEX(PASTE_ALL,$DF305,$L$16)," "," "),CHAR(9)," "),CHAR(10)," "),CHAR(13)," ")),",",""),"%","")),"")))</f>
        <v/>
      </c>
      <c r="DY305">
        <f>IF($DM305=0,"",IFERROR(IF(ISNUMBER($DX305),$DX305,IF($DX305="","",IF(TRIM($DX305)="",0,IF(AND(AND(SUBSTITUTE(SUBSTITUTE(SUBSTITUTE(SUBSTITUTE(SUBSTITUTE(SUBSTITUTE(SUBSTITUTE(SUBSTITUTE(SUBSTITUTE(SUBSTITUTE(SUBSTITUTE(SUBSTITUTE(SUBSTITUTE(SUBSTITUTE(UPPER(TRIM($DX305)),"0",""),"1",""),"2",""),"3",""),"4",""),"5",""),"6",""),"7",""),"8",""),"9",""),".",""),"+",""),"-",""),"E","")="",LEN(SUBSTITUTE(SUBSTITUTE(MID(UPPER(TRIM($DX305)),1+OR(LEFT(UPPER(TRIM($DX305)),1)="+",LEFT(UPPER(TRIM($DX305)),1)="-"),999),"E+","E"),"E-","E"))=LEN(SUBSTITUTE(SUBSTITUTE(SUBSTITUTE(SUBSTITUTE(MID(UPPER(TRIM($DX305)),1+OR(LEFT(UPPER(TRIM($DX305)),1)="+",LEFT(UPPER(TRIM($DX305)),1)="-"),999),"E+","E"),"E-","E"),"+",""),"-","")),LEN(UPPER(TRIM($DX305)))-LEN(SUBSTITUTE(UPPER(TRIM($DX305)),"E",""))&lt;2,LEN(UPPER(TRIM($DX305)))-LEN(SUBSTITUTE(UPPER(TRIM($DX305)),".",""))&lt;2,IFERROR(FIND(".",UPPER(TRIM($DX305))),0)&lt;IFERROR(FIND("E",UPPER(TRIM($DX305))),999)),ISNUMBER(VALUE(TRIM($DX305)))),VALUE(TRIM($DX305)),"")))),""))</f>
        <v/>
      </c>
      <c r="DZ305">
        <f>IF($DM305=0,"",IF($L$17=0,"",IFERROR(IF(ISNUMBER(INDEX(PASTE_ALL,$DF305,$L$17)),INDEX(PASTE_ALL,$DF305,$L$17),SUBSTITUTE(SUBSTITUTE(TRIM(SUBSTITUTE(SUBSTITUTE(SUBSTITUTE(SUBSTITUTE(INDEX(PASTE_ALL,$DF305,$L$17)," "," "),CHAR(9)," "),CHAR(10)," "),CHAR(13)," ")),",",""),"%","")),"")))</f>
        <v/>
      </c>
      <c r="EA305">
        <f>IF($DM305=0,"",IFERROR(IF(ISNUMBER($DZ305),$DZ305,IF($DZ305="","",IF(TRIM($DZ305)="",0,IF(AND(AND(SUBSTITUTE(SUBSTITUTE(SUBSTITUTE(SUBSTITUTE(SUBSTITUTE(SUBSTITUTE(SUBSTITUTE(SUBSTITUTE(SUBSTITUTE(SUBSTITUTE(SUBSTITUTE(SUBSTITUTE(SUBSTITUTE(SUBSTITUTE(UPPER(TRIM($DZ305)),"0",""),"1",""),"2",""),"3",""),"4",""),"5",""),"6",""),"7",""),"8",""),"9",""),".",""),"+",""),"-",""),"E","")="",LEN(SUBSTITUTE(SUBSTITUTE(MID(UPPER(TRIM($DZ305)),1+OR(LEFT(UPPER(TRIM($DZ305)),1)="+",LEFT(UPPER(TRIM($DZ305)),1)="-"),999),"E+","E"),"E-","E"))=LEN(SUBSTITUTE(SUBSTITUTE(SUBSTITUTE(SUBSTITUTE(MID(UPPER(TRIM($DZ305)),1+OR(LEFT(UPPER(TRIM($DZ305)),1)="+",LEFT(UPPER(TRIM($DZ305)),1)="-"),999),"E+","E"),"E-","E"),"+",""),"-","")),LEN(UPPER(TRIM($DZ305)))-LEN(SUBSTITUTE(UPPER(TRIM($DZ305)),"E",""))&lt;2,LEN(UPPER(TRIM($DZ305)))-LEN(SUBSTITUTE(UPPER(TRIM($DZ305)),".",""))&lt;2,IFERROR(FIND(".",UPPER(TRIM($DZ305))),0)&lt;IFERROR(FIND("E",UPPER(TRIM($DZ305))),999)),ISNUMBER(VALUE(TRIM($DZ305)))),VALUE(TRIM($DZ305)),"")))),""))</f>
        <v/>
      </c>
      <c r="EB305">
        <f>IF($DM305=0,"",IF($L$18=0,"",IFERROR(IF(UPPER(TRIM(SUBSTITUTE(SUBSTITUTE(SUBSTITUTE(SUBSTITUTE(INDEX(PASTE_ALL,$DF305,$L$18)," "," "),CHAR(9)," "),CHAR(10)," "),CHAR(13)," ")))="READY","Ready",IF(UPPER(TRIM(SUBSTITUTE(SUBSTITUTE(SUBSTITUTE(SUBSTITUTE(INDEX(PASTE_ALL,$DF305,$L$18)," "," "),CHAR(9)," "),CHAR(10)," "),CHAR(13)," ")))="PM","PM",IF(OR(UPPER(TRIM(SUBSTITUTE(SUBSTITUTE(SUBSTITUTE(SUBSTITUTE(INDEX(PASTE_ALL,$DF305,$L$18)," "," "),CHAR(9)," "),CHAR(10)," "),CHAR(13)," ")))="OT",UPPER(TRIM(SUBSTITUTE(SUBSTITUTE(SUBSTITUTE(SUBSTITUTE(INDEX(PASTE_ALL,$DF305,$L$18)," "," "),CHAR(9)," "),CHAR(10)," "),CHAR(13)," ")))="OVERTIME",UPPER(TRIM(SUBSTITUTE(SUBSTITUTE(SUBSTITUTE(SUBSTITUTE(INDEX(PASTE_ALL,$DF305,$L$18)," "," "),CHAR(9)," "),CHAR(10)," "),CHAR(13)," ")))="TRIAL"),"OT",TRIM(SUBSTITUTE(SUBSTITUTE(SUBSTITUTE(SUBSTITUTE(INDEX(PASTE_ALL,$DF305,$L$18)," "," "),CHAR(9)," "),CHAR(10)," "),CHAR(13)," "))))),"")))</f>
        <v/>
      </c>
      <c r="EC305">
        <f>IF($DM305=0,"",IF($L$19=0,"",IFERROR(IF(ISNUMBER(INDEX(PASTE_ALL,$DF305,$L$19)),INDEX(PASTE_ALL,$DF305,$L$19),TRIM(SUBSTITUTE(SUBSTITUTE(SUBSTITUTE(SUBSTITUTE(INDEX(PASTE_ALL,$DF305,$L$19)," "," "),CHAR(9)," "),CHAR(10)," "),CHAR(13)," "))),"")))</f>
        <v/>
      </c>
      <c r="ED305">
        <f>IF($DM305=0,"",MATCH(1,INDEX(EXACT($DH$5:DH305,$DH305)*$DM$5:DM305,0),0))</f>
        <v/>
      </c>
      <c r="EE305">
        <f>IF($DM305=0,0,IF($ED305=$DE305,1,0))</f>
        <v/>
      </c>
      <c r="EF305">
        <f>EF304+$EE305</f>
        <v/>
      </c>
      <c r="EG305">
        <f>IF($DM305=0,"",INDEX($EF$5:$EF$1003,$ED305))</f>
        <v/>
      </c>
      <c r="EH305">
        <f>IF($DM305=0,"",IF($DO305&lt;&gt;"","",IFERROR(LOOKUP(2,1/(($EG$4:EG304=$EG305)*($DO$4:DO304&lt;&gt;"")),$DO$4:DO304),"")))</f>
        <v/>
      </c>
      <c r="EI305">
        <f>IF($DM305=0,"",IF($DO305&lt;&gt;"",$DO305,$EH305))</f>
        <v/>
      </c>
      <c r="EJ305">
        <f>IF($DM305=0,"",IF($EI305="",0,IF(OR(ISNUMBER($EI305),AND(AND(SUBSTITUTE(SUBSTITUTE(SUBSTITUTE(SUBSTITUTE(SUBSTITUTE(SUBSTITUTE(SUBSTITUTE(SUBSTITUTE(SUBSTITUTE(SUBSTITUTE(SUBSTITUTE(SUBSTITUTE(SUBSTITUTE(SUBSTITUTE(UPPER($EI305),"0",""),"1",""),"2",""),"3",""),"4",""),"5",""),"6",""),"7",""),"8",""),"9",""),".",""),"+",""),"-",""),"E","")="",LEN(SUBSTITUTE(SUBSTITUTE(MID(UPPER($EI305),1+OR(LEFT(UPPER($EI305),1)="+",LEFT(UPPER($EI305),1)="-"),999),"E+","E"),"E-","E"))=LEN(SUBSTITUTE(SUBSTITUTE(SUBSTITUTE(SUBSTITUTE(MID(UPPER($EI305),1+OR(LEFT(UPPER($EI305),1)="+",LEFT(UPPER($EI305),1)="-"),999),"E+","E"),"E-","E"),"+",""),"-","")),LEN(UPPER($EI305))-LEN(SUBSTITUTE(UPPER($EI305),"E",""))&lt;2,LEN(UPPER($EI305))-LEN(SUBSTITUTE(UPPER($EI305),".",""))&lt;2,IFERROR(FIND(".",UPPER($EI305)),0)&lt;IFERROR(FIND("E",UPPER($EI305)),999)),ISNUMBER(VALUE($EI305)))),1,2)))</f>
        <v/>
      </c>
      <c r="EK305">
        <f>IF($DM305=0,"",IF($EJ305=1,IF(ISNUMBER($EI305),$EI305,VALUE($EI305)),IF($EJ305=2,$DE305,0)))</f>
        <v/>
      </c>
      <c r="EL305">
        <f>IF($DM305=0,"",COUNTIF($EG$5:$EG$1003,"&lt;"&amp;$EG305)+SUMPRODUCT(($EG$5:$EG$1003=$EG305)*(($EJ$5:$EJ$1003&lt;$EJ305)+($EJ$5:$EJ$1003=$EJ305)*(($EK$5:$EK$1003&lt;$EK305)+($EK$5:$EK$1003=$EK305)*($DE$5:$DE$1003&lt;$DE305))))+1)</f>
        <v/>
      </c>
      <c r="EM305">
        <f>IF($DM305=0,"",$EL305+$EG305-1)</f>
        <v/>
      </c>
      <c r="EN305">
        <f>IF($DM305=0,0,IFERROR(MATCH(1,INDEX(--(TRIM(SUBSTITUTE(SUBSTITUTE(SUBSTITUTE(SUBSTITUTE(LINES_NAME&amp;""," "," "),CHAR(9)," "),CHAR(10)," "),CHAR(13)," "))=$DH305),0),0),0))</f>
        <v/>
      </c>
      <c r="EO305">
        <f>IF($EN305=0,0,IF(OR(UPPER(TRIM(INDEX(LINES_SCHEDULED,$EN305)&amp;""))="YES",UPPER(TRIM(INDEX(LINES_SCHEDULED,$EN305)&amp;""))="Y",UPPER(TRIM(INDEX(LINES_SCHEDULED,$EN305)&amp;""))="X"),1,0))</f>
        <v/>
      </c>
      <c r="EP305">
        <f>IF($DM305=0,"",IF(COUNTIFS($EG$5:$EG$1003,$EG305,$EB$5:$EB$1003,"Ready")&gt;0,"READY",IF(COUNTIFS($EG$5:$EG$1003,$EG305,$EB$5:$EB$1003,"PM")&gt;0,"PM",IF(COUNTIFS($EG$5:$EG$1003,$EG305,$EB$5:$EB$1003,"OT")&gt;0,"OT",""))))</f>
        <v/>
      </c>
      <c r="EQ305">
        <f>IF($EN305=0,"",UPPER(TRIM(INDEX(LINES_STATUS,$EN305)&amp;"")))</f>
        <v/>
      </c>
      <c r="ER305">
        <f>IF($DM305=0,"",IF(OR($EQ305="READY",$EQ305="PM",$EQ305="OT"),$EQ305,$EP305))</f>
        <v/>
      </c>
      <c r="ES305">
        <f>IF($DM305=0,"",IF(AND($DV305&lt;&gt;"",UPPER($DV305)&lt;&gt;"N"),"allergen",IF(ISNUMBER(SEARCH("oil",$DQ305)),"oil",IF(OR(EXACT($DS305,"A662"),EXACT($DS305,"A624")),"bulk",""))))</f>
        <v/>
      </c>
      <c r="ET305">
        <f>IF($DM305=0,"",IF(OR($EA305="",$EA305=0),"",$EA305/100))</f>
        <v/>
      </c>
      <c r="EU305">
        <f>IF(OR($ET305="",$DY305=""),"",INT($DY305*(1-$ET305)+0.5))</f>
        <v/>
      </c>
      <c r="EW305" t="n">
        <v>301</v>
      </c>
      <c r="EX305">
        <f>IFERROR(MATCH($EW305,$EM$5:$EM$1003,0),0)</f>
        <v/>
      </c>
      <c r="EY305">
        <f>IF($EW305&gt;$B$12,"",IF($EX305&gt;0,"row","spacer"))</f>
        <v/>
      </c>
      <c r="EZ305">
        <f>IF(AND($EY305="row",$EY304&lt;&gt;"row"),1,0)</f>
        <v/>
      </c>
      <c r="FA305">
        <f>IF(AND($EY305="row",$EY306&lt;&gt;"row"),1,0)</f>
        <v/>
      </c>
      <c r="FB305">
        <f>IF($EZ305=1,IFERROR(IF(ISNUMBER(INDEX(PASTE_ALL,INDEX($DF$5:$DF$1003,$EX305),$B$37)),INDEX(PASTE_ALL,INDEX($DF$5:$DF$1003,$EX305),$B$37),INDEX($DH$5:$DH$1003,$EX305)),INDEX($DH$5:$DH$1003,$EX305)),"")</f>
        <v/>
      </c>
      <c r="FC305">
        <f>IF($EY305="row",INDEX($ER$5:$ER$1003,$EX305),"")</f>
        <v/>
      </c>
      <c r="FD305">
        <f>IF($EY305="row",INDEX($DN$5:$DN$1003,$EX305),"")</f>
        <v/>
      </c>
      <c r="FE305">
        <f>IF($EY305="row",INDEX($DO$5:$DO$1003,$EX305),"")</f>
        <v/>
      </c>
      <c r="FF305">
        <f>IF($EY305="row",INDEX($DP$5:$DP$1003,$EX305),"")</f>
        <v/>
      </c>
      <c r="FG305">
        <f>IF($EY305="row",INDEX($DQ$5:$DQ$1003,$EX305),"")</f>
        <v/>
      </c>
      <c r="FH305">
        <f>IF($EY305="row",INDEX($DR$5:$DR$1003,$EX305),"")</f>
        <v/>
      </c>
      <c r="FI305">
        <f>IF($EY305="row",INDEX($DS$5:$DS$1003,$EX305),"")</f>
        <v/>
      </c>
      <c r="FJ305">
        <f>IF($EY305="row",INDEX($DT$5:$DT$1003,$EX305),"")</f>
        <v/>
      </c>
      <c r="FK305">
        <f>IF($EY305="row",INDEX($DU$5:$DU$1003,$EX305),"")</f>
        <v/>
      </c>
      <c r="FL305">
        <f>IF($EY305="row",INDEX($DV$5:$DV$1003,$EX305),"")</f>
        <v/>
      </c>
      <c r="FM305">
        <f>IF($EY305="row",INDEX($DW$5:$DW$1003,$EX305),"")</f>
        <v/>
      </c>
      <c r="FN305">
        <f>IF($EY305="row",INDEX($DY$5:$DY$1003,$EX305),"")</f>
        <v/>
      </c>
      <c r="FO305">
        <f>IF($EY305="row",INDEX($EA$5:$EA$1003,$EX305),"")</f>
        <v/>
      </c>
      <c r="FP305">
        <f>IF($EY305="row",INDEX($EC$5:$EC$1003,$EX305),"")</f>
        <v/>
      </c>
      <c r="FQ305">
        <f>IF($EY305="row",INDEX($ET$5:$ET$1003,$EX305),"")</f>
        <v/>
      </c>
      <c r="FR305">
        <f>IF($EY305="row",INDEX($EU$5:$EU$1003,$EX305),"")</f>
        <v/>
      </c>
      <c r="FS305">
        <f>IF(AND($EY305="row",$EY304="row"),IF(OR(INDEX($DT$5:$DT$1003,$EX304)="",INDEX($DT$5:$DT$1003,$EX305)=""),"",IF(NOT(EXACT(INDEX($DT$5:$DT$1003,$EX304),INDEX($DT$5:$DT$1003,$EX305))),"S4",IF(NOT(EXACT(INDEX($DS$5:$DS$1003,$EX304),INDEX($DS$5:$DS$1003,$EX305))),"S3",IF(NOT(EXACT(INDEX($DR$5:$DR$1003,$EX304),INDEX($DR$5:$DR$1003,$EX305))),"S1 Count Change","S1")))),"")</f>
        <v/>
      </c>
      <c r="FT305">
        <f>IF($EY305="row",INDEX($ES$5:$ES$1003,$EX305),"")</f>
        <v/>
      </c>
      <c r="FU305">
        <f>IF($EY305="row",INDEX($EO$5:$EO$1003,$EX305),0)</f>
        <v/>
      </c>
      <c r="FV305">
        <f>IF($FS305="S1 Count Change",1,0)</f>
        <v/>
      </c>
    </row>
    <row r="306">
      <c r="DA306" t="n">
        <v>302</v>
      </c>
      <c r="DB306">
        <f>IF($B$37=0,"",IFERROR(TRIM(SUBSTITUTE(SUBSTITUTE(SUBSTITUTE(SUBSTITUTE(INDEX(PASTE_ALL,302,$B$37)," "," "),CHAR(9)," "),CHAR(10)," "),CHAR(13)," ")),""))</f>
        <v/>
      </c>
      <c r="DC306">
        <f>IF(AND(302&gt;HEADER_ROW,UPPER(DB306)="LEGEND"),1,0)</f>
        <v/>
      </c>
      <c r="DE306" t="n">
        <v>302</v>
      </c>
      <c r="DF306">
        <f>HEADER_ROW+$DE306</f>
        <v/>
      </c>
      <c r="DG306">
        <f>IF(AND($DF306&lt;=1000,$DF306&lt;$B$8),1,0)</f>
        <v/>
      </c>
      <c r="DH306">
        <f>IF($DG306=1,IFERROR(INDEX($DB$5:$DB$1004,$DF306),""),"")</f>
        <v/>
      </c>
      <c r="DI306">
        <f>IF(AND($DG306=1,$DH306&lt;&gt;""),IFERROR(SUBSTITUTE(SUBSTITUTE(TRIM(SUBSTITUTE(SUBSTITUTE(SUBSTITUTE(SUBSTITUTE(IFERROR(INDEX(PASTE_ALL,$DF306,1)&amp;"","")&amp;"␟"&amp;IFERROR(INDEX(PASTE_ALL,$DF306,2)&amp;"","")&amp;"␟"&amp;IFERROR(INDEX(PASTE_ALL,$DF306,3)&amp;"","")&amp;"␟"&amp;IFERROR(INDEX(PASTE_ALL,$DF306,4)&amp;"","")&amp;"␟"&amp;IFERROR(INDEX(PASTE_ALL,$DF306,5)&amp;"","")&amp;"␟"&amp;IFERROR(INDEX(PASTE_ALL,$DF306,6)&amp;"","")&amp;"␟"&amp;IFERROR(INDEX(PASTE_ALL,$DF306,7)&amp;"","")&amp;"␟"&amp;IFERROR(INDEX(PASTE_ALL,$DF306,8)&amp;"","")&amp;"␟"&amp;IFERROR(INDEX(PASTE_ALL,$DF306,9)&amp;"","")&amp;"␟"&amp;IFERROR(INDEX(PASTE_ALL,$DF306,10)&amp;"","")&amp;"␟"&amp;IFERROR(INDEX(PASTE_ALL,$DF306,11)&amp;"","")&amp;"␟"&amp;IFERROR(INDEX(PASTE_ALL,$DF306,12)&amp;"","")&amp;"␟"&amp;IFERROR(INDEX(PASTE_ALL,$DF306,13)&amp;"","")&amp;"␟"&amp;IFERROR(INDEX(PASTE_ALL,$DF306,14)&amp;"","")&amp;"␟"&amp;IFERROR(INDEX(PASTE_ALL,$DF306,15)&amp;"","")&amp;"␟"&amp;IFERROR(INDEX(PASTE_ALL,$DF306,16)&amp;"","")&amp;"␟"&amp;IFERROR(INDEX(PASTE_ALL,$DF306,17)&amp;"","")&amp;"␟"&amp;IFERROR(INDEX(PASTE_ALL,$DF306,18)&amp;"","")&amp;"␟"&amp;IFERROR(INDEX(PASTE_ALL,$DF306,19)&amp;"","")&amp;"␟"&amp;IFERROR(INDEX(PASTE_ALL,$DF306,20)&amp;"","")&amp;"␟"&amp;IFERROR(INDEX(PASTE_ALL,$DF306,21)&amp;"","")&amp;"␟"&amp;IFERROR(INDEX(PASTE_ALL,$DF306,22)&amp;"","")&amp;"␟"&amp;IFERROR(INDEX(PASTE_ALL,$DF306,23)&amp;"","")&amp;"␟"&amp;IFERROR(INDEX(PASTE_ALL,$DF306,24)&amp;"","")&amp;"␟"&amp;IFERROR(INDEX(PASTE_ALL,$DF306,25)&amp;"","")&amp;"␟"&amp;IFERROR(INDEX(PASTE_ALL,$DF306,26)&amp;"","")&amp;"␟"&amp;IFERROR(INDEX(PASTE_ALL,$DF306,27)&amp;"","")&amp;"␟"&amp;IFERROR(INDEX(PASTE_ALL,$DF306,28)&amp;"","")&amp;"␟"&amp;IFERROR(INDEX(PASTE_ALL,$DF306,29)&amp;"","")&amp;"␟"&amp;IFERROR(INDEX(PASTE_ALL,$DF306,30)&amp;"","")&amp;"␟"&amp;IFERROR(INDEX(PASTE_ALL,$DF306,31)&amp;"","")&amp;"␟"&amp;IFERROR(INDEX(PASTE_ALL,$DF306,32)&amp;"","")&amp;"␟"&amp;IFERROR(INDEX(PASTE_ALL,$DF306,33)&amp;"","")&amp;"␟"&amp;IFERROR(INDEX(PASTE_ALL,$DF306,34)&amp;"","")&amp;"␟"&amp;IFERROR(INDEX(PASTE_ALL,$DF306,35)&amp;"","")&amp;"␟"&amp;IFERROR(INDEX(PASTE_ALL,$DF306,36)&amp;"","")&amp;"␟"&amp;IFERROR(INDEX(PASTE_ALL,$DF306,37)&amp;"","")&amp;"␟"&amp;IFERROR(INDEX(PASTE_ALL,$DF306,38)&amp;"","")&amp;"␟"&amp;IFERROR(INDEX(PASTE_ALL,$DF306,39)&amp;"","")&amp;"␟"&amp;IFERROR(INDEX(PASTE_ALL,$DF306,40)&amp;"","")&amp;"␟"&amp;IFERROR(INDEX(PASTE_ALL,$DF306,41)&amp;"","")&amp;"␟"&amp;IFERROR(INDEX(PASTE_ALL,$DF306,42)&amp;"","")&amp;"␟"&amp;IFERROR(INDEX(PASTE_ALL,$DF306,43)&amp;"","")&amp;"␟"&amp;IFERROR(INDEX(PASTE_ALL,$DF306,44)&amp;"","")&amp;"␟"&amp;IFERROR(INDEX(PASTE_ALL,$DF306,45)&amp;"","")&amp;"␟"&amp;IFERROR(INDEX(PASTE_ALL,$DF306,46)&amp;"","")&amp;"␟"&amp;IFERROR(INDEX(PASTE_ALL,$DF306,47)&amp;"","")&amp;"␟"&amp;IFERROR(INDEX(PASTE_ALL,$DF306,48)&amp;"","")&amp;"␟"&amp;IFERROR(INDEX(PASTE_ALL,$DF306,49)&amp;"","")&amp;"␟"&amp;IFERROR(INDEX(PASTE_ALL,$DF306,50)&amp;"","")&amp;"␟"&amp;IFERROR(INDEX(PASTE_ALL,$DF306,51)&amp;"","")&amp;"␟"&amp;IFERROR(INDEX(PASTE_ALL,$DF306,52)&amp;"","")&amp;"␟"&amp;IFERROR(INDEX(PASTE_ALL,$DF306,53)&amp;"","")&amp;"␟"&amp;IFERROR(INDEX(PASTE_ALL,$DF306,54)&amp;"","")&amp;"␟"&amp;IFERROR(INDEX(PASTE_ALL,$DF306,55)&amp;"","")&amp;"␟"&amp;IFERROR(INDEX(PASTE_ALL,$DF306,56)&amp;"","")&amp;"␟"&amp;IFERROR(INDEX(PASTE_ALL,$DF306,57)&amp;"","")&amp;"␟"&amp;IFERROR(INDEX(PASTE_ALL,$DF306,58)&amp;"","")&amp;"␟"&amp;IFERROR(INDEX(PASTE_ALL,$DF306,59)&amp;"","")&amp;"␟"&amp;IFERROR(INDEX(PASTE_ALL,$DF306,60)&amp;"","")," "," "),CHAR(9)," "),CHAR(10)," "),CHAR(13)," "))," ␟","␟"),"␟ ","␟"),"#"&amp;$DE306),"")</f>
        <v/>
      </c>
      <c r="DJ306">
        <f>IF($DI306="",0,IF(SUMPRODUCT(--EXACT($DI$4:DI305,$DI306))&gt;0,1,0))</f>
        <v/>
      </c>
      <c r="DK306">
        <f>IF(AND($DI306&lt;&gt;"",$DJ306=0),1,0)</f>
        <v/>
      </c>
      <c r="DL306">
        <f>DL305+$DK306</f>
        <v/>
      </c>
      <c r="DM306">
        <f>IF(AND($DK306=1,$DL306&lt;=600),1,0)</f>
        <v/>
      </c>
      <c r="DN306">
        <f>IF($DM306=0,"",IF($L$6=0,"",IFERROR(IF(ISNUMBER(INDEX(PASTE_ALL,$DF306,$L$6)),INDEX(PASTE_ALL,$DF306,$L$6),TRIM(SUBSTITUTE(SUBSTITUTE(SUBSTITUTE(SUBSTITUTE(INDEX(PASTE_ALL,$DF306,$L$6)," "," "),CHAR(9)," "),CHAR(10)," "),CHAR(13)," "))),"")))</f>
        <v/>
      </c>
      <c r="DO306">
        <f>IF($DM306=0,"",IF($L$7=0,"",IFERROR(IF(ISNUMBER(INDEX(PASTE_ALL,$DF306,$L$7)),INDEX(PASTE_ALL,$DF306,$L$7),TRIM(SUBSTITUTE(SUBSTITUTE(SUBSTITUTE(SUBSTITUTE(INDEX(PASTE_ALL,$DF306,$L$7)," "," "),CHAR(9)," "),CHAR(10)," "),CHAR(13)," "))),"")))</f>
        <v/>
      </c>
      <c r="DP306">
        <f>IF($DM306=0,"",IF($L$8=0,"",IFERROR(IF(ISNUMBER(INDEX(PASTE_ALL,$DF306,$L$8)),INDEX(PASTE_ALL,$DF306,$L$8),TRIM(SUBSTITUTE(SUBSTITUTE(SUBSTITUTE(SUBSTITUTE(INDEX(PASTE_ALL,$DF306,$L$8)," "," "),CHAR(9)," "),CHAR(10)," "),CHAR(13)," "))),"")))</f>
        <v/>
      </c>
      <c r="DQ306">
        <f>IF($DM306=0,"",IF($L$9=0,"",IFERROR(IF(ISNUMBER(INDEX(PASTE_ALL,$DF306,$L$9)),INDEX(PASTE_ALL,$DF306,$L$9),TRIM(SUBSTITUTE(SUBSTITUTE(SUBSTITUTE(SUBSTITUTE(INDEX(PASTE_ALL,$DF306,$L$9)," "," "),CHAR(9)," "),CHAR(10)," "),CHAR(13)," "))),"")))</f>
        <v/>
      </c>
      <c r="DR306">
        <f>IF($DM306=0,"",IF($L$10=0,"",IFERROR(IF(ISNUMBER(INDEX(PASTE_ALL,$DF306,$L$10)),INDEX(PASTE_ALL,$DF306,$L$10),TRIM(SUBSTITUTE(SUBSTITUTE(SUBSTITUTE(SUBSTITUTE(INDEX(PASTE_ALL,$DF306,$L$10)," "," "),CHAR(9)," "),CHAR(10)," "),CHAR(13)," "))),"")))</f>
        <v/>
      </c>
      <c r="DS306">
        <f>IF($DM306=0,"",IF($L$11=0,"",IFERROR(IF(ISNUMBER(INDEX(PASTE_ALL,$DF306,$L$11)),INDEX(PASTE_ALL,$DF306,$L$11),TRIM(SUBSTITUTE(SUBSTITUTE(SUBSTITUTE(SUBSTITUTE(INDEX(PASTE_ALL,$DF306,$L$11)," "," "),CHAR(9)," "),CHAR(10)," "),CHAR(13)," "))),"")))</f>
        <v/>
      </c>
      <c r="DT306">
        <f>IF($DM306=0,"",IF($L$12=0,"",IFERROR(IF(ISNUMBER(INDEX(PASTE_ALL,$DF306,$L$12)),INDEX(PASTE_ALL,$DF306,$L$12),TRIM(SUBSTITUTE(SUBSTITUTE(SUBSTITUTE(SUBSTITUTE(INDEX(PASTE_ALL,$DF306,$L$12)," "," "),CHAR(9)," "),CHAR(10)," "),CHAR(13)," "))),"")))</f>
        <v/>
      </c>
      <c r="DU306">
        <f>IF($DM306=0,"",IF($L$13=0,"",IFERROR(IF(ISNUMBER(INDEX(PASTE_ALL,$DF306,$L$13)),INDEX(PASTE_ALL,$DF306,$L$13),TRIM(SUBSTITUTE(SUBSTITUTE(SUBSTITUTE(SUBSTITUTE(INDEX(PASTE_ALL,$DF306,$L$13)," "," "),CHAR(9)," "),CHAR(10)," "),CHAR(13)," "))),"")))</f>
        <v/>
      </c>
      <c r="DV306">
        <f>IF($DM306=0,"",IF($L$14=0,"",IFERROR(IF(ISNUMBER(INDEX(PASTE_ALL,$DF306,$L$14)),INDEX(PASTE_ALL,$DF306,$L$14),TRIM(SUBSTITUTE(SUBSTITUTE(SUBSTITUTE(SUBSTITUTE(INDEX(PASTE_ALL,$DF306,$L$14)," "," "),CHAR(9)," "),CHAR(10)," "),CHAR(13)," "))),"")))</f>
        <v/>
      </c>
      <c r="DW306">
        <f>IF($DM306=0,"",IF($L$15=0,"",IFERROR(IF(ISNUMBER(INDEX(PASTE_ALL,$DF306,$L$15)),INDEX(PASTE_ALL,$DF306,$L$15),IF(SUMPRODUCT(--ISNUMBER(FIND({"A","B","C","D","E","F","G","H","I","J","K","L","M","N","O","P","Q","R","S","T","U","V","W","X","Y","Z","0","1","2","3","4","5","6","7","8","9"},UPPER(TRIM(SUBSTITUTE(SUBSTITUTE(SUBSTITUTE(SUBSTITUTE(INDEX(PASTE_ALL,$DF306,$L$15)," "," "),CHAR(9)," "),CHAR(10)," "),CHAR(13)," "))))))&gt;0,TRIM(SUBSTITUTE(SUBSTITUTE(SUBSTITUTE(SUBSTITUTE(INDEX(PASTE_ALL,$DF306,$L$15)," "," "),CHAR(9)," "),CHAR(10)," "),CHAR(13)," ")),"")),"")))</f>
        <v/>
      </c>
      <c r="DX306">
        <f>IF($DM306=0,"",IF($L$16=0,"",IFERROR(IF(ISNUMBER(INDEX(PASTE_ALL,$DF306,$L$16)),INDEX(PASTE_ALL,$DF306,$L$16),SUBSTITUTE(SUBSTITUTE(TRIM(SUBSTITUTE(SUBSTITUTE(SUBSTITUTE(SUBSTITUTE(INDEX(PASTE_ALL,$DF306,$L$16)," "," "),CHAR(9)," "),CHAR(10)," "),CHAR(13)," ")),",",""),"%","")),"")))</f>
        <v/>
      </c>
      <c r="DY306">
        <f>IF($DM306=0,"",IFERROR(IF(ISNUMBER($DX306),$DX306,IF($DX306="","",IF(TRIM($DX306)="",0,IF(AND(AND(SUBSTITUTE(SUBSTITUTE(SUBSTITUTE(SUBSTITUTE(SUBSTITUTE(SUBSTITUTE(SUBSTITUTE(SUBSTITUTE(SUBSTITUTE(SUBSTITUTE(SUBSTITUTE(SUBSTITUTE(SUBSTITUTE(SUBSTITUTE(UPPER(TRIM($DX306)),"0",""),"1",""),"2",""),"3",""),"4",""),"5",""),"6",""),"7",""),"8",""),"9",""),".",""),"+",""),"-",""),"E","")="",LEN(SUBSTITUTE(SUBSTITUTE(MID(UPPER(TRIM($DX306)),1+OR(LEFT(UPPER(TRIM($DX306)),1)="+",LEFT(UPPER(TRIM($DX306)),1)="-"),999),"E+","E"),"E-","E"))=LEN(SUBSTITUTE(SUBSTITUTE(SUBSTITUTE(SUBSTITUTE(MID(UPPER(TRIM($DX306)),1+OR(LEFT(UPPER(TRIM($DX306)),1)="+",LEFT(UPPER(TRIM($DX306)),1)="-"),999),"E+","E"),"E-","E"),"+",""),"-","")),LEN(UPPER(TRIM($DX306)))-LEN(SUBSTITUTE(UPPER(TRIM($DX306)),"E",""))&lt;2,LEN(UPPER(TRIM($DX306)))-LEN(SUBSTITUTE(UPPER(TRIM($DX306)),".",""))&lt;2,IFERROR(FIND(".",UPPER(TRIM($DX306))),0)&lt;IFERROR(FIND("E",UPPER(TRIM($DX306))),999)),ISNUMBER(VALUE(TRIM($DX306)))),VALUE(TRIM($DX306)),"")))),""))</f>
        <v/>
      </c>
      <c r="DZ306">
        <f>IF($DM306=0,"",IF($L$17=0,"",IFERROR(IF(ISNUMBER(INDEX(PASTE_ALL,$DF306,$L$17)),INDEX(PASTE_ALL,$DF306,$L$17),SUBSTITUTE(SUBSTITUTE(TRIM(SUBSTITUTE(SUBSTITUTE(SUBSTITUTE(SUBSTITUTE(INDEX(PASTE_ALL,$DF306,$L$17)," "," "),CHAR(9)," "),CHAR(10)," "),CHAR(13)," ")),",",""),"%","")),"")))</f>
        <v/>
      </c>
      <c r="EA306">
        <f>IF($DM306=0,"",IFERROR(IF(ISNUMBER($DZ306),$DZ306,IF($DZ306="","",IF(TRIM($DZ306)="",0,IF(AND(AND(SUBSTITUTE(SUBSTITUTE(SUBSTITUTE(SUBSTITUTE(SUBSTITUTE(SUBSTITUTE(SUBSTITUTE(SUBSTITUTE(SUBSTITUTE(SUBSTITUTE(SUBSTITUTE(SUBSTITUTE(SUBSTITUTE(SUBSTITUTE(UPPER(TRIM($DZ306)),"0",""),"1",""),"2",""),"3",""),"4",""),"5",""),"6",""),"7",""),"8",""),"9",""),".",""),"+",""),"-",""),"E","")="",LEN(SUBSTITUTE(SUBSTITUTE(MID(UPPER(TRIM($DZ306)),1+OR(LEFT(UPPER(TRIM($DZ306)),1)="+",LEFT(UPPER(TRIM($DZ306)),1)="-"),999),"E+","E"),"E-","E"))=LEN(SUBSTITUTE(SUBSTITUTE(SUBSTITUTE(SUBSTITUTE(MID(UPPER(TRIM($DZ306)),1+OR(LEFT(UPPER(TRIM($DZ306)),1)="+",LEFT(UPPER(TRIM($DZ306)),1)="-"),999),"E+","E"),"E-","E"),"+",""),"-","")),LEN(UPPER(TRIM($DZ306)))-LEN(SUBSTITUTE(UPPER(TRIM($DZ306)),"E",""))&lt;2,LEN(UPPER(TRIM($DZ306)))-LEN(SUBSTITUTE(UPPER(TRIM($DZ306)),".",""))&lt;2,IFERROR(FIND(".",UPPER(TRIM($DZ306))),0)&lt;IFERROR(FIND("E",UPPER(TRIM($DZ306))),999)),ISNUMBER(VALUE(TRIM($DZ306)))),VALUE(TRIM($DZ306)),"")))),""))</f>
        <v/>
      </c>
      <c r="EB306">
        <f>IF($DM306=0,"",IF($L$18=0,"",IFERROR(IF(UPPER(TRIM(SUBSTITUTE(SUBSTITUTE(SUBSTITUTE(SUBSTITUTE(INDEX(PASTE_ALL,$DF306,$L$18)," "," "),CHAR(9)," "),CHAR(10)," "),CHAR(13)," ")))="READY","Ready",IF(UPPER(TRIM(SUBSTITUTE(SUBSTITUTE(SUBSTITUTE(SUBSTITUTE(INDEX(PASTE_ALL,$DF306,$L$18)," "," "),CHAR(9)," "),CHAR(10)," "),CHAR(13)," ")))="PM","PM",IF(OR(UPPER(TRIM(SUBSTITUTE(SUBSTITUTE(SUBSTITUTE(SUBSTITUTE(INDEX(PASTE_ALL,$DF306,$L$18)," "," "),CHAR(9)," "),CHAR(10)," "),CHAR(13)," ")))="OT",UPPER(TRIM(SUBSTITUTE(SUBSTITUTE(SUBSTITUTE(SUBSTITUTE(INDEX(PASTE_ALL,$DF306,$L$18)," "," "),CHAR(9)," "),CHAR(10)," "),CHAR(13)," ")))="OVERTIME",UPPER(TRIM(SUBSTITUTE(SUBSTITUTE(SUBSTITUTE(SUBSTITUTE(INDEX(PASTE_ALL,$DF306,$L$18)," "," "),CHAR(9)," "),CHAR(10)," "),CHAR(13)," ")))="TRIAL"),"OT",TRIM(SUBSTITUTE(SUBSTITUTE(SUBSTITUTE(SUBSTITUTE(INDEX(PASTE_ALL,$DF306,$L$18)," "," "),CHAR(9)," "),CHAR(10)," "),CHAR(13)," "))))),"")))</f>
        <v/>
      </c>
      <c r="EC306">
        <f>IF($DM306=0,"",IF($L$19=0,"",IFERROR(IF(ISNUMBER(INDEX(PASTE_ALL,$DF306,$L$19)),INDEX(PASTE_ALL,$DF306,$L$19),TRIM(SUBSTITUTE(SUBSTITUTE(SUBSTITUTE(SUBSTITUTE(INDEX(PASTE_ALL,$DF306,$L$19)," "," "),CHAR(9)," "),CHAR(10)," "),CHAR(13)," "))),"")))</f>
        <v/>
      </c>
      <c r="ED306">
        <f>IF($DM306=0,"",MATCH(1,INDEX(EXACT($DH$5:DH306,$DH306)*$DM$5:DM306,0),0))</f>
        <v/>
      </c>
      <c r="EE306">
        <f>IF($DM306=0,0,IF($ED306=$DE306,1,0))</f>
        <v/>
      </c>
      <c r="EF306">
        <f>EF305+$EE306</f>
        <v/>
      </c>
      <c r="EG306">
        <f>IF($DM306=0,"",INDEX($EF$5:$EF$1003,$ED306))</f>
        <v/>
      </c>
      <c r="EH306">
        <f>IF($DM306=0,"",IF($DO306&lt;&gt;"","",IFERROR(LOOKUP(2,1/(($EG$4:EG305=$EG306)*($DO$4:DO305&lt;&gt;"")),$DO$4:DO305),"")))</f>
        <v/>
      </c>
      <c r="EI306">
        <f>IF($DM306=0,"",IF($DO306&lt;&gt;"",$DO306,$EH306))</f>
        <v/>
      </c>
      <c r="EJ306">
        <f>IF($DM306=0,"",IF($EI306="",0,IF(OR(ISNUMBER($EI306),AND(AND(SUBSTITUTE(SUBSTITUTE(SUBSTITUTE(SUBSTITUTE(SUBSTITUTE(SUBSTITUTE(SUBSTITUTE(SUBSTITUTE(SUBSTITUTE(SUBSTITUTE(SUBSTITUTE(SUBSTITUTE(SUBSTITUTE(SUBSTITUTE(UPPER($EI306),"0",""),"1",""),"2",""),"3",""),"4",""),"5",""),"6",""),"7",""),"8",""),"9",""),".",""),"+",""),"-",""),"E","")="",LEN(SUBSTITUTE(SUBSTITUTE(MID(UPPER($EI306),1+OR(LEFT(UPPER($EI306),1)="+",LEFT(UPPER($EI306),1)="-"),999),"E+","E"),"E-","E"))=LEN(SUBSTITUTE(SUBSTITUTE(SUBSTITUTE(SUBSTITUTE(MID(UPPER($EI306),1+OR(LEFT(UPPER($EI306),1)="+",LEFT(UPPER($EI306),1)="-"),999),"E+","E"),"E-","E"),"+",""),"-","")),LEN(UPPER($EI306))-LEN(SUBSTITUTE(UPPER($EI306),"E",""))&lt;2,LEN(UPPER($EI306))-LEN(SUBSTITUTE(UPPER($EI306),".",""))&lt;2,IFERROR(FIND(".",UPPER($EI306)),0)&lt;IFERROR(FIND("E",UPPER($EI306)),999)),ISNUMBER(VALUE($EI306)))),1,2)))</f>
        <v/>
      </c>
      <c r="EK306">
        <f>IF($DM306=0,"",IF($EJ306=1,IF(ISNUMBER($EI306),$EI306,VALUE($EI306)),IF($EJ306=2,$DE306,0)))</f>
        <v/>
      </c>
      <c r="EL306">
        <f>IF($DM306=0,"",COUNTIF($EG$5:$EG$1003,"&lt;"&amp;$EG306)+SUMPRODUCT(($EG$5:$EG$1003=$EG306)*(($EJ$5:$EJ$1003&lt;$EJ306)+($EJ$5:$EJ$1003=$EJ306)*(($EK$5:$EK$1003&lt;$EK306)+($EK$5:$EK$1003=$EK306)*($DE$5:$DE$1003&lt;$DE306))))+1)</f>
        <v/>
      </c>
      <c r="EM306">
        <f>IF($DM306=0,"",$EL306+$EG306-1)</f>
        <v/>
      </c>
      <c r="EN306">
        <f>IF($DM306=0,0,IFERROR(MATCH(1,INDEX(--(TRIM(SUBSTITUTE(SUBSTITUTE(SUBSTITUTE(SUBSTITUTE(LINES_NAME&amp;""," "," "),CHAR(9)," "),CHAR(10)," "),CHAR(13)," "))=$DH306),0),0),0))</f>
        <v/>
      </c>
      <c r="EO306">
        <f>IF($EN306=0,0,IF(OR(UPPER(TRIM(INDEX(LINES_SCHEDULED,$EN306)&amp;""))="YES",UPPER(TRIM(INDEX(LINES_SCHEDULED,$EN306)&amp;""))="Y",UPPER(TRIM(INDEX(LINES_SCHEDULED,$EN306)&amp;""))="X"),1,0))</f>
        <v/>
      </c>
      <c r="EP306">
        <f>IF($DM306=0,"",IF(COUNTIFS($EG$5:$EG$1003,$EG306,$EB$5:$EB$1003,"Ready")&gt;0,"READY",IF(COUNTIFS($EG$5:$EG$1003,$EG306,$EB$5:$EB$1003,"PM")&gt;0,"PM",IF(COUNTIFS($EG$5:$EG$1003,$EG306,$EB$5:$EB$1003,"OT")&gt;0,"OT",""))))</f>
        <v/>
      </c>
      <c r="EQ306">
        <f>IF($EN306=0,"",UPPER(TRIM(INDEX(LINES_STATUS,$EN306)&amp;"")))</f>
        <v/>
      </c>
      <c r="ER306">
        <f>IF($DM306=0,"",IF(OR($EQ306="READY",$EQ306="PM",$EQ306="OT"),$EQ306,$EP306))</f>
        <v/>
      </c>
      <c r="ES306">
        <f>IF($DM306=0,"",IF(AND($DV306&lt;&gt;"",UPPER($DV306)&lt;&gt;"N"),"allergen",IF(ISNUMBER(SEARCH("oil",$DQ306)),"oil",IF(OR(EXACT($DS306,"A662"),EXACT($DS306,"A624")),"bulk",""))))</f>
        <v/>
      </c>
      <c r="ET306">
        <f>IF($DM306=0,"",IF(OR($EA306="",$EA306=0),"",$EA306/100))</f>
        <v/>
      </c>
      <c r="EU306">
        <f>IF(OR($ET306="",$DY306=""),"",INT($DY306*(1-$ET306)+0.5))</f>
        <v/>
      </c>
      <c r="EW306" t="n">
        <v>302</v>
      </c>
      <c r="EX306">
        <f>IFERROR(MATCH($EW306,$EM$5:$EM$1003,0),0)</f>
        <v/>
      </c>
      <c r="EY306">
        <f>IF($EW306&gt;$B$12,"",IF($EX306&gt;0,"row","spacer"))</f>
        <v/>
      </c>
      <c r="EZ306">
        <f>IF(AND($EY306="row",$EY305&lt;&gt;"row"),1,0)</f>
        <v/>
      </c>
      <c r="FA306">
        <f>IF(AND($EY306="row",$EY307&lt;&gt;"row"),1,0)</f>
        <v/>
      </c>
      <c r="FB306">
        <f>IF($EZ306=1,IFERROR(IF(ISNUMBER(INDEX(PASTE_ALL,INDEX($DF$5:$DF$1003,$EX306),$B$37)),INDEX(PASTE_ALL,INDEX($DF$5:$DF$1003,$EX306),$B$37),INDEX($DH$5:$DH$1003,$EX306)),INDEX($DH$5:$DH$1003,$EX306)),"")</f>
        <v/>
      </c>
      <c r="FC306">
        <f>IF($EY306="row",INDEX($ER$5:$ER$1003,$EX306),"")</f>
        <v/>
      </c>
      <c r="FD306">
        <f>IF($EY306="row",INDEX($DN$5:$DN$1003,$EX306),"")</f>
        <v/>
      </c>
      <c r="FE306">
        <f>IF($EY306="row",INDEX($DO$5:$DO$1003,$EX306),"")</f>
        <v/>
      </c>
      <c r="FF306">
        <f>IF($EY306="row",INDEX($DP$5:$DP$1003,$EX306),"")</f>
        <v/>
      </c>
      <c r="FG306">
        <f>IF($EY306="row",INDEX($DQ$5:$DQ$1003,$EX306),"")</f>
        <v/>
      </c>
      <c r="FH306">
        <f>IF($EY306="row",INDEX($DR$5:$DR$1003,$EX306),"")</f>
        <v/>
      </c>
      <c r="FI306">
        <f>IF($EY306="row",INDEX($DS$5:$DS$1003,$EX306),"")</f>
        <v/>
      </c>
      <c r="FJ306">
        <f>IF($EY306="row",INDEX($DT$5:$DT$1003,$EX306),"")</f>
        <v/>
      </c>
      <c r="FK306">
        <f>IF($EY306="row",INDEX($DU$5:$DU$1003,$EX306),"")</f>
        <v/>
      </c>
      <c r="FL306">
        <f>IF($EY306="row",INDEX($DV$5:$DV$1003,$EX306),"")</f>
        <v/>
      </c>
      <c r="FM306">
        <f>IF($EY306="row",INDEX($DW$5:$DW$1003,$EX306),"")</f>
        <v/>
      </c>
      <c r="FN306">
        <f>IF($EY306="row",INDEX($DY$5:$DY$1003,$EX306),"")</f>
        <v/>
      </c>
      <c r="FO306">
        <f>IF($EY306="row",INDEX($EA$5:$EA$1003,$EX306),"")</f>
        <v/>
      </c>
      <c r="FP306">
        <f>IF($EY306="row",INDEX($EC$5:$EC$1003,$EX306),"")</f>
        <v/>
      </c>
      <c r="FQ306">
        <f>IF($EY306="row",INDEX($ET$5:$ET$1003,$EX306),"")</f>
        <v/>
      </c>
      <c r="FR306">
        <f>IF($EY306="row",INDEX($EU$5:$EU$1003,$EX306),"")</f>
        <v/>
      </c>
      <c r="FS306">
        <f>IF(AND($EY306="row",$EY305="row"),IF(OR(INDEX($DT$5:$DT$1003,$EX305)="",INDEX($DT$5:$DT$1003,$EX306)=""),"",IF(NOT(EXACT(INDEX($DT$5:$DT$1003,$EX305),INDEX($DT$5:$DT$1003,$EX306))),"S4",IF(NOT(EXACT(INDEX($DS$5:$DS$1003,$EX305),INDEX($DS$5:$DS$1003,$EX306))),"S3",IF(NOT(EXACT(INDEX($DR$5:$DR$1003,$EX305),INDEX($DR$5:$DR$1003,$EX306))),"S1 Count Change","S1")))),"")</f>
        <v/>
      </c>
      <c r="FT306">
        <f>IF($EY306="row",INDEX($ES$5:$ES$1003,$EX306),"")</f>
        <v/>
      </c>
      <c r="FU306">
        <f>IF($EY306="row",INDEX($EO$5:$EO$1003,$EX306),0)</f>
        <v/>
      </c>
      <c r="FV306">
        <f>IF($FS306="S1 Count Change",1,0)</f>
        <v/>
      </c>
    </row>
    <row r="307">
      <c r="DA307" t="n">
        <v>303</v>
      </c>
      <c r="DB307">
        <f>IF($B$37=0,"",IFERROR(TRIM(SUBSTITUTE(SUBSTITUTE(SUBSTITUTE(SUBSTITUTE(INDEX(PASTE_ALL,303,$B$37)," "," "),CHAR(9)," "),CHAR(10)," "),CHAR(13)," ")),""))</f>
        <v/>
      </c>
      <c r="DC307">
        <f>IF(AND(303&gt;HEADER_ROW,UPPER(DB307)="LEGEND"),1,0)</f>
        <v/>
      </c>
      <c r="DE307" t="n">
        <v>303</v>
      </c>
      <c r="DF307">
        <f>HEADER_ROW+$DE307</f>
        <v/>
      </c>
      <c r="DG307">
        <f>IF(AND($DF307&lt;=1000,$DF307&lt;$B$8),1,0)</f>
        <v/>
      </c>
      <c r="DH307">
        <f>IF($DG307=1,IFERROR(INDEX($DB$5:$DB$1004,$DF307),""),"")</f>
        <v/>
      </c>
      <c r="DI307">
        <f>IF(AND($DG307=1,$DH307&lt;&gt;""),IFERROR(SUBSTITUTE(SUBSTITUTE(TRIM(SUBSTITUTE(SUBSTITUTE(SUBSTITUTE(SUBSTITUTE(IFERROR(INDEX(PASTE_ALL,$DF307,1)&amp;"","")&amp;"␟"&amp;IFERROR(INDEX(PASTE_ALL,$DF307,2)&amp;"","")&amp;"␟"&amp;IFERROR(INDEX(PASTE_ALL,$DF307,3)&amp;"","")&amp;"␟"&amp;IFERROR(INDEX(PASTE_ALL,$DF307,4)&amp;"","")&amp;"␟"&amp;IFERROR(INDEX(PASTE_ALL,$DF307,5)&amp;"","")&amp;"␟"&amp;IFERROR(INDEX(PASTE_ALL,$DF307,6)&amp;"","")&amp;"␟"&amp;IFERROR(INDEX(PASTE_ALL,$DF307,7)&amp;"","")&amp;"␟"&amp;IFERROR(INDEX(PASTE_ALL,$DF307,8)&amp;"","")&amp;"␟"&amp;IFERROR(INDEX(PASTE_ALL,$DF307,9)&amp;"","")&amp;"␟"&amp;IFERROR(INDEX(PASTE_ALL,$DF307,10)&amp;"","")&amp;"␟"&amp;IFERROR(INDEX(PASTE_ALL,$DF307,11)&amp;"","")&amp;"␟"&amp;IFERROR(INDEX(PASTE_ALL,$DF307,12)&amp;"","")&amp;"␟"&amp;IFERROR(INDEX(PASTE_ALL,$DF307,13)&amp;"","")&amp;"␟"&amp;IFERROR(INDEX(PASTE_ALL,$DF307,14)&amp;"","")&amp;"␟"&amp;IFERROR(INDEX(PASTE_ALL,$DF307,15)&amp;"","")&amp;"␟"&amp;IFERROR(INDEX(PASTE_ALL,$DF307,16)&amp;"","")&amp;"␟"&amp;IFERROR(INDEX(PASTE_ALL,$DF307,17)&amp;"","")&amp;"␟"&amp;IFERROR(INDEX(PASTE_ALL,$DF307,18)&amp;"","")&amp;"␟"&amp;IFERROR(INDEX(PASTE_ALL,$DF307,19)&amp;"","")&amp;"␟"&amp;IFERROR(INDEX(PASTE_ALL,$DF307,20)&amp;"","")&amp;"␟"&amp;IFERROR(INDEX(PASTE_ALL,$DF307,21)&amp;"","")&amp;"␟"&amp;IFERROR(INDEX(PASTE_ALL,$DF307,22)&amp;"","")&amp;"␟"&amp;IFERROR(INDEX(PASTE_ALL,$DF307,23)&amp;"","")&amp;"␟"&amp;IFERROR(INDEX(PASTE_ALL,$DF307,24)&amp;"","")&amp;"␟"&amp;IFERROR(INDEX(PASTE_ALL,$DF307,25)&amp;"","")&amp;"␟"&amp;IFERROR(INDEX(PASTE_ALL,$DF307,26)&amp;"","")&amp;"␟"&amp;IFERROR(INDEX(PASTE_ALL,$DF307,27)&amp;"","")&amp;"␟"&amp;IFERROR(INDEX(PASTE_ALL,$DF307,28)&amp;"","")&amp;"␟"&amp;IFERROR(INDEX(PASTE_ALL,$DF307,29)&amp;"","")&amp;"␟"&amp;IFERROR(INDEX(PASTE_ALL,$DF307,30)&amp;"","")&amp;"␟"&amp;IFERROR(INDEX(PASTE_ALL,$DF307,31)&amp;"","")&amp;"␟"&amp;IFERROR(INDEX(PASTE_ALL,$DF307,32)&amp;"","")&amp;"␟"&amp;IFERROR(INDEX(PASTE_ALL,$DF307,33)&amp;"","")&amp;"␟"&amp;IFERROR(INDEX(PASTE_ALL,$DF307,34)&amp;"","")&amp;"␟"&amp;IFERROR(INDEX(PASTE_ALL,$DF307,35)&amp;"","")&amp;"␟"&amp;IFERROR(INDEX(PASTE_ALL,$DF307,36)&amp;"","")&amp;"␟"&amp;IFERROR(INDEX(PASTE_ALL,$DF307,37)&amp;"","")&amp;"␟"&amp;IFERROR(INDEX(PASTE_ALL,$DF307,38)&amp;"","")&amp;"␟"&amp;IFERROR(INDEX(PASTE_ALL,$DF307,39)&amp;"","")&amp;"␟"&amp;IFERROR(INDEX(PASTE_ALL,$DF307,40)&amp;"","")&amp;"␟"&amp;IFERROR(INDEX(PASTE_ALL,$DF307,41)&amp;"","")&amp;"␟"&amp;IFERROR(INDEX(PASTE_ALL,$DF307,42)&amp;"","")&amp;"␟"&amp;IFERROR(INDEX(PASTE_ALL,$DF307,43)&amp;"","")&amp;"␟"&amp;IFERROR(INDEX(PASTE_ALL,$DF307,44)&amp;"","")&amp;"␟"&amp;IFERROR(INDEX(PASTE_ALL,$DF307,45)&amp;"","")&amp;"␟"&amp;IFERROR(INDEX(PASTE_ALL,$DF307,46)&amp;"","")&amp;"␟"&amp;IFERROR(INDEX(PASTE_ALL,$DF307,47)&amp;"","")&amp;"␟"&amp;IFERROR(INDEX(PASTE_ALL,$DF307,48)&amp;"","")&amp;"␟"&amp;IFERROR(INDEX(PASTE_ALL,$DF307,49)&amp;"","")&amp;"␟"&amp;IFERROR(INDEX(PASTE_ALL,$DF307,50)&amp;"","")&amp;"␟"&amp;IFERROR(INDEX(PASTE_ALL,$DF307,51)&amp;"","")&amp;"␟"&amp;IFERROR(INDEX(PASTE_ALL,$DF307,52)&amp;"","")&amp;"␟"&amp;IFERROR(INDEX(PASTE_ALL,$DF307,53)&amp;"","")&amp;"␟"&amp;IFERROR(INDEX(PASTE_ALL,$DF307,54)&amp;"","")&amp;"␟"&amp;IFERROR(INDEX(PASTE_ALL,$DF307,55)&amp;"","")&amp;"␟"&amp;IFERROR(INDEX(PASTE_ALL,$DF307,56)&amp;"","")&amp;"␟"&amp;IFERROR(INDEX(PASTE_ALL,$DF307,57)&amp;"","")&amp;"␟"&amp;IFERROR(INDEX(PASTE_ALL,$DF307,58)&amp;"","")&amp;"␟"&amp;IFERROR(INDEX(PASTE_ALL,$DF307,59)&amp;"","")&amp;"␟"&amp;IFERROR(INDEX(PASTE_ALL,$DF307,60)&amp;"","")," "," "),CHAR(9)," "),CHAR(10)," "),CHAR(13)," "))," ␟","␟"),"␟ ","␟"),"#"&amp;$DE307),"")</f>
        <v/>
      </c>
      <c r="DJ307">
        <f>IF($DI307="",0,IF(SUMPRODUCT(--EXACT($DI$4:DI306,$DI307))&gt;0,1,0))</f>
        <v/>
      </c>
      <c r="DK307">
        <f>IF(AND($DI307&lt;&gt;"",$DJ307=0),1,0)</f>
        <v/>
      </c>
      <c r="DL307">
        <f>DL306+$DK307</f>
        <v/>
      </c>
      <c r="DM307">
        <f>IF(AND($DK307=1,$DL307&lt;=600),1,0)</f>
        <v/>
      </c>
      <c r="DN307">
        <f>IF($DM307=0,"",IF($L$6=0,"",IFERROR(IF(ISNUMBER(INDEX(PASTE_ALL,$DF307,$L$6)),INDEX(PASTE_ALL,$DF307,$L$6),TRIM(SUBSTITUTE(SUBSTITUTE(SUBSTITUTE(SUBSTITUTE(INDEX(PASTE_ALL,$DF307,$L$6)," "," "),CHAR(9)," "),CHAR(10)," "),CHAR(13)," "))),"")))</f>
        <v/>
      </c>
      <c r="DO307">
        <f>IF($DM307=0,"",IF($L$7=0,"",IFERROR(IF(ISNUMBER(INDEX(PASTE_ALL,$DF307,$L$7)),INDEX(PASTE_ALL,$DF307,$L$7),TRIM(SUBSTITUTE(SUBSTITUTE(SUBSTITUTE(SUBSTITUTE(INDEX(PASTE_ALL,$DF307,$L$7)," "," "),CHAR(9)," "),CHAR(10)," "),CHAR(13)," "))),"")))</f>
        <v/>
      </c>
      <c r="DP307">
        <f>IF($DM307=0,"",IF($L$8=0,"",IFERROR(IF(ISNUMBER(INDEX(PASTE_ALL,$DF307,$L$8)),INDEX(PASTE_ALL,$DF307,$L$8),TRIM(SUBSTITUTE(SUBSTITUTE(SUBSTITUTE(SUBSTITUTE(INDEX(PASTE_ALL,$DF307,$L$8)," "," "),CHAR(9)," "),CHAR(10)," "),CHAR(13)," "))),"")))</f>
        <v/>
      </c>
      <c r="DQ307">
        <f>IF($DM307=0,"",IF($L$9=0,"",IFERROR(IF(ISNUMBER(INDEX(PASTE_ALL,$DF307,$L$9)),INDEX(PASTE_ALL,$DF307,$L$9),TRIM(SUBSTITUTE(SUBSTITUTE(SUBSTITUTE(SUBSTITUTE(INDEX(PASTE_ALL,$DF307,$L$9)," "," "),CHAR(9)," "),CHAR(10)," "),CHAR(13)," "))),"")))</f>
        <v/>
      </c>
      <c r="DR307">
        <f>IF($DM307=0,"",IF($L$10=0,"",IFERROR(IF(ISNUMBER(INDEX(PASTE_ALL,$DF307,$L$10)),INDEX(PASTE_ALL,$DF307,$L$10),TRIM(SUBSTITUTE(SUBSTITUTE(SUBSTITUTE(SUBSTITUTE(INDEX(PASTE_ALL,$DF307,$L$10)," "," "),CHAR(9)," "),CHAR(10)," "),CHAR(13)," "))),"")))</f>
        <v/>
      </c>
      <c r="DS307">
        <f>IF($DM307=0,"",IF($L$11=0,"",IFERROR(IF(ISNUMBER(INDEX(PASTE_ALL,$DF307,$L$11)),INDEX(PASTE_ALL,$DF307,$L$11),TRIM(SUBSTITUTE(SUBSTITUTE(SUBSTITUTE(SUBSTITUTE(INDEX(PASTE_ALL,$DF307,$L$11)," "," "),CHAR(9)," "),CHAR(10)," "),CHAR(13)," "))),"")))</f>
        <v/>
      </c>
      <c r="DT307">
        <f>IF($DM307=0,"",IF($L$12=0,"",IFERROR(IF(ISNUMBER(INDEX(PASTE_ALL,$DF307,$L$12)),INDEX(PASTE_ALL,$DF307,$L$12),TRIM(SUBSTITUTE(SUBSTITUTE(SUBSTITUTE(SUBSTITUTE(INDEX(PASTE_ALL,$DF307,$L$12)," "," "),CHAR(9)," "),CHAR(10)," "),CHAR(13)," "))),"")))</f>
        <v/>
      </c>
      <c r="DU307">
        <f>IF($DM307=0,"",IF($L$13=0,"",IFERROR(IF(ISNUMBER(INDEX(PASTE_ALL,$DF307,$L$13)),INDEX(PASTE_ALL,$DF307,$L$13),TRIM(SUBSTITUTE(SUBSTITUTE(SUBSTITUTE(SUBSTITUTE(INDEX(PASTE_ALL,$DF307,$L$13)," "," "),CHAR(9)," "),CHAR(10)," "),CHAR(13)," "))),"")))</f>
        <v/>
      </c>
      <c r="DV307">
        <f>IF($DM307=0,"",IF($L$14=0,"",IFERROR(IF(ISNUMBER(INDEX(PASTE_ALL,$DF307,$L$14)),INDEX(PASTE_ALL,$DF307,$L$14),TRIM(SUBSTITUTE(SUBSTITUTE(SUBSTITUTE(SUBSTITUTE(INDEX(PASTE_ALL,$DF307,$L$14)," "," "),CHAR(9)," "),CHAR(10)," "),CHAR(13)," "))),"")))</f>
        <v/>
      </c>
      <c r="DW307">
        <f>IF($DM307=0,"",IF($L$15=0,"",IFERROR(IF(ISNUMBER(INDEX(PASTE_ALL,$DF307,$L$15)),INDEX(PASTE_ALL,$DF307,$L$15),IF(SUMPRODUCT(--ISNUMBER(FIND({"A","B","C","D","E","F","G","H","I","J","K","L","M","N","O","P","Q","R","S","T","U","V","W","X","Y","Z","0","1","2","3","4","5","6","7","8","9"},UPPER(TRIM(SUBSTITUTE(SUBSTITUTE(SUBSTITUTE(SUBSTITUTE(INDEX(PASTE_ALL,$DF307,$L$15)," "," "),CHAR(9)," "),CHAR(10)," "),CHAR(13)," "))))))&gt;0,TRIM(SUBSTITUTE(SUBSTITUTE(SUBSTITUTE(SUBSTITUTE(INDEX(PASTE_ALL,$DF307,$L$15)," "," "),CHAR(9)," "),CHAR(10)," "),CHAR(13)," ")),"")),"")))</f>
        <v/>
      </c>
      <c r="DX307">
        <f>IF($DM307=0,"",IF($L$16=0,"",IFERROR(IF(ISNUMBER(INDEX(PASTE_ALL,$DF307,$L$16)),INDEX(PASTE_ALL,$DF307,$L$16),SUBSTITUTE(SUBSTITUTE(TRIM(SUBSTITUTE(SUBSTITUTE(SUBSTITUTE(SUBSTITUTE(INDEX(PASTE_ALL,$DF307,$L$16)," "," "),CHAR(9)," "),CHAR(10)," "),CHAR(13)," ")),",",""),"%","")),"")))</f>
        <v/>
      </c>
      <c r="DY307">
        <f>IF($DM307=0,"",IFERROR(IF(ISNUMBER($DX307),$DX307,IF($DX307="","",IF(TRIM($DX307)="",0,IF(AND(AND(SUBSTITUTE(SUBSTITUTE(SUBSTITUTE(SUBSTITUTE(SUBSTITUTE(SUBSTITUTE(SUBSTITUTE(SUBSTITUTE(SUBSTITUTE(SUBSTITUTE(SUBSTITUTE(SUBSTITUTE(SUBSTITUTE(SUBSTITUTE(UPPER(TRIM($DX307)),"0",""),"1",""),"2",""),"3",""),"4",""),"5",""),"6",""),"7",""),"8",""),"9",""),".",""),"+",""),"-",""),"E","")="",LEN(SUBSTITUTE(SUBSTITUTE(MID(UPPER(TRIM($DX307)),1+OR(LEFT(UPPER(TRIM($DX307)),1)="+",LEFT(UPPER(TRIM($DX307)),1)="-"),999),"E+","E"),"E-","E"))=LEN(SUBSTITUTE(SUBSTITUTE(SUBSTITUTE(SUBSTITUTE(MID(UPPER(TRIM($DX307)),1+OR(LEFT(UPPER(TRIM($DX307)),1)="+",LEFT(UPPER(TRIM($DX307)),1)="-"),999),"E+","E"),"E-","E"),"+",""),"-","")),LEN(UPPER(TRIM($DX307)))-LEN(SUBSTITUTE(UPPER(TRIM($DX307)),"E",""))&lt;2,LEN(UPPER(TRIM($DX307)))-LEN(SUBSTITUTE(UPPER(TRIM($DX307)),".",""))&lt;2,IFERROR(FIND(".",UPPER(TRIM($DX307))),0)&lt;IFERROR(FIND("E",UPPER(TRIM($DX307))),999)),ISNUMBER(VALUE(TRIM($DX307)))),VALUE(TRIM($DX307)),"")))),""))</f>
        <v/>
      </c>
      <c r="DZ307">
        <f>IF($DM307=0,"",IF($L$17=0,"",IFERROR(IF(ISNUMBER(INDEX(PASTE_ALL,$DF307,$L$17)),INDEX(PASTE_ALL,$DF307,$L$17),SUBSTITUTE(SUBSTITUTE(TRIM(SUBSTITUTE(SUBSTITUTE(SUBSTITUTE(SUBSTITUTE(INDEX(PASTE_ALL,$DF307,$L$17)," "," "),CHAR(9)," "),CHAR(10)," "),CHAR(13)," ")),",",""),"%","")),"")))</f>
        <v/>
      </c>
      <c r="EA307">
        <f>IF($DM307=0,"",IFERROR(IF(ISNUMBER($DZ307),$DZ307,IF($DZ307="","",IF(TRIM($DZ307)="",0,IF(AND(AND(SUBSTITUTE(SUBSTITUTE(SUBSTITUTE(SUBSTITUTE(SUBSTITUTE(SUBSTITUTE(SUBSTITUTE(SUBSTITUTE(SUBSTITUTE(SUBSTITUTE(SUBSTITUTE(SUBSTITUTE(SUBSTITUTE(SUBSTITUTE(UPPER(TRIM($DZ307)),"0",""),"1",""),"2",""),"3",""),"4",""),"5",""),"6",""),"7",""),"8",""),"9",""),".",""),"+",""),"-",""),"E","")="",LEN(SUBSTITUTE(SUBSTITUTE(MID(UPPER(TRIM($DZ307)),1+OR(LEFT(UPPER(TRIM($DZ307)),1)="+",LEFT(UPPER(TRIM($DZ307)),1)="-"),999),"E+","E"),"E-","E"))=LEN(SUBSTITUTE(SUBSTITUTE(SUBSTITUTE(SUBSTITUTE(MID(UPPER(TRIM($DZ307)),1+OR(LEFT(UPPER(TRIM($DZ307)),1)="+",LEFT(UPPER(TRIM($DZ307)),1)="-"),999),"E+","E"),"E-","E"),"+",""),"-","")),LEN(UPPER(TRIM($DZ307)))-LEN(SUBSTITUTE(UPPER(TRIM($DZ307)),"E",""))&lt;2,LEN(UPPER(TRIM($DZ307)))-LEN(SUBSTITUTE(UPPER(TRIM($DZ307)),".",""))&lt;2,IFERROR(FIND(".",UPPER(TRIM($DZ307))),0)&lt;IFERROR(FIND("E",UPPER(TRIM($DZ307))),999)),ISNUMBER(VALUE(TRIM($DZ307)))),VALUE(TRIM($DZ307)),"")))),""))</f>
        <v/>
      </c>
      <c r="EB307">
        <f>IF($DM307=0,"",IF($L$18=0,"",IFERROR(IF(UPPER(TRIM(SUBSTITUTE(SUBSTITUTE(SUBSTITUTE(SUBSTITUTE(INDEX(PASTE_ALL,$DF307,$L$18)," "," "),CHAR(9)," "),CHAR(10)," "),CHAR(13)," ")))="READY","Ready",IF(UPPER(TRIM(SUBSTITUTE(SUBSTITUTE(SUBSTITUTE(SUBSTITUTE(INDEX(PASTE_ALL,$DF307,$L$18)," "," "),CHAR(9)," "),CHAR(10)," "),CHAR(13)," ")))="PM","PM",IF(OR(UPPER(TRIM(SUBSTITUTE(SUBSTITUTE(SUBSTITUTE(SUBSTITUTE(INDEX(PASTE_ALL,$DF307,$L$18)," "," "),CHAR(9)," "),CHAR(10)," "),CHAR(13)," ")))="OT",UPPER(TRIM(SUBSTITUTE(SUBSTITUTE(SUBSTITUTE(SUBSTITUTE(INDEX(PASTE_ALL,$DF307,$L$18)," "," "),CHAR(9)," "),CHAR(10)," "),CHAR(13)," ")))="OVERTIME",UPPER(TRIM(SUBSTITUTE(SUBSTITUTE(SUBSTITUTE(SUBSTITUTE(INDEX(PASTE_ALL,$DF307,$L$18)," "," "),CHAR(9)," "),CHAR(10)," "),CHAR(13)," ")))="TRIAL"),"OT",TRIM(SUBSTITUTE(SUBSTITUTE(SUBSTITUTE(SUBSTITUTE(INDEX(PASTE_ALL,$DF307,$L$18)," "," "),CHAR(9)," "),CHAR(10)," "),CHAR(13)," "))))),"")))</f>
        <v/>
      </c>
      <c r="EC307">
        <f>IF($DM307=0,"",IF($L$19=0,"",IFERROR(IF(ISNUMBER(INDEX(PASTE_ALL,$DF307,$L$19)),INDEX(PASTE_ALL,$DF307,$L$19),TRIM(SUBSTITUTE(SUBSTITUTE(SUBSTITUTE(SUBSTITUTE(INDEX(PASTE_ALL,$DF307,$L$19)," "," "),CHAR(9)," "),CHAR(10)," "),CHAR(13)," "))),"")))</f>
        <v/>
      </c>
      <c r="ED307">
        <f>IF($DM307=0,"",MATCH(1,INDEX(EXACT($DH$5:DH307,$DH307)*$DM$5:DM307,0),0))</f>
        <v/>
      </c>
      <c r="EE307">
        <f>IF($DM307=0,0,IF($ED307=$DE307,1,0))</f>
        <v/>
      </c>
      <c r="EF307">
        <f>EF306+$EE307</f>
        <v/>
      </c>
      <c r="EG307">
        <f>IF($DM307=0,"",INDEX($EF$5:$EF$1003,$ED307))</f>
        <v/>
      </c>
      <c r="EH307">
        <f>IF($DM307=0,"",IF($DO307&lt;&gt;"","",IFERROR(LOOKUP(2,1/(($EG$4:EG306=$EG307)*($DO$4:DO306&lt;&gt;"")),$DO$4:DO306),"")))</f>
        <v/>
      </c>
      <c r="EI307">
        <f>IF($DM307=0,"",IF($DO307&lt;&gt;"",$DO307,$EH307))</f>
        <v/>
      </c>
      <c r="EJ307">
        <f>IF($DM307=0,"",IF($EI307="",0,IF(OR(ISNUMBER($EI307),AND(AND(SUBSTITUTE(SUBSTITUTE(SUBSTITUTE(SUBSTITUTE(SUBSTITUTE(SUBSTITUTE(SUBSTITUTE(SUBSTITUTE(SUBSTITUTE(SUBSTITUTE(SUBSTITUTE(SUBSTITUTE(SUBSTITUTE(SUBSTITUTE(UPPER($EI307),"0",""),"1",""),"2",""),"3",""),"4",""),"5",""),"6",""),"7",""),"8",""),"9",""),".",""),"+",""),"-",""),"E","")="",LEN(SUBSTITUTE(SUBSTITUTE(MID(UPPER($EI307),1+OR(LEFT(UPPER($EI307),1)="+",LEFT(UPPER($EI307),1)="-"),999),"E+","E"),"E-","E"))=LEN(SUBSTITUTE(SUBSTITUTE(SUBSTITUTE(SUBSTITUTE(MID(UPPER($EI307),1+OR(LEFT(UPPER($EI307),1)="+",LEFT(UPPER($EI307),1)="-"),999),"E+","E"),"E-","E"),"+",""),"-","")),LEN(UPPER($EI307))-LEN(SUBSTITUTE(UPPER($EI307),"E",""))&lt;2,LEN(UPPER($EI307))-LEN(SUBSTITUTE(UPPER($EI307),".",""))&lt;2,IFERROR(FIND(".",UPPER($EI307)),0)&lt;IFERROR(FIND("E",UPPER($EI307)),999)),ISNUMBER(VALUE($EI307)))),1,2)))</f>
        <v/>
      </c>
      <c r="EK307">
        <f>IF($DM307=0,"",IF($EJ307=1,IF(ISNUMBER($EI307),$EI307,VALUE($EI307)),IF($EJ307=2,$DE307,0)))</f>
        <v/>
      </c>
      <c r="EL307">
        <f>IF($DM307=0,"",COUNTIF($EG$5:$EG$1003,"&lt;"&amp;$EG307)+SUMPRODUCT(($EG$5:$EG$1003=$EG307)*(($EJ$5:$EJ$1003&lt;$EJ307)+($EJ$5:$EJ$1003=$EJ307)*(($EK$5:$EK$1003&lt;$EK307)+($EK$5:$EK$1003=$EK307)*($DE$5:$DE$1003&lt;$DE307))))+1)</f>
        <v/>
      </c>
      <c r="EM307">
        <f>IF($DM307=0,"",$EL307+$EG307-1)</f>
        <v/>
      </c>
      <c r="EN307">
        <f>IF($DM307=0,0,IFERROR(MATCH(1,INDEX(--(TRIM(SUBSTITUTE(SUBSTITUTE(SUBSTITUTE(SUBSTITUTE(LINES_NAME&amp;""," "," "),CHAR(9)," "),CHAR(10)," "),CHAR(13)," "))=$DH307),0),0),0))</f>
        <v/>
      </c>
      <c r="EO307">
        <f>IF($EN307=0,0,IF(OR(UPPER(TRIM(INDEX(LINES_SCHEDULED,$EN307)&amp;""))="YES",UPPER(TRIM(INDEX(LINES_SCHEDULED,$EN307)&amp;""))="Y",UPPER(TRIM(INDEX(LINES_SCHEDULED,$EN307)&amp;""))="X"),1,0))</f>
        <v/>
      </c>
      <c r="EP307">
        <f>IF($DM307=0,"",IF(COUNTIFS($EG$5:$EG$1003,$EG307,$EB$5:$EB$1003,"Ready")&gt;0,"READY",IF(COUNTIFS($EG$5:$EG$1003,$EG307,$EB$5:$EB$1003,"PM")&gt;0,"PM",IF(COUNTIFS($EG$5:$EG$1003,$EG307,$EB$5:$EB$1003,"OT")&gt;0,"OT",""))))</f>
        <v/>
      </c>
      <c r="EQ307">
        <f>IF($EN307=0,"",UPPER(TRIM(INDEX(LINES_STATUS,$EN307)&amp;"")))</f>
        <v/>
      </c>
      <c r="ER307">
        <f>IF($DM307=0,"",IF(OR($EQ307="READY",$EQ307="PM",$EQ307="OT"),$EQ307,$EP307))</f>
        <v/>
      </c>
      <c r="ES307">
        <f>IF($DM307=0,"",IF(AND($DV307&lt;&gt;"",UPPER($DV307)&lt;&gt;"N"),"allergen",IF(ISNUMBER(SEARCH("oil",$DQ307)),"oil",IF(OR(EXACT($DS307,"A662"),EXACT($DS307,"A624")),"bulk",""))))</f>
        <v/>
      </c>
      <c r="ET307">
        <f>IF($DM307=0,"",IF(OR($EA307="",$EA307=0),"",$EA307/100))</f>
        <v/>
      </c>
      <c r="EU307">
        <f>IF(OR($ET307="",$DY307=""),"",INT($DY307*(1-$ET307)+0.5))</f>
        <v/>
      </c>
      <c r="EW307" t="n">
        <v>303</v>
      </c>
      <c r="EX307">
        <f>IFERROR(MATCH($EW307,$EM$5:$EM$1003,0),0)</f>
        <v/>
      </c>
      <c r="EY307">
        <f>IF($EW307&gt;$B$12,"",IF($EX307&gt;0,"row","spacer"))</f>
        <v/>
      </c>
      <c r="EZ307">
        <f>IF(AND($EY307="row",$EY306&lt;&gt;"row"),1,0)</f>
        <v/>
      </c>
      <c r="FA307">
        <f>IF(AND($EY307="row",$EY308&lt;&gt;"row"),1,0)</f>
        <v/>
      </c>
      <c r="FB307">
        <f>IF($EZ307=1,IFERROR(IF(ISNUMBER(INDEX(PASTE_ALL,INDEX($DF$5:$DF$1003,$EX307),$B$37)),INDEX(PASTE_ALL,INDEX($DF$5:$DF$1003,$EX307),$B$37),INDEX($DH$5:$DH$1003,$EX307)),INDEX($DH$5:$DH$1003,$EX307)),"")</f>
        <v/>
      </c>
      <c r="FC307">
        <f>IF($EY307="row",INDEX($ER$5:$ER$1003,$EX307),"")</f>
        <v/>
      </c>
      <c r="FD307">
        <f>IF($EY307="row",INDEX($DN$5:$DN$1003,$EX307),"")</f>
        <v/>
      </c>
      <c r="FE307">
        <f>IF($EY307="row",INDEX($DO$5:$DO$1003,$EX307),"")</f>
        <v/>
      </c>
      <c r="FF307">
        <f>IF($EY307="row",INDEX($DP$5:$DP$1003,$EX307),"")</f>
        <v/>
      </c>
      <c r="FG307">
        <f>IF($EY307="row",INDEX($DQ$5:$DQ$1003,$EX307),"")</f>
        <v/>
      </c>
      <c r="FH307">
        <f>IF($EY307="row",INDEX($DR$5:$DR$1003,$EX307),"")</f>
        <v/>
      </c>
      <c r="FI307">
        <f>IF($EY307="row",INDEX($DS$5:$DS$1003,$EX307),"")</f>
        <v/>
      </c>
      <c r="FJ307">
        <f>IF($EY307="row",INDEX($DT$5:$DT$1003,$EX307),"")</f>
        <v/>
      </c>
      <c r="FK307">
        <f>IF($EY307="row",INDEX($DU$5:$DU$1003,$EX307),"")</f>
        <v/>
      </c>
      <c r="FL307">
        <f>IF($EY307="row",INDEX($DV$5:$DV$1003,$EX307),"")</f>
        <v/>
      </c>
      <c r="FM307">
        <f>IF($EY307="row",INDEX($DW$5:$DW$1003,$EX307),"")</f>
        <v/>
      </c>
      <c r="FN307">
        <f>IF($EY307="row",INDEX($DY$5:$DY$1003,$EX307),"")</f>
        <v/>
      </c>
      <c r="FO307">
        <f>IF($EY307="row",INDEX($EA$5:$EA$1003,$EX307),"")</f>
        <v/>
      </c>
      <c r="FP307">
        <f>IF($EY307="row",INDEX($EC$5:$EC$1003,$EX307),"")</f>
        <v/>
      </c>
      <c r="FQ307">
        <f>IF($EY307="row",INDEX($ET$5:$ET$1003,$EX307),"")</f>
        <v/>
      </c>
      <c r="FR307">
        <f>IF($EY307="row",INDEX($EU$5:$EU$1003,$EX307),"")</f>
        <v/>
      </c>
      <c r="FS307">
        <f>IF(AND($EY307="row",$EY306="row"),IF(OR(INDEX($DT$5:$DT$1003,$EX306)="",INDEX($DT$5:$DT$1003,$EX307)=""),"",IF(NOT(EXACT(INDEX($DT$5:$DT$1003,$EX306),INDEX($DT$5:$DT$1003,$EX307))),"S4",IF(NOT(EXACT(INDEX($DS$5:$DS$1003,$EX306),INDEX($DS$5:$DS$1003,$EX307))),"S3",IF(NOT(EXACT(INDEX($DR$5:$DR$1003,$EX306),INDEX($DR$5:$DR$1003,$EX307))),"S1 Count Change","S1")))),"")</f>
        <v/>
      </c>
      <c r="FT307">
        <f>IF($EY307="row",INDEX($ES$5:$ES$1003,$EX307),"")</f>
        <v/>
      </c>
      <c r="FU307">
        <f>IF($EY307="row",INDEX($EO$5:$EO$1003,$EX307),0)</f>
        <v/>
      </c>
      <c r="FV307">
        <f>IF($FS307="S1 Count Change",1,0)</f>
        <v/>
      </c>
    </row>
    <row r="308">
      <c r="DA308" t="n">
        <v>304</v>
      </c>
      <c r="DB308">
        <f>IF($B$37=0,"",IFERROR(TRIM(SUBSTITUTE(SUBSTITUTE(SUBSTITUTE(SUBSTITUTE(INDEX(PASTE_ALL,304,$B$37)," "," "),CHAR(9)," "),CHAR(10)," "),CHAR(13)," ")),""))</f>
        <v/>
      </c>
      <c r="DC308">
        <f>IF(AND(304&gt;HEADER_ROW,UPPER(DB308)="LEGEND"),1,0)</f>
        <v/>
      </c>
      <c r="DE308" t="n">
        <v>304</v>
      </c>
      <c r="DF308">
        <f>HEADER_ROW+$DE308</f>
        <v/>
      </c>
      <c r="DG308">
        <f>IF(AND($DF308&lt;=1000,$DF308&lt;$B$8),1,0)</f>
        <v/>
      </c>
      <c r="DH308">
        <f>IF($DG308=1,IFERROR(INDEX($DB$5:$DB$1004,$DF308),""),"")</f>
        <v/>
      </c>
      <c r="DI308">
        <f>IF(AND($DG308=1,$DH308&lt;&gt;""),IFERROR(SUBSTITUTE(SUBSTITUTE(TRIM(SUBSTITUTE(SUBSTITUTE(SUBSTITUTE(SUBSTITUTE(IFERROR(INDEX(PASTE_ALL,$DF308,1)&amp;"","")&amp;"␟"&amp;IFERROR(INDEX(PASTE_ALL,$DF308,2)&amp;"","")&amp;"␟"&amp;IFERROR(INDEX(PASTE_ALL,$DF308,3)&amp;"","")&amp;"␟"&amp;IFERROR(INDEX(PASTE_ALL,$DF308,4)&amp;"","")&amp;"␟"&amp;IFERROR(INDEX(PASTE_ALL,$DF308,5)&amp;"","")&amp;"␟"&amp;IFERROR(INDEX(PASTE_ALL,$DF308,6)&amp;"","")&amp;"␟"&amp;IFERROR(INDEX(PASTE_ALL,$DF308,7)&amp;"","")&amp;"␟"&amp;IFERROR(INDEX(PASTE_ALL,$DF308,8)&amp;"","")&amp;"␟"&amp;IFERROR(INDEX(PASTE_ALL,$DF308,9)&amp;"","")&amp;"␟"&amp;IFERROR(INDEX(PASTE_ALL,$DF308,10)&amp;"","")&amp;"␟"&amp;IFERROR(INDEX(PASTE_ALL,$DF308,11)&amp;"","")&amp;"␟"&amp;IFERROR(INDEX(PASTE_ALL,$DF308,12)&amp;"","")&amp;"␟"&amp;IFERROR(INDEX(PASTE_ALL,$DF308,13)&amp;"","")&amp;"␟"&amp;IFERROR(INDEX(PASTE_ALL,$DF308,14)&amp;"","")&amp;"␟"&amp;IFERROR(INDEX(PASTE_ALL,$DF308,15)&amp;"","")&amp;"␟"&amp;IFERROR(INDEX(PASTE_ALL,$DF308,16)&amp;"","")&amp;"␟"&amp;IFERROR(INDEX(PASTE_ALL,$DF308,17)&amp;"","")&amp;"␟"&amp;IFERROR(INDEX(PASTE_ALL,$DF308,18)&amp;"","")&amp;"␟"&amp;IFERROR(INDEX(PASTE_ALL,$DF308,19)&amp;"","")&amp;"␟"&amp;IFERROR(INDEX(PASTE_ALL,$DF308,20)&amp;"","")&amp;"␟"&amp;IFERROR(INDEX(PASTE_ALL,$DF308,21)&amp;"","")&amp;"␟"&amp;IFERROR(INDEX(PASTE_ALL,$DF308,22)&amp;"","")&amp;"␟"&amp;IFERROR(INDEX(PASTE_ALL,$DF308,23)&amp;"","")&amp;"␟"&amp;IFERROR(INDEX(PASTE_ALL,$DF308,24)&amp;"","")&amp;"␟"&amp;IFERROR(INDEX(PASTE_ALL,$DF308,25)&amp;"","")&amp;"␟"&amp;IFERROR(INDEX(PASTE_ALL,$DF308,26)&amp;"","")&amp;"␟"&amp;IFERROR(INDEX(PASTE_ALL,$DF308,27)&amp;"","")&amp;"␟"&amp;IFERROR(INDEX(PASTE_ALL,$DF308,28)&amp;"","")&amp;"␟"&amp;IFERROR(INDEX(PASTE_ALL,$DF308,29)&amp;"","")&amp;"␟"&amp;IFERROR(INDEX(PASTE_ALL,$DF308,30)&amp;"","")&amp;"␟"&amp;IFERROR(INDEX(PASTE_ALL,$DF308,31)&amp;"","")&amp;"␟"&amp;IFERROR(INDEX(PASTE_ALL,$DF308,32)&amp;"","")&amp;"␟"&amp;IFERROR(INDEX(PASTE_ALL,$DF308,33)&amp;"","")&amp;"␟"&amp;IFERROR(INDEX(PASTE_ALL,$DF308,34)&amp;"","")&amp;"␟"&amp;IFERROR(INDEX(PASTE_ALL,$DF308,35)&amp;"","")&amp;"␟"&amp;IFERROR(INDEX(PASTE_ALL,$DF308,36)&amp;"","")&amp;"␟"&amp;IFERROR(INDEX(PASTE_ALL,$DF308,37)&amp;"","")&amp;"␟"&amp;IFERROR(INDEX(PASTE_ALL,$DF308,38)&amp;"","")&amp;"␟"&amp;IFERROR(INDEX(PASTE_ALL,$DF308,39)&amp;"","")&amp;"␟"&amp;IFERROR(INDEX(PASTE_ALL,$DF308,40)&amp;"","")&amp;"␟"&amp;IFERROR(INDEX(PASTE_ALL,$DF308,41)&amp;"","")&amp;"␟"&amp;IFERROR(INDEX(PASTE_ALL,$DF308,42)&amp;"","")&amp;"␟"&amp;IFERROR(INDEX(PASTE_ALL,$DF308,43)&amp;"","")&amp;"␟"&amp;IFERROR(INDEX(PASTE_ALL,$DF308,44)&amp;"","")&amp;"␟"&amp;IFERROR(INDEX(PASTE_ALL,$DF308,45)&amp;"","")&amp;"␟"&amp;IFERROR(INDEX(PASTE_ALL,$DF308,46)&amp;"","")&amp;"␟"&amp;IFERROR(INDEX(PASTE_ALL,$DF308,47)&amp;"","")&amp;"␟"&amp;IFERROR(INDEX(PASTE_ALL,$DF308,48)&amp;"","")&amp;"␟"&amp;IFERROR(INDEX(PASTE_ALL,$DF308,49)&amp;"","")&amp;"␟"&amp;IFERROR(INDEX(PASTE_ALL,$DF308,50)&amp;"","")&amp;"␟"&amp;IFERROR(INDEX(PASTE_ALL,$DF308,51)&amp;"","")&amp;"␟"&amp;IFERROR(INDEX(PASTE_ALL,$DF308,52)&amp;"","")&amp;"␟"&amp;IFERROR(INDEX(PASTE_ALL,$DF308,53)&amp;"","")&amp;"␟"&amp;IFERROR(INDEX(PASTE_ALL,$DF308,54)&amp;"","")&amp;"␟"&amp;IFERROR(INDEX(PASTE_ALL,$DF308,55)&amp;"","")&amp;"␟"&amp;IFERROR(INDEX(PASTE_ALL,$DF308,56)&amp;"","")&amp;"␟"&amp;IFERROR(INDEX(PASTE_ALL,$DF308,57)&amp;"","")&amp;"␟"&amp;IFERROR(INDEX(PASTE_ALL,$DF308,58)&amp;"","")&amp;"␟"&amp;IFERROR(INDEX(PASTE_ALL,$DF308,59)&amp;"","")&amp;"␟"&amp;IFERROR(INDEX(PASTE_ALL,$DF308,60)&amp;"","")," "," "),CHAR(9)," "),CHAR(10)," "),CHAR(13)," "))," ␟","␟"),"␟ ","␟"),"#"&amp;$DE308),"")</f>
        <v/>
      </c>
      <c r="DJ308">
        <f>IF($DI308="",0,IF(SUMPRODUCT(--EXACT($DI$4:DI307,$DI308))&gt;0,1,0))</f>
        <v/>
      </c>
      <c r="DK308">
        <f>IF(AND($DI308&lt;&gt;"",$DJ308=0),1,0)</f>
        <v/>
      </c>
      <c r="DL308">
        <f>DL307+$DK308</f>
        <v/>
      </c>
      <c r="DM308">
        <f>IF(AND($DK308=1,$DL308&lt;=600),1,0)</f>
        <v/>
      </c>
      <c r="DN308">
        <f>IF($DM308=0,"",IF($L$6=0,"",IFERROR(IF(ISNUMBER(INDEX(PASTE_ALL,$DF308,$L$6)),INDEX(PASTE_ALL,$DF308,$L$6),TRIM(SUBSTITUTE(SUBSTITUTE(SUBSTITUTE(SUBSTITUTE(INDEX(PASTE_ALL,$DF308,$L$6)," "," "),CHAR(9)," "),CHAR(10)," "),CHAR(13)," "))),"")))</f>
        <v/>
      </c>
      <c r="DO308">
        <f>IF($DM308=0,"",IF($L$7=0,"",IFERROR(IF(ISNUMBER(INDEX(PASTE_ALL,$DF308,$L$7)),INDEX(PASTE_ALL,$DF308,$L$7),TRIM(SUBSTITUTE(SUBSTITUTE(SUBSTITUTE(SUBSTITUTE(INDEX(PASTE_ALL,$DF308,$L$7)," "," "),CHAR(9)," "),CHAR(10)," "),CHAR(13)," "))),"")))</f>
        <v/>
      </c>
      <c r="DP308">
        <f>IF($DM308=0,"",IF($L$8=0,"",IFERROR(IF(ISNUMBER(INDEX(PASTE_ALL,$DF308,$L$8)),INDEX(PASTE_ALL,$DF308,$L$8),TRIM(SUBSTITUTE(SUBSTITUTE(SUBSTITUTE(SUBSTITUTE(INDEX(PASTE_ALL,$DF308,$L$8)," "," "),CHAR(9)," "),CHAR(10)," "),CHAR(13)," "))),"")))</f>
        <v/>
      </c>
      <c r="DQ308">
        <f>IF($DM308=0,"",IF($L$9=0,"",IFERROR(IF(ISNUMBER(INDEX(PASTE_ALL,$DF308,$L$9)),INDEX(PASTE_ALL,$DF308,$L$9),TRIM(SUBSTITUTE(SUBSTITUTE(SUBSTITUTE(SUBSTITUTE(INDEX(PASTE_ALL,$DF308,$L$9)," "," "),CHAR(9)," "),CHAR(10)," "),CHAR(13)," "))),"")))</f>
        <v/>
      </c>
      <c r="DR308">
        <f>IF($DM308=0,"",IF($L$10=0,"",IFERROR(IF(ISNUMBER(INDEX(PASTE_ALL,$DF308,$L$10)),INDEX(PASTE_ALL,$DF308,$L$10),TRIM(SUBSTITUTE(SUBSTITUTE(SUBSTITUTE(SUBSTITUTE(INDEX(PASTE_ALL,$DF308,$L$10)," "," "),CHAR(9)," "),CHAR(10)," "),CHAR(13)," "))),"")))</f>
        <v/>
      </c>
      <c r="DS308">
        <f>IF($DM308=0,"",IF($L$11=0,"",IFERROR(IF(ISNUMBER(INDEX(PASTE_ALL,$DF308,$L$11)),INDEX(PASTE_ALL,$DF308,$L$11),TRIM(SUBSTITUTE(SUBSTITUTE(SUBSTITUTE(SUBSTITUTE(INDEX(PASTE_ALL,$DF308,$L$11)," "," "),CHAR(9)," "),CHAR(10)," "),CHAR(13)," "))),"")))</f>
        <v/>
      </c>
      <c r="DT308">
        <f>IF($DM308=0,"",IF($L$12=0,"",IFERROR(IF(ISNUMBER(INDEX(PASTE_ALL,$DF308,$L$12)),INDEX(PASTE_ALL,$DF308,$L$12),TRIM(SUBSTITUTE(SUBSTITUTE(SUBSTITUTE(SUBSTITUTE(INDEX(PASTE_ALL,$DF308,$L$12)," "," "),CHAR(9)," "),CHAR(10)," "),CHAR(13)," "))),"")))</f>
        <v/>
      </c>
      <c r="DU308">
        <f>IF($DM308=0,"",IF($L$13=0,"",IFERROR(IF(ISNUMBER(INDEX(PASTE_ALL,$DF308,$L$13)),INDEX(PASTE_ALL,$DF308,$L$13),TRIM(SUBSTITUTE(SUBSTITUTE(SUBSTITUTE(SUBSTITUTE(INDEX(PASTE_ALL,$DF308,$L$13)," "," "),CHAR(9)," "),CHAR(10)," "),CHAR(13)," "))),"")))</f>
        <v/>
      </c>
      <c r="DV308">
        <f>IF($DM308=0,"",IF($L$14=0,"",IFERROR(IF(ISNUMBER(INDEX(PASTE_ALL,$DF308,$L$14)),INDEX(PASTE_ALL,$DF308,$L$14),TRIM(SUBSTITUTE(SUBSTITUTE(SUBSTITUTE(SUBSTITUTE(INDEX(PASTE_ALL,$DF308,$L$14)," "," "),CHAR(9)," "),CHAR(10)," "),CHAR(13)," "))),"")))</f>
        <v/>
      </c>
      <c r="DW308">
        <f>IF($DM308=0,"",IF($L$15=0,"",IFERROR(IF(ISNUMBER(INDEX(PASTE_ALL,$DF308,$L$15)),INDEX(PASTE_ALL,$DF308,$L$15),IF(SUMPRODUCT(--ISNUMBER(FIND({"A","B","C","D","E","F","G","H","I","J","K","L","M","N","O","P","Q","R","S","T","U","V","W","X","Y","Z","0","1","2","3","4","5","6","7","8","9"},UPPER(TRIM(SUBSTITUTE(SUBSTITUTE(SUBSTITUTE(SUBSTITUTE(INDEX(PASTE_ALL,$DF308,$L$15)," "," "),CHAR(9)," "),CHAR(10)," "),CHAR(13)," "))))))&gt;0,TRIM(SUBSTITUTE(SUBSTITUTE(SUBSTITUTE(SUBSTITUTE(INDEX(PASTE_ALL,$DF308,$L$15)," "," "),CHAR(9)," "),CHAR(10)," "),CHAR(13)," ")),"")),"")))</f>
        <v/>
      </c>
      <c r="DX308">
        <f>IF($DM308=0,"",IF($L$16=0,"",IFERROR(IF(ISNUMBER(INDEX(PASTE_ALL,$DF308,$L$16)),INDEX(PASTE_ALL,$DF308,$L$16),SUBSTITUTE(SUBSTITUTE(TRIM(SUBSTITUTE(SUBSTITUTE(SUBSTITUTE(SUBSTITUTE(INDEX(PASTE_ALL,$DF308,$L$16)," "," "),CHAR(9)," "),CHAR(10)," "),CHAR(13)," ")),",",""),"%","")),"")))</f>
        <v/>
      </c>
      <c r="DY308">
        <f>IF($DM308=0,"",IFERROR(IF(ISNUMBER($DX308),$DX308,IF($DX308="","",IF(TRIM($DX308)="",0,IF(AND(AND(SUBSTITUTE(SUBSTITUTE(SUBSTITUTE(SUBSTITUTE(SUBSTITUTE(SUBSTITUTE(SUBSTITUTE(SUBSTITUTE(SUBSTITUTE(SUBSTITUTE(SUBSTITUTE(SUBSTITUTE(SUBSTITUTE(SUBSTITUTE(UPPER(TRIM($DX308)),"0",""),"1",""),"2",""),"3",""),"4",""),"5",""),"6",""),"7",""),"8",""),"9",""),".",""),"+",""),"-",""),"E","")="",LEN(SUBSTITUTE(SUBSTITUTE(MID(UPPER(TRIM($DX308)),1+OR(LEFT(UPPER(TRIM($DX308)),1)="+",LEFT(UPPER(TRIM($DX308)),1)="-"),999),"E+","E"),"E-","E"))=LEN(SUBSTITUTE(SUBSTITUTE(SUBSTITUTE(SUBSTITUTE(MID(UPPER(TRIM($DX308)),1+OR(LEFT(UPPER(TRIM($DX308)),1)="+",LEFT(UPPER(TRIM($DX308)),1)="-"),999),"E+","E"),"E-","E"),"+",""),"-","")),LEN(UPPER(TRIM($DX308)))-LEN(SUBSTITUTE(UPPER(TRIM($DX308)),"E",""))&lt;2,LEN(UPPER(TRIM($DX308)))-LEN(SUBSTITUTE(UPPER(TRIM($DX308)),".",""))&lt;2,IFERROR(FIND(".",UPPER(TRIM($DX308))),0)&lt;IFERROR(FIND("E",UPPER(TRIM($DX308))),999)),ISNUMBER(VALUE(TRIM($DX308)))),VALUE(TRIM($DX308)),"")))),""))</f>
        <v/>
      </c>
      <c r="DZ308">
        <f>IF($DM308=0,"",IF($L$17=0,"",IFERROR(IF(ISNUMBER(INDEX(PASTE_ALL,$DF308,$L$17)),INDEX(PASTE_ALL,$DF308,$L$17),SUBSTITUTE(SUBSTITUTE(TRIM(SUBSTITUTE(SUBSTITUTE(SUBSTITUTE(SUBSTITUTE(INDEX(PASTE_ALL,$DF308,$L$17)," "," "),CHAR(9)," "),CHAR(10)," "),CHAR(13)," ")),",",""),"%","")),"")))</f>
        <v/>
      </c>
      <c r="EA308">
        <f>IF($DM308=0,"",IFERROR(IF(ISNUMBER($DZ308),$DZ308,IF($DZ308="","",IF(TRIM($DZ308)="",0,IF(AND(AND(SUBSTITUTE(SUBSTITUTE(SUBSTITUTE(SUBSTITUTE(SUBSTITUTE(SUBSTITUTE(SUBSTITUTE(SUBSTITUTE(SUBSTITUTE(SUBSTITUTE(SUBSTITUTE(SUBSTITUTE(SUBSTITUTE(SUBSTITUTE(UPPER(TRIM($DZ308)),"0",""),"1",""),"2",""),"3",""),"4",""),"5",""),"6",""),"7",""),"8",""),"9",""),".",""),"+",""),"-",""),"E","")="",LEN(SUBSTITUTE(SUBSTITUTE(MID(UPPER(TRIM($DZ308)),1+OR(LEFT(UPPER(TRIM($DZ308)),1)="+",LEFT(UPPER(TRIM($DZ308)),1)="-"),999),"E+","E"),"E-","E"))=LEN(SUBSTITUTE(SUBSTITUTE(SUBSTITUTE(SUBSTITUTE(MID(UPPER(TRIM($DZ308)),1+OR(LEFT(UPPER(TRIM($DZ308)),1)="+",LEFT(UPPER(TRIM($DZ308)),1)="-"),999),"E+","E"),"E-","E"),"+",""),"-","")),LEN(UPPER(TRIM($DZ308)))-LEN(SUBSTITUTE(UPPER(TRIM($DZ308)),"E",""))&lt;2,LEN(UPPER(TRIM($DZ308)))-LEN(SUBSTITUTE(UPPER(TRIM($DZ308)),".",""))&lt;2,IFERROR(FIND(".",UPPER(TRIM($DZ308))),0)&lt;IFERROR(FIND("E",UPPER(TRIM($DZ308))),999)),ISNUMBER(VALUE(TRIM($DZ308)))),VALUE(TRIM($DZ308)),"")))),""))</f>
        <v/>
      </c>
      <c r="EB308">
        <f>IF($DM308=0,"",IF($L$18=0,"",IFERROR(IF(UPPER(TRIM(SUBSTITUTE(SUBSTITUTE(SUBSTITUTE(SUBSTITUTE(INDEX(PASTE_ALL,$DF308,$L$18)," "," "),CHAR(9)," "),CHAR(10)," "),CHAR(13)," ")))="READY","Ready",IF(UPPER(TRIM(SUBSTITUTE(SUBSTITUTE(SUBSTITUTE(SUBSTITUTE(INDEX(PASTE_ALL,$DF308,$L$18)," "," "),CHAR(9)," "),CHAR(10)," "),CHAR(13)," ")))="PM","PM",IF(OR(UPPER(TRIM(SUBSTITUTE(SUBSTITUTE(SUBSTITUTE(SUBSTITUTE(INDEX(PASTE_ALL,$DF308,$L$18)," "," "),CHAR(9)," "),CHAR(10)," "),CHAR(13)," ")))="OT",UPPER(TRIM(SUBSTITUTE(SUBSTITUTE(SUBSTITUTE(SUBSTITUTE(INDEX(PASTE_ALL,$DF308,$L$18)," "," "),CHAR(9)," "),CHAR(10)," "),CHAR(13)," ")))="OVERTIME",UPPER(TRIM(SUBSTITUTE(SUBSTITUTE(SUBSTITUTE(SUBSTITUTE(INDEX(PASTE_ALL,$DF308,$L$18)," "," "),CHAR(9)," "),CHAR(10)," "),CHAR(13)," ")))="TRIAL"),"OT",TRIM(SUBSTITUTE(SUBSTITUTE(SUBSTITUTE(SUBSTITUTE(INDEX(PASTE_ALL,$DF308,$L$18)," "," "),CHAR(9)," "),CHAR(10)," "),CHAR(13)," "))))),"")))</f>
        <v/>
      </c>
      <c r="EC308">
        <f>IF($DM308=0,"",IF($L$19=0,"",IFERROR(IF(ISNUMBER(INDEX(PASTE_ALL,$DF308,$L$19)),INDEX(PASTE_ALL,$DF308,$L$19),TRIM(SUBSTITUTE(SUBSTITUTE(SUBSTITUTE(SUBSTITUTE(INDEX(PASTE_ALL,$DF308,$L$19)," "," "),CHAR(9)," "),CHAR(10)," "),CHAR(13)," "))),"")))</f>
        <v/>
      </c>
      <c r="ED308">
        <f>IF($DM308=0,"",MATCH(1,INDEX(EXACT($DH$5:DH308,$DH308)*$DM$5:DM308,0),0))</f>
        <v/>
      </c>
      <c r="EE308">
        <f>IF($DM308=0,0,IF($ED308=$DE308,1,0))</f>
        <v/>
      </c>
      <c r="EF308">
        <f>EF307+$EE308</f>
        <v/>
      </c>
      <c r="EG308">
        <f>IF($DM308=0,"",INDEX($EF$5:$EF$1003,$ED308))</f>
        <v/>
      </c>
      <c r="EH308">
        <f>IF($DM308=0,"",IF($DO308&lt;&gt;"","",IFERROR(LOOKUP(2,1/(($EG$4:EG307=$EG308)*($DO$4:DO307&lt;&gt;"")),$DO$4:DO307),"")))</f>
        <v/>
      </c>
      <c r="EI308">
        <f>IF($DM308=0,"",IF($DO308&lt;&gt;"",$DO308,$EH308))</f>
        <v/>
      </c>
      <c r="EJ308">
        <f>IF($DM308=0,"",IF($EI308="",0,IF(OR(ISNUMBER($EI308),AND(AND(SUBSTITUTE(SUBSTITUTE(SUBSTITUTE(SUBSTITUTE(SUBSTITUTE(SUBSTITUTE(SUBSTITUTE(SUBSTITUTE(SUBSTITUTE(SUBSTITUTE(SUBSTITUTE(SUBSTITUTE(SUBSTITUTE(SUBSTITUTE(UPPER($EI308),"0",""),"1",""),"2",""),"3",""),"4",""),"5",""),"6",""),"7",""),"8",""),"9",""),".",""),"+",""),"-",""),"E","")="",LEN(SUBSTITUTE(SUBSTITUTE(MID(UPPER($EI308),1+OR(LEFT(UPPER($EI308),1)="+",LEFT(UPPER($EI308),1)="-"),999),"E+","E"),"E-","E"))=LEN(SUBSTITUTE(SUBSTITUTE(SUBSTITUTE(SUBSTITUTE(MID(UPPER($EI308),1+OR(LEFT(UPPER($EI308),1)="+",LEFT(UPPER($EI308),1)="-"),999),"E+","E"),"E-","E"),"+",""),"-","")),LEN(UPPER($EI308))-LEN(SUBSTITUTE(UPPER($EI308),"E",""))&lt;2,LEN(UPPER($EI308))-LEN(SUBSTITUTE(UPPER($EI308),".",""))&lt;2,IFERROR(FIND(".",UPPER($EI308)),0)&lt;IFERROR(FIND("E",UPPER($EI308)),999)),ISNUMBER(VALUE($EI308)))),1,2)))</f>
        <v/>
      </c>
      <c r="EK308">
        <f>IF($DM308=0,"",IF($EJ308=1,IF(ISNUMBER($EI308),$EI308,VALUE($EI308)),IF($EJ308=2,$DE308,0)))</f>
        <v/>
      </c>
      <c r="EL308">
        <f>IF($DM308=0,"",COUNTIF($EG$5:$EG$1003,"&lt;"&amp;$EG308)+SUMPRODUCT(($EG$5:$EG$1003=$EG308)*(($EJ$5:$EJ$1003&lt;$EJ308)+($EJ$5:$EJ$1003=$EJ308)*(($EK$5:$EK$1003&lt;$EK308)+($EK$5:$EK$1003=$EK308)*($DE$5:$DE$1003&lt;$DE308))))+1)</f>
        <v/>
      </c>
      <c r="EM308">
        <f>IF($DM308=0,"",$EL308+$EG308-1)</f>
        <v/>
      </c>
      <c r="EN308">
        <f>IF($DM308=0,0,IFERROR(MATCH(1,INDEX(--(TRIM(SUBSTITUTE(SUBSTITUTE(SUBSTITUTE(SUBSTITUTE(LINES_NAME&amp;""," "," "),CHAR(9)," "),CHAR(10)," "),CHAR(13)," "))=$DH308),0),0),0))</f>
        <v/>
      </c>
      <c r="EO308">
        <f>IF($EN308=0,0,IF(OR(UPPER(TRIM(INDEX(LINES_SCHEDULED,$EN308)&amp;""))="YES",UPPER(TRIM(INDEX(LINES_SCHEDULED,$EN308)&amp;""))="Y",UPPER(TRIM(INDEX(LINES_SCHEDULED,$EN308)&amp;""))="X"),1,0))</f>
        <v/>
      </c>
      <c r="EP308">
        <f>IF($DM308=0,"",IF(COUNTIFS($EG$5:$EG$1003,$EG308,$EB$5:$EB$1003,"Ready")&gt;0,"READY",IF(COUNTIFS($EG$5:$EG$1003,$EG308,$EB$5:$EB$1003,"PM")&gt;0,"PM",IF(COUNTIFS($EG$5:$EG$1003,$EG308,$EB$5:$EB$1003,"OT")&gt;0,"OT",""))))</f>
        <v/>
      </c>
      <c r="EQ308">
        <f>IF($EN308=0,"",UPPER(TRIM(INDEX(LINES_STATUS,$EN308)&amp;"")))</f>
        <v/>
      </c>
      <c r="ER308">
        <f>IF($DM308=0,"",IF(OR($EQ308="READY",$EQ308="PM",$EQ308="OT"),$EQ308,$EP308))</f>
        <v/>
      </c>
      <c r="ES308">
        <f>IF($DM308=0,"",IF(AND($DV308&lt;&gt;"",UPPER($DV308)&lt;&gt;"N"),"allergen",IF(ISNUMBER(SEARCH("oil",$DQ308)),"oil",IF(OR(EXACT($DS308,"A662"),EXACT($DS308,"A624")),"bulk",""))))</f>
        <v/>
      </c>
      <c r="ET308">
        <f>IF($DM308=0,"",IF(OR($EA308="",$EA308=0),"",$EA308/100))</f>
        <v/>
      </c>
      <c r="EU308">
        <f>IF(OR($ET308="",$DY308=""),"",INT($DY308*(1-$ET308)+0.5))</f>
        <v/>
      </c>
      <c r="EW308" t="n">
        <v>304</v>
      </c>
      <c r="EX308">
        <f>IFERROR(MATCH($EW308,$EM$5:$EM$1003,0),0)</f>
        <v/>
      </c>
      <c r="EY308">
        <f>IF($EW308&gt;$B$12,"",IF($EX308&gt;0,"row","spacer"))</f>
        <v/>
      </c>
      <c r="EZ308">
        <f>IF(AND($EY308="row",$EY307&lt;&gt;"row"),1,0)</f>
        <v/>
      </c>
      <c r="FA308">
        <f>IF(AND($EY308="row",$EY309&lt;&gt;"row"),1,0)</f>
        <v/>
      </c>
      <c r="FB308">
        <f>IF($EZ308=1,IFERROR(IF(ISNUMBER(INDEX(PASTE_ALL,INDEX($DF$5:$DF$1003,$EX308),$B$37)),INDEX(PASTE_ALL,INDEX($DF$5:$DF$1003,$EX308),$B$37),INDEX($DH$5:$DH$1003,$EX308)),INDEX($DH$5:$DH$1003,$EX308)),"")</f>
        <v/>
      </c>
      <c r="FC308">
        <f>IF($EY308="row",INDEX($ER$5:$ER$1003,$EX308),"")</f>
        <v/>
      </c>
      <c r="FD308">
        <f>IF($EY308="row",INDEX($DN$5:$DN$1003,$EX308),"")</f>
        <v/>
      </c>
      <c r="FE308">
        <f>IF($EY308="row",INDEX($DO$5:$DO$1003,$EX308),"")</f>
        <v/>
      </c>
      <c r="FF308">
        <f>IF($EY308="row",INDEX($DP$5:$DP$1003,$EX308),"")</f>
        <v/>
      </c>
      <c r="FG308">
        <f>IF($EY308="row",INDEX($DQ$5:$DQ$1003,$EX308),"")</f>
        <v/>
      </c>
      <c r="FH308">
        <f>IF($EY308="row",INDEX($DR$5:$DR$1003,$EX308),"")</f>
        <v/>
      </c>
      <c r="FI308">
        <f>IF($EY308="row",INDEX($DS$5:$DS$1003,$EX308),"")</f>
        <v/>
      </c>
      <c r="FJ308">
        <f>IF($EY308="row",INDEX($DT$5:$DT$1003,$EX308),"")</f>
        <v/>
      </c>
      <c r="FK308">
        <f>IF($EY308="row",INDEX($DU$5:$DU$1003,$EX308),"")</f>
        <v/>
      </c>
      <c r="FL308">
        <f>IF($EY308="row",INDEX($DV$5:$DV$1003,$EX308),"")</f>
        <v/>
      </c>
      <c r="FM308">
        <f>IF($EY308="row",INDEX($DW$5:$DW$1003,$EX308),"")</f>
        <v/>
      </c>
      <c r="FN308">
        <f>IF($EY308="row",INDEX($DY$5:$DY$1003,$EX308),"")</f>
        <v/>
      </c>
      <c r="FO308">
        <f>IF($EY308="row",INDEX($EA$5:$EA$1003,$EX308),"")</f>
        <v/>
      </c>
      <c r="FP308">
        <f>IF($EY308="row",INDEX($EC$5:$EC$1003,$EX308),"")</f>
        <v/>
      </c>
      <c r="FQ308">
        <f>IF($EY308="row",INDEX($ET$5:$ET$1003,$EX308),"")</f>
        <v/>
      </c>
      <c r="FR308">
        <f>IF($EY308="row",INDEX($EU$5:$EU$1003,$EX308),"")</f>
        <v/>
      </c>
      <c r="FS308">
        <f>IF(AND($EY308="row",$EY307="row"),IF(OR(INDEX($DT$5:$DT$1003,$EX307)="",INDEX($DT$5:$DT$1003,$EX308)=""),"",IF(NOT(EXACT(INDEX($DT$5:$DT$1003,$EX307),INDEX($DT$5:$DT$1003,$EX308))),"S4",IF(NOT(EXACT(INDEX($DS$5:$DS$1003,$EX307),INDEX($DS$5:$DS$1003,$EX308))),"S3",IF(NOT(EXACT(INDEX($DR$5:$DR$1003,$EX307),INDEX($DR$5:$DR$1003,$EX308))),"S1 Count Change","S1")))),"")</f>
        <v/>
      </c>
      <c r="FT308">
        <f>IF($EY308="row",INDEX($ES$5:$ES$1003,$EX308),"")</f>
        <v/>
      </c>
      <c r="FU308">
        <f>IF($EY308="row",INDEX($EO$5:$EO$1003,$EX308),0)</f>
        <v/>
      </c>
      <c r="FV308">
        <f>IF($FS308="S1 Count Change",1,0)</f>
        <v/>
      </c>
    </row>
    <row r="309">
      <c r="DA309" t="n">
        <v>305</v>
      </c>
      <c r="DB309">
        <f>IF($B$37=0,"",IFERROR(TRIM(SUBSTITUTE(SUBSTITUTE(SUBSTITUTE(SUBSTITUTE(INDEX(PASTE_ALL,305,$B$37)," "," "),CHAR(9)," "),CHAR(10)," "),CHAR(13)," ")),""))</f>
        <v/>
      </c>
      <c r="DC309">
        <f>IF(AND(305&gt;HEADER_ROW,UPPER(DB309)="LEGEND"),1,0)</f>
        <v/>
      </c>
      <c r="DE309" t="n">
        <v>305</v>
      </c>
      <c r="DF309">
        <f>HEADER_ROW+$DE309</f>
        <v/>
      </c>
      <c r="DG309">
        <f>IF(AND($DF309&lt;=1000,$DF309&lt;$B$8),1,0)</f>
        <v/>
      </c>
      <c r="DH309">
        <f>IF($DG309=1,IFERROR(INDEX($DB$5:$DB$1004,$DF309),""),"")</f>
        <v/>
      </c>
      <c r="DI309">
        <f>IF(AND($DG309=1,$DH309&lt;&gt;""),IFERROR(SUBSTITUTE(SUBSTITUTE(TRIM(SUBSTITUTE(SUBSTITUTE(SUBSTITUTE(SUBSTITUTE(IFERROR(INDEX(PASTE_ALL,$DF309,1)&amp;"","")&amp;"␟"&amp;IFERROR(INDEX(PASTE_ALL,$DF309,2)&amp;"","")&amp;"␟"&amp;IFERROR(INDEX(PASTE_ALL,$DF309,3)&amp;"","")&amp;"␟"&amp;IFERROR(INDEX(PASTE_ALL,$DF309,4)&amp;"","")&amp;"␟"&amp;IFERROR(INDEX(PASTE_ALL,$DF309,5)&amp;"","")&amp;"␟"&amp;IFERROR(INDEX(PASTE_ALL,$DF309,6)&amp;"","")&amp;"␟"&amp;IFERROR(INDEX(PASTE_ALL,$DF309,7)&amp;"","")&amp;"␟"&amp;IFERROR(INDEX(PASTE_ALL,$DF309,8)&amp;"","")&amp;"␟"&amp;IFERROR(INDEX(PASTE_ALL,$DF309,9)&amp;"","")&amp;"␟"&amp;IFERROR(INDEX(PASTE_ALL,$DF309,10)&amp;"","")&amp;"␟"&amp;IFERROR(INDEX(PASTE_ALL,$DF309,11)&amp;"","")&amp;"␟"&amp;IFERROR(INDEX(PASTE_ALL,$DF309,12)&amp;"","")&amp;"␟"&amp;IFERROR(INDEX(PASTE_ALL,$DF309,13)&amp;"","")&amp;"␟"&amp;IFERROR(INDEX(PASTE_ALL,$DF309,14)&amp;"","")&amp;"␟"&amp;IFERROR(INDEX(PASTE_ALL,$DF309,15)&amp;"","")&amp;"␟"&amp;IFERROR(INDEX(PASTE_ALL,$DF309,16)&amp;"","")&amp;"␟"&amp;IFERROR(INDEX(PASTE_ALL,$DF309,17)&amp;"","")&amp;"␟"&amp;IFERROR(INDEX(PASTE_ALL,$DF309,18)&amp;"","")&amp;"␟"&amp;IFERROR(INDEX(PASTE_ALL,$DF309,19)&amp;"","")&amp;"␟"&amp;IFERROR(INDEX(PASTE_ALL,$DF309,20)&amp;"","")&amp;"␟"&amp;IFERROR(INDEX(PASTE_ALL,$DF309,21)&amp;"","")&amp;"␟"&amp;IFERROR(INDEX(PASTE_ALL,$DF309,22)&amp;"","")&amp;"␟"&amp;IFERROR(INDEX(PASTE_ALL,$DF309,23)&amp;"","")&amp;"␟"&amp;IFERROR(INDEX(PASTE_ALL,$DF309,24)&amp;"","")&amp;"␟"&amp;IFERROR(INDEX(PASTE_ALL,$DF309,25)&amp;"","")&amp;"␟"&amp;IFERROR(INDEX(PASTE_ALL,$DF309,26)&amp;"","")&amp;"␟"&amp;IFERROR(INDEX(PASTE_ALL,$DF309,27)&amp;"","")&amp;"␟"&amp;IFERROR(INDEX(PASTE_ALL,$DF309,28)&amp;"","")&amp;"␟"&amp;IFERROR(INDEX(PASTE_ALL,$DF309,29)&amp;"","")&amp;"␟"&amp;IFERROR(INDEX(PASTE_ALL,$DF309,30)&amp;"","")&amp;"␟"&amp;IFERROR(INDEX(PASTE_ALL,$DF309,31)&amp;"","")&amp;"␟"&amp;IFERROR(INDEX(PASTE_ALL,$DF309,32)&amp;"","")&amp;"␟"&amp;IFERROR(INDEX(PASTE_ALL,$DF309,33)&amp;"","")&amp;"␟"&amp;IFERROR(INDEX(PASTE_ALL,$DF309,34)&amp;"","")&amp;"␟"&amp;IFERROR(INDEX(PASTE_ALL,$DF309,35)&amp;"","")&amp;"␟"&amp;IFERROR(INDEX(PASTE_ALL,$DF309,36)&amp;"","")&amp;"␟"&amp;IFERROR(INDEX(PASTE_ALL,$DF309,37)&amp;"","")&amp;"␟"&amp;IFERROR(INDEX(PASTE_ALL,$DF309,38)&amp;"","")&amp;"␟"&amp;IFERROR(INDEX(PASTE_ALL,$DF309,39)&amp;"","")&amp;"␟"&amp;IFERROR(INDEX(PASTE_ALL,$DF309,40)&amp;"","")&amp;"␟"&amp;IFERROR(INDEX(PASTE_ALL,$DF309,41)&amp;"","")&amp;"␟"&amp;IFERROR(INDEX(PASTE_ALL,$DF309,42)&amp;"","")&amp;"␟"&amp;IFERROR(INDEX(PASTE_ALL,$DF309,43)&amp;"","")&amp;"␟"&amp;IFERROR(INDEX(PASTE_ALL,$DF309,44)&amp;"","")&amp;"␟"&amp;IFERROR(INDEX(PASTE_ALL,$DF309,45)&amp;"","")&amp;"␟"&amp;IFERROR(INDEX(PASTE_ALL,$DF309,46)&amp;"","")&amp;"␟"&amp;IFERROR(INDEX(PASTE_ALL,$DF309,47)&amp;"","")&amp;"␟"&amp;IFERROR(INDEX(PASTE_ALL,$DF309,48)&amp;"","")&amp;"␟"&amp;IFERROR(INDEX(PASTE_ALL,$DF309,49)&amp;"","")&amp;"␟"&amp;IFERROR(INDEX(PASTE_ALL,$DF309,50)&amp;"","")&amp;"␟"&amp;IFERROR(INDEX(PASTE_ALL,$DF309,51)&amp;"","")&amp;"␟"&amp;IFERROR(INDEX(PASTE_ALL,$DF309,52)&amp;"","")&amp;"␟"&amp;IFERROR(INDEX(PASTE_ALL,$DF309,53)&amp;"","")&amp;"␟"&amp;IFERROR(INDEX(PASTE_ALL,$DF309,54)&amp;"","")&amp;"␟"&amp;IFERROR(INDEX(PASTE_ALL,$DF309,55)&amp;"","")&amp;"␟"&amp;IFERROR(INDEX(PASTE_ALL,$DF309,56)&amp;"","")&amp;"␟"&amp;IFERROR(INDEX(PASTE_ALL,$DF309,57)&amp;"","")&amp;"␟"&amp;IFERROR(INDEX(PASTE_ALL,$DF309,58)&amp;"","")&amp;"␟"&amp;IFERROR(INDEX(PASTE_ALL,$DF309,59)&amp;"","")&amp;"␟"&amp;IFERROR(INDEX(PASTE_ALL,$DF309,60)&amp;"","")," "," "),CHAR(9)," "),CHAR(10)," "),CHAR(13)," "))," ␟","␟"),"␟ ","␟"),"#"&amp;$DE309),"")</f>
        <v/>
      </c>
      <c r="DJ309">
        <f>IF($DI309="",0,IF(SUMPRODUCT(--EXACT($DI$4:DI308,$DI309))&gt;0,1,0))</f>
        <v/>
      </c>
      <c r="DK309">
        <f>IF(AND($DI309&lt;&gt;"",$DJ309=0),1,0)</f>
        <v/>
      </c>
      <c r="DL309">
        <f>DL308+$DK309</f>
        <v/>
      </c>
      <c r="DM309">
        <f>IF(AND($DK309=1,$DL309&lt;=600),1,0)</f>
        <v/>
      </c>
      <c r="DN309">
        <f>IF($DM309=0,"",IF($L$6=0,"",IFERROR(IF(ISNUMBER(INDEX(PASTE_ALL,$DF309,$L$6)),INDEX(PASTE_ALL,$DF309,$L$6),TRIM(SUBSTITUTE(SUBSTITUTE(SUBSTITUTE(SUBSTITUTE(INDEX(PASTE_ALL,$DF309,$L$6)," "," "),CHAR(9)," "),CHAR(10)," "),CHAR(13)," "))),"")))</f>
        <v/>
      </c>
      <c r="DO309">
        <f>IF($DM309=0,"",IF($L$7=0,"",IFERROR(IF(ISNUMBER(INDEX(PASTE_ALL,$DF309,$L$7)),INDEX(PASTE_ALL,$DF309,$L$7),TRIM(SUBSTITUTE(SUBSTITUTE(SUBSTITUTE(SUBSTITUTE(INDEX(PASTE_ALL,$DF309,$L$7)," "," "),CHAR(9)," "),CHAR(10)," "),CHAR(13)," "))),"")))</f>
        <v/>
      </c>
      <c r="DP309">
        <f>IF($DM309=0,"",IF($L$8=0,"",IFERROR(IF(ISNUMBER(INDEX(PASTE_ALL,$DF309,$L$8)),INDEX(PASTE_ALL,$DF309,$L$8),TRIM(SUBSTITUTE(SUBSTITUTE(SUBSTITUTE(SUBSTITUTE(INDEX(PASTE_ALL,$DF309,$L$8)," "," "),CHAR(9)," "),CHAR(10)," "),CHAR(13)," "))),"")))</f>
        <v/>
      </c>
      <c r="DQ309">
        <f>IF($DM309=0,"",IF($L$9=0,"",IFERROR(IF(ISNUMBER(INDEX(PASTE_ALL,$DF309,$L$9)),INDEX(PASTE_ALL,$DF309,$L$9),TRIM(SUBSTITUTE(SUBSTITUTE(SUBSTITUTE(SUBSTITUTE(INDEX(PASTE_ALL,$DF309,$L$9)," "," "),CHAR(9)," "),CHAR(10)," "),CHAR(13)," "))),"")))</f>
        <v/>
      </c>
      <c r="DR309">
        <f>IF($DM309=0,"",IF($L$10=0,"",IFERROR(IF(ISNUMBER(INDEX(PASTE_ALL,$DF309,$L$10)),INDEX(PASTE_ALL,$DF309,$L$10),TRIM(SUBSTITUTE(SUBSTITUTE(SUBSTITUTE(SUBSTITUTE(INDEX(PASTE_ALL,$DF309,$L$10)," "," "),CHAR(9)," "),CHAR(10)," "),CHAR(13)," "))),"")))</f>
        <v/>
      </c>
      <c r="DS309">
        <f>IF($DM309=0,"",IF($L$11=0,"",IFERROR(IF(ISNUMBER(INDEX(PASTE_ALL,$DF309,$L$11)),INDEX(PASTE_ALL,$DF309,$L$11),TRIM(SUBSTITUTE(SUBSTITUTE(SUBSTITUTE(SUBSTITUTE(INDEX(PASTE_ALL,$DF309,$L$11)," "," "),CHAR(9)," "),CHAR(10)," "),CHAR(13)," "))),"")))</f>
        <v/>
      </c>
      <c r="DT309">
        <f>IF($DM309=0,"",IF($L$12=0,"",IFERROR(IF(ISNUMBER(INDEX(PASTE_ALL,$DF309,$L$12)),INDEX(PASTE_ALL,$DF309,$L$12),TRIM(SUBSTITUTE(SUBSTITUTE(SUBSTITUTE(SUBSTITUTE(INDEX(PASTE_ALL,$DF309,$L$12)," "," "),CHAR(9)," "),CHAR(10)," "),CHAR(13)," "))),"")))</f>
        <v/>
      </c>
      <c r="DU309">
        <f>IF($DM309=0,"",IF($L$13=0,"",IFERROR(IF(ISNUMBER(INDEX(PASTE_ALL,$DF309,$L$13)),INDEX(PASTE_ALL,$DF309,$L$13),TRIM(SUBSTITUTE(SUBSTITUTE(SUBSTITUTE(SUBSTITUTE(INDEX(PASTE_ALL,$DF309,$L$13)," "," "),CHAR(9)," "),CHAR(10)," "),CHAR(13)," "))),"")))</f>
        <v/>
      </c>
      <c r="DV309">
        <f>IF($DM309=0,"",IF($L$14=0,"",IFERROR(IF(ISNUMBER(INDEX(PASTE_ALL,$DF309,$L$14)),INDEX(PASTE_ALL,$DF309,$L$14),TRIM(SUBSTITUTE(SUBSTITUTE(SUBSTITUTE(SUBSTITUTE(INDEX(PASTE_ALL,$DF309,$L$14)," "," "),CHAR(9)," "),CHAR(10)," "),CHAR(13)," "))),"")))</f>
        <v/>
      </c>
      <c r="DW309">
        <f>IF($DM309=0,"",IF($L$15=0,"",IFERROR(IF(ISNUMBER(INDEX(PASTE_ALL,$DF309,$L$15)),INDEX(PASTE_ALL,$DF309,$L$15),IF(SUMPRODUCT(--ISNUMBER(FIND({"A","B","C","D","E","F","G","H","I","J","K","L","M","N","O","P","Q","R","S","T","U","V","W","X","Y","Z","0","1","2","3","4","5","6","7","8","9"},UPPER(TRIM(SUBSTITUTE(SUBSTITUTE(SUBSTITUTE(SUBSTITUTE(INDEX(PASTE_ALL,$DF309,$L$15)," "," "),CHAR(9)," "),CHAR(10)," "),CHAR(13)," "))))))&gt;0,TRIM(SUBSTITUTE(SUBSTITUTE(SUBSTITUTE(SUBSTITUTE(INDEX(PASTE_ALL,$DF309,$L$15)," "," "),CHAR(9)," "),CHAR(10)," "),CHAR(13)," ")),"")),"")))</f>
        <v/>
      </c>
      <c r="DX309">
        <f>IF($DM309=0,"",IF($L$16=0,"",IFERROR(IF(ISNUMBER(INDEX(PASTE_ALL,$DF309,$L$16)),INDEX(PASTE_ALL,$DF309,$L$16),SUBSTITUTE(SUBSTITUTE(TRIM(SUBSTITUTE(SUBSTITUTE(SUBSTITUTE(SUBSTITUTE(INDEX(PASTE_ALL,$DF309,$L$16)," "," "),CHAR(9)," "),CHAR(10)," "),CHAR(13)," ")),",",""),"%","")),"")))</f>
        <v/>
      </c>
      <c r="DY309">
        <f>IF($DM309=0,"",IFERROR(IF(ISNUMBER($DX309),$DX309,IF($DX309="","",IF(TRIM($DX309)="",0,IF(AND(AND(SUBSTITUTE(SUBSTITUTE(SUBSTITUTE(SUBSTITUTE(SUBSTITUTE(SUBSTITUTE(SUBSTITUTE(SUBSTITUTE(SUBSTITUTE(SUBSTITUTE(SUBSTITUTE(SUBSTITUTE(SUBSTITUTE(SUBSTITUTE(UPPER(TRIM($DX309)),"0",""),"1",""),"2",""),"3",""),"4",""),"5",""),"6",""),"7",""),"8",""),"9",""),".",""),"+",""),"-",""),"E","")="",LEN(SUBSTITUTE(SUBSTITUTE(MID(UPPER(TRIM($DX309)),1+OR(LEFT(UPPER(TRIM($DX309)),1)="+",LEFT(UPPER(TRIM($DX309)),1)="-"),999),"E+","E"),"E-","E"))=LEN(SUBSTITUTE(SUBSTITUTE(SUBSTITUTE(SUBSTITUTE(MID(UPPER(TRIM($DX309)),1+OR(LEFT(UPPER(TRIM($DX309)),1)="+",LEFT(UPPER(TRIM($DX309)),1)="-"),999),"E+","E"),"E-","E"),"+",""),"-","")),LEN(UPPER(TRIM($DX309)))-LEN(SUBSTITUTE(UPPER(TRIM($DX309)),"E",""))&lt;2,LEN(UPPER(TRIM($DX309)))-LEN(SUBSTITUTE(UPPER(TRIM($DX309)),".",""))&lt;2,IFERROR(FIND(".",UPPER(TRIM($DX309))),0)&lt;IFERROR(FIND("E",UPPER(TRIM($DX309))),999)),ISNUMBER(VALUE(TRIM($DX309)))),VALUE(TRIM($DX309)),"")))),""))</f>
        <v/>
      </c>
      <c r="DZ309">
        <f>IF($DM309=0,"",IF($L$17=0,"",IFERROR(IF(ISNUMBER(INDEX(PASTE_ALL,$DF309,$L$17)),INDEX(PASTE_ALL,$DF309,$L$17),SUBSTITUTE(SUBSTITUTE(TRIM(SUBSTITUTE(SUBSTITUTE(SUBSTITUTE(SUBSTITUTE(INDEX(PASTE_ALL,$DF309,$L$17)," "," "),CHAR(9)," "),CHAR(10)," "),CHAR(13)," ")),",",""),"%","")),"")))</f>
        <v/>
      </c>
      <c r="EA309">
        <f>IF($DM309=0,"",IFERROR(IF(ISNUMBER($DZ309),$DZ309,IF($DZ309="","",IF(TRIM($DZ309)="",0,IF(AND(AND(SUBSTITUTE(SUBSTITUTE(SUBSTITUTE(SUBSTITUTE(SUBSTITUTE(SUBSTITUTE(SUBSTITUTE(SUBSTITUTE(SUBSTITUTE(SUBSTITUTE(SUBSTITUTE(SUBSTITUTE(SUBSTITUTE(SUBSTITUTE(UPPER(TRIM($DZ309)),"0",""),"1",""),"2",""),"3",""),"4",""),"5",""),"6",""),"7",""),"8",""),"9",""),".",""),"+",""),"-",""),"E","")="",LEN(SUBSTITUTE(SUBSTITUTE(MID(UPPER(TRIM($DZ309)),1+OR(LEFT(UPPER(TRIM($DZ309)),1)="+",LEFT(UPPER(TRIM($DZ309)),1)="-"),999),"E+","E"),"E-","E"))=LEN(SUBSTITUTE(SUBSTITUTE(SUBSTITUTE(SUBSTITUTE(MID(UPPER(TRIM($DZ309)),1+OR(LEFT(UPPER(TRIM($DZ309)),1)="+",LEFT(UPPER(TRIM($DZ309)),1)="-"),999),"E+","E"),"E-","E"),"+",""),"-","")),LEN(UPPER(TRIM($DZ309)))-LEN(SUBSTITUTE(UPPER(TRIM($DZ309)),"E",""))&lt;2,LEN(UPPER(TRIM($DZ309)))-LEN(SUBSTITUTE(UPPER(TRIM($DZ309)),".",""))&lt;2,IFERROR(FIND(".",UPPER(TRIM($DZ309))),0)&lt;IFERROR(FIND("E",UPPER(TRIM($DZ309))),999)),ISNUMBER(VALUE(TRIM($DZ309)))),VALUE(TRIM($DZ309)),"")))),""))</f>
        <v/>
      </c>
      <c r="EB309">
        <f>IF($DM309=0,"",IF($L$18=0,"",IFERROR(IF(UPPER(TRIM(SUBSTITUTE(SUBSTITUTE(SUBSTITUTE(SUBSTITUTE(INDEX(PASTE_ALL,$DF309,$L$18)," "," "),CHAR(9)," "),CHAR(10)," "),CHAR(13)," ")))="READY","Ready",IF(UPPER(TRIM(SUBSTITUTE(SUBSTITUTE(SUBSTITUTE(SUBSTITUTE(INDEX(PASTE_ALL,$DF309,$L$18)," "," "),CHAR(9)," "),CHAR(10)," "),CHAR(13)," ")))="PM","PM",IF(OR(UPPER(TRIM(SUBSTITUTE(SUBSTITUTE(SUBSTITUTE(SUBSTITUTE(INDEX(PASTE_ALL,$DF309,$L$18)," "," "),CHAR(9)," "),CHAR(10)," "),CHAR(13)," ")))="OT",UPPER(TRIM(SUBSTITUTE(SUBSTITUTE(SUBSTITUTE(SUBSTITUTE(INDEX(PASTE_ALL,$DF309,$L$18)," "," "),CHAR(9)," "),CHAR(10)," "),CHAR(13)," ")))="OVERTIME",UPPER(TRIM(SUBSTITUTE(SUBSTITUTE(SUBSTITUTE(SUBSTITUTE(INDEX(PASTE_ALL,$DF309,$L$18)," "," "),CHAR(9)," "),CHAR(10)," "),CHAR(13)," ")))="TRIAL"),"OT",TRIM(SUBSTITUTE(SUBSTITUTE(SUBSTITUTE(SUBSTITUTE(INDEX(PASTE_ALL,$DF309,$L$18)," "," "),CHAR(9)," "),CHAR(10)," "),CHAR(13)," "))))),"")))</f>
        <v/>
      </c>
      <c r="EC309">
        <f>IF($DM309=0,"",IF($L$19=0,"",IFERROR(IF(ISNUMBER(INDEX(PASTE_ALL,$DF309,$L$19)),INDEX(PASTE_ALL,$DF309,$L$19),TRIM(SUBSTITUTE(SUBSTITUTE(SUBSTITUTE(SUBSTITUTE(INDEX(PASTE_ALL,$DF309,$L$19)," "," "),CHAR(9)," "),CHAR(10)," "),CHAR(13)," "))),"")))</f>
        <v/>
      </c>
      <c r="ED309">
        <f>IF($DM309=0,"",MATCH(1,INDEX(EXACT($DH$5:DH309,$DH309)*$DM$5:DM309,0),0))</f>
        <v/>
      </c>
      <c r="EE309">
        <f>IF($DM309=0,0,IF($ED309=$DE309,1,0))</f>
        <v/>
      </c>
      <c r="EF309">
        <f>EF308+$EE309</f>
        <v/>
      </c>
      <c r="EG309">
        <f>IF($DM309=0,"",INDEX($EF$5:$EF$1003,$ED309))</f>
        <v/>
      </c>
      <c r="EH309">
        <f>IF($DM309=0,"",IF($DO309&lt;&gt;"","",IFERROR(LOOKUP(2,1/(($EG$4:EG308=$EG309)*($DO$4:DO308&lt;&gt;"")),$DO$4:DO308),"")))</f>
        <v/>
      </c>
      <c r="EI309">
        <f>IF($DM309=0,"",IF($DO309&lt;&gt;"",$DO309,$EH309))</f>
        <v/>
      </c>
      <c r="EJ309">
        <f>IF($DM309=0,"",IF($EI309="",0,IF(OR(ISNUMBER($EI309),AND(AND(SUBSTITUTE(SUBSTITUTE(SUBSTITUTE(SUBSTITUTE(SUBSTITUTE(SUBSTITUTE(SUBSTITUTE(SUBSTITUTE(SUBSTITUTE(SUBSTITUTE(SUBSTITUTE(SUBSTITUTE(SUBSTITUTE(SUBSTITUTE(UPPER($EI309),"0",""),"1",""),"2",""),"3",""),"4",""),"5",""),"6",""),"7",""),"8",""),"9",""),".",""),"+",""),"-",""),"E","")="",LEN(SUBSTITUTE(SUBSTITUTE(MID(UPPER($EI309),1+OR(LEFT(UPPER($EI309),1)="+",LEFT(UPPER($EI309),1)="-"),999),"E+","E"),"E-","E"))=LEN(SUBSTITUTE(SUBSTITUTE(SUBSTITUTE(SUBSTITUTE(MID(UPPER($EI309),1+OR(LEFT(UPPER($EI309),1)="+",LEFT(UPPER($EI309),1)="-"),999),"E+","E"),"E-","E"),"+",""),"-","")),LEN(UPPER($EI309))-LEN(SUBSTITUTE(UPPER($EI309),"E",""))&lt;2,LEN(UPPER($EI309))-LEN(SUBSTITUTE(UPPER($EI309),".",""))&lt;2,IFERROR(FIND(".",UPPER($EI309)),0)&lt;IFERROR(FIND("E",UPPER($EI309)),999)),ISNUMBER(VALUE($EI309)))),1,2)))</f>
        <v/>
      </c>
      <c r="EK309">
        <f>IF($DM309=0,"",IF($EJ309=1,IF(ISNUMBER($EI309),$EI309,VALUE($EI309)),IF($EJ309=2,$DE309,0)))</f>
        <v/>
      </c>
      <c r="EL309">
        <f>IF($DM309=0,"",COUNTIF($EG$5:$EG$1003,"&lt;"&amp;$EG309)+SUMPRODUCT(($EG$5:$EG$1003=$EG309)*(($EJ$5:$EJ$1003&lt;$EJ309)+($EJ$5:$EJ$1003=$EJ309)*(($EK$5:$EK$1003&lt;$EK309)+($EK$5:$EK$1003=$EK309)*($DE$5:$DE$1003&lt;$DE309))))+1)</f>
        <v/>
      </c>
      <c r="EM309">
        <f>IF($DM309=0,"",$EL309+$EG309-1)</f>
        <v/>
      </c>
      <c r="EN309">
        <f>IF($DM309=0,0,IFERROR(MATCH(1,INDEX(--(TRIM(SUBSTITUTE(SUBSTITUTE(SUBSTITUTE(SUBSTITUTE(LINES_NAME&amp;""," "," "),CHAR(9)," "),CHAR(10)," "),CHAR(13)," "))=$DH309),0),0),0))</f>
        <v/>
      </c>
      <c r="EO309">
        <f>IF($EN309=0,0,IF(OR(UPPER(TRIM(INDEX(LINES_SCHEDULED,$EN309)&amp;""))="YES",UPPER(TRIM(INDEX(LINES_SCHEDULED,$EN309)&amp;""))="Y",UPPER(TRIM(INDEX(LINES_SCHEDULED,$EN309)&amp;""))="X"),1,0))</f>
        <v/>
      </c>
      <c r="EP309">
        <f>IF($DM309=0,"",IF(COUNTIFS($EG$5:$EG$1003,$EG309,$EB$5:$EB$1003,"Ready")&gt;0,"READY",IF(COUNTIFS($EG$5:$EG$1003,$EG309,$EB$5:$EB$1003,"PM")&gt;0,"PM",IF(COUNTIFS($EG$5:$EG$1003,$EG309,$EB$5:$EB$1003,"OT")&gt;0,"OT",""))))</f>
        <v/>
      </c>
      <c r="EQ309">
        <f>IF($EN309=0,"",UPPER(TRIM(INDEX(LINES_STATUS,$EN309)&amp;"")))</f>
        <v/>
      </c>
      <c r="ER309">
        <f>IF($DM309=0,"",IF(OR($EQ309="READY",$EQ309="PM",$EQ309="OT"),$EQ309,$EP309))</f>
        <v/>
      </c>
      <c r="ES309">
        <f>IF($DM309=0,"",IF(AND($DV309&lt;&gt;"",UPPER($DV309)&lt;&gt;"N"),"allergen",IF(ISNUMBER(SEARCH("oil",$DQ309)),"oil",IF(OR(EXACT($DS309,"A662"),EXACT($DS309,"A624")),"bulk",""))))</f>
        <v/>
      </c>
      <c r="ET309">
        <f>IF($DM309=0,"",IF(OR($EA309="",$EA309=0),"",$EA309/100))</f>
        <v/>
      </c>
      <c r="EU309">
        <f>IF(OR($ET309="",$DY309=""),"",INT($DY309*(1-$ET309)+0.5))</f>
        <v/>
      </c>
      <c r="EW309" t="n">
        <v>305</v>
      </c>
      <c r="EX309">
        <f>IFERROR(MATCH($EW309,$EM$5:$EM$1003,0),0)</f>
        <v/>
      </c>
      <c r="EY309">
        <f>IF($EW309&gt;$B$12,"",IF($EX309&gt;0,"row","spacer"))</f>
        <v/>
      </c>
      <c r="EZ309">
        <f>IF(AND($EY309="row",$EY308&lt;&gt;"row"),1,0)</f>
        <v/>
      </c>
      <c r="FA309">
        <f>IF(AND($EY309="row",$EY310&lt;&gt;"row"),1,0)</f>
        <v/>
      </c>
      <c r="FB309">
        <f>IF($EZ309=1,IFERROR(IF(ISNUMBER(INDEX(PASTE_ALL,INDEX($DF$5:$DF$1003,$EX309),$B$37)),INDEX(PASTE_ALL,INDEX($DF$5:$DF$1003,$EX309),$B$37),INDEX($DH$5:$DH$1003,$EX309)),INDEX($DH$5:$DH$1003,$EX309)),"")</f>
        <v/>
      </c>
      <c r="FC309">
        <f>IF($EY309="row",INDEX($ER$5:$ER$1003,$EX309),"")</f>
        <v/>
      </c>
      <c r="FD309">
        <f>IF($EY309="row",INDEX($DN$5:$DN$1003,$EX309),"")</f>
        <v/>
      </c>
      <c r="FE309">
        <f>IF($EY309="row",INDEX($DO$5:$DO$1003,$EX309),"")</f>
        <v/>
      </c>
      <c r="FF309">
        <f>IF($EY309="row",INDEX($DP$5:$DP$1003,$EX309),"")</f>
        <v/>
      </c>
      <c r="FG309">
        <f>IF($EY309="row",INDEX($DQ$5:$DQ$1003,$EX309),"")</f>
        <v/>
      </c>
      <c r="FH309">
        <f>IF($EY309="row",INDEX($DR$5:$DR$1003,$EX309),"")</f>
        <v/>
      </c>
      <c r="FI309">
        <f>IF($EY309="row",INDEX($DS$5:$DS$1003,$EX309),"")</f>
        <v/>
      </c>
      <c r="FJ309">
        <f>IF($EY309="row",INDEX($DT$5:$DT$1003,$EX309),"")</f>
        <v/>
      </c>
      <c r="FK309">
        <f>IF($EY309="row",INDEX($DU$5:$DU$1003,$EX309),"")</f>
        <v/>
      </c>
      <c r="FL309">
        <f>IF($EY309="row",INDEX($DV$5:$DV$1003,$EX309),"")</f>
        <v/>
      </c>
      <c r="FM309">
        <f>IF($EY309="row",INDEX($DW$5:$DW$1003,$EX309),"")</f>
        <v/>
      </c>
      <c r="FN309">
        <f>IF($EY309="row",INDEX($DY$5:$DY$1003,$EX309),"")</f>
        <v/>
      </c>
      <c r="FO309">
        <f>IF($EY309="row",INDEX($EA$5:$EA$1003,$EX309),"")</f>
        <v/>
      </c>
      <c r="FP309">
        <f>IF($EY309="row",INDEX($EC$5:$EC$1003,$EX309),"")</f>
        <v/>
      </c>
      <c r="FQ309">
        <f>IF($EY309="row",INDEX($ET$5:$ET$1003,$EX309),"")</f>
        <v/>
      </c>
      <c r="FR309">
        <f>IF($EY309="row",INDEX($EU$5:$EU$1003,$EX309),"")</f>
        <v/>
      </c>
      <c r="FS309">
        <f>IF(AND($EY309="row",$EY308="row"),IF(OR(INDEX($DT$5:$DT$1003,$EX308)="",INDEX($DT$5:$DT$1003,$EX309)=""),"",IF(NOT(EXACT(INDEX($DT$5:$DT$1003,$EX308),INDEX($DT$5:$DT$1003,$EX309))),"S4",IF(NOT(EXACT(INDEX($DS$5:$DS$1003,$EX308),INDEX($DS$5:$DS$1003,$EX309))),"S3",IF(NOT(EXACT(INDEX($DR$5:$DR$1003,$EX308),INDEX($DR$5:$DR$1003,$EX309))),"S1 Count Change","S1")))),"")</f>
        <v/>
      </c>
      <c r="FT309">
        <f>IF($EY309="row",INDEX($ES$5:$ES$1003,$EX309),"")</f>
        <v/>
      </c>
      <c r="FU309">
        <f>IF($EY309="row",INDEX($EO$5:$EO$1003,$EX309),0)</f>
        <v/>
      </c>
      <c r="FV309">
        <f>IF($FS309="S1 Count Change",1,0)</f>
        <v/>
      </c>
    </row>
    <row r="310">
      <c r="DA310" t="n">
        <v>306</v>
      </c>
      <c r="DB310">
        <f>IF($B$37=0,"",IFERROR(TRIM(SUBSTITUTE(SUBSTITUTE(SUBSTITUTE(SUBSTITUTE(INDEX(PASTE_ALL,306,$B$37)," "," "),CHAR(9)," "),CHAR(10)," "),CHAR(13)," ")),""))</f>
        <v/>
      </c>
      <c r="DC310">
        <f>IF(AND(306&gt;HEADER_ROW,UPPER(DB310)="LEGEND"),1,0)</f>
        <v/>
      </c>
      <c r="DE310" t="n">
        <v>306</v>
      </c>
      <c r="DF310">
        <f>HEADER_ROW+$DE310</f>
        <v/>
      </c>
      <c r="DG310">
        <f>IF(AND($DF310&lt;=1000,$DF310&lt;$B$8),1,0)</f>
        <v/>
      </c>
      <c r="DH310">
        <f>IF($DG310=1,IFERROR(INDEX($DB$5:$DB$1004,$DF310),""),"")</f>
        <v/>
      </c>
      <c r="DI310">
        <f>IF(AND($DG310=1,$DH310&lt;&gt;""),IFERROR(SUBSTITUTE(SUBSTITUTE(TRIM(SUBSTITUTE(SUBSTITUTE(SUBSTITUTE(SUBSTITUTE(IFERROR(INDEX(PASTE_ALL,$DF310,1)&amp;"","")&amp;"␟"&amp;IFERROR(INDEX(PASTE_ALL,$DF310,2)&amp;"","")&amp;"␟"&amp;IFERROR(INDEX(PASTE_ALL,$DF310,3)&amp;"","")&amp;"␟"&amp;IFERROR(INDEX(PASTE_ALL,$DF310,4)&amp;"","")&amp;"␟"&amp;IFERROR(INDEX(PASTE_ALL,$DF310,5)&amp;"","")&amp;"␟"&amp;IFERROR(INDEX(PASTE_ALL,$DF310,6)&amp;"","")&amp;"␟"&amp;IFERROR(INDEX(PASTE_ALL,$DF310,7)&amp;"","")&amp;"␟"&amp;IFERROR(INDEX(PASTE_ALL,$DF310,8)&amp;"","")&amp;"␟"&amp;IFERROR(INDEX(PASTE_ALL,$DF310,9)&amp;"","")&amp;"␟"&amp;IFERROR(INDEX(PASTE_ALL,$DF310,10)&amp;"","")&amp;"␟"&amp;IFERROR(INDEX(PASTE_ALL,$DF310,11)&amp;"","")&amp;"␟"&amp;IFERROR(INDEX(PASTE_ALL,$DF310,12)&amp;"","")&amp;"␟"&amp;IFERROR(INDEX(PASTE_ALL,$DF310,13)&amp;"","")&amp;"␟"&amp;IFERROR(INDEX(PASTE_ALL,$DF310,14)&amp;"","")&amp;"␟"&amp;IFERROR(INDEX(PASTE_ALL,$DF310,15)&amp;"","")&amp;"␟"&amp;IFERROR(INDEX(PASTE_ALL,$DF310,16)&amp;"","")&amp;"␟"&amp;IFERROR(INDEX(PASTE_ALL,$DF310,17)&amp;"","")&amp;"␟"&amp;IFERROR(INDEX(PASTE_ALL,$DF310,18)&amp;"","")&amp;"␟"&amp;IFERROR(INDEX(PASTE_ALL,$DF310,19)&amp;"","")&amp;"␟"&amp;IFERROR(INDEX(PASTE_ALL,$DF310,20)&amp;"","")&amp;"␟"&amp;IFERROR(INDEX(PASTE_ALL,$DF310,21)&amp;"","")&amp;"␟"&amp;IFERROR(INDEX(PASTE_ALL,$DF310,22)&amp;"","")&amp;"␟"&amp;IFERROR(INDEX(PASTE_ALL,$DF310,23)&amp;"","")&amp;"␟"&amp;IFERROR(INDEX(PASTE_ALL,$DF310,24)&amp;"","")&amp;"␟"&amp;IFERROR(INDEX(PASTE_ALL,$DF310,25)&amp;"","")&amp;"␟"&amp;IFERROR(INDEX(PASTE_ALL,$DF310,26)&amp;"","")&amp;"␟"&amp;IFERROR(INDEX(PASTE_ALL,$DF310,27)&amp;"","")&amp;"␟"&amp;IFERROR(INDEX(PASTE_ALL,$DF310,28)&amp;"","")&amp;"␟"&amp;IFERROR(INDEX(PASTE_ALL,$DF310,29)&amp;"","")&amp;"␟"&amp;IFERROR(INDEX(PASTE_ALL,$DF310,30)&amp;"","")&amp;"␟"&amp;IFERROR(INDEX(PASTE_ALL,$DF310,31)&amp;"","")&amp;"␟"&amp;IFERROR(INDEX(PASTE_ALL,$DF310,32)&amp;"","")&amp;"␟"&amp;IFERROR(INDEX(PASTE_ALL,$DF310,33)&amp;"","")&amp;"␟"&amp;IFERROR(INDEX(PASTE_ALL,$DF310,34)&amp;"","")&amp;"␟"&amp;IFERROR(INDEX(PASTE_ALL,$DF310,35)&amp;"","")&amp;"␟"&amp;IFERROR(INDEX(PASTE_ALL,$DF310,36)&amp;"","")&amp;"␟"&amp;IFERROR(INDEX(PASTE_ALL,$DF310,37)&amp;"","")&amp;"␟"&amp;IFERROR(INDEX(PASTE_ALL,$DF310,38)&amp;"","")&amp;"␟"&amp;IFERROR(INDEX(PASTE_ALL,$DF310,39)&amp;"","")&amp;"␟"&amp;IFERROR(INDEX(PASTE_ALL,$DF310,40)&amp;"","")&amp;"␟"&amp;IFERROR(INDEX(PASTE_ALL,$DF310,41)&amp;"","")&amp;"␟"&amp;IFERROR(INDEX(PASTE_ALL,$DF310,42)&amp;"","")&amp;"␟"&amp;IFERROR(INDEX(PASTE_ALL,$DF310,43)&amp;"","")&amp;"␟"&amp;IFERROR(INDEX(PASTE_ALL,$DF310,44)&amp;"","")&amp;"␟"&amp;IFERROR(INDEX(PASTE_ALL,$DF310,45)&amp;"","")&amp;"␟"&amp;IFERROR(INDEX(PASTE_ALL,$DF310,46)&amp;"","")&amp;"␟"&amp;IFERROR(INDEX(PASTE_ALL,$DF310,47)&amp;"","")&amp;"␟"&amp;IFERROR(INDEX(PASTE_ALL,$DF310,48)&amp;"","")&amp;"␟"&amp;IFERROR(INDEX(PASTE_ALL,$DF310,49)&amp;"","")&amp;"␟"&amp;IFERROR(INDEX(PASTE_ALL,$DF310,50)&amp;"","")&amp;"␟"&amp;IFERROR(INDEX(PASTE_ALL,$DF310,51)&amp;"","")&amp;"␟"&amp;IFERROR(INDEX(PASTE_ALL,$DF310,52)&amp;"","")&amp;"␟"&amp;IFERROR(INDEX(PASTE_ALL,$DF310,53)&amp;"","")&amp;"␟"&amp;IFERROR(INDEX(PASTE_ALL,$DF310,54)&amp;"","")&amp;"␟"&amp;IFERROR(INDEX(PASTE_ALL,$DF310,55)&amp;"","")&amp;"␟"&amp;IFERROR(INDEX(PASTE_ALL,$DF310,56)&amp;"","")&amp;"␟"&amp;IFERROR(INDEX(PASTE_ALL,$DF310,57)&amp;"","")&amp;"␟"&amp;IFERROR(INDEX(PASTE_ALL,$DF310,58)&amp;"","")&amp;"␟"&amp;IFERROR(INDEX(PASTE_ALL,$DF310,59)&amp;"","")&amp;"␟"&amp;IFERROR(INDEX(PASTE_ALL,$DF310,60)&amp;"","")," "," "),CHAR(9)," "),CHAR(10)," "),CHAR(13)," "))," ␟","␟"),"␟ ","␟"),"#"&amp;$DE310),"")</f>
        <v/>
      </c>
      <c r="DJ310">
        <f>IF($DI310="",0,IF(SUMPRODUCT(--EXACT($DI$4:DI309,$DI310))&gt;0,1,0))</f>
        <v/>
      </c>
      <c r="DK310">
        <f>IF(AND($DI310&lt;&gt;"",$DJ310=0),1,0)</f>
        <v/>
      </c>
      <c r="DL310">
        <f>DL309+$DK310</f>
        <v/>
      </c>
      <c r="DM310">
        <f>IF(AND($DK310=1,$DL310&lt;=600),1,0)</f>
        <v/>
      </c>
      <c r="DN310">
        <f>IF($DM310=0,"",IF($L$6=0,"",IFERROR(IF(ISNUMBER(INDEX(PASTE_ALL,$DF310,$L$6)),INDEX(PASTE_ALL,$DF310,$L$6),TRIM(SUBSTITUTE(SUBSTITUTE(SUBSTITUTE(SUBSTITUTE(INDEX(PASTE_ALL,$DF310,$L$6)," "," "),CHAR(9)," "),CHAR(10)," "),CHAR(13)," "))),"")))</f>
        <v/>
      </c>
      <c r="DO310">
        <f>IF($DM310=0,"",IF($L$7=0,"",IFERROR(IF(ISNUMBER(INDEX(PASTE_ALL,$DF310,$L$7)),INDEX(PASTE_ALL,$DF310,$L$7),TRIM(SUBSTITUTE(SUBSTITUTE(SUBSTITUTE(SUBSTITUTE(INDEX(PASTE_ALL,$DF310,$L$7)," "," "),CHAR(9)," "),CHAR(10)," "),CHAR(13)," "))),"")))</f>
        <v/>
      </c>
      <c r="DP310">
        <f>IF($DM310=0,"",IF($L$8=0,"",IFERROR(IF(ISNUMBER(INDEX(PASTE_ALL,$DF310,$L$8)),INDEX(PASTE_ALL,$DF310,$L$8),TRIM(SUBSTITUTE(SUBSTITUTE(SUBSTITUTE(SUBSTITUTE(INDEX(PASTE_ALL,$DF310,$L$8)," "," "),CHAR(9)," "),CHAR(10)," "),CHAR(13)," "))),"")))</f>
        <v/>
      </c>
      <c r="DQ310">
        <f>IF($DM310=0,"",IF($L$9=0,"",IFERROR(IF(ISNUMBER(INDEX(PASTE_ALL,$DF310,$L$9)),INDEX(PASTE_ALL,$DF310,$L$9),TRIM(SUBSTITUTE(SUBSTITUTE(SUBSTITUTE(SUBSTITUTE(INDEX(PASTE_ALL,$DF310,$L$9)," "," "),CHAR(9)," "),CHAR(10)," "),CHAR(13)," "))),"")))</f>
        <v/>
      </c>
      <c r="DR310">
        <f>IF($DM310=0,"",IF($L$10=0,"",IFERROR(IF(ISNUMBER(INDEX(PASTE_ALL,$DF310,$L$10)),INDEX(PASTE_ALL,$DF310,$L$10),TRIM(SUBSTITUTE(SUBSTITUTE(SUBSTITUTE(SUBSTITUTE(INDEX(PASTE_ALL,$DF310,$L$10)," "," "),CHAR(9)," "),CHAR(10)," "),CHAR(13)," "))),"")))</f>
        <v/>
      </c>
      <c r="DS310">
        <f>IF($DM310=0,"",IF($L$11=0,"",IFERROR(IF(ISNUMBER(INDEX(PASTE_ALL,$DF310,$L$11)),INDEX(PASTE_ALL,$DF310,$L$11),TRIM(SUBSTITUTE(SUBSTITUTE(SUBSTITUTE(SUBSTITUTE(INDEX(PASTE_ALL,$DF310,$L$11)," "," "),CHAR(9)," "),CHAR(10)," "),CHAR(13)," "))),"")))</f>
        <v/>
      </c>
      <c r="DT310">
        <f>IF($DM310=0,"",IF($L$12=0,"",IFERROR(IF(ISNUMBER(INDEX(PASTE_ALL,$DF310,$L$12)),INDEX(PASTE_ALL,$DF310,$L$12),TRIM(SUBSTITUTE(SUBSTITUTE(SUBSTITUTE(SUBSTITUTE(INDEX(PASTE_ALL,$DF310,$L$12)," "," "),CHAR(9)," "),CHAR(10)," "),CHAR(13)," "))),"")))</f>
        <v/>
      </c>
      <c r="DU310">
        <f>IF($DM310=0,"",IF($L$13=0,"",IFERROR(IF(ISNUMBER(INDEX(PASTE_ALL,$DF310,$L$13)),INDEX(PASTE_ALL,$DF310,$L$13),TRIM(SUBSTITUTE(SUBSTITUTE(SUBSTITUTE(SUBSTITUTE(INDEX(PASTE_ALL,$DF310,$L$13)," "," "),CHAR(9)," "),CHAR(10)," "),CHAR(13)," "))),"")))</f>
        <v/>
      </c>
      <c r="DV310">
        <f>IF($DM310=0,"",IF($L$14=0,"",IFERROR(IF(ISNUMBER(INDEX(PASTE_ALL,$DF310,$L$14)),INDEX(PASTE_ALL,$DF310,$L$14),TRIM(SUBSTITUTE(SUBSTITUTE(SUBSTITUTE(SUBSTITUTE(INDEX(PASTE_ALL,$DF310,$L$14)," "," "),CHAR(9)," "),CHAR(10)," "),CHAR(13)," "))),"")))</f>
        <v/>
      </c>
      <c r="DW310">
        <f>IF($DM310=0,"",IF($L$15=0,"",IFERROR(IF(ISNUMBER(INDEX(PASTE_ALL,$DF310,$L$15)),INDEX(PASTE_ALL,$DF310,$L$15),IF(SUMPRODUCT(--ISNUMBER(FIND({"A","B","C","D","E","F","G","H","I","J","K","L","M","N","O","P","Q","R","S","T","U","V","W","X","Y","Z","0","1","2","3","4","5","6","7","8","9"},UPPER(TRIM(SUBSTITUTE(SUBSTITUTE(SUBSTITUTE(SUBSTITUTE(INDEX(PASTE_ALL,$DF310,$L$15)," "," "),CHAR(9)," "),CHAR(10)," "),CHAR(13)," "))))))&gt;0,TRIM(SUBSTITUTE(SUBSTITUTE(SUBSTITUTE(SUBSTITUTE(INDEX(PASTE_ALL,$DF310,$L$15)," "," "),CHAR(9)," "),CHAR(10)," "),CHAR(13)," ")),"")),"")))</f>
        <v/>
      </c>
      <c r="DX310">
        <f>IF($DM310=0,"",IF($L$16=0,"",IFERROR(IF(ISNUMBER(INDEX(PASTE_ALL,$DF310,$L$16)),INDEX(PASTE_ALL,$DF310,$L$16),SUBSTITUTE(SUBSTITUTE(TRIM(SUBSTITUTE(SUBSTITUTE(SUBSTITUTE(SUBSTITUTE(INDEX(PASTE_ALL,$DF310,$L$16)," "," "),CHAR(9)," "),CHAR(10)," "),CHAR(13)," ")),",",""),"%","")),"")))</f>
        <v/>
      </c>
      <c r="DY310">
        <f>IF($DM310=0,"",IFERROR(IF(ISNUMBER($DX310),$DX310,IF($DX310="","",IF(TRIM($DX310)="",0,IF(AND(AND(SUBSTITUTE(SUBSTITUTE(SUBSTITUTE(SUBSTITUTE(SUBSTITUTE(SUBSTITUTE(SUBSTITUTE(SUBSTITUTE(SUBSTITUTE(SUBSTITUTE(SUBSTITUTE(SUBSTITUTE(SUBSTITUTE(SUBSTITUTE(UPPER(TRIM($DX310)),"0",""),"1",""),"2",""),"3",""),"4",""),"5",""),"6",""),"7",""),"8",""),"9",""),".",""),"+",""),"-",""),"E","")="",LEN(SUBSTITUTE(SUBSTITUTE(MID(UPPER(TRIM($DX310)),1+OR(LEFT(UPPER(TRIM($DX310)),1)="+",LEFT(UPPER(TRIM($DX310)),1)="-"),999),"E+","E"),"E-","E"))=LEN(SUBSTITUTE(SUBSTITUTE(SUBSTITUTE(SUBSTITUTE(MID(UPPER(TRIM($DX310)),1+OR(LEFT(UPPER(TRIM($DX310)),1)="+",LEFT(UPPER(TRIM($DX310)),1)="-"),999),"E+","E"),"E-","E"),"+",""),"-","")),LEN(UPPER(TRIM($DX310)))-LEN(SUBSTITUTE(UPPER(TRIM($DX310)),"E",""))&lt;2,LEN(UPPER(TRIM($DX310)))-LEN(SUBSTITUTE(UPPER(TRIM($DX310)),".",""))&lt;2,IFERROR(FIND(".",UPPER(TRIM($DX310))),0)&lt;IFERROR(FIND("E",UPPER(TRIM($DX310))),999)),ISNUMBER(VALUE(TRIM($DX310)))),VALUE(TRIM($DX310)),"")))),""))</f>
        <v/>
      </c>
      <c r="DZ310">
        <f>IF($DM310=0,"",IF($L$17=0,"",IFERROR(IF(ISNUMBER(INDEX(PASTE_ALL,$DF310,$L$17)),INDEX(PASTE_ALL,$DF310,$L$17),SUBSTITUTE(SUBSTITUTE(TRIM(SUBSTITUTE(SUBSTITUTE(SUBSTITUTE(SUBSTITUTE(INDEX(PASTE_ALL,$DF310,$L$17)," "," "),CHAR(9)," "),CHAR(10)," "),CHAR(13)," ")),",",""),"%","")),"")))</f>
        <v/>
      </c>
      <c r="EA310">
        <f>IF($DM310=0,"",IFERROR(IF(ISNUMBER($DZ310),$DZ310,IF($DZ310="","",IF(TRIM($DZ310)="",0,IF(AND(AND(SUBSTITUTE(SUBSTITUTE(SUBSTITUTE(SUBSTITUTE(SUBSTITUTE(SUBSTITUTE(SUBSTITUTE(SUBSTITUTE(SUBSTITUTE(SUBSTITUTE(SUBSTITUTE(SUBSTITUTE(SUBSTITUTE(SUBSTITUTE(UPPER(TRIM($DZ310)),"0",""),"1",""),"2",""),"3",""),"4",""),"5",""),"6",""),"7",""),"8",""),"9",""),".",""),"+",""),"-",""),"E","")="",LEN(SUBSTITUTE(SUBSTITUTE(MID(UPPER(TRIM($DZ310)),1+OR(LEFT(UPPER(TRIM($DZ310)),1)="+",LEFT(UPPER(TRIM($DZ310)),1)="-"),999),"E+","E"),"E-","E"))=LEN(SUBSTITUTE(SUBSTITUTE(SUBSTITUTE(SUBSTITUTE(MID(UPPER(TRIM($DZ310)),1+OR(LEFT(UPPER(TRIM($DZ310)),1)="+",LEFT(UPPER(TRIM($DZ310)),1)="-"),999),"E+","E"),"E-","E"),"+",""),"-","")),LEN(UPPER(TRIM($DZ310)))-LEN(SUBSTITUTE(UPPER(TRIM($DZ310)),"E",""))&lt;2,LEN(UPPER(TRIM($DZ310)))-LEN(SUBSTITUTE(UPPER(TRIM($DZ310)),".",""))&lt;2,IFERROR(FIND(".",UPPER(TRIM($DZ310))),0)&lt;IFERROR(FIND("E",UPPER(TRIM($DZ310))),999)),ISNUMBER(VALUE(TRIM($DZ310)))),VALUE(TRIM($DZ310)),"")))),""))</f>
        <v/>
      </c>
      <c r="EB310">
        <f>IF($DM310=0,"",IF($L$18=0,"",IFERROR(IF(UPPER(TRIM(SUBSTITUTE(SUBSTITUTE(SUBSTITUTE(SUBSTITUTE(INDEX(PASTE_ALL,$DF310,$L$18)," "," "),CHAR(9)," "),CHAR(10)," "),CHAR(13)," ")))="READY","Ready",IF(UPPER(TRIM(SUBSTITUTE(SUBSTITUTE(SUBSTITUTE(SUBSTITUTE(INDEX(PASTE_ALL,$DF310,$L$18)," "," "),CHAR(9)," "),CHAR(10)," "),CHAR(13)," ")))="PM","PM",IF(OR(UPPER(TRIM(SUBSTITUTE(SUBSTITUTE(SUBSTITUTE(SUBSTITUTE(INDEX(PASTE_ALL,$DF310,$L$18)," "," "),CHAR(9)," "),CHAR(10)," "),CHAR(13)," ")))="OT",UPPER(TRIM(SUBSTITUTE(SUBSTITUTE(SUBSTITUTE(SUBSTITUTE(INDEX(PASTE_ALL,$DF310,$L$18)," "," "),CHAR(9)," "),CHAR(10)," "),CHAR(13)," ")))="OVERTIME",UPPER(TRIM(SUBSTITUTE(SUBSTITUTE(SUBSTITUTE(SUBSTITUTE(INDEX(PASTE_ALL,$DF310,$L$18)," "," "),CHAR(9)," "),CHAR(10)," "),CHAR(13)," ")))="TRIAL"),"OT",TRIM(SUBSTITUTE(SUBSTITUTE(SUBSTITUTE(SUBSTITUTE(INDEX(PASTE_ALL,$DF310,$L$18)," "," "),CHAR(9)," "),CHAR(10)," "),CHAR(13)," "))))),"")))</f>
        <v/>
      </c>
      <c r="EC310">
        <f>IF($DM310=0,"",IF($L$19=0,"",IFERROR(IF(ISNUMBER(INDEX(PASTE_ALL,$DF310,$L$19)),INDEX(PASTE_ALL,$DF310,$L$19),TRIM(SUBSTITUTE(SUBSTITUTE(SUBSTITUTE(SUBSTITUTE(INDEX(PASTE_ALL,$DF310,$L$19)," "," "),CHAR(9)," "),CHAR(10)," "),CHAR(13)," "))),"")))</f>
        <v/>
      </c>
      <c r="ED310">
        <f>IF($DM310=0,"",MATCH(1,INDEX(EXACT($DH$5:DH310,$DH310)*$DM$5:DM310,0),0))</f>
        <v/>
      </c>
      <c r="EE310">
        <f>IF($DM310=0,0,IF($ED310=$DE310,1,0))</f>
        <v/>
      </c>
      <c r="EF310">
        <f>EF309+$EE310</f>
        <v/>
      </c>
      <c r="EG310">
        <f>IF($DM310=0,"",INDEX($EF$5:$EF$1003,$ED310))</f>
        <v/>
      </c>
      <c r="EH310">
        <f>IF($DM310=0,"",IF($DO310&lt;&gt;"","",IFERROR(LOOKUP(2,1/(($EG$4:EG309=$EG310)*($DO$4:DO309&lt;&gt;"")),$DO$4:DO309),"")))</f>
        <v/>
      </c>
      <c r="EI310">
        <f>IF($DM310=0,"",IF($DO310&lt;&gt;"",$DO310,$EH310))</f>
        <v/>
      </c>
      <c r="EJ310">
        <f>IF($DM310=0,"",IF($EI310="",0,IF(OR(ISNUMBER($EI310),AND(AND(SUBSTITUTE(SUBSTITUTE(SUBSTITUTE(SUBSTITUTE(SUBSTITUTE(SUBSTITUTE(SUBSTITUTE(SUBSTITUTE(SUBSTITUTE(SUBSTITUTE(SUBSTITUTE(SUBSTITUTE(SUBSTITUTE(SUBSTITUTE(UPPER($EI310),"0",""),"1",""),"2",""),"3",""),"4",""),"5",""),"6",""),"7",""),"8",""),"9",""),".",""),"+",""),"-",""),"E","")="",LEN(SUBSTITUTE(SUBSTITUTE(MID(UPPER($EI310),1+OR(LEFT(UPPER($EI310),1)="+",LEFT(UPPER($EI310),1)="-"),999),"E+","E"),"E-","E"))=LEN(SUBSTITUTE(SUBSTITUTE(SUBSTITUTE(SUBSTITUTE(MID(UPPER($EI310),1+OR(LEFT(UPPER($EI310),1)="+",LEFT(UPPER($EI310),1)="-"),999),"E+","E"),"E-","E"),"+",""),"-","")),LEN(UPPER($EI310))-LEN(SUBSTITUTE(UPPER($EI310),"E",""))&lt;2,LEN(UPPER($EI310))-LEN(SUBSTITUTE(UPPER($EI310),".",""))&lt;2,IFERROR(FIND(".",UPPER($EI310)),0)&lt;IFERROR(FIND("E",UPPER($EI310)),999)),ISNUMBER(VALUE($EI310)))),1,2)))</f>
        <v/>
      </c>
      <c r="EK310">
        <f>IF($DM310=0,"",IF($EJ310=1,IF(ISNUMBER($EI310),$EI310,VALUE($EI310)),IF($EJ310=2,$DE310,0)))</f>
        <v/>
      </c>
      <c r="EL310">
        <f>IF($DM310=0,"",COUNTIF($EG$5:$EG$1003,"&lt;"&amp;$EG310)+SUMPRODUCT(($EG$5:$EG$1003=$EG310)*(($EJ$5:$EJ$1003&lt;$EJ310)+($EJ$5:$EJ$1003=$EJ310)*(($EK$5:$EK$1003&lt;$EK310)+($EK$5:$EK$1003=$EK310)*($DE$5:$DE$1003&lt;$DE310))))+1)</f>
        <v/>
      </c>
      <c r="EM310">
        <f>IF($DM310=0,"",$EL310+$EG310-1)</f>
        <v/>
      </c>
      <c r="EN310">
        <f>IF($DM310=0,0,IFERROR(MATCH(1,INDEX(--(TRIM(SUBSTITUTE(SUBSTITUTE(SUBSTITUTE(SUBSTITUTE(LINES_NAME&amp;""," "," "),CHAR(9)," "),CHAR(10)," "),CHAR(13)," "))=$DH310),0),0),0))</f>
        <v/>
      </c>
      <c r="EO310">
        <f>IF($EN310=0,0,IF(OR(UPPER(TRIM(INDEX(LINES_SCHEDULED,$EN310)&amp;""))="YES",UPPER(TRIM(INDEX(LINES_SCHEDULED,$EN310)&amp;""))="Y",UPPER(TRIM(INDEX(LINES_SCHEDULED,$EN310)&amp;""))="X"),1,0))</f>
        <v/>
      </c>
      <c r="EP310">
        <f>IF($DM310=0,"",IF(COUNTIFS($EG$5:$EG$1003,$EG310,$EB$5:$EB$1003,"Ready")&gt;0,"READY",IF(COUNTIFS($EG$5:$EG$1003,$EG310,$EB$5:$EB$1003,"PM")&gt;0,"PM",IF(COUNTIFS($EG$5:$EG$1003,$EG310,$EB$5:$EB$1003,"OT")&gt;0,"OT",""))))</f>
        <v/>
      </c>
      <c r="EQ310">
        <f>IF($EN310=0,"",UPPER(TRIM(INDEX(LINES_STATUS,$EN310)&amp;"")))</f>
        <v/>
      </c>
      <c r="ER310">
        <f>IF($DM310=0,"",IF(OR($EQ310="READY",$EQ310="PM",$EQ310="OT"),$EQ310,$EP310))</f>
        <v/>
      </c>
      <c r="ES310">
        <f>IF($DM310=0,"",IF(AND($DV310&lt;&gt;"",UPPER($DV310)&lt;&gt;"N"),"allergen",IF(ISNUMBER(SEARCH("oil",$DQ310)),"oil",IF(OR(EXACT($DS310,"A662"),EXACT($DS310,"A624")),"bulk",""))))</f>
        <v/>
      </c>
      <c r="ET310">
        <f>IF($DM310=0,"",IF(OR($EA310="",$EA310=0),"",$EA310/100))</f>
        <v/>
      </c>
      <c r="EU310">
        <f>IF(OR($ET310="",$DY310=""),"",INT($DY310*(1-$ET310)+0.5))</f>
        <v/>
      </c>
      <c r="EW310" t="n">
        <v>306</v>
      </c>
      <c r="EX310">
        <f>IFERROR(MATCH($EW310,$EM$5:$EM$1003,0),0)</f>
        <v/>
      </c>
      <c r="EY310">
        <f>IF($EW310&gt;$B$12,"",IF($EX310&gt;0,"row","spacer"))</f>
        <v/>
      </c>
      <c r="EZ310">
        <f>IF(AND($EY310="row",$EY309&lt;&gt;"row"),1,0)</f>
        <v/>
      </c>
      <c r="FA310">
        <f>IF(AND($EY310="row",$EY311&lt;&gt;"row"),1,0)</f>
        <v/>
      </c>
      <c r="FB310">
        <f>IF($EZ310=1,IFERROR(IF(ISNUMBER(INDEX(PASTE_ALL,INDEX($DF$5:$DF$1003,$EX310),$B$37)),INDEX(PASTE_ALL,INDEX($DF$5:$DF$1003,$EX310),$B$37),INDEX($DH$5:$DH$1003,$EX310)),INDEX($DH$5:$DH$1003,$EX310)),"")</f>
        <v/>
      </c>
      <c r="FC310">
        <f>IF($EY310="row",INDEX($ER$5:$ER$1003,$EX310),"")</f>
        <v/>
      </c>
      <c r="FD310">
        <f>IF($EY310="row",INDEX($DN$5:$DN$1003,$EX310),"")</f>
        <v/>
      </c>
      <c r="FE310">
        <f>IF($EY310="row",INDEX($DO$5:$DO$1003,$EX310),"")</f>
        <v/>
      </c>
      <c r="FF310">
        <f>IF($EY310="row",INDEX($DP$5:$DP$1003,$EX310),"")</f>
        <v/>
      </c>
      <c r="FG310">
        <f>IF($EY310="row",INDEX($DQ$5:$DQ$1003,$EX310),"")</f>
        <v/>
      </c>
      <c r="FH310">
        <f>IF($EY310="row",INDEX($DR$5:$DR$1003,$EX310),"")</f>
        <v/>
      </c>
      <c r="FI310">
        <f>IF($EY310="row",INDEX($DS$5:$DS$1003,$EX310),"")</f>
        <v/>
      </c>
      <c r="FJ310">
        <f>IF($EY310="row",INDEX($DT$5:$DT$1003,$EX310),"")</f>
        <v/>
      </c>
      <c r="FK310">
        <f>IF($EY310="row",INDEX($DU$5:$DU$1003,$EX310),"")</f>
        <v/>
      </c>
      <c r="FL310">
        <f>IF($EY310="row",INDEX($DV$5:$DV$1003,$EX310),"")</f>
        <v/>
      </c>
      <c r="FM310">
        <f>IF($EY310="row",INDEX($DW$5:$DW$1003,$EX310),"")</f>
        <v/>
      </c>
      <c r="FN310">
        <f>IF($EY310="row",INDEX($DY$5:$DY$1003,$EX310),"")</f>
        <v/>
      </c>
      <c r="FO310">
        <f>IF($EY310="row",INDEX($EA$5:$EA$1003,$EX310),"")</f>
        <v/>
      </c>
      <c r="FP310">
        <f>IF($EY310="row",INDEX($EC$5:$EC$1003,$EX310),"")</f>
        <v/>
      </c>
      <c r="FQ310">
        <f>IF($EY310="row",INDEX($ET$5:$ET$1003,$EX310),"")</f>
        <v/>
      </c>
      <c r="FR310">
        <f>IF($EY310="row",INDEX($EU$5:$EU$1003,$EX310),"")</f>
        <v/>
      </c>
      <c r="FS310">
        <f>IF(AND($EY310="row",$EY309="row"),IF(OR(INDEX($DT$5:$DT$1003,$EX309)="",INDEX($DT$5:$DT$1003,$EX310)=""),"",IF(NOT(EXACT(INDEX($DT$5:$DT$1003,$EX309),INDEX($DT$5:$DT$1003,$EX310))),"S4",IF(NOT(EXACT(INDEX($DS$5:$DS$1003,$EX309),INDEX($DS$5:$DS$1003,$EX310))),"S3",IF(NOT(EXACT(INDEX($DR$5:$DR$1003,$EX309),INDEX($DR$5:$DR$1003,$EX310))),"S1 Count Change","S1")))),"")</f>
        <v/>
      </c>
      <c r="FT310">
        <f>IF($EY310="row",INDEX($ES$5:$ES$1003,$EX310),"")</f>
        <v/>
      </c>
      <c r="FU310">
        <f>IF($EY310="row",INDEX($EO$5:$EO$1003,$EX310),0)</f>
        <v/>
      </c>
      <c r="FV310">
        <f>IF($FS310="S1 Count Change",1,0)</f>
        <v/>
      </c>
    </row>
    <row r="311">
      <c r="DA311" t="n">
        <v>307</v>
      </c>
      <c r="DB311">
        <f>IF($B$37=0,"",IFERROR(TRIM(SUBSTITUTE(SUBSTITUTE(SUBSTITUTE(SUBSTITUTE(INDEX(PASTE_ALL,307,$B$37)," "," "),CHAR(9)," "),CHAR(10)," "),CHAR(13)," ")),""))</f>
        <v/>
      </c>
      <c r="DC311">
        <f>IF(AND(307&gt;HEADER_ROW,UPPER(DB311)="LEGEND"),1,0)</f>
        <v/>
      </c>
      <c r="DE311" t="n">
        <v>307</v>
      </c>
      <c r="DF311">
        <f>HEADER_ROW+$DE311</f>
        <v/>
      </c>
      <c r="DG311">
        <f>IF(AND($DF311&lt;=1000,$DF311&lt;$B$8),1,0)</f>
        <v/>
      </c>
      <c r="DH311">
        <f>IF($DG311=1,IFERROR(INDEX($DB$5:$DB$1004,$DF311),""),"")</f>
        <v/>
      </c>
      <c r="DI311">
        <f>IF(AND($DG311=1,$DH311&lt;&gt;""),IFERROR(SUBSTITUTE(SUBSTITUTE(TRIM(SUBSTITUTE(SUBSTITUTE(SUBSTITUTE(SUBSTITUTE(IFERROR(INDEX(PASTE_ALL,$DF311,1)&amp;"","")&amp;"␟"&amp;IFERROR(INDEX(PASTE_ALL,$DF311,2)&amp;"","")&amp;"␟"&amp;IFERROR(INDEX(PASTE_ALL,$DF311,3)&amp;"","")&amp;"␟"&amp;IFERROR(INDEX(PASTE_ALL,$DF311,4)&amp;"","")&amp;"␟"&amp;IFERROR(INDEX(PASTE_ALL,$DF311,5)&amp;"","")&amp;"␟"&amp;IFERROR(INDEX(PASTE_ALL,$DF311,6)&amp;"","")&amp;"␟"&amp;IFERROR(INDEX(PASTE_ALL,$DF311,7)&amp;"","")&amp;"␟"&amp;IFERROR(INDEX(PASTE_ALL,$DF311,8)&amp;"","")&amp;"␟"&amp;IFERROR(INDEX(PASTE_ALL,$DF311,9)&amp;"","")&amp;"␟"&amp;IFERROR(INDEX(PASTE_ALL,$DF311,10)&amp;"","")&amp;"␟"&amp;IFERROR(INDEX(PASTE_ALL,$DF311,11)&amp;"","")&amp;"␟"&amp;IFERROR(INDEX(PASTE_ALL,$DF311,12)&amp;"","")&amp;"␟"&amp;IFERROR(INDEX(PASTE_ALL,$DF311,13)&amp;"","")&amp;"␟"&amp;IFERROR(INDEX(PASTE_ALL,$DF311,14)&amp;"","")&amp;"␟"&amp;IFERROR(INDEX(PASTE_ALL,$DF311,15)&amp;"","")&amp;"␟"&amp;IFERROR(INDEX(PASTE_ALL,$DF311,16)&amp;"","")&amp;"␟"&amp;IFERROR(INDEX(PASTE_ALL,$DF311,17)&amp;"","")&amp;"␟"&amp;IFERROR(INDEX(PASTE_ALL,$DF311,18)&amp;"","")&amp;"␟"&amp;IFERROR(INDEX(PASTE_ALL,$DF311,19)&amp;"","")&amp;"␟"&amp;IFERROR(INDEX(PASTE_ALL,$DF311,20)&amp;"","")&amp;"␟"&amp;IFERROR(INDEX(PASTE_ALL,$DF311,21)&amp;"","")&amp;"␟"&amp;IFERROR(INDEX(PASTE_ALL,$DF311,22)&amp;"","")&amp;"␟"&amp;IFERROR(INDEX(PASTE_ALL,$DF311,23)&amp;"","")&amp;"␟"&amp;IFERROR(INDEX(PASTE_ALL,$DF311,24)&amp;"","")&amp;"␟"&amp;IFERROR(INDEX(PASTE_ALL,$DF311,25)&amp;"","")&amp;"␟"&amp;IFERROR(INDEX(PASTE_ALL,$DF311,26)&amp;"","")&amp;"␟"&amp;IFERROR(INDEX(PASTE_ALL,$DF311,27)&amp;"","")&amp;"␟"&amp;IFERROR(INDEX(PASTE_ALL,$DF311,28)&amp;"","")&amp;"␟"&amp;IFERROR(INDEX(PASTE_ALL,$DF311,29)&amp;"","")&amp;"␟"&amp;IFERROR(INDEX(PASTE_ALL,$DF311,30)&amp;"","")&amp;"␟"&amp;IFERROR(INDEX(PASTE_ALL,$DF311,31)&amp;"","")&amp;"␟"&amp;IFERROR(INDEX(PASTE_ALL,$DF311,32)&amp;"","")&amp;"␟"&amp;IFERROR(INDEX(PASTE_ALL,$DF311,33)&amp;"","")&amp;"␟"&amp;IFERROR(INDEX(PASTE_ALL,$DF311,34)&amp;"","")&amp;"␟"&amp;IFERROR(INDEX(PASTE_ALL,$DF311,35)&amp;"","")&amp;"␟"&amp;IFERROR(INDEX(PASTE_ALL,$DF311,36)&amp;"","")&amp;"␟"&amp;IFERROR(INDEX(PASTE_ALL,$DF311,37)&amp;"","")&amp;"␟"&amp;IFERROR(INDEX(PASTE_ALL,$DF311,38)&amp;"","")&amp;"␟"&amp;IFERROR(INDEX(PASTE_ALL,$DF311,39)&amp;"","")&amp;"␟"&amp;IFERROR(INDEX(PASTE_ALL,$DF311,40)&amp;"","")&amp;"␟"&amp;IFERROR(INDEX(PASTE_ALL,$DF311,41)&amp;"","")&amp;"␟"&amp;IFERROR(INDEX(PASTE_ALL,$DF311,42)&amp;"","")&amp;"␟"&amp;IFERROR(INDEX(PASTE_ALL,$DF311,43)&amp;"","")&amp;"␟"&amp;IFERROR(INDEX(PASTE_ALL,$DF311,44)&amp;"","")&amp;"␟"&amp;IFERROR(INDEX(PASTE_ALL,$DF311,45)&amp;"","")&amp;"␟"&amp;IFERROR(INDEX(PASTE_ALL,$DF311,46)&amp;"","")&amp;"␟"&amp;IFERROR(INDEX(PASTE_ALL,$DF311,47)&amp;"","")&amp;"␟"&amp;IFERROR(INDEX(PASTE_ALL,$DF311,48)&amp;"","")&amp;"␟"&amp;IFERROR(INDEX(PASTE_ALL,$DF311,49)&amp;"","")&amp;"␟"&amp;IFERROR(INDEX(PASTE_ALL,$DF311,50)&amp;"","")&amp;"␟"&amp;IFERROR(INDEX(PASTE_ALL,$DF311,51)&amp;"","")&amp;"␟"&amp;IFERROR(INDEX(PASTE_ALL,$DF311,52)&amp;"","")&amp;"␟"&amp;IFERROR(INDEX(PASTE_ALL,$DF311,53)&amp;"","")&amp;"␟"&amp;IFERROR(INDEX(PASTE_ALL,$DF311,54)&amp;"","")&amp;"␟"&amp;IFERROR(INDEX(PASTE_ALL,$DF311,55)&amp;"","")&amp;"␟"&amp;IFERROR(INDEX(PASTE_ALL,$DF311,56)&amp;"","")&amp;"␟"&amp;IFERROR(INDEX(PASTE_ALL,$DF311,57)&amp;"","")&amp;"␟"&amp;IFERROR(INDEX(PASTE_ALL,$DF311,58)&amp;"","")&amp;"␟"&amp;IFERROR(INDEX(PASTE_ALL,$DF311,59)&amp;"","")&amp;"␟"&amp;IFERROR(INDEX(PASTE_ALL,$DF311,60)&amp;"","")," "," "),CHAR(9)," "),CHAR(10)," "),CHAR(13)," "))," ␟","␟"),"␟ ","␟"),"#"&amp;$DE311),"")</f>
        <v/>
      </c>
      <c r="DJ311">
        <f>IF($DI311="",0,IF(SUMPRODUCT(--EXACT($DI$4:DI310,$DI311))&gt;0,1,0))</f>
        <v/>
      </c>
      <c r="DK311">
        <f>IF(AND($DI311&lt;&gt;"",$DJ311=0),1,0)</f>
        <v/>
      </c>
      <c r="DL311">
        <f>DL310+$DK311</f>
        <v/>
      </c>
      <c r="DM311">
        <f>IF(AND($DK311=1,$DL311&lt;=600),1,0)</f>
        <v/>
      </c>
      <c r="DN311">
        <f>IF($DM311=0,"",IF($L$6=0,"",IFERROR(IF(ISNUMBER(INDEX(PASTE_ALL,$DF311,$L$6)),INDEX(PASTE_ALL,$DF311,$L$6),TRIM(SUBSTITUTE(SUBSTITUTE(SUBSTITUTE(SUBSTITUTE(INDEX(PASTE_ALL,$DF311,$L$6)," "," "),CHAR(9)," "),CHAR(10)," "),CHAR(13)," "))),"")))</f>
        <v/>
      </c>
      <c r="DO311">
        <f>IF($DM311=0,"",IF($L$7=0,"",IFERROR(IF(ISNUMBER(INDEX(PASTE_ALL,$DF311,$L$7)),INDEX(PASTE_ALL,$DF311,$L$7),TRIM(SUBSTITUTE(SUBSTITUTE(SUBSTITUTE(SUBSTITUTE(INDEX(PASTE_ALL,$DF311,$L$7)," "," "),CHAR(9)," "),CHAR(10)," "),CHAR(13)," "))),"")))</f>
        <v/>
      </c>
      <c r="DP311">
        <f>IF($DM311=0,"",IF($L$8=0,"",IFERROR(IF(ISNUMBER(INDEX(PASTE_ALL,$DF311,$L$8)),INDEX(PASTE_ALL,$DF311,$L$8),TRIM(SUBSTITUTE(SUBSTITUTE(SUBSTITUTE(SUBSTITUTE(INDEX(PASTE_ALL,$DF311,$L$8)," "," "),CHAR(9)," "),CHAR(10)," "),CHAR(13)," "))),"")))</f>
        <v/>
      </c>
      <c r="DQ311">
        <f>IF($DM311=0,"",IF($L$9=0,"",IFERROR(IF(ISNUMBER(INDEX(PASTE_ALL,$DF311,$L$9)),INDEX(PASTE_ALL,$DF311,$L$9),TRIM(SUBSTITUTE(SUBSTITUTE(SUBSTITUTE(SUBSTITUTE(INDEX(PASTE_ALL,$DF311,$L$9)," "," "),CHAR(9)," "),CHAR(10)," "),CHAR(13)," "))),"")))</f>
        <v/>
      </c>
      <c r="DR311">
        <f>IF($DM311=0,"",IF($L$10=0,"",IFERROR(IF(ISNUMBER(INDEX(PASTE_ALL,$DF311,$L$10)),INDEX(PASTE_ALL,$DF311,$L$10),TRIM(SUBSTITUTE(SUBSTITUTE(SUBSTITUTE(SUBSTITUTE(INDEX(PASTE_ALL,$DF311,$L$10)," "," "),CHAR(9)," "),CHAR(10)," "),CHAR(13)," "))),"")))</f>
        <v/>
      </c>
      <c r="DS311">
        <f>IF($DM311=0,"",IF($L$11=0,"",IFERROR(IF(ISNUMBER(INDEX(PASTE_ALL,$DF311,$L$11)),INDEX(PASTE_ALL,$DF311,$L$11),TRIM(SUBSTITUTE(SUBSTITUTE(SUBSTITUTE(SUBSTITUTE(INDEX(PASTE_ALL,$DF311,$L$11)," "," "),CHAR(9)," "),CHAR(10)," "),CHAR(13)," "))),"")))</f>
        <v/>
      </c>
      <c r="DT311">
        <f>IF($DM311=0,"",IF($L$12=0,"",IFERROR(IF(ISNUMBER(INDEX(PASTE_ALL,$DF311,$L$12)),INDEX(PASTE_ALL,$DF311,$L$12),TRIM(SUBSTITUTE(SUBSTITUTE(SUBSTITUTE(SUBSTITUTE(INDEX(PASTE_ALL,$DF311,$L$12)," "," "),CHAR(9)," "),CHAR(10)," "),CHAR(13)," "))),"")))</f>
        <v/>
      </c>
      <c r="DU311">
        <f>IF($DM311=0,"",IF($L$13=0,"",IFERROR(IF(ISNUMBER(INDEX(PASTE_ALL,$DF311,$L$13)),INDEX(PASTE_ALL,$DF311,$L$13),TRIM(SUBSTITUTE(SUBSTITUTE(SUBSTITUTE(SUBSTITUTE(INDEX(PASTE_ALL,$DF311,$L$13)," "," "),CHAR(9)," "),CHAR(10)," "),CHAR(13)," "))),"")))</f>
        <v/>
      </c>
      <c r="DV311">
        <f>IF($DM311=0,"",IF($L$14=0,"",IFERROR(IF(ISNUMBER(INDEX(PASTE_ALL,$DF311,$L$14)),INDEX(PASTE_ALL,$DF311,$L$14),TRIM(SUBSTITUTE(SUBSTITUTE(SUBSTITUTE(SUBSTITUTE(INDEX(PASTE_ALL,$DF311,$L$14)," "," "),CHAR(9)," "),CHAR(10)," "),CHAR(13)," "))),"")))</f>
        <v/>
      </c>
      <c r="DW311">
        <f>IF($DM311=0,"",IF($L$15=0,"",IFERROR(IF(ISNUMBER(INDEX(PASTE_ALL,$DF311,$L$15)),INDEX(PASTE_ALL,$DF311,$L$15),IF(SUMPRODUCT(--ISNUMBER(FIND({"A","B","C","D","E","F","G","H","I","J","K","L","M","N","O","P","Q","R","S","T","U","V","W","X","Y","Z","0","1","2","3","4","5","6","7","8","9"},UPPER(TRIM(SUBSTITUTE(SUBSTITUTE(SUBSTITUTE(SUBSTITUTE(INDEX(PASTE_ALL,$DF311,$L$15)," "," "),CHAR(9)," "),CHAR(10)," "),CHAR(13)," "))))))&gt;0,TRIM(SUBSTITUTE(SUBSTITUTE(SUBSTITUTE(SUBSTITUTE(INDEX(PASTE_ALL,$DF311,$L$15)," "," "),CHAR(9)," "),CHAR(10)," "),CHAR(13)," ")),"")),"")))</f>
        <v/>
      </c>
      <c r="DX311">
        <f>IF($DM311=0,"",IF($L$16=0,"",IFERROR(IF(ISNUMBER(INDEX(PASTE_ALL,$DF311,$L$16)),INDEX(PASTE_ALL,$DF311,$L$16),SUBSTITUTE(SUBSTITUTE(TRIM(SUBSTITUTE(SUBSTITUTE(SUBSTITUTE(SUBSTITUTE(INDEX(PASTE_ALL,$DF311,$L$16)," "," "),CHAR(9)," "),CHAR(10)," "),CHAR(13)," ")),",",""),"%","")),"")))</f>
        <v/>
      </c>
      <c r="DY311">
        <f>IF($DM311=0,"",IFERROR(IF(ISNUMBER($DX311),$DX311,IF($DX311="","",IF(TRIM($DX311)="",0,IF(AND(AND(SUBSTITUTE(SUBSTITUTE(SUBSTITUTE(SUBSTITUTE(SUBSTITUTE(SUBSTITUTE(SUBSTITUTE(SUBSTITUTE(SUBSTITUTE(SUBSTITUTE(SUBSTITUTE(SUBSTITUTE(SUBSTITUTE(SUBSTITUTE(UPPER(TRIM($DX311)),"0",""),"1",""),"2",""),"3",""),"4",""),"5",""),"6",""),"7",""),"8",""),"9",""),".",""),"+",""),"-",""),"E","")="",LEN(SUBSTITUTE(SUBSTITUTE(MID(UPPER(TRIM($DX311)),1+OR(LEFT(UPPER(TRIM($DX311)),1)="+",LEFT(UPPER(TRIM($DX311)),1)="-"),999),"E+","E"),"E-","E"))=LEN(SUBSTITUTE(SUBSTITUTE(SUBSTITUTE(SUBSTITUTE(MID(UPPER(TRIM($DX311)),1+OR(LEFT(UPPER(TRIM($DX311)),1)="+",LEFT(UPPER(TRIM($DX311)),1)="-"),999),"E+","E"),"E-","E"),"+",""),"-","")),LEN(UPPER(TRIM($DX311)))-LEN(SUBSTITUTE(UPPER(TRIM($DX311)),"E",""))&lt;2,LEN(UPPER(TRIM($DX311)))-LEN(SUBSTITUTE(UPPER(TRIM($DX311)),".",""))&lt;2,IFERROR(FIND(".",UPPER(TRIM($DX311))),0)&lt;IFERROR(FIND("E",UPPER(TRIM($DX311))),999)),ISNUMBER(VALUE(TRIM($DX311)))),VALUE(TRIM($DX311)),"")))),""))</f>
        <v/>
      </c>
      <c r="DZ311">
        <f>IF($DM311=0,"",IF($L$17=0,"",IFERROR(IF(ISNUMBER(INDEX(PASTE_ALL,$DF311,$L$17)),INDEX(PASTE_ALL,$DF311,$L$17),SUBSTITUTE(SUBSTITUTE(TRIM(SUBSTITUTE(SUBSTITUTE(SUBSTITUTE(SUBSTITUTE(INDEX(PASTE_ALL,$DF311,$L$17)," "," "),CHAR(9)," "),CHAR(10)," "),CHAR(13)," ")),",",""),"%","")),"")))</f>
        <v/>
      </c>
      <c r="EA311">
        <f>IF($DM311=0,"",IFERROR(IF(ISNUMBER($DZ311),$DZ311,IF($DZ311="","",IF(TRIM($DZ311)="",0,IF(AND(AND(SUBSTITUTE(SUBSTITUTE(SUBSTITUTE(SUBSTITUTE(SUBSTITUTE(SUBSTITUTE(SUBSTITUTE(SUBSTITUTE(SUBSTITUTE(SUBSTITUTE(SUBSTITUTE(SUBSTITUTE(SUBSTITUTE(SUBSTITUTE(UPPER(TRIM($DZ311)),"0",""),"1",""),"2",""),"3",""),"4",""),"5",""),"6",""),"7",""),"8",""),"9",""),".",""),"+",""),"-",""),"E","")="",LEN(SUBSTITUTE(SUBSTITUTE(MID(UPPER(TRIM($DZ311)),1+OR(LEFT(UPPER(TRIM($DZ311)),1)="+",LEFT(UPPER(TRIM($DZ311)),1)="-"),999),"E+","E"),"E-","E"))=LEN(SUBSTITUTE(SUBSTITUTE(SUBSTITUTE(SUBSTITUTE(MID(UPPER(TRIM($DZ311)),1+OR(LEFT(UPPER(TRIM($DZ311)),1)="+",LEFT(UPPER(TRIM($DZ311)),1)="-"),999),"E+","E"),"E-","E"),"+",""),"-","")),LEN(UPPER(TRIM($DZ311)))-LEN(SUBSTITUTE(UPPER(TRIM($DZ311)),"E",""))&lt;2,LEN(UPPER(TRIM($DZ311)))-LEN(SUBSTITUTE(UPPER(TRIM($DZ311)),".",""))&lt;2,IFERROR(FIND(".",UPPER(TRIM($DZ311))),0)&lt;IFERROR(FIND("E",UPPER(TRIM($DZ311))),999)),ISNUMBER(VALUE(TRIM($DZ311)))),VALUE(TRIM($DZ311)),"")))),""))</f>
        <v/>
      </c>
      <c r="EB311">
        <f>IF($DM311=0,"",IF($L$18=0,"",IFERROR(IF(UPPER(TRIM(SUBSTITUTE(SUBSTITUTE(SUBSTITUTE(SUBSTITUTE(INDEX(PASTE_ALL,$DF311,$L$18)," "," "),CHAR(9)," "),CHAR(10)," "),CHAR(13)," ")))="READY","Ready",IF(UPPER(TRIM(SUBSTITUTE(SUBSTITUTE(SUBSTITUTE(SUBSTITUTE(INDEX(PASTE_ALL,$DF311,$L$18)," "," "),CHAR(9)," "),CHAR(10)," "),CHAR(13)," ")))="PM","PM",IF(OR(UPPER(TRIM(SUBSTITUTE(SUBSTITUTE(SUBSTITUTE(SUBSTITUTE(INDEX(PASTE_ALL,$DF311,$L$18)," "," "),CHAR(9)," "),CHAR(10)," "),CHAR(13)," ")))="OT",UPPER(TRIM(SUBSTITUTE(SUBSTITUTE(SUBSTITUTE(SUBSTITUTE(INDEX(PASTE_ALL,$DF311,$L$18)," "," "),CHAR(9)," "),CHAR(10)," "),CHAR(13)," ")))="OVERTIME",UPPER(TRIM(SUBSTITUTE(SUBSTITUTE(SUBSTITUTE(SUBSTITUTE(INDEX(PASTE_ALL,$DF311,$L$18)," "," "),CHAR(9)," "),CHAR(10)," "),CHAR(13)," ")))="TRIAL"),"OT",TRIM(SUBSTITUTE(SUBSTITUTE(SUBSTITUTE(SUBSTITUTE(INDEX(PASTE_ALL,$DF311,$L$18)," "," "),CHAR(9)," "),CHAR(10)," "),CHAR(13)," "))))),"")))</f>
        <v/>
      </c>
      <c r="EC311">
        <f>IF($DM311=0,"",IF($L$19=0,"",IFERROR(IF(ISNUMBER(INDEX(PASTE_ALL,$DF311,$L$19)),INDEX(PASTE_ALL,$DF311,$L$19),TRIM(SUBSTITUTE(SUBSTITUTE(SUBSTITUTE(SUBSTITUTE(INDEX(PASTE_ALL,$DF311,$L$19)," "," "),CHAR(9)," "),CHAR(10)," "),CHAR(13)," "))),"")))</f>
        <v/>
      </c>
      <c r="ED311">
        <f>IF($DM311=0,"",MATCH(1,INDEX(EXACT($DH$5:DH311,$DH311)*$DM$5:DM311,0),0))</f>
        <v/>
      </c>
      <c r="EE311">
        <f>IF($DM311=0,0,IF($ED311=$DE311,1,0))</f>
        <v/>
      </c>
      <c r="EF311">
        <f>EF310+$EE311</f>
        <v/>
      </c>
      <c r="EG311">
        <f>IF($DM311=0,"",INDEX($EF$5:$EF$1003,$ED311))</f>
        <v/>
      </c>
      <c r="EH311">
        <f>IF($DM311=0,"",IF($DO311&lt;&gt;"","",IFERROR(LOOKUP(2,1/(($EG$4:EG310=$EG311)*($DO$4:DO310&lt;&gt;"")),$DO$4:DO310),"")))</f>
        <v/>
      </c>
      <c r="EI311">
        <f>IF($DM311=0,"",IF($DO311&lt;&gt;"",$DO311,$EH311))</f>
        <v/>
      </c>
      <c r="EJ311">
        <f>IF($DM311=0,"",IF($EI311="",0,IF(OR(ISNUMBER($EI311),AND(AND(SUBSTITUTE(SUBSTITUTE(SUBSTITUTE(SUBSTITUTE(SUBSTITUTE(SUBSTITUTE(SUBSTITUTE(SUBSTITUTE(SUBSTITUTE(SUBSTITUTE(SUBSTITUTE(SUBSTITUTE(SUBSTITUTE(SUBSTITUTE(UPPER($EI311),"0",""),"1",""),"2",""),"3",""),"4",""),"5",""),"6",""),"7",""),"8",""),"9",""),".",""),"+",""),"-",""),"E","")="",LEN(SUBSTITUTE(SUBSTITUTE(MID(UPPER($EI311),1+OR(LEFT(UPPER($EI311),1)="+",LEFT(UPPER($EI311),1)="-"),999),"E+","E"),"E-","E"))=LEN(SUBSTITUTE(SUBSTITUTE(SUBSTITUTE(SUBSTITUTE(MID(UPPER($EI311),1+OR(LEFT(UPPER($EI311),1)="+",LEFT(UPPER($EI311),1)="-"),999),"E+","E"),"E-","E"),"+",""),"-","")),LEN(UPPER($EI311))-LEN(SUBSTITUTE(UPPER($EI311),"E",""))&lt;2,LEN(UPPER($EI311))-LEN(SUBSTITUTE(UPPER($EI311),".",""))&lt;2,IFERROR(FIND(".",UPPER($EI311)),0)&lt;IFERROR(FIND("E",UPPER($EI311)),999)),ISNUMBER(VALUE($EI311)))),1,2)))</f>
        <v/>
      </c>
      <c r="EK311">
        <f>IF($DM311=0,"",IF($EJ311=1,IF(ISNUMBER($EI311),$EI311,VALUE($EI311)),IF($EJ311=2,$DE311,0)))</f>
        <v/>
      </c>
      <c r="EL311">
        <f>IF($DM311=0,"",COUNTIF($EG$5:$EG$1003,"&lt;"&amp;$EG311)+SUMPRODUCT(($EG$5:$EG$1003=$EG311)*(($EJ$5:$EJ$1003&lt;$EJ311)+($EJ$5:$EJ$1003=$EJ311)*(($EK$5:$EK$1003&lt;$EK311)+($EK$5:$EK$1003=$EK311)*($DE$5:$DE$1003&lt;$DE311))))+1)</f>
        <v/>
      </c>
      <c r="EM311">
        <f>IF($DM311=0,"",$EL311+$EG311-1)</f>
        <v/>
      </c>
      <c r="EN311">
        <f>IF($DM311=0,0,IFERROR(MATCH(1,INDEX(--(TRIM(SUBSTITUTE(SUBSTITUTE(SUBSTITUTE(SUBSTITUTE(LINES_NAME&amp;""," "," "),CHAR(9)," "),CHAR(10)," "),CHAR(13)," "))=$DH311),0),0),0))</f>
        <v/>
      </c>
      <c r="EO311">
        <f>IF($EN311=0,0,IF(OR(UPPER(TRIM(INDEX(LINES_SCHEDULED,$EN311)&amp;""))="YES",UPPER(TRIM(INDEX(LINES_SCHEDULED,$EN311)&amp;""))="Y",UPPER(TRIM(INDEX(LINES_SCHEDULED,$EN311)&amp;""))="X"),1,0))</f>
        <v/>
      </c>
      <c r="EP311">
        <f>IF($DM311=0,"",IF(COUNTIFS($EG$5:$EG$1003,$EG311,$EB$5:$EB$1003,"Ready")&gt;0,"READY",IF(COUNTIFS($EG$5:$EG$1003,$EG311,$EB$5:$EB$1003,"PM")&gt;0,"PM",IF(COUNTIFS($EG$5:$EG$1003,$EG311,$EB$5:$EB$1003,"OT")&gt;0,"OT",""))))</f>
        <v/>
      </c>
      <c r="EQ311">
        <f>IF($EN311=0,"",UPPER(TRIM(INDEX(LINES_STATUS,$EN311)&amp;"")))</f>
        <v/>
      </c>
      <c r="ER311">
        <f>IF($DM311=0,"",IF(OR($EQ311="READY",$EQ311="PM",$EQ311="OT"),$EQ311,$EP311))</f>
        <v/>
      </c>
      <c r="ES311">
        <f>IF($DM311=0,"",IF(AND($DV311&lt;&gt;"",UPPER($DV311)&lt;&gt;"N"),"allergen",IF(ISNUMBER(SEARCH("oil",$DQ311)),"oil",IF(OR(EXACT($DS311,"A662"),EXACT($DS311,"A624")),"bulk",""))))</f>
        <v/>
      </c>
      <c r="ET311">
        <f>IF($DM311=0,"",IF(OR($EA311="",$EA311=0),"",$EA311/100))</f>
        <v/>
      </c>
      <c r="EU311">
        <f>IF(OR($ET311="",$DY311=""),"",INT($DY311*(1-$ET311)+0.5))</f>
        <v/>
      </c>
      <c r="EW311" t="n">
        <v>307</v>
      </c>
      <c r="EX311">
        <f>IFERROR(MATCH($EW311,$EM$5:$EM$1003,0),0)</f>
        <v/>
      </c>
      <c r="EY311">
        <f>IF($EW311&gt;$B$12,"",IF($EX311&gt;0,"row","spacer"))</f>
        <v/>
      </c>
      <c r="EZ311">
        <f>IF(AND($EY311="row",$EY310&lt;&gt;"row"),1,0)</f>
        <v/>
      </c>
      <c r="FA311">
        <f>IF(AND($EY311="row",$EY312&lt;&gt;"row"),1,0)</f>
        <v/>
      </c>
      <c r="FB311">
        <f>IF($EZ311=1,IFERROR(IF(ISNUMBER(INDEX(PASTE_ALL,INDEX($DF$5:$DF$1003,$EX311),$B$37)),INDEX(PASTE_ALL,INDEX($DF$5:$DF$1003,$EX311),$B$37),INDEX($DH$5:$DH$1003,$EX311)),INDEX($DH$5:$DH$1003,$EX311)),"")</f>
        <v/>
      </c>
      <c r="FC311">
        <f>IF($EY311="row",INDEX($ER$5:$ER$1003,$EX311),"")</f>
        <v/>
      </c>
      <c r="FD311">
        <f>IF($EY311="row",INDEX($DN$5:$DN$1003,$EX311),"")</f>
        <v/>
      </c>
      <c r="FE311">
        <f>IF($EY311="row",INDEX($DO$5:$DO$1003,$EX311),"")</f>
        <v/>
      </c>
      <c r="FF311">
        <f>IF($EY311="row",INDEX($DP$5:$DP$1003,$EX311),"")</f>
        <v/>
      </c>
      <c r="FG311">
        <f>IF($EY311="row",INDEX($DQ$5:$DQ$1003,$EX311),"")</f>
        <v/>
      </c>
      <c r="FH311">
        <f>IF($EY311="row",INDEX($DR$5:$DR$1003,$EX311),"")</f>
        <v/>
      </c>
      <c r="FI311">
        <f>IF($EY311="row",INDEX($DS$5:$DS$1003,$EX311),"")</f>
        <v/>
      </c>
      <c r="FJ311">
        <f>IF($EY311="row",INDEX($DT$5:$DT$1003,$EX311),"")</f>
        <v/>
      </c>
      <c r="FK311">
        <f>IF($EY311="row",INDEX($DU$5:$DU$1003,$EX311),"")</f>
        <v/>
      </c>
      <c r="FL311">
        <f>IF($EY311="row",INDEX($DV$5:$DV$1003,$EX311),"")</f>
        <v/>
      </c>
      <c r="FM311">
        <f>IF($EY311="row",INDEX($DW$5:$DW$1003,$EX311),"")</f>
        <v/>
      </c>
      <c r="FN311">
        <f>IF($EY311="row",INDEX($DY$5:$DY$1003,$EX311),"")</f>
        <v/>
      </c>
      <c r="FO311">
        <f>IF($EY311="row",INDEX($EA$5:$EA$1003,$EX311),"")</f>
        <v/>
      </c>
      <c r="FP311">
        <f>IF($EY311="row",INDEX($EC$5:$EC$1003,$EX311),"")</f>
        <v/>
      </c>
      <c r="FQ311">
        <f>IF($EY311="row",INDEX($ET$5:$ET$1003,$EX311),"")</f>
        <v/>
      </c>
      <c r="FR311">
        <f>IF($EY311="row",INDEX($EU$5:$EU$1003,$EX311),"")</f>
        <v/>
      </c>
      <c r="FS311">
        <f>IF(AND($EY311="row",$EY310="row"),IF(OR(INDEX($DT$5:$DT$1003,$EX310)="",INDEX($DT$5:$DT$1003,$EX311)=""),"",IF(NOT(EXACT(INDEX($DT$5:$DT$1003,$EX310),INDEX($DT$5:$DT$1003,$EX311))),"S4",IF(NOT(EXACT(INDEX($DS$5:$DS$1003,$EX310),INDEX($DS$5:$DS$1003,$EX311))),"S3",IF(NOT(EXACT(INDEX($DR$5:$DR$1003,$EX310),INDEX($DR$5:$DR$1003,$EX311))),"S1 Count Change","S1")))),"")</f>
        <v/>
      </c>
      <c r="FT311">
        <f>IF($EY311="row",INDEX($ES$5:$ES$1003,$EX311),"")</f>
        <v/>
      </c>
      <c r="FU311">
        <f>IF($EY311="row",INDEX($EO$5:$EO$1003,$EX311),0)</f>
        <v/>
      </c>
      <c r="FV311">
        <f>IF($FS311="S1 Count Change",1,0)</f>
        <v/>
      </c>
    </row>
    <row r="312">
      <c r="DA312" t="n">
        <v>308</v>
      </c>
      <c r="DB312">
        <f>IF($B$37=0,"",IFERROR(TRIM(SUBSTITUTE(SUBSTITUTE(SUBSTITUTE(SUBSTITUTE(INDEX(PASTE_ALL,308,$B$37)," "," "),CHAR(9)," "),CHAR(10)," "),CHAR(13)," ")),""))</f>
        <v/>
      </c>
      <c r="DC312">
        <f>IF(AND(308&gt;HEADER_ROW,UPPER(DB312)="LEGEND"),1,0)</f>
        <v/>
      </c>
      <c r="DE312" t="n">
        <v>308</v>
      </c>
      <c r="DF312">
        <f>HEADER_ROW+$DE312</f>
        <v/>
      </c>
      <c r="DG312">
        <f>IF(AND($DF312&lt;=1000,$DF312&lt;$B$8),1,0)</f>
        <v/>
      </c>
      <c r="DH312">
        <f>IF($DG312=1,IFERROR(INDEX($DB$5:$DB$1004,$DF312),""),"")</f>
        <v/>
      </c>
      <c r="DI312">
        <f>IF(AND($DG312=1,$DH312&lt;&gt;""),IFERROR(SUBSTITUTE(SUBSTITUTE(TRIM(SUBSTITUTE(SUBSTITUTE(SUBSTITUTE(SUBSTITUTE(IFERROR(INDEX(PASTE_ALL,$DF312,1)&amp;"","")&amp;"␟"&amp;IFERROR(INDEX(PASTE_ALL,$DF312,2)&amp;"","")&amp;"␟"&amp;IFERROR(INDEX(PASTE_ALL,$DF312,3)&amp;"","")&amp;"␟"&amp;IFERROR(INDEX(PASTE_ALL,$DF312,4)&amp;"","")&amp;"␟"&amp;IFERROR(INDEX(PASTE_ALL,$DF312,5)&amp;"","")&amp;"␟"&amp;IFERROR(INDEX(PASTE_ALL,$DF312,6)&amp;"","")&amp;"␟"&amp;IFERROR(INDEX(PASTE_ALL,$DF312,7)&amp;"","")&amp;"␟"&amp;IFERROR(INDEX(PASTE_ALL,$DF312,8)&amp;"","")&amp;"␟"&amp;IFERROR(INDEX(PASTE_ALL,$DF312,9)&amp;"","")&amp;"␟"&amp;IFERROR(INDEX(PASTE_ALL,$DF312,10)&amp;"","")&amp;"␟"&amp;IFERROR(INDEX(PASTE_ALL,$DF312,11)&amp;"","")&amp;"␟"&amp;IFERROR(INDEX(PASTE_ALL,$DF312,12)&amp;"","")&amp;"␟"&amp;IFERROR(INDEX(PASTE_ALL,$DF312,13)&amp;"","")&amp;"␟"&amp;IFERROR(INDEX(PASTE_ALL,$DF312,14)&amp;"","")&amp;"␟"&amp;IFERROR(INDEX(PASTE_ALL,$DF312,15)&amp;"","")&amp;"␟"&amp;IFERROR(INDEX(PASTE_ALL,$DF312,16)&amp;"","")&amp;"␟"&amp;IFERROR(INDEX(PASTE_ALL,$DF312,17)&amp;"","")&amp;"␟"&amp;IFERROR(INDEX(PASTE_ALL,$DF312,18)&amp;"","")&amp;"␟"&amp;IFERROR(INDEX(PASTE_ALL,$DF312,19)&amp;"","")&amp;"␟"&amp;IFERROR(INDEX(PASTE_ALL,$DF312,20)&amp;"","")&amp;"␟"&amp;IFERROR(INDEX(PASTE_ALL,$DF312,21)&amp;"","")&amp;"␟"&amp;IFERROR(INDEX(PASTE_ALL,$DF312,22)&amp;"","")&amp;"␟"&amp;IFERROR(INDEX(PASTE_ALL,$DF312,23)&amp;"","")&amp;"␟"&amp;IFERROR(INDEX(PASTE_ALL,$DF312,24)&amp;"","")&amp;"␟"&amp;IFERROR(INDEX(PASTE_ALL,$DF312,25)&amp;"","")&amp;"␟"&amp;IFERROR(INDEX(PASTE_ALL,$DF312,26)&amp;"","")&amp;"␟"&amp;IFERROR(INDEX(PASTE_ALL,$DF312,27)&amp;"","")&amp;"␟"&amp;IFERROR(INDEX(PASTE_ALL,$DF312,28)&amp;"","")&amp;"␟"&amp;IFERROR(INDEX(PASTE_ALL,$DF312,29)&amp;"","")&amp;"␟"&amp;IFERROR(INDEX(PASTE_ALL,$DF312,30)&amp;"","")&amp;"␟"&amp;IFERROR(INDEX(PASTE_ALL,$DF312,31)&amp;"","")&amp;"␟"&amp;IFERROR(INDEX(PASTE_ALL,$DF312,32)&amp;"","")&amp;"␟"&amp;IFERROR(INDEX(PASTE_ALL,$DF312,33)&amp;"","")&amp;"␟"&amp;IFERROR(INDEX(PASTE_ALL,$DF312,34)&amp;"","")&amp;"␟"&amp;IFERROR(INDEX(PASTE_ALL,$DF312,35)&amp;"","")&amp;"␟"&amp;IFERROR(INDEX(PASTE_ALL,$DF312,36)&amp;"","")&amp;"␟"&amp;IFERROR(INDEX(PASTE_ALL,$DF312,37)&amp;"","")&amp;"␟"&amp;IFERROR(INDEX(PASTE_ALL,$DF312,38)&amp;"","")&amp;"␟"&amp;IFERROR(INDEX(PASTE_ALL,$DF312,39)&amp;"","")&amp;"␟"&amp;IFERROR(INDEX(PASTE_ALL,$DF312,40)&amp;"","")&amp;"␟"&amp;IFERROR(INDEX(PASTE_ALL,$DF312,41)&amp;"","")&amp;"␟"&amp;IFERROR(INDEX(PASTE_ALL,$DF312,42)&amp;"","")&amp;"␟"&amp;IFERROR(INDEX(PASTE_ALL,$DF312,43)&amp;"","")&amp;"␟"&amp;IFERROR(INDEX(PASTE_ALL,$DF312,44)&amp;"","")&amp;"␟"&amp;IFERROR(INDEX(PASTE_ALL,$DF312,45)&amp;"","")&amp;"␟"&amp;IFERROR(INDEX(PASTE_ALL,$DF312,46)&amp;"","")&amp;"␟"&amp;IFERROR(INDEX(PASTE_ALL,$DF312,47)&amp;"","")&amp;"␟"&amp;IFERROR(INDEX(PASTE_ALL,$DF312,48)&amp;"","")&amp;"␟"&amp;IFERROR(INDEX(PASTE_ALL,$DF312,49)&amp;"","")&amp;"␟"&amp;IFERROR(INDEX(PASTE_ALL,$DF312,50)&amp;"","")&amp;"␟"&amp;IFERROR(INDEX(PASTE_ALL,$DF312,51)&amp;"","")&amp;"␟"&amp;IFERROR(INDEX(PASTE_ALL,$DF312,52)&amp;"","")&amp;"␟"&amp;IFERROR(INDEX(PASTE_ALL,$DF312,53)&amp;"","")&amp;"␟"&amp;IFERROR(INDEX(PASTE_ALL,$DF312,54)&amp;"","")&amp;"␟"&amp;IFERROR(INDEX(PASTE_ALL,$DF312,55)&amp;"","")&amp;"␟"&amp;IFERROR(INDEX(PASTE_ALL,$DF312,56)&amp;"","")&amp;"␟"&amp;IFERROR(INDEX(PASTE_ALL,$DF312,57)&amp;"","")&amp;"␟"&amp;IFERROR(INDEX(PASTE_ALL,$DF312,58)&amp;"","")&amp;"␟"&amp;IFERROR(INDEX(PASTE_ALL,$DF312,59)&amp;"","")&amp;"␟"&amp;IFERROR(INDEX(PASTE_ALL,$DF312,60)&amp;"","")," "," "),CHAR(9)," "),CHAR(10)," "),CHAR(13)," "))," ␟","␟"),"␟ ","␟"),"#"&amp;$DE312),"")</f>
        <v/>
      </c>
      <c r="DJ312">
        <f>IF($DI312="",0,IF(SUMPRODUCT(--EXACT($DI$4:DI311,$DI312))&gt;0,1,0))</f>
        <v/>
      </c>
      <c r="DK312">
        <f>IF(AND($DI312&lt;&gt;"",$DJ312=0),1,0)</f>
        <v/>
      </c>
      <c r="DL312">
        <f>DL311+$DK312</f>
        <v/>
      </c>
      <c r="DM312">
        <f>IF(AND($DK312=1,$DL312&lt;=600),1,0)</f>
        <v/>
      </c>
      <c r="DN312">
        <f>IF($DM312=0,"",IF($L$6=0,"",IFERROR(IF(ISNUMBER(INDEX(PASTE_ALL,$DF312,$L$6)),INDEX(PASTE_ALL,$DF312,$L$6),TRIM(SUBSTITUTE(SUBSTITUTE(SUBSTITUTE(SUBSTITUTE(INDEX(PASTE_ALL,$DF312,$L$6)," "," "),CHAR(9)," "),CHAR(10)," "),CHAR(13)," "))),"")))</f>
        <v/>
      </c>
      <c r="DO312">
        <f>IF($DM312=0,"",IF($L$7=0,"",IFERROR(IF(ISNUMBER(INDEX(PASTE_ALL,$DF312,$L$7)),INDEX(PASTE_ALL,$DF312,$L$7),TRIM(SUBSTITUTE(SUBSTITUTE(SUBSTITUTE(SUBSTITUTE(INDEX(PASTE_ALL,$DF312,$L$7)," "," "),CHAR(9)," "),CHAR(10)," "),CHAR(13)," "))),"")))</f>
        <v/>
      </c>
      <c r="DP312">
        <f>IF($DM312=0,"",IF($L$8=0,"",IFERROR(IF(ISNUMBER(INDEX(PASTE_ALL,$DF312,$L$8)),INDEX(PASTE_ALL,$DF312,$L$8),TRIM(SUBSTITUTE(SUBSTITUTE(SUBSTITUTE(SUBSTITUTE(INDEX(PASTE_ALL,$DF312,$L$8)," "," "),CHAR(9)," "),CHAR(10)," "),CHAR(13)," "))),"")))</f>
        <v/>
      </c>
      <c r="DQ312">
        <f>IF($DM312=0,"",IF($L$9=0,"",IFERROR(IF(ISNUMBER(INDEX(PASTE_ALL,$DF312,$L$9)),INDEX(PASTE_ALL,$DF312,$L$9),TRIM(SUBSTITUTE(SUBSTITUTE(SUBSTITUTE(SUBSTITUTE(INDEX(PASTE_ALL,$DF312,$L$9)," "," "),CHAR(9)," "),CHAR(10)," "),CHAR(13)," "))),"")))</f>
        <v/>
      </c>
      <c r="DR312">
        <f>IF($DM312=0,"",IF($L$10=0,"",IFERROR(IF(ISNUMBER(INDEX(PASTE_ALL,$DF312,$L$10)),INDEX(PASTE_ALL,$DF312,$L$10),TRIM(SUBSTITUTE(SUBSTITUTE(SUBSTITUTE(SUBSTITUTE(INDEX(PASTE_ALL,$DF312,$L$10)," "," "),CHAR(9)," "),CHAR(10)," "),CHAR(13)," "))),"")))</f>
        <v/>
      </c>
      <c r="DS312">
        <f>IF($DM312=0,"",IF($L$11=0,"",IFERROR(IF(ISNUMBER(INDEX(PASTE_ALL,$DF312,$L$11)),INDEX(PASTE_ALL,$DF312,$L$11),TRIM(SUBSTITUTE(SUBSTITUTE(SUBSTITUTE(SUBSTITUTE(INDEX(PASTE_ALL,$DF312,$L$11)," "," "),CHAR(9)," "),CHAR(10)," "),CHAR(13)," "))),"")))</f>
        <v/>
      </c>
      <c r="DT312">
        <f>IF($DM312=0,"",IF($L$12=0,"",IFERROR(IF(ISNUMBER(INDEX(PASTE_ALL,$DF312,$L$12)),INDEX(PASTE_ALL,$DF312,$L$12),TRIM(SUBSTITUTE(SUBSTITUTE(SUBSTITUTE(SUBSTITUTE(INDEX(PASTE_ALL,$DF312,$L$12)," "," "),CHAR(9)," "),CHAR(10)," "),CHAR(13)," "))),"")))</f>
        <v/>
      </c>
      <c r="DU312">
        <f>IF($DM312=0,"",IF($L$13=0,"",IFERROR(IF(ISNUMBER(INDEX(PASTE_ALL,$DF312,$L$13)),INDEX(PASTE_ALL,$DF312,$L$13),TRIM(SUBSTITUTE(SUBSTITUTE(SUBSTITUTE(SUBSTITUTE(INDEX(PASTE_ALL,$DF312,$L$13)," "," "),CHAR(9)," "),CHAR(10)," "),CHAR(13)," "))),"")))</f>
        <v/>
      </c>
      <c r="DV312">
        <f>IF($DM312=0,"",IF($L$14=0,"",IFERROR(IF(ISNUMBER(INDEX(PASTE_ALL,$DF312,$L$14)),INDEX(PASTE_ALL,$DF312,$L$14),TRIM(SUBSTITUTE(SUBSTITUTE(SUBSTITUTE(SUBSTITUTE(INDEX(PASTE_ALL,$DF312,$L$14)," "," "),CHAR(9)," "),CHAR(10)," "),CHAR(13)," "))),"")))</f>
        <v/>
      </c>
      <c r="DW312">
        <f>IF($DM312=0,"",IF($L$15=0,"",IFERROR(IF(ISNUMBER(INDEX(PASTE_ALL,$DF312,$L$15)),INDEX(PASTE_ALL,$DF312,$L$15),IF(SUMPRODUCT(--ISNUMBER(FIND({"A","B","C","D","E","F","G","H","I","J","K","L","M","N","O","P","Q","R","S","T","U","V","W","X","Y","Z","0","1","2","3","4","5","6","7","8","9"},UPPER(TRIM(SUBSTITUTE(SUBSTITUTE(SUBSTITUTE(SUBSTITUTE(INDEX(PASTE_ALL,$DF312,$L$15)," "," "),CHAR(9)," "),CHAR(10)," "),CHAR(13)," "))))))&gt;0,TRIM(SUBSTITUTE(SUBSTITUTE(SUBSTITUTE(SUBSTITUTE(INDEX(PASTE_ALL,$DF312,$L$15)," "," "),CHAR(9)," "),CHAR(10)," "),CHAR(13)," ")),"")),"")))</f>
        <v/>
      </c>
      <c r="DX312">
        <f>IF($DM312=0,"",IF($L$16=0,"",IFERROR(IF(ISNUMBER(INDEX(PASTE_ALL,$DF312,$L$16)),INDEX(PASTE_ALL,$DF312,$L$16),SUBSTITUTE(SUBSTITUTE(TRIM(SUBSTITUTE(SUBSTITUTE(SUBSTITUTE(SUBSTITUTE(INDEX(PASTE_ALL,$DF312,$L$16)," "," "),CHAR(9)," "),CHAR(10)," "),CHAR(13)," ")),",",""),"%","")),"")))</f>
        <v/>
      </c>
      <c r="DY312">
        <f>IF($DM312=0,"",IFERROR(IF(ISNUMBER($DX312),$DX312,IF($DX312="","",IF(TRIM($DX312)="",0,IF(AND(AND(SUBSTITUTE(SUBSTITUTE(SUBSTITUTE(SUBSTITUTE(SUBSTITUTE(SUBSTITUTE(SUBSTITUTE(SUBSTITUTE(SUBSTITUTE(SUBSTITUTE(SUBSTITUTE(SUBSTITUTE(SUBSTITUTE(SUBSTITUTE(UPPER(TRIM($DX312)),"0",""),"1",""),"2",""),"3",""),"4",""),"5",""),"6",""),"7",""),"8",""),"9",""),".",""),"+",""),"-",""),"E","")="",LEN(SUBSTITUTE(SUBSTITUTE(MID(UPPER(TRIM($DX312)),1+OR(LEFT(UPPER(TRIM($DX312)),1)="+",LEFT(UPPER(TRIM($DX312)),1)="-"),999),"E+","E"),"E-","E"))=LEN(SUBSTITUTE(SUBSTITUTE(SUBSTITUTE(SUBSTITUTE(MID(UPPER(TRIM($DX312)),1+OR(LEFT(UPPER(TRIM($DX312)),1)="+",LEFT(UPPER(TRIM($DX312)),1)="-"),999),"E+","E"),"E-","E"),"+",""),"-","")),LEN(UPPER(TRIM($DX312)))-LEN(SUBSTITUTE(UPPER(TRIM($DX312)),"E",""))&lt;2,LEN(UPPER(TRIM($DX312)))-LEN(SUBSTITUTE(UPPER(TRIM($DX312)),".",""))&lt;2,IFERROR(FIND(".",UPPER(TRIM($DX312))),0)&lt;IFERROR(FIND("E",UPPER(TRIM($DX312))),999)),ISNUMBER(VALUE(TRIM($DX312)))),VALUE(TRIM($DX312)),"")))),""))</f>
        <v/>
      </c>
      <c r="DZ312">
        <f>IF($DM312=0,"",IF($L$17=0,"",IFERROR(IF(ISNUMBER(INDEX(PASTE_ALL,$DF312,$L$17)),INDEX(PASTE_ALL,$DF312,$L$17),SUBSTITUTE(SUBSTITUTE(TRIM(SUBSTITUTE(SUBSTITUTE(SUBSTITUTE(SUBSTITUTE(INDEX(PASTE_ALL,$DF312,$L$17)," "," "),CHAR(9)," "),CHAR(10)," "),CHAR(13)," ")),",",""),"%","")),"")))</f>
        <v/>
      </c>
      <c r="EA312">
        <f>IF($DM312=0,"",IFERROR(IF(ISNUMBER($DZ312),$DZ312,IF($DZ312="","",IF(TRIM($DZ312)="",0,IF(AND(AND(SUBSTITUTE(SUBSTITUTE(SUBSTITUTE(SUBSTITUTE(SUBSTITUTE(SUBSTITUTE(SUBSTITUTE(SUBSTITUTE(SUBSTITUTE(SUBSTITUTE(SUBSTITUTE(SUBSTITUTE(SUBSTITUTE(SUBSTITUTE(UPPER(TRIM($DZ312)),"0",""),"1",""),"2",""),"3",""),"4",""),"5",""),"6",""),"7",""),"8",""),"9",""),".",""),"+",""),"-",""),"E","")="",LEN(SUBSTITUTE(SUBSTITUTE(MID(UPPER(TRIM($DZ312)),1+OR(LEFT(UPPER(TRIM($DZ312)),1)="+",LEFT(UPPER(TRIM($DZ312)),1)="-"),999),"E+","E"),"E-","E"))=LEN(SUBSTITUTE(SUBSTITUTE(SUBSTITUTE(SUBSTITUTE(MID(UPPER(TRIM($DZ312)),1+OR(LEFT(UPPER(TRIM($DZ312)),1)="+",LEFT(UPPER(TRIM($DZ312)),1)="-"),999),"E+","E"),"E-","E"),"+",""),"-","")),LEN(UPPER(TRIM($DZ312)))-LEN(SUBSTITUTE(UPPER(TRIM($DZ312)),"E",""))&lt;2,LEN(UPPER(TRIM($DZ312)))-LEN(SUBSTITUTE(UPPER(TRIM($DZ312)),".",""))&lt;2,IFERROR(FIND(".",UPPER(TRIM($DZ312))),0)&lt;IFERROR(FIND("E",UPPER(TRIM($DZ312))),999)),ISNUMBER(VALUE(TRIM($DZ312)))),VALUE(TRIM($DZ312)),"")))),""))</f>
        <v/>
      </c>
      <c r="EB312">
        <f>IF($DM312=0,"",IF($L$18=0,"",IFERROR(IF(UPPER(TRIM(SUBSTITUTE(SUBSTITUTE(SUBSTITUTE(SUBSTITUTE(INDEX(PASTE_ALL,$DF312,$L$18)," "," "),CHAR(9)," "),CHAR(10)," "),CHAR(13)," ")))="READY","Ready",IF(UPPER(TRIM(SUBSTITUTE(SUBSTITUTE(SUBSTITUTE(SUBSTITUTE(INDEX(PASTE_ALL,$DF312,$L$18)," "," "),CHAR(9)," "),CHAR(10)," "),CHAR(13)," ")))="PM","PM",IF(OR(UPPER(TRIM(SUBSTITUTE(SUBSTITUTE(SUBSTITUTE(SUBSTITUTE(INDEX(PASTE_ALL,$DF312,$L$18)," "," "),CHAR(9)," "),CHAR(10)," "),CHAR(13)," ")))="OT",UPPER(TRIM(SUBSTITUTE(SUBSTITUTE(SUBSTITUTE(SUBSTITUTE(INDEX(PASTE_ALL,$DF312,$L$18)," "," "),CHAR(9)," "),CHAR(10)," "),CHAR(13)," ")))="OVERTIME",UPPER(TRIM(SUBSTITUTE(SUBSTITUTE(SUBSTITUTE(SUBSTITUTE(INDEX(PASTE_ALL,$DF312,$L$18)," "," "),CHAR(9)," "),CHAR(10)," "),CHAR(13)," ")))="TRIAL"),"OT",TRIM(SUBSTITUTE(SUBSTITUTE(SUBSTITUTE(SUBSTITUTE(INDEX(PASTE_ALL,$DF312,$L$18)," "," "),CHAR(9)," "),CHAR(10)," "),CHAR(13)," "))))),"")))</f>
        <v/>
      </c>
      <c r="EC312">
        <f>IF($DM312=0,"",IF($L$19=0,"",IFERROR(IF(ISNUMBER(INDEX(PASTE_ALL,$DF312,$L$19)),INDEX(PASTE_ALL,$DF312,$L$19),TRIM(SUBSTITUTE(SUBSTITUTE(SUBSTITUTE(SUBSTITUTE(INDEX(PASTE_ALL,$DF312,$L$19)," "," "),CHAR(9)," "),CHAR(10)," "),CHAR(13)," "))),"")))</f>
        <v/>
      </c>
      <c r="ED312">
        <f>IF($DM312=0,"",MATCH(1,INDEX(EXACT($DH$5:DH312,$DH312)*$DM$5:DM312,0),0))</f>
        <v/>
      </c>
      <c r="EE312">
        <f>IF($DM312=0,0,IF($ED312=$DE312,1,0))</f>
        <v/>
      </c>
      <c r="EF312">
        <f>EF311+$EE312</f>
        <v/>
      </c>
      <c r="EG312">
        <f>IF($DM312=0,"",INDEX($EF$5:$EF$1003,$ED312))</f>
        <v/>
      </c>
      <c r="EH312">
        <f>IF($DM312=0,"",IF($DO312&lt;&gt;"","",IFERROR(LOOKUP(2,1/(($EG$4:EG311=$EG312)*($DO$4:DO311&lt;&gt;"")),$DO$4:DO311),"")))</f>
        <v/>
      </c>
      <c r="EI312">
        <f>IF($DM312=0,"",IF($DO312&lt;&gt;"",$DO312,$EH312))</f>
        <v/>
      </c>
      <c r="EJ312">
        <f>IF($DM312=0,"",IF($EI312="",0,IF(OR(ISNUMBER($EI312),AND(AND(SUBSTITUTE(SUBSTITUTE(SUBSTITUTE(SUBSTITUTE(SUBSTITUTE(SUBSTITUTE(SUBSTITUTE(SUBSTITUTE(SUBSTITUTE(SUBSTITUTE(SUBSTITUTE(SUBSTITUTE(SUBSTITUTE(SUBSTITUTE(UPPER($EI312),"0",""),"1",""),"2",""),"3",""),"4",""),"5",""),"6",""),"7",""),"8",""),"9",""),".",""),"+",""),"-",""),"E","")="",LEN(SUBSTITUTE(SUBSTITUTE(MID(UPPER($EI312),1+OR(LEFT(UPPER($EI312),1)="+",LEFT(UPPER($EI312),1)="-"),999),"E+","E"),"E-","E"))=LEN(SUBSTITUTE(SUBSTITUTE(SUBSTITUTE(SUBSTITUTE(MID(UPPER($EI312),1+OR(LEFT(UPPER($EI312),1)="+",LEFT(UPPER($EI312),1)="-"),999),"E+","E"),"E-","E"),"+",""),"-","")),LEN(UPPER($EI312))-LEN(SUBSTITUTE(UPPER($EI312),"E",""))&lt;2,LEN(UPPER($EI312))-LEN(SUBSTITUTE(UPPER($EI312),".",""))&lt;2,IFERROR(FIND(".",UPPER($EI312)),0)&lt;IFERROR(FIND("E",UPPER($EI312)),999)),ISNUMBER(VALUE($EI312)))),1,2)))</f>
        <v/>
      </c>
      <c r="EK312">
        <f>IF($DM312=0,"",IF($EJ312=1,IF(ISNUMBER($EI312),$EI312,VALUE($EI312)),IF($EJ312=2,$DE312,0)))</f>
        <v/>
      </c>
      <c r="EL312">
        <f>IF($DM312=0,"",COUNTIF($EG$5:$EG$1003,"&lt;"&amp;$EG312)+SUMPRODUCT(($EG$5:$EG$1003=$EG312)*(($EJ$5:$EJ$1003&lt;$EJ312)+($EJ$5:$EJ$1003=$EJ312)*(($EK$5:$EK$1003&lt;$EK312)+($EK$5:$EK$1003=$EK312)*($DE$5:$DE$1003&lt;$DE312))))+1)</f>
        <v/>
      </c>
      <c r="EM312">
        <f>IF($DM312=0,"",$EL312+$EG312-1)</f>
        <v/>
      </c>
      <c r="EN312">
        <f>IF($DM312=0,0,IFERROR(MATCH(1,INDEX(--(TRIM(SUBSTITUTE(SUBSTITUTE(SUBSTITUTE(SUBSTITUTE(LINES_NAME&amp;""," "," "),CHAR(9)," "),CHAR(10)," "),CHAR(13)," "))=$DH312),0),0),0))</f>
        <v/>
      </c>
      <c r="EO312">
        <f>IF($EN312=0,0,IF(OR(UPPER(TRIM(INDEX(LINES_SCHEDULED,$EN312)&amp;""))="YES",UPPER(TRIM(INDEX(LINES_SCHEDULED,$EN312)&amp;""))="Y",UPPER(TRIM(INDEX(LINES_SCHEDULED,$EN312)&amp;""))="X"),1,0))</f>
        <v/>
      </c>
      <c r="EP312">
        <f>IF($DM312=0,"",IF(COUNTIFS($EG$5:$EG$1003,$EG312,$EB$5:$EB$1003,"Ready")&gt;0,"READY",IF(COUNTIFS($EG$5:$EG$1003,$EG312,$EB$5:$EB$1003,"PM")&gt;0,"PM",IF(COUNTIFS($EG$5:$EG$1003,$EG312,$EB$5:$EB$1003,"OT")&gt;0,"OT",""))))</f>
        <v/>
      </c>
      <c r="EQ312">
        <f>IF($EN312=0,"",UPPER(TRIM(INDEX(LINES_STATUS,$EN312)&amp;"")))</f>
        <v/>
      </c>
      <c r="ER312">
        <f>IF($DM312=0,"",IF(OR($EQ312="READY",$EQ312="PM",$EQ312="OT"),$EQ312,$EP312))</f>
        <v/>
      </c>
      <c r="ES312">
        <f>IF($DM312=0,"",IF(AND($DV312&lt;&gt;"",UPPER($DV312)&lt;&gt;"N"),"allergen",IF(ISNUMBER(SEARCH("oil",$DQ312)),"oil",IF(OR(EXACT($DS312,"A662"),EXACT($DS312,"A624")),"bulk",""))))</f>
        <v/>
      </c>
      <c r="ET312">
        <f>IF($DM312=0,"",IF(OR($EA312="",$EA312=0),"",$EA312/100))</f>
        <v/>
      </c>
      <c r="EU312">
        <f>IF(OR($ET312="",$DY312=""),"",INT($DY312*(1-$ET312)+0.5))</f>
        <v/>
      </c>
      <c r="EW312" t="n">
        <v>308</v>
      </c>
      <c r="EX312">
        <f>IFERROR(MATCH($EW312,$EM$5:$EM$1003,0),0)</f>
        <v/>
      </c>
      <c r="EY312">
        <f>IF($EW312&gt;$B$12,"",IF($EX312&gt;0,"row","spacer"))</f>
        <v/>
      </c>
      <c r="EZ312">
        <f>IF(AND($EY312="row",$EY311&lt;&gt;"row"),1,0)</f>
        <v/>
      </c>
      <c r="FA312">
        <f>IF(AND($EY312="row",$EY313&lt;&gt;"row"),1,0)</f>
        <v/>
      </c>
      <c r="FB312">
        <f>IF($EZ312=1,IFERROR(IF(ISNUMBER(INDEX(PASTE_ALL,INDEX($DF$5:$DF$1003,$EX312),$B$37)),INDEX(PASTE_ALL,INDEX($DF$5:$DF$1003,$EX312),$B$37),INDEX($DH$5:$DH$1003,$EX312)),INDEX($DH$5:$DH$1003,$EX312)),"")</f>
        <v/>
      </c>
      <c r="FC312">
        <f>IF($EY312="row",INDEX($ER$5:$ER$1003,$EX312),"")</f>
        <v/>
      </c>
      <c r="FD312">
        <f>IF($EY312="row",INDEX($DN$5:$DN$1003,$EX312),"")</f>
        <v/>
      </c>
      <c r="FE312">
        <f>IF($EY312="row",INDEX($DO$5:$DO$1003,$EX312),"")</f>
        <v/>
      </c>
      <c r="FF312">
        <f>IF($EY312="row",INDEX($DP$5:$DP$1003,$EX312),"")</f>
        <v/>
      </c>
      <c r="FG312">
        <f>IF($EY312="row",INDEX($DQ$5:$DQ$1003,$EX312),"")</f>
        <v/>
      </c>
      <c r="FH312">
        <f>IF($EY312="row",INDEX($DR$5:$DR$1003,$EX312),"")</f>
        <v/>
      </c>
      <c r="FI312">
        <f>IF($EY312="row",INDEX($DS$5:$DS$1003,$EX312),"")</f>
        <v/>
      </c>
      <c r="FJ312">
        <f>IF($EY312="row",INDEX($DT$5:$DT$1003,$EX312),"")</f>
        <v/>
      </c>
      <c r="FK312">
        <f>IF($EY312="row",INDEX($DU$5:$DU$1003,$EX312),"")</f>
        <v/>
      </c>
      <c r="FL312">
        <f>IF($EY312="row",INDEX($DV$5:$DV$1003,$EX312),"")</f>
        <v/>
      </c>
      <c r="FM312">
        <f>IF($EY312="row",INDEX($DW$5:$DW$1003,$EX312),"")</f>
        <v/>
      </c>
      <c r="FN312">
        <f>IF($EY312="row",INDEX($DY$5:$DY$1003,$EX312),"")</f>
        <v/>
      </c>
      <c r="FO312">
        <f>IF($EY312="row",INDEX($EA$5:$EA$1003,$EX312),"")</f>
        <v/>
      </c>
      <c r="FP312">
        <f>IF($EY312="row",INDEX($EC$5:$EC$1003,$EX312),"")</f>
        <v/>
      </c>
      <c r="FQ312">
        <f>IF($EY312="row",INDEX($ET$5:$ET$1003,$EX312),"")</f>
        <v/>
      </c>
      <c r="FR312">
        <f>IF($EY312="row",INDEX($EU$5:$EU$1003,$EX312),"")</f>
        <v/>
      </c>
      <c r="FS312">
        <f>IF(AND($EY312="row",$EY311="row"),IF(OR(INDEX($DT$5:$DT$1003,$EX311)="",INDEX($DT$5:$DT$1003,$EX312)=""),"",IF(NOT(EXACT(INDEX($DT$5:$DT$1003,$EX311),INDEX($DT$5:$DT$1003,$EX312))),"S4",IF(NOT(EXACT(INDEX($DS$5:$DS$1003,$EX311),INDEX($DS$5:$DS$1003,$EX312))),"S3",IF(NOT(EXACT(INDEX($DR$5:$DR$1003,$EX311),INDEX($DR$5:$DR$1003,$EX312))),"S1 Count Change","S1")))),"")</f>
        <v/>
      </c>
      <c r="FT312">
        <f>IF($EY312="row",INDEX($ES$5:$ES$1003,$EX312),"")</f>
        <v/>
      </c>
      <c r="FU312">
        <f>IF($EY312="row",INDEX($EO$5:$EO$1003,$EX312),0)</f>
        <v/>
      </c>
      <c r="FV312">
        <f>IF($FS312="S1 Count Change",1,0)</f>
        <v/>
      </c>
    </row>
    <row r="313">
      <c r="DA313" t="n">
        <v>309</v>
      </c>
      <c r="DB313">
        <f>IF($B$37=0,"",IFERROR(TRIM(SUBSTITUTE(SUBSTITUTE(SUBSTITUTE(SUBSTITUTE(INDEX(PASTE_ALL,309,$B$37)," "," "),CHAR(9)," "),CHAR(10)," "),CHAR(13)," ")),""))</f>
        <v/>
      </c>
      <c r="DC313">
        <f>IF(AND(309&gt;HEADER_ROW,UPPER(DB313)="LEGEND"),1,0)</f>
        <v/>
      </c>
      <c r="DE313" t="n">
        <v>309</v>
      </c>
      <c r="DF313">
        <f>HEADER_ROW+$DE313</f>
        <v/>
      </c>
      <c r="DG313">
        <f>IF(AND($DF313&lt;=1000,$DF313&lt;$B$8),1,0)</f>
        <v/>
      </c>
      <c r="DH313">
        <f>IF($DG313=1,IFERROR(INDEX($DB$5:$DB$1004,$DF313),""),"")</f>
        <v/>
      </c>
      <c r="DI313">
        <f>IF(AND($DG313=1,$DH313&lt;&gt;""),IFERROR(SUBSTITUTE(SUBSTITUTE(TRIM(SUBSTITUTE(SUBSTITUTE(SUBSTITUTE(SUBSTITUTE(IFERROR(INDEX(PASTE_ALL,$DF313,1)&amp;"","")&amp;"␟"&amp;IFERROR(INDEX(PASTE_ALL,$DF313,2)&amp;"","")&amp;"␟"&amp;IFERROR(INDEX(PASTE_ALL,$DF313,3)&amp;"","")&amp;"␟"&amp;IFERROR(INDEX(PASTE_ALL,$DF313,4)&amp;"","")&amp;"␟"&amp;IFERROR(INDEX(PASTE_ALL,$DF313,5)&amp;"","")&amp;"␟"&amp;IFERROR(INDEX(PASTE_ALL,$DF313,6)&amp;"","")&amp;"␟"&amp;IFERROR(INDEX(PASTE_ALL,$DF313,7)&amp;"","")&amp;"␟"&amp;IFERROR(INDEX(PASTE_ALL,$DF313,8)&amp;"","")&amp;"␟"&amp;IFERROR(INDEX(PASTE_ALL,$DF313,9)&amp;"","")&amp;"␟"&amp;IFERROR(INDEX(PASTE_ALL,$DF313,10)&amp;"","")&amp;"␟"&amp;IFERROR(INDEX(PASTE_ALL,$DF313,11)&amp;"","")&amp;"␟"&amp;IFERROR(INDEX(PASTE_ALL,$DF313,12)&amp;"","")&amp;"␟"&amp;IFERROR(INDEX(PASTE_ALL,$DF313,13)&amp;"","")&amp;"␟"&amp;IFERROR(INDEX(PASTE_ALL,$DF313,14)&amp;"","")&amp;"␟"&amp;IFERROR(INDEX(PASTE_ALL,$DF313,15)&amp;"","")&amp;"␟"&amp;IFERROR(INDEX(PASTE_ALL,$DF313,16)&amp;"","")&amp;"␟"&amp;IFERROR(INDEX(PASTE_ALL,$DF313,17)&amp;"","")&amp;"␟"&amp;IFERROR(INDEX(PASTE_ALL,$DF313,18)&amp;"","")&amp;"␟"&amp;IFERROR(INDEX(PASTE_ALL,$DF313,19)&amp;"","")&amp;"␟"&amp;IFERROR(INDEX(PASTE_ALL,$DF313,20)&amp;"","")&amp;"␟"&amp;IFERROR(INDEX(PASTE_ALL,$DF313,21)&amp;"","")&amp;"␟"&amp;IFERROR(INDEX(PASTE_ALL,$DF313,22)&amp;"","")&amp;"␟"&amp;IFERROR(INDEX(PASTE_ALL,$DF313,23)&amp;"","")&amp;"␟"&amp;IFERROR(INDEX(PASTE_ALL,$DF313,24)&amp;"","")&amp;"␟"&amp;IFERROR(INDEX(PASTE_ALL,$DF313,25)&amp;"","")&amp;"␟"&amp;IFERROR(INDEX(PASTE_ALL,$DF313,26)&amp;"","")&amp;"␟"&amp;IFERROR(INDEX(PASTE_ALL,$DF313,27)&amp;"","")&amp;"␟"&amp;IFERROR(INDEX(PASTE_ALL,$DF313,28)&amp;"","")&amp;"␟"&amp;IFERROR(INDEX(PASTE_ALL,$DF313,29)&amp;"","")&amp;"␟"&amp;IFERROR(INDEX(PASTE_ALL,$DF313,30)&amp;"","")&amp;"␟"&amp;IFERROR(INDEX(PASTE_ALL,$DF313,31)&amp;"","")&amp;"␟"&amp;IFERROR(INDEX(PASTE_ALL,$DF313,32)&amp;"","")&amp;"␟"&amp;IFERROR(INDEX(PASTE_ALL,$DF313,33)&amp;"","")&amp;"␟"&amp;IFERROR(INDEX(PASTE_ALL,$DF313,34)&amp;"","")&amp;"␟"&amp;IFERROR(INDEX(PASTE_ALL,$DF313,35)&amp;"","")&amp;"␟"&amp;IFERROR(INDEX(PASTE_ALL,$DF313,36)&amp;"","")&amp;"␟"&amp;IFERROR(INDEX(PASTE_ALL,$DF313,37)&amp;"","")&amp;"␟"&amp;IFERROR(INDEX(PASTE_ALL,$DF313,38)&amp;"","")&amp;"␟"&amp;IFERROR(INDEX(PASTE_ALL,$DF313,39)&amp;"","")&amp;"␟"&amp;IFERROR(INDEX(PASTE_ALL,$DF313,40)&amp;"","")&amp;"␟"&amp;IFERROR(INDEX(PASTE_ALL,$DF313,41)&amp;"","")&amp;"␟"&amp;IFERROR(INDEX(PASTE_ALL,$DF313,42)&amp;"","")&amp;"␟"&amp;IFERROR(INDEX(PASTE_ALL,$DF313,43)&amp;"","")&amp;"␟"&amp;IFERROR(INDEX(PASTE_ALL,$DF313,44)&amp;"","")&amp;"␟"&amp;IFERROR(INDEX(PASTE_ALL,$DF313,45)&amp;"","")&amp;"␟"&amp;IFERROR(INDEX(PASTE_ALL,$DF313,46)&amp;"","")&amp;"␟"&amp;IFERROR(INDEX(PASTE_ALL,$DF313,47)&amp;"","")&amp;"␟"&amp;IFERROR(INDEX(PASTE_ALL,$DF313,48)&amp;"","")&amp;"␟"&amp;IFERROR(INDEX(PASTE_ALL,$DF313,49)&amp;"","")&amp;"␟"&amp;IFERROR(INDEX(PASTE_ALL,$DF313,50)&amp;"","")&amp;"␟"&amp;IFERROR(INDEX(PASTE_ALL,$DF313,51)&amp;"","")&amp;"␟"&amp;IFERROR(INDEX(PASTE_ALL,$DF313,52)&amp;"","")&amp;"␟"&amp;IFERROR(INDEX(PASTE_ALL,$DF313,53)&amp;"","")&amp;"␟"&amp;IFERROR(INDEX(PASTE_ALL,$DF313,54)&amp;"","")&amp;"␟"&amp;IFERROR(INDEX(PASTE_ALL,$DF313,55)&amp;"","")&amp;"␟"&amp;IFERROR(INDEX(PASTE_ALL,$DF313,56)&amp;"","")&amp;"␟"&amp;IFERROR(INDEX(PASTE_ALL,$DF313,57)&amp;"","")&amp;"␟"&amp;IFERROR(INDEX(PASTE_ALL,$DF313,58)&amp;"","")&amp;"␟"&amp;IFERROR(INDEX(PASTE_ALL,$DF313,59)&amp;"","")&amp;"␟"&amp;IFERROR(INDEX(PASTE_ALL,$DF313,60)&amp;"","")," "," "),CHAR(9)," "),CHAR(10)," "),CHAR(13)," "))," ␟","␟"),"␟ ","␟"),"#"&amp;$DE313),"")</f>
        <v/>
      </c>
      <c r="DJ313">
        <f>IF($DI313="",0,IF(SUMPRODUCT(--EXACT($DI$4:DI312,$DI313))&gt;0,1,0))</f>
        <v/>
      </c>
      <c r="DK313">
        <f>IF(AND($DI313&lt;&gt;"",$DJ313=0),1,0)</f>
        <v/>
      </c>
      <c r="DL313">
        <f>DL312+$DK313</f>
        <v/>
      </c>
      <c r="DM313">
        <f>IF(AND($DK313=1,$DL313&lt;=600),1,0)</f>
        <v/>
      </c>
      <c r="DN313">
        <f>IF($DM313=0,"",IF($L$6=0,"",IFERROR(IF(ISNUMBER(INDEX(PASTE_ALL,$DF313,$L$6)),INDEX(PASTE_ALL,$DF313,$L$6),TRIM(SUBSTITUTE(SUBSTITUTE(SUBSTITUTE(SUBSTITUTE(INDEX(PASTE_ALL,$DF313,$L$6)," "," "),CHAR(9)," "),CHAR(10)," "),CHAR(13)," "))),"")))</f>
        <v/>
      </c>
      <c r="DO313">
        <f>IF($DM313=0,"",IF($L$7=0,"",IFERROR(IF(ISNUMBER(INDEX(PASTE_ALL,$DF313,$L$7)),INDEX(PASTE_ALL,$DF313,$L$7),TRIM(SUBSTITUTE(SUBSTITUTE(SUBSTITUTE(SUBSTITUTE(INDEX(PASTE_ALL,$DF313,$L$7)," "," "),CHAR(9)," "),CHAR(10)," "),CHAR(13)," "))),"")))</f>
        <v/>
      </c>
      <c r="DP313">
        <f>IF($DM313=0,"",IF($L$8=0,"",IFERROR(IF(ISNUMBER(INDEX(PASTE_ALL,$DF313,$L$8)),INDEX(PASTE_ALL,$DF313,$L$8),TRIM(SUBSTITUTE(SUBSTITUTE(SUBSTITUTE(SUBSTITUTE(INDEX(PASTE_ALL,$DF313,$L$8)," "," "),CHAR(9)," "),CHAR(10)," "),CHAR(13)," "))),"")))</f>
        <v/>
      </c>
      <c r="DQ313">
        <f>IF($DM313=0,"",IF($L$9=0,"",IFERROR(IF(ISNUMBER(INDEX(PASTE_ALL,$DF313,$L$9)),INDEX(PASTE_ALL,$DF313,$L$9),TRIM(SUBSTITUTE(SUBSTITUTE(SUBSTITUTE(SUBSTITUTE(INDEX(PASTE_ALL,$DF313,$L$9)," "," "),CHAR(9)," "),CHAR(10)," "),CHAR(13)," "))),"")))</f>
        <v/>
      </c>
      <c r="DR313">
        <f>IF($DM313=0,"",IF($L$10=0,"",IFERROR(IF(ISNUMBER(INDEX(PASTE_ALL,$DF313,$L$10)),INDEX(PASTE_ALL,$DF313,$L$10),TRIM(SUBSTITUTE(SUBSTITUTE(SUBSTITUTE(SUBSTITUTE(INDEX(PASTE_ALL,$DF313,$L$10)," "," "),CHAR(9)," "),CHAR(10)," "),CHAR(13)," "))),"")))</f>
        <v/>
      </c>
      <c r="DS313">
        <f>IF($DM313=0,"",IF($L$11=0,"",IFERROR(IF(ISNUMBER(INDEX(PASTE_ALL,$DF313,$L$11)),INDEX(PASTE_ALL,$DF313,$L$11),TRIM(SUBSTITUTE(SUBSTITUTE(SUBSTITUTE(SUBSTITUTE(INDEX(PASTE_ALL,$DF313,$L$11)," "," "),CHAR(9)," "),CHAR(10)," "),CHAR(13)," "))),"")))</f>
        <v/>
      </c>
      <c r="DT313">
        <f>IF($DM313=0,"",IF($L$12=0,"",IFERROR(IF(ISNUMBER(INDEX(PASTE_ALL,$DF313,$L$12)),INDEX(PASTE_ALL,$DF313,$L$12),TRIM(SUBSTITUTE(SUBSTITUTE(SUBSTITUTE(SUBSTITUTE(INDEX(PASTE_ALL,$DF313,$L$12)," "," "),CHAR(9)," "),CHAR(10)," "),CHAR(13)," "))),"")))</f>
        <v/>
      </c>
      <c r="DU313">
        <f>IF($DM313=0,"",IF($L$13=0,"",IFERROR(IF(ISNUMBER(INDEX(PASTE_ALL,$DF313,$L$13)),INDEX(PASTE_ALL,$DF313,$L$13),TRIM(SUBSTITUTE(SUBSTITUTE(SUBSTITUTE(SUBSTITUTE(INDEX(PASTE_ALL,$DF313,$L$13)," "," "),CHAR(9)," "),CHAR(10)," "),CHAR(13)," "))),"")))</f>
        <v/>
      </c>
      <c r="DV313">
        <f>IF($DM313=0,"",IF($L$14=0,"",IFERROR(IF(ISNUMBER(INDEX(PASTE_ALL,$DF313,$L$14)),INDEX(PASTE_ALL,$DF313,$L$14),TRIM(SUBSTITUTE(SUBSTITUTE(SUBSTITUTE(SUBSTITUTE(INDEX(PASTE_ALL,$DF313,$L$14)," "," "),CHAR(9)," "),CHAR(10)," "),CHAR(13)," "))),"")))</f>
        <v/>
      </c>
      <c r="DW313">
        <f>IF($DM313=0,"",IF($L$15=0,"",IFERROR(IF(ISNUMBER(INDEX(PASTE_ALL,$DF313,$L$15)),INDEX(PASTE_ALL,$DF313,$L$15),IF(SUMPRODUCT(--ISNUMBER(FIND({"A","B","C","D","E","F","G","H","I","J","K","L","M","N","O","P","Q","R","S","T","U","V","W","X","Y","Z","0","1","2","3","4","5","6","7","8","9"},UPPER(TRIM(SUBSTITUTE(SUBSTITUTE(SUBSTITUTE(SUBSTITUTE(INDEX(PASTE_ALL,$DF313,$L$15)," "," "),CHAR(9)," "),CHAR(10)," "),CHAR(13)," "))))))&gt;0,TRIM(SUBSTITUTE(SUBSTITUTE(SUBSTITUTE(SUBSTITUTE(INDEX(PASTE_ALL,$DF313,$L$15)," "," "),CHAR(9)," "),CHAR(10)," "),CHAR(13)," ")),"")),"")))</f>
        <v/>
      </c>
      <c r="DX313">
        <f>IF($DM313=0,"",IF($L$16=0,"",IFERROR(IF(ISNUMBER(INDEX(PASTE_ALL,$DF313,$L$16)),INDEX(PASTE_ALL,$DF313,$L$16),SUBSTITUTE(SUBSTITUTE(TRIM(SUBSTITUTE(SUBSTITUTE(SUBSTITUTE(SUBSTITUTE(INDEX(PASTE_ALL,$DF313,$L$16)," "," "),CHAR(9)," "),CHAR(10)," "),CHAR(13)," ")),",",""),"%","")),"")))</f>
        <v/>
      </c>
      <c r="DY313">
        <f>IF($DM313=0,"",IFERROR(IF(ISNUMBER($DX313),$DX313,IF($DX313="","",IF(TRIM($DX313)="",0,IF(AND(AND(SUBSTITUTE(SUBSTITUTE(SUBSTITUTE(SUBSTITUTE(SUBSTITUTE(SUBSTITUTE(SUBSTITUTE(SUBSTITUTE(SUBSTITUTE(SUBSTITUTE(SUBSTITUTE(SUBSTITUTE(SUBSTITUTE(SUBSTITUTE(UPPER(TRIM($DX313)),"0",""),"1",""),"2",""),"3",""),"4",""),"5",""),"6",""),"7",""),"8",""),"9",""),".",""),"+",""),"-",""),"E","")="",LEN(SUBSTITUTE(SUBSTITUTE(MID(UPPER(TRIM($DX313)),1+OR(LEFT(UPPER(TRIM($DX313)),1)="+",LEFT(UPPER(TRIM($DX313)),1)="-"),999),"E+","E"),"E-","E"))=LEN(SUBSTITUTE(SUBSTITUTE(SUBSTITUTE(SUBSTITUTE(MID(UPPER(TRIM($DX313)),1+OR(LEFT(UPPER(TRIM($DX313)),1)="+",LEFT(UPPER(TRIM($DX313)),1)="-"),999),"E+","E"),"E-","E"),"+",""),"-","")),LEN(UPPER(TRIM($DX313)))-LEN(SUBSTITUTE(UPPER(TRIM($DX313)),"E",""))&lt;2,LEN(UPPER(TRIM($DX313)))-LEN(SUBSTITUTE(UPPER(TRIM($DX313)),".",""))&lt;2,IFERROR(FIND(".",UPPER(TRIM($DX313))),0)&lt;IFERROR(FIND("E",UPPER(TRIM($DX313))),999)),ISNUMBER(VALUE(TRIM($DX313)))),VALUE(TRIM($DX313)),"")))),""))</f>
        <v/>
      </c>
      <c r="DZ313">
        <f>IF($DM313=0,"",IF($L$17=0,"",IFERROR(IF(ISNUMBER(INDEX(PASTE_ALL,$DF313,$L$17)),INDEX(PASTE_ALL,$DF313,$L$17),SUBSTITUTE(SUBSTITUTE(TRIM(SUBSTITUTE(SUBSTITUTE(SUBSTITUTE(SUBSTITUTE(INDEX(PASTE_ALL,$DF313,$L$17)," "," "),CHAR(9)," "),CHAR(10)," "),CHAR(13)," ")),",",""),"%","")),"")))</f>
        <v/>
      </c>
      <c r="EA313">
        <f>IF($DM313=0,"",IFERROR(IF(ISNUMBER($DZ313),$DZ313,IF($DZ313="","",IF(TRIM($DZ313)="",0,IF(AND(AND(SUBSTITUTE(SUBSTITUTE(SUBSTITUTE(SUBSTITUTE(SUBSTITUTE(SUBSTITUTE(SUBSTITUTE(SUBSTITUTE(SUBSTITUTE(SUBSTITUTE(SUBSTITUTE(SUBSTITUTE(SUBSTITUTE(SUBSTITUTE(UPPER(TRIM($DZ313)),"0",""),"1",""),"2",""),"3",""),"4",""),"5",""),"6",""),"7",""),"8",""),"9",""),".",""),"+",""),"-",""),"E","")="",LEN(SUBSTITUTE(SUBSTITUTE(MID(UPPER(TRIM($DZ313)),1+OR(LEFT(UPPER(TRIM($DZ313)),1)="+",LEFT(UPPER(TRIM($DZ313)),1)="-"),999),"E+","E"),"E-","E"))=LEN(SUBSTITUTE(SUBSTITUTE(SUBSTITUTE(SUBSTITUTE(MID(UPPER(TRIM($DZ313)),1+OR(LEFT(UPPER(TRIM($DZ313)),1)="+",LEFT(UPPER(TRIM($DZ313)),1)="-"),999),"E+","E"),"E-","E"),"+",""),"-","")),LEN(UPPER(TRIM($DZ313)))-LEN(SUBSTITUTE(UPPER(TRIM($DZ313)),"E",""))&lt;2,LEN(UPPER(TRIM($DZ313)))-LEN(SUBSTITUTE(UPPER(TRIM($DZ313)),".",""))&lt;2,IFERROR(FIND(".",UPPER(TRIM($DZ313))),0)&lt;IFERROR(FIND("E",UPPER(TRIM($DZ313))),999)),ISNUMBER(VALUE(TRIM($DZ313)))),VALUE(TRIM($DZ313)),"")))),""))</f>
        <v/>
      </c>
      <c r="EB313">
        <f>IF($DM313=0,"",IF($L$18=0,"",IFERROR(IF(UPPER(TRIM(SUBSTITUTE(SUBSTITUTE(SUBSTITUTE(SUBSTITUTE(INDEX(PASTE_ALL,$DF313,$L$18)," "," "),CHAR(9)," "),CHAR(10)," "),CHAR(13)," ")))="READY","Ready",IF(UPPER(TRIM(SUBSTITUTE(SUBSTITUTE(SUBSTITUTE(SUBSTITUTE(INDEX(PASTE_ALL,$DF313,$L$18)," "," "),CHAR(9)," "),CHAR(10)," "),CHAR(13)," ")))="PM","PM",IF(OR(UPPER(TRIM(SUBSTITUTE(SUBSTITUTE(SUBSTITUTE(SUBSTITUTE(INDEX(PASTE_ALL,$DF313,$L$18)," "," "),CHAR(9)," "),CHAR(10)," "),CHAR(13)," ")))="OT",UPPER(TRIM(SUBSTITUTE(SUBSTITUTE(SUBSTITUTE(SUBSTITUTE(INDEX(PASTE_ALL,$DF313,$L$18)," "," "),CHAR(9)," "),CHAR(10)," "),CHAR(13)," ")))="OVERTIME",UPPER(TRIM(SUBSTITUTE(SUBSTITUTE(SUBSTITUTE(SUBSTITUTE(INDEX(PASTE_ALL,$DF313,$L$18)," "," "),CHAR(9)," "),CHAR(10)," "),CHAR(13)," ")))="TRIAL"),"OT",TRIM(SUBSTITUTE(SUBSTITUTE(SUBSTITUTE(SUBSTITUTE(INDEX(PASTE_ALL,$DF313,$L$18)," "," "),CHAR(9)," "),CHAR(10)," "),CHAR(13)," "))))),"")))</f>
        <v/>
      </c>
      <c r="EC313">
        <f>IF($DM313=0,"",IF($L$19=0,"",IFERROR(IF(ISNUMBER(INDEX(PASTE_ALL,$DF313,$L$19)),INDEX(PASTE_ALL,$DF313,$L$19),TRIM(SUBSTITUTE(SUBSTITUTE(SUBSTITUTE(SUBSTITUTE(INDEX(PASTE_ALL,$DF313,$L$19)," "," "),CHAR(9)," "),CHAR(10)," "),CHAR(13)," "))),"")))</f>
        <v/>
      </c>
      <c r="ED313">
        <f>IF($DM313=0,"",MATCH(1,INDEX(EXACT($DH$5:DH313,$DH313)*$DM$5:DM313,0),0))</f>
        <v/>
      </c>
      <c r="EE313">
        <f>IF($DM313=0,0,IF($ED313=$DE313,1,0))</f>
        <v/>
      </c>
      <c r="EF313">
        <f>EF312+$EE313</f>
        <v/>
      </c>
      <c r="EG313">
        <f>IF($DM313=0,"",INDEX($EF$5:$EF$1003,$ED313))</f>
        <v/>
      </c>
      <c r="EH313">
        <f>IF($DM313=0,"",IF($DO313&lt;&gt;"","",IFERROR(LOOKUP(2,1/(($EG$4:EG312=$EG313)*($DO$4:DO312&lt;&gt;"")),$DO$4:DO312),"")))</f>
        <v/>
      </c>
      <c r="EI313">
        <f>IF($DM313=0,"",IF($DO313&lt;&gt;"",$DO313,$EH313))</f>
        <v/>
      </c>
      <c r="EJ313">
        <f>IF($DM313=0,"",IF($EI313="",0,IF(OR(ISNUMBER($EI313),AND(AND(SUBSTITUTE(SUBSTITUTE(SUBSTITUTE(SUBSTITUTE(SUBSTITUTE(SUBSTITUTE(SUBSTITUTE(SUBSTITUTE(SUBSTITUTE(SUBSTITUTE(SUBSTITUTE(SUBSTITUTE(SUBSTITUTE(SUBSTITUTE(UPPER($EI313),"0",""),"1",""),"2",""),"3",""),"4",""),"5",""),"6",""),"7",""),"8",""),"9",""),".",""),"+",""),"-",""),"E","")="",LEN(SUBSTITUTE(SUBSTITUTE(MID(UPPER($EI313),1+OR(LEFT(UPPER($EI313),1)="+",LEFT(UPPER($EI313),1)="-"),999),"E+","E"),"E-","E"))=LEN(SUBSTITUTE(SUBSTITUTE(SUBSTITUTE(SUBSTITUTE(MID(UPPER($EI313),1+OR(LEFT(UPPER($EI313),1)="+",LEFT(UPPER($EI313),1)="-"),999),"E+","E"),"E-","E"),"+",""),"-","")),LEN(UPPER($EI313))-LEN(SUBSTITUTE(UPPER($EI313),"E",""))&lt;2,LEN(UPPER($EI313))-LEN(SUBSTITUTE(UPPER($EI313),".",""))&lt;2,IFERROR(FIND(".",UPPER($EI313)),0)&lt;IFERROR(FIND("E",UPPER($EI313)),999)),ISNUMBER(VALUE($EI313)))),1,2)))</f>
        <v/>
      </c>
      <c r="EK313">
        <f>IF($DM313=0,"",IF($EJ313=1,IF(ISNUMBER($EI313),$EI313,VALUE($EI313)),IF($EJ313=2,$DE313,0)))</f>
        <v/>
      </c>
      <c r="EL313">
        <f>IF($DM313=0,"",COUNTIF($EG$5:$EG$1003,"&lt;"&amp;$EG313)+SUMPRODUCT(($EG$5:$EG$1003=$EG313)*(($EJ$5:$EJ$1003&lt;$EJ313)+($EJ$5:$EJ$1003=$EJ313)*(($EK$5:$EK$1003&lt;$EK313)+($EK$5:$EK$1003=$EK313)*($DE$5:$DE$1003&lt;$DE313))))+1)</f>
        <v/>
      </c>
      <c r="EM313">
        <f>IF($DM313=0,"",$EL313+$EG313-1)</f>
        <v/>
      </c>
      <c r="EN313">
        <f>IF($DM313=0,0,IFERROR(MATCH(1,INDEX(--(TRIM(SUBSTITUTE(SUBSTITUTE(SUBSTITUTE(SUBSTITUTE(LINES_NAME&amp;""," "," "),CHAR(9)," "),CHAR(10)," "),CHAR(13)," "))=$DH313),0),0),0))</f>
        <v/>
      </c>
      <c r="EO313">
        <f>IF($EN313=0,0,IF(OR(UPPER(TRIM(INDEX(LINES_SCHEDULED,$EN313)&amp;""))="YES",UPPER(TRIM(INDEX(LINES_SCHEDULED,$EN313)&amp;""))="Y",UPPER(TRIM(INDEX(LINES_SCHEDULED,$EN313)&amp;""))="X"),1,0))</f>
        <v/>
      </c>
      <c r="EP313">
        <f>IF($DM313=0,"",IF(COUNTIFS($EG$5:$EG$1003,$EG313,$EB$5:$EB$1003,"Ready")&gt;0,"READY",IF(COUNTIFS($EG$5:$EG$1003,$EG313,$EB$5:$EB$1003,"PM")&gt;0,"PM",IF(COUNTIFS($EG$5:$EG$1003,$EG313,$EB$5:$EB$1003,"OT")&gt;0,"OT",""))))</f>
        <v/>
      </c>
      <c r="EQ313">
        <f>IF($EN313=0,"",UPPER(TRIM(INDEX(LINES_STATUS,$EN313)&amp;"")))</f>
        <v/>
      </c>
      <c r="ER313">
        <f>IF($DM313=0,"",IF(OR($EQ313="READY",$EQ313="PM",$EQ313="OT"),$EQ313,$EP313))</f>
        <v/>
      </c>
      <c r="ES313">
        <f>IF($DM313=0,"",IF(AND($DV313&lt;&gt;"",UPPER($DV313)&lt;&gt;"N"),"allergen",IF(ISNUMBER(SEARCH("oil",$DQ313)),"oil",IF(OR(EXACT($DS313,"A662"),EXACT($DS313,"A624")),"bulk",""))))</f>
        <v/>
      </c>
      <c r="ET313">
        <f>IF($DM313=0,"",IF(OR($EA313="",$EA313=0),"",$EA313/100))</f>
        <v/>
      </c>
      <c r="EU313">
        <f>IF(OR($ET313="",$DY313=""),"",INT($DY313*(1-$ET313)+0.5))</f>
        <v/>
      </c>
      <c r="EW313" t="n">
        <v>309</v>
      </c>
      <c r="EX313">
        <f>IFERROR(MATCH($EW313,$EM$5:$EM$1003,0),0)</f>
        <v/>
      </c>
      <c r="EY313">
        <f>IF($EW313&gt;$B$12,"",IF($EX313&gt;0,"row","spacer"))</f>
        <v/>
      </c>
      <c r="EZ313">
        <f>IF(AND($EY313="row",$EY312&lt;&gt;"row"),1,0)</f>
        <v/>
      </c>
      <c r="FA313">
        <f>IF(AND($EY313="row",$EY314&lt;&gt;"row"),1,0)</f>
        <v/>
      </c>
      <c r="FB313">
        <f>IF($EZ313=1,IFERROR(IF(ISNUMBER(INDEX(PASTE_ALL,INDEX($DF$5:$DF$1003,$EX313),$B$37)),INDEX(PASTE_ALL,INDEX($DF$5:$DF$1003,$EX313),$B$37),INDEX($DH$5:$DH$1003,$EX313)),INDEX($DH$5:$DH$1003,$EX313)),"")</f>
        <v/>
      </c>
      <c r="FC313">
        <f>IF($EY313="row",INDEX($ER$5:$ER$1003,$EX313),"")</f>
        <v/>
      </c>
      <c r="FD313">
        <f>IF($EY313="row",INDEX($DN$5:$DN$1003,$EX313),"")</f>
        <v/>
      </c>
      <c r="FE313">
        <f>IF($EY313="row",INDEX($DO$5:$DO$1003,$EX313),"")</f>
        <v/>
      </c>
      <c r="FF313">
        <f>IF($EY313="row",INDEX($DP$5:$DP$1003,$EX313),"")</f>
        <v/>
      </c>
      <c r="FG313">
        <f>IF($EY313="row",INDEX($DQ$5:$DQ$1003,$EX313),"")</f>
        <v/>
      </c>
      <c r="FH313">
        <f>IF($EY313="row",INDEX($DR$5:$DR$1003,$EX313),"")</f>
        <v/>
      </c>
      <c r="FI313">
        <f>IF($EY313="row",INDEX($DS$5:$DS$1003,$EX313),"")</f>
        <v/>
      </c>
      <c r="FJ313">
        <f>IF($EY313="row",INDEX($DT$5:$DT$1003,$EX313),"")</f>
        <v/>
      </c>
      <c r="FK313">
        <f>IF($EY313="row",INDEX($DU$5:$DU$1003,$EX313),"")</f>
        <v/>
      </c>
      <c r="FL313">
        <f>IF($EY313="row",INDEX($DV$5:$DV$1003,$EX313),"")</f>
        <v/>
      </c>
      <c r="FM313">
        <f>IF($EY313="row",INDEX($DW$5:$DW$1003,$EX313),"")</f>
        <v/>
      </c>
      <c r="FN313">
        <f>IF($EY313="row",INDEX($DY$5:$DY$1003,$EX313),"")</f>
        <v/>
      </c>
      <c r="FO313">
        <f>IF($EY313="row",INDEX($EA$5:$EA$1003,$EX313),"")</f>
        <v/>
      </c>
      <c r="FP313">
        <f>IF($EY313="row",INDEX($EC$5:$EC$1003,$EX313),"")</f>
        <v/>
      </c>
      <c r="FQ313">
        <f>IF($EY313="row",INDEX($ET$5:$ET$1003,$EX313),"")</f>
        <v/>
      </c>
      <c r="FR313">
        <f>IF($EY313="row",INDEX($EU$5:$EU$1003,$EX313),"")</f>
        <v/>
      </c>
      <c r="FS313">
        <f>IF(AND($EY313="row",$EY312="row"),IF(OR(INDEX($DT$5:$DT$1003,$EX312)="",INDEX($DT$5:$DT$1003,$EX313)=""),"",IF(NOT(EXACT(INDEX($DT$5:$DT$1003,$EX312),INDEX($DT$5:$DT$1003,$EX313))),"S4",IF(NOT(EXACT(INDEX($DS$5:$DS$1003,$EX312),INDEX($DS$5:$DS$1003,$EX313))),"S3",IF(NOT(EXACT(INDEX($DR$5:$DR$1003,$EX312),INDEX($DR$5:$DR$1003,$EX313))),"S1 Count Change","S1")))),"")</f>
        <v/>
      </c>
      <c r="FT313">
        <f>IF($EY313="row",INDEX($ES$5:$ES$1003,$EX313),"")</f>
        <v/>
      </c>
      <c r="FU313">
        <f>IF($EY313="row",INDEX($EO$5:$EO$1003,$EX313),0)</f>
        <v/>
      </c>
      <c r="FV313">
        <f>IF($FS313="S1 Count Change",1,0)</f>
        <v/>
      </c>
    </row>
    <row r="314">
      <c r="DA314" t="n">
        <v>310</v>
      </c>
      <c r="DB314">
        <f>IF($B$37=0,"",IFERROR(TRIM(SUBSTITUTE(SUBSTITUTE(SUBSTITUTE(SUBSTITUTE(INDEX(PASTE_ALL,310,$B$37)," "," "),CHAR(9)," "),CHAR(10)," "),CHAR(13)," ")),""))</f>
        <v/>
      </c>
      <c r="DC314">
        <f>IF(AND(310&gt;HEADER_ROW,UPPER(DB314)="LEGEND"),1,0)</f>
        <v/>
      </c>
      <c r="DE314" t="n">
        <v>310</v>
      </c>
      <c r="DF314">
        <f>HEADER_ROW+$DE314</f>
        <v/>
      </c>
      <c r="DG314">
        <f>IF(AND($DF314&lt;=1000,$DF314&lt;$B$8),1,0)</f>
        <v/>
      </c>
      <c r="DH314">
        <f>IF($DG314=1,IFERROR(INDEX($DB$5:$DB$1004,$DF314),""),"")</f>
        <v/>
      </c>
      <c r="DI314">
        <f>IF(AND($DG314=1,$DH314&lt;&gt;""),IFERROR(SUBSTITUTE(SUBSTITUTE(TRIM(SUBSTITUTE(SUBSTITUTE(SUBSTITUTE(SUBSTITUTE(IFERROR(INDEX(PASTE_ALL,$DF314,1)&amp;"","")&amp;"␟"&amp;IFERROR(INDEX(PASTE_ALL,$DF314,2)&amp;"","")&amp;"␟"&amp;IFERROR(INDEX(PASTE_ALL,$DF314,3)&amp;"","")&amp;"␟"&amp;IFERROR(INDEX(PASTE_ALL,$DF314,4)&amp;"","")&amp;"␟"&amp;IFERROR(INDEX(PASTE_ALL,$DF314,5)&amp;"","")&amp;"␟"&amp;IFERROR(INDEX(PASTE_ALL,$DF314,6)&amp;"","")&amp;"␟"&amp;IFERROR(INDEX(PASTE_ALL,$DF314,7)&amp;"","")&amp;"␟"&amp;IFERROR(INDEX(PASTE_ALL,$DF314,8)&amp;"","")&amp;"␟"&amp;IFERROR(INDEX(PASTE_ALL,$DF314,9)&amp;"","")&amp;"␟"&amp;IFERROR(INDEX(PASTE_ALL,$DF314,10)&amp;"","")&amp;"␟"&amp;IFERROR(INDEX(PASTE_ALL,$DF314,11)&amp;"","")&amp;"␟"&amp;IFERROR(INDEX(PASTE_ALL,$DF314,12)&amp;"","")&amp;"␟"&amp;IFERROR(INDEX(PASTE_ALL,$DF314,13)&amp;"","")&amp;"␟"&amp;IFERROR(INDEX(PASTE_ALL,$DF314,14)&amp;"","")&amp;"␟"&amp;IFERROR(INDEX(PASTE_ALL,$DF314,15)&amp;"","")&amp;"␟"&amp;IFERROR(INDEX(PASTE_ALL,$DF314,16)&amp;"","")&amp;"␟"&amp;IFERROR(INDEX(PASTE_ALL,$DF314,17)&amp;"","")&amp;"␟"&amp;IFERROR(INDEX(PASTE_ALL,$DF314,18)&amp;"","")&amp;"␟"&amp;IFERROR(INDEX(PASTE_ALL,$DF314,19)&amp;"","")&amp;"␟"&amp;IFERROR(INDEX(PASTE_ALL,$DF314,20)&amp;"","")&amp;"␟"&amp;IFERROR(INDEX(PASTE_ALL,$DF314,21)&amp;"","")&amp;"␟"&amp;IFERROR(INDEX(PASTE_ALL,$DF314,22)&amp;"","")&amp;"␟"&amp;IFERROR(INDEX(PASTE_ALL,$DF314,23)&amp;"","")&amp;"␟"&amp;IFERROR(INDEX(PASTE_ALL,$DF314,24)&amp;"","")&amp;"␟"&amp;IFERROR(INDEX(PASTE_ALL,$DF314,25)&amp;"","")&amp;"␟"&amp;IFERROR(INDEX(PASTE_ALL,$DF314,26)&amp;"","")&amp;"␟"&amp;IFERROR(INDEX(PASTE_ALL,$DF314,27)&amp;"","")&amp;"␟"&amp;IFERROR(INDEX(PASTE_ALL,$DF314,28)&amp;"","")&amp;"␟"&amp;IFERROR(INDEX(PASTE_ALL,$DF314,29)&amp;"","")&amp;"␟"&amp;IFERROR(INDEX(PASTE_ALL,$DF314,30)&amp;"","")&amp;"␟"&amp;IFERROR(INDEX(PASTE_ALL,$DF314,31)&amp;"","")&amp;"␟"&amp;IFERROR(INDEX(PASTE_ALL,$DF314,32)&amp;"","")&amp;"␟"&amp;IFERROR(INDEX(PASTE_ALL,$DF314,33)&amp;"","")&amp;"␟"&amp;IFERROR(INDEX(PASTE_ALL,$DF314,34)&amp;"","")&amp;"␟"&amp;IFERROR(INDEX(PASTE_ALL,$DF314,35)&amp;"","")&amp;"␟"&amp;IFERROR(INDEX(PASTE_ALL,$DF314,36)&amp;"","")&amp;"␟"&amp;IFERROR(INDEX(PASTE_ALL,$DF314,37)&amp;"","")&amp;"␟"&amp;IFERROR(INDEX(PASTE_ALL,$DF314,38)&amp;"","")&amp;"␟"&amp;IFERROR(INDEX(PASTE_ALL,$DF314,39)&amp;"","")&amp;"␟"&amp;IFERROR(INDEX(PASTE_ALL,$DF314,40)&amp;"","")&amp;"␟"&amp;IFERROR(INDEX(PASTE_ALL,$DF314,41)&amp;"","")&amp;"␟"&amp;IFERROR(INDEX(PASTE_ALL,$DF314,42)&amp;"","")&amp;"␟"&amp;IFERROR(INDEX(PASTE_ALL,$DF314,43)&amp;"","")&amp;"␟"&amp;IFERROR(INDEX(PASTE_ALL,$DF314,44)&amp;"","")&amp;"␟"&amp;IFERROR(INDEX(PASTE_ALL,$DF314,45)&amp;"","")&amp;"␟"&amp;IFERROR(INDEX(PASTE_ALL,$DF314,46)&amp;"","")&amp;"␟"&amp;IFERROR(INDEX(PASTE_ALL,$DF314,47)&amp;"","")&amp;"␟"&amp;IFERROR(INDEX(PASTE_ALL,$DF314,48)&amp;"","")&amp;"␟"&amp;IFERROR(INDEX(PASTE_ALL,$DF314,49)&amp;"","")&amp;"␟"&amp;IFERROR(INDEX(PASTE_ALL,$DF314,50)&amp;"","")&amp;"␟"&amp;IFERROR(INDEX(PASTE_ALL,$DF314,51)&amp;"","")&amp;"␟"&amp;IFERROR(INDEX(PASTE_ALL,$DF314,52)&amp;"","")&amp;"␟"&amp;IFERROR(INDEX(PASTE_ALL,$DF314,53)&amp;"","")&amp;"␟"&amp;IFERROR(INDEX(PASTE_ALL,$DF314,54)&amp;"","")&amp;"␟"&amp;IFERROR(INDEX(PASTE_ALL,$DF314,55)&amp;"","")&amp;"␟"&amp;IFERROR(INDEX(PASTE_ALL,$DF314,56)&amp;"","")&amp;"␟"&amp;IFERROR(INDEX(PASTE_ALL,$DF314,57)&amp;"","")&amp;"␟"&amp;IFERROR(INDEX(PASTE_ALL,$DF314,58)&amp;"","")&amp;"␟"&amp;IFERROR(INDEX(PASTE_ALL,$DF314,59)&amp;"","")&amp;"␟"&amp;IFERROR(INDEX(PASTE_ALL,$DF314,60)&amp;"","")," "," "),CHAR(9)," "),CHAR(10)," "),CHAR(13)," "))," ␟","␟"),"␟ ","␟"),"#"&amp;$DE314),"")</f>
        <v/>
      </c>
      <c r="DJ314">
        <f>IF($DI314="",0,IF(SUMPRODUCT(--EXACT($DI$4:DI313,$DI314))&gt;0,1,0))</f>
        <v/>
      </c>
      <c r="DK314">
        <f>IF(AND($DI314&lt;&gt;"",$DJ314=0),1,0)</f>
        <v/>
      </c>
      <c r="DL314">
        <f>DL313+$DK314</f>
        <v/>
      </c>
      <c r="DM314">
        <f>IF(AND($DK314=1,$DL314&lt;=600),1,0)</f>
        <v/>
      </c>
      <c r="DN314">
        <f>IF($DM314=0,"",IF($L$6=0,"",IFERROR(IF(ISNUMBER(INDEX(PASTE_ALL,$DF314,$L$6)),INDEX(PASTE_ALL,$DF314,$L$6),TRIM(SUBSTITUTE(SUBSTITUTE(SUBSTITUTE(SUBSTITUTE(INDEX(PASTE_ALL,$DF314,$L$6)," "," "),CHAR(9)," "),CHAR(10)," "),CHAR(13)," "))),"")))</f>
        <v/>
      </c>
      <c r="DO314">
        <f>IF($DM314=0,"",IF($L$7=0,"",IFERROR(IF(ISNUMBER(INDEX(PASTE_ALL,$DF314,$L$7)),INDEX(PASTE_ALL,$DF314,$L$7),TRIM(SUBSTITUTE(SUBSTITUTE(SUBSTITUTE(SUBSTITUTE(INDEX(PASTE_ALL,$DF314,$L$7)," "," "),CHAR(9)," "),CHAR(10)," "),CHAR(13)," "))),"")))</f>
        <v/>
      </c>
      <c r="DP314">
        <f>IF($DM314=0,"",IF($L$8=0,"",IFERROR(IF(ISNUMBER(INDEX(PASTE_ALL,$DF314,$L$8)),INDEX(PASTE_ALL,$DF314,$L$8),TRIM(SUBSTITUTE(SUBSTITUTE(SUBSTITUTE(SUBSTITUTE(INDEX(PASTE_ALL,$DF314,$L$8)," "," "),CHAR(9)," "),CHAR(10)," "),CHAR(13)," "))),"")))</f>
        <v/>
      </c>
      <c r="DQ314">
        <f>IF($DM314=0,"",IF($L$9=0,"",IFERROR(IF(ISNUMBER(INDEX(PASTE_ALL,$DF314,$L$9)),INDEX(PASTE_ALL,$DF314,$L$9),TRIM(SUBSTITUTE(SUBSTITUTE(SUBSTITUTE(SUBSTITUTE(INDEX(PASTE_ALL,$DF314,$L$9)," "," "),CHAR(9)," "),CHAR(10)," "),CHAR(13)," "))),"")))</f>
        <v/>
      </c>
      <c r="DR314">
        <f>IF($DM314=0,"",IF($L$10=0,"",IFERROR(IF(ISNUMBER(INDEX(PASTE_ALL,$DF314,$L$10)),INDEX(PASTE_ALL,$DF314,$L$10),TRIM(SUBSTITUTE(SUBSTITUTE(SUBSTITUTE(SUBSTITUTE(INDEX(PASTE_ALL,$DF314,$L$10)," "," "),CHAR(9)," "),CHAR(10)," "),CHAR(13)," "))),"")))</f>
        <v/>
      </c>
      <c r="DS314">
        <f>IF($DM314=0,"",IF($L$11=0,"",IFERROR(IF(ISNUMBER(INDEX(PASTE_ALL,$DF314,$L$11)),INDEX(PASTE_ALL,$DF314,$L$11),TRIM(SUBSTITUTE(SUBSTITUTE(SUBSTITUTE(SUBSTITUTE(INDEX(PASTE_ALL,$DF314,$L$11)," "," "),CHAR(9)," "),CHAR(10)," "),CHAR(13)," "))),"")))</f>
        <v/>
      </c>
      <c r="DT314">
        <f>IF($DM314=0,"",IF($L$12=0,"",IFERROR(IF(ISNUMBER(INDEX(PASTE_ALL,$DF314,$L$12)),INDEX(PASTE_ALL,$DF314,$L$12),TRIM(SUBSTITUTE(SUBSTITUTE(SUBSTITUTE(SUBSTITUTE(INDEX(PASTE_ALL,$DF314,$L$12)," "," "),CHAR(9)," "),CHAR(10)," "),CHAR(13)," "))),"")))</f>
        <v/>
      </c>
      <c r="DU314">
        <f>IF($DM314=0,"",IF($L$13=0,"",IFERROR(IF(ISNUMBER(INDEX(PASTE_ALL,$DF314,$L$13)),INDEX(PASTE_ALL,$DF314,$L$13),TRIM(SUBSTITUTE(SUBSTITUTE(SUBSTITUTE(SUBSTITUTE(INDEX(PASTE_ALL,$DF314,$L$13)," "," "),CHAR(9)," "),CHAR(10)," "),CHAR(13)," "))),"")))</f>
        <v/>
      </c>
      <c r="DV314">
        <f>IF($DM314=0,"",IF($L$14=0,"",IFERROR(IF(ISNUMBER(INDEX(PASTE_ALL,$DF314,$L$14)),INDEX(PASTE_ALL,$DF314,$L$14),TRIM(SUBSTITUTE(SUBSTITUTE(SUBSTITUTE(SUBSTITUTE(INDEX(PASTE_ALL,$DF314,$L$14)," "," "),CHAR(9)," "),CHAR(10)," "),CHAR(13)," "))),"")))</f>
        <v/>
      </c>
      <c r="DW314">
        <f>IF($DM314=0,"",IF($L$15=0,"",IFERROR(IF(ISNUMBER(INDEX(PASTE_ALL,$DF314,$L$15)),INDEX(PASTE_ALL,$DF314,$L$15),IF(SUMPRODUCT(--ISNUMBER(FIND({"A","B","C","D","E","F","G","H","I","J","K","L","M","N","O","P","Q","R","S","T","U","V","W","X","Y","Z","0","1","2","3","4","5","6","7","8","9"},UPPER(TRIM(SUBSTITUTE(SUBSTITUTE(SUBSTITUTE(SUBSTITUTE(INDEX(PASTE_ALL,$DF314,$L$15)," "," "),CHAR(9)," "),CHAR(10)," "),CHAR(13)," "))))))&gt;0,TRIM(SUBSTITUTE(SUBSTITUTE(SUBSTITUTE(SUBSTITUTE(INDEX(PASTE_ALL,$DF314,$L$15)," "," "),CHAR(9)," "),CHAR(10)," "),CHAR(13)," ")),"")),"")))</f>
        <v/>
      </c>
      <c r="DX314">
        <f>IF($DM314=0,"",IF($L$16=0,"",IFERROR(IF(ISNUMBER(INDEX(PASTE_ALL,$DF314,$L$16)),INDEX(PASTE_ALL,$DF314,$L$16),SUBSTITUTE(SUBSTITUTE(TRIM(SUBSTITUTE(SUBSTITUTE(SUBSTITUTE(SUBSTITUTE(INDEX(PASTE_ALL,$DF314,$L$16)," "," "),CHAR(9)," "),CHAR(10)," "),CHAR(13)," ")),",",""),"%","")),"")))</f>
        <v/>
      </c>
      <c r="DY314">
        <f>IF($DM314=0,"",IFERROR(IF(ISNUMBER($DX314),$DX314,IF($DX314="","",IF(TRIM($DX314)="",0,IF(AND(AND(SUBSTITUTE(SUBSTITUTE(SUBSTITUTE(SUBSTITUTE(SUBSTITUTE(SUBSTITUTE(SUBSTITUTE(SUBSTITUTE(SUBSTITUTE(SUBSTITUTE(SUBSTITUTE(SUBSTITUTE(SUBSTITUTE(SUBSTITUTE(UPPER(TRIM($DX314)),"0",""),"1",""),"2",""),"3",""),"4",""),"5",""),"6",""),"7",""),"8",""),"9",""),".",""),"+",""),"-",""),"E","")="",LEN(SUBSTITUTE(SUBSTITUTE(MID(UPPER(TRIM($DX314)),1+OR(LEFT(UPPER(TRIM($DX314)),1)="+",LEFT(UPPER(TRIM($DX314)),1)="-"),999),"E+","E"),"E-","E"))=LEN(SUBSTITUTE(SUBSTITUTE(SUBSTITUTE(SUBSTITUTE(MID(UPPER(TRIM($DX314)),1+OR(LEFT(UPPER(TRIM($DX314)),1)="+",LEFT(UPPER(TRIM($DX314)),1)="-"),999),"E+","E"),"E-","E"),"+",""),"-","")),LEN(UPPER(TRIM($DX314)))-LEN(SUBSTITUTE(UPPER(TRIM($DX314)),"E",""))&lt;2,LEN(UPPER(TRIM($DX314)))-LEN(SUBSTITUTE(UPPER(TRIM($DX314)),".",""))&lt;2,IFERROR(FIND(".",UPPER(TRIM($DX314))),0)&lt;IFERROR(FIND("E",UPPER(TRIM($DX314))),999)),ISNUMBER(VALUE(TRIM($DX314)))),VALUE(TRIM($DX314)),"")))),""))</f>
        <v/>
      </c>
      <c r="DZ314">
        <f>IF($DM314=0,"",IF($L$17=0,"",IFERROR(IF(ISNUMBER(INDEX(PASTE_ALL,$DF314,$L$17)),INDEX(PASTE_ALL,$DF314,$L$17),SUBSTITUTE(SUBSTITUTE(TRIM(SUBSTITUTE(SUBSTITUTE(SUBSTITUTE(SUBSTITUTE(INDEX(PASTE_ALL,$DF314,$L$17)," "," "),CHAR(9)," "),CHAR(10)," "),CHAR(13)," ")),",",""),"%","")),"")))</f>
        <v/>
      </c>
      <c r="EA314">
        <f>IF($DM314=0,"",IFERROR(IF(ISNUMBER($DZ314),$DZ314,IF($DZ314="","",IF(TRIM($DZ314)="",0,IF(AND(AND(SUBSTITUTE(SUBSTITUTE(SUBSTITUTE(SUBSTITUTE(SUBSTITUTE(SUBSTITUTE(SUBSTITUTE(SUBSTITUTE(SUBSTITUTE(SUBSTITUTE(SUBSTITUTE(SUBSTITUTE(SUBSTITUTE(SUBSTITUTE(UPPER(TRIM($DZ314)),"0",""),"1",""),"2",""),"3",""),"4",""),"5",""),"6",""),"7",""),"8",""),"9",""),".",""),"+",""),"-",""),"E","")="",LEN(SUBSTITUTE(SUBSTITUTE(MID(UPPER(TRIM($DZ314)),1+OR(LEFT(UPPER(TRIM($DZ314)),1)="+",LEFT(UPPER(TRIM($DZ314)),1)="-"),999),"E+","E"),"E-","E"))=LEN(SUBSTITUTE(SUBSTITUTE(SUBSTITUTE(SUBSTITUTE(MID(UPPER(TRIM($DZ314)),1+OR(LEFT(UPPER(TRIM($DZ314)),1)="+",LEFT(UPPER(TRIM($DZ314)),1)="-"),999),"E+","E"),"E-","E"),"+",""),"-","")),LEN(UPPER(TRIM($DZ314)))-LEN(SUBSTITUTE(UPPER(TRIM($DZ314)),"E",""))&lt;2,LEN(UPPER(TRIM($DZ314)))-LEN(SUBSTITUTE(UPPER(TRIM($DZ314)),".",""))&lt;2,IFERROR(FIND(".",UPPER(TRIM($DZ314))),0)&lt;IFERROR(FIND("E",UPPER(TRIM($DZ314))),999)),ISNUMBER(VALUE(TRIM($DZ314)))),VALUE(TRIM($DZ314)),"")))),""))</f>
        <v/>
      </c>
      <c r="EB314">
        <f>IF($DM314=0,"",IF($L$18=0,"",IFERROR(IF(UPPER(TRIM(SUBSTITUTE(SUBSTITUTE(SUBSTITUTE(SUBSTITUTE(INDEX(PASTE_ALL,$DF314,$L$18)," "," "),CHAR(9)," "),CHAR(10)," "),CHAR(13)," ")))="READY","Ready",IF(UPPER(TRIM(SUBSTITUTE(SUBSTITUTE(SUBSTITUTE(SUBSTITUTE(INDEX(PASTE_ALL,$DF314,$L$18)," "," "),CHAR(9)," "),CHAR(10)," "),CHAR(13)," ")))="PM","PM",IF(OR(UPPER(TRIM(SUBSTITUTE(SUBSTITUTE(SUBSTITUTE(SUBSTITUTE(INDEX(PASTE_ALL,$DF314,$L$18)," "," "),CHAR(9)," "),CHAR(10)," "),CHAR(13)," ")))="OT",UPPER(TRIM(SUBSTITUTE(SUBSTITUTE(SUBSTITUTE(SUBSTITUTE(INDEX(PASTE_ALL,$DF314,$L$18)," "," "),CHAR(9)," "),CHAR(10)," "),CHAR(13)," ")))="OVERTIME",UPPER(TRIM(SUBSTITUTE(SUBSTITUTE(SUBSTITUTE(SUBSTITUTE(INDEX(PASTE_ALL,$DF314,$L$18)," "," "),CHAR(9)," "),CHAR(10)," "),CHAR(13)," ")))="TRIAL"),"OT",TRIM(SUBSTITUTE(SUBSTITUTE(SUBSTITUTE(SUBSTITUTE(INDEX(PASTE_ALL,$DF314,$L$18)," "," "),CHAR(9)," "),CHAR(10)," "),CHAR(13)," "))))),"")))</f>
        <v/>
      </c>
      <c r="EC314">
        <f>IF($DM314=0,"",IF($L$19=0,"",IFERROR(IF(ISNUMBER(INDEX(PASTE_ALL,$DF314,$L$19)),INDEX(PASTE_ALL,$DF314,$L$19),TRIM(SUBSTITUTE(SUBSTITUTE(SUBSTITUTE(SUBSTITUTE(INDEX(PASTE_ALL,$DF314,$L$19)," "," "),CHAR(9)," "),CHAR(10)," "),CHAR(13)," "))),"")))</f>
        <v/>
      </c>
      <c r="ED314">
        <f>IF($DM314=0,"",MATCH(1,INDEX(EXACT($DH$5:DH314,$DH314)*$DM$5:DM314,0),0))</f>
        <v/>
      </c>
      <c r="EE314">
        <f>IF($DM314=0,0,IF($ED314=$DE314,1,0))</f>
        <v/>
      </c>
      <c r="EF314">
        <f>EF313+$EE314</f>
        <v/>
      </c>
      <c r="EG314">
        <f>IF($DM314=0,"",INDEX($EF$5:$EF$1003,$ED314))</f>
        <v/>
      </c>
      <c r="EH314">
        <f>IF($DM314=0,"",IF($DO314&lt;&gt;"","",IFERROR(LOOKUP(2,1/(($EG$4:EG313=$EG314)*($DO$4:DO313&lt;&gt;"")),$DO$4:DO313),"")))</f>
        <v/>
      </c>
      <c r="EI314">
        <f>IF($DM314=0,"",IF($DO314&lt;&gt;"",$DO314,$EH314))</f>
        <v/>
      </c>
      <c r="EJ314">
        <f>IF($DM314=0,"",IF($EI314="",0,IF(OR(ISNUMBER($EI314),AND(AND(SUBSTITUTE(SUBSTITUTE(SUBSTITUTE(SUBSTITUTE(SUBSTITUTE(SUBSTITUTE(SUBSTITUTE(SUBSTITUTE(SUBSTITUTE(SUBSTITUTE(SUBSTITUTE(SUBSTITUTE(SUBSTITUTE(SUBSTITUTE(UPPER($EI314),"0",""),"1",""),"2",""),"3",""),"4",""),"5",""),"6",""),"7",""),"8",""),"9",""),".",""),"+",""),"-",""),"E","")="",LEN(SUBSTITUTE(SUBSTITUTE(MID(UPPER($EI314),1+OR(LEFT(UPPER($EI314),1)="+",LEFT(UPPER($EI314),1)="-"),999),"E+","E"),"E-","E"))=LEN(SUBSTITUTE(SUBSTITUTE(SUBSTITUTE(SUBSTITUTE(MID(UPPER($EI314),1+OR(LEFT(UPPER($EI314),1)="+",LEFT(UPPER($EI314),1)="-"),999),"E+","E"),"E-","E"),"+",""),"-","")),LEN(UPPER($EI314))-LEN(SUBSTITUTE(UPPER($EI314),"E",""))&lt;2,LEN(UPPER($EI314))-LEN(SUBSTITUTE(UPPER($EI314),".",""))&lt;2,IFERROR(FIND(".",UPPER($EI314)),0)&lt;IFERROR(FIND("E",UPPER($EI314)),999)),ISNUMBER(VALUE($EI314)))),1,2)))</f>
        <v/>
      </c>
      <c r="EK314">
        <f>IF($DM314=0,"",IF($EJ314=1,IF(ISNUMBER($EI314),$EI314,VALUE($EI314)),IF($EJ314=2,$DE314,0)))</f>
        <v/>
      </c>
      <c r="EL314">
        <f>IF($DM314=0,"",COUNTIF($EG$5:$EG$1003,"&lt;"&amp;$EG314)+SUMPRODUCT(($EG$5:$EG$1003=$EG314)*(($EJ$5:$EJ$1003&lt;$EJ314)+($EJ$5:$EJ$1003=$EJ314)*(($EK$5:$EK$1003&lt;$EK314)+($EK$5:$EK$1003=$EK314)*($DE$5:$DE$1003&lt;$DE314))))+1)</f>
        <v/>
      </c>
      <c r="EM314">
        <f>IF($DM314=0,"",$EL314+$EG314-1)</f>
        <v/>
      </c>
      <c r="EN314">
        <f>IF($DM314=0,0,IFERROR(MATCH(1,INDEX(--(TRIM(SUBSTITUTE(SUBSTITUTE(SUBSTITUTE(SUBSTITUTE(LINES_NAME&amp;""," "," "),CHAR(9)," "),CHAR(10)," "),CHAR(13)," "))=$DH314),0),0),0))</f>
        <v/>
      </c>
      <c r="EO314">
        <f>IF($EN314=0,0,IF(OR(UPPER(TRIM(INDEX(LINES_SCHEDULED,$EN314)&amp;""))="YES",UPPER(TRIM(INDEX(LINES_SCHEDULED,$EN314)&amp;""))="Y",UPPER(TRIM(INDEX(LINES_SCHEDULED,$EN314)&amp;""))="X"),1,0))</f>
        <v/>
      </c>
      <c r="EP314">
        <f>IF($DM314=0,"",IF(COUNTIFS($EG$5:$EG$1003,$EG314,$EB$5:$EB$1003,"Ready")&gt;0,"READY",IF(COUNTIFS($EG$5:$EG$1003,$EG314,$EB$5:$EB$1003,"PM")&gt;0,"PM",IF(COUNTIFS($EG$5:$EG$1003,$EG314,$EB$5:$EB$1003,"OT")&gt;0,"OT",""))))</f>
        <v/>
      </c>
      <c r="EQ314">
        <f>IF($EN314=0,"",UPPER(TRIM(INDEX(LINES_STATUS,$EN314)&amp;"")))</f>
        <v/>
      </c>
      <c r="ER314">
        <f>IF($DM314=0,"",IF(OR($EQ314="READY",$EQ314="PM",$EQ314="OT"),$EQ314,$EP314))</f>
        <v/>
      </c>
      <c r="ES314">
        <f>IF($DM314=0,"",IF(AND($DV314&lt;&gt;"",UPPER($DV314)&lt;&gt;"N"),"allergen",IF(ISNUMBER(SEARCH("oil",$DQ314)),"oil",IF(OR(EXACT($DS314,"A662"),EXACT($DS314,"A624")),"bulk",""))))</f>
        <v/>
      </c>
      <c r="ET314">
        <f>IF($DM314=0,"",IF(OR($EA314="",$EA314=0),"",$EA314/100))</f>
        <v/>
      </c>
      <c r="EU314">
        <f>IF(OR($ET314="",$DY314=""),"",INT($DY314*(1-$ET314)+0.5))</f>
        <v/>
      </c>
      <c r="EW314" t="n">
        <v>310</v>
      </c>
      <c r="EX314">
        <f>IFERROR(MATCH($EW314,$EM$5:$EM$1003,0),0)</f>
        <v/>
      </c>
      <c r="EY314">
        <f>IF($EW314&gt;$B$12,"",IF($EX314&gt;0,"row","spacer"))</f>
        <v/>
      </c>
      <c r="EZ314">
        <f>IF(AND($EY314="row",$EY313&lt;&gt;"row"),1,0)</f>
        <v/>
      </c>
      <c r="FA314">
        <f>IF(AND($EY314="row",$EY315&lt;&gt;"row"),1,0)</f>
        <v/>
      </c>
      <c r="FB314">
        <f>IF($EZ314=1,IFERROR(IF(ISNUMBER(INDEX(PASTE_ALL,INDEX($DF$5:$DF$1003,$EX314),$B$37)),INDEX(PASTE_ALL,INDEX($DF$5:$DF$1003,$EX314),$B$37),INDEX($DH$5:$DH$1003,$EX314)),INDEX($DH$5:$DH$1003,$EX314)),"")</f>
        <v/>
      </c>
      <c r="FC314">
        <f>IF($EY314="row",INDEX($ER$5:$ER$1003,$EX314),"")</f>
        <v/>
      </c>
      <c r="FD314">
        <f>IF($EY314="row",INDEX($DN$5:$DN$1003,$EX314),"")</f>
        <v/>
      </c>
      <c r="FE314">
        <f>IF($EY314="row",INDEX($DO$5:$DO$1003,$EX314),"")</f>
        <v/>
      </c>
      <c r="FF314">
        <f>IF($EY314="row",INDEX($DP$5:$DP$1003,$EX314),"")</f>
        <v/>
      </c>
      <c r="FG314">
        <f>IF($EY314="row",INDEX($DQ$5:$DQ$1003,$EX314),"")</f>
        <v/>
      </c>
      <c r="FH314">
        <f>IF($EY314="row",INDEX($DR$5:$DR$1003,$EX314),"")</f>
        <v/>
      </c>
      <c r="FI314">
        <f>IF($EY314="row",INDEX($DS$5:$DS$1003,$EX314),"")</f>
        <v/>
      </c>
      <c r="FJ314">
        <f>IF($EY314="row",INDEX($DT$5:$DT$1003,$EX314),"")</f>
        <v/>
      </c>
      <c r="FK314">
        <f>IF($EY314="row",INDEX($DU$5:$DU$1003,$EX314),"")</f>
        <v/>
      </c>
      <c r="FL314">
        <f>IF($EY314="row",INDEX($DV$5:$DV$1003,$EX314),"")</f>
        <v/>
      </c>
      <c r="FM314">
        <f>IF($EY314="row",INDEX($DW$5:$DW$1003,$EX314),"")</f>
        <v/>
      </c>
      <c r="FN314">
        <f>IF($EY314="row",INDEX($DY$5:$DY$1003,$EX314),"")</f>
        <v/>
      </c>
      <c r="FO314">
        <f>IF($EY314="row",INDEX($EA$5:$EA$1003,$EX314),"")</f>
        <v/>
      </c>
      <c r="FP314">
        <f>IF($EY314="row",INDEX($EC$5:$EC$1003,$EX314),"")</f>
        <v/>
      </c>
      <c r="FQ314">
        <f>IF($EY314="row",INDEX($ET$5:$ET$1003,$EX314),"")</f>
        <v/>
      </c>
      <c r="FR314">
        <f>IF($EY314="row",INDEX($EU$5:$EU$1003,$EX314),"")</f>
        <v/>
      </c>
      <c r="FS314">
        <f>IF(AND($EY314="row",$EY313="row"),IF(OR(INDEX($DT$5:$DT$1003,$EX313)="",INDEX($DT$5:$DT$1003,$EX314)=""),"",IF(NOT(EXACT(INDEX($DT$5:$DT$1003,$EX313),INDEX($DT$5:$DT$1003,$EX314))),"S4",IF(NOT(EXACT(INDEX($DS$5:$DS$1003,$EX313),INDEX($DS$5:$DS$1003,$EX314))),"S3",IF(NOT(EXACT(INDEX($DR$5:$DR$1003,$EX313),INDEX($DR$5:$DR$1003,$EX314))),"S1 Count Change","S1")))),"")</f>
        <v/>
      </c>
      <c r="FT314">
        <f>IF($EY314="row",INDEX($ES$5:$ES$1003,$EX314),"")</f>
        <v/>
      </c>
      <c r="FU314">
        <f>IF($EY314="row",INDEX($EO$5:$EO$1003,$EX314),0)</f>
        <v/>
      </c>
      <c r="FV314">
        <f>IF($FS314="S1 Count Change",1,0)</f>
        <v/>
      </c>
    </row>
    <row r="315">
      <c r="DA315" t="n">
        <v>311</v>
      </c>
      <c r="DB315">
        <f>IF($B$37=0,"",IFERROR(TRIM(SUBSTITUTE(SUBSTITUTE(SUBSTITUTE(SUBSTITUTE(INDEX(PASTE_ALL,311,$B$37)," "," "),CHAR(9)," "),CHAR(10)," "),CHAR(13)," ")),""))</f>
        <v/>
      </c>
      <c r="DC315">
        <f>IF(AND(311&gt;HEADER_ROW,UPPER(DB315)="LEGEND"),1,0)</f>
        <v/>
      </c>
      <c r="DE315" t="n">
        <v>311</v>
      </c>
      <c r="DF315">
        <f>HEADER_ROW+$DE315</f>
        <v/>
      </c>
      <c r="DG315">
        <f>IF(AND($DF315&lt;=1000,$DF315&lt;$B$8),1,0)</f>
        <v/>
      </c>
      <c r="DH315">
        <f>IF($DG315=1,IFERROR(INDEX($DB$5:$DB$1004,$DF315),""),"")</f>
        <v/>
      </c>
      <c r="DI315">
        <f>IF(AND($DG315=1,$DH315&lt;&gt;""),IFERROR(SUBSTITUTE(SUBSTITUTE(TRIM(SUBSTITUTE(SUBSTITUTE(SUBSTITUTE(SUBSTITUTE(IFERROR(INDEX(PASTE_ALL,$DF315,1)&amp;"","")&amp;"␟"&amp;IFERROR(INDEX(PASTE_ALL,$DF315,2)&amp;"","")&amp;"␟"&amp;IFERROR(INDEX(PASTE_ALL,$DF315,3)&amp;"","")&amp;"␟"&amp;IFERROR(INDEX(PASTE_ALL,$DF315,4)&amp;"","")&amp;"␟"&amp;IFERROR(INDEX(PASTE_ALL,$DF315,5)&amp;"","")&amp;"␟"&amp;IFERROR(INDEX(PASTE_ALL,$DF315,6)&amp;"","")&amp;"␟"&amp;IFERROR(INDEX(PASTE_ALL,$DF315,7)&amp;"","")&amp;"␟"&amp;IFERROR(INDEX(PASTE_ALL,$DF315,8)&amp;"","")&amp;"␟"&amp;IFERROR(INDEX(PASTE_ALL,$DF315,9)&amp;"","")&amp;"␟"&amp;IFERROR(INDEX(PASTE_ALL,$DF315,10)&amp;"","")&amp;"␟"&amp;IFERROR(INDEX(PASTE_ALL,$DF315,11)&amp;"","")&amp;"␟"&amp;IFERROR(INDEX(PASTE_ALL,$DF315,12)&amp;"","")&amp;"␟"&amp;IFERROR(INDEX(PASTE_ALL,$DF315,13)&amp;"","")&amp;"␟"&amp;IFERROR(INDEX(PASTE_ALL,$DF315,14)&amp;"","")&amp;"␟"&amp;IFERROR(INDEX(PASTE_ALL,$DF315,15)&amp;"","")&amp;"␟"&amp;IFERROR(INDEX(PASTE_ALL,$DF315,16)&amp;"","")&amp;"␟"&amp;IFERROR(INDEX(PASTE_ALL,$DF315,17)&amp;"","")&amp;"␟"&amp;IFERROR(INDEX(PASTE_ALL,$DF315,18)&amp;"","")&amp;"␟"&amp;IFERROR(INDEX(PASTE_ALL,$DF315,19)&amp;"","")&amp;"␟"&amp;IFERROR(INDEX(PASTE_ALL,$DF315,20)&amp;"","")&amp;"␟"&amp;IFERROR(INDEX(PASTE_ALL,$DF315,21)&amp;"","")&amp;"␟"&amp;IFERROR(INDEX(PASTE_ALL,$DF315,22)&amp;"","")&amp;"␟"&amp;IFERROR(INDEX(PASTE_ALL,$DF315,23)&amp;"","")&amp;"␟"&amp;IFERROR(INDEX(PASTE_ALL,$DF315,24)&amp;"","")&amp;"␟"&amp;IFERROR(INDEX(PASTE_ALL,$DF315,25)&amp;"","")&amp;"␟"&amp;IFERROR(INDEX(PASTE_ALL,$DF315,26)&amp;"","")&amp;"␟"&amp;IFERROR(INDEX(PASTE_ALL,$DF315,27)&amp;"","")&amp;"␟"&amp;IFERROR(INDEX(PASTE_ALL,$DF315,28)&amp;"","")&amp;"␟"&amp;IFERROR(INDEX(PASTE_ALL,$DF315,29)&amp;"","")&amp;"␟"&amp;IFERROR(INDEX(PASTE_ALL,$DF315,30)&amp;"","")&amp;"␟"&amp;IFERROR(INDEX(PASTE_ALL,$DF315,31)&amp;"","")&amp;"␟"&amp;IFERROR(INDEX(PASTE_ALL,$DF315,32)&amp;"","")&amp;"␟"&amp;IFERROR(INDEX(PASTE_ALL,$DF315,33)&amp;"","")&amp;"␟"&amp;IFERROR(INDEX(PASTE_ALL,$DF315,34)&amp;"","")&amp;"␟"&amp;IFERROR(INDEX(PASTE_ALL,$DF315,35)&amp;"","")&amp;"␟"&amp;IFERROR(INDEX(PASTE_ALL,$DF315,36)&amp;"","")&amp;"␟"&amp;IFERROR(INDEX(PASTE_ALL,$DF315,37)&amp;"","")&amp;"␟"&amp;IFERROR(INDEX(PASTE_ALL,$DF315,38)&amp;"","")&amp;"␟"&amp;IFERROR(INDEX(PASTE_ALL,$DF315,39)&amp;"","")&amp;"␟"&amp;IFERROR(INDEX(PASTE_ALL,$DF315,40)&amp;"","")&amp;"␟"&amp;IFERROR(INDEX(PASTE_ALL,$DF315,41)&amp;"","")&amp;"␟"&amp;IFERROR(INDEX(PASTE_ALL,$DF315,42)&amp;"","")&amp;"␟"&amp;IFERROR(INDEX(PASTE_ALL,$DF315,43)&amp;"","")&amp;"␟"&amp;IFERROR(INDEX(PASTE_ALL,$DF315,44)&amp;"","")&amp;"␟"&amp;IFERROR(INDEX(PASTE_ALL,$DF315,45)&amp;"","")&amp;"␟"&amp;IFERROR(INDEX(PASTE_ALL,$DF315,46)&amp;"","")&amp;"␟"&amp;IFERROR(INDEX(PASTE_ALL,$DF315,47)&amp;"","")&amp;"␟"&amp;IFERROR(INDEX(PASTE_ALL,$DF315,48)&amp;"","")&amp;"␟"&amp;IFERROR(INDEX(PASTE_ALL,$DF315,49)&amp;"","")&amp;"␟"&amp;IFERROR(INDEX(PASTE_ALL,$DF315,50)&amp;"","")&amp;"␟"&amp;IFERROR(INDEX(PASTE_ALL,$DF315,51)&amp;"","")&amp;"␟"&amp;IFERROR(INDEX(PASTE_ALL,$DF315,52)&amp;"","")&amp;"␟"&amp;IFERROR(INDEX(PASTE_ALL,$DF315,53)&amp;"","")&amp;"␟"&amp;IFERROR(INDEX(PASTE_ALL,$DF315,54)&amp;"","")&amp;"␟"&amp;IFERROR(INDEX(PASTE_ALL,$DF315,55)&amp;"","")&amp;"␟"&amp;IFERROR(INDEX(PASTE_ALL,$DF315,56)&amp;"","")&amp;"␟"&amp;IFERROR(INDEX(PASTE_ALL,$DF315,57)&amp;"","")&amp;"␟"&amp;IFERROR(INDEX(PASTE_ALL,$DF315,58)&amp;"","")&amp;"␟"&amp;IFERROR(INDEX(PASTE_ALL,$DF315,59)&amp;"","")&amp;"␟"&amp;IFERROR(INDEX(PASTE_ALL,$DF315,60)&amp;"","")," "," "),CHAR(9)," "),CHAR(10)," "),CHAR(13)," "))," ␟","␟"),"␟ ","␟"),"#"&amp;$DE315),"")</f>
        <v/>
      </c>
      <c r="DJ315">
        <f>IF($DI315="",0,IF(SUMPRODUCT(--EXACT($DI$4:DI314,$DI315))&gt;0,1,0))</f>
        <v/>
      </c>
      <c r="DK315">
        <f>IF(AND($DI315&lt;&gt;"",$DJ315=0),1,0)</f>
        <v/>
      </c>
      <c r="DL315">
        <f>DL314+$DK315</f>
        <v/>
      </c>
      <c r="DM315">
        <f>IF(AND($DK315=1,$DL315&lt;=600),1,0)</f>
        <v/>
      </c>
      <c r="DN315">
        <f>IF($DM315=0,"",IF($L$6=0,"",IFERROR(IF(ISNUMBER(INDEX(PASTE_ALL,$DF315,$L$6)),INDEX(PASTE_ALL,$DF315,$L$6),TRIM(SUBSTITUTE(SUBSTITUTE(SUBSTITUTE(SUBSTITUTE(INDEX(PASTE_ALL,$DF315,$L$6)," "," "),CHAR(9)," "),CHAR(10)," "),CHAR(13)," "))),"")))</f>
        <v/>
      </c>
      <c r="DO315">
        <f>IF($DM315=0,"",IF($L$7=0,"",IFERROR(IF(ISNUMBER(INDEX(PASTE_ALL,$DF315,$L$7)),INDEX(PASTE_ALL,$DF315,$L$7),TRIM(SUBSTITUTE(SUBSTITUTE(SUBSTITUTE(SUBSTITUTE(INDEX(PASTE_ALL,$DF315,$L$7)," "," "),CHAR(9)," "),CHAR(10)," "),CHAR(13)," "))),"")))</f>
        <v/>
      </c>
      <c r="DP315">
        <f>IF($DM315=0,"",IF($L$8=0,"",IFERROR(IF(ISNUMBER(INDEX(PASTE_ALL,$DF315,$L$8)),INDEX(PASTE_ALL,$DF315,$L$8),TRIM(SUBSTITUTE(SUBSTITUTE(SUBSTITUTE(SUBSTITUTE(INDEX(PASTE_ALL,$DF315,$L$8)," "," "),CHAR(9)," "),CHAR(10)," "),CHAR(13)," "))),"")))</f>
        <v/>
      </c>
      <c r="DQ315">
        <f>IF($DM315=0,"",IF($L$9=0,"",IFERROR(IF(ISNUMBER(INDEX(PASTE_ALL,$DF315,$L$9)),INDEX(PASTE_ALL,$DF315,$L$9),TRIM(SUBSTITUTE(SUBSTITUTE(SUBSTITUTE(SUBSTITUTE(INDEX(PASTE_ALL,$DF315,$L$9)," "," "),CHAR(9)," "),CHAR(10)," "),CHAR(13)," "))),"")))</f>
        <v/>
      </c>
      <c r="DR315">
        <f>IF($DM315=0,"",IF($L$10=0,"",IFERROR(IF(ISNUMBER(INDEX(PASTE_ALL,$DF315,$L$10)),INDEX(PASTE_ALL,$DF315,$L$10),TRIM(SUBSTITUTE(SUBSTITUTE(SUBSTITUTE(SUBSTITUTE(INDEX(PASTE_ALL,$DF315,$L$10)," "," "),CHAR(9)," "),CHAR(10)," "),CHAR(13)," "))),"")))</f>
        <v/>
      </c>
      <c r="DS315">
        <f>IF($DM315=0,"",IF($L$11=0,"",IFERROR(IF(ISNUMBER(INDEX(PASTE_ALL,$DF315,$L$11)),INDEX(PASTE_ALL,$DF315,$L$11),TRIM(SUBSTITUTE(SUBSTITUTE(SUBSTITUTE(SUBSTITUTE(INDEX(PASTE_ALL,$DF315,$L$11)," "," "),CHAR(9)," "),CHAR(10)," "),CHAR(13)," "))),"")))</f>
        <v/>
      </c>
      <c r="DT315">
        <f>IF($DM315=0,"",IF($L$12=0,"",IFERROR(IF(ISNUMBER(INDEX(PASTE_ALL,$DF315,$L$12)),INDEX(PASTE_ALL,$DF315,$L$12),TRIM(SUBSTITUTE(SUBSTITUTE(SUBSTITUTE(SUBSTITUTE(INDEX(PASTE_ALL,$DF315,$L$12)," "," "),CHAR(9)," "),CHAR(10)," "),CHAR(13)," "))),"")))</f>
        <v/>
      </c>
      <c r="DU315">
        <f>IF($DM315=0,"",IF($L$13=0,"",IFERROR(IF(ISNUMBER(INDEX(PASTE_ALL,$DF315,$L$13)),INDEX(PASTE_ALL,$DF315,$L$13),TRIM(SUBSTITUTE(SUBSTITUTE(SUBSTITUTE(SUBSTITUTE(INDEX(PASTE_ALL,$DF315,$L$13)," "," "),CHAR(9)," "),CHAR(10)," "),CHAR(13)," "))),"")))</f>
        <v/>
      </c>
      <c r="DV315">
        <f>IF($DM315=0,"",IF($L$14=0,"",IFERROR(IF(ISNUMBER(INDEX(PASTE_ALL,$DF315,$L$14)),INDEX(PASTE_ALL,$DF315,$L$14),TRIM(SUBSTITUTE(SUBSTITUTE(SUBSTITUTE(SUBSTITUTE(INDEX(PASTE_ALL,$DF315,$L$14)," "," "),CHAR(9)," "),CHAR(10)," "),CHAR(13)," "))),"")))</f>
        <v/>
      </c>
      <c r="DW315">
        <f>IF($DM315=0,"",IF($L$15=0,"",IFERROR(IF(ISNUMBER(INDEX(PASTE_ALL,$DF315,$L$15)),INDEX(PASTE_ALL,$DF315,$L$15),IF(SUMPRODUCT(--ISNUMBER(FIND({"A","B","C","D","E","F","G","H","I","J","K","L","M","N","O","P","Q","R","S","T","U","V","W","X","Y","Z","0","1","2","3","4","5","6","7","8","9"},UPPER(TRIM(SUBSTITUTE(SUBSTITUTE(SUBSTITUTE(SUBSTITUTE(INDEX(PASTE_ALL,$DF315,$L$15)," "," "),CHAR(9)," "),CHAR(10)," "),CHAR(13)," "))))))&gt;0,TRIM(SUBSTITUTE(SUBSTITUTE(SUBSTITUTE(SUBSTITUTE(INDEX(PASTE_ALL,$DF315,$L$15)," "," "),CHAR(9)," "),CHAR(10)," "),CHAR(13)," ")),"")),"")))</f>
        <v/>
      </c>
      <c r="DX315">
        <f>IF($DM315=0,"",IF($L$16=0,"",IFERROR(IF(ISNUMBER(INDEX(PASTE_ALL,$DF315,$L$16)),INDEX(PASTE_ALL,$DF315,$L$16),SUBSTITUTE(SUBSTITUTE(TRIM(SUBSTITUTE(SUBSTITUTE(SUBSTITUTE(SUBSTITUTE(INDEX(PASTE_ALL,$DF315,$L$16)," "," "),CHAR(9)," "),CHAR(10)," "),CHAR(13)," ")),",",""),"%","")),"")))</f>
        <v/>
      </c>
      <c r="DY315">
        <f>IF($DM315=0,"",IFERROR(IF(ISNUMBER($DX315),$DX315,IF($DX315="","",IF(TRIM($DX315)="",0,IF(AND(AND(SUBSTITUTE(SUBSTITUTE(SUBSTITUTE(SUBSTITUTE(SUBSTITUTE(SUBSTITUTE(SUBSTITUTE(SUBSTITUTE(SUBSTITUTE(SUBSTITUTE(SUBSTITUTE(SUBSTITUTE(SUBSTITUTE(SUBSTITUTE(UPPER(TRIM($DX315)),"0",""),"1",""),"2",""),"3",""),"4",""),"5",""),"6",""),"7",""),"8",""),"9",""),".",""),"+",""),"-",""),"E","")="",LEN(SUBSTITUTE(SUBSTITUTE(MID(UPPER(TRIM($DX315)),1+OR(LEFT(UPPER(TRIM($DX315)),1)="+",LEFT(UPPER(TRIM($DX315)),1)="-"),999),"E+","E"),"E-","E"))=LEN(SUBSTITUTE(SUBSTITUTE(SUBSTITUTE(SUBSTITUTE(MID(UPPER(TRIM($DX315)),1+OR(LEFT(UPPER(TRIM($DX315)),1)="+",LEFT(UPPER(TRIM($DX315)),1)="-"),999),"E+","E"),"E-","E"),"+",""),"-","")),LEN(UPPER(TRIM($DX315)))-LEN(SUBSTITUTE(UPPER(TRIM($DX315)),"E",""))&lt;2,LEN(UPPER(TRIM($DX315)))-LEN(SUBSTITUTE(UPPER(TRIM($DX315)),".",""))&lt;2,IFERROR(FIND(".",UPPER(TRIM($DX315))),0)&lt;IFERROR(FIND("E",UPPER(TRIM($DX315))),999)),ISNUMBER(VALUE(TRIM($DX315)))),VALUE(TRIM($DX315)),"")))),""))</f>
        <v/>
      </c>
      <c r="DZ315">
        <f>IF($DM315=0,"",IF($L$17=0,"",IFERROR(IF(ISNUMBER(INDEX(PASTE_ALL,$DF315,$L$17)),INDEX(PASTE_ALL,$DF315,$L$17),SUBSTITUTE(SUBSTITUTE(TRIM(SUBSTITUTE(SUBSTITUTE(SUBSTITUTE(SUBSTITUTE(INDEX(PASTE_ALL,$DF315,$L$17)," "," "),CHAR(9)," "),CHAR(10)," "),CHAR(13)," ")),",",""),"%","")),"")))</f>
        <v/>
      </c>
      <c r="EA315">
        <f>IF($DM315=0,"",IFERROR(IF(ISNUMBER($DZ315),$DZ315,IF($DZ315="","",IF(TRIM($DZ315)="",0,IF(AND(AND(SUBSTITUTE(SUBSTITUTE(SUBSTITUTE(SUBSTITUTE(SUBSTITUTE(SUBSTITUTE(SUBSTITUTE(SUBSTITUTE(SUBSTITUTE(SUBSTITUTE(SUBSTITUTE(SUBSTITUTE(SUBSTITUTE(SUBSTITUTE(UPPER(TRIM($DZ315)),"0",""),"1",""),"2",""),"3",""),"4",""),"5",""),"6",""),"7",""),"8",""),"9",""),".",""),"+",""),"-",""),"E","")="",LEN(SUBSTITUTE(SUBSTITUTE(MID(UPPER(TRIM($DZ315)),1+OR(LEFT(UPPER(TRIM($DZ315)),1)="+",LEFT(UPPER(TRIM($DZ315)),1)="-"),999),"E+","E"),"E-","E"))=LEN(SUBSTITUTE(SUBSTITUTE(SUBSTITUTE(SUBSTITUTE(MID(UPPER(TRIM($DZ315)),1+OR(LEFT(UPPER(TRIM($DZ315)),1)="+",LEFT(UPPER(TRIM($DZ315)),1)="-"),999),"E+","E"),"E-","E"),"+",""),"-","")),LEN(UPPER(TRIM($DZ315)))-LEN(SUBSTITUTE(UPPER(TRIM($DZ315)),"E",""))&lt;2,LEN(UPPER(TRIM($DZ315)))-LEN(SUBSTITUTE(UPPER(TRIM($DZ315)),".",""))&lt;2,IFERROR(FIND(".",UPPER(TRIM($DZ315))),0)&lt;IFERROR(FIND("E",UPPER(TRIM($DZ315))),999)),ISNUMBER(VALUE(TRIM($DZ315)))),VALUE(TRIM($DZ315)),"")))),""))</f>
        <v/>
      </c>
      <c r="EB315">
        <f>IF($DM315=0,"",IF($L$18=0,"",IFERROR(IF(UPPER(TRIM(SUBSTITUTE(SUBSTITUTE(SUBSTITUTE(SUBSTITUTE(INDEX(PASTE_ALL,$DF315,$L$18)," "," "),CHAR(9)," "),CHAR(10)," "),CHAR(13)," ")))="READY","Ready",IF(UPPER(TRIM(SUBSTITUTE(SUBSTITUTE(SUBSTITUTE(SUBSTITUTE(INDEX(PASTE_ALL,$DF315,$L$18)," "," "),CHAR(9)," "),CHAR(10)," "),CHAR(13)," ")))="PM","PM",IF(OR(UPPER(TRIM(SUBSTITUTE(SUBSTITUTE(SUBSTITUTE(SUBSTITUTE(INDEX(PASTE_ALL,$DF315,$L$18)," "," "),CHAR(9)," "),CHAR(10)," "),CHAR(13)," ")))="OT",UPPER(TRIM(SUBSTITUTE(SUBSTITUTE(SUBSTITUTE(SUBSTITUTE(INDEX(PASTE_ALL,$DF315,$L$18)," "," "),CHAR(9)," "),CHAR(10)," "),CHAR(13)," ")))="OVERTIME",UPPER(TRIM(SUBSTITUTE(SUBSTITUTE(SUBSTITUTE(SUBSTITUTE(INDEX(PASTE_ALL,$DF315,$L$18)," "," "),CHAR(9)," "),CHAR(10)," "),CHAR(13)," ")))="TRIAL"),"OT",TRIM(SUBSTITUTE(SUBSTITUTE(SUBSTITUTE(SUBSTITUTE(INDEX(PASTE_ALL,$DF315,$L$18)," "," "),CHAR(9)," "),CHAR(10)," "),CHAR(13)," "))))),"")))</f>
        <v/>
      </c>
      <c r="EC315">
        <f>IF($DM315=0,"",IF($L$19=0,"",IFERROR(IF(ISNUMBER(INDEX(PASTE_ALL,$DF315,$L$19)),INDEX(PASTE_ALL,$DF315,$L$19),TRIM(SUBSTITUTE(SUBSTITUTE(SUBSTITUTE(SUBSTITUTE(INDEX(PASTE_ALL,$DF315,$L$19)," "," "),CHAR(9)," "),CHAR(10)," "),CHAR(13)," "))),"")))</f>
        <v/>
      </c>
      <c r="ED315">
        <f>IF($DM315=0,"",MATCH(1,INDEX(EXACT($DH$5:DH315,$DH315)*$DM$5:DM315,0),0))</f>
        <v/>
      </c>
      <c r="EE315">
        <f>IF($DM315=0,0,IF($ED315=$DE315,1,0))</f>
        <v/>
      </c>
      <c r="EF315">
        <f>EF314+$EE315</f>
        <v/>
      </c>
      <c r="EG315">
        <f>IF($DM315=0,"",INDEX($EF$5:$EF$1003,$ED315))</f>
        <v/>
      </c>
      <c r="EH315">
        <f>IF($DM315=0,"",IF($DO315&lt;&gt;"","",IFERROR(LOOKUP(2,1/(($EG$4:EG314=$EG315)*($DO$4:DO314&lt;&gt;"")),$DO$4:DO314),"")))</f>
        <v/>
      </c>
      <c r="EI315">
        <f>IF($DM315=0,"",IF($DO315&lt;&gt;"",$DO315,$EH315))</f>
        <v/>
      </c>
      <c r="EJ315">
        <f>IF($DM315=0,"",IF($EI315="",0,IF(OR(ISNUMBER($EI315),AND(AND(SUBSTITUTE(SUBSTITUTE(SUBSTITUTE(SUBSTITUTE(SUBSTITUTE(SUBSTITUTE(SUBSTITUTE(SUBSTITUTE(SUBSTITUTE(SUBSTITUTE(SUBSTITUTE(SUBSTITUTE(SUBSTITUTE(SUBSTITUTE(UPPER($EI315),"0",""),"1",""),"2",""),"3",""),"4",""),"5",""),"6",""),"7",""),"8",""),"9",""),".",""),"+",""),"-",""),"E","")="",LEN(SUBSTITUTE(SUBSTITUTE(MID(UPPER($EI315),1+OR(LEFT(UPPER($EI315),1)="+",LEFT(UPPER($EI315),1)="-"),999),"E+","E"),"E-","E"))=LEN(SUBSTITUTE(SUBSTITUTE(SUBSTITUTE(SUBSTITUTE(MID(UPPER($EI315),1+OR(LEFT(UPPER($EI315),1)="+",LEFT(UPPER($EI315),1)="-"),999),"E+","E"),"E-","E"),"+",""),"-","")),LEN(UPPER($EI315))-LEN(SUBSTITUTE(UPPER($EI315),"E",""))&lt;2,LEN(UPPER($EI315))-LEN(SUBSTITUTE(UPPER($EI315),".",""))&lt;2,IFERROR(FIND(".",UPPER($EI315)),0)&lt;IFERROR(FIND("E",UPPER($EI315)),999)),ISNUMBER(VALUE($EI315)))),1,2)))</f>
        <v/>
      </c>
      <c r="EK315">
        <f>IF($DM315=0,"",IF($EJ315=1,IF(ISNUMBER($EI315),$EI315,VALUE($EI315)),IF($EJ315=2,$DE315,0)))</f>
        <v/>
      </c>
      <c r="EL315">
        <f>IF($DM315=0,"",COUNTIF($EG$5:$EG$1003,"&lt;"&amp;$EG315)+SUMPRODUCT(($EG$5:$EG$1003=$EG315)*(($EJ$5:$EJ$1003&lt;$EJ315)+($EJ$5:$EJ$1003=$EJ315)*(($EK$5:$EK$1003&lt;$EK315)+($EK$5:$EK$1003=$EK315)*($DE$5:$DE$1003&lt;$DE315))))+1)</f>
        <v/>
      </c>
      <c r="EM315">
        <f>IF($DM315=0,"",$EL315+$EG315-1)</f>
        <v/>
      </c>
      <c r="EN315">
        <f>IF($DM315=0,0,IFERROR(MATCH(1,INDEX(--(TRIM(SUBSTITUTE(SUBSTITUTE(SUBSTITUTE(SUBSTITUTE(LINES_NAME&amp;""," "," "),CHAR(9)," "),CHAR(10)," "),CHAR(13)," "))=$DH315),0),0),0))</f>
        <v/>
      </c>
      <c r="EO315">
        <f>IF($EN315=0,0,IF(OR(UPPER(TRIM(INDEX(LINES_SCHEDULED,$EN315)&amp;""))="YES",UPPER(TRIM(INDEX(LINES_SCHEDULED,$EN315)&amp;""))="Y",UPPER(TRIM(INDEX(LINES_SCHEDULED,$EN315)&amp;""))="X"),1,0))</f>
        <v/>
      </c>
      <c r="EP315">
        <f>IF($DM315=0,"",IF(COUNTIFS($EG$5:$EG$1003,$EG315,$EB$5:$EB$1003,"Ready")&gt;0,"READY",IF(COUNTIFS($EG$5:$EG$1003,$EG315,$EB$5:$EB$1003,"PM")&gt;0,"PM",IF(COUNTIFS($EG$5:$EG$1003,$EG315,$EB$5:$EB$1003,"OT")&gt;0,"OT",""))))</f>
        <v/>
      </c>
      <c r="EQ315">
        <f>IF($EN315=0,"",UPPER(TRIM(INDEX(LINES_STATUS,$EN315)&amp;"")))</f>
        <v/>
      </c>
      <c r="ER315">
        <f>IF($DM315=0,"",IF(OR($EQ315="READY",$EQ315="PM",$EQ315="OT"),$EQ315,$EP315))</f>
        <v/>
      </c>
      <c r="ES315">
        <f>IF($DM315=0,"",IF(AND($DV315&lt;&gt;"",UPPER($DV315)&lt;&gt;"N"),"allergen",IF(ISNUMBER(SEARCH("oil",$DQ315)),"oil",IF(OR(EXACT($DS315,"A662"),EXACT($DS315,"A624")),"bulk",""))))</f>
        <v/>
      </c>
      <c r="ET315">
        <f>IF($DM315=0,"",IF(OR($EA315="",$EA315=0),"",$EA315/100))</f>
        <v/>
      </c>
      <c r="EU315">
        <f>IF(OR($ET315="",$DY315=""),"",INT($DY315*(1-$ET315)+0.5))</f>
        <v/>
      </c>
      <c r="EW315" t="n">
        <v>311</v>
      </c>
      <c r="EX315">
        <f>IFERROR(MATCH($EW315,$EM$5:$EM$1003,0),0)</f>
        <v/>
      </c>
      <c r="EY315">
        <f>IF($EW315&gt;$B$12,"",IF($EX315&gt;0,"row","spacer"))</f>
        <v/>
      </c>
      <c r="EZ315">
        <f>IF(AND($EY315="row",$EY314&lt;&gt;"row"),1,0)</f>
        <v/>
      </c>
      <c r="FA315">
        <f>IF(AND($EY315="row",$EY316&lt;&gt;"row"),1,0)</f>
        <v/>
      </c>
      <c r="FB315">
        <f>IF($EZ315=1,IFERROR(IF(ISNUMBER(INDEX(PASTE_ALL,INDEX($DF$5:$DF$1003,$EX315),$B$37)),INDEX(PASTE_ALL,INDEX($DF$5:$DF$1003,$EX315),$B$37),INDEX($DH$5:$DH$1003,$EX315)),INDEX($DH$5:$DH$1003,$EX315)),"")</f>
        <v/>
      </c>
      <c r="FC315">
        <f>IF($EY315="row",INDEX($ER$5:$ER$1003,$EX315),"")</f>
        <v/>
      </c>
      <c r="FD315">
        <f>IF($EY315="row",INDEX($DN$5:$DN$1003,$EX315),"")</f>
        <v/>
      </c>
      <c r="FE315">
        <f>IF($EY315="row",INDEX($DO$5:$DO$1003,$EX315),"")</f>
        <v/>
      </c>
      <c r="FF315">
        <f>IF($EY315="row",INDEX($DP$5:$DP$1003,$EX315),"")</f>
        <v/>
      </c>
      <c r="FG315">
        <f>IF($EY315="row",INDEX($DQ$5:$DQ$1003,$EX315),"")</f>
        <v/>
      </c>
      <c r="FH315">
        <f>IF($EY315="row",INDEX($DR$5:$DR$1003,$EX315),"")</f>
        <v/>
      </c>
      <c r="FI315">
        <f>IF($EY315="row",INDEX($DS$5:$DS$1003,$EX315),"")</f>
        <v/>
      </c>
      <c r="FJ315">
        <f>IF($EY315="row",INDEX($DT$5:$DT$1003,$EX315),"")</f>
        <v/>
      </c>
      <c r="FK315">
        <f>IF($EY315="row",INDEX($DU$5:$DU$1003,$EX315),"")</f>
        <v/>
      </c>
      <c r="FL315">
        <f>IF($EY315="row",INDEX($DV$5:$DV$1003,$EX315),"")</f>
        <v/>
      </c>
      <c r="FM315">
        <f>IF($EY315="row",INDEX($DW$5:$DW$1003,$EX315),"")</f>
        <v/>
      </c>
      <c r="FN315">
        <f>IF($EY315="row",INDEX($DY$5:$DY$1003,$EX315),"")</f>
        <v/>
      </c>
      <c r="FO315">
        <f>IF($EY315="row",INDEX($EA$5:$EA$1003,$EX315),"")</f>
        <v/>
      </c>
      <c r="FP315">
        <f>IF($EY315="row",INDEX($EC$5:$EC$1003,$EX315),"")</f>
        <v/>
      </c>
      <c r="FQ315">
        <f>IF($EY315="row",INDEX($ET$5:$ET$1003,$EX315),"")</f>
        <v/>
      </c>
      <c r="FR315">
        <f>IF($EY315="row",INDEX($EU$5:$EU$1003,$EX315),"")</f>
        <v/>
      </c>
      <c r="FS315">
        <f>IF(AND($EY315="row",$EY314="row"),IF(OR(INDEX($DT$5:$DT$1003,$EX314)="",INDEX($DT$5:$DT$1003,$EX315)=""),"",IF(NOT(EXACT(INDEX($DT$5:$DT$1003,$EX314),INDEX($DT$5:$DT$1003,$EX315))),"S4",IF(NOT(EXACT(INDEX($DS$5:$DS$1003,$EX314),INDEX($DS$5:$DS$1003,$EX315))),"S3",IF(NOT(EXACT(INDEX($DR$5:$DR$1003,$EX314),INDEX($DR$5:$DR$1003,$EX315))),"S1 Count Change","S1")))),"")</f>
        <v/>
      </c>
      <c r="FT315">
        <f>IF($EY315="row",INDEX($ES$5:$ES$1003,$EX315),"")</f>
        <v/>
      </c>
      <c r="FU315">
        <f>IF($EY315="row",INDEX($EO$5:$EO$1003,$EX315),0)</f>
        <v/>
      </c>
      <c r="FV315">
        <f>IF($FS315="S1 Count Change",1,0)</f>
        <v/>
      </c>
    </row>
    <row r="316">
      <c r="DA316" t="n">
        <v>312</v>
      </c>
      <c r="DB316">
        <f>IF($B$37=0,"",IFERROR(TRIM(SUBSTITUTE(SUBSTITUTE(SUBSTITUTE(SUBSTITUTE(INDEX(PASTE_ALL,312,$B$37)," "," "),CHAR(9)," "),CHAR(10)," "),CHAR(13)," ")),""))</f>
        <v/>
      </c>
      <c r="DC316">
        <f>IF(AND(312&gt;HEADER_ROW,UPPER(DB316)="LEGEND"),1,0)</f>
        <v/>
      </c>
      <c r="DE316" t="n">
        <v>312</v>
      </c>
      <c r="DF316">
        <f>HEADER_ROW+$DE316</f>
        <v/>
      </c>
      <c r="DG316">
        <f>IF(AND($DF316&lt;=1000,$DF316&lt;$B$8),1,0)</f>
        <v/>
      </c>
      <c r="DH316">
        <f>IF($DG316=1,IFERROR(INDEX($DB$5:$DB$1004,$DF316),""),"")</f>
        <v/>
      </c>
      <c r="DI316">
        <f>IF(AND($DG316=1,$DH316&lt;&gt;""),IFERROR(SUBSTITUTE(SUBSTITUTE(TRIM(SUBSTITUTE(SUBSTITUTE(SUBSTITUTE(SUBSTITUTE(IFERROR(INDEX(PASTE_ALL,$DF316,1)&amp;"","")&amp;"␟"&amp;IFERROR(INDEX(PASTE_ALL,$DF316,2)&amp;"","")&amp;"␟"&amp;IFERROR(INDEX(PASTE_ALL,$DF316,3)&amp;"","")&amp;"␟"&amp;IFERROR(INDEX(PASTE_ALL,$DF316,4)&amp;"","")&amp;"␟"&amp;IFERROR(INDEX(PASTE_ALL,$DF316,5)&amp;"","")&amp;"␟"&amp;IFERROR(INDEX(PASTE_ALL,$DF316,6)&amp;"","")&amp;"␟"&amp;IFERROR(INDEX(PASTE_ALL,$DF316,7)&amp;"","")&amp;"␟"&amp;IFERROR(INDEX(PASTE_ALL,$DF316,8)&amp;"","")&amp;"␟"&amp;IFERROR(INDEX(PASTE_ALL,$DF316,9)&amp;"","")&amp;"␟"&amp;IFERROR(INDEX(PASTE_ALL,$DF316,10)&amp;"","")&amp;"␟"&amp;IFERROR(INDEX(PASTE_ALL,$DF316,11)&amp;"","")&amp;"␟"&amp;IFERROR(INDEX(PASTE_ALL,$DF316,12)&amp;"","")&amp;"␟"&amp;IFERROR(INDEX(PASTE_ALL,$DF316,13)&amp;"","")&amp;"␟"&amp;IFERROR(INDEX(PASTE_ALL,$DF316,14)&amp;"","")&amp;"␟"&amp;IFERROR(INDEX(PASTE_ALL,$DF316,15)&amp;"","")&amp;"␟"&amp;IFERROR(INDEX(PASTE_ALL,$DF316,16)&amp;"","")&amp;"␟"&amp;IFERROR(INDEX(PASTE_ALL,$DF316,17)&amp;"","")&amp;"␟"&amp;IFERROR(INDEX(PASTE_ALL,$DF316,18)&amp;"","")&amp;"␟"&amp;IFERROR(INDEX(PASTE_ALL,$DF316,19)&amp;"","")&amp;"␟"&amp;IFERROR(INDEX(PASTE_ALL,$DF316,20)&amp;"","")&amp;"␟"&amp;IFERROR(INDEX(PASTE_ALL,$DF316,21)&amp;"","")&amp;"␟"&amp;IFERROR(INDEX(PASTE_ALL,$DF316,22)&amp;"","")&amp;"␟"&amp;IFERROR(INDEX(PASTE_ALL,$DF316,23)&amp;"","")&amp;"␟"&amp;IFERROR(INDEX(PASTE_ALL,$DF316,24)&amp;"","")&amp;"␟"&amp;IFERROR(INDEX(PASTE_ALL,$DF316,25)&amp;"","")&amp;"␟"&amp;IFERROR(INDEX(PASTE_ALL,$DF316,26)&amp;"","")&amp;"␟"&amp;IFERROR(INDEX(PASTE_ALL,$DF316,27)&amp;"","")&amp;"␟"&amp;IFERROR(INDEX(PASTE_ALL,$DF316,28)&amp;"","")&amp;"␟"&amp;IFERROR(INDEX(PASTE_ALL,$DF316,29)&amp;"","")&amp;"␟"&amp;IFERROR(INDEX(PASTE_ALL,$DF316,30)&amp;"","")&amp;"␟"&amp;IFERROR(INDEX(PASTE_ALL,$DF316,31)&amp;"","")&amp;"␟"&amp;IFERROR(INDEX(PASTE_ALL,$DF316,32)&amp;"","")&amp;"␟"&amp;IFERROR(INDEX(PASTE_ALL,$DF316,33)&amp;"","")&amp;"␟"&amp;IFERROR(INDEX(PASTE_ALL,$DF316,34)&amp;"","")&amp;"␟"&amp;IFERROR(INDEX(PASTE_ALL,$DF316,35)&amp;"","")&amp;"␟"&amp;IFERROR(INDEX(PASTE_ALL,$DF316,36)&amp;"","")&amp;"␟"&amp;IFERROR(INDEX(PASTE_ALL,$DF316,37)&amp;"","")&amp;"␟"&amp;IFERROR(INDEX(PASTE_ALL,$DF316,38)&amp;"","")&amp;"␟"&amp;IFERROR(INDEX(PASTE_ALL,$DF316,39)&amp;"","")&amp;"␟"&amp;IFERROR(INDEX(PASTE_ALL,$DF316,40)&amp;"","")&amp;"␟"&amp;IFERROR(INDEX(PASTE_ALL,$DF316,41)&amp;"","")&amp;"␟"&amp;IFERROR(INDEX(PASTE_ALL,$DF316,42)&amp;"","")&amp;"␟"&amp;IFERROR(INDEX(PASTE_ALL,$DF316,43)&amp;"","")&amp;"␟"&amp;IFERROR(INDEX(PASTE_ALL,$DF316,44)&amp;"","")&amp;"␟"&amp;IFERROR(INDEX(PASTE_ALL,$DF316,45)&amp;"","")&amp;"␟"&amp;IFERROR(INDEX(PASTE_ALL,$DF316,46)&amp;"","")&amp;"␟"&amp;IFERROR(INDEX(PASTE_ALL,$DF316,47)&amp;"","")&amp;"␟"&amp;IFERROR(INDEX(PASTE_ALL,$DF316,48)&amp;"","")&amp;"␟"&amp;IFERROR(INDEX(PASTE_ALL,$DF316,49)&amp;"","")&amp;"␟"&amp;IFERROR(INDEX(PASTE_ALL,$DF316,50)&amp;"","")&amp;"␟"&amp;IFERROR(INDEX(PASTE_ALL,$DF316,51)&amp;"","")&amp;"␟"&amp;IFERROR(INDEX(PASTE_ALL,$DF316,52)&amp;"","")&amp;"␟"&amp;IFERROR(INDEX(PASTE_ALL,$DF316,53)&amp;"","")&amp;"␟"&amp;IFERROR(INDEX(PASTE_ALL,$DF316,54)&amp;"","")&amp;"␟"&amp;IFERROR(INDEX(PASTE_ALL,$DF316,55)&amp;"","")&amp;"␟"&amp;IFERROR(INDEX(PASTE_ALL,$DF316,56)&amp;"","")&amp;"␟"&amp;IFERROR(INDEX(PASTE_ALL,$DF316,57)&amp;"","")&amp;"␟"&amp;IFERROR(INDEX(PASTE_ALL,$DF316,58)&amp;"","")&amp;"␟"&amp;IFERROR(INDEX(PASTE_ALL,$DF316,59)&amp;"","")&amp;"␟"&amp;IFERROR(INDEX(PASTE_ALL,$DF316,60)&amp;"","")," "," "),CHAR(9)," "),CHAR(10)," "),CHAR(13)," "))," ␟","␟"),"␟ ","␟"),"#"&amp;$DE316),"")</f>
        <v/>
      </c>
      <c r="DJ316">
        <f>IF($DI316="",0,IF(SUMPRODUCT(--EXACT($DI$4:DI315,$DI316))&gt;0,1,0))</f>
        <v/>
      </c>
      <c r="DK316">
        <f>IF(AND($DI316&lt;&gt;"",$DJ316=0),1,0)</f>
        <v/>
      </c>
      <c r="DL316">
        <f>DL315+$DK316</f>
        <v/>
      </c>
      <c r="DM316">
        <f>IF(AND($DK316=1,$DL316&lt;=600),1,0)</f>
        <v/>
      </c>
      <c r="DN316">
        <f>IF($DM316=0,"",IF($L$6=0,"",IFERROR(IF(ISNUMBER(INDEX(PASTE_ALL,$DF316,$L$6)),INDEX(PASTE_ALL,$DF316,$L$6),TRIM(SUBSTITUTE(SUBSTITUTE(SUBSTITUTE(SUBSTITUTE(INDEX(PASTE_ALL,$DF316,$L$6)," "," "),CHAR(9)," "),CHAR(10)," "),CHAR(13)," "))),"")))</f>
        <v/>
      </c>
      <c r="DO316">
        <f>IF($DM316=0,"",IF($L$7=0,"",IFERROR(IF(ISNUMBER(INDEX(PASTE_ALL,$DF316,$L$7)),INDEX(PASTE_ALL,$DF316,$L$7),TRIM(SUBSTITUTE(SUBSTITUTE(SUBSTITUTE(SUBSTITUTE(INDEX(PASTE_ALL,$DF316,$L$7)," "," "),CHAR(9)," "),CHAR(10)," "),CHAR(13)," "))),"")))</f>
        <v/>
      </c>
      <c r="DP316">
        <f>IF($DM316=0,"",IF($L$8=0,"",IFERROR(IF(ISNUMBER(INDEX(PASTE_ALL,$DF316,$L$8)),INDEX(PASTE_ALL,$DF316,$L$8),TRIM(SUBSTITUTE(SUBSTITUTE(SUBSTITUTE(SUBSTITUTE(INDEX(PASTE_ALL,$DF316,$L$8)," "," "),CHAR(9)," "),CHAR(10)," "),CHAR(13)," "))),"")))</f>
        <v/>
      </c>
      <c r="DQ316">
        <f>IF($DM316=0,"",IF($L$9=0,"",IFERROR(IF(ISNUMBER(INDEX(PASTE_ALL,$DF316,$L$9)),INDEX(PASTE_ALL,$DF316,$L$9),TRIM(SUBSTITUTE(SUBSTITUTE(SUBSTITUTE(SUBSTITUTE(INDEX(PASTE_ALL,$DF316,$L$9)," "," "),CHAR(9)," "),CHAR(10)," "),CHAR(13)," "))),"")))</f>
        <v/>
      </c>
      <c r="DR316">
        <f>IF($DM316=0,"",IF($L$10=0,"",IFERROR(IF(ISNUMBER(INDEX(PASTE_ALL,$DF316,$L$10)),INDEX(PASTE_ALL,$DF316,$L$10),TRIM(SUBSTITUTE(SUBSTITUTE(SUBSTITUTE(SUBSTITUTE(INDEX(PASTE_ALL,$DF316,$L$10)," "," "),CHAR(9)," "),CHAR(10)," "),CHAR(13)," "))),"")))</f>
        <v/>
      </c>
      <c r="DS316">
        <f>IF($DM316=0,"",IF($L$11=0,"",IFERROR(IF(ISNUMBER(INDEX(PASTE_ALL,$DF316,$L$11)),INDEX(PASTE_ALL,$DF316,$L$11),TRIM(SUBSTITUTE(SUBSTITUTE(SUBSTITUTE(SUBSTITUTE(INDEX(PASTE_ALL,$DF316,$L$11)," "," "),CHAR(9)," "),CHAR(10)," "),CHAR(13)," "))),"")))</f>
        <v/>
      </c>
      <c r="DT316">
        <f>IF($DM316=0,"",IF($L$12=0,"",IFERROR(IF(ISNUMBER(INDEX(PASTE_ALL,$DF316,$L$12)),INDEX(PASTE_ALL,$DF316,$L$12),TRIM(SUBSTITUTE(SUBSTITUTE(SUBSTITUTE(SUBSTITUTE(INDEX(PASTE_ALL,$DF316,$L$12)," "," "),CHAR(9)," "),CHAR(10)," "),CHAR(13)," "))),"")))</f>
        <v/>
      </c>
      <c r="DU316">
        <f>IF($DM316=0,"",IF($L$13=0,"",IFERROR(IF(ISNUMBER(INDEX(PASTE_ALL,$DF316,$L$13)),INDEX(PASTE_ALL,$DF316,$L$13),TRIM(SUBSTITUTE(SUBSTITUTE(SUBSTITUTE(SUBSTITUTE(INDEX(PASTE_ALL,$DF316,$L$13)," "," "),CHAR(9)," "),CHAR(10)," "),CHAR(13)," "))),"")))</f>
        <v/>
      </c>
      <c r="DV316">
        <f>IF($DM316=0,"",IF($L$14=0,"",IFERROR(IF(ISNUMBER(INDEX(PASTE_ALL,$DF316,$L$14)),INDEX(PASTE_ALL,$DF316,$L$14),TRIM(SUBSTITUTE(SUBSTITUTE(SUBSTITUTE(SUBSTITUTE(INDEX(PASTE_ALL,$DF316,$L$14)," "," "),CHAR(9)," "),CHAR(10)," "),CHAR(13)," "))),"")))</f>
        <v/>
      </c>
      <c r="DW316">
        <f>IF($DM316=0,"",IF($L$15=0,"",IFERROR(IF(ISNUMBER(INDEX(PASTE_ALL,$DF316,$L$15)),INDEX(PASTE_ALL,$DF316,$L$15),IF(SUMPRODUCT(--ISNUMBER(FIND({"A","B","C","D","E","F","G","H","I","J","K","L","M","N","O","P","Q","R","S","T","U","V","W","X","Y","Z","0","1","2","3","4","5","6","7","8","9"},UPPER(TRIM(SUBSTITUTE(SUBSTITUTE(SUBSTITUTE(SUBSTITUTE(INDEX(PASTE_ALL,$DF316,$L$15)," "," "),CHAR(9)," "),CHAR(10)," "),CHAR(13)," "))))))&gt;0,TRIM(SUBSTITUTE(SUBSTITUTE(SUBSTITUTE(SUBSTITUTE(INDEX(PASTE_ALL,$DF316,$L$15)," "," "),CHAR(9)," "),CHAR(10)," "),CHAR(13)," ")),"")),"")))</f>
        <v/>
      </c>
      <c r="DX316">
        <f>IF($DM316=0,"",IF($L$16=0,"",IFERROR(IF(ISNUMBER(INDEX(PASTE_ALL,$DF316,$L$16)),INDEX(PASTE_ALL,$DF316,$L$16),SUBSTITUTE(SUBSTITUTE(TRIM(SUBSTITUTE(SUBSTITUTE(SUBSTITUTE(SUBSTITUTE(INDEX(PASTE_ALL,$DF316,$L$16)," "," "),CHAR(9)," "),CHAR(10)," "),CHAR(13)," ")),",",""),"%","")),"")))</f>
        <v/>
      </c>
      <c r="DY316">
        <f>IF($DM316=0,"",IFERROR(IF(ISNUMBER($DX316),$DX316,IF($DX316="","",IF(TRIM($DX316)="",0,IF(AND(AND(SUBSTITUTE(SUBSTITUTE(SUBSTITUTE(SUBSTITUTE(SUBSTITUTE(SUBSTITUTE(SUBSTITUTE(SUBSTITUTE(SUBSTITUTE(SUBSTITUTE(SUBSTITUTE(SUBSTITUTE(SUBSTITUTE(SUBSTITUTE(UPPER(TRIM($DX316)),"0",""),"1",""),"2",""),"3",""),"4",""),"5",""),"6",""),"7",""),"8",""),"9",""),".",""),"+",""),"-",""),"E","")="",LEN(SUBSTITUTE(SUBSTITUTE(MID(UPPER(TRIM($DX316)),1+OR(LEFT(UPPER(TRIM($DX316)),1)="+",LEFT(UPPER(TRIM($DX316)),1)="-"),999),"E+","E"),"E-","E"))=LEN(SUBSTITUTE(SUBSTITUTE(SUBSTITUTE(SUBSTITUTE(MID(UPPER(TRIM($DX316)),1+OR(LEFT(UPPER(TRIM($DX316)),1)="+",LEFT(UPPER(TRIM($DX316)),1)="-"),999),"E+","E"),"E-","E"),"+",""),"-","")),LEN(UPPER(TRIM($DX316)))-LEN(SUBSTITUTE(UPPER(TRIM($DX316)),"E",""))&lt;2,LEN(UPPER(TRIM($DX316)))-LEN(SUBSTITUTE(UPPER(TRIM($DX316)),".",""))&lt;2,IFERROR(FIND(".",UPPER(TRIM($DX316))),0)&lt;IFERROR(FIND("E",UPPER(TRIM($DX316))),999)),ISNUMBER(VALUE(TRIM($DX316)))),VALUE(TRIM($DX316)),"")))),""))</f>
        <v/>
      </c>
      <c r="DZ316">
        <f>IF($DM316=0,"",IF($L$17=0,"",IFERROR(IF(ISNUMBER(INDEX(PASTE_ALL,$DF316,$L$17)),INDEX(PASTE_ALL,$DF316,$L$17),SUBSTITUTE(SUBSTITUTE(TRIM(SUBSTITUTE(SUBSTITUTE(SUBSTITUTE(SUBSTITUTE(INDEX(PASTE_ALL,$DF316,$L$17)," "," "),CHAR(9)," "),CHAR(10)," "),CHAR(13)," ")),",",""),"%","")),"")))</f>
        <v/>
      </c>
      <c r="EA316">
        <f>IF($DM316=0,"",IFERROR(IF(ISNUMBER($DZ316),$DZ316,IF($DZ316="","",IF(TRIM($DZ316)="",0,IF(AND(AND(SUBSTITUTE(SUBSTITUTE(SUBSTITUTE(SUBSTITUTE(SUBSTITUTE(SUBSTITUTE(SUBSTITUTE(SUBSTITUTE(SUBSTITUTE(SUBSTITUTE(SUBSTITUTE(SUBSTITUTE(SUBSTITUTE(SUBSTITUTE(UPPER(TRIM($DZ316)),"0",""),"1",""),"2",""),"3",""),"4",""),"5",""),"6",""),"7",""),"8",""),"9",""),".",""),"+",""),"-",""),"E","")="",LEN(SUBSTITUTE(SUBSTITUTE(MID(UPPER(TRIM($DZ316)),1+OR(LEFT(UPPER(TRIM($DZ316)),1)="+",LEFT(UPPER(TRIM($DZ316)),1)="-"),999),"E+","E"),"E-","E"))=LEN(SUBSTITUTE(SUBSTITUTE(SUBSTITUTE(SUBSTITUTE(MID(UPPER(TRIM($DZ316)),1+OR(LEFT(UPPER(TRIM($DZ316)),1)="+",LEFT(UPPER(TRIM($DZ316)),1)="-"),999),"E+","E"),"E-","E"),"+",""),"-","")),LEN(UPPER(TRIM($DZ316)))-LEN(SUBSTITUTE(UPPER(TRIM($DZ316)),"E",""))&lt;2,LEN(UPPER(TRIM($DZ316)))-LEN(SUBSTITUTE(UPPER(TRIM($DZ316)),".",""))&lt;2,IFERROR(FIND(".",UPPER(TRIM($DZ316))),0)&lt;IFERROR(FIND("E",UPPER(TRIM($DZ316))),999)),ISNUMBER(VALUE(TRIM($DZ316)))),VALUE(TRIM($DZ316)),"")))),""))</f>
        <v/>
      </c>
      <c r="EB316">
        <f>IF($DM316=0,"",IF($L$18=0,"",IFERROR(IF(UPPER(TRIM(SUBSTITUTE(SUBSTITUTE(SUBSTITUTE(SUBSTITUTE(INDEX(PASTE_ALL,$DF316,$L$18)," "," "),CHAR(9)," "),CHAR(10)," "),CHAR(13)," ")))="READY","Ready",IF(UPPER(TRIM(SUBSTITUTE(SUBSTITUTE(SUBSTITUTE(SUBSTITUTE(INDEX(PASTE_ALL,$DF316,$L$18)," "," "),CHAR(9)," "),CHAR(10)," "),CHAR(13)," ")))="PM","PM",IF(OR(UPPER(TRIM(SUBSTITUTE(SUBSTITUTE(SUBSTITUTE(SUBSTITUTE(INDEX(PASTE_ALL,$DF316,$L$18)," "," "),CHAR(9)," "),CHAR(10)," "),CHAR(13)," ")))="OT",UPPER(TRIM(SUBSTITUTE(SUBSTITUTE(SUBSTITUTE(SUBSTITUTE(INDEX(PASTE_ALL,$DF316,$L$18)," "," "),CHAR(9)," "),CHAR(10)," "),CHAR(13)," ")))="OVERTIME",UPPER(TRIM(SUBSTITUTE(SUBSTITUTE(SUBSTITUTE(SUBSTITUTE(INDEX(PASTE_ALL,$DF316,$L$18)," "," "),CHAR(9)," "),CHAR(10)," "),CHAR(13)," ")))="TRIAL"),"OT",TRIM(SUBSTITUTE(SUBSTITUTE(SUBSTITUTE(SUBSTITUTE(INDEX(PASTE_ALL,$DF316,$L$18)," "," "),CHAR(9)," "),CHAR(10)," "),CHAR(13)," "))))),"")))</f>
        <v/>
      </c>
      <c r="EC316">
        <f>IF($DM316=0,"",IF($L$19=0,"",IFERROR(IF(ISNUMBER(INDEX(PASTE_ALL,$DF316,$L$19)),INDEX(PASTE_ALL,$DF316,$L$19),TRIM(SUBSTITUTE(SUBSTITUTE(SUBSTITUTE(SUBSTITUTE(INDEX(PASTE_ALL,$DF316,$L$19)," "," "),CHAR(9)," "),CHAR(10)," "),CHAR(13)," "))),"")))</f>
        <v/>
      </c>
      <c r="ED316">
        <f>IF($DM316=0,"",MATCH(1,INDEX(EXACT($DH$5:DH316,$DH316)*$DM$5:DM316,0),0))</f>
        <v/>
      </c>
      <c r="EE316">
        <f>IF($DM316=0,0,IF($ED316=$DE316,1,0))</f>
        <v/>
      </c>
      <c r="EF316">
        <f>EF315+$EE316</f>
        <v/>
      </c>
      <c r="EG316">
        <f>IF($DM316=0,"",INDEX($EF$5:$EF$1003,$ED316))</f>
        <v/>
      </c>
      <c r="EH316">
        <f>IF($DM316=0,"",IF($DO316&lt;&gt;"","",IFERROR(LOOKUP(2,1/(($EG$4:EG315=$EG316)*($DO$4:DO315&lt;&gt;"")),$DO$4:DO315),"")))</f>
        <v/>
      </c>
      <c r="EI316">
        <f>IF($DM316=0,"",IF($DO316&lt;&gt;"",$DO316,$EH316))</f>
        <v/>
      </c>
      <c r="EJ316">
        <f>IF($DM316=0,"",IF($EI316="",0,IF(OR(ISNUMBER($EI316),AND(AND(SUBSTITUTE(SUBSTITUTE(SUBSTITUTE(SUBSTITUTE(SUBSTITUTE(SUBSTITUTE(SUBSTITUTE(SUBSTITUTE(SUBSTITUTE(SUBSTITUTE(SUBSTITUTE(SUBSTITUTE(SUBSTITUTE(SUBSTITUTE(UPPER($EI316),"0",""),"1",""),"2",""),"3",""),"4",""),"5",""),"6",""),"7",""),"8",""),"9",""),".",""),"+",""),"-",""),"E","")="",LEN(SUBSTITUTE(SUBSTITUTE(MID(UPPER($EI316),1+OR(LEFT(UPPER($EI316),1)="+",LEFT(UPPER($EI316),1)="-"),999),"E+","E"),"E-","E"))=LEN(SUBSTITUTE(SUBSTITUTE(SUBSTITUTE(SUBSTITUTE(MID(UPPER($EI316),1+OR(LEFT(UPPER($EI316),1)="+",LEFT(UPPER($EI316),1)="-"),999),"E+","E"),"E-","E"),"+",""),"-","")),LEN(UPPER($EI316))-LEN(SUBSTITUTE(UPPER($EI316),"E",""))&lt;2,LEN(UPPER($EI316))-LEN(SUBSTITUTE(UPPER($EI316),".",""))&lt;2,IFERROR(FIND(".",UPPER($EI316)),0)&lt;IFERROR(FIND("E",UPPER($EI316)),999)),ISNUMBER(VALUE($EI316)))),1,2)))</f>
        <v/>
      </c>
      <c r="EK316">
        <f>IF($DM316=0,"",IF($EJ316=1,IF(ISNUMBER($EI316),$EI316,VALUE($EI316)),IF($EJ316=2,$DE316,0)))</f>
        <v/>
      </c>
      <c r="EL316">
        <f>IF($DM316=0,"",COUNTIF($EG$5:$EG$1003,"&lt;"&amp;$EG316)+SUMPRODUCT(($EG$5:$EG$1003=$EG316)*(($EJ$5:$EJ$1003&lt;$EJ316)+($EJ$5:$EJ$1003=$EJ316)*(($EK$5:$EK$1003&lt;$EK316)+($EK$5:$EK$1003=$EK316)*($DE$5:$DE$1003&lt;$DE316))))+1)</f>
        <v/>
      </c>
      <c r="EM316">
        <f>IF($DM316=0,"",$EL316+$EG316-1)</f>
        <v/>
      </c>
      <c r="EN316">
        <f>IF($DM316=0,0,IFERROR(MATCH(1,INDEX(--(TRIM(SUBSTITUTE(SUBSTITUTE(SUBSTITUTE(SUBSTITUTE(LINES_NAME&amp;""," "," "),CHAR(9)," "),CHAR(10)," "),CHAR(13)," "))=$DH316),0),0),0))</f>
        <v/>
      </c>
      <c r="EO316">
        <f>IF($EN316=0,0,IF(OR(UPPER(TRIM(INDEX(LINES_SCHEDULED,$EN316)&amp;""))="YES",UPPER(TRIM(INDEX(LINES_SCHEDULED,$EN316)&amp;""))="Y",UPPER(TRIM(INDEX(LINES_SCHEDULED,$EN316)&amp;""))="X"),1,0))</f>
        <v/>
      </c>
      <c r="EP316">
        <f>IF($DM316=0,"",IF(COUNTIFS($EG$5:$EG$1003,$EG316,$EB$5:$EB$1003,"Ready")&gt;0,"READY",IF(COUNTIFS($EG$5:$EG$1003,$EG316,$EB$5:$EB$1003,"PM")&gt;0,"PM",IF(COUNTIFS($EG$5:$EG$1003,$EG316,$EB$5:$EB$1003,"OT")&gt;0,"OT",""))))</f>
        <v/>
      </c>
      <c r="EQ316">
        <f>IF($EN316=0,"",UPPER(TRIM(INDEX(LINES_STATUS,$EN316)&amp;"")))</f>
        <v/>
      </c>
      <c r="ER316">
        <f>IF($DM316=0,"",IF(OR($EQ316="READY",$EQ316="PM",$EQ316="OT"),$EQ316,$EP316))</f>
        <v/>
      </c>
      <c r="ES316">
        <f>IF($DM316=0,"",IF(AND($DV316&lt;&gt;"",UPPER($DV316)&lt;&gt;"N"),"allergen",IF(ISNUMBER(SEARCH("oil",$DQ316)),"oil",IF(OR(EXACT($DS316,"A662"),EXACT($DS316,"A624")),"bulk",""))))</f>
        <v/>
      </c>
      <c r="ET316">
        <f>IF($DM316=0,"",IF(OR($EA316="",$EA316=0),"",$EA316/100))</f>
        <v/>
      </c>
      <c r="EU316">
        <f>IF(OR($ET316="",$DY316=""),"",INT($DY316*(1-$ET316)+0.5))</f>
        <v/>
      </c>
      <c r="EW316" t="n">
        <v>312</v>
      </c>
      <c r="EX316">
        <f>IFERROR(MATCH($EW316,$EM$5:$EM$1003,0),0)</f>
        <v/>
      </c>
      <c r="EY316">
        <f>IF($EW316&gt;$B$12,"",IF($EX316&gt;0,"row","spacer"))</f>
        <v/>
      </c>
      <c r="EZ316">
        <f>IF(AND($EY316="row",$EY315&lt;&gt;"row"),1,0)</f>
        <v/>
      </c>
      <c r="FA316">
        <f>IF(AND($EY316="row",$EY317&lt;&gt;"row"),1,0)</f>
        <v/>
      </c>
      <c r="FB316">
        <f>IF($EZ316=1,IFERROR(IF(ISNUMBER(INDEX(PASTE_ALL,INDEX($DF$5:$DF$1003,$EX316),$B$37)),INDEX(PASTE_ALL,INDEX($DF$5:$DF$1003,$EX316),$B$37),INDEX($DH$5:$DH$1003,$EX316)),INDEX($DH$5:$DH$1003,$EX316)),"")</f>
        <v/>
      </c>
      <c r="FC316">
        <f>IF($EY316="row",INDEX($ER$5:$ER$1003,$EX316),"")</f>
        <v/>
      </c>
      <c r="FD316">
        <f>IF($EY316="row",INDEX($DN$5:$DN$1003,$EX316),"")</f>
        <v/>
      </c>
      <c r="FE316">
        <f>IF($EY316="row",INDEX($DO$5:$DO$1003,$EX316),"")</f>
        <v/>
      </c>
      <c r="FF316">
        <f>IF($EY316="row",INDEX($DP$5:$DP$1003,$EX316),"")</f>
        <v/>
      </c>
      <c r="FG316">
        <f>IF($EY316="row",INDEX($DQ$5:$DQ$1003,$EX316),"")</f>
        <v/>
      </c>
      <c r="FH316">
        <f>IF($EY316="row",INDEX($DR$5:$DR$1003,$EX316),"")</f>
        <v/>
      </c>
      <c r="FI316">
        <f>IF($EY316="row",INDEX($DS$5:$DS$1003,$EX316),"")</f>
        <v/>
      </c>
      <c r="FJ316">
        <f>IF($EY316="row",INDEX($DT$5:$DT$1003,$EX316),"")</f>
        <v/>
      </c>
      <c r="FK316">
        <f>IF($EY316="row",INDEX($DU$5:$DU$1003,$EX316),"")</f>
        <v/>
      </c>
      <c r="FL316">
        <f>IF($EY316="row",INDEX($DV$5:$DV$1003,$EX316),"")</f>
        <v/>
      </c>
      <c r="FM316">
        <f>IF($EY316="row",INDEX($DW$5:$DW$1003,$EX316),"")</f>
        <v/>
      </c>
      <c r="FN316">
        <f>IF($EY316="row",INDEX($DY$5:$DY$1003,$EX316),"")</f>
        <v/>
      </c>
      <c r="FO316">
        <f>IF($EY316="row",INDEX($EA$5:$EA$1003,$EX316),"")</f>
        <v/>
      </c>
      <c r="FP316">
        <f>IF($EY316="row",INDEX($EC$5:$EC$1003,$EX316),"")</f>
        <v/>
      </c>
      <c r="FQ316">
        <f>IF($EY316="row",INDEX($ET$5:$ET$1003,$EX316),"")</f>
        <v/>
      </c>
      <c r="FR316">
        <f>IF($EY316="row",INDEX($EU$5:$EU$1003,$EX316),"")</f>
        <v/>
      </c>
      <c r="FS316">
        <f>IF(AND($EY316="row",$EY315="row"),IF(OR(INDEX($DT$5:$DT$1003,$EX315)="",INDEX($DT$5:$DT$1003,$EX316)=""),"",IF(NOT(EXACT(INDEX($DT$5:$DT$1003,$EX315),INDEX($DT$5:$DT$1003,$EX316))),"S4",IF(NOT(EXACT(INDEX($DS$5:$DS$1003,$EX315),INDEX($DS$5:$DS$1003,$EX316))),"S3",IF(NOT(EXACT(INDEX($DR$5:$DR$1003,$EX315),INDEX($DR$5:$DR$1003,$EX316))),"S1 Count Change","S1")))),"")</f>
        <v/>
      </c>
      <c r="FT316">
        <f>IF($EY316="row",INDEX($ES$5:$ES$1003,$EX316),"")</f>
        <v/>
      </c>
      <c r="FU316">
        <f>IF($EY316="row",INDEX($EO$5:$EO$1003,$EX316),0)</f>
        <v/>
      </c>
      <c r="FV316">
        <f>IF($FS316="S1 Count Change",1,0)</f>
        <v/>
      </c>
    </row>
    <row r="317">
      <c r="DA317" t="n">
        <v>313</v>
      </c>
      <c r="DB317">
        <f>IF($B$37=0,"",IFERROR(TRIM(SUBSTITUTE(SUBSTITUTE(SUBSTITUTE(SUBSTITUTE(INDEX(PASTE_ALL,313,$B$37)," "," "),CHAR(9)," "),CHAR(10)," "),CHAR(13)," ")),""))</f>
        <v/>
      </c>
      <c r="DC317">
        <f>IF(AND(313&gt;HEADER_ROW,UPPER(DB317)="LEGEND"),1,0)</f>
        <v/>
      </c>
      <c r="DE317" t="n">
        <v>313</v>
      </c>
      <c r="DF317">
        <f>HEADER_ROW+$DE317</f>
        <v/>
      </c>
      <c r="DG317">
        <f>IF(AND($DF317&lt;=1000,$DF317&lt;$B$8),1,0)</f>
        <v/>
      </c>
      <c r="DH317">
        <f>IF($DG317=1,IFERROR(INDEX($DB$5:$DB$1004,$DF317),""),"")</f>
        <v/>
      </c>
      <c r="DI317">
        <f>IF(AND($DG317=1,$DH317&lt;&gt;""),IFERROR(SUBSTITUTE(SUBSTITUTE(TRIM(SUBSTITUTE(SUBSTITUTE(SUBSTITUTE(SUBSTITUTE(IFERROR(INDEX(PASTE_ALL,$DF317,1)&amp;"","")&amp;"␟"&amp;IFERROR(INDEX(PASTE_ALL,$DF317,2)&amp;"","")&amp;"␟"&amp;IFERROR(INDEX(PASTE_ALL,$DF317,3)&amp;"","")&amp;"␟"&amp;IFERROR(INDEX(PASTE_ALL,$DF317,4)&amp;"","")&amp;"␟"&amp;IFERROR(INDEX(PASTE_ALL,$DF317,5)&amp;"","")&amp;"␟"&amp;IFERROR(INDEX(PASTE_ALL,$DF317,6)&amp;"","")&amp;"␟"&amp;IFERROR(INDEX(PASTE_ALL,$DF317,7)&amp;"","")&amp;"␟"&amp;IFERROR(INDEX(PASTE_ALL,$DF317,8)&amp;"","")&amp;"␟"&amp;IFERROR(INDEX(PASTE_ALL,$DF317,9)&amp;"","")&amp;"␟"&amp;IFERROR(INDEX(PASTE_ALL,$DF317,10)&amp;"","")&amp;"␟"&amp;IFERROR(INDEX(PASTE_ALL,$DF317,11)&amp;"","")&amp;"␟"&amp;IFERROR(INDEX(PASTE_ALL,$DF317,12)&amp;"","")&amp;"␟"&amp;IFERROR(INDEX(PASTE_ALL,$DF317,13)&amp;"","")&amp;"␟"&amp;IFERROR(INDEX(PASTE_ALL,$DF317,14)&amp;"","")&amp;"␟"&amp;IFERROR(INDEX(PASTE_ALL,$DF317,15)&amp;"","")&amp;"␟"&amp;IFERROR(INDEX(PASTE_ALL,$DF317,16)&amp;"","")&amp;"␟"&amp;IFERROR(INDEX(PASTE_ALL,$DF317,17)&amp;"","")&amp;"␟"&amp;IFERROR(INDEX(PASTE_ALL,$DF317,18)&amp;"","")&amp;"␟"&amp;IFERROR(INDEX(PASTE_ALL,$DF317,19)&amp;"","")&amp;"␟"&amp;IFERROR(INDEX(PASTE_ALL,$DF317,20)&amp;"","")&amp;"␟"&amp;IFERROR(INDEX(PASTE_ALL,$DF317,21)&amp;"","")&amp;"␟"&amp;IFERROR(INDEX(PASTE_ALL,$DF317,22)&amp;"","")&amp;"␟"&amp;IFERROR(INDEX(PASTE_ALL,$DF317,23)&amp;"","")&amp;"␟"&amp;IFERROR(INDEX(PASTE_ALL,$DF317,24)&amp;"","")&amp;"␟"&amp;IFERROR(INDEX(PASTE_ALL,$DF317,25)&amp;"","")&amp;"␟"&amp;IFERROR(INDEX(PASTE_ALL,$DF317,26)&amp;"","")&amp;"␟"&amp;IFERROR(INDEX(PASTE_ALL,$DF317,27)&amp;"","")&amp;"␟"&amp;IFERROR(INDEX(PASTE_ALL,$DF317,28)&amp;"","")&amp;"␟"&amp;IFERROR(INDEX(PASTE_ALL,$DF317,29)&amp;"","")&amp;"␟"&amp;IFERROR(INDEX(PASTE_ALL,$DF317,30)&amp;"","")&amp;"␟"&amp;IFERROR(INDEX(PASTE_ALL,$DF317,31)&amp;"","")&amp;"␟"&amp;IFERROR(INDEX(PASTE_ALL,$DF317,32)&amp;"","")&amp;"␟"&amp;IFERROR(INDEX(PASTE_ALL,$DF317,33)&amp;"","")&amp;"␟"&amp;IFERROR(INDEX(PASTE_ALL,$DF317,34)&amp;"","")&amp;"␟"&amp;IFERROR(INDEX(PASTE_ALL,$DF317,35)&amp;"","")&amp;"␟"&amp;IFERROR(INDEX(PASTE_ALL,$DF317,36)&amp;"","")&amp;"␟"&amp;IFERROR(INDEX(PASTE_ALL,$DF317,37)&amp;"","")&amp;"␟"&amp;IFERROR(INDEX(PASTE_ALL,$DF317,38)&amp;"","")&amp;"␟"&amp;IFERROR(INDEX(PASTE_ALL,$DF317,39)&amp;"","")&amp;"␟"&amp;IFERROR(INDEX(PASTE_ALL,$DF317,40)&amp;"","")&amp;"␟"&amp;IFERROR(INDEX(PASTE_ALL,$DF317,41)&amp;"","")&amp;"␟"&amp;IFERROR(INDEX(PASTE_ALL,$DF317,42)&amp;"","")&amp;"␟"&amp;IFERROR(INDEX(PASTE_ALL,$DF317,43)&amp;"","")&amp;"␟"&amp;IFERROR(INDEX(PASTE_ALL,$DF317,44)&amp;"","")&amp;"␟"&amp;IFERROR(INDEX(PASTE_ALL,$DF317,45)&amp;"","")&amp;"␟"&amp;IFERROR(INDEX(PASTE_ALL,$DF317,46)&amp;"","")&amp;"␟"&amp;IFERROR(INDEX(PASTE_ALL,$DF317,47)&amp;"","")&amp;"␟"&amp;IFERROR(INDEX(PASTE_ALL,$DF317,48)&amp;"","")&amp;"␟"&amp;IFERROR(INDEX(PASTE_ALL,$DF317,49)&amp;"","")&amp;"␟"&amp;IFERROR(INDEX(PASTE_ALL,$DF317,50)&amp;"","")&amp;"␟"&amp;IFERROR(INDEX(PASTE_ALL,$DF317,51)&amp;"","")&amp;"␟"&amp;IFERROR(INDEX(PASTE_ALL,$DF317,52)&amp;"","")&amp;"␟"&amp;IFERROR(INDEX(PASTE_ALL,$DF317,53)&amp;"","")&amp;"␟"&amp;IFERROR(INDEX(PASTE_ALL,$DF317,54)&amp;"","")&amp;"␟"&amp;IFERROR(INDEX(PASTE_ALL,$DF317,55)&amp;"","")&amp;"␟"&amp;IFERROR(INDEX(PASTE_ALL,$DF317,56)&amp;"","")&amp;"␟"&amp;IFERROR(INDEX(PASTE_ALL,$DF317,57)&amp;"","")&amp;"␟"&amp;IFERROR(INDEX(PASTE_ALL,$DF317,58)&amp;"","")&amp;"␟"&amp;IFERROR(INDEX(PASTE_ALL,$DF317,59)&amp;"","")&amp;"␟"&amp;IFERROR(INDEX(PASTE_ALL,$DF317,60)&amp;"","")," "," "),CHAR(9)," "),CHAR(10)," "),CHAR(13)," "))," ␟","␟"),"␟ ","␟"),"#"&amp;$DE317),"")</f>
        <v/>
      </c>
      <c r="DJ317">
        <f>IF($DI317="",0,IF(SUMPRODUCT(--EXACT($DI$4:DI316,$DI317))&gt;0,1,0))</f>
        <v/>
      </c>
      <c r="DK317">
        <f>IF(AND($DI317&lt;&gt;"",$DJ317=0),1,0)</f>
        <v/>
      </c>
      <c r="DL317">
        <f>DL316+$DK317</f>
        <v/>
      </c>
      <c r="DM317">
        <f>IF(AND($DK317=1,$DL317&lt;=600),1,0)</f>
        <v/>
      </c>
      <c r="DN317">
        <f>IF($DM317=0,"",IF($L$6=0,"",IFERROR(IF(ISNUMBER(INDEX(PASTE_ALL,$DF317,$L$6)),INDEX(PASTE_ALL,$DF317,$L$6),TRIM(SUBSTITUTE(SUBSTITUTE(SUBSTITUTE(SUBSTITUTE(INDEX(PASTE_ALL,$DF317,$L$6)," "," "),CHAR(9)," "),CHAR(10)," "),CHAR(13)," "))),"")))</f>
        <v/>
      </c>
      <c r="DO317">
        <f>IF($DM317=0,"",IF($L$7=0,"",IFERROR(IF(ISNUMBER(INDEX(PASTE_ALL,$DF317,$L$7)),INDEX(PASTE_ALL,$DF317,$L$7),TRIM(SUBSTITUTE(SUBSTITUTE(SUBSTITUTE(SUBSTITUTE(INDEX(PASTE_ALL,$DF317,$L$7)," "," "),CHAR(9)," "),CHAR(10)," "),CHAR(13)," "))),"")))</f>
        <v/>
      </c>
      <c r="DP317">
        <f>IF($DM317=0,"",IF($L$8=0,"",IFERROR(IF(ISNUMBER(INDEX(PASTE_ALL,$DF317,$L$8)),INDEX(PASTE_ALL,$DF317,$L$8),TRIM(SUBSTITUTE(SUBSTITUTE(SUBSTITUTE(SUBSTITUTE(INDEX(PASTE_ALL,$DF317,$L$8)," "," "),CHAR(9)," "),CHAR(10)," "),CHAR(13)," "))),"")))</f>
        <v/>
      </c>
      <c r="DQ317">
        <f>IF($DM317=0,"",IF($L$9=0,"",IFERROR(IF(ISNUMBER(INDEX(PASTE_ALL,$DF317,$L$9)),INDEX(PASTE_ALL,$DF317,$L$9),TRIM(SUBSTITUTE(SUBSTITUTE(SUBSTITUTE(SUBSTITUTE(INDEX(PASTE_ALL,$DF317,$L$9)," "," "),CHAR(9)," "),CHAR(10)," "),CHAR(13)," "))),"")))</f>
        <v/>
      </c>
      <c r="DR317">
        <f>IF($DM317=0,"",IF($L$10=0,"",IFERROR(IF(ISNUMBER(INDEX(PASTE_ALL,$DF317,$L$10)),INDEX(PASTE_ALL,$DF317,$L$10),TRIM(SUBSTITUTE(SUBSTITUTE(SUBSTITUTE(SUBSTITUTE(INDEX(PASTE_ALL,$DF317,$L$10)," "," "),CHAR(9)," "),CHAR(10)," "),CHAR(13)," "))),"")))</f>
        <v/>
      </c>
      <c r="DS317">
        <f>IF($DM317=0,"",IF($L$11=0,"",IFERROR(IF(ISNUMBER(INDEX(PASTE_ALL,$DF317,$L$11)),INDEX(PASTE_ALL,$DF317,$L$11),TRIM(SUBSTITUTE(SUBSTITUTE(SUBSTITUTE(SUBSTITUTE(INDEX(PASTE_ALL,$DF317,$L$11)," "," "),CHAR(9)," "),CHAR(10)," "),CHAR(13)," "))),"")))</f>
        <v/>
      </c>
      <c r="DT317">
        <f>IF($DM317=0,"",IF($L$12=0,"",IFERROR(IF(ISNUMBER(INDEX(PASTE_ALL,$DF317,$L$12)),INDEX(PASTE_ALL,$DF317,$L$12),TRIM(SUBSTITUTE(SUBSTITUTE(SUBSTITUTE(SUBSTITUTE(INDEX(PASTE_ALL,$DF317,$L$12)," "," "),CHAR(9)," "),CHAR(10)," "),CHAR(13)," "))),"")))</f>
        <v/>
      </c>
      <c r="DU317">
        <f>IF($DM317=0,"",IF($L$13=0,"",IFERROR(IF(ISNUMBER(INDEX(PASTE_ALL,$DF317,$L$13)),INDEX(PASTE_ALL,$DF317,$L$13),TRIM(SUBSTITUTE(SUBSTITUTE(SUBSTITUTE(SUBSTITUTE(INDEX(PASTE_ALL,$DF317,$L$13)," "," "),CHAR(9)," "),CHAR(10)," "),CHAR(13)," "))),"")))</f>
        <v/>
      </c>
      <c r="DV317">
        <f>IF($DM317=0,"",IF($L$14=0,"",IFERROR(IF(ISNUMBER(INDEX(PASTE_ALL,$DF317,$L$14)),INDEX(PASTE_ALL,$DF317,$L$14),TRIM(SUBSTITUTE(SUBSTITUTE(SUBSTITUTE(SUBSTITUTE(INDEX(PASTE_ALL,$DF317,$L$14)," "," "),CHAR(9)," "),CHAR(10)," "),CHAR(13)," "))),"")))</f>
        <v/>
      </c>
      <c r="DW317">
        <f>IF($DM317=0,"",IF($L$15=0,"",IFERROR(IF(ISNUMBER(INDEX(PASTE_ALL,$DF317,$L$15)),INDEX(PASTE_ALL,$DF317,$L$15),IF(SUMPRODUCT(--ISNUMBER(FIND({"A","B","C","D","E","F","G","H","I","J","K","L","M","N","O","P","Q","R","S","T","U","V","W","X","Y","Z","0","1","2","3","4","5","6","7","8","9"},UPPER(TRIM(SUBSTITUTE(SUBSTITUTE(SUBSTITUTE(SUBSTITUTE(INDEX(PASTE_ALL,$DF317,$L$15)," "," "),CHAR(9)," "),CHAR(10)," "),CHAR(13)," "))))))&gt;0,TRIM(SUBSTITUTE(SUBSTITUTE(SUBSTITUTE(SUBSTITUTE(INDEX(PASTE_ALL,$DF317,$L$15)," "," "),CHAR(9)," "),CHAR(10)," "),CHAR(13)," ")),"")),"")))</f>
        <v/>
      </c>
      <c r="DX317">
        <f>IF($DM317=0,"",IF($L$16=0,"",IFERROR(IF(ISNUMBER(INDEX(PASTE_ALL,$DF317,$L$16)),INDEX(PASTE_ALL,$DF317,$L$16),SUBSTITUTE(SUBSTITUTE(TRIM(SUBSTITUTE(SUBSTITUTE(SUBSTITUTE(SUBSTITUTE(INDEX(PASTE_ALL,$DF317,$L$16)," "," "),CHAR(9)," "),CHAR(10)," "),CHAR(13)," ")),",",""),"%","")),"")))</f>
        <v/>
      </c>
      <c r="DY317">
        <f>IF($DM317=0,"",IFERROR(IF(ISNUMBER($DX317),$DX317,IF($DX317="","",IF(TRIM($DX317)="",0,IF(AND(AND(SUBSTITUTE(SUBSTITUTE(SUBSTITUTE(SUBSTITUTE(SUBSTITUTE(SUBSTITUTE(SUBSTITUTE(SUBSTITUTE(SUBSTITUTE(SUBSTITUTE(SUBSTITUTE(SUBSTITUTE(SUBSTITUTE(SUBSTITUTE(UPPER(TRIM($DX317)),"0",""),"1",""),"2",""),"3",""),"4",""),"5",""),"6",""),"7",""),"8",""),"9",""),".",""),"+",""),"-",""),"E","")="",LEN(SUBSTITUTE(SUBSTITUTE(MID(UPPER(TRIM($DX317)),1+OR(LEFT(UPPER(TRIM($DX317)),1)="+",LEFT(UPPER(TRIM($DX317)),1)="-"),999),"E+","E"),"E-","E"))=LEN(SUBSTITUTE(SUBSTITUTE(SUBSTITUTE(SUBSTITUTE(MID(UPPER(TRIM($DX317)),1+OR(LEFT(UPPER(TRIM($DX317)),1)="+",LEFT(UPPER(TRIM($DX317)),1)="-"),999),"E+","E"),"E-","E"),"+",""),"-","")),LEN(UPPER(TRIM($DX317)))-LEN(SUBSTITUTE(UPPER(TRIM($DX317)),"E",""))&lt;2,LEN(UPPER(TRIM($DX317)))-LEN(SUBSTITUTE(UPPER(TRIM($DX317)),".",""))&lt;2,IFERROR(FIND(".",UPPER(TRIM($DX317))),0)&lt;IFERROR(FIND("E",UPPER(TRIM($DX317))),999)),ISNUMBER(VALUE(TRIM($DX317)))),VALUE(TRIM($DX317)),"")))),""))</f>
        <v/>
      </c>
      <c r="DZ317">
        <f>IF($DM317=0,"",IF($L$17=0,"",IFERROR(IF(ISNUMBER(INDEX(PASTE_ALL,$DF317,$L$17)),INDEX(PASTE_ALL,$DF317,$L$17),SUBSTITUTE(SUBSTITUTE(TRIM(SUBSTITUTE(SUBSTITUTE(SUBSTITUTE(SUBSTITUTE(INDEX(PASTE_ALL,$DF317,$L$17)," "," "),CHAR(9)," "),CHAR(10)," "),CHAR(13)," ")),",",""),"%","")),"")))</f>
        <v/>
      </c>
      <c r="EA317">
        <f>IF($DM317=0,"",IFERROR(IF(ISNUMBER($DZ317),$DZ317,IF($DZ317="","",IF(TRIM($DZ317)="",0,IF(AND(AND(SUBSTITUTE(SUBSTITUTE(SUBSTITUTE(SUBSTITUTE(SUBSTITUTE(SUBSTITUTE(SUBSTITUTE(SUBSTITUTE(SUBSTITUTE(SUBSTITUTE(SUBSTITUTE(SUBSTITUTE(SUBSTITUTE(SUBSTITUTE(UPPER(TRIM($DZ317)),"0",""),"1",""),"2",""),"3",""),"4",""),"5",""),"6",""),"7",""),"8",""),"9",""),".",""),"+",""),"-",""),"E","")="",LEN(SUBSTITUTE(SUBSTITUTE(MID(UPPER(TRIM($DZ317)),1+OR(LEFT(UPPER(TRIM($DZ317)),1)="+",LEFT(UPPER(TRIM($DZ317)),1)="-"),999),"E+","E"),"E-","E"))=LEN(SUBSTITUTE(SUBSTITUTE(SUBSTITUTE(SUBSTITUTE(MID(UPPER(TRIM($DZ317)),1+OR(LEFT(UPPER(TRIM($DZ317)),1)="+",LEFT(UPPER(TRIM($DZ317)),1)="-"),999),"E+","E"),"E-","E"),"+",""),"-","")),LEN(UPPER(TRIM($DZ317)))-LEN(SUBSTITUTE(UPPER(TRIM($DZ317)),"E",""))&lt;2,LEN(UPPER(TRIM($DZ317)))-LEN(SUBSTITUTE(UPPER(TRIM($DZ317)),".",""))&lt;2,IFERROR(FIND(".",UPPER(TRIM($DZ317))),0)&lt;IFERROR(FIND("E",UPPER(TRIM($DZ317))),999)),ISNUMBER(VALUE(TRIM($DZ317)))),VALUE(TRIM($DZ317)),"")))),""))</f>
        <v/>
      </c>
      <c r="EB317">
        <f>IF($DM317=0,"",IF($L$18=0,"",IFERROR(IF(UPPER(TRIM(SUBSTITUTE(SUBSTITUTE(SUBSTITUTE(SUBSTITUTE(INDEX(PASTE_ALL,$DF317,$L$18)," "," "),CHAR(9)," "),CHAR(10)," "),CHAR(13)," ")))="READY","Ready",IF(UPPER(TRIM(SUBSTITUTE(SUBSTITUTE(SUBSTITUTE(SUBSTITUTE(INDEX(PASTE_ALL,$DF317,$L$18)," "," "),CHAR(9)," "),CHAR(10)," "),CHAR(13)," ")))="PM","PM",IF(OR(UPPER(TRIM(SUBSTITUTE(SUBSTITUTE(SUBSTITUTE(SUBSTITUTE(INDEX(PASTE_ALL,$DF317,$L$18)," "," "),CHAR(9)," "),CHAR(10)," "),CHAR(13)," ")))="OT",UPPER(TRIM(SUBSTITUTE(SUBSTITUTE(SUBSTITUTE(SUBSTITUTE(INDEX(PASTE_ALL,$DF317,$L$18)," "," "),CHAR(9)," "),CHAR(10)," "),CHAR(13)," ")))="OVERTIME",UPPER(TRIM(SUBSTITUTE(SUBSTITUTE(SUBSTITUTE(SUBSTITUTE(INDEX(PASTE_ALL,$DF317,$L$18)," "," "),CHAR(9)," "),CHAR(10)," "),CHAR(13)," ")))="TRIAL"),"OT",TRIM(SUBSTITUTE(SUBSTITUTE(SUBSTITUTE(SUBSTITUTE(INDEX(PASTE_ALL,$DF317,$L$18)," "," "),CHAR(9)," "),CHAR(10)," "),CHAR(13)," "))))),"")))</f>
        <v/>
      </c>
      <c r="EC317">
        <f>IF($DM317=0,"",IF($L$19=0,"",IFERROR(IF(ISNUMBER(INDEX(PASTE_ALL,$DF317,$L$19)),INDEX(PASTE_ALL,$DF317,$L$19),TRIM(SUBSTITUTE(SUBSTITUTE(SUBSTITUTE(SUBSTITUTE(INDEX(PASTE_ALL,$DF317,$L$19)," "," "),CHAR(9)," "),CHAR(10)," "),CHAR(13)," "))),"")))</f>
        <v/>
      </c>
      <c r="ED317">
        <f>IF($DM317=0,"",MATCH(1,INDEX(EXACT($DH$5:DH317,$DH317)*$DM$5:DM317,0),0))</f>
        <v/>
      </c>
      <c r="EE317">
        <f>IF($DM317=0,0,IF($ED317=$DE317,1,0))</f>
        <v/>
      </c>
      <c r="EF317">
        <f>EF316+$EE317</f>
        <v/>
      </c>
      <c r="EG317">
        <f>IF($DM317=0,"",INDEX($EF$5:$EF$1003,$ED317))</f>
        <v/>
      </c>
      <c r="EH317">
        <f>IF($DM317=0,"",IF($DO317&lt;&gt;"","",IFERROR(LOOKUP(2,1/(($EG$4:EG316=$EG317)*($DO$4:DO316&lt;&gt;"")),$DO$4:DO316),"")))</f>
        <v/>
      </c>
      <c r="EI317">
        <f>IF($DM317=0,"",IF($DO317&lt;&gt;"",$DO317,$EH317))</f>
        <v/>
      </c>
      <c r="EJ317">
        <f>IF($DM317=0,"",IF($EI317="",0,IF(OR(ISNUMBER($EI317),AND(AND(SUBSTITUTE(SUBSTITUTE(SUBSTITUTE(SUBSTITUTE(SUBSTITUTE(SUBSTITUTE(SUBSTITUTE(SUBSTITUTE(SUBSTITUTE(SUBSTITUTE(SUBSTITUTE(SUBSTITUTE(SUBSTITUTE(SUBSTITUTE(UPPER($EI317),"0",""),"1",""),"2",""),"3",""),"4",""),"5",""),"6",""),"7",""),"8",""),"9",""),".",""),"+",""),"-",""),"E","")="",LEN(SUBSTITUTE(SUBSTITUTE(MID(UPPER($EI317),1+OR(LEFT(UPPER($EI317),1)="+",LEFT(UPPER($EI317),1)="-"),999),"E+","E"),"E-","E"))=LEN(SUBSTITUTE(SUBSTITUTE(SUBSTITUTE(SUBSTITUTE(MID(UPPER($EI317),1+OR(LEFT(UPPER($EI317),1)="+",LEFT(UPPER($EI317),1)="-"),999),"E+","E"),"E-","E"),"+",""),"-","")),LEN(UPPER($EI317))-LEN(SUBSTITUTE(UPPER($EI317),"E",""))&lt;2,LEN(UPPER($EI317))-LEN(SUBSTITUTE(UPPER($EI317),".",""))&lt;2,IFERROR(FIND(".",UPPER($EI317)),0)&lt;IFERROR(FIND("E",UPPER($EI317)),999)),ISNUMBER(VALUE($EI317)))),1,2)))</f>
        <v/>
      </c>
      <c r="EK317">
        <f>IF($DM317=0,"",IF($EJ317=1,IF(ISNUMBER($EI317),$EI317,VALUE($EI317)),IF($EJ317=2,$DE317,0)))</f>
        <v/>
      </c>
      <c r="EL317">
        <f>IF($DM317=0,"",COUNTIF($EG$5:$EG$1003,"&lt;"&amp;$EG317)+SUMPRODUCT(($EG$5:$EG$1003=$EG317)*(($EJ$5:$EJ$1003&lt;$EJ317)+($EJ$5:$EJ$1003=$EJ317)*(($EK$5:$EK$1003&lt;$EK317)+($EK$5:$EK$1003=$EK317)*($DE$5:$DE$1003&lt;$DE317))))+1)</f>
        <v/>
      </c>
      <c r="EM317">
        <f>IF($DM317=0,"",$EL317+$EG317-1)</f>
        <v/>
      </c>
      <c r="EN317">
        <f>IF($DM317=0,0,IFERROR(MATCH(1,INDEX(--(TRIM(SUBSTITUTE(SUBSTITUTE(SUBSTITUTE(SUBSTITUTE(LINES_NAME&amp;""," "," "),CHAR(9)," "),CHAR(10)," "),CHAR(13)," "))=$DH317),0),0),0))</f>
        <v/>
      </c>
      <c r="EO317">
        <f>IF($EN317=0,0,IF(OR(UPPER(TRIM(INDEX(LINES_SCHEDULED,$EN317)&amp;""))="YES",UPPER(TRIM(INDEX(LINES_SCHEDULED,$EN317)&amp;""))="Y",UPPER(TRIM(INDEX(LINES_SCHEDULED,$EN317)&amp;""))="X"),1,0))</f>
        <v/>
      </c>
      <c r="EP317">
        <f>IF($DM317=0,"",IF(COUNTIFS($EG$5:$EG$1003,$EG317,$EB$5:$EB$1003,"Ready")&gt;0,"READY",IF(COUNTIFS($EG$5:$EG$1003,$EG317,$EB$5:$EB$1003,"PM")&gt;0,"PM",IF(COUNTIFS($EG$5:$EG$1003,$EG317,$EB$5:$EB$1003,"OT")&gt;0,"OT",""))))</f>
        <v/>
      </c>
      <c r="EQ317">
        <f>IF($EN317=0,"",UPPER(TRIM(INDEX(LINES_STATUS,$EN317)&amp;"")))</f>
        <v/>
      </c>
      <c r="ER317">
        <f>IF($DM317=0,"",IF(OR($EQ317="READY",$EQ317="PM",$EQ317="OT"),$EQ317,$EP317))</f>
        <v/>
      </c>
      <c r="ES317">
        <f>IF($DM317=0,"",IF(AND($DV317&lt;&gt;"",UPPER($DV317)&lt;&gt;"N"),"allergen",IF(ISNUMBER(SEARCH("oil",$DQ317)),"oil",IF(OR(EXACT($DS317,"A662"),EXACT($DS317,"A624")),"bulk",""))))</f>
        <v/>
      </c>
      <c r="ET317">
        <f>IF($DM317=0,"",IF(OR($EA317="",$EA317=0),"",$EA317/100))</f>
        <v/>
      </c>
      <c r="EU317">
        <f>IF(OR($ET317="",$DY317=""),"",INT($DY317*(1-$ET317)+0.5))</f>
        <v/>
      </c>
      <c r="EW317" t="n">
        <v>313</v>
      </c>
      <c r="EX317">
        <f>IFERROR(MATCH($EW317,$EM$5:$EM$1003,0),0)</f>
        <v/>
      </c>
      <c r="EY317">
        <f>IF($EW317&gt;$B$12,"",IF($EX317&gt;0,"row","spacer"))</f>
        <v/>
      </c>
      <c r="EZ317">
        <f>IF(AND($EY317="row",$EY316&lt;&gt;"row"),1,0)</f>
        <v/>
      </c>
      <c r="FA317">
        <f>IF(AND($EY317="row",$EY318&lt;&gt;"row"),1,0)</f>
        <v/>
      </c>
      <c r="FB317">
        <f>IF($EZ317=1,IFERROR(IF(ISNUMBER(INDEX(PASTE_ALL,INDEX($DF$5:$DF$1003,$EX317),$B$37)),INDEX(PASTE_ALL,INDEX($DF$5:$DF$1003,$EX317),$B$37),INDEX($DH$5:$DH$1003,$EX317)),INDEX($DH$5:$DH$1003,$EX317)),"")</f>
        <v/>
      </c>
      <c r="FC317">
        <f>IF($EY317="row",INDEX($ER$5:$ER$1003,$EX317),"")</f>
        <v/>
      </c>
      <c r="FD317">
        <f>IF($EY317="row",INDEX($DN$5:$DN$1003,$EX317),"")</f>
        <v/>
      </c>
      <c r="FE317">
        <f>IF($EY317="row",INDEX($DO$5:$DO$1003,$EX317),"")</f>
        <v/>
      </c>
      <c r="FF317">
        <f>IF($EY317="row",INDEX($DP$5:$DP$1003,$EX317),"")</f>
        <v/>
      </c>
      <c r="FG317">
        <f>IF($EY317="row",INDEX($DQ$5:$DQ$1003,$EX317),"")</f>
        <v/>
      </c>
      <c r="FH317">
        <f>IF($EY317="row",INDEX($DR$5:$DR$1003,$EX317),"")</f>
        <v/>
      </c>
      <c r="FI317">
        <f>IF($EY317="row",INDEX($DS$5:$DS$1003,$EX317),"")</f>
        <v/>
      </c>
      <c r="FJ317">
        <f>IF($EY317="row",INDEX($DT$5:$DT$1003,$EX317),"")</f>
        <v/>
      </c>
      <c r="FK317">
        <f>IF($EY317="row",INDEX($DU$5:$DU$1003,$EX317),"")</f>
        <v/>
      </c>
      <c r="FL317">
        <f>IF($EY317="row",INDEX($DV$5:$DV$1003,$EX317),"")</f>
        <v/>
      </c>
      <c r="FM317">
        <f>IF($EY317="row",INDEX($DW$5:$DW$1003,$EX317),"")</f>
        <v/>
      </c>
      <c r="FN317">
        <f>IF($EY317="row",INDEX($DY$5:$DY$1003,$EX317),"")</f>
        <v/>
      </c>
      <c r="FO317">
        <f>IF($EY317="row",INDEX($EA$5:$EA$1003,$EX317),"")</f>
        <v/>
      </c>
      <c r="FP317">
        <f>IF($EY317="row",INDEX($EC$5:$EC$1003,$EX317),"")</f>
        <v/>
      </c>
      <c r="FQ317">
        <f>IF($EY317="row",INDEX($ET$5:$ET$1003,$EX317),"")</f>
        <v/>
      </c>
      <c r="FR317">
        <f>IF($EY317="row",INDEX($EU$5:$EU$1003,$EX317),"")</f>
        <v/>
      </c>
      <c r="FS317">
        <f>IF(AND($EY317="row",$EY316="row"),IF(OR(INDEX($DT$5:$DT$1003,$EX316)="",INDEX($DT$5:$DT$1003,$EX317)=""),"",IF(NOT(EXACT(INDEX($DT$5:$DT$1003,$EX316),INDEX($DT$5:$DT$1003,$EX317))),"S4",IF(NOT(EXACT(INDEX($DS$5:$DS$1003,$EX316),INDEX($DS$5:$DS$1003,$EX317))),"S3",IF(NOT(EXACT(INDEX($DR$5:$DR$1003,$EX316),INDEX($DR$5:$DR$1003,$EX317))),"S1 Count Change","S1")))),"")</f>
        <v/>
      </c>
      <c r="FT317">
        <f>IF($EY317="row",INDEX($ES$5:$ES$1003,$EX317),"")</f>
        <v/>
      </c>
      <c r="FU317">
        <f>IF($EY317="row",INDEX($EO$5:$EO$1003,$EX317),0)</f>
        <v/>
      </c>
      <c r="FV317">
        <f>IF($FS317="S1 Count Change",1,0)</f>
        <v/>
      </c>
    </row>
    <row r="318">
      <c r="DA318" t="n">
        <v>314</v>
      </c>
      <c r="DB318">
        <f>IF($B$37=0,"",IFERROR(TRIM(SUBSTITUTE(SUBSTITUTE(SUBSTITUTE(SUBSTITUTE(INDEX(PASTE_ALL,314,$B$37)," "," "),CHAR(9)," "),CHAR(10)," "),CHAR(13)," ")),""))</f>
        <v/>
      </c>
      <c r="DC318">
        <f>IF(AND(314&gt;HEADER_ROW,UPPER(DB318)="LEGEND"),1,0)</f>
        <v/>
      </c>
      <c r="DE318" t="n">
        <v>314</v>
      </c>
      <c r="DF318">
        <f>HEADER_ROW+$DE318</f>
        <v/>
      </c>
      <c r="DG318">
        <f>IF(AND($DF318&lt;=1000,$DF318&lt;$B$8),1,0)</f>
        <v/>
      </c>
      <c r="DH318">
        <f>IF($DG318=1,IFERROR(INDEX($DB$5:$DB$1004,$DF318),""),"")</f>
        <v/>
      </c>
      <c r="DI318">
        <f>IF(AND($DG318=1,$DH318&lt;&gt;""),IFERROR(SUBSTITUTE(SUBSTITUTE(TRIM(SUBSTITUTE(SUBSTITUTE(SUBSTITUTE(SUBSTITUTE(IFERROR(INDEX(PASTE_ALL,$DF318,1)&amp;"","")&amp;"␟"&amp;IFERROR(INDEX(PASTE_ALL,$DF318,2)&amp;"","")&amp;"␟"&amp;IFERROR(INDEX(PASTE_ALL,$DF318,3)&amp;"","")&amp;"␟"&amp;IFERROR(INDEX(PASTE_ALL,$DF318,4)&amp;"","")&amp;"␟"&amp;IFERROR(INDEX(PASTE_ALL,$DF318,5)&amp;"","")&amp;"␟"&amp;IFERROR(INDEX(PASTE_ALL,$DF318,6)&amp;"","")&amp;"␟"&amp;IFERROR(INDEX(PASTE_ALL,$DF318,7)&amp;"","")&amp;"␟"&amp;IFERROR(INDEX(PASTE_ALL,$DF318,8)&amp;"","")&amp;"␟"&amp;IFERROR(INDEX(PASTE_ALL,$DF318,9)&amp;"","")&amp;"␟"&amp;IFERROR(INDEX(PASTE_ALL,$DF318,10)&amp;"","")&amp;"␟"&amp;IFERROR(INDEX(PASTE_ALL,$DF318,11)&amp;"","")&amp;"␟"&amp;IFERROR(INDEX(PASTE_ALL,$DF318,12)&amp;"","")&amp;"␟"&amp;IFERROR(INDEX(PASTE_ALL,$DF318,13)&amp;"","")&amp;"␟"&amp;IFERROR(INDEX(PASTE_ALL,$DF318,14)&amp;"","")&amp;"␟"&amp;IFERROR(INDEX(PASTE_ALL,$DF318,15)&amp;"","")&amp;"␟"&amp;IFERROR(INDEX(PASTE_ALL,$DF318,16)&amp;"","")&amp;"␟"&amp;IFERROR(INDEX(PASTE_ALL,$DF318,17)&amp;"","")&amp;"␟"&amp;IFERROR(INDEX(PASTE_ALL,$DF318,18)&amp;"","")&amp;"␟"&amp;IFERROR(INDEX(PASTE_ALL,$DF318,19)&amp;"","")&amp;"␟"&amp;IFERROR(INDEX(PASTE_ALL,$DF318,20)&amp;"","")&amp;"␟"&amp;IFERROR(INDEX(PASTE_ALL,$DF318,21)&amp;"","")&amp;"␟"&amp;IFERROR(INDEX(PASTE_ALL,$DF318,22)&amp;"","")&amp;"␟"&amp;IFERROR(INDEX(PASTE_ALL,$DF318,23)&amp;"","")&amp;"␟"&amp;IFERROR(INDEX(PASTE_ALL,$DF318,24)&amp;"","")&amp;"␟"&amp;IFERROR(INDEX(PASTE_ALL,$DF318,25)&amp;"","")&amp;"␟"&amp;IFERROR(INDEX(PASTE_ALL,$DF318,26)&amp;"","")&amp;"␟"&amp;IFERROR(INDEX(PASTE_ALL,$DF318,27)&amp;"","")&amp;"␟"&amp;IFERROR(INDEX(PASTE_ALL,$DF318,28)&amp;"","")&amp;"␟"&amp;IFERROR(INDEX(PASTE_ALL,$DF318,29)&amp;"","")&amp;"␟"&amp;IFERROR(INDEX(PASTE_ALL,$DF318,30)&amp;"","")&amp;"␟"&amp;IFERROR(INDEX(PASTE_ALL,$DF318,31)&amp;"","")&amp;"␟"&amp;IFERROR(INDEX(PASTE_ALL,$DF318,32)&amp;"","")&amp;"␟"&amp;IFERROR(INDEX(PASTE_ALL,$DF318,33)&amp;"","")&amp;"␟"&amp;IFERROR(INDEX(PASTE_ALL,$DF318,34)&amp;"","")&amp;"␟"&amp;IFERROR(INDEX(PASTE_ALL,$DF318,35)&amp;"","")&amp;"␟"&amp;IFERROR(INDEX(PASTE_ALL,$DF318,36)&amp;"","")&amp;"␟"&amp;IFERROR(INDEX(PASTE_ALL,$DF318,37)&amp;"","")&amp;"␟"&amp;IFERROR(INDEX(PASTE_ALL,$DF318,38)&amp;"","")&amp;"␟"&amp;IFERROR(INDEX(PASTE_ALL,$DF318,39)&amp;"","")&amp;"␟"&amp;IFERROR(INDEX(PASTE_ALL,$DF318,40)&amp;"","")&amp;"␟"&amp;IFERROR(INDEX(PASTE_ALL,$DF318,41)&amp;"","")&amp;"␟"&amp;IFERROR(INDEX(PASTE_ALL,$DF318,42)&amp;"","")&amp;"␟"&amp;IFERROR(INDEX(PASTE_ALL,$DF318,43)&amp;"","")&amp;"␟"&amp;IFERROR(INDEX(PASTE_ALL,$DF318,44)&amp;"","")&amp;"␟"&amp;IFERROR(INDEX(PASTE_ALL,$DF318,45)&amp;"","")&amp;"␟"&amp;IFERROR(INDEX(PASTE_ALL,$DF318,46)&amp;"","")&amp;"␟"&amp;IFERROR(INDEX(PASTE_ALL,$DF318,47)&amp;"","")&amp;"␟"&amp;IFERROR(INDEX(PASTE_ALL,$DF318,48)&amp;"","")&amp;"␟"&amp;IFERROR(INDEX(PASTE_ALL,$DF318,49)&amp;"","")&amp;"␟"&amp;IFERROR(INDEX(PASTE_ALL,$DF318,50)&amp;"","")&amp;"␟"&amp;IFERROR(INDEX(PASTE_ALL,$DF318,51)&amp;"","")&amp;"␟"&amp;IFERROR(INDEX(PASTE_ALL,$DF318,52)&amp;"","")&amp;"␟"&amp;IFERROR(INDEX(PASTE_ALL,$DF318,53)&amp;"","")&amp;"␟"&amp;IFERROR(INDEX(PASTE_ALL,$DF318,54)&amp;"","")&amp;"␟"&amp;IFERROR(INDEX(PASTE_ALL,$DF318,55)&amp;"","")&amp;"␟"&amp;IFERROR(INDEX(PASTE_ALL,$DF318,56)&amp;"","")&amp;"␟"&amp;IFERROR(INDEX(PASTE_ALL,$DF318,57)&amp;"","")&amp;"␟"&amp;IFERROR(INDEX(PASTE_ALL,$DF318,58)&amp;"","")&amp;"␟"&amp;IFERROR(INDEX(PASTE_ALL,$DF318,59)&amp;"","")&amp;"␟"&amp;IFERROR(INDEX(PASTE_ALL,$DF318,60)&amp;"","")," "," "),CHAR(9)," "),CHAR(10)," "),CHAR(13)," "))," ␟","␟"),"␟ ","␟"),"#"&amp;$DE318),"")</f>
        <v/>
      </c>
      <c r="DJ318">
        <f>IF($DI318="",0,IF(SUMPRODUCT(--EXACT($DI$4:DI317,$DI318))&gt;0,1,0))</f>
        <v/>
      </c>
      <c r="DK318">
        <f>IF(AND($DI318&lt;&gt;"",$DJ318=0),1,0)</f>
        <v/>
      </c>
      <c r="DL318">
        <f>DL317+$DK318</f>
        <v/>
      </c>
      <c r="DM318">
        <f>IF(AND($DK318=1,$DL318&lt;=600),1,0)</f>
        <v/>
      </c>
      <c r="DN318">
        <f>IF($DM318=0,"",IF($L$6=0,"",IFERROR(IF(ISNUMBER(INDEX(PASTE_ALL,$DF318,$L$6)),INDEX(PASTE_ALL,$DF318,$L$6),TRIM(SUBSTITUTE(SUBSTITUTE(SUBSTITUTE(SUBSTITUTE(INDEX(PASTE_ALL,$DF318,$L$6)," "," "),CHAR(9)," "),CHAR(10)," "),CHAR(13)," "))),"")))</f>
        <v/>
      </c>
      <c r="DO318">
        <f>IF($DM318=0,"",IF($L$7=0,"",IFERROR(IF(ISNUMBER(INDEX(PASTE_ALL,$DF318,$L$7)),INDEX(PASTE_ALL,$DF318,$L$7),TRIM(SUBSTITUTE(SUBSTITUTE(SUBSTITUTE(SUBSTITUTE(INDEX(PASTE_ALL,$DF318,$L$7)," "," "),CHAR(9)," "),CHAR(10)," "),CHAR(13)," "))),"")))</f>
        <v/>
      </c>
      <c r="DP318">
        <f>IF($DM318=0,"",IF($L$8=0,"",IFERROR(IF(ISNUMBER(INDEX(PASTE_ALL,$DF318,$L$8)),INDEX(PASTE_ALL,$DF318,$L$8),TRIM(SUBSTITUTE(SUBSTITUTE(SUBSTITUTE(SUBSTITUTE(INDEX(PASTE_ALL,$DF318,$L$8)," "," "),CHAR(9)," "),CHAR(10)," "),CHAR(13)," "))),"")))</f>
        <v/>
      </c>
      <c r="DQ318">
        <f>IF($DM318=0,"",IF($L$9=0,"",IFERROR(IF(ISNUMBER(INDEX(PASTE_ALL,$DF318,$L$9)),INDEX(PASTE_ALL,$DF318,$L$9),TRIM(SUBSTITUTE(SUBSTITUTE(SUBSTITUTE(SUBSTITUTE(INDEX(PASTE_ALL,$DF318,$L$9)," "," "),CHAR(9)," "),CHAR(10)," "),CHAR(13)," "))),"")))</f>
        <v/>
      </c>
      <c r="DR318">
        <f>IF($DM318=0,"",IF($L$10=0,"",IFERROR(IF(ISNUMBER(INDEX(PASTE_ALL,$DF318,$L$10)),INDEX(PASTE_ALL,$DF318,$L$10),TRIM(SUBSTITUTE(SUBSTITUTE(SUBSTITUTE(SUBSTITUTE(INDEX(PASTE_ALL,$DF318,$L$10)," "," "),CHAR(9)," "),CHAR(10)," "),CHAR(13)," "))),"")))</f>
        <v/>
      </c>
      <c r="DS318">
        <f>IF($DM318=0,"",IF($L$11=0,"",IFERROR(IF(ISNUMBER(INDEX(PASTE_ALL,$DF318,$L$11)),INDEX(PASTE_ALL,$DF318,$L$11),TRIM(SUBSTITUTE(SUBSTITUTE(SUBSTITUTE(SUBSTITUTE(INDEX(PASTE_ALL,$DF318,$L$11)," "," "),CHAR(9)," "),CHAR(10)," "),CHAR(13)," "))),"")))</f>
        <v/>
      </c>
      <c r="DT318">
        <f>IF($DM318=0,"",IF($L$12=0,"",IFERROR(IF(ISNUMBER(INDEX(PASTE_ALL,$DF318,$L$12)),INDEX(PASTE_ALL,$DF318,$L$12),TRIM(SUBSTITUTE(SUBSTITUTE(SUBSTITUTE(SUBSTITUTE(INDEX(PASTE_ALL,$DF318,$L$12)," "," "),CHAR(9)," "),CHAR(10)," "),CHAR(13)," "))),"")))</f>
        <v/>
      </c>
      <c r="DU318">
        <f>IF($DM318=0,"",IF($L$13=0,"",IFERROR(IF(ISNUMBER(INDEX(PASTE_ALL,$DF318,$L$13)),INDEX(PASTE_ALL,$DF318,$L$13),TRIM(SUBSTITUTE(SUBSTITUTE(SUBSTITUTE(SUBSTITUTE(INDEX(PASTE_ALL,$DF318,$L$13)," "," "),CHAR(9)," "),CHAR(10)," "),CHAR(13)," "))),"")))</f>
        <v/>
      </c>
      <c r="DV318">
        <f>IF($DM318=0,"",IF($L$14=0,"",IFERROR(IF(ISNUMBER(INDEX(PASTE_ALL,$DF318,$L$14)),INDEX(PASTE_ALL,$DF318,$L$14),TRIM(SUBSTITUTE(SUBSTITUTE(SUBSTITUTE(SUBSTITUTE(INDEX(PASTE_ALL,$DF318,$L$14)," "," "),CHAR(9)," "),CHAR(10)," "),CHAR(13)," "))),"")))</f>
        <v/>
      </c>
      <c r="DW318">
        <f>IF($DM318=0,"",IF($L$15=0,"",IFERROR(IF(ISNUMBER(INDEX(PASTE_ALL,$DF318,$L$15)),INDEX(PASTE_ALL,$DF318,$L$15),IF(SUMPRODUCT(--ISNUMBER(FIND({"A","B","C","D","E","F","G","H","I","J","K","L","M","N","O","P","Q","R","S","T","U","V","W","X","Y","Z","0","1","2","3","4","5","6","7","8","9"},UPPER(TRIM(SUBSTITUTE(SUBSTITUTE(SUBSTITUTE(SUBSTITUTE(INDEX(PASTE_ALL,$DF318,$L$15)," "," "),CHAR(9)," "),CHAR(10)," "),CHAR(13)," "))))))&gt;0,TRIM(SUBSTITUTE(SUBSTITUTE(SUBSTITUTE(SUBSTITUTE(INDEX(PASTE_ALL,$DF318,$L$15)," "," "),CHAR(9)," "),CHAR(10)," "),CHAR(13)," ")),"")),"")))</f>
        <v/>
      </c>
      <c r="DX318">
        <f>IF($DM318=0,"",IF($L$16=0,"",IFERROR(IF(ISNUMBER(INDEX(PASTE_ALL,$DF318,$L$16)),INDEX(PASTE_ALL,$DF318,$L$16),SUBSTITUTE(SUBSTITUTE(TRIM(SUBSTITUTE(SUBSTITUTE(SUBSTITUTE(SUBSTITUTE(INDEX(PASTE_ALL,$DF318,$L$16)," "," "),CHAR(9)," "),CHAR(10)," "),CHAR(13)," ")),",",""),"%","")),"")))</f>
        <v/>
      </c>
      <c r="DY318">
        <f>IF($DM318=0,"",IFERROR(IF(ISNUMBER($DX318),$DX318,IF($DX318="","",IF(TRIM($DX318)="",0,IF(AND(AND(SUBSTITUTE(SUBSTITUTE(SUBSTITUTE(SUBSTITUTE(SUBSTITUTE(SUBSTITUTE(SUBSTITUTE(SUBSTITUTE(SUBSTITUTE(SUBSTITUTE(SUBSTITUTE(SUBSTITUTE(SUBSTITUTE(SUBSTITUTE(UPPER(TRIM($DX318)),"0",""),"1",""),"2",""),"3",""),"4",""),"5",""),"6",""),"7",""),"8",""),"9",""),".",""),"+",""),"-",""),"E","")="",LEN(SUBSTITUTE(SUBSTITUTE(MID(UPPER(TRIM($DX318)),1+OR(LEFT(UPPER(TRIM($DX318)),1)="+",LEFT(UPPER(TRIM($DX318)),1)="-"),999),"E+","E"),"E-","E"))=LEN(SUBSTITUTE(SUBSTITUTE(SUBSTITUTE(SUBSTITUTE(MID(UPPER(TRIM($DX318)),1+OR(LEFT(UPPER(TRIM($DX318)),1)="+",LEFT(UPPER(TRIM($DX318)),1)="-"),999),"E+","E"),"E-","E"),"+",""),"-","")),LEN(UPPER(TRIM($DX318)))-LEN(SUBSTITUTE(UPPER(TRIM($DX318)),"E",""))&lt;2,LEN(UPPER(TRIM($DX318)))-LEN(SUBSTITUTE(UPPER(TRIM($DX318)),".",""))&lt;2,IFERROR(FIND(".",UPPER(TRIM($DX318))),0)&lt;IFERROR(FIND("E",UPPER(TRIM($DX318))),999)),ISNUMBER(VALUE(TRIM($DX318)))),VALUE(TRIM($DX318)),"")))),""))</f>
        <v/>
      </c>
      <c r="DZ318">
        <f>IF($DM318=0,"",IF($L$17=0,"",IFERROR(IF(ISNUMBER(INDEX(PASTE_ALL,$DF318,$L$17)),INDEX(PASTE_ALL,$DF318,$L$17),SUBSTITUTE(SUBSTITUTE(TRIM(SUBSTITUTE(SUBSTITUTE(SUBSTITUTE(SUBSTITUTE(INDEX(PASTE_ALL,$DF318,$L$17)," "," "),CHAR(9)," "),CHAR(10)," "),CHAR(13)," ")),",",""),"%","")),"")))</f>
        <v/>
      </c>
      <c r="EA318">
        <f>IF($DM318=0,"",IFERROR(IF(ISNUMBER($DZ318),$DZ318,IF($DZ318="","",IF(TRIM($DZ318)="",0,IF(AND(AND(SUBSTITUTE(SUBSTITUTE(SUBSTITUTE(SUBSTITUTE(SUBSTITUTE(SUBSTITUTE(SUBSTITUTE(SUBSTITUTE(SUBSTITUTE(SUBSTITUTE(SUBSTITUTE(SUBSTITUTE(SUBSTITUTE(SUBSTITUTE(UPPER(TRIM($DZ318)),"0",""),"1",""),"2",""),"3",""),"4",""),"5",""),"6",""),"7",""),"8",""),"9",""),".",""),"+",""),"-",""),"E","")="",LEN(SUBSTITUTE(SUBSTITUTE(MID(UPPER(TRIM($DZ318)),1+OR(LEFT(UPPER(TRIM($DZ318)),1)="+",LEFT(UPPER(TRIM($DZ318)),1)="-"),999),"E+","E"),"E-","E"))=LEN(SUBSTITUTE(SUBSTITUTE(SUBSTITUTE(SUBSTITUTE(MID(UPPER(TRIM($DZ318)),1+OR(LEFT(UPPER(TRIM($DZ318)),1)="+",LEFT(UPPER(TRIM($DZ318)),1)="-"),999),"E+","E"),"E-","E"),"+",""),"-","")),LEN(UPPER(TRIM($DZ318)))-LEN(SUBSTITUTE(UPPER(TRIM($DZ318)),"E",""))&lt;2,LEN(UPPER(TRIM($DZ318)))-LEN(SUBSTITUTE(UPPER(TRIM($DZ318)),".",""))&lt;2,IFERROR(FIND(".",UPPER(TRIM($DZ318))),0)&lt;IFERROR(FIND("E",UPPER(TRIM($DZ318))),999)),ISNUMBER(VALUE(TRIM($DZ318)))),VALUE(TRIM($DZ318)),"")))),""))</f>
        <v/>
      </c>
      <c r="EB318">
        <f>IF($DM318=0,"",IF($L$18=0,"",IFERROR(IF(UPPER(TRIM(SUBSTITUTE(SUBSTITUTE(SUBSTITUTE(SUBSTITUTE(INDEX(PASTE_ALL,$DF318,$L$18)," "," "),CHAR(9)," "),CHAR(10)," "),CHAR(13)," ")))="READY","Ready",IF(UPPER(TRIM(SUBSTITUTE(SUBSTITUTE(SUBSTITUTE(SUBSTITUTE(INDEX(PASTE_ALL,$DF318,$L$18)," "," "),CHAR(9)," "),CHAR(10)," "),CHAR(13)," ")))="PM","PM",IF(OR(UPPER(TRIM(SUBSTITUTE(SUBSTITUTE(SUBSTITUTE(SUBSTITUTE(INDEX(PASTE_ALL,$DF318,$L$18)," "," "),CHAR(9)," "),CHAR(10)," "),CHAR(13)," ")))="OT",UPPER(TRIM(SUBSTITUTE(SUBSTITUTE(SUBSTITUTE(SUBSTITUTE(INDEX(PASTE_ALL,$DF318,$L$18)," "," "),CHAR(9)," "),CHAR(10)," "),CHAR(13)," ")))="OVERTIME",UPPER(TRIM(SUBSTITUTE(SUBSTITUTE(SUBSTITUTE(SUBSTITUTE(INDEX(PASTE_ALL,$DF318,$L$18)," "," "),CHAR(9)," "),CHAR(10)," "),CHAR(13)," ")))="TRIAL"),"OT",TRIM(SUBSTITUTE(SUBSTITUTE(SUBSTITUTE(SUBSTITUTE(INDEX(PASTE_ALL,$DF318,$L$18)," "," "),CHAR(9)," "),CHAR(10)," "),CHAR(13)," "))))),"")))</f>
        <v/>
      </c>
      <c r="EC318">
        <f>IF($DM318=0,"",IF($L$19=0,"",IFERROR(IF(ISNUMBER(INDEX(PASTE_ALL,$DF318,$L$19)),INDEX(PASTE_ALL,$DF318,$L$19),TRIM(SUBSTITUTE(SUBSTITUTE(SUBSTITUTE(SUBSTITUTE(INDEX(PASTE_ALL,$DF318,$L$19)," "," "),CHAR(9)," "),CHAR(10)," "),CHAR(13)," "))),"")))</f>
        <v/>
      </c>
      <c r="ED318">
        <f>IF($DM318=0,"",MATCH(1,INDEX(EXACT($DH$5:DH318,$DH318)*$DM$5:DM318,0),0))</f>
        <v/>
      </c>
      <c r="EE318">
        <f>IF($DM318=0,0,IF($ED318=$DE318,1,0))</f>
        <v/>
      </c>
      <c r="EF318">
        <f>EF317+$EE318</f>
        <v/>
      </c>
      <c r="EG318">
        <f>IF($DM318=0,"",INDEX($EF$5:$EF$1003,$ED318))</f>
        <v/>
      </c>
      <c r="EH318">
        <f>IF($DM318=0,"",IF($DO318&lt;&gt;"","",IFERROR(LOOKUP(2,1/(($EG$4:EG317=$EG318)*($DO$4:DO317&lt;&gt;"")),$DO$4:DO317),"")))</f>
        <v/>
      </c>
      <c r="EI318">
        <f>IF($DM318=0,"",IF($DO318&lt;&gt;"",$DO318,$EH318))</f>
        <v/>
      </c>
      <c r="EJ318">
        <f>IF($DM318=0,"",IF($EI318="",0,IF(OR(ISNUMBER($EI318),AND(AND(SUBSTITUTE(SUBSTITUTE(SUBSTITUTE(SUBSTITUTE(SUBSTITUTE(SUBSTITUTE(SUBSTITUTE(SUBSTITUTE(SUBSTITUTE(SUBSTITUTE(SUBSTITUTE(SUBSTITUTE(SUBSTITUTE(SUBSTITUTE(UPPER($EI318),"0",""),"1",""),"2",""),"3",""),"4",""),"5",""),"6",""),"7",""),"8",""),"9",""),".",""),"+",""),"-",""),"E","")="",LEN(SUBSTITUTE(SUBSTITUTE(MID(UPPER($EI318),1+OR(LEFT(UPPER($EI318),1)="+",LEFT(UPPER($EI318),1)="-"),999),"E+","E"),"E-","E"))=LEN(SUBSTITUTE(SUBSTITUTE(SUBSTITUTE(SUBSTITUTE(MID(UPPER($EI318),1+OR(LEFT(UPPER($EI318),1)="+",LEFT(UPPER($EI318),1)="-"),999),"E+","E"),"E-","E"),"+",""),"-","")),LEN(UPPER($EI318))-LEN(SUBSTITUTE(UPPER($EI318),"E",""))&lt;2,LEN(UPPER($EI318))-LEN(SUBSTITUTE(UPPER($EI318),".",""))&lt;2,IFERROR(FIND(".",UPPER($EI318)),0)&lt;IFERROR(FIND("E",UPPER($EI318)),999)),ISNUMBER(VALUE($EI318)))),1,2)))</f>
        <v/>
      </c>
      <c r="EK318">
        <f>IF($DM318=0,"",IF($EJ318=1,IF(ISNUMBER($EI318),$EI318,VALUE($EI318)),IF($EJ318=2,$DE318,0)))</f>
        <v/>
      </c>
      <c r="EL318">
        <f>IF($DM318=0,"",COUNTIF($EG$5:$EG$1003,"&lt;"&amp;$EG318)+SUMPRODUCT(($EG$5:$EG$1003=$EG318)*(($EJ$5:$EJ$1003&lt;$EJ318)+($EJ$5:$EJ$1003=$EJ318)*(($EK$5:$EK$1003&lt;$EK318)+($EK$5:$EK$1003=$EK318)*($DE$5:$DE$1003&lt;$DE318))))+1)</f>
        <v/>
      </c>
      <c r="EM318">
        <f>IF($DM318=0,"",$EL318+$EG318-1)</f>
        <v/>
      </c>
      <c r="EN318">
        <f>IF($DM318=0,0,IFERROR(MATCH(1,INDEX(--(TRIM(SUBSTITUTE(SUBSTITUTE(SUBSTITUTE(SUBSTITUTE(LINES_NAME&amp;""," "," "),CHAR(9)," "),CHAR(10)," "),CHAR(13)," "))=$DH318),0),0),0))</f>
        <v/>
      </c>
      <c r="EO318">
        <f>IF($EN318=0,0,IF(OR(UPPER(TRIM(INDEX(LINES_SCHEDULED,$EN318)&amp;""))="YES",UPPER(TRIM(INDEX(LINES_SCHEDULED,$EN318)&amp;""))="Y",UPPER(TRIM(INDEX(LINES_SCHEDULED,$EN318)&amp;""))="X"),1,0))</f>
        <v/>
      </c>
      <c r="EP318">
        <f>IF($DM318=0,"",IF(COUNTIFS($EG$5:$EG$1003,$EG318,$EB$5:$EB$1003,"Ready")&gt;0,"READY",IF(COUNTIFS($EG$5:$EG$1003,$EG318,$EB$5:$EB$1003,"PM")&gt;0,"PM",IF(COUNTIFS($EG$5:$EG$1003,$EG318,$EB$5:$EB$1003,"OT")&gt;0,"OT",""))))</f>
        <v/>
      </c>
      <c r="EQ318">
        <f>IF($EN318=0,"",UPPER(TRIM(INDEX(LINES_STATUS,$EN318)&amp;"")))</f>
        <v/>
      </c>
      <c r="ER318">
        <f>IF($DM318=0,"",IF(OR($EQ318="READY",$EQ318="PM",$EQ318="OT"),$EQ318,$EP318))</f>
        <v/>
      </c>
      <c r="ES318">
        <f>IF($DM318=0,"",IF(AND($DV318&lt;&gt;"",UPPER($DV318)&lt;&gt;"N"),"allergen",IF(ISNUMBER(SEARCH("oil",$DQ318)),"oil",IF(OR(EXACT($DS318,"A662"),EXACT($DS318,"A624")),"bulk",""))))</f>
        <v/>
      </c>
      <c r="ET318">
        <f>IF($DM318=0,"",IF(OR($EA318="",$EA318=0),"",$EA318/100))</f>
        <v/>
      </c>
      <c r="EU318">
        <f>IF(OR($ET318="",$DY318=""),"",INT($DY318*(1-$ET318)+0.5))</f>
        <v/>
      </c>
      <c r="EW318" t="n">
        <v>314</v>
      </c>
      <c r="EX318">
        <f>IFERROR(MATCH($EW318,$EM$5:$EM$1003,0),0)</f>
        <v/>
      </c>
      <c r="EY318">
        <f>IF($EW318&gt;$B$12,"",IF($EX318&gt;0,"row","spacer"))</f>
        <v/>
      </c>
      <c r="EZ318">
        <f>IF(AND($EY318="row",$EY317&lt;&gt;"row"),1,0)</f>
        <v/>
      </c>
      <c r="FA318">
        <f>IF(AND($EY318="row",$EY319&lt;&gt;"row"),1,0)</f>
        <v/>
      </c>
      <c r="FB318">
        <f>IF($EZ318=1,IFERROR(IF(ISNUMBER(INDEX(PASTE_ALL,INDEX($DF$5:$DF$1003,$EX318),$B$37)),INDEX(PASTE_ALL,INDEX($DF$5:$DF$1003,$EX318),$B$37),INDEX($DH$5:$DH$1003,$EX318)),INDEX($DH$5:$DH$1003,$EX318)),"")</f>
        <v/>
      </c>
      <c r="FC318">
        <f>IF($EY318="row",INDEX($ER$5:$ER$1003,$EX318),"")</f>
        <v/>
      </c>
      <c r="FD318">
        <f>IF($EY318="row",INDEX($DN$5:$DN$1003,$EX318),"")</f>
        <v/>
      </c>
      <c r="FE318">
        <f>IF($EY318="row",INDEX($DO$5:$DO$1003,$EX318),"")</f>
        <v/>
      </c>
      <c r="FF318">
        <f>IF($EY318="row",INDEX($DP$5:$DP$1003,$EX318),"")</f>
        <v/>
      </c>
      <c r="FG318">
        <f>IF($EY318="row",INDEX($DQ$5:$DQ$1003,$EX318),"")</f>
        <v/>
      </c>
      <c r="FH318">
        <f>IF($EY318="row",INDEX($DR$5:$DR$1003,$EX318),"")</f>
        <v/>
      </c>
      <c r="FI318">
        <f>IF($EY318="row",INDEX($DS$5:$DS$1003,$EX318),"")</f>
        <v/>
      </c>
      <c r="FJ318">
        <f>IF($EY318="row",INDEX($DT$5:$DT$1003,$EX318),"")</f>
        <v/>
      </c>
      <c r="FK318">
        <f>IF($EY318="row",INDEX($DU$5:$DU$1003,$EX318),"")</f>
        <v/>
      </c>
      <c r="FL318">
        <f>IF($EY318="row",INDEX($DV$5:$DV$1003,$EX318),"")</f>
        <v/>
      </c>
      <c r="FM318">
        <f>IF($EY318="row",INDEX($DW$5:$DW$1003,$EX318),"")</f>
        <v/>
      </c>
      <c r="FN318">
        <f>IF($EY318="row",INDEX($DY$5:$DY$1003,$EX318),"")</f>
        <v/>
      </c>
      <c r="FO318">
        <f>IF($EY318="row",INDEX($EA$5:$EA$1003,$EX318),"")</f>
        <v/>
      </c>
      <c r="FP318">
        <f>IF($EY318="row",INDEX($EC$5:$EC$1003,$EX318),"")</f>
        <v/>
      </c>
      <c r="FQ318">
        <f>IF($EY318="row",INDEX($ET$5:$ET$1003,$EX318),"")</f>
        <v/>
      </c>
      <c r="FR318">
        <f>IF($EY318="row",INDEX($EU$5:$EU$1003,$EX318),"")</f>
        <v/>
      </c>
      <c r="FS318">
        <f>IF(AND($EY318="row",$EY317="row"),IF(OR(INDEX($DT$5:$DT$1003,$EX317)="",INDEX($DT$5:$DT$1003,$EX318)=""),"",IF(NOT(EXACT(INDEX($DT$5:$DT$1003,$EX317),INDEX($DT$5:$DT$1003,$EX318))),"S4",IF(NOT(EXACT(INDEX($DS$5:$DS$1003,$EX317),INDEX($DS$5:$DS$1003,$EX318))),"S3",IF(NOT(EXACT(INDEX($DR$5:$DR$1003,$EX317),INDEX($DR$5:$DR$1003,$EX318))),"S1 Count Change","S1")))),"")</f>
        <v/>
      </c>
      <c r="FT318">
        <f>IF($EY318="row",INDEX($ES$5:$ES$1003,$EX318),"")</f>
        <v/>
      </c>
      <c r="FU318">
        <f>IF($EY318="row",INDEX($EO$5:$EO$1003,$EX318),0)</f>
        <v/>
      </c>
      <c r="FV318">
        <f>IF($FS318="S1 Count Change",1,0)</f>
        <v/>
      </c>
    </row>
    <row r="319">
      <c r="DA319" t="n">
        <v>315</v>
      </c>
      <c r="DB319">
        <f>IF($B$37=0,"",IFERROR(TRIM(SUBSTITUTE(SUBSTITUTE(SUBSTITUTE(SUBSTITUTE(INDEX(PASTE_ALL,315,$B$37)," "," "),CHAR(9)," "),CHAR(10)," "),CHAR(13)," ")),""))</f>
        <v/>
      </c>
      <c r="DC319">
        <f>IF(AND(315&gt;HEADER_ROW,UPPER(DB319)="LEGEND"),1,0)</f>
        <v/>
      </c>
      <c r="DE319" t="n">
        <v>315</v>
      </c>
      <c r="DF319">
        <f>HEADER_ROW+$DE319</f>
        <v/>
      </c>
      <c r="DG319">
        <f>IF(AND($DF319&lt;=1000,$DF319&lt;$B$8),1,0)</f>
        <v/>
      </c>
      <c r="DH319">
        <f>IF($DG319=1,IFERROR(INDEX($DB$5:$DB$1004,$DF319),""),"")</f>
        <v/>
      </c>
      <c r="DI319">
        <f>IF(AND($DG319=1,$DH319&lt;&gt;""),IFERROR(SUBSTITUTE(SUBSTITUTE(TRIM(SUBSTITUTE(SUBSTITUTE(SUBSTITUTE(SUBSTITUTE(IFERROR(INDEX(PASTE_ALL,$DF319,1)&amp;"","")&amp;"␟"&amp;IFERROR(INDEX(PASTE_ALL,$DF319,2)&amp;"","")&amp;"␟"&amp;IFERROR(INDEX(PASTE_ALL,$DF319,3)&amp;"","")&amp;"␟"&amp;IFERROR(INDEX(PASTE_ALL,$DF319,4)&amp;"","")&amp;"␟"&amp;IFERROR(INDEX(PASTE_ALL,$DF319,5)&amp;"","")&amp;"␟"&amp;IFERROR(INDEX(PASTE_ALL,$DF319,6)&amp;"","")&amp;"␟"&amp;IFERROR(INDEX(PASTE_ALL,$DF319,7)&amp;"","")&amp;"␟"&amp;IFERROR(INDEX(PASTE_ALL,$DF319,8)&amp;"","")&amp;"␟"&amp;IFERROR(INDEX(PASTE_ALL,$DF319,9)&amp;"","")&amp;"␟"&amp;IFERROR(INDEX(PASTE_ALL,$DF319,10)&amp;"","")&amp;"␟"&amp;IFERROR(INDEX(PASTE_ALL,$DF319,11)&amp;"","")&amp;"␟"&amp;IFERROR(INDEX(PASTE_ALL,$DF319,12)&amp;"","")&amp;"␟"&amp;IFERROR(INDEX(PASTE_ALL,$DF319,13)&amp;"","")&amp;"␟"&amp;IFERROR(INDEX(PASTE_ALL,$DF319,14)&amp;"","")&amp;"␟"&amp;IFERROR(INDEX(PASTE_ALL,$DF319,15)&amp;"","")&amp;"␟"&amp;IFERROR(INDEX(PASTE_ALL,$DF319,16)&amp;"","")&amp;"␟"&amp;IFERROR(INDEX(PASTE_ALL,$DF319,17)&amp;"","")&amp;"␟"&amp;IFERROR(INDEX(PASTE_ALL,$DF319,18)&amp;"","")&amp;"␟"&amp;IFERROR(INDEX(PASTE_ALL,$DF319,19)&amp;"","")&amp;"␟"&amp;IFERROR(INDEX(PASTE_ALL,$DF319,20)&amp;"","")&amp;"␟"&amp;IFERROR(INDEX(PASTE_ALL,$DF319,21)&amp;"","")&amp;"␟"&amp;IFERROR(INDEX(PASTE_ALL,$DF319,22)&amp;"","")&amp;"␟"&amp;IFERROR(INDEX(PASTE_ALL,$DF319,23)&amp;"","")&amp;"␟"&amp;IFERROR(INDEX(PASTE_ALL,$DF319,24)&amp;"","")&amp;"␟"&amp;IFERROR(INDEX(PASTE_ALL,$DF319,25)&amp;"","")&amp;"␟"&amp;IFERROR(INDEX(PASTE_ALL,$DF319,26)&amp;"","")&amp;"␟"&amp;IFERROR(INDEX(PASTE_ALL,$DF319,27)&amp;"","")&amp;"␟"&amp;IFERROR(INDEX(PASTE_ALL,$DF319,28)&amp;"","")&amp;"␟"&amp;IFERROR(INDEX(PASTE_ALL,$DF319,29)&amp;"","")&amp;"␟"&amp;IFERROR(INDEX(PASTE_ALL,$DF319,30)&amp;"","")&amp;"␟"&amp;IFERROR(INDEX(PASTE_ALL,$DF319,31)&amp;"","")&amp;"␟"&amp;IFERROR(INDEX(PASTE_ALL,$DF319,32)&amp;"","")&amp;"␟"&amp;IFERROR(INDEX(PASTE_ALL,$DF319,33)&amp;"","")&amp;"␟"&amp;IFERROR(INDEX(PASTE_ALL,$DF319,34)&amp;"","")&amp;"␟"&amp;IFERROR(INDEX(PASTE_ALL,$DF319,35)&amp;"","")&amp;"␟"&amp;IFERROR(INDEX(PASTE_ALL,$DF319,36)&amp;"","")&amp;"␟"&amp;IFERROR(INDEX(PASTE_ALL,$DF319,37)&amp;"","")&amp;"␟"&amp;IFERROR(INDEX(PASTE_ALL,$DF319,38)&amp;"","")&amp;"␟"&amp;IFERROR(INDEX(PASTE_ALL,$DF319,39)&amp;"","")&amp;"␟"&amp;IFERROR(INDEX(PASTE_ALL,$DF319,40)&amp;"","")&amp;"␟"&amp;IFERROR(INDEX(PASTE_ALL,$DF319,41)&amp;"","")&amp;"␟"&amp;IFERROR(INDEX(PASTE_ALL,$DF319,42)&amp;"","")&amp;"␟"&amp;IFERROR(INDEX(PASTE_ALL,$DF319,43)&amp;"","")&amp;"␟"&amp;IFERROR(INDEX(PASTE_ALL,$DF319,44)&amp;"","")&amp;"␟"&amp;IFERROR(INDEX(PASTE_ALL,$DF319,45)&amp;"","")&amp;"␟"&amp;IFERROR(INDEX(PASTE_ALL,$DF319,46)&amp;"","")&amp;"␟"&amp;IFERROR(INDEX(PASTE_ALL,$DF319,47)&amp;"","")&amp;"␟"&amp;IFERROR(INDEX(PASTE_ALL,$DF319,48)&amp;"","")&amp;"␟"&amp;IFERROR(INDEX(PASTE_ALL,$DF319,49)&amp;"","")&amp;"␟"&amp;IFERROR(INDEX(PASTE_ALL,$DF319,50)&amp;"","")&amp;"␟"&amp;IFERROR(INDEX(PASTE_ALL,$DF319,51)&amp;"","")&amp;"␟"&amp;IFERROR(INDEX(PASTE_ALL,$DF319,52)&amp;"","")&amp;"␟"&amp;IFERROR(INDEX(PASTE_ALL,$DF319,53)&amp;"","")&amp;"␟"&amp;IFERROR(INDEX(PASTE_ALL,$DF319,54)&amp;"","")&amp;"␟"&amp;IFERROR(INDEX(PASTE_ALL,$DF319,55)&amp;"","")&amp;"␟"&amp;IFERROR(INDEX(PASTE_ALL,$DF319,56)&amp;"","")&amp;"␟"&amp;IFERROR(INDEX(PASTE_ALL,$DF319,57)&amp;"","")&amp;"␟"&amp;IFERROR(INDEX(PASTE_ALL,$DF319,58)&amp;"","")&amp;"␟"&amp;IFERROR(INDEX(PASTE_ALL,$DF319,59)&amp;"","")&amp;"␟"&amp;IFERROR(INDEX(PASTE_ALL,$DF319,60)&amp;"","")," "," "),CHAR(9)," "),CHAR(10)," "),CHAR(13)," "))," ␟","␟"),"␟ ","␟"),"#"&amp;$DE319),"")</f>
        <v/>
      </c>
      <c r="DJ319">
        <f>IF($DI319="",0,IF(SUMPRODUCT(--EXACT($DI$4:DI318,$DI319))&gt;0,1,0))</f>
        <v/>
      </c>
      <c r="DK319">
        <f>IF(AND($DI319&lt;&gt;"",$DJ319=0),1,0)</f>
        <v/>
      </c>
      <c r="DL319">
        <f>DL318+$DK319</f>
        <v/>
      </c>
      <c r="DM319">
        <f>IF(AND($DK319=1,$DL319&lt;=600),1,0)</f>
        <v/>
      </c>
      <c r="DN319">
        <f>IF($DM319=0,"",IF($L$6=0,"",IFERROR(IF(ISNUMBER(INDEX(PASTE_ALL,$DF319,$L$6)),INDEX(PASTE_ALL,$DF319,$L$6),TRIM(SUBSTITUTE(SUBSTITUTE(SUBSTITUTE(SUBSTITUTE(INDEX(PASTE_ALL,$DF319,$L$6)," "," "),CHAR(9)," "),CHAR(10)," "),CHAR(13)," "))),"")))</f>
        <v/>
      </c>
      <c r="DO319">
        <f>IF($DM319=0,"",IF($L$7=0,"",IFERROR(IF(ISNUMBER(INDEX(PASTE_ALL,$DF319,$L$7)),INDEX(PASTE_ALL,$DF319,$L$7),TRIM(SUBSTITUTE(SUBSTITUTE(SUBSTITUTE(SUBSTITUTE(INDEX(PASTE_ALL,$DF319,$L$7)," "," "),CHAR(9)," "),CHAR(10)," "),CHAR(13)," "))),"")))</f>
        <v/>
      </c>
      <c r="DP319">
        <f>IF($DM319=0,"",IF($L$8=0,"",IFERROR(IF(ISNUMBER(INDEX(PASTE_ALL,$DF319,$L$8)),INDEX(PASTE_ALL,$DF319,$L$8),TRIM(SUBSTITUTE(SUBSTITUTE(SUBSTITUTE(SUBSTITUTE(INDEX(PASTE_ALL,$DF319,$L$8)," "," "),CHAR(9)," "),CHAR(10)," "),CHAR(13)," "))),"")))</f>
        <v/>
      </c>
      <c r="DQ319">
        <f>IF($DM319=0,"",IF($L$9=0,"",IFERROR(IF(ISNUMBER(INDEX(PASTE_ALL,$DF319,$L$9)),INDEX(PASTE_ALL,$DF319,$L$9),TRIM(SUBSTITUTE(SUBSTITUTE(SUBSTITUTE(SUBSTITUTE(INDEX(PASTE_ALL,$DF319,$L$9)," "," "),CHAR(9)," "),CHAR(10)," "),CHAR(13)," "))),"")))</f>
        <v/>
      </c>
      <c r="DR319">
        <f>IF($DM319=0,"",IF($L$10=0,"",IFERROR(IF(ISNUMBER(INDEX(PASTE_ALL,$DF319,$L$10)),INDEX(PASTE_ALL,$DF319,$L$10),TRIM(SUBSTITUTE(SUBSTITUTE(SUBSTITUTE(SUBSTITUTE(INDEX(PASTE_ALL,$DF319,$L$10)," "," "),CHAR(9)," "),CHAR(10)," "),CHAR(13)," "))),"")))</f>
        <v/>
      </c>
      <c r="DS319">
        <f>IF($DM319=0,"",IF($L$11=0,"",IFERROR(IF(ISNUMBER(INDEX(PASTE_ALL,$DF319,$L$11)),INDEX(PASTE_ALL,$DF319,$L$11),TRIM(SUBSTITUTE(SUBSTITUTE(SUBSTITUTE(SUBSTITUTE(INDEX(PASTE_ALL,$DF319,$L$11)," "," "),CHAR(9)," "),CHAR(10)," "),CHAR(13)," "))),"")))</f>
        <v/>
      </c>
      <c r="DT319">
        <f>IF($DM319=0,"",IF($L$12=0,"",IFERROR(IF(ISNUMBER(INDEX(PASTE_ALL,$DF319,$L$12)),INDEX(PASTE_ALL,$DF319,$L$12),TRIM(SUBSTITUTE(SUBSTITUTE(SUBSTITUTE(SUBSTITUTE(INDEX(PASTE_ALL,$DF319,$L$12)," "," "),CHAR(9)," "),CHAR(10)," "),CHAR(13)," "))),"")))</f>
        <v/>
      </c>
      <c r="DU319">
        <f>IF($DM319=0,"",IF($L$13=0,"",IFERROR(IF(ISNUMBER(INDEX(PASTE_ALL,$DF319,$L$13)),INDEX(PASTE_ALL,$DF319,$L$13),TRIM(SUBSTITUTE(SUBSTITUTE(SUBSTITUTE(SUBSTITUTE(INDEX(PASTE_ALL,$DF319,$L$13)," "," "),CHAR(9)," "),CHAR(10)," "),CHAR(13)," "))),"")))</f>
        <v/>
      </c>
      <c r="DV319">
        <f>IF($DM319=0,"",IF($L$14=0,"",IFERROR(IF(ISNUMBER(INDEX(PASTE_ALL,$DF319,$L$14)),INDEX(PASTE_ALL,$DF319,$L$14),TRIM(SUBSTITUTE(SUBSTITUTE(SUBSTITUTE(SUBSTITUTE(INDEX(PASTE_ALL,$DF319,$L$14)," "," "),CHAR(9)," "),CHAR(10)," "),CHAR(13)," "))),"")))</f>
        <v/>
      </c>
      <c r="DW319">
        <f>IF($DM319=0,"",IF($L$15=0,"",IFERROR(IF(ISNUMBER(INDEX(PASTE_ALL,$DF319,$L$15)),INDEX(PASTE_ALL,$DF319,$L$15),IF(SUMPRODUCT(--ISNUMBER(FIND({"A","B","C","D","E","F","G","H","I","J","K","L","M","N","O","P","Q","R","S","T","U","V","W","X","Y","Z","0","1","2","3","4","5","6","7","8","9"},UPPER(TRIM(SUBSTITUTE(SUBSTITUTE(SUBSTITUTE(SUBSTITUTE(INDEX(PASTE_ALL,$DF319,$L$15)," "," "),CHAR(9)," "),CHAR(10)," "),CHAR(13)," "))))))&gt;0,TRIM(SUBSTITUTE(SUBSTITUTE(SUBSTITUTE(SUBSTITUTE(INDEX(PASTE_ALL,$DF319,$L$15)," "," "),CHAR(9)," "),CHAR(10)," "),CHAR(13)," ")),"")),"")))</f>
        <v/>
      </c>
      <c r="DX319">
        <f>IF($DM319=0,"",IF($L$16=0,"",IFERROR(IF(ISNUMBER(INDEX(PASTE_ALL,$DF319,$L$16)),INDEX(PASTE_ALL,$DF319,$L$16),SUBSTITUTE(SUBSTITUTE(TRIM(SUBSTITUTE(SUBSTITUTE(SUBSTITUTE(SUBSTITUTE(INDEX(PASTE_ALL,$DF319,$L$16)," "," "),CHAR(9)," "),CHAR(10)," "),CHAR(13)," ")),",",""),"%","")),"")))</f>
        <v/>
      </c>
      <c r="DY319">
        <f>IF($DM319=0,"",IFERROR(IF(ISNUMBER($DX319),$DX319,IF($DX319="","",IF(TRIM($DX319)="",0,IF(AND(AND(SUBSTITUTE(SUBSTITUTE(SUBSTITUTE(SUBSTITUTE(SUBSTITUTE(SUBSTITUTE(SUBSTITUTE(SUBSTITUTE(SUBSTITUTE(SUBSTITUTE(SUBSTITUTE(SUBSTITUTE(SUBSTITUTE(SUBSTITUTE(UPPER(TRIM($DX319)),"0",""),"1",""),"2",""),"3",""),"4",""),"5",""),"6",""),"7",""),"8",""),"9",""),".",""),"+",""),"-",""),"E","")="",LEN(SUBSTITUTE(SUBSTITUTE(MID(UPPER(TRIM($DX319)),1+OR(LEFT(UPPER(TRIM($DX319)),1)="+",LEFT(UPPER(TRIM($DX319)),1)="-"),999),"E+","E"),"E-","E"))=LEN(SUBSTITUTE(SUBSTITUTE(SUBSTITUTE(SUBSTITUTE(MID(UPPER(TRIM($DX319)),1+OR(LEFT(UPPER(TRIM($DX319)),1)="+",LEFT(UPPER(TRIM($DX319)),1)="-"),999),"E+","E"),"E-","E"),"+",""),"-","")),LEN(UPPER(TRIM($DX319)))-LEN(SUBSTITUTE(UPPER(TRIM($DX319)),"E",""))&lt;2,LEN(UPPER(TRIM($DX319)))-LEN(SUBSTITUTE(UPPER(TRIM($DX319)),".",""))&lt;2,IFERROR(FIND(".",UPPER(TRIM($DX319))),0)&lt;IFERROR(FIND("E",UPPER(TRIM($DX319))),999)),ISNUMBER(VALUE(TRIM($DX319)))),VALUE(TRIM($DX319)),"")))),""))</f>
        <v/>
      </c>
      <c r="DZ319">
        <f>IF($DM319=0,"",IF($L$17=0,"",IFERROR(IF(ISNUMBER(INDEX(PASTE_ALL,$DF319,$L$17)),INDEX(PASTE_ALL,$DF319,$L$17),SUBSTITUTE(SUBSTITUTE(TRIM(SUBSTITUTE(SUBSTITUTE(SUBSTITUTE(SUBSTITUTE(INDEX(PASTE_ALL,$DF319,$L$17)," "," "),CHAR(9)," "),CHAR(10)," "),CHAR(13)," ")),",",""),"%","")),"")))</f>
        <v/>
      </c>
      <c r="EA319">
        <f>IF($DM319=0,"",IFERROR(IF(ISNUMBER($DZ319),$DZ319,IF($DZ319="","",IF(TRIM($DZ319)="",0,IF(AND(AND(SUBSTITUTE(SUBSTITUTE(SUBSTITUTE(SUBSTITUTE(SUBSTITUTE(SUBSTITUTE(SUBSTITUTE(SUBSTITUTE(SUBSTITUTE(SUBSTITUTE(SUBSTITUTE(SUBSTITUTE(SUBSTITUTE(SUBSTITUTE(UPPER(TRIM($DZ319)),"0",""),"1",""),"2",""),"3",""),"4",""),"5",""),"6",""),"7",""),"8",""),"9",""),".",""),"+",""),"-",""),"E","")="",LEN(SUBSTITUTE(SUBSTITUTE(MID(UPPER(TRIM($DZ319)),1+OR(LEFT(UPPER(TRIM($DZ319)),1)="+",LEFT(UPPER(TRIM($DZ319)),1)="-"),999),"E+","E"),"E-","E"))=LEN(SUBSTITUTE(SUBSTITUTE(SUBSTITUTE(SUBSTITUTE(MID(UPPER(TRIM($DZ319)),1+OR(LEFT(UPPER(TRIM($DZ319)),1)="+",LEFT(UPPER(TRIM($DZ319)),1)="-"),999),"E+","E"),"E-","E"),"+",""),"-","")),LEN(UPPER(TRIM($DZ319)))-LEN(SUBSTITUTE(UPPER(TRIM($DZ319)),"E",""))&lt;2,LEN(UPPER(TRIM($DZ319)))-LEN(SUBSTITUTE(UPPER(TRIM($DZ319)),".",""))&lt;2,IFERROR(FIND(".",UPPER(TRIM($DZ319))),0)&lt;IFERROR(FIND("E",UPPER(TRIM($DZ319))),999)),ISNUMBER(VALUE(TRIM($DZ319)))),VALUE(TRIM($DZ319)),"")))),""))</f>
        <v/>
      </c>
      <c r="EB319">
        <f>IF($DM319=0,"",IF($L$18=0,"",IFERROR(IF(UPPER(TRIM(SUBSTITUTE(SUBSTITUTE(SUBSTITUTE(SUBSTITUTE(INDEX(PASTE_ALL,$DF319,$L$18)," "," "),CHAR(9)," "),CHAR(10)," "),CHAR(13)," ")))="READY","Ready",IF(UPPER(TRIM(SUBSTITUTE(SUBSTITUTE(SUBSTITUTE(SUBSTITUTE(INDEX(PASTE_ALL,$DF319,$L$18)," "," "),CHAR(9)," "),CHAR(10)," "),CHAR(13)," ")))="PM","PM",IF(OR(UPPER(TRIM(SUBSTITUTE(SUBSTITUTE(SUBSTITUTE(SUBSTITUTE(INDEX(PASTE_ALL,$DF319,$L$18)," "," "),CHAR(9)," "),CHAR(10)," "),CHAR(13)," ")))="OT",UPPER(TRIM(SUBSTITUTE(SUBSTITUTE(SUBSTITUTE(SUBSTITUTE(INDEX(PASTE_ALL,$DF319,$L$18)," "," "),CHAR(9)," "),CHAR(10)," "),CHAR(13)," ")))="OVERTIME",UPPER(TRIM(SUBSTITUTE(SUBSTITUTE(SUBSTITUTE(SUBSTITUTE(INDEX(PASTE_ALL,$DF319,$L$18)," "," "),CHAR(9)," "),CHAR(10)," "),CHAR(13)," ")))="TRIAL"),"OT",TRIM(SUBSTITUTE(SUBSTITUTE(SUBSTITUTE(SUBSTITUTE(INDEX(PASTE_ALL,$DF319,$L$18)," "," "),CHAR(9)," "),CHAR(10)," "),CHAR(13)," "))))),"")))</f>
        <v/>
      </c>
      <c r="EC319">
        <f>IF($DM319=0,"",IF($L$19=0,"",IFERROR(IF(ISNUMBER(INDEX(PASTE_ALL,$DF319,$L$19)),INDEX(PASTE_ALL,$DF319,$L$19),TRIM(SUBSTITUTE(SUBSTITUTE(SUBSTITUTE(SUBSTITUTE(INDEX(PASTE_ALL,$DF319,$L$19)," "," "),CHAR(9)," "),CHAR(10)," "),CHAR(13)," "))),"")))</f>
        <v/>
      </c>
      <c r="ED319">
        <f>IF($DM319=0,"",MATCH(1,INDEX(EXACT($DH$5:DH319,$DH319)*$DM$5:DM319,0),0))</f>
        <v/>
      </c>
      <c r="EE319">
        <f>IF($DM319=0,0,IF($ED319=$DE319,1,0))</f>
        <v/>
      </c>
      <c r="EF319">
        <f>EF318+$EE319</f>
        <v/>
      </c>
      <c r="EG319">
        <f>IF($DM319=0,"",INDEX($EF$5:$EF$1003,$ED319))</f>
        <v/>
      </c>
      <c r="EH319">
        <f>IF($DM319=0,"",IF($DO319&lt;&gt;"","",IFERROR(LOOKUP(2,1/(($EG$4:EG318=$EG319)*($DO$4:DO318&lt;&gt;"")),$DO$4:DO318),"")))</f>
        <v/>
      </c>
      <c r="EI319">
        <f>IF($DM319=0,"",IF($DO319&lt;&gt;"",$DO319,$EH319))</f>
        <v/>
      </c>
      <c r="EJ319">
        <f>IF($DM319=0,"",IF($EI319="",0,IF(OR(ISNUMBER($EI319),AND(AND(SUBSTITUTE(SUBSTITUTE(SUBSTITUTE(SUBSTITUTE(SUBSTITUTE(SUBSTITUTE(SUBSTITUTE(SUBSTITUTE(SUBSTITUTE(SUBSTITUTE(SUBSTITUTE(SUBSTITUTE(SUBSTITUTE(SUBSTITUTE(UPPER($EI319),"0",""),"1",""),"2",""),"3",""),"4",""),"5",""),"6",""),"7",""),"8",""),"9",""),".",""),"+",""),"-",""),"E","")="",LEN(SUBSTITUTE(SUBSTITUTE(MID(UPPER($EI319),1+OR(LEFT(UPPER($EI319),1)="+",LEFT(UPPER($EI319),1)="-"),999),"E+","E"),"E-","E"))=LEN(SUBSTITUTE(SUBSTITUTE(SUBSTITUTE(SUBSTITUTE(MID(UPPER($EI319),1+OR(LEFT(UPPER($EI319),1)="+",LEFT(UPPER($EI319),1)="-"),999),"E+","E"),"E-","E"),"+",""),"-","")),LEN(UPPER($EI319))-LEN(SUBSTITUTE(UPPER($EI319),"E",""))&lt;2,LEN(UPPER($EI319))-LEN(SUBSTITUTE(UPPER($EI319),".",""))&lt;2,IFERROR(FIND(".",UPPER($EI319)),0)&lt;IFERROR(FIND("E",UPPER($EI319)),999)),ISNUMBER(VALUE($EI319)))),1,2)))</f>
        <v/>
      </c>
      <c r="EK319">
        <f>IF($DM319=0,"",IF($EJ319=1,IF(ISNUMBER($EI319),$EI319,VALUE($EI319)),IF($EJ319=2,$DE319,0)))</f>
        <v/>
      </c>
      <c r="EL319">
        <f>IF($DM319=0,"",COUNTIF($EG$5:$EG$1003,"&lt;"&amp;$EG319)+SUMPRODUCT(($EG$5:$EG$1003=$EG319)*(($EJ$5:$EJ$1003&lt;$EJ319)+($EJ$5:$EJ$1003=$EJ319)*(($EK$5:$EK$1003&lt;$EK319)+($EK$5:$EK$1003=$EK319)*($DE$5:$DE$1003&lt;$DE319))))+1)</f>
        <v/>
      </c>
      <c r="EM319">
        <f>IF($DM319=0,"",$EL319+$EG319-1)</f>
        <v/>
      </c>
      <c r="EN319">
        <f>IF($DM319=0,0,IFERROR(MATCH(1,INDEX(--(TRIM(SUBSTITUTE(SUBSTITUTE(SUBSTITUTE(SUBSTITUTE(LINES_NAME&amp;""," "," "),CHAR(9)," "),CHAR(10)," "),CHAR(13)," "))=$DH319),0),0),0))</f>
        <v/>
      </c>
      <c r="EO319">
        <f>IF($EN319=0,0,IF(OR(UPPER(TRIM(INDEX(LINES_SCHEDULED,$EN319)&amp;""))="YES",UPPER(TRIM(INDEX(LINES_SCHEDULED,$EN319)&amp;""))="Y",UPPER(TRIM(INDEX(LINES_SCHEDULED,$EN319)&amp;""))="X"),1,0))</f>
        <v/>
      </c>
      <c r="EP319">
        <f>IF($DM319=0,"",IF(COUNTIFS($EG$5:$EG$1003,$EG319,$EB$5:$EB$1003,"Ready")&gt;0,"READY",IF(COUNTIFS($EG$5:$EG$1003,$EG319,$EB$5:$EB$1003,"PM")&gt;0,"PM",IF(COUNTIFS($EG$5:$EG$1003,$EG319,$EB$5:$EB$1003,"OT")&gt;0,"OT",""))))</f>
        <v/>
      </c>
      <c r="EQ319">
        <f>IF($EN319=0,"",UPPER(TRIM(INDEX(LINES_STATUS,$EN319)&amp;"")))</f>
        <v/>
      </c>
      <c r="ER319">
        <f>IF($DM319=0,"",IF(OR($EQ319="READY",$EQ319="PM",$EQ319="OT"),$EQ319,$EP319))</f>
        <v/>
      </c>
      <c r="ES319">
        <f>IF($DM319=0,"",IF(AND($DV319&lt;&gt;"",UPPER($DV319)&lt;&gt;"N"),"allergen",IF(ISNUMBER(SEARCH("oil",$DQ319)),"oil",IF(OR(EXACT($DS319,"A662"),EXACT($DS319,"A624")),"bulk",""))))</f>
        <v/>
      </c>
      <c r="ET319">
        <f>IF($DM319=0,"",IF(OR($EA319="",$EA319=0),"",$EA319/100))</f>
        <v/>
      </c>
      <c r="EU319">
        <f>IF(OR($ET319="",$DY319=""),"",INT($DY319*(1-$ET319)+0.5))</f>
        <v/>
      </c>
      <c r="EW319" t="n">
        <v>315</v>
      </c>
      <c r="EX319">
        <f>IFERROR(MATCH($EW319,$EM$5:$EM$1003,0),0)</f>
        <v/>
      </c>
      <c r="EY319">
        <f>IF($EW319&gt;$B$12,"",IF($EX319&gt;0,"row","spacer"))</f>
        <v/>
      </c>
      <c r="EZ319">
        <f>IF(AND($EY319="row",$EY318&lt;&gt;"row"),1,0)</f>
        <v/>
      </c>
      <c r="FA319">
        <f>IF(AND($EY319="row",$EY320&lt;&gt;"row"),1,0)</f>
        <v/>
      </c>
      <c r="FB319">
        <f>IF($EZ319=1,IFERROR(IF(ISNUMBER(INDEX(PASTE_ALL,INDEX($DF$5:$DF$1003,$EX319),$B$37)),INDEX(PASTE_ALL,INDEX($DF$5:$DF$1003,$EX319),$B$37),INDEX($DH$5:$DH$1003,$EX319)),INDEX($DH$5:$DH$1003,$EX319)),"")</f>
        <v/>
      </c>
      <c r="FC319">
        <f>IF($EY319="row",INDEX($ER$5:$ER$1003,$EX319),"")</f>
        <v/>
      </c>
      <c r="FD319">
        <f>IF($EY319="row",INDEX($DN$5:$DN$1003,$EX319),"")</f>
        <v/>
      </c>
      <c r="FE319">
        <f>IF($EY319="row",INDEX($DO$5:$DO$1003,$EX319),"")</f>
        <v/>
      </c>
      <c r="FF319">
        <f>IF($EY319="row",INDEX($DP$5:$DP$1003,$EX319),"")</f>
        <v/>
      </c>
      <c r="FG319">
        <f>IF($EY319="row",INDEX($DQ$5:$DQ$1003,$EX319),"")</f>
        <v/>
      </c>
      <c r="FH319">
        <f>IF($EY319="row",INDEX($DR$5:$DR$1003,$EX319),"")</f>
        <v/>
      </c>
      <c r="FI319">
        <f>IF($EY319="row",INDEX($DS$5:$DS$1003,$EX319),"")</f>
        <v/>
      </c>
      <c r="FJ319">
        <f>IF($EY319="row",INDEX($DT$5:$DT$1003,$EX319),"")</f>
        <v/>
      </c>
      <c r="FK319">
        <f>IF($EY319="row",INDEX($DU$5:$DU$1003,$EX319),"")</f>
        <v/>
      </c>
      <c r="FL319">
        <f>IF($EY319="row",INDEX($DV$5:$DV$1003,$EX319),"")</f>
        <v/>
      </c>
      <c r="FM319">
        <f>IF($EY319="row",INDEX($DW$5:$DW$1003,$EX319),"")</f>
        <v/>
      </c>
      <c r="FN319">
        <f>IF($EY319="row",INDEX($DY$5:$DY$1003,$EX319),"")</f>
        <v/>
      </c>
      <c r="FO319">
        <f>IF($EY319="row",INDEX($EA$5:$EA$1003,$EX319),"")</f>
        <v/>
      </c>
      <c r="FP319">
        <f>IF($EY319="row",INDEX($EC$5:$EC$1003,$EX319),"")</f>
        <v/>
      </c>
      <c r="FQ319">
        <f>IF($EY319="row",INDEX($ET$5:$ET$1003,$EX319),"")</f>
        <v/>
      </c>
      <c r="FR319">
        <f>IF($EY319="row",INDEX($EU$5:$EU$1003,$EX319),"")</f>
        <v/>
      </c>
      <c r="FS319">
        <f>IF(AND($EY319="row",$EY318="row"),IF(OR(INDEX($DT$5:$DT$1003,$EX318)="",INDEX($DT$5:$DT$1003,$EX319)=""),"",IF(NOT(EXACT(INDEX($DT$5:$DT$1003,$EX318),INDEX($DT$5:$DT$1003,$EX319))),"S4",IF(NOT(EXACT(INDEX($DS$5:$DS$1003,$EX318),INDEX($DS$5:$DS$1003,$EX319))),"S3",IF(NOT(EXACT(INDEX($DR$5:$DR$1003,$EX318),INDEX($DR$5:$DR$1003,$EX319))),"S1 Count Change","S1")))),"")</f>
        <v/>
      </c>
      <c r="FT319">
        <f>IF($EY319="row",INDEX($ES$5:$ES$1003,$EX319),"")</f>
        <v/>
      </c>
      <c r="FU319">
        <f>IF($EY319="row",INDEX($EO$5:$EO$1003,$EX319),0)</f>
        <v/>
      </c>
      <c r="FV319">
        <f>IF($FS319="S1 Count Change",1,0)</f>
        <v/>
      </c>
    </row>
    <row r="320">
      <c r="DA320" t="n">
        <v>316</v>
      </c>
      <c r="DB320">
        <f>IF($B$37=0,"",IFERROR(TRIM(SUBSTITUTE(SUBSTITUTE(SUBSTITUTE(SUBSTITUTE(INDEX(PASTE_ALL,316,$B$37)," "," "),CHAR(9)," "),CHAR(10)," "),CHAR(13)," ")),""))</f>
        <v/>
      </c>
      <c r="DC320">
        <f>IF(AND(316&gt;HEADER_ROW,UPPER(DB320)="LEGEND"),1,0)</f>
        <v/>
      </c>
      <c r="DE320" t="n">
        <v>316</v>
      </c>
      <c r="DF320">
        <f>HEADER_ROW+$DE320</f>
        <v/>
      </c>
      <c r="DG320">
        <f>IF(AND($DF320&lt;=1000,$DF320&lt;$B$8),1,0)</f>
        <v/>
      </c>
      <c r="DH320">
        <f>IF($DG320=1,IFERROR(INDEX($DB$5:$DB$1004,$DF320),""),"")</f>
        <v/>
      </c>
      <c r="DI320">
        <f>IF(AND($DG320=1,$DH320&lt;&gt;""),IFERROR(SUBSTITUTE(SUBSTITUTE(TRIM(SUBSTITUTE(SUBSTITUTE(SUBSTITUTE(SUBSTITUTE(IFERROR(INDEX(PASTE_ALL,$DF320,1)&amp;"","")&amp;"␟"&amp;IFERROR(INDEX(PASTE_ALL,$DF320,2)&amp;"","")&amp;"␟"&amp;IFERROR(INDEX(PASTE_ALL,$DF320,3)&amp;"","")&amp;"␟"&amp;IFERROR(INDEX(PASTE_ALL,$DF320,4)&amp;"","")&amp;"␟"&amp;IFERROR(INDEX(PASTE_ALL,$DF320,5)&amp;"","")&amp;"␟"&amp;IFERROR(INDEX(PASTE_ALL,$DF320,6)&amp;"","")&amp;"␟"&amp;IFERROR(INDEX(PASTE_ALL,$DF320,7)&amp;"","")&amp;"␟"&amp;IFERROR(INDEX(PASTE_ALL,$DF320,8)&amp;"","")&amp;"␟"&amp;IFERROR(INDEX(PASTE_ALL,$DF320,9)&amp;"","")&amp;"␟"&amp;IFERROR(INDEX(PASTE_ALL,$DF320,10)&amp;"","")&amp;"␟"&amp;IFERROR(INDEX(PASTE_ALL,$DF320,11)&amp;"","")&amp;"␟"&amp;IFERROR(INDEX(PASTE_ALL,$DF320,12)&amp;"","")&amp;"␟"&amp;IFERROR(INDEX(PASTE_ALL,$DF320,13)&amp;"","")&amp;"␟"&amp;IFERROR(INDEX(PASTE_ALL,$DF320,14)&amp;"","")&amp;"␟"&amp;IFERROR(INDEX(PASTE_ALL,$DF320,15)&amp;"","")&amp;"␟"&amp;IFERROR(INDEX(PASTE_ALL,$DF320,16)&amp;"","")&amp;"␟"&amp;IFERROR(INDEX(PASTE_ALL,$DF320,17)&amp;"","")&amp;"␟"&amp;IFERROR(INDEX(PASTE_ALL,$DF320,18)&amp;"","")&amp;"␟"&amp;IFERROR(INDEX(PASTE_ALL,$DF320,19)&amp;"","")&amp;"␟"&amp;IFERROR(INDEX(PASTE_ALL,$DF320,20)&amp;"","")&amp;"␟"&amp;IFERROR(INDEX(PASTE_ALL,$DF320,21)&amp;"","")&amp;"␟"&amp;IFERROR(INDEX(PASTE_ALL,$DF320,22)&amp;"","")&amp;"␟"&amp;IFERROR(INDEX(PASTE_ALL,$DF320,23)&amp;"","")&amp;"␟"&amp;IFERROR(INDEX(PASTE_ALL,$DF320,24)&amp;"","")&amp;"␟"&amp;IFERROR(INDEX(PASTE_ALL,$DF320,25)&amp;"","")&amp;"␟"&amp;IFERROR(INDEX(PASTE_ALL,$DF320,26)&amp;"","")&amp;"␟"&amp;IFERROR(INDEX(PASTE_ALL,$DF320,27)&amp;"","")&amp;"␟"&amp;IFERROR(INDEX(PASTE_ALL,$DF320,28)&amp;"","")&amp;"␟"&amp;IFERROR(INDEX(PASTE_ALL,$DF320,29)&amp;"","")&amp;"␟"&amp;IFERROR(INDEX(PASTE_ALL,$DF320,30)&amp;"","")&amp;"␟"&amp;IFERROR(INDEX(PASTE_ALL,$DF320,31)&amp;"","")&amp;"␟"&amp;IFERROR(INDEX(PASTE_ALL,$DF320,32)&amp;"","")&amp;"␟"&amp;IFERROR(INDEX(PASTE_ALL,$DF320,33)&amp;"","")&amp;"␟"&amp;IFERROR(INDEX(PASTE_ALL,$DF320,34)&amp;"","")&amp;"␟"&amp;IFERROR(INDEX(PASTE_ALL,$DF320,35)&amp;"","")&amp;"␟"&amp;IFERROR(INDEX(PASTE_ALL,$DF320,36)&amp;"","")&amp;"␟"&amp;IFERROR(INDEX(PASTE_ALL,$DF320,37)&amp;"","")&amp;"␟"&amp;IFERROR(INDEX(PASTE_ALL,$DF320,38)&amp;"","")&amp;"␟"&amp;IFERROR(INDEX(PASTE_ALL,$DF320,39)&amp;"","")&amp;"␟"&amp;IFERROR(INDEX(PASTE_ALL,$DF320,40)&amp;"","")&amp;"␟"&amp;IFERROR(INDEX(PASTE_ALL,$DF320,41)&amp;"","")&amp;"␟"&amp;IFERROR(INDEX(PASTE_ALL,$DF320,42)&amp;"","")&amp;"␟"&amp;IFERROR(INDEX(PASTE_ALL,$DF320,43)&amp;"","")&amp;"␟"&amp;IFERROR(INDEX(PASTE_ALL,$DF320,44)&amp;"","")&amp;"␟"&amp;IFERROR(INDEX(PASTE_ALL,$DF320,45)&amp;"","")&amp;"␟"&amp;IFERROR(INDEX(PASTE_ALL,$DF320,46)&amp;"","")&amp;"␟"&amp;IFERROR(INDEX(PASTE_ALL,$DF320,47)&amp;"","")&amp;"␟"&amp;IFERROR(INDEX(PASTE_ALL,$DF320,48)&amp;"","")&amp;"␟"&amp;IFERROR(INDEX(PASTE_ALL,$DF320,49)&amp;"","")&amp;"␟"&amp;IFERROR(INDEX(PASTE_ALL,$DF320,50)&amp;"","")&amp;"␟"&amp;IFERROR(INDEX(PASTE_ALL,$DF320,51)&amp;"","")&amp;"␟"&amp;IFERROR(INDEX(PASTE_ALL,$DF320,52)&amp;"","")&amp;"␟"&amp;IFERROR(INDEX(PASTE_ALL,$DF320,53)&amp;"","")&amp;"␟"&amp;IFERROR(INDEX(PASTE_ALL,$DF320,54)&amp;"","")&amp;"␟"&amp;IFERROR(INDEX(PASTE_ALL,$DF320,55)&amp;"","")&amp;"␟"&amp;IFERROR(INDEX(PASTE_ALL,$DF320,56)&amp;"","")&amp;"␟"&amp;IFERROR(INDEX(PASTE_ALL,$DF320,57)&amp;"","")&amp;"␟"&amp;IFERROR(INDEX(PASTE_ALL,$DF320,58)&amp;"","")&amp;"␟"&amp;IFERROR(INDEX(PASTE_ALL,$DF320,59)&amp;"","")&amp;"␟"&amp;IFERROR(INDEX(PASTE_ALL,$DF320,60)&amp;"","")," "," "),CHAR(9)," "),CHAR(10)," "),CHAR(13)," "))," ␟","␟"),"␟ ","␟"),"#"&amp;$DE320),"")</f>
        <v/>
      </c>
      <c r="DJ320">
        <f>IF($DI320="",0,IF(SUMPRODUCT(--EXACT($DI$4:DI319,$DI320))&gt;0,1,0))</f>
        <v/>
      </c>
      <c r="DK320">
        <f>IF(AND($DI320&lt;&gt;"",$DJ320=0),1,0)</f>
        <v/>
      </c>
      <c r="DL320">
        <f>DL319+$DK320</f>
        <v/>
      </c>
      <c r="DM320">
        <f>IF(AND($DK320=1,$DL320&lt;=600),1,0)</f>
        <v/>
      </c>
      <c r="DN320">
        <f>IF($DM320=0,"",IF($L$6=0,"",IFERROR(IF(ISNUMBER(INDEX(PASTE_ALL,$DF320,$L$6)),INDEX(PASTE_ALL,$DF320,$L$6),TRIM(SUBSTITUTE(SUBSTITUTE(SUBSTITUTE(SUBSTITUTE(INDEX(PASTE_ALL,$DF320,$L$6)," "," "),CHAR(9)," "),CHAR(10)," "),CHAR(13)," "))),"")))</f>
        <v/>
      </c>
      <c r="DO320">
        <f>IF($DM320=0,"",IF($L$7=0,"",IFERROR(IF(ISNUMBER(INDEX(PASTE_ALL,$DF320,$L$7)),INDEX(PASTE_ALL,$DF320,$L$7),TRIM(SUBSTITUTE(SUBSTITUTE(SUBSTITUTE(SUBSTITUTE(INDEX(PASTE_ALL,$DF320,$L$7)," "," "),CHAR(9)," "),CHAR(10)," "),CHAR(13)," "))),"")))</f>
        <v/>
      </c>
      <c r="DP320">
        <f>IF($DM320=0,"",IF($L$8=0,"",IFERROR(IF(ISNUMBER(INDEX(PASTE_ALL,$DF320,$L$8)),INDEX(PASTE_ALL,$DF320,$L$8),TRIM(SUBSTITUTE(SUBSTITUTE(SUBSTITUTE(SUBSTITUTE(INDEX(PASTE_ALL,$DF320,$L$8)," "," "),CHAR(9)," "),CHAR(10)," "),CHAR(13)," "))),"")))</f>
        <v/>
      </c>
      <c r="DQ320">
        <f>IF($DM320=0,"",IF($L$9=0,"",IFERROR(IF(ISNUMBER(INDEX(PASTE_ALL,$DF320,$L$9)),INDEX(PASTE_ALL,$DF320,$L$9),TRIM(SUBSTITUTE(SUBSTITUTE(SUBSTITUTE(SUBSTITUTE(INDEX(PASTE_ALL,$DF320,$L$9)," "," "),CHAR(9)," "),CHAR(10)," "),CHAR(13)," "))),"")))</f>
        <v/>
      </c>
      <c r="DR320">
        <f>IF($DM320=0,"",IF($L$10=0,"",IFERROR(IF(ISNUMBER(INDEX(PASTE_ALL,$DF320,$L$10)),INDEX(PASTE_ALL,$DF320,$L$10),TRIM(SUBSTITUTE(SUBSTITUTE(SUBSTITUTE(SUBSTITUTE(INDEX(PASTE_ALL,$DF320,$L$10)," "," "),CHAR(9)," "),CHAR(10)," "),CHAR(13)," "))),"")))</f>
        <v/>
      </c>
      <c r="DS320">
        <f>IF($DM320=0,"",IF($L$11=0,"",IFERROR(IF(ISNUMBER(INDEX(PASTE_ALL,$DF320,$L$11)),INDEX(PASTE_ALL,$DF320,$L$11),TRIM(SUBSTITUTE(SUBSTITUTE(SUBSTITUTE(SUBSTITUTE(INDEX(PASTE_ALL,$DF320,$L$11)," "," "),CHAR(9)," "),CHAR(10)," "),CHAR(13)," "))),"")))</f>
        <v/>
      </c>
      <c r="DT320">
        <f>IF($DM320=0,"",IF($L$12=0,"",IFERROR(IF(ISNUMBER(INDEX(PASTE_ALL,$DF320,$L$12)),INDEX(PASTE_ALL,$DF320,$L$12),TRIM(SUBSTITUTE(SUBSTITUTE(SUBSTITUTE(SUBSTITUTE(INDEX(PASTE_ALL,$DF320,$L$12)," "," "),CHAR(9)," "),CHAR(10)," "),CHAR(13)," "))),"")))</f>
        <v/>
      </c>
      <c r="DU320">
        <f>IF($DM320=0,"",IF($L$13=0,"",IFERROR(IF(ISNUMBER(INDEX(PASTE_ALL,$DF320,$L$13)),INDEX(PASTE_ALL,$DF320,$L$13),TRIM(SUBSTITUTE(SUBSTITUTE(SUBSTITUTE(SUBSTITUTE(INDEX(PASTE_ALL,$DF320,$L$13)," "," "),CHAR(9)," "),CHAR(10)," "),CHAR(13)," "))),"")))</f>
        <v/>
      </c>
      <c r="DV320">
        <f>IF($DM320=0,"",IF($L$14=0,"",IFERROR(IF(ISNUMBER(INDEX(PASTE_ALL,$DF320,$L$14)),INDEX(PASTE_ALL,$DF320,$L$14),TRIM(SUBSTITUTE(SUBSTITUTE(SUBSTITUTE(SUBSTITUTE(INDEX(PASTE_ALL,$DF320,$L$14)," "," "),CHAR(9)," "),CHAR(10)," "),CHAR(13)," "))),"")))</f>
        <v/>
      </c>
      <c r="DW320">
        <f>IF($DM320=0,"",IF($L$15=0,"",IFERROR(IF(ISNUMBER(INDEX(PASTE_ALL,$DF320,$L$15)),INDEX(PASTE_ALL,$DF320,$L$15),IF(SUMPRODUCT(--ISNUMBER(FIND({"A","B","C","D","E","F","G","H","I","J","K","L","M","N","O","P","Q","R","S","T","U","V","W","X","Y","Z","0","1","2","3","4","5","6","7","8","9"},UPPER(TRIM(SUBSTITUTE(SUBSTITUTE(SUBSTITUTE(SUBSTITUTE(INDEX(PASTE_ALL,$DF320,$L$15)," "," "),CHAR(9)," "),CHAR(10)," "),CHAR(13)," "))))))&gt;0,TRIM(SUBSTITUTE(SUBSTITUTE(SUBSTITUTE(SUBSTITUTE(INDEX(PASTE_ALL,$DF320,$L$15)," "," "),CHAR(9)," "),CHAR(10)," "),CHAR(13)," ")),"")),"")))</f>
        <v/>
      </c>
      <c r="DX320">
        <f>IF($DM320=0,"",IF($L$16=0,"",IFERROR(IF(ISNUMBER(INDEX(PASTE_ALL,$DF320,$L$16)),INDEX(PASTE_ALL,$DF320,$L$16),SUBSTITUTE(SUBSTITUTE(TRIM(SUBSTITUTE(SUBSTITUTE(SUBSTITUTE(SUBSTITUTE(INDEX(PASTE_ALL,$DF320,$L$16)," "," "),CHAR(9)," "),CHAR(10)," "),CHAR(13)," ")),",",""),"%","")),"")))</f>
        <v/>
      </c>
      <c r="DY320">
        <f>IF($DM320=0,"",IFERROR(IF(ISNUMBER($DX320),$DX320,IF($DX320="","",IF(TRIM($DX320)="",0,IF(AND(AND(SUBSTITUTE(SUBSTITUTE(SUBSTITUTE(SUBSTITUTE(SUBSTITUTE(SUBSTITUTE(SUBSTITUTE(SUBSTITUTE(SUBSTITUTE(SUBSTITUTE(SUBSTITUTE(SUBSTITUTE(SUBSTITUTE(SUBSTITUTE(UPPER(TRIM($DX320)),"0",""),"1",""),"2",""),"3",""),"4",""),"5",""),"6",""),"7",""),"8",""),"9",""),".",""),"+",""),"-",""),"E","")="",LEN(SUBSTITUTE(SUBSTITUTE(MID(UPPER(TRIM($DX320)),1+OR(LEFT(UPPER(TRIM($DX320)),1)="+",LEFT(UPPER(TRIM($DX320)),1)="-"),999),"E+","E"),"E-","E"))=LEN(SUBSTITUTE(SUBSTITUTE(SUBSTITUTE(SUBSTITUTE(MID(UPPER(TRIM($DX320)),1+OR(LEFT(UPPER(TRIM($DX320)),1)="+",LEFT(UPPER(TRIM($DX320)),1)="-"),999),"E+","E"),"E-","E"),"+",""),"-","")),LEN(UPPER(TRIM($DX320)))-LEN(SUBSTITUTE(UPPER(TRIM($DX320)),"E",""))&lt;2,LEN(UPPER(TRIM($DX320)))-LEN(SUBSTITUTE(UPPER(TRIM($DX320)),".",""))&lt;2,IFERROR(FIND(".",UPPER(TRIM($DX320))),0)&lt;IFERROR(FIND("E",UPPER(TRIM($DX320))),999)),ISNUMBER(VALUE(TRIM($DX320)))),VALUE(TRIM($DX320)),"")))),""))</f>
        <v/>
      </c>
      <c r="DZ320">
        <f>IF($DM320=0,"",IF($L$17=0,"",IFERROR(IF(ISNUMBER(INDEX(PASTE_ALL,$DF320,$L$17)),INDEX(PASTE_ALL,$DF320,$L$17),SUBSTITUTE(SUBSTITUTE(TRIM(SUBSTITUTE(SUBSTITUTE(SUBSTITUTE(SUBSTITUTE(INDEX(PASTE_ALL,$DF320,$L$17)," "," "),CHAR(9)," "),CHAR(10)," "),CHAR(13)," ")),",",""),"%","")),"")))</f>
        <v/>
      </c>
      <c r="EA320">
        <f>IF($DM320=0,"",IFERROR(IF(ISNUMBER($DZ320),$DZ320,IF($DZ320="","",IF(TRIM($DZ320)="",0,IF(AND(AND(SUBSTITUTE(SUBSTITUTE(SUBSTITUTE(SUBSTITUTE(SUBSTITUTE(SUBSTITUTE(SUBSTITUTE(SUBSTITUTE(SUBSTITUTE(SUBSTITUTE(SUBSTITUTE(SUBSTITUTE(SUBSTITUTE(SUBSTITUTE(UPPER(TRIM($DZ320)),"0",""),"1",""),"2",""),"3",""),"4",""),"5",""),"6",""),"7",""),"8",""),"9",""),".",""),"+",""),"-",""),"E","")="",LEN(SUBSTITUTE(SUBSTITUTE(MID(UPPER(TRIM($DZ320)),1+OR(LEFT(UPPER(TRIM($DZ320)),1)="+",LEFT(UPPER(TRIM($DZ320)),1)="-"),999),"E+","E"),"E-","E"))=LEN(SUBSTITUTE(SUBSTITUTE(SUBSTITUTE(SUBSTITUTE(MID(UPPER(TRIM($DZ320)),1+OR(LEFT(UPPER(TRIM($DZ320)),1)="+",LEFT(UPPER(TRIM($DZ320)),1)="-"),999),"E+","E"),"E-","E"),"+",""),"-","")),LEN(UPPER(TRIM($DZ320)))-LEN(SUBSTITUTE(UPPER(TRIM($DZ320)),"E",""))&lt;2,LEN(UPPER(TRIM($DZ320)))-LEN(SUBSTITUTE(UPPER(TRIM($DZ320)),".",""))&lt;2,IFERROR(FIND(".",UPPER(TRIM($DZ320))),0)&lt;IFERROR(FIND("E",UPPER(TRIM($DZ320))),999)),ISNUMBER(VALUE(TRIM($DZ320)))),VALUE(TRIM($DZ320)),"")))),""))</f>
        <v/>
      </c>
      <c r="EB320">
        <f>IF($DM320=0,"",IF($L$18=0,"",IFERROR(IF(UPPER(TRIM(SUBSTITUTE(SUBSTITUTE(SUBSTITUTE(SUBSTITUTE(INDEX(PASTE_ALL,$DF320,$L$18)," "," "),CHAR(9)," "),CHAR(10)," "),CHAR(13)," ")))="READY","Ready",IF(UPPER(TRIM(SUBSTITUTE(SUBSTITUTE(SUBSTITUTE(SUBSTITUTE(INDEX(PASTE_ALL,$DF320,$L$18)," "," "),CHAR(9)," "),CHAR(10)," "),CHAR(13)," ")))="PM","PM",IF(OR(UPPER(TRIM(SUBSTITUTE(SUBSTITUTE(SUBSTITUTE(SUBSTITUTE(INDEX(PASTE_ALL,$DF320,$L$18)," "," "),CHAR(9)," "),CHAR(10)," "),CHAR(13)," ")))="OT",UPPER(TRIM(SUBSTITUTE(SUBSTITUTE(SUBSTITUTE(SUBSTITUTE(INDEX(PASTE_ALL,$DF320,$L$18)," "," "),CHAR(9)," "),CHAR(10)," "),CHAR(13)," ")))="OVERTIME",UPPER(TRIM(SUBSTITUTE(SUBSTITUTE(SUBSTITUTE(SUBSTITUTE(INDEX(PASTE_ALL,$DF320,$L$18)," "," "),CHAR(9)," "),CHAR(10)," "),CHAR(13)," ")))="TRIAL"),"OT",TRIM(SUBSTITUTE(SUBSTITUTE(SUBSTITUTE(SUBSTITUTE(INDEX(PASTE_ALL,$DF320,$L$18)," "," "),CHAR(9)," "),CHAR(10)," "),CHAR(13)," "))))),"")))</f>
        <v/>
      </c>
      <c r="EC320">
        <f>IF($DM320=0,"",IF($L$19=0,"",IFERROR(IF(ISNUMBER(INDEX(PASTE_ALL,$DF320,$L$19)),INDEX(PASTE_ALL,$DF320,$L$19),TRIM(SUBSTITUTE(SUBSTITUTE(SUBSTITUTE(SUBSTITUTE(INDEX(PASTE_ALL,$DF320,$L$19)," "," "),CHAR(9)," "),CHAR(10)," "),CHAR(13)," "))),"")))</f>
        <v/>
      </c>
      <c r="ED320">
        <f>IF($DM320=0,"",MATCH(1,INDEX(EXACT($DH$5:DH320,$DH320)*$DM$5:DM320,0),0))</f>
        <v/>
      </c>
      <c r="EE320">
        <f>IF($DM320=0,0,IF($ED320=$DE320,1,0))</f>
        <v/>
      </c>
      <c r="EF320">
        <f>EF319+$EE320</f>
        <v/>
      </c>
      <c r="EG320">
        <f>IF($DM320=0,"",INDEX($EF$5:$EF$1003,$ED320))</f>
        <v/>
      </c>
      <c r="EH320">
        <f>IF($DM320=0,"",IF($DO320&lt;&gt;"","",IFERROR(LOOKUP(2,1/(($EG$4:EG319=$EG320)*($DO$4:DO319&lt;&gt;"")),$DO$4:DO319),"")))</f>
        <v/>
      </c>
      <c r="EI320">
        <f>IF($DM320=0,"",IF($DO320&lt;&gt;"",$DO320,$EH320))</f>
        <v/>
      </c>
      <c r="EJ320">
        <f>IF($DM320=0,"",IF($EI320="",0,IF(OR(ISNUMBER($EI320),AND(AND(SUBSTITUTE(SUBSTITUTE(SUBSTITUTE(SUBSTITUTE(SUBSTITUTE(SUBSTITUTE(SUBSTITUTE(SUBSTITUTE(SUBSTITUTE(SUBSTITUTE(SUBSTITUTE(SUBSTITUTE(SUBSTITUTE(SUBSTITUTE(UPPER($EI320),"0",""),"1",""),"2",""),"3",""),"4",""),"5",""),"6",""),"7",""),"8",""),"9",""),".",""),"+",""),"-",""),"E","")="",LEN(SUBSTITUTE(SUBSTITUTE(MID(UPPER($EI320),1+OR(LEFT(UPPER($EI320),1)="+",LEFT(UPPER($EI320),1)="-"),999),"E+","E"),"E-","E"))=LEN(SUBSTITUTE(SUBSTITUTE(SUBSTITUTE(SUBSTITUTE(MID(UPPER($EI320),1+OR(LEFT(UPPER($EI320),1)="+",LEFT(UPPER($EI320),1)="-"),999),"E+","E"),"E-","E"),"+",""),"-","")),LEN(UPPER($EI320))-LEN(SUBSTITUTE(UPPER($EI320),"E",""))&lt;2,LEN(UPPER($EI320))-LEN(SUBSTITUTE(UPPER($EI320),".",""))&lt;2,IFERROR(FIND(".",UPPER($EI320)),0)&lt;IFERROR(FIND("E",UPPER($EI320)),999)),ISNUMBER(VALUE($EI320)))),1,2)))</f>
        <v/>
      </c>
      <c r="EK320">
        <f>IF($DM320=0,"",IF($EJ320=1,IF(ISNUMBER($EI320),$EI320,VALUE($EI320)),IF($EJ320=2,$DE320,0)))</f>
        <v/>
      </c>
      <c r="EL320">
        <f>IF($DM320=0,"",COUNTIF($EG$5:$EG$1003,"&lt;"&amp;$EG320)+SUMPRODUCT(($EG$5:$EG$1003=$EG320)*(($EJ$5:$EJ$1003&lt;$EJ320)+($EJ$5:$EJ$1003=$EJ320)*(($EK$5:$EK$1003&lt;$EK320)+($EK$5:$EK$1003=$EK320)*($DE$5:$DE$1003&lt;$DE320))))+1)</f>
        <v/>
      </c>
      <c r="EM320">
        <f>IF($DM320=0,"",$EL320+$EG320-1)</f>
        <v/>
      </c>
      <c r="EN320">
        <f>IF($DM320=0,0,IFERROR(MATCH(1,INDEX(--(TRIM(SUBSTITUTE(SUBSTITUTE(SUBSTITUTE(SUBSTITUTE(LINES_NAME&amp;""," "," "),CHAR(9)," "),CHAR(10)," "),CHAR(13)," "))=$DH320),0),0),0))</f>
        <v/>
      </c>
      <c r="EO320">
        <f>IF($EN320=0,0,IF(OR(UPPER(TRIM(INDEX(LINES_SCHEDULED,$EN320)&amp;""))="YES",UPPER(TRIM(INDEX(LINES_SCHEDULED,$EN320)&amp;""))="Y",UPPER(TRIM(INDEX(LINES_SCHEDULED,$EN320)&amp;""))="X"),1,0))</f>
        <v/>
      </c>
      <c r="EP320">
        <f>IF($DM320=0,"",IF(COUNTIFS($EG$5:$EG$1003,$EG320,$EB$5:$EB$1003,"Ready")&gt;0,"READY",IF(COUNTIFS($EG$5:$EG$1003,$EG320,$EB$5:$EB$1003,"PM")&gt;0,"PM",IF(COUNTIFS($EG$5:$EG$1003,$EG320,$EB$5:$EB$1003,"OT")&gt;0,"OT",""))))</f>
        <v/>
      </c>
      <c r="EQ320">
        <f>IF($EN320=0,"",UPPER(TRIM(INDEX(LINES_STATUS,$EN320)&amp;"")))</f>
        <v/>
      </c>
      <c r="ER320">
        <f>IF($DM320=0,"",IF(OR($EQ320="READY",$EQ320="PM",$EQ320="OT"),$EQ320,$EP320))</f>
        <v/>
      </c>
      <c r="ES320">
        <f>IF($DM320=0,"",IF(AND($DV320&lt;&gt;"",UPPER($DV320)&lt;&gt;"N"),"allergen",IF(ISNUMBER(SEARCH("oil",$DQ320)),"oil",IF(OR(EXACT($DS320,"A662"),EXACT($DS320,"A624")),"bulk",""))))</f>
        <v/>
      </c>
      <c r="ET320">
        <f>IF($DM320=0,"",IF(OR($EA320="",$EA320=0),"",$EA320/100))</f>
        <v/>
      </c>
      <c r="EU320">
        <f>IF(OR($ET320="",$DY320=""),"",INT($DY320*(1-$ET320)+0.5))</f>
        <v/>
      </c>
      <c r="EW320" t="n">
        <v>316</v>
      </c>
      <c r="EX320">
        <f>IFERROR(MATCH($EW320,$EM$5:$EM$1003,0),0)</f>
        <v/>
      </c>
      <c r="EY320">
        <f>IF($EW320&gt;$B$12,"",IF($EX320&gt;0,"row","spacer"))</f>
        <v/>
      </c>
      <c r="EZ320">
        <f>IF(AND($EY320="row",$EY319&lt;&gt;"row"),1,0)</f>
        <v/>
      </c>
      <c r="FA320">
        <f>IF(AND($EY320="row",$EY321&lt;&gt;"row"),1,0)</f>
        <v/>
      </c>
      <c r="FB320">
        <f>IF($EZ320=1,IFERROR(IF(ISNUMBER(INDEX(PASTE_ALL,INDEX($DF$5:$DF$1003,$EX320),$B$37)),INDEX(PASTE_ALL,INDEX($DF$5:$DF$1003,$EX320),$B$37),INDEX($DH$5:$DH$1003,$EX320)),INDEX($DH$5:$DH$1003,$EX320)),"")</f>
        <v/>
      </c>
      <c r="FC320">
        <f>IF($EY320="row",INDEX($ER$5:$ER$1003,$EX320),"")</f>
        <v/>
      </c>
      <c r="FD320">
        <f>IF($EY320="row",INDEX($DN$5:$DN$1003,$EX320),"")</f>
        <v/>
      </c>
      <c r="FE320">
        <f>IF($EY320="row",INDEX($DO$5:$DO$1003,$EX320),"")</f>
        <v/>
      </c>
      <c r="FF320">
        <f>IF($EY320="row",INDEX($DP$5:$DP$1003,$EX320),"")</f>
        <v/>
      </c>
      <c r="FG320">
        <f>IF($EY320="row",INDEX($DQ$5:$DQ$1003,$EX320),"")</f>
        <v/>
      </c>
      <c r="FH320">
        <f>IF($EY320="row",INDEX($DR$5:$DR$1003,$EX320),"")</f>
        <v/>
      </c>
      <c r="FI320">
        <f>IF($EY320="row",INDEX($DS$5:$DS$1003,$EX320),"")</f>
        <v/>
      </c>
      <c r="FJ320">
        <f>IF($EY320="row",INDEX($DT$5:$DT$1003,$EX320),"")</f>
        <v/>
      </c>
      <c r="FK320">
        <f>IF($EY320="row",INDEX($DU$5:$DU$1003,$EX320),"")</f>
        <v/>
      </c>
      <c r="FL320">
        <f>IF($EY320="row",INDEX($DV$5:$DV$1003,$EX320),"")</f>
        <v/>
      </c>
      <c r="FM320">
        <f>IF($EY320="row",INDEX($DW$5:$DW$1003,$EX320),"")</f>
        <v/>
      </c>
      <c r="FN320">
        <f>IF($EY320="row",INDEX($DY$5:$DY$1003,$EX320),"")</f>
        <v/>
      </c>
      <c r="FO320">
        <f>IF($EY320="row",INDEX($EA$5:$EA$1003,$EX320),"")</f>
        <v/>
      </c>
      <c r="FP320">
        <f>IF($EY320="row",INDEX($EC$5:$EC$1003,$EX320),"")</f>
        <v/>
      </c>
      <c r="FQ320">
        <f>IF($EY320="row",INDEX($ET$5:$ET$1003,$EX320),"")</f>
        <v/>
      </c>
      <c r="FR320">
        <f>IF($EY320="row",INDEX($EU$5:$EU$1003,$EX320),"")</f>
        <v/>
      </c>
      <c r="FS320">
        <f>IF(AND($EY320="row",$EY319="row"),IF(OR(INDEX($DT$5:$DT$1003,$EX319)="",INDEX($DT$5:$DT$1003,$EX320)=""),"",IF(NOT(EXACT(INDEX($DT$5:$DT$1003,$EX319),INDEX($DT$5:$DT$1003,$EX320))),"S4",IF(NOT(EXACT(INDEX($DS$5:$DS$1003,$EX319),INDEX($DS$5:$DS$1003,$EX320))),"S3",IF(NOT(EXACT(INDEX($DR$5:$DR$1003,$EX319),INDEX($DR$5:$DR$1003,$EX320))),"S1 Count Change","S1")))),"")</f>
        <v/>
      </c>
      <c r="FT320">
        <f>IF($EY320="row",INDEX($ES$5:$ES$1003,$EX320),"")</f>
        <v/>
      </c>
      <c r="FU320">
        <f>IF($EY320="row",INDEX($EO$5:$EO$1003,$EX320),0)</f>
        <v/>
      </c>
      <c r="FV320">
        <f>IF($FS320="S1 Count Change",1,0)</f>
        <v/>
      </c>
    </row>
    <row r="321">
      <c r="DA321" t="n">
        <v>317</v>
      </c>
      <c r="DB321">
        <f>IF($B$37=0,"",IFERROR(TRIM(SUBSTITUTE(SUBSTITUTE(SUBSTITUTE(SUBSTITUTE(INDEX(PASTE_ALL,317,$B$37)," "," "),CHAR(9)," "),CHAR(10)," "),CHAR(13)," ")),""))</f>
        <v/>
      </c>
      <c r="DC321">
        <f>IF(AND(317&gt;HEADER_ROW,UPPER(DB321)="LEGEND"),1,0)</f>
        <v/>
      </c>
      <c r="DE321" t="n">
        <v>317</v>
      </c>
      <c r="DF321">
        <f>HEADER_ROW+$DE321</f>
        <v/>
      </c>
      <c r="DG321">
        <f>IF(AND($DF321&lt;=1000,$DF321&lt;$B$8),1,0)</f>
        <v/>
      </c>
      <c r="DH321">
        <f>IF($DG321=1,IFERROR(INDEX($DB$5:$DB$1004,$DF321),""),"")</f>
        <v/>
      </c>
      <c r="DI321">
        <f>IF(AND($DG321=1,$DH321&lt;&gt;""),IFERROR(SUBSTITUTE(SUBSTITUTE(TRIM(SUBSTITUTE(SUBSTITUTE(SUBSTITUTE(SUBSTITUTE(IFERROR(INDEX(PASTE_ALL,$DF321,1)&amp;"","")&amp;"␟"&amp;IFERROR(INDEX(PASTE_ALL,$DF321,2)&amp;"","")&amp;"␟"&amp;IFERROR(INDEX(PASTE_ALL,$DF321,3)&amp;"","")&amp;"␟"&amp;IFERROR(INDEX(PASTE_ALL,$DF321,4)&amp;"","")&amp;"␟"&amp;IFERROR(INDEX(PASTE_ALL,$DF321,5)&amp;"","")&amp;"␟"&amp;IFERROR(INDEX(PASTE_ALL,$DF321,6)&amp;"","")&amp;"␟"&amp;IFERROR(INDEX(PASTE_ALL,$DF321,7)&amp;"","")&amp;"␟"&amp;IFERROR(INDEX(PASTE_ALL,$DF321,8)&amp;"","")&amp;"␟"&amp;IFERROR(INDEX(PASTE_ALL,$DF321,9)&amp;"","")&amp;"␟"&amp;IFERROR(INDEX(PASTE_ALL,$DF321,10)&amp;"","")&amp;"␟"&amp;IFERROR(INDEX(PASTE_ALL,$DF321,11)&amp;"","")&amp;"␟"&amp;IFERROR(INDEX(PASTE_ALL,$DF321,12)&amp;"","")&amp;"␟"&amp;IFERROR(INDEX(PASTE_ALL,$DF321,13)&amp;"","")&amp;"␟"&amp;IFERROR(INDEX(PASTE_ALL,$DF321,14)&amp;"","")&amp;"␟"&amp;IFERROR(INDEX(PASTE_ALL,$DF321,15)&amp;"","")&amp;"␟"&amp;IFERROR(INDEX(PASTE_ALL,$DF321,16)&amp;"","")&amp;"␟"&amp;IFERROR(INDEX(PASTE_ALL,$DF321,17)&amp;"","")&amp;"␟"&amp;IFERROR(INDEX(PASTE_ALL,$DF321,18)&amp;"","")&amp;"␟"&amp;IFERROR(INDEX(PASTE_ALL,$DF321,19)&amp;"","")&amp;"␟"&amp;IFERROR(INDEX(PASTE_ALL,$DF321,20)&amp;"","")&amp;"␟"&amp;IFERROR(INDEX(PASTE_ALL,$DF321,21)&amp;"","")&amp;"␟"&amp;IFERROR(INDEX(PASTE_ALL,$DF321,22)&amp;"","")&amp;"␟"&amp;IFERROR(INDEX(PASTE_ALL,$DF321,23)&amp;"","")&amp;"␟"&amp;IFERROR(INDEX(PASTE_ALL,$DF321,24)&amp;"","")&amp;"␟"&amp;IFERROR(INDEX(PASTE_ALL,$DF321,25)&amp;"","")&amp;"␟"&amp;IFERROR(INDEX(PASTE_ALL,$DF321,26)&amp;"","")&amp;"␟"&amp;IFERROR(INDEX(PASTE_ALL,$DF321,27)&amp;"","")&amp;"␟"&amp;IFERROR(INDEX(PASTE_ALL,$DF321,28)&amp;"","")&amp;"␟"&amp;IFERROR(INDEX(PASTE_ALL,$DF321,29)&amp;"","")&amp;"␟"&amp;IFERROR(INDEX(PASTE_ALL,$DF321,30)&amp;"","")&amp;"␟"&amp;IFERROR(INDEX(PASTE_ALL,$DF321,31)&amp;"","")&amp;"␟"&amp;IFERROR(INDEX(PASTE_ALL,$DF321,32)&amp;"","")&amp;"␟"&amp;IFERROR(INDEX(PASTE_ALL,$DF321,33)&amp;"","")&amp;"␟"&amp;IFERROR(INDEX(PASTE_ALL,$DF321,34)&amp;"","")&amp;"␟"&amp;IFERROR(INDEX(PASTE_ALL,$DF321,35)&amp;"","")&amp;"␟"&amp;IFERROR(INDEX(PASTE_ALL,$DF321,36)&amp;"","")&amp;"␟"&amp;IFERROR(INDEX(PASTE_ALL,$DF321,37)&amp;"","")&amp;"␟"&amp;IFERROR(INDEX(PASTE_ALL,$DF321,38)&amp;"","")&amp;"␟"&amp;IFERROR(INDEX(PASTE_ALL,$DF321,39)&amp;"","")&amp;"␟"&amp;IFERROR(INDEX(PASTE_ALL,$DF321,40)&amp;"","")&amp;"␟"&amp;IFERROR(INDEX(PASTE_ALL,$DF321,41)&amp;"","")&amp;"␟"&amp;IFERROR(INDEX(PASTE_ALL,$DF321,42)&amp;"","")&amp;"␟"&amp;IFERROR(INDEX(PASTE_ALL,$DF321,43)&amp;"","")&amp;"␟"&amp;IFERROR(INDEX(PASTE_ALL,$DF321,44)&amp;"","")&amp;"␟"&amp;IFERROR(INDEX(PASTE_ALL,$DF321,45)&amp;"","")&amp;"␟"&amp;IFERROR(INDEX(PASTE_ALL,$DF321,46)&amp;"","")&amp;"␟"&amp;IFERROR(INDEX(PASTE_ALL,$DF321,47)&amp;"","")&amp;"␟"&amp;IFERROR(INDEX(PASTE_ALL,$DF321,48)&amp;"","")&amp;"␟"&amp;IFERROR(INDEX(PASTE_ALL,$DF321,49)&amp;"","")&amp;"␟"&amp;IFERROR(INDEX(PASTE_ALL,$DF321,50)&amp;"","")&amp;"␟"&amp;IFERROR(INDEX(PASTE_ALL,$DF321,51)&amp;"","")&amp;"␟"&amp;IFERROR(INDEX(PASTE_ALL,$DF321,52)&amp;"","")&amp;"␟"&amp;IFERROR(INDEX(PASTE_ALL,$DF321,53)&amp;"","")&amp;"␟"&amp;IFERROR(INDEX(PASTE_ALL,$DF321,54)&amp;"","")&amp;"␟"&amp;IFERROR(INDEX(PASTE_ALL,$DF321,55)&amp;"","")&amp;"␟"&amp;IFERROR(INDEX(PASTE_ALL,$DF321,56)&amp;"","")&amp;"␟"&amp;IFERROR(INDEX(PASTE_ALL,$DF321,57)&amp;"","")&amp;"␟"&amp;IFERROR(INDEX(PASTE_ALL,$DF321,58)&amp;"","")&amp;"␟"&amp;IFERROR(INDEX(PASTE_ALL,$DF321,59)&amp;"","")&amp;"␟"&amp;IFERROR(INDEX(PASTE_ALL,$DF321,60)&amp;"","")," "," "),CHAR(9)," "),CHAR(10)," "),CHAR(13)," "))," ␟","␟"),"␟ ","␟"),"#"&amp;$DE321),"")</f>
        <v/>
      </c>
      <c r="DJ321">
        <f>IF($DI321="",0,IF(SUMPRODUCT(--EXACT($DI$4:DI320,$DI321))&gt;0,1,0))</f>
        <v/>
      </c>
      <c r="DK321">
        <f>IF(AND($DI321&lt;&gt;"",$DJ321=0),1,0)</f>
        <v/>
      </c>
      <c r="DL321">
        <f>DL320+$DK321</f>
        <v/>
      </c>
      <c r="DM321">
        <f>IF(AND($DK321=1,$DL321&lt;=600),1,0)</f>
        <v/>
      </c>
      <c r="DN321">
        <f>IF($DM321=0,"",IF($L$6=0,"",IFERROR(IF(ISNUMBER(INDEX(PASTE_ALL,$DF321,$L$6)),INDEX(PASTE_ALL,$DF321,$L$6),TRIM(SUBSTITUTE(SUBSTITUTE(SUBSTITUTE(SUBSTITUTE(INDEX(PASTE_ALL,$DF321,$L$6)," "," "),CHAR(9)," "),CHAR(10)," "),CHAR(13)," "))),"")))</f>
        <v/>
      </c>
      <c r="DO321">
        <f>IF($DM321=0,"",IF($L$7=0,"",IFERROR(IF(ISNUMBER(INDEX(PASTE_ALL,$DF321,$L$7)),INDEX(PASTE_ALL,$DF321,$L$7),TRIM(SUBSTITUTE(SUBSTITUTE(SUBSTITUTE(SUBSTITUTE(INDEX(PASTE_ALL,$DF321,$L$7)," "," "),CHAR(9)," "),CHAR(10)," "),CHAR(13)," "))),"")))</f>
        <v/>
      </c>
      <c r="DP321">
        <f>IF($DM321=0,"",IF($L$8=0,"",IFERROR(IF(ISNUMBER(INDEX(PASTE_ALL,$DF321,$L$8)),INDEX(PASTE_ALL,$DF321,$L$8),TRIM(SUBSTITUTE(SUBSTITUTE(SUBSTITUTE(SUBSTITUTE(INDEX(PASTE_ALL,$DF321,$L$8)," "," "),CHAR(9)," "),CHAR(10)," "),CHAR(13)," "))),"")))</f>
        <v/>
      </c>
      <c r="DQ321">
        <f>IF($DM321=0,"",IF($L$9=0,"",IFERROR(IF(ISNUMBER(INDEX(PASTE_ALL,$DF321,$L$9)),INDEX(PASTE_ALL,$DF321,$L$9),TRIM(SUBSTITUTE(SUBSTITUTE(SUBSTITUTE(SUBSTITUTE(INDEX(PASTE_ALL,$DF321,$L$9)," "," "),CHAR(9)," "),CHAR(10)," "),CHAR(13)," "))),"")))</f>
        <v/>
      </c>
      <c r="DR321">
        <f>IF($DM321=0,"",IF($L$10=0,"",IFERROR(IF(ISNUMBER(INDEX(PASTE_ALL,$DF321,$L$10)),INDEX(PASTE_ALL,$DF321,$L$10),TRIM(SUBSTITUTE(SUBSTITUTE(SUBSTITUTE(SUBSTITUTE(INDEX(PASTE_ALL,$DF321,$L$10)," "," "),CHAR(9)," "),CHAR(10)," "),CHAR(13)," "))),"")))</f>
        <v/>
      </c>
      <c r="DS321">
        <f>IF($DM321=0,"",IF($L$11=0,"",IFERROR(IF(ISNUMBER(INDEX(PASTE_ALL,$DF321,$L$11)),INDEX(PASTE_ALL,$DF321,$L$11),TRIM(SUBSTITUTE(SUBSTITUTE(SUBSTITUTE(SUBSTITUTE(INDEX(PASTE_ALL,$DF321,$L$11)," "," "),CHAR(9)," "),CHAR(10)," "),CHAR(13)," "))),"")))</f>
        <v/>
      </c>
      <c r="DT321">
        <f>IF($DM321=0,"",IF($L$12=0,"",IFERROR(IF(ISNUMBER(INDEX(PASTE_ALL,$DF321,$L$12)),INDEX(PASTE_ALL,$DF321,$L$12),TRIM(SUBSTITUTE(SUBSTITUTE(SUBSTITUTE(SUBSTITUTE(INDEX(PASTE_ALL,$DF321,$L$12)," "," "),CHAR(9)," "),CHAR(10)," "),CHAR(13)," "))),"")))</f>
        <v/>
      </c>
      <c r="DU321">
        <f>IF($DM321=0,"",IF($L$13=0,"",IFERROR(IF(ISNUMBER(INDEX(PASTE_ALL,$DF321,$L$13)),INDEX(PASTE_ALL,$DF321,$L$13),TRIM(SUBSTITUTE(SUBSTITUTE(SUBSTITUTE(SUBSTITUTE(INDEX(PASTE_ALL,$DF321,$L$13)," "," "),CHAR(9)," "),CHAR(10)," "),CHAR(13)," "))),"")))</f>
        <v/>
      </c>
      <c r="DV321">
        <f>IF($DM321=0,"",IF($L$14=0,"",IFERROR(IF(ISNUMBER(INDEX(PASTE_ALL,$DF321,$L$14)),INDEX(PASTE_ALL,$DF321,$L$14),TRIM(SUBSTITUTE(SUBSTITUTE(SUBSTITUTE(SUBSTITUTE(INDEX(PASTE_ALL,$DF321,$L$14)," "," "),CHAR(9)," "),CHAR(10)," "),CHAR(13)," "))),"")))</f>
        <v/>
      </c>
      <c r="DW321">
        <f>IF($DM321=0,"",IF($L$15=0,"",IFERROR(IF(ISNUMBER(INDEX(PASTE_ALL,$DF321,$L$15)),INDEX(PASTE_ALL,$DF321,$L$15),IF(SUMPRODUCT(--ISNUMBER(FIND({"A","B","C","D","E","F","G","H","I","J","K","L","M","N","O","P","Q","R","S","T","U","V","W","X","Y","Z","0","1","2","3","4","5","6","7","8","9"},UPPER(TRIM(SUBSTITUTE(SUBSTITUTE(SUBSTITUTE(SUBSTITUTE(INDEX(PASTE_ALL,$DF321,$L$15)," "," "),CHAR(9)," "),CHAR(10)," "),CHAR(13)," "))))))&gt;0,TRIM(SUBSTITUTE(SUBSTITUTE(SUBSTITUTE(SUBSTITUTE(INDEX(PASTE_ALL,$DF321,$L$15)," "," "),CHAR(9)," "),CHAR(10)," "),CHAR(13)," ")),"")),"")))</f>
        <v/>
      </c>
      <c r="DX321">
        <f>IF($DM321=0,"",IF($L$16=0,"",IFERROR(IF(ISNUMBER(INDEX(PASTE_ALL,$DF321,$L$16)),INDEX(PASTE_ALL,$DF321,$L$16),SUBSTITUTE(SUBSTITUTE(TRIM(SUBSTITUTE(SUBSTITUTE(SUBSTITUTE(SUBSTITUTE(INDEX(PASTE_ALL,$DF321,$L$16)," "," "),CHAR(9)," "),CHAR(10)," "),CHAR(13)," ")),",",""),"%","")),"")))</f>
        <v/>
      </c>
      <c r="DY321">
        <f>IF($DM321=0,"",IFERROR(IF(ISNUMBER($DX321),$DX321,IF($DX321="","",IF(TRIM($DX321)="",0,IF(AND(AND(SUBSTITUTE(SUBSTITUTE(SUBSTITUTE(SUBSTITUTE(SUBSTITUTE(SUBSTITUTE(SUBSTITUTE(SUBSTITUTE(SUBSTITUTE(SUBSTITUTE(SUBSTITUTE(SUBSTITUTE(SUBSTITUTE(SUBSTITUTE(UPPER(TRIM($DX321)),"0",""),"1",""),"2",""),"3",""),"4",""),"5",""),"6",""),"7",""),"8",""),"9",""),".",""),"+",""),"-",""),"E","")="",LEN(SUBSTITUTE(SUBSTITUTE(MID(UPPER(TRIM($DX321)),1+OR(LEFT(UPPER(TRIM($DX321)),1)="+",LEFT(UPPER(TRIM($DX321)),1)="-"),999),"E+","E"),"E-","E"))=LEN(SUBSTITUTE(SUBSTITUTE(SUBSTITUTE(SUBSTITUTE(MID(UPPER(TRIM($DX321)),1+OR(LEFT(UPPER(TRIM($DX321)),1)="+",LEFT(UPPER(TRIM($DX321)),1)="-"),999),"E+","E"),"E-","E"),"+",""),"-","")),LEN(UPPER(TRIM($DX321)))-LEN(SUBSTITUTE(UPPER(TRIM($DX321)),"E",""))&lt;2,LEN(UPPER(TRIM($DX321)))-LEN(SUBSTITUTE(UPPER(TRIM($DX321)),".",""))&lt;2,IFERROR(FIND(".",UPPER(TRIM($DX321))),0)&lt;IFERROR(FIND("E",UPPER(TRIM($DX321))),999)),ISNUMBER(VALUE(TRIM($DX321)))),VALUE(TRIM($DX321)),"")))),""))</f>
        <v/>
      </c>
      <c r="DZ321">
        <f>IF($DM321=0,"",IF($L$17=0,"",IFERROR(IF(ISNUMBER(INDEX(PASTE_ALL,$DF321,$L$17)),INDEX(PASTE_ALL,$DF321,$L$17),SUBSTITUTE(SUBSTITUTE(TRIM(SUBSTITUTE(SUBSTITUTE(SUBSTITUTE(SUBSTITUTE(INDEX(PASTE_ALL,$DF321,$L$17)," "," "),CHAR(9)," "),CHAR(10)," "),CHAR(13)," ")),",",""),"%","")),"")))</f>
        <v/>
      </c>
      <c r="EA321">
        <f>IF($DM321=0,"",IFERROR(IF(ISNUMBER($DZ321),$DZ321,IF($DZ321="","",IF(TRIM($DZ321)="",0,IF(AND(AND(SUBSTITUTE(SUBSTITUTE(SUBSTITUTE(SUBSTITUTE(SUBSTITUTE(SUBSTITUTE(SUBSTITUTE(SUBSTITUTE(SUBSTITUTE(SUBSTITUTE(SUBSTITUTE(SUBSTITUTE(SUBSTITUTE(SUBSTITUTE(UPPER(TRIM($DZ321)),"0",""),"1",""),"2",""),"3",""),"4",""),"5",""),"6",""),"7",""),"8",""),"9",""),".",""),"+",""),"-",""),"E","")="",LEN(SUBSTITUTE(SUBSTITUTE(MID(UPPER(TRIM($DZ321)),1+OR(LEFT(UPPER(TRIM($DZ321)),1)="+",LEFT(UPPER(TRIM($DZ321)),1)="-"),999),"E+","E"),"E-","E"))=LEN(SUBSTITUTE(SUBSTITUTE(SUBSTITUTE(SUBSTITUTE(MID(UPPER(TRIM($DZ321)),1+OR(LEFT(UPPER(TRIM($DZ321)),1)="+",LEFT(UPPER(TRIM($DZ321)),1)="-"),999),"E+","E"),"E-","E"),"+",""),"-","")),LEN(UPPER(TRIM($DZ321)))-LEN(SUBSTITUTE(UPPER(TRIM($DZ321)),"E",""))&lt;2,LEN(UPPER(TRIM($DZ321)))-LEN(SUBSTITUTE(UPPER(TRIM($DZ321)),".",""))&lt;2,IFERROR(FIND(".",UPPER(TRIM($DZ321))),0)&lt;IFERROR(FIND("E",UPPER(TRIM($DZ321))),999)),ISNUMBER(VALUE(TRIM($DZ321)))),VALUE(TRIM($DZ321)),"")))),""))</f>
        <v/>
      </c>
      <c r="EB321">
        <f>IF($DM321=0,"",IF($L$18=0,"",IFERROR(IF(UPPER(TRIM(SUBSTITUTE(SUBSTITUTE(SUBSTITUTE(SUBSTITUTE(INDEX(PASTE_ALL,$DF321,$L$18)," "," "),CHAR(9)," "),CHAR(10)," "),CHAR(13)," ")))="READY","Ready",IF(UPPER(TRIM(SUBSTITUTE(SUBSTITUTE(SUBSTITUTE(SUBSTITUTE(INDEX(PASTE_ALL,$DF321,$L$18)," "," "),CHAR(9)," "),CHAR(10)," "),CHAR(13)," ")))="PM","PM",IF(OR(UPPER(TRIM(SUBSTITUTE(SUBSTITUTE(SUBSTITUTE(SUBSTITUTE(INDEX(PASTE_ALL,$DF321,$L$18)," "," "),CHAR(9)," "),CHAR(10)," "),CHAR(13)," ")))="OT",UPPER(TRIM(SUBSTITUTE(SUBSTITUTE(SUBSTITUTE(SUBSTITUTE(INDEX(PASTE_ALL,$DF321,$L$18)," "," "),CHAR(9)," "),CHAR(10)," "),CHAR(13)," ")))="OVERTIME",UPPER(TRIM(SUBSTITUTE(SUBSTITUTE(SUBSTITUTE(SUBSTITUTE(INDEX(PASTE_ALL,$DF321,$L$18)," "," "),CHAR(9)," "),CHAR(10)," "),CHAR(13)," ")))="TRIAL"),"OT",TRIM(SUBSTITUTE(SUBSTITUTE(SUBSTITUTE(SUBSTITUTE(INDEX(PASTE_ALL,$DF321,$L$18)," "," "),CHAR(9)," "),CHAR(10)," "),CHAR(13)," "))))),"")))</f>
        <v/>
      </c>
      <c r="EC321">
        <f>IF($DM321=0,"",IF($L$19=0,"",IFERROR(IF(ISNUMBER(INDEX(PASTE_ALL,$DF321,$L$19)),INDEX(PASTE_ALL,$DF321,$L$19),TRIM(SUBSTITUTE(SUBSTITUTE(SUBSTITUTE(SUBSTITUTE(INDEX(PASTE_ALL,$DF321,$L$19)," "," "),CHAR(9)," "),CHAR(10)," "),CHAR(13)," "))),"")))</f>
        <v/>
      </c>
      <c r="ED321">
        <f>IF($DM321=0,"",MATCH(1,INDEX(EXACT($DH$5:DH321,$DH321)*$DM$5:DM321,0),0))</f>
        <v/>
      </c>
      <c r="EE321">
        <f>IF($DM321=0,0,IF($ED321=$DE321,1,0))</f>
        <v/>
      </c>
      <c r="EF321">
        <f>EF320+$EE321</f>
        <v/>
      </c>
      <c r="EG321">
        <f>IF($DM321=0,"",INDEX($EF$5:$EF$1003,$ED321))</f>
        <v/>
      </c>
      <c r="EH321">
        <f>IF($DM321=0,"",IF($DO321&lt;&gt;"","",IFERROR(LOOKUP(2,1/(($EG$4:EG320=$EG321)*($DO$4:DO320&lt;&gt;"")),$DO$4:DO320),"")))</f>
        <v/>
      </c>
      <c r="EI321">
        <f>IF($DM321=0,"",IF($DO321&lt;&gt;"",$DO321,$EH321))</f>
        <v/>
      </c>
      <c r="EJ321">
        <f>IF($DM321=0,"",IF($EI321="",0,IF(OR(ISNUMBER($EI321),AND(AND(SUBSTITUTE(SUBSTITUTE(SUBSTITUTE(SUBSTITUTE(SUBSTITUTE(SUBSTITUTE(SUBSTITUTE(SUBSTITUTE(SUBSTITUTE(SUBSTITUTE(SUBSTITUTE(SUBSTITUTE(SUBSTITUTE(SUBSTITUTE(UPPER($EI321),"0",""),"1",""),"2",""),"3",""),"4",""),"5",""),"6",""),"7",""),"8",""),"9",""),".",""),"+",""),"-",""),"E","")="",LEN(SUBSTITUTE(SUBSTITUTE(MID(UPPER($EI321),1+OR(LEFT(UPPER($EI321),1)="+",LEFT(UPPER($EI321),1)="-"),999),"E+","E"),"E-","E"))=LEN(SUBSTITUTE(SUBSTITUTE(SUBSTITUTE(SUBSTITUTE(MID(UPPER($EI321),1+OR(LEFT(UPPER($EI321),1)="+",LEFT(UPPER($EI321),1)="-"),999),"E+","E"),"E-","E"),"+",""),"-","")),LEN(UPPER($EI321))-LEN(SUBSTITUTE(UPPER($EI321),"E",""))&lt;2,LEN(UPPER($EI321))-LEN(SUBSTITUTE(UPPER($EI321),".",""))&lt;2,IFERROR(FIND(".",UPPER($EI321)),0)&lt;IFERROR(FIND("E",UPPER($EI321)),999)),ISNUMBER(VALUE($EI321)))),1,2)))</f>
        <v/>
      </c>
      <c r="EK321">
        <f>IF($DM321=0,"",IF($EJ321=1,IF(ISNUMBER($EI321),$EI321,VALUE($EI321)),IF($EJ321=2,$DE321,0)))</f>
        <v/>
      </c>
      <c r="EL321">
        <f>IF($DM321=0,"",COUNTIF($EG$5:$EG$1003,"&lt;"&amp;$EG321)+SUMPRODUCT(($EG$5:$EG$1003=$EG321)*(($EJ$5:$EJ$1003&lt;$EJ321)+($EJ$5:$EJ$1003=$EJ321)*(($EK$5:$EK$1003&lt;$EK321)+($EK$5:$EK$1003=$EK321)*($DE$5:$DE$1003&lt;$DE321))))+1)</f>
        <v/>
      </c>
      <c r="EM321">
        <f>IF($DM321=0,"",$EL321+$EG321-1)</f>
        <v/>
      </c>
      <c r="EN321">
        <f>IF($DM321=0,0,IFERROR(MATCH(1,INDEX(--(TRIM(SUBSTITUTE(SUBSTITUTE(SUBSTITUTE(SUBSTITUTE(LINES_NAME&amp;""," "," "),CHAR(9)," "),CHAR(10)," "),CHAR(13)," "))=$DH321),0),0),0))</f>
        <v/>
      </c>
      <c r="EO321">
        <f>IF($EN321=0,0,IF(OR(UPPER(TRIM(INDEX(LINES_SCHEDULED,$EN321)&amp;""))="YES",UPPER(TRIM(INDEX(LINES_SCHEDULED,$EN321)&amp;""))="Y",UPPER(TRIM(INDEX(LINES_SCHEDULED,$EN321)&amp;""))="X"),1,0))</f>
        <v/>
      </c>
      <c r="EP321">
        <f>IF($DM321=0,"",IF(COUNTIFS($EG$5:$EG$1003,$EG321,$EB$5:$EB$1003,"Ready")&gt;0,"READY",IF(COUNTIFS($EG$5:$EG$1003,$EG321,$EB$5:$EB$1003,"PM")&gt;0,"PM",IF(COUNTIFS($EG$5:$EG$1003,$EG321,$EB$5:$EB$1003,"OT")&gt;0,"OT",""))))</f>
        <v/>
      </c>
      <c r="EQ321">
        <f>IF($EN321=0,"",UPPER(TRIM(INDEX(LINES_STATUS,$EN321)&amp;"")))</f>
        <v/>
      </c>
      <c r="ER321">
        <f>IF($DM321=0,"",IF(OR($EQ321="READY",$EQ321="PM",$EQ321="OT"),$EQ321,$EP321))</f>
        <v/>
      </c>
      <c r="ES321">
        <f>IF($DM321=0,"",IF(AND($DV321&lt;&gt;"",UPPER($DV321)&lt;&gt;"N"),"allergen",IF(ISNUMBER(SEARCH("oil",$DQ321)),"oil",IF(OR(EXACT($DS321,"A662"),EXACT($DS321,"A624")),"bulk",""))))</f>
        <v/>
      </c>
      <c r="ET321">
        <f>IF($DM321=0,"",IF(OR($EA321="",$EA321=0),"",$EA321/100))</f>
        <v/>
      </c>
      <c r="EU321">
        <f>IF(OR($ET321="",$DY321=""),"",INT($DY321*(1-$ET321)+0.5))</f>
        <v/>
      </c>
      <c r="EW321" t="n">
        <v>317</v>
      </c>
      <c r="EX321">
        <f>IFERROR(MATCH($EW321,$EM$5:$EM$1003,0),0)</f>
        <v/>
      </c>
      <c r="EY321">
        <f>IF($EW321&gt;$B$12,"",IF($EX321&gt;0,"row","spacer"))</f>
        <v/>
      </c>
      <c r="EZ321">
        <f>IF(AND($EY321="row",$EY320&lt;&gt;"row"),1,0)</f>
        <v/>
      </c>
      <c r="FA321">
        <f>IF(AND($EY321="row",$EY322&lt;&gt;"row"),1,0)</f>
        <v/>
      </c>
      <c r="FB321">
        <f>IF($EZ321=1,IFERROR(IF(ISNUMBER(INDEX(PASTE_ALL,INDEX($DF$5:$DF$1003,$EX321),$B$37)),INDEX(PASTE_ALL,INDEX($DF$5:$DF$1003,$EX321),$B$37),INDEX($DH$5:$DH$1003,$EX321)),INDEX($DH$5:$DH$1003,$EX321)),"")</f>
        <v/>
      </c>
      <c r="FC321">
        <f>IF($EY321="row",INDEX($ER$5:$ER$1003,$EX321),"")</f>
        <v/>
      </c>
      <c r="FD321">
        <f>IF($EY321="row",INDEX($DN$5:$DN$1003,$EX321),"")</f>
        <v/>
      </c>
      <c r="FE321">
        <f>IF($EY321="row",INDEX($DO$5:$DO$1003,$EX321),"")</f>
        <v/>
      </c>
      <c r="FF321">
        <f>IF($EY321="row",INDEX($DP$5:$DP$1003,$EX321),"")</f>
        <v/>
      </c>
      <c r="FG321">
        <f>IF($EY321="row",INDEX($DQ$5:$DQ$1003,$EX321),"")</f>
        <v/>
      </c>
      <c r="FH321">
        <f>IF($EY321="row",INDEX($DR$5:$DR$1003,$EX321),"")</f>
        <v/>
      </c>
      <c r="FI321">
        <f>IF($EY321="row",INDEX($DS$5:$DS$1003,$EX321),"")</f>
        <v/>
      </c>
      <c r="FJ321">
        <f>IF($EY321="row",INDEX($DT$5:$DT$1003,$EX321),"")</f>
        <v/>
      </c>
      <c r="FK321">
        <f>IF($EY321="row",INDEX($DU$5:$DU$1003,$EX321),"")</f>
        <v/>
      </c>
      <c r="FL321">
        <f>IF($EY321="row",INDEX($DV$5:$DV$1003,$EX321),"")</f>
        <v/>
      </c>
      <c r="FM321">
        <f>IF($EY321="row",INDEX($DW$5:$DW$1003,$EX321),"")</f>
        <v/>
      </c>
      <c r="FN321">
        <f>IF($EY321="row",INDEX($DY$5:$DY$1003,$EX321),"")</f>
        <v/>
      </c>
      <c r="FO321">
        <f>IF($EY321="row",INDEX($EA$5:$EA$1003,$EX321),"")</f>
        <v/>
      </c>
      <c r="FP321">
        <f>IF($EY321="row",INDEX($EC$5:$EC$1003,$EX321),"")</f>
        <v/>
      </c>
      <c r="FQ321">
        <f>IF($EY321="row",INDEX($ET$5:$ET$1003,$EX321),"")</f>
        <v/>
      </c>
      <c r="FR321">
        <f>IF($EY321="row",INDEX($EU$5:$EU$1003,$EX321),"")</f>
        <v/>
      </c>
      <c r="FS321">
        <f>IF(AND($EY321="row",$EY320="row"),IF(OR(INDEX($DT$5:$DT$1003,$EX320)="",INDEX($DT$5:$DT$1003,$EX321)=""),"",IF(NOT(EXACT(INDEX($DT$5:$DT$1003,$EX320),INDEX($DT$5:$DT$1003,$EX321))),"S4",IF(NOT(EXACT(INDEX($DS$5:$DS$1003,$EX320),INDEX($DS$5:$DS$1003,$EX321))),"S3",IF(NOT(EXACT(INDEX($DR$5:$DR$1003,$EX320),INDEX($DR$5:$DR$1003,$EX321))),"S1 Count Change","S1")))),"")</f>
        <v/>
      </c>
      <c r="FT321">
        <f>IF($EY321="row",INDEX($ES$5:$ES$1003,$EX321),"")</f>
        <v/>
      </c>
      <c r="FU321">
        <f>IF($EY321="row",INDEX($EO$5:$EO$1003,$EX321),0)</f>
        <v/>
      </c>
      <c r="FV321">
        <f>IF($FS321="S1 Count Change",1,0)</f>
        <v/>
      </c>
    </row>
    <row r="322">
      <c r="DA322" t="n">
        <v>318</v>
      </c>
      <c r="DB322">
        <f>IF($B$37=0,"",IFERROR(TRIM(SUBSTITUTE(SUBSTITUTE(SUBSTITUTE(SUBSTITUTE(INDEX(PASTE_ALL,318,$B$37)," "," "),CHAR(9)," "),CHAR(10)," "),CHAR(13)," ")),""))</f>
        <v/>
      </c>
      <c r="DC322">
        <f>IF(AND(318&gt;HEADER_ROW,UPPER(DB322)="LEGEND"),1,0)</f>
        <v/>
      </c>
      <c r="DE322" t="n">
        <v>318</v>
      </c>
      <c r="DF322">
        <f>HEADER_ROW+$DE322</f>
        <v/>
      </c>
      <c r="DG322">
        <f>IF(AND($DF322&lt;=1000,$DF322&lt;$B$8),1,0)</f>
        <v/>
      </c>
      <c r="DH322">
        <f>IF($DG322=1,IFERROR(INDEX($DB$5:$DB$1004,$DF322),""),"")</f>
        <v/>
      </c>
      <c r="DI322">
        <f>IF(AND($DG322=1,$DH322&lt;&gt;""),IFERROR(SUBSTITUTE(SUBSTITUTE(TRIM(SUBSTITUTE(SUBSTITUTE(SUBSTITUTE(SUBSTITUTE(IFERROR(INDEX(PASTE_ALL,$DF322,1)&amp;"","")&amp;"␟"&amp;IFERROR(INDEX(PASTE_ALL,$DF322,2)&amp;"","")&amp;"␟"&amp;IFERROR(INDEX(PASTE_ALL,$DF322,3)&amp;"","")&amp;"␟"&amp;IFERROR(INDEX(PASTE_ALL,$DF322,4)&amp;"","")&amp;"␟"&amp;IFERROR(INDEX(PASTE_ALL,$DF322,5)&amp;"","")&amp;"␟"&amp;IFERROR(INDEX(PASTE_ALL,$DF322,6)&amp;"","")&amp;"␟"&amp;IFERROR(INDEX(PASTE_ALL,$DF322,7)&amp;"","")&amp;"␟"&amp;IFERROR(INDEX(PASTE_ALL,$DF322,8)&amp;"","")&amp;"␟"&amp;IFERROR(INDEX(PASTE_ALL,$DF322,9)&amp;"","")&amp;"␟"&amp;IFERROR(INDEX(PASTE_ALL,$DF322,10)&amp;"","")&amp;"␟"&amp;IFERROR(INDEX(PASTE_ALL,$DF322,11)&amp;"","")&amp;"␟"&amp;IFERROR(INDEX(PASTE_ALL,$DF322,12)&amp;"","")&amp;"␟"&amp;IFERROR(INDEX(PASTE_ALL,$DF322,13)&amp;"","")&amp;"␟"&amp;IFERROR(INDEX(PASTE_ALL,$DF322,14)&amp;"","")&amp;"␟"&amp;IFERROR(INDEX(PASTE_ALL,$DF322,15)&amp;"","")&amp;"␟"&amp;IFERROR(INDEX(PASTE_ALL,$DF322,16)&amp;"","")&amp;"␟"&amp;IFERROR(INDEX(PASTE_ALL,$DF322,17)&amp;"","")&amp;"␟"&amp;IFERROR(INDEX(PASTE_ALL,$DF322,18)&amp;"","")&amp;"␟"&amp;IFERROR(INDEX(PASTE_ALL,$DF322,19)&amp;"","")&amp;"␟"&amp;IFERROR(INDEX(PASTE_ALL,$DF322,20)&amp;"","")&amp;"␟"&amp;IFERROR(INDEX(PASTE_ALL,$DF322,21)&amp;"","")&amp;"␟"&amp;IFERROR(INDEX(PASTE_ALL,$DF322,22)&amp;"","")&amp;"␟"&amp;IFERROR(INDEX(PASTE_ALL,$DF322,23)&amp;"","")&amp;"␟"&amp;IFERROR(INDEX(PASTE_ALL,$DF322,24)&amp;"","")&amp;"␟"&amp;IFERROR(INDEX(PASTE_ALL,$DF322,25)&amp;"","")&amp;"␟"&amp;IFERROR(INDEX(PASTE_ALL,$DF322,26)&amp;"","")&amp;"␟"&amp;IFERROR(INDEX(PASTE_ALL,$DF322,27)&amp;"","")&amp;"␟"&amp;IFERROR(INDEX(PASTE_ALL,$DF322,28)&amp;"","")&amp;"␟"&amp;IFERROR(INDEX(PASTE_ALL,$DF322,29)&amp;"","")&amp;"␟"&amp;IFERROR(INDEX(PASTE_ALL,$DF322,30)&amp;"","")&amp;"␟"&amp;IFERROR(INDEX(PASTE_ALL,$DF322,31)&amp;"","")&amp;"␟"&amp;IFERROR(INDEX(PASTE_ALL,$DF322,32)&amp;"","")&amp;"␟"&amp;IFERROR(INDEX(PASTE_ALL,$DF322,33)&amp;"","")&amp;"␟"&amp;IFERROR(INDEX(PASTE_ALL,$DF322,34)&amp;"","")&amp;"␟"&amp;IFERROR(INDEX(PASTE_ALL,$DF322,35)&amp;"","")&amp;"␟"&amp;IFERROR(INDEX(PASTE_ALL,$DF322,36)&amp;"","")&amp;"␟"&amp;IFERROR(INDEX(PASTE_ALL,$DF322,37)&amp;"","")&amp;"␟"&amp;IFERROR(INDEX(PASTE_ALL,$DF322,38)&amp;"","")&amp;"␟"&amp;IFERROR(INDEX(PASTE_ALL,$DF322,39)&amp;"","")&amp;"␟"&amp;IFERROR(INDEX(PASTE_ALL,$DF322,40)&amp;"","")&amp;"␟"&amp;IFERROR(INDEX(PASTE_ALL,$DF322,41)&amp;"","")&amp;"␟"&amp;IFERROR(INDEX(PASTE_ALL,$DF322,42)&amp;"","")&amp;"␟"&amp;IFERROR(INDEX(PASTE_ALL,$DF322,43)&amp;"","")&amp;"␟"&amp;IFERROR(INDEX(PASTE_ALL,$DF322,44)&amp;"","")&amp;"␟"&amp;IFERROR(INDEX(PASTE_ALL,$DF322,45)&amp;"","")&amp;"␟"&amp;IFERROR(INDEX(PASTE_ALL,$DF322,46)&amp;"","")&amp;"␟"&amp;IFERROR(INDEX(PASTE_ALL,$DF322,47)&amp;"","")&amp;"␟"&amp;IFERROR(INDEX(PASTE_ALL,$DF322,48)&amp;"","")&amp;"␟"&amp;IFERROR(INDEX(PASTE_ALL,$DF322,49)&amp;"","")&amp;"␟"&amp;IFERROR(INDEX(PASTE_ALL,$DF322,50)&amp;"","")&amp;"␟"&amp;IFERROR(INDEX(PASTE_ALL,$DF322,51)&amp;"","")&amp;"␟"&amp;IFERROR(INDEX(PASTE_ALL,$DF322,52)&amp;"","")&amp;"␟"&amp;IFERROR(INDEX(PASTE_ALL,$DF322,53)&amp;"","")&amp;"␟"&amp;IFERROR(INDEX(PASTE_ALL,$DF322,54)&amp;"","")&amp;"␟"&amp;IFERROR(INDEX(PASTE_ALL,$DF322,55)&amp;"","")&amp;"␟"&amp;IFERROR(INDEX(PASTE_ALL,$DF322,56)&amp;"","")&amp;"␟"&amp;IFERROR(INDEX(PASTE_ALL,$DF322,57)&amp;"","")&amp;"␟"&amp;IFERROR(INDEX(PASTE_ALL,$DF322,58)&amp;"","")&amp;"␟"&amp;IFERROR(INDEX(PASTE_ALL,$DF322,59)&amp;"","")&amp;"␟"&amp;IFERROR(INDEX(PASTE_ALL,$DF322,60)&amp;"","")," "," "),CHAR(9)," "),CHAR(10)," "),CHAR(13)," "))," ␟","␟"),"␟ ","␟"),"#"&amp;$DE322),"")</f>
        <v/>
      </c>
      <c r="DJ322">
        <f>IF($DI322="",0,IF(SUMPRODUCT(--EXACT($DI$4:DI321,$DI322))&gt;0,1,0))</f>
        <v/>
      </c>
      <c r="DK322">
        <f>IF(AND($DI322&lt;&gt;"",$DJ322=0),1,0)</f>
        <v/>
      </c>
      <c r="DL322">
        <f>DL321+$DK322</f>
        <v/>
      </c>
      <c r="DM322">
        <f>IF(AND($DK322=1,$DL322&lt;=600),1,0)</f>
        <v/>
      </c>
      <c r="DN322">
        <f>IF($DM322=0,"",IF($L$6=0,"",IFERROR(IF(ISNUMBER(INDEX(PASTE_ALL,$DF322,$L$6)),INDEX(PASTE_ALL,$DF322,$L$6),TRIM(SUBSTITUTE(SUBSTITUTE(SUBSTITUTE(SUBSTITUTE(INDEX(PASTE_ALL,$DF322,$L$6)," "," "),CHAR(9)," "),CHAR(10)," "),CHAR(13)," "))),"")))</f>
        <v/>
      </c>
      <c r="DO322">
        <f>IF($DM322=0,"",IF($L$7=0,"",IFERROR(IF(ISNUMBER(INDEX(PASTE_ALL,$DF322,$L$7)),INDEX(PASTE_ALL,$DF322,$L$7),TRIM(SUBSTITUTE(SUBSTITUTE(SUBSTITUTE(SUBSTITUTE(INDEX(PASTE_ALL,$DF322,$L$7)," "," "),CHAR(9)," "),CHAR(10)," "),CHAR(13)," "))),"")))</f>
        <v/>
      </c>
      <c r="DP322">
        <f>IF($DM322=0,"",IF($L$8=0,"",IFERROR(IF(ISNUMBER(INDEX(PASTE_ALL,$DF322,$L$8)),INDEX(PASTE_ALL,$DF322,$L$8),TRIM(SUBSTITUTE(SUBSTITUTE(SUBSTITUTE(SUBSTITUTE(INDEX(PASTE_ALL,$DF322,$L$8)," "," "),CHAR(9)," "),CHAR(10)," "),CHAR(13)," "))),"")))</f>
        <v/>
      </c>
      <c r="DQ322">
        <f>IF($DM322=0,"",IF($L$9=0,"",IFERROR(IF(ISNUMBER(INDEX(PASTE_ALL,$DF322,$L$9)),INDEX(PASTE_ALL,$DF322,$L$9),TRIM(SUBSTITUTE(SUBSTITUTE(SUBSTITUTE(SUBSTITUTE(INDEX(PASTE_ALL,$DF322,$L$9)," "," "),CHAR(9)," "),CHAR(10)," "),CHAR(13)," "))),"")))</f>
        <v/>
      </c>
      <c r="DR322">
        <f>IF($DM322=0,"",IF($L$10=0,"",IFERROR(IF(ISNUMBER(INDEX(PASTE_ALL,$DF322,$L$10)),INDEX(PASTE_ALL,$DF322,$L$10),TRIM(SUBSTITUTE(SUBSTITUTE(SUBSTITUTE(SUBSTITUTE(INDEX(PASTE_ALL,$DF322,$L$10)," "," "),CHAR(9)," "),CHAR(10)," "),CHAR(13)," "))),"")))</f>
        <v/>
      </c>
      <c r="DS322">
        <f>IF($DM322=0,"",IF($L$11=0,"",IFERROR(IF(ISNUMBER(INDEX(PASTE_ALL,$DF322,$L$11)),INDEX(PASTE_ALL,$DF322,$L$11),TRIM(SUBSTITUTE(SUBSTITUTE(SUBSTITUTE(SUBSTITUTE(INDEX(PASTE_ALL,$DF322,$L$11)," "," "),CHAR(9)," "),CHAR(10)," "),CHAR(13)," "))),"")))</f>
        <v/>
      </c>
      <c r="DT322">
        <f>IF($DM322=0,"",IF($L$12=0,"",IFERROR(IF(ISNUMBER(INDEX(PASTE_ALL,$DF322,$L$12)),INDEX(PASTE_ALL,$DF322,$L$12),TRIM(SUBSTITUTE(SUBSTITUTE(SUBSTITUTE(SUBSTITUTE(INDEX(PASTE_ALL,$DF322,$L$12)," "," "),CHAR(9)," "),CHAR(10)," "),CHAR(13)," "))),"")))</f>
        <v/>
      </c>
      <c r="DU322">
        <f>IF($DM322=0,"",IF($L$13=0,"",IFERROR(IF(ISNUMBER(INDEX(PASTE_ALL,$DF322,$L$13)),INDEX(PASTE_ALL,$DF322,$L$13),TRIM(SUBSTITUTE(SUBSTITUTE(SUBSTITUTE(SUBSTITUTE(INDEX(PASTE_ALL,$DF322,$L$13)," "," "),CHAR(9)," "),CHAR(10)," "),CHAR(13)," "))),"")))</f>
        <v/>
      </c>
      <c r="DV322">
        <f>IF($DM322=0,"",IF($L$14=0,"",IFERROR(IF(ISNUMBER(INDEX(PASTE_ALL,$DF322,$L$14)),INDEX(PASTE_ALL,$DF322,$L$14),TRIM(SUBSTITUTE(SUBSTITUTE(SUBSTITUTE(SUBSTITUTE(INDEX(PASTE_ALL,$DF322,$L$14)," "," "),CHAR(9)," "),CHAR(10)," "),CHAR(13)," "))),"")))</f>
        <v/>
      </c>
      <c r="DW322">
        <f>IF($DM322=0,"",IF($L$15=0,"",IFERROR(IF(ISNUMBER(INDEX(PASTE_ALL,$DF322,$L$15)),INDEX(PASTE_ALL,$DF322,$L$15),IF(SUMPRODUCT(--ISNUMBER(FIND({"A","B","C","D","E","F","G","H","I","J","K","L","M","N","O","P","Q","R","S","T","U","V","W","X","Y","Z","0","1","2","3","4","5","6","7","8","9"},UPPER(TRIM(SUBSTITUTE(SUBSTITUTE(SUBSTITUTE(SUBSTITUTE(INDEX(PASTE_ALL,$DF322,$L$15)," "," "),CHAR(9)," "),CHAR(10)," "),CHAR(13)," "))))))&gt;0,TRIM(SUBSTITUTE(SUBSTITUTE(SUBSTITUTE(SUBSTITUTE(INDEX(PASTE_ALL,$DF322,$L$15)," "," "),CHAR(9)," "),CHAR(10)," "),CHAR(13)," ")),"")),"")))</f>
        <v/>
      </c>
      <c r="DX322">
        <f>IF($DM322=0,"",IF($L$16=0,"",IFERROR(IF(ISNUMBER(INDEX(PASTE_ALL,$DF322,$L$16)),INDEX(PASTE_ALL,$DF322,$L$16),SUBSTITUTE(SUBSTITUTE(TRIM(SUBSTITUTE(SUBSTITUTE(SUBSTITUTE(SUBSTITUTE(INDEX(PASTE_ALL,$DF322,$L$16)," "," "),CHAR(9)," "),CHAR(10)," "),CHAR(13)," ")),",",""),"%","")),"")))</f>
        <v/>
      </c>
      <c r="DY322">
        <f>IF($DM322=0,"",IFERROR(IF(ISNUMBER($DX322),$DX322,IF($DX322="","",IF(TRIM($DX322)="",0,IF(AND(AND(SUBSTITUTE(SUBSTITUTE(SUBSTITUTE(SUBSTITUTE(SUBSTITUTE(SUBSTITUTE(SUBSTITUTE(SUBSTITUTE(SUBSTITUTE(SUBSTITUTE(SUBSTITUTE(SUBSTITUTE(SUBSTITUTE(SUBSTITUTE(UPPER(TRIM($DX322)),"0",""),"1",""),"2",""),"3",""),"4",""),"5",""),"6",""),"7",""),"8",""),"9",""),".",""),"+",""),"-",""),"E","")="",LEN(SUBSTITUTE(SUBSTITUTE(MID(UPPER(TRIM($DX322)),1+OR(LEFT(UPPER(TRIM($DX322)),1)="+",LEFT(UPPER(TRIM($DX322)),1)="-"),999),"E+","E"),"E-","E"))=LEN(SUBSTITUTE(SUBSTITUTE(SUBSTITUTE(SUBSTITUTE(MID(UPPER(TRIM($DX322)),1+OR(LEFT(UPPER(TRIM($DX322)),1)="+",LEFT(UPPER(TRIM($DX322)),1)="-"),999),"E+","E"),"E-","E"),"+",""),"-","")),LEN(UPPER(TRIM($DX322)))-LEN(SUBSTITUTE(UPPER(TRIM($DX322)),"E",""))&lt;2,LEN(UPPER(TRIM($DX322)))-LEN(SUBSTITUTE(UPPER(TRIM($DX322)),".",""))&lt;2,IFERROR(FIND(".",UPPER(TRIM($DX322))),0)&lt;IFERROR(FIND("E",UPPER(TRIM($DX322))),999)),ISNUMBER(VALUE(TRIM($DX322)))),VALUE(TRIM($DX322)),"")))),""))</f>
        <v/>
      </c>
      <c r="DZ322">
        <f>IF($DM322=0,"",IF($L$17=0,"",IFERROR(IF(ISNUMBER(INDEX(PASTE_ALL,$DF322,$L$17)),INDEX(PASTE_ALL,$DF322,$L$17),SUBSTITUTE(SUBSTITUTE(TRIM(SUBSTITUTE(SUBSTITUTE(SUBSTITUTE(SUBSTITUTE(INDEX(PASTE_ALL,$DF322,$L$17)," "," "),CHAR(9)," "),CHAR(10)," "),CHAR(13)," ")),",",""),"%","")),"")))</f>
        <v/>
      </c>
      <c r="EA322">
        <f>IF($DM322=0,"",IFERROR(IF(ISNUMBER($DZ322),$DZ322,IF($DZ322="","",IF(TRIM($DZ322)="",0,IF(AND(AND(SUBSTITUTE(SUBSTITUTE(SUBSTITUTE(SUBSTITUTE(SUBSTITUTE(SUBSTITUTE(SUBSTITUTE(SUBSTITUTE(SUBSTITUTE(SUBSTITUTE(SUBSTITUTE(SUBSTITUTE(SUBSTITUTE(SUBSTITUTE(UPPER(TRIM($DZ322)),"0",""),"1",""),"2",""),"3",""),"4",""),"5",""),"6",""),"7",""),"8",""),"9",""),".",""),"+",""),"-",""),"E","")="",LEN(SUBSTITUTE(SUBSTITUTE(MID(UPPER(TRIM($DZ322)),1+OR(LEFT(UPPER(TRIM($DZ322)),1)="+",LEFT(UPPER(TRIM($DZ322)),1)="-"),999),"E+","E"),"E-","E"))=LEN(SUBSTITUTE(SUBSTITUTE(SUBSTITUTE(SUBSTITUTE(MID(UPPER(TRIM($DZ322)),1+OR(LEFT(UPPER(TRIM($DZ322)),1)="+",LEFT(UPPER(TRIM($DZ322)),1)="-"),999),"E+","E"),"E-","E"),"+",""),"-","")),LEN(UPPER(TRIM($DZ322)))-LEN(SUBSTITUTE(UPPER(TRIM($DZ322)),"E",""))&lt;2,LEN(UPPER(TRIM($DZ322)))-LEN(SUBSTITUTE(UPPER(TRIM($DZ322)),".",""))&lt;2,IFERROR(FIND(".",UPPER(TRIM($DZ322))),0)&lt;IFERROR(FIND("E",UPPER(TRIM($DZ322))),999)),ISNUMBER(VALUE(TRIM($DZ322)))),VALUE(TRIM($DZ322)),"")))),""))</f>
        <v/>
      </c>
      <c r="EB322">
        <f>IF($DM322=0,"",IF($L$18=0,"",IFERROR(IF(UPPER(TRIM(SUBSTITUTE(SUBSTITUTE(SUBSTITUTE(SUBSTITUTE(INDEX(PASTE_ALL,$DF322,$L$18)," "," "),CHAR(9)," "),CHAR(10)," "),CHAR(13)," ")))="READY","Ready",IF(UPPER(TRIM(SUBSTITUTE(SUBSTITUTE(SUBSTITUTE(SUBSTITUTE(INDEX(PASTE_ALL,$DF322,$L$18)," "," "),CHAR(9)," "),CHAR(10)," "),CHAR(13)," ")))="PM","PM",IF(OR(UPPER(TRIM(SUBSTITUTE(SUBSTITUTE(SUBSTITUTE(SUBSTITUTE(INDEX(PASTE_ALL,$DF322,$L$18)," "," "),CHAR(9)," "),CHAR(10)," "),CHAR(13)," ")))="OT",UPPER(TRIM(SUBSTITUTE(SUBSTITUTE(SUBSTITUTE(SUBSTITUTE(INDEX(PASTE_ALL,$DF322,$L$18)," "," "),CHAR(9)," "),CHAR(10)," "),CHAR(13)," ")))="OVERTIME",UPPER(TRIM(SUBSTITUTE(SUBSTITUTE(SUBSTITUTE(SUBSTITUTE(INDEX(PASTE_ALL,$DF322,$L$18)," "," "),CHAR(9)," "),CHAR(10)," "),CHAR(13)," ")))="TRIAL"),"OT",TRIM(SUBSTITUTE(SUBSTITUTE(SUBSTITUTE(SUBSTITUTE(INDEX(PASTE_ALL,$DF322,$L$18)," "," "),CHAR(9)," "),CHAR(10)," "),CHAR(13)," "))))),"")))</f>
        <v/>
      </c>
      <c r="EC322">
        <f>IF($DM322=0,"",IF($L$19=0,"",IFERROR(IF(ISNUMBER(INDEX(PASTE_ALL,$DF322,$L$19)),INDEX(PASTE_ALL,$DF322,$L$19),TRIM(SUBSTITUTE(SUBSTITUTE(SUBSTITUTE(SUBSTITUTE(INDEX(PASTE_ALL,$DF322,$L$19)," "," "),CHAR(9)," "),CHAR(10)," "),CHAR(13)," "))),"")))</f>
        <v/>
      </c>
      <c r="ED322">
        <f>IF($DM322=0,"",MATCH(1,INDEX(EXACT($DH$5:DH322,$DH322)*$DM$5:DM322,0),0))</f>
        <v/>
      </c>
      <c r="EE322">
        <f>IF($DM322=0,0,IF($ED322=$DE322,1,0))</f>
        <v/>
      </c>
      <c r="EF322">
        <f>EF321+$EE322</f>
        <v/>
      </c>
      <c r="EG322">
        <f>IF($DM322=0,"",INDEX($EF$5:$EF$1003,$ED322))</f>
        <v/>
      </c>
      <c r="EH322">
        <f>IF($DM322=0,"",IF($DO322&lt;&gt;"","",IFERROR(LOOKUP(2,1/(($EG$4:EG321=$EG322)*($DO$4:DO321&lt;&gt;"")),$DO$4:DO321),"")))</f>
        <v/>
      </c>
      <c r="EI322">
        <f>IF($DM322=0,"",IF($DO322&lt;&gt;"",$DO322,$EH322))</f>
        <v/>
      </c>
      <c r="EJ322">
        <f>IF($DM322=0,"",IF($EI322="",0,IF(OR(ISNUMBER($EI322),AND(AND(SUBSTITUTE(SUBSTITUTE(SUBSTITUTE(SUBSTITUTE(SUBSTITUTE(SUBSTITUTE(SUBSTITUTE(SUBSTITUTE(SUBSTITUTE(SUBSTITUTE(SUBSTITUTE(SUBSTITUTE(SUBSTITUTE(SUBSTITUTE(UPPER($EI322),"0",""),"1",""),"2",""),"3",""),"4",""),"5",""),"6",""),"7",""),"8",""),"9",""),".",""),"+",""),"-",""),"E","")="",LEN(SUBSTITUTE(SUBSTITUTE(MID(UPPER($EI322),1+OR(LEFT(UPPER($EI322),1)="+",LEFT(UPPER($EI322),1)="-"),999),"E+","E"),"E-","E"))=LEN(SUBSTITUTE(SUBSTITUTE(SUBSTITUTE(SUBSTITUTE(MID(UPPER($EI322),1+OR(LEFT(UPPER($EI322),1)="+",LEFT(UPPER($EI322),1)="-"),999),"E+","E"),"E-","E"),"+",""),"-","")),LEN(UPPER($EI322))-LEN(SUBSTITUTE(UPPER($EI322),"E",""))&lt;2,LEN(UPPER($EI322))-LEN(SUBSTITUTE(UPPER($EI322),".",""))&lt;2,IFERROR(FIND(".",UPPER($EI322)),0)&lt;IFERROR(FIND("E",UPPER($EI322)),999)),ISNUMBER(VALUE($EI322)))),1,2)))</f>
        <v/>
      </c>
      <c r="EK322">
        <f>IF($DM322=0,"",IF($EJ322=1,IF(ISNUMBER($EI322),$EI322,VALUE($EI322)),IF($EJ322=2,$DE322,0)))</f>
        <v/>
      </c>
      <c r="EL322">
        <f>IF($DM322=0,"",COUNTIF($EG$5:$EG$1003,"&lt;"&amp;$EG322)+SUMPRODUCT(($EG$5:$EG$1003=$EG322)*(($EJ$5:$EJ$1003&lt;$EJ322)+($EJ$5:$EJ$1003=$EJ322)*(($EK$5:$EK$1003&lt;$EK322)+($EK$5:$EK$1003=$EK322)*($DE$5:$DE$1003&lt;$DE322))))+1)</f>
        <v/>
      </c>
      <c r="EM322">
        <f>IF($DM322=0,"",$EL322+$EG322-1)</f>
        <v/>
      </c>
      <c r="EN322">
        <f>IF($DM322=0,0,IFERROR(MATCH(1,INDEX(--(TRIM(SUBSTITUTE(SUBSTITUTE(SUBSTITUTE(SUBSTITUTE(LINES_NAME&amp;""," "," "),CHAR(9)," "),CHAR(10)," "),CHAR(13)," "))=$DH322),0),0),0))</f>
        <v/>
      </c>
      <c r="EO322">
        <f>IF($EN322=0,0,IF(OR(UPPER(TRIM(INDEX(LINES_SCHEDULED,$EN322)&amp;""))="YES",UPPER(TRIM(INDEX(LINES_SCHEDULED,$EN322)&amp;""))="Y",UPPER(TRIM(INDEX(LINES_SCHEDULED,$EN322)&amp;""))="X"),1,0))</f>
        <v/>
      </c>
      <c r="EP322">
        <f>IF($DM322=0,"",IF(COUNTIFS($EG$5:$EG$1003,$EG322,$EB$5:$EB$1003,"Ready")&gt;0,"READY",IF(COUNTIFS($EG$5:$EG$1003,$EG322,$EB$5:$EB$1003,"PM")&gt;0,"PM",IF(COUNTIFS($EG$5:$EG$1003,$EG322,$EB$5:$EB$1003,"OT")&gt;0,"OT",""))))</f>
        <v/>
      </c>
      <c r="EQ322">
        <f>IF($EN322=0,"",UPPER(TRIM(INDEX(LINES_STATUS,$EN322)&amp;"")))</f>
        <v/>
      </c>
      <c r="ER322">
        <f>IF($DM322=0,"",IF(OR($EQ322="READY",$EQ322="PM",$EQ322="OT"),$EQ322,$EP322))</f>
        <v/>
      </c>
      <c r="ES322">
        <f>IF($DM322=0,"",IF(AND($DV322&lt;&gt;"",UPPER($DV322)&lt;&gt;"N"),"allergen",IF(ISNUMBER(SEARCH("oil",$DQ322)),"oil",IF(OR(EXACT($DS322,"A662"),EXACT($DS322,"A624")),"bulk",""))))</f>
        <v/>
      </c>
      <c r="ET322">
        <f>IF($DM322=0,"",IF(OR($EA322="",$EA322=0),"",$EA322/100))</f>
        <v/>
      </c>
      <c r="EU322">
        <f>IF(OR($ET322="",$DY322=""),"",INT($DY322*(1-$ET322)+0.5))</f>
        <v/>
      </c>
      <c r="EW322" t="n">
        <v>318</v>
      </c>
      <c r="EX322">
        <f>IFERROR(MATCH($EW322,$EM$5:$EM$1003,0),0)</f>
        <v/>
      </c>
      <c r="EY322">
        <f>IF($EW322&gt;$B$12,"",IF($EX322&gt;0,"row","spacer"))</f>
        <v/>
      </c>
      <c r="EZ322">
        <f>IF(AND($EY322="row",$EY321&lt;&gt;"row"),1,0)</f>
        <v/>
      </c>
      <c r="FA322">
        <f>IF(AND($EY322="row",$EY323&lt;&gt;"row"),1,0)</f>
        <v/>
      </c>
      <c r="FB322">
        <f>IF($EZ322=1,IFERROR(IF(ISNUMBER(INDEX(PASTE_ALL,INDEX($DF$5:$DF$1003,$EX322),$B$37)),INDEX(PASTE_ALL,INDEX($DF$5:$DF$1003,$EX322),$B$37),INDEX($DH$5:$DH$1003,$EX322)),INDEX($DH$5:$DH$1003,$EX322)),"")</f>
        <v/>
      </c>
      <c r="FC322">
        <f>IF($EY322="row",INDEX($ER$5:$ER$1003,$EX322),"")</f>
        <v/>
      </c>
      <c r="FD322">
        <f>IF($EY322="row",INDEX($DN$5:$DN$1003,$EX322),"")</f>
        <v/>
      </c>
      <c r="FE322">
        <f>IF($EY322="row",INDEX($DO$5:$DO$1003,$EX322),"")</f>
        <v/>
      </c>
      <c r="FF322">
        <f>IF($EY322="row",INDEX($DP$5:$DP$1003,$EX322),"")</f>
        <v/>
      </c>
      <c r="FG322">
        <f>IF($EY322="row",INDEX($DQ$5:$DQ$1003,$EX322),"")</f>
        <v/>
      </c>
      <c r="FH322">
        <f>IF($EY322="row",INDEX($DR$5:$DR$1003,$EX322),"")</f>
        <v/>
      </c>
      <c r="FI322">
        <f>IF($EY322="row",INDEX($DS$5:$DS$1003,$EX322),"")</f>
        <v/>
      </c>
      <c r="FJ322">
        <f>IF($EY322="row",INDEX($DT$5:$DT$1003,$EX322),"")</f>
        <v/>
      </c>
      <c r="FK322">
        <f>IF($EY322="row",INDEX($DU$5:$DU$1003,$EX322),"")</f>
        <v/>
      </c>
      <c r="FL322">
        <f>IF($EY322="row",INDEX($DV$5:$DV$1003,$EX322),"")</f>
        <v/>
      </c>
      <c r="FM322">
        <f>IF($EY322="row",INDEX($DW$5:$DW$1003,$EX322),"")</f>
        <v/>
      </c>
      <c r="FN322">
        <f>IF($EY322="row",INDEX($DY$5:$DY$1003,$EX322),"")</f>
        <v/>
      </c>
      <c r="FO322">
        <f>IF($EY322="row",INDEX($EA$5:$EA$1003,$EX322),"")</f>
        <v/>
      </c>
      <c r="FP322">
        <f>IF($EY322="row",INDEX($EC$5:$EC$1003,$EX322),"")</f>
        <v/>
      </c>
      <c r="FQ322">
        <f>IF($EY322="row",INDEX($ET$5:$ET$1003,$EX322),"")</f>
        <v/>
      </c>
      <c r="FR322">
        <f>IF($EY322="row",INDEX($EU$5:$EU$1003,$EX322),"")</f>
        <v/>
      </c>
      <c r="FS322">
        <f>IF(AND($EY322="row",$EY321="row"),IF(OR(INDEX($DT$5:$DT$1003,$EX321)="",INDEX($DT$5:$DT$1003,$EX322)=""),"",IF(NOT(EXACT(INDEX($DT$5:$DT$1003,$EX321),INDEX($DT$5:$DT$1003,$EX322))),"S4",IF(NOT(EXACT(INDEX($DS$5:$DS$1003,$EX321),INDEX($DS$5:$DS$1003,$EX322))),"S3",IF(NOT(EXACT(INDEX($DR$5:$DR$1003,$EX321),INDEX($DR$5:$DR$1003,$EX322))),"S1 Count Change","S1")))),"")</f>
        <v/>
      </c>
      <c r="FT322">
        <f>IF($EY322="row",INDEX($ES$5:$ES$1003,$EX322),"")</f>
        <v/>
      </c>
      <c r="FU322">
        <f>IF($EY322="row",INDEX($EO$5:$EO$1003,$EX322),0)</f>
        <v/>
      </c>
      <c r="FV322">
        <f>IF($FS322="S1 Count Change",1,0)</f>
        <v/>
      </c>
    </row>
    <row r="323">
      <c r="DA323" t="n">
        <v>319</v>
      </c>
      <c r="DB323">
        <f>IF($B$37=0,"",IFERROR(TRIM(SUBSTITUTE(SUBSTITUTE(SUBSTITUTE(SUBSTITUTE(INDEX(PASTE_ALL,319,$B$37)," "," "),CHAR(9)," "),CHAR(10)," "),CHAR(13)," ")),""))</f>
        <v/>
      </c>
      <c r="DC323">
        <f>IF(AND(319&gt;HEADER_ROW,UPPER(DB323)="LEGEND"),1,0)</f>
        <v/>
      </c>
      <c r="DE323" t="n">
        <v>319</v>
      </c>
      <c r="DF323">
        <f>HEADER_ROW+$DE323</f>
        <v/>
      </c>
      <c r="DG323">
        <f>IF(AND($DF323&lt;=1000,$DF323&lt;$B$8),1,0)</f>
        <v/>
      </c>
      <c r="DH323">
        <f>IF($DG323=1,IFERROR(INDEX($DB$5:$DB$1004,$DF323),""),"")</f>
        <v/>
      </c>
      <c r="DI323">
        <f>IF(AND($DG323=1,$DH323&lt;&gt;""),IFERROR(SUBSTITUTE(SUBSTITUTE(TRIM(SUBSTITUTE(SUBSTITUTE(SUBSTITUTE(SUBSTITUTE(IFERROR(INDEX(PASTE_ALL,$DF323,1)&amp;"","")&amp;"␟"&amp;IFERROR(INDEX(PASTE_ALL,$DF323,2)&amp;"","")&amp;"␟"&amp;IFERROR(INDEX(PASTE_ALL,$DF323,3)&amp;"","")&amp;"␟"&amp;IFERROR(INDEX(PASTE_ALL,$DF323,4)&amp;"","")&amp;"␟"&amp;IFERROR(INDEX(PASTE_ALL,$DF323,5)&amp;"","")&amp;"␟"&amp;IFERROR(INDEX(PASTE_ALL,$DF323,6)&amp;"","")&amp;"␟"&amp;IFERROR(INDEX(PASTE_ALL,$DF323,7)&amp;"","")&amp;"␟"&amp;IFERROR(INDEX(PASTE_ALL,$DF323,8)&amp;"","")&amp;"␟"&amp;IFERROR(INDEX(PASTE_ALL,$DF323,9)&amp;"","")&amp;"␟"&amp;IFERROR(INDEX(PASTE_ALL,$DF323,10)&amp;"","")&amp;"␟"&amp;IFERROR(INDEX(PASTE_ALL,$DF323,11)&amp;"","")&amp;"␟"&amp;IFERROR(INDEX(PASTE_ALL,$DF323,12)&amp;"","")&amp;"␟"&amp;IFERROR(INDEX(PASTE_ALL,$DF323,13)&amp;"","")&amp;"␟"&amp;IFERROR(INDEX(PASTE_ALL,$DF323,14)&amp;"","")&amp;"␟"&amp;IFERROR(INDEX(PASTE_ALL,$DF323,15)&amp;"","")&amp;"␟"&amp;IFERROR(INDEX(PASTE_ALL,$DF323,16)&amp;"","")&amp;"␟"&amp;IFERROR(INDEX(PASTE_ALL,$DF323,17)&amp;"","")&amp;"␟"&amp;IFERROR(INDEX(PASTE_ALL,$DF323,18)&amp;"","")&amp;"␟"&amp;IFERROR(INDEX(PASTE_ALL,$DF323,19)&amp;"","")&amp;"␟"&amp;IFERROR(INDEX(PASTE_ALL,$DF323,20)&amp;"","")&amp;"␟"&amp;IFERROR(INDEX(PASTE_ALL,$DF323,21)&amp;"","")&amp;"␟"&amp;IFERROR(INDEX(PASTE_ALL,$DF323,22)&amp;"","")&amp;"␟"&amp;IFERROR(INDEX(PASTE_ALL,$DF323,23)&amp;"","")&amp;"␟"&amp;IFERROR(INDEX(PASTE_ALL,$DF323,24)&amp;"","")&amp;"␟"&amp;IFERROR(INDEX(PASTE_ALL,$DF323,25)&amp;"","")&amp;"␟"&amp;IFERROR(INDEX(PASTE_ALL,$DF323,26)&amp;"","")&amp;"␟"&amp;IFERROR(INDEX(PASTE_ALL,$DF323,27)&amp;"","")&amp;"␟"&amp;IFERROR(INDEX(PASTE_ALL,$DF323,28)&amp;"","")&amp;"␟"&amp;IFERROR(INDEX(PASTE_ALL,$DF323,29)&amp;"","")&amp;"␟"&amp;IFERROR(INDEX(PASTE_ALL,$DF323,30)&amp;"","")&amp;"␟"&amp;IFERROR(INDEX(PASTE_ALL,$DF323,31)&amp;"","")&amp;"␟"&amp;IFERROR(INDEX(PASTE_ALL,$DF323,32)&amp;"","")&amp;"␟"&amp;IFERROR(INDEX(PASTE_ALL,$DF323,33)&amp;"","")&amp;"␟"&amp;IFERROR(INDEX(PASTE_ALL,$DF323,34)&amp;"","")&amp;"␟"&amp;IFERROR(INDEX(PASTE_ALL,$DF323,35)&amp;"","")&amp;"␟"&amp;IFERROR(INDEX(PASTE_ALL,$DF323,36)&amp;"","")&amp;"␟"&amp;IFERROR(INDEX(PASTE_ALL,$DF323,37)&amp;"","")&amp;"␟"&amp;IFERROR(INDEX(PASTE_ALL,$DF323,38)&amp;"","")&amp;"␟"&amp;IFERROR(INDEX(PASTE_ALL,$DF323,39)&amp;"","")&amp;"␟"&amp;IFERROR(INDEX(PASTE_ALL,$DF323,40)&amp;"","")&amp;"␟"&amp;IFERROR(INDEX(PASTE_ALL,$DF323,41)&amp;"","")&amp;"␟"&amp;IFERROR(INDEX(PASTE_ALL,$DF323,42)&amp;"","")&amp;"␟"&amp;IFERROR(INDEX(PASTE_ALL,$DF323,43)&amp;"","")&amp;"␟"&amp;IFERROR(INDEX(PASTE_ALL,$DF323,44)&amp;"","")&amp;"␟"&amp;IFERROR(INDEX(PASTE_ALL,$DF323,45)&amp;"","")&amp;"␟"&amp;IFERROR(INDEX(PASTE_ALL,$DF323,46)&amp;"","")&amp;"␟"&amp;IFERROR(INDEX(PASTE_ALL,$DF323,47)&amp;"","")&amp;"␟"&amp;IFERROR(INDEX(PASTE_ALL,$DF323,48)&amp;"","")&amp;"␟"&amp;IFERROR(INDEX(PASTE_ALL,$DF323,49)&amp;"","")&amp;"␟"&amp;IFERROR(INDEX(PASTE_ALL,$DF323,50)&amp;"","")&amp;"␟"&amp;IFERROR(INDEX(PASTE_ALL,$DF323,51)&amp;"","")&amp;"␟"&amp;IFERROR(INDEX(PASTE_ALL,$DF323,52)&amp;"","")&amp;"␟"&amp;IFERROR(INDEX(PASTE_ALL,$DF323,53)&amp;"","")&amp;"␟"&amp;IFERROR(INDEX(PASTE_ALL,$DF323,54)&amp;"","")&amp;"␟"&amp;IFERROR(INDEX(PASTE_ALL,$DF323,55)&amp;"","")&amp;"␟"&amp;IFERROR(INDEX(PASTE_ALL,$DF323,56)&amp;"","")&amp;"␟"&amp;IFERROR(INDEX(PASTE_ALL,$DF323,57)&amp;"","")&amp;"␟"&amp;IFERROR(INDEX(PASTE_ALL,$DF323,58)&amp;"","")&amp;"␟"&amp;IFERROR(INDEX(PASTE_ALL,$DF323,59)&amp;"","")&amp;"␟"&amp;IFERROR(INDEX(PASTE_ALL,$DF323,60)&amp;"","")," "," "),CHAR(9)," "),CHAR(10)," "),CHAR(13)," "))," ␟","␟"),"␟ ","␟"),"#"&amp;$DE323),"")</f>
        <v/>
      </c>
      <c r="DJ323">
        <f>IF($DI323="",0,IF(SUMPRODUCT(--EXACT($DI$4:DI322,$DI323))&gt;0,1,0))</f>
        <v/>
      </c>
      <c r="DK323">
        <f>IF(AND($DI323&lt;&gt;"",$DJ323=0),1,0)</f>
        <v/>
      </c>
      <c r="DL323">
        <f>DL322+$DK323</f>
        <v/>
      </c>
      <c r="DM323">
        <f>IF(AND($DK323=1,$DL323&lt;=600),1,0)</f>
        <v/>
      </c>
      <c r="DN323">
        <f>IF($DM323=0,"",IF($L$6=0,"",IFERROR(IF(ISNUMBER(INDEX(PASTE_ALL,$DF323,$L$6)),INDEX(PASTE_ALL,$DF323,$L$6),TRIM(SUBSTITUTE(SUBSTITUTE(SUBSTITUTE(SUBSTITUTE(INDEX(PASTE_ALL,$DF323,$L$6)," "," "),CHAR(9)," "),CHAR(10)," "),CHAR(13)," "))),"")))</f>
        <v/>
      </c>
      <c r="DO323">
        <f>IF($DM323=0,"",IF($L$7=0,"",IFERROR(IF(ISNUMBER(INDEX(PASTE_ALL,$DF323,$L$7)),INDEX(PASTE_ALL,$DF323,$L$7),TRIM(SUBSTITUTE(SUBSTITUTE(SUBSTITUTE(SUBSTITUTE(INDEX(PASTE_ALL,$DF323,$L$7)," "," "),CHAR(9)," "),CHAR(10)," "),CHAR(13)," "))),"")))</f>
        <v/>
      </c>
      <c r="DP323">
        <f>IF($DM323=0,"",IF($L$8=0,"",IFERROR(IF(ISNUMBER(INDEX(PASTE_ALL,$DF323,$L$8)),INDEX(PASTE_ALL,$DF323,$L$8),TRIM(SUBSTITUTE(SUBSTITUTE(SUBSTITUTE(SUBSTITUTE(INDEX(PASTE_ALL,$DF323,$L$8)," "," "),CHAR(9)," "),CHAR(10)," "),CHAR(13)," "))),"")))</f>
        <v/>
      </c>
      <c r="DQ323">
        <f>IF($DM323=0,"",IF($L$9=0,"",IFERROR(IF(ISNUMBER(INDEX(PASTE_ALL,$DF323,$L$9)),INDEX(PASTE_ALL,$DF323,$L$9),TRIM(SUBSTITUTE(SUBSTITUTE(SUBSTITUTE(SUBSTITUTE(INDEX(PASTE_ALL,$DF323,$L$9)," "," "),CHAR(9)," "),CHAR(10)," "),CHAR(13)," "))),"")))</f>
        <v/>
      </c>
      <c r="DR323">
        <f>IF($DM323=0,"",IF($L$10=0,"",IFERROR(IF(ISNUMBER(INDEX(PASTE_ALL,$DF323,$L$10)),INDEX(PASTE_ALL,$DF323,$L$10),TRIM(SUBSTITUTE(SUBSTITUTE(SUBSTITUTE(SUBSTITUTE(INDEX(PASTE_ALL,$DF323,$L$10)," "," "),CHAR(9)," "),CHAR(10)," "),CHAR(13)," "))),"")))</f>
        <v/>
      </c>
      <c r="DS323">
        <f>IF($DM323=0,"",IF($L$11=0,"",IFERROR(IF(ISNUMBER(INDEX(PASTE_ALL,$DF323,$L$11)),INDEX(PASTE_ALL,$DF323,$L$11),TRIM(SUBSTITUTE(SUBSTITUTE(SUBSTITUTE(SUBSTITUTE(INDEX(PASTE_ALL,$DF323,$L$11)," "," "),CHAR(9)," "),CHAR(10)," "),CHAR(13)," "))),"")))</f>
        <v/>
      </c>
      <c r="DT323">
        <f>IF($DM323=0,"",IF($L$12=0,"",IFERROR(IF(ISNUMBER(INDEX(PASTE_ALL,$DF323,$L$12)),INDEX(PASTE_ALL,$DF323,$L$12),TRIM(SUBSTITUTE(SUBSTITUTE(SUBSTITUTE(SUBSTITUTE(INDEX(PASTE_ALL,$DF323,$L$12)," "," "),CHAR(9)," "),CHAR(10)," "),CHAR(13)," "))),"")))</f>
        <v/>
      </c>
      <c r="DU323">
        <f>IF($DM323=0,"",IF($L$13=0,"",IFERROR(IF(ISNUMBER(INDEX(PASTE_ALL,$DF323,$L$13)),INDEX(PASTE_ALL,$DF323,$L$13),TRIM(SUBSTITUTE(SUBSTITUTE(SUBSTITUTE(SUBSTITUTE(INDEX(PASTE_ALL,$DF323,$L$13)," "," "),CHAR(9)," "),CHAR(10)," "),CHAR(13)," "))),"")))</f>
        <v/>
      </c>
      <c r="DV323">
        <f>IF($DM323=0,"",IF($L$14=0,"",IFERROR(IF(ISNUMBER(INDEX(PASTE_ALL,$DF323,$L$14)),INDEX(PASTE_ALL,$DF323,$L$14),TRIM(SUBSTITUTE(SUBSTITUTE(SUBSTITUTE(SUBSTITUTE(INDEX(PASTE_ALL,$DF323,$L$14)," "," "),CHAR(9)," "),CHAR(10)," "),CHAR(13)," "))),"")))</f>
        <v/>
      </c>
      <c r="DW323">
        <f>IF($DM323=0,"",IF($L$15=0,"",IFERROR(IF(ISNUMBER(INDEX(PASTE_ALL,$DF323,$L$15)),INDEX(PASTE_ALL,$DF323,$L$15),IF(SUMPRODUCT(--ISNUMBER(FIND({"A","B","C","D","E","F","G","H","I","J","K","L","M","N","O","P","Q","R","S","T","U","V","W","X","Y","Z","0","1","2","3","4","5","6","7","8","9"},UPPER(TRIM(SUBSTITUTE(SUBSTITUTE(SUBSTITUTE(SUBSTITUTE(INDEX(PASTE_ALL,$DF323,$L$15)," "," "),CHAR(9)," "),CHAR(10)," "),CHAR(13)," "))))))&gt;0,TRIM(SUBSTITUTE(SUBSTITUTE(SUBSTITUTE(SUBSTITUTE(INDEX(PASTE_ALL,$DF323,$L$15)," "," "),CHAR(9)," "),CHAR(10)," "),CHAR(13)," ")),"")),"")))</f>
        <v/>
      </c>
      <c r="DX323">
        <f>IF($DM323=0,"",IF($L$16=0,"",IFERROR(IF(ISNUMBER(INDEX(PASTE_ALL,$DF323,$L$16)),INDEX(PASTE_ALL,$DF323,$L$16),SUBSTITUTE(SUBSTITUTE(TRIM(SUBSTITUTE(SUBSTITUTE(SUBSTITUTE(SUBSTITUTE(INDEX(PASTE_ALL,$DF323,$L$16)," "," "),CHAR(9)," "),CHAR(10)," "),CHAR(13)," ")),",",""),"%","")),"")))</f>
        <v/>
      </c>
      <c r="DY323">
        <f>IF($DM323=0,"",IFERROR(IF(ISNUMBER($DX323),$DX323,IF($DX323="","",IF(TRIM($DX323)="",0,IF(AND(AND(SUBSTITUTE(SUBSTITUTE(SUBSTITUTE(SUBSTITUTE(SUBSTITUTE(SUBSTITUTE(SUBSTITUTE(SUBSTITUTE(SUBSTITUTE(SUBSTITUTE(SUBSTITUTE(SUBSTITUTE(SUBSTITUTE(SUBSTITUTE(UPPER(TRIM($DX323)),"0",""),"1",""),"2",""),"3",""),"4",""),"5",""),"6",""),"7",""),"8",""),"9",""),".",""),"+",""),"-",""),"E","")="",LEN(SUBSTITUTE(SUBSTITUTE(MID(UPPER(TRIM($DX323)),1+OR(LEFT(UPPER(TRIM($DX323)),1)="+",LEFT(UPPER(TRIM($DX323)),1)="-"),999),"E+","E"),"E-","E"))=LEN(SUBSTITUTE(SUBSTITUTE(SUBSTITUTE(SUBSTITUTE(MID(UPPER(TRIM($DX323)),1+OR(LEFT(UPPER(TRIM($DX323)),1)="+",LEFT(UPPER(TRIM($DX323)),1)="-"),999),"E+","E"),"E-","E"),"+",""),"-","")),LEN(UPPER(TRIM($DX323)))-LEN(SUBSTITUTE(UPPER(TRIM($DX323)),"E",""))&lt;2,LEN(UPPER(TRIM($DX323)))-LEN(SUBSTITUTE(UPPER(TRIM($DX323)),".",""))&lt;2,IFERROR(FIND(".",UPPER(TRIM($DX323))),0)&lt;IFERROR(FIND("E",UPPER(TRIM($DX323))),999)),ISNUMBER(VALUE(TRIM($DX323)))),VALUE(TRIM($DX323)),"")))),""))</f>
        <v/>
      </c>
      <c r="DZ323">
        <f>IF($DM323=0,"",IF($L$17=0,"",IFERROR(IF(ISNUMBER(INDEX(PASTE_ALL,$DF323,$L$17)),INDEX(PASTE_ALL,$DF323,$L$17),SUBSTITUTE(SUBSTITUTE(TRIM(SUBSTITUTE(SUBSTITUTE(SUBSTITUTE(SUBSTITUTE(INDEX(PASTE_ALL,$DF323,$L$17)," "," "),CHAR(9)," "),CHAR(10)," "),CHAR(13)," ")),",",""),"%","")),"")))</f>
        <v/>
      </c>
      <c r="EA323">
        <f>IF($DM323=0,"",IFERROR(IF(ISNUMBER($DZ323),$DZ323,IF($DZ323="","",IF(TRIM($DZ323)="",0,IF(AND(AND(SUBSTITUTE(SUBSTITUTE(SUBSTITUTE(SUBSTITUTE(SUBSTITUTE(SUBSTITUTE(SUBSTITUTE(SUBSTITUTE(SUBSTITUTE(SUBSTITUTE(SUBSTITUTE(SUBSTITUTE(SUBSTITUTE(SUBSTITUTE(UPPER(TRIM($DZ323)),"0",""),"1",""),"2",""),"3",""),"4",""),"5",""),"6",""),"7",""),"8",""),"9",""),".",""),"+",""),"-",""),"E","")="",LEN(SUBSTITUTE(SUBSTITUTE(MID(UPPER(TRIM($DZ323)),1+OR(LEFT(UPPER(TRIM($DZ323)),1)="+",LEFT(UPPER(TRIM($DZ323)),1)="-"),999),"E+","E"),"E-","E"))=LEN(SUBSTITUTE(SUBSTITUTE(SUBSTITUTE(SUBSTITUTE(MID(UPPER(TRIM($DZ323)),1+OR(LEFT(UPPER(TRIM($DZ323)),1)="+",LEFT(UPPER(TRIM($DZ323)),1)="-"),999),"E+","E"),"E-","E"),"+",""),"-","")),LEN(UPPER(TRIM($DZ323)))-LEN(SUBSTITUTE(UPPER(TRIM($DZ323)),"E",""))&lt;2,LEN(UPPER(TRIM($DZ323)))-LEN(SUBSTITUTE(UPPER(TRIM($DZ323)),".",""))&lt;2,IFERROR(FIND(".",UPPER(TRIM($DZ323))),0)&lt;IFERROR(FIND("E",UPPER(TRIM($DZ323))),999)),ISNUMBER(VALUE(TRIM($DZ323)))),VALUE(TRIM($DZ323)),"")))),""))</f>
        <v/>
      </c>
      <c r="EB323">
        <f>IF($DM323=0,"",IF($L$18=0,"",IFERROR(IF(UPPER(TRIM(SUBSTITUTE(SUBSTITUTE(SUBSTITUTE(SUBSTITUTE(INDEX(PASTE_ALL,$DF323,$L$18)," "," "),CHAR(9)," "),CHAR(10)," "),CHAR(13)," ")))="READY","Ready",IF(UPPER(TRIM(SUBSTITUTE(SUBSTITUTE(SUBSTITUTE(SUBSTITUTE(INDEX(PASTE_ALL,$DF323,$L$18)," "," "),CHAR(9)," "),CHAR(10)," "),CHAR(13)," ")))="PM","PM",IF(OR(UPPER(TRIM(SUBSTITUTE(SUBSTITUTE(SUBSTITUTE(SUBSTITUTE(INDEX(PASTE_ALL,$DF323,$L$18)," "," "),CHAR(9)," "),CHAR(10)," "),CHAR(13)," ")))="OT",UPPER(TRIM(SUBSTITUTE(SUBSTITUTE(SUBSTITUTE(SUBSTITUTE(INDEX(PASTE_ALL,$DF323,$L$18)," "," "),CHAR(9)," "),CHAR(10)," "),CHAR(13)," ")))="OVERTIME",UPPER(TRIM(SUBSTITUTE(SUBSTITUTE(SUBSTITUTE(SUBSTITUTE(INDEX(PASTE_ALL,$DF323,$L$18)," "," "),CHAR(9)," "),CHAR(10)," "),CHAR(13)," ")))="TRIAL"),"OT",TRIM(SUBSTITUTE(SUBSTITUTE(SUBSTITUTE(SUBSTITUTE(INDEX(PASTE_ALL,$DF323,$L$18)," "," "),CHAR(9)," "),CHAR(10)," "),CHAR(13)," "))))),"")))</f>
        <v/>
      </c>
      <c r="EC323">
        <f>IF($DM323=0,"",IF($L$19=0,"",IFERROR(IF(ISNUMBER(INDEX(PASTE_ALL,$DF323,$L$19)),INDEX(PASTE_ALL,$DF323,$L$19),TRIM(SUBSTITUTE(SUBSTITUTE(SUBSTITUTE(SUBSTITUTE(INDEX(PASTE_ALL,$DF323,$L$19)," "," "),CHAR(9)," "),CHAR(10)," "),CHAR(13)," "))),"")))</f>
        <v/>
      </c>
      <c r="ED323">
        <f>IF($DM323=0,"",MATCH(1,INDEX(EXACT($DH$5:DH323,$DH323)*$DM$5:DM323,0),0))</f>
        <v/>
      </c>
      <c r="EE323">
        <f>IF($DM323=0,0,IF($ED323=$DE323,1,0))</f>
        <v/>
      </c>
      <c r="EF323">
        <f>EF322+$EE323</f>
        <v/>
      </c>
      <c r="EG323">
        <f>IF($DM323=0,"",INDEX($EF$5:$EF$1003,$ED323))</f>
        <v/>
      </c>
      <c r="EH323">
        <f>IF($DM323=0,"",IF($DO323&lt;&gt;"","",IFERROR(LOOKUP(2,1/(($EG$4:EG322=$EG323)*($DO$4:DO322&lt;&gt;"")),$DO$4:DO322),"")))</f>
        <v/>
      </c>
      <c r="EI323">
        <f>IF($DM323=0,"",IF($DO323&lt;&gt;"",$DO323,$EH323))</f>
        <v/>
      </c>
      <c r="EJ323">
        <f>IF($DM323=0,"",IF($EI323="",0,IF(OR(ISNUMBER($EI323),AND(AND(SUBSTITUTE(SUBSTITUTE(SUBSTITUTE(SUBSTITUTE(SUBSTITUTE(SUBSTITUTE(SUBSTITUTE(SUBSTITUTE(SUBSTITUTE(SUBSTITUTE(SUBSTITUTE(SUBSTITUTE(SUBSTITUTE(SUBSTITUTE(UPPER($EI323),"0",""),"1",""),"2",""),"3",""),"4",""),"5",""),"6",""),"7",""),"8",""),"9",""),".",""),"+",""),"-",""),"E","")="",LEN(SUBSTITUTE(SUBSTITUTE(MID(UPPER($EI323),1+OR(LEFT(UPPER($EI323),1)="+",LEFT(UPPER($EI323),1)="-"),999),"E+","E"),"E-","E"))=LEN(SUBSTITUTE(SUBSTITUTE(SUBSTITUTE(SUBSTITUTE(MID(UPPER($EI323),1+OR(LEFT(UPPER($EI323),1)="+",LEFT(UPPER($EI323),1)="-"),999),"E+","E"),"E-","E"),"+",""),"-","")),LEN(UPPER($EI323))-LEN(SUBSTITUTE(UPPER($EI323),"E",""))&lt;2,LEN(UPPER($EI323))-LEN(SUBSTITUTE(UPPER($EI323),".",""))&lt;2,IFERROR(FIND(".",UPPER($EI323)),0)&lt;IFERROR(FIND("E",UPPER($EI323)),999)),ISNUMBER(VALUE($EI323)))),1,2)))</f>
        <v/>
      </c>
      <c r="EK323">
        <f>IF($DM323=0,"",IF($EJ323=1,IF(ISNUMBER($EI323),$EI323,VALUE($EI323)),IF($EJ323=2,$DE323,0)))</f>
        <v/>
      </c>
      <c r="EL323">
        <f>IF($DM323=0,"",COUNTIF($EG$5:$EG$1003,"&lt;"&amp;$EG323)+SUMPRODUCT(($EG$5:$EG$1003=$EG323)*(($EJ$5:$EJ$1003&lt;$EJ323)+($EJ$5:$EJ$1003=$EJ323)*(($EK$5:$EK$1003&lt;$EK323)+($EK$5:$EK$1003=$EK323)*($DE$5:$DE$1003&lt;$DE323))))+1)</f>
        <v/>
      </c>
      <c r="EM323">
        <f>IF($DM323=0,"",$EL323+$EG323-1)</f>
        <v/>
      </c>
      <c r="EN323">
        <f>IF($DM323=0,0,IFERROR(MATCH(1,INDEX(--(TRIM(SUBSTITUTE(SUBSTITUTE(SUBSTITUTE(SUBSTITUTE(LINES_NAME&amp;""," "," "),CHAR(9)," "),CHAR(10)," "),CHAR(13)," "))=$DH323),0),0),0))</f>
        <v/>
      </c>
      <c r="EO323">
        <f>IF($EN323=0,0,IF(OR(UPPER(TRIM(INDEX(LINES_SCHEDULED,$EN323)&amp;""))="YES",UPPER(TRIM(INDEX(LINES_SCHEDULED,$EN323)&amp;""))="Y",UPPER(TRIM(INDEX(LINES_SCHEDULED,$EN323)&amp;""))="X"),1,0))</f>
        <v/>
      </c>
      <c r="EP323">
        <f>IF($DM323=0,"",IF(COUNTIFS($EG$5:$EG$1003,$EG323,$EB$5:$EB$1003,"Ready")&gt;0,"READY",IF(COUNTIFS($EG$5:$EG$1003,$EG323,$EB$5:$EB$1003,"PM")&gt;0,"PM",IF(COUNTIFS($EG$5:$EG$1003,$EG323,$EB$5:$EB$1003,"OT")&gt;0,"OT",""))))</f>
        <v/>
      </c>
      <c r="EQ323">
        <f>IF($EN323=0,"",UPPER(TRIM(INDEX(LINES_STATUS,$EN323)&amp;"")))</f>
        <v/>
      </c>
      <c r="ER323">
        <f>IF($DM323=0,"",IF(OR($EQ323="READY",$EQ323="PM",$EQ323="OT"),$EQ323,$EP323))</f>
        <v/>
      </c>
      <c r="ES323">
        <f>IF($DM323=0,"",IF(AND($DV323&lt;&gt;"",UPPER($DV323)&lt;&gt;"N"),"allergen",IF(ISNUMBER(SEARCH("oil",$DQ323)),"oil",IF(OR(EXACT($DS323,"A662"),EXACT($DS323,"A624")),"bulk",""))))</f>
        <v/>
      </c>
      <c r="ET323">
        <f>IF($DM323=0,"",IF(OR($EA323="",$EA323=0),"",$EA323/100))</f>
        <v/>
      </c>
      <c r="EU323">
        <f>IF(OR($ET323="",$DY323=""),"",INT($DY323*(1-$ET323)+0.5))</f>
        <v/>
      </c>
      <c r="EW323" t="n">
        <v>319</v>
      </c>
      <c r="EX323">
        <f>IFERROR(MATCH($EW323,$EM$5:$EM$1003,0),0)</f>
        <v/>
      </c>
      <c r="EY323">
        <f>IF($EW323&gt;$B$12,"",IF($EX323&gt;0,"row","spacer"))</f>
        <v/>
      </c>
      <c r="EZ323">
        <f>IF(AND($EY323="row",$EY322&lt;&gt;"row"),1,0)</f>
        <v/>
      </c>
      <c r="FA323">
        <f>IF(AND($EY323="row",$EY324&lt;&gt;"row"),1,0)</f>
        <v/>
      </c>
      <c r="FB323">
        <f>IF($EZ323=1,IFERROR(IF(ISNUMBER(INDEX(PASTE_ALL,INDEX($DF$5:$DF$1003,$EX323),$B$37)),INDEX(PASTE_ALL,INDEX($DF$5:$DF$1003,$EX323),$B$37),INDEX($DH$5:$DH$1003,$EX323)),INDEX($DH$5:$DH$1003,$EX323)),"")</f>
        <v/>
      </c>
      <c r="FC323">
        <f>IF($EY323="row",INDEX($ER$5:$ER$1003,$EX323),"")</f>
        <v/>
      </c>
      <c r="FD323">
        <f>IF($EY323="row",INDEX($DN$5:$DN$1003,$EX323),"")</f>
        <v/>
      </c>
      <c r="FE323">
        <f>IF($EY323="row",INDEX($DO$5:$DO$1003,$EX323),"")</f>
        <v/>
      </c>
      <c r="FF323">
        <f>IF($EY323="row",INDEX($DP$5:$DP$1003,$EX323),"")</f>
        <v/>
      </c>
      <c r="FG323">
        <f>IF($EY323="row",INDEX($DQ$5:$DQ$1003,$EX323),"")</f>
        <v/>
      </c>
      <c r="FH323">
        <f>IF($EY323="row",INDEX($DR$5:$DR$1003,$EX323),"")</f>
        <v/>
      </c>
      <c r="FI323">
        <f>IF($EY323="row",INDEX($DS$5:$DS$1003,$EX323),"")</f>
        <v/>
      </c>
      <c r="FJ323">
        <f>IF($EY323="row",INDEX($DT$5:$DT$1003,$EX323),"")</f>
        <v/>
      </c>
      <c r="FK323">
        <f>IF($EY323="row",INDEX($DU$5:$DU$1003,$EX323),"")</f>
        <v/>
      </c>
      <c r="FL323">
        <f>IF($EY323="row",INDEX($DV$5:$DV$1003,$EX323),"")</f>
        <v/>
      </c>
      <c r="FM323">
        <f>IF($EY323="row",INDEX($DW$5:$DW$1003,$EX323),"")</f>
        <v/>
      </c>
      <c r="FN323">
        <f>IF($EY323="row",INDEX($DY$5:$DY$1003,$EX323),"")</f>
        <v/>
      </c>
      <c r="FO323">
        <f>IF($EY323="row",INDEX($EA$5:$EA$1003,$EX323),"")</f>
        <v/>
      </c>
      <c r="FP323">
        <f>IF($EY323="row",INDEX($EC$5:$EC$1003,$EX323),"")</f>
        <v/>
      </c>
      <c r="FQ323">
        <f>IF($EY323="row",INDEX($ET$5:$ET$1003,$EX323),"")</f>
        <v/>
      </c>
      <c r="FR323">
        <f>IF($EY323="row",INDEX($EU$5:$EU$1003,$EX323),"")</f>
        <v/>
      </c>
      <c r="FS323">
        <f>IF(AND($EY323="row",$EY322="row"),IF(OR(INDEX($DT$5:$DT$1003,$EX322)="",INDEX($DT$5:$DT$1003,$EX323)=""),"",IF(NOT(EXACT(INDEX($DT$5:$DT$1003,$EX322),INDEX($DT$5:$DT$1003,$EX323))),"S4",IF(NOT(EXACT(INDEX($DS$5:$DS$1003,$EX322),INDEX($DS$5:$DS$1003,$EX323))),"S3",IF(NOT(EXACT(INDEX($DR$5:$DR$1003,$EX322),INDEX($DR$5:$DR$1003,$EX323))),"S1 Count Change","S1")))),"")</f>
        <v/>
      </c>
      <c r="FT323">
        <f>IF($EY323="row",INDEX($ES$5:$ES$1003,$EX323),"")</f>
        <v/>
      </c>
      <c r="FU323">
        <f>IF($EY323="row",INDEX($EO$5:$EO$1003,$EX323),0)</f>
        <v/>
      </c>
      <c r="FV323">
        <f>IF($FS323="S1 Count Change",1,0)</f>
        <v/>
      </c>
    </row>
    <row r="324">
      <c r="DA324" t="n">
        <v>320</v>
      </c>
      <c r="DB324">
        <f>IF($B$37=0,"",IFERROR(TRIM(SUBSTITUTE(SUBSTITUTE(SUBSTITUTE(SUBSTITUTE(INDEX(PASTE_ALL,320,$B$37)," "," "),CHAR(9)," "),CHAR(10)," "),CHAR(13)," ")),""))</f>
        <v/>
      </c>
      <c r="DC324">
        <f>IF(AND(320&gt;HEADER_ROW,UPPER(DB324)="LEGEND"),1,0)</f>
        <v/>
      </c>
      <c r="DE324" t="n">
        <v>320</v>
      </c>
      <c r="DF324">
        <f>HEADER_ROW+$DE324</f>
        <v/>
      </c>
      <c r="DG324">
        <f>IF(AND($DF324&lt;=1000,$DF324&lt;$B$8),1,0)</f>
        <v/>
      </c>
      <c r="DH324">
        <f>IF($DG324=1,IFERROR(INDEX($DB$5:$DB$1004,$DF324),""),"")</f>
        <v/>
      </c>
      <c r="DI324">
        <f>IF(AND($DG324=1,$DH324&lt;&gt;""),IFERROR(SUBSTITUTE(SUBSTITUTE(TRIM(SUBSTITUTE(SUBSTITUTE(SUBSTITUTE(SUBSTITUTE(IFERROR(INDEX(PASTE_ALL,$DF324,1)&amp;"","")&amp;"␟"&amp;IFERROR(INDEX(PASTE_ALL,$DF324,2)&amp;"","")&amp;"␟"&amp;IFERROR(INDEX(PASTE_ALL,$DF324,3)&amp;"","")&amp;"␟"&amp;IFERROR(INDEX(PASTE_ALL,$DF324,4)&amp;"","")&amp;"␟"&amp;IFERROR(INDEX(PASTE_ALL,$DF324,5)&amp;"","")&amp;"␟"&amp;IFERROR(INDEX(PASTE_ALL,$DF324,6)&amp;"","")&amp;"␟"&amp;IFERROR(INDEX(PASTE_ALL,$DF324,7)&amp;"","")&amp;"␟"&amp;IFERROR(INDEX(PASTE_ALL,$DF324,8)&amp;"","")&amp;"␟"&amp;IFERROR(INDEX(PASTE_ALL,$DF324,9)&amp;"","")&amp;"␟"&amp;IFERROR(INDEX(PASTE_ALL,$DF324,10)&amp;"","")&amp;"␟"&amp;IFERROR(INDEX(PASTE_ALL,$DF324,11)&amp;"","")&amp;"␟"&amp;IFERROR(INDEX(PASTE_ALL,$DF324,12)&amp;"","")&amp;"␟"&amp;IFERROR(INDEX(PASTE_ALL,$DF324,13)&amp;"","")&amp;"␟"&amp;IFERROR(INDEX(PASTE_ALL,$DF324,14)&amp;"","")&amp;"␟"&amp;IFERROR(INDEX(PASTE_ALL,$DF324,15)&amp;"","")&amp;"␟"&amp;IFERROR(INDEX(PASTE_ALL,$DF324,16)&amp;"","")&amp;"␟"&amp;IFERROR(INDEX(PASTE_ALL,$DF324,17)&amp;"","")&amp;"␟"&amp;IFERROR(INDEX(PASTE_ALL,$DF324,18)&amp;"","")&amp;"␟"&amp;IFERROR(INDEX(PASTE_ALL,$DF324,19)&amp;"","")&amp;"␟"&amp;IFERROR(INDEX(PASTE_ALL,$DF324,20)&amp;"","")&amp;"␟"&amp;IFERROR(INDEX(PASTE_ALL,$DF324,21)&amp;"","")&amp;"␟"&amp;IFERROR(INDEX(PASTE_ALL,$DF324,22)&amp;"","")&amp;"␟"&amp;IFERROR(INDEX(PASTE_ALL,$DF324,23)&amp;"","")&amp;"␟"&amp;IFERROR(INDEX(PASTE_ALL,$DF324,24)&amp;"","")&amp;"␟"&amp;IFERROR(INDEX(PASTE_ALL,$DF324,25)&amp;"","")&amp;"␟"&amp;IFERROR(INDEX(PASTE_ALL,$DF324,26)&amp;"","")&amp;"␟"&amp;IFERROR(INDEX(PASTE_ALL,$DF324,27)&amp;"","")&amp;"␟"&amp;IFERROR(INDEX(PASTE_ALL,$DF324,28)&amp;"","")&amp;"␟"&amp;IFERROR(INDEX(PASTE_ALL,$DF324,29)&amp;"","")&amp;"␟"&amp;IFERROR(INDEX(PASTE_ALL,$DF324,30)&amp;"","")&amp;"␟"&amp;IFERROR(INDEX(PASTE_ALL,$DF324,31)&amp;"","")&amp;"␟"&amp;IFERROR(INDEX(PASTE_ALL,$DF324,32)&amp;"","")&amp;"␟"&amp;IFERROR(INDEX(PASTE_ALL,$DF324,33)&amp;"","")&amp;"␟"&amp;IFERROR(INDEX(PASTE_ALL,$DF324,34)&amp;"","")&amp;"␟"&amp;IFERROR(INDEX(PASTE_ALL,$DF324,35)&amp;"","")&amp;"␟"&amp;IFERROR(INDEX(PASTE_ALL,$DF324,36)&amp;"","")&amp;"␟"&amp;IFERROR(INDEX(PASTE_ALL,$DF324,37)&amp;"","")&amp;"␟"&amp;IFERROR(INDEX(PASTE_ALL,$DF324,38)&amp;"","")&amp;"␟"&amp;IFERROR(INDEX(PASTE_ALL,$DF324,39)&amp;"","")&amp;"␟"&amp;IFERROR(INDEX(PASTE_ALL,$DF324,40)&amp;"","")&amp;"␟"&amp;IFERROR(INDEX(PASTE_ALL,$DF324,41)&amp;"","")&amp;"␟"&amp;IFERROR(INDEX(PASTE_ALL,$DF324,42)&amp;"","")&amp;"␟"&amp;IFERROR(INDEX(PASTE_ALL,$DF324,43)&amp;"","")&amp;"␟"&amp;IFERROR(INDEX(PASTE_ALL,$DF324,44)&amp;"","")&amp;"␟"&amp;IFERROR(INDEX(PASTE_ALL,$DF324,45)&amp;"","")&amp;"␟"&amp;IFERROR(INDEX(PASTE_ALL,$DF324,46)&amp;"","")&amp;"␟"&amp;IFERROR(INDEX(PASTE_ALL,$DF324,47)&amp;"","")&amp;"␟"&amp;IFERROR(INDEX(PASTE_ALL,$DF324,48)&amp;"","")&amp;"␟"&amp;IFERROR(INDEX(PASTE_ALL,$DF324,49)&amp;"","")&amp;"␟"&amp;IFERROR(INDEX(PASTE_ALL,$DF324,50)&amp;"","")&amp;"␟"&amp;IFERROR(INDEX(PASTE_ALL,$DF324,51)&amp;"","")&amp;"␟"&amp;IFERROR(INDEX(PASTE_ALL,$DF324,52)&amp;"","")&amp;"␟"&amp;IFERROR(INDEX(PASTE_ALL,$DF324,53)&amp;"","")&amp;"␟"&amp;IFERROR(INDEX(PASTE_ALL,$DF324,54)&amp;"","")&amp;"␟"&amp;IFERROR(INDEX(PASTE_ALL,$DF324,55)&amp;"","")&amp;"␟"&amp;IFERROR(INDEX(PASTE_ALL,$DF324,56)&amp;"","")&amp;"␟"&amp;IFERROR(INDEX(PASTE_ALL,$DF324,57)&amp;"","")&amp;"␟"&amp;IFERROR(INDEX(PASTE_ALL,$DF324,58)&amp;"","")&amp;"␟"&amp;IFERROR(INDEX(PASTE_ALL,$DF324,59)&amp;"","")&amp;"␟"&amp;IFERROR(INDEX(PASTE_ALL,$DF324,60)&amp;"","")," "," "),CHAR(9)," "),CHAR(10)," "),CHAR(13)," "))," ␟","␟"),"␟ ","␟"),"#"&amp;$DE324),"")</f>
        <v/>
      </c>
      <c r="DJ324">
        <f>IF($DI324="",0,IF(SUMPRODUCT(--EXACT($DI$4:DI323,$DI324))&gt;0,1,0))</f>
        <v/>
      </c>
      <c r="DK324">
        <f>IF(AND($DI324&lt;&gt;"",$DJ324=0),1,0)</f>
        <v/>
      </c>
      <c r="DL324">
        <f>DL323+$DK324</f>
        <v/>
      </c>
      <c r="DM324">
        <f>IF(AND($DK324=1,$DL324&lt;=600),1,0)</f>
        <v/>
      </c>
      <c r="DN324">
        <f>IF($DM324=0,"",IF($L$6=0,"",IFERROR(IF(ISNUMBER(INDEX(PASTE_ALL,$DF324,$L$6)),INDEX(PASTE_ALL,$DF324,$L$6),TRIM(SUBSTITUTE(SUBSTITUTE(SUBSTITUTE(SUBSTITUTE(INDEX(PASTE_ALL,$DF324,$L$6)," "," "),CHAR(9)," "),CHAR(10)," "),CHAR(13)," "))),"")))</f>
        <v/>
      </c>
      <c r="DO324">
        <f>IF($DM324=0,"",IF($L$7=0,"",IFERROR(IF(ISNUMBER(INDEX(PASTE_ALL,$DF324,$L$7)),INDEX(PASTE_ALL,$DF324,$L$7),TRIM(SUBSTITUTE(SUBSTITUTE(SUBSTITUTE(SUBSTITUTE(INDEX(PASTE_ALL,$DF324,$L$7)," "," "),CHAR(9)," "),CHAR(10)," "),CHAR(13)," "))),"")))</f>
        <v/>
      </c>
      <c r="DP324">
        <f>IF($DM324=0,"",IF($L$8=0,"",IFERROR(IF(ISNUMBER(INDEX(PASTE_ALL,$DF324,$L$8)),INDEX(PASTE_ALL,$DF324,$L$8),TRIM(SUBSTITUTE(SUBSTITUTE(SUBSTITUTE(SUBSTITUTE(INDEX(PASTE_ALL,$DF324,$L$8)," "," "),CHAR(9)," "),CHAR(10)," "),CHAR(13)," "))),"")))</f>
        <v/>
      </c>
      <c r="DQ324">
        <f>IF($DM324=0,"",IF($L$9=0,"",IFERROR(IF(ISNUMBER(INDEX(PASTE_ALL,$DF324,$L$9)),INDEX(PASTE_ALL,$DF324,$L$9),TRIM(SUBSTITUTE(SUBSTITUTE(SUBSTITUTE(SUBSTITUTE(INDEX(PASTE_ALL,$DF324,$L$9)," "," "),CHAR(9)," "),CHAR(10)," "),CHAR(13)," "))),"")))</f>
        <v/>
      </c>
      <c r="DR324">
        <f>IF($DM324=0,"",IF($L$10=0,"",IFERROR(IF(ISNUMBER(INDEX(PASTE_ALL,$DF324,$L$10)),INDEX(PASTE_ALL,$DF324,$L$10),TRIM(SUBSTITUTE(SUBSTITUTE(SUBSTITUTE(SUBSTITUTE(INDEX(PASTE_ALL,$DF324,$L$10)," "," "),CHAR(9)," "),CHAR(10)," "),CHAR(13)," "))),"")))</f>
        <v/>
      </c>
      <c r="DS324">
        <f>IF($DM324=0,"",IF($L$11=0,"",IFERROR(IF(ISNUMBER(INDEX(PASTE_ALL,$DF324,$L$11)),INDEX(PASTE_ALL,$DF324,$L$11),TRIM(SUBSTITUTE(SUBSTITUTE(SUBSTITUTE(SUBSTITUTE(INDEX(PASTE_ALL,$DF324,$L$11)," "," "),CHAR(9)," "),CHAR(10)," "),CHAR(13)," "))),"")))</f>
        <v/>
      </c>
      <c r="DT324">
        <f>IF($DM324=0,"",IF($L$12=0,"",IFERROR(IF(ISNUMBER(INDEX(PASTE_ALL,$DF324,$L$12)),INDEX(PASTE_ALL,$DF324,$L$12),TRIM(SUBSTITUTE(SUBSTITUTE(SUBSTITUTE(SUBSTITUTE(INDEX(PASTE_ALL,$DF324,$L$12)," "," "),CHAR(9)," "),CHAR(10)," "),CHAR(13)," "))),"")))</f>
        <v/>
      </c>
      <c r="DU324">
        <f>IF($DM324=0,"",IF($L$13=0,"",IFERROR(IF(ISNUMBER(INDEX(PASTE_ALL,$DF324,$L$13)),INDEX(PASTE_ALL,$DF324,$L$13),TRIM(SUBSTITUTE(SUBSTITUTE(SUBSTITUTE(SUBSTITUTE(INDEX(PASTE_ALL,$DF324,$L$13)," "," "),CHAR(9)," "),CHAR(10)," "),CHAR(13)," "))),"")))</f>
        <v/>
      </c>
      <c r="DV324">
        <f>IF($DM324=0,"",IF($L$14=0,"",IFERROR(IF(ISNUMBER(INDEX(PASTE_ALL,$DF324,$L$14)),INDEX(PASTE_ALL,$DF324,$L$14),TRIM(SUBSTITUTE(SUBSTITUTE(SUBSTITUTE(SUBSTITUTE(INDEX(PASTE_ALL,$DF324,$L$14)," "," "),CHAR(9)," "),CHAR(10)," "),CHAR(13)," "))),"")))</f>
        <v/>
      </c>
      <c r="DW324">
        <f>IF($DM324=0,"",IF($L$15=0,"",IFERROR(IF(ISNUMBER(INDEX(PASTE_ALL,$DF324,$L$15)),INDEX(PASTE_ALL,$DF324,$L$15),IF(SUMPRODUCT(--ISNUMBER(FIND({"A","B","C","D","E","F","G","H","I","J","K","L","M","N","O","P","Q","R","S","T","U","V","W","X","Y","Z","0","1","2","3","4","5","6","7","8","9"},UPPER(TRIM(SUBSTITUTE(SUBSTITUTE(SUBSTITUTE(SUBSTITUTE(INDEX(PASTE_ALL,$DF324,$L$15)," "," "),CHAR(9)," "),CHAR(10)," "),CHAR(13)," "))))))&gt;0,TRIM(SUBSTITUTE(SUBSTITUTE(SUBSTITUTE(SUBSTITUTE(INDEX(PASTE_ALL,$DF324,$L$15)," "," "),CHAR(9)," "),CHAR(10)," "),CHAR(13)," ")),"")),"")))</f>
        <v/>
      </c>
      <c r="DX324">
        <f>IF($DM324=0,"",IF($L$16=0,"",IFERROR(IF(ISNUMBER(INDEX(PASTE_ALL,$DF324,$L$16)),INDEX(PASTE_ALL,$DF324,$L$16),SUBSTITUTE(SUBSTITUTE(TRIM(SUBSTITUTE(SUBSTITUTE(SUBSTITUTE(SUBSTITUTE(INDEX(PASTE_ALL,$DF324,$L$16)," "," "),CHAR(9)," "),CHAR(10)," "),CHAR(13)," ")),",",""),"%","")),"")))</f>
        <v/>
      </c>
      <c r="DY324">
        <f>IF($DM324=0,"",IFERROR(IF(ISNUMBER($DX324),$DX324,IF($DX324="","",IF(TRIM($DX324)="",0,IF(AND(AND(SUBSTITUTE(SUBSTITUTE(SUBSTITUTE(SUBSTITUTE(SUBSTITUTE(SUBSTITUTE(SUBSTITUTE(SUBSTITUTE(SUBSTITUTE(SUBSTITUTE(SUBSTITUTE(SUBSTITUTE(SUBSTITUTE(SUBSTITUTE(UPPER(TRIM($DX324)),"0",""),"1",""),"2",""),"3",""),"4",""),"5",""),"6",""),"7",""),"8",""),"9",""),".",""),"+",""),"-",""),"E","")="",LEN(SUBSTITUTE(SUBSTITUTE(MID(UPPER(TRIM($DX324)),1+OR(LEFT(UPPER(TRIM($DX324)),1)="+",LEFT(UPPER(TRIM($DX324)),1)="-"),999),"E+","E"),"E-","E"))=LEN(SUBSTITUTE(SUBSTITUTE(SUBSTITUTE(SUBSTITUTE(MID(UPPER(TRIM($DX324)),1+OR(LEFT(UPPER(TRIM($DX324)),1)="+",LEFT(UPPER(TRIM($DX324)),1)="-"),999),"E+","E"),"E-","E"),"+",""),"-","")),LEN(UPPER(TRIM($DX324)))-LEN(SUBSTITUTE(UPPER(TRIM($DX324)),"E",""))&lt;2,LEN(UPPER(TRIM($DX324)))-LEN(SUBSTITUTE(UPPER(TRIM($DX324)),".",""))&lt;2,IFERROR(FIND(".",UPPER(TRIM($DX324))),0)&lt;IFERROR(FIND("E",UPPER(TRIM($DX324))),999)),ISNUMBER(VALUE(TRIM($DX324)))),VALUE(TRIM($DX324)),"")))),""))</f>
        <v/>
      </c>
      <c r="DZ324">
        <f>IF($DM324=0,"",IF($L$17=0,"",IFERROR(IF(ISNUMBER(INDEX(PASTE_ALL,$DF324,$L$17)),INDEX(PASTE_ALL,$DF324,$L$17),SUBSTITUTE(SUBSTITUTE(TRIM(SUBSTITUTE(SUBSTITUTE(SUBSTITUTE(SUBSTITUTE(INDEX(PASTE_ALL,$DF324,$L$17)," "," "),CHAR(9)," "),CHAR(10)," "),CHAR(13)," ")),",",""),"%","")),"")))</f>
        <v/>
      </c>
      <c r="EA324">
        <f>IF($DM324=0,"",IFERROR(IF(ISNUMBER($DZ324),$DZ324,IF($DZ324="","",IF(TRIM($DZ324)="",0,IF(AND(AND(SUBSTITUTE(SUBSTITUTE(SUBSTITUTE(SUBSTITUTE(SUBSTITUTE(SUBSTITUTE(SUBSTITUTE(SUBSTITUTE(SUBSTITUTE(SUBSTITUTE(SUBSTITUTE(SUBSTITUTE(SUBSTITUTE(SUBSTITUTE(UPPER(TRIM($DZ324)),"0",""),"1",""),"2",""),"3",""),"4",""),"5",""),"6",""),"7",""),"8",""),"9",""),".",""),"+",""),"-",""),"E","")="",LEN(SUBSTITUTE(SUBSTITUTE(MID(UPPER(TRIM($DZ324)),1+OR(LEFT(UPPER(TRIM($DZ324)),1)="+",LEFT(UPPER(TRIM($DZ324)),1)="-"),999),"E+","E"),"E-","E"))=LEN(SUBSTITUTE(SUBSTITUTE(SUBSTITUTE(SUBSTITUTE(MID(UPPER(TRIM($DZ324)),1+OR(LEFT(UPPER(TRIM($DZ324)),1)="+",LEFT(UPPER(TRIM($DZ324)),1)="-"),999),"E+","E"),"E-","E"),"+",""),"-","")),LEN(UPPER(TRIM($DZ324)))-LEN(SUBSTITUTE(UPPER(TRIM($DZ324)),"E",""))&lt;2,LEN(UPPER(TRIM($DZ324)))-LEN(SUBSTITUTE(UPPER(TRIM($DZ324)),".",""))&lt;2,IFERROR(FIND(".",UPPER(TRIM($DZ324))),0)&lt;IFERROR(FIND("E",UPPER(TRIM($DZ324))),999)),ISNUMBER(VALUE(TRIM($DZ324)))),VALUE(TRIM($DZ324)),"")))),""))</f>
        <v/>
      </c>
      <c r="EB324">
        <f>IF($DM324=0,"",IF($L$18=0,"",IFERROR(IF(UPPER(TRIM(SUBSTITUTE(SUBSTITUTE(SUBSTITUTE(SUBSTITUTE(INDEX(PASTE_ALL,$DF324,$L$18)," "," "),CHAR(9)," "),CHAR(10)," "),CHAR(13)," ")))="READY","Ready",IF(UPPER(TRIM(SUBSTITUTE(SUBSTITUTE(SUBSTITUTE(SUBSTITUTE(INDEX(PASTE_ALL,$DF324,$L$18)," "," "),CHAR(9)," "),CHAR(10)," "),CHAR(13)," ")))="PM","PM",IF(OR(UPPER(TRIM(SUBSTITUTE(SUBSTITUTE(SUBSTITUTE(SUBSTITUTE(INDEX(PASTE_ALL,$DF324,$L$18)," "," "),CHAR(9)," "),CHAR(10)," "),CHAR(13)," ")))="OT",UPPER(TRIM(SUBSTITUTE(SUBSTITUTE(SUBSTITUTE(SUBSTITUTE(INDEX(PASTE_ALL,$DF324,$L$18)," "," "),CHAR(9)," "),CHAR(10)," "),CHAR(13)," ")))="OVERTIME",UPPER(TRIM(SUBSTITUTE(SUBSTITUTE(SUBSTITUTE(SUBSTITUTE(INDEX(PASTE_ALL,$DF324,$L$18)," "," "),CHAR(9)," "),CHAR(10)," "),CHAR(13)," ")))="TRIAL"),"OT",TRIM(SUBSTITUTE(SUBSTITUTE(SUBSTITUTE(SUBSTITUTE(INDEX(PASTE_ALL,$DF324,$L$18)," "," "),CHAR(9)," "),CHAR(10)," "),CHAR(13)," "))))),"")))</f>
        <v/>
      </c>
      <c r="EC324">
        <f>IF($DM324=0,"",IF($L$19=0,"",IFERROR(IF(ISNUMBER(INDEX(PASTE_ALL,$DF324,$L$19)),INDEX(PASTE_ALL,$DF324,$L$19),TRIM(SUBSTITUTE(SUBSTITUTE(SUBSTITUTE(SUBSTITUTE(INDEX(PASTE_ALL,$DF324,$L$19)," "," "),CHAR(9)," "),CHAR(10)," "),CHAR(13)," "))),"")))</f>
        <v/>
      </c>
      <c r="ED324">
        <f>IF($DM324=0,"",MATCH(1,INDEX(EXACT($DH$5:DH324,$DH324)*$DM$5:DM324,0),0))</f>
        <v/>
      </c>
      <c r="EE324">
        <f>IF($DM324=0,0,IF($ED324=$DE324,1,0))</f>
        <v/>
      </c>
      <c r="EF324">
        <f>EF323+$EE324</f>
        <v/>
      </c>
      <c r="EG324">
        <f>IF($DM324=0,"",INDEX($EF$5:$EF$1003,$ED324))</f>
        <v/>
      </c>
      <c r="EH324">
        <f>IF($DM324=0,"",IF($DO324&lt;&gt;"","",IFERROR(LOOKUP(2,1/(($EG$4:EG323=$EG324)*($DO$4:DO323&lt;&gt;"")),$DO$4:DO323),"")))</f>
        <v/>
      </c>
      <c r="EI324">
        <f>IF($DM324=0,"",IF($DO324&lt;&gt;"",$DO324,$EH324))</f>
        <v/>
      </c>
      <c r="EJ324">
        <f>IF($DM324=0,"",IF($EI324="",0,IF(OR(ISNUMBER($EI324),AND(AND(SUBSTITUTE(SUBSTITUTE(SUBSTITUTE(SUBSTITUTE(SUBSTITUTE(SUBSTITUTE(SUBSTITUTE(SUBSTITUTE(SUBSTITUTE(SUBSTITUTE(SUBSTITUTE(SUBSTITUTE(SUBSTITUTE(SUBSTITUTE(UPPER($EI324),"0",""),"1",""),"2",""),"3",""),"4",""),"5",""),"6",""),"7",""),"8",""),"9",""),".",""),"+",""),"-",""),"E","")="",LEN(SUBSTITUTE(SUBSTITUTE(MID(UPPER($EI324),1+OR(LEFT(UPPER($EI324),1)="+",LEFT(UPPER($EI324),1)="-"),999),"E+","E"),"E-","E"))=LEN(SUBSTITUTE(SUBSTITUTE(SUBSTITUTE(SUBSTITUTE(MID(UPPER($EI324),1+OR(LEFT(UPPER($EI324),1)="+",LEFT(UPPER($EI324),1)="-"),999),"E+","E"),"E-","E"),"+",""),"-","")),LEN(UPPER($EI324))-LEN(SUBSTITUTE(UPPER($EI324),"E",""))&lt;2,LEN(UPPER($EI324))-LEN(SUBSTITUTE(UPPER($EI324),".",""))&lt;2,IFERROR(FIND(".",UPPER($EI324)),0)&lt;IFERROR(FIND("E",UPPER($EI324)),999)),ISNUMBER(VALUE($EI324)))),1,2)))</f>
        <v/>
      </c>
      <c r="EK324">
        <f>IF($DM324=0,"",IF($EJ324=1,IF(ISNUMBER($EI324),$EI324,VALUE($EI324)),IF($EJ324=2,$DE324,0)))</f>
        <v/>
      </c>
      <c r="EL324">
        <f>IF($DM324=0,"",COUNTIF($EG$5:$EG$1003,"&lt;"&amp;$EG324)+SUMPRODUCT(($EG$5:$EG$1003=$EG324)*(($EJ$5:$EJ$1003&lt;$EJ324)+($EJ$5:$EJ$1003=$EJ324)*(($EK$5:$EK$1003&lt;$EK324)+($EK$5:$EK$1003=$EK324)*($DE$5:$DE$1003&lt;$DE324))))+1)</f>
        <v/>
      </c>
      <c r="EM324">
        <f>IF($DM324=0,"",$EL324+$EG324-1)</f>
        <v/>
      </c>
      <c r="EN324">
        <f>IF($DM324=0,0,IFERROR(MATCH(1,INDEX(--(TRIM(SUBSTITUTE(SUBSTITUTE(SUBSTITUTE(SUBSTITUTE(LINES_NAME&amp;""," "," "),CHAR(9)," "),CHAR(10)," "),CHAR(13)," "))=$DH324),0),0),0))</f>
        <v/>
      </c>
      <c r="EO324">
        <f>IF($EN324=0,0,IF(OR(UPPER(TRIM(INDEX(LINES_SCHEDULED,$EN324)&amp;""))="YES",UPPER(TRIM(INDEX(LINES_SCHEDULED,$EN324)&amp;""))="Y",UPPER(TRIM(INDEX(LINES_SCHEDULED,$EN324)&amp;""))="X"),1,0))</f>
        <v/>
      </c>
      <c r="EP324">
        <f>IF($DM324=0,"",IF(COUNTIFS($EG$5:$EG$1003,$EG324,$EB$5:$EB$1003,"Ready")&gt;0,"READY",IF(COUNTIFS($EG$5:$EG$1003,$EG324,$EB$5:$EB$1003,"PM")&gt;0,"PM",IF(COUNTIFS($EG$5:$EG$1003,$EG324,$EB$5:$EB$1003,"OT")&gt;0,"OT",""))))</f>
        <v/>
      </c>
      <c r="EQ324">
        <f>IF($EN324=0,"",UPPER(TRIM(INDEX(LINES_STATUS,$EN324)&amp;"")))</f>
        <v/>
      </c>
      <c r="ER324">
        <f>IF($DM324=0,"",IF(OR($EQ324="READY",$EQ324="PM",$EQ324="OT"),$EQ324,$EP324))</f>
        <v/>
      </c>
      <c r="ES324">
        <f>IF($DM324=0,"",IF(AND($DV324&lt;&gt;"",UPPER($DV324)&lt;&gt;"N"),"allergen",IF(ISNUMBER(SEARCH("oil",$DQ324)),"oil",IF(OR(EXACT($DS324,"A662"),EXACT($DS324,"A624")),"bulk",""))))</f>
        <v/>
      </c>
      <c r="ET324">
        <f>IF($DM324=0,"",IF(OR($EA324="",$EA324=0),"",$EA324/100))</f>
        <v/>
      </c>
      <c r="EU324">
        <f>IF(OR($ET324="",$DY324=""),"",INT($DY324*(1-$ET324)+0.5))</f>
        <v/>
      </c>
      <c r="EW324" t="n">
        <v>320</v>
      </c>
      <c r="EX324">
        <f>IFERROR(MATCH($EW324,$EM$5:$EM$1003,0),0)</f>
        <v/>
      </c>
      <c r="EY324">
        <f>IF($EW324&gt;$B$12,"",IF($EX324&gt;0,"row","spacer"))</f>
        <v/>
      </c>
      <c r="EZ324">
        <f>IF(AND($EY324="row",$EY323&lt;&gt;"row"),1,0)</f>
        <v/>
      </c>
      <c r="FA324">
        <f>IF(AND($EY324="row",$EY325&lt;&gt;"row"),1,0)</f>
        <v/>
      </c>
      <c r="FB324">
        <f>IF($EZ324=1,IFERROR(IF(ISNUMBER(INDEX(PASTE_ALL,INDEX($DF$5:$DF$1003,$EX324),$B$37)),INDEX(PASTE_ALL,INDEX($DF$5:$DF$1003,$EX324),$B$37),INDEX($DH$5:$DH$1003,$EX324)),INDEX($DH$5:$DH$1003,$EX324)),"")</f>
        <v/>
      </c>
      <c r="FC324">
        <f>IF($EY324="row",INDEX($ER$5:$ER$1003,$EX324),"")</f>
        <v/>
      </c>
      <c r="FD324">
        <f>IF($EY324="row",INDEX($DN$5:$DN$1003,$EX324),"")</f>
        <v/>
      </c>
      <c r="FE324">
        <f>IF($EY324="row",INDEX($DO$5:$DO$1003,$EX324),"")</f>
        <v/>
      </c>
      <c r="FF324">
        <f>IF($EY324="row",INDEX($DP$5:$DP$1003,$EX324),"")</f>
        <v/>
      </c>
      <c r="FG324">
        <f>IF($EY324="row",INDEX($DQ$5:$DQ$1003,$EX324),"")</f>
        <v/>
      </c>
      <c r="FH324">
        <f>IF($EY324="row",INDEX($DR$5:$DR$1003,$EX324),"")</f>
        <v/>
      </c>
      <c r="FI324">
        <f>IF($EY324="row",INDEX($DS$5:$DS$1003,$EX324),"")</f>
        <v/>
      </c>
      <c r="FJ324">
        <f>IF($EY324="row",INDEX($DT$5:$DT$1003,$EX324),"")</f>
        <v/>
      </c>
      <c r="FK324">
        <f>IF($EY324="row",INDEX($DU$5:$DU$1003,$EX324),"")</f>
        <v/>
      </c>
      <c r="FL324">
        <f>IF($EY324="row",INDEX($DV$5:$DV$1003,$EX324),"")</f>
        <v/>
      </c>
      <c r="FM324">
        <f>IF($EY324="row",INDEX($DW$5:$DW$1003,$EX324),"")</f>
        <v/>
      </c>
      <c r="FN324">
        <f>IF($EY324="row",INDEX($DY$5:$DY$1003,$EX324),"")</f>
        <v/>
      </c>
      <c r="FO324">
        <f>IF($EY324="row",INDEX($EA$5:$EA$1003,$EX324),"")</f>
        <v/>
      </c>
      <c r="FP324">
        <f>IF($EY324="row",INDEX($EC$5:$EC$1003,$EX324),"")</f>
        <v/>
      </c>
      <c r="FQ324">
        <f>IF($EY324="row",INDEX($ET$5:$ET$1003,$EX324),"")</f>
        <v/>
      </c>
      <c r="FR324">
        <f>IF($EY324="row",INDEX($EU$5:$EU$1003,$EX324),"")</f>
        <v/>
      </c>
      <c r="FS324">
        <f>IF(AND($EY324="row",$EY323="row"),IF(OR(INDEX($DT$5:$DT$1003,$EX323)="",INDEX($DT$5:$DT$1003,$EX324)=""),"",IF(NOT(EXACT(INDEX($DT$5:$DT$1003,$EX323),INDEX($DT$5:$DT$1003,$EX324))),"S4",IF(NOT(EXACT(INDEX($DS$5:$DS$1003,$EX323),INDEX($DS$5:$DS$1003,$EX324))),"S3",IF(NOT(EXACT(INDEX($DR$5:$DR$1003,$EX323),INDEX($DR$5:$DR$1003,$EX324))),"S1 Count Change","S1")))),"")</f>
        <v/>
      </c>
      <c r="FT324">
        <f>IF($EY324="row",INDEX($ES$5:$ES$1003,$EX324),"")</f>
        <v/>
      </c>
      <c r="FU324">
        <f>IF($EY324="row",INDEX($EO$5:$EO$1003,$EX324),0)</f>
        <v/>
      </c>
      <c r="FV324">
        <f>IF($FS324="S1 Count Change",1,0)</f>
        <v/>
      </c>
    </row>
    <row r="325">
      <c r="DA325" t="n">
        <v>321</v>
      </c>
      <c r="DB325">
        <f>IF($B$37=0,"",IFERROR(TRIM(SUBSTITUTE(SUBSTITUTE(SUBSTITUTE(SUBSTITUTE(INDEX(PASTE_ALL,321,$B$37)," "," "),CHAR(9)," "),CHAR(10)," "),CHAR(13)," ")),""))</f>
        <v/>
      </c>
      <c r="DC325">
        <f>IF(AND(321&gt;HEADER_ROW,UPPER(DB325)="LEGEND"),1,0)</f>
        <v/>
      </c>
      <c r="DE325" t="n">
        <v>321</v>
      </c>
      <c r="DF325">
        <f>HEADER_ROW+$DE325</f>
        <v/>
      </c>
      <c r="DG325">
        <f>IF(AND($DF325&lt;=1000,$DF325&lt;$B$8),1,0)</f>
        <v/>
      </c>
      <c r="DH325">
        <f>IF($DG325=1,IFERROR(INDEX($DB$5:$DB$1004,$DF325),""),"")</f>
        <v/>
      </c>
      <c r="DI325">
        <f>IF(AND($DG325=1,$DH325&lt;&gt;""),IFERROR(SUBSTITUTE(SUBSTITUTE(TRIM(SUBSTITUTE(SUBSTITUTE(SUBSTITUTE(SUBSTITUTE(IFERROR(INDEX(PASTE_ALL,$DF325,1)&amp;"","")&amp;"␟"&amp;IFERROR(INDEX(PASTE_ALL,$DF325,2)&amp;"","")&amp;"␟"&amp;IFERROR(INDEX(PASTE_ALL,$DF325,3)&amp;"","")&amp;"␟"&amp;IFERROR(INDEX(PASTE_ALL,$DF325,4)&amp;"","")&amp;"␟"&amp;IFERROR(INDEX(PASTE_ALL,$DF325,5)&amp;"","")&amp;"␟"&amp;IFERROR(INDEX(PASTE_ALL,$DF325,6)&amp;"","")&amp;"␟"&amp;IFERROR(INDEX(PASTE_ALL,$DF325,7)&amp;"","")&amp;"␟"&amp;IFERROR(INDEX(PASTE_ALL,$DF325,8)&amp;"","")&amp;"␟"&amp;IFERROR(INDEX(PASTE_ALL,$DF325,9)&amp;"","")&amp;"␟"&amp;IFERROR(INDEX(PASTE_ALL,$DF325,10)&amp;"","")&amp;"␟"&amp;IFERROR(INDEX(PASTE_ALL,$DF325,11)&amp;"","")&amp;"␟"&amp;IFERROR(INDEX(PASTE_ALL,$DF325,12)&amp;"","")&amp;"␟"&amp;IFERROR(INDEX(PASTE_ALL,$DF325,13)&amp;"","")&amp;"␟"&amp;IFERROR(INDEX(PASTE_ALL,$DF325,14)&amp;"","")&amp;"␟"&amp;IFERROR(INDEX(PASTE_ALL,$DF325,15)&amp;"","")&amp;"␟"&amp;IFERROR(INDEX(PASTE_ALL,$DF325,16)&amp;"","")&amp;"␟"&amp;IFERROR(INDEX(PASTE_ALL,$DF325,17)&amp;"","")&amp;"␟"&amp;IFERROR(INDEX(PASTE_ALL,$DF325,18)&amp;"","")&amp;"␟"&amp;IFERROR(INDEX(PASTE_ALL,$DF325,19)&amp;"","")&amp;"␟"&amp;IFERROR(INDEX(PASTE_ALL,$DF325,20)&amp;"","")&amp;"␟"&amp;IFERROR(INDEX(PASTE_ALL,$DF325,21)&amp;"","")&amp;"␟"&amp;IFERROR(INDEX(PASTE_ALL,$DF325,22)&amp;"","")&amp;"␟"&amp;IFERROR(INDEX(PASTE_ALL,$DF325,23)&amp;"","")&amp;"␟"&amp;IFERROR(INDEX(PASTE_ALL,$DF325,24)&amp;"","")&amp;"␟"&amp;IFERROR(INDEX(PASTE_ALL,$DF325,25)&amp;"","")&amp;"␟"&amp;IFERROR(INDEX(PASTE_ALL,$DF325,26)&amp;"","")&amp;"␟"&amp;IFERROR(INDEX(PASTE_ALL,$DF325,27)&amp;"","")&amp;"␟"&amp;IFERROR(INDEX(PASTE_ALL,$DF325,28)&amp;"","")&amp;"␟"&amp;IFERROR(INDEX(PASTE_ALL,$DF325,29)&amp;"","")&amp;"␟"&amp;IFERROR(INDEX(PASTE_ALL,$DF325,30)&amp;"","")&amp;"␟"&amp;IFERROR(INDEX(PASTE_ALL,$DF325,31)&amp;"","")&amp;"␟"&amp;IFERROR(INDEX(PASTE_ALL,$DF325,32)&amp;"","")&amp;"␟"&amp;IFERROR(INDEX(PASTE_ALL,$DF325,33)&amp;"","")&amp;"␟"&amp;IFERROR(INDEX(PASTE_ALL,$DF325,34)&amp;"","")&amp;"␟"&amp;IFERROR(INDEX(PASTE_ALL,$DF325,35)&amp;"","")&amp;"␟"&amp;IFERROR(INDEX(PASTE_ALL,$DF325,36)&amp;"","")&amp;"␟"&amp;IFERROR(INDEX(PASTE_ALL,$DF325,37)&amp;"","")&amp;"␟"&amp;IFERROR(INDEX(PASTE_ALL,$DF325,38)&amp;"","")&amp;"␟"&amp;IFERROR(INDEX(PASTE_ALL,$DF325,39)&amp;"","")&amp;"␟"&amp;IFERROR(INDEX(PASTE_ALL,$DF325,40)&amp;"","")&amp;"␟"&amp;IFERROR(INDEX(PASTE_ALL,$DF325,41)&amp;"","")&amp;"␟"&amp;IFERROR(INDEX(PASTE_ALL,$DF325,42)&amp;"","")&amp;"␟"&amp;IFERROR(INDEX(PASTE_ALL,$DF325,43)&amp;"","")&amp;"␟"&amp;IFERROR(INDEX(PASTE_ALL,$DF325,44)&amp;"","")&amp;"␟"&amp;IFERROR(INDEX(PASTE_ALL,$DF325,45)&amp;"","")&amp;"␟"&amp;IFERROR(INDEX(PASTE_ALL,$DF325,46)&amp;"","")&amp;"␟"&amp;IFERROR(INDEX(PASTE_ALL,$DF325,47)&amp;"","")&amp;"␟"&amp;IFERROR(INDEX(PASTE_ALL,$DF325,48)&amp;"","")&amp;"␟"&amp;IFERROR(INDEX(PASTE_ALL,$DF325,49)&amp;"","")&amp;"␟"&amp;IFERROR(INDEX(PASTE_ALL,$DF325,50)&amp;"","")&amp;"␟"&amp;IFERROR(INDEX(PASTE_ALL,$DF325,51)&amp;"","")&amp;"␟"&amp;IFERROR(INDEX(PASTE_ALL,$DF325,52)&amp;"","")&amp;"␟"&amp;IFERROR(INDEX(PASTE_ALL,$DF325,53)&amp;"","")&amp;"␟"&amp;IFERROR(INDEX(PASTE_ALL,$DF325,54)&amp;"","")&amp;"␟"&amp;IFERROR(INDEX(PASTE_ALL,$DF325,55)&amp;"","")&amp;"␟"&amp;IFERROR(INDEX(PASTE_ALL,$DF325,56)&amp;"","")&amp;"␟"&amp;IFERROR(INDEX(PASTE_ALL,$DF325,57)&amp;"","")&amp;"␟"&amp;IFERROR(INDEX(PASTE_ALL,$DF325,58)&amp;"","")&amp;"␟"&amp;IFERROR(INDEX(PASTE_ALL,$DF325,59)&amp;"","")&amp;"␟"&amp;IFERROR(INDEX(PASTE_ALL,$DF325,60)&amp;"","")," "," "),CHAR(9)," "),CHAR(10)," "),CHAR(13)," "))," ␟","␟"),"␟ ","␟"),"#"&amp;$DE325),"")</f>
        <v/>
      </c>
      <c r="DJ325">
        <f>IF($DI325="",0,IF(SUMPRODUCT(--EXACT($DI$4:DI324,$DI325))&gt;0,1,0))</f>
        <v/>
      </c>
      <c r="DK325">
        <f>IF(AND($DI325&lt;&gt;"",$DJ325=0),1,0)</f>
        <v/>
      </c>
      <c r="DL325">
        <f>DL324+$DK325</f>
        <v/>
      </c>
      <c r="DM325">
        <f>IF(AND($DK325=1,$DL325&lt;=600),1,0)</f>
        <v/>
      </c>
      <c r="DN325">
        <f>IF($DM325=0,"",IF($L$6=0,"",IFERROR(IF(ISNUMBER(INDEX(PASTE_ALL,$DF325,$L$6)),INDEX(PASTE_ALL,$DF325,$L$6),TRIM(SUBSTITUTE(SUBSTITUTE(SUBSTITUTE(SUBSTITUTE(INDEX(PASTE_ALL,$DF325,$L$6)," "," "),CHAR(9)," "),CHAR(10)," "),CHAR(13)," "))),"")))</f>
        <v/>
      </c>
      <c r="DO325">
        <f>IF($DM325=0,"",IF($L$7=0,"",IFERROR(IF(ISNUMBER(INDEX(PASTE_ALL,$DF325,$L$7)),INDEX(PASTE_ALL,$DF325,$L$7),TRIM(SUBSTITUTE(SUBSTITUTE(SUBSTITUTE(SUBSTITUTE(INDEX(PASTE_ALL,$DF325,$L$7)," "," "),CHAR(9)," "),CHAR(10)," "),CHAR(13)," "))),"")))</f>
        <v/>
      </c>
      <c r="DP325">
        <f>IF($DM325=0,"",IF($L$8=0,"",IFERROR(IF(ISNUMBER(INDEX(PASTE_ALL,$DF325,$L$8)),INDEX(PASTE_ALL,$DF325,$L$8),TRIM(SUBSTITUTE(SUBSTITUTE(SUBSTITUTE(SUBSTITUTE(INDEX(PASTE_ALL,$DF325,$L$8)," "," "),CHAR(9)," "),CHAR(10)," "),CHAR(13)," "))),"")))</f>
        <v/>
      </c>
      <c r="DQ325">
        <f>IF($DM325=0,"",IF($L$9=0,"",IFERROR(IF(ISNUMBER(INDEX(PASTE_ALL,$DF325,$L$9)),INDEX(PASTE_ALL,$DF325,$L$9),TRIM(SUBSTITUTE(SUBSTITUTE(SUBSTITUTE(SUBSTITUTE(INDEX(PASTE_ALL,$DF325,$L$9)," "," "),CHAR(9)," "),CHAR(10)," "),CHAR(13)," "))),"")))</f>
        <v/>
      </c>
      <c r="DR325">
        <f>IF($DM325=0,"",IF($L$10=0,"",IFERROR(IF(ISNUMBER(INDEX(PASTE_ALL,$DF325,$L$10)),INDEX(PASTE_ALL,$DF325,$L$10),TRIM(SUBSTITUTE(SUBSTITUTE(SUBSTITUTE(SUBSTITUTE(INDEX(PASTE_ALL,$DF325,$L$10)," "," "),CHAR(9)," "),CHAR(10)," "),CHAR(13)," "))),"")))</f>
        <v/>
      </c>
      <c r="DS325">
        <f>IF($DM325=0,"",IF($L$11=0,"",IFERROR(IF(ISNUMBER(INDEX(PASTE_ALL,$DF325,$L$11)),INDEX(PASTE_ALL,$DF325,$L$11),TRIM(SUBSTITUTE(SUBSTITUTE(SUBSTITUTE(SUBSTITUTE(INDEX(PASTE_ALL,$DF325,$L$11)," "," "),CHAR(9)," "),CHAR(10)," "),CHAR(13)," "))),"")))</f>
        <v/>
      </c>
      <c r="DT325">
        <f>IF($DM325=0,"",IF($L$12=0,"",IFERROR(IF(ISNUMBER(INDEX(PASTE_ALL,$DF325,$L$12)),INDEX(PASTE_ALL,$DF325,$L$12),TRIM(SUBSTITUTE(SUBSTITUTE(SUBSTITUTE(SUBSTITUTE(INDEX(PASTE_ALL,$DF325,$L$12)," "," "),CHAR(9)," "),CHAR(10)," "),CHAR(13)," "))),"")))</f>
        <v/>
      </c>
      <c r="DU325">
        <f>IF($DM325=0,"",IF($L$13=0,"",IFERROR(IF(ISNUMBER(INDEX(PASTE_ALL,$DF325,$L$13)),INDEX(PASTE_ALL,$DF325,$L$13),TRIM(SUBSTITUTE(SUBSTITUTE(SUBSTITUTE(SUBSTITUTE(INDEX(PASTE_ALL,$DF325,$L$13)," "," "),CHAR(9)," "),CHAR(10)," "),CHAR(13)," "))),"")))</f>
        <v/>
      </c>
      <c r="DV325">
        <f>IF($DM325=0,"",IF($L$14=0,"",IFERROR(IF(ISNUMBER(INDEX(PASTE_ALL,$DF325,$L$14)),INDEX(PASTE_ALL,$DF325,$L$14),TRIM(SUBSTITUTE(SUBSTITUTE(SUBSTITUTE(SUBSTITUTE(INDEX(PASTE_ALL,$DF325,$L$14)," "," "),CHAR(9)," "),CHAR(10)," "),CHAR(13)," "))),"")))</f>
        <v/>
      </c>
      <c r="DW325">
        <f>IF($DM325=0,"",IF($L$15=0,"",IFERROR(IF(ISNUMBER(INDEX(PASTE_ALL,$DF325,$L$15)),INDEX(PASTE_ALL,$DF325,$L$15),IF(SUMPRODUCT(--ISNUMBER(FIND({"A","B","C","D","E","F","G","H","I","J","K","L","M","N","O","P","Q","R","S","T","U","V","W","X","Y","Z","0","1","2","3","4","5","6","7","8","9"},UPPER(TRIM(SUBSTITUTE(SUBSTITUTE(SUBSTITUTE(SUBSTITUTE(INDEX(PASTE_ALL,$DF325,$L$15)," "," "),CHAR(9)," "),CHAR(10)," "),CHAR(13)," "))))))&gt;0,TRIM(SUBSTITUTE(SUBSTITUTE(SUBSTITUTE(SUBSTITUTE(INDEX(PASTE_ALL,$DF325,$L$15)," "," "),CHAR(9)," "),CHAR(10)," "),CHAR(13)," ")),"")),"")))</f>
        <v/>
      </c>
      <c r="DX325">
        <f>IF($DM325=0,"",IF($L$16=0,"",IFERROR(IF(ISNUMBER(INDEX(PASTE_ALL,$DF325,$L$16)),INDEX(PASTE_ALL,$DF325,$L$16),SUBSTITUTE(SUBSTITUTE(TRIM(SUBSTITUTE(SUBSTITUTE(SUBSTITUTE(SUBSTITUTE(INDEX(PASTE_ALL,$DF325,$L$16)," "," "),CHAR(9)," "),CHAR(10)," "),CHAR(13)," ")),",",""),"%","")),"")))</f>
        <v/>
      </c>
      <c r="DY325">
        <f>IF($DM325=0,"",IFERROR(IF(ISNUMBER($DX325),$DX325,IF($DX325="","",IF(TRIM($DX325)="",0,IF(AND(AND(SUBSTITUTE(SUBSTITUTE(SUBSTITUTE(SUBSTITUTE(SUBSTITUTE(SUBSTITUTE(SUBSTITUTE(SUBSTITUTE(SUBSTITUTE(SUBSTITUTE(SUBSTITUTE(SUBSTITUTE(SUBSTITUTE(SUBSTITUTE(UPPER(TRIM($DX325)),"0",""),"1",""),"2",""),"3",""),"4",""),"5",""),"6",""),"7",""),"8",""),"9",""),".",""),"+",""),"-",""),"E","")="",LEN(SUBSTITUTE(SUBSTITUTE(MID(UPPER(TRIM($DX325)),1+OR(LEFT(UPPER(TRIM($DX325)),1)="+",LEFT(UPPER(TRIM($DX325)),1)="-"),999),"E+","E"),"E-","E"))=LEN(SUBSTITUTE(SUBSTITUTE(SUBSTITUTE(SUBSTITUTE(MID(UPPER(TRIM($DX325)),1+OR(LEFT(UPPER(TRIM($DX325)),1)="+",LEFT(UPPER(TRIM($DX325)),1)="-"),999),"E+","E"),"E-","E"),"+",""),"-","")),LEN(UPPER(TRIM($DX325)))-LEN(SUBSTITUTE(UPPER(TRIM($DX325)),"E",""))&lt;2,LEN(UPPER(TRIM($DX325)))-LEN(SUBSTITUTE(UPPER(TRIM($DX325)),".",""))&lt;2,IFERROR(FIND(".",UPPER(TRIM($DX325))),0)&lt;IFERROR(FIND("E",UPPER(TRIM($DX325))),999)),ISNUMBER(VALUE(TRIM($DX325)))),VALUE(TRIM($DX325)),"")))),""))</f>
        <v/>
      </c>
      <c r="DZ325">
        <f>IF($DM325=0,"",IF($L$17=0,"",IFERROR(IF(ISNUMBER(INDEX(PASTE_ALL,$DF325,$L$17)),INDEX(PASTE_ALL,$DF325,$L$17),SUBSTITUTE(SUBSTITUTE(TRIM(SUBSTITUTE(SUBSTITUTE(SUBSTITUTE(SUBSTITUTE(INDEX(PASTE_ALL,$DF325,$L$17)," "," "),CHAR(9)," "),CHAR(10)," "),CHAR(13)," ")),",",""),"%","")),"")))</f>
        <v/>
      </c>
      <c r="EA325">
        <f>IF($DM325=0,"",IFERROR(IF(ISNUMBER($DZ325),$DZ325,IF($DZ325="","",IF(TRIM($DZ325)="",0,IF(AND(AND(SUBSTITUTE(SUBSTITUTE(SUBSTITUTE(SUBSTITUTE(SUBSTITUTE(SUBSTITUTE(SUBSTITUTE(SUBSTITUTE(SUBSTITUTE(SUBSTITUTE(SUBSTITUTE(SUBSTITUTE(SUBSTITUTE(SUBSTITUTE(UPPER(TRIM($DZ325)),"0",""),"1",""),"2",""),"3",""),"4",""),"5",""),"6",""),"7",""),"8",""),"9",""),".",""),"+",""),"-",""),"E","")="",LEN(SUBSTITUTE(SUBSTITUTE(MID(UPPER(TRIM($DZ325)),1+OR(LEFT(UPPER(TRIM($DZ325)),1)="+",LEFT(UPPER(TRIM($DZ325)),1)="-"),999),"E+","E"),"E-","E"))=LEN(SUBSTITUTE(SUBSTITUTE(SUBSTITUTE(SUBSTITUTE(MID(UPPER(TRIM($DZ325)),1+OR(LEFT(UPPER(TRIM($DZ325)),1)="+",LEFT(UPPER(TRIM($DZ325)),1)="-"),999),"E+","E"),"E-","E"),"+",""),"-","")),LEN(UPPER(TRIM($DZ325)))-LEN(SUBSTITUTE(UPPER(TRIM($DZ325)),"E",""))&lt;2,LEN(UPPER(TRIM($DZ325)))-LEN(SUBSTITUTE(UPPER(TRIM($DZ325)),".",""))&lt;2,IFERROR(FIND(".",UPPER(TRIM($DZ325))),0)&lt;IFERROR(FIND("E",UPPER(TRIM($DZ325))),999)),ISNUMBER(VALUE(TRIM($DZ325)))),VALUE(TRIM($DZ325)),"")))),""))</f>
        <v/>
      </c>
      <c r="EB325">
        <f>IF($DM325=0,"",IF($L$18=0,"",IFERROR(IF(UPPER(TRIM(SUBSTITUTE(SUBSTITUTE(SUBSTITUTE(SUBSTITUTE(INDEX(PASTE_ALL,$DF325,$L$18)," "," "),CHAR(9)," "),CHAR(10)," "),CHAR(13)," ")))="READY","Ready",IF(UPPER(TRIM(SUBSTITUTE(SUBSTITUTE(SUBSTITUTE(SUBSTITUTE(INDEX(PASTE_ALL,$DF325,$L$18)," "," "),CHAR(9)," "),CHAR(10)," "),CHAR(13)," ")))="PM","PM",IF(OR(UPPER(TRIM(SUBSTITUTE(SUBSTITUTE(SUBSTITUTE(SUBSTITUTE(INDEX(PASTE_ALL,$DF325,$L$18)," "," "),CHAR(9)," "),CHAR(10)," "),CHAR(13)," ")))="OT",UPPER(TRIM(SUBSTITUTE(SUBSTITUTE(SUBSTITUTE(SUBSTITUTE(INDEX(PASTE_ALL,$DF325,$L$18)," "," "),CHAR(9)," "),CHAR(10)," "),CHAR(13)," ")))="OVERTIME",UPPER(TRIM(SUBSTITUTE(SUBSTITUTE(SUBSTITUTE(SUBSTITUTE(INDEX(PASTE_ALL,$DF325,$L$18)," "," "),CHAR(9)," "),CHAR(10)," "),CHAR(13)," ")))="TRIAL"),"OT",TRIM(SUBSTITUTE(SUBSTITUTE(SUBSTITUTE(SUBSTITUTE(INDEX(PASTE_ALL,$DF325,$L$18)," "," "),CHAR(9)," "),CHAR(10)," "),CHAR(13)," "))))),"")))</f>
        <v/>
      </c>
      <c r="EC325">
        <f>IF($DM325=0,"",IF($L$19=0,"",IFERROR(IF(ISNUMBER(INDEX(PASTE_ALL,$DF325,$L$19)),INDEX(PASTE_ALL,$DF325,$L$19),TRIM(SUBSTITUTE(SUBSTITUTE(SUBSTITUTE(SUBSTITUTE(INDEX(PASTE_ALL,$DF325,$L$19)," "," "),CHAR(9)," "),CHAR(10)," "),CHAR(13)," "))),"")))</f>
        <v/>
      </c>
      <c r="ED325">
        <f>IF($DM325=0,"",MATCH(1,INDEX(EXACT($DH$5:DH325,$DH325)*$DM$5:DM325,0),0))</f>
        <v/>
      </c>
      <c r="EE325">
        <f>IF($DM325=0,0,IF($ED325=$DE325,1,0))</f>
        <v/>
      </c>
      <c r="EF325">
        <f>EF324+$EE325</f>
        <v/>
      </c>
      <c r="EG325">
        <f>IF($DM325=0,"",INDEX($EF$5:$EF$1003,$ED325))</f>
        <v/>
      </c>
      <c r="EH325">
        <f>IF($DM325=0,"",IF($DO325&lt;&gt;"","",IFERROR(LOOKUP(2,1/(($EG$4:EG324=$EG325)*($DO$4:DO324&lt;&gt;"")),$DO$4:DO324),"")))</f>
        <v/>
      </c>
      <c r="EI325">
        <f>IF($DM325=0,"",IF($DO325&lt;&gt;"",$DO325,$EH325))</f>
        <v/>
      </c>
      <c r="EJ325">
        <f>IF($DM325=0,"",IF($EI325="",0,IF(OR(ISNUMBER($EI325),AND(AND(SUBSTITUTE(SUBSTITUTE(SUBSTITUTE(SUBSTITUTE(SUBSTITUTE(SUBSTITUTE(SUBSTITUTE(SUBSTITUTE(SUBSTITUTE(SUBSTITUTE(SUBSTITUTE(SUBSTITUTE(SUBSTITUTE(SUBSTITUTE(UPPER($EI325),"0",""),"1",""),"2",""),"3",""),"4",""),"5",""),"6",""),"7",""),"8",""),"9",""),".",""),"+",""),"-",""),"E","")="",LEN(SUBSTITUTE(SUBSTITUTE(MID(UPPER($EI325),1+OR(LEFT(UPPER($EI325),1)="+",LEFT(UPPER($EI325),1)="-"),999),"E+","E"),"E-","E"))=LEN(SUBSTITUTE(SUBSTITUTE(SUBSTITUTE(SUBSTITUTE(MID(UPPER($EI325),1+OR(LEFT(UPPER($EI325),1)="+",LEFT(UPPER($EI325),1)="-"),999),"E+","E"),"E-","E"),"+",""),"-","")),LEN(UPPER($EI325))-LEN(SUBSTITUTE(UPPER($EI325),"E",""))&lt;2,LEN(UPPER($EI325))-LEN(SUBSTITUTE(UPPER($EI325),".",""))&lt;2,IFERROR(FIND(".",UPPER($EI325)),0)&lt;IFERROR(FIND("E",UPPER($EI325)),999)),ISNUMBER(VALUE($EI325)))),1,2)))</f>
        <v/>
      </c>
      <c r="EK325">
        <f>IF($DM325=0,"",IF($EJ325=1,IF(ISNUMBER($EI325),$EI325,VALUE($EI325)),IF($EJ325=2,$DE325,0)))</f>
        <v/>
      </c>
      <c r="EL325">
        <f>IF($DM325=0,"",COUNTIF($EG$5:$EG$1003,"&lt;"&amp;$EG325)+SUMPRODUCT(($EG$5:$EG$1003=$EG325)*(($EJ$5:$EJ$1003&lt;$EJ325)+($EJ$5:$EJ$1003=$EJ325)*(($EK$5:$EK$1003&lt;$EK325)+($EK$5:$EK$1003=$EK325)*($DE$5:$DE$1003&lt;$DE325))))+1)</f>
        <v/>
      </c>
      <c r="EM325">
        <f>IF($DM325=0,"",$EL325+$EG325-1)</f>
        <v/>
      </c>
      <c r="EN325">
        <f>IF($DM325=0,0,IFERROR(MATCH(1,INDEX(--(TRIM(SUBSTITUTE(SUBSTITUTE(SUBSTITUTE(SUBSTITUTE(LINES_NAME&amp;""," "," "),CHAR(9)," "),CHAR(10)," "),CHAR(13)," "))=$DH325),0),0),0))</f>
        <v/>
      </c>
      <c r="EO325">
        <f>IF($EN325=0,0,IF(OR(UPPER(TRIM(INDEX(LINES_SCHEDULED,$EN325)&amp;""))="YES",UPPER(TRIM(INDEX(LINES_SCHEDULED,$EN325)&amp;""))="Y",UPPER(TRIM(INDEX(LINES_SCHEDULED,$EN325)&amp;""))="X"),1,0))</f>
        <v/>
      </c>
      <c r="EP325">
        <f>IF($DM325=0,"",IF(COUNTIFS($EG$5:$EG$1003,$EG325,$EB$5:$EB$1003,"Ready")&gt;0,"READY",IF(COUNTIFS($EG$5:$EG$1003,$EG325,$EB$5:$EB$1003,"PM")&gt;0,"PM",IF(COUNTIFS($EG$5:$EG$1003,$EG325,$EB$5:$EB$1003,"OT")&gt;0,"OT",""))))</f>
        <v/>
      </c>
      <c r="EQ325">
        <f>IF($EN325=0,"",UPPER(TRIM(INDEX(LINES_STATUS,$EN325)&amp;"")))</f>
        <v/>
      </c>
      <c r="ER325">
        <f>IF($DM325=0,"",IF(OR($EQ325="READY",$EQ325="PM",$EQ325="OT"),$EQ325,$EP325))</f>
        <v/>
      </c>
      <c r="ES325">
        <f>IF($DM325=0,"",IF(AND($DV325&lt;&gt;"",UPPER($DV325)&lt;&gt;"N"),"allergen",IF(ISNUMBER(SEARCH("oil",$DQ325)),"oil",IF(OR(EXACT($DS325,"A662"),EXACT($DS325,"A624")),"bulk",""))))</f>
        <v/>
      </c>
      <c r="ET325">
        <f>IF($DM325=0,"",IF(OR($EA325="",$EA325=0),"",$EA325/100))</f>
        <v/>
      </c>
      <c r="EU325">
        <f>IF(OR($ET325="",$DY325=""),"",INT($DY325*(1-$ET325)+0.5))</f>
        <v/>
      </c>
      <c r="EW325" t="n">
        <v>321</v>
      </c>
      <c r="EX325">
        <f>IFERROR(MATCH($EW325,$EM$5:$EM$1003,0),0)</f>
        <v/>
      </c>
      <c r="EY325">
        <f>IF($EW325&gt;$B$12,"",IF($EX325&gt;0,"row","spacer"))</f>
        <v/>
      </c>
      <c r="EZ325">
        <f>IF(AND($EY325="row",$EY324&lt;&gt;"row"),1,0)</f>
        <v/>
      </c>
      <c r="FA325">
        <f>IF(AND($EY325="row",$EY326&lt;&gt;"row"),1,0)</f>
        <v/>
      </c>
      <c r="FB325">
        <f>IF($EZ325=1,IFERROR(IF(ISNUMBER(INDEX(PASTE_ALL,INDEX($DF$5:$DF$1003,$EX325),$B$37)),INDEX(PASTE_ALL,INDEX($DF$5:$DF$1003,$EX325),$B$37),INDEX($DH$5:$DH$1003,$EX325)),INDEX($DH$5:$DH$1003,$EX325)),"")</f>
        <v/>
      </c>
      <c r="FC325">
        <f>IF($EY325="row",INDEX($ER$5:$ER$1003,$EX325),"")</f>
        <v/>
      </c>
      <c r="FD325">
        <f>IF($EY325="row",INDEX($DN$5:$DN$1003,$EX325),"")</f>
        <v/>
      </c>
      <c r="FE325">
        <f>IF($EY325="row",INDEX($DO$5:$DO$1003,$EX325),"")</f>
        <v/>
      </c>
      <c r="FF325">
        <f>IF($EY325="row",INDEX($DP$5:$DP$1003,$EX325),"")</f>
        <v/>
      </c>
      <c r="FG325">
        <f>IF($EY325="row",INDEX($DQ$5:$DQ$1003,$EX325),"")</f>
        <v/>
      </c>
      <c r="FH325">
        <f>IF($EY325="row",INDEX($DR$5:$DR$1003,$EX325),"")</f>
        <v/>
      </c>
      <c r="FI325">
        <f>IF($EY325="row",INDEX($DS$5:$DS$1003,$EX325),"")</f>
        <v/>
      </c>
      <c r="FJ325">
        <f>IF($EY325="row",INDEX($DT$5:$DT$1003,$EX325),"")</f>
        <v/>
      </c>
      <c r="FK325">
        <f>IF($EY325="row",INDEX($DU$5:$DU$1003,$EX325),"")</f>
        <v/>
      </c>
      <c r="FL325">
        <f>IF($EY325="row",INDEX($DV$5:$DV$1003,$EX325),"")</f>
        <v/>
      </c>
      <c r="FM325">
        <f>IF($EY325="row",INDEX($DW$5:$DW$1003,$EX325),"")</f>
        <v/>
      </c>
      <c r="FN325">
        <f>IF($EY325="row",INDEX($DY$5:$DY$1003,$EX325),"")</f>
        <v/>
      </c>
      <c r="FO325">
        <f>IF($EY325="row",INDEX($EA$5:$EA$1003,$EX325),"")</f>
        <v/>
      </c>
      <c r="FP325">
        <f>IF($EY325="row",INDEX($EC$5:$EC$1003,$EX325),"")</f>
        <v/>
      </c>
      <c r="FQ325">
        <f>IF($EY325="row",INDEX($ET$5:$ET$1003,$EX325),"")</f>
        <v/>
      </c>
      <c r="FR325">
        <f>IF($EY325="row",INDEX($EU$5:$EU$1003,$EX325),"")</f>
        <v/>
      </c>
      <c r="FS325">
        <f>IF(AND($EY325="row",$EY324="row"),IF(OR(INDEX($DT$5:$DT$1003,$EX324)="",INDEX($DT$5:$DT$1003,$EX325)=""),"",IF(NOT(EXACT(INDEX($DT$5:$DT$1003,$EX324),INDEX($DT$5:$DT$1003,$EX325))),"S4",IF(NOT(EXACT(INDEX($DS$5:$DS$1003,$EX324),INDEX($DS$5:$DS$1003,$EX325))),"S3",IF(NOT(EXACT(INDEX($DR$5:$DR$1003,$EX324),INDEX($DR$5:$DR$1003,$EX325))),"S1 Count Change","S1")))),"")</f>
        <v/>
      </c>
      <c r="FT325">
        <f>IF($EY325="row",INDEX($ES$5:$ES$1003,$EX325),"")</f>
        <v/>
      </c>
      <c r="FU325">
        <f>IF($EY325="row",INDEX($EO$5:$EO$1003,$EX325),0)</f>
        <v/>
      </c>
      <c r="FV325">
        <f>IF($FS325="S1 Count Change",1,0)</f>
        <v/>
      </c>
    </row>
    <row r="326">
      <c r="DA326" t="n">
        <v>322</v>
      </c>
      <c r="DB326">
        <f>IF($B$37=0,"",IFERROR(TRIM(SUBSTITUTE(SUBSTITUTE(SUBSTITUTE(SUBSTITUTE(INDEX(PASTE_ALL,322,$B$37)," "," "),CHAR(9)," "),CHAR(10)," "),CHAR(13)," ")),""))</f>
        <v/>
      </c>
      <c r="DC326">
        <f>IF(AND(322&gt;HEADER_ROW,UPPER(DB326)="LEGEND"),1,0)</f>
        <v/>
      </c>
      <c r="DE326" t="n">
        <v>322</v>
      </c>
      <c r="DF326">
        <f>HEADER_ROW+$DE326</f>
        <v/>
      </c>
      <c r="DG326">
        <f>IF(AND($DF326&lt;=1000,$DF326&lt;$B$8),1,0)</f>
        <v/>
      </c>
      <c r="DH326">
        <f>IF($DG326=1,IFERROR(INDEX($DB$5:$DB$1004,$DF326),""),"")</f>
        <v/>
      </c>
      <c r="DI326">
        <f>IF(AND($DG326=1,$DH326&lt;&gt;""),IFERROR(SUBSTITUTE(SUBSTITUTE(TRIM(SUBSTITUTE(SUBSTITUTE(SUBSTITUTE(SUBSTITUTE(IFERROR(INDEX(PASTE_ALL,$DF326,1)&amp;"","")&amp;"␟"&amp;IFERROR(INDEX(PASTE_ALL,$DF326,2)&amp;"","")&amp;"␟"&amp;IFERROR(INDEX(PASTE_ALL,$DF326,3)&amp;"","")&amp;"␟"&amp;IFERROR(INDEX(PASTE_ALL,$DF326,4)&amp;"","")&amp;"␟"&amp;IFERROR(INDEX(PASTE_ALL,$DF326,5)&amp;"","")&amp;"␟"&amp;IFERROR(INDEX(PASTE_ALL,$DF326,6)&amp;"","")&amp;"␟"&amp;IFERROR(INDEX(PASTE_ALL,$DF326,7)&amp;"","")&amp;"␟"&amp;IFERROR(INDEX(PASTE_ALL,$DF326,8)&amp;"","")&amp;"␟"&amp;IFERROR(INDEX(PASTE_ALL,$DF326,9)&amp;"","")&amp;"␟"&amp;IFERROR(INDEX(PASTE_ALL,$DF326,10)&amp;"","")&amp;"␟"&amp;IFERROR(INDEX(PASTE_ALL,$DF326,11)&amp;"","")&amp;"␟"&amp;IFERROR(INDEX(PASTE_ALL,$DF326,12)&amp;"","")&amp;"␟"&amp;IFERROR(INDEX(PASTE_ALL,$DF326,13)&amp;"","")&amp;"␟"&amp;IFERROR(INDEX(PASTE_ALL,$DF326,14)&amp;"","")&amp;"␟"&amp;IFERROR(INDEX(PASTE_ALL,$DF326,15)&amp;"","")&amp;"␟"&amp;IFERROR(INDEX(PASTE_ALL,$DF326,16)&amp;"","")&amp;"␟"&amp;IFERROR(INDEX(PASTE_ALL,$DF326,17)&amp;"","")&amp;"␟"&amp;IFERROR(INDEX(PASTE_ALL,$DF326,18)&amp;"","")&amp;"␟"&amp;IFERROR(INDEX(PASTE_ALL,$DF326,19)&amp;"","")&amp;"␟"&amp;IFERROR(INDEX(PASTE_ALL,$DF326,20)&amp;"","")&amp;"␟"&amp;IFERROR(INDEX(PASTE_ALL,$DF326,21)&amp;"","")&amp;"␟"&amp;IFERROR(INDEX(PASTE_ALL,$DF326,22)&amp;"","")&amp;"␟"&amp;IFERROR(INDEX(PASTE_ALL,$DF326,23)&amp;"","")&amp;"␟"&amp;IFERROR(INDEX(PASTE_ALL,$DF326,24)&amp;"","")&amp;"␟"&amp;IFERROR(INDEX(PASTE_ALL,$DF326,25)&amp;"","")&amp;"␟"&amp;IFERROR(INDEX(PASTE_ALL,$DF326,26)&amp;"","")&amp;"␟"&amp;IFERROR(INDEX(PASTE_ALL,$DF326,27)&amp;"","")&amp;"␟"&amp;IFERROR(INDEX(PASTE_ALL,$DF326,28)&amp;"","")&amp;"␟"&amp;IFERROR(INDEX(PASTE_ALL,$DF326,29)&amp;"","")&amp;"␟"&amp;IFERROR(INDEX(PASTE_ALL,$DF326,30)&amp;"","")&amp;"␟"&amp;IFERROR(INDEX(PASTE_ALL,$DF326,31)&amp;"","")&amp;"␟"&amp;IFERROR(INDEX(PASTE_ALL,$DF326,32)&amp;"","")&amp;"␟"&amp;IFERROR(INDEX(PASTE_ALL,$DF326,33)&amp;"","")&amp;"␟"&amp;IFERROR(INDEX(PASTE_ALL,$DF326,34)&amp;"","")&amp;"␟"&amp;IFERROR(INDEX(PASTE_ALL,$DF326,35)&amp;"","")&amp;"␟"&amp;IFERROR(INDEX(PASTE_ALL,$DF326,36)&amp;"","")&amp;"␟"&amp;IFERROR(INDEX(PASTE_ALL,$DF326,37)&amp;"","")&amp;"␟"&amp;IFERROR(INDEX(PASTE_ALL,$DF326,38)&amp;"","")&amp;"␟"&amp;IFERROR(INDEX(PASTE_ALL,$DF326,39)&amp;"","")&amp;"␟"&amp;IFERROR(INDEX(PASTE_ALL,$DF326,40)&amp;"","")&amp;"␟"&amp;IFERROR(INDEX(PASTE_ALL,$DF326,41)&amp;"","")&amp;"␟"&amp;IFERROR(INDEX(PASTE_ALL,$DF326,42)&amp;"","")&amp;"␟"&amp;IFERROR(INDEX(PASTE_ALL,$DF326,43)&amp;"","")&amp;"␟"&amp;IFERROR(INDEX(PASTE_ALL,$DF326,44)&amp;"","")&amp;"␟"&amp;IFERROR(INDEX(PASTE_ALL,$DF326,45)&amp;"","")&amp;"␟"&amp;IFERROR(INDEX(PASTE_ALL,$DF326,46)&amp;"","")&amp;"␟"&amp;IFERROR(INDEX(PASTE_ALL,$DF326,47)&amp;"","")&amp;"␟"&amp;IFERROR(INDEX(PASTE_ALL,$DF326,48)&amp;"","")&amp;"␟"&amp;IFERROR(INDEX(PASTE_ALL,$DF326,49)&amp;"","")&amp;"␟"&amp;IFERROR(INDEX(PASTE_ALL,$DF326,50)&amp;"","")&amp;"␟"&amp;IFERROR(INDEX(PASTE_ALL,$DF326,51)&amp;"","")&amp;"␟"&amp;IFERROR(INDEX(PASTE_ALL,$DF326,52)&amp;"","")&amp;"␟"&amp;IFERROR(INDEX(PASTE_ALL,$DF326,53)&amp;"","")&amp;"␟"&amp;IFERROR(INDEX(PASTE_ALL,$DF326,54)&amp;"","")&amp;"␟"&amp;IFERROR(INDEX(PASTE_ALL,$DF326,55)&amp;"","")&amp;"␟"&amp;IFERROR(INDEX(PASTE_ALL,$DF326,56)&amp;"","")&amp;"␟"&amp;IFERROR(INDEX(PASTE_ALL,$DF326,57)&amp;"","")&amp;"␟"&amp;IFERROR(INDEX(PASTE_ALL,$DF326,58)&amp;"","")&amp;"␟"&amp;IFERROR(INDEX(PASTE_ALL,$DF326,59)&amp;"","")&amp;"␟"&amp;IFERROR(INDEX(PASTE_ALL,$DF326,60)&amp;"","")," "," "),CHAR(9)," "),CHAR(10)," "),CHAR(13)," "))," ␟","␟"),"␟ ","␟"),"#"&amp;$DE326),"")</f>
        <v/>
      </c>
      <c r="DJ326">
        <f>IF($DI326="",0,IF(SUMPRODUCT(--EXACT($DI$4:DI325,$DI326))&gt;0,1,0))</f>
        <v/>
      </c>
      <c r="DK326">
        <f>IF(AND($DI326&lt;&gt;"",$DJ326=0),1,0)</f>
        <v/>
      </c>
      <c r="DL326">
        <f>DL325+$DK326</f>
        <v/>
      </c>
      <c r="DM326">
        <f>IF(AND($DK326=1,$DL326&lt;=600),1,0)</f>
        <v/>
      </c>
      <c r="DN326">
        <f>IF($DM326=0,"",IF($L$6=0,"",IFERROR(IF(ISNUMBER(INDEX(PASTE_ALL,$DF326,$L$6)),INDEX(PASTE_ALL,$DF326,$L$6),TRIM(SUBSTITUTE(SUBSTITUTE(SUBSTITUTE(SUBSTITUTE(INDEX(PASTE_ALL,$DF326,$L$6)," "," "),CHAR(9)," "),CHAR(10)," "),CHAR(13)," "))),"")))</f>
        <v/>
      </c>
      <c r="DO326">
        <f>IF($DM326=0,"",IF($L$7=0,"",IFERROR(IF(ISNUMBER(INDEX(PASTE_ALL,$DF326,$L$7)),INDEX(PASTE_ALL,$DF326,$L$7),TRIM(SUBSTITUTE(SUBSTITUTE(SUBSTITUTE(SUBSTITUTE(INDEX(PASTE_ALL,$DF326,$L$7)," "," "),CHAR(9)," "),CHAR(10)," "),CHAR(13)," "))),"")))</f>
        <v/>
      </c>
      <c r="DP326">
        <f>IF($DM326=0,"",IF($L$8=0,"",IFERROR(IF(ISNUMBER(INDEX(PASTE_ALL,$DF326,$L$8)),INDEX(PASTE_ALL,$DF326,$L$8),TRIM(SUBSTITUTE(SUBSTITUTE(SUBSTITUTE(SUBSTITUTE(INDEX(PASTE_ALL,$DF326,$L$8)," "," "),CHAR(9)," "),CHAR(10)," "),CHAR(13)," "))),"")))</f>
        <v/>
      </c>
      <c r="DQ326">
        <f>IF($DM326=0,"",IF($L$9=0,"",IFERROR(IF(ISNUMBER(INDEX(PASTE_ALL,$DF326,$L$9)),INDEX(PASTE_ALL,$DF326,$L$9),TRIM(SUBSTITUTE(SUBSTITUTE(SUBSTITUTE(SUBSTITUTE(INDEX(PASTE_ALL,$DF326,$L$9)," "," "),CHAR(9)," "),CHAR(10)," "),CHAR(13)," "))),"")))</f>
        <v/>
      </c>
      <c r="DR326">
        <f>IF($DM326=0,"",IF($L$10=0,"",IFERROR(IF(ISNUMBER(INDEX(PASTE_ALL,$DF326,$L$10)),INDEX(PASTE_ALL,$DF326,$L$10),TRIM(SUBSTITUTE(SUBSTITUTE(SUBSTITUTE(SUBSTITUTE(INDEX(PASTE_ALL,$DF326,$L$10)," "," "),CHAR(9)," "),CHAR(10)," "),CHAR(13)," "))),"")))</f>
        <v/>
      </c>
      <c r="DS326">
        <f>IF($DM326=0,"",IF($L$11=0,"",IFERROR(IF(ISNUMBER(INDEX(PASTE_ALL,$DF326,$L$11)),INDEX(PASTE_ALL,$DF326,$L$11),TRIM(SUBSTITUTE(SUBSTITUTE(SUBSTITUTE(SUBSTITUTE(INDEX(PASTE_ALL,$DF326,$L$11)," "," "),CHAR(9)," "),CHAR(10)," "),CHAR(13)," "))),"")))</f>
        <v/>
      </c>
      <c r="DT326">
        <f>IF($DM326=0,"",IF($L$12=0,"",IFERROR(IF(ISNUMBER(INDEX(PASTE_ALL,$DF326,$L$12)),INDEX(PASTE_ALL,$DF326,$L$12),TRIM(SUBSTITUTE(SUBSTITUTE(SUBSTITUTE(SUBSTITUTE(INDEX(PASTE_ALL,$DF326,$L$12)," "," "),CHAR(9)," "),CHAR(10)," "),CHAR(13)," "))),"")))</f>
        <v/>
      </c>
      <c r="DU326">
        <f>IF($DM326=0,"",IF($L$13=0,"",IFERROR(IF(ISNUMBER(INDEX(PASTE_ALL,$DF326,$L$13)),INDEX(PASTE_ALL,$DF326,$L$13),TRIM(SUBSTITUTE(SUBSTITUTE(SUBSTITUTE(SUBSTITUTE(INDEX(PASTE_ALL,$DF326,$L$13)," "," "),CHAR(9)," "),CHAR(10)," "),CHAR(13)," "))),"")))</f>
        <v/>
      </c>
      <c r="DV326">
        <f>IF($DM326=0,"",IF($L$14=0,"",IFERROR(IF(ISNUMBER(INDEX(PASTE_ALL,$DF326,$L$14)),INDEX(PASTE_ALL,$DF326,$L$14),TRIM(SUBSTITUTE(SUBSTITUTE(SUBSTITUTE(SUBSTITUTE(INDEX(PASTE_ALL,$DF326,$L$14)," "," "),CHAR(9)," "),CHAR(10)," "),CHAR(13)," "))),"")))</f>
        <v/>
      </c>
      <c r="DW326">
        <f>IF($DM326=0,"",IF($L$15=0,"",IFERROR(IF(ISNUMBER(INDEX(PASTE_ALL,$DF326,$L$15)),INDEX(PASTE_ALL,$DF326,$L$15),IF(SUMPRODUCT(--ISNUMBER(FIND({"A","B","C","D","E","F","G","H","I","J","K","L","M","N","O","P","Q","R","S","T","U","V","W","X","Y","Z","0","1","2","3","4","5","6","7","8","9"},UPPER(TRIM(SUBSTITUTE(SUBSTITUTE(SUBSTITUTE(SUBSTITUTE(INDEX(PASTE_ALL,$DF326,$L$15)," "," "),CHAR(9)," "),CHAR(10)," "),CHAR(13)," "))))))&gt;0,TRIM(SUBSTITUTE(SUBSTITUTE(SUBSTITUTE(SUBSTITUTE(INDEX(PASTE_ALL,$DF326,$L$15)," "," "),CHAR(9)," "),CHAR(10)," "),CHAR(13)," ")),"")),"")))</f>
        <v/>
      </c>
      <c r="DX326">
        <f>IF($DM326=0,"",IF($L$16=0,"",IFERROR(IF(ISNUMBER(INDEX(PASTE_ALL,$DF326,$L$16)),INDEX(PASTE_ALL,$DF326,$L$16),SUBSTITUTE(SUBSTITUTE(TRIM(SUBSTITUTE(SUBSTITUTE(SUBSTITUTE(SUBSTITUTE(INDEX(PASTE_ALL,$DF326,$L$16)," "," "),CHAR(9)," "),CHAR(10)," "),CHAR(13)," ")),",",""),"%","")),"")))</f>
        <v/>
      </c>
      <c r="DY326">
        <f>IF($DM326=0,"",IFERROR(IF(ISNUMBER($DX326),$DX326,IF($DX326="","",IF(TRIM($DX326)="",0,IF(AND(AND(SUBSTITUTE(SUBSTITUTE(SUBSTITUTE(SUBSTITUTE(SUBSTITUTE(SUBSTITUTE(SUBSTITUTE(SUBSTITUTE(SUBSTITUTE(SUBSTITUTE(SUBSTITUTE(SUBSTITUTE(SUBSTITUTE(SUBSTITUTE(UPPER(TRIM($DX326)),"0",""),"1",""),"2",""),"3",""),"4",""),"5",""),"6",""),"7",""),"8",""),"9",""),".",""),"+",""),"-",""),"E","")="",LEN(SUBSTITUTE(SUBSTITUTE(MID(UPPER(TRIM($DX326)),1+OR(LEFT(UPPER(TRIM($DX326)),1)="+",LEFT(UPPER(TRIM($DX326)),1)="-"),999),"E+","E"),"E-","E"))=LEN(SUBSTITUTE(SUBSTITUTE(SUBSTITUTE(SUBSTITUTE(MID(UPPER(TRIM($DX326)),1+OR(LEFT(UPPER(TRIM($DX326)),1)="+",LEFT(UPPER(TRIM($DX326)),1)="-"),999),"E+","E"),"E-","E"),"+",""),"-","")),LEN(UPPER(TRIM($DX326)))-LEN(SUBSTITUTE(UPPER(TRIM($DX326)),"E",""))&lt;2,LEN(UPPER(TRIM($DX326)))-LEN(SUBSTITUTE(UPPER(TRIM($DX326)),".",""))&lt;2,IFERROR(FIND(".",UPPER(TRIM($DX326))),0)&lt;IFERROR(FIND("E",UPPER(TRIM($DX326))),999)),ISNUMBER(VALUE(TRIM($DX326)))),VALUE(TRIM($DX326)),"")))),""))</f>
        <v/>
      </c>
      <c r="DZ326">
        <f>IF($DM326=0,"",IF($L$17=0,"",IFERROR(IF(ISNUMBER(INDEX(PASTE_ALL,$DF326,$L$17)),INDEX(PASTE_ALL,$DF326,$L$17),SUBSTITUTE(SUBSTITUTE(TRIM(SUBSTITUTE(SUBSTITUTE(SUBSTITUTE(SUBSTITUTE(INDEX(PASTE_ALL,$DF326,$L$17)," "," "),CHAR(9)," "),CHAR(10)," "),CHAR(13)," ")),",",""),"%","")),"")))</f>
        <v/>
      </c>
      <c r="EA326">
        <f>IF($DM326=0,"",IFERROR(IF(ISNUMBER($DZ326),$DZ326,IF($DZ326="","",IF(TRIM($DZ326)="",0,IF(AND(AND(SUBSTITUTE(SUBSTITUTE(SUBSTITUTE(SUBSTITUTE(SUBSTITUTE(SUBSTITUTE(SUBSTITUTE(SUBSTITUTE(SUBSTITUTE(SUBSTITUTE(SUBSTITUTE(SUBSTITUTE(SUBSTITUTE(SUBSTITUTE(UPPER(TRIM($DZ326)),"0",""),"1",""),"2",""),"3",""),"4",""),"5",""),"6",""),"7",""),"8",""),"9",""),".",""),"+",""),"-",""),"E","")="",LEN(SUBSTITUTE(SUBSTITUTE(MID(UPPER(TRIM($DZ326)),1+OR(LEFT(UPPER(TRIM($DZ326)),1)="+",LEFT(UPPER(TRIM($DZ326)),1)="-"),999),"E+","E"),"E-","E"))=LEN(SUBSTITUTE(SUBSTITUTE(SUBSTITUTE(SUBSTITUTE(MID(UPPER(TRIM($DZ326)),1+OR(LEFT(UPPER(TRIM($DZ326)),1)="+",LEFT(UPPER(TRIM($DZ326)),1)="-"),999),"E+","E"),"E-","E"),"+",""),"-","")),LEN(UPPER(TRIM($DZ326)))-LEN(SUBSTITUTE(UPPER(TRIM($DZ326)),"E",""))&lt;2,LEN(UPPER(TRIM($DZ326)))-LEN(SUBSTITUTE(UPPER(TRIM($DZ326)),".",""))&lt;2,IFERROR(FIND(".",UPPER(TRIM($DZ326))),0)&lt;IFERROR(FIND("E",UPPER(TRIM($DZ326))),999)),ISNUMBER(VALUE(TRIM($DZ326)))),VALUE(TRIM($DZ326)),"")))),""))</f>
        <v/>
      </c>
      <c r="EB326">
        <f>IF($DM326=0,"",IF($L$18=0,"",IFERROR(IF(UPPER(TRIM(SUBSTITUTE(SUBSTITUTE(SUBSTITUTE(SUBSTITUTE(INDEX(PASTE_ALL,$DF326,$L$18)," "," "),CHAR(9)," "),CHAR(10)," "),CHAR(13)," ")))="READY","Ready",IF(UPPER(TRIM(SUBSTITUTE(SUBSTITUTE(SUBSTITUTE(SUBSTITUTE(INDEX(PASTE_ALL,$DF326,$L$18)," "," "),CHAR(9)," "),CHAR(10)," "),CHAR(13)," ")))="PM","PM",IF(OR(UPPER(TRIM(SUBSTITUTE(SUBSTITUTE(SUBSTITUTE(SUBSTITUTE(INDEX(PASTE_ALL,$DF326,$L$18)," "," "),CHAR(9)," "),CHAR(10)," "),CHAR(13)," ")))="OT",UPPER(TRIM(SUBSTITUTE(SUBSTITUTE(SUBSTITUTE(SUBSTITUTE(INDEX(PASTE_ALL,$DF326,$L$18)," "," "),CHAR(9)," "),CHAR(10)," "),CHAR(13)," ")))="OVERTIME",UPPER(TRIM(SUBSTITUTE(SUBSTITUTE(SUBSTITUTE(SUBSTITUTE(INDEX(PASTE_ALL,$DF326,$L$18)," "," "),CHAR(9)," "),CHAR(10)," "),CHAR(13)," ")))="TRIAL"),"OT",TRIM(SUBSTITUTE(SUBSTITUTE(SUBSTITUTE(SUBSTITUTE(INDEX(PASTE_ALL,$DF326,$L$18)," "," "),CHAR(9)," "),CHAR(10)," "),CHAR(13)," "))))),"")))</f>
        <v/>
      </c>
      <c r="EC326">
        <f>IF($DM326=0,"",IF($L$19=0,"",IFERROR(IF(ISNUMBER(INDEX(PASTE_ALL,$DF326,$L$19)),INDEX(PASTE_ALL,$DF326,$L$19),TRIM(SUBSTITUTE(SUBSTITUTE(SUBSTITUTE(SUBSTITUTE(INDEX(PASTE_ALL,$DF326,$L$19)," "," "),CHAR(9)," "),CHAR(10)," "),CHAR(13)," "))),"")))</f>
        <v/>
      </c>
      <c r="ED326">
        <f>IF($DM326=0,"",MATCH(1,INDEX(EXACT($DH$5:DH326,$DH326)*$DM$5:DM326,0),0))</f>
        <v/>
      </c>
      <c r="EE326">
        <f>IF($DM326=0,0,IF($ED326=$DE326,1,0))</f>
        <v/>
      </c>
      <c r="EF326">
        <f>EF325+$EE326</f>
        <v/>
      </c>
      <c r="EG326">
        <f>IF($DM326=0,"",INDEX($EF$5:$EF$1003,$ED326))</f>
        <v/>
      </c>
      <c r="EH326">
        <f>IF($DM326=0,"",IF($DO326&lt;&gt;"","",IFERROR(LOOKUP(2,1/(($EG$4:EG325=$EG326)*($DO$4:DO325&lt;&gt;"")),$DO$4:DO325),"")))</f>
        <v/>
      </c>
      <c r="EI326">
        <f>IF($DM326=0,"",IF($DO326&lt;&gt;"",$DO326,$EH326))</f>
        <v/>
      </c>
      <c r="EJ326">
        <f>IF($DM326=0,"",IF($EI326="",0,IF(OR(ISNUMBER($EI326),AND(AND(SUBSTITUTE(SUBSTITUTE(SUBSTITUTE(SUBSTITUTE(SUBSTITUTE(SUBSTITUTE(SUBSTITUTE(SUBSTITUTE(SUBSTITUTE(SUBSTITUTE(SUBSTITUTE(SUBSTITUTE(SUBSTITUTE(SUBSTITUTE(UPPER($EI326),"0",""),"1",""),"2",""),"3",""),"4",""),"5",""),"6",""),"7",""),"8",""),"9",""),".",""),"+",""),"-",""),"E","")="",LEN(SUBSTITUTE(SUBSTITUTE(MID(UPPER($EI326),1+OR(LEFT(UPPER($EI326),1)="+",LEFT(UPPER($EI326),1)="-"),999),"E+","E"),"E-","E"))=LEN(SUBSTITUTE(SUBSTITUTE(SUBSTITUTE(SUBSTITUTE(MID(UPPER($EI326),1+OR(LEFT(UPPER($EI326),1)="+",LEFT(UPPER($EI326),1)="-"),999),"E+","E"),"E-","E"),"+",""),"-","")),LEN(UPPER($EI326))-LEN(SUBSTITUTE(UPPER($EI326),"E",""))&lt;2,LEN(UPPER($EI326))-LEN(SUBSTITUTE(UPPER($EI326),".",""))&lt;2,IFERROR(FIND(".",UPPER($EI326)),0)&lt;IFERROR(FIND("E",UPPER($EI326)),999)),ISNUMBER(VALUE($EI326)))),1,2)))</f>
        <v/>
      </c>
      <c r="EK326">
        <f>IF($DM326=0,"",IF($EJ326=1,IF(ISNUMBER($EI326),$EI326,VALUE($EI326)),IF($EJ326=2,$DE326,0)))</f>
        <v/>
      </c>
      <c r="EL326">
        <f>IF($DM326=0,"",COUNTIF($EG$5:$EG$1003,"&lt;"&amp;$EG326)+SUMPRODUCT(($EG$5:$EG$1003=$EG326)*(($EJ$5:$EJ$1003&lt;$EJ326)+($EJ$5:$EJ$1003=$EJ326)*(($EK$5:$EK$1003&lt;$EK326)+($EK$5:$EK$1003=$EK326)*($DE$5:$DE$1003&lt;$DE326))))+1)</f>
        <v/>
      </c>
      <c r="EM326">
        <f>IF($DM326=0,"",$EL326+$EG326-1)</f>
        <v/>
      </c>
      <c r="EN326">
        <f>IF($DM326=0,0,IFERROR(MATCH(1,INDEX(--(TRIM(SUBSTITUTE(SUBSTITUTE(SUBSTITUTE(SUBSTITUTE(LINES_NAME&amp;""," "," "),CHAR(9)," "),CHAR(10)," "),CHAR(13)," "))=$DH326),0),0),0))</f>
        <v/>
      </c>
      <c r="EO326">
        <f>IF($EN326=0,0,IF(OR(UPPER(TRIM(INDEX(LINES_SCHEDULED,$EN326)&amp;""))="YES",UPPER(TRIM(INDEX(LINES_SCHEDULED,$EN326)&amp;""))="Y",UPPER(TRIM(INDEX(LINES_SCHEDULED,$EN326)&amp;""))="X"),1,0))</f>
        <v/>
      </c>
      <c r="EP326">
        <f>IF($DM326=0,"",IF(COUNTIFS($EG$5:$EG$1003,$EG326,$EB$5:$EB$1003,"Ready")&gt;0,"READY",IF(COUNTIFS($EG$5:$EG$1003,$EG326,$EB$5:$EB$1003,"PM")&gt;0,"PM",IF(COUNTIFS($EG$5:$EG$1003,$EG326,$EB$5:$EB$1003,"OT")&gt;0,"OT",""))))</f>
        <v/>
      </c>
      <c r="EQ326">
        <f>IF($EN326=0,"",UPPER(TRIM(INDEX(LINES_STATUS,$EN326)&amp;"")))</f>
        <v/>
      </c>
      <c r="ER326">
        <f>IF($DM326=0,"",IF(OR($EQ326="READY",$EQ326="PM",$EQ326="OT"),$EQ326,$EP326))</f>
        <v/>
      </c>
      <c r="ES326">
        <f>IF($DM326=0,"",IF(AND($DV326&lt;&gt;"",UPPER($DV326)&lt;&gt;"N"),"allergen",IF(ISNUMBER(SEARCH("oil",$DQ326)),"oil",IF(OR(EXACT($DS326,"A662"),EXACT($DS326,"A624")),"bulk",""))))</f>
        <v/>
      </c>
      <c r="ET326">
        <f>IF($DM326=0,"",IF(OR($EA326="",$EA326=0),"",$EA326/100))</f>
        <v/>
      </c>
      <c r="EU326">
        <f>IF(OR($ET326="",$DY326=""),"",INT($DY326*(1-$ET326)+0.5))</f>
        <v/>
      </c>
      <c r="EW326" t="n">
        <v>322</v>
      </c>
      <c r="EX326">
        <f>IFERROR(MATCH($EW326,$EM$5:$EM$1003,0),0)</f>
        <v/>
      </c>
      <c r="EY326">
        <f>IF($EW326&gt;$B$12,"",IF($EX326&gt;0,"row","spacer"))</f>
        <v/>
      </c>
      <c r="EZ326">
        <f>IF(AND($EY326="row",$EY325&lt;&gt;"row"),1,0)</f>
        <v/>
      </c>
      <c r="FA326">
        <f>IF(AND($EY326="row",$EY327&lt;&gt;"row"),1,0)</f>
        <v/>
      </c>
      <c r="FB326">
        <f>IF($EZ326=1,IFERROR(IF(ISNUMBER(INDEX(PASTE_ALL,INDEX($DF$5:$DF$1003,$EX326),$B$37)),INDEX(PASTE_ALL,INDEX($DF$5:$DF$1003,$EX326),$B$37),INDEX($DH$5:$DH$1003,$EX326)),INDEX($DH$5:$DH$1003,$EX326)),"")</f>
        <v/>
      </c>
      <c r="FC326">
        <f>IF($EY326="row",INDEX($ER$5:$ER$1003,$EX326),"")</f>
        <v/>
      </c>
      <c r="FD326">
        <f>IF($EY326="row",INDEX($DN$5:$DN$1003,$EX326),"")</f>
        <v/>
      </c>
      <c r="FE326">
        <f>IF($EY326="row",INDEX($DO$5:$DO$1003,$EX326),"")</f>
        <v/>
      </c>
      <c r="FF326">
        <f>IF($EY326="row",INDEX($DP$5:$DP$1003,$EX326),"")</f>
        <v/>
      </c>
      <c r="FG326">
        <f>IF($EY326="row",INDEX($DQ$5:$DQ$1003,$EX326),"")</f>
        <v/>
      </c>
      <c r="FH326">
        <f>IF($EY326="row",INDEX($DR$5:$DR$1003,$EX326),"")</f>
        <v/>
      </c>
      <c r="FI326">
        <f>IF($EY326="row",INDEX($DS$5:$DS$1003,$EX326),"")</f>
        <v/>
      </c>
      <c r="FJ326">
        <f>IF($EY326="row",INDEX($DT$5:$DT$1003,$EX326),"")</f>
        <v/>
      </c>
      <c r="FK326">
        <f>IF($EY326="row",INDEX($DU$5:$DU$1003,$EX326),"")</f>
        <v/>
      </c>
      <c r="FL326">
        <f>IF($EY326="row",INDEX($DV$5:$DV$1003,$EX326),"")</f>
        <v/>
      </c>
      <c r="FM326">
        <f>IF($EY326="row",INDEX($DW$5:$DW$1003,$EX326),"")</f>
        <v/>
      </c>
      <c r="FN326">
        <f>IF($EY326="row",INDEX($DY$5:$DY$1003,$EX326),"")</f>
        <v/>
      </c>
      <c r="FO326">
        <f>IF($EY326="row",INDEX($EA$5:$EA$1003,$EX326),"")</f>
        <v/>
      </c>
      <c r="FP326">
        <f>IF($EY326="row",INDEX($EC$5:$EC$1003,$EX326),"")</f>
        <v/>
      </c>
      <c r="FQ326">
        <f>IF($EY326="row",INDEX($ET$5:$ET$1003,$EX326),"")</f>
        <v/>
      </c>
      <c r="FR326">
        <f>IF($EY326="row",INDEX($EU$5:$EU$1003,$EX326),"")</f>
        <v/>
      </c>
      <c r="FS326">
        <f>IF(AND($EY326="row",$EY325="row"),IF(OR(INDEX($DT$5:$DT$1003,$EX325)="",INDEX($DT$5:$DT$1003,$EX326)=""),"",IF(NOT(EXACT(INDEX($DT$5:$DT$1003,$EX325),INDEX($DT$5:$DT$1003,$EX326))),"S4",IF(NOT(EXACT(INDEX($DS$5:$DS$1003,$EX325),INDEX($DS$5:$DS$1003,$EX326))),"S3",IF(NOT(EXACT(INDEX($DR$5:$DR$1003,$EX325),INDEX($DR$5:$DR$1003,$EX326))),"S1 Count Change","S1")))),"")</f>
        <v/>
      </c>
      <c r="FT326">
        <f>IF($EY326="row",INDEX($ES$5:$ES$1003,$EX326),"")</f>
        <v/>
      </c>
      <c r="FU326">
        <f>IF($EY326="row",INDEX($EO$5:$EO$1003,$EX326),0)</f>
        <v/>
      </c>
      <c r="FV326">
        <f>IF($FS326="S1 Count Change",1,0)</f>
        <v/>
      </c>
    </row>
    <row r="327">
      <c r="DA327" t="n">
        <v>323</v>
      </c>
      <c r="DB327">
        <f>IF($B$37=0,"",IFERROR(TRIM(SUBSTITUTE(SUBSTITUTE(SUBSTITUTE(SUBSTITUTE(INDEX(PASTE_ALL,323,$B$37)," "," "),CHAR(9)," "),CHAR(10)," "),CHAR(13)," ")),""))</f>
        <v/>
      </c>
      <c r="DC327">
        <f>IF(AND(323&gt;HEADER_ROW,UPPER(DB327)="LEGEND"),1,0)</f>
        <v/>
      </c>
      <c r="DE327" t="n">
        <v>323</v>
      </c>
      <c r="DF327">
        <f>HEADER_ROW+$DE327</f>
        <v/>
      </c>
      <c r="DG327">
        <f>IF(AND($DF327&lt;=1000,$DF327&lt;$B$8),1,0)</f>
        <v/>
      </c>
      <c r="DH327">
        <f>IF($DG327=1,IFERROR(INDEX($DB$5:$DB$1004,$DF327),""),"")</f>
        <v/>
      </c>
      <c r="DI327">
        <f>IF(AND($DG327=1,$DH327&lt;&gt;""),IFERROR(SUBSTITUTE(SUBSTITUTE(TRIM(SUBSTITUTE(SUBSTITUTE(SUBSTITUTE(SUBSTITUTE(IFERROR(INDEX(PASTE_ALL,$DF327,1)&amp;"","")&amp;"␟"&amp;IFERROR(INDEX(PASTE_ALL,$DF327,2)&amp;"","")&amp;"␟"&amp;IFERROR(INDEX(PASTE_ALL,$DF327,3)&amp;"","")&amp;"␟"&amp;IFERROR(INDEX(PASTE_ALL,$DF327,4)&amp;"","")&amp;"␟"&amp;IFERROR(INDEX(PASTE_ALL,$DF327,5)&amp;"","")&amp;"␟"&amp;IFERROR(INDEX(PASTE_ALL,$DF327,6)&amp;"","")&amp;"␟"&amp;IFERROR(INDEX(PASTE_ALL,$DF327,7)&amp;"","")&amp;"␟"&amp;IFERROR(INDEX(PASTE_ALL,$DF327,8)&amp;"","")&amp;"␟"&amp;IFERROR(INDEX(PASTE_ALL,$DF327,9)&amp;"","")&amp;"␟"&amp;IFERROR(INDEX(PASTE_ALL,$DF327,10)&amp;"","")&amp;"␟"&amp;IFERROR(INDEX(PASTE_ALL,$DF327,11)&amp;"","")&amp;"␟"&amp;IFERROR(INDEX(PASTE_ALL,$DF327,12)&amp;"","")&amp;"␟"&amp;IFERROR(INDEX(PASTE_ALL,$DF327,13)&amp;"","")&amp;"␟"&amp;IFERROR(INDEX(PASTE_ALL,$DF327,14)&amp;"","")&amp;"␟"&amp;IFERROR(INDEX(PASTE_ALL,$DF327,15)&amp;"","")&amp;"␟"&amp;IFERROR(INDEX(PASTE_ALL,$DF327,16)&amp;"","")&amp;"␟"&amp;IFERROR(INDEX(PASTE_ALL,$DF327,17)&amp;"","")&amp;"␟"&amp;IFERROR(INDEX(PASTE_ALL,$DF327,18)&amp;"","")&amp;"␟"&amp;IFERROR(INDEX(PASTE_ALL,$DF327,19)&amp;"","")&amp;"␟"&amp;IFERROR(INDEX(PASTE_ALL,$DF327,20)&amp;"","")&amp;"␟"&amp;IFERROR(INDEX(PASTE_ALL,$DF327,21)&amp;"","")&amp;"␟"&amp;IFERROR(INDEX(PASTE_ALL,$DF327,22)&amp;"","")&amp;"␟"&amp;IFERROR(INDEX(PASTE_ALL,$DF327,23)&amp;"","")&amp;"␟"&amp;IFERROR(INDEX(PASTE_ALL,$DF327,24)&amp;"","")&amp;"␟"&amp;IFERROR(INDEX(PASTE_ALL,$DF327,25)&amp;"","")&amp;"␟"&amp;IFERROR(INDEX(PASTE_ALL,$DF327,26)&amp;"","")&amp;"␟"&amp;IFERROR(INDEX(PASTE_ALL,$DF327,27)&amp;"","")&amp;"␟"&amp;IFERROR(INDEX(PASTE_ALL,$DF327,28)&amp;"","")&amp;"␟"&amp;IFERROR(INDEX(PASTE_ALL,$DF327,29)&amp;"","")&amp;"␟"&amp;IFERROR(INDEX(PASTE_ALL,$DF327,30)&amp;"","")&amp;"␟"&amp;IFERROR(INDEX(PASTE_ALL,$DF327,31)&amp;"","")&amp;"␟"&amp;IFERROR(INDEX(PASTE_ALL,$DF327,32)&amp;"","")&amp;"␟"&amp;IFERROR(INDEX(PASTE_ALL,$DF327,33)&amp;"","")&amp;"␟"&amp;IFERROR(INDEX(PASTE_ALL,$DF327,34)&amp;"","")&amp;"␟"&amp;IFERROR(INDEX(PASTE_ALL,$DF327,35)&amp;"","")&amp;"␟"&amp;IFERROR(INDEX(PASTE_ALL,$DF327,36)&amp;"","")&amp;"␟"&amp;IFERROR(INDEX(PASTE_ALL,$DF327,37)&amp;"","")&amp;"␟"&amp;IFERROR(INDEX(PASTE_ALL,$DF327,38)&amp;"","")&amp;"␟"&amp;IFERROR(INDEX(PASTE_ALL,$DF327,39)&amp;"","")&amp;"␟"&amp;IFERROR(INDEX(PASTE_ALL,$DF327,40)&amp;"","")&amp;"␟"&amp;IFERROR(INDEX(PASTE_ALL,$DF327,41)&amp;"","")&amp;"␟"&amp;IFERROR(INDEX(PASTE_ALL,$DF327,42)&amp;"","")&amp;"␟"&amp;IFERROR(INDEX(PASTE_ALL,$DF327,43)&amp;"","")&amp;"␟"&amp;IFERROR(INDEX(PASTE_ALL,$DF327,44)&amp;"","")&amp;"␟"&amp;IFERROR(INDEX(PASTE_ALL,$DF327,45)&amp;"","")&amp;"␟"&amp;IFERROR(INDEX(PASTE_ALL,$DF327,46)&amp;"","")&amp;"␟"&amp;IFERROR(INDEX(PASTE_ALL,$DF327,47)&amp;"","")&amp;"␟"&amp;IFERROR(INDEX(PASTE_ALL,$DF327,48)&amp;"","")&amp;"␟"&amp;IFERROR(INDEX(PASTE_ALL,$DF327,49)&amp;"","")&amp;"␟"&amp;IFERROR(INDEX(PASTE_ALL,$DF327,50)&amp;"","")&amp;"␟"&amp;IFERROR(INDEX(PASTE_ALL,$DF327,51)&amp;"","")&amp;"␟"&amp;IFERROR(INDEX(PASTE_ALL,$DF327,52)&amp;"","")&amp;"␟"&amp;IFERROR(INDEX(PASTE_ALL,$DF327,53)&amp;"","")&amp;"␟"&amp;IFERROR(INDEX(PASTE_ALL,$DF327,54)&amp;"","")&amp;"␟"&amp;IFERROR(INDEX(PASTE_ALL,$DF327,55)&amp;"","")&amp;"␟"&amp;IFERROR(INDEX(PASTE_ALL,$DF327,56)&amp;"","")&amp;"␟"&amp;IFERROR(INDEX(PASTE_ALL,$DF327,57)&amp;"","")&amp;"␟"&amp;IFERROR(INDEX(PASTE_ALL,$DF327,58)&amp;"","")&amp;"␟"&amp;IFERROR(INDEX(PASTE_ALL,$DF327,59)&amp;"","")&amp;"␟"&amp;IFERROR(INDEX(PASTE_ALL,$DF327,60)&amp;"","")," "," "),CHAR(9)," "),CHAR(10)," "),CHAR(13)," "))," ␟","␟"),"␟ ","␟"),"#"&amp;$DE327),"")</f>
        <v/>
      </c>
      <c r="DJ327">
        <f>IF($DI327="",0,IF(SUMPRODUCT(--EXACT($DI$4:DI326,$DI327))&gt;0,1,0))</f>
        <v/>
      </c>
      <c r="DK327">
        <f>IF(AND($DI327&lt;&gt;"",$DJ327=0),1,0)</f>
        <v/>
      </c>
      <c r="DL327">
        <f>DL326+$DK327</f>
        <v/>
      </c>
      <c r="DM327">
        <f>IF(AND($DK327=1,$DL327&lt;=600),1,0)</f>
        <v/>
      </c>
      <c r="DN327">
        <f>IF($DM327=0,"",IF($L$6=0,"",IFERROR(IF(ISNUMBER(INDEX(PASTE_ALL,$DF327,$L$6)),INDEX(PASTE_ALL,$DF327,$L$6),TRIM(SUBSTITUTE(SUBSTITUTE(SUBSTITUTE(SUBSTITUTE(INDEX(PASTE_ALL,$DF327,$L$6)," "," "),CHAR(9)," "),CHAR(10)," "),CHAR(13)," "))),"")))</f>
        <v/>
      </c>
      <c r="DO327">
        <f>IF($DM327=0,"",IF($L$7=0,"",IFERROR(IF(ISNUMBER(INDEX(PASTE_ALL,$DF327,$L$7)),INDEX(PASTE_ALL,$DF327,$L$7),TRIM(SUBSTITUTE(SUBSTITUTE(SUBSTITUTE(SUBSTITUTE(INDEX(PASTE_ALL,$DF327,$L$7)," "," "),CHAR(9)," "),CHAR(10)," "),CHAR(13)," "))),"")))</f>
        <v/>
      </c>
      <c r="DP327">
        <f>IF($DM327=0,"",IF($L$8=0,"",IFERROR(IF(ISNUMBER(INDEX(PASTE_ALL,$DF327,$L$8)),INDEX(PASTE_ALL,$DF327,$L$8),TRIM(SUBSTITUTE(SUBSTITUTE(SUBSTITUTE(SUBSTITUTE(INDEX(PASTE_ALL,$DF327,$L$8)," "," "),CHAR(9)," "),CHAR(10)," "),CHAR(13)," "))),"")))</f>
        <v/>
      </c>
      <c r="DQ327">
        <f>IF($DM327=0,"",IF($L$9=0,"",IFERROR(IF(ISNUMBER(INDEX(PASTE_ALL,$DF327,$L$9)),INDEX(PASTE_ALL,$DF327,$L$9),TRIM(SUBSTITUTE(SUBSTITUTE(SUBSTITUTE(SUBSTITUTE(INDEX(PASTE_ALL,$DF327,$L$9)," "," "),CHAR(9)," "),CHAR(10)," "),CHAR(13)," "))),"")))</f>
        <v/>
      </c>
      <c r="DR327">
        <f>IF($DM327=0,"",IF($L$10=0,"",IFERROR(IF(ISNUMBER(INDEX(PASTE_ALL,$DF327,$L$10)),INDEX(PASTE_ALL,$DF327,$L$10),TRIM(SUBSTITUTE(SUBSTITUTE(SUBSTITUTE(SUBSTITUTE(INDEX(PASTE_ALL,$DF327,$L$10)," "," "),CHAR(9)," "),CHAR(10)," "),CHAR(13)," "))),"")))</f>
        <v/>
      </c>
      <c r="DS327">
        <f>IF($DM327=0,"",IF($L$11=0,"",IFERROR(IF(ISNUMBER(INDEX(PASTE_ALL,$DF327,$L$11)),INDEX(PASTE_ALL,$DF327,$L$11),TRIM(SUBSTITUTE(SUBSTITUTE(SUBSTITUTE(SUBSTITUTE(INDEX(PASTE_ALL,$DF327,$L$11)," "," "),CHAR(9)," "),CHAR(10)," "),CHAR(13)," "))),"")))</f>
        <v/>
      </c>
      <c r="DT327">
        <f>IF($DM327=0,"",IF($L$12=0,"",IFERROR(IF(ISNUMBER(INDEX(PASTE_ALL,$DF327,$L$12)),INDEX(PASTE_ALL,$DF327,$L$12),TRIM(SUBSTITUTE(SUBSTITUTE(SUBSTITUTE(SUBSTITUTE(INDEX(PASTE_ALL,$DF327,$L$12)," "," "),CHAR(9)," "),CHAR(10)," "),CHAR(13)," "))),"")))</f>
        <v/>
      </c>
      <c r="DU327">
        <f>IF($DM327=0,"",IF($L$13=0,"",IFERROR(IF(ISNUMBER(INDEX(PASTE_ALL,$DF327,$L$13)),INDEX(PASTE_ALL,$DF327,$L$13),TRIM(SUBSTITUTE(SUBSTITUTE(SUBSTITUTE(SUBSTITUTE(INDEX(PASTE_ALL,$DF327,$L$13)," "," "),CHAR(9)," "),CHAR(10)," "),CHAR(13)," "))),"")))</f>
        <v/>
      </c>
      <c r="DV327">
        <f>IF($DM327=0,"",IF($L$14=0,"",IFERROR(IF(ISNUMBER(INDEX(PASTE_ALL,$DF327,$L$14)),INDEX(PASTE_ALL,$DF327,$L$14),TRIM(SUBSTITUTE(SUBSTITUTE(SUBSTITUTE(SUBSTITUTE(INDEX(PASTE_ALL,$DF327,$L$14)," "," "),CHAR(9)," "),CHAR(10)," "),CHAR(13)," "))),"")))</f>
        <v/>
      </c>
      <c r="DW327">
        <f>IF($DM327=0,"",IF($L$15=0,"",IFERROR(IF(ISNUMBER(INDEX(PASTE_ALL,$DF327,$L$15)),INDEX(PASTE_ALL,$DF327,$L$15),IF(SUMPRODUCT(--ISNUMBER(FIND({"A","B","C","D","E","F","G","H","I","J","K","L","M","N","O","P","Q","R","S","T","U","V","W","X","Y","Z","0","1","2","3","4","5","6","7","8","9"},UPPER(TRIM(SUBSTITUTE(SUBSTITUTE(SUBSTITUTE(SUBSTITUTE(INDEX(PASTE_ALL,$DF327,$L$15)," "," "),CHAR(9)," "),CHAR(10)," "),CHAR(13)," "))))))&gt;0,TRIM(SUBSTITUTE(SUBSTITUTE(SUBSTITUTE(SUBSTITUTE(INDEX(PASTE_ALL,$DF327,$L$15)," "," "),CHAR(9)," "),CHAR(10)," "),CHAR(13)," ")),"")),"")))</f>
        <v/>
      </c>
      <c r="DX327">
        <f>IF($DM327=0,"",IF($L$16=0,"",IFERROR(IF(ISNUMBER(INDEX(PASTE_ALL,$DF327,$L$16)),INDEX(PASTE_ALL,$DF327,$L$16),SUBSTITUTE(SUBSTITUTE(TRIM(SUBSTITUTE(SUBSTITUTE(SUBSTITUTE(SUBSTITUTE(INDEX(PASTE_ALL,$DF327,$L$16)," "," "),CHAR(9)," "),CHAR(10)," "),CHAR(13)," ")),",",""),"%","")),"")))</f>
        <v/>
      </c>
      <c r="DY327">
        <f>IF($DM327=0,"",IFERROR(IF(ISNUMBER($DX327),$DX327,IF($DX327="","",IF(TRIM($DX327)="",0,IF(AND(AND(SUBSTITUTE(SUBSTITUTE(SUBSTITUTE(SUBSTITUTE(SUBSTITUTE(SUBSTITUTE(SUBSTITUTE(SUBSTITUTE(SUBSTITUTE(SUBSTITUTE(SUBSTITUTE(SUBSTITUTE(SUBSTITUTE(SUBSTITUTE(UPPER(TRIM($DX327)),"0",""),"1",""),"2",""),"3",""),"4",""),"5",""),"6",""),"7",""),"8",""),"9",""),".",""),"+",""),"-",""),"E","")="",LEN(SUBSTITUTE(SUBSTITUTE(MID(UPPER(TRIM($DX327)),1+OR(LEFT(UPPER(TRIM($DX327)),1)="+",LEFT(UPPER(TRIM($DX327)),1)="-"),999),"E+","E"),"E-","E"))=LEN(SUBSTITUTE(SUBSTITUTE(SUBSTITUTE(SUBSTITUTE(MID(UPPER(TRIM($DX327)),1+OR(LEFT(UPPER(TRIM($DX327)),1)="+",LEFT(UPPER(TRIM($DX327)),1)="-"),999),"E+","E"),"E-","E"),"+",""),"-","")),LEN(UPPER(TRIM($DX327)))-LEN(SUBSTITUTE(UPPER(TRIM($DX327)),"E",""))&lt;2,LEN(UPPER(TRIM($DX327)))-LEN(SUBSTITUTE(UPPER(TRIM($DX327)),".",""))&lt;2,IFERROR(FIND(".",UPPER(TRIM($DX327))),0)&lt;IFERROR(FIND("E",UPPER(TRIM($DX327))),999)),ISNUMBER(VALUE(TRIM($DX327)))),VALUE(TRIM($DX327)),"")))),""))</f>
        <v/>
      </c>
      <c r="DZ327">
        <f>IF($DM327=0,"",IF($L$17=0,"",IFERROR(IF(ISNUMBER(INDEX(PASTE_ALL,$DF327,$L$17)),INDEX(PASTE_ALL,$DF327,$L$17),SUBSTITUTE(SUBSTITUTE(TRIM(SUBSTITUTE(SUBSTITUTE(SUBSTITUTE(SUBSTITUTE(INDEX(PASTE_ALL,$DF327,$L$17)," "," "),CHAR(9)," "),CHAR(10)," "),CHAR(13)," ")),",",""),"%","")),"")))</f>
        <v/>
      </c>
      <c r="EA327">
        <f>IF($DM327=0,"",IFERROR(IF(ISNUMBER($DZ327),$DZ327,IF($DZ327="","",IF(TRIM($DZ327)="",0,IF(AND(AND(SUBSTITUTE(SUBSTITUTE(SUBSTITUTE(SUBSTITUTE(SUBSTITUTE(SUBSTITUTE(SUBSTITUTE(SUBSTITUTE(SUBSTITUTE(SUBSTITUTE(SUBSTITUTE(SUBSTITUTE(SUBSTITUTE(SUBSTITUTE(UPPER(TRIM($DZ327)),"0",""),"1",""),"2",""),"3",""),"4",""),"5",""),"6",""),"7",""),"8",""),"9",""),".",""),"+",""),"-",""),"E","")="",LEN(SUBSTITUTE(SUBSTITUTE(MID(UPPER(TRIM($DZ327)),1+OR(LEFT(UPPER(TRIM($DZ327)),1)="+",LEFT(UPPER(TRIM($DZ327)),1)="-"),999),"E+","E"),"E-","E"))=LEN(SUBSTITUTE(SUBSTITUTE(SUBSTITUTE(SUBSTITUTE(MID(UPPER(TRIM($DZ327)),1+OR(LEFT(UPPER(TRIM($DZ327)),1)="+",LEFT(UPPER(TRIM($DZ327)),1)="-"),999),"E+","E"),"E-","E"),"+",""),"-","")),LEN(UPPER(TRIM($DZ327)))-LEN(SUBSTITUTE(UPPER(TRIM($DZ327)),"E",""))&lt;2,LEN(UPPER(TRIM($DZ327)))-LEN(SUBSTITUTE(UPPER(TRIM($DZ327)),".",""))&lt;2,IFERROR(FIND(".",UPPER(TRIM($DZ327))),0)&lt;IFERROR(FIND("E",UPPER(TRIM($DZ327))),999)),ISNUMBER(VALUE(TRIM($DZ327)))),VALUE(TRIM($DZ327)),"")))),""))</f>
        <v/>
      </c>
      <c r="EB327">
        <f>IF($DM327=0,"",IF($L$18=0,"",IFERROR(IF(UPPER(TRIM(SUBSTITUTE(SUBSTITUTE(SUBSTITUTE(SUBSTITUTE(INDEX(PASTE_ALL,$DF327,$L$18)," "," "),CHAR(9)," "),CHAR(10)," "),CHAR(13)," ")))="READY","Ready",IF(UPPER(TRIM(SUBSTITUTE(SUBSTITUTE(SUBSTITUTE(SUBSTITUTE(INDEX(PASTE_ALL,$DF327,$L$18)," "," "),CHAR(9)," "),CHAR(10)," "),CHAR(13)," ")))="PM","PM",IF(OR(UPPER(TRIM(SUBSTITUTE(SUBSTITUTE(SUBSTITUTE(SUBSTITUTE(INDEX(PASTE_ALL,$DF327,$L$18)," "," "),CHAR(9)," "),CHAR(10)," "),CHAR(13)," ")))="OT",UPPER(TRIM(SUBSTITUTE(SUBSTITUTE(SUBSTITUTE(SUBSTITUTE(INDEX(PASTE_ALL,$DF327,$L$18)," "," "),CHAR(9)," "),CHAR(10)," "),CHAR(13)," ")))="OVERTIME",UPPER(TRIM(SUBSTITUTE(SUBSTITUTE(SUBSTITUTE(SUBSTITUTE(INDEX(PASTE_ALL,$DF327,$L$18)," "," "),CHAR(9)," "),CHAR(10)," "),CHAR(13)," ")))="TRIAL"),"OT",TRIM(SUBSTITUTE(SUBSTITUTE(SUBSTITUTE(SUBSTITUTE(INDEX(PASTE_ALL,$DF327,$L$18)," "," "),CHAR(9)," "),CHAR(10)," "),CHAR(13)," "))))),"")))</f>
        <v/>
      </c>
      <c r="EC327">
        <f>IF($DM327=0,"",IF($L$19=0,"",IFERROR(IF(ISNUMBER(INDEX(PASTE_ALL,$DF327,$L$19)),INDEX(PASTE_ALL,$DF327,$L$19),TRIM(SUBSTITUTE(SUBSTITUTE(SUBSTITUTE(SUBSTITUTE(INDEX(PASTE_ALL,$DF327,$L$19)," "," "),CHAR(9)," "),CHAR(10)," "),CHAR(13)," "))),"")))</f>
        <v/>
      </c>
      <c r="ED327">
        <f>IF($DM327=0,"",MATCH(1,INDEX(EXACT($DH$5:DH327,$DH327)*$DM$5:DM327,0),0))</f>
        <v/>
      </c>
      <c r="EE327">
        <f>IF($DM327=0,0,IF($ED327=$DE327,1,0))</f>
        <v/>
      </c>
      <c r="EF327">
        <f>EF326+$EE327</f>
        <v/>
      </c>
      <c r="EG327">
        <f>IF($DM327=0,"",INDEX($EF$5:$EF$1003,$ED327))</f>
        <v/>
      </c>
      <c r="EH327">
        <f>IF($DM327=0,"",IF($DO327&lt;&gt;"","",IFERROR(LOOKUP(2,1/(($EG$4:EG326=$EG327)*($DO$4:DO326&lt;&gt;"")),$DO$4:DO326),"")))</f>
        <v/>
      </c>
      <c r="EI327">
        <f>IF($DM327=0,"",IF($DO327&lt;&gt;"",$DO327,$EH327))</f>
        <v/>
      </c>
      <c r="EJ327">
        <f>IF($DM327=0,"",IF($EI327="",0,IF(OR(ISNUMBER($EI327),AND(AND(SUBSTITUTE(SUBSTITUTE(SUBSTITUTE(SUBSTITUTE(SUBSTITUTE(SUBSTITUTE(SUBSTITUTE(SUBSTITUTE(SUBSTITUTE(SUBSTITUTE(SUBSTITUTE(SUBSTITUTE(SUBSTITUTE(SUBSTITUTE(UPPER($EI327),"0",""),"1",""),"2",""),"3",""),"4",""),"5",""),"6",""),"7",""),"8",""),"9",""),".",""),"+",""),"-",""),"E","")="",LEN(SUBSTITUTE(SUBSTITUTE(MID(UPPER($EI327),1+OR(LEFT(UPPER($EI327),1)="+",LEFT(UPPER($EI327),1)="-"),999),"E+","E"),"E-","E"))=LEN(SUBSTITUTE(SUBSTITUTE(SUBSTITUTE(SUBSTITUTE(MID(UPPER($EI327),1+OR(LEFT(UPPER($EI327),1)="+",LEFT(UPPER($EI327),1)="-"),999),"E+","E"),"E-","E"),"+",""),"-","")),LEN(UPPER($EI327))-LEN(SUBSTITUTE(UPPER($EI327),"E",""))&lt;2,LEN(UPPER($EI327))-LEN(SUBSTITUTE(UPPER($EI327),".",""))&lt;2,IFERROR(FIND(".",UPPER($EI327)),0)&lt;IFERROR(FIND("E",UPPER($EI327)),999)),ISNUMBER(VALUE($EI327)))),1,2)))</f>
        <v/>
      </c>
      <c r="EK327">
        <f>IF($DM327=0,"",IF($EJ327=1,IF(ISNUMBER($EI327),$EI327,VALUE($EI327)),IF($EJ327=2,$DE327,0)))</f>
        <v/>
      </c>
      <c r="EL327">
        <f>IF($DM327=0,"",COUNTIF($EG$5:$EG$1003,"&lt;"&amp;$EG327)+SUMPRODUCT(($EG$5:$EG$1003=$EG327)*(($EJ$5:$EJ$1003&lt;$EJ327)+($EJ$5:$EJ$1003=$EJ327)*(($EK$5:$EK$1003&lt;$EK327)+($EK$5:$EK$1003=$EK327)*($DE$5:$DE$1003&lt;$DE327))))+1)</f>
        <v/>
      </c>
      <c r="EM327">
        <f>IF($DM327=0,"",$EL327+$EG327-1)</f>
        <v/>
      </c>
      <c r="EN327">
        <f>IF($DM327=0,0,IFERROR(MATCH(1,INDEX(--(TRIM(SUBSTITUTE(SUBSTITUTE(SUBSTITUTE(SUBSTITUTE(LINES_NAME&amp;""," "," "),CHAR(9)," "),CHAR(10)," "),CHAR(13)," "))=$DH327),0),0),0))</f>
        <v/>
      </c>
      <c r="EO327">
        <f>IF($EN327=0,0,IF(OR(UPPER(TRIM(INDEX(LINES_SCHEDULED,$EN327)&amp;""))="YES",UPPER(TRIM(INDEX(LINES_SCHEDULED,$EN327)&amp;""))="Y",UPPER(TRIM(INDEX(LINES_SCHEDULED,$EN327)&amp;""))="X"),1,0))</f>
        <v/>
      </c>
      <c r="EP327">
        <f>IF($DM327=0,"",IF(COUNTIFS($EG$5:$EG$1003,$EG327,$EB$5:$EB$1003,"Ready")&gt;0,"READY",IF(COUNTIFS($EG$5:$EG$1003,$EG327,$EB$5:$EB$1003,"PM")&gt;0,"PM",IF(COUNTIFS($EG$5:$EG$1003,$EG327,$EB$5:$EB$1003,"OT")&gt;0,"OT",""))))</f>
        <v/>
      </c>
      <c r="EQ327">
        <f>IF($EN327=0,"",UPPER(TRIM(INDEX(LINES_STATUS,$EN327)&amp;"")))</f>
        <v/>
      </c>
      <c r="ER327">
        <f>IF($DM327=0,"",IF(OR($EQ327="READY",$EQ327="PM",$EQ327="OT"),$EQ327,$EP327))</f>
        <v/>
      </c>
      <c r="ES327">
        <f>IF($DM327=0,"",IF(AND($DV327&lt;&gt;"",UPPER($DV327)&lt;&gt;"N"),"allergen",IF(ISNUMBER(SEARCH("oil",$DQ327)),"oil",IF(OR(EXACT($DS327,"A662"),EXACT($DS327,"A624")),"bulk",""))))</f>
        <v/>
      </c>
      <c r="ET327">
        <f>IF($DM327=0,"",IF(OR($EA327="",$EA327=0),"",$EA327/100))</f>
        <v/>
      </c>
      <c r="EU327">
        <f>IF(OR($ET327="",$DY327=""),"",INT($DY327*(1-$ET327)+0.5))</f>
        <v/>
      </c>
      <c r="EW327" t="n">
        <v>323</v>
      </c>
      <c r="EX327">
        <f>IFERROR(MATCH($EW327,$EM$5:$EM$1003,0),0)</f>
        <v/>
      </c>
      <c r="EY327">
        <f>IF($EW327&gt;$B$12,"",IF($EX327&gt;0,"row","spacer"))</f>
        <v/>
      </c>
      <c r="EZ327">
        <f>IF(AND($EY327="row",$EY326&lt;&gt;"row"),1,0)</f>
        <v/>
      </c>
      <c r="FA327">
        <f>IF(AND($EY327="row",$EY328&lt;&gt;"row"),1,0)</f>
        <v/>
      </c>
      <c r="FB327">
        <f>IF($EZ327=1,IFERROR(IF(ISNUMBER(INDEX(PASTE_ALL,INDEX($DF$5:$DF$1003,$EX327),$B$37)),INDEX(PASTE_ALL,INDEX($DF$5:$DF$1003,$EX327),$B$37),INDEX($DH$5:$DH$1003,$EX327)),INDEX($DH$5:$DH$1003,$EX327)),"")</f>
        <v/>
      </c>
      <c r="FC327">
        <f>IF($EY327="row",INDEX($ER$5:$ER$1003,$EX327),"")</f>
        <v/>
      </c>
      <c r="FD327">
        <f>IF($EY327="row",INDEX($DN$5:$DN$1003,$EX327),"")</f>
        <v/>
      </c>
      <c r="FE327">
        <f>IF($EY327="row",INDEX($DO$5:$DO$1003,$EX327),"")</f>
        <v/>
      </c>
      <c r="FF327">
        <f>IF($EY327="row",INDEX($DP$5:$DP$1003,$EX327),"")</f>
        <v/>
      </c>
      <c r="FG327">
        <f>IF($EY327="row",INDEX($DQ$5:$DQ$1003,$EX327),"")</f>
        <v/>
      </c>
      <c r="FH327">
        <f>IF($EY327="row",INDEX($DR$5:$DR$1003,$EX327),"")</f>
        <v/>
      </c>
      <c r="FI327">
        <f>IF($EY327="row",INDEX($DS$5:$DS$1003,$EX327),"")</f>
        <v/>
      </c>
      <c r="FJ327">
        <f>IF($EY327="row",INDEX($DT$5:$DT$1003,$EX327),"")</f>
        <v/>
      </c>
      <c r="FK327">
        <f>IF($EY327="row",INDEX($DU$5:$DU$1003,$EX327),"")</f>
        <v/>
      </c>
      <c r="FL327">
        <f>IF($EY327="row",INDEX($DV$5:$DV$1003,$EX327),"")</f>
        <v/>
      </c>
      <c r="FM327">
        <f>IF($EY327="row",INDEX($DW$5:$DW$1003,$EX327),"")</f>
        <v/>
      </c>
      <c r="FN327">
        <f>IF($EY327="row",INDEX($DY$5:$DY$1003,$EX327),"")</f>
        <v/>
      </c>
      <c r="FO327">
        <f>IF($EY327="row",INDEX($EA$5:$EA$1003,$EX327),"")</f>
        <v/>
      </c>
      <c r="FP327">
        <f>IF($EY327="row",INDEX($EC$5:$EC$1003,$EX327),"")</f>
        <v/>
      </c>
      <c r="FQ327">
        <f>IF($EY327="row",INDEX($ET$5:$ET$1003,$EX327),"")</f>
        <v/>
      </c>
      <c r="FR327">
        <f>IF($EY327="row",INDEX($EU$5:$EU$1003,$EX327),"")</f>
        <v/>
      </c>
      <c r="FS327">
        <f>IF(AND($EY327="row",$EY326="row"),IF(OR(INDEX($DT$5:$DT$1003,$EX326)="",INDEX($DT$5:$DT$1003,$EX327)=""),"",IF(NOT(EXACT(INDEX($DT$5:$DT$1003,$EX326),INDEX($DT$5:$DT$1003,$EX327))),"S4",IF(NOT(EXACT(INDEX($DS$5:$DS$1003,$EX326),INDEX($DS$5:$DS$1003,$EX327))),"S3",IF(NOT(EXACT(INDEX($DR$5:$DR$1003,$EX326),INDEX($DR$5:$DR$1003,$EX327))),"S1 Count Change","S1")))),"")</f>
        <v/>
      </c>
      <c r="FT327">
        <f>IF($EY327="row",INDEX($ES$5:$ES$1003,$EX327),"")</f>
        <v/>
      </c>
      <c r="FU327">
        <f>IF($EY327="row",INDEX($EO$5:$EO$1003,$EX327),0)</f>
        <v/>
      </c>
      <c r="FV327">
        <f>IF($FS327="S1 Count Change",1,0)</f>
        <v/>
      </c>
    </row>
    <row r="328">
      <c r="DA328" t="n">
        <v>324</v>
      </c>
      <c r="DB328">
        <f>IF($B$37=0,"",IFERROR(TRIM(SUBSTITUTE(SUBSTITUTE(SUBSTITUTE(SUBSTITUTE(INDEX(PASTE_ALL,324,$B$37)," "," "),CHAR(9)," "),CHAR(10)," "),CHAR(13)," ")),""))</f>
        <v/>
      </c>
      <c r="DC328">
        <f>IF(AND(324&gt;HEADER_ROW,UPPER(DB328)="LEGEND"),1,0)</f>
        <v/>
      </c>
      <c r="DE328" t="n">
        <v>324</v>
      </c>
      <c r="DF328">
        <f>HEADER_ROW+$DE328</f>
        <v/>
      </c>
      <c r="DG328">
        <f>IF(AND($DF328&lt;=1000,$DF328&lt;$B$8),1,0)</f>
        <v/>
      </c>
      <c r="DH328">
        <f>IF($DG328=1,IFERROR(INDEX($DB$5:$DB$1004,$DF328),""),"")</f>
        <v/>
      </c>
      <c r="DI328">
        <f>IF(AND($DG328=1,$DH328&lt;&gt;""),IFERROR(SUBSTITUTE(SUBSTITUTE(TRIM(SUBSTITUTE(SUBSTITUTE(SUBSTITUTE(SUBSTITUTE(IFERROR(INDEX(PASTE_ALL,$DF328,1)&amp;"","")&amp;"␟"&amp;IFERROR(INDEX(PASTE_ALL,$DF328,2)&amp;"","")&amp;"␟"&amp;IFERROR(INDEX(PASTE_ALL,$DF328,3)&amp;"","")&amp;"␟"&amp;IFERROR(INDEX(PASTE_ALL,$DF328,4)&amp;"","")&amp;"␟"&amp;IFERROR(INDEX(PASTE_ALL,$DF328,5)&amp;"","")&amp;"␟"&amp;IFERROR(INDEX(PASTE_ALL,$DF328,6)&amp;"","")&amp;"␟"&amp;IFERROR(INDEX(PASTE_ALL,$DF328,7)&amp;"","")&amp;"␟"&amp;IFERROR(INDEX(PASTE_ALL,$DF328,8)&amp;"","")&amp;"␟"&amp;IFERROR(INDEX(PASTE_ALL,$DF328,9)&amp;"","")&amp;"␟"&amp;IFERROR(INDEX(PASTE_ALL,$DF328,10)&amp;"","")&amp;"␟"&amp;IFERROR(INDEX(PASTE_ALL,$DF328,11)&amp;"","")&amp;"␟"&amp;IFERROR(INDEX(PASTE_ALL,$DF328,12)&amp;"","")&amp;"␟"&amp;IFERROR(INDEX(PASTE_ALL,$DF328,13)&amp;"","")&amp;"␟"&amp;IFERROR(INDEX(PASTE_ALL,$DF328,14)&amp;"","")&amp;"␟"&amp;IFERROR(INDEX(PASTE_ALL,$DF328,15)&amp;"","")&amp;"␟"&amp;IFERROR(INDEX(PASTE_ALL,$DF328,16)&amp;"","")&amp;"␟"&amp;IFERROR(INDEX(PASTE_ALL,$DF328,17)&amp;"","")&amp;"␟"&amp;IFERROR(INDEX(PASTE_ALL,$DF328,18)&amp;"","")&amp;"␟"&amp;IFERROR(INDEX(PASTE_ALL,$DF328,19)&amp;"","")&amp;"␟"&amp;IFERROR(INDEX(PASTE_ALL,$DF328,20)&amp;"","")&amp;"␟"&amp;IFERROR(INDEX(PASTE_ALL,$DF328,21)&amp;"","")&amp;"␟"&amp;IFERROR(INDEX(PASTE_ALL,$DF328,22)&amp;"","")&amp;"␟"&amp;IFERROR(INDEX(PASTE_ALL,$DF328,23)&amp;"","")&amp;"␟"&amp;IFERROR(INDEX(PASTE_ALL,$DF328,24)&amp;"","")&amp;"␟"&amp;IFERROR(INDEX(PASTE_ALL,$DF328,25)&amp;"","")&amp;"␟"&amp;IFERROR(INDEX(PASTE_ALL,$DF328,26)&amp;"","")&amp;"␟"&amp;IFERROR(INDEX(PASTE_ALL,$DF328,27)&amp;"","")&amp;"␟"&amp;IFERROR(INDEX(PASTE_ALL,$DF328,28)&amp;"","")&amp;"␟"&amp;IFERROR(INDEX(PASTE_ALL,$DF328,29)&amp;"","")&amp;"␟"&amp;IFERROR(INDEX(PASTE_ALL,$DF328,30)&amp;"","")&amp;"␟"&amp;IFERROR(INDEX(PASTE_ALL,$DF328,31)&amp;"","")&amp;"␟"&amp;IFERROR(INDEX(PASTE_ALL,$DF328,32)&amp;"","")&amp;"␟"&amp;IFERROR(INDEX(PASTE_ALL,$DF328,33)&amp;"","")&amp;"␟"&amp;IFERROR(INDEX(PASTE_ALL,$DF328,34)&amp;"","")&amp;"␟"&amp;IFERROR(INDEX(PASTE_ALL,$DF328,35)&amp;"","")&amp;"␟"&amp;IFERROR(INDEX(PASTE_ALL,$DF328,36)&amp;"","")&amp;"␟"&amp;IFERROR(INDEX(PASTE_ALL,$DF328,37)&amp;"","")&amp;"␟"&amp;IFERROR(INDEX(PASTE_ALL,$DF328,38)&amp;"","")&amp;"␟"&amp;IFERROR(INDEX(PASTE_ALL,$DF328,39)&amp;"","")&amp;"␟"&amp;IFERROR(INDEX(PASTE_ALL,$DF328,40)&amp;"","")&amp;"␟"&amp;IFERROR(INDEX(PASTE_ALL,$DF328,41)&amp;"","")&amp;"␟"&amp;IFERROR(INDEX(PASTE_ALL,$DF328,42)&amp;"","")&amp;"␟"&amp;IFERROR(INDEX(PASTE_ALL,$DF328,43)&amp;"","")&amp;"␟"&amp;IFERROR(INDEX(PASTE_ALL,$DF328,44)&amp;"","")&amp;"␟"&amp;IFERROR(INDEX(PASTE_ALL,$DF328,45)&amp;"","")&amp;"␟"&amp;IFERROR(INDEX(PASTE_ALL,$DF328,46)&amp;"","")&amp;"␟"&amp;IFERROR(INDEX(PASTE_ALL,$DF328,47)&amp;"","")&amp;"␟"&amp;IFERROR(INDEX(PASTE_ALL,$DF328,48)&amp;"","")&amp;"␟"&amp;IFERROR(INDEX(PASTE_ALL,$DF328,49)&amp;"","")&amp;"␟"&amp;IFERROR(INDEX(PASTE_ALL,$DF328,50)&amp;"","")&amp;"␟"&amp;IFERROR(INDEX(PASTE_ALL,$DF328,51)&amp;"","")&amp;"␟"&amp;IFERROR(INDEX(PASTE_ALL,$DF328,52)&amp;"","")&amp;"␟"&amp;IFERROR(INDEX(PASTE_ALL,$DF328,53)&amp;"","")&amp;"␟"&amp;IFERROR(INDEX(PASTE_ALL,$DF328,54)&amp;"","")&amp;"␟"&amp;IFERROR(INDEX(PASTE_ALL,$DF328,55)&amp;"","")&amp;"␟"&amp;IFERROR(INDEX(PASTE_ALL,$DF328,56)&amp;"","")&amp;"␟"&amp;IFERROR(INDEX(PASTE_ALL,$DF328,57)&amp;"","")&amp;"␟"&amp;IFERROR(INDEX(PASTE_ALL,$DF328,58)&amp;"","")&amp;"␟"&amp;IFERROR(INDEX(PASTE_ALL,$DF328,59)&amp;"","")&amp;"␟"&amp;IFERROR(INDEX(PASTE_ALL,$DF328,60)&amp;"","")," "," "),CHAR(9)," "),CHAR(10)," "),CHAR(13)," "))," ␟","␟"),"␟ ","␟"),"#"&amp;$DE328),"")</f>
        <v/>
      </c>
      <c r="DJ328">
        <f>IF($DI328="",0,IF(SUMPRODUCT(--EXACT($DI$4:DI327,$DI328))&gt;0,1,0))</f>
        <v/>
      </c>
      <c r="DK328">
        <f>IF(AND($DI328&lt;&gt;"",$DJ328=0),1,0)</f>
        <v/>
      </c>
      <c r="DL328">
        <f>DL327+$DK328</f>
        <v/>
      </c>
      <c r="DM328">
        <f>IF(AND($DK328=1,$DL328&lt;=600),1,0)</f>
        <v/>
      </c>
      <c r="DN328">
        <f>IF($DM328=0,"",IF($L$6=0,"",IFERROR(IF(ISNUMBER(INDEX(PASTE_ALL,$DF328,$L$6)),INDEX(PASTE_ALL,$DF328,$L$6),TRIM(SUBSTITUTE(SUBSTITUTE(SUBSTITUTE(SUBSTITUTE(INDEX(PASTE_ALL,$DF328,$L$6)," "," "),CHAR(9)," "),CHAR(10)," "),CHAR(13)," "))),"")))</f>
        <v/>
      </c>
      <c r="DO328">
        <f>IF($DM328=0,"",IF($L$7=0,"",IFERROR(IF(ISNUMBER(INDEX(PASTE_ALL,$DF328,$L$7)),INDEX(PASTE_ALL,$DF328,$L$7),TRIM(SUBSTITUTE(SUBSTITUTE(SUBSTITUTE(SUBSTITUTE(INDEX(PASTE_ALL,$DF328,$L$7)," "," "),CHAR(9)," "),CHAR(10)," "),CHAR(13)," "))),"")))</f>
        <v/>
      </c>
      <c r="DP328">
        <f>IF($DM328=0,"",IF($L$8=0,"",IFERROR(IF(ISNUMBER(INDEX(PASTE_ALL,$DF328,$L$8)),INDEX(PASTE_ALL,$DF328,$L$8),TRIM(SUBSTITUTE(SUBSTITUTE(SUBSTITUTE(SUBSTITUTE(INDEX(PASTE_ALL,$DF328,$L$8)," "," "),CHAR(9)," "),CHAR(10)," "),CHAR(13)," "))),"")))</f>
        <v/>
      </c>
      <c r="DQ328">
        <f>IF($DM328=0,"",IF($L$9=0,"",IFERROR(IF(ISNUMBER(INDEX(PASTE_ALL,$DF328,$L$9)),INDEX(PASTE_ALL,$DF328,$L$9),TRIM(SUBSTITUTE(SUBSTITUTE(SUBSTITUTE(SUBSTITUTE(INDEX(PASTE_ALL,$DF328,$L$9)," "," "),CHAR(9)," "),CHAR(10)," "),CHAR(13)," "))),"")))</f>
        <v/>
      </c>
      <c r="DR328">
        <f>IF($DM328=0,"",IF($L$10=0,"",IFERROR(IF(ISNUMBER(INDEX(PASTE_ALL,$DF328,$L$10)),INDEX(PASTE_ALL,$DF328,$L$10),TRIM(SUBSTITUTE(SUBSTITUTE(SUBSTITUTE(SUBSTITUTE(INDEX(PASTE_ALL,$DF328,$L$10)," "," "),CHAR(9)," "),CHAR(10)," "),CHAR(13)," "))),"")))</f>
        <v/>
      </c>
      <c r="DS328">
        <f>IF($DM328=0,"",IF($L$11=0,"",IFERROR(IF(ISNUMBER(INDEX(PASTE_ALL,$DF328,$L$11)),INDEX(PASTE_ALL,$DF328,$L$11),TRIM(SUBSTITUTE(SUBSTITUTE(SUBSTITUTE(SUBSTITUTE(INDEX(PASTE_ALL,$DF328,$L$11)," "," "),CHAR(9)," "),CHAR(10)," "),CHAR(13)," "))),"")))</f>
        <v/>
      </c>
      <c r="DT328">
        <f>IF($DM328=0,"",IF($L$12=0,"",IFERROR(IF(ISNUMBER(INDEX(PASTE_ALL,$DF328,$L$12)),INDEX(PASTE_ALL,$DF328,$L$12),TRIM(SUBSTITUTE(SUBSTITUTE(SUBSTITUTE(SUBSTITUTE(INDEX(PASTE_ALL,$DF328,$L$12)," "," "),CHAR(9)," "),CHAR(10)," "),CHAR(13)," "))),"")))</f>
        <v/>
      </c>
      <c r="DU328">
        <f>IF($DM328=0,"",IF($L$13=0,"",IFERROR(IF(ISNUMBER(INDEX(PASTE_ALL,$DF328,$L$13)),INDEX(PASTE_ALL,$DF328,$L$13),TRIM(SUBSTITUTE(SUBSTITUTE(SUBSTITUTE(SUBSTITUTE(INDEX(PASTE_ALL,$DF328,$L$13)," "," "),CHAR(9)," "),CHAR(10)," "),CHAR(13)," "))),"")))</f>
        <v/>
      </c>
      <c r="DV328">
        <f>IF($DM328=0,"",IF($L$14=0,"",IFERROR(IF(ISNUMBER(INDEX(PASTE_ALL,$DF328,$L$14)),INDEX(PASTE_ALL,$DF328,$L$14),TRIM(SUBSTITUTE(SUBSTITUTE(SUBSTITUTE(SUBSTITUTE(INDEX(PASTE_ALL,$DF328,$L$14)," "," "),CHAR(9)," "),CHAR(10)," "),CHAR(13)," "))),"")))</f>
        <v/>
      </c>
      <c r="DW328">
        <f>IF($DM328=0,"",IF($L$15=0,"",IFERROR(IF(ISNUMBER(INDEX(PASTE_ALL,$DF328,$L$15)),INDEX(PASTE_ALL,$DF328,$L$15),IF(SUMPRODUCT(--ISNUMBER(FIND({"A","B","C","D","E","F","G","H","I","J","K","L","M","N","O","P","Q","R","S","T","U","V","W","X","Y","Z","0","1","2","3","4","5","6","7","8","9"},UPPER(TRIM(SUBSTITUTE(SUBSTITUTE(SUBSTITUTE(SUBSTITUTE(INDEX(PASTE_ALL,$DF328,$L$15)," "," "),CHAR(9)," "),CHAR(10)," "),CHAR(13)," "))))))&gt;0,TRIM(SUBSTITUTE(SUBSTITUTE(SUBSTITUTE(SUBSTITUTE(INDEX(PASTE_ALL,$DF328,$L$15)," "," "),CHAR(9)," "),CHAR(10)," "),CHAR(13)," ")),"")),"")))</f>
        <v/>
      </c>
      <c r="DX328">
        <f>IF($DM328=0,"",IF($L$16=0,"",IFERROR(IF(ISNUMBER(INDEX(PASTE_ALL,$DF328,$L$16)),INDEX(PASTE_ALL,$DF328,$L$16),SUBSTITUTE(SUBSTITUTE(TRIM(SUBSTITUTE(SUBSTITUTE(SUBSTITUTE(SUBSTITUTE(INDEX(PASTE_ALL,$DF328,$L$16)," "," "),CHAR(9)," "),CHAR(10)," "),CHAR(13)," ")),",",""),"%","")),"")))</f>
        <v/>
      </c>
      <c r="DY328">
        <f>IF($DM328=0,"",IFERROR(IF(ISNUMBER($DX328),$DX328,IF($DX328="","",IF(TRIM($DX328)="",0,IF(AND(AND(SUBSTITUTE(SUBSTITUTE(SUBSTITUTE(SUBSTITUTE(SUBSTITUTE(SUBSTITUTE(SUBSTITUTE(SUBSTITUTE(SUBSTITUTE(SUBSTITUTE(SUBSTITUTE(SUBSTITUTE(SUBSTITUTE(SUBSTITUTE(UPPER(TRIM($DX328)),"0",""),"1",""),"2",""),"3",""),"4",""),"5",""),"6",""),"7",""),"8",""),"9",""),".",""),"+",""),"-",""),"E","")="",LEN(SUBSTITUTE(SUBSTITUTE(MID(UPPER(TRIM($DX328)),1+OR(LEFT(UPPER(TRIM($DX328)),1)="+",LEFT(UPPER(TRIM($DX328)),1)="-"),999),"E+","E"),"E-","E"))=LEN(SUBSTITUTE(SUBSTITUTE(SUBSTITUTE(SUBSTITUTE(MID(UPPER(TRIM($DX328)),1+OR(LEFT(UPPER(TRIM($DX328)),1)="+",LEFT(UPPER(TRIM($DX328)),1)="-"),999),"E+","E"),"E-","E"),"+",""),"-","")),LEN(UPPER(TRIM($DX328)))-LEN(SUBSTITUTE(UPPER(TRIM($DX328)),"E",""))&lt;2,LEN(UPPER(TRIM($DX328)))-LEN(SUBSTITUTE(UPPER(TRIM($DX328)),".",""))&lt;2,IFERROR(FIND(".",UPPER(TRIM($DX328))),0)&lt;IFERROR(FIND("E",UPPER(TRIM($DX328))),999)),ISNUMBER(VALUE(TRIM($DX328)))),VALUE(TRIM($DX328)),"")))),""))</f>
        <v/>
      </c>
      <c r="DZ328">
        <f>IF($DM328=0,"",IF($L$17=0,"",IFERROR(IF(ISNUMBER(INDEX(PASTE_ALL,$DF328,$L$17)),INDEX(PASTE_ALL,$DF328,$L$17),SUBSTITUTE(SUBSTITUTE(TRIM(SUBSTITUTE(SUBSTITUTE(SUBSTITUTE(SUBSTITUTE(INDEX(PASTE_ALL,$DF328,$L$17)," "," "),CHAR(9)," "),CHAR(10)," "),CHAR(13)," ")),",",""),"%","")),"")))</f>
        <v/>
      </c>
      <c r="EA328">
        <f>IF($DM328=0,"",IFERROR(IF(ISNUMBER($DZ328),$DZ328,IF($DZ328="","",IF(TRIM($DZ328)="",0,IF(AND(AND(SUBSTITUTE(SUBSTITUTE(SUBSTITUTE(SUBSTITUTE(SUBSTITUTE(SUBSTITUTE(SUBSTITUTE(SUBSTITUTE(SUBSTITUTE(SUBSTITUTE(SUBSTITUTE(SUBSTITUTE(SUBSTITUTE(SUBSTITUTE(UPPER(TRIM($DZ328)),"0",""),"1",""),"2",""),"3",""),"4",""),"5",""),"6",""),"7",""),"8",""),"9",""),".",""),"+",""),"-",""),"E","")="",LEN(SUBSTITUTE(SUBSTITUTE(MID(UPPER(TRIM($DZ328)),1+OR(LEFT(UPPER(TRIM($DZ328)),1)="+",LEFT(UPPER(TRIM($DZ328)),1)="-"),999),"E+","E"),"E-","E"))=LEN(SUBSTITUTE(SUBSTITUTE(SUBSTITUTE(SUBSTITUTE(MID(UPPER(TRIM($DZ328)),1+OR(LEFT(UPPER(TRIM($DZ328)),1)="+",LEFT(UPPER(TRIM($DZ328)),1)="-"),999),"E+","E"),"E-","E"),"+",""),"-","")),LEN(UPPER(TRIM($DZ328)))-LEN(SUBSTITUTE(UPPER(TRIM($DZ328)),"E",""))&lt;2,LEN(UPPER(TRIM($DZ328)))-LEN(SUBSTITUTE(UPPER(TRIM($DZ328)),".",""))&lt;2,IFERROR(FIND(".",UPPER(TRIM($DZ328))),0)&lt;IFERROR(FIND("E",UPPER(TRIM($DZ328))),999)),ISNUMBER(VALUE(TRIM($DZ328)))),VALUE(TRIM($DZ328)),"")))),""))</f>
        <v/>
      </c>
      <c r="EB328">
        <f>IF($DM328=0,"",IF($L$18=0,"",IFERROR(IF(UPPER(TRIM(SUBSTITUTE(SUBSTITUTE(SUBSTITUTE(SUBSTITUTE(INDEX(PASTE_ALL,$DF328,$L$18)," "," "),CHAR(9)," "),CHAR(10)," "),CHAR(13)," ")))="READY","Ready",IF(UPPER(TRIM(SUBSTITUTE(SUBSTITUTE(SUBSTITUTE(SUBSTITUTE(INDEX(PASTE_ALL,$DF328,$L$18)," "," "),CHAR(9)," "),CHAR(10)," "),CHAR(13)," ")))="PM","PM",IF(OR(UPPER(TRIM(SUBSTITUTE(SUBSTITUTE(SUBSTITUTE(SUBSTITUTE(INDEX(PASTE_ALL,$DF328,$L$18)," "," "),CHAR(9)," "),CHAR(10)," "),CHAR(13)," ")))="OT",UPPER(TRIM(SUBSTITUTE(SUBSTITUTE(SUBSTITUTE(SUBSTITUTE(INDEX(PASTE_ALL,$DF328,$L$18)," "," "),CHAR(9)," "),CHAR(10)," "),CHAR(13)," ")))="OVERTIME",UPPER(TRIM(SUBSTITUTE(SUBSTITUTE(SUBSTITUTE(SUBSTITUTE(INDEX(PASTE_ALL,$DF328,$L$18)," "," "),CHAR(9)," "),CHAR(10)," "),CHAR(13)," ")))="TRIAL"),"OT",TRIM(SUBSTITUTE(SUBSTITUTE(SUBSTITUTE(SUBSTITUTE(INDEX(PASTE_ALL,$DF328,$L$18)," "," "),CHAR(9)," "),CHAR(10)," "),CHAR(13)," "))))),"")))</f>
        <v/>
      </c>
      <c r="EC328">
        <f>IF($DM328=0,"",IF($L$19=0,"",IFERROR(IF(ISNUMBER(INDEX(PASTE_ALL,$DF328,$L$19)),INDEX(PASTE_ALL,$DF328,$L$19),TRIM(SUBSTITUTE(SUBSTITUTE(SUBSTITUTE(SUBSTITUTE(INDEX(PASTE_ALL,$DF328,$L$19)," "," "),CHAR(9)," "),CHAR(10)," "),CHAR(13)," "))),"")))</f>
        <v/>
      </c>
      <c r="ED328">
        <f>IF($DM328=0,"",MATCH(1,INDEX(EXACT($DH$5:DH328,$DH328)*$DM$5:DM328,0),0))</f>
        <v/>
      </c>
      <c r="EE328">
        <f>IF($DM328=0,0,IF($ED328=$DE328,1,0))</f>
        <v/>
      </c>
      <c r="EF328">
        <f>EF327+$EE328</f>
        <v/>
      </c>
      <c r="EG328">
        <f>IF($DM328=0,"",INDEX($EF$5:$EF$1003,$ED328))</f>
        <v/>
      </c>
      <c r="EH328">
        <f>IF($DM328=0,"",IF($DO328&lt;&gt;"","",IFERROR(LOOKUP(2,1/(($EG$4:EG327=$EG328)*($DO$4:DO327&lt;&gt;"")),$DO$4:DO327),"")))</f>
        <v/>
      </c>
      <c r="EI328">
        <f>IF($DM328=0,"",IF($DO328&lt;&gt;"",$DO328,$EH328))</f>
        <v/>
      </c>
      <c r="EJ328">
        <f>IF($DM328=0,"",IF($EI328="",0,IF(OR(ISNUMBER($EI328),AND(AND(SUBSTITUTE(SUBSTITUTE(SUBSTITUTE(SUBSTITUTE(SUBSTITUTE(SUBSTITUTE(SUBSTITUTE(SUBSTITUTE(SUBSTITUTE(SUBSTITUTE(SUBSTITUTE(SUBSTITUTE(SUBSTITUTE(SUBSTITUTE(UPPER($EI328),"0",""),"1",""),"2",""),"3",""),"4",""),"5",""),"6",""),"7",""),"8",""),"9",""),".",""),"+",""),"-",""),"E","")="",LEN(SUBSTITUTE(SUBSTITUTE(MID(UPPER($EI328),1+OR(LEFT(UPPER($EI328),1)="+",LEFT(UPPER($EI328),1)="-"),999),"E+","E"),"E-","E"))=LEN(SUBSTITUTE(SUBSTITUTE(SUBSTITUTE(SUBSTITUTE(MID(UPPER($EI328),1+OR(LEFT(UPPER($EI328),1)="+",LEFT(UPPER($EI328),1)="-"),999),"E+","E"),"E-","E"),"+",""),"-","")),LEN(UPPER($EI328))-LEN(SUBSTITUTE(UPPER($EI328),"E",""))&lt;2,LEN(UPPER($EI328))-LEN(SUBSTITUTE(UPPER($EI328),".",""))&lt;2,IFERROR(FIND(".",UPPER($EI328)),0)&lt;IFERROR(FIND("E",UPPER($EI328)),999)),ISNUMBER(VALUE($EI328)))),1,2)))</f>
        <v/>
      </c>
      <c r="EK328">
        <f>IF($DM328=0,"",IF($EJ328=1,IF(ISNUMBER($EI328),$EI328,VALUE($EI328)),IF($EJ328=2,$DE328,0)))</f>
        <v/>
      </c>
      <c r="EL328">
        <f>IF($DM328=0,"",COUNTIF($EG$5:$EG$1003,"&lt;"&amp;$EG328)+SUMPRODUCT(($EG$5:$EG$1003=$EG328)*(($EJ$5:$EJ$1003&lt;$EJ328)+($EJ$5:$EJ$1003=$EJ328)*(($EK$5:$EK$1003&lt;$EK328)+($EK$5:$EK$1003=$EK328)*($DE$5:$DE$1003&lt;$DE328))))+1)</f>
        <v/>
      </c>
      <c r="EM328">
        <f>IF($DM328=0,"",$EL328+$EG328-1)</f>
        <v/>
      </c>
      <c r="EN328">
        <f>IF($DM328=0,0,IFERROR(MATCH(1,INDEX(--(TRIM(SUBSTITUTE(SUBSTITUTE(SUBSTITUTE(SUBSTITUTE(LINES_NAME&amp;""," "," "),CHAR(9)," "),CHAR(10)," "),CHAR(13)," "))=$DH328),0),0),0))</f>
        <v/>
      </c>
      <c r="EO328">
        <f>IF($EN328=0,0,IF(OR(UPPER(TRIM(INDEX(LINES_SCHEDULED,$EN328)&amp;""))="YES",UPPER(TRIM(INDEX(LINES_SCHEDULED,$EN328)&amp;""))="Y",UPPER(TRIM(INDEX(LINES_SCHEDULED,$EN328)&amp;""))="X"),1,0))</f>
        <v/>
      </c>
      <c r="EP328">
        <f>IF($DM328=0,"",IF(COUNTIFS($EG$5:$EG$1003,$EG328,$EB$5:$EB$1003,"Ready")&gt;0,"READY",IF(COUNTIFS($EG$5:$EG$1003,$EG328,$EB$5:$EB$1003,"PM")&gt;0,"PM",IF(COUNTIFS($EG$5:$EG$1003,$EG328,$EB$5:$EB$1003,"OT")&gt;0,"OT",""))))</f>
        <v/>
      </c>
      <c r="EQ328">
        <f>IF($EN328=0,"",UPPER(TRIM(INDEX(LINES_STATUS,$EN328)&amp;"")))</f>
        <v/>
      </c>
      <c r="ER328">
        <f>IF($DM328=0,"",IF(OR($EQ328="READY",$EQ328="PM",$EQ328="OT"),$EQ328,$EP328))</f>
        <v/>
      </c>
      <c r="ES328">
        <f>IF($DM328=0,"",IF(AND($DV328&lt;&gt;"",UPPER($DV328)&lt;&gt;"N"),"allergen",IF(ISNUMBER(SEARCH("oil",$DQ328)),"oil",IF(OR(EXACT($DS328,"A662"),EXACT($DS328,"A624")),"bulk",""))))</f>
        <v/>
      </c>
      <c r="ET328">
        <f>IF($DM328=0,"",IF(OR($EA328="",$EA328=0),"",$EA328/100))</f>
        <v/>
      </c>
      <c r="EU328">
        <f>IF(OR($ET328="",$DY328=""),"",INT($DY328*(1-$ET328)+0.5))</f>
        <v/>
      </c>
      <c r="EW328" t="n">
        <v>324</v>
      </c>
      <c r="EX328">
        <f>IFERROR(MATCH($EW328,$EM$5:$EM$1003,0),0)</f>
        <v/>
      </c>
      <c r="EY328">
        <f>IF($EW328&gt;$B$12,"",IF($EX328&gt;0,"row","spacer"))</f>
        <v/>
      </c>
      <c r="EZ328">
        <f>IF(AND($EY328="row",$EY327&lt;&gt;"row"),1,0)</f>
        <v/>
      </c>
      <c r="FA328">
        <f>IF(AND($EY328="row",$EY329&lt;&gt;"row"),1,0)</f>
        <v/>
      </c>
      <c r="FB328">
        <f>IF($EZ328=1,IFERROR(IF(ISNUMBER(INDEX(PASTE_ALL,INDEX($DF$5:$DF$1003,$EX328),$B$37)),INDEX(PASTE_ALL,INDEX($DF$5:$DF$1003,$EX328),$B$37),INDEX($DH$5:$DH$1003,$EX328)),INDEX($DH$5:$DH$1003,$EX328)),"")</f>
        <v/>
      </c>
      <c r="FC328">
        <f>IF($EY328="row",INDEX($ER$5:$ER$1003,$EX328),"")</f>
        <v/>
      </c>
      <c r="FD328">
        <f>IF($EY328="row",INDEX($DN$5:$DN$1003,$EX328),"")</f>
        <v/>
      </c>
      <c r="FE328">
        <f>IF($EY328="row",INDEX($DO$5:$DO$1003,$EX328),"")</f>
        <v/>
      </c>
      <c r="FF328">
        <f>IF($EY328="row",INDEX($DP$5:$DP$1003,$EX328),"")</f>
        <v/>
      </c>
      <c r="FG328">
        <f>IF($EY328="row",INDEX($DQ$5:$DQ$1003,$EX328),"")</f>
        <v/>
      </c>
      <c r="FH328">
        <f>IF($EY328="row",INDEX($DR$5:$DR$1003,$EX328),"")</f>
        <v/>
      </c>
      <c r="FI328">
        <f>IF($EY328="row",INDEX($DS$5:$DS$1003,$EX328),"")</f>
        <v/>
      </c>
      <c r="FJ328">
        <f>IF($EY328="row",INDEX($DT$5:$DT$1003,$EX328),"")</f>
        <v/>
      </c>
      <c r="FK328">
        <f>IF($EY328="row",INDEX($DU$5:$DU$1003,$EX328),"")</f>
        <v/>
      </c>
      <c r="FL328">
        <f>IF($EY328="row",INDEX($DV$5:$DV$1003,$EX328),"")</f>
        <v/>
      </c>
      <c r="FM328">
        <f>IF($EY328="row",INDEX($DW$5:$DW$1003,$EX328),"")</f>
        <v/>
      </c>
      <c r="FN328">
        <f>IF($EY328="row",INDEX($DY$5:$DY$1003,$EX328),"")</f>
        <v/>
      </c>
      <c r="FO328">
        <f>IF($EY328="row",INDEX($EA$5:$EA$1003,$EX328),"")</f>
        <v/>
      </c>
      <c r="FP328">
        <f>IF($EY328="row",INDEX($EC$5:$EC$1003,$EX328),"")</f>
        <v/>
      </c>
      <c r="FQ328">
        <f>IF($EY328="row",INDEX($ET$5:$ET$1003,$EX328),"")</f>
        <v/>
      </c>
      <c r="FR328">
        <f>IF($EY328="row",INDEX($EU$5:$EU$1003,$EX328),"")</f>
        <v/>
      </c>
      <c r="FS328">
        <f>IF(AND($EY328="row",$EY327="row"),IF(OR(INDEX($DT$5:$DT$1003,$EX327)="",INDEX($DT$5:$DT$1003,$EX328)=""),"",IF(NOT(EXACT(INDEX($DT$5:$DT$1003,$EX327),INDEX($DT$5:$DT$1003,$EX328))),"S4",IF(NOT(EXACT(INDEX($DS$5:$DS$1003,$EX327),INDEX($DS$5:$DS$1003,$EX328))),"S3",IF(NOT(EXACT(INDEX($DR$5:$DR$1003,$EX327),INDEX($DR$5:$DR$1003,$EX328))),"S1 Count Change","S1")))),"")</f>
        <v/>
      </c>
      <c r="FT328">
        <f>IF($EY328="row",INDEX($ES$5:$ES$1003,$EX328),"")</f>
        <v/>
      </c>
      <c r="FU328">
        <f>IF($EY328="row",INDEX($EO$5:$EO$1003,$EX328),0)</f>
        <v/>
      </c>
      <c r="FV328">
        <f>IF($FS328="S1 Count Change",1,0)</f>
        <v/>
      </c>
    </row>
    <row r="329">
      <c r="DA329" t="n">
        <v>325</v>
      </c>
      <c r="DB329">
        <f>IF($B$37=0,"",IFERROR(TRIM(SUBSTITUTE(SUBSTITUTE(SUBSTITUTE(SUBSTITUTE(INDEX(PASTE_ALL,325,$B$37)," "," "),CHAR(9)," "),CHAR(10)," "),CHAR(13)," ")),""))</f>
        <v/>
      </c>
      <c r="DC329">
        <f>IF(AND(325&gt;HEADER_ROW,UPPER(DB329)="LEGEND"),1,0)</f>
        <v/>
      </c>
      <c r="DE329" t="n">
        <v>325</v>
      </c>
      <c r="DF329">
        <f>HEADER_ROW+$DE329</f>
        <v/>
      </c>
      <c r="DG329">
        <f>IF(AND($DF329&lt;=1000,$DF329&lt;$B$8),1,0)</f>
        <v/>
      </c>
      <c r="DH329">
        <f>IF($DG329=1,IFERROR(INDEX($DB$5:$DB$1004,$DF329),""),"")</f>
        <v/>
      </c>
      <c r="DI329">
        <f>IF(AND($DG329=1,$DH329&lt;&gt;""),IFERROR(SUBSTITUTE(SUBSTITUTE(TRIM(SUBSTITUTE(SUBSTITUTE(SUBSTITUTE(SUBSTITUTE(IFERROR(INDEX(PASTE_ALL,$DF329,1)&amp;"","")&amp;"␟"&amp;IFERROR(INDEX(PASTE_ALL,$DF329,2)&amp;"","")&amp;"␟"&amp;IFERROR(INDEX(PASTE_ALL,$DF329,3)&amp;"","")&amp;"␟"&amp;IFERROR(INDEX(PASTE_ALL,$DF329,4)&amp;"","")&amp;"␟"&amp;IFERROR(INDEX(PASTE_ALL,$DF329,5)&amp;"","")&amp;"␟"&amp;IFERROR(INDEX(PASTE_ALL,$DF329,6)&amp;"","")&amp;"␟"&amp;IFERROR(INDEX(PASTE_ALL,$DF329,7)&amp;"","")&amp;"␟"&amp;IFERROR(INDEX(PASTE_ALL,$DF329,8)&amp;"","")&amp;"␟"&amp;IFERROR(INDEX(PASTE_ALL,$DF329,9)&amp;"","")&amp;"␟"&amp;IFERROR(INDEX(PASTE_ALL,$DF329,10)&amp;"","")&amp;"␟"&amp;IFERROR(INDEX(PASTE_ALL,$DF329,11)&amp;"","")&amp;"␟"&amp;IFERROR(INDEX(PASTE_ALL,$DF329,12)&amp;"","")&amp;"␟"&amp;IFERROR(INDEX(PASTE_ALL,$DF329,13)&amp;"","")&amp;"␟"&amp;IFERROR(INDEX(PASTE_ALL,$DF329,14)&amp;"","")&amp;"␟"&amp;IFERROR(INDEX(PASTE_ALL,$DF329,15)&amp;"","")&amp;"␟"&amp;IFERROR(INDEX(PASTE_ALL,$DF329,16)&amp;"","")&amp;"␟"&amp;IFERROR(INDEX(PASTE_ALL,$DF329,17)&amp;"","")&amp;"␟"&amp;IFERROR(INDEX(PASTE_ALL,$DF329,18)&amp;"","")&amp;"␟"&amp;IFERROR(INDEX(PASTE_ALL,$DF329,19)&amp;"","")&amp;"␟"&amp;IFERROR(INDEX(PASTE_ALL,$DF329,20)&amp;"","")&amp;"␟"&amp;IFERROR(INDEX(PASTE_ALL,$DF329,21)&amp;"","")&amp;"␟"&amp;IFERROR(INDEX(PASTE_ALL,$DF329,22)&amp;"","")&amp;"␟"&amp;IFERROR(INDEX(PASTE_ALL,$DF329,23)&amp;"","")&amp;"␟"&amp;IFERROR(INDEX(PASTE_ALL,$DF329,24)&amp;"","")&amp;"␟"&amp;IFERROR(INDEX(PASTE_ALL,$DF329,25)&amp;"","")&amp;"␟"&amp;IFERROR(INDEX(PASTE_ALL,$DF329,26)&amp;"","")&amp;"␟"&amp;IFERROR(INDEX(PASTE_ALL,$DF329,27)&amp;"","")&amp;"␟"&amp;IFERROR(INDEX(PASTE_ALL,$DF329,28)&amp;"","")&amp;"␟"&amp;IFERROR(INDEX(PASTE_ALL,$DF329,29)&amp;"","")&amp;"␟"&amp;IFERROR(INDEX(PASTE_ALL,$DF329,30)&amp;"","")&amp;"␟"&amp;IFERROR(INDEX(PASTE_ALL,$DF329,31)&amp;"","")&amp;"␟"&amp;IFERROR(INDEX(PASTE_ALL,$DF329,32)&amp;"","")&amp;"␟"&amp;IFERROR(INDEX(PASTE_ALL,$DF329,33)&amp;"","")&amp;"␟"&amp;IFERROR(INDEX(PASTE_ALL,$DF329,34)&amp;"","")&amp;"␟"&amp;IFERROR(INDEX(PASTE_ALL,$DF329,35)&amp;"","")&amp;"␟"&amp;IFERROR(INDEX(PASTE_ALL,$DF329,36)&amp;"","")&amp;"␟"&amp;IFERROR(INDEX(PASTE_ALL,$DF329,37)&amp;"","")&amp;"␟"&amp;IFERROR(INDEX(PASTE_ALL,$DF329,38)&amp;"","")&amp;"␟"&amp;IFERROR(INDEX(PASTE_ALL,$DF329,39)&amp;"","")&amp;"␟"&amp;IFERROR(INDEX(PASTE_ALL,$DF329,40)&amp;"","")&amp;"␟"&amp;IFERROR(INDEX(PASTE_ALL,$DF329,41)&amp;"","")&amp;"␟"&amp;IFERROR(INDEX(PASTE_ALL,$DF329,42)&amp;"","")&amp;"␟"&amp;IFERROR(INDEX(PASTE_ALL,$DF329,43)&amp;"","")&amp;"␟"&amp;IFERROR(INDEX(PASTE_ALL,$DF329,44)&amp;"","")&amp;"␟"&amp;IFERROR(INDEX(PASTE_ALL,$DF329,45)&amp;"","")&amp;"␟"&amp;IFERROR(INDEX(PASTE_ALL,$DF329,46)&amp;"","")&amp;"␟"&amp;IFERROR(INDEX(PASTE_ALL,$DF329,47)&amp;"","")&amp;"␟"&amp;IFERROR(INDEX(PASTE_ALL,$DF329,48)&amp;"","")&amp;"␟"&amp;IFERROR(INDEX(PASTE_ALL,$DF329,49)&amp;"","")&amp;"␟"&amp;IFERROR(INDEX(PASTE_ALL,$DF329,50)&amp;"","")&amp;"␟"&amp;IFERROR(INDEX(PASTE_ALL,$DF329,51)&amp;"","")&amp;"␟"&amp;IFERROR(INDEX(PASTE_ALL,$DF329,52)&amp;"","")&amp;"␟"&amp;IFERROR(INDEX(PASTE_ALL,$DF329,53)&amp;"","")&amp;"␟"&amp;IFERROR(INDEX(PASTE_ALL,$DF329,54)&amp;"","")&amp;"␟"&amp;IFERROR(INDEX(PASTE_ALL,$DF329,55)&amp;"","")&amp;"␟"&amp;IFERROR(INDEX(PASTE_ALL,$DF329,56)&amp;"","")&amp;"␟"&amp;IFERROR(INDEX(PASTE_ALL,$DF329,57)&amp;"","")&amp;"␟"&amp;IFERROR(INDEX(PASTE_ALL,$DF329,58)&amp;"","")&amp;"␟"&amp;IFERROR(INDEX(PASTE_ALL,$DF329,59)&amp;"","")&amp;"␟"&amp;IFERROR(INDEX(PASTE_ALL,$DF329,60)&amp;"","")," "," "),CHAR(9)," "),CHAR(10)," "),CHAR(13)," "))," ␟","␟"),"␟ ","␟"),"#"&amp;$DE329),"")</f>
        <v/>
      </c>
      <c r="DJ329">
        <f>IF($DI329="",0,IF(SUMPRODUCT(--EXACT($DI$4:DI328,$DI329))&gt;0,1,0))</f>
        <v/>
      </c>
      <c r="DK329">
        <f>IF(AND($DI329&lt;&gt;"",$DJ329=0),1,0)</f>
        <v/>
      </c>
      <c r="DL329">
        <f>DL328+$DK329</f>
        <v/>
      </c>
      <c r="DM329">
        <f>IF(AND($DK329=1,$DL329&lt;=600),1,0)</f>
        <v/>
      </c>
      <c r="DN329">
        <f>IF($DM329=0,"",IF($L$6=0,"",IFERROR(IF(ISNUMBER(INDEX(PASTE_ALL,$DF329,$L$6)),INDEX(PASTE_ALL,$DF329,$L$6),TRIM(SUBSTITUTE(SUBSTITUTE(SUBSTITUTE(SUBSTITUTE(INDEX(PASTE_ALL,$DF329,$L$6)," "," "),CHAR(9)," "),CHAR(10)," "),CHAR(13)," "))),"")))</f>
        <v/>
      </c>
      <c r="DO329">
        <f>IF($DM329=0,"",IF($L$7=0,"",IFERROR(IF(ISNUMBER(INDEX(PASTE_ALL,$DF329,$L$7)),INDEX(PASTE_ALL,$DF329,$L$7),TRIM(SUBSTITUTE(SUBSTITUTE(SUBSTITUTE(SUBSTITUTE(INDEX(PASTE_ALL,$DF329,$L$7)," "," "),CHAR(9)," "),CHAR(10)," "),CHAR(13)," "))),"")))</f>
        <v/>
      </c>
      <c r="DP329">
        <f>IF($DM329=0,"",IF($L$8=0,"",IFERROR(IF(ISNUMBER(INDEX(PASTE_ALL,$DF329,$L$8)),INDEX(PASTE_ALL,$DF329,$L$8),TRIM(SUBSTITUTE(SUBSTITUTE(SUBSTITUTE(SUBSTITUTE(INDEX(PASTE_ALL,$DF329,$L$8)," "," "),CHAR(9)," "),CHAR(10)," "),CHAR(13)," "))),"")))</f>
        <v/>
      </c>
      <c r="DQ329">
        <f>IF($DM329=0,"",IF($L$9=0,"",IFERROR(IF(ISNUMBER(INDEX(PASTE_ALL,$DF329,$L$9)),INDEX(PASTE_ALL,$DF329,$L$9),TRIM(SUBSTITUTE(SUBSTITUTE(SUBSTITUTE(SUBSTITUTE(INDEX(PASTE_ALL,$DF329,$L$9)," "," "),CHAR(9)," "),CHAR(10)," "),CHAR(13)," "))),"")))</f>
        <v/>
      </c>
      <c r="DR329">
        <f>IF($DM329=0,"",IF($L$10=0,"",IFERROR(IF(ISNUMBER(INDEX(PASTE_ALL,$DF329,$L$10)),INDEX(PASTE_ALL,$DF329,$L$10),TRIM(SUBSTITUTE(SUBSTITUTE(SUBSTITUTE(SUBSTITUTE(INDEX(PASTE_ALL,$DF329,$L$10)," "," "),CHAR(9)," "),CHAR(10)," "),CHAR(13)," "))),"")))</f>
        <v/>
      </c>
      <c r="DS329">
        <f>IF($DM329=0,"",IF($L$11=0,"",IFERROR(IF(ISNUMBER(INDEX(PASTE_ALL,$DF329,$L$11)),INDEX(PASTE_ALL,$DF329,$L$11),TRIM(SUBSTITUTE(SUBSTITUTE(SUBSTITUTE(SUBSTITUTE(INDEX(PASTE_ALL,$DF329,$L$11)," "," "),CHAR(9)," "),CHAR(10)," "),CHAR(13)," "))),"")))</f>
        <v/>
      </c>
      <c r="DT329">
        <f>IF($DM329=0,"",IF($L$12=0,"",IFERROR(IF(ISNUMBER(INDEX(PASTE_ALL,$DF329,$L$12)),INDEX(PASTE_ALL,$DF329,$L$12),TRIM(SUBSTITUTE(SUBSTITUTE(SUBSTITUTE(SUBSTITUTE(INDEX(PASTE_ALL,$DF329,$L$12)," "," "),CHAR(9)," "),CHAR(10)," "),CHAR(13)," "))),"")))</f>
        <v/>
      </c>
      <c r="DU329">
        <f>IF($DM329=0,"",IF($L$13=0,"",IFERROR(IF(ISNUMBER(INDEX(PASTE_ALL,$DF329,$L$13)),INDEX(PASTE_ALL,$DF329,$L$13),TRIM(SUBSTITUTE(SUBSTITUTE(SUBSTITUTE(SUBSTITUTE(INDEX(PASTE_ALL,$DF329,$L$13)," "," "),CHAR(9)," "),CHAR(10)," "),CHAR(13)," "))),"")))</f>
        <v/>
      </c>
      <c r="DV329">
        <f>IF($DM329=0,"",IF($L$14=0,"",IFERROR(IF(ISNUMBER(INDEX(PASTE_ALL,$DF329,$L$14)),INDEX(PASTE_ALL,$DF329,$L$14),TRIM(SUBSTITUTE(SUBSTITUTE(SUBSTITUTE(SUBSTITUTE(INDEX(PASTE_ALL,$DF329,$L$14)," "," "),CHAR(9)," "),CHAR(10)," "),CHAR(13)," "))),"")))</f>
        <v/>
      </c>
      <c r="DW329">
        <f>IF($DM329=0,"",IF($L$15=0,"",IFERROR(IF(ISNUMBER(INDEX(PASTE_ALL,$DF329,$L$15)),INDEX(PASTE_ALL,$DF329,$L$15),IF(SUMPRODUCT(--ISNUMBER(FIND({"A","B","C","D","E","F","G","H","I","J","K","L","M","N","O","P","Q","R","S","T","U","V","W","X","Y","Z","0","1","2","3","4","5","6","7","8","9"},UPPER(TRIM(SUBSTITUTE(SUBSTITUTE(SUBSTITUTE(SUBSTITUTE(INDEX(PASTE_ALL,$DF329,$L$15)," "," "),CHAR(9)," "),CHAR(10)," "),CHAR(13)," "))))))&gt;0,TRIM(SUBSTITUTE(SUBSTITUTE(SUBSTITUTE(SUBSTITUTE(INDEX(PASTE_ALL,$DF329,$L$15)," "," "),CHAR(9)," "),CHAR(10)," "),CHAR(13)," ")),"")),"")))</f>
        <v/>
      </c>
      <c r="DX329">
        <f>IF($DM329=0,"",IF($L$16=0,"",IFERROR(IF(ISNUMBER(INDEX(PASTE_ALL,$DF329,$L$16)),INDEX(PASTE_ALL,$DF329,$L$16),SUBSTITUTE(SUBSTITUTE(TRIM(SUBSTITUTE(SUBSTITUTE(SUBSTITUTE(SUBSTITUTE(INDEX(PASTE_ALL,$DF329,$L$16)," "," "),CHAR(9)," "),CHAR(10)," "),CHAR(13)," ")),",",""),"%","")),"")))</f>
        <v/>
      </c>
      <c r="DY329">
        <f>IF($DM329=0,"",IFERROR(IF(ISNUMBER($DX329),$DX329,IF($DX329="","",IF(TRIM($DX329)="",0,IF(AND(AND(SUBSTITUTE(SUBSTITUTE(SUBSTITUTE(SUBSTITUTE(SUBSTITUTE(SUBSTITUTE(SUBSTITUTE(SUBSTITUTE(SUBSTITUTE(SUBSTITUTE(SUBSTITUTE(SUBSTITUTE(SUBSTITUTE(SUBSTITUTE(UPPER(TRIM($DX329)),"0",""),"1",""),"2",""),"3",""),"4",""),"5",""),"6",""),"7",""),"8",""),"9",""),".",""),"+",""),"-",""),"E","")="",LEN(SUBSTITUTE(SUBSTITUTE(MID(UPPER(TRIM($DX329)),1+OR(LEFT(UPPER(TRIM($DX329)),1)="+",LEFT(UPPER(TRIM($DX329)),1)="-"),999),"E+","E"),"E-","E"))=LEN(SUBSTITUTE(SUBSTITUTE(SUBSTITUTE(SUBSTITUTE(MID(UPPER(TRIM($DX329)),1+OR(LEFT(UPPER(TRIM($DX329)),1)="+",LEFT(UPPER(TRIM($DX329)),1)="-"),999),"E+","E"),"E-","E"),"+",""),"-","")),LEN(UPPER(TRIM($DX329)))-LEN(SUBSTITUTE(UPPER(TRIM($DX329)),"E",""))&lt;2,LEN(UPPER(TRIM($DX329)))-LEN(SUBSTITUTE(UPPER(TRIM($DX329)),".",""))&lt;2,IFERROR(FIND(".",UPPER(TRIM($DX329))),0)&lt;IFERROR(FIND("E",UPPER(TRIM($DX329))),999)),ISNUMBER(VALUE(TRIM($DX329)))),VALUE(TRIM($DX329)),"")))),""))</f>
        <v/>
      </c>
      <c r="DZ329">
        <f>IF($DM329=0,"",IF($L$17=0,"",IFERROR(IF(ISNUMBER(INDEX(PASTE_ALL,$DF329,$L$17)),INDEX(PASTE_ALL,$DF329,$L$17),SUBSTITUTE(SUBSTITUTE(TRIM(SUBSTITUTE(SUBSTITUTE(SUBSTITUTE(SUBSTITUTE(INDEX(PASTE_ALL,$DF329,$L$17)," "," "),CHAR(9)," "),CHAR(10)," "),CHAR(13)," ")),",",""),"%","")),"")))</f>
        <v/>
      </c>
      <c r="EA329">
        <f>IF($DM329=0,"",IFERROR(IF(ISNUMBER($DZ329),$DZ329,IF($DZ329="","",IF(TRIM($DZ329)="",0,IF(AND(AND(SUBSTITUTE(SUBSTITUTE(SUBSTITUTE(SUBSTITUTE(SUBSTITUTE(SUBSTITUTE(SUBSTITUTE(SUBSTITUTE(SUBSTITUTE(SUBSTITUTE(SUBSTITUTE(SUBSTITUTE(SUBSTITUTE(SUBSTITUTE(UPPER(TRIM($DZ329)),"0",""),"1",""),"2",""),"3",""),"4",""),"5",""),"6",""),"7",""),"8",""),"9",""),".",""),"+",""),"-",""),"E","")="",LEN(SUBSTITUTE(SUBSTITUTE(MID(UPPER(TRIM($DZ329)),1+OR(LEFT(UPPER(TRIM($DZ329)),1)="+",LEFT(UPPER(TRIM($DZ329)),1)="-"),999),"E+","E"),"E-","E"))=LEN(SUBSTITUTE(SUBSTITUTE(SUBSTITUTE(SUBSTITUTE(MID(UPPER(TRIM($DZ329)),1+OR(LEFT(UPPER(TRIM($DZ329)),1)="+",LEFT(UPPER(TRIM($DZ329)),1)="-"),999),"E+","E"),"E-","E"),"+",""),"-","")),LEN(UPPER(TRIM($DZ329)))-LEN(SUBSTITUTE(UPPER(TRIM($DZ329)),"E",""))&lt;2,LEN(UPPER(TRIM($DZ329)))-LEN(SUBSTITUTE(UPPER(TRIM($DZ329)),".",""))&lt;2,IFERROR(FIND(".",UPPER(TRIM($DZ329))),0)&lt;IFERROR(FIND("E",UPPER(TRIM($DZ329))),999)),ISNUMBER(VALUE(TRIM($DZ329)))),VALUE(TRIM($DZ329)),"")))),""))</f>
        <v/>
      </c>
      <c r="EB329">
        <f>IF($DM329=0,"",IF($L$18=0,"",IFERROR(IF(UPPER(TRIM(SUBSTITUTE(SUBSTITUTE(SUBSTITUTE(SUBSTITUTE(INDEX(PASTE_ALL,$DF329,$L$18)," "," "),CHAR(9)," "),CHAR(10)," "),CHAR(13)," ")))="READY","Ready",IF(UPPER(TRIM(SUBSTITUTE(SUBSTITUTE(SUBSTITUTE(SUBSTITUTE(INDEX(PASTE_ALL,$DF329,$L$18)," "," "),CHAR(9)," "),CHAR(10)," "),CHAR(13)," ")))="PM","PM",IF(OR(UPPER(TRIM(SUBSTITUTE(SUBSTITUTE(SUBSTITUTE(SUBSTITUTE(INDEX(PASTE_ALL,$DF329,$L$18)," "," "),CHAR(9)," "),CHAR(10)," "),CHAR(13)," ")))="OT",UPPER(TRIM(SUBSTITUTE(SUBSTITUTE(SUBSTITUTE(SUBSTITUTE(INDEX(PASTE_ALL,$DF329,$L$18)," "," "),CHAR(9)," "),CHAR(10)," "),CHAR(13)," ")))="OVERTIME",UPPER(TRIM(SUBSTITUTE(SUBSTITUTE(SUBSTITUTE(SUBSTITUTE(INDEX(PASTE_ALL,$DF329,$L$18)," "," "),CHAR(9)," "),CHAR(10)," "),CHAR(13)," ")))="TRIAL"),"OT",TRIM(SUBSTITUTE(SUBSTITUTE(SUBSTITUTE(SUBSTITUTE(INDEX(PASTE_ALL,$DF329,$L$18)," "," "),CHAR(9)," "),CHAR(10)," "),CHAR(13)," "))))),"")))</f>
        <v/>
      </c>
      <c r="EC329">
        <f>IF($DM329=0,"",IF($L$19=0,"",IFERROR(IF(ISNUMBER(INDEX(PASTE_ALL,$DF329,$L$19)),INDEX(PASTE_ALL,$DF329,$L$19),TRIM(SUBSTITUTE(SUBSTITUTE(SUBSTITUTE(SUBSTITUTE(INDEX(PASTE_ALL,$DF329,$L$19)," "," "),CHAR(9)," "),CHAR(10)," "),CHAR(13)," "))),"")))</f>
        <v/>
      </c>
      <c r="ED329">
        <f>IF($DM329=0,"",MATCH(1,INDEX(EXACT($DH$5:DH329,$DH329)*$DM$5:DM329,0),0))</f>
        <v/>
      </c>
      <c r="EE329">
        <f>IF($DM329=0,0,IF($ED329=$DE329,1,0))</f>
        <v/>
      </c>
      <c r="EF329">
        <f>EF328+$EE329</f>
        <v/>
      </c>
      <c r="EG329">
        <f>IF($DM329=0,"",INDEX($EF$5:$EF$1003,$ED329))</f>
        <v/>
      </c>
      <c r="EH329">
        <f>IF($DM329=0,"",IF($DO329&lt;&gt;"","",IFERROR(LOOKUP(2,1/(($EG$4:EG328=$EG329)*($DO$4:DO328&lt;&gt;"")),$DO$4:DO328),"")))</f>
        <v/>
      </c>
      <c r="EI329">
        <f>IF($DM329=0,"",IF($DO329&lt;&gt;"",$DO329,$EH329))</f>
        <v/>
      </c>
      <c r="EJ329">
        <f>IF($DM329=0,"",IF($EI329="",0,IF(OR(ISNUMBER($EI329),AND(AND(SUBSTITUTE(SUBSTITUTE(SUBSTITUTE(SUBSTITUTE(SUBSTITUTE(SUBSTITUTE(SUBSTITUTE(SUBSTITUTE(SUBSTITUTE(SUBSTITUTE(SUBSTITUTE(SUBSTITUTE(SUBSTITUTE(SUBSTITUTE(UPPER($EI329),"0",""),"1",""),"2",""),"3",""),"4",""),"5",""),"6",""),"7",""),"8",""),"9",""),".",""),"+",""),"-",""),"E","")="",LEN(SUBSTITUTE(SUBSTITUTE(MID(UPPER($EI329),1+OR(LEFT(UPPER($EI329),1)="+",LEFT(UPPER($EI329),1)="-"),999),"E+","E"),"E-","E"))=LEN(SUBSTITUTE(SUBSTITUTE(SUBSTITUTE(SUBSTITUTE(MID(UPPER($EI329),1+OR(LEFT(UPPER($EI329),1)="+",LEFT(UPPER($EI329),1)="-"),999),"E+","E"),"E-","E"),"+",""),"-","")),LEN(UPPER($EI329))-LEN(SUBSTITUTE(UPPER($EI329),"E",""))&lt;2,LEN(UPPER($EI329))-LEN(SUBSTITUTE(UPPER($EI329),".",""))&lt;2,IFERROR(FIND(".",UPPER($EI329)),0)&lt;IFERROR(FIND("E",UPPER($EI329)),999)),ISNUMBER(VALUE($EI329)))),1,2)))</f>
        <v/>
      </c>
      <c r="EK329">
        <f>IF($DM329=0,"",IF($EJ329=1,IF(ISNUMBER($EI329),$EI329,VALUE($EI329)),IF($EJ329=2,$DE329,0)))</f>
        <v/>
      </c>
      <c r="EL329">
        <f>IF($DM329=0,"",COUNTIF($EG$5:$EG$1003,"&lt;"&amp;$EG329)+SUMPRODUCT(($EG$5:$EG$1003=$EG329)*(($EJ$5:$EJ$1003&lt;$EJ329)+($EJ$5:$EJ$1003=$EJ329)*(($EK$5:$EK$1003&lt;$EK329)+($EK$5:$EK$1003=$EK329)*($DE$5:$DE$1003&lt;$DE329))))+1)</f>
        <v/>
      </c>
      <c r="EM329">
        <f>IF($DM329=0,"",$EL329+$EG329-1)</f>
        <v/>
      </c>
      <c r="EN329">
        <f>IF($DM329=0,0,IFERROR(MATCH(1,INDEX(--(TRIM(SUBSTITUTE(SUBSTITUTE(SUBSTITUTE(SUBSTITUTE(LINES_NAME&amp;""," "," "),CHAR(9)," "),CHAR(10)," "),CHAR(13)," "))=$DH329),0),0),0))</f>
        <v/>
      </c>
      <c r="EO329">
        <f>IF($EN329=0,0,IF(OR(UPPER(TRIM(INDEX(LINES_SCHEDULED,$EN329)&amp;""))="YES",UPPER(TRIM(INDEX(LINES_SCHEDULED,$EN329)&amp;""))="Y",UPPER(TRIM(INDEX(LINES_SCHEDULED,$EN329)&amp;""))="X"),1,0))</f>
        <v/>
      </c>
      <c r="EP329">
        <f>IF($DM329=0,"",IF(COUNTIFS($EG$5:$EG$1003,$EG329,$EB$5:$EB$1003,"Ready")&gt;0,"READY",IF(COUNTIFS($EG$5:$EG$1003,$EG329,$EB$5:$EB$1003,"PM")&gt;0,"PM",IF(COUNTIFS($EG$5:$EG$1003,$EG329,$EB$5:$EB$1003,"OT")&gt;0,"OT",""))))</f>
        <v/>
      </c>
      <c r="EQ329">
        <f>IF($EN329=0,"",UPPER(TRIM(INDEX(LINES_STATUS,$EN329)&amp;"")))</f>
        <v/>
      </c>
      <c r="ER329">
        <f>IF($DM329=0,"",IF(OR($EQ329="READY",$EQ329="PM",$EQ329="OT"),$EQ329,$EP329))</f>
        <v/>
      </c>
      <c r="ES329">
        <f>IF($DM329=0,"",IF(AND($DV329&lt;&gt;"",UPPER($DV329)&lt;&gt;"N"),"allergen",IF(ISNUMBER(SEARCH("oil",$DQ329)),"oil",IF(OR(EXACT($DS329,"A662"),EXACT($DS329,"A624")),"bulk",""))))</f>
        <v/>
      </c>
      <c r="ET329">
        <f>IF($DM329=0,"",IF(OR($EA329="",$EA329=0),"",$EA329/100))</f>
        <v/>
      </c>
      <c r="EU329">
        <f>IF(OR($ET329="",$DY329=""),"",INT($DY329*(1-$ET329)+0.5))</f>
        <v/>
      </c>
      <c r="EW329" t="n">
        <v>325</v>
      </c>
      <c r="EX329">
        <f>IFERROR(MATCH($EW329,$EM$5:$EM$1003,0),0)</f>
        <v/>
      </c>
      <c r="EY329">
        <f>IF($EW329&gt;$B$12,"",IF($EX329&gt;0,"row","spacer"))</f>
        <v/>
      </c>
      <c r="EZ329">
        <f>IF(AND($EY329="row",$EY328&lt;&gt;"row"),1,0)</f>
        <v/>
      </c>
      <c r="FA329">
        <f>IF(AND($EY329="row",$EY330&lt;&gt;"row"),1,0)</f>
        <v/>
      </c>
      <c r="FB329">
        <f>IF($EZ329=1,IFERROR(IF(ISNUMBER(INDEX(PASTE_ALL,INDEX($DF$5:$DF$1003,$EX329),$B$37)),INDEX(PASTE_ALL,INDEX($DF$5:$DF$1003,$EX329),$B$37),INDEX($DH$5:$DH$1003,$EX329)),INDEX($DH$5:$DH$1003,$EX329)),"")</f>
        <v/>
      </c>
      <c r="FC329">
        <f>IF($EY329="row",INDEX($ER$5:$ER$1003,$EX329),"")</f>
        <v/>
      </c>
      <c r="FD329">
        <f>IF($EY329="row",INDEX($DN$5:$DN$1003,$EX329),"")</f>
        <v/>
      </c>
      <c r="FE329">
        <f>IF($EY329="row",INDEX($DO$5:$DO$1003,$EX329),"")</f>
        <v/>
      </c>
      <c r="FF329">
        <f>IF($EY329="row",INDEX($DP$5:$DP$1003,$EX329),"")</f>
        <v/>
      </c>
      <c r="FG329">
        <f>IF($EY329="row",INDEX($DQ$5:$DQ$1003,$EX329),"")</f>
        <v/>
      </c>
      <c r="FH329">
        <f>IF($EY329="row",INDEX($DR$5:$DR$1003,$EX329),"")</f>
        <v/>
      </c>
      <c r="FI329">
        <f>IF($EY329="row",INDEX($DS$5:$DS$1003,$EX329),"")</f>
        <v/>
      </c>
      <c r="FJ329">
        <f>IF($EY329="row",INDEX($DT$5:$DT$1003,$EX329),"")</f>
        <v/>
      </c>
      <c r="FK329">
        <f>IF($EY329="row",INDEX($DU$5:$DU$1003,$EX329),"")</f>
        <v/>
      </c>
      <c r="FL329">
        <f>IF($EY329="row",INDEX($DV$5:$DV$1003,$EX329),"")</f>
        <v/>
      </c>
      <c r="FM329">
        <f>IF($EY329="row",INDEX($DW$5:$DW$1003,$EX329),"")</f>
        <v/>
      </c>
      <c r="FN329">
        <f>IF($EY329="row",INDEX($DY$5:$DY$1003,$EX329),"")</f>
        <v/>
      </c>
      <c r="FO329">
        <f>IF($EY329="row",INDEX($EA$5:$EA$1003,$EX329),"")</f>
        <v/>
      </c>
      <c r="FP329">
        <f>IF($EY329="row",INDEX($EC$5:$EC$1003,$EX329),"")</f>
        <v/>
      </c>
      <c r="FQ329">
        <f>IF($EY329="row",INDEX($ET$5:$ET$1003,$EX329),"")</f>
        <v/>
      </c>
      <c r="FR329">
        <f>IF($EY329="row",INDEX($EU$5:$EU$1003,$EX329),"")</f>
        <v/>
      </c>
      <c r="FS329">
        <f>IF(AND($EY329="row",$EY328="row"),IF(OR(INDEX($DT$5:$DT$1003,$EX328)="",INDEX($DT$5:$DT$1003,$EX329)=""),"",IF(NOT(EXACT(INDEX($DT$5:$DT$1003,$EX328),INDEX($DT$5:$DT$1003,$EX329))),"S4",IF(NOT(EXACT(INDEX($DS$5:$DS$1003,$EX328),INDEX($DS$5:$DS$1003,$EX329))),"S3",IF(NOT(EXACT(INDEX($DR$5:$DR$1003,$EX328),INDEX($DR$5:$DR$1003,$EX329))),"S1 Count Change","S1")))),"")</f>
        <v/>
      </c>
      <c r="FT329">
        <f>IF($EY329="row",INDEX($ES$5:$ES$1003,$EX329),"")</f>
        <v/>
      </c>
      <c r="FU329">
        <f>IF($EY329="row",INDEX($EO$5:$EO$1003,$EX329),0)</f>
        <v/>
      </c>
      <c r="FV329">
        <f>IF($FS329="S1 Count Change",1,0)</f>
        <v/>
      </c>
    </row>
    <row r="330">
      <c r="DA330" t="n">
        <v>326</v>
      </c>
      <c r="DB330">
        <f>IF($B$37=0,"",IFERROR(TRIM(SUBSTITUTE(SUBSTITUTE(SUBSTITUTE(SUBSTITUTE(INDEX(PASTE_ALL,326,$B$37)," "," "),CHAR(9)," "),CHAR(10)," "),CHAR(13)," ")),""))</f>
        <v/>
      </c>
      <c r="DC330">
        <f>IF(AND(326&gt;HEADER_ROW,UPPER(DB330)="LEGEND"),1,0)</f>
        <v/>
      </c>
      <c r="DE330" t="n">
        <v>326</v>
      </c>
      <c r="DF330">
        <f>HEADER_ROW+$DE330</f>
        <v/>
      </c>
      <c r="DG330">
        <f>IF(AND($DF330&lt;=1000,$DF330&lt;$B$8),1,0)</f>
        <v/>
      </c>
      <c r="DH330">
        <f>IF($DG330=1,IFERROR(INDEX($DB$5:$DB$1004,$DF330),""),"")</f>
        <v/>
      </c>
      <c r="DI330">
        <f>IF(AND($DG330=1,$DH330&lt;&gt;""),IFERROR(SUBSTITUTE(SUBSTITUTE(TRIM(SUBSTITUTE(SUBSTITUTE(SUBSTITUTE(SUBSTITUTE(IFERROR(INDEX(PASTE_ALL,$DF330,1)&amp;"","")&amp;"␟"&amp;IFERROR(INDEX(PASTE_ALL,$DF330,2)&amp;"","")&amp;"␟"&amp;IFERROR(INDEX(PASTE_ALL,$DF330,3)&amp;"","")&amp;"␟"&amp;IFERROR(INDEX(PASTE_ALL,$DF330,4)&amp;"","")&amp;"␟"&amp;IFERROR(INDEX(PASTE_ALL,$DF330,5)&amp;"","")&amp;"␟"&amp;IFERROR(INDEX(PASTE_ALL,$DF330,6)&amp;"","")&amp;"␟"&amp;IFERROR(INDEX(PASTE_ALL,$DF330,7)&amp;"","")&amp;"␟"&amp;IFERROR(INDEX(PASTE_ALL,$DF330,8)&amp;"","")&amp;"␟"&amp;IFERROR(INDEX(PASTE_ALL,$DF330,9)&amp;"","")&amp;"␟"&amp;IFERROR(INDEX(PASTE_ALL,$DF330,10)&amp;"","")&amp;"␟"&amp;IFERROR(INDEX(PASTE_ALL,$DF330,11)&amp;"","")&amp;"␟"&amp;IFERROR(INDEX(PASTE_ALL,$DF330,12)&amp;"","")&amp;"␟"&amp;IFERROR(INDEX(PASTE_ALL,$DF330,13)&amp;"","")&amp;"␟"&amp;IFERROR(INDEX(PASTE_ALL,$DF330,14)&amp;"","")&amp;"␟"&amp;IFERROR(INDEX(PASTE_ALL,$DF330,15)&amp;"","")&amp;"␟"&amp;IFERROR(INDEX(PASTE_ALL,$DF330,16)&amp;"","")&amp;"␟"&amp;IFERROR(INDEX(PASTE_ALL,$DF330,17)&amp;"","")&amp;"␟"&amp;IFERROR(INDEX(PASTE_ALL,$DF330,18)&amp;"","")&amp;"␟"&amp;IFERROR(INDEX(PASTE_ALL,$DF330,19)&amp;"","")&amp;"␟"&amp;IFERROR(INDEX(PASTE_ALL,$DF330,20)&amp;"","")&amp;"␟"&amp;IFERROR(INDEX(PASTE_ALL,$DF330,21)&amp;"","")&amp;"␟"&amp;IFERROR(INDEX(PASTE_ALL,$DF330,22)&amp;"","")&amp;"␟"&amp;IFERROR(INDEX(PASTE_ALL,$DF330,23)&amp;"","")&amp;"␟"&amp;IFERROR(INDEX(PASTE_ALL,$DF330,24)&amp;"","")&amp;"␟"&amp;IFERROR(INDEX(PASTE_ALL,$DF330,25)&amp;"","")&amp;"␟"&amp;IFERROR(INDEX(PASTE_ALL,$DF330,26)&amp;"","")&amp;"␟"&amp;IFERROR(INDEX(PASTE_ALL,$DF330,27)&amp;"","")&amp;"␟"&amp;IFERROR(INDEX(PASTE_ALL,$DF330,28)&amp;"","")&amp;"␟"&amp;IFERROR(INDEX(PASTE_ALL,$DF330,29)&amp;"","")&amp;"␟"&amp;IFERROR(INDEX(PASTE_ALL,$DF330,30)&amp;"","")&amp;"␟"&amp;IFERROR(INDEX(PASTE_ALL,$DF330,31)&amp;"","")&amp;"␟"&amp;IFERROR(INDEX(PASTE_ALL,$DF330,32)&amp;"","")&amp;"␟"&amp;IFERROR(INDEX(PASTE_ALL,$DF330,33)&amp;"","")&amp;"␟"&amp;IFERROR(INDEX(PASTE_ALL,$DF330,34)&amp;"","")&amp;"␟"&amp;IFERROR(INDEX(PASTE_ALL,$DF330,35)&amp;"","")&amp;"␟"&amp;IFERROR(INDEX(PASTE_ALL,$DF330,36)&amp;"","")&amp;"␟"&amp;IFERROR(INDEX(PASTE_ALL,$DF330,37)&amp;"","")&amp;"␟"&amp;IFERROR(INDEX(PASTE_ALL,$DF330,38)&amp;"","")&amp;"␟"&amp;IFERROR(INDEX(PASTE_ALL,$DF330,39)&amp;"","")&amp;"␟"&amp;IFERROR(INDEX(PASTE_ALL,$DF330,40)&amp;"","")&amp;"␟"&amp;IFERROR(INDEX(PASTE_ALL,$DF330,41)&amp;"","")&amp;"␟"&amp;IFERROR(INDEX(PASTE_ALL,$DF330,42)&amp;"","")&amp;"␟"&amp;IFERROR(INDEX(PASTE_ALL,$DF330,43)&amp;"","")&amp;"␟"&amp;IFERROR(INDEX(PASTE_ALL,$DF330,44)&amp;"","")&amp;"␟"&amp;IFERROR(INDEX(PASTE_ALL,$DF330,45)&amp;"","")&amp;"␟"&amp;IFERROR(INDEX(PASTE_ALL,$DF330,46)&amp;"","")&amp;"␟"&amp;IFERROR(INDEX(PASTE_ALL,$DF330,47)&amp;"","")&amp;"␟"&amp;IFERROR(INDEX(PASTE_ALL,$DF330,48)&amp;"","")&amp;"␟"&amp;IFERROR(INDEX(PASTE_ALL,$DF330,49)&amp;"","")&amp;"␟"&amp;IFERROR(INDEX(PASTE_ALL,$DF330,50)&amp;"","")&amp;"␟"&amp;IFERROR(INDEX(PASTE_ALL,$DF330,51)&amp;"","")&amp;"␟"&amp;IFERROR(INDEX(PASTE_ALL,$DF330,52)&amp;"","")&amp;"␟"&amp;IFERROR(INDEX(PASTE_ALL,$DF330,53)&amp;"","")&amp;"␟"&amp;IFERROR(INDEX(PASTE_ALL,$DF330,54)&amp;"","")&amp;"␟"&amp;IFERROR(INDEX(PASTE_ALL,$DF330,55)&amp;"","")&amp;"␟"&amp;IFERROR(INDEX(PASTE_ALL,$DF330,56)&amp;"","")&amp;"␟"&amp;IFERROR(INDEX(PASTE_ALL,$DF330,57)&amp;"","")&amp;"␟"&amp;IFERROR(INDEX(PASTE_ALL,$DF330,58)&amp;"","")&amp;"␟"&amp;IFERROR(INDEX(PASTE_ALL,$DF330,59)&amp;"","")&amp;"␟"&amp;IFERROR(INDEX(PASTE_ALL,$DF330,60)&amp;"","")," "," "),CHAR(9)," "),CHAR(10)," "),CHAR(13)," "))," ␟","␟"),"␟ ","␟"),"#"&amp;$DE330),"")</f>
        <v/>
      </c>
      <c r="DJ330">
        <f>IF($DI330="",0,IF(SUMPRODUCT(--EXACT($DI$4:DI329,$DI330))&gt;0,1,0))</f>
        <v/>
      </c>
      <c r="DK330">
        <f>IF(AND($DI330&lt;&gt;"",$DJ330=0),1,0)</f>
        <v/>
      </c>
      <c r="DL330">
        <f>DL329+$DK330</f>
        <v/>
      </c>
      <c r="DM330">
        <f>IF(AND($DK330=1,$DL330&lt;=600),1,0)</f>
        <v/>
      </c>
      <c r="DN330">
        <f>IF($DM330=0,"",IF($L$6=0,"",IFERROR(IF(ISNUMBER(INDEX(PASTE_ALL,$DF330,$L$6)),INDEX(PASTE_ALL,$DF330,$L$6),TRIM(SUBSTITUTE(SUBSTITUTE(SUBSTITUTE(SUBSTITUTE(INDEX(PASTE_ALL,$DF330,$L$6)," "," "),CHAR(9)," "),CHAR(10)," "),CHAR(13)," "))),"")))</f>
        <v/>
      </c>
      <c r="DO330">
        <f>IF($DM330=0,"",IF($L$7=0,"",IFERROR(IF(ISNUMBER(INDEX(PASTE_ALL,$DF330,$L$7)),INDEX(PASTE_ALL,$DF330,$L$7),TRIM(SUBSTITUTE(SUBSTITUTE(SUBSTITUTE(SUBSTITUTE(INDEX(PASTE_ALL,$DF330,$L$7)," "," "),CHAR(9)," "),CHAR(10)," "),CHAR(13)," "))),"")))</f>
        <v/>
      </c>
      <c r="DP330">
        <f>IF($DM330=0,"",IF($L$8=0,"",IFERROR(IF(ISNUMBER(INDEX(PASTE_ALL,$DF330,$L$8)),INDEX(PASTE_ALL,$DF330,$L$8),TRIM(SUBSTITUTE(SUBSTITUTE(SUBSTITUTE(SUBSTITUTE(INDEX(PASTE_ALL,$DF330,$L$8)," "," "),CHAR(9)," "),CHAR(10)," "),CHAR(13)," "))),"")))</f>
        <v/>
      </c>
      <c r="DQ330">
        <f>IF($DM330=0,"",IF($L$9=0,"",IFERROR(IF(ISNUMBER(INDEX(PASTE_ALL,$DF330,$L$9)),INDEX(PASTE_ALL,$DF330,$L$9),TRIM(SUBSTITUTE(SUBSTITUTE(SUBSTITUTE(SUBSTITUTE(INDEX(PASTE_ALL,$DF330,$L$9)," "," "),CHAR(9)," "),CHAR(10)," "),CHAR(13)," "))),"")))</f>
        <v/>
      </c>
      <c r="DR330">
        <f>IF($DM330=0,"",IF($L$10=0,"",IFERROR(IF(ISNUMBER(INDEX(PASTE_ALL,$DF330,$L$10)),INDEX(PASTE_ALL,$DF330,$L$10),TRIM(SUBSTITUTE(SUBSTITUTE(SUBSTITUTE(SUBSTITUTE(INDEX(PASTE_ALL,$DF330,$L$10)," "," "),CHAR(9)," "),CHAR(10)," "),CHAR(13)," "))),"")))</f>
        <v/>
      </c>
      <c r="DS330">
        <f>IF($DM330=0,"",IF($L$11=0,"",IFERROR(IF(ISNUMBER(INDEX(PASTE_ALL,$DF330,$L$11)),INDEX(PASTE_ALL,$DF330,$L$11),TRIM(SUBSTITUTE(SUBSTITUTE(SUBSTITUTE(SUBSTITUTE(INDEX(PASTE_ALL,$DF330,$L$11)," "," "),CHAR(9)," "),CHAR(10)," "),CHAR(13)," "))),"")))</f>
        <v/>
      </c>
      <c r="DT330">
        <f>IF($DM330=0,"",IF($L$12=0,"",IFERROR(IF(ISNUMBER(INDEX(PASTE_ALL,$DF330,$L$12)),INDEX(PASTE_ALL,$DF330,$L$12),TRIM(SUBSTITUTE(SUBSTITUTE(SUBSTITUTE(SUBSTITUTE(INDEX(PASTE_ALL,$DF330,$L$12)," "," "),CHAR(9)," "),CHAR(10)," "),CHAR(13)," "))),"")))</f>
        <v/>
      </c>
      <c r="DU330">
        <f>IF($DM330=0,"",IF($L$13=0,"",IFERROR(IF(ISNUMBER(INDEX(PASTE_ALL,$DF330,$L$13)),INDEX(PASTE_ALL,$DF330,$L$13),TRIM(SUBSTITUTE(SUBSTITUTE(SUBSTITUTE(SUBSTITUTE(INDEX(PASTE_ALL,$DF330,$L$13)," "," "),CHAR(9)," "),CHAR(10)," "),CHAR(13)," "))),"")))</f>
        <v/>
      </c>
      <c r="DV330">
        <f>IF($DM330=0,"",IF($L$14=0,"",IFERROR(IF(ISNUMBER(INDEX(PASTE_ALL,$DF330,$L$14)),INDEX(PASTE_ALL,$DF330,$L$14),TRIM(SUBSTITUTE(SUBSTITUTE(SUBSTITUTE(SUBSTITUTE(INDEX(PASTE_ALL,$DF330,$L$14)," "," "),CHAR(9)," "),CHAR(10)," "),CHAR(13)," "))),"")))</f>
        <v/>
      </c>
      <c r="DW330">
        <f>IF($DM330=0,"",IF($L$15=0,"",IFERROR(IF(ISNUMBER(INDEX(PASTE_ALL,$DF330,$L$15)),INDEX(PASTE_ALL,$DF330,$L$15),IF(SUMPRODUCT(--ISNUMBER(FIND({"A","B","C","D","E","F","G","H","I","J","K","L","M","N","O","P","Q","R","S","T","U","V","W","X","Y","Z","0","1","2","3","4","5","6","7","8","9"},UPPER(TRIM(SUBSTITUTE(SUBSTITUTE(SUBSTITUTE(SUBSTITUTE(INDEX(PASTE_ALL,$DF330,$L$15)," "," "),CHAR(9)," "),CHAR(10)," "),CHAR(13)," "))))))&gt;0,TRIM(SUBSTITUTE(SUBSTITUTE(SUBSTITUTE(SUBSTITUTE(INDEX(PASTE_ALL,$DF330,$L$15)," "," "),CHAR(9)," "),CHAR(10)," "),CHAR(13)," ")),"")),"")))</f>
        <v/>
      </c>
      <c r="DX330">
        <f>IF($DM330=0,"",IF($L$16=0,"",IFERROR(IF(ISNUMBER(INDEX(PASTE_ALL,$DF330,$L$16)),INDEX(PASTE_ALL,$DF330,$L$16),SUBSTITUTE(SUBSTITUTE(TRIM(SUBSTITUTE(SUBSTITUTE(SUBSTITUTE(SUBSTITUTE(INDEX(PASTE_ALL,$DF330,$L$16)," "," "),CHAR(9)," "),CHAR(10)," "),CHAR(13)," ")),",",""),"%","")),"")))</f>
        <v/>
      </c>
      <c r="DY330">
        <f>IF($DM330=0,"",IFERROR(IF(ISNUMBER($DX330),$DX330,IF($DX330="","",IF(TRIM($DX330)="",0,IF(AND(AND(SUBSTITUTE(SUBSTITUTE(SUBSTITUTE(SUBSTITUTE(SUBSTITUTE(SUBSTITUTE(SUBSTITUTE(SUBSTITUTE(SUBSTITUTE(SUBSTITUTE(SUBSTITUTE(SUBSTITUTE(SUBSTITUTE(SUBSTITUTE(UPPER(TRIM($DX330)),"0",""),"1",""),"2",""),"3",""),"4",""),"5",""),"6",""),"7",""),"8",""),"9",""),".",""),"+",""),"-",""),"E","")="",LEN(SUBSTITUTE(SUBSTITUTE(MID(UPPER(TRIM($DX330)),1+OR(LEFT(UPPER(TRIM($DX330)),1)="+",LEFT(UPPER(TRIM($DX330)),1)="-"),999),"E+","E"),"E-","E"))=LEN(SUBSTITUTE(SUBSTITUTE(SUBSTITUTE(SUBSTITUTE(MID(UPPER(TRIM($DX330)),1+OR(LEFT(UPPER(TRIM($DX330)),1)="+",LEFT(UPPER(TRIM($DX330)),1)="-"),999),"E+","E"),"E-","E"),"+",""),"-","")),LEN(UPPER(TRIM($DX330)))-LEN(SUBSTITUTE(UPPER(TRIM($DX330)),"E",""))&lt;2,LEN(UPPER(TRIM($DX330)))-LEN(SUBSTITUTE(UPPER(TRIM($DX330)),".",""))&lt;2,IFERROR(FIND(".",UPPER(TRIM($DX330))),0)&lt;IFERROR(FIND("E",UPPER(TRIM($DX330))),999)),ISNUMBER(VALUE(TRIM($DX330)))),VALUE(TRIM($DX330)),"")))),""))</f>
        <v/>
      </c>
      <c r="DZ330">
        <f>IF($DM330=0,"",IF($L$17=0,"",IFERROR(IF(ISNUMBER(INDEX(PASTE_ALL,$DF330,$L$17)),INDEX(PASTE_ALL,$DF330,$L$17),SUBSTITUTE(SUBSTITUTE(TRIM(SUBSTITUTE(SUBSTITUTE(SUBSTITUTE(SUBSTITUTE(INDEX(PASTE_ALL,$DF330,$L$17)," "," "),CHAR(9)," "),CHAR(10)," "),CHAR(13)," ")),",",""),"%","")),"")))</f>
        <v/>
      </c>
      <c r="EA330">
        <f>IF($DM330=0,"",IFERROR(IF(ISNUMBER($DZ330),$DZ330,IF($DZ330="","",IF(TRIM($DZ330)="",0,IF(AND(AND(SUBSTITUTE(SUBSTITUTE(SUBSTITUTE(SUBSTITUTE(SUBSTITUTE(SUBSTITUTE(SUBSTITUTE(SUBSTITUTE(SUBSTITUTE(SUBSTITUTE(SUBSTITUTE(SUBSTITUTE(SUBSTITUTE(SUBSTITUTE(UPPER(TRIM($DZ330)),"0",""),"1",""),"2",""),"3",""),"4",""),"5",""),"6",""),"7",""),"8",""),"9",""),".",""),"+",""),"-",""),"E","")="",LEN(SUBSTITUTE(SUBSTITUTE(MID(UPPER(TRIM($DZ330)),1+OR(LEFT(UPPER(TRIM($DZ330)),1)="+",LEFT(UPPER(TRIM($DZ330)),1)="-"),999),"E+","E"),"E-","E"))=LEN(SUBSTITUTE(SUBSTITUTE(SUBSTITUTE(SUBSTITUTE(MID(UPPER(TRIM($DZ330)),1+OR(LEFT(UPPER(TRIM($DZ330)),1)="+",LEFT(UPPER(TRIM($DZ330)),1)="-"),999),"E+","E"),"E-","E"),"+",""),"-","")),LEN(UPPER(TRIM($DZ330)))-LEN(SUBSTITUTE(UPPER(TRIM($DZ330)),"E",""))&lt;2,LEN(UPPER(TRIM($DZ330)))-LEN(SUBSTITUTE(UPPER(TRIM($DZ330)),".",""))&lt;2,IFERROR(FIND(".",UPPER(TRIM($DZ330))),0)&lt;IFERROR(FIND("E",UPPER(TRIM($DZ330))),999)),ISNUMBER(VALUE(TRIM($DZ330)))),VALUE(TRIM($DZ330)),"")))),""))</f>
        <v/>
      </c>
      <c r="EB330">
        <f>IF($DM330=0,"",IF($L$18=0,"",IFERROR(IF(UPPER(TRIM(SUBSTITUTE(SUBSTITUTE(SUBSTITUTE(SUBSTITUTE(INDEX(PASTE_ALL,$DF330,$L$18)," "," "),CHAR(9)," "),CHAR(10)," "),CHAR(13)," ")))="READY","Ready",IF(UPPER(TRIM(SUBSTITUTE(SUBSTITUTE(SUBSTITUTE(SUBSTITUTE(INDEX(PASTE_ALL,$DF330,$L$18)," "," "),CHAR(9)," "),CHAR(10)," "),CHAR(13)," ")))="PM","PM",IF(OR(UPPER(TRIM(SUBSTITUTE(SUBSTITUTE(SUBSTITUTE(SUBSTITUTE(INDEX(PASTE_ALL,$DF330,$L$18)," "," "),CHAR(9)," "),CHAR(10)," "),CHAR(13)," ")))="OT",UPPER(TRIM(SUBSTITUTE(SUBSTITUTE(SUBSTITUTE(SUBSTITUTE(INDEX(PASTE_ALL,$DF330,$L$18)," "," "),CHAR(9)," "),CHAR(10)," "),CHAR(13)," ")))="OVERTIME",UPPER(TRIM(SUBSTITUTE(SUBSTITUTE(SUBSTITUTE(SUBSTITUTE(INDEX(PASTE_ALL,$DF330,$L$18)," "," "),CHAR(9)," "),CHAR(10)," "),CHAR(13)," ")))="TRIAL"),"OT",TRIM(SUBSTITUTE(SUBSTITUTE(SUBSTITUTE(SUBSTITUTE(INDEX(PASTE_ALL,$DF330,$L$18)," "," "),CHAR(9)," "),CHAR(10)," "),CHAR(13)," "))))),"")))</f>
        <v/>
      </c>
      <c r="EC330">
        <f>IF($DM330=0,"",IF($L$19=0,"",IFERROR(IF(ISNUMBER(INDEX(PASTE_ALL,$DF330,$L$19)),INDEX(PASTE_ALL,$DF330,$L$19),TRIM(SUBSTITUTE(SUBSTITUTE(SUBSTITUTE(SUBSTITUTE(INDEX(PASTE_ALL,$DF330,$L$19)," "," "),CHAR(9)," "),CHAR(10)," "),CHAR(13)," "))),"")))</f>
        <v/>
      </c>
      <c r="ED330">
        <f>IF($DM330=0,"",MATCH(1,INDEX(EXACT($DH$5:DH330,$DH330)*$DM$5:DM330,0),0))</f>
        <v/>
      </c>
      <c r="EE330">
        <f>IF($DM330=0,0,IF($ED330=$DE330,1,0))</f>
        <v/>
      </c>
      <c r="EF330">
        <f>EF329+$EE330</f>
        <v/>
      </c>
      <c r="EG330">
        <f>IF($DM330=0,"",INDEX($EF$5:$EF$1003,$ED330))</f>
        <v/>
      </c>
      <c r="EH330">
        <f>IF($DM330=0,"",IF($DO330&lt;&gt;"","",IFERROR(LOOKUP(2,1/(($EG$4:EG329=$EG330)*($DO$4:DO329&lt;&gt;"")),$DO$4:DO329),"")))</f>
        <v/>
      </c>
      <c r="EI330">
        <f>IF($DM330=0,"",IF($DO330&lt;&gt;"",$DO330,$EH330))</f>
        <v/>
      </c>
      <c r="EJ330">
        <f>IF($DM330=0,"",IF($EI330="",0,IF(OR(ISNUMBER($EI330),AND(AND(SUBSTITUTE(SUBSTITUTE(SUBSTITUTE(SUBSTITUTE(SUBSTITUTE(SUBSTITUTE(SUBSTITUTE(SUBSTITUTE(SUBSTITUTE(SUBSTITUTE(SUBSTITUTE(SUBSTITUTE(SUBSTITUTE(SUBSTITUTE(UPPER($EI330),"0",""),"1",""),"2",""),"3",""),"4",""),"5",""),"6",""),"7",""),"8",""),"9",""),".",""),"+",""),"-",""),"E","")="",LEN(SUBSTITUTE(SUBSTITUTE(MID(UPPER($EI330),1+OR(LEFT(UPPER($EI330),1)="+",LEFT(UPPER($EI330),1)="-"),999),"E+","E"),"E-","E"))=LEN(SUBSTITUTE(SUBSTITUTE(SUBSTITUTE(SUBSTITUTE(MID(UPPER($EI330),1+OR(LEFT(UPPER($EI330),1)="+",LEFT(UPPER($EI330),1)="-"),999),"E+","E"),"E-","E"),"+",""),"-","")),LEN(UPPER($EI330))-LEN(SUBSTITUTE(UPPER($EI330),"E",""))&lt;2,LEN(UPPER($EI330))-LEN(SUBSTITUTE(UPPER($EI330),".",""))&lt;2,IFERROR(FIND(".",UPPER($EI330)),0)&lt;IFERROR(FIND("E",UPPER($EI330)),999)),ISNUMBER(VALUE($EI330)))),1,2)))</f>
        <v/>
      </c>
      <c r="EK330">
        <f>IF($DM330=0,"",IF($EJ330=1,IF(ISNUMBER($EI330),$EI330,VALUE($EI330)),IF($EJ330=2,$DE330,0)))</f>
        <v/>
      </c>
      <c r="EL330">
        <f>IF($DM330=0,"",COUNTIF($EG$5:$EG$1003,"&lt;"&amp;$EG330)+SUMPRODUCT(($EG$5:$EG$1003=$EG330)*(($EJ$5:$EJ$1003&lt;$EJ330)+($EJ$5:$EJ$1003=$EJ330)*(($EK$5:$EK$1003&lt;$EK330)+($EK$5:$EK$1003=$EK330)*($DE$5:$DE$1003&lt;$DE330))))+1)</f>
        <v/>
      </c>
      <c r="EM330">
        <f>IF($DM330=0,"",$EL330+$EG330-1)</f>
        <v/>
      </c>
      <c r="EN330">
        <f>IF($DM330=0,0,IFERROR(MATCH(1,INDEX(--(TRIM(SUBSTITUTE(SUBSTITUTE(SUBSTITUTE(SUBSTITUTE(LINES_NAME&amp;""," "," "),CHAR(9)," "),CHAR(10)," "),CHAR(13)," "))=$DH330),0),0),0))</f>
        <v/>
      </c>
      <c r="EO330">
        <f>IF($EN330=0,0,IF(OR(UPPER(TRIM(INDEX(LINES_SCHEDULED,$EN330)&amp;""))="YES",UPPER(TRIM(INDEX(LINES_SCHEDULED,$EN330)&amp;""))="Y",UPPER(TRIM(INDEX(LINES_SCHEDULED,$EN330)&amp;""))="X"),1,0))</f>
        <v/>
      </c>
      <c r="EP330">
        <f>IF($DM330=0,"",IF(COUNTIFS($EG$5:$EG$1003,$EG330,$EB$5:$EB$1003,"Ready")&gt;0,"READY",IF(COUNTIFS($EG$5:$EG$1003,$EG330,$EB$5:$EB$1003,"PM")&gt;0,"PM",IF(COUNTIFS($EG$5:$EG$1003,$EG330,$EB$5:$EB$1003,"OT")&gt;0,"OT",""))))</f>
        <v/>
      </c>
      <c r="EQ330">
        <f>IF($EN330=0,"",UPPER(TRIM(INDEX(LINES_STATUS,$EN330)&amp;"")))</f>
        <v/>
      </c>
      <c r="ER330">
        <f>IF($DM330=0,"",IF(OR($EQ330="READY",$EQ330="PM",$EQ330="OT"),$EQ330,$EP330))</f>
        <v/>
      </c>
      <c r="ES330">
        <f>IF($DM330=0,"",IF(AND($DV330&lt;&gt;"",UPPER($DV330)&lt;&gt;"N"),"allergen",IF(ISNUMBER(SEARCH("oil",$DQ330)),"oil",IF(OR(EXACT($DS330,"A662"),EXACT($DS330,"A624")),"bulk",""))))</f>
        <v/>
      </c>
      <c r="ET330">
        <f>IF($DM330=0,"",IF(OR($EA330="",$EA330=0),"",$EA330/100))</f>
        <v/>
      </c>
      <c r="EU330">
        <f>IF(OR($ET330="",$DY330=""),"",INT($DY330*(1-$ET330)+0.5))</f>
        <v/>
      </c>
      <c r="EW330" t="n">
        <v>326</v>
      </c>
      <c r="EX330">
        <f>IFERROR(MATCH($EW330,$EM$5:$EM$1003,0),0)</f>
        <v/>
      </c>
      <c r="EY330">
        <f>IF($EW330&gt;$B$12,"",IF($EX330&gt;0,"row","spacer"))</f>
        <v/>
      </c>
      <c r="EZ330">
        <f>IF(AND($EY330="row",$EY329&lt;&gt;"row"),1,0)</f>
        <v/>
      </c>
      <c r="FA330">
        <f>IF(AND($EY330="row",$EY331&lt;&gt;"row"),1,0)</f>
        <v/>
      </c>
      <c r="FB330">
        <f>IF($EZ330=1,IFERROR(IF(ISNUMBER(INDEX(PASTE_ALL,INDEX($DF$5:$DF$1003,$EX330),$B$37)),INDEX(PASTE_ALL,INDEX($DF$5:$DF$1003,$EX330),$B$37),INDEX($DH$5:$DH$1003,$EX330)),INDEX($DH$5:$DH$1003,$EX330)),"")</f>
        <v/>
      </c>
      <c r="FC330">
        <f>IF($EY330="row",INDEX($ER$5:$ER$1003,$EX330),"")</f>
        <v/>
      </c>
      <c r="FD330">
        <f>IF($EY330="row",INDEX($DN$5:$DN$1003,$EX330),"")</f>
        <v/>
      </c>
      <c r="FE330">
        <f>IF($EY330="row",INDEX($DO$5:$DO$1003,$EX330),"")</f>
        <v/>
      </c>
      <c r="FF330">
        <f>IF($EY330="row",INDEX($DP$5:$DP$1003,$EX330),"")</f>
        <v/>
      </c>
      <c r="FG330">
        <f>IF($EY330="row",INDEX($DQ$5:$DQ$1003,$EX330),"")</f>
        <v/>
      </c>
      <c r="FH330">
        <f>IF($EY330="row",INDEX($DR$5:$DR$1003,$EX330),"")</f>
        <v/>
      </c>
      <c r="FI330">
        <f>IF($EY330="row",INDEX($DS$5:$DS$1003,$EX330),"")</f>
        <v/>
      </c>
      <c r="FJ330">
        <f>IF($EY330="row",INDEX($DT$5:$DT$1003,$EX330),"")</f>
        <v/>
      </c>
      <c r="FK330">
        <f>IF($EY330="row",INDEX($DU$5:$DU$1003,$EX330),"")</f>
        <v/>
      </c>
      <c r="FL330">
        <f>IF($EY330="row",INDEX($DV$5:$DV$1003,$EX330),"")</f>
        <v/>
      </c>
      <c r="FM330">
        <f>IF($EY330="row",INDEX($DW$5:$DW$1003,$EX330),"")</f>
        <v/>
      </c>
      <c r="FN330">
        <f>IF($EY330="row",INDEX($DY$5:$DY$1003,$EX330),"")</f>
        <v/>
      </c>
      <c r="FO330">
        <f>IF($EY330="row",INDEX($EA$5:$EA$1003,$EX330),"")</f>
        <v/>
      </c>
      <c r="FP330">
        <f>IF($EY330="row",INDEX($EC$5:$EC$1003,$EX330),"")</f>
        <v/>
      </c>
      <c r="FQ330">
        <f>IF($EY330="row",INDEX($ET$5:$ET$1003,$EX330),"")</f>
        <v/>
      </c>
      <c r="FR330">
        <f>IF($EY330="row",INDEX($EU$5:$EU$1003,$EX330),"")</f>
        <v/>
      </c>
      <c r="FS330">
        <f>IF(AND($EY330="row",$EY329="row"),IF(OR(INDEX($DT$5:$DT$1003,$EX329)="",INDEX($DT$5:$DT$1003,$EX330)=""),"",IF(NOT(EXACT(INDEX($DT$5:$DT$1003,$EX329),INDEX($DT$5:$DT$1003,$EX330))),"S4",IF(NOT(EXACT(INDEX($DS$5:$DS$1003,$EX329),INDEX($DS$5:$DS$1003,$EX330))),"S3",IF(NOT(EXACT(INDEX($DR$5:$DR$1003,$EX329),INDEX($DR$5:$DR$1003,$EX330))),"S1 Count Change","S1")))),"")</f>
        <v/>
      </c>
      <c r="FT330">
        <f>IF($EY330="row",INDEX($ES$5:$ES$1003,$EX330),"")</f>
        <v/>
      </c>
      <c r="FU330">
        <f>IF($EY330="row",INDEX($EO$5:$EO$1003,$EX330),0)</f>
        <v/>
      </c>
      <c r="FV330">
        <f>IF($FS330="S1 Count Change",1,0)</f>
        <v/>
      </c>
    </row>
    <row r="331">
      <c r="DA331" t="n">
        <v>327</v>
      </c>
      <c r="DB331">
        <f>IF($B$37=0,"",IFERROR(TRIM(SUBSTITUTE(SUBSTITUTE(SUBSTITUTE(SUBSTITUTE(INDEX(PASTE_ALL,327,$B$37)," "," "),CHAR(9)," "),CHAR(10)," "),CHAR(13)," ")),""))</f>
        <v/>
      </c>
      <c r="DC331">
        <f>IF(AND(327&gt;HEADER_ROW,UPPER(DB331)="LEGEND"),1,0)</f>
        <v/>
      </c>
      <c r="DE331" t="n">
        <v>327</v>
      </c>
      <c r="DF331">
        <f>HEADER_ROW+$DE331</f>
        <v/>
      </c>
      <c r="DG331">
        <f>IF(AND($DF331&lt;=1000,$DF331&lt;$B$8),1,0)</f>
        <v/>
      </c>
      <c r="DH331">
        <f>IF($DG331=1,IFERROR(INDEX($DB$5:$DB$1004,$DF331),""),"")</f>
        <v/>
      </c>
      <c r="DI331">
        <f>IF(AND($DG331=1,$DH331&lt;&gt;""),IFERROR(SUBSTITUTE(SUBSTITUTE(TRIM(SUBSTITUTE(SUBSTITUTE(SUBSTITUTE(SUBSTITUTE(IFERROR(INDEX(PASTE_ALL,$DF331,1)&amp;"","")&amp;"␟"&amp;IFERROR(INDEX(PASTE_ALL,$DF331,2)&amp;"","")&amp;"␟"&amp;IFERROR(INDEX(PASTE_ALL,$DF331,3)&amp;"","")&amp;"␟"&amp;IFERROR(INDEX(PASTE_ALL,$DF331,4)&amp;"","")&amp;"␟"&amp;IFERROR(INDEX(PASTE_ALL,$DF331,5)&amp;"","")&amp;"␟"&amp;IFERROR(INDEX(PASTE_ALL,$DF331,6)&amp;"","")&amp;"␟"&amp;IFERROR(INDEX(PASTE_ALL,$DF331,7)&amp;"","")&amp;"␟"&amp;IFERROR(INDEX(PASTE_ALL,$DF331,8)&amp;"","")&amp;"␟"&amp;IFERROR(INDEX(PASTE_ALL,$DF331,9)&amp;"","")&amp;"␟"&amp;IFERROR(INDEX(PASTE_ALL,$DF331,10)&amp;"","")&amp;"␟"&amp;IFERROR(INDEX(PASTE_ALL,$DF331,11)&amp;"","")&amp;"␟"&amp;IFERROR(INDEX(PASTE_ALL,$DF331,12)&amp;"","")&amp;"␟"&amp;IFERROR(INDEX(PASTE_ALL,$DF331,13)&amp;"","")&amp;"␟"&amp;IFERROR(INDEX(PASTE_ALL,$DF331,14)&amp;"","")&amp;"␟"&amp;IFERROR(INDEX(PASTE_ALL,$DF331,15)&amp;"","")&amp;"␟"&amp;IFERROR(INDEX(PASTE_ALL,$DF331,16)&amp;"","")&amp;"␟"&amp;IFERROR(INDEX(PASTE_ALL,$DF331,17)&amp;"","")&amp;"␟"&amp;IFERROR(INDEX(PASTE_ALL,$DF331,18)&amp;"","")&amp;"␟"&amp;IFERROR(INDEX(PASTE_ALL,$DF331,19)&amp;"","")&amp;"␟"&amp;IFERROR(INDEX(PASTE_ALL,$DF331,20)&amp;"","")&amp;"␟"&amp;IFERROR(INDEX(PASTE_ALL,$DF331,21)&amp;"","")&amp;"␟"&amp;IFERROR(INDEX(PASTE_ALL,$DF331,22)&amp;"","")&amp;"␟"&amp;IFERROR(INDEX(PASTE_ALL,$DF331,23)&amp;"","")&amp;"␟"&amp;IFERROR(INDEX(PASTE_ALL,$DF331,24)&amp;"","")&amp;"␟"&amp;IFERROR(INDEX(PASTE_ALL,$DF331,25)&amp;"","")&amp;"␟"&amp;IFERROR(INDEX(PASTE_ALL,$DF331,26)&amp;"","")&amp;"␟"&amp;IFERROR(INDEX(PASTE_ALL,$DF331,27)&amp;"","")&amp;"␟"&amp;IFERROR(INDEX(PASTE_ALL,$DF331,28)&amp;"","")&amp;"␟"&amp;IFERROR(INDEX(PASTE_ALL,$DF331,29)&amp;"","")&amp;"␟"&amp;IFERROR(INDEX(PASTE_ALL,$DF331,30)&amp;"","")&amp;"␟"&amp;IFERROR(INDEX(PASTE_ALL,$DF331,31)&amp;"","")&amp;"␟"&amp;IFERROR(INDEX(PASTE_ALL,$DF331,32)&amp;"","")&amp;"␟"&amp;IFERROR(INDEX(PASTE_ALL,$DF331,33)&amp;"","")&amp;"␟"&amp;IFERROR(INDEX(PASTE_ALL,$DF331,34)&amp;"","")&amp;"␟"&amp;IFERROR(INDEX(PASTE_ALL,$DF331,35)&amp;"","")&amp;"␟"&amp;IFERROR(INDEX(PASTE_ALL,$DF331,36)&amp;"","")&amp;"␟"&amp;IFERROR(INDEX(PASTE_ALL,$DF331,37)&amp;"","")&amp;"␟"&amp;IFERROR(INDEX(PASTE_ALL,$DF331,38)&amp;"","")&amp;"␟"&amp;IFERROR(INDEX(PASTE_ALL,$DF331,39)&amp;"","")&amp;"␟"&amp;IFERROR(INDEX(PASTE_ALL,$DF331,40)&amp;"","")&amp;"␟"&amp;IFERROR(INDEX(PASTE_ALL,$DF331,41)&amp;"","")&amp;"␟"&amp;IFERROR(INDEX(PASTE_ALL,$DF331,42)&amp;"","")&amp;"␟"&amp;IFERROR(INDEX(PASTE_ALL,$DF331,43)&amp;"","")&amp;"␟"&amp;IFERROR(INDEX(PASTE_ALL,$DF331,44)&amp;"","")&amp;"␟"&amp;IFERROR(INDEX(PASTE_ALL,$DF331,45)&amp;"","")&amp;"␟"&amp;IFERROR(INDEX(PASTE_ALL,$DF331,46)&amp;"","")&amp;"␟"&amp;IFERROR(INDEX(PASTE_ALL,$DF331,47)&amp;"","")&amp;"␟"&amp;IFERROR(INDEX(PASTE_ALL,$DF331,48)&amp;"","")&amp;"␟"&amp;IFERROR(INDEX(PASTE_ALL,$DF331,49)&amp;"","")&amp;"␟"&amp;IFERROR(INDEX(PASTE_ALL,$DF331,50)&amp;"","")&amp;"␟"&amp;IFERROR(INDEX(PASTE_ALL,$DF331,51)&amp;"","")&amp;"␟"&amp;IFERROR(INDEX(PASTE_ALL,$DF331,52)&amp;"","")&amp;"␟"&amp;IFERROR(INDEX(PASTE_ALL,$DF331,53)&amp;"","")&amp;"␟"&amp;IFERROR(INDEX(PASTE_ALL,$DF331,54)&amp;"","")&amp;"␟"&amp;IFERROR(INDEX(PASTE_ALL,$DF331,55)&amp;"","")&amp;"␟"&amp;IFERROR(INDEX(PASTE_ALL,$DF331,56)&amp;"","")&amp;"␟"&amp;IFERROR(INDEX(PASTE_ALL,$DF331,57)&amp;"","")&amp;"␟"&amp;IFERROR(INDEX(PASTE_ALL,$DF331,58)&amp;"","")&amp;"␟"&amp;IFERROR(INDEX(PASTE_ALL,$DF331,59)&amp;"","")&amp;"␟"&amp;IFERROR(INDEX(PASTE_ALL,$DF331,60)&amp;"","")," "," "),CHAR(9)," "),CHAR(10)," "),CHAR(13)," "))," ␟","␟"),"␟ ","␟"),"#"&amp;$DE331),"")</f>
        <v/>
      </c>
      <c r="DJ331">
        <f>IF($DI331="",0,IF(SUMPRODUCT(--EXACT($DI$4:DI330,$DI331))&gt;0,1,0))</f>
        <v/>
      </c>
      <c r="DK331">
        <f>IF(AND($DI331&lt;&gt;"",$DJ331=0),1,0)</f>
        <v/>
      </c>
      <c r="DL331">
        <f>DL330+$DK331</f>
        <v/>
      </c>
      <c r="DM331">
        <f>IF(AND($DK331=1,$DL331&lt;=600),1,0)</f>
        <v/>
      </c>
      <c r="DN331">
        <f>IF($DM331=0,"",IF($L$6=0,"",IFERROR(IF(ISNUMBER(INDEX(PASTE_ALL,$DF331,$L$6)),INDEX(PASTE_ALL,$DF331,$L$6),TRIM(SUBSTITUTE(SUBSTITUTE(SUBSTITUTE(SUBSTITUTE(INDEX(PASTE_ALL,$DF331,$L$6)," "," "),CHAR(9)," "),CHAR(10)," "),CHAR(13)," "))),"")))</f>
        <v/>
      </c>
      <c r="DO331">
        <f>IF($DM331=0,"",IF($L$7=0,"",IFERROR(IF(ISNUMBER(INDEX(PASTE_ALL,$DF331,$L$7)),INDEX(PASTE_ALL,$DF331,$L$7),TRIM(SUBSTITUTE(SUBSTITUTE(SUBSTITUTE(SUBSTITUTE(INDEX(PASTE_ALL,$DF331,$L$7)," "," "),CHAR(9)," "),CHAR(10)," "),CHAR(13)," "))),"")))</f>
        <v/>
      </c>
      <c r="DP331">
        <f>IF($DM331=0,"",IF($L$8=0,"",IFERROR(IF(ISNUMBER(INDEX(PASTE_ALL,$DF331,$L$8)),INDEX(PASTE_ALL,$DF331,$L$8),TRIM(SUBSTITUTE(SUBSTITUTE(SUBSTITUTE(SUBSTITUTE(INDEX(PASTE_ALL,$DF331,$L$8)," "," "),CHAR(9)," "),CHAR(10)," "),CHAR(13)," "))),"")))</f>
        <v/>
      </c>
      <c r="DQ331">
        <f>IF($DM331=0,"",IF($L$9=0,"",IFERROR(IF(ISNUMBER(INDEX(PASTE_ALL,$DF331,$L$9)),INDEX(PASTE_ALL,$DF331,$L$9),TRIM(SUBSTITUTE(SUBSTITUTE(SUBSTITUTE(SUBSTITUTE(INDEX(PASTE_ALL,$DF331,$L$9)," "," "),CHAR(9)," "),CHAR(10)," "),CHAR(13)," "))),"")))</f>
        <v/>
      </c>
      <c r="DR331">
        <f>IF($DM331=0,"",IF($L$10=0,"",IFERROR(IF(ISNUMBER(INDEX(PASTE_ALL,$DF331,$L$10)),INDEX(PASTE_ALL,$DF331,$L$10),TRIM(SUBSTITUTE(SUBSTITUTE(SUBSTITUTE(SUBSTITUTE(INDEX(PASTE_ALL,$DF331,$L$10)," "," "),CHAR(9)," "),CHAR(10)," "),CHAR(13)," "))),"")))</f>
        <v/>
      </c>
      <c r="DS331">
        <f>IF($DM331=0,"",IF($L$11=0,"",IFERROR(IF(ISNUMBER(INDEX(PASTE_ALL,$DF331,$L$11)),INDEX(PASTE_ALL,$DF331,$L$11),TRIM(SUBSTITUTE(SUBSTITUTE(SUBSTITUTE(SUBSTITUTE(INDEX(PASTE_ALL,$DF331,$L$11)," "," "),CHAR(9)," "),CHAR(10)," "),CHAR(13)," "))),"")))</f>
        <v/>
      </c>
      <c r="DT331">
        <f>IF($DM331=0,"",IF($L$12=0,"",IFERROR(IF(ISNUMBER(INDEX(PASTE_ALL,$DF331,$L$12)),INDEX(PASTE_ALL,$DF331,$L$12),TRIM(SUBSTITUTE(SUBSTITUTE(SUBSTITUTE(SUBSTITUTE(INDEX(PASTE_ALL,$DF331,$L$12)," "," "),CHAR(9)," "),CHAR(10)," "),CHAR(13)," "))),"")))</f>
        <v/>
      </c>
      <c r="DU331">
        <f>IF($DM331=0,"",IF($L$13=0,"",IFERROR(IF(ISNUMBER(INDEX(PASTE_ALL,$DF331,$L$13)),INDEX(PASTE_ALL,$DF331,$L$13),TRIM(SUBSTITUTE(SUBSTITUTE(SUBSTITUTE(SUBSTITUTE(INDEX(PASTE_ALL,$DF331,$L$13)," "," "),CHAR(9)," "),CHAR(10)," "),CHAR(13)," "))),"")))</f>
        <v/>
      </c>
      <c r="DV331">
        <f>IF($DM331=0,"",IF($L$14=0,"",IFERROR(IF(ISNUMBER(INDEX(PASTE_ALL,$DF331,$L$14)),INDEX(PASTE_ALL,$DF331,$L$14),TRIM(SUBSTITUTE(SUBSTITUTE(SUBSTITUTE(SUBSTITUTE(INDEX(PASTE_ALL,$DF331,$L$14)," "," "),CHAR(9)," "),CHAR(10)," "),CHAR(13)," "))),"")))</f>
        <v/>
      </c>
      <c r="DW331">
        <f>IF($DM331=0,"",IF($L$15=0,"",IFERROR(IF(ISNUMBER(INDEX(PASTE_ALL,$DF331,$L$15)),INDEX(PASTE_ALL,$DF331,$L$15),IF(SUMPRODUCT(--ISNUMBER(FIND({"A","B","C","D","E","F","G","H","I","J","K","L","M","N","O","P","Q","R","S","T","U","V","W","X","Y","Z","0","1","2","3","4","5","6","7","8","9"},UPPER(TRIM(SUBSTITUTE(SUBSTITUTE(SUBSTITUTE(SUBSTITUTE(INDEX(PASTE_ALL,$DF331,$L$15)," "," "),CHAR(9)," "),CHAR(10)," "),CHAR(13)," "))))))&gt;0,TRIM(SUBSTITUTE(SUBSTITUTE(SUBSTITUTE(SUBSTITUTE(INDEX(PASTE_ALL,$DF331,$L$15)," "," "),CHAR(9)," "),CHAR(10)," "),CHAR(13)," ")),"")),"")))</f>
        <v/>
      </c>
      <c r="DX331">
        <f>IF($DM331=0,"",IF($L$16=0,"",IFERROR(IF(ISNUMBER(INDEX(PASTE_ALL,$DF331,$L$16)),INDEX(PASTE_ALL,$DF331,$L$16),SUBSTITUTE(SUBSTITUTE(TRIM(SUBSTITUTE(SUBSTITUTE(SUBSTITUTE(SUBSTITUTE(INDEX(PASTE_ALL,$DF331,$L$16)," "," "),CHAR(9)," "),CHAR(10)," "),CHAR(13)," ")),",",""),"%","")),"")))</f>
        <v/>
      </c>
      <c r="DY331">
        <f>IF($DM331=0,"",IFERROR(IF(ISNUMBER($DX331),$DX331,IF($DX331="","",IF(TRIM($DX331)="",0,IF(AND(AND(SUBSTITUTE(SUBSTITUTE(SUBSTITUTE(SUBSTITUTE(SUBSTITUTE(SUBSTITUTE(SUBSTITUTE(SUBSTITUTE(SUBSTITUTE(SUBSTITUTE(SUBSTITUTE(SUBSTITUTE(SUBSTITUTE(SUBSTITUTE(UPPER(TRIM($DX331)),"0",""),"1",""),"2",""),"3",""),"4",""),"5",""),"6",""),"7",""),"8",""),"9",""),".",""),"+",""),"-",""),"E","")="",LEN(SUBSTITUTE(SUBSTITUTE(MID(UPPER(TRIM($DX331)),1+OR(LEFT(UPPER(TRIM($DX331)),1)="+",LEFT(UPPER(TRIM($DX331)),1)="-"),999),"E+","E"),"E-","E"))=LEN(SUBSTITUTE(SUBSTITUTE(SUBSTITUTE(SUBSTITUTE(MID(UPPER(TRIM($DX331)),1+OR(LEFT(UPPER(TRIM($DX331)),1)="+",LEFT(UPPER(TRIM($DX331)),1)="-"),999),"E+","E"),"E-","E"),"+",""),"-","")),LEN(UPPER(TRIM($DX331)))-LEN(SUBSTITUTE(UPPER(TRIM($DX331)),"E",""))&lt;2,LEN(UPPER(TRIM($DX331)))-LEN(SUBSTITUTE(UPPER(TRIM($DX331)),".",""))&lt;2,IFERROR(FIND(".",UPPER(TRIM($DX331))),0)&lt;IFERROR(FIND("E",UPPER(TRIM($DX331))),999)),ISNUMBER(VALUE(TRIM($DX331)))),VALUE(TRIM($DX331)),"")))),""))</f>
        <v/>
      </c>
      <c r="DZ331">
        <f>IF($DM331=0,"",IF($L$17=0,"",IFERROR(IF(ISNUMBER(INDEX(PASTE_ALL,$DF331,$L$17)),INDEX(PASTE_ALL,$DF331,$L$17),SUBSTITUTE(SUBSTITUTE(TRIM(SUBSTITUTE(SUBSTITUTE(SUBSTITUTE(SUBSTITUTE(INDEX(PASTE_ALL,$DF331,$L$17)," "," "),CHAR(9)," "),CHAR(10)," "),CHAR(13)," ")),",",""),"%","")),"")))</f>
        <v/>
      </c>
      <c r="EA331">
        <f>IF($DM331=0,"",IFERROR(IF(ISNUMBER($DZ331),$DZ331,IF($DZ331="","",IF(TRIM($DZ331)="",0,IF(AND(AND(SUBSTITUTE(SUBSTITUTE(SUBSTITUTE(SUBSTITUTE(SUBSTITUTE(SUBSTITUTE(SUBSTITUTE(SUBSTITUTE(SUBSTITUTE(SUBSTITUTE(SUBSTITUTE(SUBSTITUTE(SUBSTITUTE(SUBSTITUTE(UPPER(TRIM($DZ331)),"0",""),"1",""),"2",""),"3",""),"4",""),"5",""),"6",""),"7",""),"8",""),"9",""),".",""),"+",""),"-",""),"E","")="",LEN(SUBSTITUTE(SUBSTITUTE(MID(UPPER(TRIM($DZ331)),1+OR(LEFT(UPPER(TRIM($DZ331)),1)="+",LEFT(UPPER(TRIM($DZ331)),1)="-"),999),"E+","E"),"E-","E"))=LEN(SUBSTITUTE(SUBSTITUTE(SUBSTITUTE(SUBSTITUTE(MID(UPPER(TRIM($DZ331)),1+OR(LEFT(UPPER(TRIM($DZ331)),1)="+",LEFT(UPPER(TRIM($DZ331)),1)="-"),999),"E+","E"),"E-","E"),"+",""),"-","")),LEN(UPPER(TRIM($DZ331)))-LEN(SUBSTITUTE(UPPER(TRIM($DZ331)),"E",""))&lt;2,LEN(UPPER(TRIM($DZ331)))-LEN(SUBSTITUTE(UPPER(TRIM($DZ331)),".",""))&lt;2,IFERROR(FIND(".",UPPER(TRIM($DZ331))),0)&lt;IFERROR(FIND("E",UPPER(TRIM($DZ331))),999)),ISNUMBER(VALUE(TRIM($DZ331)))),VALUE(TRIM($DZ331)),"")))),""))</f>
        <v/>
      </c>
      <c r="EB331">
        <f>IF($DM331=0,"",IF($L$18=0,"",IFERROR(IF(UPPER(TRIM(SUBSTITUTE(SUBSTITUTE(SUBSTITUTE(SUBSTITUTE(INDEX(PASTE_ALL,$DF331,$L$18)," "," "),CHAR(9)," "),CHAR(10)," "),CHAR(13)," ")))="READY","Ready",IF(UPPER(TRIM(SUBSTITUTE(SUBSTITUTE(SUBSTITUTE(SUBSTITUTE(INDEX(PASTE_ALL,$DF331,$L$18)," "," "),CHAR(9)," "),CHAR(10)," "),CHAR(13)," ")))="PM","PM",IF(OR(UPPER(TRIM(SUBSTITUTE(SUBSTITUTE(SUBSTITUTE(SUBSTITUTE(INDEX(PASTE_ALL,$DF331,$L$18)," "," "),CHAR(9)," "),CHAR(10)," "),CHAR(13)," ")))="OT",UPPER(TRIM(SUBSTITUTE(SUBSTITUTE(SUBSTITUTE(SUBSTITUTE(INDEX(PASTE_ALL,$DF331,$L$18)," "," "),CHAR(9)," "),CHAR(10)," "),CHAR(13)," ")))="OVERTIME",UPPER(TRIM(SUBSTITUTE(SUBSTITUTE(SUBSTITUTE(SUBSTITUTE(INDEX(PASTE_ALL,$DF331,$L$18)," "," "),CHAR(9)," "),CHAR(10)," "),CHAR(13)," ")))="TRIAL"),"OT",TRIM(SUBSTITUTE(SUBSTITUTE(SUBSTITUTE(SUBSTITUTE(INDEX(PASTE_ALL,$DF331,$L$18)," "," "),CHAR(9)," "),CHAR(10)," "),CHAR(13)," "))))),"")))</f>
        <v/>
      </c>
      <c r="EC331">
        <f>IF($DM331=0,"",IF($L$19=0,"",IFERROR(IF(ISNUMBER(INDEX(PASTE_ALL,$DF331,$L$19)),INDEX(PASTE_ALL,$DF331,$L$19),TRIM(SUBSTITUTE(SUBSTITUTE(SUBSTITUTE(SUBSTITUTE(INDEX(PASTE_ALL,$DF331,$L$19)," "," "),CHAR(9)," "),CHAR(10)," "),CHAR(13)," "))),"")))</f>
        <v/>
      </c>
      <c r="ED331">
        <f>IF($DM331=0,"",MATCH(1,INDEX(EXACT($DH$5:DH331,$DH331)*$DM$5:DM331,0),0))</f>
        <v/>
      </c>
      <c r="EE331">
        <f>IF($DM331=0,0,IF($ED331=$DE331,1,0))</f>
        <v/>
      </c>
      <c r="EF331">
        <f>EF330+$EE331</f>
        <v/>
      </c>
      <c r="EG331">
        <f>IF($DM331=0,"",INDEX($EF$5:$EF$1003,$ED331))</f>
        <v/>
      </c>
      <c r="EH331">
        <f>IF($DM331=0,"",IF($DO331&lt;&gt;"","",IFERROR(LOOKUP(2,1/(($EG$4:EG330=$EG331)*($DO$4:DO330&lt;&gt;"")),$DO$4:DO330),"")))</f>
        <v/>
      </c>
      <c r="EI331">
        <f>IF($DM331=0,"",IF($DO331&lt;&gt;"",$DO331,$EH331))</f>
        <v/>
      </c>
      <c r="EJ331">
        <f>IF($DM331=0,"",IF($EI331="",0,IF(OR(ISNUMBER($EI331),AND(AND(SUBSTITUTE(SUBSTITUTE(SUBSTITUTE(SUBSTITUTE(SUBSTITUTE(SUBSTITUTE(SUBSTITUTE(SUBSTITUTE(SUBSTITUTE(SUBSTITUTE(SUBSTITUTE(SUBSTITUTE(SUBSTITUTE(SUBSTITUTE(UPPER($EI331),"0",""),"1",""),"2",""),"3",""),"4",""),"5",""),"6",""),"7",""),"8",""),"9",""),".",""),"+",""),"-",""),"E","")="",LEN(SUBSTITUTE(SUBSTITUTE(MID(UPPER($EI331),1+OR(LEFT(UPPER($EI331),1)="+",LEFT(UPPER($EI331),1)="-"),999),"E+","E"),"E-","E"))=LEN(SUBSTITUTE(SUBSTITUTE(SUBSTITUTE(SUBSTITUTE(MID(UPPER($EI331),1+OR(LEFT(UPPER($EI331),1)="+",LEFT(UPPER($EI331),1)="-"),999),"E+","E"),"E-","E"),"+",""),"-","")),LEN(UPPER($EI331))-LEN(SUBSTITUTE(UPPER($EI331),"E",""))&lt;2,LEN(UPPER($EI331))-LEN(SUBSTITUTE(UPPER($EI331),".",""))&lt;2,IFERROR(FIND(".",UPPER($EI331)),0)&lt;IFERROR(FIND("E",UPPER($EI331)),999)),ISNUMBER(VALUE($EI331)))),1,2)))</f>
        <v/>
      </c>
      <c r="EK331">
        <f>IF($DM331=0,"",IF($EJ331=1,IF(ISNUMBER($EI331),$EI331,VALUE($EI331)),IF($EJ331=2,$DE331,0)))</f>
        <v/>
      </c>
      <c r="EL331">
        <f>IF($DM331=0,"",COUNTIF($EG$5:$EG$1003,"&lt;"&amp;$EG331)+SUMPRODUCT(($EG$5:$EG$1003=$EG331)*(($EJ$5:$EJ$1003&lt;$EJ331)+($EJ$5:$EJ$1003=$EJ331)*(($EK$5:$EK$1003&lt;$EK331)+($EK$5:$EK$1003=$EK331)*($DE$5:$DE$1003&lt;$DE331))))+1)</f>
        <v/>
      </c>
      <c r="EM331">
        <f>IF($DM331=0,"",$EL331+$EG331-1)</f>
        <v/>
      </c>
      <c r="EN331">
        <f>IF($DM331=0,0,IFERROR(MATCH(1,INDEX(--(TRIM(SUBSTITUTE(SUBSTITUTE(SUBSTITUTE(SUBSTITUTE(LINES_NAME&amp;""," "," "),CHAR(9)," "),CHAR(10)," "),CHAR(13)," "))=$DH331),0),0),0))</f>
        <v/>
      </c>
      <c r="EO331">
        <f>IF($EN331=0,0,IF(OR(UPPER(TRIM(INDEX(LINES_SCHEDULED,$EN331)&amp;""))="YES",UPPER(TRIM(INDEX(LINES_SCHEDULED,$EN331)&amp;""))="Y",UPPER(TRIM(INDEX(LINES_SCHEDULED,$EN331)&amp;""))="X"),1,0))</f>
        <v/>
      </c>
      <c r="EP331">
        <f>IF($DM331=0,"",IF(COUNTIFS($EG$5:$EG$1003,$EG331,$EB$5:$EB$1003,"Ready")&gt;0,"READY",IF(COUNTIFS($EG$5:$EG$1003,$EG331,$EB$5:$EB$1003,"PM")&gt;0,"PM",IF(COUNTIFS($EG$5:$EG$1003,$EG331,$EB$5:$EB$1003,"OT")&gt;0,"OT",""))))</f>
        <v/>
      </c>
      <c r="EQ331">
        <f>IF($EN331=0,"",UPPER(TRIM(INDEX(LINES_STATUS,$EN331)&amp;"")))</f>
        <v/>
      </c>
      <c r="ER331">
        <f>IF($DM331=0,"",IF(OR($EQ331="READY",$EQ331="PM",$EQ331="OT"),$EQ331,$EP331))</f>
        <v/>
      </c>
      <c r="ES331">
        <f>IF($DM331=0,"",IF(AND($DV331&lt;&gt;"",UPPER($DV331)&lt;&gt;"N"),"allergen",IF(ISNUMBER(SEARCH("oil",$DQ331)),"oil",IF(OR(EXACT($DS331,"A662"),EXACT($DS331,"A624")),"bulk",""))))</f>
        <v/>
      </c>
      <c r="ET331">
        <f>IF($DM331=0,"",IF(OR($EA331="",$EA331=0),"",$EA331/100))</f>
        <v/>
      </c>
      <c r="EU331">
        <f>IF(OR($ET331="",$DY331=""),"",INT($DY331*(1-$ET331)+0.5))</f>
        <v/>
      </c>
      <c r="EW331" t="n">
        <v>327</v>
      </c>
      <c r="EX331">
        <f>IFERROR(MATCH($EW331,$EM$5:$EM$1003,0),0)</f>
        <v/>
      </c>
      <c r="EY331">
        <f>IF($EW331&gt;$B$12,"",IF($EX331&gt;0,"row","spacer"))</f>
        <v/>
      </c>
      <c r="EZ331">
        <f>IF(AND($EY331="row",$EY330&lt;&gt;"row"),1,0)</f>
        <v/>
      </c>
      <c r="FA331">
        <f>IF(AND($EY331="row",$EY332&lt;&gt;"row"),1,0)</f>
        <v/>
      </c>
      <c r="FB331">
        <f>IF($EZ331=1,IFERROR(IF(ISNUMBER(INDEX(PASTE_ALL,INDEX($DF$5:$DF$1003,$EX331),$B$37)),INDEX(PASTE_ALL,INDEX($DF$5:$DF$1003,$EX331),$B$37),INDEX($DH$5:$DH$1003,$EX331)),INDEX($DH$5:$DH$1003,$EX331)),"")</f>
        <v/>
      </c>
      <c r="FC331">
        <f>IF($EY331="row",INDEX($ER$5:$ER$1003,$EX331),"")</f>
        <v/>
      </c>
      <c r="FD331">
        <f>IF($EY331="row",INDEX($DN$5:$DN$1003,$EX331),"")</f>
        <v/>
      </c>
      <c r="FE331">
        <f>IF($EY331="row",INDEX($DO$5:$DO$1003,$EX331),"")</f>
        <v/>
      </c>
      <c r="FF331">
        <f>IF($EY331="row",INDEX($DP$5:$DP$1003,$EX331),"")</f>
        <v/>
      </c>
      <c r="FG331">
        <f>IF($EY331="row",INDEX($DQ$5:$DQ$1003,$EX331),"")</f>
        <v/>
      </c>
      <c r="FH331">
        <f>IF($EY331="row",INDEX($DR$5:$DR$1003,$EX331),"")</f>
        <v/>
      </c>
      <c r="FI331">
        <f>IF($EY331="row",INDEX($DS$5:$DS$1003,$EX331),"")</f>
        <v/>
      </c>
      <c r="FJ331">
        <f>IF($EY331="row",INDEX($DT$5:$DT$1003,$EX331),"")</f>
        <v/>
      </c>
      <c r="FK331">
        <f>IF($EY331="row",INDEX($DU$5:$DU$1003,$EX331),"")</f>
        <v/>
      </c>
      <c r="FL331">
        <f>IF($EY331="row",INDEX($DV$5:$DV$1003,$EX331),"")</f>
        <v/>
      </c>
      <c r="FM331">
        <f>IF($EY331="row",INDEX($DW$5:$DW$1003,$EX331),"")</f>
        <v/>
      </c>
      <c r="FN331">
        <f>IF($EY331="row",INDEX($DY$5:$DY$1003,$EX331),"")</f>
        <v/>
      </c>
      <c r="FO331">
        <f>IF($EY331="row",INDEX($EA$5:$EA$1003,$EX331),"")</f>
        <v/>
      </c>
      <c r="FP331">
        <f>IF($EY331="row",INDEX($EC$5:$EC$1003,$EX331),"")</f>
        <v/>
      </c>
      <c r="FQ331">
        <f>IF($EY331="row",INDEX($ET$5:$ET$1003,$EX331),"")</f>
        <v/>
      </c>
      <c r="FR331">
        <f>IF($EY331="row",INDEX($EU$5:$EU$1003,$EX331),"")</f>
        <v/>
      </c>
      <c r="FS331">
        <f>IF(AND($EY331="row",$EY330="row"),IF(OR(INDEX($DT$5:$DT$1003,$EX330)="",INDEX($DT$5:$DT$1003,$EX331)=""),"",IF(NOT(EXACT(INDEX($DT$5:$DT$1003,$EX330),INDEX($DT$5:$DT$1003,$EX331))),"S4",IF(NOT(EXACT(INDEX($DS$5:$DS$1003,$EX330),INDEX($DS$5:$DS$1003,$EX331))),"S3",IF(NOT(EXACT(INDEX($DR$5:$DR$1003,$EX330),INDEX($DR$5:$DR$1003,$EX331))),"S1 Count Change","S1")))),"")</f>
        <v/>
      </c>
      <c r="FT331">
        <f>IF($EY331="row",INDEX($ES$5:$ES$1003,$EX331),"")</f>
        <v/>
      </c>
      <c r="FU331">
        <f>IF($EY331="row",INDEX($EO$5:$EO$1003,$EX331),0)</f>
        <v/>
      </c>
      <c r="FV331">
        <f>IF($FS331="S1 Count Change",1,0)</f>
        <v/>
      </c>
    </row>
    <row r="332">
      <c r="DA332" t="n">
        <v>328</v>
      </c>
      <c r="DB332">
        <f>IF($B$37=0,"",IFERROR(TRIM(SUBSTITUTE(SUBSTITUTE(SUBSTITUTE(SUBSTITUTE(INDEX(PASTE_ALL,328,$B$37)," "," "),CHAR(9)," "),CHAR(10)," "),CHAR(13)," ")),""))</f>
        <v/>
      </c>
      <c r="DC332">
        <f>IF(AND(328&gt;HEADER_ROW,UPPER(DB332)="LEGEND"),1,0)</f>
        <v/>
      </c>
      <c r="DE332" t="n">
        <v>328</v>
      </c>
      <c r="DF332">
        <f>HEADER_ROW+$DE332</f>
        <v/>
      </c>
      <c r="DG332">
        <f>IF(AND($DF332&lt;=1000,$DF332&lt;$B$8),1,0)</f>
        <v/>
      </c>
      <c r="DH332">
        <f>IF($DG332=1,IFERROR(INDEX($DB$5:$DB$1004,$DF332),""),"")</f>
        <v/>
      </c>
      <c r="DI332">
        <f>IF(AND($DG332=1,$DH332&lt;&gt;""),IFERROR(SUBSTITUTE(SUBSTITUTE(TRIM(SUBSTITUTE(SUBSTITUTE(SUBSTITUTE(SUBSTITUTE(IFERROR(INDEX(PASTE_ALL,$DF332,1)&amp;"","")&amp;"␟"&amp;IFERROR(INDEX(PASTE_ALL,$DF332,2)&amp;"","")&amp;"␟"&amp;IFERROR(INDEX(PASTE_ALL,$DF332,3)&amp;"","")&amp;"␟"&amp;IFERROR(INDEX(PASTE_ALL,$DF332,4)&amp;"","")&amp;"␟"&amp;IFERROR(INDEX(PASTE_ALL,$DF332,5)&amp;"","")&amp;"␟"&amp;IFERROR(INDEX(PASTE_ALL,$DF332,6)&amp;"","")&amp;"␟"&amp;IFERROR(INDEX(PASTE_ALL,$DF332,7)&amp;"","")&amp;"␟"&amp;IFERROR(INDEX(PASTE_ALL,$DF332,8)&amp;"","")&amp;"␟"&amp;IFERROR(INDEX(PASTE_ALL,$DF332,9)&amp;"","")&amp;"␟"&amp;IFERROR(INDEX(PASTE_ALL,$DF332,10)&amp;"","")&amp;"␟"&amp;IFERROR(INDEX(PASTE_ALL,$DF332,11)&amp;"","")&amp;"␟"&amp;IFERROR(INDEX(PASTE_ALL,$DF332,12)&amp;"","")&amp;"␟"&amp;IFERROR(INDEX(PASTE_ALL,$DF332,13)&amp;"","")&amp;"␟"&amp;IFERROR(INDEX(PASTE_ALL,$DF332,14)&amp;"","")&amp;"␟"&amp;IFERROR(INDEX(PASTE_ALL,$DF332,15)&amp;"","")&amp;"␟"&amp;IFERROR(INDEX(PASTE_ALL,$DF332,16)&amp;"","")&amp;"␟"&amp;IFERROR(INDEX(PASTE_ALL,$DF332,17)&amp;"","")&amp;"␟"&amp;IFERROR(INDEX(PASTE_ALL,$DF332,18)&amp;"","")&amp;"␟"&amp;IFERROR(INDEX(PASTE_ALL,$DF332,19)&amp;"","")&amp;"␟"&amp;IFERROR(INDEX(PASTE_ALL,$DF332,20)&amp;"","")&amp;"␟"&amp;IFERROR(INDEX(PASTE_ALL,$DF332,21)&amp;"","")&amp;"␟"&amp;IFERROR(INDEX(PASTE_ALL,$DF332,22)&amp;"","")&amp;"␟"&amp;IFERROR(INDEX(PASTE_ALL,$DF332,23)&amp;"","")&amp;"␟"&amp;IFERROR(INDEX(PASTE_ALL,$DF332,24)&amp;"","")&amp;"␟"&amp;IFERROR(INDEX(PASTE_ALL,$DF332,25)&amp;"","")&amp;"␟"&amp;IFERROR(INDEX(PASTE_ALL,$DF332,26)&amp;"","")&amp;"␟"&amp;IFERROR(INDEX(PASTE_ALL,$DF332,27)&amp;"","")&amp;"␟"&amp;IFERROR(INDEX(PASTE_ALL,$DF332,28)&amp;"","")&amp;"␟"&amp;IFERROR(INDEX(PASTE_ALL,$DF332,29)&amp;"","")&amp;"␟"&amp;IFERROR(INDEX(PASTE_ALL,$DF332,30)&amp;"","")&amp;"␟"&amp;IFERROR(INDEX(PASTE_ALL,$DF332,31)&amp;"","")&amp;"␟"&amp;IFERROR(INDEX(PASTE_ALL,$DF332,32)&amp;"","")&amp;"␟"&amp;IFERROR(INDEX(PASTE_ALL,$DF332,33)&amp;"","")&amp;"␟"&amp;IFERROR(INDEX(PASTE_ALL,$DF332,34)&amp;"","")&amp;"␟"&amp;IFERROR(INDEX(PASTE_ALL,$DF332,35)&amp;"","")&amp;"␟"&amp;IFERROR(INDEX(PASTE_ALL,$DF332,36)&amp;"","")&amp;"␟"&amp;IFERROR(INDEX(PASTE_ALL,$DF332,37)&amp;"","")&amp;"␟"&amp;IFERROR(INDEX(PASTE_ALL,$DF332,38)&amp;"","")&amp;"␟"&amp;IFERROR(INDEX(PASTE_ALL,$DF332,39)&amp;"","")&amp;"␟"&amp;IFERROR(INDEX(PASTE_ALL,$DF332,40)&amp;"","")&amp;"␟"&amp;IFERROR(INDEX(PASTE_ALL,$DF332,41)&amp;"","")&amp;"␟"&amp;IFERROR(INDEX(PASTE_ALL,$DF332,42)&amp;"","")&amp;"␟"&amp;IFERROR(INDEX(PASTE_ALL,$DF332,43)&amp;"","")&amp;"␟"&amp;IFERROR(INDEX(PASTE_ALL,$DF332,44)&amp;"","")&amp;"␟"&amp;IFERROR(INDEX(PASTE_ALL,$DF332,45)&amp;"","")&amp;"␟"&amp;IFERROR(INDEX(PASTE_ALL,$DF332,46)&amp;"","")&amp;"␟"&amp;IFERROR(INDEX(PASTE_ALL,$DF332,47)&amp;"","")&amp;"␟"&amp;IFERROR(INDEX(PASTE_ALL,$DF332,48)&amp;"","")&amp;"␟"&amp;IFERROR(INDEX(PASTE_ALL,$DF332,49)&amp;"","")&amp;"␟"&amp;IFERROR(INDEX(PASTE_ALL,$DF332,50)&amp;"","")&amp;"␟"&amp;IFERROR(INDEX(PASTE_ALL,$DF332,51)&amp;"","")&amp;"␟"&amp;IFERROR(INDEX(PASTE_ALL,$DF332,52)&amp;"","")&amp;"␟"&amp;IFERROR(INDEX(PASTE_ALL,$DF332,53)&amp;"","")&amp;"␟"&amp;IFERROR(INDEX(PASTE_ALL,$DF332,54)&amp;"","")&amp;"␟"&amp;IFERROR(INDEX(PASTE_ALL,$DF332,55)&amp;"","")&amp;"␟"&amp;IFERROR(INDEX(PASTE_ALL,$DF332,56)&amp;"","")&amp;"␟"&amp;IFERROR(INDEX(PASTE_ALL,$DF332,57)&amp;"","")&amp;"␟"&amp;IFERROR(INDEX(PASTE_ALL,$DF332,58)&amp;"","")&amp;"␟"&amp;IFERROR(INDEX(PASTE_ALL,$DF332,59)&amp;"","")&amp;"␟"&amp;IFERROR(INDEX(PASTE_ALL,$DF332,60)&amp;"","")," "," "),CHAR(9)," "),CHAR(10)," "),CHAR(13)," "))," ␟","␟"),"␟ ","␟"),"#"&amp;$DE332),"")</f>
        <v/>
      </c>
      <c r="DJ332">
        <f>IF($DI332="",0,IF(SUMPRODUCT(--EXACT($DI$4:DI331,$DI332))&gt;0,1,0))</f>
        <v/>
      </c>
      <c r="DK332">
        <f>IF(AND($DI332&lt;&gt;"",$DJ332=0),1,0)</f>
        <v/>
      </c>
      <c r="DL332">
        <f>DL331+$DK332</f>
        <v/>
      </c>
      <c r="DM332">
        <f>IF(AND($DK332=1,$DL332&lt;=600),1,0)</f>
        <v/>
      </c>
      <c r="DN332">
        <f>IF($DM332=0,"",IF($L$6=0,"",IFERROR(IF(ISNUMBER(INDEX(PASTE_ALL,$DF332,$L$6)),INDEX(PASTE_ALL,$DF332,$L$6),TRIM(SUBSTITUTE(SUBSTITUTE(SUBSTITUTE(SUBSTITUTE(INDEX(PASTE_ALL,$DF332,$L$6)," "," "),CHAR(9)," "),CHAR(10)," "),CHAR(13)," "))),"")))</f>
        <v/>
      </c>
      <c r="DO332">
        <f>IF($DM332=0,"",IF($L$7=0,"",IFERROR(IF(ISNUMBER(INDEX(PASTE_ALL,$DF332,$L$7)),INDEX(PASTE_ALL,$DF332,$L$7),TRIM(SUBSTITUTE(SUBSTITUTE(SUBSTITUTE(SUBSTITUTE(INDEX(PASTE_ALL,$DF332,$L$7)," "," "),CHAR(9)," "),CHAR(10)," "),CHAR(13)," "))),"")))</f>
        <v/>
      </c>
      <c r="DP332">
        <f>IF($DM332=0,"",IF($L$8=0,"",IFERROR(IF(ISNUMBER(INDEX(PASTE_ALL,$DF332,$L$8)),INDEX(PASTE_ALL,$DF332,$L$8),TRIM(SUBSTITUTE(SUBSTITUTE(SUBSTITUTE(SUBSTITUTE(INDEX(PASTE_ALL,$DF332,$L$8)," "," "),CHAR(9)," "),CHAR(10)," "),CHAR(13)," "))),"")))</f>
        <v/>
      </c>
      <c r="DQ332">
        <f>IF($DM332=0,"",IF($L$9=0,"",IFERROR(IF(ISNUMBER(INDEX(PASTE_ALL,$DF332,$L$9)),INDEX(PASTE_ALL,$DF332,$L$9),TRIM(SUBSTITUTE(SUBSTITUTE(SUBSTITUTE(SUBSTITUTE(INDEX(PASTE_ALL,$DF332,$L$9)," "," "),CHAR(9)," "),CHAR(10)," "),CHAR(13)," "))),"")))</f>
        <v/>
      </c>
      <c r="DR332">
        <f>IF($DM332=0,"",IF($L$10=0,"",IFERROR(IF(ISNUMBER(INDEX(PASTE_ALL,$DF332,$L$10)),INDEX(PASTE_ALL,$DF332,$L$10),TRIM(SUBSTITUTE(SUBSTITUTE(SUBSTITUTE(SUBSTITUTE(INDEX(PASTE_ALL,$DF332,$L$10)," "," "),CHAR(9)," "),CHAR(10)," "),CHAR(13)," "))),"")))</f>
        <v/>
      </c>
      <c r="DS332">
        <f>IF($DM332=0,"",IF($L$11=0,"",IFERROR(IF(ISNUMBER(INDEX(PASTE_ALL,$DF332,$L$11)),INDEX(PASTE_ALL,$DF332,$L$11),TRIM(SUBSTITUTE(SUBSTITUTE(SUBSTITUTE(SUBSTITUTE(INDEX(PASTE_ALL,$DF332,$L$11)," "," "),CHAR(9)," "),CHAR(10)," "),CHAR(13)," "))),"")))</f>
        <v/>
      </c>
      <c r="DT332">
        <f>IF($DM332=0,"",IF($L$12=0,"",IFERROR(IF(ISNUMBER(INDEX(PASTE_ALL,$DF332,$L$12)),INDEX(PASTE_ALL,$DF332,$L$12),TRIM(SUBSTITUTE(SUBSTITUTE(SUBSTITUTE(SUBSTITUTE(INDEX(PASTE_ALL,$DF332,$L$12)," "," "),CHAR(9)," "),CHAR(10)," "),CHAR(13)," "))),"")))</f>
        <v/>
      </c>
      <c r="DU332">
        <f>IF($DM332=0,"",IF($L$13=0,"",IFERROR(IF(ISNUMBER(INDEX(PASTE_ALL,$DF332,$L$13)),INDEX(PASTE_ALL,$DF332,$L$13),TRIM(SUBSTITUTE(SUBSTITUTE(SUBSTITUTE(SUBSTITUTE(INDEX(PASTE_ALL,$DF332,$L$13)," "," "),CHAR(9)," "),CHAR(10)," "),CHAR(13)," "))),"")))</f>
        <v/>
      </c>
      <c r="DV332">
        <f>IF($DM332=0,"",IF($L$14=0,"",IFERROR(IF(ISNUMBER(INDEX(PASTE_ALL,$DF332,$L$14)),INDEX(PASTE_ALL,$DF332,$L$14),TRIM(SUBSTITUTE(SUBSTITUTE(SUBSTITUTE(SUBSTITUTE(INDEX(PASTE_ALL,$DF332,$L$14)," "," "),CHAR(9)," "),CHAR(10)," "),CHAR(13)," "))),"")))</f>
        <v/>
      </c>
      <c r="DW332">
        <f>IF($DM332=0,"",IF($L$15=0,"",IFERROR(IF(ISNUMBER(INDEX(PASTE_ALL,$DF332,$L$15)),INDEX(PASTE_ALL,$DF332,$L$15),IF(SUMPRODUCT(--ISNUMBER(FIND({"A","B","C","D","E","F","G","H","I","J","K","L","M","N","O","P","Q","R","S","T","U","V","W","X","Y","Z","0","1","2","3","4","5","6","7","8","9"},UPPER(TRIM(SUBSTITUTE(SUBSTITUTE(SUBSTITUTE(SUBSTITUTE(INDEX(PASTE_ALL,$DF332,$L$15)," "," "),CHAR(9)," "),CHAR(10)," "),CHAR(13)," "))))))&gt;0,TRIM(SUBSTITUTE(SUBSTITUTE(SUBSTITUTE(SUBSTITUTE(INDEX(PASTE_ALL,$DF332,$L$15)," "," "),CHAR(9)," "),CHAR(10)," "),CHAR(13)," ")),"")),"")))</f>
        <v/>
      </c>
      <c r="DX332">
        <f>IF($DM332=0,"",IF($L$16=0,"",IFERROR(IF(ISNUMBER(INDEX(PASTE_ALL,$DF332,$L$16)),INDEX(PASTE_ALL,$DF332,$L$16),SUBSTITUTE(SUBSTITUTE(TRIM(SUBSTITUTE(SUBSTITUTE(SUBSTITUTE(SUBSTITUTE(INDEX(PASTE_ALL,$DF332,$L$16)," "," "),CHAR(9)," "),CHAR(10)," "),CHAR(13)," ")),",",""),"%","")),"")))</f>
        <v/>
      </c>
      <c r="DY332">
        <f>IF($DM332=0,"",IFERROR(IF(ISNUMBER($DX332),$DX332,IF($DX332="","",IF(TRIM($DX332)="",0,IF(AND(AND(SUBSTITUTE(SUBSTITUTE(SUBSTITUTE(SUBSTITUTE(SUBSTITUTE(SUBSTITUTE(SUBSTITUTE(SUBSTITUTE(SUBSTITUTE(SUBSTITUTE(SUBSTITUTE(SUBSTITUTE(SUBSTITUTE(SUBSTITUTE(UPPER(TRIM($DX332)),"0",""),"1",""),"2",""),"3",""),"4",""),"5",""),"6",""),"7",""),"8",""),"9",""),".",""),"+",""),"-",""),"E","")="",LEN(SUBSTITUTE(SUBSTITUTE(MID(UPPER(TRIM($DX332)),1+OR(LEFT(UPPER(TRIM($DX332)),1)="+",LEFT(UPPER(TRIM($DX332)),1)="-"),999),"E+","E"),"E-","E"))=LEN(SUBSTITUTE(SUBSTITUTE(SUBSTITUTE(SUBSTITUTE(MID(UPPER(TRIM($DX332)),1+OR(LEFT(UPPER(TRIM($DX332)),1)="+",LEFT(UPPER(TRIM($DX332)),1)="-"),999),"E+","E"),"E-","E"),"+",""),"-","")),LEN(UPPER(TRIM($DX332)))-LEN(SUBSTITUTE(UPPER(TRIM($DX332)),"E",""))&lt;2,LEN(UPPER(TRIM($DX332)))-LEN(SUBSTITUTE(UPPER(TRIM($DX332)),".",""))&lt;2,IFERROR(FIND(".",UPPER(TRIM($DX332))),0)&lt;IFERROR(FIND("E",UPPER(TRIM($DX332))),999)),ISNUMBER(VALUE(TRIM($DX332)))),VALUE(TRIM($DX332)),"")))),""))</f>
        <v/>
      </c>
      <c r="DZ332">
        <f>IF($DM332=0,"",IF($L$17=0,"",IFERROR(IF(ISNUMBER(INDEX(PASTE_ALL,$DF332,$L$17)),INDEX(PASTE_ALL,$DF332,$L$17),SUBSTITUTE(SUBSTITUTE(TRIM(SUBSTITUTE(SUBSTITUTE(SUBSTITUTE(SUBSTITUTE(INDEX(PASTE_ALL,$DF332,$L$17)," "," "),CHAR(9)," "),CHAR(10)," "),CHAR(13)," ")),",",""),"%","")),"")))</f>
        <v/>
      </c>
      <c r="EA332">
        <f>IF($DM332=0,"",IFERROR(IF(ISNUMBER($DZ332),$DZ332,IF($DZ332="","",IF(TRIM($DZ332)="",0,IF(AND(AND(SUBSTITUTE(SUBSTITUTE(SUBSTITUTE(SUBSTITUTE(SUBSTITUTE(SUBSTITUTE(SUBSTITUTE(SUBSTITUTE(SUBSTITUTE(SUBSTITUTE(SUBSTITUTE(SUBSTITUTE(SUBSTITUTE(SUBSTITUTE(UPPER(TRIM($DZ332)),"0",""),"1",""),"2",""),"3",""),"4",""),"5",""),"6",""),"7",""),"8",""),"9",""),".",""),"+",""),"-",""),"E","")="",LEN(SUBSTITUTE(SUBSTITUTE(MID(UPPER(TRIM($DZ332)),1+OR(LEFT(UPPER(TRIM($DZ332)),1)="+",LEFT(UPPER(TRIM($DZ332)),1)="-"),999),"E+","E"),"E-","E"))=LEN(SUBSTITUTE(SUBSTITUTE(SUBSTITUTE(SUBSTITUTE(MID(UPPER(TRIM($DZ332)),1+OR(LEFT(UPPER(TRIM($DZ332)),1)="+",LEFT(UPPER(TRIM($DZ332)),1)="-"),999),"E+","E"),"E-","E"),"+",""),"-","")),LEN(UPPER(TRIM($DZ332)))-LEN(SUBSTITUTE(UPPER(TRIM($DZ332)),"E",""))&lt;2,LEN(UPPER(TRIM($DZ332)))-LEN(SUBSTITUTE(UPPER(TRIM($DZ332)),".",""))&lt;2,IFERROR(FIND(".",UPPER(TRIM($DZ332))),0)&lt;IFERROR(FIND("E",UPPER(TRIM($DZ332))),999)),ISNUMBER(VALUE(TRIM($DZ332)))),VALUE(TRIM($DZ332)),"")))),""))</f>
        <v/>
      </c>
      <c r="EB332">
        <f>IF($DM332=0,"",IF($L$18=0,"",IFERROR(IF(UPPER(TRIM(SUBSTITUTE(SUBSTITUTE(SUBSTITUTE(SUBSTITUTE(INDEX(PASTE_ALL,$DF332,$L$18)," "," "),CHAR(9)," "),CHAR(10)," "),CHAR(13)," ")))="READY","Ready",IF(UPPER(TRIM(SUBSTITUTE(SUBSTITUTE(SUBSTITUTE(SUBSTITUTE(INDEX(PASTE_ALL,$DF332,$L$18)," "," "),CHAR(9)," "),CHAR(10)," "),CHAR(13)," ")))="PM","PM",IF(OR(UPPER(TRIM(SUBSTITUTE(SUBSTITUTE(SUBSTITUTE(SUBSTITUTE(INDEX(PASTE_ALL,$DF332,$L$18)," "," "),CHAR(9)," "),CHAR(10)," "),CHAR(13)," ")))="OT",UPPER(TRIM(SUBSTITUTE(SUBSTITUTE(SUBSTITUTE(SUBSTITUTE(INDEX(PASTE_ALL,$DF332,$L$18)," "," "),CHAR(9)," "),CHAR(10)," "),CHAR(13)," ")))="OVERTIME",UPPER(TRIM(SUBSTITUTE(SUBSTITUTE(SUBSTITUTE(SUBSTITUTE(INDEX(PASTE_ALL,$DF332,$L$18)," "," "),CHAR(9)," "),CHAR(10)," "),CHAR(13)," ")))="TRIAL"),"OT",TRIM(SUBSTITUTE(SUBSTITUTE(SUBSTITUTE(SUBSTITUTE(INDEX(PASTE_ALL,$DF332,$L$18)," "," "),CHAR(9)," "),CHAR(10)," "),CHAR(13)," "))))),"")))</f>
        <v/>
      </c>
      <c r="EC332">
        <f>IF($DM332=0,"",IF($L$19=0,"",IFERROR(IF(ISNUMBER(INDEX(PASTE_ALL,$DF332,$L$19)),INDEX(PASTE_ALL,$DF332,$L$19),TRIM(SUBSTITUTE(SUBSTITUTE(SUBSTITUTE(SUBSTITUTE(INDEX(PASTE_ALL,$DF332,$L$19)," "," "),CHAR(9)," "),CHAR(10)," "),CHAR(13)," "))),"")))</f>
        <v/>
      </c>
      <c r="ED332">
        <f>IF($DM332=0,"",MATCH(1,INDEX(EXACT($DH$5:DH332,$DH332)*$DM$5:DM332,0),0))</f>
        <v/>
      </c>
      <c r="EE332">
        <f>IF($DM332=0,0,IF($ED332=$DE332,1,0))</f>
        <v/>
      </c>
      <c r="EF332">
        <f>EF331+$EE332</f>
        <v/>
      </c>
      <c r="EG332">
        <f>IF($DM332=0,"",INDEX($EF$5:$EF$1003,$ED332))</f>
        <v/>
      </c>
      <c r="EH332">
        <f>IF($DM332=0,"",IF($DO332&lt;&gt;"","",IFERROR(LOOKUP(2,1/(($EG$4:EG331=$EG332)*($DO$4:DO331&lt;&gt;"")),$DO$4:DO331),"")))</f>
        <v/>
      </c>
      <c r="EI332">
        <f>IF($DM332=0,"",IF($DO332&lt;&gt;"",$DO332,$EH332))</f>
        <v/>
      </c>
      <c r="EJ332">
        <f>IF($DM332=0,"",IF($EI332="",0,IF(OR(ISNUMBER($EI332),AND(AND(SUBSTITUTE(SUBSTITUTE(SUBSTITUTE(SUBSTITUTE(SUBSTITUTE(SUBSTITUTE(SUBSTITUTE(SUBSTITUTE(SUBSTITUTE(SUBSTITUTE(SUBSTITUTE(SUBSTITUTE(SUBSTITUTE(SUBSTITUTE(UPPER($EI332),"0",""),"1",""),"2",""),"3",""),"4",""),"5",""),"6",""),"7",""),"8",""),"9",""),".",""),"+",""),"-",""),"E","")="",LEN(SUBSTITUTE(SUBSTITUTE(MID(UPPER($EI332),1+OR(LEFT(UPPER($EI332),1)="+",LEFT(UPPER($EI332),1)="-"),999),"E+","E"),"E-","E"))=LEN(SUBSTITUTE(SUBSTITUTE(SUBSTITUTE(SUBSTITUTE(MID(UPPER($EI332),1+OR(LEFT(UPPER($EI332),1)="+",LEFT(UPPER($EI332),1)="-"),999),"E+","E"),"E-","E"),"+",""),"-","")),LEN(UPPER($EI332))-LEN(SUBSTITUTE(UPPER($EI332),"E",""))&lt;2,LEN(UPPER($EI332))-LEN(SUBSTITUTE(UPPER($EI332),".",""))&lt;2,IFERROR(FIND(".",UPPER($EI332)),0)&lt;IFERROR(FIND("E",UPPER($EI332)),999)),ISNUMBER(VALUE($EI332)))),1,2)))</f>
        <v/>
      </c>
      <c r="EK332">
        <f>IF($DM332=0,"",IF($EJ332=1,IF(ISNUMBER($EI332),$EI332,VALUE($EI332)),IF($EJ332=2,$DE332,0)))</f>
        <v/>
      </c>
      <c r="EL332">
        <f>IF($DM332=0,"",COUNTIF($EG$5:$EG$1003,"&lt;"&amp;$EG332)+SUMPRODUCT(($EG$5:$EG$1003=$EG332)*(($EJ$5:$EJ$1003&lt;$EJ332)+($EJ$5:$EJ$1003=$EJ332)*(($EK$5:$EK$1003&lt;$EK332)+($EK$5:$EK$1003=$EK332)*($DE$5:$DE$1003&lt;$DE332))))+1)</f>
        <v/>
      </c>
      <c r="EM332">
        <f>IF($DM332=0,"",$EL332+$EG332-1)</f>
        <v/>
      </c>
      <c r="EN332">
        <f>IF($DM332=0,0,IFERROR(MATCH(1,INDEX(--(TRIM(SUBSTITUTE(SUBSTITUTE(SUBSTITUTE(SUBSTITUTE(LINES_NAME&amp;""," "," "),CHAR(9)," "),CHAR(10)," "),CHAR(13)," "))=$DH332),0),0),0))</f>
        <v/>
      </c>
      <c r="EO332">
        <f>IF($EN332=0,0,IF(OR(UPPER(TRIM(INDEX(LINES_SCHEDULED,$EN332)&amp;""))="YES",UPPER(TRIM(INDEX(LINES_SCHEDULED,$EN332)&amp;""))="Y",UPPER(TRIM(INDEX(LINES_SCHEDULED,$EN332)&amp;""))="X"),1,0))</f>
        <v/>
      </c>
      <c r="EP332">
        <f>IF($DM332=0,"",IF(COUNTIFS($EG$5:$EG$1003,$EG332,$EB$5:$EB$1003,"Ready")&gt;0,"READY",IF(COUNTIFS($EG$5:$EG$1003,$EG332,$EB$5:$EB$1003,"PM")&gt;0,"PM",IF(COUNTIFS($EG$5:$EG$1003,$EG332,$EB$5:$EB$1003,"OT")&gt;0,"OT",""))))</f>
        <v/>
      </c>
      <c r="EQ332">
        <f>IF($EN332=0,"",UPPER(TRIM(INDEX(LINES_STATUS,$EN332)&amp;"")))</f>
        <v/>
      </c>
      <c r="ER332">
        <f>IF($DM332=0,"",IF(OR($EQ332="READY",$EQ332="PM",$EQ332="OT"),$EQ332,$EP332))</f>
        <v/>
      </c>
      <c r="ES332">
        <f>IF($DM332=0,"",IF(AND($DV332&lt;&gt;"",UPPER($DV332)&lt;&gt;"N"),"allergen",IF(ISNUMBER(SEARCH("oil",$DQ332)),"oil",IF(OR(EXACT($DS332,"A662"),EXACT($DS332,"A624")),"bulk",""))))</f>
        <v/>
      </c>
      <c r="ET332">
        <f>IF($DM332=0,"",IF(OR($EA332="",$EA332=0),"",$EA332/100))</f>
        <v/>
      </c>
      <c r="EU332">
        <f>IF(OR($ET332="",$DY332=""),"",INT($DY332*(1-$ET332)+0.5))</f>
        <v/>
      </c>
      <c r="EW332" t="n">
        <v>328</v>
      </c>
      <c r="EX332">
        <f>IFERROR(MATCH($EW332,$EM$5:$EM$1003,0),0)</f>
        <v/>
      </c>
      <c r="EY332">
        <f>IF($EW332&gt;$B$12,"",IF($EX332&gt;0,"row","spacer"))</f>
        <v/>
      </c>
      <c r="EZ332">
        <f>IF(AND($EY332="row",$EY331&lt;&gt;"row"),1,0)</f>
        <v/>
      </c>
      <c r="FA332">
        <f>IF(AND($EY332="row",$EY333&lt;&gt;"row"),1,0)</f>
        <v/>
      </c>
      <c r="FB332">
        <f>IF($EZ332=1,IFERROR(IF(ISNUMBER(INDEX(PASTE_ALL,INDEX($DF$5:$DF$1003,$EX332),$B$37)),INDEX(PASTE_ALL,INDEX($DF$5:$DF$1003,$EX332),$B$37),INDEX($DH$5:$DH$1003,$EX332)),INDEX($DH$5:$DH$1003,$EX332)),"")</f>
        <v/>
      </c>
      <c r="FC332">
        <f>IF($EY332="row",INDEX($ER$5:$ER$1003,$EX332),"")</f>
        <v/>
      </c>
      <c r="FD332">
        <f>IF($EY332="row",INDEX($DN$5:$DN$1003,$EX332),"")</f>
        <v/>
      </c>
      <c r="FE332">
        <f>IF($EY332="row",INDEX($DO$5:$DO$1003,$EX332),"")</f>
        <v/>
      </c>
      <c r="FF332">
        <f>IF($EY332="row",INDEX($DP$5:$DP$1003,$EX332),"")</f>
        <v/>
      </c>
      <c r="FG332">
        <f>IF($EY332="row",INDEX($DQ$5:$DQ$1003,$EX332),"")</f>
        <v/>
      </c>
      <c r="FH332">
        <f>IF($EY332="row",INDEX($DR$5:$DR$1003,$EX332),"")</f>
        <v/>
      </c>
      <c r="FI332">
        <f>IF($EY332="row",INDEX($DS$5:$DS$1003,$EX332),"")</f>
        <v/>
      </c>
      <c r="FJ332">
        <f>IF($EY332="row",INDEX($DT$5:$DT$1003,$EX332),"")</f>
        <v/>
      </c>
      <c r="FK332">
        <f>IF($EY332="row",INDEX($DU$5:$DU$1003,$EX332),"")</f>
        <v/>
      </c>
      <c r="FL332">
        <f>IF($EY332="row",INDEX($DV$5:$DV$1003,$EX332),"")</f>
        <v/>
      </c>
      <c r="FM332">
        <f>IF($EY332="row",INDEX($DW$5:$DW$1003,$EX332),"")</f>
        <v/>
      </c>
      <c r="FN332">
        <f>IF($EY332="row",INDEX($DY$5:$DY$1003,$EX332),"")</f>
        <v/>
      </c>
      <c r="FO332">
        <f>IF($EY332="row",INDEX($EA$5:$EA$1003,$EX332),"")</f>
        <v/>
      </c>
      <c r="FP332">
        <f>IF($EY332="row",INDEX($EC$5:$EC$1003,$EX332),"")</f>
        <v/>
      </c>
      <c r="FQ332">
        <f>IF($EY332="row",INDEX($ET$5:$ET$1003,$EX332),"")</f>
        <v/>
      </c>
      <c r="FR332">
        <f>IF($EY332="row",INDEX($EU$5:$EU$1003,$EX332),"")</f>
        <v/>
      </c>
      <c r="FS332">
        <f>IF(AND($EY332="row",$EY331="row"),IF(OR(INDEX($DT$5:$DT$1003,$EX331)="",INDEX($DT$5:$DT$1003,$EX332)=""),"",IF(NOT(EXACT(INDEX($DT$5:$DT$1003,$EX331),INDEX($DT$5:$DT$1003,$EX332))),"S4",IF(NOT(EXACT(INDEX($DS$5:$DS$1003,$EX331),INDEX($DS$5:$DS$1003,$EX332))),"S3",IF(NOT(EXACT(INDEX($DR$5:$DR$1003,$EX331),INDEX($DR$5:$DR$1003,$EX332))),"S1 Count Change","S1")))),"")</f>
        <v/>
      </c>
      <c r="FT332">
        <f>IF($EY332="row",INDEX($ES$5:$ES$1003,$EX332),"")</f>
        <v/>
      </c>
      <c r="FU332">
        <f>IF($EY332="row",INDEX($EO$5:$EO$1003,$EX332),0)</f>
        <v/>
      </c>
      <c r="FV332">
        <f>IF($FS332="S1 Count Change",1,0)</f>
        <v/>
      </c>
    </row>
    <row r="333">
      <c r="DA333" t="n">
        <v>329</v>
      </c>
      <c r="DB333">
        <f>IF($B$37=0,"",IFERROR(TRIM(SUBSTITUTE(SUBSTITUTE(SUBSTITUTE(SUBSTITUTE(INDEX(PASTE_ALL,329,$B$37)," "," "),CHAR(9)," "),CHAR(10)," "),CHAR(13)," ")),""))</f>
        <v/>
      </c>
      <c r="DC333">
        <f>IF(AND(329&gt;HEADER_ROW,UPPER(DB333)="LEGEND"),1,0)</f>
        <v/>
      </c>
      <c r="DE333" t="n">
        <v>329</v>
      </c>
      <c r="DF333">
        <f>HEADER_ROW+$DE333</f>
        <v/>
      </c>
      <c r="DG333">
        <f>IF(AND($DF333&lt;=1000,$DF333&lt;$B$8),1,0)</f>
        <v/>
      </c>
      <c r="DH333">
        <f>IF($DG333=1,IFERROR(INDEX($DB$5:$DB$1004,$DF333),""),"")</f>
        <v/>
      </c>
      <c r="DI333">
        <f>IF(AND($DG333=1,$DH333&lt;&gt;""),IFERROR(SUBSTITUTE(SUBSTITUTE(TRIM(SUBSTITUTE(SUBSTITUTE(SUBSTITUTE(SUBSTITUTE(IFERROR(INDEX(PASTE_ALL,$DF333,1)&amp;"","")&amp;"␟"&amp;IFERROR(INDEX(PASTE_ALL,$DF333,2)&amp;"","")&amp;"␟"&amp;IFERROR(INDEX(PASTE_ALL,$DF333,3)&amp;"","")&amp;"␟"&amp;IFERROR(INDEX(PASTE_ALL,$DF333,4)&amp;"","")&amp;"␟"&amp;IFERROR(INDEX(PASTE_ALL,$DF333,5)&amp;"","")&amp;"␟"&amp;IFERROR(INDEX(PASTE_ALL,$DF333,6)&amp;"","")&amp;"␟"&amp;IFERROR(INDEX(PASTE_ALL,$DF333,7)&amp;"","")&amp;"␟"&amp;IFERROR(INDEX(PASTE_ALL,$DF333,8)&amp;"","")&amp;"␟"&amp;IFERROR(INDEX(PASTE_ALL,$DF333,9)&amp;"","")&amp;"␟"&amp;IFERROR(INDEX(PASTE_ALL,$DF333,10)&amp;"","")&amp;"␟"&amp;IFERROR(INDEX(PASTE_ALL,$DF333,11)&amp;"","")&amp;"␟"&amp;IFERROR(INDEX(PASTE_ALL,$DF333,12)&amp;"","")&amp;"␟"&amp;IFERROR(INDEX(PASTE_ALL,$DF333,13)&amp;"","")&amp;"␟"&amp;IFERROR(INDEX(PASTE_ALL,$DF333,14)&amp;"","")&amp;"␟"&amp;IFERROR(INDEX(PASTE_ALL,$DF333,15)&amp;"","")&amp;"␟"&amp;IFERROR(INDEX(PASTE_ALL,$DF333,16)&amp;"","")&amp;"␟"&amp;IFERROR(INDEX(PASTE_ALL,$DF333,17)&amp;"","")&amp;"␟"&amp;IFERROR(INDEX(PASTE_ALL,$DF333,18)&amp;"","")&amp;"␟"&amp;IFERROR(INDEX(PASTE_ALL,$DF333,19)&amp;"","")&amp;"␟"&amp;IFERROR(INDEX(PASTE_ALL,$DF333,20)&amp;"","")&amp;"␟"&amp;IFERROR(INDEX(PASTE_ALL,$DF333,21)&amp;"","")&amp;"␟"&amp;IFERROR(INDEX(PASTE_ALL,$DF333,22)&amp;"","")&amp;"␟"&amp;IFERROR(INDEX(PASTE_ALL,$DF333,23)&amp;"","")&amp;"␟"&amp;IFERROR(INDEX(PASTE_ALL,$DF333,24)&amp;"","")&amp;"␟"&amp;IFERROR(INDEX(PASTE_ALL,$DF333,25)&amp;"","")&amp;"␟"&amp;IFERROR(INDEX(PASTE_ALL,$DF333,26)&amp;"","")&amp;"␟"&amp;IFERROR(INDEX(PASTE_ALL,$DF333,27)&amp;"","")&amp;"␟"&amp;IFERROR(INDEX(PASTE_ALL,$DF333,28)&amp;"","")&amp;"␟"&amp;IFERROR(INDEX(PASTE_ALL,$DF333,29)&amp;"","")&amp;"␟"&amp;IFERROR(INDEX(PASTE_ALL,$DF333,30)&amp;"","")&amp;"␟"&amp;IFERROR(INDEX(PASTE_ALL,$DF333,31)&amp;"","")&amp;"␟"&amp;IFERROR(INDEX(PASTE_ALL,$DF333,32)&amp;"","")&amp;"␟"&amp;IFERROR(INDEX(PASTE_ALL,$DF333,33)&amp;"","")&amp;"␟"&amp;IFERROR(INDEX(PASTE_ALL,$DF333,34)&amp;"","")&amp;"␟"&amp;IFERROR(INDEX(PASTE_ALL,$DF333,35)&amp;"","")&amp;"␟"&amp;IFERROR(INDEX(PASTE_ALL,$DF333,36)&amp;"","")&amp;"␟"&amp;IFERROR(INDEX(PASTE_ALL,$DF333,37)&amp;"","")&amp;"␟"&amp;IFERROR(INDEX(PASTE_ALL,$DF333,38)&amp;"","")&amp;"␟"&amp;IFERROR(INDEX(PASTE_ALL,$DF333,39)&amp;"","")&amp;"␟"&amp;IFERROR(INDEX(PASTE_ALL,$DF333,40)&amp;"","")&amp;"␟"&amp;IFERROR(INDEX(PASTE_ALL,$DF333,41)&amp;"","")&amp;"␟"&amp;IFERROR(INDEX(PASTE_ALL,$DF333,42)&amp;"","")&amp;"␟"&amp;IFERROR(INDEX(PASTE_ALL,$DF333,43)&amp;"","")&amp;"␟"&amp;IFERROR(INDEX(PASTE_ALL,$DF333,44)&amp;"","")&amp;"␟"&amp;IFERROR(INDEX(PASTE_ALL,$DF333,45)&amp;"","")&amp;"␟"&amp;IFERROR(INDEX(PASTE_ALL,$DF333,46)&amp;"","")&amp;"␟"&amp;IFERROR(INDEX(PASTE_ALL,$DF333,47)&amp;"","")&amp;"␟"&amp;IFERROR(INDEX(PASTE_ALL,$DF333,48)&amp;"","")&amp;"␟"&amp;IFERROR(INDEX(PASTE_ALL,$DF333,49)&amp;"","")&amp;"␟"&amp;IFERROR(INDEX(PASTE_ALL,$DF333,50)&amp;"","")&amp;"␟"&amp;IFERROR(INDEX(PASTE_ALL,$DF333,51)&amp;"","")&amp;"␟"&amp;IFERROR(INDEX(PASTE_ALL,$DF333,52)&amp;"","")&amp;"␟"&amp;IFERROR(INDEX(PASTE_ALL,$DF333,53)&amp;"","")&amp;"␟"&amp;IFERROR(INDEX(PASTE_ALL,$DF333,54)&amp;"","")&amp;"␟"&amp;IFERROR(INDEX(PASTE_ALL,$DF333,55)&amp;"","")&amp;"␟"&amp;IFERROR(INDEX(PASTE_ALL,$DF333,56)&amp;"","")&amp;"␟"&amp;IFERROR(INDEX(PASTE_ALL,$DF333,57)&amp;"","")&amp;"␟"&amp;IFERROR(INDEX(PASTE_ALL,$DF333,58)&amp;"","")&amp;"␟"&amp;IFERROR(INDEX(PASTE_ALL,$DF333,59)&amp;"","")&amp;"␟"&amp;IFERROR(INDEX(PASTE_ALL,$DF333,60)&amp;"","")," "," "),CHAR(9)," "),CHAR(10)," "),CHAR(13)," "))," ␟","␟"),"␟ ","␟"),"#"&amp;$DE333),"")</f>
        <v/>
      </c>
      <c r="DJ333">
        <f>IF($DI333="",0,IF(SUMPRODUCT(--EXACT($DI$4:DI332,$DI333))&gt;0,1,0))</f>
        <v/>
      </c>
      <c r="DK333">
        <f>IF(AND($DI333&lt;&gt;"",$DJ333=0),1,0)</f>
        <v/>
      </c>
      <c r="DL333">
        <f>DL332+$DK333</f>
        <v/>
      </c>
      <c r="DM333">
        <f>IF(AND($DK333=1,$DL333&lt;=600),1,0)</f>
        <v/>
      </c>
      <c r="DN333">
        <f>IF($DM333=0,"",IF($L$6=0,"",IFERROR(IF(ISNUMBER(INDEX(PASTE_ALL,$DF333,$L$6)),INDEX(PASTE_ALL,$DF333,$L$6),TRIM(SUBSTITUTE(SUBSTITUTE(SUBSTITUTE(SUBSTITUTE(INDEX(PASTE_ALL,$DF333,$L$6)," "," "),CHAR(9)," "),CHAR(10)," "),CHAR(13)," "))),"")))</f>
        <v/>
      </c>
      <c r="DO333">
        <f>IF($DM333=0,"",IF($L$7=0,"",IFERROR(IF(ISNUMBER(INDEX(PASTE_ALL,$DF333,$L$7)),INDEX(PASTE_ALL,$DF333,$L$7),TRIM(SUBSTITUTE(SUBSTITUTE(SUBSTITUTE(SUBSTITUTE(INDEX(PASTE_ALL,$DF333,$L$7)," "," "),CHAR(9)," "),CHAR(10)," "),CHAR(13)," "))),"")))</f>
        <v/>
      </c>
      <c r="DP333">
        <f>IF($DM333=0,"",IF($L$8=0,"",IFERROR(IF(ISNUMBER(INDEX(PASTE_ALL,$DF333,$L$8)),INDEX(PASTE_ALL,$DF333,$L$8),TRIM(SUBSTITUTE(SUBSTITUTE(SUBSTITUTE(SUBSTITUTE(INDEX(PASTE_ALL,$DF333,$L$8)," "," "),CHAR(9)," "),CHAR(10)," "),CHAR(13)," "))),"")))</f>
        <v/>
      </c>
      <c r="DQ333">
        <f>IF($DM333=0,"",IF($L$9=0,"",IFERROR(IF(ISNUMBER(INDEX(PASTE_ALL,$DF333,$L$9)),INDEX(PASTE_ALL,$DF333,$L$9),TRIM(SUBSTITUTE(SUBSTITUTE(SUBSTITUTE(SUBSTITUTE(INDEX(PASTE_ALL,$DF333,$L$9)," "," "),CHAR(9)," "),CHAR(10)," "),CHAR(13)," "))),"")))</f>
        <v/>
      </c>
      <c r="DR333">
        <f>IF($DM333=0,"",IF($L$10=0,"",IFERROR(IF(ISNUMBER(INDEX(PASTE_ALL,$DF333,$L$10)),INDEX(PASTE_ALL,$DF333,$L$10),TRIM(SUBSTITUTE(SUBSTITUTE(SUBSTITUTE(SUBSTITUTE(INDEX(PASTE_ALL,$DF333,$L$10)," "," "),CHAR(9)," "),CHAR(10)," "),CHAR(13)," "))),"")))</f>
        <v/>
      </c>
      <c r="DS333">
        <f>IF($DM333=0,"",IF($L$11=0,"",IFERROR(IF(ISNUMBER(INDEX(PASTE_ALL,$DF333,$L$11)),INDEX(PASTE_ALL,$DF333,$L$11),TRIM(SUBSTITUTE(SUBSTITUTE(SUBSTITUTE(SUBSTITUTE(INDEX(PASTE_ALL,$DF333,$L$11)," "," "),CHAR(9)," "),CHAR(10)," "),CHAR(13)," "))),"")))</f>
        <v/>
      </c>
      <c r="DT333">
        <f>IF($DM333=0,"",IF($L$12=0,"",IFERROR(IF(ISNUMBER(INDEX(PASTE_ALL,$DF333,$L$12)),INDEX(PASTE_ALL,$DF333,$L$12),TRIM(SUBSTITUTE(SUBSTITUTE(SUBSTITUTE(SUBSTITUTE(INDEX(PASTE_ALL,$DF333,$L$12)," "," "),CHAR(9)," "),CHAR(10)," "),CHAR(13)," "))),"")))</f>
        <v/>
      </c>
      <c r="DU333">
        <f>IF($DM333=0,"",IF($L$13=0,"",IFERROR(IF(ISNUMBER(INDEX(PASTE_ALL,$DF333,$L$13)),INDEX(PASTE_ALL,$DF333,$L$13),TRIM(SUBSTITUTE(SUBSTITUTE(SUBSTITUTE(SUBSTITUTE(INDEX(PASTE_ALL,$DF333,$L$13)," "," "),CHAR(9)," "),CHAR(10)," "),CHAR(13)," "))),"")))</f>
        <v/>
      </c>
      <c r="DV333">
        <f>IF($DM333=0,"",IF($L$14=0,"",IFERROR(IF(ISNUMBER(INDEX(PASTE_ALL,$DF333,$L$14)),INDEX(PASTE_ALL,$DF333,$L$14),TRIM(SUBSTITUTE(SUBSTITUTE(SUBSTITUTE(SUBSTITUTE(INDEX(PASTE_ALL,$DF333,$L$14)," "," "),CHAR(9)," "),CHAR(10)," "),CHAR(13)," "))),"")))</f>
        <v/>
      </c>
      <c r="DW333">
        <f>IF($DM333=0,"",IF($L$15=0,"",IFERROR(IF(ISNUMBER(INDEX(PASTE_ALL,$DF333,$L$15)),INDEX(PASTE_ALL,$DF333,$L$15),IF(SUMPRODUCT(--ISNUMBER(FIND({"A","B","C","D","E","F","G","H","I","J","K","L","M","N","O","P","Q","R","S","T","U","V","W","X","Y","Z","0","1","2","3","4","5","6","7","8","9"},UPPER(TRIM(SUBSTITUTE(SUBSTITUTE(SUBSTITUTE(SUBSTITUTE(INDEX(PASTE_ALL,$DF333,$L$15)," "," "),CHAR(9)," "),CHAR(10)," "),CHAR(13)," "))))))&gt;0,TRIM(SUBSTITUTE(SUBSTITUTE(SUBSTITUTE(SUBSTITUTE(INDEX(PASTE_ALL,$DF333,$L$15)," "," "),CHAR(9)," "),CHAR(10)," "),CHAR(13)," ")),"")),"")))</f>
        <v/>
      </c>
      <c r="DX333">
        <f>IF($DM333=0,"",IF($L$16=0,"",IFERROR(IF(ISNUMBER(INDEX(PASTE_ALL,$DF333,$L$16)),INDEX(PASTE_ALL,$DF333,$L$16),SUBSTITUTE(SUBSTITUTE(TRIM(SUBSTITUTE(SUBSTITUTE(SUBSTITUTE(SUBSTITUTE(INDEX(PASTE_ALL,$DF333,$L$16)," "," "),CHAR(9)," "),CHAR(10)," "),CHAR(13)," ")),",",""),"%","")),"")))</f>
        <v/>
      </c>
      <c r="DY333">
        <f>IF($DM333=0,"",IFERROR(IF(ISNUMBER($DX333),$DX333,IF($DX333="","",IF(TRIM($DX333)="",0,IF(AND(AND(SUBSTITUTE(SUBSTITUTE(SUBSTITUTE(SUBSTITUTE(SUBSTITUTE(SUBSTITUTE(SUBSTITUTE(SUBSTITUTE(SUBSTITUTE(SUBSTITUTE(SUBSTITUTE(SUBSTITUTE(SUBSTITUTE(SUBSTITUTE(UPPER(TRIM($DX333)),"0",""),"1",""),"2",""),"3",""),"4",""),"5",""),"6",""),"7",""),"8",""),"9",""),".",""),"+",""),"-",""),"E","")="",LEN(SUBSTITUTE(SUBSTITUTE(MID(UPPER(TRIM($DX333)),1+OR(LEFT(UPPER(TRIM($DX333)),1)="+",LEFT(UPPER(TRIM($DX333)),1)="-"),999),"E+","E"),"E-","E"))=LEN(SUBSTITUTE(SUBSTITUTE(SUBSTITUTE(SUBSTITUTE(MID(UPPER(TRIM($DX333)),1+OR(LEFT(UPPER(TRIM($DX333)),1)="+",LEFT(UPPER(TRIM($DX333)),1)="-"),999),"E+","E"),"E-","E"),"+",""),"-","")),LEN(UPPER(TRIM($DX333)))-LEN(SUBSTITUTE(UPPER(TRIM($DX333)),"E",""))&lt;2,LEN(UPPER(TRIM($DX333)))-LEN(SUBSTITUTE(UPPER(TRIM($DX333)),".",""))&lt;2,IFERROR(FIND(".",UPPER(TRIM($DX333))),0)&lt;IFERROR(FIND("E",UPPER(TRIM($DX333))),999)),ISNUMBER(VALUE(TRIM($DX333)))),VALUE(TRIM($DX333)),"")))),""))</f>
        <v/>
      </c>
      <c r="DZ333">
        <f>IF($DM333=0,"",IF($L$17=0,"",IFERROR(IF(ISNUMBER(INDEX(PASTE_ALL,$DF333,$L$17)),INDEX(PASTE_ALL,$DF333,$L$17),SUBSTITUTE(SUBSTITUTE(TRIM(SUBSTITUTE(SUBSTITUTE(SUBSTITUTE(SUBSTITUTE(INDEX(PASTE_ALL,$DF333,$L$17)," "," "),CHAR(9)," "),CHAR(10)," "),CHAR(13)," ")),",",""),"%","")),"")))</f>
        <v/>
      </c>
      <c r="EA333">
        <f>IF($DM333=0,"",IFERROR(IF(ISNUMBER($DZ333),$DZ333,IF($DZ333="","",IF(TRIM($DZ333)="",0,IF(AND(AND(SUBSTITUTE(SUBSTITUTE(SUBSTITUTE(SUBSTITUTE(SUBSTITUTE(SUBSTITUTE(SUBSTITUTE(SUBSTITUTE(SUBSTITUTE(SUBSTITUTE(SUBSTITUTE(SUBSTITUTE(SUBSTITUTE(SUBSTITUTE(UPPER(TRIM($DZ333)),"0",""),"1",""),"2",""),"3",""),"4",""),"5",""),"6",""),"7",""),"8",""),"9",""),".",""),"+",""),"-",""),"E","")="",LEN(SUBSTITUTE(SUBSTITUTE(MID(UPPER(TRIM($DZ333)),1+OR(LEFT(UPPER(TRIM($DZ333)),1)="+",LEFT(UPPER(TRIM($DZ333)),1)="-"),999),"E+","E"),"E-","E"))=LEN(SUBSTITUTE(SUBSTITUTE(SUBSTITUTE(SUBSTITUTE(MID(UPPER(TRIM($DZ333)),1+OR(LEFT(UPPER(TRIM($DZ333)),1)="+",LEFT(UPPER(TRIM($DZ333)),1)="-"),999),"E+","E"),"E-","E"),"+",""),"-","")),LEN(UPPER(TRIM($DZ333)))-LEN(SUBSTITUTE(UPPER(TRIM($DZ333)),"E",""))&lt;2,LEN(UPPER(TRIM($DZ333)))-LEN(SUBSTITUTE(UPPER(TRIM($DZ333)),".",""))&lt;2,IFERROR(FIND(".",UPPER(TRIM($DZ333))),0)&lt;IFERROR(FIND("E",UPPER(TRIM($DZ333))),999)),ISNUMBER(VALUE(TRIM($DZ333)))),VALUE(TRIM($DZ333)),"")))),""))</f>
        <v/>
      </c>
      <c r="EB333">
        <f>IF($DM333=0,"",IF($L$18=0,"",IFERROR(IF(UPPER(TRIM(SUBSTITUTE(SUBSTITUTE(SUBSTITUTE(SUBSTITUTE(INDEX(PASTE_ALL,$DF333,$L$18)," "," "),CHAR(9)," "),CHAR(10)," "),CHAR(13)," ")))="READY","Ready",IF(UPPER(TRIM(SUBSTITUTE(SUBSTITUTE(SUBSTITUTE(SUBSTITUTE(INDEX(PASTE_ALL,$DF333,$L$18)," "," "),CHAR(9)," "),CHAR(10)," "),CHAR(13)," ")))="PM","PM",IF(OR(UPPER(TRIM(SUBSTITUTE(SUBSTITUTE(SUBSTITUTE(SUBSTITUTE(INDEX(PASTE_ALL,$DF333,$L$18)," "," "),CHAR(9)," "),CHAR(10)," "),CHAR(13)," ")))="OT",UPPER(TRIM(SUBSTITUTE(SUBSTITUTE(SUBSTITUTE(SUBSTITUTE(INDEX(PASTE_ALL,$DF333,$L$18)," "," "),CHAR(9)," "),CHAR(10)," "),CHAR(13)," ")))="OVERTIME",UPPER(TRIM(SUBSTITUTE(SUBSTITUTE(SUBSTITUTE(SUBSTITUTE(INDEX(PASTE_ALL,$DF333,$L$18)," "," "),CHAR(9)," "),CHAR(10)," "),CHAR(13)," ")))="TRIAL"),"OT",TRIM(SUBSTITUTE(SUBSTITUTE(SUBSTITUTE(SUBSTITUTE(INDEX(PASTE_ALL,$DF333,$L$18)," "," "),CHAR(9)," "),CHAR(10)," "),CHAR(13)," "))))),"")))</f>
        <v/>
      </c>
      <c r="EC333">
        <f>IF($DM333=0,"",IF($L$19=0,"",IFERROR(IF(ISNUMBER(INDEX(PASTE_ALL,$DF333,$L$19)),INDEX(PASTE_ALL,$DF333,$L$19),TRIM(SUBSTITUTE(SUBSTITUTE(SUBSTITUTE(SUBSTITUTE(INDEX(PASTE_ALL,$DF333,$L$19)," "," "),CHAR(9)," "),CHAR(10)," "),CHAR(13)," "))),"")))</f>
        <v/>
      </c>
      <c r="ED333">
        <f>IF($DM333=0,"",MATCH(1,INDEX(EXACT($DH$5:DH333,$DH333)*$DM$5:DM333,0),0))</f>
        <v/>
      </c>
      <c r="EE333">
        <f>IF($DM333=0,0,IF($ED333=$DE333,1,0))</f>
        <v/>
      </c>
      <c r="EF333">
        <f>EF332+$EE333</f>
        <v/>
      </c>
      <c r="EG333">
        <f>IF($DM333=0,"",INDEX($EF$5:$EF$1003,$ED333))</f>
        <v/>
      </c>
      <c r="EH333">
        <f>IF($DM333=0,"",IF($DO333&lt;&gt;"","",IFERROR(LOOKUP(2,1/(($EG$4:EG332=$EG333)*($DO$4:DO332&lt;&gt;"")),$DO$4:DO332),"")))</f>
        <v/>
      </c>
      <c r="EI333">
        <f>IF($DM333=0,"",IF($DO333&lt;&gt;"",$DO333,$EH333))</f>
        <v/>
      </c>
      <c r="EJ333">
        <f>IF($DM333=0,"",IF($EI333="",0,IF(OR(ISNUMBER($EI333),AND(AND(SUBSTITUTE(SUBSTITUTE(SUBSTITUTE(SUBSTITUTE(SUBSTITUTE(SUBSTITUTE(SUBSTITUTE(SUBSTITUTE(SUBSTITUTE(SUBSTITUTE(SUBSTITUTE(SUBSTITUTE(SUBSTITUTE(SUBSTITUTE(UPPER($EI333),"0",""),"1",""),"2",""),"3",""),"4",""),"5",""),"6",""),"7",""),"8",""),"9",""),".",""),"+",""),"-",""),"E","")="",LEN(SUBSTITUTE(SUBSTITUTE(MID(UPPER($EI333),1+OR(LEFT(UPPER($EI333),1)="+",LEFT(UPPER($EI333),1)="-"),999),"E+","E"),"E-","E"))=LEN(SUBSTITUTE(SUBSTITUTE(SUBSTITUTE(SUBSTITUTE(MID(UPPER($EI333),1+OR(LEFT(UPPER($EI333),1)="+",LEFT(UPPER($EI333),1)="-"),999),"E+","E"),"E-","E"),"+",""),"-","")),LEN(UPPER($EI333))-LEN(SUBSTITUTE(UPPER($EI333),"E",""))&lt;2,LEN(UPPER($EI333))-LEN(SUBSTITUTE(UPPER($EI333),".",""))&lt;2,IFERROR(FIND(".",UPPER($EI333)),0)&lt;IFERROR(FIND("E",UPPER($EI333)),999)),ISNUMBER(VALUE($EI333)))),1,2)))</f>
        <v/>
      </c>
      <c r="EK333">
        <f>IF($DM333=0,"",IF($EJ333=1,IF(ISNUMBER($EI333),$EI333,VALUE($EI333)),IF($EJ333=2,$DE333,0)))</f>
        <v/>
      </c>
      <c r="EL333">
        <f>IF($DM333=0,"",COUNTIF($EG$5:$EG$1003,"&lt;"&amp;$EG333)+SUMPRODUCT(($EG$5:$EG$1003=$EG333)*(($EJ$5:$EJ$1003&lt;$EJ333)+($EJ$5:$EJ$1003=$EJ333)*(($EK$5:$EK$1003&lt;$EK333)+($EK$5:$EK$1003=$EK333)*($DE$5:$DE$1003&lt;$DE333))))+1)</f>
        <v/>
      </c>
      <c r="EM333">
        <f>IF($DM333=0,"",$EL333+$EG333-1)</f>
        <v/>
      </c>
      <c r="EN333">
        <f>IF($DM333=0,0,IFERROR(MATCH(1,INDEX(--(TRIM(SUBSTITUTE(SUBSTITUTE(SUBSTITUTE(SUBSTITUTE(LINES_NAME&amp;""," "," "),CHAR(9)," "),CHAR(10)," "),CHAR(13)," "))=$DH333),0),0),0))</f>
        <v/>
      </c>
      <c r="EO333">
        <f>IF($EN333=0,0,IF(OR(UPPER(TRIM(INDEX(LINES_SCHEDULED,$EN333)&amp;""))="YES",UPPER(TRIM(INDEX(LINES_SCHEDULED,$EN333)&amp;""))="Y",UPPER(TRIM(INDEX(LINES_SCHEDULED,$EN333)&amp;""))="X"),1,0))</f>
        <v/>
      </c>
      <c r="EP333">
        <f>IF($DM333=0,"",IF(COUNTIFS($EG$5:$EG$1003,$EG333,$EB$5:$EB$1003,"Ready")&gt;0,"READY",IF(COUNTIFS($EG$5:$EG$1003,$EG333,$EB$5:$EB$1003,"PM")&gt;0,"PM",IF(COUNTIFS($EG$5:$EG$1003,$EG333,$EB$5:$EB$1003,"OT")&gt;0,"OT",""))))</f>
        <v/>
      </c>
      <c r="EQ333">
        <f>IF($EN333=0,"",UPPER(TRIM(INDEX(LINES_STATUS,$EN333)&amp;"")))</f>
        <v/>
      </c>
      <c r="ER333">
        <f>IF($DM333=0,"",IF(OR($EQ333="READY",$EQ333="PM",$EQ333="OT"),$EQ333,$EP333))</f>
        <v/>
      </c>
      <c r="ES333">
        <f>IF($DM333=0,"",IF(AND($DV333&lt;&gt;"",UPPER($DV333)&lt;&gt;"N"),"allergen",IF(ISNUMBER(SEARCH("oil",$DQ333)),"oil",IF(OR(EXACT($DS333,"A662"),EXACT($DS333,"A624")),"bulk",""))))</f>
        <v/>
      </c>
      <c r="ET333">
        <f>IF($DM333=0,"",IF(OR($EA333="",$EA333=0),"",$EA333/100))</f>
        <v/>
      </c>
      <c r="EU333">
        <f>IF(OR($ET333="",$DY333=""),"",INT($DY333*(1-$ET333)+0.5))</f>
        <v/>
      </c>
      <c r="EW333" t="n">
        <v>329</v>
      </c>
      <c r="EX333">
        <f>IFERROR(MATCH($EW333,$EM$5:$EM$1003,0),0)</f>
        <v/>
      </c>
      <c r="EY333">
        <f>IF($EW333&gt;$B$12,"",IF($EX333&gt;0,"row","spacer"))</f>
        <v/>
      </c>
      <c r="EZ333">
        <f>IF(AND($EY333="row",$EY332&lt;&gt;"row"),1,0)</f>
        <v/>
      </c>
      <c r="FA333">
        <f>IF(AND($EY333="row",$EY334&lt;&gt;"row"),1,0)</f>
        <v/>
      </c>
      <c r="FB333">
        <f>IF($EZ333=1,IFERROR(IF(ISNUMBER(INDEX(PASTE_ALL,INDEX($DF$5:$DF$1003,$EX333),$B$37)),INDEX(PASTE_ALL,INDEX($DF$5:$DF$1003,$EX333),$B$37),INDEX($DH$5:$DH$1003,$EX333)),INDEX($DH$5:$DH$1003,$EX333)),"")</f>
        <v/>
      </c>
      <c r="FC333">
        <f>IF($EY333="row",INDEX($ER$5:$ER$1003,$EX333),"")</f>
        <v/>
      </c>
      <c r="FD333">
        <f>IF($EY333="row",INDEX($DN$5:$DN$1003,$EX333),"")</f>
        <v/>
      </c>
      <c r="FE333">
        <f>IF($EY333="row",INDEX($DO$5:$DO$1003,$EX333),"")</f>
        <v/>
      </c>
      <c r="FF333">
        <f>IF($EY333="row",INDEX($DP$5:$DP$1003,$EX333),"")</f>
        <v/>
      </c>
      <c r="FG333">
        <f>IF($EY333="row",INDEX($DQ$5:$DQ$1003,$EX333),"")</f>
        <v/>
      </c>
      <c r="FH333">
        <f>IF($EY333="row",INDEX($DR$5:$DR$1003,$EX333),"")</f>
        <v/>
      </c>
      <c r="FI333">
        <f>IF($EY333="row",INDEX($DS$5:$DS$1003,$EX333),"")</f>
        <v/>
      </c>
      <c r="FJ333">
        <f>IF($EY333="row",INDEX($DT$5:$DT$1003,$EX333),"")</f>
        <v/>
      </c>
      <c r="FK333">
        <f>IF($EY333="row",INDEX($DU$5:$DU$1003,$EX333),"")</f>
        <v/>
      </c>
      <c r="FL333">
        <f>IF($EY333="row",INDEX($DV$5:$DV$1003,$EX333),"")</f>
        <v/>
      </c>
      <c r="FM333">
        <f>IF($EY333="row",INDEX($DW$5:$DW$1003,$EX333),"")</f>
        <v/>
      </c>
      <c r="FN333">
        <f>IF($EY333="row",INDEX($DY$5:$DY$1003,$EX333),"")</f>
        <v/>
      </c>
      <c r="FO333">
        <f>IF($EY333="row",INDEX($EA$5:$EA$1003,$EX333),"")</f>
        <v/>
      </c>
      <c r="FP333">
        <f>IF($EY333="row",INDEX($EC$5:$EC$1003,$EX333),"")</f>
        <v/>
      </c>
      <c r="FQ333">
        <f>IF($EY333="row",INDEX($ET$5:$ET$1003,$EX333),"")</f>
        <v/>
      </c>
      <c r="FR333">
        <f>IF($EY333="row",INDEX($EU$5:$EU$1003,$EX333),"")</f>
        <v/>
      </c>
      <c r="FS333">
        <f>IF(AND($EY333="row",$EY332="row"),IF(OR(INDEX($DT$5:$DT$1003,$EX332)="",INDEX($DT$5:$DT$1003,$EX333)=""),"",IF(NOT(EXACT(INDEX($DT$5:$DT$1003,$EX332),INDEX($DT$5:$DT$1003,$EX333))),"S4",IF(NOT(EXACT(INDEX($DS$5:$DS$1003,$EX332),INDEX($DS$5:$DS$1003,$EX333))),"S3",IF(NOT(EXACT(INDEX($DR$5:$DR$1003,$EX332),INDEX($DR$5:$DR$1003,$EX333))),"S1 Count Change","S1")))),"")</f>
        <v/>
      </c>
      <c r="FT333">
        <f>IF($EY333="row",INDEX($ES$5:$ES$1003,$EX333),"")</f>
        <v/>
      </c>
      <c r="FU333">
        <f>IF($EY333="row",INDEX($EO$5:$EO$1003,$EX333),0)</f>
        <v/>
      </c>
      <c r="FV333">
        <f>IF($FS333="S1 Count Change",1,0)</f>
        <v/>
      </c>
    </row>
    <row r="334">
      <c r="DA334" t="n">
        <v>330</v>
      </c>
      <c r="DB334">
        <f>IF($B$37=0,"",IFERROR(TRIM(SUBSTITUTE(SUBSTITUTE(SUBSTITUTE(SUBSTITUTE(INDEX(PASTE_ALL,330,$B$37)," "," "),CHAR(9)," "),CHAR(10)," "),CHAR(13)," ")),""))</f>
        <v/>
      </c>
      <c r="DC334">
        <f>IF(AND(330&gt;HEADER_ROW,UPPER(DB334)="LEGEND"),1,0)</f>
        <v/>
      </c>
      <c r="DE334" t="n">
        <v>330</v>
      </c>
      <c r="DF334">
        <f>HEADER_ROW+$DE334</f>
        <v/>
      </c>
      <c r="DG334">
        <f>IF(AND($DF334&lt;=1000,$DF334&lt;$B$8),1,0)</f>
        <v/>
      </c>
      <c r="DH334">
        <f>IF($DG334=1,IFERROR(INDEX($DB$5:$DB$1004,$DF334),""),"")</f>
        <v/>
      </c>
      <c r="DI334">
        <f>IF(AND($DG334=1,$DH334&lt;&gt;""),IFERROR(SUBSTITUTE(SUBSTITUTE(TRIM(SUBSTITUTE(SUBSTITUTE(SUBSTITUTE(SUBSTITUTE(IFERROR(INDEX(PASTE_ALL,$DF334,1)&amp;"","")&amp;"␟"&amp;IFERROR(INDEX(PASTE_ALL,$DF334,2)&amp;"","")&amp;"␟"&amp;IFERROR(INDEX(PASTE_ALL,$DF334,3)&amp;"","")&amp;"␟"&amp;IFERROR(INDEX(PASTE_ALL,$DF334,4)&amp;"","")&amp;"␟"&amp;IFERROR(INDEX(PASTE_ALL,$DF334,5)&amp;"","")&amp;"␟"&amp;IFERROR(INDEX(PASTE_ALL,$DF334,6)&amp;"","")&amp;"␟"&amp;IFERROR(INDEX(PASTE_ALL,$DF334,7)&amp;"","")&amp;"␟"&amp;IFERROR(INDEX(PASTE_ALL,$DF334,8)&amp;"","")&amp;"␟"&amp;IFERROR(INDEX(PASTE_ALL,$DF334,9)&amp;"","")&amp;"␟"&amp;IFERROR(INDEX(PASTE_ALL,$DF334,10)&amp;"","")&amp;"␟"&amp;IFERROR(INDEX(PASTE_ALL,$DF334,11)&amp;"","")&amp;"␟"&amp;IFERROR(INDEX(PASTE_ALL,$DF334,12)&amp;"","")&amp;"␟"&amp;IFERROR(INDEX(PASTE_ALL,$DF334,13)&amp;"","")&amp;"␟"&amp;IFERROR(INDEX(PASTE_ALL,$DF334,14)&amp;"","")&amp;"␟"&amp;IFERROR(INDEX(PASTE_ALL,$DF334,15)&amp;"","")&amp;"␟"&amp;IFERROR(INDEX(PASTE_ALL,$DF334,16)&amp;"","")&amp;"␟"&amp;IFERROR(INDEX(PASTE_ALL,$DF334,17)&amp;"","")&amp;"␟"&amp;IFERROR(INDEX(PASTE_ALL,$DF334,18)&amp;"","")&amp;"␟"&amp;IFERROR(INDEX(PASTE_ALL,$DF334,19)&amp;"","")&amp;"␟"&amp;IFERROR(INDEX(PASTE_ALL,$DF334,20)&amp;"","")&amp;"␟"&amp;IFERROR(INDEX(PASTE_ALL,$DF334,21)&amp;"","")&amp;"␟"&amp;IFERROR(INDEX(PASTE_ALL,$DF334,22)&amp;"","")&amp;"␟"&amp;IFERROR(INDEX(PASTE_ALL,$DF334,23)&amp;"","")&amp;"␟"&amp;IFERROR(INDEX(PASTE_ALL,$DF334,24)&amp;"","")&amp;"␟"&amp;IFERROR(INDEX(PASTE_ALL,$DF334,25)&amp;"","")&amp;"␟"&amp;IFERROR(INDEX(PASTE_ALL,$DF334,26)&amp;"","")&amp;"␟"&amp;IFERROR(INDEX(PASTE_ALL,$DF334,27)&amp;"","")&amp;"␟"&amp;IFERROR(INDEX(PASTE_ALL,$DF334,28)&amp;"","")&amp;"␟"&amp;IFERROR(INDEX(PASTE_ALL,$DF334,29)&amp;"","")&amp;"␟"&amp;IFERROR(INDEX(PASTE_ALL,$DF334,30)&amp;"","")&amp;"␟"&amp;IFERROR(INDEX(PASTE_ALL,$DF334,31)&amp;"","")&amp;"␟"&amp;IFERROR(INDEX(PASTE_ALL,$DF334,32)&amp;"","")&amp;"␟"&amp;IFERROR(INDEX(PASTE_ALL,$DF334,33)&amp;"","")&amp;"␟"&amp;IFERROR(INDEX(PASTE_ALL,$DF334,34)&amp;"","")&amp;"␟"&amp;IFERROR(INDEX(PASTE_ALL,$DF334,35)&amp;"","")&amp;"␟"&amp;IFERROR(INDEX(PASTE_ALL,$DF334,36)&amp;"","")&amp;"␟"&amp;IFERROR(INDEX(PASTE_ALL,$DF334,37)&amp;"","")&amp;"␟"&amp;IFERROR(INDEX(PASTE_ALL,$DF334,38)&amp;"","")&amp;"␟"&amp;IFERROR(INDEX(PASTE_ALL,$DF334,39)&amp;"","")&amp;"␟"&amp;IFERROR(INDEX(PASTE_ALL,$DF334,40)&amp;"","")&amp;"␟"&amp;IFERROR(INDEX(PASTE_ALL,$DF334,41)&amp;"","")&amp;"␟"&amp;IFERROR(INDEX(PASTE_ALL,$DF334,42)&amp;"","")&amp;"␟"&amp;IFERROR(INDEX(PASTE_ALL,$DF334,43)&amp;"","")&amp;"␟"&amp;IFERROR(INDEX(PASTE_ALL,$DF334,44)&amp;"","")&amp;"␟"&amp;IFERROR(INDEX(PASTE_ALL,$DF334,45)&amp;"","")&amp;"␟"&amp;IFERROR(INDEX(PASTE_ALL,$DF334,46)&amp;"","")&amp;"␟"&amp;IFERROR(INDEX(PASTE_ALL,$DF334,47)&amp;"","")&amp;"␟"&amp;IFERROR(INDEX(PASTE_ALL,$DF334,48)&amp;"","")&amp;"␟"&amp;IFERROR(INDEX(PASTE_ALL,$DF334,49)&amp;"","")&amp;"␟"&amp;IFERROR(INDEX(PASTE_ALL,$DF334,50)&amp;"","")&amp;"␟"&amp;IFERROR(INDEX(PASTE_ALL,$DF334,51)&amp;"","")&amp;"␟"&amp;IFERROR(INDEX(PASTE_ALL,$DF334,52)&amp;"","")&amp;"␟"&amp;IFERROR(INDEX(PASTE_ALL,$DF334,53)&amp;"","")&amp;"␟"&amp;IFERROR(INDEX(PASTE_ALL,$DF334,54)&amp;"","")&amp;"␟"&amp;IFERROR(INDEX(PASTE_ALL,$DF334,55)&amp;"","")&amp;"␟"&amp;IFERROR(INDEX(PASTE_ALL,$DF334,56)&amp;"","")&amp;"␟"&amp;IFERROR(INDEX(PASTE_ALL,$DF334,57)&amp;"","")&amp;"␟"&amp;IFERROR(INDEX(PASTE_ALL,$DF334,58)&amp;"","")&amp;"␟"&amp;IFERROR(INDEX(PASTE_ALL,$DF334,59)&amp;"","")&amp;"␟"&amp;IFERROR(INDEX(PASTE_ALL,$DF334,60)&amp;"","")," "," "),CHAR(9)," "),CHAR(10)," "),CHAR(13)," "))," ␟","␟"),"␟ ","␟"),"#"&amp;$DE334),"")</f>
        <v/>
      </c>
      <c r="DJ334">
        <f>IF($DI334="",0,IF(SUMPRODUCT(--EXACT($DI$4:DI333,$DI334))&gt;0,1,0))</f>
        <v/>
      </c>
      <c r="DK334">
        <f>IF(AND($DI334&lt;&gt;"",$DJ334=0),1,0)</f>
        <v/>
      </c>
      <c r="DL334">
        <f>DL333+$DK334</f>
        <v/>
      </c>
      <c r="DM334">
        <f>IF(AND($DK334=1,$DL334&lt;=600),1,0)</f>
        <v/>
      </c>
      <c r="DN334">
        <f>IF($DM334=0,"",IF($L$6=0,"",IFERROR(IF(ISNUMBER(INDEX(PASTE_ALL,$DF334,$L$6)),INDEX(PASTE_ALL,$DF334,$L$6),TRIM(SUBSTITUTE(SUBSTITUTE(SUBSTITUTE(SUBSTITUTE(INDEX(PASTE_ALL,$DF334,$L$6)," "," "),CHAR(9)," "),CHAR(10)," "),CHAR(13)," "))),"")))</f>
        <v/>
      </c>
      <c r="DO334">
        <f>IF($DM334=0,"",IF($L$7=0,"",IFERROR(IF(ISNUMBER(INDEX(PASTE_ALL,$DF334,$L$7)),INDEX(PASTE_ALL,$DF334,$L$7),TRIM(SUBSTITUTE(SUBSTITUTE(SUBSTITUTE(SUBSTITUTE(INDEX(PASTE_ALL,$DF334,$L$7)," "," "),CHAR(9)," "),CHAR(10)," "),CHAR(13)," "))),"")))</f>
        <v/>
      </c>
      <c r="DP334">
        <f>IF($DM334=0,"",IF($L$8=0,"",IFERROR(IF(ISNUMBER(INDEX(PASTE_ALL,$DF334,$L$8)),INDEX(PASTE_ALL,$DF334,$L$8),TRIM(SUBSTITUTE(SUBSTITUTE(SUBSTITUTE(SUBSTITUTE(INDEX(PASTE_ALL,$DF334,$L$8)," "," "),CHAR(9)," "),CHAR(10)," "),CHAR(13)," "))),"")))</f>
        <v/>
      </c>
      <c r="DQ334">
        <f>IF($DM334=0,"",IF($L$9=0,"",IFERROR(IF(ISNUMBER(INDEX(PASTE_ALL,$DF334,$L$9)),INDEX(PASTE_ALL,$DF334,$L$9),TRIM(SUBSTITUTE(SUBSTITUTE(SUBSTITUTE(SUBSTITUTE(INDEX(PASTE_ALL,$DF334,$L$9)," "," "),CHAR(9)," "),CHAR(10)," "),CHAR(13)," "))),"")))</f>
        <v/>
      </c>
      <c r="DR334">
        <f>IF($DM334=0,"",IF($L$10=0,"",IFERROR(IF(ISNUMBER(INDEX(PASTE_ALL,$DF334,$L$10)),INDEX(PASTE_ALL,$DF334,$L$10),TRIM(SUBSTITUTE(SUBSTITUTE(SUBSTITUTE(SUBSTITUTE(INDEX(PASTE_ALL,$DF334,$L$10)," "," "),CHAR(9)," "),CHAR(10)," "),CHAR(13)," "))),"")))</f>
        <v/>
      </c>
      <c r="DS334">
        <f>IF($DM334=0,"",IF($L$11=0,"",IFERROR(IF(ISNUMBER(INDEX(PASTE_ALL,$DF334,$L$11)),INDEX(PASTE_ALL,$DF334,$L$11),TRIM(SUBSTITUTE(SUBSTITUTE(SUBSTITUTE(SUBSTITUTE(INDEX(PASTE_ALL,$DF334,$L$11)," "," "),CHAR(9)," "),CHAR(10)," "),CHAR(13)," "))),"")))</f>
        <v/>
      </c>
      <c r="DT334">
        <f>IF($DM334=0,"",IF($L$12=0,"",IFERROR(IF(ISNUMBER(INDEX(PASTE_ALL,$DF334,$L$12)),INDEX(PASTE_ALL,$DF334,$L$12),TRIM(SUBSTITUTE(SUBSTITUTE(SUBSTITUTE(SUBSTITUTE(INDEX(PASTE_ALL,$DF334,$L$12)," "," "),CHAR(9)," "),CHAR(10)," "),CHAR(13)," "))),"")))</f>
        <v/>
      </c>
      <c r="DU334">
        <f>IF($DM334=0,"",IF($L$13=0,"",IFERROR(IF(ISNUMBER(INDEX(PASTE_ALL,$DF334,$L$13)),INDEX(PASTE_ALL,$DF334,$L$13),TRIM(SUBSTITUTE(SUBSTITUTE(SUBSTITUTE(SUBSTITUTE(INDEX(PASTE_ALL,$DF334,$L$13)," "," "),CHAR(9)," "),CHAR(10)," "),CHAR(13)," "))),"")))</f>
        <v/>
      </c>
      <c r="DV334">
        <f>IF($DM334=0,"",IF($L$14=0,"",IFERROR(IF(ISNUMBER(INDEX(PASTE_ALL,$DF334,$L$14)),INDEX(PASTE_ALL,$DF334,$L$14),TRIM(SUBSTITUTE(SUBSTITUTE(SUBSTITUTE(SUBSTITUTE(INDEX(PASTE_ALL,$DF334,$L$14)," "," "),CHAR(9)," "),CHAR(10)," "),CHAR(13)," "))),"")))</f>
        <v/>
      </c>
      <c r="DW334">
        <f>IF($DM334=0,"",IF($L$15=0,"",IFERROR(IF(ISNUMBER(INDEX(PASTE_ALL,$DF334,$L$15)),INDEX(PASTE_ALL,$DF334,$L$15),IF(SUMPRODUCT(--ISNUMBER(FIND({"A","B","C","D","E","F","G","H","I","J","K","L","M","N","O","P","Q","R","S","T","U","V","W","X","Y","Z","0","1","2","3","4","5","6","7","8","9"},UPPER(TRIM(SUBSTITUTE(SUBSTITUTE(SUBSTITUTE(SUBSTITUTE(INDEX(PASTE_ALL,$DF334,$L$15)," "," "),CHAR(9)," "),CHAR(10)," "),CHAR(13)," "))))))&gt;0,TRIM(SUBSTITUTE(SUBSTITUTE(SUBSTITUTE(SUBSTITUTE(INDEX(PASTE_ALL,$DF334,$L$15)," "," "),CHAR(9)," "),CHAR(10)," "),CHAR(13)," ")),"")),"")))</f>
        <v/>
      </c>
      <c r="DX334">
        <f>IF($DM334=0,"",IF($L$16=0,"",IFERROR(IF(ISNUMBER(INDEX(PASTE_ALL,$DF334,$L$16)),INDEX(PASTE_ALL,$DF334,$L$16),SUBSTITUTE(SUBSTITUTE(TRIM(SUBSTITUTE(SUBSTITUTE(SUBSTITUTE(SUBSTITUTE(INDEX(PASTE_ALL,$DF334,$L$16)," "," "),CHAR(9)," "),CHAR(10)," "),CHAR(13)," ")),",",""),"%","")),"")))</f>
        <v/>
      </c>
      <c r="DY334">
        <f>IF($DM334=0,"",IFERROR(IF(ISNUMBER($DX334),$DX334,IF($DX334="","",IF(TRIM($DX334)="",0,IF(AND(AND(SUBSTITUTE(SUBSTITUTE(SUBSTITUTE(SUBSTITUTE(SUBSTITUTE(SUBSTITUTE(SUBSTITUTE(SUBSTITUTE(SUBSTITUTE(SUBSTITUTE(SUBSTITUTE(SUBSTITUTE(SUBSTITUTE(SUBSTITUTE(UPPER(TRIM($DX334)),"0",""),"1",""),"2",""),"3",""),"4",""),"5",""),"6",""),"7",""),"8",""),"9",""),".",""),"+",""),"-",""),"E","")="",LEN(SUBSTITUTE(SUBSTITUTE(MID(UPPER(TRIM($DX334)),1+OR(LEFT(UPPER(TRIM($DX334)),1)="+",LEFT(UPPER(TRIM($DX334)),1)="-"),999),"E+","E"),"E-","E"))=LEN(SUBSTITUTE(SUBSTITUTE(SUBSTITUTE(SUBSTITUTE(MID(UPPER(TRIM($DX334)),1+OR(LEFT(UPPER(TRIM($DX334)),1)="+",LEFT(UPPER(TRIM($DX334)),1)="-"),999),"E+","E"),"E-","E"),"+",""),"-","")),LEN(UPPER(TRIM($DX334)))-LEN(SUBSTITUTE(UPPER(TRIM($DX334)),"E",""))&lt;2,LEN(UPPER(TRIM($DX334)))-LEN(SUBSTITUTE(UPPER(TRIM($DX334)),".",""))&lt;2,IFERROR(FIND(".",UPPER(TRIM($DX334))),0)&lt;IFERROR(FIND("E",UPPER(TRIM($DX334))),999)),ISNUMBER(VALUE(TRIM($DX334)))),VALUE(TRIM($DX334)),"")))),""))</f>
        <v/>
      </c>
      <c r="DZ334">
        <f>IF($DM334=0,"",IF($L$17=0,"",IFERROR(IF(ISNUMBER(INDEX(PASTE_ALL,$DF334,$L$17)),INDEX(PASTE_ALL,$DF334,$L$17),SUBSTITUTE(SUBSTITUTE(TRIM(SUBSTITUTE(SUBSTITUTE(SUBSTITUTE(SUBSTITUTE(INDEX(PASTE_ALL,$DF334,$L$17)," "," "),CHAR(9)," "),CHAR(10)," "),CHAR(13)," ")),",",""),"%","")),"")))</f>
        <v/>
      </c>
      <c r="EA334">
        <f>IF($DM334=0,"",IFERROR(IF(ISNUMBER($DZ334),$DZ334,IF($DZ334="","",IF(TRIM($DZ334)="",0,IF(AND(AND(SUBSTITUTE(SUBSTITUTE(SUBSTITUTE(SUBSTITUTE(SUBSTITUTE(SUBSTITUTE(SUBSTITUTE(SUBSTITUTE(SUBSTITUTE(SUBSTITUTE(SUBSTITUTE(SUBSTITUTE(SUBSTITUTE(SUBSTITUTE(UPPER(TRIM($DZ334)),"0",""),"1",""),"2",""),"3",""),"4",""),"5",""),"6",""),"7",""),"8",""),"9",""),".",""),"+",""),"-",""),"E","")="",LEN(SUBSTITUTE(SUBSTITUTE(MID(UPPER(TRIM($DZ334)),1+OR(LEFT(UPPER(TRIM($DZ334)),1)="+",LEFT(UPPER(TRIM($DZ334)),1)="-"),999),"E+","E"),"E-","E"))=LEN(SUBSTITUTE(SUBSTITUTE(SUBSTITUTE(SUBSTITUTE(MID(UPPER(TRIM($DZ334)),1+OR(LEFT(UPPER(TRIM($DZ334)),1)="+",LEFT(UPPER(TRIM($DZ334)),1)="-"),999),"E+","E"),"E-","E"),"+",""),"-","")),LEN(UPPER(TRIM($DZ334)))-LEN(SUBSTITUTE(UPPER(TRIM($DZ334)),"E",""))&lt;2,LEN(UPPER(TRIM($DZ334)))-LEN(SUBSTITUTE(UPPER(TRIM($DZ334)),".",""))&lt;2,IFERROR(FIND(".",UPPER(TRIM($DZ334))),0)&lt;IFERROR(FIND("E",UPPER(TRIM($DZ334))),999)),ISNUMBER(VALUE(TRIM($DZ334)))),VALUE(TRIM($DZ334)),"")))),""))</f>
        <v/>
      </c>
      <c r="EB334">
        <f>IF($DM334=0,"",IF($L$18=0,"",IFERROR(IF(UPPER(TRIM(SUBSTITUTE(SUBSTITUTE(SUBSTITUTE(SUBSTITUTE(INDEX(PASTE_ALL,$DF334,$L$18)," "," "),CHAR(9)," "),CHAR(10)," "),CHAR(13)," ")))="READY","Ready",IF(UPPER(TRIM(SUBSTITUTE(SUBSTITUTE(SUBSTITUTE(SUBSTITUTE(INDEX(PASTE_ALL,$DF334,$L$18)," "," "),CHAR(9)," "),CHAR(10)," "),CHAR(13)," ")))="PM","PM",IF(OR(UPPER(TRIM(SUBSTITUTE(SUBSTITUTE(SUBSTITUTE(SUBSTITUTE(INDEX(PASTE_ALL,$DF334,$L$18)," "," "),CHAR(9)," "),CHAR(10)," "),CHAR(13)," ")))="OT",UPPER(TRIM(SUBSTITUTE(SUBSTITUTE(SUBSTITUTE(SUBSTITUTE(INDEX(PASTE_ALL,$DF334,$L$18)," "," "),CHAR(9)," "),CHAR(10)," "),CHAR(13)," ")))="OVERTIME",UPPER(TRIM(SUBSTITUTE(SUBSTITUTE(SUBSTITUTE(SUBSTITUTE(INDEX(PASTE_ALL,$DF334,$L$18)," "," "),CHAR(9)," "),CHAR(10)," "),CHAR(13)," ")))="TRIAL"),"OT",TRIM(SUBSTITUTE(SUBSTITUTE(SUBSTITUTE(SUBSTITUTE(INDEX(PASTE_ALL,$DF334,$L$18)," "," "),CHAR(9)," "),CHAR(10)," "),CHAR(13)," "))))),"")))</f>
        <v/>
      </c>
      <c r="EC334">
        <f>IF($DM334=0,"",IF($L$19=0,"",IFERROR(IF(ISNUMBER(INDEX(PASTE_ALL,$DF334,$L$19)),INDEX(PASTE_ALL,$DF334,$L$19),TRIM(SUBSTITUTE(SUBSTITUTE(SUBSTITUTE(SUBSTITUTE(INDEX(PASTE_ALL,$DF334,$L$19)," "," "),CHAR(9)," "),CHAR(10)," "),CHAR(13)," "))),"")))</f>
        <v/>
      </c>
      <c r="ED334">
        <f>IF($DM334=0,"",MATCH(1,INDEX(EXACT($DH$5:DH334,$DH334)*$DM$5:DM334,0),0))</f>
        <v/>
      </c>
      <c r="EE334">
        <f>IF($DM334=0,0,IF($ED334=$DE334,1,0))</f>
        <v/>
      </c>
      <c r="EF334">
        <f>EF333+$EE334</f>
        <v/>
      </c>
      <c r="EG334">
        <f>IF($DM334=0,"",INDEX($EF$5:$EF$1003,$ED334))</f>
        <v/>
      </c>
      <c r="EH334">
        <f>IF($DM334=0,"",IF($DO334&lt;&gt;"","",IFERROR(LOOKUP(2,1/(($EG$4:EG333=$EG334)*($DO$4:DO333&lt;&gt;"")),$DO$4:DO333),"")))</f>
        <v/>
      </c>
      <c r="EI334">
        <f>IF($DM334=0,"",IF($DO334&lt;&gt;"",$DO334,$EH334))</f>
        <v/>
      </c>
      <c r="EJ334">
        <f>IF($DM334=0,"",IF($EI334="",0,IF(OR(ISNUMBER($EI334),AND(AND(SUBSTITUTE(SUBSTITUTE(SUBSTITUTE(SUBSTITUTE(SUBSTITUTE(SUBSTITUTE(SUBSTITUTE(SUBSTITUTE(SUBSTITUTE(SUBSTITUTE(SUBSTITUTE(SUBSTITUTE(SUBSTITUTE(SUBSTITUTE(UPPER($EI334),"0",""),"1",""),"2",""),"3",""),"4",""),"5",""),"6",""),"7",""),"8",""),"9",""),".",""),"+",""),"-",""),"E","")="",LEN(SUBSTITUTE(SUBSTITUTE(MID(UPPER($EI334),1+OR(LEFT(UPPER($EI334),1)="+",LEFT(UPPER($EI334),1)="-"),999),"E+","E"),"E-","E"))=LEN(SUBSTITUTE(SUBSTITUTE(SUBSTITUTE(SUBSTITUTE(MID(UPPER($EI334),1+OR(LEFT(UPPER($EI334),1)="+",LEFT(UPPER($EI334),1)="-"),999),"E+","E"),"E-","E"),"+",""),"-","")),LEN(UPPER($EI334))-LEN(SUBSTITUTE(UPPER($EI334),"E",""))&lt;2,LEN(UPPER($EI334))-LEN(SUBSTITUTE(UPPER($EI334),".",""))&lt;2,IFERROR(FIND(".",UPPER($EI334)),0)&lt;IFERROR(FIND("E",UPPER($EI334)),999)),ISNUMBER(VALUE($EI334)))),1,2)))</f>
        <v/>
      </c>
      <c r="EK334">
        <f>IF($DM334=0,"",IF($EJ334=1,IF(ISNUMBER($EI334),$EI334,VALUE($EI334)),IF($EJ334=2,$DE334,0)))</f>
        <v/>
      </c>
      <c r="EL334">
        <f>IF($DM334=0,"",COUNTIF($EG$5:$EG$1003,"&lt;"&amp;$EG334)+SUMPRODUCT(($EG$5:$EG$1003=$EG334)*(($EJ$5:$EJ$1003&lt;$EJ334)+($EJ$5:$EJ$1003=$EJ334)*(($EK$5:$EK$1003&lt;$EK334)+($EK$5:$EK$1003=$EK334)*($DE$5:$DE$1003&lt;$DE334))))+1)</f>
        <v/>
      </c>
      <c r="EM334">
        <f>IF($DM334=0,"",$EL334+$EG334-1)</f>
        <v/>
      </c>
      <c r="EN334">
        <f>IF($DM334=0,0,IFERROR(MATCH(1,INDEX(--(TRIM(SUBSTITUTE(SUBSTITUTE(SUBSTITUTE(SUBSTITUTE(LINES_NAME&amp;""," "," "),CHAR(9)," "),CHAR(10)," "),CHAR(13)," "))=$DH334),0),0),0))</f>
        <v/>
      </c>
      <c r="EO334">
        <f>IF($EN334=0,0,IF(OR(UPPER(TRIM(INDEX(LINES_SCHEDULED,$EN334)&amp;""))="YES",UPPER(TRIM(INDEX(LINES_SCHEDULED,$EN334)&amp;""))="Y",UPPER(TRIM(INDEX(LINES_SCHEDULED,$EN334)&amp;""))="X"),1,0))</f>
        <v/>
      </c>
      <c r="EP334">
        <f>IF($DM334=0,"",IF(COUNTIFS($EG$5:$EG$1003,$EG334,$EB$5:$EB$1003,"Ready")&gt;0,"READY",IF(COUNTIFS($EG$5:$EG$1003,$EG334,$EB$5:$EB$1003,"PM")&gt;0,"PM",IF(COUNTIFS($EG$5:$EG$1003,$EG334,$EB$5:$EB$1003,"OT")&gt;0,"OT",""))))</f>
        <v/>
      </c>
      <c r="EQ334">
        <f>IF($EN334=0,"",UPPER(TRIM(INDEX(LINES_STATUS,$EN334)&amp;"")))</f>
        <v/>
      </c>
      <c r="ER334">
        <f>IF($DM334=0,"",IF(OR($EQ334="READY",$EQ334="PM",$EQ334="OT"),$EQ334,$EP334))</f>
        <v/>
      </c>
      <c r="ES334">
        <f>IF($DM334=0,"",IF(AND($DV334&lt;&gt;"",UPPER($DV334)&lt;&gt;"N"),"allergen",IF(ISNUMBER(SEARCH("oil",$DQ334)),"oil",IF(OR(EXACT($DS334,"A662"),EXACT($DS334,"A624")),"bulk",""))))</f>
        <v/>
      </c>
      <c r="ET334">
        <f>IF($DM334=0,"",IF(OR($EA334="",$EA334=0),"",$EA334/100))</f>
        <v/>
      </c>
      <c r="EU334">
        <f>IF(OR($ET334="",$DY334=""),"",INT($DY334*(1-$ET334)+0.5))</f>
        <v/>
      </c>
      <c r="EW334" t="n">
        <v>330</v>
      </c>
      <c r="EX334">
        <f>IFERROR(MATCH($EW334,$EM$5:$EM$1003,0),0)</f>
        <v/>
      </c>
      <c r="EY334">
        <f>IF($EW334&gt;$B$12,"",IF($EX334&gt;0,"row","spacer"))</f>
        <v/>
      </c>
      <c r="EZ334">
        <f>IF(AND($EY334="row",$EY333&lt;&gt;"row"),1,0)</f>
        <v/>
      </c>
      <c r="FA334">
        <f>IF(AND($EY334="row",$EY335&lt;&gt;"row"),1,0)</f>
        <v/>
      </c>
      <c r="FB334">
        <f>IF($EZ334=1,IFERROR(IF(ISNUMBER(INDEX(PASTE_ALL,INDEX($DF$5:$DF$1003,$EX334),$B$37)),INDEX(PASTE_ALL,INDEX($DF$5:$DF$1003,$EX334),$B$37),INDEX($DH$5:$DH$1003,$EX334)),INDEX($DH$5:$DH$1003,$EX334)),"")</f>
        <v/>
      </c>
      <c r="FC334">
        <f>IF($EY334="row",INDEX($ER$5:$ER$1003,$EX334),"")</f>
        <v/>
      </c>
      <c r="FD334">
        <f>IF($EY334="row",INDEX($DN$5:$DN$1003,$EX334),"")</f>
        <v/>
      </c>
      <c r="FE334">
        <f>IF($EY334="row",INDEX($DO$5:$DO$1003,$EX334),"")</f>
        <v/>
      </c>
      <c r="FF334">
        <f>IF($EY334="row",INDEX($DP$5:$DP$1003,$EX334),"")</f>
        <v/>
      </c>
      <c r="FG334">
        <f>IF($EY334="row",INDEX($DQ$5:$DQ$1003,$EX334),"")</f>
        <v/>
      </c>
      <c r="FH334">
        <f>IF($EY334="row",INDEX($DR$5:$DR$1003,$EX334),"")</f>
        <v/>
      </c>
      <c r="FI334">
        <f>IF($EY334="row",INDEX($DS$5:$DS$1003,$EX334),"")</f>
        <v/>
      </c>
      <c r="FJ334">
        <f>IF($EY334="row",INDEX($DT$5:$DT$1003,$EX334),"")</f>
        <v/>
      </c>
      <c r="FK334">
        <f>IF($EY334="row",INDEX($DU$5:$DU$1003,$EX334),"")</f>
        <v/>
      </c>
      <c r="FL334">
        <f>IF($EY334="row",INDEX($DV$5:$DV$1003,$EX334),"")</f>
        <v/>
      </c>
      <c r="FM334">
        <f>IF($EY334="row",INDEX($DW$5:$DW$1003,$EX334),"")</f>
        <v/>
      </c>
      <c r="FN334">
        <f>IF($EY334="row",INDEX($DY$5:$DY$1003,$EX334),"")</f>
        <v/>
      </c>
      <c r="FO334">
        <f>IF($EY334="row",INDEX($EA$5:$EA$1003,$EX334),"")</f>
        <v/>
      </c>
      <c r="FP334">
        <f>IF($EY334="row",INDEX($EC$5:$EC$1003,$EX334),"")</f>
        <v/>
      </c>
      <c r="FQ334">
        <f>IF($EY334="row",INDEX($ET$5:$ET$1003,$EX334),"")</f>
        <v/>
      </c>
      <c r="FR334">
        <f>IF($EY334="row",INDEX($EU$5:$EU$1003,$EX334),"")</f>
        <v/>
      </c>
      <c r="FS334">
        <f>IF(AND($EY334="row",$EY333="row"),IF(OR(INDEX($DT$5:$DT$1003,$EX333)="",INDEX($DT$5:$DT$1003,$EX334)=""),"",IF(NOT(EXACT(INDEX($DT$5:$DT$1003,$EX333),INDEX($DT$5:$DT$1003,$EX334))),"S4",IF(NOT(EXACT(INDEX($DS$5:$DS$1003,$EX333),INDEX($DS$5:$DS$1003,$EX334))),"S3",IF(NOT(EXACT(INDEX($DR$5:$DR$1003,$EX333),INDEX($DR$5:$DR$1003,$EX334))),"S1 Count Change","S1")))),"")</f>
        <v/>
      </c>
      <c r="FT334">
        <f>IF($EY334="row",INDEX($ES$5:$ES$1003,$EX334),"")</f>
        <v/>
      </c>
      <c r="FU334">
        <f>IF($EY334="row",INDEX($EO$5:$EO$1003,$EX334),0)</f>
        <v/>
      </c>
      <c r="FV334">
        <f>IF($FS334="S1 Count Change",1,0)</f>
        <v/>
      </c>
    </row>
    <row r="335">
      <c r="DA335" t="n">
        <v>331</v>
      </c>
      <c r="DB335">
        <f>IF($B$37=0,"",IFERROR(TRIM(SUBSTITUTE(SUBSTITUTE(SUBSTITUTE(SUBSTITUTE(INDEX(PASTE_ALL,331,$B$37)," "," "),CHAR(9)," "),CHAR(10)," "),CHAR(13)," ")),""))</f>
        <v/>
      </c>
      <c r="DC335">
        <f>IF(AND(331&gt;HEADER_ROW,UPPER(DB335)="LEGEND"),1,0)</f>
        <v/>
      </c>
      <c r="DE335" t="n">
        <v>331</v>
      </c>
      <c r="DF335">
        <f>HEADER_ROW+$DE335</f>
        <v/>
      </c>
      <c r="DG335">
        <f>IF(AND($DF335&lt;=1000,$DF335&lt;$B$8),1,0)</f>
        <v/>
      </c>
      <c r="DH335">
        <f>IF($DG335=1,IFERROR(INDEX($DB$5:$DB$1004,$DF335),""),"")</f>
        <v/>
      </c>
      <c r="DI335">
        <f>IF(AND($DG335=1,$DH335&lt;&gt;""),IFERROR(SUBSTITUTE(SUBSTITUTE(TRIM(SUBSTITUTE(SUBSTITUTE(SUBSTITUTE(SUBSTITUTE(IFERROR(INDEX(PASTE_ALL,$DF335,1)&amp;"","")&amp;"␟"&amp;IFERROR(INDEX(PASTE_ALL,$DF335,2)&amp;"","")&amp;"␟"&amp;IFERROR(INDEX(PASTE_ALL,$DF335,3)&amp;"","")&amp;"␟"&amp;IFERROR(INDEX(PASTE_ALL,$DF335,4)&amp;"","")&amp;"␟"&amp;IFERROR(INDEX(PASTE_ALL,$DF335,5)&amp;"","")&amp;"␟"&amp;IFERROR(INDEX(PASTE_ALL,$DF335,6)&amp;"","")&amp;"␟"&amp;IFERROR(INDEX(PASTE_ALL,$DF335,7)&amp;"","")&amp;"␟"&amp;IFERROR(INDEX(PASTE_ALL,$DF335,8)&amp;"","")&amp;"␟"&amp;IFERROR(INDEX(PASTE_ALL,$DF335,9)&amp;"","")&amp;"␟"&amp;IFERROR(INDEX(PASTE_ALL,$DF335,10)&amp;"","")&amp;"␟"&amp;IFERROR(INDEX(PASTE_ALL,$DF335,11)&amp;"","")&amp;"␟"&amp;IFERROR(INDEX(PASTE_ALL,$DF335,12)&amp;"","")&amp;"␟"&amp;IFERROR(INDEX(PASTE_ALL,$DF335,13)&amp;"","")&amp;"␟"&amp;IFERROR(INDEX(PASTE_ALL,$DF335,14)&amp;"","")&amp;"␟"&amp;IFERROR(INDEX(PASTE_ALL,$DF335,15)&amp;"","")&amp;"␟"&amp;IFERROR(INDEX(PASTE_ALL,$DF335,16)&amp;"","")&amp;"␟"&amp;IFERROR(INDEX(PASTE_ALL,$DF335,17)&amp;"","")&amp;"␟"&amp;IFERROR(INDEX(PASTE_ALL,$DF335,18)&amp;"","")&amp;"␟"&amp;IFERROR(INDEX(PASTE_ALL,$DF335,19)&amp;"","")&amp;"␟"&amp;IFERROR(INDEX(PASTE_ALL,$DF335,20)&amp;"","")&amp;"␟"&amp;IFERROR(INDEX(PASTE_ALL,$DF335,21)&amp;"","")&amp;"␟"&amp;IFERROR(INDEX(PASTE_ALL,$DF335,22)&amp;"","")&amp;"␟"&amp;IFERROR(INDEX(PASTE_ALL,$DF335,23)&amp;"","")&amp;"␟"&amp;IFERROR(INDEX(PASTE_ALL,$DF335,24)&amp;"","")&amp;"␟"&amp;IFERROR(INDEX(PASTE_ALL,$DF335,25)&amp;"","")&amp;"␟"&amp;IFERROR(INDEX(PASTE_ALL,$DF335,26)&amp;"","")&amp;"␟"&amp;IFERROR(INDEX(PASTE_ALL,$DF335,27)&amp;"","")&amp;"␟"&amp;IFERROR(INDEX(PASTE_ALL,$DF335,28)&amp;"","")&amp;"␟"&amp;IFERROR(INDEX(PASTE_ALL,$DF335,29)&amp;"","")&amp;"␟"&amp;IFERROR(INDEX(PASTE_ALL,$DF335,30)&amp;"","")&amp;"␟"&amp;IFERROR(INDEX(PASTE_ALL,$DF335,31)&amp;"","")&amp;"␟"&amp;IFERROR(INDEX(PASTE_ALL,$DF335,32)&amp;"","")&amp;"␟"&amp;IFERROR(INDEX(PASTE_ALL,$DF335,33)&amp;"","")&amp;"␟"&amp;IFERROR(INDEX(PASTE_ALL,$DF335,34)&amp;"","")&amp;"␟"&amp;IFERROR(INDEX(PASTE_ALL,$DF335,35)&amp;"","")&amp;"␟"&amp;IFERROR(INDEX(PASTE_ALL,$DF335,36)&amp;"","")&amp;"␟"&amp;IFERROR(INDEX(PASTE_ALL,$DF335,37)&amp;"","")&amp;"␟"&amp;IFERROR(INDEX(PASTE_ALL,$DF335,38)&amp;"","")&amp;"␟"&amp;IFERROR(INDEX(PASTE_ALL,$DF335,39)&amp;"","")&amp;"␟"&amp;IFERROR(INDEX(PASTE_ALL,$DF335,40)&amp;"","")&amp;"␟"&amp;IFERROR(INDEX(PASTE_ALL,$DF335,41)&amp;"","")&amp;"␟"&amp;IFERROR(INDEX(PASTE_ALL,$DF335,42)&amp;"","")&amp;"␟"&amp;IFERROR(INDEX(PASTE_ALL,$DF335,43)&amp;"","")&amp;"␟"&amp;IFERROR(INDEX(PASTE_ALL,$DF335,44)&amp;"","")&amp;"␟"&amp;IFERROR(INDEX(PASTE_ALL,$DF335,45)&amp;"","")&amp;"␟"&amp;IFERROR(INDEX(PASTE_ALL,$DF335,46)&amp;"","")&amp;"␟"&amp;IFERROR(INDEX(PASTE_ALL,$DF335,47)&amp;"","")&amp;"␟"&amp;IFERROR(INDEX(PASTE_ALL,$DF335,48)&amp;"","")&amp;"␟"&amp;IFERROR(INDEX(PASTE_ALL,$DF335,49)&amp;"","")&amp;"␟"&amp;IFERROR(INDEX(PASTE_ALL,$DF335,50)&amp;"","")&amp;"␟"&amp;IFERROR(INDEX(PASTE_ALL,$DF335,51)&amp;"","")&amp;"␟"&amp;IFERROR(INDEX(PASTE_ALL,$DF335,52)&amp;"","")&amp;"␟"&amp;IFERROR(INDEX(PASTE_ALL,$DF335,53)&amp;"","")&amp;"␟"&amp;IFERROR(INDEX(PASTE_ALL,$DF335,54)&amp;"","")&amp;"␟"&amp;IFERROR(INDEX(PASTE_ALL,$DF335,55)&amp;"","")&amp;"␟"&amp;IFERROR(INDEX(PASTE_ALL,$DF335,56)&amp;"","")&amp;"␟"&amp;IFERROR(INDEX(PASTE_ALL,$DF335,57)&amp;"","")&amp;"␟"&amp;IFERROR(INDEX(PASTE_ALL,$DF335,58)&amp;"","")&amp;"␟"&amp;IFERROR(INDEX(PASTE_ALL,$DF335,59)&amp;"","")&amp;"␟"&amp;IFERROR(INDEX(PASTE_ALL,$DF335,60)&amp;"","")," "," "),CHAR(9)," "),CHAR(10)," "),CHAR(13)," "))," ␟","␟"),"␟ ","␟"),"#"&amp;$DE335),"")</f>
        <v/>
      </c>
      <c r="DJ335">
        <f>IF($DI335="",0,IF(SUMPRODUCT(--EXACT($DI$4:DI334,$DI335))&gt;0,1,0))</f>
        <v/>
      </c>
      <c r="DK335">
        <f>IF(AND($DI335&lt;&gt;"",$DJ335=0),1,0)</f>
        <v/>
      </c>
      <c r="DL335">
        <f>DL334+$DK335</f>
        <v/>
      </c>
      <c r="DM335">
        <f>IF(AND($DK335=1,$DL335&lt;=600),1,0)</f>
        <v/>
      </c>
      <c r="DN335">
        <f>IF($DM335=0,"",IF($L$6=0,"",IFERROR(IF(ISNUMBER(INDEX(PASTE_ALL,$DF335,$L$6)),INDEX(PASTE_ALL,$DF335,$L$6),TRIM(SUBSTITUTE(SUBSTITUTE(SUBSTITUTE(SUBSTITUTE(INDEX(PASTE_ALL,$DF335,$L$6)," "," "),CHAR(9)," "),CHAR(10)," "),CHAR(13)," "))),"")))</f>
        <v/>
      </c>
      <c r="DO335">
        <f>IF($DM335=0,"",IF($L$7=0,"",IFERROR(IF(ISNUMBER(INDEX(PASTE_ALL,$DF335,$L$7)),INDEX(PASTE_ALL,$DF335,$L$7),TRIM(SUBSTITUTE(SUBSTITUTE(SUBSTITUTE(SUBSTITUTE(INDEX(PASTE_ALL,$DF335,$L$7)," "," "),CHAR(9)," "),CHAR(10)," "),CHAR(13)," "))),"")))</f>
        <v/>
      </c>
      <c r="DP335">
        <f>IF($DM335=0,"",IF($L$8=0,"",IFERROR(IF(ISNUMBER(INDEX(PASTE_ALL,$DF335,$L$8)),INDEX(PASTE_ALL,$DF335,$L$8),TRIM(SUBSTITUTE(SUBSTITUTE(SUBSTITUTE(SUBSTITUTE(INDEX(PASTE_ALL,$DF335,$L$8)," "," "),CHAR(9)," "),CHAR(10)," "),CHAR(13)," "))),"")))</f>
        <v/>
      </c>
      <c r="DQ335">
        <f>IF($DM335=0,"",IF($L$9=0,"",IFERROR(IF(ISNUMBER(INDEX(PASTE_ALL,$DF335,$L$9)),INDEX(PASTE_ALL,$DF335,$L$9),TRIM(SUBSTITUTE(SUBSTITUTE(SUBSTITUTE(SUBSTITUTE(INDEX(PASTE_ALL,$DF335,$L$9)," "," "),CHAR(9)," "),CHAR(10)," "),CHAR(13)," "))),"")))</f>
        <v/>
      </c>
      <c r="DR335">
        <f>IF($DM335=0,"",IF($L$10=0,"",IFERROR(IF(ISNUMBER(INDEX(PASTE_ALL,$DF335,$L$10)),INDEX(PASTE_ALL,$DF335,$L$10),TRIM(SUBSTITUTE(SUBSTITUTE(SUBSTITUTE(SUBSTITUTE(INDEX(PASTE_ALL,$DF335,$L$10)," "," "),CHAR(9)," "),CHAR(10)," "),CHAR(13)," "))),"")))</f>
        <v/>
      </c>
      <c r="DS335">
        <f>IF($DM335=0,"",IF($L$11=0,"",IFERROR(IF(ISNUMBER(INDEX(PASTE_ALL,$DF335,$L$11)),INDEX(PASTE_ALL,$DF335,$L$11),TRIM(SUBSTITUTE(SUBSTITUTE(SUBSTITUTE(SUBSTITUTE(INDEX(PASTE_ALL,$DF335,$L$11)," "," "),CHAR(9)," "),CHAR(10)," "),CHAR(13)," "))),"")))</f>
        <v/>
      </c>
      <c r="DT335">
        <f>IF($DM335=0,"",IF($L$12=0,"",IFERROR(IF(ISNUMBER(INDEX(PASTE_ALL,$DF335,$L$12)),INDEX(PASTE_ALL,$DF335,$L$12),TRIM(SUBSTITUTE(SUBSTITUTE(SUBSTITUTE(SUBSTITUTE(INDEX(PASTE_ALL,$DF335,$L$12)," "," "),CHAR(9)," "),CHAR(10)," "),CHAR(13)," "))),"")))</f>
        <v/>
      </c>
      <c r="DU335">
        <f>IF($DM335=0,"",IF($L$13=0,"",IFERROR(IF(ISNUMBER(INDEX(PASTE_ALL,$DF335,$L$13)),INDEX(PASTE_ALL,$DF335,$L$13),TRIM(SUBSTITUTE(SUBSTITUTE(SUBSTITUTE(SUBSTITUTE(INDEX(PASTE_ALL,$DF335,$L$13)," "," "),CHAR(9)," "),CHAR(10)," "),CHAR(13)," "))),"")))</f>
        <v/>
      </c>
      <c r="DV335">
        <f>IF($DM335=0,"",IF($L$14=0,"",IFERROR(IF(ISNUMBER(INDEX(PASTE_ALL,$DF335,$L$14)),INDEX(PASTE_ALL,$DF335,$L$14),TRIM(SUBSTITUTE(SUBSTITUTE(SUBSTITUTE(SUBSTITUTE(INDEX(PASTE_ALL,$DF335,$L$14)," "," "),CHAR(9)," "),CHAR(10)," "),CHAR(13)," "))),"")))</f>
        <v/>
      </c>
      <c r="DW335">
        <f>IF($DM335=0,"",IF($L$15=0,"",IFERROR(IF(ISNUMBER(INDEX(PASTE_ALL,$DF335,$L$15)),INDEX(PASTE_ALL,$DF335,$L$15),IF(SUMPRODUCT(--ISNUMBER(FIND({"A","B","C","D","E","F","G","H","I","J","K","L","M","N","O","P","Q","R","S","T","U","V","W","X","Y","Z","0","1","2","3","4","5","6","7","8","9"},UPPER(TRIM(SUBSTITUTE(SUBSTITUTE(SUBSTITUTE(SUBSTITUTE(INDEX(PASTE_ALL,$DF335,$L$15)," "," "),CHAR(9)," "),CHAR(10)," "),CHAR(13)," "))))))&gt;0,TRIM(SUBSTITUTE(SUBSTITUTE(SUBSTITUTE(SUBSTITUTE(INDEX(PASTE_ALL,$DF335,$L$15)," "," "),CHAR(9)," "),CHAR(10)," "),CHAR(13)," ")),"")),"")))</f>
        <v/>
      </c>
      <c r="DX335">
        <f>IF($DM335=0,"",IF($L$16=0,"",IFERROR(IF(ISNUMBER(INDEX(PASTE_ALL,$DF335,$L$16)),INDEX(PASTE_ALL,$DF335,$L$16),SUBSTITUTE(SUBSTITUTE(TRIM(SUBSTITUTE(SUBSTITUTE(SUBSTITUTE(SUBSTITUTE(INDEX(PASTE_ALL,$DF335,$L$16)," "," "),CHAR(9)," "),CHAR(10)," "),CHAR(13)," ")),",",""),"%","")),"")))</f>
        <v/>
      </c>
      <c r="DY335">
        <f>IF($DM335=0,"",IFERROR(IF(ISNUMBER($DX335),$DX335,IF($DX335="","",IF(TRIM($DX335)="",0,IF(AND(AND(SUBSTITUTE(SUBSTITUTE(SUBSTITUTE(SUBSTITUTE(SUBSTITUTE(SUBSTITUTE(SUBSTITUTE(SUBSTITUTE(SUBSTITUTE(SUBSTITUTE(SUBSTITUTE(SUBSTITUTE(SUBSTITUTE(SUBSTITUTE(UPPER(TRIM($DX335)),"0",""),"1",""),"2",""),"3",""),"4",""),"5",""),"6",""),"7",""),"8",""),"9",""),".",""),"+",""),"-",""),"E","")="",LEN(SUBSTITUTE(SUBSTITUTE(MID(UPPER(TRIM($DX335)),1+OR(LEFT(UPPER(TRIM($DX335)),1)="+",LEFT(UPPER(TRIM($DX335)),1)="-"),999),"E+","E"),"E-","E"))=LEN(SUBSTITUTE(SUBSTITUTE(SUBSTITUTE(SUBSTITUTE(MID(UPPER(TRIM($DX335)),1+OR(LEFT(UPPER(TRIM($DX335)),1)="+",LEFT(UPPER(TRIM($DX335)),1)="-"),999),"E+","E"),"E-","E"),"+",""),"-","")),LEN(UPPER(TRIM($DX335)))-LEN(SUBSTITUTE(UPPER(TRIM($DX335)),"E",""))&lt;2,LEN(UPPER(TRIM($DX335)))-LEN(SUBSTITUTE(UPPER(TRIM($DX335)),".",""))&lt;2,IFERROR(FIND(".",UPPER(TRIM($DX335))),0)&lt;IFERROR(FIND("E",UPPER(TRIM($DX335))),999)),ISNUMBER(VALUE(TRIM($DX335)))),VALUE(TRIM($DX335)),"")))),""))</f>
        <v/>
      </c>
      <c r="DZ335">
        <f>IF($DM335=0,"",IF($L$17=0,"",IFERROR(IF(ISNUMBER(INDEX(PASTE_ALL,$DF335,$L$17)),INDEX(PASTE_ALL,$DF335,$L$17),SUBSTITUTE(SUBSTITUTE(TRIM(SUBSTITUTE(SUBSTITUTE(SUBSTITUTE(SUBSTITUTE(INDEX(PASTE_ALL,$DF335,$L$17)," "," "),CHAR(9)," "),CHAR(10)," "),CHAR(13)," ")),",",""),"%","")),"")))</f>
        <v/>
      </c>
      <c r="EA335">
        <f>IF($DM335=0,"",IFERROR(IF(ISNUMBER($DZ335),$DZ335,IF($DZ335="","",IF(TRIM($DZ335)="",0,IF(AND(AND(SUBSTITUTE(SUBSTITUTE(SUBSTITUTE(SUBSTITUTE(SUBSTITUTE(SUBSTITUTE(SUBSTITUTE(SUBSTITUTE(SUBSTITUTE(SUBSTITUTE(SUBSTITUTE(SUBSTITUTE(SUBSTITUTE(SUBSTITUTE(UPPER(TRIM($DZ335)),"0",""),"1",""),"2",""),"3",""),"4",""),"5",""),"6",""),"7",""),"8",""),"9",""),".",""),"+",""),"-",""),"E","")="",LEN(SUBSTITUTE(SUBSTITUTE(MID(UPPER(TRIM($DZ335)),1+OR(LEFT(UPPER(TRIM($DZ335)),1)="+",LEFT(UPPER(TRIM($DZ335)),1)="-"),999),"E+","E"),"E-","E"))=LEN(SUBSTITUTE(SUBSTITUTE(SUBSTITUTE(SUBSTITUTE(MID(UPPER(TRIM($DZ335)),1+OR(LEFT(UPPER(TRIM($DZ335)),1)="+",LEFT(UPPER(TRIM($DZ335)),1)="-"),999),"E+","E"),"E-","E"),"+",""),"-","")),LEN(UPPER(TRIM($DZ335)))-LEN(SUBSTITUTE(UPPER(TRIM($DZ335)),"E",""))&lt;2,LEN(UPPER(TRIM($DZ335)))-LEN(SUBSTITUTE(UPPER(TRIM($DZ335)),".",""))&lt;2,IFERROR(FIND(".",UPPER(TRIM($DZ335))),0)&lt;IFERROR(FIND("E",UPPER(TRIM($DZ335))),999)),ISNUMBER(VALUE(TRIM($DZ335)))),VALUE(TRIM($DZ335)),"")))),""))</f>
        <v/>
      </c>
      <c r="EB335">
        <f>IF($DM335=0,"",IF($L$18=0,"",IFERROR(IF(UPPER(TRIM(SUBSTITUTE(SUBSTITUTE(SUBSTITUTE(SUBSTITUTE(INDEX(PASTE_ALL,$DF335,$L$18)," "," "),CHAR(9)," "),CHAR(10)," "),CHAR(13)," ")))="READY","Ready",IF(UPPER(TRIM(SUBSTITUTE(SUBSTITUTE(SUBSTITUTE(SUBSTITUTE(INDEX(PASTE_ALL,$DF335,$L$18)," "," "),CHAR(9)," "),CHAR(10)," "),CHAR(13)," ")))="PM","PM",IF(OR(UPPER(TRIM(SUBSTITUTE(SUBSTITUTE(SUBSTITUTE(SUBSTITUTE(INDEX(PASTE_ALL,$DF335,$L$18)," "," "),CHAR(9)," "),CHAR(10)," "),CHAR(13)," ")))="OT",UPPER(TRIM(SUBSTITUTE(SUBSTITUTE(SUBSTITUTE(SUBSTITUTE(INDEX(PASTE_ALL,$DF335,$L$18)," "," "),CHAR(9)," "),CHAR(10)," "),CHAR(13)," ")))="OVERTIME",UPPER(TRIM(SUBSTITUTE(SUBSTITUTE(SUBSTITUTE(SUBSTITUTE(INDEX(PASTE_ALL,$DF335,$L$18)," "," "),CHAR(9)," "),CHAR(10)," "),CHAR(13)," ")))="TRIAL"),"OT",TRIM(SUBSTITUTE(SUBSTITUTE(SUBSTITUTE(SUBSTITUTE(INDEX(PASTE_ALL,$DF335,$L$18)," "," "),CHAR(9)," "),CHAR(10)," "),CHAR(13)," "))))),"")))</f>
        <v/>
      </c>
      <c r="EC335">
        <f>IF($DM335=0,"",IF($L$19=0,"",IFERROR(IF(ISNUMBER(INDEX(PASTE_ALL,$DF335,$L$19)),INDEX(PASTE_ALL,$DF335,$L$19),TRIM(SUBSTITUTE(SUBSTITUTE(SUBSTITUTE(SUBSTITUTE(INDEX(PASTE_ALL,$DF335,$L$19)," "," "),CHAR(9)," "),CHAR(10)," "),CHAR(13)," "))),"")))</f>
        <v/>
      </c>
      <c r="ED335">
        <f>IF($DM335=0,"",MATCH(1,INDEX(EXACT($DH$5:DH335,$DH335)*$DM$5:DM335,0),0))</f>
        <v/>
      </c>
      <c r="EE335">
        <f>IF($DM335=0,0,IF($ED335=$DE335,1,0))</f>
        <v/>
      </c>
      <c r="EF335">
        <f>EF334+$EE335</f>
        <v/>
      </c>
      <c r="EG335">
        <f>IF($DM335=0,"",INDEX($EF$5:$EF$1003,$ED335))</f>
        <v/>
      </c>
      <c r="EH335">
        <f>IF($DM335=0,"",IF($DO335&lt;&gt;"","",IFERROR(LOOKUP(2,1/(($EG$4:EG334=$EG335)*($DO$4:DO334&lt;&gt;"")),$DO$4:DO334),"")))</f>
        <v/>
      </c>
      <c r="EI335">
        <f>IF($DM335=0,"",IF($DO335&lt;&gt;"",$DO335,$EH335))</f>
        <v/>
      </c>
      <c r="EJ335">
        <f>IF($DM335=0,"",IF($EI335="",0,IF(OR(ISNUMBER($EI335),AND(AND(SUBSTITUTE(SUBSTITUTE(SUBSTITUTE(SUBSTITUTE(SUBSTITUTE(SUBSTITUTE(SUBSTITUTE(SUBSTITUTE(SUBSTITUTE(SUBSTITUTE(SUBSTITUTE(SUBSTITUTE(SUBSTITUTE(SUBSTITUTE(UPPER($EI335),"0",""),"1",""),"2",""),"3",""),"4",""),"5",""),"6",""),"7",""),"8",""),"9",""),".",""),"+",""),"-",""),"E","")="",LEN(SUBSTITUTE(SUBSTITUTE(MID(UPPER($EI335),1+OR(LEFT(UPPER($EI335),1)="+",LEFT(UPPER($EI335),1)="-"),999),"E+","E"),"E-","E"))=LEN(SUBSTITUTE(SUBSTITUTE(SUBSTITUTE(SUBSTITUTE(MID(UPPER($EI335),1+OR(LEFT(UPPER($EI335),1)="+",LEFT(UPPER($EI335),1)="-"),999),"E+","E"),"E-","E"),"+",""),"-","")),LEN(UPPER($EI335))-LEN(SUBSTITUTE(UPPER($EI335),"E",""))&lt;2,LEN(UPPER($EI335))-LEN(SUBSTITUTE(UPPER($EI335),".",""))&lt;2,IFERROR(FIND(".",UPPER($EI335)),0)&lt;IFERROR(FIND("E",UPPER($EI335)),999)),ISNUMBER(VALUE($EI335)))),1,2)))</f>
        <v/>
      </c>
      <c r="EK335">
        <f>IF($DM335=0,"",IF($EJ335=1,IF(ISNUMBER($EI335),$EI335,VALUE($EI335)),IF($EJ335=2,$DE335,0)))</f>
        <v/>
      </c>
      <c r="EL335">
        <f>IF($DM335=0,"",COUNTIF($EG$5:$EG$1003,"&lt;"&amp;$EG335)+SUMPRODUCT(($EG$5:$EG$1003=$EG335)*(($EJ$5:$EJ$1003&lt;$EJ335)+($EJ$5:$EJ$1003=$EJ335)*(($EK$5:$EK$1003&lt;$EK335)+($EK$5:$EK$1003=$EK335)*($DE$5:$DE$1003&lt;$DE335))))+1)</f>
        <v/>
      </c>
      <c r="EM335">
        <f>IF($DM335=0,"",$EL335+$EG335-1)</f>
        <v/>
      </c>
      <c r="EN335">
        <f>IF($DM335=0,0,IFERROR(MATCH(1,INDEX(--(TRIM(SUBSTITUTE(SUBSTITUTE(SUBSTITUTE(SUBSTITUTE(LINES_NAME&amp;""," "," "),CHAR(9)," "),CHAR(10)," "),CHAR(13)," "))=$DH335),0),0),0))</f>
        <v/>
      </c>
      <c r="EO335">
        <f>IF($EN335=0,0,IF(OR(UPPER(TRIM(INDEX(LINES_SCHEDULED,$EN335)&amp;""))="YES",UPPER(TRIM(INDEX(LINES_SCHEDULED,$EN335)&amp;""))="Y",UPPER(TRIM(INDEX(LINES_SCHEDULED,$EN335)&amp;""))="X"),1,0))</f>
        <v/>
      </c>
      <c r="EP335">
        <f>IF($DM335=0,"",IF(COUNTIFS($EG$5:$EG$1003,$EG335,$EB$5:$EB$1003,"Ready")&gt;0,"READY",IF(COUNTIFS($EG$5:$EG$1003,$EG335,$EB$5:$EB$1003,"PM")&gt;0,"PM",IF(COUNTIFS($EG$5:$EG$1003,$EG335,$EB$5:$EB$1003,"OT")&gt;0,"OT",""))))</f>
        <v/>
      </c>
      <c r="EQ335">
        <f>IF($EN335=0,"",UPPER(TRIM(INDEX(LINES_STATUS,$EN335)&amp;"")))</f>
        <v/>
      </c>
      <c r="ER335">
        <f>IF($DM335=0,"",IF(OR($EQ335="READY",$EQ335="PM",$EQ335="OT"),$EQ335,$EP335))</f>
        <v/>
      </c>
      <c r="ES335">
        <f>IF($DM335=0,"",IF(AND($DV335&lt;&gt;"",UPPER($DV335)&lt;&gt;"N"),"allergen",IF(ISNUMBER(SEARCH("oil",$DQ335)),"oil",IF(OR(EXACT($DS335,"A662"),EXACT($DS335,"A624")),"bulk",""))))</f>
        <v/>
      </c>
      <c r="ET335">
        <f>IF($DM335=0,"",IF(OR($EA335="",$EA335=0),"",$EA335/100))</f>
        <v/>
      </c>
      <c r="EU335">
        <f>IF(OR($ET335="",$DY335=""),"",INT($DY335*(1-$ET335)+0.5))</f>
        <v/>
      </c>
      <c r="EW335" t="n">
        <v>331</v>
      </c>
      <c r="EX335">
        <f>IFERROR(MATCH($EW335,$EM$5:$EM$1003,0),0)</f>
        <v/>
      </c>
      <c r="EY335">
        <f>IF($EW335&gt;$B$12,"",IF($EX335&gt;0,"row","spacer"))</f>
        <v/>
      </c>
      <c r="EZ335">
        <f>IF(AND($EY335="row",$EY334&lt;&gt;"row"),1,0)</f>
        <v/>
      </c>
      <c r="FA335">
        <f>IF(AND($EY335="row",$EY336&lt;&gt;"row"),1,0)</f>
        <v/>
      </c>
      <c r="FB335">
        <f>IF($EZ335=1,IFERROR(IF(ISNUMBER(INDEX(PASTE_ALL,INDEX($DF$5:$DF$1003,$EX335),$B$37)),INDEX(PASTE_ALL,INDEX($DF$5:$DF$1003,$EX335),$B$37),INDEX($DH$5:$DH$1003,$EX335)),INDEX($DH$5:$DH$1003,$EX335)),"")</f>
        <v/>
      </c>
      <c r="FC335">
        <f>IF($EY335="row",INDEX($ER$5:$ER$1003,$EX335),"")</f>
        <v/>
      </c>
      <c r="FD335">
        <f>IF($EY335="row",INDEX($DN$5:$DN$1003,$EX335),"")</f>
        <v/>
      </c>
      <c r="FE335">
        <f>IF($EY335="row",INDEX($DO$5:$DO$1003,$EX335),"")</f>
        <v/>
      </c>
      <c r="FF335">
        <f>IF($EY335="row",INDEX($DP$5:$DP$1003,$EX335),"")</f>
        <v/>
      </c>
      <c r="FG335">
        <f>IF($EY335="row",INDEX($DQ$5:$DQ$1003,$EX335),"")</f>
        <v/>
      </c>
      <c r="FH335">
        <f>IF($EY335="row",INDEX($DR$5:$DR$1003,$EX335),"")</f>
        <v/>
      </c>
      <c r="FI335">
        <f>IF($EY335="row",INDEX($DS$5:$DS$1003,$EX335),"")</f>
        <v/>
      </c>
      <c r="FJ335">
        <f>IF($EY335="row",INDEX($DT$5:$DT$1003,$EX335),"")</f>
        <v/>
      </c>
      <c r="FK335">
        <f>IF($EY335="row",INDEX($DU$5:$DU$1003,$EX335),"")</f>
        <v/>
      </c>
      <c r="FL335">
        <f>IF($EY335="row",INDEX($DV$5:$DV$1003,$EX335),"")</f>
        <v/>
      </c>
      <c r="FM335">
        <f>IF($EY335="row",INDEX($DW$5:$DW$1003,$EX335),"")</f>
        <v/>
      </c>
      <c r="FN335">
        <f>IF($EY335="row",INDEX($DY$5:$DY$1003,$EX335),"")</f>
        <v/>
      </c>
      <c r="FO335">
        <f>IF($EY335="row",INDEX($EA$5:$EA$1003,$EX335),"")</f>
        <v/>
      </c>
      <c r="FP335">
        <f>IF($EY335="row",INDEX($EC$5:$EC$1003,$EX335),"")</f>
        <v/>
      </c>
      <c r="FQ335">
        <f>IF($EY335="row",INDEX($ET$5:$ET$1003,$EX335),"")</f>
        <v/>
      </c>
      <c r="FR335">
        <f>IF($EY335="row",INDEX($EU$5:$EU$1003,$EX335),"")</f>
        <v/>
      </c>
      <c r="FS335">
        <f>IF(AND($EY335="row",$EY334="row"),IF(OR(INDEX($DT$5:$DT$1003,$EX334)="",INDEX($DT$5:$DT$1003,$EX335)=""),"",IF(NOT(EXACT(INDEX($DT$5:$DT$1003,$EX334),INDEX($DT$5:$DT$1003,$EX335))),"S4",IF(NOT(EXACT(INDEX($DS$5:$DS$1003,$EX334),INDEX($DS$5:$DS$1003,$EX335))),"S3",IF(NOT(EXACT(INDEX($DR$5:$DR$1003,$EX334),INDEX($DR$5:$DR$1003,$EX335))),"S1 Count Change","S1")))),"")</f>
        <v/>
      </c>
      <c r="FT335">
        <f>IF($EY335="row",INDEX($ES$5:$ES$1003,$EX335),"")</f>
        <v/>
      </c>
      <c r="FU335">
        <f>IF($EY335="row",INDEX($EO$5:$EO$1003,$EX335),0)</f>
        <v/>
      </c>
      <c r="FV335">
        <f>IF($FS335="S1 Count Change",1,0)</f>
        <v/>
      </c>
    </row>
    <row r="336">
      <c r="DA336" t="n">
        <v>332</v>
      </c>
      <c r="DB336">
        <f>IF($B$37=0,"",IFERROR(TRIM(SUBSTITUTE(SUBSTITUTE(SUBSTITUTE(SUBSTITUTE(INDEX(PASTE_ALL,332,$B$37)," "," "),CHAR(9)," "),CHAR(10)," "),CHAR(13)," ")),""))</f>
        <v/>
      </c>
      <c r="DC336">
        <f>IF(AND(332&gt;HEADER_ROW,UPPER(DB336)="LEGEND"),1,0)</f>
        <v/>
      </c>
      <c r="DE336" t="n">
        <v>332</v>
      </c>
      <c r="DF336">
        <f>HEADER_ROW+$DE336</f>
        <v/>
      </c>
      <c r="DG336">
        <f>IF(AND($DF336&lt;=1000,$DF336&lt;$B$8),1,0)</f>
        <v/>
      </c>
      <c r="DH336">
        <f>IF($DG336=1,IFERROR(INDEX($DB$5:$DB$1004,$DF336),""),"")</f>
        <v/>
      </c>
      <c r="DI336">
        <f>IF(AND($DG336=1,$DH336&lt;&gt;""),IFERROR(SUBSTITUTE(SUBSTITUTE(TRIM(SUBSTITUTE(SUBSTITUTE(SUBSTITUTE(SUBSTITUTE(IFERROR(INDEX(PASTE_ALL,$DF336,1)&amp;"","")&amp;"␟"&amp;IFERROR(INDEX(PASTE_ALL,$DF336,2)&amp;"","")&amp;"␟"&amp;IFERROR(INDEX(PASTE_ALL,$DF336,3)&amp;"","")&amp;"␟"&amp;IFERROR(INDEX(PASTE_ALL,$DF336,4)&amp;"","")&amp;"␟"&amp;IFERROR(INDEX(PASTE_ALL,$DF336,5)&amp;"","")&amp;"␟"&amp;IFERROR(INDEX(PASTE_ALL,$DF336,6)&amp;"","")&amp;"␟"&amp;IFERROR(INDEX(PASTE_ALL,$DF336,7)&amp;"","")&amp;"␟"&amp;IFERROR(INDEX(PASTE_ALL,$DF336,8)&amp;"","")&amp;"␟"&amp;IFERROR(INDEX(PASTE_ALL,$DF336,9)&amp;"","")&amp;"␟"&amp;IFERROR(INDEX(PASTE_ALL,$DF336,10)&amp;"","")&amp;"␟"&amp;IFERROR(INDEX(PASTE_ALL,$DF336,11)&amp;"","")&amp;"␟"&amp;IFERROR(INDEX(PASTE_ALL,$DF336,12)&amp;"","")&amp;"␟"&amp;IFERROR(INDEX(PASTE_ALL,$DF336,13)&amp;"","")&amp;"␟"&amp;IFERROR(INDEX(PASTE_ALL,$DF336,14)&amp;"","")&amp;"␟"&amp;IFERROR(INDEX(PASTE_ALL,$DF336,15)&amp;"","")&amp;"␟"&amp;IFERROR(INDEX(PASTE_ALL,$DF336,16)&amp;"","")&amp;"␟"&amp;IFERROR(INDEX(PASTE_ALL,$DF336,17)&amp;"","")&amp;"␟"&amp;IFERROR(INDEX(PASTE_ALL,$DF336,18)&amp;"","")&amp;"␟"&amp;IFERROR(INDEX(PASTE_ALL,$DF336,19)&amp;"","")&amp;"␟"&amp;IFERROR(INDEX(PASTE_ALL,$DF336,20)&amp;"","")&amp;"␟"&amp;IFERROR(INDEX(PASTE_ALL,$DF336,21)&amp;"","")&amp;"␟"&amp;IFERROR(INDEX(PASTE_ALL,$DF336,22)&amp;"","")&amp;"␟"&amp;IFERROR(INDEX(PASTE_ALL,$DF336,23)&amp;"","")&amp;"␟"&amp;IFERROR(INDEX(PASTE_ALL,$DF336,24)&amp;"","")&amp;"␟"&amp;IFERROR(INDEX(PASTE_ALL,$DF336,25)&amp;"","")&amp;"␟"&amp;IFERROR(INDEX(PASTE_ALL,$DF336,26)&amp;"","")&amp;"␟"&amp;IFERROR(INDEX(PASTE_ALL,$DF336,27)&amp;"","")&amp;"␟"&amp;IFERROR(INDEX(PASTE_ALL,$DF336,28)&amp;"","")&amp;"␟"&amp;IFERROR(INDEX(PASTE_ALL,$DF336,29)&amp;"","")&amp;"␟"&amp;IFERROR(INDEX(PASTE_ALL,$DF336,30)&amp;"","")&amp;"␟"&amp;IFERROR(INDEX(PASTE_ALL,$DF336,31)&amp;"","")&amp;"␟"&amp;IFERROR(INDEX(PASTE_ALL,$DF336,32)&amp;"","")&amp;"␟"&amp;IFERROR(INDEX(PASTE_ALL,$DF336,33)&amp;"","")&amp;"␟"&amp;IFERROR(INDEX(PASTE_ALL,$DF336,34)&amp;"","")&amp;"␟"&amp;IFERROR(INDEX(PASTE_ALL,$DF336,35)&amp;"","")&amp;"␟"&amp;IFERROR(INDEX(PASTE_ALL,$DF336,36)&amp;"","")&amp;"␟"&amp;IFERROR(INDEX(PASTE_ALL,$DF336,37)&amp;"","")&amp;"␟"&amp;IFERROR(INDEX(PASTE_ALL,$DF336,38)&amp;"","")&amp;"␟"&amp;IFERROR(INDEX(PASTE_ALL,$DF336,39)&amp;"","")&amp;"␟"&amp;IFERROR(INDEX(PASTE_ALL,$DF336,40)&amp;"","")&amp;"␟"&amp;IFERROR(INDEX(PASTE_ALL,$DF336,41)&amp;"","")&amp;"␟"&amp;IFERROR(INDEX(PASTE_ALL,$DF336,42)&amp;"","")&amp;"␟"&amp;IFERROR(INDEX(PASTE_ALL,$DF336,43)&amp;"","")&amp;"␟"&amp;IFERROR(INDEX(PASTE_ALL,$DF336,44)&amp;"","")&amp;"␟"&amp;IFERROR(INDEX(PASTE_ALL,$DF336,45)&amp;"","")&amp;"␟"&amp;IFERROR(INDEX(PASTE_ALL,$DF336,46)&amp;"","")&amp;"␟"&amp;IFERROR(INDEX(PASTE_ALL,$DF336,47)&amp;"","")&amp;"␟"&amp;IFERROR(INDEX(PASTE_ALL,$DF336,48)&amp;"","")&amp;"␟"&amp;IFERROR(INDEX(PASTE_ALL,$DF336,49)&amp;"","")&amp;"␟"&amp;IFERROR(INDEX(PASTE_ALL,$DF336,50)&amp;"","")&amp;"␟"&amp;IFERROR(INDEX(PASTE_ALL,$DF336,51)&amp;"","")&amp;"␟"&amp;IFERROR(INDEX(PASTE_ALL,$DF336,52)&amp;"","")&amp;"␟"&amp;IFERROR(INDEX(PASTE_ALL,$DF336,53)&amp;"","")&amp;"␟"&amp;IFERROR(INDEX(PASTE_ALL,$DF336,54)&amp;"","")&amp;"␟"&amp;IFERROR(INDEX(PASTE_ALL,$DF336,55)&amp;"","")&amp;"␟"&amp;IFERROR(INDEX(PASTE_ALL,$DF336,56)&amp;"","")&amp;"␟"&amp;IFERROR(INDEX(PASTE_ALL,$DF336,57)&amp;"","")&amp;"␟"&amp;IFERROR(INDEX(PASTE_ALL,$DF336,58)&amp;"","")&amp;"␟"&amp;IFERROR(INDEX(PASTE_ALL,$DF336,59)&amp;"","")&amp;"␟"&amp;IFERROR(INDEX(PASTE_ALL,$DF336,60)&amp;"","")," "," "),CHAR(9)," "),CHAR(10)," "),CHAR(13)," "))," ␟","␟"),"␟ ","␟"),"#"&amp;$DE336),"")</f>
        <v/>
      </c>
      <c r="DJ336">
        <f>IF($DI336="",0,IF(SUMPRODUCT(--EXACT($DI$4:DI335,$DI336))&gt;0,1,0))</f>
        <v/>
      </c>
      <c r="DK336">
        <f>IF(AND($DI336&lt;&gt;"",$DJ336=0),1,0)</f>
        <v/>
      </c>
      <c r="DL336">
        <f>DL335+$DK336</f>
        <v/>
      </c>
      <c r="DM336">
        <f>IF(AND($DK336=1,$DL336&lt;=600),1,0)</f>
        <v/>
      </c>
      <c r="DN336">
        <f>IF($DM336=0,"",IF($L$6=0,"",IFERROR(IF(ISNUMBER(INDEX(PASTE_ALL,$DF336,$L$6)),INDEX(PASTE_ALL,$DF336,$L$6),TRIM(SUBSTITUTE(SUBSTITUTE(SUBSTITUTE(SUBSTITUTE(INDEX(PASTE_ALL,$DF336,$L$6)," "," "),CHAR(9)," "),CHAR(10)," "),CHAR(13)," "))),"")))</f>
        <v/>
      </c>
      <c r="DO336">
        <f>IF($DM336=0,"",IF($L$7=0,"",IFERROR(IF(ISNUMBER(INDEX(PASTE_ALL,$DF336,$L$7)),INDEX(PASTE_ALL,$DF336,$L$7),TRIM(SUBSTITUTE(SUBSTITUTE(SUBSTITUTE(SUBSTITUTE(INDEX(PASTE_ALL,$DF336,$L$7)," "," "),CHAR(9)," "),CHAR(10)," "),CHAR(13)," "))),"")))</f>
        <v/>
      </c>
      <c r="DP336">
        <f>IF($DM336=0,"",IF($L$8=0,"",IFERROR(IF(ISNUMBER(INDEX(PASTE_ALL,$DF336,$L$8)),INDEX(PASTE_ALL,$DF336,$L$8),TRIM(SUBSTITUTE(SUBSTITUTE(SUBSTITUTE(SUBSTITUTE(INDEX(PASTE_ALL,$DF336,$L$8)," "," "),CHAR(9)," "),CHAR(10)," "),CHAR(13)," "))),"")))</f>
        <v/>
      </c>
      <c r="DQ336">
        <f>IF($DM336=0,"",IF($L$9=0,"",IFERROR(IF(ISNUMBER(INDEX(PASTE_ALL,$DF336,$L$9)),INDEX(PASTE_ALL,$DF336,$L$9),TRIM(SUBSTITUTE(SUBSTITUTE(SUBSTITUTE(SUBSTITUTE(INDEX(PASTE_ALL,$DF336,$L$9)," "," "),CHAR(9)," "),CHAR(10)," "),CHAR(13)," "))),"")))</f>
        <v/>
      </c>
      <c r="DR336">
        <f>IF($DM336=0,"",IF($L$10=0,"",IFERROR(IF(ISNUMBER(INDEX(PASTE_ALL,$DF336,$L$10)),INDEX(PASTE_ALL,$DF336,$L$10),TRIM(SUBSTITUTE(SUBSTITUTE(SUBSTITUTE(SUBSTITUTE(INDEX(PASTE_ALL,$DF336,$L$10)," "," "),CHAR(9)," "),CHAR(10)," "),CHAR(13)," "))),"")))</f>
        <v/>
      </c>
      <c r="DS336">
        <f>IF($DM336=0,"",IF($L$11=0,"",IFERROR(IF(ISNUMBER(INDEX(PASTE_ALL,$DF336,$L$11)),INDEX(PASTE_ALL,$DF336,$L$11),TRIM(SUBSTITUTE(SUBSTITUTE(SUBSTITUTE(SUBSTITUTE(INDEX(PASTE_ALL,$DF336,$L$11)," "," "),CHAR(9)," "),CHAR(10)," "),CHAR(13)," "))),"")))</f>
        <v/>
      </c>
      <c r="DT336">
        <f>IF($DM336=0,"",IF($L$12=0,"",IFERROR(IF(ISNUMBER(INDEX(PASTE_ALL,$DF336,$L$12)),INDEX(PASTE_ALL,$DF336,$L$12),TRIM(SUBSTITUTE(SUBSTITUTE(SUBSTITUTE(SUBSTITUTE(INDEX(PASTE_ALL,$DF336,$L$12)," "," "),CHAR(9)," "),CHAR(10)," "),CHAR(13)," "))),"")))</f>
        <v/>
      </c>
      <c r="DU336">
        <f>IF($DM336=0,"",IF($L$13=0,"",IFERROR(IF(ISNUMBER(INDEX(PASTE_ALL,$DF336,$L$13)),INDEX(PASTE_ALL,$DF336,$L$13),TRIM(SUBSTITUTE(SUBSTITUTE(SUBSTITUTE(SUBSTITUTE(INDEX(PASTE_ALL,$DF336,$L$13)," "," "),CHAR(9)," "),CHAR(10)," "),CHAR(13)," "))),"")))</f>
        <v/>
      </c>
      <c r="DV336">
        <f>IF($DM336=0,"",IF($L$14=0,"",IFERROR(IF(ISNUMBER(INDEX(PASTE_ALL,$DF336,$L$14)),INDEX(PASTE_ALL,$DF336,$L$14),TRIM(SUBSTITUTE(SUBSTITUTE(SUBSTITUTE(SUBSTITUTE(INDEX(PASTE_ALL,$DF336,$L$14)," "," "),CHAR(9)," "),CHAR(10)," "),CHAR(13)," "))),"")))</f>
        <v/>
      </c>
      <c r="DW336">
        <f>IF($DM336=0,"",IF($L$15=0,"",IFERROR(IF(ISNUMBER(INDEX(PASTE_ALL,$DF336,$L$15)),INDEX(PASTE_ALL,$DF336,$L$15),IF(SUMPRODUCT(--ISNUMBER(FIND({"A","B","C","D","E","F","G","H","I","J","K","L","M","N","O","P","Q","R","S","T","U","V","W","X","Y","Z","0","1","2","3","4","5","6","7","8","9"},UPPER(TRIM(SUBSTITUTE(SUBSTITUTE(SUBSTITUTE(SUBSTITUTE(INDEX(PASTE_ALL,$DF336,$L$15)," "," "),CHAR(9)," "),CHAR(10)," "),CHAR(13)," "))))))&gt;0,TRIM(SUBSTITUTE(SUBSTITUTE(SUBSTITUTE(SUBSTITUTE(INDEX(PASTE_ALL,$DF336,$L$15)," "," "),CHAR(9)," "),CHAR(10)," "),CHAR(13)," ")),"")),"")))</f>
        <v/>
      </c>
      <c r="DX336">
        <f>IF($DM336=0,"",IF($L$16=0,"",IFERROR(IF(ISNUMBER(INDEX(PASTE_ALL,$DF336,$L$16)),INDEX(PASTE_ALL,$DF336,$L$16),SUBSTITUTE(SUBSTITUTE(TRIM(SUBSTITUTE(SUBSTITUTE(SUBSTITUTE(SUBSTITUTE(INDEX(PASTE_ALL,$DF336,$L$16)," "," "),CHAR(9)," "),CHAR(10)," "),CHAR(13)," ")),",",""),"%","")),"")))</f>
        <v/>
      </c>
      <c r="DY336">
        <f>IF($DM336=0,"",IFERROR(IF(ISNUMBER($DX336),$DX336,IF($DX336="","",IF(TRIM($DX336)="",0,IF(AND(AND(SUBSTITUTE(SUBSTITUTE(SUBSTITUTE(SUBSTITUTE(SUBSTITUTE(SUBSTITUTE(SUBSTITUTE(SUBSTITUTE(SUBSTITUTE(SUBSTITUTE(SUBSTITUTE(SUBSTITUTE(SUBSTITUTE(SUBSTITUTE(UPPER(TRIM($DX336)),"0",""),"1",""),"2",""),"3",""),"4",""),"5",""),"6",""),"7",""),"8",""),"9",""),".",""),"+",""),"-",""),"E","")="",LEN(SUBSTITUTE(SUBSTITUTE(MID(UPPER(TRIM($DX336)),1+OR(LEFT(UPPER(TRIM($DX336)),1)="+",LEFT(UPPER(TRIM($DX336)),1)="-"),999),"E+","E"),"E-","E"))=LEN(SUBSTITUTE(SUBSTITUTE(SUBSTITUTE(SUBSTITUTE(MID(UPPER(TRIM($DX336)),1+OR(LEFT(UPPER(TRIM($DX336)),1)="+",LEFT(UPPER(TRIM($DX336)),1)="-"),999),"E+","E"),"E-","E"),"+",""),"-","")),LEN(UPPER(TRIM($DX336)))-LEN(SUBSTITUTE(UPPER(TRIM($DX336)),"E",""))&lt;2,LEN(UPPER(TRIM($DX336)))-LEN(SUBSTITUTE(UPPER(TRIM($DX336)),".",""))&lt;2,IFERROR(FIND(".",UPPER(TRIM($DX336))),0)&lt;IFERROR(FIND("E",UPPER(TRIM($DX336))),999)),ISNUMBER(VALUE(TRIM($DX336)))),VALUE(TRIM($DX336)),"")))),""))</f>
        <v/>
      </c>
      <c r="DZ336">
        <f>IF($DM336=0,"",IF($L$17=0,"",IFERROR(IF(ISNUMBER(INDEX(PASTE_ALL,$DF336,$L$17)),INDEX(PASTE_ALL,$DF336,$L$17),SUBSTITUTE(SUBSTITUTE(TRIM(SUBSTITUTE(SUBSTITUTE(SUBSTITUTE(SUBSTITUTE(INDEX(PASTE_ALL,$DF336,$L$17)," "," "),CHAR(9)," "),CHAR(10)," "),CHAR(13)," ")),",",""),"%","")),"")))</f>
        <v/>
      </c>
      <c r="EA336">
        <f>IF($DM336=0,"",IFERROR(IF(ISNUMBER($DZ336),$DZ336,IF($DZ336="","",IF(TRIM($DZ336)="",0,IF(AND(AND(SUBSTITUTE(SUBSTITUTE(SUBSTITUTE(SUBSTITUTE(SUBSTITUTE(SUBSTITUTE(SUBSTITUTE(SUBSTITUTE(SUBSTITUTE(SUBSTITUTE(SUBSTITUTE(SUBSTITUTE(SUBSTITUTE(SUBSTITUTE(UPPER(TRIM($DZ336)),"0",""),"1",""),"2",""),"3",""),"4",""),"5",""),"6",""),"7",""),"8",""),"9",""),".",""),"+",""),"-",""),"E","")="",LEN(SUBSTITUTE(SUBSTITUTE(MID(UPPER(TRIM($DZ336)),1+OR(LEFT(UPPER(TRIM($DZ336)),1)="+",LEFT(UPPER(TRIM($DZ336)),1)="-"),999),"E+","E"),"E-","E"))=LEN(SUBSTITUTE(SUBSTITUTE(SUBSTITUTE(SUBSTITUTE(MID(UPPER(TRIM($DZ336)),1+OR(LEFT(UPPER(TRIM($DZ336)),1)="+",LEFT(UPPER(TRIM($DZ336)),1)="-"),999),"E+","E"),"E-","E"),"+",""),"-","")),LEN(UPPER(TRIM($DZ336)))-LEN(SUBSTITUTE(UPPER(TRIM($DZ336)),"E",""))&lt;2,LEN(UPPER(TRIM($DZ336)))-LEN(SUBSTITUTE(UPPER(TRIM($DZ336)),".",""))&lt;2,IFERROR(FIND(".",UPPER(TRIM($DZ336))),0)&lt;IFERROR(FIND("E",UPPER(TRIM($DZ336))),999)),ISNUMBER(VALUE(TRIM($DZ336)))),VALUE(TRIM($DZ336)),"")))),""))</f>
        <v/>
      </c>
      <c r="EB336">
        <f>IF($DM336=0,"",IF($L$18=0,"",IFERROR(IF(UPPER(TRIM(SUBSTITUTE(SUBSTITUTE(SUBSTITUTE(SUBSTITUTE(INDEX(PASTE_ALL,$DF336,$L$18)," "," "),CHAR(9)," "),CHAR(10)," "),CHAR(13)," ")))="READY","Ready",IF(UPPER(TRIM(SUBSTITUTE(SUBSTITUTE(SUBSTITUTE(SUBSTITUTE(INDEX(PASTE_ALL,$DF336,$L$18)," "," "),CHAR(9)," "),CHAR(10)," "),CHAR(13)," ")))="PM","PM",IF(OR(UPPER(TRIM(SUBSTITUTE(SUBSTITUTE(SUBSTITUTE(SUBSTITUTE(INDEX(PASTE_ALL,$DF336,$L$18)," "," "),CHAR(9)," "),CHAR(10)," "),CHAR(13)," ")))="OT",UPPER(TRIM(SUBSTITUTE(SUBSTITUTE(SUBSTITUTE(SUBSTITUTE(INDEX(PASTE_ALL,$DF336,$L$18)," "," "),CHAR(9)," "),CHAR(10)," "),CHAR(13)," ")))="OVERTIME",UPPER(TRIM(SUBSTITUTE(SUBSTITUTE(SUBSTITUTE(SUBSTITUTE(INDEX(PASTE_ALL,$DF336,$L$18)," "," "),CHAR(9)," "),CHAR(10)," "),CHAR(13)," ")))="TRIAL"),"OT",TRIM(SUBSTITUTE(SUBSTITUTE(SUBSTITUTE(SUBSTITUTE(INDEX(PASTE_ALL,$DF336,$L$18)," "," "),CHAR(9)," "),CHAR(10)," "),CHAR(13)," "))))),"")))</f>
        <v/>
      </c>
      <c r="EC336">
        <f>IF($DM336=0,"",IF($L$19=0,"",IFERROR(IF(ISNUMBER(INDEX(PASTE_ALL,$DF336,$L$19)),INDEX(PASTE_ALL,$DF336,$L$19),TRIM(SUBSTITUTE(SUBSTITUTE(SUBSTITUTE(SUBSTITUTE(INDEX(PASTE_ALL,$DF336,$L$19)," "," "),CHAR(9)," "),CHAR(10)," "),CHAR(13)," "))),"")))</f>
        <v/>
      </c>
      <c r="ED336">
        <f>IF($DM336=0,"",MATCH(1,INDEX(EXACT($DH$5:DH336,$DH336)*$DM$5:DM336,0),0))</f>
        <v/>
      </c>
      <c r="EE336">
        <f>IF($DM336=0,0,IF($ED336=$DE336,1,0))</f>
        <v/>
      </c>
      <c r="EF336">
        <f>EF335+$EE336</f>
        <v/>
      </c>
      <c r="EG336">
        <f>IF($DM336=0,"",INDEX($EF$5:$EF$1003,$ED336))</f>
        <v/>
      </c>
      <c r="EH336">
        <f>IF($DM336=0,"",IF($DO336&lt;&gt;"","",IFERROR(LOOKUP(2,1/(($EG$4:EG335=$EG336)*($DO$4:DO335&lt;&gt;"")),$DO$4:DO335),"")))</f>
        <v/>
      </c>
      <c r="EI336">
        <f>IF($DM336=0,"",IF($DO336&lt;&gt;"",$DO336,$EH336))</f>
        <v/>
      </c>
      <c r="EJ336">
        <f>IF($DM336=0,"",IF($EI336="",0,IF(OR(ISNUMBER($EI336),AND(AND(SUBSTITUTE(SUBSTITUTE(SUBSTITUTE(SUBSTITUTE(SUBSTITUTE(SUBSTITUTE(SUBSTITUTE(SUBSTITUTE(SUBSTITUTE(SUBSTITUTE(SUBSTITUTE(SUBSTITUTE(SUBSTITUTE(SUBSTITUTE(UPPER($EI336),"0",""),"1",""),"2",""),"3",""),"4",""),"5",""),"6",""),"7",""),"8",""),"9",""),".",""),"+",""),"-",""),"E","")="",LEN(SUBSTITUTE(SUBSTITUTE(MID(UPPER($EI336),1+OR(LEFT(UPPER($EI336),1)="+",LEFT(UPPER($EI336),1)="-"),999),"E+","E"),"E-","E"))=LEN(SUBSTITUTE(SUBSTITUTE(SUBSTITUTE(SUBSTITUTE(MID(UPPER($EI336),1+OR(LEFT(UPPER($EI336),1)="+",LEFT(UPPER($EI336),1)="-"),999),"E+","E"),"E-","E"),"+",""),"-","")),LEN(UPPER($EI336))-LEN(SUBSTITUTE(UPPER($EI336),"E",""))&lt;2,LEN(UPPER($EI336))-LEN(SUBSTITUTE(UPPER($EI336),".",""))&lt;2,IFERROR(FIND(".",UPPER($EI336)),0)&lt;IFERROR(FIND("E",UPPER($EI336)),999)),ISNUMBER(VALUE($EI336)))),1,2)))</f>
        <v/>
      </c>
      <c r="EK336">
        <f>IF($DM336=0,"",IF($EJ336=1,IF(ISNUMBER($EI336),$EI336,VALUE($EI336)),IF($EJ336=2,$DE336,0)))</f>
        <v/>
      </c>
      <c r="EL336">
        <f>IF($DM336=0,"",COUNTIF($EG$5:$EG$1003,"&lt;"&amp;$EG336)+SUMPRODUCT(($EG$5:$EG$1003=$EG336)*(($EJ$5:$EJ$1003&lt;$EJ336)+($EJ$5:$EJ$1003=$EJ336)*(($EK$5:$EK$1003&lt;$EK336)+($EK$5:$EK$1003=$EK336)*($DE$5:$DE$1003&lt;$DE336))))+1)</f>
        <v/>
      </c>
      <c r="EM336">
        <f>IF($DM336=0,"",$EL336+$EG336-1)</f>
        <v/>
      </c>
      <c r="EN336">
        <f>IF($DM336=0,0,IFERROR(MATCH(1,INDEX(--(TRIM(SUBSTITUTE(SUBSTITUTE(SUBSTITUTE(SUBSTITUTE(LINES_NAME&amp;""," "," "),CHAR(9)," "),CHAR(10)," "),CHAR(13)," "))=$DH336),0),0),0))</f>
        <v/>
      </c>
      <c r="EO336">
        <f>IF($EN336=0,0,IF(OR(UPPER(TRIM(INDEX(LINES_SCHEDULED,$EN336)&amp;""))="YES",UPPER(TRIM(INDEX(LINES_SCHEDULED,$EN336)&amp;""))="Y",UPPER(TRIM(INDEX(LINES_SCHEDULED,$EN336)&amp;""))="X"),1,0))</f>
        <v/>
      </c>
      <c r="EP336">
        <f>IF($DM336=0,"",IF(COUNTIFS($EG$5:$EG$1003,$EG336,$EB$5:$EB$1003,"Ready")&gt;0,"READY",IF(COUNTIFS($EG$5:$EG$1003,$EG336,$EB$5:$EB$1003,"PM")&gt;0,"PM",IF(COUNTIFS($EG$5:$EG$1003,$EG336,$EB$5:$EB$1003,"OT")&gt;0,"OT",""))))</f>
        <v/>
      </c>
      <c r="EQ336">
        <f>IF($EN336=0,"",UPPER(TRIM(INDEX(LINES_STATUS,$EN336)&amp;"")))</f>
        <v/>
      </c>
      <c r="ER336">
        <f>IF($DM336=0,"",IF(OR($EQ336="READY",$EQ336="PM",$EQ336="OT"),$EQ336,$EP336))</f>
        <v/>
      </c>
      <c r="ES336">
        <f>IF($DM336=0,"",IF(AND($DV336&lt;&gt;"",UPPER($DV336)&lt;&gt;"N"),"allergen",IF(ISNUMBER(SEARCH("oil",$DQ336)),"oil",IF(OR(EXACT($DS336,"A662"),EXACT($DS336,"A624")),"bulk",""))))</f>
        <v/>
      </c>
      <c r="ET336">
        <f>IF($DM336=0,"",IF(OR($EA336="",$EA336=0),"",$EA336/100))</f>
        <v/>
      </c>
      <c r="EU336">
        <f>IF(OR($ET336="",$DY336=""),"",INT($DY336*(1-$ET336)+0.5))</f>
        <v/>
      </c>
      <c r="EW336" t="n">
        <v>332</v>
      </c>
      <c r="EX336">
        <f>IFERROR(MATCH($EW336,$EM$5:$EM$1003,0),0)</f>
        <v/>
      </c>
      <c r="EY336">
        <f>IF($EW336&gt;$B$12,"",IF($EX336&gt;0,"row","spacer"))</f>
        <v/>
      </c>
      <c r="EZ336">
        <f>IF(AND($EY336="row",$EY335&lt;&gt;"row"),1,0)</f>
        <v/>
      </c>
      <c r="FA336">
        <f>IF(AND($EY336="row",$EY337&lt;&gt;"row"),1,0)</f>
        <v/>
      </c>
      <c r="FB336">
        <f>IF($EZ336=1,IFERROR(IF(ISNUMBER(INDEX(PASTE_ALL,INDEX($DF$5:$DF$1003,$EX336),$B$37)),INDEX(PASTE_ALL,INDEX($DF$5:$DF$1003,$EX336),$B$37),INDEX($DH$5:$DH$1003,$EX336)),INDEX($DH$5:$DH$1003,$EX336)),"")</f>
        <v/>
      </c>
      <c r="FC336">
        <f>IF($EY336="row",INDEX($ER$5:$ER$1003,$EX336),"")</f>
        <v/>
      </c>
      <c r="FD336">
        <f>IF($EY336="row",INDEX($DN$5:$DN$1003,$EX336),"")</f>
        <v/>
      </c>
      <c r="FE336">
        <f>IF($EY336="row",INDEX($DO$5:$DO$1003,$EX336),"")</f>
        <v/>
      </c>
      <c r="FF336">
        <f>IF($EY336="row",INDEX($DP$5:$DP$1003,$EX336),"")</f>
        <v/>
      </c>
      <c r="FG336">
        <f>IF($EY336="row",INDEX($DQ$5:$DQ$1003,$EX336),"")</f>
        <v/>
      </c>
      <c r="FH336">
        <f>IF($EY336="row",INDEX($DR$5:$DR$1003,$EX336),"")</f>
        <v/>
      </c>
      <c r="FI336">
        <f>IF($EY336="row",INDEX($DS$5:$DS$1003,$EX336),"")</f>
        <v/>
      </c>
      <c r="FJ336">
        <f>IF($EY336="row",INDEX($DT$5:$DT$1003,$EX336),"")</f>
        <v/>
      </c>
      <c r="FK336">
        <f>IF($EY336="row",INDEX($DU$5:$DU$1003,$EX336),"")</f>
        <v/>
      </c>
      <c r="FL336">
        <f>IF($EY336="row",INDEX($DV$5:$DV$1003,$EX336),"")</f>
        <v/>
      </c>
      <c r="FM336">
        <f>IF($EY336="row",INDEX($DW$5:$DW$1003,$EX336),"")</f>
        <v/>
      </c>
      <c r="FN336">
        <f>IF($EY336="row",INDEX($DY$5:$DY$1003,$EX336),"")</f>
        <v/>
      </c>
      <c r="FO336">
        <f>IF($EY336="row",INDEX($EA$5:$EA$1003,$EX336),"")</f>
        <v/>
      </c>
      <c r="FP336">
        <f>IF($EY336="row",INDEX($EC$5:$EC$1003,$EX336),"")</f>
        <v/>
      </c>
      <c r="FQ336">
        <f>IF($EY336="row",INDEX($ET$5:$ET$1003,$EX336),"")</f>
        <v/>
      </c>
      <c r="FR336">
        <f>IF($EY336="row",INDEX($EU$5:$EU$1003,$EX336),"")</f>
        <v/>
      </c>
      <c r="FS336">
        <f>IF(AND($EY336="row",$EY335="row"),IF(OR(INDEX($DT$5:$DT$1003,$EX335)="",INDEX($DT$5:$DT$1003,$EX336)=""),"",IF(NOT(EXACT(INDEX($DT$5:$DT$1003,$EX335),INDEX($DT$5:$DT$1003,$EX336))),"S4",IF(NOT(EXACT(INDEX($DS$5:$DS$1003,$EX335),INDEX($DS$5:$DS$1003,$EX336))),"S3",IF(NOT(EXACT(INDEX($DR$5:$DR$1003,$EX335),INDEX($DR$5:$DR$1003,$EX336))),"S1 Count Change","S1")))),"")</f>
        <v/>
      </c>
      <c r="FT336">
        <f>IF($EY336="row",INDEX($ES$5:$ES$1003,$EX336),"")</f>
        <v/>
      </c>
      <c r="FU336">
        <f>IF($EY336="row",INDEX($EO$5:$EO$1003,$EX336),0)</f>
        <v/>
      </c>
      <c r="FV336">
        <f>IF($FS336="S1 Count Change",1,0)</f>
        <v/>
      </c>
    </row>
    <row r="337">
      <c r="DA337" t="n">
        <v>333</v>
      </c>
      <c r="DB337">
        <f>IF($B$37=0,"",IFERROR(TRIM(SUBSTITUTE(SUBSTITUTE(SUBSTITUTE(SUBSTITUTE(INDEX(PASTE_ALL,333,$B$37)," "," "),CHAR(9)," "),CHAR(10)," "),CHAR(13)," ")),""))</f>
        <v/>
      </c>
      <c r="DC337">
        <f>IF(AND(333&gt;HEADER_ROW,UPPER(DB337)="LEGEND"),1,0)</f>
        <v/>
      </c>
      <c r="DE337" t="n">
        <v>333</v>
      </c>
      <c r="DF337">
        <f>HEADER_ROW+$DE337</f>
        <v/>
      </c>
      <c r="DG337">
        <f>IF(AND($DF337&lt;=1000,$DF337&lt;$B$8),1,0)</f>
        <v/>
      </c>
      <c r="DH337">
        <f>IF($DG337=1,IFERROR(INDEX($DB$5:$DB$1004,$DF337),""),"")</f>
        <v/>
      </c>
      <c r="DI337">
        <f>IF(AND($DG337=1,$DH337&lt;&gt;""),IFERROR(SUBSTITUTE(SUBSTITUTE(TRIM(SUBSTITUTE(SUBSTITUTE(SUBSTITUTE(SUBSTITUTE(IFERROR(INDEX(PASTE_ALL,$DF337,1)&amp;"","")&amp;"␟"&amp;IFERROR(INDEX(PASTE_ALL,$DF337,2)&amp;"","")&amp;"␟"&amp;IFERROR(INDEX(PASTE_ALL,$DF337,3)&amp;"","")&amp;"␟"&amp;IFERROR(INDEX(PASTE_ALL,$DF337,4)&amp;"","")&amp;"␟"&amp;IFERROR(INDEX(PASTE_ALL,$DF337,5)&amp;"","")&amp;"␟"&amp;IFERROR(INDEX(PASTE_ALL,$DF337,6)&amp;"","")&amp;"␟"&amp;IFERROR(INDEX(PASTE_ALL,$DF337,7)&amp;"","")&amp;"␟"&amp;IFERROR(INDEX(PASTE_ALL,$DF337,8)&amp;"","")&amp;"␟"&amp;IFERROR(INDEX(PASTE_ALL,$DF337,9)&amp;"","")&amp;"␟"&amp;IFERROR(INDEX(PASTE_ALL,$DF337,10)&amp;"","")&amp;"␟"&amp;IFERROR(INDEX(PASTE_ALL,$DF337,11)&amp;"","")&amp;"␟"&amp;IFERROR(INDEX(PASTE_ALL,$DF337,12)&amp;"","")&amp;"␟"&amp;IFERROR(INDEX(PASTE_ALL,$DF337,13)&amp;"","")&amp;"␟"&amp;IFERROR(INDEX(PASTE_ALL,$DF337,14)&amp;"","")&amp;"␟"&amp;IFERROR(INDEX(PASTE_ALL,$DF337,15)&amp;"","")&amp;"␟"&amp;IFERROR(INDEX(PASTE_ALL,$DF337,16)&amp;"","")&amp;"␟"&amp;IFERROR(INDEX(PASTE_ALL,$DF337,17)&amp;"","")&amp;"␟"&amp;IFERROR(INDEX(PASTE_ALL,$DF337,18)&amp;"","")&amp;"␟"&amp;IFERROR(INDEX(PASTE_ALL,$DF337,19)&amp;"","")&amp;"␟"&amp;IFERROR(INDEX(PASTE_ALL,$DF337,20)&amp;"","")&amp;"␟"&amp;IFERROR(INDEX(PASTE_ALL,$DF337,21)&amp;"","")&amp;"␟"&amp;IFERROR(INDEX(PASTE_ALL,$DF337,22)&amp;"","")&amp;"␟"&amp;IFERROR(INDEX(PASTE_ALL,$DF337,23)&amp;"","")&amp;"␟"&amp;IFERROR(INDEX(PASTE_ALL,$DF337,24)&amp;"","")&amp;"␟"&amp;IFERROR(INDEX(PASTE_ALL,$DF337,25)&amp;"","")&amp;"␟"&amp;IFERROR(INDEX(PASTE_ALL,$DF337,26)&amp;"","")&amp;"␟"&amp;IFERROR(INDEX(PASTE_ALL,$DF337,27)&amp;"","")&amp;"␟"&amp;IFERROR(INDEX(PASTE_ALL,$DF337,28)&amp;"","")&amp;"␟"&amp;IFERROR(INDEX(PASTE_ALL,$DF337,29)&amp;"","")&amp;"␟"&amp;IFERROR(INDEX(PASTE_ALL,$DF337,30)&amp;"","")&amp;"␟"&amp;IFERROR(INDEX(PASTE_ALL,$DF337,31)&amp;"","")&amp;"␟"&amp;IFERROR(INDEX(PASTE_ALL,$DF337,32)&amp;"","")&amp;"␟"&amp;IFERROR(INDEX(PASTE_ALL,$DF337,33)&amp;"","")&amp;"␟"&amp;IFERROR(INDEX(PASTE_ALL,$DF337,34)&amp;"","")&amp;"␟"&amp;IFERROR(INDEX(PASTE_ALL,$DF337,35)&amp;"","")&amp;"␟"&amp;IFERROR(INDEX(PASTE_ALL,$DF337,36)&amp;"","")&amp;"␟"&amp;IFERROR(INDEX(PASTE_ALL,$DF337,37)&amp;"","")&amp;"␟"&amp;IFERROR(INDEX(PASTE_ALL,$DF337,38)&amp;"","")&amp;"␟"&amp;IFERROR(INDEX(PASTE_ALL,$DF337,39)&amp;"","")&amp;"␟"&amp;IFERROR(INDEX(PASTE_ALL,$DF337,40)&amp;"","")&amp;"␟"&amp;IFERROR(INDEX(PASTE_ALL,$DF337,41)&amp;"","")&amp;"␟"&amp;IFERROR(INDEX(PASTE_ALL,$DF337,42)&amp;"","")&amp;"␟"&amp;IFERROR(INDEX(PASTE_ALL,$DF337,43)&amp;"","")&amp;"␟"&amp;IFERROR(INDEX(PASTE_ALL,$DF337,44)&amp;"","")&amp;"␟"&amp;IFERROR(INDEX(PASTE_ALL,$DF337,45)&amp;"","")&amp;"␟"&amp;IFERROR(INDEX(PASTE_ALL,$DF337,46)&amp;"","")&amp;"␟"&amp;IFERROR(INDEX(PASTE_ALL,$DF337,47)&amp;"","")&amp;"␟"&amp;IFERROR(INDEX(PASTE_ALL,$DF337,48)&amp;"","")&amp;"␟"&amp;IFERROR(INDEX(PASTE_ALL,$DF337,49)&amp;"","")&amp;"␟"&amp;IFERROR(INDEX(PASTE_ALL,$DF337,50)&amp;"","")&amp;"␟"&amp;IFERROR(INDEX(PASTE_ALL,$DF337,51)&amp;"","")&amp;"␟"&amp;IFERROR(INDEX(PASTE_ALL,$DF337,52)&amp;"","")&amp;"␟"&amp;IFERROR(INDEX(PASTE_ALL,$DF337,53)&amp;"","")&amp;"␟"&amp;IFERROR(INDEX(PASTE_ALL,$DF337,54)&amp;"","")&amp;"␟"&amp;IFERROR(INDEX(PASTE_ALL,$DF337,55)&amp;"","")&amp;"␟"&amp;IFERROR(INDEX(PASTE_ALL,$DF337,56)&amp;"","")&amp;"␟"&amp;IFERROR(INDEX(PASTE_ALL,$DF337,57)&amp;"","")&amp;"␟"&amp;IFERROR(INDEX(PASTE_ALL,$DF337,58)&amp;"","")&amp;"␟"&amp;IFERROR(INDEX(PASTE_ALL,$DF337,59)&amp;"","")&amp;"␟"&amp;IFERROR(INDEX(PASTE_ALL,$DF337,60)&amp;"","")," "," "),CHAR(9)," "),CHAR(10)," "),CHAR(13)," "))," ␟","␟"),"␟ ","␟"),"#"&amp;$DE337),"")</f>
        <v/>
      </c>
      <c r="DJ337">
        <f>IF($DI337="",0,IF(SUMPRODUCT(--EXACT($DI$4:DI336,$DI337))&gt;0,1,0))</f>
        <v/>
      </c>
      <c r="DK337">
        <f>IF(AND($DI337&lt;&gt;"",$DJ337=0),1,0)</f>
        <v/>
      </c>
      <c r="DL337">
        <f>DL336+$DK337</f>
        <v/>
      </c>
      <c r="DM337">
        <f>IF(AND($DK337=1,$DL337&lt;=600),1,0)</f>
        <v/>
      </c>
      <c r="DN337">
        <f>IF($DM337=0,"",IF($L$6=0,"",IFERROR(IF(ISNUMBER(INDEX(PASTE_ALL,$DF337,$L$6)),INDEX(PASTE_ALL,$DF337,$L$6),TRIM(SUBSTITUTE(SUBSTITUTE(SUBSTITUTE(SUBSTITUTE(INDEX(PASTE_ALL,$DF337,$L$6)," "," "),CHAR(9)," "),CHAR(10)," "),CHAR(13)," "))),"")))</f>
        <v/>
      </c>
      <c r="DO337">
        <f>IF($DM337=0,"",IF($L$7=0,"",IFERROR(IF(ISNUMBER(INDEX(PASTE_ALL,$DF337,$L$7)),INDEX(PASTE_ALL,$DF337,$L$7),TRIM(SUBSTITUTE(SUBSTITUTE(SUBSTITUTE(SUBSTITUTE(INDEX(PASTE_ALL,$DF337,$L$7)," "," "),CHAR(9)," "),CHAR(10)," "),CHAR(13)," "))),"")))</f>
        <v/>
      </c>
      <c r="DP337">
        <f>IF($DM337=0,"",IF($L$8=0,"",IFERROR(IF(ISNUMBER(INDEX(PASTE_ALL,$DF337,$L$8)),INDEX(PASTE_ALL,$DF337,$L$8),TRIM(SUBSTITUTE(SUBSTITUTE(SUBSTITUTE(SUBSTITUTE(INDEX(PASTE_ALL,$DF337,$L$8)," "," "),CHAR(9)," "),CHAR(10)," "),CHAR(13)," "))),"")))</f>
        <v/>
      </c>
      <c r="DQ337">
        <f>IF($DM337=0,"",IF($L$9=0,"",IFERROR(IF(ISNUMBER(INDEX(PASTE_ALL,$DF337,$L$9)),INDEX(PASTE_ALL,$DF337,$L$9),TRIM(SUBSTITUTE(SUBSTITUTE(SUBSTITUTE(SUBSTITUTE(INDEX(PASTE_ALL,$DF337,$L$9)," "," "),CHAR(9)," "),CHAR(10)," "),CHAR(13)," "))),"")))</f>
        <v/>
      </c>
      <c r="DR337">
        <f>IF($DM337=0,"",IF($L$10=0,"",IFERROR(IF(ISNUMBER(INDEX(PASTE_ALL,$DF337,$L$10)),INDEX(PASTE_ALL,$DF337,$L$10),TRIM(SUBSTITUTE(SUBSTITUTE(SUBSTITUTE(SUBSTITUTE(INDEX(PASTE_ALL,$DF337,$L$10)," "," "),CHAR(9)," "),CHAR(10)," "),CHAR(13)," "))),"")))</f>
        <v/>
      </c>
      <c r="DS337">
        <f>IF($DM337=0,"",IF($L$11=0,"",IFERROR(IF(ISNUMBER(INDEX(PASTE_ALL,$DF337,$L$11)),INDEX(PASTE_ALL,$DF337,$L$11),TRIM(SUBSTITUTE(SUBSTITUTE(SUBSTITUTE(SUBSTITUTE(INDEX(PASTE_ALL,$DF337,$L$11)," "," "),CHAR(9)," "),CHAR(10)," "),CHAR(13)," "))),"")))</f>
        <v/>
      </c>
      <c r="DT337">
        <f>IF($DM337=0,"",IF($L$12=0,"",IFERROR(IF(ISNUMBER(INDEX(PASTE_ALL,$DF337,$L$12)),INDEX(PASTE_ALL,$DF337,$L$12),TRIM(SUBSTITUTE(SUBSTITUTE(SUBSTITUTE(SUBSTITUTE(INDEX(PASTE_ALL,$DF337,$L$12)," "," "),CHAR(9)," "),CHAR(10)," "),CHAR(13)," "))),"")))</f>
        <v/>
      </c>
      <c r="DU337">
        <f>IF($DM337=0,"",IF($L$13=0,"",IFERROR(IF(ISNUMBER(INDEX(PASTE_ALL,$DF337,$L$13)),INDEX(PASTE_ALL,$DF337,$L$13),TRIM(SUBSTITUTE(SUBSTITUTE(SUBSTITUTE(SUBSTITUTE(INDEX(PASTE_ALL,$DF337,$L$13)," "," "),CHAR(9)," "),CHAR(10)," "),CHAR(13)," "))),"")))</f>
        <v/>
      </c>
      <c r="DV337">
        <f>IF($DM337=0,"",IF($L$14=0,"",IFERROR(IF(ISNUMBER(INDEX(PASTE_ALL,$DF337,$L$14)),INDEX(PASTE_ALL,$DF337,$L$14),TRIM(SUBSTITUTE(SUBSTITUTE(SUBSTITUTE(SUBSTITUTE(INDEX(PASTE_ALL,$DF337,$L$14)," "," "),CHAR(9)," "),CHAR(10)," "),CHAR(13)," "))),"")))</f>
        <v/>
      </c>
      <c r="DW337">
        <f>IF($DM337=0,"",IF($L$15=0,"",IFERROR(IF(ISNUMBER(INDEX(PASTE_ALL,$DF337,$L$15)),INDEX(PASTE_ALL,$DF337,$L$15),IF(SUMPRODUCT(--ISNUMBER(FIND({"A","B","C","D","E","F","G","H","I","J","K","L","M","N","O","P","Q","R","S","T","U","V","W","X","Y","Z","0","1","2","3","4","5","6","7","8","9"},UPPER(TRIM(SUBSTITUTE(SUBSTITUTE(SUBSTITUTE(SUBSTITUTE(INDEX(PASTE_ALL,$DF337,$L$15)," "," "),CHAR(9)," "),CHAR(10)," "),CHAR(13)," "))))))&gt;0,TRIM(SUBSTITUTE(SUBSTITUTE(SUBSTITUTE(SUBSTITUTE(INDEX(PASTE_ALL,$DF337,$L$15)," "," "),CHAR(9)," "),CHAR(10)," "),CHAR(13)," ")),"")),"")))</f>
        <v/>
      </c>
      <c r="DX337">
        <f>IF($DM337=0,"",IF($L$16=0,"",IFERROR(IF(ISNUMBER(INDEX(PASTE_ALL,$DF337,$L$16)),INDEX(PASTE_ALL,$DF337,$L$16),SUBSTITUTE(SUBSTITUTE(TRIM(SUBSTITUTE(SUBSTITUTE(SUBSTITUTE(SUBSTITUTE(INDEX(PASTE_ALL,$DF337,$L$16)," "," "),CHAR(9)," "),CHAR(10)," "),CHAR(13)," ")),",",""),"%","")),"")))</f>
        <v/>
      </c>
      <c r="DY337">
        <f>IF($DM337=0,"",IFERROR(IF(ISNUMBER($DX337),$DX337,IF($DX337="","",IF(TRIM($DX337)="",0,IF(AND(AND(SUBSTITUTE(SUBSTITUTE(SUBSTITUTE(SUBSTITUTE(SUBSTITUTE(SUBSTITUTE(SUBSTITUTE(SUBSTITUTE(SUBSTITUTE(SUBSTITUTE(SUBSTITUTE(SUBSTITUTE(SUBSTITUTE(SUBSTITUTE(UPPER(TRIM($DX337)),"0",""),"1",""),"2",""),"3",""),"4",""),"5",""),"6",""),"7",""),"8",""),"9",""),".",""),"+",""),"-",""),"E","")="",LEN(SUBSTITUTE(SUBSTITUTE(MID(UPPER(TRIM($DX337)),1+OR(LEFT(UPPER(TRIM($DX337)),1)="+",LEFT(UPPER(TRIM($DX337)),1)="-"),999),"E+","E"),"E-","E"))=LEN(SUBSTITUTE(SUBSTITUTE(SUBSTITUTE(SUBSTITUTE(MID(UPPER(TRIM($DX337)),1+OR(LEFT(UPPER(TRIM($DX337)),1)="+",LEFT(UPPER(TRIM($DX337)),1)="-"),999),"E+","E"),"E-","E"),"+",""),"-","")),LEN(UPPER(TRIM($DX337)))-LEN(SUBSTITUTE(UPPER(TRIM($DX337)),"E",""))&lt;2,LEN(UPPER(TRIM($DX337)))-LEN(SUBSTITUTE(UPPER(TRIM($DX337)),".",""))&lt;2,IFERROR(FIND(".",UPPER(TRIM($DX337))),0)&lt;IFERROR(FIND("E",UPPER(TRIM($DX337))),999)),ISNUMBER(VALUE(TRIM($DX337)))),VALUE(TRIM($DX337)),"")))),""))</f>
        <v/>
      </c>
      <c r="DZ337">
        <f>IF($DM337=0,"",IF($L$17=0,"",IFERROR(IF(ISNUMBER(INDEX(PASTE_ALL,$DF337,$L$17)),INDEX(PASTE_ALL,$DF337,$L$17),SUBSTITUTE(SUBSTITUTE(TRIM(SUBSTITUTE(SUBSTITUTE(SUBSTITUTE(SUBSTITUTE(INDEX(PASTE_ALL,$DF337,$L$17)," "," "),CHAR(9)," "),CHAR(10)," "),CHAR(13)," ")),",",""),"%","")),"")))</f>
        <v/>
      </c>
      <c r="EA337">
        <f>IF($DM337=0,"",IFERROR(IF(ISNUMBER($DZ337),$DZ337,IF($DZ337="","",IF(TRIM($DZ337)="",0,IF(AND(AND(SUBSTITUTE(SUBSTITUTE(SUBSTITUTE(SUBSTITUTE(SUBSTITUTE(SUBSTITUTE(SUBSTITUTE(SUBSTITUTE(SUBSTITUTE(SUBSTITUTE(SUBSTITUTE(SUBSTITUTE(SUBSTITUTE(SUBSTITUTE(UPPER(TRIM($DZ337)),"0",""),"1",""),"2",""),"3",""),"4",""),"5",""),"6",""),"7",""),"8",""),"9",""),".",""),"+",""),"-",""),"E","")="",LEN(SUBSTITUTE(SUBSTITUTE(MID(UPPER(TRIM($DZ337)),1+OR(LEFT(UPPER(TRIM($DZ337)),1)="+",LEFT(UPPER(TRIM($DZ337)),1)="-"),999),"E+","E"),"E-","E"))=LEN(SUBSTITUTE(SUBSTITUTE(SUBSTITUTE(SUBSTITUTE(MID(UPPER(TRIM($DZ337)),1+OR(LEFT(UPPER(TRIM($DZ337)),1)="+",LEFT(UPPER(TRIM($DZ337)),1)="-"),999),"E+","E"),"E-","E"),"+",""),"-","")),LEN(UPPER(TRIM($DZ337)))-LEN(SUBSTITUTE(UPPER(TRIM($DZ337)),"E",""))&lt;2,LEN(UPPER(TRIM($DZ337)))-LEN(SUBSTITUTE(UPPER(TRIM($DZ337)),".",""))&lt;2,IFERROR(FIND(".",UPPER(TRIM($DZ337))),0)&lt;IFERROR(FIND("E",UPPER(TRIM($DZ337))),999)),ISNUMBER(VALUE(TRIM($DZ337)))),VALUE(TRIM($DZ337)),"")))),""))</f>
        <v/>
      </c>
      <c r="EB337">
        <f>IF($DM337=0,"",IF($L$18=0,"",IFERROR(IF(UPPER(TRIM(SUBSTITUTE(SUBSTITUTE(SUBSTITUTE(SUBSTITUTE(INDEX(PASTE_ALL,$DF337,$L$18)," "," "),CHAR(9)," "),CHAR(10)," "),CHAR(13)," ")))="READY","Ready",IF(UPPER(TRIM(SUBSTITUTE(SUBSTITUTE(SUBSTITUTE(SUBSTITUTE(INDEX(PASTE_ALL,$DF337,$L$18)," "," "),CHAR(9)," "),CHAR(10)," "),CHAR(13)," ")))="PM","PM",IF(OR(UPPER(TRIM(SUBSTITUTE(SUBSTITUTE(SUBSTITUTE(SUBSTITUTE(INDEX(PASTE_ALL,$DF337,$L$18)," "," "),CHAR(9)," "),CHAR(10)," "),CHAR(13)," ")))="OT",UPPER(TRIM(SUBSTITUTE(SUBSTITUTE(SUBSTITUTE(SUBSTITUTE(INDEX(PASTE_ALL,$DF337,$L$18)," "," "),CHAR(9)," "),CHAR(10)," "),CHAR(13)," ")))="OVERTIME",UPPER(TRIM(SUBSTITUTE(SUBSTITUTE(SUBSTITUTE(SUBSTITUTE(INDEX(PASTE_ALL,$DF337,$L$18)," "," "),CHAR(9)," "),CHAR(10)," "),CHAR(13)," ")))="TRIAL"),"OT",TRIM(SUBSTITUTE(SUBSTITUTE(SUBSTITUTE(SUBSTITUTE(INDEX(PASTE_ALL,$DF337,$L$18)," "," "),CHAR(9)," "),CHAR(10)," "),CHAR(13)," "))))),"")))</f>
        <v/>
      </c>
      <c r="EC337">
        <f>IF($DM337=0,"",IF($L$19=0,"",IFERROR(IF(ISNUMBER(INDEX(PASTE_ALL,$DF337,$L$19)),INDEX(PASTE_ALL,$DF337,$L$19),TRIM(SUBSTITUTE(SUBSTITUTE(SUBSTITUTE(SUBSTITUTE(INDEX(PASTE_ALL,$DF337,$L$19)," "," "),CHAR(9)," "),CHAR(10)," "),CHAR(13)," "))),"")))</f>
        <v/>
      </c>
      <c r="ED337">
        <f>IF($DM337=0,"",MATCH(1,INDEX(EXACT($DH$5:DH337,$DH337)*$DM$5:DM337,0),0))</f>
        <v/>
      </c>
      <c r="EE337">
        <f>IF($DM337=0,0,IF($ED337=$DE337,1,0))</f>
        <v/>
      </c>
      <c r="EF337">
        <f>EF336+$EE337</f>
        <v/>
      </c>
      <c r="EG337">
        <f>IF($DM337=0,"",INDEX($EF$5:$EF$1003,$ED337))</f>
        <v/>
      </c>
      <c r="EH337">
        <f>IF($DM337=0,"",IF($DO337&lt;&gt;"","",IFERROR(LOOKUP(2,1/(($EG$4:EG336=$EG337)*($DO$4:DO336&lt;&gt;"")),$DO$4:DO336),"")))</f>
        <v/>
      </c>
      <c r="EI337">
        <f>IF($DM337=0,"",IF($DO337&lt;&gt;"",$DO337,$EH337))</f>
        <v/>
      </c>
      <c r="EJ337">
        <f>IF($DM337=0,"",IF($EI337="",0,IF(OR(ISNUMBER($EI337),AND(AND(SUBSTITUTE(SUBSTITUTE(SUBSTITUTE(SUBSTITUTE(SUBSTITUTE(SUBSTITUTE(SUBSTITUTE(SUBSTITUTE(SUBSTITUTE(SUBSTITUTE(SUBSTITUTE(SUBSTITUTE(SUBSTITUTE(SUBSTITUTE(UPPER($EI337),"0",""),"1",""),"2",""),"3",""),"4",""),"5",""),"6",""),"7",""),"8",""),"9",""),".",""),"+",""),"-",""),"E","")="",LEN(SUBSTITUTE(SUBSTITUTE(MID(UPPER($EI337),1+OR(LEFT(UPPER($EI337),1)="+",LEFT(UPPER($EI337),1)="-"),999),"E+","E"),"E-","E"))=LEN(SUBSTITUTE(SUBSTITUTE(SUBSTITUTE(SUBSTITUTE(MID(UPPER($EI337),1+OR(LEFT(UPPER($EI337),1)="+",LEFT(UPPER($EI337),1)="-"),999),"E+","E"),"E-","E"),"+",""),"-","")),LEN(UPPER($EI337))-LEN(SUBSTITUTE(UPPER($EI337),"E",""))&lt;2,LEN(UPPER($EI337))-LEN(SUBSTITUTE(UPPER($EI337),".",""))&lt;2,IFERROR(FIND(".",UPPER($EI337)),0)&lt;IFERROR(FIND("E",UPPER($EI337)),999)),ISNUMBER(VALUE($EI337)))),1,2)))</f>
        <v/>
      </c>
      <c r="EK337">
        <f>IF($DM337=0,"",IF($EJ337=1,IF(ISNUMBER($EI337),$EI337,VALUE($EI337)),IF($EJ337=2,$DE337,0)))</f>
        <v/>
      </c>
      <c r="EL337">
        <f>IF($DM337=0,"",COUNTIF($EG$5:$EG$1003,"&lt;"&amp;$EG337)+SUMPRODUCT(($EG$5:$EG$1003=$EG337)*(($EJ$5:$EJ$1003&lt;$EJ337)+($EJ$5:$EJ$1003=$EJ337)*(($EK$5:$EK$1003&lt;$EK337)+($EK$5:$EK$1003=$EK337)*($DE$5:$DE$1003&lt;$DE337))))+1)</f>
        <v/>
      </c>
      <c r="EM337">
        <f>IF($DM337=0,"",$EL337+$EG337-1)</f>
        <v/>
      </c>
      <c r="EN337">
        <f>IF($DM337=0,0,IFERROR(MATCH(1,INDEX(--(TRIM(SUBSTITUTE(SUBSTITUTE(SUBSTITUTE(SUBSTITUTE(LINES_NAME&amp;""," "," "),CHAR(9)," "),CHAR(10)," "),CHAR(13)," "))=$DH337),0),0),0))</f>
        <v/>
      </c>
      <c r="EO337">
        <f>IF($EN337=0,0,IF(OR(UPPER(TRIM(INDEX(LINES_SCHEDULED,$EN337)&amp;""))="YES",UPPER(TRIM(INDEX(LINES_SCHEDULED,$EN337)&amp;""))="Y",UPPER(TRIM(INDEX(LINES_SCHEDULED,$EN337)&amp;""))="X"),1,0))</f>
        <v/>
      </c>
      <c r="EP337">
        <f>IF($DM337=0,"",IF(COUNTIFS($EG$5:$EG$1003,$EG337,$EB$5:$EB$1003,"Ready")&gt;0,"READY",IF(COUNTIFS($EG$5:$EG$1003,$EG337,$EB$5:$EB$1003,"PM")&gt;0,"PM",IF(COUNTIFS($EG$5:$EG$1003,$EG337,$EB$5:$EB$1003,"OT")&gt;0,"OT",""))))</f>
        <v/>
      </c>
      <c r="EQ337">
        <f>IF($EN337=0,"",UPPER(TRIM(INDEX(LINES_STATUS,$EN337)&amp;"")))</f>
        <v/>
      </c>
      <c r="ER337">
        <f>IF($DM337=0,"",IF(OR($EQ337="READY",$EQ337="PM",$EQ337="OT"),$EQ337,$EP337))</f>
        <v/>
      </c>
      <c r="ES337">
        <f>IF($DM337=0,"",IF(AND($DV337&lt;&gt;"",UPPER($DV337)&lt;&gt;"N"),"allergen",IF(ISNUMBER(SEARCH("oil",$DQ337)),"oil",IF(OR(EXACT($DS337,"A662"),EXACT($DS337,"A624")),"bulk",""))))</f>
        <v/>
      </c>
      <c r="ET337">
        <f>IF($DM337=0,"",IF(OR($EA337="",$EA337=0),"",$EA337/100))</f>
        <v/>
      </c>
      <c r="EU337">
        <f>IF(OR($ET337="",$DY337=""),"",INT($DY337*(1-$ET337)+0.5))</f>
        <v/>
      </c>
      <c r="EW337" t="n">
        <v>333</v>
      </c>
      <c r="EX337">
        <f>IFERROR(MATCH($EW337,$EM$5:$EM$1003,0),0)</f>
        <v/>
      </c>
      <c r="EY337">
        <f>IF($EW337&gt;$B$12,"",IF($EX337&gt;0,"row","spacer"))</f>
        <v/>
      </c>
      <c r="EZ337">
        <f>IF(AND($EY337="row",$EY336&lt;&gt;"row"),1,0)</f>
        <v/>
      </c>
      <c r="FA337">
        <f>IF(AND($EY337="row",$EY338&lt;&gt;"row"),1,0)</f>
        <v/>
      </c>
      <c r="FB337">
        <f>IF($EZ337=1,IFERROR(IF(ISNUMBER(INDEX(PASTE_ALL,INDEX($DF$5:$DF$1003,$EX337),$B$37)),INDEX(PASTE_ALL,INDEX($DF$5:$DF$1003,$EX337),$B$37),INDEX($DH$5:$DH$1003,$EX337)),INDEX($DH$5:$DH$1003,$EX337)),"")</f>
        <v/>
      </c>
      <c r="FC337">
        <f>IF($EY337="row",INDEX($ER$5:$ER$1003,$EX337),"")</f>
        <v/>
      </c>
      <c r="FD337">
        <f>IF($EY337="row",INDEX($DN$5:$DN$1003,$EX337),"")</f>
        <v/>
      </c>
      <c r="FE337">
        <f>IF($EY337="row",INDEX($DO$5:$DO$1003,$EX337),"")</f>
        <v/>
      </c>
      <c r="FF337">
        <f>IF($EY337="row",INDEX($DP$5:$DP$1003,$EX337),"")</f>
        <v/>
      </c>
      <c r="FG337">
        <f>IF($EY337="row",INDEX($DQ$5:$DQ$1003,$EX337),"")</f>
        <v/>
      </c>
      <c r="FH337">
        <f>IF($EY337="row",INDEX($DR$5:$DR$1003,$EX337),"")</f>
        <v/>
      </c>
      <c r="FI337">
        <f>IF($EY337="row",INDEX($DS$5:$DS$1003,$EX337),"")</f>
        <v/>
      </c>
      <c r="FJ337">
        <f>IF($EY337="row",INDEX($DT$5:$DT$1003,$EX337),"")</f>
        <v/>
      </c>
      <c r="FK337">
        <f>IF($EY337="row",INDEX($DU$5:$DU$1003,$EX337),"")</f>
        <v/>
      </c>
      <c r="FL337">
        <f>IF($EY337="row",INDEX($DV$5:$DV$1003,$EX337),"")</f>
        <v/>
      </c>
      <c r="FM337">
        <f>IF($EY337="row",INDEX($DW$5:$DW$1003,$EX337),"")</f>
        <v/>
      </c>
      <c r="FN337">
        <f>IF($EY337="row",INDEX($DY$5:$DY$1003,$EX337),"")</f>
        <v/>
      </c>
      <c r="FO337">
        <f>IF($EY337="row",INDEX($EA$5:$EA$1003,$EX337),"")</f>
        <v/>
      </c>
      <c r="FP337">
        <f>IF($EY337="row",INDEX($EC$5:$EC$1003,$EX337),"")</f>
        <v/>
      </c>
      <c r="FQ337">
        <f>IF($EY337="row",INDEX($ET$5:$ET$1003,$EX337),"")</f>
        <v/>
      </c>
      <c r="FR337">
        <f>IF($EY337="row",INDEX($EU$5:$EU$1003,$EX337),"")</f>
        <v/>
      </c>
      <c r="FS337">
        <f>IF(AND($EY337="row",$EY336="row"),IF(OR(INDEX($DT$5:$DT$1003,$EX336)="",INDEX($DT$5:$DT$1003,$EX337)=""),"",IF(NOT(EXACT(INDEX($DT$5:$DT$1003,$EX336),INDEX($DT$5:$DT$1003,$EX337))),"S4",IF(NOT(EXACT(INDEX($DS$5:$DS$1003,$EX336),INDEX($DS$5:$DS$1003,$EX337))),"S3",IF(NOT(EXACT(INDEX($DR$5:$DR$1003,$EX336),INDEX($DR$5:$DR$1003,$EX337))),"S1 Count Change","S1")))),"")</f>
        <v/>
      </c>
      <c r="FT337">
        <f>IF($EY337="row",INDEX($ES$5:$ES$1003,$EX337),"")</f>
        <v/>
      </c>
      <c r="FU337">
        <f>IF($EY337="row",INDEX($EO$5:$EO$1003,$EX337),0)</f>
        <v/>
      </c>
      <c r="FV337">
        <f>IF($FS337="S1 Count Change",1,0)</f>
        <v/>
      </c>
    </row>
    <row r="338">
      <c r="DA338" t="n">
        <v>334</v>
      </c>
      <c r="DB338">
        <f>IF($B$37=0,"",IFERROR(TRIM(SUBSTITUTE(SUBSTITUTE(SUBSTITUTE(SUBSTITUTE(INDEX(PASTE_ALL,334,$B$37)," "," "),CHAR(9)," "),CHAR(10)," "),CHAR(13)," ")),""))</f>
        <v/>
      </c>
      <c r="DC338">
        <f>IF(AND(334&gt;HEADER_ROW,UPPER(DB338)="LEGEND"),1,0)</f>
        <v/>
      </c>
      <c r="DE338" t="n">
        <v>334</v>
      </c>
      <c r="DF338">
        <f>HEADER_ROW+$DE338</f>
        <v/>
      </c>
      <c r="DG338">
        <f>IF(AND($DF338&lt;=1000,$DF338&lt;$B$8),1,0)</f>
        <v/>
      </c>
      <c r="DH338">
        <f>IF($DG338=1,IFERROR(INDEX($DB$5:$DB$1004,$DF338),""),"")</f>
        <v/>
      </c>
      <c r="DI338">
        <f>IF(AND($DG338=1,$DH338&lt;&gt;""),IFERROR(SUBSTITUTE(SUBSTITUTE(TRIM(SUBSTITUTE(SUBSTITUTE(SUBSTITUTE(SUBSTITUTE(IFERROR(INDEX(PASTE_ALL,$DF338,1)&amp;"","")&amp;"␟"&amp;IFERROR(INDEX(PASTE_ALL,$DF338,2)&amp;"","")&amp;"␟"&amp;IFERROR(INDEX(PASTE_ALL,$DF338,3)&amp;"","")&amp;"␟"&amp;IFERROR(INDEX(PASTE_ALL,$DF338,4)&amp;"","")&amp;"␟"&amp;IFERROR(INDEX(PASTE_ALL,$DF338,5)&amp;"","")&amp;"␟"&amp;IFERROR(INDEX(PASTE_ALL,$DF338,6)&amp;"","")&amp;"␟"&amp;IFERROR(INDEX(PASTE_ALL,$DF338,7)&amp;"","")&amp;"␟"&amp;IFERROR(INDEX(PASTE_ALL,$DF338,8)&amp;"","")&amp;"␟"&amp;IFERROR(INDEX(PASTE_ALL,$DF338,9)&amp;"","")&amp;"␟"&amp;IFERROR(INDEX(PASTE_ALL,$DF338,10)&amp;"","")&amp;"␟"&amp;IFERROR(INDEX(PASTE_ALL,$DF338,11)&amp;"","")&amp;"␟"&amp;IFERROR(INDEX(PASTE_ALL,$DF338,12)&amp;"","")&amp;"␟"&amp;IFERROR(INDEX(PASTE_ALL,$DF338,13)&amp;"","")&amp;"␟"&amp;IFERROR(INDEX(PASTE_ALL,$DF338,14)&amp;"","")&amp;"␟"&amp;IFERROR(INDEX(PASTE_ALL,$DF338,15)&amp;"","")&amp;"␟"&amp;IFERROR(INDEX(PASTE_ALL,$DF338,16)&amp;"","")&amp;"␟"&amp;IFERROR(INDEX(PASTE_ALL,$DF338,17)&amp;"","")&amp;"␟"&amp;IFERROR(INDEX(PASTE_ALL,$DF338,18)&amp;"","")&amp;"␟"&amp;IFERROR(INDEX(PASTE_ALL,$DF338,19)&amp;"","")&amp;"␟"&amp;IFERROR(INDEX(PASTE_ALL,$DF338,20)&amp;"","")&amp;"␟"&amp;IFERROR(INDEX(PASTE_ALL,$DF338,21)&amp;"","")&amp;"␟"&amp;IFERROR(INDEX(PASTE_ALL,$DF338,22)&amp;"","")&amp;"␟"&amp;IFERROR(INDEX(PASTE_ALL,$DF338,23)&amp;"","")&amp;"␟"&amp;IFERROR(INDEX(PASTE_ALL,$DF338,24)&amp;"","")&amp;"␟"&amp;IFERROR(INDEX(PASTE_ALL,$DF338,25)&amp;"","")&amp;"␟"&amp;IFERROR(INDEX(PASTE_ALL,$DF338,26)&amp;"","")&amp;"␟"&amp;IFERROR(INDEX(PASTE_ALL,$DF338,27)&amp;"","")&amp;"␟"&amp;IFERROR(INDEX(PASTE_ALL,$DF338,28)&amp;"","")&amp;"␟"&amp;IFERROR(INDEX(PASTE_ALL,$DF338,29)&amp;"","")&amp;"␟"&amp;IFERROR(INDEX(PASTE_ALL,$DF338,30)&amp;"","")&amp;"␟"&amp;IFERROR(INDEX(PASTE_ALL,$DF338,31)&amp;"","")&amp;"␟"&amp;IFERROR(INDEX(PASTE_ALL,$DF338,32)&amp;"","")&amp;"␟"&amp;IFERROR(INDEX(PASTE_ALL,$DF338,33)&amp;"","")&amp;"␟"&amp;IFERROR(INDEX(PASTE_ALL,$DF338,34)&amp;"","")&amp;"␟"&amp;IFERROR(INDEX(PASTE_ALL,$DF338,35)&amp;"","")&amp;"␟"&amp;IFERROR(INDEX(PASTE_ALL,$DF338,36)&amp;"","")&amp;"␟"&amp;IFERROR(INDEX(PASTE_ALL,$DF338,37)&amp;"","")&amp;"␟"&amp;IFERROR(INDEX(PASTE_ALL,$DF338,38)&amp;"","")&amp;"␟"&amp;IFERROR(INDEX(PASTE_ALL,$DF338,39)&amp;"","")&amp;"␟"&amp;IFERROR(INDEX(PASTE_ALL,$DF338,40)&amp;"","")&amp;"␟"&amp;IFERROR(INDEX(PASTE_ALL,$DF338,41)&amp;"","")&amp;"␟"&amp;IFERROR(INDEX(PASTE_ALL,$DF338,42)&amp;"","")&amp;"␟"&amp;IFERROR(INDEX(PASTE_ALL,$DF338,43)&amp;"","")&amp;"␟"&amp;IFERROR(INDEX(PASTE_ALL,$DF338,44)&amp;"","")&amp;"␟"&amp;IFERROR(INDEX(PASTE_ALL,$DF338,45)&amp;"","")&amp;"␟"&amp;IFERROR(INDEX(PASTE_ALL,$DF338,46)&amp;"","")&amp;"␟"&amp;IFERROR(INDEX(PASTE_ALL,$DF338,47)&amp;"","")&amp;"␟"&amp;IFERROR(INDEX(PASTE_ALL,$DF338,48)&amp;"","")&amp;"␟"&amp;IFERROR(INDEX(PASTE_ALL,$DF338,49)&amp;"","")&amp;"␟"&amp;IFERROR(INDEX(PASTE_ALL,$DF338,50)&amp;"","")&amp;"␟"&amp;IFERROR(INDEX(PASTE_ALL,$DF338,51)&amp;"","")&amp;"␟"&amp;IFERROR(INDEX(PASTE_ALL,$DF338,52)&amp;"","")&amp;"␟"&amp;IFERROR(INDEX(PASTE_ALL,$DF338,53)&amp;"","")&amp;"␟"&amp;IFERROR(INDEX(PASTE_ALL,$DF338,54)&amp;"","")&amp;"␟"&amp;IFERROR(INDEX(PASTE_ALL,$DF338,55)&amp;"","")&amp;"␟"&amp;IFERROR(INDEX(PASTE_ALL,$DF338,56)&amp;"","")&amp;"␟"&amp;IFERROR(INDEX(PASTE_ALL,$DF338,57)&amp;"","")&amp;"␟"&amp;IFERROR(INDEX(PASTE_ALL,$DF338,58)&amp;"","")&amp;"␟"&amp;IFERROR(INDEX(PASTE_ALL,$DF338,59)&amp;"","")&amp;"␟"&amp;IFERROR(INDEX(PASTE_ALL,$DF338,60)&amp;"","")," "," "),CHAR(9)," "),CHAR(10)," "),CHAR(13)," "))," ␟","␟"),"␟ ","␟"),"#"&amp;$DE338),"")</f>
        <v/>
      </c>
      <c r="DJ338">
        <f>IF($DI338="",0,IF(SUMPRODUCT(--EXACT($DI$4:DI337,$DI338))&gt;0,1,0))</f>
        <v/>
      </c>
      <c r="DK338">
        <f>IF(AND($DI338&lt;&gt;"",$DJ338=0),1,0)</f>
        <v/>
      </c>
      <c r="DL338">
        <f>DL337+$DK338</f>
        <v/>
      </c>
      <c r="DM338">
        <f>IF(AND($DK338=1,$DL338&lt;=600),1,0)</f>
        <v/>
      </c>
      <c r="DN338">
        <f>IF($DM338=0,"",IF($L$6=0,"",IFERROR(IF(ISNUMBER(INDEX(PASTE_ALL,$DF338,$L$6)),INDEX(PASTE_ALL,$DF338,$L$6),TRIM(SUBSTITUTE(SUBSTITUTE(SUBSTITUTE(SUBSTITUTE(INDEX(PASTE_ALL,$DF338,$L$6)," "," "),CHAR(9)," "),CHAR(10)," "),CHAR(13)," "))),"")))</f>
        <v/>
      </c>
      <c r="DO338">
        <f>IF($DM338=0,"",IF($L$7=0,"",IFERROR(IF(ISNUMBER(INDEX(PASTE_ALL,$DF338,$L$7)),INDEX(PASTE_ALL,$DF338,$L$7),TRIM(SUBSTITUTE(SUBSTITUTE(SUBSTITUTE(SUBSTITUTE(INDEX(PASTE_ALL,$DF338,$L$7)," "," "),CHAR(9)," "),CHAR(10)," "),CHAR(13)," "))),"")))</f>
        <v/>
      </c>
      <c r="DP338">
        <f>IF($DM338=0,"",IF($L$8=0,"",IFERROR(IF(ISNUMBER(INDEX(PASTE_ALL,$DF338,$L$8)),INDEX(PASTE_ALL,$DF338,$L$8),TRIM(SUBSTITUTE(SUBSTITUTE(SUBSTITUTE(SUBSTITUTE(INDEX(PASTE_ALL,$DF338,$L$8)," "," "),CHAR(9)," "),CHAR(10)," "),CHAR(13)," "))),"")))</f>
        <v/>
      </c>
      <c r="DQ338">
        <f>IF($DM338=0,"",IF($L$9=0,"",IFERROR(IF(ISNUMBER(INDEX(PASTE_ALL,$DF338,$L$9)),INDEX(PASTE_ALL,$DF338,$L$9),TRIM(SUBSTITUTE(SUBSTITUTE(SUBSTITUTE(SUBSTITUTE(INDEX(PASTE_ALL,$DF338,$L$9)," "," "),CHAR(9)," "),CHAR(10)," "),CHAR(13)," "))),"")))</f>
        <v/>
      </c>
      <c r="DR338">
        <f>IF($DM338=0,"",IF($L$10=0,"",IFERROR(IF(ISNUMBER(INDEX(PASTE_ALL,$DF338,$L$10)),INDEX(PASTE_ALL,$DF338,$L$10),TRIM(SUBSTITUTE(SUBSTITUTE(SUBSTITUTE(SUBSTITUTE(INDEX(PASTE_ALL,$DF338,$L$10)," "," "),CHAR(9)," "),CHAR(10)," "),CHAR(13)," "))),"")))</f>
        <v/>
      </c>
      <c r="DS338">
        <f>IF($DM338=0,"",IF($L$11=0,"",IFERROR(IF(ISNUMBER(INDEX(PASTE_ALL,$DF338,$L$11)),INDEX(PASTE_ALL,$DF338,$L$11),TRIM(SUBSTITUTE(SUBSTITUTE(SUBSTITUTE(SUBSTITUTE(INDEX(PASTE_ALL,$DF338,$L$11)," "," "),CHAR(9)," "),CHAR(10)," "),CHAR(13)," "))),"")))</f>
        <v/>
      </c>
      <c r="DT338">
        <f>IF($DM338=0,"",IF($L$12=0,"",IFERROR(IF(ISNUMBER(INDEX(PASTE_ALL,$DF338,$L$12)),INDEX(PASTE_ALL,$DF338,$L$12),TRIM(SUBSTITUTE(SUBSTITUTE(SUBSTITUTE(SUBSTITUTE(INDEX(PASTE_ALL,$DF338,$L$12)," "," "),CHAR(9)," "),CHAR(10)," "),CHAR(13)," "))),"")))</f>
        <v/>
      </c>
      <c r="DU338">
        <f>IF($DM338=0,"",IF($L$13=0,"",IFERROR(IF(ISNUMBER(INDEX(PASTE_ALL,$DF338,$L$13)),INDEX(PASTE_ALL,$DF338,$L$13),TRIM(SUBSTITUTE(SUBSTITUTE(SUBSTITUTE(SUBSTITUTE(INDEX(PASTE_ALL,$DF338,$L$13)," "," "),CHAR(9)," "),CHAR(10)," "),CHAR(13)," "))),"")))</f>
        <v/>
      </c>
      <c r="DV338">
        <f>IF($DM338=0,"",IF($L$14=0,"",IFERROR(IF(ISNUMBER(INDEX(PASTE_ALL,$DF338,$L$14)),INDEX(PASTE_ALL,$DF338,$L$14),TRIM(SUBSTITUTE(SUBSTITUTE(SUBSTITUTE(SUBSTITUTE(INDEX(PASTE_ALL,$DF338,$L$14)," "," "),CHAR(9)," "),CHAR(10)," "),CHAR(13)," "))),"")))</f>
        <v/>
      </c>
      <c r="DW338">
        <f>IF($DM338=0,"",IF($L$15=0,"",IFERROR(IF(ISNUMBER(INDEX(PASTE_ALL,$DF338,$L$15)),INDEX(PASTE_ALL,$DF338,$L$15),IF(SUMPRODUCT(--ISNUMBER(FIND({"A","B","C","D","E","F","G","H","I","J","K","L","M","N","O","P","Q","R","S","T","U","V","W","X","Y","Z","0","1","2","3","4","5","6","7","8","9"},UPPER(TRIM(SUBSTITUTE(SUBSTITUTE(SUBSTITUTE(SUBSTITUTE(INDEX(PASTE_ALL,$DF338,$L$15)," "," "),CHAR(9)," "),CHAR(10)," "),CHAR(13)," "))))))&gt;0,TRIM(SUBSTITUTE(SUBSTITUTE(SUBSTITUTE(SUBSTITUTE(INDEX(PASTE_ALL,$DF338,$L$15)," "," "),CHAR(9)," "),CHAR(10)," "),CHAR(13)," ")),"")),"")))</f>
        <v/>
      </c>
      <c r="DX338">
        <f>IF($DM338=0,"",IF($L$16=0,"",IFERROR(IF(ISNUMBER(INDEX(PASTE_ALL,$DF338,$L$16)),INDEX(PASTE_ALL,$DF338,$L$16),SUBSTITUTE(SUBSTITUTE(TRIM(SUBSTITUTE(SUBSTITUTE(SUBSTITUTE(SUBSTITUTE(INDEX(PASTE_ALL,$DF338,$L$16)," "," "),CHAR(9)," "),CHAR(10)," "),CHAR(13)," ")),",",""),"%","")),"")))</f>
        <v/>
      </c>
      <c r="DY338">
        <f>IF($DM338=0,"",IFERROR(IF(ISNUMBER($DX338),$DX338,IF($DX338="","",IF(TRIM($DX338)="",0,IF(AND(AND(SUBSTITUTE(SUBSTITUTE(SUBSTITUTE(SUBSTITUTE(SUBSTITUTE(SUBSTITUTE(SUBSTITUTE(SUBSTITUTE(SUBSTITUTE(SUBSTITUTE(SUBSTITUTE(SUBSTITUTE(SUBSTITUTE(SUBSTITUTE(UPPER(TRIM($DX338)),"0",""),"1",""),"2",""),"3",""),"4",""),"5",""),"6",""),"7",""),"8",""),"9",""),".",""),"+",""),"-",""),"E","")="",LEN(SUBSTITUTE(SUBSTITUTE(MID(UPPER(TRIM($DX338)),1+OR(LEFT(UPPER(TRIM($DX338)),1)="+",LEFT(UPPER(TRIM($DX338)),1)="-"),999),"E+","E"),"E-","E"))=LEN(SUBSTITUTE(SUBSTITUTE(SUBSTITUTE(SUBSTITUTE(MID(UPPER(TRIM($DX338)),1+OR(LEFT(UPPER(TRIM($DX338)),1)="+",LEFT(UPPER(TRIM($DX338)),1)="-"),999),"E+","E"),"E-","E"),"+",""),"-","")),LEN(UPPER(TRIM($DX338)))-LEN(SUBSTITUTE(UPPER(TRIM($DX338)),"E",""))&lt;2,LEN(UPPER(TRIM($DX338)))-LEN(SUBSTITUTE(UPPER(TRIM($DX338)),".",""))&lt;2,IFERROR(FIND(".",UPPER(TRIM($DX338))),0)&lt;IFERROR(FIND("E",UPPER(TRIM($DX338))),999)),ISNUMBER(VALUE(TRIM($DX338)))),VALUE(TRIM($DX338)),"")))),""))</f>
        <v/>
      </c>
      <c r="DZ338">
        <f>IF($DM338=0,"",IF($L$17=0,"",IFERROR(IF(ISNUMBER(INDEX(PASTE_ALL,$DF338,$L$17)),INDEX(PASTE_ALL,$DF338,$L$17),SUBSTITUTE(SUBSTITUTE(TRIM(SUBSTITUTE(SUBSTITUTE(SUBSTITUTE(SUBSTITUTE(INDEX(PASTE_ALL,$DF338,$L$17)," "," "),CHAR(9)," "),CHAR(10)," "),CHAR(13)," ")),",",""),"%","")),"")))</f>
        <v/>
      </c>
      <c r="EA338">
        <f>IF($DM338=0,"",IFERROR(IF(ISNUMBER($DZ338),$DZ338,IF($DZ338="","",IF(TRIM($DZ338)="",0,IF(AND(AND(SUBSTITUTE(SUBSTITUTE(SUBSTITUTE(SUBSTITUTE(SUBSTITUTE(SUBSTITUTE(SUBSTITUTE(SUBSTITUTE(SUBSTITUTE(SUBSTITUTE(SUBSTITUTE(SUBSTITUTE(SUBSTITUTE(SUBSTITUTE(UPPER(TRIM($DZ338)),"0",""),"1",""),"2",""),"3",""),"4",""),"5",""),"6",""),"7",""),"8",""),"9",""),".",""),"+",""),"-",""),"E","")="",LEN(SUBSTITUTE(SUBSTITUTE(MID(UPPER(TRIM($DZ338)),1+OR(LEFT(UPPER(TRIM($DZ338)),1)="+",LEFT(UPPER(TRIM($DZ338)),1)="-"),999),"E+","E"),"E-","E"))=LEN(SUBSTITUTE(SUBSTITUTE(SUBSTITUTE(SUBSTITUTE(MID(UPPER(TRIM($DZ338)),1+OR(LEFT(UPPER(TRIM($DZ338)),1)="+",LEFT(UPPER(TRIM($DZ338)),1)="-"),999),"E+","E"),"E-","E"),"+",""),"-","")),LEN(UPPER(TRIM($DZ338)))-LEN(SUBSTITUTE(UPPER(TRIM($DZ338)),"E",""))&lt;2,LEN(UPPER(TRIM($DZ338)))-LEN(SUBSTITUTE(UPPER(TRIM($DZ338)),".",""))&lt;2,IFERROR(FIND(".",UPPER(TRIM($DZ338))),0)&lt;IFERROR(FIND("E",UPPER(TRIM($DZ338))),999)),ISNUMBER(VALUE(TRIM($DZ338)))),VALUE(TRIM($DZ338)),"")))),""))</f>
        <v/>
      </c>
      <c r="EB338">
        <f>IF($DM338=0,"",IF($L$18=0,"",IFERROR(IF(UPPER(TRIM(SUBSTITUTE(SUBSTITUTE(SUBSTITUTE(SUBSTITUTE(INDEX(PASTE_ALL,$DF338,$L$18)," "," "),CHAR(9)," "),CHAR(10)," "),CHAR(13)," ")))="READY","Ready",IF(UPPER(TRIM(SUBSTITUTE(SUBSTITUTE(SUBSTITUTE(SUBSTITUTE(INDEX(PASTE_ALL,$DF338,$L$18)," "," "),CHAR(9)," "),CHAR(10)," "),CHAR(13)," ")))="PM","PM",IF(OR(UPPER(TRIM(SUBSTITUTE(SUBSTITUTE(SUBSTITUTE(SUBSTITUTE(INDEX(PASTE_ALL,$DF338,$L$18)," "," "),CHAR(9)," "),CHAR(10)," "),CHAR(13)," ")))="OT",UPPER(TRIM(SUBSTITUTE(SUBSTITUTE(SUBSTITUTE(SUBSTITUTE(INDEX(PASTE_ALL,$DF338,$L$18)," "," "),CHAR(9)," "),CHAR(10)," "),CHAR(13)," ")))="OVERTIME",UPPER(TRIM(SUBSTITUTE(SUBSTITUTE(SUBSTITUTE(SUBSTITUTE(INDEX(PASTE_ALL,$DF338,$L$18)," "," "),CHAR(9)," "),CHAR(10)," "),CHAR(13)," ")))="TRIAL"),"OT",TRIM(SUBSTITUTE(SUBSTITUTE(SUBSTITUTE(SUBSTITUTE(INDEX(PASTE_ALL,$DF338,$L$18)," "," "),CHAR(9)," "),CHAR(10)," "),CHAR(13)," "))))),"")))</f>
        <v/>
      </c>
      <c r="EC338">
        <f>IF($DM338=0,"",IF($L$19=0,"",IFERROR(IF(ISNUMBER(INDEX(PASTE_ALL,$DF338,$L$19)),INDEX(PASTE_ALL,$DF338,$L$19),TRIM(SUBSTITUTE(SUBSTITUTE(SUBSTITUTE(SUBSTITUTE(INDEX(PASTE_ALL,$DF338,$L$19)," "," "),CHAR(9)," "),CHAR(10)," "),CHAR(13)," "))),"")))</f>
        <v/>
      </c>
      <c r="ED338">
        <f>IF($DM338=0,"",MATCH(1,INDEX(EXACT($DH$5:DH338,$DH338)*$DM$5:DM338,0),0))</f>
        <v/>
      </c>
      <c r="EE338">
        <f>IF($DM338=0,0,IF($ED338=$DE338,1,0))</f>
        <v/>
      </c>
      <c r="EF338">
        <f>EF337+$EE338</f>
        <v/>
      </c>
      <c r="EG338">
        <f>IF($DM338=0,"",INDEX($EF$5:$EF$1003,$ED338))</f>
        <v/>
      </c>
      <c r="EH338">
        <f>IF($DM338=0,"",IF($DO338&lt;&gt;"","",IFERROR(LOOKUP(2,1/(($EG$4:EG337=$EG338)*($DO$4:DO337&lt;&gt;"")),$DO$4:DO337),"")))</f>
        <v/>
      </c>
      <c r="EI338">
        <f>IF($DM338=0,"",IF($DO338&lt;&gt;"",$DO338,$EH338))</f>
        <v/>
      </c>
      <c r="EJ338">
        <f>IF($DM338=0,"",IF($EI338="",0,IF(OR(ISNUMBER($EI338),AND(AND(SUBSTITUTE(SUBSTITUTE(SUBSTITUTE(SUBSTITUTE(SUBSTITUTE(SUBSTITUTE(SUBSTITUTE(SUBSTITUTE(SUBSTITUTE(SUBSTITUTE(SUBSTITUTE(SUBSTITUTE(SUBSTITUTE(SUBSTITUTE(UPPER($EI338),"0",""),"1",""),"2",""),"3",""),"4",""),"5",""),"6",""),"7",""),"8",""),"9",""),".",""),"+",""),"-",""),"E","")="",LEN(SUBSTITUTE(SUBSTITUTE(MID(UPPER($EI338),1+OR(LEFT(UPPER($EI338),1)="+",LEFT(UPPER($EI338),1)="-"),999),"E+","E"),"E-","E"))=LEN(SUBSTITUTE(SUBSTITUTE(SUBSTITUTE(SUBSTITUTE(MID(UPPER($EI338),1+OR(LEFT(UPPER($EI338),1)="+",LEFT(UPPER($EI338),1)="-"),999),"E+","E"),"E-","E"),"+",""),"-","")),LEN(UPPER($EI338))-LEN(SUBSTITUTE(UPPER($EI338),"E",""))&lt;2,LEN(UPPER($EI338))-LEN(SUBSTITUTE(UPPER($EI338),".",""))&lt;2,IFERROR(FIND(".",UPPER($EI338)),0)&lt;IFERROR(FIND("E",UPPER($EI338)),999)),ISNUMBER(VALUE($EI338)))),1,2)))</f>
        <v/>
      </c>
      <c r="EK338">
        <f>IF($DM338=0,"",IF($EJ338=1,IF(ISNUMBER($EI338),$EI338,VALUE($EI338)),IF($EJ338=2,$DE338,0)))</f>
        <v/>
      </c>
      <c r="EL338">
        <f>IF($DM338=0,"",COUNTIF($EG$5:$EG$1003,"&lt;"&amp;$EG338)+SUMPRODUCT(($EG$5:$EG$1003=$EG338)*(($EJ$5:$EJ$1003&lt;$EJ338)+($EJ$5:$EJ$1003=$EJ338)*(($EK$5:$EK$1003&lt;$EK338)+($EK$5:$EK$1003=$EK338)*($DE$5:$DE$1003&lt;$DE338))))+1)</f>
        <v/>
      </c>
      <c r="EM338">
        <f>IF($DM338=0,"",$EL338+$EG338-1)</f>
        <v/>
      </c>
      <c r="EN338">
        <f>IF($DM338=0,0,IFERROR(MATCH(1,INDEX(--(TRIM(SUBSTITUTE(SUBSTITUTE(SUBSTITUTE(SUBSTITUTE(LINES_NAME&amp;""," "," "),CHAR(9)," "),CHAR(10)," "),CHAR(13)," "))=$DH338),0),0),0))</f>
        <v/>
      </c>
      <c r="EO338">
        <f>IF($EN338=0,0,IF(OR(UPPER(TRIM(INDEX(LINES_SCHEDULED,$EN338)&amp;""))="YES",UPPER(TRIM(INDEX(LINES_SCHEDULED,$EN338)&amp;""))="Y",UPPER(TRIM(INDEX(LINES_SCHEDULED,$EN338)&amp;""))="X"),1,0))</f>
        <v/>
      </c>
      <c r="EP338">
        <f>IF($DM338=0,"",IF(COUNTIFS($EG$5:$EG$1003,$EG338,$EB$5:$EB$1003,"Ready")&gt;0,"READY",IF(COUNTIFS($EG$5:$EG$1003,$EG338,$EB$5:$EB$1003,"PM")&gt;0,"PM",IF(COUNTIFS($EG$5:$EG$1003,$EG338,$EB$5:$EB$1003,"OT")&gt;0,"OT",""))))</f>
        <v/>
      </c>
      <c r="EQ338">
        <f>IF($EN338=0,"",UPPER(TRIM(INDEX(LINES_STATUS,$EN338)&amp;"")))</f>
        <v/>
      </c>
      <c r="ER338">
        <f>IF($DM338=0,"",IF(OR($EQ338="READY",$EQ338="PM",$EQ338="OT"),$EQ338,$EP338))</f>
        <v/>
      </c>
      <c r="ES338">
        <f>IF($DM338=0,"",IF(AND($DV338&lt;&gt;"",UPPER($DV338)&lt;&gt;"N"),"allergen",IF(ISNUMBER(SEARCH("oil",$DQ338)),"oil",IF(OR(EXACT($DS338,"A662"),EXACT($DS338,"A624")),"bulk",""))))</f>
        <v/>
      </c>
      <c r="ET338">
        <f>IF($DM338=0,"",IF(OR($EA338="",$EA338=0),"",$EA338/100))</f>
        <v/>
      </c>
      <c r="EU338">
        <f>IF(OR($ET338="",$DY338=""),"",INT($DY338*(1-$ET338)+0.5))</f>
        <v/>
      </c>
      <c r="EW338" t="n">
        <v>334</v>
      </c>
      <c r="EX338">
        <f>IFERROR(MATCH($EW338,$EM$5:$EM$1003,0),0)</f>
        <v/>
      </c>
      <c r="EY338">
        <f>IF($EW338&gt;$B$12,"",IF($EX338&gt;0,"row","spacer"))</f>
        <v/>
      </c>
      <c r="EZ338">
        <f>IF(AND($EY338="row",$EY337&lt;&gt;"row"),1,0)</f>
        <v/>
      </c>
      <c r="FA338">
        <f>IF(AND($EY338="row",$EY339&lt;&gt;"row"),1,0)</f>
        <v/>
      </c>
      <c r="FB338">
        <f>IF($EZ338=1,IFERROR(IF(ISNUMBER(INDEX(PASTE_ALL,INDEX($DF$5:$DF$1003,$EX338),$B$37)),INDEX(PASTE_ALL,INDEX($DF$5:$DF$1003,$EX338),$B$37),INDEX($DH$5:$DH$1003,$EX338)),INDEX($DH$5:$DH$1003,$EX338)),"")</f>
        <v/>
      </c>
      <c r="FC338">
        <f>IF($EY338="row",INDEX($ER$5:$ER$1003,$EX338),"")</f>
        <v/>
      </c>
      <c r="FD338">
        <f>IF($EY338="row",INDEX($DN$5:$DN$1003,$EX338),"")</f>
        <v/>
      </c>
      <c r="FE338">
        <f>IF($EY338="row",INDEX($DO$5:$DO$1003,$EX338),"")</f>
        <v/>
      </c>
      <c r="FF338">
        <f>IF($EY338="row",INDEX($DP$5:$DP$1003,$EX338),"")</f>
        <v/>
      </c>
      <c r="FG338">
        <f>IF($EY338="row",INDEX($DQ$5:$DQ$1003,$EX338),"")</f>
        <v/>
      </c>
      <c r="FH338">
        <f>IF($EY338="row",INDEX($DR$5:$DR$1003,$EX338),"")</f>
        <v/>
      </c>
      <c r="FI338">
        <f>IF($EY338="row",INDEX($DS$5:$DS$1003,$EX338),"")</f>
        <v/>
      </c>
      <c r="FJ338">
        <f>IF($EY338="row",INDEX($DT$5:$DT$1003,$EX338),"")</f>
        <v/>
      </c>
      <c r="FK338">
        <f>IF($EY338="row",INDEX($DU$5:$DU$1003,$EX338),"")</f>
        <v/>
      </c>
      <c r="FL338">
        <f>IF($EY338="row",INDEX($DV$5:$DV$1003,$EX338),"")</f>
        <v/>
      </c>
      <c r="FM338">
        <f>IF($EY338="row",INDEX($DW$5:$DW$1003,$EX338),"")</f>
        <v/>
      </c>
      <c r="FN338">
        <f>IF($EY338="row",INDEX($DY$5:$DY$1003,$EX338),"")</f>
        <v/>
      </c>
      <c r="FO338">
        <f>IF($EY338="row",INDEX($EA$5:$EA$1003,$EX338),"")</f>
        <v/>
      </c>
      <c r="FP338">
        <f>IF($EY338="row",INDEX($EC$5:$EC$1003,$EX338),"")</f>
        <v/>
      </c>
      <c r="FQ338">
        <f>IF($EY338="row",INDEX($ET$5:$ET$1003,$EX338),"")</f>
        <v/>
      </c>
      <c r="FR338">
        <f>IF($EY338="row",INDEX($EU$5:$EU$1003,$EX338),"")</f>
        <v/>
      </c>
      <c r="FS338">
        <f>IF(AND($EY338="row",$EY337="row"),IF(OR(INDEX($DT$5:$DT$1003,$EX337)="",INDEX($DT$5:$DT$1003,$EX338)=""),"",IF(NOT(EXACT(INDEX($DT$5:$DT$1003,$EX337),INDEX($DT$5:$DT$1003,$EX338))),"S4",IF(NOT(EXACT(INDEX($DS$5:$DS$1003,$EX337),INDEX($DS$5:$DS$1003,$EX338))),"S3",IF(NOT(EXACT(INDEX($DR$5:$DR$1003,$EX337),INDEX($DR$5:$DR$1003,$EX338))),"S1 Count Change","S1")))),"")</f>
        <v/>
      </c>
      <c r="FT338">
        <f>IF($EY338="row",INDEX($ES$5:$ES$1003,$EX338),"")</f>
        <v/>
      </c>
      <c r="FU338">
        <f>IF($EY338="row",INDEX($EO$5:$EO$1003,$EX338),0)</f>
        <v/>
      </c>
      <c r="FV338">
        <f>IF($FS338="S1 Count Change",1,0)</f>
        <v/>
      </c>
    </row>
    <row r="339">
      <c r="DA339" t="n">
        <v>335</v>
      </c>
      <c r="DB339">
        <f>IF($B$37=0,"",IFERROR(TRIM(SUBSTITUTE(SUBSTITUTE(SUBSTITUTE(SUBSTITUTE(INDEX(PASTE_ALL,335,$B$37)," "," "),CHAR(9)," "),CHAR(10)," "),CHAR(13)," ")),""))</f>
        <v/>
      </c>
      <c r="DC339">
        <f>IF(AND(335&gt;HEADER_ROW,UPPER(DB339)="LEGEND"),1,0)</f>
        <v/>
      </c>
      <c r="DE339" t="n">
        <v>335</v>
      </c>
      <c r="DF339">
        <f>HEADER_ROW+$DE339</f>
        <v/>
      </c>
      <c r="DG339">
        <f>IF(AND($DF339&lt;=1000,$DF339&lt;$B$8),1,0)</f>
        <v/>
      </c>
      <c r="DH339">
        <f>IF($DG339=1,IFERROR(INDEX($DB$5:$DB$1004,$DF339),""),"")</f>
        <v/>
      </c>
      <c r="DI339">
        <f>IF(AND($DG339=1,$DH339&lt;&gt;""),IFERROR(SUBSTITUTE(SUBSTITUTE(TRIM(SUBSTITUTE(SUBSTITUTE(SUBSTITUTE(SUBSTITUTE(IFERROR(INDEX(PASTE_ALL,$DF339,1)&amp;"","")&amp;"␟"&amp;IFERROR(INDEX(PASTE_ALL,$DF339,2)&amp;"","")&amp;"␟"&amp;IFERROR(INDEX(PASTE_ALL,$DF339,3)&amp;"","")&amp;"␟"&amp;IFERROR(INDEX(PASTE_ALL,$DF339,4)&amp;"","")&amp;"␟"&amp;IFERROR(INDEX(PASTE_ALL,$DF339,5)&amp;"","")&amp;"␟"&amp;IFERROR(INDEX(PASTE_ALL,$DF339,6)&amp;"","")&amp;"␟"&amp;IFERROR(INDEX(PASTE_ALL,$DF339,7)&amp;"","")&amp;"␟"&amp;IFERROR(INDEX(PASTE_ALL,$DF339,8)&amp;"","")&amp;"␟"&amp;IFERROR(INDEX(PASTE_ALL,$DF339,9)&amp;"","")&amp;"␟"&amp;IFERROR(INDEX(PASTE_ALL,$DF339,10)&amp;"","")&amp;"␟"&amp;IFERROR(INDEX(PASTE_ALL,$DF339,11)&amp;"","")&amp;"␟"&amp;IFERROR(INDEX(PASTE_ALL,$DF339,12)&amp;"","")&amp;"␟"&amp;IFERROR(INDEX(PASTE_ALL,$DF339,13)&amp;"","")&amp;"␟"&amp;IFERROR(INDEX(PASTE_ALL,$DF339,14)&amp;"","")&amp;"␟"&amp;IFERROR(INDEX(PASTE_ALL,$DF339,15)&amp;"","")&amp;"␟"&amp;IFERROR(INDEX(PASTE_ALL,$DF339,16)&amp;"","")&amp;"␟"&amp;IFERROR(INDEX(PASTE_ALL,$DF339,17)&amp;"","")&amp;"␟"&amp;IFERROR(INDEX(PASTE_ALL,$DF339,18)&amp;"","")&amp;"␟"&amp;IFERROR(INDEX(PASTE_ALL,$DF339,19)&amp;"","")&amp;"␟"&amp;IFERROR(INDEX(PASTE_ALL,$DF339,20)&amp;"","")&amp;"␟"&amp;IFERROR(INDEX(PASTE_ALL,$DF339,21)&amp;"","")&amp;"␟"&amp;IFERROR(INDEX(PASTE_ALL,$DF339,22)&amp;"","")&amp;"␟"&amp;IFERROR(INDEX(PASTE_ALL,$DF339,23)&amp;"","")&amp;"␟"&amp;IFERROR(INDEX(PASTE_ALL,$DF339,24)&amp;"","")&amp;"␟"&amp;IFERROR(INDEX(PASTE_ALL,$DF339,25)&amp;"","")&amp;"␟"&amp;IFERROR(INDEX(PASTE_ALL,$DF339,26)&amp;"","")&amp;"␟"&amp;IFERROR(INDEX(PASTE_ALL,$DF339,27)&amp;"","")&amp;"␟"&amp;IFERROR(INDEX(PASTE_ALL,$DF339,28)&amp;"","")&amp;"␟"&amp;IFERROR(INDEX(PASTE_ALL,$DF339,29)&amp;"","")&amp;"␟"&amp;IFERROR(INDEX(PASTE_ALL,$DF339,30)&amp;"","")&amp;"␟"&amp;IFERROR(INDEX(PASTE_ALL,$DF339,31)&amp;"","")&amp;"␟"&amp;IFERROR(INDEX(PASTE_ALL,$DF339,32)&amp;"","")&amp;"␟"&amp;IFERROR(INDEX(PASTE_ALL,$DF339,33)&amp;"","")&amp;"␟"&amp;IFERROR(INDEX(PASTE_ALL,$DF339,34)&amp;"","")&amp;"␟"&amp;IFERROR(INDEX(PASTE_ALL,$DF339,35)&amp;"","")&amp;"␟"&amp;IFERROR(INDEX(PASTE_ALL,$DF339,36)&amp;"","")&amp;"␟"&amp;IFERROR(INDEX(PASTE_ALL,$DF339,37)&amp;"","")&amp;"␟"&amp;IFERROR(INDEX(PASTE_ALL,$DF339,38)&amp;"","")&amp;"␟"&amp;IFERROR(INDEX(PASTE_ALL,$DF339,39)&amp;"","")&amp;"␟"&amp;IFERROR(INDEX(PASTE_ALL,$DF339,40)&amp;"","")&amp;"␟"&amp;IFERROR(INDEX(PASTE_ALL,$DF339,41)&amp;"","")&amp;"␟"&amp;IFERROR(INDEX(PASTE_ALL,$DF339,42)&amp;"","")&amp;"␟"&amp;IFERROR(INDEX(PASTE_ALL,$DF339,43)&amp;"","")&amp;"␟"&amp;IFERROR(INDEX(PASTE_ALL,$DF339,44)&amp;"","")&amp;"␟"&amp;IFERROR(INDEX(PASTE_ALL,$DF339,45)&amp;"","")&amp;"␟"&amp;IFERROR(INDEX(PASTE_ALL,$DF339,46)&amp;"","")&amp;"␟"&amp;IFERROR(INDEX(PASTE_ALL,$DF339,47)&amp;"","")&amp;"␟"&amp;IFERROR(INDEX(PASTE_ALL,$DF339,48)&amp;"","")&amp;"␟"&amp;IFERROR(INDEX(PASTE_ALL,$DF339,49)&amp;"","")&amp;"␟"&amp;IFERROR(INDEX(PASTE_ALL,$DF339,50)&amp;"","")&amp;"␟"&amp;IFERROR(INDEX(PASTE_ALL,$DF339,51)&amp;"","")&amp;"␟"&amp;IFERROR(INDEX(PASTE_ALL,$DF339,52)&amp;"","")&amp;"␟"&amp;IFERROR(INDEX(PASTE_ALL,$DF339,53)&amp;"","")&amp;"␟"&amp;IFERROR(INDEX(PASTE_ALL,$DF339,54)&amp;"","")&amp;"␟"&amp;IFERROR(INDEX(PASTE_ALL,$DF339,55)&amp;"","")&amp;"␟"&amp;IFERROR(INDEX(PASTE_ALL,$DF339,56)&amp;"","")&amp;"␟"&amp;IFERROR(INDEX(PASTE_ALL,$DF339,57)&amp;"","")&amp;"␟"&amp;IFERROR(INDEX(PASTE_ALL,$DF339,58)&amp;"","")&amp;"␟"&amp;IFERROR(INDEX(PASTE_ALL,$DF339,59)&amp;"","")&amp;"␟"&amp;IFERROR(INDEX(PASTE_ALL,$DF339,60)&amp;"","")," "," "),CHAR(9)," "),CHAR(10)," "),CHAR(13)," "))," ␟","␟"),"␟ ","␟"),"#"&amp;$DE339),"")</f>
        <v/>
      </c>
      <c r="DJ339">
        <f>IF($DI339="",0,IF(SUMPRODUCT(--EXACT($DI$4:DI338,$DI339))&gt;0,1,0))</f>
        <v/>
      </c>
      <c r="DK339">
        <f>IF(AND($DI339&lt;&gt;"",$DJ339=0),1,0)</f>
        <v/>
      </c>
      <c r="DL339">
        <f>DL338+$DK339</f>
        <v/>
      </c>
      <c r="DM339">
        <f>IF(AND($DK339=1,$DL339&lt;=600),1,0)</f>
        <v/>
      </c>
      <c r="DN339">
        <f>IF($DM339=0,"",IF($L$6=0,"",IFERROR(IF(ISNUMBER(INDEX(PASTE_ALL,$DF339,$L$6)),INDEX(PASTE_ALL,$DF339,$L$6),TRIM(SUBSTITUTE(SUBSTITUTE(SUBSTITUTE(SUBSTITUTE(INDEX(PASTE_ALL,$DF339,$L$6)," "," "),CHAR(9)," "),CHAR(10)," "),CHAR(13)," "))),"")))</f>
        <v/>
      </c>
      <c r="DO339">
        <f>IF($DM339=0,"",IF($L$7=0,"",IFERROR(IF(ISNUMBER(INDEX(PASTE_ALL,$DF339,$L$7)),INDEX(PASTE_ALL,$DF339,$L$7),TRIM(SUBSTITUTE(SUBSTITUTE(SUBSTITUTE(SUBSTITUTE(INDEX(PASTE_ALL,$DF339,$L$7)," "," "),CHAR(9)," "),CHAR(10)," "),CHAR(13)," "))),"")))</f>
        <v/>
      </c>
      <c r="DP339">
        <f>IF($DM339=0,"",IF($L$8=0,"",IFERROR(IF(ISNUMBER(INDEX(PASTE_ALL,$DF339,$L$8)),INDEX(PASTE_ALL,$DF339,$L$8),TRIM(SUBSTITUTE(SUBSTITUTE(SUBSTITUTE(SUBSTITUTE(INDEX(PASTE_ALL,$DF339,$L$8)," "," "),CHAR(9)," "),CHAR(10)," "),CHAR(13)," "))),"")))</f>
        <v/>
      </c>
      <c r="DQ339">
        <f>IF($DM339=0,"",IF($L$9=0,"",IFERROR(IF(ISNUMBER(INDEX(PASTE_ALL,$DF339,$L$9)),INDEX(PASTE_ALL,$DF339,$L$9),TRIM(SUBSTITUTE(SUBSTITUTE(SUBSTITUTE(SUBSTITUTE(INDEX(PASTE_ALL,$DF339,$L$9)," "," "),CHAR(9)," "),CHAR(10)," "),CHAR(13)," "))),"")))</f>
        <v/>
      </c>
      <c r="DR339">
        <f>IF($DM339=0,"",IF($L$10=0,"",IFERROR(IF(ISNUMBER(INDEX(PASTE_ALL,$DF339,$L$10)),INDEX(PASTE_ALL,$DF339,$L$10),TRIM(SUBSTITUTE(SUBSTITUTE(SUBSTITUTE(SUBSTITUTE(INDEX(PASTE_ALL,$DF339,$L$10)," "," "),CHAR(9)," "),CHAR(10)," "),CHAR(13)," "))),"")))</f>
        <v/>
      </c>
      <c r="DS339">
        <f>IF($DM339=0,"",IF($L$11=0,"",IFERROR(IF(ISNUMBER(INDEX(PASTE_ALL,$DF339,$L$11)),INDEX(PASTE_ALL,$DF339,$L$11),TRIM(SUBSTITUTE(SUBSTITUTE(SUBSTITUTE(SUBSTITUTE(INDEX(PASTE_ALL,$DF339,$L$11)," "," "),CHAR(9)," "),CHAR(10)," "),CHAR(13)," "))),"")))</f>
        <v/>
      </c>
      <c r="DT339">
        <f>IF($DM339=0,"",IF($L$12=0,"",IFERROR(IF(ISNUMBER(INDEX(PASTE_ALL,$DF339,$L$12)),INDEX(PASTE_ALL,$DF339,$L$12),TRIM(SUBSTITUTE(SUBSTITUTE(SUBSTITUTE(SUBSTITUTE(INDEX(PASTE_ALL,$DF339,$L$12)," "," "),CHAR(9)," "),CHAR(10)," "),CHAR(13)," "))),"")))</f>
        <v/>
      </c>
      <c r="DU339">
        <f>IF($DM339=0,"",IF($L$13=0,"",IFERROR(IF(ISNUMBER(INDEX(PASTE_ALL,$DF339,$L$13)),INDEX(PASTE_ALL,$DF339,$L$13),TRIM(SUBSTITUTE(SUBSTITUTE(SUBSTITUTE(SUBSTITUTE(INDEX(PASTE_ALL,$DF339,$L$13)," "," "),CHAR(9)," "),CHAR(10)," "),CHAR(13)," "))),"")))</f>
        <v/>
      </c>
      <c r="DV339">
        <f>IF($DM339=0,"",IF($L$14=0,"",IFERROR(IF(ISNUMBER(INDEX(PASTE_ALL,$DF339,$L$14)),INDEX(PASTE_ALL,$DF339,$L$14),TRIM(SUBSTITUTE(SUBSTITUTE(SUBSTITUTE(SUBSTITUTE(INDEX(PASTE_ALL,$DF339,$L$14)," "," "),CHAR(9)," "),CHAR(10)," "),CHAR(13)," "))),"")))</f>
        <v/>
      </c>
      <c r="DW339">
        <f>IF($DM339=0,"",IF($L$15=0,"",IFERROR(IF(ISNUMBER(INDEX(PASTE_ALL,$DF339,$L$15)),INDEX(PASTE_ALL,$DF339,$L$15),IF(SUMPRODUCT(--ISNUMBER(FIND({"A","B","C","D","E","F","G","H","I","J","K","L","M","N","O","P","Q","R","S","T","U","V","W","X","Y","Z","0","1","2","3","4","5","6","7","8","9"},UPPER(TRIM(SUBSTITUTE(SUBSTITUTE(SUBSTITUTE(SUBSTITUTE(INDEX(PASTE_ALL,$DF339,$L$15)," "," "),CHAR(9)," "),CHAR(10)," "),CHAR(13)," "))))))&gt;0,TRIM(SUBSTITUTE(SUBSTITUTE(SUBSTITUTE(SUBSTITUTE(INDEX(PASTE_ALL,$DF339,$L$15)," "," "),CHAR(9)," "),CHAR(10)," "),CHAR(13)," ")),"")),"")))</f>
        <v/>
      </c>
      <c r="DX339">
        <f>IF($DM339=0,"",IF($L$16=0,"",IFERROR(IF(ISNUMBER(INDEX(PASTE_ALL,$DF339,$L$16)),INDEX(PASTE_ALL,$DF339,$L$16),SUBSTITUTE(SUBSTITUTE(TRIM(SUBSTITUTE(SUBSTITUTE(SUBSTITUTE(SUBSTITUTE(INDEX(PASTE_ALL,$DF339,$L$16)," "," "),CHAR(9)," "),CHAR(10)," "),CHAR(13)," ")),",",""),"%","")),"")))</f>
        <v/>
      </c>
      <c r="DY339">
        <f>IF($DM339=0,"",IFERROR(IF(ISNUMBER($DX339),$DX339,IF($DX339="","",IF(TRIM($DX339)="",0,IF(AND(AND(SUBSTITUTE(SUBSTITUTE(SUBSTITUTE(SUBSTITUTE(SUBSTITUTE(SUBSTITUTE(SUBSTITUTE(SUBSTITUTE(SUBSTITUTE(SUBSTITUTE(SUBSTITUTE(SUBSTITUTE(SUBSTITUTE(SUBSTITUTE(UPPER(TRIM($DX339)),"0",""),"1",""),"2",""),"3",""),"4",""),"5",""),"6",""),"7",""),"8",""),"9",""),".",""),"+",""),"-",""),"E","")="",LEN(SUBSTITUTE(SUBSTITUTE(MID(UPPER(TRIM($DX339)),1+OR(LEFT(UPPER(TRIM($DX339)),1)="+",LEFT(UPPER(TRIM($DX339)),1)="-"),999),"E+","E"),"E-","E"))=LEN(SUBSTITUTE(SUBSTITUTE(SUBSTITUTE(SUBSTITUTE(MID(UPPER(TRIM($DX339)),1+OR(LEFT(UPPER(TRIM($DX339)),1)="+",LEFT(UPPER(TRIM($DX339)),1)="-"),999),"E+","E"),"E-","E"),"+",""),"-","")),LEN(UPPER(TRIM($DX339)))-LEN(SUBSTITUTE(UPPER(TRIM($DX339)),"E",""))&lt;2,LEN(UPPER(TRIM($DX339)))-LEN(SUBSTITUTE(UPPER(TRIM($DX339)),".",""))&lt;2,IFERROR(FIND(".",UPPER(TRIM($DX339))),0)&lt;IFERROR(FIND("E",UPPER(TRIM($DX339))),999)),ISNUMBER(VALUE(TRIM($DX339)))),VALUE(TRIM($DX339)),"")))),""))</f>
        <v/>
      </c>
      <c r="DZ339">
        <f>IF($DM339=0,"",IF($L$17=0,"",IFERROR(IF(ISNUMBER(INDEX(PASTE_ALL,$DF339,$L$17)),INDEX(PASTE_ALL,$DF339,$L$17),SUBSTITUTE(SUBSTITUTE(TRIM(SUBSTITUTE(SUBSTITUTE(SUBSTITUTE(SUBSTITUTE(INDEX(PASTE_ALL,$DF339,$L$17)," "," "),CHAR(9)," "),CHAR(10)," "),CHAR(13)," ")),",",""),"%","")),"")))</f>
        <v/>
      </c>
      <c r="EA339">
        <f>IF($DM339=0,"",IFERROR(IF(ISNUMBER($DZ339),$DZ339,IF($DZ339="","",IF(TRIM($DZ339)="",0,IF(AND(AND(SUBSTITUTE(SUBSTITUTE(SUBSTITUTE(SUBSTITUTE(SUBSTITUTE(SUBSTITUTE(SUBSTITUTE(SUBSTITUTE(SUBSTITUTE(SUBSTITUTE(SUBSTITUTE(SUBSTITUTE(SUBSTITUTE(SUBSTITUTE(UPPER(TRIM($DZ339)),"0",""),"1",""),"2",""),"3",""),"4",""),"5",""),"6",""),"7",""),"8",""),"9",""),".",""),"+",""),"-",""),"E","")="",LEN(SUBSTITUTE(SUBSTITUTE(MID(UPPER(TRIM($DZ339)),1+OR(LEFT(UPPER(TRIM($DZ339)),1)="+",LEFT(UPPER(TRIM($DZ339)),1)="-"),999),"E+","E"),"E-","E"))=LEN(SUBSTITUTE(SUBSTITUTE(SUBSTITUTE(SUBSTITUTE(MID(UPPER(TRIM($DZ339)),1+OR(LEFT(UPPER(TRIM($DZ339)),1)="+",LEFT(UPPER(TRIM($DZ339)),1)="-"),999),"E+","E"),"E-","E"),"+",""),"-","")),LEN(UPPER(TRIM($DZ339)))-LEN(SUBSTITUTE(UPPER(TRIM($DZ339)),"E",""))&lt;2,LEN(UPPER(TRIM($DZ339)))-LEN(SUBSTITUTE(UPPER(TRIM($DZ339)),".",""))&lt;2,IFERROR(FIND(".",UPPER(TRIM($DZ339))),0)&lt;IFERROR(FIND("E",UPPER(TRIM($DZ339))),999)),ISNUMBER(VALUE(TRIM($DZ339)))),VALUE(TRIM($DZ339)),"")))),""))</f>
        <v/>
      </c>
      <c r="EB339">
        <f>IF($DM339=0,"",IF($L$18=0,"",IFERROR(IF(UPPER(TRIM(SUBSTITUTE(SUBSTITUTE(SUBSTITUTE(SUBSTITUTE(INDEX(PASTE_ALL,$DF339,$L$18)," "," "),CHAR(9)," "),CHAR(10)," "),CHAR(13)," ")))="READY","Ready",IF(UPPER(TRIM(SUBSTITUTE(SUBSTITUTE(SUBSTITUTE(SUBSTITUTE(INDEX(PASTE_ALL,$DF339,$L$18)," "," "),CHAR(9)," "),CHAR(10)," "),CHAR(13)," ")))="PM","PM",IF(OR(UPPER(TRIM(SUBSTITUTE(SUBSTITUTE(SUBSTITUTE(SUBSTITUTE(INDEX(PASTE_ALL,$DF339,$L$18)," "," "),CHAR(9)," "),CHAR(10)," "),CHAR(13)," ")))="OT",UPPER(TRIM(SUBSTITUTE(SUBSTITUTE(SUBSTITUTE(SUBSTITUTE(INDEX(PASTE_ALL,$DF339,$L$18)," "," "),CHAR(9)," "),CHAR(10)," "),CHAR(13)," ")))="OVERTIME",UPPER(TRIM(SUBSTITUTE(SUBSTITUTE(SUBSTITUTE(SUBSTITUTE(INDEX(PASTE_ALL,$DF339,$L$18)," "," "),CHAR(9)," "),CHAR(10)," "),CHAR(13)," ")))="TRIAL"),"OT",TRIM(SUBSTITUTE(SUBSTITUTE(SUBSTITUTE(SUBSTITUTE(INDEX(PASTE_ALL,$DF339,$L$18)," "," "),CHAR(9)," "),CHAR(10)," "),CHAR(13)," "))))),"")))</f>
        <v/>
      </c>
      <c r="EC339">
        <f>IF($DM339=0,"",IF($L$19=0,"",IFERROR(IF(ISNUMBER(INDEX(PASTE_ALL,$DF339,$L$19)),INDEX(PASTE_ALL,$DF339,$L$19),TRIM(SUBSTITUTE(SUBSTITUTE(SUBSTITUTE(SUBSTITUTE(INDEX(PASTE_ALL,$DF339,$L$19)," "," "),CHAR(9)," "),CHAR(10)," "),CHAR(13)," "))),"")))</f>
        <v/>
      </c>
      <c r="ED339">
        <f>IF($DM339=0,"",MATCH(1,INDEX(EXACT($DH$5:DH339,$DH339)*$DM$5:DM339,0),0))</f>
        <v/>
      </c>
      <c r="EE339">
        <f>IF($DM339=0,0,IF($ED339=$DE339,1,0))</f>
        <v/>
      </c>
      <c r="EF339">
        <f>EF338+$EE339</f>
        <v/>
      </c>
      <c r="EG339">
        <f>IF($DM339=0,"",INDEX($EF$5:$EF$1003,$ED339))</f>
        <v/>
      </c>
      <c r="EH339">
        <f>IF($DM339=0,"",IF($DO339&lt;&gt;"","",IFERROR(LOOKUP(2,1/(($EG$4:EG338=$EG339)*($DO$4:DO338&lt;&gt;"")),$DO$4:DO338),"")))</f>
        <v/>
      </c>
      <c r="EI339">
        <f>IF($DM339=0,"",IF($DO339&lt;&gt;"",$DO339,$EH339))</f>
        <v/>
      </c>
      <c r="EJ339">
        <f>IF($DM339=0,"",IF($EI339="",0,IF(OR(ISNUMBER($EI339),AND(AND(SUBSTITUTE(SUBSTITUTE(SUBSTITUTE(SUBSTITUTE(SUBSTITUTE(SUBSTITUTE(SUBSTITUTE(SUBSTITUTE(SUBSTITUTE(SUBSTITUTE(SUBSTITUTE(SUBSTITUTE(SUBSTITUTE(SUBSTITUTE(UPPER($EI339),"0",""),"1",""),"2",""),"3",""),"4",""),"5",""),"6",""),"7",""),"8",""),"9",""),".",""),"+",""),"-",""),"E","")="",LEN(SUBSTITUTE(SUBSTITUTE(MID(UPPER($EI339),1+OR(LEFT(UPPER($EI339),1)="+",LEFT(UPPER($EI339),1)="-"),999),"E+","E"),"E-","E"))=LEN(SUBSTITUTE(SUBSTITUTE(SUBSTITUTE(SUBSTITUTE(MID(UPPER($EI339),1+OR(LEFT(UPPER($EI339),1)="+",LEFT(UPPER($EI339),1)="-"),999),"E+","E"),"E-","E"),"+",""),"-","")),LEN(UPPER($EI339))-LEN(SUBSTITUTE(UPPER($EI339),"E",""))&lt;2,LEN(UPPER($EI339))-LEN(SUBSTITUTE(UPPER($EI339),".",""))&lt;2,IFERROR(FIND(".",UPPER($EI339)),0)&lt;IFERROR(FIND("E",UPPER($EI339)),999)),ISNUMBER(VALUE($EI339)))),1,2)))</f>
        <v/>
      </c>
      <c r="EK339">
        <f>IF($DM339=0,"",IF($EJ339=1,IF(ISNUMBER($EI339),$EI339,VALUE($EI339)),IF($EJ339=2,$DE339,0)))</f>
        <v/>
      </c>
      <c r="EL339">
        <f>IF($DM339=0,"",COUNTIF($EG$5:$EG$1003,"&lt;"&amp;$EG339)+SUMPRODUCT(($EG$5:$EG$1003=$EG339)*(($EJ$5:$EJ$1003&lt;$EJ339)+($EJ$5:$EJ$1003=$EJ339)*(($EK$5:$EK$1003&lt;$EK339)+($EK$5:$EK$1003=$EK339)*($DE$5:$DE$1003&lt;$DE339))))+1)</f>
        <v/>
      </c>
      <c r="EM339">
        <f>IF($DM339=0,"",$EL339+$EG339-1)</f>
        <v/>
      </c>
      <c r="EN339">
        <f>IF($DM339=0,0,IFERROR(MATCH(1,INDEX(--(TRIM(SUBSTITUTE(SUBSTITUTE(SUBSTITUTE(SUBSTITUTE(LINES_NAME&amp;""," "," "),CHAR(9)," "),CHAR(10)," "),CHAR(13)," "))=$DH339),0),0),0))</f>
        <v/>
      </c>
      <c r="EO339">
        <f>IF($EN339=0,0,IF(OR(UPPER(TRIM(INDEX(LINES_SCHEDULED,$EN339)&amp;""))="YES",UPPER(TRIM(INDEX(LINES_SCHEDULED,$EN339)&amp;""))="Y",UPPER(TRIM(INDEX(LINES_SCHEDULED,$EN339)&amp;""))="X"),1,0))</f>
        <v/>
      </c>
      <c r="EP339">
        <f>IF($DM339=0,"",IF(COUNTIFS($EG$5:$EG$1003,$EG339,$EB$5:$EB$1003,"Ready")&gt;0,"READY",IF(COUNTIFS($EG$5:$EG$1003,$EG339,$EB$5:$EB$1003,"PM")&gt;0,"PM",IF(COUNTIFS($EG$5:$EG$1003,$EG339,$EB$5:$EB$1003,"OT")&gt;0,"OT",""))))</f>
        <v/>
      </c>
      <c r="EQ339">
        <f>IF($EN339=0,"",UPPER(TRIM(INDEX(LINES_STATUS,$EN339)&amp;"")))</f>
        <v/>
      </c>
      <c r="ER339">
        <f>IF($DM339=0,"",IF(OR($EQ339="READY",$EQ339="PM",$EQ339="OT"),$EQ339,$EP339))</f>
        <v/>
      </c>
      <c r="ES339">
        <f>IF($DM339=0,"",IF(AND($DV339&lt;&gt;"",UPPER($DV339)&lt;&gt;"N"),"allergen",IF(ISNUMBER(SEARCH("oil",$DQ339)),"oil",IF(OR(EXACT($DS339,"A662"),EXACT($DS339,"A624")),"bulk",""))))</f>
        <v/>
      </c>
      <c r="ET339">
        <f>IF($DM339=0,"",IF(OR($EA339="",$EA339=0),"",$EA339/100))</f>
        <v/>
      </c>
      <c r="EU339">
        <f>IF(OR($ET339="",$DY339=""),"",INT($DY339*(1-$ET339)+0.5))</f>
        <v/>
      </c>
      <c r="EW339" t="n">
        <v>335</v>
      </c>
      <c r="EX339">
        <f>IFERROR(MATCH($EW339,$EM$5:$EM$1003,0),0)</f>
        <v/>
      </c>
      <c r="EY339">
        <f>IF($EW339&gt;$B$12,"",IF($EX339&gt;0,"row","spacer"))</f>
        <v/>
      </c>
      <c r="EZ339">
        <f>IF(AND($EY339="row",$EY338&lt;&gt;"row"),1,0)</f>
        <v/>
      </c>
      <c r="FA339">
        <f>IF(AND($EY339="row",$EY340&lt;&gt;"row"),1,0)</f>
        <v/>
      </c>
      <c r="FB339">
        <f>IF($EZ339=1,IFERROR(IF(ISNUMBER(INDEX(PASTE_ALL,INDEX($DF$5:$DF$1003,$EX339),$B$37)),INDEX(PASTE_ALL,INDEX($DF$5:$DF$1003,$EX339),$B$37),INDEX($DH$5:$DH$1003,$EX339)),INDEX($DH$5:$DH$1003,$EX339)),"")</f>
        <v/>
      </c>
      <c r="FC339">
        <f>IF($EY339="row",INDEX($ER$5:$ER$1003,$EX339),"")</f>
        <v/>
      </c>
      <c r="FD339">
        <f>IF($EY339="row",INDEX($DN$5:$DN$1003,$EX339),"")</f>
        <v/>
      </c>
      <c r="FE339">
        <f>IF($EY339="row",INDEX($DO$5:$DO$1003,$EX339),"")</f>
        <v/>
      </c>
      <c r="FF339">
        <f>IF($EY339="row",INDEX($DP$5:$DP$1003,$EX339),"")</f>
        <v/>
      </c>
      <c r="FG339">
        <f>IF($EY339="row",INDEX($DQ$5:$DQ$1003,$EX339),"")</f>
        <v/>
      </c>
      <c r="FH339">
        <f>IF($EY339="row",INDEX($DR$5:$DR$1003,$EX339),"")</f>
        <v/>
      </c>
      <c r="FI339">
        <f>IF($EY339="row",INDEX($DS$5:$DS$1003,$EX339),"")</f>
        <v/>
      </c>
      <c r="FJ339">
        <f>IF($EY339="row",INDEX($DT$5:$DT$1003,$EX339),"")</f>
        <v/>
      </c>
      <c r="FK339">
        <f>IF($EY339="row",INDEX($DU$5:$DU$1003,$EX339),"")</f>
        <v/>
      </c>
      <c r="FL339">
        <f>IF($EY339="row",INDEX($DV$5:$DV$1003,$EX339),"")</f>
        <v/>
      </c>
      <c r="FM339">
        <f>IF($EY339="row",INDEX($DW$5:$DW$1003,$EX339),"")</f>
        <v/>
      </c>
      <c r="FN339">
        <f>IF($EY339="row",INDEX($DY$5:$DY$1003,$EX339),"")</f>
        <v/>
      </c>
      <c r="FO339">
        <f>IF($EY339="row",INDEX($EA$5:$EA$1003,$EX339),"")</f>
        <v/>
      </c>
      <c r="FP339">
        <f>IF($EY339="row",INDEX($EC$5:$EC$1003,$EX339),"")</f>
        <v/>
      </c>
      <c r="FQ339">
        <f>IF($EY339="row",INDEX($ET$5:$ET$1003,$EX339),"")</f>
        <v/>
      </c>
      <c r="FR339">
        <f>IF($EY339="row",INDEX($EU$5:$EU$1003,$EX339),"")</f>
        <v/>
      </c>
      <c r="FS339">
        <f>IF(AND($EY339="row",$EY338="row"),IF(OR(INDEX($DT$5:$DT$1003,$EX338)="",INDEX($DT$5:$DT$1003,$EX339)=""),"",IF(NOT(EXACT(INDEX($DT$5:$DT$1003,$EX338),INDEX($DT$5:$DT$1003,$EX339))),"S4",IF(NOT(EXACT(INDEX($DS$5:$DS$1003,$EX338),INDEX($DS$5:$DS$1003,$EX339))),"S3",IF(NOT(EXACT(INDEX($DR$5:$DR$1003,$EX338),INDEX($DR$5:$DR$1003,$EX339))),"S1 Count Change","S1")))),"")</f>
        <v/>
      </c>
      <c r="FT339">
        <f>IF($EY339="row",INDEX($ES$5:$ES$1003,$EX339),"")</f>
        <v/>
      </c>
      <c r="FU339">
        <f>IF($EY339="row",INDEX($EO$5:$EO$1003,$EX339),0)</f>
        <v/>
      </c>
      <c r="FV339">
        <f>IF($FS339="S1 Count Change",1,0)</f>
        <v/>
      </c>
    </row>
    <row r="340">
      <c r="DA340" t="n">
        <v>336</v>
      </c>
      <c r="DB340">
        <f>IF($B$37=0,"",IFERROR(TRIM(SUBSTITUTE(SUBSTITUTE(SUBSTITUTE(SUBSTITUTE(INDEX(PASTE_ALL,336,$B$37)," "," "),CHAR(9)," "),CHAR(10)," "),CHAR(13)," ")),""))</f>
        <v/>
      </c>
      <c r="DC340">
        <f>IF(AND(336&gt;HEADER_ROW,UPPER(DB340)="LEGEND"),1,0)</f>
        <v/>
      </c>
      <c r="DE340" t="n">
        <v>336</v>
      </c>
      <c r="DF340">
        <f>HEADER_ROW+$DE340</f>
        <v/>
      </c>
      <c r="DG340">
        <f>IF(AND($DF340&lt;=1000,$DF340&lt;$B$8),1,0)</f>
        <v/>
      </c>
      <c r="DH340">
        <f>IF($DG340=1,IFERROR(INDEX($DB$5:$DB$1004,$DF340),""),"")</f>
        <v/>
      </c>
      <c r="DI340">
        <f>IF(AND($DG340=1,$DH340&lt;&gt;""),IFERROR(SUBSTITUTE(SUBSTITUTE(TRIM(SUBSTITUTE(SUBSTITUTE(SUBSTITUTE(SUBSTITUTE(IFERROR(INDEX(PASTE_ALL,$DF340,1)&amp;"","")&amp;"␟"&amp;IFERROR(INDEX(PASTE_ALL,$DF340,2)&amp;"","")&amp;"␟"&amp;IFERROR(INDEX(PASTE_ALL,$DF340,3)&amp;"","")&amp;"␟"&amp;IFERROR(INDEX(PASTE_ALL,$DF340,4)&amp;"","")&amp;"␟"&amp;IFERROR(INDEX(PASTE_ALL,$DF340,5)&amp;"","")&amp;"␟"&amp;IFERROR(INDEX(PASTE_ALL,$DF340,6)&amp;"","")&amp;"␟"&amp;IFERROR(INDEX(PASTE_ALL,$DF340,7)&amp;"","")&amp;"␟"&amp;IFERROR(INDEX(PASTE_ALL,$DF340,8)&amp;"","")&amp;"␟"&amp;IFERROR(INDEX(PASTE_ALL,$DF340,9)&amp;"","")&amp;"␟"&amp;IFERROR(INDEX(PASTE_ALL,$DF340,10)&amp;"","")&amp;"␟"&amp;IFERROR(INDEX(PASTE_ALL,$DF340,11)&amp;"","")&amp;"␟"&amp;IFERROR(INDEX(PASTE_ALL,$DF340,12)&amp;"","")&amp;"␟"&amp;IFERROR(INDEX(PASTE_ALL,$DF340,13)&amp;"","")&amp;"␟"&amp;IFERROR(INDEX(PASTE_ALL,$DF340,14)&amp;"","")&amp;"␟"&amp;IFERROR(INDEX(PASTE_ALL,$DF340,15)&amp;"","")&amp;"␟"&amp;IFERROR(INDEX(PASTE_ALL,$DF340,16)&amp;"","")&amp;"␟"&amp;IFERROR(INDEX(PASTE_ALL,$DF340,17)&amp;"","")&amp;"␟"&amp;IFERROR(INDEX(PASTE_ALL,$DF340,18)&amp;"","")&amp;"␟"&amp;IFERROR(INDEX(PASTE_ALL,$DF340,19)&amp;"","")&amp;"␟"&amp;IFERROR(INDEX(PASTE_ALL,$DF340,20)&amp;"","")&amp;"␟"&amp;IFERROR(INDEX(PASTE_ALL,$DF340,21)&amp;"","")&amp;"␟"&amp;IFERROR(INDEX(PASTE_ALL,$DF340,22)&amp;"","")&amp;"␟"&amp;IFERROR(INDEX(PASTE_ALL,$DF340,23)&amp;"","")&amp;"␟"&amp;IFERROR(INDEX(PASTE_ALL,$DF340,24)&amp;"","")&amp;"␟"&amp;IFERROR(INDEX(PASTE_ALL,$DF340,25)&amp;"","")&amp;"␟"&amp;IFERROR(INDEX(PASTE_ALL,$DF340,26)&amp;"","")&amp;"␟"&amp;IFERROR(INDEX(PASTE_ALL,$DF340,27)&amp;"","")&amp;"␟"&amp;IFERROR(INDEX(PASTE_ALL,$DF340,28)&amp;"","")&amp;"␟"&amp;IFERROR(INDEX(PASTE_ALL,$DF340,29)&amp;"","")&amp;"␟"&amp;IFERROR(INDEX(PASTE_ALL,$DF340,30)&amp;"","")&amp;"␟"&amp;IFERROR(INDEX(PASTE_ALL,$DF340,31)&amp;"","")&amp;"␟"&amp;IFERROR(INDEX(PASTE_ALL,$DF340,32)&amp;"","")&amp;"␟"&amp;IFERROR(INDEX(PASTE_ALL,$DF340,33)&amp;"","")&amp;"␟"&amp;IFERROR(INDEX(PASTE_ALL,$DF340,34)&amp;"","")&amp;"␟"&amp;IFERROR(INDEX(PASTE_ALL,$DF340,35)&amp;"","")&amp;"␟"&amp;IFERROR(INDEX(PASTE_ALL,$DF340,36)&amp;"","")&amp;"␟"&amp;IFERROR(INDEX(PASTE_ALL,$DF340,37)&amp;"","")&amp;"␟"&amp;IFERROR(INDEX(PASTE_ALL,$DF340,38)&amp;"","")&amp;"␟"&amp;IFERROR(INDEX(PASTE_ALL,$DF340,39)&amp;"","")&amp;"␟"&amp;IFERROR(INDEX(PASTE_ALL,$DF340,40)&amp;"","")&amp;"␟"&amp;IFERROR(INDEX(PASTE_ALL,$DF340,41)&amp;"","")&amp;"␟"&amp;IFERROR(INDEX(PASTE_ALL,$DF340,42)&amp;"","")&amp;"␟"&amp;IFERROR(INDEX(PASTE_ALL,$DF340,43)&amp;"","")&amp;"␟"&amp;IFERROR(INDEX(PASTE_ALL,$DF340,44)&amp;"","")&amp;"␟"&amp;IFERROR(INDEX(PASTE_ALL,$DF340,45)&amp;"","")&amp;"␟"&amp;IFERROR(INDEX(PASTE_ALL,$DF340,46)&amp;"","")&amp;"␟"&amp;IFERROR(INDEX(PASTE_ALL,$DF340,47)&amp;"","")&amp;"␟"&amp;IFERROR(INDEX(PASTE_ALL,$DF340,48)&amp;"","")&amp;"␟"&amp;IFERROR(INDEX(PASTE_ALL,$DF340,49)&amp;"","")&amp;"␟"&amp;IFERROR(INDEX(PASTE_ALL,$DF340,50)&amp;"","")&amp;"␟"&amp;IFERROR(INDEX(PASTE_ALL,$DF340,51)&amp;"","")&amp;"␟"&amp;IFERROR(INDEX(PASTE_ALL,$DF340,52)&amp;"","")&amp;"␟"&amp;IFERROR(INDEX(PASTE_ALL,$DF340,53)&amp;"","")&amp;"␟"&amp;IFERROR(INDEX(PASTE_ALL,$DF340,54)&amp;"","")&amp;"␟"&amp;IFERROR(INDEX(PASTE_ALL,$DF340,55)&amp;"","")&amp;"␟"&amp;IFERROR(INDEX(PASTE_ALL,$DF340,56)&amp;"","")&amp;"␟"&amp;IFERROR(INDEX(PASTE_ALL,$DF340,57)&amp;"","")&amp;"␟"&amp;IFERROR(INDEX(PASTE_ALL,$DF340,58)&amp;"","")&amp;"␟"&amp;IFERROR(INDEX(PASTE_ALL,$DF340,59)&amp;"","")&amp;"␟"&amp;IFERROR(INDEX(PASTE_ALL,$DF340,60)&amp;"","")," "," "),CHAR(9)," "),CHAR(10)," "),CHAR(13)," "))," ␟","␟"),"␟ ","␟"),"#"&amp;$DE340),"")</f>
        <v/>
      </c>
      <c r="DJ340">
        <f>IF($DI340="",0,IF(SUMPRODUCT(--EXACT($DI$4:DI339,$DI340))&gt;0,1,0))</f>
        <v/>
      </c>
      <c r="DK340">
        <f>IF(AND($DI340&lt;&gt;"",$DJ340=0),1,0)</f>
        <v/>
      </c>
      <c r="DL340">
        <f>DL339+$DK340</f>
        <v/>
      </c>
      <c r="DM340">
        <f>IF(AND($DK340=1,$DL340&lt;=600),1,0)</f>
        <v/>
      </c>
      <c r="DN340">
        <f>IF($DM340=0,"",IF($L$6=0,"",IFERROR(IF(ISNUMBER(INDEX(PASTE_ALL,$DF340,$L$6)),INDEX(PASTE_ALL,$DF340,$L$6),TRIM(SUBSTITUTE(SUBSTITUTE(SUBSTITUTE(SUBSTITUTE(INDEX(PASTE_ALL,$DF340,$L$6)," "," "),CHAR(9)," "),CHAR(10)," "),CHAR(13)," "))),"")))</f>
        <v/>
      </c>
      <c r="DO340">
        <f>IF($DM340=0,"",IF($L$7=0,"",IFERROR(IF(ISNUMBER(INDEX(PASTE_ALL,$DF340,$L$7)),INDEX(PASTE_ALL,$DF340,$L$7),TRIM(SUBSTITUTE(SUBSTITUTE(SUBSTITUTE(SUBSTITUTE(INDEX(PASTE_ALL,$DF340,$L$7)," "," "),CHAR(9)," "),CHAR(10)," "),CHAR(13)," "))),"")))</f>
        <v/>
      </c>
      <c r="DP340">
        <f>IF($DM340=0,"",IF($L$8=0,"",IFERROR(IF(ISNUMBER(INDEX(PASTE_ALL,$DF340,$L$8)),INDEX(PASTE_ALL,$DF340,$L$8),TRIM(SUBSTITUTE(SUBSTITUTE(SUBSTITUTE(SUBSTITUTE(INDEX(PASTE_ALL,$DF340,$L$8)," "," "),CHAR(9)," "),CHAR(10)," "),CHAR(13)," "))),"")))</f>
        <v/>
      </c>
      <c r="DQ340">
        <f>IF($DM340=0,"",IF($L$9=0,"",IFERROR(IF(ISNUMBER(INDEX(PASTE_ALL,$DF340,$L$9)),INDEX(PASTE_ALL,$DF340,$L$9),TRIM(SUBSTITUTE(SUBSTITUTE(SUBSTITUTE(SUBSTITUTE(INDEX(PASTE_ALL,$DF340,$L$9)," "," "),CHAR(9)," "),CHAR(10)," "),CHAR(13)," "))),"")))</f>
        <v/>
      </c>
      <c r="DR340">
        <f>IF($DM340=0,"",IF($L$10=0,"",IFERROR(IF(ISNUMBER(INDEX(PASTE_ALL,$DF340,$L$10)),INDEX(PASTE_ALL,$DF340,$L$10),TRIM(SUBSTITUTE(SUBSTITUTE(SUBSTITUTE(SUBSTITUTE(INDEX(PASTE_ALL,$DF340,$L$10)," "," "),CHAR(9)," "),CHAR(10)," "),CHAR(13)," "))),"")))</f>
        <v/>
      </c>
      <c r="DS340">
        <f>IF($DM340=0,"",IF($L$11=0,"",IFERROR(IF(ISNUMBER(INDEX(PASTE_ALL,$DF340,$L$11)),INDEX(PASTE_ALL,$DF340,$L$11),TRIM(SUBSTITUTE(SUBSTITUTE(SUBSTITUTE(SUBSTITUTE(INDEX(PASTE_ALL,$DF340,$L$11)," "," "),CHAR(9)," "),CHAR(10)," "),CHAR(13)," "))),"")))</f>
        <v/>
      </c>
      <c r="DT340">
        <f>IF($DM340=0,"",IF($L$12=0,"",IFERROR(IF(ISNUMBER(INDEX(PASTE_ALL,$DF340,$L$12)),INDEX(PASTE_ALL,$DF340,$L$12),TRIM(SUBSTITUTE(SUBSTITUTE(SUBSTITUTE(SUBSTITUTE(INDEX(PASTE_ALL,$DF340,$L$12)," "," "),CHAR(9)," "),CHAR(10)," "),CHAR(13)," "))),"")))</f>
        <v/>
      </c>
      <c r="DU340">
        <f>IF($DM340=0,"",IF($L$13=0,"",IFERROR(IF(ISNUMBER(INDEX(PASTE_ALL,$DF340,$L$13)),INDEX(PASTE_ALL,$DF340,$L$13),TRIM(SUBSTITUTE(SUBSTITUTE(SUBSTITUTE(SUBSTITUTE(INDEX(PASTE_ALL,$DF340,$L$13)," "," "),CHAR(9)," "),CHAR(10)," "),CHAR(13)," "))),"")))</f>
        <v/>
      </c>
      <c r="DV340">
        <f>IF($DM340=0,"",IF($L$14=0,"",IFERROR(IF(ISNUMBER(INDEX(PASTE_ALL,$DF340,$L$14)),INDEX(PASTE_ALL,$DF340,$L$14),TRIM(SUBSTITUTE(SUBSTITUTE(SUBSTITUTE(SUBSTITUTE(INDEX(PASTE_ALL,$DF340,$L$14)," "," "),CHAR(9)," "),CHAR(10)," "),CHAR(13)," "))),"")))</f>
        <v/>
      </c>
      <c r="DW340">
        <f>IF($DM340=0,"",IF($L$15=0,"",IFERROR(IF(ISNUMBER(INDEX(PASTE_ALL,$DF340,$L$15)),INDEX(PASTE_ALL,$DF340,$L$15),IF(SUMPRODUCT(--ISNUMBER(FIND({"A","B","C","D","E","F","G","H","I","J","K","L","M","N","O","P","Q","R","S","T","U","V","W","X","Y","Z","0","1","2","3","4","5","6","7","8","9"},UPPER(TRIM(SUBSTITUTE(SUBSTITUTE(SUBSTITUTE(SUBSTITUTE(INDEX(PASTE_ALL,$DF340,$L$15)," "," "),CHAR(9)," "),CHAR(10)," "),CHAR(13)," "))))))&gt;0,TRIM(SUBSTITUTE(SUBSTITUTE(SUBSTITUTE(SUBSTITUTE(INDEX(PASTE_ALL,$DF340,$L$15)," "," "),CHAR(9)," "),CHAR(10)," "),CHAR(13)," ")),"")),"")))</f>
        <v/>
      </c>
      <c r="DX340">
        <f>IF($DM340=0,"",IF($L$16=0,"",IFERROR(IF(ISNUMBER(INDEX(PASTE_ALL,$DF340,$L$16)),INDEX(PASTE_ALL,$DF340,$L$16),SUBSTITUTE(SUBSTITUTE(TRIM(SUBSTITUTE(SUBSTITUTE(SUBSTITUTE(SUBSTITUTE(INDEX(PASTE_ALL,$DF340,$L$16)," "," "),CHAR(9)," "),CHAR(10)," "),CHAR(13)," ")),",",""),"%","")),"")))</f>
        <v/>
      </c>
      <c r="DY340">
        <f>IF($DM340=0,"",IFERROR(IF(ISNUMBER($DX340),$DX340,IF($DX340="","",IF(TRIM($DX340)="",0,IF(AND(AND(SUBSTITUTE(SUBSTITUTE(SUBSTITUTE(SUBSTITUTE(SUBSTITUTE(SUBSTITUTE(SUBSTITUTE(SUBSTITUTE(SUBSTITUTE(SUBSTITUTE(SUBSTITUTE(SUBSTITUTE(SUBSTITUTE(SUBSTITUTE(UPPER(TRIM($DX340)),"0",""),"1",""),"2",""),"3",""),"4",""),"5",""),"6",""),"7",""),"8",""),"9",""),".",""),"+",""),"-",""),"E","")="",LEN(SUBSTITUTE(SUBSTITUTE(MID(UPPER(TRIM($DX340)),1+OR(LEFT(UPPER(TRIM($DX340)),1)="+",LEFT(UPPER(TRIM($DX340)),1)="-"),999),"E+","E"),"E-","E"))=LEN(SUBSTITUTE(SUBSTITUTE(SUBSTITUTE(SUBSTITUTE(MID(UPPER(TRIM($DX340)),1+OR(LEFT(UPPER(TRIM($DX340)),1)="+",LEFT(UPPER(TRIM($DX340)),1)="-"),999),"E+","E"),"E-","E"),"+",""),"-","")),LEN(UPPER(TRIM($DX340)))-LEN(SUBSTITUTE(UPPER(TRIM($DX340)),"E",""))&lt;2,LEN(UPPER(TRIM($DX340)))-LEN(SUBSTITUTE(UPPER(TRIM($DX340)),".",""))&lt;2,IFERROR(FIND(".",UPPER(TRIM($DX340))),0)&lt;IFERROR(FIND("E",UPPER(TRIM($DX340))),999)),ISNUMBER(VALUE(TRIM($DX340)))),VALUE(TRIM($DX340)),"")))),""))</f>
        <v/>
      </c>
      <c r="DZ340">
        <f>IF($DM340=0,"",IF($L$17=0,"",IFERROR(IF(ISNUMBER(INDEX(PASTE_ALL,$DF340,$L$17)),INDEX(PASTE_ALL,$DF340,$L$17),SUBSTITUTE(SUBSTITUTE(TRIM(SUBSTITUTE(SUBSTITUTE(SUBSTITUTE(SUBSTITUTE(INDEX(PASTE_ALL,$DF340,$L$17)," "," "),CHAR(9)," "),CHAR(10)," "),CHAR(13)," ")),",",""),"%","")),"")))</f>
        <v/>
      </c>
      <c r="EA340">
        <f>IF($DM340=0,"",IFERROR(IF(ISNUMBER($DZ340),$DZ340,IF($DZ340="","",IF(TRIM($DZ340)="",0,IF(AND(AND(SUBSTITUTE(SUBSTITUTE(SUBSTITUTE(SUBSTITUTE(SUBSTITUTE(SUBSTITUTE(SUBSTITUTE(SUBSTITUTE(SUBSTITUTE(SUBSTITUTE(SUBSTITUTE(SUBSTITUTE(SUBSTITUTE(SUBSTITUTE(UPPER(TRIM($DZ340)),"0",""),"1",""),"2",""),"3",""),"4",""),"5",""),"6",""),"7",""),"8",""),"9",""),".",""),"+",""),"-",""),"E","")="",LEN(SUBSTITUTE(SUBSTITUTE(MID(UPPER(TRIM($DZ340)),1+OR(LEFT(UPPER(TRIM($DZ340)),1)="+",LEFT(UPPER(TRIM($DZ340)),1)="-"),999),"E+","E"),"E-","E"))=LEN(SUBSTITUTE(SUBSTITUTE(SUBSTITUTE(SUBSTITUTE(MID(UPPER(TRIM($DZ340)),1+OR(LEFT(UPPER(TRIM($DZ340)),1)="+",LEFT(UPPER(TRIM($DZ340)),1)="-"),999),"E+","E"),"E-","E"),"+",""),"-","")),LEN(UPPER(TRIM($DZ340)))-LEN(SUBSTITUTE(UPPER(TRIM($DZ340)),"E",""))&lt;2,LEN(UPPER(TRIM($DZ340)))-LEN(SUBSTITUTE(UPPER(TRIM($DZ340)),".",""))&lt;2,IFERROR(FIND(".",UPPER(TRIM($DZ340))),0)&lt;IFERROR(FIND("E",UPPER(TRIM($DZ340))),999)),ISNUMBER(VALUE(TRIM($DZ340)))),VALUE(TRIM($DZ340)),"")))),""))</f>
        <v/>
      </c>
      <c r="EB340">
        <f>IF($DM340=0,"",IF($L$18=0,"",IFERROR(IF(UPPER(TRIM(SUBSTITUTE(SUBSTITUTE(SUBSTITUTE(SUBSTITUTE(INDEX(PASTE_ALL,$DF340,$L$18)," "," "),CHAR(9)," "),CHAR(10)," "),CHAR(13)," ")))="READY","Ready",IF(UPPER(TRIM(SUBSTITUTE(SUBSTITUTE(SUBSTITUTE(SUBSTITUTE(INDEX(PASTE_ALL,$DF340,$L$18)," "," "),CHAR(9)," "),CHAR(10)," "),CHAR(13)," ")))="PM","PM",IF(OR(UPPER(TRIM(SUBSTITUTE(SUBSTITUTE(SUBSTITUTE(SUBSTITUTE(INDEX(PASTE_ALL,$DF340,$L$18)," "," "),CHAR(9)," "),CHAR(10)," "),CHAR(13)," ")))="OT",UPPER(TRIM(SUBSTITUTE(SUBSTITUTE(SUBSTITUTE(SUBSTITUTE(INDEX(PASTE_ALL,$DF340,$L$18)," "," "),CHAR(9)," "),CHAR(10)," "),CHAR(13)," ")))="OVERTIME",UPPER(TRIM(SUBSTITUTE(SUBSTITUTE(SUBSTITUTE(SUBSTITUTE(INDEX(PASTE_ALL,$DF340,$L$18)," "," "),CHAR(9)," "),CHAR(10)," "),CHAR(13)," ")))="TRIAL"),"OT",TRIM(SUBSTITUTE(SUBSTITUTE(SUBSTITUTE(SUBSTITUTE(INDEX(PASTE_ALL,$DF340,$L$18)," "," "),CHAR(9)," "),CHAR(10)," "),CHAR(13)," "))))),"")))</f>
        <v/>
      </c>
      <c r="EC340">
        <f>IF($DM340=0,"",IF($L$19=0,"",IFERROR(IF(ISNUMBER(INDEX(PASTE_ALL,$DF340,$L$19)),INDEX(PASTE_ALL,$DF340,$L$19),TRIM(SUBSTITUTE(SUBSTITUTE(SUBSTITUTE(SUBSTITUTE(INDEX(PASTE_ALL,$DF340,$L$19)," "," "),CHAR(9)," "),CHAR(10)," "),CHAR(13)," "))),"")))</f>
        <v/>
      </c>
      <c r="ED340">
        <f>IF($DM340=0,"",MATCH(1,INDEX(EXACT($DH$5:DH340,$DH340)*$DM$5:DM340,0),0))</f>
        <v/>
      </c>
      <c r="EE340">
        <f>IF($DM340=0,0,IF($ED340=$DE340,1,0))</f>
        <v/>
      </c>
      <c r="EF340">
        <f>EF339+$EE340</f>
        <v/>
      </c>
      <c r="EG340">
        <f>IF($DM340=0,"",INDEX($EF$5:$EF$1003,$ED340))</f>
        <v/>
      </c>
      <c r="EH340">
        <f>IF($DM340=0,"",IF($DO340&lt;&gt;"","",IFERROR(LOOKUP(2,1/(($EG$4:EG339=$EG340)*($DO$4:DO339&lt;&gt;"")),$DO$4:DO339),"")))</f>
        <v/>
      </c>
      <c r="EI340">
        <f>IF($DM340=0,"",IF($DO340&lt;&gt;"",$DO340,$EH340))</f>
        <v/>
      </c>
      <c r="EJ340">
        <f>IF($DM340=0,"",IF($EI340="",0,IF(OR(ISNUMBER($EI340),AND(AND(SUBSTITUTE(SUBSTITUTE(SUBSTITUTE(SUBSTITUTE(SUBSTITUTE(SUBSTITUTE(SUBSTITUTE(SUBSTITUTE(SUBSTITUTE(SUBSTITUTE(SUBSTITUTE(SUBSTITUTE(SUBSTITUTE(SUBSTITUTE(UPPER($EI340),"0",""),"1",""),"2",""),"3",""),"4",""),"5",""),"6",""),"7",""),"8",""),"9",""),".",""),"+",""),"-",""),"E","")="",LEN(SUBSTITUTE(SUBSTITUTE(MID(UPPER($EI340),1+OR(LEFT(UPPER($EI340),1)="+",LEFT(UPPER($EI340),1)="-"),999),"E+","E"),"E-","E"))=LEN(SUBSTITUTE(SUBSTITUTE(SUBSTITUTE(SUBSTITUTE(MID(UPPER($EI340),1+OR(LEFT(UPPER($EI340),1)="+",LEFT(UPPER($EI340),1)="-"),999),"E+","E"),"E-","E"),"+",""),"-","")),LEN(UPPER($EI340))-LEN(SUBSTITUTE(UPPER($EI340),"E",""))&lt;2,LEN(UPPER($EI340))-LEN(SUBSTITUTE(UPPER($EI340),".",""))&lt;2,IFERROR(FIND(".",UPPER($EI340)),0)&lt;IFERROR(FIND("E",UPPER($EI340)),999)),ISNUMBER(VALUE($EI340)))),1,2)))</f>
        <v/>
      </c>
      <c r="EK340">
        <f>IF($DM340=0,"",IF($EJ340=1,IF(ISNUMBER($EI340),$EI340,VALUE($EI340)),IF($EJ340=2,$DE340,0)))</f>
        <v/>
      </c>
      <c r="EL340">
        <f>IF($DM340=0,"",COUNTIF($EG$5:$EG$1003,"&lt;"&amp;$EG340)+SUMPRODUCT(($EG$5:$EG$1003=$EG340)*(($EJ$5:$EJ$1003&lt;$EJ340)+($EJ$5:$EJ$1003=$EJ340)*(($EK$5:$EK$1003&lt;$EK340)+($EK$5:$EK$1003=$EK340)*($DE$5:$DE$1003&lt;$DE340))))+1)</f>
        <v/>
      </c>
      <c r="EM340">
        <f>IF($DM340=0,"",$EL340+$EG340-1)</f>
        <v/>
      </c>
      <c r="EN340">
        <f>IF($DM340=0,0,IFERROR(MATCH(1,INDEX(--(TRIM(SUBSTITUTE(SUBSTITUTE(SUBSTITUTE(SUBSTITUTE(LINES_NAME&amp;""," "," "),CHAR(9)," "),CHAR(10)," "),CHAR(13)," "))=$DH340),0),0),0))</f>
        <v/>
      </c>
      <c r="EO340">
        <f>IF($EN340=0,0,IF(OR(UPPER(TRIM(INDEX(LINES_SCHEDULED,$EN340)&amp;""))="YES",UPPER(TRIM(INDEX(LINES_SCHEDULED,$EN340)&amp;""))="Y",UPPER(TRIM(INDEX(LINES_SCHEDULED,$EN340)&amp;""))="X"),1,0))</f>
        <v/>
      </c>
      <c r="EP340">
        <f>IF($DM340=0,"",IF(COUNTIFS($EG$5:$EG$1003,$EG340,$EB$5:$EB$1003,"Ready")&gt;0,"READY",IF(COUNTIFS($EG$5:$EG$1003,$EG340,$EB$5:$EB$1003,"PM")&gt;0,"PM",IF(COUNTIFS($EG$5:$EG$1003,$EG340,$EB$5:$EB$1003,"OT")&gt;0,"OT",""))))</f>
        <v/>
      </c>
      <c r="EQ340">
        <f>IF($EN340=0,"",UPPER(TRIM(INDEX(LINES_STATUS,$EN340)&amp;"")))</f>
        <v/>
      </c>
      <c r="ER340">
        <f>IF($DM340=0,"",IF(OR($EQ340="READY",$EQ340="PM",$EQ340="OT"),$EQ340,$EP340))</f>
        <v/>
      </c>
      <c r="ES340">
        <f>IF($DM340=0,"",IF(AND($DV340&lt;&gt;"",UPPER($DV340)&lt;&gt;"N"),"allergen",IF(ISNUMBER(SEARCH("oil",$DQ340)),"oil",IF(OR(EXACT($DS340,"A662"),EXACT($DS340,"A624")),"bulk",""))))</f>
        <v/>
      </c>
      <c r="ET340">
        <f>IF($DM340=0,"",IF(OR($EA340="",$EA340=0),"",$EA340/100))</f>
        <v/>
      </c>
      <c r="EU340">
        <f>IF(OR($ET340="",$DY340=""),"",INT($DY340*(1-$ET340)+0.5))</f>
        <v/>
      </c>
      <c r="EW340" t="n">
        <v>336</v>
      </c>
      <c r="EX340">
        <f>IFERROR(MATCH($EW340,$EM$5:$EM$1003,0),0)</f>
        <v/>
      </c>
      <c r="EY340">
        <f>IF($EW340&gt;$B$12,"",IF($EX340&gt;0,"row","spacer"))</f>
        <v/>
      </c>
      <c r="EZ340">
        <f>IF(AND($EY340="row",$EY339&lt;&gt;"row"),1,0)</f>
        <v/>
      </c>
      <c r="FA340">
        <f>IF(AND($EY340="row",$EY341&lt;&gt;"row"),1,0)</f>
        <v/>
      </c>
      <c r="FB340">
        <f>IF($EZ340=1,IFERROR(IF(ISNUMBER(INDEX(PASTE_ALL,INDEX($DF$5:$DF$1003,$EX340),$B$37)),INDEX(PASTE_ALL,INDEX($DF$5:$DF$1003,$EX340),$B$37),INDEX($DH$5:$DH$1003,$EX340)),INDEX($DH$5:$DH$1003,$EX340)),"")</f>
        <v/>
      </c>
      <c r="FC340">
        <f>IF($EY340="row",INDEX($ER$5:$ER$1003,$EX340),"")</f>
        <v/>
      </c>
      <c r="FD340">
        <f>IF($EY340="row",INDEX($DN$5:$DN$1003,$EX340),"")</f>
        <v/>
      </c>
      <c r="FE340">
        <f>IF($EY340="row",INDEX($DO$5:$DO$1003,$EX340),"")</f>
        <v/>
      </c>
      <c r="FF340">
        <f>IF($EY340="row",INDEX($DP$5:$DP$1003,$EX340),"")</f>
        <v/>
      </c>
      <c r="FG340">
        <f>IF($EY340="row",INDEX($DQ$5:$DQ$1003,$EX340),"")</f>
        <v/>
      </c>
      <c r="FH340">
        <f>IF($EY340="row",INDEX($DR$5:$DR$1003,$EX340),"")</f>
        <v/>
      </c>
      <c r="FI340">
        <f>IF($EY340="row",INDEX($DS$5:$DS$1003,$EX340),"")</f>
        <v/>
      </c>
      <c r="FJ340">
        <f>IF($EY340="row",INDEX($DT$5:$DT$1003,$EX340),"")</f>
        <v/>
      </c>
      <c r="FK340">
        <f>IF($EY340="row",INDEX($DU$5:$DU$1003,$EX340),"")</f>
        <v/>
      </c>
      <c r="FL340">
        <f>IF($EY340="row",INDEX($DV$5:$DV$1003,$EX340),"")</f>
        <v/>
      </c>
      <c r="FM340">
        <f>IF($EY340="row",INDEX($DW$5:$DW$1003,$EX340),"")</f>
        <v/>
      </c>
      <c r="FN340">
        <f>IF($EY340="row",INDEX($DY$5:$DY$1003,$EX340),"")</f>
        <v/>
      </c>
      <c r="FO340">
        <f>IF($EY340="row",INDEX($EA$5:$EA$1003,$EX340),"")</f>
        <v/>
      </c>
      <c r="FP340">
        <f>IF($EY340="row",INDEX($EC$5:$EC$1003,$EX340),"")</f>
        <v/>
      </c>
      <c r="FQ340">
        <f>IF($EY340="row",INDEX($ET$5:$ET$1003,$EX340),"")</f>
        <v/>
      </c>
      <c r="FR340">
        <f>IF($EY340="row",INDEX($EU$5:$EU$1003,$EX340),"")</f>
        <v/>
      </c>
      <c r="FS340">
        <f>IF(AND($EY340="row",$EY339="row"),IF(OR(INDEX($DT$5:$DT$1003,$EX339)="",INDEX($DT$5:$DT$1003,$EX340)=""),"",IF(NOT(EXACT(INDEX($DT$5:$DT$1003,$EX339),INDEX($DT$5:$DT$1003,$EX340))),"S4",IF(NOT(EXACT(INDEX($DS$5:$DS$1003,$EX339),INDEX($DS$5:$DS$1003,$EX340))),"S3",IF(NOT(EXACT(INDEX($DR$5:$DR$1003,$EX339),INDEX($DR$5:$DR$1003,$EX340))),"S1 Count Change","S1")))),"")</f>
        <v/>
      </c>
      <c r="FT340">
        <f>IF($EY340="row",INDEX($ES$5:$ES$1003,$EX340),"")</f>
        <v/>
      </c>
      <c r="FU340">
        <f>IF($EY340="row",INDEX($EO$5:$EO$1003,$EX340),0)</f>
        <v/>
      </c>
      <c r="FV340">
        <f>IF($FS340="S1 Count Change",1,0)</f>
        <v/>
      </c>
    </row>
    <row r="341">
      <c r="DA341" t="n">
        <v>337</v>
      </c>
      <c r="DB341">
        <f>IF($B$37=0,"",IFERROR(TRIM(SUBSTITUTE(SUBSTITUTE(SUBSTITUTE(SUBSTITUTE(INDEX(PASTE_ALL,337,$B$37)," "," "),CHAR(9)," "),CHAR(10)," "),CHAR(13)," ")),""))</f>
        <v/>
      </c>
      <c r="DC341">
        <f>IF(AND(337&gt;HEADER_ROW,UPPER(DB341)="LEGEND"),1,0)</f>
        <v/>
      </c>
      <c r="DE341" t="n">
        <v>337</v>
      </c>
      <c r="DF341">
        <f>HEADER_ROW+$DE341</f>
        <v/>
      </c>
      <c r="DG341">
        <f>IF(AND($DF341&lt;=1000,$DF341&lt;$B$8),1,0)</f>
        <v/>
      </c>
      <c r="DH341">
        <f>IF($DG341=1,IFERROR(INDEX($DB$5:$DB$1004,$DF341),""),"")</f>
        <v/>
      </c>
      <c r="DI341">
        <f>IF(AND($DG341=1,$DH341&lt;&gt;""),IFERROR(SUBSTITUTE(SUBSTITUTE(TRIM(SUBSTITUTE(SUBSTITUTE(SUBSTITUTE(SUBSTITUTE(IFERROR(INDEX(PASTE_ALL,$DF341,1)&amp;"","")&amp;"␟"&amp;IFERROR(INDEX(PASTE_ALL,$DF341,2)&amp;"","")&amp;"␟"&amp;IFERROR(INDEX(PASTE_ALL,$DF341,3)&amp;"","")&amp;"␟"&amp;IFERROR(INDEX(PASTE_ALL,$DF341,4)&amp;"","")&amp;"␟"&amp;IFERROR(INDEX(PASTE_ALL,$DF341,5)&amp;"","")&amp;"␟"&amp;IFERROR(INDEX(PASTE_ALL,$DF341,6)&amp;"","")&amp;"␟"&amp;IFERROR(INDEX(PASTE_ALL,$DF341,7)&amp;"","")&amp;"␟"&amp;IFERROR(INDEX(PASTE_ALL,$DF341,8)&amp;"","")&amp;"␟"&amp;IFERROR(INDEX(PASTE_ALL,$DF341,9)&amp;"","")&amp;"␟"&amp;IFERROR(INDEX(PASTE_ALL,$DF341,10)&amp;"","")&amp;"␟"&amp;IFERROR(INDEX(PASTE_ALL,$DF341,11)&amp;"","")&amp;"␟"&amp;IFERROR(INDEX(PASTE_ALL,$DF341,12)&amp;"","")&amp;"␟"&amp;IFERROR(INDEX(PASTE_ALL,$DF341,13)&amp;"","")&amp;"␟"&amp;IFERROR(INDEX(PASTE_ALL,$DF341,14)&amp;"","")&amp;"␟"&amp;IFERROR(INDEX(PASTE_ALL,$DF341,15)&amp;"","")&amp;"␟"&amp;IFERROR(INDEX(PASTE_ALL,$DF341,16)&amp;"","")&amp;"␟"&amp;IFERROR(INDEX(PASTE_ALL,$DF341,17)&amp;"","")&amp;"␟"&amp;IFERROR(INDEX(PASTE_ALL,$DF341,18)&amp;"","")&amp;"␟"&amp;IFERROR(INDEX(PASTE_ALL,$DF341,19)&amp;"","")&amp;"␟"&amp;IFERROR(INDEX(PASTE_ALL,$DF341,20)&amp;"","")&amp;"␟"&amp;IFERROR(INDEX(PASTE_ALL,$DF341,21)&amp;"","")&amp;"␟"&amp;IFERROR(INDEX(PASTE_ALL,$DF341,22)&amp;"","")&amp;"␟"&amp;IFERROR(INDEX(PASTE_ALL,$DF341,23)&amp;"","")&amp;"␟"&amp;IFERROR(INDEX(PASTE_ALL,$DF341,24)&amp;"","")&amp;"␟"&amp;IFERROR(INDEX(PASTE_ALL,$DF341,25)&amp;"","")&amp;"␟"&amp;IFERROR(INDEX(PASTE_ALL,$DF341,26)&amp;"","")&amp;"␟"&amp;IFERROR(INDEX(PASTE_ALL,$DF341,27)&amp;"","")&amp;"␟"&amp;IFERROR(INDEX(PASTE_ALL,$DF341,28)&amp;"","")&amp;"␟"&amp;IFERROR(INDEX(PASTE_ALL,$DF341,29)&amp;"","")&amp;"␟"&amp;IFERROR(INDEX(PASTE_ALL,$DF341,30)&amp;"","")&amp;"␟"&amp;IFERROR(INDEX(PASTE_ALL,$DF341,31)&amp;"","")&amp;"␟"&amp;IFERROR(INDEX(PASTE_ALL,$DF341,32)&amp;"","")&amp;"␟"&amp;IFERROR(INDEX(PASTE_ALL,$DF341,33)&amp;"","")&amp;"␟"&amp;IFERROR(INDEX(PASTE_ALL,$DF341,34)&amp;"","")&amp;"␟"&amp;IFERROR(INDEX(PASTE_ALL,$DF341,35)&amp;"","")&amp;"␟"&amp;IFERROR(INDEX(PASTE_ALL,$DF341,36)&amp;"","")&amp;"␟"&amp;IFERROR(INDEX(PASTE_ALL,$DF341,37)&amp;"","")&amp;"␟"&amp;IFERROR(INDEX(PASTE_ALL,$DF341,38)&amp;"","")&amp;"␟"&amp;IFERROR(INDEX(PASTE_ALL,$DF341,39)&amp;"","")&amp;"␟"&amp;IFERROR(INDEX(PASTE_ALL,$DF341,40)&amp;"","")&amp;"␟"&amp;IFERROR(INDEX(PASTE_ALL,$DF341,41)&amp;"","")&amp;"␟"&amp;IFERROR(INDEX(PASTE_ALL,$DF341,42)&amp;"","")&amp;"␟"&amp;IFERROR(INDEX(PASTE_ALL,$DF341,43)&amp;"","")&amp;"␟"&amp;IFERROR(INDEX(PASTE_ALL,$DF341,44)&amp;"","")&amp;"␟"&amp;IFERROR(INDEX(PASTE_ALL,$DF341,45)&amp;"","")&amp;"␟"&amp;IFERROR(INDEX(PASTE_ALL,$DF341,46)&amp;"","")&amp;"␟"&amp;IFERROR(INDEX(PASTE_ALL,$DF341,47)&amp;"","")&amp;"␟"&amp;IFERROR(INDEX(PASTE_ALL,$DF341,48)&amp;"","")&amp;"␟"&amp;IFERROR(INDEX(PASTE_ALL,$DF341,49)&amp;"","")&amp;"␟"&amp;IFERROR(INDEX(PASTE_ALL,$DF341,50)&amp;"","")&amp;"␟"&amp;IFERROR(INDEX(PASTE_ALL,$DF341,51)&amp;"","")&amp;"␟"&amp;IFERROR(INDEX(PASTE_ALL,$DF341,52)&amp;"","")&amp;"␟"&amp;IFERROR(INDEX(PASTE_ALL,$DF341,53)&amp;"","")&amp;"␟"&amp;IFERROR(INDEX(PASTE_ALL,$DF341,54)&amp;"","")&amp;"␟"&amp;IFERROR(INDEX(PASTE_ALL,$DF341,55)&amp;"","")&amp;"␟"&amp;IFERROR(INDEX(PASTE_ALL,$DF341,56)&amp;"","")&amp;"␟"&amp;IFERROR(INDEX(PASTE_ALL,$DF341,57)&amp;"","")&amp;"␟"&amp;IFERROR(INDEX(PASTE_ALL,$DF341,58)&amp;"","")&amp;"␟"&amp;IFERROR(INDEX(PASTE_ALL,$DF341,59)&amp;"","")&amp;"␟"&amp;IFERROR(INDEX(PASTE_ALL,$DF341,60)&amp;"","")," "," "),CHAR(9)," "),CHAR(10)," "),CHAR(13)," "))," ␟","␟"),"␟ ","␟"),"#"&amp;$DE341),"")</f>
        <v/>
      </c>
      <c r="DJ341">
        <f>IF($DI341="",0,IF(SUMPRODUCT(--EXACT($DI$4:DI340,$DI341))&gt;0,1,0))</f>
        <v/>
      </c>
      <c r="DK341">
        <f>IF(AND($DI341&lt;&gt;"",$DJ341=0),1,0)</f>
        <v/>
      </c>
      <c r="DL341">
        <f>DL340+$DK341</f>
        <v/>
      </c>
      <c r="DM341">
        <f>IF(AND($DK341=1,$DL341&lt;=600),1,0)</f>
        <v/>
      </c>
      <c r="DN341">
        <f>IF($DM341=0,"",IF($L$6=0,"",IFERROR(IF(ISNUMBER(INDEX(PASTE_ALL,$DF341,$L$6)),INDEX(PASTE_ALL,$DF341,$L$6),TRIM(SUBSTITUTE(SUBSTITUTE(SUBSTITUTE(SUBSTITUTE(INDEX(PASTE_ALL,$DF341,$L$6)," "," "),CHAR(9)," "),CHAR(10)," "),CHAR(13)," "))),"")))</f>
        <v/>
      </c>
      <c r="DO341">
        <f>IF($DM341=0,"",IF($L$7=0,"",IFERROR(IF(ISNUMBER(INDEX(PASTE_ALL,$DF341,$L$7)),INDEX(PASTE_ALL,$DF341,$L$7),TRIM(SUBSTITUTE(SUBSTITUTE(SUBSTITUTE(SUBSTITUTE(INDEX(PASTE_ALL,$DF341,$L$7)," "," "),CHAR(9)," "),CHAR(10)," "),CHAR(13)," "))),"")))</f>
        <v/>
      </c>
      <c r="DP341">
        <f>IF($DM341=0,"",IF($L$8=0,"",IFERROR(IF(ISNUMBER(INDEX(PASTE_ALL,$DF341,$L$8)),INDEX(PASTE_ALL,$DF341,$L$8),TRIM(SUBSTITUTE(SUBSTITUTE(SUBSTITUTE(SUBSTITUTE(INDEX(PASTE_ALL,$DF341,$L$8)," "," "),CHAR(9)," "),CHAR(10)," "),CHAR(13)," "))),"")))</f>
        <v/>
      </c>
      <c r="DQ341">
        <f>IF($DM341=0,"",IF($L$9=0,"",IFERROR(IF(ISNUMBER(INDEX(PASTE_ALL,$DF341,$L$9)),INDEX(PASTE_ALL,$DF341,$L$9),TRIM(SUBSTITUTE(SUBSTITUTE(SUBSTITUTE(SUBSTITUTE(INDEX(PASTE_ALL,$DF341,$L$9)," "," "),CHAR(9)," "),CHAR(10)," "),CHAR(13)," "))),"")))</f>
        <v/>
      </c>
      <c r="DR341">
        <f>IF($DM341=0,"",IF($L$10=0,"",IFERROR(IF(ISNUMBER(INDEX(PASTE_ALL,$DF341,$L$10)),INDEX(PASTE_ALL,$DF341,$L$10),TRIM(SUBSTITUTE(SUBSTITUTE(SUBSTITUTE(SUBSTITUTE(INDEX(PASTE_ALL,$DF341,$L$10)," "," "),CHAR(9)," "),CHAR(10)," "),CHAR(13)," "))),"")))</f>
        <v/>
      </c>
      <c r="DS341">
        <f>IF($DM341=0,"",IF($L$11=0,"",IFERROR(IF(ISNUMBER(INDEX(PASTE_ALL,$DF341,$L$11)),INDEX(PASTE_ALL,$DF341,$L$11),TRIM(SUBSTITUTE(SUBSTITUTE(SUBSTITUTE(SUBSTITUTE(INDEX(PASTE_ALL,$DF341,$L$11)," "," "),CHAR(9)," "),CHAR(10)," "),CHAR(13)," "))),"")))</f>
        <v/>
      </c>
      <c r="DT341">
        <f>IF($DM341=0,"",IF($L$12=0,"",IFERROR(IF(ISNUMBER(INDEX(PASTE_ALL,$DF341,$L$12)),INDEX(PASTE_ALL,$DF341,$L$12),TRIM(SUBSTITUTE(SUBSTITUTE(SUBSTITUTE(SUBSTITUTE(INDEX(PASTE_ALL,$DF341,$L$12)," "," "),CHAR(9)," "),CHAR(10)," "),CHAR(13)," "))),"")))</f>
        <v/>
      </c>
      <c r="DU341">
        <f>IF($DM341=0,"",IF($L$13=0,"",IFERROR(IF(ISNUMBER(INDEX(PASTE_ALL,$DF341,$L$13)),INDEX(PASTE_ALL,$DF341,$L$13),TRIM(SUBSTITUTE(SUBSTITUTE(SUBSTITUTE(SUBSTITUTE(INDEX(PASTE_ALL,$DF341,$L$13)," "," "),CHAR(9)," "),CHAR(10)," "),CHAR(13)," "))),"")))</f>
        <v/>
      </c>
      <c r="DV341">
        <f>IF($DM341=0,"",IF($L$14=0,"",IFERROR(IF(ISNUMBER(INDEX(PASTE_ALL,$DF341,$L$14)),INDEX(PASTE_ALL,$DF341,$L$14),TRIM(SUBSTITUTE(SUBSTITUTE(SUBSTITUTE(SUBSTITUTE(INDEX(PASTE_ALL,$DF341,$L$14)," "," "),CHAR(9)," "),CHAR(10)," "),CHAR(13)," "))),"")))</f>
        <v/>
      </c>
      <c r="DW341">
        <f>IF($DM341=0,"",IF($L$15=0,"",IFERROR(IF(ISNUMBER(INDEX(PASTE_ALL,$DF341,$L$15)),INDEX(PASTE_ALL,$DF341,$L$15),IF(SUMPRODUCT(--ISNUMBER(FIND({"A","B","C","D","E","F","G","H","I","J","K","L","M","N","O","P","Q","R","S","T","U","V","W","X","Y","Z","0","1","2","3","4","5","6","7","8","9"},UPPER(TRIM(SUBSTITUTE(SUBSTITUTE(SUBSTITUTE(SUBSTITUTE(INDEX(PASTE_ALL,$DF341,$L$15)," "," "),CHAR(9)," "),CHAR(10)," "),CHAR(13)," "))))))&gt;0,TRIM(SUBSTITUTE(SUBSTITUTE(SUBSTITUTE(SUBSTITUTE(INDEX(PASTE_ALL,$DF341,$L$15)," "," "),CHAR(9)," "),CHAR(10)," "),CHAR(13)," ")),"")),"")))</f>
        <v/>
      </c>
      <c r="DX341">
        <f>IF($DM341=0,"",IF($L$16=0,"",IFERROR(IF(ISNUMBER(INDEX(PASTE_ALL,$DF341,$L$16)),INDEX(PASTE_ALL,$DF341,$L$16),SUBSTITUTE(SUBSTITUTE(TRIM(SUBSTITUTE(SUBSTITUTE(SUBSTITUTE(SUBSTITUTE(INDEX(PASTE_ALL,$DF341,$L$16)," "," "),CHAR(9)," "),CHAR(10)," "),CHAR(13)," ")),",",""),"%","")),"")))</f>
        <v/>
      </c>
      <c r="DY341">
        <f>IF($DM341=0,"",IFERROR(IF(ISNUMBER($DX341),$DX341,IF($DX341="","",IF(TRIM($DX341)="",0,IF(AND(AND(SUBSTITUTE(SUBSTITUTE(SUBSTITUTE(SUBSTITUTE(SUBSTITUTE(SUBSTITUTE(SUBSTITUTE(SUBSTITUTE(SUBSTITUTE(SUBSTITUTE(SUBSTITUTE(SUBSTITUTE(SUBSTITUTE(SUBSTITUTE(UPPER(TRIM($DX341)),"0",""),"1",""),"2",""),"3",""),"4",""),"5",""),"6",""),"7",""),"8",""),"9",""),".",""),"+",""),"-",""),"E","")="",LEN(SUBSTITUTE(SUBSTITUTE(MID(UPPER(TRIM($DX341)),1+OR(LEFT(UPPER(TRIM($DX341)),1)="+",LEFT(UPPER(TRIM($DX341)),1)="-"),999),"E+","E"),"E-","E"))=LEN(SUBSTITUTE(SUBSTITUTE(SUBSTITUTE(SUBSTITUTE(MID(UPPER(TRIM($DX341)),1+OR(LEFT(UPPER(TRIM($DX341)),1)="+",LEFT(UPPER(TRIM($DX341)),1)="-"),999),"E+","E"),"E-","E"),"+",""),"-","")),LEN(UPPER(TRIM($DX341)))-LEN(SUBSTITUTE(UPPER(TRIM($DX341)),"E",""))&lt;2,LEN(UPPER(TRIM($DX341)))-LEN(SUBSTITUTE(UPPER(TRIM($DX341)),".",""))&lt;2,IFERROR(FIND(".",UPPER(TRIM($DX341))),0)&lt;IFERROR(FIND("E",UPPER(TRIM($DX341))),999)),ISNUMBER(VALUE(TRIM($DX341)))),VALUE(TRIM($DX341)),"")))),""))</f>
        <v/>
      </c>
      <c r="DZ341">
        <f>IF($DM341=0,"",IF($L$17=0,"",IFERROR(IF(ISNUMBER(INDEX(PASTE_ALL,$DF341,$L$17)),INDEX(PASTE_ALL,$DF341,$L$17),SUBSTITUTE(SUBSTITUTE(TRIM(SUBSTITUTE(SUBSTITUTE(SUBSTITUTE(SUBSTITUTE(INDEX(PASTE_ALL,$DF341,$L$17)," "," "),CHAR(9)," "),CHAR(10)," "),CHAR(13)," ")),",",""),"%","")),"")))</f>
        <v/>
      </c>
      <c r="EA341">
        <f>IF($DM341=0,"",IFERROR(IF(ISNUMBER($DZ341),$DZ341,IF($DZ341="","",IF(TRIM($DZ341)="",0,IF(AND(AND(SUBSTITUTE(SUBSTITUTE(SUBSTITUTE(SUBSTITUTE(SUBSTITUTE(SUBSTITUTE(SUBSTITUTE(SUBSTITUTE(SUBSTITUTE(SUBSTITUTE(SUBSTITUTE(SUBSTITUTE(SUBSTITUTE(SUBSTITUTE(UPPER(TRIM($DZ341)),"0",""),"1",""),"2",""),"3",""),"4",""),"5",""),"6",""),"7",""),"8",""),"9",""),".",""),"+",""),"-",""),"E","")="",LEN(SUBSTITUTE(SUBSTITUTE(MID(UPPER(TRIM($DZ341)),1+OR(LEFT(UPPER(TRIM($DZ341)),1)="+",LEFT(UPPER(TRIM($DZ341)),1)="-"),999),"E+","E"),"E-","E"))=LEN(SUBSTITUTE(SUBSTITUTE(SUBSTITUTE(SUBSTITUTE(MID(UPPER(TRIM($DZ341)),1+OR(LEFT(UPPER(TRIM($DZ341)),1)="+",LEFT(UPPER(TRIM($DZ341)),1)="-"),999),"E+","E"),"E-","E"),"+",""),"-","")),LEN(UPPER(TRIM($DZ341)))-LEN(SUBSTITUTE(UPPER(TRIM($DZ341)),"E",""))&lt;2,LEN(UPPER(TRIM($DZ341)))-LEN(SUBSTITUTE(UPPER(TRIM($DZ341)),".",""))&lt;2,IFERROR(FIND(".",UPPER(TRIM($DZ341))),0)&lt;IFERROR(FIND("E",UPPER(TRIM($DZ341))),999)),ISNUMBER(VALUE(TRIM($DZ341)))),VALUE(TRIM($DZ341)),"")))),""))</f>
        <v/>
      </c>
      <c r="EB341">
        <f>IF($DM341=0,"",IF($L$18=0,"",IFERROR(IF(UPPER(TRIM(SUBSTITUTE(SUBSTITUTE(SUBSTITUTE(SUBSTITUTE(INDEX(PASTE_ALL,$DF341,$L$18)," "," "),CHAR(9)," "),CHAR(10)," "),CHAR(13)," ")))="READY","Ready",IF(UPPER(TRIM(SUBSTITUTE(SUBSTITUTE(SUBSTITUTE(SUBSTITUTE(INDEX(PASTE_ALL,$DF341,$L$18)," "," "),CHAR(9)," "),CHAR(10)," "),CHAR(13)," ")))="PM","PM",IF(OR(UPPER(TRIM(SUBSTITUTE(SUBSTITUTE(SUBSTITUTE(SUBSTITUTE(INDEX(PASTE_ALL,$DF341,$L$18)," "," "),CHAR(9)," "),CHAR(10)," "),CHAR(13)," ")))="OT",UPPER(TRIM(SUBSTITUTE(SUBSTITUTE(SUBSTITUTE(SUBSTITUTE(INDEX(PASTE_ALL,$DF341,$L$18)," "," "),CHAR(9)," "),CHAR(10)," "),CHAR(13)," ")))="OVERTIME",UPPER(TRIM(SUBSTITUTE(SUBSTITUTE(SUBSTITUTE(SUBSTITUTE(INDEX(PASTE_ALL,$DF341,$L$18)," "," "),CHAR(9)," "),CHAR(10)," "),CHAR(13)," ")))="TRIAL"),"OT",TRIM(SUBSTITUTE(SUBSTITUTE(SUBSTITUTE(SUBSTITUTE(INDEX(PASTE_ALL,$DF341,$L$18)," "," "),CHAR(9)," "),CHAR(10)," "),CHAR(13)," "))))),"")))</f>
        <v/>
      </c>
      <c r="EC341">
        <f>IF($DM341=0,"",IF($L$19=0,"",IFERROR(IF(ISNUMBER(INDEX(PASTE_ALL,$DF341,$L$19)),INDEX(PASTE_ALL,$DF341,$L$19),TRIM(SUBSTITUTE(SUBSTITUTE(SUBSTITUTE(SUBSTITUTE(INDEX(PASTE_ALL,$DF341,$L$19)," "," "),CHAR(9)," "),CHAR(10)," "),CHAR(13)," "))),"")))</f>
        <v/>
      </c>
      <c r="ED341">
        <f>IF($DM341=0,"",MATCH(1,INDEX(EXACT($DH$5:DH341,$DH341)*$DM$5:DM341,0),0))</f>
        <v/>
      </c>
      <c r="EE341">
        <f>IF($DM341=0,0,IF($ED341=$DE341,1,0))</f>
        <v/>
      </c>
      <c r="EF341">
        <f>EF340+$EE341</f>
        <v/>
      </c>
      <c r="EG341">
        <f>IF($DM341=0,"",INDEX($EF$5:$EF$1003,$ED341))</f>
        <v/>
      </c>
      <c r="EH341">
        <f>IF($DM341=0,"",IF($DO341&lt;&gt;"","",IFERROR(LOOKUP(2,1/(($EG$4:EG340=$EG341)*($DO$4:DO340&lt;&gt;"")),$DO$4:DO340),"")))</f>
        <v/>
      </c>
      <c r="EI341">
        <f>IF($DM341=0,"",IF($DO341&lt;&gt;"",$DO341,$EH341))</f>
        <v/>
      </c>
      <c r="EJ341">
        <f>IF($DM341=0,"",IF($EI341="",0,IF(OR(ISNUMBER($EI341),AND(AND(SUBSTITUTE(SUBSTITUTE(SUBSTITUTE(SUBSTITUTE(SUBSTITUTE(SUBSTITUTE(SUBSTITUTE(SUBSTITUTE(SUBSTITUTE(SUBSTITUTE(SUBSTITUTE(SUBSTITUTE(SUBSTITUTE(SUBSTITUTE(UPPER($EI341),"0",""),"1",""),"2",""),"3",""),"4",""),"5",""),"6",""),"7",""),"8",""),"9",""),".",""),"+",""),"-",""),"E","")="",LEN(SUBSTITUTE(SUBSTITUTE(MID(UPPER($EI341),1+OR(LEFT(UPPER($EI341),1)="+",LEFT(UPPER($EI341),1)="-"),999),"E+","E"),"E-","E"))=LEN(SUBSTITUTE(SUBSTITUTE(SUBSTITUTE(SUBSTITUTE(MID(UPPER($EI341),1+OR(LEFT(UPPER($EI341),1)="+",LEFT(UPPER($EI341),1)="-"),999),"E+","E"),"E-","E"),"+",""),"-","")),LEN(UPPER($EI341))-LEN(SUBSTITUTE(UPPER($EI341),"E",""))&lt;2,LEN(UPPER($EI341))-LEN(SUBSTITUTE(UPPER($EI341),".",""))&lt;2,IFERROR(FIND(".",UPPER($EI341)),0)&lt;IFERROR(FIND("E",UPPER($EI341)),999)),ISNUMBER(VALUE($EI341)))),1,2)))</f>
        <v/>
      </c>
      <c r="EK341">
        <f>IF($DM341=0,"",IF($EJ341=1,IF(ISNUMBER($EI341),$EI341,VALUE($EI341)),IF($EJ341=2,$DE341,0)))</f>
        <v/>
      </c>
      <c r="EL341">
        <f>IF($DM341=0,"",COUNTIF($EG$5:$EG$1003,"&lt;"&amp;$EG341)+SUMPRODUCT(($EG$5:$EG$1003=$EG341)*(($EJ$5:$EJ$1003&lt;$EJ341)+($EJ$5:$EJ$1003=$EJ341)*(($EK$5:$EK$1003&lt;$EK341)+($EK$5:$EK$1003=$EK341)*($DE$5:$DE$1003&lt;$DE341))))+1)</f>
        <v/>
      </c>
      <c r="EM341">
        <f>IF($DM341=0,"",$EL341+$EG341-1)</f>
        <v/>
      </c>
      <c r="EN341">
        <f>IF($DM341=0,0,IFERROR(MATCH(1,INDEX(--(TRIM(SUBSTITUTE(SUBSTITUTE(SUBSTITUTE(SUBSTITUTE(LINES_NAME&amp;""," "," "),CHAR(9)," "),CHAR(10)," "),CHAR(13)," "))=$DH341),0),0),0))</f>
        <v/>
      </c>
      <c r="EO341">
        <f>IF($EN341=0,0,IF(OR(UPPER(TRIM(INDEX(LINES_SCHEDULED,$EN341)&amp;""))="YES",UPPER(TRIM(INDEX(LINES_SCHEDULED,$EN341)&amp;""))="Y",UPPER(TRIM(INDEX(LINES_SCHEDULED,$EN341)&amp;""))="X"),1,0))</f>
        <v/>
      </c>
      <c r="EP341">
        <f>IF($DM341=0,"",IF(COUNTIFS($EG$5:$EG$1003,$EG341,$EB$5:$EB$1003,"Ready")&gt;0,"READY",IF(COUNTIFS($EG$5:$EG$1003,$EG341,$EB$5:$EB$1003,"PM")&gt;0,"PM",IF(COUNTIFS($EG$5:$EG$1003,$EG341,$EB$5:$EB$1003,"OT")&gt;0,"OT",""))))</f>
        <v/>
      </c>
      <c r="EQ341">
        <f>IF($EN341=0,"",UPPER(TRIM(INDEX(LINES_STATUS,$EN341)&amp;"")))</f>
        <v/>
      </c>
      <c r="ER341">
        <f>IF($DM341=0,"",IF(OR($EQ341="READY",$EQ341="PM",$EQ341="OT"),$EQ341,$EP341))</f>
        <v/>
      </c>
      <c r="ES341">
        <f>IF($DM341=0,"",IF(AND($DV341&lt;&gt;"",UPPER($DV341)&lt;&gt;"N"),"allergen",IF(ISNUMBER(SEARCH("oil",$DQ341)),"oil",IF(OR(EXACT($DS341,"A662"),EXACT($DS341,"A624")),"bulk",""))))</f>
        <v/>
      </c>
      <c r="ET341">
        <f>IF($DM341=0,"",IF(OR($EA341="",$EA341=0),"",$EA341/100))</f>
        <v/>
      </c>
      <c r="EU341">
        <f>IF(OR($ET341="",$DY341=""),"",INT($DY341*(1-$ET341)+0.5))</f>
        <v/>
      </c>
      <c r="EW341" t="n">
        <v>337</v>
      </c>
      <c r="EX341">
        <f>IFERROR(MATCH($EW341,$EM$5:$EM$1003,0),0)</f>
        <v/>
      </c>
      <c r="EY341">
        <f>IF($EW341&gt;$B$12,"",IF($EX341&gt;0,"row","spacer"))</f>
        <v/>
      </c>
      <c r="EZ341">
        <f>IF(AND($EY341="row",$EY340&lt;&gt;"row"),1,0)</f>
        <v/>
      </c>
      <c r="FA341">
        <f>IF(AND($EY341="row",$EY342&lt;&gt;"row"),1,0)</f>
        <v/>
      </c>
      <c r="FB341">
        <f>IF($EZ341=1,IFERROR(IF(ISNUMBER(INDEX(PASTE_ALL,INDEX($DF$5:$DF$1003,$EX341),$B$37)),INDEX(PASTE_ALL,INDEX($DF$5:$DF$1003,$EX341),$B$37),INDEX($DH$5:$DH$1003,$EX341)),INDEX($DH$5:$DH$1003,$EX341)),"")</f>
        <v/>
      </c>
      <c r="FC341">
        <f>IF($EY341="row",INDEX($ER$5:$ER$1003,$EX341),"")</f>
        <v/>
      </c>
      <c r="FD341">
        <f>IF($EY341="row",INDEX($DN$5:$DN$1003,$EX341),"")</f>
        <v/>
      </c>
      <c r="FE341">
        <f>IF($EY341="row",INDEX($DO$5:$DO$1003,$EX341),"")</f>
        <v/>
      </c>
      <c r="FF341">
        <f>IF($EY341="row",INDEX($DP$5:$DP$1003,$EX341),"")</f>
        <v/>
      </c>
      <c r="FG341">
        <f>IF($EY341="row",INDEX($DQ$5:$DQ$1003,$EX341),"")</f>
        <v/>
      </c>
      <c r="FH341">
        <f>IF($EY341="row",INDEX($DR$5:$DR$1003,$EX341),"")</f>
        <v/>
      </c>
      <c r="FI341">
        <f>IF($EY341="row",INDEX($DS$5:$DS$1003,$EX341),"")</f>
        <v/>
      </c>
      <c r="FJ341">
        <f>IF($EY341="row",INDEX($DT$5:$DT$1003,$EX341),"")</f>
        <v/>
      </c>
      <c r="FK341">
        <f>IF($EY341="row",INDEX($DU$5:$DU$1003,$EX341),"")</f>
        <v/>
      </c>
      <c r="FL341">
        <f>IF($EY341="row",INDEX($DV$5:$DV$1003,$EX341),"")</f>
        <v/>
      </c>
      <c r="FM341">
        <f>IF($EY341="row",INDEX($DW$5:$DW$1003,$EX341),"")</f>
        <v/>
      </c>
      <c r="FN341">
        <f>IF($EY341="row",INDEX($DY$5:$DY$1003,$EX341),"")</f>
        <v/>
      </c>
      <c r="FO341">
        <f>IF($EY341="row",INDEX($EA$5:$EA$1003,$EX341),"")</f>
        <v/>
      </c>
      <c r="FP341">
        <f>IF($EY341="row",INDEX($EC$5:$EC$1003,$EX341),"")</f>
        <v/>
      </c>
      <c r="FQ341">
        <f>IF($EY341="row",INDEX($ET$5:$ET$1003,$EX341),"")</f>
        <v/>
      </c>
      <c r="FR341">
        <f>IF($EY341="row",INDEX($EU$5:$EU$1003,$EX341),"")</f>
        <v/>
      </c>
      <c r="FS341">
        <f>IF(AND($EY341="row",$EY340="row"),IF(OR(INDEX($DT$5:$DT$1003,$EX340)="",INDEX($DT$5:$DT$1003,$EX341)=""),"",IF(NOT(EXACT(INDEX($DT$5:$DT$1003,$EX340),INDEX($DT$5:$DT$1003,$EX341))),"S4",IF(NOT(EXACT(INDEX($DS$5:$DS$1003,$EX340),INDEX($DS$5:$DS$1003,$EX341))),"S3",IF(NOT(EXACT(INDEX($DR$5:$DR$1003,$EX340),INDEX($DR$5:$DR$1003,$EX341))),"S1 Count Change","S1")))),"")</f>
        <v/>
      </c>
      <c r="FT341">
        <f>IF($EY341="row",INDEX($ES$5:$ES$1003,$EX341),"")</f>
        <v/>
      </c>
      <c r="FU341">
        <f>IF($EY341="row",INDEX($EO$5:$EO$1003,$EX341),0)</f>
        <v/>
      </c>
      <c r="FV341">
        <f>IF($FS341="S1 Count Change",1,0)</f>
        <v/>
      </c>
    </row>
    <row r="342">
      <c r="DA342" t="n">
        <v>338</v>
      </c>
      <c r="DB342">
        <f>IF($B$37=0,"",IFERROR(TRIM(SUBSTITUTE(SUBSTITUTE(SUBSTITUTE(SUBSTITUTE(INDEX(PASTE_ALL,338,$B$37)," "," "),CHAR(9)," "),CHAR(10)," "),CHAR(13)," ")),""))</f>
        <v/>
      </c>
      <c r="DC342">
        <f>IF(AND(338&gt;HEADER_ROW,UPPER(DB342)="LEGEND"),1,0)</f>
        <v/>
      </c>
      <c r="DE342" t="n">
        <v>338</v>
      </c>
      <c r="DF342">
        <f>HEADER_ROW+$DE342</f>
        <v/>
      </c>
      <c r="DG342">
        <f>IF(AND($DF342&lt;=1000,$DF342&lt;$B$8),1,0)</f>
        <v/>
      </c>
      <c r="DH342">
        <f>IF($DG342=1,IFERROR(INDEX($DB$5:$DB$1004,$DF342),""),"")</f>
        <v/>
      </c>
      <c r="DI342">
        <f>IF(AND($DG342=1,$DH342&lt;&gt;""),IFERROR(SUBSTITUTE(SUBSTITUTE(TRIM(SUBSTITUTE(SUBSTITUTE(SUBSTITUTE(SUBSTITUTE(IFERROR(INDEX(PASTE_ALL,$DF342,1)&amp;"","")&amp;"␟"&amp;IFERROR(INDEX(PASTE_ALL,$DF342,2)&amp;"","")&amp;"␟"&amp;IFERROR(INDEX(PASTE_ALL,$DF342,3)&amp;"","")&amp;"␟"&amp;IFERROR(INDEX(PASTE_ALL,$DF342,4)&amp;"","")&amp;"␟"&amp;IFERROR(INDEX(PASTE_ALL,$DF342,5)&amp;"","")&amp;"␟"&amp;IFERROR(INDEX(PASTE_ALL,$DF342,6)&amp;"","")&amp;"␟"&amp;IFERROR(INDEX(PASTE_ALL,$DF342,7)&amp;"","")&amp;"␟"&amp;IFERROR(INDEX(PASTE_ALL,$DF342,8)&amp;"","")&amp;"␟"&amp;IFERROR(INDEX(PASTE_ALL,$DF342,9)&amp;"","")&amp;"␟"&amp;IFERROR(INDEX(PASTE_ALL,$DF342,10)&amp;"","")&amp;"␟"&amp;IFERROR(INDEX(PASTE_ALL,$DF342,11)&amp;"","")&amp;"␟"&amp;IFERROR(INDEX(PASTE_ALL,$DF342,12)&amp;"","")&amp;"␟"&amp;IFERROR(INDEX(PASTE_ALL,$DF342,13)&amp;"","")&amp;"␟"&amp;IFERROR(INDEX(PASTE_ALL,$DF342,14)&amp;"","")&amp;"␟"&amp;IFERROR(INDEX(PASTE_ALL,$DF342,15)&amp;"","")&amp;"␟"&amp;IFERROR(INDEX(PASTE_ALL,$DF342,16)&amp;"","")&amp;"␟"&amp;IFERROR(INDEX(PASTE_ALL,$DF342,17)&amp;"","")&amp;"␟"&amp;IFERROR(INDEX(PASTE_ALL,$DF342,18)&amp;"","")&amp;"␟"&amp;IFERROR(INDEX(PASTE_ALL,$DF342,19)&amp;"","")&amp;"␟"&amp;IFERROR(INDEX(PASTE_ALL,$DF342,20)&amp;"","")&amp;"␟"&amp;IFERROR(INDEX(PASTE_ALL,$DF342,21)&amp;"","")&amp;"␟"&amp;IFERROR(INDEX(PASTE_ALL,$DF342,22)&amp;"","")&amp;"␟"&amp;IFERROR(INDEX(PASTE_ALL,$DF342,23)&amp;"","")&amp;"␟"&amp;IFERROR(INDEX(PASTE_ALL,$DF342,24)&amp;"","")&amp;"␟"&amp;IFERROR(INDEX(PASTE_ALL,$DF342,25)&amp;"","")&amp;"␟"&amp;IFERROR(INDEX(PASTE_ALL,$DF342,26)&amp;"","")&amp;"␟"&amp;IFERROR(INDEX(PASTE_ALL,$DF342,27)&amp;"","")&amp;"␟"&amp;IFERROR(INDEX(PASTE_ALL,$DF342,28)&amp;"","")&amp;"␟"&amp;IFERROR(INDEX(PASTE_ALL,$DF342,29)&amp;"","")&amp;"␟"&amp;IFERROR(INDEX(PASTE_ALL,$DF342,30)&amp;"","")&amp;"␟"&amp;IFERROR(INDEX(PASTE_ALL,$DF342,31)&amp;"","")&amp;"␟"&amp;IFERROR(INDEX(PASTE_ALL,$DF342,32)&amp;"","")&amp;"␟"&amp;IFERROR(INDEX(PASTE_ALL,$DF342,33)&amp;"","")&amp;"␟"&amp;IFERROR(INDEX(PASTE_ALL,$DF342,34)&amp;"","")&amp;"␟"&amp;IFERROR(INDEX(PASTE_ALL,$DF342,35)&amp;"","")&amp;"␟"&amp;IFERROR(INDEX(PASTE_ALL,$DF342,36)&amp;"","")&amp;"␟"&amp;IFERROR(INDEX(PASTE_ALL,$DF342,37)&amp;"","")&amp;"␟"&amp;IFERROR(INDEX(PASTE_ALL,$DF342,38)&amp;"","")&amp;"␟"&amp;IFERROR(INDEX(PASTE_ALL,$DF342,39)&amp;"","")&amp;"␟"&amp;IFERROR(INDEX(PASTE_ALL,$DF342,40)&amp;"","")&amp;"␟"&amp;IFERROR(INDEX(PASTE_ALL,$DF342,41)&amp;"","")&amp;"␟"&amp;IFERROR(INDEX(PASTE_ALL,$DF342,42)&amp;"","")&amp;"␟"&amp;IFERROR(INDEX(PASTE_ALL,$DF342,43)&amp;"","")&amp;"␟"&amp;IFERROR(INDEX(PASTE_ALL,$DF342,44)&amp;"","")&amp;"␟"&amp;IFERROR(INDEX(PASTE_ALL,$DF342,45)&amp;"","")&amp;"␟"&amp;IFERROR(INDEX(PASTE_ALL,$DF342,46)&amp;"","")&amp;"␟"&amp;IFERROR(INDEX(PASTE_ALL,$DF342,47)&amp;"","")&amp;"␟"&amp;IFERROR(INDEX(PASTE_ALL,$DF342,48)&amp;"","")&amp;"␟"&amp;IFERROR(INDEX(PASTE_ALL,$DF342,49)&amp;"","")&amp;"␟"&amp;IFERROR(INDEX(PASTE_ALL,$DF342,50)&amp;"","")&amp;"␟"&amp;IFERROR(INDEX(PASTE_ALL,$DF342,51)&amp;"","")&amp;"␟"&amp;IFERROR(INDEX(PASTE_ALL,$DF342,52)&amp;"","")&amp;"␟"&amp;IFERROR(INDEX(PASTE_ALL,$DF342,53)&amp;"","")&amp;"␟"&amp;IFERROR(INDEX(PASTE_ALL,$DF342,54)&amp;"","")&amp;"␟"&amp;IFERROR(INDEX(PASTE_ALL,$DF342,55)&amp;"","")&amp;"␟"&amp;IFERROR(INDEX(PASTE_ALL,$DF342,56)&amp;"","")&amp;"␟"&amp;IFERROR(INDEX(PASTE_ALL,$DF342,57)&amp;"","")&amp;"␟"&amp;IFERROR(INDEX(PASTE_ALL,$DF342,58)&amp;"","")&amp;"␟"&amp;IFERROR(INDEX(PASTE_ALL,$DF342,59)&amp;"","")&amp;"␟"&amp;IFERROR(INDEX(PASTE_ALL,$DF342,60)&amp;"","")," "," "),CHAR(9)," "),CHAR(10)," "),CHAR(13)," "))," ␟","␟"),"␟ ","␟"),"#"&amp;$DE342),"")</f>
        <v/>
      </c>
      <c r="DJ342">
        <f>IF($DI342="",0,IF(SUMPRODUCT(--EXACT($DI$4:DI341,$DI342))&gt;0,1,0))</f>
        <v/>
      </c>
      <c r="DK342">
        <f>IF(AND($DI342&lt;&gt;"",$DJ342=0),1,0)</f>
        <v/>
      </c>
      <c r="DL342">
        <f>DL341+$DK342</f>
        <v/>
      </c>
      <c r="DM342">
        <f>IF(AND($DK342=1,$DL342&lt;=600),1,0)</f>
        <v/>
      </c>
      <c r="DN342">
        <f>IF($DM342=0,"",IF($L$6=0,"",IFERROR(IF(ISNUMBER(INDEX(PASTE_ALL,$DF342,$L$6)),INDEX(PASTE_ALL,$DF342,$L$6),TRIM(SUBSTITUTE(SUBSTITUTE(SUBSTITUTE(SUBSTITUTE(INDEX(PASTE_ALL,$DF342,$L$6)," "," "),CHAR(9)," "),CHAR(10)," "),CHAR(13)," "))),"")))</f>
        <v/>
      </c>
      <c r="DO342">
        <f>IF($DM342=0,"",IF($L$7=0,"",IFERROR(IF(ISNUMBER(INDEX(PASTE_ALL,$DF342,$L$7)),INDEX(PASTE_ALL,$DF342,$L$7),TRIM(SUBSTITUTE(SUBSTITUTE(SUBSTITUTE(SUBSTITUTE(INDEX(PASTE_ALL,$DF342,$L$7)," "," "),CHAR(9)," "),CHAR(10)," "),CHAR(13)," "))),"")))</f>
        <v/>
      </c>
      <c r="DP342">
        <f>IF($DM342=0,"",IF($L$8=0,"",IFERROR(IF(ISNUMBER(INDEX(PASTE_ALL,$DF342,$L$8)),INDEX(PASTE_ALL,$DF342,$L$8),TRIM(SUBSTITUTE(SUBSTITUTE(SUBSTITUTE(SUBSTITUTE(INDEX(PASTE_ALL,$DF342,$L$8)," "," "),CHAR(9)," "),CHAR(10)," "),CHAR(13)," "))),"")))</f>
        <v/>
      </c>
      <c r="DQ342">
        <f>IF($DM342=0,"",IF($L$9=0,"",IFERROR(IF(ISNUMBER(INDEX(PASTE_ALL,$DF342,$L$9)),INDEX(PASTE_ALL,$DF342,$L$9),TRIM(SUBSTITUTE(SUBSTITUTE(SUBSTITUTE(SUBSTITUTE(INDEX(PASTE_ALL,$DF342,$L$9)," "," "),CHAR(9)," "),CHAR(10)," "),CHAR(13)," "))),"")))</f>
        <v/>
      </c>
      <c r="DR342">
        <f>IF($DM342=0,"",IF($L$10=0,"",IFERROR(IF(ISNUMBER(INDEX(PASTE_ALL,$DF342,$L$10)),INDEX(PASTE_ALL,$DF342,$L$10),TRIM(SUBSTITUTE(SUBSTITUTE(SUBSTITUTE(SUBSTITUTE(INDEX(PASTE_ALL,$DF342,$L$10)," "," "),CHAR(9)," "),CHAR(10)," "),CHAR(13)," "))),"")))</f>
        <v/>
      </c>
      <c r="DS342">
        <f>IF($DM342=0,"",IF($L$11=0,"",IFERROR(IF(ISNUMBER(INDEX(PASTE_ALL,$DF342,$L$11)),INDEX(PASTE_ALL,$DF342,$L$11),TRIM(SUBSTITUTE(SUBSTITUTE(SUBSTITUTE(SUBSTITUTE(INDEX(PASTE_ALL,$DF342,$L$11)," "," "),CHAR(9)," "),CHAR(10)," "),CHAR(13)," "))),"")))</f>
        <v/>
      </c>
      <c r="DT342">
        <f>IF($DM342=0,"",IF($L$12=0,"",IFERROR(IF(ISNUMBER(INDEX(PASTE_ALL,$DF342,$L$12)),INDEX(PASTE_ALL,$DF342,$L$12),TRIM(SUBSTITUTE(SUBSTITUTE(SUBSTITUTE(SUBSTITUTE(INDEX(PASTE_ALL,$DF342,$L$12)," "," "),CHAR(9)," "),CHAR(10)," "),CHAR(13)," "))),"")))</f>
        <v/>
      </c>
      <c r="DU342">
        <f>IF($DM342=0,"",IF($L$13=0,"",IFERROR(IF(ISNUMBER(INDEX(PASTE_ALL,$DF342,$L$13)),INDEX(PASTE_ALL,$DF342,$L$13),TRIM(SUBSTITUTE(SUBSTITUTE(SUBSTITUTE(SUBSTITUTE(INDEX(PASTE_ALL,$DF342,$L$13)," "," "),CHAR(9)," "),CHAR(10)," "),CHAR(13)," "))),"")))</f>
        <v/>
      </c>
      <c r="DV342">
        <f>IF($DM342=0,"",IF($L$14=0,"",IFERROR(IF(ISNUMBER(INDEX(PASTE_ALL,$DF342,$L$14)),INDEX(PASTE_ALL,$DF342,$L$14),TRIM(SUBSTITUTE(SUBSTITUTE(SUBSTITUTE(SUBSTITUTE(INDEX(PASTE_ALL,$DF342,$L$14)," "," "),CHAR(9)," "),CHAR(10)," "),CHAR(13)," "))),"")))</f>
        <v/>
      </c>
      <c r="DW342">
        <f>IF($DM342=0,"",IF($L$15=0,"",IFERROR(IF(ISNUMBER(INDEX(PASTE_ALL,$DF342,$L$15)),INDEX(PASTE_ALL,$DF342,$L$15),IF(SUMPRODUCT(--ISNUMBER(FIND({"A","B","C","D","E","F","G","H","I","J","K","L","M","N","O","P","Q","R","S","T","U","V","W","X","Y","Z","0","1","2","3","4","5","6","7","8","9"},UPPER(TRIM(SUBSTITUTE(SUBSTITUTE(SUBSTITUTE(SUBSTITUTE(INDEX(PASTE_ALL,$DF342,$L$15)," "," "),CHAR(9)," "),CHAR(10)," "),CHAR(13)," "))))))&gt;0,TRIM(SUBSTITUTE(SUBSTITUTE(SUBSTITUTE(SUBSTITUTE(INDEX(PASTE_ALL,$DF342,$L$15)," "," "),CHAR(9)," "),CHAR(10)," "),CHAR(13)," ")),"")),"")))</f>
        <v/>
      </c>
      <c r="DX342">
        <f>IF($DM342=0,"",IF($L$16=0,"",IFERROR(IF(ISNUMBER(INDEX(PASTE_ALL,$DF342,$L$16)),INDEX(PASTE_ALL,$DF342,$L$16),SUBSTITUTE(SUBSTITUTE(TRIM(SUBSTITUTE(SUBSTITUTE(SUBSTITUTE(SUBSTITUTE(INDEX(PASTE_ALL,$DF342,$L$16)," "," "),CHAR(9)," "),CHAR(10)," "),CHAR(13)," ")),",",""),"%","")),"")))</f>
        <v/>
      </c>
      <c r="DY342">
        <f>IF($DM342=0,"",IFERROR(IF(ISNUMBER($DX342),$DX342,IF($DX342="","",IF(TRIM($DX342)="",0,IF(AND(AND(SUBSTITUTE(SUBSTITUTE(SUBSTITUTE(SUBSTITUTE(SUBSTITUTE(SUBSTITUTE(SUBSTITUTE(SUBSTITUTE(SUBSTITUTE(SUBSTITUTE(SUBSTITUTE(SUBSTITUTE(SUBSTITUTE(SUBSTITUTE(UPPER(TRIM($DX342)),"0",""),"1",""),"2",""),"3",""),"4",""),"5",""),"6",""),"7",""),"8",""),"9",""),".",""),"+",""),"-",""),"E","")="",LEN(SUBSTITUTE(SUBSTITUTE(MID(UPPER(TRIM($DX342)),1+OR(LEFT(UPPER(TRIM($DX342)),1)="+",LEFT(UPPER(TRIM($DX342)),1)="-"),999),"E+","E"),"E-","E"))=LEN(SUBSTITUTE(SUBSTITUTE(SUBSTITUTE(SUBSTITUTE(MID(UPPER(TRIM($DX342)),1+OR(LEFT(UPPER(TRIM($DX342)),1)="+",LEFT(UPPER(TRIM($DX342)),1)="-"),999),"E+","E"),"E-","E"),"+",""),"-","")),LEN(UPPER(TRIM($DX342)))-LEN(SUBSTITUTE(UPPER(TRIM($DX342)),"E",""))&lt;2,LEN(UPPER(TRIM($DX342)))-LEN(SUBSTITUTE(UPPER(TRIM($DX342)),".",""))&lt;2,IFERROR(FIND(".",UPPER(TRIM($DX342))),0)&lt;IFERROR(FIND("E",UPPER(TRIM($DX342))),999)),ISNUMBER(VALUE(TRIM($DX342)))),VALUE(TRIM($DX342)),"")))),""))</f>
        <v/>
      </c>
      <c r="DZ342">
        <f>IF($DM342=0,"",IF($L$17=0,"",IFERROR(IF(ISNUMBER(INDEX(PASTE_ALL,$DF342,$L$17)),INDEX(PASTE_ALL,$DF342,$L$17),SUBSTITUTE(SUBSTITUTE(TRIM(SUBSTITUTE(SUBSTITUTE(SUBSTITUTE(SUBSTITUTE(INDEX(PASTE_ALL,$DF342,$L$17)," "," "),CHAR(9)," "),CHAR(10)," "),CHAR(13)," ")),",",""),"%","")),"")))</f>
        <v/>
      </c>
      <c r="EA342">
        <f>IF($DM342=0,"",IFERROR(IF(ISNUMBER($DZ342),$DZ342,IF($DZ342="","",IF(TRIM($DZ342)="",0,IF(AND(AND(SUBSTITUTE(SUBSTITUTE(SUBSTITUTE(SUBSTITUTE(SUBSTITUTE(SUBSTITUTE(SUBSTITUTE(SUBSTITUTE(SUBSTITUTE(SUBSTITUTE(SUBSTITUTE(SUBSTITUTE(SUBSTITUTE(SUBSTITUTE(UPPER(TRIM($DZ342)),"0",""),"1",""),"2",""),"3",""),"4",""),"5",""),"6",""),"7",""),"8",""),"9",""),".",""),"+",""),"-",""),"E","")="",LEN(SUBSTITUTE(SUBSTITUTE(MID(UPPER(TRIM($DZ342)),1+OR(LEFT(UPPER(TRIM($DZ342)),1)="+",LEFT(UPPER(TRIM($DZ342)),1)="-"),999),"E+","E"),"E-","E"))=LEN(SUBSTITUTE(SUBSTITUTE(SUBSTITUTE(SUBSTITUTE(MID(UPPER(TRIM($DZ342)),1+OR(LEFT(UPPER(TRIM($DZ342)),1)="+",LEFT(UPPER(TRIM($DZ342)),1)="-"),999),"E+","E"),"E-","E"),"+",""),"-","")),LEN(UPPER(TRIM($DZ342)))-LEN(SUBSTITUTE(UPPER(TRIM($DZ342)),"E",""))&lt;2,LEN(UPPER(TRIM($DZ342)))-LEN(SUBSTITUTE(UPPER(TRIM($DZ342)),".",""))&lt;2,IFERROR(FIND(".",UPPER(TRIM($DZ342))),0)&lt;IFERROR(FIND("E",UPPER(TRIM($DZ342))),999)),ISNUMBER(VALUE(TRIM($DZ342)))),VALUE(TRIM($DZ342)),"")))),""))</f>
        <v/>
      </c>
      <c r="EB342">
        <f>IF($DM342=0,"",IF($L$18=0,"",IFERROR(IF(UPPER(TRIM(SUBSTITUTE(SUBSTITUTE(SUBSTITUTE(SUBSTITUTE(INDEX(PASTE_ALL,$DF342,$L$18)," "," "),CHAR(9)," "),CHAR(10)," "),CHAR(13)," ")))="READY","Ready",IF(UPPER(TRIM(SUBSTITUTE(SUBSTITUTE(SUBSTITUTE(SUBSTITUTE(INDEX(PASTE_ALL,$DF342,$L$18)," "," "),CHAR(9)," "),CHAR(10)," "),CHAR(13)," ")))="PM","PM",IF(OR(UPPER(TRIM(SUBSTITUTE(SUBSTITUTE(SUBSTITUTE(SUBSTITUTE(INDEX(PASTE_ALL,$DF342,$L$18)," "," "),CHAR(9)," "),CHAR(10)," "),CHAR(13)," ")))="OT",UPPER(TRIM(SUBSTITUTE(SUBSTITUTE(SUBSTITUTE(SUBSTITUTE(INDEX(PASTE_ALL,$DF342,$L$18)," "," "),CHAR(9)," "),CHAR(10)," "),CHAR(13)," ")))="OVERTIME",UPPER(TRIM(SUBSTITUTE(SUBSTITUTE(SUBSTITUTE(SUBSTITUTE(INDEX(PASTE_ALL,$DF342,$L$18)," "," "),CHAR(9)," "),CHAR(10)," "),CHAR(13)," ")))="TRIAL"),"OT",TRIM(SUBSTITUTE(SUBSTITUTE(SUBSTITUTE(SUBSTITUTE(INDEX(PASTE_ALL,$DF342,$L$18)," "," "),CHAR(9)," "),CHAR(10)," "),CHAR(13)," "))))),"")))</f>
        <v/>
      </c>
      <c r="EC342">
        <f>IF($DM342=0,"",IF($L$19=0,"",IFERROR(IF(ISNUMBER(INDEX(PASTE_ALL,$DF342,$L$19)),INDEX(PASTE_ALL,$DF342,$L$19),TRIM(SUBSTITUTE(SUBSTITUTE(SUBSTITUTE(SUBSTITUTE(INDEX(PASTE_ALL,$DF342,$L$19)," "," "),CHAR(9)," "),CHAR(10)," "),CHAR(13)," "))),"")))</f>
        <v/>
      </c>
      <c r="ED342">
        <f>IF($DM342=0,"",MATCH(1,INDEX(EXACT($DH$5:DH342,$DH342)*$DM$5:DM342,0),0))</f>
        <v/>
      </c>
      <c r="EE342">
        <f>IF($DM342=0,0,IF($ED342=$DE342,1,0))</f>
        <v/>
      </c>
      <c r="EF342">
        <f>EF341+$EE342</f>
        <v/>
      </c>
      <c r="EG342">
        <f>IF($DM342=0,"",INDEX($EF$5:$EF$1003,$ED342))</f>
        <v/>
      </c>
      <c r="EH342">
        <f>IF($DM342=0,"",IF($DO342&lt;&gt;"","",IFERROR(LOOKUP(2,1/(($EG$4:EG341=$EG342)*($DO$4:DO341&lt;&gt;"")),$DO$4:DO341),"")))</f>
        <v/>
      </c>
      <c r="EI342">
        <f>IF($DM342=0,"",IF($DO342&lt;&gt;"",$DO342,$EH342))</f>
        <v/>
      </c>
      <c r="EJ342">
        <f>IF($DM342=0,"",IF($EI342="",0,IF(OR(ISNUMBER($EI342),AND(AND(SUBSTITUTE(SUBSTITUTE(SUBSTITUTE(SUBSTITUTE(SUBSTITUTE(SUBSTITUTE(SUBSTITUTE(SUBSTITUTE(SUBSTITUTE(SUBSTITUTE(SUBSTITUTE(SUBSTITUTE(SUBSTITUTE(SUBSTITUTE(UPPER($EI342),"0",""),"1",""),"2",""),"3",""),"4",""),"5",""),"6",""),"7",""),"8",""),"9",""),".",""),"+",""),"-",""),"E","")="",LEN(SUBSTITUTE(SUBSTITUTE(MID(UPPER($EI342),1+OR(LEFT(UPPER($EI342),1)="+",LEFT(UPPER($EI342),1)="-"),999),"E+","E"),"E-","E"))=LEN(SUBSTITUTE(SUBSTITUTE(SUBSTITUTE(SUBSTITUTE(MID(UPPER($EI342),1+OR(LEFT(UPPER($EI342),1)="+",LEFT(UPPER($EI342),1)="-"),999),"E+","E"),"E-","E"),"+",""),"-","")),LEN(UPPER($EI342))-LEN(SUBSTITUTE(UPPER($EI342),"E",""))&lt;2,LEN(UPPER($EI342))-LEN(SUBSTITUTE(UPPER($EI342),".",""))&lt;2,IFERROR(FIND(".",UPPER($EI342)),0)&lt;IFERROR(FIND("E",UPPER($EI342)),999)),ISNUMBER(VALUE($EI342)))),1,2)))</f>
        <v/>
      </c>
      <c r="EK342">
        <f>IF($DM342=0,"",IF($EJ342=1,IF(ISNUMBER($EI342),$EI342,VALUE($EI342)),IF($EJ342=2,$DE342,0)))</f>
        <v/>
      </c>
      <c r="EL342">
        <f>IF($DM342=0,"",COUNTIF($EG$5:$EG$1003,"&lt;"&amp;$EG342)+SUMPRODUCT(($EG$5:$EG$1003=$EG342)*(($EJ$5:$EJ$1003&lt;$EJ342)+($EJ$5:$EJ$1003=$EJ342)*(($EK$5:$EK$1003&lt;$EK342)+($EK$5:$EK$1003=$EK342)*($DE$5:$DE$1003&lt;$DE342))))+1)</f>
        <v/>
      </c>
      <c r="EM342">
        <f>IF($DM342=0,"",$EL342+$EG342-1)</f>
        <v/>
      </c>
      <c r="EN342">
        <f>IF($DM342=0,0,IFERROR(MATCH(1,INDEX(--(TRIM(SUBSTITUTE(SUBSTITUTE(SUBSTITUTE(SUBSTITUTE(LINES_NAME&amp;""," "," "),CHAR(9)," "),CHAR(10)," "),CHAR(13)," "))=$DH342),0),0),0))</f>
        <v/>
      </c>
      <c r="EO342">
        <f>IF($EN342=0,0,IF(OR(UPPER(TRIM(INDEX(LINES_SCHEDULED,$EN342)&amp;""))="YES",UPPER(TRIM(INDEX(LINES_SCHEDULED,$EN342)&amp;""))="Y",UPPER(TRIM(INDEX(LINES_SCHEDULED,$EN342)&amp;""))="X"),1,0))</f>
        <v/>
      </c>
      <c r="EP342">
        <f>IF($DM342=0,"",IF(COUNTIFS($EG$5:$EG$1003,$EG342,$EB$5:$EB$1003,"Ready")&gt;0,"READY",IF(COUNTIFS($EG$5:$EG$1003,$EG342,$EB$5:$EB$1003,"PM")&gt;0,"PM",IF(COUNTIFS($EG$5:$EG$1003,$EG342,$EB$5:$EB$1003,"OT")&gt;0,"OT",""))))</f>
        <v/>
      </c>
      <c r="EQ342">
        <f>IF($EN342=0,"",UPPER(TRIM(INDEX(LINES_STATUS,$EN342)&amp;"")))</f>
        <v/>
      </c>
      <c r="ER342">
        <f>IF($DM342=0,"",IF(OR($EQ342="READY",$EQ342="PM",$EQ342="OT"),$EQ342,$EP342))</f>
        <v/>
      </c>
      <c r="ES342">
        <f>IF($DM342=0,"",IF(AND($DV342&lt;&gt;"",UPPER($DV342)&lt;&gt;"N"),"allergen",IF(ISNUMBER(SEARCH("oil",$DQ342)),"oil",IF(OR(EXACT($DS342,"A662"),EXACT($DS342,"A624")),"bulk",""))))</f>
        <v/>
      </c>
      <c r="ET342">
        <f>IF($DM342=0,"",IF(OR($EA342="",$EA342=0),"",$EA342/100))</f>
        <v/>
      </c>
      <c r="EU342">
        <f>IF(OR($ET342="",$DY342=""),"",INT($DY342*(1-$ET342)+0.5))</f>
        <v/>
      </c>
      <c r="EW342" t="n">
        <v>338</v>
      </c>
      <c r="EX342">
        <f>IFERROR(MATCH($EW342,$EM$5:$EM$1003,0),0)</f>
        <v/>
      </c>
      <c r="EY342">
        <f>IF($EW342&gt;$B$12,"",IF($EX342&gt;0,"row","spacer"))</f>
        <v/>
      </c>
      <c r="EZ342">
        <f>IF(AND($EY342="row",$EY341&lt;&gt;"row"),1,0)</f>
        <v/>
      </c>
      <c r="FA342">
        <f>IF(AND($EY342="row",$EY343&lt;&gt;"row"),1,0)</f>
        <v/>
      </c>
      <c r="FB342">
        <f>IF($EZ342=1,IFERROR(IF(ISNUMBER(INDEX(PASTE_ALL,INDEX($DF$5:$DF$1003,$EX342),$B$37)),INDEX(PASTE_ALL,INDEX($DF$5:$DF$1003,$EX342),$B$37),INDEX($DH$5:$DH$1003,$EX342)),INDEX($DH$5:$DH$1003,$EX342)),"")</f>
        <v/>
      </c>
      <c r="FC342">
        <f>IF($EY342="row",INDEX($ER$5:$ER$1003,$EX342),"")</f>
        <v/>
      </c>
      <c r="FD342">
        <f>IF($EY342="row",INDEX($DN$5:$DN$1003,$EX342),"")</f>
        <v/>
      </c>
      <c r="FE342">
        <f>IF($EY342="row",INDEX($DO$5:$DO$1003,$EX342),"")</f>
        <v/>
      </c>
      <c r="FF342">
        <f>IF($EY342="row",INDEX($DP$5:$DP$1003,$EX342),"")</f>
        <v/>
      </c>
      <c r="FG342">
        <f>IF($EY342="row",INDEX($DQ$5:$DQ$1003,$EX342),"")</f>
        <v/>
      </c>
      <c r="FH342">
        <f>IF($EY342="row",INDEX($DR$5:$DR$1003,$EX342),"")</f>
        <v/>
      </c>
      <c r="FI342">
        <f>IF($EY342="row",INDEX($DS$5:$DS$1003,$EX342),"")</f>
        <v/>
      </c>
      <c r="FJ342">
        <f>IF($EY342="row",INDEX($DT$5:$DT$1003,$EX342),"")</f>
        <v/>
      </c>
      <c r="FK342">
        <f>IF($EY342="row",INDEX($DU$5:$DU$1003,$EX342),"")</f>
        <v/>
      </c>
      <c r="FL342">
        <f>IF($EY342="row",INDEX($DV$5:$DV$1003,$EX342),"")</f>
        <v/>
      </c>
      <c r="FM342">
        <f>IF($EY342="row",INDEX($DW$5:$DW$1003,$EX342),"")</f>
        <v/>
      </c>
      <c r="FN342">
        <f>IF($EY342="row",INDEX($DY$5:$DY$1003,$EX342),"")</f>
        <v/>
      </c>
      <c r="FO342">
        <f>IF($EY342="row",INDEX($EA$5:$EA$1003,$EX342),"")</f>
        <v/>
      </c>
      <c r="FP342">
        <f>IF($EY342="row",INDEX($EC$5:$EC$1003,$EX342),"")</f>
        <v/>
      </c>
      <c r="FQ342">
        <f>IF($EY342="row",INDEX($ET$5:$ET$1003,$EX342),"")</f>
        <v/>
      </c>
      <c r="FR342">
        <f>IF($EY342="row",INDEX($EU$5:$EU$1003,$EX342),"")</f>
        <v/>
      </c>
      <c r="FS342">
        <f>IF(AND($EY342="row",$EY341="row"),IF(OR(INDEX($DT$5:$DT$1003,$EX341)="",INDEX($DT$5:$DT$1003,$EX342)=""),"",IF(NOT(EXACT(INDEX($DT$5:$DT$1003,$EX341),INDEX($DT$5:$DT$1003,$EX342))),"S4",IF(NOT(EXACT(INDEX($DS$5:$DS$1003,$EX341),INDEX($DS$5:$DS$1003,$EX342))),"S3",IF(NOT(EXACT(INDEX($DR$5:$DR$1003,$EX341),INDEX($DR$5:$DR$1003,$EX342))),"S1 Count Change","S1")))),"")</f>
        <v/>
      </c>
      <c r="FT342">
        <f>IF($EY342="row",INDEX($ES$5:$ES$1003,$EX342),"")</f>
        <v/>
      </c>
      <c r="FU342">
        <f>IF($EY342="row",INDEX($EO$5:$EO$1003,$EX342),0)</f>
        <v/>
      </c>
      <c r="FV342">
        <f>IF($FS342="S1 Count Change",1,0)</f>
        <v/>
      </c>
    </row>
    <row r="343">
      <c r="DA343" t="n">
        <v>339</v>
      </c>
      <c r="DB343">
        <f>IF($B$37=0,"",IFERROR(TRIM(SUBSTITUTE(SUBSTITUTE(SUBSTITUTE(SUBSTITUTE(INDEX(PASTE_ALL,339,$B$37)," "," "),CHAR(9)," "),CHAR(10)," "),CHAR(13)," ")),""))</f>
        <v/>
      </c>
      <c r="DC343">
        <f>IF(AND(339&gt;HEADER_ROW,UPPER(DB343)="LEGEND"),1,0)</f>
        <v/>
      </c>
      <c r="DE343" t="n">
        <v>339</v>
      </c>
      <c r="DF343">
        <f>HEADER_ROW+$DE343</f>
        <v/>
      </c>
      <c r="DG343">
        <f>IF(AND($DF343&lt;=1000,$DF343&lt;$B$8),1,0)</f>
        <v/>
      </c>
      <c r="DH343">
        <f>IF($DG343=1,IFERROR(INDEX($DB$5:$DB$1004,$DF343),""),"")</f>
        <v/>
      </c>
      <c r="DI343">
        <f>IF(AND($DG343=1,$DH343&lt;&gt;""),IFERROR(SUBSTITUTE(SUBSTITUTE(TRIM(SUBSTITUTE(SUBSTITUTE(SUBSTITUTE(SUBSTITUTE(IFERROR(INDEX(PASTE_ALL,$DF343,1)&amp;"","")&amp;"␟"&amp;IFERROR(INDEX(PASTE_ALL,$DF343,2)&amp;"","")&amp;"␟"&amp;IFERROR(INDEX(PASTE_ALL,$DF343,3)&amp;"","")&amp;"␟"&amp;IFERROR(INDEX(PASTE_ALL,$DF343,4)&amp;"","")&amp;"␟"&amp;IFERROR(INDEX(PASTE_ALL,$DF343,5)&amp;"","")&amp;"␟"&amp;IFERROR(INDEX(PASTE_ALL,$DF343,6)&amp;"","")&amp;"␟"&amp;IFERROR(INDEX(PASTE_ALL,$DF343,7)&amp;"","")&amp;"␟"&amp;IFERROR(INDEX(PASTE_ALL,$DF343,8)&amp;"","")&amp;"␟"&amp;IFERROR(INDEX(PASTE_ALL,$DF343,9)&amp;"","")&amp;"␟"&amp;IFERROR(INDEX(PASTE_ALL,$DF343,10)&amp;"","")&amp;"␟"&amp;IFERROR(INDEX(PASTE_ALL,$DF343,11)&amp;"","")&amp;"␟"&amp;IFERROR(INDEX(PASTE_ALL,$DF343,12)&amp;"","")&amp;"␟"&amp;IFERROR(INDEX(PASTE_ALL,$DF343,13)&amp;"","")&amp;"␟"&amp;IFERROR(INDEX(PASTE_ALL,$DF343,14)&amp;"","")&amp;"␟"&amp;IFERROR(INDEX(PASTE_ALL,$DF343,15)&amp;"","")&amp;"␟"&amp;IFERROR(INDEX(PASTE_ALL,$DF343,16)&amp;"","")&amp;"␟"&amp;IFERROR(INDEX(PASTE_ALL,$DF343,17)&amp;"","")&amp;"␟"&amp;IFERROR(INDEX(PASTE_ALL,$DF343,18)&amp;"","")&amp;"␟"&amp;IFERROR(INDEX(PASTE_ALL,$DF343,19)&amp;"","")&amp;"␟"&amp;IFERROR(INDEX(PASTE_ALL,$DF343,20)&amp;"","")&amp;"␟"&amp;IFERROR(INDEX(PASTE_ALL,$DF343,21)&amp;"","")&amp;"␟"&amp;IFERROR(INDEX(PASTE_ALL,$DF343,22)&amp;"","")&amp;"␟"&amp;IFERROR(INDEX(PASTE_ALL,$DF343,23)&amp;"","")&amp;"␟"&amp;IFERROR(INDEX(PASTE_ALL,$DF343,24)&amp;"","")&amp;"␟"&amp;IFERROR(INDEX(PASTE_ALL,$DF343,25)&amp;"","")&amp;"␟"&amp;IFERROR(INDEX(PASTE_ALL,$DF343,26)&amp;"","")&amp;"␟"&amp;IFERROR(INDEX(PASTE_ALL,$DF343,27)&amp;"","")&amp;"␟"&amp;IFERROR(INDEX(PASTE_ALL,$DF343,28)&amp;"","")&amp;"␟"&amp;IFERROR(INDEX(PASTE_ALL,$DF343,29)&amp;"","")&amp;"␟"&amp;IFERROR(INDEX(PASTE_ALL,$DF343,30)&amp;"","")&amp;"␟"&amp;IFERROR(INDEX(PASTE_ALL,$DF343,31)&amp;"","")&amp;"␟"&amp;IFERROR(INDEX(PASTE_ALL,$DF343,32)&amp;"","")&amp;"␟"&amp;IFERROR(INDEX(PASTE_ALL,$DF343,33)&amp;"","")&amp;"␟"&amp;IFERROR(INDEX(PASTE_ALL,$DF343,34)&amp;"","")&amp;"␟"&amp;IFERROR(INDEX(PASTE_ALL,$DF343,35)&amp;"","")&amp;"␟"&amp;IFERROR(INDEX(PASTE_ALL,$DF343,36)&amp;"","")&amp;"␟"&amp;IFERROR(INDEX(PASTE_ALL,$DF343,37)&amp;"","")&amp;"␟"&amp;IFERROR(INDEX(PASTE_ALL,$DF343,38)&amp;"","")&amp;"␟"&amp;IFERROR(INDEX(PASTE_ALL,$DF343,39)&amp;"","")&amp;"␟"&amp;IFERROR(INDEX(PASTE_ALL,$DF343,40)&amp;"","")&amp;"␟"&amp;IFERROR(INDEX(PASTE_ALL,$DF343,41)&amp;"","")&amp;"␟"&amp;IFERROR(INDEX(PASTE_ALL,$DF343,42)&amp;"","")&amp;"␟"&amp;IFERROR(INDEX(PASTE_ALL,$DF343,43)&amp;"","")&amp;"␟"&amp;IFERROR(INDEX(PASTE_ALL,$DF343,44)&amp;"","")&amp;"␟"&amp;IFERROR(INDEX(PASTE_ALL,$DF343,45)&amp;"","")&amp;"␟"&amp;IFERROR(INDEX(PASTE_ALL,$DF343,46)&amp;"","")&amp;"␟"&amp;IFERROR(INDEX(PASTE_ALL,$DF343,47)&amp;"","")&amp;"␟"&amp;IFERROR(INDEX(PASTE_ALL,$DF343,48)&amp;"","")&amp;"␟"&amp;IFERROR(INDEX(PASTE_ALL,$DF343,49)&amp;"","")&amp;"␟"&amp;IFERROR(INDEX(PASTE_ALL,$DF343,50)&amp;"","")&amp;"␟"&amp;IFERROR(INDEX(PASTE_ALL,$DF343,51)&amp;"","")&amp;"␟"&amp;IFERROR(INDEX(PASTE_ALL,$DF343,52)&amp;"","")&amp;"␟"&amp;IFERROR(INDEX(PASTE_ALL,$DF343,53)&amp;"","")&amp;"␟"&amp;IFERROR(INDEX(PASTE_ALL,$DF343,54)&amp;"","")&amp;"␟"&amp;IFERROR(INDEX(PASTE_ALL,$DF343,55)&amp;"","")&amp;"␟"&amp;IFERROR(INDEX(PASTE_ALL,$DF343,56)&amp;"","")&amp;"␟"&amp;IFERROR(INDEX(PASTE_ALL,$DF343,57)&amp;"","")&amp;"␟"&amp;IFERROR(INDEX(PASTE_ALL,$DF343,58)&amp;"","")&amp;"␟"&amp;IFERROR(INDEX(PASTE_ALL,$DF343,59)&amp;"","")&amp;"␟"&amp;IFERROR(INDEX(PASTE_ALL,$DF343,60)&amp;"","")," "," "),CHAR(9)," "),CHAR(10)," "),CHAR(13)," "))," ␟","␟"),"␟ ","␟"),"#"&amp;$DE343),"")</f>
        <v/>
      </c>
      <c r="DJ343">
        <f>IF($DI343="",0,IF(SUMPRODUCT(--EXACT($DI$4:DI342,$DI343))&gt;0,1,0))</f>
        <v/>
      </c>
      <c r="DK343">
        <f>IF(AND($DI343&lt;&gt;"",$DJ343=0),1,0)</f>
        <v/>
      </c>
      <c r="DL343">
        <f>DL342+$DK343</f>
        <v/>
      </c>
      <c r="DM343">
        <f>IF(AND($DK343=1,$DL343&lt;=600),1,0)</f>
        <v/>
      </c>
      <c r="DN343">
        <f>IF($DM343=0,"",IF($L$6=0,"",IFERROR(IF(ISNUMBER(INDEX(PASTE_ALL,$DF343,$L$6)),INDEX(PASTE_ALL,$DF343,$L$6),TRIM(SUBSTITUTE(SUBSTITUTE(SUBSTITUTE(SUBSTITUTE(INDEX(PASTE_ALL,$DF343,$L$6)," "," "),CHAR(9)," "),CHAR(10)," "),CHAR(13)," "))),"")))</f>
        <v/>
      </c>
      <c r="DO343">
        <f>IF($DM343=0,"",IF($L$7=0,"",IFERROR(IF(ISNUMBER(INDEX(PASTE_ALL,$DF343,$L$7)),INDEX(PASTE_ALL,$DF343,$L$7),TRIM(SUBSTITUTE(SUBSTITUTE(SUBSTITUTE(SUBSTITUTE(INDEX(PASTE_ALL,$DF343,$L$7)," "," "),CHAR(9)," "),CHAR(10)," "),CHAR(13)," "))),"")))</f>
        <v/>
      </c>
      <c r="DP343">
        <f>IF($DM343=0,"",IF($L$8=0,"",IFERROR(IF(ISNUMBER(INDEX(PASTE_ALL,$DF343,$L$8)),INDEX(PASTE_ALL,$DF343,$L$8),TRIM(SUBSTITUTE(SUBSTITUTE(SUBSTITUTE(SUBSTITUTE(INDEX(PASTE_ALL,$DF343,$L$8)," "," "),CHAR(9)," "),CHAR(10)," "),CHAR(13)," "))),"")))</f>
        <v/>
      </c>
      <c r="DQ343">
        <f>IF($DM343=0,"",IF($L$9=0,"",IFERROR(IF(ISNUMBER(INDEX(PASTE_ALL,$DF343,$L$9)),INDEX(PASTE_ALL,$DF343,$L$9),TRIM(SUBSTITUTE(SUBSTITUTE(SUBSTITUTE(SUBSTITUTE(INDEX(PASTE_ALL,$DF343,$L$9)," "," "),CHAR(9)," "),CHAR(10)," "),CHAR(13)," "))),"")))</f>
        <v/>
      </c>
      <c r="DR343">
        <f>IF($DM343=0,"",IF($L$10=0,"",IFERROR(IF(ISNUMBER(INDEX(PASTE_ALL,$DF343,$L$10)),INDEX(PASTE_ALL,$DF343,$L$10),TRIM(SUBSTITUTE(SUBSTITUTE(SUBSTITUTE(SUBSTITUTE(INDEX(PASTE_ALL,$DF343,$L$10)," "," "),CHAR(9)," "),CHAR(10)," "),CHAR(13)," "))),"")))</f>
        <v/>
      </c>
      <c r="DS343">
        <f>IF($DM343=0,"",IF($L$11=0,"",IFERROR(IF(ISNUMBER(INDEX(PASTE_ALL,$DF343,$L$11)),INDEX(PASTE_ALL,$DF343,$L$11),TRIM(SUBSTITUTE(SUBSTITUTE(SUBSTITUTE(SUBSTITUTE(INDEX(PASTE_ALL,$DF343,$L$11)," "," "),CHAR(9)," "),CHAR(10)," "),CHAR(13)," "))),"")))</f>
        <v/>
      </c>
      <c r="DT343">
        <f>IF($DM343=0,"",IF($L$12=0,"",IFERROR(IF(ISNUMBER(INDEX(PASTE_ALL,$DF343,$L$12)),INDEX(PASTE_ALL,$DF343,$L$12),TRIM(SUBSTITUTE(SUBSTITUTE(SUBSTITUTE(SUBSTITUTE(INDEX(PASTE_ALL,$DF343,$L$12)," "," "),CHAR(9)," "),CHAR(10)," "),CHAR(13)," "))),"")))</f>
        <v/>
      </c>
      <c r="DU343">
        <f>IF($DM343=0,"",IF($L$13=0,"",IFERROR(IF(ISNUMBER(INDEX(PASTE_ALL,$DF343,$L$13)),INDEX(PASTE_ALL,$DF343,$L$13),TRIM(SUBSTITUTE(SUBSTITUTE(SUBSTITUTE(SUBSTITUTE(INDEX(PASTE_ALL,$DF343,$L$13)," "," "),CHAR(9)," "),CHAR(10)," "),CHAR(13)," "))),"")))</f>
        <v/>
      </c>
      <c r="DV343">
        <f>IF($DM343=0,"",IF($L$14=0,"",IFERROR(IF(ISNUMBER(INDEX(PASTE_ALL,$DF343,$L$14)),INDEX(PASTE_ALL,$DF343,$L$14),TRIM(SUBSTITUTE(SUBSTITUTE(SUBSTITUTE(SUBSTITUTE(INDEX(PASTE_ALL,$DF343,$L$14)," "," "),CHAR(9)," "),CHAR(10)," "),CHAR(13)," "))),"")))</f>
        <v/>
      </c>
      <c r="DW343">
        <f>IF($DM343=0,"",IF($L$15=0,"",IFERROR(IF(ISNUMBER(INDEX(PASTE_ALL,$DF343,$L$15)),INDEX(PASTE_ALL,$DF343,$L$15),IF(SUMPRODUCT(--ISNUMBER(FIND({"A","B","C","D","E","F","G","H","I","J","K","L","M","N","O","P","Q","R","S","T","U","V","W","X","Y","Z","0","1","2","3","4","5","6","7","8","9"},UPPER(TRIM(SUBSTITUTE(SUBSTITUTE(SUBSTITUTE(SUBSTITUTE(INDEX(PASTE_ALL,$DF343,$L$15)," "," "),CHAR(9)," "),CHAR(10)," "),CHAR(13)," "))))))&gt;0,TRIM(SUBSTITUTE(SUBSTITUTE(SUBSTITUTE(SUBSTITUTE(INDEX(PASTE_ALL,$DF343,$L$15)," "," "),CHAR(9)," "),CHAR(10)," "),CHAR(13)," ")),"")),"")))</f>
        <v/>
      </c>
      <c r="DX343">
        <f>IF($DM343=0,"",IF($L$16=0,"",IFERROR(IF(ISNUMBER(INDEX(PASTE_ALL,$DF343,$L$16)),INDEX(PASTE_ALL,$DF343,$L$16),SUBSTITUTE(SUBSTITUTE(TRIM(SUBSTITUTE(SUBSTITUTE(SUBSTITUTE(SUBSTITUTE(INDEX(PASTE_ALL,$DF343,$L$16)," "," "),CHAR(9)," "),CHAR(10)," "),CHAR(13)," ")),",",""),"%","")),"")))</f>
        <v/>
      </c>
      <c r="DY343">
        <f>IF($DM343=0,"",IFERROR(IF(ISNUMBER($DX343),$DX343,IF($DX343="","",IF(TRIM($DX343)="",0,IF(AND(AND(SUBSTITUTE(SUBSTITUTE(SUBSTITUTE(SUBSTITUTE(SUBSTITUTE(SUBSTITUTE(SUBSTITUTE(SUBSTITUTE(SUBSTITUTE(SUBSTITUTE(SUBSTITUTE(SUBSTITUTE(SUBSTITUTE(SUBSTITUTE(UPPER(TRIM($DX343)),"0",""),"1",""),"2",""),"3",""),"4",""),"5",""),"6",""),"7",""),"8",""),"9",""),".",""),"+",""),"-",""),"E","")="",LEN(SUBSTITUTE(SUBSTITUTE(MID(UPPER(TRIM($DX343)),1+OR(LEFT(UPPER(TRIM($DX343)),1)="+",LEFT(UPPER(TRIM($DX343)),1)="-"),999),"E+","E"),"E-","E"))=LEN(SUBSTITUTE(SUBSTITUTE(SUBSTITUTE(SUBSTITUTE(MID(UPPER(TRIM($DX343)),1+OR(LEFT(UPPER(TRIM($DX343)),1)="+",LEFT(UPPER(TRIM($DX343)),1)="-"),999),"E+","E"),"E-","E"),"+",""),"-","")),LEN(UPPER(TRIM($DX343)))-LEN(SUBSTITUTE(UPPER(TRIM($DX343)),"E",""))&lt;2,LEN(UPPER(TRIM($DX343)))-LEN(SUBSTITUTE(UPPER(TRIM($DX343)),".",""))&lt;2,IFERROR(FIND(".",UPPER(TRIM($DX343))),0)&lt;IFERROR(FIND("E",UPPER(TRIM($DX343))),999)),ISNUMBER(VALUE(TRIM($DX343)))),VALUE(TRIM($DX343)),"")))),""))</f>
        <v/>
      </c>
      <c r="DZ343">
        <f>IF($DM343=0,"",IF($L$17=0,"",IFERROR(IF(ISNUMBER(INDEX(PASTE_ALL,$DF343,$L$17)),INDEX(PASTE_ALL,$DF343,$L$17),SUBSTITUTE(SUBSTITUTE(TRIM(SUBSTITUTE(SUBSTITUTE(SUBSTITUTE(SUBSTITUTE(INDEX(PASTE_ALL,$DF343,$L$17)," "," "),CHAR(9)," "),CHAR(10)," "),CHAR(13)," ")),",",""),"%","")),"")))</f>
        <v/>
      </c>
      <c r="EA343">
        <f>IF($DM343=0,"",IFERROR(IF(ISNUMBER($DZ343),$DZ343,IF($DZ343="","",IF(TRIM($DZ343)="",0,IF(AND(AND(SUBSTITUTE(SUBSTITUTE(SUBSTITUTE(SUBSTITUTE(SUBSTITUTE(SUBSTITUTE(SUBSTITUTE(SUBSTITUTE(SUBSTITUTE(SUBSTITUTE(SUBSTITUTE(SUBSTITUTE(SUBSTITUTE(SUBSTITUTE(UPPER(TRIM($DZ343)),"0",""),"1",""),"2",""),"3",""),"4",""),"5",""),"6",""),"7",""),"8",""),"9",""),".",""),"+",""),"-",""),"E","")="",LEN(SUBSTITUTE(SUBSTITUTE(MID(UPPER(TRIM($DZ343)),1+OR(LEFT(UPPER(TRIM($DZ343)),1)="+",LEFT(UPPER(TRIM($DZ343)),1)="-"),999),"E+","E"),"E-","E"))=LEN(SUBSTITUTE(SUBSTITUTE(SUBSTITUTE(SUBSTITUTE(MID(UPPER(TRIM($DZ343)),1+OR(LEFT(UPPER(TRIM($DZ343)),1)="+",LEFT(UPPER(TRIM($DZ343)),1)="-"),999),"E+","E"),"E-","E"),"+",""),"-","")),LEN(UPPER(TRIM($DZ343)))-LEN(SUBSTITUTE(UPPER(TRIM($DZ343)),"E",""))&lt;2,LEN(UPPER(TRIM($DZ343)))-LEN(SUBSTITUTE(UPPER(TRIM($DZ343)),".",""))&lt;2,IFERROR(FIND(".",UPPER(TRIM($DZ343))),0)&lt;IFERROR(FIND("E",UPPER(TRIM($DZ343))),999)),ISNUMBER(VALUE(TRIM($DZ343)))),VALUE(TRIM($DZ343)),"")))),""))</f>
        <v/>
      </c>
      <c r="EB343">
        <f>IF($DM343=0,"",IF($L$18=0,"",IFERROR(IF(UPPER(TRIM(SUBSTITUTE(SUBSTITUTE(SUBSTITUTE(SUBSTITUTE(INDEX(PASTE_ALL,$DF343,$L$18)," "," "),CHAR(9)," "),CHAR(10)," "),CHAR(13)," ")))="READY","Ready",IF(UPPER(TRIM(SUBSTITUTE(SUBSTITUTE(SUBSTITUTE(SUBSTITUTE(INDEX(PASTE_ALL,$DF343,$L$18)," "," "),CHAR(9)," "),CHAR(10)," "),CHAR(13)," ")))="PM","PM",IF(OR(UPPER(TRIM(SUBSTITUTE(SUBSTITUTE(SUBSTITUTE(SUBSTITUTE(INDEX(PASTE_ALL,$DF343,$L$18)," "," "),CHAR(9)," "),CHAR(10)," "),CHAR(13)," ")))="OT",UPPER(TRIM(SUBSTITUTE(SUBSTITUTE(SUBSTITUTE(SUBSTITUTE(INDEX(PASTE_ALL,$DF343,$L$18)," "," "),CHAR(9)," "),CHAR(10)," "),CHAR(13)," ")))="OVERTIME",UPPER(TRIM(SUBSTITUTE(SUBSTITUTE(SUBSTITUTE(SUBSTITUTE(INDEX(PASTE_ALL,$DF343,$L$18)," "," "),CHAR(9)," "),CHAR(10)," "),CHAR(13)," ")))="TRIAL"),"OT",TRIM(SUBSTITUTE(SUBSTITUTE(SUBSTITUTE(SUBSTITUTE(INDEX(PASTE_ALL,$DF343,$L$18)," "," "),CHAR(9)," "),CHAR(10)," "),CHAR(13)," "))))),"")))</f>
        <v/>
      </c>
      <c r="EC343">
        <f>IF($DM343=0,"",IF($L$19=0,"",IFERROR(IF(ISNUMBER(INDEX(PASTE_ALL,$DF343,$L$19)),INDEX(PASTE_ALL,$DF343,$L$19),TRIM(SUBSTITUTE(SUBSTITUTE(SUBSTITUTE(SUBSTITUTE(INDEX(PASTE_ALL,$DF343,$L$19)," "," "),CHAR(9)," "),CHAR(10)," "),CHAR(13)," "))),"")))</f>
        <v/>
      </c>
      <c r="ED343">
        <f>IF($DM343=0,"",MATCH(1,INDEX(EXACT($DH$5:DH343,$DH343)*$DM$5:DM343,0),0))</f>
        <v/>
      </c>
      <c r="EE343">
        <f>IF($DM343=0,0,IF($ED343=$DE343,1,0))</f>
        <v/>
      </c>
      <c r="EF343">
        <f>EF342+$EE343</f>
        <v/>
      </c>
      <c r="EG343">
        <f>IF($DM343=0,"",INDEX($EF$5:$EF$1003,$ED343))</f>
        <v/>
      </c>
      <c r="EH343">
        <f>IF($DM343=0,"",IF($DO343&lt;&gt;"","",IFERROR(LOOKUP(2,1/(($EG$4:EG342=$EG343)*($DO$4:DO342&lt;&gt;"")),$DO$4:DO342),"")))</f>
        <v/>
      </c>
      <c r="EI343">
        <f>IF($DM343=0,"",IF($DO343&lt;&gt;"",$DO343,$EH343))</f>
        <v/>
      </c>
      <c r="EJ343">
        <f>IF($DM343=0,"",IF($EI343="",0,IF(OR(ISNUMBER($EI343),AND(AND(SUBSTITUTE(SUBSTITUTE(SUBSTITUTE(SUBSTITUTE(SUBSTITUTE(SUBSTITUTE(SUBSTITUTE(SUBSTITUTE(SUBSTITUTE(SUBSTITUTE(SUBSTITUTE(SUBSTITUTE(SUBSTITUTE(SUBSTITUTE(UPPER($EI343),"0",""),"1",""),"2",""),"3",""),"4",""),"5",""),"6",""),"7",""),"8",""),"9",""),".",""),"+",""),"-",""),"E","")="",LEN(SUBSTITUTE(SUBSTITUTE(MID(UPPER($EI343),1+OR(LEFT(UPPER($EI343),1)="+",LEFT(UPPER($EI343),1)="-"),999),"E+","E"),"E-","E"))=LEN(SUBSTITUTE(SUBSTITUTE(SUBSTITUTE(SUBSTITUTE(MID(UPPER($EI343),1+OR(LEFT(UPPER($EI343),1)="+",LEFT(UPPER($EI343),1)="-"),999),"E+","E"),"E-","E"),"+",""),"-","")),LEN(UPPER($EI343))-LEN(SUBSTITUTE(UPPER($EI343),"E",""))&lt;2,LEN(UPPER($EI343))-LEN(SUBSTITUTE(UPPER($EI343),".",""))&lt;2,IFERROR(FIND(".",UPPER($EI343)),0)&lt;IFERROR(FIND("E",UPPER($EI343)),999)),ISNUMBER(VALUE($EI343)))),1,2)))</f>
        <v/>
      </c>
      <c r="EK343">
        <f>IF($DM343=0,"",IF($EJ343=1,IF(ISNUMBER($EI343),$EI343,VALUE($EI343)),IF($EJ343=2,$DE343,0)))</f>
        <v/>
      </c>
      <c r="EL343">
        <f>IF($DM343=0,"",COUNTIF($EG$5:$EG$1003,"&lt;"&amp;$EG343)+SUMPRODUCT(($EG$5:$EG$1003=$EG343)*(($EJ$5:$EJ$1003&lt;$EJ343)+($EJ$5:$EJ$1003=$EJ343)*(($EK$5:$EK$1003&lt;$EK343)+($EK$5:$EK$1003=$EK343)*($DE$5:$DE$1003&lt;$DE343))))+1)</f>
        <v/>
      </c>
      <c r="EM343">
        <f>IF($DM343=0,"",$EL343+$EG343-1)</f>
        <v/>
      </c>
      <c r="EN343">
        <f>IF($DM343=0,0,IFERROR(MATCH(1,INDEX(--(TRIM(SUBSTITUTE(SUBSTITUTE(SUBSTITUTE(SUBSTITUTE(LINES_NAME&amp;""," "," "),CHAR(9)," "),CHAR(10)," "),CHAR(13)," "))=$DH343),0),0),0))</f>
        <v/>
      </c>
      <c r="EO343">
        <f>IF($EN343=0,0,IF(OR(UPPER(TRIM(INDEX(LINES_SCHEDULED,$EN343)&amp;""))="YES",UPPER(TRIM(INDEX(LINES_SCHEDULED,$EN343)&amp;""))="Y",UPPER(TRIM(INDEX(LINES_SCHEDULED,$EN343)&amp;""))="X"),1,0))</f>
        <v/>
      </c>
      <c r="EP343">
        <f>IF($DM343=0,"",IF(COUNTIFS($EG$5:$EG$1003,$EG343,$EB$5:$EB$1003,"Ready")&gt;0,"READY",IF(COUNTIFS($EG$5:$EG$1003,$EG343,$EB$5:$EB$1003,"PM")&gt;0,"PM",IF(COUNTIFS($EG$5:$EG$1003,$EG343,$EB$5:$EB$1003,"OT")&gt;0,"OT",""))))</f>
        <v/>
      </c>
      <c r="EQ343">
        <f>IF($EN343=0,"",UPPER(TRIM(INDEX(LINES_STATUS,$EN343)&amp;"")))</f>
        <v/>
      </c>
      <c r="ER343">
        <f>IF($DM343=0,"",IF(OR($EQ343="READY",$EQ343="PM",$EQ343="OT"),$EQ343,$EP343))</f>
        <v/>
      </c>
      <c r="ES343">
        <f>IF($DM343=0,"",IF(AND($DV343&lt;&gt;"",UPPER($DV343)&lt;&gt;"N"),"allergen",IF(ISNUMBER(SEARCH("oil",$DQ343)),"oil",IF(OR(EXACT($DS343,"A662"),EXACT($DS343,"A624")),"bulk",""))))</f>
        <v/>
      </c>
      <c r="ET343">
        <f>IF($DM343=0,"",IF(OR($EA343="",$EA343=0),"",$EA343/100))</f>
        <v/>
      </c>
      <c r="EU343">
        <f>IF(OR($ET343="",$DY343=""),"",INT($DY343*(1-$ET343)+0.5))</f>
        <v/>
      </c>
      <c r="EW343" t="n">
        <v>339</v>
      </c>
      <c r="EX343">
        <f>IFERROR(MATCH($EW343,$EM$5:$EM$1003,0),0)</f>
        <v/>
      </c>
      <c r="EY343">
        <f>IF($EW343&gt;$B$12,"",IF($EX343&gt;0,"row","spacer"))</f>
        <v/>
      </c>
      <c r="EZ343">
        <f>IF(AND($EY343="row",$EY342&lt;&gt;"row"),1,0)</f>
        <v/>
      </c>
      <c r="FA343">
        <f>IF(AND($EY343="row",$EY344&lt;&gt;"row"),1,0)</f>
        <v/>
      </c>
      <c r="FB343">
        <f>IF($EZ343=1,IFERROR(IF(ISNUMBER(INDEX(PASTE_ALL,INDEX($DF$5:$DF$1003,$EX343),$B$37)),INDEX(PASTE_ALL,INDEX($DF$5:$DF$1003,$EX343),$B$37),INDEX($DH$5:$DH$1003,$EX343)),INDEX($DH$5:$DH$1003,$EX343)),"")</f>
        <v/>
      </c>
      <c r="FC343">
        <f>IF($EY343="row",INDEX($ER$5:$ER$1003,$EX343),"")</f>
        <v/>
      </c>
      <c r="FD343">
        <f>IF($EY343="row",INDEX($DN$5:$DN$1003,$EX343),"")</f>
        <v/>
      </c>
      <c r="FE343">
        <f>IF($EY343="row",INDEX($DO$5:$DO$1003,$EX343),"")</f>
        <v/>
      </c>
      <c r="FF343">
        <f>IF($EY343="row",INDEX($DP$5:$DP$1003,$EX343),"")</f>
        <v/>
      </c>
      <c r="FG343">
        <f>IF($EY343="row",INDEX($DQ$5:$DQ$1003,$EX343),"")</f>
        <v/>
      </c>
      <c r="FH343">
        <f>IF($EY343="row",INDEX($DR$5:$DR$1003,$EX343),"")</f>
        <v/>
      </c>
      <c r="FI343">
        <f>IF($EY343="row",INDEX($DS$5:$DS$1003,$EX343),"")</f>
        <v/>
      </c>
      <c r="FJ343">
        <f>IF($EY343="row",INDEX($DT$5:$DT$1003,$EX343),"")</f>
        <v/>
      </c>
      <c r="FK343">
        <f>IF($EY343="row",INDEX($DU$5:$DU$1003,$EX343),"")</f>
        <v/>
      </c>
      <c r="FL343">
        <f>IF($EY343="row",INDEX($DV$5:$DV$1003,$EX343),"")</f>
        <v/>
      </c>
      <c r="FM343">
        <f>IF($EY343="row",INDEX($DW$5:$DW$1003,$EX343),"")</f>
        <v/>
      </c>
      <c r="FN343">
        <f>IF($EY343="row",INDEX($DY$5:$DY$1003,$EX343),"")</f>
        <v/>
      </c>
      <c r="FO343">
        <f>IF($EY343="row",INDEX($EA$5:$EA$1003,$EX343),"")</f>
        <v/>
      </c>
      <c r="FP343">
        <f>IF($EY343="row",INDEX($EC$5:$EC$1003,$EX343),"")</f>
        <v/>
      </c>
      <c r="FQ343">
        <f>IF($EY343="row",INDEX($ET$5:$ET$1003,$EX343),"")</f>
        <v/>
      </c>
      <c r="FR343">
        <f>IF($EY343="row",INDEX($EU$5:$EU$1003,$EX343),"")</f>
        <v/>
      </c>
      <c r="FS343">
        <f>IF(AND($EY343="row",$EY342="row"),IF(OR(INDEX($DT$5:$DT$1003,$EX342)="",INDEX($DT$5:$DT$1003,$EX343)=""),"",IF(NOT(EXACT(INDEX($DT$5:$DT$1003,$EX342),INDEX($DT$5:$DT$1003,$EX343))),"S4",IF(NOT(EXACT(INDEX($DS$5:$DS$1003,$EX342),INDEX($DS$5:$DS$1003,$EX343))),"S3",IF(NOT(EXACT(INDEX($DR$5:$DR$1003,$EX342),INDEX($DR$5:$DR$1003,$EX343))),"S1 Count Change","S1")))),"")</f>
        <v/>
      </c>
      <c r="FT343">
        <f>IF($EY343="row",INDEX($ES$5:$ES$1003,$EX343),"")</f>
        <v/>
      </c>
      <c r="FU343">
        <f>IF($EY343="row",INDEX($EO$5:$EO$1003,$EX343),0)</f>
        <v/>
      </c>
      <c r="FV343">
        <f>IF($FS343="S1 Count Change",1,0)</f>
        <v/>
      </c>
    </row>
    <row r="344">
      <c r="DA344" t="n">
        <v>340</v>
      </c>
      <c r="DB344">
        <f>IF($B$37=0,"",IFERROR(TRIM(SUBSTITUTE(SUBSTITUTE(SUBSTITUTE(SUBSTITUTE(INDEX(PASTE_ALL,340,$B$37)," "," "),CHAR(9)," "),CHAR(10)," "),CHAR(13)," ")),""))</f>
        <v/>
      </c>
      <c r="DC344">
        <f>IF(AND(340&gt;HEADER_ROW,UPPER(DB344)="LEGEND"),1,0)</f>
        <v/>
      </c>
      <c r="DE344" t="n">
        <v>340</v>
      </c>
      <c r="DF344">
        <f>HEADER_ROW+$DE344</f>
        <v/>
      </c>
      <c r="DG344">
        <f>IF(AND($DF344&lt;=1000,$DF344&lt;$B$8),1,0)</f>
        <v/>
      </c>
      <c r="DH344">
        <f>IF($DG344=1,IFERROR(INDEX($DB$5:$DB$1004,$DF344),""),"")</f>
        <v/>
      </c>
      <c r="DI344">
        <f>IF(AND($DG344=1,$DH344&lt;&gt;""),IFERROR(SUBSTITUTE(SUBSTITUTE(TRIM(SUBSTITUTE(SUBSTITUTE(SUBSTITUTE(SUBSTITUTE(IFERROR(INDEX(PASTE_ALL,$DF344,1)&amp;"","")&amp;"␟"&amp;IFERROR(INDEX(PASTE_ALL,$DF344,2)&amp;"","")&amp;"␟"&amp;IFERROR(INDEX(PASTE_ALL,$DF344,3)&amp;"","")&amp;"␟"&amp;IFERROR(INDEX(PASTE_ALL,$DF344,4)&amp;"","")&amp;"␟"&amp;IFERROR(INDEX(PASTE_ALL,$DF344,5)&amp;"","")&amp;"␟"&amp;IFERROR(INDEX(PASTE_ALL,$DF344,6)&amp;"","")&amp;"␟"&amp;IFERROR(INDEX(PASTE_ALL,$DF344,7)&amp;"","")&amp;"␟"&amp;IFERROR(INDEX(PASTE_ALL,$DF344,8)&amp;"","")&amp;"␟"&amp;IFERROR(INDEX(PASTE_ALL,$DF344,9)&amp;"","")&amp;"␟"&amp;IFERROR(INDEX(PASTE_ALL,$DF344,10)&amp;"","")&amp;"␟"&amp;IFERROR(INDEX(PASTE_ALL,$DF344,11)&amp;"","")&amp;"␟"&amp;IFERROR(INDEX(PASTE_ALL,$DF344,12)&amp;"","")&amp;"␟"&amp;IFERROR(INDEX(PASTE_ALL,$DF344,13)&amp;"","")&amp;"␟"&amp;IFERROR(INDEX(PASTE_ALL,$DF344,14)&amp;"","")&amp;"␟"&amp;IFERROR(INDEX(PASTE_ALL,$DF344,15)&amp;"","")&amp;"␟"&amp;IFERROR(INDEX(PASTE_ALL,$DF344,16)&amp;"","")&amp;"␟"&amp;IFERROR(INDEX(PASTE_ALL,$DF344,17)&amp;"","")&amp;"␟"&amp;IFERROR(INDEX(PASTE_ALL,$DF344,18)&amp;"","")&amp;"␟"&amp;IFERROR(INDEX(PASTE_ALL,$DF344,19)&amp;"","")&amp;"␟"&amp;IFERROR(INDEX(PASTE_ALL,$DF344,20)&amp;"","")&amp;"␟"&amp;IFERROR(INDEX(PASTE_ALL,$DF344,21)&amp;"","")&amp;"␟"&amp;IFERROR(INDEX(PASTE_ALL,$DF344,22)&amp;"","")&amp;"␟"&amp;IFERROR(INDEX(PASTE_ALL,$DF344,23)&amp;"","")&amp;"␟"&amp;IFERROR(INDEX(PASTE_ALL,$DF344,24)&amp;"","")&amp;"␟"&amp;IFERROR(INDEX(PASTE_ALL,$DF344,25)&amp;"","")&amp;"␟"&amp;IFERROR(INDEX(PASTE_ALL,$DF344,26)&amp;"","")&amp;"␟"&amp;IFERROR(INDEX(PASTE_ALL,$DF344,27)&amp;"","")&amp;"␟"&amp;IFERROR(INDEX(PASTE_ALL,$DF344,28)&amp;"","")&amp;"␟"&amp;IFERROR(INDEX(PASTE_ALL,$DF344,29)&amp;"","")&amp;"␟"&amp;IFERROR(INDEX(PASTE_ALL,$DF344,30)&amp;"","")&amp;"␟"&amp;IFERROR(INDEX(PASTE_ALL,$DF344,31)&amp;"","")&amp;"␟"&amp;IFERROR(INDEX(PASTE_ALL,$DF344,32)&amp;"","")&amp;"␟"&amp;IFERROR(INDEX(PASTE_ALL,$DF344,33)&amp;"","")&amp;"␟"&amp;IFERROR(INDEX(PASTE_ALL,$DF344,34)&amp;"","")&amp;"␟"&amp;IFERROR(INDEX(PASTE_ALL,$DF344,35)&amp;"","")&amp;"␟"&amp;IFERROR(INDEX(PASTE_ALL,$DF344,36)&amp;"","")&amp;"␟"&amp;IFERROR(INDEX(PASTE_ALL,$DF344,37)&amp;"","")&amp;"␟"&amp;IFERROR(INDEX(PASTE_ALL,$DF344,38)&amp;"","")&amp;"␟"&amp;IFERROR(INDEX(PASTE_ALL,$DF344,39)&amp;"","")&amp;"␟"&amp;IFERROR(INDEX(PASTE_ALL,$DF344,40)&amp;"","")&amp;"␟"&amp;IFERROR(INDEX(PASTE_ALL,$DF344,41)&amp;"","")&amp;"␟"&amp;IFERROR(INDEX(PASTE_ALL,$DF344,42)&amp;"","")&amp;"␟"&amp;IFERROR(INDEX(PASTE_ALL,$DF344,43)&amp;"","")&amp;"␟"&amp;IFERROR(INDEX(PASTE_ALL,$DF344,44)&amp;"","")&amp;"␟"&amp;IFERROR(INDEX(PASTE_ALL,$DF344,45)&amp;"","")&amp;"␟"&amp;IFERROR(INDEX(PASTE_ALL,$DF344,46)&amp;"","")&amp;"␟"&amp;IFERROR(INDEX(PASTE_ALL,$DF344,47)&amp;"","")&amp;"␟"&amp;IFERROR(INDEX(PASTE_ALL,$DF344,48)&amp;"","")&amp;"␟"&amp;IFERROR(INDEX(PASTE_ALL,$DF344,49)&amp;"","")&amp;"␟"&amp;IFERROR(INDEX(PASTE_ALL,$DF344,50)&amp;"","")&amp;"␟"&amp;IFERROR(INDEX(PASTE_ALL,$DF344,51)&amp;"","")&amp;"␟"&amp;IFERROR(INDEX(PASTE_ALL,$DF344,52)&amp;"","")&amp;"␟"&amp;IFERROR(INDEX(PASTE_ALL,$DF344,53)&amp;"","")&amp;"␟"&amp;IFERROR(INDEX(PASTE_ALL,$DF344,54)&amp;"","")&amp;"␟"&amp;IFERROR(INDEX(PASTE_ALL,$DF344,55)&amp;"","")&amp;"␟"&amp;IFERROR(INDEX(PASTE_ALL,$DF344,56)&amp;"","")&amp;"␟"&amp;IFERROR(INDEX(PASTE_ALL,$DF344,57)&amp;"","")&amp;"␟"&amp;IFERROR(INDEX(PASTE_ALL,$DF344,58)&amp;"","")&amp;"␟"&amp;IFERROR(INDEX(PASTE_ALL,$DF344,59)&amp;"","")&amp;"␟"&amp;IFERROR(INDEX(PASTE_ALL,$DF344,60)&amp;"","")," "," "),CHAR(9)," "),CHAR(10)," "),CHAR(13)," "))," ␟","␟"),"␟ ","␟"),"#"&amp;$DE344),"")</f>
        <v/>
      </c>
      <c r="DJ344">
        <f>IF($DI344="",0,IF(SUMPRODUCT(--EXACT($DI$4:DI343,$DI344))&gt;0,1,0))</f>
        <v/>
      </c>
      <c r="DK344">
        <f>IF(AND($DI344&lt;&gt;"",$DJ344=0),1,0)</f>
        <v/>
      </c>
      <c r="DL344">
        <f>DL343+$DK344</f>
        <v/>
      </c>
      <c r="DM344">
        <f>IF(AND($DK344=1,$DL344&lt;=600),1,0)</f>
        <v/>
      </c>
      <c r="DN344">
        <f>IF($DM344=0,"",IF($L$6=0,"",IFERROR(IF(ISNUMBER(INDEX(PASTE_ALL,$DF344,$L$6)),INDEX(PASTE_ALL,$DF344,$L$6),TRIM(SUBSTITUTE(SUBSTITUTE(SUBSTITUTE(SUBSTITUTE(INDEX(PASTE_ALL,$DF344,$L$6)," "," "),CHAR(9)," "),CHAR(10)," "),CHAR(13)," "))),"")))</f>
        <v/>
      </c>
      <c r="DO344">
        <f>IF($DM344=0,"",IF($L$7=0,"",IFERROR(IF(ISNUMBER(INDEX(PASTE_ALL,$DF344,$L$7)),INDEX(PASTE_ALL,$DF344,$L$7),TRIM(SUBSTITUTE(SUBSTITUTE(SUBSTITUTE(SUBSTITUTE(INDEX(PASTE_ALL,$DF344,$L$7)," "," "),CHAR(9)," "),CHAR(10)," "),CHAR(13)," "))),"")))</f>
        <v/>
      </c>
      <c r="DP344">
        <f>IF($DM344=0,"",IF($L$8=0,"",IFERROR(IF(ISNUMBER(INDEX(PASTE_ALL,$DF344,$L$8)),INDEX(PASTE_ALL,$DF344,$L$8),TRIM(SUBSTITUTE(SUBSTITUTE(SUBSTITUTE(SUBSTITUTE(INDEX(PASTE_ALL,$DF344,$L$8)," "," "),CHAR(9)," "),CHAR(10)," "),CHAR(13)," "))),"")))</f>
        <v/>
      </c>
      <c r="DQ344">
        <f>IF($DM344=0,"",IF($L$9=0,"",IFERROR(IF(ISNUMBER(INDEX(PASTE_ALL,$DF344,$L$9)),INDEX(PASTE_ALL,$DF344,$L$9),TRIM(SUBSTITUTE(SUBSTITUTE(SUBSTITUTE(SUBSTITUTE(INDEX(PASTE_ALL,$DF344,$L$9)," "," "),CHAR(9)," "),CHAR(10)," "),CHAR(13)," "))),"")))</f>
        <v/>
      </c>
      <c r="DR344">
        <f>IF($DM344=0,"",IF($L$10=0,"",IFERROR(IF(ISNUMBER(INDEX(PASTE_ALL,$DF344,$L$10)),INDEX(PASTE_ALL,$DF344,$L$10),TRIM(SUBSTITUTE(SUBSTITUTE(SUBSTITUTE(SUBSTITUTE(INDEX(PASTE_ALL,$DF344,$L$10)," "," "),CHAR(9)," "),CHAR(10)," "),CHAR(13)," "))),"")))</f>
        <v/>
      </c>
      <c r="DS344">
        <f>IF($DM344=0,"",IF($L$11=0,"",IFERROR(IF(ISNUMBER(INDEX(PASTE_ALL,$DF344,$L$11)),INDEX(PASTE_ALL,$DF344,$L$11),TRIM(SUBSTITUTE(SUBSTITUTE(SUBSTITUTE(SUBSTITUTE(INDEX(PASTE_ALL,$DF344,$L$11)," "," "),CHAR(9)," "),CHAR(10)," "),CHAR(13)," "))),"")))</f>
        <v/>
      </c>
      <c r="DT344">
        <f>IF($DM344=0,"",IF($L$12=0,"",IFERROR(IF(ISNUMBER(INDEX(PASTE_ALL,$DF344,$L$12)),INDEX(PASTE_ALL,$DF344,$L$12),TRIM(SUBSTITUTE(SUBSTITUTE(SUBSTITUTE(SUBSTITUTE(INDEX(PASTE_ALL,$DF344,$L$12)," "," "),CHAR(9)," "),CHAR(10)," "),CHAR(13)," "))),"")))</f>
        <v/>
      </c>
      <c r="DU344">
        <f>IF($DM344=0,"",IF($L$13=0,"",IFERROR(IF(ISNUMBER(INDEX(PASTE_ALL,$DF344,$L$13)),INDEX(PASTE_ALL,$DF344,$L$13),TRIM(SUBSTITUTE(SUBSTITUTE(SUBSTITUTE(SUBSTITUTE(INDEX(PASTE_ALL,$DF344,$L$13)," "," "),CHAR(9)," "),CHAR(10)," "),CHAR(13)," "))),"")))</f>
        <v/>
      </c>
      <c r="DV344">
        <f>IF($DM344=0,"",IF($L$14=0,"",IFERROR(IF(ISNUMBER(INDEX(PASTE_ALL,$DF344,$L$14)),INDEX(PASTE_ALL,$DF344,$L$14),TRIM(SUBSTITUTE(SUBSTITUTE(SUBSTITUTE(SUBSTITUTE(INDEX(PASTE_ALL,$DF344,$L$14)," "," "),CHAR(9)," "),CHAR(10)," "),CHAR(13)," "))),"")))</f>
        <v/>
      </c>
      <c r="DW344">
        <f>IF($DM344=0,"",IF($L$15=0,"",IFERROR(IF(ISNUMBER(INDEX(PASTE_ALL,$DF344,$L$15)),INDEX(PASTE_ALL,$DF344,$L$15),IF(SUMPRODUCT(--ISNUMBER(FIND({"A","B","C","D","E","F","G","H","I","J","K","L","M","N","O","P","Q","R","S","T","U","V","W","X","Y","Z","0","1","2","3","4","5","6","7","8","9"},UPPER(TRIM(SUBSTITUTE(SUBSTITUTE(SUBSTITUTE(SUBSTITUTE(INDEX(PASTE_ALL,$DF344,$L$15)," "," "),CHAR(9)," "),CHAR(10)," "),CHAR(13)," "))))))&gt;0,TRIM(SUBSTITUTE(SUBSTITUTE(SUBSTITUTE(SUBSTITUTE(INDEX(PASTE_ALL,$DF344,$L$15)," "," "),CHAR(9)," "),CHAR(10)," "),CHAR(13)," ")),"")),"")))</f>
        <v/>
      </c>
      <c r="DX344">
        <f>IF($DM344=0,"",IF($L$16=0,"",IFERROR(IF(ISNUMBER(INDEX(PASTE_ALL,$DF344,$L$16)),INDEX(PASTE_ALL,$DF344,$L$16),SUBSTITUTE(SUBSTITUTE(TRIM(SUBSTITUTE(SUBSTITUTE(SUBSTITUTE(SUBSTITUTE(INDEX(PASTE_ALL,$DF344,$L$16)," "," "),CHAR(9)," "),CHAR(10)," "),CHAR(13)," ")),",",""),"%","")),"")))</f>
        <v/>
      </c>
      <c r="DY344">
        <f>IF($DM344=0,"",IFERROR(IF(ISNUMBER($DX344),$DX344,IF($DX344="","",IF(TRIM($DX344)="",0,IF(AND(AND(SUBSTITUTE(SUBSTITUTE(SUBSTITUTE(SUBSTITUTE(SUBSTITUTE(SUBSTITUTE(SUBSTITUTE(SUBSTITUTE(SUBSTITUTE(SUBSTITUTE(SUBSTITUTE(SUBSTITUTE(SUBSTITUTE(SUBSTITUTE(UPPER(TRIM($DX344)),"0",""),"1",""),"2",""),"3",""),"4",""),"5",""),"6",""),"7",""),"8",""),"9",""),".",""),"+",""),"-",""),"E","")="",LEN(SUBSTITUTE(SUBSTITUTE(MID(UPPER(TRIM($DX344)),1+OR(LEFT(UPPER(TRIM($DX344)),1)="+",LEFT(UPPER(TRIM($DX344)),1)="-"),999),"E+","E"),"E-","E"))=LEN(SUBSTITUTE(SUBSTITUTE(SUBSTITUTE(SUBSTITUTE(MID(UPPER(TRIM($DX344)),1+OR(LEFT(UPPER(TRIM($DX344)),1)="+",LEFT(UPPER(TRIM($DX344)),1)="-"),999),"E+","E"),"E-","E"),"+",""),"-","")),LEN(UPPER(TRIM($DX344)))-LEN(SUBSTITUTE(UPPER(TRIM($DX344)),"E",""))&lt;2,LEN(UPPER(TRIM($DX344)))-LEN(SUBSTITUTE(UPPER(TRIM($DX344)),".",""))&lt;2,IFERROR(FIND(".",UPPER(TRIM($DX344))),0)&lt;IFERROR(FIND("E",UPPER(TRIM($DX344))),999)),ISNUMBER(VALUE(TRIM($DX344)))),VALUE(TRIM($DX344)),"")))),""))</f>
        <v/>
      </c>
      <c r="DZ344">
        <f>IF($DM344=0,"",IF($L$17=0,"",IFERROR(IF(ISNUMBER(INDEX(PASTE_ALL,$DF344,$L$17)),INDEX(PASTE_ALL,$DF344,$L$17),SUBSTITUTE(SUBSTITUTE(TRIM(SUBSTITUTE(SUBSTITUTE(SUBSTITUTE(SUBSTITUTE(INDEX(PASTE_ALL,$DF344,$L$17)," "," "),CHAR(9)," "),CHAR(10)," "),CHAR(13)," ")),",",""),"%","")),"")))</f>
        <v/>
      </c>
      <c r="EA344">
        <f>IF($DM344=0,"",IFERROR(IF(ISNUMBER($DZ344),$DZ344,IF($DZ344="","",IF(TRIM($DZ344)="",0,IF(AND(AND(SUBSTITUTE(SUBSTITUTE(SUBSTITUTE(SUBSTITUTE(SUBSTITUTE(SUBSTITUTE(SUBSTITUTE(SUBSTITUTE(SUBSTITUTE(SUBSTITUTE(SUBSTITUTE(SUBSTITUTE(SUBSTITUTE(SUBSTITUTE(UPPER(TRIM($DZ344)),"0",""),"1",""),"2",""),"3",""),"4",""),"5",""),"6",""),"7",""),"8",""),"9",""),".",""),"+",""),"-",""),"E","")="",LEN(SUBSTITUTE(SUBSTITUTE(MID(UPPER(TRIM($DZ344)),1+OR(LEFT(UPPER(TRIM($DZ344)),1)="+",LEFT(UPPER(TRIM($DZ344)),1)="-"),999),"E+","E"),"E-","E"))=LEN(SUBSTITUTE(SUBSTITUTE(SUBSTITUTE(SUBSTITUTE(MID(UPPER(TRIM($DZ344)),1+OR(LEFT(UPPER(TRIM($DZ344)),1)="+",LEFT(UPPER(TRIM($DZ344)),1)="-"),999),"E+","E"),"E-","E"),"+",""),"-","")),LEN(UPPER(TRIM($DZ344)))-LEN(SUBSTITUTE(UPPER(TRIM($DZ344)),"E",""))&lt;2,LEN(UPPER(TRIM($DZ344)))-LEN(SUBSTITUTE(UPPER(TRIM($DZ344)),".",""))&lt;2,IFERROR(FIND(".",UPPER(TRIM($DZ344))),0)&lt;IFERROR(FIND("E",UPPER(TRIM($DZ344))),999)),ISNUMBER(VALUE(TRIM($DZ344)))),VALUE(TRIM($DZ344)),"")))),""))</f>
        <v/>
      </c>
      <c r="EB344">
        <f>IF($DM344=0,"",IF($L$18=0,"",IFERROR(IF(UPPER(TRIM(SUBSTITUTE(SUBSTITUTE(SUBSTITUTE(SUBSTITUTE(INDEX(PASTE_ALL,$DF344,$L$18)," "," "),CHAR(9)," "),CHAR(10)," "),CHAR(13)," ")))="READY","Ready",IF(UPPER(TRIM(SUBSTITUTE(SUBSTITUTE(SUBSTITUTE(SUBSTITUTE(INDEX(PASTE_ALL,$DF344,$L$18)," "," "),CHAR(9)," "),CHAR(10)," "),CHAR(13)," ")))="PM","PM",IF(OR(UPPER(TRIM(SUBSTITUTE(SUBSTITUTE(SUBSTITUTE(SUBSTITUTE(INDEX(PASTE_ALL,$DF344,$L$18)," "," "),CHAR(9)," "),CHAR(10)," "),CHAR(13)," ")))="OT",UPPER(TRIM(SUBSTITUTE(SUBSTITUTE(SUBSTITUTE(SUBSTITUTE(INDEX(PASTE_ALL,$DF344,$L$18)," "," "),CHAR(9)," "),CHAR(10)," "),CHAR(13)," ")))="OVERTIME",UPPER(TRIM(SUBSTITUTE(SUBSTITUTE(SUBSTITUTE(SUBSTITUTE(INDEX(PASTE_ALL,$DF344,$L$18)," "," "),CHAR(9)," "),CHAR(10)," "),CHAR(13)," ")))="TRIAL"),"OT",TRIM(SUBSTITUTE(SUBSTITUTE(SUBSTITUTE(SUBSTITUTE(INDEX(PASTE_ALL,$DF344,$L$18)," "," "),CHAR(9)," "),CHAR(10)," "),CHAR(13)," "))))),"")))</f>
        <v/>
      </c>
      <c r="EC344">
        <f>IF($DM344=0,"",IF($L$19=0,"",IFERROR(IF(ISNUMBER(INDEX(PASTE_ALL,$DF344,$L$19)),INDEX(PASTE_ALL,$DF344,$L$19),TRIM(SUBSTITUTE(SUBSTITUTE(SUBSTITUTE(SUBSTITUTE(INDEX(PASTE_ALL,$DF344,$L$19)," "," "),CHAR(9)," "),CHAR(10)," "),CHAR(13)," "))),"")))</f>
        <v/>
      </c>
      <c r="ED344">
        <f>IF($DM344=0,"",MATCH(1,INDEX(EXACT($DH$5:DH344,$DH344)*$DM$5:DM344,0),0))</f>
        <v/>
      </c>
      <c r="EE344">
        <f>IF($DM344=0,0,IF($ED344=$DE344,1,0))</f>
        <v/>
      </c>
      <c r="EF344">
        <f>EF343+$EE344</f>
        <v/>
      </c>
      <c r="EG344">
        <f>IF($DM344=0,"",INDEX($EF$5:$EF$1003,$ED344))</f>
        <v/>
      </c>
      <c r="EH344">
        <f>IF($DM344=0,"",IF($DO344&lt;&gt;"","",IFERROR(LOOKUP(2,1/(($EG$4:EG343=$EG344)*($DO$4:DO343&lt;&gt;"")),$DO$4:DO343),"")))</f>
        <v/>
      </c>
      <c r="EI344">
        <f>IF($DM344=0,"",IF($DO344&lt;&gt;"",$DO344,$EH344))</f>
        <v/>
      </c>
      <c r="EJ344">
        <f>IF($DM344=0,"",IF($EI344="",0,IF(OR(ISNUMBER($EI344),AND(AND(SUBSTITUTE(SUBSTITUTE(SUBSTITUTE(SUBSTITUTE(SUBSTITUTE(SUBSTITUTE(SUBSTITUTE(SUBSTITUTE(SUBSTITUTE(SUBSTITUTE(SUBSTITUTE(SUBSTITUTE(SUBSTITUTE(SUBSTITUTE(UPPER($EI344),"0",""),"1",""),"2",""),"3",""),"4",""),"5",""),"6",""),"7",""),"8",""),"9",""),".",""),"+",""),"-",""),"E","")="",LEN(SUBSTITUTE(SUBSTITUTE(MID(UPPER($EI344),1+OR(LEFT(UPPER($EI344),1)="+",LEFT(UPPER($EI344),1)="-"),999),"E+","E"),"E-","E"))=LEN(SUBSTITUTE(SUBSTITUTE(SUBSTITUTE(SUBSTITUTE(MID(UPPER($EI344),1+OR(LEFT(UPPER($EI344),1)="+",LEFT(UPPER($EI344),1)="-"),999),"E+","E"),"E-","E"),"+",""),"-","")),LEN(UPPER($EI344))-LEN(SUBSTITUTE(UPPER($EI344),"E",""))&lt;2,LEN(UPPER($EI344))-LEN(SUBSTITUTE(UPPER($EI344),".",""))&lt;2,IFERROR(FIND(".",UPPER($EI344)),0)&lt;IFERROR(FIND("E",UPPER($EI344)),999)),ISNUMBER(VALUE($EI344)))),1,2)))</f>
        <v/>
      </c>
      <c r="EK344">
        <f>IF($DM344=0,"",IF($EJ344=1,IF(ISNUMBER($EI344),$EI344,VALUE($EI344)),IF($EJ344=2,$DE344,0)))</f>
        <v/>
      </c>
      <c r="EL344">
        <f>IF($DM344=0,"",COUNTIF($EG$5:$EG$1003,"&lt;"&amp;$EG344)+SUMPRODUCT(($EG$5:$EG$1003=$EG344)*(($EJ$5:$EJ$1003&lt;$EJ344)+($EJ$5:$EJ$1003=$EJ344)*(($EK$5:$EK$1003&lt;$EK344)+($EK$5:$EK$1003=$EK344)*($DE$5:$DE$1003&lt;$DE344))))+1)</f>
        <v/>
      </c>
      <c r="EM344">
        <f>IF($DM344=0,"",$EL344+$EG344-1)</f>
        <v/>
      </c>
      <c r="EN344">
        <f>IF($DM344=0,0,IFERROR(MATCH(1,INDEX(--(TRIM(SUBSTITUTE(SUBSTITUTE(SUBSTITUTE(SUBSTITUTE(LINES_NAME&amp;""," "," "),CHAR(9)," "),CHAR(10)," "),CHAR(13)," "))=$DH344),0),0),0))</f>
        <v/>
      </c>
      <c r="EO344">
        <f>IF($EN344=0,0,IF(OR(UPPER(TRIM(INDEX(LINES_SCHEDULED,$EN344)&amp;""))="YES",UPPER(TRIM(INDEX(LINES_SCHEDULED,$EN344)&amp;""))="Y",UPPER(TRIM(INDEX(LINES_SCHEDULED,$EN344)&amp;""))="X"),1,0))</f>
        <v/>
      </c>
      <c r="EP344">
        <f>IF($DM344=0,"",IF(COUNTIFS($EG$5:$EG$1003,$EG344,$EB$5:$EB$1003,"Ready")&gt;0,"READY",IF(COUNTIFS($EG$5:$EG$1003,$EG344,$EB$5:$EB$1003,"PM")&gt;0,"PM",IF(COUNTIFS($EG$5:$EG$1003,$EG344,$EB$5:$EB$1003,"OT")&gt;0,"OT",""))))</f>
        <v/>
      </c>
      <c r="EQ344">
        <f>IF($EN344=0,"",UPPER(TRIM(INDEX(LINES_STATUS,$EN344)&amp;"")))</f>
        <v/>
      </c>
      <c r="ER344">
        <f>IF($DM344=0,"",IF(OR($EQ344="READY",$EQ344="PM",$EQ344="OT"),$EQ344,$EP344))</f>
        <v/>
      </c>
      <c r="ES344">
        <f>IF($DM344=0,"",IF(AND($DV344&lt;&gt;"",UPPER($DV344)&lt;&gt;"N"),"allergen",IF(ISNUMBER(SEARCH("oil",$DQ344)),"oil",IF(OR(EXACT($DS344,"A662"),EXACT($DS344,"A624")),"bulk",""))))</f>
        <v/>
      </c>
      <c r="ET344">
        <f>IF($DM344=0,"",IF(OR($EA344="",$EA344=0),"",$EA344/100))</f>
        <v/>
      </c>
      <c r="EU344">
        <f>IF(OR($ET344="",$DY344=""),"",INT($DY344*(1-$ET344)+0.5))</f>
        <v/>
      </c>
      <c r="EW344" t="n">
        <v>340</v>
      </c>
      <c r="EX344">
        <f>IFERROR(MATCH($EW344,$EM$5:$EM$1003,0),0)</f>
        <v/>
      </c>
      <c r="EY344">
        <f>IF($EW344&gt;$B$12,"",IF($EX344&gt;0,"row","spacer"))</f>
        <v/>
      </c>
      <c r="EZ344">
        <f>IF(AND($EY344="row",$EY343&lt;&gt;"row"),1,0)</f>
        <v/>
      </c>
      <c r="FA344">
        <f>IF(AND($EY344="row",$EY345&lt;&gt;"row"),1,0)</f>
        <v/>
      </c>
      <c r="FB344">
        <f>IF($EZ344=1,IFERROR(IF(ISNUMBER(INDEX(PASTE_ALL,INDEX($DF$5:$DF$1003,$EX344),$B$37)),INDEX(PASTE_ALL,INDEX($DF$5:$DF$1003,$EX344),$B$37),INDEX($DH$5:$DH$1003,$EX344)),INDEX($DH$5:$DH$1003,$EX344)),"")</f>
        <v/>
      </c>
      <c r="FC344">
        <f>IF($EY344="row",INDEX($ER$5:$ER$1003,$EX344),"")</f>
        <v/>
      </c>
      <c r="FD344">
        <f>IF($EY344="row",INDEX($DN$5:$DN$1003,$EX344),"")</f>
        <v/>
      </c>
      <c r="FE344">
        <f>IF($EY344="row",INDEX($DO$5:$DO$1003,$EX344),"")</f>
        <v/>
      </c>
      <c r="FF344">
        <f>IF($EY344="row",INDEX($DP$5:$DP$1003,$EX344),"")</f>
        <v/>
      </c>
      <c r="FG344">
        <f>IF($EY344="row",INDEX($DQ$5:$DQ$1003,$EX344),"")</f>
        <v/>
      </c>
      <c r="FH344">
        <f>IF($EY344="row",INDEX($DR$5:$DR$1003,$EX344),"")</f>
        <v/>
      </c>
      <c r="FI344">
        <f>IF($EY344="row",INDEX($DS$5:$DS$1003,$EX344),"")</f>
        <v/>
      </c>
      <c r="FJ344">
        <f>IF($EY344="row",INDEX($DT$5:$DT$1003,$EX344),"")</f>
        <v/>
      </c>
      <c r="FK344">
        <f>IF($EY344="row",INDEX($DU$5:$DU$1003,$EX344),"")</f>
        <v/>
      </c>
      <c r="FL344">
        <f>IF($EY344="row",INDEX($DV$5:$DV$1003,$EX344),"")</f>
        <v/>
      </c>
      <c r="FM344">
        <f>IF($EY344="row",INDEX($DW$5:$DW$1003,$EX344),"")</f>
        <v/>
      </c>
      <c r="FN344">
        <f>IF($EY344="row",INDEX($DY$5:$DY$1003,$EX344),"")</f>
        <v/>
      </c>
      <c r="FO344">
        <f>IF($EY344="row",INDEX($EA$5:$EA$1003,$EX344),"")</f>
        <v/>
      </c>
      <c r="FP344">
        <f>IF($EY344="row",INDEX($EC$5:$EC$1003,$EX344),"")</f>
        <v/>
      </c>
      <c r="FQ344">
        <f>IF($EY344="row",INDEX($ET$5:$ET$1003,$EX344),"")</f>
        <v/>
      </c>
      <c r="FR344">
        <f>IF($EY344="row",INDEX($EU$5:$EU$1003,$EX344),"")</f>
        <v/>
      </c>
      <c r="FS344">
        <f>IF(AND($EY344="row",$EY343="row"),IF(OR(INDEX($DT$5:$DT$1003,$EX343)="",INDEX($DT$5:$DT$1003,$EX344)=""),"",IF(NOT(EXACT(INDEX($DT$5:$DT$1003,$EX343),INDEX($DT$5:$DT$1003,$EX344))),"S4",IF(NOT(EXACT(INDEX($DS$5:$DS$1003,$EX343),INDEX($DS$5:$DS$1003,$EX344))),"S3",IF(NOT(EXACT(INDEX($DR$5:$DR$1003,$EX343),INDEX($DR$5:$DR$1003,$EX344))),"S1 Count Change","S1")))),"")</f>
        <v/>
      </c>
      <c r="FT344">
        <f>IF($EY344="row",INDEX($ES$5:$ES$1003,$EX344),"")</f>
        <v/>
      </c>
      <c r="FU344">
        <f>IF($EY344="row",INDEX($EO$5:$EO$1003,$EX344),0)</f>
        <v/>
      </c>
      <c r="FV344">
        <f>IF($FS344="S1 Count Change",1,0)</f>
        <v/>
      </c>
    </row>
    <row r="345">
      <c r="DA345" t="n">
        <v>341</v>
      </c>
      <c r="DB345">
        <f>IF($B$37=0,"",IFERROR(TRIM(SUBSTITUTE(SUBSTITUTE(SUBSTITUTE(SUBSTITUTE(INDEX(PASTE_ALL,341,$B$37)," "," "),CHAR(9)," "),CHAR(10)," "),CHAR(13)," ")),""))</f>
        <v/>
      </c>
      <c r="DC345">
        <f>IF(AND(341&gt;HEADER_ROW,UPPER(DB345)="LEGEND"),1,0)</f>
        <v/>
      </c>
      <c r="DE345" t="n">
        <v>341</v>
      </c>
      <c r="DF345">
        <f>HEADER_ROW+$DE345</f>
        <v/>
      </c>
      <c r="DG345">
        <f>IF(AND($DF345&lt;=1000,$DF345&lt;$B$8),1,0)</f>
        <v/>
      </c>
      <c r="DH345">
        <f>IF($DG345=1,IFERROR(INDEX($DB$5:$DB$1004,$DF345),""),"")</f>
        <v/>
      </c>
      <c r="DI345">
        <f>IF(AND($DG345=1,$DH345&lt;&gt;""),IFERROR(SUBSTITUTE(SUBSTITUTE(TRIM(SUBSTITUTE(SUBSTITUTE(SUBSTITUTE(SUBSTITUTE(IFERROR(INDEX(PASTE_ALL,$DF345,1)&amp;"","")&amp;"␟"&amp;IFERROR(INDEX(PASTE_ALL,$DF345,2)&amp;"","")&amp;"␟"&amp;IFERROR(INDEX(PASTE_ALL,$DF345,3)&amp;"","")&amp;"␟"&amp;IFERROR(INDEX(PASTE_ALL,$DF345,4)&amp;"","")&amp;"␟"&amp;IFERROR(INDEX(PASTE_ALL,$DF345,5)&amp;"","")&amp;"␟"&amp;IFERROR(INDEX(PASTE_ALL,$DF345,6)&amp;"","")&amp;"␟"&amp;IFERROR(INDEX(PASTE_ALL,$DF345,7)&amp;"","")&amp;"␟"&amp;IFERROR(INDEX(PASTE_ALL,$DF345,8)&amp;"","")&amp;"␟"&amp;IFERROR(INDEX(PASTE_ALL,$DF345,9)&amp;"","")&amp;"␟"&amp;IFERROR(INDEX(PASTE_ALL,$DF345,10)&amp;"","")&amp;"␟"&amp;IFERROR(INDEX(PASTE_ALL,$DF345,11)&amp;"","")&amp;"␟"&amp;IFERROR(INDEX(PASTE_ALL,$DF345,12)&amp;"","")&amp;"␟"&amp;IFERROR(INDEX(PASTE_ALL,$DF345,13)&amp;"","")&amp;"␟"&amp;IFERROR(INDEX(PASTE_ALL,$DF345,14)&amp;"","")&amp;"␟"&amp;IFERROR(INDEX(PASTE_ALL,$DF345,15)&amp;"","")&amp;"␟"&amp;IFERROR(INDEX(PASTE_ALL,$DF345,16)&amp;"","")&amp;"␟"&amp;IFERROR(INDEX(PASTE_ALL,$DF345,17)&amp;"","")&amp;"␟"&amp;IFERROR(INDEX(PASTE_ALL,$DF345,18)&amp;"","")&amp;"␟"&amp;IFERROR(INDEX(PASTE_ALL,$DF345,19)&amp;"","")&amp;"␟"&amp;IFERROR(INDEX(PASTE_ALL,$DF345,20)&amp;"","")&amp;"␟"&amp;IFERROR(INDEX(PASTE_ALL,$DF345,21)&amp;"","")&amp;"␟"&amp;IFERROR(INDEX(PASTE_ALL,$DF345,22)&amp;"","")&amp;"␟"&amp;IFERROR(INDEX(PASTE_ALL,$DF345,23)&amp;"","")&amp;"␟"&amp;IFERROR(INDEX(PASTE_ALL,$DF345,24)&amp;"","")&amp;"␟"&amp;IFERROR(INDEX(PASTE_ALL,$DF345,25)&amp;"","")&amp;"␟"&amp;IFERROR(INDEX(PASTE_ALL,$DF345,26)&amp;"","")&amp;"␟"&amp;IFERROR(INDEX(PASTE_ALL,$DF345,27)&amp;"","")&amp;"␟"&amp;IFERROR(INDEX(PASTE_ALL,$DF345,28)&amp;"","")&amp;"␟"&amp;IFERROR(INDEX(PASTE_ALL,$DF345,29)&amp;"","")&amp;"␟"&amp;IFERROR(INDEX(PASTE_ALL,$DF345,30)&amp;"","")&amp;"␟"&amp;IFERROR(INDEX(PASTE_ALL,$DF345,31)&amp;"","")&amp;"␟"&amp;IFERROR(INDEX(PASTE_ALL,$DF345,32)&amp;"","")&amp;"␟"&amp;IFERROR(INDEX(PASTE_ALL,$DF345,33)&amp;"","")&amp;"␟"&amp;IFERROR(INDEX(PASTE_ALL,$DF345,34)&amp;"","")&amp;"␟"&amp;IFERROR(INDEX(PASTE_ALL,$DF345,35)&amp;"","")&amp;"␟"&amp;IFERROR(INDEX(PASTE_ALL,$DF345,36)&amp;"","")&amp;"␟"&amp;IFERROR(INDEX(PASTE_ALL,$DF345,37)&amp;"","")&amp;"␟"&amp;IFERROR(INDEX(PASTE_ALL,$DF345,38)&amp;"","")&amp;"␟"&amp;IFERROR(INDEX(PASTE_ALL,$DF345,39)&amp;"","")&amp;"␟"&amp;IFERROR(INDEX(PASTE_ALL,$DF345,40)&amp;"","")&amp;"␟"&amp;IFERROR(INDEX(PASTE_ALL,$DF345,41)&amp;"","")&amp;"␟"&amp;IFERROR(INDEX(PASTE_ALL,$DF345,42)&amp;"","")&amp;"␟"&amp;IFERROR(INDEX(PASTE_ALL,$DF345,43)&amp;"","")&amp;"␟"&amp;IFERROR(INDEX(PASTE_ALL,$DF345,44)&amp;"","")&amp;"␟"&amp;IFERROR(INDEX(PASTE_ALL,$DF345,45)&amp;"","")&amp;"␟"&amp;IFERROR(INDEX(PASTE_ALL,$DF345,46)&amp;"","")&amp;"␟"&amp;IFERROR(INDEX(PASTE_ALL,$DF345,47)&amp;"","")&amp;"␟"&amp;IFERROR(INDEX(PASTE_ALL,$DF345,48)&amp;"","")&amp;"␟"&amp;IFERROR(INDEX(PASTE_ALL,$DF345,49)&amp;"","")&amp;"␟"&amp;IFERROR(INDEX(PASTE_ALL,$DF345,50)&amp;"","")&amp;"␟"&amp;IFERROR(INDEX(PASTE_ALL,$DF345,51)&amp;"","")&amp;"␟"&amp;IFERROR(INDEX(PASTE_ALL,$DF345,52)&amp;"","")&amp;"␟"&amp;IFERROR(INDEX(PASTE_ALL,$DF345,53)&amp;"","")&amp;"␟"&amp;IFERROR(INDEX(PASTE_ALL,$DF345,54)&amp;"","")&amp;"␟"&amp;IFERROR(INDEX(PASTE_ALL,$DF345,55)&amp;"","")&amp;"␟"&amp;IFERROR(INDEX(PASTE_ALL,$DF345,56)&amp;"","")&amp;"␟"&amp;IFERROR(INDEX(PASTE_ALL,$DF345,57)&amp;"","")&amp;"␟"&amp;IFERROR(INDEX(PASTE_ALL,$DF345,58)&amp;"","")&amp;"␟"&amp;IFERROR(INDEX(PASTE_ALL,$DF345,59)&amp;"","")&amp;"␟"&amp;IFERROR(INDEX(PASTE_ALL,$DF345,60)&amp;"","")," "," "),CHAR(9)," "),CHAR(10)," "),CHAR(13)," "))," ␟","␟"),"␟ ","␟"),"#"&amp;$DE345),"")</f>
        <v/>
      </c>
      <c r="DJ345">
        <f>IF($DI345="",0,IF(SUMPRODUCT(--EXACT($DI$4:DI344,$DI345))&gt;0,1,0))</f>
        <v/>
      </c>
      <c r="DK345">
        <f>IF(AND($DI345&lt;&gt;"",$DJ345=0),1,0)</f>
        <v/>
      </c>
      <c r="DL345">
        <f>DL344+$DK345</f>
        <v/>
      </c>
      <c r="DM345">
        <f>IF(AND($DK345=1,$DL345&lt;=600),1,0)</f>
        <v/>
      </c>
      <c r="DN345">
        <f>IF($DM345=0,"",IF($L$6=0,"",IFERROR(IF(ISNUMBER(INDEX(PASTE_ALL,$DF345,$L$6)),INDEX(PASTE_ALL,$DF345,$L$6),TRIM(SUBSTITUTE(SUBSTITUTE(SUBSTITUTE(SUBSTITUTE(INDEX(PASTE_ALL,$DF345,$L$6)," "," "),CHAR(9)," "),CHAR(10)," "),CHAR(13)," "))),"")))</f>
        <v/>
      </c>
      <c r="DO345">
        <f>IF($DM345=0,"",IF($L$7=0,"",IFERROR(IF(ISNUMBER(INDEX(PASTE_ALL,$DF345,$L$7)),INDEX(PASTE_ALL,$DF345,$L$7),TRIM(SUBSTITUTE(SUBSTITUTE(SUBSTITUTE(SUBSTITUTE(INDEX(PASTE_ALL,$DF345,$L$7)," "," "),CHAR(9)," "),CHAR(10)," "),CHAR(13)," "))),"")))</f>
        <v/>
      </c>
      <c r="DP345">
        <f>IF($DM345=0,"",IF($L$8=0,"",IFERROR(IF(ISNUMBER(INDEX(PASTE_ALL,$DF345,$L$8)),INDEX(PASTE_ALL,$DF345,$L$8),TRIM(SUBSTITUTE(SUBSTITUTE(SUBSTITUTE(SUBSTITUTE(INDEX(PASTE_ALL,$DF345,$L$8)," "," "),CHAR(9)," "),CHAR(10)," "),CHAR(13)," "))),"")))</f>
        <v/>
      </c>
      <c r="DQ345">
        <f>IF($DM345=0,"",IF($L$9=0,"",IFERROR(IF(ISNUMBER(INDEX(PASTE_ALL,$DF345,$L$9)),INDEX(PASTE_ALL,$DF345,$L$9),TRIM(SUBSTITUTE(SUBSTITUTE(SUBSTITUTE(SUBSTITUTE(INDEX(PASTE_ALL,$DF345,$L$9)," "," "),CHAR(9)," "),CHAR(10)," "),CHAR(13)," "))),"")))</f>
        <v/>
      </c>
      <c r="DR345">
        <f>IF($DM345=0,"",IF($L$10=0,"",IFERROR(IF(ISNUMBER(INDEX(PASTE_ALL,$DF345,$L$10)),INDEX(PASTE_ALL,$DF345,$L$10),TRIM(SUBSTITUTE(SUBSTITUTE(SUBSTITUTE(SUBSTITUTE(INDEX(PASTE_ALL,$DF345,$L$10)," "," "),CHAR(9)," "),CHAR(10)," "),CHAR(13)," "))),"")))</f>
        <v/>
      </c>
      <c r="DS345">
        <f>IF($DM345=0,"",IF($L$11=0,"",IFERROR(IF(ISNUMBER(INDEX(PASTE_ALL,$DF345,$L$11)),INDEX(PASTE_ALL,$DF345,$L$11),TRIM(SUBSTITUTE(SUBSTITUTE(SUBSTITUTE(SUBSTITUTE(INDEX(PASTE_ALL,$DF345,$L$11)," "," "),CHAR(9)," "),CHAR(10)," "),CHAR(13)," "))),"")))</f>
        <v/>
      </c>
      <c r="DT345">
        <f>IF($DM345=0,"",IF($L$12=0,"",IFERROR(IF(ISNUMBER(INDEX(PASTE_ALL,$DF345,$L$12)),INDEX(PASTE_ALL,$DF345,$L$12),TRIM(SUBSTITUTE(SUBSTITUTE(SUBSTITUTE(SUBSTITUTE(INDEX(PASTE_ALL,$DF345,$L$12)," "," "),CHAR(9)," "),CHAR(10)," "),CHAR(13)," "))),"")))</f>
        <v/>
      </c>
      <c r="DU345">
        <f>IF($DM345=0,"",IF($L$13=0,"",IFERROR(IF(ISNUMBER(INDEX(PASTE_ALL,$DF345,$L$13)),INDEX(PASTE_ALL,$DF345,$L$13),TRIM(SUBSTITUTE(SUBSTITUTE(SUBSTITUTE(SUBSTITUTE(INDEX(PASTE_ALL,$DF345,$L$13)," "," "),CHAR(9)," "),CHAR(10)," "),CHAR(13)," "))),"")))</f>
        <v/>
      </c>
      <c r="DV345">
        <f>IF($DM345=0,"",IF($L$14=0,"",IFERROR(IF(ISNUMBER(INDEX(PASTE_ALL,$DF345,$L$14)),INDEX(PASTE_ALL,$DF345,$L$14),TRIM(SUBSTITUTE(SUBSTITUTE(SUBSTITUTE(SUBSTITUTE(INDEX(PASTE_ALL,$DF345,$L$14)," "," "),CHAR(9)," "),CHAR(10)," "),CHAR(13)," "))),"")))</f>
        <v/>
      </c>
      <c r="DW345">
        <f>IF($DM345=0,"",IF($L$15=0,"",IFERROR(IF(ISNUMBER(INDEX(PASTE_ALL,$DF345,$L$15)),INDEX(PASTE_ALL,$DF345,$L$15),IF(SUMPRODUCT(--ISNUMBER(FIND({"A","B","C","D","E","F","G","H","I","J","K","L","M","N","O","P","Q","R","S","T","U","V","W","X","Y","Z","0","1","2","3","4","5","6","7","8","9"},UPPER(TRIM(SUBSTITUTE(SUBSTITUTE(SUBSTITUTE(SUBSTITUTE(INDEX(PASTE_ALL,$DF345,$L$15)," "," "),CHAR(9)," "),CHAR(10)," "),CHAR(13)," "))))))&gt;0,TRIM(SUBSTITUTE(SUBSTITUTE(SUBSTITUTE(SUBSTITUTE(INDEX(PASTE_ALL,$DF345,$L$15)," "," "),CHAR(9)," "),CHAR(10)," "),CHAR(13)," ")),"")),"")))</f>
        <v/>
      </c>
      <c r="DX345">
        <f>IF($DM345=0,"",IF($L$16=0,"",IFERROR(IF(ISNUMBER(INDEX(PASTE_ALL,$DF345,$L$16)),INDEX(PASTE_ALL,$DF345,$L$16),SUBSTITUTE(SUBSTITUTE(TRIM(SUBSTITUTE(SUBSTITUTE(SUBSTITUTE(SUBSTITUTE(INDEX(PASTE_ALL,$DF345,$L$16)," "," "),CHAR(9)," "),CHAR(10)," "),CHAR(13)," ")),",",""),"%","")),"")))</f>
        <v/>
      </c>
      <c r="DY345">
        <f>IF($DM345=0,"",IFERROR(IF(ISNUMBER($DX345),$DX345,IF($DX345="","",IF(TRIM($DX345)="",0,IF(AND(AND(SUBSTITUTE(SUBSTITUTE(SUBSTITUTE(SUBSTITUTE(SUBSTITUTE(SUBSTITUTE(SUBSTITUTE(SUBSTITUTE(SUBSTITUTE(SUBSTITUTE(SUBSTITUTE(SUBSTITUTE(SUBSTITUTE(SUBSTITUTE(UPPER(TRIM($DX345)),"0",""),"1",""),"2",""),"3",""),"4",""),"5",""),"6",""),"7",""),"8",""),"9",""),".",""),"+",""),"-",""),"E","")="",LEN(SUBSTITUTE(SUBSTITUTE(MID(UPPER(TRIM($DX345)),1+OR(LEFT(UPPER(TRIM($DX345)),1)="+",LEFT(UPPER(TRIM($DX345)),1)="-"),999),"E+","E"),"E-","E"))=LEN(SUBSTITUTE(SUBSTITUTE(SUBSTITUTE(SUBSTITUTE(MID(UPPER(TRIM($DX345)),1+OR(LEFT(UPPER(TRIM($DX345)),1)="+",LEFT(UPPER(TRIM($DX345)),1)="-"),999),"E+","E"),"E-","E"),"+",""),"-","")),LEN(UPPER(TRIM($DX345)))-LEN(SUBSTITUTE(UPPER(TRIM($DX345)),"E",""))&lt;2,LEN(UPPER(TRIM($DX345)))-LEN(SUBSTITUTE(UPPER(TRIM($DX345)),".",""))&lt;2,IFERROR(FIND(".",UPPER(TRIM($DX345))),0)&lt;IFERROR(FIND("E",UPPER(TRIM($DX345))),999)),ISNUMBER(VALUE(TRIM($DX345)))),VALUE(TRIM($DX345)),"")))),""))</f>
        <v/>
      </c>
      <c r="DZ345">
        <f>IF($DM345=0,"",IF($L$17=0,"",IFERROR(IF(ISNUMBER(INDEX(PASTE_ALL,$DF345,$L$17)),INDEX(PASTE_ALL,$DF345,$L$17),SUBSTITUTE(SUBSTITUTE(TRIM(SUBSTITUTE(SUBSTITUTE(SUBSTITUTE(SUBSTITUTE(INDEX(PASTE_ALL,$DF345,$L$17)," "," "),CHAR(9)," "),CHAR(10)," "),CHAR(13)," ")),",",""),"%","")),"")))</f>
        <v/>
      </c>
      <c r="EA345">
        <f>IF($DM345=0,"",IFERROR(IF(ISNUMBER($DZ345),$DZ345,IF($DZ345="","",IF(TRIM($DZ345)="",0,IF(AND(AND(SUBSTITUTE(SUBSTITUTE(SUBSTITUTE(SUBSTITUTE(SUBSTITUTE(SUBSTITUTE(SUBSTITUTE(SUBSTITUTE(SUBSTITUTE(SUBSTITUTE(SUBSTITUTE(SUBSTITUTE(SUBSTITUTE(SUBSTITUTE(UPPER(TRIM($DZ345)),"0",""),"1",""),"2",""),"3",""),"4",""),"5",""),"6",""),"7",""),"8",""),"9",""),".",""),"+",""),"-",""),"E","")="",LEN(SUBSTITUTE(SUBSTITUTE(MID(UPPER(TRIM($DZ345)),1+OR(LEFT(UPPER(TRIM($DZ345)),1)="+",LEFT(UPPER(TRIM($DZ345)),1)="-"),999),"E+","E"),"E-","E"))=LEN(SUBSTITUTE(SUBSTITUTE(SUBSTITUTE(SUBSTITUTE(MID(UPPER(TRIM($DZ345)),1+OR(LEFT(UPPER(TRIM($DZ345)),1)="+",LEFT(UPPER(TRIM($DZ345)),1)="-"),999),"E+","E"),"E-","E"),"+",""),"-","")),LEN(UPPER(TRIM($DZ345)))-LEN(SUBSTITUTE(UPPER(TRIM($DZ345)),"E",""))&lt;2,LEN(UPPER(TRIM($DZ345)))-LEN(SUBSTITUTE(UPPER(TRIM($DZ345)),".",""))&lt;2,IFERROR(FIND(".",UPPER(TRIM($DZ345))),0)&lt;IFERROR(FIND("E",UPPER(TRIM($DZ345))),999)),ISNUMBER(VALUE(TRIM($DZ345)))),VALUE(TRIM($DZ345)),"")))),""))</f>
        <v/>
      </c>
      <c r="EB345">
        <f>IF($DM345=0,"",IF($L$18=0,"",IFERROR(IF(UPPER(TRIM(SUBSTITUTE(SUBSTITUTE(SUBSTITUTE(SUBSTITUTE(INDEX(PASTE_ALL,$DF345,$L$18)," "," "),CHAR(9)," "),CHAR(10)," "),CHAR(13)," ")))="READY","Ready",IF(UPPER(TRIM(SUBSTITUTE(SUBSTITUTE(SUBSTITUTE(SUBSTITUTE(INDEX(PASTE_ALL,$DF345,$L$18)," "," "),CHAR(9)," "),CHAR(10)," "),CHAR(13)," ")))="PM","PM",IF(OR(UPPER(TRIM(SUBSTITUTE(SUBSTITUTE(SUBSTITUTE(SUBSTITUTE(INDEX(PASTE_ALL,$DF345,$L$18)," "," "),CHAR(9)," "),CHAR(10)," "),CHAR(13)," ")))="OT",UPPER(TRIM(SUBSTITUTE(SUBSTITUTE(SUBSTITUTE(SUBSTITUTE(INDEX(PASTE_ALL,$DF345,$L$18)," "," "),CHAR(9)," "),CHAR(10)," "),CHAR(13)," ")))="OVERTIME",UPPER(TRIM(SUBSTITUTE(SUBSTITUTE(SUBSTITUTE(SUBSTITUTE(INDEX(PASTE_ALL,$DF345,$L$18)," "," "),CHAR(9)," "),CHAR(10)," "),CHAR(13)," ")))="TRIAL"),"OT",TRIM(SUBSTITUTE(SUBSTITUTE(SUBSTITUTE(SUBSTITUTE(INDEX(PASTE_ALL,$DF345,$L$18)," "," "),CHAR(9)," "),CHAR(10)," "),CHAR(13)," "))))),"")))</f>
        <v/>
      </c>
      <c r="EC345">
        <f>IF($DM345=0,"",IF($L$19=0,"",IFERROR(IF(ISNUMBER(INDEX(PASTE_ALL,$DF345,$L$19)),INDEX(PASTE_ALL,$DF345,$L$19),TRIM(SUBSTITUTE(SUBSTITUTE(SUBSTITUTE(SUBSTITUTE(INDEX(PASTE_ALL,$DF345,$L$19)," "," "),CHAR(9)," "),CHAR(10)," "),CHAR(13)," "))),"")))</f>
        <v/>
      </c>
      <c r="ED345">
        <f>IF($DM345=0,"",MATCH(1,INDEX(EXACT($DH$5:DH345,$DH345)*$DM$5:DM345,0),0))</f>
        <v/>
      </c>
      <c r="EE345">
        <f>IF($DM345=0,0,IF($ED345=$DE345,1,0))</f>
        <v/>
      </c>
      <c r="EF345">
        <f>EF344+$EE345</f>
        <v/>
      </c>
      <c r="EG345">
        <f>IF($DM345=0,"",INDEX($EF$5:$EF$1003,$ED345))</f>
        <v/>
      </c>
      <c r="EH345">
        <f>IF($DM345=0,"",IF($DO345&lt;&gt;"","",IFERROR(LOOKUP(2,1/(($EG$4:EG344=$EG345)*($DO$4:DO344&lt;&gt;"")),$DO$4:DO344),"")))</f>
        <v/>
      </c>
      <c r="EI345">
        <f>IF($DM345=0,"",IF($DO345&lt;&gt;"",$DO345,$EH345))</f>
        <v/>
      </c>
      <c r="EJ345">
        <f>IF($DM345=0,"",IF($EI345="",0,IF(OR(ISNUMBER($EI345),AND(AND(SUBSTITUTE(SUBSTITUTE(SUBSTITUTE(SUBSTITUTE(SUBSTITUTE(SUBSTITUTE(SUBSTITUTE(SUBSTITUTE(SUBSTITUTE(SUBSTITUTE(SUBSTITUTE(SUBSTITUTE(SUBSTITUTE(SUBSTITUTE(UPPER($EI345),"0",""),"1",""),"2",""),"3",""),"4",""),"5",""),"6",""),"7",""),"8",""),"9",""),".",""),"+",""),"-",""),"E","")="",LEN(SUBSTITUTE(SUBSTITUTE(MID(UPPER($EI345),1+OR(LEFT(UPPER($EI345),1)="+",LEFT(UPPER($EI345),1)="-"),999),"E+","E"),"E-","E"))=LEN(SUBSTITUTE(SUBSTITUTE(SUBSTITUTE(SUBSTITUTE(MID(UPPER($EI345),1+OR(LEFT(UPPER($EI345),1)="+",LEFT(UPPER($EI345),1)="-"),999),"E+","E"),"E-","E"),"+",""),"-","")),LEN(UPPER($EI345))-LEN(SUBSTITUTE(UPPER($EI345),"E",""))&lt;2,LEN(UPPER($EI345))-LEN(SUBSTITUTE(UPPER($EI345),".",""))&lt;2,IFERROR(FIND(".",UPPER($EI345)),0)&lt;IFERROR(FIND("E",UPPER($EI345)),999)),ISNUMBER(VALUE($EI345)))),1,2)))</f>
        <v/>
      </c>
      <c r="EK345">
        <f>IF($DM345=0,"",IF($EJ345=1,IF(ISNUMBER($EI345),$EI345,VALUE($EI345)),IF($EJ345=2,$DE345,0)))</f>
        <v/>
      </c>
      <c r="EL345">
        <f>IF($DM345=0,"",COUNTIF($EG$5:$EG$1003,"&lt;"&amp;$EG345)+SUMPRODUCT(($EG$5:$EG$1003=$EG345)*(($EJ$5:$EJ$1003&lt;$EJ345)+($EJ$5:$EJ$1003=$EJ345)*(($EK$5:$EK$1003&lt;$EK345)+($EK$5:$EK$1003=$EK345)*($DE$5:$DE$1003&lt;$DE345))))+1)</f>
        <v/>
      </c>
      <c r="EM345">
        <f>IF($DM345=0,"",$EL345+$EG345-1)</f>
        <v/>
      </c>
      <c r="EN345">
        <f>IF($DM345=0,0,IFERROR(MATCH(1,INDEX(--(TRIM(SUBSTITUTE(SUBSTITUTE(SUBSTITUTE(SUBSTITUTE(LINES_NAME&amp;""," "," "),CHAR(9)," "),CHAR(10)," "),CHAR(13)," "))=$DH345),0),0),0))</f>
        <v/>
      </c>
      <c r="EO345">
        <f>IF($EN345=0,0,IF(OR(UPPER(TRIM(INDEX(LINES_SCHEDULED,$EN345)&amp;""))="YES",UPPER(TRIM(INDEX(LINES_SCHEDULED,$EN345)&amp;""))="Y",UPPER(TRIM(INDEX(LINES_SCHEDULED,$EN345)&amp;""))="X"),1,0))</f>
        <v/>
      </c>
      <c r="EP345">
        <f>IF($DM345=0,"",IF(COUNTIFS($EG$5:$EG$1003,$EG345,$EB$5:$EB$1003,"Ready")&gt;0,"READY",IF(COUNTIFS($EG$5:$EG$1003,$EG345,$EB$5:$EB$1003,"PM")&gt;0,"PM",IF(COUNTIFS($EG$5:$EG$1003,$EG345,$EB$5:$EB$1003,"OT")&gt;0,"OT",""))))</f>
        <v/>
      </c>
      <c r="EQ345">
        <f>IF($EN345=0,"",UPPER(TRIM(INDEX(LINES_STATUS,$EN345)&amp;"")))</f>
        <v/>
      </c>
      <c r="ER345">
        <f>IF($DM345=0,"",IF(OR($EQ345="READY",$EQ345="PM",$EQ345="OT"),$EQ345,$EP345))</f>
        <v/>
      </c>
      <c r="ES345">
        <f>IF($DM345=0,"",IF(AND($DV345&lt;&gt;"",UPPER($DV345)&lt;&gt;"N"),"allergen",IF(ISNUMBER(SEARCH("oil",$DQ345)),"oil",IF(OR(EXACT($DS345,"A662"),EXACT($DS345,"A624")),"bulk",""))))</f>
        <v/>
      </c>
      <c r="ET345">
        <f>IF($DM345=0,"",IF(OR($EA345="",$EA345=0),"",$EA345/100))</f>
        <v/>
      </c>
      <c r="EU345">
        <f>IF(OR($ET345="",$DY345=""),"",INT($DY345*(1-$ET345)+0.5))</f>
        <v/>
      </c>
      <c r="EW345" t="n">
        <v>341</v>
      </c>
      <c r="EX345">
        <f>IFERROR(MATCH($EW345,$EM$5:$EM$1003,0),0)</f>
        <v/>
      </c>
      <c r="EY345">
        <f>IF($EW345&gt;$B$12,"",IF($EX345&gt;0,"row","spacer"))</f>
        <v/>
      </c>
      <c r="EZ345">
        <f>IF(AND($EY345="row",$EY344&lt;&gt;"row"),1,0)</f>
        <v/>
      </c>
      <c r="FA345">
        <f>IF(AND($EY345="row",$EY346&lt;&gt;"row"),1,0)</f>
        <v/>
      </c>
      <c r="FB345">
        <f>IF($EZ345=1,IFERROR(IF(ISNUMBER(INDEX(PASTE_ALL,INDEX($DF$5:$DF$1003,$EX345),$B$37)),INDEX(PASTE_ALL,INDEX($DF$5:$DF$1003,$EX345),$B$37),INDEX($DH$5:$DH$1003,$EX345)),INDEX($DH$5:$DH$1003,$EX345)),"")</f>
        <v/>
      </c>
      <c r="FC345">
        <f>IF($EY345="row",INDEX($ER$5:$ER$1003,$EX345),"")</f>
        <v/>
      </c>
      <c r="FD345">
        <f>IF($EY345="row",INDEX($DN$5:$DN$1003,$EX345),"")</f>
        <v/>
      </c>
      <c r="FE345">
        <f>IF($EY345="row",INDEX($DO$5:$DO$1003,$EX345),"")</f>
        <v/>
      </c>
      <c r="FF345">
        <f>IF($EY345="row",INDEX($DP$5:$DP$1003,$EX345),"")</f>
        <v/>
      </c>
      <c r="FG345">
        <f>IF($EY345="row",INDEX($DQ$5:$DQ$1003,$EX345),"")</f>
        <v/>
      </c>
      <c r="FH345">
        <f>IF($EY345="row",INDEX($DR$5:$DR$1003,$EX345),"")</f>
        <v/>
      </c>
      <c r="FI345">
        <f>IF($EY345="row",INDEX($DS$5:$DS$1003,$EX345),"")</f>
        <v/>
      </c>
      <c r="FJ345">
        <f>IF($EY345="row",INDEX($DT$5:$DT$1003,$EX345),"")</f>
        <v/>
      </c>
      <c r="FK345">
        <f>IF($EY345="row",INDEX($DU$5:$DU$1003,$EX345),"")</f>
        <v/>
      </c>
      <c r="FL345">
        <f>IF($EY345="row",INDEX($DV$5:$DV$1003,$EX345),"")</f>
        <v/>
      </c>
      <c r="FM345">
        <f>IF($EY345="row",INDEX($DW$5:$DW$1003,$EX345),"")</f>
        <v/>
      </c>
      <c r="FN345">
        <f>IF($EY345="row",INDEX($DY$5:$DY$1003,$EX345),"")</f>
        <v/>
      </c>
      <c r="FO345">
        <f>IF($EY345="row",INDEX($EA$5:$EA$1003,$EX345),"")</f>
        <v/>
      </c>
      <c r="FP345">
        <f>IF($EY345="row",INDEX($EC$5:$EC$1003,$EX345),"")</f>
        <v/>
      </c>
      <c r="FQ345">
        <f>IF($EY345="row",INDEX($ET$5:$ET$1003,$EX345),"")</f>
        <v/>
      </c>
      <c r="FR345">
        <f>IF($EY345="row",INDEX($EU$5:$EU$1003,$EX345),"")</f>
        <v/>
      </c>
      <c r="FS345">
        <f>IF(AND($EY345="row",$EY344="row"),IF(OR(INDEX($DT$5:$DT$1003,$EX344)="",INDEX($DT$5:$DT$1003,$EX345)=""),"",IF(NOT(EXACT(INDEX($DT$5:$DT$1003,$EX344),INDEX($DT$5:$DT$1003,$EX345))),"S4",IF(NOT(EXACT(INDEX($DS$5:$DS$1003,$EX344),INDEX($DS$5:$DS$1003,$EX345))),"S3",IF(NOT(EXACT(INDEX($DR$5:$DR$1003,$EX344),INDEX($DR$5:$DR$1003,$EX345))),"S1 Count Change","S1")))),"")</f>
        <v/>
      </c>
      <c r="FT345">
        <f>IF($EY345="row",INDEX($ES$5:$ES$1003,$EX345),"")</f>
        <v/>
      </c>
      <c r="FU345">
        <f>IF($EY345="row",INDEX($EO$5:$EO$1003,$EX345),0)</f>
        <v/>
      </c>
      <c r="FV345">
        <f>IF($FS345="S1 Count Change",1,0)</f>
        <v/>
      </c>
    </row>
    <row r="346">
      <c r="DA346" t="n">
        <v>342</v>
      </c>
      <c r="DB346">
        <f>IF($B$37=0,"",IFERROR(TRIM(SUBSTITUTE(SUBSTITUTE(SUBSTITUTE(SUBSTITUTE(INDEX(PASTE_ALL,342,$B$37)," "," "),CHAR(9)," "),CHAR(10)," "),CHAR(13)," ")),""))</f>
        <v/>
      </c>
      <c r="DC346">
        <f>IF(AND(342&gt;HEADER_ROW,UPPER(DB346)="LEGEND"),1,0)</f>
        <v/>
      </c>
      <c r="DE346" t="n">
        <v>342</v>
      </c>
      <c r="DF346">
        <f>HEADER_ROW+$DE346</f>
        <v/>
      </c>
      <c r="DG346">
        <f>IF(AND($DF346&lt;=1000,$DF346&lt;$B$8),1,0)</f>
        <v/>
      </c>
      <c r="DH346">
        <f>IF($DG346=1,IFERROR(INDEX($DB$5:$DB$1004,$DF346),""),"")</f>
        <v/>
      </c>
      <c r="DI346">
        <f>IF(AND($DG346=1,$DH346&lt;&gt;""),IFERROR(SUBSTITUTE(SUBSTITUTE(TRIM(SUBSTITUTE(SUBSTITUTE(SUBSTITUTE(SUBSTITUTE(IFERROR(INDEX(PASTE_ALL,$DF346,1)&amp;"","")&amp;"␟"&amp;IFERROR(INDEX(PASTE_ALL,$DF346,2)&amp;"","")&amp;"␟"&amp;IFERROR(INDEX(PASTE_ALL,$DF346,3)&amp;"","")&amp;"␟"&amp;IFERROR(INDEX(PASTE_ALL,$DF346,4)&amp;"","")&amp;"␟"&amp;IFERROR(INDEX(PASTE_ALL,$DF346,5)&amp;"","")&amp;"␟"&amp;IFERROR(INDEX(PASTE_ALL,$DF346,6)&amp;"","")&amp;"␟"&amp;IFERROR(INDEX(PASTE_ALL,$DF346,7)&amp;"","")&amp;"␟"&amp;IFERROR(INDEX(PASTE_ALL,$DF346,8)&amp;"","")&amp;"␟"&amp;IFERROR(INDEX(PASTE_ALL,$DF346,9)&amp;"","")&amp;"␟"&amp;IFERROR(INDEX(PASTE_ALL,$DF346,10)&amp;"","")&amp;"␟"&amp;IFERROR(INDEX(PASTE_ALL,$DF346,11)&amp;"","")&amp;"␟"&amp;IFERROR(INDEX(PASTE_ALL,$DF346,12)&amp;"","")&amp;"␟"&amp;IFERROR(INDEX(PASTE_ALL,$DF346,13)&amp;"","")&amp;"␟"&amp;IFERROR(INDEX(PASTE_ALL,$DF346,14)&amp;"","")&amp;"␟"&amp;IFERROR(INDEX(PASTE_ALL,$DF346,15)&amp;"","")&amp;"␟"&amp;IFERROR(INDEX(PASTE_ALL,$DF346,16)&amp;"","")&amp;"␟"&amp;IFERROR(INDEX(PASTE_ALL,$DF346,17)&amp;"","")&amp;"␟"&amp;IFERROR(INDEX(PASTE_ALL,$DF346,18)&amp;"","")&amp;"␟"&amp;IFERROR(INDEX(PASTE_ALL,$DF346,19)&amp;"","")&amp;"␟"&amp;IFERROR(INDEX(PASTE_ALL,$DF346,20)&amp;"","")&amp;"␟"&amp;IFERROR(INDEX(PASTE_ALL,$DF346,21)&amp;"","")&amp;"␟"&amp;IFERROR(INDEX(PASTE_ALL,$DF346,22)&amp;"","")&amp;"␟"&amp;IFERROR(INDEX(PASTE_ALL,$DF346,23)&amp;"","")&amp;"␟"&amp;IFERROR(INDEX(PASTE_ALL,$DF346,24)&amp;"","")&amp;"␟"&amp;IFERROR(INDEX(PASTE_ALL,$DF346,25)&amp;"","")&amp;"␟"&amp;IFERROR(INDEX(PASTE_ALL,$DF346,26)&amp;"","")&amp;"␟"&amp;IFERROR(INDEX(PASTE_ALL,$DF346,27)&amp;"","")&amp;"␟"&amp;IFERROR(INDEX(PASTE_ALL,$DF346,28)&amp;"","")&amp;"␟"&amp;IFERROR(INDEX(PASTE_ALL,$DF346,29)&amp;"","")&amp;"␟"&amp;IFERROR(INDEX(PASTE_ALL,$DF346,30)&amp;"","")&amp;"␟"&amp;IFERROR(INDEX(PASTE_ALL,$DF346,31)&amp;"","")&amp;"␟"&amp;IFERROR(INDEX(PASTE_ALL,$DF346,32)&amp;"","")&amp;"␟"&amp;IFERROR(INDEX(PASTE_ALL,$DF346,33)&amp;"","")&amp;"␟"&amp;IFERROR(INDEX(PASTE_ALL,$DF346,34)&amp;"","")&amp;"␟"&amp;IFERROR(INDEX(PASTE_ALL,$DF346,35)&amp;"","")&amp;"␟"&amp;IFERROR(INDEX(PASTE_ALL,$DF346,36)&amp;"","")&amp;"␟"&amp;IFERROR(INDEX(PASTE_ALL,$DF346,37)&amp;"","")&amp;"␟"&amp;IFERROR(INDEX(PASTE_ALL,$DF346,38)&amp;"","")&amp;"␟"&amp;IFERROR(INDEX(PASTE_ALL,$DF346,39)&amp;"","")&amp;"␟"&amp;IFERROR(INDEX(PASTE_ALL,$DF346,40)&amp;"","")&amp;"␟"&amp;IFERROR(INDEX(PASTE_ALL,$DF346,41)&amp;"","")&amp;"␟"&amp;IFERROR(INDEX(PASTE_ALL,$DF346,42)&amp;"","")&amp;"␟"&amp;IFERROR(INDEX(PASTE_ALL,$DF346,43)&amp;"","")&amp;"␟"&amp;IFERROR(INDEX(PASTE_ALL,$DF346,44)&amp;"","")&amp;"␟"&amp;IFERROR(INDEX(PASTE_ALL,$DF346,45)&amp;"","")&amp;"␟"&amp;IFERROR(INDEX(PASTE_ALL,$DF346,46)&amp;"","")&amp;"␟"&amp;IFERROR(INDEX(PASTE_ALL,$DF346,47)&amp;"","")&amp;"␟"&amp;IFERROR(INDEX(PASTE_ALL,$DF346,48)&amp;"","")&amp;"␟"&amp;IFERROR(INDEX(PASTE_ALL,$DF346,49)&amp;"","")&amp;"␟"&amp;IFERROR(INDEX(PASTE_ALL,$DF346,50)&amp;"","")&amp;"␟"&amp;IFERROR(INDEX(PASTE_ALL,$DF346,51)&amp;"","")&amp;"␟"&amp;IFERROR(INDEX(PASTE_ALL,$DF346,52)&amp;"","")&amp;"␟"&amp;IFERROR(INDEX(PASTE_ALL,$DF346,53)&amp;"","")&amp;"␟"&amp;IFERROR(INDEX(PASTE_ALL,$DF346,54)&amp;"","")&amp;"␟"&amp;IFERROR(INDEX(PASTE_ALL,$DF346,55)&amp;"","")&amp;"␟"&amp;IFERROR(INDEX(PASTE_ALL,$DF346,56)&amp;"","")&amp;"␟"&amp;IFERROR(INDEX(PASTE_ALL,$DF346,57)&amp;"","")&amp;"␟"&amp;IFERROR(INDEX(PASTE_ALL,$DF346,58)&amp;"","")&amp;"␟"&amp;IFERROR(INDEX(PASTE_ALL,$DF346,59)&amp;"","")&amp;"␟"&amp;IFERROR(INDEX(PASTE_ALL,$DF346,60)&amp;"","")," "," "),CHAR(9)," "),CHAR(10)," "),CHAR(13)," "))," ␟","␟"),"␟ ","␟"),"#"&amp;$DE346),"")</f>
        <v/>
      </c>
      <c r="DJ346">
        <f>IF($DI346="",0,IF(SUMPRODUCT(--EXACT($DI$4:DI345,$DI346))&gt;0,1,0))</f>
        <v/>
      </c>
      <c r="DK346">
        <f>IF(AND($DI346&lt;&gt;"",$DJ346=0),1,0)</f>
        <v/>
      </c>
      <c r="DL346">
        <f>DL345+$DK346</f>
        <v/>
      </c>
      <c r="DM346">
        <f>IF(AND($DK346=1,$DL346&lt;=600),1,0)</f>
        <v/>
      </c>
      <c r="DN346">
        <f>IF($DM346=0,"",IF($L$6=0,"",IFERROR(IF(ISNUMBER(INDEX(PASTE_ALL,$DF346,$L$6)),INDEX(PASTE_ALL,$DF346,$L$6),TRIM(SUBSTITUTE(SUBSTITUTE(SUBSTITUTE(SUBSTITUTE(INDEX(PASTE_ALL,$DF346,$L$6)," "," "),CHAR(9)," "),CHAR(10)," "),CHAR(13)," "))),"")))</f>
        <v/>
      </c>
      <c r="DO346">
        <f>IF($DM346=0,"",IF($L$7=0,"",IFERROR(IF(ISNUMBER(INDEX(PASTE_ALL,$DF346,$L$7)),INDEX(PASTE_ALL,$DF346,$L$7),TRIM(SUBSTITUTE(SUBSTITUTE(SUBSTITUTE(SUBSTITUTE(INDEX(PASTE_ALL,$DF346,$L$7)," "," "),CHAR(9)," "),CHAR(10)," "),CHAR(13)," "))),"")))</f>
        <v/>
      </c>
      <c r="DP346">
        <f>IF($DM346=0,"",IF($L$8=0,"",IFERROR(IF(ISNUMBER(INDEX(PASTE_ALL,$DF346,$L$8)),INDEX(PASTE_ALL,$DF346,$L$8),TRIM(SUBSTITUTE(SUBSTITUTE(SUBSTITUTE(SUBSTITUTE(INDEX(PASTE_ALL,$DF346,$L$8)," "," "),CHAR(9)," "),CHAR(10)," "),CHAR(13)," "))),"")))</f>
        <v/>
      </c>
      <c r="DQ346">
        <f>IF($DM346=0,"",IF($L$9=0,"",IFERROR(IF(ISNUMBER(INDEX(PASTE_ALL,$DF346,$L$9)),INDEX(PASTE_ALL,$DF346,$L$9),TRIM(SUBSTITUTE(SUBSTITUTE(SUBSTITUTE(SUBSTITUTE(INDEX(PASTE_ALL,$DF346,$L$9)," "," "),CHAR(9)," "),CHAR(10)," "),CHAR(13)," "))),"")))</f>
        <v/>
      </c>
      <c r="DR346">
        <f>IF($DM346=0,"",IF($L$10=0,"",IFERROR(IF(ISNUMBER(INDEX(PASTE_ALL,$DF346,$L$10)),INDEX(PASTE_ALL,$DF346,$L$10),TRIM(SUBSTITUTE(SUBSTITUTE(SUBSTITUTE(SUBSTITUTE(INDEX(PASTE_ALL,$DF346,$L$10)," "," "),CHAR(9)," "),CHAR(10)," "),CHAR(13)," "))),"")))</f>
        <v/>
      </c>
      <c r="DS346">
        <f>IF($DM346=0,"",IF($L$11=0,"",IFERROR(IF(ISNUMBER(INDEX(PASTE_ALL,$DF346,$L$11)),INDEX(PASTE_ALL,$DF346,$L$11),TRIM(SUBSTITUTE(SUBSTITUTE(SUBSTITUTE(SUBSTITUTE(INDEX(PASTE_ALL,$DF346,$L$11)," "," "),CHAR(9)," "),CHAR(10)," "),CHAR(13)," "))),"")))</f>
        <v/>
      </c>
      <c r="DT346">
        <f>IF($DM346=0,"",IF($L$12=0,"",IFERROR(IF(ISNUMBER(INDEX(PASTE_ALL,$DF346,$L$12)),INDEX(PASTE_ALL,$DF346,$L$12),TRIM(SUBSTITUTE(SUBSTITUTE(SUBSTITUTE(SUBSTITUTE(INDEX(PASTE_ALL,$DF346,$L$12)," "," "),CHAR(9)," "),CHAR(10)," "),CHAR(13)," "))),"")))</f>
        <v/>
      </c>
      <c r="DU346">
        <f>IF($DM346=0,"",IF($L$13=0,"",IFERROR(IF(ISNUMBER(INDEX(PASTE_ALL,$DF346,$L$13)),INDEX(PASTE_ALL,$DF346,$L$13),TRIM(SUBSTITUTE(SUBSTITUTE(SUBSTITUTE(SUBSTITUTE(INDEX(PASTE_ALL,$DF346,$L$13)," "," "),CHAR(9)," "),CHAR(10)," "),CHAR(13)," "))),"")))</f>
        <v/>
      </c>
      <c r="DV346">
        <f>IF($DM346=0,"",IF($L$14=0,"",IFERROR(IF(ISNUMBER(INDEX(PASTE_ALL,$DF346,$L$14)),INDEX(PASTE_ALL,$DF346,$L$14),TRIM(SUBSTITUTE(SUBSTITUTE(SUBSTITUTE(SUBSTITUTE(INDEX(PASTE_ALL,$DF346,$L$14)," "," "),CHAR(9)," "),CHAR(10)," "),CHAR(13)," "))),"")))</f>
        <v/>
      </c>
      <c r="DW346">
        <f>IF($DM346=0,"",IF($L$15=0,"",IFERROR(IF(ISNUMBER(INDEX(PASTE_ALL,$DF346,$L$15)),INDEX(PASTE_ALL,$DF346,$L$15),IF(SUMPRODUCT(--ISNUMBER(FIND({"A","B","C","D","E","F","G","H","I","J","K","L","M","N","O","P","Q","R","S","T","U","V","W","X","Y","Z","0","1","2","3","4","5","6","7","8","9"},UPPER(TRIM(SUBSTITUTE(SUBSTITUTE(SUBSTITUTE(SUBSTITUTE(INDEX(PASTE_ALL,$DF346,$L$15)," "," "),CHAR(9)," "),CHAR(10)," "),CHAR(13)," "))))))&gt;0,TRIM(SUBSTITUTE(SUBSTITUTE(SUBSTITUTE(SUBSTITUTE(INDEX(PASTE_ALL,$DF346,$L$15)," "," "),CHAR(9)," "),CHAR(10)," "),CHAR(13)," ")),"")),"")))</f>
        <v/>
      </c>
      <c r="DX346">
        <f>IF($DM346=0,"",IF($L$16=0,"",IFERROR(IF(ISNUMBER(INDEX(PASTE_ALL,$DF346,$L$16)),INDEX(PASTE_ALL,$DF346,$L$16),SUBSTITUTE(SUBSTITUTE(TRIM(SUBSTITUTE(SUBSTITUTE(SUBSTITUTE(SUBSTITUTE(INDEX(PASTE_ALL,$DF346,$L$16)," "," "),CHAR(9)," "),CHAR(10)," "),CHAR(13)," ")),",",""),"%","")),"")))</f>
        <v/>
      </c>
      <c r="DY346">
        <f>IF($DM346=0,"",IFERROR(IF(ISNUMBER($DX346),$DX346,IF($DX346="","",IF(TRIM($DX346)="",0,IF(AND(AND(SUBSTITUTE(SUBSTITUTE(SUBSTITUTE(SUBSTITUTE(SUBSTITUTE(SUBSTITUTE(SUBSTITUTE(SUBSTITUTE(SUBSTITUTE(SUBSTITUTE(SUBSTITUTE(SUBSTITUTE(SUBSTITUTE(SUBSTITUTE(UPPER(TRIM($DX346)),"0",""),"1",""),"2",""),"3",""),"4",""),"5",""),"6",""),"7",""),"8",""),"9",""),".",""),"+",""),"-",""),"E","")="",LEN(SUBSTITUTE(SUBSTITUTE(MID(UPPER(TRIM($DX346)),1+OR(LEFT(UPPER(TRIM($DX346)),1)="+",LEFT(UPPER(TRIM($DX346)),1)="-"),999),"E+","E"),"E-","E"))=LEN(SUBSTITUTE(SUBSTITUTE(SUBSTITUTE(SUBSTITUTE(MID(UPPER(TRIM($DX346)),1+OR(LEFT(UPPER(TRIM($DX346)),1)="+",LEFT(UPPER(TRIM($DX346)),1)="-"),999),"E+","E"),"E-","E"),"+",""),"-","")),LEN(UPPER(TRIM($DX346)))-LEN(SUBSTITUTE(UPPER(TRIM($DX346)),"E",""))&lt;2,LEN(UPPER(TRIM($DX346)))-LEN(SUBSTITUTE(UPPER(TRIM($DX346)),".",""))&lt;2,IFERROR(FIND(".",UPPER(TRIM($DX346))),0)&lt;IFERROR(FIND("E",UPPER(TRIM($DX346))),999)),ISNUMBER(VALUE(TRIM($DX346)))),VALUE(TRIM($DX346)),"")))),""))</f>
        <v/>
      </c>
      <c r="DZ346">
        <f>IF($DM346=0,"",IF($L$17=0,"",IFERROR(IF(ISNUMBER(INDEX(PASTE_ALL,$DF346,$L$17)),INDEX(PASTE_ALL,$DF346,$L$17),SUBSTITUTE(SUBSTITUTE(TRIM(SUBSTITUTE(SUBSTITUTE(SUBSTITUTE(SUBSTITUTE(INDEX(PASTE_ALL,$DF346,$L$17)," "," "),CHAR(9)," "),CHAR(10)," "),CHAR(13)," ")),",",""),"%","")),"")))</f>
        <v/>
      </c>
      <c r="EA346">
        <f>IF($DM346=0,"",IFERROR(IF(ISNUMBER($DZ346),$DZ346,IF($DZ346="","",IF(TRIM($DZ346)="",0,IF(AND(AND(SUBSTITUTE(SUBSTITUTE(SUBSTITUTE(SUBSTITUTE(SUBSTITUTE(SUBSTITUTE(SUBSTITUTE(SUBSTITUTE(SUBSTITUTE(SUBSTITUTE(SUBSTITUTE(SUBSTITUTE(SUBSTITUTE(SUBSTITUTE(UPPER(TRIM($DZ346)),"0",""),"1",""),"2",""),"3",""),"4",""),"5",""),"6",""),"7",""),"8",""),"9",""),".",""),"+",""),"-",""),"E","")="",LEN(SUBSTITUTE(SUBSTITUTE(MID(UPPER(TRIM($DZ346)),1+OR(LEFT(UPPER(TRIM($DZ346)),1)="+",LEFT(UPPER(TRIM($DZ346)),1)="-"),999),"E+","E"),"E-","E"))=LEN(SUBSTITUTE(SUBSTITUTE(SUBSTITUTE(SUBSTITUTE(MID(UPPER(TRIM($DZ346)),1+OR(LEFT(UPPER(TRIM($DZ346)),1)="+",LEFT(UPPER(TRIM($DZ346)),1)="-"),999),"E+","E"),"E-","E"),"+",""),"-","")),LEN(UPPER(TRIM($DZ346)))-LEN(SUBSTITUTE(UPPER(TRIM($DZ346)),"E",""))&lt;2,LEN(UPPER(TRIM($DZ346)))-LEN(SUBSTITUTE(UPPER(TRIM($DZ346)),".",""))&lt;2,IFERROR(FIND(".",UPPER(TRIM($DZ346))),0)&lt;IFERROR(FIND("E",UPPER(TRIM($DZ346))),999)),ISNUMBER(VALUE(TRIM($DZ346)))),VALUE(TRIM($DZ346)),"")))),""))</f>
        <v/>
      </c>
      <c r="EB346">
        <f>IF($DM346=0,"",IF($L$18=0,"",IFERROR(IF(UPPER(TRIM(SUBSTITUTE(SUBSTITUTE(SUBSTITUTE(SUBSTITUTE(INDEX(PASTE_ALL,$DF346,$L$18)," "," "),CHAR(9)," "),CHAR(10)," "),CHAR(13)," ")))="READY","Ready",IF(UPPER(TRIM(SUBSTITUTE(SUBSTITUTE(SUBSTITUTE(SUBSTITUTE(INDEX(PASTE_ALL,$DF346,$L$18)," "," "),CHAR(9)," "),CHAR(10)," "),CHAR(13)," ")))="PM","PM",IF(OR(UPPER(TRIM(SUBSTITUTE(SUBSTITUTE(SUBSTITUTE(SUBSTITUTE(INDEX(PASTE_ALL,$DF346,$L$18)," "," "),CHAR(9)," "),CHAR(10)," "),CHAR(13)," ")))="OT",UPPER(TRIM(SUBSTITUTE(SUBSTITUTE(SUBSTITUTE(SUBSTITUTE(INDEX(PASTE_ALL,$DF346,$L$18)," "," "),CHAR(9)," "),CHAR(10)," "),CHAR(13)," ")))="OVERTIME",UPPER(TRIM(SUBSTITUTE(SUBSTITUTE(SUBSTITUTE(SUBSTITUTE(INDEX(PASTE_ALL,$DF346,$L$18)," "," "),CHAR(9)," "),CHAR(10)," "),CHAR(13)," ")))="TRIAL"),"OT",TRIM(SUBSTITUTE(SUBSTITUTE(SUBSTITUTE(SUBSTITUTE(INDEX(PASTE_ALL,$DF346,$L$18)," "," "),CHAR(9)," "),CHAR(10)," "),CHAR(13)," "))))),"")))</f>
        <v/>
      </c>
      <c r="EC346">
        <f>IF($DM346=0,"",IF($L$19=0,"",IFERROR(IF(ISNUMBER(INDEX(PASTE_ALL,$DF346,$L$19)),INDEX(PASTE_ALL,$DF346,$L$19),TRIM(SUBSTITUTE(SUBSTITUTE(SUBSTITUTE(SUBSTITUTE(INDEX(PASTE_ALL,$DF346,$L$19)," "," "),CHAR(9)," "),CHAR(10)," "),CHAR(13)," "))),"")))</f>
        <v/>
      </c>
      <c r="ED346">
        <f>IF($DM346=0,"",MATCH(1,INDEX(EXACT($DH$5:DH346,$DH346)*$DM$5:DM346,0),0))</f>
        <v/>
      </c>
      <c r="EE346">
        <f>IF($DM346=0,0,IF($ED346=$DE346,1,0))</f>
        <v/>
      </c>
      <c r="EF346">
        <f>EF345+$EE346</f>
        <v/>
      </c>
      <c r="EG346">
        <f>IF($DM346=0,"",INDEX($EF$5:$EF$1003,$ED346))</f>
        <v/>
      </c>
      <c r="EH346">
        <f>IF($DM346=0,"",IF($DO346&lt;&gt;"","",IFERROR(LOOKUP(2,1/(($EG$4:EG345=$EG346)*($DO$4:DO345&lt;&gt;"")),$DO$4:DO345),"")))</f>
        <v/>
      </c>
      <c r="EI346">
        <f>IF($DM346=0,"",IF($DO346&lt;&gt;"",$DO346,$EH346))</f>
        <v/>
      </c>
      <c r="EJ346">
        <f>IF($DM346=0,"",IF($EI346="",0,IF(OR(ISNUMBER($EI346),AND(AND(SUBSTITUTE(SUBSTITUTE(SUBSTITUTE(SUBSTITUTE(SUBSTITUTE(SUBSTITUTE(SUBSTITUTE(SUBSTITUTE(SUBSTITUTE(SUBSTITUTE(SUBSTITUTE(SUBSTITUTE(SUBSTITUTE(SUBSTITUTE(UPPER($EI346),"0",""),"1",""),"2",""),"3",""),"4",""),"5",""),"6",""),"7",""),"8",""),"9",""),".",""),"+",""),"-",""),"E","")="",LEN(SUBSTITUTE(SUBSTITUTE(MID(UPPER($EI346),1+OR(LEFT(UPPER($EI346),1)="+",LEFT(UPPER($EI346),1)="-"),999),"E+","E"),"E-","E"))=LEN(SUBSTITUTE(SUBSTITUTE(SUBSTITUTE(SUBSTITUTE(MID(UPPER($EI346),1+OR(LEFT(UPPER($EI346),1)="+",LEFT(UPPER($EI346),1)="-"),999),"E+","E"),"E-","E"),"+",""),"-","")),LEN(UPPER($EI346))-LEN(SUBSTITUTE(UPPER($EI346),"E",""))&lt;2,LEN(UPPER($EI346))-LEN(SUBSTITUTE(UPPER($EI346),".",""))&lt;2,IFERROR(FIND(".",UPPER($EI346)),0)&lt;IFERROR(FIND("E",UPPER($EI346)),999)),ISNUMBER(VALUE($EI346)))),1,2)))</f>
        <v/>
      </c>
      <c r="EK346">
        <f>IF($DM346=0,"",IF($EJ346=1,IF(ISNUMBER($EI346),$EI346,VALUE($EI346)),IF($EJ346=2,$DE346,0)))</f>
        <v/>
      </c>
      <c r="EL346">
        <f>IF($DM346=0,"",COUNTIF($EG$5:$EG$1003,"&lt;"&amp;$EG346)+SUMPRODUCT(($EG$5:$EG$1003=$EG346)*(($EJ$5:$EJ$1003&lt;$EJ346)+($EJ$5:$EJ$1003=$EJ346)*(($EK$5:$EK$1003&lt;$EK346)+($EK$5:$EK$1003=$EK346)*($DE$5:$DE$1003&lt;$DE346))))+1)</f>
        <v/>
      </c>
      <c r="EM346">
        <f>IF($DM346=0,"",$EL346+$EG346-1)</f>
        <v/>
      </c>
      <c r="EN346">
        <f>IF($DM346=0,0,IFERROR(MATCH(1,INDEX(--(TRIM(SUBSTITUTE(SUBSTITUTE(SUBSTITUTE(SUBSTITUTE(LINES_NAME&amp;""," "," "),CHAR(9)," "),CHAR(10)," "),CHAR(13)," "))=$DH346),0),0),0))</f>
        <v/>
      </c>
      <c r="EO346">
        <f>IF($EN346=0,0,IF(OR(UPPER(TRIM(INDEX(LINES_SCHEDULED,$EN346)&amp;""))="YES",UPPER(TRIM(INDEX(LINES_SCHEDULED,$EN346)&amp;""))="Y",UPPER(TRIM(INDEX(LINES_SCHEDULED,$EN346)&amp;""))="X"),1,0))</f>
        <v/>
      </c>
      <c r="EP346">
        <f>IF($DM346=0,"",IF(COUNTIFS($EG$5:$EG$1003,$EG346,$EB$5:$EB$1003,"Ready")&gt;0,"READY",IF(COUNTIFS($EG$5:$EG$1003,$EG346,$EB$5:$EB$1003,"PM")&gt;0,"PM",IF(COUNTIFS($EG$5:$EG$1003,$EG346,$EB$5:$EB$1003,"OT")&gt;0,"OT",""))))</f>
        <v/>
      </c>
      <c r="EQ346">
        <f>IF($EN346=0,"",UPPER(TRIM(INDEX(LINES_STATUS,$EN346)&amp;"")))</f>
        <v/>
      </c>
      <c r="ER346">
        <f>IF($DM346=0,"",IF(OR($EQ346="READY",$EQ346="PM",$EQ346="OT"),$EQ346,$EP346))</f>
        <v/>
      </c>
      <c r="ES346">
        <f>IF($DM346=0,"",IF(AND($DV346&lt;&gt;"",UPPER($DV346)&lt;&gt;"N"),"allergen",IF(ISNUMBER(SEARCH("oil",$DQ346)),"oil",IF(OR(EXACT($DS346,"A662"),EXACT($DS346,"A624")),"bulk",""))))</f>
        <v/>
      </c>
      <c r="ET346">
        <f>IF($DM346=0,"",IF(OR($EA346="",$EA346=0),"",$EA346/100))</f>
        <v/>
      </c>
      <c r="EU346">
        <f>IF(OR($ET346="",$DY346=""),"",INT($DY346*(1-$ET346)+0.5))</f>
        <v/>
      </c>
      <c r="EW346" t="n">
        <v>342</v>
      </c>
      <c r="EX346">
        <f>IFERROR(MATCH($EW346,$EM$5:$EM$1003,0),0)</f>
        <v/>
      </c>
      <c r="EY346">
        <f>IF($EW346&gt;$B$12,"",IF($EX346&gt;0,"row","spacer"))</f>
        <v/>
      </c>
      <c r="EZ346">
        <f>IF(AND($EY346="row",$EY345&lt;&gt;"row"),1,0)</f>
        <v/>
      </c>
      <c r="FA346">
        <f>IF(AND($EY346="row",$EY347&lt;&gt;"row"),1,0)</f>
        <v/>
      </c>
      <c r="FB346">
        <f>IF($EZ346=1,IFERROR(IF(ISNUMBER(INDEX(PASTE_ALL,INDEX($DF$5:$DF$1003,$EX346),$B$37)),INDEX(PASTE_ALL,INDEX($DF$5:$DF$1003,$EX346),$B$37),INDEX($DH$5:$DH$1003,$EX346)),INDEX($DH$5:$DH$1003,$EX346)),"")</f>
        <v/>
      </c>
      <c r="FC346">
        <f>IF($EY346="row",INDEX($ER$5:$ER$1003,$EX346),"")</f>
        <v/>
      </c>
      <c r="FD346">
        <f>IF($EY346="row",INDEX($DN$5:$DN$1003,$EX346),"")</f>
        <v/>
      </c>
      <c r="FE346">
        <f>IF($EY346="row",INDEX($DO$5:$DO$1003,$EX346),"")</f>
        <v/>
      </c>
      <c r="FF346">
        <f>IF($EY346="row",INDEX($DP$5:$DP$1003,$EX346),"")</f>
        <v/>
      </c>
      <c r="FG346">
        <f>IF($EY346="row",INDEX($DQ$5:$DQ$1003,$EX346),"")</f>
        <v/>
      </c>
      <c r="FH346">
        <f>IF($EY346="row",INDEX($DR$5:$DR$1003,$EX346),"")</f>
        <v/>
      </c>
      <c r="FI346">
        <f>IF($EY346="row",INDEX($DS$5:$DS$1003,$EX346),"")</f>
        <v/>
      </c>
      <c r="FJ346">
        <f>IF($EY346="row",INDEX($DT$5:$DT$1003,$EX346),"")</f>
        <v/>
      </c>
      <c r="FK346">
        <f>IF($EY346="row",INDEX($DU$5:$DU$1003,$EX346),"")</f>
        <v/>
      </c>
      <c r="FL346">
        <f>IF($EY346="row",INDEX($DV$5:$DV$1003,$EX346),"")</f>
        <v/>
      </c>
      <c r="FM346">
        <f>IF($EY346="row",INDEX($DW$5:$DW$1003,$EX346),"")</f>
        <v/>
      </c>
      <c r="FN346">
        <f>IF($EY346="row",INDEX($DY$5:$DY$1003,$EX346),"")</f>
        <v/>
      </c>
      <c r="FO346">
        <f>IF($EY346="row",INDEX($EA$5:$EA$1003,$EX346),"")</f>
        <v/>
      </c>
      <c r="FP346">
        <f>IF($EY346="row",INDEX($EC$5:$EC$1003,$EX346),"")</f>
        <v/>
      </c>
      <c r="FQ346">
        <f>IF($EY346="row",INDEX($ET$5:$ET$1003,$EX346),"")</f>
        <v/>
      </c>
      <c r="FR346">
        <f>IF($EY346="row",INDEX($EU$5:$EU$1003,$EX346),"")</f>
        <v/>
      </c>
      <c r="FS346">
        <f>IF(AND($EY346="row",$EY345="row"),IF(OR(INDEX($DT$5:$DT$1003,$EX345)="",INDEX($DT$5:$DT$1003,$EX346)=""),"",IF(NOT(EXACT(INDEX($DT$5:$DT$1003,$EX345),INDEX($DT$5:$DT$1003,$EX346))),"S4",IF(NOT(EXACT(INDEX($DS$5:$DS$1003,$EX345),INDEX($DS$5:$DS$1003,$EX346))),"S3",IF(NOT(EXACT(INDEX($DR$5:$DR$1003,$EX345),INDEX($DR$5:$DR$1003,$EX346))),"S1 Count Change","S1")))),"")</f>
        <v/>
      </c>
      <c r="FT346">
        <f>IF($EY346="row",INDEX($ES$5:$ES$1003,$EX346),"")</f>
        <v/>
      </c>
      <c r="FU346">
        <f>IF($EY346="row",INDEX($EO$5:$EO$1003,$EX346),0)</f>
        <v/>
      </c>
      <c r="FV346">
        <f>IF($FS346="S1 Count Change",1,0)</f>
        <v/>
      </c>
    </row>
    <row r="347">
      <c r="DA347" t="n">
        <v>343</v>
      </c>
      <c r="DB347">
        <f>IF($B$37=0,"",IFERROR(TRIM(SUBSTITUTE(SUBSTITUTE(SUBSTITUTE(SUBSTITUTE(INDEX(PASTE_ALL,343,$B$37)," "," "),CHAR(9)," "),CHAR(10)," "),CHAR(13)," ")),""))</f>
        <v/>
      </c>
      <c r="DC347">
        <f>IF(AND(343&gt;HEADER_ROW,UPPER(DB347)="LEGEND"),1,0)</f>
        <v/>
      </c>
      <c r="DE347" t="n">
        <v>343</v>
      </c>
      <c r="DF347">
        <f>HEADER_ROW+$DE347</f>
        <v/>
      </c>
      <c r="DG347">
        <f>IF(AND($DF347&lt;=1000,$DF347&lt;$B$8),1,0)</f>
        <v/>
      </c>
      <c r="DH347">
        <f>IF($DG347=1,IFERROR(INDEX($DB$5:$DB$1004,$DF347),""),"")</f>
        <v/>
      </c>
      <c r="DI347">
        <f>IF(AND($DG347=1,$DH347&lt;&gt;""),IFERROR(SUBSTITUTE(SUBSTITUTE(TRIM(SUBSTITUTE(SUBSTITUTE(SUBSTITUTE(SUBSTITUTE(IFERROR(INDEX(PASTE_ALL,$DF347,1)&amp;"","")&amp;"␟"&amp;IFERROR(INDEX(PASTE_ALL,$DF347,2)&amp;"","")&amp;"␟"&amp;IFERROR(INDEX(PASTE_ALL,$DF347,3)&amp;"","")&amp;"␟"&amp;IFERROR(INDEX(PASTE_ALL,$DF347,4)&amp;"","")&amp;"␟"&amp;IFERROR(INDEX(PASTE_ALL,$DF347,5)&amp;"","")&amp;"␟"&amp;IFERROR(INDEX(PASTE_ALL,$DF347,6)&amp;"","")&amp;"␟"&amp;IFERROR(INDEX(PASTE_ALL,$DF347,7)&amp;"","")&amp;"␟"&amp;IFERROR(INDEX(PASTE_ALL,$DF347,8)&amp;"","")&amp;"␟"&amp;IFERROR(INDEX(PASTE_ALL,$DF347,9)&amp;"","")&amp;"␟"&amp;IFERROR(INDEX(PASTE_ALL,$DF347,10)&amp;"","")&amp;"␟"&amp;IFERROR(INDEX(PASTE_ALL,$DF347,11)&amp;"","")&amp;"␟"&amp;IFERROR(INDEX(PASTE_ALL,$DF347,12)&amp;"","")&amp;"␟"&amp;IFERROR(INDEX(PASTE_ALL,$DF347,13)&amp;"","")&amp;"␟"&amp;IFERROR(INDEX(PASTE_ALL,$DF347,14)&amp;"","")&amp;"␟"&amp;IFERROR(INDEX(PASTE_ALL,$DF347,15)&amp;"","")&amp;"␟"&amp;IFERROR(INDEX(PASTE_ALL,$DF347,16)&amp;"","")&amp;"␟"&amp;IFERROR(INDEX(PASTE_ALL,$DF347,17)&amp;"","")&amp;"␟"&amp;IFERROR(INDEX(PASTE_ALL,$DF347,18)&amp;"","")&amp;"␟"&amp;IFERROR(INDEX(PASTE_ALL,$DF347,19)&amp;"","")&amp;"␟"&amp;IFERROR(INDEX(PASTE_ALL,$DF347,20)&amp;"","")&amp;"␟"&amp;IFERROR(INDEX(PASTE_ALL,$DF347,21)&amp;"","")&amp;"␟"&amp;IFERROR(INDEX(PASTE_ALL,$DF347,22)&amp;"","")&amp;"␟"&amp;IFERROR(INDEX(PASTE_ALL,$DF347,23)&amp;"","")&amp;"␟"&amp;IFERROR(INDEX(PASTE_ALL,$DF347,24)&amp;"","")&amp;"␟"&amp;IFERROR(INDEX(PASTE_ALL,$DF347,25)&amp;"","")&amp;"␟"&amp;IFERROR(INDEX(PASTE_ALL,$DF347,26)&amp;"","")&amp;"␟"&amp;IFERROR(INDEX(PASTE_ALL,$DF347,27)&amp;"","")&amp;"␟"&amp;IFERROR(INDEX(PASTE_ALL,$DF347,28)&amp;"","")&amp;"␟"&amp;IFERROR(INDEX(PASTE_ALL,$DF347,29)&amp;"","")&amp;"␟"&amp;IFERROR(INDEX(PASTE_ALL,$DF347,30)&amp;"","")&amp;"␟"&amp;IFERROR(INDEX(PASTE_ALL,$DF347,31)&amp;"","")&amp;"␟"&amp;IFERROR(INDEX(PASTE_ALL,$DF347,32)&amp;"","")&amp;"␟"&amp;IFERROR(INDEX(PASTE_ALL,$DF347,33)&amp;"","")&amp;"␟"&amp;IFERROR(INDEX(PASTE_ALL,$DF347,34)&amp;"","")&amp;"␟"&amp;IFERROR(INDEX(PASTE_ALL,$DF347,35)&amp;"","")&amp;"␟"&amp;IFERROR(INDEX(PASTE_ALL,$DF347,36)&amp;"","")&amp;"␟"&amp;IFERROR(INDEX(PASTE_ALL,$DF347,37)&amp;"","")&amp;"␟"&amp;IFERROR(INDEX(PASTE_ALL,$DF347,38)&amp;"","")&amp;"␟"&amp;IFERROR(INDEX(PASTE_ALL,$DF347,39)&amp;"","")&amp;"␟"&amp;IFERROR(INDEX(PASTE_ALL,$DF347,40)&amp;"","")&amp;"␟"&amp;IFERROR(INDEX(PASTE_ALL,$DF347,41)&amp;"","")&amp;"␟"&amp;IFERROR(INDEX(PASTE_ALL,$DF347,42)&amp;"","")&amp;"␟"&amp;IFERROR(INDEX(PASTE_ALL,$DF347,43)&amp;"","")&amp;"␟"&amp;IFERROR(INDEX(PASTE_ALL,$DF347,44)&amp;"","")&amp;"␟"&amp;IFERROR(INDEX(PASTE_ALL,$DF347,45)&amp;"","")&amp;"␟"&amp;IFERROR(INDEX(PASTE_ALL,$DF347,46)&amp;"","")&amp;"␟"&amp;IFERROR(INDEX(PASTE_ALL,$DF347,47)&amp;"","")&amp;"␟"&amp;IFERROR(INDEX(PASTE_ALL,$DF347,48)&amp;"","")&amp;"␟"&amp;IFERROR(INDEX(PASTE_ALL,$DF347,49)&amp;"","")&amp;"␟"&amp;IFERROR(INDEX(PASTE_ALL,$DF347,50)&amp;"","")&amp;"␟"&amp;IFERROR(INDEX(PASTE_ALL,$DF347,51)&amp;"","")&amp;"␟"&amp;IFERROR(INDEX(PASTE_ALL,$DF347,52)&amp;"","")&amp;"␟"&amp;IFERROR(INDEX(PASTE_ALL,$DF347,53)&amp;"","")&amp;"␟"&amp;IFERROR(INDEX(PASTE_ALL,$DF347,54)&amp;"","")&amp;"␟"&amp;IFERROR(INDEX(PASTE_ALL,$DF347,55)&amp;"","")&amp;"␟"&amp;IFERROR(INDEX(PASTE_ALL,$DF347,56)&amp;"","")&amp;"␟"&amp;IFERROR(INDEX(PASTE_ALL,$DF347,57)&amp;"","")&amp;"␟"&amp;IFERROR(INDEX(PASTE_ALL,$DF347,58)&amp;"","")&amp;"␟"&amp;IFERROR(INDEX(PASTE_ALL,$DF347,59)&amp;"","")&amp;"␟"&amp;IFERROR(INDEX(PASTE_ALL,$DF347,60)&amp;"","")," "," "),CHAR(9)," "),CHAR(10)," "),CHAR(13)," "))," ␟","␟"),"␟ ","␟"),"#"&amp;$DE347),"")</f>
        <v/>
      </c>
      <c r="DJ347">
        <f>IF($DI347="",0,IF(SUMPRODUCT(--EXACT($DI$4:DI346,$DI347))&gt;0,1,0))</f>
        <v/>
      </c>
      <c r="DK347">
        <f>IF(AND($DI347&lt;&gt;"",$DJ347=0),1,0)</f>
        <v/>
      </c>
      <c r="DL347">
        <f>DL346+$DK347</f>
        <v/>
      </c>
      <c r="DM347">
        <f>IF(AND($DK347=1,$DL347&lt;=600),1,0)</f>
        <v/>
      </c>
      <c r="DN347">
        <f>IF($DM347=0,"",IF($L$6=0,"",IFERROR(IF(ISNUMBER(INDEX(PASTE_ALL,$DF347,$L$6)),INDEX(PASTE_ALL,$DF347,$L$6),TRIM(SUBSTITUTE(SUBSTITUTE(SUBSTITUTE(SUBSTITUTE(INDEX(PASTE_ALL,$DF347,$L$6)," "," "),CHAR(9)," "),CHAR(10)," "),CHAR(13)," "))),"")))</f>
        <v/>
      </c>
      <c r="DO347">
        <f>IF($DM347=0,"",IF($L$7=0,"",IFERROR(IF(ISNUMBER(INDEX(PASTE_ALL,$DF347,$L$7)),INDEX(PASTE_ALL,$DF347,$L$7),TRIM(SUBSTITUTE(SUBSTITUTE(SUBSTITUTE(SUBSTITUTE(INDEX(PASTE_ALL,$DF347,$L$7)," "," "),CHAR(9)," "),CHAR(10)," "),CHAR(13)," "))),"")))</f>
        <v/>
      </c>
      <c r="DP347">
        <f>IF($DM347=0,"",IF($L$8=0,"",IFERROR(IF(ISNUMBER(INDEX(PASTE_ALL,$DF347,$L$8)),INDEX(PASTE_ALL,$DF347,$L$8),TRIM(SUBSTITUTE(SUBSTITUTE(SUBSTITUTE(SUBSTITUTE(INDEX(PASTE_ALL,$DF347,$L$8)," "," "),CHAR(9)," "),CHAR(10)," "),CHAR(13)," "))),"")))</f>
        <v/>
      </c>
      <c r="DQ347">
        <f>IF($DM347=0,"",IF($L$9=0,"",IFERROR(IF(ISNUMBER(INDEX(PASTE_ALL,$DF347,$L$9)),INDEX(PASTE_ALL,$DF347,$L$9),TRIM(SUBSTITUTE(SUBSTITUTE(SUBSTITUTE(SUBSTITUTE(INDEX(PASTE_ALL,$DF347,$L$9)," "," "),CHAR(9)," "),CHAR(10)," "),CHAR(13)," "))),"")))</f>
        <v/>
      </c>
      <c r="DR347">
        <f>IF($DM347=0,"",IF($L$10=0,"",IFERROR(IF(ISNUMBER(INDEX(PASTE_ALL,$DF347,$L$10)),INDEX(PASTE_ALL,$DF347,$L$10),TRIM(SUBSTITUTE(SUBSTITUTE(SUBSTITUTE(SUBSTITUTE(INDEX(PASTE_ALL,$DF347,$L$10)," "," "),CHAR(9)," "),CHAR(10)," "),CHAR(13)," "))),"")))</f>
        <v/>
      </c>
      <c r="DS347">
        <f>IF($DM347=0,"",IF($L$11=0,"",IFERROR(IF(ISNUMBER(INDEX(PASTE_ALL,$DF347,$L$11)),INDEX(PASTE_ALL,$DF347,$L$11),TRIM(SUBSTITUTE(SUBSTITUTE(SUBSTITUTE(SUBSTITUTE(INDEX(PASTE_ALL,$DF347,$L$11)," "," "),CHAR(9)," "),CHAR(10)," "),CHAR(13)," "))),"")))</f>
        <v/>
      </c>
      <c r="DT347">
        <f>IF($DM347=0,"",IF($L$12=0,"",IFERROR(IF(ISNUMBER(INDEX(PASTE_ALL,$DF347,$L$12)),INDEX(PASTE_ALL,$DF347,$L$12),TRIM(SUBSTITUTE(SUBSTITUTE(SUBSTITUTE(SUBSTITUTE(INDEX(PASTE_ALL,$DF347,$L$12)," "," "),CHAR(9)," "),CHAR(10)," "),CHAR(13)," "))),"")))</f>
        <v/>
      </c>
      <c r="DU347">
        <f>IF($DM347=0,"",IF($L$13=0,"",IFERROR(IF(ISNUMBER(INDEX(PASTE_ALL,$DF347,$L$13)),INDEX(PASTE_ALL,$DF347,$L$13),TRIM(SUBSTITUTE(SUBSTITUTE(SUBSTITUTE(SUBSTITUTE(INDEX(PASTE_ALL,$DF347,$L$13)," "," "),CHAR(9)," "),CHAR(10)," "),CHAR(13)," "))),"")))</f>
        <v/>
      </c>
      <c r="DV347">
        <f>IF($DM347=0,"",IF($L$14=0,"",IFERROR(IF(ISNUMBER(INDEX(PASTE_ALL,$DF347,$L$14)),INDEX(PASTE_ALL,$DF347,$L$14),TRIM(SUBSTITUTE(SUBSTITUTE(SUBSTITUTE(SUBSTITUTE(INDEX(PASTE_ALL,$DF347,$L$14)," "," "),CHAR(9)," "),CHAR(10)," "),CHAR(13)," "))),"")))</f>
        <v/>
      </c>
      <c r="DW347">
        <f>IF($DM347=0,"",IF($L$15=0,"",IFERROR(IF(ISNUMBER(INDEX(PASTE_ALL,$DF347,$L$15)),INDEX(PASTE_ALL,$DF347,$L$15),IF(SUMPRODUCT(--ISNUMBER(FIND({"A","B","C","D","E","F","G","H","I","J","K","L","M","N","O","P","Q","R","S","T","U","V","W","X","Y","Z","0","1","2","3","4","5","6","7","8","9"},UPPER(TRIM(SUBSTITUTE(SUBSTITUTE(SUBSTITUTE(SUBSTITUTE(INDEX(PASTE_ALL,$DF347,$L$15)," "," "),CHAR(9)," "),CHAR(10)," "),CHAR(13)," "))))))&gt;0,TRIM(SUBSTITUTE(SUBSTITUTE(SUBSTITUTE(SUBSTITUTE(INDEX(PASTE_ALL,$DF347,$L$15)," "," "),CHAR(9)," "),CHAR(10)," "),CHAR(13)," ")),"")),"")))</f>
        <v/>
      </c>
      <c r="DX347">
        <f>IF($DM347=0,"",IF($L$16=0,"",IFERROR(IF(ISNUMBER(INDEX(PASTE_ALL,$DF347,$L$16)),INDEX(PASTE_ALL,$DF347,$L$16),SUBSTITUTE(SUBSTITUTE(TRIM(SUBSTITUTE(SUBSTITUTE(SUBSTITUTE(SUBSTITUTE(INDEX(PASTE_ALL,$DF347,$L$16)," "," "),CHAR(9)," "),CHAR(10)," "),CHAR(13)," ")),",",""),"%","")),"")))</f>
        <v/>
      </c>
      <c r="DY347">
        <f>IF($DM347=0,"",IFERROR(IF(ISNUMBER($DX347),$DX347,IF($DX347="","",IF(TRIM($DX347)="",0,IF(AND(AND(SUBSTITUTE(SUBSTITUTE(SUBSTITUTE(SUBSTITUTE(SUBSTITUTE(SUBSTITUTE(SUBSTITUTE(SUBSTITUTE(SUBSTITUTE(SUBSTITUTE(SUBSTITUTE(SUBSTITUTE(SUBSTITUTE(SUBSTITUTE(UPPER(TRIM($DX347)),"0",""),"1",""),"2",""),"3",""),"4",""),"5",""),"6",""),"7",""),"8",""),"9",""),".",""),"+",""),"-",""),"E","")="",LEN(SUBSTITUTE(SUBSTITUTE(MID(UPPER(TRIM($DX347)),1+OR(LEFT(UPPER(TRIM($DX347)),1)="+",LEFT(UPPER(TRIM($DX347)),1)="-"),999),"E+","E"),"E-","E"))=LEN(SUBSTITUTE(SUBSTITUTE(SUBSTITUTE(SUBSTITUTE(MID(UPPER(TRIM($DX347)),1+OR(LEFT(UPPER(TRIM($DX347)),1)="+",LEFT(UPPER(TRIM($DX347)),1)="-"),999),"E+","E"),"E-","E"),"+",""),"-","")),LEN(UPPER(TRIM($DX347)))-LEN(SUBSTITUTE(UPPER(TRIM($DX347)),"E",""))&lt;2,LEN(UPPER(TRIM($DX347)))-LEN(SUBSTITUTE(UPPER(TRIM($DX347)),".",""))&lt;2,IFERROR(FIND(".",UPPER(TRIM($DX347))),0)&lt;IFERROR(FIND("E",UPPER(TRIM($DX347))),999)),ISNUMBER(VALUE(TRIM($DX347)))),VALUE(TRIM($DX347)),"")))),""))</f>
        <v/>
      </c>
      <c r="DZ347">
        <f>IF($DM347=0,"",IF($L$17=0,"",IFERROR(IF(ISNUMBER(INDEX(PASTE_ALL,$DF347,$L$17)),INDEX(PASTE_ALL,$DF347,$L$17),SUBSTITUTE(SUBSTITUTE(TRIM(SUBSTITUTE(SUBSTITUTE(SUBSTITUTE(SUBSTITUTE(INDEX(PASTE_ALL,$DF347,$L$17)," "," "),CHAR(9)," "),CHAR(10)," "),CHAR(13)," ")),",",""),"%","")),"")))</f>
        <v/>
      </c>
      <c r="EA347">
        <f>IF($DM347=0,"",IFERROR(IF(ISNUMBER($DZ347),$DZ347,IF($DZ347="","",IF(TRIM($DZ347)="",0,IF(AND(AND(SUBSTITUTE(SUBSTITUTE(SUBSTITUTE(SUBSTITUTE(SUBSTITUTE(SUBSTITUTE(SUBSTITUTE(SUBSTITUTE(SUBSTITUTE(SUBSTITUTE(SUBSTITUTE(SUBSTITUTE(SUBSTITUTE(SUBSTITUTE(UPPER(TRIM($DZ347)),"0",""),"1",""),"2",""),"3",""),"4",""),"5",""),"6",""),"7",""),"8",""),"9",""),".",""),"+",""),"-",""),"E","")="",LEN(SUBSTITUTE(SUBSTITUTE(MID(UPPER(TRIM($DZ347)),1+OR(LEFT(UPPER(TRIM($DZ347)),1)="+",LEFT(UPPER(TRIM($DZ347)),1)="-"),999),"E+","E"),"E-","E"))=LEN(SUBSTITUTE(SUBSTITUTE(SUBSTITUTE(SUBSTITUTE(MID(UPPER(TRIM($DZ347)),1+OR(LEFT(UPPER(TRIM($DZ347)),1)="+",LEFT(UPPER(TRIM($DZ347)),1)="-"),999),"E+","E"),"E-","E"),"+",""),"-","")),LEN(UPPER(TRIM($DZ347)))-LEN(SUBSTITUTE(UPPER(TRIM($DZ347)),"E",""))&lt;2,LEN(UPPER(TRIM($DZ347)))-LEN(SUBSTITUTE(UPPER(TRIM($DZ347)),".",""))&lt;2,IFERROR(FIND(".",UPPER(TRIM($DZ347))),0)&lt;IFERROR(FIND("E",UPPER(TRIM($DZ347))),999)),ISNUMBER(VALUE(TRIM($DZ347)))),VALUE(TRIM($DZ347)),"")))),""))</f>
        <v/>
      </c>
      <c r="EB347">
        <f>IF($DM347=0,"",IF($L$18=0,"",IFERROR(IF(UPPER(TRIM(SUBSTITUTE(SUBSTITUTE(SUBSTITUTE(SUBSTITUTE(INDEX(PASTE_ALL,$DF347,$L$18)," "," "),CHAR(9)," "),CHAR(10)," "),CHAR(13)," ")))="READY","Ready",IF(UPPER(TRIM(SUBSTITUTE(SUBSTITUTE(SUBSTITUTE(SUBSTITUTE(INDEX(PASTE_ALL,$DF347,$L$18)," "," "),CHAR(9)," "),CHAR(10)," "),CHAR(13)," ")))="PM","PM",IF(OR(UPPER(TRIM(SUBSTITUTE(SUBSTITUTE(SUBSTITUTE(SUBSTITUTE(INDEX(PASTE_ALL,$DF347,$L$18)," "," "),CHAR(9)," "),CHAR(10)," "),CHAR(13)," ")))="OT",UPPER(TRIM(SUBSTITUTE(SUBSTITUTE(SUBSTITUTE(SUBSTITUTE(INDEX(PASTE_ALL,$DF347,$L$18)," "," "),CHAR(9)," "),CHAR(10)," "),CHAR(13)," ")))="OVERTIME",UPPER(TRIM(SUBSTITUTE(SUBSTITUTE(SUBSTITUTE(SUBSTITUTE(INDEX(PASTE_ALL,$DF347,$L$18)," "," "),CHAR(9)," "),CHAR(10)," "),CHAR(13)," ")))="TRIAL"),"OT",TRIM(SUBSTITUTE(SUBSTITUTE(SUBSTITUTE(SUBSTITUTE(INDEX(PASTE_ALL,$DF347,$L$18)," "," "),CHAR(9)," "),CHAR(10)," "),CHAR(13)," "))))),"")))</f>
        <v/>
      </c>
      <c r="EC347">
        <f>IF($DM347=0,"",IF($L$19=0,"",IFERROR(IF(ISNUMBER(INDEX(PASTE_ALL,$DF347,$L$19)),INDEX(PASTE_ALL,$DF347,$L$19),TRIM(SUBSTITUTE(SUBSTITUTE(SUBSTITUTE(SUBSTITUTE(INDEX(PASTE_ALL,$DF347,$L$19)," "," "),CHAR(9)," "),CHAR(10)," "),CHAR(13)," "))),"")))</f>
        <v/>
      </c>
      <c r="ED347">
        <f>IF($DM347=0,"",MATCH(1,INDEX(EXACT($DH$5:DH347,$DH347)*$DM$5:DM347,0),0))</f>
        <v/>
      </c>
      <c r="EE347">
        <f>IF($DM347=0,0,IF($ED347=$DE347,1,0))</f>
        <v/>
      </c>
      <c r="EF347">
        <f>EF346+$EE347</f>
        <v/>
      </c>
      <c r="EG347">
        <f>IF($DM347=0,"",INDEX($EF$5:$EF$1003,$ED347))</f>
        <v/>
      </c>
      <c r="EH347">
        <f>IF($DM347=0,"",IF($DO347&lt;&gt;"","",IFERROR(LOOKUP(2,1/(($EG$4:EG346=$EG347)*($DO$4:DO346&lt;&gt;"")),$DO$4:DO346),"")))</f>
        <v/>
      </c>
      <c r="EI347">
        <f>IF($DM347=0,"",IF($DO347&lt;&gt;"",$DO347,$EH347))</f>
        <v/>
      </c>
      <c r="EJ347">
        <f>IF($DM347=0,"",IF($EI347="",0,IF(OR(ISNUMBER($EI347),AND(AND(SUBSTITUTE(SUBSTITUTE(SUBSTITUTE(SUBSTITUTE(SUBSTITUTE(SUBSTITUTE(SUBSTITUTE(SUBSTITUTE(SUBSTITUTE(SUBSTITUTE(SUBSTITUTE(SUBSTITUTE(SUBSTITUTE(SUBSTITUTE(UPPER($EI347),"0",""),"1",""),"2",""),"3",""),"4",""),"5",""),"6",""),"7",""),"8",""),"9",""),".",""),"+",""),"-",""),"E","")="",LEN(SUBSTITUTE(SUBSTITUTE(MID(UPPER($EI347),1+OR(LEFT(UPPER($EI347),1)="+",LEFT(UPPER($EI347),1)="-"),999),"E+","E"),"E-","E"))=LEN(SUBSTITUTE(SUBSTITUTE(SUBSTITUTE(SUBSTITUTE(MID(UPPER($EI347),1+OR(LEFT(UPPER($EI347),1)="+",LEFT(UPPER($EI347),1)="-"),999),"E+","E"),"E-","E"),"+",""),"-","")),LEN(UPPER($EI347))-LEN(SUBSTITUTE(UPPER($EI347),"E",""))&lt;2,LEN(UPPER($EI347))-LEN(SUBSTITUTE(UPPER($EI347),".",""))&lt;2,IFERROR(FIND(".",UPPER($EI347)),0)&lt;IFERROR(FIND("E",UPPER($EI347)),999)),ISNUMBER(VALUE($EI347)))),1,2)))</f>
        <v/>
      </c>
      <c r="EK347">
        <f>IF($DM347=0,"",IF($EJ347=1,IF(ISNUMBER($EI347),$EI347,VALUE($EI347)),IF($EJ347=2,$DE347,0)))</f>
        <v/>
      </c>
      <c r="EL347">
        <f>IF($DM347=0,"",COUNTIF($EG$5:$EG$1003,"&lt;"&amp;$EG347)+SUMPRODUCT(($EG$5:$EG$1003=$EG347)*(($EJ$5:$EJ$1003&lt;$EJ347)+($EJ$5:$EJ$1003=$EJ347)*(($EK$5:$EK$1003&lt;$EK347)+($EK$5:$EK$1003=$EK347)*($DE$5:$DE$1003&lt;$DE347))))+1)</f>
        <v/>
      </c>
      <c r="EM347">
        <f>IF($DM347=0,"",$EL347+$EG347-1)</f>
        <v/>
      </c>
      <c r="EN347">
        <f>IF($DM347=0,0,IFERROR(MATCH(1,INDEX(--(TRIM(SUBSTITUTE(SUBSTITUTE(SUBSTITUTE(SUBSTITUTE(LINES_NAME&amp;""," "," "),CHAR(9)," "),CHAR(10)," "),CHAR(13)," "))=$DH347),0),0),0))</f>
        <v/>
      </c>
      <c r="EO347">
        <f>IF($EN347=0,0,IF(OR(UPPER(TRIM(INDEX(LINES_SCHEDULED,$EN347)&amp;""))="YES",UPPER(TRIM(INDEX(LINES_SCHEDULED,$EN347)&amp;""))="Y",UPPER(TRIM(INDEX(LINES_SCHEDULED,$EN347)&amp;""))="X"),1,0))</f>
        <v/>
      </c>
      <c r="EP347">
        <f>IF($DM347=0,"",IF(COUNTIFS($EG$5:$EG$1003,$EG347,$EB$5:$EB$1003,"Ready")&gt;0,"READY",IF(COUNTIFS($EG$5:$EG$1003,$EG347,$EB$5:$EB$1003,"PM")&gt;0,"PM",IF(COUNTIFS($EG$5:$EG$1003,$EG347,$EB$5:$EB$1003,"OT")&gt;0,"OT",""))))</f>
        <v/>
      </c>
      <c r="EQ347">
        <f>IF($EN347=0,"",UPPER(TRIM(INDEX(LINES_STATUS,$EN347)&amp;"")))</f>
        <v/>
      </c>
      <c r="ER347">
        <f>IF($DM347=0,"",IF(OR($EQ347="READY",$EQ347="PM",$EQ347="OT"),$EQ347,$EP347))</f>
        <v/>
      </c>
      <c r="ES347">
        <f>IF($DM347=0,"",IF(AND($DV347&lt;&gt;"",UPPER($DV347)&lt;&gt;"N"),"allergen",IF(ISNUMBER(SEARCH("oil",$DQ347)),"oil",IF(OR(EXACT($DS347,"A662"),EXACT($DS347,"A624")),"bulk",""))))</f>
        <v/>
      </c>
      <c r="ET347">
        <f>IF($DM347=0,"",IF(OR($EA347="",$EA347=0),"",$EA347/100))</f>
        <v/>
      </c>
      <c r="EU347">
        <f>IF(OR($ET347="",$DY347=""),"",INT($DY347*(1-$ET347)+0.5))</f>
        <v/>
      </c>
      <c r="EW347" t="n">
        <v>343</v>
      </c>
      <c r="EX347">
        <f>IFERROR(MATCH($EW347,$EM$5:$EM$1003,0),0)</f>
        <v/>
      </c>
      <c r="EY347">
        <f>IF($EW347&gt;$B$12,"",IF($EX347&gt;0,"row","spacer"))</f>
        <v/>
      </c>
      <c r="EZ347">
        <f>IF(AND($EY347="row",$EY346&lt;&gt;"row"),1,0)</f>
        <v/>
      </c>
      <c r="FA347">
        <f>IF(AND($EY347="row",$EY348&lt;&gt;"row"),1,0)</f>
        <v/>
      </c>
      <c r="FB347">
        <f>IF($EZ347=1,IFERROR(IF(ISNUMBER(INDEX(PASTE_ALL,INDEX($DF$5:$DF$1003,$EX347),$B$37)),INDEX(PASTE_ALL,INDEX($DF$5:$DF$1003,$EX347),$B$37),INDEX($DH$5:$DH$1003,$EX347)),INDEX($DH$5:$DH$1003,$EX347)),"")</f>
        <v/>
      </c>
      <c r="FC347">
        <f>IF($EY347="row",INDEX($ER$5:$ER$1003,$EX347),"")</f>
        <v/>
      </c>
      <c r="FD347">
        <f>IF($EY347="row",INDEX($DN$5:$DN$1003,$EX347),"")</f>
        <v/>
      </c>
      <c r="FE347">
        <f>IF($EY347="row",INDEX($DO$5:$DO$1003,$EX347),"")</f>
        <v/>
      </c>
      <c r="FF347">
        <f>IF($EY347="row",INDEX($DP$5:$DP$1003,$EX347),"")</f>
        <v/>
      </c>
      <c r="FG347">
        <f>IF($EY347="row",INDEX($DQ$5:$DQ$1003,$EX347),"")</f>
        <v/>
      </c>
      <c r="FH347">
        <f>IF($EY347="row",INDEX($DR$5:$DR$1003,$EX347),"")</f>
        <v/>
      </c>
      <c r="FI347">
        <f>IF($EY347="row",INDEX($DS$5:$DS$1003,$EX347),"")</f>
        <v/>
      </c>
      <c r="FJ347">
        <f>IF($EY347="row",INDEX($DT$5:$DT$1003,$EX347),"")</f>
        <v/>
      </c>
      <c r="FK347">
        <f>IF($EY347="row",INDEX($DU$5:$DU$1003,$EX347),"")</f>
        <v/>
      </c>
      <c r="FL347">
        <f>IF($EY347="row",INDEX($DV$5:$DV$1003,$EX347),"")</f>
        <v/>
      </c>
      <c r="FM347">
        <f>IF($EY347="row",INDEX($DW$5:$DW$1003,$EX347),"")</f>
        <v/>
      </c>
      <c r="FN347">
        <f>IF($EY347="row",INDEX($DY$5:$DY$1003,$EX347),"")</f>
        <v/>
      </c>
      <c r="FO347">
        <f>IF($EY347="row",INDEX($EA$5:$EA$1003,$EX347),"")</f>
        <v/>
      </c>
      <c r="FP347">
        <f>IF($EY347="row",INDEX($EC$5:$EC$1003,$EX347),"")</f>
        <v/>
      </c>
      <c r="FQ347">
        <f>IF($EY347="row",INDEX($ET$5:$ET$1003,$EX347),"")</f>
        <v/>
      </c>
      <c r="FR347">
        <f>IF($EY347="row",INDEX($EU$5:$EU$1003,$EX347),"")</f>
        <v/>
      </c>
      <c r="FS347">
        <f>IF(AND($EY347="row",$EY346="row"),IF(OR(INDEX($DT$5:$DT$1003,$EX346)="",INDEX($DT$5:$DT$1003,$EX347)=""),"",IF(NOT(EXACT(INDEX($DT$5:$DT$1003,$EX346),INDEX($DT$5:$DT$1003,$EX347))),"S4",IF(NOT(EXACT(INDEX($DS$5:$DS$1003,$EX346),INDEX($DS$5:$DS$1003,$EX347))),"S3",IF(NOT(EXACT(INDEX($DR$5:$DR$1003,$EX346),INDEX($DR$5:$DR$1003,$EX347))),"S1 Count Change","S1")))),"")</f>
        <v/>
      </c>
      <c r="FT347">
        <f>IF($EY347="row",INDEX($ES$5:$ES$1003,$EX347),"")</f>
        <v/>
      </c>
      <c r="FU347">
        <f>IF($EY347="row",INDEX($EO$5:$EO$1003,$EX347),0)</f>
        <v/>
      </c>
      <c r="FV347">
        <f>IF($FS347="S1 Count Change",1,0)</f>
        <v/>
      </c>
    </row>
    <row r="348">
      <c r="DA348" t="n">
        <v>344</v>
      </c>
      <c r="DB348">
        <f>IF($B$37=0,"",IFERROR(TRIM(SUBSTITUTE(SUBSTITUTE(SUBSTITUTE(SUBSTITUTE(INDEX(PASTE_ALL,344,$B$37)," "," "),CHAR(9)," "),CHAR(10)," "),CHAR(13)," ")),""))</f>
        <v/>
      </c>
      <c r="DC348">
        <f>IF(AND(344&gt;HEADER_ROW,UPPER(DB348)="LEGEND"),1,0)</f>
        <v/>
      </c>
      <c r="DE348" t="n">
        <v>344</v>
      </c>
      <c r="DF348">
        <f>HEADER_ROW+$DE348</f>
        <v/>
      </c>
      <c r="DG348">
        <f>IF(AND($DF348&lt;=1000,$DF348&lt;$B$8),1,0)</f>
        <v/>
      </c>
      <c r="DH348">
        <f>IF($DG348=1,IFERROR(INDEX($DB$5:$DB$1004,$DF348),""),"")</f>
        <v/>
      </c>
      <c r="DI348">
        <f>IF(AND($DG348=1,$DH348&lt;&gt;""),IFERROR(SUBSTITUTE(SUBSTITUTE(TRIM(SUBSTITUTE(SUBSTITUTE(SUBSTITUTE(SUBSTITUTE(IFERROR(INDEX(PASTE_ALL,$DF348,1)&amp;"","")&amp;"␟"&amp;IFERROR(INDEX(PASTE_ALL,$DF348,2)&amp;"","")&amp;"␟"&amp;IFERROR(INDEX(PASTE_ALL,$DF348,3)&amp;"","")&amp;"␟"&amp;IFERROR(INDEX(PASTE_ALL,$DF348,4)&amp;"","")&amp;"␟"&amp;IFERROR(INDEX(PASTE_ALL,$DF348,5)&amp;"","")&amp;"␟"&amp;IFERROR(INDEX(PASTE_ALL,$DF348,6)&amp;"","")&amp;"␟"&amp;IFERROR(INDEX(PASTE_ALL,$DF348,7)&amp;"","")&amp;"␟"&amp;IFERROR(INDEX(PASTE_ALL,$DF348,8)&amp;"","")&amp;"␟"&amp;IFERROR(INDEX(PASTE_ALL,$DF348,9)&amp;"","")&amp;"␟"&amp;IFERROR(INDEX(PASTE_ALL,$DF348,10)&amp;"","")&amp;"␟"&amp;IFERROR(INDEX(PASTE_ALL,$DF348,11)&amp;"","")&amp;"␟"&amp;IFERROR(INDEX(PASTE_ALL,$DF348,12)&amp;"","")&amp;"␟"&amp;IFERROR(INDEX(PASTE_ALL,$DF348,13)&amp;"","")&amp;"␟"&amp;IFERROR(INDEX(PASTE_ALL,$DF348,14)&amp;"","")&amp;"␟"&amp;IFERROR(INDEX(PASTE_ALL,$DF348,15)&amp;"","")&amp;"␟"&amp;IFERROR(INDEX(PASTE_ALL,$DF348,16)&amp;"","")&amp;"␟"&amp;IFERROR(INDEX(PASTE_ALL,$DF348,17)&amp;"","")&amp;"␟"&amp;IFERROR(INDEX(PASTE_ALL,$DF348,18)&amp;"","")&amp;"␟"&amp;IFERROR(INDEX(PASTE_ALL,$DF348,19)&amp;"","")&amp;"␟"&amp;IFERROR(INDEX(PASTE_ALL,$DF348,20)&amp;"","")&amp;"␟"&amp;IFERROR(INDEX(PASTE_ALL,$DF348,21)&amp;"","")&amp;"␟"&amp;IFERROR(INDEX(PASTE_ALL,$DF348,22)&amp;"","")&amp;"␟"&amp;IFERROR(INDEX(PASTE_ALL,$DF348,23)&amp;"","")&amp;"␟"&amp;IFERROR(INDEX(PASTE_ALL,$DF348,24)&amp;"","")&amp;"␟"&amp;IFERROR(INDEX(PASTE_ALL,$DF348,25)&amp;"","")&amp;"␟"&amp;IFERROR(INDEX(PASTE_ALL,$DF348,26)&amp;"","")&amp;"␟"&amp;IFERROR(INDEX(PASTE_ALL,$DF348,27)&amp;"","")&amp;"␟"&amp;IFERROR(INDEX(PASTE_ALL,$DF348,28)&amp;"","")&amp;"␟"&amp;IFERROR(INDEX(PASTE_ALL,$DF348,29)&amp;"","")&amp;"␟"&amp;IFERROR(INDEX(PASTE_ALL,$DF348,30)&amp;"","")&amp;"␟"&amp;IFERROR(INDEX(PASTE_ALL,$DF348,31)&amp;"","")&amp;"␟"&amp;IFERROR(INDEX(PASTE_ALL,$DF348,32)&amp;"","")&amp;"␟"&amp;IFERROR(INDEX(PASTE_ALL,$DF348,33)&amp;"","")&amp;"␟"&amp;IFERROR(INDEX(PASTE_ALL,$DF348,34)&amp;"","")&amp;"␟"&amp;IFERROR(INDEX(PASTE_ALL,$DF348,35)&amp;"","")&amp;"␟"&amp;IFERROR(INDEX(PASTE_ALL,$DF348,36)&amp;"","")&amp;"␟"&amp;IFERROR(INDEX(PASTE_ALL,$DF348,37)&amp;"","")&amp;"␟"&amp;IFERROR(INDEX(PASTE_ALL,$DF348,38)&amp;"","")&amp;"␟"&amp;IFERROR(INDEX(PASTE_ALL,$DF348,39)&amp;"","")&amp;"␟"&amp;IFERROR(INDEX(PASTE_ALL,$DF348,40)&amp;"","")&amp;"␟"&amp;IFERROR(INDEX(PASTE_ALL,$DF348,41)&amp;"","")&amp;"␟"&amp;IFERROR(INDEX(PASTE_ALL,$DF348,42)&amp;"","")&amp;"␟"&amp;IFERROR(INDEX(PASTE_ALL,$DF348,43)&amp;"","")&amp;"␟"&amp;IFERROR(INDEX(PASTE_ALL,$DF348,44)&amp;"","")&amp;"␟"&amp;IFERROR(INDEX(PASTE_ALL,$DF348,45)&amp;"","")&amp;"␟"&amp;IFERROR(INDEX(PASTE_ALL,$DF348,46)&amp;"","")&amp;"␟"&amp;IFERROR(INDEX(PASTE_ALL,$DF348,47)&amp;"","")&amp;"␟"&amp;IFERROR(INDEX(PASTE_ALL,$DF348,48)&amp;"","")&amp;"␟"&amp;IFERROR(INDEX(PASTE_ALL,$DF348,49)&amp;"","")&amp;"␟"&amp;IFERROR(INDEX(PASTE_ALL,$DF348,50)&amp;"","")&amp;"␟"&amp;IFERROR(INDEX(PASTE_ALL,$DF348,51)&amp;"","")&amp;"␟"&amp;IFERROR(INDEX(PASTE_ALL,$DF348,52)&amp;"","")&amp;"␟"&amp;IFERROR(INDEX(PASTE_ALL,$DF348,53)&amp;"","")&amp;"␟"&amp;IFERROR(INDEX(PASTE_ALL,$DF348,54)&amp;"","")&amp;"␟"&amp;IFERROR(INDEX(PASTE_ALL,$DF348,55)&amp;"","")&amp;"␟"&amp;IFERROR(INDEX(PASTE_ALL,$DF348,56)&amp;"","")&amp;"␟"&amp;IFERROR(INDEX(PASTE_ALL,$DF348,57)&amp;"","")&amp;"␟"&amp;IFERROR(INDEX(PASTE_ALL,$DF348,58)&amp;"","")&amp;"␟"&amp;IFERROR(INDEX(PASTE_ALL,$DF348,59)&amp;"","")&amp;"␟"&amp;IFERROR(INDEX(PASTE_ALL,$DF348,60)&amp;"","")," "," "),CHAR(9)," "),CHAR(10)," "),CHAR(13)," "))," ␟","␟"),"␟ ","␟"),"#"&amp;$DE348),"")</f>
        <v/>
      </c>
      <c r="DJ348">
        <f>IF($DI348="",0,IF(SUMPRODUCT(--EXACT($DI$4:DI347,$DI348))&gt;0,1,0))</f>
        <v/>
      </c>
      <c r="DK348">
        <f>IF(AND($DI348&lt;&gt;"",$DJ348=0),1,0)</f>
        <v/>
      </c>
      <c r="DL348">
        <f>DL347+$DK348</f>
        <v/>
      </c>
      <c r="DM348">
        <f>IF(AND($DK348=1,$DL348&lt;=600),1,0)</f>
        <v/>
      </c>
      <c r="DN348">
        <f>IF($DM348=0,"",IF($L$6=0,"",IFERROR(IF(ISNUMBER(INDEX(PASTE_ALL,$DF348,$L$6)),INDEX(PASTE_ALL,$DF348,$L$6),TRIM(SUBSTITUTE(SUBSTITUTE(SUBSTITUTE(SUBSTITUTE(INDEX(PASTE_ALL,$DF348,$L$6)," "," "),CHAR(9)," "),CHAR(10)," "),CHAR(13)," "))),"")))</f>
        <v/>
      </c>
      <c r="DO348">
        <f>IF($DM348=0,"",IF($L$7=0,"",IFERROR(IF(ISNUMBER(INDEX(PASTE_ALL,$DF348,$L$7)),INDEX(PASTE_ALL,$DF348,$L$7),TRIM(SUBSTITUTE(SUBSTITUTE(SUBSTITUTE(SUBSTITUTE(INDEX(PASTE_ALL,$DF348,$L$7)," "," "),CHAR(9)," "),CHAR(10)," "),CHAR(13)," "))),"")))</f>
        <v/>
      </c>
      <c r="DP348">
        <f>IF($DM348=0,"",IF($L$8=0,"",IFERROR(IF(ISNUMBER(INDEX(PASTE_ALL,$DF348,$L$8)),INDEX(PASTE_ALL,$DF348,$L$8),TRIM(SUBSTITUTE(SUBSTITUTE(SUBSTITUTE(SUBSTITUTE(INDEX(PASTE_ALL,$DF348,$L$8)," "," "),CHAR(9)," "),CHAR(10)," "),CHAR(13)," "))),"")))</f>
        <v/>
      </c>
      <c r="DQ348">
        <f>IF($DM348=0,"",IF($L$9=0,"",IFERROR(IF(ISNUMBER(INDEX(PASTE_ALL,$DF348,$L$9)),INDEX(PASTE_ALL,$DF348,$L$9),TRIM(SUBSTITUTE(SUBSTITUTE(SUBSTITUTE(SUBSTITUTE(INDEX(PASTE_ALL,$DF348,$L$9)," "," "),CHAR(9)," "),CHAR(10)," "),CHAR(13)," "))),"")))</f>
        <v/>
      </c>
      <c r="DR348">
        <f>IF($DM348=0,"",IF($L$10=0,"",IFERROR(IF(ISNUMBER(INDEX(PASTE_ALL,$DF348,$L$10)),INDEX(PASTE_ALL,$DF348,$L$10),TRIM(SUBSTITUTE(SUBSTITUTE(SUBSTITUTE(SUBSTITUTE(INDEX(PASTE_ALL,$DF348,$L$10)," "," "),CHAR(9)," "),CHAR(10)," "),CHAR(13)," "))),"")))</f>
        <v/>
      </c>
      <c r="DS348">
        <f>IF($DM348=0,"",IF($L$11=0,"",IFERROR(IF(ISNUMBER(INDEX(PASTE_ALL,$DF348,$L$11)),INDEX(PASTE_ALL,$DF348,$L$11),TRIM(SUBSTITUTE(SUBSTITUTE(SUBSTITUTE(SUBSTITUTE(INDEX(PASTE_ALL,$DF348,$L$11)," "," "),CHAR(9)," "),CHAR(10)," "),CHAR(13)," "))),"")))</f>
        <v/>
      </c>
      <c r="DT348">
        <f>IF($DM348=0,"",IF($L$12=0,"",IFERROR(IF(ISNUMBER(INDEX(PASTE_ALL,$DF348,$L$12)),INDEX(PASTE_ALL,$DF348,$L$12),TRIM(SUBSTITUTE(SUBSTITUTE(SUBSTITUTE(SUBSTITUTE(INDEX(PASTE_ALL,$DF348,$L$12)," "," "),CHAR(9)," "),CHAR(10)," "),CHAR(13)," "))),"")))</f>
        <v/>
      </c>
      <c r="DU348">
        <f>IF($DM348=0,"",IF($L$13=0,"",IFERROR(IF(ISNUMBER(INDEX(PASTE_ALL,$DF348,$L$13)),INDEX(PASTE_ALL,$DF348,$L$13),TRIM(SUBSTITUTE(SUBSTITUTE(SUBSTITUTE(SUBSTITUTE(INDEX(PASTE_ALL,$DF348,$L$13)," "," "),CHAR(9)," "),CHAR(10)," "),CHAR(13)," "))),"")))</f>
        <v/>
      </c>
      <c r="DV348">
        <f>IF($DM348=0,"",IF($L$14=0,"",IFERROR(IF(ISNUMBER(INDEX(PASTE_ALL,$DF348,$L$14)),INDEX(PASTE_ALL,$DF348,$L$14),TRIM(SUBSTITUTE(SUBSTITUTE(SUBSTITUTE(SUBSTITUTE(INDEX(PASTE_ALL,$DF348,$L$14)," "," "),CHAR(9)," "),CHAR(10)," "),CHAR(13)," "))),"")))</f>
        <v/>
      </c>
      <c r="DW348">
        <f>IF($DM348=0,"",IF($L$15=0,"",IFERROR(IF(ISNUMBER(INDEX(PASTE_ALL,$DF348,$L$15)),INDEX(PASTE_ALL,$DF348,$L$15),IF(SUMPRODUCT(--ISNUMBER(FIND({"A","B","C","D","E","F","G","H","I","J","K","L","M","N","O","P","Q","R","S","T","U","V","W","X","Y","Z","0","1","2","3","4","5","6","7","8","9"},UPPER(TRIM(SUBSTITUTE(SUBSTITUTE(SUBSTITUTE(SUBSTITUTE(INDEX(PASTE_ALL,$DF348,$L$15)," "," "),CHAR(9)," "),CHAR(10)," "),CHAR(13)," "))))))&gt;0,TRIM(SUBSTITUTE(SUBSTITUTE(SUBSTITUTE(SUBSTITUTE(INDEX(PASTE_ALL,$DF348,$L$15)," "," "),CHAR(9)," "),CHAR(10)," "),CHAR(13)," ")),"")),"")))</f>
        <v/>
      </c>
      <c r="DX348">
        <f>IF($DM348=0,"",IF($L$16=0,"",IFERROR(IF(ISNUMBER(INDEX(PASTE_ALL,$DF348,$L$16)),INDEX(PASTE_ALL,$DF348,$L$16),SUBSTITUTE(SUBSTITUTE(TRIM(SUBSTITUTE(SUBSTITUTE(SUBSTITUTE(SUBSTITUTE(INDEX(PASTE_ALL,$DF348,$L$16)," "," "),CHAR(9)," "),CHAR(10)," "),CHAR(13)," ")),",",""),"%","")),"")))</f>
        <v/>
      </c>
      <c r="DY348">
        <f>IF($DM348=0,"",IFERROR(IF(ISNUMBER($DX348),$DX348,IF($DX348="","",IF(TRIM($DX348)="",0,IF(AND(AND(SUBSTITUTE(SUBSTITUTE(SUBSTITUTE(SUBSTITUTE(SUBSTITUTE(SUBSTITUTE(SUBSTITUTE(SUBSTITUTE(SUBSTITUTE(SUBSTITUTE(SUBSTITUTE(SUBSTITUTE(SUBSTITUTE(SUBSTITUTE(UPPER(TRIM($DX348)),"0",""),"1",""),"2",""),"3",""),"4",""),"5",""),"6",""),"7",""),"8",""),"9",""),".",""),"+",""),"-",""),"E","")="",LEN(SUBSTITUTE(SUBSTITUTE(MID(UPPER(TRIM($DX348)),1+OR(LEFT(UPPER(TRIM($DX348)),1)="+",LEFT(UPPER(TRIM($DX348)),1)="-"),999),"E+","E"),"E-","E"))=LEN(SUBSTITUTE(SUBSTITUTE(SUBSTITUTE(SUBSTITUTE(MID(UPPER(TRIM($DX348)),1+OR(LEFT(UPPER(TRIM($DX348)),1)="+",LEFT(UPPER(TRIM($DX348)),1)="-"),999),"E+","E"),"E-","E"),"+",""),"-","")),LEN(UPPER(TRIM($DX348)))-LEN(SUBSTITUTE(UPPER(TRIM($DX348)),"E",""))&lt;2,LEN(UPPER(TRIM($DX348)))-LEN(SUBSTITUTE(UPPER(TRIM($DX348)),".",""))&lt;2,IFERROR(FIND(".",UPPER(TRIM($DX348))),0)&lt;IFERROR(FIND("E",UPPER(TRIM($DX348))),999)),ISNUMBER(VALUE(TRIM($DX348)))),VALUE(TRIM($DX348)),"")))),""))</f>
        <v/>
      </c>
      <c r="DZ348">
        <f>IF($DM348=0,"",IF($L$17=0,"",IFERROR(IF(ISNUMBER(INDEX(PASTE_ALL,$DF348,$L$17)),INDEX(PASTE_ALL,$DF348,$L$17),SUBSTITUTE(SUBSTITUTE(TRIM(SUBSTITUTE(SUBSTITUTE(SUBSTITUTE(SUBSTITUTE(INDEX(PASTE_ALL,$DF348,$L$17)," "," "),CHAR(9)," "),CHAR(10)," "),CHAR(13)," ")),",",""),"%","")),"")))</f>
        <v/>
      </c>
      <c r="EA348">
        <f>IF($DM348=0,"",IFERROR(IF(ISNUMBER($DZ348),$DZ348,IF($DZ348="","",IF(TRIM($DZ348)="",0,IF(AND(AND(SUBSTITUTE(SUBSTITUTE(SUBSTITUTE(SUBSTITUTE(SUBSTITUTE(SUBSTITUTE(SUBSTITUTE(SUBSTITUTE(SUBSTITUTE(SUBSTITUTE(SUBSTITUTE(SUBSTITUTE(SUBSTITUTE(SUBSTITUTE(UPPER(TRIM($DZ348)),"0",""),"1",""),"2",""),"3",""),"4",""),"5",""),"6",""),"7",""),"8",""),"9",""),".",""),"+",""),"-",""),"E","")="",LEN(SUBSTITUTE(SUBSTITUTE(MID(UPPER(TRIM($DZ348)),1+OR(LEFT(UPPER(TRIM($DZ348)),1)="+",LEFT(UPPER(TRIM($DZ348)),1)="-"),999),"E+","E"),"E-","E"))=LEN(SUBSTITUTE(SUBSTITUTE(SUBSTITUTE(SUBSTITUTE(MID(UPPER(TRIM($DZ348)),1+OR(LEFT(UPPER(TRIM($DZ348)),1)="+",LEFT(UPPER(TRIM($DZ348)),1)="-"),999),"E+","E"),"E-","E"),"+",""),"-","")),LEN(UPPER(TRIM($DZ348)))-LEN(SUBSTITUTE(UPPER(TRIM($DZ348)),"E",""))&lt;2,LEN(UPPER(TRIM($DZ348)))-LEN(SUBSTITUTE(UPPER(TRIM($DZ348)),".",""))&lt;2,IFERROR(FIND(".",UPPER(TRIM($DZ348))),0)&lt;IFERROR(FIND("E",UPPER(TRIM($DZ348))),999)),ISNUMBER(VALUE(TRIM($DZ348)))),VALUE(TRIM($DZ348)),"")))),""))</f>
        <v/>
      </c>
      <c r="EB348">
        <f>IF($DM348=0,"",IF($L$18=0,"",IFERROR(IF(UPPER(TRIM(SUBSTITUTE(SUBSTITUTE(SUBSTITUTE(SUBSTITUTE(INDEX(PASTE_ALL,$DF348,$L$18)," "," "),CHAR(9)," "),CHAR(10)," "),CHAR(13)," ")))="READY","Ready",IF(UPPER(TRIM(SUBSTITUTE(SUBSTITUTE(SUBSTITUTE(SUBSTITUTE(INDEX(PASTE_ALL,$DF348,$L$18)," "," "),CHAR(9)," "),CHAR(10)," "),CHAR(13)," ")))="PM","PM",IF(OR(UPPER(TRIM(SUBSTITUTE(SUBSTITUTE(SUBSTITUTE(SUBSTITUTE(INDEX(PASTE_ALL,$DF348,$L$18)," "," "),CHAR(9)," "),CHAR(10)," "),CHAR(13)," ")))="OT",UPPER(TRIM(SUBSTITUTE(SUBSTITUTE(SUBSTITUTE(SUBSTITUTE(INDEX(PASTE_ALL,$DF348,$L$18)," "," "),CHAR(9)," "),CHAR(10)," "),CHAR(13)," ")))="OVERTIME",UPPER(TRIM(SUBSTITUTE(SUBSTITUTE(SUBSTITUTE(SUBSTITUTE(INDEX(PASTE_ALL,$DF348,$L$18)," "," "),CHAR(9)," "),CHAR(10)," "),CHAR(13)," ")))="TRIAL"),"OT",TRIM(SUBSTITUTE(SUBSTITUTE(SUBSTITUTE(SUBSTITUTE(INDEX(PASTE_ALL,$DF348,$L$18)," "," "),CHAR(9)," "),CHAR(10)," "),CHAR(13)," "))))),"")))</f>
        <v/>
      </c>
      <c r="EC348">
        <f>IF($DM348=0,"",IF($L$19=0,"",IFERROR(IF(ISNUMBER(INDEX(PASTE_ALL,$DF348,$L$19)),INDEX(PASTE_ALL,$DF348,$L$19),TRIM(SUBSTITUTE(SUBSTITUTE(SUBSTITUTE(SUBSTITUTE(INDEX(PASTE_ALL,$DF348,$L$19)," "," "),CHAR(9)," "),CHAR(10)," "),CHAR(13)," "))),"")))</f>
        <v/>
      </c>
      <c r="ED348">
        <f>IF($DM348=0,"",MATCH(1,INDEX(EXACT($DH$5:DH348,$DH348)*$DM$5:DM348,0),0))</f>
        <v/>
      </c>
      <c r="EE348">
        <f>IF($DM348=0,0,IF($ED348=$DE348,1,0))</f>
        <v/>
      </c>
      <c r="EF348">
        <f>EF347+$EE348</f>
        <v/>
      </c>
      <c r="EG348">
        <f>IF($DM348=0,"",INDEX($EF$5:$EF$1003,$ED348))</f>
        <v/>
      </c>
      <c r="EH348">
        <f>IF($DM348=0,"",IF($DO348&lt;&gt;"","",IFERROR(LOOKUP(2,1/(($EG$4:EG347=$EG348)*($DO$4:DO347&lt;&gt;"")),$DO$4:DO347),"")))</f>
        <v/>
      </c>
      <c r="EI348">
        <f>IF($DM348=0,"",IF($DO348&lt;&gt;"",$DO348,$EH348))</f>
        <v/>
      </c>
      <c r="EJ348">
        <f>IF($DM348=0,"",IF($EI348="",0,IF(OR(ISNUMBER($EI348),AND(AND(SUBSTITUTE(SUBSTITUTE(SUBSTITUTE(SUBSTITUTE(SUBSTITUTE(SUBSTITUTE(SUBSTITUTE(SUBSTITUTE(SUBSTITUTE(SUBSTITUTE(SUBSTITUTE(SUBSTITUTE(SUBSTITUTE(SUBSTITUTE(UPPER($EI348),"0",""),"1",""),"2",""),"3",""),"4",""),"5",""),"6",""),"7",""),"8",""),"9",""),".",""),"+",""),"-",""),"E","")="",LEN(SUBSTITUTE(SUBSTITUTE(MID(UPPER($EI348),1+OR(LEFT(UPPER($EI348),1)="+",LEFT(UPPER($EI348),1)="-"),999),"E+","E"),"E-","E"))=LEN(SUBSTITUTE(SUBSTITUTE(SUBSTITUTE(SUBSTITUTE(MID(UPPER($EI348),1+OR(LEFT(UPPER($EI348),1)="+",LEFT(UPPER($EI348),1)="-"),999),"E+","E"),"E-","E"),"+",""),"-","")),LEN(UPPER($EI348))-LEN(SUBSTITUTE(UPPER($EI348),"E",""))&lt;2,LEN(UPPER($EI348))-LEN(SUBSTITUTE(UPPER($EI348),".",""))&lt;2,IFERROR(FIND(".",UPPER($EI348)),0)&lt;IFERROR(FIND("E",UPPER($EI348)),999)),ISNUMBER(VALUE($EI348)))),1,2)))</f>
        <v/>
      </c>
      <c r="EK348">
        <f>IF($DM348=0,"",IF($EJ348=1,IF(ISNUMBER($EI348),$EI348,VALUE($EI348)),IF($EJ348=2,$DE348,0)))</f>
        <v/>
      </c>
      <c r="EL348">
        <f>IF($DM348=0,"",COUNTIF($EG$5:$EG$1003,"&lt;"&amp;$EG348)+SUMPRODUCT(($EG$5:$EG$1003=$EG348)*(($EJ$5:$EJ$1003&lt;$EJ348)+($EJ$5:$EJ$1003=$EJ348)*(($EK$5:$EK$1003&lt;$EK348)+($EK$5:$EK$1003=$EK348)*($DE$5:$DE$1003&lt;$DE348))))+1)</f>
        <v/>
      </c>
      <c r="EM348">
        <f>IF($DM348=0,"",$EL348+$EG348-1)</f>
        <v/>
      </c>
      <c r="EN348">
        <f>IF($DM348=0,0,IFERROR(MATCH(1,INDEX(--(TRIM(SUBSTITUTE(SUBSTITUTE(SUBSTITUTE(SUBSTITUTE(LINES_NAME&amp;""," "," "),CHAR(9)," "),CHAR(10)," "),CHAR(13)," "))=$DH348),0),0),0))</f>
        <v/>
      </c>
      <c r="EO348">
        <f>IF($EN348=0,0,IF(OR(UPPER(TRIM(INDEX(LINES_SCHEDULED,$EN348)&amp;""))="YES",UPPER(TRIM(INDEX(LINES_SCHEDULED,$EN348)&amp;""))="Y",UPPER(TRIM(INDEX(LINES_SCHEDULED,$EN348)&amp;""))="X"),1,0))</f>
        <v/>
      </c>
      <c r="EP348">
        <f>IF($DM348=0,"",IF(COUNTIFS($EG$5:$EG$1003,$EG348,$EB$5:$EB$1003,"Ready")&gt;0,"READY",IF(COUNTIFS($EG$5:$EG$1003,$EG348,$EB$5:$EB$1003,"PM")&gt;0,"PM",IF(COUNTIFS($EG$5:$EG$1003,$EG348,$EB$5:$EB$1003,"OT")&gt;0,"OT",""))))</f>
        <v/>
      </c>
      <c r="EQ348">
        <f>IF($EN348=0,"",UPPER(TRIM(INDEX(LINES_STATUS,$EN348)&amp;"")))</f>
        <v/>
      </c>
      <c r="ER348">
        <f>IF($DM348=0,"",IF(OR($EQ348="READY",$EQ348="PM",$EQ348="OT"),$EQ348,$EP348))</f>
        <v/>
      </c>
      <c r="ES348">
        <f>IF($DM348=0,"",IF(AND($DV348&lt;&gt;"",UPPER($DV348)&lt;&gt;"N"),"allergen",IF(ISNUMBER(SEARCH("oil",$DQ348)),"oil",IF(OR(EXACT($DS348,"A662"),EXACT($DS348,"A624")),"bulk",""))))</f>
        <v/>
      </c>
      <c r="ET348">
        <f>IF($DM348=0,"",IF(OR($EA348="",$EA348=0),"",$EA348/100))</f>
        <v/>
      </c>
      <c r="EU348">
        <f>IF(OR($ET348="",$DY348=""),"",INT($DY348*(1-$ET348)+0.5))</f>
        <v/>
      </c>
      <c r="EW348" t="n">
        <v>344</v>
      </c>
      <c r="EX348">
        <f>IFERROR(MATCH($EW348,$EM$5:$EM$1003,0),0)</f>
        <v/>
      </c>
      <c r="EY348">
        <f>IF($EW348&gt;$B$12,"",IF($EX348&gt;0,"row","spacer"))</f>
        <v/>
      </c>
      <c r="EZ348">
        <f>IF(AND($EY348="row",$EY347&lt;&gt;"row"),1,0)</f>
        <v/>
      </c>
      <c r="FA348">
        <f>IF(AND($EY348="row",$EY349&lt;&gt;"row"),1,0)</f>
        <v/>
      </c>
      <c r="FB348">
        <f>IF($EZ348=1,IFERROR(IF(ISNUMBER(INDEX(PASTE_ALL,INDEX($DF$5:$DF$1003,$EX348),$B$37)),INDEX(PASTE_ALL,INDEX($DF$5:$DF$1003,$EX348),$B$37),INDEX($DH$5:$DH$1003,$EX348)),INDEX($DH$5:$DH$1003,$EX348)),"")</f>
        <v/>
      </c>
      <c r="FC348">
        <f>IF($EY348="row",INDEX($ER$5:$ER$1003,$EX348),"")</f>
        <v/>
      </c>
      <c r="FD348">
        <f>IF($EY348="row",INDEX($DN$5:$DN$1003,$EX348),"")</f>
        <v/>
      </c>
      <c r="FE348">
        <f>IF($EY348="row",INDEX($DO$5:$DO$1003,$EX348),"")</f>
        <v/>
      </c>
      <c r="FF348">
        <f>IF($EY348="row",INDEX($DP$5:$DP$1003,$EX348),"")</f>
        <v/>
      </c>
      <c r="FG348">
        <f>IF($EY348="row",INDEX($DQ$5:$DQ$1003,$EX348),"")</f>
        <v/>
      </c>
      <c r="FH348">
        <f>IF($EY348="row",INDEX($DR$5:$DR$1003,$EX348),"")</f>
        <v/>
      </c>
      <c r="FI348">
        <f>IF($EY348="row",INDEX($DS$5:$DS$1003,$EX348),"")</f>
        <v/>
      </c>
      <c r="FJ348">
        <f>IF($EY348="row",INDEX($DT$5:$DT$1003,$EX348),"")</f>
        <v/>
      </c>
      <c r="FK348">
        <f>IF($EY348="row",INDEX($DU$5:$DU$1003,$EX348),"")</f>
        <v/>
      </c>
      <c r="FL348">
        <f>IF($EY348="row",INDEX($DV$5:$DV$1003,$EX348),"")</f>
        <v/>
      </c>
      <c r="FM348">
        <f>IF($EY348="row",INDEX($DW$5:$DW$1003,$EX348),"")</f>
        <v/>
      </c>
      <c r="FN348">
        <f>IF($EY348="row",INDEX($DY$5:$DY$1003,$EX348),"")</f>
        <v/>
      </c>
      <c r="FO348">
        <f>IF($EY348="row",INDEX($EA$5:$EA$1003,$EX348),"")</f>
        <v/>
      </c>
      <c r="FP348">
        <f>IF($EY348="row",INDEX($EC$5:$EC$1003,$EX348),"")</f>
        <v/>
      </c>
      <c r="FQ348">
        <f>IF($EY348="row",INDEX($ET$5:$ET$1003,$EX348),"")</f>
        <v/>
      </c>
      <c r="FR348">
        <f>IF($EY348="row",INDEX($EU$5:$EU$1003,$EX348),"")</f>
        <v/>
      </c>
      <c r="FS348">
        <f>IF(AND($EY348="row",$EY347="row"),IF(OR(INDEX($DT$5:$DT$1003,$EX347)="",INDEX($DT$5:$DT$1003,$EX348)=""),"",IF(NOT(EXACT(INDEX($DT$5:$DT$1003,$EX347),INDEX($DT$5:$DT$1003,$EX348))),"S4",IF(NOT(EXACT(INDEX($DS$5:$DS$1003,$EX347),INDEX($DS$5:$DS$1003,$EX348))),"S3",IF(NOT(EXACT(INDEX($DR$5:$DR$1003,$EX347),INDEX($DR$5:$DR$1003,$EX348))),"S1 Count Change","S1")))),"")</f>
        <v/>
      </c>
      <c r="FT348">
        <f>IF($EY348="row",INDEX($ES$5:$ES$1003,$EX348),"")</f>
        <v/>
      </c>
      <c r="FU348">
        <f>IF($EY348="row",INDEX($EO$5:$EO$1003,$EX348),0)</f>
        <v/>
      </c>
      <c r="FV348">
        <f>IF($FS348="S1 Count Change",1,0)</f>
        <v/>
      </c>
    </row>
    <row r="349">
      <c r="DA349" t="n">
        <v>345</v>
      </c>
      <c r="DB349">
        <f>IF($B$37=0,"",IFERROR(TRIM(SUBSTITUTE(SUBSTITUTE(SUBSTITUTE(SUBSTITUTE(INDEX(PASTE_ALL,345,$B$37)," "," "),CHAR(9)," "),CHAR(10)," "),CHAR(13)," ")),""))</f>
        <v/>
      </c>
      <c r="DC349">
        <f>IF(AND(345&gt;HEADER_ROW,UPPER(DB349)="LEGEND"),1,0)</f>
        <v/>
      </c>
      <c r="DE349" t="n">
        <v>345</v>
      </c>
      <c r="DF349">
        <f>HEADER_ROW+$DE349</f>
        <v/>
      </c>
      <c r="DG349">
        <f>IF(AND($DF349&lt;=1000,$DF349&lt;$B$8),1,0)</f>
        <v/>
      </c>
      <c r="DH349">
        <f>IF($DG349=1,IFERROR(INDEX($DB$5:$DB$1004,$DF349),""),"")</f>
        <v/>
      </c>
      <c r="DI349">
        <f>IF(AND($DG349=1,$DH349&lt;&gt;""),IFERROR(SUBSTITUTE(SUBSTITUTE(TRIM(SUBSTITUTE(SUBSTITUTE(SUBSTITUTE(SUBSTITUTE(IFERROR(INDEX(PASTE_ALL,$DF349,1)&amp;"","")&amp;"␟"&amp;IFERROR(INDEX(PASTE_ALL,$DF349,2)&amp;"","")&amp;"␟"&amp;IFERROR(INDEX(PASTE_ALL,$DF349,3)&amp;"","")&amp;"␟"&amp;IFERROR(INDEX(PASTE_ALL,$DF349,4)&amp;"","")&amp;"␟"&amp;IFERROR(INDEX(PASTE_ALL,$DF349,5)&amp;"","")&amp;"␟"&amp;IFERROR(INDEX(PASTE_ALL,$DF349,6)&amp;"","")&amp;"␟"&amp;IFERROR(INDEX(PASTE_ALL,$DF349,7)&amp;"","")&amp;"␟"&amp;IFERROR(INDEX(PASTE_ALL,$DF349,8)&amp;"","")&amp;"␟"&amp;IFERROR(INDEX(PASTE_ALL,$DF349,9)&amp;"","")&amp;"␟"&amp;IFERROR(INDEX(PASTE_ALL,$DF349,10)&amp;"","")&amp;"␟"&amp;IFERROR(INDEX(PASTE_ALL,$DF349,11)&amp;"","")&amp;"␟"&amp;IFERROR(INDEX(PASTE_ALL,$DF349,12)&amp;"","")&amp;"␟"&amp;IFERROR(INDEX(PASTE_ALL,$DF349,13)&amp;"","")&amp;"␟"&amp;IFERROR(INDEX(PASTE_ALL,$DF349,14)&amp;"","")&amp;"␟"&amp;IFERROR(INDEX(PASTE_ALL,$DF349,15)&amp;"","")&amp;"␟"&amp;IFERROR(INDEX(PASTE_ALL,$DF349,16)&amp;"","")&amp;"␟"&amp;IFERROR(INDEX(PASTE_ALL,$DF349,17)&amp;"","")&amp;"␟"&amp;IFERROR(INDEX(PASTE_ALL,$DF349,18)&amp;"","")&amp;"␟"&amp;IFERROR(INDEX(PASTE_ALL,$DF349,19)&amp;"","")&amp;"␟"&amp;IFERROR(INDEX(PASTE_ALL,$DF349,20)&amp;"","")&amp;"␟"&amp;IFERROR(INDEX(PASTE_ALL,$DF349,21)&amp;"","")&amp;"␟"&amp;IFERROR(INDEX(PASTE_ALL,$DF349,22)&amp;"","")&amp;"␟"&amp;IFERROR(INDEX(PASTE_ALL,$DF349,23)&amp;"","")&amp;"␟"&amp;IFERROR(INDEX(PASTE_ALL,$DF349,24)&amp;"","")&amp;"␟"&amp;IFERROR(INDEX(PASTE_ALL,$DF349,25)&amp;"","")&amp;"␟"&amp;IFERROR(INDEX(PASTE_ALL,$DF349,26)&amp;"","")&amp;"␟"&amp;IFERROR(INDEX(PASTE_ALL,$DF349,27)&amp;"","")&amp;"␟"&amp;IFERROR(INDEX(PASTE_ALL,$DF349,28)&amp;"","")&amp;"␟"&amp;IFERROR(INDEX(PASTE_ALL,$DF349,29)&amp;"","")&amp;"␟"&amp;IFERROR(INDEX(PASTE_ALL,$DF349,30)&amp;"","")&amp;"␟"&amp;IFERROR(INDEX(PASTE_ALL,$DF349,31)&amp;"","")&amp;"␟"&amp;IFERROR(INDEX(PASTE_ALL,$DF349,32)&amp;"","")&amp;"␟"&amp;IFERROR(INDEX(PASTE_ALL,$DF349,33)&amp;"","")&amp;"␟"&amp;IFERROR(INDEX(PASTE_ALL,$DF349,34)&amp;"","")&amp;"␟"&amp;IFERROR(INDEX(PASTE_ALL,$DF349,35)&amp;"","")&amp;"␟"&amp;IFERROR(INDEX(PASTE_ALL,$DF349,36)&amp;"","")&amp;"␟"&amp;IFERROR(INDEX(PASTE_ALL,$DF349,37)&amp;"","")&amp;"␟"&amp;IFERROR(INDEX(PASTE_ALL,$DF349,38)&amp;"","")&amp;"␟"&amp;IFERROR(INDEX(PASTE_ALL,$DF349,39)&amp;"","")&amp;"␟"&amp;IFERROR(INDEX(PASTE_ALL,$DF349,40)&amp;"","")&amp;"␟"&amp;IFERROR(INDEX(PASTE_ALL,$DF349,41)&amp;"","")&amp;"␟"&amp;IFERROR(INDEX(PASTE_ALL,$DF349,42)&amp;"","")&amp;"␟"&amp;IFERROR(INDEX(PASTE_ALL,$DF349,43)&amp;"","")&amp;"␟"&amp;IFERROR(INDEX(PASTE_ALL,$DF349,44)&amp;"","")&amp;"␟"&amp;IFERROR(INDEX(PASTE_ALL,$DF349,45)&amp;"","")&amp;"␟"&amp;IFERROR(INDEX(PASTE_ALL,$DF349,46)&amp;"","")&amp;"␟"&amp;IFERROR(INDEX(PASTE_ALL,$DF349,47)&amp;"","")&amp;"␟"&amp;IFERROR(INDEX(PASTE_ALL,$DF349,48)&amp;"","")&amp;"␟"&amp;IFERROR(INDEX(PASTE_ALL,$DF349,49)&amp;"","")&amp;"␟"&amp;IFERROR(INDEX(PASTE_ALL,$DF349,50)&amp;"","")&amp;"␟"&amp;IFERROR(INDEX(PASTE_ALL,$DF349,51)&amp;"","")&amp;"␟"&amp;IFERROR(INDEX(PASTE_ALL,$DF349,52)&amp;"","")&amp;"␟"&amp;IFERROR(INDEX(PASTE_ALL,$DF349,53)&amp;"","")&amp;"␟"&amp;IFERROR(INDEX(PASTE_ALL,$DF349,54)&amp;"","")&amp;"␟"&amp;IFERROR(INDEX(PASTE_ALL,$DF349,55)&amp;"","")&amp;"␟"&amp;IFERROR(INDEX(PASTE_ALL,$DF349,56)&amp;"","")&amp;"␟"&amp;IFERROR(INDEX(PASTE_ALL,$DF349,57)&amp;"","")&amp;"␟"&amp;IFERROR(INDEX(PASTE_ALL,$DF349,58)&amp;"","")&amp;"␟"&amp;IFERROR(INDEX(PASTE_ALL,$DF349,59)&amp;"","")&amp;"␟"&amp;IFERROR(INDEX(PASTE_ALL,$DF349,60)&amp;"","")," "," "),CHAR(9)," "),CHAR(10)," "),CHAR(13)," "))," ␟","␟"),"␟ ","␟"),"#"&amp;$DE349),"")</f>
        <v/>
      </c>
      <c r="DJ349">
        <f>IF($DI349="",0,IF(SUMPRODUCT(--EXACT($DI$4:DI348,$DI349))&gt;0,1,0))</f>
        <v/>
      </c>
      <c r="DK349">
        <f>IF(AND($DI349&lt;&gt;"",$DJ349=0),1,0)</f>
        <v/>
      </c>
      <c r="DL349">
        <f>DL348+$DK349</f>
        <v/>
      </c>
      <c r="DM349">
        <f>IF(AND($DK349=1,$DL349&lt;=600),1,0)</f>
        <v/>
      </c>
      <c r="DN349">
        <f>IF($DM349=0,"",IF($L$6=0,"",IFERROR(IF(ISNUMBER(INDEX(PASTE_ALL,$DF349,$L$6)),INDEX(PASTE_ALL,$DF349,$L$6),TRIM(SUBSTITUTE(SUBSTITUTE(SUBSTITUTE(SUBSTITUTE(INDEX(PASTE_ALL,$DF349,$L$6)," "," "),CHAR(9)," "),CHAR(10)," "),CHAR(13)," "))),"")))</f>
        <v/>
      </c>
      <c r="DO349">
        <f>IF($DM349=0,"",IF($L$7=0,"",IFERROR(IF(ISNUMBER(INDEX(PASTE_ALL,$DF349,$L$7)),INDEX(PASTE_ALL,$DF349,$L$7),TRIM(SUBSTITUTE(SUBSTITUTE(SUBSTITUTE(SUBSTITUTE(INDEX(PASTE_ALL,$DF349,$L$7)," "," "),CHAR(9)," "),CHAR(10)," "),CHAR(13)," "))),"")))</f>
        <v/>
      </c>
      <c r="DP349">
        <f>IF($DM349=0,"",IF($L$8=0,"",IFERROR(IF(ISNUMBER(INDEX(PASTE_ALL,$DF349,$L$8)),INDEX(PASTE_ALL,$DF349,$L$8),TRIM(SUBSTITUTE(SUBSTITUTE(SUBSTITUTE(SUBSTITUTE(INDEX(PASTE_ALL,$DF349,$L$8)," "," "),CHAR(9)," "),CHAR(10)," "),CHAR(13)," "))),"")))</f>
        <v/>
      </c>
      <c r="DQ349">
        <f>IF($DM349=0,"",IF($L$9=0,"",IFERROR(IF(ISNUMBER(INDEX(PASTE_ALL,$DF349,$L$9)),INDEX(PASTE_ALL,$DF349,$L$9),TRIM(SUBSTITUTE(SUBSTITUTE(SUBSTITUTE(SUBSTITUTE(INDEX(PASTE_ALL,$DF349,$L$9)," "," "),CHAR(9)," "),CHAR(10)," "),CHAR(13)," "))),"")))</f>
        <v/>
      </c>
      <c r="DR349">
        <f>IF($DM349=0,"",IF($L$10=0,"",IFERROR(IF(ISNUMBER(INDEX(PASTE_ALL,$DF349,$L$10)),INDEX(PASTE_ALL,$DF349,$L$10),TRIM(SUBSTITUTE(SUBSTITUTE(SUBSTITUTE(SUBSTITUTE(INDEX(PASTE_ALL,$DF349,$L$10)," "," "),CHAR(9)," "),CHAR(10)," "),CHAR(13)," "))),"")))</f>
        <v/>
      </c>
      <c r="DS349">
        <f>IF($DM349=0,"",IF($L$11=0,"",IFERROR(IF(ISNUMBER(INDEX(PASTE_ALL,$DF349,$L$11)),INDEX(PASTE_ALL,$DF349,$L$11),TRIM(SUBSTITUTE(SUBSTITUTE(SUBSTITUTE(SUBSTITUTE(INDEX(PASTE_ALL,$DF349,$L$11)," "," "),CHAR(9)," "),CHAR(10)," "),CHAR(13)," "))),"")))</f>
        <v/>
      </c>
      <c r="DT349">
        <f>IF($DM349=0,"",IF($L$12=0,"",IFERROR(IF(ISNUMBER(INDEX(PASTE_ALL,$DF349,$L$12)),INDEX(PASTE_ALL,$DF349,$L$12),TRIM(SUBSTITUTE(SUBSTITUTE(SUBSTITUTE(SUBSTITUTE(INDEX(PASTE_ALL,$DF349,$L$12)," "," "),CHAR(9)," "),CHAR(10)," "),CHAR(13)," "))),"")))</f>
        <v/>
      </c>
      <c r="DU349">
        <f>IF($DM349=0,"",IF($L$13=0,"",IFERROR(IF(ISNUMBER(INDEX(PASTE_ALL,$DF349,$L$13)),INDEX(PASTE_ALL,$DF349,$L$13),TRIM(SUBSTITUTE(SUBSTITUTE(SUBSTITUTE(SUBSTITUTE(INDEX(PASTE_ALL,$DF349,$L$13)," "," "),CHAR(9)," "),CHAR(10)," "),CHAR(13)," "))),"")))</f>
        <v/>
      </c>
      <c r="DV349">
        <f>IF($DM349=0,"",IF($L$14=0,"",IFERROR(IF(ISNUMBER(INDEX(PASTE_ALL,$DF349,$L$14)),INDEX(PASTE_ALL,$DF349,$L$14),TRIM(SUBSTITUTE(SUBSTITUTE(SUBSTITUTE(SUBSTITUTE(INDEX(PASTE_ALL,$DF349,$L$14)," "," "),CHAR(9)," "),CHAR(10)," "),CHAR(13)," "))),"")))</f>
        <v/>
      </c>
      <c r="DW349">
        <f>IF($DM349=0,"",IF($L$15=0,"",IFERROR(IF(ISNUMBER(INDEX(PASTE_ALL,$DF349,$L$15)),INDEX(PASTE_ALL,$DF349,$L$15),IF(SUMPRODUCT(--ISNUMBER(FIND({"A","B","C","D","E","F","G","H","I","J","K","L","M","N","O","P","Q","R","S","T","U","V","W","X","Y","Z","0","1","2","3","4","5","6","7","8","9"},UPPER(TRIM(SUBSTITUTE(SUBSTITUTE(SUBSTITUTE(SUBSTITUTE(INDEX(PASTE_ALL,$DF349,$L$15)," "," "),CHAR(9)," "),CHAR(10)," "),CHAR(13)," "))))))&gt;0,TRIM(SUBSTITUTE(SUBSTITUTE(SUBSTITUTE(SUBSTITUTE(INDEX(PASTE_ALL,$DF349,$L$15)," "," "),CHAR(9)," "),CHAR(10)," "),CHAR(13)," ")),"")),"")))</f>
        <v/>
      </c>
      <c r="DX349">
        <f>IF($DM349=0,"",IF($L$16=0,"",IFERROR(IF(ISNUMBER(INDEX(PASTE_ALL,$DF349,$L$16)),INDEX(PASTE_ALL,$DF349,$L$16),SUBSTITUTE(SUBSTITUTE(TRIM(SUBSTITUTE(SUBSTITUTE(SUBSTITUTE(SUBSTITUTE(INDEX(PASTE_ALL,$DF349,$L$16)," "," "),CHAR(9)," "),CHAR(10)," "),CHAR(13)," ")),",",""),"%","")),"")))</f>
        <v/>
      </c>
      <c r="DY349">
        <f>IF($DM349=0,"",IFERROR(IF(ISNUMBER($DX349),$DX349,IF($DX349="","",IF(TRIM($DX349)="",0,IF(AND(AND(SUBSTITUTE(SUBSTITUTE(SUBSTITUTE(SUBSTITUTE(SUBSTITUTE(SUBSTITUTE(SUBSTITUTE(SUBSTITUTE(SUBSTITUTE(SUBSTITUTE(SUBSTITUTE(SUBSTITUTE(SUBSTITUTE(SUBSTITUTE(UPPER(TRIM($DX349)),"0",""),"1",""),"2",""),"3",""),"4",""),"5",""),"6",""),"7",""),"8",""),"9",""),".",""),"+",""),"-",""),"E","")="",LEN(SUBSTITUTE(SUBSTITUTE(MID(UPPER(TRIM($DX349)),1+OR(LEFT(UPPER(TRIM($DX349)),1)="+",LEFT(UPPER(TRIM($DX349)),1)="-"),999),"E+","E"),"E-","E"))=LEN(SUBSTITUTE(SUBSTITUTE(SUBSTITUTE(SUBSTITUTE(MID(UPPER(TRIM($DX349)),1+OR(LEFT(UPPER(TRIM($DX349)),1)="+",LEFT(UPPER(TRIM($DX349)),1)="-"),999),"E+","E"),"E-","E"),"+",""),"-","")),LEN(UPPER(TRIM($DX349)))-LEN(SUBSTITUTE(UPPER(TRIM($DX349)),"E",""))&lt;2,LEN(UPPER(TRIM($DX349)))-LEN(SUBSTITUTE(UPPER(TRIM($DX349)),".",""))&lt;2,IFERROR(FIND(".",UPPER(TRIM($DX349))),0)&lt;IFERROR(FIND("E",UPPER(TRIM($DX349))),999)),ISNUMBER(VALUE(TRIM($DX349)))),VALUE(TRIM($DX349)),"")))),""))</f>
        <v/>
      </c>
      <c r="DZ349">
        <f>IF($DM349=0,"",IF($L$17=0,"",IFERROR(IF(ISNUMBER(INDEX(PASTE_ALL,$DF349,$L$17)),INDEX(PASTE_ALL,$DF349,$L$17),SUBSTITUTE(SUBSTITUTE(TRIM(SUBSTITUTE(SUBSTITUTE(SUBSTITUTE(SUBSTITUTE(INDEX(PASTE_ALL,$DF349,$L$17)," "," "),CHAR(9)," "),CHAR(10)," "),CHAR(13)," ")),",",""),"%","")),"")))</f>
        <v/>
      </c>
      <c r="EA349">
        <f>IF($DM349=0,"",IFERROR(IF(ISNUMBER($DZ349),$DZ349,IF($DZ349="","",IF(TRIM($DZ349)="",0,IF(AND(AND(SUBSTITUTE(SUBSTITUTE(SUBSTITUTE(SUBSTITUTE(SUBSTITUTE(SUBSTITUTE(SUBSTITUTE(SUBSTITUTE(SUBSTITUTE(SUBSTITUTE(SUBSTITUTE(SUBSTITUTE(SUBSTITUTE(SUBSTITUTE(UPPER(TRIM($DZ349)),"0",""),"1",""),"2",""),"3",""),"4",""),"5",""),"6",""),"7",""),"8",""),"9",""),".",""),"+",""),"-",""),"E","")="",LEN(SUBSTITUTE(SUBSTITUTE(MID(UPPER(TRIM($DZ349)),1+OR(LEFT(UPPER(TRIM($DZ349)),1)="+",LEFT(UPPER(TRIM($DZ349)),1)="-"),999),"E+","E"),"E-","E"))=LEN(SUBSTITUTE(SUBSTITUTE(SUBSTITUTE(SUBSTITUTE(MID(UPPER(TRIM($DZ349)),1+OR(LEFT(UPPER(TRIM($DZ349)),1)="+",LEFT(UPPER(TRIM($DZ349)),1)="-"),999),"E+","E"),"E-","E"),"+",""),"-","")),LEN(UPPER(TRIM($DZ349)))-LEN(SUBSTITUTE(UPPER(TRIM($DZ349)),"E",""))&lt;2,LEN(UPPER(TRIM($DZ349)))-LEN(SUBSTITUTE(UPPER(TRIM($DZ349)),".",""))&lt;2,IFERROR(FIND(".",UPPER(TRIM($DZ349))),0)&lt;IFERROR(FIND("E",UPPER(TRIM($DZ349))),999)),ISNUMBER(VALUE(TRIM($DZ349)))),VALUE(TRIM($DZ349)),"")))),""))</f>
        <v/>
      </c>
      <c r="EB349">
        <f>IF($DM349=0,"",IF($L$18=0,"",IFERROR(IF(UPPER(TRIM(SUBSTITUTE(SUBSTITUTE(SUBSTITUTE(SUBSTITUTE(INDEX(PASTE_ALL,$DF349,$L$18)," "," "),CHAR(9)," "),CHAR(10)," "),CHAR(13)," ")))="READY","Ready",IF(UPPER(TRIM(SUBSTITUTE(SUBSTITUTE(SUBSTITUTE(SUBSTITUTE(INDEX(PASTE_ALL,$DF349,$L$18)," "," "),CHAR(9)," "),CHAR(10)," "),CHAR(13)," ")))="PM","PM",IF(OR(UPPER(TRIM(SUBSTITUTE(SUBSTITUTE(SUBSTITUTE(SUBSTITUTE(INDEX(PASTE_ALL,$DF349,$L$18)," "," "),CHAR(9)," "),CHAR(10)," "),CHAR(13)," ")))="OT",UPPER(TRIM(SUBSTITUTE(SUBSTITUTE(SUBSTITUTE(SUBSTITUTE(INDEX(PASTE_ALL,$DF349,$L$18)," "," "),CHAR(9)," "),CHAR(10)," "),CHAR(13)," ")))="OVERTIME",UPPER(TRIM(SUBSTITUTE(SUBSTITUTE(SUBSTITUTE(SUBSTITUTE(INDEX(PASTE_ALL,$DF349,$L$18)," "," "),CHAR(9)," "),CHAR(10)," "),CHAR(13)," ")))="TRIAL"),"OT",TRIM(SUBSTITUTE(SUBSTITUTE(SUBSTITUTE(SUBSTITUTE(INDEX(PASTE_ALL,$DF349,$L$18)," "," "),CHAR(9)," "),CHAR(10)," "),CHAR(13)," "))))),"")))</f>
        <v/>
      </c>
      <c r="EC349">
        <f>IF($DM349=0,"",IF($L$19=0,"",IFERROR(IF(ISNUMBER(INDEX(PASTE_ALL,$DF349,$L$19)),INDEX(PASTE_ALL,$DF349,$L$19),TRIM(SUBSTITUTE(SUBSTITUTE(SUBSTITUTE(SUBSTITUTE(INDEX(PASTE_ALL,$DF349,$L$19)," "," "),CHAR(9)," "),CHAR(10)," "),CHAR(13)," "))),"")))</f>
        <v/>
      </c>
      <c r="ED349">
        <f>IF($DM349=0,"",MATCH(1,INDEX(EXACT($DH$5:DH349,$DH349)*$DM$5:DM349,0),0))</f>
        <v/>
      </c>
      <c r="EE349">
        <f>IF($DM349=0,0,IF($ED349=$DE349,1,0))</f>
        <v/>
      </c>
      <c r="EF349">
        <f>EF348+$EE349</f>
        <v/>
      </c>
      <c r="EG349">
        <f>IF($DM349=0,"",INDEX($EF$5:$EF$1003,$ED349))</f>
        <v/>
      </c>
      <c r="EH349">
        <f>IF($DM349=0,"",IF($DO349&lt;&gt;"","",IFERROR(LOOKUP(2,1/(($EG$4:EG348=$EG349)*($DO$4:DO348&lt;&gt;"")),$DO$4:DO348),"")))</f>
        <v/>
      </c>
      <c r="EI349">
        <f>IF($DM349=0,"",IF($DO349&lt;&gt;"",$DO349,$EH349))</f>
        <v/>
      </c>
      <c r="EJ349">
        <f>IF($DM349=0,"",IF($EI349="",0,IF(OR(ISNUMBER($EI349),AND(AND(SUBSTITUTE(SUBSTITUTE(SUBSTITUTE(SUBSTITUTE(SUBSTITUTE(SUBSTITUTE(SUBSTITUTE(SUBSTITUTE(SUBSTITUTE(SUBSTITUTE(SUBSTITUTE(SUBSTITUTE(SUBSTITUTE(SUBSTITUTE(UPPER($EI349),"0",""),"1",""),"2",""),"3",""),"4",""),"5",""),"6",""),"7",""),"8",""),"9",""),".",""),"+",""),"-",""),"E","")="",LEN(SUBSTITUTE(SUBSTITUTE(MID(UPPER($EI349),1+OR(LEFT(UPPER($EI349),1)="+",LEFT(UPPER($EI349),1)="-"),999),"E+","E"),"E-","E"))=LEN(SUBSTITUTE(SUBSTITUTE(SUBSTITUTE(SUBSTITUTE(MID(UPPER($EI349),1+OR(LEFT(UPPER($EI349),1)="+",LEFT(UPPER($EI349),1)="-"),999),"E+","E"),"E-","E"),"+",""),"-","")),LEN(UPPER($EI349))-LEN(SUBSTITUTE(UPPER($EI349),"E",""))&lt;2,LEN(UPPER($EI349))-LEN(SUBSTITUTE(UPPER($EI349),".",""))&lt;2,IFERROR(FIND(".",UPPER($EI349)),0)&lt;IFERROR(FIND("E",UPPER($EI349)),999)),ISNUMBER(VALUE($EI349)))),1,2)))</f>
        <v/>
      </c>
      <c r="EK349">
        <f>IF($DM349=0,"",IF($EJ349=1,IF(ISNUMBER($EI349),$EI349,VALUE($EI349)),IF($EJ349=2,$DE349,0)))</f>
        <v/>
      </c>
      <c r="EL349">
        <f>IF($DM349=0,"",COUNTIF($EG$5:$EG$1003,"&lt;"&amp;$EG349)+SUMPRODUCT(($EG$5:$EG$1003=$EG349)*(($EJ$5:$EJ$1003&lt;$EJ349)+($EJ$5:$EJ$1003=$EJ349)*(($EK$5:$EK$1003&lt;$EK349)+($EK$5:$EK$1003=$EK349)*($DE$5:$DE$1003&lt;$DE349))))+1)</f>
        <v/>
      </c>
      <c r="EM349">
        <f>IF($DM349=0,"",$EL349+$EG349-1)</f>
        <v/>
      </c>
      <c r="EN349">
        <f>IF($DM349=0,0,IFERROR(MATCH(1,INDEX(--(TRIM(SUBSTITUTE(SUBSTITUTE(SUBSTITUTE(SUBSTITUTE(LINES_NAME&amp;""," "," "),CHAR(9)," "),CHAR(10)," "),CHAR(13)," "))=$DH349),0),0),0))</f>
        <v/>
      </c>
      <c r="EO349">
        <f>IF($EN349=0,0,IF(OR(UPPER(TRIM(INDEX(LINES_SCHEDULED,$EN349)&amp;""))="YES",UPPER(TRIM(INDEX(LINES_SCHEDULED,$EN349)&amp;""))="Y",UPPER(TRIM(INDEX(LINES_SCHEDULED,$EN349)&amp;""))="X"),1,0))</f>
        <v/>
      </c>
      <c r="EP349">
        <f>IF($DM349=0,"",IF(COUNTIFS($EG$5:$EG$1003,$EG349,$EB$5:$EB$1003,"Ready")&gt;0,"READY",IF(COUNTIFS($EG$5:$EG$1003,$EG349,$EB$5:$EB$1003,"PM")&gt;0,"PM",IF(COUNTIFS($EG$5:$EG$1003,$EG349,$EB$5:$EB$1003,"OT")&gt;0,"OT",""))))</f>
        <v/>
      </c>
      <c r="EQ349">
        <f>IF($EN349=0,"",UPPER(TRIM(INDEX(LINES_STATUS,$EN349)&amp;"")))</f>
        <v/>
      </c>
      <c r="ER349">
        <f>IF($DM349=0,"",IF(OR($EQ349="READY",$EQ349="PM",$EQ349="OT"),$EQ349,$EP349))</f>
        <v/>
      </c>
      <c r="ES349">
        <f>IF($DM349=0,"",IF(AND($DV349&lt;&gt;"",UPPER($DV349)&lt;&gt;"N"),"allergen",IF(ISNUMBER(SEARCH("oil",$DQ349)),"oil",IF(OR(EXACT($DS349,"A662"),EXACT($DS349,"A624")),"bulk",""))))</f>
        <v/>
      </c>
      <c r="ET349">
        <f>IF($DM349=0,"",IF(OR($EA349="",$EA349=0),"",$EA349/100))</f>
        <v/>
      </c>
      <c r="EU349">
        <f>IF(OR($ET349="",$DY349=""),"",INT($DY349*(1-$ET349)+0.5))</f>
        <v/>
      </c>
      <c r="EW349" t="n">
        <v>345</v>
      </c>
      <c r="EX349">
        <f>IFERROR(MATCH($EW349,$EM$5:$EM$1003,0),0)</f>
        <v/>
      </c>
      <c r="EY349">
        <f>IF($EW349&gt;$B$12,"",IF($EX349&gt;0,"row","spacer"))</f>
        <v/>
      </c>
      <c r="EZ349">
        <f>IF(AND($EY349="row",$EY348&lt;&gt;"row"),1,0)</f>
        <v/>
      </c>
      <c r="FA349">
        <f>IF(AND($EY349="row",$EY350&lt;&gt;"row"),1,0)</f>
        <v/>
      </c>
      <c r="FB349">
        <f>IF($EZ349=1,IFERROR(IF(ISNUMBER(INDEX(PASTE_ALL,INDEX($DF$5:$DF$1003,$EX349),$B$37)),INDEX(PASTE_ALL,INDEX($DF$5:$DF$1003,$EX349),$B$37),INDEX($DH$5:$DH$1003,$EX349)),INDEX($DH$5:$DH$1003,$EX349)),"")</f>
        <v/>
      </c>
      <c r="FC349">
        <f>IF($EY349="row",INDEX($ER$5:$ER$1003,$EX349),"")</f>
        <v/>
      </c>
      <c r="FD349">
        <f>IF($EY349="row",INDEX($DN$5:$DN$1003,$EX349),"")</f>
        <v/>
      </c>
      <c r="FE349">
        <f>IF($EY349="row",INDEX($DO$5:$DO$1003,$EX349),"")</f>
        <v/>
      </c>
      <c r="FF349">
        <f>IF($EY349="row",INDEX($DP$5:$DP$1003,$EX349),"")</f>
        <v/>
      </c>
      <c r="FG349">
        <f>IF($EY349="row",INDEX($DQ$5:$DQ$1003,$EX349),"")</f>
        <v/>
      </c>
      <c r="FH349">
        <f>IF($EY349="row",INDEX($DR$5:$DR$1003,$EX349),"")</f>
        <v/>
      </c>
      <c r="FI349">
        <f>IF($EY349="row",INDEX($DS$5:$DS$1003,$EX349),"")</f>
        <v/>
      </c>
      <c r="FJ349">
        <f>IF($EY349="row",INDEX($DT$5:$DT$1003,$EX349),"")</f>
        <v/>
      </c>
      <c r="FK349">
        <f>IF($EY349="row",INDEX($DU$5:$DU$1003,$EX349),"")</f>
        <v/>
      </c>
      <c r="FL349">
        <f>IF($EY349="row",INDEX($DV$5:$DV$1003,$EX349),"")</f>
        <v/>
      </c>
      <c r="FM349">
        <f>IF($EY349="row",INDEX($DW$5:$DW$1003,$EX349),"")</f>
        <v/>
      </c>
      <c r="FN349">
        <f>IF($EY349="row",INDEX($DY$5:$DY$1003,$EX349),"")</f>
        <v/>
      </c>
      <c r="FO349">
        <f>IF($EY349="row",INDEX($EA$5:$EA$1003,$EX349),"")</f>
        <v/>
      </c>
      <c r="FP349">
        <f>IF($EY349="row",INDEX($EC$5:$EC$1003,$EX349),"")</f>
        <v/>
      </c>
      <c r="FQ349">
        <f>IF($EY349="row",INDEX($ET$5:$ET$1003,$EX349),"")</f>
        <v/>
      </c>
      <c r="FR349">
        <f>IF($EY349="row",INDEX($EU$5:$EU$1003,$EX349),"")</f>
        <v/>
      </c>
      <c r="FS349">
        <f>IF(AND($EY349="row",$EY348="row"),IF(OR(INDEX($DT$5:$DT$1003,$EX348)="",INDEX($DT$5:$DT$1003,$EX349)=""),"",IF(NOT(EXACT(INDEX($DT$5:$DT$1003,$EX348),INDEX($DT$5:$DT$1003,$EX349))),"S4",IF(NOT(EXACT(INDEX($DS$5:$DS$1003,$EX348),INDEX($DS$5:$DS$1003,$EX349))),"S3",IF(NOT(EXACT(INDEX($DR$5:$DR$1003,$EX348),INDEX($DR$5:$DR$1003,$EX349))),"S1 Count Change","S1")))),"")</f>
        <v/>
      </c>
      <c r="FT349">
        <f>IF($EY349="row",INDEX($ES$5:$ES$1003,$EX349),"")</f>
        <v/>
      </c>
      <c r="FU349">
        <f>IF($EY349="row",INDEX($EO$5:$EO$1003,$EX349),0)</f>
        <v/>
      </c>
      <c r="FV349">
        <f>IF($FS349="S1 Count Change",1,0)</f>
        <v/>
      </c>
    </row>
    <row r="350">
      <c r="DA350" t="n">
        <v>346</v>
      </c>
      <c r="DB350">
        <f>IF($B$37=0,"",IFERROR(TRIM(SUBSTITUTE(SUBSTITUTE(SUBSTITUTE(SUBSTITUTE(INDEX(PASTE_ALL,346,$B$37)," "," "),CHAR(9)," "),CHAR(10)," "),CHAR(13)," ")),""))</f>
        <v/>
      </c>
      <c r="DC350">
        <f>IF(AND(346&gt;HEADER_ROW,UPPER(DB350)="LEGEND"),1,0)</f>
        <v/>
      </c>
      <c r="DE350" t="n">
        <v>346</v>
      </c>
      <c r="DF350">
        <f>HEADER_ROW+$DE350</f>
        <v/>
      </c>
      <c r="DG350">
        <f>IF(AND($DF350&lt;=1000,$DF350&lt;$B$8),1,0)</f>
        <v/>
      </c>
      <c r="DH350">
        <f>IF($DG350=1,IFERROR(INDEX($DB$5:$DB$1004,$DF350),""),"")</f>
        <v/>
      </c>
      <c r="DI350">
        <f>IF(AND($DG350=1,$DH350&lt;&gt;""),IFERROR(SUBSTITUTE(SUBSTITUTE(TRIM(SUBSTITUTE(SUBSTITUTE(SUBSTITUTE(SUBSTITUTE(IFERROR(INDEX(PASTE_ALL,$DF350,1)&amp;"","")&amp;"␟"&amp;IFERROR(INDEX(PASTE_ALL,$DF350,2)&amp;"","")&amp;"␟"&amp;IFERROR(INDEX(PASTE_ALL,$DF350,3)&amp;"","")&amp;"␟"&amp;IFERROR(INDEX(PASTE_ALL,$DF350,4)&amp;"","")&amp;"␟"&amp;IFERROR(INDEX(PASTE_ALL,$DF350,5)&amp;"","")&amp;"␟"&amp;IFERROR(INDEX(PASTE_ALL,$DF350,6)&amp;"","")&amp;"␟"&amp;IFERROR(INDEX(PASTE_ALL,$DF350,7)&amp;"","")&amp;"␟"&amp;IFERROR(INDEX(PASTE_ALL,$DF350,8)&amp;"","")&amp;"␟"&amp;IFERROR(INDEX(PASTE_ALL,$DF350,9)&amp;"","")&amp;"␟"&amp;IFERROR(INDEX(PASTE_ALL,$DF350,10)&amp;"","")&amp;"␟"&amp;IFERROR(INDEX(PASTE_ALL,$DF350,11)&amp;"","")&amp;"␟"&amp;IFERROR(INDEX(PASTE_ALL,$DF350,12)&amp;"","")&amp;"␟"&amp;IFERROR(INDEX(PASTE_ALL,$DF350,13)&amp;"","")&amp;"␟"&amp;IFERROR(INDEX(PASTE_ALL,$DF350,14)&amp;"","")&amp;"␟"&amp;IFERROR(INDEX(PASTE_ALL,$DF350,15)&amp;"","")&amp;"␟"&amp;IFERROR(INDEX(PASTE_ALL,$DF350,16)&amp;"","")&amp;"␟"&amp;IFERROR(INDEX(PASTE_ALL,$DF350,17)&amp;"","")&amp;"␟"&amp;IFERROR(INDEX(PASTE_ALL,$DF350,18)&amp;"","")&amp;"␟"&amp;IFERROR(INDEX(PASTE_ALL,$DF350,19)&amp;"","")&amp;"␟"&amp;IFERROR(INDEX(PASTE_ALL,$DF350,20)&amp;"","")&amp;"␟"&amp;IFERROR(INDEX(PASTE_ALL,$DF350,21)&amp;"","")&amp;"␟"&amp;IFERROR(INDEX(PASTE_ALL,$DF350,22)&amp;"","")&amp;"␟"&amp;IFERROR(INDEX(PASTE_ALL,$DF350,23)&amp;"","")&amp;"␟"&amp;IFERROR(INDEX(PASTE_ALL,$DF350,24)&amp;"","")&amp;"␟"&amp;IFERROR(INDEX(PASTE_ALL,$DF350,25)&amp;"","")&amp;"␟"&amp;IFERROR(INDEX(PASTE_ALL,$DF350,26)&amp;"","")&amp;"␟"&amp;IFERROR(INDEX(PASTE_ALL,$DF350,27)&amp;"","")&amp;"␟"&amp;IFERROR(INDEX(PASTE_ALL,$DF350,28)&amp;"","")&amp;"␟"&amp;IFERROR(INDEX(PASTE_ALL,$DF350,29)&amp;"","")&amp;"␟"&amp;IFERROR(INDEX(PASTE_ALL,$DF350,30)&amp;"","")&amp;"␟"&amp;IFERROR(INDEX(PASTE_ALL,$DF350,31)&amp;"","")&amp;"␟"&amp;IFERROR(INDEX(PASTE_ALL,$DF350,32)&amp;"","")&amp;"␟"&amp;IFERROR(INDEX(PASTE_ALL,$DF350,33)&amp;"","")&amp;"␟"&amp;IFERROR(INDEX(PASTE_ALL,$DF350,34)&amp;"","")&amp;"␟"&amp;IFERROR(INDEX(PASTE_ALL,$DF350,35)&amp;"","")&amp;"␟"&amp;IFERROR(INDEX(PASTE_ALL,$DF350,36)&amp;"","")&amp;"␟"&amp;IFERROR(INDEX(PASTE_ALL,$DF350,37)&amp;"","")&amp;"␟"&amp;IFERROR(INDEX(PASTE_ALL,$DF350,38)&amp;"","")&amp;"␟"&amp;IFERROR(INDEX(PASTE_ALL,$DF350,39)&amp;"","")&amp;"␟"&amp;IFERROR(INDEX(PASTE_ALL,$DF350,40)&amp;"","")&amp;"␟"&amp;IFERROR(INDEX(PASTE_ALL,$DF350,41)&amp;"","")&amp;"␟"&amp;IFERROR(INDEX(PASTE_ALL,$DF350,42)&amp;"","")&amp;"␟"&amp;IFERROR(INDEX(PASTE_ALL,$DF350,43)&amp;"","")&amp;"␟"&amp;IFERROR(INDEX(PASTE_ALL,$DF350,44)&amp;"","")&amp;"␟"&amp;IFERROR(INDEX(PASTE_ALL,$DF350,45)&amp;"","")&amp;"␟"&amp;IFERROR(INDEX(PASTE_ALL,$DF350,46)&amp;"","")&amp;"␟"&amp;IFERROR(INDEX(PASTE_ALL,$DF350,47)&amp;"","")&amp;"␟"&amp;IFERROR(INDEX(PASTE_ALL,$DF350,48)&amp;"","")&amp;"␟"&amp;IFERROR(INDEX(PASTE_ALL,$DF350,49)&amp;"","")&amp;"␟"&amp;IFERROR(INDEX(PASTE_ALL,$DF350,50)&amp;"","")&amp;"␟"&amp;IFERROR(INDEX(PASTE_ALL,$DF350,51)&amp;"","")&amp;"␟"&amp;IFERROR(INDEX(PASTE_ALL,$DF350,52)&amp;"","")&amp;"␟"&amp;IFERROR(INDEX(PASTE_ALL,$DF350,53)&amp;"","")&amp;"␟"&amp;IFERROR(INDEX(PASTE_ALL,$DF350,54)&amp;"","")&amp;"␟"&amp;IFERROR(INDEX(PASTE_ALL,$DF350,55)&amp;"","")&amp;"␟"&amp;IFERROR(INDEX(PASTE_ALL,$DF350,56)&amp;"","")&amp;"␟"&amp;IFERROR(INDEX(PASTE_ALL,$DF350,57)&amp;"","")&amp;"␟"&amp;IFERROR(INDEX(PASTE_ALL,$DF350,58)&amp;"","")&amp;"␟"&amp;IFERROR(INDEX(PASTE_ALL,$DF350,59)&amp;"","")&amp;"␟"&amp;IFERROR(INDEX(PASTE_ALL,$DF350,60)&amp;"","")," "," "),CHAR(9)," "),CHAR(10)," "),CHAR(13)," "))," ␟","␟"),"␟ ","␟"),"#"&amp;$DE350),"")</f>
        <v/>
      </c>
      <c r="DJ350">
        <f>IF($DI350="",0,IF(SUMPRODUCT(--EXACT($DI$4:DI349,$DI350))&gt;0,1,0))</f>
        <v/>
      </c>
      <c r="DK350">
        <f>IF(AND($DI350&lt;&gt;"",$DJ350=0),1,0)</f>
        <v/>
      </c>
      <c r="DL350">
        <f>DL349+$DK350</f>
        <v/>
      </c>
      <c r="DM350">
        <f>IF(AND($DK350=1,$DL350&lt;=600),1,0)</f>
        <v/>
      </c>
      <c r="DN350">
        <f>IF($DM350=0,"",IF($L$6=0,"",IFERROR(IF(ISNUMBER(INDEX(PASTE_ALL,$DF350,$L$6)),INDEX(PASTE_ALL,$DF350,$L$6),TRIM(SUBSTITUTE(SUBSTITUTE(SUBSTITUTE(SUBSTITUTE(INDEX(PASTE_ALL,$DF350,$L$6)," "," "),CHAR(9)," "),CHAR(10)," "),CHAR(13)," "))),"")))</f>
        <v/>
      </c>
      <c r="DO350">
        <f>IF($DM350=0,"",IF($L$7=0,"",IFERROR(IF(ISNUMBER(INDEX(PASTE_ALL,$DF350,$L$7)),INDEX(PASTE_ALL,$DF350,$L$7),TRIM(SUBSTITUTE(SUBSTITUTE(SUBSTITUTE(SUBSTITUTE(INDEX(PASTE_ALL,$DF350,$L$7)," "," "),CHAR(9)," "),CHAR(10)," "),CHAR(13)," "))),"")))</f>
        <v/>
      </c>
      <c r="DP350">
        <f>IF($DM350=0,"",IF($L$8=0,"",IFERROR(IF(ISNUMBER(INDEX(PASTE_ALL,$DF350,$L$8)),INDEX(PASTE_ALL,$DF350,$L$8),TRIM(SUBSTITUTE(SUBSTITUTE(SUBSTITUTE(SUBSTITUTE(INDEX(PASTE_ALL,$DF350,$L$8)," "," "),CHAR(9)," "),CHAR(10)," "),CHAR(13)," "))),"")))</f>
        <v/>
      </c>
      <c r="DQ350">
        <f>IF($DM350=0,"",IF($L$9=0,"",IFERROR(IF(ISNUMBER(INDEX(PASTE_ALL,$DF350,$L$9)),INDEX(PASTE_ALL,$DF350,$L$9),TRIM(SUBSTITUTE(SUBSTITUTE(SUBSTITUTE(SUBSTITUTE(INDEX(PASTE_ALL,$DF350,$L$9)," "," "),CHAR(9)," "),CHAR(10)," "),CHAR(13)," "))),"")))</f>
        <v/>
      </c>
      <c r="DR350">
        <f>IF($DM350=0,"",IF($L$10=0,"",IFERROR(IF(ISNUMBER(INDEX(PASTE_ALL,$DF350,$L$10)),INDEX(PASTE_ALL,$DF350,$L$10),TRIM(SUBSTITUTE(SUBSTITUTE(SUBSTITUTE(SUBSTITUTE(INDEX(PASTE_ALL,$DF350,$L$10)," "," "),CHAR(9)," "),CHAR(10)," "),CHAR(13)," "))),"")))</f>
        <v/>
      </c>
      <c r="DS350">
        <f>IF($DM350=0,"",IF($L$11=0,"",IFERROR(IF(ISNUMBER(INDEX(PASTE_ALL,$DF350,$L$11)),INDEX(PASTE_ALL,$DF350,$L$11),TRIM(SUBSTITUTE(SUBSTITUTE(SUBSTITUTE(SUBSTITUTE(INDEX(PASTE_ALL,$DF350,$L$11)," "," "),CHAR(9)," "),CHAR(10)," "),CHAR(13)," "))),"")))</f>
        <v/>
      </c>
      <c r="DT350">
        <f>IF($DM350=0,"",IF($L$12=0,"",IFERROR(IF(ISNUMBER(INDEX(PASTE_ALL,$DF350,$L$12)),INDEX(PASTE_ALL,$DF350,$L$12),TRIM(SUBSTITUTE(SUBSTITUTE(SUBSTITUTE(SUBSTITUTE(INDEX(PASTE_ALL,$DF350,$L$12)," "," "),CHAR(9)," "),CHAR(10)," "),CHAR(13)," "))),"")))</f>
        <v/>
      </c>
      <c r="DU350">
        <f>IF($DM350=0,"",IF($L$13=0,"",IFERROR(IF(ISNUMBER(INDEX(PASTE_ALL,$DF350,$L$13)),INDEX(PASTE_ALL,$DF350,$L$13),TRIM(SUBSTITUTE(SUBSTITUTE(SUBSTITUTE(SUBSTITUTE(INDEX(PASTE_ALL,$DF350,$L$13)," "," "),CHAR(9)," "),CHAR(10)," "),CHAR(13)," "))),"")))</f>
        <v/>
      </c>
      <c r="DV350">
        <f>IF($DM350=0,"",IF($L$14=0,"",IFERROR(IF(ISNUMBER(INDEX(PASTE_ALL,$DF350,$L$14)),INDEX(PASTE_ALL,$DF350,$L$14),TRIM(SUBSTITUTE(SUBSTITUTE(SUBSTITUTE(SUBSTITUTE(INDEX(PASTE_ALL,$DF350,$L$14)," "," "),CHAR(9)," "),CHAR(10)," "),CHAR(13)," "))),"")))</f>
        <v/>
      </c>
      <c r="DW350">
        <f>IF($DM350=0,"",IF($L$15=0,"",IFERROR(IF(ISNUMBER(INDEX(PASTE_ALL,$DF350,$L$15)),INDEX(PASTE_ALL,$DF350,$L$15),IF(SUMPRODUCT(--ISNUMBER(FIND({"A","B","C","D","E","F","G","H","I","J","K","L","M","N","O","P","Q","R","S","T","U","V","W","X","Y","Z","0","1","2","3","4","5","6","7","8","9"},UPPER(TRIM(SUBSTITUTE(SUBSTITUTE(SUBSTITUTE(SUBSTITUTE(INDEX(PASTE_ALL,$DF350,$L$15)," "," "),CHAR(9)," "),CHAR(10)," "),CHAR(13)," "))))))&gt;0,TRIM(SUBSTITUTE(SUBSTITUTE(SUBSTITUTE(SUBSTITUTE(INDEX(PASTE_ALL,$DF350,$L$15)," "," "),CHAR(9)," "),CHAR(10)," "),CHAR(13)," ")),"")),"")))</f>
        <v/>
      </c>
      <c r="DX350">
        <f>IF($DM350=0,"",IF($L$16=0,"",IFERROR(IF(ISNUMBER(INDEX(PASTE_ALL,$DF350,$L$16)),INDEX(PASTE_ALL,$DF350,$L$16),SUBSTITUTE(SUBSTITUTE(TRIM(SUBSTITUTE(SUBSTITUTE(SUBSTITUTE(SUBSTITUTE(INDEX(PASTE_ALL,$DF350,$L$16)," "," "),CHAR(9)," "),CHAR(10)," "),CHAR(13)," ")),",",""),"%","")),"")))</f>
        <v/>
      </c>
      <c r="DY350">
        <f>IF($DM350=0,"",IFERROR(IF(ISNUMBER($DX350),$DX350,IF($DX350="","",IF(TRIM($DX350)="",0,IF(AND(AND(SUBSTITUTE(SUBSTITUTE(SUBSTITUTE(SUBSTITUTE(SUBSTITUTE(SUBSTITUTE(SUBSTITUTE(SUBSTITUTE(SUBSTITUTE(SUBSTITUTE(SUBSTITUTE(SUBSTITUTE(SUBSTITUTE(SUBSTITUTE(UPPER(TRIM($DX350)),"0",""),"1",""),"2",""),"3",""),"4",""),"5",""),"6",""),"7",""),"8",""),"9",""),".",""),"+",""),"-",""),"E","")="",LEN(SUBSTITUTE(SUBSTITUTE(MID(UPPER(TRIM($DX350)),1+OR(LEFT(UPPER(TRIM($DX350)),1)="+",LEFT(UPPER(TRIM($DX350)),1)="-"),999),"E+","E"),"E-","E"))=LEN(SUBSTITUTE(SUBSTITUTE(SUBSTITUTE(SUBSTITUTE(MID(UPPER(TRIM($DX350)),1+OR(LEFT(UPPER(TRIM($DX350)),1)="+",LEFT(UPPER(TRIM($DX350)),1)="-"),999),"E+","E"),"E-","E"),"+",""),"-","")),LEN(UPPER(TRIM($DX350)))-LEN(SUBSTITUTE(UPPER(TRIM($DX350)),"E",""))&lt;2,LEN(UPPER(TRIM($DX350)))-LEN(SUBSTITUTE(UPPER(TRIM($DX350)),".",""))&lt;2,IFERROR(FIND(".",UPPER(TRIM($DX350))),0)&lt;IFERROR(FIND("E",UPPER(TRIM($DX350))),999)),ISNUMBER(VALUE(TRIM($DX350)))),VALUE(TRIM($DX350)),"")))),""))</f>
        <v/>
      </c>
      <c r="DZ350">
        <f>IF($DM350=0,"",IF($L$17=0,"",IFERROR(IF(ISNUMBER(INDEX(PASTE_ALL,$DF350,$L$17)),INDEX(PASTE_ALL,$DF350,$L$17),SUBSTITUTE(SUBSTITUTE(TRIM(SUBSTITUTE(SUBSTITUTE(SUBSTITUTE(SUBSTITUTE(INDEX(PASTE_ALL,$DF350,$L$17)," "," "),CHAR(9)," "),CHAR(10)," "),CHAR(13)," ")),",",""),"%","")),"")))</f>
        <v/>
      </c>
      <c r="EA350">
        <f>IF($DM350=0,"",IFERROR(IF(ISNUMBER($DZ350),$DZ350,IF($DZ350="","",IF(TRIM($DZ350)="",0,IF(AND(AND(SUBSTITUTE(SUBSTITUTE(SUBSTITUTE(SUBSTITUTE(SUBSTITUTE(SUBSTITUTE(SUBSTITUTE(SUBSTITUTE(SUBSTITUTE(SUBSTITUTE(SUBSTITUTE(SUBSTITUTE(SUBSTITUTE(SUBSTITUTE(UPPER(TRIM($DZ350)),"0",""),"1",""),"2",""),"3",""),"4",""),"5",""),"6",""),"7",""),"8",""),"9",""),".",""),"+",""),"-",""),"E","")="",LEN(SUBSTITUTE(SUBSTITUTE(MID(UPPER(TRIM($DZ350)),1+OR(LEFT(UPPER(TRIM($DZ350)),1)="+",LEFT(UPPER(TRIM($DZ350)),1)="-"),999),"E+","E"),"E-","E"))=LEN(SUBSTITUTE(SUBSTITUTE(SUBSTITUTE(SUBSTITUTE(MID(UPPER(TRIM($DZ350)),1+OR(LEFT(UPPER(TRIM($DZ350)),1)="+",LEFT(UPPER(TRIM($DZ350)),1)="-"),999),"E+","E"),"E-","E"),"+",""),"-","")),LEN(UPPER(TRIM($DZ350)))-LEN(SUBSTITUTE(UPPER(TRIM($DZ350)),"E",""))&lt;2,LEN(UPPER(TRIM($DZ350)))-LEN(SUBSTITUTE(UPPER(TRIM($DZ350)),".",""))&lt;2,IFERROR(FIND(".",UPPER(TRIM($DZ350))),0)&lt;IFERROR(FIND("E",UPPER(TRIM($DZ350))),999)),ISNUMBER(VALUE(TRIM($DZ350)))),VALUE(TRIM($DZ350)),"")))),""))</f>
        <v/>
      </c>
      <c r="EB350">
        <f>IF($DM350=0,"",IF($L$18=0,"",IFERROR(IF(UPPER(TRIM(SUBSTITUTE(SUBSTITUTE(SUBSTITUTE(SUBSTITUTE(INDEX(PASTE_ALL,$DF350,$L$18)," "," "),CHAR(9)," "),CHAR(10)," "),CHAR(13)," ")))="READY","Ready",IF(UPPER(TRIM(SUBSTITUTE(SUBSTITUTE(SUBSTITUTE(SUBSTITUTE(INDEX(PASTE_ALL,$DF350,$L$18)," "," "),CHAR(9)," "),CHAR(10)," "),CHAR(13)," ")))="PM","PM",IF(OR(UPPER(TRIM(SUBSTITUTE(SUBSTITUTE(SUBSTITUTE(SUBSTITUTE(INDEX(PASTE_ALL,$DF350,$L$18)," "," "),CHAR(9)," "),CHAR(10)," "),CHAR(13)," ")))="OT",UPPER(TRIM(SUBSTITUTE(SUBSTITUTE(SUBSTITUTE(SUBSTITUTE(INDEX(PASTE_ALL,$DF350,$L$18)," "," "),CHAR(9)," "),CHAR(10)," "),CHAR(13)," ")))="OVERTIME",UPPER(TRIM(SUBSTITUTE(SUBSTITUTE(SUBSTITUTE(SUBSTITUTE(INDEX(PASTE_ALL,$DF350,$L$18)," "," "),CHAR(9)," "),CHAR(10)," "),CHAR(13)," ")))="TRIAL"),"OT",TRIM(SUBSTITUTE(SUBSTITUTE(SUBSTITUTE(SUBSTITUTE(INDEX(PASTE_ALL,$DF350,$L$18)," "," "),CHAR(9)," "),CHAR(10)," "),CHAR(13)," "))))),"")))</f>
        <v/>
      </c>
      <c r="EC350">
        <f>IF($DM350=0,"",IF($L$19=0,"",IFERROR(IF(ISNUMBER(INDEX(PASTE_ALL,$DF350,$L$19)),INDEX(PASTE_ALL,$DF350,$L$19),TRIM(SUBSTITUTE(SUBSTITUTE(SUBSTITUTE(SUBSTITUTE(INDEX(PASTE_ALL,$DF350,$L$19)," "," "),CHAR(9)," "),CHAR(10)," "),CHAR(13)," "))),"")))</f>
        <v/>
      </c>
      <c r="ED350">
        <f>IF($DM350=0,"",MATCH(1,INDEX(EXACT($DH$5:DH350,$DH350)*$DM$5:DM350,0),0))</f>
        <v/>
      </c>
      <c r="EE350">
        <f>IF($DM350=0,0,IF($ED350=$DE350,1,0))</f>
        <v/>
      </c>
      <c r="EF350">
        <f>EF349+$EE350</f>
        <v/>
      </c>
      <c r="EG350">
        <f>IF($DM350=0,"",INDEX($EF$5:$EF$1003,$ED350))</f>
        <v/>
      </c>
      <c r="EH350">
        <f>IF($DM350=0,"",IF($DO350&lt;&gt;"","",IFERROR(LOOKUP(2,1/(($EG$4:EG349=$EG350)*($DO$4:DO349&lt;&gt;"")),$DO$4:DO349),"")))</f>
        <v/>
      </c>
      <c r="EI350">
        <f>IF($DM350=0,"",IF($DO350&lt;&gt;"",$DO350,$EH350))</f>
        <v/>
      </c>
      <c r="EJ350">
        <f>IF($DM350=0,"",IF($EI350="",0,IF(OR(ISNUMBER($EI350),AND(AND(SUBSTITUTE(SUBSTITUTE(SUBSTITUTE(SUBSTITUTE(SUBSTITUTE(SUBSTITUTE(SUBSTITUTE(SUBSTITUTE(SUBSTITUTE(SUBSTITUTE(SUBSTITUTE(SUBSTITUTE(SUBSTITUTE(SUBSTITUTE(UPPER($EI350),"0",""),"1",""),"2",""),"3",""),"4",""),"5",""),"6",""),"7",""),"8",""),"9",""),".",""),"+",""),"-",""),"E","")="",LEN(SUBSTITUTE(SUBSTITUTE(MID(UPPER($EI350),1+OR(LEFT(UPPER($EI350),1)="+",LEFT(UPPER($EI350),1)="-"),999),"E+","E"),"E-","E"))=LEN(SUBSTITUTE(SUBSTITUTE(SUBSTITUTE(SUBSTITUTE(MID(UPPER($EI350),1+OR(LEFT(UPPER($EI350),1)="+",LEFT(UPPER($EI350),1)="-"),999),"E+","E"),"E-","E"),"+",""),"-","")),LEN(UPPER($EI350))-LEN(SUBSTITUTE(UPPER($EI350),"E",""))&lt;2,LEN(UPPER($EI350))-LEN(SUBSTITUTE(UPPER($EI350),".",""))&lt;2,IFERROR(FIND(".",UPPER($EI350)),0)&lt;IFERROR(FIND("E",UPPER($EI350)),999)),ISNUMBER(VALUE($EI350)))),1,2)))</f>
        <v/>
      </c>
      <c r="EK350">
        <f>IF($DM350=0,"",IF($EJ350=1,IF(ISNUMBER($EI350),$EI350,VALUE($EI350)),IF($EJ350=2,$DE350,0)))</f>
        <v/>
      </c>
      <c r="EL350">
        <f>IF($DM350=0,"",COUNTIF($EG$5:$EG$1003,"&lt;"&amp;$EG350)+SUMPRODUCT(($EG$5:$EG$1003=$EG350)*(($EJ$5:$EJ$1003&lt;$EJ350)+($EJ$5:$EJ$1003=$EJ350)*(($EK$5:$EK$1003&lt;$EK350)+($EK$5:$EK$1003=$EK350)*($DE$5:$DE$1003&lt;$DE350))))+1)</f>
        <v/>
      </c>
      <c r="EM350">
        <f>IF($DM350=0,"",$EL350+$EG350-1)</f>
        <v/>
      </c>
      <c r="EN350">
        <f>IF($DM350=0,0,IFERROR(MATCH(1,INDEX(--(TRIM(SUBSTITUTE(SUBSTITUTE(SUBSTITUTE(SUBSTITUTE(LINES_NAME&amp;""," "," "),CHAR(9)," "),CHAR(10)," "),CHAR(13)," "))=$DH350),0),0),0))</f>
        <v/>
      </c>
      <c r="EO350">
        <f>IF($EN350=0,0,IF(OR(UPPER(TRIM(INDEX(LINES_SCHEDULED,$EN350)&amp;""))="YES",UPPER(TRIM(INDEX(LINES_SCHEDULED,$EN350)&amp;""))="Y",UPPER(TRIM(INDEX(LINES_SCHEDULED,$EN350)&amp;""))="X"),1,0))</f>
        <v/>
      </c>
      <c r="EP350">
        <f>IF($DM350=0,"",IF(COUNTIFS($EG$5:$EG$1003,$EG350,$EB$5:$EB$1003,"Ready")&gt;0,"READY",IF(COUNTIFS($EG$5:$EG$1003,$EG350,$EB$5:$EB$1003,"PM")&gt;0,"PM",IF(COUNTIFS($EG$5:$EG$1003,$EG350,$EB$5:$EB$1003,"OT")&gt;0,"OT",""))))</f>
        <v/>
      </c>
      <c r="EQ350">
        <f>IF($EN350=0,"",UPPER(TRIM(INDEX(LINES_STATUS,$EN350)&amp;"")))</f>
        <v/>
      </c>
      <c r="ER350">
        <f>IF($DM350=0,"",IF(OR($EQ350="READY",$EQ350="PM",$EQ350="OT"),$EQ350,$EP350))</f>
        <v/>
      </c>
      <c r="ES350">
        <f>IF($DM350=0,"",IF(AND($DV350&lt;&gt;"",UPPER($DV350)&lt;&gt;"N"),"allergen",IF(ISNUMBER(SEARCH("oil",$DQ350)),"oil",IF(OR(EXACT($DS350,"A662"),EXACT($DS350,"A624")),"bulk",""))))</f>
        <v/>
      </c>
      <c r="ET350">
        <f>IF($DM350=0,"",IF(OR($EA350="",$EA350=0),"",$EA350/100))</f>
        <v/>
      </c>
      <c r="EU350">
        <f>IF(OR($ET350="",$DY350=""),"",INT($DY350*(1-$ET350)+0.5))</f>
        <v/>
      </c>
      <c r="EW350" t="n">
        <v>346</v>
      </c>
      <c r="EX350">
        <f>IFERROR(MATCH($EW350,$EM$5:$EM$1003,0),0)</f>
        <v/>
      </c>
      <c r="EY350">
        <f>IF($EW350&gt;$B$12,"",IF($EX350&gt;0,"row","spacer"))</f>
        <v/>
      </c>
      <c r="EZ350">
        <f>IF(AND($EY350="row",$EY349&lt;&gt;"row"),1,0)</f>
        <v/>
      </c>
      <c r="FA350">
        <f>IF(AND($EY350="row",$EY351&lt;&gt;"row"),1,0)</f>
        <v/>
      </c>
      <c r="FB350">
        <f>IF($EZ350=1,IFERROR(IF(ISNUMBER(INDEX(PASTE_ALL,INDEX($DF$5:$DF$1003,$EX350),$B$37)),INDEX(PASTE_ALL,INDEX($DF$5:$DF$1003,$EX350),$B$37),INDEX($DH$5:$DH$1003,$EX350)),INDEX($DH$5:$DH$1003,$EX350)),"")</f>
        <v/>
      </c>
      <c r="FC350">
        <f>IF($EY350="row",INDEX($ER$5:$ER$1003,$EX350),"")</f>
        <v/>
      </c>
      <c r="FD350">
        <f>IF($EY350="row",INDEX($DN$5:$DN$1003,$EX350),"")</f>
        <v/>
      </c>
      <c r="FE350">
        <f>IF($EY350="row",INDEX($DO$5:$DO$1003,$EX350),"")</f>
        <v/>
      </c>
      <c r="FF350">
        <f>IF($EY350="row",INDEX($DP$5:$DP$1003,$EX350),"")</f>
        <v/>
      </c>
      <c r="FG350">
        <f>IF($EY350="row",INDEX($DQ$5:$DQ$1003,$EX350),"")</f>
        <v/>
      </c>
      <c r="FH350">
        <f>IF($EY350="row",INDEX($DR$5:$DR$1003,$EX350),"")</f>
        <v/>
      </c>
      <c r="FI350">
        <f>IF($EY350="row",INDEX($DS$5:$DS$1003,$EX350),"")</f>
        <v/>
      </c>
      <c r="FJ350">
        <f>IF($EY350="row",INDEX($DT$5:$DT$1003,$EX350),"")</f>
        <v/>
      </c>
      <c r="FK350">
        <f>IF($EY350="row",INDEX($DU$5:$DU$1003,$EX350),"")</f>
        <v/>
      </c>
      <c r="FL350">
        <f>IF($EY350="row",INDEX($DV$5:$DV$1003,$EX350),"")</f>
        <v/>
      </c>
      <c r="FM350">
        <f>IF($EY350="row",INDEX($DW$5:$DW$1003,$EX350),"")</f>
        <v/>
      </c>
      <c r="FN350">
        <f>IF($EY350="row",INDEX($DY$5:$DY$1003,$EX350),"")</f>
        <v/>
      </c>
      <c r="FO350">
        <f>IF($EY350="row",INDEX($EA$5:$EA$1003,$EX350),"")</f>
        <v/>
      </c>
      <c r="FP350">
        <f>IF($EY350="row",INDEX($EC$5:$EC$1003,$EX350),"")</f>
        <v/>
      </c>
      <c r="FQ350">
        <f>IF($EY350="row",INDEX($ET$5:$ET$1003,$EX350),"")</f>
        <v/>
      </c>
      <c r="FR350">
        <f>IF($EY350="row",INDEX($EU$5:$EU$1003,$EX350),"")</f>
        <v/>
      </c>
      <c r="FS350">
        <f>IF(AND($EY350="row",$EY349="row"),IF(OR(INDEX($DT$5:$DT$1003,$EX349)="",INDEX($DT$5:$DT$1003,$EX350)=""),"",IF(NOT(EXACT(INDEX($DT$5:$DT$1003,$EX349),INDEX($DT$5:$DT$1003,$EX350))),"S4",IF(NOT(EXACT(INDEX($DS$5:$DS$1003,$EX349),INDEX($DS$5:$DS$1003,$EX350))),"S3",IF(NOT(EXACT(INDEX($DR$5:$DR$1003,$EX349),INDEX($DR$5:$DR$1003,$EX350))),"S1 Count Change","S1")))),"")</f>
        <v/>
      </c>
      <c r="FT350">
        <f>IF($EY350="row",INDEX($ES$5:$ES$1003,$EX350),"")</f>
        <v/>
      </c>
      <c r="FU350">
        <f>IF($EY350="row",INDEX($EO$5:$EO$1003,$EX350),0)</f>
        <v/>
      </c>
      <c r="FV350">
        <f>IF($FS350="S1 Count Change",1,0)</f>
        <v/>
      </c>
    </row>
    <row r="351">
      <c r="DA351" t="n">
        <v>347</v>
      </c>
      <c r="DB351">
        <f>IF($B$37=0,"",IFERROR(TRIM(SUBSTITUTE(SUBSTITUTE(SUBSTITUTE(SUBSTITUTE(INDEX(PASTE_ALL,347,$B$37)," "," "),CHAR(9)," "),CHAR(10)," "),CHAR(13)," ")),""))</f>
        <v/>
      </c>
      <c r="DC351">
        <f>IF(AND(347&gt;HEADER_ROW,UPPER(DB351)="LEGEND"),1,0)</f>
        <v/>
      </c>
      <c r="DE351" t="n">
        <v>347</v>
      </c>
      <c r="DF351">
        <f>HEADER_ROW+$DE351</f>
        <v/>
      </c>
      <c r="DG351">
        <f>IF(AND($DF351&lt;=1000,$DF351&lt;$B$8),1,0)</f>
        <v/>
      </c>
      <c r="DH351">
        <f>IF($DG351=1,IFERROR(INDEX($DB$5:$DB$1004,$DF351),""),"")</f>
        <v/>
      </c>
      <c r="DI351">
        <f>IF(AND($DG351=1,$DH351&lt;&gt;""),IFERROR(SUBSTITUTE(SUBSTITUTE(TRIM(SUBSTITUTE(SUBSTITUTE(SUBSTITUTE(SUBSTITUTE(IFERROR(INDEX(PASTE_ALL,$DF351,1)&amp;"","")&amp;"␟"&amp;IFERROR(INDEX(PASTE_ALL,$DF351,2)&amp;"","")&amp;"␟"&amp;IFERROR(INDEX(PASTE_ALL,$DF351,3)&amp;"","")&amp;"␟"&amp;IFERROR(INDEX(PASTE_ALL,$DF351,4)&amp;"","")&amp;"␟"&amp;IFERROR(INDEX(PASTE_ALL,$DF351,5)&amp;"","")&amp;"␟"&amp;IFERROR(INDEX(PASTE_ALL,$DF351,6)&amp;"","")&amp;"␟"&amp;IFERROR(INDEX(PASTE_ALL,$DF351,7)&amp;"","")&amp;"␟"&amp;IFERROR(INDEX(PASTE_ALL,$DF351,8)&amp;"","")&amp;"␟"&amp;IFERROR(INDEX(PASTE_ALL,$DF351,9)&amp;"","")&amp;"␟"&amp;IFERROR(INDEX(PASTE_ALL,$DF351,10)&amp;"","")&amp;"␟"&amp;IFERROR(INDEX(PASTE_ALL,$DF351,11)&amp;"","")&amp;"␟"&amp;IFERROR(INDEX(PASTE_ALL,$DF351,12)&amp;"","")&amp;"␟"&amp;IFERROR(INDEX(PASTE_ALL,$DF351,13)&amp;"","")&amp;"␟"&amp;IFERROR(INDEX(PASTE_ALL,$DF351,14)&amp;"","")&amp;"␟"&amp;IFERROR(INDEX(PASTE_ALL,$DF351,15)&amp;"","")&amp;"␟"&amp;IFERROR(INDEX(PASTE_ALL,$DF351,16)&amp;"","")&amp;"␟"&amp;IFERROR(INDEX(PASTE_ALL,$DF351,17)&amp;"","")&amp;"␟"&amp;IFERROR(INDEX(PASTE_ALL,$DF351,18)&amp;"","")&amp;"␟"&amp;IFERROR(INDEX(PASTE_ALL,$DF351,19)&amp;"","")&amp;"␟"&amp;IFERROR(INDEX(PASTE_ALL,$DF351,20)&amp;"","")&amp;"␟"&amp;IFERROR(INDEX(PASTE_ALL,$DF351,21)&amp;"","")&amp;"␟"&amp;IFERROR(INDEX(PASTE_ALL,$DF351,22)&amp;"","")&amp;"␟"&amp;IFERROR(INDEX(PASTE_ALL,$DF351,23)&amp;"","")&amp;"␟"&amp;IFERROR(INDEX(PASTE_ALL,$DF351,24)&amp;"","")&amp;"␟"&amp;IFERROR(INDEX(PASTE_ALL,$DF351,25)&amp;"","")&amp;"␟"&amp;IFERROR(INDEX(PASTE_ALL,$DF351,26)&amp;"","")&amp;"␟"&amp;IFERROR(INDEX(PASTE_ALL,$DF351,27)&amp;"","")&amp;"␟"&amp;IFERROR(INDEX(PASTE_ALL,$DF351,28)&amp;"","")&amp;"␟"&amp;IFERROR(INDEX(PASTE_ALL,$DF351,29)&amp;"","")&amp;"␟"&amp;IFERROR(INDEX(PASTE_ALL,$DF351,30)&amp;"","")&amp;"␟"&amp;IFERROR(INDEX(PASTE_ALL,$DF351,31)&amp;"","")&amp;"␟"&amp;IFERROR(INDEX(PASTE_ALL,$DF351,32)&amp;"","")&amp;"␟"&amp;IFERROR(INDEX(PASTE_ALL,$DF351,33)&amp;"","")&amp;"␟"&amp;IFERROR(INDEX(PASTE_ALL,$DF351,34)&amp;"","")&amp;"␟"&amp;IFERROR(INDEX(PASTE_ALL,$DF351,35)&amp;"","")&amp;"␟"&amp;IFERROR(INDEX(PASTE_ALL,$DF351,36)&amp;"","")&amp;"␟"&amp;IFERROR(INDEX(PASTE_ALL,$DF351,37)&amp;"","")&amp;"␟"&amp;IFERROR(INDEX(PASTE_ALL,$DF351,38)&amp;"","")&amp;"␟"&amp;IFERROR(INDEX(PASTE_ALL,$DF351,39)&amp;"","")&amp;"␟"&amp;IFERROR(INDEX(PASTE_ALL,$DF351,40)&amp;"","")&amp;"␟"&amp;IFERROR(INDEX(PASTE_ALL,$DF351,41)&amp;"","")&amp;"␟"&amp;IFERROR(INDEX(PASTE_ALL,$DF351,42)&amp;"","")&amp;"␟"&amp;IFERROR(INDEX(PASTE_ALL,$DF351,43)&amp;"","")&amp;"␟"&amp;IFERROR(INDEX(PASTE_ALL,$DF351,44)&amp;"","")&amp;"␟"&amp;IFERROR(INDEX(PASTE_ALL,$DF351,45)&amp;"","")&amp;"␟"&amp;IFERROR(INDEX(PASTE_ALL,$DF351,46)&amp;"","")&amp;"␟"&amp;IFERROR(INDEX(PASTE_ALL,$DF351,47)&amp;"","")&amp;"␟"&amp;IFERROR(INDEX(PASTE_ALL,$DF351,48)&amp;"","")&amp;"␟"&amp;IFERROR(INDEX(PASTE_ALL,$DF351,49)&amp;"","")&amp;"␟"&amp;IFERROR(INDEX(PASTE_ALL,$DF351,50)&amp;"","")&amp;"␟"&amp;IFERROR(INDEX(PASTE_ALL,$DF351,51)&amp;"","")&amp;"␟"&amp;IFERROR(INDEX(PASTE_ALL,$DF351,52)&amp;"","")&amp;"␟"&amp;IFERROR(INDEX(PASTE_ALL,$DF351,53)&amp;"","")&amp;"␟"&amp;IFERROR(INDEX(PASTE_ALL,$DF351,54)&amp;"","")&amp;"␟"&amp;IFERROR(INDEX(PASTE_ALL,$DF351,55)&amp;"","")&amp;"␟"&amp;IFERROR(INDEX(PASTE_ALL,$DF351,56)&amp;"","")&amp;"␟"&amp;IFERROR(INDEX(PASTE_ALL,$DF351,57)&amp;"","")&amp;"␟"&amp;IFERROR(INDEX(PASTE_ALL,$DF351,58)&amp;"","")&amp;"␟"&amp;IFERROR(INDEX(PASTE_ALL,$DF351,59)&amp;"","")&amp;"␟"&amp;IFERROR(INDEX(PASTE_ALL,$DF351,60)&amp;"","")," "," "),CHAR(9)," "),CHAR(10)," "),CHAR(13)," "))," ␟","␟"),"␟ ","␟"),"#"&amp;$DE351),"")</f>
        <v/>
      </c>
      <c r="DJ351">
        <f>IF($DI351="",0,IF(SUMPRODUCT(--EXACT($DI$4:DI350,$DI351))&gt;0,1,0))</f>
        <v/>
      </c>
      <c r="DK351">
        <f>IF(AND($DI351&lt;&gt;"",$DJ351=0),1,0)</f>
        <v/>
      </c>
      <c r="DL351">
        <f>DL350+$DK351</f>
        <v/>
      </c>
      <c r="DM351">
        <f>IF(AND($DK351=1,$DL351&lt;=600),1,0)</f>
        <v/>
      </c>
      <c r="DN351">
        <f>IF($DM351=0,"",IF($L$6=0,"",IFERROR(IF(ISNUMBER(INDEX(PASTE_ALL,$DF351,$L$6)),INDEX(PASTE_ALL,$DF351,$L$6),TRIM(SUBSTITUTE(SUBSTITUTE(SUBSTITUTE(SUBSTITUTE(INDEX(PASTE_ALL,$DF351,$L$6)," "," "),CHAR(9)," "),CHAR(10)," "),CHAR(13)," "))),"")))</f>
        <v/>
      </c>
      <c r="DO351">
        <f>IF($DM351=0,"",IF($L$7=0,"",IFERROR(IF(ISNUMBER(INDEX(PASTE_ALL,$DF351,$L$7)),INDEX(PASTE_ALL,$DF351,$L$7),TRIM(SUBSTITUTE(SUBSTITUTE(SUBSTITUTE(SUBSTITUTE(INDEX(PASTE_ALL,$DF351,$L$7)," "," "),CHAR(9)," "),CHAR(10)," "),CHAR(13)," "))),"")))</f>
        <v/>
      </c>
      <c r="DP351">
        <f>IF($DM351=0,"",IF($L$8=0,"",IFERROR(IF(ISNUMBER(INDEX(PASTE_ALL,$DF351,$L$8)),INDEX(PASTE_ALL,$DF351,$L$8),TRIM(SUBSTITUTE(SUBSTITUTE(SUBSTITUTE(SUBSTITUTE(INDEX(PASTE_ALL,$DF351,$L$8)," "," "),CHAR(9)," "),CHAR(10)," "),CHAR(13)," "))),"")))</f>
        <v/>
      </c>
      <c r="DQ351">
        <f>IF($DM351=0,"",IF($L$9=0,"",IFERROR(IF(ISNUMBER(INDEX(PASTE_ALL,$DF351,$L$9)),INDEX(PASTE_ALL,$DF351,$L$9),TRIM(SUBSTITUTE(SUBSTITUTE(SUBSTITUTE(SUBSTITUTE(INDEX(PASTE_ALL,$DF351,$L$9)," "," "),CHAR(9)," "),CHAR(10)," "),CHAR(13)," "))),"")))</f>
        <v/>
      </c>
      <c r="DR351">
        <f>IF($DM351=0,"",IF($L$10=0,"",IFERROR(IF(ISNUMBER(INDEX(PASTE_ALL,$DF351,$L$10)),INDEX(PASTE_ALL,$DF351,$L$10),TRIM(SUBSTITUTE(SUBSTITUTE(SUBSTITUTE(SUBSTITUTE(INDEX(PASTE_ALL,$DF351,$L$10)," "," "),CHAR(9)," "),CHAR(10)," "),CHAR(13)," "))),"")))</f>
        <v/>
      </c>
      <c r="DS351">
        <f>IF($DM351=0,"",IF($L$11=0,"",IFERROR(IF(ISNUMBER(INDEX(PASTE_ALL,$DF351,$L$11)),INDEX(PASTE_ALL,$DF351,$L$11),TRIM(SUBSTITUTE(SUBSTITUTE(SUBSTITUTE(SUBSTITUTE(INDEX(PASTE_ALL,$DF351,$L$11)," "," "),CHAR(9)," "),CHAR(10)," "),CHAR(13)," "))),"")))</f>
        <v/>
      </c>
      <c r="DT351">
        <f>IF($DM351=0,"",IF($L$12=0,"",IFERROR(IF(ISNUMBER(INDEX(PASTE_ALL,$DF351,$L$12)),INDEX(PASTE_ALL,$DF351,$L$12),TRIM(SUBSTITUTE(SUBSTITUTE(SUBSTITUTE(SUBSTITUTE(INDEX(PASTE_ALL,$DF351,$L$12)," "," "),CHAR(9)," "),CHAR(10)," "),CHAR(13)," "))),"")))</f>
        <v/>
      </c>
      <c r="DU351">
        <f>IF($DM351=0,"",IF($L$13=0,"",IFERROR(IF(ISNUMBER(INDEX(PASTE_ALL,$DF351,$L$13)),INDEX(PASTE_ALL,$DF351,$L$13),TRIM(SUBSTITUTE(SUBSTITUTE(SUBSTITUTE(SUBSTITUTE(INDEX(PASTE_ALL,$DF351,$L$13)," "," "),CHAR(9)," "),CHAR(10)," "),CHAR(13)," "))),"")))</f>
        <v/>
      </c>
      <c r="DV351">
        <f>IF($DM351=0,"",IF($L$14=0,"",IFERROR(IF(ISNUMBER(INDEX(PASTE_ALL,$DF351,$L$14)),INDEX(PASTE_ALL,$DF351,$L$14),TRIM(SUBSTITUTE(SUBSTITUTE(SUBSTITUTE(SUBSTITUTE(INDEX(PASTE_ALL,$DF351,$L$14)," "," "),CHAR(9)," "),CHAR(10)," "),CHAR(13)," "))),"")))</f>
        <v/>
      </c>
      <c r="DW351">
        <f>IF($DM351=0,"",IF($L$15=0,"",IFERROR(IF(ISNUMBER(INDEX(PASTE_ALL,$DF351,$L$15)),INDEX(PASTE_ALL,$DF351,$L$15),IF(SUMPRODUCT(--ISNUMBER(FIND({"A","B","C","D","E","F","G","H","I","J","K","L","M","N","O","P","Q","R","S","T","U","V","W","X","Y","Z","0","1","2","3","4","5","6","7","8","9"},UPPER(TRIM(SUBSTITUTE(SUBSTITUTE(SUBSTITUTE(SUBSTITUTE(INDEX(PASTE_ALL,$DF351,$L$15)," "," "),CHAR(9)," "),CHAR(10)," "),CHAR(13)," "))))))&gt;0,TRIM(SUBSTITUTE(SUBSTITUTE(SUBSTITUTE(SUBSTITUTE(INDEX(PASTE_ALL,$DF351,$L$15)," "," "),CHAR(9)," "),CHAR(10)," "),CHAR(13)," ")),"")),"")))</f>
        <v/>
      </c>
      <c r="DX351">
        <f>IF($DM351=0,"",IF($L$16=0,"",IFERROR(IF(ISNUMBER(INDEX(PASTE_ALL,$DF351,$L$16)),INDEX(PASTE_ALL,$DF351,$L$16),SUBSTITUTE(SUBSTITUTE(TRIM(SUBSTITUTE(SUBSTITUTE(SUBSTITUTE(SUBSTITUTE(INDEX(PASTE_ALL,$DF351,$L$16)," "," "),CHAR(9)," "),CHAR(10)," "),CHAR(13)," ")),",",""),"%","")),"")))</f>
        <v/>
      </c>
      <c r="DY351">
        <f>IF($DM351=0,"",IFERROR(IF(ISNUMBER($DX351),$DX351,IF($DX351="","",IF(TRIM($DX351)="",0,IF(AND(AND(SUBSTITUTE(SUBSTITUTE(SUBSTITUTE(SUBSTITUTE(SUBSTITUTE(SUBSTITUTE(SUBSTITUTE(SUBSTITUTE(SUBSTITUTE(SUBSTITUTE(SUBSTITUTE(SUBSTITUTE(SUBSTITUTE(SUBSTITUTE(UPPER(TRIM($DX351)),"0",""),"1",""),"2",""),"3",""),"4",""),"5",""),"6",""),"7",""),"8",""),"9",""),".",""),"+",""),"-",""),"E","")="",LEN(SUBSTITUTE(SUBSTITUTE(MID(UPPER(TRIM($DX351)),1+OR(LEFT(UPPER(TRIM($DX351)),1)="+",LEFT(UPPER(TRIM($DX351)),1)="-"),999),"E+","E"),"E-","E"))=LEN(SUBSTITUTE(SUBSTITUTE(SUBSTITUTE(SUBSTITUTE(MID(UPPER(TRIM($DX351)),1+OR(LEFT(UPPER(TRIM($DX351)),1)="+",LEFT(UPPER(TRIM($DX351)),1)="-"),999),"E+","E"),"E-","E"),"+",""),"-","")),LEN(UPPER(TRIM($DX351)))-LEN(SUBSTITUTE(UPPER(TRIM($DX351)),"E",""))&lt;2,LEN(UPPER(TRIM($DX351)))-LEN(SUBSTITUTE(UPPER(TRIM($DX351)),".",""))&lt;2,IFERROR(FIND(".",UPPER(TRIM($DX351))),0)&lt;IFERROR(FIND("E",UPPER(TRIM($DX351))),999)),ISNUMBER(VALUE(TRIM($DX351)))),VALUE(TRIM($DX351)),"")))),""))</f>
        <v/>
      </c>
      <c r="DZ351">
        <f>IF($DM351=0,"",IF($L$17=0,"",IFERROR(IF(ISNUMBER(INDEX(PASTE_ALL,$DF351,$L$17)),INDEX(PASTE_ALL,$DF351,$L$17),SUBSTITUTE(SUBSTITUTE(TRIM(SUBSTITUTE(SUBSTITUTE(SUBSTITUTE(SUBSTITUTE(INDEX(PASTE_ALL,$DF351,$L$17)," "," "),CHAR(9)," "),CHAR(10)," "),CHAR(13)," ")),",",""),"%","")),"")))</f>
        <v/>
      </c>
      <c r="EA351">
        <f>IF($DM351=0,"",IFERROR(IF(ISNUMBER($DZ351),$DZ351,IF($DZ351="","",IF(TRIM($DZ351)="",0,IF(AND(AND(SUBSTITUTE(SUBSTITUTE(SUBSTITUTE(SUBSTITUTE(SUBSTITUTE(SUBSTITUTE(SUBSTITUTE(SUBSTITUTE(SUBSTITUTE(SUBSTITUTE(SUBSTITUTE(SUBSTITUTE(SUBSTITUTE(SUBSTITUTE(UPPER(TRIM($DZ351)),"0",""),"1",""),"2",""),"3",""),"4",""),"5",""),"6",""),"7",""),"8",""),"9",""),".",""),"+",""),"-",""),"E","")="",LEN(SUBSTITUTE(SUBSTITUTE(MID(UPPER(TRIM($DZ351)),1+OR(LEFT(UPPER(TRIM($DZ351)),1)="+",LEFT(UPPER(TRIM($DZ351)),1)="-"),999),"E+","E"),"E-","E"))=LEN(SUBSTITUTE(SUBSTITUTE(SUBSTITUTE(SUBSTITUTE(MID(UPPER(TRIM($DZ351)),1+OR(LEFT(UPPER(TRIM($DZ351)),1)="+",LEFT(UPPER(TRIM($DZ351)),1)="-"),999),"E+","E"),"E-","E"),"+",""),"-","")),LEN(UPPER(TRIM($DZ351)))-LEN(SUBSTITUTE(UPPER(TRIM($DZ351)),"E",""))&lt;2,LEN(UPPER(TRIM($DZ351)))-LEN(SUBSTITUTE(UPPER(TRIM($DZ351)),".",""))&lt;2,IFERROR(FIND(".",UPPER(TRIM($DZ351))),0)&lt;IFERROR(FIND("E",UPPER(TRIM($DZ351))),999)),ISNUMBER(VALUE(TRIM($DZ351)))),VALUE(TRIM($DZ351)),"")))),""))</f>
        <v/>
      </c>
      <c r="EB351">
        <f>IF($DM351=0,"",IF($L$18=0,"",IFERROR(IF(UPPER(TRIM(SUBSTITUTE(SUBSTITUTE(SUBSTITUTE(SUBSTITUTE(INDEX(PASTE_ALL,$DF351,$L$18)," "," "),CHAR(9)," "),CHAR(10)," "),CHAR(13)," ")))="READY","Ready",IF(UPPER(TRIM(SUBSTITUTE(SUBSTITUTE(SUBSTITUTE(SUBSTITUTE(INDEX(PASTE_ALL,$DF351,$L$18)," "," "),CHAR(9)," "),CHAR(10)," "),CHAR(13)," ")))="PM","PM",IF(OR(UPPER(TRIM(SUBSTITUTE(SUBSTITUTE(SUBSTITUTE(SUBSTITUTE(INDEX(PASTE_ALL,$DF351,$L$18)," "," "),CHAR(9)," "),CHAR(10)," "),CHAR(13)," ")))="OT",UPPER(TRIM(SUBSTITUTE(SUBSTITUTE(SUBSTITUTE(SUBSTITUTE(INDEX(PASTE_ALL,$DF351,$L$18)," "," "),CHAR(9)," "),CHAR(10)," "),CHAR(13)," ")))="OVERTIME",UPPER(TRIM(SUBSTITUTE(SUBSTITUTE(SUBSTITUTE(SUBSTITUTE(INDEX(PASTE_ALL,$DF351,$L$18)," "," "),CHAR(9)," "),CHAR(10)," "),CHAR(13)," ")))="TRIAL"),"OT",TRIM(SUBSTITUTE(SUBSTITUTE(SUBSTITUTE(SUBSTITUTE(INDEX(PASTE_ALL,$DF351,$L$18)," "," "),CHAR(9)," "),CHAR(10)," "),CHAR(13)," "))))),"")))</f>
        <v/>
      </c>
      <c r="EC351">
        <f>IF($DM351=0,"",IF($L$19=0,"",IFERROR(IF(ISNUMBER(INDEX(PASTE_ALL,$DF351,$L$19)),INDEX(PASTE_ALL,$DF351,$L$19),TRIM(SUBSTITUTE(SUBSTITUTE(SUBSTITUTE(SUBSTITUTE(INDEX(PASTE_ALL,$DF351,$L$19)," "," "),CHAR(9)," "),CHAR(10)," "),CHAR(13)," "))),"")))</f>
        <v/>
      </c>
      <c r="ED351">
        <f>IF($DM351=0,"",MATCH(1,INDEX(EXACT($DH$5:DH351,$DH351)*$DM$5:DM351,0),0))</f>
        <v/>
      </c>
      <c r="EE351">
        <f>IF($DM351=0,0,IF($ED351=$DE351,1,0))</f>
        <v/>
      </c>
      <c r="EF351">
        <f>EF350+$EE351</f>
        <v/>
      </c>
      <c r="EG351">
        <f>IF($DM351=0,"",INDEX($EF$5:$EF$1003,$ED351))</f>
        <v/>
      </c>
      <c r="EH351">
        <f>IF($DM351=0,"",IF($DO351&lt;&gt;"","",IFERROR(LOOKUP(2,1/(($EG$4:EG350=$EG351)*($DO$4:DO350&lt;&gt;"")),$DO$4:DO350),"")))</f>
        <v/>
      </c>
      <c r="EI351">
        <f>IF($DM351=0,"",IF($DO351&lt;&gt;"",$DO351,$EH351))</f>
        <v/>
      </c>
      <c r="EJ351">
        <f>IF($DM351=0,"",IF($EI351="",0,IF(OR(ISNUMBER($EI351),AND(AND(SUBSTITUTE(SUBSTITUTE(SUBSTITUTE(SUBSTITUTE(SUBSTITUTE(SUBSTITUTE(SUBSTITUTE(SUBSTITUTE(SUBSTITUTE(SUBSTITUTE(SUBSTITUTE(SUBSTITUTE(SUBSTITUTE(SUBSTITUTE(UPPER($EI351),"0",""),"1",""),"2",""),"3",""),"4",""),"5",""),"6",""),"7",""),"8",""),"9",""),".",""),"+",""),"-",""),"E","")="",LEN(SUBSTITUTE(SUBSTITUTE(MID(UPPER($EI351),1+OR(LEFT(UPPER($EI351),1)="+",LEFT(UPPER($EI351),1)="-"),999),"E+","E"),"E-","E"))=LEN(SUBSTITUTE(SUBSTITUTE(SUBSTITUTE(SUBSTITUTE(MID(UPPER($EI351),1+OR(LEFT(UPPER($EI351),1)="+",LEFT(UPPER($EI351),1)="-"),999),"E+","E"),"E-","E"),"+",""),"-","")),LEN(UPPER($EI351))-LEN(SUBSTITUTE(UPPER($EI351),"E",""))&lt;2,LEN(UPPER($EI351))-LEN(SUBSTITUTE(UPPER($EI351),".",""))&lt;2,IFERROR(FIND(".",UPPER($EI351)),0)&lt;IFERROR(FIND("E",UPPER($EI351)),999)),ISNUMBER(VALUE($EI351)))),1,2)))</f>
        <v/>
      </c>
      <c r="EK351">
        <f>IF($DM351=0,"",IF($EJ351=1,IF(ISNUMBER($EI351),$EI351,VALUE($EI351)),IF($EJ351=2,$DE351,0)))</f>
        <v/>
      </c>
      <c r="EL351">
        <f>IF($DM351=0,"",COUNTIF($EG$5:$EG$1003,"&lt;"&amp;$EG351)+SUMPRODUCT(($EG$5:$EG$1003=$EG351)*(($EJ$5:$EJ$1003&lt;$EJ351)+($EJ$5:$EJ$1003=$EJ351)*(($EK$5:$EK$1003&lt;$EK351)+($EK$5:$EK$1003=$EK351)*($DE$5:$DE$1003&lt;$DE351))))+1)</f>
        <v/>
      </c>
      <c r="EM351">
        <f>IF($DM351=0,"",$EL351+$EG351-1)</f>
        <v/>
      </c>
      <c r="EN351">
        <f>IF($DM351=0,0,IFERROR(MATCH(1,INDEX(--(TRIM(SUBSTITUTE(SUBSTITUTE(SUBSTITUTE(SUBSTITUTE(LINES_NAME&amp;""," "," "),CHAR(9)," "),CHAR(10)," "),CHAR(13)," "))=$DH351),0),0),0))</f>
        <v/>
      </c>
      <c r="EO351">
        <f>IF($EN351=0,0,IF(OR(UPPER(TRIM(INDEX(LINES_SCHEDULED,$EN351)&amp;""))="YES",UPPER(TRIM(INDEX(LINES_SCHEDULED,$EN351)&amp;""))="Y",UPPER(TRIM(INDEX(LINES_SCHEDULED,$EN351)&amp;""))="X"),1,0))</f>
        <v/>
      </c>
      <c r="EP351">
        <f>IF($DM351=0,"",IF(COUNTIFS($EG$5:$EG$1003,$EG351,$EB$5:$EB$1003,"Ready")&gt;0,"READY",IF(COUNTIFS($EG$5:$EG$1003,$EG351,$EB$5:$EB$1003,"PM")&gt;0,"PM",IF(COUNTIFS($EG$5:$EG$1003,$EG351,$EB$5:$EB$1003,"OT")&gt;0,"OT",""))))</f>
        <v/>
      </c>
      <c r="EQ351">
        <f>IF($EN351=0,"",UPPER(TRIM(INDEX(LINES_STATUS,$EN351)&amp;"")))</f>
        <v/>
      </c>
      <c r="ER351">
        <f>IF($DM351=0,"",IF(OR($EQ351="READY",$EQ351="PM",$EQ351="OT"),$EQ351,$EP351))</f>
        <v/>
      </c>
      <c r="ES351">
        <f>IF($DM351=0,"",IF(AND($DV351&lt;&gt;"",UPPER($DV351)&lt;&gt;"N"),"allergen",IF(ISNUMBER(SEARCH("oil",$DQ351)),"oil",IF(OR(EXACT($DS351,"A662"),EXACT($DS351,"A624")),"bulk",""))))</f>
        <v/>
      </c>
      <c r="ET351">
        <f>IF($DM351=0,"",IF(OR($EA351="",$EA351=0),"",$EA351/100))</f>
        <v/>
      </c>
      <c r="EU351">
        <f>IF(OR($ET351="",$DY351=""),"",INT($DY351*(1-$ET351)+0.5))</f>
        <v/>
      </c>
      <c r="EW351" t="n">
        <v>347</v>
      </c>
      <c r="EX351">
        <f>IFERROR(MATCH($EW351,$EM$5:$EM$1003,0),0)</f>
        <v/>
      </c>
      <c r="EY351">
        <f>IF($EW351&gt;$B$12,"",IF($EX351&gt;0,"row","spacer"))</f>
        <v/>
      </c>
      <c r="EZ351">
        <f>IF(AND($EY351="row",$EY350&lt;&gt;"row"),1,0)</f>
        <v/>
      </c>
      <c r="FA351">
        <f>IF(AND($EY351="row",$EY352&lt;&gt;"row"),1,0)</f>
        <v/>
      </c>
      <c r="FB351">
        <f>IF($EZ351=1,IFERROR(IF(ISNUMBER(INDEX(PASTE_ALL,INDEX($DF$5:$DF$1003,$EX351),$B$37)),INDEX(PASTE_ALL,INDEX($DF$5:$DF$1003,$EX351),$B$37),INDEX($DH$5:$DH$1003,$EX351)),INDEX($DH$5:$DH$1003,$EX351)),"")</f>
        <v/>
      </c>
      <c r="FC351">
        <f>IF($EY351="row",INDEX($ER$5:$ER$1003,$EX351),"")</f>
        <v/>
      </c>
      <c r="FD351">
        <f>IF($EY351="row",INDEX($DN$5:$DN$1003,$EX351),"")</f>
        <v/>
      </c>
      <c r="FE351">
        <f>IF($EY351="row",INDEX($DO$5:$DO$1003,$EX351),"")</f>
        <v/>
      </c>
      <c r="FF351">
        <f>IF($EY351="row",INDEX($DP$5:$DP$1003,$EX351),"")</f>
        <v/>
      </c>
      <c r="FG351">
        <f>IF($EY351="row",INDEX($DQ$5:$DQ$1003,$EX351),"")</f>
        <v/>
      </c>
      <c r="FH351">
        <f>IF($EY351="row",INDEX($DR$5:$DR$1003,$EX351),"")</f>
        <v/>
      </c>
      <c r="FI351">
        <f>IF($EY351="row",INDEX($DS$5:$DS$1003,$EX351),"")</f>
        <v/>
      </c>
      <c r="FJ351">
        <f>IF($EY351="row",INDEX($DT$5:$DT$1003,$EX351),"")</f>
        <v/>
      </c>
      <c r="FK351">
        <f>IF($EY351="row",INDEX($DU$5:$DU$1003,$EX351),"")</f>
        <v/>
      </c>
      <c r="FL351">
        <f>IF($EY351="row",INDEX($DV$5:$DV$1003,$EX351),"")</f>
        <v/>
      </c>
      <c r="FM351">
        <f>IF($EY351="row",INDEX($DW$5:$DW$1003,$EX351),"")</f>
        <v/>
      </c>
      <c r="FN351">
        <f>IF($EY351="row",INDEX($DY$5:$DY$1003,$EX351),"")</f>
        <v/>
      </c>
      <c r="FO351">
        <f>IF($EY351="row",INDEX($EA$5:$EA$1003,$EX351),"")</f>
        <v/>
      </c>
      <c r="FP351">
        <f>IF($EY351="row",INDEX($EC$5:$EC$1003,$EX351),"")</f>
        <v/>
      </c>
      <c r="FQ351">
        <f>IF($EY351="row",INDEX($ET$5:$ET$1003,$EX351),"")</f>
        <v/>
      </c>
      <c r="FR351">
        <f>IF($EY351="row",INDEX($EU$5:$EU$1003,$EX351),"")</f>
        <v/>
      </c>
      <c r="FS351">
        <f>IF(AND($EY351="row",$EY350="row"),IF(OR(INDEX($DT$5:$DT$1003,$EX350)="",INDEX($DT$5:$DT$1003,$EX351)=""),"",IF(NOT(EXACT(INDEX($DT$5:$DT$1003,$EX350),INDEX($DT$5:$DT$1003,$EX351))),"S4",IF(NOT(EXACT(INDEX($DS$5:$DS$1003,$EX350),INDEX($DS$5:$DS$1003,$EX351))),"S3",IF(NOT(EXACT(INDEX($DR$5:$DR$1003,$EX350),INDEX($DR$5:$DR$1003,$EX351))),"S1 Count Change","S1")))),"")</f>
        <v/>
      </c>
      <c r="FT351">
        <f>IF($EY351="row",INDEX($ES$5:$ES$1003,$EX351),"")</f>
        <v/>
      </c>
      <c r="FU351">
        <f>IF($EY351="row",INDEX($EO$5:$EO$1003,$EX351),0)</f>
        <v/>
      </c>
      <c r="FV351">
        <f>IF($FS351="S1 Count Change",1,0)</f>
        <v/>
      </c>
    </row>
    <row r="352">
      <c r="DA352" t="n">
        <v>348</v>
      </c>
      <c r="DB352">
        <f>IF($B$37=0,"",IFERROR(TRIM(SUBSTITUTE(SUBSTITUTE(SUBSTITUTE(SUBSTITUTE(INDEX(PASTE_ALL,348,$B$37)," "," "),CHAR(9)," "),CHAR(10)," "),CHAR(13)," ")),""))</f>
        <v/>
      </c>
      <c r="DC352">
        <f>IF(AND(348&gt;HEADER_ROW,UPPER(DB352)="LEGEND"),1,0)</f>
        <v/>
      </c>
      <c r="DE352" t="n">
        <v>348</v>
      </c>
      <c r="DF352">
        <f>HEADER_ROW+$DE352</f>
        <v/>
      </c>
      <c r="DG352">
        <f>IF(AND($DF352&lt;=1000,$DF352&lt;$B$8),1,0)</f>
        <v/>
      </c>
      <c r="DH352">
        <f>IF($DG352=1,IFERROR(INDEX($DB$5:$DB$1004,$DF352),""),"")</f>
        <v/>
      </c>
      <c r="DI352">
        <f>IF(AND($DG352=1,$DH352&lt;&gt;""),IFERROR(SUBSTITUTE(SUBSTITUTE(TRIM(SUBSTITUTE(SUBSTITUTE(SUBSTITUTE(SUBSTITUTE(IFERROR(INDEX(PASTE_ALL,$DF352,1)&amp;"","")&amp;"␟"&amp;IFERROR(INDEX(PASTE_ALL,$DF352,2)&amp;"","")&amp;"␟"&amp;IFERROR(INDEX(PASTE_ALL,$DF352,3)&amp;"","")&amp;"␟"&amp;IFERROR(INDEX(PASTE_ALL,$DF352,4)&amp;"","")&amp;"␟"&amp;IFERROR(INDEX(PASTE_ALL,$DF352,5)&amp;"","")&amp;"␟"&amp;IFERROR(INDEX(PASTE_ALL,$DF352,6)&amp;"","")&amp;"␟"&amp;IFERROR(INDEX(PASTE_ALL,$DF352,7)&amp;"","")&amp;"␟"&amp;IFERROR(INDEX(PASTE_ALL,$DF352,8)&amp;"","")&amp;"␟"&amp;IFERROR(INDEX(PASTE_ALL,$DF352,9)&amp;"","")&amp;"␟"&amp;IFERROR(INDEX(PASTE_ALL,$DF352,10)&amp;"","")&amp;"␟"&amp;IFERROR(INDEX(PASTE_ALL,$DF352,11)&amp;"","")&amp;"␟"&amp;IFERROR(INDEX(PASTE_ALL,$DF352,12)&amp;"","")&amp;"␟"&amp;IFERROR(INDEX(PASTE_ALL,$DF352,13)&amp;"","")&amp;"␟"&amp;IFERROR(INDEX(PASTE_ALL,$DF352,14)&amp;"","")&amp;"␟"&amp;IFERROR(INDEX(PASTE_ALL,$DF352,15)&amp;"","")&amp;"␟"&amp;IFERROR(INDEX(PASTE_ALL,$DF352,16)&amp;"","")&amp;"␟"&amp;IFERROR(INDEX(PASTE_ALL,$DF352,17)&amp;"","")&amp;"␟"&amp;IFERROR(INDEX(PASTE_ALL,$DF352,18)&amp;"","")&amp;"␟"&amp;IFERROR(INDEX(PASTE_ALL,$DF352,19)&amp;"","")&amp;"␟"&amp;IFERROR(INDEX(PASTE_ALL,$DF352,20)&amp;"","")&amp;"␟"&amp;IFERROR(INDEX(PASTE_ALL,$DF352,21)&amp;"","")&amp;"␟"&amp;IFERROR(INDEX(PASTE_ALL,$DF352,22)&amp;"","")&amp;"␟"&amp;IFERROR(INDEX(PASTE_ALL,$DF352,23)&amp;"","")&amp;"␟"&amp;IFERROR(INDEX(PASTE_ALL,$DF352,24)&amp;"","")&amp;"␟"&amp;IFERROR(INDEX(PASTE_ALL,$DF352,25)&amp;"","")&amp;"␟"&amp;IFERROR(INDEX(PASTE_ALL,$DF352,26)&amp;"","")&amp;"␟"&amp;IFERROR(INDEX(PASTE_ALL,$DF352,27)&amp;"","")&amp;"␟"&amp;IFERROR(INDEX(PASTE_ALL,$DF352,28)&amp;"","")&amp;"␟"&amp;IFERROR(INDEX(PASTE_ALL,$DF352,29)&amp;"","")&amp;"␟"&amp;IFERROR(INDEX(PASTE_ALL,$DF352,30)&amp;"","")&amp;"␟"&amp;IFERROR(INDEX(PASTE_ALL,$DF352,31)&amp;"","")&amp;"␟"&amp;IFERROR(INDEX(PASTE_ALL,$DF352,32)&amp;"","")&amp;"␟"&amp;IFERROR(INDEX(PASTE_ALL,$DF352,33)&amp;"","")&amp;"␟"&amp;IFERROR(INDEX(PASTE_ALL,$DF352,34)&amp;"","")&amp;"␟"&amp;IFERROR(INDEX(PASTE_ALL,$DF352,35)&amp;"","")&amp;"␟"&amp;IFERROR(INDEX(PASTE_ALL,$DF352,36)&amp;"","")&amp;"␟"&amp;IFERROR(INDEX(PASTE_ALL,$DF352,37)&amp;"","")&amp;"␟"&amp;IFERROR(INDEX(PASTE_ALL,$DF352,38)&amp;"","")&amp;"␟"&amp;IFERROR(INDEX(PASTE_ALL,$DF352,39)&amp;"","")&amp;"␟"&amp;IFERROR(INDEX(PASTE_ALL,$DF352,40)&amp;"","")&amp;"␟"&amp;IFERROR(INDEX(PASTE_ALL,$DF352,41)&amp;"","")&amp;"␟"&amp;IFERROR(INDEX(PASTE_ALL,$DF352,42)&amp;"","")&amp;"␟"&amp;IFERROR(INDEX(PASTE_ALL,$DF352,43)&amp;"","")&amp;"␟"&amp;IFERROR(INDEX(PASTE_ALL,$DF352,44)&amp;"","")&amp;"␟"&amp;IFERROR(INDEX(PASTE_ALL,$DF352,45)&amp;"","")&amp;"␟"&amp;IFERROR(INDEX(PASTE_ALL,$DF352,46)&amp;"","")&amp;"␟"&amp;IFERROR(INDEX(PASTE_ALL,$DF352,47)&amp;"","")&amp;"␟"&amp;IFERROR(INDEX(PASTE_ALL,$DF352,48)&amp;"","")&amp;"␟"&amp;IFERROR(INDEX(PASTE_ALL,$DF352,49)&amp;"","")&amp;"␟"&amp;IFERROR(INDEX(PASTE_ALL,$DF352,50)&amp;"","")&amp;"␟"&amp;IFERROR(INDEX(PASTE_ALL,$DF352,51)&amp;"","")&amp;"␟"&amp;IFERROR(INDEX(PASTE_ALL,$DF352,52)&amp;"","")&amp;"␟"&amp;IFERROR(INDEX(PASTE_ALL,$DF352,53)&amp;"","")&amp;"␟"&amp;IFERROR(INDEX(PASTE_ALL,$DF352,54)&amp;"","")&amp;"␟"&amp;IFERROR(INDEX(PASTE_ALL,$DF352,55)&amp;"","")&amp;"␟"&amp;IFERROR(INDEX(PASTE_ALL,$DF352,56)&amp;"","")&amp;"␟"&amp;IFERROR(INDEX(PASTE_ALL,$DF352,57)&amp;"","")&amp;"␟"&amp;IFERROR(INDEX(PASTE_ALL,$DF352,58)&amp;"","")&amp;"␟"&amp;IFERROR(INDEX(PASTE_ALL,$DF352,59)&amp;"","")&amp;"␟"&amp;IFERROR(INDEX(PASTE_ALL,$DF352,60)&amp;"","")," "," "),CHAR(9)," "),CHAR(10)," "),CHAR(13)," "))," ␟","␟"),"␟ ","␟"),"#"&amp;$DE352),"")</f>
        <v/>
      </c>
      <c r="DJ352">
        <f>IF($DI352="",0,IF(SUMPRODUCT(--EXACT($DI$4:DI351,$DI352))&gt;0,1,0))</f>
        <v/>
      </c>
      <c r="DK352">
        <f>IF(AND($DI352&lt;&gt;"",$DJ352=0),1,0)</f>
        <v/>
      </c>
      <c r="DL352">
        <f>DL351+$DK352</f>
        <v/>
      </c>
      <c r="DM352">
        <f>IF(AND($DK352=1,$DL352&lt;=600),1,0)</f>
        <v/>
      </c>
      <c r="DN352">
        <f>IF($DM352=0,"",IF($L$6=0,"",IFERROR(IF(ISNUMBER(INDEX(PASTE_ALL,$DF352,$L$6)),INDEX(PASTE_ALL,$DF352,$L$6),TRIM(SUBSTITUTE(SUBSTITUTE(SUBSTITUTE(SUBSTITUTE(INDEX(PASTE_ALL,$DF352,$L$6)," "," "),CHAR(9)," "),CHAR(10)," "),CHAR(13)," "))),"")))</f>
        <v/>
      </c>
      <c r="DO352">
        <f>IF($DM352=0,"",IF($L$7=0,"",IFERROR(IF(ISNUMBER(INDEX(PASTE_ALL,$DF352,$L$7)),INDEX(PASTE_ALL,$DF352,$L$7),TRIM(SUBSTITUTE(SUBSTITUTE(SUBSTITUTE(SUBSTITUTE(INDEX(PASTE_ALL,$DF352,$L$7)," "," "),CHAR(9)," "),CHAR(10)," "),CHAR(13)," "))),"")))</f>
        <v/>
      </c>
      <c r="DP352">
        <f>IF($DM352=0,"",IF($L$8=0,"",IFERROR(IF(ISNUMBER(INDEX(PASTE_ALL,$DF352,$L$8)),INDEX(PASTE_ALL,$DF352,$L$8),TRIM(SUBSTITUTE(SUBSTITUTE(SUBSTITUTE(SUBSTITUTE(INDEX(PASTE_ALL,$DF352,$L$8)," "," "),CHAR(9)," "),CHAR(10)," "),CHAR(13)," "))),"")))</f>
        <v/>
      </c>
      <c r="DQ352">
        <f>IF($DM352=0,"",IF($L$9=0,"",IFERROR(IF(ISNUMBER(INDEX(PASTE_ALL,$DF352,$L$9)),INDEX(PASTE_ALL,$DF352,$L$9),TRIM(SUBSTITUTE(SUBSTITUTE(SUBSTITUTE(SUBSTITUTE(INDEX(PASTE_ALL,$DF352,$L$9)," "," "),CHAR(9)," "),CHAR(10)," "),CHAR(13)," "))),"")))</f>
        <v/>
      </c>
      <c r="DR352">
        <f>IF($DM352=0,"",IF($L$10=0,"",IFERROR(IF(ISNUMBER(INDEX(PASTE_ALL,$DF352,$L$10)),INDEX(PASTE_ALL,$DF352,$L$10),TRIM(SUBSTITUTE(SUBSTITUTE(SUBSTITUTE(SUBSTITUTE(INDEX(PASTE_ALL,$DF352,$L$10)," "," "),CHAR(9)," "),CHAR(10)," "),CHAR(13)," "))),"")))</f>
        <v/>
      </c>
      <c r="DS352">
        <f>IF($DM352=0,"",IF($L$11=0,"",IFERROR(IF(ISNUMBER(INDEX(PASTE_ALL,$DF352,$L$11)),INDEX(PASTE_ALL,$DF352,$L$11),TRIM(SUBSTITUTE(SUBSTITUTE(SUBSTITUTE(SUBSTITUTE(INDEX(PASTE_ALL,$DF352,$L$11)," "," "),CHAR(9)," "),CHAR(10)," "),CHAR(13)," "))),"")))</f>
        <v/>
      </c>
      <c r="DT352">
        <f>IF($DM352=0,"",IF($L$12=0,"",IFERROR(IF(ISNUMBER(INDEX(PASTE_ALL,$DF352,$L$12)),INDEX(PASTE_ALL,$DF352,$L$12),TRIM(SUBSTITUTE(SUBSTITUTE(SUBSTITUTE(SUBSTITUTE(INDEX(PASTE_ALL,$DF352,$L$12)," "," "),CHAR(9)," "),CHAR(10)," "),CHAR(13)," "))),"")))</f>
        <v/>
      </c>
      <c r="DU352">
        <f>IF($DM352=0,"",IF($L$13=0,"",IFERROR(IF(ISNUMBER(INDEX(PASTE_ALL,$DF352,$L$13)),INDEX(PASTE_ALL,$DF352,$L$13),TRIM(SUBSTITUTE(SUBSTITUTE(SUBSTITUTE(SUBSTITUTE(INDEX(PASTE_ALL,$DF352,$L$13)," "," "),CHAR(9)," "),CHAR(10)," "),CHAR(13)," "))),"")))</f>
        <v/>
      </c>
      <c r="DV352">
        <f>IF($DM352=0,"",IF($L$14=0,"",IFERROR(IF(ISNUMBER(INDEX(PASTE_ALL,$DF352,$L$14)),INDEX(PASTE_ALL,$DF352,$L$14),TRIM(SUBSTITUTE(SUBSTITUTE(SUBSTITUTE(SUBSTITUTE(INDEX(PASTE_ALL,$DF352,$L$14)," "," "),CHAR(9)," "),CHAR(10)," "),CHAR(13)," "))),"")))</f>
        <v/>
      </c>
      <c r="DW352">
        <f>IF($DM352=0,"",IF($L$15=0,"",IFERROR(IF(ISNUMBER(INDEX(PASTE_ALL,$DF352,$L$15)),INDEX(PASTE_ALL,$DF352,$L$15),IF(SUMPRODUCT(--ISNUMBER(FIND({"A","B","C","D","E","F","G","H","I","J","K","L","M","N","O","P","Q","R","S","T","U","V","W","X","Y","Z","0","1","2","3","4","5","6","7","8","9"},UPPER(TRIM(SUBSTITUTE(SUBSTITUTE(SUBSTITUTE(SUBSTITUTE(INDEX(PASTE_ALL,$DF352,$L$15)," "," "),CHAR(9)," "),CHAR(10)," "),CHAR(13)," "))))))&gt;0,TRIM(SUBSTITUTE(SUBSTITUTE(SUBSTITUTE(SUBSTITUTE(INDEX(PASTE_ALL,$DF352,$L$15)," "," "),CHAR(9)," "),CHAR(10)," "),CHAR(13)," ")),"")),"")))</f>
        <v/>
      </c>
      <c r="DX352">
        <f>IF($DM352=0,"",IF($L$16=0,"",IFERROR(IF(ISNUMBER(INDEX(PASTE_ALL,$DF352,$L$16)),INDEX(PASTE_ALL,$DF352,$L$16),SUBSTITUTE(SUBSTITUTE(TRIM(SUBSTITUTE(SUBSTITUTE(SUBSTITUTE(SUBSTITUTE(INDEX(PASTE_ALL,$DF352,$L$16)," "," "),CHAR(9)," "),CHAR(10)," "),CHAR(13)," ")),",",""),"%","")),"")))</f>
        <v/>
      </c>
      <c r="DY352">
        <f>IF($DM352=0,"",IFERROR(IF(ISNUMBER($DX352),$DX352,IF($DX352="","",IF(TRIM($DX352)="",0,IF(AND(AND(SUBSTITUTE(SUBSTITUTE(SUBSTITUTE(SUBSTITUTE(SUBSTITUTE(SUBSTITUTE(SUBSTITUTE(SUBSTITUTE(SUBSTITUTE(SUBSTITUTE(SUBSTITUTE(SUBSTITUTE(SUBSTITUTE(SUBSTITUTE(UPPER(TRIM($DX352)),"0",""),"1",""),"2",""),"3",""),"4",""),"5",""),"6",""),"7",""),"8",""),"9",""),".",""),"+",""),"-",""),"E","")="",LEN(SUBSTITUTE(SUBSTITUTE(MID(UPPER(TRIM($DX352)),1+OR(LEFT(UPPER(TRIM($DX352)),1)="+",LEFT(UPPER(TRIM($DX352)),1)="-"),999),"E+","E"),"E-","E"))=LEN(SUBSTITUTE(SUBSTITUTE(SUBSTITUTE(SUBSTITUTE(MID(UPPER(TRIM($DX352)),1+OR(LEFT(UPPER(TRIM($DX352)),1)="+",LEFT(UPPER(TRIM($DX352)),1)="-"),999),"E+","E"),"E-","E"),"+",""),"-","")),LEN(UPPER(TRIM($DX352)))-LEN(SUBSTITUTE(UPPER(TRIM($DX352)),"E",""))&lt;2,LEN(UPPER(TRIM($DX352)))-LEN(SUBSTITUTE(UPPER(TRIM($DX352)),".",""))&lt;2,IFERROR(FIND(".",UPPER(TRIM($DX352))),0)&lt;IFERROR(FIND("E",UPPER(TRIM($DX352))),999)),ISNUMBER(VALUE(TRIM($DX352)))),VALUE(TRIM($DX352)),"")))),""))</f>
        <v/>
      </c>
      <c r="DZ352">
        <f>IF($DM352=0,"",IF($L$17=0,"",IFERROR(IF(ISNUMBER(INDEX(PASTE_ALL,$DF352,$L$17)),INDEX(PASTE_ALL,$DF352,$L$17),SUBSTITUTE(SUBSTITUTE(TRIM(SUBSTITUTE(SUBSTITUTE(SUBSTITUTE(SUBSTITUTE(INDEX(PASTE_ALL,$DF352,$L$17)," "," "),CHAR(9)," "),CHAR(10)," "),CHAR(13)," ")),",",""),"%","")),"")))</f>
        <v/>
      </c>
      <c r="EA352">
        <f>IF($DM352=0,"",IFERROR(IF(ISNUMBER($DZ352),$DZ352,IF($DZ352="","",IF(TRIM($DZ352)="",0,IF(AND(AND(SUBSTITUTE(SUBSTITUTE(SUBSTITUTE(SUBSTITUTE(SUBSTITUTE(SUBSTITUTE(SUBSTITUTE(SUBSTITUTE(SUBSTITUTE(SUBSTITUTE(SUBSTITUTE(SUBSTITUTE(SUBSTITUTE(SUBSTITUTE(UPPER(TRIM($DZ352)),"0",""),"1",""),"2",""),"3",""),"4",""),"5",""),"6",""),"7",""),"8",""),"9",""),".",""),"+",""),"-",""),"E","")="",LEN(SUBSTITUTE(SUBSTITUTE(MID(UPPER(TRIM($DZ352)),1+OR(LEFT(UPPER(TRIM($DZ352)),1)="+",LEFT(UPPER(TRIM($DZ352)),1)="-"),999),"E+","E"),"E-","E"))=LEN(SUBSTITUTE(SUBSTITUTE(SUBSTITUTE(SUBSTITUTE(MID(UPPER(TRIM($DZ352)),1+OR(LEFT(UPPER(TRIM($DZ352)),1)="+",LEFT(UPPER(TRIM($DZ352)),1)="-"),999),"E+","E"),"E-","E"),"+",""),"-","")),LEN(UPPER(TRIM($DZ352)))-LEN(SUBSTITUTE(UPPER(TRIM($DZ352)),"E",""))&lt;2,LEN(UPPER(TRIM($DZ352)))-LEN(SUBSTITUTE(UPPER(TRIM($DZ352)),".",""))&lt;2,IFERROR(FIND(".",UPPER(TRIM($DZ352))),0)&lt;IFERROR(FIND("E",UPPER(TRIM($DZ352))),999)),ISNUMBER(VALUE(TRIM($DZ352)))),VALUE(TRIM($DZ352)),"")))),""))</f>
        <v/>
      </c>
      <c r="EB352">
        <f>IF($DM352=0,"",IF($L$18=0,"",IFERROR(IF(UPPER(TRIM(SUBSTITUTE(SUBSTITUTE(SUBSTITUTE(SUBSTITUTE(INDEX(PASTE_ALL,$DF352,$L$18)," "," "),CHAR(9)," "),CHAR(10)," "),CHAR(13)," ")))="READY","Ready",IF(UPPER(TRIM(SUBSTITUTE(SUBSTITUTE(SUBSTITUTE(SUBSTITUTE(INDEX(PASTE_ALL,$DF352,$L$18)," "," "),CHAR(9)," "),CHAR(10)," "),CHAR(13)," ")))="PM","PM",IF(OR(UPPER(TRIM(SUBSTITUTE(SUBSTITUTE(SUBSTITUTE(SUBSTITUTE(INDEX(PASTE_ALL,$DF352,$L$18)," "," "),CHAR(9)," "),CHAR(10)," "),CHAR(13)," ")))="OT",UPPER(TRIM(SUBSTITUTE(SUBSTITUTE(SUBSTITUTE(SUBSTITUTE(INDEX(PASTE_ALL,$DF352,$L$18)," "," "),CHAR(9)," "),CHAR(10)," "),CHAR(13)," ")))="OVERTIME",UPPER(TRIM(SUBSTITUTE(SUBSTITUTE(SUBSTITUTE(SUBSTITUTE(INDEX(PASTE_ALL,$DF352,$L$18)," "," "),CHAR(9)," "),CHAR(10)," "),CHAR(13)," ")))="TRIAL"),"OT",TRIM(SUBSTITUTE(SUBSTITUTE(SUBSTITUTE(SUBSTITUTE(INDEX(PASTE_ALL,$DF352,$L$18)," "," "),CHAR(9)," "),CHAR(10)," "),CHAR(13)," "))))),"")))</f>
        <v/>
      </c>
      <c r="EC352">
        <f>IF($DM352=0,"",IF($L$19=0,"",IFERROR(IF(ISNUMBER(INDEX(PASTE_ALL,$DF352,$L$19)),INDEX(PASTE_ALL,$DF352,$L$19),TRIM(SUBSTITUTE(SUBSTITUTE(SUBSTITUTE(SUBSTITUTE(INDEX(PASTE_ALL,$DF352,$L$19)," "," "),CHAR(9)," "),CHAR(10)," "),CHAR(13)," "))),"")))</f>
        <v/>
      </c>
      <c r="ED352">
        <f>IF($DM352=0,"",MATCH(1,INDEX(EXACT($DH$5:DH352,$DH352)*$DM$5:DM352,0),0))</f>
        <v/>
      </c>
      <c r="EE352">
        <f>IF($DM352=0,0,IF($ED352=$DE352,1,0))</f>
        <v/>
      </c>
      <c r="EF352">
        <f>EF351+$EE352</f>
        <v/>
      </c>
      <c r="EG352">
        <f>IF($DM352=0,"",INDEX($EF$5:$EF$1003,$ED352))</f>
        <v/>
      </c>
      <c r="EH352">
        <f>IF($DM352=0,"",IF($DO352&lt;&gt;"","",IFERROR(LOOKUP(2,1/(($EG$4:EG351=$EG352)*($DO$4:DO351&lt;&gt;"")),$DO$4:DO351),"")))</f>
        <v/>
      </c>
      <c r="EI352">
        <f>IF($DM352=0,"",IF($DO352&lt;&gt;"",$DO352,$EH352))</f>
        <v/>
      </c>
      <c r="EJ352">
        <f>IF($DM352=0,"",IF($EI352="",0,IF(OR(ISNUMBER($EI352),AND(AND(SUBSTITUTE(SUBSTITUTE(SUBSTITUTE(SUBSTITUTE(SUBSTITUTE(SUBSTITUTE(SUBSTITUTE(SUBSTITUTE(SUBSTITUTE(SUBSTITUTE(SUBSTITUTE(SUBSTITUTE(SUBSTITUTE(SUBSTITUTE(UPPER($EI352),"0",""),"1",""),"2",""),"3",""),"4",""),"5",""),"6",""),"7",""),"8",""),"9",""),".",""),"+",""),"-",""),"E","")="",LEN(SUBSTITUTE(SUBSTITUTE(MID(UPPER($EI352),1+OR(LEFT(UPPER($EI352),1)="+",LEFT(UPPER($EI352),1)="-"),999),"E+","E"),"E-","E"))=LEN(SUBSTITUTE(SUBSTITUTE(SUBSTITUTE(SUBSTITUTE(MID(UPPER($EI352),1+OR(LEFT(UPPER($EI352),1)="+",LEFT(UPPER($EI352),1)="-"),999),"E+","E"),"E-","E"),"+",""),"-","")),LEN(UPPER($EI352))-LEN(SUBSTITUTE(UPPER($EI352),"E",""))&lt;2,LEN(UPPER($EI352))-LEN(SUBSTITUTE(UPPER($EI352),".",""))&lt;2,IFERROR(FIND(".",UPPER($EI352)),0)&lt;IFERROR(FIND("E",UPPER($EI352)),999)),ISNUMBER(VALUE($EI352)))),1,2)))</f>
        <v/>
      </c>
      <c r="EK352">
        <f>IF($DM352=0,"",IF($EJ352=1,IF(ISNUMBER($EI352),$EI352,VALUE($EI352)),IF($EJ352=2,$DE352,0)))</f>
        <v/>
      </c>
      <c r="EL352">
        <f>IF($DM352=0,"",COUNTIF($EG$5:$EG$1003,"&lt;"&amp;$EG352)+SUMPRODUCT(($EG$5:$EG$1003=$EG352)*(($EJ$5:$EJ$1003&lt;$EJ352)+($EJ$5:$EJ$1003=$EJ352)*(($EK$5:$EK$1003&lt;$EK352)+($EK$5:$EK$1003=$EK352)*($DE$5:$DE$1003&lt;$DE352))))+1)</f>
        <v/>
      </c>
      <c r="EM352">
        <f>IF($DM352=0,"",$EL352+$EG352-1)</f>
        <v/>
      </c>
      <c r="EN352">
        <f>IF($DM352=0,0,IFERROR(MATCH(1,INDEX(--(TRIM(SUBSTITUTE(SUBSTITUTE(SUBSTITUTE(SUBSTITUTE(LINES_NAME&amp;""," "," "),CHAR(9)," "),CHAR(10)," "),CHAR(13)," "))=$DH352),0),0),0))</f>
        <v/>
      </c>
      <c r="EO352">
        <f>IF($EN352=0,0,IF(OR(UPPER(TRIM(INDEX(LINES_SCHEDULED,$EN352)&amp;""))="YES",UPPER(TRIM(INDEX(LINES_SCHEDULED,$EN352)&amp;""))="Y",UPPER(TRIM(INDEX(LINES_SCHEDULED,$EN352)&amp;""))="X"),1,0))</f>
        <v/>
      </c>
      <c r="EP352">
        <f>IF($DM352=0,"",IF(COUNTIFS($EG$5:$EG$1003,$EG352,$EB$5:$EB$1003,"Ready")&gt;0,"READY",IF(COUNTIFS($EG$5:$EG$1003,$EG352,$EB$5:$EB$1003,"PM")&gt;0,"PM",IF(COUNTIFS($EG$5:$EG$1003,$EG352,$EB$5:$EB$1003,"OT")&gt;0,"OT",""))))</f>
        <v/>
      </c>
      <c r="EQ352">
        <f>IF($EN352=0,"",UPPER(TRIM(INDEX(LINES_STATUS,$EN352)&amp;"")))</f>
        <v/>
      </c>
      <c r="ER352">
        <f>IF($DM352=0,"",IF(OR($EQ352="READY",$EQ352="PM",$EQ352="OT"),$EQ352,$EP352))</f>
        <v/>
      </c>
      <c r="ES352">
        <f>IF($DM352=0,"",IF(AND($DV352&lt;&gt;"",UPPER($DV352)&lt;&gt;"N"),"allergen",IF(ISNUMBER(SEARCH("oil",$DQ352)),"oil",IF(OR(EXACT($DS352,"A662"),EXACT($DS352,"A624")),"bulk",""))))</f>
        <v/>
      </c>
      <c r="ET352">
        <f>IF($DM352=0,"",IF(OR($EA352="",$EA352=0),"",$EA352/100))</f>
        <v/>
      </c>
      <c r="EU352">
        <f>IF(OR($ET352="",$DY352=""),"",INT($DY352*(1-$ET352)+0.5))</f>
        <v/>
      </c>
      <c r="EW352" t="n">
        <v>348</v>
      </c>
      <c r="EX352">
        <f>IFERROR(MATCH($EW352,$EM$5:$EM$1003,0),0)</f>
        <v/>
      </c>
      <c r="EY352">
        <f>IF($EW352&gt;$B$12,"",IF($EX352&gt;0,"row","spacer"))</f>
        <v/>
      </c>
      <c r="EZ352">
        <f>IF(AND($EY352="row",$EY351&lt;&gt;"row"),1,0)</f>
        <v/>
      </c>
      <c r="FA352">
        <f>IF(AND($EY352="row",$EY353&lt;&gt;"row"),1,0)</f>
        <v/>
      </c>
      <c r="FB352">
        <f>IF($EZ352=1,IFERROR(IF(ISNUMBER(INDEX(PASTE_ALL,INDEX($DF$5:$DF$1003,$EX352),$B$37)),INDEX(PASTE_ALL,INDEX($DF$5:$DF$1003,$EX352),$B$37),INDEX($DH$5:$DH$1003,$EX352)),INDEX($DH$5:$DH$1003,$EX352)),"")</f>
        <v/>
      </c>
      <c r="FC352">
        <f>IF($EY352="row",INDEX($ER$5:$ER$1003,$EX352),"")</f>
        <v/>
      </c>
      <c r="FD352">
        <f>IF($EY352="row",INDEX($DN$5:$DN$1003,$EX352),"")</f>
        <v/>
      </c>
      <c r="FE352">
        <f>IF($EY352="row",INDEX($DO$5:$DO$1003,$EX352),"")</f>
        <v/>
      </c>
      <c r="FF352">
        <f>IF($EY352="row",INDEX($DP$5:$DP$1003,$EX352),"")</f>
        <v/>
      </c>
      <c r="FG352">
        <f>IF($EY352="row",INDEX($DQ$5:$DQ$1003,$EX352),"")</f>
        <v/>
      </c>
      <c r="FH352">
        <f>IF($EY352="row",INDEX($DR$5:$DR$1003,$EX352),"")</f>
        <v/>
      </c>
      <c r="FI352">
        <f>IF($EY352="row",INDEX($DS$5:$DS$1003,$EX352),"")</f>
        <v/>
      </c>
      <c r="FJ352">
        <f>IF($EY352="row",INDEX($DT$5:$DT$1003,$EX352),"")</f>
        <v/>
      </c>
      <c r="FK352">
        <f>IF($EY352="row",INDEX($DU$5:$DU$1003,$EX352),"")</f>
        <v/>
      </c>
      <c r="FL352">
        <f>IF($EY352="row",INDEX($DV$5:$DV$1003,$EX352),"")</f>
        <v/>
      </c>
      <c r="FM352">
        <f>IF($EY352="row",INDEX($DW$5:$DW$1003,$EX352),"")</f>
        <v/>
      </c>
      <c r="FN352">
        <f>IF($EY352="row",INDEX($DY$5:$DY$1003,$EX352),"")</f>
        <v/>
      </c>
      <c r="FO352">
        <f>IF($EY352="row",INDEX($EA$5:$EA$1003,$EX352),"")</f>
        <v/>
      </c>
      <c r="FP352">
        <f>IF($EY352="row",INDEX($EC$5:$EC$1003,$EX352),"")</f>
        <v/>
      </c>
      <c r="FQ352">
        <f>IF($EY352="row",INDEX($ET$5:$ET$1003,$EX352),"")</f>
        <v/>
      </c>
      <c r="FR352">
        <f>IF($EY352="row",INDEX($EU$5:$EU$1003,$EX352),"")</f>
        <v/>
      </c>
      <c r="FS352">
        <f>IF(AND($EY352="row",$EY351="row"),IF(OR(INDEX($DT$5:$DT$1003,$EX351)="",INDEX($DT$5:$DT$1003,$EX352)=""),"",IF(NOT(EXACT(INDEX($DT$5:$DT$1003,$EX351),INDEX($DT$5:$DT$1003,$EX352))),"S4",IF(NOT(EXACT(INDEX($DS$5:$DS$1003,$EX351),INDEX($DS$5:$DS$1003,$EX352))),"S3",IF(NOT(EXACT(INDEX($DR$5:$DR$1003,$EX351),INDEX($DR$5:$DR$1003,$EX352))),"S1 Count Change","S1")))),"")</f>
        <v/>
      </c>
      <c r="FT352">
        <f>IF($EY352="row",INDEX($ES$5:$ES$1003,$EX352),"")</f>
        <v/>
      </c>
      <c r="FU352">
        <f>IF($EY352="row",INDEX($EO$5:$EO$1003,$EX352),0)</f>
        <v/>
      </c>
      <c r="FV352">
        <f>IF($FS352="S1 Count Change",1,0)</f>
        <v/>
      </c>
    </row>
    <row r="353">
      <c r="DA353" t="n">
        <v>349</v>
      </c>
      <c r="DB353">
        <f>IF($B$37=0,"",IFERROR(TRIM(SUBSTITUTE(SUBSTITUTE(SUBSTITUTE(SUBSTITUTE(INDEX(PASTE_ALL,349,$B$37)," "," "),CHAR(9)," "),CHAR(10)," "),CHAR(13)," ")),""))</f>
        <v/>
      </c>
      <c r="DC353">
        <f>IF(AND(349&gt;HEADER_ROW,UPPER(DB353)="LEGEND"),1,0)</f>
        <v/>
      </c>
      <c r="DE353" t="n">
        <v>349</v>
      </c>
      <c r="DF353">
        <f>HEADER_ROW+$DE353</f>
        <v/>
      </c>
      <c r="DG353">
        <f>IF(AND($DF353&lt;=1000,$DF353&lt;$B$8),1,0)</f>
        <v/>
      </c>
      <c r="DH353">
        <f>IF($DG353=1,IFERROR(INDEX($DB$5:$DB$1004,$DF353),""),"")</f>
        <v/>
      </c>
      <c r="DI353">
        <f>IF(AND($DG353=1,$DH353&lt;&gt;""),IFERROR(SUBSTITUTE(SUBSTITUTE(TRIM(SUBSTITUTE(SUBSTITUTE(SUBSTITUTE(SUBSTITUTE(IFERROR(INDEX(PASTE_ALL,$DF353,1)&amp;"","")&amp;"␟"&amp;IFERROR(INDEX(PASTE_ALL,$DF353,2)&amp;"","")&amp;"␟"&amp;IFERROR(INDEX(PASTE_ALL,$DF353,3)&amp;"","")&amp;"␟"&amp;IFERROR(INDEX(PASTE_ALL,$DF353,4)&amp;"","")&amp;"␟"&amp;IFERROR(INDEX(PASTE_ALL,$DF353,5)&amp;"","")&amp;"␟"&amp;IFERROR(INDEX(PASTE_ALL,$DF353,6)&amp;"","")&amp;"␟"&amp;IFERROR(INDEX(PASTE_ALL,$DF353,7)&amp;"","")&amp;"␟"&amp;IFERROR(INDEX(PASTE_ALL,$DF353,8)&amp;"","")&amp;"␟"&amp;IFERROR(INDEX(PASTE_ALL,$DF353,9)&amp;"","")&amp;"␟"&amp;IFERROR(INDEX(PASTE_ALL,$DF353,10)&amp;"","")&amp;"␟"&amp;IFERROR(INDEX(PASTE_ALL,$DF353,11)&amp;"","")&amp;"␟"&amp;IFERROR(INDEX(PASTE_ALL,$DF353,12)&amp;"","")&amp;"␟"&amp;IFERROR(INDEX(PASTE_ALL,$DF353,13)&amp;"","")&amp;"␟"&amp;IFERROR(INDEX(PASTE_ALL,$DF353,14)&amp;"","")&amp;"␟"&amp;IFERROR(INDEX(PASTE_ALL,$DF353,15)&amp;"","")&amp;"␟"&amp;IFERROR(INDEX(PASTE_ALL,$DF353,16)&amp;"","")&amp;"␟"&amp;IFERROR(INDEX(PASTE_ALL,$DF353,17)&amp;"","")&amp;"␟"&amp;IFERROR(INDEX(PASTE_ALL,$DF353,18)&amp;"","")&amp;"␟"&amp;IFERROR(INDEX(PASTE_ALL,$DF353,19)&amp;"","")&amp;"␟"&amp;IFERROR(INDEX(PASTE_ALL,$DF353,20)&amp;"","")&amp;"␟"&amp;IFERROR(INDEX(PASTE_ALL,$DF353,21)&amp;"","")&amp;"␟"&amp;IFERROR(INDEX(PASTE_ALL,$DF353,22)&amp;"","")&amp;"␟"&amp;IFERROR(INDEX(PASTE_ALL,$DF353,23)&amp;"","")&amp;"␟"&amp;IFERROR(INDEX(PASTE_ALL,$DF353,24)&amp;"","")&amp;"␟"&amp;IFERROR(INDEX(PASTE_ALL,$DF353,25)&amp;"","")&amp;"␟"&amp;IFERROR(INDEX(PASTE_ALL,$DF353,26)&amp;"","")&amp;"␟"&amp;IFERROR(INDEX(PASTE_ALL,$DF353,27)&amp;"","")&amp;"␟"&amp;IFERROR(INDEX(PASTE_ALL,$DF353,28)&amp;"","")&amp;"␟"&amp;IFERROR(INDEX(PASTE_ALL,$DF353,29)&amp;"","")&amp;"␟"&amp;IFERROR(INDEX(PASTE_ALL,$DF353,30)&amp;"","")&amp;"␟"&amp;IFERROR(INDEX(PASTE_ALL,$DF353,31)&amp;"","")&amp;"␟"&amp;IFERROR(INDEX(PASTE_ALL,$DF353,32)&amp;"","")&amp;"␟"&amp;IFERROR(INDEX(PASTE_ALL,$DF353,33)&amp;"","")&amp;"␟"&amp;IFERROR(INDEX(PASTE_ALL,$DF353,34)&amp;"","")&amp;"␟"&amp;IFERROR(INDEX(PASTE_ALL,$DF353,35)&amp;"","")&amp;"␟"&amp;IFERROR(INDEX(PASTE_ALL,$DF353,36)&amp;"","")&amp;"␟"&amp;IFERROR(INDEX(PASTE_ALL,$DF353,37)&amp;"","")&amp;"␟"&amp;IFERROR(INDEX(PASTE_ALL,$DF353,38)&amp;"","")&amp;"␟"&amp;IFERROR(INDEX(PASTE_ALL,$DF353,39)&amp;"","")&amp;"␟"&amp;IFERROR(INDEX(PASTE_ALL,$DF353,40)&amp;"","")&amp;"␟"&amp;IFERROR(INDEX(PASTE_ALL,$DF353,41)&amp;"","")&amp;"␟"&amp;IFERROR(INDEX(PASTE_ALL,$DF353,42)&amp;"","")&amp;"␟"&amp;IFERROR(INDEX(PASTE_ALL,$DF353,43)&amp;"","")&amp;"␟"&amp;IFERROR(INDEX(PASTE_ALL,$DF353,44)&amp;"","")&amp;"␟"&amp;IFERROR(INDEX(PASTE_ALL,$DF353,45)&amp;"","")&amp;"␟"&amp;IFERROR(INDEX(PASTE_ALL,$DF353,46)&amp;"","")&amp;"␟"&amp;IFERROR(INDEX(PASTE_ALL,$DF353,47)&amp;"","")&amp;"␟"&amp;IFERROR(INDEX(PASTE_ALL,$DF353,48)&amp;"","")&amp;"␟"&amp;IFERROR(INDEX(PASTE_ALL,$DF353,49)&amp;"","")&amp;"␟"&amp;IFERROR(INDEX(PASTE_ALL,$DF353,50)&amp;"","")&amp;"␟"&amp;IFERROR(INDEX(PASTE_ALL,$DF353,51)&amp;"","")&amp;"␟"&amp;IFERROR(INDEX(PASTE_ALL,$DF353,52)&amp;"","")&amp;"␟"&amp;IFERROR(INDEX(PASTE_ALL,$DF353,53)&amp;"","")&amp;"␟"&amp;IFERROR(INDEX(PASTE_ALL,$DF353,54)&amp;"","")&amp;"␟"&amp;IFERROR(INDEX(PASTE_ALL,$DF353,55)&amp;"","")&amp;"␟"&amp;IFERROR(INDEX(PASTE_ALL,$DF353,56)&amp;"","")&amp;"␟"&amp;IFERROR(INDEX(PASTE_ALL,$DF353,57)&amp;"","")&amp;"␟"&amp;IFERROR(INDEX(PASTE_ALL,$DF353,58)&amp;"","")&amp;"␟"&amp;IFERROR(INDEX(PASTE_ALL,$DF353,59)&amp;"","")&amp;"␟"&amp;IFERROR(INDEX(PASTE_ALL,$DF353,60)&amp;"","")," "," "),CHAR(9)," "),CHAR(10)," "),CHAR(13)," "))," ␟","␟"),"␟ ","␟"),"#"&amp;$DE353),"")</f>
        <v/>
      </c>
      <c r="DJ353">
        <f>IF($DI353="",0,IF(SUMPRODUCT(--EXACT($DI$4:DI352,$DI353))&gt;0,1,0))</f>
        <v/>
      </c>
      <c r="DK353">
        <f>IF(AND($DI353&lt;&gt;"",$DJ353=0),1,0)</f>
        <v/>
      </c>
      <c r="DL353">
        <f>DL352+$DK353</f>
        <v/>
      </c>
      <c r="DM353">
        <f>IF(AND($DK353=1,$DL353&lt;=600),1,0)</f>
        <v/>
      </c>
      <c r="DN353">
        <f>IF($DM353=0,"",IF($L$6=0,"",IFERROR(IF(ISNUMBER(INDEX(PASTE_ALL,$DF353,$L$6)),INDEX(PASTE_ALL,$DF353,$L$6),TRIM(SUBSTITUTE(SUBSTITUTE(SUBSTITUTE(SUBSTITUTE(INDEX(PASTE_ALL,$DF353,$L$6)," "," "),CHAR(9)," "),CHAR(10)," "),CHAR(13)," "))),"")))</f>
        <v/>
      </c>
      <c r="DO353">
        <f>IF($DM353=0,"",IF($L$7=0,"",IFERROR(IF(ISNUMBER(INDEX(PASTE_ALL,$DF353,$L$7)),INDEX(PASTE_ALL,$DF353,$L$7),TRIM(SUBSTITUTE(SUBSTITUTE(SUBSTITUTE(SUBSTITUTE(INDEX(PASTE_ALL,$DF353,$L$7)," "," "),CHAR(9)," "),CHAR(10)," "),CHAR(13)," "))),"")))</f>
        <v/>
      </c>
      <c r="DP353">
        <f>IF($DM353=0,"",IF($L$8=0,"",IFERROR(IF(ISNUMBER(INDEX(PASTE_ALL,$DF353,$L$8)),INDEX(PASTE_ALL,$DF353,$L$8),TRIM(SUBSTITUTE(SUBSTITUTE(SUBSTITUTE(SUBSTITUTE(INDEX(PASTE_ALL,$DF353,$L$8)," "," "),CHAR(9)," "),CHAR(10)," "),CHAR(13)," "))),"")))</f>
        <v/>
      </c>
      <c r="DQ353">
        <f>IF($DM353=0,"",IF($L$9=0,"",IFERROR(IF(ISNUMBER(INDEX(PASTE_ALL,$DF353,$L$9)),INDEX(PASTE_ALL,$DF353,$L$9),TRIM(SUBSTITUTE(SUBSTITUTE(SUBSTITUTE(SUBSTITUTE(INDEX(PASTE_ALL,$DF353,$L$9)," "," "),CHAR(9)," "),CHAR(10)," "),CHAR(13)," "))),"")))</f>
        <v/>
      </c>
      <c r="DR353">
        <f>IF($DM353=0,"",IF($L$10=0,"",IFERROR(IF(ISNUMBER(INDEX(PASTE_ALL,$DF353,$L$10)),INDEX(PASTE_ALL,$DF353,$L$10),TRIM(SUBSTITUTE(SUBSTITUTE(SUBSTITUTE(SUBSTITUTE(INDEX(PASTE_ALL,$DF353,$L$10)," "," "),CHAR(9)," "),CHAR(10)," "),CHAR(13)," "))),"")))</f>
        <v/>
      </c>
      <c r="DS353">
        <f>IF($DM353=0,"",IF($L$11=0,"",IFERROR(IF(ISNUMBER(INDEX(PASTE_ALL,$DF353,$L$11)),INDEX(PASTE_ALL,$DF353,$L$11),TRIM(SUBSTITUTE(SUBSTITUTE(SUBSTITUTE(SUBSTITUTE(INDEX(PASTE_ALL,$DF353,$L$11)," "," "),CHAR(9)," "),CHAR(10)," "),CHAR(13)," "))),"")))</f>
        <v/>
      </c>
      <c r="DT353">
        <f>IF($DM353=0,"",IF($L$12=0,"",IFERROR(IF(ISNUMBER(INDEX(PASTE_ALL,$DF353,$L$12)),INDEX(PASTE_ALL,$DF353,$L$12),TRIM(SUBSTITUTE(SUBSTITUTE(SUBSTITUTE(SUBSTITUTE(INDEX(PASTE_ALL,$DF353,$L$12)," "," "),CHAR(9)," "),CHAR(10)," "),CHAR(13)," "))),"")))</f>
        <v/>
      </c>
      <c r="DU353">
        <f>IF($DM353=0,"",IF($L$13=0,"",IFERROR(IF(ISNUMBER(INDEX(PASTE_ALL,$DF353,$L$13)),INDEX(PASTE_ALL,$DF353,$L$13),TRIM(SUBSTITUTE(SUBSTITUTE(SUBSTITUTE(SUBSTITUTE(INDEX(PASTE_ALL,$DF353,$L$13)," "," "),CHAR(9)," "),CHAR(10)," "),CHAR(13)," "))),"")))</f>
        <v/>
      </c>
      <c r="DV353">
        <f>IF($DM353=0,"",IF($L$14=0,"",IFERROR(IF(ISNUMBER(INDEX(PASTE_ALL,$DF353,$L$14)),INDEX(PASTE_ALL,$DF353,$L$14),TRIM(SUBSTITUTE(SUBSTITUTE(SUBSTITUTE(SUBSTITUTE(INDEX(PASTE_ALL,$DF353,$L$14)," "," "),CHAR(9)," "),CHAR(10)," "),CHAR(13)," "))),"")))</f>
        <v/>
      </c>
      <c r="DW353">
        <f>IF($DM353=0,"",IF($L$15=0,"",IFERROR(IF(ISNUMBER(INDEX(PASTE_ALL,$DF353,$L$15)),INDEX(PASTE_ALL,$DF353,$L$15),IF(SUMPRODUCT(--ISNUMBER(FIND({"A","B","C","D","E","F","G","H","I","J","K","L","M","N","O","P","Q","R","S","T","U","V","W","X","Y","Z","0","1","2","3","4","5","6","7","8","9"},UPPER(TRIM(SUBSTITUTE(SUBSTITUTE(SUBSTITUTE(SUBSTITUTE(INDEX(PASTE_ALL,$DF353,$L$15)," "," "),CHAR(9)," "),CHAR(10)," "),CHAR(13)," "))))))&gt;0,TRIM(SUBSTITUTE(SUBSTITUTE(SUBSTITUTE(SUBSTITUTE(INDEX(PASTE_ALL,$DF353,$L$15)," "," "),CHAR(9)," "),CHAR(10)," "),CHAR(13)," ")),"")),"")))</f>
        <v/>
      </c>
      <c r="DX353">
        <f>IF($DM353=0,"",IF($L$16=0,"",IFERROR(IF(ISNUMBER(INDEX(PASTE_ALL,$DF353,$L$16)),INDEX(PASTE_ALL,$DF353,$L$16),SUBSTITUTE(SUBSTITUTE(TRIM(SUBSTITUTE(SUBSTITUTE(SUBSTITUTE(SUBSTITUTE(INDEX(PASTE_ALL,$DF353,$L$16)," "," "),CHAR(9)," "),CHAR(10)," "),CHAR(13)," ")),",",""),"%","")),"")))</f>
        <v/>
      </c>
      <c r="DY353">
        <f>IF($DM353=0,"",IFERROR(IF(ISNUMBER($DX353),$DX353,IF($DX353="","",IF(TRIM($DX353)="",0,IF(AND(AND(SUBSTITUTE(SUBSTITUTE(SUBSTITUTE(SUBSTITUTE(SUBSTITUTE(SUBSTITUTE(SUBSTITUTE(SUBSTITUTE(SUBSTITUTE(SUBSTITUTE(SUBSTITUTE(SUBSTITUTE(SUBSTITUTE(SUBSTITUTE(UPPER(TRIM($DX353)),"0",""),"1",""),"2",""),"3",""),"4",""),"5",""),"6",""),"7",""),"8",""),"9",""),".",""),"+",""),"-",""),"E","")="",LEN(SUBSTITUTE(SUBSTITUTE(MID(UPPER(TRIM($DX353)),1+OR(LEFT(UPPER(TRIM($DX353)),1)="+",LEFT(UPPER(TRIM($DX353)),1)="-"),999),"E+","E"),"E-","E"))=LEN(SUBSTITUTE(SUBSTITUTE(SUBSTITUTE(SUBSTITUTE(MID(UPPER(TRIM($DX353)),1+OR(LEFT(UPPER(TRIM($DX353)),1)="+",LEFT(UPPER(TRIM($DX353)),1)="-"),999),"E+","E"),"E-","E"),"+",""),"-","")),LEN(UPPER(TRIM($DX353)))-LEN(SUBSTITUTE(UPPER(TRIM($DX353)),"E",""))&lt;2,LEN(UPPER(TRIM($DX353)))-LEN(SUBSTITUTE(UPPER(TRIM($DX353)),".",""))&lt;2,IFERROR(FIND(".",UPPER(TRIM($DX353))),0)&lt;IFERROR(FIND("E",UPPER(TRIM($DX353))),999)),ISNUMBER(VALUE(TRIM($DX353)))),VALUE(TRIM($DX353)),"")))),""))</f>
        <v/>
      </c>
      <c r="DZ353">
        <f>IF($DM353=0,"",IF($L$17=0,"",IFERROR(IF(ISNUMBER(INDEX(PASTE_ALL,$DF353,$L$17)),INDEX(PASTE_ALL,$DF353,$L$17),SUBSTITUTE(SUBSTITUTE(TRIM(SUBSTITUTE(SUBSTITUTE(SUBSTITUTE(SUBSTITUTE(INDEX(PASTE_ALL,$DF353,$L$17)," "," "),CHAR(9)," "),CHAR(10)," "),CHAR(13)," ")),",",""),"%","")),"")))</f>
        <v/>
      </c>
      <c r="EA353">
        <f>IF($DM353=0,"",IFERROR(IF(ISNUMBER($DZ353),$DZ353,IF($DZ353="","",IF(TRIM($DZ353)="",0,IF(AND(AND(SUBSTITUTE(SUBSTITUTE(SUBSTITUTE(SUBSTITUTE(SUBSTITUTE(SUBSTITUTE(SUBSTITUTE(SUBSTITUTE(SUBSTITUTE(SUBSTITUTE(SUBSTITUTE(SUBSTITUTE(SUBSTITUTE(SUBSTITUTE(UPPER(TRIM($DZ353)),"0",""),"1",""),"2",""),"3",""),"4",""),"5",""),"6",""),"7",""),"8",""),"9",""),".",""),"+",""),"-",""),"E","")="",LEN(SUBSTITUTE(SUBSTITUTE(MID(UPPER(TRIM($DZ353)),1+OR(LEFT(UPPER(TRIM($DZ353)),1)="+",LEFT(UPPER(TRIM($DZ353)),1)="-"),999),"E+","E"),"E-","E"))=LEN(SUBSTITUTE(SUBSTITUTE(SUBSTITUTE(SUBSTITUTE(MID(UPPER(TRIM($DZ353)),1+OR(LEFT(UPPER(TRIM($DZ353)),1)="+",LEFT(UPPER(TRIM($DZ353)),1)="-"),999),"E+","E"),"E-","E"),"+",""),"-","")),LEN(UPPER(TRIM($DZ353)))-LEN(SUBSTITUTE(UPPER(TRIM($DZ353)),"E",""))&lt;2,LEN(UPPER(TRIM($DZ353)))-LEN(SUBSTITUTE(UPPER(TRIM($DZ353)),".",""))&lt;2,IFERROR(FIND(".",UPPER(TRIM($DZ353))),0)&lt;IFERROR(FIND("E",UPPER(TRIM($DZ353))),999)),ISNUMBER(VALUE(TRIM($DZ353)))),VALUE(TRIM($DZ353)),"")))),""))</f>
        <v/>
      </c>
      <c r="EB353">
        <f>IF($DM353=0,"",IF($L$18=0,"",IFERROR(IF(UPPER(TRIM(SUBSTITUTE(SUBSTITUTE(SUBSTITUTE(SUBSTITUTE(INDEX(PASTE_ALL,$DF353,$L$18)," "," "),CHAR(9)," "),CHAR(10)," "),CHAR(13)," ")))="READY","Ready",IF(UPPER(TRIM(SUBSTITUTE(SUBSTITUTE(SUBSTITUTE(SUBSTITUTE(INDEX(PASTE_ALL,$DF353,$L$18)," "," "),CHAR(9)," "),CHAR(10)," "),CHAR(13)," ")))="PM","PM",IF(OR(UPPER(TRIM(SUBSTITUTE(SUBSTITUTE(SUBSTITUTE(SUBSTITUTE(INDEX(PASTE_ALL,$DF353,$L$18)," "," "),CHAR(9)," "),CHAR(10)," "),CHAR(13)," ")))="OT",UPPER(TRIM(SUBSTITUTE(SUBSTITUTE(SUBSTITUTE(SUBSTITUTE(INDEX(PASTE_ALL,$DF353,$L$18)," "," "),CHAR(9)," "),CHAR(10)," "),CHAR(13)," ")))="OVERTIME",UPPER(TRIM(SUBSTITUTE(SUBSTITUTE(SUBSTITUTE(SUBSTITUTE(INDEX(PASTE_ALL,$DF353,$L$18)," "," "),CHAR(9)," "),CHAR(10)," "),CHAR(13)," ")))="TRIAL"),"OT",TRIM(SUBSTITUTE(SUBSTITUTE(SUBSTITUTE(SUBSTITUTE(INDEX(PASTE_ALL,$DF353,$L$18)," "," "),CHAR(9)," "),CHAR(10)," "),CHAR(13)," "))))),"")))</f>
        <v/>
      </c>
      <c r="EC353">
        <f>IF($DM353=0,"",IF($L$19=0,"",IFERROR(IF(ISNUMBER(INDEX(PASTE_ALL,$DF353,$L$19)),INDEX(PASTE_ALL,$DF353,$L$19),TRIM(SUBSTITUTE(SUBSTITUTE(SUBSTITUTE(SUBSTITUTE(INDEX(PASTE_ALL,$DF353,$L$19)," "," "),CHAR(9)," "),CHAR(10)," "),CHAR(13)," "))),"")))</f>
        <v/>
      </c>
      <c r="ED353">
        <f>IF($DM353=0,"",MATCH(1,INDEX(EXACT($DH$5:DH353,$DH353)*$DM$5:DM353,0),0))</f>
        <v/>
      </c>
      <c r="EE353">
        <f>IF($DM353=0,0,IF($ED353=$DE353,1,0))</f>
        <v/>
      </c>
      <c r="EF353">
        <f>EF352+$EE353</f>
        <v/>
      </c>
      <c r="EG353">
        <f>IF($DM353=0,"",INDEX($EF$5:$EF$1003,$ED353))</f>
        <v/>
      </c>
      <c r="EH353">
        <f>IF($DM353=0,"",IF($DO353&lt;&gt;"","",IFERROR(LOOKUP(2,1/(($EG$4:EG352=$EG353)*($DO$4:DO352&lt;&gt;"")),$DO$4:DO352),"")))</f>
        <v/>
      </c>
      <c r="EI353">
        <f>IF($DM353=0,"",IF($DO353&lt;&gt;"",$DO353,$EH353))</f>
        <v/>
      </c>
      <c r="EJ353">
        <f>IF($DM353=0,"",IF($EI353="",0,IF(OR(ISNUMBER($EI353),AND(AND(SUBSTITUTE(SUBSTITUTE(SUBSTITUTE(SUBSTITUTE(SUBSTITUTE(SUBSTITUTE(SUBSTITUTE(SUBSTITUTE(SUBSTITUTE(SUBSTITUTE(SUBSTITUTE(SUBSTITUTE(SUBSTITUTE(SUBSTITUTE(UPPER($EI353),"0",""),"1",""),"2",""),"3",""),"4",""),"5",""),"6",""),"7",""),"8",""),"9",""),".",""),"+",""),"-",""),"E","")="",LEN(SUBSTITUTE(SUBSTITUTE(MID(UPPER($EI353),1+OR(LEFT(UPPER($EI353),1)="+",LEFT(UPPER($EI353),1)="-"),999),"E+","E"),"E-","E"))=LEN(SUBSTITUTE(SUBSTITUTE(SUBSTITUTE(SUBSTITUTE(MID(UPPER($EI353),1+OR(LEFT(UPPER($EI353),1)="+",LEFT(UPPER($EI353),1)="-"),999),"E+","E"),"E-","E"),"+",""),"-","")),LEN(UPPER($EI353))-LEN(SUBSTITUTE(UPPER($EI353),"E",""))&lt;2,LEN(UPPER($EI353))-LEN(SUBSTITUTE(UPPER($EI353),".",""))&lt;2,IFERROR(FIND(".",UPPER($EI353)),0)&lt;IFERROR(FIND("E",UPPER($EI353)),999)),ISNUMBER(VALUE($EI353)))),1,2)))</f>
        <v/>
      </c>
      <c r="EK353">
        <f>IF($DM353=0,"",IF($EJ353=1,IF(ISNUMBER($EI353),$EI353,VALUE($EI353)),IF($EJ353=2,$DE353,0)))</f>
        <v/>
      </c>
      <c r="EL353">
        <f>IF($DM353=0,"",COUNTIF($EG$5:$EG$1003,"&lt;"&amp;$EG353)+SUMPRODUCT(($EG$5:$EG$1003=$EG353)*(($EJ$5:$EJ$1003&lt;$EJ353)+($EJ$5:$EJ$1003=$EJ353)*(($EK$5:$EK$1003&lt;$EK353)+($EK$5:$EK$1003=$EK353)*($DE$5:$DE$1003&lt;$DE353))))+1)</f>
        <v/>
      </c>
      <c r="EM353">
        <f>IF($DM353=0,"",$EL353+$EG353-1)</f>
        <v/>
      </c>
      <c r="EN353">
        <f>IF($DM353=0,0,IFERROR(MATCH(1,INDEX(--(TRIM(SUBSTITUTE(SUBSTITUTE(SUBSTITUTE(SUBSTITUTE(LINES_NAME&amp;""," "," "),CHAR(9)," "),CHAR(10)," "),CHAR(13)," "))=$DH353),0),0),0))</f>
        <v/>
      </c>
      <c r="EO353">
        <f>IF($EN353=0,0,IF(OR(UPPER(TRIM(INDEX(LINES_SCHEDULED,$EN353)&amp;""))="YES",UPPER(TRIM(INDEX(LINES_SCHEDULED,$EN353)&amp;""))="Y",UPPER(TRIM(INDEX(LINES_SCHEDULED,$EN353)&amp;""))="X"),1,0))</f>
        <v/>
      </c>
      <c r="EP353">
        <f>IF($DM353=0,"",IF(COUNTIFS($EG$5:$EG$1003,$EG353,$EB$5:$EB$1003,"Ready")&gt;0,"READY",IF(COUNTIFS($EG$5:$EG$1003,$EG353,$EB$5:$EB$1003,"PM")&gt;0,"PM",IF(COUNTIFS($EG$5:$EG$1003,$EG353,$EB$5:$EB$1003,"OT")&gt;0,"OT",""))))</f>
        <v/>
      </c>
      <c r="EQ353">
        <f>IF($EN353=0,"",UPPER(TRIM(INDEX(LINES_STATUS,$EN353)&amp;"")))</f>
        <v/>
      </c>
      <c r="ER353">
        <f>IF($DM353=0,"",IF(OR($EQ353="READY",$EQ353="PM",$EQ353="OT"),$EQ353,$EP353))</f>
        <v/>
      </c>
      <c r="ES353">
        <f>IF($DM353=0,"",IF(AND($DV353&lt;&gt;"",UPPER($DV353)&lt;&gt;"N"),"allergen",IF(ISNUMBER(SEARCH("oil",$DQ353)),"oil",IF(OR(EXACT($DS353,"A662"),EXACT($DS353,"A624")),"bulk",""))))</f>
        <v/>
      </c>
      <c r="ET353">
        <f>IF($DM353=0,"",IF(OR($EA353="",$EA353=0),"",$EA353/100))</f>
        <v/>
      </c>
      <c r="EU353">
        <f>IF(OR($ET353="",$DY353=""),"",INT($DY353*(1-$ET353)+0.5))</f>
        <v/>
      </c>
      <c r="EW353" t="n">
        <v>349</v>
      </c>
      <c r="EX353">
        <f>IFERROR(MATCH($EW353,$EM$5:$EM$1003,0),0)</f>
        <v/>
      </c>
      <c r="EY353">
        <f>IF($EW353&gt;$B$12,"",IF($EX353&gt;0,"row","spacer"))</f>
        <v/>
      </c>
      <c r="EZ353">
        <f>IF(AND($EY353="row",$EY352&lt;&gt;"row"),1,0)</f>
        <v/>
      </c>
      <c r="FA353">
        <f>IF(AND($EY353="row",$EY354&lt;&gt;"row"),1,0)</f>
        <v/>
      </c>
      <c r="FB353">
        <f>IF($EZ353=1,IFERROR(IF(ISNUMBER(INDEX(PASTE_ALL,INDEX($DF$5:$DF$1003,$EX353),$B$37)),INDEX(PASTE_ALL,INDEX($DF$5:$DF$1003,$EX353),$B$37),INDEX($DH$5:$DH$1003,$EX353)),INDEX($DH$5:$DH$1003,$EX353)),"")</f>
        <v/>
      </c>
      <c r="FC353">
        <f>IF($EY353="row",INDEX($ER$5:$ER$1003,$EX353),"")</f>
        <v/>
      </c>
      <c r="FD353">
        <f>IF($EY353="row",INDEX($DN$5:$DN$1003,$EX353),"")</f>
        <v/>
      </c>
      <c r="FE353">
        <f>IF($EY353="row",INDEX($DO$5:$DO$1003,$EX353),"")</f>
        <v/>
      </c>
      <c r="FF353">
        <f>IF($EY353="row",INDEX($DP$5:$DP$1003,$EX353),"")</f>
        <v/>
      </c>
      <c r="FG353">
        <f>IF($EY353="row",INDEX($DQ$5:$DQ$1003,$EX353),"")</f>
        <v/>
      </c>
      <c r="FH353">
        <f>IF($EY353="row",INDEX($DR$5:$DR$1003,$EX353),"")</f>
        <v/>
      </c>
      <c r="FI353">
        <f>IF($EY353="row",INDEX($DS$5:$DS$1003,$EX353),"")</f>
        <v/>
      </c>
      <c r="FJ353">
        <f>IF($EY353="row",INDEX($DT$5:$DT$1003,$EX353),"")</f>
        <v/>
      </c>
      <c r="FK353">
        <f>IF($EY353="row",INDEX($DU$5:$DU$1003,$EX353),"")</f>
        <v/>
      </c>
      <c r="FL353">
        <f>IF($EY353="row",INDEX($DV$5:$DV$1003,$EX353),"")</f>
        <v/>
      </c>
      <c r="FM353">
        <f>IF($EY353="row",INDEX($DW$5:$DW$1003,$EX353),"")</f>
        <v/>
      </c>
      <c r="FN353">
        <f>IF($EY353="row",INDEX($DY$5:$DY$1003,$EX353),"")</f>
        <v/>
      </c>
      <c r="FO353">
        <f>IF($EY353="row",INDEX($EA$5:$EA$1003,$EX353),"")</f>
        <v/>
      </c>
      <c r="FP353">
        <f>IF($EY353="row",INDEX($EC$5:$EC$1003,$EX353),"")</f>
        <v/>
      </c>
      <c r="FQ353">
        <f>IF($EY353="row",INDEX($ET$5:$ET$1003,$EX353),"")</f>
        <v/>
      </c>
      <c r="FR353">
        <f>IF($EY353="row",INDEX($EU$5:$EU$1003,$EX353),"")</f>
        <v/>
      </c>
      <c r="FS353">
        <f>IF(AND($EY353="row",$EY352="row"),IF(OR(INDEX($DT$5:$DT$1003,$EX352)="",INDEX($DT$5:$DT$1003,$EX353)=""),"",IF(NOT(EXACT(INDEX($DT$5:$DT$1003,$EX352),INDEX($DT$5:$DT$1003,$EX353))),"S4",IF(NOT(EXACT(INDEX($DS$5:$DS$1003,$EX352),INDEX($DS$5:$DS$1003,$EX353))),"S3",IF(NOT(EXACT(INDEX($DR$5:$DR$1003,$EX352),INDEX($DR$5:$DR$1003,$EX353))),"S1 Count Change","S1")))),"")</f>
        <v/>
      </c>
      <c r="FT353">
        <f>IF($EY353="row",INDEX($ES$5:$ES$1003,$EX353),"")</f>
        <v/>
      </c>
      <c r="FU353">
        <f>IF($EY353="row",INDEX($EO$5:$EO$1003,$EX353),0)</f>
        <v/>
      </c>
      <c r="FV353">
        <f>IF($FS353="S1 Count Change",1,0)</f>
        <v/>
      </c>
    </row>
    <row r="354">
      <c r="DA354" t="n">
        <v>350</v>
      </c>
      <c r="DB354">
        <f>IF($B$37=0,"",IFERROR(TRIM(SUBSTITUTE(SUBSTITUTE(SUBSTITUTE(SUBSTITUTE(INDEX(PASTE_ALL,350,$B$37)," "," "),CHAR(9)," "),CHAR(10)," "),CHAR(13)," ")),""))</f>
        <v/>
      </c>
      <c r="DC354">
        <f>IF(AND(350&gt;HEADER_ROW,UPPER(DB354)="LEGEND"),1,0)</f>
        <v/>
      </c>
      <c r="DE354" t="n">
        <v>350</v>
      </c>
      <c r="DF354">
        <f>HEADER_ROW+$DE354</f>
        <v/>
      </c>
      <c r="DG354">
        <f>IF(AND($DF354&lt;=1000,$DF354&lt;$B$8),1,0)</f>
        <v/>
      </c>
      <c r="DH354">
        <f>IF($DG354=1,IFERROR(INDEX($DB$5:$DB$1004,$DF354),""),"")</f>
        <v/>
      </c>
      <c r="DI354">
        <f>IF(AND($DG354=1,$DH354&lt;&gt;""),IFERROR(SUBSTITUTE(SUBSTITUTE(TRIM(SUBSTITUTE(SUBSTITUTE(SUBSTITUTE(SUBSTITUTE(IFERROR(INDEX(PASTE_ALL,$DF354,1)&amp;"","")&amp;"␟"&amp;IFERROR(INDEX(PASTE_ALL,$DF354,2)&amp;"","")&amp;"␟"&amp;IFERROR(INDEX(PASTE_ALL,$DF354,3)&amp;"","")&amp;"␟"&amp;IFERROR(INDEX(PASTE_ALL,$DF354,4)&amp;"","")&amp;"␟"&amp;IFERROR(INDEX(PASTE_ALL,$DF354,5)&amp;"","")&amp;"␟"&amp;IFERROR(INDEX(PASTE_ALL,$DF354,6)&amp;"","")&amp;"␟"&amp;IFERROR(INDEX(PASTE_ALL,$DF354,7)&amp;"","")&amp;"␟"&amp;IFERROR(INDEX(PASTE_ALL,$DF354,8)&amp;"","")&amp;"␟"&amp;IFERROR(INDEX(PASTE_ALL,$DF354,9)&amp;"","")&amp;"␟"&amp;IFERROR(INDEX(PASTE_ALL,$DF354,10)&amp;"","")&amp;"␟"&amp;IFERROR(INDEX(PASTE_ALL,$DF354,11)&amp;"","")&amp;"␟"&amp;IFERROR(INDEX(PASTE_ALL,$DF354,12)&amp;"","")&amp;"␟"&amp;IFERROR(INDEX(PASTE_ALL,$DF354,13)&amp;"","")&amp;"␟"&amp;IFERROR(INDEX(PASTE_ALL,$DF354,14)&amp;"","")&amp;"␟"&amp;IFERROR(INDEX(PASTE_ALL,$DF354,15)&amp;"","")&amp;"␟"&amp;IFERROR(INDEX(PASTE_ALL,$DF354,16)&amp;"","")&amp;"␟"&amp;IFERROR(INDEX(PASTE_ALL,$DF354,17)&amp;"","")&amp;"␟"&amp;IFERROR(INDEX(PASTE_ALL,$DF354,18)&amp;"","")&amp;"␟"&amp;IFERROR(INDEX(PASTE_ALL,$DF354,19)&amp;"","")&amp;"␟"&amp;IFERROR(INDEX(PASTE_ALL,$DF354,20)&amp;"","")&amp;"␟"&amp;IFERROR(INDEX(PASTE_ALL,$DF354,21)&amp;"","")&amp;"␟"&amp;IFERROR(INDEX(PASTE_ALL,$DF354,22)&amp;"","")&amp;"␟"&amp;IFERROR(INDEX(PASTE_ALL,$DF354,23)&amp;"","")&amp;"␟"&amp;IFERROR(INDEX(PASTE_ALL,$DF354,24)&amp;"","")&amp;"␟"&amp;IFERROR(INDEX(PASTE_ALL,$DF354,25)&amp;"","")&amp;"␟"&amp;IFERROR(INDEX(PASTE_ALL,$DF354,26)&amp;"","")&amp;"␟"&amp;IFERROR(INDEX(PASTE_ALL,$DF354,27)&amp;"","")&amp;"␟"&amp;IFERROR(INDEX(PASTE_ALL,$DF354,28)&amp;"","")&amp;"␟"&amp;IFERROR(INDEX(PASTE_ALL,$DF354,29)&amp;"","")&amp;"␟"&amp;IFERROR(INDEX(PASTE_ALL,$DF354,30)&amp;"","")&amp;"␟"&amp;IFERROR(INDEX(PASTE_ALL,$DF354,31)&amp;"","")&amp;"␟"&amp;IFERROR(INDEX(PASTE_ALL,$DF354,32)&amp;"","")&amp;"␟"&amp;IFERROR(INDEX(PASTE_ALL,$DF354,33)&amp;"","")&amp;"␟"&amp;IFERROR(INDEX(PASTE_ALL,$DF354,34)&amp;"","")&amp;"␟"&amp;IFERROR(INDEX(PASTE_ALL,$DF354,35)&amp;"","")&amp;"␟"&amp;IFERROR(INDEX(PASTE_ALL,$DF354,36)&amp;"","")&amp;"␟"&amp;IFERROR(INDEX(PASTE_ALL,$DF354,37)&amp;"","")&amp;"␟"&amp;IFERROR(INDEX(PASTE_ALL,$DF354,38)&amp;"","")&amp;"␟"&amp;IFERROR(INDEX(PASTE_ALL,$DF354,39)&amp;"","")&amp;"␟"&amp;IFERROR(INDEX(PASTE_ALL,$DF354,40)&amp;"","")&amp;"␟"&amp;IFERROR(INDEX(PASTE_ALL,$DF354,41)&amp;"","")&amp;"␟"&amp;IFERROR(INDEX(PASTE_ALL,$DF354,42)&amp;"","")&amp;"␟"&amp;IFERROR(INDEX(PASTE_ALL,$DF354,43)&amp;"","")&amp;"␟"&amp;IFERROR(INDEX(PASTE_ALL,$DF354,44)&amp;"","")&amp;"␟"&amp;IFERROR(INDEX(PASTE_ALL,$DF354,45)&amp;"","")&amp;"␟"&amp;IFERROR(INDEX(PASTE_ALL,$DF354,46)&amp;"","")&amp;"␟"&amp;IFERROR(INDEX(PASTE_ALL,$DF354,47)&amp;"","")&amp;"␟"&amp;IFERROR(INDEX(PASTE_ALL,$DF354,48)&amp;"","")&amp;"␟"&amp;IFERROR(INDEX(PASTE_ALL,$DF354,49)&amp;"","")&amp;"␟"&amp;IFERROR(INDEX(PASTE_ALL,$DF354,50)&amp;"","")&amp;"␟"&amp;IFERROR(INDEX(PASTE_ALL,$DF354,51)&amp;"","")&amp;"␟"&amp;IFERROR(INDEX(PASTE_ALL,$DF354,52)&amp;"","")&amp;"␟"&amp;IFERROR(INDEX(PASTE_ALL,$DF354,53)&amp;"","")&amp;"␟"&amp;IFERROR(INDEX(PASTE_ALL,$DF354,54)&amp;"","")&amp;"␟"&amp;IFERROR(INDEX(PASTE_ALL,$DF354,55)&amp;"","")&amp;"␟"&amp;IFERROR(INDEX(PASTE_ALL,$DF354,56)&amp;"","")&amp;"␟"&amp;IFERROR(INDEX(PASTE_ALL,$DF354,57)&amp;"","")&amp;"␟"&amp;IFERROR(INDEX(PASTE_ALL,$DF354,58)&amp;"","")&amp;"␟"&amp;IFERROR(INDEX(PASTE_ALL,$DF354,59)&amp;"","")&amp;"␟"&amp;IFERROR(INDEX(PASTE_ALL,$DF354,60)&amp;"","")," "," "),CHAR(9)," "),CHAR(10)," "),CHAR(13)," "))," ␟","␟"),"␟ ","␟"),"#"&amp;$DE354),"")</f>
        <v/>
      </c>
      <c r="DJ354">
        <f>IF($DI354="",0,IF(SUMPRODUCT(--EXACT($DI$4:DI353,$DI354))&gt;0,1,0))</f>
        <v/>
      </c>
      <c r="DK354">
        <f>IF(AND($DI354&lt;&gt;"",$DJ354=0),1,0)</f>
        <v/>
      </c>
      <c r="DL354">
        <f>DL353+$DK354</f>
        <v/>
      </c>
      <c r="DM354">
        <f>IF(AND($DK354=1,$DL354&lt;=600),1,0)</f>
        <v/>
      </c>
      <c r="DN354">
        <f>IF($DM354=0,"",IF($L$6=0,"",IFERROR(IF(ISNUMBER(INDEX(PASTE_ALL,$DF354,$L$6)),INDEX(PASTE_ALL,$DF354,$L$6),TRIM(SUBSTITUTE(SUBSTITUTE(SUBSTITUTE(SUBSTITUTE(INDEX(PASTE_ALL,$DF354,$L$6)," "," "),CHAR(9)," "),CHAR(10)," "),CHAR(13)," "))),"")))</f>
        <v/>
      </c>
      <c r="DO354">
        <f>IF($DM354=0,"",IF($L$7=0,"",IFERROR(IF(ISNUMBER(INDEX(PASTE_ALL,$DF354,$L$7)),INDEX(PASTE_ALL,$DF354,$L$7),TRIM(SUBSTITUTE(SUBSTITUTE(SUBSTITUTE(SUBSTITUTE(INDEX(PASTE_ALL,$DF354,$L$7)," "," "),CHAR(9)," "),CHAR(10)," "),CHAR(13)," "))),"")))</f>
        <v/>
      </c>
      <c r="DP354">
        <f>IF($DM354=0,"",IF($L$8=0,"",IFERROR(IF(ISNUMBER(INDEX(PASTE_ALL,$DF354,$L$8)),INDEX(PASTE_ALL,$DF354,$L$8),TRIM(SUBSTITUTE(SUBSTITUTE(SUBSTITUTE(SUBSTITUTE(INDEX(PASTE_ALL,$DF354,$L$8)," "," "),CHAR(9)," "),CHAR(10)," "),CHAR(13)," "))),"")))</f>
        <v/>
      </c>
      <c r="DQ354">
        <f>IF($DM354=0,"",IF($L$9=0,"",IFERROR(IF(ISNUMBER(INDEX(PASTE_ALL,$DF354,$L$9)),INDEX(PASTE_ALL,$DF354,$L$9),TRIM(SUBSTITUTE(SUBSTITUTE(SUBSTITUTE(SUBSTITUTE(INDEX(PASTE_ALL,$DF354,$L$9)," "," "),CHAR(9)," "),CHAR(10)," "),CHAR(13)," "))),"")))</f>
        <v/>
      </c>
      <c r="DR354">
        <f>IF($DM354=0,"",IF($L$10=0,"",IFERROR(IF(ISNUMBER(INDEX(PASTE_ALL,$DF354,$L$10)),INDEX(PASTE_ALL,$DF354,$L$10),TRIM(SUBSTITUTE(SUBSTITUTE(SUBSTITUTE(SUBSTITUTE(INDEX(PASTE_ALL,$DF354,$L$10)," "," "),CHAR(9)," "),CHAR(10)," "),CHAR(13)," "))),"")))</f>
        <v/>
      </c>
      <c r="DS354">
        <f>IF($DM354=0,"",IF($L$11=0,"",IFERROR(IF(ISNUMBER(INDEX(PASTE_ALL,$DF354,$L$11)),INDEX(PASTE_ALL,$DF354,$L$11),TRIM(SUBSTITUTE(SUBSTITUTE(SUBSTITUTE(SUBSTITUTE(INDEX(PASTE_ALL,$DF354,$L$11)," "," "),CHAR(9)," "),CHAR(10)," "),CHAR(13)," "))),"")))</f>
        <v/>
      </c>
      <c r="DT354">
        <f>IF($DM354=0,"",IF($L$12=0,"",IFERROR(IF(ISNUMBER(INDEX(PASTE_ALL,$DF354,$L$12)),INDEX(PASTE_ALL,$DF354,$L$12),TRIM(SUBSTITUTE(SUBSTITUTE(SUBSTITUTE(SUBSTITUTE(INDEX(PASTE_ALL,$DF354,$L$12)," "," "),CHAR(9)," "),CHAR(10)," "),CHAR(13)," "))),"")))</f>
        <v/>
      </c>
      <c r="DU354">
        <f>IF($DM354=0,"",IF($L$13=0,"",IFERROR(IF(ISNUMBER(INDEX(PASTE_ALL,$DF354,$L$13)),INDEX(PASTE_ALL,$DF354,$L$13),TRIM(SUBSTITUTE(SUBSTITUTE(SUBSTITUTE(SUBSTITUTE(INDEX(PASTE_ALL,$DF354,$L$13)," "," "),CHAR(9)," "),CHAR(10)," "),CHAR(13)," "))),"")))</f>
        <v/>
      </c>
      <c r="DV354">
        <f>IF($DM354=0,"",IF($L$14=0,"",IFERROR(IF(ISNUMBER(INDEX(PASTE_ALL,$DF354,$L$14)),INDEX(PASTE_ALL,$DF354,$L$14),TRIM(SUBSTITUTE(SUBSTITUTE(SUBSTITUTE(SUBSTITUTE(INDEX(PASTE_ALL,$DF354,$L$14)," "," "),CHAR(9)," "),CHAR(10)," "),CHAR(13)," "))),"")))</f>
        <v/>
      </c>
      <c r="DW354">
        <f>IF($DM354=0,"",IF($L$15=0,"",IFERROR(IF(ISNUMBER(INDEX(PASTE_ALL,$DF354,$L$15)),INDEX(PASTE_ALL,$DF354,$L$15),IF(SUMPRODUCT(--ISNUMBER(FIND({"A","B","C","D","E","F","G","H","I","J","K","L","M","N","O","P","Q","R","S","T","U","V","W","X","Y","Z","0","1","2","3","4","5","6","7","8","9"},UPPER(TRIM(SUBSTITUTE(SUBSTITUTE(SUBSTITUTE(SUBSTITUTE(INDEX(PASTE_ALL,$DF354,$L$15)," "," "),CHAR(9)," "),CHAR(10)," "),CHAR(13)," "))))))&gt;0,TRIM(SUBSTITUTE(SUBSTITUTE(SUBSTITUTE(SUBSTITUTE(INDEX(PASTE_ALL,$DF354,$L$15)," "," "),CHAR(9)," "),CHAR(10)," "),CHAR(13)," ")),"")),"")))</f>
        <v/>
      </c>
      <c r="DX354">
        <f>IF($DM354=0,"",IF($L$16=0,"",IFERROR(IF(ISNUMBER(INDEX(PASTE_ALL,$DF354,$L$16)),INDEX(PASTE_ALL,$DF354,$L$16),SUBSTITUTE(SUBSTITUTE(TRIM(SUBSTITUTE(SUBSTITUTE(SUBSTITUTE(SUBSTITUTE(INDEX(PASTE_ALL,$DF354,$L$16)," "," "),CHAR(9)," "),CHAR(10)," "),CHAR(13)," ")),",",""),"%","")),"")))</f>
        <v/>
      </c>
      <c r="DY354">
        <f>IF($DM354=0,"",IFERROR(IF(ISNUMBER($DX354),$DX354,IF($DX354="","",IF(TRIM($DX354)="",0,IF(AND(AND(SUBSTITUTE(SUBSTITUTE(SUBSTITUTE(SUBSTITUTE(SUBSTITUTE(SUBSTITUTE(SUBSTITUTE(SUBSTITUTE(SUBSTITUTE(SUBSTITUTE(SUBSTITUTE(SUBSTITUTE(SUBSTITUTE(SUBSTITUTE(UPPER(TRIM($DX354)),"0",""),"1",""),"2",""),"3",""),"4",""),"5",""),"6",""),"7",""),"8",""),"9",""),".",""),"+",""),"-",""),"E","")="",LEN(SUBSTITUTE(SUBSTITUTE(MID(UPPER(TRIM($DX354)),1+OR(LEFT(UPPER(TRIM($DX354)),1)="+",LEFT(UPPER(TRIM($DX354)),1)="-"),999),"E+","E"),"E-","E"))=LEN(SUBSTITUTE(SUBSTITUTE(SUBSTITUTE(SUBSTITUTE(MID(UPPER(TRIM($DX354)),1+OR(LEFT(UPPER(TRIM($DX354)),1)="+",LEFT(UPPER(TRIM($DX354)),1)="-"),999),"E+","E"),"E-","E"),"+",""),"-","")),LEN(UPPER(TRIM($DX354)))-LEN(SUBSTITUTE(UPPER(TRIM($DX354)),"E",""))&lt;2,LEN(UPPER(TRIM($DX354)))-LEN(SUBSTITUTE(UPPER(TRIM($DX354)),".",""))&lt;2,IFERROR(FIND(".",UPPER(TRIM($DX354))),0)&lt;IFERROR(FIND("E",UPPER(TRIM($DX354))),999)),ISNUMBER(VALUE(TRIM($DX354)))),VALUE(TRIM($DX354)),"")))),""))</f>
        <v/>
      </c>
      <c r="DZ354">
        <f>IF($DM354=0,"",IF($L$17=0,"",IFERROR(IF(ISNUMBER(INDEX(PASTE_ALL,$DF354,$L$17)),INDEX(PASTE_ALL,$DF354,$L$17),SUBSTITUTE(SUBSTITUTE(TRIM(SUBSTITUTE(SUBSTITUTE(SUBSTITUTE(SUBSTITUTE(INDEX(PASTE_ALL,$DF354,$L$17)," "," "),CHAR(9)," "),CHAR(10)," "),CHAR(13)," ")),",",""),"%","")),"")))</f>
        <v/>
      </c>
      <c r="EA354">
        <f>IF($DM354=0,"",IFERROR(IF(ISNUMBER($DZ354),$DZ354,IF($DZ354="","",IF(TRIM($DZ354)="",0,IF(AND(AND(SUBSTITUTE(SUBSTITUTE(SUBSTITUTE(SUBSTITUTE(SUBSTITUTE(SUBSTITUTE(SUBSTITUTE(SUBSTITUTE(SUBSTITUTE(SUBSTITUTE(SUBSTITUTE(SUBSTITUTE(SUBSTITUTE(SUBSTITUTE(UPPER(TRIM($DZ354)),"0",""),"1",""),"2",""),"3",""),"4",""),"5",""),"6",""),"7",""),"8",""),"9",""),".",""),"+",""),"-",""),"E","")="",LEN(SUBSTITUTE(SUBSTITUTE(MID(UPPER(TRIM($DZ354)),1+OR(LEFT(UPPER(TRIM($DZ354)),1)="+",LEFT(UPPER(TRIM($DZ354)),1)="-"),999),"E+","E"),"E-","E"))=LEN(SUBSTITUTE(SUBSTITUTE(SUBSTITUTE(SUBSTITUTE(MID(UPPER(TRIM($DZ354)),1+OR(LEFT(UPPER(TRIM($DZ354)),1)="+",LEFT(UPPER(TRIM($DZ354)),1)="-"),999),"E+","E"),"E-","E"),"+",""),"-","")),LEN(UPPER(TRIM($DZ354)))-LEN(SUBSTITUTE(UPPER(TRIM($DZ354)),"E",""))&lt;2,LEN(UPPER(TRIM($DZ354)))-LEN(SUBSTITUTE(UPPER(TRIM($DZ354)),".",""))&lt;2,IFERROR(FIND(".",UPPER(TRIM($DZ354))),0)&lt;IFERROR(FIND("E",UPPER(TRIM($DZ354))),999)),ISNUMBER(VALUE(TRIM($DZ354)))),VALUE(TRIM($DZ354)),"")))),""))</f>
        <v/>
      </c>
      <c r="EB354">
        <f>IF($DM354=0,"",IF($L$18=0,"",IFERROR(IF(UPPER(TRIM(SUBSTITUTE(SUBSTITUTE(SUBSTITUTE(SUBSTITUTE(INDEX(PASTE_ALL,$DF354,$L$18)," "," "),CHAR(9)," "),CHAR(10)," "),CHAR(13)," ")))="READY","Ready",IF(UPPER(TRIM(SUBSTITUTE(SUBSTITUTE(SUBSTITUTE(SUBSTITUTE(INDEX(PASTE_ALL,$DF354,$L$18)," "," "),CHAR(9)," "),CHAR(10)," "),CHAR(13)," ")))="PM","PM",IF(OR(UPPER(TRIM(SUBSTITUTE(SUBSTITUTE(SUBSTITUTE(SUBSTITUTE(INDEX(PASTE_ALL,$DF354,$L$18)," "," "),CHAR(9)," "),CHAR(10)," "),CHAR(13)," ")))="OT",UPPER(TRIM(SUBSTITUTE(SUBSTITUTE(SUBSTITUTE(SUBSTITUTE(INDEX(PASTE_ALL,$DF354,$L$18)," "," "),CHAR(9)," "),CHAR(10)," "),CHAR(13)," ")))="OVERTIME",UPPER(TRIM(SUBSTITUTE(SUBSTITUTE(SUBSTITUTE(SUBSTITUTE(INDEX(PASTE_ALL,$DF354,$L$18)," "," "),CHAR(9)," "),CHAR(10)," "),CHAR(13)," ")))="TRIAL"),"OT",TRIM(SUBSTITUTE(SUBSTITUTE(SUBSTITUTE(SUBSTITUTE(INDEX(PASTE_ALL,$DF354,$L$18)," "," "),CHAR(9)," "),CHAR(10)," "),CHAR(13)," "))))),"")))</f>
        <v/>
      </c>
      <c r="EC354">
        <f>IF($DM354=0,"",IF($L$19=0,"",IFERROR(IF(ISNUMBER(INDEX(PASTE_ALL,$DF354,$L$19)),INDEX(PASTE_ALL,$DF354,$L$19),TRIM(SUBSTITUTE(SUBSTITUTE(SUBSTITUTE(SUBSTITUTE(INDEX(PASTE_ALL,$DF354,$L$19)," "," "),CHAR(9)," "),CHAR(10)," "),CHAR(13)," "))),"")))</f>
        <v/>
      </c>
      <c r="ED354">
        <f>IF($DM354=0,"",MATCH(1,INDEX(EXACT($DH$5:DH354,$DH354)*$DM$5:DM354,0),0))</f>
        <v/>
      </c>
      <c r="EE354">
        <f>IF($DM354=0,0,IF($ED354=$DE354,1,0))</f>
        <v/>
      </c>
      <c r="EF354">
        <f>EF353+$EE354</f>
        <v/>
      </c>
      <c r="EG354">
        <f>IF($DM354=0,"",INDEX($EF$5:$EF$1003,$ED354))</f>
        <v/>
      </c>
      <c r="EH354">
        <f>IF($DM354=0,"",IF($DO354&lt;&gt;"","",IFERROR(LOOKUP(2,1/(($EG$4:EG353=$EG354)*($DO$4:DO353&lt;&gt;"")),$DO$4:DO353),"")))</f>
        <v/>
      </c>
      <c r="EI354">
        <f>IF($DM354=0,"",IF($DO354&lt;&gt;"",$DO354,$EH354))</f>
        <v/>
      </c>
      <c r="EJ354">
        <f>IF($DM354=0,"",IF($EI354="",0,IF(OR(ISNUMBER($EI354),AND(AND(SUBSTITUTE(SUBSTITUTE(SUBSTITUTE(SUBSTITUTE(SUBSTITUTE(SUBSTITUTE(SUBSTITUTE(SUBSTITUTE(SUBSTITUTE(SUBSTITUTE(SUBSTITUTE(SUBSTITUTE(SUBSTITUTE(SUBSTITUTE(UPPER($EI354),"0",""),"1",""),"2",""),"3",""),"4",""),"5",""),"6",""),"7",""),"8",""),"9",""),".",""),"+",""),"-",""),"E","")="",LEN(SUBSTITUTE(SUBSTITUTE(MID(UPPER($EI354),1+OR(LEFT(UPPER($EI354),1)="+",LEFT(UPPER($EI354),1)="-"),999),"E+","E"),"E-","E"))=LEN(SUBSTITUTE(SUBSTITUTE(SUBSTITUTE(SUBSTITUTE(MID(UPPER($EI354),1+OR(LEFT(UPPER($EI354),1)="+",LEFT(UPPER($EI354),1)="-"),999),"E+","E"),"E-","E"),"+",""),"-","")),LEN(UPPER($EI354))-LEN(SUBSTITUTE(UPPER($EI354),"E",""))&lt;2,LEN(UPPER($EI354))-LEN(SUBSTITUTE(UPPER($EI354),".",""))&lt;2,IFERROR(FIND(".",UPPER($EI354)),0)&lt;IFERROR(FIND("E",UPPER($EI354)),999)),ISNUMBER(VALUE($EI354)))),1,2)))</f>
        <v/>
      </c>
      <c r="EK354">
        <f>IF($DM354=0,"",IF($EJ354=1,IF(ISNUMBER($EI354),$EI354,VALUE($EI354)),IF($EJ354=2,$DE354,0)))</f>
        <v/>
      </c>
      <c r="EL354">
        <f>IF($DM354=0,"",COUNTIF($EG$5:$EG$1003,"&lt;"&amp;$EG354)+SUMPRODUCT(($EG$5:$EG$1003=$EG354)*(($EJ$5:$EJ$1003&lt;$EJ354)+($EJ$5:$EJ$1003=$EJ354)*(($EK$5:$EK$1003&lt;$EK354)+($EK$5:$EK$1003=$EK354)*($DE$5:$DE$1003&lt;$DE354))))+1)</f>
        <v/>
      </c>
      <c r="EM354">
        <f>IF($DM354=0,"",$EL354+$EG354-1)</f>
        <v/>
      </c>
      <c r="EN354">
        <f>IF($DM354=0,0,IFERROR(MATCH(1,INDEX(--(TRIM(SUBSTITUTE(SUBSTITUTE(SUBSTITUTE(SUBSTITUTE(LINES_NAME&amp;""," "," "),CHAR(9)," "),CHAR(10)," "),CHAR(13)," "))=$DH354),0),0),0))</f>
        <v/>
      </c>
      <c r="EO354">
        <f>IF($EN354=0,0,IF(OR(UPPER(TRIM(INDEX(LINES_SCHEDULED,$EN354)&amp;""))="YES",UPPER(TRIM(INDEX(LINES_SCHEDULED,$EN354)&amp;""))="Y",UPPER(TRIM(INDEX(LINES_SCHEDULED,$EN354)&amp;""))="X"),1,0))</f>
        <v/>
      </c>
      <c r="EP354">
        <f>IF($DM354=0,"",IF(COUNTIFS($EG$5:$EG$1003,$EG354,$EB$5:$EB$1003,"Ready")&gt;0,"READY",IF(COUNTIFS($EG$5:$EG$1003,$EG354,$EB$5:$EB$1003,"PM")&gt;0,"PM",IF(COUNTIFS($EG$5:$EG$1003,$EG354,$EB$5:$EB$1003,"OT")&gt;0,"OT",""))))</f>
        <v/>
      </c>
      <c r="EQ354">
        <f>IF($EN354=0,"",UPPER(TRIM(INDEX(LINES_STATUS,$EN354)&amp;"")))</f>
        <v/>
      </c>
      <c r="ER354">
        <f>IF($DM354=0,"",IF(OR($EQ354="READY",$EQ354="PM",$EQ354="OT"),$EQ354,$EP354))</f>
        <v/>
      </c>
      <c r="ES354">
        <f>IF($DM354=0,"",IF(AND($DV354&lt;&gt;"",UPPER($DV354)&lt;&gt;"N"),"allergen",IF(ISNUMBER(SEARCH("oil",$DQ354)),"oil",IF(OR(EXACT($DS354,"A662"),EXACT($DS354,"A624")),"bulk",""))))</f>
        <v/>
      </c>
      <c r="ET354">
        <f>IF($DM354=0,"",IF(OR($EA354="",$EA354=0),"",$EA354/100))</f>
        <v/>
      </c>
      <c r="EU354">
        <f>IF(OR($ET354="",$DY354=""),"",INT($DY354*(1-$ET354)+0.5))</f>
        <v/>
      </c>
      <c r="EW354" t="n">
        <v>350</v>
      </c>
      <c r="EX354">
        <f>IFERROR(MATCH($EW354,$EM$5:$EM$1003,0),0)</f>
        <v/>
      </c>
      <c r="EY354">
        <f>IF($EW354&gt;$B$12,"",IF($EX354&gt;0,"row","spacer"))</f>
        <v/>
      </c>
      <c r="EZ354">
        <f>IF(AND($EY354="row",$EY353&lt;&gt;"row"),1,0)</f>
        <v/>
      </c>
      <c r="FA354">
        <f>IF(AND($EY354="row",$EY355&lt;&gt;"row"),1,0)</f>
        <v/>
      </c>
      <c r="FB354">
        <f>IF($EZ354=1,IFERROR(IF(ISNUMBER(INDEX(PASTE_ALL,INDEX($DF$5:$DF$1003,$EX354),$B$37)),INDEX(PASTE_ALL,INDEX($DF$5:$DF$1003,$EX354),$B$37),INDEX($DH$5:$DH$1003,$EX354)),INDEX($DH$5:$DH$1003,$EX354)),"")</f>
        <v/>
      </c>
      <c r="FC354">
        <f>IF($EY354="row",INDEX($ER$5:$ER$1003,$EX354),"")</f>
        <v/>
      </c>
      <c r="FD354">
        <f>IF($EY354="row",INDEX($DN$5:$DN$1003,$EX354),"")</f>
        <v/>
      </c>
      <c r="FE354">
        <f>IF($EY354="row",INDEX($DO$5:$DO$1003,$EX354),"")</f>
        <v/>
      </c>
      <c r="FF354">
        <f>IF($EY354="row",INDEX($DP$5:$DP$1003,$EX354),"")</f>
        <v/>
      </c>
      <c r="FG354">
        <f>IF($EY354="row",INDEX($DQ$5:$DQ$1003,$EX354),"")</f>
        <v/>
      </c>
      <c r="FH354">
        <f>IF($EY354="row",INDEX($DR$5:$DR$1003,$EX354),"")</f>
        <v/>
      </c>
      <c r="FI354">
        <f>IF($EY354="row",INDEX($DS$5:$DS$1003,$EX354),"")</f>
        <v/>
      </c>
      <c r="FJ354">
        <f>IF($EY354="row",INDEX($DT$5:$DT$1003,$EX354),"")</f>
        <v/>
      </c>
      <c r="FK354">
        <f>IF($EY354="row",INDEX($DU$5:$DU$1003,$EX354),"")</f>
        <v/>
      </c>
      <c r="FL354">
        <f>IF($EY354="row",INDEX($DV$5:$DV$1003,$EX354),"")</f>
        <v/>
      </c>
      <c r="FM354">
        <f>IF($EY354="row",INDEX($DW$5:$DW$1003,$EX354),"")</f>
        <v/>
      </c>
      <c r="FN354">
        <f>IF($EY354="row",INDEX($DY$5:$DY$1003,$EX354),"")</f>
        <v/>
      </c>
      <c r="FO354">
        <f>IF($EY354="row",INDEX($EA$5:$EA$1003,$EX354),"")</f>
        <v/>
      </c>
      <c r="FP354">
        <f>IF($EY354="row",INDEX($EC$5:$EC$1003,$EX354),"")</f>
        <v/>
      </c>
      <c r="FQ354">
        <f>IF($EY354="row",INDEX($ET$5:$ET$1003,$EX354),"")</f>
        <v/>
      </c>
      <c r="FR354">
        <f>IF($EY354="row",INDEX($EU$5:$EU$1003,$EX354),"")</f>
        <v/>
      </c>
      <c r="FS354">
        <f>IF(AND($EY354="row",$EY353="row"),IF(OR(INDEX($DT$5:$DT$1003,$EX353)="",INDEX($DT$5:$DT$1003,$EX354)=""),"",IF(NOT(EXACT(INDEX($DT$5:$DT$1003,$EX353),INDEX($DT$5:$DT$1003,$EX354))),"S4",IF(NOT(EXACT(INDEX($DS$5:$DS$1003,$EX353),INDEX($DS$5:$DS$1003,$EX354))),"S3",IF(NOT(EXACT(INDEX($DR$5:$DR$1003,$EX353),INDEX($DR$5:$DR$1003,$EX354))),"S1 Count Change","S1")))),"")</f>
        <v/>
      </c>
      <c r="FT354">
        <f>IF($EY354="row",INDEX($ES$5:$ES$1003,$EX354),"")</f>
        <v/>
      </c>
      <c r="FU354">
        <f>IF($EY354="row",INDEX($EO$5:$EO$1003,$EX354),0)</f>
        <v/>
      </c>
      <c r="FV354">
        <f>IF($FS354="S1 Count Change",1,0)</f>
        <v/>
      </c>
    </row>
    <row r="355">
      <c r="DA355" t="n">
        <v>351</v>
      </c>
      <c r="DB355">
        <f>IF($B$37=0,"",IFERROR(TRIM(SUBSTITUTE(SUBSTITUTE(SUBSTITUTE(SUBSTITUTE(INDEX(PASTE_ALL,351,$B$37)," "," "),CHAR(9)," "),CHAR(10)," "),CHAR(13)," ")),""))</f>
        <v/>
      </c>
      <c r="DC355">
        <f>IF(AND(351&gt;HEADER_ROW,UPPER(DB355)="LEGEND"),1,0)</f>
        <v/>
      </c>
      <c r="DE355" t="n">
        <v>351</v>
      </c>
      <c r="DF355">
        <f>HEADER_ROW+$DE355</f>
        <v/>
      </c>
      <c r="DG355">
        <f>IF(AND($DF355&lt;=1000,$DF355&lt;$B$8),1,0)</f>
        <v/>
      </c>
      <c r="DH355">
        <f>IF($DG355=1,IFERROR(INDEX($DB$5:$DB$1004,$DF355),""),"")</f>
        <v/>
      </c>
      <c r="DI355">
        <f>IF(AND($DG355=1,$DH355&lt;&gt;""),IFERROR(SUBSTITUTE(SUBSTITUTE(TRIM(SUBSTITUTE(SUBSTITUTE(SUBSTITUTE(SUBSTITUTE(IFERROR(INDEX(PASTE_ALL,$DF355,1)&amp;"","")&amp;"␟"&amp;IFERROR(INDEX(PASTE_ALL,$DF355,2)&amp;"","")&amp;"␟"&amp;IFERROR(INDEX(PASTE_ALL,$DF355,3)&amp;"","")&amp;"␟"&amp;IFERROR(INDEX(PASTE_ALL,$DF355,4)&amp;"","")&amp;"␟"&amp;IFERROR(INDEX(PASTE_ALL,$DF355,5)&amp;"","")&amp;"␟"&amp;IFERROR(INDEX(PASTE_ALL,$DF355,6)&amp;"","")&amp;"␟"&amp;IFERROR(INDEX(PASTE_ALL,$DF355,7)&amp;"","")&amp;"␟"&amp;IFERROR(INDEX(PASTE_ALL,$DF355,8)&amp;"","")&amp;"␟"&amp;IFERROR(INDEX(PASTE_ALL,$DF355,9)&amp;"","")&amp;"␟"&amp;IFERROR(INDEX(PASTE_ALL,$DF355,10)&amp;"","")&amp;"␟"&amp;IFERROR(INDEX(PASTE_ALL,$DF355,11)&amp;"","")&amp;"␟"&amp;IFERROR(INDEX(PASTE_ALL,$DF355,12)&amp;"","")&amp;"␟"&amp;IFERROR(INDEX(PASTE_ALL,$DF355,13)&amp;"","")&amp;"␟"&amp;IFERROR(INDEX(PASTE_ALL,$DF355,14)&amp;"","")&amp;"␟"&amp;IFERROR(INDEX(PASTE_ALL,$DF355,15)&amp;"","")&amp;"␟"&amp;IFERROR(INDEX(PASTE_ALL,$DF355,16)&amp;"","")&amp;"␟"&amp;IFERROR(INDEX(PASTE_ALL,$DF355,17)&amp;"","")&amp;"␟"&amp;IFERROR(INDEX(PASTE_ALL,$DF355,18)&amp;"","")&amp;"␟"&amp;IFERROR(INDEX(PASTE_ALL,$DF355,19)&amp;"","")&amp;"␟"&amp;IFERROR(INDEX(PASTE_ALL,$DF355,20)&amp;"","")&amp;"␟"&amp;IFERROR(INDEX(PASTE_ALL,$DF355,21)&amp;"","")&amp;"␟"&amp;IFERROR(INDEX(PASTE_ALL,$DF355,22)&amp;"","")&amp;"␟"&amp;IFERROR(INDEX(PASTE_ALL,$DF355,23)&amp;"","")&amp;"␟"&amp;IFERROR(INDEX(PASTE_ALL,$DF355,24)&amp;"","")&amp;"␟"&amp;IFERROR(INDEX(PASTE_ALL,$DF355,25)&amp;"","")&amp;"␟"&amp;IFERROR(INDEX(PASTE_ALL,$DF355,26)&amp;"","")&amp;"␟"&amp;IFERROR(INDEX(PASTE_ALL,$DF355,27)&amp;"","")&amp;"␟"&amp;IFERROR(INDEX(PASTE_ALL,$DF355,28)&amp;"","")&amp;"␟"&amp;IFERROR(INDEX(PASTE_ALL,$DF355,29)&amp;"","")&amp;"␟"&amp;IFERROR(INDEX(PASTE_ALL,$DF355,30)&amp;"","")&amp;"␟"&amp;IFERROR(INDEX(PASTE_ALL,$DF355,31)&amp;"","")&amp;"␟"&amp;IFERROR(INDEX(PASTE_ALL,$DF355,32)&amp;"","")&amp;"␟"&amp;IFERROR(INDEX(PASTE_ALL,$DF355,33)&amp;"","")&amp;"␟"&amp;IFERROR(INDEX(PASTE_ALL,$DF355,34)&amp;"","")&amp;"␟"&amp;IFERROR(INDEX(PASTE_ALL,$DF355,35)&amp;"","")&amp;"␟"&amp;IFERROR(INDEX(PASTE_ALL,$DF355,36)&amp;"","")&amp;"␟"&amp;IFERROR(INDEX(PASTE_ALL,$DF355,37)&amp;"","")&amp;"␟"&amp;IFERROR(INDEX(PASTE_ALL,$DF355,38)&amp;"","")&amp;"␟"&amp;IFERROR(INDEX(PASTE_ALL,$DF355,39)&amp;"","")&amp;"␟"&amp;IFERROR(INDEX(PASTE_ALL,$DF355,40)&amp;"","")&amp;"␟"&amp;IFERROR(INDEX(PASTE_ALL,$DF355,41)&amp;"","")&amp;"␟"&amp;IFERROR(INDEX(PASTE_ALL,$DF355,42)&amp;"","")&amp;"␟"&amp;IFERROR(INDEX(PASTE_ALL,$DF355,43)&amp;"","")&amp;"␟"&amp;IFERROR(INDEX(PASTE_ALL,$DF355,44)&amp;"","")&amp;"␟"&amp;IFERROR(INDEX(PASTE_ALL,$DF355,45)&amp;"","")&amp;"␟"&amp;IFERROR(INDEX(PASTE_ALL,$DF355,46)&amp;"","")&amp;"␟"&amp;IFERROR(INDEX(PASTE_ALL,$DF355,47)&amp;"","")&amp;"␟"&amp;IFERROR(INDEX(PASTE_ALL,$DF355,48)&amp;"","")&amp;"␟"&amp;IFERROR(INDEX(PASTE_ALL,$DF355,49)&amp;"","")&amp;"␟"&amp;IFERROR(INDEX(PASTE_ALL,$DF355,50)&amp;"","")&amp;"␟"&amp;IFERROR(INDEX(PASTE_ALL,$DF355,51)&amp;"","")&amp;"␟"&amp;IFERROR(INDEX(PASTE_ALL,$DF355,52)&amp;"","")&amp;"␟"&amp;IFERROR(INDEX(PASTE_ALL,$DF355,53)&amp;"","")&amp;"␟"&amp;IFERROR(INDEX(PASTE_ALL,$DF355,54)&amp;"","")&amp;"␟"&amp;IFERROR(INDEX(PASTE_ALL,$DF355,55)&amp;"","")&amp;"␟"&amp;IFERROR(INDEX(PASTE_ALL,$DF355,56)&amp;"","")&amp;"␟"&amp;IFERROR(INDEX(PASTE_ALL,$DF355,57)&amp;"","")&amp;"␟"&amp;IFERROR(INDEX(PASTE_ALL,$DF355,58)&amp;"","")&amp;"␟"&amp;IFERROR(INDEX(PASTE_ALL,$DF355,59)&amp;"","")&amp;"␟"&amp;IFERROR(INDEX(PASTE_ALL,$DF355,60)&amp;"","")," "," "),CHAR(9)," "),CHAR(10)," "),CHAR(13)," "))," ␟","␟"),"␟ ","␟"),"#"&amp;$DE355),"")</f>
        <v/>
      </c>
      <c r="DJ355">
        <f>IF($DI355="",0,IF(SUMPRODUCT(--EXACT($DI$4:DI354,$DI355))&gt;0,1,0))</f>
        <v/>
      </c>
      <c r="DK355">
        <f>IF(AND($DI355&lt;&gt;"",$DJ355=0),1,0)</f>
        <v/>
      </c>
      <c r="DL355">
        <f>DL354+$DK355</f>
        <v/>
      </c>
      <c r="DM355">
        <f>IF(AND($DK355=1,$DL355&lt;=600),1,0)</f>
        <v/>
      </c>
      <c r="DN355">
        <f>IF($DM355=0,"",IF($L$6=0,"",IFERROR(IF(ISNUMBER(INDEX(PASTE_ALL,$DF355,$L$6)),INDEX(PASTE_ALL,$DF355,$L$6),TRIM(SUBSTITUTE(SUBSTITUTE(SUBSTITUTE(SUBSTITUTE(INDEX(PASTE_ALL,$DF355,$L$6)," "," "),CHAR(9)," "),CHAR(10)," "),CHAR(13)," "))),"")))</f>
        <v/>
      </c>
      <c r="DO355">
        <f>IF($DM355=0,"",IF($L$7=0,"",IFERROR(IF(ISNUMBER(INDEX(PASTE_ALL,$DF355,$L$7)),INDEX(PASTE_ALL,$DF355,$L$7),TRIM(SUBSTITUTE(SUBSTITUTE(SUBSTITUTE(SUBSTITUTE(INDEX(PASTE_ALL,$DF355,$L$7)," "," "),CHAR(9)," "),CHAR(10)," "),CHAR(13)," "))),"")))</f>
        <v/>
      </c>
      <c r="DP355">
        <f>IF($DM355=0,"",IF($L$8=0,"",IFERROR(IF(ISNUMBER(INDEX(PASTE_ALL,$DF355,$L$8)),INDEX(PASTE_ALL,$DF355,$L$8),TRIM(SUBSTITUTE(SUBSTITUTE(SUBSTITUTE(SUBSTITUTE(INDEX(PASTE_ALL,$DF355,$L$8)," "," "),CHAR(9)," "),CHAR(10)," "),CHAR(13)," "))),"")))</f>
        <v/>
      </c>
      <c r="DQ355">
        <f>IF($DM355=0,"",IF($L$9=0,"",IFERROR(IF(ISNUMBER(INDEX(PASTE_ALL,$DF355,$L$9)),INDEX(PASTE_ALL,$DF355,$L$9),TRIM(SUBSTITUTE(SUBSTITUTE(SUBSTITUTE(SUBSTITUTE(INDEX(PASTE_ALL,$DF355,$L$9)," "," "),CHAR(9)," "),CHAR(10)," "),CHAR(13)," "))),"")))</f>
        <v/>
      </c>
      <c r="DR355">
        <f>IF($DM355=0,"",IF($L$10=0,"",IFERROR(IF(ISNUMBER(INDEX(PASTE_ALL,$DF355,$L$10)),INDEX(PASTE_ALL,$DF355,$L$10),TRIM(SUBSTITUTE(SUBSTITUTE(SUBSTITUTE(SUBSTITUTE(INDEX(PASTE_ALL,$DF355,$L$10)," "," "),CHAR(9)," "),CHAR(10)," "),CHAR(13)," "))),"")))</f>
        <v/>
      </c>
      <c r="DS355">
        <f>IF($DM355=0,"",IF($L$11=0,"",IFERROR(IF(ISNUMBER(INDEX(PASTE_ALL,$DF355,$L$11)),INDEX(PASTE_ALL,$DF355,$L$11),TRIM(SUBSTITUTE(SUBSTITUTE(SUBSTITUTE(SUBSTITUTE(INDEX(PASTE_ALL,$DF355,$L$11)," "," "),CHAR(9)," "),CHAR(10)," "),CHAR(13)," "))),"")))</f>
        <v/>
      </c>
      <c r="DT355">
        <f>IF($DM355=0,"",IF($L$12=0,"",IFERROR(IF(ISNUMBER(INDEX(PASTE_ALL,$DF355,$L$12)),INDEX(PASTE_ALL,$DF355,$L$12),TRIM(SUBSTITUTE(SUBSTITUTE(SUBSTITUTE(SUBSTITUTE(INDEX(PASTE_ALL,$DF355,$L$12)," "," "),CHAR(9)," "),CHAR(10)," "),CHAR(13)," "))),"")))</f>
        <v/>
      </c>
      <c r="DU355">
        <f>IF($DM355=0,"",IF($L$13=0,"",IFERROR(IF(ISNUMBER(INDEX(PASTE_ALL,$DF355,$L$13)),INDEX(PASTE_ALL,$DF355,$L$13),TRIM(SUBSTITUTE(SUBSTITUTE(SUBSTITUTE(SUBSTITUTE(INDEX(PASTE_ALL,$DF355,$L$13)," "," "),CHAR(9)," "),CHAR(10)," "),CHAR(13)," "))),"")))</f>
        <v/>
      </c>
      <c r="DV355">
        <f>IF($DM355=0,"",IF($L$14=0,"",IFERROR(IF(ISNUMBER(INDEX(PASTE_ALL,$DF355,$L$14)),INDEX(PASTE_ALL,$DF355,$L$14),TRIM(SUBSTITUTE(SUBSTITUTE(SUBSTITUTE(SUBSTITUTE(INDEX(PASTE_ALL,$DF355,$L$14)," "," "),CHAR(9)," "),CHAR(10)," "),CHAR(13)," "))),"")))</f>
        <v/>
      </c>
      <c r="DW355">
        <f>IF($DM355=0,"",IF($L$15=0,"",IFERROR(IF(ISNUMBER(INDEX(PASTE_ALL,$DF355,$L$15)),INDEX(PASTE_ALL,$DF355,$L$15),IF(SUMPRODUCT(--ISNUMBER(FIND({"A","B","C","D","E","F","G","H","I","J","K","L","M","N","O","P","Q","R","S","T","U","V","W","X","Y","Z","0","1","2","3","4","5","6","7","8","9"},UPPER(TRIM(SUBSTITUTE(SUBSTITUTE(SUBSTITUTE(SUBSTITUTE(INDEX(PASTE_ALL,$DF355,$L$15)," "," "),CHAR(9)," "),CHAR(10)," "),CHAR(13)," "))))))&gt;0,TRIM(SUBSTITUTE(SUBSTITUTE(SUBSTITUTE(SUBSTITUTE(INDEX(PASTE_ALL,$DF355,$L$15)," "," "),CHAR(9)," "),CHAR(10)," "),CHAR(13)," ")),"")),"")))</f>
        <v/>
      </c>
      <c r="DX355">
        <f>IF($DM355=0,"",IF($L$16=0,"",IFERROR(IF(ISNUMBER(INDEX(PASTE_ALL,$DF355,$L$16)),INDEX(PASTE_ALL,$DF355,$L$16),SUBSTITUTE(SUBSTITUTE(TRIM(SUBSTITUTE(SUBSTITUTE(SUBSTITUTE(SUBSTITUTE(INDEX(PASTE_ALL,$DF355,$L$16)," "," "),CHAR(9)," "),CHAR(10)," "),CHAR(13)," ")),",",""),"%","")),"")))</f>
        <v/>
      </c>
      <c r="DY355">
        <f>IF($DM355=0,"",IFERROR(IF(ISNUMBER($DX355),$DX355,IF($DX355="","",IF(TRIM($DX355)="",0,IF(AND(AND(SUBSTITUTE(SUBSTITUTE(SUBSTITUTE(SUBSTITUTE(SUBSTITUTE(SUBSTITUTE(SUBSTITUTE(SUBSTITUTE(SUBSTITUTE(SUBSTITUTE(SUBSTITUTE(SUBSTITUTE(SUBSTITUTE(SUBSTITUTE(UPPER(TRIM($DX355)),"0",""),"1",""),"2",""),"3",""),"4",""),"5",""),"6",""),"7",""),"8",""),"9",""),".",""),"+",""),"-",""),"E","")="",LEN(SUBSTITUTE(SUBSTITUTE(MID(UPPER(TRIM($DX355)),1+OR(LEFT(UPPER(TRIM($DX355)),1)="+",LEFT(UPPER(TRIM($DX355)),1)="-"),999),"E+","E"),"E-","E"))=LEN(SUBSTITUTE(SUBSTITUTE(SUBSTITUTE(SUBSTITUTE(MID(UPPER(TRIM($DX355)),1+OR(LEFT(UPPER(TRIM($DX355)),1)="+",LEFT(UPPER(TRIM($DX355)),1)="-"),999),"E+","E"),"E-","E"),"+",""),"-","")),LEN(UPPER(TRIM($DX355)))-LEN(SUBSTITUTE(UPPER(TRIM($DX355)),"E",""))&lt;2,LEN(UPPER(TRIM($DX355)))-LEN(SUBSTITUTE(UPPER(TRIM($DX355)),".",""))&lt;2,IFERROR(FIND(".",UPPER(TRIM($DX355))),0)&lt;IFERROR(FIND("E",UPPER(TRIM($DX355))),999)),ISNUMBER(VALUE(TRIM($DX355)))),VALUE(TRIM($DX355)),"")))),""))</f>
        <v/>
      </c>
      <c r="DZ355">
        <f>IF($DM355=0,"",IF($L$17=0,"",IFERROR(IF(ISNUMBER(INDEX(PASTE_ALL,$DF355,$L$17)),INDEX(PASTE_ALL,$DF355,$L$17),SUBSTITUTE(SUBSTITUTE(TRIM(SUBSTITUTE(SUBSTITUTE(SUBSTITUTE(SUBSTITUTE(INDEX(PASTE_ALL,$DF355,$L$17)," "," "),CHAR(9)," "),CHAR(10)," "),CHAR(13)," ")),",",""),"%","")),"")))</f>
        <v/>
      </c>
      <c r="EA355">
        <f>IF($DM355=0,"",IFERROR(IF(ISNUMBER($DZ355),$DZ355,IF($DZ355="","",IF(TRIM($DZ355)="",0,IF(AND(AND(SUBSTITUTE(SUBSTITUTE(SUBSTITUTE(SUBSTITUTE(SUBSTITUTE(SUBSTITUTE(SUBSTITUTE(SUBSTITUTE(SUBSTITUTE(SUBSTITUTE(SUBSTITUTE(SUBSTITUTE(SUBSTITUTE(SUBSTITUTE(UPPER(TRIM($DZ355)),"0",""),"1",""),"2",""),"3",""),"4",""),"5",""),"6",""),"7",""),"8",""),"9",""),".",""),"+",""),"-",""),"E","")="",LEN(SUBSTITUTE(SUBSTITUTE(MID(UPPER(TRIM($DZ355)),1+OR(LEFT(UPPER(TRIM($DZ355)),1)="+",LEFT(UPPER(TRIM($DZ355)),1)="-"),999),"E+","E"),"E-","E"))=LEN(SUBSTITUTE(SUBSTITUTE(SUBSTITUTE(SUBSTITUTE(MID(UPPER(TRIM($DZ355)),1+OR(LEFT(UPPER(TRIM($DZ355)),1)="+",LEFT(UPPER(TRIM($DZ355)),1)="-"),999),"E+","E"),"E-","E"),"+",""),"-","")),LEN(UPPER(TRIM($DZ355)))-LEN(SUBSTITUTE(UPPER(TRIM($DZ355)),"E",""))&lt;2,LEN(UPPER(TRIM($DZ355)))-LEN(SUBSTITUTE(UPPER(TRIM($DZ355)),".",""))&lt;2,IFERROR(FIND(".",UPPER(TRIM($DZ355))),0)&lt;IFERROR(FIND("E",UPPER(TRIM($DZ355))),999)),ISNUMBER(VALUE(TRIM($DZ355)))),VALUE(TRIM($DZ355)),"")))),""))</f>
        <v/>
      </c>
      <c r="EB355">
        <f>IF($DM355=0,"",IF($L$18=0,"",IFERROR(IF(UPPER(TRIM(SUBSTITUTE(SUBSTITUTE(SUBSTITUTE(SUBSTITUTE(INDEX(PASTE_ALL,$DF355,$L$18)," "," "),CHAR(9)," "),CHAR(10)," "),CHAR(13)," ")))="READY","Ready",IF(UPPER(TRIM(SUBSTITUTE(SUBSTITUTE(SUBSTITUTE(SUBSTITUTE(INDEX(PASTE_ALL,$DF355,$L$18)," "," "),CHAR(9)," "),CHAR(10)," "),CHAR(13)," ")))="PM","PM",IF(OR(UPPER(TRIM(SUBSTITUTE(SUBSTITUTE(SUBSTITUTE(SUBSTITUTE(INDEX(PASTE_ALL,$DF355,$L$18)," "," "),CHAR(9)," "),CHAR(10)," "),CHAR(13)," ")))="OT",UPPER(TRIM(SUBSTITUTE(SUBSTITUTE(SUBSTITUTE(SUBSTITUTE(INDEX(PASTE_ALL,$DF355,$L$18)," "," "),CHAR(9)," "),CHAR(10)," "),CHAR(13)," ")))="OVERTIME",UPPER(TRIM(SUBSTITUTE(SUBSTITUTE(SUBSTITUTE(SUBSTITUTE(INDEX(PASTE_ALL,$DF355,$L$18)," "," "),CHAR(9)," "),CHAR(10)," "),CHAR(13)," ")))="TRIAL"),"OT",TRIM(SUBSTITUTE(SUBSTITUTE(SUBSTITUTE(SUBSTITUTE(INDEX(PASTE_ALL,$DF355,$L$18)," "," "),CHAR(9)," "),CHAR(10)," "),CHAR(13)," "))))),"")))</f>
        <v/>
      </c>
      <c r="EC355">
        <f>IF($DM355=0,"",IF($L$19=0,"",IFERROR(IF(ISNUMBER(INDEX(PASTE_ALL,$DF355,$L$19)),INDEX(PASTE_ALL,$DF355,$L$19),TRIM(SUBSTITUTE(SUBSTITUTE(SUBSTITUTE(SUBSTITUTE(INDEX(PASTE_ALL,$DF355,$L$19)," "," "),CHAR(9)," "),CHAR(10)," "),CHAR(13)," "))),"")))</f>
        <v/>
      </c>
      <c r="ED355">
        <f>IF($DM355=0,"",MATCH(1,INDEX(EXACT($DH$5:DH355,$DH355)*$DM$5:DM355,0),0))</f>
        <v/>
      </c>
      <c r="EE355">
        <f>IF($DM355=0,0,IF($ED355=$DE355,1,0))</f>
        <v/>
      </c>
      <c r="EF355">
        <f>EF354+$EE355</f>
        <v/>
      </c>
      <c r="EG355">
        <f>IF($DM355=0,"",INDEX($EF$5:$EF$1003,$ED355))</f>
        <v/>
      </c>
      <c r="EH355">
        <f>IF($DM355=0,"",IF($DO355&lt;&gt;"","",IFERROR(LOOKUP(2,1/(($EG$4:EG354=$EG355)*($DO$4:DO354&lt;&gt;"")),$DO$4:DO354),"")))</f>
        <v/>
      </c>
      <c r="EI355">
        <f>IF($DM355=0,"",IF($DO355&lt;&gt;"",$DO355,$EH355))</f>
        <v/>
      </c>
      <c r="EJ355">
        <f>IF($DM355=0,"",IF($EI355="",0,IF(OR(ISNUMBER($EI355),AND(AND(SUBSTITUTE(SUBSTITUTE(SUBSTITUTE(SUBSTITUTE(SUBSTITUTE(SUBSTITUTE(SUBSTITUTE(SUBSTITUTE(SUBSTITUTE(SUBSTITUTE(SUBSTITUTE(SUBSTITUTE(SUBSTITUTE(SUBSTITUTE(UPPER($EI355),"0",""),"1",""),"2",""),"3",""),"4",""),"5",""),"6",""),"7",""),"8",""),"9",""),".",""),"+",""),"-",""),"E","")="",LEN(SUBSTITUTE(SUBSTITUTE(MID(UPPER($EI355),1+OR(LEFT(UPPER($EI355),1)="+",LEFT(UPPER($EI355),1)="-"),999),"E+","E"),"E-","E"))=LEN(SUBSTITUTE(SUBSTITUTE(SUBSTITUTE(SUBSTITUTE(MID(UPPER($EI355),1+OR(LEFT(UPPER($EI355),1)="+",LEFT(UPPER($EI355),1)="-"),999),"E+","E"),"E-","E"),"+",""),"-","")),LEN(UPPER($EI355))-LEN(SUBSTITUTE(UPPER($EI355),"E",""))&lt;2,LEN(UPPER($EI355))-LEN(SUBSTITUTE(UPPER($EI355),".",""))&lt;2,IFERROR(FIND(".",UPPER($EI355)),0)&lt;IFERROR(FIND("E",UPPER($EI355)),999)),ISNUMBER(VALUE($EI355)))),1,2)))</f>
        <v/>
      </c>
      <c r="EK355">
        <f>IF($DM355=0,"",IF($EJ355=1,IF(ISNUMBER($EI355),$EI355,VALUE($EI355)),IF($EJ355=2,$DE355,0)))</f>
        <v/>
      </c>
      <c r="EL355">
        <f>IF($DM355=0,"",COUNTIF($EG$5:$EG$1003,"&lt;"&amp;$EG355)+SUMPRODUCT(($EG$5:$EG$1003=$EG355)*(($EJ$5:$EJ$1003&lt;$EJ355)+($EJ$5:$EJ$1003=$EJ355)*(($EK$5:$EK$1003&lt;$EK355)+($EK$5:$EK$1003=$EK355)*($DE$5:$DE$1003&lt;$DE355))))+1)</f>
        <v/>
      </c>
      <c r="EM355">
        <f>IF($DM355=0,"",$EL355+$EG355-1)</f>
        <v/>
      </c>
      <c r="EN355">
        <f>IF($DM355=0,0,IFERROR(MATCH(1,INDEX(--(TRIM(SUBSTITUTE(SUBSTITUTE(SUBSTITUTE(SUBSTITUTE(LINES_NAME&amp;""," "," "),CHAR(9)," "),CHAR(10)," "),CHAR(13)," "))=$DH355),0),0),0))</f>
        <v/>
      </c>
      <c r="EO355">
        <f>IF($EN355=0,0,IF(OR(UPPER(TRIM(INDEX(LINES_SCHEDULED,$EN355)&amp;""))="YES",UPPER(TRIM(INDEX(LINES_SCHEDULED,$EN355)&amp;""))="Y",UPPER(TRIM(INDEX(LINES_SCHEDULED,$EN355)&amp;""))="X"),1,0))</f>
        <v/>
      </c>
      <c r="EP355">
        <f>IF($DM355=0,"",IF(COUNTIFS($EG$5:$EG$1003,$EG355,$EB$5:$EB$1003,"Ready")&gt;0,"READY",IF(COUNTIFS($EG$5:$EG$1003,$EG355,$EB$5:$EB$1003,"PM")&gt;0,"PM",IF(COUNTIFS($EG$5:$EG$1003,$EG355,$EB$5:$EB$1003,"OT")&gt;0,"OT",""))))</f>
        <v/>
      </c>
      <c r="EQ355">
        <f>IF($EN355=0,"",UPPER(TRIM(INDEX(LINES_STATUS,$EN355)&amp;"")))</f>
        <v/>
      </c>
      <c r="ER355">
        <f>IF($DM355=0,"",IF(OR($EQ355="READY",$EQ355="PM",$EQ355="OT"),$EQ355,$EP355))</f>
        <v/>
      </c>
      <c r="ES355">
        <f>IF($DM355=0,"",IF(AND($DV355&lt;&gt;"",UPPER($DV355)&lt;&gt;"N"),"allergen",IF(ISNUMBER(SEARCH("oil",$DQ355)),"oil",IF(OR(EXACT($DS355,"A662"),EXACT($DS355,"A624")),"bulk",""))))</f>
        <v/>
      </c>
      <c r="ET355">
        <f>IF($DM355=0,"",IF(OR($EA355="",$EA355=0),"",$EA355/100))</f>
        <v/>
      </c>
      <c r="EU355">
        <f>IF(OR($ET355="",$DY355=""),"",INT($DY355*(1-$ET355)+0.5))</f>
        <v/>
      </c>
      <c r="EW355" t="n">
        <v>351</v>
      </c>
      <c r="EX355">
        <f>IFERROR(MATCH($EW355,$EM$5:$EM$1003,0),0)</f>
        <v/>
      </c>
      <c r="EY355">
        <f>IF($EW355&gt;$B$12,"",IF($EX355&gt;0,"row","spacer"))</f>
        <v/>
      </c>
      <c r="EZ355">
        <f>IF(AND($EY355="row",$EY354&lt;&gt;"row"),1,0)</f>
        <v/>
      </c>
      <c r="FA355">
        <f>IF(AND($EY355="row",$EY356&lt;&gt;"row"),1,0)</f>
        <v/>
      </c>
      <c r="FB355">
        <f>IF($EZ355=1,IFERROR(IF(ISNUMBER(INDEX(PASTE_ALL,INDEX($DF$5:$DF$1003,$EX355),$B$37)),INDEX(PASTE_ALL,INDEX($DF$5:$DF$1003,$EX355),$B$37),INDEX($DH$5:$DH$1003,$EX355)),INDEX($DH$5:$DH$1003,$EX355)),"")</f>
        <v/>
      </c>
      <c r="FC355">
        <f>IF($EY355="row",INDEX($ER$5:$ER$1003,$EX355),"")</f>
        <v/>
      </c>
      <c r="FD355">
        <f>IF($EY355="row",INDEX($DN$5:$DN$1003,$EX355),"")</f>
        <v/>
      </c>
      <c r="FE355">
        <f>IF($EY355="row",INDEX($DO$5:$DO$1003,$EX355),"")</f>
        <v/>
      </c>
      <c r="FF355">
        <f>IF($EY355="row",INDEX($DP$5:$DP$1003,$EX355),"")</f>
        <v/>
      </c>
      <c r="FG355">
        <f>IF($EY355="row",INDEX($DQ$5:$DQ$1003,$EX355),"")</f>
        <v/>
      </c>
      <c r="FH355">
        <f>IF($EY355="row",INDEX($DR$5:$DR$1003,$EX355),"")</f>
        <v/>
      </c>
      <c r="FI355">
        <f>IF($EY355="row",INDEX($DS$5:$DS$1003,$EX355),"")</f>
        <v/>
      </c>
      <c r="FJ355">
        <f>IF($EY355="row",INDEX($DT$5:$DT$1003,$EX355),"")</f>
        <v/>
      </c>
      <c r="FK355">
        <f>IF($EY355="row",INDEX($DU$5:$DU$1003,$EX355),"")</f>
        <v/>
      </c>
      <c r="FL355">
        <f>IF($EY355="row",INDEX($DV$5:$DV$1003,$EX355),"")</f>
        <v/>
      </c>
      <c r="FM355">
        <f>IF($EY355="row",INDEX($DW$5:$DW$1003,$EX355),"")</f>
        <v/>
      </c>
      <c r="FN355">
        <f>IF($EY355="row",INDEX($DY$5:$DY$1003,$EX355),"")</f>
        <v/>
      </c>
      <c r="FO355">
        <f>IF($EY355="row",INDEX($EA$5:$EA$1003,$EX355),"")</f>
        <v/>
      </c>
      <c r="FP355">
        <f>IF($EY355="row",INDEX($EC$5:$EC$1003,$EX355),"")</f>
        <v/>
      </c>
      <c r="FQ355">
        <f>IF($EY355="row",INDEX($ET$5:$ET$1003,$EX355),"")</f>
        <v/>
      </c>
      <c r="FR355">
        <f>IF($EY355="row",INDEX($EU$5:$EU$1003,$EX355),"")</f>
        <v/>
      </c>
      <c r="FS355">
        <f>IF(AND($EY355="row",$EY354="row"),IF(OR(INDEX($DT$5:$DT$1003,$EX354)="",INDEX($DT$5:$DT$1003,$EX355)=""),"",IF(NOT(EXACT(INDEX($DT$5:$DT$1003,$EX354),INDEX($DT$5:$DT$1003,$EX355))),"S4",IF(NOT(EXACT(INDEX($DS$5:$DS$1003,$EX354),INDEX($DS$5:$DS$1003,$EX355))),"S3",IF(NOT(EXACT(INDEX($DR$5:$DR$1003,$EX354),INDEX($DR$5:$DR$1003,$EX355))),"S1 Count Change","S1")))),"")</f>
        <v/>
      </c>
      <c r="FT355">
        <f>IF($EY355="row",INDEX($ES$5:$ES$1003,$EX355),"")</f>
        <v/>
      </c>
      <c r="FU355">
        <f>IF($EY355="row",INDEX($EO$5:$EO$1003,$EX355),0)</f>
        <v/>
      </c>
      <c r="FV355">
        <f>IF($FS355="S1 Count Change",1,0)</f>
        <v/>
      </c>
    </row>
    <row r="356">
      <c r="DA356" t="n">
        <v>352</v>
      </c>
      <c r="DB356">
        <f>IF($B$37=0,"",IFERROR(TRIM(SUBSTITUTE(SUBSTITUTE(SUBSTITUTE(SUBSTITUTE(INDEX(PASTE_ALL,352,$B$37)," "," "),CHAR(9)," "),CHAR(10)," "),CHAR(13)," ")),""))</f>
        <v/>
      </c>
      <c r="DC356">
        <f>IF(AND(352&gt;HEADER_ROW,UPPER(DB356)="LEGEND"),1,0)</f>
        <v/>
      </c>
      <c r="DE356" t="n">
        <v>352</v>
      </c>
      <c r="DF356">
        <f>HEADER_ROW+$DE356</f>
        <v/>
      </c>
      <c r="DG356">
        <f>IF(AND($DF356&lt;=1000,$DF356&lt;$B$8),1,0)</f>
        <v/>
      </c>
      <c r="DH356">
        <f>IF($DG356=1,IFERROR(INDEX($DB$5:$DB$1004,$DF356),""),"")</f>
        <v/>
      </c>
      <c r="DI356">
        <f>IF(AND($DG356=1,$DH356&lt;&gt;""),IFERROR(SUBSTITUTE(SUBSTITUTE(TRIM(SUBSTITUTE(SUBSTITUTE(SUBSTITUTE(SUBSTITUTE(IFERROR(INDEX(PASTE_ALL,$DF356,1)&amp;"","")&amp;"␟"&amp;IFERROR(INDEX(PASTE_ALL,$DF356,2)&amp;"","")&amp;"␟"&amp;IFERROR(INDEX(PASTE_ALL,$DF356,3)&amp;"","")&amp;"␟"&amp;IFERROR(INDEX(PASTE_ALL,$DF356,4)&amp;"","")&amp;"␟"&amp;IFERROR(INDEX(PASTE_ALL,$DF356,5)&amp;"","")&amp;"␟"&amp;IFERROR(INDEX(PASTE_ALL,$DF356,6)&amp;"","")&amp;"␟"&amp;IFERROR(INDEX(PASTE_ALL,$DF356,7)&amp;"","")&amp;"␟"&amp;IFERROR(INDEX(PASTE_ALL,$DF356,8)&amp;"","")&amp;"␟"&amp;IFERROR(INDEX(PASTE_ALL,$DF356,9)&amp;"","")&amp;"␟"&amp;IFERROR(INDEX(PASTE_ALL,$DF356,10)&amp;"","")&amp;"␟"&amp;IFERROR(INDEX(PASTE_ALL,$DF356,11)&amp;"","")&amp;"␟"&amp;IFERROR(INDEX(PASTE_ALL,$DF356,12)&amp;"","")&amp;"␟"&amp;IFERROR(INDEX(PASTE_ALL,$DF356,13)&amp;"","")&amp;"␟"&amp;IFERROR(INDEX(PASTE_ALL,$DF356,14)&amp;"","")&amp;"␟"&amp;IFERROR(INDEX(PASTE_ALL,$DF356,15)&amp;"","")&amp;"␟"&amp;IFERROR(INDEX(PASTE_ALL,$DF356,16)&amp;"","")&amp;"␟"&amp;IFERROR(INDEX(PASTE_ALL,$DF356,17)&amp;"","")&amp;"␟"&amp;IFERROR(INDEX(PASTE_ALL,$DF356,18)&amp;"","")&amp;"␟"&amp;IFERROR(INDEX(PASTE_ALL,$DF356,19)&amp;"","")&amp;"␟"&amp;IFERROR(INDEX(PASTE_ALL,$DF356,20)&amp;"","")&amp;"␟"&amp;IFERROR(INDEX(PASTE_ALL,$DF356,21)&amp;"","")&amp;"␟"&amp;IFERROR(INDEX(PASTE_ALL,$DF356,22)&amp;"","")&amp;"␟"&amp;IFERROR(INDEX(PASTE_ALL,$DF356,23)&amp;"","")&amp;"␟"&amp;IFERROR(INDEX(PASTE_ALL,$DF356,24)&amp;"","")&amp;"␟"&amp;IFERROR(INDEX(PASTE_ALL,$DF356,25)&amp;"","")&amp;"␟"&amp;IFERROR(INDEX(PASTE_ALL,$DF356,26)&amp;"","")&amp;"␟"&amp;IFERROR(INDEX(PASTE_ALL,$DF356,27)&amp;"","")&amp;"␟"&amp;IFERROR(INDEX(PASTE_ALL,$DF356,28)&amp;"","")&amp;"␟"&amp;IFERROR(INDEX(PASTE_ALL,$DF356,29)&amp;"","")&amp;"␟"&amp;IFERROR(INDEX(PASTE_ALL,$DF356,30)&amp;"","")&amp;"␟"&amp;IFERROR(INDEX(PASTE_ALL,$DF356,31)&amp;"","")&amp;"␟"&amp;IFERROR(INDEX(PASTE_ALL,$DF356,32)&amp;"","")&amp;"␟"&amp;IFERROR(INDEX(PASTE_ALL,$DF356,33)&amp;"","")&amp;"␟"&amp;IFERROR(INDEX(PASTE_ALL,$DF356,34)&amp;"","")&amp;"␟"&amp;IFERROR(INDEX(PASTE_ALL,$DF356,35)&amp;"","")&amp;"␟"&amp;IFERROR(INDEX(PASTE_ALL,$DF356,36)&amp;"","")&amp;"␟"&amp;IFERROR(INDEX(PASTE_ALL,$DF356,37)&amp;"","")&amp;"␟"&amp;IFERROR(INDEX(PASTE_ALL,$DF356,38)&amp;"","")&amp;"␟"&amp;IFERROR(INDEX(PASTE_ALL,$DF356,39)&amp;"","")&amp;"␟"&amp;IFERROR(INDEX(PASTE_ALL,$DF356,40)&amp;"","")&amp;"␟"&amp;IFERROR(INDEX(PASTE_ALL,$DF356,41)&amp;"","")&amp;"␟"&amp;IFERROR(INDEX(PASTE_ALL,$DF356,42)&amp;"","")&amp;"␟"&amp;IFERROR(INDEX(PASTE_ALL,$DF356,43)&amp;"","")&amp;"␟"&amp;IFERROR(INDEX(PASTE_ALL,$DF356,44)&amp;"","")&amp;"␟"&amp;IFERROR(INDEX(PASTE_ALL,$DF356,45)&amp;"","")&amp;"␟"&amp;IFERROR(INDEX(PASTE_ALL,$DF356,46)&amp;"","")&amp;"␟"&amp;IFERROR(INDEX(PASTE_ALL,$DF356,47)&amp;"","")&amp;"␟"&amp;IFERROR(INDEX(PASTE_ALL,$DF356,48)&amp;"","")&amp;"␟"&amp;IFERROR(INDEX(PASTE_ALL,$DF356,49)&amp;"","")&amp;"␟"&amp;IFERROR(INDEX(PASTE_ALL,$DF356,50)&amp;"","")&amp;"␟"&amp;IFERROR(INDEX(PASTE_ALL,$DF356,51)&amp;"","")&amp;"␟"&amp;IFERROR(INDEX(PASTE_ALL,$DF356,52)&amp;"","")&amp;"␟"&amp;IFERROR(INDEX(PASTE_ALL,$DF356,53)&amp;"","")&amp;"␟"&amp;IFERROR(INDEX(PASTE_ALL,$DF356,54)&amp;"","")&amp;"␟"&amp;IFERROR(INDEX(PASTE_ALL,$DF356,55)&amp;"","")&amp;"␟"&amp;IFERROR(INDEX(PASTE_ALL,$DF356,56)&amp;"","")&amp;"␟"&amp;IFERROR(INDEX(PASTE_ALL,$DF356,57)&amp;"","")&amp;"␟"&amp;IFERROR(INDEX(PASTE_ALL,$DF356,58)&amp;"","")&amp;"␟"&amp;IFERROR(INDEX(PASTE_ALL,$DF356,59)&amp;"","")&amp;"␟"&amp;IFERROR(INDEX(PASTE_ALL,$DF356,60)&amp;"","")," "," "),CHAR(9)," "),CHAR(10)," "),CHAR(13)," "))," ␟","␟"),"␟ ","␟"),"#"&amp;$DE356),"")</f>
        <v/>
      </c>
      <c r="DJ356">
        <f>IF($DI356="",0,IF(SUMPRODUCT(--EXACT($DI$4:DI355,$DI356))&gt;0,1,0))</f>
        <v/>
      </c>
      <c r="DK356">
        <f>IF(AND($DI356&lt;&gt;"",$DJ356=0),1,0)</f>
        <v/>
      </c>
      <c r="DL356">
        <f>DL355+$DK356</f>
        <v/>
      </c>
      <c r="DM356">
        <f>IF(AND($DK356=1,$DL356&lt;=600),1,0)</f>
        <v/>
      </c>
      <c r="DN356">
        <f>IF($DM356=0,"",IF($L$6=0,"",IFERROR(IF(ISNUMBER(INDEX(PASTE_ALL,$DF356,$L$6)),INDEX(PASTE_ALL,$DF356,$L$6),TRIM(SUBSTITUTE(SUBSTITUTE(SUBSTITUTE(SUBSTITUTE(INDEX(PASTE_ALL,$DF356,$L$6)," "," "),CHAR(9)," "),CHAR(10)," "),CHAR(13)," "))),"")))</f>
        <v/>
      </c>
      <c r="DO356">
        <f>IF($DM356=0,"",IF($L$7=0,"",IFERROR(IF(ISNUMBER(INDEX(PASTE_ALL,$DF356,$L$7)),INDEX(PASTE_ALL,$DF356,$L$7),TRIM(SUBSTITUTE(SUBSTITUTE(SUBSTITUTE(SUBSTITUTE(INDEX(PASTE_ALL,$DF356,$L$7)," "," "),CHAR(9)," "),CHAR(10)," "),CHAR(13)," "))),"")))</f>
        <v/>
      </c>
      <c r="DP356">
        <f>IF($DM356=0,"",IF($L$8=0,"",IFERROR(IF(ISNUMBER(INDEX(PASTE_ALL,$DF356,$L$8)),INDEX(PASTE_ALL,$DF356,$L$8),TRIM(SUBSTITUTE(SUBSTITUTE(SUBSTITUTE(SUBSTITUTE(INDEX(PASTE_ALL,$DF356,$L$8)," "," "),CHAR(9)," "),CHAR(10)," "),CHAR(13)," "))),"")))</f>
        <v/>
      </c>
      <c r="DQ356">
        <f>IF($DM356=0,"",IF($L$9=0,"",IFERROR(IF(ISNUMBER(INDEX(PASTE_ALL,$DF356,$L$9)),INDEX(PASTE_ALL,$DF356,$L$9),TRIM(SUBSTITUTE(SUBSTITUTE(SUBSTITUTE(SUBSTITUTE(INDEX(PASTE_ALL,$DF356,$L$9)," "," "),CHAR(9)," "),CHAR(10)," "),CHAR(13)," "))),"")))</f>
        <v/>
      </c>
      <c r="DR356">
        <f>IF($DM356=0,"",IF($L$10=0,"",IFERROR(IF(ISNUMBER(INDEX(PASTE_ALL,$DF356,$L$10)),INDEX(PASTE_ALL,$DF356,$L$10),TRIM(SUBSTITUTE(SUBSTITUTE(SUBSTITUTE(SUBSTITUTE(INDEX(PASTE_ALL,$DF356,$L$10)," "," "),CHAR(9)," "),CHAR(10)," "),CHAR(13)," "))),"")))</f>
        <v/>
      </c>
      <c r="DS356">
        <f>IF($DM356=0,"",IF($L$11=0,"",IFERROR(IF(ISNUMBER(INDEX(PASTE_ALL,$DF356,$L$11)),INDEX(PASTE_ALL,$DF356,$L$11),TRIM(SUBSTITUTE(SUBSTITUTE(SUBSTITUTE(SUBSTITUTE(INDEX(PASTE_ALL,$DF356,$L$11)," "," "),CHAR(9)," "),CHAR(10)," "),CHAR(13)," "))),"")))</f>
        <v/>
      </c>
      <c r="DT356">
        <f>IF($DM356=0,"",IF($L$12=0,"",IFERROR(IF(ISNUMBER(INDEX(PASTE_ALL,$DF356,$L$12)),INDEX(PASTE_ALL,$DF356,$L$12),TRIM(SUBSTITUTE(SUBSTITUTE(SUBSTITUTE(SUBSTITUTE(INDEX(PASTE_ALL,$DF356,$L$12)," "," "),CHAR(9)," "),CHAR(10)," "),CHAR(13)," "))),"")))</f>
        <v/>
      </c>
      <c r="DU356">
        <f>IF($DM356=0,"",IF($L$13=0,"",IFERROR(IF(ISNUMBER(INDEX(PASTE_ALL,$DF356,$L$13)),INDEX(PASTE_ALL,$DF356,$L$13),TRIM(SUBSTITUTE(SUBSTITUTE(SUBSTITUTE(SUBSTITUTE(INDEX(PASTE_ALL,$DF356,$L$13)," "," "),CHAR(9)," "),CHAR(10)," "),CHAR(13)," "))),"")))</f>
        <v/>
      </c>
      <c r="DV356">
        <f>IF($DM356=0,"",IF($L$14=0,"",IFERROR(IF(ISNUMBER(INDEX(PASTE_ALL,$DF356,$L$14)),INDEX(PASTE_ALL,$DF356,$L$14),TRIM(SUBSTITUTE(SUBSTITUTE(SUBSTITUTE(SUBSTITUTE(INDEX(PASTE_ALL,$DF356,$L$14)," "," "),CHAR(9)," "),CHAR(10)," "),CHAR(13)," "))),"")))</f>
        <v/>
      </c>
      <c r="DW356">
        <f>IF($DM356=0,"",IF($L$15=0,"",IFERROR(IF(ISNUMBER(INDEX(PASTE_ALL,$DF356,$L$15)),INDEX(PASTE_ALL,$DF356,$L$15),IF(SUMPRODUCT(--ISNUMBER(FIND({"A","B","C","D","E","F","G","H","I","J","K","L","M","N","O","P","Q","R","S","T","U","V","W","X","Y","Z","0","1","2","3","4","5","6","7","8","9"},UPPER(TRIM(SUBSTITUTE(SUBSTITUTE(SUBSTITUTE(SUBSTITUTE(INDEX(PASTE_ALL,$DF356,$L$15)," "," "),CHAR(9)," "),CHAR(10)," "),CHAR(13)," "))))))&gt;0,TRIM(SUBSTITUTE(SUBSTITUTE(SUBSTITUTE(SUBSTITUTE(INDEX(PASTE_ALL,$DF356,$L$15)," "," "),CHAR(9)," "),CHAR(10)," "),CHAR(13)," ")),"")),"")))</f>
        <v/>
      </c>
      <c r="DX356">
        <f>IF($DM356=0,"",IF($L$16=0,"",IFERROR(IF(ISNUMBER(INDEX(PASTE_ALL,$DF356,$L$16)),INDEX(PASTE_ALL,$DF356,$L$16),SUBSTITUTE(SUBSTITUTE(TRIM(SUBSTITUTE(SUBSTITUTE(SUBSTITUTE(SUBSTITUTE(INDEX(PASTE_ALL,$DF356,$L$16)," "," "),CHAR(9)," "),CHAR(10)," "),CHAR(13)," ")),",",""),"%","")),"")))</f>
        <v/>
      </c>
      <c r="DY356">
        <f>IF($DM356=0,"",IFERROR(IF(ISNUMBER($DX356),$DX356,IF($DX356="","",IF(TRIM($DX356)="",0,IF(AND(AND(SUBSTITUTE(SUBSTITUTE(SUBSTITUTE(SUBSTITUTE(SUBSTITUTE(SUBSTITUTE(SUBSTITUTE(SUBSTITUTE(SUBSTITUTE(SUBSTITUTE(SUBSTITUTE(SUBSTITUTE(SUBSTITUTE(SUBSTITUTE(UPPER(TRIM($DX356)),"0",""),"1",""),"2",""),"3",""),"4",""),"5",""),"6",""),"7",""),"8",""),"9",""),".",""),"+",""),"-",""),"E","")="",LEN(SUBSTITUTE(SUBSTITUTE(MID(UPPER(TRIM($DX356)),1+OR(LEFT(UPPER(TRIM($DX356)),1)="+",LEFT(UPPER(TRIM($DX356)),1)="-"),999),"E+","E"),"E-","E"))=LEN(SUBSTITUTE(SUBSTITUTE(SUBSTITUTE(SUBSTITUTE(MID(UPPER(TRIM($DX356)),1+OR(LEFT(UPPER(TRIM($DX356)),1)="+",LEFT(UPPER(TRIM($DX356)),1)="-"),999),"E+","E"),"E-","E"),"+",""),"-","")),LEN(UPPER(TRIM($DX356)))-LEN(SUBSTITUTE(UPPER(TRIM($DX356)),"E",""))&lt;2,LEN(UPPER(TRIM($DX356)))-LEN(SUBSTITUTE(UPPER(TRIM($DX356)),".",""))&lt;2,IFERROR(FIND(".",UPPER(TRIM($DX356))),0)&lt;IFERROR(FIND("E",UPPER(TRIM($DX356))),999)),ISNUMBER(VALUE(TRIM($DX356)))),VALUE(TRIM($DX356)),"")))),""))</f>
        <v/>
      </c>
      <c r="DZ356">
        <f>IF($DM356=0,"",IF($L$17=0,"",IFERROR(IF(ISNUMBER(INDEX(PASTE_ALL,$DF356,$L$17)),INDEX(PASTE_ALL,$DF356,$L$17),SUBSTITUTE(SUBSTITUTE(TRIM(SUBSTITUTE(SUBSTITUTE(SUBSTITUTE(SUBSTITUTE(INDEX(PASTE_ALL,$DF356,$L$17)," "," "),CHAR(9)," "),CHAR(10)," "),CHAR(13)," ")),",",""),"%","")),"")))</f>
        <v/>
      </c>
      <c r="EA356">
        <f>IF($DM356=0,"",IFERROR(IF(ISNUMBER($DZ356),$DZ356,IF($DZ356="","",IF(TRIM($DZ356)="",0,IF(AND(AND(SUBSTITUTE(SUBSTITUTE(SUBSTITUTE(SUBSTITUTE(SUBSTITUTE(SUBSTITUTE(SUBSTITUTE(SUBSTITUTE(SUBSTITUTE(SUBSTITUTE(SUBSTITUTE(SUBSTITUTE(SUBSTITUTE(SUBSTITUTE(UPPER(TRIM($DZ356)),"0",""),"1",""),"2",""),"3",""),"4",""),"5",""),"6",""),"7",""),"8",""),"9",""),".",""),"+",""),"-",""),"E","")="",LEN(SUBSTITUTE(SUBSTITUTE(MID(UPPER(TRIM($DZ356)),1+OR(LEFT(UPPER(TRIM($DZ356)),1)="+",LEFT(UPPER(TRIM($DZ356)),1)="-"),999),"E+","E"),"E-","E"))=LEN(SUBSTITUTE(SUBSTITUTE(SUBSTITUTE(SUBSTITUTE(MID(UPPER(TRIM($DZ356)),1+OR(LEFT(UPPER(TRIM($DZ356)),1)="+",LEFT(UPPER(TRIM($DZ356)),1)="-"),999),"E+","E"),"E-","E"),"+",""),"-","")),LEN(UPPER(TRIM($DZ356)))-LEN(SUBSTITUTE(UPPER(TRIM($DZ356)),"E",""))&lt;2,LEN(UPPER(TRIM($DZ356)))-LEN(SUBSTITUTE(UPPER(TRIM($DZ356)),".",""))&lt;2,IFERROR(FIND(".",UPPER(TRIM($DZ356))),0)&lt;IFERROR(FIND("E",UPPER(TRIM($DZ356))),999)),ISNUMBER(VALUE(TRIM($DZ356)))),VALUE(TRIM($DZ356)),"")))),""))</f>
        <v/>
      </c>
      <c r="EB356">
        <f>IF($DM356=0,"",IF($L$18=0,"",IFERROR(IF(UPPER(TRIM(SUBSTITUTE(SUBSTITUTE(SUBSTITUTE(SUBSTITUTE(INDEX(PASTE_ALL,$DF356,$L$18)," "," "),CHAR(9)," "),CHAR(10)," "),CHAR(13)," ")))="READY","Ready",IF(UPPER(TRIM(SUBSTITUTE(SUBSTITUTE(SUBSTITUTE(SUBSTITUTE(INDEX(PASTE_ALL,$DF356,$L$18)," "," "),CHAR(9)," "),CHAR(10)," "),CHAR(13)," ")))="PM","PM",IF(OR(UPPER(TRIM(SUBSTITUTE(SUBSTITUTE(SUBSTITUTE(SUBSTITUTE(INDEX(PASTE_ALL,$DF356,$L$18)," "," "),CHAR(9)," "),CHAR(10)," "),CHAR(13)," ")))="OT",UPPER(TRIM(SUBSTITUTE(SUBSTITUTE(SUBSTITUTE(SUBSTITUTE(INDEX(PASTE_ALL,$DF356,$L$18)," "," "),CHAR(9)," "),CHAR(10)," "),CHAR(13)," ")))="OVERTIME",UPPER(TRIM(SUBSTITUTE(SUBSTITUTE(SUBSTITUTE(SUBSTITUTE(INDEX(PASTE_ALL,$DF356,$L$18)," "," "),CHAR(9)," "),CHAR(10)," "),CHAR(13)," ")))="TRIAL"),"OT",TRIM(SUBSTITUTE(SUBSTITUTE(SUBSTITUTE(SUBSTITUTE(INDEX(PASTE_ALL,$DF356,$L$18)," "," "),CHAR(9)," "),CHAR(10)," "),CHAR(13)," "))))),"")))</f>
        <v/>
      </c>
      <c r="EC356">
        <f>IF($DM356=0,"",IF($L$19=0,"",IFERROR(IF(ISNUMBER(INDEX(PASTE_ALL,$DF356,$L$19)),INDEX(PASTE_ALL,$DF356,$L$19),TRIM(SUBSTITUTE(SUBSTITUTE(SUBSTITUTE(SUBSTITUTE(INDEX(PASTE_ALL,$DF356,$L$19)," "," "),CHAR(9)," "),CHAR(10)," "),CHAR(13)," "))),"")))</f>
        <v/>
      </c>
      <c r="ED356">
        <f>IF($DM356=0,"",MATCH(1,INDEX(EXACT($DH$5:DH356,$DH356)*$DM$5:DM356,0),0))</f>
        <v/>
      </c>
      <c r="EE356">
        <f>IF($DM356=0,0,IF($ED356=$DE356,1,0))</f>
        <v/>
      </c>
      <c r="EF356">
        <f>EF355+$EE356</f>
        <v/>
      </c>
      <c r="EG356">
        <f>IF($DM356=0,"",INDEX($EF$5:$EF$1003,$ED356))</f>
        <v/>
      </c>
      <c r="EH356">
        <f>IF($DM356=0,"",IF($DO356&lt;&gt;"","",IFERROR(LOOKUP(2,1/(($EG$4:EG355=$EG356)*($DO$4:DO355&lt;&gt;"")),$DO$4:DO355),"")))</f>
        <v/>
      </c>
      <c r="EI356">
        <f>IF($DM356=0,"",IF($DO356&lt;&gt;"",$DO356,$EH356))</f>
        <v/>
      </c>
      <c r="EJ356">
        <f>IF($DM356=0,"",IF($EI356="",0,IF(OR(ISNUMBER($EI356),AND(AND(SUBSTITUTE(SUBSTITUTE(SUBSTITUTE(SUBSTITUTE(SUBSTITUTE(SUBSTITUTE(SUBSTITUTE(SUBSTITUTE(SUBSTITUTE(SUBSTITUTE(SUBSTITUTE(SUBSTITUTE(SUBSTITUTE(SUBSTITUTE(UPPER($EI356),"0",""),"1",""),"2",""),"3",""),"4",""),"5",""),"6",""),"7",""),"8",""),"9",""),".",""),"+",""),"-",""),"E","")="",LEN(SUBSTITUTE(SUBSTITUTE(MID(UPPER($EI356),1+OR(LEFT(UPPER($EI356),1)="+",LEFT(UPPER($EI356),1)="-"),999),"E+","E"),"E-","E"))=LEN(SUBSTITUTE(SUBSTITUTE(SUBSTITUTE(SUBSTITUTE(MID(UPPER($EI356),1+OR(LEFT(UPPER($EI356),1)="+",LEFT(UPPER($EI356),1)="-"),999),"E+","E"),"E-","E"),"+",""),"-","")),LEN(UPPER($EI356))-LEN(SUBSTITUTE(UPPER($EI356),"E",""))&lt;2,LEN(UPPER($EI356))-LEN(SUBSTITUTE(UPPER($EI356),".",""))&lt;2,IFERROR(FIND(".",UPPER($EI356)),0)&lt;IFERROR(FIND("E",UPPER($EI356)),999)),ISNUMBER(VALUE($EI356)))),1,2)))</f>
        <v/>
      </c>
      <c r="EK356">
        <f>IF($DM356=0,"",IF($EJ356=1,IF(ISNUMBER($EI356),$EI356,VALUE($EI356)),IF($EJ356=2,$DE356,0)))</f>
        <v/>
      </c>
      <c r="EL356">
        <f>IF($DM356=0,"",COUNTIF($EG$5:$EG$1003,"&lt;"&amp;$EG356)+SUMPRODUCT(($EG$5:$EG$1003=$EG356)*(($EJ$5:$EJ$1003&lt;$EJ356)+($EJ$5:$EJ$1003=$EJ356)*(($EK$5:$EK$1003&lt;$EK356)+($EK$5:$EK$1003=$EK356)*($DE$5:$DE$1003&lt;$DE356))))+1)</f>
        <v/>
      </c>
      <c r="EM356">
        <f>IF($DM356=0,"",$EL356+$EG356-1)</f>
        <v/>
      </c>
      <c r="EN356">
        <f>IF($DM356=0,0,IFERROR(MATCH(1,INDEX(--(TRIM(SUBSTITUTE(SUBSTITUTE(SUBSTITUTE(SUBSTITUTE(LINES_NAME&amp;""," "," "),CHAR(9)," "),CHAR(10)," "),CHAR(13)," "))=$DH356),0),0),0))</f>
        <v/>
      </c>
      <c r="EO356">
        <f>IF($EN356=0,0,IF(OR(UPPER(TRIM(INDEX(LINES_SCHEDULED,$EN356)&amp;""))="YES",UPPER(TRIM(INDEX(LINES_SCHEDULED,$EN356)&amp;""))="Y",UPPER(TRIM(INDEX(LINES_SCHEDULED,$EN356)&amp;""))="X"),1,0))</f>
        <v/>
      </c>
      <c r="EP356">
        <f>IF($DM356=0,"",IF(COUNTIFS($EG$5:$EG$1003,$EG356,$EB$5:$EB$1003,"Ready")&gt;0,"READY",IF(COUNTIFS($EG$5:$EG$1003,$EG356,$EB$5:$EB$1003,"PM")&gt;0,"PM",IF(COUNTIFS($EG$5:$EG$1003,$EG356,$EB$5:$EB$1003,"OT")&gt;0,"OT",""))))</f>
        <v/>
      </c>
      <c r="EQ356">
        <f>IF($EN356=0,"",UPPER(TRIM(INDEX(LINES_STATUS,$EN356)&amp;"")))</f>
        <v/>
      </c>
      <c r="ER356">
        <f>IF($DM356=0,"",IF(OR($EQ356="READY",$EQ356="PM",$EQ356="OT"),$EQ356,$EP356))</f>
        <v/>
      </c>
      <c r="ES356">
        <f>IF($DM356=0,"",IF(AND($DV356&lt;&gt;"",UPPER($DV356)&lt;&gt;"N"),"allergen",IF(ISNUMBER(SEARCH("oil",$DQ356)),"oil",IF(OR(EXACT($DS356,"A662"),EXACT($DS356,"A624")),"bulk",""))))</f>
        <v/>
      </c>
      <c r="ET356">
        <f>IF($DM356=0,"",IF(OR($EA356="",$EA356=0),"",$EA356/100))</f>
        <v/>
      </c>
      <c r="EU356">
        <f>IF(OR($ET356="",$DY356=""),"",INT($DY356*(1-$ET356)+0.5))</f>
        <v/>
      </c>
      <c r="EW356" t="n">
        <v>352</v>
      </c>
      <c r="EX356">
        <f>IFERROR(MATCH($EW356,$EM$5:$EM$1003,0),0)</f>
        <v/>
      </c>
      <c r="EY356">
        <f>IF($EW356&gt;$B$12,"",IF($EX356&gt;0,"row","spacer"))</f>
        <v/>
      </c>
      <c r="EZ356">
        <f>IF(AND($EY356="row",$EY355&lt;&gt;"row"),1,0)</f>
        <v/>
      </c>
      <c r="FA356">
        <f>IF(AND($EY356="row",$EY357&lt;&gt;"row"),1,0)</f>
        <v/>
      </c>
      <c r="FB356">
        <f>IF($EZ356=1,IFERROR(IF(ISNUMBER(INDEX(PASTE_ALL,INDEX($DF$5:$DF$1003,$EX356),$B$37)),INDEX(PASTE_ALL,INDEX($DF$5:$DF$1003,$EX356),$B$37),INDEX($DH$5:$DH$1003,$EX356)),INDEX($DH$5:$DH$1003,$EX356)),"")</f>
        <v/>
      </c>
      <c r="FC356">
        <f>IF($EY356="row",INDEX($ER$5:$ER$1003,$EX356),"")</f>
        <v/>
      </c>
      <c r="FD356">
        <f>IF($EY356="row",INDEX($DN$5:$DN$1003,$EX356),"")</f>
        <v/>
      </c>
      <c r="FE356">
        <f>IF($EY356="row",INDEX($DO$5:$DO$1003,$EX356),"")</f>
        <v/>
      </c>
      <c r="FF356">
        <f>IF($EY356="row",INDEX($DP$5:$DP$1003,$EX356),"")</f>
        <v/>
      </c>
      <c r="FG356">
        <f>IF($EY356="row",INDEX($DQ$5:$DQ$1003,$EX356),"")</f>
        <v/>
      </c>
      <c r="FH356">
        <f>IF($EY356="row",INDEX($DR$5:$DR$1003,$EX356),"")</f>
        <v/>
      </c>
      <c r="FI356">
        <f>IF($EY356="row",INDEX($DS$5:$DS$1003,$EX356),"")</f>
        <v/>
      </c>
      <c r="FJ356">
        <f>IF($EY356="row",INDEX($DT$5:$DT$1003,$EX356),"")</f>
        <v/>
      </c>
      <c r="FK356">
        <f>IF($EY356="row",INDEX($DU$5:$DU$1003,$EX356),"")</f>
        <v/>
      </c>
      <c r="FL356">
        <f>IF($EY356="row",INDEX($DV$5:$DV$1003,$EX356),"")</f>
        <v/>
      </c>
      <c r="FM356">
        <f>IF($EY356="row",INDEX($DW$5:$DW$1003,$EX356),"")</f>
        <v/>
      </c>
      <c r="FN356">
        <f>IF($EY356="row",INDEX($DY$5:$DY$1003,$EX356),"")</f>
        <v/>
      </c>
      <c r="FO356">
        <f>IF($EY356="row",INDEX($EA$5:$EA$1003,$EX356),"")</f>
        <v/>
      </c>
      <c r="FP356">
        <f>IF($EY356="row",INDEX($EC$5:$EC$1003,$EX356),"")</f>
        <v/>
      </c>
      <c r="FQ356">
        <f>IF($EY356="row",INDEX($ET$5:$ET$1003,$EX356),"")</f>
        <v/>
      </c>
      <c r="FR356">
        <f>IF($EY356="row",INDEX($EU$5:$EU$1003,$EX356),"")</f>
        <v/>
      </c>
      <c r="FS356">
        <f>IF(AND($EY356="row",$EY355="row"),IF(OR(INDEX($DT$5:$DT$1003,$EX355)="",INDEX($DT$5:$DT$1003,$EX356)=""),"",IF(NOT(EXACT(INDEX($DT$5:$DT$1003,$EX355),INDEX($DT$5:$DT$1003,$EX356))),"S4",IF(NOT(EXACT(INDEX($DS$5:$DS$1003,$EX355),INDEX($DS$5:$DS$1003,$EX356))),"S3",IF(NOT(EXACT(INDEX($DR$5:$DR$1003,$EX355),INDEX($DR$5:$DR$1003,$EX356))),"S1 Count Change","S1")))),"")</f>
        <v/>
      </c>
      <c r="FT356">
        <f>IF($EY356="row",INDEX($ES$5:$ES$1003,$EX356),"")</f>
        <v/>
      </c>
      <c r="FU356">
        <f>IF($EY356="row",INDEX($EO$5:$EO$1003,$EX356),0)</f>
        <v/>
      </c>
      <c r="FV356">
        <f>IF($FS356="S1 Count Change",1,0)</f>
        <v/>
      </c>
    </row>
    <row r="357">
      <c r="DA357" t="n">
        <v>353</v>
      </c>
      <c r="DB357">
        <f>IF($B$37=0,"",IFERROR(TRIM(SUBSTITUTE(SUBSTITUTE(SUBSTITUTE(SUBSTITUTE(INDEX(PASTE_ALL,353,$B$37)," "," "),CHAR(9)," "),CHAR(10)," "),CHAR(13)," ")),""))</f>
        <v/>
      </c>
      <c r="DC357">
        <f>IF(AND(353&gt;HEADER_ROW,UPPER(DB357)="LEGEND"),1,0)</f>
        <v/>
      </c>
      <c r="DE357" t="n">
        <v>353</v>
      </c>
      <c r="DF357">
        <f>HEADER_ROW+$DE357</f>
        <v/>
      </c>
      <c r="DG357">
        <f>IF(AND($DF357&lt;=1000,$DF357&lt;$B$8),1,0)</f>
        <v/>
      </c>
      <c r="DH357">
        <f>IF($DG357=1,IFERROR(INDEX($DB$5:$DB$1004,$DF357),""),"")</f>
        <v/>
      </c>
      <c r="DI357">
        <f>IF(AND($DG357=1,$DH357&lt;&gt;""),IFERROR(SUBSTITUTE(SUBSTITUTE(TRIM(SUBSTITUTE(SUBSTITUTE(SUBSTITUTE(SUBSTITUTE(IFERROR(INDEX(PASTE_ALL,$DF357,1)&amp;"","")&amp;"␟"&amp;IFERROR(INDEX(PASTE_ALL,$DF357,2)&amp;"","")&amp;"␟"&amp;IFERROR(INDEX(PASTE_ALL,$DF357,3)&amp;"","")&amp;"␟"&amp;IFERROR(INDEX(PASTE_ALL,$DF357,4)&amp;"","")&amp;"␟"&amp;IFERROR(INDEX(PASTE_ALL,$DF357,5)&amp;"","")&amp;"␟"&amp;IFERROR(INDEX(PASTE_ALL,$DF357,6)&amp;"","")&amp;"␟"&amp;IFERROR(INDEX(PASTE_ALL,$DF357,7)&amp;"","")&amp;"␟"&amp;IFERROR(INDEX(PASTE_ALL,$DF357,8)&amp;"","")&amp;"␟"&amp;IFERROR(INDEX(PASTE_ALL,$DF357,9)&amp;"","")&amp;"␟"&amp;IFERROR(INDEX(PASTE_ALL,$DF357,10)&amp;"","")&amp;"␟"&amp;IFERROR(INDEX(PASTE_ALL,$DF357,11)&amp;"","")&amp;"␟"&amp;IFERROR(INDEX(PASTE_ALL,$DF357,12)&amp;"","")&amp;"␟"&amp;IFERROR(INDEX(PASTE_ALL,$DF357,13)&amp;"","")&amp;"␟"&amp;IFERROR(INDEX(PASTE_ALL,$DF357,14)&amp;"","")&amp;"␟"&amp;IFERROR(INDEX(PASTE_ALL,$DF357,15)&amp;"","")&amp;"␟"&amp;IFERROR(INDEX(PASTE_ALL,$DF357,16)&amp;"","")&amp;"␟"&amp;IFERROR(INDEX(PASTE_ALL,$DF357,17)&amp;"","")&amp;"␟"&amp;IFERROR(INDEX(PASTE_ALL,$DF357,18)&amp;"","")&amp;"␟"&amp;IFERROR(INDEX(PASTE_ALL,$DF357,19)&amp;"","")&amp;"␟"&amp;IFERROR(INDEX(PASTE_ALL,$DF357,20)&amp;"","")&amp;"␟"&amp;IFERROR(INDEX(PASTE_ALL,$DF357,21)&amp;"","")&amp;"␟"&amp;IFERROR(INDEX(PASTE_ALL,$DF357,22)&amp;"","")&amp;"␟"&amp;IFERROR(INDEX(PASTE_ALL,$DF357,23)&amp;"","")&amp;"␟"&amp;IFERROR(INDEX(PASTE_ALL,$DF357,24)&amp;"","")&amp;"␟"&amp;IFERROR(INDEX(PASTE_ALL,$DF357,25)&amp;"","")&amp;"␟"&amp;IFERROR(INDEX(PASTE_ALL,$DF357,26)&amp;"","")&amp;"␟"&amp;IFERROR(INDEX(PASTE_ALL,$DF357,27)&amp;"","")&amp;"␟"&amp;IFERROR(INDEX(PASTE_ALL,$DF357,28)&amp;"","")&amp;"␟"&amp;IFERROR(INDEX(PASTE_ALL,$DF357,29)&amp;"","")&amp;"␟"&amp;IFERROR(INDEX(PASTE_ALL,$DF357,30)&amp;"","")&amp;"␟"&amp;IFERROR(INDEX(PASTE_ALL,$DF357,31)&amp;"","")&amp;"␟"&amp;IFERROR(INDEX(PASTE_ALL,$DF357,32)&amp;"","")&amp;"␟"&amp;IFERROR(INDEX(PASTE_ALL,$DF357,33)&amp;"","")&amp;"␟"&amp;IFERROR(INDEX(PASTE_ALL,$DF357,34)&amp;"","")&amp;"␟"&amp;IFERROR(INDEX(PASTE_ALL,$DF357,35)&amp;"","")&amp;"␟"&amp;IFERROR(INDEX(PASTE_ALL,$DF357,36)&amp;"","")&amp;"␟"&amp;IFERROR(INDEX(PASTE_ALL,$DF357,37)&amp;"","")&amp;"␟"&amp;IFERROR(INDEX(PASTE_ALL,$DF357,38)&amp;"","")&amp;"␟"&amp;IFERROR(INDEX(PASTE_ALL,$DF357,39)&amp;"","")&amp;"␟"&amp;IFERROR(INDEX(PASTE_ALL,$DF357,40)&amp;"","")&amp;"␟"&amp;IFERROR(INDEX(PASTE_ALL,$DF357,41)&amp;"","")&amp;"␟"&amp;IFERROR(INDEX(PASTE_ALL,$DF357,42)&amp;"","")&amp;"␟"&amp;IFERROR(INDEX(PASTE_ALL,$DF357,43)&amp;"","")&amp;"␟"&amp;IFERROR(INDEX(PASTE_ALL,$DF357,44)&amp;"","")&amp;"␟"&amp;IFERROR(INDEX(PASTE_ALL,$DF357,45)&amp;"","")&amp;"␟"&amp;IFERROR(INDEX(PASTE_ALL,$DF357,46)&amp;"","")&amp;"␟"&amp;IFERROR(INDEX(PASTE_ALL,$DF357,47)&amp;"","")&amp;"␟"&amp;IFERROR(INDEX(PASTE_ALL,$DF357,48)&amp;"","")&amp;"␟"&amp;IFERROR(INDEX(PASTE_ALL,$DF357,49)&amp;"","")&amp;"␟"&amp;IFERROR(INDEX(PASTE_ALL,$DF357,50)&amp;"","")&amp;"␟"&amp;IFERROR(INDEX(PASTE_ALL,$DF357,51)&amp;"","")&amp;"␟"&amp;IFERROR(INDEX(PASTE_ALL,$DF357,52)&amp;"","")&amp;"␟"&amp;IFERROR(INDEX(PASTE_ALL,$DF357,53)&amp;"","")&amp;"␟"&amp;IFERROR(INDEX(PASTE_ALL,$DF357,54)&amp;"","")&amp;"␟"&amp;IFERROR(INDEX(PASTE_ALL,$DF357,55)&amp;"","")&amp;"␟"&amp;IFERROR(INDEX(PASTE_ALL,$DF357,56)&amp;"","")&amp;"␟"&amp;IFERROR(INDEX(PASTE_ALL,$DF357,57)&amp;"","")&amp;"␟"&amp;IFERROR(INDEX(PASTE_ALL,$DF357,58)&amp;"","")&amp;"␟"&amp;IFERROR(INDEX(PASTE_ALL,$DF357,59)&amp;"","")&amp;"␟"&amp;IFERROR(INDEX(PASTE_ALL,$DF357,60)&amp;"","")," "," "),CHAR(9)," "),CHAR(10)," "),CHAR(13)," "))," ␟","␟"),"␟ ","␟"),"#"&amp;$DE357),"")</f>
        <v/>
      </c>
      <c r="DJ357">
        <f>IF($DI357="",0,IF(SUMPRODUCT(--EXACT($DI$4:DI356,$DI357))&gt;0,1,0))</f>
        <v/>
      </c>
      <c r="DK357">
        <f>IF(AND($DI357&lt;&gt;"",$DJ357=0),1,0)</f>
        <v/>
      </c>
      <c r="DL357">
        <f>DL356+$DK357</f>
        <v/>
      </c>
      <c r="DM357">
        <f>IF(AND($DK357=1,$DL357&lt;=600),1,0)</f>
        <v/>
      </c>
      <c r="DN357">
        <f>IF($DM357=0,"",IF($L$6=0,"",IFERROR(IF(ISNUMBER(INDEX(PASTE_ALL,$DF357,$L$6)),INDEX(PASTE_ALL,$DF357,$L$6),TRIM(SUBSTITUTE(SUBSTITUTE(SUBSTITUTE(SUBSTITUTE(INDEX(PASTE_ALL,$DF357,$L$6)," "," "),CHAR(9)," "),CHAR(10)," "),CHAR(13)," "))),"")))</f>
        <v/>
      </c>
      <c r="DO357">
        <f>IF($DM357=0,"",IF($L$7=0,"",IFERROR(IF(ISNUMBER(INDEX(PASTE_ALL,$DF357,$L$7)),INDEX(PASTE_ALL,$DF357,$L$7),TRIM(SUBSTITUTE(SUBSTITUTE(SUBSTITUTE(SUBSTITUTE(INDEX(PASTE_ALL,$DF357,$L$7)," "," "),CHAR(9)," "),CHAR(10)," "),CHAR(13)," "))),"")))</f>
        <v/>
      </c>
      <c r="DP357">
        <f>IF($DM357=0,"",IF($L$8=0,"",IFERROR(IF(ISNUMBER(INDEX(PASTE_ALL,$DF357,$L$8)),INDEX(PASTE_ALL,$DF357,$L$8),TRIM(SUBSTITUTE(SUBSTITUTE(SUBSTITUTE(SUBSTITUTE(INDEX(PASTE_ALL,$DF357,$L$8)," "," "),CHAR(9)," "),CHAR(10)," "),CHAR(13)," "))),"")))</f>
        <v/>
      </c>
      <c r="DQ357">
        <f>IF($DM357=0,"",IF($L$9=0,"",IFERROR(IF(ISNUMBER(INDEX(PASTE_ALL,$DF357,$L$9)),INDEX(PASTE_ALL,$DF357,$L$9),TRIM(SUBSTITUTE(SUBSTITUTE(SUBSTITUTE(SUBSTITUTE(INDEX(PASTE_ALL,$DF357,$L$9)," "," "),CHAR(9)," "),CHAR(10)," "),CHAR(13)," "))),"")))</f>
        <v/>
      </c>
      <c r="DR357">
        <f>IF($DM357=0,"",IF($L$10=0,"",IFERROR(IF(ISNUMBER(INDEX(PASTE_ALL,$DF357,$L$10)),INDEX(PASTE_ALL,$DF357,$L$10),TRIM(SUBSTITUTE(SUBSTITUTE(SUBSTITUTE(SUBSTITUTE(INDEX(PASTE_ALL,$DF357,$L$10)," "," "),CHAR(9)," "),CHAR(10)," "),CHAR(13)," "))),"")))</f>
        <v/>
      </c>
      <c r="DS357">
        <f>IF($DM357=0,"",IF($L$11=0,"",IFERROR(IF(ISNUMBER(INDEX(PASTE_ALL,$DF357,$L$11)),INDEX(PASTE_ALL,$DF357,$L$11),TRIM(SUBSTITUTE(SUBSTITUTE(SUBSTITUTE(SUBSTITUTE(INDEX(PASTE_ALL,$DF357,$L$11)," "," "),CHAR(9)," "),CHAR(10)," "),CHAR(13)," "))),"")))</f>
        <v/>
      </c>
      <c r="DT357">
        <f>IF($DM357=0,"",IF($L$12=0,"",IFERROR(IF(ISNUMBER(INDEX(PASTE_ALL,$DF357,$L$12)),INDEX(PASTE_ALL,$DF357,$L$12),TRIM(SUBSTITUTE(SUBSTITUTE(SUBSTITUTE(SUBSTITUTE(INDEX(PASTE_ALL,$DF357,$L$12)," "," "),CHAR(9)," "),CHAR(10)," "),CHAR(13)," "))),"")))</f>
        <v/>
      </c>
      <c r="DU357">
        <f>IF($DM357=0,"",IF($L$13=0,"",IFERROR(IF(ISNUMBER(INDEX(PASTE_ALL,$DF357,$L$13)),INDEX(PASTE_ALL,$DF357,$L$13),TRIM(SUBSTITUTE(SUBSTITUTE(SUBSTITUTE(SUBSTITUTE(INDEX(PASTE_ALL,$DF357,$L$13)," "," "),CHAR(9)," "),CHAR(10)," "),CHAR(13)," "))),"")))</f>
        <v/>
      </c>
      <c r="DV357">
        <f>IF($DM357=0,"",IF($L$14=0,"",IFERROR(IF(ISNUMBER(INDEX(PASTE_ALL,$DF357,$L$14)),INDEX(PASTE_ALL,$DF357,$L$14),TRIM(SUBSTITUTE(SUBSTITUTE(SUBSTITUTE(SUBSTITUTE(INDEX(PASTE_ALL,$DF357,$L$14)," "," "),CHAR(9)," "),CHAR(10)," "),CHAR(13)," "))),"")))</f>
        <v/>
      </c>
      <c r="DW357">
        <f>IF($DM357=0,"",IF($L$15=0,"",IFERROR(IF(ISNUMBER(INDEX(PASTE_ALL,$DF357,$L$15)),INDEX(PASTE_ALL,$DF357,$L$15),IF(SUMPRODUCT(--ISNUMBER(FIND({"A","B","C","D","E","F","G","H","I","J","K","L","M","N","O","P","Q","R","S","T","U","V","W","X","Y","Z","0","1","2","3","4","5","6","7","8","9"},UPPER(TRIM(SUBSTITUTE(SUBSTITUTE(SUBSTITUTE(SUBSTITUTE(INDEX(PASTE_ALL,$DF357,$L$15)," "," "),CHAR(9)," "),CHAR(10)," "),CHAR(13)," "))))))&gt;0,TRIM(SUBSTITUTE(SUBSTITUTE(SUBSTITUTE(SUBSTITUTE(INDEX(PASTE_ALL,$DF357,$L$15)," "," "),CHAR(9)," "),CHAR(10)," "),CHAR(13)," ")),"")),"")))</f>
        <v/>
      </c>
      <c r="DX357">
        <f>IF($DM357=0,"",IF($L$16=0,"",IFERROR(IF(ISNUMBER(INDEX(PASTE_ALL,$DF357,$L$16)),INDEX(PASTE_ALL,$DF357,$L$16),SUBSTITUTE(SUBSTITUTE(TRIM(SUBSTITUTE(SUBSTITUTE(SUBSTITUTE(SUBSTITUTE(INDEX(PASTE_ALL,$DF357,$L$16)," "," "),CHAR(9)," "),CHAR(10)," "),CHAR(13)," ")),",",""),"%","")),"")))</f>
        <v/>
      </c>
      <c r="DY357">
        <f>IF($DM357=0,"",IFERROR(IF(ISNUMBER($DX357),$DX357,IF($DX357="","",IF(TRIM($DX357)="",0,IF(AND(AND(SUBSTITUTE(SUBSTITUTE(SUBSTITUTE(SUBSTITUTE(SUBSTITUTE(SUBSTITUTE(SUBSTITUTE(SUBSTITUTE(SUBSTITUTE(SUBSTITUTE(SUBSTITUTE(SUBSTITUTE(SUBSTITUTE(SUBSTITUTE(UPPER(TRIM($DX357)),"0",""),"1",""),"2",""),"3",""),"4",""),"5",""),"6",""),"7",""),"8",""),"9",""),".",""),"+",""),"-",""),"E","")="",LEN(SUBSTITUTE(SUBSTITUTE(MID(UPPER(TRIM($DX357)),1+OR(LEFT(UPPER(TRIM($DX357)),1)="+",LEFT(UPPER(TRIM($DX357)),1)="-"),999),"E+","E"),"E-","E"))=LEN(SUBSTITUTE(SUBSTITUTE(SUBSTITUTE(SUBSTITUTE(MID(UPPER(TRIM($DX357)),1+OR(LEFT(UPPER(TRIM($DX357)),1)="+",LEFT(UPPER(TRIM($DX357)),1)="-"),999),"E+","E"),"E-","E"),"+",""),"-","")),LEN(UPPER(TRIM($DX357)))-LEN(SUBSTITUTE(UPPER(TRIM($DX357)),"E",""))&lt;2,LEN(UPPER(TRIM($DX357)))-LEN(SUBSTITUTE(UPPER(TRIM($DX357)),".",""))&lt;2,IFERROR(FIND(".",UPPER(TRIM($DX357))),0)&lt;IFERROR(FIND("E",UPPER(TRIM($DX357))),999)),ISNUMBER(VALUE(TRIM($DX357)))),VALUE(TRIM($DX357)),"")))),""))</f>
        <v/>
      </c>
      <c r="DZ357">
        <f>IF($DM357=0,"",IF($L$17=0,"",IFERROR(IF(ISNUMBER(INDEX(PASTE_ALL,$DF357,$L$17)),INDEX(PASTE_ALL,$DF357,$L$17),SUBSTITUTE(SUBSTITUTE(TRIM(SUBSTITUTE(SUBSTITUTE(SUBSTITUTE(SUBSTITUTE(INDEX(PASTE_ALL,$DF357,$L$17)," "," "),CHAR(9)," "),CHAR(10)," "),CHAR(13)," ")),",",""),"%","")),"")))</f>
        <v/>
      </c>
      <c r="EA357">
        <f>IF($DM357=0,"",IFERROR(IF(ISNUMBER($DZ357),$DZ357,IF($DZ357="","",IF(TRIM($DZ357)="",0,IF(AND(AND(SUBSTITUTE(SUBSTITUTE(SUBSTITUTE(SUBSTITUTE(SUBSTITUTE(SUBSTITUTE(SUBSTITUTE(SUBSTITUTE(SUBSTITUTE(SUBSTITUTE(SUBSTITUTE(SUBSTITUTE(SUBSTITUTE(SUBSTITUTE(UPPER(TRIM($DZ357)),"0",""),"1",""),"2",""),"3",""),"4",""),"5",""),"6",""),"7",""),"8",""),"9",""),".",""),"+",""),"-",""),"E","")="",LEN(SUBSTITUTE(SUBSTITUTE(MID(UPPER(TRIM($DZ357)),1+OR(LEFT(UPPER(TRIM($DZ357)),1)="+",LEFT(UPPER(TRIM($DZ357)),1)="-"),999),"E+","E"),"E-","E"))=LEN(SUBSTITUTE(SUBSTITUTE(SUBSTITUTE(SUBSTITUTE(MID(UPPER(TRIM($DZ357)),1+OR(LEFT(UPPER(TRIM($DZ357)),1)="+",LEFT(UPPER(TRIM($DZ357)),1)="-"),999),"E+","E"),"E-","E"),"+",""),"-","")),LEN(UPPER(TRIM($DZ357)))-LEN(SUBSTITUTE(UPPER(TRIM($DZ357)),"E",""))&lt;2,LEN(UPPER(TRIM($DZ357)))-LEN(SUBSTITUTE(UPPER(TRIM($DZ357)),".",""))&lt;2,IFERROR(FIND(".",UPPER(TRIM($DZ357))),0)&lt;IFERROR(FIND("E",UPPER(TRIM($DZ357))),999)),ISNUMBER(VALUE(TRIM($DZ357)))),VALUE(TRIM($DZ357)),"")))),""))</f>
        <v/>
      </c>
      <c r="EB357">
        <f>IF($DM357=0,"",IF($L$18=0,"",IFERROR(IF(UPPER(TRIM(SUBSTITUTE(SUBSTITUTE(SUBSTITUTE(SUBSTITUTE(INDEX(PASTE_ALL,$DF357,$L$18)," "," "),CHAR(9)," "),CHAR(10)," "),CHAR(13)," ")))="READY","Ready",IF(UPPER(TRIM(SUBSTITUTE(SUBSTITUTE(SUBSTITUTE(SUBSTITUTE(INDEX(PASTE_ALL,$DF357,$L$18)," "," "),CHAR(9)," "),CHAR(10)," "),CHAR(13)," ")))="PM","PM",IF(OR(UPPER(TRIM(SUBSTITUTE(SUBSTITUTE(SUBSTITUTE(SUBSTITUTE(INDEX(PASTE_ALL,$DF357,$L$18)," "," "),CHAR(9)," "),CHAR(10)," "),CHAR(13)," ")))="OT",UPPER(TRIM(SUBSTITUTE(SUBSTITUTE(SUBSTITUTE(SUBSTITUTE(INDEX(PASTE_ALL,$DF357,$L$18)," "," "),CHAR(9)," "),CHAR(10)," "),CHAR(13)," ")))="OVERTIME",UPPER(TRIM(SUBSTITUTE(SUBSTITUTE(SUBSTITUTE(SUBSTITUTE(INDEX(PASTE_ALL,$DF357,$L$18)," "," "),CHAR(9)," "),CHAR(10)," "),CHAR(13)," ")))="TRIAL"),"OT",TRIM(SUBSTITUTE(SUBSTITUTE(SUBSTITUTE(SUBSTITUTE(INDEX(PASTE_ALL,$DF357,$L$18)," "," "),CHAR(9)," "),CHAR(10)," "),CHAR(13)," "))))),"")))</f>
        <v/>
      </c>
      <c r="EC357">
        <f>IF($DM357=0,"",IF($L$19=0,"",IFERROR(IF(ISNUMBER(INDEX(PASTE_ALL,$DF357,$L$19)),INDEX(PASTE_ALL,$DF357,$L$19),TRIM(SUBSTITUTE(SUBSTITUTE(SUBSTITUTE(SUBSTITUTE(INDEX(PASTE_ALL,$DF357,$L$19)," "," "),CHAR(9)," "),CHAR(10)," "),CHAR(13)," "))),"")))</f>
        <v/>
      </c>
      <c r="ED357">
        <f>IF($DM357=0,"",MATCH(1,INDEX(EXACT($DH$5:DH357,$DH357)*$DM$5:DM357,0),0))</f>
        <v/>
      </c>
      <c r="EE357">
        <f>IF($DM357=0,0,IF($ED357=$DE357,1,0))</f>
        <v/>
      </c>
      <c r="EF357">
        <f>EF356+$EE357</f>
        <v/>
      </c>
      <c r="EG357">
        <f>IF($DM357=0,"",INDEX($EF$5:$EF$1003,$ED357))</f>
        <v/>
      </c>
      <c r="EH357">
        <f>IF($DM357=0,"",IF($DO357&lt;&gt;"","",IFERROR(LOOKUP(2,1/(($EG$4:EG356=$EG357)*($DO$4:DO356&lt;&gt;"")),$DO$4:DO356),"")))</f>
        <v/>
      </c>
      <c r="EI357">
        <f>IF($DM357=0,"",IF($DO357&lt;&gt;"",$DO357,$EH357))</f>
        <v/>
      </c>
      <c r="EJ357">
        <f>IF($DM357=0,"",IF($EI357="",0,IF(OR(ISNUMBER($EI357),AND(AND(SUBSTITUTE(SUBSTITUTE(SUBSTITUTE(SUBSTITUTE(SUBSTITUTE(SUBSTITUTE(SUBSTITUTE(SUBSTITUTE(SUBSTITUTE(SUBSTITUTE(SUBSTITUTE(SUBSTITUTE(SUBSTITUTE(SUBSTITUTE(UPPER($EI357),"0",""),"1",""),"2",""),"3",""),"4",""),"5",""),"6",""),"7",""),"8",""),"9",""),".",""),"+",""),"-",""),"E","")="",LEN(SUBSTITUTE(SUBSTITUTE(MID(UPPER($EI357),1+OR(LEFT(UPPER($EI357),1)="+",LEFT(UPPER($EI357),1)="-"),999),"E+","E"),"E-","E"))=LEN(SUBSTITUTE(SUBSTITUTE(SUBSTITUTE(SUBSTITUTE(MID(UPPER($EI357),1+OR(LEFT(UPPER($EI357),1)="+",LEFT(UPPER($EI357),1)="-"),999),"E+","E"),"E-","E"),"+",""),"-","")),LEN(UPPER($EI357))-LEN(SUBSTITUTE(UPPER($EI357),"E",""))&lt;2,LEN(UPPER($EI357))-LEN(SUBSTITUTE(UPPER($EI357),".",""))&lt;2,IFERROR(FIND(".",UPPER($EI357)),0)&lt;IFERROR(FIND("E",UPPER($EI357)),999)),ISNUMBER(VALUE($EI357)))),1,2)))</f>
        <v/>
      </c>
      <c r="EK357">
        <f>IF($DM357=0,"",IF($EJ357=1,IF(ISNUMBER($EI357),$EI357,VALUE($EI357)),IF($EJ357=2,$DE357,0)))</f>
        <v/>
      </c>
      <c r="EL357">
        <f>IF($DM357=0,"",COUNTIF($EG$5:$EG$1003,"&lt;"&amp;$EG357)+SUMPRODUCT(($EG$5:$EG$1003=$EG357)*(($EJ$5:$EJ$1003&lt;$EJ357)+($EJ$5:$EJ$1003=$EJ357)*(($EK$5:$EK$1003&lt;$EK357)+($EK$5:$EK$1003=$EK357)*($DE$5:$DE$1003&lt;$DE357))))+1)</f>
        <v/>
      </c>
      <c r="EM357">
        <f>IF($DM357=0,"",$EL357+$EG357-1)</f>
        <v/>
      </c>
      <c r="EN357">
        <f>IF($DM357=0,0,IFERROR(MATCH(1,INDEX(--(TRIM(SUBSTITUTE(SUBSTITUTE(SUBSTITUTE(SUBSTITUTE(LINES_NAME&amp;""," "," "),CHAR(9)," "),CHAR(10)," "),CHAR(13)," "))=$DH357),0),0),0))</f>
        <v/>
      </c>
      <c r="EO357">
        <f>IF($EN357=0,0,IF(OR(UPPER(TRIM(INDEX(LINES_SCHEDULED,$EN357)&amp;""))="YES",UPPER(TRIM(INDEX(LINES_SCHEDULED,$EN357)&amp;""))="Y",UPPER(TRIM(INDEX(LINES_SCHEDULED,$EN357)&amp;""))="X"),1,0))</f>
        <v/>
      </c>
      <c r="EP357">
        <f>IF($DM357=0,"",IF(COUNTIFS($EG$5:$EG$1003,$EG357,$EB$5:$EB$1003,"Ready")&gt;0,"READY",IF(COUNTIFS($EG$5:$EG$1003,$EG357,$EB$5:$EB$1003,"PM")&gt;0,"PM",IF(COUNTIFS($EG$5:$EG$1003,$EG357,$EB$5:$EB$1003,"OT")&gt;0,"OT",""))))</f>
        <v/>
      </c>
      <c r="EQ357">
        <f>IF($EN357=0,"",UPPER(TRIM(INDEX(LINES_STATUS,$EN357)&amp;"")))</f>
        <v/>
      </c>
      <c r="ER357">
        <f>IF($DM357=0,"",IF(OR($EQ357="READY",$EQ357="PM",$EQ357="OT"),$EQ357,$EP357))</f>
        <v/>
      </c>
      <c r="ES357">
        <f>IF($DM357=0,"",IF(AND($DV357&lt;&gt;"",UPPER($DV357)&lt;&gt;"N"),"allergen",IF(ISNUMBER(SEARCH("oil",$DQ357)),"oil",IF(OR(EXACT($DS357,"A662"),EXACT($DS357,"A624")),"bulk",""))))</f>
        <v/>
      </c>
      <c r="ET357">
        <f>IF($DM357=0,"",IF(OR($EA357="",$EA357=0),"",$EA357/100))</f>
        <v/>
      </c>
      <c r="EU357">
        <f>IF(OR($ET357="",$DY357=""),"",INT($DY357*(1-$ET357)+0.5))</f>
        <v/>
      </c>
      <c r="EW357" t="n">
        <v>353</v>
      </c>
      <c r="EX357">
        <f>IFERROR(MATCH($EW357,$EM$5:$EM$1003,0),0)</f>
        <v/>
      </c>
      <c r="EY357">
        <f>IF($EW357&gt;$B$12,"",IF($EX357&gt;0,"row","spacer"))</f>
        <v/>
      </c>
      <c r="EZ357">
        <f>IF(AND($EY357="row",$EY356&lt;&gt;"row"),1,0)</f>
        <v/>
      </c>
      <c r="FA357">
        <f>IF(AND($EY357="row",$EY358&lt;&gt;"row"),1,0)</f>
        <v/>
      </c>
      <c r="FB357">
        <f>IF($EZ357=1,IFERROR(IF(ISNUMBER(INDEX(PASTE_ALL,INDEX($DF$5:$DF$1003,$EX357),$B$37)),INDEX(PASTE_ALL,INDEX($DF$5:$DF$1003,$EX357),$B$37),INDEX($DH$5:$DH$1003,$EX357)),INDEX($DH$5:$DH$1003,$EX357)),"")</f>
        <v/>
      </c>
      <c r="FC357">
        <f>IF($EY357="row",INDEX($ER$5:$ER$1003,$EX357),"")</f>
        <v/>
      </c>
      <c r="FD357">
        <f>IF($EY357="row",INDEX($DN$5:$DN$1003,$EX357),"")</f>
        <v/>
      </c>
      <c r="FE357">
        <f>IF($EY357="row",INDEX($DO$5:$DO$1003,$EX357),"")</f>
        <v/>
      </c>
      <c r="FF357">
        <f>IF($EY357="row",INDEX($DP$5:$DP$1003,$EX357),"")</f>
        <v/>
      </c>
      <c r="FG357">
        <f>IF($EY357="row",INDEX($DQ$5:$DQ$1003,$EX357),"")</f>
        <v/>
      </c>
      <c r="FH357">
        <f>IF($EY357="row",INDEX($DR$5:$DR$1003,$EX357),"")</f>
        <v/>
      </c>
      <c r="FI357">
        <f>IF($EY357="row",INDEX($DS$5:$DS$1003,$EX357),"")</f>
        <v/>
      </c>
      <c r="FJ357">
        <f>IF($EY357="row",INDEX($DT$5:$DT$1003,$EX357),"")</f>
        <v/>
      </c>
      <c r="FK357">
        <f>IF($EY357="row",INDEX($DU$5:$DU$1003,$EX357),"")</f>
        <v/>
      </c>
      <c r="FL357">
        <f>IF($EY357="row",INDEX($DV$5:$DV$1003,$EX357),"")</f>
        <v/>
      </c>
      <c r="FM357">
        <f>IF($EY357="row",INDEX($DW$5:$DW$1003,$EX357),"")</f>
        <v/>
      </c>
      <c r="FN357">
        <f>IF($EY357="row",INDEX($DY$5:$DY$1003,$EX357),"")</f>
        <v/>
      </c>
      <c r="FO357">
        <f>IF($EY357="row",INDEX($EA$5:$EA$1003,$EX357),"")</f>
        <v/>
      </c>
      <c r="FP357">
        <f>IF($EY357="row",INDEX($EC$5:$EC$1003,$EX357),"")</f>
        <v/>
      </c>
      <c r="FQ357">
        <f>IF($EY357="row",INDEX($ET$5:$ET$1003,$EX357),"")</f>
        <v/>
      </c>
      <c r="FR357">
        <f>IF($EY357="row",INDEX($EU$5:$EU$1003,$EX357),"")</f>
        <v/>
      </c>
      <c r="FS357">
        <f>IF(AND($EY357="row",$EY356="row"),IF(OR(INDEX($DT$5:$DT$1003,$EX356)="",INDEX($DT$5:$DT$1003,$EX357)=""),"",IF(NOT(EXACT(INDEX($DT$5:$DT$1003,$EX356),INDEX($DT$5:$DT$1003,$EX357))),"S4",IF(NOT(EXACT(INDEX($DS$5:$DS$1003,$EX356),INDEX($DS$5:$DS$1003,$EX357))),"S3",IF(NOT(EXACT(INDEX($DR$5:$DR$1003,$EX356),INDEX($DR$5:$DR$1003,$EX357))),"S1 Count Change","S1")))),"")</f>
        <v/>
      </c>
      <c r="FT357">
        <f>IF($EY357="row",INDEX($ES$5:$ES$1003,$EX357),"")</f>
        <v/>
      </c>
      <c r="FU357">
        <f>IF($EY357="row",INDEX($EO$5:$EO$1003,$EX357),0)</f>
        <v/>
      </c>
      <c r="FV357">
        <f>IF($FS357="S1 Count Change",1,0)</f>
        <v/>
      </c>
    </row>
    <row r="358">
      <c r="DA358" t="n">
        <v>354</v>
      </c>
      <c r="DB358">
        <f>IF($B$37=0,"",IFERROR(TRIM(SUBSTITUTE(SUBSTITUTE(SUBSTITUTE(SUBSTITUTE(INDEX(PASTE_ALL,354,$B$37)," "," "),CHAR(9)," "),CHAR(10)," "),CHAR(13)," ")),""))</f>
        <v/>
      </c>
      <c r="DC358">
        <f>IF(AND(354&gt;HEADER_ROW,UPPER(DB358)="LEGEND"),1,0)</f>
        <v/>
      </c>
      <c r="DE358" t="n">
        <v>354</v>
      </c>
      <c r="DF358">
        <f>HEADER_ROW+$DE358</f>
        <v/>
      </c>
      <c r="DG358">
        <f>IF(AND($DF358&lt;=1000,$DF358&lt;$B$8),1,0)</f>
        <v/>
      </c>
      <c r="DH358">
        <f>IF($DG358=1,IFERROR(INDEX($DB$5:$DB$1004,$DF358),""),"")</f>
        <v/>
      </c>
      <c r="DI358">
        <f>IF(AND($DG358=1,$DH358&lt;&gt;""),IFERROR(SUBSTITUTE(SUBSTITUTE(TRIM(SUBSTITUTE(SUBSTITUTE(SUBSTITUTE(SUBSTITUTE(IFERROR(INDEX(PASTE_ALL,$DF358,1)&amp;"","")&amp;"␟"&amp;IFERROR(INDEX(PASTE_ALL,$DF358,2)&amp;"","")&amp;"␟"&amp;IFERROR(INDEX(PASTE_ALL,$DF358,3)&amp;"","")&amp;"␟"&amp;IFERROR(INDEX(PASTE_ALL,$DF358,4)&amp;"","")&amp;"␟"&amp;IFERROR(INDEX(PASTE_ALL,$DF358,5)&amp;"","")&amp;"␟"&amp;IFERROR(INDEX(PASTE_ALL,$DF358,6)&amp;"","")&amp;"␟"&amp;IFERROR(INDEX(PASTE_ALL,$DF358,7)&amp;"","")&amp;"␟"&amp;IFERROR(INDEX(PASTE_ALL,$DF358,8)&amp;"","")&amp;"␟"&amp;IFERROR(INDEX(PASTE_ALL,$DF358,9)&amp;"","")&amp;"␟"&amp;IFERROR(INDEX(PASTE_ALL,$DF358,10)&amp;"","")&amp;"␟"&amp;IFERROR(INDEX(PASTE_ALL,$DF358,11)&amp;"","")&amp;"␟"&amp;IFERROR(INDEX(PASTE_ALL,$DF358,12)&amp;"","")&amp;"␟"&amp;IFERROR(INDEX(PASTE_ALL,$DF358,13)&amp;"","")&amp;"␟"&amp;IFERROR(INDEX(PASTE_ALL,$DF358,14)&amp;"","")&amp;"␟"&amp;IFERROR(INDEX(PASTE_ALL,$DF358,15)&amp;"","")&amp;"␟"&amp;IFERROR(INDEX(PASTE_ALL,$DF358,16)&amp;"","")&amp;"␟"&amp;IFERROR(INDEX(PASTE_ALL,$DF358,17)&amp;"","")&amp;"␟"&amp;IFERROR(INDEX(PASTE_ALL,$DF358,18)&amp;"","")&amp;"␟"&amp;IFERROR(INDEX(PASTE_ALL,$DF358,19)&amp;"","")&amp;"␟"&amp;IFERROR(INDEX(PASTE_ALL,$DF358,20)&amp;"","")&amp;"␟"&amp;IFERROR(INDEX(PASTE_ALL,$DF358,21)&amp;"","")&amp;"␟"&amp;IFERROR(INDEX(PASTE_ALL,$DF358,22)&amp;"","")&amp;"␟"&amp;IFERROR(INDEX(PASTE_ALL,$DF358,23)&amp;"","")&amp;"␟"&amp;IFERROR(INDEX(PASTE_ALL,$DF358,24)&amp;"","")&amp;"␟"&amp;IFERROR(INDEX(PASTE_ALL,$DF358,25)&amp;"","")&amp;"␟"&amp;IFERROR(INDEX(PASTE_ALL,$DF358,26)&amp;"","")&amp;"␟"&amp;IFERROR(INDEX(PASTE_ALL,$DF358,27)&amp;"","")&amp;"␟"&amp;IFERROR(INDEX(PASTE_ALL,$DF358,28)&amp;"","")&amp;"␟"&amp;IFERROR(INDEX(PASTE_ALL,$DF358,29)&amp;"","")&amp;"␟"&amp;IFERROR(INDEX(PASTE_ALL,$DF358,30)&amp;"","")&amp;"␟"&amp;IFERROR(INDEX(PASTE_ALL,$DF358,31)&amp;"","")&amp;"␟"&amp;IFERROR(INDEX(PASTE_ALL,$DF358,32)&amp;"","")&amp;"␟"&amp;IFERROR(INDEX(PASTE_ALL,$DF358,33)&amp;"","")&amp;"␟"&amp;IFERROR(INDEX(PASTE_ALL,$DF358,34)&amp;"","")&amp;"␟"&amp;IFERROR(INDEX(PASTE_ALL,$DF358,35)&amp;"","")&amp;"␟"&amp;IFERROR(INDEX(PASTE_ALL,$DF358,36)&amp;"","")&amp;"␟"&amp;IFERROR(INDEX(PASTE_ALL,$DF358,37)&amp;"","")&amp;"␟"&amp;IFERROR(INDEX(PASTE_ALL,$DF358,38)&amp;"","")&amp;"␟"&amp;IFERROR(INDEX(PASTE_ALL,$DF358,39)&amp;"","")&amp;"␟"&amp;IFERROR(INDEX(PASTE_ALL,$DF358,40)&amp;"","")&amp;"␟"&amp;IFERROR(INDEX(PASTE_ALL,$DF358,41)&amp;"","")&amp;"␟"&amp;IFERROR(INDEX(PASTE_ALL,$DF358,42)&amp;"","")&amp;"␟"&amp;IFERROR(INDEX(PASTE_ALL,$DF358,43)&amp;"","")&amp;"␟"&amp;IFERROR(INDEX(PASTE_ALL,$DF358,44)&amp;"","")&amp;"␟"&amp;IFERROR(INDEX(PASTE_ALL,$DF358,45)&amp;"","")&amp;"␟"&amp;IFERROR(INDEX(PASTE_ALL,$DF358,46)&amp;"","")&amp;"␟"&amp;IFERROR(INDEX(PASTE_ALL,$DF358,47)&amp;"","")&amp;"␟"&amp;IFERROR(INDEX(PASTE_ALL,$DF358,48)&amp;"","")&amp;"␟"&amp;IFERROR(INDEX(PASTE_ALL,$DF358,49)&amp;"","")&amp;"␟"&amp;IFERROR(INDEX(PASTE_ALL,$DF358,50)&amp;"","")&amp;"␟"&amp;IFERROR(INDEX(PASTE_ALL,$DF358,51)&amp;"","")&amp;"␟"&amp;IFERROR(INDEX(PASTE_ALL,$DF358,52)&amp;"","")&amp;"␟"&amp;IFERROR(INDEX(PASTE_ALL,$DF358,53)&amp;"","")&amp;"␟"&amp;IFERROR(INDEX(PASTE_ALL,$DF358,54)&amp;"","")&amp;"␟"&amp;IFERROR(INDEX(PASTE_ALL,$DF358,55)&amp;"","")&amp;"␟"&amp;IFERROR(INDEX(PASTE_ALL,$DF358,56)&amp;"","")&amp;"␟"&amp;IFERROR(INDEX(PASTE_ALL,$DF358,57)&amp;"","")&amp;"␟"&amp;IFERROR(INDEX(PASTE_ALL,$DF358,58)&amp;"","")&amp;"␟"&amp;IFERROR(INDEX(PASTE_ALL,$DF358,59)&amp;"","")&amp;"␟"&amp;IFERROR(INDEX(PASTE_ALL,$DF358,60)&amp;"","")," "," "),CHAR(9)," "),CHAR(10)," "),CHAR(13)," "))," ␟","␟"),"␟ ","␟"),"#"&amp;$DE358),"")</f>
        <v/>
      </c>
      <c r="DJ358">
        <f>IF($DI358="",0,IF(SUMPRODUCT(--EXACT($DI$4:DI357,$DI358))&gt;0,1,0))</f>
        <v/>
      </c>
      <c r="DK358">
        <f>IF(AND($DI358&lt;&gt;"",$DJ358=0),1,0)</f>
        <v/>
      </c>
      <c r="DL358">
        <f>DL357+$DK358</f>
        <v/>
      </c>
      <c r="DM358">
        <f>IF(AND($DK358=1,$DL358&lt;=600),1,0)</f>
        <v/>
      </c>
      <c r="DN358">
        <f>IF($DM358=0,"",IF($L$6=0,"",IFERROR(IF(ISNUMBER(INDEX(PASTE_ALL,$DF358,$L$6)),INDEX(PASTE_ALL,$DF358,$L$6),TRIM(SUBSTITUTE(SUBSTITUTE(SUBSTITUTE(SUBSTITUTE(INDEX(PASTE_ALL,$DF358,$L$6)," "," "),CHAR(9)," "),CHAR(10)," "),CHAR(13)," "))),"")))</f>
        <v/>
      </c>
      <c r="DO358">
        <f>IF($DM358=0,"",IF($L$7=0,"",IFERROR(IF(ISNUMBER(INDEX(PASTE_ALL,$DF358,$L$7)),INDEX(PASTE_ALL,$DF358,$L$7),TRIM(SUBSTITUTE(SUBSTITUTE(SUBSTITUTE(SUBSTITUTE(INDEX(PASTE_ALL,$DF358,$L$7)," "," "),CHAR(9)," "),CHAR(10)," "),CHAR(13)," "))),"")))</f>
        <v/>
      </c>
      <c r="DP358">
        <f>IF($DM358=0,"",IF($L$8=0,"",IFERROR(IF(ISNUMBER(INDEX(PASTE_ALL,$DF358,$L$8)),INDEX(PASTE_ALL,$DF358,$L$8),TRIM(SUBSTITUTE(SUBSTITUTE(SUBSTITUTE(SUBSTITUTE(INDEX(PASTE_ALL,$DF358,$L$8)," "," "),CHAR(9)," "),CHAR(10)," "),CHAR(13)," "))),"")))</f>
        <v/>
      </c>
      <c r="DQ358">
        <f>IF($DM358=0,"",IF($L$9=0,"",IFERROR(IF(ISNUMBER(INDEX(PASTE_ALL,$DF358,$L$9)),INDEX(PASTE_ALL,$DF358,$L$9),TRIM(SUBSTITUTE(SUBSTITUTE(SUBSTITUTE(SUBSTITUTE(INDEX(PASTE_ALL,$DF358,$L$9)," "," "),CHAR(9)," "),CHAR(10)," "),CHAR(13)," "))),"")))</f>
        <v/>
      </c>
      <c r="DR358">
        <f>IF($DM358=0,"",IF($L$10=0,"",IFERROR(IF(ISNUMBER(INDEX(PASTE_ALL,$DF358,$L$10)),INDEX(PASTE_ALL,$DF358,$L$10),TRIM(SUBSTITUTE(SUBSTITUTE(SUBSTITUTE(SUBSTITUTE(INDEX(PASTE_ALL,$DF358,$L$10)," "," "),CHAR(9)," "),CHAR(10)," "),CHAR(13)," "))),"")))</f>
        <v/>
      </c>
      <c r="DS358">
        <f>IF($DM358=0,"",IF($L$11=0,"",IFERROR(IF(ISNUMBER(INDEX(PASTE_ALL,$DF358,$L$11)),INDEX(PASTE_ALL,$DF358,$L$11),TRIM(SUBSTITUTE(SUBSTITUTE(SUBSTITUTE(SUBSTITUTE(INDEX(PASTE_ALL,$DF358,$L$11)," "," "),CHAR(9)," "),CHAR(10)," "),CHAR(13)," "))),"")))</f>
        <v/>
      </c>
      <c r="DT358">
        <f>IF($DM358=0,"",IF($L$12=0,"",IFERROR(IF(ISNUMBER(INDEX(PASTE_ALL,$DF358,$L$12)),INDEX(PASTE_ALL,$DF358,$L$12),TRIM(SUBSTITUTE(SUBSTITUTE(SUBSTITUTE(SUBSTITUTE(INDEX(PASTE_ALL,$DF358,$L$12)," "," "),CHAR(9)," "),CHAR(10)," "),CHAR(13)," "))),"")))</f>
        <v/>
      </c>
      <c r="DU358">
        <f>IF($DM358=0,"",IF($L$13=0,"",IFERROR(IF(ISNUMBER(INDEX(PASTE_ALL,$DF358,$L$13)),INDEX(PASTE_ALL,$DF358,$L$13),TRIM(SUBSTITUTE(SUBSTITUTE(SUBSTITUTE(SUBSTITUTE(INDEX(PASTE_ALL,$DF358,$L$13)," "," "),CHAR(9)," "),CHAR(10)," "),CHAR(13)," "))),"")))</f>
        <v/>
      </c>
      <c r="DV358">
        <f>IF($DM358=0,"",IF($L$14=0,"",IFERROR(IF(ISNUMBER(INDEX(PASTE_ALL,$DF358,$L$14)),INDEX(PASTE_ALL,$DF358,$L$14),TRIM(SUBSTITUTE(SUBSTITUTE(SUBSTITUTE(SUBSTITUTE(INDEX(PASTE_ALL,$DF358,$L$14)," "," "),CHAR(9)," "),CHAR(10)," "),CHAR(13)," "))),"")))</f>
        <v/>
      </c>
      <c r="DW358">
        <f>IF($DM358=0,"",IF($L$15=0,"",IFERROR(IF(ISNUMBER(INDEX(PASTE_ALL,$DF358,$L$15)),INDEX(PASTE_ALL,$DF358,$L$15),IF(SUMPRODUCT(--ISNUMBER(FIND({"A","B","C","D","E","F","G","H","I","J","K","L","M","N","O","P","Q","R","S","T","U","V","W","X","Y","Z","0","1","2","3","4","5","6","7","8","9"},UPPER(TRIM(SUBSTITUTE(SUBSTITUTE(SUBSTITUTE(SUBSTITUTE(INDEX(PASTE_ALL,$DF358,$L$15)," "," "),CHAR(9)," "),CHAR(10)," "),CHAR(13)," "))))))&gt;0,TRIM(SUBSTITUTE(SUBSTITUTE(SUBSTITUTE(SUBSTITUTE(INDEX(PASTE_ALL,$DF358,$L$15)," "," "),CHAR(9)," "),CHAR(10)," "),CHAR(13)," ")),"")),"")))</f>
        <v/>
      </c>
      <c r="DX358">
        <f>IF($DM358=0,"",IF($L$16=0,"",IFERROR(IF(ISNUMBER(INDEX(PASTE_ALL,$DF358,$L$16)),INDEX(PASTE_ALL,$DF358,$L$16),SUBSTITUTE(SUBSTITUTE(TRIM(SUBSTITUTE(SUBSTITUTE(SUBSTITUTE(SUBSTITUTE(INDEX(PASTE_ALL,$DF358,$L$16)," "," "),CHAR(9)," "),CHAR(10)," "),CHAR(13)," ")),",",""),"%","")),"")))</f>
        <v/>
      </c>
      <c r="DY358">
        <f>IF($DM358=0,"",IFERROR(IF(ISNUMBER($DX358),$DX358,IF($DX358="","",IF(TRIM($DX358)="",0,IF(AND(AND(SUBSTITUTE(SUBSTITUTE(SUBSTITUTE(SUBSTITUTE(SUBSTITUTE(SUBSTITUTE(SUBSTITUTE(SUBSTITUTE(SUBSTITUTE(SUBSTITUTE(SUBSTITUTE(SUBSTITUTE(SUBSTITUTE(SUBSTITUTE(UPPER(TRIM($DX358)),"0",""),"1",""),"2",""),"3",""),"4",""),"5",""),"6",""),"7",""),"8",""),"9",""),".",""),"+",""),"-",""),"E","")="",LEN(SUBSTITUTE(SUBSTITUTE(MID(UPPER(TRIM($DX358)),1+OR(LEFT(UPPER(TRIM($DX358)),1)="+",LEFT(UPPER(TRIM($DX358)),1)="-"),999),"E+","E"),"E-","E"))=LEN(SUBSTITUTE(SUBSTITUTE(SUBSTITUTE(SUBSTITUTE(MID(UPPER(TRIM($DX358)),1+OR(LEFT(UPPER(TRIM($DX358)),1)="+",LEFT(UPPER(TRIM($DX358)),1)="-"),999),"E+","E"),"E-","E"),"+",""),"-","")),LEN(UPPER(TRIM($DX358)))-LEN(SUBSTITUTE(UPPER(TRIM($DX358)),"E",""))&lt;2,LEN(UPPER(TRIM($DX358)))-LEN(SUBSTITUTE(UPPER(TRIM($DX358)),".",""))&lt;2,IFERROR(FIND(".",UPPER(TRIM($DX358))),0)&lt;IFERROR(FIND("E",UPPER(TRIM($DX358))),999)),ISNUMBER(VALUE(TRIM($DX358)))),VALUE(TRIM($DX358)),"")))),""))</f>
        <v/>
      </c>
      <c r="DZ358">
        <f>IF($DM358=0,"",IF($L$17=0,"",IFERROR(IF(ISNUMBER(INDEX(PASTE_ALL,$DF358,$L$17)),INDEX(PASTE_ALL,$DF358,$L$17),SUBSTITUTE(SUBSTITUTE(TRIM(SUBSTITUTE(SUBSTITUTE(SUBSTITUTE(SUBSTITUTE(INDEX(PASTE_ALL,$DF358,$L$17)," "," "),CHAR(9)," "),CHAR(10)," "),CHAR(13)," ")),",",""),"%","")),"")))</f>
        <v/>
      </c>
      <c r="EA358">
        <f>IF($DM358=0,"",IFERROR(IF(ISNUMBER($DZ358),$DZ358,IF($DZ358="","",IF(TRIM($DZ358)="",0,IF(AND(AND(SUBSTITUTE(SUBSTITUTE(SUBSTITUTE(SUBSTITUTE(SUBSTITUTE(SUBSTITUTE(SUBSTITUTE(SUBSTITUTE(SUBSTITUTE(SUBSTITUTE(SUBSTITUTE(SUBSTITUTE(SUBSTITUTE(SUBSTITUTE(UPPER(TRIM($DZ358)),"0",""),"1",""),"2",""),"3",""),"4",""),"5",""),"6",""),"7",""),"8",""),"9",""),".",""),"+",""),"-",""),"E","")="",LEN(SUBSTITUTE(SUBSTITUTE(MID(UPPER(TRIM($DZ358)),1+OR(LEFT(UPPER(TRIM($DZ358)),1)="+",LEFT(UPPER(TRIM($DZ358)),1)="-"),999),"E+","E"),"E-","E"))=LEN(SUBSTITUTE(SUBSTITUTE(SUBSTITUTE(SUBSTITUTE(MID(UPPER(TRIM($DZ358)),1+OR(LEFT(UPPER(TRIM($DZ358)),1)="+",LEFT(UPPER(TRIM($DZ358)),1)="-"),999),"E+","E"),"E-","E"),"+",""),"-","")),LEN(UPPER(TRIM($DZ358)))-LEN(SUBSTITUTE(UPPER(TRIM($DZ358)),"E",""))&lt;2,LEN(UPPER(TRIM($DZ358)))-LEN(SUBSTITUTE(UPPER(TRIM($DZ358)),".",""))&lt;2,IFERROR(FIND(".",UPPER(TRIM($DZ358))),0)&lt;IFERROR(FIND("E",UPPER(TRIM($DZ358))),999)),ISNUMBER(VALUE(TRIM($DZ358)))),VALUE(TRIM($DZ358)),"")))),""))</f>
        <v/>
      </c>
      <c r="EB358">
        <f>IF($DM358=0,"",IF($L$18=0,"",IFERROR(IF(UPPER(TRIM(SUBSTITUTE(SUBSTITUTE(SUBSTITUTE(SUBSTITUTE(INDEX(PASTE_ALL,$DF358,$L$18)," "," "),CHAR(9)," "),CHAR(10)," "),CHAR(13)," ")))="READY","Ready",IF(UPPER(TRIM(SUBSTITUTE(SUBSTITUTE(SUBSTITUTE(SUBSTITUTE(INDEX(PASTE_ALL,$DF358,$L$18)," "," "),CHAR(9)," "),CHAR(10)," "),CHAR(13)," ")))="PM","PM",IF(OR(UPPER(TRIM(SUBSTITUTE(SUBSTITUTE(SUBSTITUTE(SUBSTITUTE(INDEX(PASTE_ALL,$DF358,$L$18)," "," "),CHAR(9)," "),CHAR(10)," "),CHAR(13)," ")))="OT",UPPER(TRIM(SUBSTITUTE(SUBSTITUTE(SUBSTITUTE(SUBSTITUTE(INDEX(PASTE_ALL,$DF358,$L$18)," "," "),CHAR(9)," "),CHAR(10)," "),CHAR(13)," ")))="OVERTIME",UPPER(TRIM(SUBSTITUTE(SUBSTITUTE(SUBSTITUTE(SUBSTITUTE(INDEX(PASTE_ALL,$DF358,$L$18)," "," "),CHAR(9)," "),CHAR(10)," "),CHAR(13)," ")))="TRIAL"),"OT",TRIM(SUBSTITUTE(SUBSTITUTE(SUBSTITUTE(SUBSTITUTE(INDEX(PASTE_ALL,$DF358,$L$18)," "," "),CHAR(9)," "),CHAR(10)," "),CHAR(13)," "))))),"")))</f>
        <v/>
      </c>
      <c r="EC358">
        <f>IF($DM358=0,"",IF($L$19=0,"",IFERROR(IF(ISNUMBER(INDEX(PASTE_ALL,$DF358,$L$19)),INDEX(PASTE_ALL,$DF358,$L$19),TRIM(SUBSTITUTE(SUBSTITUTE(SUBSTITUTE(SUBSTITUTE(INDEX(PASTE_ALL,$DF358,$L$19)," "," "),CHAR(9)," "),CHAR(10)," "),CHAR(13)," "))),"")))</f>
        <v/>
      </c>
      <c r="ED358">
        <f>IF($DM358=0,"",MATCH(1,INDEX(EXACT($DH$5:DH358,$DH358)*$DM$5:DM358,0),0))</f>
        <v/>
      </c>
      <c r="EE358">
        <f>IF($DM358=0,0,IF($ED358=$DE358,1,0))</f>
        <v/>
      </c>
      <c r="EF358">
        <f>EF357+$EE358</f>
        <v/>
      </c>
      <c r="EG358">
        <f>IF($DM358=0,"",INDEX($EF$5:$EF$1003,$ED358))</f>
        <v/>
      </c>
      <c r="EH358">
        <f>IF($DM358=0,"",IF($DO358&lt;&gt;"","",IFERROR(LOOKUP(2,1/(($EG$4:EG357=$EG358)*($DO$4:DO357&lt;&gt;"")),$DO$4:DO357),"")))</f>
        <v/>
      </c>
      <c r="EI358">
        <f>IF($DM358=0,"",IF($DO358&lt;&gt;"",$DO358,$EH358))</f>
        <v/>
      </c>
      <c r="EJ358">
        <f>IF($DM358=0,"",IF($EI358="",0,IF(OR(ISNUMBER($EI358),AND(AND(SUBSTITUTE(SUBSTITUTE(SUBSTITUTE(SUBSTITUTE(SUBSTITUTE(SUBSTITUTE(SUBSTITUTE(SUBSTITUTE(SUBSTITUTE(SUBSTITUTE(SUBSTITUTE(SUBSTITUTE(SUBSTITUTE(SUBSTITUTE(UPPER($EI358),"0",""),"1",""),"2",""),"3",""),"4",""),"5",""),"6",""),"7",""),"8",""),"9",""),".",""),"+",""),"-",""),"E","")="",LEN(SUBSTITUTE(SUBSTITUTE(MID(UPPER($EI358),1+OR(LEFT(UPPER($EI358),1)="+",LEFT(UPPER($EI358),1)="-"),999),"E+","E"),"E-","E"))=LEN(SUBSTITUTE(SUBSTITUTE(SUBSTITUTE(SUBSTITUTE(MID(UPPER($EI358),1+OR(LEFT(UPPER($EI358),1)="+",LEFT(UPPER($EI358),1)="-"),999),"E+","E"),"E-","E"),"+",""),"-","")),LEN(UPPER($EI358))-LEN(SUBSTITUTE(UPPER($EI358),"E",""))&lt;2,LEN(UPPER($EI358))-LEN(SUBSTITUTE(UPPER($EI358),".",""))&lt;2,IFERROR(FIND(".",UPPER($EI358)),0)&lt;IFERROR(FIND("E",UPPER($EI358)),999)),ISNUMBER(VALUE($EI358)))),1,2)))</f>
        <v/>
      </c>
      <c r="EK358">
        <f>IF($DM358=0,"",IF($EJ358=1,IF(ISNUMBER($EI358),$EI358,VALUE($EI358)),IF($EJ358=2,$DE358,0)))</f>
        <v/>
      </c>
      <c r="EL358">
        <f>IF($DM358=0,"",COUNTIF($EG$5:$EG$1003,"&lt;"&amp;$EG358)+SUMPRODUCT(($EG$5:$EG$1003=$EG358)*(($EJ$5:$EJ$1003&lt;$EJ358)+($EJ$5:$EJ$1003=$EJ358)*(($EK$5:$EK$1003&lt;$EK358)+($EK$5:$EK$1003=$EK358)*($DE$5:$DE$1003&lt;$DE358))))+1)</f>
        <v/>
      </c>
      <c r="EM358">
        <f>IF($DM358=0,"",$EL358+$EG358-1)</f>
        <v/>
      </c>
      <c r="EN358">
        <f>IF($DM358=0,0,IFERROR(MATCH(1,INDEX(--(TRIM(SUBSTITUTE(SUBSTITUTE(SUBSTITUTE(SUBSTITUTE(LINES_NAME&amp;""," "," "),CHAR(9)," "),CHAR(10)," "),CHAR(13)," "))=$DH358),0),0),0))</f>
        <v/>
      </c>
      <c r="EO358">
        <f>IF($EN358=0,0,IF(OR(UPPER(TRIM(INDEX(LINES_SCHEDULED,$EN358)&amp;""))="YES",UPPER(TRIM(INDEX(LINES_SCHEDULED,$EN358)&amp;""))="Y",UPPER(TRIM(INDEX(LINES_SCHEDULED,$EN358)&amp;""))="X"),1,0))</f>
        <v/>
      </c>
      <c r="EP358">
        <f>IF($DM358=0,"",IF(COUNTIFS($EG$5:$EG$1003,$EG358,$EB$5:$EB$1003,"Ready")&gt;0,"READY",IF(COUNTIFS($EG$5:$EG$1003,$EG358,$EB$5:$EB$1003,"PM")&gt;0,"PM",IF(COUNTIFS($EG$5:$EG$1003,$EG358,$EB$5:$EB$1003,"OT")&gt;0,"OT",""))))</f>
        <v/>
      </c>
      <c r="EQ358">
        <f>IF($EN358=0,"",UPPER(TRIM(INDEX(LINES_STATUS,$EN358)&amp;"")))</f>
        <v/>
      </c>
      <c r="ER358">
        <f>IF($DM358=0,"",IF(OR($EQ358="READY",$EQ358="PM",$EQ358="OT"),$EQ358,$EP358))</f>
        <v/>
      </c>
      <c r="ES358">
        <f>IF($DM358=0,"",IF(AND($DV358&lt;&gt;"",UPPER($DV358)&lt;&gt;"N"),"allergen",IF(ISNUMBER(SEARCH("oil",$DQ358)),"oil",IF(OR(EXACT($DS358,"A662"),EXACT($DS358,"A624")),"bulk",""))))</f>
        <v/>
      </c>
      <c r="ET358">
        <f>IF($DM358=0,"",IF(OR($EA358="",$EA358=0),"",$EA358/100))</f>
        <v/>
      </c>
      <c r="EU358">
        <f>IF(OR($ET358="",$DY358=""),"",INT($DY358*(1-$ET358)+0.5))</f>
        <v/>
      </c>
      <c r="EW358" t="n">
        <v>354</v>
      </c>
      <c r="EX358">
        <f>IFERROR(MATCH($EW358,$EM$5:$EM$1003,0),0)</f>
        <v/>
      </c>
      <c r="EY358">
        <f>IF($EW358&gt;$B$12,"",IF($EX358&gt;0,"row","spacer"))</f>
        <v/>
      </c>
      <c r="EZ358">
        <f>IF(AND($EY358="row",$EY357&lt;&gt;"row"),1,0)</f>
        <v/>
      </c>
      <c r="FA358">
        <f>IF(AND($EY358="row",$EY359&lt;&gt;"row"),1,0)</f>
        <v/>
      </c>
      <c r="FB358">
        <f>IF($EZ358=1,IFERROR(IF(ISNUMBER(INDEX(PASTE_ALL,INDEX($DF$5:$DF$1003,$EX358),$B$37)),INDEX(PASTE_ALL,INDEX($DF$5:$DF$1003,$EX358),$B$37),INDEX($DH$5:$DH$1003,$EX358)),INDEX($DH$5:$DH$1003,$EX358)),"")</f>
        <v/>
      </c>
      <c r="FC358">
        <f>IF($EY358="row",INDEX($ER$5:$ER$1003,$EX358),"")</f>
        <v/>
      </c>
      <c r="FD358">
        <f>IF($EY358="row",INDEX($DN$5:$DN$1003,$EX358),"")</f>
        <v/>
      </c>
      <c r="FE358">
        <f>IF($EY358="row",INDEX($DO$5:$DO$1003,$EX358),"")</f>
        <v/>
      </c>
      <c r="FF358">
        <f>IF($EY358="row",INDEX($DP$5:$DP$1003,$EX358),"")</f>
        <v/>
      </c>
      <c r="FG358">
        <f>IF($EY358="row",INDEX($DQ$5:$DQ$1003,$EX358),"")</f>
        <v/>
      </c>
      <c r="FH358">
        <f>IF($EY358="row",INDEX($DR$5:$DR$1003,$EX358),"")</f>
        <v/>
      </c>
      <c r="FI358">
        <f>IF($EY358="row",INDEX($DS$5:$DS$1003,$EX358),"")</f>
        <v/>
      </c>
      <c r="FJ358">
        <f>IF($EY358="row",INDEX($DT$5:$DT$1003,$EX358),"")</f>
        <v/>
      </c>
      <c r="FK358">
        <f>IF($EY358="row",INDEX($DU$5:$DU$1003,$EX358),"")</f>
        <v/>
      </c>
      <c r="FL358">
        <f>IF($EY358="row",INDEX($DV$5:$DV$1003,$EX358),"")</f>
        <v/>
      </c>
      <c r="FM358">
        <f>IF($EY358="row",INDEX($DW$5:$DW$1003,$EX358),"")</f>
        <v/>
      </c>
      <c r="FN358">
        <f>IF($EY358="row",INDEX($DY$5:$DY$1003,$EX358),"")</f>
        <v/>
      </c>
      <c r="FO358">
        <f>IF($EY358="row",INDEX($EA$5:$EA$1003,$EX358),"")</f>
        <v/>
      </c>
      <c r="FP358">
        <f>IF($EY358="row",INDEX($EC$5:$EC$1003,$EX358),"")</f>
        <v/>
      </c>
      <c r="FQ358">
        <f>IF($EY358="row",INDEX($ET$5:$ET$1003,$EX358),"")</f>
        <v/>
      </c>
      <c r="FR358">
        <f>IF($EY358="row",INDEX($EU$5:$EU$1003,$EX358),"")</f>
        <v/>
      </c>
      <c r="FS358">
        <f>IF(AND($EY358="row",$EY357="row"),IF(OR(INDEX($DT$5:$DT$1003,$EX357)="",INDEX($DT$5:$DT$1003,$EX358)=""),"",IF(NOT(EXACT(INDEX($DT$5:$DT$1003,$EX357),INDEX($DT$5:$DT$1003,$EX358))),"S4",IF(NOT(EXACT(INDEX($DS$5:$DS$1003,$EX357),INDEX($DS$5:$DS$1003,$EX358))),"S3",IF(NOT(EXACT(INDEX($DR$5:$DR$1003,$EX357),INDEX($DR$5:$DR$1003,$EX358))),"S1 Count Change","S1")))),"")</f>
        <v/>
      </c>
      <c r="FT358">
        <f>IF($EY358="row",INDEX($ES$5:$ES$1003,$EX358),"")</f>
        <v/>
      </c>
      <c r="FU358">
        <f>IF($EY358="row",INDEX($EO$5:$EO$1003,$EX358),0)</f>
        <v/>
      </c>
      <c r="FV358">
        <f>IF($FS358="S1 Count Change",1,0)</f>
        <v/>
      </c>
    </row>
    <row r="359">
      <c r="DA359" t="n">
        <v>355</v>
      </c>
      <c r="DB359">
        <f>IF($B$37=0,"",IFERROR(TRIM(SUBSTITUTE(SUBSTITUTE(SUBSTITUTE(SUBSTITUTE(INDEX(PASTE_ALL,355,$B$37)," "," "),CHAR(9)," "),CHAR(10)," "),CHAR(13)," ")),""))</f>
        <v/>
      </c>
      <c r="DC359">
        <f>IF(AND(355&gt;HEADER_ROW,UPPER(DB359)="LEGEND"),1,0)</f>
        <v/>
      </c>
      <c r="DE359" t="n">
        <v>355</v>
      </c>
      <c r="DF359">
        <f>HEADER_ROW+$DE359</f>
        <v/>
      </c>
      <c r="DG359">
        <f>IF(AND($DF359&lt;=1000,$DF359&lt;$B$8),1,0)</f>
        <v/>
      </c>
      <c r="DH359">
        <f>IF($DG359=1,IFERROR(INDEX($DB$5:$DB$1004,$DF359),""),"")</f>
        <v/>
      </c>
      <c r="DI359">
        <f>IF(AND($DG359=1,$DH359&lt;&gt;""),IFERROR(SUBSTITUTE(SUBSTITUTE(TRIM(SUBSTITUTE(SUBSTITUTE(SUBSTITUTE(SUBSTITUTE(IFERROR(INDEX(PASTE_ALL,$DF359,1)&amp;"","")&amp;"␟"&amp;IFERROR(INDEX(PASTE_ALL,$DF359,2)&amp;"","")&amp;"␟"&amp;IFERROR(INDEX(PASTE_ALL,$DF359,3)&amp;"","")&amp;"␟"&amp;IFERROR(INDEX(PASTE_ALL,$DF359,4)&amp;"","")&amp;"␟"&amp;IFERROR(INDEX(PASTE_ALL,$DF359,5)&amp;"","")&amp;"␟"&amp;IFERROR(INDEX(PASTE_ALL,$DF359,6)&amp;"","")&amp;"␟"&amp;IFERROR(INDEX(PASTE_ALL,$DF359,7)&amp;"","")&amp;"␟"&amp;IFERROR(INDEX(PASTE_ALL,$DF359,8)&amp;"","")&amp;"␟"&amp;IFERROR(INDEX(PASTE_ALL,$DF359,9)&amp;"","")&amp;"␟"&amp;IFERROR(INDEX(PASTE_ALL,$DF359,10)&amp;"","")&amp;"␟"&amp;IFERROR(INDEX(PASTE_ALL,$DF359,11)&amp;"","")&amp;"␟"&amp;IFERROR(INDEX(PASTE_ALL,$DF359,12)&amp;"","")&amp;"␟"&amp;IFERROR(INDEX(PASTE_ALL,$DF359,13)&amp;"","")&amp;"␟"&amp;IFERROR(INDEX(PASTE_ALL,$DF359,14)&amp;"","")&amp;"␟"&amp;IFERROR(INDEX(PASTE_ALL,$DF359,15)&amp;"","")&amp;"␟"&amp;IFERROR(INDEX(PASTE_ALL,$DF359,16)&amp;"","")&amp;"␟"&amp;IFERROR(INDEX(PASTE_ALL,$DF359,17)&amp;"","")&amp;"␟"&amp;IFERROR(INDEX(PASTE_ALL,$DF359,18)&amp;"","")&amp;"␟"&amp;IFERROR(INDEX(PASTE_ALL,$DF359,19)&amp;"","")&amp;"␟"&amp;IFERROR(INDEX(PASTE_ALL,$DF359,20)&amp;"","")&amp;"␟"&amp;IFERROR(INDEX(PASTE_ALL,$DF359,21)&amp;"","")&amp;"␟"&amp;IFERROR(INDEX(PASTE_ALL,$DF359,22)&amp;"","")&amp;"␟"&amp;IFERROR(INDEX(PASTE_ALL,$DF359,23)&amp;"","")&amp;"␟"&amp;IFERROR(INDEX(PASTE_ALL,$DF359,24)&amp;"","")&amp;"␟"&amp;IFERROR(INDEX(PASTE_ALL,$DF359,25)&amp;"","")&amp;"␟"&amp;IFERROR(INDEX(PASTE_ALL,$DF359,26)&amp;"","")&amp;"␟"&amp;IFERROR(INDEX(PASTE_ALL,$DF359,27)&amp;"","")&amp;"␟"&amp;IFERROR(INDEX(PASTE_ALL,$DF359,28)&amp;"","")&amp;"␟"&amp;IFERROR(INDEX(PASTE_ALL,$DF359,29)&amp;"","")&amp;"␟"&amp;IFERROR(INDEX(PASTE_ALL,$DF359,30)&amp;"","")&amp;"␟"&amp;IFERROR(INDEX(PASTE_ALL,$DF359,31)&amp;"","")&amp;"␟"&amp;IFERROR(INDEX(PASTE_ALL,$DF359,32)&amp;"","")&amp;"␟"&amp;IFERROR(INDEX(PASTE_ALL,$DF359,33)&amp;"","")&amp;"␟"&amp;IFERROR(INDEX(PASTE_ALL,$DF359,34)&amp;"","")&amp;"␟"&amp;IFERROR(INDEX(PASTE_ALL,$DF359,35)&amp;"","")&amp;"␟"&amp;IFERROR(INDEX(PASTE_ALL,$DF359,36)&amp;"","")&amp;"␟"&amp;IFERROR(INDEX(PASTE_ALL,$DF359,37)&amp;"","")&amp;"␟"&amp;IFERROR(INDEX(PASTE_ALL,$DF359,38)&amp;"","")&amp;"␟"&amp;IFERROR(INDEX(PASTE_ALL,$DF359,39)&amp;"","")&amp;"␟"&amp;IFERROR(INDEX(PASTE_ALL,$DF359,40)&amp;"","")&amp;"␟"&amp;IFERROR(INDEX(PASTE_ALL,$DF359,41)&amp;"","")&amp;"␟"&amp;IFERROR(INDEX(PASTE_ALL,$DF359,42)&amp;"","")&amp;"␟"&amp;IFERROR(INDEX(PASTE_ALL,$DF359,43)&amp;"","")&amp;"␟"&amp;IFERROR(INDEX(PASTE_ALL,$DF359,44)&amp;"","")&amp;"␟"&amp;IFERROR(INDEX(PASTE_ALL,$DF359,45)&amp;"","")&amp;"␟"&amp;IFERROR(INDEX(PASTE_ALL,$DF359,46)&amp;"","")&amp;"␟"&amp;IFERROR(INDEX(PASTE_ALL,$DF359,47)&amp;"","")&amp;"␟"&amp;IFERROR(INDEX(PASTE_ALL,$DF359,48)&amp;"","")&amp;"␟"&amp;IFERROR(INDEX(PASTE_ALL,$DF359,49)&amp;"","")&amp;"␟"&amp;IFERROR(INDEX(PASTE_ALL,$DF359,50)&amp;"","")&amp;"␟"&amp;IFERROR(INDEX(PASTE_ALL,$DF359,51)&amp;"","")&amp;"␟"&amp;IFERROR(INDEX(PASTE_ALL,$DF359,52)&amp;"","")&amp;"␟"&amp;IFERROR(INDEX(PASTE_ALL,$DF359,53)&amp;"","")&amp;"␟"&amp;IFERROR(INDEX(PASTE_ALL,$DF359,54)&amp;"","")&amp;"␟"&amp;IFERROR(INDEX(PASTE_ALL,$DF359,55)&amp;"","")&amp;"␟"&amp;IFERROR(INDEX(PASTE_ALL,$DF359,56)&amp;"","")&amp;"␟"&amp;IFERROR(INDEX(PASTE_ALL,$DF359,57)&amp;"","")&amp;"␟"&amp;IFERROR(INDEX(PASTE_ALL,$DF359,58)&amp;"","")&amp;"␟"&amp;IFERROR(INDEX(PASTE_ALL,$DF359,59)&amp;"","")&amp;"␟"&amp;IFERROR(INDEX(PASTE_ALL,$DF359,60)&amp;"","")," "," "),CHAR(9)," "),CHAR(10)," "),CHAR(13)," "))," ␟","␟"),"␟ ","␟"),"#"&amp;$DE359),"")</f>
        <v/>
      </c>
      <c r="DJ359">
        <f>IF($DI359="",0,IF(SUMPRODUCT(--EXACT($DI$4:DI358,$DI359))&gt;0,1,0))</f>
        <v/>
      </c>
      <c r="DK359">
        <f>IF(AND($DI359&lt;&gt;"",$DJ359=0),1,0)</f>
        <v/>
      </c>
      <c r="DL359">
        <f>DL358+$DK359</f>
        <v/>
      </c>
      <c r="DM359">
        <f>IF(AND($DK359=1,$DL359&lt;=600),1,0)</f>
        <v/>
      </c>
      <c r="DN359">
        <f>IF($DM359=0,"",IF($L$6=0,"",IFERROR(IF(ISNUMBER(INDEX(PASTE_ALL,$DF359,$L$6)),INDEX(PASTE_ALL,$DF359,$L$6),TRIM(SUBSTITUTE(SUBSTITUTE(SUBSTITUTE(SUBSTITUTE(INDEX(PASTE_ALL,$DF359,$L$6)," "," "),CHAR(9)," "),CHAR(10)," "),CHAR(13)," "))),"")))</f>
        <v/>
      </c>
      <c r="DO359">
        <f>IF($DM359=0,"",IF($L$7=0,"",IFERROR(IF(ISNUMBER(INDEX(PASTE_ALL,$DF359,$L$7)),INDEX(PASTE_ALL,$DF359,$L$7),TRIM(SUBSTITUTE(SUBSTITUTE(SUBSTITUTE(SUBSTITUTE(INDEX(PASTE_ALL,$DF359,$L$7)," "," "),CHAR(9)," "),CHAR(10)," "),CHAR(13)," "))),"")))</f>
        <v/>
      </c>
      <c r="DP359">
        <f>IF($DM359=0,"",IF($L$8=0,"",IFERROR(IF(ISNUMBER(INDEX(PASTE_ALL,$DF359,$L$8)),INDEX(PASTE_ALL,$DF359,$L$8),TRIM(SUBSTITUTE(SUBSTITUTE(SUBSTITUTE(SUBSTITUTE(INDEX(PASTE_ALL,$DF359,$L$8)," "," "),CHAR(9)," "),CHAR(10)," "),CHAR(13)," "))),"")))</f>
        <v/>
      </c>
      <c r="DQ359">
        <f>IF($DM359=0,"",IF($L$9=0,"",IFERROR(IF(ISNUMBER(INDEX(PASTE_ALL,$DF359,$L$9)),INDEX(PASTE_ALL,$DF359,$L$9),TRIM(SUBSTITUTE(SUBSTITUTE(SUBSTITUTE(SUBSTITUTE(INDEX(PASTE_ALL,$DF359,$L$9)," "," "),CHAR(9)," "),CHAR(10)," "),CHAR(13)," "))),"")))</f>
        <v/>
      </c>
      <c r="DR359">
        <f>IF($DM359=0,"",IF($L$10=0,"",IFERROR(IF(ISNUMBER(INDEX(PASTE_ALL,$DF359,$L$10)),INDEX(PASTE_ALL,$DF359,$L$10),TRIM(SUBSTITUTE(SUBSTITUTE(SUBSTITUTE(SUBSTITUTE(INDEX(PASTE_ALL,$DF359,$L$10)," "," "),CHAR(9)," "),CHAR(10)," "),CHAR(13)," "))),"")))</f>
        <v/>
      </c>
      <c r="DS359">
        <f>IF($DM359=0,"",IF($L$11=0,"",IFERROR(IF(ISNUMBER(INDEX(PASTE_ALL,$DF359,$L$11)),INDEX(PASTE_ALL,$DF359,$L$11),TRIM(SUBSTITUTE(SUBSTITUTE(SUBSTITUTE(SUBSTITUTE(INDEX(PASTE_ALL,$DF359,$L$11)," "," "),CHAR(9)," "),CHAR(10)," "),CHAR(13)," "))),"")))</f>
        <v/>
      </c>
      <c r="DT359">
        <f>IF($DM359=0,"",IF($L$12=0,"",IFERROR(IF(ISNUMBER(INDEX(PASTE_ALL,$DF359,$L$12)),INDEX(PASTE_ALL,$DF359,$L$12),TRIM(SUBSTITUTE(SUBSTITUTE(SUBSTITUTE(SUBSTITUTE(INDEX(PASTE_ALL,$DF359,$L$12)," "," "),CHAR(9)," "),CHAR(10)," "),CHAR(13)," "))),"")))</f>
        <v/>
      </c>
      <c r="DU359">
        <f>IF($DM359=0,"",IF($L$13=0,"",IFERROR(IF(ISNUMBER(INDEX(PASTE_ALL,$DF359,$L$13)),INDEX(PASTE_ALL,$DF359,$L$13),TRIM(SUBSTITUTE(SUBSTITUTE(SUBSTITUTE(SUBSTITUTE(INDEX(PASTE_ALL,$DF359,$L$13)," "," "),CHAR(9)," "),CHAR(10)," "),CHAR(13)," "))),"")))</f>
        <v/>
      </c>
      <c r="DV359">
        <f>IF($DM359=0,"",IF($L$14=0,"",IFERROR(IF(ISNUMBER(INDEX(PASTE_ALL,$DF359,$L$14)),INDEX(PASTE_ALL,$DF359,$L$14),TRIM(SUBSTITUTE(SUBSTITUTE(SUBSTITUTE(SUBSTITUTE(INDEX(PASTE_ALL,$DF359,$L$14)," "," "),CHAR(9)," "),CHAR(10)," "),CHAR(13)," "))),"")))</f>
        <v/>
      </c>
      <c r="DW359">
        <f>IF($DM359=0,"",IF($L$15=0,"",IFERROR(IF(ISNUMBER(INDEX(PASTE_ALL,$DF359,$L$15)),INDEX(PASTE_ALL,$DF359,$L$15),IF(SUMPRODUCT(--ISNUMBER(FIND({"A","B","C","D","E","F","G","H","I","J","K","L","M","N","O","P","Q","R","S","T","U","V","W","X","Y","Z","0","1","2","3","4","5","6","7","8","9"},UPPER(TRIM(SUBSTITUTE(SUBSTITUTE(SUBSTITUTE(SUBSTITUTE(INDEX(PASTE_ALL,$DF359,$L$15)," "," "),CHAR(9)," "),CHAR(10)," "),CHAR(13)," "))))))&gt;0,TRIM(SUBSTITUTE(SUBSTITUTE(SUBSTITUTE(SUBSTITUTE(INDEX(PASTE_ALL,$DF359,$L$15)," "," "),CHAR(9)," "),CHAR(10)," "),CHAR(13)," ")),"")),"")))</f>
        <v/>
      </c>
      <c r="DX359">
        <f>IF($DM359=0,"",IF($L$16=0,"",IFERROR(IF(ISNUMBER(INDEX(PASTE_ALL,$DF359,$L$16)),INDEX(PASTE_ALL,$DF359,$L$16),SUBSTITUTE(SUBSTITUTE(TRIM(SUBSTITUTE(SUBSTITUTE(SUBSTITUTE(SUBSTITUTE(INDEX(PASTE_ALL,$DF359,$L$16)," "," "),CHAR(9)," "),CHAR(10)," "),CHAR(13)," ")),",",""),"%","")),"")))</f>
        <v/>
      </c>
      <c r="DY359">
        <f>IF($DM359=0,"",IFERROR(IF(ISNUMBER($DX359),$DX359,IF($DX359="","",IF(TRIM($DX359)="",0,IF(AND(AND(SUBSTITUTE(SUBSTITUTE(SUBSTITUTE(SUBSTITUTE(SUBSTITUTE(SUBSTITUTE(SUBSTITUTE(SUBSTITUTE(SUBSTITUTE(SUBSTITUTE(SUBSTITUTE(SUBSTITUTE(SUBSTITUTE(SUBSTITUTE(UPPER(TRIM($DX359)),"0",""),"1",""),"2",""),"3",""),"4",""),"5",""),"6",""),"7",""),"8",""),"9",""),".",""),"+",""),"-",""),"E","")="",LEN(SUBSTITUTE(SUBSTITUTE(MID(UPPER(TRIM($DX359)),1+OR(LEFT(UPPER(TRIM($DX359)),1)="+",LEFT(UPPER(TRIM($DX359)),1)="-"),999),"E+","E"),"E-","E"))=LEN(SUBSTITUTE(SUBSTITUTE(SUBSTITUTE(SUBSTITUTE(MID(UPPER(TRIM($DX359)),1+OR(LEFT(UPPER(TRIM($DX359)),1)="+",LEFT(UPPER(TRIM($DX359)),1)="-"),999),"E+","E"),"E-","E"),"+",""),"-","")),LEN(UPPER(TRIM($DX359)))-LEN(SUBSTITUTE(UPPER(TRIM($DX359)),"E",""))&lt;2,LEN(UPPER(TRIM($DX359)))-LEN(SUBSTITUTE(UPPER(TRIM($DX359)),".",""))&lt;2,IFERROR(FIND(".",UPPER(TRIM($DX359))),0)&lt;IFERROR(FIND("E",UPPER(TRIM($DX359))),999)),ISNUMBER(VALUE(TRIM($DX359)))),VALUE(TRIM($DX359)),"")))),""))</f>
        <v/>
      </c>
      <c r="DZ359">
        <f>IF($DM359=0,"",IF($L$17=0,"",IFERROR(IF(ISNUMBER(INDEX(PASTE_ALL,$DF359,$L$17)),INDEX(PASTE_ALL,$DF359,$L$17),SUBSTITUTE(SUBSTITUTE(TRIM(SUBSTITUTE(SUBSTITUTE(SUBSTITUTE(SUBSTITUTE(INDEX(PASTE_ALL,$DF359,$L$17)," "," "),CHAR(9)," "),CHAR(10)," "),CHAR(13)," ")),",",""),"%","")),"")))</f>
        <v/>
      </c>
      <c r="EA359">
        <f>IF($DM359=0,"",IFERROR(IF(ISNUMBER($DZ359),$DZ359,IF($DZ359="","",IF(TRIM($DZ359)="",0,IF(AND(AND(SUBSTITUTE(SUBSTITUTE(SUBSTITUTE(SUBSTITUTE(SUBSTITUTE(SUBSTITUTE(SUBSTITUTE(SUBSTITUTE(SUBSTITUTE(SUBSTITUTE(SUBSTITUTE(SUBSTITUTE(SUBSTITUTE(SUBSTITUTE(UPPER(TRIM($DZ359)),"0",""),"1",""),"2",""),"3",""),"4",""),"5",""),"6",""),"7",""),"8",""),"9",""),".",""),"+",""),"-",""),"E","")="",LEN(SUBSTITUTE(SUBSTITUTE(MID(UPPER(TRIM($DZ359)),1+OR(LEFT(UPPER(TRIM($DZ359)),1)="+",LEFT(UPPER(TRIM($DZ359)),1)="-"),999),"E+","E"),"E-","E"))=LEN(SUBSTITUTE(SUBSTITUTE(SUBSTITUTE(SUBSTITUTE(MID(UPPER(TRIM($DZ359)),1+OR(LEFT(UPPER(TRIM($DZ359)),1)="+",LEFT(UPPER(TRIM($DZ359)),1)="-"),999),"E+","E"),"E-","E"),"+",""),"-","")),LEN(UPPER(TRIM($DZ359)))-LEN(SUBSTITUTE(UPPER(TRIM($DZ359)),"E",""))&lt;2,LEN(UPPER(TRIM($DZ359)))-LEN(SUBSTITUTE(UPPER(TRIM($DZ359)),".",""))&lt;2,IFERROR(FIND(".",UPPER(TRIM($DZ359))),0)&lt;IFERROR(FIND("E",UPPER(TRIM($DZ359))),999)),ISNUMBER(VALUE(TRIM($DZ359)))),VALUE(TRIM($DZ359)),"")))),""))</f>
        <v/>
      </c>
      <c r="EB359">
        <f>IF($DM359=0,"",IF($L$18=0,"",IFERROR(IF(UPPER(TRIM(SUBSTITUTE(SUBSTITUTE(SUBSTITUTE(SUBSTITUTE(INDEX(PASTE_ALL,$DF359,$L$18)," "," "),CHAR(9)," "),CHAR(10)," "),CHAR(13)," ")))="READY","Ready",IF(UPPER(TRIM(SUBSTITUTE(SUBSTITUTE(SUBSTITUTE(SUBSTITUTE(INDEX(PASTE_ALL,$DF359,$L$18)," "," "),CHAR(9)," "),CHAR(10)," "),CHAR(13)," ")))="PM","PM",IF(OR(UPPER(TRIM(SUBSTITUTE(SUBSTITUTE(SUBSTITUTE(SUBSTITUTE(INDEX(PASTE_ALL,$DF359,$L$18)," "," "),CHAR(9)," "),CHAR(10)," "),CHAR(13)," ")))="OT",UPPER(TRIM(SUBSTITUTE(SUBSTITUTE(SUBSTITUTE(SUBSTITUTE(INDEX(PASTE_ALL,$DF359,$L$18)," "," "),CHAR(9)," "),CHAR(10)," "),CHAR(13)," ")))="OVERTIME",UPPER(TRIM(SUBSTITUTE(SUBSTITUTE(SUBSTITUTE(SUBSTITUTE(INDEX(PASTE_ALL,$DF359,$L$18)," "," "),CHAR(9)," "),CHAR(10)," "),CHAR(13)," ")))="TRIAL"),"OT",TRIM(SUBSTITUTE(SUBSTITUTE(SUBSTITUTE(SUBSTITUTE(INDEX(PASTE_ALL,$DF359,$L$18)," "," "),CHAR(9)," "),CHAR(10)," "),CHAR(13)," "))))),"")))</f>
        <v/>
      </c>
      <c r="EC359">
        <f>IF($DM359=0,"",IF($L$19=0,"",IFERROR(IF(ISNUMBER(INDEX(PASTE_ALL,$DF359,$L$19)),INDEX(PASTE_ALL,$DF359,$L$19),TRIM(SUBSTITUTE(SUBSTITUTE(SUBSTITUTE(SUBSTITUTE(INDEX(PASTE_ALL,$DF359,$L$19)," "," "),CHAR(9)," "),CHAR(10)," "),CHAR(13)," "))),"")))</f>
        <v/>
      </c>
      <c r="ED359">
        <f>IF($DM359=0,"",MATCH(1,INDEX(EXACT($DH$5:DH359,$DH359)*$DM$5:DM359,0),0))</f>
        <v/>
      </c>
      <c r="EE359">
        <f>IF($DM359=0,0,IF($ED359=$DE359,1,0))</f>
        <v/>
      </c>
      <c r="EF359">
        <f>EF358+$EE359</f>
        <v/>
      </c>
      <c r="EG359">
        <f>IF($DM359=0,"",INDEX($EF$5:$EF$1003,$ED359))</f>
        <v/>
      </c>
      <c r="EH359">
        <f>IF($DM359=0,"",IF($DO359&lt;&gt;"","",IFERROR(LOOKUP(2,1/(($EG$4:EG358=$EG359)*($DO$4:DO358&lt;&gt;"")),$DO$4:DO358),"")))</f>
        <v/>
      </c>
      <c r="EI359">
        <f>IF($DM359=0,"",IF($DO359&lt;&gt;"",$DO359,$EH359))</f>
        <v/>
      </c>
      <c r="EJ359">
        <f>IF($DM359=0,"",IF($EI359="",0,IF(OR(ISNUMBER($EI359),AND(AND(SUBSTITUTE(SUBSTITUTE(SUBSTITUTE(SUBSTITUTE(SUBSTITUTE(SUBSTITUTE(SUBSTITUTE(SUBSTITUTE(SUBSTITUTE(SUBSTITUTE(SUBSTITUTE(SUBSTITUTE(SUBSTITUTE(SUBSTITUTE(UPPER($EI359),"0",""),"1",""),"2",""),"3",""),"4",""),"5",""),"6",""),"7",""),"8",""),"9",""),".",""),"+",""),"-",""),"E","")="",LEN(SUBSTITUTE(SUBSTITUTE(MID(UPPER($EI359),1+OR(LEFT(UPPER($EI359),1)="+",LEFT(UPPER($EI359),1)="-"),999),"E+","E"),"E-","E"))=LEN(SUBSTITUTE(SUBSTITUTE(SUBSTITUTE(SUBSTITUTE(MID(UPPER($EI359),1+OR(LEFT(UPPER($EI359),1)="+",LEFT(UPPER($EI359),1)="-"),999),"E+","E"),"E-","E"),"+",""),"-","")),LEN(UPPER($EI359))-LEN(SUBSTITUTE(UPPER($EI359),"E",""))&lt;2,LEN(UPPER($EI359))-LEN(SUBSTITUTE(UPPER($EI359),".",""))&lt;2,IFERROR(FIND(".",UPPER($EI359)),0)&lt;IFERROR(FIND("E",UPPER($EI359)),999)),ISNUMBER(VALUE($EI359)))),1,2)))</f>
        <v/>
      </c>
      <c r="EK359">
        <f>IF($DM359=0,"",IF($EJ359=1,IF(ISNUMBER($EI359),$EI359,VALUE($EI359)),IF($EJ359=2,$DE359,0)))</f>
        <v/>
      </c>
      <c r="EL359">
        <f>IF($DM359=0,"",COUNTIF($EG$5:$EG$1003,"&lt;"&amp;$EG359)+SUMPRODUCT(($EG$5:$EG$1003=$EG359)*(($EJ$5:$EJ$1003&lt;$EJ359)+($EJ$5:$EJ$1003=$EJ359)*(($EK$5:$EK$1003&lt;$EK359)+($EK$5:$EK$1003=$EK359)*($DE$5:$DE$1003&lt;$DE359))))+1)</f>
        <v/>
      </c>
      <c r="EM359">
        <f>IF($DM359=0,"",$EL359+$EG359-1)</f>
        <v/>
      </c>
      <c r="EN359">
        <f>IF($DM359=0,0,IFERROR(MATCH(1,INDEX(--(TRIM(SUBSTITUTE(SUBSTITUTE(SUBSTITUTE(SUBSTITUTE(LINES_NAME&amp;""," "," "),CHAR(9)," "),CHAR(10)," "),CHAR(13)," "))=$DH359),0),0),0))</f>
        <v/>
      </c>
      <c r="EO359">
        <f>IF($EN359=0,0,IF(OR(UPPER(TRIM(INDEX(LINES_SCHEDULED,$EN359)&amp;""))="YES",UPPER(TRIM(INDEX(LINES_SCHEDULED,$EN359)&amp;""))="Y",UPPER(TRIM(INDEX(LINES_SCHEDULED,$EN359)&amp;""))="X"),1,0))</f>
        <v/>
      </c>
      <c r="EP359">
        <f>IF($DM359=0,"",IF(COUNTIFS($EG$5:$EG$1003,$EG359,$EB$5:$EB$1003,"Ready")&gt;0,"READY",IF(COUNTIFS($EG$5:$EG$1003,$EG359,$EB$5:$EB$1003,"PM")&gt;0,"PM",IF(COUNTIFS($EG$5:$EG$1003,$EG359,$EB$5:$EB$1003,"OT")&gt;0,"OT",""))))</f>
        <v/>
      </c>
      <c r="EQ359">
        <f>IF($EN359=0,"",UPPER(TRIM(INDEX(LINES_STATUS,$EN359)&amp;"")))</f>
        <v/>
      </c>
      <c r="ER359">
        <f>IF($DM359=0,"",IF(OR($EQ359="READY",$EQ359="PM",$EQ359="OT"),$EQ359,$EP359))</f>
        <v/>
      </c>
      <c r="ES359">
        <f>IF($DM359=0,"",IF(AND($DV359&lt;&gt;"",UPPER($DV359)&lt;&gt;"N"),"allergen",IF(ISNUMBER(SEARCH("oil",$DQ359)),"oil",IF(OR(EXACT($DS359,"A662"),EXACT($DS359,"A624")),"bulk",""))))</f>
        <v/>
      </c>
      <c r="ET359">
        <f>IF($DM359=0,"",IF(OR($EA359="",$EA359=0),"",$EA359/100))</f>
        <v/>
      </c>
      <c r="EU359">
        <f>IF(OR($ET359="",$DY359=""),"",INT($DY359*(1-$ET359)+0.5))</f>
        <v/>
      </c>
      <c r="EW359" t="n">
        <v>355</v>
      </c>
      <c r="EX359">
        <f>IFERROR(MATCH($EW359,$EM$5:$EM$1003,0),0)</f>
        <v/>
      </c>
      <c r="EY359">
        <f>IF($EW359&gt;$B$12,"",IF($EX359&gt;0,"row","spacer"))</f>
        <v/>
      </c>
      <c r="EZ359">
        <f>IF(AND($EY359="row",$EY358&lt;&gt;"row"),1,0)</f>
        <v/>
      </c>
      <c r="FA359">
        <f>IF(AND($EY359="row",$EY360&lt;&gt;"row"),1,0)</f>
        <v/>
      </c>
      <c r="FB359">
        <f>IF($EZ359=1,IFERROR(IF(ISNUMBER(INDEX(PASTE_ALL,INDEX($DF$5:$DF$1003,$EX359),$B$37)),INDEX(PASTE_ALL,INDEX($DF$5:$DF$1003,$EX359),$B$37),INDEX($DH$5:$DH$1003,$EX359)),INDEX($DH$5:$DH$1003,$EX359)),"")</f>
        <v/>
      </c>
      <c r="FC359">
        <f>IF($EY359="row",INDEX($ER$5:$ER$1003,$EX359),"")</f>
        <v/>
      </c>
      <c r="FD359">
        <f>IF($EY359="row",INDEX($DN$5:$DN$1003,$EX359),"")</f>
        <v/>
      </c>
      <c r="FE359">
        <f>IF($EY359="row",INDEX($DO$5:$DO$1003,$EX359),"")</f>
        <v/>
      </c>
      <c r="FF359">
        <f>IF($EY359="row",INDEX($DP$5:$DP$1003,$EX359),"")</f>
        <v/>
      </c>
      <c r="FG359">
        <f>IF($EY359="row",INDEX($DQ$5:$DQ$1003,$EX359),"")</f>
        <v/>
      </c>
      <c r="FH359">
        <f>IF($EY359="row",INDEX($DR$5:$DR$1003,$EX359),"")</f>
        <v/>
      </c>
      <c r="FI359">
        <f>IF($EY359="row",INDEX($DS$5:$DS$1003,$EX359),"")</f>
        <v/>
      </c>
      <c r="FJ359">
        <f>IF($EY359="row",INDEX($DT$5:$DT$1003,$EX359),"")</f>
        <v/>
      </c>
      <c r="FK359">
        <f>IF($EY359="row",INDEX($DU$5:$DU$1003,$EX359),"")</f>
        <v/>
      </c>
      <c r="FL359">
        <f>IF($EY359="row",INDEX($DV$5:$DV$1003,$EX359),"")</f>
        <v/>
      </c>
      <c r="FM359">
        <f>IF($EY359="row",INDEX($DW$5:$DW$1003,$EX359),"")</f>
        <v/>
      </c>
      <c r="FN359">
        <f>IF($EY359="row",INDEX($DY$5:$DY$1003,$EX359),"")</f>
        <v/>
      </c>
      <c r="FO359">
        <f>IF($EY359="row",INDEX($EA$5:$EA$1003,$EX359),"")</f>
        <v/>
      </c>
      <c r="FP359">
        <f>IF($EY359="row",INDEX($EC$5:$EC$1003,$EX359),"")</f>
        <v/>
      </c>
      <c r="FQ359">
        <f>IF($EY359="row",INDEX($ET$5:$ET$1003,$EX359),"")</f>
        <v/>
      </c>
      <c r="FR359">
        <f>IF($EY359="row",INDEX($EU$5:$EU$1003,$EX359),"")</f>
        <v/>
      </c>
      <c r="FS359">
        <f>IF(AND($EY359="row",$EY358="row"),IF(OR(INDEX($DT$5:$DT$1003,$EX358)="",INDEX($DT$5:$DT$1003,$EX359)=""),"",IF(NOT(EXACT(INDEX($DT$5:$DT$1003,$EX358),INDEX($DT$5:$DT$1003,$EX359))),"S4",IF(NOT(EXACT(INDEX($DS$5:$DS$1003,$EX358),INDEX($DS$5:$DS$1003,$EX359))),"S3",IF(NOT(EXACT(INDEX($DR$5:$DR$1003,$EX358),INDEX($DR$5:$DR$1003,$EX359))),"S1 Count Change","S1")))),"")</f>
        <v/>
      </c>
      <c r="FT359">
        <f>IF($EY359="row",INDEX($ES$5:$ES$1003,$EX359),"")</f>
        <v/>
      </c>
      <c r="FU359">
        <f>IF($EY359="row",INDEX($EO$5:$EO$1003,$EX359),0)</f>
        <v/>
      </c>
      <c r="FV359">
        <f>IF($FS359="S1 Count Change",1,0)</f>
        <v/>
      </c>
    </row>
    <row r="360">
      <c r="DA360" t="n">
        <v>356</v>
      </c>
      <c r="DB360">
        <f>IF($B$37=0,"",IFERROR(TRIM(SUBSTITUTE(SUBSTITUTE(SUBSTITUTE(SUBSTITUTE(INDEX(PASTE_ALL,356,$B$37)," "," "),CHAR(9)," "),CHAR(10)," "),CHAR(13)," ")),""))</f>
        <v/>
      </c>
      <c r="DC360">
        <f>IF(AND(356&gt;HEADER_ROW,UPPER(DB360)="LEGEND"),1,0)</f>
        <v/>
      </c>
      <c r="DE360" t="n">
        <v>356</v>
      </c>
      <c r="DF360">
        <f>HEADER_ROW+$DE360</f>
        <v/>
      </c>
      <c r="DG360">
        <f>IF(AND($DF360&lt;=1000,$DF360&lt;$B$8),1,0)</f>
        <v/>
      </c>
      <c r="DH360">
        <f>IF($DG360=1,IFERROR(INDEX($DB$5:$DB$1004,$DF360),""),"")</f>
        <v/>
      </c>
      <c r="DI360">
        <f>IF(AND($DG360=1,$DH360&lt;&gt;""),IFERROR(SUBSTITUTE(SUBSTITUTE(TRIM(SUBSTITUTE(SUBSTITUTE(SUBSTITUTE(SUBSTITUTE(IFERROR(INDEX(PASTE_ALL,$DF360,1)&amp;"","")&amp;"␟"&amp;IFERROR(INDEX(PASTE_ALL,$DF360,2)&amp;"","")&amp;"␟"&amp;IFERROR(INDEX(PASTE_ALL,$DF360,3)&amp;"","")&amp;"␟"&amp;IFERROR(INDEX(PASTE_ALL,$DF360,4)&amp;"","")&amp;"␟"&amp;IFERROR(INDEX(PASTE_ALL,$DF360,5)&amp;"","")&amp;"␟"&amp;IFERROR(INDEX(PASTE_ALL,$DF360,6)&amp;"","")&amp;"␟"&amp;IFERROR(INDEX(PASTE_ALL,$DF360,7)&amp;"","")&amp;"␟"&amp;IFERROR(INDEX(PASTE_ALL,$DF360,8)&amp;"","")&amp;"␟"&amp;IFERROR(INDEX(PASTE_ALL,$DF360,9)&amp;"","")&amp;"␟"&amp;IFERROR(INDEX(PASTE_ALL,$DF360,10)&amp;"","")&amp;"␟"&amp;IFERROR(INDEX(PASTE_ALL,$DF360,11)&amp;"","")&amp;"␟"&amp;IFERROR(INDEX(PASTE_ALL,$DF360,12)&amp;"","")&amp;"␟"&amp;IFERROR(INDEX(PASTE_ALL,$DF360,13)&amp;"","")&amp;"␟"&amp;IFERROR(INDEX(PASTE_ALL,$DF360,14)&amp;"","")&amp;"␟"&amp;IFERROR(INDEX(PASTE_ALL,$DF360,15)&amp;"","")&amp;"␟"&amp;IFERROR(INDEX(PASTE_ALL,$DF360,16)&amp;"","")&amp;"␟"&amp;IFERROR(INDEX(PASTE_ALL,$DF360,17)&amp;"","")&amp;"␟"&amp;IFERROR(INDEX(PASTE_ALL,$DF360,18)&amp;"","")&amp;"␟"&amp;IFERROR(INDEX(PASTE_ALL,$DF360,19)&amp;"","")&amp;"␟"&amp;IFERROR(INDEX(PASTE_ALL,$DF360,20)&amp;"","")&amp;"␟"&amp;IFERROR(INDEX(PASTE_ALL,$DF360,21)&amp;"","")&amp;"␟"&amp;IFERROR(INDEX(PASTE_ALL,$DF360,22)&amp;"","")&amp;"␟"&amp;IFERROR(INDEX(PASTE_ALL,$DF360,23)&amp;"","")&amp;"␟"&amp;IFERROR(INDEX(PASTE_ALL,$DF360,24)&amp;"","")&amp;"␟"&amp;IFERROR(INDEX(PASTE_ALL,$DF360,25)&amp;"","")&amp;"␟"&amp;IFERROR(INDEX(PASTE_ALL,$DF360,26)&amp;"","")&amp;"␟"&amp;IFERROR(INDEX(PASTE_ALL,$DF360,27)&amp;"","")&amp;"␟"&amp;IFERROR(INDEX(PASTE_ALL,$DF360,28)&amp;"","")&amp;"␟"&amp;IFERROR(INDEX(PASTE_ALL,$DF360,29)&amp;"","")&amp;"␟"&amp;IFERROR(INDEX(PASTE_ALL,$DF360,30)&amp;"","")&amp;"␟"&amp;IFERROR(INDEX(PASTE_ALL,$DF360,31)&amp;"","")&amp;"␟"&amp;IFERROR(INDEX(PASTE_ALL,$DF360,32)&amp;"","")&amp;"␟"&amp;IFERROR(INDEX(PASTE_ALL,$DF360,33)&amp;"","")&amp;"␟"&amp;IFERROR(INDEX(PASTE_ALL,$DF360,34)&amp;"","")&amp;"␟"&amp;IFERROR(INDEX(PASTE_ALL,$DF360,35)&amp;"","")&amp;"␟"&amp;IFERROR(INDEX(PASTE_ALL,$DF360,36)&amp;"","")&amp;"␟"&amp;IFERROR(INDEX(PASTE_ALL,$DF360,37)&amp;"","")&amp;"␟"&amp;IFERROR(INDEX(PASTE_ALL,$DF360,38)&amp;"","")&amp;"␟"&amp;IFERROR(INDEX(PASTE_ALL,$DF360,39)&amp;"","")&amp;"␟"&amp;IFERROR(INDEX(PASTE_ALL,$DF360,40)&amp;"","")&amp;"␟"&amp;IFERROR(INDEX(PASTE_ALL,$DF360,41)&amp;"","")&amp;"␟"&amp;IFERROR(INDEX(PASTE_ALL,$DF360,42)&amp;"","")&amp;"␟"&amp;IFERROR(INDEX(PASTE_ALL,$DF360,43)&amp;"","")&amp;"␟"&amp;IFERROR(INDEX(PASTE_ALL,$DF360,44)&amp;"","")&amp;"␟"&amp;IFERROR(INDEX(PASTE_ALL,$DF360,45)&amp;"","")&amp;"␟"&amp;IFERROR(INDEX(PASTE_ALL,$DF360,46)&amp;"","")&amp;"␟"&amp;IFERROR(INDEX(PASTE_ALL,$DF360,47)&amp;"","")&amp;"␟"&amp;IFERROR(INDEX(PASTE_ALL,$DF360,48)&amp;"","")&amp;"␟"&amp;IFERROR(INDEX(PASTE_ALL,$DF360,49)&amp;"","")&amp;"␟"&amp;IFERROR(INDEX(PASTE_ALL,$DF360,50)&amp;"","")&amp;"␟"&amp;IFERROR(INDEX(PASTE_ALL,$DF360,51)&amp;"","")&amp;"␟"&amp;IFERROR(INDEX(PASTE_ALL,$DF360,52)&amp;"","")&amp;"␟"&amp;IFERROR(INDEX(PASTE_ALL,$DF360,53)&amp;"","")&amp;"␟"&amp;IFERROR(INDEX(PASTE_ALL,$DF360,54)&amp;"","")&amp;"␟"&amp;IFERROR(INDEX(PASTE_ALL,$DF360,55)&amp;"","")&amp;"␟"&amp;IFERROR(INDEX(PASTE_ALL,$DF360,56)&amp;"","")&amp;"␟"&amp;IFERROR(INDEX(PASTE_ALL,$DF360,57)&amp;"","")&amp;"␟"&amp;IFERROR(INDEX(PASTE_ALL,$DF360,58)&amp;"","")&amp;"␟"&amp;IFERROR(INDEX(PASTE_ALL,$DF360,59)&amp;"","")&amp;"␟"&amp;IFERROR(INDEX(PASTE_ALL,$DF360,60)&amp;"","")," "," "),CHAR(9)," "),CHAR(10)," "),CHAR(13)," "))," ␟","␟"),"␟ ","␟"),"#"&amp;$DE360),"")</f>
        <v/>
      </c>
      <c r="DJ360">
        <f>IF($DI360="",0,IF(SUMPRODUCT(--EXACT($DI$4:DI359,$DI360))&gt;0,1,0))</f>
        <v/>
      </c>
      <c r="DK360">
        <f>IF(AND($DI360&lt;&gt;"",$DJ360=0),1,0)</f>
        <v/>
      </c>
      <c r="DL360">
        <f>DL359+$DK360</f>
        <v/>
      </c>
      <c r="DM360">
        <f>IF(AND($DK360=1,$DL360&lt;=600),1,0)</f>
        <v/>
      </c>
      <c r="DN360">
        <f>IF($DM360=0,"",IF($L$6=0,"",IFERROR(IF(ISNUMBER(INDEX(PASTE_ALL,$DF360,$L$6)),INDEX(PASTE_ALL,$DF360,$L$6),TRIM(SUBSTITUTE(SUBSTITUTE(SUBSTITUTE(SUBSTITUTE(INDEX(PASTE_ALL,$DF360,$L$6)," "," "),CHAR(9)," "),CHAR(10)," "),CHAR(13)," "))),"")))</f>
        <v/>
      </c>
      <c r="DO360">
        <f>IF($DM360=0,"",IF($L$7=0,"",IFERROR(IF(ISNUMBER(INDEX(PASTE_ALL,$DF360,$L$7)),INDEX(PASTE_ALL,$DF360,$L$7),TRIM(SUBSTITUTE(SUBSTITUTE(SUBSTITUTE(SUBSTITUTE(INDEX(PASTE_ALL,$DF360,$L$7)," "," "),CHAR(9)," "),CHAR(10)," "),CHAR(13)," "))),"")))</f>
        <v/>
      </c>
      <c r="DP360">
        <f>IF($DM360=0,"",IF($L$8=0,"",IFERROR(IF(ISNUMBER(INDEX(PASTE_ALL,$DF360,$L$8)),INDEX(PASTE_ALL,$DF360,$L$8),TRIM(SUBSTITUTE(SUBSTITUTE(SUBSTITUTE(SUBSTITUTE(INDEX(PASTE_ALL,$DF360,$L$8)," "," "),CHAR(9)," "),CHAR(10)," "),CHAR(13)," "))),"")))</f>
        <v/>
      </c>
      <c r="DQ360">
        <f>IF($DM360=0,"",IF($L$9=0,"",IFERROR(IF(ISNUMBER(INDEX(PASTE_ALL,$DF360,$L$9)),INDEX(PASTE_ALL,$DF360,$L$9),TRIM(SUBSTITUTE(SUBSTITUTE(SUBSTITUTE(SUBSTITUTE(INDEX(PASTE_ALL,$DF360,$L$9)," "," "),CHAR(9)," "),CHAR(10)," "),CHAR(13)," "))),"")))</f>
        <v/>
      </c>
      <c r="DR360">
        <f>IF($DM360=0,"",IF($L$10=0,"",IFERROR(IF(ISNUMBER(INDEX(PASTE_ALL,$DF360,$L$10)),INDEX(PASTE_ALL,$DF360,$L$10),TRIM(SUBSTITUTE(SUBSTITUTE(SUBSTITUTE(SUBSTITUTE(INDEX(PASTE_ALL,$DF360,$L$10)," "," "),CHAR(9)," "),CHAR(10)," "),CHAR(13)," "))),"")))</f>
        <v/>
      </c>
      <c r="DS360">
        <f>IF($DM360=0,"",IF($L$11=0,"",IFERROR(IF(ISNUMBER(INDEX(PASTE_ALL,$DF360,$L$11)),INDEX(PASTE_ALL,$DF360,$L$11),TRIM(SUBSTITUTE(SUBSTITUTE(SUBSTITUTE(SUBSTITUTE(INDEX(PASTE_ALL,$DF360,$L$11)," "," "),CHAR(9)," "),CHAR(10)," "),CHAR(13)," "))),"")))</f>
        <v/>
      </c>
      <c r="DT360">
        <f>IF($DM360=0,"",IF($L$12=0,"",IFERROR(IF(ISNUMBER(INDEX(PASTE_ALL,$DF360,$L$12)),INDEX(PASTE_ALL,$DF360,$L$12),TRIM(SUBSTITUTE(SUBSTITUTE(SUBSTITUTE(SUBSTITUTE(INDEX(PASTE_ALL,$DF360,$L$12)," "," "),CHAR(9)," "),CHAR(10)," "),CHAR(13)," "))),"")))</f>
        <v/>
      </c>
      <c r="DU360">
        <f>IF($DM360=0,"",IF($L$13=0,"",IFERROR(IF(ISNUMBER(INDEX(PASTE_ALL,$DF360,$L$13)),INDEX(PASTE_ALL,$DF360,$L$13),TRIM(SUBSTITUTE(SUBSTITUTE(SUBSTITUTE(SUBSTITUTE(INDEX(PASTE_ALL,$DF360,$L$13)," "," "),CHAR(9)," "),CHAR(10)," "),CHAR(13)," "))),"")))</f>
        <v/>
      </c>
      <c r="DV360">
        <f>IF($DM360=0,"",IF($L$14=0,"",IFERROR(IF(ISNUMBER(INDEX(PASTE_ALL,$DF360,$L$14)),INDEX(PASTE_ALL,$DF360,$L$14),TRIM(SUBSTITUTE(SUBSTITUTE(SUBSTITUTE(SUBSTITUTE(INDEX(PASTE_ALL,$DF360,$L$14)," "," "),CHAR(9)," "),CHAR(10)," "),CHAR(13)," "))),"")))</f>
        <v/>
      </c>
      <c r="DW360">
        <f>IF($DM360=0,"",IF($L$15=0,"",IFERROR(IF(ISNUMBER(INDEX(PASTE_ALL,$DF360,$L$15)),INDEX(PASTE_ALL,$DF360,$L$15),IF(SUMPRODUCT(--ISNUMBER(FIND({"A","B","C","D","E","F","G","H","I","J","K","L","M","N","O","P","Q","R","S","T","U","V","W","X","Y","Z","0","1","2","3","4","5","6","7","8","9"},UPPER(TRIM(SUBSTITUTE(SUBSTITUTE(SUBSTITUTE(SUBSTITUTE(INDEX(PASTE_ALL,$DF360,$L$15)," "," "),CHAR(9)," "),CHAR(10)," "),CHAR(13)," "))))))&gt;0,TRIM(SUBSTITUTE(SUBSTITUTE(SUBSTITUTE(SUBSTITUTE(INDEX(PASTE_ALL,$DF360,$L$15)," "," "),CHAR(9)," "),CHAR(10)," "),CHAR(13)," ")),"")),"")))</f>
        <v/>
      </c>
      <c r="DX360">
        <f>IF($DM360=0,"",IF($L$16=0,"",IFERROR(IF(ISNUMBER(INDEX(PASTE_ALL,$DF360,$L$16)),INDEX(PASTE_ALL,$DF360,$L$16),SUBSTITUTE(SUBSTITUTE(TRIM(SUBSTITUTE(SUBSTITUTE(SUBSTITUTE(SUBSTITUTE(INDEX(PASTE_ALL,$DF360,$L$16)," "," "),CHAR(9)," "),CHAR(10)," "),CHAR(13)," ")),",",""),"%","")),"")))</f>
        <v/>
      </c>
      <c r="DY360">
        <f>IF($DM360=0,"",IFERROR(IF(ISNUMBER($DX360),$DX360,IF($DX360="","",IF(TRIM($DX360)="",0,IF(AND(AND(SUBSTITUTE(SUBSTITUTE(SUBSTITUTE(SUBSTITUTE(SUBSTITUTE(SUBSTITUTE(SUBSTITUTE(SUBSTITUTE(SUBSTITUTE(SUBSTITUTE(SUBSTITUTE(SUBSTITUTE(SUBSTITUTE(SUBSTITUTE(UPPER(TRIM($DX360)),"0",""),"1",""),"2",""),"3",""),"4",""),"5",""),"6",""),"7",""),"8",""),"9",""),".",""),"+",""),"-",""),"E","")="",LEN(SUBSTITUTE(SUBSTITUTE(MID(UPPER(TRIM($DX360)),1+OR(LEFT(UPPER(TRIM($DX360)),1)="+",LEFT(UPPER(TRIM($DX360)),1)="-"),999),"E+","E"),"E-","E"))=LEN(SUBSTITUTE(SUBSTITUTE(SUBSTITUTE(SUBSTITUTE(MID(UPPER(TRIM($DX360)),1+OR(LEFT(UPPER(TRIM($DX360)),1)="+",LEFT(UPPER(TRIM($DX360)),1)="-"),999),"E+","E"),"E-","E"),"+",""),"-","")),LEN(UPPER(TRIM($DX360)))-LEN(SUBSTITUTE(UPPER(TRIM($DX360)),"E",""))&lt;2,LEN(UPPER(TRIM($DX360)))-LEN(SUBSTITUTE(UPPER(TRIM($DX360)),".",""))&lt;2,IFERROR(FIND(".",UPPER(TRIM($DX360))),0)&lt;IFERROR(FIND("E",UPPER(TRIM($DX360))),999)),ISNUMBER(VALUE(TRIM($DX360)))),VALUE(TRIM($DX360)),"")))),""))</f>
        <v/>
      </c>
      <c r="DZ360">
        <f>IF($DM360=0,"",IF($L$17=0,"",IFERROR(IF(ISNUMBER(INDEX(PASTE_ALL,$DF360,$L$17)),INDEX(PASTE_ALL,$DF360,$L$17),SUBSTITUTE(SUBSTITUTE(TRIM(SUBSTITUTE(SUBSTITUTE(SUBSTITUTE(SUBSTITUTE(INDEX(PASTE_ALL,$DF360,$L$17)," "," "),CHAR(9)," "),CHAR(10)," "),CHAR(13)," ")),",",""),"%","")),"")))</f>
        <v/>
      </c>
      <c r="EA360">
        <f>IF($DM360=0,"",IFERROR(IF(ISNUMBER($DZ360),$DZ360,IF($DZ360="","",IF(TRIM($DZ360)="",0,IF(AND(AND(SUBSTITUTE(SUBSTITUTE(SUBSTITUTE(SUBSTITUTE(SUBSTITUTE(SUBSTITUTE(SUBSTITUTE(SUBSTITUTE(SUBSTITUTE(SUBSTITUTE(SUBSTITUTE(SUBSTITUTE(SUBSTITUTE(SUBSTITUTE(UPPER(TRIM($DZ360)),"0",""),"1",""),"2",""),"3",""),"4",""),"5",""),"6",""),"7",""),"8",""),"9",""),".",""),"+",""),"-",""),"E","")="",LEN(SUBSTITUTE(SUBSTITUTE(MID(UPPER(TRIM($DZ360)),1+OR(LEFT(UPPER(TRIM($DZ360)),1)="+",LEFT(UPPER(TRIM($DZ360)),1)="-"),999),"E+","E"),"E-","E"))=LEN(SUBSTITUTE(SUBSTITUTE(SUBSTITUTE(SUBSTITUTE(MID(UPPER(TRIM($DZ360)),1+OR(LEFT(UPPER(TRIM($DZ360)),1)="+",LEFT(UPPER(TRIM($DZ360)),1)="-"),999),"E+","E"),"E-","E"),"+",""),"-","")),LEN(UPPER(TRIM($DZ360)))-LEN(SUBSTITUTE(UPPER(TRIM($DZ360)),"E",""))&lt;2,LEN(UPPER(TRIM($DZ360)))-LEN(SUBSTITUTE(UPPER(TRIM($DZ360)),".",""))&lt;2,IFERROR(FIND(".",UPPER(TRIM($DZ360))),0)&lt;IFERROR(FIND("E",UPPER(TRIM($DZ360))),999)),ISNUMBER(VALUE(TRIM($DZ360)))),VALUE(TRIM($DZ360)),"")))),""))</f>
        <v/>
      </c>
      <c r="EB360">
        <f>IF($DM360=0,"",IF($L$18=0,"",IFERROR(IF(UPPER(TRIM(SUBSTITUTE(SUBSTITUTE(SUBSTITUTE(SUBSTITUTE(INDEX(PASTE_ALL,$DF360,$L$18)," "," "),CHAR(9)," "),CHAR(10)," "),CHAR(13)," ")))="READY","Ready",IF(UPPER(TRIM(SUBSTITUTE(SUBSTITUTE(SUBSTITUTE(SUBSTITUTE(INDEX(PASTE_ALL,$DF360,$L$18)," "," "),CHAR(9)," "),CHAR(10)," "),CHAR(13)," ")))="PM","PM",IF(OR(UPPER(TRIM(SUBSTITUTE(SUBSTITUTE(SUBSTITUTE(SUBSTITUTE(INDEX(PASTE_ALL,$DF360,$L$18)," "," "),CHAR(9)," "),CHAR(10)," "),CHAR(13)," ")))="OT",UPPER(TRIM(SUBSTITUTE(SUBSTITUTE(SUBSTITUTE(SUBSTITUTE(INDEX(PASTE_ALL,$DF360,$L$18)," "," "),CHAR(9)," "),CHAR(10)," "),CHAR(13)," ")))="OVERTIME",UPPER(TRIM(SUBSTITUTE(SUBSTITUTE(SUBSTITUTE(SUBSTITUTE(INDEX(PASTE_ALL,$DF360,$L$18)," "," "),CHAR(9)," "),CHAR(10)," "),CHAR(13)," ")))="TRIAL"),"OT",TRIM(SUBSTITUTE(SUBSTITUTE(SUBSTITUTE(SUBSTITUTE(INDEX(PASTE_ALL,$DF360,$L$18)," "," "),CHAR(9)," "),CHAR(10)," "),CHAR(13)," "))))),"")))</f>
        <v/>
      </c>
      <c r="EC360">
        <f>IF($DM360=0,"",IF($L$19=0,"",IFERROR(IF(ISNUMBER(INDEX(PASTE_ALL,$DF360,$L$19)),INDEX(PASTE_ALL,$DF360,$L$19),TRIM(SUBSTITUTE(SUBSTITUTE(SUBSTITUTE(SUBSTITUTE(INDEX(PASTE_ALL,$DF360,$L$19)," "," "),CHAR(9)," "),CHAR(10)," "),CHAR(13)," "))),"")))</f>
        <v/>
      </c>
      <c r="ED360">
        <f>IF($DM360=0,"",MATCH(1,INDEX(EXACT($DH$5:DH360,$DH360)*$DM$5:DM360,0),0))</f>
        <v/>
      </c>
      <c r="EE360">
        <f>IF($DM360=0,0,IF($ED360=$DE360,1,0))</f>
        <v/>
      </c>
      <c r="EF360">
        <f>EF359+$EE360</f>
        <v/>
      </c>
      <c r="EG360">
        <f>IF($DM360=0,"",INDEX($EF$5:$EF$1003,$ED360))</f>
        <v/>
      </c>
      <c r="EH360">
        <f>IF($DM360=0,"",IF($DO360&lt;&gt;"","",IFERROR(LOOKUP(2,1/(($EG$4:EG359=$EG360)*($DO$4:DO359&lt;&gt;"")),$DO$4:DO359),"")))</f>
        <v/>
      </c>
      <c r="EI360">
        <f>IF($DM360=0,"",IF($DO360&lt;&gt;"",$DO360,$EH360))</f>
        <v/>
      </c>
      <c r="EJ360">
        <f>IF($DM360=0,"",IF($EI360="",0,IF(OR(ISNUMBER($EI360),AND(AND(SUBSTITUTE(SUBSTITUTE(SUBSTITUTE(SUBSTITUTE(SUBSTITUTE(SUBSTITUTE(SUBSTITUTE(SUBSTITUTE(SUBSTITUTE(SUBSTITUTE(SUBSTITUTE(SUBSTITUTE(SUBSTITUTE(SUBSTITUTE(UPPER($EI360),"0",""),"1",""),"2",""),"3",""),"4",""),"5",""),"6",""),"7",""),"8",""),"9",""),".",""),"+",""),"-",""),"E","")="",LEN(SUBSTITUTE(SUBSTITUTE(MID(UPPER($EI360),1+OR(LEFT(UPPER($EI360),1)="+",LEFT(UPPER($EI360),1)="-"),999),"E+","E"),"E-","E"))=LEN(SUBSTITUTE(SUBSTITUTE(SUBSTITUTE(SUBSTITUTE(MID(UPPER($EI360),1+OR(LEFT(UPPER($EI360),1)="+",LEFT(UPPER($EI360),1)="-"),999),"E+","E"),"E-","E"),"+",""),"-","")),LEN(UPPER($EI360))-LEN(SUBSTITUTE(UPPER($EI360),"E",""))&lt;2,LEN(UPPER($EI360))-LEN(SUBSTITUTE(UPPER($EI360),".",""))&lt;2,IFERROR(FIND(".",UPPER($EI360)),0)&lt;IFERROR(FIND("E",UPPER($EI360)),999)),ISNUMBER(VALUE($EI360)))),1,2)))</f>
        <v/>
      </c>
      <c r="EK360">
        <f>IF($DM360=0,"",IF($EJ360=1,IF(ISNUMBER($EI360),$EI360,VALUE($EI360)),IF($EJ360=2,$DE360,0)))</f>
        <v/>
      </c>
      <c r="EL360">
        <f>IF($DM360=0,"",COUNTIF($EG$5:$EG$1003,"&lt;"&amp;$EG360)+SUMPRODUCT(($EG$5:$EG$1003=$EG360)*(($EJ$5:$EJ$1003&lt;$EJ360)+($EJ$5:$EJ$1003=$EJ360)*(($EK$5:$EK$1003&lt;$EK360)+($EK$5:$EK$1003=$EK360)*($DE$5:$DE$1003&lt;$DE360))))+1)</f>
        <v/>
      </c>
      <c r="EM360">
        <f>IF($DM360=0,"",$EL360+$EG360-1)</f>
        <v/>
      </c>
      <c r="EN360">
        <f>IF($DM360=0,0,IFERROR(MATCH(1,INDEX(--(TRIM(SUBSTITUTE(SUBSTITUTE(SUBSTITUTE(SUBSTITUTE(LINES_NAME&amp;""," "," "),CHAR(9)," "),CHAR(10)," "),CHAR(13)," "))=$DH360),0),0),0))</f>
        <v/>
      </c>
      <c r="EO360">
        <f>IF($EN360=0,0,IF(OR(UPPER(TRIM(INDEX(LINES_SCHEDULED,$EN360)&amp;""))="YES",UPPER(TRIM(INDEX(LINES_SCHEDULED,$EN360)&amp;""))="Y",UPPER(TRIM(INDEX(LINES_SCHEDULED,$EN360)&amp;""))="X"),1,0))</f>
        <v/>
      </c>
      <c r="EP360">
        <f>IF($DM360=0,"",IF(COUNTIFS($EG$5:$EG$1003,$EG360,$EB$5:$EB$1003,"Ready")&gt;0,"READY",IF(COUNTIFS($EG$5:$EG$1003,$EG360,$EB$5:$EB$1003,"PM")&gt;0,"PM",IF(COUNTIFS($EG$5:$EG$1003,$EG360,$EB$5:$EB$1003,"OT")&gt;0,"OT",""))))</f>
        <v/>
      </c>
      <c r="EQ360">
        <f>IF($EN360=0,"",UPPER(TRIM(INDEX(LINES_STATUS,$EN360)&amp;"")))</f>
        <v/>
      </c>
      <c r="ER360">
        <f>IF($DM360=0,"",IF(OR($EQ360="READY",$EQ360="PM",$EQ360="OT"),$EQ360,$EP360))</f>
        <v/>
      </c>
      <c r="ES360">
        <f>IF($DM360=0,"",IF(AND($DV360&lt;&gt;"",UPPER($DV360)&lt;&gt;"N"),"allergen",IF(ISNUMBER(SEARCH("oil",$DQ360)),"oil",IF(OR(EXACT($DS360,"A662"),EXACT($DS360,"A624")),"bulk",""))))</f>
        <v/>
      </c>
      <c r="ET360">
        <f>IF($DM360=0,"",IF(OR($EA360="",$EA360=0),"",$EA360/100))</f>
        <v/>
      </c>
      <c r="EU360">
        <f>IF(OR($ET360="",$DY360=""),"",INT($DY360*(1-$ET360)+0.5))</f>
        <v/>
      </c>
      <c r="EW360" t="n">
        <v>356</v>
      </c>
      <c r="EX360">
        <f>IFERROR(MATCH($EW360,$EM$5:$EM$1003,0),0)</f>
        <v/>
      </c>
      <c r="EY360">
        <f>IF($EW360&gt;$B$12,"",IF($EX360&gt;0,"row","spacer"))</f>
        <v/>
      </c>
      <c r="EZ360">
        <f>IF(AND($EY360="row",$EY359&lt;&gt;"row"),1,0)</f>
        <v/>
      </c>
      <c r="FA360">
        <f>IF(AND($EY360="row",$EY361&lt;&gt;"row"),1,0)</f>
        <v/>
      </c>
      <c r="FB360">
        <f>IF($EZ360=1,IFERROR(IF(ISNUMBER(INDEX(PASTE_ALL,INDEX($DF$5:$DF$1003,$EX360),$B$37)),INDEX(PASTE_ALL,INDEX($DF$5:$DF$1003,$EX360),$B$37),INDEX($DH$5:$DH$1003,$EX360)),INDEX($DH$5:$DH$1003,$EX360)),"")</f>
        <v/>
      </c>
      <c r="FC360">
        <f>IF($EY360="row",INDEX($ER$5:$ER$1003,$EX360),"")</f>
        <v/>
      </c>
      <c r="FD360">
        <f>IF($EY360="row",INDEX($DN$5:$DN$1003,$EX360),"")</f>
        <v/>
      </c>
      <c r="FE360">
        <f>IF($EY360="row",INDEX($DO$5:$DO$1003,$EX360),"")</f>
        <v/>
      </c>
      <c r="FF360">
        <f>IF($EY360="row",INDEX($DP$5:$DP$1003,$EX360),"")</f>
        <v/>
      </c>
      <c r="FG360">
        <f>IF($EY360="row",INDEX($DQ$5:$DQ$1003,$EX360),"")</f>
        <v/>
      </c>
      <c r="FH360">
        <f>IF($EY360="row",INDEX($DR$5:$DR$1003,$EX360),"")</f>
        <v/>
      </c>
      <c r="FI360">
        <f>IF($EY360="row",INDEX($DS$5:$DS$1003,$EX360),"")</f>
        <v/>
      </c>
      <c r="FJ360">
        <f>IF($EY360="row",INDEX($DT$5:$DT$1003,$EX360),"")</f>
        <v/>
      </c>
      <c r="FK360">
        <f>IF($EY360="row",INDEX($DU$5:$DU$1003,$EX360),"")</f>
        <v/>
      </c>
      <c r="FL360">
        <f>IF($EY360="row",INDEX($DV$5:$DV$1003,$EX360),"")</f>
        <v/>
      </c>
      <c r="FM360">
        <f>IF($EY360="row",INDEX($DW$5:$DW$1003,$EX360),"")</f>
        <v/>
      </c>
      <c r="FN360">
        <f>IF($EY360="row",INDEX($DY$5:$DY$1003,$EX360),"")</f>
        <v/>
      </c>
      <c r="FO360">
        <f>IF($EY360="row",INDEX($EA$5:$EA$1003,$EX360),"")</f>
        <v/>
      </c>
      <c r="FP360">
        <f>IF($EY360="row",INDEX($EC$5:$EC$1003,$EX360),"")</f>
        <v/>
      </c>
      <c r="FQ360">
        <f>IF($EY360="row",INDEX($ET$5:$ET$1003,$EX360),"")</f>
        <v/>
      </c>
      <c r="FR360">
        <f>IF($EY360="row",INDEX($EU$5:$EU$1003,$EX360),"")</f>
        <v/>
      </c>
      <c r="FS360">
        <f>IF(AND($EY360="row",$EY359="row"),IF(OR(INDEX($DT$5:$DT$1003,$EX359)="",INDEX($DT$5:$DT$1003,$EX360)=""),"",IF(NOT(EXACT(INDEX($DT$5:$DT$1003,$EX359),INDEX($DT$5:$DT$1003,$EX360))),"S4",IF(NOT(EXACT(INDEX($DS$5:$DS$1003,$EX359),INDEX($DS$5:$DS$1003,$EX360))),"S3",IF(NOT(EXACT(INDEX($DR$5:$DR$1003,$EX359),INDEX($DR$5:$DR$1003,$EX360))),"S1 Count Change","S1")))),"")</f>
        <v/>
      </c>
      <c r="FT360">
        <f>IF($EY360="row",INDEX($ES$5:$ES$1003,$EX360),"")</f>
        <v/>
      </c>
      <c r="FU360">
        <f>IF($EY360="row",INDEX($EO$5:$EO$1003,$EX360),0)</f>
        <v/>
      </c>
      <c r="FV360">
        <f>IF($FS360="S1 Count Change",1,0)</f>
        <v/>
      </c>
    </row>
    <row r="361">
      <c r="DA361" t="n">
        <v>357</v>
      </c>
      <c r="DB361">
        <f>IF($B$37=0,"",IFERROR(TRIM(SUBSTITUTE(SUBSTITUTE(SUBSTITUTE(SUBSTITUTE(INDEX(PASTE_ALL,357,$B$37)," "," "),CHAR(9)," "),CHAR(10)," "),CHAR(13)," ")),""))</f>
        <v/>
      </c>
      <c r="DC361">
        <f>IF(AND(357&gt;HEADER_ROW,UPPER(DB361)="LEGEND"),1,0)</f>
        <v/>
      </c>
      <c r="DE361" t="n">
        <v>357</v>
      </c>
      <c r="DF361">
        <f>HEADER_ROW+$DE361</f>
        <v/>
      </c>
      <c r="DG361">
        <f>IF(AND($DF361&lt;=1000,$DF361&lt;$B$8),1,0)</f>
        <v/>
      </c>
      <c r="DH361">
        <f>IF($DG361=1,IFERROR(INDEX($DB$5:$DB$1004,$DF361),""),"")</f>
        <v/>
      </c>
      <c r="DI361">
        <f>IF(AND($DG361=1,$DH361&lt;&gt;""),IFERROR(SUBSTITUTE(SUBSTITUTE(TRIM(SUBSTITUTE(SUBSTITUTE(SUBSTITUTE(SUBSTITUTE(IFERROR(INDEX(PASTE_ALL,$DF361,1)&amp;"","")&amp;"␟"&amp;IFERROR(INDEX(PASTE_ALL,$DF361,2)&amp;"","")&amp;"␟"&amp;IFERROR(INDEX(PASTE_ALL,$DF361,3)&amp;"","")&amp;"␟"&amp;IFERROR(INDEX(PASTE_ALL,$DF361,4)&amp;"","")&amp;"␟"&amp;IFERROR(INDEX(PASTE_ALL,$DF361,5)&amp;"","")&amp;"␟"&amp;IFERROR(INDEX(PASTE_ALL,$DF361,6)&amp;"","")&amp;"␟"&amp;IFERROR(INDEX(PASTE_ALL,$DF361,7)&amp;"","")&amp;"␟"&amp;IFERROR(INDEX(PASTE_ALL,$DF361,8)&amp;"","")&amp;"␟"&amp;IFERROR(INDEX(PASTE_ALL,$DF361,9)&amp;"","")&amp;"␟"&amp;IFERROR(INDEX(PASTE_ALL,$DF361,10)&amp;"","")&amp;"␟"&amp;IFERROR(INDEX(PASTE_ALL,$DF361,11)&amp;"","")&amp;"␟"&amp;IFERROR(INDEX(PASTE_ALL,$DF361,12)&amp;"","")&amp;"␟"&amp;IFERROR(INDEX(PASTE_ALL,$DF361,13)&amp;"","")&amp;"␟"&amp;IFERROR(INDEX(PASTE_ALL,$DF361,14)&amp;"","")&amp;"␟"&amp;IFERROR(INDEX(PASTE_ALL,$DF361,15)&amp;"","")&amp;"␟"&amp;IFERROR(INDEX(PASTE_ALL,$DF361,16)&amp;"","")&amp;"␟"&amp;IFERROR(INDEX(PASTE_ALL,$DF361,17)&amp;"","")&amp;"␟"&amp;IFERROR(INDEX(PASTE_ALL,$DF361,18)&amp;"","")&amp;"␟"&amp;IFERROR(INDEX(PASTE_ALL,$DF361,19)&amp;"","")&amp;"␟"&amp;IFERROR(INDEX(PASTE_ALL,$DF361,20)&amp;"","")&amp;"␟"&amp;IFERROR(INDEX(PASTE_ALL,$DF361,21)&amp;"","")&amp;"␟"&amp;IFERROR(INDEX(PASTE_ALL,$DF361,22)&amp;"","")&amp;"␟"&amp;IFERROR(INDEX(PASTE_ALL,$DF361,23)&amp;"","")&amp;"␟"&amp;IFERROR(INDEX(PASTE_ALL,$DF361,24)&amp;"","")&amp;"␟"&amp;IFERROR(INDEX(PASTE_ALL,$DF361,25)&amp;"","")&amp;"␟"&amp;IFERROR(INDEX(PASTE_ALL,$DF361,26)&amp;"","")&amp;"␟"&amp;IFERROR(INDEX(PASTE_ALL,$DF361,27)&amp;"","")&amp;"␟"&amp;IFERROR(INDEX(PASTE_ALL,$DF361,28)&amp;"","")&amp;"␟"&amp;IFERROR(INDEX(PASTE_ALL,$DF361,29)&amp;"","")&amp;"␟"&amp;IFERROR(INDEX(PASTE_ALL,$DF361,30)&amp;"","")&amp;"␟"&amp;IFERROR(INDEX(PASTE_ALL,$DF361,31)&amp;"","")&amp;"␟"&amp;IFERROR(INDEX(PASTE_ALL,$DF361,32)&amp;"","")&amp;"␟"&amp;IFERROR(INDEX(PASTE_ALL,$DF361,33)&amp;"","")&amp;"␟"&amp;IFERROR(INDEX(PASTE_ALL,$DF361,34)&amp;"","")&amp;"␟"&amp;IFERROR(INDEX(PASTE_ALL,$DF361,35)&amp;"","")&amp;"␟"&amp;IFERROR(INDEX(PASTE_ALL,$DF361,36)&amp;"","")&amp;"␟"&amp;IFERROR(INDEX(PASTE_ALL,$DF361,37)&amp;"","")&amp;"␟"&amp;IFERROR(INDEX(PASTE_ALL,$DF361,38)&amp;"","")&amp;"␟"&amp;IFERROR(INDEX(PASTE_ALL,$DF361,39)&amp;"","")&amp;"␟"&amp;IFERROR(INDEX(PASTE_ALL,$DF361,40)&amp;"","")&amp;"␟"&amp;IFERROR(INDEX(PASTE_ALL,$DF361,41)&amp;"","")&amp;"␟"&amp;IFERROR(INDEX(PASTE_ALL,$DF361,42)&amp;"","")&amp;"␟"&amp;IFERROR(INDEX(PASTE_ALL,$DF361,43)&amp;"","")&amp;"␟"&amp;IFERROR(INDEX(PASTE_ALL,$DF361,44)&amp;"","")&amp;"␟"&amp;IFERROR(INDEX(PASTE_ALL,$DF361,45)&amp;"","")&amp;"␟"&amp;IFERROR(INDEX(PASTE_ALL,$DF361,46)&amp;"","")&amp;"␟"&amp;IFERROR(INDEX(PASTE_ALL,$DF361,47)&amp;"","")&amp;"␟"&amp;IFERROR(INDEX(PASTE_ALL,$DF361,48)&amp;"","")&amp;"␟"&amp;IFERROR(INDEX(PASTE_ALL,$DF361,49)&amp;"","")&amp;"␟"&amp;IFERROR(INDEX(PASTE_ALL,$DF361,50)&amp;"","")&amp;"␟"&amp;IFERROR(INDEX(PASTE_ALL,$DF361,51)&amp;"","")&amp;"␟"&amp;IFERROR(INDEX(PASTE_ALL,$DF361,52)&amp;"","")&amp;"␟"&amp;IFERROR(INDEX(PASTE_ALL,$DF361,53)&amp;"","")&amp;"␟"&amp;IFERROR(INDEX(PASTE_ALL,$DF361,54)&amp;"","")&amp;"␟"&amp;IFERROR(INDEX(PASTE_ALL,$DF361,55)&amp;"","")&amp;"␟"&amp;IFERROR(INDEX(PASTE_ALL,$DF361,56)&amp;"","")&amp;"␟"&amp;IFERROR(INDEX(PASTE_ALL,$DF361,57)&amp;"","")&amp;"␟"&amp;IFERROR(INDEX(PASTE_ALL,$DF361,58)&amp;"","")&amp;"␟"&amp;IFERROR(INDEX(PASTE_ALL,$DF361,59)&amp;"","")&amp;"␟"&amp;IFERROR(INDEX(PASTE_ALL,$DF361,60)&amp;"","")," "," "),CHAR(9)," "),CHAR(10)," "),CHAR(13)," "))," ␟","␟"),"␟ ","␟"),"#"&amp;$DE361),"")</f>
        <v/>
      </c>
      <c r="DJ361">
        <f>IF($DI361="",0,IF(SUMPRODUCT(--EXACT($DI$4:DI360,$DI361))&gt;0,1,0))</f>
        <v/>
      </c>
      <c r="DK361">
        <f>IF(AND($DI361&lt;&gt;"",$DJ361=0),1,0)</f>
        <v/>
      </c>
      <c r="DL361">
        <f>DL360+$DK361</f>
        <v/>
      </c>
      <c r="DM361">
        <f>IF(AND($DK361=1,$DL361&lt;=600),1,0)</f>
        <v/>
      </c>
      <c r="DN361">
        <f>IF($DM361=0,"",IF($L$6=0,"",IFERROR(IF(ISNUMBER(INDEX(PASTE_ALL,$DF361,$L$6)),INDEX(PASTE_ALL,$DF361,$L$6),TRIM(SUBSTITUTE(SUBSTITUTE(SUBSTITUTE(SUBSTITUTE(INDEX(PASTE_ALL,$DF361,$L$6)," "," "),CHAR(9)," "),CHAR(10)," "),CHAR(13)," "))),"")))</f>
        <v/>
      </c>
      <c r="DO361">
        <f>IF($DM361=0,"",IF($L$7=0,"",IFERROR(IF(ISNUMBER(INDEX(PASTE_ALL,$DF361,$L$7)),INDEX(PASTE_ALL,$DF361,$L$7),TRIM(SUBSTITUTE(SUBSTITUTE(SUBSTITUTE(SUBSTITUTE(INDEX(PASTE_ALL,$DF361,$L$7)," "," "),CHAR(9)," "),CHAR(10)," "),CHAR(13)," "))),"")))</f>
        <v/>
      </c>
      <c r="DP361">
        <f>IF($DM361=0,"",IF($L$8=0,"",IFERROR(IF(ISNUMBER(INDEX(PASTE_ALL,$DF361,$L$8)),INDEX(PASTE_ALL,$DF361,$L$8),TRIM(SUBSTITUTE(SUBSTITUTE(SUBSTITUTE(SUBSTITUTE(INDEX(PASTE_ALL,$DF361,$L$8)," "," "),CHAR(9)," "),CHAR(10)," "),CHAR(13)," "))),"")))</f>
        <v/>
      </c>
      <c r="DQ361">
        <f>IF($DM361=0,"",IF($L$9=0,"",IFERROR(IF(ISNUMBER(INDEX(PASTE_ALL,$DF361,$L$9)),INDEX(PASTE_ALL,$DF361,$L$9),TRIM(SUBSTITUTE(SUBSTITUTE(SUBSTITUTE(SUBSTITUTE(INDEX(PASTE_ALL,$DF361,$L$9)," "," "),CHAR(9)," "),CHAR(10)," "),CHAR(13)," "))),"")))</f>
        <v/>
      </c>
      <c r="DR361">
        <f>IF($DM361=0,"",IF($L$10=0,"",IFERROR(IF(ISNUMBER(INDEX(PASTE_ALL,$DF361,$L$10)),INDEX(PASTE_ALL,$DF361,$L$10),TRIM(SUBSTITUTE(SUBSTITUTE(SUBSTITUTE(SUBSTITUTE(INDEX(PASTE_ALL,$DF361,$L$10)," "," "),CHAR(9)," "),CHAR(10)," "),CHAR(13)," "))),"")))</f>
        <v/>
      </c>
      <c r="DS361">
        <f>IF($DM361=0,"",IF($L$11=0,"",IFERROR(IF(ISNUMBER(INDEX(PASTE_ALL,$DF361,$L$11)),INDEX(PASTE_ALL,$DF361,$L$11),TRIM(SUBSTITUTE(SUBSTITUTE(SUBSTITUTE(SUBSTITUTE(INDEX(PASTE_ALL,$DF361,$L$11)," "," "),CHAR(9)," "),CHAR(10)," "),CHAR(13)," "))),"")))</f>
        <v/>
      </c>
      <c r="DT361">
        <f>IF($DM361=0,"",IF($L$12=0,"",IFERROR(IF(ISNUMBER(INDEX(PASTE_ALL,$DF361,$L$12)),INDEX(PASTE_ALL,$DF361,$L$12),TRIM(SUBSTITUTE(SUBSTITUTE(SUBSTITUTE(SUBSTITUTE(INDEX(PASTE_ALL,$DF361,$L$12)," "," "),CHAR(9)," "),CHAR(10)," "),CHAR(13)," "))),"")))</f>
        <v/>
      </c>
      <c r="DU361">
        <f>IF($DM361=0,"",IF($L$13=0,"",IFERROR(IF(ISNUMBER(INDEX(PASTE_ALL,$DF361,$L$13)),INDEX(PASTE_ALL,$DF361,$L$13),TRIM(SUBSTITUTE(SUBSTITUTE(SUBSTITUTE(SUBSTITUTE(INDEX(PASTE_ALL,$DF361,$L$13)," "," "),CHAR(9)," "),CHAR(10)," "),CHAR(13)," "))),"")))</f>
        <v/>
      </c>
      <c r="DV361">
        <f>IF($DM361=0,"",IF($L$14=0,"",IFERROR(IF(ISNUMBER(INDEX(PASTE_ALL,$DF361,$L$14)),INDEX(PASTE_ALL,$DF361,$L$14),TRIM(SUBSTITUTE(SUBSTITUTE(SUBSTITUTE(SUBSTITUTE(INDEX(PASTE_ALL,$DF361,$L$14)," "," "),CHAR(9)," "),CHAR(10)," "),CHAR(13)," "))),"")))</f>
        <v/>
      </c>
      <c r="DW361">
        <f>IF($DM361=0,"",IF($L$15=0,"",IFERROR(IF(ISNUMBER(INDEX(PASTE_ALL,$DF361,$L$15)),INDEX(PASTE_ALL,$DF361,$L$15),IF(SUMPRODUCT(--ISNUMBER(FIND({"A","B","C","D","E","F","G","H","I","J","K","L","M","N","O","P","Q","R","S","T","U","V","W","X","Y","Z","0","1","2","3","4","5","6","7","8","9"},UPPER(TRIM(SUBSTITUTE(SUBSTITUTE(SUBSTITUTE(SUBSTITUTE(INDEX(PASTE_ALL,$DF361,$L$15)," "," "),CHAR(9)," "),CHAR(10)," "),CHAR(13)," "))))))&gt;0,TRIM(SUBSTITUTE(SUBSTITUTE(SUBSTITUTE(SUBSTITUTE(INDEX(PASTE_ALL,$DF361,$L$15)," "," "),CHAR(9)," "),CHAR(10)," "),CHAR(13)," ")),"")),"")))</f>
        <v/>
      </c>
      <c r="DX361">
        <f>IF($DM361=0,"",IF($L$16=0,"",IFERROR(IF(ISNUMBER(INDEX(PASTE_ALL,$DF361,$L$16)),INDEX(PASTE_ALL,$DF361,$L$16),SUBSTITUTE(SUBSTITUTE(TRIM(SUBSTITUTE(SUBSTITUTE(SUBSTITUTE(SUBSTITUTE(INDEX(PASTE_ALL,$DF361,$L$16)," "," "),CHAR(9)," "),CHAR(10)," "),CHAR(13)," ")),",",""),"%","")),"")))</f>
        <v/>
      </c>
      <c r="DY361">
        <f>IF($DM361=0,"",IFERROR(IF(ISNUMBER($DX361),$DX361,IF($DX361="","",IF(TRIM($DX361)="",0,IF(AND(AND(SUBSTITUTE(SUBSTITUTE(SUBSTITUTE(SUBSTITUTE(SUBSTITUTE(SUBSTITUTE(SUBSTITUTE(SUBSTITUTE(SUBSTITUTE(SUBSTITUTE(SUBSTITUTE(SUBSTITUTE(SUBSTITUTE(SUBSTITUTE(UPPER(TRIM($DX361)),"0",""),"1",""),"2",""),"3",""),"4",""),"5",""),"6",""),"7",""),"8",""),"9",""),".",""),"+",""),"-",""),"E","")="",LEN(SUBSTITUTE(SUBSTITUTE(MID(UPPER(TRIM($DX361)),1+OR(LEFT(UPPER(TRIM($DX361)),1)="+",LEFT(UPPER(TRIM($DX361)),1)="-"),999),"E+","E"),"E-","E"))=LEN(SUBSTITUTE(SUBSTITUTE(SUBSTITUTE(SUBSTITUTE(MID(UPPER(TRIM($DX361)),1+OR(LEFT(UPPER(TRIM($DX361)),1)="+",LEFT(UPPER(TRIM($DX361)),1)="-"),999),"E+","E"),"E-","E"),"+",""),"-","")),LEN(UPPER(TRIM($DX361)))-LEN(SUBSTITUTE(UPPER(TRIM($DX361)),"E",""))&lt;2,LEN(UPPER(TRIM($DX361)))-LEN(SUBSTITUTE(UPPER(TRIM($DX361)),".",""))&lt;2,IFERROR(FIND(".",UPPER(TRIM($DX361))),0)&lt;IFERROR(FIND("E",UPPER(TRIM($DX361))),999)),ISNUMBER(VALUE(TRIM($DX361)))),VALUE(TRIM($DX361)),"")))),""))</f>
        <v/>
      </c>
      <c r="DZ361">
        <f>IF($DM361=0,"",IF($L$17=0,"",IFERROR(IF(ISNUMBER(INDEX(PASTE_ALL,$DF361,$L$17)),INDEX(PASTE_ALL,$DF361,$L$17),SUBSTITUTE(SUBSTITUTE(TRIM(SUBSTITUTE(SUBSTITUTE(SUBSTITUTE(SUBSTITUTE(INDEX(PASTE_ALL,$DF361,$L$17)," "," "),CHAR(9)," "),CHAR(10)," "),CHAR(13)," ")),",",""),"%","")),"")))</f>
        <v/>
      </c>
      <c r="EA361">
        <f>IF($DM361=0,"",IFERROR(IF(ISNUMBER($DZ361),$DZ361,IF($DZ361="","",IF(TRIM($DZ361)="",0,IF(AND(AND(SUBSTITUTE(SUBSTITUTE(SUBSTITUTE(SUBSTITUTE(SUBSTITUTE(SUBSTITUTE(SUBSTITUTE(SUBSTITUTE(SUBSTITUTE(SUBSTITUTE(SUBSTITUTE(SUBSTITUTE(SUBSTITUTE(SUBSTITUTE(UPPER(TRIM($DZ361)),"0",""),"1",""),"2",""),"3",""),"4",""),"5",""),"6",""),"7",""),"8",""),"9",""),".",""),"+",""),"-",""),"E","")="",LEN(SUBSTITUTE(SUBSTITUTE(MID(UPPER(TRIM($DZ361)),1+OR(LEFT(UPPER(TRIM($DZ361)),1)="+",LEFT(UPPER(TRIM($DZ361)),1)="-"),999),"E+","E"),"E-","E"))=LEN(SUBSTITUTE(SUBSTITUTE(SUBSTITUTE(SUBSTITUTE(MID(UPPER(TRIM($DZ361)),1+OR(LEFT(UPPER(TRIM($DZ361)),1)="+",LEFT(UPPER(TRIM($DZ361)),1)="-"),999),"E+","E"),"E-","E"),"+",""),"-","")),LEN(UPPER(TRIM($DZ361)))-LEN(SUBSTITUTE(UPPER(TRIM($DZ361)),"E",""))&lt;2,LEN(UPPER(TRIM($DZ361)))-LEN(SUBSTITUTE(UPPER(TRIM($DZ361)),".",""))&lt;2,IFERROR(FIND(".",UPPER(TRIM($DZ361))),0)&lt;IFERROR(FIND("E",UPPER(TRIM($DZ361))),999)),ISNUMBER(VALUE(TRIM($DZ361)))),VALUE(TRIM($DZ361)),"")))),""))</f>
        <v/>
      </c>
      <c r="EB361">
        <f>IF($DM361=0,"",IF($L$18=0,"",IFERROR(IF(UPPER(TRIM(SUBSTITUTE(SUBSTITUTE(SUBSTITUTE(SUBSTITUTE(INDEX(PASTE_ALL,$DF361,$L$18)," "," "),CHAR(9)," "),CHAR(10)," "),CHAR(13)," ")))="READY","Ready",IF(UPPER(TRIM(SUBSTITUTE(SUBSTITUTE(SUBSTITUTE(SUBSTITUTE(INDEX(PASTE_ALL,$DF361,$L$18)," "," "),CHAR(9)," "),CHAR(10)," "),CHAR(13)," ")))="PM","PM",IF(OR(UPPER(TRIM(SUBSTITUTE(SUBSTITUTE(SUBSTITUTE(SUBSTITUTE(INDEX(PASTE_ALL,$DF361,$L$18)," "," "),CHAR(9)," "),CHAR(10)," "),CHAR(13)," ")))="OT",UPPER(TRIM(SUBSTITUTE(SUBSTITUTE(SUBSTITUTE(SUBSTITUTE(INDEX(PASTE_ALL,$DF361,$L$18)," "," "),CHAR(9)," "),CHAR(10)," "),CHAR(13)," ")))="OVERTIME",UPPER(TRIM(SUBSTITUTE(SUBSTITUTE(SUBSTITUTE(SUBSTITUTE(INDEX(PASTE_ALL,$DF361,$L$18)," "," "),CHAR(9)," "),CHAR(10)," "),CHAR(13)," ")))="TRIAL"),"OT",TRIM(SUBSTITUTE(SUBSTITUTE(SUBSTITUTE(SUBSTITUTE(INDEX(PASTE_ALL,$DF361,$L$18)," "," "),CHAR(9)," "),CHAR(10)," "),CHAR(13)," "))))),"")))</f>
        <v/>
      </c>
      <c r="EC361">
        <f>IF($DM361=0,"",IF($L$19=0,"",IFERROR(IF(ISNUMBER(INDEX(PASTE_ALL,$DF361,$L$19)),INDEX(PASTE_ALL,$DF361,$L$19),TRIM(SUBSTITUTE(SUBSTITUTE(SUBSTITUTE(SUBSTITUTE(INDEX(PASTE_ALL,$DF361,$L$19)," "," "),CHAR(9)," "),CHAR(10)," "),CHAR(13)," "))),"")))</f>
        <v/>
      </c>
      <c r="ED361">
        <f>IF($DM361=0,"",MATCH(1,INDEX(EXACT($DH$5:DH361,$DH361)*$DM$5:DM361,0),0))</f>
        <v/>
      </c>
      <c r="EE361">
        <f>IF($DM361=0,0,IF($ED361=$DE361,1,0))</f>
        <v/>
      </c>
      <c r="EF361">
        <f>EF360+$EE361</f>
        <v/>
      </c>
      <c r="EG361">
        <f>IF($DM361=0,"",INDEX($EF$5:$EF$1003,$ED361))</f>
        <v/>
      </c>
      <c r="EH361">
        <f>IF($DM361=0,"",IF($DO361&lt;&gt;"","",IFERROR(LOOKUP(2,1/(($EG$4:EG360=$EG361)*($DO$4:DO360&lt;&gt;"")),$DO$4:DO360),"")))</f>
        <v/>
      </c>
      <c r="EI361">
        <f>IF($DM361=0,"",IF($DO361&lt;&gt;"",$DO361,$EH361))</f>
        <v/>
      </c>
      <c r="EJ361">
        <f>IF($DM361=0,"",IF($EI361="",0,IF(OR(ISNUMBER($EI361),AND(AND(SUBSTITUTE(SUBSTITUTE(SUBSTITUTE(SUBSTITUTE(SUBSTITUTE(SUBSTITUTE(SUBSTITUTE(SUBSTITUTE(SUBSTITUTE(SUBSTITUTE(SUBSTITUTE(SUBSTITUTE(SUBSTITUTE(SUBSTITUTE(UPPER($EI361),"0",""),"1",""),"2",""),"3",""),"4",""),"5",""),"6",""),"7",""),"8",""),"9",""),".",""),"+",""),"-",""),"E","")="",LEN(SUBSTITUTE(SUBSTITUTE(MID(UPPER($EI361),1+OR(LEFT(UPPER($EI361),1)="+",LEFT(UPPER($EI361),1)="-"),999),"E+","E"),"E-","E"))=LEN(SUBSTITUTE(SUBSTITUTE(SUBSTITUTE(SUBSTITUTE(MID(UPPER($EI361),1+OR(LEFT(UPPER($EI361),1)="+",LEFT(UPPER($EI361),1)="-"),999),"E+","E"),"E-","E"),"+",""),"-","")),LEN(UPPER($EI361))-LEN(SUBSTITUTE(UPPER($EI361),"E",""))&lt;2,LEN(UPPER($EI361))-LEN(SUBSTITUTE(UPPER($EI361),".",""))&lt;2,IFERROR(FIND(".",UPPER($EI361)),0)&lt;IFERROR(FIND("E",UPPER($EI361)),999)),ISNUMBER(VALUE($EI361)))),1,2)))</f>
        <v/>
      </c>
      <c r="EK361">
        <f>IF($DM361=0,"",IF($EJ361=1,IF(ISNUMBER($EI361),$EI361,VALUE($EI361)),IF($EJ361=2,$DE361,0)))</f>
        <v/>
      </c>
      <c r="EL361">
        <f>IF($DM361=0,"",COUNTIF($EG$5:$EG$1003,"&lt;"&amp;$EG361)+SUMPRODUCT(($EG$5:$EG$1003=$EG361)*(($EJ$5:$EJ$1003&lt;$EJ361)+($EJ$5:$EJ$1003=$EJ361)*(($EK$5:$EK$1003&lt;$EK361)+($EK$5:$EK$1003=$EK361)*($DE$5:$DE$1003&lt;$DE361))))+1)</f>
        <v/>
      </c>
      <c r="EM361">
        <f>IF($DM361=0,"",$EL361+$EG361-1)</f>
        <v/>
      </c>
      <c r="EN361">
        <f>IF($DM361=0,0,IFERROR(MATCH(1,INDEX(--(TRIM(SUBSTITUTE(SUBSTITUTE(SUBSTITUTE(SUBSTITUTE(LINES_NAME&amp;""," "," "),CHAR(9)," "),CHAR(10)," "),CHAR(13)," "))=$DH361),0),0),0))</f>
        <v/>
      </c>
      <c r="EO361">
        <f>IF($EN361=0,0,IF(OR(UPPER(TRIM(INDEX(LINES_SCHEDULED,$EN361)&amp;""))="YES",UPPER(TRIM(INDEX(LINES_SCHEDULED,$EN361)&amp;""))="Y",UPPER(TRIM(INDEX(LINES_SCHEDULED,$EN361)&amp;""))="X"),1,0))</f>
        <v/>
      </c>
      <c r="EP361">
        <f>IF($DM361=0,"",IF(COUNTIFS($EG$5:$EG$1003,$EG361,$EB$5:$EB$1003,"Ready")&gt;0,"READY",IF(COUNTIFS($EG$5:$EG$1003,$EG361,$EB$5:$EB$1003,"PM")&gt;0,"PM",IF(COUNTIFS($EG$5:$EG$1003,$EG361,$EB$5:$EB$1003,"OT")&gt;0,"OT",""))))</f>
        <v/>
      </c>
      <c r="EQ361">
        <f>IF($EN361=0,"",UPPER(TRIM(INDEX(LINES_STATUS,$EN361)&amp;"")))</f>
        <v/>
      </c>
      <c r="ER361">
        <f>IF($DM361=0,"",IF(OR($EQ361="READY",$EQ361="PM",$EQ361="OT"),$EQ361,$EP361))</f>
        <v/>
      </c>
      <c r="ES361">
        <f>IF($DM361=0,"",IF(AND($DV361&lt;&gt;"",UPPER($DV361)&lt;&gt;"N"),"allergen",IF(ISNUMBER(SEARCH("oil",$DQ361)),"oil",IF(OR(EXACT($DS361,"A662"),EXACT($DS361,"A624")),"bulk",""))))</f>
        <v/>
      </c>
      <c r="ET361">
        <f>IF($DM361=0,"",IF(OR($EA361="",$EA361=0),"",$EA361/100))</f>
        <v/>
      </c>
      <c r="EU361">
        <f>IF(OR($ET361="",$DY361=""),"",INT($DY361*(1-$ET361)+0.5))</f>
        <v/>
      </c>
      <c r="EW361" t="n">
        <v>357</v>
      </c>
      <c r="EX361">
        <f>IFERROR(MATCH($EW361,$EM$5:$EM$1003,0),0)</f>
        <v/>
      </c>
      <c r="EY361">
        <f>IF($EW361&gt;$B$12,"",IF($EX361&gt;0,"row","spacer"))</f>
        <v/>
      </c>
      <c r="EZ361">
        <f>IF(AND($EY361="row",$EY360&lt;&gt;"row"),1,0)</f>
        <v/>
      </c>
      <c r="FA361">
        <f>IF(AND($EY361="row",$EY362&lt;&gt;"row"),1,0)</f>
        <v/>
      </c>
      <c r="FB361">
        <f>IF($EZ361=1,IFERROR(IF(ISNUMBER(INDEX(PASTE_ALL,INDEX($DF$5:$DF$1003,$EX361),$B$37)),INDEX(PASTE_ALL,INDEX($DF$5:$DF$1003,$EX361),$B$37),INDEX($DH$5:$DH$1003,$EX361)),INDEX($DH$5:$DH$1003,$EX361)),"")</f>
        <v/>
      </c>
      <c r="FC361">
        <f>IF($EY361="row",INDEX($ER$5:$ER$1003,$EX361),"")</f>
        <v/>
      </c>
      <c r="FD361">
        <f>IF($EY361="row",INDEX($DN$5:$DN$1003,$EX361),"")</f>
        <v/>
      </c>
      <c r="FE361">
        <f>IF($EY361="row",INDEX($DO$5:$DO$1003,$EX361),"")</f>
        <v/>
      </c>
      <c r="FF361">
        <f>IF($EY361="row",INDEX($DP$5:$DP$1003,$EX361),"")</f>
        <v/>
      </c>
      <c r="FG361">
        <f>IF($EY361="row",INDEX($DQ$5:$DQ$1003,$EX361),"")</f>
        <v/>
      </c>
      <c r="FH361">
        <f>IF($EY361="row",INDEX($DR$5:$DR$1003,$EX361),"")</f>
        <v/>
      </c>
      <c r="FI361">
        <f>IF($EY361="row",INDEX($DS$5:$DS$1003,$EX361),"")</f>
        <v/>
      </c>
      <c r="FJ361">
        <f>IF($EY361="row",INDEX($DT$5:$DT$1003,$EX361),"")</f>
        <v/>
      </c>
      <c r="FK361">
        <f>IF($EY361="row",INDEX($DU$5:$DU$1003,$EX361),"")</f>
        <v/>
      </c>
      <c r="FL361">
        <f>IF($EY361="row",INDEX($DV$5:$DV$1003,$EX361),"")</f>
        <v/>
      </c>
      <c r="FM361">
        <f>IF($EY361="row",INDEX($DW$5:$DW$1003,$EX361),"")</f>
        <v/>
      </c>
      <c r="FN361">
        <f>IF($EY361="row",INDEX($DY$5:$DY$1003,$EX361),"")</f>
        <v/>
      </c>
      <c r="FO361">
        <f>IF($EY361="row",INDEX($EA$5:$EA$1003,$EX361),"")</f>
        <v/>
      </c>
      <c r="FP361">
        <f>IF($EY361="row",INDEX($EC$5:$EC$1003,$EX361),"")</f>
        <v/>
      </c>
      <c r="FQ361">
        <f>IF($EY361="row",INDEX($ET$5:$ET$1003,$EX361),"")</f>
        <v/>
      </c>
      <c r="FR361">
        <f>IF($EY361="row",INDEX($EU$5:$EU$1003,$EX361),"")</f>
        <v/>
      </c>
      <c r="FS361">
        <f>IF(AND($EY361="row",$EY360="row"),IF(OR(INDEX($DT$5:$DT$1003,$EX360)="",INDEX($DT$5:$DT$1003,$EX361)=""),"",IF(NOT(EXACT(INDEX($DT$5:$DT$1003,$EX360),INDEX($DT$5:$DT$1003,$EX361))),"S4",IF(NOT(EXACT(INDEX($DS$5:$DS$1003,$EX360),INDEX($DS$5:$DS$1003,$EX361))),"S3",IF(NOT(EXACT(INDEX($DR$5:$DR$1003,$EX360),INDEX($DR$5:$DR$1003,$EX361))),"S1 Count Change","S1")))),"")</f>
        <v/>
      </c>
      <c r="FT361">
        <f>IF($EY361="row",INDEX($ES$5:$ES$1003,$EX361),"")</f>
        <v/>
      </c>
      <c r="FU361">
        <f>IF($EY361="row",INDEX($EO$5:$EO$1003,$EX361),0)</f>
        <v/>
      </c>
      <c r="FV361">
        <f>IF($FS361="S1 Count Change",1,0)</f>
        <v/>
      </c>
    </row>
    <row r="362">
      <c r="DA362" t="n">
        <v>358</v>
      </c>
      <c r="DB362">
        <f>IF($B$37=0,"",IFERROR(TRIM(SUBSTITUTE(SUBSTITUTE(SUBSTITUTE(SUBSTITUTE(INDEX(PASTE_ALL,358,$B$37)," "," "),CHAR(9)," "),CHAR(10)," "),CHAR(13)," ")),""))</f>
        <v/>
      </c>
      <c r="DC362">
        <f>IF(AND(358&gt;HEADER_ROW,UPPER(DB362)="LEGEND"),1,0)</f>
        <v/>
      </c>
      <c r="DE362" t="n">
        <v>358</v>
      </c>
      <c r="DF362">
        <f>HEADER_ROW+$DE362</f>
        <v/>
      </c>
      <c r="DG362">
        <f>IF(AND($DF362&lt;=1000,$DF362&lt;$B$8),1,0)</f>
        <v/>
      </c>
      <c r="DH362">
        <f>IF($DG362=1,IFERROR(INDEX($DB$5:$DB$1004,$DF362),""),"")</f>
        <v/>
      </c>
      <c r="DI362">
        <f>IF(AND($DG362=1,$DH362&lt;&gt;""),IFERROR(SUBSTITUTE(SUBSTITUTE(TRIM(SUBSTITUTE(SUBSTITUTE(SUBSTITUTE(SUBSTITUTE(IFERROR(INDEX(PASTE_ALL,$DF362,1)&amp;"","")&amp;"␟"&amp;IFERROR(INDEX(PASTE_ALL,$DF362,2)&amp;"","")&amp;"␟"&amp;IFERROR(INDEX(PASTE_ALL,$DF362,3)&amp;"","")&amp;"␟"&amp;IFERROR(INDEX(PASTE_ALL,$DF362,4)&amp;"","")&amp;"␟"&amp;IFERROR(INDEX(PASTE_ALL,$DF362,5)&amp;"","")&amp;"␟"&amp;IFERROR(INDEX(PASTE_ALL,$DF362,6)&amp;"","")&amp;"␟"&amp;IFERROR(INDEX(PASTE_ALL,$DF362,7)&amp;"","")&amp;"␟"&amp;IFERROR(INDEX(PASTE_ALL,$DF362,8)&amp;"","")&amp;"␟"&amp;IFERROR(INDEX(PASTE_ALL,$DF362,9)&amp;"","")&amp;"␟"&amp;IFERROR(INDEX(PASTE_ALL,$DF362,10)&amp;"","")&amp;"␟"&amp;IFERROR(INDEX(PASTE_ALL,$DF362,11)&amp;"","")&amp;"␟"&amp;IFERROR(INDEX(PASTE_ALL,$DF362,12)&amp;"","")&amp;"␟"&amp;IFERROR(INDEX(PASTE_ALL,$DF362,13)&amp;"","")&amp;"␟"&amp;IFERROR(INDEX(PASTE_ALL,$DF362,14)&amp;"","")&amp;"␟"&amp;IFERROR(INDEX(PASTE_ALL,$DF362,15)&amp;"","")&amp;"␟"&amp;IFERROR(INDEX(PASTE_ALL,$DF362,16)&amp;"","")&amp;"␟"&amp;IFERROR(INDEX(PASTE_ALL,$DF362,17)&amp;"","")&amp;"␟"&amp;IFERROR(INDEX(PASTE_ALL,$DF362,18)&amp;"","")&amp;"␟"&amp;IFERROR(INDEX(PASTE_ALL,$DF362,19)&amp;"","")&amp;"␟"&amp;IFERROR(INDEX(PASTE_ALL,$DF362,20)&amp;"","")&amp;"␟"&amp;IFERROR(INDEX(PASTE_ALL,$DF362,21)&amp;"","")&amp;"␟"&amp;IFERROR(INDEX(PASTE_ALL,$DF362,22)&amp;"","")&amp;"␟"&amp;IFERROR(INDEX(PASTE_ALL,$DF362,23)&amp;"","")&amp;"␟"&amp;IFERROR(INDEX(PASTE_ALL,$DF362,24)&amp;"","")&amp;"␟"&amp;IFERROR(INDEX(PASTE_ALL,$DF362,25)&amp;"","")&amp;"␟"&amp;IFERROR(INDEX(PASTE_ALL,$DF362,26)&amp;"","")&amp;"␟"&amp;IFERROR(INDEX(PASTE_ALL,$DF362,27)&amp;"","")&amp;"␟"&amp;IFERROR(INDEX(PASTE_ALL,$DF362,28)&amp;"","")&amp;"␟"&amp;IFERROR(INDEX(PASTE_ALL,$DF362,29)&amp;"","")&amp;"␟"&amp;IFERROR(INDEX(PASTE_ALL,$DF362,30)&amp;"","")&amp;"␟"&amp;IFERROR(INDEX(PASTE_ALL,$DF362,31)&amp;"","")&amp;"␟"&amp;IFERROR(INDEX(PASTE_ALL,$DF362,32)&amp;"","")&amp;"␟"&amp;IFERROR(INDEX(PASTE_ALL,$DF362,33)&amp;"","")&amp;"␟"&amp;IFERROR(INDEX(PASTE_ALL,$DF362,34)&amp;"","")&amp;"␟"&amp;IFERROR(INDEX(PASTE_ALL,$DF362,35)&amp;"","")&amp;"␟"&amp;IFERROR(INDEX(PASTE_ALL,$DF362,36)&amp;"","")&amp;"␟"&amp;IFERROR(INDEX(PASTE_ALL,$DF362,37)&amp;"","")&amp;"␟"&amp;IFERROR(INDEX(PASTE_ALL,$DF362,38)&amp;"","")&amp;"␟"&amp;IFERROR(INDEX(PASTE_ALL,$DF362,39)&amp;"","")&amp;"␟"&amp;IFERROR(INDEX(PASTE_ALL,$DF362,40)&amp;"","")&amp;"␟"&amp;IFERROR(INDEX(PASTE_ALL,$DF362,41)&amp;"","")&amp;"␟"&amp;IFERROR(INDEX(PASTE_ALL,$DF362,42)&amp;"","")&amp;"␟"&amp;IFERROR(INDEX(PASTE_ALL,$DF362,43)&amp;"","")&amp;"␟"&amp;IFERROR(INDEX(PASTE_ALL,$DF362,44)&amp;"","")&amp;"␟"&amp;IFERROR(INDEX(PASTE_ALL,$DF362,45)&amp;"","")&amp;"␟"&amp;IFERROR(INDEX(PASTE_ALL,$DF362,46)&amp;"","")&amp;"␟"&amp;IFERROR(INDEX(PASTE_ALL,$DF362,47)&amp;"","")&amp;"␟"&amp;IFERROR(INDEX(PASTE_ALL,$DF362,48)&amp;"","")&amp;"␟"&amp;IFERROR(INDEX(PASTE_ALL,$DF362,49)&amp;"","")&amp;"␟"&amp;IFERROR(INDEX(PASTE_ALL,$DF362,50)&amp;"","")&amp;"␟"&amp;IFERROR(INDEX(PASTE_ALL,$DF362,51)&amp;"","")&amp;"␟"&amp;IFERROR(INDEX(PASTE_ALL,$DF362,52)&amp;"","")&amp;"␟"&amp;IFERROR(INDEX(PASTE_ALL,$DF362,53)&amp;"","")&amp;"␟"&amp;IFERROR(INDEX(PASTE_ALL,$DF362,54)&amp;"","")&amp;"␟"&amp;IFERROR(INDEX(PASTE_ALL,$DF362,55)&amp;"","")&amp;"␟"&amp;IFERROR(INDEX(PASTE_ALL,$DF362,56)&amp;"","")&amp;"␟"&amp;IFERROR(INDEX(PASTE_ALL,$DF362,57)&amp;"","")&amp;"␟"&amp;IFERROR(INDEX(PASTE_ALL,$DF362,58)&amp;"","")&amp;"␟"&amp;IFERROR(INDEX(PASTE_ALL,$DF362,59)&amp;"","")&amp;"␟"&amp;IFERROR(INDEX(PASTE_ALL,$DF362,60)&amp;"","")," "," "),CHAR(9)," "),CHAR(10)," "),CHAR(13)," "))," ␟","␟"),"␟ ","␟"),"#"&amp;$DE362),"")</f>
        <v/>
      </c>
      <c r="DJ362">
        <f>IF($DI362="",0,IF(SUMPRODUCT(--EXACT($DI$4:DI361,$DI362))&gt;0,1,0))</f>
        <v/>
      </c>
      <c r="DK362">
        <f>IF(AND($DI362&lt;&gt;"",$DJ362=0),1,0)</f>
        <v/>
      </c>
      <c r="DL362">
        <f>DL361+$DK362</f>
        <v/>
      </c>
      <c r="DM362">
        <f>IF(AND($DK362=1,$DL362&lt;=600),1,0)</f>
        <v/>
      </c>
      <c r="DN362">
        <f>IF($DM362=0,"",IF($L$6=0,"",IFERROR(IF(ISNUMBER(INDEX(PASTE_ALL,$DF362,$L$6)),INDEX(PASTE_ALL,$DF362,$L$6),TRIM(SUBSTITUTE(SUBSTITUTE(SUBSTITUTE(SUBSTITUTE(INDEX(PASTE_ALL,$DF362,$L$6)," "," "),CHAR(9)," "),CHAR(10)," "),CHAR(13)," "))),"")))</f>
        <v/>
      </c>
      <c r="DO362">
        <f>IF($DM362=0,"",IF($L$7=0,"",IFERROR(IF(ISNUMBER(INDEX(PASTE_ALL,$DF362,$L$7)),INDEX(PASTE_ALL,$DF362,$L$7),TRIM(SUBSTITUTE(SUBSTITUTE(SUBSTITUTE(SUBSTITUTE(INDEX(PASTE_ALL,$DF362,$L$7)," "," "),CHAR(9)," "),CHAR(10)," "),CHAR(13)," "))),"")))</f>
        <v/>
      </c>
      <c r="DP362">
        <f>IF($DM362=0,"",IF($L$8=0,"",IFERROR(IF(ISNUMBER(INDEX(PASTE_ALL,$DF362,$L$8)),INDEX(PASTE_ALL,$DF362,$L$8),TRIM(SUBSTITUTE(SUBSTITUTE(SUBSTITUTE(SUBSTITUTE(INDEX(PASTE_ALL,$DF362,$L$8)," "," "),CHAR(9)," "),CHAR(10)," "),CHAR(13)," "))),"")))</f>
        <v/>
      </c>
      <c r="DQ362">
        <f>IF($DM362=0,"",IF($L$9=0,"",IFERROR(IF(ISNUMBER(INDEX(PASTE_ALL,$DF362,$L$9)),INDEX(PASTE_ALL,$DF362,$L$9),TRIM(SUBSTITUTE(SUBSTITUTE(SUBSTITUTE(SUBSTITUTE(INDEX(PASTE_ALL,$DF362,$L$9)," "," "),CHAR(9)," "),CHAR(10)," "),CHAR(13)," "))),"")))</f>
        <v/>
      </c>
      <c r="DR362">
        <f>IF($DM362=0,"",IF($L$10=0,"",IFERROR(IF(ISNUMBER(INDEX(PASTE_ALL,$DF362,$L$10)),INDEX(PASTE_ALL,$DF362,$L$10),TRIM(SUBSTITUTE(SUBSTITUTE(SUBSTITUTE(SUBSTITUTE(INDEX(PASTE_ALL,$DF362,$L$10)," "," "),CHAR(9)," "),CHAR(10)," "),CHAR(13)," "))),"")))</f>
        <v/>
      </c>
      <c r="DS362">
        <f>IF($DM362=0,"",IF($L$11=0,"",IFERROR(IF(ISNUMBER(INDEX(PASTE_ALL,$DF362,$L$11)),INDEX(PASTE_ALL,$DF362,$L$11),TRIM(SUBSTITUTE(SUBSTITUTE(SUBSTITUTE(SUBSTITUTE(INDEX(PASTE_ALL,$DF362,$L$11)," "," "),CHAR(9)," "),CHAR(10)," "),CHAR(13)," "))),"")))</f>
        <v/>
      </c>
      <c r="DT362">
        <f>IF($DM362=0,"",IF($L$12=0,"",IFERROR(IF(ISNUMBER(INDEX(PASTE_ALL,$DF362,$L$12)),INDEX(PASTE_ALL,$DF362,$L$12),TRIM(SUBSTITUTE(SUBSTITUTE(SUBSTITUTE(SUBSTITUTE(INDEX(PASTE_ALL,$DF362,$L$12)," "," "),CHAR(9)," "),CHAR(10)," "),CHAR(13)," "))),"")))</f>
        <v/>
      </c>
      <c r="DU362">
        <f>IF($DM362=0,"",IF($L$13=0,"",IFERROR(IF(ISNUMBER(INDEX(PASTE_ALL,$DF362,$L$13)),INDEX(PASTE_ALL,$DF362,$L$13),TRIM(SUBSTITUTE(SUBSTITUTE(SUBSTITUTE(SUBSTITUTE(INDEX(PASTE_ALL,$DF362,$L$13)," "," "),CHAR(9)," "),CHAR(10)," "),CHAR(13)," "))),"")))</f>
        <v/>
      </c>
      <c r="DV362">
        <f>IF($DM362=0,"",IF($L$14=0,"",IFERROR(IF(ISNUMBER(INDEX(PASTE_ALL,$DF362,$L$14)),INDEX(PASTE_ALL,$DF362,$L$14),TRIM(SUBSTITUTE(SUBSTITUTE(SUBSTITUTE(SUBSTITUTE(INDEX(PASTE_ALL,$DF362,$L$14)," "," "),CHAR(9)," "),CHAR(10)," "),CHAR(13)," "))),"")))</f>
        <v/>
      </c>
      <c r="DW362">
        <f>IF($DM362=0,"",IF($L$15=0,"",IFERROR(IF(ISNUMBER(INDEX(PASTE_ALL,$DF362,$L$15)),INDEX(PASTE_ALL,$DF362,$L$15),IF(SUMPRODUCT(--ISNUMBER(FIND({"A","B","C","D","E","F","G","H","I","J","K","L","M","N","O","P","Q","R","S","T","U","V","W","X","Y","Z","0","1","2","3","4","5","6","7","8","9"},UPPER(TRIM(SUBSTITUTE(SUBSTITUTE(SUBSTITUTE(SUBSTITUTE(INDEX(PASTE_ALL,$DF362,$L$15)," "," "),CHAR(9)," "),CHAR(10)," "),CHAR(13)," "))))))&gt;0,TRIM(SUBSTITUTE(SUBSTITUTE(SUBSTITUTE(SUBSTITUTE(INDEX(PASTE_ALL,$DF362,$L$15)," "," "),CHAR(9)," "),CHAR(10)," "),CHAR(13)," ")),"")),"")))</f>
        <v/>
      </c>
      <c r="DX362">
        <f>IF($DM362=0,"",IF($L$16=0,"",IFERROR(IF(ISNUMBER(INDEX(PASTE_ALL,$DF362,$L$16)),INDEX(PASTE_ALL,$DF362,$L$16),SUBSTITUTE(SUBSTITUTE(TRIM(SUBSTITUTE(SUBSTITUTE(SUBSTITUTE(SUBSTITUTE(INDEX(PASTE_ALL,$DF362,$L$16)," "," "),CHAR(9)," "),CHAR(10)," "),CHAR(13)," ")),",",""),"%","")),"")))</f>
        <v/>
      </c>
      <c r="DY362">
        <f>IF($DM362=0,"",IFERROR(IF(ISNUMBER($DX362),$DX362,IF($DX362="","",IF(TRIM($DX362)="",0,IF(AND(AND(SUBSTITUTE(SUBSTITUTE(SUBSTITUTE(SUBSTITUTE(SUBSTITUTE(SUBSTITUTE(SUBSTITUTE(SUBSTITUTE(SUBSTITUTE(SUBSTITUTE(SUBSTITUTE(SUBSTITUTE(SUBSTITUTE(SUBSTITUTE(UPPER(TRIM($DX362)),"0",""),"1",""),"2",""),"3",""),"4",""),"5",""),"6",""),"7",""),"8",""),"9",""),".",""),"+",""),"-",""),"E","")="",LEN(SUBSTITUTE(SUBSTITUTE(MID(UPPER(TRIM($DX362)),1+OR(LEFT(UPPER(TRIM($DX362)),1)="+",LEFT(UPPER(TRIM($DX362)),1)="-"),999),"E+","E"),"E-","E"))=LEN(SUBSTITUTE(SUBSTITUTE(SUBSTITUTE(SUBSTITUTE(MID(UPPER(TRIM($DX362)),1+OR(LEFT(UPPER(TRIM($DX362)),1)="+",LEFT(UPPER(TRIM($DX362)),1)="-"),999),"E+","E"),"E-","E"),"+",""),"-","")),LEN(UPPER(TRIM($DX362)))-LEN(SUBSTITUTE(UPPER(TRIM($DX362)),"E",""))&lt;2,LEN(UPPER(TRIM($DX362)))-LEN(SUBSTITUTE(UPPER(TRIM($DX362)),".",""))&lt;2,IFERROR(FIND(".",UPPER(TRIM($DX362))),0)&lt;IFERROR(FIND("E",UPPER(TRIM($DX362))),999)),ISNUMBER(VALUE(TRIM($DX362)))),VALUE(TRIM($DX362)),"")))),""))</f>
        <v/>
      </c>
      <c r="DZ362">
        <f>IF($DM362=0,"",IF($L$17=0,"",IFERROR(IF(ISNUMBER(INDEX(PASTE_ALL,$DF362,$L$17)),INDEX(PASTE_ALL,$DF362,$L$17),SUBSTITUTE(SUBSTITUTE(TRIM(SUBSTITUTE(SUBSTITUTE(SUBSTITUTE(SUBSTITUTE(INDEX(PASTE_ALL,$DF362,$L$17)," "," "),CHAR(9)," "),CHAR(10)," "),CHAR(13)," ")),",",""),"%","")),"")))</f>
        <v/>
      </c>
      <c r="EA362">
        <f>IF($DM362=0,"",IFERROR(IF(ISNUMBER($DZ362),$DZ362,IF($DZ362="","",IF(TRIM($DZ362)="",0,IF(AND(AND(SUBSTITUTE(SUBSTITUTE(SUBSTITUTE(SUBSTITUTE(SUBSTITUTE(SUBSTITUTE(SUBSTITUTE(SUBSTITUTE(SUBSTITUTE(SUBSTITUTE(SUBSTITUTE(SUBSTITUTE(SUBSTITUTE(SUBSTITUTE(UPPER(TRIM($DZ362)),"0",""),"1",""),"2",""),"3",""),"4",""),"5",""),"6",""),"7",""),"8",""),"9",""),".",""),"+",""),"-",""),"E","")="",LEN(SUBSTITUTE(SUBSTITUTE(MID(UPPER(TRIM($DZ362)),1+OR(LEFT(UPPER(TRIM($DZ362)),1)="+",LEFT(UPPER(TRIM($DZ362)),1)="-"),999),"E+","E"),"E-","E"))=LEN(SUBSTITUTE(SUBSTITUTE(SUBSTITUTE(SUBSTITUTE(MID(UPPER(TRIM($DZ362)),1+OR(LEFT(UPPER(TRIM($DZ362)),1)="+",LEFT(UPPER(TRIM($DZ362)),1)="-"),999),"E+","E"),"E-","E"),"+",""),"-","")),LEN(UPPER(TRIM($DZ362)))-LEN(SUBSTITUTE(UPPER(TRIM($DZ362)),"E",""))&lt;2,LEN(UPPER(TRIM($DZ362)))-LEN(SUBSTITUTE(UPPER(TRIM($DZ362)),".",""))&lt;2,IFERROR(FIND(".",UPPER(TRIM($DZ362))),0)&lt;IFERROR(FIND("E",UPPER(TRIM($DZ362))),999)),ISNUMBER(VALUE(TRIM($DZ362)))),VALUE(TRIM($DZ362)),"")))),""))</f>
        <v/>
      </c>
      <c r="EB362">
        <f>IF($DM362=0,"",IF($L$18=0,"",IFERROR(IF(UPPER(TRIM(SUBSTITUTE(SUBSTITUTE(SUBSTITUTE(SUBSTITUTE(INDEX(PASTE_ALL,$DF362,$L$18)," "," "),CHAR(9)," "),CHAR(10)," "),CHAR(13)," ")))="READY","Ready",IF(UPPER(TRIM(SUBSTITUTE(SUBSTITUTE(SUBSTITUTE(SUBSTITUTE(INDEX(PASTE_ALL,$DF362,$L$18)," "," "),CHAR(9)," "),CHAR(10)," "),CHAR(13)," ")))="PM","PM",IF(OR(UPPER(TRIM(SUBSTITUTE(SUBSTITUTE(SUBSTITUTE(SUBSTITUTE(INDEX(PASTE_ALL,$DF362,$L$18)," "," "),CHAR(9)," "),CHAR(10)," "),CHAR(13)," ")))="OT",UPPER(TRIM(SUBSTITUTE(SUBSTITUTE(SUBSTITUTE(SUBSTITUTE(INDEX(PASTE_ALL,$DF362,$L$18)," "," "),CHAR(9)," "),CHAR(10)," "),CHAR(13)," ")))="OVERTIME",UPPER(TRIM(SUBSTITUTE(SUBSTITUTE(SUBSTITUTE(SUBSTITUTE(INDEX(PASTE_ALL,$DF362,$L$18)," "," "),CHAR(9)," "),CHAR(10)," "),CHAR(13)," ")))="TRIAL"),"OT",TRIM(SUBSTITUTE(SUBSTITUTE(SUBSTITUTE(SUBSTITUTE(INDEX(PASTE_ALL,$DF362,$L$18)," "," "),CHAR(9)," "),CHAR(10)," "),CHAR(13)," "))))),"")))</f>
        <v/>
      </c>
      <c r="EC362">
        <f>IF($DM362=0,"",IF($L$19=0,"",IFERROR(IF(ISNUMBER(INDEX(PASTE_ALL,$DF362,$L$19)),INDEX(PASTE_ALL,$DF362,$L$19),TRIM(SUBSTITUTE(SUBSTITUTE(SUBSTITUTE(SUBSTITUTE(INDEX(PASTE_ALL,$DF362,$L$19)," "," "),CHAR(9)," "),CHAR(10)," "),CHAR(13)," "))),"")))</f>
        <v/>
      </c>
      <c r="ED362">
        <f>IF($DM362=0,"",MATCH(1,INDEX(EXACT($DH$5:DH362,$DH362)*$DM$5:DM362,0),0))</f>
        <v/>
      </c>
      <c r="EE362">
        <f>IF($DM362=0,0,IF($ED362=$DE362,1,0))</f>
        <v/>
      </c>
      <c r="EF362">
        <f>EF361+$EE362</f>
        <v/>
      </c>
      <c r="EG362">
        <f>IF($DM362=0,"",INDEX($EF$5:$EF$1003,$ED362))</f>
        <v/>
      </c>
      <c r="EH362">
        <f>IF($DM362=0,"",IF($DO362&lt;&gt;"","",IFERROR(LOOKUP(2,1/(($EG$4:EG361=$EG362)*($DO$4:DO361&lt;&gt;"")),$DO$4:DO361),"")))</f>
        <v/>
      </c>
      <c r="EI362">
        <f>IF($DM362=0,"",IF($DO362&lt;&gt;"",$DO362,$EH362))</f>
        <v/>
      </c>
      <c r="EJ362">
        <f>IF($DM362=0,"",IF($EI362="",0,IF(OR(ISNUMBER($EI362),AND(AND(SUBSTITUTE(SUBSTITUTE(SUBSTITUTE(SUBSTITUTE(SUBSTITUTE(SUBSTITUTE(SUBSTITUTE(SUBSTITUTE(SUBSTITUTE(SUBSTITUTE(SUBSTITUTE(SUBSTITUTE(SUBSTITUTE(SUBSTITUTE(UPPER($EI362),"0",""),"1",""),"2",""),"3",""),"4",""),"5",""),"6",""),"7",""),"8",""),"9",""),".",""),"+",""),"-",""),"E","")="",LEN(SUBSTITUTE(SUBSTITUTE(MID(UPPER($EI362),1+OR(LEFT(UPPER($EI362),1)="+",LEFT(UPPER($EI362),1)="-"),999),"E+","E"),"E-","E"))=LEN(SUBSTITUTE(SUBSTITUTE(SUBSTITUTE(SUBSTITUTE(MID(UPPER($EI362),1+OR(LEFT(UPPER($EI362),1)="+",LEFT(UPPER($EI362),1)="-"),999),"E+","E"),"E-","E"),"+",""),"-","")),LEN(UPPER($EI362))-LEN(SUBSTITUTE(UPPER($EI362),"E",""))&lt;2,LEN(UPPER($EI362))-LEN(SUBSTITUTE(UPPER($EI362),".",""))&lt;2,IFERROR(FIND(".",UPPER($EI362)),0)&lt;IFERROR(FIND("E",UPPER($EI362)),999)),ISNUMBER(VALUE($EI362)))),1,2)))</f>
        <v/>
      </c>
      <c r="EK362">
        <f>IF($DM362=0,"",IF($EJ362=1,IF(ISNUMBER($EI362),$EI362,VALUE($EI362)),IF($EJ362=2,$DE362,0)))</f>
        <v/>
      </c>
      <c r="EL362">
        <f>IF($DM362=0,"",COUNTIF($EG$5:$EG$1003,"&lt;"&amp;$EG362)+SUMPRODUCT(($EG$5:$EG$1003=$EG362)*(($EJ$5:$EJ$1003&lt;$EJ362)+($EJ$5:$EJ$1003=$EJ362)*(($EK$5:$EK$1003&lt;$EK362)+($EK$5:$EK$1003=$EK362)*($DE$5:$DE$1003&lt;$DE362))))+1)</f>
        <v/>
      </c>
      <c r="EM362">
        <f>IF($DM362=0,"",$EL362+$EG362-1)</f>
        <v/>
      </c>
      <c r="EN362">
        <f>IF($DM362=0,0,IFERROR(MATCH(1,INDEX(--(TRIM(SUBSTITUTE(SUBSTITUTE(SUBSTITUTE(SUBSTITUTE(LINES_NAME&amp;""," "," "),CHAR(9)," "),CHAR(10)," "),CHAR(13)," "))=$DH362),0),0),0))</f>
        <v/>
      </c>
      <c r="EO362">
        <f>IF($EN362=0,0,IF(OR(UPPER(TRIM(INDEX(LINES_SCHEDULED,$EN362)&amp;""))="YES",UPPER(TRIM(INDEX(LINES_SCHEDULED,$EN362)&amp;""))="Y",UPPER(TRIM(INDEX(LINES_SCHEDULED,$EN362)&amp;""))="X"),1,0))</f>
        <v/>
      </c>
      <c r="EP362">
        <f>IF($DM362=0,"",IF(COUNTIFS($EG$5:$EG$1003,$EG362,$EB$5:$EB$1003,"Ready")&gt;0,"READY",IF(COUNTIFS($EG$5:$EG$1003,$EG362,$EB$5:$EB$1003,"PM")&gt;0,"PM",IF(COUNTIFS($EG$5:$EG$1003,$EG362,$EB$5:$EB$1003,"OT")&gt;0,"OT",""))))</f>
        <v/>
      </c>
      <c r="EQ362">
        <f>IF($EN362=0,"",UPPER(TRIM(INDEX(LINES_STATUS,$EN362)&amp;"")))</f>
        <v/>
      </c>
      <c r="ER362">
        <f>IF($DM362=0,"",IF(OR($EQ362="READY",$EQ362="PM",$EQ362="OT"),$EQ362,$EP362))</f>
        <v/>
      </c>
      <c r="ES362">
        <f>IF($DM362=0,"",IF(AND($DV362&lt;&gt;"",UPPER($DV362)&lt;&gt;"N"),"allergen",IF(ISNUMBER(SEARCH("oil",$DQ362)),"oil",IF(OR(EXACT($DS362,"A662"),EXACT($DS362,"A624")),"bulk",""))))</f>
        <v/>
      </c>
      <c r="ET362">
        <f>IF($DM362=0,"",IF(OR($EA362="",$EA362=0),"",$EA362/100))</f>
        <v/>
      </c>
      <c r="EU362">
        <f>IF(OR($ET362="",$DY362=""),"",INT($DY362*(1-$ET362)+0.5))</f>
        <v/>
      </c>
      <c r="EW362" t="n">
        <v>358</v>
      </c>
      <c r="EX362">
        <f>IFERROR(MATCH($EW362,$EM$5:$EM$1003,0),0)</f>
        <v/>
      </c>
      <c r="EY362">
        <f>IF($EW362&gt;$B$12,"",IF($EX362&gt;0,"row","spacer"))</f>
        <v/>
      </c>
      <c r="EZ362">
        <f>IF(AND($EY362="row",$EY361&lt;&gt;"row"),1,0)</f>
        <v/>
      </c>
      <c r="FA362">
        <f>IF(AND($EY362="row",$EY363&lt;&gt;"row"),1,0)</f>
        <v/>
      </c>
      <c r="FB362">
        <f>IF($EZ362=1,IFERROR(IF(ISNUMBER(INDEX(PASTE_ALL,INDEX($DF$5:$DF$1003,$EX362),$B$37)),INDEX(PASTE_ALL,INDEX($DF$5:$DF$1003,$EX362),$B$37),INDEX($DH$5:$DH$1003,$EX362)),INDEX($DH$5:$DH$1003,$EX362)),"")</f>
        <v/>
      </c>
      <c r="FC362">
        <f>IF($EY362="row",INDEX($ER$5:$ER$1003,$EX362),"")</f>
        <v/>
      </c>
      <c r="FD362">
        <f>IF($EY362="row",INDEX($DN$5:$DN$1003,$EX362),"")</f>
        <v/>
      </c>
      <c r="FE362">
        <f>IF($EY362="row",INDEX($DO$5:$DO$1003,$EX362),"")</f>
        <v/>
      </c>
      <c r="FF362">
        <f>IF($EY362="row",INDEX($DP$5:$DP$1003,$EX362),"")</f>
        <v/>
      </c>
      <c r="FG362">
        <f>IF($EY362="row",INDEX($DQ$5:$DQ$1003,$EX362),"")</f>
        <v/>
      </c>
      <c r="FH362">
        <f>IF($EY362="row",INDEX($DR$5:$DR$1003,$EX362),"")</f>
        <v/>
      </c>
      <c r="FI362">
        <f>IF($EY362="row",INDEX($DS$5:$DS$1003,$EX362),"")</f>
        <v/>
      </c>
      <c r="FJ362">
        <f>IF($EY362="row",INDEX($DT$5:$DT$1003,$EX362),"")</f>
        <v/>
      </c>
      <c r="FK362">
        <f>IF($EY362="row",INDEX($DU$5:$DU$1003,$EX362),"")</f>
        <v/>
      </c>
      <c r="FL362">
        <f>IF($EY362="row",INDEX($DV$5:$DV$1003,$EX362),"")</f>
        <v/>
      </c>
      <c r="FM362">
        <f>IF($EY362="row",INDEX($DW$5:$DW$1003,$EX362),"")</f>
        <v/>
      </c>
      <c r="FN362">
        <f>IF($EY362="row",INDEX($DY$5:$DY$1003,$EX362),"")</f>
        <v/>
      </c>
      <c r="FO362">
        <f>IF($EY362="row",INDEX($EA$5:$EA$1003,$EX362),"")</f>
        <v/>
      </c>
      <c r="FP362">
        <f>IF($EY362="row",INDEX($EC$5:$EC$1003,$EX362),"")</f>
        <v/>
      </c>
      <c r="FQ362">
        <f>IF($EY362="row",INDEX($ET$5:$ET$1003,$EX362),"")</f>
        <v/>
      </c>
      <c r="FR362">
        <f>IF($EY362="row",INDEX($EU$5:$EU$1003,$EX362),"")</f>
        <v/>
      </c>
      <c r="FS362">
        <f>IF(AND($EY362="row",$EY361="row"),IF(OR(INDEX($DT$5:$DT$1003,$EX361)="",INDEX($DT$5:$DT$1003,$EX362)=""),"",IF(NOT(EXACT(INDEX($DT$5:$DT$1003,$EX361),INDEX($DT$5:$DT$1003,$EX362))),"S4",IF(NOT(EXACT(INDEX($DS$5:$DS$1003,$EX361),INDEX($DS$5:$DS$1003,$EX362))),"S3",IF(NOT(EXACT(INDEX($DR$5:$DR$1003,$EX361),INDEX($DR$5:$DR$1003,$EX362))),"S1 Count Change","S1")))),"")</f>
        <v/>
      </c>
      <c r="FT362">
        <f>IF($EY362="row",INDEX($ES$5:$ES$1003,$EX362),"")</f>
        <v/>
      </c>
      <c r="FU362">
        <f>IF($EY362="row",INDEX($EO$5:$EO$1003,$EX362),0)</f>
        <v/>
      </c>
      <c r="FV362">
        <f>IF($FS362="S1 Count Change",1,0)</f>
        <v/>
      </c>
    </row>
    <row r="363">
      <c r="DA363" t="n">
        <v>359</v>
      </c>
      <c r="DB363">
        <f>IF($B$37=0,"",IFERROR(TRIM(SUBSTITUTE(SUBSTITUTE(SUBSTITUTE(SUBSTITUTE(INDEX(PASTE_ALL,359,$B$37)," "," "),CHAR(9)," "),CHAR(10)," "),CHAR(13)," ")),""))</f>
        <v/>
      </c>
      <c r="DC363">
        <f>IF(AND(359&gt;HEADER_ROW,UPPER(DB363)="LEGEND"),1,0)</f>
        <v/>
      </c>
      <c r="DE363" t="n">
        <v>359</v>
      </c>
      <c r="DF363">
        <f>HEADER_ROW+$DE363</f>
        <v/>
      </c>
      <c r="DG363">
        <f>IF(AND($DF363&lt;=1000,$DF363&lt;$B$8),1,0)</f>
        <v/>
      </c>
      <c r="DH363">
        <f>IF($DG363=1,IFERROR(INDEX($DB$5:$DB$1004,$DF363),""),"")</f>
        <v/>
      </c>
      <c r="DI363">
        <f>IF(AND($DG363=1,$DH363&lt;&gt;""),IFERROR(SUBSTITUTE(SUBSTITUTE(TRIM(SUBSTITUTE(SUBSTITUTE(SUBSTITUTE(SUBSTITUTE(IFERROR(INDEX(PASTE_ALL,$DF363,1)&amp;"","")&amp;"␟"&amp;IFERROR(INDEX(PASTE_ALL,$DF363,2)&amp;"","")&amp;"␟"&amp;IFERROR(INDEX(PASTE_ALL,$DF363,3)&amp;"","")&amp;"␟"&amp;IFERROR(INDEX(PASTE_ALL,$DF363,4)&amp;"","")&amp;"␟"&amp;IFERROR(INDEX(PASTE_ALL,$DF363,5)&amp;"","")&amp;"␟"&amp;IFERROR(INDEX(PASTE_ALL,$DF363,6)&amp;"","")&amp;"␟"&amp;IFERROR(INDEX(PASTE_ALL,$DF363,7)&amp;"","")&amp;"␟"&amp;IFERROR(INDEX(PASTE_ALL,$DF363,8)&amp;"","")&amp;"␟"&amp;IFERROR(INDEX(PASTE_ALL,$DF363,9)&amp;"","")&amp;"␟"&amp;IFERROR(INDEX(PASTE_ALL,$DF363,10)&amp;"","")&amp;"␟"&amp;IFERROR(INDEX(PASTE_ALL,$DF363,11)&amp;"","")&amp;"␟"&amp;IFERROR(INDEX(PASTE_ALL,$DF363,12)&amp;"","")&amp;"␟"&amp;IFERROR(INDEX(PASTE_ALL,$DF363,13)&amp;"","")&amp;"␟"&amp;IFERROR(INDEX(PASTE_ALL,$DF363,14)&amp;"","")&amp;"␟"&amp;IFERROR(INDEX(PASTE_ALL,$DF363,15)&amp;"","")&amp;"␟"&amp;IFERROR(INDEX(PASTE_ALL,$DF363,16)&amp;"","")&amp;"␟"&amp;IFERROR(INDEX(PASTE_ALL,$DF363,17)&amp;"","")&amp;"␟"&amp;IFERROR(INDEX(PASTE_ALL,$DF363,18)&amp;"","")&amp;"␟"&amp;IFERROR(INDEX(PASTE_ALL,$DF363,19)&amp;"","")&amp;"␟"&amp;IFERROR(INDEX(PASTE_ALL,$DF363,20)&amp;"","")&amp;"␟"&amp;IFERROR(INDEX(PASTE_ALL,$DF363,21)&amp;"","")&amp;"␟"&amp;IFERROR(INDEX(PASTE_ALL,$DF363,22)&amp;"","")&amp;"␟"&amp;IFERROR(INDEX(PASTE_ALL,$DF363,23)&amp;"","")&amp;"␟"&amp;IFERROR(INDEX(PASTE_ALL,$DF363,24)&amp;"","")&amp;"␟"&amp;IFERROR(INDEX(PASTE_ALL,$DF363,25)&amp;"","")&amp;"␟"&amp;IFERROR(INDEX(PASTE_ALL,$DF363,26)&amp;"","")&amp;"␟"&amp;IFERROR(INDEX(PASTE_ALL,$DF363,27)&amp;"","")&amp;"␟"&amp;IFERROR(INDEX(PASTE_ALL,$DF363,28)&amp;"","")&amp;"␟"&amp;IFERROR(INDEX(PASTE_ALL,$DF363,29)&amp;"","")&amp;"␟"&amp;IFERROR(INDEX(PASTE_ALL,$DF363,30)&amp;"","")&amp;"␟"&amp;IFERROR(INDEX(PASTE_ALL,$DF363,31)&amp;"","")&amp;"␟"&amp;IFERROR(INDEX(PASTE_ALL,$DF363,32)&amp;"","")&amp;"␟"&amp;IFERROR(INDEX(PASTE_ALL,$DF363,33)&amp;"","")&amp;"␟"&amp;IFERROR(INDEX(PASTE_ALL,$DF363,34)&amp;"","")&amp;"␟"&amp;IFERROR(INDEX(PASTE_ALL,$DF363,35)&amp;"","")&amp;"␟"&amp;IFERROR(INDEX(PASTE_ALL,$DF363,36)&amp;"","")&amp;"␟"&amp;IFERROR(INDEX(PASTE_ALL,$DF363,37)&amp;"","")&amp;"␟"&amp;IFERROR(INDEX(PASTE_ALL,$DF363,38)&amp;"","")&amp;"␟"&amp;IFERROR(INDEX(PASTE_ALL,$DF363,39)&amp;"","")&amp;"␟"&amp;IFERROR(INDEX(PASTE_ALL,$DF363,40)&amp;"","")&amp;"␟"&amp;IFERROR(INDEX(PASTE_ALL,$DF363,41)&amp;"","")&amp;"␟"&amp;IFERROR(INDEX(PASTE_ALL,$DF363,42)&amp;"","")&amp;"␟"&amp;IFERROR(INDEX(PASTE_ALL,$DF363,43)&amp;"","")&amp;"␟"&amp;IFERROR(INDEX(PASTE_ALL,$DF363,44)&amp;"","")&amp;"␟"&amp;IFERROR(INDEX(PASTE_ALL,$DF363,45)&amp;"","")&amp;"␟"&amp;IFERROR(INDEX(PASTE_ALL,$DF363,46)&amp;"","")&amp;"␟"&amp;IFERROR(INDEX(PASTE_ALL,$DF363,47)&amp;"","")&amp;"␟"&amp;IFERROR(INDEX(PASTE_ALL,$DF363,48)&amp;"","")&amp;"␟"&amp;IFERROR(INDEX(PASTE_ALL,$DF363,49)&amp;"","")&amp;"␟"&amp;IFERROR(INDEX(PASTE_ALL,$DF363,50)&amp;"","")&amp;"␟"&amp;IFERROR(INDEX(PASTE_ALL,$DF363,51)&amp;"","")&amp;"␟"&amp;IFERROR(INDEX(PASTE_ALL,$DF363,52)&amp;"","")&amp;"␟"&amp;IFERROR(INDEX(PASTE_ALL,$DF363,53)&amp;"","")&amp;"␟"&amp;IFERROR(INDEX(PASTE_ALL,$DF363,54)&amp;"","")&amp;"␟"&amp;IFERROR(INDEX(PASTE_ALL,$DF363,55)&amp;"","")&amp;"␟"&amp;IFERROR(INDEX(PASTE_ALL,$DF363,56)&amp;"","")&amp;"␟"&amp;IFERROR(INDEX(PASTE_ALL,$DF363,57)&amp;"","")&amp;"␟"&amp;IFERROR(INDEX(PASTE_ALL,$DF363,58)&amp;"","")&amp;"␟"&amp;IFERROR(INDEX(PASTE_ALL,$DF363,59)&amp;"","")&amp;"␟"&amp;IFERROR(INDEX(PASTE_ALL,$DF363,60)&amp;"","")," "," "),CHAR(9)," "),CHAR(10)," "),CHAR(13)," "))," ␟","␟"),"␟ ","␟"),"#"&amp;$DE363),"")</f>
        <v/>
      </c>
      <c r="DJ363">
        <f>IF($DI363="",0,IF(SUMPRODUCT(--EXACT($DI$4:DI362,$DI363))&gt;0,1,0))</f>
        <v/>
      </c>
      <c r="DK363">
        <f>IF(AND($DI363&lt;&gt;"",$DJ363=0),1,0)</f>
        <v/>
      </c>
      <c r="DL363">
        <f>DL362+$DK363</f>
        <v/>
      </c>
      <c r="DM363">
        <f>IF(AND($DK363=1,$DL363&lt;=600),1,0)</f>
        <v/>
      </c>
      <c r="DN363">
        <f>IF($DM363=0,"",IF($L$6=0,"",IFERROR(IF(ISNUMBER(INDEX(PASTE_ALL,$DF363,$L$6)),INDEX(PASTE_ALL,$DF363,$L$6),TRIM(SUBSTITUTE(SUBSTITUTE(SUBSTITUTE(SUBSTITUTE(INDEX(PASTE_ALL,$DF363,$L$6)," "," "),CHAR(9)," "),CHAR(10)," "),CHAR(13)," "))),"")))</f>
        <v/>
      </c>
      <c r="DO363">
        <f>IF($DM363=0,"",IF($L$7=0,"",IFERROR(IF(ISNUMBER(INDEX(PASTE_ALL,$DF363,$L$7)),INDEX(PASTE_ALL,$DF363,$L$7),TRIM(SUBSTITUTE(SUBSTITUTE(SUBSTITUTE(SUBSTITUTE(INDEX(PASTE_ALL,$DF363,$L$7)," "," "),CHAR(9)," "),CHAR(10)," "),CHAR(13)," "))),"")))</f>
        <v/>
      </c>
      <c r="DP363">
        <f>IF($DM363=0,"",IF($L$8=0,"",IFERROR(IF(ISNUMBER(INDEX(PASTE_ALL,$DF363,$L$8)),INDEX(PASTE_ALL,$DF363,$L$8),TRIM(SUBSTITUTE(SUBSTITUTE(SUBSTITUTE(SUBSTITUTE(INDEX(PASTE_ALL,$DF363,$L$8)," "," "),CHAR(9)," "),CHAR(10)," "),CHAR(13)," "))),"")))</f>
        <v/>
      </c>
      <c r="DQ363">
        <f>IF($DM363=0,"",IF($L$9=0,"",IFERROR(IF(ISNUMBER(INDEX(PASTE_ALL,$DF363,$L$9)),INDEX(PASTE_ALL,$DF363,$L$9),TRIM(SUBSTITUTE(SUBSTITUTE(SUBSTITUTE(SUBSTITUTE(INDEX(PASTE_ALL,$DF363,$L$9)," "," "),CHAR(9)," "),CHAR(10)," "),CHAR(13)," "))),"")))</f>
        <v/>
      </c>
      <c r="DR363">
        <f>IF($DM363=0,"",IF($L$10=0,"",IFERROR(IF(ISNUMBER(INDEX(PASTE_ALL,$DF363,$L$10)),INDEX(PASTE_ALL,$DF363,$L$10),TRIM(SUBSTITUTE(SUBSTITUTE(SUBSTITUTE(SUBSTITUTE(INDEX(PASTE_ALL,$DF363,$L$10)," "," "),CHAR(9)," "),CHAR(10)," "),CHAR(13)," "))),"")))</f>
        <v/>
      </c>
      <c r="DS363">
        <f>IF($DM363=0,"",IF($L$11=0,"",IFERROR(IF(ISNUMBER(INDEX(PASTE_ALL,$DF363,$L$11)),INDEX(PASTE_ALL,$DF363,$L$11),TRIM(SUBSTITUTE(SUBSTITUTE(SUBSTITUTE(SUBSTITUTE(INDEX(PASTE_ALL,$DF363,$L$11)," "," "),CHAR(9)," "),CHAR(10)," "),CHAR(13)," "))),"")))</f>
        <v/>
      </c>
      <c r="DT363">
        <f>IF($DM363=0,"",IF($L$12=0,"",IFERROR(IF(ISNUMBER(INDEX(PASTE_ALL,$DF363,$L$12)),INDEX(PASTE_ALL,$DF363,$L$12),TRIM(SUBSTITUTE(SUBSTITUTE(SUBSTITUTE(SUBSTITUTE(INDEX(PASTE_ALL,$DF363,$L$12)," "," "),CHAR(9)," "),CHAR(10)," "),CHAR(13)," "))),"")))</f>
        <v/>
      </c>
      <c r="DU363">
        <f>IF($DM363=0,"",IF($L$13=0,"",IFERROR(IF(ISNUMBER(INDEX(PASTE_ALL,$DF363,$L$13)),INDEX(PASTE_ALL,$DF363,$L$13),TRIM(SUBSTITUTE(SUBSTITUTE(SUBSTITUTE(SUBSTITUTE(INDEX(PASTE_ALL,$DF363,$L$13)," "," "),CHAR(9)," "),CHAR(10)," "),CHAR(13)," "))),"")))</f>
        <v/>
      </c>
      <c r="DV363">
        <f>IF($DM363=0,"",IF($L$14=0,"",IFERROR(IF(ISNUMBER(INDEX(PASTE_ALL,$DF363,$L$14)),INDEX(PASTE_ALL,$DF363,$L$14),TRIM(SUBSTITUTE(SUBSTITUTE(SUBSTITUTE(SUBSTITUTE(INDEX(PASTE_ALL,$DF363,$L$14)," "," "),CHAR(9)," "),CHAR(10)," "),CHAR(13)," "))),"")))</f>
        <v/>
      </c>
      <c r="DW363">
        <f>IF($DM363=0,"",IF($L$15=0,"",IFERROR(IF(ISNUMBER(INDEX(PASTE_ALL,$DF363,$L$15)),INDEX(PASTE_ALL,$DF363,$L$15),IF(SUMPRODUCT(--ISNUMBER(FIND({"A","B","C","D","E","F","G","H","I","J","K","L","M","N","O","P","Q","R","S","T","U","V","W","X","Y","Z","0","1","2","3","4","5","6","7","8","9"},UPPER(TRIM(SUBSTITUTE(SUBSTITUTE(SUBSTITUTE(SUBSTITUTE(INDEX(PASTE_ALL,$DF363,$L$15)," "," "),CHAR(9)," "),CHAR(10)," "),CHAR(13)," "))))))&gt;0,TRIM(SUBSTITUTE(SUBSTITUTE(SUBSTITUTE(SUBSTITUTE(INDEX(PASTE_ALL,$DF363,$L$15)," "," "),CHAR(9)," "),CHAR(10)," "),CHAR(13)," ")),"")),"")))</f>
        <v/>
      </c>
      <c r="DX363">
        <f>IF($DM363=0,"",IF($L$16=0,"",IFERROR(IF(ISNUMBER(INDEX(PASTE_ALL,$DF363,$L$16)),INDEX(PASTE_ALL,$DF363,$L$16),SUBSTITUTE(SUBSTITUTE(TRIM(SUBSTITUTE(SUBSTITUTE(SUBSTITUTE(SUBSTITUTE(INDEX(PASTE_ALL,$DF363,$L$16)," "," "),CHAR(9)," "),CHAR(10)," "),CHAR(13)," ")),",",""),"%","")),"")))</f>
        <v/>
      </c>
      <c r="DY363">
        <f>IF($DM363=0,"",IFERROR(IF(ISNUMBER($DX363),$DX363,IF($DX363="","",IF(TRIM($DX363)="",0,IF(AND(AND(SUBSTITUTE(SUBSTITUTE(SUBSTITUTE(SUBSTITUTE(SUBSTITUTE(SUBSTITUTE(SUBSTITUTE(SUBSTITUTE(SUBSTITUTE(SUBSTITUTE(SUBSTITUTE(SUBSTITUTE(SUBSTITUTE(SUBSTITUTE(UPPER(TRIM($DX363)),"0",""),"1",""),"2",""),"3",""),"4",""),"5",""),"6",""),"7",""),"8",""),"9",""),".",""),"+",""),"-",""),"E","")="",LEN(SUBSTITUTE(SUBSTITUTE(MID(UPPER(TRIM($DX363)),1+OR(LEFT(UPPER(TRIM($DX363)),1)="+",LEFT(UPPER(TRIM($DX363)),1)="-"),999),"E+","E"),"E-","E"))=LEN(SUBSTITUTE(SUBSTITUTE(SUBSTITUTE(SUBSTITUTE(MID(UPPER(TRIM($DX363)),1+OR(LEFT(UPPER(TRIM($DX363)),1)="+",LEFT(UPPER(TRIM($DX363)),1)="-"),999),"E+","E"),"E-","E"),"+",""),"-","")),LEN(UPPER(TRIM($DX363)))-LEN(SUBSTITUTE(UPPER(TRIM($DX363)),"E",""))&lt;2,LEN(UPPER(TRIM($DX363)))-LEN(SUBSTITUTE(UPPER(TRIM($DX363)),".",""))&lt;2,IFERROR(FIND(".",UPPER(TRIM($DX363))),0)&lt;IFERROR(FIND("E",UPPER(TRIM($DX363))),999)),ISNUMBER(VALUE(TRIM($DX363)))),VALUE(TRIM($DX363)),"")))),""))</f>
        <v/>
      </c>
      <c r="DZ363">
        <f>IF($DM363=0,"",IF($L$17=0,"",IFERROR(IF(ISNUMBER(INDEX(PASTE_ALL,$DF363,$L$17)),INDEX(PASTE_ALL,$DF363,$L$17),SUBSTITUTE(SUBSTITUTE(TRIM(SUBSTITUTE(SUBSTITUTE(SUBSTITUTE(SUBSTITUTE(INDEX(PASTE_ALL,$DF363,$L$17)," "," "),CHAR(9)," "),CHAR(10)," "),CHAR(13)," ")),",",""),"%","")),"")))</f>
        <v/>
      </c>
      <c r="EA363">
        <f>IF($DM363=0,"",IFERROR(IF(ISNUMBER($DZ363),$DZ363,IF($DZ363="","",IF(TRIM($DZ363)="",0,IF(AND(AND(SUBSTITUTE(SUBSTITUTE(SUBSTITUTE(SUBSTITUTE(SUBSTITUTE(SUBSTITUTE(SUBSTITUTE(SUBSTITUTE(SUBSTITUTE(SUBSTITUTE(SUBSTITUTE(SUBSTITUTE(SUBSTITUTE(SUBSTITUTE(UPPER(TRIM($DZ363)),"0",""),"1",""),"2",""),"3",""),"4",""),"5",""),"6",""),"7",""),"8",""),"9",""),".",""),"+",""),"-",""),"E","")="",LEN(SUBSTITUTE(SUBSTITUTE(MID(UPPER(TRIM($DZ363)),1+OR(LEFT(UPPER(TRIM($DZ363)),1)="+",LEFT(UPPER(TRIM($DZ363)),1)="-"),999),"E+","E"),"E-","E"))=LEN(SUBSTITUTE(SUBSTITUTE(SUBSTITUTE(SUBSTITUTE(MID(UPPER(TRIM($DZ363)),1+OR(LEFT(UPPER(TRIM($DZ363)),1)="+",LEFT(UPPER(TRIM($DZ363)),1)="-"),999),"E+","E"),"E-","E"),"+",""),"-","")),LEN(UPPER(TRIM($DZ363)))-LEN(SUBSTITUTE(UPPER(TRIM($DZ363)),"E",""))&lt;2,LEN(UPPER(TRIM($DZ363)))-LEN(SUBSTITUTE(UPPER(TRIM($DZ363)),".",""))&lt;2,IFERROR(FIND(".",UPPER(TRIM($DZ363))),0)&lt;IFERROR(FIND("E",UPPER(TRIM($DZ363))),999)),ISNUMBER(VALUE(TRIM($DZ363)))),VALUE(TRIM($DZ363)),"")))),""))</f>
        <v/>
      </c>
      <c r="EB363">
        <f>IF($DM363=0,"",IF($L$18=0,"",IFERROR(IF(UPPER(TRIM(SUBSTITUTE(SUBSTITUTE(SUBSTITUTE(SUBSTITUTE(INDEX(PASTE_ALL,$DF363,$L$18)," "," "),CHAR(9)," "),CHAR(10)," "),CHAR(13)," ")))="READY","Ready",IF(UPPER(TRIM(SUBSTITUTE(SUBSTITUTE(SUBSTITUTE(SUBSTITUTE(INDEX(PASTE_ALL,$DF363,$L$18)," "," "),CHAR(9)," "),CHAR(10)," "),CHAR(13)," ")))="PM","PM",IF(OR(UPPER(TRIM(SUBSTITUTE(SUBSTITUTE(SUBSTITUTE(SUBSTITUTE(INDEX(PASTE_ALL,$DF363,$L$18)," "," "),CHAR(9)," "),CHAR(10)," "),CHAR(13)," ")))="OT",UPPER(TRIM(SUBSTITUTE(SUBSTITUTE(SUBSTITUTE(SUBSTITUTE(INDEX(PASTE_ALL,$DF363,$L$18)," "," "),CHAR(9)," "),CHAR(10)," "),CHAR(13)," ")))="OVERTIME",UPPER(TRIM(SUBSTITUTE(SUBSTITUTE(SUBSTITUTE(SUBSTITUTE(INDEX(PASTE_ALL,$DF363,$L$18)," "," "),CHAR(9)," "),CHAR(10)," "),CHAR(13)," ")))="TRIAL"),"OT",TRIM(SUBSTITUTE(SUBSTITUTE(SUBSTITUTE(SUBSTITUTE(INDEX(PASTE_ALL,$DF363,$L$18)," "," "),CHAR(9)," "),CHAR(10)," "),CHAR(13)," "))))),"")))</f>
        <v/>
      </c>
      <c r="EC363">
        <f>IF($DM363=0,"",IF($L$19=0,"",IFERROR(IF(ISNUMBER(INDEX(PASTE_ALL,$DF363,$L$19)),INDEX(PASTE_ALL,$DF363,$L$19),TRIM(SUBSTITUTE(SUBSTITUTE(SUBSTITUTE(SUBSTITUTE(INDEX(PASTE_ALL,$DF363,$L$19)," "," "),CHAR(9)," "),CHAR(10)," "),CHAR(13)," "))),"")))</f>
        <v/>
      </c>
      <c r="ED363">
        <f>IF($DM363=0,"",MATCH(1,INDEX(EXACT($DH$5:DH363,$DH363)*$DM$5:DM363,0),0))</f>
        <v/>
      </c>
      <c r="EE363">
        <f>IF($DM363=0,0,IF($ED363=$DE363,1,0))</f>
        <v/>
      </c>
      <c r="EF363">
        <f>EF362+$EE363</f>
        <v/>
      </c>
      <c r="EG363">
        <f>IF($DM363=0,"",INDEX($EF$5:$EF$1003,$ED363))</f>
        <v/>
      </c>
      <c r="EH363">
        <f>IF($DM363=0,"",IF($DO363&lt;&gt;"","",IFERROR(LOOKUP(2,1/(($EG$4:EG362=$EG363)*($DO$4:DO362&lt;&gt;"")),$DO$4:DO362),"")))</f>
        <v/>
      </c>
      <c r="EI363">
        <f>IF($DM363=0,"",IF($DO363&lt;&gt;"",$DO363,$EH363))</f>
        <v/>
      </c>
      <c r="EJ363">
        <f>IF($DM363=0,"",IF($EI363="",0,IF(OR(ISNUMBER($EI363),AND(AND(SUBSTITUTE(SUBSTITUTE(SUBSTITUTE(SUBSTITUTE(SUBSTITUTE(SUBSTITUTE(SUBSTITUTE(SUBSTITUTE(SUBSTITUTE(SUBSTITUTE(SUBSTITUTE(SUBSTITUTE(SUBSTITUTE(SUBSTITUTE(UPPER($EI363),"0",""),"1",""),"2",""),"3",""),"4",""),"5",""),"6",""),"7",""),"8",""),"9",""),".",""),"+",""),"-",""),"E","")="",LEN(SUBSTITUTE(SUBSTITUTE(MID(UPPER($EI363),1+OR(LEFT(UPPER($EI363),1)="+",LEFT(UPPER($EI363),1)="-"),999),"E+","E"),"E-","E"))=LEN(SUBSTITUTE(SUBSTITUTE(SUBSTITUTE(SUBSTITUTE(MID(UPPER($EI363),1+OR(LEFT(UPPER($EI363),1)="+",LEFT(UPPER($EI363),1)="-"),999),"E+","E"),"E-","E"),"+",""),"-","")),LEN(UPPER($EI363))-LEN(SUBSTITUTE(UPPER($EI363),"E",""))&lt;2,LEN(UPPER($EI363))-LEN(SUBSTITUTE(UPPER($EI363),".",""))&lt;2,IFERROR(FIND(".",UPPER($EI363)),0)&lt;IFERROR(FIND("E",UPPER($EI363)),999)),ISNUMBER(VALUE($EI363)))),1,2)))</f>
        <v/>
      </c>
      <c r="EK363">
        <f>IF($DM363=0,"",IF($EJ363=1,IF(ISNUMBER($EI363),$EI363,VALUE($EI363)),IF($EJ363=2,$DE363,0)))</f>
        <v/>
      </c>
      <c r="EL363">
        <f>IF($DM363=0,"",COUNTIF($EG$5:$EG$1003,"&lt;"&amp;$EG363)+SUMPRODUCT(($EG$5:$EG$1003=$EG363)*(($EJ$5:$EJ$1003&lt;$EJ363)+($EJ$5:$EJ$1003=$EJ363)*(($EK$5:$EK$1003&lt;$EK363)+($EK$5:$EK$1003=$EK363)*($DE$5:$DE$1003&lt;$DE363))))+1)</f>
        <v/>
      </c>
      <c r="EM363">
        <f>IF($DM363=0,"",$EL363+$EG363-1)</f>
        <v/>
      </c>
      <c r="EN363">
        <f>IF($DM363=0,0,IFERROR(MATCH(1,INDEX(--(TRIM(SUBSTITUTE(SUBSTITUTE(SUBSTITUTE(SUBSTITUTE(LINES_NAME&amp;""," "," "),CHAR(9)," "),CHAR(10)," "),CHAR(13)," "))=$DH363),0),0),0))</f>
        <v/>
      </c>
      <c r="EO363">
        <f>IF($EN363=0,0,IF(OR(UPPER(TRIM(INDEX(LINES_SCHEDULED,$EN363)&amp;""))="YES",UPPER(TRIM(INDEX(LINES_SCHEDULED,$EN363)&amp;""))="Y",UPPER(TRIM(INDEX(LINES_SCHEDULED,$EN363)&amp;""))="X"),1,0))</f>
        <v/>
      </c>
      <c r="EP363">
        <f>IF($DM363=0,"",IF(COUNTIFS($EG$5:$EG$1003,$EG363,$EB$5:$EB$1003,"Ready")&gt;0,"READY",IF(COUNTIFS($EG$5:$EG$1003,$EG363,$EB$5:$EB$1003,"PM")&gt;0,"PM",IF(COUNTIFS($EG$5:$EG$1003,$EG363,$EB$5:$EB$1003,"OT")&gt;0,"OT",""))))</f>
        <v/>
      </c>
      <c r="EQ363">
        <f>IF($EN363=0,"",UPPER(TRIM(INDEX(LINES_STATUS,$EN363)&amp;"")))</f>
        <v/>
      </c>
      <c r="ER363">
        <f>IF($DM363=0,"",IF(OR($EQ363="READY",$EQ363="PM",$EQ363="OT"),$EQ363,$EP363))</f>
        <v/>
      </c>
      <c r="ES363">
        <f>IF($DM363=0,"",IF(AND($DV363&lt;&gt;"",UPPER($DV363)&lt;&gt;"N"),"allergen",IF(ISNUMBER(SEARCH("oil",$DQ363)),"oil",IF(OR(EXACT($DS363,"A662"),EXACT($DS363,"A624")),"bulk",""))))</f>
        <v/>
      </c>
      <c r="ET363">
        <f>IF($DM363=0,"",IF(OR($EA363="",$EA363=0),"",$EA363/100))</f>
        <v/>
      </c>
      <c r="EU363">
        <f>IF(OR($ET363="",$DY363=""),"",INT($DY363*(1-$ET363)+0.5))</f>
        <v/>
      </c>
      <c r="EW363" t="n">
        <v>359</v>
      </c>
      <c r="EX363">
        <f>IFERROR(MATCH($EW363,$EM$5:$EM$1003,0),0)</f>
        <v/>
      </c>
      <c r="EY363">
        <f>IF($EW363&gt;$B$12,"",IF($EX363&gt;0,"row","spacer"))</f>
        <v/>
      </c>
      <c r="EZ363">
        <f>IF(AND($EY363="row",$EY362&lt;&gt;"row"),1,0)</f>
        <v/>
      </c>
      <c r="FA363">
        <f>IF(AND($EY363="row",$EY364&lt;&gt;"row"),1,0)</f>
        <v/>
      </c>
      <c r="FB363">
        <f>IF($EZ363=1,IFERROR(IF(ISNUMBER(INDEX(PASTE_ALL,INDEX($DF$5:$DF$1003,$EX363),$B$37)),INDEX(PASTE_ALL,INDEX($DF$5:$DF$1003,$EX363),$B$37),INDEX($DH$5:$DH$1003,$EX363)),INDEX($DH$5:$DH$1003,$EX363)),"")</f>
        <v/>
      </c>
      <c r="FC363">
        <f>IF($EY363="row",INDEX($ER$5:$ER$1003,$EX363),"")</f>
        <v/>
      </c>
      <c r="FD363">
        <f>IF($EY363="row",INDEX($DN$5:$DN$1003,$EX363),"")</f>
        <v/>
      </c>
      <c r="FE363">
        <f>IF($EY363="row",INDEX($DO$5:$DO$1003,$EX363),"")</f>
        <v/>
      </c>
      <c r="FF363">
        <f>IF($EY363="row",INDEX($DP$5:$DP$1003,$EX363),"")</f>
        <v/>
      </c>
      <c r="FG363">
        <f>IF($EY363="row",INDEX($DQ$5:$DQ$1003,$EX363),"")</f>
        <v/>
      </c>
      <c r="FH363">
        <f>IF($EY363="row",INDEX($DR$5:$DR$1003,$EX363),"")</f>
        <v/>
      </c>
      <c r="FI363">
        <f>IF($EY363="row",INDEX($DS$5:$DS$1003,$EX363),"")</f>
        <v/>
      </c>
      <c r="FJ363">
        <f>IF($EY363="row",INDEX($DT$5:$DT$1003,$EX363),"")</f>
        <v/>
      </c>
      <c r="FK363">
        <f>IF($EY363="row",INDEX($DU$5:$DU$1003,$EX363),"")</f>
        <v/>
      </c>
      <c r="FL363">
        <f>IF($EY363="row",INDEX($DV$5:$DV$1003,$EX363),"")</f>
        <v/>
      </c>
      <c r="FM363">
        <f>IF($EY363="row",INDEX($DW$5:$DW$1003,$EX363),"")</f>
        <v/>
      </c>
      <c r="FN363">
        <f>IF($EY363="row",INDEX($DY$5:$DY$1003,$EX363),"")</f>
        <v/>
      </c>
      <c r="FO363">
        <f>IF($EY363="row",INDEX($EA$5:$EA$1003,$EX363),"")</f>
        <v/>
      </c>
      <c r="FP363">
        <f>IF($EY363="row",INDEX($EC$5:$EC$1003,$EX363),"")</f>
        <v/>
      </c>
      <c r="FQ363">
        <f>IF($EY363="row",INDEX($ET$5:$ET$1003,$EX363),"")</f>
        <v/>
      </c>
      <c r="FR363">
        <f>IF($EY363="row",INDEX($EU$5:$EU$1003,$EX363),"")</f>
        <v/>
      </c>
      <c r="FS363">
        <f>IF(AND($EY363="row",$EY362="row"),IF(OR(INDEX($DT$5:$DT$1003,$EX362)="",INDEX($DT$5:$DT$1003,$EX363)=""),"",IF(NOT(EXACT(INDEX($DT$5:$DT$1003,$EX362),INDEX($DT$5:$DT$1003,$EX363))),"S4",IF(NOT(EXACT(INDEX($DS$5:$DS$1003,$EX362),INDEX($DS$5:$DS$1003,$EX363))),"S3",IF(NOT(EXACT(INDEX($DR$5:$DR$1003,$EX362),INDEX($DR$5:$DR$1003,$EX363))),"S1 Count Change","S1")))),"")</f>
        <v/>
      </c>
      <c r="FT363">
        <f>IF($EY363="row",INDEX($ES$5:$ES$1003,$EX363),"")</f>
        <v/>
      </c>
      <c r="FU363">
        <f>IF($EY363="row",INDEX($EO$5:$EO$1003,$EX363),0)</f>
        <v/>
      </c>
      <c r="FV363">
        <f>IF($FS363="S1 Count Change",1,0)</f>
        <v/>
      </c>
    </row>
    <row r="364">
      <c r="DA364" t="n">
        <v>360</v>
      </c>
      <c r="DB364">
        <f>IF($B$37=0,"",IFERROR(TRIM(SUBSTITUTE(SUBSTITUTE(SUBSTITUTE(SUBSTITUTE(INDEX(PASTE_ALL,360,$B$37)," "," "),CHAR(9)," "),CHAR(10)," "),CHAR(13)," ")),""))</f>
        <v/>
      </c>
      <c r="DC364">
        <f>IF(AND(360&gt;HEADER_ROW,UPPER(DB364)="LEGEND"),1,0)</f>
        <v/>
      </c>
      <c r="DE364" t="n">
        <v>360</v>
      </c>
      <c r="DF364">
        <f>HEADER_ROW+$DE364</f>
        <v/>
      </c>
      <c r="DG364">
        <f>IF(AND($DF364&lt;=1000,$DF364&lt;$B$8),1,0)</f>
        <v/>
      </c>
      <c r="DH364">
        <f>IF($DG364=1,IFERROR(INDEX($DB$5:$DB$1004,$DF364),""),"")</f>
        <v/>
      </c>
      <c r="DI364">
        <f>IF(AND($DG364=1,$DH364&lt;&gt;""),IFERROR(SUBSTITUTE(SUBSTITUTE(TRIM(SUBSTITUTE(SUBSTITUTE(SUBSTITUTE(SUBSTITUTE(IFERROR(INDEX(PASTE_ALL,$DF364,1)&amp;"","")&amp;"␟"&amp;IFERROR(INDEX(PASTE_ALL,$DF364,2)&amp;"","")&amp;"␟"&amp;IFERROR(INDEX(PASTE_ALL,$DF364,3)&amp;"","")&amp;"␟"&amp;IFERROR(INDEX(PASTE_ALL,$DF364,4)&amp;"","")&amp;"␟"&amp;IFERROR(INDEX(PASTE_ALL,$DF364,5)&amp;"","")&amp;"␟"&amp;IFERROR(INDEX(PASTE_ALL,$DF364,6)&amp;"","")&amp;"␟"&amp;IFERROR(INDEX(PASTE_ALL,$DF364,7)&amp;"","")&amp;"␟"&amp;IFERROR(INDEX(PASTE_ALL,$DF364,8)&amp;"","")&amp;"␟"&amp;IFERROR(INDEX(PASTE_ALL,$DF364,9)&amp;"","")&amp;"␟"&amp;IFERROR(INDEX(PASTE_ALL,$DF364,10)&amp;"","")&amp;"␟"&amp;IFERROR(INDEX(PASTE_ALL,$DF364,11)&amp;"","")&amp;"␟"&amp;IFERROR(INDEX(PASTE_ALL,$DF364,12)&amp;"","")&amp;"␟"&amp;IFERROR(INDEX(PASTE_ALL,$DF364,13)&amp;"","")&amp;"␟"&amp;IFERROR(INDEX(PASTE_ALL,$DF364,14)&amp;"","")&amp;"␟"&amp;IFERROR(INDEX(PASTE_ALL,$DF364,15)&amp;"","")&amp;"␟"&amp;IFERROR(INDEX(PASTE_ALL,$DF364,16)&amp;"","")&amp;"␟"&amp;IFERROR(INDEX(PASTE_ALL,$DF364,17)&amp;"","")&amp;"␟"&amp;IFERROR(INDEX(PASTE_ALL,$DF364,18)&amp;"","")&amp;"␟"&amp;IFERROR(INDEX(PASTE_ALL,$DF364,19)&amp;"","")&amp;"␟"&amp;IFERROR(INDEX(PASTE_ALL,$DF364,20)&amp;"","")&amp;"␟"&amp;IFERROR(INDEX(PASTE_ALL,$DF364,21)&amp;"","")&amp;"␟"&amp;IFERROR(INDEX(PASTE_ALL,$DF364,22)&amp;"","")&amp;"␟"&amp;IFERROR(INDEX(PASTE_ALL,$DF364,23)&amp;"","")&amp;"␟"&amp;IFERROR(INDEX(PASTE_ALL,$DF364,24)&amp;"","")&amp;"␟"&amp;IFERROR(INDEX(PASTE_ALL,$DF364,25)&amp;"","")&amp;"␟"&amp;IFERROR(INDEX(PASTE_ALL,$DF364,26)&amp;"","")&amp;"␟"&amp;IFERROR(INDEX(PASTE_ALL,$DF364,27)&amp;"","")&amp;"␟"&amp;IFERROR(INDEX(PASTE_ALL,$DF364,28)&amp;"","")&amp;"␟"&amp;IFERROR(INDEX(PASTE_ALL,$DF364,29)&amp;"","")&amp;"␟"&amp;IFERROR(INDEX(PASTE_ALL,$DF364,30)&amp;"","")&amp;"␟"&amp;IFERROR(INDEX(PASTE_ALL,$DF364,31)&amp;"","")&amp;"␟"&amp;IFERROR(INDEX(PASTE_ALL,$DF364,32)&amp;"","")&amp;"␟"&amp;IFERROR(INDEX(PASTE_ALL,$DF364,33)&amp;"","")&amp;"␟"&amp;IFERROR(INDEX(PASTE_ALL,$DF364,34)&amp;"","")&amp;"␟"&amp;IFERROR(INDEX(PASTE_ALL,$DF364,35)&amp;"","")&amp;"␟"&amp;IFERROR(INDEX(PASTE_ALL,$DF364,36)&amp;"","")&amp;"␟"&amp;IFERROR(INDEX(PASTE_ALL,$DF364,37)&amp;"","")&amp;"␟"&amp;IFERROR(INDEX(PASTE_ALL,$DF364,38)&amp;"","")&amp;"␟"&amp;IFERROR(INDEX(PASTE_ALL,$DF364,39)&amp;"","")&amp;"␟"&amp;IFERROR(INDEX(PASTE_ALL,$DF364,40)&amp;"","")&amp;"␟"&amp;IFERROR(INDEX(PASTE_ALL,$DF364,41)&amp;"","")&amp;"␟"&amp;IFERROR(INDEX(PASTE_ALL,$DF364,42)&amp;"","")&amp;"␟"&amp;IFERROR(INDEX(PASTE_ALL,$DF364,43)&amp;"","")&amp;"␟"&amp;IFERROR(INDEX(PASTE_ALL,$DF364,44)&amp;"","")&amp;"␟"&amp;IFERROR(INDEX(PASTE_ALL,$DF364,45)&amp;"","")&amp;"␟"&amp;IFERROR(INDEX(PASTE_ALL,$DF364,46)&amp;"","")&amp;"␟"&amp;IFERROR(INDEX(PASTE_ALL,$DF364,47)&amp;"","")&amp;"␟"&amp;IFERROR(INDEX(PASTE_ALL,$DF364,48)&amp;"","")&amp;"␟"&amp;IFERROR(INDEX(PASTE_ALL,$DF364,49)&amp;"","")&amp;"␟"&amp;IFERROR(INDEX(PASTE_ALL,$DF364,50)&amp;"","")&amp;"␟"&amp;IFERROR(INDEX(PASTE_ALL,$DF364,51)&amp;"","")&amp;"␟"&amp;IFERROR(INDEX(PASTE_ALL,$DF364,52)&amp;"","")&amp;"␟"&amp;IFERROR(INDEX(PASTE_ALL,$DF364,53)&amp;"","")&amp;"␟"&amp;IFERROR(INDEX(PASTE_ALL,$DF364,54)&amp;"","")&amp;"␟"&amp;IFERROR(INDEX(PASTE_ALL,$DF364,55)&amp;"","")&amp;"␟"&amp;IFERROR(INDEX(PASTE_ALL,$DF364,56)&amp;"","")&amp;"␟"&amp;IFERROR(INDEX(PASTE_ALL,$DF364,57)&amp;"","")&amp;"␟"&amp;IFERROR(INDEX(PASTE_ALL,$DF364,58)&amp;"","")&amp;"␟"&amp;IFERROR(INDEX(PASTE_ALL,$DF364,59)&amp;"","")&amp;"␟"&amp;IFERROR(INDEX(PASTE_ALL,$DF364,60)&amp;"","")," "," "),CHAR(9)," "),CHAR(10)," "),CHAR(13)," "))," ␟","␟"),"␟ ","␟"),"#"&amp;$DE364),"")</f>
        <v/>
      </c>
      <c r="DJ364">
        <f>IF($DI364="",0,IF(SUMPRODUCT(--EXACT($DI$4:DI363,$DI364))&gt;0,1,0))</f>
        <v/>
      </c>
      <c r="DK364">
        <f>IF(AND($DI364&lt;&gt;"",$DJ364=0),1,0)</f>
        <v/>
      </c>
      <c r="DL364">
        <f>DL363+$DK364</f>
        <v/>
      </c>
      <c r="DM364">
        <f>IF(AND($DK364=1,$DL364&lt;=600),1,0)</f>
        <v/>
      </c>
      <c r="DN364">
        <f>IF($DM364=0,"",IF($L$6=0,"",IFERROR(IF(ISNUMBER(INDEX(PASTE_ALL,$DF364,$L$6)),INDEX(PASTE_ALL,$DF364,$L$6),TRIM(SUBSTITUTE(SUBSTITUTE(SUBSTITUTE(SUBSTITUTE(INDEX(PASTE_ALL,$DF364,$L$6)," "," "),CHAR(9)," "),CHAR(10)," "),CHAR(13)," "))),"")))</f>
        <v/>
      </c>
      <c r="DO364">
        <f>IF($DM364=0,"",IF($L$7=0,"",IFERROR(IF(ISNUMBER(INDEX(PASTE_ALL,$DF364,$L$7)),INDEX(PASTE_ALL,$DF364,$L$7),TRIM(SUBSTITUTE(SUBSTITUTE(SUBSTITUTE(SUBSTITUTE(INDEX(PASTE_ALL,$DF364,$L$7)," "," "),CHAR(9)," "),CHAR(10)," "),CHAR(13)," "))),"")))</f>
        <v/>
      </c>
      <c r="DP364">
        <f>IF($DM364=0,"",IF($L$8=0,"",IFERROR(IF(ISNUMBER(INDEX(PASTE_ALL,$DF364,$L$8)),INDEX(PASTE_ALL,$DF364,$L$8),TRIM(SUBSTITUTE(SUBSTITUTE(SUBSTITUTE(SUBSTITUTE(INDEX(PASTE_ALL,$DF364,$L$8)," "," "),CHAR(9)," "),CHAR(10)," "),CHAR(13)," "))),"")))</f>
        <v/>
      </c>
      <c r="DQ364">
        <f>IF($DM364=0,"",IF($L$9=0,"",IFERROR(IF(ISNUMBER(INDEX(PASTE_ALL,$DF364,$L$9)),INDEX(PASTE_ALL,$DF364,$L$9),TRIM(SUBSTITUTE(SUBSTITUTE(SUBSTITUTE(SUBSTITUTE(INDEX(PASTE_ALL,$DF364,$L$9)," "," "),CHAR(9)," "),CHAR(10)," "),CHAR(13)," "))),"")))</f>
        <v/>
      </c>
      <c r="DR364">
        <f>IF($DM364=0,"",IF($L$10=0,"",IFERROR(IF(ISNUMBER(INDEX(PASTE_ALL,$DF364,$L$10)),INDEX(PASTE_ALL,$DF364,$L$10),TRIM(SUBSTITUTE(SUBSTITUTE(SUBSTITUTE(SUBSTITUTE(INDEX(PASTE_ALL,$DF364,$L$10)," "," "),CHAR(9)," "),CHAR(10)," "),CHAR(13)," "))),"")))</f>
        <v/>
      </c>
      <c r="DS364">
        <f>IF($DM364=0,"",IF($L$11=0,"",IFERROR(IF(ISNUMBER(INDEX(PASTE_ALL,$DF364,$L$11)),INDEX(PASTE_ALL,$DF364,$L$11),TRIM(SUBSTITUTE(SUBSTITUTE(SUBSTITUTE(SUBSTITUTE(INDEX(PASTE_ALL,$DF364,$L$11)," "," "),CHAR(9)," "),CHAR(10)," "),CHAR(13)," "))),"")))</f>
        <v/>
      </c>
      <c r="DT364">
        <f>IF($DM364=0,"",IF($L$12=0,"",IFERROR(IF(ISNUMBER(INDEX(PASTE_ALL,$DF364,$L$12)),INDEX(PASTE_ALL,$DF364,$L$12),TRIM(SUBSTITUTE(SUBSTITUTE(SUBSTITUTE(SUBSTITUTE(INDEX(PASTE_ALL,$DF364,$L$12)," "," "),CHAR(9)," "),CHAR(10)," "),CHAR(13)," "))),"")))</f>
        <v/>
      </c>
      <c r="DU364">
        <f>IF($DM364=0,"",IF($L$13=0,"",IFERROR(IF(ISNUMBER(INDEX(PASTE_ALL,$DF364,$L$13)),INDEX(PASTE_ALL,$DF364,$L$13),TRIM(SUBSTITUTE(SUBSTITUTE(SUBSTITUTE(SUBSTITUTE(INDEX(PASTE_ALL,$DF364,$L$13)," "," "),CHAR(9)," "),CHAR(10)," "),CHAR(13)," "))),"")))</f>
        <v/>
      </c>
      <c r="DV364">
        <f>IF($DM364=0,"",IF($L$14=0,"",IFERROR(IF(ISNUMBER(INDEX(PASTE_ALL,$DF364,$L$14)),INDEX(PASTE_ALL,$DF364,$L$14),TRIM(SUBSTITUTE(SUBSTITUTE(SUBSTITUTE(SUBSTITUTE(INDEX(PASTE_ALL,$DF364,$L$14)," "," "),CHAR(9)," "),CHAR(10)," "),CHAR(13)," "))),"")))</f>
        <v/>
      </c>
      <c r="DW364">
        <f>IF($DM364=0,"",IF($L$15=0,"",IFERROR(IF(ISNUMBER(INDEX(PASTE_ALL,$DF364,$L$15)),INDEX(PASTE_ALL,$DF364,$L$15),IF(SUMPRODUCT(--ISNUMBER(FIND({"A","B","C","D","E","F","G","H","I","J","K","L","M","N","O","P","Q","R","S","T","U","V","W","X","Y","Z","0","1","2","3","4","5","6","7","8","9"},UPPER(TRIM(SUBSTITUTE(SUBSTITUTE(SUBSTITUTE(SUBSTITUTE(INDEX(PASTE_ALL,$DF364,$L$15)," "," "),CHAR(9)," "),CHAR(10)," "),CHAR(13)," "))))))&gt;0,TRIM(SUBSTITUTE(SUBSTITUTE(SUBSTITUTE(SUBSTITUTE(INDEX(PASTE_ALL,$DF364,$L$15)," "," "),CHAR(9)," "),CHAR(10)," "),CHAR(13)," ")),"")),"")))</f>
        <v/>
      </c>
      <c r="DX364">
        <f>IF($DM364=0,"",IF($L$16=0,"",IFERROR(IF(ISNUMBER(INDEX(PASTE_ALL,$DF364,$L$16)),INDEX(PASTE_ALL,$DF364,$L$16),SUBSTITUTE(SUBSTITUTE(TRIM(SUBSTITUTE(SUBSTITUTE(SUBSTITUTE(SUBSTITUTE(INDEX(PASTE_ALL,$DF364,$L$16)," "," "),CHAR(9)," "),CHAR(10)," "),CHAR(13)," ")),",",""),"%","")),"")))</f>
        <v/>
      </c>
      <c r="DY364">
        <f>IF($DM364=0,"",IFERROR(IF(ISNUMBER($DX364),$DX364,IF($DX364="","",IF(TRIM($DX364)="",0,IF(AND(AND(SUBSTITUTE(SUBSTITUTE(SUBSTITUTE(SUBSTITUTE(SUBSTITUTE(SUBSTITUTE(SUBSTITUTE(SUBSTITUTE(SUBSTITUTE(SUBSTITUTE(SUBSTITUTE(SUBSTITUTE(SUBSTITUTE(SUBSTITUTE(UPPER(TRIM($DX364)),"0",""),"1",""),"2",""),"3",""),"4",""),"5",""),"6",""),"7",""),"8",""),"9",""),".",""),"+",""),"-",""),"E","")="",LEN(SUBSTITUTE(SUBSTITUTE(MID(UPPER(TRIM($DX364)),1+OR(LEFT(UPPER(TRIM($DX364)),1)="+",LEFT(UPPER(TRIM($DX364)),1)="-"),999),"E+","E"),"E-","E"))=LEN(SUBSTITUTE(SUBSTITUTE(SUBSTITUTE(SUBSTITUTE(MID(UPPER(TRIM($DX364)),1+OR(LEFT(UPPER(TRIM($DX364)),1)="+",LEFT(UPPER(TRIM($DX364)),1)="-"),999),"E+","E"),"E-","E"),"+",""),"-","")),LEN(UPPER(TRIM($DX364)))-LEN(SUBSTITUTE(UPPER(TRIM($DX364)),"E",""))&lt;2,LEN(UPPER(TRIM($DX364)))-LEN(SUBSTITUTE(UPPER(TRIM($DX364)),".",""))&lt;2,IFERROR(FIND(".",UPPER(TRIM($DX364))),0)&lt;IFERROR(FIND("E",UPPER(TRIM($DX364))),999)),ISNUMBER(VALUE(TRIM($DX364)))),VALUE(TRIM($DX364)),"")))),""))</f>
        <v/>
      </c>
      <c r="DZ364">
        <f>IF($DM364=0,"",IF($L$17=0,"",IFERROR(IF(ISNUMBER(INDEX(PASTE_ALL,$DF364,$L$17)),INDEX(PASTE_ALL,$DF364,$L$17),SUBSTITUTE(SUBSTITUTE(TRIM(SUBSTITUTE(SUBSTITUTE(SUBSTITUTE(SUBSTITUTE(INDEX(PASTE_ALL,$DF364,$L$17)," "," "),CHAR(9)," "),CHAR(10)," "),CHAR(13)," ")),",",""),"%","")),"")))</f>
        <v/>
      </c>
      <c r="EA364">
        <f>IF($DM364=0,"",IFERROR(IF(ISNUMBER($DZ364),$DZ364,IF($DZ364="","",IF(TRIM($DZ364)="",0,IF(AND(AND(SUBSTITUTE(SUBSTITUTE(SUBSTITUTE(SUBSTITUTE(SUBSTITUTE(SUBSTITUTE(SUBSTITUTE(SUBSTITUTE(SUBSTITUTE(SUBSTITUTE(SUBSTITUTE(SUBSTITUTE(SUBSTITUTE(SUBSTITUTE(UPPER(TRIM($DZ364)),"0",""),"1",""),"2",""),"3",""),"4",""),"5",""),"6",""),"7",""),"8",""),"9",""),".",""),"+",""),"-",""),"E","")="",LEN(SUBSTITUTE(SUBSTITUTE(MID(UPPER(TRIM($DZ364)),1+OR(LEFT(UPPER(TRIM($DZ364)),1)="+",LEFT(UPPER(TRIM($DZ364)),1)="-"),999),"E+","E"),"E-","E"))=LEN(SUBSTITUTE(SUBSTITUTE(SUBSTITUTE(SUBSTITUTE(MID(UPPER(TRIM($DZ364)),1+OR(LEFT(UPPER(TRIM($DZ364)),1)="+",LEFT(UPPER(TRIM($DZ364)),1)="-"),999),"E+","E"),"E-","E"),"+",""),"-","")),LEN(UPPER(TRIM($DZ364)))-LEN(SUBSTITUTE(UPPER(TRIM($DZ364)),"E",""))&lt;2,LEN(UPPER(TRIM($DZ364)))-LEN(SUBSTITUTE(UPPER(TRIM($DZ364)),".",""))&lt;2,IFERROR(FIND(".",UPPER(TRIM($DZ364))),0)&lt;IFERROR(FIND("E",UPPER(TRIM($DZ364))),999)),ISNUMBER(VALUE(TRIM($DZ364)))),VALUE(TRIM($DZ364)),"")))),""))</f>
        <v/>
      </c>
      <c r="EB364">
        <f>IF($DM364=0,"",IF($L$18=0,"",IFERROR(IF(UPPER(TRIM(SUBSTITUTE(SUBSTITUTE(SUBSTITUTE(SUBSTITUTE(INDEX(PASTE_ALL,$DF364,$L$18)," "," "),CHAR(9)," "),CHAR(10)," "),CHAR(13)," ")))="READY","Ready",IF(UPPER(TRIM(SUBSTITUTE(SUBSTITUTE(SUBSTITUTE(SUBSTITUTE(INDEX(PASTE_ALL,$DF364,$L$18)," "," "),CHAR(9)," "),CHAR(10)," "),CHAR(13)," ")))="PM","PM",IF(OR(UPPER(TRIM(SUBSTITUTE(SUBSTITUTE(SUBSTITUTE(SUBSTITUTE(INDEX(PASTE_ALL,$DF364,$L$18)," "," "),CHAR(9)," "),CHAR(10)," "),CHAR(13)," ")))="OT",UPPER(TRIM(SUBSTITUTE(SUBSTITUTE(SUBSTITUTE(SUBSTITUTE(INDEX(PASTE_ALL,$DF364,$L$18)," "," "),CHAR(9)," "),CHAR(10)," "),CHAR(13)," ")))="OVERTIME",UPPER(TRIM(SUBSTITUTE(SUBSTITUTE(SUBSTITUTE(SUBSTITUTE(INDEX(PASTE_ALL,$DF364,$L$18)," "," "),CHAR(9)," "),CHAR(10)," "),CHAR(13)," ")))="TRIAL"),"OT",TRIM(SUBSTITUTE(SUBSTITUTE(SUBSTITUTE(SUBSTITUTE(INDEX(PASTE_ALL,$DF364,$L$18)," "," "),CHAR(9)," "),CHAR(10)," "),CHAR(13)," "))))),"")))</f>
        <v/>
      </c>
      <c r="EC364">
        <f>IF($DM364=0,"",IF($L$19=0,"",IFERROR(IF(ISNUMBER(INDEX(PASTE_ALL,$DF364,$L$19)),INDEX(PASTE_ALL,$DF364,$L$19),TRIM(SUBSTITUTE(SUBSTITUTE(SUBSTITUTE(SUBSTITUTE(INDEX(PASTE_ALL,$DF364,$L$19)," "," "),CHAR(9)," "),CHAR(10)," "),CHAR(13)," "))),"")))</f>
        <v/>
      </c>
      <c r="ED364">
        <f>IF($DM364=0,"",MATCH(1,INDEX(EXACT($DH$5:DH364,$DH364)*$DM$5:DM364,0),0))</f>
        <v/>
      </c>
      <c r="EE364">
        <f>IF($DM364=0,0,IF($ED364=$DE364,1,0))</f>
        <v/>
      </c>
      <c r="EF364">
        <f>EF363+$EE364</f>
        <v/>
      </c>
      <c r="EG364">
        <f>IF($DM364=0,"",INDEX($EF$5:$EF$1003,$ED364))</f>
        <v/>
      </c>
      <c r="EH364">
        <f>IF($DM364=0,"",IF($DO364&lt;&gt;"","",IFERROR(LOOKUP(2,1/(($EG$4:EG363=$EG364)*($DO$4:DO363&lt;&gt;"")),$DO$4:DO363),"")))</f>
        <v/>
      </c>
      <c r="EI364">
        <f>IF($DM364=0,"",IF($DO364&lt;&gt;"",$DO364,$EH364))</f>
        <v/>
      </c>
      <c r="EJ364">
        <f>IF($DM364=0,"",IF($EI364="",0,IF(OR(ISNUMBER($EI364),AND(AND(SUBSTITUTE(SUBSTITUTE(SUBSTITUTE(SUBSTITUTE(SUBSTITUTE(SUBSTITUTE(SUBSTITUTE(SUBSTITUTE(SUBSTITUTE(SUBSTITUTE(SUBSTITUTE(SUBSTITUTE(SUBSTITUTE(SUBSTITUTE(UPPER($EI364),"0",""),"1",""),"2",""),"3",""),"4",""),"5",""),"6",""),"7",""),"8",""),"9",""),".",""),"+",""),"-",""),"E","")="",LEN(SUBSTITUTE(SUBSTITUTE(MID(UPPER($EI364),1+OR(LEFT(UPPER($EI364),1)="+",LEFT(UPPER($EI364),1)="-"),999),"E+","E"),"E-","E"))=LEN(SUBSTITUTE(SUBSTITUTE(SUBSTITUTE(SUBSTITUTE(MID(UPPER($EI364),1+OR(LEFT(UPPER($EI364),1)="+",LEFT(UPPER($EI364),1)="-"),999),"E+","E"),"E-","E"),"+",""),"-","")),LEN(UPPER($EI364))-LEN(SUBSTITUTE(UPPER($EI364),"E",""))&lt;2,LEN(UPPER($EI364))-LEN(SUBSTITUTE(UPPER($EI364),".",""))&lt;2,IFERROR(FIND(".",UPPER($EI364)),0)&lt;IFERROR(FIND("E",UPPER($EI364)),999)),ISNUMBER(VALUE($EI364)))),1,2)))</f>
        <v/>
      </c>
      <c r="EK364">
        <f>IF($DM364=0,"",IF($EJ364=1,IF(ISNUMBER($EI364),$EI364,VALUE($EI364)),IF($EJ364=2,$DE364,0)))</f>
        <v/>
      </c>
      <c r="EL364">
        <f>IF($DM364=0,"",COUNTIF($EG$5:$EG$1003,"&lt;"&amp;$EG364)+SUMPRODUCT(($EG$5:$EG$1003=$EG364)*(($EJ$5:$EJ$1003&lt;$EJ364)+($EJ$5:$EJ$1003=$EJ364)*(($EK$5:$EK$1003&lt;$EK364)+($EK$5:$EK$1003=$EK364)*($DE$5:$DE$1003&lt;$DE364))))+1)</f>
        <v/>
      </c>
      <c r="EM364">
        <f>IF($DM364=0,"",$EL364+$EG364-1)</f>
        <v/>
      </c>
      <c r="EN364">
        <f>IF($DM364=0,0,IFERROR(MATCH(1,INDEX(--(TRIM(SUBSTITUTE(SUBSTITUTE(SUBSTITUTE(SUBSTITUTE(LINES_NAME&amp;""," "," "),CHAR(9)," "),CHAR(10)," "),CHAR(13)," "))=$DH364),0),0),0))</f>
        <v/>
      </c>
      <c r="EO364">
        <f>IF($EN364=0,0,IF(OR(UPPER(TRIM(INDEX(LINES_SCHEDULED,$EN364)&amp;""))="YES",UPPER(TRIM(INDEX(LINES_SCHEDULED,$EN364)&amp;""))="Y",UPPER(TRIM(INDEX(LINES_SCHEDULED,$EN364)&amp;""))="X"),1,0))</f>
        <v/>
      </c>
      <c r="EP364">
        <f>IF($DM364=0,"",IF(COUNTIFS($EG$5:$EG$1003,$EG364,$EB$5:$EB$1003,"Ready")&gt;0,"READY",IF(COUNTIFS($EG$5:$EG$1003,$EG364,$EB$5:$EB$1003,"PM")&gt;0,"PM",IF(COUNTIFS($EG$5:$EG$1003,$EG364,$EB$5:$EB$1003,"OT")&gt;0,"OT",""))))</f>
        <v/>
      </c>
      <c r="EQ364">
        <f>IF($EN364=0,"",UPPER(TRIM(INDEX(LINES_STATUS,$EN364)&amp;"")))</f>
        <v/>
      </c>
      <c r="ER364">
        <f>IF($DM364=0,"",IF(OR($EQ364="READY",$EQ364="PM",$EQ364="OT"),$EQ364,$EP364))</f>
        <v/>
      </c>
      <c r="ES364">
        <f>IF($DM364=0,"",IF(AND($DV364&lt;&gt;"",UPPER($DV364)&lt;&gt;"N"),"allergen",IF(ISNUMBER(SEARCH("oil",$DQ364)),"oil",IF(OR(EXACT($DS364,"A662"),EXACT($DS364,"A624")),"bulk",""))))</f>
        <v/>
      </c>
      <c r="ET364">
        <f>IF($DM364=0,"",IF(OR($EA364="",$EA364=0),"",$EA364/100))</f>
        <v/>
      </c>
      <c r="EU364">
        <f>IF(OR($ET364="",$DY364=""),"",INT($DY364*(1-$ET364)+0.5))</f>
        <v/>
      </c>
      <c r="EW364" t="n">
        <v>360</v>
      </c>
      <c r="EX364">
        <f>IFERROR(MATCH($EW364,$EM$5:$EM$1003,0),0)</f>
        <v/>
      </c>
      <c r="EY364">
        <f>IF($EW364&gt;$B$12,"",IF($EX364&gt;0,"row","spacer"))</f>
        <v/>
      </c>
      <c r="EZ364">
        <f>IF(AND($EY364="row",$EY363&lt;&gt;"row"),1,0)</f>
        <v/>
      </c>
      <c r="FA364">
        <f>IF(AND($EY364="row",$EY365&lt;&gt;"row"),1,0)</f>
        <v/>
      </c>
      <c r="FB364">
        <f>IF($EZ364=1,IFERROR(IF(ISNUMBER(INDEX(PASTE_ALL,INDEX($DF$5:$DF$1003,$EX364),$B$37)),INDEX(PASTE_ALL,INDEX($DF$5:$DF$1003,$EX364),$B$37),INDEX($DH$5:$DH$1003,$EX364)),INDEX($DH$5:$DH$1003,$EX364)),"")</f>
        <v/>
      </c>
      <c r="FC364">
        <f>IF($EY364="row",INDEX($ER$5:$ER$1003,$EX364),"")</f>
        <v/>
      </c>
      <c r="FD364">
        <f>IF($EY364="row",INDEX($DN$5:$DN$1003,$EX364),"")</f>
        <v/>
      </c>
      <c r="FE364">
        <f>IF($EY364="row",INDEX($DO$5:$DO$1003,$EX364),"")</f>
        <v/>
      </c>
      <c r="FF364">
        <f>IF($EY364="row",INDEX($DP$5:$DP$1003,$EX364),"")</f>
        <v/>
      </c>
      <c r="FG364">
        <f>IF($EY364="row",INDEX($DQ$5:$DQ$1003,$EX364),"")</f>
        <v/>
      </c>
      <c r="FH364">
        <f>IF($EY364="row",INDEX($DR$5:$DR$1003,$EX364),"")</f>
        <v/>
      </c>
      <c r="FI364">
        <f>IF($EY364="row",INDEX($DS$5:$DS$1003,$EX364),"")</f>
        <v/>
      </c>
      <c r="FJ364">
        <f>IF($EY364="row",INDEX($DT$5:$DT$1003,$EX364),"")</f>
        <v/>
      </c>
      <c r="FK364">
        <f>IF($EY364="row",INDEX($DU$5:$DU$1003,$EX364),"")</f>
        <v/>
      </c>
      <c r="FL364">
        <f>IF($EY364="row",INDEX($DV$5:$DV$1003,$EX364),"")</f>
        <v/>
      </c>
      <c r="FM364">
        <f>IF($EY364="row",INDEX($DW$5:$DW$1003,$EX364),"")</f>
        <v/>
      </c>
      <c r="FN364">
        <f>IF($EY364="row",INDEX($DY$5:$DY$1003,$EX364),"")</f>
        <v/>
      </c>
      <c r="FO364">
        <f>IF($EY364="row",INDEX($EA$5:$EA$1003,$EX364),"")</f>
        <v/>
      </c>
      <c r="FP364">
        <f>IF($EY364="row",INDEX($EC$5:$EC$1003,$EX364),"")</f>
        <v/>
      </c>
      <c r="FQ364">
        <f>IF($EY364="row",INDEX($ET$5:$ET$1003,$EX364),"")</f>
        <v/>
      </c>
      <c r="FR364">
        <f>IF($EY364="row",INDEX($EU$5:$EU$1003,$EX364),"")</f>
        <v/>
      </c>
      <c r="FS364">
        <f>IF(AND($EY364="row",$EY363="row"),IF(OR(INDEX($DT$5:$DT$1003,$EX363)="",INDEX($DT$5:$DT$1003,$EX364)=""),"",IF(NOT(EXACT(INDEX($DT$5:$DT$1003,$EX363),INDEX($DT$5:$DT$1003,$EX364))),"S4",IF(NOT(EXACT(INDEX($DS$5:$DS$1003,$EX363),INDEX($DS$5:$DS$1003,$EX364))),"S3",IF(NOT(EXACT(INDEX($DR$5:$DR$1003,$EX363),INDEX($DR$5:$DR$1003,$EX364))),"S1 Count Change","S1")))),"")</f>
        <v/>
      </c>
      <c r="FT364">
        <f>IF($EY364="row",INDEX($ES$5:$ES$1003,$EX364),"")</f>
        <v/>
      </c>
      <c r="FU364">
        <f>IF($EY364="row",INDEX($EO$5:$EO$1003,$EX364),0)</f>
        <v/>
      </c>
      <c r="FV364">
        <f>IF($FS364="S1 Count Change",1,0)</f>
        <v/>
      </c>
    </row>
    <row r="365">
      <c r="DA365" t="n">
        <v>361</v>
      </c>
      <c r="DB365">
        <f>IF($B$37=0,"",IFERROR(TRIM(SUBSTITUTE(SUBSTITUTE(SUBSTITUTE(SUBSTITUTE(INDEX(PASTE_ALL,361,$B$37)," "," "),CHAR(9)," "),CHAR(10)," "),CHAR(13)," ")),""))</f>
        <v/>
      </c>
      <c r="DC365">
        <f>IF(AND(361&gt;HEADER_ROW,UPPER(DB365)="LEGEND"),1,0)</f>
        <v/>
      </c>
      <c r="DE365" t="n">
        <v>361</v>
      </c>
      <c r="DF365">
        <f>HEADER_ROW+$DE365</f>
        <v/>
      </c>
      <c r="DG365">
        <f>IF(AND($DF365&lt;=1000,$DF365&lt;$B$8),1,0)</f>
        <v/>
      </c>
      <c r="DH365">
        <f>IF($DG365=1,IFERROR(INDEX($DB$5:$DB$1004,$DF365),""),"")</f>
        <v/>
      </c>
      <c r="DI365">
        <f>IF(AND($DG365=1,$DH365&lt;&gt;""),IFERROR(SUBSTITUTE(SUBSTITUTE(TRIM(SUBSTITUTE(SUBSTITUTE(SUBSTITUTE(SUBSTITUTE(IFERROR(INDEX(PASTE_ALL,$DF365,1)&amp;"","")&amp;"␟"&amp;IFERROR(INDEX(PASTE_ALL,$DF365,2)&amp;"","")&amp;"␟"&amp;IFERROR(INDEX(PASTE_ALL,$DF365,3)&amp;"","")&amp;"␟"&amp;IFERROR(INDEX(PASTE_ALL,$DF365,4)&amp;"","")&amp;"␟"&amp;IFERROR(INDEX(PASTE_ALL,$DF365,5)&amp;"","")&amp;"␟"&amp;IFERROR(INDEX(PASTE_ALL,$DF365,6)&amp;"","")&amp;"␟"&amp;IFERROR(INDEX(PASTE_ALL,$DF365,7)&amp;"","")&amp;"␟"&amp;IFERROR(INDEX(PASTE_ALL,$DF365,8)&amp;"","")&amp;"␟"&amp;IFERROR(INDEX(PASTE_ALL,$DF365,9)&amp;"","")&amp;"␟"&amp;IFERROR(INDEX(PASTE_ALL,$DF365,10)&amp;"","")&amp;"␟"&amp;IFERROR(INDEX(PASTE_ALL,$DF365,11)&amp;"","")&amp;"␟"&amp;IFERROR(INDEX(PASTE_ALL,$DF365,12)&amp;"","")&amp;"␟"&amp;IFERROR(INDEX(PASTE_ALL,$DF365,13)&amp;"","")&amp;"␟"&amp;IFERROR(INDEX(PASTE_ALL,$DF365,14)&amp;"","")&amp;"␟"&amp;IFERROR(INDEX(PASTE_ALL,$DF365,15)&amp;"","")&amp;"␟"&amp;IFERROR(INDEX(PASTE_ALL,$DF365,16)&amp;"","")&amp;"␟"&amp;IFERROR(INDEX(PASTE_ALL,$DF365,17)&amp;"","")&amp;"␟"&amp;IFERROR(INDEX(PASTE_ALL,$DF365,18)&amp;"","")&amp;"␟"&amp;IFERROR(INDEX(PASTE_ALL,$DF365,19)&amp;"","")&amp;"␟"&amp;IFERROR(INDEX(PASTE_ALL,$DF365,20)&amp;"","")&amp;"␟"&amp;IFERROR(INDEX(PASTE_ALL,$DF365,21)&amp;"","")&amp;"␟"&amp;IFERROR(INDEX(PASTE_ALL,$DF365,22)&amp;"","")&amp;"␟"&amp;IFERROR(INDEX(PASTE_ALL,$DF365,23)&amp;"","")&amp;"␟"&amp;IFERROR(INDEX(PASTE_ALL,$DF365,24)&amp;"","")&amp;"␟"&amp;IFERROR(INDEX(PASTE_ALL,$DF365,25)&amp;"","")&amp;"␟"&amp;IFERROR(INDEX(PASTE_ALL,$DF365,26)&amp;"","")&amp;"␟"&amp;IFERROR(INDEX(PASTE_ALL,$DF365,27)&amp;"","")&amp;"␟"&amp;IFERROR(INDEX(PASTE_ALL,$DF365,28)&amp;"","")&amp;"␟"&amp;IFERROR(INDEX(PASTE_ALL,$DF365,29)&amp;"","")&amp;"␟"&amp;IFERROR(INDEX(PASTE_ALL,$DF365,30)&amp;"","")&amp;"␟"&amp;IFERROR(INDEX(PASTE_ALL,$DF365,31)&amp;"","")&amp;"␟"&amp;IFERROR(INDEX(PASTE_ALL,$DF365,32)&amp;"","")&amp;"␟"&amp;IFERROR(INDEX(PASTE_ALL,$DF365,33)&amp;"","")&amp;"␟"&amp;IFERROR(INDEX(PASTE_ALL,$DF365,34)&amp;"","")&amp;"␟"&amp;IFERROR(INDEX(PASTE_ALL,$DF365,35)&amp;"","")&amp;"␟"&amp;IFERROR(INDEX(PASTE_ALL,$DF365,36)&amp;"","")&amp;"␟"&amp;IFERROR(INDEX(PASTE_ALL,$DF365,37)&amp;"","")&amp;"␟"&amp;IFERROR(INDEX(PASTE_ALL,$DF365,38)&amp;"","")&amp;"␟"&amp;IFERROR(INDEX(PASTE_ALL,$DF365,39)&amp;"","")&amp;"␟"&amp;IFERROR(INDEX(PASTE_ALL,$DF365,40)&amp;"","")&amp;"␟"&amp;IFERROR(INDEX(PASTE_ALL,$DF365,41)&amp;"","")&amp;"␟"&amp;IFERROR(INDEX(PASTE_ALL,$DF365,42)&amp;"","")&amp;"␟"&amp;IFERROR(INDEX(PASTE_ALL,$DF365,43)&amp;"","")&amp;"␟"&amp;IFERROR(INDEX(PASTE_ALL,$DF365,44)&amp;"","")&amp;"␟"&amp;IFERROR(INDEX(PASTE_ALL,$DF365,45)&amp;"","")&amp;"␟"&amp;IFERROR(INDEX(PASTE_ALL,$DF365,46)&amp;"","")&amp;"␟"&amp;IFERROR(INDEX(PASTE_ALL,$DF365,47)&amp;"","")&amp;"␟"&amp;IFERROR(INDEX(PASTE_ALL,$DF365,48)&amp;"","")&amp;"␟"&amp;IFERROR(INDEX(PASTE_ALL,$DF365,49)&amp;"","")&amp;"␟"&amp;IFERROR(INDEX(PASTE_ALL,$DF365,50)&amp;"","")&amp;"␟"&amp;IFERROR(INDEX(PASTE_ALL,$DF365,51)&amp;"","")&amp;"␟"&amp;IFERROR(INDEX(PASTE_ALL,$DF365,52)&amp;"","")&amp;"␟"&amp;IFERROR(INDEX(PASTE_ALL,$DF365,53)&amp;"","")&amp;"␟"&amp;IFERROR(INDEX(PASTE_ALL,$DF365,54)&amp;"","")&amp;"␟"&amp;IFERROR(INDEX(PASTE_ALL,$DF365,55)&amp;"","")&amp;"␟"&amp;IFERROR(INDEX(PASTE_ALL,$DF365,56)&amp;"","")&amp;"␟"&amp;IFERROR(INDEX(PASTE_ALL,$DF365,57)&amp;"","")&amp;"␟"&amp;IFERROR(INDEX(PASTE_ALL,$DF365,58)&amp;"","")&amp;"␟"&amp;IFERROR(INDEX(PASTE_ALL,$DF365,59)&amp;"","")&amp;"␟"&amp;IFERROR(INDEX(PASTE_ALL,$DF365,60)&amp;"","")," "," "),CHAR(9)," "),CHAR(10)," "),CHAR(13)," "))," ␟","␟"),"␟ ","␟"),"#"&amp;$DE365),"")</f>
        <v/>
      </c>
      <c r="DJ365">
        <f>IF($DI365="",0,IF(SUMPRODUCT(--EXACT($DI$4:DI364,$DI365))&gt;0,1,0))</f>
        <v/>
      </c>
      <c r="DK365">
        <f>IF(AND($DI365&lt;&gt;"",$DJ365=0),1,0)</f>
        <v/>
      </c>
      <c r="DL365">
        <f>DL364+$DK365</f>
        <v/>
      </c>
      <c r="DM365">
        <f>IF(AND($DK365=1,$DL365&lt;=600),1,0)</f>
        <v/>
      </c>
      <c r="DN365">
        <f>IF($DM365=0,"",IF($L$6=0,"",IFERROR(IF(ISNUMBER(INDEX(PASTE_ALL,$DF365,$L$6)),INDEX(PASTE_ALL,$DF365,$L$6),TRIM(SUBSTITUTE(SUBSTITUTE(SUBSTITUTE(SUBSTITUTE(INDEX(PASTE_ALL,$DF365,$L$6)," "," "),CHAR(9)," "),CHAR(10)," "),CHAR(13)," "))),"")))</f>
        <v/>
      </c>
      <c r="DO365">
        <f>IF($DM365=0,"",IF($L$7=0,"",IFERROR(IF(ISNUMBER(INDEX(PASTE_ALL,$DF365,$L$7)),INDEX(PASTE_ALL,$DF365,$L$7),TRIM(SUBSTITUTE(SUBSTITUTE(SUBSTITUTE(SUBSTITUTE(INDEX(PASTE_ALL,$DF365,$L$7)," "," "),CHAR(9)," "),CHAR(10)," "),CHAR(13)," "))),"")))</f>
        <v/>
      </c>
      <c r="DP365">
        <f>IF($DM365=0,"",IF($L$8=0,"",IFERROR(IF(ISNUMBER(INDEX(PASTE_ALL,$DF365,$L$8)),INDEX(PASTE_ALL,$DF365,$L$8),TRIM(SUBSTITUTE(SUBSTITUTE(SUBSTITUTE(SUBSTITUTE(INDEX(PASTE_ALL,$DF365,$L$8)," "," "),CHAR(9)," "),CHAR(10)," "),CHAR(13)," "))),"")))</f>
        <v/>
      </c>
      <c r="DQ365">
        <f>IF($DM365=0,"",IF($L$9=0,"",IFERROR(IF(ISNUMBER(INDEX(PASTE_ALL,$DF365,$L$9)),INDEX(PASTE_ALL,$DF365,$L$9),TRIM(SUBSTITUTE(SUBSTITUTE(SUBSTITUTE(SUBSTITUTE(INDEX(PASTE_ALL,$DF365,$L$9)," "," "),CHAR(9)," "),CHAR(10)," "),CHAR(13)," "))),"")))</f>
        <v/>
      </c>
      <c r="DR365">
        <f>IF($DM365=0,"",IF($L$10=0,"",IFERROR(IF(ISNUMBER(INDEX(PASTE_ALL,$DF365,$L$10)),INDEX(PASTE_ALL,$DF365,$L$10),TRIM(SUBSTITUTE(SUBSTITUTE(SUBSTITUTE(SUBSTITUTE(INDEX(PASTE_ALL,$DF365,$L$10)," "," "),CHAR(9)," "),CHAR(10)," "),CHAR(13)," "))),"")))</f>
        <v/>
      </c>
      <c r="DS365">
        <f>IF($DM365=0,"",IF($L$11=0,"",IFERROR(IF(ISNUMBER(INDEX(PASTE_ALL,$DF365,$L$11)),INDEX(PASTE_ALL,$DF365,$L$11),TRIM(SUBSTITUTE(SUBSTITUTE(SUBSTITUTE(SUBSTITUTE(INDEX(PASTE_ALL,$DF365,$L$11)," "," "),CHAR(9)," "),CHAR(10)," "),CHAR(13)," "))),"")))</f>
        <v/>
      </c>
      <c r="DT365">
        <f>IF($DM365=0,"",IF($L$12=0,"",IFERROR(IF(ISNUMBER(INDEX(PASTE_ALL,$DF365,$L$12)),INDEX(PASTE_ALL,$DF365,$L$12),TRIM(SUBSTITUTE(SUBSTITUTE(SUBSTITUTE(SUBSTITUTE(INDEX(PASTE_ALL,$DF365,$L$12)," "," "),CHAR(9)," "),CHAR(10)," "),CHAR(13)," "))),"")))</f>
        <v/>
      </c>
      <c r="DU365">
        <f>IF($DM365=0,"",IF($L$13=0,"",IFERROR(IF(ISNUMBER(INDEX(PASTE_ALL,$DF365,$L$13)),INDEX(PASTE_ALL,$DF365,$L$13),TRIM(SUBSTITUTE(SUBSTITUTE(SUBSTITUTE(SUBSTITUTE(INDEX(PASTE_ALL,$DF365,$L$13)," "," "),CHAR(9)," "),CHAR(10)," "),CHAR(13)," "))),"")))</f>
        <v/>
      </c>
      <c r="DV365">
        <f>IF($DM365=0,"",IF($L$14=0,"",IFERROR(IF(ISNUMBER(INDEX(PASTE_ALL,$DF365,$L$14)),INDEX(PASTE_ALL,$DF365,$L$14),TRIM(SUBSTITUTE(SUBSTITUTE(SUBSTITUTE(SUBSTITUTE(INDEX(PASTE_ALL,$DF365,$L$14)," "," "),CHAR(9)," "),CHAR(10)," "),CHAR(13)," "))),"")))</f>
        <v/>
      </c>
      <c r="DW365">
        <f>IF($DM365=0,"",IF($L$15=0,"",IFERROR(IF(ISNUMBER(INDEX(PASTE_ALL,$DF365,$L$15)),INDEX(PASTE_ALL,$DF365,$L$15),IF(SUMPRODUCT(--ISNUMBER(FIND({"A","B","C","D","E","F","G","H","I","J","K","L","M","N","O","P","Q","R","S","T","U","V","W","X","Y","Z","0","1","2","3","4","5","6","7","8","9"},UPPER(TRIM(SUBSTITUTE(SUBSTITUTE(SUBSTITUTE(SUBSTITUTE(INDEX(PASTE_ALL,$DF365,$L$15)," "," "),CHAR(9)," "),CHAR(10)," "),CHAR(13)," "))))))&gt;0,TRIM(SUBSTITUTE(SUBSTITUTE(SUBSTITUTE(SUBSTITUTE(INDEX(PASTE_ALL,$DF365,$L$15)," "," "),CHAR(9)," "),CHAR(10)," "),CHAR(13)," ")),"")),"")))</f>
        <v/>
      </c>
      <c r="DX365">
        <f>IF($DM365=0,"",IF($L$16=0,"",IFERROR(IF(ISNUMBER(INDEX(PASTE_ALL,$DF365,$L$16)),INDEX(PASTE_ALL,$DF365,$L$16),SUBSTITUTE(SUBSTITUTE(TRIM(SUBSTITUTE(SUBSTITUTE(SUBSTITUTE(SUBSTITUTE(INDEX(PASTE_ALL,$DF365,$L$16)," "," "),CHAR(9)," "),CHAR(10)," "),CHAR(13)," ")),",",""),"%","")),"")))</f>
        <v/>
      </c>
      <c r="DY365">
        <f>IF($DM365=0,"",IFERROR(IF(ISNUMBER($DX365),$DX365,IF($DX365="","",IF(TRIM($DX365)="",0,IF(AND(AND(SUBSTITUTE(SUBSTITUTE(SUBSTITUTE(SUBSTITUTE(SUBSTITUTE(SUBSTITUTE(SUBSTITUTE(SUBSTITUTE(SUBSTITUTE(SUBSTITUTE(SUBSTITUTE(SUBSTITUTE(SUBSTITUTE(SUBSTITUTE(UPPER(TRIM($DX365)),"0",""),"1",""),"2",""),"3",""),"4",""),"5",""),"6",""),"7",""),"8",""),"9",""),".",""),"+",""),"-",""),"E","")="",LEN(SUBSTITUTE(SUBSTITUTE(MID(UPPER(TRIM($DX365)),1+OR(LEFT(UPPER(TRIM($DX365)),1)="+",LEFT(UPPER(TRIM($DX365)),1)="-"),999),"E+","E"),"E-","E"))=LEN(SUBSTITUTE(SUBSTITUTE(SUBSTITUTE(SUBSTITUTE(MID(UPPER(TRIM($DX365)),1+OR(LEFT(UPPER(TRIM($DX365)),1)="+",LEFT(UPPER(TRIM($DX365)),1)="-"),999),"E+","E"),"E-","E"),"+",""),"-","")),LEN(UPPER(TRIM($DX365)))-LEN(SUBSTITUTE(UPPER(TRIM($DX365)),"E",""))&lt;2,LEN(UPPER(TRIM($DX365)))-LEN(SUBSTITUTE(UPPER(TRIM($DX365)),".",""))&lt;2,IFERROR(FIND(".",UPPER(TRIM($DX365))),0)&lt;IFERROR(FIND("E",UPPER(TRIM($DX365))),999)),ISNUMBER(VALUE(TRIM($DX365)))),VALUE(TRIM($DX365)),"")))),""))</f>
        <v/>
      </c>
      <c r="DZ365">
        <f>IF($DM365=0,"",IF($L$17=0,"",IFERROR(IF(ISNUMBER(INDEX(PASTE_ALL,$DF365,$L$17)),INDEX(PASTE_ALL,$DF365,$L$17),SUBSTITUTE(SUBSTITUTE(TRIM(SUBSTITUTE(SUBSTITUTE(SUBSTITUTE(SUBSTITUTE(INDEX(PASTE_ALL,$DF365,$L$17)," "," "),CHAR(9)," "),CHAR(10)," "),CHAR(13)," ")),",",""),"%","")),"")))</f>
        <v/>
      </c>
      <c r="EA365">
        <f>IF($DM365=0,"",IFERROR(IF(ISNUMBER($DZ365),$DZ365,IF($DZ365="","",IF(TRIM($DZ365)="",0,IF(AND(AND(SUBSTITUTE(SUBSTITUTE(SUBSTITUTE(SUBSTITUTE(SUBSTITUTE(SUBSTITUTE(SUBSTITUTE(SUBSTITUTE(SUBSTITUTE(SUBSTITUTE(SUBSTITUTE(SUBSTITUTE(SUBSTITUTE(SUBSTITUTE(UPPER(TRIM($DZ365)),"0",""),"1",""),"2",""),"3",""),"4",""),"5",""),"6",""),"7",""),"8",""),"9",""),".",""),"+",""),"-",""),"E","")="",LEN(SUBSTITUTE(SUBSTITUTE(MID(UPPER(TRIM($DZ365)),1+OR(LEFT(UPPER(TRIM($DZ365)),1)="+",LEFT(UPPER(TRIM($DZ365)),1)="-"),999),"E+","E"),"E-","E"))=LEN(SUBSTITUTE(SUBSTITUTE(SUBSTITUTE(SUBSTITUTE(MID(UPPER(TRIM($DZ365)),1+OR(LEFT(UPPER(TRIM($DZ365)),1)="+",LEFT(UPPER(TRIM($DZ365)),1)="-"),999),"E+","E"),"E-","E"),"+",""),"-","")),LEN(UPPER(TRIM($DZ365)))-LEN(SUBSTITUTE(UPPER(TRIM($DZ365)),"E",""))&lt;2,LEN(UPPER(TRIM($DZ365)))-LEN(SUBSTITUTE(UPPER(TRIM($DZ365)),".",""))&lt;2,IFERROR(FIND(".",UPPER(TRIM($DZ365))),0)&lt;IFERROR(FIND("E",UPPER(TRIM($DZ365))),999)),ISNUMBER(VALUE(TRIM($DZ365)))),VALUE(TRIM($DZ365)),"")))),""))</f>
        <v/>
      </c>
      <c r="EB365">
        <f>IF($DM365=0,"",IF($L$18=0,"",IFERROR(IF(UPPER(TRIM(SUBSTITUTE(SUBSTITUTE(SUBSTITUTE(SUBSTITUTE(INDEX(PASTE_ALL,$DF365,$L$18)," "," "),CHAR(9)," "),CHAR(10)," "),CHAR(13)," ")))="READY","Ready",IF(UPPER(TRIM(SUBSTITUTE(SUBSTITUTE(SUBSTITUTE(SUBSTITUTE(INDEX(PASTE_ALL,$DF365,$L$18)," "," "),CHAR(9)," "),CHAR(10)," "),CHAR(13)," ")))="PM","PM",IF(OR(UPPER(TRIM(SUBSTITUTE(SUBSTITUTE(SUBSTITUTE(SUBSTITUTE(INDEX(PASTE_ALL,$DF365,$L$18)," "," "),CHAR(9)," "),CHAR(10)," "),CHAR(13)," ")))="OT",UPPER(TRIM(SUBSTITUTE(SUBSTITUTE(SUBSTITUTE(SUBSTITUTE(INDEX(PASTE_ALL,$DF365,$L$18)," "," "),CHAR(9)," "),CHAR(10)," "),CHAR(13)," ")))="OVERTIME",UPPER(TRIM(SUBSTITUTE(SUBSTITUTE(SUBSTITUTE(SUBSTITUTE(INDEX(PASTE_ALL,$DF365,$L$18)," "," "),CHAR(9)," "),CHAR(10)," "),CHAR(13)," ")))="TRIAL"),"OT",TRIM(SUBSTITUTE(SUBSTITUTE(SUBSTITUTE(SUBSTITUTE(INDEX(PASTE_ALL,$DF365,$L$18)," "," "),CHAR(9)," "),CHAR(10)," "),CHAR(13)," "))))),"")))</f>
        <v/>
      </c>
      <c r="EC365">
        <f>IF($DM365=0,"",IF($L$19=0,"",IFERROR(IF(ISNUMBER(INDEX(PASTE_ALL,$DF365,$L$19)),INDEX(PASTE_ALL,$DF365,$L$19),TRIM(SUBSTITUTE(SUBSTITUTE(SUBSTITUTE(SUBSTITUTE(INDEX(PASTE_ALL,$DF365,$L$19)," "," "),CHAR(9)," "),CHAR(10)," "),CHAR(13)," "))),"")))</f>
        <v/>
      </c>
      <c r="ED365">
        <f>IF($DM365=0,"",MATCH(1,INDEX(EXACT($DH$5:DH365,$DH365)*$DM$5:DM365,0),0))</f>
        <v/>
      </c>
      <c r="EE365">
        <f>IF($DM365=0,0,IF($ED365=$DE365,1,0))</f>
        <v/>
      </c>
      <c r="EF365">
        <f>EF364+$EE365</f>
        <v/>
      </c>
      <c r="EG365">
        <f>IF($DM365=0,"",INDEX($EF$5:$EF$1003,$ED365))</f>
        <v/>
      </c>
      <c r="EH365">
        <f>IF($DM365=0,"",IF($DO365&lt;&gt;"","",IFERROR(LOOKUP(2,1/(($EG$4:EG364=$EG365)*($DO$4:DO364&lt;&gt;"")),$DO$4:DO364),"")))</f>
        <v/>
      </c>
      <c r="EI365">
        <f>IF($DM365=0,"",IF($DO365&lt;&gt;"",$DO365,$EH365))</f>
        <v/>
      </c>
      <c r="EJ365">
        <f>IF($DM365=0,"",IF($EI365="",0,IF(OR(ISNUMBER($EI365),AND(AND(SUBSTITUTE(SUBSTITUTE(SUBSTITUTE(SUBSTITUTE(SUBSTITUTE(SUBSTITUTE(SUBSTITUTE(SUBSTITUTE(SUBSTITUTE(SUBSTITUTE(SUBSTITUTE(SUBSTITUTE(SUBSTITUTE(SUBSTITUTE(UPPER($EI365),"0",""),"1",""),"2",""),"3",""),"4",""),"5",""),"6",""),"7",""),"8",""),"9",""),".",""),"+",""),"-",""),"E","")="",LEN(SUBSTITUTE(SUBSTITUTE(MID(UPPER($EI365),1+OR(LEFT(UPPER($EI365),1)="+",LEFT(UPPER($EI365),1)="-"),999),"E+","E"),"E-","E"))=LEN(SUBSTITUTE(SUBSTITUTE(SUBSTITUTE(SUBSTITUTE(MID(UPPER($EI365),1+OR(LEFT(UPPER($EI365),1)="+",LEFT(UPPER($EI365),1)="-"),999),"E+","E"),"E-","E"),"+",""),"-","")),LEN(UPPER($EI365))-LEN(SUBSTITUTE(UPPER($EI365),"E",""))&lt;2,LEN(UPPER($EI365))-LEN(SUBSTITUTE(UPPER($EI365),".",""))&lt;2,IFERROR(FIND(".",UPPER($EI365)),0)&lt;IFERROR(FIND("E",UPPER($EI365)),999)),ISNUMBER(VALUE($EI365)))),1,2)))</f>
        <v/>
      </c>
      <c r="EK365">
        <f>IF($DM365=0,"",IF($EJ365=1,IF(ISNUMBER($EI365),$EI365,VALUE($EI365)),IF($EJ365=2,$DE365,0)))</f>
        <v/>
      </c>
      <c r="EL365">
        <f>IF($DM365=0,"",COUNTIF($EG$5:$EG$1003,"&lt;"&amp;$EG365)+SUMPRODUCT(($EG$5:$EG$1003=$EG365)*(($EJ$5:$EJ$1003&lt;$EJ365)+($EJ$5:$EJ$1003=$EJ365)*(($EK$5:$EK$1003&lt;$EK365)+($EK$5:$EK$1003=$EK365)*($DE$5:$DE$1003&lt;$DE365))))+1)</f>
        <v/>
      </c>
      <c r="EM365">
        <f>IF($DM365=0,"",$EL365+$EG365-1)</f>
        <v/>
      </c>
      <c r="EN365">
        <f>IF($DM365=0,0,IFERROR(MATCH(1,INDEX(--(TRIM(SUBSTITUTE(SUBSTITUTE(SUBSTITUTE(SUBSTITUTE(LINES_NAME&amp;""," "," "),CHAR(9)," "),CHAR(10)," "),CHAR(13)," "))=$DH365),0),0),0))</f>
        <v/>
      </c>
      <c r="EO365">
        <f>IF($EN365=0,0,IF(OR(UPPER(TRIM(INDEX(LINES_SCHEDULED,$EN365)&amp;""))="YES",UPPER(TRIM(INDEX(LINES_SCHEDULED,$EN365)&amp;""))="Y",UPPER(TRIM(INDEX(LINES_SCHEDULED,$EN365)&amp;""))="X"),1,0))</f>
        <v/>
      </c>
      <c r="EP365">
        <f>IF($DM365=0,"",IF(COUNTIFS($EG$5:$EG$1003,$EG365,$EB$5:$EB$1003,"Ready")&gt;0,"READY",IF(COUNTIFS($EG$5:$EG$1003,$EG365,$EB$5:$EB$1003,"PM")&gt;0,"PM",IF(COUNTIFS($EG$5:$EG$1003,$EG365,$EB$5:$EB$1003,"OT")&gt;0,"OT",""))))</f>
        <v/>
      </c>
      <c r="EQ365">
        <f>IF($EN365=0,"",UPPER(TRIM(INDEX(LINES_STATUS,$EN365)&amp;"")))</f>
        <v/>
      </c>
      <c r="ER365">
        <f>IF($DM365=0,"",IF(OR($EQ365="READY",$EQ365="PM",$EQ365="OT"),$EQ365,$EP365))</f>
        <v/>
      </c>
      <c r="ES365">
        <f>IF($DM365=0,"",IF(AND($DV365&lt;&gt;"",UPPER($DV365)&lt;&gt;"N"),"allergen",IF(ISNUMBER(SEARCH("oil",$DQ365)),"oil",IF(OR(EXACT($DS365,"A662"),EXACT($DS365,"A624")),"bulk",""))))</f>
        <v/>
      </c>
      <c r="ET365">
        <f>IF($DM365=0,"",IF(OR($EA365="",$EA365=0),"",$EA365/100))</f>
        <v/>
      </c>
      <c r="EU365">
        <f>IF(OR($ET365="",$DY365=""),"",INT($DY365*(1-$ET365)+0.5))</f>
        <v/>
      </c>
      <c r="EW365" t="n">
        <v>361</v>
      </c>
      <c r="EX365">
        <f>IFERROR(MATCH($EW365,$EM$5:$EM$1003,0),0)</f>
        <v/>
      </c>
      <c r="EY365">
        <f>IF($EW365&gt;$B$12,"",IF($EX365&gt;0,"row","spacer"))</f>
        <v/>
      </c>
      <c r="EZ365">
        <f>IF(AND($EY365="row",$EY364&lt;&gt;"row"),1,0)</f>
        <v/>
      </c>
      <c r="FA365">
        <f>IF(AND($EY365="row",$EY366&lt;&gt;"row"),1,0)</f>
        <v/>
      </c>
      <c r="FB365">
        <f>IF($EZ365=1,IFERROR(IF(ISNUMBER(INDEX(PASTE_ALL,INDEX($DF$5:$DF$1003,$EX365),$B$37)),INDEX(PASTE_ALL,INDEX($DF$5:$DF$1003,$EX365),$B$37),INDEX($DH$5:$DH$1003,$EX365)),INDEX($DH$5:$DH$1003,$EX365)),"")</f>
        <v/>
      </c>
      <c r="FC365">
        <f>IF($EY365="row",INDEX($ER$5:$ER$1003,$EX365),"")</f>
        <v/>
      </c>
      <c r="FD365">
        <f>IF($EY365="row",INDEX($DN$5:$DN$1003,$EX365),"")</f>
        <v/>
      </c>
      <c r="FE365">
        <f>IF($EY365="row",INDEX($DO$5:$DO$1003,$EX365),"")</f>
        <v/>
      </c>
      <c r="FF365">
        <f>IF($EY365="row",INDEX($DP$5:$DP$1003,$EX365),"")</f>
        <v/>
      </c>
      <c r="FG365">
        <f>IF($EY365="row",INDEX($DQ$5:$DQ$1003,$EX365),"")</f>
        <v/>
      </c>
      <c r="FH365">
        <f>IF($EY365="row",INDEX($DR$5:$DR$1003,$EX365),"")</f>
        <v/>
      </c>
      <c r="FI365">
        <f>IF($EY365="row",INDEX($DS$5:$DS$1003,$EX365),"")</f>
        <v/>
      </c>
      <c r="FJ365">
        <f>IF($EY365="row",INDEX($DT$5:$DT$1003,$EX365),"")</f>
        <v/>
      </c>
      <c r="FK365">
        <f>IF($EY365="row",INDEX($DU$5:$DU$1003,$EX365),"")</f>
        <v/>
      </c>
      <c r="FL365">
        <f>IF($EY365="row",INDEX($DV$5:$DV$1003,$EX365),"")</f>
        <v/>
      </c>
      <c r="FM365">
        <f>IF($EY365="row",INDEX($DW$5:$DW$1003,$EX365),"")</f>
        <v/>
      </c>
      <c r="FN365">
        <f>IF($EY365="row",INDEX($DY$5:$DY$1003,$EX365),"")</f>
        <v/>
      </c>
      <c r="FO365">
        <f>IF($EY365="row",INDEX($EA$5:$EA$1003,$EX365),"")</f>
        <v/>
      </c>
      <c r="FP365">
        <f>IF($EY365="row",INDEX($EC$5:$EC$1003,$EX365),"")</f>
        <v/>
      </c>
      <c r="FQ365">
        <f>IF($EY365="row",INDEX($ET$5:$ET$1003,$EX365),"")</f>
        <v/>
      </c>
      <c r="FR365">
        <f>IF($EY365="row",INDEX($EU$5:$EU$1003,$EX365),"")</f>
        <v/>
      </c>
      <c r="FS365">
        <f>IF(AND($EY365="row",$EY364="row"),IF(OR(INDEX($DT$5:$DT$1003,$EX364)="",INDEX($DT$5:$DT$1003,$EX365)=""),"",IF(NOT(EXACT(INDEX($DT$5:$DT$1003,$EX364),INDEX($DT$5:$DT$1003,$EX365))),"S4",IF(NOT(EXACT(INDEX($DS$5:$DS$1003,$EX364),INDEX($DS$5:$DS$1003,$EX365))),"S3",IF(NOT(EXACT(INDEX($DR$5:$DR$1003,$EX364),INDEX($DR$5:$DR$1003,$EX365))),"S1 Count Change","S1")))),"")</f>
        <v/>
      </c>
      <c r="FT365">
        <f>IF($EY365="row",INDEX($ES$5:$ES$1003,$EX365),"")</f>
        <v/>
      </c>
      <c r="FU365">
        <f>IF($EY365="row",INDEX($EO$5:$EO$1003,$EX365),0)</f>
        <v/>
      </c>
      <c r="FV365">
        <f>IF($FS365="S1 Count Change",1,0)</f>
        <v/>
      </c>
    </row>
    <row r="366">
      <c r="DA366" t="n">
        <v>362</v>
      </c>
      <c r="DB366">
        <f>IF($B$37=0,"",IFERROR(TRIM(SUBSTITUTE(SUBSTITUTE(SUBSTITUTE(SUBSTITUTE(INDEX(PASTE_ALL,362,$B$37)," "," "),CHAR(9)," "),CHAR(10)," "),CHAR(13)," ")),""))</f>
        <v/>
      </c>
      <c r="DC366">
        <f>IF(AND(362&gt;HEADER_ROW,UPPER(DB366)="LEGEND"),1,0)</f>
        <v/>
      </c>
      <c r="DE366" t="n">
        <v>362</v>
      </c>
      <c r="DF366">
        <f>HEADER_ROW+$DE366</f>
        <v/>
      </c>
      <c r="DG366">
        <f>IF(AND($DF366&lt;=1000,$DF366&lt;$B$8),1,0)</f>
        <v/>
      </c>
      <c r="DH366">
        <f>IF($DG366=1,IFERROR(INDEX($DB$5:$DB$1004,$DF366),""),"")</f>
        <v/>
      </c>
      <c r="DI366">
        <f>IF(AND($DG366=1,$DH366&lt;&gt;""),IFERROR(SUBSTITUTE(SUBSTITUTE(TRIM(SUBSTITUTE(SUBSTITUTE(SUBSTITUTE(SUBSTITUTE(IFERROR(INDEX(PASTE_ALL,$DF366,1)&amp;"","")&amp;"␟"&amp;IFERROR(INDEX(PASTE_ALL,$DF366,2)&amp;"","")&amp;"␟"&amp;IFERROR(INDEX(PASTE_ALL,$DF366,3)&amp;"","")&amp;"␟"&amp;IFERROR(INDEX(PASTE_ALL,$DF366,4)&amp;"","")&amp;"␟"&amp;IFERROR(INDEX(PASTE_ALL,$DF366,5)&amp;"","")&amp;"␟"&amp;IFERROR(INDEX(PASTE_ALL,$DF366,6)&amp;"","")&amp;"␟"&amp;IFERROR(INDEX(PASTE_ALL,$DF366,7)&amp;"","")&amp;"␟"&amp;IFERROR(INDEX(PASTE_ALL,$DF366,8)&amp;"","")&amp;"␟"&amp;IFERROR(INDEX(PASTE_ALL,$DF366,9)&amp;"","")&amp;"␟"&amp;IFERROR(INDEX(PASTE_ALL,$DF366,10)&amp;"","")&amp;"␟"&amp;IFERROR(INDEX(PASTE_ALL,$DF366,11)&amp;"","")&amp;"␟"&amp;IFERROR(INDEX(PASTE_ALL,$DF366,12)&amp;"","")&amp;"␟"&amp;IFERROR(INDEX(PASTE_ALL,$DF366,13)&amp;"","")&amp;"␟"&amp;IFERROR(INDEX(PASTE_ALL,$DF366,14)&amp;"","")&amp;"␟"&amp;IFERROR(INDEX(PASTE_ALL,$DF366,15)&amp;"","")&amp;"␟"&amp;IFERROR(INDEX(PASTE_ALL,$DF366,16)&amp;"","")&amp;"␟"&amp;IFERROR(INDEX(PASTE_ALL,$DF366,17)&amp;"","")&amp;"␟"&amp;IFERROR(INDEX(PASTE_ALL,$DF366,18)&amp;"","")&amp;"␟"&amp;IFERROR(INDEX(PASTE_ALL,$DF366,19)&amp;"","")&amp;"␟"&amp;IFERROR(INDEX(PASTE_ALL,$DF366,20)&amp;"","")&amp;"␟"&amp;IFERROR(INDEX(PASTE_ALL,$DF366,21)&amp;"","")&amp;"␟"&amp;IFERROR(INDEX(PASTE_ALL,$DF366,22)&amp;"","")&amp;"␟"&amp;IFERROR(INDEX(PASTE_ALL,$DF366,23)&amp;"","")&amp;"␟"&amp;IFERROR(INDEX(PASTE_ALL,$DF366,24)&amp;"","")&amp;"␟"&amp;IFERROR(INDEX(PASTE_ALL,$DF366,25)&amp;"","")&amp;"␟"&amp;IFERROR(INDEX(PASTE_ALL,$DF366,26)&amp;"","")&amp;"␟"&amp;IFERROR(INDEX(PASTE_ALL,$DF366,27)&amp;"","")&amp;"␟"&amp;IFERROR(INDEX(PASTE_ALL,$DF366,28)&amp;"","")&amp;"␟"&amp;IFERROR(INDEX(PASTE_ALL,$DF366,29)&amp;"","")&amp;"␟"&amp;IFERROR(INDEX(PASTE_ALL,$DF366,30)&amp;"","")&amp;"␟"&amp;IFERROR(INDEX(PASTE_ALL,$DF366,31)&amp;"","")&amp;"␟"&amp;IFERROR(INDEX(PASTE_ALL,$DF366,32)&amp;"","")&amp;"␟"&amp;IFERROR(INDEX(PASTE_ALL,$DF366,33)&amp;"","")&amp;"␟"&amp;IFERROR(INDEX(PASTE_ALL,$DF366,34)&amp;"","")&amp;"␟"&amp;IFERROR(INDEX(PASTE_ALL,$DF366,35)&amp;"","")&amp;"␟"&amp;IFERROR(INDEX(PASTE_ALL,$DF366,36)&amp;"","")&amp;"␟"&amp;IFERROR(INDEX(PASTE_ALL,$DF366,37)&amp;"","")&amp;"␟"&amp;IFERROR(INDEX(PASTE_ALL,$DF366,38)&amp;"","")&amp;"␟"&amp;IFERROR(INDEX(PASTE_ALL,$DF366,39)&amp;"","")&amp;"␟"&amp;IFERROR(INDEX(PASTE_ALL,$DF366,40)&amp;"","")&amp;"␟"&amp;IFERROR(INDEX(PASTE_ALL,$DF366,41)&amp;"","")&amp;"␟"&amp;IFERROR(INDEX(PASTE_ALL,$DF366,42)&amp;"","")&amp;"␟"&amp;IFERROR(INDEX(PASTE_ALL,$DF366,43)&amp;"","")&amp;"␟"&amp;IFERROR(INDEX(PASTE_ALL,$DF366,44)&amp;"","")&amp;"␟"&amp;IFERROR(INDEX(PASTE_ALL,$DF366,45)&amp;"","")&amp;"␟"&amp;IFERROR(INDEX(PASTE_ALL,$DF366,46)&amp;"","")&amp;"␟"&amp;IFERROR(INDEX(PASTE_ALL,$DF366,47)&amp;"","")&amp;"␟"&amp;IFERROR(INDEX(PASTE_ALL,$DF366,48)&amp;"","")&amp;"␟"&amp;IFERROR(INDEX(PASTE_ALL,$DF366,49)&amp;"","")&amp;"␟"&amp;IFERROR(INDEX(PASTE_ALL,$DF366,50)&amp;"","")&amp;"␟"&amp;IFERROR(INDEX(PASTE_ALL,$DF366,51)&amp;"","")&amp;"␟"&amp;IFERROR(INDEX(PASTE_ALL,$DF366,52)&amp;"","")&amp;"␟"&amp;IFERROR(INDEX(PASTE_ALL,$DF366,53)&amp;"","")&amp;"␟"&amp;IFERROR(INDEX(PASTE_ALL,$DF366,54)&amp;"","")&amp;"␟"&amp;IFERROR(INDEX(PASTE_ALL,$DF366,55)&amp;"","")&amp;"␟"&amp;IFERROR(INDEX(PASTE_ALL,$DF366,56)&amp;"","")&amp;"␟"&amp;IFERROR(INDEX(PASTE_ALL,$DF366,57)&amp;"","")&amp;"␟"&amp;IFERROR(INDEX(PASTE_ALL,$DF366,58)&amp;"","")&amp;"␟"&amp;IFERROR(INDEX(PASTE_ALL,$DF366,59)&amp;"","")&amp;"␟"&amp;IFERROR(INDEX(PASTE_ALL,$DF366,60)&amp;"","")," "," "),CHAR(9)," "),CHAR(10)," "),CHAR(13)," "))," ␟","␟"),"␟ ","␟"),"#"&amp;$DE366),"")</f>
        <v/>
      </c>
      <c r="DJ366">
        <f>IF($DI366="",0,IF(SUMPRODUCT(--EXACT($DI$4:DI365,$DI366))&gt;0,1,0))</f>
        <v/>
      </c>
      <c r="DK366">
        <f>IF(AND($DI366&lt;&gt;"",$DJ366=0),1,0)</f>
        <v/>
      </c>
      <c r="DL366">
        <f>DL365+$DK366</f>
        <v/>
      </c>
      <c r="DM366">
        <f>IF(AND($DK366=1,$DL366&lt;=600),1,0)</f>
        <v/>
      </c>
      <c r="DN366">
        <f>IF($DM366=0,"",IF($L$6=0,"",IFERROR(IF(ISNUMBER(INDEX(PASTE_ALL,$DF366,$L$6)),INDEX(PASTE_ALL,$DF366,$L$6),TRIM(SUBSTITUTE(SUBSTITUTE(SUBSTITUTE(SUBSTITUTE(INDEX(PASTE_ALL,$DF366,$L$6)," "," "),CHAR(9)," "),CHAR(10)," "),CHAR(13)," "))),"")))</f>
        <v/>
      </c>
      <c r="DO366">
        <f>IF($DM366=0,"",IF($L$7=0,"",IFERROR(IF(ISNUMBER(INDEX(PASTE_ALL,$DF366,$L$7)),INDEX(PASTE_ALL,$DF366,$L$7),TRIM(SUBSTITUTE(SUBSTITUTE(SUBSTITUTE(SUBSTITUTE(INDEX(PASTE_ALL,$DF366,$L$7)," "," "),CHAR(9)," "),CHAR(10)," "),CHAR(13)," "))),"")))</f>
        <v/>
      </c>
      <c r="DP366">
        <f>IF($DM366=0,"",IF($L$8=0,"",IFERROR(IF(ISNUMBER(INDEX(PASTE_ALL,$DF366,$L$8)),INDEX(PASTE_ALL,$DF366,$L$8),TRIM(SUBSTITUTE(SUBSTITUTE(SUBSTITUTE(SUBSTITUTE(INDEX(PASTE_ALL,$DF366,$L$8)," "," "),CHAR(9)," "),CHAR(10)," "),CHAR(13)," "))),"")))</f>
        <v/>
      </c>
      <c r="DQ366">
        <f>IF($DM366=0,"",IF($L$9=0,"",IFERROR(IF(ISNUMBER(INDEX(PASTE_ALL,$DF366,$L$9)),INDEX(PASTE_ALL,$DF366,$L$9),TRIM(SUBSTITUTE(SUBSTITUTE(SUBSTITUTE(SUBSTITUTE(INDEX(PASTE_ALL,$DF366,$L$9)," "," "),CHAR(9)," "),CHAR(10)," "),CHAR(13)," "))),"")))</f>
        <v/>
      </c>
      <c r="DR366">
        <f>IF($DM366=0,"",IF($L$10=0,"",IFERROR(IF(ISNUMBER(INDEX(PASTE_ALL,$DF366,$L$10)),INDEX(PASTE_ALL,$DF366,$L$10),TRIM(SUBSTITUTE(SUBSTITUTE(SUBSTITUTE(SUBSTITUTE(INDEX(PASTE_ALL,$DF366,$L$10)," "," "),CHAR(9)," "),CHAR(10)," "),CHAR(13)," "))),"")))</f>
        <v/>
      </c>
      <c r="DS366">
        <f>IF($DM366=0,"",IF($L$11=0,"",IFERROR(IF(ISNUMBER(INDEX(PASTE_ALL,$DF366,$L$11)),INDEX(PASTE_ALL,$DF366,$L$11),TRIM(SUBSTITUTE(SUBSTITUTE(SUBSTITUTE(SUBSTITUTE(INDEX(PASTE_ALL,$DF366,$L$11)," "," "),CHAR(9)," "),CHAR(10)," "),CHAR(13)," "))),"")))</f>
        <v/>
      </c>
      <c r="DT366">
        <f>IF($DM366=0,"",IF($L$12=0,"",IFERROR(IF(ISNUMBER(INDEX(PASTE_ALL,$DF366,$L$12)),INDEX(PASTE_ALL,$DF366,$L$12),TRIM(SUBSTITUTE(SUBSTITUTE(SUBSTITUTE(SUBSTITUTE(INDEX(PASTE_ALL,$DF366,$L$12)," "," "),CHAR(9)," "),CHAR(10)," "),CHAR(13)," "))),"")))</f>
        <v/>
      </c>
      <c r="DU366">
        <f>IF($DM366=0,"",IF($L$13=0,"",IFERROR(IF(ISNUMBER(INDEX(PASTE_ALL,$DF366,$L$13)),INDEX(PASTE_ALL,$DF366,$L$13),TRIM(SUBSTITUTE(SUBSTITUTE(SUBSTITUTE(SUBSTITUTE(INDEX(PASTE_ALL,$DF366,$L$13)," "," "),CHAR(9)," "),CHAR(10)," "),CHAR(13)," "))),"")))</f>
        <v/>
      </c>
      <c r="DV366">
        <f>IF($DM366=0,"",IF($L$14=0,"",IFERROR(IF(ISNUMBER(INDEX(PASTE_ALL,$DF366,$L$14)),INDEX(PASTE_ALL,$DF366,$L$14),TRIM(SUBSTITUTE(SUBSTITUTE(SUBSTITUTE(SUBSTITUTE(INDEX(PASTE_ALL,$DF366,$L$14)," "," "),CHAR(9)," "),CHAR(10)," "),CHAR(13)," "))),"")))</f>
        <v/>
      </c>
      <c r="DW366">
        <f>IF($DM366=0,"",IF($L$15=0,"",IFERROR(IF(ISNUMBER(INDEX(PASTE_ALL,$DF366,$L$15)),INDEX(PASTE_ALL,$DF366,$L$15),IF(SUMPRODUCT(--ISNUMBER(FIND({"A","B","C","D","E","F","G","H","I","J","K","L","M","N","O","P","Q","R","S","T","U","V","W","X","Y","Z","0","1","2","3","4","5","6","7","8","9"},UPPER(TRIM(SUBSTITUTE(SUBSTITUTE(SUBSTITUTE(SUBSTITUTE(INDEX(PASTE_ALL,$DF366,$L$15)," "," "),CHAR(9)," "),CHAR(10)," "),CHAR(13)," "))))))&gt;0,TRIM(SUBSTITUTE(SUBSTITUTE(SUBSTITUTE(SUBSTITUTE(INDEX(PASTE_ALL,$DF366,$L$15)," "," "),CHAR(9)," "),CHAR(10)," "),CHAR(13)," ")),"")),"")))</f>
        <v/>
      </c>
      <c r="DX366">
        <f>IF($DM366=0,"",IF($L$16=0,"",IFERROR(IF(ISNUMBER(INDEX(PASTE_ALL,$DF366,$L$16)),INDEX(PASTE_ALL,$DF366,$L$16),SUBSTITUTE(SUBSTITUTE(TRIM(SUBSTITUTE(SUBSTITUTE(SUBSTITUTE(SUBSTITUTE(INDEX(PASTE_ALL,$DF366,$L$16)," "," "),CHAR(9)," "),CHAR(10)," "),CHAR(13)," ")),",",""),"%","")),"")))</f>
        <v/>
      </c>
      <c r="DY366">
        <f>IF($DM366=0,"",IFERROR(IF(ISNUMBER($DX366),$DX366,IF($DX366="","",IF(TRIM($DX366)="",0,IF(AND(AND(SUBSTITUTE(SUBSTITUTE(SUBSTITUTE(SUBSTITUTE(SUBSTITUTE(SUBSTITUTE(SUBSTITUTE(SUBSTITUTE(SUBSTITUTE(SUBSTITUTE(SUBSTITUTE(SUBSTITUTE(SUBSTITUTE(SUBSTITUTE(UPPER(TRIM($DX366)),"0",""),"1",""),"2",""),"3",""),"4",""),"5",""),"6",""),"7",""),"8",""),"9",""),".",""),"+",""),"-",""),"E","")="",LEN(SUBSTITUTE(SUBSTITUTE(MID(UPPER(TRIM($DX366)),1+OR(LEFT(UPPER(TRIM($DX366)),1)="+",LEFT(UPPER(TRIM($DX366)),1)="-"),999),"E+","E"),"E-","E"))=LEN(SUBSTITUTE(SUBSTITUTE(SUBSTITUTE(SUBSTITUTE(MID(UPPER(TRIM($DX366)),1+OR(LEFT(UPPER(TRIM($DX366)),1)="+",LEFT(UPPER(TRIM($DX366)),1)="-"),999),"E+","E"),"E-","E"),"+",""),"-","")),LEN(UPPER(TRIM($DX366)))-LEN(SUBSTITUTE(UPPER(TRIM($DX366)),"E",""))&lt;2,LEN(UPPER(TRIM($DX366)))-LEN(SUBSTITUTE(UPPER(TRIM($DX366)),".",""))&lt;2,IFERROR(FIND(".",UPPER(TRIM($DX366))),0)&lt;IFERROR(FIND("E",UPPER(TRIM($DX366))),999)),ISNUMBER(VALUE(TRIM($DX366)))),VALUE(TRIM($DX366)),"")))),""))</f>
        <v/>
      </c>
      <c r="DZ366">
        <f>IF($DM366=0,"",IF($L$17=0,"",IFERROR(IF(ISNUMBER(INDEX(PASTE_ALL,$DF366,$L$17)),INDEX(PASTE_ALL,$DF366,$L$17),SUBSTITUTE(SUBSTITUTE(TRIM(SUBSTITUTE(SUBSTITUTE(SUBSTITUTE(SUBSTITUTE(INDEX(PASTE_ALL,$DF366,$L$17)," "," "),CHAR(9)," "),CHAR(10)," "),CHAR(13)," ")),",",""),"%","")),"")))</f>
        <v/>
      </c>
      <c r="EA366">
        <f>IF($DM366=0,"",IFERROR(IF(ISNUMBER($DZ366),$DZ366,IF($DZ366="","",IF(TRIM($DZ366)="",0,IF(AND(AND(SUBSTITUTE(SUBSTITUTE(SUBSTITUTE(SUBSTITUTE(SUBSTITUTE(SUBSTITUTE(SUBSTITUTE(SUBSTITUTE(SUBSTITUTE(SUBSTITUTE(SUBSTITUTE(SUBSTITUTE(SUBSTITUTE(SUBSTITUTE(UPPER(TRIM($DZ366)),"0",""),"1",""),"2",""),"3",""),"4",""),"5",""),"6",""),"7",""),"8",""),"9",""),".",""),"+",""),"-",""),"E","")="",LEN(SUBSTITUTE(SUBSTITUTE(MID(UPPER(TRIM($DZ366)),1+OR(LEFT(UPPER(TRIM($DZ366)),1)="+",LEFT(UPPER(TRIM($DZ366)),1)="-"),999),"E+","E"),"E-","E"))=LEN(SUBSTITUTE(SUBSTITUTE(SUBSTITUTE(SUBSTITUTE(MID(UPPER(TRIM($DZ366)),1+OR(LEFT(UPPER(TRIM($DZ366)),1)="+",LEFT(UPPER(TRIM($DZ366)),1)="-"),999),"E+","E"),"E-","E"),"+",""),"-","")),LEN(UPPER(TRIM($DZ366)))-LEN(SUBSTITUTE(UPPER(TRIM($DZ366)),"E",""))&lt;2,LEN(UPPER(TRIM($DZ366)))-LEN(SUBSTITUTE(UPPER(TRIM($DZ366)),".",""))&lt;2,IFERROR(FIND(".",UPPER(TRIM($DZ366))),0)&lt;IFERROR(FIND("E",UPPER(TRIM($DZ366))),999)),ISNUMBER(VALUE(TRIM($DZ366)))),VALUE(TRIM($DZ366)),"")))),""))</f>
        <v/>
      </c>
      <c r="EB366">
        <f>IF($DM366=0,"",IF($L$18=0,"",IFERROR(IF(UPPER(TRIM(SUBSTITUTE(SUBSTITUTE(SUBSTITUTE(SUBSTITUTE(INDEX(PASTE_ALL,$DF366,$L$18)," "," "),CHAR(9)," "),CHAR(10)," "),CHAR(13)," ")))="READY","Ready",IF(UPPER(TRIM(SUBSTITUTE(SUBSTITUTE(SUBSTITUTE(SUBSTITUTE(INDEX(PASTE_ALL,$DF366,$L$18)," "," "),CHAR(9)," "),CHAR(10)," "),CHAR(13)," ")))="PM","PM",IF(OR(UPPER(TRIM(SUBSTITUTE(SUBSTITUTE(SUBSTITUTE(SUBSTITUTE(INDEX(PASTE_ALL,$DF366,$L$18)," "," "),CHAR(9)," "),CHAR(10)," "),CHAR(13)," ")))="OT",UPPER(TRIM(SUBSTITUTE(SUBSTITUTE(SUBSTITUTE(SUBSTITUTE(INDEX(PASTE_ALL,$DF366,$L$18)," "," "),CHAR(9)," "),CHAR(10)," "),CHAR(13)," ")))="OVERTIME",UPPER(TRIM(SUBSTITUTE(SUBSTITUTE(SUBSTITUTE(SUBSTITUTE(INDEX(PASTE_ALL,$DF366,$L$18)," "," "),CHAR(9)," "),CHAR(10)," "),CHAR(13)," ")))="TRIAL"),"OT",TRIM(SUBSTITUTE(SUBSTITUTE(SUBSTITUTE(SUBSTITUTE(INDEX(PASTE_ALL,$DF366,$L$18)," "," "),CHAR(9)," "),CHAR(10)," "),CHAR(13)," "))))),"")))</f>
        <v/>
      </c>
      <c r="EC366">
        <f>IF($DM366=0,"",IF($L$19=0,"",IFERROR(IF(ISNUMBER(INDEX(PASTE_ALL,$DF366,$L$19)),INDEX(PASTE_ALL,$DF366,$L$19),TRIM(SUBSTITUTE(SUBSTITUTE(SUBSTITUTE(SUBSTITUTE(INDEX(PASTE_ALL,$DF366,$L$19)," "," "),CHAR(9)," "),CHAR(10)," "),CHAR(13)," "))),"")))</f>
        <v/>
      </c>
      <c r="ED366">
        <f>IF($DM366=0,"",MATCH(1,INDEX(EXACT($DH$5:DH366,$DH366)*$DM$5:DM366,0),0))</f>
        <v/>
      </c>
      <c r="EE366">
        <f>IF($DM366=0,0,IF($ED366=$DE366,1,0))</f>
        <v/>
      </c>
      <c r="EF366">
        <f>EF365+$EE366</f>
        <v/>
      </c>
      <c r="EG366">
        <f>IF($DM366=0,"",INDEX($EF$5:$EF$1003,$ED366))</f>
        <v/>
      </c>
      <c r="EH366">
        <f>IF($DM366=0,"",IF($DO366&lt;&gt;"","",IFERROR(LOOKUP(2,1/(($EG$4:EG365=$EG366)*($DO$4:DO365&lt;&gt;"")),$DO$4:DO365),"")))</f>
        <v/>
      </c>
      <c r="EI366">
        <f>IF($DM366=0,"",IF($DO366&lt;&gt;"",$DO366,$EH366))</f>
        <v/>
      </c>
      <c r="EJ366">
        <f>IF($DM366=0,"",IF($EI366="",0,IF(OR(ISNUMBER($EI366),AND(AND(SUBSTITUTE(SUBSTITUTE(SUBSTITUTE(SUBSTITUTE(SUBSTITUTE(SUBSTITUTE(SUBSTITUTE(SUBSTITUTE(SUBSTITUTE(SUBSTITUTE(SUBSTITUTE(SUBSTITUTE(SUBSTITUTE(SUBSTITUTE(UPPER($EI366),"0",""),"1",""),"2",""),"3",""),"4",""),"5",""),"6",""),"7",""),"8",""),"9",""),".",""),"+",""),"-",""),"E","")="",LEN(SUBSTITUTE(SUBSTITUTE(MID(UPPER($EI366),1+OR(LEFT(UPPER($EI366),1)="+",LEFT(UPPER($EI366),1)="-"),999),"E+","E"),"E-","E"))=LEN(SUBSTITUTE(SUBSTITUTE(SUBSTITUTE(SUBSTITUTE(MID(UPPER($EI366),1+OR(LEFT(UPPER($EI366),1)="+",LEFT(UPPER($EI366),1)="-"),999),"E+","E"),"E-","E"),"+",""),"-","")),LEN(UPPER($EI366))-LEN(SUBSTITUTE(UPPER($EI366),"E",""))&lt;2,LEN(UPPER($EI366))-LEN(SUBSTITUTE(UPPER($EI366),".",""))&lt;2,IFERROR(FIND(".",UPPER($EI366)),0)&lt;IFERROR(FIND("E",UPPER($EI366)),999)),ISNUMBER(VALUE($EI366)))),1,2)))</f>
        <v/>
      </c>
      <c r="EK366">
        <f>IF($DM366=0,"",IF($EJ366=1,IF(ISNUMBER($EI366),$EI366,VALUE($EI366)),IF($EJ366=2,$DE366,0)))</f>
        <v/>
      </c>
      <c r="EL366">
        <f>IF($DM366=0,"",COUNTIF($EG$5:$EG$1003,"&lt;"&amp;$EG366)+SUMPRODUCT(($EG$5:$EG$1003=$EG366)*(($EJ$5:$EJ$1003&lt;$EJ366)+($EJ$5:$EJ$1003=$EJ366)*(($EK$5:$EK$1003&lt;$EK366)+($EK$5:$EK$1003=$EK366)*($DE$5:$DE$1003&lt;$DE366))))+1)</f>
        <v/>
      </c>
      <c r="EM366">
        <f>IF($DM366=0,"",$EL366+$EG366-1)</f>
        <v/>
      </c>
      <c r="EN366">
        <f>IF($DM366=0,0,IFERROR(MATCH(1,INDEX(--(TRIM(SUBSTITUTE(SUBSTITUTE(SUBSTITUTE(SUBSTITUTE(LINES_NAME&amp;""," "," "),CHAR(9)," "),CHAR(10)," "),CHAR(13)," "))=$DH366),0),0),0))</f>
        <v/>
      </c>
      <c r="EO366">
        <f>IF($EN366=0,0,IF(OR(UPPER(TRIM(INDEX(LINES_SCHEDULED,$EN366)&amp;""))="YES",UPPER(TRIM(INDEX(LINES_SCHEDULED,$EN366)&amp;""))="Y",UPPER(TRIM(INDEX(LINES_SCHEDULED,$EN366)&amp;""))="X"),1,0))</f>
        <v/>
      </c>
      <c r="EP366">
        <f>IF($DM366=0,"",IF(COUNTIFS($EG$5:$EG$1003,$EG366,$EB$5:$EB$1003,"Ready")&gt;0,"READY",IF(COUNTIFS($EG$5:$EG$1003,$EG366,$EB$5:$EB$1003,"PM")&gt;0,"PM",IF(COUNTIFS($EG$5:$EG$1003,$EG366,$EB$5:$EB$1003,"OT")&gt;0,"OT",""))))</f>
        <v/>
      </c>
      <c r="EQ366">
        <f>IF($EN366=0,"",UPPER(TRIM(INDEX(LINES_STATUS,$EN366)&amp;"")))</f>
        <v/>
      </c>
      <c r="ER366">
        <f>IF($DM366=0,"",IF(OR($EQ366="READY",$EQ366="PM",$EQ366="OT"),$EQ366,$EP366))</f>
        <v/>
      </c>
      <c r="ES366">
        <f>IF($DM366=0,"",IF(AND($DV366&lt;&gt;"",UPPER($DV366)&lt;&gt;"N"),"allergen",IF(ISNUMBER(SEARCH("oil",$DQ366)),"oil",IF(OR(EXACT($DS366,"A662"),EXACT($DS366,"A624")),"bulk",""))))</f>
        <v/>
      </c>
      <c r="ET366">
        <f>IF($DM366=0,"",IF(OR($EA366="",$EA366=0),"",$EA366/100))</f>
        <v/>
      </c>
      <c r="EU366">
        <f>IF(OR($ET366="",$DY366=""),"",INT($DY366*(1-$ET366)+0.5))</f>
        <v/>
      </c>
      <c r="EW366" t="n">
        <v>362</v>
      </c>
      <c r="EX366">
        <f>IFERROR(MATCH($EW366,$EM$5:$EM$1003,0),0)</f>
        <v/>
      </c>
      <c r="EY366">
        <f>IF($EW366&gt;$B$12,"",IF($EX366&gt;0,"row","spacer"))</f>
        <v/>
      </c>
      <c r="EZ366">
        <f>IF(AND($EY366="row",$EY365&lt;&gt;"row"),1,0)</f>
        <v/>
      </c>
      <c r="FA366">
        <f>IF(AND($EY366="row",$EY367&lt;&gt;"row"),1,0)</f>
        <v/>
      </c>
      <c r="FB366">
        <f>IF($EZ366=1,IFERROR(IF(ISNUMBER(INDEX(PASTE_ALL,INDEX($DF$5:$DF$1003,$EX366),$B$37)),INDEX(PASTE_ALL,INDEX($DF$5:$DF$1003,$EX366),$B$37),INDEX($DH$5:$DH$1003,$EX366)),INDEX($DH$5:$DH$1003,$EX366)),"")</f>
        <v/>
      </c>
      <c r="FC366">
        <f>IF($EY366="row",INDEX($ER$5:$ER$1003,$EX366),"")</f>
        <v/>
      </c>
      <c r="FD366">
        <f>IF($EY366="row",INDEX($DN$5:$DN$1003,$EX366),"")</f>
        <v/>
      </c>
      <c r="FE366">
        <f>IF($EY366="row",INDEX($DO$5:$DO$1003,$EX366),"")</f>
        <v/>
      </c>
      <c r="FF366">
        <f>IF($EY366="row",INDEX($DP$5:$DP$1003,$EX366),"")</f>
        <v/>
      </c>
      <c r="FG366">
        <f>IF($EY366="row",INDEX($DQ$5:$DQ$1003,$EX366),"")</f>
        <v/>
      </c>
      <c r="FH366">
        <f>IF($EY366="row",INDEX($DR$5:$DR$1003,$EX366),"")</f>
        <v/>
      </c>
      <c r="FI366">
        <f>IF($EY366="row",INDEX($DS$5:$DS$1003,$EX366),"")</f>
        <v/>
      </c>
      <c r="FJ366">
        <f>IF($EY366="row",INDEX($DT$5:$DT$1003,$EX366),"")</f>
        <v/>
      </c>
      <c r="FK366">
        <f>IF($EY366="row",INDEX($DU$5:$DU$1003,$EX366),"")</f>
        <v/>
      </c>
      <c r="FL366">
        <f>IF($EY366="row",INDEX($DV$5:$DV$1003,$EX366),"")</f>
        <v/>
      </c>
      <c r="FM366">
        <f>IF($EY366="row",INDEX($DW$5:$DW$1003,$EX366),"")</f>
        <v/>
      </c>
      <c r="FN366">
        <f>IF($EY366="row",INDEX($DY$5:$DY$1003,$EX366),"")</f>
        <v/>
      </c>
      <c r="FO366">
        <f>IF($EY366="row",INDEX($EA$5:$EA$1003,$EX366),"")</f>
        <v/>
      </c>
      <c r="FP366">
        <f>IF($EY366="row",INDEX($EC$5:$EC$1003,$EX366),"")</f>
        <v/>
      </c>
      <c r="FQ366">
        <f>IF($EY366="row",INDEX($ET$5:$ET$1003,$EX366),"")</f>
        <v/>
      </c>
      <c r="FR366">
        <f>IF($EY366="row",INDEX($EU$5:$EU$1003,$EX366),"")</f>
        <v/>
      </c>
      <c r="FS366">
        <f>IF(AND($EY366="row",$EY365="row"),IF(OR(INDEX($DT$5:$DT$1003,$EX365)="",INDEX($DT$5:$DT$1003,$EX366)=""),"",IF(NOT(EXACT(INDEX($DT$5:$DT$1003,$EX365),INDEX($DT$5:$DT$1003,$EX366))),"S4",IF(NOT(EXACT(INDEX($DS$5:$DS$1003,$EX365),INDEX($DS$5:$DS$1003,$EX366))),"S3",IF(NOT(EXACT(INDEX($DR$5:$DR$1003,$EX365),INDEX($DR$5:$DR$1003,$EX366))),"S1 Count Change","S1")))),"")</f>
        <v/>
      </c>
      <c r="FT366">
        <f>IF($EY366="row",INDEX($ES$5:$ES$1003,$EX366),"")</f>
        <v/>
      </c>
      <c r="FU366">
        <f>IF($EY366="row",INDEX($EO$5:$EO$1003,$EX366),0)</f>
        <v/>
      </c>
      <c r="FV366">
        <f>IF($FS366="S1 Count Change",1,0)</f>
        <v/>
      </c>
    </row>
    <row r="367">
      <c r="DA367" t="n">
        <v>363</v>
      </c>
      <c r="DB367">
        <f>IF($B$37=0,"",IFERROR(TRIM(SUBSTITUTE(SUBSTITUTE(SUBSTITUTE(SUBSTITUTE(INDEX(PASTE_ALL,363,$B$37)," "," "),CHAR(9)," "),CHAR(10)," "),CHAR(13)," ")),""))</f>
        <v/>
      </c>
      <c r="DC367">
        <f>IF(AND(363&gt;HEADER_ROW,UPPER(DB367)="LEGEND"),1,0)</f>
        <v/>
      </c>
      <c r="DE367" t="n">
        <v>363</v>
      </c>
      <c r="DF367">
        <f>HEADER_ROW+$DE367</f>
        <v/>
      </c>
      <c r="DG367">
        <f>IF(AND($DF367&lt;=1000,$DF367&lt;$B$8),1,0)</f>
        <v/>
      </c>
      <c r="DH367">
        <f>IF($DG367=1,IFERROR(INDEX($DB$5:$DB$1004,$DF367),""),"")</f>
        <v/>
      </c>
      <c r="DI367">
        <f>IF(AND($DG367=1,$DH367&lt;&gt;""),IFERROR(SUBSTITUTE(SUBSTITUTE(TRIM(SUBSTITUTE(SUBSTITUTE(SUBSTITUTE(SUBSTITUTE(IFERROR(INDEX(PASTE_ALL,$DF367,1)&amp;"","")&amp;"␟"&amp;IFERROR(INDEX(PASTE_ALL,$DF367,2)&amp;"","")&amp;"␟"&amp;IFERROR(INDEX(PASTE_ALL,$DF367,3)&amp;"","")&amp;"␟"&amp;IFERROR(INDEX(PASTE_ALL,$DF367,4)&amp;"","")&amp;"␟"&amp;IFERROR(INDEX(PASTE_ALL,$DF367,5)&amp;"","")&amp;"␟"&amp;IFERROR(INDEX(PASTE_ALL,$DF367,6)&amp;"","")&amp;"␟"&amp;IFERROR(INDEX(PASTE_ALL,$DF367,7)&amp;"","")&amp;"␟"&amp;IFERROR(INDEX(PASTE_ALL,$DF367,8)&amp;"","")&amp;"␟"&amp;IFERROR(INDEX(PASTE_ALL,$DF367,9)&amp;"","")&amp;"␟"&amp;IFERROR(INDEX(PASTE_ALL,$DF367,10)&amp;"","")&amp;"␟"&amp;IFERROR(INDEX(PASTE_ALL,$DF367,11)&amp;"","")&amp;"␟"&amp;IFERROR(INDEX(PASTE_ALL,$DF367,12)&amp;"","")&amp;"␟"&amp;IFERROR(INDEX(PASTE_ALL,$DF367,13)&amp;"","")&amp;"␟"&amp;IFERROR(INDEX(PASTE_ALL,$DF367,14)&amp;"","")&amp;"␟"&amp;IFERROR(INDEX(PASTE_ALL,$DF367,15)&amp;"","")&amp;"␟"&amp;IFERROR(INDEX(PASTE_ALL,$DF367,16)&amp;"","")&amp;"␟"&amp;IFERROR(INDEX(PASTE_ALL,$DF367,17)&amp;"","")&amp;"␟"&amp;IFERROR(INDEX(PASTE_ALL,$DF367,18)&amp;"","")&amp;"␟"&amp;IFERROR(INDEX(PASTE_ALL,$DF367,19)&amp;"","")&amp;"␟"&amp;IFERROR(INDEX(PASTE_ALL,$DF367,20)&amp;"","")&amp;"␟"&amp;IFERROR(INDEX(PASTE_ALL,$DF367,21)&amp;"","")&amp;"␟"&amp;IFERROR(INDEX(PASTE_ALL,$DF367,22)&amp;"","")&amp;"␟"&amp;IFERROR(INDEX(PASTE_ALL,$DF367,23)&amp;"","")&amp;"␟"&amp;IFERROR(INDEX(PASTE_ALL,$DF367,24)&amp;"","")&amp;"␟"&amp;IFERROR(INDEX(PASTE_ALL,$DF367,25)&amp;"","")&amp;"␟"&amp;IFERROR(INDEX(PASTE_ALL,$DF367,26)&amp;"","")&amp;"␟"&amp;IFERROR(INDEX(PASTE_ALL,$DF367,27)&amp;"","")&amp;"␟"&amp;IFERROR(INDEX(PASTE_ALL,$DF367,28)&amp;"","")&amp;"␟"&amp;IFERROR(INDEX(PASTE_ALL,$DF367,29)&amp;"","")&amp;"␟"&amp;IFERROR(INDEX(PASTE_ALL,$DF367,30)&amp;"","")&amp;"␟"&amp;IFERROR(INDEX(PASTE_ALL,$DF367,31)&amp;"","")&amp;"␟"&amp;IFERROR(INDEX(PASTE_ALL,$DF367,32)&amp;"","")&amp;"␟"&amp;IFERROR(INDEX(PASTE_ALL,$DF367,33)&amp;"","")&amp;"␟"&amp;IFERROR(INDEX(PASTE_ALL,$DF367,34)&amp;"","")&amp;"␟"&amp;IFERROR(INDEX(PASTE_ALL,$DF367,35)&amp;"","")&amp;"␟"&amp;IFERROR(INDEX(PASTE_ALL,$DF367,36)&amp;"","")&amp;"␟"&amp;IFERROR(INDEX(PASTE_ALL,$DF367,37)&amp;"","")&amp;"␟"&amp;IFERROR(INDEX(PASTE_ALL,$DF367,38)&amp;"","")&amp;"␟"&amp;IFERROR(INDEX(PASTE_ALL,$DF367,39)&amp;"","")&amp;"␟"&amp;IFERROR(INDEX(PASTE_ALL,$DF367,40)&amp;"","")&amp;"␟"&amp;IFERROR(INDEX(PASTE_ALL,$DF367,41)&amp;"","")&amp;"␟"&amp;IFERROR(INDEX(PASTE_ALL,$DF367,42)&amp;"","")&amp;"␟"&amp;IFERROR(INDEX(PASTE_ALL,$DF367,43)&amp;"","")&amp;"␟"&amp;IFERROR(INDEX(PASTE_ALL,$DF367,44)&amp;"","")&amp;"␟"&amp;IFERROR(INDEX(PASTE_ALL,$DF367,45)&amp;"","")&amp;"␟"&amp;IFERROR(INDEX(PASTE_ALL,$DF367,46)&amp;"","")&amp;"␟"&amp;IFERROR(INDEX(PASTE_ALL,$DF367,47)&amp;"","")&amp;"␟"&amp;IFERROR(INDEX(PASTE_ALL,$DF367,48)&amp;"","")&amp;"␟"&amp;IFERROR(INDEX(PASTE_ALL,$DF367,49)&amp;"","")&amp;"␟"&amp;IFERROR(INDEX(PASTE_ALL,$DF367,50)&amp;"","")&amp;"␟"&amp;IFERROR(INDEX(PASTE_ALL,$DF367,51)&amp;"","")&amp;"␟"&amp;IFERROR(INDEX(PASTE_ALL,$DF367,52)&amp;"","")&amp;"␟"&amp;IFERROR(INDEX(PASTE_ALL,$DF367,53)&amp;"","")&amp;"␟"&amp;IFERROR(INDEX(PASTE_ALL,$DF367,54)&amp;"","")&amp;"␟"&amp;IFERROR(INDEX(PASTE_ALL,$DF367,55)&amp;"","")&amp;"␟"&amp;IFERROR(INDEX(PASTE_ALL,$DF367,56)&amp;"","")&amp;"␟"&amp;IFERROR(INDEX(PASTE_ALL,$DF367,57)&amp;"","")&amp;"␟"&amp;IFERROR(INDEX(PASTE_ALL,$DF367,58)&amp;"","")&amp;"␟"&amp;IFERROR(INDEX(PASTE_ALL,$DF367,59)&amp;"","")&amp;"␟"&amp;IFERROR(INDEX(PASTE_ALL,$DF367,60)&amp;"","")," "," "),CHAR(9)," "),CHAR(10)," "),CHAR(13)," "))," ␟","␟"),"␟ ","␟"),"#"&amp;$DE367),"")</f>
        <v/>
      </c>
      <c r="DJ367">
        <f>IF($DI367="",0,IF(SUMPRODUCT(--EXACT($DI$4:DI366,$DI367))&gt;0,1,0))</f>
        <v/>
      </c>
      <c r="DK367">
        <f>IF(AND($DI367&lt;&gt;"",$DJ367=0),1,0)</f>
        <v/>
      </c>
      <c r="DL367">
        <f>DL366+$DK367</f>
        <v/>
      </c>
      <c r="DM367">
        <f>IF(AND($DK367=1,$DL367&lt;=600),1,0)</f>
        <v/>
      </c>
      <c r="DN367">
        <f>IF($DM367=0,"",IF($L$6=0,"",IFERROR(IF(ISNUMBER(INDEX(PASTE_ALL,$DF367,$L$6)),INDEX(PASTE_ALL,$DF367,$L$6),TRIM(SUBSTITUTE(SUBSTITUTE(SUBSTITUTE(SUBSTITUTE(INDEX(PASTE_ALL,$DF367,$L$6)," "," "),CHAR(9)," "),CHAR(10)," "),CHAR(13)," "))),"")))</f>
        <v/>
      </c>
      <c r="DO367">
        <f>IF($DM367=0,"",IF($L$7=0,"",IFERROR(IF(ISNUMBER(INDEX(PASTE_ALL,$DF367,$L$7)),INDEX(PASTE_ALL,$DF367,$L$7),TRIM(SUBSTITUTE(SUBSTITUTE(SUBSTITUTE(SUBSTITUTE(INDEX(PASTE_ALL,$DF367,$L$7)," "," "),CHAR(9)," "),CHAR(10)," "),CHAR(13)," "))),"")))</f>
        <v/>
      </c>
      <c r="DP367">
        <f>IF($DM367=0,"",IF($L$8=0,"",IFERROR(IF(ISNUMBER(INDEX(PASTE_ALL,$DF367,$L$8)),INDEX(PASTE_ALL,$DF367,$L$8),TRIM(SUBSTITUTE(SUBSTITUTE(SUBSTITUTE(SUBSTITUTE(INDEX(PASTE_ALL,$DF367,$L$8)," "," "),CHAR(9)," "),CHAR(10)," "),CHAR(13)," "))),"")))</f>
        <v/>
      </c>
      <c r="DQ367">
        <f>IF($DM367=0,"",IF($L$9=0,"",IFERROR(IF(ISNUMBER(INDEX(PASTE_ALL,$DF367,$L$9)),INDEX(PASTE_ALL,$DF367,$L$9),TRIM(SUBSTITUTE(SUBSTITUTE(SUBSTITUTE(SUBSTITUTE(INDEX(PASTE_ALL,$DF367,$L$9)," "," "),CHAR(9)," "),CHAR(10)," "),CHAR(13)," "))),"")))</f>
        <v/>
      </c>
      <c r="DR367">
        <f>IF($DM367=0,"",IF($L$10=0,"",IFERROR(IF(ISNUMBER(INDEX(PASTE_ALL,$DF367,$L$10)),INDEX(PASTE_ALL,$DF367,$L$10),TRIM(SUBSTITUTE(SUBSTITUTE(SUBSTITUTE(SUBSTITUTE(INDEX(PASTE_ALL,$DF367,$L$10)," "," "),CHAR(9)," "),CHAR(10)," "),CHAR(13)," "))),"")))</f>
        <v/>
      </c>
      <c r="DS367">
        <f>IF($DM367=0,"",IF($L$11=0,"",IFERROR(IF(ISNUMBER(INDEX(PASTE_ALL,$DF367,$L$11)),INDEX(PASTE_ALL,$DF367,$L$11),TRIM(SUBSTITUTE(SUBSTITUTE(SUBSTITUTE(SUBSTITUTE(INDEX(PASTE_ALL,$DF367,$L$11)," "," "),CHAR(9)," "),CHAR(10)," "),CHAR(13)," "))),"")))</f>
        <v/>
      </c>
      <c r="DT367">
        <f>IF($DM367=0,"",IF($L$12=0,"",IFERROR(IF(ISNUMBER(INDEX(PASTE_ALL,$DF367,$L$12)),INDEX(PASTE_ALL,$DF367,$L$12),TRIM(SUBSTITUTE(SUBSTITUTE(SUBSTITUTE(SUBSTITUTE(INDEX(PASTE_ALL,$DF367,$L$12)," "," "),CHAR(9)," "),CHAR(10)," "),CHAR(13)," "))),"")))</f>
        <v/>
      </c>
      <c r="DU367">
        <f>IF($DM367=0,"",IF($L$13=0,"",IFERROR(IF(ISNUMBER(INDEX(PASTE_ALL,$DF367,$L$13)),INDEX(PASTE_ALL,$DF367,$L$13),TRIM(SUBSTITUTE(SUBSTITUTE(SUBSTITUTE(SUBSTITUTE(INDEX(PASTE_ALL,$DF367,$L$13)," "," "),CHAR(9)," "),CHAR(10)," "),CHAR(13)," "))),"")))</f>
        <v/>
      </c>
      <c r="DV367">
        <f>IF($DM367=0,"",IF($L$14=0,"",IFERROR(IF(ISNUMBER(INDEX(PASTE_ALL,$DF367,$L$14)),INDEX(PASTE_ALL,$DF367,$L$14),TRIM(SUBSTITUTE(SUBSTITUTE(SUBSTITUTE(SUBSTITUTE(INDEX(PASTE_ALL,$DF367,$L$14)," "," "),CHAR(9)," "),CHAR(10)," "),CHAR(13)," "))),"")))</f>
        <v/>
      </c>
      <c r="DW367">
        <f>IF($DM367=0,"",IF($L$15=0,"",IFERROR(IF(ISNUMBER(INDEX(PASTE_ALL,$DF367,$L$15)),INDEX(PASTE_ALL,$DF367,$L$15),IF(SUMPRODUCT(--ISNUMBER(FIND({"A","B","C","D","E","F","G","H","I","J","K","L","M","N","O","P","Q","R","S","T","U","V","W","X","Y","Z","0","1","2","3","4","5","6","7","8","9"},UPPER(TRIM(SUBSTITUTE(SUBSTITUTE(SUBSTITUTE(SUBSTITUTE(INDEX(PASTE_ALL,$DF367,$L$15)," "," "),CHAR(9)," "),CHAR(10)," "),CHAR(13)," "))))))&gt;0,TRIM(SUBSTITUTE(SUBSTITUTE(SUBSTITUTE(SUBSTITUTE(INDEX(PASTE_ALL,$DF367,$L$15)," "," "),CHAR(9)," "),CHAR(10)," "),CHAR(13)," ")),"")),"")))</f>
        <v/>
      </c>
      <c r="DX367">
        <f>IF($DM367=0,"",IF($L$16=0,"",IFERROR(IF(ISNUMBER(INDEX(PASTE_ALL,$DF367,$L$16)),INDEX(PASTE_ALL,$DF367,$L$16),SUBSTITUTE(SUBSTITUTE(TRIM(SUBSTITUTE(SUBSTITUTE(SUBSTITUTE(SUBSTITUTE(INDEX(PASTE_ALL,$DF367,$L$16)," "," "),CHAR(9)," "),CHAR(10)," "),CHAR(13)," ")),",",""),"%","")),"")))</f>
        <v/>
      </c>
      <c r="DY367">
        <f>IF($DM367=0,"",IFERROR(IF(ISNUMBER($DX367),$DX367,IF($DX367="","",IF(TRIM($DX367)="",0,IF(AND(AND(SUBSTITUTE(SUBSTITUTE(SUBSTITUTE(SUBSTITUTE(SUBSTITUTE(SUBSTITUTE(SUBSTITUTE(SUBSTITUTE(SUBSTITUTE(SUBSTITUTE(SUBSTITUTE(SUBSTITUTE(SUBSTITUTE(SUBSTITUTE(UPPER(TRIM($DX367)),"0",""),"1",""),"2",""),"3",""),"4",""),"5",""),"6",""),"7",""),"8",""),"9",""),".",""),"+",""),"-",""),"E","")="",LEN(SUBSTITUTE(SUBSTITUTE(MID(UPPER(TRIM($DX367)),1+OR(LEFT(UPPER(TRIM($DX367)),1)="+",LEFT(UPPER(TRIM($DX367)),1)="-"),999),"E+","E"),"E-","E"))=LEN(SUBSTITUTE(SUBSTITUTE(SUBSTITUTE(SUBSTITUTE(MID(UPPER(TRIM($DX367)),1+OR(LEFT(UPPER(TRIM($DX367)),1)="+",LEFT(UPPER(TRIM($DX367)),1)="-"),999),"E+","E"),"E-","E"),"+",""),"-","")),LEN(UPPER(TRIM($DX367)))-LEN(SUBSTITUTE(UPPER(TRIM($DX367)),"E",""))&lt;2,LEN(UPPER(TRIM($DX367)))-LEN(SUBSTITUTE(UPPER(TRIM($DX367)),".",""))&lt;2,IFERROR(FIND(".",UPPER(TRIM($DX367))),0)&lt;IFERROR(FIND("E",UPPER(TRIM($DX367))),999)),ISNUMBER(VALUE(TRIM($DX367)))),VALUE(TRIM($DX367)),"")))),""))</f>
        <v/>
      </c>
      <c r="DZ367">
        <f>IF($DM367=0,"",IF($L$17=0,"",IFERROR(IF(ISNUMBER(INDEX(PASTE_ALL,$DF367,$L$17)),INDEX(PASTE_ALL,$DF367,$L$17),SUBSTITUTE(SUBSTITUTE(TRIM(SUBSTITUTE(SUBSTITUTE(SUBSTITUTE(SUBSTITUTE(INDEX(PASTE_ALL,$DF367,$L$17)," "," "),CHAR(9)," "),CHAR(10)," "),CHAR(13)," ")),",",""),"%","")),"")))</f>
        <v/>
      </c>
      <c r="EA367">
        <f>IF($DM367=0,"",IFERROR(IF(ISNUMBER($DZ367),$DZ367,IF($DZ367="","",IF(TRIM($DZ367)="",0,IF(AND(AND(SUBSTITUTE(SUBSTITUTE(SUBSTITUTE(SUBSTITUTE(SUBSTITUTE(SUBSTITUTE(SUBSTITUTE(SUBSTITUTE(SUBSTITUTE(SUBSTITUTE(SUBSTITUTE(SUBSTITUTE(SUBSTITUTE(SUBSTITUTE(UPPER(TRIM($DZ367)),"0",""),"1",""),"2",""),"3",""),"4",""),"5",""),"6",""),"7",""),"8",""),"9",""),".",""),"+",""),"-",""),"E","")="",LEN(SUBSTITUTE(SUBSTITUTE(MID(UPPER(TRIM($DZ367)),1+OR(LEFT(UPPER(TRIM($DZ367)),1)="+",LEFT(UPPER(TRIM($DZ367)),1)="-"),999),"E+","E"),"E-","E"))=LEN(SUBSTITUTE(SUBSTITUTE(SUBSTITUTE(SUBSTITUTE(MID(UPPER(TRIM($DZ367)),1+OR(LEFT(UPPER(TRIM($DZ367)),1)="+",LEFT(UPPER(TRIM($DZ367)),1)="-"),999),"E+","E"),"E-","E"),"+",""),"-","")),LEN(UPPER(TRIM($DZ367)))-LEN(SUBSTITUTE(UPPER(TRIM($DZ367)),"E",""))&lt;2,LEN(UPPER(TRIM($DZ367)))-LEN(SUBSTITUTE(UPPER(TRIM($DZ367)),".",""))&lt;2,IFERROR(FIND(".",UPPER(TRIM($DZ367))),0)&lt;IFERROR(FIND("E",UPPER(TRIM($DZ367))),999)),ISNUMBER(VALUE(TRIM($DZ367)))),VALUE(TRIM($DZ367)),"")))),""))</f>
        <v/>
      </c>
      <c r="EB367">
        <f>IF($DM367=0,"",IF($L$18=0,"",IFERROR(IF(UPPER(TRIM(SUBSTITUTE(SUBSTITUTE(SUBSTITUTE(SUBSTITUTE(INDEX(PASTE_ALL,$DF367,$L$18)," "," "),CHAR(9)," "),CHAR(10)," "),CHAR(13)," ")))="READY","Ready",IF(UPPER(TRIM(SUBSTITUTE(SUBSTITUTE(SUBSTITUTE(SUBSTITUTE(INDEX(PASTE_ALL,$DF367,$L$18)," "," "),CHAR(9)," "),CHAR(10)," "),CHAR(13)," ")))="PM","PM",IF(OR(UPPER(TRIM(SUBSTITUTE(SUBSTITUTE(SUBSTITUTE(SUBSTITUTE(INDEX(PASTE_ALL,$DF367,$L$18)," "," "),CHAR(9)," "),CHAR(10)," "),CHAR(13)," ")))="OT",UPPER(TRIM(SUBSTITUTE(SUBSTITUTE(SUBSTITUTE(SUBSTITUTE(INDEX(PASTE_ALL,$DF367,$L$18)," "," "),CHAR(9)," "),CHAR(10)," "),CHAR(13)," ")))="OVERTIME",UPPER(TRIM(SUBSTITUTE(SUBSTITUTE(SUBSTITUTE(SUBSTITUTE(INDEX(PASTE_ALL,$DF367,$L$18)," "," "),CHAR(9)," "),CHAR(10)," "),CHAR(13)," ")))="TRIAL"),"OT",TRIM(SUBSTITUTE(SUBSTITUTE(SUBSTITUTE(SUBSTITUTE(INDEX(PASTE_ALL,$DF367,$L$18)," "," "),CHAR(9)," "),CHAR(10)," "),CHAR(13)," "))))),"")))</f>
        <v/>
      </c>
      <c r="EC367">
        <f>IF($DM367=0,"",IF($L$19=0,"",IFERROR(IF(ISNUMBER(INDEX(PASTE_ALL,$DF367,$L$19)),INDEX(PASTE_ALL,$DF367,$L$19),TRIM(SUBSTITUTE(SUBSTITUTE(SUBSTITUTE(SUBSTITUTE(INDEX(PASTE_ALL,$DF367,$L$19)," "," "),CHAR(9)," "),CHAR(10)," "),CHAR(13)," "))),"")))</f>
        <v/>
      </c>
      <c r="ED367">
        <f>IF($DM367=0,"",MATCH(1,INDEX(EXACT($DH$5:DH367,$DH367)*$DM$5:DM367,0),0))</f>
        <v/>
      </c>
      <c r="EE367">
        <f>IF($DM367=0,0,IF($ED367=$DE367,1,0))</f>
        <v/>
      </c>
      <c r="EF367">
        <f>EF366+$EE367</f>
        <v/>
      </c>
      <c r="EG367">
        <f>IF($DM367=0,"",INDEX($EF$5:$EF$1003,$ED367))</f>
        <v/>
      </c>
      <c r="EH367">
        <f>IF($DM367=0,"",IF($DO367&lt;&gt;"","",IFERROR(LOOKUP(2,1/(($EG$4:EG366=$EG367)*($DO$4:DO366&lt;&gt;"")),$DO$4:DO366),"")))</f>
        <v/>
      </c>
      <c r="EI367">
        <f>IF($DM367=0,"",IF($DO367&lt;&gt;"",$DO367,$EH367))</f>
        <v/>
      </c>
      <c r="EJ367">
        <f>IF($DM367=0,"",IF($EI367="",0,IF(OR(ISNUMBER($EI367),AND(AND(SUBSTITUTE(SUBSTITUTE(SUBSTITUTE(SUBSTITUTE(SUBSTITUTE(SUBSTITUTE(SUBSTITUTE(SUBSTITUTE(SUBSTITUTE(SUBSTITUTE(SUBSTITUTE(SUBSTITUTE(SUBSTITUTE(SUBSTITUTE(UPPER($EI367),"0",""),"1",""),"2",""),"3",""),"4",""),"5",""),"6",""),"7",""),"8",""),"9",""),".",""),"+",""),"-",""),"E","")="",LEN(SUBSTITUTE(SUBSTITUTE(MID(UPPER($EI367),1+OR(LEFT(UPPER($EI367),1)="+",LEFT(UPPER($EI367),1)="-"),999),"E+","E"),"E-","E"))=LEN(SUBSTITUTE(SUBSTITUTE(SUBSTITUTE(SUBSTITUTE(MID(UPPER($EI367),1+OR(LEFT(UPPER($EI367),1)="+",LEFT(UPPER($EI367),1)="-"),999),"E+","E"),"E-","E"),"+",""),"-","")),LEN(UPPER($EI367))-LEN(SUBSTITUTE(UPPER($EI367),"E",""))&lt;2,LEN(UPPER($EI367))-LEN(SUBSTITUTE(UPPER($EI367),".",""))&lt;2,IFERROR(FIND(".",UPPER($EI367)),0)&lt;IFERROR(FIND("E",UPPER($EI367)),999)),ISNUMBER(VALUE($EI367)))),1,2)))</f>
        <v/>
      </c>
      <c r="EK367">
        <f>IF($DM367=0,"",IF($EJ367=1,IF(ISNUMBER($EI367),$EI367,VALUE($EI367)),IF($EJ367=2,$DE367,0)))</f>
        <v/>
      </c>
      <c r="EL367">
        <f>IF($DM367=0,"",COUNTIF($EG$5:$EG$1003,"&lt;"&amp;$EG367)+SUMPRODUCT(($EG$5:$EG$1003=$EG367)*(($EJ$5:$EJ$1003&lt;$EJ367)+($EJ$5:$EJ$1003=$EJ367)*(($EK$5:$EK$1003&lt;$EK367)+($EK$5:$EK$1003=$EK367)*($DE$5:$DE$1003&lt;$DE367))))+1)</f>
        <v/>
      </c>
      <c r="EM367">
        <f>IF($DM367=0,"",$EL367+$EG367-1)</f>
        <v/>
      </c>
      <c r="EN367">
        <f>IF($DM367=0,0,IFERROR(MATCH(1,INDEX(--(TRIM(SUBSTITUTE(SUBSTITUTE(SUBSTITUTE(SUBSTITUTE(LINES_NAME&amp;""," "," "),CHAR(9)," "),CHAR(10)," "),CHAR(13)," "))=$DH367),0),0),0))</f>
        <v/>
      </c>
      <c r="EO367">
        <f>IF($EN367=0,0,IF(OR(UPPER(TRIM(INDEX(LINES_SCHEDULED,$EN367)&amp;""))="YES",UPPER(TRIM(INDEX(LINES_SCHEDULED,$EN367)&amp;""))="Y",UPPER(TRIM(INDEX(LINES_SCHEDULED,$EN367)&amp;""))="X"),1,0))</f>
        <v/>
      </c>
      <c r="EP367">
        <f>IF($DM367=0,"",IF(COUNTIFS($EG$5:$EG$1003,$EG367,$EB$5:$EB$1003,"Ready")&gt;0,"READY",IF(COUNTIFS($EG$5:$EG$1003,$EG367,$EB$5:$EB$1003,"PM")&gt;0,"PM",IF(COUNTIFS($EG$5:$EG$1003,$EG367,$EB$5:$EB$1003,"OT")&gt;0,"OT",""))))</f>
        <v/>
      </c>
      <c r="EQ367">
        <f>IF($EN367=0,"",UPPER(TRIM(INDEX(LINES_STATUS,$EN367)&amp;"")))</f>
        <v/>
      </c>
      <c r="ER367">
        <f>IF($DM367=0,"",IF(OR($EQ367="READY",$EQ367="PM",$EQ367="OT"),$EQ367,$EP367))</f>
        <v/>
      </c>
      <c r="ES367">
        <f>IF($DM367=0,"",IF(AND($DV367&lt;&gt;"",UPPER($DV367)&lt;&gt;"N"),"allergen",IF(ISNUMBER(SEARCH("oil",$DQ367)),"oil",IF(OR(EXACT($DS367,"A662"),EXACT($DS367,"A624")),"bulk",""))))</f>
        <v/>
      </c>
      <c r="ET367">
        <f>IF($DM367=0,"",IF(OR($EA367="",$EA367=0),"",$EA367/100))</f>
        <v/>
      </c>
      <c r="EU367">
        <f>IF(OR($ET367="",$DY367=""),"",INT($DY367*(1-$ET367)+0.5))</f>
        <v/>
      </c>
      <c r="EW367" t="n">
        <v>363</v>
      </c>
      <c r="EX367">
        <f>IFERROR(MATCH($EW367,$EM$5:$EM$1003,0),0)</f>
        <v/>
      </c>
      <c r="EY367">
        <f>IF($EW367&gt;$B$12,"",IF($EX367&gt;0,"row","spacer"))</f>
        <v/>
      </c>
      <c r="EZ367">
        <f>IF(AND($EY367="row",$EY366&lt;&gt;"row"),1,0)</f>
        <v/>
      </c>
      <c r="FA367">
        <f>IF(AND($EY367="row",$EY368&lt;&gt;"row"),1,0)</f>
        <v/>
      </c>
      <c r="FB367">
        <f>IF($EZ367=1,IFERROR(IF(ISNUMBER(INDEX(PASTE_ALL,INDEX($DF$5:$DF$1003,$EX367),$B$37)),INDEX(PASTE_ALL,INDEX($DF$5:$DF$1003,$EX367),$B$37),INDEX($DH$5:$DH$1003,$EX367)),INDEX($DH$5:$DH$1003,$EX367)),"")</f>
        <v/>
      </c>
      <c r="FC367">
        <f>IF($EY367="row",INDEX($ER$5:$ER$1003,$EX367),"")</f>
        <v/>
      </c>
      <c r="FD367">
        <f>IF($EY367="row",INDEX($DN$5:$DN$1003,$EX367),"")</f>
        <v/>
      </c>
      <c r="FE367">
        <f>IF($EY367="row",INDEX($DO$5:$DO$1003,$EX367),"")</f>
        <v/>
      </c>
      <c r="FF367">
        <f>IF($EY367="row",INDEX($DP$5:$DP$1003,$EX367),"")</f>
        <v/>
      </c>
      <c r="FG367">
        <f>IF($EY367="row",INDEX($DQ$5:$DQ$1003,$EX367),"")</f>
        <v/>
      </c>
      <c r="FH367">
        <f>IF($EY367="row",INDEX($DR$5:$DR$1003,$EX367),"")</f>
        <v/>
      </c>
      <c r="FI367">
        <f>IF($EY367="row",INDEX($DS$5:$DS$1003,$EX367),"")</f>
        <v/>
      </c>
      <c r="FJ367">
        <f>IF($EY367="row",INDEX($DT$5:$DT$1003,$EX367),"")</f>
        <v/>
      </c>
      <c r="FK367">
        <f>IF($EY367="row",INDEX($DU$5:$DU$1003,$EX367),"")</f>
        <v/>
      </c>
      <c r="FL367">
        <f>IF($EY367="row",INDEX($DV$5:$DV$1003,$EX367),"")</f>
        <v/>
      </c>
      <c r="FM367">
        <f>IF($EY367="row",INDEX($DW$5:$DW$1003,$EX367),"")</f>
        <v/>
      </c>
      <c r="FN367">
        <f>IF($EY367="row",INDEX($DY$5:$DY$1003,$EX367),"")</f>
        <v/>
      </c>
      <c r="FO367">
        <f>IF($EY367="row",INDEX($EA$5:$EA$1003,$EX367),"")</f>
        <v/>
      </c>
      <c r="FP367">
        <f>IF($EY367="row",INDEX($EC$5:$EC$1003,$EX367),"")</f>
        <v/>
      </c>
      <c r="FQ367">
        <f>IF($EY367="row",INDEX($ET$5:$ET$1003,$EX367),"")</f>
        <v/>
      </c>
      <c r="FR367">
        <f>IF($EY367="row",INDEX($EU$5:$EU$1003,$EX367),"")</f>
        <v/>
      </c>
      <c r="FS367">
        <f>IF(AND($EY367="row",$EY366="row"),IF(OR(INDEX($DT$5:$DT$1003,$EX366)="",INDEX($DT$5:$DT$1003,$EX367)=""),"",IF(NOT(EXACT(INDEX($DT$5:$DT$1003,$EX366),INDEX($DT$5:$DT$1003,$EX367))),"S4",IF(NOT(EXACT(INDEX($DS$5:$DS$1003,$EX366),INDEX($DS$5:$DS$1003,$EX367))),"S3",IF(NOT(EXACT(INDEX($DR$5:$DR$1003,$EX366),INDEX($DR$5:$DR$1003,$EX367))),"S1 Count Change","S1")))),"")</f>
        <v/>
      </c>
      <c r="FT367">
        <f>IF($EY367="row",INDEX($ES$5:$ES$1003,$EX367),"")</f>
        <v/>
      </c>
      <c r="FU367">
        <f>IF($EY367="row",INDEX($EO$5:$EO$1003,$EX367),0)</f>
        <v/>
      </c>
      <c r="FV367">
        <f>IF($FS367="S1 Count Change",1,0)</f>
        <v/>
      </c>
    </row>
    <row r="368">
      <c r="DA368" t="n">
        <v>364</v>
      </c>
      <c r="DB368">
        <f>IF($B$37=0,"",IFERROR(TRIM(SUBSTITUTE(SUBSTITUTE(SUBSTITUTE(SUBSTITUTE(INDEX(PASTE_ALL,364,$B$37)," "," "),CHAR(9)," "),CHAR(10)," "),CHAR(13)," ")),""))</f>
        <v/>
      </c>
      <c r="DC368">
        <f>IF(AND(364&gt;HEADER_ROW,UPPER(DB368)="LEGEND"),1,0)</f>
        <v/>
      </c>
      <c r="DE368" t="n">
        <v>364</v>
      </c>
      <c r="DF368">
        <f>HEADER_ROW+$DE368</f>
        <v/>
      </c>
      <c r="DG368">
        <f>IF(AND($DF368&lt;=1000,$DF368&lt;$B$8),1,0)</f>
        <v/>
      </c>
      <c r="DH368">
        <f>IF($DG368=1,IFERROR(INDEX($DB$5:$DB$1004,$DF368),""),"")</f>
        <v/>
      </c>
      <c r="DI368">
        <f>IF(AND($DG368=1,$DH368&lt;&gt;""),IFERROR(SUBSTITUTE(SUBSTITUTE(TRIM(SUBSTITUTE(SUBSTITUTE(SUBSTITUTE(SUBSTITUTE(IFERROR(INDEX(PASTE_ALL,$DF368,1)&amp;"","")&amp;"␟"&amp;IFERROR(INDEX(PASTE_ALL,$DF368,2)&amp;"","")&amp;"␟"&amp;IFERROR(INDEX(PASTE_ALL,$DF368,3)&amp;"","")&amp;"␟"&amp;IFERROR(INDEX(PASTE_ALL,$DF368,4)&amp;"","")&amp;"␟"&amp;IFERROR(INDEX(PASTE_ALL,$DF368,5)&amp;"","")&amp;"␟"&amp;IFERROR(INDEX(PASTE_ALL,$DF368,6)&amp;"","")&amp;"␟"&amp;IFERROR(INDEX(PASTE_ALL,$DF368,7)&amp;"","")&amp;"␟"&amp;IFERROR(INDEX(PASTE_ALL,$DF368,8)&amp;"","")&amp;"␟"&amp;IFERROR(INDEX(PASTE_ALL,$DF368,9)&amp;"","")&amp;"␟"&amp;IFERROR(INDEX(PASTE_ALL,$DF368,10)&amp;"","")&amp;"␟"&amp;IFERROR(INDEX(PASTE_ALL,$DF368,11)&amp;"","")&amp;"␟"&amp;IFERROR(INDEX(PASTE_ALL,$DF368,12)&amp;"","")&amp;"␟"&amp;IFERROR(INDEX(PASTE_ALL,$DF368,13)&amp;"","")&amp;"␟"&amp;IFERROR(INDEX(PASTE_ALL,$DF368,14)&amp;"","")&amp;"␟"&amp;IFERROR(INDEX(PASTE_ALL,$DF368,15)&amp;"","")&amp;"␟"&amp;IFERROR(INDEX(PASTE_ALL,$DF368,16)&amp;"","")&amp;"␟"&amp;IFERROR(INDEX(PASTE_ALL,$DF368,17)&amp;"","")&amp;"␟"&amp;IFERROR(INDEX(PASTE_ALL,$DF368,18)&amp;"","")&amp;"␟"&amp;IFERROR(INDEX(PASTE_ALL,$DF368,19)&amp;"","")&amp;"␟"&amp;IFERROR(INDEX(PASTE_ALL,$DF368,20)&amp;"","")&amp;"␟"&amp;IFERROR(INDEX(PASTE_ALL,$DF368,21)&amp;"","")&amp;"␟"&amp;IFERROR(INDEX(PASTE_ALL,$DF368,22)&amp;"","")&amp;"␟"&amp;IFERROR(INDEX(PASTE_ALL,$DF368,23)&amp;"","")&amp;"␟"&amp;IFERROR(INDEX(PASTE_ALL,$DF368,24)&amp;"","")&amp;"␟"&amp;IFERROR(INDEX(PASTE_ALL,$DF368,25)&amp;"","")&amp;"␟"&amp;IFERROR(INDEX(PASTE_ALL,$DF368,26)&amp;"","")&amp;"␟"&amp;IFERROR(INDEX(PASTE_ALL,$DF368,27)&amp;"","")&amp;"␟"&amp;IFERROR(INDEX(PASTE_ALL,$DF368,28)&amp;"","")&amp;"␟"&amp;IFERROR(INDEX(PASTE_ALL,$DF368,29)&amp;"","")&amp;"␟"&amp;IFERROR(INDEX(PASTE_ALL,$DF368,30)&amp;"","")&amp;"␟"&amp;IFERROR(INDEX(PASTE_ALL,$DF368,31)&amp;"","")&amp;"␟"&amp;IFERROR(INDEX(PASTE_ALL,$DF368,32)&amp;"","")&amp;"␟"&amp;IFERROR(INDEX(PASTE_ALL,$DF368,33)&amp;"","")&amp;"␟"&amp;IFERROR(INDEX(PASTE_ALL,$DF368,34)&amp;"","")&amp;"␟"&amp;IFERROR(INDEX(PASTE_ALL,$DF368,35)&amp;"","")&amp;"␟"&amp;IFERROR(INDEX(PASTE_ALL,$DF368,36)&amp;"","")&amp;"␟"&amp;IFERROR(INDEX(PASTE_ALL,$DF368,37)&amp;"","")&amp;"␟"&amp;IFERROR(INDEX(PASTE_ALL,$DF368,38)&amp;"","")&amp;"␟"&amp;IFERROR(INDEX(PASTE_ALL,$DF368,39)&amp;"","")&amp;"␟"&amp;IFERROR(INDEX(PASTE_ALL,$DF368,40)&amp;"","")&amp;"␟"&amp;IFERROR(INDEX(PASTE_ALL,$DF368,41)&amp;"","")&amp;"␟"&amp;IFERROR(INDEX(PASTE_ALL,$DF368,42)&amp;"","")&amp;"␟"&amp;IFERROR(INDEX(PASTE_ALL,$DF368,43)&amp;"","")&amp;"␟"&amp;IFERROR(INDEX(PASTE_ALL,$DF368,44)&amp;"","")&amp;"␟"&amp;IFERROR(INDEX(PASTE_ALL,$DF368,45)&amp;"","")&amp;"␟"&amp;IFERROR(INDEX(PASTE_ALL,$DF368,46)&amp;"","")&amp;"␟"&amp;IFERROR(INDEX(PASTE_ALL,$DF368,47)&amp;"","")&amp;"␟"&amp;IFERROR(INDEX(PASTE_ALL,$DF368,48)&amp;"","")&amp;"␟"&amp;IFERROR(INDEX(PASTE_ALL,$DF368,49)&amp;"","")&amp;"␟"&amp;IFERROR(INDEX(PASTE_ALL,$DF368,50)&amp;"","")&amp;"␟"&amp;IFERROR(INDEX(PASTE_ALL,$DF368,51)&amp;"","")&amp;"␟"&amp;IFERROR(INDEX(PASTE_ALL,$DF368,52)&amp;"","")&amp;"␟"&amp;IFERROR(INDEX(PASTE_ALL,$DF368,53)&amp;"","")&amp;"␟"&amp;IFERROR(INDEX(PASTE_ALL,$DF368,54)&amp;"","")&amp;"␟"&amp;IFERROR(INDEX(PASTE_ALL,$DF368,55)&amp;"","")&amp;"␟"&amp;IFERROR(INDEX(PASTE_ALL,$DF368,56)&amp;"","")&amp;"␟"&amp;IFERROR(INDEX(PASTE_ALL,$DF368,57)&amp;"","")&amp;"␟"&amp;IFERROR(INDEX(PASTE_ALL,$DF368,58)&amp;"","")&amp;"␟"&amp;IFERROR(INDEX(PASTE_ALL,$DF368,59)&amp;"","")&amp;"␟"&amp;IFERROR(INDEX(PASTE_ALL,$DF368,60)&amp;"","")," "," "),CHAR(9)," "),CHAR(10)," "),CHAR(13)," "))," ␟","␟"),"␟ ","␟"),"#"&amp;$DE368),"")</f>
        <v/>
      </c>
      <c r="DJ368">
        <f>IF($DI368="",0,IF(SUMPRODUCT(--EXACT($DI$4:DI367,$DI368))&gt;0,1,0))</f>
        <v/>
      </c>
      <c r="DK368">
        <f>IF(AND($DI368&lt;&gt;"",$DJ368=0),1,0)</f>
        <v/>
      </c>
      <c r="DL368">
        <f>DL367+$DK368</f>
        <v/>
      </c>
      <c r="DM368">
        <f>IF(AND($DK368=1,$DL368&lt;=600),1,0)</f>
        <v/>
      </c>
      <c r="DN368">
        <f>IF($DM368=0,"",IF($L$6=0,"",IFERROR(IF(ISNUMBER(INDEX(PASTE_ALL,$DF368,$L$6)),INDEX(PASTE_ALL,$DF368,$L$6),TRIM(SUBSTITUTE(SUBSTITUTE(SUBSTITUTE(SUBSTITUTE(INDEX(PASTE_ALL,$DF368,$L$6)," "," "),CHAR(9)," "),CHAR(10)," "),CHAR(13)," "))),"")))</f>
        <v/>
      </c>
      <c r="DO368">
        <f>IF($DM368=0,"",IF($L$7=0,"",IFERROR(IF(ISNUMBER(INDEX(PASTE_ALL,$DF368,$L$7)),INDEX(PASTE_ALL,$DF368,$L$7),TRIM(SUBSTITUTE(SUBSTITUTE(SUBSTITUTE(SUBSTITUTE(INDEX(PASTE_ALL,$DF368,$L$7)," "," "),CHAR(9)," "),CHAR(10)," "),CHAR(13)," "))),"")))</f>
        <v/>
      </c>
      <c r="DP368">
        <f>IF($DM368=0,"",IF($L$8=0,"",IFERROR(IF(ISNUMBER(INDEX(PASTE_ALL,$DF368,$L$8)),INDEX(PASTE_ALL,$DF368,$L$8),TRIM(SUBSTITUTE(SUBSTITUTE(SUBSTITUTE(SUBSTITUTE(INDEX(PASTE_ALL,$DF368,$L$8)," "," "),CHAR(9)," "),CHAR(10)," "),CHAR(13)," "))),"")))</f>
        <v/>
      </c>
      <c r="DQ368">
        <f>IF($DM368=0,"",IF($L$9=0,"",IFERROR(IF(ISNUMBER(INDEX(PASTE_ALL,$DF368,$L$9)),INDEX(PASTE_ALL,$DF368,$L$9),TRIM(SUBSTITUTE(SUBSTITUTE(SUBSTITUTE(SUBSTITUTE(INDEX(PASTE_ALL,$DF368,$L$9)," "," "),CHAR(9)," "),CHAR(10)," "),CHAR(13)," "))),"")))</f>
        <v/>
      </c>
      <c r="DR368">
        <f>IF($DM368=0,"",IF($L$10=0,"",IFERROR(IF(ISNUMBER(INDEX(PASTE_ALL,$DF368,$L$10)),INDEX(PASTE_ALL,$DF368,$L$10),TRIM(SUBSTITUTE(SUBSTITUTE(SUBSTITUTE(SUBSTITUTE(INDEX(PASTE_ALL,$DF368,$L$10)," "," "),CHAR(9)," "),CHAR(10)," "),CHAR(13)," "))),"")))</f>
        <v/>
      </c>
      <c r="DS368">
        <f>IF($DM368=0,"",IF($L$11=0,"",IFERROR(IF(ISNUMBER(INDEX(PASTE_ALL,$DF368,$L$11)),INDEX(PASTE_ALL,$DF368,$L$11),TRIM(SUBSTITUTE(SUBSTITUTE(SUBSTITUTE(SUBSTITUTE(INDEX(PASTE_ALL,$DF368,$L$11)," "," "),CHAR(9)," "),CHAR(10)," "),CHAR(13)," "))),"")))</f>
        <v/>
      </c>
      <c r="DT368">
        <f>IF($DM368=0,"",IF($L$12=0,"",IFERROR(IF(ISNUMBER(INDEX(PASTE_ALL,$DF368,$L$12)),INDEX(PASTE_ALL,$DF368,$L$12),TRIM(SUBSTITUTE(SUBSTITUTE(SUBSTITUTE(SUBSTITUTE(INDEX(PASTE_ALL,$DF368,$L$12)," "," "),CHAR(9)," "),CHAR(10)," "),CHAR(13)," "))),"")))</f>
        <v/>
      </c>
      <c r="DU368">
        <f>IF($DM368=0,"",IF($L$13=0,"",IFERROR(IF(ISNUMBER(INDEX(PASTE_ALL,$DF368,$L$13)),INDEX(PASTE_ALL,$DF368,$L$13),TRIM(SUBSTITUTE(SUBSTITUTE(SUBSTITUTE(SUBSTITUTE(INDEX(PASTE_ALL,$DF368,$L$13)," "," "),CHAR(9)," "),CHAR(10)," "),CHAR(13)," "))),"")))</f>
        <v/>
      </c>
      <c r="DV368">
        <f>IF($DM368=0,"",IF($L$14=0,"",IFERROR(IF(ISNUMBER(INDEX(PASTE_ALL,$DF368,$L$14)),INDEX(PASTE_ALL,$DF368,$L$14),TRIM(SUBSTITUTE(SUBSTITUTE(SUBSTITUTE(SUBSTITUTE(INDEX(PASTE_ALL,$DF368,$L$14)," "," "),CHAR(9)," "),CHAR(10)," "),CHAR(13)," "))),"")))</f>
        <v/>
      </c>
      <c r="DW368">
        <f>IF($DM368=0,"",IF($L$15=0,"",IFERROR(IF(ISNUMBER(INDEX(PASTE_ALL,$DF368,$L$15)),INDEX(PASTE_ALL,$DF368,$L$15),IF(SUMPRODUCT(--ISNUMBER(FIND({"A","B","C","D","E","F","G","H","I","J","K","L","M","N","O","P","Q","R","S","T","U","V","W","X","Y","Z","0","1","2","3","4","5","6","7","8","9"},UPPER(TRIM(SUBSTITUTE(SUBSTITUTE(SUBSTITUTE(SUBSTITUTE(INDEX(PASTE_ALL,$DF368,$L$15)," "," "),CHAR(9)," "),CHAR(10)," "),CHAR(13)," "))))))&gt;0,TRIM(SUBSTITUTE(SUBSTITUTE(SUBSTITUTE(SUBSTITUTE(INDEX(PASTE_ALL,$DF368,$L$15)," "," "),CHAR(9)," "),CHAR(10)," "),CHAR(13)," ")),"")),"")))</f>
        <v/>
      </c>
      <c r="DX368">
        <f>IF($DM368=0,"",IF($L$16=0,"",IFERROR(IF(ISNUMBER(INDEX(PASTE_ALL,$DF368,$L$16)),INDEX(PASTE_ALL,$DF368,$L$16),SUBSTITUTE(SUBSTITUTE(TRIM(SUBSTITUTE(SUBSTITUTE(SUBSTITUTE(SUBSTITUTE(INDEX(PASTE_ALL,$DF368,$L$16)," "," "),CHAR(9)," "),CHAR(10)," "),CHAR(13)," ")),",",""),"%","")),"")))</f>
        <v/>
      </c>
      <c r="DY368">
        <f>IF($DM368=0,"",IFERROR(IF(ISNUMBER($DX368),$DX368,IF($DX368="","",IF(TRIM($DX368)="",0,IF(AND(AND(SUBSTITUTE(SUBSTITUTE(SUBSTITUTE(SUBSTITUTE(SUBSTITUTE(SUBSTITUTE(SUBSTITUTE(SUBSTITUTE(SUBSTITUTE(SUBSTITUTE(SUBSTITUTE(SUBSTITUTE(SUBSTITUTE(SUBSTITUTE(UPPER(TRIM($DX368)),"0",""),"1",""),"2",""),"3",""),"4",""),"5",""),"6",""),"7",""),"8",""),"9",""),".",""),"+",""),"-",""),"E","")="",LEN(SUBSTITUTE(SUBSTITUTE(MID(UPPER(TRIM($DX368)),1+OR(LEFT(UPPER(TRIM($DX368)),1)="+",LEFT(UPPER(TRIM($DX368)),1)="-"),999),"E+","E"),"E-","E"))=LEN(SUBSTITUTE(SUBSTITUTE(SUBSTITUTE(SUBSTITUTE(MID(UPPER(TRIM($DX368)),1+OR(LEFT(UPPER(TRIM($DX368)),1)="+",LEFT(UPPER(TRIM($DX368)),1)="-"),999),"E+","E"),"E-","E"),"+",""),"-","")),LEN(UPPER(TRIM($DX368)))-LEN(SUBSTITUTE(UPPER(TRIM($DX368)),"E",""))&lt;2,LEN(UPPER(TRIM($DX368)))-LEN(SUBSTITUTE(UPPER(TRIM($DX368)),".",""))&lt;2,IFERROR(FIND(".",UPPER(TRIM($DX368))),0)&lt;IFERROR(FIND("E",UPPER(TRIM($DX368))),999)),ISNUMBER(VALUE(TRIM($DX368)))),VALUE(TRIM($DX368)),"")))),""))</f>
        <v/>
      </c>
      <c r="DZ368">
        <f>IF($DM368=0,"",IF($L$17=0,"",IFERROR(IF(ISNUMBER(INDEX(PASTE_ALL,$DF368,$L$17)),INDEX(PASTE_ALL,$DF368,$L$17),SUBSTITUTE(SUBSTITUTE(TRIM(SUBSTITUTE(SUBSTITUTE(SUBSTITUTE(SUBSTITUTE(INDEX(PASTE_ALL,$DF368,$L$17)," "," "),CHAR(9)," "),CHAR(10)," "),CHAR(13)," ")),",",""),"%","")),"")))</f>
        <v/>
      </c>
      <c r="EA368">
        <f>IF($DM368=0,"",IFERROR(IF(ISNUMBER($DZ368),$DZ368,IF($DZ368="","",IF(TRIM($DZ368)="",0,IF(AND(AND(SUBSTITUTE(SUBSTITUTE(SUBSTITUTE(SUBSTITUTE(SUBSTITUTE(SUBSTITUTE(SUBSTITUTE(SUBSTITUTE(SUBSTITUTE(SUBSTITUTE(SUBSTITUTE(SUBSTITUTE(SUBSTITUTE(SUBSTITUTE(UPPER(TRIM($DZ368)),"0",""),"1",""),"2",""),"3",""),"4",""),"5",""),"6",""),"7",""),"8",""),"9",""),".",""),"+",""),"-",""),"E","")="",LEN(SUBSTITUTE(SUBSTITUTE(MID(UPPER(TRIM($DZ368)),1+OR(LEFT(UPPER(TRIM($DZ368)),1)="+",LEFT(UPPER(TRIM($DZ368)),1)="-"),999),"E+","E"),"E-","E"))=LEN(SUBSTITUTE(SUBSTITUTE(SUBSTITUTE(SUBSTITUTE(MID(UPPER(TRIM($DZ368)),1+OR(LEFT(UPPER(TRIM($DZ368)),1)="+",LEFT(UPPER(TRIM($DZ368)),1)="-"),999),"E+","E"),"E-","E"),"+",""),"-","")),LEN(UPPER(TRIM($DZ368)))-LEN(SUBSTITUTE(UPPER(TRIM($DZ368)),"E",""))&lt;2,LEN(UPPER(TRIM($DZ368)))-LEN(SUBSTITUTE(UPPER(TRIM($DZ368)),".",""))&lt;2,IFERROR(FIND(".",UPPER(TRIM($DZ368))),0)&lt;IFERROR(FIND("E",UPPER(TRIM($DZ368))),999)),ISNUMBER(VALUE(TRIM($DZ368)))),VALUE(TRIM($DZ368)),"")))),""))</f>
        <v/>
      </c>
      <c r="EB368">
        <f>IF($DM368=0,"",IF($L$18=0,"",IFERROR(IF(UPPER(TRIM(SUBSTITUTE(SUBSTITUTE(SUBSTITUTE(SUBSTITUTE(INDEX(PASTE_ALL,$DF368,$L$18)," "," "),CHAR(9)," "),CHAR(10)," "),CHAR(13)," ")))="READY","Ready",IF(UPPER(TRIM(SUBSTITUTE(SUBSTITUTE(SUBSTITUTE(SUBSTITUTE(INDEX(PASTE_ALL,$DF368,$L$18)," "," "),CHAR(9)," "),CHAR(10)," "),CHAR(13)," ")))="PM","PM",IF(OR(UPPER(TRIM(SUBSTITUTE(SUBSTITUTE(SUBSTITUTE(SUBSTITUTE(INDEX(PASTE_ALL,$DF368,$L$18)," "," "),CHAR(9)," "),CHAR(10)," "),CHAR(13)," ")))="OT",UPPER(TRIM(SUBSTITUTE(SUBSTITUTE(SUBSTITUTE(SUBSTITUTE(INDEX(PASTE_ALL,$DF368,$L$18)," "," "),CHAR(9)," "),CHAR(10)," "),CHAR(13)," ")))="OVERTIME",UPPER(TRIM(SUBSTITUTE(SUBSTITUTE(SUBSTITUTE(SUBSTITUTE(INDEX(PASTE_ALL,$DF368,$L$18)," "," "),CHAR(9)," "),CHAR(10)," "),CHAR(13)," ")))="TRIAL"),"OT",TRIM(SUBSTITUTE(SUBSTITUTE(SUBSTITUTE(SUBSTITUTE(INDEX(PASTE_ALL,$DF368,$L$18)," "," "),CHAR(9)," "),CHAR(10)," "),CHAR(13)," "))))),"")))</f>
        <v/>
      </c>
      <c r="EC368">
        <f>IF($DM368=0,"",IF($L$19=0,"",IFERROR(IF(ISNUMBER(INDEX(PASTE_ALL,$DF368,$L$19)),INDEX(PASTE_ALL,$DF368,$L$19),TRIM(SUBSTITUTE(SUBSTITUTE(SUBSTITUTE(SUBSTITUTE(INDEX(PASTE_ALL,$DF368,$L$19)," "," "),CHAR(9)," "),CHAR(10)," "),CHAR(13)," "))),"")))</f>
        <v/>
      </c>
      <c r="ED368">
        <f>IF($DM368=0,"",MATCH(1,INDEX(EXACT($DH$5:DH368,$DH368)*$DM$5:DM368,0),0))</f>
        <v/>
      </c>
      <c r="EE368">
        <f>IF($DM368=0,0,IF($ED368=$DE368,1,0))</f>
        <v/>
      </c>
      <c r="EF368">
        <f>EF367+$EE368</f>
        <v/>
      </c>
      <c r="EG368">
        <f>IF($DM368=0,"",INDEX($EF$5:$EF$1003,$ED368))</f>
        <v/>
      </c>
      <c r="EH368">
        <f>IF($DM368=0,"",IF($DO368&lt;&gt;"","",IFERROR(LOOKUP(2,1/(($EG$4:EG367=$EG368)*($DO$4:DO367&lt;&gt;"")),$DO$4:DO367),"")))</f>
        <v/>
      </c>
      <c r="EI368">
        <f>IF($DM368=0,"",IF($DO368&lt;&gt;"",$DO368,$EH368))</f>
        <v/>
      </c>
      <c r="EJ368">
        <f>IF($DM368=0,"",IF($EI368="",0,IF(OR(ISNUMBER($EI368),AND(AND(SUBSTITUTE(SUBSTITUTE(SUBSTITUTE(SUBSTITUTE(SUBSTITUTE(SUBSTITUTE(SUBSTITUTE(SUBSTITUTE(SUBSTITUTE(SUBSTITUTE(SUBSTITUTE(SUBSTITUTE(SUBSTITUTE(SUBSTITUTE(UPPER($EI368),"0",""),"1",""),"2",""),"3",""),"4",""),"5",""),"6",""),"7",""),"8",""),"9",""),".",""),"+",""),"-",""),"E","")="",LEN(SUBSTITUTE(SUBSTITUTE(MID(UPPER($EI368),1+OR(LEFT(UPPER($EI368),1)="+",LEFT(UPPER($EI368),1)="-"),999),"E+","E"),"E-","E"))=LEN(SUBSTITUTE(SUBSTITUTE(SUBSTITUTE(SUBSTITUTE(MID(UPPER($EI368),1+OR(LEFT(UPPER($EI368),1)="+",LEFT(UPPER($EI368),1)="-"),999),"E+","E"),"E-","E"),"+",""),"-","")),LEN(UPPER($EI368))-LEN(SUBSTITUTE(UPPER($EI368),"E",""))&lt;2,LEN(UPPER($EI368))-LEN(SUBSTITUTE(UPPER($EI368),".",""))&lt;2,IFERROR(FIND(".",UPPER($EI368)),0)&lt;IFERROR(FIND("E",UPPER($EI368)),999)),ISNUMBER(VALUE($EI368)))),1,2)))</f>
        <v/>
      </c>
      <c r="EK368">
        <f>IF($DM368=0,"",IF($EJ368=1,IF(ISNUMBER($EI368),$EI368,VALUE($EI368)),IF($EJ368=2,$DE368,0)))</f>
        <v/>
      </c>
      <c r="EL368">
        <f>IF($DM368=0,"",COUNTIF($EG$5:$EG$1003,"&lt;"&amp;$EG368)+SUMPRODUCT(($EG$5:$EG$1003=$EG368)*(($EJ$5:$EJ$1003&lt;$EJ368)+($EJ$5:$EJ$1003=$EJ368)*(($EK$5:$EK$1003&lt;$EK368)+($EK$5:$EK$1003=$EK368)*($DE$5:$DE$1003&lt;$DE368))))+1)</f>
        <v/>
      </c>
      <c r="EM368">
        <f>IF($DM368=0,"",$EL368+$EG368-1)</f>
        <v/>
      </c>
      <c r="EN368">
        <f>IF($DM368=0,0,IFERROR(MATCH(1,INDEX(--(TRIM(SUBSTITUTE(SUBSTITUTE(SUBSTITUTE(SUBSTITUTE(LINES_NAME&amp;""," "," "),CHAR(9)," "),CHAR(10)," "),CHAR(13)," "))=$DH368),0),0),0))</f>
        <v/>
      </c>
      <c r="EO368">
        <f>IF($EN368=0,0,IF(OR(UPPER(TRIM(INDEX(LINES_SCHEDULED,$EN368)&amp;""))="YES",UPPER(TRIM(INDEX(LINES_SCHEDULED,$EN368)&amp;""))="Y",UPPER(TRIM(INDEX(LINES_SCHEDULED,$EN368)&amp;""))="X"),1,0))</f>
        <v/>
      </c>
      <c r="EP368">
        <f>IF($DM368=0,"",IF(COUNTIFS($EG$5:$EG$1003,$EG368,$EB$5:$EB$1003,"Ready")&gt;0,"READY",IF(COUNTIFS($EG$5:$EG$1003,$EG368,$EB$5:$EB$1003,"PM")&gt;0,"PM",IF(COUNTIFS($EG$5:$EG$1003,$EG368,$EB$5:$EB$1003,"OT")&gt;0,"OT",""))))</f>
        <v/>
      </c>
      <c r="EQ368">
        <f>IF($EN368=0,"",UPPER(TRIM(INDEX(LINES_STATUS,$EN368)&amp;"")))</f>
        <v/>
      </c>
      <c r="ER368">
        <f>IF($DM368=0,"",IF(OR($EQ368="READY",$EQ368="PM",$EQ368="OT"),$EQ368,$EP368))</f>
        <v/>
      </c>
      <c r="ES368">
        <f>IF($DM368=0,"",IF(AND($DV368&lt;&gt;"",UPPER($DV368)&lt;&gt;"N"),"allergen",IF(ISNUMBER(SEARCH("oil",$DQ368)),"oil",IF(OR(EXACT($DS368,"A662"),EXACT($DS368,"A624")),"bulk",""))))</f>
        <v/>
      </c>
      <c r="ET368">
        <f>IF($DM368=0,"",IF(OR($EA368="",$EA368=0),"",$EA368/100))</f>
        <v/>
      </c>
      <c r="EU368">
        <f>IF(OR($ET368="",$DY368=""),"",INT($DY368*(1-$ET368)+0.5))</f>
        <v/>
      </c>
      <c r="EW368" t="n">
        <v>364</v>
      </c>
      <c r="EX368">
        <f>IFERROR(MATCH($EW368,$EM$5:$EM$1003,0),0)</f>
        <v/>
      </c>
      <c r="EY368">
        <f>IF($EW368&gt;$B$12,"",IF($EX368&gt;0,"row","spacer"))</f>
        <v/>
      </c>
      <c r="EZ368">
        <f>IF(AND($EY368="row",$EY367&lt;&gt;"row"),1,0)</f>
        <v/>
      </c>
      <c r="FA368">
        <f>IF(AND($EY368="row",$EY369&lt;&gt;"row"),1,0)</f>
        <v/>
      </c>
      <c r="FB368">
        <f>IF($EZ368=1,IFERROR(IF(ISNUMBER(INDEX(PASTE_ALL,INDEX($DF$5:$DF$1003,$EX368),$B$37)),INDEX(PASTE_ALL,INDEX($DF$5:$DF$1003,$EX368),$B$37),INDEX($DH$5:$DH$1003,$EX368)),INDEX($DH$5:$DH$1003,$EX368)),"")</f>
        <v/>
      </c>
      <c r="FC368">
        <f>IF($EY368="row",INDEX($ER$5:$ER$1003,$EX368),"")</f>
        <v/>
      </c>
      <c r="FD368">
        <f>IF($EY368="row",INDEX($DN$5:$DN$1003,$EX368),"")</f>
        <v/>
      </c>
      <c r="FE368">
        <f>IF($EY368="row",INDEX($DO$5:$DO$1003,$EX368),"")</f>
        <v/>
      </c>
      <c r="FF368">
        <f>IF($EY368="row",INDEX($DP$5:$DP$1003,$EX368),"")</f>
        <v/>
      </c>
      <c r="FG368">
        <f>IF($EY368="row",INDEX($DQ$5:$DQ$1003,$EX368),"")</f>
        <v/>
      </c>
      <c r="FH368">
        <f>IF($EY368="row",INDEX($DR$5:$DR$1003,$EX368),"")</f>
        <v/>
      </c>
      <c r="FI368">
        <f>IF($EY368="row",INDEX($DS$5:$DS$1003,$EX368),"")</f>
        <v/>
      </c>
      <c r="FJ368">
        <f>IF($EY368="row",INDEX($DT$5:$DT$1003,$EX368),"")</f>
        <v/>
      </c>
      <c r="FK368">
        <f>IF($EY368="row",INDEX($DU$5:$DU$1003,$EX368),"")</f>
        <v/>
      </c>
      <c r="FL368">
        <f>IF($EY368="row",INDEX($DV$5:$DV$1003,$EX368),"")</f>
        <v/>
      </c>
      <c r="FM368">
        <f>IF($EY368="row",INDEX($DW$5:$DW$1003,$EX368),"")</f>
        <v/>
      </c>
      <c r="FN368">
        <f>IF($EY368="row",INDEX($DY$5:$DY$1003,$EX368),"")</f>
        <v/>
      </c>
      <c r="FO368">
        <f>IF($EY368="row",INDEX($EA$5:$EA$1003,$EX368),"")</f>
        <v/>
      </c>
      <c r="FP368">
        <f>IF($EY368="row",INDEX($EC$5:$EC$1003,$EX368),"")</f>
        <v/>
      </c>
      <c r="FQ368">
        <f>IF($EY368="row",INDEX($ET$5:$ET$1003,$EX368),"")</f>
        <v/>
      </c>
      <c r="FR368">
        <f>IF($EY368="row",INDEX($EU$5:$EU$1003,$EX368),"")</f>
        <v/>
      </c>
      <c r="FS368">
        <f>IF(AND($EY368="row",$EY367="row"),IF(OR(INDEX($DT$5:$DT$1003,$EX367)="",INDEX($DT$5:$DT$1003,$EX368)=""),"",IF(NOT(EXACT(INDEX($DT$5:$DT$1003,$EX367),INDEX($DT$5:$DT$1003,$EX368))),"S4",IF(NOT(EXACT(INDEX($DS$5:$DS$1003,$EX367),INDEX($DS$5:$DS$1003,$EX368))),"S3",IF(NOT(EXACT(INDEX($DR$5:$DR$1003,$EX367),INDEX($DR$5:$DR$1003,$EX368))),"S1 Count Change","S1")))),"")</f>
        <v/>
      </c>
      <c r="FT368">
        <f>IF($EY368="row",INDEX($ES$5:$ES$1003,$EX368),"")</f>
        <v/>
      </c>
      <c r="FU368">
        <f>IF($EY368="row",INDEX($EO$5:$EO$1003,$EX368),0)</f>
        <v/>
      </c>
      <c r="FV368">
        <f>IF($FS368="S1 Count Change",1,0)</f>
        <v/>
      </c>
    </row>
    <row r="369">
      <c r="DA369" t="n">
        <v>365</v>
      </c>
      <c r="DB369">
        <f>IF($B$37=0,"",IFERROR(TRIM(SUBSTITUTE(SUBSTITUTE(SUBSTITUTE(SUBSTITUTE(INDEX(PASTE_ALL,365,$B$37)," "," "),CHAR(9)," "),CHAR(10)," "),CHAR(13)," ")),""))</f>
        <v/>
      </c>
      <c r="DC369">
        <f>IF(AND(365&gt;HEADER_ROW,UPPER(DB369)="LEGEND"),1,0)</f>
        <v/>
      </c>
      <c r="DE369" t="n">
        <v>365</v>
      </c>
      <c r="DF369">
        <f>HEADER_ROW+$DE369</f>
        <v/>
      </c>
      <c r="DG369">
        <f>IF(AND($DF369&lt;=1000,$DF369&lt;$B$8),1,0)</f>
        <v/>
      </c>
      <c r="DH369">
        <f>IF($DG369=1,IFERROR(INDEX($DB$5:$DB$1004,$DF369),""),"")</f>
        <v/>
      </c>
      <c r="DI369">
        <f>IF(AND($DG369=1,$DH369&lt;&gt;""),IFERROR(SUBSTITUTE(SUBSTITUTE(TRIM(SUBSTITUTE(SUBSTITUTE(SUBSTITUTE(SUBSTITUTE(IFERROR(INDEX(PASTE_ALL,$DF369,1)&amp;"","")&amp;"␟"&amp;IFERROR(INDEX(PASTE_ALL,$DF369,2)&amp;"","")&amp;"␟"&amp;IFERROR(INDEX(PASTE_ALL,$DF369,3)&amp;"","")&amp;"␟"&amp;IFERROR(INDEX(PASTE_ALL,$DF369,4)&amp;"","")&amp;"␟"&amp;IFERROR(INDEX(PASTE_ALL,$DF369,5)&amp;"","")&amp;"␟"&amp;IFERROR(INDEX(PASTE_ALL,$DF369,6)&amp;"","")&amp;"␟"&amp;IFERROR(INDEX(PASTE_ALL,$DF369,7)&amp;"","")&amp;"␟"&amp;IFERROR(INDEX(PASTE_ALL,$DF369,8)&amp;"","")&amp;"␟"&amp;IFERROR(INDEX(PASTE_ALL,$DF369,9)&amp;"","")&amp;"␟"&amp;IFERROR(INDEX(PASTE_ALL,$DF369,10)&amp;"","")&amp;"␟"&amp;IFERROR(INDEX(PASTE_ALL,$DF369,11)&amp;"","")&amp;"␟"&amp;IFERROR(INDEX(PASTE_ALL,$DF369,12)&amp;"","")&amp;"␟"&amp;IFERROR(INDEX(PASTE_ALL,$DF369,13)&amp;"","")&amp;"␟"&amp;IFERROR(INDEX(PASTE_ALL,$DF369,14)&amp;"","")&amp;"␟"&amp;IFERROR(INDEX(PASTE_ALL,$DF369,15)&amp;"","")&amp;"␟"&amp;IFERROR(INDEX(PASTE_ALL,$DF369,16)&amp;"","")&amp;"␟"&amp;IFERROR(INDEX(PASTE_ALL,$DF369,17)&amp;"","")&amp;"␟"&amp;IFERROR(INDEX(PASTE_ALL,$DF369,18)&amp;"","")&amp;"␟"&amp;IFERROR(INDEX(PASTE_ALL,$DF369,19)&amp;"","")&amp;"␟"&amp;IFERROR(INDEX(PASTE_ALL,$DF369,20)&amp;"","")&amp;"␟"&amp;IFERROR(INDEX(PASTE_ALL,$DF369,21)&amp;"","")&amp;"␟"&amp;IFERROR(INDEX(PASTE_ALL,$DF369,22)&amp;"","")&amp;"␟"&amp;IFERROR(INDEX(PASTE_ALL,$DF369,23)&amp;"","")&amp;"␟"&amp;IFERROR(INDEX(PASTE_ALL,$DF369,24)&amp;"","")&amp;"␟"&amp;IFERROR(INDEX(PASTE_ALL,$DF369,25)&amp;"","")&amp;"␟"&amp;IFERROR(INDEX(PASTE_ALL,$DF369,26)&amp;"","")&amp;"␟"&amp;IFERROR(INDEX(PASTE_ALL,$DF369,27)&amp;"","")&amp;"␟"&amp;IFERROR(INDEX(PASTE_ALL,$DF369,28)&amp;"","")&amp;"␟"&amp;IFERROR(INDEX(PASTE_ALL,$DF369,29)&amp;"","")&amp;"␟"&amp;IFERROR(INDEX(PASTE_ALL,$DF369,30)&amp;"","")&amp;"␟"&amp;IFERROR(INDEX(PASTE_ALL,$DF369,31)&amp;"","")&amp;"␟"&amp;IFERROR(INDEX(PASTE_ALL,$DF369,32)&amp;"","")&amp;"␟"&amp;IFERROR(INDEX(PASTE_ALL,$DF369,33)&amp;"","")&amp;"␟"&amp;IFERROR(INDEX(PASTE_ALL,$DF369,34)&amp;"","")&amp;"␟"&amp;IFERROR(INDEX(PASTE_ALL,$DF369,35)&amp;"","")&amp;"␟"&amp;IFERROR(INDEX(PASTE_ALL,$DF369,36)&amp;"","")&amp;"␟"&amp;IFERROR(INDEX(PASTE_ALL,$DF369,37)&amp;"","")&amp;"␟"&amp;IFERROR(INDEX(PASTE_ALL,$DF369,38)&amp;"","")&amp;"␟"&amp;IFERROR(INDEX(PASTE_ALL,$DF369,39)&amp;"","")&amp;"␟"&amp;IFERROR(INDEX(PASTE_ALL,$DF369,40)&amp;"","")&amp;"␟"&amp;IFERROR(INDEX(PASTE_ALL,$DF369,41)&amp;"","")&amp;"␟"&amp;IFERROR(INDEX(PASTE_ALL,$DF369,42)&amp;"","")&amp;"␟"&amp;IFERROR(INDEX(PASTE_ALL,$DF369,43)&amp;"","")&amp;"␟"&amp;IFERROR(INDEX(PASTE_ALL,$DF369,44)&amp;"","")&amp;"␟"&amp;IFERROR(INDEX(PASTE_ALL,$DF369,45)&amp;"","")&amp;"␟"&amp;IFERROR(INDEX(PASTE_ALL,$DF369,46)&amp;"","")&amp;"␟"&amp;IFERROR(INDEX(PASTE_ALL,$DF369,47)&amp;"","")&amp;"␟"&amp;IFERROR(INDEX(PASTE_ALL,$DF369,48)&amp;"","")&amp;"␟"&amp;IFERROR(INDEX(PASTE_ALL,$DF369,49)&amp;"","")&amp;"␟"&amp;IFERROR(INDEX(PASTE_ALL,$DF369,50)&amp;"","")&amp;"␟"&amp;IFERROR(INDEX(PASTE_ALL,$DF369,51)&amp;"","")&amp;"␟"&amp;IFERROR(INDEX(PASTE_ALL,$DF369,52)&amp;"","")&amp;"␟"&amp;IFERROR(INDEX(PASTE_ALL,$DF369,53)&amp;"","")&amp;"␟"&amp;IFERROR(INDEX(PASTE_ALL,$DF369,54)&amp;"","")&amp;"␟"&amp;IFERROR(INDEX(PASTE_ALL,$DF369,55)&amp;"","")&amp;"␟"&amp;IFERROR(INDEX(PASTE_ALL,$DF369,56)&amp;"","")&amp;"␟"&amp;IFERROR(INDEX(PASTE_ALL,$DF369,57)&amp;"","")&amp;"␟"&amp;IFERROR(INDEX(PASTE_ALL,$DF369,58)&amp;"","")&amp;"␟"&amp;IFERROR(INDEX(PASTE_ALL,$DF369,59)&amp;"","")&amp;"␟"&amp;IFERROR(INDEX(PASTE_ALL,$DF369,60)&amp;"","")," "," "),CHAR(9)," "),CHAR(10)," "),CHAR(13)," "))," ␟","␟"),"␟ ","␟"),"#"&amp;$DE369),"")</f>
        <v/>
      </c>
      <c r="DJ369">
        <f>IF($DI369="",0,IF(SUMPRODUCT(--EXACT($DI$4:DI368,$DI369))&gt;0,1,0))</f>
        <v/>
      </c>
      <c r="DK369">
        <f>IF(AND($DI369&lt;&gt;"",$DJ369=0),1,0)</f>
        <v/>
      </c>
      <c r="DL369">
        <f>DL368+$DK369</f>
        <v/>
      </c>
      <c r="DM369">
        <f>IF(AND($DK369=1,$DL369&lt;=600),1,0)</f>
        <v/>
      </c>
      <c r="DN369">
        <f>IF($DM369=0,"",IF($L$6=0,"",IFERROR(IF(ISNUMBER(INDEX(PASTE_ALL,$DF369,$L$6)),INDEX(PASTE_ALL,$DF369,$L$6),TRIM(SUBSTITUTE(SUBSTITUTE(SUBSTITUTE(SUBSTITUTE(INDEX(PASTE_ALL,$DF369,$L$6)," "," "),CHAR(9)," "),CHAR(10)," "),CHAR(13)," "))),"")))</f>
        <v/>
      </c>
      <c r="DO369">
        <f>IF($DM369=0,"",IF($L$7=0,"",IFERROR(IF(ISNUMBER(INDEX(PASTE_ALL,$DF369,$L$7)),INDEX(PASTE_ALL,$DF369,$L$7),TRIM(SUBSTITUTE(SUBSTITUTE(SUBSTITUTE(SUBSTITUTE(INDEX(PASTE_ALL,$DF369,$L$7)," "," "),CHAR(9)," "),CHAR(10)," "),CHAR(13)," "))),"")))</f>
        <v/>
      </c>
      <c r="DP369">
        <f>IF($DM369=0,"",IF($L$8=0,"",IFERROR(IF(ISNUMBER(INDEX(PASTE_ALL,$DF369,$L$8)),INDEX(PASTE_ALL,$DF369,$L$8),TRIM(SUBSTITUTE(SUBSTITUTE(SUBSTITUTE(SUBSTITUTE(INDEX(PASTE_ALL,$DF369,$L$8)," "," "),CHAR(9)," "),CHAR(10)," "),CHAR(13)," "))),"")))</f>
        <v/>
      </c>
      <c r="DQ369">
        <f>IF($DM369=0,"",IF($L$9=0,"",IFERROR(IF(ISNUMBER(INDEX(PASTE_ALL,$DF369,$L$9)),INDEX(PASTE_ALL,$DF369,$L$9),TRIM(SUBSTITUTE(SUBSTITUTE(SUBSTITUTE(SUBSTITUTE(INDEX(PASTE_ALL,$DF369,$L$9)," "," "),CHAR(9)," "),CHAR(10)," "),CHAR(13)," "))),"")))</f>
        <v/>
      </c>
      <c r="DR369">
        <f>IF($DM369=0,"",IF($L$10=0,"",IFERROR(IF(ISNUMBER(INDEX(PASTE_ALL,$DF369,$L$10)),INDEX(PASTE_ALL,$DF369,$L$10),TRIM(SUBSTITUTE(SUBSTITUTE(SUBSTITUTE(SUBSTITUTE(INDEX(PASTE_ALL,$DF369,$L$10)," "," "),CHAR(9)," "),CHAR(10)," "),CHAR(13)," "))),"")))</f>
        <v/>
      </c>
      <c r="DS369">
        <f>IF($DM369=0,"",IF($L$11=0,"",IFERROR(IF(ISNUMBER(INDEX(PASTE_ALL,$DF369,$L$11)),INDEX(PASTE_ALL,$DF369,$L$11),TRIM(SUBSTITUTE(SUBSTITUTE(SUBSTITUTE(SUBSTITUTE(INDEX(PASTE_ALL,$DF369,$L$11)," "," "),CHAR(9)," "),CHAR(10)," "),CHAR(13)," "))),"")))</f>
        <v/>
      </c>
      <c r="DT369">
        <f>IF($DM369=0,"",IF($L$12=0,"",IFERROR(IF(ISNUMBER(INDEX(PASTE_ALL,$DF369,$L$12)),INDEX(PASTE_ALL,$DF369,$L$12),TRIM(SUBSTITUTE(SUBSTITUTE(SUBSTITUTE(SUBSTITUTE(INDEX(PASTE_ALL,$DF369,$L$12)," "," "),CHAR(9)," "),CHAR(10)," "),CHAR(13)," "))),"")))</f>
        <v/>
      </c>
      <c r="DU369">
        <f>IF($DM369=0,"",IF($L$13=0,"",IFERROR(IF(ISNUMBER(INDEX(PASTE_ALL,$DF369,$L$13)),INDEX(PASTE_ALL,$DF369,$L$13),TRIM(SUBSTITUTE(SUBSTITUTE(SUBSTITUTE(SUBSTITUTE(INDEX(PASTE_ALL,$DF369,$L$13)," "," "),CHAR(9)," "),CHAR(10)," "),CHAR(13)," "))),"")))</f>
        <v/>
      </c>
      <c r="DV369">
        <f>IF($DM369=0,"",IF($L$14=0,"",IFERROR(IF(ISNUMBER(INDEX(PASTE_ALL,$DF369,$L$14)),INDEX(PASTE_ALL,$DF369,$L$14),TRIM(SUBSTITUTE(SUBSTITUTE(SUBSTITUTE(SUBSTITUTE(INDEX(PASTE_ALL,$DF369,$L$14)," "," "),CHAR(9)," "),CHAR(10)," "),CHAR(13)," "))),"")))</f>
        <v/>
      </c>
      <c r="DW369">
        <f>IF($DM369=0,"",IF($L$15=0,"",IFERROR(IF(ISNUMBER(INDEX(PASTE_ALL,$DF369,$L$15)),INDEX(PASTE_ALL,$DF369,$L$15),IF(SUMPRODUCT(--ISNUMBER(FIND({"A","B","C","D","E","F","G","H","I","J","K","L","M","N","O","P","Q","R","S","T","U","V","W","X","Y","Z","0","1","2","3","4","5","6","7","8","9"},UPPER(TRIM(SUBSTITUTE(SUBSTITUTE(SUBSTITUTE(SUBSTITUTE(INDEX(PASTE_ALL,$DF369,$L$15)," "," "),CHAR(9)," "),CHAR(10)," "),CHAR(13)," "))))))&gt;0,TRIM(SUBSTITUTE(SUBSTITUTE(SUBSTITUTE(SUBSTITUTE(INDEX(PASTE_ALL,$DF369,$L$15)," "," "),CHAR(9)," "),CHAR(10)," "),CHAR(13)," ")),"")),"")))</f>
        <v/>
      </c>
      <c r="DX369">
        <f>IF($DM369=0,"",IF($L$16=0,"",IFERROR(IF(ISNUMBER(INDEX(PASTE_ALL,$DF369,$L$16)),INDEX(PASTE_ALL,$DF369,$L$16),SUBSTITUTE(SUBSTITUTE(TRIM(SUBSTITUTE(SUBSTITUTE(SUBSTITUTE(SUBSTITUTE(INDEX(PASTE_ALL,$DF369,$L$16)," "," "),CHAR(9)," "),CHAR(10)," "),CHAR(13)," ")),",",""),"%","")),"")))</f>
        <v/>
      </c>
      <c r="DY369">
        <f>IF($DM369=0,"",IFERROR(IF(ISNUMBER($DX369),$DX369,IF($DX369="","",IF(TRIM($DX369)="",0,IF(AND(AND(SUBSTITUTE(SUBSTITUTE(SUBSTITUTE(SUBSTITUTE(SUBSTITUTE(SUBSTITUTE(SUBSTITUTE(SUBSTITUTE(SUBSTITUTE(SUBSTITUTE(SUBSTITUTE(SUBSTITUTE(SUBSTITUTE(SUBSTITUTE(UPPER(TRIM($DX369)),"0",""),"1",""),"2",""),"3",""),"4",""),"5",""),"6",""),"7",""),"8",""),"9",""),".",""),"+",""),"-",""),"E","")="",LEN(SUBSTITUTE(SUBSTITUTE(MID(UPPER(TRIM($DX369)),1+OR(LEFT(UPPER(TRIM($DX369)),1)="+",LEFT(UPPER(TRIM($DX369)),1)="-"),999),"E+","E"),"E-","E"))=LEN(SUBSTITUTE(SUBSTITUTE(SUBSTITUTE(SUBSTITUTE(MID(UPPER(TRIM($DX369)),1+OR(LEFT(UPPER(TRIM($DX369)),1)="+",LEFT(UPPER(TRIM($DX369)),1)="-"),999),"E+","E"),"E-","E"),"+",""),"-","")),LEN(UPPER(TRIM($DX369)))-LEN(SUBSTITUTE(UPPER(TRIM($DX369)),"E",""))&lt;2,LEN(UPPER(TRIM($DX369)))-LEN(SUBSTITUTE(UPPER(TRIM($DX369)),".",""))&lt;2,IFERROR(FIND(".",UPPER(TRIM($DX369))),0)&lt;IFERROR(FIND("E",UPPER(TRIM($DX369))),999)),ISNUMBER(VALUE(TRIM($DX369)))),VALUE(TRIM($DX369)),"")))),""))</f>
        <v/>
      </c>
      <c r="DZ369">
        <f>IF($DM369=0,"",IF($L$17=0,"",IFERROR(IF(ISNUMBER(INDEX(PASTE_ALL,$DF369,$L$17)),INDEX(PASTE_ALL,$DF369,$L$17),SUBSTITUTE(SUBSTITUTE(TRIM(SUBSTITUTE(SUBSTITUTE(SUBSTITUTE(SUBSTITUTE(INDEX(PASTE_ALL,$DF369,$L$17)," "," "),CHAR(9)," "),CHAR(10)," "),CHAR(13)," ")),",",""),"%","")),"")))</f>
        <v/>
      </c>
      <c r="EA369">
        <f>IF($DM369=0,"",IFERROR(IF(ISNUMBER($DZ369),$DZ369,IF($DZ369="","",IF(TRIM($DZ369)="",0,IF(AND(AND(SUBSTITUTE(SUBSTITUTE(SUBSTITUTE(SUBSTITUTE(SUBSTITUTE(SUBSTITUTE(SUBSTITUTE(SUBSTITUTE(SUBSTITUTE(SUBSTITUTE(SUBSTITUTE(SUBSTITUTE(SUBSTITUTE(SUBSTITUTE(UPPER(TRIM($DZ369)),"0",""),"1",""),"2",""),"3",""),"4",""),"5",""),"6",""),"7",""),"8",""),"9",""),".",""),"+",""),"-",""),"E","")="",LEN(SUBSTITUTE(SUBSTITUTE(MID(UPPER(TRIM($DZ369)),1+OR(LEFT(UPPER(TRIM($DZ369)),1)="+",LEFT(UPPER(TRIM($DZ369)),1)="-"),999),"E+","E"),"E-","E"))=LEN(SUBSTITUTE(SUBSTITUTE(SUBSTITUTE(SUBSTITUTE(MID(UPPER(TRIM($DZ369)),1+OR(LEFT(UPPER(TRIM($DZ369)),1)="+",LEFT(UPPER(TRIM($DZ369)),1)="-"),999),"E+","E"),"E-","E"),"+",""),"-","")),LEN(UPPER(TRIM($DZ369)))-LEN(SUBSTITUTE(UPPER(TRIM($DZ369)),"E",""))&lt;2,LEN(UPPER(TRIM($DZ369)))-LEN(SUBSTITUTE(UPPER(TRIM($DZ369)),".",""))&lt;2,IFERROR(FIND(".",UPPER(TRIM($DZ369))),0)&lt;IFERROR(FIND("E",UPPER(TRIM($DZ369))),999)),ISNUMBER(VALUE(TRIM($DZ369)))),VALUE(TRIM($DZ369)),"")))),""))</f>
        <v/>
      </c>
      <c r="EB369">
        <f>IF($DM369=0,"",IF($L$18=0,"",IFERROR(IF(UPPER(TRIM(SUBSTITUTE(SUBSTITUTE(SUBSTITUTE(SUBSTITUTE(INDEX(PASTE_ALL,$DF369,$L$18)," "," "),CHAR(9)," "),CHAR(10)," "),CHAR(13)," ")))="READY","Ready",IF(UPPER(TRIM(SUBSTITUTE(SUBSTITUTE(SUBSTITUTE(SUBSTITUTE(INDEX(PASTE_ALL,$DF369,$L$18)," "," "),CHAR(9)," "),CHAR(10)," "),CHAR(13)," ")))="PM","PM",IF(OR(UPPER(TRIM(SUBSTITUTE(SUBSTITUTE(SUBSTITUTE(SUBSTITUTE(INDEX(PASTE_ALL,$DF369,$L$18)," "," "),CHAR(9)," "),CHAR(10)," "),CHAR(13)," ")))="OT",UPPER(TRIM(SUBSTITUTE(SUBSTITUTE(SUBSTITUTE(SUBSTITUTE(INDEX(PASTE_ALL,$DF369,$L$18)," "," "),CHAR(9)," "),CHAR(10)," "),CHAR(13)," ")))="OVERTIME",UPPER(TRIM(SUBSTITUTE(SUBSTITUTE(SUBSTITUTE(SUBSTITUTE(INDEX(PASTE_ALL,$DF369,$L$18)," "," "),CHAR(9)," "),CHAR(10)," "),CHAR(13)," ")))="TRIAL"),"OT",TRIM(SUBSTITUTE(SUBSTITUTE(SUBSTITUTE(SUBSTITUTE(INDEX(PASTE_ALL,$DF369,$L$18)," "," "),CHAR(9)," "),CHAR(10)," "),CHAR(13)," "))))),"")))</f>
        <v/>
      </c>
      <c r="EC369">
        <f>IF($DM369=0,"",IF($L$19=0,"",IFERROR(IF(ISNUMBER(INDEX(PASTE_ALL,$DF369,$L$19)),INDEX(PASTE_ALL,$DF369,$L$19),TRIM(SUBSTITUTE(SUBSTITUTE(SUBSTITUTE(SUBSTITUTE(INDEX(PASTE_ALL,$DF369,$L$19)," "," "),CHAR(9)," "),CHAR(10)," "),CHAR(13)," "))),"")))</f>
        <v/>
      </c>
      <c r="ED369">
        <f>IF($DM369=0,"",MATCH(1,INDEX(EXACT($DH$5:DH369,$DH369)*$DM$5:DM369,0),0))</f>
        <v/>
      </c>
      <c r="EE369">
        <f>IF($DM369=0,0,IF($ED369=$DE369,1,0))</f>
        <v/>
      </c>
      <c r="EF369">
        <f>EF368+$EE369</f>
        <v/>
      </c>
      <c r="EG369">
        <f>IF($DM369=0,"",INDEX($EF$5:$EF$1003,$ED369))</f>
        <v/>
      </c>
      <c r="EH369">
        <f>IF($DM369=0,"",IF($DO369&lt;&gt;"","",IFERROR(LOOKUP(2,1/(($EG$4:EG368=$EG369)*($DO$4:DO368&lt;&gt;"")),$DO$4:DO368),"")))</f>
        <v/>
      </c>
      <c r="EI369">
        <f>IF($DM369=0,"",IF($DO369&lt;&gt;"",$DO369,$EH369))</f>
        <v/>
      </c>
      <c r="EJ369">
        <f>IF($DM369=0,"",IF($EI369="",0,IF(OR(ISNUMBER($EI369),AND(AND(SUBSTITUTE(SUBSTITUTE(SUBSTITUTE(SUBSTITUTE(SUBSTITUTE(SUBSTITUTE(SUBSTITUTE(SUBSTITUTE(SUBSTITUTE(SUBSTITUTE(SUBSTITUTE(SUBSTITUTE(SUBSTITUTE(SUBSTITUTE(UPPER($EI369),"0",""),"1",""),"2",""),"3",""),"4",""),"5",""),"6",""),"7",""),"8",""),"9",""),".",""),"+",""),"-",""),"E","")="",LEN(SUBSTITUTE(SUBSTITUTE(MID(UPPER($EI369),1+OR(LEFT(UPPER($EI369),1)="+",LEFT(UPPER($EI369),1)="-"),999),"E+","E"),"E-","E"))=LEN(SUBSTITUTE(SUBSTITUTE(SUBSTITUTE(SUBSTITUTE(MID(UPPER($EI369),1+OR(LEFT(UPPER($EI369),1)="+",LEFT(UPPER($EI369),1)="-"),999),"E+","E"),"E-","E"),"+",""),"-","")),LEN(UPPER($EI369))-LEN(SUBSTITUTE(UPPER($EI369),"E",""))&lt;2,LEN(UPPER($EI369))-LEN(SUBSTITUTE(UPPER($EI369),".",""))&lt;2,IFERROR(FIND(".",UPPER($EI369)),0)&lt;IFERROR(FIND("E",UPPER($EI369)),999)),ISNUMBER(VALUE($EI369)))),1,2)))</f>
        <v/>
      </c>
      <c r="EK369">
        <f>IF($DM369=0,"",IF($EJ369=1,IF(ISNUMBER($EI369),$EI369,VALUE($EI369)),IF($EJ369=2,$DE369,0)))</f>
        <v/>
      </c>
      <c r="EL369">
        <f>IF($DM369=0,"",COUNTIF($EG$5:$EG$1003,"&lt;"&amp;$EG369)+SUMPRODUCT(($EG$5:$EG$1003=$EG369)*(($EJ$5:$EJ$1003&lt;$EJ369)+($EJ$5:$EJ$1003=$EJ369)*(($EK$5:$EK$1003&lt;$EK369)+($EK$5:$EK$1003=$EK369)*($DE$5:$DE$1003&lt;$DE369))))+1)</f>
        <v/>
      </c>
      <c r="EM369">
        <f>IF($DM369=0,"",$EL369+$EG369-1)</f>
        <v/>
      </c>
      <c r="EN369">
        <f>IF($DM369=0,0,IFERROR(MATCH(1,INDEX(--(TRIM(SUBSTITUTE(SUBSTITUTE(SUBSTITUTE(SUBSTITUTE(LINES_NAME&amp;""," "," "),CHAR(9)," "),CHAR(10)," "),CHAR(13)," "))=$DH369),0),0),0))</f>
        <v/>
      </c>
      <c r="EO369">
        <f>IF($EN369=0,0,IF(OR(UPPER(TRIM(INDEX(LINES_SCHEDULED,$EN369)&amp;""))="YES",UPPER(TRIM(INDEX(LINES_SCHEDULED,$EN369)&amp;""))="Y",UPPER(TRIM(INDEX(LINES_SCHEDULED,$EN369)&amp;""))="X"),1,0))</f>
        <v/>
      </c>
      <c r="EP369">
        <f>IF($DM369=0,"",IF(COUNTIFS($EG$5:$EG$1003,$EG369,$EB$5:$EB$1003,"Ready")&gt;0,"READY",IF(COUNTIFS($EG$5:$EG$1003,$EG369,$EB$5:$EB$1003,"PM")&gt;0,"PM",IF(COUNTIFS($EG$5:$EG$1003,$EG369,$EB$5:$EB$1003,"OT")&gt;0,"OT",""))))</f>
        <v/>
      </c>
      <c r="EQ369">
        <f>IF($EN369=0,"",UPPER(TRIM(INDEX(LINES_STATUS,$EN369)&amp;"")))</f>
        <v/>
      </c>
      <c r="ER369">
        <f>IF($DM369=0,"",IF(OR($EQ369="READY",$EQ369="PM",$EQ369="OT"),$EQ369,$EP369))</f>
        <v/>
      </c>
      <c r="ES369">
        <f>IF($DM369=0,"",IF(AND($DV369&lt;&gt;"",UPPER($DV369)&lt;&gt;"N"),"allergen",IF(ISNUMBER(SEARCH("oil",$DQ369)),"oil",IF(OR(EXACT($DS369,"A662"),EXACT($DS369,"A624")),"bulk",""))))</f>
        <v/>
      </c>
      <c r="ET369">
        <f>IF($DM369=0,"",IF(OR($EA369="",$EA369=0),"",$EA369/100))</f>
        <v/>
      </c>
      <c r="EU369">
        <f>IF(OR($ET369="",$DY369=""),"",INT($DY369*(1-$ET369)+0.5))</f>
        <v/>
      </c>
      <c r="EW369" t="n">
        <v>365</v>
      </c>
      <c r="EX369">
        <f>IFERROR(MATCH($EW369,$EM$5:$EM$1003,0),0)</f>
        <v/>
      </c>
      <c r="EY369">
        <f>IF($EW369&gt;$B$12,"",IF($EX369&gt;0,"row","spacer"))</f>
        <v/>
      </c>
      <c r="EZ369">
        <f>IF(AND($EY369="row",$EY368&lt;&gt;"row"),1,0)</f>
        <v/>
      </c>
      <c r="FA369">
        <f>IF(AND($EY369="row",$EY370&lt;&gt;"row"),1,0)</f>
        <v/>
      </c>
      <c r="FB369">
        <f>IF($EZ369=1,IFERROR(IF(ISNUMBER(INDEX(PASTE_ALL,INDEX($DF$5:$DF$1003,$EX369),$B$37)),INDEX(PASTE_ALL,INDEX($DF$5:$DF$1003,$EX369),$B$37),INDEX($DH$5:$DH$1003,$EX369)),INDEX($DH$5:$DH$1003,$EX369)),"")</f>
        <v/>
      </c>
      <c r="FC369">
        <f>IF($EY369="row",INDEX($ER$5:$ER$1003,$EX369),"")</f>
        <v/>
      </c>
      <c r="FD369">
        <f>IF($EY369="row",INDEX($DN$5:$DN$1003,$EX369),"")</f>
        <v/>
      </c>
      <c r="FE369">
        <f>IF($EY369="row",INDEX($DO$5:$DO$1003,$EX369),"")</f>
        <v/>
      </c>
      <c r="FF369">
        <f>IF($EY369="row",INDEX($DP$5:$DP$1003,$EX369),"")</f>
        <v/>
      </c>
      <c r="FG369">
        <f>IF($EY369="row",INDEX($DQ$5:$DQ$1003,$EX369),"")</f>
        <v/>
      </c>
      <c r="FH369">
        <f>IF($EY369="row",INDEX($DR$5:$DR$1003,$EX369),"")</f>
        <v/>
      </c>
      <c r="FI369">
        <f>IF($EY369="row",INDEX($DS$5:$DS$1003,$EX369),"")</f>
        <v/>
      </c>
      <c r="FJ369">
        <f>IF($EY369="row",INDEX($DT$5:$DT$1003,$EX369),"")</f>
        <v/>
      </c>
      <c r="FK369">
        <f>IF($EY369="row",INDEX($DU$5:$DU$1003,$EX369),"")</f>
        <v/>
      </c>
      <c r="FL369">
        <f>IF($EY369="row",INDEX($DV$5:$DV$1003,$EX369),"")</f>
        <v/>
      </c>
      <c r="FM369">
        <f>IF($EY369="row",INDEX($DW$5:$DW$1003,$EX369),"")</f>
        <v/>
      </c>
      <c r="FN369">
        <f>IF($EY369="row",INDEX($DY$5:$DY$1003,$EX369),"")</f>
        <v/>
      </c>
      <c r="FO369">
        <f>IF($EY369="row",INDEX($EA$5:$EA$1003,$EX369),"")</f>
        <v/>
      </c>
      <c r="FP369">
        <f>IF($EY369="row",INDEX($EC$5:$EC$1003,$EX369),"")</f>
        <v/>
      </c>
      <c r="FQ369">
        <f>IF($EY369="row",INDEX($ET$5:$ET$1003,$EX369),"")</f>
        <v/>
      </c>
      <c r="FR369">
        <f>IF($EY369="row",INDEX($EU$5:$EU$1003,$EX369),"")</f>
        <v/>
      </c>
      <c r="FS369">
        <f>IF(AND($EY369="row",$EY368="row"),IF(OR(INDEX($DT$5:$DT$1003,$EX368)="",INDEX($DT$5:$DT$1003,$EX369)=""),"",IF(NOT(EXACT(INDEX($DT$5:$DT$1003,$EX368),INDEX($DT$5:$DT$1003,$EX369))),"S4",IF(NOT(EXACT(INDEX($DS$5:$DS$1003,$EX368),INDEX($DS$5:$DS$1003,$EX369))),"S3",IF(NOT(EXACT(INDEX($DR$5:$DR$1003,$EX368),INDEX($DR$5:$DR$1003,$EX369))),"S1 Count Change","S1")))),"")</f>
        <v/>
      </c>
      <c r="FT369">
        <f>IF($EY369="row",INDEX($ES$5:$ES$1003,$EX369),"")</f>
        <v/>
      </c>
      <c r="FU369">
        <f>IF($EY369="row",INDEX($EO$5:$EO$1003,$EX369),0)</f>
        <v/>
      </c>
      <c r="FV369">
        <f>IF($FS369="S1 Count Change",1,0)</f>
        <v/>
      </c>
    </row>
    <row r="370">
      <c r="DA370" t="n">
        <v>366</v>
      </c>
      <c r="DB370">
        <f>IF($B$37=0,"",IFERROR(TRIM(SUBSTITUTE(SUBSTITUTE(SUBSTITUTE(SUBSTITUTE(INDEX(PASTE_ALL,366,$B$37)," "," "),CHAR(9)," "),CHAR(10)," "),CHAR(13)," ")),""))</f>
        <v/>
      </c>
      <c r="DC370">
        <f>IF(AND(366&gt;HEADER_ROW,UPPER(DB370)="LEGEND"),1,0)</f>
        <v/>
      </c>
      <c r="DE370" t="n">
        <v>366</v>
      </c>
      <c r="DF370">
        <f>HEADER_ROW+$DE370</f>
        <v/>
      </c>
      <c r="DG370">
        <f>IF(AND($DF370&lt;=1000,$DF370&lt;$B$8),1,0)</f>
        <v/>
      </c>
      <c r="DH370">
        <f>IF($DG370=1,IFERROR(INDEX($DB$5:$DB$1004,$DF370),""),"")</f>
        <v/>
      </c>
      <c r="DI370">
        <f>IF(AND($DG370=1,$DH370&lt;&gt;""),IFERROR(SUBSTITUTE(SUBSTITUTE(TRIM(SUBSTITUTE(SUBSTITUTE(SUBSTITUTE(SUBSTITUTE(IFERROR(INDEX(PASTE_ALL,$DF370,1)&amp;"","")&amp;"␟"&amp;IFERROR(INDEX(PASTE_ALL,$DF370,2)&amp;"","")&amp;"␟"&amp;IFERROR(INDEX(PASTE_ALL,$DF370,3)&amp;"","")&amp;"␟"&amp;IFERROR(INDEX(PASTE_ALL,$DF370,4)&amp;"","")&amp;"␟"&amp;IFERROR(INDEX(PASTE_ALL,$DF370,5)&amp;"","")&amp;"␟"&amp;IFERROR(INDEX(PASTE_ALL,$DF370,6)&amp;"","")&amp;"␟"&amp;IFERROR(INDEX(PASTE_ALL,$DF370,7)&amp;"","")&amp;"␟"&amp;IFERROR(INDEX(PASTE_ALL,$DF370,8)&amp;"","")&amp;"␟"&amp;IFERROR(INDEX(PASTE_ALL,$DF370,9)&amp;"","")&amp;"␟"&amp;IFERROR(INDEX(PASTE_ALL,$DF370,10)&amp;"","")&amp;"␟"&amp;IFERROR(INDEX(PASTE_ALL,$DF370,11)&amp;"","")&amp;"␟"&amp;IFERROR(INDEX(PASTE_ALL,$DF370,12)&amp;"","")&amp;"␟"&amp;IFERROR(INDEX(PASTE_ALL,$DF370,13)&amp;"","")&amp;"␟"&amp;IFERROR(INDEX(PASTE_ALL,$DF370,14)&amp;"","")&amp;"␟"&amp;IFERROR(INDEX(PASTE_ALL,$DF370,15)&amp;"","")&amp;"␟"&amp;IFERROR(INDEX(PASTE_ALL,$DF370,16)&amp;"","")&amp;"␟"&amp;IFERROR(INDEX(PASTE_ALL,$DF370,17)&amp;"","")&amp;"␟"&amp;IFERROR(INDEX(PASTE_ALL,$DF370,18)&amp;"","")&amp;"␟"&amp;IFERROR(INDEX(PASTE_ALL,$DF370,19)&amp;"","")&amp;"␟"&amp;IFERROR(INDEX(PASTE_ALL,$DF370,20)&amp;"","")&amp;"␟"&amp;IFERROR(INDEX(PASTE_ALL,$DF370,21)&amp;"","")&amp;"␟"&amp;IFERROR(INDEX(PASTE_ALL,$DF370,22)&amp;"","")&amp;"␟"&amp;IFERROR(INDEX(PASTE_ALL,$DF370,23)&amp;"","")&amp;"␟"&amp;IFERROR(INDEX(PASTE_ALL,$DF370,24)&amp;"","")&amp;"␟"&amp;IFERROR(INDEX(PASTE_ALL,$DF370,25)&amp;"","")&amp;"␟"&amp;IFERROR(INDEX(PASTE_ALL,$DF370,26)&amp;"","")&amp;"␟"&amp;IFERROR(INDEX(PASTE_ALL,$DF370,27)&amp;"","")&amp;"␟"&amp;IFERROR(INDEX(PASTE_ALL,$DF370,28)&amp;"","")&amp;"␟"&amp;IFERROR(INDEX(PASTE_ALL,$DF370,29)&amp;"","")&amp;"␟"&amp;IFERROR(INDEX(PASTE_ALL,$DF370,30)&amp;"","")&amp;"␟"&amp;IFERROR(INDEX(PASTE_ALL,$DF370,31)&amp;"","")&amp;"␟"&amp;IFERROR(INDEX(PASTE_ALL,$DF370,32)&amp;"","")&amp;"␟"&amp;IFERROR(INDEX(PASTE_ALL,$DF370,33)&amp;"","")&amp;"␟"&amp;IFERROR(INDEX(PASTE_ALL,$DF370,34)&amp;"","")&amp;"␟"&amp;IFERROR(INDEX(PASTE_ALL,$DF370,35)&amp;"","")&amp;"␟"&amp;IFERROR(INDEX(PASTE_ALL,$DF370,36)&amp;"","")&amp;"␟"&amp;IFERROR(INDEX(PASTE_ALL,$DF370,37)&amp;"","")&amp;"␟"&amp;IFERROR(INDEX(PASTE_ALL,$DF370,38)&amp;"","")&amp;"␟"&amp;IFERROR(INDEX(PASTE_ALL,$DF370,39)&amp;"","")&amp;"␟"&amp;IFERROR(INDEX(PASTE_ALL,$DF370,40)&amp;"","")&amp;"␟"&amp;IFERROR(INDEX(PASTE_ALL,$DF370,41)&amp;"","")&amp;"␟"&amp;IFERROR(INDEX(PASTE_ALL,$DF370,42)&amp;"","")&amp;"␟"&amp;IFERROR(INDEX(PASTE_ALL,$DF370,43)&amp;"","")&amp;"␟"&amp;IFERROR(INDEX(PASTE_ALL,$DF370,44)&amp;"","")&amp;"␟"&amp;IFERROR(INDEX(PASTE_ALL,$DF370,45)&amp;"","")&amp;"␟"&amp;IFERROR(INDEX(PASTE_ALL,$DF370,46)&amp;"","")&amp;"␟"&amp;IFERROR(INDEX(PASTE_ALL,$DF370,47)&amp;"","")&amp;"␟"&amp;IFERROR(INDEX(PASTE_ALL,$DF370,48)&amp;"","")&amp;"␟"&amp;IFERROR(INDEX(PASTE_ALL,$DF370,49)&amp;"","")&amp;"␟"&amp;IFERROR(INDEX(PASTE_ALL,$DF370,50)&amp;"","")&amp;"␟"&amp;IFERROR(INDEX(PASTE_ALL,$DF370,51)&amp;"","")&amp;"␟"&amp;IFERROR(INDEX(PASTE_ALL,$DF370,52)&amp;"","")&amp;"␟"&amp;IFERROR(INDEX(PASTE_ALL,$DF370,53)&amp;"","")&amp;"␟"&amp;IFERROR(INDEX(PASTE_ALL,$DF370,54)&amp;"","")&amp;"␟"&amp;IFERROR(INDEX(PASTE_ALL,$DF370,55)&amp;"","")&amp;"␟"&amp;IFERROR(INDEX(PASTE_ALL,$DF370,56)&amp;"","")&amp;"␟"&amp;IFERROR(INDEX(PASTE_ALL,$DF370,57)&amp;"","")&amp;"␟"&amp;IFERROR(INDEX(PASTE_ALL,$DF370,58)&amp;"","")&amp;"␟"&amp;IFERROR(INDEX(PASTE_ALL,$DF370,59)&amp;"","")&amp;"␟"&amp;IFERROR(INDEX(PASTE_ALL,$DF370,60)&amp;"","")," "," "),CHAR(9)," "),CHAR(10)," "),CHAR(13)," "))," ␟","␟"),"␟ ","␟"),"#"&amp;$DE370),"")</f>
        <v/>
      </c>
      <c r="DJ370">
        <f>IF($DI370="",0,IF(SUMPRODUCT(--EXACT($DI$4:DI369,$DI370))&gt;0,1,0))</f>
        <v/>
      </c>
      <c r="DK370">
        <f>IF(AND($DI370&lt;&gt;"",$DJ370=0),1,0)</f>
        <v/>
      </c>
      <c r="DL370">
        <f>DL369+$DK370</f>
        <v/>
      </c>
      <c r="DM370">
        <f>IF(AND($DK370=1,$DL370&lt;=600),1,0)</f>
        <v/>
      </c>
      <c r="DN370">
        <f>IF($DM370=0,"",IF($L$6=0,"",IFERROR(IF(ISNUMBER(INDEX(PASTE_ALL,$DF370,$L$6)),INDEX(PASTE_ALL,$DF370,$L$6),TRIM(SUBSTITUTE(SUBSTITUTE(SUBSTITUTE(SUBSTITUTE(INDEX(PASTE_ALL,$DF370,$L$6)," "," "),CHAR(9)," "),CHAR(10)," "),CHAR(13)," "))),"")))</f>
        <v/>
      </c>
      <c r="DO370">
        <f>IF($DM370=0,"",IF($L$7=0,"",IFERROR(IF(ISNUMBER(INDEX(PASTE_ALL,$DF370,$L$7)),INDEX(PASTE_ALL,$DF370,$L$7),TRIM(SUBSTITUTE(SUBSTITUTE(SUBSTITUTE(SUBSTITUTE(INDEX(PASTE_ALL,$DF370,$L$7)," "," "),CHAR(9)," "),CHAR(10)," "),CHAR(13)," "))),"")))</f>
        <v/>
      </c>
      <c r="DP370">
        <f>IF($DM370=0,"",IF($L$8=0,"",IFERROR(IF(ISNUMBER(INDEX(PASTE_ALL,$DF370,$L$8)),INDEX(PASTE_ALL,$DF370,$L$8),TRIM(SUBSTITUTE(SUBSTITUTE(SUBSTITUTE(SUBSTITUTE(INDEX(PASTE_ALL,$DF370,$L$8)," "," "),CHAR(9)," "),CHAR(10)," "),CHAR(13)," "))),"")))</f>
        <v/>
      </c>
      <c r="DQ370">
        <f>IF($DM370=0,"",IF($L$9=0,"",IFERROR(IF(ISNUMBER(INDEX(PASTE_ALL,$DF370,$L$9)),INDEX(PASTE_ALL,$DF370,$L$9),TRIM(SUBSTITUTE(SUBSTITUTE(SUBSTITUTE(SUBSTITUTE(INDEX(PASTE_ALL,$DF370,$L$9)," "," "),CHAR(9)," "),CHAR(10)," "),CHAR(13)," "))),"")))</f>
        <v/>
      </c>
      <c r="DR370">
        <f>IF($DM370=0,"",IF($L$10=0,"",IFERROR(IF(ISNUMBER(INDEX(PASTE_ALL,$DF370,$L$10)),INDEX(PASTE_ALL,$DF370,$L$10),TRIM(SUBSTITUTE(SUBSTITUTE(SUBSTITUTE(SUBSTITUTE(INDEX(PASTE_ALL,$DF370,$L$10)," "," "),CHAR(9)," "),CHAR(10)," "),CHAR(13)," "))),"")))</f>
        <v/>
      </c>
      <c r="DS370">
        <f>IF($DM370=0,"",IF($L$11=0,"",IFERROR(IF(ISNUMBER(INDEX(PASTE_ALL,$DF370,$L$11)),INDEX(PASTE_ALL,$DF370,$L$11),TRIM(SUBSTITUTE(SUBSTITUTE(SUBSTITUTE(SUBSTITUTE(INDEX(PASTE_ALL,$DF370,$L$11)," "," "),CHAR(9)," "),CHAR(10)," "),CHAR(13)," "))),"")))</f>
        <v/>
      </c>
      <c r="DT370">
        <f>IF($DM370=0,"",IF($L$12=0,"",IFERROR(IF(ISNUMBER(INDEX(PASTE_ALL,$DF370,$L$12)),INDEX(PASTE_ALL,$DF370,$L$12),TRIM(SUBSTITUTE(SUBSTITUTE(SUBSTITUTE(SUBSTITUTE(INDEX(PASTE_ALL,$DF370,$L$12)," "," "),CHAR(9)," "),CHAR(10)," "),CHAR(13)," "))),"")))</f>
        <v/>
      </c>
      <c r="DU370">
        <f>IF($DM370=0,"",IF($L$13=0,"",IFERROR(IF(ISNUMBER(INDEX(PASTE_ALL,$DF370,$L$13)),INDEX(PASTE_ALL,$DF370,$L$13),TRIM(SUBSTITUTE(SUBSTITUTE(SUBSTITUTE(SUBSTITUTE(INDEX(PASTE_ALL,$DF370,$L$13)," "," "),CHAR(9)," "),CHAR(10)," "),CHAR(13)," "))),"")))</f>
        <v/>
      </c>
      <c r="DV370">
        <f>IF($DM370=0,"",IF($L$14=0,"",IFERROR(IF(ISNUMBER(INDEX(PASTE_ALL,$DF370,$L$14)),INDEX(PASTE_ALL,$DF370,$L$14),TRIM(SUBSTITUTE(SUBSTITUTE(SUBSTITUTE(SUBSTITUTE(INDEX(PASTE_ALL,$DF370,$L$14)," "," "),CHAR(9)," "),CHAR(10)," "),CHAR(13)," "))),"")))</f>
        <v/>
      </c>
      <c r="DW370">
        <f>IF($DM370=0,"",IF($L$15=0,"",IFERROR(IF(ISNUMBER(INDEX(PASTE_ALL,$DF370,$L$15)),INDEX(PASTE_ALL,$DF370,$L$15),IF(SUMPRODUCT(--ISNUMBER(FIND({"A","B","C","D","E","F","G","H","I","J","K","L","M","N","O","P","Q","R","S","T","U","V","W","X","Y","Z","0","1","2","3","4","5","6","7","8","9"},UPPER(TRIM(SUBSTITUTE(SUBSTITUTE(SUBSTITUTE(SUBSTITUTE(INDEX(PASTE_ALL,$DF370,$L$15)," "," "),CHAR(9)," "),CHAR(10)," "),CHAR(13)," "))))))&gt;0,TRIM(SUBSTITUTE(SUBSTITUTE(SUBSTITUTE(SUBSTITUTE(INDEX(PASTE_ALL,$DF370,$L$15)," "," "),CHAR(9)," "),CHAR(10)," "),CHAR(13)," ")),"")),"")))</f>
        <v/>
      </c>
      <c r="DX370">
        <f>IF($DM370=0,"",IF($L$16=0,"",IFERROR(IF(ISNUMBER(INDEX(PASTE_ALL,$DF370,$L$16)),INDEX(PASTE_ALL,$DF370,$L$16),SUBSTITUTE(SUBSTITUTE(TRIM(SUBSTITUTE(SUBSTITUTE(SUBSTITUTE(SUBSTITUTE(INDEX(PASTE_ALL,$DF370,$L$16)," "," "),CHAR(9)," "),CHAR(10)," "),CHAR(13)," ")),",",""),"%","")),"")))</f>
        <v/>
      </c>
      <c r="DY370">
        <f>IF($DM370=0,"",IFERROR(IF(ISNUMBER($DX370),$DX370,IF($DX370="","",IF(TRIM($DX370)="",0,IF(AND(AND(SUBSTITUTE(SUBSTITUTE(SUBSTITUTE(SUBSTITUTE(SUBSTITUTE(SUBSTITUTE(SUBSTITUTE(SUBSTITUTE(SUBSTITUTE(SUBSTITUTE(SUBSTITUTE(SUBSTITUTE(SUBSTITUTE(SUBSTITUTE(UPPER(TRIM($DX370)),"0",""),"1",""),"2",""),"3",""),"4",""),"5",""),"6",""),"7",""),"8",""),"9",""),".",""),"+",""),"-",""),"E","")="",LEN(SUBSTITUTE(SUBSTITUTE(MID(UPPER(TRIM($DX370)),1+OR(LEFT(UPPER(TRIM($DX370)),1)="+",LEFT(UPPER(TRIM($DX370)),1)="-"),999),"E+","E"),"E-","E"))=LEN(SUBSTITUTE(SUBSTITUTE(SUBSTITUTE(SUBSTITUTE(MID(UPPER(TRIM($DX370)),1+OR(LEFT(UPPER(TRIM($DX370)),1)="+",LEFT(UPPER(TRIM($DX370)),1)="-"),999),"E+","E"),"E-","E"),"+",""),"-","")),LEN(UPPER(TRIM($DX370)))-LEN(SUBSTITUTE(UPPER(TRIM($DX370)),"E",""))&lt;2,LEN(UPPER(TRIM($DX370)))-LEN(SUBSTITUTE(UPPER(TRIM($DX370)),".",""))&lt;2,IFERROR(FIND(".",UPPER(TRIM($DX370))),0)&lt;IFERROR(FIND("E",UPPER(TRIM($DX370))),999)),ISNUMBER(VALUE(TRIM($DX370)))),VALUE(TRIM($DX370)),"")))),""))</f>
        <v/>
      </c>
      <c r="DZ370">
        <f>IF($DM370=0,"",IF($L$17=0,"",IFERROR(IF(ISNUMBER(INDEX(PASTE_ALL,$DF370,$L$17)),INDEX(PASTE_ALL,$DF370,$L$17),SUBSTITUTE(SUBSTITUTE(TRIM(SUBSTITUTE(SUBSTITUTE(SUBSTITUTE(SUBSTITUTE(INDEX(PASTE_ALL,$DF370,$L$17)," "," "),CHAR(9)," "),CHAR(10)," "),CHAR(13)," ")),",",""),"%","")),"")))</f>
        <v/>
      </c>
      <c r="EA370">
        <f>IF($DM370=0,"",IFERROR(IF(ISNUMBER($DZ370),$DZ370,IF($DZ370="","",IF(TRIM($DZ370)="",0,IF(AND(AND(SUBSTITUTE(SUBSTITUTE(SUBSTITUTE(SUBSTITUTE(SUBSTITUTE(SUBSTITUTE(SUBSTITUTE(SUBSTITUTE(SUBSTITUTE(SUBSTITUTE(SUBSTITUTE(SUBSTITUTE(SUBSTITUTE(SUBSTITUTE(UPPER(TRIM($DZ370)),"0",""),"1",""),"2",""),"3",""),"4",""),"5",""),"6",""),"7",""),"8",""),"9",""),".",""),"+",""),"-",""),"E","")="",LEN(SUBSTITUTE(SUBSTITUTE(MID(UPPER(TRIM($DZ370)),1+OR(LEFT(UPPER(TRIM($DZ370)),1)="+",LEFT(UPPER(TRIM($DZ370)),1)="-"),999),"E+","E"),"E-","E"))=LEN(SUBSTITUTE(SUBSTITUTE(SUBSTITUTE(SUBSTITUTE(MID(UPPER(TRIM($DZ370)),1+OR(LEFT(UPPER(TRIM($DZ370)),1)="+",LEFT(UPPER(TRIM($DZ370)),1)="-"),999),"E+","E"),"E-","E"),"+",""),"-","")),LEN(UPPER(TRIM($DZ370)))-LEN(SUBSTITUTE(UPPER(TRIM($DZ370)),"E",""))&lt;2,LEN(UPPER(TRIM($DZ370)))-LEN(SUBSTITUTE(UPPER(TRIM($DZ370)),".",""))&lt;2,IFERROR(FIND(".",UPPER(TRIM($DZ370))),0)&lt;IFERROR(FIND("E",UPPER(TRIM($DZ370))),999)),ISNUMBER(VALUE(TRIM($DZ370)))),VALUE(TRIM($DZ370)),"")))),""))</f>
        <v/>
      </c>
      <c r="EB370">
        <f>IF($DM370=0,"",IF($L$18=0,"",IFERROR(IF(UPPER(TRIM(SUBSTITUTE(SUBSTITUTE(SUBSTITUTE(SUBSTITUTE(INDEX(PASTE_ALL,$DF370,$L$18)," "," "),CHAR(9)," "),CHAR(10)," "),CHAR(13)," ")))="READY","Ready",IF(UPPER(TRIM(SUBSTITUTE(SUBSTITUTE(SUBSTITUTE(SUBSTITUTE(INDEX(PASTE_ALL,$DF370,$L$18)," "," "),CHAR(9)," "),CHAR(10)," "),CHAR(13)," ")))="PM","PM",IF(OR(UPPER(TRIM(SUBSTITUTE(SUBSTITUTE(SUBSTITUTE(SUBSTITUTE(INDEX(PASTE_ALL,$DF370,$L$18)," "," "),CHAR(9)," "),CHAR(10)," "),CHAR(13)," ")))="OT",UPPER(TRIM(SUBSTITUTE(SUBSTITUTE(SUBSTITUTE(SUBSTITUTE(INDEX(PASTE_ALL,$DF370,$L$18)," "," "),CHAR(9)," "),CHAR(10)," "),CHAR(13)," ")))="OVERTIME",UPPER(TRIM(SUBSTITUTE(SUBSTITUTE(SUBSTITUTE(SUBSTITUTE(INDEX(PASTE_ALL,$DF370,$L$18)," "," "),CHAR(9)," "),CHAR(10)," "),CHAR(13)," ")))="TRIAL"),"OT",TRIM(SUBSTITUTE(SUBSTITUTE(SUBSTITUTE(SUBSTITUTE(INDEX(PASTE_ALL,$DF370,$L$18)," "," "),CHAR(9)," "),CHAR(10)," "),CHAR(13)," "))))),"")))</f>
        <v/>
      </c>
      <c r="EC370">
        <f>IF($DM370=0,"",IF($L$19=0,"",IFERROR(IF(ISNUMBER(INDEX(PASTE_ALL,$DF370,$L$19)),INDEX(PASTE_ALL,$DF370,$L$19),TRIM(SUBSTITUTE(SUBSTITUTE(SUBSTITUTE(SUBSTITUTE(INDEX(PASTE_ALL,$DF370,$L$19)," "," "),CHAR(9)," "),CHAR(10)," "),CHAR(13)," "))),"")))</f>
        <v/>
      </c>
      <c r="ED370">
        <f>IF($DM370=0,"",MATCH(1,INDEX(EXACT($DH$5:DH370,$DH370)*$DM$5:DM370,0),0))</f>
        <v/>
      </c>
      <c r="EE370">
        <f>IF($DM370=0,0,IF($ED370=$DE370,1,0))</f>
        <v/>
      </c>
      <c r="EF370">
        <f>EF369+$EE370</f>
        <v/>
      </c>
      <c r="EG370">
        <f>IF($DM370=0,"",INDEX($EF$5:$EF$1003,$ED370))</f>
        <v/>
      </c>
      <c r="EH370">
        <f>IF($DM370=0,"",IF($DO370&lt;&gt;"","",IFERROR(LOOKUP(2,1/(($EG$4:EG369=$EG370)*($DO$4:DO369&lt;&gt;"")),$DO$4:DO369),"")))</f>
        <v/>
      </c>
      <c r="EI370">
        <f>IF($DM370=0,"",IF($DO370&lt;&gt;"",$DO370,$EH370))</f>
        <v/>
      </c>
      <c r="EJ370">
        <f>IF($DM370=0,"",IF($EI370="",0,IF(OR(ISNUMBER($EI370),AND(AND(SUBSTITUTE(SUBSTITUTE(SUBSTITUTE(SUBSTITUTE(SUBSTITUTE(SUBSTITUTE(SUBSTITUTE(SUBSTITUTE(SUBSTITUTE(SUBSTITUTE(SUBSTITUTE(SUBSTITUTE(SUBSTITUTE(SUBSTITUTE(UPPER($EI370),"0",""),"1",""),"2",""),"3",""),"4",""),"5",""),"6",""),"7",""),"8",""),"9",""),".",""),"+",""),"-",""),"E","")="",LEN(SUBSTITUTE(SUBSTITUTE(MID(UPPER($EI370),1+OR(LEFT(UPPER($EI370),1)="+",LEFT(UPPER($EI370),1)="-"),999),"E+","E"),"E-","E"))=LEN(SUBSTITUTE(SUBSTITUTE(SUBSTITUTE(SUBSTITUTE(MID(UPPER($EI370),1+OR(LEFT(UPPER($EI370),1)="+",LEFT(UPPER($EI370),1)="-"),999),"E+","E"),"E-","E"),"+",""),"-","")),LEN(UPPER($EI370))-LEN(SUBSTITUTE(UPPER($EI370),"E",""))&lt;2,LEN(UPPER($EI370))-LEN(SUBSTITUTE(UPPER($EI370),".",""))&lt;2,IFERROR(FIND(".",UPPER($EI370)),0)&lt;IFERROR(FIND("E",UPPER($EI370)),999)),ISNUMBER(VALUE($EI370)))),1,2)))</f>
        <v/>
      </c>
      <c r="EK370">
        <f>IF($DM370=0,"",IF($EJ370=1,IF(ISNUMBER($EI370),$EI370,VALUE($EI370)),IF($EJ370=2,$DE370,0)))</f>
        <v/>
      </c>
      <c r="EL370">
        <f>IF($DM370=0,"",COUNTIF($EG$5:$EG$1003,"&lt;"&amp;$EG370)+SUMPRODUCT(($EG$5:$EG$1003=$EG370)*(($EJ$5:$EJ$1003&lt;$EJ370)+($EJ$5:$EJ$1003=$EJ370)*(($EK$5:$EK$1003&lt;$EK370)+($EK$5:$EK$1003=$EK370)*($DE$5:$DE$1003&lt;$DE370))))+1)</f>
        <v/>
      </c>
      <c r="EM370">
        <f>IF($DM370=0,"",$EL370+$EG370-1)</f>
        <v/>
      </c>
      <c r="EN370">
        <f>IF($DM370=0,0,IFERROR(MATCH(1,INDEX(--(TRIM(SUBSTITUTE(SUBSTITUTE(SUBSTITUTE(SUBSTITUTE(LINES_NAME&amp;""," "," "),CHAR(9)," "),CHAR(10)," "),CHAR(13)," "))=$DH370),0),0),0))</f>
        <v/>
      </c>
      <c r="EO370">
        <f>IF($EN370=0,0,IF(OR(UPPER(TRIM(INDEX(LINES_SCHEDULED,$EN370)&amp;""))="YES",UPPER(TRIM(INDEX(LINES_SCHEDULED,$EN370)&amp;""))="Y",UPPER(TRIM(INDEX(LINES_SCHEDULED,$EN370)&amp;""))="X"),1,0))</f>
        <v/>
      </c>
      <c r="EP370">
        <f>IF($DM370=0,"",IF(COUNTIFS($EG$5:$EG$1003,$EG370,$EB$5:$EB$1003,"Ready")&gt;0,"READY",IF(COUNTIFS($EG$5:$EG$1003,$EG370,$EB$5:$EB$1003,"PM")&gt;0,"PM",IF(COUNTIFS($EG$5:$EG$1003,$EG370,$EB$5:$EB$1003,"OT")&gt;0,"OT",""))))</f>
        <v/>
      </c>
      <c r="EQ370">
        <f>IF($EN370=0,"",UPPER(TRIM(INDEX(LINES_STATUS,$EN370)&amp;"")))</f>
        <v/>
      </c>
      <c r="ER370">
        <f>IF($DM370=0,"",IF(OR($EQ370="READY",$EQ370="PM",$EQ370="OT"),$EQ370,$EP370))</f>
        <v/>
      </c>
      <c r="ES370">
        <f>IF($DM370=0,"",IF(AND($DV370&lt;&gt;"",UPPER($DV370)&lt;&gt;"N"),"allergen",IF(ISNUMBER(SEARCH("oil",$DQ370)),"oil",IF(OR(EXACT($DS370,"A662"),EXACT($DS370,"A624")),"bulk",""))))</f>
        <v/>
      </c>
      <c r="ET370">
        <f>IF($DM370=0,"",IF(OR($EA370="",$EA370=0),"",$EA370/100))</f>
        <v/>
      </c>
      <c r="EU370">
        <f>IF(OR($ET370="",$DY370=""),"",INT($DY370*(1-$ET370)+0.5))</f>
        <v/>
      </c>
      <c r="EW370" t="n">
        <v>366</v>
      </c>
      <c r="EX370">
        <f>IFERROR(MATCH($EW370,$EM$5:$EM$1003,0),0)</f>
        <v/>
      </c>
      <c r="EY370">
        <f>IF($EW370&gt;$B$12,"",IF($EX370&gt;0,"row","spacer"))</f>
        <v/>
      </c>
      <c r="EZ370">
        <f>IF(AND($EY370="row",$EY369&lt;&gt;"row"),1,0)</f>
        <v/>
      </c>
      <c r="FA370">
        <f>IF(AND($EY370="row",$EY371&lt;&gt;"row"),1,0)</f>
        <v/>
      </c>
      <c r="FB370">
        <f>IF($EZ370=1,IFERROR(IF(ISNUMBER(INDEX(PASTE_ALL,INDEX($DF$5:$DF$1003,$EX370),$B$37)),INDEX(PASTE_ALL,INDEX($DF$5:$DF$1003,$EX370),$B$37),INDEX($DH$5:$DH$1003,$EX370)),INDEX($DH$5:$DH$1003,$EX370)),"")</f>
        <v/>
      </c>
      <c r="FC370">
        <f>IF($EY370="row",INDEX($ER$5:$ER$1003,$EX370),"")</f>
        <v/>
      </c>
      <c r="FD370">
        <f>IF($EY370="row",INDEX($DN$5:$DN$1003,$EX370),"")</f>
        <v/>
      </c>
      <c r="FE370">
        <f>IF($EY370="row",INDEX($DO$5:$DO$1003,$EX370),"")</f>
        <v/>
      </c>
      <c r="FF370">
        <f>IF($EY370="row",INDEX($DP$5:$DP$1003,$EX370),"")</f>
        <v/>
      </c>
      <c r="FG370">
        <f>IF($EY370="row",INDEX($DQ$5:$DQ$1003,$EX370),"")</f>
        <v/>
      </c>
      <c r="FH370">
        <f>IF($EY370="row",INDEX($DR$5:$DR$1003,$EX370),"")</f>
        <v/>
      </c>
      <c r="FI370">
        <f>IF($EY370="row",INDEX($DS$5:$DS$1003,$EX370),"")</f>
        <v/>
      </c>
      <c r="FJ370">
        <f>IF($EY370="row",INDEX($DT$5:$DT$1003,$EX370),"")</f>
        <v/>
      </c>
      <c r="FK370">
        <f>IF($EY370="row",INDEX($DU$5:$DU$1003,$EX370),"")</f>
        <v/>
      </c>
      <c r="FL370">
        <f>IF($EY370="row",INDEX($DV$5:$DV$1003,$EX370),"")</f>
        <v/>
      </c>
      <c r="FM370">
        <f>IF($EY370="row",INDEX($DW$5:$DW$1003,$EX370),"")</f>
        <v/>
      </c>
      <c r="FN370">
        <f>IF($EY370="row",INDEX($DY$5:$DY$1003,$EX370),"")</f>
        <v/>
      </c>
      <c r="FO370">
        <f>IF($EY370="row",INDEX($EA$5:$EA$1003,$EX370),"")</f>
        <v/>
      </c>
      <c r="FP370">
        <f>IF($EY370="row",INDEX($EC$5:$EC$1003,$EX370),"")</f>
        <v/>
      </c>
      <c r="FQ370">
        <f>IF($EY370="row",INDEX($ET$5:$ET$1003,$EX370),"")</f>
        <v/>
      </c>
      <c r="FR370">
        <f>IF($EY370="row",INDEX($EU$5:$EU$1003,$EX370),"")</f>
        <v/>
      </c>
      <c r="FS370">
        <f>IF(AND($EY370="row",$EY369="row"),IF(OR(INDEX($DT$5:$DT$1003,$EX369)="",INDEX($DT$5:$DT$1003,$EX370)=""),"",IF(NOT(EXACT(INDEX($DT$5:$DT$1003,$EX369),INDEX($DT$5:$DT$1003,$EX370))),"S4",IF(NOT(EXACT(INDEX($DS$5:$DS$1003,$EX369),INDEX($DS$5:$DS$1003,$EX370))),"S3",IF(NOT(EXACT(INDEX($DR$5:$DR$1003,$EX369),INDEX($DR$5:$DR$1003,$EX370))),"S1 Count Change","S1")))),"")</f>
        <v/>
      </c>
      <c r="FT370">
        <f>IF($EY370="row",INDEX($ES$5:$ES$1003,$EX370),"")</f>
        <v/>
      </c>
      <c r="FU370">
        <f>IF($EY370="row",INDEX($EO$5:$EO$1003,$EX370),0)</f>
        <v/>
      </c>
      <c r="FV370">
        <f>IF($FS370="S1 Count Change",1,0)</f>
        <v/>
      </c>
    </row>
    <row r="371">
      <c r="DA371" t="n">
        <v>367</v>
      </c>
      <c r="DB371">
        <f>IF($B$37=0,"",IFERROR(TRIM(SUBSTITUTE(SUBSTITUTE(SUBSTITUTE(SUBSTITUTE(INDEX(PASTE_ALL,367,$B$37)," "," "),CHAR(9)," "),CHAR(10)," "),CHAR(13)," ")),""))</f>
        <v/>
      </c>
      <c r="DC371">
        <f>IF(AND(367&gt;HEADER_ROW,UPPER(DB371)="LEGEND"),1,0)</f>
        <v/>
      </c>
      <c r="DE371" t="n">
        <v>367</v>
      </c>
      <c r="DF371">
        <f>HEADER_ROW+$DE371</f>
        <v/>
      </c>
      <c r="DG371">
        <f>IF(AND($DF371&lt;=1000,$DF371&lt;$B$8),1,0)</f>
        <v/>
      </c>
      <c r="DH371">
        <f>IF($DG371=1,IFERROR(INDEX($DB$5:$DB$1004,$DF371),""),"")</f>
        <v/>
      </c>
      <c r="DI371">
        <f>IF(AND($DG371=1,$DH371&lt;&gt;""),IFERROR(SUBSTITUTE(SUBSTITUTE(TRIM(SUBSTITUTE(SUBSTITUTE(SUBSTITUTE(SUBSTITUTE(IFERROR(INDEX(PASTE_ALL,$DF371,1)&amp;"","")&amp;"␟"&amp;IFERROR(INDEX(PASTE_ALL,$DF371,2)&amp;"","")&amp;"␟"&amp;IFERROR(INDEX(PASTE_ALL,$DF371,3)&amp;"","")&amp;"␟"&amp;IFERROR(INDEX(PASTE_ALL,$DF371,4)&amp;"","")&amp;"␟"&amp;IFERROR(INDEX(PASTE_ALL,$DF371,5)&amp;"","")&amp;"␟"&amp;IFERROR(INDEX(PASTE_ALL,$DF371,6)&amp;"","")&amp;"␟"&amp;IFERROR(INDEX(PASTE_ALL,$DF371,7)&amp;"","")&amp;"␟"&amp;IFERROR(INDEX(PASTE_ALL,$DF371,8)&amp;"","")&amp;"␟"&amp;IFERROR(INDEX(PASTE_ALL,$DF371,9)&amp;"","")&amp;"␟"&amp;IFERROR(INDEX(PASTE_ALL,$DF371,10)&amp;"","")&amp;"␟"&amp;IFERROR(INDEX(PASTE_ALL,$DF371,11)&amp;"","")&amp;"␟"&amp;IFERROR(INDEX(PASTE_ALL,$DF371,12)&amp;"","")&amp;"␟"&amp;IFERROR(INDEX(PASTE_ALL,$DF371,13)&amp;"","")&amp;"␟"&amp;IFERROR(INDEX(PASTE_ALL,$DF371,14)&amp;"","")&amp;"␟"&amp;IFERROR(INDEX(PASTE_ALL,$DF371,15)&amp;"","")&amp;"␟"&amp;IFERROR(INDEX(PASTE_ALL,$DF371,16)&amp;"","")&amp;"␟"&amp;IFERROR(INDEX(PASTE_ALL,$DF371,17)&amp;"","")&amp;"␟"&amp;IFERROR(INDEX(PASTE_ALL,$DF371,18)&amp;"","")&amp;"␟"&amp;IFERROR(INDEX(PASTE_ALL,$DF371,19)&amp;"","")&amp;"␟"&amp;IFERROR(INDEX(PASTE_ALL,$DF371,20)&amp;"","")&amp;"␟"&amp;IFERROR(INDEX(PASTE_ALL,$DF371,21)&amp;"","")&amp;"␟"&amp;IFERROR(INDEX(PASTE_ALL,$DF371,22)&amp;"","")&amp;"␟"&amp;IFERROR(INDEX(PASTE_ALL,$DF371,23)&amp;"","")&amp;"␟"&amp;IFERROR(INDEX(PASTE_ALL,$DF371,24)&amp;"","")&amp;"␟"&amp;IFERROR(INDEX(PASTE_ALL,$DF371,25)&amp;"","")&amp;"␟"&amp;IFERROR(INDEX(PASTE_ALL,$DF371,26)&amp;"","")&amp;"␟"&amp;IFERROR(INDEX(PASTE_ALL,$DF371,27)&amp;"","")&amp;"␟"&amp;IFERROR(INDEX(PASTE_ALL,$DF371,28)&amp;"","")&amp;"␟"&amp;IFERROR(INDEX(PASTE_ALL,$DF371,29)&amp;"","")&amp;"␟"&amp;IFERROR(INDEX(PASTE_ALL,$DF371,30)&amp;"","")&amp;"␟"&amp;IFERROR(INDEX(PASTE_ALL,$DF371,31)&amp;"","")&amp;"␟"&amp;IFERROR(INDEX(PASTE_ALL,$DF371,32)&amp;"","")&amp;"␟"&amp;IFERROR(INDEX(PASTE_ALL,$DF371,33)&amp;"","")&amp;"␟"&amp;IFERROR(INDEX(PASTE_ALL,$DF371,34)&amp;"","")&amp;"␟"&amp;IFERROR(INDEX(PASTE_ALL,$DF371,35)&amp;"","")&amp;"␟"&amp;IFERROR(INDEX(PASTE_ALL,$DF371,36)&amp;"","")&amp;"␟"&amp;IFERROR(INDEX(PASTE_ALL,$DF371,37)&amp;"","")&amp;"␟"&amp;IFERROR(INDEX(PASTE_ALL,$DF371,38)&amp;"","")&amp;"␟"&amp;IFERROR(INDEX(PASTE_ALL,$DF371,39)&amp;"","")&amp;"␟"&amp;IFERROR(INDEX(PASTE_ALL,$DF371,40)&amp;"","")&amp;"␟"&amp;IFERROR(INDEX(PASTE_ALL,$DF371,41)&amp;"","")&amp;"␟"&amp;IFERROR(INDEX(PASTE_ALL,$DF371,42)&amp;"","")&amp;"␟"&amp;IFERROR(INDEX(PASTE_ALL,$DF371,43)&amp;"","")&amp;"␟"&amp;IFERROR(INDEX(PASTE_ALL,$DF371,44)&amp;"","")&amp;"␟"&amp;IFERROR(INDEX(PASTE_ALL,$DF371,45)&amp;"","")&amp;"␟"&amp;IFERROR(INDEX(PASTE_ALL,$DF371,46)&amp;"","")&amp;"␟"&amp;IFERROR(INDEX(PASTE_ALL,$DF371,47)&amp;"","")&amp;"␟"&amp;IFERROR(INDEX(PASTE_ALL,$DF371,48)&amp;"","")&amp;"␟"&amp;IFERROR(INDEX(PASTE_ALL,$DF371,49)&amp;"","")&amp;"␟"&amp;IFERROR(INDEX(PASTE_ALL,$DF371,50)&amp;"","")&amp;"␟"&amp;IFERROR(INDEX(PASTE_ALL,$DF371,51)&amp;"","")&amp;"␟"&amp;IFERROR(INDEX(PASTE_ALL,$DF371,52)&amp;"","")&amp;"␟"&amp;IFERROR(INDEX(PASTE_ALL,$DF371,53)&amp;"","")&amp;"␟"&amp;IFERROR(INDEX(PASTE_ALL,$DF371,54)&amp;"","")&amp;"␟"&amp;IFERROR(INDEX(PASTE_ALL,$DF371,55)&amp;"","")&amp;"␟"&amp;IFERROR(INDEX(PASTE_ALL,$DF371,56)&amp;"","")&amp;"␟"&amp;IFERROR(INDEX(PASTE_ALL,$DF371,57)&amp;"","")&amp;"␟"&amp;IFERROR(INDEX(PASTE_ALL,$DF371,58)&amp;"","")&amp;"␟"&amp;IFERROR(INDEX(PASTE_ALL,$DF371,59)&amp;"","")&amp;"␟"&amp;IFERROR(INDEX(PASTE_ALL,$DF371,60)&amp;"","")," "," "),CHAR(9)," "),CHAR(10)," "),CHAR(13)," "))," ␟","␟"),"␟ ","␟"),"#"&amp;$DE371),"")</f>
        <v/>
      </c>
      <c r="DJ371">
        <f>IF($DI371="",0,IF(SUMPRODUCT(--EXACT($DI$4:DI370,$DI371))&gt;0,1,0))</f>
        <v/>
      </c>
      <c r="DK371">
        <f>IF(AND($DI371&lt;&gt;"",$DJ371=0),1,0)</f>
        <v/>
      </c>
      <c r="DL371">
        <f>DL370+$DK371</f>
        <v/>
      </c>
      <c r="DM371">
        <f>IF(AND($DK371=1,$DL371&lt;=600),1,0)</f>
        <v/>
      </c>
      <c r="DN371">
        <f>IF($DM371=0,"",IF($L$6=0,"",IFERROR(IF(ISNUMBER(INDEX(PASTE_ALL,$DF371,$L$6)),INDEX(PASTE_ALL,$DF371,$L$6),TRIM(SUBSTITUTE(SUBSTITUTE(SUBSTITUTE(SUBSTITUTE(INDEX(PASTE_ALL,$DF371,$L$6)," "," "),CHAR(9)," "),CHAR(10)," "),CHAR(13)," "))),"")))</f>
        <v/>
      </c>
      <c r="DO371">
        <f>IF($DM371=0,"",IF($L$7=0,"",IFERROR(IF(ISNUMBER(INDEX(PASTE_ALL,$DF371,$L$7)),INDEX(PASTE_ALL,$DF371,$L$7),TRIM(SUBSTITUTE(SUBSTITUTE(SUBSTITUTE(SUBSTITUTE(INDEX(PASTE_ALL,$DF371,$L$7)," "," "),CHAR(9)," "),CHAR(10)," "),CHAR(13)," "))),"")))</f>
        <v/>
      </c>
      <c r="DP371">
        <f>IF($DM371=0,"",IF($L$8=0,"",IFERROR(IF(ISNUMBER(INDEX(PASTE_ALL,$DF371,$L$8)),INDEX(PASTE_ALL,$DF371,$L$8),TRIM(SUBSTITUTE(SUBSTITUTE(SUBSTITUTE(SUBSTITUTE(INDEX(PASTE_ALL,$DF371,$L$8)," "," "),CHAR(9)," "),CHAR(10)," "),CHAR(13)," "))),"")))</f>
        <v/>
      </c>
      <c r="DQ371">
        <f>IF($DM371=0,"",IF($L$9=0,"",IFERROR(IF(ISNUMBER(INDEX(PASTE_ALL,$DF371,$L$9)),INDEX(PASTE_ALL,$DF371,$L$9),TRIM(SUBSTITUTE(SUBSTITUTE(SUBSTITUTE(SUBSTITUTE(INDEX(PASTE_ALL,$DF371,$L$9)," "," "),CHAR(9)," "),CHAR(10)," "),CHAR(13)," "))),"")))</f>
        <v/>
      </c>
      <c r="DR371">
        <f>IF($DM371=0,"",IF($L$10=0,"",IFERROR(IF(ISNUMBER(INDEX(PASTE_ALL,$DF371,$L$10)),INDEX(PASTE_ALL,$DF371,$L$10),TRIM(SUBSTITUTE(SUBSTITUTE(SUBSTITUTE(SUBSTITUTE(INDEX(PASTE_ALL,$DF371,$L$10)," "," "),CHAR(9)," "),CHAR(10)," "),CHAR(13)," "))),"")))</f>
        <v/>
      </c>
      <c r="DS371">
        <f>IF($DM371=0,"",IF($L$11=0,"",IFERROR(IF(ISNUMBER(INDEX(PASTE_ALL,$DF371,$L$11)),INDEX(PASTE_ALL,$DF371,$L$11),TRIM(SUBSTITUTE(SUBSTITUTE(SUBSTITUTE(SUBSTITUTE(INDEX(PASTE_ALL,$DF371,$L$11)," "," "),CHAR(9)," "),CHAR(10)," "),CHAR(13)," "))),"")))</f>
        <v/>
      </c>
      <c r="DT371">
        <f>IF($DM371=0,"",IF($L$12=0,"",IFERROR(IF(ISNUMBER(INDEX(PASTE_ALL,$DF371,$L$12)),INDEX(PASTE_ALL,$DF371,$L$12),TRIM(SUBSTITUTE(SUBSTITUTE(SUBSTITUTE(SUBSTITUTE(INDEX(PASTE_ALL,$DF371,$L$12)," "," "),CHAR(9)," "),CHAR(10)," "),CHAR(13)," "))),"")))</f>
        <v/>
      </c>
      <c r="DU371">
        <f>IF($DM371=0,"",IF($L$13=0,"",IFERROR(IF(ISNUMBER(INDEX(PASTE_ALL,$DF371,$L$13)),INDEX(PASTE_ALL,$DF371,$L$13),TRIM(SUBSTITUTE(SUBSTITUTE(SUBSTITUTE(SUBSTITUTE(INDEX(PASTE_ALL,$DF371,$L$13)," "," "),CHAR(9)," "),CHAR(10)," "),CHAR(13)," "))),"")))</f>
        <v/>
      </c>
      <c r="DV371">
        <f>IF($DM371=0,"",IF($L$14=0,"",IFERROR(IF(ISNUMBER(INDEX(PASTE_ALL,$DF371,$L$14)),INDEX(PASTE_ALL,$DF371,$L$14),TRIM(SUBSTITUTE(SUBSTITUTE(SUBSTITUTE(SUBSTITUTE(INDEX(PASTE_ALL,$DF371,$L$14)," "," "),CHAR(9)," "),CHAR(10)," "),CHAR(13)," "))),"")))</f>
        <v/>
      </c>
      <c r="DW371">
        <f>IF($DM371=0,"",IF($L$15=0,"",IFERROR(IF(ISNUMBER(INDEX(PASTE_ALL,$DF371,$L$15)),INDEX(PASTE_ALL,$DF371,$L$15),IF(SUMPRODUCT(--ISNUMBER(FIND({"A","B","C","D","E","F","G","H","I","J","K","L","M","N","O","P","Q","R","S","T","U","V","W","X","Y","Z","0","1","2","3","4","5","6","7","8","9"},UPPER(TRIM(SUBSTITUTE(SUBSTITUTE(SUBSTITUTE(SUBSTITUTE(INDEX(PASTE_ALL,$DF371,$L$15)," "," "),CHAR(9)," "),CHAR(10)," "),CHAR(13)," "))))))&gt;0,TRIM(SUBSTITUTE(SUBSTITUTE(SUBSTITUTE(SUBSTITUTE(INDEX(PASTE_ALL,$DF371,$L$15)," "," "),CHAR(9)," "),CHAR(10)," "),CHAR(13)," ")),"")),"")))</f>
        <v/>
      </c>
      <c r="DX371">
        <f>IF($DM371=0,"",IF($L$16=0,"",IFERROR(IF(ISNUMBER(INDEX(PASTE_ALL,$DF371,$L$16)),INDEX(PASTE_ALL,$DF371,$L$16),SUBSTITUTE(SUBSTITUTE(TRIM(SUBSTITUTE(SUBSTITUTE(SUBSTITUTE(SUBSTITUTE(INDEX(PASTE_ALL,$DF371,$L$16)," "," "),CHAR(9)," "),CHAR(10)," "),CHAR(13)," ")),",",""),"%","")),"")))</f>
        <v/>
      </c>
      <c r="DY371">
        <f>IF($DM371=0,"",IFERROR(IF(ISNUMBER($DX371),$DX371,IF($DX371="","",IF(TRIM($DX371)="",0,IF(AND(AND(SUBSTITUTE(SUBSTITUTE(SUBSTITUTE(SUBSTITUTE(SUBSTITUTE(SUBSTITUTE(SUBSTITUTE(SUBSTITUTE(SUBSTITUTE(SUBSTITUTE(SUBSTITUTE(SUBSTITUTE(SUBSTITUTE(SUBSTITUTE(UPPER(TRIM($DX371)),"0",""),"1",""),"2",""),"3",""),"4",""),"5",""),"6",""),"7",""),"8",""),"9",""),".",""),"+",""),"-",""),"E","")="",LEN(SUBSTITUTE(SUBSTITUTE(MID(UPPER(TRIM($DX371)),1+OR(LEFT(UPPER(TRIM($DX371)),1)="+",LEFT(UPPER(TRIM($DX371)),1)="-"),999),"E+","E"),"E-","E"))=LEN(SUBSTITUTE(SUBSTITUTE(SUBSTITUTE(SUBSTITUTE(MID(UPPER(TRIM($DX371)),1+OR(LEFT(UPPER(TRIM($DX371)),1)="+",LEFT(UPPER(TRIM($DX371)),1)="-"),999),"E+","E"),"E-","E"),"+",""),"-","")),LEN(UPPER(TRIM($DX371)))-LEN(SUBSTITUTE(UPPER(TRIM($DX371)),"E",""))&lt;2,LEN(UPPER(TRIM($DX371)))-LEN(SUBSTITUTE(UPPER(TRIM($DX371)),".",""))&lt;2,IFERROR(FIND(".",UPPER(TRIM($DX371))),0)&lt;IFERROR(FIND("E",UPPER(TRIM($DX371))),999)),ISNUMBER(VALUE(TRIM($DX371)))),VALUE(TRIM($DX371)),"")))),""))</f>
        <v/>
      </c>
      <c r="DZ371">
        <f>IF($DM371=0,"",IF($L$17=0,"",IFERROR(IF(ISNUMBER(INDEX(PASTE_ALL,$DF371,$L$17)),INDEX(PASTE_ALL,$DF371,$L$17),SUBSTITUTE(SUBSTITUTE(TRIM(SUBSTITUTE(SUBSTITUTE(SUBSTITUTE(SUBSTITUTE(INDEX(PASTE_ALL,$DF371,$L$17)," "," "),CHAR(9)," "),CHAR(10)," "),CHAR(13)," ")),",",""),"%","")),"")))</f>
        <v/>
      </c>
      <c r="EA371">
        <f>IF($DM371=0,"",IFERROR(IF(ISNUMBER($DZ371),$DZ371,IF($DZ371="","",IF(TRIM($DZ371)="",0,IF(AND(AND(SUBSTITUTE(SUBSTITUTE(SUBSTITUTE(SUBSTITUTE(SUBSTITUTE(SUBSTITUTE(SUBSTITUTE(SUBSTITUTE(SUBSTITUTE(SUBSTITUTE(SUBSTITUTE(SUBSTITUTE(SUBSTITUTE(SUBSTITUTE(UPPER(TRIM($DZ371)),"0",""),"1",""),"2",""),"3",""),"4",""),"5",""),"6",""),"7",""),"8",""),"9",""),".",""),"+",""),"-",""),"E","")="",LEN(SUBSTITUTE(SUBSTITUTE(MID(UPPER(TRIM($DZ371)),1+OR(LEFT(UPPER(TRIM($DZ371)),1)="+",LEFT(UPPER(TRIM($DZ371)),1)="-"),999),"E+","E"),"E-","E"))=LEN(SUBSTITUTE(SUBSTITUTE(SUBSTITUTE(SUBSTITUTE(MID(UPPER(TRIM($DZ371)),1+OR(LEFT(UPPER(TRIM($DZ371)),1)="+",LEFT(UPPER(TRIM($DZ371)),1)="-"),999),"E+","E"),"E-","E"),"+",""),"-","")),LEN(UPPER(TRIM($DZ371)))-LEN(SUBSTITUTE(UPPER(TRIM($DZ371)),"E",""))&lt;2,LEN(UPPER(TRIM($DZ371)))-LEN(SUBSTITUTE(UPPER(TRIM($DZ371)),".",""))&lt;2,IFERROR(FIND(".",UPPER(TRIM($DZ371))),0)&lt;IFERROR(FIND("E",UPPER(TRIM($DZ371))),999)),ISNUMBER(VALUE(TRIM($DZ371)))),VALUE(TRIM($DZ371)),"")))),""))</f>
        <v/>
      </c>
      <c r="EB371">
        <f>IF($DM371=0,"",IF($L$18=0,"",IFERROR(IF(UPPER(TRIM(SUBSTITUTE(SUBSTITUTE(SUBSTITUTE(SUBSTITUTE(INDEX(PASTE_ALL,$DF371,$L$18)," "," "),CHAR(9)," "),CHAR(10)," "),CHAR(13)," ")))="READY","Ready",IF(UPPER(TRIM(SUBSTITUTE(SUBSTITUTE(SUBSTITUTE(SUBSTITUTE(INDEX(PASTE_ALL,$DF371,$L$18)," "," "),CHAR(9)," "),CHAR(10)," "),CHAR(13)," ")))="PM","PM",IF(OR(UPPER(TRIM(SUBSTITUTE(SUBSTITUTE(SUBSTITUTE(SUBSTITUTE(INDEX(PASTE_ALL,$DF371,$L$18)," "," "),CHAR(9)," "),CHAR(10)," "),CHAR(13)," ")))="OT",UPPER(TRIM(SUBSTITUTE(SUBSTITUTE(SUBSTITUTE(SUBSTITUTE(INDEX(PASTE_ALL,$DF371,$L$18)," "," "),CHAR(9)," "),CHAR(10)," "),CHAR(13)," ")))="OVERTIME",UPPER(TRIM(SUBSTITUTE(SUBSTITUTE(SUBSTITUTE(SUBSTITUTE(INDEX(PASTE_ALL,$DF371,$L$18)," "," "),CHAR(9)," "),CHAR(10)," "),CHAR(13)," ")))="TRIAL"),"OT",TRIM(SUBSTITUTE(SUBSTITUTE(SUBSTITUTE(SUBSTITUTE(INDEX(PASTE_ALL,$DF371,$L$18)," "," "),CHAR(9)," "),CHAR(10)," "),CHAR(13)," "))))),"")))</f>
        <v/>
      </c>
      <c r="EC371">
        <f>IF($DM371=0,"",IF($L$19=0,"",IFERROR(IF(ISNUMBER(INDEX(PASTE_ALL,$DF371,$L$19)),INDEX(PASTE_ALL,$DF371,$L$19),TRIM(SUBSTITUTE(SUBSTITUTE(SUBSTITUTE(SUBSTITUTE(INDEX(PASTE_ALL,$DF371,$L$19)," "," "),CHAR(9)," "),CHAR(10)," "),CHAR(13)," "))),"")))</f>
        <v/>
      </c>
      <c r="ED371">
        <f>IF($DM371=0,"",MATCH(1,INDEX(EXACT($DH$5:DH371,$DH371)*$DM$5:DM371,0),0))</f>
        <v/>
      </c>
      <c r="EE371">
        <f>IF($DM371=0,0,IF($ED371=$DE371,1,0))</f>
        <v/>
      </c>
      <c r="EF371">
        <f>EF370+$EE371</f>
        <v/>
      </c>
      <c r="EG371">
        <f>IF($DM371=0,"",INDEX($EF$5:$EF$1003,$ED371))</f>
        <v/>
      </c>
      <c r="EH371">
        <f>IF($DM371=0,"",IF($DO371&lt;&gt;"","",IFERROR(LOOKUP(2,1/(($EG$4:EG370=$EG371)*($DO$4:DO370&lt;&gt;"")),$DO$4:DO370),"")))</f>
        <v/>
      </c>
      <c r="EI371">
        <f>IF($DM371=0,"",IF($DO371&lt;&gt;"",$DO371,$EH371))</f>
        <v/>
      </c>
      <c r="EJ371">
        <f>IF($DM371=0,"",IF($EI371="",0,IF(OR(ISNUMBER($EI371),AND(AND(SUBSTITUTE(SUBSTITUTE(SUBSTITUTE(SUBSTITUTE(SUBSTITUTE(SUBSTITUTE(SUBSTITUTE(SUBSTITUTE(SUBSTITUTE(SUBSTITUTE(SUBSTITUTE(SUBSTITUTE(SUBSTITUTE(SUBSTITUTE(UPPER($EI371),"0",""),"1",""),"2",""),"3",""),"4",""),"5",""),"6",""),"7",""),"8",""),"9",""),".",""),"+",""),"-",""),"E","")="",LEN(SUBSTITUTE(SUBSTITUTE(MID(UPPER($EI371),1+OR(LEFT(UPPER($EI371),1)="+",LEFT(UPPER($EI371),1)="-"),999),"E+","E"),"E-","E"))=LEN(SUBSTITUTE(SUBSTITUTE(SUBSTITUTE(SUBSTITUTE(MID(UPPER($EI371),1+OR(LEFT(UPPER($EI371),1)="+",LEFT(UPPER($EI371),1)="-"),999),"E+","E"),"E-","E"),"+",""),"-","")),LEN(UPPER($EI371))-LEN(SUBSTITUTE(UPPER($EI371),"E",""))&lt;2,LEN(UPPER($EI371))-LEN(SUBSTITUTE(UPPER($EI371),".",""))&lt;2,IFERROR(FIND(".",UPPER($EI371)),0)&lt;IFERROR(FIND("E",UPPER($EI371)),999)),ISNUMBER(VALUE($EI371)))),1,2)))</f>
        <v/>
      </c>
      <c r="EK371">
        <f>IF($DM371=0,"",IF($EJ371=1,IF(ISNUMBER($EI371),$EI371,VALUE($EI371)),IF($EJ371=2,$DE371,0)))</f>
        <v/>
      </c>
      <c r="EL371">
        <f>IF($DM371=0,"",COUNTIF($EG$5:$EG$1003,"&lt;"&amp;$EG371)+SUMPRODUCT(($EG$5:$EG$1003=$EG371)*(($EJ$5:$EJ$1003&lt;$EJ371)+($EJ$5:$EJ$1003=$EJ371)*(($EK$5:$EK$1003&lt;$EK371)+($EK$5:$EK$1003=$EK371)*($DE$5:$DE$1003&lt;$DE371))))+1)</f>
        <v/>
      </c>
      <c r="EM371">
        <f>IF($DM371=0,"",$EL371+$EG371-1)</f>
        <v/>
      </c>
      <c r="EN371">
        <f>IF($DM371=0,0,IFERROR(MATCH(1,INDEX(--(TRIM(SUBSTITUTE(SUBSTITUTE(SUBSTITUTE(SUBSTITUTE(LINES_NAME&amp;""," "," "),CHAR(9)," "),CHAR(10)," "),CHAR(13)," "))=$DH371),0),0),0))</f>
        <v/>
      </c>
      <c r="EO371">
        <f>IF($EN371=0,0,IF(OR(UPPER(TRIM(INDEX(LINES_SCHEDULED,$EN371)&amp;""))="YES",UPPER(TRIM(INDEX(LINES_SCHEDULED,$EN371)&amp;""))="Y",UPPER(TRIM(INDEX(LINES_SCHEDULED,$EN371)&amp;""))="X"),1,0))</f>
        <v/>
      </c>
      <c r="EP371">
        <f>IF($DM371=0,"",IF(COUNTIFS($EG$5:$EG$1003,$EG371,$EB$5:$EB$1003,"Ready")&gt;0,"READY",IF(COUNTIFS($EG$5:$EG$1003,$EG371,$EB$5:$EB$1003,"PM")&gt;0,"PM",IF(COUNTIFS($EG$5:$EG$1003,$EG371,$EB$5:$EB$1003,"OT")&gt;0,"OT",""))))</f>
        <v/>
      </c>
      <c r="EQ371">
        <f>IF($EN371=0,"",UPPER(TRIM(INDEX(LINES_STATUS,$EN371)&amp;"")))</f>
        <v/>
      </c>
      <c r="ER371">
        <f>IF($DM371=0,"",IF(OR($EQ371="READY",$EQ371="PM",$EQ371="OT"),$EQ371,$EP371))</f>
        <v/>
      </c>
      <c r="ES371">
        <f>IF($DM371=0,"",IF(AND($DV371&lt;&gt;"",UPPER($DV371)&lt;&gt;"N"),"allergen",IF(ISNUMBER(SEARCH("oil",$DQ371)),"oil",IF(OR(EXACT($DS371,"A662"),EXACT($DS371,"A624")),"bulk",""))))</f>
        <v/>
      </c>
      <c r="ET371">
        <f>IF($DM371=0,"",IF(OR($EA371="",$EA371=0),"",$EA371/100))</f>
        <v/>
      </c>
      <c r="EU371">
        <f>IF(OR($ET371="",$DY371=""),"",INT($DY371*(1-$ET371)+0.5))</f>
        <v/>
      </c>
      <c r="EW371" t="n">
        <v>367</v>
      </c>
      <c r="EX371">
        <f>IFERROR(MATCH($EW371,$EM$5:$EM$1003,0),0)</f>
        <v/>
      </c>
      <c r="EY371">
        <f>IF($EW371&gt;$B$12,"",IF($EX371&gt;0,"row","spacer"))</f>
        <v/>
      </c>
      <c r="EZ371">
        <f>IF(AND($EY371="row",$EY370&lt;&gt;"row"),1,0)</f>
        <v/>
      </c>
      <c r="FA371">
        <f>IF(AND($EY371="row",$EY372&lt;&gt;"row"),1,0)</f>
        <v/>
      </c>
      <c r="FB371">
        <f>IF($EZ371=1,IFERROR(IF(ISNUMBER(INDEX(PASTE_ALL,INDEX($DF$5:$DF$1003,$EX371),$B$37)),INDEX(PASTE_ALL,INDEX($DF$5:$DF$1003,$EX371),$B$37),INDEX($DH$5:$DH$1003,$EX371)),INDEX($DH$5:$DH$1003,$EX371)),"")</f>
        <v/>
      </c>
      <c r="FC371">
        <f>IF($EY371="row",INDEX($ER$5:$ER$1003,$EX371),"")</f>
        <v/>
      </c>
      <c r="FD371">
        <f>IF($EY371="row",INDEX($DN$5:$DN$1003,$EX371),"")</f>
        <v/>
      </c>
      <c r="FE371">
        <f>IF($EY371="row",INDEX($DO$5:$DO$1003,$EX371),"")</f>
        <v/>
      </c>
      <c r="FF371">
        <f>IF($EY371="row",INDEX($DP$5:$DP$1003,$EX371),"")</f>
        <v/>
      </c>
      <c r="FG371">
        <f>IF($EY371="row",INDEX($DQ$5:$DQ$1003,$EX371),"")</f>
        <v/>
      </c>
      <c r="FH371">
        <f>IF($EY371="row",INDEX($DR$5:$DR$1003,$EX371),"")</f>
        <v/>
      </c>
      <c r="FI371">
        <f>IF($EY371="row",INDEX($DS$5:$DS$1003,$EX371),"")</f>
        <v/>
      </c>
      <c r="FJ371">
        <f>IF($EY371="row",INDEX($DT$5:$DT$1003,$EX371),"")</f>
        <v/>
      </c>
      <c r="FK371">
        <f>IF($EY371="row",INDEX($DU$5:$DU$1003,$EX371),"")</f>
        <v/>
      </c>
      <c r="FL371">
        <f>IF($EY371="row",INDEX($DV$5:$DV$1003,$EX371),"")</f>
        <v/>
      </c>
      <c r="FM371">
        <f>IF($EY371="row",INDEX($DW$5:$DW$1003,$EX371),"")</f>
        <v/>
      </c>
      <c r="FN371">
        <f>IF($EY371="row",INDEX($DY$5:$DY$1003,$EX371),"")</f>
        <v/>
      </c>
      <c r="FO371">
        <f>IF($EY371="row",INDEX($EA$5:$EA$1003,$EX371),"")</f>
        <v/>
      </c>
      <c r="FP371">
        <f>IF($EY371="row",INDEX($EC$5:$EC$1003,$EX371),"")</f>
        <v/>
      </c>
      <c r="FQ371">
        <f>IF($EY371="row",INDEX($ET$5:$ET$1003,$EX371),"")</f>
        <v/>
      </c>
      <c r="FR371">
        <f>IF($EY371="row",INDEX($EU$5:$EU$1003,$EX371),"")</f>
        <v/>
      </c>
      <c r="FS371">
        <f>IF(AND($EY371="row",$EY370="row"),IF(OR(INDEX($DT$5:$DT$1003,$EX370)="",INDEX($DT$5:$DT$1003,$EX371)=""),"",IF(NOT(EXACT(INDEX($DT$5:$DT$1003,$EX370),INDEX($DT$5:$DT$1003,$EX371))),"S4",IF(NOT(EXACT(INDEX($DS$5:$DS$1003,$EX370),INDEX($DS$5:$DS$1003,$EX371))),"S3",IF(NOT(EXACT(INDEX($DR$5:$DR$1003,$EX370),INDEX($DR$5:$DR$1003,$EX371))),"S1 Count Change","S1")))),"")</f>
        <v/>
      </c>
      <c r="FT371">
        <f>IF($EY371="row",INDEX($ES$5:$ES$1003,$EX371),"")</f>
        <v/>
      </c>
      <c r="FU371">
        <f>IF($EY371="row",INDEX($EO$5:$EO$1003,$EX371),0)</f>
        <v/>
      </c>
      <c r="FV371">
        <f>IF($FS371="S1 Count Change",1,0)</f>
        <v/>
      </c>
    </row>
    <row r="372">
      <c r="DA372" t="n">
        <v>368</v>
      </c>
      <c r="DB372">
        <f>IF($B$37=0,"",IFERROR(TRIM(SUBSTITUTE(SUBSTITUTE(SUBSTITUTE(SUBSTITUTE(INDEX(PASTE_ALL,368,$B$37)," "," "),CHAR(9)," "),CHAR(10)," "),CHAR(13)," ")),""))</f>
        <v/>
      </c>
      <c r="DC372">
        <f>IF(AND(368&gt;HEADER_ROW,UPPER(DB372)="LEGEND"),1,0)</f>
        <v/>
      </c>
      <c r="DE372" t="n">
        <v>368</v>
      </c>
      <c r="DF372">
        <f>HEADER_ROW+$DE372</f>
        <v/>
      </c>
      <c r="DG372">
        <f>IF(AND($DF372&lt;=1000,$DF372&lt;$B$8),1,0)</f>
        <v/>
      </c>
      <c r="DH372">
        <f>IF($DG372=1,IFERROR(INDEX($DB$5:$DB$1004,$DF372),""),"")</f>
        <v/>
      </c>
      <c r="DI372">
        <f>IF(AND($DG372=1,$DH372&lt;&gt;""),IFERROR(SUBSTITUTE(SUBSTITUTE(TRIM(SUBSTITUTE(SUBSTITUTE(SUBSTITUTE(SUBSTITUTE(IFERROR(INDEX(PASTE_ALL,$DF372,1)&amp;"","")&amp;"␟"&amp;IFERROR(INDEX(PASTE_ALL,$DF372,2)&amp;"","")&amp;"␟"&amp;IFERROR(INDEX(PASTE_ALL,$DF372,3)&amp;"","")&amp;"␟"&amp;IFERROR(INDEX(PASTE_ALL,$DF372,4)&amp;"","")&amp;"␟"&amp;IFERROR(INDEX(PASTE_ALL,$DF372,5)&amp;"","")&amp;"␟"&amp;IFERROR(INDEX(PASTE_ALL,$DF372,6)&amp;"","")&amp;"␟"&amp;IFERROR(INDEX(PASTE_ALL,$DF372,7)&amp;"","")&amp;"␟"&amp;IFERROR(INDEX(PASTE_ALL,$DF372,8)&amp;"","")&amp;"␟"&amp;IFERROR(INDEX(PASTE_ALL,$DF372,9)&amp;"","")&amp;"␟"&amp;IFERROR(INDEX(PASTE_ALL,$DF372,10)&amp;"","")&amp;"␟"&amp;IFERROR(INDEX(PASTE_ALL,$DF372,11)&amp;"","")&amp;"␟"&amp;IFERROR(INDEX(PASTE_ALL,$DF372,12)&amp;"","")&amp;"␟"&amp;IFERROR(INDEX(PASTE_ALL,$DF372,13)&amp;"","")&amp;"␟"&amp;IFERROR(INDEX(PASTE_ALL,$DF372,14)&amp;"","")&amp;"␟"&amp;IFERROR(INDEX(PASTE_ALL,$DF372,15)&amp;"","")&amp;"␟"&amp;IFERROR(INDEX(PASTE_ALL,$DF372,16)&amp;"","")&amp;"␟"&amp;IFERROR(INDEX(PASTE_ALL,$DF372,17)&amp;"","")&amp;"␟"&amp;IFERROR(INDEX(PASTE_ALL,$DF372,18)&amp;"","")&amp;"␟"&amp;IFERROR(INDEX(PASTE_ALL,$DF372,19)&amp;"","")&amp;"␟"&amp;IFERROR(INDEX(PASTE_ALL,$DF372,20)&amp;"","")&amp;"␟"&amp;IFERROR(INDEX(PASTE_ALL,$DF372,21)&amp;"","")&amp;"␟"&amp;IFERROR(INDEX(PASTE_ALL,$DF372,22)&amp;"","")&amp;"␟"&amp;IFERROR(INDEX(PASTE_ALL,$DF372,23)&amp;"","")&amp;"␟"&amp;IFERROR(INDEX(PASTE_ALL,$DF372,24)&amp;"","")&amp;"␟"&amp;IFERROR(INDEX(PASTE_ALL,$DF372,25)&amp;"","")&amp;"␟"&amp;IFERROR(INDEX(PASTE_ALL,$DF372,26)&amp;"","")&amp;"␟"&amp;IFERROR(INDEX(PASTE_ALL,$DF372,27)&amp;"","")&amp;"␟"&amp;IFERROR(INDEX(PASTE_ALL,$DF372,28)&amp;"","")&amp;"␟"&amp;IFERROR(INDEX(PASTE_ALL,$DF372,29)&amp;"","")&amp;"␟"&amp;IFERROR(INDEX(PASTE_ALL,$DF372,30)&amp;"","")&amp;"␟"&amp;IFERROR(INDEX(PASTE_ALL,$DF372,31)&amp;"","")&amp;"␟"&amp;IFERROR(INDEX(PASTE_ALL,$DF372,32)&amp;"","")&amp;"␟"&amp;IFERROR(INDEX(PASTE_ALL,$DF372,33)&amp;"","")&amp;"␟"&amp;IFERROR(INDEX(PASTE_ALL,$DF372,34)&amp;"","")&amp;"␟"&amp;IFERROR(INDEX(PASTE_ALL,$DF372,35)&amp;"","")&amp;"␟"&amp;IFERROR(INDEX(PASTE_ALL,$DF372,36)&amp;"","")&amp;"␟"&amp;IFERROR(INDEX(PASTE_ALL,$DF372,37)&amp;"","")&amp;"␟"&amp;IFERROR(INDEX(PASTE_ALL,$DF372,38)&amp;"","")&amp;"␟"&amp;IFERROR(INDEX(PASTE_ALL,$DF372,39)&amp;"","")&amp;"␟"&amp;IFERROR(INDEX(PASTE_ALL,$DF372,40)&amp;"","")&amp;"␟"&amp;IFERROR(INDEX(PASTE_ALL,$DF372,41)&amp;"","")&amp;"␟"&amp;IFERROR(INDEX(PASTE_ALL,$DF372,42)&amp;"","")&amp;"␟"&amp;IFERROR(INDEX(PASTE_ALL,$DF372,43)&amp;"","")&amp;"␟"&amp;IFERROR(INDEX(PASTE_ALL,$DF372,44)&amp;"","")&amp;"␟"&amp;IFERROR(INDEX(PASTE_ALL,$DF372,45)&amp;"","")&amp;"␟"&amp;IFERROR(INDEX(PASTE_ALL,$DF372,46)&amp;"","")&amp;"␟"&amp;IFERROR(INDEX(PASTE_ALL,$DF372,47)&amp;"","")&amp;"␟"&amp;IFERROR(INDEX(PASTE_ALL,$DF372,48)&amp;"","")&amp;"␟"&amp;IFERROR(INDEX(PASTE_ALL,$DF372,49)&amp;"","")&amp;"␟"&amp;IFERROR(INDEX(PASTE_ALL,$DF372,50)&amp;"","")&amp;"␟"&amp;IFERROR(INDEX(PASTE_ALL,$DF372,51)&amp;"","")&amp;"␟"&amp;IFERROR(INDEX(PASTE_ALL,$DF372,52)&amp;"","")&amp;"␟"&amp;IFERROR(INDEX(PASTE_ALL,$DF372,53)&amp;"","")&amp;"␟"&amp;IFERROR(INDEX(PASTE_ALL,$DF372,54)&amp;"","")&amp;"␟"&amp;IFERROR(INDEX(PASTE_ALL,$DF372,55)&amp;"","")&amp;"␟"&amp;IFERROR(INDEX(PASTE_ALL,$DF372,56)&amp;"","")&amp;"␟"&amp;IFERROR(INDEX(PASTE_ALL,$DF372,57)&amp;"","")&amp;"␟"&amp;IFERROR(INDEX(PASTE_ALL,$DF372,58)&amp;"","")&amp;"␟"&amp;IFERROR(INDEX(PASTE_ALL,$DF372,59)&amp;"","")&amp;"␟"&amp;IFERROR(INDEX(PASTE_ALL,$DF372,60)&amp;"","")," "," "),CHAR(9)," "),CHAR(10)," "),CHAR(13)," "))," ␟","␟"),"␟ ","␟"),"#"&amp;$DE372),"")</f>
        <v/>
      </c>
      <c r="DJ372">
        <f>IF($DI372="",0,IF(SUMPRODUCT(--EXACT($DI$4:DI371,$DI372))&gt;0,1,0))</f>
        <v/>
      </c>
      <c r="DK372">
        <f>IF(AND($DI372&lt;&gt;"",$DJ372=0),1,0)</f>
        <v/>
      </c>
      <c r="DL372">
        <f>DL371+$DK372</f>
        <v/>
      </c>
      <c r="DM372">
        <f>IF(AND($DK372=1,$DL372&lt;=600),1,0)</f>
        <v/>
      </c>
      <c r="DN372">
        <f>IF($DM372=0,"",IF($L$6=0,"",IFERROR(IF(ISNUMBER(INDEX(PASTE_ALL,$DF372,$L$6)),INDEX(PASTE_ALL,$DF372,$L$6),TRIM(SUBSTITUTE(SUBSTITUTE(SUBSTITUTE(SUBSTITUTE(INDEX(PASTE_ALL,$DF372,$L$6)," "," "),CHAR(9)," "),CHAR(10)," "),CHAR(13)," "))),"")))</f>
        <v/>
      </c>
      <c r="DO372">
        <f>IF($DM372=0,"",IF($L$7=0,"",IFERROR(IF(ISNUMBER(INDEX(PASTE_ALL,$DF372,$L$7)),INDEX(PASTE_ALL,$DF372,$L$7),TRIM(SUBSTITUTE(SUBSTITUTE(SUBSTITUTE(SUBSTITUTE(INDEX(PASTE_ALL,$DF372,$L$7)," "," "),CHAR(9)," "),CHAR(10)," "),CHAR(13)," "))),"")))</f>
        <v/>
      </c>
      <c r="DP372">
        <f>IF($DM372=0,"",IF($L$8=0,"",IFERROR(IF(ISNUMBER(INDEX(PASTE_ALL,$DF372,$L$8)),INDEX(PASTE_ALL,$DF372,$L$8),TRIM(SUBSTITUTE(SUBSTITUTE(SUBSTITUTE(SUBSTITUTE(INDEX(PASTE_ALL,$DF372,$L$8)," "," "),CHAR(9)," "),CHAR(10)," "),CHAR(13)," "))),"")))</f>
        <v/>
      </c>
      <c r="DQ372">
        <f>IF($DM372=0,"",IF($L$9=0,"",IFERROR(IF(ISNUMBER(INDEX(PASTE_ALL,$DF372,$L$9)),INDEX(PASTE_ALL,$DF372,$L$9),TRIM(SUBSTITUTE(SUBSTITUTE(SUBSTITUTE(SUBSTITUTE(INDEX(PASTE_ALL,$DF372,$L$9)," "," "),CHAR(9)," "),CHAR(10)," "),CHAR(13)," "))),"")))</f>
        <v/>
      </c>
      <c r="DR372">
        <f>IF($DM372=0,"",IF($L$10=0,"",IFERROR(IF(ISNUMBER(INDEX(PASTE_ALL,$DF372,$L$10)),INDEX(PASTE_ALL,$DF372,$L$10),TRIM(SUBSTITUTE(SUBSTITUTE(SUBSTITUTE(SUBSTITUTE(INDEX(PASTE_ALL,$DF372,$L$10)," "," "),CHAR(9)," "),CHAR(10)," "),CHAR(13)," "))),"")))</f>
        <v/>
      </c>
      <c r="DS372">
        <f>IF($DM372=0,"",IF($L$11=0,"",IFERROR(IF(ISNUMBER(INDEX(PASTE_ALL,$DF372,$L$11)),INDEX(PASTE_ALL,$DF372,$L$11),TRIM(SUBSTITUTE(SUBSTITUTE(SUBSTITUTE(SUBSTITUTE(INDEX(PASTE_ALL,$DF372,$L$11)," "," "),CHAR(9)," "),CHAR(10)," "),CHAR(13)," "))),"")))</f>
        <v/>
      </c>
      <c r="DT372">
        <f>IF($DM372=0,"",IF($L$12=0,"",IFERROR(IF(ISNUMBER(INDEX(PASTE_ALL,$DF372,$L$12)),INDEX(PASTE_ALL,$DF372,$L$12),TRIM(SUBSTITUTE(SUBSTITUTE(SUBSTITUTE(SUBSTITUTE(INDEX(PASTE_ALL,$DF372,$L$12)," "," "),CHAR(9)," "),CHAR(10)," "),CHAR(13)," "))),"")))</f>
        <v/>
      </c>
      <c r="DU372">
        <f>IF($DM372=0,"",IF($L$13=0,"",IFERROR(IF(ISNUMBER(INDEX(PASTE_ALL,$DF372,$L$13)),INDEX(PASTE_ALL,$DF372,$L$13),TRIM(SUBSTITUTE(SUBSTITUTE(SUBSTITUTE(SUBSTITUTE(INDEX(PASTE_ALL,$DF372,$L$13)," "," "),CHAR(9)," "),CHAR(10)," "),CHAR(13)," "))),"")))</f>
        <v/>
      </c>
      <c r="DV372">
        <f>IF($DM372=0,"",IF($L$14=0,"",IFERROR(IF(ISNUMBER(INDEX(PASTE_ALL,$DF372,$L$14)),INDEX(PASTE_ALL,$DF372,$L$14),TRIM(SUBSTITUTE(SUBSTITUTE(SUBSTITUTE(SUBSTITUTE(INDEX(PASTE_ALL,$DF372,$L$14)," "," "),CHAR(9)," "),CHAR(10)," "),CHAR(13)," "))),"")))</f>
        <v/>
      </c>
      <c r="DW372">
        <f>IF($DM372=0,"",IF($L$15=0,"",IFERROR(IF(ISNUMBER(INDEX(PASTE_ALL,$DF372,$L$15)),INDEX(PASTE_ALL,$DF372,$L$15),IF(SUMPRODUCT(--ISNUMBER(FIND({"A","B","C","D","E","F","G","H","I","J","K","L","M","N","O","P","Q","R","S","T","U","V","W","X","Y","Z","0","1","2","3","4","5","6","7","8","9"},UPPER(TRIM(SUBSTITUTE(SUBSTITUTE(SUBSTITUTE(SUBSTITUTE(INDEX(PASTE_ALL,$DF372,$L$15)," "," "),CHAR(9)," "),CHAR(10)," "),CHAR(13)," "))))))&gt;0,TRIM(SUBSTITUTE(SUBSTITUTE(SUBSTITUTE(SUBSTITUTE(INDEX(PASTE_ALL,$DF372,$L$15)," "," "),CHAR(9)," "),CHAR(10)," "),CHAR(13)," ")),"")),"")))</f>
        <v/>
      </c>
      <c r="DX372">
        <f>IF($DM372=0,"",IF($L$16=0,"",IFERROR(IF(ISNUMBER(INDEX(PASTE_ALL,$DF372,$L$16)),INDEX(PASTE_ALL,$DF372,$L$16),SUBSTITUTE(SUBSTITUTE(TRIM(SUBSTITUTE(SUBSTITUTE(SUBSTITUTE(SUBSTITUTE(INDEX(PASTE_ALL,$DF372,$L$16)," "," "),CHAR(9)," "),CHAR(10)," "),CHAR(13)," ")),",",""),"%","")),"")))</f>
        <v/>
      </c>
      <c r="DY372">
        <f>IF($DM372=0,"",IFERROR(IF(ISNUMBER($DX372),$DX372,IF($DX372="","",IF(TRIM($DX372)="",0,IF(AND(AND(SUBSTITUTE(SUBSTITUTE(SUBSTITUTE(SUBSTITUTE(SUBSTITUTE(SUBSTITUTE(SUBSTITUTE(SUBSTITUTE(SUBSTITUTE(SUBSTITUTE(SUBSTITUTE(SUBSTITUTE(SUBSTITUTE(SUBSTITUTE(UPPER(TRIM($DX372)),"0",""),"1",""),"2",""),"3",""),"4",""),"5",""),"6",""),"7",""),"8",""),"9",""),".",""),"+",""),"-",""),"E","")="",LEN(SUBSTITUTE(SUBSTITUTE(MID(UPPER(TRIM($DX372)),1+OR(LEFT(UPPER(TRIM($DX372)),1)="+",LEFT(UPPER(TRIM($DX372)),1)="-"),999),"E+","E"),"E-","E"))=LEN(SUBSTITUTE(SUBSTITUTE(SUBSTITUTE(SUBSTITUTE(MID(UPPER(TRIM($DX372)),1+OR(LEFT(UPPER(TRIM($DX372)),1)="+",LEFT(UPPER(TRIM($DX372)),1)="-"),999),"E+","E"),"E-","E"),"+",""),"-","")),LEN(UPPER(TRIM($DX372)))-LEN(SUBSTITUTE(UPPER(TRIM($DX372)),"E",""))&lt;2,LEN(UPPER(TRIM($DX372)))-LEN(SUBSTITUTE(UPPER(TRIM($DX372)),".",""))&lt;2,IFERROR(FIND(".",UPPER(TRIM($DX372))),0)&lt;IFERROR(FIND("E",UPPER(TRIM($DX372))),999)),ISNUMBER(VALUE(TRIM($DX372)))),VALUE(TRIM($DX372)),"")))),""))</f>
        <v/>
      </c>
      <c r="DZ372">
        <f>IF($DM372=0,"",IF($L$17=0,"",IFERROR(IF(ISNUMBER(INDEX(PASTE_ALL,$DF372,$L$17)),INDEX(PASTE_ALL,$DF372,$L$17),SUBSTITUTE(SUBSTITUTE(TRIM(SUBSTITUTE(SUBSTITUTE(SUBSTITUTE(SUBSTITUTE(INDEX(PASTE_ALL,$DF372,$L$17)," "," "),CHAR(9)," "),CHAR(10)," "),CHAR(13)," ")),",",""),"%","")),"")))</f>
        <v/>
      </c>
      <c r="EA372">
        <f>IF($DM372=0,"",IFERROR(IF(ISNUMBER($DZ372),$DZ372,IF($DZ372="","",IF(TRIM($DZ372)="",0,IF(AND(AND(SUBSTITUTE(SUBSTITUTE(SUBSTITUTE(SUBSTITUTE(SUBSTITUTE(SUBSTITUTE(SUBSTITUTE(SUBSTITUTE(SUBSTITUTE(SUBSTITUTE(SUBSTITUTE(SUBSTITUTE(SUBSTITUTE(SUBSTITUTE(UPPER(TRIM($DZ372)),"0",""),"1",""),"2",""),"3",""),"4",""),"5",""),"6",""),"7",""),"8",""),"9",""),".",""),"+",""),"-",""),"E","")="",LEN(SUBSTITUTE(SUBSTITUTE(MID(UPPER(TRIM($DZ372)),1+OR(LEFT(UPPER(TRIM($DZ372)),1)="+",LEFT(UPPER(TRIM($DZ372)),1)="-"),999),"E+","E"),"E-","E"))=LEN(SUBSTITUTE(SUBSTITUTE(SUBSTITUTE(SUBSTITUTE(MID(UPPER(TRIM($DZ372)),1+OR(LEFT(UPPER(TRIM($DZ372)),1)="+",LEFT(UPPER(TRIM($DZ372)),1)="-"),999),"E+","E"),"E-","E"),"+",""),"-","")),LEN(UPPER(TRIM($DZ372)))-LEN(SUBSTITUTE(UPPER(TRIM($DZ372)),"E",""))&lt;2,LEN(UPPER(TRIM($DZ372)))-LEN(SUBSTITUTE(UPPER(TRIM($DZ372)),".",""))&lt;2,IFERROR(FIND(".",UPPER(TRIM($DZ372))),0)&lt;IFERROR(FIND("E",UPPER(TRIM($DZ372))),999)),ISNUMBER(VALUE(TRIM($DZ372)))),VALUE(TRIM($DZ372)),"")))),""))</f>
        <v/>
      </c>
      <c r="EB372">
        <f>IF($DM372=0,"",IF($L$18=0,"",IFERROR(IF(UPPER(TRIM(SUBSTITUTE(SUBSTITUTE(SUBSTITUTE(SUBSTITUTE(INDEX(PASTE_ALL,$DF372,$L$18)," "," "),CHAR(9)," "),CHAR(10)," "),CHAR(13)," ")))="READY","Ready",IF(UPPER(TRIM(SUBSTITUTE(SUBSTITUTE(SUBSTITUTE(SUBSTITUTE(INDEX(PASTE_ALL,$DF372,$L$18)," "," "),CHAR(9)," "),CHAR(10)," "),CHAR(13)," ")))="PM","PM",IF(OR(UPPER(TRIM(SUBSTITUTE(SUBSTITUTE(SUBSTITUTE(SUBSTITUTE(INDEX(PASTE_ALL,$DF372,$L$18)," "," "),CHAR(9)," "),CHAR(10)," "),CHAR(13)," ")))="OT",UPPER(TRIM(SUBSTITUTE(SUBSTITUTE(SUBSTITUTE(SUBSTITUTE(INDEX(PASTE_ALL,$DF372,$L$18)," "," "),CHAR(9)," "),CHAR(10)," "),CHAR(13)," ")))="OVERTIME",UPPER(TRIM(SUBSTITUTE(SUBSTITUTE(SUBSTITUTE(SUBSTITUTE(INDEX(PASTE_ALL,$DF372,$L$18)," "," "),CHAR(9)," "),CHAR(10)," "),CHAR(13)," ")))="TRIAL"),"OT",TRIM(SUBSTITUTE(SUBSTITUTE(SUBSTITUTE(SUBSTITUTE(INDEX(PASTE_ALL,$DF372,$L$18)," "," "),CHAR(9)," "),CHAR(10)," "),CHAR(13)," "))))),"")))</f>
        <v/>
      </c>
      <c r="EC372">
        <f>IF($DM372=0,"",IF($L$19=0,"",IFERROR(IF(ISNUMBER(INDEX(PASTE_ALL,$DF372,$L$19)),INDEX(PASTE_ALL,$DF372,$L$19),TRIM(SUBSTITUTE(SUBSTITUTE(SUBSTITUTE(SUBSTITUTE(INDEX(PASTE_ALL,$DF372,$L$19)," "," "),CHAR(9)," "),CHAR(10)," "),CHAR(13)," "))),"")))</f>
        <v/>
      </c>
      <c r="ED372">
        <f>IF($DM372=0,"",MATCH(1,INDEX(EXACT($DH$5:DH372,$DH372)*$DM$5:DM372,0),0))</f>
        <v/>
      </c>
      <c r="EE372">
        <f>IF($DM372=0,0,IF($ED372=$DE372,1,0))</f>
        <v/>
      </c>
      <c r="EF372">
        <f>EF371+$EE372</f>
        <v/>
      </c>
      <c r="EG372">
        <f>IF($DM372=0,"",INDEX($EF$5:$EF$1003,$ED372))</f>
        <v/>
      </c>
      <c r="EH372">
        <f>IF($DM372=0,"",IF($DO372&lt;&gt;"","",IFERROR(LOOKUP(2,1/(($EG$4:EG371=$EG372)*($DO$4:DO371&lt;&gt;"")),$DO$4:DO371),"")))</f>
        <v/>
      </c>
      <c r="EI372">
        <f>IF($DM372=0,"",IF($DO372&lt;&gt;"",$DO372,$EH372))</f>
        <v/>
      </c>
      <c r="EJ372">
        <f>IF($DM372=0,"",IF($EI372="",0,IF(OR(ISNUMBER($EI372),AND(AND(SUBSTITUTE(SUBSTITUTE(SUBSTITUTE(SUBSTITUTE(SUBSTITUTE(SUBSTITUTE(SUBSTITUTE(SUBSTITUTE(SUBSTITUTE(SUBSTITUTE(SUBSTITUTE(SUBSTITUTE(SUBSTITUTE(SUBSTITUTE(UPPER($EI372),"0",""),"1",""),"2",""),"3",""),"4",""),"5",""),"6",""),"7",""),"8",""),"9",""),".",""),"+",""),"-",""),"E","")="",LEN(SUBSTITUTE(SUBSTITUTE(MID(UPPER($EI372),1+OR(LEFT(UPPER($EI372),1)="+",LEFT(UPPER($EI372),1)="-"),999),"E+","E"),"E-","E"))=LEN(SUBSTITUTE(SUBSTITUTE(SUBSTITUTE(SUBSTITUTE(MID(UPPER($EI372),1+OR(LEFT(UPPER($EI372),1)="+",LEFT(UPPER($EI372),1)="-"),999),"E+","E"),"E-","E"),"+",""),"-","")),LEN(UPPER($EI372))-LEN(SUBSTITUTE(UPPER($EI372),"E",""))&lt;2,LEN(UPPER($EI372))-LEN(SUBSTITUTE(UPPER($EI372),".",""))&lt;2,IFERROR(FIND(".",UPPER($EI372)),0)&lt;IFERROR(FIND("E",UPPER($EI372)),999)),ISNUMBER(VALUE($EI372)))),1,2)))</f>
        <v/>
      </c>
      <c r="EK372">
        <f>IF($DM372=0,"",IF($EJ372=1,IF(ISNUMBER($EI372),$EI372,VALUE($EI372)),IF($EJ372=2,$DE372,0)))</f>
        <v/>
      </c>
      <c r="EL372">
        <f>IF($DM372=0,"",COUNTIF($EG$5:$EG$1003,"&lt;"&amp;$EG372)+SUMPRODUCT(($EG$5:$EG$1003=$EG372)*(($EJ$5:$EJ$1003&lt;$EJ372)+($EJ$5:$EJ$1003=$EJ372)*(($EK$5:$EK$1003&lt;$EK372)+($EK$5:$EK$1003=$EK372)*($DE$5:$DE$1003&lt;$DE372))))+1)</f>
        <v/>
      </c>
      <c r="EM372">
        <f>IF($DM372=0,"",$EL372+$EG372-1)</f>
        <v/>
      </c>
      <c r="EN372">
        <f>IF($DM372=0,0,IFERROR(MATCH(1,INDEX(--(TRIM(SUBSTITUTE(SUBSTITUTE(SUBSTITUTE(SUBSTITUTE(LINES_NAME&amp;""," "," "),CHAR(9)," "),CHAR(10)," "),CHAR(13)," "))=$DH372),0),0),0))</f>
        <v/>
      </c>
      <c r="EO372">
        <f>IF($EN372=0,0,IF(OR(UPPER(TRIM(INDEX(LINES_SCHEDULED,$EN372)&amp;""))="YES",UPPER(TRIM(INDEX(LINES_SCHEDULED,$EN372)&amp;""))="Y",UPPER(TRIM(INDEX(LINES_SCHEDULED,$EN372)&amp;""))="X"),1,0))</f>
        <v/>
      </c>
      <c r="EP372">
        <f>IF($DM372=0,"",IF(COUNTIFS($EG$5:$EG$1003,$EG372,$EB$5:$EB$1003,"Ready")&gt;0,"READY",IF(COUNTIFS($EG$5:$EG$1003,$EG372,$EB$5:$EB$1003,"PM")&gt;0,"PM",IF(COUNTIFS($EG$5:$EG$1003,$EG372,$EB$5:$EB$1003,"OT")&gt;0,"OT",""))))</f>
        <v/>
      </c>
      <c r="EQ372">
        <f>IF($EN372=0,"",UPPER(TRIM(INDEX(LINES_STATUS,$EN372)&amp;"")))</f>
        <v/>
      </c>
      <c r="ER372">
        <f>IF($DM372=0,"",IF(OR($EQ372="READY",$EQ372="PM",$EQ372="OT"),$EQ372,$EP372))</f>
        <v/>
      </c>
      <c r="ES372">
        <f>IF($DM372=0,"",IF(AND($DV372&lt;&gt;"",UPPER($DV372)&lt;&gt;"N"),"allergen",IF(ISNUMBER(SEARCH("oil",$DQ372)),"oil",IF(OR(EXACT($DS372,"A662"),EXACT($DS372,"A624")),"bulk",""))))</f>
        <v/>
      </c>
      <c r="ET372">
        <f>IF($DM372=0,"",IF(OR($EA372="",$EA372=0),"",$EA372/100))</f>
        <v/>
      </c>
      <c r="EU372">
        <f>IF(OR($ET372="",$DY372=""),"",INT($DY372*(1-$ET372)+0.5))</f>
        <v/>
      </c>
      <c r="EW372" t="n">
        <v>368</v>
      </c>
      <c r="EX372">
        <f>IFERROR(MATCH($EW372,$EM$5:$EM$1003,0),0)</f>
        <v/>
      </c>
      <c r="EY372">
        <f>IF($EW372&gt;$B$12,"",IF($EX372&gt;0,"row","spacer"))</f>
        <v/>
      </c>
      <c r="EZ372">
        <f>IF(AND($EY372="row",$EY371&lt;&gt;"row"),1,0)</f>
        <v/>
      </c>
      <c r="FA372">
        <f>IF(AND($EY372="row",$EY373&lt;&gt;"row"),1,0)</f>
        <v/>
      </c>
      <c r="FB372">
        <f>IF($EZ372=1,IFERROR(IF(ISNUMBER(INDEX(PASTE_ALL,INDEX($DF$5:$DF$1003,$EX372),$B$37)),INDEX(PASTE_ALL,INDEX($DF$5:$DF$1003,$EX372),$B$37),INDEX($DH$5:$DH$1003,$EX372)),INDEX($DH$5:$DH$1003,$EX372)),"")</f>
        <v/>
      </c>
      <c r="FC372">
        <f>IF($EY372="row",INDEX($ER$5:$ER$1003,$EX372),"")</f>
        <v/>
      </c>
      <c r="FD372">
        <f>IF($EY372="row",INDEX($DN$5:$DN$1003,$EX372),"")</f>
        <v/>
      </c>
      <c r="FE372">
        <f>IF($EY372="row",INDEX($DO$5:$DO$1003,$EX372),"")</f>
        <v/>
      </c>
      <c r="FF372">
        <f>IF($EY372="row",INDEX($DP$5:$DP$1003,$EX372),"")</f>
        <v/>
      </c>
      <c r="FG372">
        <f>IF($EY372="row",INDEX($DQ$5:$DQ$1003,$EX372),"")</f>
        <v/>
      </c>
      <c r="FH372">
        <f>IF($EY372="row",INDEX($DR$5:$DR$1003,$EX372),"")</f>
        <v/>
      </c>
      <c r="FI372">
        <f>IF($EY372="row",INDEX($DS$5:$DS$1003,$EX372),"")</f>
        <v/>
      </c>
      <c r="FJ372">
        <f>IF($EY372="row",INDEX($DT$5:$DT$1003,$EX372),"")</f>
        <v/>
      </c>
      <c r="FK372">
        <f>IF($EY372="row",INDEX($DU$5:$DU$1003,$EX372),"")</f>
        <v/>
      </c>
      <c r="FL372">
        <f>IF($EY372="row",INDEX($DV$5:$DV$1003,$EX372),"")</f>
        <v/>
      </c>
      <c r="FM372">
        <f>IF($EY372="row",INDEX($DW$5:$DW$1003,$EX372),"")</f>
        <v/>
      </c>
      <c r="FN372">
        <f>IF($EY372="row",INDEX($DY$5:$DY$1003,$EX372),"")</f>
        <v/>
      </c>
      <c r="FO372">
        <f>IF($EY372="row",INDEX($EA$5:$EA$1003,$EX372),"")</f>
        <v/>
      </c>
      <c r="FP372">
        <f>IF($EY372="row",INDEX($EC$5:$EC$1003,$EX372),"")</f>
        <v/>
      </c>
      <c r="FQ372">
        <f>IF($EY372="row",INDEX($ET$5:$ET$1003,$EX372),"")</f>
        <v/>
      </c>
      <c r="FR372">
        <f>IF($EY372="row",INDEX($EU$5:$EU$1003,$EX372),"")</f>
        <v/>
      </c>
      <c r="FS372">
        <f>IF(AND($EY372="row",$EY371="row"),IF(OR(INDEX($DT$5:$DT$1003,$EX371)="",INDEX($DT$5:$DT$1003,$EX372)=""),"",IF(NOT(EXACT(INDEX($DT$5:$DT$1003,$EX371),INDEX($DT$5:$DT$1003,$EX372))),"S4",IF(NOT(EXACT(INDEX($DS$5:$DS$1003,$EX371),INDEX($DS$5:$DS$1003,$EX372))),"S3",IF(NOT(EXACT(INDEX($DR$5:$DR$1003,$EX371),INDEX($DR$5:$DR$1003,$EX372))),"S1 Count Change","S1")))),"")</f>
        <v/>
      </c>
      <c r="FT372">
        <f>IF($EY372="row",INDEX($ES$5:$ES$1003,$EX372),"")</f>
        <v/>
      </c>
      <c r="FU372">
        <f>IF($EY372="row",INDEX($EO$5:$EO$1003,$EX372),0)</f>
        <v/>
      </c>
      <c r="FV372">
        <f>IF($FS372="S1 Count Change",1,0)</f>
        <v/>
      </c>
    </row>
    <row r="373">
      <c r="DA373" t="n">
        <v>369</v>
      </c>
      <c r="DB373">
        <f>IF($B$37=0,"",IFERROR(TRIM(SUBSTITUTE(SUBSTITUTE(SUBSTITUTE(SUBSTITUTE(INDEX(PASTE_ALL,369,$B$37)," "," "),CHAR(9)," "),CHAR(10)," "),CHAR(13)," ")),""))</f>
        <v/>
      </c>
      <c r="DC373">
        <f>IF(AND(369&gt;HEADER_ROW,UPPER(DB373)="LEGEND"),1,0)</f>
        <v/>
      </c>
      <c r="DE373" t="n">
        <v>369</v>
      </c>
      <c r="DF373">
        <f>HEADER_ROW+$DE373</f>
        <v/>
      </c>
      <c r="DG373">
        <f>IF(AND($DF373&lt;=1000,$DF373&lt;$B$8),1,0)</f>
        <v/>
      </c>
      <c r="DH373">
        <f>IF($DG373=1,IFERROR(INDEX($DB$5:$DB$1004,$DF373),""),"")</f>
        <v/>
      </c>
      <c r="DI373">
        <f>IF(AND($DG373=1,$DH373&lt;&gt;""),IFERROR(SUBSTITUTE(SUBSTITUTE(TRIM(SUBSTITUTE(SUBSTITUTE(SUBSTITUTE(SUBSTITUTE(IFERROR(INDEX(PASTE_ALL,$DF373,1)&amp;"","")&amp;"␟"&amp;IFERROR(INDEX(PASTE_ALL,$DF373,2)&amp;"","")&amp;"␟"&amp;IFERROR(INDEX(PASTE_ALL,$DF373,3)&amp;"","")&amp;"␟"&amp;IFERROR(INDEX(PASTE_ALL,$DF373,4)&amp;"","")&amp;"␟"&amp;IFERROR(INDEX(PASTE_ALL,$DF373,5)&amp;"","")&amp;"␟"&amp;IFERROR(INDEX(PASTE_ALL,$DF373,6)&amp;"","")&amp;"␟"&amp;IFERROR(INDEX(PASTE_ALL,$DF373,7)&amp;"","")&amp;"␟"&amp;IFERROR(INDEX(PASTE_ALL,$DF373,8)&amp;"","")&amp;"␟"&amp;IFERROR(INDEX(PASTE_ALL,$DF373,9)&amp;"","")&amp;"␟"&amp;IFERROR(INDEX(PASTE_ALL,$DF373,10)&amp;"","")&amp;"␟"&amp;IFERROR(INDEX(PASTE_ALL,$DF373,11)&amp;"","")&amp;"␟"&amp;IFERROR(INDEX(PASTE_ALL,$DF373,12)&amp;"","")&amp;"␟"&amp;IFERROR(INDEX(PASTE_ALL,$DF373,13)&amp;"","")&amp;"␟"&amp;IFERROR(INDEX(PASTE_ALL,$DF373,14)&amp;"","")&amp;"␟"&amp;IFERROR(INDEX(PASTE_ALL,$DF373,15)&amp;"","")&amp;"␟"&amp;IFERROR(INDEX(PASTE_ALL,$DF373,16)&amp;"","")&amp;"␟"&amp;IFERROR(INDEX(PASTE_ALL,$DF373,17)&amp;"","")&amp;"␟"&amp;IFERROR(INDEX(PASTE_ALL,$DF373,18)&amp;"","")&amp;"␟"&amp;IFERROR(INDEX(PASTE_ALL,$DF373,19)&amp;"","")&amp;"␟"&amp;IFERROR(INDEX(PASTE_ALL,$DF373,20)&amp;"","")&amp;"␟"&amp;IFERROR(INDEX(PASTE_ALL,$DF373,21)&amp;"","")&amp;"␟"&amp;IFERROR(INDEX(PASTE_ALL,$DF373,22)&amp;"","")&amp;"␟"&amp;IFERROR(INDEX(PASTE_ALL,$DF373,23)&amp;"","")&amp;"␟"&amp;IFERROR(INDEX(PASTE_ALL,$DF373,24)&amp;"","")&amp;"␟"&amp;IFERROR(INDEX(PASTE_ALL,$DF373,25)&amp;"","")&amp;"␟"&amp;IFERROR(INDEX(PASTE_ALL,$DF373,26)&amp;"","")&amp;"␟"&amp;IFERROR(INDEX(PASTE_ALL,$DF373,27)&amp;"","")&amp;"␟"&amp;IFERROR(INDEX(PASTE_ALL,$DF373,28)&amp;"","")&amp;"␟"&amp;IFERROR(INDEX(PASTE_ALL,$DF373,29)&amp;"","")&amp;"␟"&amp;IFERROR(INDEX(PASTE_ALL,$DF373,30)&amp;"","")&amp;"␟"&amp;IFERROR(INDEX(PASTE_ALL,$DF373,31)&amp;"","")&amp;"␟"&amp;IFERROR(INDEX(PASTE_ALL,$DF373,32)&amp;"","")&amp;"␟"&amp;IFERROR(INDEX(PASTE_ALL,$DF373,33)&amp;"","")&amp;"␟"&amp;IFERROR(INDEX(PASTE_ALL,$DF373,34)&amp;"","")&amp;"␟"&amp;IFERROR(INDEX(PASTE_ALL,$DF373,35)&amp;"","")&amp;"␟"&amp;IFERROR(INDEX(PASTE_ALL,$DF373,36)&amp;"","")&amp;"␟"&amp;IFERROR(INDEX(PASTE_ALL,$DF373,37)&amp;"","")&amp;"␟"&amp;IFERROR(INDEX(PASTE_ALL,$DF373,38)&amp;"","")&amp;"␟"&amp;IFERROR(INDEX(PASTE_ALL,$DF373,39)&amp;"","")&amp;"␟"&amp;IFERROR(INDEX(PASTE_ALL,$DF373,40)&amp;"","")&amp;"␟"&amp;IFERROR(INDEX(PASTE_ALL,$DF373,41)&amp;"","")&amp;"␟"&amp;IFERROR(INDEX(PASTE_ALL,$DF373,42)&amp;"","")&amp;"␟"&amp;IFERROR(INDEX(PASTE_ALL,$DF373,43)&amp;"","")&amp;"␟"&amp;IFERROR(INDEX(PASTE_ALL,$DF373,44)&amp;"","")&amp;"␟"&amp;IFERROR(INDEX(PASTE_ALL,$DF373,45)&amp;"","")&amp;"␟"&amp;IFERROR(INDEX(PASTE_ALL,$DF373,46)&amp;"","")&amp;"␟"&amp;IFERROR(INDEX(PASTE_ALL,$DF373,47)&amp;"","")&amp;"␟"&amp;IFERROR(INDEX(PASTE_ALL,$DF373,48)&amp;"","")&amp;"␟"&amp;IFERROR(INDEX(PASTE_ALL,$DF373,49)&amp;"","")&amp;"␟"&amp;IFERROR(INDEX(PASTE_ALL,$DF373,50)&amp;"","")&amp;"␟"&amp;IFERROR(INDEX(PASTE_ALL,$DF373,51)&amp;"","")&amp;"␟"&amp;IFERROR(INDEX(PASTE_ALL,$DF373,52)&amp;"","")&amp;"␟"&amp;IFERROR(INDEX(PASTE_ALL,$DF373,53)&amp;"","")&amp;"␟"&amp;IFERROR(INDEX(PASTE_ALL,$DF373,54)&amp;"","")&amp;"␟"&amp;IFERROR(INDEX(PASTE_ALL,$DF373,55)&amp;"","")&amp;"␟"&amp;IFERROR(INDEX(PASTE_ALL,$DF373,56)&amp;"","")&amp;"␟"&amp;IFERROR(INDEX(PASTE_ALL,$DF373,57)&amp;"","")&amp;"␟"&amp;IFERROR(INDEX(PASTE_ALL,$DF373,58)&amp;"","")&amp;"␟"&amp;IFERROR(INDEX(PASTE_ALL,$DF373,59)&amp;"","")&amp;"␟"&amp;IFERROR(INDEX(PASTE_ALL,$DF373,60)&amp;"","")," "," "),CHAR(9)," "),CHAR(10)," "),CHAR(13)," "))," ␟","␟"),"␟ ","␟"),"#"&amp;$DE373),"")</f>
        <v/>
      </c>
      <c r="DJ373">
        <f>IF($DI373="",0,IF(SUMPRODUCT(--EXACT($DI$4:DI372,$DI373))&gt;0,1,0))</f>
        <v/>
      </c>
      <c r="DK373">
        <f>IF(AND($DI373&lt;&gt;"",$DJ373=0),1,0)</f>
        <v/>
      </c>
      <c r="DL373">
        <f>DL372+$DK373</f>
        <v/>
      </c>
      <c r="DM373">
        <f>IF(AND($DK373=1,$DL373&lt;=600),1,0)</f>
        <v/>
      </c>
      <c r="DN373">
        <f>IF($DM373=0,"",IF($L$6=0,"",IFERROR(IF(ISNUMBER(INDEX(PASTE_ALL,$DF373,$L$6)),INDEX(PASTE_ALL,$DF373,$L$6),TRIM(SUBSTITUTE(SUBSTITUTE(SUBSTITUTE(SUBSTITUTE(INDEX(PASTE_ALL,$DF373,$L$6)," "," "),CHAR(9)," "),CHAR(10)," "),CHAR(13)," "))),"")))</f>
        <v/>
      </c>
      <c r="DO373">
        <f>IF($DM373=0,"",IF($L$7=0,"",IFERROR(IF(ISNUMBER(INDEX(PASTE_ALL,$DF373,$L$7)),INDEX(PASTE_ALL,$DF373,$L$7),TRIM(SUBSTITUTE(SUBSTITUTE(SUBSTITUTE(SUBSTITUTE(INDEX(PASTE_ALL,$DF373,$L$7)," "," "),CHAR(9)," "),CHAR(10)," "),CHAR(13)," "))),"")))</f>
        <v/>
      </c>
      <c r="DP373">
        <f>IF($DM373=0,"",IF($L$8=0,"",IFERROR(IF(ISNUMBER(INDEX(PASTE_ALL,$DF373,$L$8)),INDEX(PASTE_ALL,$DF373,$L$8),TRIM(SUBSTITUTE(SUBSTITUTE(SUBSTITUTE(SUBSTITUTE(INDEX(PASTE_ALL,$DF373,$L$8)," "," "),CHAR(9)," "),CHAR(10)," "),CHAR(13)," "))),"")))</f>
        <v/>
      </c>
      <c r="DQ373">
        <f>IF($DM373=0,"",IF($L$9=0,"",IFERROR(IF(ISNUMBER(INDEX(PASTE_ALL,$DF373,$L$9)),INDEX(PASTE_ALL,$DF373,$L$9),TRIM(SUBSTITUTE(SUBSTITUTE(SUBSTITUTE(SUBSTITUTE(INDEX(PASTE_ALL,$DF373,$L$9)," "," "),CHAR(9)," "),CHAR(10)," "),CHAR(13)," "))),"")))</f>
        <v/>
      </c>
      <c r="DR373">
        <f>IF($DM373=0,"",IF($L$10=0,"",IFERROR(IF(ISNUMBER(INDEX(PASTE_ALL,$DF373,$L$10)),INDEX(PASTE_ALL,$DF373,$L$10),TRIM(SUBSTITUTE(SUBSTITUTE(SUBSTITUTE(SUBSTITUTE(INDEX(PASTE_ALL,$DF373,$L$10)," "," "),CHAR(9)," "),CHAR(10)," "),CHAR(13)," "))),"")))</f>
        <v/>
      </c>
      <c r="DS373">
        <f>IF($DM373=0,"",IF($L$11=0,"",IFERROR(IF(ISNUMBER(INDEX(PASTE_ALL,$DF373,$L$11)),INDEX(PASTE_ALL,$DF373,$L$11),TRIM(SUBSTITUTE(SUBSTITUTE(SUBSTITUTE(SUBSTITUTE(INDEX(PASTE_ALL,$DF373,$L$11)," "," "),CHAR(9)," "),CHAR(10)," "),CHAR(13)," "))),"")))</f>
        <v/>
      </c>
      <c r="DT373">
        <f>IF($DM373=0,"",IF($L$12=0,"",IFERROR(IF(ISNUMBER(INDEX(PASTE_ALL,$DF373,$L$12)),INDEX(PASTE_ALL,$DF373,$L$12),TRIM(SUBSTITUTE(SUBSTITUTE(SUBSTITUTE(SUBSTITUTE(INDEX(PASTE_ALL,$DF373,$L$12)," "," "),CHAR(9)," "),CHAR(10)," "),CHAR(13)," "))),"")))</f>
        <v/>
      </c>
      <c r="DU373">
        <f>IF($DM373=0,"",IF($L$13=0,"",IFERROR(IF(ISNUMBER(INDEX(PASTE_ALL,$DF373,$L$13)),INDEX(PASTE_ALL,$DF373,$L$13),TRIM(SUBSTITUTE(SUBSTITUTE(SUBSTITUTE(SUBSTITUTE(INDEX(PASTE_ALL,$DF373,$L$13)," "," "),CHAR(9)," "),CHAR(10)," "),CHAR(13)," "))),"")))</f>
        <v/>
      </c>
      <c r="DV373">
        <f>IF($DM373=0,"",IF($L$14=0,"",IFERROR(IF(ISNUMBER(INDEX(PASTE_ALL,$DF373,$L$14)),INDEX(PASTE_ALL,$DF373,$L$14),TRIM(SUBSTITUTE(SUBSTITUTE(SUBSTITUTE(SUBSTITUTE(INDEX(PASTE_ALL,$DF373,$L$14)," "," "),CHAR(9)," "),CHAR(10)," "),CHAR(13)," "))),"")))</f>
        <v/>
      </c>
      <c r="DW373">
        <f>IF($DM373=0,"",IF($L$15=0,"",IFERROR(IF(ISNUMBER(INDEX(PASTE_ALL,$DF373,$L$15)),INDEX(PASTE_ALL,$DF373,$L$15),IF(SUMPRODUCT(--ISNUMBER(FIND({"A","B","C","D","E","F","G","H","I","J","K","L","M","N","O","P","Q","R","S","T","U","V","W","X","Y","Z","0","1","2","3","4","5","6","7","8","9"},UPPER(TRIM(SUBSTITUTE(SUBSTITUTE(SUBSTITUTE(SUBSTITUTE(INDEX(PASTE_ALL,$DF373,$L$15)," "," "),CHAR(9)," "),CHAR(10)," "),CHAR(13)," "))))))&gt;0,TRIM(SUBSTITUTE(SUBSTITUTE(SUBSTITUTE(SUBSTITUTE(INDEX(PASTE_ALL,$DF373,$L$15)," "," "),CHAR(9)," "),CHAR(10)," "),CHAR(13)," ")),"")),"")))</f>
        <v/>
      </c>
      <c r="DX373">
        <f>IF($DM373=0,"",IF($L$16=0,"",IFERROR(IF(ISNUMBER(INDEX(PASTE_ALL,$DF373,$L$16)),INDEX(PASTE_ALL,$DF373,$L$16),SUBSTITUTE(SUBSTITUTE(TRIM(SUBSTITUTE(SUBSTITUTE(SUBSTITUTE(SUBSTITUTE(INDEX(PASTE_ALL,$DF373,$L$16)," "," "),CHAR(9)," "),CHAR(10)," "),CHAR(13)," ")),",",""),"%","")),"")))</f>
        <v/>
      </c>
      <c r="DY373">
        <f>IF($DM373=0,"",IFERROR(IF(ISNUMBER($DX373),$DX373,IF($DX373="","",IF(TRIM($DX373)="",0,IF(AND(AND(SUBSTITUTE(SUBSTITUTE(SUBSTITUTE(SUBSTITUTE(SUBSTITUTE(SUBSTITUTE(SUBSTITUTE(SUBSTITUTE(SUBSTITUTE(SUBSTITUTE(SUBSTITUTE(SUBSTITUTE(SUBSTITUTE(SUBSTITUTE(UPPER(TRIM($DX373)),"0",""),"1",""),"2",""),"3",""),"4",""),"5",""),"6",""),"7",""),"8",""),"9",""),".",""),"+",""),"-",""),"E","")="",LEN(SUBSTITUTE(SUBSTITUTE(MID(UPPER(TRIM($DX373)),1+OR(LEFT(UPPER(TRIM($DX373)),1)="+",LEFT(UPPER(TRIM($DX373)),1)="-"),999),"E+","E"),"E-","E"))=LEN(SUBSTITUTE(SUBSTITUTE(SUBSTITUTE(SUBSTITUTE(MID(UPPER(TRIM($DX373)),1+OR(LEFT(UPPER(TRIM($DX373)),1)="+",LEFT(UPPER(TRIM($DX373)),1)="-"),999),"E+","E"),"E-","E"),"+",""),"-","")),LEN(UPPER(TRIM($DX373)))-LEN(SUBSTITUTE(UPPER(TRIM($DX373)),"E",""))&lt;2,LEN(UPPER(TRIM($DX373)))-LEN(SUBSTITUTE(UPPER(TRIM($DX373)),".",""))&lt;2,IFERROR(FIND(".",UPPER(TRIM($DX373))),0)&lt;IFERROR(FIND("E",UPPER(TRIM($DX373))),999)),ISNUMBER(VALUE(TRIM($DX373)))),VALUE(TRIM($DX373)),"")))),""))</f>
        <v/>
      </c>
      <c r="DZ373">
        <f>IF($DM373=0,"",IF($L$17=0,"",IFERROR(IF(ISNUMBER(INDEX(PASTE_ALL,$DF373,$L$17)),INDEX(PASTE_ALL,$DF373,$L$17),SUBSTITUTE(SUBSTITUTE(TRIM(SUBSTITUTE(SUBSTITUTE(SUBSTITUTE(SUBSTITUTE(INDEX(PASTE_ALL,$DF373,$L$17)," "," "),CHAR(9)," "),CHAR(10)," "),CHAR(13)," ")),",",""),"%","")),"")))</f>
        <v/>
      </c>
      <c r="EA373">
        <f>IF($DM373=0,"",IFERROR(IF(ISNUMBER($DZ373),$DZ373,IF($DZ373="","",IF(TRIM($DZ373)="",0,IF(AND(AND(SUBSTITUTE(SUBSTITUTE(SUBSTITUTE(SUBSTITUTE(SUBSTITUTE(SUBSTITUTE(SUBSTITUTE(SUBSTITUTE(SUBSTITUTE(SUBSTITUTE(SUBSTITUTE(SUBSTITUTE(SUBSTITUTE(SUBSTITUTE(UPPER(TRIM($DZ373)),"0",""),"1",""),"2",""),"3",""),"4",""),"5",""),"6",""),"7",""),"8",""),"9",""),".",""),"+",""),"-",""),"E","")="",LEN(SUBSTITUTE(SUBSTITUTE(MID(UPPER(TRIM($DZ373)),1+OR(LEFT(UPPER(TRIM($DZ373)),1)="+",LEFT(UPPER(TRIM($DZ373)),1)="-"),999),"E+","E"),"E-","E"))=LEN(SUBSTITUTE(SUBSTITUTE(SUBSTITUTE(SUBSTITUTE(MID(UPPER(TRIM($DZ373)),1+OR(LEFT(UPPER(TRIM($DZ373)),1)="+",LEFT(UPPER(TRIM($DZ373)),1)="-"),999),"E+","E"),"E-","E"),"+",""),"-","")),LEN(UPPER(TRIM($DZ373)))-LEN(SUBSTITUTE(UPPER(TRIM($DZ373)),"E",""))&lt;2,LEN(UPPER(TRIM($DZ373)))-LEN(SUBSTITUTE(UPPER(TRIM($DZ373)),".",""))&lt;2,IFERROR(FIND(".",UPPER(TRIM($DZ373))),0)&lt;IFERROR(FIND("E",UPPER(TRIM($DZ373))),999)),ISNUMBER(VALUE(TRIM($DZ373)))),VALUE(TRIM($DZ373)),"")))),""))</f>
        <v/>
      </c>
      <c r="EB373">
        <f>IF($DM373=0,"",IF($L$18=0,"",IFERROR(IF(UPPER(TRIM(SUBSTITUTE(SUBSTITUTE(SUBSTITUTE(SUBSTITUTE(INDEX(PASTE_ALL,$DF373,$L$18)," "," "),CHAR(9)," "),CHAR(10)," "),CHAR(13)," ")))="READY","Ready",IF(UPPER(TRIM(SUBSTITUTE(SUBSTITUTE(SUBSTITUTE(SUBSTITUTE(INDEX(PASTE_ALL,$DF373,$L$18)," "," "),CHAR(9)," "),CHAR(10)," "),CHAR(13)," ")))="PM","PM",IF(OR(UPPER(TRIM(SUBSTITUTE(SUBSTITUTE(SUBSTITUTE(SUBSTITUTE(INDEX(PASTE_ALL,$DF373,$L$18)," "," "),CHAR(9)," "),CHAR(10)," "),CHAR(13)," ")))="OT",UPPER(TRIM(SUBSTITUTE(SUBSTITUTE(SUBSTITUTE(SUBSTITUTE(INDEX(PASTE_ALL,$DF373,$L$18)," "," "),CHAR(9)," "),CHAR(10)," "),CHAR(13)," ")))="OVERTIME",UPPER(TRIM(SUBSTITUTE(SUBSTITUTE(SUBSTITUTE(SUBSTITUTE(INDEX(PASTE_ALL,$DF373,$L$18)," "," "),CHAR(9)," "),CHAR(10)," "),CHAR(13)," ")))="TRIAL"),"OT",TRIM(SUBSTITUTE(SUBSTITUTE(SUBSTITUTE(SUBSTITUTE(INDEX(PASTE_ALL,$DF373,$L$18)," "," "),CHAR(9)," "),CHAR(10)," "),CHAR(13)," "))))),"")))</f>
        <v/>
      </c>
      <c r="EC373">
        <f>IF($DM373=0,"",IF($L$19=0,"",IFERROR(IF(ISNUMBER(INDEX(PASTE_ALL,$DF373,$L$19)),INDEX(PASTE_ALL,$DF373,$L$19),TRIM(SUBSTITUTE(SUBSTITUTE(SUBSTITUTE(SUBSTITUTE(INDEX(PASTE_ALL,$DF373,$L$19)," "," "),CHAR(9)," "),CHAR(10)," "),CHAR(13)," "))),"")))</f>
        <v/>
      </c>
      <c r="ED373">
        <f>IF($DM373=0,"",MATCH(1,INDEX(EXACT($DH$5:DH373,$DH373)*$DM$5:DM373,0),0))</f>
        <v/>
      </c>
      <c r="EE373">
        <f>IF($DM373=0,0,IF($ED373=$DE373,1,0))</f>
        <v/>
      </c>
      <c r="EF373">
        <f>EF372+$EE373</f>
        <v/>
      </c>
      <c r="EG373">
        <f>IF($DM373=0,"",INDEX($EF$5:$EF$1003,$ED373))</f>
        <v/>
      </c>
      <c r="EH373">
        <f>IF($DM373=0,"",IF($DO373&lt;&gt;"","",IFERROR(LOOKUP(2,1/(($EG$4:EG372=$EG373)*($DO$4:DO372&lt;&gt;"")),$DO$4:DO372),"")))</f>
        <v/>
      </c>
      <c r="EI373">
        <f>IF($DM373=0,"",IF($DO373&lt;&gt;"",$DO373,$EH373))</f>
        <v/>
      </c>
      <c r="EJ373">
        <f>IF($DM373=0,"",IF($EI373="",0,IF(OR(ISNUMBER($EI373),AND(AND(SUBSTITUTE(SUBSTITUTE(SUBSTITUTE(SUBSTITUTE(SUBSTITUTE(SUBSTITUTE(SUBSTITUTE(SUBSTITUTE(SUBSTITUTE(SUBSTITUTE(SUBSTITUTE(SUBSTITUTE(SUBSTITUTE(SUBSTITUTE(UPPER($EI373),"0",""),"1",""),"2",""),"3",""),"4",""),"5",""),"6",""),"7",""),"8",""),"9",""),".",""),"+",""),"-",""),"E","")="",LEN(SUBSTITUTE(SUBSTITUTE(MID(UPPER($EI373),1+OR(LEFT(UPPER($EI373),1)="+",LEFT(UPPER($EI373),1)="-"),999),"E+","E"),"E-","E"))=LEN(SUBSTITUTE(SUBSTITUTE(SUBSTITUTE(SUBSTITUTE(MID(UPPER($EI373),1+OR(LEFT(UPPER($EI373),1)="+",LEFT(UPPER($EI373),1)="-"),999),"E+","E"),"E-","E"),"+",""),"-","")),LEN(UPPER($EI373))-LEN(SUBSTITUTE(UPPER($EI373),"E",""))&lt;2,LEN(UPPER($EI373))-LEN(SUBSTITUTE(UPPER($EI373),".",""))&lt;2,IFERROR(FIND(".",UPPER($EI373)),0)&lt;IFERROR(FIND("E",UPPER($EI373)),999)),ISNUMBER(VALUE($EI373)))),1,2)))</f>
        <v/>
      </c>
      <c r="EK373">
        <f>IF($DM373=0,"",IF($EJ373=1,IF(ISNUMBER($EI373),$EI373,VALUE($EI373)),IF($EJ373=2,$DE373,0)))</f>
        <v/>
      </c>
      <c r="EL373">
        <f>IF($DM373=0,"",COUNTIF($EG$5:$EG$1003,"&lt;"&amp;$EG373)+SUMPRODUCT(($EG$5:$EG$1003=$EG373)*(($EJ$5:$EJ$1003&lt;$EJ373)+($EJ$5:$EJ$1003=$EJ373)*(($EK$5:$EK$1003&lt;$EK373)+($EK$5:$EK$1003=$EK373)*($DE$5:$DE$1003&lt;$DE373))))+1)</f>
        <v/>
      </c>
      <c r="EM373">
        <f>IF($DM373=0,"",$EL373+$EG373-1)</f>
        <v/>
      </c>
      <c r="EN373">
        <f>IF($DM373=0,0,IFERROR(MATCH(1,INDEX(--(TRIM(SUBSTITUTE(SUBSTITUTE(SUBSTITUTE(SUBSTITUTE(LINES_NAME&amp;""," "," "),CHAR(9)," "),CHAR(10)," "),CHAR(13)," "))=$DH373),0),0),0))</f>
        <v/>
      </c>
      <c r="EO373">
        <f>IF($EN373=0,0,IF(OR(UPPER(TRIM(INDEX(LINES_SCHEDULED,$EN373)&amp;""))="YES",UPPER(TRIM(INDEX(LINES_SCHEDULED,$EN373)&amp;""))="Y",UPPER(TRIM(INDEX(LINES_SCHEDULED,$EN373)&amp;""))="X"),1,0))</f>
        <v/>
      </c>
      <c r="EP373">
        <f>IF($DM373=0,"",IF(COUNTIFS($EG$5:$EG$1003,$EG373,$EB$5:$EB$1003,"Ready")&gt;0,"READY",IF(COUNTIFS($EG$5:$EG$1003,$EG373,$EB$5:$EB$1003,"PM")&gt;0,"PM",IF(COUNTIFS($EG$5:$EG$1003,$EG373,$EB$5:$EB$1003,"OT")&gt;0,"OT",""))))</f>
        <v/>
      </c>
      <c r="EQ373">
        <f>IF($EN373=0,"",UPPER(TRIM(INDEX(LINES_STATUS,$EN373)&amp;"")))</f>
        <v/>
      </c>
      <c r="ER373">
        <f>IF($DM373=0,"",IF(OR($EQ373="READY",$EQ373="PM",$EQ373="OT"),$EQ373,$EP373))</f>
        <v/>
      </c>
      <c r="ES373">
        <f>IF($DM373=0,"",IF(AND($DV373&lt;&gt;"",UPPER($DV373)&lt;&gt;"N"),"allergen",IF(ISNUMBER(SEARCH("oil",$DQ373)),"oil",IF(OR(EXACT($DS373,"A662"),EXACT($DS373,"A624")),"bulk",""))))</f>
        <v/>
      </c>
      <c r="ET373">
        <f>IF($DM373=0,"",IF(OR($EA373="",$EA373=0),"",$EA373/100))</f>
        <v/>
      </c>
      <c r="EU373">
        <f>IF(OR($ET373="",$DY373=""),"",INT($DY373*(1-$ET373)+0.5))</f>
        <v/>
      </c>
      <c r="EW373" t="n">
        <v>369</v>
      </c>
      <c r="EX373">
        <f>IFERROR(MATCH($EW373,$EM$5:$EM$1003,0),0)</f>
        <v/>
      </c>
      <c r="EY373">
        <f>IF($EW373&gt;$B$12,"",IF($EX373&gt;0,"row","spacer"))</f>
        <v/>
      </c>
      <c r="EZ373">
        <f>IF(AND($EY373="row",$EY372&lt;&gt;"row"),1,0)</f>
        <v/>
      </c>
      <c r="FA373">
        <f>IF(AND($EY373="row",$EY374&lt;&gt;"row"),1,0)</f>
        <v/>
      </c>
      <c r="FB373">
        <f>IF($EZ373=1,IFERROR(IF(ISNUMBER(INDEX(PASTE_ALL,INDEX($DF$5:$DF$1003,$EX373),$B$37)),INDEX(PASTE_ALL,INDEX($DF$5:$DF$1003,$EX373),$B$37),INDEX($DH$5:$DH$1003,$EX373)),INDEX($DH$5:$DH$1003,$EX373)),"")</f>
        <v/>
      </c>
      <c r="FC373">
        <f>IF($EY373="row",INDEX($ER$5:$ER$1003,$EX373),"")</f>
        <v/>
      </c>
      <c r="FD373">
        <f>IF($EY373="row",INDEX($DN$5:$DN$1003,$EX373),"")</f>
        <v/>
      </c>
      <c r="FE373">
        <f>IF($EY373="row",INDEX($DO$5:$DO$1003,$EX373),"")</f>
        <v/>
      </c>
      <c r="FF373">
        <f>IF($EY373="row",INDEX($DP$5:$DP$1003,$EX373),"")</f>
        <v/>
      </c>
      <c r="FG373">
        <f>IF($EY373="row",INDEX($DQ$5:$DQ$1003,$EX373),"")</f>
        <v/>
      </c>
      <c r="FH373">
        <f>IF($EY373="row",INDEX($DR$5:$DR$1003,$EX373),"")</f>
        <v/>
      </c>
      <c r="FI373">
        <f>IF($EY373="row",INDEX($DS$5:$DS$1003,$EX373),"")</f>
        <v/>
      </c>
      <c r="FJ373">
        <f>IF($EY373="row",INDEX($DT$5:$DT$1003,$EX373),"")</f>
        <v/>
      </c>
      <c r="FK373">
        <f>IF($EY373="row",INDEX($DU$5:$DU$1003,$EX373),"")</f>
        <v/>
      </c>
      <c r="FL373">
        <f>IF($EY373="row",INDEX($DV$5:$DV$1003,$EX373),"")</f>
        <v/>
      </c>
      <c r="FM373">
        <f>IF($EY373="row",INDEX($DW$5:$DW$1003,$EX373),"")</f>
        <v/>
      </c>
      <c r="FN373">
        <f>IF($EY373="row",INDEX($DY$5:$DY$1003,$EX373),"")</f>
        <v/>
      </c>
      <c r="FO373">
        <f>IF($EY373="row",INDEX($EA$5:$EA$1003,$EX373),"")</f>
        <v/>
      </c>
      <c r="FP373">
        <f>IF($EY373="row",INDEX($EC$5:$EC$1003,$EX373),"")</f>
        <v/>
      </c>
      <c r="FQ373">
        <f>IF($EY373="row",INDEX($ET$5:$ET$1003,$EX373),"")</f>
        <v/>
      </c>
      <c r="FR373">
        <f>IF($EY373="row",INDEX($EU$5:$EU$1003,$EX373),"")</f>
        <v/>
      </c>
      <c r="FS373">
        <f>IF(AND($EY373="row",$EY372="row"),IF(OR(INDEX($DT$5:$DT$1003,$EX372)="",INDEX($DT$5:$DT$1003,$EX373)=""),"",IF(NOT(EXACT(INDEX($DT$5:$DT$1003,$EX372),INDEX($DT$5:$DT$1003,$EX373))),"S4",IF(NOT(EXACT(INDEX($DS$5:$DS$1003,$EX372),INDEX($DS$5:$DS$1003,$EX373))),"S3",IF(NOT(EXACT(INDEX($DR$5:$DR$1003,$EX372),INDEX($DR$5:$DR$1003,$EX373))),"S1 Count Change","S1")))),"")</f>
        <v/>
      </c>
      <c r="FT373">
        <f>IF($EY373="row",INDEX($ES$5:$ES$1003,$EX373),"")</f>
        <v/>
      </c>
      <c r="FU373">
        <f>IF($EY373="row",INDEX($EO$5:$EO$1003,$EX373),0)</f>
        <v/>
      </c>
      <c r="FV373">
        <f>IF($FS373="S1 Count Change",1,0)</f>
        <v/>
      </c>
    </row>
    <row r="374">
      <c r="DA374" t="n">
        <v>370</v>
      </c>
      <c r="DB374">
        <f>IF($B$37=0,"",IFERROR(TRIM(SUBSTITUTE(SUBSTITUTE(SUBSTITUTE(SUBSTITUTE(INDEX(PASTE_ALL,370,$B$37)," "," "),CHAR(9)," "),CHAR(10)," "),CHAR(13)," ")),""))</f>
        <v/>
      </c>
      <c r="DC374">
        <f>IF(AND(370&gt;HEADER_ROW,UPPER(DB374)="LEGEND"),1,0)</f>
        <v/>
      </c>
      <c r="DE374" t="n">
        <v>370</v>
      </c>
      <c r="DF374">
        <f>HEADER_ROW+$DE374</f>
        <v/>
      </c>
      <c r="DG374">
        <f>IF(AND($DF374&lt;=1000,$DF374&lt;$B$8),1,0)</f>
        <v/>
      </c>
      <c r="DH374">
        <f>IF($DG374=1,IFERROR(INDEX($DB$5:$DB$1004,$DF374),""),"")</f>
        <v/>
      </c>
      <c r="DI374">
        <f>IF(AND($DG374=1,$DH374&lt;&gt;""),IFERROR(SUBSTITUTE(SUBSTITUTE(TRIM(SUBSTITUTE(SUBSTITUTE(SUBSTITUTE(SUBSTITUTE(IFERROR(INDEX(PASTE_ALL,$DF374,1)&amp;"","")&amp;"␟"&amp;IFERROR(INDEX(PASTE_ALL,$DF374,2)&amp;"","")&amp;"␟"&amp;IFERROR(INDEX(PASTE_ALL,$DF374,3)&amp;"","")&amp;"␟"&amp;IFERROR(INDEX(PASTE_ALL,$DF374,4)&amp;"","")&amp;"␟"&amp;IFERROR(INDEX(PASTE_ALL,$DF374,5)&amp;"","")&amp;"␟"&amp;IFERROR(INDEX(PASTE_ALL,$DF374,6)&amp;"","")&amp;"␟"&amp;IFERROR(INDEX(PASTE_ALL,$DF374,7)&amp;"","")&amp;"␟"&amp;IFERROR(INDEX(PASTE_ALL,$DF374,8)&amp;"","")&amp;"␟"&amp;IFERROR(INDEX(PASTE_ALL,$DF374,9)&amp;"","")&amp;"␟"&amp;IFERROR(INDEX(PASTE_ALL,$DF374,10)&amp;"","")&amp;"␟"&amp;IFERROR(INDEX(PASTE_ALL,$DF374,11)&amp;"","")&amp;"␟"&amp;IFERROR(INDEX(PASTE_ALL,$DF374,12)&amp;"","")&amp;"␟"&amp;IFERROR(INDEX(PASTE_ALL,$DF374,13)&amp;"","")&amp;"␟"&amp;IFERROR(INDEX(PASTE_ALL,$DF374,14)&amp;"","")&amp;"␟"&amp;IFERROR(INDEX(PASTE_ALL,$DF374,15)&amp;"","")&amp;"␟"&amp;IFERROR(INDEX(PASTE_ALL,$DF374,16)&amp;"","")&amp;"␟"&amp;IFERROR(INDEX(PASTE_ALL,$DF374,17)&amp;"","")&amp;"␟"&amp;IFERROR(INDEX(PASTE_ALL,$DF374,18)&amp;"","")&amp;"␟"&amp;IFERROR(INDEX(PASTE_ALL,$DF374,19)&amp;"","")&amp;"␟"&amp;IFERROR(INDEX(PASTE_ALL,$DF374,20)&amp;"","")&amp;"␟"&amp;IFERROR(INDEX(PASTE_ALL,$DF374,21)&amp;"","")&amp;"␟"&amp;IFERROR(INDEX(PASTE_ALL,$DF374,22)&amp;"","")&amp;"␟"&amp;IFERROR(INDEX(PASTE_ALL,$DF374,23)&amp;"","")&amp;"␟"&amp;IFERROR(INDEX(PASTE_ALL,$DF374,24)&amp;"","")&amp;"␟"&amp;IFERROR(INDEX(PASTE_ALL,$DF374,25)&amp;"","")&amp;"␟"&amp;IFERROR(INDEX(PASTE_ALL,$DF374,26)&amp;"","")&amp;"␟"&amp;IFERROR(INDEX(PASTE_ALL,$DF374,27)&amp;"","")&amp;"␟"&amp;IFERROR(INDEX(PASTE_ALL,$DF374,28)&amp;"","")&amp;"␟"&amp;IFERROR(INDEX(PASTE_ALL,$DF374,29)&amp;"","")&amp;"␟"&amp;IFERROR(INDEX(PASTE_ALL,$DF374,30)&amp;"","")&amp;"␟"&amp;IFERROR(INDEX(PASTE_ALL,$DF374,31)&amp;"","")&amp;"␟"&amp;IFERROR(INDEX(PASTE_ALL,$DF374,32)&amp;"","")&amp;"␟"&amp;IFERROR(INDEX(PASTE_ALL,$DF374,33)&amp;"","")&amp;"␟"&amp;IFERROR(INDEX(PASTE_ALL,$DF374,34)&amp;"","")&amp;"␟"&amp;IFERROR(INDEX(PASTE_ALL,$DF374,35)&amp;"","")&amp;"␟"&amp;IFERROR(INDEX(PASTE_ALL,$DF374,36)&amp;"","")&amp;"␟"&amp;IFERROR(INDEX(PASTE_ALL,$DF374,37)&amp;"","")&amp;"␟"&amp;IFERROR(INDEX(PASTE_ALL,$DF374,38)&amp;"","")&amp;"␟"&amp;IFERROR(INDEX(PASTE_ALL,$DF374,39)&amp;"","")&amp;"␟"&amp;IFERROR(INDEX(PASTE_ALL,$DF374,40)&amp;"","")&amp;"␟"&amp;IFERROR(INDEX(PASTE_ALL,$DF374,41)&amp;"","")&amp;"␟"&amp;IFERROR(INDEX(PASTE_ALL,$DF374,42)&amp;"","")&amp;"␟"&amp;IFERROR(INDEX(PASTE_ALL,$DF374,43)&amp;"","")&amp;"␟"&amp;IFERROR(INDEX(PASTE_ALL,$DF374,44)&amp;"","")&amp;"␟"&amp;IFERROR(INDEX(PASTE_ALL,$DF374,45)&amp;"","")&amp;"␟"&amp;IFERROR(INDEX(PASTE_ALL,$DF374,46)&amp;"","")&amp;"␟"&amp;IFERROR(INDEX(PASTE_ALL,$DF374,47)&amp;"","")&amp;"␟"&amp;IFERROR(INDEX(PASTE_ALL,$DF374,48)&amp;"","")&amp;"␟"&amp;IFERROR(INDEX(PASTE_ALL,$DF374,49)&amp;"","")&amp;"␟"&amp;IFERROR(INDEX(PASTE_ALL,$DF374,50)&amp;"","")&amp;"␟"&amp;IFERROR(INDEX(PASTE_ALL,$DF374,51)&amp;"","")&amp;"␟"&amp;IFERROR(INDEX(PASTE_ALL,$DF374,52)&amp;"","")&amp;"␟"&amp;IFERROR(INDEX(PASTE_ALL,$DF374,53)&amp;"","")&amp;"␟"&amp;IFERROR(INDEX(PASTE_ALL,$DF374,54)&amp;"","")&amp;"␟"&amp;IFERROR(INDEX(PASTE_ALL,$DF374,55)&amp;"","")&amp;"␟"&amp;IFERROR(INDEX(PASTE_ALL,$DF374,56)&amp;"","")&amp;"␟"&amp;IFERROR(INDEX(PASTE_ALL,$DF374,57)&amp;"","")&amp;"␟"&amp;IFERROR(INDEX(PASTE_ALL,$DF374,58)&amp;"","")&amp;"␟"&amp;IFERROR(INDEX(PASTE_ALL,$DF374,59)&amp;"","")&amp;"␟"&amp;IFERROR(INDEX(PASTE_ALL,$DF374,60)&amp;"","")," "," "),CHAR(9)," "),CHAR(10)," "),CHAR(13)," "))," ␟","␟"),"␟ ","␟"),"#"&amp;$DE374),"")</f>
        <v/>
      </c>
      <c r="DJ374">
        <f>IF($DI374="",0,IF(SUMPRODUCT(--EXACT($DI$4:DI373,$DI374))&gt;0,1,0))</f>
        <v/>
      </c>
      <c r="DK374">
        <f>IF(AND($DI374&lt;&gt;"",$DJ374=0),1,0)</f>
        <v/>
      </c>
      <c r="DL374">
        <f>DL373+$DK374</f>
        <v/>
      </c>
      <c r="DM374">
        <f>IF(AND($DK374=1,$DL374&lt;=600),1,0)</f>
        <v/>
      </c>
      <c r="DN374">
        <f>IF($DM374=0,"",IF($L$6=0,"",IFERROR(IF(ISNUMBER(INDEX(PASTE_ALL,$DF374,$L$6)),INDEX(PASTE_ALL,$DF374,$L$6),TRIM(SUBSTITUTE(SUBSTITUTE(SUBSTITUTE(SUBSTITUTE(INDEX(PASTE_ALL,$DF374,$L$6)," "," "),CHAR(9)," "),CHAR(10)," "),CHAR(13)," "))),"")))</f>
        <v/>
      </c>
      <c r="DO374">
        <f>IF($DM374=0,"",IF($L$7=0,"",IFERROR(IF(ISNUMBER(INDEX(PASTE_ALL,$DF374,$L$7)),INDEX(PASTE_ALL,$DF374,$L$7),TRIM(SUBSTITUTE(SUBSTITUTE(SUBSTITUTE(SUBSTITUTE(INDEX(PASTE_ALL,$DF374,$L$7)," "," "),CHAR(9)," "),CHAR(10)," "),CHAR(13)," "))),"")))</f>
        <v/>
      </c>
      <c r="DP374">
        <f>IF($DM374=0,"",IF($L$8=0,"",IFERROR(IF(ISNUMBER(INDEX(PASTE_ALL,$DF374,$L$8)),INDEX(PASTE_ALL,$DF374,$L$8),TRIM(SUBSTITUTE(SUBSTITUTE(SUBSTITUTE(SUBSTITUTE(INDEX(PASTE_ALL,$DF374,$L$8)," "," "),CHAR(9)," "),CHAR(10)," "),CHAR(13)," "))),"")))</f>
        <v/>
      </c>
      <c r="DQ374">
        <f>IF($DM374=0,"",IF($L$9=0,"",IFERROR(IF(ISNUMBER(INDEX(PASTE_ALL,$DF374,$L$9)),INDEX(PASTE_ALL,$DF374,$L$9),TRIM(SUBSTITUTE(SUBSTITUTE(SUBSTITUTE(SUBSTITUTE(INDEX(PASTE_ALL,$DF374,$L$9)," "," "),CHAR(9)," "),CHAR(10)," "),CHAR(13)," "))),"")))</f>
        <v/>
      </c>
      <c r="DR374">
        <f>IF($DM374=0,"",IF($L$10=0,"",IFERROR(IF(ISNUMBER(INDEX(PASTE_ALL,$DF374,$L$10)),INDEX(PASTE_ALL,$DF374,$L$10),TRIM(SUBSTITUTE(SUBSTITUTE(SUBSTITUTE(SUBSTITUTE(INDEX(PASTE_ALL,$DF374,$L$10)," "," "),CHAR(9)," "),CHAR(10)," "),CHAR(13)," "))),"")))</f>
        <v/>
      </c>
      <c r="DS374">
        <f>IF($DM374=0,"",IF($L$11=0,"",IFERROR(IF(ISNUMBER(INDEX(PASTE_ALL,$DF374,$L$11)),INDEX(PASTE_ALL,$DF374,$L$11),TRIM(SUBSTITUTE(SUBSTITUTE(SUBSTITUTE(SUBSTITUTE(INDEX(PASTE_ALL,$DF374,$L$11)," "," "),CHAR(9)," "),CHAR(10)," "),CHAR(13)," "))),"")))</f>
        <v/>
      </c>
      <c r="DT374">
        <f>IF($DM374=0,"",IF($L$12=0,"",IFERROR(IF(ISNUMBER(INDEX(PASTE_ALL,$DF374,$L$12)),INDEX(PASTE_ALL,$DF374,$L$12),TRIM(SUBSTITUTE(SUBSTITUTE(SUBSTITUTE(SUBSTITUTE(INDEX(PASTE_ALL,$DF374,$L$12)," "," "),CHAR(9)," "),CHAR(10)," "),CHAR(13)," "))),"")))</f>
        <v/>
      </c>
      <c r="DU374">
        <f>IF($DM374=0,"",IF($L$13=0,"",IFERROR(IF(ISNUMBER(INDEX(PASTE_ALL,$DF374,$L$13)),INDEX(PASTE_ALL,$DF374,$L$13),TRIM(SUBSTITUTE(SUBSTITUTE(SUBSTITUTE(SUBSTITUTE(INDEX(PASTE_ALL,$DF374,$L$13)," "," "),CHAR(9)," "),CHAR(10)," "),CHAR(13)," "))),"")))</f>
        <v/>
      </c>
      <c r="DV374">
        <f>IF($DM374=0,"",IF($L$14=0,"",IFERROR(IF(ISNUMBER(INDEX(PASTE_ALL,$DF374,$L$14)),INDEX(PASTE_ALL,$DF374,$L$14),TRIM(SUBSTITUTE(SUBSTITUTE(SUBSTITUTE(SUBSTITUTE(INDEX(PASTE_ALL,$DF374,$L$14)," "," "),CHAR(9)," "),CHAR(10)," "),CHAR(13)," "))),"")))</f>
        <v/>
      </c>
      <c r="DW374">
        <f>IF($DM374=0,"",IF($L$15=0,"",IFERROR(IF(ISNUMBER(INDEX(PASTE_ALL,$DF374,$L$15)),INDEX(PASTE_ALL,$DF374,$L$15),IF(SUMPRODUCT(--ISNUMBER(FIND({"A","B","C","D","E","F","G","H","I","J","K","L","M","N","O","P","Q","R","S","T","U","V","W","X","Y","Z","0","1","2","3","4","5","6","7","8","9"},UPPER(TRIM(SUBSTITUTE(SUBSTITUTE(SUBSTITUTE(SUBSTITUTE(INDEX(PASTE_ALL,$DF374,$L$15)," "," "),CHAR(9)," "),CHAR(10)," "),CHAR(13)," "))))))&gt;0,TRIM(SUBSTITUTE(SUBSTITUTE(SUBSTITUTE(SUBSTITUTE(INDEX(PASTE_ALL,$DF374,$L$15)," "," "),CHAR(9)," "),CHAR(10)," "),CHAR(13)," ")),"")),"")))</f>
        <v/>
      </c>
      <c r="DX374">
        <f>IF($DM374=0,"",IF($L$16=0,"",IFERROR(IF(ISNUMBER(INDEX(PASTE_ALL,$DF374,$L$16)),INDEX(PASTE_ALL,$DF374,$L$16),SUBSTITUTE(SUBSTITUTE(TRIM(SUBSTITUTE(SUBSTITUTE(SUBSTITUTE(SUBSTITUTE(INDEX(PASTE_ALL,$DF374,$L$16)," "," "),CHAR(9)," "),CHAR(10)," "),CHAR(13)," ")),",",""),"%","")),"")))</f>
        <v/>
      </c>
      <c r="DY374">
        <f>IF($DM374=0,"",IFERROR(IF(ISNUMBER($DX374),$DX374,IF($DX374="","",IF(TRIM($DX374)="",0,IF(AND(AND(SUBSTITUTE(SUBSTITUTE(SUBSTITUTE(SUBSTITUTE(SUBSTITUTE(SUBSTITUTE(SUBSTITUTE(SUBSTITUTE(SUBSTITUTE(SUBSTITUTE(SUBSTITUTE(SUBSTITUTE(SUBSTITUTE(SUBSTITUTE(UPPER(TRIM($DX374)),"0",""),"1",""),"2",""),"3",""),"4",""),"5",""),"6",""),"7",""),"8",""),"9",""),".",""),"+",""),"-",""),"E","")="",LEN(SUBSTITUTE(SUBSTITUTE(MID(UPPER(TRIM($DX374)),1+OR(LEFT(UPPER(TRIM($DX374)),1)="+",LEFT(UPPER(TRIM($DX374)),1)="-"),999),"E+","E"),"E-","E"))=LEN(SUBSTITUTE(SUBSTITUTE(SUBSTITUTE(SUBSTITUTE(MID(UPPER(TRIM($DX374)),1+OR(LEFT(UPPER(TRIM($DX374)),1)="+",LEFT(UPPER(TRIM($DX374)),1)="-"),999),"E+","E"),"E-","E"),"+",""),"-","")),LEN(UPPER(TRIM($DX374)))-LEN(SUBSTITUTE(UPPER(TRIM($DX374)),"E",""))&lt;2,LEN(UPPER(TRIM($DX374)))-LEN(SUBSTITUTE(UPPER(TRIM($DX374)),".",""))&lt;2,IFERROR(FIND(".",UPPER(TRIM($DX374))),0)&lt;IFERROR(FIND("E",UPPER(TRIM($DX374))),999)),ISNUMBER(VALUE(TRIM($DX374)))),VALUE(TRIM($DX374)),"")))),""))</f>
        <v/>
      </c>
      <c r="DZ374">
        <f>IF($DM374=0,"",IF($L$17=0,"",IFERROR(IF(ISNUMBER(INDEX(PASTE_ALL,$DF374,$L$17)),INDEX(PASTE_ALL,$DF374,$L$17),SUBSTITUTE(SUBSTITUTE(TRIM(SUBSTITUTE(SUBSTITUTE(SUBSTITUTE(SUBSTITUTE(INDEX(PASTE_ALL,$DF374,$L$17)," "," "),CHAR(9)," "),CHAR(10)," "),CHAR(13)," ")),",",""),"%","")),"")))</f>
        <v/>
      </c>
      <c r="EA374">
        <f>IF($DM374=0,"",IFERROR(IF(ISNUMBER($DZ374),$DZ374,IF($DZ374="","",IF(TRIM($DZ374)="",0,IF(AND(AND(SUBSTITUTE(SUBSTITUTE(SUBSTITUTE(SUBSTITUTE(SUBSTITUTE(SUBSTITUTE(SUBSTITUTE(SUBSTITUTE(SUBSTITUTE(SUBSTITUTE(SUBSTITUTE(SUBSTITUTE(SUBSTITUTE(SUBSTITUTE(UPPER(TRIM($DZ374)),"0",""),"1",""),"2",""),"3",""),"4",""),"5",""),"6",""),"7",""),"8",""),"9",""),".",""),"+",""),"-",""),"E","")="",LEN(SUBSTITUTE(SUBSTITUTE(MID(UPPER(TRIM($DZ374)),1+OR(LEFT(UPPER(TRIM($DZ374)),1)="+",LEFT(UPPER(TRIM($DZ374)),1)="-"),999),"E+","E"),"E-","E"))=LEN(SUBSTITUTE(SUBSTITUTE(SUBSTITUTE(SUBSTITUTE(MID(UPPER(TRIM($DZ374)),1+OR(LEFT(UPPER(TRIM($DZ374)),1)="+",LEFT(UPPER(TRIM($DZ374)),1)="-"),999),"E+","E"),"E-","E"),"+",""),"-","")),LEN(UPPER(TRIM($DZ374)))-LEN(SUBSTITUTE(UPPER(TRIM($DZ374)),"E",""))&lt;2,LEN(UPPER(TRIM($DZ374)))-LEN(SUBSTITUTE(UPPER(TRIM($DZ374)),".",""))&lt;2,IFERROR(FIND(".",UPPER(TRIM($DZ374))),0)&lt;IFERROR(FIND("E",UPPER(TRIM($DZ374))),999)),ISNUMBER(VALUE(TRIM($DZ374)))),VALUE(TRIM($DZ374)),"")))),""))</f>
        <v/>
      </c>
      <c r="EB374">
        <f>IF($DM374=0,"",IF($L$18=0,"",IFERROR(IF(UPPER(TRIM(SUBSTITUTE(SUBSTITUTE(SUBSTITUTE(SUBSTITUTE(INDEX(PASTE_ALL,$DF374,$L$18)," "," "),CHAR(9)," "),CHAR(10)," "),CHAR(13)," ")))="READY","Ready",IF(UPPER(TRIM(SUBSTITUTE(SUBSTITUTE(SUBSTITUTE(SUBSTITUTE(INDEX(PASTE_ALL,$DF374,$L$18)," "," "),CHAR(9)," "),CHAR(10)," "),CHAR(13)," ")))="PM","PM",IF(OR(UPPER(TRIM(SUBSTITUTE(SUBSTITUTE(SUBSTITUTE(SUBSTITUTE(INDEX(PASTE_ALL,$DF374,$L$18)," "," "),CHAR(9)," "),CHAR(10)," "),CHAR(13)," ")))="OT",UPPER(TRIM(SUBSTITUTE(SUBSTITUTE(SUBSTITUTE(SUBSTITUTE(INDEX(PASTE_ALL,$DF374,$L$18)," "," "),CHAR(9)," "),CHAR(10)," "),CHAR(13)," ")))="OVERTIME",UPPER(TRIM(SUBSTITUTE(SUBSTITUTE(SUBSTITUTE(SUBSTITUTE(INDEX(PASTE_ALL,$DF374,$L$18)," "," "),CHAR(9)," "),CHAR(10)," "),CHAR(13)," ")))="TRIAL"),"OT",TRIM(SUBSTITUTE(SUBSTITUTE(SUBSTITUTE(SUBSTITUTE(INDEX(PASTE_ALL,$DF374,$L$18)," "," "),CHAR(9)," "),CHAR(10)," "),CHAR(13)," "))))),"")))</f>
        <v/>
      </c>
      <c r="EC374">
        <f>IF($DM374=0,"",IF($L$19=0,"",IFERROR(IF(ISNUMBER(INDEX(PASTE_ALL,$DF374,$L$19)),INDEX(PASTE_ALL,$DF374,$L$19),TRIM(SUBSTITUTE(SUBSTITUTE(SUBSTITUTE(SUBSTITUTE(INDEX(PASTE_ALL,$DF374,$L$19)," "," "),CHAR(9)," "),CHAR(10)," "),CHAR(13)," "))),"")))</f>
        <v/>
      </c>
      <c r="ED374">
        <f>IF($DM374=0,"",MATCH(1,INDEX(EXACT($DH$5:DH374,$DH374)*$DM$5:DM374,0),0))</f>
        <v/>
      </c>
      <c r="EE374">
        <f>IF($DM374=0,0,IF($ED374=$DE374,1,0))</f>
        <v/>
      </c>
      <c r="EF374">
        <f>EF373+$EE374</f>
        <v/>
      </c>
      <c r="EG374">
        <f>IF($DM374=0,"",INDEX($EF$5:$EF$1003,$ED374))</f>
        <v/>
      </c>
      <c r="EH374">
        <f>IF($DM374=0,"",IF($DO374&lt;&gt;"","",IFERROR(LOOKUP(2,1/(($EG$4:EG373=$EG374)*($DO$4:DO373&lt;&gt;"")),$DO$4:DO373),"")))</f>
        <v/>
      </c>
      <c r="EI374">
        <f>IF($DM374=0,"",IF($DO374&lt;&gt;"",$DO374,$EH374))</f>
        <v/>
      </c>
      <c r="EJ374">
        <f>IF($DM374=0,"",IF($EI374="",0,IF(OR(ISNUMBER($EI374),AND(AND(SUBSTITUTE(SUBSTITUTE(SUBSTITUTE(SUBSTITUTE(SUBSTITUTE(SUBSTITUTE(SUBSTITUTE(SUBSTITUTE(SUBSTITUTE(SUBSTITUTE(SUBSTITUTE(SUBSTITUTE(SUBSTITUTE(SUBSTITUTE(UPPER($EI374),"0",""),"1",""),"2",""),"3",""),"4",""),"5",""),"6",""),"7",""),"8",""),"9",""),".",""),"+",""),"-",""),"E","")="",LEN(SUBSTITUTE(SUBSTITUTE(MID(UPPER($EI374),1+OR(LEFT(UPPER($EI374),1)="+",LEFT(UPPER($EI374),1)="-"),999),"E+","E"),"E-","E"))=LEN(SUBSTITUTE(SUBSTITUTE(SUBSTITUTE(SUBSTITUTE(MID(UPPER($EI374),1+OR(LEFT(UPPER($EI374),1)="+",LEFT(UPPER($EI374),1)="-"),999),"E+","E"),"E-","E"),"+",""),"-","")),LEN(UPPER($EI374))-LEN(SUBSTITUTE(UPPER($EI374),"E",""))&lt;2,LEN(UPPER($EI374))-LEN(SUBSTITUTE(UPPER($EI374),".",""))&lt;2,IFERROR(FIND(".",UPPER($EI374)),0)&lt;IFERROR(FIND("E",UPPER($EI374)),999)),ISNUMBER(VALUE($EI374)))),1,2)))</f>
        <v/>
      </c>
      <c r="EK374">
        <f>IF($DM374=0,"",IF($EJ374=1,IF(ISNUMBER($EI374),$EI374,VALUE($EI374)),IF($EJ374=2,$DE374,0)))</f>
        <v/>
      </c>
      <c r="EL374">
        <f>IF($DM374=0,"",COUNTIF($EG$5:$EG$1003,"&lt;"&amp;$EG374)+SUMPRODUCT(($EG$5:$EG$1003=$EG374)*(($EJ$5:$EJ$1003&lt;$EJ374)+($EJ$5:$EJ$1003=$EJ374)*(($EK$5:$EK$1003&lt;$EK374)+($EK$5:$EK$1003=$EK374)*($DE$5:$DE$1003&lt;$DE374))))+1)</f>
        <v/>
      </c>
      <c r="EM374">
        <f>IF($DM374=0,"",$EL374+$EG374-1)</f>
        <v/>
      </c>
      <c r="EN374">
        <f>IF($DM374=0,0,IFERROR(MATCH(1,INDEX(--(TRIM(SUBSTITUTE(SUBSTITUTE(SUBSTITUTE(SUBSTITUTE(LINES_NAME&amp;""," "," "),CHAR(9)," "),CHAR(10)," "),CHAR(13)," "))=$DH374),0),0),0))</f>
        <v/>
      </c>
      <c r="EO374">
        <f>IF($EN374=0,0,IF(OR(UPPER(TRIM(INDEX(LINES_SCHEDULED,$EN374)&amp;""))="YES",UPPER(TRIM(INDEX(LINES_SCHEDULED,$EN374)&amp;""))="Y",UPPER(TRIM(INDEX(LINES_SCHEDULED,$EN374)&amp;""))="X"),1,0))</f>
        <v/>
      </c>
      <c r="EP374">
        <f>IF($DM374=0,"",IF(COUNTIFS($EG$5:$EG$1003,$EG374,$EB$5:$EB$1003,"Ready")&gt;0,"READY",IF(COUNTIFS($EG$5:$EG$1003,$EG374,$EB$5:$EB$1003,"PM")&gt;0,"PM",IF(COUNTIFS($EG$5:$EG$1003,$EG374,$EB$5:$EB$1003,"OT")&gt;0,"OT",""))))</f>
        <v/>
      </c>
      <c r="EQ374">
        <f>IF($EN374=0,"",UPPER(TRIM(INDEX(LINES_STATUS,$EN374)&amp;"")))</f>
        <v/>
      </c>
      <c r="ER374">
        <f>IF($DM374=0,"",IF(OR($EQ374="READY",$EQ374="PM",$EQ374="OT"),$EQ374,$EP374))</f>
        <v/>
      </c>
      <c r="ES374">
        <f>IF($DM374=0,"",IF(AND($DV374&lt;&gt;"",UPPER($DV374)&lt;&gt;"N"),"allergen",IF(ISNUMBER(SEARCH("oil",$DQ374)),"oil",IF(OR(EXACT($DS374,"A662"),EXACT($DS374,"A624")),"bulk",""))))</f>
        <v/>
      </c>
      <c r="ET374">
        <f>IF($DM374=0,"",IF(OR($EA374="",$EA374=0),"",$EA374/100))</f>
        <v/>
      </c>
      <c r="EU374">
        <f>IF(OR($ET374="",$DY374=""),"",INT($DY374*(1-$ET374)+0.5))</f>
        <v/>
      </c>
      <c r="EW374" t="n">
        <v>370</v>
      </c>
      <c r="EX374">
        <f>IFERROR(MATCH($EW374,$EM$5:$EM$1003,0),0)</f>
        <v/>
      </c>
      <c r="EY374">
        <f>IF($EW374&gt;$B$12,"",IF($EX374&gt;0,"row","spacer"))</f>
        <v/>
      </c>
      <c r="EZ374">
        <f>IF(AND($EY374="row",$EY373&lt;&gt;"row"),1,0)</f>
        <v/>
      </c>
      <c r="FA374">
        <f>IF(AND($EY374="row",$EY375&lt;&gt;"row"),1,0)</f>
        <v/>
      </c>
      <c r="FB374">
        <f>IF($EZ374=1,IFERROR(IF(ISNUMBER(INDEX(PASTE_ALL,INDEX($DF$5:$DF$1003,$EX374),$B$37)),INDEX(PASTE_ALL,INDEX($DF$5:$DF$1003,$EX374),$B$37),INDEX($DH$5:$DH$1003,$EX374)),INDEX($DH$5:$DH$1003,$EX374)),"")</f>
        <v/>
      </c>
      <c r="FC374">
        <f>IF($EY374="row",INDEX($ER$5:$ER$1003,$EX374),"")</f>
        <v/>
      </c>
      <c r="FD374">
        <f>IF($EY374="row",INDEX($DN$5:$DN$1003,$EX374),"")</f>
        <v/>
      </c>
      <c r="FE374">
        <f>IF($EY374="row",INDEX($DO$5:$DO$1003,$EX374),"")</f>
        <v/>
      </c>
      <c r="FF374">
        <f>IF($EY374="row",INDEX($DP$5:$DP$1003,$EX374),"")</f>
        <v/>
      </c>
      <c r="FG374">
        <f>IF($EY374="row",INDEX($DQ$5:$DQ$1003,$EX374),"")</f>
        <v/>
      </c>
      <c r="FH374">
        <f>IF($EY374="row",INDEX($DR$5:$DR$1003,$EX374),"")</f>
        <v/>
      </c>
      <c r="FI374">
        <f>IF($EY374="row",INDEX($DS$5:$DS$1003,$EX374),"")</f>
        <v/>
      </c>
      <c r="FJ374">
        <f>IF($EY374="row",INDEX($DT$5:$DT$1003,$EX374),"")</f>
        <v/>
      </c>
      <c r="FK374">
        <f>IF($EY374="row",INDEX($DU$5:$DU$1003,$EX374),"")</f>
        <v/>
      </c>
      <c r="FL374">
        <f>IF($EY374="row",INDEX($DV$5:$DV$1003,$EX374),"")</f>
        <v/>
      </c>
      <c r="FM374">
        <f>IF($EY374="row",INDEX($DW$5:$DW$1003,$EX374),"")</f>
        <v/>
      </c>
      <c r="FN374">
        <f>IF($EY374="row",INDEX($DY$5:$DY$1003,$EX374),"")</f>
        <v/>
      </c>
      <c r="FO374">
        <f>IF($EY374="row",INDEX($EA$5:$EA$1003,$EX374),"")</f>
        <v/>
      </c>
      <c r="FP374">
        <f>IF($EY374="row",INDEX($EC$5:$EC$1003,$EX374),"")</f>
        <v/>
      </c>
      <c r="FQ374">
        <f>IF($EY374="row",INDEX($ET$5:$ET$1003,$EX374),"")</f>
        <v/>
      </c>
      <c r="FR374">
        <f>IF($EY374="row",INDEX($EU$5:$EU$1003,$EX374),"")</f>
        <v/>
      </c>
      <c r="FS374">
        <f>IF(AND($EY374="row",$EY373="row"),IF(OR(INDEX($DT$5:$DT$1003,$EX373)="",INDEX($DT$5:$DT$1003,$EX374)=""),"",IF(NOT(EXACT(INDEX($DT$5:$DT$1003,$EX373),INDEX($DT$5:$DT$1003,$EX374))),"S4",IF(NOT(EXACT(INDEX($DS$5:$DS$1003,$EX373),INDEX($DS$5:$DS$1003,$EX374))),"S3",IF(NOT(EXACT(INDEX($DR$5:$DR$1003,$EX373),INDEX($DR$5:$DR$1003,$EX374))),"S1 Count Change","S1")))),"")</f>
        <v/>
      </c>
      <c r="FT374">
        <f>IF($EY374="row",INDEX($ES$5:$ES$1003,$EX374),"")</f>
        <v/>
      </c>
      <c r="FU374">
        <f>IF($EY374="row",INDEX($EO$5:$EO$1003,$EX374),0)</f>
        <v/>
      </c>
      <c r="FV374">
        <f>IF($FS374="S1 Count Change",1,0)</f>
        <v/>
      </c>
    </row>
    <row r="375">
      <c r="DA375" t="n">
        <v>371</v>
      </c>
      <c r="DB375">
        <f>IF($B$37=0,"",IFERROR(TRIM(SUBSTITUTE(SUBSTITUTE(SUBSTITUTE(SUBSTITUTE(INDEX(PASTE_ALL,371,$B$37)," "," "),CHAR(9)," "),CHAR(10)," "),CHAR(13)," ")),""))</f>
        <v/>
      </c>
      <c r="DC375">
        <f>IF(AND(371&gt;HEADER_ROW,UPPER(DB375)="LEGEND"),1,0)</f>
        <v/>
      </c>
      <c r="DE375" t="n">
        <v>371</v>
      </c>
      <c r="DF375">
        <f>HEADER_ROW+$DE375</f>
        <v/>
      </c>
      <c r="DG375">
        <f>IF(AND($DF375&lt;=1000,$DF375&lt;$B$8),1,0)</f>
        <v/>
      </c>
      <c r="DH375">
        <f>IF($DG375=1,IFERROR(INDEX($DB$5:$DB$1004,$DF375),""),"")</f>
        <v/>
      </c>
      <c r="DI375">
        <f>IF(AND($DG375=1,$DH375&lt;&gt;""),IFERROR(SUBSTITUTE(SUBSTITUTE(TRIM(SUBSTITUTE(SUBSTITUTE(SUBSTITUTE(SUBSTITUTE(IFERROR(INDEX(PASTE_ALL,$DF375,1)&amp;"","")&amp;"␟"&amp;IFERROR(INDEX(PASTE_ALL,$DF375,2)&amp;"","")&amp;"␟"&amp;IFERROR(INDEX(PASTE_ALL,$DF375,3)&amp;"","")&amp;"␟"&amp;IFERROR(INDEX(PASTE_ALL,$DF375,4)&amp;"","")&amp;"␟"&amp;IFERROR(INDEX(PASTE_ALL,$DF375,5)&amp;"","")&amp;"␟"&amp;IFERROR(INDEX(PASTE_ALL,$DF375,6)&amp;"","")&amp;"␟"&amp;IFERROR(INDEX(PASTE_ALL,$DF375,7)&amp;"","")&amp;"␟"&amp;IFERROR(INDEX(PASTE_ALL,$DF375,8)&amp;"","")&amp;"␟"&amp;IFERROR(INDEX(PASTE_ALL,$DF375,9)&amp;"","")&amp;"␟"&amp;IFERROR(INDEX(PASTE_ALL,$DF375,10)&amp;"","")&amp;"␟"&amp;IFERROR(INDEX(PASTE_ALL,$DF375,11)&amp;"","")&amp;"␟"&amp;IFERROR(INDEX(PASTE_ALL,$DF375,12)&amp;"","")&amp;"␟"&amp;IFERROR(INDEX(PASTE_ALL,$DF375,13)&amp;"","")&amp;"␟"&amp;IFERROR(INDEX(PASTE_ALL,$DF375,14)&amp;"","")&amp;"␟"&amp;IFERROR(INDEX(PASTE_ALL,$DF375,15)&amp;"","")&amp;"␟"&amp;IFERROR(INDEX(PASTE_ALL,$DF375,16)&amp;"","")&amp;"␟"&amp;IFERROR(INDEX(PASTE_ALL,$DF375,17)&amp;"","")&amp;"␟"&amp;IFERROR(INDEX(PASTE_ALL,$DF375,18)&amp;"","")&amp;"␟"&amp;IFERROR(INDEX(PASTE_ALL,$DF375,19)&amp;"","")&amp;"␟"&amp;IFERROR(INDEX(PASTE_ALL,$DF375,20)&amp;"","")&amp;"␟"&amp;IFERROR(INDEX(PASTE_ALL,$DF375,21)&amp;"","")&amp;"␟"&amp;IFERROR(INDEX(PASTE_ALL,$DF375,22)&amp;"","")&amp;"␟"&amp;IFERROR(INDEX(PASTE_ALL,$DF375,23)&amp;"","")&amp;"␟"&amp;IFERROR(INDEX(PASTE_ALL,$DF375,24)&amp;"","")&amp;"␟"&amp;IFERROR(INDEX(PASTE_ALL,$DF375,25)&amp;"","")&amp;"␟"&amp;IFERROR(INDEX(PASTE_ALL,$DF375,26)&amp;"","")&amp;"␟"&amp;IFERROR(INDEX(PASTE_ALL,$DF375,27)&amp;"","")&amp;"␟"&amp;IFERROR(INDEX(PASTE_ALL,$DF375,28)&amp;"","")&amp;"␟"&amp;IFERROR(INDEX(PASTE_ALL,$DF375,29)&amp;"","")&amp;"␟"&amp;IFERROR(INDEX(PASTE_ALL,$DF375,30)&amp;"","")&amp;"␟"&amp;IFERROR(INDEX(PASTE_ALL,$DF375,31)&amp;"","")&amp;"␟"&amp;IFERROR(INDEX(PASTE_ALL,$DF375,32)&amp;"","")&amp;"␟"&amp;IFERROR(INDEX(PASTE_ALL,$DF375,33)&amp;"","")&amp;"␟"&amp;IFERROR(INDEX(PASTE_ALL,$DF375,34)&amp;"","")&amp;"␟"&amp;IFERROR(INDEX(PASTE_ALL,$DF375,35)&amp;"","")&amp;"␟"&amp;IFERROR(INDEX(PASTE_ALL,$DF375,36)&amp;"","")&amp;"␟"&amp;IFERROR(INDEX(PASTE_ALL,$DF375,37)&amp;"","")&amp;"␟"&amp;IFERROR(INDEX(PASTE_ALL,$DF375,38)&amp;"","")&amp;"␟"&amp;IFERROR(INDEX(PASTE_ALL,$DF375,39)&amp;"","")&amp;"␟"&amp;IFERROR(INDEX(PASTE_ALL,$DF375,40)&amp;"","")&amp;"␟"&amp;IFERROR(INDEX(PASTE_ALL,$DF375,41)&amp;"","")&amp;"␟"&amp;IFERROR(INDEX(PASTE_ALL,$DF375,42)&amp;"","")&amp;"␟"&amp;IFERROR(INDEX(PASTE_ALL,$DF375,43)&amp;"","")&amp;"␟"&amp;IFERROR(INDEX(PASTE_ALL,$DF375,44)&amp;"","")&amp;"␟"&amp;IFERROR(INDEX(PASTE_ALL,$DF375,45)&amp;"","")&amp;"␟"&amp;IFERROR(INDEX(PASTE_ALL,$DF375,46)&amp;"","")&amp;"␟"&amp;IFERROR(INDEX(PASTE_ALL,$DF375,47)&amp;"","")&amp;"␟"&amp;IFERROR(INDEX(PASTE_ALL,$DF375,48)&amp;"","")&amp;"␟"&amp;IFERROR(INDEX(PASTE_ALL,$DF375,49)&amp;"","")&amp;"␟"&amp;IFERROR(INDEX(PASTE_ALL,$DF375,50)&amp;"","")&amp;"␟"&amp;IFERROR(INDEX(PASTE_ALL,$DF375,51)&amp;"","")&amp;"␟"&amp;IFERROR(INDEX(PASTE_ALL,$DF375,52)&amp;"","")&amp;"␟"&amp;IFERROR(INDEX(PASTE_ALL,$DF375,53)&amp;"","")&amp;"␟"&amp;IFERROR(INDEX(PASTE_ALL,$DF375,54)&amp;"","")&amp;"␟"&amp;IFERROR(INDEX(PASTE_ALL,$DF375,55)&amp;"","")&amp;"␟"&amp;IFERROR(INDEX(PASTE_ALL,$DF375,56)&amp;"","")&amp;"␟"&amp;IFERROR(INDEX(PASTE_ALL,$DF375,57)&amp;"","")&amp;"␟"&amp;IFERROR(INDEX(PASTE_ALL,$DF375,58)&amp;"","")&amp;"␟"&amp;IFERROR(INDEX(PASTE_ALL,$DF375,59)&amp;"","")&amp;"␟"&amp;IFERROR(INDEX(PASTE_ALL,$DF375,60)&amp;"","")," "," "),CHAR(9)," "),CHAR(10)," "),CHAR(13)," "))," ␟","␟"),"␟ ","␟"),"#"&amp;$DE375),"")</f>
        <v/>
      </c>
      <c r="DJ375">
        <f>IF($DI375="",0,IF(SUMPRODUCT(--EXACT($DI$4:DI374,$DI375))&gt;0,1,0))</f>
        <v/>
      </c>
      <c r="DK375">
        <f>IF(AND($DI375&lt;&gt;"",$DJ375=0),1,0)</f>
        <v/>
      </c>
      <c r="DL375">
        <f>DL374+$DK375</f>
        <v/>
      </c>
      <c r="DM375">
        <f>IF(AND($DK375=1,$DL375&lt;=600),1,0)</f>
        <v/>
      </c>
      <c r="DN375">
        <f>IF($DM375=0,"",IF($L$6=0,"",IFERROR(IF(ISNUMBER(INDEX(PASTE_ALL,$DF375,$L$6)),INDEX(PASTE_ALL,$DF375,$L$6),TRIM(SUBSTITUTE(SUBSTITUTE(SUBSTITUTE(SUBSTITUTE(INDEX(PASTE_ALL,$DF375,$L$6)," "," "),CHAR(9)," "),CHAR(10)," "),CHAR(13)," "))),"")))</f>
        <v/>
      </c>
      <c r="DO375">
        <f>IF($DM375=0,"",IF($L$7=0,"",IFERROR(IF(ISNUMBER(INDEX(PASTE_ALL,$DF375,$L$7)),INDEX(PASTE_ALL,$DF375,$L$7),TRIM(SUBSTITUTE(SUBSTITUTE(SUBSTITUTE(SUBSTITUTE(INDEX(PASTE_ALL,$DF375,$L$7)," "," "),CHAR(9)," "),CHAR(10)," "),CHAR(13)," "))),"")))</f>
        <v/>
      </c>
      <c r="DP375">
        <f>IF($DM375=0,"",IF($L$8=0,"",IFERROR(IF(ISNUMBER(INDEX(PASTE_ALL,$DF375,$L$8)),INDEX(PASTE_ALL,$DF375,$L$8),TRIM(SUBSTITUTE(SUBSTITUTE(SUBSTITUTE(SUBSTITUTE(INDEX(PASTE_ALL,$DF375,$L$8)," "," "),CHAR(9)," "),CHAR(10)," "),CHAR(13)," "))),"")))</f>
        <v/>
      </c>
      <c r="DQ375">
        <f>IF($DM375=0,"",IF($L$9=0,"",IFERROR(IF(ISNUMBER(INDEX(PASTE_ALL,$DF375,$L$9)),INDEX(PASTE_ALL,$DF375,$L$9),TRIM(SUBSTITUTE(SUBSTITUTE(SUBSTITUTE(SUBSTITUTE(INDEX(PASTE_ALL,$DF375,$L$9)," "," "),CHAR(9)," "),CHAR(10)," "),CHAR(13)," "))),"")))</f>
        <v/>
      </c>
      <c r="DR375">
        <f>IF($DM375=0,"",IF($L$10=0,"",IFERROR(IF(ISNUMBER(INDEX(PASTE_ALL,$DF375,$L$10)),INDEX(PASTE_ALL,$DF375,$L$10),TRIM(SUBSTITUTE(SUBSTITUTE(SUBSTITUTE(SUBSTITUTE(INDEX(PASTE_ALL,$DF375,$L$10)," "," "),CHAR(9)," "),CHAR(10)," "),CHAR(13)," "))),"")))</f>
        <v/>
      </c>
      <c r="DS375">
        <f>IF($DM375=0,"",IF($L$11=0,"",IFERROR(IF(ISNUMBER(INDEX(PASTE_ALL,$DF375,$L$11)),INDEX(PASTE_ALL,$DF375,$L$11),TRIM(SUBSTITUTE(SUBSTITUTE(SUBSTITUTE(SUBSTITUTE(INDEX(PASTE_ALL,$DF375,$L$11)," "," "),CHAR(9)," "),CHAR(10)," "),CHAR(13)," "))),"")))</f>
        <v/>
      </c>
      <c r="DT375">
        <f>IF($DM375=0,"",IF($L$12=0,"",IFERROR(IF(ISNUMBER(INDEX(PASTE_ALL,$DF375,$L$12)),INDEX(PASTE_ALL,$DF375,$L$12),TRIM(SUBSTITUTE(SUBSTITUTE(SUBSTITUTE(SUBSTITUTE(INDEX(PASTE_ALL,$DF375,$L$12)," "," "),CHAR(9)," "),CHAR(10)," "),CHAR(13)," "))),"")))</f>
        <v/>
      </c>
      <c r="DU375">
        <f>IF($DM375=0,"",IF($L$13=0,"",IFERROR(IF(ISNUMBER(INDEX(PASTE_ALL,$DF375,$L$13)),INDEX(PASTE_ALL,$DF375,$L$13),TRIM(SUBSTITUTE(SUBSTITUTE(SUBSTITUTE(SUBSTITUTE(INDEX(PASTE_ALL,$DF375,$L$13)," "," "),CHAR(9)," "),CHAR(10)," "),CHAR(13)," "))),"")))</f>
        <v/>
      </c>
      <c r="DV375">
        <f>IF($DM375=0,"",IF($L$14=0,"",IFERROR(IF(ISNUMBER(INDEX(PASTE_ALL,$DF375,$L$14)),INDEX(PASTE_ALL,$DF375,$L$14),TRIM(SUBSTITUTE(SUBSTITUTE(SUBSTITUTE(SUBSTITUTE(INDEX(PASTE_ALL,$DF375,$L$14)," "," "),CHAR(9)," "),CHAR(10)," "),CHAR(13)," "))),"")))</f>
        <v/>
      </c>
      <c r="DW375">
        <f>IF($DM375=0,"",IF($L$15=0,"",IFERROR(IF(ISNUMBER(INDEX(PASTE_ALL,$DF375,$L$15)),INDEX(PASTE_ALL,$DF375,$L$15),IF(SUMPRODUCT(--ISNUMBER(FIND({"A","B","C","D","E","F","G","H","I","J","K","L","M","N","O","P","Q","R","S","T","U","V","W","X","Y","Z","0","1","2","3","4","5","6","7","8","9"},UPPER(TRIM(SUBSTITUTE(SUBSTITUTE(SUBSTITUTE(SUBSTITUTE(INDEX(PASTE_ALL,$DF375,$L$15)," "," "),CHAR(9)," "),CHAR(10)," "),CHAR(13)," "))))))&gt;0,TRIM(SUBSTITUTE(SUBSTITUTE(SUBSTITUTE(SUBSTITUTE(INDEX(PASTE_ALL,$DF375,$L$15)," "," "),CHAR(9)," "),CHAR(10)," "),CHAR(13)," ")),"")),"")))</f>
        <v/>
      </c>
      <c r="DX375">
        <f>IF($DM375=0,"",IF($L$16=0,"",IFERROR(IF(ISNUMBER(INDEX(PASTE_ALL,$DF375,$L$16)),INDEX(PASTE_ALL,$DF375,$L$16),SUBSTITUTE(SUBSTITUTE(TRIM(SUBSTITUTE(SUBSTITUTE(SUBSTITUTE(SUBSTITUTE(INDEX(PASTE_ALL,$DF375,$L$16)," "," "),CHAR(9)," "),CHAR(10)," "),CHAR(13)," ")),",",""),"%","")),"")))</f>
        <v/>
      </c>
      <c r="DY375">
        <f>IF($DM375=0,"",IFERROR(IF(ISNUMBER($DX375),$DX375,IF($DX375="","",IF(TRIM($DX375)="",0,IF(AND(AND(SUBSTITUTE(SUBSTITUTE(SUBSTITUTE(SUBSTITUTE(SUBSTITUTE(SUBSTITUTE(SUBSTITUTE(SUBSTITUTE(SUBSTITUTE(SUBSTITUTE(SUBSTITUTE(SUBSTITUTE(SUBSTITUTE(SUBSTITUTE(UPPER(TRIM($DX375)),"0",""),"1",""),"2",""),"3",""),"4",""),"5",""),"6",""),"7",""),"8",""),"9",""),".",""),"+",""),"-",""),"E","")="",LEN(SUBSTITUTE(SUBSTITUTE(MID(UPPER(TRIM($DX375)),1+OR(LEFT(UPPER(TRIM($DX375)),1)="+",LEFT(UPPER(TRIM($DX375)),1)="-"),999),"E+","E"),"E-","E"))=LEN(SUBSTITUTE(SUBSTITUTE(SUBSTITUTE(SUBSTITUTE(MID(UPPER(TRIM($DX375)),1+OR(LEFT(UPPER(TRIM($DX375)),1)="+",LEFT(UPPER(TRIM($DX375)),1)="-"),999),"E+","E"),"E-","E"),"+",""),"-","")),LEN(UPPER(TRIM($DX375)))-LEN(SUBSTITUTE(UPPER(TRIM($DX375)),"E",""))&lt;2,LEN(UPPER(TRIM($DX375)))-LEN(SUBSTITUTE(UPPER(TRIM($DX375)),".",""))&lt;2,IFERROR(FIND(".",UPPER(TRIM($DX375))),0)&lt;IFERROR(FIND("E",UPPER(TRIM($DX375))),999)),ISNUMBER(VALUE(TRIM($DX375)))),VALUE(TRIM($DX375)),"")))),""))</f>
        <v/>
      </c>
      <c r="DZ375">
        <f>IF($DM375=0,"",IF($L$17=0,"",IFERROR(IF(ISNUMBER(INDEX(PASTE_ALL,$DF375,$L$17)),INDEX(PASTE_ALL,$DF375,$L$17),SUBSTITUTE(SUBSTITUTE(TRIM(SUBSTITUTE(SUBSTITUTE(SUBSTITUTE(SUBSTITUTE(INDEX(PASTE_ALL,$DF375,$L$17)," "," "),CHAR(9)," "),CHAR(10)," "),CHAR(13)," ")),",",""),"%","")),"")))</f>
        <v/>
      </c>
      <c r="EA375">
        <f>IF($DM375=0,"",IFERROR(IF(ISNUMBER($DZ375),$DZ375,IF($DZ375="","",IF(TRIM($DZ375)="",0,IF(AND(AND(SUBSTITUTE(SUBSTITUTE(SUBSTITUTE(SUBSTITUTE(SUBSTITUTE(SUBSTITUTE(SUBSTITUTE(SUBSTITUTE(SUBSTITUTE(SUBSTITUTE(SUBSTITUTE(SUBSTITUTE(SUBSTITUTE(SUBSTITUTE(UPPER(TRIM($DZ375)),"0",""),"1",""),"2",""),"3",""),"4",""),"5",""),"6",""),"7",""),"8",""),"9",""),".",""),"+",""),"-",""),"E","")="",LEN(SUBSTITUTE(SUBSTITUTE(MID(UPPER(TRIM($DZ375)),1+OR(LEFT(UPPER(TRIM($DZ375)),1)="+",LEFT(UPPER(TRIM($DZ375)),1)="-"),999),"E+","E"),"E-","E"))=LEN(SUBSTITUTE(SUBSTITUTE(SUBSTITUTE(SUBSTITUTE(MID(UPPER(TRIM($DZ375)),1+OR(LEFT(UPPER(TRIM($DZ375)),1)="+",LEFT(UPPER(TRIM($DZ375)),1)="-"),999),"E+","E"),"E-","E"),"+",""),"-","")),LEN(UPPER(TRIM($DZ375)))-LEN(SUBSTITUTE(UPPER(TRIM($DZ375)),"E",""))&lt;2,LEN(UPPER(TRIM($DZ375)))-LEN(SUBSTITUTE(UPPER(TRIM($DZ375)),".",""))&lt;2,IFERROR(FIND(".",UPPER(TRIM($DZ375))),0)&lt;IFERROR(FIND("E",UPPER(TRIM($DZ375))),999)),ISNUMBER(VALUE(TRIM($DZ375)))),VALUE(TRIM($DZ375)),"")))),""))</f>
        <v/>
      </c>
      <c r="EB375">
        <f>IF($DM375=0,"",IF($L$18=0,"",IFERROR(IF(UPPER(TRIM(SUBSTITUTE(SUBSTITUTE(SUBSTITUTE(SUBSTITUTE(INDEX(PASTE_ALL,$DF375,$L$18)," "," "),CHAR(9)," "),CHAR(10)," "),CHAR(13)," ")))="READY","Ready",IF(UPPER(TRIM(SUBSTITUTE(SUBSTITUTE(SUBSTITUTE(SUBSTITUTE(INDEX(PASTE_ALL,$DF375,$L$18)," "," "),CHAR(9)," "),CHAR(10)," "),CHAR(13)," ")))="PM","PM",IF(OR(UPPER(TRIM(SUBSTITUTE(SUBSTITUTE(SUBSTITUTE(SUBSTITUTE(INDEX(PASTE_ALL,$DF375,$L$18)," "," "),CHAR(9)," "),CHAR(10)," "),CHAR(13)," ")))="OT",UPPER(TRIM(SUBSTITUTE(SUBSTITUTE(SUBSTITUTE(SUBSTITUTE(INDEX(PASTE_ALL,$DF375,$L$18)," "," "),CHAR(9)," "),CHAR(10)," "),CHAR(13)," ")))="OVERTIME",UPPER(TRIM(SUBSTITUTE(SUBSTITUTE(SUBSTITUTE(SUBSTITUTE(INDEX(PASTE_ALL,$DF375,$L$18)," "," "),CHAR(9)," "),CHAR(10)," "),CHAR(13)," ")))="TRIAL"),"OT",TRIM(SUBSTITUTE(SUBSTITUTE(SUBSTITUTE(SUBSTITUTE(INDEX(PASTE_ALL,$DF375,$L$18)," "," "),CHAR(9)," "),CHAR(10)," "),CHAR(13)," "))))),"")))</f>
        <v/>
      </c>
      <c r="EC375">
        <f>IF($DM375=0,"",IF($L$19=0,"",IFERROR(IF(ISNUMBER(INDEX(PASTE_ALL,$DF375,$L$19)),INDEX(PASTE_ALL,$DF375,$L$19),TRIM(SUBSTITUTE(SUBSTITUTE(SUBSTITUTE(SUBSTITUTE(INDEX(PASTE_ALL,$DF375,$L$19)," "," "),CHAR(9)," "),CHAR(10)," "),CHAR(13)," "))),"")))</f>
        <v/>
      </c>
      <c r="ED375">
        <f>IF($DM375=0,"",MATCH(1,INDEX(EXACT($DH$5:DH375,$DH375)*$DM$5:DM375,0),0))</f>
        <v/>
      </c>
      <c r="EE375">
        <f>IF($DM375=0,0,IF($ED375=$DE375,1,0))</f>
        <v/>
      </c>
      <c r="EF375">
        <f>EF374+$EE375</f>
        <v/>
      </c>
      <c r="EG375">
        <f>IF($DM375=0,"",INDEX($EF$5:$EF$1003,$ED375))</f>
        <v/>
      </c>
      <c r="EH375">
        <f>IF($DM375=0,"",IF($DO375&lt;&gt;"","",IFERROR(LOOKUP(2,1/(($EG$4:EG374=$EG375)*($DO$4:DO374&lt;&gt;"")),$DO$4:DO374),"")))</f>
        <v/>
      </c>
      <c r="EI375">
        <f>IF($DM375=0,"",IF($DO375&lt;&gt;"",$DO375,$EH375))</f>
        <v/>
      </c>
      <c r="EJ375">
        <f>IF($DM375=0,"",IF($EI375="",0,IF(OR(ISNUMBER($EI375),AND(AND(SUBSTITUTE(SUBSTITUTE(SUBSTITUTE(SUBSTITUTE(SUBSTITUTE(SUBSTITUTE(SUBSTITUTE(SUBSTITUTE(SUBSTITUTE(SUBSTITUTE(SUBSTITUTE(SUBSTITUTE(SUBSTITUTE(SUBSTITUTE(UPPER($EI375),"0",""),"1",""),"2",""),"3",""),"4",""),"5",""),"6",""),"7",""),"8",""),"9",""),".",""),"+",""),"-",""),"E","")="",LEN(SUBSTITUTE(SUBSTITUTE(MID(UPPER($EI375),1+OR(LEFT(UPPER($EI375),1)="+",LEFT(UPPER($EI375),1)="-"),999),"E+","E"),"E-","E"))=LEN(SUBSTITUTE(SUBSTITUTE(SUBSTITUTE(SUBSTITUTE(MID(UPPER($EI375),1+OR(LEFT(UPPER($EI375),1)="+",LEFT(UPPER($EI375),1)="-"),999),"E+","E"),"E-","E"),"+",""),"-","")),LEN(UPPER($EI375))-LEN(SUBSTITUTE(UPPER($EI375),"E",""))&lt;2,LEN(UPPER($EI375))-LEN(SUBSTITUTE(UPPER($EI375),".",""))&lt;2,IFERROR(FIND(".",UPPER($EI375)),0)&lt;IFERROR(FIND("E",UPPER($EI375)),999)),ISNUMBER(VALUE($EI375)))),1,2)))</f>
        <v/>
      </c>
      <c r="EK375">
        <f>IF($DM375=0,"",IF($EJ375=1,IF(ISNUMBER($EI375),$EI375,VALUE($EI375)),IF($EJ375=2,$DE375,0)))</f>
        <v/>
      </c>
      <c r="EL375">
        <f>IF($DM375=0,"",COUNTIF($EG$5:$EG$1003,"&lt;"&amp;$EG375)+SUMPRODUCT(($EG$5:$EG$1003=$EG375)*(($EJ$5:$EJ$1003&lt;$EJ375)+($EJ$5:$EJ$1003=$EJ375)*(($EK$5:$EK$1003&lt;$EK375)+($EK$5:$EK$1003=$EK375)*($DE$5:$DE$1003&lt;$DE375))))+1)</f>
        <v/>
      </c>
      <c r="EM375">
        <f>IF($DM375=0,"",$EL375+$EG375-1)</f>
        <v/>
      </c>
      <c r="EN375">
        <f>IF($DM375=0,0,IFERROR(MATCH(1,INDEX(--(TRIM(SUBSTITUTE(SUBSTITUTE(SUBSTITUTE(SUBSTITUTE(LINES_NAME&amp;""," "," "),CHAR(9)," "),CHAR(10)," "),CHAR(13)," "))=$DH375),0),0),0))</f>
        <v/>
      </c>
      <c r="EO375">
        <f>IF($EN375=0,0,IF(OR(UPPER(TRIM(INDEX(LINES_SCHEDULED,$EN375)&amp;""))="YES",UPPER(TRIM(INDEX(LINES_SCHEDULED,$EN375)&amp;""))="Y",UPPER(TRIM(INDEX(LINES_SCHEDULED,$EN375)&amp;""))="X"),1,0))</f>
        <v/>
      </c>
      <c r="EP375">
        <f>IF($DM375=0,"",IF(COUNTIFS($EG$5:$EG$1003,$EG375,$EB$5:$EB$1003,"Ready")&gt;0,"READY",IF(COUNTIFS($EG$5:$EG$1003,$EG375,$EB$5:$EB$1003,"PM")&gt;0,"PM",IF(COUNTIFS($EG$5:$EG$1003,$EG375,$EB$5:$EB$1003,"OT")&gt;0,"OT",""))))</f>
        <v/>
      </c>
      <c r="EQ375">
        <f>IF($EN375=0,"",UPPER(TRIM(INDEX(LINES_STATUS,$EN375)&amp;"")))</f>
        <v/>
      </c>
      <c r="ER375">
        <f>IF($DM375=0,"",IF(OR($EQ375="READY",$EQ375="PM",$EQ375="OT"),$EQ375,$EP375))</f>
        <v/>
      </c>
      <c r="ES375">
        <f>IF($DM375=0,"",IF(AND($DV375&lt;&gt;"",UPPER($DV375)&lt;&gt;"N"),"allergen",IF(ISNUMBER(SEARCH("oil",$DQ375)),"oil",IF(OR(EXACT($DS375,"A662"),EXACT($DS375,"A624")),"bulk",""))))</f>
        <v/>
      </c>
      <c r="ET375">
        <f>IF($DM375=0,"",IF(OR($EA375="",$EA375=0),"",$EA375/100))</f>
        <v/>
      </c>
      <c r="EU375">
        <f>IF(OR($ET375="",$DY375=""),"",INT($DY375*(1-$ET375)+0.5))</f>
        <v/>
      </c>
      <c r="EW375" t="n">
        <v>371</v>
      </c>
      <c r="EX375">
        <f>IFERROR(MATCH($EW375,$EM$5:$EM$1003,0),0)</f>
        <v/>
      </c>
      <c r="EY375">
        <f>IF($EW375&gt;$B$12,"",IF($EX375&gt;0,"row","spacer"))</f>
        <v/>
      </c>
      <c r="EZ375">
        <f>IF(AND($EY375="row",$EY374&lt;&gt;"row"),1,0)</f>
        <v/>
      </c>
      <c r="FA375">
        <f>IF(AND($EY375="row",$EY376&lt;&gt;"row"),1,0)</f>
        <v/>
      </c>
      <c r="FB375">
        <f>IF($EZ375=1,IFERROR(IF(ISNUMBER(INDEX(PASTE_ALL,INDEX($DF$5:$DF$1003,$EX375),$B$37)),INDEX(PASTE_ALL,INDEX($DF$5:$DF$1003,$EX375),$B$37),INDEX($DH$5:$DH$1003,$EX375)),INDEX($DH$5:$DH$1003,$EX375)),"")</f>
        <v/>
      </c>
      <c r="FC375">
        <f>IF($EY375="row",INDEX($ER$5:$ER$1003,$EX375),"")</f>
        <v/>
      </c>
      <c r="FD375">
        <f>IF($EY375="row",INDEX($DN$5:$DN$1003,$EX375),"")</f>
        <v/>
      </c>
      <c r="FE375">
        <f>IF($EY375="row",INDEX($DO$5:$DO$1003,$EX375),"")</f>
        <v/>
      </c>
      <c r="FF375">
        <f>IF($EY375="row",INDEX($DP$5:$DP$1003,$EX375),"")</f>
        <v/>
      </c>
      <c r="FG375">
        <f>IF($EY375="row",INDEX($DQ$5:$DQ$1003,$EX375),"")</f>
        <v/>
      </c>
      <c r="FH375">
        <f>IF($EY375="row",INDEX($DR$5:$DR$1003,$EX375),"")</f>
        <v/>
      </c>
      <c r="FI375">
        <f>IF($EY375="row",INDEX($DS$5:$DS$1003,$EX375),"")</f>
        <v/>
      </c>
      <c r="FJ375">
        <f>IF($EY375="row",INDEX($DT$5:$DT$1003,$EX375),"")</f>
        <v/>
      </c>
      <c r="FK375">
        <f>IF($EY375="row",INDEX($DU$5:$DU$1003,$EX375),"")</f>
        <v/>
      </c>
      <c r="FL375">
        <f>IF($EY375="row",INDEX($DV$5:$DV$1003,$EX375),"")</f>
        <v/>
      </c>
      <c r="FM375">
        <f>IF($EY375="row",INDEX($DW$5:$DW$1003,$EX375),"")</f>
        <v/>
      </c>
      <c r="FN375">
        <f>IF($EY375="row",INDEX($DY$5:$DY$1003,$EX375),"")</f>
        <v/>
      </c>
      <c r="FO375">
        <f>IF($EY375="row",INDEX($EA$5:$EA$1003,$EX375),"")</f>
        <v/>
      </c>
      <c r="FP375">
        <f>IF($EY375="row",INDEX($EC$5:$EC$1003,$EX375),"")</f>
        <v/>
      </c>
      <c r="FQ375">
        <f>IF($EY375="row",INDEX($ET$5:$ET$1003,$EX375),"")</f>
        <v/>
      </c>
      <c r="FR375">
        <f>IF($EY375="row",INDEX($EU$5:$EU$1003,$EX375),"")</f>
        <v/>
      </c>
      <c r="FS375">
        <f>IF(AND($EY375="row",$EY374="row"),IF(OR(INDEX($DT$5:$DT$1003,$EX374)="",INDEX($DT$5:$DT$1003,$EX375)=""),"",IF(NOT(EXACT(INDEX($DT$5:$DT$1003,$EX374),INDEX($DT$5:$DT$1003,$EX375))),"S4",IF(NOT(EXACT(INDEX($DS$5:$DS$1003,$EX374),INDEX($DS$5:$DS$1003,$EX375))),"S3",IF(NOT(EXACT(INDEX($DR$5:$DR$1003,$EX374),INDEX($DR$5:$DR$1003,$EX375))),"S1 Count Change","S1")))),"")</f>
        <v/>
      </c>
      <c r="FT375">
        <f>IF($EY375="row",INDEX($ES$5:$ES$1003,$EX375),"")</f>
        <v/>
      </c>
      <c r="FU375">
        <f>IF($EY375="row",INDEX($EO$5:$EO$1003,$EX375),0)</f>
        <v/>
      </c>
      <c r="FV375">
        <f>IF($FS375="S1 Count Change",1,0)</f>
        <v/>
      </c>
    </row>
    <row r="376">
      <c r="DA376" t="n">
        <v>372</v>
      </c>
      <c r="DB376">
        <f>IF($B$37=0,"",IFERROR(TRIM(SUBSTITUTE(SUBSTITUTE(SUBSTITUTE(SUBSTITUTE(INDEX(PASTE_ALL,372,$B$37)," "," "),CHAR(9)," "),CHAR(10)," "),CHAR(13)," ")),""))</f>
        <v/>
      </c>
      <c r="DC376">
        <f>IF(AND(372&gt;HEADER_ROW,UPPER(DB376)="LEGEND"),1,0)</f>
        <v/>
      </c>
      <c r="DE376" t="n">
        <v>372</v>
      </c>
      <c r="DF376">
        <f>HEADER_ROW+$DE376</f>
        <v/>
      </c>
      <c r="DG376">
        <f>IF(AND($DF376&lt;=1000,$DF376&lt;$B$8),1,0)</f>
        <v/>
      </c>
      <c r="DH376">
        <f>IF($DG376=1,IFERROR(INDEX($DB$5:$DB$1004,$DF376),""),"")</f>
        <v/>
      </c>
      <c r="DI376">
        <f>IF(AND($DG376=1,$DH376&lt;&gt;""),IFERROR(SUBSTITUTE(SUBSTITUTE(TRIM(SUBSTITUTE(SUBSTITUTE(SUBSTITUTE(SUBSTITUTE(IFERROR(INDEX(PASTE_ALL,$DF376,1)&amp;"","")&amp;"␟"&amp;IFERROR(INDEX(PASTE_ALL,$DF376,2)&amp;"","")&amp;"␟"&amp;IFERROR(INDEX(PASTE_ALL,$DF376,3)&amp;"","")&amp;"␟"&amp;IFERROR(INDEX(PASTE_ALL,$DF376,4)&amp;"","")&amp;"␟"&amp;IFERROR(INDEX(PASTE_ALL,$DF376,5)&amp;"","")&amp;"␟"&amp;IFERROR(INDEX(PASTE_ALL,$DF376,6)&amp;"","")&amp;"␟"&amp;IFERROR(INDEX(PASTE_ALL,$DF376,7)&amp;"","")&amp;"␟"&amp;IFERROR(INDEX(PASTE_ALL,$DF376,8)&amp;"","")&amp;"␟"&amp;IFERROR(INDEX(PASTE_ALL,$DF376,9)&amp;"","")&amp;"␟"&amp;IFERROR(INDEX(PASTE_ALL,$DF376,10)&amp;"","")&amp;"␟"&amp;IFERROR(INDEX(PASTE_ALL,$DF376,11)&amp;"","")&amp;"␟"&amp;IFERROR(INDEX(PASTE_ALL,$DF376,12)&amp;"","")&amp;"␟"&amp;IFERROR(INDEX(PASTE_ALL,$DF376,13)&amp;"","")&amp;"␟"&amp;IFERROR(INDEX(PASTE_ALL,$DF376,14)&amp;"","")&amp;"␟"&amp;IFERROR(INDEX(PASTE_ALL,$DF376,15)&amp;"","")&amp;"␟"&amp;IFERROR(INDEX(PASTE_ALL,$DF376,16)&amp;"","")&amp;"␟"&amp;IFERROR(INDEX(PASTE_ALL,$DF376,17)&amp;"","")&amp;"␟"&amp;IFERROR(INDEX(PASTE_ALL,$DF376,18)&amp;"","")&amp;"␟"&amp;IFERROR(INDEX(PASTE_ALL,$DF376,19)&amp;"","")&amp;"␟"&amp;IFERROR(INDEX(PASTE_ALL,$DF376,20)&amp;"","")&amp;"␟"&amp;IFERROR(INDEX(PASTE_ALL,$DF376,21)&amp;"","")&amp;"␟"&amp;IFERROR(INDEX(PASTE_ALL,$DF376,22)&amp;"","")&amp;"␟"&amp;IFERROR(INDEX(PASTE_ALL,$DF376,23)&amp;"","")&amp;"␟"&amp;IFERROR(INDEX(PASTE_ALL,$DF376,24)&amp;"","")&amp;"␟"&amp;IFERROR(INDEX(PASTE_ALL,$DF376,25)&amp;"","")&amp;"␟"&amp;IFERROR(INDEX(PASTE_ALL,$DF376,26)&amp;"","")&amp;"␟"&amp;IFERROR(INDEX(PASTE_ALL,$DF376,27)&amp;"","")&amp;"␟"&amp;IFERROR(INDEX(PASTE_ALL,$DF376,28)&amp;"","")&amp;"␟"&amp;IFERROR(INDEX(PASTE_ALL,$DF376,29)&amp;"","")&amp;"␟"&amp;IFERROR(INDEX(PASTE_ALL,$DF376,30)&amp;"","")&amp;"␟"&amp;IFERROR(INDEX(PASTE_ALL,$DF376,31)&amp;"","")&amp;"␟"&amp;IFERROR(INDEX(PASTE_ALL,$DF376,32)&amp;"","")&amp;"␟"&amp;IFERROR(INDEX(PASTE_ALL,$DF376,33)&amp;"","")&amp;"␟"&amp;IFERROR(INDEX(PASTE_ALL,$DF376,34)&amp;"","")&amp;"␟"&amp;IFERROR(INDEX(PASTE_ALL,$DF376,35)&amp;"","")&amp;"␟"&amp;IFERROR(INDEX(PASTE_ALL,$DF376,36)&amp;"","")&amp;"␟"&amp;IFERROR(INDEX(PASTE_ALL,$DF376,37)&amp;"","")&amp;"␟"&amp;IFERROR(INDEX(PASTE_ALL,$DF376,38)&amp;"","")&amp;"␟"&amp;IFERROR(INDEX(PASTE_ALL,$DF376,39)&amp;"","")&amp;"␟"&amp;IFERROR(INDEX(PASTE_ALL,$DF376,40)&amp;"","")&amp;"␟"&amp;IFERROR(INDEX(PASTE_ALL,$DF376,41)&amp;"","")&amp;"␟"&amp;IFERROR(INDEX(PASTE_ALL,$DF376,42)&amp;"","")&amp;"␟"&amp;IFERROR(INDEX(PASTE_ALL,$DF376,43)&amp;"","")&amp;"␟"&amp;IFERROR(INDEX(PASTE_ALL,$DF376,44)&amp;"","")&amp;"␟"&amp;IFERROR(INDEX(PASTE_ALL,$DF376,45)&amp;"","")&amp;"␟"&amp;IFERROR(INDEX(PASTE_ALL,$DF376,46)&amp;"","")&amp;"␟"&amp;IFERROR(INDEX(PASTE_ALL,$DF376,47)&amp;"","")&amp;"␟"&amp;IFERROR(INDEX(PASTE_ALL,$DF376,48)&amp;"","")&amp;"␟"&amp;IFERROR(INDEX(PASTE_ALL,$DF376,49)&amp;"","")&amp;"␟"&amp;IFERROR(INDEX(PASTE_ALL,$DF376,50)&amp;"","")&amp;"␟"&amp;IFERROR(INDEX(PASTE_ALL,$DF376,51)&amp;"","")&amp;"␟"&amp;IFERROR(INDEX(PASTE_ALL,$DF376,52)&amp;"","")&amp;"␟"&amp;IFERROR(INDEX(PASTE_ALL,$DF376,53)&amp;"","")&amp;"␟"&amp;IFERROR(INDEX(PASTE_ALL,$DF376,54)&amp;"","")&amp;"␟"&amp;IFERROR(INDEX(PASTE_ALL,$DF376,55)&amp;"","")&amp;"␟"&amp;IFERROR(INDEX(PASTE_ALL,$DF376,56)&amp;"","")&amp;"␟"&amp;IFERROR(INDEX(PASTE_ALL,$DF376,57)&amp;"","")&amp;"␟"&amp;IFERROR(INDEX(PASTE_ALL,$DF376,58)&amp;"","")&amp;"␟"&amp;IFERROR(INDEX(PASTE_ALL,$DF376,59)&amp;"","")&amp;"␟"&amp;IFERROR(INDEX(PASTE_ALL,$DF376,60)&amp;"","")," "," "),CHAR(9)," "),CHAR(10)," "),CHAR(13)," "))," ␟","␟"),"␟ ","␟"),"#"&amp;$DE376),"")</f>
        <v/>
      </c>
      <c r="DJ376">
        <f>IF($DI376="",0,IF(SUMPRODUCT(--EXACT($DI$4:DI375,$DI376))&gt;0,1,0))</f>
        <v/>
      </c>
      <c r="DK376">
        <f>IF(AND($DI376&lt;&gt;"",$DJ376=0),1,0)</f>
        <v/>
      </c>
      <c r="DL376">
        <f>DL375+$DK376</f>
        <v/>
      </c>
      <c r="DM376">
        <f>IF(AND($DK376=1,$DL376&lt;=600),1,0)</f>
        <v/>
      </c>
      <c r="DN376">
        <f>IF($DM376=0,"",IF($L$6=0,"",IFERROR(IF(ISNUMBER(INDEX(PASTE_ALL,$DF376,$L$6)),INDEX(PASTE_ALL,$DF376,$L$6),TRIM(SUBSTITUTE(SUBSTITUTE(SUBSTITUTE(SUBSTITUTE(INDEX(PASTE_ALL,$DF376,$L$6)," "," "),CHAR(9)," "),CHAR(10)," "),CHAR(13)," "))),"")))</f>
        <v/>
      </c>
      <c r="DO376">
        <f>IF($DM376=0,"",IF($L$7=0,"",IFERROR(IF(ISNUMBER(INDEX(PASTE_ALL,$DF376,$L$7)),INDEX(PASTE_ALL,$DF376,$L$7),TRIM(SUBSTITUTE(SUBSTITUTE(SUBSTITUTE(SUBSTITUTE(INDEX(PASTE_ALL,$DF376,$L$7)," "," "),CHAR(9)," "),CHAR(10)," "),CHAR(13)," "))),"")))</f>
        <v/>
      </c>
      <c r="DP376">
        <f>IF($DM376=0,"",IF($L$8=0,"",IFERROR(IF(ISNUMBER(INDEX(PASTE_ALL,$DF376,$L$8)),INDEX(PASTE_ALL,$DF376,$L$8),TRIM(SUBSTITUTE(SUBSTITUTE(SUBSTITUTE(SUBSTITUTE(INDEX(PASTE_ALL,$DF376,$L$8)," "," "),CHAR(9)," "),CHAR(10)," "),CHAR(13)," "))),"")))</f>
        <v/>
      </c>
      <c r="DQ376">
        <f>IF($DM376=0,"",IF($L$9=0,"",IFERROR(IF(ISNUMBER(INDEX(PASTE_ALL,$DF376,$L$9)),INDEX(PASTE_ALL,$DF376,$L$9),TRIM(SUBSTITUTE(SUBSTITUTE(SUBSTITUTE(SUBSTITUTE(INDEX(PASTE_ALL,$DF376,$L$9)," "," "),CHAR(9)," "),CHAR(10)," "),CHAR(13)," "))),"")))</f>
        <v/>
      </c>
      <c r="DR376">
        <f>IF($DM376=0,"",IF($L$10=0,"",IFERROR(IF(ISNUMBER(INDEX(PASTE_ALL,$DF376,$L$10)),INDEX(PASTE_ALL,$DF376,$L$10),TRIM(SUBSTITUTE(SUBSTITUTE(SUBSTITUTE(SUBSTITUTE(INDEX(PASTE_ALL,$DF376,$L$10)," "," "),CHAR(9)," "),CHAR(10)," "),CHAR(13)," "))),"")))</f>
        <v/>
      </c>
      <c r="DS376">
        <f>IF($DM376=0,"",IF($L$11=0,"",IFERROR(IF(ISNUMBER(INDEX(PASTE_ALL,$DF376,$L$11)),INDEX(PASTE_ALL,$DF376,$L$11),TRIM(SUBSTITUTE(SUBSTITUTE(SUBSTITUTE(SUBSTITUTE(INDEX(PASTE_ALL,$DF376,$L$11)," "," "),CHAR(9)," "),CHAR(10)," "),CHAR(13)," "))),"")))</f>
        <v/>
      </c>
      <c r="DT376">
        <f>IF($DM376=0,"",IF($L$12=0,"",IFERROR(IF(ISNUMBER(INDEX(PASTE_ALL,$DF376,$L$12)),INDEX(PASTE_ALL,$DF376,$L$12),TRIM(SUBSTITUTE(SUBSTITUTE(SUBSTITUTE(SUBSTITUTE(INDEX(PASTE_ALL,$DF376,$L$12)," "," "),CHAR(9)," "),CHAR(10)," "),CHAR(13)," "))),"")))</f>
        <v/>
      </c>
      <c r="DU376">
        <f>IF($DM376=0,"",IF($L$13=0,"",IFERROR(IF(ISNUMBER(INDEX(PASTE_ALL,$DF376,$L$13)),INDEX(PASTE_ALL,$DF376,$L$13),TRIM(SUBSTITUTE(SUBSTITUTE(SUBSTITUTE(SUBSTITUTE(INDEX(PASTE_ALL,$DF376,$L$13)," "," "),CHAR(9)," "),CHAR(10)," "),CHAR(13)," "))),"")))</f>
        <v/>
      </c>
      <c r="DV376">
        <f>IF($DM376=0,"",IF($L$14=0,"",IFERROR(IF(ISNUMBER(INDEX(PASTE_ALL,$DF376,$L$14)),INDEX(PASTE_ALL,$DF376,$L$14),TRIM(SUBSTITUTE(SUBSTITUTE(SUBSTITUTE(SUBSTITUTE(INDEX(PASTE_ALL,$DF376,$L$14)," "," "),CHAR(9)," "),CHAR(10)," "),CHAR(13)," "))),"")))</f>
        <v/>
      </c>
      <c r="DW376">
        <f>IF($DM376=0,"",IF($L$15=0,"",IFERROR(IF(ISNUMBER(INDEX(PASTE_ALL,$DF376,$L$15)),INDEX(PASTE_ALL,$DF376,$L$15),IF(SUMPRODUCT(--ISNUMBER(FIND({"A","B","C","D","E","F","G","H","I","J","K","L","M","N","O","P","Q","R","S","T","U","V","W","X","Y","Z","0","1","2","3","4","5","6","7","8","9"},UPPER(TRIM(SUBSTITUTE(SUBSTITUTE(SUBSTITUTE(SUBSTITUTE(INDEX(PASTE_ALL,$DF376,$L$15)," "," "),CHAR(9)," "),CHAR(10)," "),CHAR(13)," "))))))&gt;0,TRIM(SUBSTITUTE(SUBSTITUTE(SUBSTITUTE(SUBSTITUTE(INDEX(PASTE_ALL,$DF376,$L$15)," "," "),CHAR(9)," "),CHAR(10)," "),CHAR(13)," ")),"")),"")))</f>
        <v/>
      </c>
      <c r="DX376">
        <f>IF($DM376=0,"",IF($L$16=0,"",IFERROR(IF(ISNUMBER(INDEX(PASTE_ALL,$DF376,$L$16)),INDEX(PASTE_ALL,$DF376,$L$16),SUBSTITUTE(SUBSTITUTE(TRIM(SUBSTITUTE(SUBSTITUTE(SUBSTITUTE(SUBSTITUTE(INDEX(PASTE_ALL,$DF376,$L$16)," "," "),CHAR(9)," "),CHAR(10)," "),CHAR(13)," ")),",",""),"%","")),"")))</f>
        <v/>
      </c>
      <c r="DY376">
        <f>IF($DM376=0,"",IFERROR(IF(ISNUMBER($DX376),$DX376,IF($DX376="","",IF(TRIM($DX376)="",0,IF(AND(AND(SUBSTITUTE(SUBSTITUTE(SUBSTITUTE(SUBSTITUTE(SUBSTITUTE(SUBSTITUTE(SUBSTITUTE(SUBSTITUTE(SUBSTITUTE(SUBSTITUTE(SUBSTITUTE(SUBSTITUTE(SUBSTITUTE(SUBSTITUTE(UPPER(TRIM($DX376)),"0",""),"1",""),"2",""),"3",""),"4",""),"5",""),"6",""),"7",""),"8",""),"9",""),".",""),"+",""),"-",""),"E","")="",LEN(SUBSTITUTE(SUBSTITUTE(MID(UPPER(TRIM($DX376)),1+OR(LEFT(UPPER(TRIM($DX376)),1)="+",LEFT(UPPER(TRIM($DX376)),1)="-"),999),"E+","E"),"E-","E"))=LEN(SUBSTITUTE(SUBSTITUTE(SUBSTITUTE(SUBSTITUTE(MID(UPPER(TRIM($DX376)),1+OR(LEFT(UPPER(TRIM($DX376)),1)="+",LEFT(UPPER(TRIM($DX376)),1)="-"),999),"E+","E"),"E-","E"),"+",""),"-","")),LEN(UPPER(TRIM($DX376)))-LEN(SUBSTITUTE(UPPER(TRIM($DX376)),"E",""))&lt;2,LEN(UPPER(TRIM($DX376)))-LEN(SUBSTITUTE(UPPER(TRIM($DX376)),".",""))&lt;2,IFERROR(FIND(".",UPPER(TRIM($DX376))),0)&lt;IFERROR(FIND("E",UPPER(TRIM($DX376))),999)),ISNUMBER(VALUE(TRIM($DX376)))),VALUE(TRIM($DX376)),"")))),""))</f>
        <v/>
      </c>
      <c r="DZ376">
        <f>IF($DM376=0,"",IF($L$17=0,"",IFERROR(IF(ISNUMBER(INDEX(PASTE_ALL,$DF376,$L$17)),INDEX(PASTE_ALL,$DF376,$L$17),SUBSTITUTE(SUBSTITUTE(TRIM(SUBSTITUTE(SUBSTITUTE(SUBSTITUTE(SUBSTITUTE(INDEX(PASTE_ALL,$DF376,$L$17)," "," "),CHAR(9)," "),CHAR(10)," "),CHAR(13)," ")),",",""),"%","")),"")))</f>
        <v/>
      </c>
      <c r="EA376">
        <f>IF($DM376=0,"",IFERROR(IF(ISNUMBER($DZ376),$DZ376,IF($DZ376="","",IF(TRIM($DZ376)="",0,IF(AND(AND(SUBSTITUTE(SUBSTITUTE(SUBSTITUTE(SUBSTITUTE(SUBSTITUTE(SUBSTITUTE(SUBSTITUTE(SUBSTITUTE(SUBSTITUTE(SUBSTITUTE(SUBSTITUTE(SUBSTITUTE(SUBSTITUTE(SUBSTITUTE(UPPER(TRIM($DZ376)),"0",""),"1",""),"2",""),"3",""),"4",""),"5",""),"6",""),"7",""),"8",""),"9",""),".",""),"+",""),"-",""),"E","")="",LEN(SUBSTITUTE(SUBSTITUTE(MID(UPPER(TRIM($DZ376)),1+OR(LEFT(UPPER(TRIM($DZ376)),1)="+",LEFT(UPPER(TRIM($DZ376)),1)="-"),999),"E+","E"),"E-","E"))=LEN(SUBSTITUTE(SUBSTITUTE(SUBSTITUTE(SUBSTITUTE(MID(UPPER(TRIM($DZ376)),1+OR(LEFT(UPPER(TRIM($DZ376)),1)="+",LEFT(UPPER(TRIM($DZ376)),1)="-"),999),"E+","E"),"E-","E"),"+",""),"-","")),LEN(UPPER(TRIM($DZ376)))-LEN(SUBSTITUTE(UPPER(TRIM($DZ376)),"E",""))&lt;2,LEN(UPPER(TRIM($DZ376)))-LEN(SUBSTITUTE(UPPER(TRIM($DZ376)),".",""))&lt;2,IFERROR(FIND(".",UPPER(TRIM($DZ376))),0)&lt;IFERROR(FIND("E",UPPER(TRIM($DZ376))),999)),ISNUMBER(VALUE(TRIM($DZ376)))),VALUE(TRIM($DZ376)),"")))),""))</f>
        <v/>
      </c>
      <c r="EB376">
        <f>IF($DM376=0,"",IF($L$18=0,"",IFERROR(IF(UPPER(TRIM(SUBSTITUTE(SUBSTITUTE(SUBSTITUTE(SUBSTITUTE(INDEX(PASTE_ALL,$DF376,$L$18)," "," "),CHAR(9)," "),CHAR(10)," "),CHAR(13)," ")))="READY","Ready",IF(UPPER(TRIM(SUBSTITUTE(SUBSTITUTE(SUBSTITUTE(SUBSTITUTE(INDEX(PASTE_ALL,$DF376,$L$18)," "," "),CHAR(9)," "),CHAR(10)," "),CHAR(13)," ")))="PM","PM",IF(OR(UPPER(TRIM(SUBSTITUTE(SUBSTITUTE(SUBSTITUTE(SUBSTITUTE(INDEX(PASTE_ALL,$DF376,$L$18)," "," "),CHAR(9)," "),CHAR(10)," "),CHAR(13)," ")))="OT",UPPER(TRIM(SUBSTITUTE(SUBSTITUTE(SUBSTITUTE(SUBSTITUTE(INDEX(PASTE_ALL,$DF376,$L$18)," "," "),CHAR(9)," "),CHAR(10)," "),CHAR(13)," ")))="OVERTIME",UPPER(TRIM(SUBSTITUTE(SUBSTITUTE(SUBSTITUTE(SUBSTITUTE(INDEX(PASTE_ALL,$DF376,$L$18)," "," "),CHAR(9)," "),CHAR(10)," "),CHAR(13)," ")))="TRIAL"),"OT",TRIM(SUBSTITUTE(SUBSTITUTE(SUBSTITUTE(SUBSTITUTE(INDEX(PASTE_ALL,$DF376,$L$18)," "," "),CHAR(9)," "),CHAR(10)," "),CHAR(13)," "))))),"")))</f>
        <v/>
      </c>
      <c r="EC376">
        <f>IF($DM376=0,"",IF($L$19=0,"",IFERROR(IF(ISNUMBER(INDEX(PASTE_ALL,$DF376,$L$19)),INDEX(PASTE_ALL,$DF376,$L$19),TRIM(SUBSTITUTE(SUBSTITUTE(SUBSTITUTE(SUBSTITUTE(INDEX(PASTE_ALL,$DF376,$L$19)," "," "),CHAR(9)," "),CHAR(10)," "),CHAR(13)," "))),"")))</f>
        <v/>
      </c>
      <c r="ED376">
        <f>IF($DM376=0,"",MATCH(1,INDEX(EXACT($DH$5:DH376,$DH376)*$DM$5:DM376,0),0))</f>
        <v/>
      </c>
      <c r="EE376">
        <f>IF($DM376=0,0,IF($ED376=$DE376,1,0))</f>
        <v/>
      </c>
      <c r="EF376">
        <f>EF375+$EE376</f>
        <v/>
      </c>
      <c r="EG376">
        <f>IF($DM376=0,"",INDEX($EF$5:$EF$1003,$ED376))</f>
        <v/>
      </c>
      <c r="EH376">
        <f>IF($DM376=0,"",IF($DO376&lt;&gt;"","",IFERROR(LOOKUP(2,1/(($EG$4:EG375=$EG376)*($DO$4:DO375&lt;&gt;"")),$DO$4:DO375),"")))</f>
        <v/>
      </c>
      <c r="EI376">
        <f>IF($DM376=0,"",IF($DO376&lt;&gt;"",$DO376,$EH376))</f>
        <v/>
      </c>
      <c r="EJ376">
        <f>IF($DM376=0,"",IF($EI376="",0,IF(OR(ISNUMBER($EI376),AND(AND(SUBSTITUTE(SUBSTITUTE(SUBSTITUTE(SUBSTITUTE(SUBSTITUTE(SUBSTITUTE(SUBSTITUTE(SUBSTITUTE(SUBSTITUTE(SUBSTITUTE(SUBSTITUTE(SUBSTITUTE(SUBSTITUTE(SUBSTITUTE(UPPER($EI376),"0",""),"1",""),"2",""),"3",""),"4",""),"5",""),"6",""),"7",""),"8",""),"9",""),".",""),"+",""),"-",""),"E","")="",LEN(SUBSTITUTE(SUBSTITUTE(MID(UPPER($EI376),1+OR(LEFT(UPPER($EI376),1)="+",LEFT(UPPER($EI376),1)="-"),999),"E+","E"),"E-","E"))=LEN(SUBSTITUTE(SUBSTITUTE(SUBSTITUTE(SUBSTITUTE(MID(UPPER($EI376),1+OR(LEFT(UPPER($EI376),1)="+",LEFT(UPPER($EI376),1)="-"),999),"E+","E"),"E-","E"),"+",""),"-","")),LEN(UPPER($EI376))-LEN(SUBSTITUTE(UPPER($EI376),"E",""))&lt;2,LEN(UPPER($EI376))-LEN(SUBSTITUTE(UPPER($EI376),".",""))&lt;2,IFERROR(FIND(".",UPPER($EI376)),0)&lt;IFERROR(FIND("E",UPPER($EI376)),999)),ISNUMBER(VALUE($EI376)))),1,2)))</f>
        <v/>
      </c>
      <c r="EK376">
        <f>IF($DM376=0,"",IF($EJ376=1,IF(ISNUMBER($EI376),$EI376,VALUE($EI376)),IF($EJ376=2,$DE376,0)))</f>
        <v/>
      </c>
      <c r="EL376">
        <f>IF($DM376=0,"",COUNTIF($EG$5:$EG$1003,"&lt;"&amp;$EG376)+SUMPRODUCT(($EG$5:$EG$1003=$EG376)*(($EJ$5:$EJ$1003&lt;$EJ376)+($EJ$5:$EJ$1003=$EJ376)*(($EK$5:$EK$1003&lt;$EK376)+($EK$5:$EK$1003=$EK376)*($DE$5:$DE$1003&lt;$DE376))))+1)</f>
        <v/>
      </c>
      <c r="EM376">
        <f>IF($DM376=0,"",$EL376+$EG376-1)</f>
        <v/>
      </c>
      <c r="EN376">
        <f>IF($DM376=0,0,IFERROR(MATCH(1,INDEX(--(TRIM(SUBSTITUTE(SUBSTITUTE(SUBSTITUTE(SUBSTITUTE(LINES_NAME&amp;""," "," "),CHAR(9)," "),CHAR(10)," "),CHAR(13)," "))=$DH376),0),0),0))</f>
        <v/>
      </c>
      <c r="EO376">
        <f>IF($EN376=0,0,IF(OR(UPPER(TRIM(INDEX(LINES_SCHEDULED,$EN376)&amp;""))="YES",UPPER(TRIM(INDEX(LINES_SCHEDULED,$EN376)&amp;""))="Y",UPPER(TRIM(INDEX(LINES_SCHEDULED,$EN376)&amp;""))="X"),1,0))</f>
        <v/>
      </c>
      <c r="EP376">
        <f>IF($DM376=0,"",IF(COUNTIFS($EG$5:$EG$1003,$EG376,$EB$5:$EB$1003,"Ready")&gt;0,"READY",IF(COUNTIFS($EG$5:$EG$1003,$EG376,$EB$5:$EB$1003,"PM")&gt;0,"PM",IF(COUNTIFS($EG$5:$EG$1003,$EG376,$EB$5:$EB$1003,"OT")&gt;0,"OT",""))))</f>
        <v/>
      </c>
      <c r="EQ376">
        <f>IF($EN376=0,"",UPPER(TRIM(INDEX(LINES_STATUS,$EN376)&amp;"")))</f>
        <v/>
      </c>
      <c r="ER376">
        <f>IF($DM376=0,"",IF(OR($EQ376="READY",$EQ376="PM",$EQ376="OT"),$EQ376,$EP376))</f>
        <v/>
      </c>
      <c r="ES376">
        <f>IF($DM376=0,"",IF(AND($DV376&lt;&gt;"",UPPER($DV376)&lt;&gt;"N"),"allergen",IF(ISNUMBER(SEARCH("oil",$DQ376)),"oil",IF(OR(EXACT($DS376,"A662"),EXACT($DS376,"A624")),"bulk",""))))</f>
        <v/>
      </c>
      <c r="ET376">
        <f>IF($DM376=0,"",IF(OR($EA376="",$EA376=0),"",$EA376/100))</f>
        <v/>
      </c>
      <c r="EU376">
        <f>IF(OR($ET376="",$DY376=""),"",INT($DY376*(1-$ET376)+0.5))</f>
        <v/>
      </c>
      <c r="EW376" t="n">
        <v>372</v>
      </c>
      <c r="EX376">
        <f>IFERROR(MATCH($EW376,$EM$5:$EM$1003,0),0)</f>
        <v/>
      </c>
      <c r="EY376">
        <f>IF($EW376&gt;$B$12,"",IF($EX376&gt;0,"row","spacer"))</f>
        <v/>
      </c>
      <c r="EZ376">
        <f>IF(AND($EY376="row",$EY375&lt;&gt;"row"),1,0)</f>
        <v/>
      </c>
      <c r="FA376">
        <f>IF(AND($EY376="row",$EY377&lt;&gt;"row"),1,0)</f>
        <v/>
      </c>
      <c r="FB376">
        <f>IF($EZ376=1,IFERROR(IF(ISNUMBER(INDEX(PASTE_ALL,INDEX($DF$5:$DF$1003,$EX376),$B$37)),INDEX(PASTE_ALL,INDEX($DF$5:$DF$1003,$EX376),$B$37),INDEX($DH$5:$DH$1003,$EX376)),INDEX($DH$5:$DH$1003,$EX376)),"")</f>
        <v/>
      </c>
      <c r="FC376">
        <f>IF($EY376="row",INDEX($ER$5:$ER$1003,$EX376),"")</f>
        <v/>
      </c>
      <c r="FD376">
        <f>IF($EY376="row",INDEX($DN$5:$DN$1003,$EX376),"")</f>
        <v/>
      </c>
      <c r="FE376">
        <f>IF($EY376="row",INDEX($DO$5:$DO$1003,$EX376),"")</f>
        <v/>
      </c>
      <c r="FF376">
        <f>IF($EY376="row",INDEX($DP$5:$DP$1003,$EX376),"")</f>
        <v/>
      </c>
      <c r="FG376">
        <f>IF($EY376="row",INDEX($DQ$5:$DQ$1003,$EX376),"")</f>
        <v/>
      </c>
      <c r="FH376">
        <f>IF($EY376="row",INDEX($DR$5:$DR$1003,$EX376),"")</f>
        <v/>
      </c>
      <c r="FI376">
        <f>IF($EY376="row",INDEX($DS$5:$DS$1003,$EX376),"")</f>
        <v/>
      </c>
      <c r="FJ376">
        <f>IF($EY376="row",INDEX($DT$5:$DT$1003,$EX376),"")</f>
        <v/>
      </c>
      <c r="FK376">
        <f>IF($EY376="row",INDEX($DU$5:$DU$1003,$EX376),"")</f>
        <v/>
      </c>
      <c r="FL376">
        <f>IF($EY376="row",INDEX($DV$5:$DV$1003,$EX376),"")</f>
        <v/>
      </c>
      <c r="FM376">
        <f>IF($EY376="row",INDEX($DW$5:$DW$1003,$EX376),"")</f>
        <v/>
      </c>
      <c r="FN376">
        <f>IF($EY376="row",INDEX($DY$5:$DY$1003,$EX376),"")</f>
        <v/>
      </c>
      <c r="FO376">
        <f>IF($EY376="row",INDEX($EA$5:$EA$1003,$EX376),"")</f>
        <v/>
      </c>
      <c r="FP376">
        <f>IF($EY376="row",INDEX($EC$5:$EC$1003,$EX376),"")</f>
        <v/>
      </c>
      <c r="FQ376">
        <f>IF($EY376="row",INDEX($ET$5:$ET$1003,$EX376),"")</f>
        <v/>
      </c>
      <c r="FR376">
        <f>IF($EY376="row",INDEX($EU$5:$EU$1003,$EX376),"")</f>
        <v/>
      </c>
      <c r="FS376">
        <f>IF(AND($EY376="row",$EY375="row"),IF(OR(INDEX($DT$5:$DT$1003,$EX375)="",INDEX($DT$5:$DT$1003,$EX376)=""),"",IF(NOT(EXACT(INDEX($DT$5:$DT$1003,$EX375),INDEX($DT$5:$DT$1003,$EX376))),"S4",IF(NOT(EXACT(INDEX($DS$5:$DS$1003,$EX375),INDEX($DS$5:$DS$1003,$EX376))),"S3",IF(NOT(EXACT(INDEX($DR$5:$DR$1003,$EX375),INDEX($DR$5:$DR$1003,$EX376))),"S1 Count Change","S1")))),"")</f>
        <v/>
      </c>
      <c r="FT376">
        <f>IF($EY376="row",INDEX($ES$5:$ES$1003,$EX376),"")</f>
        <v/>
      </c>
      <c r="FU376">
        <f>IF($EY376="row",INDEX($EO$5:$EO$1003,$EX376),0)</f>
        <v/>
      </c>
      <c r="FV376">
        <f>IF($FS376="S1 Count Change",1,0)</f>
        <v/>
      </c>
    </row>
    <row r="377">
      <c r="DA377" t="n">
        <v>373</v>
      </c>
      <c r="DB377">
        <f>IF($B$37=0,"",IFERROR(TRIM(SUBSTITUTE(SUBSTITUTE(SUBSTITUTE(SUBSTITUTE(INDEX(PASTE_ALL,373,$B$37)," "," "),CHAR(9)," "),CHAR(10)," "),CHAR(13)," ")),""))</f>
        <v/>
      </c>
      <c r="DC377">
        <f>IF(AND(373&gt;HEADER_ROW,UPPER(DB377)="LEGEND"),1,0)</f>
        <v/>
      </c>
      <c r="DE377" t="n">
        <v>373</v>
      </c>
      <c r="DF377">
        <f>HEADER_ROW+$DE377</f>
        <v/>
      </c>
      <c r="DG377">
        <f>IF(AND($DF377&lt;=1000,$DF377&lt;$B$8),1,0)</f>
        <v/>
      </c>
      <c r="DH377">
        <f>IF($DG377=1,IFERROR(INDEX($DB$5:$DB$1004,$DF377),""),"")</f>
        <v/>
      </c>
      <c r="DI377">
        <f>IF(AND($DG377=1,$DH377&lt;&gt;""),IFERROR(SUBSTITUTE(SUBSTITUTE(TRIM(SUBSTITUTE(SUBSTITUTE(SUBSTITUTE(SUBSTITUTE(IFERROR(INDEX(PASTE_ALL,$DF377,1)&amp;"","")&amp;"␟"&amp;IFERROR(INDEX(PASTE_ALL,$DF377,2)&amp;"","")&amp;"␟"&amp;IFERROR(INDEX(PASTE_ALL,$DF377,3)&amp;"","")&amp;"␟"&amp;IFERROR(INDEX(PASTE_ALL,$DF377,4)&amp;"","")&amp;"␟"&amp;IFERROR(INDEX(PASTE_ALL,$DF377,5)&amp;"","")&amp;"␟"&amp;IFERROR(INDEX(PASTE_ALL,$DF377,6)&amp;"","")&amp;"␟"&amp;IFERROR(INDEX(PASTE_ALL,$DF377,7)&amp;"","")&amp;"␟"&amp;IFERROR(INDEX(PASTE_ALL,$DF377,8)&amp;"","")&amp;"␟"&amp;IFERROR(INDEX(PASTE_ALL,$DF377,9)&amp;"","")&amp;"␟"&amp;IFERROR(INDEX(PASTE_ALL,$DF377,10)&amp;"","")&amp;"␟"&amp;IFERROR(INDEX(PASTE_ALL,$DF377,11)&amp;"","")&amp;"␟"&amp;IFERROR(INDEX(PASTE_ALL,$DF377,12)&amp;"","")&amp;"␟"&amp;IFERROR(INDEX(PASTE_ALL,$DF377,13)&amp;"","")&amp;"␟"&amp;IFERROR(INDEX(PASTE_ALL,$DF377,14)&amp;"","")&amp;"␟"&amp;IFERROR(INDEX(PASTE_ALL,$DF377,15)&amp;"","")&amp;"␟"&amp;IFERROR(INDEX(PASTE_ALL,$DF377,16)&amp;"","")&amp;"␟"&amp;IFERROR(INDEX(PASTE_ALL,$DF377,17)&amp;"","")&amp;"␟"&amp;IFERROR(INDEX(PASTE_ALL,$DF377,18)&amp;"","")&amp;"␟"&amp;IFERROR(INDEX(PASTE_ALL,$DF377,19)&amp;"","")&amp;"␟"&amp;IFERROR(INDEX(PASTE_ALL,$DF377,20)&amp;"","")&amp;"␟"&amp;IFERROR(INDEX(PASTE_ALL,$DF377,21)&amp;"","")&amp;"␟"&amp;IFERROR(INDEX(PASTE_ALL,$DF377,22)&amp;"","")&amp;"␟"&amp;IFERROR(INDEX(PASTE_ALL,$DF377,23)&amp;"","")&amp;"␟"&amp;IFERROR(INDEX(PASTE_ALL,$DF377,24)&amp;"","")&amp;"␟"&amp;IFERROR(INDEX(PASTE_ALL,$DF377,25)&amp;"","")&amp;"␟"&amp;IFERROR(INDEX(PASTE_ALL,$DF377,26)&amp;"","")&amp;"␟"&amp;IFERROR(INDEX(PASTE_ALL,$DF377,27)&amp;"","")&amp;"␟"&amp;IFERROR(INDEX(PASTE_ALL,$DF377,28)&amp;"","")&amp;"␟"&amp;IFERROR(INDEX(PASTE_ALL,$DF377,29)&amp;"","")&amp;"␟"&amp;IFERROR(INDEX(PASTE_ALL,$DF377,30)&amp;"","")&amp;"␟"&amp;IFERROR(INDEX(PASTE_ALL,$DF377,31)&amp;"","")&amp;"␟"&amp;IFERROR(INDEX(PASTE_ALL,$DF377,32)&amp;"","")&amp;"␟"&amp;IFERROR(INDEX(PASTE_ALL,$DF377,33)&amp;"","")&amp;"␟"&amp;IFERROR(INDEX(PASTE_ALL,$DF377,34)&amp;"","")&amp;"␟"&amp;IFERROR(INDEX(PASTE_ALL,$DF377,35)&amp;"","")&amp;"␟"&amp;IFERROR(INDEX(PASTE_ALL,$DF377,36)&amp;"","")&amp;"␟"&amp;IFERROR(INDEX(PASTE_ALL,$DF377,37)&amp;"","")&amp;"␟"&amp;IFERROR(INDEX(PASTE_ALL,$DF377,38)&amp;"","")&amp;"␟"&amp;IFERROR(INDEX(PASTE_ALL,$DF377,39)&amp;"","")&amp;"␟"&amp;IFERROR(INDEX(PASTE_ALL,$DF377,40)&amp;"","")&amp;"␟"&amp;IFERROR(INDEX(PASTE_ALL,$DF377,41)&amp;"","")&amp;"␟"&amp;IFERROR(INDEX(PASTE_ALL,$DF377,42)&amp;"","")&amp;"␟"&amp;IFERROR(INDEX(PASTE_ALL,$DF377,43)&amp;"","")&amp;"␟"&amp;IFERROR(INDEX(PASTE_ALL,$DF377,44)&amp;"","")&amp;"␟"&amp;IFERROR(INDEX(PASTE_ALL,$DF377,45)&amp;"","")&amp;"␟"&amp;IFERROR(INDEX(PASTE_ALL,$DF377,46)&amp;"","")&amp;"␟"&amp;IFERROR(INDEX(PASTE_ALL,$DF377,47)&amp;"","")&amp;"␟"&amp;IFERROR(INDEX(PASTE_ALL,$DF377,48)&amp;"","")&amp;"␟"&amp;IFERROR(INDEX(PASTE_ALL,$DF377,49)&amp;"","")&amp;"␟"&amp;IFERROR(INDEX(PASTE_ALL,$DF377,50)&amp;"","")&amp;"␟"&amp;IFERROR(INDEX(PASTE_ALL,$DF377,51)&amp;"","")&amp;"␟"&amp;IFERROR(INDEX(PASTE_ALL,$DF377,52)&amp;"","")&amp;"␟"&amp;IFERROR(INDEX(PASTE_ALL,$DF377,53)&amp;"","")&amp;"␟"&amp;IFERROR(INDEX(PASTE_ALL,$DF377,54)&amp;"","")&amp;"␟"&amp;IFERROR(INDEX(PASTE_ALL,$DF377,55)&amp;"","")&amp;"␟"&amp;IFERROR(INDEX(PASTE_ALL,$DF377,56)&amp;"","")&amp;"␟"&amp;IFERROR(INDEX(PASTE_ALL,$DF377,57)&amp;"","")&amp;"␟"&amp;IFERROR(INDEX(PASTE_ALL,$DF377,58)&amp;"","")&amp;"␟"&amp;IFERROR(INDEX(PASTE_ALL,$DF377,59)&amp;"","")&amp;"␟"&amp;IFERROR(INDEX(PASTE_ALL,$DF377,60)&amp;"","")," "," "),CHAR(9)," "),CHAR(10)," "),CHAR(13)," "))," ␟","␟"),"␟ ","␟"),"#"&amp;$DE377),"")</f>
        <v/>
      </c>
      <c r="DJ377">
        <f>IF($DI377="",0,IF(SUMPRODUCT(--EXACT($DI$4:DI376,$DI377))&gt;0,1,0))</f>
        <v/>
      </c>
      <c r="DK377">
        <f>IF(AND($DI377&lt;&gt;"",$DJ377=0),1,0)</f>
        <v/>
      </c>
      <c r="DL377">
        <f>DL376+$DK377</f>
        <v/>
      </c>
      <c r="DM377">
        <f>IF(AND($DK377=1,$DL377&lt;=600),1,0)</f>
        <v/>
      </c>
      <c r="DN377">
        <f>IF($DM377=0,"",IF($L$6=0,"",IFERROR(IF(ISNUMBER(INDEX(PASTE_ALL,$DF377,$L$6)),INDEX(PASTE_ALL,$DF377,$L$6),TRIM(SUBSTITUTE(SUBSTITUTE(SUBSTITUTE(SUBSTITUTE(INDEX(PASTE_ALL,$DF377,$L$6)," "," "),CHAR(9)," "),CHAR(10)," "),CHAR(13)," "))),"")))</f>
        <v/>
      </c>
      <c r="DO377">
        <f>IF($DM377=0,"",IF($L$7=0,"",IFERROR(IF(ISNUMBER(INDEX(PASTE_ALL,$DF377,$L$7)),INDEX(PASTE_ALL,$DF377,$L$7),TRIM(SUBSTITUTE(SUBSTITUTE(SUBSTITUTE(SUBSTITUTE(INDEX(PASTE_ALL,$DF377,$L$7)," "," "),CHAR(9)," "),CHAR(10)," "),CHAR(13)," "))),"")))</f>
        <v/>
      </c>
      <c r="DP377">
        <f>IF($DM377=0,"",IF($L$8=0,"",IFERROR(IF(ISNUMBER(INDEX(PASTE_ALL,$DF377,$L$8)),INDEX(PASTE_ALL,$DF377,$L$8),TRIM(SUBSTITUTE(SUBSTITUTE(SUBSTITUTE(SUBSTITUTE(INDEX(PASTE_ALL,$DF377,$L$8)," "," "),CHAR(9)," "),CHAR(10)," "),CHAR(13)," "))),"")))</f>
        <v/>
      </c>
      <c r="DQ377">
        <f>IF($DM377=0,"",IF($L$9=0,"",IFERROR(IF(ISNUMBER(INDEX(PASTE_ALL,$DF377,$L$9)),INDEX(PASTE_ALL,$DF377,$L$9),TRIM(SUBSTITUTE(SUBSTITUTE(SUBSTITUTE(SUBSTITUTE(INDEX(PASTE_ALL,$DF377,$L$9)," "," "),CHAR(9)," "),CHAR(10)," "),CHAR(13)," "))),"")))</f>
        <v/>
      </c>
      <c r="DR377">
        <f>IF($DM377=0,"",IF($L$10=0,"",IFERROR(IF(ISNUMBER(INDEX(PASTE_ALL,$DF377,$L$10)),INDEX(PASTE_ALL,$DF377,$L$10),TRIM(SUBSTITUTE(SUBSTITUTE(SUBSTITUTE(SUBSTITUTE(INDEX(PASTE_ALL,$DF377,$L$10)," "," "),CHAR(9)," "),CHAR(10)," "),CHAR(13)," "))),"")))</f>
        <v/>
      </c>
      <c r="DS377">
        <f>IF($DM377=0,"",IF($L$11=0,"",IFERROR(IF(ISNUMBER(INDEX(PASTE_ALL,$DF377,$L$11)),INDEX(PASTE_ALL,$DF377,$L$11),TRIM(SUBSTITUTE(SUBSTITUTE(SUBSTITUTE(SUBSTITUTE(INDEX(PASTE_ALL,$DF377,$L$11)," "," "),CHAR(9)," "),CHAR(10)," "),CHAR(13)," "))),"")))</f>
        <v/>
      </c>
      <c r="DT377">
        <f>IF($DM377=0,"",IF($L$12=0,"",IFERROR(IF(ISNUMBER(INDEX(PASTE_ALL,$DF377,$L$12)),INDEX(PASTE_ALL,$DF377,$L$12),TRIM(SUBSTITUTE(SUBSTITUTE(SUBSTITUTE(SUBSTITUTE(INDEX(PASTE_ALL,$DF377,$L$12)," "," "),CHAR(9)," "),CHAR(10)," "),CHAR(13)," "))),"")))</f>
        <v/>
      </c>
      <c r="DU377">
        <f>IF($DM377=0,"",IF($L$13=0,"",IFERROR(IF(ISNUMBER(INDEX(PASTE_ALL,$DF377,$L$13)),INDEX(PASTE_ALL,$DF377,$L$13),TRIM(SUBSTITUTE(SUBSTITUTE(SUBSTITUTE(SUBSTITUTE(INDEX(PASTE_ALL,$DF377,$L$13)," "," "),CHAR(9)," "),CHAR(10)," "),CHAR(13)," "))),"")))</f>
        <v/>
      </c>
      <c r="DV377">
        <f>IF($DM377=0,"",IF($L$14=0,"",IFERROR(IF(ISNUMBER(INDEX(PASTE_ALL,$DF377,$L$14)),INDEX(PASTE_ALL,$DF377,$L$14),TRIM(SUBSTITUTE(SUBSTITUTE(SUBSTITUTE(SUBSTITUTE(INDEX(PASTE_ALL,$DF377,$L$14)," "," "),CHAR(9)," "),CHAR(10)," "),CHAR(13)," "))),"")))</f>
        <v/>
      </c>
      <c r="DW377">
        <f>IF($DM377=0,"",IF($L$15=0,"",IFERROR(IF(ISNUMBER(INDEX(PASTE_ALL,$DF377,$L$15)),INDEX(PASTE_ALL,$DF377,$L$15),IF(SUMPRODUCT(--ISNUMBER(FIND({"A","B","C","D","E","F","G","H","I","J","K","L","M","N","O","P","Q","R","S","T","U","V","W","X","Y","Z","0","1","2","3","4","5","6","7","8","9"},UPPER(TRIM(SUBSTITUTE(SUBSTITUTE(SUBSTITUTE(SUBSTITUTE(INDEX(PASTE_ALL,$DF377,$L$15)," "," "),CHAR(9)," "),CHAR(10)," "),CHAR(13)," "))))))&gt;0,TRIM(SUBSTITUTE(SUBSTITUTE(SUBSTITUTE(SUBSTITUTE(INDEX(PASTE_ALL,$DF377,$L$15)," "," "),CHAR(9)," "),CHAR(10)," "),CHAR(13)," ")),"")),"")))</f>
        <v/>
      </c>
      <c r="DX377">
        <f>IF($DM377=0,"",IF($L$16=0,"",IFERROR(IF(ISNUMBER(INDEX(PASTE_ALL,$DF377,$L$16)),INDEX(PASTE_ALL,$DF377,$L$16),SUBSTITUTE(SUBSTITUTE(TRIM(SUBSTITUTE(SUBSTITUTE(SUBSTITUTE(SUBSTITUTE(INDEX(PASTE_ALL,$DF377,$L$16)," "," "),CHAR(9)," "),CHAR(10)," "),CHAR(13)," ")),",",""),"%","")),"")))</f>
        <v/>
      </c>
      <c r="DY377">
        <f>IF($DM377=0,"",IFERROR(IF(ISNUMBER($DX377),$DX377,IF($DX377="","",IF(TRIM($DX377)="",0,IF(AND(AND(SUBSTITUTE(SUBSTITUTE(SUBSTITUTE(SUBSTITUTE(SUBSTITUTE(SUBSTITUTE(SUBSTITUTE(SUBSTITUTE(SUBSTITUTE(SUBSTITUTE(SUBSTITUTE(SUBSTITUTE(SUBSTITUTE(SUBSTITUTE(UPPER(TRIM($DX377)),"0",""),"1",""),"2",""),"3",""),"4",""),"5",""),"6",""),"7",""),"8",""),"9",""),".",""),"+",""),"-",""),"E","")="",LEN(SUBSTITUTE(SUBSTITUTE(MID(UPPER(TRIM($DX377)),1+OR(LEFT(UPPER(TRIM($DX377)),1)="+",LEFT(UPPER(TRIM($DX377)),1)="-"),999),"E+","E"),"E-","E"))=LEN(SUBSTITUTE(SUBSTITUTE(SUBSTITUTE(SUBSTITUTE(MID(UPPER(TRIM($DX377)),1+OR(LEFT(UPPER(TRIM($DX377)),1)="+",LEFT(UPPER(TRIM($DX377)),1)="-"),999),"E+","E"),"E-","E"),"+",""),"-","")),LEN(UPPER(TRIM($DX377)))-LEN(SUBSTITUTE(UPPER(TRIM($DX377)),"E",""))&lt;2,LEN(UPPER(TRIM($DX377)))-LEN(SUBSTITUTE(UPPER(TRIM($DX377)),".",""))&lt;2,IFERROR(FIND(".",UPPER(TRIM($DX377))),0)&lt;IFERROR(FIND("E",UPPER(TRIM($DX377))),999)),ISNUMBER(VALUE(TRIM($DX377)))),VALUE(TRIM($DX377)),"")))),""))</f>
        <v/>
      </c>
      <c r="DZ377">
        <f>IF($DM377=0,"",IF($L$17=0,"",IFERROR(IF(ISNUMBER(INDEX(PASTE_ALL,$DF377,$L$17)),INDEX(PASTE_ALL,$DF377,$L$17),SUBSTITUTE(SUBSTITUTE(TRIM(SUBSTITUTE(SUBSTITUTE(SUBSTITUTE(SUBSTITUTE(INDEX(PASTE_ALL,$DF377,$L$17)," "," "),CHAR(9)," "),CHAR(10)," "),CHAR(13)," ")),",",""),"%","")),"")))</f>
        <v/>
      </c>
      <c r="EA377">
        <f>IF($DM377=0,"",IFERROR(IF(ISNUMBER($DZ377),$DZ377,IF($DZ377="","",IF(TRIM($DZ377)="",0,IF(AND(AND(SUBSTITUTE(SUBSTITUTE(SUBSTITUTE(SUBSTITUTE(SUBSTITUTE(SUBSTITUTE(SUBSTITUTE(SUBSTITUTE(SUBSTITUTE(SUBSTITUTE(SUBSTITUTE(SUBSTITUTE(SUBSTITUTE(SUBSTITUTE(UPPER(TRIM($DZ377)),"0",""),"1",""),"2",""),"3",""),"4",""),"5",""),"6",""),"7",""),"8",""),"9",""),".",""),"+",""),"-",""),"E","")="",LEN(SUBSTITUTE(SUBSTITUTE(MID(UPPER(TRIM($DZ377)),1+OR(LEFT(UPPER(TRIM($DZ377)),1)="+",LEFT(UPPER(TRIM($DZ377)),1)="-"),999),"E+","E"),"E-","E"))=LEN(SUBSTITUTE(SUBSTITUTE(SUBSTITUTE(SUBSTITUTE(MID(UPPER(TRIM($DZ377)),1+OR(LEFT(UPPER(TRIM($DZ377)),1)="+",LEFT(UPPER(TRIM($DZ377)),1)="-"),999),"E+","E"),"E-","E"),"+",""),"-","")),LEN(UPPER(TRIM($DZ377)))-LEN(SUBSTITUTE(UPPER(TRIM($DZ377)),"E",""))&lt;2,LEN(UPPER(TRIM($DZ377)))-LEN(SUBSTITUTE(UPPER(TRIM($DZ377)),".",""))&lt;2,IFERROR(FIND(".",UPPER(TRIM($DZ377))),0)&lt;IFERROR(FIND("E",UPPER(TRIM($DZ377))),999)),ISNUMBER(VALUE(TRIM($DZ377)))),VALUE(TRIM($DZ377)),"")))),""))</f>
        <v/>
      </c>
      <c r="EB377">
        <f>IF($DM377=0,"",IF($L$18=0,"",IFERROR(IF(UPPER(TRIM(SUBSTITUTE(SUBSTITUTE(SUBSTITUTE(SUBSTITUTE(INDEX(PASTE_ALL,$DF377,$L$18)," "," "),CHAR(9)," "),CHAR(10)," "),CHAR(13)," ")))="READY","Ready",IF(UPPER(TRIM(SUBSTITUTE(SUBSTITUTE(SUBSTITUTE(SUBSTITUTE(INDEX(PASTE_ALL,$DF377,$L$18)," "," "),CHAR(9)," "),CHAR(10)," "),CHAR(13)," ")))="PM","PM",IF(OR(UPPER(TRIM(SUBSTITUTE(SUBSTITUTE(SUBSTITUTE(SUBSTITUTE(INDEX(PASTE_ALL,$DF377,$L$18)," "," "),CHAR(9)," "),CHAR(10)," "),CHAR(13)," ")))="OT",UPPER(TRIM(SUBSTITUTE(SUBSTITUTE(SUBSTITUTE(SUBSTITUTE(INDEX(PASTE_ALL,$DF377,$L$18)," "," "),CHAR(9)," "),CHAR(10)," "),CHAR(13)," ")))="OVERTIME",UPPER(TRIM(SUBSTITUTE(SUBSTITUTE(SUBSTITUTE(SUBSTITUTE(INDEX(PASTE_ALL,$DF377,$L$18)," "," "),CHAR(9)," "),CHAR(10)," "),CHAR(13)," ")))="TRIAL"),"OT",TRIM(SUBSTITUTE(SUBSTITUTE(SUBSTITUTE(SUBSTITUTE(INDEX(PASTE_ALL,$DF377,$L$18)," "," "),CHAR(9)," "),CHAR(10)," "),CHAR(13)," "))))),"")))</f>
        <v/>
      </c>
      <c r="EC377">
        <f>IF($DM377=0,"",IF($L$19=0,"",IFERROR(IF(ISNUMBER(INDEX(PASTE_ALL,$DF377,$L$19)),INDEX(PASTE_ALL,$DF377,$L$19),TRIM(SUBSTITUTE(SUBSTITUTE(SUBSTITUTE(SUBSTITUTE(INDEX(PASTE_ALL,$DF377,$L$19)," "," "),CHAR(9)," "),CHAR(10)," "),CHAR(13)," "))),"")))</f>
        <v/>
      </c>
      <c r="ED377">
        <f>IF($DM377=0,"",MATCH(1,INDEX(EXACT($DH$5:DH377,$DH377)*$DM$5:DM377,0),0))</f>
        <v/>
      </c>
      <c r="EE377">
        <f>IF($DM377=0,0,IF($ED377=$DE377,1,0))</f>
        <v/>
      </c>
      <c r="EF377">
        <f>EF376+$EE377</f>
        <v/>
      </c>
      <c r="EG377">
        <f>IF($DM377=0,"",INDEX($EF$5:$EF$1003,$ED377))</f>
        <v/>
      </c>
      <c r="EH377">
        <f>IF($DM377=0,"",IF($DO377&lt;&gt;"","",IFERROR(LOOKUP(2,1/(($EG$4:EG376=$EG377)*($DO$4:DO376&lt;&gt;"")),$DO$4:DO376),"")))</f>
        <v/>
      </c>
      <c r="EI377">
        <f>IF($DM377=0,"",IF($DO377&lt;&gt;"",$DO377,$EH377))</f>
        <v/>
      </c>
      <c r="EJ377">
        <f>IF($DM377=0,"",IF($EI377="",0,IF(OR(ISNUMBER($EI377),AND(AND(SUBSTITUTE(SUBSTITUTE(SUBSTITUTE(SUBSTITUTE(SUBSTITUTE(SUBSTITUTE(SUBSTITUTE(SUBSTITUTE(SUBSTITUTE(SUBSTITUTE(SUBSTITUTE(SUBSTITUTE(SUBSTITUTE(SUBSTITUTE(UPPER($EI377),"0",""),"1",""),"2",""),"3",""),"4",""),"5",""),"6",""),"7",""),"8",""),"9",""),".",""),"+",""),"-",""),"E","")="",LEN(SUBSTITUTE(SUBSTITUTE(MID(UPPER($EI377),1+OR(LEFT(UPPER($EI377),1)="+",LEFT(UPPER($EI377),1)="-"),999),"E+","E"),"E-","E"))=LEN(SUBSTITUTE(SUBSTITUTE(SUBSTITUTE(SUBSTITUTE(MID(UPPER($EI377),1+OR(LEFT(UPPER($EI377),1)="+",LEFT(UPPER($EI377),1)="-"),999),"E+","E"),"E-","E"),"+",""),"-","")),LEN(UPPER($EI377))-LEN(SUBSTITUTE(UPPER($EI377),"E",""))&lt;2,LEN(UPPER($EI377))-LEN(SUBSTITUTE(UPPER($EI377),".",""))&lt;2,IFERROR(FIND(".",UPPER($EI377)),0)&lt;IFERROR(FIND("E",UPPER($EI377)),999)),ISNUMBER(VALUE($EI377)))),1,2)))</f>
        <v/>
      </c>
      <c r="EK377">
        <f>IF($DM377=0,"",IF($EJ377=1,IF(ISNUMBER($EI377),$EI377,VALUE($EI377)),IF($EJ377=2,$DE377,0)))</f>
        <v/>
      </c>
      <c r="EL377">
        <f>IF($DM377=0,"",COUNTIF($EG$5:$EG$1003,"&lt;"&amp;$EG377)+SUMPRODUCT(($EG$5:$EG$1003=$EG377)*(($EJ$5:$EJ$1003&lt;$EJ377)+($EJ$5:$EJ$1003=$EJ377)*(($EK$5:$EK$1003&lt;$EK377)+($EK$5:$EK$1003=$EK377)*($DE$5:$DE$1003&lt;$DE377))))+1)</f>
        <v/>
      </c>
      <c r="EM377">
        <f>IF($DM377=0,"",$EL377+$EG377-1)</f>
        <v/>
      </c>
      <c r="EN377">
        <f>IF($DM377=0,0,IFERROR(MATCH(1,INDEX(--(TRIM(SUBSTITUTE(SUBSTITUTE(SUBSTITUTE(SUBSTITUTE(LINES_NAME&amp;""," "," "),CHAR(9)," "),CHAR(10)," "),CHAR(13)," "))=$DH377),0),0),0))</f>
        <v/>
      </c>
      <c r="EO377">
        <f>IF($EN377=0,0,IF(OR(UPPER(TRIM(INDEX(LINES_SCHEDULED,$EN377)&amp;""))="YES",UPPER(TRIM(INDEX(LINES_SCHEDULED,$EN377)&amp;""))="Y",UPPER(TRIM(INDEX(LINES_SCHEDULED,$EN377)&amp;""))="X"),1,0))</f>
        <v/>
      </c>
      <c r="EP377">
        <f>IF($DM377=0,"",IF(COUNTIFS($EG$5:$EG$1003,$EG377,$EB$5:$EB$1003,"Ready")&gt;0,"READY",IF(COUNTIFS($EG$5:$EG$1003,$EG377,$EB$5:$EB$1003,"PM")&gt;0,"PM",IF(COUNTIFS($EG$5:$EG$1003,$EG377,$EB$5:$EB$1003,"OT")&gt;0,"OT",""))))</f>
        <v/>
      </c>
      <c r="EQ377">
        <f>IF($EN377=0,"",UPPER(TRIM(INDEX(LINES_STATUS,$EN377)&amp;"")))</f>
        <v/>
      </c>
      <c r="ER377">
        <f>IF($DM377=0,"",IF(OR($EQ377="READY",$EQ377="PM",$EQ377="OT"),$EQ377,$EP377))</f>
        <v/>
      </c>
      <c r="ES377">
        <f>IF($DM377=0,"",IF(AND($DV377&lt;&gt;"",UPPER($DV377)&lt;&gt;"N"),"allergen",IF(ISNUMBER(SEARCH("oil",$DQ377)),"oil",IF(OR(EXACT($DS377,"A662"),EXACT($DS377,"A624")),"bulk",""))))</f>
        <v/>
      </c>
      <c r="ET377">
        <f>IF($DM377=0,"",IF(OR($EA377="",$EA377=0),"",$EA377/100))</f>
        <v/>
      </c>
      <c r="EU377">
        <f>IF(OR($ET377="",$DY377=""),"",INT($DY377*(1-$ET377)+0.5))</f>
        <v/>
      </c>
      <c r="EW377" t="n">
        <v>373</v>
      </c>
      <c r="EX377">
        <f>IFERROR(MATCH($EW377,$EM$5:$EM$1003,0),0)</f>
        <v/>
      </c>
      <c r="EY377">
        <f>IF($EW377&gt;$B$12,"",IF($EX377&gt;0,"row","spacer"))</f>
        <v/>
      </c>
      <c r="EZ377">
        <f>IF(AND($EY377="row",$EY376&lt;&gt;"row"),1,0)</f>
        <v/>
      </c>
      <c r="FA377">
        <f>IF(AND($EY377="row",$EY378&lt;&gt;"row"),1,0)</f>
        <v/>
      </c>
      <c r="FB377">
        <f>IF($EZ377=1,IFERROR(IF(ISNUMBER(INDEX(PASTE_ALL,INDEX($DF$5:$DF$1003,$EX377),$B$37)),INDEX(PASTE_ALL,INDEX($DF$5:$DF$1003,$EX377),$B$37),INDEX($DH$5:$DH$1003,$EX377)),INDEX($DH$5:$DH$1003,$EX377)),"")</f>
        <v/>
      </c>
      <c r="FC377">
        <f>IF($EY377="row",INDEX($ER$5:$ER$1003,$EX377),"")</f>
        <v/>
      </c>
      <c r="FD377">
        <f>IF($EY377="row",INDEX($DN$5:$DN$1003,$EX377),"")</f>
        <v/>
      </c>
      <c r="FE377">
        <f>IF($EY377="row",INDEX($DO$5:$DO$1003,$EX377),"")</f>
        <v/>
      </c>
      <c r="FF377">
        <f>IF($EY377="row",INDEX($DP$5:$DP$1003,$EX377),"")</f>
        <v/>
      </c>
      <c r="FG377">
        <f>IF($EY377="row",INDEX($DQ$5:$DQ$1003,$EX377),"")</f>
        <v/>
      </c>
      <c r="FH377">
        <f>IF($EY377="row",INDEX($DR$5:$DR$1003,$EX377),"")</f>
        <v/>
      </c>
      <c r="FI377">
        <f>IF($EY377="row",INDEX($DS$5:$DS$1003,$EX377),"")</f>
        <v/>
      </c>
      <c r="FJ377">
        <f>IF($EY377="row",INDEX($DT$5:$DT$1003,$EX377),"")</f>
        <v/>
      </c>
      <c r="FK377">
        <f>IF($EY377="row",INDEX($DU$5:$DU$1003,$EX377),"")</f>
        <v/>
      </c>
      <c r="FL377">
        <f>IF($EY377="row",INDEX($DV$5:$DV$1003,$EX377),"")</f>
        <v/>
      </c>
      <c r="FM377">
        <f>IF($EY377="row",INDEX($DW$5:$DW$1003,$EX377),"")</f>
        <v/>
      </c>
      <c r="FN377">
        <f>IF($EY377="row",INDEX($DY$5:$DY$1003,$EX377),"")</f>
        <v/>
      </c>
      <c r="FO377">
        <f>IF($EY377="row",INDEX($EA$5:$EA$1003,$EX377),"")</f>
        <v/>
      </c>
      <c r="FP377">
        <f>IF($EY377="row",INDEX($EC$5:$EC$1003,$EX377),"")</f>
        <v/>
      </c>
      <c r="FQ377">
        <f>IF($EY377="row",INDEX($ET$5:$ET$1003,$EX377),"")</f>
        <v/>
      </c>
      <c r="FR377">
        <f>IF($EY377="row",INDEX($EU$5:$EU$1003,$EX377),"")</f>
        <v/>
      </c>
      <c r="FS377">
        <f>IF(AND($EY377="row",$EY376="row"),IF(OR(INDEX($DT$5:$DT$1003,$EX376)="",INDEX($DT$5:$DT$1003,$EX377)=""),"",IF(NOT(EXACT(INDEX($DT$5:$DT$1003,$EX376),INDEX($DT$5:$DT$1003,$EX377))),"S4",IF(NOT(EXACT(INDEX($DS$5:$DS$1003,$EX376),INDEX($DS$5:$DS$1003,$EX377))),"S3",IF(NOT(EXACT(INDEX($DR$5:$DR$1003,$EX376),INDEX($DR$5:$DR$1003,$EX377))),"S1 Count Change","S1")))),"")</f>
        <v/>
      </c>
      <c r="FT377">
        <f>IF($EY377="row",INDEX($ES$5:$ES$1003,$EX377),"")</f>
        <v/>
      </c>
      <c r="FU377">
        <f>IF($EY377="row",INDEX($EO$5:$EO$1003,$EX377),0)</f>
        <v/>
      </c>
      <c r="FV377">
        <f>IF($FS377="S1 Count Change",1,0)</f>
        <v/>
      </c>
    </row>
    <row r="378">
      <c r="DA378" t="n">
        <v>374</v>
      </c>
      <c r="DB378">
        <f>IF($B$37=0,"",IFERROR(TRIM(SUBSTITUTE(SUBSTITUTE(SUBSTITUTE(SUBSTITUTE(INDEX(PASTE_ALL,374,$B$37)," "," "),CHAR(9)," "),CHAR(10)," "),CHAR(13)," ")),""))</f>
        <v/>
      </c>
      <c r="DC378">
        <f>IF(AND(374&gt;HEADER_ROW,UPPER(DB378)="LEGEND"),1,0)</f>
        <v/>
      </c>
      <c r="DE378" t="n">
        <v>374</v>
      </c>
      <c r="DF378">
        <f>HEADER_ROW+$DE378</f>
        <v/>
      </c>
      <c r="DG378">
        <f>IF(AND($DF378&lt;=1000,$DF378&lt;$B$8),1,0)</f>
        <v/>
      </c>
      <c r="DH378">
        <f>IF($DG378=1,IFERROR(INDEX($DB$5:$DB$1004,$DF378),""),"")</f>
        <v/>
      </c>
      <c r="DI378">
        <f>IF(AND($DG378=1,$DH378&lt;&gt;""),IFERROR(SUBSTITUTE(SUBSTITUTE(TRIM(SUBSTITUTE(SUBSTITUTE(SUBSTITUTE(SUBSTITUTE(IFERROR(INDEX(PASTE_ALL,$DF378,1)&amp;"","")&amp;"␟"&amp;IFERROR(INDEX(PASTE_ALL,$DF378,2)&amp;"","")&amp;"␟"&amp;IFERROR(INDEX(PASTE_ALL,$DF378,3)&amp;"","")&amp;"␟"&amp;IFERROR(INDEX(PASTE_ALL,$DF378,4)&amp;"","")&amp;"␟"&amp;IFERROR(INDEX(PASTE_ALL,$DF378,5)&amp;"","")&amp;"␟"&amp;IFERROR(INDEX(PASTE_ALL,$DF378,6)&amp;"","")&amp;"␟"&amp;IFERROR(INDEX(PASTE_ALL,$DF378,7)&amp;"","")&amp;"␟"&amp;IFERROR(INDEX(PASTE_ALL,$DF378,8)&amp;"","")&amp;"␟"&amp;IFERROR(INDEX(PASTE_ALL,$DF378,9)&amp;"","")&amp;"␟"&amp;IFERROR(INDEX(PASTE_ALL,$DF378,10)&amp;"","")&amp;"␟"&amp;IFERROR(INDEX(PASTE_ALL,$DF378,11)&amp;"","")&amp;"␟"&amp;IFERROR(INDEX(PASTE_ALL,$DF378,12)&amp;"","")&amp;"␟"&amp;IFERROR(INDEX(PASTE_ALL,$DF378,13)&amp;"","")&amp;"␟"&amp;IFERROR(INDEX(PASTE_ALL,$DF378,14)&amp;"","")&amp;"␟"&amp;IFERROR(INDEX(PASTE_ALL,$DF378,15)&amp;"","")&amp;"␟"&amp;IFERROR(INDEX(PASTE_ALL,$DF378,16)&amp;"","")&amp;"␟"&amp;IFERROR(INDEX(PASTE_ALL,$DF378,17)&amp;"","")&amp;"␟"&amp;IFERROR(INDEX(PASTE_ALL,$DF378,18)&amp;"","")&amp;"␟"&amp;IFERROR(INDEX(PASTE_ALL,$DF378,19)&amp;"","")&amp;"␟"&amp;IFERROR(INDEX(PASTE_ALL,$DF378,20)&amp;"","")&amp;"␟"&amp;IFERROR(INDEX(PASTE_ALL,$DF378,21)&amp;"","")&amp;"␟"&amp;IFERROR(INDEX(PASTE_ALL,$DF378,22)&amp;"","")&amp;"␟"&amp;IFERROR(INDEX(PASTE_ALL,$DF378,23)&amp;"","")&amp;"␟"&amp;IFERROR(INDEX(PASTE_ALL,$DF378,24)&amp;"","")&amp;"␟"&amp;IFERROR(INDEX(PASTE_ALL,$DF378,25)&amp;"","")&amp;"␟"&amp;IFERROR(INDEX(PASTE_ALL,$DF378,26)&amp;"","")&amp;"␟"&amp;IFERROR(INDEX(PASTE_ALL,$DF378,27)&amp;"","")&amp;"␟"&amp;IFERROR(INDEX(PASTE_ALL,$DF378,28)&amp;"","")&amp;"␟"&amp;IFERROR(INDEX(PASTE_ALL,$DF378,29)&amp;"","")&amp;"␟"&amp;IFERROR(INDEX(PASTE_ALL,$DF378,30)&amp;"","")&amp;"␟"&amp;IFERROR(INDEX(PASTE_ALL,$DF378,31)&amp;"","")&amp;"␟"&amp;IFERROR(INDEX(PASTE_ALL,$DF378,32)&amp;"","")&amp;"␟"&amp;IFERROR(INDEX(PASTE_ALL,$DF378,33)&amp;"","")&amp;"␟"&amp;IFERROR(INDEX(PASTE_ALL,$DF378,34)&amp;"","")&amp;"␟"&amp;IFERROR(INDEX(PASTE_ALL,$DF378,35)&amp;"","")&amp;"␟"&amp;IFERROR(INDEX(PASTE_ALL,$DF378,36)&amp;"","")&amp;"␟"&amp;IFERROR(INDEX(PASTE_ALL,$DF378,37)&amp;"","")&amp;"␟"&amp;IFERROR(INDEX(PASTE_ALL,$DF378,38)&amp;"","")&amp;"␟"&amp;IFERROR(INDEX(PASTE_ALL,$DF378,39)&amp;"","")&amp;"␟"&amp;IFERROR(INDEX(PASTE_ALL,$DF378,40)&amp;"","")&amp;"␟"&amp;IFERROR(INDEX(PASTE_ALL,$DF378,41)&amp;"","")&amp;"␟"&amp;IFERROR(INDEX(PASTE_ALL,$DF378,42)&amp;"","")&amp;"␟"&amp;IFERROR(INDEX(PASTE_ALL,$DF378,43)&amp;"","")&amp;"␟"&amp;IFERROR(INDEX(PASTE_ALL,$DF378,44)&amp;"","")&amp;"␟"&amp;IFERROR(INDEX(PASTE_ALL,$DF378,45)&amp;"","")&amp;"␟"&amp;IFERROR(INDEX(PASTE_ALL,$DF378,46)&amp;"","")&amp;"␟"&amp;IFERROR(INDEX(PASTE_ALL,$DF378,47)&amp;"","")&amp;"␟"&amp;IFERROR(INDEX(PASTE_ALL,$DF378,48)&amp;"","")&amp;"␟"&amp;IFERROR(INDEX(PASTE_ALL,$DF378,49)&amp;"","")&amp;"␟"&amp;IFERROR(INDEX(PASTE_ALL,$DF378,50)&amp;"","")&amp;"␟"&amp;IFERROR(INDEX(PASTE_ALL,$DF378,51)&amp;"","")&amp;"␟"&amp;IFERROR(INDEX(PASTE_ALL,$DF378,52)&amp;"","")&amp;"␟"&amp;IFERROR(INDEX(PASTE_ALL,$DF378,53)&amp;"","")&amp;"␟"&amp;IFERROR(INDEX(PASTE_ALL,$DF378,54)&amp;"","")&amp;"␟"&amp;IFERROR(INDEX(PASTE_ALL,$DF378,55)&amp;"","")&amp;"␟"&amp;IFERROR(INDEX(PASTE_ALL,$DF378,56)&amp;"","")&amp;"␟"&amp;IFERROR(INDEX(PASTE_ALL,$DF378,57)&amp;"","")&amp;"␟"&amp;IFERROR(INDEX(PASTE_ALL,$DF378,58)&amp;"","")&amp;"␟"&amp;IFERROR(INDEX(PASTE_ALL,$DF378,59)&amp;"","")&amp;"␟"&amp;IFERROR(INDEX(PASTE_ALL,$DF378,60)&amp;"","")," "," "),CHAR(9)," "),CHAR(10)," "),CHAR(13)," "))," ␟","␟"),"␟ ","␟"),"#"&amp;$DE378),"")</f>
        <v/>
      </c>
      <c r="DJ378">
        <f>IF($DI378="",0,IF(SUMPRODUCT(--EXACT($DI$4:DI377,$DI378))&gt;0,1,0))</f>
        <v/>
      </c>
      <c r="DK378">
        <f>IF(AND($DI378&lt;&gt;"",$DJ378=0),1,0)</f>
        <v/>
      </c>
      <c r="DL378">
        <f>DL377+$DK378</f>
        <v/>
      </c>
      <c r="DM378">
        <f>IF(AND($DK378=1,$DL378&lt;=600),1,0)</f>
        <v/>
      </c>
      <c r="DN378">
        <f>IF($DM378=0,"",IF($L$6=0,"",IFERROR(IF(ISNUMBER(INDEX(PASTE_ALL,$DF378,$L$6)),INDEX(PASTE_ALL,$DF378,$L$6),TRIM(SUBSTITUTE(SUBSTITUTE(SUBSTITUTE(SUBSTITUTE(INDEX(PASTE_ALL,$DF378,$L$6)," "," "),CHAR(9)," "),CHAR(10)," "),CHAR(13)," "))),"")))</f>
        <v/>
      </c>
      <c r="DO378">
        <f>IF($DM378=0,"",IF($L$7=0,"",IFERROR(IF(ISNUMBER(INDEX(PASTE_ALL,$DF378,$L$7)),INDEX(PASTE_ALL,$DF378,$L$7),TRIM(SUBSTITUTE(SUBSTITUTE(SUBSTITUTE(SUBSTITUTE(INDEX(PASTE_ALL,$DF378,$L$7)," "," "),CHAR(9)," "),CHAR(10)," "),CHAR(13)," "))),"")))</f>
        <v/>
      </c>
      <c r="DP378">
        <f>IF($DM378=0,"",IF($L$8=0,"",IFERROR(IF(ISNUMBER(INDEX(PASTE_ALL,$DF378,$L$8)),INDEX(PASTE_ALL,$DF378,$L$8),TRIM(SUBSTITUTE(SUBSTITUTE(SUBSTITUTE(SUBSTITUTE(INDEX(PASTE_ALL,$DF378,$L$8)," "," "),CHAR(9)," "),CHAR(10)," "),CHAR(13)," "))),"")))</f>
        <v/>
      </c>
      <c r="DQ378">
        <f>IF($DM378=0,"",IF($L$9=0,"",IFERROR(IF(ISNUMBER(INDEX(PASTE_ALL,$DF378,$L$9)),INDEX(PASTE_ALL,$DF378,$L$9),TRIM(SUBSTITUTE(SUBSTITUTE(SUBSTITUTE(SUBSTITUTE(INDEX(PASTE_ALL,$DF378,$L$9)," "," "),CHAR(9)," "),CHAR(10)," "),CHAR(13)," "))),"")))</f>
        <v/>
      </c>
      <c r="DR378">
        <f>IF($DM378=0,"",IF($L$10=0,"",IFERROR(IF(ISNUMBER(INDEX(PASTE_ALL,$DF378,$L$10)),INDEX(PASTE_ALL,$DF378,$L$10),TRIM(SUBSTITUTE(SUBSTITUTE(SUBSTITUTE(SUBSTITUTE(INDEX(PASTE_ALL,$DF378,$L$10)," "," "),CHAR(9)," "),CHAR(10)," "),CHAR(13)," "))),"")))</f>
        <v/>
      </c>
      <c r="DS378">
        <f>IF($DM378=0,"",IF($L$11=0,"",IFERROR(IF(ISNUMBER(INDEX(PASTE_ALL,$DF378,$L$11)),INDEX(PASTE_ALL,$DF378,$L$11),TRIM(SUBSTITUTE(SUBSTITUTE(SUBSTITUTE(SUBSTITUTE(INDEX(PASTE_ALL,$DF378,$L$11)," "," "),CHAR(9)," "),CHAR(10)," "),CHAR(13)," "))),"")))</f>
        <v/>
      </c>
      <c r="DT378">
        <f>IF($DM378=0,"",IF($L$12=0,"",IFERROR(IF(ISNUMBER(INDEX(PASTE_ALL,$DF378,$L$12)),INDEX(PASTE_ALL,$DF378,$L$12),TRIM(SUBSTITUTE(SUBSTITUTE(SUBSTITUTE(SUBSTITUTE(INDEX(PASTE_ALL,$DF378,$L$12)," "," "),CHAR(9)," "),CHAR(10)," "),CHAR(13)," "))),"")))</f>
        <v/>
      </c>
      <c r="DU378">
        <f>IF($DM378=0,"",IF($L$13=0,"",IFERROR(IF(ISNUMBER(INDEX(PASTE_ALL,$DF378,$L$13)),INDEX(PASTE_ALL,$DF378,$L$13),TRIM(SUBSTITUTE(SUBSTITUTE(SUBSTITUTE(SUBSTITUTE(INDEX(PASTE_ALL,$DF378,$L$13)," "," "),CHAR(9)," "),CHAR(10)," "),CHAR(13)," "))),"")))</f>
        <v/>
      </c>
      <c r="DV378">
        <f>IF($DM378=0,"",IF($L$14=0,"",IFERROR(IF(ISNUMBER(INDEX(PASTE_ALL,$DF378,$L$14)),INDEX(PASTE_ALL,$DF378,$L$14),TRIM(SUBSTITUTE(SUBSTITUTE(SUBSTITUTE(SUBSTITUTE(INDEX(PASTE_ALL,$DF378,$L$14)," "," "),CHAR(9)," "),CHAR(10)," "),CHAR(13)," "))),"")))</f>
        <v/>
      </c>
      <c r="DW378">
        <f>IF($DM378=0,"",IF($L$15=0,"",IFERROR(IF(ISNUMBER(INDEX(PASTE_ALL,$DF378,$L$15)),INDEX(PASTE_ALL,$DF378,$L$15),IF(SUMPRODUCT(--ISNUMBER(FIND({"A","B","C","D","E","F","G","H","I","J","K","L","M","N","O","P","Q","R","S","T","U","V","W","X","Y","Z","0","1","2","3","4","5","6","7","8","9"},UPPER(TRIM(SUBSTITUTE(SUBSTITUTE(SUBSTITUTE(SUBSTITUTE(INDEX(PASTE_ALL,$DF378,$L$15)," "," "),CHAR(9)," "),CHAR(10)," "),CHAR(13)," "))))))&gt;0,TRIM(SUBSTITUTE(SUBSTITUTE(SUBSTITUTE(SUBSTITUTE(INDEX(PASTE_ALL,$DF378,$L$15)," "," "),CHAR(9)," "),CHAR(10)," "),CHAR(13)," ")),"")),"")))</f>
        <v/>
      </c>
      <c r="DX378">
        <f>IF($DM378=0,"",IF($L$16=0,"",IFERROR(IF(ISNUMBER(INDEX(PASTE_ALL,$DF378,$L$16)),INDEX(PASTE_ALL,$DF378,$L$16),SUBSTITUTE(SUBSTITUTE(TRIM(SUBSTITUTE(SUBSTITUTE(SUBSTITUTE(SUBSTITUTE(INDEX(PASTE_ALL,$DF378,$L$16)," "," "),CHAR(9)," "),CHAR(10)," "),CHAR(13)," ")),",",""),"%","")),"")))</f>
        <v/>
      </c>
      <c r="DY378">
        <f>IF($DM378=0,"",IFERROR(IF(ISNUMBER($DX378),$DX378,IF($DX378="","",IF(TRIM($DX378)="",0,IF(AND(AND(SUBSTITUTE(SUBSTITUTE(SUBSTITUTE(SUBSTITUTE(SUBSTITUTE(SUBSTITUTE(SUBSTITUTE(SUBSTITUTE(SUBSTITUTE(SUBSTITUTE(SUBSTITUTE(SUBSTITUTE(SUBSTITUTE(SUBSTITUTE(UPPER(TRIM($DX378)),"0",""),"1",""),"2",""),"3",""),"4",""),"5",""),"6",""),"7",""),"8",""),"9",""),".",""),"+",""),"-",""),"E","")="",LEN(SUBSTITUTE(SUBSTITUTE(MID(UPPER(TRIM($DX378)),1+OR(LEFT(UPPER(TRIM($DX378)),1)="+",LEFT(UPPER(TRIM($DX378)),1)="-"),999),"E+","E"),"E-","E"))=LEN(SUBSTITUTE(SUBSTITUTE(SUBSTITUTE(SUBSTITUTE(MID(UPPER(TRIM($DX378)),1+OR(LEFT(UPPER(TRIM($DX378)),1)="+",LEFT(UPPER(TRIM($DX378)),1)="-"),999),"E+","E"),"E-","E"),"+",""),"-","")),LEN(UPPER(TRIM($DX378)))-LEN(SUBSTITUTE(UPPER(TRIM($DX378)),"E",""))&lt;2,LEN(UPPER(TRIM($DX378)))-LEN(SUBSTITUTE(UPPER(TRIM($DX378)),".",""))&lt;2,IFERROR(FIND(".",UPPER(TRIM($DX378))),0)&lt;IFERROR(FIND("E",UPPER(TRIM($DX378))),999)),ISNUMBER(VALUE(TRIM($DX378)))),VALUE(TRIM($DX378)),"")))),""))</f>
        <v/>
      </c>
      <c r="DZ378">
        <f>IF($DM378=0,"",IF($L$17=0,"",IFERROR(IF(ISNUMBER(INDEX(PASTE_ALL,$DF378,$L$17)),INDEX(PASTE_ALL,$DF378,$L$17),SUBSTITUTE(SUBSTITUTE(TRIM(SUBSTITUTE(SUBSTITUTE(SUBSTITUTE(SUBSTITUTE(INDEX(PASTE_ALL,$DF378,$L$17)," "," "),CHAR(9)," "),CHAR(10)," "),CHAR(13)," ")),",",""),"%","")),"")))</f>
        <v/>
      </c>
      <c r="EA378">
        <f>IF($DM378=0,"",IFERROR(IF(ISNUMBER($DZ378),$DZ378,IF($DZ378="","",IF(TRIM($DZ378)="",0,IF(AND(AND(SUBSTITUTE(SUBSTITUTE(SUBSTITUTE(SUBSTITUTE(SUBSTITUTE(SUBSTITUTE(SUBSTITUTE(SUBSTITUTE(SUBSTITUTE(SUBSTITUTE(SUBSTITUTE(SUBSTITUTE(SUBSTITUTE(SUBSTITUTE(UPPER(TRIM($DZ378)),"0",""),"1",""),"2",""),"3",""),"4",""),"5",""),"6",""),"7",""),"8",""),"9",""),".",""),"+",""),"-",""),"E","")="",LEN(SUBSTITUTE(SUBSTITUTE(MID(UPPER(TRIM($DZ378)),1+OR(LEFT(UPPER(TRIM($DZ378)),1)="+",LEFT(UPPER(TRIM($DZ378)),1)="-"),999),"E+","E"),"E-","E"))=LEN(SUBSTITUTE(SUBSTITUTE(SUBSTITUTE(SUBSTITUTE(MID(UPPER(TRIM($DZ378)),1+OR(LEFT(UPPER(TRIM($DZ378)),1)="+",LEFT(UPPER(TRIM($DZ378)),1)="-"),999),"E+","E"),"E-","E"),"+",""),"-","")),LEN(UPPER(TRIM($DZ378)))-LEN(SUBSTITUTE(UPPER(TRIM($DZ378)),"E",""))&lt;2,LEN(UPPER(TRIM($DZ378)))-LEN(SUBSTITUTE(UPPER(TRIM($DZ378)),".",""))&lt;2,IFERROR(FIND(".",UPPER(TRIM($DZ378))),0)&lt;IFERROR(FIND("E",UPPER(TRIM($DZ378))),999)),ISNUMBER(VALUE(TRIM($DZ378)))),VALUE(TRIM($DZ378)),"")))),""))</f>
        <v/>
      </c>
      <c r="EB378">
        <f>IF($DM378=0,"",IF($L$18=0,"",IFERROR(IF(UPPER(TRIM(SUBSTITUTE(SUBSTITUTE(SUBSTITUTE(SUBSTITUTE(INDEX(PASTE_ALL,$DF378,$L$18)," "," "),CHAR(9)," "),CHAR(10)," "),CHAR(13)," ")))="READY","Ready",IF(UPPER(TRIM(SUBSTITUTE(SUBSTITUTE(SUBSTITUTE(SUBSTITUTE(INDEX(PASTE_ALL,$DF378,$L$18)," "," "),CHAR(9)," "),CHAR(10)," "),CHAR(13)," ")))="PM","PM",IF(OR(UPPER(TRIM(SUBSTITUTE(SUBSTITUTE(SUBSTITUTE(SUBSTITUTE(INDEX(PASTE_ALL,$DF378,$L$18)," "," "),CHAR(9)," "),CHAR(10)," "),CHAR(13)," ")))="OT",UPPER(TRIM(SUBSTITUTE(SUBSTITUTE(SUBSTITUTE(SUBSTITUTE(INDEX(PASTE_ALL,$DF378,$L$18)," "," "),CHAR(9)," "),CHAR(10)," "),CHAR(13)," ")))="OVERTIME",UPPER(TRIM(SUBSTITUTE(SUBSTITUTE(SUBSTITUTE(SUBSTITUTE(INDEX(PASTE_ALL,$DF378,$L$18)," "," "),CHAR(9)," "),CHAR(10)," "),CHAR(13)," ")))="TRIAL"),"OT",TRIM(SUBSTITUTE(SUBSTITUTE(SUBSTITUTE(SUBSTITUTE(INDEX(PASTE_ALL,$DF378,$L$18)," "," "),CHAR(9)," "),CHAR(10)," "),CHAR(13)," "))))),"")))</f>
        <v/>
      </c>
      <c r="EC378">
        <f>IF($DM378=0,"",IF($L$19=0,"",IFERROR(IF(ISNUMBER(INDEX(PASTE_ALL,$DF378,$L$19)),INDEX(PASTE_ALL,$DF378,$L$19),TRIM(SUBSTITUTE(SUBSTITUTE(SUBSTITUTE(SUBSTITUTE(INDEX(PASTE_ALL,$DF378,$L$19)," "," "),CHAR(9)," "),CHAR(10)," "),CHAR(13)," "))),"")))</f>
        <v/>
      </c>
      <c r="ED378">
        <f>IF($DM378=0,"",MATCH(1,INDEX(EXACT($DH$5:DH378,$DH378)*$DM$5:DM378,0),0))</f>
        <v/>
      </c>
      <c r="EE378">
        <f>IF($DM378=0,0,IF($ED378=$DE378,1,0))</f>
        <v/>
      </c>
      <c r="EF378">
        <f>EF377+$EE378</f>
        <v/>
      </c>
      <c r="EG378">
        <f>IF($DM378=0,"",INDEX($EF$5:$EF$1003,$ED378))</f>
        <v/>
      </c>
      <c r="EH378">
        <f>IF($DM378=0,"",IF($DO378&lt;&gt;"","",IFERROR(LOOKUP(2,1/(($EG$4:EG377=$EG378)*($DO$4:DO377&lt;&gt;"")),$DO$4:DO377),"")))</f>
        <v/>
      </c>
      <c r="EI378">
        <f>IF($DM378=0,"",IF($DO378&lt;&gt;"",$DO378,$EH378))</f>
        <v/>
      </c>
      <c r="EJ378">
        <f>IF($DM378=0,"",IF($EI378="",0,IF(OR(ISNUMBER($EI378),AND(AND(SUBSTITUTE(SUBSTITUTE(SUBSTITUTE(SUBSTITUTE(SUBSTITUTE(SUBSTITUTE(SUBSTITUTE(SUBSTITUTE(SUBSTITUTE(SUBSTITUTE(SUBSTITUTE(SUBSTITUTE(SUBSTITUTE(SUBSTITUTE(UPPER($EI378),"0",""),"1",""),"2",""),"3",""),"4",""),"5",""),"6",""),"7",""),"8",""),"9",""),".",""),"+",""),"-",""),"E","")="",LEN(SUBSTITUTE(SUBSTITUTE(MID(UPPER($EI378),1+OR(LEFT(UPPER($EI378),1)="+",LEFT(UPPER($EI378),1)="-"),999),"E+","E"),"E-","E"))=LEN(SUBSTITUTE(SUBSTITUTE(SUBSTITUTE(SUBSTITUTE(MID(UPPER($EI378),1+OR(LEFT(UPPER($EI378),1)="+",LEFT(UPPER($EI378),1)="-"),999),"E+","E"),"E-","E"),"+",""),"-","")),LEN(UPPER($EI378))-LEN(SUBSTITUTE(UPPER($EI378),"E",""))&lt;2,LEN(UPPER($EI378))-LEN(SUBSTITUTE(UPPER($EI378),".",""))&lt;2,IFERROR(FIND(".",UPPER($EI378)),0)&lt;IFERROR(FIND("E",UPPER($EI378)),999)),ISNUMBER(VALUE($EI378)))),1,2)))</f>
        <v/>
      </c>
      <c r="EK378">
        <f>IF($DM378=0,"",IF($EJ378=1,IF(ISNUMBER($EI378),$EI378,VALUE($EI378)),IF($EJ378=2,$DE378,0)))</f>
        <v/>
      </c>
      <c r="EL378">
        <f>IF($DM378=0,"",COUNTIF($EG$5:$EG$1003,"&lt;"&amp;$EG378)+SUMPRODUCT(($EG$5:$EG$1003=$EG378)*(($EJ$5:$EJ$1003&lt;$EJ378)+($EJ$5:$EJ$1003=$EJ378)*(($EK$5:$EK$1003&lt;$EK378)+($EK$5:$EK$1003=$EK378)*($DE$5:$DE$1003&lt;$DE378))))+1)</f>
        <v/>
      </c>
      <c r="EM378">
        <f>IF($DM378=0,"",$EL378+$EG378-1)</f>
        <v/>
      </c>
      <c r="EN378">
        <f>IF($DM378=0,0,IFERROR(MATCH(1,INDEX(--(TRIM(SUBSTITUTE(SUBSTITUTE(SUBSTITUTE(SUBSTITUTE(LINES_NAME&amp;""," "," "),CHAR(9)," "),CHAR(10)," "),CHAR(13)," "))=$DH378),0),0),0))</f>
        <v/>
      </c>
      <c r="EO378">
        <f>IF($EN378=0,0,IF(OR(UPPER(TRIM(INDEX(LINES_SCHEDULED,$EN378)&amp;""))="YES",UPPER(TRIM(INDEX(LINES_SCHEDULED,$EN378)&amp;""))="Y",UPPER(TRIM(INDEX(LINES_SCHEDULED,$EN378)&amp;""))="X"),1,0))</f>
        <v/>
      </c>
      <c r="EP378">
        <f>IF($DM378=0,"",IF(COUNTIFS($EG$5:$EG$1003,$EG378,$EB$5:$EB$1003,"Ready")&gt;0,"READY",IF(COUNTIFS($EG$5:$EG$1003,$EG378,$EB$5:$EB$1003,"PM")&gt;0,"PM",IF(COUNTIFS($EG$5:$EG$1003,$EG378,$EB$5:$EB$1003,"OT")&gt;0,"OT",""))))</f>
        <v/>
      </c>
      <c r="EQ378">
        <f>IF($EN378=0,"",UPPER(TRIM(INDEX(LINES_STATUS,$EN378)&amp;"")))</f>
        <v/>
      </c>
      <c r="ER378">
        <f>IF($DM378=0,"",IF(OR($EQ378="READY",$EQ378="PM",$EQ378="OT"),$EQ378,$EP378))</f>
        <v/>
      </c>
      <c r="ES378">
        <f>IF($DM378=0,"",IF(AND($DV378&lt;&gt;"",UPPER($DV378)&lt;&gt;"N"),"allergen",IF(ISNUMBER(SEARCH("oil",$DQ378)),"oil",IF(OR(EXACT($DS378,"A662"),EXACT($DS378,"A624")),"bulk",""))))</f>
        <v/>
      </c>
      <c r="ET378">
        <f>IF($DM378=0,"",IF(OR($EA378="",$EA378=0),"",$EA378/100))</f>
        <v/>
      </c>
      <c r="EU378">
        <f>IF(OR($ET378="",$DY378=""),"",INT($DY378*(1-$ET378)+0.5))</f>
        <v/>
      </c>
      <c r="EW378" t="n">
        <v>374</v>
      </c>
      <c r="EX378">
        <f>IFERROR(MATCH($EW378,$EM$5:$EM$1003,0),0)</f>
        <v/>
      </c>
      <c r="EY378">
        <f>IF($EW378&gt;$B$12,"",IF($EX378&gt;0,"row","spacer"))</f>
        <v/>
      </c>
      <c r="EZ378">
        <f>IF(AND($EY378="row",$EY377&lt;&gt;"row"),1,0)</f>
        <v/>
      </c>
      <c r="FA378">
        <f>IF(AND($EY378="row",$EY379&lt;&gt;"row"),1,0)</f>
        <v/>
      </c>
      <c r="FB378">
        <f>IF($EZ378=1,IFERROR(IF(ISNUMBER(INDEX(PASTE_ALL,INDEX($DF$5:$DF$1003,$EX378),$B$37)),INDEX(PASTE_ALL,INDEX($DF$5:$DF$1003,$EX378),$B$37),INDEX($DH$5:$DH$1003,$EX378)),INDEX($DH$5:$DH$1003,$EX378)),"")</f>
        <v/>
      </c>
      <c r="FC378">
        <f>IF($EY378="row",INDEX($ER$5:$ER$1003,$EX378),"")</f>
        <v/>
      </c>
      <c r="FD378">
        <f>IF($EY378="row",INDEX($DN$5:$DN$1003,$EX378),"")</f>
        <v/>
      </c>
      <c r="FE378">
        <f>IF($EY378="row",INDEX($DO$5:$DO$1003,$EX378),"")</f>
        <v/>
      </c>
      <c r="FF378">
        <f>IF($EY378="row",INDEX($DP$5:$DP$1003,$EX378),"")</f>
        <v/>
      </c>
      <c r="FG378">
        <f>IF($EY378="row",INDEX($DQ$5:$DQ$1003,$EX378),"")</f>
        <v/>
      </c>
      <c r="FH378">
        <f>IF($EY378="row",INDEX($DR$5:$DR$1003,$EX378),"")</f>
        <v/>
      </c>
      <c r="FI378">
        <f>IF($EY378="row",INDEX($DS$5:$DS$1003,$EX378),"")</f>
        <v/>
      </c>
      <c r="FJ378">
        <f>IF($EY378="row",INDEX($DT$5:$DT$1003,$EX378),"")</f>
        <v/>
      </c>
      <c r="FK378">
        <f>IF($EY378="row",INDEX($DU$5:$DU$1003,$EX378),"")</f>
        <v/>
      </c>
      <c r="FL378">
        <f>IF($EY378="row",INDEX($DV$5:$DV$1003,$EX378),"")</f>
        <v/>
      </c>
      <c r="FM378">
        <f>IF($EY378="row",INDEX($DW$5:$DW$1003,$EX378),"")</f>
        <v/>
      </c>
      <c r="FN378">
        <f>IF($EY378="row",INDEX($DY$5:$DY$1003,$EX378),"")</f>
        <v/>
      </c>
      <c r="FO378">
        <f>IF($EY378="row",INDEX($EA$5:$EA$1003,$EX378),"")</f>
        <v/>
      </c>
      <c r="FP378">
        <f>IF($EY378="row",INDEX($EC$5:$EC$1003,$EX378),"")</f>
        <v/>
      </c>
      <c r="FQ378">
        <f>IF($EY378="row",INDEX($ET$5:$ET$1003,$EX378),"")</f>
        <v/>
      </c>
      <c r="FR378">
        <f>IF($EY378="row",INDEX($EU$5:$EU$1003,$EX378),"")</f>
        <v/>
      </c>
      <c r="FS378">
        <f>IF(AND($EY378="row",$EY377="row"),IF(OR(INDEX($DT$5:$DT$1003,$EX377)="",INDEX($DT$5:$DT$1003,$EX378)=""),"",IF(NOT(EXACT(INDEX($DT$5:$DT$1003,$EX377),INDEX($DT$5:$DT$1003,$EX378))),"S4",IF(NOT(EXACT(INDEX($DS$5:$DS$1003,$EX377),INDEX($DS$5:$DS$1003,$EX378))),"S3",IF(NOT(EXACT(INDEX($DR$5:$DR$1003,$EX377),INDEX($DR$5:$DR$1003,$EX378))),"S1 Count Change","S1")))),"")</f>
        <v/>
      </c>
      <c r="FT378">
        <f>IF($EY378="row",INDEX($ES$5:$ES$1003,$EX378),"")</f>
        <v/>
      </c>
      <c r="FU378">
        <f>IF($EY378="row",INDEX($EO$5:$EO$1003,$EX378),0)</f>
        <v/>
      </c>
      <c r="FV378">
        <f>IF($FS378="S1 Count Change",1,0)</f>
        <v/>
      </c>
    </row>
    <row r="379">
      <c r="DA379" t="n">
        <v>375</v>
      </c>
      <c r="DB379">
        <f>IF($B$37=0,"",IFERROR(TRIM(SUBSTITUTE(SUBSTITUTE(SUBSTITUTE(SUBSTITUTE(INDEX(PASTE_ALL,375,$B$37)," "," "),CHAR(9)," "),CHAR(10)," "),CHAR(13)," ")),""))</f>
        <v/>
      </c>
      <c r="DC379">
        <f>IF(AND(375&gt;HEADER_ROW,UPPER(DB379)="LEGEND"),1,0)</f>
        <v/>
      </c>
      <c r="DE379" t="n">
        <v>375</v>
      </c>
      <c r="DF379">
        <f>HEADER_ROW+$DE379</f>
        <v/>
      </c>
      <c r="DG379">
        <f>IF(AND($DF379&lt;=1000,$DF379&lt;$B$8),1,0)</f>
        <v/>
      </c>
      <c r="DH379">
        <f>IF($DG379=1,IFERROR(INDEX($DB$5:$DB$1004,$DF379),""),"")</f>
        <v/>
      </c>
      <c r="DI379">
        <f>IF(AND($DG379=1,$DH379&lt;&gt;""),IFERROR(SUBSTITUTE(SUBSTITUTE(TRIM(SUBSTITUTE(SUBSTITUTE(SUBSTITUTE(SUBSTITUTE(IFERROR(INDEX(PASTE_ALL,$DF379,1)&amp;"","")&amp;"␟"&amp;IFERROR(INDEX(PASTE_ALL,$DF379,2)&amp;"","")&amp;"␟"&amp;IFERROR(INDEX(PASTE_ALL,$DF379,3)&amp;"","")&amp;"␟"&amp;IFERROR(INDEX(PASTE_ALL,$DF379,4)&amp;"","")&amp;"␟"&amp;IFERROR(INDEX(PASTE_ALL,$DF379,5)&amp;"","")&amp;"␟"&amp;IFERROR(INDEX(PASTE_ALL,$DF379,6)&amp;"","")&amp;"␟"&amp;IFERROR(INDEX(PASTE_ALL,$DF379,7)&amp;"","")&amp;"␟"&amp;IFERROR(INDEX(PASTE_ALL,$DF379,8)&amp;"","")&amp;"␟"&amp;IFERROR(INDEX(PASTE_ALL,$DF379,9)&amp;"","")&amp;"␟"&amp;IFERROR(INDEX(PASTE_ALL,$DF379,10)&amp;"","")&amp;"␟"&amp;IFERROR(INDEX(PASTE_ALL,$DF379,11)&amp;"","")&amp;"␟"&amp;IFERROR(INDEX(PASTE_ALL,$DF379,12)&amp;"","")&amp;"␟"&amp;IFERROR(INDEX(PASTE_ALL,$DF379,13)&amp;"","")&amp;"␟"&amp;IFERROR(INDEX(PASTE_ALL,$DF379,14)&amp;"","")&amp;"␟"&amp;IFERROR(INDEX(PASTE_ALL,$DF379,15)&amp;"","")&amp;"␟"&amp;IFERROR(INDEX(PASTE_ALL,$DF379,16)&amp;"","")&amp;"␟"&amp;IFERROR(INDEX(PASTE_ALL,$DF379,17)&amp;"","")&amp;"␟"&amp;IFERROR(INDEX(PASTE_ALL,$DF379,18)&amp;"","")&amp;"␟"&amp;IFERROR(INDEX(PASTE_ALL,$DF379,19)&amp;"","")&amp;"␟"&amp;IFERROR(INDEX(PASTE_ALL,$DF379,20)&amp;"","")&amp;"␟"&amp;IFERROR(INDEX(PASTE_ALL,$DF379,21)&amp;"","")&amp;"␟"&amp;IFERROR(INDEX(PASTE_ALL,$DF379,22)&amp;"","")&amp;"␟"&amp;IFERROR(INDEX(PASTE_ALL,$DF379,23)&amp;"","")&amp;"␟"&amp;IFERROR(INDEX(PASTE_ALL,$DF379,24)&amp;"","")&amp;"␟"&amp;IFERROR(INDEX(PASTE_ALL,$DF379,25)&amp;"","")&amp;"␟"&amp;IFERROR(INDEX(PASTE_ALL,$DF379,26)&amp;"","")&amp;"␟"&amp;IFERROR(INDEX(PASTE_ALL,$DF379,27)&amp;"","")&amp;"␟"&amp;IFERROR(INDEX(PASTE_ALL,$DF379,28)&amp;"","")&amp;"␟"&amp;IFERROR(INDEX(PASTE_ALL,$DF379,29)&amp;"","")&amp;"␟"&amp;IFERROR(INDEX(PASTE_ALL,$DF379,30)&amp;"","")&amp;"␟"&amp;IFERROR(INDEX(PASTE_ALL,$DF379,31)&amp;"","")&amp;"␟"&amp;IFERROR(INDEX(PASTE_ALL,$DF379,32)&amp;"","")&amp;"␟"&amp;IFERROR(INDEX(PASTE_ALL,$DF379,33)&amp;"","")&amp;"␟"&amp;IFERROR(INDEX(PASTE_ALL,$DF379,34)&amp;"","")&amp;"␟"&amp;IFERROR(INDEX(PASTE_ALL,$DF379,35)&amp;"","")&amp;"␟"&amp;IFERROR(INDEX(PASTE_ALL,$DF379,36)&amp;"","")&amp;"␟"&amp;IFERROR(INDEX(PASTE_ALL,$DF379,37)&amp;"","")&amp;"␟"&amp;IFERROR(INDEX(PASTE_ALL,$DF379,38)&amp;"","")&amp;"␟"&amp;IFERROR(INDEX(PASTE_ALL,$DF379,39)&amp;"","")&amp;"␟"&amp;IFERROR(INDEX(PASTE_ALL,$DF379,40)&amp;"","")&amp;"␟"&amp;IFERROR(INDEX(PASTE_ALL,$DF379,41)&amp;"","")&amp;"␟"&amp;IFERROR(INDEX(PASTE_ALL,$DF379,42)&amp;"","")&amp;"␟"&amp;IFERROR(INDEX(PASTE_ALL,$DF379,43)&amp;"","")&amp;"␟"&amp;IFERROR(INDEX(PASTE_ALL,$DF379,44)&amp;"","")&amp;"␟"&amp;IFERROR(INDEX(PASTE_ALL,$DF379,45)&amp;"","")&amp;"␟"&amp;IFERROR(INDEX(PASTE_ALL,$DF379,46)&amp;"","")&amp;"␟"&amp;IFERROR(INDEX(PASTE_ALL,$DF379,47)&amp;"","")&amp;"␟"&amp;IFERROR(INDEX(PASTE_ALL,$DF379,48)&amp;"","")&amp;"␟"&amp;IFERROR(INDEX(PASTE_ALL,$DF379,49)&amp;"","")&amp;"␟"&amp;IFERROR(INDEX(PASTE_ALL,$DF379,50)&amp;"","")&amp;"␟"&amp;IFERROR(INDEX(PASTE_ALL,$DF379,51)&amp;"","")&amp;"␟"&amp;IFERROR(INDEX(PASTE_ALL,$DF379,52)&amp;"","")&amp;"␟"&amp;IFERROR(INDEX(PASTE_ALL,$DF379,53)&amp;"","")&amp;"␟"&amp;IFERROR(INDEX(PASTE_ALL,$DF379,54)&amp;"","")&amp;"␟"&amp;IFERROR(INDEX(PASTE_ALL,$DF379,55)&amp;"","")&amp;"␟"&amp;IFERROR(INDEX(PASTE_ALL,$DF379,56)&amp;"","")&amp;"␟"&amp;IFERROR(INDEX(PASTE_ALL,$DF379,57)&amp;"","")&amp;"␟"&amp;IFERROR(INDEX(PASTE_ALL,$DF379,58)&amp;"","")&amp;"␟"&amp;IFERROR(INDEX(PASTE_ALL,$DF379,59)&amp;"","")&amp;"␟"&amp;IFERROR(INDEX(PASTE_ALL,$DF379,60)&amp;"","")," "," "),CHAR(9)," "),CHAR(10)," "),CHAR(13)," "))," ␟","␟"),"␟ ","␟"),"#"&amp;$DE379),"")</f>
        <v/>
      </c>
      <c r="DJ379">
        <f>IF($DI379="",0,IF(SUMPRODUCT(--EXACT($DI$4:DI378,$DI379))&gt;0,1,0))</f>
        <v/>
      </c>
      <c r="DK379">
        <f>IF(AND($DI379&lt;&gt;"",$DJ379=0),1,0)</f>
        <v/>
      </c>
      <c r="DL379">
        <f>DL378+$DK379</f>
        <v/>
      </c>
      <c r="DM379">
        <f>IF(AND($DK379=1,$DL379&lt;=600),1,0)</f>
        <v/>
      </c>
      <c r="DN379">
        <f>IF($DM379=0,"",IF($L$6=0,"",IFERROR(IF(ISNUMBER(INDEX(PASTE_ALL,$DF379,$L$6)),INDEX(PASTE_ALL,$DF379,$L$6),TRIM(SUBSTITUTE(SUBSTITUTE(SUBSTITUTE(SUBSTITUTE(INDEX(PASTE_ALL,$DF379,$L$6)," "," "),CHAR(9)," "),CHAR(10)," "),CHAR(13)," "))),"")))</f>
        <v/>
      </c>
      <c r="DO379">
        <f>IF($DM379=0,"",IF($L$7=0,"",IFERROR(IF(ISNUMBER(INDEX(PASTE_ALL,$DF379,$L$7)),INDEX(PASTE_ALL,$DF379,$L$7),TRIM(SUBSTITUTE(SUBSTITUTE(SUBSTITUTE(SUBSTITUTE(INDEX(PASTE_ALL,$DF379,$L$7)," "," "),CHAR(9)," "),CHAR(10)," "),CHAR(13)," "))),"")))</f>
        <v/>
      </c>
      <c r="DP379">
        <f>IF($DM379=0,"",IF($L$8=0,"",IFERROR(IF(ISNUMBER(INDEX(PASTE_ALL,$DF379,$L$8)),INDEX(PASTE_ALL,$DF379,$L$8),TRIM(SUBSTITUTE(SUBSTITUTE(SUBSTITUTE(SUBSTITUTE(INDEX(PASTE_ALL,$DF379,$L$8)," "," "),CHAR(9)," "),CHAR(10)," "),CHAR(13)," "))),"")))</f>
        <v/>
      </c>
      <c r="DQ379">
        <f>IF($DM379=0,"",IF($L$9=0,"",IFERROR(IF(ISNUMBER(INDEX(PASTE_ALL,$DF379,$L$9)),INDEX(PASTE_ALL,$DF379,$L$9),TRIM(SUBSTITUTE(SUBSTITUTE(SUBSTITUTE(SUBSTITUTE(INDEX(PASTE_ALL,$DF379,$L$9)," "," "),CHAR(9)," "),CHAR(10)," "),CHAR(13)," "))),"")))</f>
        <v/>
      </c>
      <c r="DR379">
        <f>IF($DM379=0,"",IF($L$10=0,"",IFERROR(IF(ISNUMBER(INDEX(PASTE_ALL,$DF379,$L$10)),INDEX(PASTE_ALL,$DF379,$L$10),TRIM(SUBSTITUTE(SUBSTITUTE(SUBSTITUTE(SUBSTITUTE(INDEX(PASTE_ALL,$DF379,$L$10)," "," "),CHAR(9)," "),CHAR(10)," "),CHAR(13)," "))),"")))</f>
        <v/>
      </c>
      <c r="DS379">
        <f>IF($DM379=0,"",IF($L$11=0,"",IFERROR(IF(ISNUMBER(INDEX(PASTE_ALL,$DF379,$L$11)),INDEX(PASTE_ALL,$DF379,$L$11),TRIM(SUBSTITUTE(SUBSTITUTE(SUBSTITUTE(SUBSTITUTE(INDEX(PASTE_ALL,$DF379,$L$11)," "," "),CHAR(9)," "),CHAR(10)," "),CHAR(13)," "))),"")))</f>
        <v/>
      </c>
      <c r="DT379">
        <f>IF($DM379=0,"",IF($L$12=0,"",IFERROR(IF(ISNUMBER(INDEX(PASTE_ALL,$DF379,$L$12)),INDEX(PASTE_ALL,$DF379,$L$12),TRIM(SUBSTITUTE(SUBSTITUTE(SUBSTITUTE(SUBSTITUTE(INDEX(PASTE_ALL,$DF379,$L$12)," "," "),CHAR(9)," "),CHAR(10)," "),CHAR(13)," "))),"")))</f>
        <v/>
      </c>
      <c r="DU379">
        <f>IF($DM379=0,"",IF($L$13=0,"",IFERROR(IF(ISNUMBER(INDEX(PASTE_ALL,$DF379,$L$13)),INDEX(PASTE_ALL,$DF379,$L$13),TRIM(SUBSTITUTE(SUBSTITUTE(SUBSTITUTE(SUBSTITUTE(INDEX(PASTE_ALL,$DF379,$L$13)," "," "),CHAR(9)," "),CHAR(10)," "),CHAR(13)," "))),"")))</f>
        <v/>
      </c>
      <c r="DV379">
        <f>IF($DM379=0,"",IF($L$14=0,"",IFERROR(IF(ISNUMBER(INDEX(PASTE_ALL,$DF379,$L$14)),INDEX(PASTE_ALL,$DF379,$L$14),TRIM(SUBSTITUTE(SUBSTITUTE(SUBSTITUTE(SUBSTITUTE(INDEX(PASTE_ALL,$DF379,$L$14)," "," "),CHAR(9)," "),CHAR(10)," "),CHAR(13)," "))),"")))</f>
        <v/>
      </c>
      <c r="DW379">
        <f>IF($DM379=0,"",IF($L$15=0,"",IFERROR(IF(ISNUMBER(INDEX(PASTE_ALL,$DF379,$L$15)),INDEX(PASTE_ALL,$DF379,$L$15),IF(SUMPRODUCT(--ISNUMBER(FIND({"A","B","C","D","E","F","G","H","I","J","K","L","M","N","O","P","Q","R","S","T","U","V","W","X","Y","Z","0","1","2","3","4","5","6","7","8","9"},UPPER(TRIM(SUBSTITUTE(SUBSTITUTE(SUBSTITUTE(SUBSTITUTE(INDEX(PASTE_ALL,$DF379,$L$15)," "," "),CHAR(9)," "),CHAR(10)," "),CHAR(13)," "))))))&gt;0,TRIM(SUBSTITUTE(SUBSTITUTE(SUBSTITUTE(SUBSTITUTE(INDEX(PASTE_ALL,$DF379,$L$15)," "," "),CHAR(9)," "),CHAR(10)," "),CHAR(13)," ")),"")),"")))</f>
        <v/>
      </c>
      <c r="DX379">
        <f>IF($DM379=0,"",IF($L$16=0,"",IFERROR(IF(ISNUMBER(INDEX(PASTE_ALL,$DF379,$L$16)),INDEX(PASTE_ALL,$DF379,$L$16),SUBSTITUTE(SUBSTITUTE(TRIM(SUBSTITUTE(SUBSTITUTE(SUBSTITUTE(SUBSTITUTE(INDEX(PASTE_ALL,$DF379,$L$16)," "," "),CHAR(9)," "),CHAR(10)," "),CHAR(13)," ")),",",""),"%","")),"")))</f>
        <v/>
      </c>
      <c r="DY379">
        <f>IF($DM379=0,"",IFERROR(IF(ISNUMBER($DX379),$DX379,IF($DX379="","",IF(TRIM($DX379)="",0,IF(AND(AND(SUBSTITUTE(SUBSTITUTE(SUBSTITUTE(SUBSTITUTE(SUBSTITUTE(SUBSTITUTE(SUBSTITUTE(SUBSTITUTE(SUBSTITUTE(SUBSTITUTE(SUBSTITUTE(SUBSTITUTE(SUBSTITUTE(SUBSTITUTE(UPPER(TRIM($DX379)),"0",""),"1",""),"2",""),"3",""),"4",""),"5",""),"6",""),"7",""),"8",""),"9",""),".",""),"+",""),"-",""),"E","")="",LEN(SUBSTITUTE(SUBSTITUTE(MID(UPPER(TRIM($DX379)),1+OR(LEFT(UPPER(TRIM($DX379)),1)="+",LEFT(UPPER(TRIM($DX379)),1)="-"),999),"E+","E"),"E-","E"))=LEN(SUBSTITUTE(SUBSTITUTE(SUBSTITUTE(SUBSTITUTE(MID(UPPER(TRIM($DX379)),1+OR(LEFT(UPPER(TRIM($DX379)),1)="+",LEFT(UPPER(TRIM($DX379)),1)="-"),999),"E+","E"),"E-","E"),"+",""),"-","")),LEN(UPPER(TRIM($DX379)))-LEN(SUBSTITUTE(UPPER(TRIM($DX379)),"E",""))&lt;2,LEN(UPPER(TRIM($DX379)))-LEN(SUBSTITUTE(UPPER(TRIM($DX379)),".",""))&lt;2,IFERROR(FIND(".",UPPER(TRIM($DX379))),0)&lt;IFERROR(FIND("E",UPPER(TRIM($DX379))),999)),ISNUMBER(VALUE(TRIM($DX379)))),VALUE(TRIM($DX379)),"")))),""))</f>
        <v/>
      </c>
      <c r="DZ379">
        <f>IF($DM379=0,"",IF($L$17=0,"",IFERROR(IF(ISNUMBER(INDEX(PASTE_ALL,$DF379,$L$17)),INDEX(PASTE_ALL,$DF379,$L$17),SUBSTITUTE(SUBSTITUTE(TRIM(SUBSTITUTE(SUBSTITUTE(SUBSTITUTE(SUBSTITUTE(INDEX(PASTE_ALL,$DF379,$L$17)," "," "),CHAR(9)," "),CHAR(10)," "),CHAR(13)," ")),",",""),"%","")),"")))</f>
        <v/>
      </c>
      <c r="EA379">
        <f>IF($DM379=0,"",IFERROR(IF(ISNUMBER($DZ379),$DZ379,IF($DZ379="","",IF(TRIM($DZ379)="",0,IF(AND(AND(SUBSTITUTE(SUBSTITUTE(SUBSTITUTE(SUBSTITUTE(SUBSTITUTE(SUBSTITUTE(SUBSTITUTE(SUBSTITUTE(SUBSTITUTE(SUBSTITUTE(SUBSTITUTE(SUBSTITUTE(SUBSTITUTE(SUBSTITUTE(UPPER(TRIM($DZ379)),"0",""),"1",""),"2",""),"3",""),"4",""),"5",""),"6",""),"7",""),"8",""),"9",""),".",""),"+",""),"-",""),"E","")="",LEN(SUBSTITUTE(SUBSTITUTE(MID(UPPER(TRIM($DZ379)),1+OR(LEFT(UPPER(TRIM($DZ379)),1)="+",LEFT(UPPER(TRIM($DZ379)),1)="-"),999),"E+","E"),"E-","E"))=LEN(SUBSTITUTE(SUBSTITUTE(SUBSTITUTE(SUBSTITUTE(MID(UPPER(TRIM($DZ379)),1+OR(LEFT(UPPER(TRIM($DZ379)),1)="+",LEFT(UPPER(TRIM($DZ379)),1)="-"),999),"E+","E"),"E-","E"),"+",""),"-","")),LEN(UPPER(TRIM($DZ379)))-LEN(SUBSTITUTE(UPPER(TRIM($DZ379)),"E",""))&lt;2,LEN(UPPER(TRIM($DZ379)))-LEN(SUBSTITUTE(UPPER(TRIM($DZ379)),".",""))&lt;2,IFERROR(FIND(".",UPPER(TRIM($DZ379))),0)&lt;IFERROR(FIND("E",UPPER(TRIM($DZ379))),999)),ISNUMBER(VALUE(TRIM($DZ379)))),VALUE(TRIM($DZ379)),"")))),""))</f>
        <v/>
      </c>
      <c r="EB379">
        <f>IF($DM379=0,"",IF($L$18=0,"",IFERROR(IF(UPPER(TRIM(SUBSTITUTE(SUBSTITUTE(SUBSTITUTE(SUBSTITUTE(INDEX(PASTE_ALL,$DF379,$L$18)," "," "),CHAR(9)," "),CHAR(10)," "),CHAR(13)," ")))="READY","Ready",IF(UPPER(TRIM(SUBSTITUTE(SUBSTITUTE(SUBSTITUTE(SUBSTITUTE(INDEX(PASTE_ALL,$DF379,$L$18)," "," "),CHAR(9)," "),CHAR(10)," "),CHAR(13)," ")))="PM","PM",IF(OR(UPPER(TRIM(SUBSTITUTE(SUBSTITUTE(SUBSTITUTE(SUBSTITUTE(INDEX(PASTE_ALL,$DF379,$L$18)," "," "),CHAR(9)," "),CHAR(10)," "),CHAR(13)," ")))="OT",UPPER(TRIM(SUBSTITUTE(SUBSTITUTE(SUBSTITUTE(SUBSTITUTE(INDEX(PASTE_ALL,$DF379,$L$18)," "," "),CHAR(9)," "),CHAR(10)," "),CHAR(13)," ")))="OVERTIME",UPPER(TRIM(SUBSTITUTE(SUBSTITUTE(SUBSTITUTE(SUBSTITUTE(INDEX(PASTE_ALL,$DF379,$L$18)," "," "),CHAR(9)," "),CHAR(10)," "),CHAR(13)," ")))="TRIAL"),"OT",TRIM(SUBSTITUTE(SUBSTITUTE(SUBSTITUTE(SUBSTITUTE(INDEX(PASTE_ALL,$DF379,$L$18)," "," "),CHAR(9)," "),CHAR(10)," "),CHAR(13)," "))))),"")))</f>
        <v/>
      </c>
      <c r="EC379">
        <f>IF($DM379=0,"",IF($L$19=0,"",IFERROR(IF(ISNUMBER(INDEX(PASTE_ALL,$DF379,$L$19)),INDEX(PASTE_ALL,$DF379,$L$19),TRIM(SUBSTITUTE(SUBSTITUTE(SUBSTITUTE(SUBSTITUTE(INDEX(PASTE_ALL,$DF379,$L$19)," "," "),CHAR(9)," "),CHAR(10)," "),CHAR(13)," "))),"")))</f>
        <v/>
      </c>
      <c r="ED379">
        <f>IF($DM379=0,"",MATCH(1,INDEX(EXACT($DH$5:DH379,$DH379)*$DM$5:DM379,0),0))</f>
        <v/>
      </c>
      <c r="EE379">
        <f>IF($DM379=0,0,IF($ED379=$DE379,1,0))</f>
        <v/>
      </c>
      <c r="EF379">
        <f>EF378+$EE379</f>
        <v/>
      </c>
      <c r="EG379">
        <f>IF($DM379=0,"",INDEX($EF$5:$EF$1003,$ED379))</f>
        <v/>
      </c>
      <c r="EH379">
        <f>IF($DM379=0,"",IF($DO379&lt;&gt;"","",IFERROR(LOOKUP(2,1/(($EG$4:EG378=$EG379)*($DO$4:DO378&lt;&gt;"")),$DO$4:DO378),"")))</f>
        <v/>
      </c>
      <c r="EI379">
        <f>IF($DM379=0,"",IF($DO379&lt;&gt;"",$DO379,$EH379))</f>
        <v/>
      </c>
      <c r="EJ379">
        <f>IF($DM379=0,"",IF($EI379="",0,IF(OR(ISNUMBER($EI379),AND(AND(SUBSTITUTE(SUBSTITUTE(SUBSTITUTE(SUBSTITUTE(SUBSTITUTE(SUBSTITUTE(SUBSTITUTE(SUBSTITUTE(SUBSTITUTE(SUBSTITUTE(SUBSTITUTE(SUBSTITUTE(SUBSTITUTE(SUBSTITUTE(UPPER($EI379),"0",""),"1",""),"2",""),"3",""),"4",""),"5",""),"6",""),"7",""),"8",""),"9",""),".",""),"+",""),"-",""),"E","")="",LEN(SUBSTITUTE(SUBSTITUTE(MID(UPPER($EI379),1+OR(LEFT(UPPER($EI379),1)="+",LEFT(UPPER($EI379),1)="-"),999),"E+","E"),"E-","E"))=LEN(SUBSTITUTE(SUBSTITUTE(SUBSTITUTE(SUBSTITUTE(MID(UPPER($EI379),1+OR(LEFT(UPPER($EI379),1)="+",LEFT(UPPER($EI379),1)="-"),999),"E+","E"),"E-","E"),"+",""),"-","")),LEN(UPPER($EI379))-LEN(SUBSTITUTE(UPPER($EI379),"E",""))&lt;2,LEN(UPPER($EI379))-LEN(SUBSTITUTE(UPPER($EI379),".",""))&lt;2,IFERROR(FIND(".",UPPER($EI379)),0)&lt;IFERROR(FIND("E",UPPER($EI379)),999)),ISNUMBER(VALUE($EI379)))),1,2)))</f>
        <v/>
      </c>
      <c r="EK379">
        <f>IF($DM379=0,"",IF($EJ379=1,IF(ISNUMBER($EI379),$EI379,VALUE($EI379)),IF($EJ379=2,$DE379,0)))</f>
        <v/>
      </c>
      <c r="EL379">
        <f>IF($DM379=0,"",COUNTIF($EG$5:$EG$1003,"&lt;"&amp;$EG379)+SUMPRODUCT(($EG$5:$EG$1003=$EG379)*(($EJ$5:$EJ$1003&lt;$EJ379)+($EJ$5:$EJ$1003=$EJ379)*(($EK$5:$EK$1003&lt;$EK379)+($EK$5:$EK$1003=$EK379)*($DE$5:$DE$1003&lt;$DE379))))+1)</f>
        <v/>
      </c>
      <c r="EM379">
        <f>IF($DM379=0,"",$EL379+$EG379-1)</f>
        <v/>
      </c>
      <c r="EN379">
        <f>IF($DM379=0,0,IFERROR(MATCH(1,INDEX(--(TRIM(SUBSTITUTE(SUBSTITUTE(SUBSTITUTE(SUBSTITUTE(LINES_NAME&amp;""," "," "),CHAR(9)," "),CHAR(10)," "),CHAR(13)," "))=$DH379),0),0),0))</f>
        <v/>
      </c>
      <c r="EO379">
        <f>IF($EN379=0,0,IF(OR(UPPER(TRIM(INDEX(LINES_SCHEDULED,$EN379)&amp;""))="YES",UPPER(TRIM(INDEX(LINES_SCHEDULED,$EN379)&amp;""))="Y",UPPER(TRIM(INDEX(LINES_SCHEDULED,$EN379)&amp;""))="X"),1,0))</f>
        <v/>
      </c>
      <c r="EP379">
        <f>IF($DM379=0,"",IF(COUNTIFS($EG$5:$EG$1003,$EG379,$EB$5:$EB$1003,"Ready")&gt;0,"READY",IF(COUNTIFS($EG$5:$EG$1003,$EG379,$EB$5:$EB$1003,"PM")&gt;0,"PM",IF(COUNTIFS($EG$5:$EG$1003,$EG379,$EB$5:$EB$1003,"OT")&gt;0,"OT",""))))</f>
        <v/>
      </c>
      <c r="EQ379">
        <f>IF($EN379=0,"",UPPER(TRIM(INDEX(LINES_STATUS,$EN379)&amp;"")))</f>
        <v/>
      </c>
      <c r="ER379">
        <f>IF($DM379=0,"",IF(OR($EQ379="READY",$EQ379="PM",$EQ379="OT"),$EQ379,$EP379))</f>
        <v/>
      </c>
      <c r="ES379">
        <f>IF($DM379=0,"",IF(AND($DV379&lt;&gt;"",UPPER($DV379)&lt;&gt;"N"),"allergen",IF(ISNUMBER(SEARCH("oil",$DQ379)),"oil",IF(OR(EXACT($DS379,"A662"),EXACT($DS379,"A624")),"bulk",""))))</f>
        <v/>
      </c>
      <c r="ET379">
        <f>IF($DM379=0,"",IF(OR($EA379="",$EA379=0),"",$EA379/100))</f>
        <v/>
      </c>
      <c r="EU379">
        <f>IF(OR($ET379="",$DY379=""),"",INT($DY379*(1-$ET379)+0.5))</f>
        <v/>
      </c>
      <c r="EW379" t="n">
        <v>375</v>
      </c>
      <c r="EX379">
        <f>IFERROR(MATCH($EW379,$EM$5:$EM$1003,0),0)</f>
        <v/>
      </c>
      <c r="EY379">
        <f>IF($EW379&gt;$B$12,"",IF($EX379&gt;0,"row","spacer"))</f>
        <v/>
      </c>
      <c r="EZ379">
        <f>IF(AND($EY379="row",$EY378&lt;&gt;"row"),1,0)</f>
        <v/>
      </c>
      <c r="FA379">
        <f>IF(AND($EY379="row",$EY380&lt;&gt;"row"),1,0)</f>
        <v/>
      </c>
      <c r="FB379">
        <f>IF($EZ379=1,IFERROR(IF(ISNUMBER(INDEX(PASTE_ALL,INDEX($DF$5:$DF$1003,$EX379),$B$37)),INDEX(PASTE_ALL,INDEX($DF$5:$DF$1003,$EX379),$B$37),INDEX($DH$5:$DH$1003,$EX379)),INDEX($DH$5:$DH$1003,$EX379)),"")</f>
        <v/>
      </c>
      <c r="FC379">
        <f>IF($EY379="row",INDEX($ER$5:$ER$1003,$EX379),"")</f>
        <v/>
      </c>
      <c r="FD379">
        <f>IF($EY379="row",INDEX($DN$5:$DN$1003,$EX379),"")</f>
        <v/>
      </c>
      <c r="FE379">
        <f>IF($EY379="row",INDEX($DO$5:$DO$1003,$EX379),"")</f>
        <v/>
      </c>
      <c r="FF379">
        <f>IF($EY379="row",INDEX($DP$5:$DP$1003,$EX379),"")</f>
        <v/>
      </c>
      <c r="FG379">
        <f>IF($EY379="row",INDEX($DQ$5:$DQ$1003,$EX379),"")</f>
        <v/>
      </c>
      <c r="FH379">
        <f>IF($EY379="row",INDEX($DR$5:$DR$1003,$EX379),"")</f>
        <v/>
      </c>
      <c r="FI379">
        <f>IF($EY379="row",INDEX($DS$5:$DS$1003,$EX379),"")</f>
        <v/>
      </c>
      <c r="FJ379">
        <f>IF($EY379="row",INDEX($DT$5:$DT$1003,$EX379),"")</f>
        <v/>
      </c>
      <c r="FK379">
        <f>IF($EY379="row",INDEX($DU$5:$DU$1003,$EX379),"")</f>
        <v/>
      </c>
      <c r="FL379">
        <f>IF($EY379="row",INDEX($DV$5:$DV$1003,$EX379),"")</f>
        <v/>
      </c>
      <c r="FM379">
        <f>IF($EY379="row",INDEX($DW$5:$DW$1003,$EX379),"")</f>
        <v/>
      </c>
      <c r="FN379">
        <f>IF($EY379="row",INDEX($DY$5:$DY$1003,$EX379),"")</f>
        <v/>
      </c>
      <c r="FO379">
        <f>IF($EY379="row",INDEX($EA$5:$EA$1003,$EX379),"")</f>
        <v/>
      </c>
      <c r="FP379">
        <f>IF($EY379="row",INDEX($EC$5:$EC$1003,$EX379),"")</f>
        <v/>
      </c>
      <c r="FQ379">
        <f>IF($EY379="row",INDEX($ET$5:$ET$1003,$EX379),"")</f>
        <v/>
      </c>
      <c r="FR379">
        <f>IF($EY379="row",INDEX($EU$5:$EU$1003,$EX379),"")</f>
        <v/>
      </c>
      <c r="FS379">
        <f>IF(AND($EY379="row",$EY378="row"),IF(OR(INDEX($DT$5:$DT$1003,$EX378)="",INDEX($DT$5:$DT$1003,$EX379)=""),"",IF(NOT(EXACT(INDEX($DT$5:$DT$1003,$EX378),INDEX($DT$5:$DT$1003,$EX379))),"S4",IF(NOT(EXACT(INDEX($DS$5:$DS$1003,$EX378),INDEX($DS$5:$DS$1003,$EX379))),"S3",IF(NOT(EXACT(INDEX($DR$5:$DR$1003,$EX378),INDEX($DR$5:$DR$1003,$EX379))),"S1 Count Change","S1")))),"")</f>
        <v/>
      </c>
      <c r="FT379">
        <f>IF($EY379="row",INDEX($ES$5:$ES$1003,$EX379),"")</f>
        <v/>
      </c>
      <c r="FU379">
        <f>IF($EY379="row",INDEX($EO$5:$EO$1003,$EX379),0)</f>
        <v/>
      </c>
      <c r="FV379">
        <f>IF($FS379="S1 Count Change",1,0)</f>
        <v/>
      </c>
    </row>
    <row r="380">
      <c r="DA380" t="n">
        <v>376</v>
      </c>
      <c r="DB380">
        <f>IF($B$37=0,"",IFERROR(TRIM(SUBSTITUTE(SUBSTITUTE(SUBSTITUTE(SUBSTITUTE(INDEX(PASTE_ALL,376,$B$37)," "," "),CHAR(9)," "),CHAR(10)," "),CHAR(13)," ")),""))</f>
        <v/>
      </c>
      <c r="DC380">
        <f>IF(AND(376&gt;HEADER_ROW,UPPER(DB380)="LEGEND"),1,0)</f>
        <v/>
      </c>
      <c r="DE380" t="n">
        <v>376</v>
      </c>
      <c r="DF380">
        <f>HEADER_ROW+$DE380</f>
        <v/>
      </c>
      <c r="DG380">
        <f>IF(AND($DF380&lt;=1000,$DF380&lt;$B$8),1,0)</f>
        <v/>
      </c>
      <c r="DH380">
        <f>IF($DG380=1,IFERROR(INDEX($DB$5:$DB$1004,$DF380),""),"")</f>
        <v/>
      </c>
      <c r="DI380">
        <f>IF(AND($DG380=1,$DH380&lt;&gt;""),IFERROR(SUBSTITUTE(SUBSTITUTE(TRIM(SUBSTITUTE(SUBSTITUTE(SUBSTITUTE(SUBSTITUTE(IFERROR(INDEX(PASTE_ALL,$DF380,1)&amp;"","")&amp;"␟"&amp;IFERROR(INDEX(PASTE_ALL,$DF380,2)&amp;"","")&amp;"␟"&amp;IFERROR(INDEX(PASTE_ALL,$DF380,3)&amp;"","")&amp;"␟"&amp;IFERROR(INDEX(PASTE_ALL,$DF380,4)&amp;"","")&amp;"␟"&amp;IFERROR(INDEX(PASTE_ALL,$DF380,5)&amp;"","")&amp;"␟"&amp;IFERROR(INDEX(PASTE_ALL,$DF380,6)&amp;"","")&amp;"␟"&amp;IFERROR(INDEX(PASTE_ALL,$DF380,7)&amp;"","")&amp;"␟"&amp;IFERROR(INDEX(PASTE_ALL,$DF380,8)&amp;"","")&amp;"␟"&amp;IFERROR(INDEX(PASTE_ALL,$DF380,9)&amp;"","")&amp;"␟"&amp;IFERROR(INDEX(PASTE_ALL,$DF380,10)&amp;"","")&amp;"␟"&amp;IFERROR(INDEX(PASTE_ALL,$DF380,11)&amp;"","")&amp;"␟"&amp;IFERROR(INDEX(PASTE_ALL,$DF380,12)&amp;"","")&amp;"␟"&amp;IFERROR(INDEX(PASTE_ALL,$DF380,13)&amp;"","")&amp;"␟"&amp;IFERROR(INDEX(PASTE_ALL,$DF380,14)&amp;"","")&amp;"␟"&amp;IFERROR(INDEX(PASTE_ALL,$DF380,15)&amp;"","")&amp;"␟"&amp;IFERROR(INDEX(PASTE_ALL,$DF380,16)&amp;"","")&amp;"␟"&amp;IFERROR(INDEX(PASTE_ALL,$DF380,17)&amp;"","")&amp;"␟"&amp;IFERROR(INDEX(PASTE_ALL,$DF380,18)&amp;"","")&amp;"␟"&amp;IFERROR(INDEX(PASTE_ALL,$DF380,19)&amp;"","")&amp;"␟"&amp;IFERROR(INDEX(PASTE_ALL,$DF380,20)&amp;"","")&amp;"␟"&amp;IFERROR(INDEX(PASTE_ALL,$DF380,21)&amp;"","")&amp;"␟"&amp;IFERROR(INDEX(PASTE_ALL,$DF380,22)&amp;"","")&amp;"␟"&amp;IFERROR(INDEX(PASTE_ALL,$DF380,23)&amp;"","")&amp;"␟"&amp;IFERROR(INDEX(PASTE_ALL,$DF380,24)&amp;"","")&amp;"␟"&amp;IFERROR(INDEX(PASTE_ALL,$DF380,25)&amp;"","")&amp;"␟"&amp;IFERROR(INDEX(PASTE_ALL,$DF380,26)&amp;"","")&amp;"␟"&amp;IFERROR(INDEX(PASTE_ALL,$DF380,27)&amp;"","")&amp;"␟"&amp;IFERROR(INDEX(PASTE_ALL,$DF380,28)&amp;"","")&amp;"␟"&amp;IFERROR(INDEX(PASTE_ALL,$DF380,29)&amp;"","")&amp;"␟"&amp;IFERROR(INDEX(PASTE_ALL,$DF380,30)&amp;"","")&amp;"␟"&amp;IFERROR(INDEX(PASTE_ALL,$DF380,31)&amp;"","")&amp;"␟"&amp;IFERROR(INDEX(PASTE_ALL,$DF380,32)&amp;"","")&amp;"␟"&amp;IFERROR(INDEX(PASTE_ALL,$DF380,33)&amp;"","")&amp;"␟"&amp;IFERROR(INDEX(PASTE_ALL,$DF380,34)&amp;"","")&amp;"␟"&amp;IFERROR(INDEX(PASTE_ALL,$DF380,35)&amp;"","")&amp;"␟"&amp;IFERROR(INDEX(PASTE_ALL,$DF380,36)&amp;"","")&amp;"␟"&amp;IFERROR(INDEX(PASTE_ALL,$DF380,37)&amp;"","")&amp;"␟"&amp;IFERROR(INDEX(PASTE_ALL,$DF380,38)&amp;"","")&amp;"␟"&amp;IFERROR(INDEX(PASTE_ALL,$DF380,39)&amp;"","")&amp;"␟"&amp;IFERROR(INDEX(PASTE_ALL,$DF380,40)&amp;"","")&amp;"␟"&amp;IFERROR(INDEX(PASTE_ALL,$DF380,41)&amp;"","")&amp;"␟"&amp;IFERROR(INDEX(PASTE_ALL,$DF380,42)&amp;"","")&amp;"␟"&amp;IFERROR(INDEX(PASTE_ALL,$DF380,43)&amp;"","")&amp;"␟"&amp;IFERROR(INDEX(PASTE_ALL,$DF380,44)&amp;"","")&amp;"␟"&amp;IFERROR(INDEX(PASTE_ALL,$DF380,45)&amp;"","")&amp;"␟"&amp;IFERROR(INDEX(PASTE_ALL,$DF380,46)&amp;"","")&amp;"␟"&amp;IFERROR(INDEX(PASTE_ALL,$DF380,47)&amp;"","")&amp;"␟"&amp;IFERROR(INDEX(PASTE_ALL,$DF380,48)&amp;"","")&amp;"␟"&amp;IFERROR(INDEX(PASTE_ALL,$DF380,49)&amp;"","")&amp;"␟"&amp;IFERROR(INDEX(PASTE_ALL,$DF380,50)&amp;"","")&amp;"␟"&amp;IFERROR(INDEX(PASTE_ALL,$DF380,51)&amp;"","")&amp;"␟"&amp;IFERROR(INDEX(PASTE_ALL,$DF380,52)&amp;"","")&amp;"␟"&amp;IFERROR(INDEX(PASTE_ALL,$DF380,53)&amp;"","")&amp;"␟"&amp;IFERROR(INDEX(PASTE_ALL,$DF380,54)&amp;"","")&amp;"␟"&amp;IFERROR(INDEX(PASTE_ALL,$DF380,55)&amp;"","")&amp;"␟"&amp;IFERROR(INDEX(PASTE_ALL,$DF380,56)&amp;"","")&amp;"␟"&amp;IFERROR(INDEX(PASTE_ALL,$DF380,57)&amp;"","")&amp;"␟"&amp;IFERROR(INDEX(PASTE_ALL,$DF380,58)&amp;"","")&amp;"␟"&amp;IFERROR(INDEX(PASTE_ALL,$DF380,59)&amp;"","")&amp;"␟"&amp;IFERROR(INDEX(PASTE_ALL,$DF380,60)&amp;"","")," "," "),CHAR(9)," "),CHAR(10)," "),CHAR(13)," "))," ␟","␟"),"␟ ","␟"),"#"&amp;$DE380),"")</f>
        <v/>
      </c>
      <c r="DJ380">
        <f>IF($DI380="",0,IF(SUMPRODUCT(--EXACT($DI$4:DI379,$DI380))&gt;0,1,0))</f>
        <v/>
      </c>
      <c r="DK380">
        <f>IF(AND($DI380&lt;&gt;"",$DJ380=0),1,0)</f>
        <v/>
      </c>
      <c r="DL380">
        <f>DL379+$DK380</f>
        <v/>
      </c>
      <c r="DM380">
        <f>IF(AND($DK380=1,$DL380&lt;=600),1,0)</f>
        <v/>
      </c>
      <c r="DN380">
        <f>IF($DM380=0,"",IF($L$6=0,"",IFERROR(IF(ISNUMBER(INDEX(PASTE_ALL,$DF380,$L$6)),INDEX(PASTE_ALL,$DF380,$L$6),TRIM(SUBSTITUTE(SUBSTITUTE(SUBSTITUTE(SUBSTITUTE(INDEX(PASTE_ALL,$DF380,$L$6)," "," "),CHAR(9)," "),CHAR(10)," "),CHAR(13)," "))),"")))</f>
        <v/>
      </c>
      <c r="DO380">
        <f>IF($DM380=0,"",IF($L$7=0,"",IFERROR(IF(ISNUMBER(INDEX(PASTE_ALL,$DF380,$L$7)),INDEX(PASTE_ALL,$DF380,$L$7),TRIM(SUBSTITUTE(SUBSTITUTE(SUBSTITUTE(SUBSTITUTE(INDEX(PASTE_ALL,$DF380,$L$7)," "," "),CHAR(9)," "),CHAR(10)," "),CHAR(13)," "))),"")))</f>
        <v/>
      </c>
      <c r="DP380">
        <f>IF($DM380=0,"",IF($L$8=0,"",IFERROR(IF(ISNUMBER(INDEX(PASTE_ALL,$DF380,$L$8)),INDEX(PASTE_ALL,$DF380,$L$8),TRIM(SUBSTITUTE(SUBSTITUTE(SUBSTITUTE(SUBSTITUTE(INDEX(PASTE_ALL,$DF380,$L$8)," "," "),CHAR(9)," "),CHAR(10)," "),CHAR(13)," "))),"")))</f>
        <v/>
      </c>
      <c r="DQ380">
        <f>IF($DM380=0,"",IF($L$9=0,"",IFERROR(IF(ISNUMBER(INDEX(PASTE_ALL,$DF380,$L$9)),INDEX(PASTE_ALL,$DF380,$L$9),TRIM(SUBSTITUTE(SUBSTITUTE(SUBSTITUTE(SUBSTITUTE(INDEX(PASTE_ALL,$DF380,$L$9)," "," "),CHAR(9)," "),CHAR(10)," "),CHAR(13)," "))),"")))</f>
        <v/>
      </c>
      <c r="DR380">
        <f>IF($DM380=0,"",IF($L$10=0,"",IFERROR(IF(ISNUMBER(INDEX(PASTE_ALL,$DF380,$L$10)),INDEX(PASTE_ALL,$DF380,$L$10),TRIM(SUBSTITUTE(SUBSTITUTE(SUBSTITUTE(SUBSTITUTE(INDEX(PASTE_ALL,$DF380,$L$10)," "," "),CHAR(9)," "),CHAR(10)," "),CHAR(13)," "))),"")))</f>
        <v/>
      </c>
      <c r="DS380">
        <f>IF($DM380=0,"",IF($L$11=0,"",IFERROR(IF(ISNUMBER(INDEX(PASTE_ALL,$DF380,$L$11)),INDEX(PASTE_ALL,$DF380,$L$11),TRIM(SUBSTITUTE(SUBSTITUTE(SUBSTITUTE(SUBSTITUTE(INDEX(PASTE_ALL,$DF380,$L$11)," "," "),CHAR(9)," "),CHAR(10)," "),CHAR(13)," "))),"")))</f>
        <v/>
      </c>
      <c r="DT380">
        <f>IF($DM380=0,"",IF($L$12=0,"",IFERROR(IF(ISNUMBER(INDEX(PASTE_ALL,$DF380,$L$12)),INDEX(PASTE_ALL,$DF380,$L$12),TRIM(SUBSTITUTE(SUBSTITUTE(SUBSTITUTE(SUBSTITUTE(INDEX(PASTE_ALL,$DF380,$L$12)," "," "),CHAR(9)," "),CHAR(10)," "),CHAR(13)," "))),"")))</f>
        <v/>
      </c>
      <c r="DU380">
        <f>IF($DM380=0,"",IF($L$13=0,"",IFERROR(IF(ISNUMBER(INDEX(PASTE_ALL,$DF380,$L$13)),INDEX(PASTE_ALL,$DF380,$L$13),TRIM(SUBSTITUTE(SUBSTITUTE(SUBSTITUTE(SUBSTITUTE(INDEX(PASTE_ALL,$DF380,$L$13)," "," "),CHAR(9)," "),CHAR(10)," "),CHAR(13)," "))),"")))</f>
        <v/>
      </c>
      <c r="DV380">
        <f>IF($DM380=0,"",IF($L$14=0,"",IFERROR(IF(ISNUMBER(INDEX(PASTE_ALL,$DF380,$L$14)),INDEX(PASTE_ALL,$DF380,$L$14),TRIM(SUBSTITUTE(SUBSTITUTE(SUBSTITUTE(SUBSTITUTE(INDEX(PASTE_ALL,$DF380,$L$14)," "," "),CHAR(9)," "),CHAR(10)," "),CHAR(13)," "))),"")))</f>
        <v/>
      </c>
      <c r="DW380">
        <f>IF($DM380=0,"",IF($L$15=0,"",IFERROR(IF(ISNUMBER(INDEX(PASTE_ALL,$DF380,$L$15)),INDEX(PASTE_ALL,$DF380,$L$15),IF(SUMPRODUCT(--ISNUMBER(FIND({"A","B","C","D","E","F","G","H","I","J","K","L","M","N","O","P","Q","R","S","T","U","V","W","X","Y","Z","0","1","2","3","4","5","6","7","8","9"},UPPER(TRIM(SUBSTITUTE(SUBSTITUTE(SUBSTITUTE(SUBSTITUTE(INDEX(PASTE_ALL,$DF380,$L$15)," "," "),CHAR(9)," "),CHAR(10)," "),CHAR(13)," "))))))&gt;0,TRIM(SUBSTITUTE(SUBSTITUTE(SUBSTITUTE(SUBSTITUTE(INDEX(PASTE_ALL,$DF380,$L$15)," "," "),CHAR(9)," "),CHAR(10)," "),CHAR(13)," ")),"")),"")))</f>
        <v/>
      </c>
      <c r="DX380">
        <f>IF($DM380=0,"",IF($L$16=0,"",IFERROR(IF(ISNUMBER(INDEX(PASTE_ALL,$DF380,$L$16)),INDEX(PASTE_ALL,$DF380,$L$16),SUBSTITUTE(SUBSTITUTE(TRIM(SUBSTITUTE(SUBSTITUTE(SUBSTITUTE(SUBSTITUTE(INDEX(PASTE_ALL,$DF380,$L$16)," "," "),CHAR(9)," "),CHAR(10)," "),CHAR(13)," ")),",",""),"%","")),"")))</f>
        <v/>
      </c>
      <c r="DY380">
        <f>IF($DM380=0,"",IFERROR(IF(ISNUMBER($DX380),$DX380,IF($DX380="","",IF(TRIM($DX380)="",0,IF(AND(AND(SUBSTITUTE(SUBSTITUTE(SUBSTITUTE(SUBSTITUTE(SUBSTITUTE(SUBSTITUTE(SUBSTITUTE(SUBSTITUTE(SUBSTITUTE(SUBSTITUTE(SUBSTITUTE(SUBSTITUTE(SUBSTITUTE(SUBSTITUTE(UPPER(TRIM($DX380)),"0",""),"1",""),"2",""),"3",""),"4",""),"5",""),"6",""),"7",""),"8",""),"9",""),".",""),"+",""),"-",""),"E","")="",LEN(SUBSTITUTE(SUBSTITUTE(MID(UPPER(TRIM($DX380)),1+OR(LEFT(UPPER(TRIM($DX380)),1)="+",LEFT(UPPER(TRIM($DX380)),1)="-"),999),"E+","E"),"E-","E"))=LEN(SUBSTITUTE(SUBSTITUTE(SUBSTITUTE(SUBSTITUTE(MID(UPPER(TRIM($DX380)),1+OR(LEFT(UPPER(TRIM($DX380)),1)="+",LEFT(UPPER(TRIM($DX380)),1)="-"),999),"E+","E"),"E-","E"),"+",""),"-","")),LEN(UPPER(TRIM($DX380)))-LEN(SUBSTITUTE(UPPER(TRIM($DX380)),"E",""))&lt;2,LEN(UPPER(TRIM($DX380)))-LEN(SUBSTITUTE(UPPER(TRIM($DX380)),".",""))&lt;2,IFERROR(FIND(".",UPPER(TRIM($DX380))),0)&lt;IFERROR(FIND("E",UPPER(TRIM($DX380))),999)),ISNUMBER(VALUE(TRIM($DX380)))),VALUE(TRIM($DX380)),"")))),""))</f>
        <v/>
      </c>
      <c r="DZ380">
        <f>IF($DM380=0,"",IF($L$17=0,"",IFERROR(IF(ISNUMBER(INDEX(PASTE_ALL,$DF380,$L$17)),INDEX(PASTE_ALL,$DF380,$L$17),SUBSTITUTE(SUBSTITUTE(TRIM(SUBSTITUTE(SUBSTITUTE(SUBSTITUTE(SUBSTITUTE(INDEX(PASTE_ALL,$DF380,$L$17)," "," "),CHAR(9)," "),CHAR(10)," "),CHAR(13)," ")),",",""),"%","")),"")))</f>
        <v/>
      </c>
      <c r="EA380">
        <f>IF($DM380=0,"",IFERROR(IF(ISNUMBER($DZ380),$DZ380,IF($DZ380="","",IF(TRIM($DZ380)="",0,IF(AND(AND(SUBSTITUTE(SUBSTITUTE(SUBSTITUTE(SUBSTITUTE(SUBSTITUTE(SUBSTITUTE(SUBSTITUTE(SUBSTITUTE(SUBSTITUTE(SUBSTITUTE(SUBSTITUTE(SUBSTITUTE(SUBSTITUTE(SUBSTITUTE(UPPER(TRIM($DZ380)),"0",""),"1",""),"2",""),"3",""),"4",""),"5",""),"6",""),"7",""),"8",""),"9",""),".",""),"+",""),"-",""),"E","")="",LEN(SUBSTITUTE(SUBSTITUTE(MID(UPPER(TRIM($DZ380)),1+OR(LEFT(UPPER(TRIM($DZ380)),1)="+",LEFT(UPPER(TRIM($DZ380)),1)="-"),999),"E+","E"),"E-","E"))=LEN(SUBSTITUTE(SUBSTITUTE(SUBSTITUTE(SUBSTITUTE(MID(UPPER(TRIM($DZ380)),1+OR(LEFT(UPPER(TRIM($DZ380)),1)="+",LEFT(UPPER(TRIM($DZ380)),1)="-"),999),"E+","E"),"E-","E"),"+",""),"-","")),LEN(UPPER(TRIM($DZ380)))-LEN(SUBSTITUTE(UPPER(TRIM($DZ380)),"E",""))&lt;2,LEN(UPPER(TRIM($DZ380)))-LEN(SUBSTITUTE(UPPER(TRIM($DZ380)),".",""))&lt;2,IFERROR(FIND(".",UPPER(TRIM($DZ380))),0)&lt;IFERROR(FIND("E",UPPER(TRIM($DZ380))),999)),ISNUMBER(VALUE(TRIM($DZ380)))),VALUE(TRIM($DZ380)),"")))),""))</f>
        <v/>
      </c>
      <c r="EB380">
        <f>IF($DM380=0,"",IF($L$18=0,"",IFERROR(IF(UPPER(TRIM(SUBSTITUTE(SUBSTITUTE(SUBSTITUTE(SUBSTITUTE(INDEX(PASTE_ALL,$DF380,$L$18)," "," "),CHAR(9)," "),CHAR(10)," "),CHAR(13)," ")))="READY","Ready",IF(UPPER(TRIM(SUBSTITUTE(SUBSTITUTE(SUBSTITUTE(SUBSTITUTE(INDEX(PASTE_ALL,$DF380,$L$18)," "," "),CHAR(9)," "),CHAR(10)," "),CHAR(13)," ")))="PM","PM",IF(OR(UPPER(TRIM(SUBSTITUTE(SUBSTITUTE(SUBSTITUTE(SUBSTITUTE(INDEX(PASTE_ALL,$DF380,$L$18)," "," "),CHAR(9)," "),CHAR(10)," "),CHAR(13)," ")))="OT",UPPER(TRIM(SUBSTITUTE(SUBSTITUTE(SUBSTITUTE(SUBSTITUTE(INDEX(PASTE_ALL,$DF380,$L$18)," "," "),CHAR(9)," "),CHAR(10)," "),CHAR(13)," ")))="OVERTIME",UPPER(TRIM(SUBSTITUTE(SUBSTITUTE(SUBSTITUTE(SUBSTITUTE(INDEX(PASTE_ALL,$DF380,$L$18)," "," "),CHAR(9)," "),CHAR(10)," "),CHAR(13)," ")))="TRIAL"),"OT",TRIM(SUBSTITUTE(SUBSTITUTE(SUBSTITUTE(SUBSTITUTE(INDEX(PASTE_ALL,$DF380,$L$18)," "," "),CHAR(9)," "),CHAR(10)," "),CHAR(13)," "))))),"")))</f>
        <v/>
      </c>
      <c r="EC380">
        <f>IF($DM380=0,"",IF($L$19=0,"",IFERROR(IF(ISNUMBER(INDEX(PASTE_ALL,$DF380,$L$19)),INDEX(PASTE_ALL,$DF380,$L$19),TRIM(SUBSTITUTE(SUBSTITUTE(SUBSTITUTE(SUBSTITUTE(INDEX(PASTE_ALL,$DF380,$L$19)," "," "),CHAR(9)," "),CHAR(10)," "),CHAR(13)," "))),"")))</f>
        <v/>
      </c>
      <c r="ED380">
        <f>IF($DM380=0,"",MATCH(1,INDEX(EXACT($DH$5:DH380,$DH380)*$DM$5:DM380,0),0))</f>
        <v/>
      </c>
      <c r="EE380">
        <f>IF($DM380=0,0,IF($ED380=$DE380,1,0))</f>
        <v/>
      </c>
      <c r="EF380">
        <f>EF379+$EE380</f>
        <v/>
      </c>
      <c r="EG380">
        <f>IF($DM380=0,"",INDEX($EF$5:$EF$1003,$ED380))</f>
        <v/>
      </c>
      <c r="EH380">
        <f>IF($DM380=0,"",IF($DO380&lt;&gt;"","",IFERROR(LOOKUP(2,1/(($EG$4:EG379=$EG380)*($DO$4:DO379&lt;&gt;"")),$DO$4:DO379),"")))</f>
        <v/>
      </c>
      <c r="EI380">
        <f>IF($DM380=0,"",IF($DO380&lt;&gt;"",$DO380,$EH380))</f>
        <v/>
      </c>
      <c r="EJ380">
        <f>IF($DM380=0,"",IF($EI380="",0,IF(OR(ISNUMBER($EI380),AND(AND(SUBSTITUTE(SUBSTITUTE(SUBSTITUTE(SUBSTITUTE(SUBSTITUTE(SUBSTITUTE(SUBSTITUTE(SUBSTITUTE(SUBSTITUTE(SUBSTITUTE(SUBSTITUTE(SUBSTITUTE(SUBSTITUTE(SUBSTITUTE(UPPER($EI380),"0",""),"1",""),"2",""),"3",""),"4",""),"5",""),"6",""),"7",""),"8",""),"9",""),".",""),"+",""),"-",""),"E","")="",LEN(SUBSTITUTE(SUBSTITUTE(MID(UPPER($EI380),1+OR(LEFT(UPPER($EI380),1)="+",LEFT(UPPER($EI380),1)="-"),999),"E+","E"),"E-","E"))=LEN(SUBSTITUTE(SUBSTITUTE(SUBSTITUTE(SUBSTITUTE(MID(UPPER($EI380),1+OR(LEFT(UPPER($EI380),1)="+",LEFT(UPPER($EI380),1)="-"),999),"E+","E"),"E-","E"),"+",""),"-","")),LEN(UPPER($EI380))-LEN(SUBSTITUTE(UPPER($EI380),"E",""))&lt;2,LEN(UPPER($EI380))-LEN(SUBSTITUTE(UPPER($EI380),".",""))&lt;2,IFERROR(FIND(".",UPPER($EI380)),0)&lt;IFERROR(FIND("E",UPPER($EI380)),999)),ISNUMBER(VALUE($EI380)))),1,2)))</f>
        <v/>
      </c>
      <c r="EK380">
        <f>IF($DM380=0,"",IF($EJ380=1,IF(ISNUMBER($EI380),$EI380,VALUE($EI380)),IF($EJ380=2,$DE380,0)))</f>
        <v/>
      </c>
      <c r="EL380">
        <f>IF($DM380=0,"",COUNTIF($EG$5:$EG$1003,"&lt;"&amp;$EG380)+SUMPRODUCT(($EG$5:$EG$1003=$EG380)*(($EJ$5:$EJ$1003&lt;$EJ380)+($EJ$5:$EJ$1003=$EJ380)*(($EK$5:$EK$1003&lt;$EK380)+($EK$5:$EK$1003=$EK380)*($DE$5:$DE$1003&lt;$DE380))))+1)</f>
        <v/>
      </c>
      <c r="EM380">
        <f>IF($DM380=0,"",$EL380+$EG380-1)</f>
        <v/>
      </c>
      <c r="EN380">
        <f>IF($DM380=0,0,IFERROR(MATCH(1,INDEX(--(TRIM(SUBSTITUTE(SUBSTITUTE(SUBSTITUTE(SUBSTITUTE(LINES_NAME&amp;""," "," "),CHAR(9)," "),CHAR(10)," "),CHAR(13)," "))=$DH380),0),0),0))</f>
        <v/>
      </c>
      <c r="EO380">
        <f>IF($EN380=0,0,IF(OR(UPPER(TRIM(INDEX(LINES_SCHEDULED,$EN380)&amp;""))="YES",UPPER(TRIM(INDEX(LINES_SCHEDULED,$EN380)&amp;""))="Y",UPPER(TRIM(INDEX(LINES_SCHEDULED,$EN380)&amp;""))="X"),1,0))</f>
        <v/>
      </c>
      <c r="EP380">
        <f>IF($DM380=0,"",IF(COUNTIFS($EG$5:$EG$1003,$EG380,$EB$5:$EB$1003,"Ready")&gt;0,"READY",IF(COUNTIFS($EG$5:$EG$1003,$EG380,$EB$5:$EB$1003,"PM")&gt;0,"PM",IF(COUNTIFS($EG$5:$EG$1003,$EG380,$EB$5:$EB$1003,"OT")&gt;0,"OT",""))))</f>
        <v/>
      </c>
      <c r="EQ380">
        <f>IF($EN380=0,"",UPPER(TRIM(INDEX(LINES_STATUS,$EN380)&amp;"")))</f>
        <v/>
      </c>
      <c r="ER380">
        <f>IF($DM380=0,"",IF(OR($EQ380="READY",$EQ380="PM",$EQ380="OT"),$EQ380,$EP380))</f>
        <v/>
      </c>
      <c r="ES380">
        <f>IF($DM380=0,"",IF(AND($DV380&lt;&gt;"",UPPER($DV380)&lt;&gt;"N"),"allergen",IF(ISNUMBER(SEARCH("oil",$DQ380)),"oil",IF(OR(EXACT($DS380,"A662"),EXACT($DS380,"A624")),"bulk",""))))</f>
        <v/>
      </c>
      <c r="ET380">
        <f>IF($DM380=0,"",IF(OR($EA380="",$EA380=0),"",$EA380/100))</f>
        <v/>
      </c>
      <c r="EU380">
        <f>IF(OR($ET380="",$DY380=""),"",INT($DY380*(1-$ET380)+0.5))</f>
        <v/>
      </c>
      <c r="EW380" t="n">
        <v>376</v>
      </c>
      <c r="EX380">
        <f>IFERROR(MATCH($EW380,$EM$5:$EM$1003,0),0)</f>
        <v/>
      </c>
      <c r="EY380">
        <f>IF($EW380&gt;$B$12,"",IF($EX380&gt;0,"row","spacer"))</f>
        <v/>
      </c>
      <c r="EZ380">
        <f>IF(AND($EY380="row",$EY379&lt;&gt;"row"),1,0)</f>
        <v/>
      </c>
      <c r="FA380">
        <f>IF(AND($EY380="row",$EY381&lt;&gt;"row"),1,0)</f>
        <v/>
      </c>
      <c r="FB380">
        <f>IF($EZ380=1,IFERROR(IF(ISNUMBER(INDEX(PASTE_ALL,INDEX($DF$5:$DF$1003,$EX380),$B$37)),INDEX(PASTE_ALL,INDEX($DF$5:$DF$1003,$EX380),$B$37),INDEX($DH$5:$DH$1003,$EX380)),INDEX($DH$5:$DH$1003,$EX380)),"")</f>
        <v/>
      </c>
      <c r="FC380">
        <f>IF($EY380="row",INDEX($ER$5:$ER$1003,$EX380),"")</f>
        <v/>
      </c>
      <c r="FD380">
        <f>IF($EY380="row",INDEX($DN$5:$DN$1003,$EX380),"")</f>
        <v/>
      </c>
      <c r="FE380">
        <f>IF($EY380="row",INDEX($DO$5:$DO$1003,$EX380),"")</f>
        <v/>
      </c>
      <c r="FF380">
        <f>IF($EY380="row",INDEX($DP$5:$DP$1003,$EX380),"")</f>
        <v/>
      </c>
      <c r="FG380">
        <f>IF($EY380="row",INDEX($DQ$5:$DQ$1003,$EX380),"")</f>
        <v/>
      </c>
      <c r="FH380">
        <f>IF($EY380="row",INDEX($DR$5:$DR$1003,$EX380),"")</f>
        <v/>
      </c>
      <c r="FI380">
        <f>IF($EY380="row",INDEX($DS$5:$DS$1003,$EX380),"")</f>
        <v/>
      </c>
      <c r="FJ380">
        <f>IF($EY380="row",INDEX($DT$5:$DT$1003,$EX380),"")</f>
        <v/>
      </c>
      <c r="FK380">
        <f>IF($EY380="row",INDEX($DU$5:$DU$1003,$EX380),"")</f>
        <v/>
      </c>
      <c r="FL380">
        <f>IF($EY380="row",INDEX($DV$5:$DV$1003,$EX380),"")</f>
        <v/>
      </c>
      <c r="FM380">
        <f>IF($EY380="row",INDEX($DW$5:$DW$1003,$EX380),"")</f>
        <v/>
      </c>
      <c r="FN380">
        <f>IF($EY380="row",INDEX($DY$5:$DY$1003,$EX380),"")</f>
        <v/>
      </c>
      <c r="FO380">
        <f>IF($EY380="row",INDEX($EA$5:$EA$1003,$EX380),"")</f>
        <v/>
      </c>
      <c r="FP380">
        <f>IF($EY380="row",INDEX($EC$5:$EC$1003,$EX380),"")</f>
        <v/>
      </c>
      <c r="FQ380">
        <f>IF($EY380="row",INDEX($ET$5:$ET$1003,$EX380),"")</f>
        <v/>
      </c>
      <c r="FR380">
        <f>IF($EY380="row",INDEX($EU$5:$EU$1003,$EX380),"")</f>
        <v/>
      </c>
      <c r="FS380">
        <f>IF(AND($EY380="row",$EY379="row"),IF(OR(INDEX($DT$5:$DT$1003,$EX379)="",INDEX($DT$5:$DT$1003,$EX380)=""),"",IF(NOT(EXACT(INDEX($DT$5:$DT$1003,$EX379),INDEX($DT$5:$DT$1003,$EX380))),"S4",IF(NOT(EXACT(INDEX($DS$5:$DS$1003,$EX379),INDEX($DS$5:$DS$1003,$EX380))),"S3",IF(NOT(EXACT(INDEX($DR$5:$DR$1003,$EX379),INDEX($DR$5:$DR$1003,$EX380))),"S1 Count Change","S1")))),"")</f>
        <v/>
      </c>
      <c r="FT380">
        <f>IF($EY380="row",INDEX($ES$5:$ES$1003,$EX380),"")</f>
        <v/>
      </c>
      <c r="FU380">
        <f>IF($EY380="row",INDEX($EO$5:$EO$1003,$EX380),0)</f>
        <v/>
      </c>
      <c r="FV380">
        <f>IF($FS380="S1 Count Change",1,0)</f>
        <v/>
      </c>
    </row>
    <row r="381">
      <c r="DA381" t="n">
        <v>377</v>
      </c>
      <c r="DB381">
        <f>IF($B$37=0,"",IFERROR(TRIM(SUBSTITUTE(SUBSTITUTE(SUBSTITUTE(SUBSTITUTE(INDEX(PASTE_ALL,377,$B$37)," "," "),CHAR(9)," "),CHAR(10)," "),CHAR(13)," ")),""))</f>
        <v/>
      </c>
      <c r="DC381">
        <f>IF(AND(377&gt;HEADER_ROW,UPPER(DB381)="LEGEND"),1,0)</f>
        <v/>
      </c>
      <c r="DE381" t="n">
        <v>377</v>
      </c>
      <c r="DF381">
        <f>HEADER_ROW+$DE381</f>
        <v/>
      </c>
      <c r="DG381">
        <f>IF(AND($DF381&lt;=1000,$DF381&lt;$B$8),1,0)</f>
        <v/>
      </c>
      <c r="DH381">
        <f>IF($DG381=1,IFERROR(INDEX($DB$5:$DB$1004,$DF381),""),"")</f>
        <v/>
      </c>
      <c r="DI381">
        <f>IF(AND($DG381=1,$DH381&lt;&gt;""),IFERROR(SUBSTITUTE(SUBSTITUTE(TRIM(SUBSTITUTE(SUBSTITUTE(SUBSTITUTE(SUBSTITUTE(IFERROR(INDEX(PASTE_ALL,$DF381,1)&amp;"","")&amp;"␟"&amp;IFERROR(INDEX(PASTE_ALL,$DF381,2)&amp;"","")&amp;"␟"&amp;IFERROR(INDEX(PASTE_ALL,$DF381,3)&amp;"","")&amp;"␟"&amp;IFERROR(INDEX(PASTE_ALL,$DF381,4)&amp;"","")&amp;"␟"&amp;IFERROR(INDEX(PASTE_ALL,$DF381,5)&amp;"","")&amp;"␟"&amp;IFERROR(INDEX(PASTE_ALL,$DF381,6)&amp;"","")&amp;"␟"&amp;IFERROR(INDEX(PASTE_ALL,$DF381,7)&amp;"","")&amp;"␟"&amp;IFERROR(INDEX(PASTE_ALL,$DF381,8)&amp;"","")&amp;"␟"&amp;IFERROR(INDEX(PASTE_ALL,$DF381,9)&amp;"","")&amp;"␟"&amp;IFERROR(INDEX(PASTE_ALL,$DF381,10)&amp;"","")&amp;"␟"&amp;IFERROR(INDEX(PASTE_ALL,$DF381,11)&amp;"","")&amp;"␟"&amp;IFERROR(INDEX(PASTE_ALL,$DF381,12)&amp;"","")&amp;"␟"&amp;IFERROR(INDEX(PASTE_ALL,$DF381,13)&amp;"","")&amp;"␟"&amp;IFERROR(INDEX(PASTE_ALL,$DF381,14)&amp;"","")&amp;"␟"&amp;IFERROR(INDEX(PASTE_ALL,$DF381,15)&amp;"","")&amp;"␟"&amp;IFERROR(INDEX(PASTE_ALL,$DF381,16)&amp;"","")&amp;"␟"&amp;IFERROR(INDEX(PASTE_ALL,$DF381,17)&amp;"","")&amp;"␟"&amp;IFERROR(INDEX(PASTE_ALL,$DF381,18)&amp;"","")&amp;"␟"&amp;IFERROR(INDEX(PASTE_ALL,$DF381,19)&amp;"","")&amp;"␟"&amp;IFERROR(INDEX(PASTE_ALL,$DF381,20)&amp;"","")&amp;"␟"&amp;IFERROR(INDEX(PASTE_ALL,$DF381,21)&amp;"","")&amp;"␟"&amp;IFERROR(INDEX(PASTE_ALL,$DF381,22)&amp;"","")&amp;"␟"&amp;IFERROR(INDEX(PASTE_ALL,$DF381,23)&amp;"","")&amp;"␟"&amp;IFERROR(INDEX(PASTE_ALL,$DF381,24)&amp;"","")&amp;"␟"&amp;IFERROR(INDEX(PASTE_ALL,$DF381,25)&amp;"","")&amp;"␟"&amp;IFERROR(INDEX(PASTE_ALL,$DF381,26)&amp;"","")&amp;"␟"&amp;IFERROR(INDEX(PASTE_ALL,$DF381,27)&amp;"","")&amp;"␟"&amp;IFERROR(INDEX(PASTE_ALL,$DF381,28)&amp;"","")&amp;"␟"&amp;IFERROR(INDEX(PASTE_ALL,$DF381,29)&amp;"","")&amp;"␟"&amp;IFERROR(INDEX(PASTE_ALL,$DF381,30)&amp;"","")&amp;"␟"&amp;IFERROR(INDEX(PASTE_ALL,$DF381,31)&amp;"","")&amp;"␟"&amp;IFERROR(INDEX(PASTE_ALL,$DF381,32)&amp;"","")&amp;"␟"&amp;IFERROR(INDEX(PASTE_ALL,$DF381,33)&amp;"","")&amp;"␟"&amp;IFERROR(INDEX(PASTE_ALL,$DF381,34)&amp;"","")&amp;"␟"&amp;IFERROR(INDEX(PASTE_ALL,$DF381,35)&amp;"","")&amp;"␟"&amp;IFERROR(INDEX(PASTE_ALL,$DF381,36)&amp;"","")&amp;"␟"&amp;IFERROR(INDEX(PASTE_ALL,$DF381,37)&amp;"","")&amp;"␟"&amp;IFERROR(INDEX(PASTE_ALL,$DF381,38)&amp;"","")&amp;"␟"&amp;IFERROR(INDEX(PASTE_ALL,$DF381,39)&amp;"","")&amp;"␟"&amp;IFERROR(INDEX(PASTE_ALL,$DF381,40)&amp;"","")&amp;"␟"&amp;IFERROR(INDEX(PASTE_ALL,$DF381,41)&amp;"","")&amp;"␟"&amp;IFERROR(INDEX(PASTE_ALL,$DF381,42)&amp;"","")&amp;"␟"&amp;IFERROR(INDEX(PASTE_ALL,$DF381,43)&amp;"","")&amp;"␟"&amp;IFERROR(INDEX(PASTE_ALL,$DF381,44)&amp;"","")&amp;"␟"&amp;IFERROR(INDEX(PASTE_ALL,$DF381,45)&amp;"","")&amp;"␟"&amp;IFERROR(INDEX(PASTE_ALL,$DF381,46)&amp;"","")&amp;"␟"&amp;IFERROR(INDEX(PASTE_ALL,$DF381,47)&amp;"","")&amp;"␟"&amp;IFERROR(INDEX(PASTE_ALL,$DF381,48)&amp;"","")&amp;"␟"&amp;IFERROR(INDEX(PASTE_ALL,$DF381,49)&amp;"","")&amp;"␟"&amp;IFERROR(INDEX(PASTE_ALL,$DF381,50)&amp;"","")&amp;"␟"&amp;IFERROR(INDEX(PASTE_ALL,$DF381,51)&amp;"","")&amp;"␟"&amp;IFERROR(INDEX(PASTE_ALL,$DF381,52)&amp;"","")&amp;"␟"&amp;IFERROR(INDEX(PASTE_ALL,$DF381,53)&amp;"","")&amp;"␟"&amp;IFERROR(INDEX(PASTE_ALL,$DF381,54)&amp;"","")&amp;"␟"&amp;IFERROR(INDEX(PASTE_ALL,$DF381,55)&amp;"","")&amp;"␟"&amp;IFERROR(INDEX(PASTE_ALL,$DF381,56)&amp;"","")&amp;"␟"&amp;IFERROR(INDEX(PASTE_ALL,$DF381,57)&amp;"","")&amp;"␟"&amp;IFERROR(INDEX(PASTE_ALL,$DF381,58)&amp;"","")&amp;"␟"&amp;IFERROR(INDEX(PASTE_ALL,$DF381,59)&amp;"","")&amp;"␟"&amp;IFERROR(INDEX(PASTE_ALL,$DF381,60)&amp;"","")," "," "),CHAR(9)," "),CHAR(10)," "),CHAR(13)," "))," ␟","␟"),"␟ ","␟"),"#"&amp;$DE381),"")</f>
        <v/>
      </c>
      <c r="DJ381">
        <f>IF($DI381="",0,IF(SUMPRODUCT(--EXACT($DI$4:DI380,$DI381))&gt;0,1,0))</f>
        <v/>
      </c>
      <c r="DK381">
        <f>IF(AND($DI381&lt;&gt;"",$DJ381=0),1,0)</f>
        <v/>
      </c>
      <c r="DL381">
        <f>DL380+$DK381</f>
        <v/>
      </c>
      <c r="DM381">
        <f>IF(AND($DK381=1,$DL381&lt;=600),1,0)</f>
        <v/>
      </c>
      <c r="DN381">
        <f>IF($DM381=0,"",IF($L$6=0,"",IFERROR(IF(ISNUMBER(INDEX(PASTE_ALL,$DF381,$L$6)),INDEX(PASTE_ALL,$DF381,$L$6),TRIM(SUBSTITUTE(SUBSTITUTE(SUBSTITUTE(SUBSTITUTE(INDEX(PASTE_ALL,$DF381,$L$6)," "," "),CHAR(9)," "),CHAR(10)," "),CHAR(13)," "))),"")))</f>
        <v/>
      </c>
      <c r="DO381">
        <f>IF($DM381=0,"",IF($L$7=0,"",IFERROR(IF(ISNUMBER(INDEX(PASTE_ALL,$DF381,$L$7)),INDEX(PASTE_ALL,$DF381,$L$7),TRIM(SUBSTITUTE(SUBSTITUTE(SUBSTITUTE(SUBSTITUTE(INDEX(PASTE_ALL,$DF381,$L$7)," "," "),CHAR(9)," "),CHAR(10)," "),CHAR(13)," "))),"")))</f>
        <v/>
      </c>
      <c r="DP381">
        <f>IF($DM381=0,"",IF($L$8=0,"",IFERROR(IF(ISNUMBER(INDEX(PASTE_ALL,$DF381,$L$8)),INDEX(PASTE_ALL,$DF381,$L$8),TRIM(SUBSTITUTE(SUBSTITUTE(SUBSTITUTE(SUBSTITUTE(INDEX(PASTE_ALL,$DF381,$L$8)," "," "),CHAR(9)," "),CHAR(10)," "),CHAR(13)," "))),"")))</f>
        <v/>
      </c>
      <c r="DQ381">
        <f>IF($DM381=0,"",IF($L$9=0,"",IFERROR(IF(ISNUMBER(INDEX(PASTE_ALL,$DF381,$L$9)),INDEX(PASTE_ALL,$DF381,$L$9),TRIM(SUBSTITUTE(SUBSTITUTE(SUBSTITUTE(SUBSTITUTE(INDEX(PASTE_ALL,$DF381,$L$9)," "," "),CHAR(9)," "),CHAR(10)," "),CHAR(13)," "))),"")))</f>
        <v/>
      </c>
      <c r="DR381">
        <f>IF($DM381=0,"",IF($L$10=0,"",IFERROR(IF(ISNUMBER(INDEX(PASTE_ALL,$DF381,$L$10)),INDEX(PASTE_ALL,$DF381,$L$10),TRIM(SUBSTITUTE(SUBSTITUTE(SUBSTITUTE(SUBSTITUTE(INDEX(PASTE_ALL,$DF381,$L$10)," "," "),CHAR(9)," "),CHAR(10)," "),CHAR(13)," "))),"")))</f>
        <v/>
      </c>
      <c r="DS381">
        <f>IF($DM381=0,"",IF($L$11=0,"",IFERROR(IF(ISNUMBER(INDEX(PASTE_ALL,$DF381,$L$11)),INDEX(PASTE_ALL,$DF381,$L$11),TRIM(SUBSTITUTE(SUBSTITUTE(SUBSTITUTE(SUBSTITUTE(INDEX(PASTE_ALL,$DF381,$L$11)," "," "),CHAR(9)," "),CHAR(10)," "),CHAR(13)," "))),"")))</f>
        <v/>
      </c>
      <c r="DT381">
        <f>IF($DM381=0,"",IF($L$12=0,"",IFERROR(IF(ISNUMBER(INDEX(PASTE_ALL,$DF381,$L$12)),INDEX(PASTE_ALL,$DF381,$L$12),TRIM(SUBSTITUTE(SUBSTITUTE(SUBSTITUTE(SUBSTITUTE(INDEX(PASTE_ALL,$DF381,$L$12)," "," "),CHAR(9)," "),CHAR(10)," "),CHAR(13)," "))),"")))</f>
        <v/>
      </c>
      <c r="DU381">
        <f>IF($DM381=0,"",IF($L$13=0,"",IFERROR(IF(ISNUMBER(INDEX(PASTE_ALL,$DF381,$L$13)),INDEX(PASTE_ALL,$DF381,$L$13),TRIM(SUBSTITUTE(SUBSTITUTE(SUBSTITUTE(SUBSTITUTE(INDEX(PASTE_ALL,$DF381,$L$13)," "," "),CHAR(9)," "),CHAR(10)," "),CHAR(13)," "))),"")))</f>
        <v/>
      </c>
      <c r="DV381">
        <f>IF($DM381=0,"",IF($L$14=0,"",IFERROR(IF(ISNUMBER(INDEX(PASTE_ALL,$DF381,$L$14)),INDEX(PASTE_ALL,$DF381,$L$14),TRIM(SUBSTITUTE(SUBSTITUTE(SUBSTITUTE(SUBSTITUTE(INDEX(PASTE_ALL,$DF381,$L$14)," "," "),CHAR(9)," "),CHAR(10)," "),CHAR(13)," "))),"")))</f>
        <v/>
      </c>
      <c r="DW381">
        <f>IF($DM381=0,"",IF($L$15=0,"",IFERROR(IF(ISNUMBER(INDEX(PASTE_ALL,$DF381,$L$15)),INDEX(PASTE_ALL,$DF381,$L$15),IF(SUMPRODUCT(--ISNUMBER(FIND({"A","B","C","D","E","F","G","H","I","J","K","L","M","N","O","P","Q","R","S","T","U","V","W","X","Y","Z","0","1","2","3","4","5","6","7","8","9"},UPPER(TRIM(SUBSTITUTE(SUBSTITUTE(SUBSTITUTE(SUBSTITUTE(INDEX(PASTE_ALL,$DF381,$L$15)," "," "),CHAR(9)," "),CHAR(10)," "),CHAR(13)," "))))))&gt;0,TRIM(SUBSTITUTE(SUBSTITUTE(SUBSTITUTE(SUBSTITUTE(INDEX(PASTE_ALL,$DF381,$L$15)," "," "),CHAR(9)," "),CHAR(10)," "),CHAR(13)," ")),"")),"")))</f>
        <v/>
      </c>
      <c r="DX381">
        <f>IF($DM381=0,"",IF($L$16=0,"",IFERROR(IF(ISNUMBER(INDEX(PASTE_ALL,$DF381,$L$16)),INDEX(PASTE_ALL,$DF381,$L$16),SUBSTITUTE(SUBSTITUTE(TRIM(SUBSTITUTE(SUBSTITUTE(SUBSTITUTE(SUBSTITUTE(INDEX(PASTE_ALL,$DF381,$L$16)," "," "),CHAR(9)," "),CHAR(10)," "),CHAR(13)," ")),",",""),"%","")),"")))</f>
        <v/>
      </c>
      <c r="DY381">
        <f>IF($DM381=0,"",IFERROR(IF(ISNUMBER($DX381),$DX381,IF($DX381="","",IF(TRIM($DX381)="",0,IF(AND(AND(SUBSTITUTE(SUBSTITUTE(SUBSTITUTE(SUBSTITUTE(SUBSTITUTE(SUBSTITUTE(SUBSTITUTE(SUBSTITUTE(SUBSTITUTE(SUBSTITUTE(SUBSTITUTE(SUBSTITUTE(SUBSTITUTE(SUBSTITUTE(UPPER(TRIM($DX381)),"0",""),"1",""),"2",""),"3",""),"4",""),"5",""),"6",""),"7",""),"8",""),"9",""),".",""),"+",""),"-",""),"E","")="",LEN(SUBSTITUTE(SUBSTITUTE(MID(UPPER(TRIM($DX381)),1+OR(LEFT(UPPER(TRIM($DX381)),1)="+",LEFT(UPPER(TRIM($DX381)),1)="-"),999),"E+","E"),"E-","E"))=LEN(SUBSTITUTE(SUBSTITUTE(SUBSTITUTE(SUBSTITUTE(MID(UPPER(TRIM($DX381)),1+OR(LEFT(UPPER(TRIM($DX381)),1)="+",LEFT(UPPER(TRIM($DX381)),1)="-"),999),"E+","E"),"E-","E"),"+",""),"-","")),LEN(UPPER(TRIM($DX381)))-LEN(SUBSTITUTE(UPPER(TRIM($DX381)),"E",""))&lt;2,LEN(UPPER(TRIM($DX381)))-LEN(SUBSTITUTE(UPPER(TRIM($DX381)),".",""))&lt;2,IFERROR(FIND(".",UPPER(TRIM($DX381))),0)&lt;IFERROR(FIND("E",UPPER(TRIM($DX381))),999)),ISNUMBER(VALUE(TRIM($DX381)))),VALUE(TRIM($DX381)),"")))),""))</f>
        <v/>
      </c>
      <c r="DZ381">
        <f>IF($DM381=0,"",IF($L$17=0,"",IFERROR(IF(ISNUMBER(INDEX(PASTE_ALL,$DF381,$L$17)),INDEX(PASTE_ALL,$DF381,$L$17),SUBSTITUTE(SUBSTITUTE(TRIM(SUBSTITUTE(SUBSTITUTE(SUBSTITUTE(SUBSTITUTE(INDEX(PASTE_ALL,$DF381,$L$17)," "," "),CHAR(9)," "),CHAR(10)," "),CHAR(13)," ")),",",""),"%","")),"")))</f>
        <v/>
      </c>
      <c r="EA381">
        <f>IF($DM381=0,"",IFERROR(IF(ISNUMBER($DZ381),$DZ381,IF($DZ381="","",IF(TRIM($DZ381)="",0,IF(AND(AND(SUBSTITUTE(SUBSTITUTE(SUBSTITUTE(SUBSTITUTE(SUBSTITUTE(SUBSTITUTE(SUBSTITUTE(SUBSTITUTE(SUBSTITUTE(SUBSTITUTE(SUBSTITUTE(SUBSTITUTE(SUBSTITUTE(SUBSTITUTE(UPPER(TRIM($DZ381)),"0",""),"1",""),"2",""),"3",""),"4",""),"5",""),"6",""),"7",""),"8",""),"9",""),".",""),"+",""),"-",""),"E","")="",LEN(SUBSTITUTE(SUBSTITUTE(MID(UPPER(TRIM($DZ381)),1+OR(LEFT(UPPER(TRIM($DZ381)),1)="+",LEFT(UPPER(TRIM($DZ381)),1)="-"),999),"E+","E"),"E-","E"))=LEN(SUBSTITUTE(SUBSTITUTE(SUBSTITUTE(SUBSTITUTE(MID(UPPER(TRIM($DZ381)),1+OR(LEFT(UPPER(TRIM($DZ381)),1)="+",LEFT(UPPER(TRIM($DZ381)),1)="-"),999),"E+","E"),"E-","E"),"+",""),"-","")),LEN(UPPER(TRIM($DZ381)))-LEN(SUBSTITUTE(UPPER(TRIM($DZ381)),"E",""))&lt;2,LEN(UPPER(TRIM($DZ381)))-LEN(SUBSTITUTE(UPPER(TRIM($DZ381)),".",""))&lt;2,IFERROR(FIND(".",UPPER(TRIM($DZ381))),0)&lt;IFERROR(FIND("E",UPPER(TRIM($DZ381))),999)),ISNUMBER(VALUE(TRIM($DZ381)))),VALUE(TRIM($DZ381)),"")))),""))</f>
        <v/>
      </c>
      <c r="EB381">
        <f>IF($DM381=0,"",IF($L$18=0,"",IFERROR(IF(UPPER(TRIM(SUBSTITUTE(SUBSTITUTE(SUBSTITUTE(SUBSTITUTE(INDEX(PASTE_ALL,$DF381,$L$18)," "," "),CHAR(9)," "),CHAR(10)," "),CHAR(13)," ")))="READY","Ready",IF(UPPER(TRIM(SUBSTITUTE(SUBSTITUTE(SUBSTITUTE(SUBSTITUTE(INDEX(PASTE_ALL,$DF381,$L$18)," "," "),CHAR(9)," "),CHAR(10)," "),CHAR(13)," ")))="PM","PM",IF(OR(UPPER(TRIM(SUBSTITUTE(SUBSTITUTE(SUBSTITUTE(SUBSTITUTE(INDEX(PASTE_ALL,$DF381,$L$18)," "," "),CHAR(9)," "),CHAR(10)," "),CHAR(13)," ")))="OT",UPPER(TRIM(SUBSTITUTE(SUBSTITUTE(SUBSTITUTE(SUBSTITUTE(INDEX(PASTE_ALL,$DF381,$L$18)," "," "),CHAR(9)," "),CHAR(10)," "),CHAR(13)," ")))="OVERTIME",UPPER(TRIM(SUBSTITUTE(SUBSTITUTE(SUBSTITUTE(SUBSTITUTE(INDEX(PASTE_ALL,$DF381,$L$18)," "," "),CHAR(9)," "),CHAR(10)," "),CHAR(13)," ")))="TRIAL"),"OT",TRIM(SUBSTITUTE(SUBSTITUTE(SUBSTITUTE(SUBSTITUTE(INDEX(PASTE_ALL,$DF381,$L$18)," "," "),CHAR(9)," "),CHAR(10)," "),CHAR(13)," "))))),"")))</f>
        <v/>
      </c>
      <c r="EC381">
        <f>IF($DM381=0,"",IF($L$19=0,"",IFERROR(IF(ISNUMBER(INDEX(PASTE_ALL,$DF381,$L$19)),INDEX(PASTE_ALL,$DF381,$L$19),TRIM(SUBSTITUTE(SUBSTITUTE(SUBSTITUTE(SUBSTITUTE(INDEX(PASTE_ALL,$DF381,$L$19)," "," "),CHAR(9)," "),CHAR(10)," "),CHAR(13)," "))),"")))</f>
        <v/>
      </c>
      <c r="ED381">
        <f>IF($DM381=0,"",MATCH(1,INDEX(EXACT($DH$5:DH381,$DH381)*$DM$5:DM381,0),0))</f>
        <v/>
      </c>
      <c r="EE381">
        <f>IF($DM381=0,0,IF($ED381=$DE381,1,0))</f>
        <v/>
      </c>
      <c r="EF381">
        <f>EF380+$EE381</f>
        <v/>
      </c>
      <c r="EG381">
        <f>IF($DM381=0,"",INDEX($EF$5:$EF$1003,$ED381))</f>
        <v/>
      </c>
      <c r="EH381">
        <f>IF($DM381=0,"",IF($DO381&lt;&gt;"","",IFERROR(LOOKUP(2,1/(($EG$4:EG380=$EG381)*($DO$4:DO380&lt;&gt;"")),$DO$4:DO380),"")))</f>
        <v/>
      </c>
      <c r="EI381">
        <f>IF($DM381=0,"",IF($DO381&lt;&gt;"",$DO381,$EH381))</f>
        <v/>
      </c>
      <c r="EJ381">
        <f>IF($DM381=0,"",IF($EI381="",0,IF(OR(ISNUMBER($EI381),AND(AND(SUBSTITUTE(SUBSTITUTE(SUBSTITUTE(SUBSTITUTE(SUBSTITUTE(SUBSTITUTE(SUBSTITUTE(SUBSTITUTE(SUBSTITUTE(SUBSTITUTE(SUBSTITUTE(SUBSTITUTE(SUBSTITUTE(SUBSTITUTE(UPPER($EI381),"0",""),"1",""),"2",""),"3",""),"4",""),"5",""),"6",""),"7",""),"8",""),"9",""),".",""),"+",""),"-",""),"E","")="",LEN(SUBSTITUTE(SUBSTITUTE(MID(UPPER($EI381),1+OR(LEFT(UPPER($EI381),1)="+",LEFT(UPPER($EI381),1)="-"),999),"E+","E"),"E-","E"))=LEN(SUBSTITUTE(SUBSTITUTE(SUBSTITUTE(SUBSTITUTE(MID(UPPER($EI381),1+OR(LEFT(UPPER($EI381),1)="+",LEFT(UPPER($EI381),1)="-"),999),"E+","E"),"E-","E"),"+",""),"-","")),LEN(UPPER($EI381))-LEN(SUBSTITUTE(UPPER($EI381),"E",""))&lt;2,LEN(UPPER($EI381))-LEN(SUBSTITUTE(UPPER($EI381),".",""))&lt;2,IFERROR(FIND(".",UPPER($EI381)),0)&lt;IFERROR(FIND("E",UPPER($EI381)),999)),ISNUMBER(VALUE($EI381)))),1,2)))</f>
        <v/>
      </c>
      <c r="EK381">
        <f>IF($DM381=0,"",IF($EJ381=1,IF(ISNUMBER($EI381),$EI381,VALUE($EI381)),IF($EJ381=2,$DE381,0)))</f>
        <v/>
      </c>
      <c r="EL381">
        <f>IF($DM381=0,"",COUNTIF($EG$5:$EG$1003,"&lt;"&amp;$EG381)+SUMPRODUCT(($EG$5:$EG$1003=$EG381)*(($EJ$5:$EJ$1003&lt;$EJ381)+($EJ$5:$EJ$1003=$EJ381)*(($EK$5:$EK$1003&lt;$EK381)+($EK$5:$EK$1003=$EK381)*($DE$5:$DE$1003&lt;$DE381))))+1)</f>
        <v/>
      </c>
      <c r="EM381">
        <f>IF($DM381=0,"",$EL381+$EG381-1)</f>
        <v/>
      </c>
      <c r="EN381">
        <f>IF($DM381=0,0,IFERROR(MATCH(1,INDEX(--(TRIM(SUBSTITUTE(SUBSTITUTE(SUBSTITUTE(SUBSTITUTE(LINES_NAME&amp;""," "," "),CHAR(9)," "),CHAR(10)," "),CHAR(13)," "))=$DH381),0),0),0))</f>
        <v/>
      </c>
      <c r="EO381">
        <f>IF($EN381=0,0,IF(OR(UPPER(TRIM(INDEX(LINES_SCHEDULED,$EN381)&amp;""))="YES",UPPER(TRIM(INDEX(LINES_SCHEDULED,$EN381)&amp;""))="Y",UPPER(TRIM(INDEX(LINES_SCHEDULED,$EN381)&amp;""))="X"),1,0))</f>
        <v/>
      </c>
      <c r="EP381">
        <f>IF($DM381=0,"",IF(COUNTIFS($EG$5:$EG$1003,$EG381,$EB$5:$EB$1003,"Ready")&gt;0,"READY",IF(COUNTIFS($EG$5:$EG$1003,$EG381,$EB$5:$EB$1003,"PM")&gt;0,"PM",IF(COUNTIFS($EG$5:$EG$1003,$EG381,$EB$5:$EB$1003,"OT")&gt;0,"OT",""))))</f>
        <v/>
      </c>
      <c r="EQ381">
        <f>IF($EN381=0,"",UPPER(TRIM(INDEX(LINES_STATUS,$EN381)&amp;"")))</f>
        <v/>
      </c>
      <c r="ER381">
        <f>IF($DM381=0,"",IF(OR($EQ381="READY",$EQ381="PM",$EQ381="OT"),$EQ381,$EP381))</f>
        <v/>
      </c>
      <c r="ES381">
        <f>IF($DM381=0,"",IF(AND($DV381&lt;&gt;"",UPPER($DV381)&lt;&gt;"N"),"allergen",IF(ISNUMBER(SEARCH("oil",$DQ381)),"oil",IF(OR(EXACT($DS381,"A662"),EXACT($DS381,"A624")),"bulk",""))))</f>
        <v/>
      </c>
      <c r="ET381">
        <f>IF($DM381=0,"",IF(OR($EA381="",$EA381=0),"",$EA381/100))</f>
        <v/>
      </c>
      <c r="EU381">
        <f>IF(OR($ET381="",$DY381=""),"",INT($DY381*(1-$ET381)+0.5))</f>
        <v/>
      </c>
      <c r="EW381" t="n">
        <v>377</v>
      </c>
      <c r="EX381">
        <f>IFERROR(MATCH($EW381,$EM$5:$EM$1003,0),0)</f>
        <v/>
      </c>
      <c r="EY381">
        <f>IF($EW381&gt;$B$12,"",IF($EX381&gt;0,"row","spacer"))</f>
        <v/>
      </c>
      <c r="EZ381">
        <f>IF(AND($EY381="row",$EY380&lt;&gt;"row"),1,0)</f>
        <v/>
      </c>
      <c r="FA381">
        <f>IF(AND($EY381="row",$EY382&lt;&gt;"row"),1,0)</f>
        <v/>
      </c>
      <c r="FB381">
        <f>IF($EZ381=1,IFERROR(IF(ISNUMBER(INDEX(PASTE_ALL,INDEX($DF$5:$DF$1003,$EX381),$B$37)),INDEX(PASTE_ALL,INDEX($DF$5:$DF$1003,$EX381),$B$37),INDEX($DH$5:$DH$1003,$EX381)),INDEX($DH$5:$DH$1003,$EX381)),"")</f>
        <v/>
      </c>
      <c r="FC381">
        <f>IF($EY381="row",INDEX($ER$5:$ER$1003,$EX381),"")</f>
        <v/>
      </c>
      <c r="FD381">
        <f>IF($EY381="row",INDEX($DN$5:$DN$1003,$EX381),"")</f>
        <v/>
      </c>
      <c r="FE381">
        <f>IF($EY381="row",INDEX($DO$5:$DO$1003,$EX381),"")</f>
        <v/>
      </c>
      <c r="FF381">
        <f>IF($EY381="row",INDEX($DP$5:$DP$1003,$EX381),"")</f>
        <v/>
      </c>
      <c r="FG381">
        <f>IF($EY381="row",INDEX($DQ$5:$DQ$1003,$EX381),"")</f>
        <v/>
      </c>
      <c r="FH381">
        <f>IF($EY381="row",INDEX($DR$5:$DR$1003,$EX381),"")</f>
        <v/>
      </c>
      <c r="FI381">
        <f>IF($EY381="row",INDEX($DS$5:$DS$1003,$EX381),"")</f>
        <v/>
      </c>
      <c r="FJ381">
        <f>IF($EY381="row",INDEX($DT$5:$DT$1003,$EX381),"")</f>
        <v/>
      </c>
      <c r="FK381">
        <f>IF($EY381="row",INDEX($DU$5:$DU$1003,$EX381),"")</f>
        <v/>
      </c>
      <c r="FL381">
        <f>IF($EY381="row",INDEX($DV$5:$DV$1003,$EX381),"")</f>
        <v/>
      </c>
      <c r="FM381">
        <f>IF($EY381="row",INDEX($DW$5:$DW$1003,$EX381),"")</f>
        <v/>
      </c>
      <c r="FN381">
        <f>IF($EY381="row",INDEX($DY$5:$DY$1003,$EX381),"")</f>
        <v/>
      </c>
      <c r="FO381">
        <f>IF($EY381="row",INDEX($EA$5:$EA$1003,$EX381),"")</f>
        <v/>
      </c>
      <c r="FP381">
        <f>IF($EY381="row",INDEX($EC$5:$EC$1003,$EX381),"")</f>
        <v/>
      </c>
      <c r="FQ381">
        <f>IF($EY381="row",INDEX($ET$5:$ET$1003,$EX381),"")</f>
        <v/>
      </c>
      <c r="FR381">
        <f>IF($EY381="row",INDEX($EU$5:$EU$1003,$EX381),"")</f>
        <v/>
      </c>
      <c r="FS381">
        <f>IF(AND($EY381="row",$EY380="row"),IF(OR(INDEX($DT$5:$DT$1003,$EX380)="",INDEX($DT$5:$DT$1003,$EX381)=""),"",IF(NOT(EXACT(INDEX($DT$5:$DT$1003,$EX380),INDEX($DT$5:$DT$1003,$EX381))),"S4",IF(NOT(EXACT(INDEX($DS$5:$DS$1003,$EX380),INDEX($DS$5:$DS$1003,$EX381))),"S3",IF(NOT(EXACT(INDEX($DR$5:$DR$1003,$EX380),INDEX($DR$5:$DR$1003,$EX381))),"S1 Count Change","S1")))),"")</f>
        <v/>
      </c>
      <c r="FT381">
        <f>IF($EY381="row",INDEX($ES$5:$ES$1003,$EX381),"")</f>
        <v/>
      </c>
      <c r="FU381">
        <f>IF($EY381="row",INDEX($EO$5:$EO$1003,$EX381),0)</f>
        <v/>
      </c>
      <c r="FV381">
        <f>IF($FS381="S1 Count Change",1,0)</f>
        <v/>
      </c>
    </row>
    <row r="382">
      <c r="DA382" t="n">
        <v>378</v>
      </c>
      <c r="DB382">
        <f>IF($B$37=0,"",IFERROR(TRIM(SUBSTITUTE(SUBSTITUTE(SUBSTITUTE(SUBSTITUTE(INDEX(PASTE_ALL,378,$B$37)," "," "),CHAR(9)," "),CHAR(10)," "),CHAR(13)," ")),""))</f>
        <v/>
      </c>
      <c r="DC382">
        <f>IF(AND(378&gt;HEADER_ROW,UPPER(DB382)="LEGEND"),1,0)</f>
        <v/>
      </c>
      <c r="DE382" t="n">
        <v>378</v>
      </c>
      <c r="DF382">
        <f>HEADER_ROW+$DE382</f>
        <v/>
      </c>
      <c r="DG382">
        <f>IF(AND($DF382&lt;=1000,$DF382&lt;$B$8),1,0)</f>
        <v/>
      </c>
      <c r="DH382">
        <f>IF($DG382=1,IFERROR(INDEX($DB$5:$DB$1004,$DF382),""),"")</f>
        <v/>
      </c>
      <c r="DI382">
        <f>IF(AND($DG382=1,$DH382&lt;&gt;""),IFERROR(SUBSTITUTE(SUBSTITUTE(TRIM(SUBSTITUTE(SUBSTITUTE(SUBSTITUTE(SUBSTITUTE(IFERROR(INDEX(PASTE_ALL,$DF382,1)&amp;"","")&amp;"␟"&amp;IFERROR(INDEX(PASTE_ALL,$DF382,2)&amp;"","")&amp;"␟"&amp;IFERROR(INDEX(PASTE_ALL,$DF382,3)&amp;"","")&amp;"␟"&amp;IFERROR(INDEX(PASTE_ALL,$DF382,4)&amp;"","")&amp;"␟"&amp;IFERROR(INDEX(PASTE_ALL,$DF382,5)&amp;"","")&amp;"␟"&amp;IFERROR(INDEX(PASTE_ALL,$DF382,6)&amp;"","")&amp;"␟"&amp;IFERROR(INDEX(PASTE_ALL,$DF382,7)&amp;"","")&amp;"␟"&amp;IFERROR(INDEX(PASTE_ALL,$DF382,8)&amp;"","")&amp;"␟"&amp;IFERROR(INDEX(PASTE_ALL,$DF382,9)&amp;"","")&amp;"␟"&amp;IFERROR(INDEX(PASTE_ALL,$DF382,10)&amp;"","")&amp;"␟"&amp;IFERROR(INDEX(PASTE_ALL,$DF382,11)&amp;"","")&amp;"␟"&amp;IFERROR(INDEX(PASTE_ALL,$DF382,12)&amp;"","")&amp;"␟"&amp;IFERROR(INDEX(PASTE_ALL,$DF382,13)&amp;"","")&amp;"␟"&amp;IFERROR(INDEX(PASTE_ALL,$DF382,14)&amp;"","")&amp;"␟"&amp;IFERROR(INDEX(PASTE_ALL,$DF382,15)&amp;"","")&amp;"␟"&amp;IFERROR(INDEX(PASTE_ALL,$DF382,16)&amp;"","")&amp;"␟"&amp;IFERROR(INDEX(PASTE_ALL,$DF382,17)&amp;"","")&amp;"␟"&amp;IFERROR(INDEX(PASTE_ALL,$DF382,18)&amp;"","")&amp;"␟"&amp;IFERROR(INDEX(PASTE_ALL,$DF382,19)&amp;"","")&amp;"␟"&amp;IFERROR(INDEX(PASTE_ALL,$DF382,20)&amp;"","")&amp;"␟"&amp;IFERROR(INDEX(PASTE_ALL,$DF382,21)&amp;"","")&amp;"␟"&amp;IFERROR(INDEX(PASTE_ALL,$DF382,22)&amp;"","")&amp;"␟"&amp;IFERROR(INDEX(PASTE_ALL,$DF382,23)&amp;"","")&amp;"␟"&amp;IFERROR(INDEX(PASTE_ALL,$DF382,24)&amp;"","")&amp;"␟"&amp;IFERROR(INDEX(PASTE_ALL,$DF382,25)&amp;"","")&amp;"␟"&amp;IFERROR(INDEX(PASTE_ALL,$DF382,26)&amp;"","")&amp;"␟"&amp;IFERROR(INDEX(PASTE_ALL,$DF382,27)&amp;"","")&amp;"␟"&amp;IFERROR(INDEX(PASTE_ALL,$DF382,28)&amp;"","")&amp;"␟"&amp;IFERROR(INDEX(PASTE_ALL,$DF382,29)&amp;"","")&amp;"␟"&amp;IFERROR(INDEX(PASTE_ALL,$DF382,30)&amp;"","")&amp;"␟"&amp;IFERROR(INDEX(PASTE_ALL,$DF382,31)&amp;"","")&amp;"␟"&amp;IFERROR(INDEX(PASTE_ALL,$DF382,32)&amp;"","")&amp;"␟"&amp;IFERROR(INDEX(PASTE_ALL,$DF382,33)&amp;"","")&amp;"␟"&amp;IFERROR(INDEX(PASTE_ALL,$DF382,34)&amp;"","")&amp;"␟"&amp;IFERROR(INDEX(PASTE_ALL,$DF382,35)&amp;"","")&amp;"␟"&amp;IFERROR(INDEX(PASTE_ALL,$DF382,36)&amp;"","")&amp;"␟"&amp;IFERROR(INDEX(PASTE_ALL,$DF382,37)&amp;"","")&amp;"␟"&amp;IFERROR(INDEX(PASTE_ALL,$DF382,38)&amp;"","")&amp;"␟"&amp;IFERROR(INDEX(PASTE_ALL,$DF382,39)&amp;"","")&amp;"␟"&amp;IFERROR(INDEX(PASTE_ALL,$DF382,40)&amp;"","")&amp;"␟"&amp;IFERROR(INDEX(PASTE_ALL,$DF382,41)&amp;"","")&amp;"␟"&amp;IFERROR(INDEX(PASTE_ALL,$DF382,42)&amp;"","")&amp;"␟"&amp;IFERROR(INDEX(PASTE_ALL,$DF382,43)&amp;"","")&amp;"␟"&amp;IFERROR(INDEX(PASTE_ALL,$DF382,44)&amp;"","")&amp;"␟"&amp;IFERROR(INDEX(PASTE_ALL,$DF382,45)&amp;"","")&amp;"␟"&amp;IFERROR(INDEX(PASTE_ALL,$DF382,46)&amp;"","")&amp;"␟"&amp;IFERROR(INDEX(PASTE_ALL,$DF382,47)&amp;"","")&amp;"␟"&amp;IFERROR(INDEX(PASTE_ALL,$DF382,48)&amp;"","")&amp;"␟"&amp;IFERROR(INDEX(PASTE_ALL,$DF382,49)&amp;"","")&amp;"␟"&amp;IFERROR(INDEX(PASTE_ALL,$DF382,50)&amp;"","")&amp;"␟"&amp;IFERROR(INDEX(PASTE_ALL,$DF382,51)&amp;"","")&amp;"␟"&amp;IFERROR(INDEX(PASTE_ALL,$DF382,52)&amp;"","")&amp;"␟"&amp;IFERROR(INDEX(PASTE_ALL,$DF382,53)&amp;"","")&amp;"␟"&amp;IFERROR(INDEX(PASTE_ALL,$DF382,54)&amp;"","")&amp;"␟"&amp;IFERROR(INDEX(PASTE_ALL,$DF382,55)&amp;"","")&amp;"␟"&amp;IFERROR(INDEX(PASTE_ALL,$DF382,56)&amp;"","")&amp;"␟"&amp;IFERROR(INDEX(PASTE_ALL,$DF382,57)&amp;"","")&amp;"␟"&amp;IFERROR(INDEX(PASTE_ALL,$DF382,58)&amp;"","")&amp;"␟"&amp;IFERROR(INDEX(PASTE_ALL,$DF382,59)&amp;"","")&amp;"␟"&amp;IFERROR(INDEX(PASTE_ALL,$DF382,60)&amp;"","")," "," "),CHAR(9)," "),CHAR(10)," "),CHAR(13)," "))," ␟","␟"),"␟ ","␟"),"#"&amp;$DE382),"")</f>
        <v/>
      </c>
      <c r="DJ382">
        <f>IF($DI382="",0,IF(SUMPRODUCT(--EXACT($DI$4:DI381,$DI382))&gt;0,1,0))</f>
        <v/>
      </c>
      <c r="DK382">
        <f>IF(AND($DI382&lt;&gt;"",$DJ382=0),1,0)</f>
        <v/>
      </c>
      <c r="DL382">
        <f>DL381+$DK382</f>
        <v/>
      </c>
      <c r="DM382">
        <f>IF(AND($DK382=1,$DL382&lt;=600),1,0)</f>
        <v/>
      </c>
      <c r="DN382">
        <f>IF($DM382=0,"",IF($L$6=0,"",IFERROR(IF(ISNUMBER(INDEX(PASTE_ALL,$DF382,$L$6)),INDEX(PASTE_ALL,$DF382,$L$6),TRIM(SUBSTITUTE(SUBSTITUTE(SUBSTITUTE(SUBSTITUTE(INDEX(PASTE_ALL,$DF382,$L$6)," "," "),CHAR(9)," "),CHAR(10)," "),CHAR(13)," "))),"")))</f>
        <v/>
      </c>
      <c r="DO382">
        <f>IF($DM382=0,"",IF($L$7=0,"",IFERROR(IF(ISNUMBER(INDEX(PASTE_ALL,$DF382,$L$7)),INDEX(PASTE_ALL,$DF382,$L$7),TRIM(SUBSTITUTE(SUBSTITUTE(SUBSTITUTE(SUBSTITUTE(INDEX(PASTE_ALL,$DF382,$L$7)," "," "),CHAR(9)," "),CHAR(10)," "),CHAR(13)," "))),"")))</f>
        <v/>
      </c>
      <c r="DP382">
        <f>IF($DM382=0,"",IF($L$8=0,"",IFERROR(IF(ISNUMBER(INDEX(PASTE_ALL,$DF382,$L$8)),INDEX(PASTE_ALL,$DF382,$L$8),TRIM(SUBSTITUTE(SUBSTITUTE(SUBSTITUTE(SUBSTITUTE(INDEX(PASTE_ALL,$DF382,$L$8)," "," "),CHAR(9)," "),CHAR(10)," "),CHAR(13)," "))),"")))</f>
        <v/>
      </c>
      <c r="DQ382">
        <f>IF($DM382=0,"",IF($L$9=0,"",IFERROR(IF(ISNUMBER(INDEX(PASTE_ALL,$DF382,$L$9)),INDEX(PASTE_ALL,$DF382,$L$9),TRIM(SUBSTITUTE(SUBSTITUTE(SUBSTITUTE(SUBSTITUTE(INDEX(PASTE_ALL,$DF382,$L$9)," "," "),CHAR(9)," "),CHAR(10)," "),CHAR(13)," "))),"")))</f>
        <v/>
      </c>
      <c r="DR382">
        <f>IF($DM382=0,"",IF($L$10=0,"",IFERROR(IF(ISNUMBER(INDEX(PASTE_ALL,$DF382,$L$10)),INDEX(PASTE_ALL,$DF382,$L$10),TRIM(SUBSTITUTE(SUBSTITUTE(SUBSTITUTE(SUBSTITUTE(INDEX(PASTE_ALL,$DF382,$L$10)," "," "),CHAR(9)," "),CHAR(10)," "),CHAR(13)," "))),"")))</f>
        <v/>
      </c>
      <c r="DS382">
        <f>IF($DM382=0,"",IF($L$11=0,"",IFERROR(IF(ISNUMBER(INDEX(PASTE_ALL,$DF382,$L$11)),INDEX(PASTE_ALL,$DF382,$L$11),TRIM(SUBSTITUTE(SUBSTITUTE(SUBSTITUTE(SUBSTITUTE(INDEX(PASTE_ALL,$DF382,$L$11)," "," "),CHAR(9)," "),CHAR(10)," "),CHAR(13)," "))),"")))</f>
        <v/>
      </c>
      <c r="DT382">
        <f>IF($DM382=0,"",IF($L$12=0,"",IFERROR(IF(ISNUMBER(INDEX(PASTE_ALL,$DF382,$L$12)),INDEX(PASTE_ALL,$DF382,$L$12),TRIM(SUBSTITUTE(SUBSTITUTE(SUBSTITUTE(SUBSTITUTE(INDEX(PASTE_ALL,$DF382,$L$12)," "," "),CHAR(9)," "),CHAR(10)," "),CHAR(13)," "))),"")))</f>
        <v/>
      </c>
      <c r="DU382">
        <f>IF($DM382=0,"",IF($L$13=0,"",IFERROR(IF(ISNUMBER(INDEX(PASTE_ALL,$DF382,$L$13)),INDEX(PASTE_ALL,$DF382,$L$13),TRIM(SUBSTITUTE(SUBSTITUTE(SUBSTITUTE(SUBSTITUTE(INDEX(PASTE_ALL,$DF382,$L$13)," "," "),CHAR(9)," "),CHAR(10)," "),CHAR(13)," "))),"")))</f>
        <v/>
      </c>
      <c r="DV382">
        <f>IF($DM382=0,"",IF($L$14=0,"",IFERROR(IF(ISNUMBER(INDEX(PASTE_ALL,$DF382,$L$14)),INDEX(PASTE_ALL,$DF382,$L$14),TRIM(SUBSTITUTE(SUBSTITUTE(SUBSTITUTE(SUBSTITUTE(INDEX(PASTE_ALL,$DF382,$L$14)," "," "),CHAR(9)," "),CHAR(10)," "),CHAR(13)," "))),"")))</f>
        <v/>
      </c>
      <c r="DW382">
        <f>IF($DM382=0,"",IF($L$15=0,"",IFERROR(IF(ISNUMBER(INDEX(PASTE_ALL,$DF382,$L$15)),INDEX(PASTE_ALL,$DF382,$L$15),IF(SUMPRODUCT(--ISNUMBER(FIND({"A","B","C","D","E","F","G","H","I","J","K","L","M","N","O","P","Q","R","S","T","U","V","W","X","Y","Z","0","1","2","3","4","5","6","7","8","9"},UPPER(TRIM(SUBSTITUTE(SUBSTITUTE(SUBSTITUTE(SUBSTITUTE(INDEX(PASTE_ALL,$DF382,$L$15)," "," "),CHAR(9)," "),CHAR(10)," "),CHAR(13)," "))))))&gt;0,TRIM(SUBSTITUTE(SUBSTITUTE(SUBSTITUTE(SUBSTITUTE(INDEX(PASTE_ALL,$DF382,$L$15)," "," "),CHAR(9)," "),CHAR(10)," "),CHAR(13)," ")),"")),"")))</f>
        <v/>
      </c>
      <c r="DX382">
        <f>IF($DM382=0,"",IF($L$16=0,"",IFERROR(IF(ISNUMBER(INDEX(PASTE_ALL,$DF382,$L$16)),INDEX(PASTE_ALL,$DF382,$L$16),SUBSTITUTE(SUBSTITUTE(TRIM(SUBSTITUTE(SUBSTITUTE(SUBSTITUTE(SUBSTITUTE(INDEX(PASTE_ALL,$DF382,$L$16)," "," "),CHAR(9)," "),CHAR(10)," "),CHAR(13)," ")),",",""),"%","")),"")))</f>
        <v/>
      </c>
      <c r="DY382">
        <f>IF($DM382=0,"",IFERROR(IF(ISNUMBER($DX382),$DX382,IF($DX382="","",IF(TRIM($DX382)="",0,IF(AND(AND(SUBSTITUTE(SUBSTITUTE(SUBSTITUTE(SUBSTITUTE(SUBSTITUTE(SUBSTITUTE(SUBSTITUTE(SUBSTITUTE(SUBSTITUTE(SUBSTITUTE(SUBSTITUTE(SUBSTITUTE(SUBSTITUTE(SUBSTITUTE(UPPER(TRIM($DX382)),"0",""),"1",""),"2",""),"3",""),"4",""),"5",""),"6",""),"7",""),"8",""),"9",""),".",""),"+",""),"-",""),"E","")="",LEN(SUBSTITUTE(SUBSTITUTE(MID(UPPER(TRIM($DX382)),1+OR(LEFT(UPPER(TRIM($DX382)),1)="+",LEFT(UPPER(TRIM($DX382)),1)="-"),999),"E+","E"),"E-","E"))=LEN(SUBSTITUTE(SUBSTITUTE(SUBSTITUTE(SUBSTITUTE(MID(UPPER(TRIM($DX382)),1+OR(LEFT(UPPER(TRIM($DX382)),1)="+",LEFT(UPPER(TRIM($DX382)),1)="-"),999),"E+","E"),"E-","E"),"+",""),"-","")),LEN(UPPER(TRIM($DX382)))-LEN(SUBSTITUTE(UPPER(TRIM($DX382)),"E",""))&lt;2,LEN(UPPER(TRIM($DX382)))-LEN(SUBSTITUTE(UPPER(TRIM($DX382)),".",""))&lt;2,IFERROR(FIND(".",UPPER(TRIM($DX382))),0)&lt;IFERROR(FIND("E",UPPER(TRIM($DX382))),999)),ISNUMBER(VALUE(TRIM($DX382)))),VALUE(TRIM($DX382)),"")))),""))</f>
        <v/>
      </c>
      <c r="DZ382">
        <f>IF($DM382=0,"",IF($L$17=0,"",IFERROR(IF(ISNUMBER(INDEX(PASTE_ALL,$DF382,$L$17)),INDEX(PASTE_ALL,$DF382,$L$17),SUBSTITUTE(SUBSTITUTE(TRIM(SUBSTITUTE(SUBSTITUTE(SUBSTITUTE(SUBSTITUTE(INDEX(PASTE_ALL,$DF382,$L$17)," "," "),CHAR(9)," "),CHAR(10)," "),CHAR(13)," ")),",",""),"%","")),"")))</f>
        <v/>
      </c>
      <c r="EA382">
        <f>IF($DM382=0,"",IFERROR(IF(ISNUMBER($DZ382),$DZ382,IF($DZ382="","",IF(TRIM($DZ382)="",0,IF(AND(AND(SUBSTITUTE(SUBSTITUTE(SUBSTITUTE(SUBSTITUTE(SUBSTITUTE(SUBSTITUTE(SUBSTITUTE(SUBSTITUTE(SUBSTITUTE(SUBSTITUTE(SUBSTITUTE(SUBSTITUTE(SUBSTITUTE(SUBSTITUTE(UPPER(TRIM($DZ382)),"0",""),"1",""),"2",""),"3",""),"4",""),"5",""),"6",""),"7",""),"8",""),"9",""),".",""),"+",""),"-",""),"E","")="",LEN(SUBSTITUTE(SUBSTITUTE(MID(UPPER(TRIM($DZ382)),1+OR(LEFT(UPPER(TRIM($DZ382)),1)="+",LEFT(UPPER(TRIM($DZ382)),1)="-"),999),"E+","E"),"E-","E"))=LEN(SUBSTITUTE(SUBSTITUTE(SUBSTITUTE(SUBSTITUTE(MID(UPPER(TRIM($DZ382)),1+OR(LEFT(UPPER(TRIM($DZ382)),1)="+",LEFT(UPPER(TRIM($DZ382)),1)="-"),999),"E+","E"),"E-","E"),"+",""),"-","")),LEN(UPPER(TRIM($DZ382)))-LEN(SUBSTITUTE(UPPER(TRIM($DZ382)),"E",""))&lt;2,LEN(UPPER(TRIM($DZ382)))-LEN(SUBSTITUTE(UPPER(TRIM($DZ382)),".",""))&lt;2,IFERROR(FIND(".",UPPER(TRIM($DZ382))),0)&lt;IFERROR(FIND("E",UPPER(TRIM($DZ382))),999)),ISNUMBER(VALUE(TRIM($DZ382)))),VALUE(TRIM($DZ382)),"")))),""))</f>
        <v/>
      </c>
      <c r="EB382">
        <f>IF($DM382=0,"",IF($L$18=0,"",IFERROR(IF(UPPER(TRIM(SUBSTITUTE(SUBSTITUTE(SUBSTITUTE(SUBSTITUTE(INDEX(PASTE_ALL,$DF382,$L$18)," "," "),CHAR(9)," "),CHAR(10)," "),CHAR(13)," ")))="READY","Ready",IF(UPPER(TRIM(SUBSTITUTE(SUBSTITUTE(SUBSTITUTE(SUBSTITUTE(INDEX(PASTE_ALL,$DF382,$L$18)," "," "),CHAR(9)," "),CHAR(10)," "),CHAR(13)," ")))="PM","PM",IF(OR(UPPER(TRIM(SUBSTITUTE(SUBSTITUTE(SUBSTITUTE(SUBSTITUTE(INDEX(PASTE_ALL,$DF382,$L$18)," "," "),CHAR(9)," "),CHAR(10)," "),CHAR(13)," ")))="OT",UPPER(TRIM(SUBSTITUTE(SUBSTITUTE(SUBSTITUTE(SUBSTITUTE(INDEX(PASTE_ALL,$DF382,$L$18)," "," "),CHAR(9)," "),CHAR(10)," "),CHAR(13)," ")))="OVERTIME",UPPER(TRIM(SUBSTITUTE(SUBSTITUTE(SUBSTITUTE(SUBSTITUTE(INDEX(PASTE_ALL,$DF382,$L$18)," "," "),CHAR(9)," "),CHAR(10)," "),CHAR(13)," ")))="TRIAL"),"OT",TRIM(SUBSTITUTE(SUBSTITUTE(SUBSTITUTE(SUBSTITUTE(INDEX(PASTE_ALL,$DF382,$L$18)," "," "),CHAR(9)," "),CHAR(10)," "),CHAR(13)," "))))),"")))</f>
        <v/>
      </c>
      <c r="EC382">
        <f>IF($DM382=0,"",IF($L$19=0,"",IFERROR(IF(ISNUMBER(INDEX(PASTE_ALL,$DF382,$L$19)),INDEX(PASTE_ALL,$DF382,$L$19),TRIM(SUBSTITUTE(SUBSTITUTE(SUBSTITUTE(SUBSTITUTE(INDEX(PASTE_ALL,$DF382,$L$19)," "," "),CHAR(9)," "),CHAR(10)," "),CHAR(13)," "))),"")))</f>
        <v/>
      </c>
      <c r="ED382">
        <f>IF($DM382=0,"",MATCH(1,INDEX(EXACT($DH$5:DH382,$DH382)*$DM$5:DM382,0),0))</f>
        <v/>
      </c>
      <c r="EE382">
        <f>IF($DM382=0,0,IF($ED382=$DE382,1,0))</f>
        <v/>
      </c>
      <c r="EF382">
        <f>EF381+$EE382</f>
        <v/>
      </c>
      <c r="EG382">
        <f>IF($DM382=0,"",INDEX($EF$5:$EF$1003,$ED382))</f>
        <v/>
      </c>
      <c r="EH382">
        <f>IF($DM382=0,"",IF($DO382&lt;&gt;"","",IFERROR(LOOKUP(2,1/(($EG$4:EG381=$EG382)*($DO$4:DO381&lt;&gt;"")),$DO$4:DO381),"")))</f>
        <v/>
      </c>
      <c r="EI382">
        <f>IF($DM382=0,"",IF($DO382&lt;&gt;"",$DO382,$EH382))</f>
        <v/>
      </c>
      <c r="EJ382">
        <f>IF($DM382=0,"",IF($EI382="",0,IF(OR(ISNUMBER($EI382),AND(AND(SUBSTITUTE(SUBSTITUTE(SUBSTITUTE(SUBSTITUTE(SUBSTITUTE(SUBSTITUTE(SUBSTITUTE(SUBSTITUTE(SUBSTITUTE(SUBSTITUTE(SUBSTITUTE(SUBSTITUTE(SUBSTITUTE(SUBSTITUTE(UPPER($EI382),"0",""),"1",""),"2",""),"3",""),"4",""),"5",""),"6",""),"7",""),"8",""),"9",""),".",""),"+",""),"-",""),"E","")="",LEN(SUBSTITUTE(SUBSTITUTE(MID(UPPER($EI382),1+OR(LEFT(UPPER($EI382),1)="+",LEFT(UPPER($EI382),1)="-"),999),"E+","E"),"E-","E"))=LEN(SUBSTITUTE(SUBSTITUTE(SUBSTITUTE(SUBSTITUTE(MID(UPPER($EI382),1+OR(LEFT(UPPER($EI382),1)="+",LEFT(UPPER($EI382),1)="-"),999),"E+","E"),"E-","E"),"+",""),"-","")),LEN(UPPER($EI382))-LEN(SUBSTITUTE(UPPER($EI382),"E",""))&lt;2,LEN(UPPER($EI382))-LEN(SUBSTITUTE(UPPER($EI382),".",""))&lt;2,IFERROR(FIND(".",UPPER($EI382)),0)&lt;IFERROR(FIND("E",UPPER($EI382)),999)),ISNUMBER(VALUE($EI382)))),1,2)))</f>
        <v/>
      </c>
      <c r="EK382">
        <f>IF($DM382=0,"",IF($EJ382=1,IF(ISNUMBER($EI382),$EI382,VALUE($EI382)),IF($EJ382=2,$DE382,0)))</f>
        <v/>
      </c>
      <c r="EL382">
        <f>IF($DM382=0,"",COUNTIF($EG$5:$EG$1003,"&lt;"&amp;$EG382)+SUMPRODUCT(($EG$5:$EG$1003=$EG382)*(($EJ$5:$EJ$1003&lt;$EJ382)+($EJ$5:$EJ$1003=$EJ382)*(($EK$5:$EK$1003&lt;$EK382)+($EK$5:$EK$1003=$EK382)*($DE$5:$DE$1003&lt;$DE382))))+1)</f>
        <v/>
      </c>
      <c r="EM382">
        <f>IF($DM382=0,"",$EL382+$EG382-1)</f>
        <v/>
      </c>
      <c r="EN382">
        <f>IF($DM382=0,0,IFERROR(MATCH(1,INDEX(--(TRIM(SUBSTITUTE(SUBSTITUTE(SUBSTITUTE(SUBSTITUTE(LINES_NAME&amp;""," "," "),CHAR(9)," "),CHAR(10)," "),CHAR(13)," "))=$DH382),0),0),0))</f>
        <v/>
      </c>
      <c r="EO382">
        <f>IF($EN382=0,0,IF(OR(UPPER(TRIM(INDEX(LINES_SCHEDULED,$EN382)&amp;""))="YES",UPPER(TRIM(INDEX(LINES_SCHEDULED,$EN382)&amp;""))="Y",UPPER(TRIM(INDEX(LINES_SCHEDULED,$EN382)&amp;""))="X"),1,0))</f>
        <v/>
      </c>
      <c r="EP382">
        <f>IF($DM382=0,"",IF(COUNTIFS($EG$5:$EG$1003,$EG382,$EB$5:$EB$1003,"Ready")&gt;0,"READY",IF(COUNTIFS($EG$5:$EG$1003,$EG382,$EB$5:$EB$1003,"PM")&gt;0,"PM",IF(COUNTIFS($EG$5:$EG$1003,$EG382,$EB$5:$EB$1003,"OT")&gt;0,"OT",""))))</f>
        <v/>
      </c>
      <c r="EQ382">
        <f>IF($EN382=0,"",UPPER(TRIM(INDEX(LINES_STATUS,$EN382)&amp;"")))</f>
        <v/>
      </c>
      <c r="ER382">
        <f>IF($DM382=0,"",IF(OR($EQ382="READY",$EQ382="PM",$EQ382="OT"),$EQ382,$EP382))</f>
        <v/>
      </c>
      <c r="ES382">
        <f>IF($DM382=0,"",IF(AND($DV382&lt;&gt;"",UPPER($DV382)&lt;&gt;"N"),"allergen",IF(ISNUMBER(SEARCH("oil",$DQ382)),"oil",IF(OR(EXACT($DS382,"A662"),EXACT($DS382,"A624")),"bulk",""))))</f>
        <v/>
      </c>
      <c r="ET382">
        <f>IF($DM382=0,"",IF(OR($EA382="",$EA382=0),"",$EA382/100))</f>
        <v/>
      </c>
      <c r="EU382">
        <f>IF(OR($ET382="",$DY382=""),"",INT($DY382*(1-$ET382)+0.5))</f>
        <v/>
      </c>
      <c r="EW382" t="n">
        <v>378</v>
      </c>
      <c r="EX382">
        <f>IFERROR(MATCH($EW382,$EM$5:$EM$1003,0),0)</f>
        <v/>
      </c>
      <c r="EY382">
        <f>IF($EW382&gt;$B$12,"",IF($EX382&gt;0,"row","spacer"))</f>
        <v/>
      </c>
      <c r="EZ382">
        <f>IF(AND($EY382="row",$EY381&lt;&gt;"row"),1,0)</f>
        <v/>
      </c>
      <c r="FA382">
        <f>IF(AND($EY382="row",$EY383&lt;&gt;"row"),1,0)</f>
        <v/>
      </c>
      <c r="FB382">
        <f>IF($EZ382=1,IFERROR(IF(ISNUMBER(INDEX(PASTE_ALL,INDEX($DF$5:$DF$1003,$EX382),$B$37)),INDEX(PASTE_ALL,INDEX($DF$5:$DF$1003,$EX382),$B$37),INDEX($DH$5:$DH$1003,$EX382)),INDEX($DH$5:$DH$1003,$EX382)),"")</f>
        <v/>
      </c>
      <c r="FC382">
        <f>IF($EY382="row",INDEX($ER$5:$ER$1003,$EX382),"")</f>
        <v/>
      </c>
      <c r="FD382">
        <f>IF($EY382="row",INDEX($DN$5:$DN$1003,$EX382),"")</f>
        <v/>
      </c>
      <c r="FE382">
        <f>IF($EY382="row",INDEX($DO$5:$DO$1003,$EX382),"")</f>
        <v/>
      </c>
      <c r="FF382">
        <f>IF($EY382="row",INDEX($DP$5:$DP$1003,$EX382),"")</f>
        <v/>
      </c>
      <c r="FG382">
        <f>IF($EY382="row",INDEX($DQ$5:$DQ$1003,$EX382),"")</f>
        <v/>
      </c>
      <c r="FH382">
        <f>IF($EY382="row",INDEX($DR$5:$DR$1003,$EX382),"")</f>
        <v/>
      </c>
      <c r="FI382">
        <f>IF($EY382="row",INDEX($DS$5:$DS$1003,$EX382),"")</f>
        <v/>
      </c>
      <c r="FJ382">
        <f>IF($EY382="row",INDEX($DT$5:$DT$1003,$EX382),"")</f>
        <v/>
      </c>
      <c r="FK382">
        <f>IF($EY382="row",INDEX($DU$5:$DU$1003,$EX382),"")</f>
        <v/>
      </c>
      <c r="FL382">
        <f>IF($EY382="row",INDEX($DV$5:$DV$1003,$EX382),"")</f>
        <v/>
      </c>
      <c r="FM382">
        <f>IF($EY382="row",INDEX($DW$5:$DW$1003,$EX382),"")</f>
        <v/>
      </c>
      <c r="FN382">
        <f>IF($EY382="row",INDEX($DY$5:$DY$1003,$EX382),"")</f>
        <v/>
      </c>
      <c r="FO382">
        <f>IF($EY382="row",INDEX($EA$5:$EA$1003,$EX382),"")</f>
        <v/>
      </c>
      <c r="FP382">
        <f>IF($EY382="row",INDEX($EC$5:$EC$1003,$EX382),"")</f>
        <v/>
      </c>
      <c r="FQ382">
        <f>IF($EY382="row",INDEX($ET$5:$ET$1003,$EX382),"")</f>
        <v/>
      </c>
      <c r="FR382">
        <f>IF($EY382="row",INDEX($EU$5:$EU$1003,$EX382),"")</f>
        <v/>
      </c>
      <c r="FS382">
        <f>IF(AND($EY382="row",$EY381="row"),IF(OR(INDEX($DT$5:$DT$1003,$EX381)="",INDEX($DT$5:$DT$1003,$EX382)=""),"",IF(NOT(EXACT(INDEX($DT$5:$DT$1003,$EX381),INDEX($DT$5:$DT$1003,$EX382))),"S4",IF(NOT(EXACT(INDEX($DS$5:$DS$1003,$EX381),INDEX($DS$5:$DS$1003,$EX382))),"S3",IF(NOT(EXACT(INDEX($DR$5:$DR$1003,$EX381),INDEX($DR$5:$DR$1003,$EX382))),"S1 Count Change","S1")))),"")</f>
        <v/>
      </c>
      <c r="FT382">
        <f>IF($EY382="row",INDEX($ES$5:$ES$1003,$EX382),"")</f>
        <v/>
      </c>
      <c r="FU382">
        <f>IF($EY382="row",INDEX($EO$5:$EO$1003,$EX382),0)</f>
        <v/>
      </c>
      <c r="FV382">
        <f>IF($FS382="S1 Count Change",1,0)</f>
        <v/>
      </c>
    </row>
    <row r="383">
      <c r="DA383" t="n">
        <v>379</v>
      </c>
      <c r="DB383">
        <f>IF($B$37=0,"",IFERROR(TRIM(SUBSTITUTE(SUBSTITUTE(SUBSTITUTE(SUBSTITUTE(INDEX(PASTE_ALL,379,$B$37)," "," "),CHAR(9)," "),CHAR(10)," "),CHAR(13)," ")),""))</f>
        <v/>
      </c>
      <c r="DC383">
        <f>IF(AND(379&gt;HEADER_ROW,UPPER(DB383)="LEGEND"),1,0)</f>
        <v/>
      </c>
      <c r="DE383" t="n">
        <v>379</v>
      </c>
      <c r="DF383">
        <f>HEADER_ROW+$DE383</f>
        <v/>
      </c>
      <c r="DG383">
        <f>IF(AND($DF383&lt;=1000,$DF383&lt;$B$8),1,0)</f>
        <v/>
      </c>
      <c r="DH383">
        <f>IF($DG383=1,IFERROR(INDEX($DB$5:$DB$1004,$DF383),""),"")</f>
        <v/>
      </c>
      <c r="DI383">
        <f>IF(AND($DG383=1,$DH383&lt;&gt;""),IFERROR(SUBSTITUTE(SUBSTITUTE(TRIM(SUBSTITUTE(SUBSTITUTE(SUBSTITUTE(SUBSTITUTE(IFERROR(INDEX(PASTE_ALL,$DF383,1)&amp;"","")&amp;"␟"&amp;IFERROR(INDEX(PASTE_ALL,$DF383,2)&amp;"","")&amp;"␟"&amp;IFERROR(INDEX(PASTE_ALL,$DF383,3)&amp;"","")&amp;"␟"&amp;IFERROR(INDEX(PASTE_ALL,$DF383,4)&amp;"","")&amp;"␟"&amp;IFERROR(INDEX(PASTE_ALL,$DF383,5)&amp;"","")&amp;"␟"&amp;IFERROR(INDEX(PASTE_ALL,$DF383,6)&amp;"","")&amp;"␟"&amp;IFERROR(INDEX(PASTE_ALL,$DF383,7)&amp;"","")&amp;"␟"&amp;IFERROR(INDEX(PASTE_ALL,$DF383,8)&amp;"","")&amp;"␟"&amp;IFERROR(INDEX(PASTE_ALL,$DF383,9)&amp;"","")&amp;"␟"&amp;IFERROR(INDEX(PASTE_ALL,$DF383,10)&amp;"","")&amp;"␟"&amp;IFERROR(INDEX(PASTE_ALL,$DF383,11)&amp;"","")&amp;"␟"&amp;IFERROR(INDEX(PASTE_ALL,$DF383,12)&amp;"","")&amp;"␟"&amp;IFERROR(INDEX(PASTE_ALL,$DF383,13)&amp;"","")&amp;"␟"&amp;IFERROR(INDEX(PASTE_ALL,$DF383,14)&amp;"","")&amp;"␟"&amp;IFERROR(INDEX(PASTE_ALL,$DF383,15)&amp;"","")&amp;"␟"&amp;IFERROR(INDEX(PASTE_ALL,$DF383,16)&amp;"","")&amp;"␟"&amp;IFERROR(INDEX(PASTE_ALL,$DF383,17)&amp;"","")&amp;"␟"&amp;IFERROR(INDEX(PASTE_ALL,$DF383,18)&amp;"","")&amp;"␟"&amp;IFERROR(INDEX(PASTE_ALL,$DF383,19)&amp;"","")&amp;"␟"&amp;IFERROR(INDEX(PASTE_ALL,$DF383,20)&amp;"","")&amp;"␟"&amp;IFERROR(INDEX(PASTE_ALL,$DF383,21)&amp;"","")&amp;"␟"&amp;IFERROR(INDEX(PASTE_ALL,$DF383,22)&amp;"","")&amp;"␟"&amp;IFERROR(INDEX(PASTE_ALL,$DF383,23)&amp;"","")&amp;"␟"&amp;IFERROR(INDEX(PASTE_ALL,$DF383,24)&amp;"","")&amp;"␟"&amp;IFERROR(INDEX(PASTE_ALL,$DF383,25)&amp;"","")&amp;"␟"&amp;IFERROR(INDEX(PASTE_ALL,$DF383,26)&amp;"","")&amp;"␟"&amp;IFERROR(INDEX(PASTE_ALL,$DF383,27)&amp;"","")&amp;"␟"&amp;IFERROR(INDEX(PASTE_ALL,$DF383,28)&amp;"","")&amp;"␟"&amp;IFERROR(INDEX(PASTE_ALL,$DF383,29)&amp;"","")&amp;"␟"&amp;IFERROR(INDEX(PASTE_ALL,$DF383,30)&amp;"","")&amp;"␟"&amp;IFERROR(INDEX(PASTE_ALL,$DF383,31)&amp;"","")&amp;"␟"&amp;IFERROR(INDEX(PASTE_ALL,$DF383,32)&amp;"","")&amp;"␟"&amp;IFERROR(INDEX(PASTE_ALL,$DF383,33)&amp;"","")&amp;"␟"&amp;IFERROR(INDEX(PASTE_ALL,$DF383,34)&amp;"","")&amp;"␟"&amp;IFERROR(INDEX(PASTE_ALL,$DF383,35)&amp;"","")&amp;"␟"&amp;IFERROR(INDEX(PASTE_ALL,$DF383,36)&amp;"","")&amp;"␟"&amp;IFERROR(INDEX(PASTE_ALL,$DF383,37)&amp;"","")&amp;"␟"&amp;IFERROR(INDEX(PASTE_ALL,$DF383,38)&amp;"","")&amp;"␟"&amp;IFERROR(INDEX(PASTE_ALL,$DF383,39)&amp;"","")&amp;"␟"&amp;IFERROR(INDEX(PASTE_ALL,$DF383,40)&amp;"","")&amp;"␟"&amp;IFERROR(INDEX(PASTE_ALL,$DF383,41)&amp;"","")&amp;"␟"&amp;IFERROR(INDEX(PASTE_ALL,$DF383,42)&amp;"","")&amp;"␟"&amp;IFERROR(INDEX(PASTE_ALL,$DF383,43)&amp;"","")&amp;"␟"&amp;IFERROR(INDEX(PASTE_ALL,$DF383,44)&amp;"","")&amp;"␟"&amp;IFERROR(INDEX(PASTE_ALL,$DF383,45)&amp;"","")&amp;"␟"&amp;IFERROR(INDEX(PASTE_ALL,$DF383,46)&amp;"","")&amp;"␟"&amp;IFERROR(INDEX(PASTE_ALL,$DF383,47)&amp;"","")&amp;"␟"&amp;IFERROR(INDEX(PASTE_ALL,$DF383,48)&amp;"","")&amp;"␟"&amp;IFERROR(INDEX(PASTE_ALL,$DF383,49)&amp;"","")&amp;"␟"&amp;IFERROR(INDEX(PASTE_ALL,$DF383,50)&amp;"","")&amp;"␟"&amp;IFERROR(INDEX(PASTE_ALL,$DF383,51)&amp;"","")&amp;"␟"&amp;IFERROR(INDEX(PASTE_ALL,$DF383,52)&amp;"","")&amp;"␟"&amp;IFERROR(INDEX(PASTE_ALL,$DF383,53)&amp;"","")&amp;"␟"&amp;IFERROR(INDEX(PASTE_ALL,$DF383,54)&amp;"","")&amp;"␟"&amp;IFERROR(INDEX(PASTE_ALL,$DF383,55)&amp;"","")&amp;"␟"&amp;IFERROR(INDEX(PASTE_ALL,$DF383,56)&amp;"","")&amp;"␟"&amp;IFERROR(INDEX(PASTE_ALL,$DF383,57)&amp;"","")&amp;"␟"&amp;IFERROR(INDEX(PASTE_ALL,$DF383,58)&amp;"","")&amp;"␟"&amp;IFERROR(INDEX(PASTE_ALL,$DF383,59)&amp;"","")&amp;"␟"&amp;IFERROR(INDEX(PASTE_ALL,$DF383,60)&amp;"","")," "," "),CHAR(9)," "),CHAR(10)," "),CHAR(13)," "))," ␟","␟"),"␟ ","␟"),"#"&amp;$DE383),"")</f>
        <v/>
      </c>
      <c r="DJ383">
        <f>IF($DI383="",0,IF(SUMPRODUCT(--EXACT($DI$4:DI382,$DI383))&gt;0,1,0))</f>
        <v/>
      </c>
      <c r="DK383">
        <f>IF(AND($DI383&lt;&gt;"",$DJ383=0),1,0)</f>
        <v/>
      </c>
      <c r="DL383">
        <f>DL382+$DK383</f>
        <v/>
      </c>
      <c r="DM383">
        <f>IF(AND($DK383=1,$DL383&lt;=600),1,0)</f>
        <v/>
      </c>
      <c r="DN383">
        <f>IF($DM383=0,"",IF($L$6=0,"",IFERROR(IF(ISNUMBER(INDEX(PASTE_ALL,$DF383,$L$6)),INDEX(PASTE_ALL,$DF383,$L$6),TRIM(SUBSTITUTE(SUBSTITUTE(SUBSTITUTE(SUBSTITUTE(INDEX(PASTE_ALL,$DF383,$L$6)," "," "),CHAR(9)," "),CHAR(10)," "),CHAR(13)," "))),"")))</f>
        <v/>
      </c>
      <c r="DO383">
        <f>IF($DM383=0,"",IF($L$7=0,"",IFERROR(IF(ISNUMBER(INDEX(PASTE_ALL,$DF383,$L$7)),INDEX(PASTE_ALL,$DF383,$L$7),TRIM(SUBSTITUTE(SUBSTITUTE(SUBSTITUTE(SUBSTITUTE(INDEX(PASTE_ALL,$DF383,$L$7)," "," "),CHAR(9)," "),CHAR(10)," "),CHAR(13)," "))),"")))</f>
        <v/>
      </c>
      <c r="DP383">
        <f>IF($DM383=0,"",IF($L$8=0,"",IFERROR(IF(ISNUMBER(INDEX(PASTE_ALL,$DF383,$L$8)),INDEX(PASTE_ALL,$DF383,$L$8),TRIM(SUBSTITUTE(SUBSTITUTE(SUBSTITUTE(SUBSTITUTE(INDEX(PASTE_ALL,$DF383,$L$8)," "," "),CHAR(9)," "),CHAR(10)," "),CHAR(13)," "))),"")))</f>
        <v/>
      </c>
      <c r="DQ383">
        <f>IF($DM383=0,"",IF($L$9=0,"",IFERROR(IF(ISNUMBER(INDEX(PASTE_ALL,$DF383,$L$9)),INDEX(PASTE_ALL,$DF383,$L$9),TRIM(SUBSTITUTE(SUBSTITUTE(SUBSTITUTE(SUBSTITUTE(INDEX(PASTE_ALL,$DF383,$L$9)," "," "),CHAR(9)," "),CHAR(10)," "),CHAR(13)," "))),"")))</f>
        <v/>
      </c>
      <c r="DR383">
        <f>IF($DM383=0,"",IF($L$10=0,"",IFERROR(IF(ISNUMBER(INDEX(PASTE_ALL,$DF383,$L$10)),INDEX(PASTE_ALL,$DF383,$L$10),TRIM(SUBSTITUTE(SUBSTITUTE(SUBSTITUTE(SUBSTITUTE(INDEX(PASTE_ALL,$DF383,$L$10)," "," "),CHAR(9)," "),CHAR(10)," "),CHAR(13)," "))),"")))</f>
        <v/>
      </c>
      <c r="DS383">
        <f>IF($DM383=0,"",IF($L$11=0,"",IFERROR(IF(ISNUMBER(INDEX(PASTE_ALL,$DF383,$L$11)),INDEX(PASTE_ALL,$DF383,$L$11),TRIM(SUBSTITUTE(SUBSTITUTE(SUBSTITUTE(SUBSTITUTE(INDEX(PASTE_ALL,$DF383,$L$11)," "," "),CHAR(9)," "),CHAR(10)," "),CHAR(13)," "))),"")))</f>
        <v/>
      </c>
      <c r="DT383">
        <f>IF($DM383=0,"",IF($L$12=0,"",IFERROR(IF(ISNUMBER(INDEX(PASTE_ALL,$DF383,$L$12)),INDEX(PASTE_ALL,$DF383,$L$12),TRIM(SUBSTITUTE(SUBSTITUTE(SUBSTITUTE(SUBSTITUTE(INDEX(PASTE_ALL,$DF383,$L$12)," "," "),CHAR(9)," "),CHAR(10)," "),CHAR(13)," "))),"")))</f>
        <v/>
      </c>
      <c r="DU383">
        <f>IF($DM383=0,"",IF($L$13=0,"",IFERROR(IF(ISNUMBER(INDEX(PASTE_ALL,$DF383,$L$13)),INDEX(PASTE_ALL,$DF383,$L$13),TRIM(SUBSTITUTE(SUBSTITUTE(SUBSTITUTE(SUBSTITUTE(INDEX(PASTE_ALL,$DF383,$L$13)," "," "),CHAR(9)," "),CHAR(10)," "),CHAR(13)," "))),"")))</f>
        <v/>
      </c>
      <c r="DV383">
        <f>IF($DM383=0,"",IF($L$14=0,"",IFERROR(IF(ISNUMBER(INDEX(PASTE_ALL,$DF383,$L$14)),INDEX(PASTE_ALL,$DF383,$L$14),TRIM(SUBSTITUTE(SUBSTITUTE(SUBSTITUTE(SUBSTITUTE(INDEX(PASTE_ALL,$DF383,$L$14)," "," "),CHAR(9)," "),CHAR(10)," "),CHAR(13)," "))),"")))</f>
        <v/>
      </c>
      <c r="DW383">
        <f>IF($DM383=0,"",IF($L$15=0,"",IFERROR(IF(ISNUMBER(INDEX(PASTE_ALL,$DF383,$L$15)),INDEX(PASTE_ALL,$DF383,$L$15),IF(SUMPRODUCT(--ISNUMBER(FIND({"A","B","C","D","E","F","G","H","I","J","K","L","M","N","O","P","Q","R","S","T","U","V","W","X","Y","Z","0","1","2","3","4","5","6","7","8","9"},UPPER(TRIM(SUBSTITUTE(SUBSTITUTE(SUBSTITUTE(SUBSTITUTE(INDEX(PASTE_ALL,$DF383,$L$15)," "," "),CHAR(9)," "),CHAR(10)," "),CHAR(13)," "))))))&gt;0,TRIM(SUBSTITUTE(SUBSTITUTE(SUBSTITUTE(SUBSTITUTE(INDEX(PASTE_ALL,$DF383,$L$15)," "," "),CHAR(9)," "),CHAR(10)," "),CHAR(13)," ")),"")),"")))</f>
        <v/>
      </c>
      <c r="DX383">
        <f>IF($DM383=0,"",IF($L$16=0,"",IFERROR(IF(ISNUMBER(INDEX(PASTE_ALL,$DF383,$L$16)),INDEX(PASTE_ALL,$DF383,$L$16),SUBSTITUTE(SUBSTITUTE(TRIM(SUBSTITUTE(SUBSTITUTE(SUBSTITUTE(SUBSTITUTE(INDEX(PASTE_ALL,$DF383,$L$16)," "," "),CHAR(9)," "),CHAR(10)," "),CHAR(13)," ")),",",""),"%","")),"")))</f>
        <v/>
      </c>
      <c r="DY383">
        <f>IF($DM383=0,"",IFERROR(IF(ISNUMBER($DX383),$DX383,IF($DX383="","",IF(TRIM($DX383)="",0,IF(AND(AND(SUBSTITUTE(SUBSTITUTE(SUBSTITUTE(SUBSTITUTE(SUBSTITUTE(SUBSTITUTE(SUBSTITUTE(SUBSTITUTE(SUBSTITUTE(SUBSTITUTE(SUBSTITUTE(SUBSTITUTE(SUBSTITUTE(SUBSTITUTE(UPPER(TRIM($DX383)),"0",""),"1",""),"2",""),"3",""),"4",""),"5",""),"6",""),"7",""),"8",""),"9",""),".",""),"+",""),"-",""),"E","")="",LEN(SUBSTITUTE(SUBSTITUTE(MID(UPPER(TRIM($DX383)),1+OR(LEFT(UPPER(TRIM($DX383)),1)="+",LEFT(UPPER(TRIM($DX383)),1)="-"),999),"E+","E"),"E-","E"))=LEN(SUBSTITUTE(SUBSTITUTE(SUBSTITUTE(SUBSTITUTE(MID(UPPER(TRIM($DX383)),1+OR(LEFT(UPPER(TRIM($DX383)),1)="+",LEFT(UPPER(TRIM($DX383)),1)="-"),999),"E+","E"),"E-","E"),"+",""),"-","")),LEN(UPPER(TRIM($DX383)))-LEN(SUBSTITUTE(UPPER(TRIM($DX383)),"E",""))&lt;2,LEN(UPPER(TRIM($DX383)))-LEN(SUBSTITUTE(UPPER(TRIM($DX383)),".",""))&lt;2,IFERROR(FIND(".",UPPER(TRIM($DX383))),0)&lt;IFERROR(FIND("E",UPPER(TRIM($DX383))),999)),ISNUMBER(VALUE(TRIM($DX383)))),VALUE(TRIM($DX383)),"")))),""))</f>
        <v/>
      </c>
      <c r="DZ383">
        <f>IF($DM383=0,"",IF($L$17=0,"",IFERROR(IF(ISNUMBER(INDEX(PASTE_ALL,$DF383,$L$17)),INDEX(PASTE_ALL,$DF383,$L$17),SUBSTITUTE(SUBSTITUTE(TRIM(SUBSTITUTE(SUBSTITUTE(SUBSTITUTE(SUBSTITUTE(INDEX(PASTE_ALL,$DF383,$L$17)," "," "),CHAR(9)," "),CHAR(10)," "),CHAR(13)," ")),",",""),"%","")),"")))</f>
        <v/>
      </c>
      <c r="EA383">
        <f>IF($DM383=0,"",IFERROR(IF(ISNUMBER($DZ383),$DZ383,IF($DZ383="","",IF(TRIM($DZ383)="",0,IF(AND(AND(SUBSTITUTE(SUBSTITUTE(SUBSTITUTE(SUBSTITUTE(SUBSTITUTE(SUBSTITUTE(SUBSTITUTE(SUBSTITUTE(SUBSTITUTE(SUBSTITUTE(SUBSTITUTE(SUBSTITUTE(SUBSTITUTE(SUBSTITUTE(UPPER(TRIM($DZ383)),"0",""),"1",""),"2",""),"3",""),"4",""),"5",""),"6",""),"7",""),"8",""),"9",""),".",""),"+",""),"-",""),"E","")="",LEN(SUBSTITUTE(SUBSTITUTE(MID(UPPER(TRIM($DZ383)),1+OR(LEFT(UPPER(TRIM($DZ383)),1)="+",LEFT(UPPER(TRIM($DZ383)),1)="-"),999),"E+","E"),"E-","E"))=LEN(SUBSTITUTE(SUBSTITUTE(SUBSTITUTE(SUBSTITUTE(MID(UPPER(TRIM($DZ383)),1+OR(LEFT(UPPER(TRIM($DZ383)),1)="+",LEFT(UPPER(TRIM($DZ383)),1)="-"),999),"E+","E"),"E-","E"),"+",""),"-","")),LEN(UPPER(TRIM($DZ383)))-LEN(SUBSTITUTE(UPPER(TRIM($DZ383)),"E",""))&lt;2,LEN(UPPER(TRIM($DZ383)))-LEN(SUBSTITUTE(UPPER(TRIM($DZ383)),".",""))&lt;2,IFERROR(FIND(".",UPPER(TRIM($DZ383))),0)&lt;IFERROR(FIND("E",UPPER(TRIM($DZ383))),999)),ISNUMBER(VALUE(TRIM($DZ383)))),VALUE(TRIM($DZ383)),"")))),""))</f>
        <v/>
      </c>
      <c r="EB383">
        <f>IF($DM383=0,"",IF($L$18=0,"",IFERROR(IF(UPPER(TRIM(SUBSTITUTE(SUBSTITUTE(SUBSTITUTE(SUBSTITUTE(INDEX(PASTE_ALL,$DF383,$L$18)," "," "),CHAR(9)," "),CHAR(10)," "),CHAR(13)," ")))="READY","Ready",IF(UPPER(TRIM(SUBSTITUTE(SUBSTITUTE(SUBSTITUTE(SUBSTITUTE(INDEX(PASTE_ALL,$DF383,$L$18)," "," "),CHAR(9)," "),CHAR(10)," "),CHAR(13)," ")))="PM","PM",IF(OR(UPPER(TRIM(SUBSTITUTE(SUBSTITUTE(SUBSTITUTE(SUBSTITUTE(INDEX(PASTE_ALL,$DF383,$L$18)," "," "),CHAR(9)," "),CHAR(10)," "),CHAR(13)," ")))="OT",UPPER(TRIM(SUBSTITUTE(SUBSTITUTE(SUBSTITUTE(SUBSTITUTE(INDEX(PASTE_ALL,$DF383,$L$18)," "," "),CHAR(9)," "),CHAR(10)," "),CHAR(13)," ")))="OVERTIME",UPPER(TRIM(SUBSTITUTE(SUBSTITUTE(SUBSTITUTE(SUBSTITUTE(INDEX(PASTE_ALL,$DF383,$L$18)," "," "),CHAR(9)," "),CHAR(10)," "),CHAR(13)," ")))="TRIAL"),"OT",TRIM(SUBSTITUTE(SUBSTITUTE(SUBSTITUTE(SUBSTITUTE(INDEX(PASTE_ALL,$DF383,$L$18)," "," "),CHAR(9)," "),CHAR(10)," "),CHAR(13)," "))))),"")))</f>
        <v/>
      </c>
      <c r="EC383">
        <f>IF($DM383=0,"",IF($L$19=0,"",IFERROR(IF(ISNUMBER(INDEX(PASTE_ALL,$DF383,$L$19)),INDEX(PASTE_ALL,$DF383,$L$19),TRIM(SUBSTITUTE(SUBSTITUTE(SUBSTITUTE(SUBSTITUTE(INDEX(PASTE_ALL,$DF383,$L$19)," "," "),CHAR(9)," "),CHAR(10)," "),CHAR(13)," "))),"")))</f>
        <v/>
      </c>
      <c r="ED383">
        <f>IF($DM383=0,"",MATCH(1,INDEX(EXACT($DH$5:DH383,$DH383)*$DM$5:DM383,0),0))</f>
        <v/>
      </c>
      <c r="EE383">
        <f>IF($DM383=0,0,IF($ED383=$DE383,1,0))</f>
        <v/>
      </c>
      <c r="EF383">
        <f>EF382+$EE383</f>
        <v/>
      </c>
      <c r="EG383">
        <f>IF($DM383=0,"",INDEX($EF$5:$EF$1003,$ED383))</f>
        <v/>
      </c>
      <c r="EH383">
        <f>IF($DM383=0,"",IF($DO383&lt;&gt;"","",IFERROR(LOOKUP(2,1/(($EG$4:EG382=$EG383)*($DO$4:DO382&lt;&gt;"")),$DO$4:DO382),"")))</f>
        <v/>
      </c>
      <c r="EI383">
        <f>IF($DM383=0,"",IF($DO383&lt;&gt;"",$DO383,$EH383))</f>
        <v/>
      </c>
      <c r="EJ383">
        <f>IF($DM383=0,"",IF($EI383="",0,IF(OR(ISNUMBER($EI383),AND(AND(SUBSTITUTE(SUBSTITUTE(SUBSTITUTE(SUBSTITUTE(SUBSTITUTE(SUBSTITUTE(SUBSTITUTE(SUBSTITUTE(SUBSTITUTE(SUBSTITUTE(SUBSTITUTE(SUBSTITUTE(SUBSTITUTE(SUBSTITUTE(UPPER($EI383),"0",""),"1",""),"2",""),"3",""),"4",""),"5",""),"6",""),"7",""),"8",""),"9",""),".",""),"+",""),"-",""),"E","")="",LEN(SUBSTITUTE(SUBSTITUTE(MID(UPPER($EI383),1+OR(LEFT(UPPER($EI383),1)="+",LEFT(UPPER($EI383),1)="-"),999),"E+","E"),"E-","E"))=LEN(SUBSTITUTE(SUBSTITUTE(SUBSTITUTE(SUBSTITUTE(MID(UPPER($EI383),1+OR(LEFT(UPPER($EI383),1)="+",LEFT(UPPER($EI383),1)="-"),999),"E+","E"),"E-","E"),"+",""),"-","")),LEN(UPPER($EI383))-LEN(SUBSTITUTE(UPPER($EI383),"E",""))&lt;2,LEN(UPPER($EI383))-LEN(SUBSTITUTE(UPPER($EI383),".",""))&lt;2,IFERROR(FIND(".",UPPER($EI383)),0)&lt;IFERROR(FIND("E",UPPER($EI383)),999)),ISNUMBER(VALUE($EI383)))),1,2)))</f>
        <v/>
      </c>
      <c r="EK383">
        <f>IF($DM383=0,"",IF($EJ383=1,IF(ISNUMBER($EI383),$EI383,VALUE($EI383)),IF($EJ383=2,$DE383,0)))</f>
        <v/>
      </c>
      <c r="EL383">
        <f>IF($DM383=0,"",COUNTIF($EG$5:$EG$1003,"&lt;"&amp;$EG383)+SUMPRODUCT(($EG$5:$EG$1003=$EG383)*(($EJ$5:$EJ$1003&lt;$EJ383)+($EJ$5:$EJ$1003=$EJ383)*(($EK$5:$EK$1003&lt;$EK383)+($EK$5:$EK$1003=$EK383)*($DE$5:$DE$1003&lt;$DE383))))+1)</f>
        <v/>
      </c>
      <c r="EM383">
        <f>IF($DM383=0,"",$EL383+$EG383-1)</f>
        <v/>
      </c>
      <c r="EN383">
        <f>IF($DM383=0,0,IFERROR(MATCH(1,INDEX(--(TRIM(SUBSTITUTE(SUBSTITUTE(SUBSTITUTE(SUBSTITUTE(LINES_NAME&amp;""," "," "),CHAR(9)," "),CHAR(10)," "),CHAR(13)," "))=$DH383),0),0),0))</f>
        <v/>
      </c>
      <c r="EO383">
        <f>IF($EN383=0,0,IF(OR(UPPER(TRIM(INDEX(LINES_SCHEDULED,$EN383)&amp;""))="YES",UPPER(TRIM(INDEX(LINES_SCHEDULED,$EN383)&amp;""))="Y",UPPER(TRIM(INDEX(LINES_SCHEDULED,$EN383)&amp;""))="X"),1,0))</f>
        <v/>
      </c>
      <c r="EP383">
        <f>IF($DM383=0,"",IF(COUNTIFS($EG$5:$EG$1003,$EG383,$EB$5:$EB$1003,"Ready")&gt;0,"READY",IF(COUNTIFS($EG$5:$EG$1003,$EG383,$EB$5:$EB$1003,"PM")&gt;0,"PM",IF(COUNTIFS($EG$5:$EG$1003,$EG383,$EB$5:$EB$1003,"OT")&gt;0,"OT",""))))</f>
        <v/>
      </c>
      <c r="EQ383">
        <f>IF($EN383=0,"",UPPER(TRIM(INDEX(LINES_STATUS,$EN383)&amp;"")))</f>
        <v/>
      </c>
      <c r="ER383">
        <f>IF($DM383=0,"",IF(OR($EQ383="READY",$EQ383="PM",$EQ383="OT"),$EQ383,$EP383))</f>
        <v/>
      </c>
      <c r="ES383">
        <f>IF($DM383=0,"",IF(AND($DV383&lt;&gt;"",UPPER($DV383)&lt;&gt;"N"),"allergen",IF(ISNUMBER(SEARCH("oil",$DQ383)),"oil",IF(OR(EXACT($DS383,"A662"),EXACT($DS383,"A624")),"bulk",""))))</f>
        <v/>
      </c>
      <c r="ET383">
        <f>IF($DM383=0,"",IF(OR($EA383="",$EA383=0),"",$EA383/100))</f>
        <v/>
      </c>
      <c r="EU383">
        <f>IF(OR($ET383="",$DY383=""),"",INT($DY383*(1-$ET383)+0.5))</f>
        <v/>
      </c>
      <c r="EW383" t="n">
        <v>379</v>
      </c>
      <c r="EX383">
        <f>IFERROR(MATCH($EW383,$EM$5:$EM$1003,0),0)</f>
        <v/>
      </c>
      <c r="EY383">
        <f>IF($EW383&gt;$B$12,"",IF($EX383&gt;0,"row","spacer"))</f>
        <v/>
      </c>
      <c r="EZ383">
        <f>IF(AND($EY383="row",$EY382&lt;&gt;"row"),1,0)</f>
        <v/>
      </c>
      <c r="FA383">
        <f>IF(AND($EY383="row",$EY384&lt;&gt;"row"),1,0)</f>
        <v/>
      </c>
      <c r="FB383">
        <f>IF($EZ383=1,IFERROR(IF(ISNUMBER(INDEX(PASTE_ALL,INDEX($DF$5:$DF$1003,$EX383),$B$37)),INDEX(PASTE_ALL,INDEX($DF$5:$DF$1003,$EX383),$B$37),INDEX($DH$5:$DH$1003,$EX383)),INDEX($DH$5:$DH$1003,$EX383)),"")</f>
        <v/>
      </c>
      <c r="FC383">
        <f>IF($EY383="row",INDEX($ER$5:$ER$1003,$EX383),"")</f>
        <v/>
      </c>
      <c r="FD383">
        <f>IF($EY383="row",INDEX($DN$5:$DN$1003,$EX383),"")</f>
        <v/>
      </c>
      <c r="FE383">
        <f>IF($EY383="row",INDEX($DO$5:$DO$1003,$EX383),"")</f>
        <v/>
      </c>
      <c r="FF383">
        <f>IF($EY383="row",INDEX($DP$5:$DP$1003,$EX383),"")</f>
        <v/>
      </c>
      <c r="FG383">
        <f>IF($EY383="row",INDEX($DQ$5:$DQ$1003,$EX383),"")</f>
        <v/>
      </c>
      <c r="FH383">
        <f>IF($EY383="row",INDEX($DR$5:$DR$1003,$EX383),"")</f>
        <v/>
      </c>
      <c r="FI383">
        <f>IF($EY383="row",INDEX($DS$5:$DS$1003,$EX383),"")</f>
        <v/>
      </c>
      <c r="FJ383">
        <f>IF($EY383="row",INDEX($DT$5:$DT$1003,$EX383),"")</f>
        <v/>
      </c>
      <c r="FK383">
        <f>IF($EY383="row",INDEX($DU$5:$DU$1003,$EX383),"")</f>
        <v/>
      </c>
      <c r="FL383">
        <f>IF($EY383="row",INDEX($DV$5:$DV$1003,$EX383),"")</f>
        <v/>
      </c>
      <c r="FM383">
        <f>IF($EY383="row",INDEX($DW$5:$DW$1003,$EX383),"")</f>
        <v/>
      </c>
      <c r="FN383">
        <f>IF($EY383="row",INDEX($DY$5:$DY$1003,$EX383),"")</f>
        <v/>
      </c>
      <c r="FO383">
        <f>IF($EY383="row",INDEX($EA$5:$EA$1003,$EX383),"")</f>
        <v/>
      </c>
      <c r="FP383">
        <f>IF($EY383="row",INDEX($EC$5:$EC$1003,$EX383),"")</f>
        <v/>
      </c>
      <c r="FQ383">
        <f>IF($EY383="row",INDEX($ET$5:$ET$1003,$EX383),"")</f>
        <v/>
      </c>
      <c r="FR383">
        <f>IF($EY383="row",INDEX($EU$5:$EU$1003,$EX383),"")</f>
        <v/>
      </c>
      <c r="FS383">
        <f>IF(AND($EY383="row",$EY382="row"),IF(OR(INDEX($DT$5:$DT$1003,$EX382)="",INDEX($DT$5:$DT$1003,$EX383)=""),"",IF(NOT(EXACT(INDEX($DT$5:$DT$1003,$EX382),INDEX($DT$5:$DT$1003,$EX383))),"S4",IF(NOT(EXACT(INDEX($DS$5:$DS$1003,$EX382),INDEX($DS$5:$DS$1003,$EX383))),"S3",IF(NOT(EXACT(INDEX($DR$5:$DR$1003,$EX382),INDEX($DR$5:$DR$1003,$EX383))),"S1 Count Change","S1")))),"")</f>
        <v/>
      </c>
      <c r="FT383">
        <f>IF($EY383="row",INDEX($ES$5:$ES$1003,$EX383),"")</f>
        <v/>
      </c>
      <c r="FU383">
        <f>IF($EY383="row",INDEX($EO$5:$EO$1003,$EX383),0)</f>
        <v/>
      </c>
      <c r="FV383">
        <f>IF($FS383="S1 Count Change",1,0)</f>
        <v/>
      </c>
    </row>
    <row r="384">
      <c r="DA384" t="n">
        <v>380</v>
      </c>
      <c r="DB384">
        <f>IF($B$37=0,"",IFERROR(TRIM(SUBSTITUTE(SUBSTITUTE(SUBSTITUTE(SUBSTITUTE(INDEX(PASTE_ALL,380,$B$37)," "," "),CHAR(9)," "),CHAR(10)," "),CHAR(13)," ")),""))</f>
        <v/>
      </c>
      <c r="DC384">
        <f>IF(AND(380&gt;HEADER_ROW,UPPER(DB384)="LEGEND"),1,0)</f>
        <v/>
      </c>
      <c r="DE384" t="n">
        <v>380</v>
      </c>
      <c r="DF384">
        <f>HEADER_ROW+$DE384</f>
        <v/>
      </c>
      <c r="DG384">
        <f>IF(AND($DF384&lt;=1000,$DF384&lt;$B$8),1,0)</f>
        <v/>
      </c>
      <c r="DH384">
        <f>IF($DG384=1,IFERROR(INDEX($DB$5:$DB$1004,$DF384),""),"")</f>
        <v/>
      </c>
      <c r="DI384">
        <f>IF(AND($DG384=1,$DH384&lt;&gt;""),IFERROR(SUBSTITUTE(SUBSTITUTE(TRIM(SUBSTITUTE(SUBSTITUTE(SUBSTITUTE(SUBSTITUTE(IFERROR(INDEX(PASTE_ALL,$DF384,1)&amp;"","")&amp;"␟"&amp;IFERROR(INDEX(PASTE_ALL,$DF384,2)&amp;"","")&amp;"␟"&amp;IFERROR(INDEX(PASTE_ALL,$DF384,3)&amp;"","")&amp;"␟"&amp;IFERROR(INDEX(PASTE_ALL,$DF384,4)&amp;"","")&amp;"␟"&amp;IFERROR(INDEX(PASTE_ALL,$DF384,5)&amp;"","")&amp;"␟"&amp;IFERROR(INDEX(PASTE_ALL,$DF384,6)&amp;"","")&amp;"␟"&amp;IFERROR(INDEX(PASTE_ALL,$DF384,7)&amp;"","")&amp;"␟"&amp;IFERROR(INDEX(PASTE_ALL,$DF384,8)&amp;"","")&amp;"␟"&amp;IFERROR(INDEX(PASTE_ALL,$DF384,9)&amp;"","")&amp;"␟"&amp;IFERROR(INDEX(PASTE_ALL,$DF384,10)&amp;"","")&amp;"␟"&amp;IFERROR(INDEX(PASTE_ALL,$DF384,11)&amp;"","")&amp;"␟"&amp;IFERROR(INDEX(PASTE_ALL,$DF384,12)&amp;"","")&amp;"␟"&amp;IFERROR(INDEX(PASTE_ALL,$DF384,13)&amp;"","")&amp;"␟"&amp;IFERROR(INDEX(PASTE_ALL,$DF384,14)&amp;"","")&amp;"␟"&amp;IFERROR(INDEX(PASTE_ALL,$DF384,15)&amp;"","")&amp;"␟"&amp;IFERROR(INDEX(PASTE_ALL,$DF384,16)&amp;"","")&amp;"␟"&amp;IFERROR(INDEX(PASTE_ALL,$DF384,17)&amp;"","")&amp;"␟"&amp;IFERROR(INDEX(PASTE_ALL,$DF384,18)&amp;"","")&amp;"␟"&amp;IFERROR(INDEX(PASTE_ALL,$DF384,19)&amp;"","")&amp;"␟"&amp;IFERROR(INDEX(PASTE_ALL,$DF384,20)&amp;"","")&amp;"␟"&amp;IFERROR(INDEX(PASTE_ALL,$DF384,21)&amp;"","")&amp;"␟"&amp;IFERROR(INDEX(PASTE_ALL,$DF384,22)&amp;"","")&amp;"␟"&amp;IFERROR(INDEX(PASTE_ALL,$DF384,23)&amp;"","")&amp;"␟"&amp;IFERROR(INDEX(PASTE_ALL,$DF384,24)&amp;"","")&amp;"␟"&amp;IFERROR(INDEX(PASTE_ALL,$DF384,25)&amp;"","")&amp;"␟"&amp;IFERROR(INDEX(PASTE_ALL,$DF384,26)&amp;"","")&amp;"␟"&amp;IFERROR(INDEX(PASTE_ALL,$DF384,27)&amp;"","")&amp;"␟"&amp;IFERROR(INDEX(PASTE_ALL,$DF384,28)&amp;"","")&amp;"␟"&amp;IFERROR(INDEX(PASTE_ALL,$DF384,29)&amp;"","")&amp;"␟"&amp;IFERROR(INDEX(PASTE_ALL,$DF384,30)&amp;"","")&amp;"␟"&amp;IFERROR(INDEX(PASTE_ALL,$DF384,31)&amp;"","")&amp;"␟"&amp;IFERROR(INDEX(PASTE_ALL,$DF384,32)&amp;"","")&amp;"␟"&amp;IFERROR(INDEX(PASTE_ALL,$DF384,33)&amp;"","")&amp;"␟"&amp;IFERROR(INDEX(PASTE_ALL,$DF384,34)&amp;"","")&amp;"␟"&amp;IFERROR(INDEX(PASTE_ALL,$DF384,35)&amp;"","")&amp;"␟"&amp;IFERROR(INDEX(PASTE_ALL,$DF384,36)&amp;"","")&amp;"␟"&amp;IFERROR(INDEX(PASTE_ALL,$DF384,37)&amp;"","")&amp;"␟"&amp;IFERROR(INDEX(PASTE_ALL,$DF384,38)&amp;"","")&amp;"␟"&amp;IFERROR(INDEX(PASTE_ALL,$DF384,39)&amp;"","")&amp;"␟"&amp;IFERROR(INDEX(PASTE_ALL,$DF384,40)&amp;"","")&amp;"␟"&amp;IFERROR(INDEX(PASTE_ALL,$DF384,41)&amp;"","")&amp;"␟"&amp;IFERROR(INDEX(PASTE_ALL,$DF384,42)&amp;"","")&amp;"␟"&amp;IFERROR(INDEX(PASTE_ALL,$DF384,43)&amp;"","")&amp;"␟"&amp;IFERROR(INDEX(PASTE_ALL,$DF384,44)&amp;"","")&amp;"␟"&amp;IFERROR(INDEX(PASTE_ALL,$DF384,45)&amp;"","")&amp;"␟"&amp;IFERROR(INDEX(PASTE_ALL,$DF384,46)&amp;"","")&amp;"␟"&amp;IFERROR(INDEX(PASTE_ALL,$DF384,47)&amp;"","")&amp;"␟"&amp;IFERROR(INDEX(PASTE_ALL,$DF384,48)&amp;"","")&amp;"␟"&amp;IFERROR(INDEX(PASTE_ALL,$DF384,49)&amp;"","")&amp;"␟"&amp;IFERROR(INDEX(PASTE_ALL,$DF384,50)&amp;"","")&amp;"␟"&amp;IFERROR(INDEX(PASTE_ALL,$DF384,51)&amp;"","")&amp;"␟"&amp;IFERROR(INDEX(PASTE_ALL,$DF384,52)&amp;"","")&amp;"␟"&amp;IFERROR(INDEX(PASTE_ALL,$DF384,53)&amp;"","")&amp;"␟"&amp;IFERROR(INDEX(PASTE_ALL,$DF384,54)&amp;"","")&amp;"␟"&amp;IFERROR(INDEX(PASTE_ALL,$DF384,55)&amp;"","")&amp;"␟"&amp;IFERROR(INDEX(PASTE_ALL,$DF384,56)&amp;"","")&amp;"␟"&amp;IFERROR(INDEX(PASTE_ALL,$DF384,57)&amp;"","")&amp;"␟"&amp;IFERROR(INDEX(PASTE_ALL,$DF384,58)&amp;"","")&amp;"␟"&amp;IFERROR(INDEX(PASTE_ALL,$DF384,59)&amp;"","")&amp;"␟"&amp;IFERROR(INDEX(PASTE_ALL,$DF384,60)&amp;"","")," "," "),CHAR(9)," "),CHAR(10)," "),CHAR(13)," "))," ␟","␟"),"␟ ","␟"),"#"&amp;$DE384),"")</f>
        <v/>
      </c>
      <c r="DJ384">
        <f>IF($DI384="",0,IF(SUMPRODUCT(--EXACT($DI$4:DI383,$DI384))&gt;0,1,0))</f>
        <v/>
      </c>
      <c r="DK384">
        <f>IF(AND($DI384&lt;&gt;"",$DJ384=0),1,0)</f>
        <v/>
      </c>
      <c r="DL384">
        <f>DL383+$DK384</f>
        <v/>
      </c>
      <c r="DM384">
        <f>IF(AND($DK384=1,$DL384&lt;=600),1,0)</f>
        <v/>
      </c>
      <c r="DN384">
        <f>IF($DM384=0,"",IF($L$6=0,"",IFERROR(IF(ISNUMBER(INDEX(PASTE_ALL,$DF384,$L$6)),INDEX(PASTE_ALL,$DF384,$L$6),TRIM(SUBSTITUTE(SUBSTITUTE(SUBSTITUTE(SUBSTITUTE(INDEX(PASTE_ALL,$DF384,$L$6)," "," "),CHAR(9)," "),CHAR(10)," "),CHAR(13)," "))),"")))</f>
        <v/>
      </c>
      <c r="DO384">
        <f>IF($DM384=0,"",IF($L$7=0,"",IFERROR(IF(ISNUMBER(INDEX(PASTE_ALL,$DF384,$L$7)),INDEX(PASTE_ALL,$DF384,$L$7),TRIM(SUBSTITUTE(SUBSTITUTE(SUBSTITUTE(SUBSTITUTE(INDEX(PASTE_ALL,$DF384,$L$7)," "," "),CHAR(9)," "),CHAR(10)," "),CHAR(13)," "))),"")))</f>
        <v/>
      </c>
      <c r="DP384">
        <f>IF($DM384=0,"",IF($L$8=0,"",IFERROR(IF(ISNUMBER(INDEX(PASTE_ALL,$DF384,$L$8)),INDEX(PASTE_ALL,$DF384,$L$8),TRIM(SUBSTITUTE(SUBSTITUTE(SUBSTITUTE(SUBSTITUTE(INDEX(PASTE_ALL,$DF384,$L$8)," "," "),CHAR(9)," "),CHAR(10)," "),CHAR(13)," "))),"")))</f>
        <v/>
      </c>
      <c r="DQ384">
        <f>IF($DM384=0,"",IF($L$9=0,"",IFERROR(IF(ISNUMBER(INDEX(PASTE_ALL,$DF384,$L$9)),INDEX(PASTE_ALL,$DF384,$L$9),TRIM(SUBSTITUTE(SUBSTITUTE(SUBSTITUTE(SUBSTITUTE(INDEX(PASTE_ALL,$DF384,$L$9)," "," "),CHAR(9)," "),CHAR(10)," "),CHAR(13)," "))),"")))</f>
        <v/>
      </c>
      <c r="DR384">
        <f>IF($DM384=0,"",IF($L$10=0,"",IFERROR(IF(ISNUMBER(INDEX(PASTE_ALL,$DF384,$L$10)),INDEX(PASTE_ALL,$DF384,$L$10),TRIM(SUBSTITUTE(SUBSTITUTE(SUBSTITUTE(SUBSTITUTE(INDEX(PASTE_ALL,$DF384,$L$10)," "," "),CHAR(9)," "),CHAR(10)," "),CHAR(13)," "))),"")))</f>
        <v/>
      </c>
      <c r="DS384">
        <f>IF($DM384=0,"",IF($L$11=0,"",IFERROR(IF(ISNUMBER(INDEX(PASTE_ALL,$DF384,$L$11)),INDEX(PASTE_ALL,$DF384,$L$11),TRIM(SUBSTITUTE(SUBSTITUTE(SUBSTITUTE(SUBSTITUTE(INDEX(PASTE_ALL,$DF384,$L$11)," "," "),CHAR(9)," "),CHAR(10)," "),CHAR(13)," "))),"")))</f>
        <v/>
      </c>
      <c r="DT384">
        <f>IF($DM384=0,"",IF($L$12=0,"",IFERROR(IF(ISNUMBER(INDEX(PASTE_ALL,$DF384,$L$12)),INDEX(PASTE_ALL,$DF384,$L$12),TRIM(SUBSTITUTE(SUBSTITUTE(SUBSTITUTE(SUBSTITUTE(INDEX(PASTE_ALL,$DF384,$L$12)," "," "),CHAR(9)," "),CHAR(10)," "),CHAR(13)," "))),"")))</f>
        <v/>
      </c>
      <c r="DU384">
        <f>IF($DM384=0,"",IF($L$13=0,"",IFERROR(IF(ISNUMBER(INDEX(PASTE_ALL,$DF384,$L$13)),INDEX(PASTE_ALL,$DF384,$L$13),TRIM(SUBSTITUTE(SUBSTITUTE(SUBSTITUTE(SUBSTITUTE(INDEX(PASTE_ALL,$DF384,$L$13)," "," "),CHAR(9)," "),CHAR(10)," "),CHAR(13)," "))),"")))</f>
        <v/>
      </c>
      <c r="DV384">
        <f>IF($DM384=0,"",IF($L$14=0,"",IFERROR(IF(ISNUMBER(INDEX(PASTE_ALL,$DF384,$L$14)),INDEX(PASTE_ALL,$DF384,$L$14),TRIM(SUBSTITUTE(SUBSTITUTE(SUBSTITUTE(SUBSTITUTE(INDEX(PASTE_ALL,$DF384,$L$14)," "," "),CHAR(9)," "),CHAR(10)," "),CHAR(13)," "))),"")))</f>
        <v/>
      </c>
      <c r="DW384">
        <f>IF($DM384=0,"",IF($L$15=0,"",IFERROR(IF(ISNUMBER(INDEX(PASTE_ALL,$DF384,$L$15)),INDEX(PASTE_ALL,$DF384,$L$15),IF(SUMPRODUCT(--ISNUMBER(FIND({"A","B","C","D","E","F","G","H","I","J","K","L","M","N","O","P","Q","R","S","T","U","V","W","X","Y","Z","0","1","2","3","4","5","6","7","8","9"},UPPER(TRIM(SUBSTITUTE(SUBSTITUTE(SUBSTITUTE(SUBSTITUTE(INDEX(PASTE_ALL,$DF384,$L$15)," "," "),CHAR(9)," "),CHAR(10)," "),CHAR(13)," "))))))&gt;0,TRIM(SUBSTITUTE(SUBSTITUTE(SUBSTITUTE(SUBSTITUTE(INDEX(PASTE_ALL,$DF384,$L$15)," "," "),CHAR(9)," "),CHAR(10)," "),CHAR(13)," ")),"")),"")))</f>
        <v/>
      </c>
      <c r="DX384">
        <f>IF($DM384=0,"",IF($L$16=0,"",IFERROR(IF(ISNUMBER(INDEX(PASTE_ALL,$DF384,$L$16)),INDEX(PASTE_ALL,$DF384,$L$16),SUBSTITUTE(SUBSTITUTE(TRIM(SUBSTITUTE(SUBSTITUTE(SUBSTITUTE(SUBSTITUTE(INDEX(PASTE_ALL,$DF384,$L$16)," "," "),CHAR(9)," "),CHAR(10)," "),CHAR(13)," ")),",",""),"%","")),"")))</f>
        <v/>
      </c>
      <c r="DY384">
        <f>IF($DM384=0,"",IFERROR(IF(ISNUMBER($DX384),$DX384,IF($DX384="","",IF(TRIM($DX384)="",0,IF(AND(AND(SUBSTITUTE(SUBSTITUTE(SUBSTITUTE(SUBSTITUTE(SUBSTITUTE(SUBSTITUTE(SUBSTITUTE(SUBSTITUTE(SUBSTITUTE(SUBSTITUTE(SUBSTITUTE(SUBSTITUTE(SUBSTITUTE(SUBSTITUTE(UPPER(TRIM($DX384)),"0",""),"1",""),"2",""),"3",""),"4",""),"5",""),"6",""),"7",""),"8",""),"9",""),".",""),"+",""),"-",""),"E","")="",LEN(SUBSTITUTE(SUBSTITUTE(MID(UPPER(TRIM($DX384)),1+OR(LEFT(UPPER(TRIM($DX384)),1)="+",LEFT(UPPER(TRIM($DX384)),1)="-"),999),"E+","E"),"E-","E"))=LEN(SUBSTITUTE(SUBSTITUTE(SUBSTITUTE(SUBSTITUTE(MID(UPPER(TRIM($DX384)),1+OR(LEFT(UPPER(TRIM($DX384)),1)="+",LEFT(UPPER(TRIM($DX384)),1)="-"),999),"E+","E"),"E-","E"),"+",""),"-","")),LEN(UPPER(TRIM($DX384)))-LEN(SUBSTITUTE(UPPER(TRIM($DX384)),"E",""))&lt;2,LEN(UPPER(TRIM($DX384)))-LEN(SUBSTITUTE(UPPER(TRIM($DX384)),".",""))&lt;2,IFERROR(FIND(".",UPPER(TRIM($DX384))),0)&lt;IFERROR(FIND("E",UPPER(TRIM($DX384))),999)),ISNUMBER(VALUE(TRIM($DX384)))),VALUE(TRIM($DX384)),"")))),""))</f>
        <v/>
      </c>
      <c r="DZ384">
        <f>IF($DM384=0,"",IF($L$17=0,"",IFERROR(IF(ISNUMBER(INDEX(PASTE_ALL,$DF384,$L$17)),INDEX(PASTE_ALL,$DF384,$L$17),SUBSTITUTE(SUBSTITUTE(TRIM(SUBSTITUTE(SUBSTITUTE(SUBSTITUTE(SUBSTITUTE(INDEX(PASTE_ALL,$DF384,$L$17)," "," "),CHAR(9)," "),CHAR(10)," "),CHAR(13)," ")),",",""),"%","")),"")))</f>
        <v/>
      </c>
      <c r="EA384">
        <f>IF($DM384=0,"",IFERROR(IF(ISNUMBER($DZ384),$DZ384,IF($DZ384="","",IF(TRIM($DZ384)="",0,IF(AND(AND(SUBSTITUTE(SUBSTITUTE(SUBSTITUTE(SUBSTITUTE(SUBSTITUTE(SUBSTITUTE(SUBSTITUTE(SUBSTITUTE(SUBSTITUTE(SUBSTITUTE(SUBSTITUTE(SUBSTITUTE(SUBSTITUTE(SUBSTITUTE(UPPER(TRIM($DZ384)),"0",""),"1",""),"2",""),"3",""),"4",""),"5",""),"6",""),"7",""),"8",""),"9",""),".",""),"+",""),"-",""),"E","")="",LEN(SUBSTITUTE(SUBSTITUTE(MID(UPPER(TRIM($DZ384)),1+OR(LEFT(UPPER(TRIM($DZ384)),1)="+",LEFT(UPPER(TRIM($DZ384)),1)="-"),999),"E+","E"),"E-","E"))=LEN(SUBSTITUTE(SUBSTITUTE(SUBSTITUTE(SUBSTITUTE(MID(UPPER(TRIM($DZ384)),1+OR(LEFT(UPPER(TRIM($DZ384)),1)="+",LEFT(UPPER(TRIM($DZ384)),1)="-"),999),"E+","E"),"E-","E"),"+",""),"-","")),LEN(UPPER(TRIM($DZ384)))-LEN(SUBSTITUTE(UPPER(TRIM($DZ384)),"E",""))&lt;2,LEN(UPPER(TRIM($DZ384)))-LEN(SUBSTITUTE(UPPER(TRIM($DZ384)),".",""))&lt;2,IFERROR(FIND(".",UPPER(TRIM($DZ384))),0)&lt;IFERROR(FIND("E",UPPER(TRIM($DZ384))),999)),ISNUMBER(VALUE(TRIM($DZ384)))),VALUE(TRIM($DZ384)),"")))),""))</f>
        <v/>
      </c>
      <c r="EB384">
        <f>IF($DM384=0,"",IF($L$18=0,"",IFERROR(IF(UPPER(TRIM(SUBSTITUTE(SUBSTITUTE(SUBSTITUTE(SUBSTITUTE(INDEX(PASTE_ALL,$DF384,$L$18)," "," "),CHAR(9)," "),CHAR(10)," "),CHAR(13)," ")))="READY","Ready",IF(UPPER(TRIM(SUBSTITUTE(SUBSTITUTE(SUBSTITUTE(SUBSTITUTE(INDEX(PASTE_ALL,$DF384,$L$18)," "," "),CHAR(9)," "),CHAR(10)," "),CHAR(13)," ")))="PM","PM",IF(OR(UPPER(TRIM(SUBSTITUTE(SUBSTITUTE(SUBSTITUTE(SUBSTITUTE(INDEX(PASTE_ALL,$DF384,$L$18)," "," "),CHAR(9)," "),CHAR(10)," "),CHAR(13)," ")))="OT",UPPER(TRIM(SUBSTITUTE(SUBSTITUTE(SUBSTITUTE(SUBSTITUTE(INDEX(PASTE_ALL,$DF384,$L$18)," "," "),CHAR(9)," "),CHAR(10)," "),CHAR(13)," ")))="OVERTIME",UPPER(TRIM(SUBSTITUTE(SUBSTITUTE(SUBSTITUTE(SUBSTITUTE(INDEX(PASTE_ALL,$DF384,$L$18)," "," "),CHAR(9)," "),CHAR(10)," "),CHAR(13)," ")))="TRIAL"),"OT",TRIM(SUBSTITUTE(SUBSTITUTE(SUBSTITUTE(SUBSTITUTE(INDEX(PASTE_ALL,$DF384,$L$18)," "," "),CHAR(9)," "),CHAR(10)," "),CHAR(13)," "))))),"")))</f>
        <v/>
      </c>
      <c r="EC384">
        <f>IF($DM384=0,"",IF($L$19=0,"",IFERROR(IF(ISNUMBER(INDEX(PASTE_ALL,$DF384,$L$19)),INDEX(PASTE_ALL,$DF384,$L$19),TRIM(SUBSTITUTE(SUBSTITUTE(SUBSTITUTE(SUBSTITUTE(INDEX(PASTE_ALL,$DF384,$L$19)," "," "),CHAR(9)," "),CHAR(10)," "),CHAR(13)," "))),"")))</f>
        <v/>
      </c>
      <c r="ED384">
        <f>IF($DM384=0,"",MATCH(1,INDEX(EXACT($DH$5:DH384,$DH384)*$DM$5:DM384,0),0))</f>
        <v/>
      </c>
      <c r="EE384">
        <f>IF($DM384=0,0,IF($ED384=$DE384,1,0))</f>
        <v/>
      </c>
      <c r="EF384">
        <f>EF383+$EE384</f>
        <v/>
      </c>
      <c r="EG384">
        <f>IF($DM384=0,"",INDEX($EF$5:$EF$1003,$ED384))</f>
        <v/>
      </c>
      <c r="EH384">
        <f>IF($DM384=0,"",IF($DO384&lt;&gt;"","",IFERROR(LOOKUP(2,1/(($EG$4:EG383=$EG384)*($DO$4:DO383&lt;&gt;"")),$DO$4:DO383),"")))</f>
        <v/>
      </c>
      <c r="EI384">
        <f>IF($DM384=0,"",IF($DO384&lt;&gt;"",$DO384,$EH384))</f>
        <v/>
      </c>
      <c r="EJ384">
        <f>IF($DM384=0,"",IF($EI384="",0,IF(OR(ISNUMBER($EI384),AND(AND(SUBSTITUTE(SUBSTITUTE(SUBSTITUTE(SUBSTITUTE(SUBSTITUTE(SUBSTITUTE(SUBSTITUTE(SUBSTITUTE(SUBSTITUTE(SUBSTITUTE(SUBSTITUTE(SUBSTITUTE(SUBSTITUTE(SUBSTITUTE(UPPER($EI384),"0",""),"1",""),"2",""),"3",""),"4",""),"5",""),"6",""),"7",""),"8",""),"9",""),".",""),"+",""),"-",""),"E","")="",LEN(SUBSTITUTE(SUBSTITUTE(MID(UPPER($EI384),1+OR(LEFT(UPPER($EI384),1)="+",LEFT(UPPER($EI384),1)="-"),999),"E+","E"),"E-","E"))=LEN(SUBSTITUTE(SUBSTITUTE(SUBSTITUTE(SUBSTITUTE(MID(UPPER($EI384),1+OR(LEFT(UPPER($EI384),1)="+",LEFT(UPPER($EI384),1)="-"),999),"E+","E"),"E-","E"),"+",""),"-","")),LEN(UPPER($EI384))-LEN(SUBSTITUTE(UPPER($EI384),"E",""))&lt;2,LEN(UPPER($EI384))-LEN(SUBSTITUTE(UPPER($EI384),".",""))&lt;2,IFERROR(FIND(".",UPPER($EI384)),0)&lt;IFERROR(FIND("E",UPPER($EI384)),999)),ISNUMBER(VALUE($EI384)))),1,2)))</f>
        <v/>
      </c>
      <c r="EK384">
        <f>IF($DM384=0,"",IF($EJ384=1,IF(ISNUMBER($EI384),$EI384,VALUE($EI384)),IF($EJ384=2,$DE384,0)))</f>
        <v/>
      </c>
      <c r="EL384">
        <f>IF($DM384=0,"",COUNTIF($EG$5:$EG$1003,"&lt;"&amp;$EG384)+SUMPRODUCT(($EG$5:$EG$1003=$EG384)*(($EJ$5:$EJ$1003&lt;$EJ384)+($EJ$5:$EJ$1003=$EJ384)*(($EK$5:$EK$1003&lt;$EK384)+($EK$5:$EK$1003=$EK384)*($DE$5:$DE$1003&lt;$DE384))))+1)</f>
        <v/>
      </c>
      <c r="EM384">
        <f>IF($DM384=0,"",$EL384+$EG384-1)</f>
        <v/>
      </c>
      <c r="EN384">
        <f>IF($DM384=0,0,IFERROR(MATCH(1,INDEX(--(TRIM(SUBSTITUTE(SUBSTITUTE(SUBSTITUTE(SUBSTITUTE(LINES_NAME&amp;""," "," "),CHAR(9)," "),CHAR(10)," "),CHAR(13)," "))=$DH384),0),0),0))</f>
        <v/>
      </c>
      <c r="EO384">
        <f>IF($EN384=0,0,IF(OR(UPPER(TRIM(INDEX(LINES_SCHEDULED,$EN384)&amp;""))="YES",UPPER(TRIM(INDEX(LINES_SCHEDULED,$EN384)&amp;""))="Y",UPPER(TRIM(INDEX(LINES_SCHEDULED,$EN384)&amp;""))="X"),1,0))</f>
        <v/>
      </c>
      <c r="EP384">
        <f>IF($DM384=0,"",IF(COUNTIFS($EG$5:$EG$1003,$EG384,$EB$5:$EB$1003,"Ready")&gt;0,"READY",IF(COUNTIFS($EG$5:$EG$1003,$EG384,$EB$5:$EB$1003,"PM")&gt;0,"PM",IF(COUNTIFS($EG$5:$EG$1003,$EG384,$EB$5:$EB$1003,"OT")&gt;0,"OT",""))))</f>
        <v/>
      </c>
      <c r="EQ384">
        <f>IF($EN384=0,"",UPPER(TRIM(INDEX(LINES_STATUS,$EN384)&amp;"")))</f>
        <v/>
      </c>
      <c r="ER384">
        <f>IF($DM384=0,"",IF(OR($EQ384="READY",$EQ384="PM",$EQ384="OT"),$EQ384,$EP384))</f>
        <v/>
      </c>
      <c r="ES384">
        <f>IF($DM384=0,"",IF(AND($DV384&lt;&gt;"",UPPER($DV384)&lt;&gt;"N"),"allergen",IF(ISNUMBER(SEARCH("oil",$DQ384)),"oil",IF(OR(EXACT($DS384,"A662"),EXACT($DS384,"A624")),"bulk",""))))</f>
        <v/>
      </c>
      <c r="ET384">
        <f>IF($DM384=0,"",IF(OR($EA384="",$EA384=0),"",$EA384/100))</f>
        <v/>
      </c>
      <c r="EU384">
        <f>IF(OR($ET384="",$DY384=""),"",INT($DY384*(1-$ET384)+0.5))</f>
        <v/>
      </c>
      <c r="EW384" t="n">
        <v>380</v>
      </c>
      <c r="EX384">
        <f>IFERROR(MATCH($EW384,$EM$5:$EM$1003,0),0)</f>
        <v/>
      </c>
      <c r="EY384">
        <f>IF($EW384&gt;$B$12,"",IF($EX384&gt;0,"row","spacer"))</f>
        <v/>
      </c>
      <c r="EZ384">
        <f>IF(AND($EY384="row",$EY383&lt;&gt;"row"),1,0)</f>
        <v/>
      </c>
      <c r="FA384">
        <f>IF(AND($EY384="row",$EY385&lt;&gt;"row"),1,0)</f>
        <v/>
      </c>
      <c r="FB384">
        <f>IF($EZ384=1,IFERROR(IF(ISNUMBER(INDEX(PASTE_ALL,INDEX($DF$5:$DF$1003,$EX384),$B$37)),INDEX(PASTE_ALL,INDEX($DF$5:$DF$1003,$EX384),$B$37),INDEX($DH$5:$DH$1003,$EX384)),INDEX($DH$5:$DH$1003,$EX384)),"")</f>
        <v/>
      </c>
      <c r="FC384">
        <f>IF($EY384="row",INDEX($ER$5:$ER$1003,$EX384),"")</f>
        <v/>
      </c>
      <c r="FD384">
        <f>IF($EY384="row",INDEX($DN$5:$DN$1003,$EX384),"")</f>
        <v/>
      </c>
      <c r="FE384">
        <f>IF($EY384="row",INDEX($DO$5:$DO$1003,$EX384),"")</f>
        <v/>
      </c>
      <c r="FF384">
        <f>IF($EY384="row",INDEX($DP$5:$DP$1003,$EX384),"")</f>
        <v/>
      </c>
      <c r="FG384">
        <f>IF($EY384="row",INDEX($DQ$5:$DQ$1003,$EX384),"")</f>
        <v/>
      </c>
      <c r="FH384">
        <f>IF($EY384="row",INDEX($DR$5:$DR$1003,$EX384),"")</f>
        <v/>
      </c>
      <c r="FI384">
        <f>IF($EY384="row",INDEX($DS$5:$DS$1003,$EX384),"")</f>
        <v/>
      </c>
      <c r="FJ384">
        <f>IF($EY384="row",INDEX($DT$5:$DT$1003,$EX384),"")</f>
        <v/>
      </c>
      <c r="FK384">
        <f>IF($EY384="row",INDEX($DU$5:$DU$1003,$EX384),"")</f>
        <v/>
      </c>
      <c r="FL384">
        <f>IF($EY384="row",INDEX($DV$5:$DV$1003,$EX384),"")</f>
        <v/>
      </c>
      <c r="FM384">
        <f>IF($EY384="row",INDEX($DW$5:$DW$1003,$EX384),"")</f>
        <v/>
      </c>
      <c r="FN384">
        <f>IF($EY384="row",INDEX($DY$5:$DY$1003,$EX384),"")</f>
        <v/>
      </c>
      <c r="FO384">
        <f>IF($EY384="row",INDEX($EA$5:$EA$1003,$EX384),"")</f>
        <v/>
      </c>
      <c r="FP384">
        <f>IF($EY384="row",INDEX($EC$5:$EC$1003,$EX384),"")</f>
        <v/>
      </c>
      <c r="FQ384">
        <f>IF($EY384="row",INDEX($ET$5:$ET$1003,$EX384),"")</f>
        <v/>
      </c>
      <c r="FR384">
        <f>IF($EY384="row",INDEX($EU$5:$EU$1003,$EX384),"")</f>
        <v/>
      </c>
      <c r="FS384">
        <f>IF(AND($EY384="row",$EY383="row"),IF(OR(INDEX($DT$5:$DT$1003,$EX383)="",INDEX($DT$5:$DT$1003,$EX384)=""),"",IF(NOT(EXACT(INDEX($DT$5:$DT$1003,$EX383),INDEX($DT$5:$DT$1003,$EX384))),"S4",IF(NOT(EXACT(INDEX($DS$5:$DS$1003,$EX383),INDEX($DS$5:$DS$1003,$EX384))),"S3",IF(NOT(EXACT(INDEX($DR$5:$DR$1003,$EX383),INDEX($DR$5:$DR$1003,$EX384))),"S1 Count Change","S1")))),"")</f>
        <v/>
      </c>
      <c r="FT384">
        <f>IF($EY384="row",INDEX($ES$5:$ES$1003,$EX384),"")</f>
        <v/>
      </c>
      <c r="FU384">
        <f>IF($EY384="row",INDEX($EO$5:$EO$1003,$EX384),0)</f>
        <v/>
      </c>
      <c r="FV384">
        <f>IF($FS384="S1 Count Change",1,0)</f>
        <v/>
      </c>
    </row>
    <row r="385">
      <c r="DA385" t="n">
        <v>381</v>
      </c>
      <c r="DB385">
        <f>IF($B$37=0,"",IFERROR(TRIM(SUBSTITUTE(SUBSTITUTE(SUBSTITUTE(SUBSTITUTE(INDEX(PASTE_ALL,381,$B$37)," "," "),CHAR(9)," "),CHAR(10)," "),CHAR(13)," ")),""))</f>
        <v/>
      </c>
      <c r="DC385">
        <f>IF(AND(381&gt;HEADER_ROW,UPPER(DB385)="LEGEND"),1,0)</f>
        <v/>
      </c>
      <c r="DE385" t="n">
        <v>381</v>
      </c>
      <c r="DF385">
        <f>HEADER_ROW+$DE385</f>
        <v/>
      </c>
      <c r="DG385">
        <f>IF(AND($DF385&lt;=1000,$DF385&lt;$B$8),1,0)</f>
        <v/>
      </c>
      <c r="DH385">
        <f>IF($DG385=1,IFERROR(INDEX($DB$5:$DB$1004,$DF385),""),"")</f>
        <v/>
      </c>
      <c r="DI385">
        <f>IF(AND($DG385=1,$DH385&lt;&gt;""),IFERROR(SUBSTITUTE(SUBSTITUTE(TRIM(SUBSTITUTE(SUBSTITUTE(SUBSTITUTE(SUBSTITUTE(IFERROR(INDEX(PASTE_ALL,$DF385,1)&amp;"","")&amp;"␟"&amp;IFERROR(INDEX(PASTE_ALL,$DF385,2)&amp;"","")&amp;"␟"&amp;IFERROR(INDEX(PASTE_ALL,$DF385,3)&amp;"","")&amp;"␟"&amp;IFERROR(INDEX(PASTE_ALL,$DF385,4)&amp;"","")&amp;"␟"&amp;IFERROR(INDEX(PASTE_ALL,$DF385,5)&amp;"","")&amp;"␟"&amp;IFERROR(INDEX(PASTE_ALL,$DF385,6)&amp;"","")&amp;"␟"&amp;IFERROR(INDEX(PASTE_ALL,$DF385,7)&amp;"","")&amp;"␟"&amp;IFERROR(INDEX(PASTE_ALL,$DF385,8)&amp;"","")&amp;"␟"&amp;IFERROR(INDEX(PASTE_ALL,$DF385,9)&amp;"","")&amp;"␟"&amp;IFERROR(INDEX(PASTE_ALL,$DF385,10)&amp;"","")&amp;"␟"&amp;IFERROR(INDEX(PASTE_ALL,$DF385,11)&amp;"","")&amp;"␟"&amp;IFERROR(INDEX(PASTE_ALL,$DF385,12)&amp;"","")&amp;"␟"&amp;IFERROR(INDEX(PASTE_ALL,$DF385,13)&amp;"","")&amp;"␟"&amp;IFERROR(INDEX(PASTE_ALL,$DF385,14)&amp;"","")&amp;"␟"&amp;IFERROR(INDEX(PASTE_ALL,$DF385,15)&amp;"","")&amp;"␟"&amp;IFERROR(INDEX(PASTE_ALL,$DF385,16)&amp;"","")&amp;"␟"&amp;IFERROR(INDEX(PASTE_ALL,$DF385,17)&amp;"","")&amp;"␟"&amp;IFERROR(INDEX(PASTE_ALL,$DF385,18)&amp;"","")&amp;"␟"&amp;IFERROR(INDEX(PASTE_ALL,$DF385,19)&amp;"","")&amp;"␟"&amp;IFERROR(INDEX(PASTE_ALL,$DF385,20)&amp;"","")&amp;"␟"&amp;IFERROR(INDEX(PASTE_ALL,$DF385,21)&amp;"","")&amp;"␟"&amp;IFERROR(INDEX(PASTE_ALL,$DF385,22)&amp;"","")&amp;"␟"&amp;IFERROR(INDEX(PASTE_ALL,$DF385,23)&amp;"","")&amp;"␟"&amp;IFERROR(INDEX(PASTE_ALL,$DF385,24)&amp;"","")&amp;"␟"&amp;IFERROR(INDEX(PASTE_ALL,$DF385,25)&amp;"","")&amp;"␟"&amp;IFERROR(INDEX(PASTE_ALL,$DF385,26)&amp;"","")&amp;"␟"&amp;IFERROR(INDEX(PASTE_ALL,$DF385,27)&amp;"","")&amp;"␟"&amp;IFERROR(INDEX(PASTE_ALL,$DF385,28)&amp;"","")&amp;"␟"&amp;IFERROR(INDEX(PASTE_ALL,$DF385,29)&amp;"","")&amp;"␟"&amp;IFERROR(INDEX(PASTE_ALL,$DF385,30)&amp;"","")&amp;"␟"&amp;IFERROR(INDEX(PASTE_ALL,$DF385,31)&amp;"","")&amp;"␟"&amp;IFERROR(INDEX(PASTE_ALL,$DF385,32)&amp;"","")&amp;"␟"&amp;IFERROR(INDEX(PASTE_ALL,$DF385,33)&amp;"","")&amp;"␟"&amp;IFERROR(INDEX(PASTE_ALL,$DF385,34)&amp;"","")&amp;"␟"&amp;IFERROR(INDEX(PASTE_ALL,$DF385,35)&amp;"","")&amp;"␟"&amp;IFERROR(INDEX(PASTE_ALL,$DF385,36)&amp;"","")&amp;"␟"&amp;IFERROR(INDEX(PASTE_ALL,$DF385,37)&amp;"","")&amp;"␟"&amp;IFERROR(INDEX(PASTE_ALL,$DF385,38)&amp;"","")&amp;"␟"&amp;IFERROR(INDEX(PASTE_ALL,$DF385,39)&amp;"","")&amp;"␟"&amp;IFERROR(INDEX(PASTE_ALL,$DF385,40)&amp;"","")&amp;"␟"&amp;IFERROR(INDEX(PASTE_ALL,$DF385,41)&amp;"","")&amp;"␟"&amp;IFERROR(INDEX(PASTE_ALL,$DF385,42)&amp;"","")&amp;"␟"&amp;IFERROR(INDEX(PASTE_ALL,$DF385,43)&amp;"","")&amp;"␟"&amp;IFERROR(INDEX(PASTE_ALL,$DF385,44)&amp;"","")&amp;"␟"&amp;IFERROR(INDEX(PASTE_ALL,$DF385,45)&amp;"","")&amp;"␟"&amp;IFERROR(INDEX(PASTE_ALL,$DF385,46)&amp;"","")&amp;"␟"&amp;IFERROR(INDEX(PASTE_ALL,$DF385,47)&amp;"","")&amp;"␟"&amp;IFERROR(INDEX(PASTE_ALL,$DF385,48)&amp;"","")&amp;"␟"&amp;IFERROR(INDEX(PASTE_ALL,$DF385,49)&amp;"","")&amp;"␟"&amp;IFERROR(INDEX(PASTE_ALL,$DF385,50)&amp;"","")&amp;"␟"&amp;IFERROR(INDEX(PASTE_ALL,$DF385,51)&amp;"","")&amp;"␟"&amp;IFERROR(INDEX(PASTE_ALL,$DF385,52)&amp;"","")&amp;"␟"&amp;IFERROR(INDEX(PASTE_ALL,$DF385,53)&amp;"","")&amp;"␟"&amp;IFERROR(INDEX(PASTE_ALL,$DF385,54)&amp;"","")&amp;"␟"&amp;IFERROR(INDEX(PASTE_ALL,$DF385,55)&amp;"","")&amp;"␟"&amp;IFERROR(INDEX(PASTE_ALL,$DF385,56)&amp;"","")&amp;"␟"&amp;IFERROR(INDEX(PASTE_ALL,$DF385,57)&amp;"","")&amp;"␟"&amp;IFERROR(INDEX(PASTE_ALL,$DF385,58)&amp;"","")&amp;"␟"&amp;IFERROR(INDEX(PASTE_ALL,$DF385,59)&amp;"","")&amp;"␟"&amp;IFERROR(INDEX(PASTE_ALL,$DF385,60)&amp;"","")," "," "),CHAR(9)," "),CHAR(10)," "),CHAR(13)," "))," ␟","␟"),"␟ ","␟"),"#"&amp;$DE385),"")</f>
        <v/>
      </c>
      <c r="DJ385">
        <f>IF($DI385="",0,IF(SUMPRODUCT(--EXACT($DI$4:DI384,$DI385))&gt;0,1,0))</f>
        <v/>
      </c>
      <c r="DK385">
        <f>IF(AND($DI385&lt;&gt;"",$DJ385=0),1,0)</f>
        <v/>
      </c>
      <c r="DL385">
        <f>DL384+$DK385</f>
        <v/>
      </c>
      <c r="DM385">
        <f>IF(AND($DK385=1,$DL385&lt;=600),1,0)</f>
        <v/>
      </c>
      <c r="DN385">
        <f>IF($DM385=0,"",IF($L$6=0,"",IFERROR(IF(ISNUMBER(INDEX(PASTE_ALL,$DF385,$L$6)),INDEX(PASTE_ALL,$DF385,$L$6),TRIM(SUBSTITUTE(SUBSTITUTE(SUBSTITUTE(SUBSTITUTE(INDEX(PASTE_ALL,$DF385,$L$6)," "," "),CHAR(9)," "),CHAR(10)," "),CHAR(13)," "))),"")))</f>
        <v/>
      </c>
      <c r="DO385">
        <f>IF($DM385=0,"",IF($L$7=0,"",IFERROR(IF(ISNUMBER(INDEX(PASTE_ALL,$DF385,$L$7)),INDEX(PASTE_ALL,$DF385,$L$7),TRIM(SUBSTITUTE(SUBSTITUTE(SUBSTITUTE(SUBSTITUTE(INDEX(PASTE_ALL,$DF385,$L$7)," "," "),CHAR(9)," "),CHAR(10)," "),CHAR(13)," "))),"")))</f>
        <v/>
      </c>
      <c r="DP385">
        <f>IF($DM385=0,"",IF($L$8=0,"",IFERROR(IF(ISNUMBER(INDEX(PASTE_ALL,$DF385,$L$8)),INDEX(PASTE_ALL,$DF385,$L$8),TRIM(SUBSTITUTE(SUBSTITUTE(SUBSTITUTE(SUBSTITUTE(INDEX(PASTE_ALL,$DF385,$L$8)," "," "),CHAR(9)," "),CHAR(10)," "),CHAR(13)," "))),"")))</f>
        <v/>
      </c>
      <c r="DQ385">
        <f>IF($DM385=0,"",IF($L$9=0,"",IFERROR(IF(ISNUMBER(INDEX(PASTE_ALL,$DF385,$L$9)),INDEX(PASTE_ALL,$DF385,$L$9),TRIM(SUBSTITUTE(SUBSTITUTE(SUBSTITUTE(SUBSTITUTE(INDEX(PASTE_ALL,$DF385,$L$9)," "," "),CHAR(9)," "),CHAR(10)," "),CHAR(13)," "))),"")))</f>
        <v/>
      </c>
      <c r="DR385">
        <f>IF($DM385=0,"",IF($L$10=0,"",IFERROR(IF(ISNUMBER(INDEX(PASTE_ALL,$DF385,$L$10)),INDEX(PASTE_ALL,$DF385,$L$10),TRIM(SUBSTITUTE(SUBSTITUTE(SUBSTITUTE(SUBSTITUTE(INDEX(PASTE_ALL,$DF385,$L$10)," "," "),CHAR(9)," "),CHAR(10)," "),CHAR(13)," "))),"")))</f>
        <v/>
      </c>
      <c r="DS385">
        <f>IF($DM385=0,"",IF($L$11=0,"",IFERROR(IF(ISNUMBER(INDEX(PASTE_ALL,$DF385,$L$11)),INDEX(PASTE_ALL,$DF385,$L$11),TRIM(SUBSTITUTE(SUBSTITUTE(SUBSTITUTE(SUBSTITUTE(INDEX(PASTE_ALL,$DF385,$L$11)," "," "),CHAR(9)," "),CHAR(10)," "),CHAR(13)," "))),"")))</f>
        <v/>
      </c>
      <c r="DT385">
        <f>IF($DM385=0,"",IF($L$12=0,"",IFERROR(IF(ISNUMBER(INDEX(PASTE_ALL,$DF385,$L$12)),INDEX(PASTE_ALL,$DF385,$L$12),TRIM(SUBSTITUTE(SUBSTITUTE(SUBSTITUTE(SUBSTITUTE(INDEX(PASTE_ALL,$DF385,$L$12)," "," "),CHAR(9)," "),CHAR(10)," "),CHAR(13)," "))),"")))</f>
        <v/>
      </c>
      <c r="DU385">
        <f>IF($DM385=0,"",IF($L$13=0,"",IFERROR(IF(ISNUMBER(INDEX(PASTE_ALL,$DF385,$L$13)),INDEX(PASTE_ALL,$DF385,$L$13),TRIM(SUBSTITUTE(SUBSTITUTE(SUBSTITUTE(SUBSTITUTE(INDEX(PASTE_ALL,$DF385,$L$13)," "," "),CHAR(9)," "),CHAR(10)," "),CHAR(13)," "))),"")))</f>
        <v/>
      </c>
      <c r="DV385">
        <f>IF($DM385=0,"",IF($L$14=0,"",IFERROR(IF(ISNUMBER(INDEX(PASTE_ALL,$DF385,$L$14)),INDEX(PASTE_ALL,$DF385,$L$14),TRIM(SUBSTITUTE(SUBSTITUTE(SUBSTITUTE(SUBSTITUTE(INDEX(PASTE_ALL,$DF385,$L$14)," "," "),CHAR(9)," "),CHAR(10)," "),CHAR(13)," "))),"")))</f>
        <v/>
      </c>
      <c r="DW385">
        <f>IF($DM385=0,"",IF($L$15=0,"",IFERROR(IF(ISNUMBER(INDEX(PASTE_ALL,$DF385,$L$15)),INDEX(PASTE_ALL,$DF385,$L$15),IF(SUMPRODUCT(--ISNUMBER(FIND({"A","B","C","D","E","F","G","H","I","J","K","L","M","N","O","P","Q","R","S","T","U","V","W","X","Y","Z","0","1","2","3","4","5","6","7","8","9"},UPPER(TRIM(SUBSTITUTE(SUBSTITUTE(SUBSTITUTE(SUBSTITUTE(INDEX(PASTE_ALL,$DF385,$L$15)," "," "),CHAR(9)," "),CHAR(10)," "),CHAR(13)," "))))))&gt;0,TRIM(SUBSTITUTE(SUBSTITUTE(SUBSTITUTE(SUBSTITUTE(INDEX(PASTE_ALL,$DF385,$L$15)," "," "),CHAR(9)," "),CHAR(10)," "),CHAR(13)," ")),"")),"")))</f>
        <v/>
      </c>
      <c r="DX385">
        <f>IF($DM385=0,"",IF($L$16=0,"",IFERROR(IF(ISNUMBER(INDEX(PASTE_ALL,$DF385,$L$16)),INDEX(PASTE_ALL,$DF385,$L$16),SUBSTITUTE(SUBSTITUTE(TRIM(SUBSTITUTE(SUBSTITUTE(SUBSTITUTE(SUBSTITUTE(INDEX(PASTE_ALL,$DF385,$L$16)," "," "),CHAR(9)," "),CHAR(10)," "),CHAR(13)," ")),",",""),"%","")),"")))</f>
        <v/>
      </c>
      <c r="DY385">
        <f>IF($DM385=0,"",IFERROR(IF(ISNUMBER($DX385),$DX385,IF($DX385="","",IF(TRIM($DX385)="",0,IF(AND(AND(SUBSTITUTE(SUBSTITUTE(SUBSTITUTE(SUBSTITUTE(SUBSTITUTE(SUBSTITUTE(SUBSTITUTE(SUBSTITUTE(SUBSTITUTE(SUBSTITUTE(SUBSTITUTE(SUBSTITUTE(SUBSTITUTE(SUBSTITUTE(UPPER(TRIM($DX385)),"0",""),"1",""),"2",""),"3",""),"4",""),"5",""),"6",""),"7",""),"8",""),"9",""),".",""),"+",""),"-",""),"E","")="",LEN(SUBSTITUTE(SUBSTITUTE(MID(UPPER(TRIM($DX385)),1+OR(LEFT(UPPER(TRIM($DX385)),1)="+",LEFT(UPPER(TRIM($DX385)),1)="-"),999),"E+","E"),"E-","E"))=LEN(SUBSTITUTE(SUBSTITUTE(SUBSTITUTE(SUBSTITUTE(MID(UPPER(TRIM($DX385)),1+OR(LEFT(UPPER(TRIM($DX385)),1)="+",LEFT(UPPER(TRIM($DX385)),1)="-"),999),"E+","E"),"E-","E"),"+",""),"-","")),LEN(UPPER(TRIM($DX385)))-LEN(SUBSTITUTE(UPPER(TRIM($DX385)),"E",""))&lt;2,LEN(UPPER(TRIM($DX385)))-LEN(SUBSTITUTE(UPPER(TRIM($DX385)),".",""))&lt;2,IFERROR(FIND(".",UPPER(TRIM($DX385))),0)&lt;IFERROR(FIND("E",UPPER(TRIM($DX385))),999)),ISNUMBER(VALUE(TRIM($DX385)))),VALUE(TRIM($DX385)),"")))),""))</f>
        <v/>
      </c>
      <c r="DZ385">
        <f>IF($DM385=0,"",IF($L$17=0,"",IFERROR(IF(ISNUMBER(INDEX(PASTE_ALL,$DF385,$L$17)),INDEX(PASTE_ALL,$DF385,$L$17),SUBSTITUTE(SUBSTITUTE(TRIM(SUBSTITUTE(SUBSTITUTE(SUBSTITUTE(SUBSTITUTE(INDEX(PASTE_ALL,$DF385,$L$17)," "," "),CHAR(9)," "),CHAR(10)," "),CHAR(13)," ")),",",""),"%","")),"")))</f>
        <v/>
      </c>
      <c r="EA385">
        <f>IF($DM385=0,"",IFERROR(IF(ISNUMBER($DZ385),$DZ385,IF($DZ385="","",IF(TRIM($DZ385)="",0,IF(AND(AND(SUBSTITUTE(SUBSTITUTE(SUBSTITUTE(SUBSTITUTE(SUBSTITUTE(SUBSTITUTE(SUBSTITUTE(SUBSTITUTE(SUBSTITUTE(SUBSTITUTE(SUBSTITUTE(SUBSTITUTE(SUBSTITUTE(SUBSTITUTE(UPPER(TRIM($DZ385)),"0",""),"1",""),"2",""),"3",""),"4",""),"5",""),"6",""),"7",""),"8",""),"9",""),".",""),"+",""),"-",""),"E","")="",LEN(SUBSTITUTE(SUBSTITUTE(MID(UPPER(TRIM($DZ385)),1+OR(LEFT(UPPER(TRIM($DZ385)),1)="+",LEFT(UPPER(TRIM($DZ385)),1)="-"),999),"E+","E"),"E-","E"))=LEN(SUBSTITUTE(SUBSTITUTE(SUBSTITUTE(SUBSTITUTE(MID(UPPER(TRIM($DZ385)),1+OR(LEFT(UPPER(TRIM($DZ385)),1)="+",LEFT(UPPER(TRIM($DZ385)),1)="-"),999),"E+","E"),"E-","E"),"+",""),"-","")),LEN(UPPER(TRIM($DZ385)))-LEN(SUBSTITUTE(UPPER(TRIM($DZ385)),"E",""))&lt;2,LEN(UPPER(TRIM($DZ385)))-LEN(SUBSTITUTE(UPPER(TRIM($DZ385)),".",""))&lt;2,IFERROR(FIND(".",UPPER(TRIM($DZ385))),0)&lt;IFERROR(FIND("E",UPPER(TRIM($DZ385))),999)),ISNUMBER(VALUE(TRIM($DZ385)))),VALUE(TRIM($DZ385)),"")))),""))</f>
        <v/>
      </c>
      <c r="EB385">
        <f>IF($DM385=0,"",IF($L$18=0,"",IFERROR(IF(UPPER(TRIM(SUBSTITUTE(SUBSTITUTE(SUBSTITUTE(SUBSTITUTE(INDEX(PASTE_ALL,$DF385,$L$18)," "," "),CHAR(9)," "),CHAR(10)," "),CHAR(13)," ")))="READY","Ready",IF(UPPER(TRIM(SUBSTITUTE(SUBSTITUTE(SUBSTITUTE(SUBSTITUTE(INDEX(PASTE_ALL,$DF385,$L$18)," "," "),CHAR(9)," "),CHAR(10)," "),CHAR(13)," ")))="PM","PM",IF(OR(UPPER(TRIM(SUBSTITUTE(SUBSTITUTE(SUBSTITUTE(SUBSTITUTE(INDEX(PASTE_ALL,$DF385,$L$18)," "," "),CHAR(9)," "),CHAR(10)," "),CHAR(13)," ")))="OT",UPPER(TRIM(SUBSTITUTE(SUBSTITUTE(SUBSTITUTE(SUBSTITUTE(INDEX(PASTE_ALL,$DF385,$L$18)," "," "),CHAR(9)," "),CHAR(10)," "),CHAR(13)," ")))="OVERTIME",UPPER(TRIM(SUBSTITUTE(SUBSTITUTE(SUBSTITUTE(SUBSTITUTE(INDEX(PASTE_ALL,$DF385,$L$18)," "," "),CHAR(9)," "),CHAR(10)," "),CHAR(13)," ")))="TRIAL"),"OT",TRIM(SUBSTITUTE(SUBSTITUTE(SUBSTITUTE(SUBSTITUTE(INDEX(PASTE_ALL,$DF385,$L$18)," "," "),CHAR(9)," "),CHAR(10)," "),CHAR(13)," "))))),"")))</f>
        <v/>
      </c>
      <c r="EC385">
        <f>IF($DM385=0,"",IF($L$19=0,"",IFERROR(IF(ISNUMBER(INDEX(PASTE_ALL,$DF385,$L$19)),INDEX(PASTE_ALL,$DF385,$L$19),TRIM(SUBSTITUTE(SUBSTITUTE(SUBSTITUTE(SUBSTITUTE(INDEX(PASTE_ALL,$DF385,$L$19)," "," "),CHAR(9)," "),CHAR(10)," "),CHAR(13)," "))),"")))</f>
        <v/>
      </c>
      <c r="ED385">
        <f>IF($DM385=0,"",MATCH(1,INDEX(EXACT($DH$5:DH385,$DH385)*$DM$5:DM385,0),0))</f>
        <v/>
      </c>
      <c r="EE385">
        <f>IF($DM385=0,0,IF($ED385=$DE385,1,0))</f>
        <v/>
      </c>
      <c r="EF385">
        <f>EF384+$EE385</f>
        <v/>
      </c>
      <c r="EG385">
        <f>IF($DM385=0,"",INDEX($EF$5:$EF$1003,$ED385))</f>
        <v/>
      </c>
      <c r="EH385">
        <f>IF($DM385=0,"",IF($DO385&lt;&gt;"","",IFERROR(LOOKUP(2,1/(($EG$4:EG384=$EG385)*($DO$4:DO384&lt;&gt;"")),$DO$4:DO384),"")))</f>
        <v/>
      </c>
      <c r="EI385">
        <f>IF($DM385=0,"",IF($DO385&lt;&gt;"",$DO385,$EH385))</f>
        <v/>
      </c>
      <c r="EJ385">
        <f>IF($DM385=0,"",IF($EI385="",0,IF(OR(ISNUMBER($EI385),AND(AND(SUBSTITUTE(SUBSTITUTE(SUBSTITUTE(SUBSTITUTE(SUBSTITUTE(SUBSTITUTE(SUBSTITUTE(SUBSTITUTE(SUBSTITUTE(SUBSTITUTE(SUBSTITUTE(SUBSTITUTE(SUBSTITUTE(SUBSTITUTE(UPPER($EI385),"0",""),"1",""),"2",""),"3",""),"4",""),"5",""),"6",""),"7",""),"8",""),"9",""),".",""),"+",""),"-",""),"E","")="",LEN(SUBSTITUTE(SUBSTITUTE(MID(UPPER($EI385),1+OR(LEFT(UPPER($EI385),1)="+",LEFT(UPPER($EI385),1)="-"),999),"E+","E"),"E-","E"))=LEN(SUBSTITUTE(SUBSTITUTE(SUBSTITUTE(SUBSTITUTE(MID(UPPER($EI385),1+OR(LEFT(UPPER($EI385),1)="+",LEFT(UPPER($EI385),1)="-"),999),"E+","E"),"E-","E"),"+",""),"-","")),LEN(UPPER($EI385))-LEN(SUBSTITUTE(UPPER($EI385),"E",""))&lt;2,LEN(UPPER($EI385))-LEN(SUBSTITUTE(UPPER($EI385),".",""))&lt;2,IFERROR(FIND(".",UPPER($EI385)),0)&lt;IFERROR(FIND("E",UPPER($EI385)),999)),ISNUMBER(VALUE($EI385)))),1,2)))</f>
        <v/>
      </c>
      <c r="EK385">
        <f>IF($DM385=0,"",IF($EJ385=1,IF(ISNUMBER($EI385),$EI385,VALUE($EI385)),IF($EJ385=2,$DE385,0)))</f>
        <v/>
      </c>
      <c r="EL385">
        <f>IF($DM385=0,"",COUNTIF($EG$5:$EG$1003,"&lt;"&amp;$EG385)+SUMPRODUCT(($EG$5:$EG$1003=$EG385)*(($EJ$5:$EJ$1003&lt;$EJ385)+($EJ$5:$EJ$1003=$EJ385)*(($EK$5:$EK$1003&lt;$EK385)+($EK$5:$EK$1003=$EK385)*($DE$5:$DE$1003&lt;$DE385))))+1)</f>
        <v/>
      </c>
      <c r="EM385">
        <f>IF($DM385=0,"",$EL385+$EG385-1)</f>
        <v/>
      </c>
      <c r="EN385">
        <f>IF($DM385=0,0,IFERROR(MATCH(1,INDEX(--(TRIM(SUBSTITUTE(SUBSTITUTE(SUBSTITUTE(SUBSTITUTE(LINES_NAME&amp;""," "," "),CHAR(9)," "),CHAR(10)," "),CHAR(13)," "))=$DH385),0),0),0))</f>
        <v/>
      </c>
      <c r="EO385">
        <f>IF($EN385=0,0,IF(OR(UPPER(TRIM(INDEX(LINES_SCHEDULED,$EN385)&amp;""))="YES",UPPER(TRIM(INDEX(LINES_SCHEDULED,$EN385)&amp;""))="Y",UPPER(TRIM(INDEX(LINES_SCHEDULED,$EN385)&amp;""))="X"),1,0))</f>
        <v/>
      </c>
      <c r="EP385">
        <f>IF($DM385=0,"",IF(COUNTIFS($EG$5:$EG$1003,$EG385,$EB$5:$EB$1003,"Ready")&gt;0,"READY",IF(COUNTIFS($EG$5:$EG$1003,$EG385,$EB$5:$EB$1003,"PM")&gt;0,"PM",IF(COUNTIFS($EG$5:$EG$1003,$EG385,$EB$5:$EB$1003,"OT")&gt;0,"OT",""))))</f>
        <v/>
      </c>
      <c r="EQ385">
        <f>IF($EN385=0,"",UPPER(TRIM(INDEX(LINES_STATUS,$EN385)&amp;"")))</f>
        <v/>
      </c>
      <c r="ER385">
        <f>IF($DM385=0,"",IF(OR($EQ385="READY",$EQ385="PM",$EQ385="OT"),$EQ385,$EP385))</f>
        <v/>
      </c>
      <c r="ES385">
        <f>IF($DM385=0,"",IF(AND($DV385&lt;&gt;"",UPPER($DV385)&lt;&gt;"N"),"allergen",IF(ISNUMBER(SEARCH("oil",$DQ385)),"oil",IF(OR(EXACT($DS385,"A662"),EXACT($DS385,"A624")),"bulk",""))))</f>
        <v/>
      </c>
      <c r="ET385">
        <f>IF($DM385=0,"",IF(OR($EA385="",$EA385=0),"",$EA385/100))</f>
        <v/>
      </c>
      <c r="EU385">
        <f>IF(OR($ET385="",$DY385=""),"",INT($DY385*(1-$ET385)+0.5))</f>
        <v/>
      </c>
      <c r="EW385" t="n">
        <v>381</v>
      </c>
      <c r="EX385">
        <f>IFERROR(MATCH($EW385,$EM$5:$EM$1003,0),0)</f>
        <v/>
      </c>
      <c r="EY385">
        <f>IF($EW385&gt;$B$12,"",IF($EX385&gt;0,"row","spacer"))</f>
        <v/>
      </c>
      <c r="EZ385">
        <f>IF(AND($EY385="row",$EY384&lt;&gt;"row"),1,0)</f>
        <v/>
      </c>
      <c r="FA385">
        <f>IF(AND($EY385="row",$EY386&lt;&gt;"row"),1,0)</f>
        <v/>
      </c>
      <c r="FB385">
        <f>IF($EZ385=1,IFERROR(IF(ISNUMBER(INDEX(PASTE_ALL,INDEX($DF$5:$DF$1003,$EX385),$B$37)),INDEX(PASTE_ALL,INDEX($DF$5:$DF$1003,$EX385),$B$37),INDEX($DH$5:$DH$1003,$EX385)),INDEX($DH$5:$DH$1003,$EX385)),"")</f>
        <v/>
      </c>
      <c r="FC385">
        <f>IF($EY385="row",INDEX($ER$5:$ER$1003,$EX385),"")</f>
        <v/>
      </c>
      <c r="FD385">
        <f>IF($EY385="row",INDEX($DN$5:$DN$1003,$EX385),"")</f>
        <v/>
      </c>
      <c r="FE385">
        <f>IF($EY385="row",INDEX($DO$5:$DO$1003,$EX385),"")</f>
        <v/>
      </c>
      <c r="FF385">
        <f>IF($EY385="row",INDEX($DP$5:$DP$1003,$EX385),"")</f>
        <v/>
      </c>
      <c r="FG385">
        <f>IF($EY385="row",INDEX($DQ$5:$DQ$1003,$EX385),"")</f>
        <v/>
      </c>
      <c r="FH385">
        <f>IF($EY385="row",INDEX($DR$5:$DR$1003,$EX385),"")</f>
        <v/>
      </c>
      <c r="FI385">
        <f>IF($EY385="row",INDEX($DS$5:$DS$1003,$EX385),"")</f>
        <v/>
      </c>
      <c r="FJ385">
        <f>IF($EY385="row",INDEX($DT$5:$DT$1003,$EX385),"")</f>
        <v/>
      </c>
      <c r="FK385">
        <f>IF($EY385="row",INDEX($DU$5:$DU$1003,$EX385),"")</f>
        <v/>
      </c>
      <c r="FL385">
        <f>IF($EY385="row",INDEX($DV$5:$DV$1003,$EX385),"")</f>
        <v/>
      </c>
      <c r="FM385">
        <f>IF($EY385="row",INDEX($DW$5:$DW$1003,$EX385),"")</f>
        <v/>
      </c>
      <c r="FN385">
        <f>IF($EY385="row",INDEX($DY$5:$DY$1003,$EX385),"")</f>
        <v/>
      </c>
      <c r="FO385">
        <f>IF($EY385="row",INDEX($EA$5:$EA$1003,$EX385),"")</f>
        <v/>
      </c>
      <c r="FP385">
        <f>IF($EY385="row",INDEX($EC$5:$EC$1003,$EX385),"")</f>
        <v/>
      </c>
      <c r="FQ385">
        <f>IF($EY385="row",INDEX($ET$5:$ET$1003,$EX385),"")</f>
        <v/>
      </c>
      <c r="FR385">
        <f>IF($EY385="row",INDEX($EU$5:$EU$1003,$EX385),"")</f>
        <v/>
      </c>
      <c r="FS385">
        <f>IF(AND($EY385="row",$EY384="row"),IF(OR(INDEX($DT$5:$DT$1003,$EX384)="",INDEX($DT$5:$DT$1003,$EX385)=""),"",IF(NOT(EXACT(INDEX($DT$5:$DT$1003,$EX384),INDEX($DT$5:$DT$1003,$EX385))),"S4",IF(NOT(EXACT(INDEX($DS$5:$DS$1003,$EX384),INDEX($DS$5:$DS$1003,$EX385))),"S3",IF(NOT(EXACT(INDEX($DR$5:$DR$1003,$EX384),INDEX($DR$5:$DR$1003,$EX385))),"S1 Count Change","S1")))),"")</f>
        <v/>
      </c>
      <c r="FT385">
        <f>IF($EY385="row",INDEX($ES$5:$ES$1003,$EX385),"")</f>
        <v/>
      </c>
      <c r="FU385">
        <f>IF($EY385="row",INDEX($EO$5:$EO$1003,$EX385),0)</f>
        <v/>
      </c>
      <c r="FV385">
        <f>IF($FS385="S1 Count Change",1,0)</f>
        <v/>
      </c>
    </row>
    <row r="386">
      <c r="DA386" t="n">
        <v>382</v>
      </c>
      <c r="DB386">
        <f>IF($B$37=0,"",IFERROR(TRIM(SUBSTITUTE(SUBSTITUTE(SUBSTITUTE(SUBSTITUTE(INDEX(PASTE_ALL,382,$B$37)," "," "),CHAR(9)," "),CHAR(10)," "),CHAR(13)," ")),""))</f>
        <v/>
      </c>
      <c r="DC386">
        <f>IF(AND(382&gt;HEADER_ROW,UPPER(DB386)="LEGEND"),1,0)</f>
        <v/>
      </c>
      <c r="DE386" t="n">
        <v>382</v>
      </c>
      <c r="DF386">
        <f>HEADER_ROW+$DE386</f>
        <v/>
      </c>
      <c r="DG386">
        <f>IF(AND($DF386&lt;=1000,$DF386&lt;$B$8),1,0)</f>
        <v/>
      </c>
      <c r="DH386">
        <f>IF($DG386=1,IFERROR(INDEX($DB$5:$DB$1004,$DF386),""),"")</f>
        <v/>
      </c>
      <c r="DI386">
        <f>IF(AND($DG386=1,$DH386&lt;&gt;""),IFERROR(SUBSTITUTE(SUBSTITUTE(TRIM(SUBSTITUTE(SUBSTITUTE(SUBSTITUTE(SUBSTITUTE(IFERROR(INDEX(PASTE_ALL,$DF386,1)&amp;"","")&amp;"␟"&amp;IFERROR(INDEX(PASTE_ALL,$DF386,2)&amp;"","")&amp;"␟"&amp;IFERROR(INDEX(PASTE_ALL,$DF386,3)&amp;"","")&amp;"␟"&amp;IFERROR(INDEX(PASTE_ALL,$DF386,4)&amp;"","")&amp;"␟"&amp;IFERROR(INDEX(PASTE_ALL,$DF386,5)&amp;"","")&amp;"␟"&amp;IFERROR(INDEX(PASTE_ALL,$DF386,6)&amp;"","")&amp;"␟"&amp;IFERROR(INDEX(PASTE_ALL,$DF386,7)&amp;"","")&amp;"␟"&amp;IFERROR(INDEX(PASTE_ALL,$DF386,8)&amp;"","")&amp;"␟"&amp;IFERROR(INDEX(PASTE_ALL,$DF386,9)&amp;"","")&amp;"␟"&amp;IFERROR(INDEX(PASTE_ALL,$DF386,10)&amp;"","")&amp;"␟"&amp;IFERROR(INDEX(PASTE_ALL,$DF386,11)&amp;"","")&amp;"␟"&amp;IFERROR(INDEX(PASTE_ALL,$DF386,12)&amp;"","")&amp;"␟"&amp;IFERROR(INDEX(PASTE_ALL,$DF386,13)&amp;"","")&amp;"␟"&amp;IFERROR(INDEX(PASTE_ALL,$DF386,14)&amp;"","")&amp;"␟"&amp;IFERROR(INDEX(PASTE_ALL,$DF386,15)&amp;"","")&amp;"␟"&amp;IFERROR(INDEX(PASTE_ALL,$DF386,16)&amp;"","")&amp;"␟"&amp;IFERROR(INDEX(PASTE_ALL,$DF386,17)&amp;"","")&amp;"␟"&amp;IFERROR(INDEX(PASTE_ALL,$DF386,18)&amp;"","")&amp;"␟"&amp;IFERROR(INDEX(PASTE_ALL,$DF386,19)&amp;"","")&amp;"␟"&amp;IFERROR(INDEX(PASTE_ALL,$DF386,20)&amp;"","")&amp;"␟"&amp;IFERROR(INDEX(PASTE_ALL,$DF386,21)&amp;"","")&amp;"␟"&amp;IFERROR(INDEX(PASTE_ALL,$DF386,22)&amp;"","")&amp;"␟"&amp;IFERROR(INDEX(PASTE_ALL,$DF386,23)&amp;"","")&amp;"␟"&amp;IFERROR(INDEX(PASTE_ALL,$DF386,24)&amp;"","")&amp;"␟"&amp;IFERROR(INDEX(PASTE_ALL,$DF386,25)&amp;"","")&amp;"␟"&amp;IFERROR(INDEX(PASTE_ALL,$DF386,26)&amp;"","")&amp;"␟"&amp;IFERROR(INDEX(PASTE_ALL,$DF386,27)&amp;"","")&amp;"␟"&amp;IFERROR(INDEX(PASTE_ALL,$DF386,28)&amp;"","")&amp;"␟"&amp;IFERROR(INDEX(PASTE_ALL,$DF386,29)&amp;"","")&amp;"␟"&amp;IFERROR(INDEX(PASTE_ALL,$DF386,30)&amp;"","")&amp;"␟"&amp;IFERROR(INDEX(PASTE_ALL,$DF386,31)&amp;"","")&amp;"␟"&amp;IFERROR(INDEX(PASTE_ALL,$DF386,32)&amp;"","")&amp;"␟"&amp;IFERROR(INDEX(PASTE_ALL,$DF386,33)&amp;"","")&amp;"␟"&amp;IFERROR(INDEX(PASTE_ALL,$DF386,34)&amp;"","")&amp;"␟"&amp;IFERROR(INDEX(PASTE_ALL,$DF386,35)&amp;"","")&amp;"␟"&amp;IFERROR(INDEX(PASTE_ALL,$DF386,36)&amp;"","")&amp;"␟"&amp;IFERROR(INDEX(PASTE_ALL,$DF386,37)&amp;"","")&amp;"␟"&amp;IFERROR(INDEX(PASTE_ALL,$DF386,38)&amp;"","")&amp;"␟"&amp;IFERROR(INDEX(PASTE_ALL,$DF386,39)&amp;"","")&amp;"␟"&amp;IFERROR(INDEX(PASTE_ALL,$DF386,40)&amp;"","")&amp;"␟"&amp;IFERROR(INDEX(PASTE_ALL,$DF386,41)&amp;"","")&amp;"␟"&amp;IFERROR(INDEX(PASTE_ALL,$DF386,42)&amp;"","")&amp;"␟"&amp;IFERROR(INDEX(PASTE_ALL,$DF386,43)&amp;"","")&amp;"␟"&amp;IFERROR(INDEX(PASTE_ALL,$DF386,44)&amp;"","")&amp;"␟"&amp;IFERROR(INDEX(PASTE_ALL,$DF386,45)&amp;"","")&amp;"␟"&amp;IFERROR(INDEX(PASTE_ALL,$DF386,46)&amp;"","")&amp;"␟"&amp;IFERROR(INDEX(PASTE_ALL,$DF386,47)&amp;"","")&amp;"␟"&amp;IFERROR(INDEX(PASTE_ALL,$DF386,48)&amp;"","")&amp;"␟"&amp;IFERROR(INDEX(PASTE_ALL,$DF386,49)&amp;"","")&amp;"␟"&amp;IFERROR(INDEX(PASTE_ALL,$DF386,50)&amp;"","")&amp;"␟"&amp;IFERROR(INDEX(PASTE_ALL,$DF386,51)&amp;"","")&amp;"␟"&amp;IFERROR(INDEX(PASTE_ALL,$DF386,52)&amp;"","")&amp;"␟"&amp;IFERROR(INDEX(PASTE_ALL,$DF386,53)&amp;"","")&amp;"␟"&amp;IFERROR(INDEX(PASTE_ALL,$DF386,54)&amp;"","")&amp;"␟"&amp;IFERROR(INDEX(PASTE_ALL,$DF386,55)&amp;"","")&amp;"␟"&amp;IFERROR(INDEX(PASTE_ALL,$DF386,56)&amp;"","")&amp;"␟"&amp;IFERROR(INDEX(PASTE_ALL,$DF386,57)&amp;"","")&amp;"␟"&amp;IFERROR(INDEX(PASTE_ALL,$DF386,58)&amp;"","")&amp;"␟"&amp;IFERROR(INDEX(PASTE_ALL,$DF386,59)&amp;"","")&amp;"␟"&amp;IFERROR(INDEX(PASTE_ALL,$DF386,60)&amp;"","")," "," "),CHAR(9)," "),CHAR(10)," "),CHAR(13)," "))," ␟","␟"),"␟ ","␟"),"#"&amp;$DE386),"")</f>
        <v/>
      </c>
      <c r="DJ386">
        <f>IF($DI386="",0,IF(SUMPRODUCT(--EXACT($DI$4:DI385,$DI386))&gt;0,1,0))</f>
        <v/>
      </c>
      <c r="DK386">
        <f>IF(AND($DI386&lt;&gt;"",$DJ386=0),1,0)</f>
        <v/>
      </c>
      <c r="DL386">
        <f>DL385+$DK386</f>
        <v/>
      </c>
      <c r="DM386">
        <f>IF(AND($DK386=1,$DL386&lt;=600),1,0)</f>
        <v/>
      </c>
      <c r="DN386">
        <f>IF($DM386=0,"",IF($L$6=0,"",IFERROR(IF(ISNUMBER(INDEX(PASTE_ALL,$DF386,$L$6)),INDEX(PASTE_ALL,$DF386,$L$6),TRIM(SUBSTITUTE(SUBSTITUTE(SUBSTITUTE(SUBSTITUTE(INDEX(PASTE_ALL,$DF386,$L$6)," "," "),CHAR(9)," "),CHAR(10)," "),CHAR(13)," "))),"")))</f>
        <v/>
      </c>
      <c r="DO386">
        <f>IF($DM386=0,"",IF($L$7=0,"",IFERROR(IF(ISNUMBER(INDEX(PASTE_ALL,$DF386,$L$7)),INDEX(PASTE_ALL,$DF386,$L$7),TRIM(SUBSTITUTE(SUBSTITUTE(SUBSTITUTE(SUBSTITUTE(INDEX(PASTE_ALL,$DF386,$L$7)," "," "),CHAR(9)," "),CHAR(10)," "),CHAR(13)," "))),"")))</f>
        <v/>
      </c>
      <c r="DP386">
        <f>IF($DM386=0,"",IF($L$8=0,"",IFERROR(IF(ISNUMBER(INDEX(PASTE_ALL,$DF386,$L$8)),INDEX(PASTE_ALL,$DF386,$L$8),TRIM(SUBSTITUTE(SUBSTITUTE(SUBSTITUTE(SUBSTITUTE(INDEX(PASTE_ALL,$DF386,$L$8)," "," "),CHAR(9)," "),CHAR(10)," "),CHAR(13)," "))),"")))</f>
        <v/>
      </c>
      <c r="DQ386">
        <f>IF($DM386=0,"",IF($L$9=0,"",IFERROR(IF(ISNUMBER(INDEX(PASTE_ALL,$DF386,$L$9)),INDEX(PASTE_ALL,$DF386,$L$9),TRIM(SUBSTITUTE(SUBSTITUTE(SUBSTITUTE(SUBSTITUTE(INDEX(PASTE_ALL,$DF386,$L$9)," "," "),CHAR(9)," "),CHAR(10)," "),CHAR(13)," "))),"")))</f>
        <v/>
      </c>
      <c r="DR386">
        <f>IF($DM386=0,"",IF($L$10=0,"",IFERROR(IF(ISNUMBER(INDEX(PASTE_ALL,$DF386,$L$10)),INDEX(PASTE_ALL,$DF386,$L$10),TRIM(SUBSTITUTE(SUBSTITUTE(SUBSTITUTE(SUBSTITUTE(INDEX(PASTE_ALL,$DF386,$L$10)," "," "),CHAR(9)," "),CHAR(10)," "),CHAR(13)," "))),"")))</f>
        <v/>
      </c>
      <c r="DS386">
        <f>IF($DM386=0,"",IF($L$11=0,"",IFERROR(IF(ISNUMBER(INDEX(PASTE_ALL,$DF386,$L$11)),INDEX(PASTE_ALL,$DF386,$L$11),TRIM(SUBSTITUTE(SUBSTITUTE(SUBSTITUTE(SUBSTITUTE(INDEX(PASTE_ALL,$DF386,$L$11)," "," "),CHAR(9)," "),CHAR(10)," "),CHAR(13)," "))),"")))</f>
        <v/>
      </c>
      <c r="DT386">
        <f>IF($DM386=0,"",IF($L$12=0,"",IFERROR(IF(ISNUMBER(INDEX(PASTE_ALL,$DF386,$L$12)),INDEX(PASTE_ALL,$DF386,$L$12),TRIM(SUBSTITUTE(SUBSTITUTE(SUBSTITUTE(SUBSTITUTE(INDEX(PASTE_ALL,$DF386,$L$12)," "," "),CHAR(9)," "),CHAR(10)," "),CHAR(13)," "))),"")))</f>
        <v/>
      </c>
      <c r="DU386">
        <f>IF($DM386=0,"",IF($L$13=0,"",IFERROR(IF(ISNUMBER(INDEX(PASTE_ALL,$DF386,$L$13)),INDEX(PASTE_ALL,$DF386,$L$13),TRIM(SUBSTITUTE(SUBSTITUTE(SUBSTITUTE(SUBSTITUTE(INDEX(PASTE_ALL,$DF386,$L$13)," "," "),CHAR(9)," "),CHAR(10)," "),CHAR(13)," "))),"")))</f>
        <v/>
      </c>
      <c r="DV386">
        <f>IF($DM386=0,"",IF($L$14=0,"",IFERROR(IF(ISNUMBER(INDEX(PASTE_ALL,$DF386,$L$14)),INDEX(PASTE_ALL,$DF386,$L$14),TRIM(SUBSTITUTE(SUBSTITUTE(SUBSTITUTE(SUBSTITUTE(INDEX(PASTE_ALL,$DF386,$L$14)," "," "),CHAR(9)," "),CHAR(10)," "),CHAR(13)," "))),"")))</f>
        <v/>
      </c>
      <c r="DW386">
        <f>IF($DM386=0,"",IF($L$15=0,"",IFERROR(IF(ISNUMBER(INDEX(PASTE_ALL,$DF386,$L$15)),INDEX(PASTE_ALL,$DF386,$L$15),IF(SUMPRODUCT(--ISNUMBER(FIND({"A","B","C","D","E","F","G","H","I","J","K","L","M","N","O","P","Q","R","S","T","U","V","W","X","Y","Z","0","1","2","3","4","5","6","7","8","9"},UPPER(TRIM(SUBSTITUTE(SUBSTITUTE(SUBSTITUTE(SUBSTITUTE(INDEX(PASTE_ALL,$DF386,$L$15)," "," "),CHAR(9)," "),CHAR(10)," "),CHAR(13)," "))))))&gt;0,TRIM(SUBSTITUTE(SUBSTITUTE(SUBSTITUTE(SUBSTITUTE(INDEX(PASTE_ALL,$DF386,$L$15)," "," "),CHAR(9)," "),CHAR(10)," "),CHAR(13)," ")),"")),"")))</f>
        <v/>
      </c>
      <c r="DX386">
        <f>IF($DM386=0,"",IF($L$16=0,"",IFERROR(IF(ISNUMBER(INDEX(PASTE_ALL,$DF386,$L$16)),INDEX(PASTE_ALL,$DF386,$L$16),SUBSTITUTE(SUBSTITUTE(TRIM(SUBSTITUTE(SUBSTITUTE(SUBSTITUTE(SUBSTITUTE(INDEX(PASTE_ALL,$DF386,$L$16)," "," "),CHAR(9)," "),CHAR(10)," "),CHAR(13)," ")),",",""),"%","")),"")))</f>
        <v/>
      </c>
      <c r="DY386">
        <f>IF($DM386=0,"",IFERROR(IF(ISNUMBER($DX386),$DX386,IF($DX386="","",IF(TRIM($DX386)="",0,IF(AND(AND(SUBSTITUTE(SUBSTITUTE(SUBSTITUTE(SUBSTITUTE(SUBSTITUTE(SUBSTITUTE(SUBSTITUTE(SUBSTITUTE(SUBSTITUTE(SUBSTITUTE(SUBSTITUTE(SUBSTITUTE(SUBSTITUTE(SUBSTITUTE(UPPER(TRIM($DX386)),"0",""),"1",""),"2",""),"3",""),"4",""),"5",""),"6",""),"7",""),"8",""),"9",""),".",""),"+",""),"-",""),"E","")="",LEN(SUBSTITUTE(SUBSTITUTE(MID(UPPER(TRIM($DX386)),1+OR(LEFT(UPPER(TRIM($DX386)),1)="+",LEFT(UPPER(TRIM($DX386)),1)="-"),999),"E+","E"),"E-","E"))=LEN(SUBSTITUTE(SUBSTITUTE(SUBSTITUTE(SUBSTITUTE(MID(UPPER(TRIM($DX386)),1+OR(LEFT(UPPER(TRIM($DX386)),1)="+",LEFT(UPPER(TRIM($DX386)),1)="-"),999),"E+","E"),"E-","E"),"+",""),"-","")),LEN(UPPER(TRIM($DX386)))-LEN(SUBSTITUTE(UPPER(TRIM($DX386)),"E",""))&lt;2,LEN(UPPER(TRIM($DX386)))-LEN(SUBSTITUTE(UPPER(TRIM($DX386)),".",""))&lt;2,IFERROR(FIND(".",UPPER(TRIM($DX386))),0)&lt;IFERROR(FIND("E",UPPER(TRIM($DX386))),999)),ISNUMBER(VALUE(TRIM($DX386)))),VALUE(TRIM($DX386)),"")))),""))</f>
        <v/>
      </c>
      <c r="DZ386">
        <f>IF($DM386=0,"",IF($L$17=0,"",IFERROR(IF(ISNUMBER(INDEX(PASTE_ALL,$DF386,$L$17)),INDEX(PASTE_ALL,$DF386,$L$17),SUBSTITUTE(SUBSTITUTE(TRIM(SUBSTITUTE(SUBSTITUTE(SUBSTITUTE(SUBSTITUTE(INDEX(PASTE_ALL,$DF386,$L$17)," "," "),CHAR(9)," "),CHAR(10)," "),CHAR(13)," ")),",",""),"%","")),"")))</f>
        <v/>
      </c>
      <c r="EA386">
        <f>IF($DM386=0,"",IFERROR(IF(ISNUMBER($DZ386),$DZ386,IF($DZ386="","",IF(TRIM($DZ386)="",0,IF(AND(AND(SUBSTITUTE(SUBSTITUTE(SUBSTITUTE(SUBSTITUTE(SUBSTITUTE(SUBSTITUTE(SUBSTITUTE(SUBSTITUTE(SUBSTITUTE(SUBSTITUTE(SUBSTITUTE(SUBSTITUTE(SUBSTITUTE(SUBSTITUTE(UPPER(TRIM($DZ386)),"0",""),"1",""),"2",""),"3",""),"4",""),"5",""),"6",""),"7",""),"8",""),"9",""),".",""),"+",""),"-",""),"E","")="",LEN(SUBSTITUTE(SUBSTITUTE(MID(UPPER(TRIM($DZ386)),1+OR(LEFT(UPPER(TRIM($DZ386)),1)="+",LEFT(UPPER(TRIM($DZ386)),1)="-"),999),"E+","E"),"E-","E"))=LEN(SUBSTITUTE(SUBSTITUTE(SUBSTITUTE(SUBSTITUTE(MID(UPPER(TRIM($DZ386)),1+OR(LEFT(UPPER(TRIM($DZ386)),1)="+",LEFT(UPPER(TRIM($DZ386)),1)="-"),999),"E+","E"),"E-","E"),"+",""),"-","")),LEN(UPPER(TRIM($DZ386)))-LEN(SUBSTITUTE(UPPER(TRIM($DZ386)),"E",""))&lt;2,LEN(UPPER(TRIM($DZ386)))-LEN(SUBSTITUTE(UPPER(TRIM($DZ386)),".",""))&lt;2,IFERROR(FIND(".",UPPER(TRIM($DZ386))),0)&lt;IFERROR(FIND("E",UPPER(TRIM($DZ386))),999)),ISNUMBER(VALUE(TRIM($DZ386)))),VALUE(TRIM($DZ386)),"")))),""))</f>
        <v/>
      </c>
      <c r="EB386">
        <f>IF($DM386=0,"",IF($L$18=0,"",IFERROR(IF(UPPER(TRIM(SUBSTITUTE(SUBSTITUTE(SUBSTITUTE(SUBSTITUTE(INDEX(PASTE_ALL,$DF386,$L$18)," "," "),CHAR(9)," "),CHAR(10)," "),CHAR(13)," ")))="READY","Ready",IF(UPPER(TRIM(SUBSTITUTE(SUBSTITUTE(SUBSTITUTE(SUBSTITUTE(INDEX(PASTE_ALL,$DF386,$L$18)," "," "),CHAR(9)," "),CHAR(10)," "),CHAR(13)," ")))="PM","PM",IF(OR(UPPER(TRIM(SUBSTITUTE(SUBSTITUTE(SUBSTITUTE(SUBSTITUTE(INDEX(PASTE_ALL,$DF386,$L$18)," "," "),CHAR(9)," "),CHAR(10)," "),CHAR(13)," ")))="OT",UPPER(TRIM(SUBSTITUTE(SUBSTITUTE(SUBSTITUTE(SUBSTITUTE(INDEX(PASTE_ALL,$DF386,$L$18)," "," "),CHAR(9)," "),CHAR(10)," "),CHAR(13)," ")))="OVERTIME",UPPER(TRIM(SUBSTITUTE(SUBSTITUTE(SUBSTITUTE(SUBSTITUTE(INDEX(PASTE_ALL,$DF386,$L$18)," "," "),CHAR(9)," "),CHAR(10)," "),CHAR(13)," ")))="TRIAL"),"OT",TRIM(SUBSTITUTE(SUBSTITUTE(SUBSTITUTE(SUBSTITUTE(INDEX(PASTE_ALL,$DF386,$L$18)," "," "),CHAR(9)," "),CHAR(10)," "),CHAR(13)," "))))),"")))</f>
        <v/>
      </c>
      <c r="EC386">
        <f>IF($DM386=0,"",IF($L$19=0,"",IFERROR(IF(ISNUMBER(INDEX(PASTE_ALL,$DF386,$L$19)),INDEX(PASTE_ALL,$DF386,$L$19),TRIM(SUBSTITUTE(SUBSTITUTE(SUBSTITUTE(SUBSTITUTE(INDEX(PASTE_ALL,$DF386,$L$19)," "," "),CHAR(9)," "),CHAR(10)," "),CHAR(13)," "))),"")))</f>
        <v/>
      </c>
      <c r="ED386">
        <f>IF($DM386=0,"",MATCH(1,INDEX(EXACT($DH$5:DH386,$DH386)*$DM$5:DM386,0),0))</f>
        <v/>
      </c>
      <c r="EE386">
        <f>IF($DM386=0,0,IF($ED386=$DE386,1,0))</f>
        <v/>
      </c>
      <c r="EF386">
        <f>EF385+$EE386</f>
        <v/>
      </c>
      <c r="EG386">
        <f>IF($DM386=0,"",INDEX($EF$5:$EF$1003,$ED386))</f>
        <v/>
      </c>
      <c r="EH386">
        <f>IF($DM386=0,"",IF($DO386&lt;&gt;"","",IFERROR(LOOKUP(2,1/(($EG$4:EG385=$EG386)*($DO$4:DO385&lt;&gt;"")),$DO$4:DO385),"")))</f>
        <v/>
      </c>
      <c r="EI386">
        <f>IF($DM386=0,"",IF($DO386&lt;&gt;"",$DO386,$EH386))</f>
        <v/>
      </c>
      <c r="EJ386">
        <f>IF($DM386=0,"",IF($EI386="",0,IF(OR(ISNUMBER($EI386),AND(AND(SUBSTITUTE(SUBSTITUTE(SUBSTITUTE(SUBSTITUTE(SUBSTITUTE(SUBSTITUTE(SUBSTITUTE(SUBSTITUTE(SUBSTITUTE(SUBSTITUTE(SUBSTITUTE(SUBSTITUTE(SUBSTITUTE(SUBSTITUTE(UPPER($EI386),"0",""),"1",""),"2",""),"3",""),"4",""),"5",""),"6",""),"7",""),"8",""),"9",""),".",""),"+",""),"-",""),"E","")="",LEN(SUBSTITUTE(SUBSTITUTE(MID(UPPER($EI386),1+OR(LEFT(UPPER($EI386),1)="+",LEFT(UPPER($EI386),1)="-"),999),"E+","E"),"E-","E"))=LEN(SUBSTITUTE(SUBSTITUTE(SUBSTITUTE(SUBSTITUTE(MID(UPPER($EI386),1+OR(LEFT(UPPER($EI386),1)="+",LEFT(UPPER($EI386),1)="-"),999),"E+","E"),"E-","E"),"+",""),"-","")),LEN(UPPER($EI386))-LEN(SUBSTITUTE(UPPER($EI386),"E",""))&lt;2,LEN(UPPER($EI386))-LEN(SUBSTITUTE(UPPER($EI386),".",""))&lt;2,IFERROR(FIND(".",UPPER($EI386)),0)&lt;IFERROR(FIND("E",UPPER($EI386)),999)),ISNUMBER(VALUE($EI386)))),1,2)))</f>
        <v/>
      </c>
      <c r="EK386">
        <f>IF($DM386=0,"",IF($EJ386=1,IF(ISNUMBER($EI386),$EI386,VALUE($EI386)),IF($EJ386=2,$DE386,0)))</f>
        <v/>
      </c>
      <c r="EL386">
        <f>IF($DM386=0,"",COUNTIF($EG$5:$EG$1003,"&lt;"&amp;$EG386)+SUMPRODUCT(($EG$5:$EG$1003=$EG386)*(($EJ$5:$EJ$1003&lt;$EJ386)+($EJ$5:$EJ$1003=$EJ386)*(($EK$5:$EK$1003&lt;$EK386)+($EK$5:$EK$1003=$EK386)*($DE$5:$DE$1003&lt;$DE386))))+1)</f>
        <v/>
      </c>
      <c r="EM386">
        <f>IF($DM386=0,"",$EL386+$EG386-1)</f>
        <v/>
      </c>
      <c r="EN386">
        <f>IF($DM386=0,0,IFERROR(MATCH(1,INDEX(--(TRIM(SUBSTITUTE(SUBSTITUTE(SUBSTITUTE(SUBSTITUTE(LINES_NAME&amp;""," "," "),CHAR(9)," "),CHAR(10)," "),CHAR(13)," "))=$DH386),0),0),0))</f>
        <v/>
      </c>
      <c r="EO386">
        <f>IF($EN386=0,0,IF(OR(UPPER(TRIM(INDEX(LINES_SCHEDULED,$EN386)&amp;""))="YES",UPPER(TRIM(INDEX(LINES_SCHEDULED,$EN386)&amp;""))="Y",UPPER(TRIM(INDEX(LINES_SCHEDULED,$EN386)&amp;""))="X"),1,0))</f>
        <v/>
      </c>
      <c r="EP386">
        <f>IF($DM386=0,"",IF(COUNTIFS($EG$5:$EG$1003,$EG386,$EB$5:$EB$1003,"Ready")&gt;0,"READY",IF(COUNTIFS($EG$5:$EG$1003,$EG386,$EB$5:$EB$1003,"PM")&gt;0,"PM",IF(COUNTIFS($EG$5:$EG$1003,$EG386,$EB$5:$EB$1003,"OT")&gt;0,"OT",""))))</f>
        <v/>
      </c>
      <c r="EQ386">
        <f>IF($EN386=0,"",UPPER(TRIM(INDEX(LINES_STATUS,$EN386)&amp;"")))</f>
        <v/>
      </c>
      <c r="ER386">
        <f>IF($DM386=0,"",IF(OR($EQ386="READY",$EQ386="PM",$EQ386="OT"),$EQ386,$EP386))</f>
        <v/>
      </c>
      <c r="ES386">
        <f>IF($DM386=0,"",IF(AND($DV386&lt;&gt;"",UPPER($DV386)&lt;&gt;"N"),"allergen",IF(ISNUMBER(SEARCH("oil",$DQ386)),"oil",IF(OR(EXACT($DS386,"A662"),EXACT($DS386,"A624")),"bulk",""))))</f>
        <v/>
      </c>
      <c r="ET386">
        <f>IF($DM386=0,"",IF(OR($EA386="",$EA386=0),"",$EA386/100))</f>
        <v/>
      </c>
      <c r="EU386">
        <f>IF(OR($ET386="",$DY386=""),"",INT($DY386*(1-$ET386)+0.5))</f>
        <v/>
      </c>
      <c r="EW386" t="n">
        <v>382</v>
      </c>
      <c r="EX386">
        <f>IFERROR(MATCH($EW386,$EM$5:$EM$1003,0),0)</f>
        <v/>
      </c>
      <c r="EY386">
        <f>IF($EW386&gt;$B$12,"",IF($EX386&gt;0,"row","spacer"))</f>
        <v/>
      </c>
      <c r="EZ386">
        <f>IF(AND($EY386="row",$EY385&lt;&gt;"row"),1,0)</f>
        <v/>
      </c>
      <c r="FA386">
        <f>IF(AND($EY386="row",$EY387&lt;&gt;"row"),1,0)</f>
        <v/>
      </c>
      <c r="FB386">
        <f>IF($EZ386=1,IFERROR(IF(ISNUMBER(INDEX(PASTE_ALL,INDEX($DF$5:$DF$1003,$EX386),$B$37)),INDEX(PASTE_ALL,INDEX($DF$5:$DF$1003,$EX386),$B$37),INDEX($DH$5:$DH$1003,$EX386)),INDEX($DH$5:$DH$1003,$EX386)),"")</f>
        <v/>
      </c>
      <c r="FC386">
        <f>IF($EY386="row",INDEX($ER$5:$ER$1003,$EX386),"")</f>
        <v/>
      </c>
      <c r="FD386">
        <f>IF($EY386="row",INDEX($DN$5:$DN$1003,$EX386),"")</f>
        <v/>
      </c>
      <c r="FE386">
        <f>IF($EY386="row",INDEX($DO$5:$DO$1003,$EX386),"")</f>
        <v/>
      </c>
      <c r="FF386">
        <f>IF($EY386="row",INDEX($DP$5:$DP$1003,$EX386),"")</f>
        <v/>
      </c>
      <c r="FG386">
        <f>IF($EY386="row",INDEX($DQ$5:$DQ$1003,$EX386),"")</f>
        <v/>
      </c>
      <c r="FH386">
        <f>IF($EY386="row",INDEX($DR$5:$DR$1003,$EX386),"")</f>
        <v/>
      </c>
      <c r="FI386">
        <f>IF($EY386="row",INDEX($DS$5:$DS$1003,$EX386),"")</f>
        <v/>
      </c>
      <c r="FJ386">
        <f>IF($EY386="row",INDEX($DT$5:$DT$1003,$EX386),"")</f>
        <v/>
      </c>
      <c r="FK386">
        <f>IF($EY386="row",INDEX($DU$5:$DU$1003,$EX386),"")</f>
        <v/>
      </c>
      <c r="FL386">
        <f>IF($EY386="row",INDEX($DV$5:$DV$1003,$EX386),"")</f>
        <v/>
      </c>
      <c r="FM386">
        <f>IF($EY386="row",INDEX($DW$5:$DW$1003,$EX386),"")</f>
        <v/>
      </c>
      <c r="FN386">
        <f>IF($EY386="row",INDEX($DY$5:$DY$1003,$EX386),"")</f>
        <v/>
      </c>
      <c r="FO386">
        <f>IF($EY386="row",INDEX($EA$5:$EA$1003,$EX386),"")</f>
        <v/>
      </c>
      <c r="FP386">
        <f>IF($EY386="row",INDEX($EC$5:$EC$1003,$EX386),"")</f>
        <v/>
      </c>
      <c r="FQ386">
        <f>IF($EY386="row",INDEX($ET$5:$ET$1003,$EX386),"")</f>
        <v/>
      </c>
      <c r="FR386">
        <f>IF($EY386="row",INDEX($EU$5:$EU$1003,$EX386),"")</f>
        <v/>
      </c>
      <c r="FS386">
        <f>IF(AND($EY386="row",$EY385="row"),IF(OR(INDEX($DT$5:$DT$1003,$EX385)="",INDEX($DT$5:$DT$1003,$EX386)=""),"",IF(NOT(EXACT(INDEX($DT$5:$DT$1003,$EX385),INDEX($DT$5:$DT$1003,$EX386))),"S4",IF(NOT(EXACT(INDEX($DS$5:$DS$1003,$EX385),INDEX($DS$5:$DS$1003,$EX386))),"S3",IF(NOT(EXACT(INDEX($DR$5:$DR$1003,$EX385),INDEX($DR$5:$DR$1003,$EX386))),"S1 Count Change","S1")))),"")</f>
        <v/>
      </c>
      <c r="FT386">
        <f>IF($EY386="row",INDEX($ES$5:$ES$1003,$EX386),"")</f>
        <v/>
      </c>
      <c r="FU386">
        <f>IF($EY386="row",INDEX($EO$5:$EO$1003,$EX386),0)</f>
        <v/>
      </c>
      <c r="FV386">
        <f>IF($FS386="S1 Count Change",1,0)</f>
        <v/>
      </c>
    </row>
    <row r="387">
      <c r="DA387" t="n">
        <v>383</v>
      </c>
      <c r="DB387">
        <f>IF($B$37=0,"",IFERROR(TRIM(SUBSTITUTE(SUBSTITUTE(SUBSTITUTE(SUBSTITUTE(INDEX(PASTE_ALL,383,$B$37)," "," "),CHAR(9)," "),CHAR(10)," "),CHAR(13)," ")),""))</f>
        <v/>
      </c>
      <c r="DC387">
        <f>IF(AND(383&gt;HEADER_ROW,UPPER(DB387)="LEGEND"),1,0)</f>
        <v/>
      </c>
      <c r="DE387" t="n">
        <v>383</v>
      </c>
      <c r="DF387">
        <f>HEADER_ROW+$DE387</f>
        <v/>
      </c>
      <c r="DG387">
        <f>IF(AND($DF387&lt;=1000,$DF387&lt;$B$8),1,0)</f>
        <v/>
      </c>
      <c r="DH387">
        <f>IF($DG387=1,IFERROR(INDEX($DB$5:$DB$1004,$DF387),""),"")</f>
        <v/>
      </c>
      <c r="DI387">
        <f>IF(AND($DG387=1,$DH387&lt;&gt;""),IFERROR(SUBSTITUTE(SUBSTITUTE(TRIM(SUBSTITUTE(SUBSTITUTE(SUBSTITUTE(SUBSTITUTE(IFERROR(INDEX(PASTE_ALL,$DF387,1)&amp;"","")&amp;"␟"&amp;IFERROR(INDEX(PASTE_ALL,$DF387,2)&amp;"","")&amp;"␟"&amp;IFERROR(INDEX(PASTE_ALL,$DF387,3)&amp;"","")&amp;"␟"&amp;IFERROR(INDEX(PASTE_ALL,$DF387,4)&amp;"","")&amp;"␟"&amp;IFERROR(INDEX(PASTE_ALL,$DF387,5)&amp;"","")&amp;"␟"&amp;IFERROR(INDEX(PASTE_ALL,$DF387,6)&amp;"","")&amp;"␟"&amp;IFERROR(INDEX(PASTE_ALL,$DF387,7)&amp;"","")&amp;"␟"&amp;IFERROR(INDEX(PASTE_ALL,$DF387,8)&amp;"","")&amp;"␟"&amp;IFERROR(INDEX(PASTE_ALL,$DF387,9)&amp;"","")&amp;"␟"&amp;IFERROR(INDEX(PASTE_ALL,$DF387,10)&amp;"","")&amp;"␟"&amp;IFERROR(INDEX(PASTE_ALL,$DF387,11)&amp;"","")&amp;"␟"&amp;IFERROR(INDEX(PASTE_ALL,$DF387,12)&amp;"","")&amp;"␟"&amp;IFERROR(INDEX(PASTE_ALL,$DF387,13)&amp;"","")&amp;"␟"&amp;IFERROR(INDEX(PASTE_ALL,$DF387,14)&amp;"","")&amp;"␟"&amp;IFERROR(INDEX(PASTE_ALL,$DF387,15)&amp;"","")&amp;"␟"&amp;IFERROR(INDEX(PASTE_ALL,$DF387,16)&amp;"","")&amp;"␟"&amp;IFERROR(INDEX(PASTE_ALL,$DF387,17)&amp;"","")&amp;"␟"&amp;IFERROR(INDEX(PASTE_ALL,$DF387,18)&amp;"","")&amp;"␟"&amp;IFERROR(INDEX(PASTE_ALL,$DF387,19)&amp;"","")&amp;"␟"&amp;IFERROR(INDEX(PASTE_ALL,$DF387,20)&amp;"","")&amp;"␟"&amp;IFERROR(INDEX(PASTE_ALL,$DF387,21)&amp;"","")&amp;"␟"&amp;IFERROR(INDEX(PASTE_ALL,$DF387,22)&amp;"","")&amp;"␟"&amp;IFERROR(INDEX(PASTE_ALL,$DF387,23)&amp;"","")&amp;"␟"&amp;IFERROR(INDEX(PASTE_ALL,$DF387,24)&amp;"","")&amp;"␟"&amp;IFERROR(INDEX(PASTE_ALL,$DF387,25)&amp;"","")&amp;"␟"&amp;IFERROR(INDEX(PASTE_ALL,$DF387,26)&amp;"","")&amp;"␟"&amp;IFERROR(INDEX(PASTE_ALL,$DF387,27)&amp;"","")&amp;"␟"&amp;IFERROR(INDEX(PASTE_ALL,$DF387,28)&amp;"","")&amp;"␟"&amp;IFERROR(INDEX(PASTE_ALL,$DF387,29)&amp;"","")&amp;"␟"&amp;IFERROR(INDEX(PASTE_ALL,$DF387,30)&amp;"","")&amp;"␟"&amp;IFERROR(INDEX(PASTE_ALL,$DF387,31)&amp;"","")&amp;"␟"&amp;IFERROR(INDEX(PASTE_ALL,$DF387,32)&amp;"","")&amp;"␟"&amp;IFERROR(INDEX(PASTE_ALL,$DF387,33)&amp;"","")&amp;"␟"&amp;IFERROR(INDEX(PASTE_ALL,$DF387,34)&amp;"","")&amp;"␟"&amp;IFERROR(INDEX(PASTE_ALL,$DF387,35)&amp;"","")&amp;"␟"&amp;IFERROR(INDEX(PASTE_ALL,$DF387,36)&amp;"","")&amp;"␟"&amp;IFERROR(INDEX(PASTE_ALL,$DF387,37)&amp;"","")&amp;"␟"&amp;IFERROR(INDEX(PASTE_ALL,$DF387,38)&amp;"","")&amp;"␟"&amp;IFERROR(INDEX(PASTE_ALL,$DF387,39)&amp;"","")&amp;"␟"&amp;IFERROR(INDEX(PASTE_ALL,$DF387,40)&amp;"","")&amp;"␟"&amp;IFERROR(INDEX(PASTE_ALL,$DF387,41)&amp;"","")&amp;"␟"&amp;IFERROR(INDEX(PASTE_ALL,$DF387,42)&amp;"","")&amp;"␟"&amp;IFERROR(INDEX(PASTE_ALL,$DF387,43)&amp;"","")&amp;"␟"&amp;IFERROR(INDEX(PASTE_ALL,$DF387,44)&amp;"","")&amp;"␟"&amp;IFERROR(INDEX(PASTE_ALL,$DF387,45)&amp;"","")&amp;"␟"&amp;IFERROR(INDEX(PASTE_ALL,$DF387,46)&amp;"","")&amp;"␟"&amp;IFERROR(INDEX(PASTE_ALL,$DF387,47)&amp;"","")&amp;"␟"&amp;IFERROR(INDEX(PASTE_ALL,$DF387,48)&amp;"","")&amp;"␟"&amp;IFERROR(INDEX(PASTE_ALL,$DF387,49)&amp;"","")&amp;"␟"&amp;IFERROR(INDEX(PASTE_ALL,$DF387,50)&amp;"","")&amp;"␟"&amp;IFERROR(INDEX(PASTE_ALL,$DF387,51)&amp;"","")&amp;"␟"&amp;IFERROR(INDEX(PASTE_ALL,$DF387,52)&amp;"","")&amp;"␟"&amp;IFERROR(INDEX(PASTE_ALL,$DF387,53)&amp;"","")&amp;"␟"&amp;IFERROR(INDEX(PASTE_ALL,$DF387,54)&amp;"","")&amp;"␟"&amp;IFERROR(INDEX(PASTE_ALL,$DF387,55)&amp;"","")&amp;"␟"&amp;IFERROR(INDEX(PASTE_ALL,$DF387,56)&amp;"","")&amp;"␟"&amp;IFERROR(INDEX(PASTE_ALL,$DF387,57)&amp;"","")&amp;"␟"&amp;IFERROR(INDEX(PASTE_ALL,$DF387,58)&amp;"","")&amp;"␟"&amp;IFERROR(INDEX(PASTE_ALL,$DF387,59)&amp;"","")&amp;"␟"&amp;IFERROR(INDEX(PASTE_ALL,$DF387,60)&amp;"","")," "," "),CHAR(9)," "),CHAR(10)," "),CHAR(13)," "))," ␟","␟"),"␟ ","␟"),"#"&amp;$DE387),"")</f>
        <v/>
      </c>
      <c r="DJ387">
        <f>IF($DI387="",0,IF(SUMPRODUCT(--EXACT($DI$4:DI386,$DI387))&gt;0,1,0))</f>
        <v/>
      </c>
      <c r="DK387">
        <f>IF(AND($DI387&lt;&gt;"",$DJ387=0),1,0)</f>
        <v/>
      </c>
      <c r="DL387">
        <f>DL386+$DK387</f>
        <v/>
      </c>
      <c r="DM387">
        <f>IF(AND($DK387=1,$DL387&lt;=600),1,0)</f>
        <v/>
      </c>
      <c r="DN387">
        <f>IF($DM387=0,"",IF($L$6=0,"",IFERROR(IF(ISNUMBER(INDEX(PASTE_ALL,$DF387,$L$6)),INDEX(PASTE_ALL,$DF387,$L$6),TRIM(SUBSTITUTE(SUBSTITUTE(SUBSTITUTE(SUBSTITUTE(INDEX(PASTE_ALL,$DF387,$L$6)," "," "),CHAR(9)," "),CHAR(10)," "),CHAR(13)," "))),"")))</f>
        <v/>
      </c>
      <c r="DO387">
        <f>IF($DM387=0,"",IF($L$7=0,"",IFERROR(IF(ISNUMBER(INDEX(PASTE_ALL,$DF387,$L$7)),INDEX(PASTE_ALL,$DF387,$L$7),TRIM(SUBSTITUTE(SUBSTITUTE(SUBSTITUTE(SUBSTITUTE(INDEX(PASTE_ALL,$DF387,$L$7)," "," "),CHAR(9)," "),CHAR(10)," "),CHAR(13)," "))),"")))</f>
        <v/>
      </c>
      <c r="DP387">
        <f>IF($DM387=0,"",IF($L$8=0,"",IFERROR(IF(ISNUMBER(INDEX(PASTE_ALL,$DF387,$L$8)),INDEX(PASTE_ALL,$DF387,$L$8),TRIM(SUBSTITUTE(SUBSTITUTE(SUBSTITUTE(SUBSTITUTE(INDEX(PASTE_ALL,$DF387,$L$8)," "," "),CHAR(9)," "),CHAR(10)," "),CHAR(13)," "))),"")))</f>
        <v/>
      </c>
      <c r="DQ387">
        <f>IF($DM387=0,"",IF($L$9=0,"",IFERROR(IF(ISNUMBER(INDEX(PASTE_ALL,$DF387,$L$9)),INDEX(PASTE_ALL,$DF387,$L$9),TRIM(SUBSTITUTE(SUBSTITUTE(SUBSTITUTE(SUBSTITUTE(INDEX(PASTE_ALL,$DF387,$L$9)," "," "),CHAR(9)," "),CHAR(10)," "),CHAR(13)," "))),"")))</f>
        <v/>
      </c>
      <c r="DR387">
        <f>IF($DM387=0,"",IF($L$10=0,"",IFERROR(IF(ISNUMBER(INDEX(PASTE_ALL,$DF387,$L$10)),INDEX(PASTE_ALL,$DF387,$L$10),TRIM(SUBSTITUTE(SUBSTITUTE(SUBSTITUTE(SUBSTITUTE(INDEX(PASTE_ALL,$DF387,$L$10)," "," "),CHAR(9)," "),CHAR(10)," "),CHAR(13)," "))),"")))</f>
        <v/>
      </c>
      <c r="DS387">
        <f>IF($DM387=0,"",IF($L$11=0,"",IFERROR(IF(ISNUMBER(INDEX(PASTE_ALL,$DF387,$L$11)),INDEX(PASTE_ALL,$DF387,$L$11),TRIM(SUBSTITUTE(SUBSTITUTE(SUBSTITUTE(SUBSTITUTE(INDEX(PASTE_ALL,$DF387,$L$11)," "," "),CHAR(9)," "),CHAR(10)," "),CHAR(13)," "))),"")))</f>
        <v/>
      </c>
      <c r="DT387">
        <f>IF($DM387=0,"",IF($L$12=0,"",IFERROR(IF(ISNUMBER(INDEX(PASTE_ALL,$DF387,$L$12)),INDEX(PASTE_ALL,$DF387,$L$12),TRIM(SUBSTITUTE(SUBSTITUTE(SUBSTITUTE(SUBSTITUTE(INDEX(PASTE_ALL,$DF387,$L$12)," "," "),CHAR(9)," "),CHAR(10)," "),CHAR(13)," "))),"")))</f>
        <v/>
      </c>
      <c r="DU387">
        <f>IF($DM387=0,"",IF($L$13=0,"",IFERROR(IF(ISNUMBER(INDEX(PASTE_ALL,$DF387,$L$13)),INDEX(PASTE_ALL,$DF387,$L$13),TRIM(SUBSTITUTE(SUBSTITUTE(SUBSTITUTE(SUBSTITUTE(INDEX(PASTE_ALL,$DF387,$L$13)," "," "),CHAR(9)," "),CHAR(10)," "),CHAR(13)," "))),"")))</f>
        <v/>
      </c>
      <c r="DV387">
        <f>IF($DM387=0,"",IF($L$14=0,"",IFERROR(IF(ISNUMBER(INDEX(PASTE_ALL,$DF387,$L$14)),INDEX(PASTE_ALL,$DF387,$L$14),TRIM(SUBSTITUTE(SUBSTITUTE(SUBSTITUTE(SUBSTITUTE(INDEX(PASTE_ALL,$DF387,$L$14)," "," "),CHAR(9)," "),CHAR(10)," "),CHAR(13)," "))),"")))</f>
        <v/>
      </c>
      <c r="DW387">
        <f>IF($DM387=0,"",IF($L$15=0,"",IFERROR(IF(ISNUMBER(INDEX(PASTE_ALL,$DF387,$L$15)),INDEX(PASTE_ALL,$DF387,$L$15),IF(SUMPRODUCT(--ISNUMBER(FIND({"A","B","C","D","E","F","G","H","I","J","K","L","M","N","O","P","Q","R","S","T","U","V","W","X","Y","Z","0","1","2","3","4","5","6","7","8","9"},UPPER(TRIM(SUBSTITUTE(SUBSTITUTE(SUBSTITUTE(SUBSTITUTE(INDEX(PASTE_ALL,$DF387,$L$15)," "," "),CHAR(9)," "),CHAR(10)," "),CHAR(13)," "))))))&gt;0,TRIM(SUBSTITUTE(SUBSTITUTE(SUBSTITUTE(SUBSTITUTE(INDEX(PASTE_ALL,$DF387,$L$15)," "," "),CHAR(9)," "),CHAR(10)," "),CHAR(13)," ")),"")),"")))</f>
        <v/>
      </c>
      <c r="DX387">
        <f>IF($DM387=0,"",IF($L$16=0,"",IFERROR(IF(ISNUMBER(INDEX(PASTE_ALL,$DF387,$L$16)),INDEX(PASTE_ALL,$DF387,$L$16),SUBSTITUTE(SUBSTITUTE(TRIM(SUBSTITUTE(SUBSTITUTE(SUBSTITUTE(SUBSTITUTE(INDEX(PASTE_ALL,$DF387,$L$16)," "," "),CHAR(9)," "),CHAR(10)," "),CHAR(13)," ")),",",""),"%","")),"")))</f>
        <v/>
      </c>
      <c r="DY387">
        <f>IF($DM387=0,"",IFERROR(IF(ISNUMBER($DX387),$DX387,IF($DX387="","",IF(TRIM($DX387)="",0,IF(AND(AND(SUBSTITUTE(SUBSTITUTE(SUBSTITUTE(SUBSTITUTE(SUBSTITUTE(SUBSTITUTE(SUBSTITUTE(SUBSTITUTE(SUBSTITUTE(SUBSTITUTE(SUBSTITUTE(SUBSTITUTE(SUBSTITUTE(SUBSTITUTE(UPPER(TRIM($DX387)),"0",""),"1",""),"2",""),"3",""),"4",""),"5",""),"6",""),"7",""),"8",""),"9",""),".",""),"+",""),"-",""),"E","")="",LEN(SUBSTITUTE(SUBSTITUTE(MID(UPPER(TRIM($DX387)),1+OR(LEFT(UPPER(TRIM($DX387)),1)="+",LEFT(UPPER(TRIM($DX387)),1)="-"),999),"E+","E"),"E-","E"))=LEN(SUBSTITUTE(SUBSTITUTE(SUBSTITUTE(SUBSTITUTE(MID(UPPER(TRIM($DX387)),1+OR(LEFT(UPPER(TRIM($DX387)),1)="+",LEFT(UPPER(TRIM($DX387)),1)="-"),999),"E+","E"),"E-","E"),"+",""),"-","")),LEN(UPPER(TRIM($DX387)))-LEN(SUBSTITUTE(UPPER(TRIM($DX387)),"E",""))&lt;2,LEN(UPPER(TRIM($DX387)))-LEN(SUBSTITUTE(UPPER(TRIM($DX387)),".",""))&lt;2,IFERROR(FIND(".",UPPER(TRIM($DX387))),0)&lt;IFERROR(FIND("E",UPPER(TRIM($DX387))),999)),ISNUMBER(VALUE(TRIM($DX387)))),VALUE(TRIM($DX387)),"")))),""))</f>
        <v/>
      </c>
      <c r="DZ387">
        <f>IF($DM387=0,"",IF($L$17=0,"",IFERROR(IF(ISNUMBER(INDEX(PASTE_ALL,$DF387,$L$17)),INDEX(PASTE_ALL,$DF387,$L$17),SUBSTITUTE(SUBSTITUTE(TRIM(SUBSTITUTE(SUBSTITUTE(SUBSTITUTE(SUBSTITUTE(INDEX(PASTE_ALL,$DF387,$L$17)," "," "),CHAR(9)," "),CHAR(10)," "),CHAR(13)," ")),",",""),"%","")),"")))</f>
        <v/>
      </c>
      <c r="EA387">
        <f>IF($DM387=0,"",IFERROR(IF(ISNUMBER($DZ387),$DZ387,IF($DZ387="","",IF(TRIM($DZ387)="",0,IF(AND(AND(SUBSTITUTE(SUBSTITUTE(SUBSTITUTE(SUBSTITUTE(SUBSTITUTE(SUBSTITUTE(SUBSTITUTE(SUBSTITUTE(SUBSTITUTE(SUBSTITUTE(SUBSTITUTE(SUBSTITUTE(SUBSTITUTE(SUBSTITUTE(UPPER(TRIM($DZ387)),"0",""),"1",""),"2",""),"3",""),"4",""),"5",""),"6",""),"7",""),"8",""),"9",""),".",""),"+",""),"-",""),"E","")="",LEN(SUBSTITUTE(SUBSTITUTE(MID(UPPER(TRIM($DZ387)),1+OR(LEFT(UPPER(TRIM($DZ387)),1)="+",LEFT(UPPER(TRIM($DZ387)),1)="-"),999),"E+","E"),"E-","E"))=LEN(SUBSTITUTE(SUBSTITUTE(SUBSTITUTE(SUBSTITUTE(MID(UPPER(TRIM($DZ387)),1+OR(LEFT(UPPER(TRIM($DZ387)),1)="+",LEFT(UPPER(TRIM($DZ387)),1)="-"),999),"E+","E"),"E-","E"),"+",""),"-","")),LEN(UPPER(TRIM($DZ387)))-LEN(SUBSTITUTE(UPPER(TRIM($DZ387)),"E",""))&lt;2,LEN(UPPER(TRIM($DZ387)))-LEN(SUBSTITUTE(UPPER(TRIM($DZ387)),".",""))&lt;2,IFERROR(FIND(".",UPPER(TRIM($DZ387))),0)&lt;IFERROR(FIND("E",UPPER(TRIM($DZ387))),999)),ISNUMBER(VALUE(TRIM($DZ387)))),VALUE(TRIM($DZ387)),"")))),""))</f>
        <v/>
      </c>
      <c r="EB387">
        <f>IF($DM387=0,"",IF($L$18=0,"",IFERROR(IF(UPPER(TRIM(SUBSTITUTE(SUBSTITUTE(SUBSTITUTE(SUBSTITUTE(INDEX(PASTE_ALL,$DF387,$L$18)," "," "),CHAR(9)," "),CHAR(10)," "),CHAR(13)," ")))="READY","Ready",IF(UPPER(TRIM(SUBSTITUTE(SUBSTITUTE(SUBSTITUTE(SUBSTITUTE(INDEX(PASTE_ALL,$DF387,$L$18)," "," "),CHAR(9)," "),CHAR(10)," "),CHAR(13)," ")))="PM","PM",IF(OR(UPPER(TRIM(SUBSTITUTE(SUBSTITUTE(SUBSTITUTE(SUBSTITUTE(INDEX(PASTE_ALL,$DF387,$L$18)," "," "),CHAR(9)," "),CHAR(10)," "),CHAR(13)," ")))="OT",UPPER(TRIM(SUBSTITUTE(SUBSTITUTE(SUBSTITUTE(SUBSTITUTE(INDEX(PASTE_ALL,$DF387,$L$18)," "," "),CHAR(9)," "),CHAR(10)," "),CHAR(13)," ")))="OVERTIME",UPPER(TRIM(SUBSTITUTE(SUBSTITUTE(SUBSTITUTE(SUBSTITUTE(INDEX(PASTE_ALL,$DF387,$L$18)," "," "),CHAR(9)," "),CHAR(10)," "),CHAR(13)," ")))="TRIAL"),"OT",TRIM(SUBSTITUTE(SUBSTITUTE(SUBSTITUTE(SUBSTITUTE(INDEX(PASTE_ALL,$DF387,$L$18)," "," "),CHAR(9)," "),CHAR(10)," "),CHAR(13)," "))))),"")))</f>
        <v/>
      </c>
      <c r="EC387">
        <f>IF($DM387=0,"",IF($L$19=0,"",IFERROR(IF(ISNUMBER(INDEX(PASTE_ALL,$DF387,$L$19)),INDEX(PASTE_ALL,$DF387,$L$19),TRIM(SUBSTITUTE(SUBSTITUTE(SUBSTITUTE(SUBSTITUTE(INDEX(PASTE_ALL,$DF387,$L$19)," "," "),CHAR(9)," "),CHAR(10)," "),CHAR(13)," "))),"")))</f>
        <v/>
      </c>
      <c r="ED387">
        <f>IF($DM387=0,"",MATCH(1,INDEX(EXACT($DH$5:DH387,$DH387)*$DM$5:DM387,0),0))</f>
        <v/>
      </c>
      <c r="EE387">
        <f>IF($DM387=0,0,IF($ED387=$DE387,1,0))</f>
        <v/>
      </c>
      <c r="EF387">
        <f>EF386+$EE387</f>
        <v/>
      </c>
      <c r="EG387">
        <f>IF($DM387=0,"",INDEX($EF$5:$EF$1003,$ED387))</f>
        <v/>
      </c>
      <c r="EH387">
        <f>IF($DM387=0,"",IF($DO387&lt;&gt;"","",IFERROR(LOOKUP(2,1/(($EG$4:EG386=$EG387)*($DO$4:DO386&lt;&gt;"")),$DO$4:DO386),"")))</f>
        <v/>
      </c>
      <c r="EI387">
        <f>IF($DM387=0,"",IF($DO387&lt;&gt;"",$DO387,$EH387))</f>
        <v/>
      </c>
      <c r="EJ387">
        <f>IF($DM387=0,"",IF($EI387="",0,IF(OR(ISNUMBER($EI387),AND(AND(SUBSTITUTE(SUBSTITUTE(SUBSTITUTE(SUBSTITUTE(SUBSTITUTE(SUBSTITUTE(SUBSTITUTE(SUBSTITUTE(SUBSTITUTE(SUBSTITUTE(SUBSTITUTE(SUBSTITUTE(SUBSTITUTE(SUBSTITUTE(UPPER($EI387),"0",""),"1",""),"2",""),"3",""),"4",""),"5",""),"6",""),"7",""),"8",""),"9",""),".",""),"+",""),"-",""),"E","")="",LEN(SUBSTITUTE(SUBSTITUTE(MID(UPPER($EI387),1+OR(LEFT(UPPER($EI387),1)="+",LEFT(UPPER($EI387),1)="-"),999),"E+","E"),"E-","E"))=LEN(SUBSTITUTE(SUBSTITUTE(SUBSTITUTE(SUBSTITUTE(MID(UPPER($EI387),1+OR(LEFT(UPPER($EI387),1)="+",LEFT(UPPER($EI387),1)="-"),999),"E+","E"),"E-","E"),"+",""),"-","")),LEN(UPPER($EI387))-LEN(SUBSTITUTE(UPPER($EI387),"E",""))&lt;2,LEN(UPPER($EI387))-LEN(SUBSTITUTE(UPPER($EI387),".",""))&lt;2,IFERROR(FIND(".",UPPER($EI387)),0)&lt;IFERROR(FIND("E",UPPER($EI387)),999)),ISNUMBER(VALUE($EI387)))),1,2)))</f>
        <v/>
      </c>
      <c r="EK387">
        <f>IF($DM387=0,"",IF($EJ387=1,IF(ISNUMBER($EI387),$EI387,VALUE($EI387)),IF($EJ387=2,$DE387,0)))</f>
        <v/>
      </c>
      <c r="EL387">
        <f>IF($DM387=0,"",COUNTIF($EG$5:$EG$1003,"&lt;"&amp;$EG387)+SUMPRODUCT(($EG$5:$EG$1003=$EG387)*(($EJ$5:$EJ$1003&lt;$EJ387)+($EJ$5:$EJ$1003=$EJ387)*(($EK$5:$EK$1003&lt;$EK387)+($EK$5:$EK$1003=$EK387)*($DE$5:$DE$1003&lt;$DE387))))+1)</f>
        <v/>
      </c>
      <c r="EM387">
        <f>IF($DM387=0,"",$EL387+$EG387-1)</f>
        <v/>
      </c>
      <c r="EN387">
        <f>IF($DM387=0,0,IFERROR(MATCH(1,INDEX(--(TRIM(SUBSTITUTE(SUBSTITUTE(SUBSTITUTE(SUBSTITUTE(LINES_NAME&amp;""," "," "),CHAR(9)," "),CHAR(10)," "),CHAR(13)," "))=$DH387),0),0),0))</f>
        <v/>
      </c>
      <c r="EO387">
        <f>IF($EN387=0,0,IF(OR(UPPER(TRIM(INDEX(LINES_SCHEDULED,$EN387)&amp;""))="YES",UPPER(TRIM(INDEX(LINES_SCHEDULED,$EN387)&amp;""))="Y",UPPER(TRIM(INDEX(LINES_SCHEDULED,$EN387)&amp;""))="X"),1,0))</f>
        <v/>
      </c>
      <c r="EP387">
        <f>IF($DM387=0,"",IF(COUNTIFS($EG$5:$EG$1003,$EG387,$EB$5:$EB$1003,"Ready")&gt;0,"READY",IF(COUNTIFS($EG$5:$EG$1003,$EG387,$EB$5:$EB$1003,"PM")&gt;0,"PM",IF(COUNTIFS($EG$5:$EG$1003,$EG387,$EB$5:$EB$1003,"OT")&gt;0,"OT",""))))</f>
        <v/>
      </c>
      <c r="EQ387">
        <f>IF($EN387=0,"",UPPER(TRIM(INDEX(LINES_STATUS,$EN387)&amp;"")))</f>
        <v/>
      </c>
      <c r="ER387">
        <f>IF($DM387=0,"",IF(OR($EQ387="READY",$EQ387="PM",$EQ387="OT"),$EQ387,$EP387))</f>
        <v/>
      </c>
      <c r="ES387">
        <f>IF($DM387=0,"",IF(AND($DV387&lt;&gt;"",UPPER($DV387)&lt;&gt;"N"),"allergen",IF(ISNUMBER(SEARCH("oil",$DQ387)),"oil",IF(OR(EXACT($DS387,"A662"),EXACT($DS387,"A624")),"bulk",""))))</f>
        <v/>
      </c>
      <c r="ET387">
        <f>IF($DM387=0,"",IF(OR($EA387="",$EA387=0),"",$EA387/100))</f>
        <v/>
      </c>
      <c r="EU387">
        <f>IF(OR($ET387="",$DY387=""),"",INT($DY387*(1-$ET387)+0.5))</f>
        <v/>
      </c>
      <c r="EW387" t="n">
        <v>383</v>
      </c>
      <c r="EX387">
        <f>IFERROR(MATCH($EW387,$EM$5:$EM$1003,0),0)</f>
        <v/>
      </c>
      <c r="EY387">
        <f>IF($EW387&gt;$B$12,"",IF($EX387&gt;0,"row","spacer"))</f>
        <v/>
      </c>
      <c r="EZ387">
        <f>IF(AND($EY387="row",$EY386&lt;&gt;"row"),1,0)</f>
        <v/>
      </c>
      <c r="FA387">
        <f>IF(AND($EY387="row",$EY388&lt;&gt;"row"),1,0)</f>
        <v/>
      </c>
      <c r="FB387">
        <f>IF($EZ387=1,IFERROR(IF(ISNUMBER(INDEX(PASTE_ALL,INDEX($DF$5:$DF$1003,$EX387),$B$37)),INDEX(PASTE_ALL,INDEX($DF$5:$DF$1003,$EX387),$B$37),INDEX($DH$5:$DH$1003,$EX387)),INDEX($DH$5:$DH$1003,$EX387)),"")</f>
        <v/>
      </c>
      <c r="FC387">
        <f>IF($EY387="row",INDEX($ER$5:$ER$1003,$EX387),"")</f>
        <v/>
      </c>
      <c r="FD387">
        <f>IF($EY387="row",INDEX($DN$5:$DN$1003,$EX387),"")</f>
        <v/>
      </c>
      <c r="FE387">
        <f>IF($EY387="row",INDEX($DO$5:$DO$1003,$EX387),"")</f>
        <v/>
      </c>
      <c r="FF387">
        <f>IF($EY387="row",INDEX($DP$5:$DP$1003,$EX387),"")</f>
        <v/>
      </c>
      <c r="FG387">
        <f>IF($EY387="row",INDEX($DQ$5:$DQ$1003,$EX387),"")</f>
        <v/>
      </c>
      <c r="FH387">
        <f>IF($EY387="row",INDEX($DR$5:$DR$1003,$EX387),"")</f>
        <v/>
      </c>
      <c r="FI387">
        <f>IF($EY387="row",INDEX($DS$5:$DS$1003,$EX387),"")</f>
        <v/>
      </c>
      <c r="FJ387">
        <f>IF($EY387="row",INDEX($DT$5:$DT$1003,$EX387),"")</f>
        <v/>
      </c>
      <c r="FK387">
        <f>IF($EY387="row",INDEX($DU$5:$DU$1003,$EX387),"")</f>
        <v/>
      </c>
      <c r="FL387">
        <f>IF($EY387="row",INDEX($DV$5:$DV$1003,$EX387),"")</f>
        <v/>
      </c>
      <c r="FM387">
        <f>IF($EY387="row",INDEX($DW$5:$DW$1003,$EX387),"")</f>
        <v/>
      </c>
      <c r="FN387">
        <f>IF($EY387="row",INDEX($DY$5:$DY$1003,$EX387),"")</f>
        <v/>
      </c>
      <c r="FO387">
        <f>IF($EY387="row",INDEX($EA$5:$EA$1003,$EX387),"")</f>
        <v/>
      </c>
      <c r="FP387">
        <f>IF($EY387="row",INDEX($EC$5:$EC$1003,$EX387),"")</f>
        <v/>
      </c>
      <c r="FQ387">
        <f>IF($EY387="row",INDEX($ET$5:$ET$1003,$EX387),"")</f>
        <v/>
      </c>
      <c r="FR387">
        <f>IF($EY387="row",INDEX($EU$5:$EU$1003,$EX387),"")</f>
        <v/>
      </c>
      <c r="FS387">
        <f>IF(AND($EY387="row",$EY386="row"),IF(OR(INDEX($DT$5:$DT$1003,$EX386)="",INDEX($DT$5:$DT$1003,$EX387)=""),"",IF(NOT(EXACT(INDEX($DT$5:$DT$1003,$EX386),INDEX($DT$5:$DT$1003,$EX387))),"S4",IF(NOT(EXACT(INDEX($DS$5:$DS$1003,$EX386),INDEX($DS$5:$DS$1003,$EX387))),"S3",IF(NOT(EXACT(INDEX($DR$5:$DR$1003,$EX386),INDEX($DR$5:$DR$1003,$EX387))),"S1 Count Change","S1")))),"")</f>
        <v/>
      </c>
      <c r="FT387">
        <f>IF($EY387="row",INDEX($ES$5:$ES$1003,$EX387),"")</f>
        <v/>
      </c>
      <c r="FU387">
        <f>IF($EY387="row",INDEX($EO$5:$EO$1003,$EX387),0)</f>
        <v/>
      </c>
      <c r="FV387">
        <f>IF($FS387="S1 Count Change",1,0)</f>
        <v/>
      </c>
    </row>
    <row r="388">
      <c r="DA388" t="n">
        <v>384</v>
      </c>
      <c r="DB388">
        <f>IF($B$37=0,"",IFERROR(TRIM(SUBSTITUTE(SUBSTITUTE(SUBSTITUTE(SUBSTITUTE(INDEX(PASTE_ALL,384,$B$37)," "," "),CHAR(9)," "),CHAR(10)," "),CHAR(13)," ")),""))</f>
        <v/>
      </c>
      <c r="DC388">
        <f>IF(AND(384&gt;HEADER_ROW,UPPER(DB388)="LEGEND"),1,0)</f>
        <v/>
      </c>
      <c r="DE388" t="n">
        <v>384</v>
      </c>
      <c r="DF388">
        <f>HEADER_ROW+$DE388</f>
        <v/>
      </c>
      <c r="DG388">
        <f>IF(AND($DF388&lt;=1000,$DF388&lt;$B$8),1,0)</f>
        <v/>
      </c>
      <c r="DH388">
        <f>IF($DG388=1,IFERROR(INDEX($DB$5:$DB$1004,$DF388),""),"")</f>
        <v/>
      </c>
      <c r="DI388">
        <f>IF(AND($DG388=1,$DH388&lt;&gt;""),IFERROR(SUBSTITUTE(SUBSTITUTE(TRIM(SUBSTITUTE(SUBSTITUTE(SUBSTITUTE(SUBSTITUTE(IFERROR(INDEX(PASTE_ALL,$DF388,1)&amp;"","")&amp;"␟"&amp;IFERROR(INDEX(PASTE_ALL,$DF388,2)&amp;"","")&amp;"␟"&amp;IFERROR(INDEX(PASTE_ALL,$DF388,3)&amp;"","")&amp;"␟"&amp;IFERROR(INDEX(PASTE_ALL,$DF388,4)&amp;"","")&amp;"␟"&amp;IFERROR(INDEX(PASTE_ALL,$DF388,5)&amp;"","")&amp;"␟"&amp;IFERROR(INDEX(PASTE_ALL,$DF388,6)&amp;"","")&amp;"␟"&amp;IFERROR(INDEX(PASTE_ALL,$DF388,7)&amp;"","")&amp;"␟"&amp;IFERROR(INDEX(PASTE_ALL,$DF388,8)&amp;"","")&amp;"␟"&amp;IFERROR(INDEX(PASTE_ALL,$DF388,9)&amp;"","")&amp;"␟"&amp;IFERROR(INDEX(PASTE_ALL,$DF388,10)&amp;"","")&amp;"␟"&amp;IFERROR(INDEX(PASTE_ALL,$DF388,11)&amp;"","")&amp;"␟"&amp;IFERROR(INDEX(PASTE_ALL,$DF388,12)&amp;"","")&amp;"␟"&amp;IFERROR(INDEX(PASTE_ALL,$DF388,13)&amp;"","")&amp;"␟"&amp;IFERROR(INDEX(PASTE_ALL,$DF388,14)&amp;"","")&amp;"␟"&amp;IFERROR(INDEX(PASTE_ALL,$DF388,15)&amp;"","")&amp;"␟"&amp;IFERROR(INDEX(PASTE_ALL,$DF388,16)&amp;"","")&amp;"␟"&amp;IFERROR(INDEX(PASTE_ALL,$DF388,17)&amp;"","")&amp;"␟"&amp;IFERROR(INDEX(PASTE_ALL,$DF388,18)&amp;"","")&amp;"␟"&amp;IFERROR(INDEX(PASTE_ALL,$DF388,19)&amp;"","")&amp;"␟"&amp;IFERROR(INDEX(PASTE_ALL,$DF388,20)&amp;"","")&amp;"␟"&amp;IFERROR(INDEX(PASTE_ALL,$DF388,21)&amp;"","")&amp;"␟"&amp;IFERROR(INDEX(PASTE_ALL,$DF388,22)&amp;"","")&amp;"␟"&amp;IFERROR(INDEX(PASTE_ALL,$DF388,23)&amp;"","")&amp;"␟"&amp;IFERROR(INDEX(PASTE_ALL,$DF388,24)&amp;"","")&amp;"␟"&amp;IFERROR(INDEX(PASTE_ALL,$DF388,25)&amp;"","")&amp;"␟"&amp;IFERROR(INDEX(PASTE_ALL,$DF388,26)&amp;"","")&amp;"␟"&amp;IFERROR(INDEX(PASTE_ALL,$DF388,27)&amp;"","")&amp;"␟"&amp;IFERROR(INDEX(PASTE_ALL,$DF388,28)&amp;"","")&amp;"␟"&amp;IFERROR(INDEX(PASTE_ALL,$DF388,29)&amp;"","")&amp;"␟"&amp;IFERROR(INDEX(PASTE_ALL,$DF388,30)&amp;"","")&amp;"␟"&amp;IFERROR(INDEX(PASTE_ALL,$DF388,31)&amp;"","")&amp;"␟"&amp;IFERROR(INDEX(PASTE_ALL,$DF388,32)&amp;"","")&amp;"␟"&amp;IFERROR(INDEX(PASTE_ALL,$DF388,33)&amp;"","")&amp;"␟"&amp;IFERROR(INDEX(PASTE_ALL,$DF388,34)&amp;"","")&amp;"␟"&amp;IFERROR(INDEX(PASTE_ALL,$DF388,35)&amp;"","")&amp;"␟"&amp;IFERROR(INDEX(PASTE_ALL,$DF388,36)&amp;"","")&amp;"␟"&amp;IFERROR(INDEX(PASTE_ALL,$DF388,37)&amp;"","")&amp;"␟"&amp;IFERROR(INDEX(PASTE_ALL,$DF388,38)&amp;"","")&amp;"␟"&amp;IFERROR(INDEX(PASTE_ALL,$DF388,39)&amp;"","")&amp;"␟"&amp;IFERROR(INDEX(PASTE_ALL,$DF388,40)&amp;"","")&amp;"␟"&amp;IFERROR(INDEX(PASTE_ALL,$DF388,41)&amp;"","")&amp;"␟"&amp;IFERROR(INDEX(PASTE_ALL,$DF388,42)&amp;"","")&amp;"␟"&amp;IFERROR(INDEX(PASTE_ALL,$DF388,43)&amp;"","")&amp;"␟"&amp;IFERROR(INDEX(PASTE_ALL,$DF388,44)&amp;"","")&amp;"␟"&amp;IFERROR(INDEX(PASTE_ALL,$DF388,45)&amp;"","")&amp;"␟"&amp;IFERROR(INDEX(PASTE_ALL,$DF388,46)&amp;"","")&amp;"␟"&amp;IFERROR(INDEX(PASTE_ALL,$DF388,47)&amp;"","")&amp;"␟"&amp;IFERROR(INDEX(PASTE_ALL,$DF388,48)&amp;"","")&amp;"␟"&amp;IFERROR(INDEX(PASTE_ALL,$DF388,49)&amp;"","")&amp;"␟"&amp;IFERROR(INDEX(PASTE_ALL,$DF388,50)&amp;"","")&amp;"␟"&amp;IFERROR(INDEX(PASTE_ALL,$DF388,51)&amp;"","")&amp;"␟"&amp;IFERROR(INDEX(PASTE_ALL,$DF388,52)&amp;"","")&amp;"␟"&amp;IFERROR(INDEX(PASTE_ALL,$DF388,53)&amp;"","")&amp;"␟"&amp;IFERROR(INDEX(PASTE_ALL,$DF388,54)&amp;"","")&amp;"␟"&amp;IFERROR(INDEX(PASTE_ALL,$DF388,55)&amp;"","")&amp;"␟"&amp;IFERROR(INDEX(PASTE_ALL,$DF388,56)&amp;"","")&amp;"␟"&amp;IFERROR(INDEX(PASTE_ALL,$DF388,57)&amp;"","")&amp;"␟"&amp;IFERROR(INDEX(PASTE_ALL,$DF388,58)&amp;"","")&amp;"␟"&amp;IFERROR(INDEX(PASTE_ALL,$DF388,59)&amp;"","")&amp;"␟"&amp;IFERROR(INDEX(PASTE_ALL,$DF388,60)&amp;"","")," "," "),CHAR(9)," "),CHAR(10)," "),CHAR(13)," "))," ␟","␟"),"␟ ","␟"),"#"&amp;$DE388),"")</f>
        <v/>
      </c>
      <c r="DJ388">
        <f>IF($DI388="",0,IF(SUMPRODUCT(--EXACT($DI$4:DI387,$DI388))&gt;0,1,0))</f>
        <v/>
      </c>
      <c r="DK388">
        <f>IF(AND($DI388&lt;&gt;"",$DJ388=0),1,0)</f>
        <v/>
      </c>
      <c r="DL388">
        <f>DL387+$DK388</f>
        <v/>
      </c>
      <c r="DM388">
        <f>IF(AND($DK388=1,$DL388&lt;=600),1,0)</f>
        <v/>
      </c>
      <c r="DN388">
        <f>IF($DM388=0,"",IF($L$6=0,"",IFERROR(IF(ISNUMBER(INDEX(PASTE_ALL,$DF388,$L$6)),INDEX(PASTE_ALL,$DF388,$L$6),TRIM(SUBSTITUTE(SUBSTITUTE(SUBSTITUTE(SUBSTITUTE(INDEX(PASTE_ALL,$DF388,$L$6)," "," "),CHAR(9)," "),CHAR(10)," "),CHAR(13)," "))),"")))</f>
        <v/>
      </c>
      <c r="DO388">
        <f>IF($DM388=0,"",IF($L$7=0,"",IFERROR(IF(ISNUMBER(INDEX(PASTE_ALL,$DF388,$L$7)),INDEX(PASTE_ALL,$DF388,$L$7),TRIM(SUBSTITUTE(SUBSTITUTE(SUBSTITUTE(SUBSTITUTE(INDEX(PASTE_ALL,$DF388,$L$7)," "," "),CHAR(9)," "),CHAR(10)," "),CHAR(13)," "))),"")))</f>
        <v/>
      </c>
      <c r="DP388">
        <f>IF($DM388=0,"",IF($L$8=0,"",IFERROR(IF(ISNUMBER(INDEX(PASTE_ALL,$DF388,$L$8)),INDEX(PASTE_ALL,$DF388,$L$8),TRIM(SUBSTITUTE(SUBSTITUTE(SUBSTITUTE(SUBSTITUTE(INDEX(PASTE_ALL,$DF388,$L$8)," "," "),CHAR(9)," "),CHAR(10)," "),CHAR(13)," "))),"")))</f>
        <v/>
      </c>
      <c r="DQ388">
        <f>IF($DM388=0,"",IF($L$9=0,"",IFERROR(IF(ISNUMBER(INDEX(PASTE_ALL,$DF388,$L$9)),INDEX(PASTE_ALL,$DF388,$L$9),TRIM(SUBSTITUTE(SUBSTITUTE(SUBSTITUTE(SUBSTITUTE(INDEX(PASTE_ALL,$DF388,$L$9)," "," "),CHAR(9)," "),CHAR(10)," "),CHAR(13)," "))),"")))</f>
        <v/>
      </c>
      <c r="DR388">
        <f>IF($DM388=0,"",IF($L$10=0,"",IFERROR(IF(ISNUMBER(INDEX(PASTE_ALL,$DF388,$L$10)),INDEX(PASTE_ALL,$DF388,$L$10),TRIM(SUBSTITUTE(SUBSTITUTE(SUBSTITUTE(SUBSTITUTE(INDEX(PASTE_ALL,$DF388,$L$10)," "," "),CHAR(9)," "),CHAR(10)," "),CHAR(13)," "))),"")))</f>
        <v/>
      </c>
      <c r="DS388">
        <f>IF($DM388=0,"",IF($L$11=0,"",IFERROR(IF(ISNUMBER(INDEX(PASTE_ALL,$DF388,$L$11)),INDEX(PASTE_ALL,$DF388,$L$11),TRIM(SUBSTITUTE(SUBSTITUTE(SUBSTITUTE(SUBSTITUTE(INDEX(PASTE_ALL,$DF388,$L$11)," "," "),CHAR(9)," "),CHAR(10)," "),CHAR(13)," "))),"")))</f>
        <v/>
      </c>
      <c r="DT388">
        <f>IF($DM388=0,"",IF($L$12=0,"",IFERROR(IF(ISNUMBER(INDEX(PASTE_ALL,$DF388,$L$12)),INDEX(PASTE_ALL,$DF388,$L$12),TRIM(SUBSTITUTE(SUBSTITUTE(SUBSTITUTE(SUBSTITUTE(INDEX(PASTE_ALL,$DF388,$L$12)," "," "),CHAR(9)," "),CHAR(10)," "),CHAR(13)," "))),"")))</f>
        <v/>
      </c>
      <c r="DU388">
        <f>IF($DM388=0,"",IF($L$13=0,"",IFERROR(IF(ISNUMBER(INDEX(PASTE_ALL,$DF388,$L$13)),INDEX(PASTE_ALL,$DF388,$L$13),TRIM(SUBSTITUTE(SUBSTITUTE(SUBSTITUTE(SUBSTITUTE(INDEX(PASTE_ALL,$DF388,$L$13)," "," "),CHAR(9)," "),CHAR(10)," "),CHAR(13)," "))),"")))</f>
        <v/>
      </c>
      <c r="DV388">
        <f>IF($DM388=0,"",IF($L$14=0,"",IFERROR(IF(ISNUMBER(INDEX(PASTE_ALL,$DF388,$L$14)),INDEX(PASTE_ALL,$DF388,$L$14),TRIM(SUBSTITUTE(SUBSTITUTE(SUBSTITUTE(SUBSTITUTE(INDEX(PASTE_ALL,$DF388,$L$14)," "," "),CHAR(9)," "),CHAR(10)," "),CHAR(13)," "))),"")))</f>
        <v/>
      </c>
      <c r="DW388">
        <f>IF($DM388=0,"",IF($L$15=0,"",IFERROR(IF(ISNUMBER(INDEX(PASTE_ALL,$DF388,$L$15)),INDEX(PASTE_ALL,$DF388,$L$15),IF(SUMPRODUCT(--ISNUMBER(FIND({"A","B","C","D","E","F","G","H","I","J","K","L","M","N","O","P","Q","R","S","T","U","V","W","X","Y","Z","0","1","2","3","4","5","6","7","8","9"},UPPER(TRIM(SUBSTITUTE(SUBSTITUTE(SUBSTITUTE(SUBSTITUTE(INDEX(PASTE_ALL,$DF388,$L$15)," "," "),CHAR(9)," "),CHAR(10)," "),CHAR(13)," "))))))&gt;0,TRIM(SUBSTITUTE(SUBSTITUTE(SUBSTITUTE(SUBSTITUTE(INDEX(PASTE_ALL,$DF388,$L$15)," "," "),CHAR(9)," "),CHAR(10)," "),CHAR(13)," ")),"")),"")))</f>
        <v/>
      </c>
      <c r="DX388">
        <f>IF($DM388=0,"",IF($L$16=0,"",IFERROR(IF(ISNUMBER(INDEX(PASTE_ALL,$DF388,$L$16)),INDEX(PASTE_ALL,$DF388,$L$16),SUBSTITUTE(SUBSTITUTE(TRIM(SUBSTITUTE(SUBSTITUTE(SUBSTITUTE(SUBSTITUTE(INDEX(PASTE_ALL,$DF388,$L$16)," "," "),CHAR(9)," "),CHAR(10)," "),CHAR(13)," ")),",",""),"%","")),"")))</f>
        <v/>
      </c>
      <c r="DY388">
        <f>IF($DM388=0,"",IFERROR(IF(ISNUMBER($DX388),$DX388,IF($DX388="","",IF(TRIM($DX388)="",0,IF(AND(AND(SUBSTITUTE(SUBSTITUTE(SUBSTITUTE(SUBSTITUTE(SUBSTITUTE(SUBSTITUTE(SUBSTITUTE(SUBSTITUTE(SUBSTITUTE(SUBSTITUTE(SUBSTITUTE(SUBSTITUTE(SUBSTITUTE(SUBSTITUTE(UPPER(TRIM($DX388)),"0",""),"1",""),"2",""),"3",""),"4",""),"5",""),"6",""),"7",""),"8",""),"9",""),".",""),"+",""),"-",""),"E","")="",LEN(SUBSTITUTE(SUBSTITUTE(MID(UPPER(TRIM($DX388)),1+OR(LEFT(UPPER(TRIM($DX388)),1)="+",LEFT(UPPER(TRIM($DX388)),1)="-"),999),"E+","E"),"E-","E"))=LEN(SUBSTITUTE(SUBSTITUTE(SUBSTITUTE(SUBSTITUTE(MID(UPPER(TRIM($DX388)),1+OR(LEFT(UPPER(TRIM($DX388)),1)="+",LEFT(UPPER(TRIM($DX388)),1)="-"),999),"E+","E"),"E-","E"),"+",""),"-","")),LEN(UPPER(TRIM($DX388)))-LEN(SUBSTITUTE(UPPER(TRIM($DX388)),"E",""))&lt;2,LEN(UPPER(TRIM($DX388)))-LEN(SUBSTITUTE(UPPER(TRIM($DX388)),".",""))&lt;2,IFERROR(FIND(".",UPPER(TRIM($DX388))),0)&lt;IFERROR(FIND("E",UPPER(TRIM($DX388))),999)),ISNUMBER(VALUE(TRIM($DX388)))),VALUE(TRIM($DX388)),"")))),""))</f>
        <v/>
      </c>
      <c r="DZ388">
        <f>IF($DM388=0,"",IF($L$17=0,"",IFERROR(IF(ISNUMBER(INDEX(PASTE_ALL,$DF388,$L$17)),INDEX(PASTE_ALL,$DF388,$L$17),SUBSTITUTE(SUBSTITUTE(TRIM(SUBSTITUTE(SUBSTITUTE(SUBSTITUTE(SUBSTITUTE(INDEX(PASTE_ALL,$DF388,$L$17)," "," "),CHAR(9)," "),CHAR(10)," "),CHAR(13)," ")),",",""),"%","")),"")))</f>
        <v/>
      </c>
      <c r="EA388">
        <f>IF($DM388=0,"",IFERROR(IF(ISNUMBER($DZ388),$DZ388,IF($DZ388="","",IF(TRIM($DZ388)="",0,IF(AND(AND(SUBSTITUTE(SUBSTITUTE(SUBSTITUTE(SUBSTITUTE(SUBSTITUTE(SUBSTITUTE(SUBSTITUTE(SUBSTITUTE(SUBSTITUTE(SUBSTITUTE(SUBSTITUTE(SUBSTITUTE(SUBSTITUTE(SUBSTITUTE(UPPER(TRIM($DZ388)),"0",""),"1",""),"2",""),"3",""),"4",""),"5",""),"6",""),"7",""),"8",""),"9",""),".",""),"+",""),"-",""),"E","")="",LEN(SUBSTITUTE(SUBSTITUTE(MID(UPPER(TRIM($DZ388)),1+OR(LEFT(UPPER(TRIM($DZ388)),1)="+",LEFT(UPPER(TRIM($DZ388)),1)="-"),999),"E+","E"),"E-","E"))=LEN(SUBSTITUTE(SUBSTITUTE(SUBSTITUTE(SUBSTITUTE(MID(UPPER(TRIM($DZ388)),1+OR(LEFT(UPPER(TRIM($DZ388)),1)="+",LEFT(UPPER(TRIM($DZ388)),1)="-"),999),"E+","E"),"E-","E"),"+",""),"-","")),LEN(UPPER(TRIM($DZ388)))-LEN(SUBSTITUTE(UPPER(TRIM($DZ388)),"E",""))&lt;2,LEN(UPPER(TRIM($DZ388)))-LEN(SUBSTITUTE(UPPER(TRIM($DZ388)),".",""))&lt;2,IFERROR(FIND(".",UPPER(TRIM($DZ388))),0)&lt;IFERROR(FIND("E",UPPER(TRIM($DZ388))),999)),ISNUMBER(VALUE(TRIM($DZ388)))),VALUE(TRIM($DZ388)),"")))),""))</f>
        <v/>
      </c>
      <c r="EB388">
        <f>IF($DM388=0,"",IF($L$18=0,"",IFERROR(IF(UPPER(TRIM(SUBSTITUTE(SUBSTITUTE(SUBSTITUTE(SUBSTITUTE(INDEX(PASTE_ALL,$DF388,$L$18)," "," "),CHAR(9)," "),CHAR(10)," "),CHAR(13)," ")))="READY","Ready",IF(UPPER(TRIM(SUBSTITUTE(SUBSTITUTE(SUBSTITUTE(SUBSTITUTE(INDEX(PASTE_ALL,$DF388,$L$18)," "," "),CHAR(9)," "),CHAR(10)," "),CHAR(13)," ")))="PM","PM",IF(OR(UPPER(TRIM(SUBSTITUTE(SUBSTITUTE(SUBSTITUTE(SUBSTITUTE(INDEX(PASTE_ALL,$DF388,$L$18)," "," "),CHAR(9)," "),CHAR(10)," "),CHAR(13)," ")))="OT",UPPER(TRIM(SUBSTITUTE(SUBSTITUTE(SUBSTITUTE(SUBSTITUTE(INDEX(PASTE_ALL,$DF388,$L$18)," "," "),CHAR(9)," "),CHAR(10)," "),CHAR(13)," ")))="OVERTIME",UPPER(TRIM(SUBSTITUTE(SUBSTITUTE(SUBSTITUTE(SUBSTITUTE(INDEX(PASTE_ALL,$DF388,$L$18)," "," "),CHAR(9)," "),CHAR(10)," "),CHAR(13)," ")))="TRIAL"),"OT",TRIM(SUBSTITUTE(SUBSTITUTE(SUBSTITUTE(SUBSTITUTE(INDEX(PASTE_ALL,$DF388,$L$18)," "," "),CHAR(9)," "),CHAR(10)," "),CHAR(13)," "))))),"")))</f>
        <v/>
      </c>
      <c r="EC388">
        <f>IF($DM388=0,"",IF($L$19=0,"",IFERROR(IF(ISNUMBER(INDEX(PASTE_ALL,$DF388,$L$19)),INDEX(PASTE_ALL,$DF388,$L$19),TRIM(SUBSTITUTE(SUBSTITUTE(SUBSTITUTE(SUBSTITUTE(INDEX(PASTE_ALL,$DF388,$L$19)," "," "),CHAR(9)," "),CHAR(10)," "),CHAR(13)," "))),"")))</f>
        <v/>
      </c>
      <c r="ED388">
        <f>IF($DM388=0,"",MATCH(1,INDEX(EXACT($DH$5:DH388,$DH388)*$DM$5:DM388,0),0))</f>
        <v/>
      </c>
      <c r="EE388">
        <f>IF($DM388=0,0,IF($ED388=$DE388,1,0))</f>
        <v/>
      </c>
      <c r="EF388">
        <f>EF387+$EE388</f>
        <v/>
      </c>
      <c r="EG388">
        <f>IF($DM388=0,"",INDEX($EF$5:$EF$1003,$ED388))</f>
        <v/>
      </c>
      <c r="EH388">
        <f>IF($DM388=0,"",IF($DO388&lt;&gt;"","",IFERROR(LOOKUP(2,1/(($EG$4:EG387=$EG388)*($DO$4:DO387&lt;&gt;"")),$DO$4:DO387),"")))</f>
        <v/>
      </c>
      <c r="EI388">
        <f>IF($DM388=0,"",IF($DO388&lt;&gt;"",$DO388,$EH388))</f>
        <v/>
      </c>
      <c r="EJ388">
        <f>IF($DM388=0,"",IF($EI388="",0,IF(OR(ISNUMBER($EI388),AND(AND(SUBSTITUTE(SUBSTITUTE(SUBSTITUTE(SUBSTITUTE(SUBSTITUTE(SUBSTITUTE(SUBSTITUTE(SUBSTITUTE(SUBSTITUTE(SUBSTITUTE(SUBSTITUTE(SUBSTITUTE(SUBSTITUTE(SUBSTITUTE(UPPER($EI388),"0",""),"1",""),"2",""),"3",""),"4",""),"5",""),"6",""),"7",""),"8",""),"9",""),".",""),"+",""),"-",""),"E","")="",LEN(SUBSTITUTE(SUBSTITUTE(MID(UPPER($EI388),1+OR(LEFT(UPPER($EI388),1)="+",LEFT(UPPER($EI388),1)="-"),999),"E+","E"),"E-","E"))=LEN(SUBSTITUTE(SUBSTITUTE(SUBSTITUTE(SUBSTITUTE(MID(UPPER($EI388),1+OR(LEFT(UPPER($EI388),1)="+",LEFT(UPPER($EI388),1)="-"),999),"E+","E"),"E-","E"),"+",""),"-","")),LEN(UPPER($EI388))-LEN(SUBSTITUTE(UPPER($EI388),"E",""))&lt;2,LEN(UPPER($EI388))-LEN(SUBSTITUTE(UPPER($EI388),".",""))&lt;2,IFERROR(FIND(".",UPPER($EI388)),0)&lt;IFERROR(FIND("E",UPPER($EI388)),999)),ISNUMBER(VALUE($EI388)))),1,2)))</f>
        <v/>
      </c>
      <c r="EK388">
        <f>IF($DM388=0,"",IF($EJ388=1,IF(ISNUMBER($EI388),$EI388,VALUE($EI388)),IF($EJ388=2,$DE388,0)))</f>
        <v/>
      </c>
      <c r="EL388">
        <f>IF($DM388=0,"",COUNTIF($EG$5:$EG$1003,"&lt;"&amp;$EG388)+SUMPRODUCT(($EG$5:$EG$1003=$EG388)*(($EJ$5:$EJ$1003&lt;$EJ388)+($EJ$5:$EJ$1003=$EJ388)*(($EK$5:$EK$1003&lt;$EK388)+($EK$5:$EK$1003=$EK388)*($DE$5:$DE$1003&lt;$DE388))))+1)</f>
        <v/>
      </c>
      <c r="EM388">
        <f>IF($DM388=0,"",$EL388+$EG388-1)</f>
        <v/>
      </c>
      <c r="EN388">
        <f>IF($DM388=0,0,IFERROR(MATCH(1,INDEX(--(TRIM(SUBSTITUTE(SUBSTITUTE(SUBSTITUTE(SUBSTITUTE(LINES_NAME&amp;""," "," "),CHAR(9)," "),CHAR(10)," "),CHAR(13)," "))=$DH388),0),0),0))</f>
        <v/>
      </c>
      <c r="EO388">
        <f>IF($EN388=0,0,IF(OR(UPPER(TRIM(INDEX(LINES_SCHEDULED,$EN388)&amp;""))="YES",UPPER(TRIM(INDEX(LINES_SCHEDULED,$EN388)&amp;""))="Y",UPPER(TRIM(INDEX(LINES_SCHEDULED,$EN388)&amp;""))="X"),1,0))</f>
        <v/>
      </c>
      <c r="EP388">
        <f>IF($DM388=0,"",IF(COUNTIFS($EG$5:$EG$1003,$EG388,$EB$5:$EB$1003,"Ready")&gt;0,"READY",IF(COUNTIFS($EG$5:$EG$1003,$EG388,$EB$5:$EB$1003,"PM")&gt;0,"PM",IF(COUNTIFS($EG$5:$EG$1003,$EG388,$EB$5:$EB$1003,"OT")&gt;0,"OT",""))))</f>
        <v/>
      </c>
      <c r="EQ388">
        <f>IF($EN388=0,"",UPPER(TRIM(INDEX(LINES_STATUS,$EN388)&amp;"")))</f>
        <v/>
      </c>
      <c r="ER388">
        <f>IF($DM388=0,"",IF(OR($EQ388="READY",$EQ388="PM",$EQ388="OT"),$EQ388,$EP388))</f>
        <v/>
      </c>
      <c r="ES388">
        <f>IF($DM388=0,"",IF(AND($DV388&lt;&gt;"",UPPER($DV388)&lt;&gt;"N"),"allergen",IF(ISNUMBER(SEARCH("oil",$DQ388)),"oil",IF(OR(EXACT($DS388,"A662"),EXACT($DS388,"A624")),"bulk",""))))</f>
        <v/>
      </c>
      <c r="ET388">
        <f>IF($DM388=0,"",IF(OR($EA388="",$EA388=0),"",$EA388/100))</f>
        <v/>
      </c>
      <c r="EU388">
        <f>IF(OR($ET388="",$DY388=""),"",INT($DY388*(1-$ET388)+0.5))</f>
        <v/>
      </c>
      <c r="EW388" t="n">
        <v>384</v>
      </c>
      <c r="EX388">
        <f>IFERROR(MATCH($EW388,$EM$5:$EM$1003,0),0)</f>
        <v/>
      </c>
      <c r="EY388">
        <f>IF($EW388&gt;$B$12,"",IF($EX388&gt;0,"row","spacer"))</f>
        <v/>
      </c>
      <c r="EZ388">
        <f>IF(AND($EY388="row",$EY387&lt;&gt;"row"),1,0)</f>
        <v/>
      </c>
      <c r="FA388">
        <f>IF(AND($EY388="row",$EY389&lt;&gt;"row"),1,0)</f>
        <v/>
      </c>
      <c r="FB388">
        <f>IF($EZ388=1,IFERROR(IF(ISNUMBER(INDEX(PASTE_ALL,INDEX($DF$5:$DF$1003,$EX388),$B$37)),INDEX(PASTE_ALL,INDEX($DF$5:$DF$1003,$EX388),$B$37),INDEX($DH$5:$DH$1003,$EX388)),INDEX($DH$5:$DH$1003,$EX388)),"")</f>
        <v/>
      </c>
      <c r="FC388">
        <f>IF($EY388="row",INDEX($ER$5:$ER$1003,$EX388),"")</f>
        <v/>
      </c>
      <c r="FD388">
        <f>IF($EY388="row",INDEX($DN$5:$DN$1003,$EX388),"")</f>
        <v/>
      </c>
      <c r="FE388">
        <f>IF($EY388="row",INDEX($DO$5:$DO$1003,$EX388),"")</f>
        <v/>
      </c>
      <c r="FF388">
        <f>IF($EY388="row",INDEX($DP$5:$DP$1003,$EX388),"")</f>
        <v/>
      </c>
      <c r="FG388">
        <f>IF($EY388="row",INDEX($DQ$5:$DQ$1003,$EX388),"")</f>
        <v/>
      </c>
      <c r="FH388">
        <f>IF($EY388="row",INDEX($DR$5:$DR$1003,$EX388),"")</f>
        <v/>
      </c>
      <c r="FI388">
        <f>IF($EY388="row",INDEX($DS$5:$DS$1003,$EX388),"")</f>
        <v/>
      </c>
      <c r="FJ388">
        <f>IF($EY388="row",INDEX($DT$5:$DT$1003,$EX388),"")</f>
        <v/>
      </c>
      <c r="FK388">
        <f>IF($EY388="row",INDEX($DU$5:$DU$1003,$EX388),"")</f>
        <v/>
      </c>
      <c r="FL388">
        <f>IF($EY388="row",INDEX($DV$5:$DV$1003,$EX388),"")</f>
        <v/>
      </c>
      <c r="FM388">
        <f>IF($EY388="row",INDEX($DW$5:$DW$1003,$EX388),"")</f>
        <v/>
      </c>
      <c r="FN388">
        <f>IF($EY388="row",INDEX($DY$5:$DY$1003,$EX388),"")</f>
        <v/>
      </c>
      <c r="FO388">
        <f>IF($EY388="row",INDEX($EA$5:$EA$1003,$EX388),"")</f>
        <v/>
      </c>
      <c r="FP388">
        <f>IF($EY388="row",INDEX($EC$5:$EC$1003,$EX388),"")</f>
        <v/>
      </c>
      <c r="FQ388">
        <f>IF($EY388="row",INDEX($ET$5:$ET$1003,$EX388),"")</f>
        <v/>
      </c>
      <c r="FR388">
        <f>IF($EY388="row",INDEX($EU$5:$EU$1003,$EX388),"")</f>
        <v/>
      </c>
      <c r="FS388">
        <f>IF(AND($EY388="row",$EY387="row"),IF(OR(INDEX($DT$5:$DT$1003,$EX387)="",INDEX($DT$5:$DT$1003,$EX388)=""),"",IF(NOT(EXACT(INDEX($DT$5:$DT$1003,$EX387),INDEX($DT$5:$DT$1003,$EX388))),"S4",IF(NOT(EXACT(INDEX($DS$5:$DS$1003,$EX387),INDEX($DS$5:$DS$1003,$EX388))),"S3",IF(NOT(EXACT(INDEX($DR$5:$DR$1003,$EX387),INDEX($DR$5:$DR$1003,$EX388))),"S1 Count Change","S1")))),"")</f>
        <v/>
      </c>
      <c r="FT388">
        <f>IF($EY388="row",INDEX($ES$5:$ES$1003,$EX388),"")</f>
        <v/>
      </c>
      <c r="FU388">
        <f>IF($EY388="row",INDEX($EO$5:$EO$1003,$EX388),0)</f>
        <v/>
      </c>
      <c r="FV388">
        <f>IF($FS388="S1 Count Change",1,0)</f>
        <v/>
      </c>
    </row>
    <row r="389">
      <c r="DA389" t="n">
        <v>385</v>
      </c>
      <c r="DB389">
        <f>IF($B$37=0,"",IFERROR(TRIM(SUBSTITUTE(SUBSTITUTE(SUBSTITUTE(SUBSTITUTE(INDEX(PASTE_ALL,385,$B$37)," "," "),CHAR(9)," "),CHAR(10)," "),CHAR(13)," ")),""))</f>
        <v/>
      </c>
      <c r="DC389">
        <f>IF(AND(385&gt;HEADER_ROW,UPPER(DB389)="LEGEND"),1,0)</f>
        <v/>
      </c>
      <c r="DE389" t="n">
        <v>385</v>
      </c>
      <c r="DF389">
        <f>HEADER_ROW+$DE389</f>
        <v/>
      </c>
      <c r="DG389">
        <f>IF(AND($DF389&lt;=1000,$DF389&lt;$B$8),1,0)</f>
        <v/>
      </c>
      <c r="DH389">
        <f>IF($DG389=1,IFERROR(INDEX($DB$5:$DB$1004,$DF389),""),"")</f>
        <v/>
      </c>
      <c r="DI389">
        <f>IF(AND($DG389=1,$DH389&lt;&gt;""),IFERROR(SUBSTITUTE(SUBSTITUTE(TRIM(SUBSTITUTE(SUBSTITUTE(SUBSTITUTE(SUBSTITUTE(IFERROR(INDEX(PASTE_ALL,$DF389,1)&amp;"","")&amp;"␟"&amp;IFERROR(INDEX(PASTE_ALL,$DF389,2)&amp;"","")&amp;"␟"&amp;IFERROR(INDEX(PASTE_ALL,$DF389,3)&amp;"","")&amp;"␟"&amp;IFERROR(INDEX(PASTE_ALL,$DF389,4)&amp;"","")&amp;"␟"&amp;IFERROR(INDEX(PASTE_ALL,$DF389,5)&amp;"","")&amp;"␟"&amp;IFERROR(INDEX(PASTE_ALL,$DF389,6)&amp;"","")&amp;"␟"&amp;IFERROR(INDEX(PASTE_ALL,$DF389,7)&amp;"","")&amp;"␟"&amp;IFERROR(INDEX(PASTE_ALL,$DF389,8)&amp;"","")&amp;"␟"&amp;IFERROR(INDEX(PASTE_ALL,$DF389,9)&amp;"","")&amp;"␟"&amp;IFERROR(INDEX(PASTE_ALL,$DF389,10)&amp;"","")&amp;"␟"&amp;IFERROR(INDEX(PASTE_ALL,$DF389,11)&amp;"","")&amp;"␟"&amp;IFERROR(INDEX(PASTE_ALL,$DF389,12)&amp;"","")&amp;"␟"&amp;IFERROR(INDEX(PASTE_ALL,$DF389,13)&amp;"","")&amp;"␟"&amp;IFERROR(INDEX(PASTE_ALL,$DF389,14)&amp;"","")&amp;"␟"&amp;IFERROR(INDEX(PASTE_ALL,$DF389,15)&amp;"","")&amp;"␟"&amp;IFERROR(INDEX(PASTE_ALL,$DF389,16)&amp;"","")&amp;"␟"&amp;IFERROR(INDEX(PASTE_ALL,$DF389,17)&amp;"","")&amp;"␟"&amp;IFERROR(INDEX(PASTE_ALL,$DF389,18)&amp;"","")&amp;"␟"&amp;IFERROR(INDEX(PASTE_ALL,$DF389,19)&amp;"","")&amp;"␟"&amp;IFERROR(INDEX(PASTE_ALL,$DF389,20)&amp;"","")&amp;"␟"&amp;IFERROR(INDEX(PASTE_ALL,$DF389,21)&amp;"","")&amp;"␟"&amp;IFERROR(INDEX(PASTE_ALL,$DF389,22)&amp;"","")&amp;"␟"&amp;IFERROR(INDEX(PASTE_ALL,$DF389,23)&amp;"","")&amp;"␟"&amp;IFERROR(INDEX(PASTE_ALL,$DF389,24)&amp;"","")&amp;"␟"&amp;IFERROR(INDEX(PASTE_ALL,$DF389,25)&amp;"","")&amp;"␟"&amp;IFERROR(INDEX(PASTE_ALL,$DF389,26)&amp;"","")&amp;"␟"&amp;IFERROR(INDEX(PASTE_ALL,$DF389,27)&amp;"","")&amp;"␟"&amp;IFERROR(INDEX(PASTE_ALL,$DF389,28)&amp;"","")&amp;"␟"&amp;IFERROR(INDEX(PASTE_ALL,$DF389,29)&amp;"","")&amp;"␟"&amp;IFERROR(INDEX(PASTE_ALL,$DF389,30)&amp;"","")&amp;"␟"&amp;IFERROR(INDEX(PASTE_ALL,$DF389,31)&amp;"","")&amp;"␟"&amp;IFERROR(INDEX(PASTE_ALL,$DF389,32)&amp;"","")&amp;"␟"&amp;IFERROR(INDEX(PASTE_ALL,$DF389,33)&amp;"","")&amp;"␟"&amp;IFERROR(INDEX(PASTE_ALL,$DF389,34)&amp;"","")&amp;"␟"&amp;IFERROR(INDEX(PASTE_ALL,$DF389,35)&amp;"","")&amp;"␟"&amp;IFERROR(INDEX(PASTE_ALL,$DF389,36)&amp;"","")&amp;"␟"&amp;IFERROR(INDEX(PASTE_ALL,$DF389,37)&amp;"","")&amp;"␟"&amp;IFERROR(INDEX(PASTE_ALL,$DF389,38)&amp;"","")&amp;"␟"&amp;IFERROR(INDEX(PASTE_ALL,$DF389,39)&amp;"","")&amp;"␟"&amp;IFERROR(INDEX(PASTE_ALL,$DF389,40)&amp;"","")&amp;"␟"&amp;IFERROR(INDEX(PASTE_ALL,$DF389,41)&amp;"","")&amp;"␟"&amp;IFERROR(INDEX(PASTE_ALL,$DF389,42)&amp;"","")&amp;"␟"&amp;IFERROR(INDEX(PASTE_ALL,$DF389,43)&amp;"","")&amp;"␟"&amp;IFERROR(INDEX(PASTE_ALL,$DF389,44)&amp;"","")&amp;"␟"&amp;IFERROR(INDEX(PASTE_ALL,$DF389,45)&amp;"","")&amp;"␟"&amp;IFERROR(INDEX(PASTE_ALL,$DF389,46)&amp;"","")&amp;"␟"&amp;IFERROR(INDEX(PASTE_ALL,$DF389,47)&amp;"","")&amp;"␟"&amp;IFERROR(INDEX(PASTE_ALL,$DF389,48)&amp;"","")&amp;"␟"&amp;IFERROR(INDEX(PASTE_ALL,$DF389,49)&amp;"","")&amp;"␟"&amp;IFERROR(INDEX(PASTE_ALL,$DF389,50)&amp;"","")&amp;"␟"&amp;IFERROR(INDEX(PASTE_ALL,$DF389,51)&amp;"","")&amp;"␟"&amp;IFERROR(INDEX(PASTE_ALL,$DF389,52)&amp;"","")&amp;"␟"&amp;IFERROR(INDEX(PASTE_ALL,$DF389,53)&amp;"","")&amp;"␟"&amp;IFERROR(INDEX(PASTE_ALL,$DF389,54)&amp;"","")&amp;"␟"&amp;IFERROR(INDEX(PASTE_ALL,$DF389,55)&amp;"","")&amp;"␟"&amp;IFERROR(INDEX(PASTE_ALL,$DF389,56)&amp;"","")&amp;"␟"&amp;IFERROR(INDEX(PASTE_ALL,$DF389,57)&amp;"","")&amp;"␟"&amp;IFERROR(INDEX(PASTE_ALL,$DF389,58)&amp;"","")&amp;"␟"&amp;IFERROR(INDEX(PASTE_ALL,$DF389,59)&amp;"","")&amp;"␟"&amp;IFERROR(INDEX(PASTE_ALL,$DF389,60)&amp;"","")," "," "),CHAR(9)," "),CHAR(10)," "),CHAR(13)," "))," ␟","␟"),"␟ ","␟"),"#"&amp;$DE389),"")</f>
        <v/>
      </c>
      <c r="DJ389">
        <f>IF($DI389="",0,IF(SUMPRODUCT(--EXACT($DI$4:DI388,$DI389))&gt;0,1,0))</f>
        <v/>
      </c>
      <c r="DK389">
        <f>IF(AND($DI389&lt;&gt;"",$DJ389=0),1,0)</f>
        <v/>
      </c>
      <c r="DL389">
        <f>DL388+$DK389</f>
        <v/>
      </c>
      <c r="DM389">
        <f>IF(AND($DK389=1,$DL389&lt;=600),1,0)</f>
        <v/>
      </c>
      <c r="DN389">
        <f>IF($DM389=0,"",IF($L$6=0,"",IFERROR(IF(ISNUMBER(INDEX(PASTE_ALL,$DF389,$L$6)),INDEX(PASTE_ALL,$DF389,$L$6),TRIM(SUBSTITUTE(SUBSTITUTE(SUBSTITUTE(SUBSTITUTE(INDEX(PASTE_ALL,$DF389,$L$6)," "," "),CHAR(9)," "),CHAR(10)," "),CHAR(13)," "))),"")))</f>
        <v/>
      </c>
      <c r="DO389">
        <f>IF($DM389=0,"",IF($L$7=0,"",IFERROR(IF(ISNUMBER(INDEX(PASTE_ALL,$DF389,$L$7)),INDEX(PASTE_ALL,$DF389,$L$7),TRIM(SUBSTITUTE(SUBSTITUTE(SUBSTITUTE(SUBSTITUTE(INDEX(PASTE_ALL,$DF389,$L$7)," "," "),CHAR(9)," "),CHAR(10)," "),CHAR(13)," "))),"")))</f>
        <v/>
      </c>
      <c r="DP389">
        <f>IF($DM389=0,"",IF($L$8=0,"",IFERROR(IF(ISNUMBER(INDEX(PASTE_ALL,$DF389,$L$8)),INDEX(PASTE_ALL,$DF389,$L$8),TRIM(SUBSTITUTE(SUBSTITUTE(SUBSTITUTE(SUBSTITUTE(INDEX(PASTE_ALL,$DF389,$L$8)," "," "),CHAR(9)," "),CHAR(10)," "),CHAR(13)," "))),"")))</f>
        <v/>
      </c>
      <c r="DQ389">
        <f>IF($DM389=0,"",IF($L$9=0,"",IFERROR(IF(ISNUMBER(INDEX(PASTE_ALL,$DF389,$L$9)),INDEX(PASTE_ALL,$DF389,$L$9),TRIM(SUBSTITUTE(SUBSTITUTE(SUBSTITUTE(SUBSTITUTE(INDEX(PASTE_ALL,$DF389,$L$9)," "," "),CHAR(9)," "),CHAR(10)," "),CHAR(13)," "))),"")))</f>
        <v/>
      </c>
      <c r="DR389">
        <f>IF($DM389=0,"",IF($L$10=0,"",IFERROR(IF(ISNUMBER(INDEX(PASTE_ALL,$DF389,$L$10)),INDEX(PASTE_ALL,$DF389,$L$10),TRIM(SUBSTITUTE(SUBSTITUTE(SUBSTITUTE(SUBSTITUTE(INDEX(PASTE_ALL,$DF389,$L$10)," "," "),CHAR(9)," "),CHAR(10)," "),CHAR(13)," "))),"")))</f>
        <v/>
      </c>
      <c r="DS389">
        <f>IF($DM389=0,"",IF($L$11=0,"",IFERROR(IF(ISNUMBER(INDEX(PASTE_ALL,$DF389,$L$11)),INDEX(PASTE_ALL,$DF389,$L$11),TRIM(SUBSTITUTE(SUBSTITUTE(SUBSTITUTE(SUBSTITUTE(INDEX(PASTE_ALL,$DF389,$L$11)," "," "),CHAR(9)," "),CHAR(10)," "),CHAR(13)," "))),"")))</f>
        <v/>
      </c>
      <c r="DT389">
        <f>IF($DM389=0,"",IF($L$12=0,"",IFERROR(IF(ISNUMBER(INDEX(PASTE_ALL,$DF389,$L$12)),INDEX(PASTE_ALL,$DF389,$L$12),TRIM(SUBSTITUTE(SUBSTITUTE(SUBSTITUTE(SUBSTITUTE(INDEX(PASTE_ALL,$DF389,$L$12)," "," "),CHAR(9)," "),CHAR(10)," "),CHAR(13)," "))),"")))</f>
        <v/>
      </c>
      <c r="DU389">
        <f>IF($DM389=0,"",IF($L$13=0,"",IFERROR(IF(ISNUMBER(INDEX(PASTE_ALL,$DF389,$L$13)),INDEX(PASTE_ALL,$DF389,$L$13),TRIM(SUBSTITUTE(SUBSTITUTE(SUBSTITUTE(SUBSTITUTE(INDEX(PASTE_ALL,$DF389,$L$13)," "," "),CHAR(9)," "),CHAR(10)," "),CHAR(13)," "))),"")))</f>
        <v/>
      </c>
      <c r="DV389">
        <f>IF($DM389=0,"",IF($L$14=0,"",IFERROR(IF(ISNUMBER(INDEX(PASTE_ALL,$DF389,$L$14)),INDEX(PASTE_ALL,$DF389,$L$14),TRIM(SUBSTITUTE(SUBSTITUTE(SUBSTITUTE(SUBSTITUTE(INDEX(PASTE_ALL,$DF389,$L$14)," "," "),CHAR(9)," "),CHAR(10)," "),CHAR(13)," "))),"")))</f>
        <v/>
      </c>
      <c r="DW389">
        <f>IF($DM389=0,"",IF($L$15=0,"",IFERROR(IF(ISNUMBER(INDEX(PASTE_ALL,$DF389,$L$15)),INDEX(PASTE_ALL,$DF389,$L$15),IF(SUMPRODUCT(--ISNUMBER(FIND({"A","B","C","D","E","F","G","H","I","J","K","L","M","N","O","P","Q","R","S","T","U","V","W","X","Y","Z","0","1","2","3","4","5","6","7","8","9"},UPPER(TRIM(SUBSTITUTE(SUBSTITUTE(SUBSTITUTE(SUBSTITUTE(INDEX(PASTE_ALL,$DF389,$L$15)," "," "),CHAR(9)," "),CHAR(10)," "),CHAR(13)," "))))))&gt;0,TRIM(SUBSTITUTE(SUBSTITUTE(SUBSTITUTE(SUBSTITUTE(INDEX(PASTE_ALL,$DF389,$L$15)," "," "),CHAR(9)," "),CHAR(10)," "),CHAR(13)," ")),"")),"")))</f>
        <v/>
      </c>
      <c r="DX389">
        <f>IF($DM389=0,"",IF($L$16=0,"",IFERROR(IF(ISNUMBER(INDEX(PASTE_ALL,$DF389,$L$16)),INDEX(PASTE_ALL,$DF389,$L$16),SUBSTITUTE(SUBSTITUTE(TRIM(SUBSTITUTE(SUBSTITUTE(SUBSTITUTE(SUBSTITUTE(INDEX(PASTE_ALL,$DF389,$L$16)," "," "),CHAR(9)," "),CHAR(10)," "),CHAR(13)," ")),",",""),"%","")),"")))</f>
        <v/>
      </c>
      <c r="DY389">
        <f>IF($DM389=0,"",IFERROR(IF(ISNUMBER($DX389),$DX389,IF($DX389="","",IF(TRIM($DX389)="",0,IF(AND(AND(SUBSTITUTE(SUBSTITUTE(SUBSTITUTE(SUBSTITUTE(SUBSTITUTE(SUBSTITUTE(SUBSTITUTE(SUBSTITUTE(SUBSTITUTE(SUBSTITUTE(SUBSTITUTE(SUBSTITUTE(SUBSTITUTE(SUBSTITUTE(UPPER(TRIM($DX389)),"0",""),"1",""),"2",""),"3",""),"4",""),"5",""),"6",""),"7",""),"8",""),"9",""),".",""),"+",""),"-",""),"E","")="",LEN(SUBSTITUTE(SUBSTITUTE(MID(UPPER(TRIM($DX389)),1+OR(LEFT(UPPER(TRIM($DX389)),1)="+",LEFT(UPPER(TRIM($DX389)),1)="-"),999),"E+","E"),"E-","E"))=LEN(SUBSTITUTE(SUBSTITUTE(SUBSTITUTE(SUBSTITUTE(MID(UPPER(TRIM($DX389)),1+OR(LEFT(UPPER(TRIM($DX389)),1)="+",LEFT(UPPER(TRIM($DX389)),1)="-"),999),"E+","E"),"E-","E"),"+",""),"-","")),LEN(UPPER(TRIM($DX389)))-LEN(SUBSTITUTE(UPPER(TRIM($DX389)),"E",""))&lt;2,LEN(UPPER(TRIM($DX389)))-LEN(SUBSTITUTE(UPPER(TRIM($DX389)),".",""))&lt;2,IFERROR(FIND(".",UPPER(TRIM($DX389))),0)&lt;IFERROR(FIND("E",UPPER(TRIM($DX389))),999)),ISNUMBER(VALUE(TRIM($DX389)))),VALUE(TRIM($DX389)),"")))),""))</f>
        <v/>
      </c>
      <c r="DZ389">
        <f>IF($DM389=0,"",IF($L$17=0,"",IFERROR(IF(ISNUMBER(INDEX(PASTE_ALL,$DF389,$L$17)),INDEX(PASTE_ALL,$DF389,$L$17),SUBSTITUTE(SUBSTITUTE(TRIM(SUBSTITUTE(SUBSTITUTE(SUBSTITUTE(SUBSTITUTE(INDEX(PASTE_ALL,$DF389,$L$17)," "," "),CHAR(9)," "),CHAR(10)," "),CHAR(13)," ")),",",""),"%","")),"")))</f>
        <v/>
      </c>
      <c r="EA389">
        <f>IF($DM389=0,"",IFERROR(IF(ISNUMBER($DZ389),$DZ389,IF($DZ389="","",IF(TRIM($DZ389)="",0,IF(AND(AND(SUBSTITUTE(SUBSTITUTE(SUBSTITUTE(SUBSTITUTE(SUBSTITUTE(SUBSTITUTE(SUBSTITUTE(SUBSTITUTE(SUBSTITUTE(SUBSTITUTE(SUBSTITUTE(SUBSTITUTE(SUBSTITUTE(SUBSTITUTE(UPPER(TRIM($DZ389)),"0",""),"1",""),"2",""),"3",""),"4",""),"5",""),"6",""),"7",""),"8",""),"9",""),".",""),"+",""),"-",""),"E","")="",LEN(SUBSTITUTE(SUBSTITUTE(MID(UPPER(TRIM($DZ389)),1+OR(LEFT(UPPER(TRIM($DZ389)),1)="+",LEFT(UPPER(TRIM($DZ389)),1)="-"),999),"E+","E"),"E-","E"))=LEN(SUBSTITUTE(SUBSTITUTE(SUBSTITUTE(SUBSTITUTE(MID(UPPER(TRIM($DZ389)),1+OR(LEFT(UPPER(TRIM($DZ389)),1)="+",LEFT(UPPER(TRIM($DZ389)),1)="-"),999),"E+","E"),"E-","E"),"+",""),"-","")),LEN(UPPER(TRIM($DZ389)))-LEN(SUBSTITUTE(UPPER(TRIM($DZ389)),"E",""))&lt;2,LEN(UPPER(TRIM($DZ389)))-LEN(SUBSTITUTE(UPPER(TRIM($DZ389)),".",""))&lt;2,IFERROR(FIND(".",UPPER(TRIM($DZ389))),0)&lt;IFERROR(FIND("E",UPPER(TRIM($DZ389))),999)),ISNUMBER(VALUE(TRIM($DZ389)))),VALUE(TRIM($DZ389)),"")))),""))</f>
        <v/>
      </c>
      <c r="EB389">
        <f>IF($DM389=0,"",IF($L$18=0,"",IFERROR(IF(UPPER(TRIM(SUBSTITUTE(SUBSTITUTE(SUBSTITUTE(SUBSTITUTE(INDEX(PASTE_ALL,$DF389,$L$18)," "," "),CHAR(9)," "),CHAR(10)," "),CHAR(13)," ")))="READY","Ready",IF(UPPER(TRIM(SUBSTITUTE(SUBSTITUTE(SUBSTITUTE(SUBSTITUTE(INDEX(PASTE_ALL,$DF389,$L$18)," "," "),CHAR(9)," "),CHAR(10)," "),CHAR(13)," ")))="PM","PM",IF(OR(UPPER(TRIM(SUBSTITUTE(SUBSTITUTE(SUBSTITUTE(SUBSTITUTE(INDEX(PASTE_ALL,$DF389,$L$18)," "," "),CHAR(9)," "),CHAR(10)," "),CHAR(13)," ")))="OT",UPPER(TRIM(SUBSTITUTE(SUBSTITUTE(SUBSTITUTE(SUBSTITUTE(INDEX(PASTE_ALL,$DF389,$L$18)," "," "),CHAR(9)," "),CHAR(10)," "),CHAR(13)," ")))="OVERTIME",UPPER(TRIM(SUBSTITUTE(SUBSTITUTE(SUBSTITUTE(SUBSTITUTE(INDEX(PASTE_ALL,$DF389,$L$18)," "," "),CHAR(9)," "),CHAR(10)," "),CHAR(13)," ")))="TRIAL"),"OT",TRIM(SUBSTITUTE(SUBSTITUTE(SUBSTITUTE(SUBSTITUTE(INDEX(PASTE_ALL,$DF389,$L$18)," "," "),CHAR(9)," "),CHAR(10)," "),CHAR(13)," "))))),"")))</f>
        <v/>
      </c>
      <c r="EC389">
        <f>IF($DM389=0,"",IF($L$19=0,"",IFERROR(IF(ISNUMBER(INDEX(PASTE_ALL,$DF389,$L$19)),INDEX(PASTE_ALL,$DF389,$L$19),TRIM(SUBSTITUTE(SUBSTITUTE(SUBSTITUTE(SUBSTITUTE(INDEX(PASTE_ALL,$DF389,$L$19)," "," "),CHAR(9)," "),CHAR(10)," "),CHAR(13)," "))),"")))</f>
        <v/>
      </c>
      <c r="ED389">
        <f>IF($DM389=0,"",MATCH(1,INDEX(EXACT($DH$5:DH389,$DH389)*$DM$5:DM389,0),0))</f>
        <v/>
      </c>
      <c r="EE389">
        <f>IF($DM389=0,0,IF($ED389=$DE389,1,0))</f>
        <v/>
      </c>
      <c r="EF389">
        <f>EF388+$EE389</f>
        <v/>
      </c>
      <c r="EG389">
        <f>IF($DM389=0,"",INDEX($EF$5:$EF$1003,$ED389))</f>
        <v/>
      </c>
      <c r="EH389">
        <f>IF($DM389=0,"",IF($DO389&lt;&gt;"","",IFERROR(LOOKUP(2,1/(($EG$4:EG388=$EG389)*($DO$4:DO388&lt;&gt;"")),$DO$4:DO388),"")))</f>
        <v/>
      </c>
      <c r="EI389">
        <f>IF($DM389=0,"",IF($DO389&lt;&gt;"",$DO389,$EH389))</f>
        <v/>
      </c>
      <c r="EJ389">
        <f>IF($DM389=0,"",IF($EI389="",0,IF(OR(ISNUMBER($EI389),AND(AND(SUBSTITUTE(SUBSTITUTE(SUBSTITUTE(SUBSTITUTE(SUBSTITUTE(SUBSTITUTE(SUBSTITUTE(SUBSTITUTE(SUBSTITUTE(SUBSTITUTE(SUBSTITUTE(SUBSTITUTE(SUBSTITUTE(SUBSTITUTE(UPPER($EI389),"0",""),"1",""),"2",""),"3",""),"4",""),"5",""),"6",""),"7",""),"8",""),"9",""),".",""),"+",""),"-",""),"E","")="",LEN(SUBSTITUTE(SUBSTITUTE(MID(UPPER($EI389),1+OR(LEFT(UPPER($EI389),1)="+",LEFT(UPPER($EI389),1)="-"),999),"E+","E"),"E-","E"))=LEN(SUBSTITUTE(SUBSTITUTE(SUBSTITUTE(SUBSTITUTE(MID(UPPER($EI389),1+OR(LEFT(UPPER($EI389),1)="+",LEFT(UPPER($EI389),1)="-"),999),"E+","E"),"E-","E"),"+",""),"-","")),LEN(UPPER($EI389))-LEN(SUBSTITUTE(UPPER($EI389),"E",""))&lt;2,LEN(UPPER($EI389))-LEN(SUBSTITUTE(UPPER($EI389),".",""))&lt;2,IFERROR(FIND(".",UPPER($EI389)),0)&lt;IFERROR(FIND("E",UPPER($EI389)),999)),ISNUMBER(VALUE($EI389)))),1,2)))</f>
        <v/>
      </c>
      <c r="EK389">
        <f>IF($DM389=0,"",IF($EJ389=1,IF(ISNUMBER($EI389),$EI389,VALUE($EI389)),IF($EJ389=2,$DE389,0)))</f>
        <v/>
      </c>
      <c r="EL389">
        <f>IF($DM389=0,"",COUNTIF($EG$5:$EG$1003,"&lt;"&amp;$EG389)+SUMPRODUCT(($EG$5:$EG$1003=$EG389)*(($EJ$5:$EJ$1003&lt;$EJ389)+($EJ$5:$EJ$1003=$EJ389)*(($EK$5:$EK$1003&lt;$EK389)+($EK$5:$EK$1003=$EK389)*($DE$5:$DE$1003&lt;$DE389))))+1)</f>
        <v/>
      </c>
      <c r="EM389">
        <f>IF($DM389=0,"",$EL389+$EG389-1)</f>
        <v/>
      </c>
      <c r="EN389">
        <f>IF($DM389=0,0,IFERROR(MATCH(1,INDEX(--(TRIM(SUBSTITUTE(SUBSTITUTE(SUBSTITUTE(SUBSTITUTE(LINES_NAME&amp;""," "," "),CHAR(9)," "),CHAR(10)," "),CHAR(13)," "))=$DH389),0),0),0))</f>
        <v/>
      </c>
      <c r="EO389">
        <f>IF($EN389=0,0,IF(OR(UPPER(TRIM(INDEX(LINES_SCHEDULED,$EN389)&amp;""))="YES",UPPER(TRIM(INDEX(LINES_SCHEDULED,$EN389)&amp;""))="Y",UPPER(TRIM(INDEX(LINES_SCHEDULED,$EN389)&amp;""))="X"),1,0))</f>
        <v/>
      </c>
      <c r="EP389">
        <f>IF($DM389=0,"",IF(COUNTIFS($EG$5:$EG$1003,$EG389,$EB$5:$EB$1003,"Ready")&gt;0,"READY",IF(COUNTIFS($EG$5:$EG$1003,$EG389,$EB$5:$EB$1003,"PM")&gt;0,"PM",IF(COUNTIFS($EG$5:$EG$1003,$EG389,$EB$5:$EB$1003,"OT")&gt;0,"OT",""))))</f>
        <v/>
      </c>
      <c r="EQ389">
        <f>IF($EN389=0,"",UPPER(TRIM(INDEX(LINES_STATUS,$EN389)&amp;"")))</f>
        <v/>
      </c>
      <c r="ER389">
        <f>IF($DM389=0,"",IF(OR($EQ389="READY",$EQ389="PM",$EQ389="OT"),$EQ389,$EP389))</f>
        <v/>
      </c>
      <c r="ES389">
        <f>IF($DM389=0,"",IF(AND($DV389&lt;&gt;"",UPPER($DV389)&lt;&gt;"N"),"allergen",IF(ISNUMBER(SEARCH("oil",$DQ389)),"oil",IF(OR(EXACT($DS389,"A662"),EXACT($DS389,"A624")),"bulk",""))))</f>
        <v/>
      </c>
      <c r="ET389">
        <f>IF($DM389=0,"",IF(OR($EA389="",$EA389=0),"",$EA389/100))</f>
        <v/>
      </c>
      <c r="EU389">
        <f>IF(OR($ET389="",$DY389=""),"",INT($DY389*(1-$ET389)+0.5))</f>
        <v/>
      </c>
      <c r="EW389" t="n">
        <v>385</v>
      </c>
      <c r="EX389">
        <f>IFERROR(MATCH($EW389,$EM$5:$EM$1003,0),0)</f>
        <v/>
      </c>
      <c r="EY389">
        <f>IF($EW389&gt;$B$12,"",IF($EX389&gt;0,"row","spacer"))</f>
        <v/>
      </c>
      <c r="EZ389">
        <f>IF(AND($EY389="row",$EY388&lt;&gt;"row"),1,0)</f>
        <v/>
      </c>
      <c r="FA389">
        <f>IF(AND($EY389="row",$EY390&lt;&gt;"row"),1,0)</f>
        <v/>
      </c>
      <c r="FB389">
        <f>IF($EZ389=1,IFERROR(IF(ISNUMBER(INDEX(PASTE_ALL,INDEX($DF$5:$DF$1003,$EX389),$B$37)),INDEX(PASTE_ALL,INDEX($DF$5:$DF$1003,$EX389),$B$37),INDEX($DH$5:$DH$1003,$EX389)),INDEX($DH$5:$DH$1003,$EX389)),"")</f>
        <v/>
      </c>
      <c r="FC389">
        <f>IF($EY389="row",INDEX($ER$5:$ER$1003,$EX389),"")</f>
        <v/>
      </c>
      <c r="FD389">
        <f>IF($EY389="row",INDEX($DN$5:$DN$1003,$EX389),"")</f>
        <v/>
      </c>
      <c r="FE389">
        <f>IF($EY389="row",INDEX($DO$5:$DO$1003,$EX389),"")</f>
        <v/>
      </c>
      <c r="FF389">
        <f>IF($EY389="row",INDEX($DP$5:$DP$1003,$EX389),"")</f>
        <v/>
      </c>
      <c r="FG389">
        <f>IF($EY389="row",INDEX($DQ$5:$DQ$1003,$EX389),"")</f>
        <v/>
      </c>
      <c r="FH389">
        <f>IF($EY389="row",INDEX($DR$5:$DR$1003,$EX389),"")</f>
        <v/>
      </c>
      <c r="FI389">
        <f>IF($EY389="row",INDEX($DS$5:$DS$1003,$EX389),"")</f>
        <v/>
      </c>
      <c r="FJ389">
        <f>IF($EY389="row",INDEX($DT$5:$DT$1003,$EX389),"")</f>
        <v/>
      </c>
      <c r="FK389">
        <f>IF($EY389="row",INDEX($DU$5:$DU$1003,$EX389),"")</f>
        <v/>
      </c>
      <c r="FL389">
        <f>IF($EY389="row",INDEX($DV$5:$DV$1003,$EX389),"")</f>
        <v/>
      </c>
      <c r="FM389">
        <f>IF($EY389="row",INDEX($DW$5:$DW$1003,$EX389),"")</f>
        <v/>
      </c>
      <c r="FN389">
        <f>IF($EY389="row",INDEX($DY$5:$DY$1003,$EX389),"")</f>
        <v/>
      </c>
      <c r="FO389">
        <f>IF($EY389="row",INDEX($EA$5:$EA$1003,$EX389),"")</f>
        <v/>
      </c>
      <c r="FP389">
        <f>IF($EY389="row",INDEX($EC$5:$EC$1003,$EX389),"")</f>
        <v/>
      </c>
      <c r="FQ389">
        <f>IF($EY389="row",INDEX($ET$5:$ET$1003,$EX389),"")</f>
        <v/>
      </c>
      <c r="FR389">
        <f>IF($EY389="row",INDEX($EU$5:$EU$1003,$EX389),"")</f>
        <v/>
      </c>
      <c r="FS389">
        <f>IF(AND($EY389="row",$EY388="row"),IF(OR(INDEX($DT$5:$DT$1003,$EX388)="",INDEX($DT$5:$DT$1003,$EX389)=""),"",IF(NOT(EXACT(INDEX($DT$5:$DT$1003,$EX388),INDEX($DT$5:$DT$1003,$EX389))),"S4",IF(NOT(EXACT(INDEX($DS$5:$DS$1003,$EX388),INDEX($DS$5:$DS$1003,$EX389))),"S3",IF(NOT(EXACT(INDEX($DR$5:$DR$1003,$EX388),INDEX($DR$5:$DR$1003,$EX389))),"S1 Count Change","S1")))),"")</f>
        <v/>
      </c>
      <c r="FT389">
        <f>IF($EY389="row",INDEX($ES$5:$ES$1003,$EX389),"")</f>
        <v/>
      </c>
      <c r="FU389">
        <f>IF($EY389="row",INDEX($EO$5:$EO$1003,$EX389),0)</f>
        <v/>
      </c>
      <c r="FV389">
        <f>IF($FS389="S1 Count Change",1,0)</f>
        <v/>
      </c>
    </row>
    <row r="390">
      <c r="DA390" t="n">
        <v>386</v>
      </c>
      <c r="DB390">
        <f>IF($B$37=0,"",IFERROR(TRIM(SUBSTITUTE(SUBSTITUTE(SUBSTITUTE(SUBSTITUTE(INDEX(PASTE_ALL,386,$B$37)," "," "),CHAR(9)," "),CHAR(10)," "),CHAR(13)," ")),""))</f>
        <v/>
      </c>
      <c r="DC390">
        <f>IF(AND(386&gt;HEADER_ROW,UPPER(DB390)="LEGEND"),1,0)</f>
        <v/>
      </c>
      <c r="DE390" t="n">
        <v>386</v>
      </c>
      <c r="DF390">
        <f>HEADER_ROW+$DE390</f>
        <v/>
      </c>
      <c r="DG390">
        <f>IF(AND($DF390&lt;=1000,$DF390&lt;$B$8),1,0)</f>
        <v/>
      </c>
      <c r="DH390">
        <f>IF($DG390=1,IFERROR(INDEX($DB$5:$DB$1004,$DF390),""),"")</f>
        <v/>
      </c>
      <c r="DI390">
        <f>IF(AND($DG390=1,$DH390&lt;&gt;""),IFERROR(SUBSTITUTE(SUBSTITUTE(TRIM(SUBSTITUTE(SUBSTITUTE(SUBSTITUTE(SUBSTITUTE(IFERROR(INDEX(PASTE_ALL,$DF390,1)&amp;"","")&amp;"␟"&amp;IFERROR(INDEX(PASTE_ALL,$DF390,2)&amp;"","")&amp;"␟"&amp;IFERROR(INDEX(PASTE_ALL,$DF390,3)&amp;"","")&amp;"␟"&amp;IFERROR(INDEX(PASTE_ALL,$DF390,4)&amp;"","")&amp;"␟"&amp;IFERROR(INDEX(PASTE_ALL,$DF390,5)&amp;"","")&amp;"␟"&amp;IFERROR(INDEX(PASTE_ALL,$DF390,6)&amp;"","")&amp;"␟"&amp;IFERROR(INDEX(PASTE_ALL,$DF390,7)&amp;"","")&amp;"␟"&amp;IFERROR(INDEX(PASTE_ALL,$DF390,8)&amp;"","")&amp;"␟"&amp;IFERROR(INDEX(PASTE_ALL,$DF390,9)&amp;"","")&amp;"␟"&amp;IFERROR(INDEX(PASTE_ALL,$DF390,10)&amp;"","")&amp;"␟"&amp;IFERROR(INDEX(PASTE_ALL,$DF390,11)&amp;"","")&amp;"␟"&amp;IFERROR(INDEX(PASTE_ALL,$DF390,12)&amp;"","")&amp;"␟"&amp;IFERROR(INDEX(PASTE_ALL,$DF390,13)&amp;"","")&amp;"␟"&amp;IFERROR(INDEX(PASTE_ALL,$DF390,14)&amp;"","")&amp;"␟"&amp;IFERROR(INDEX(PASTE_ALL,$DF390,15)&amp;"","")&amp;"␟"&amp;IFERROR(INDEX(PASTE_ALL,$DF390,16)&amp;"","")&amp;"␟"&amp;IFERROR(INDEX(PASTE_ALL,$DF390,17)&amp;"","")&amp;"␟"&amp;IFERROR(INDEX(PASTE_ALL,$DF390,18)&amp;"","")&amp;"␟"&amp;IFERROR(INDEX(PASTE_ALL,$DF390,19)&amp;"","")&amp;"␟"&amp;IFERROR(INDEX(PASTE_ALL,$DF390,20)&amp;"","")&amp;"␟"&amp;IFERROR(INDEX(PASTE_ALL,$DF390,21)&amp;"","")&amp;"␟"&amp;IFERROR(INDEX(PASTE_ALL,$DF390,22)&amp;"","")&amp;"␟"&amp;IFERROR(INDEX(PASTE_ALL,$DF390,23)&amp;"","")&amp;"␟"&amp;IFERROR(INDEX(PASTE_ALL,$DF390,24)&amp;"","")&amp;"␟"&amp;IFERROR(INDEX(PASTE_ALL,$DF390,25)&amp;"","")&amp;"␟"&amp;IFERROR(INDEX(PASTE_ALL,$DF390,26)&amp;"","")&amp;"␟"&amp;IFERROR(INDEX(PASTE_ALL,$DF390,27)&amp;"","")&amp;"␟"&amp;IFERROR(INDEX(PASTE_ALL,$DF390,28)&amp;"","")&amp;"␟"&amp;IFERROR(INDEX(PASTE_ALL,$DF390,29)&amp;"","")&amp;"␟"&amp;IFERROR(INDEX(PASTE_ALL,$DF390,30)&amp;"","")&amp;"␟"&amp;IFERROR(INDEX(PASTE_ALL,$DF390,31)&amp;"","")&amp;"␟"&amp;IFERROR(INDEX(PASTE_ALL,$DF390,32)&amp;"","")&amp;"␟"&amp;IFERROR(INDEX(PASTE_ALL,$DF390,33)&amp;"","")&amp;"␟"&amp;IFERROR(INDEX(PASTE_ALL,$DF390,34)&amp;"","")&amp;"␟"&amp;IFERROR(INDEX(PASTE_ALL,$DF390,35)&amp;"","")&amp;"␟"&amp;IFERROR(INDEX(PASTE_ALL,$DF390,36)&amp;"","")&amp;"␟"&amp;IFERROR(INDEX(PASTE_ALL,$DF390,37)&amp;"","")&amp;"␟"&amp;IFERROR(INDEX(PASTE_ALL,$DF390,38)&amp;"","")&amp;"␟"&amp;IFERROR(INDEX(PASTE_ALL,$DF390,39)&amp;"","")&amp;"␟"&amp;IFERROR(INDEX(PASTE_ALL,$DF390,40)&amp;"","")&amp;"␟"&amp;IFERROR(INDEX(PASTE_ALL,$DF390,41)&amp;"","")&amp;"␟"&amp;IFERROR(INDEX(PASTE_ALL,$DF390,42)&amp;"","")&amp;"␟"&amp;IFERROR(INDEX(PASTE_ALL,$DF390,43)&amp;"","")&amp;"␟"&amp;IFERROR(INDEX(PASTE_ALL,$DF390,44)&amp;"","")&amp;"␟"&amp;IFERROR(INDEX(PASTE_ALL,$DF390,45)&amp;"","")&amp;"␟"&amp;IFERROR(INDEX(PASTE_ALL,$DF390,46)&amp;"","")&amp;"␟"&amp;IFERROR(INDEX(PASTE_ALL,$DF390,47)&amp;"","")&amp;"␟"&amp;IFERROR(INDEX(PASTE_ALL,$DF390,48)&amp;"","")&amp;"␟"&amp;IFERROR(INDEX(PASTE_ALL,$DF390,49)&amp;"","")&amp;"␟"&amp;IFERROR(INDEX(PASTE_ALL,$DF390,50)&amp;"","")&amp;"␟"&amp;IFERROR(INDEX(PASTE_ALL,$DF390,51)&amp;"","")&amp;"␟"&amp;IFERROR(INDEX(PASTE_ALL,$DF390,52)&amp;"","")&amp;"␟"&amp;IFERROR(INDEX(PASTE_ALL,$DF390,53)&amp;"","")&amp;"␟"&amp;IFERROR(INDEX(PASTE_ALL,$DF390,54)&amp;"","")&amp;"␟"&amp;IFERROR(INDEX(PASTE_ALL,$DF390,55)&amp;"","")&amp;"␟"&amp;IFERROR(INDEX(PASTE_ALL,$DF390,56)&amp;"","")&amp;"␟"&amp;IFERROR(INDEX(PASTE_ALL,$DF390,57)&amp;"","")&amp;"␟"&amp;IFERROR(INDEX(PASTE_ALL,$DF390,58)&amp;"","")&amp;"␟"&amp;IFERROR(INDEX(PASTE_ALL,$DF390,59)&amp;"","")&amp;"␟"&amp;IFERROR(INDEX(PASTE_ALL,$DF390,60)&amp;"","")," "," "),CHAR(9)," "),CHAR(10)," "),CHAR(13)," "))," ␟","␟"),"␟ ","␟"),"#"&amp;$DE390),"")</f>
        <v/>
      </c>
      <c r="DJ390">
        <f>IF($DI390="",0,IF(SUMPRODUCT(--EXACT($DI$4:DI389,$DI390))&gt;0,1,0))</f>
        <v/>
      </c>
      <c r="DK390">
        <f>IF(AND($DI390&lt;&gt;"",$DJ390=0),1,0)</f>
        <v/>
      </c>
      <c r="DL390">
        <f>DL389+$DK390</f>
        <v/>
      </c>
      <c r="DM390">
        <f>IF(AND($DK390=1,$DL390&lt;=600),1,0)</f>
        <v/>
      </c>
      <c r="DN390">
        <f>IF($DM390=0,"",IF($L$6=0,"",IFERROR(IF(ISNUMBER(INDEX(PASTE_ALL,$DF390,$L$6)),INDEX(PASTE_ALL,$DF390,$L$6),TRIM(SUBSTITUTE(SUBSTITUTE(SUBSTITUTE(SUBSTITUTE(INDEX(PASTE_ALL,$DF390,$L$6)," "," "),CHAR(9)," "),CHAR(10)," "),CHAR(13)," "))),"")))</f>
        <v/>
      </c>
      <c r="DO390">
        <f>IF($DM390=0,"",IF($L$7=0,"",IFERROR(IF(ISNUMBER(INDEX(PASTE_ALL,$DF390,$L$7)),INDEX(PASTE_ALL,$DF390,$L$7),TRIM(SUBSTITUTE(SUBSTITUTE(SUBSTITUTE(SUBSTITUTE(INDEX(PASTE_ALL,$DF390,$L$7)," "," "),CHAR(9)," "),CHAR(10)," "),CHAR(13)," "))),"")))</f>
        <v/>
      </c>
      <c r="DP390">
        <f>IF($DM390=0,"",IF($L$8=0,"",IFERROR(IF(ISNUMBER(INDEX(PASTE_ALL,$DF390,$L$8)),INDEX(PASTE_ALL,$DF390,$L$8),TRIM(SUBSTITUTE(SUBSTITUTE(SUBSTITUTE(SUBSTITUTE(INDEX(PASTE_ALL,$DF390,$L$8)," "," "),CHAR(9)," "),CHAR(10)," "),CHAR(13)," "))),"")))</f>
        <v/>
      </c>
      <c r="DQ390">
        <f>IF($DM390=0,"",IF($L$9=0,"",IFERROR(IF(ISNUMBER(INDEX(PASTE_ALL,$DF390,$L$9)),INDEX(PASTE_ALL,$DF390,$L$9),TRIM(SUBSTITUTE(SUBSTITUTE(SUBSTITUTE(SUBSTITUTE(INDEX(PASTE_ALL,$DF390,$L$9)," "," "),CHAR(9)," "),CHAR(10)," "),CHAR(13)," "))),"")))</f>
        <v/>
      </c>
      <c r="DR390">
        <f>IF($DM390=0,"",IF($L$10=0,"",IFERROR(IF(ISNUMBER(INDEX(PASTE_ALL,$DF390,$L$10)),INDEX(PASTE_ALL,$DF390,$L$10),TRIM(SUBSTITUTE(SUBSTITUTE(SUBSTITUTE(SUBSTITUTE(INDEX(PASTE_ALL,$DF390,$L$10)," "," "),CHAR(9)," "),CHAR(10)," "),CHAR(13)," "))),"")))</f>
        <v/>
      </c>
      <c r="DS390">
        <f>IF($DM390=0,"",IF($L$11=0,"",IFERROR(IF(ISNUMBER(INDEX(PASTE_ALL,$DF390,$L$11)),INDEX(PASTE_ALL,$DF390,$L$11),TRIM(SUBSTITUTE(SUBSTITUTE(SUBSTITUTE(SUBSTITUTE(INDEX(PASTE_ALL,$DF390,$L$11)," "," "),CHAR(9)," "),CHAR(10)," "),CHAR(13)," "))),"")))</f>
        <v/>
      </c>
      <c r="DT390">
        <f>IF($DM390=0,"",IF($L$12=0,"",IFERROR(IF(ISNUMBER(INDEX(PASTE_ALL,$DF390,$L$12)),INDEX(PASTE_ALL,$DF390,$L$12),TRIM(SUBSTITUTE(SUBSTITUTE(SUBSTITUTE(SUBSTITUTE(INDEX(PASTE_ALL,$DF390,$L$12)," "," "),CHAR(9)," "),CHAR(10)," "),CHAR(13)," "))),"")))</f>
        <v/>
      </c>
      <c r="DU390">
        <f>IF($DM390=0,"",IF($L$13=0,"",IFERROR(IF(ISNUMBER(INDEX(PASTE_ALL,$DF390,$L$13)),INDEX(PASTE_ALL,$DF390,$L$13),TRIM(SUBSTITUTE(SUBSTITUTE(SUBSTITUTE(SUBSTITUTE(INDEX(PASTE_ALL,$DF390,$L$13)," "," "),CHAR(9)," "),CHAR(10)," "),CHAR(13)," "))),"")))</f>
        <v/>
      </c>
      <c r="DV390">
        <f>IF($DM390=0,"",IF($L$14=0,"",IFERROR(IF(ISNUMBER(INDEX(PASTE_ALL,$DF390,$L$14)),INDEX(PASTE_ALL,$DF390,$L$14),TRIM(SUBSTITUTE(SUBSTITUTE(SUBSTITUTE(SUBSTITUTE(INDEX(PASTE_ALL,$DF390,$L$14)," "," "),CHAR(9)," "),CHAR(10)," "),CHAR(13)," "))),"")))</f>
        <v/>
      </c>
      <c r="DW390">
        <f>IF($DM390=0,"",IF($L$15=0,"",IFERROR(IF(ISNUMBER(INDEX(PASTE_ALL,$DF390,$L$15)),INDEX(PASTE_ALL,$DF390,$L$15),IF(SUMPRODUCT(--ISNUMBER(FIND({"A","B","C","D","E","F","G","H","I","J","K","L","M","N","O","P","Q","R","S","T","U","V","W","X","Y","Z","0","1","2","3","4","5","6","7","8","9"},UPPER(TRIM(SUBSTITUTE(SUBSTITUTE(SUBSTITUTE(SUBSTITUTE(INDEX(PASTE_ALL,$DF390,$L$15)," "," "),CHAR(9)," "),CHAR(10)," "),CHAR(13)," "))))))&gt;0,TRIM(SUBSTITUTE(SUBSTITUTE(SUBSTITUTE(SUBSTITUTE(INDEX(PASTE_ALL,$DF390,$L$15)," "," "),CHAR(9)," "),CHAR(10)," "),CHAR(13)," ")),"")),"")))</f>
        <v/>
      </c>
      <c r="DX390">
        <f>IF($DM390=0,"",IF($L$16=0,"",IFERROR(IF(ISNUMBER(INDEX(PASTE_ALL,$DF390,$L$16)),INDEX(PASTE_ALL,$DF390,$L$16),SUBSTITUTE(SUBSTITUTE(TRIM(SUBSTITUTE(SUBSTITUTE(SUBSTITUTE(SUBSTITUTE(INDEX(PASTE_ALL,$DF390,$L$16)," "," "),CHAR(9)," "),CHAR(10)," "),CHAR(13)," ")),",",""),"%","")),"")))</f>
        <v/>
      </c>
      <c r="DY390">
        <f>IF($DM390=0,"",IFERROR(IF(ISNUMBER($DX390),$DX390,IF($DX390="","",IF(TRIM($DX390)="",0,IF(AND(AND(SUBSTITUTE(SUBSTITUTE(SUBSTITUTE(SUBSTITUTE(SUBSTITUTE(SUBSTITUTE(SUBSTITUTE(SUBSTITUTE(SUBSTITUTE(SUBSTITUTE(SUBSTITUTE(SUBSTITUTE(SUBSTITUTE(SUBSTITUTE(UPPER(TRIM($DX390)),"0",""),"1",""),"2",""),"3",""),"4",""),"5",""),"6",""),"7",""),"8",""),"9",""),".",""),"+",""),"-",""),"E","")="",LEN(SUBSTITUTE(SUBSTITUTE(MID(UPPER(TRIM($DX390)),1+OR(LEFT(UPPER(TRIM($DX390)),1)="+",LEFT(UPPER(TRIM($DX390)),1)="-"),999),"E+","E"),"E-","E"))=LEN(SUBSTITUTE(SUBSTITUTE(SUBSTITUTE(SUBSTITUTE(MID(UPPER(TRIM($DX390)),1+OR(LEFT(UPPER(TRIM($DX390)),1)="+",LEFT(UPPER(TRIM($DX390)),1)="-"),999),"E+","E"),"E-","E"),"+",""),"-","")),LEN(UPPER(TRIM($DX390)))-LEN(SUBSTITUTE(UPPER(TRIM($DX390)),"E",""))&lt;2,LEN(UPPER(TRIM($DX390)))-LEN(SUBSTITUTE(UPPER(TRIM($DX390)),".",""))&lt;2,IFERROR(FIND(".",UPPER(TRIM($DX390))),0)&lt;IFERROR(FIND("E",UPPER(TRIM($DX390))),999)),ISNUMBER(VALUE(TRIM($DX390)))),VALUE(TRIM($DX390)),"")))),""))</f>
        <v/>
      </c>
      <c r="DZ390">
        <f>IF($DM390=0,"",IF($L$17=0,"",IFERROR(IF(ISNUMBER(INDEX(PASTE_ALL,$DF390,$L$17)),INDEX(PASTE_ALL,$DF390,$L$17),SUBSTITUTE(SUBSTITUTE(TRIM(SUBSTITUTE(SUBSTITUTE(SUBSTITUTE(SUBSTITUTE(INDEX(PASTE_ALL,$DF390,$L$17)," "," "),CHAR(9)," "),CHAR(10)," "),CHAR(13)," ")),",",""),"%","")),"")))</f>
        <v/>
      </c>
      <c r="EA390">
        <f>IF($DM390=0,"",IFERROR(IF(ISNUMBER($DZ390),$DZ390,IF($DZ390="","",IF(TRIM($DZ390)="",0,IF(AND(AND(SUBSTITUTE(SUBSTITUTE(SUBSTITUTE(SUBSTITUTE(SUBSTITUTE(SUBSTITUTE(SUBSTITUTE(SUBSTITUTE(SUBSTITUTE(SUBSTITUTE(SUBSTITUTE(SUBSTITUTE(SUBSTITUTE(SUBSTITUTE(UPPER(TRIM($DZ390)),"0",""),"1",""),"2",""),"3",""),"4",""),"5",""),"6",""),"7",""),"8",""),"9",""),".",""),"+",""),"-",""),"E","")="",LEN(SUBSTITUTE(SUBSTITUTE(MID(UPPER(TRIM($DZ390)),1+OR(LEFT(UPPER(TRIM($DZ390)),1)="+",LEFT(UPPER(TRIM($DZ390)),1)="-"),999),"E+","E"),"E-","E"))=LEN(SUBSTITUTE(SUBSTITUTE(SUBSTITUTE(SUBSTITUTE(MID(UPPER(TRIM($DZ390)),1+OR(LEFT(UPPER(TRIM($DZ390)),1)="+",LEFT(UPPER(TRIM($DZ390)),1)="-"),999),"E+","E"),"E-","E"),"+",""),"-","")),LEN(UPPER(TRIM($DZ390)))-LEN(SUBSTITUTE(UPPER(TRIM($DZ390)),"E",""))&lt;2,LEN(UPPER(TRIM($DZ390)))-LEN(SUBSTITUTE(UPPER(TRIM($DZ390)),".",""))&lt;2,IFERROR(FIND(".",UPPER(TRIM($DZ390))),0)&lt;IFERROR(FIND("E",UPPER(TRIM($DZ390))),999)),ISNUMBER(VALUE(TRIM($DZ390)))),VALUE(TRIM($DZ390)),"")))),""))</f>
        <v/>
      </c>
      <c r="EB390">
        <f>IF($DM390=0,"",IF($L$18=0,"",IFERROR(IF(UPPER(TRIM(SUBSTITUTE(SUBSTITUTE(SUBSTITUTE(SUBSTITUTE(INDEX(PASTE_ALL,$DF390,$L$18)," "," "),CHAR(9)," "),CHAR(10)," "),CHAR(13)," ")))="READY","Ready",IF(UPPER(TRIM(SUBSTITUTE(SUBSTITUTE(SUBSTITUTE(SUBSTITUTE(INDEX(PASTE_ALL,$DF390,$L$18)," "," "),CHAR(9)," "),CHAR(10)," "),CHAR(13)," ")))="PM","PM",IF(OR(UPPER(TRIM(SUBSTITUTE(SUBSTITUTE(SUBSTITUTE(SUBSTITUTE(INDEX(PASTE_ALL,$DF390,$L$18)," "," "),CHAR(9)," "),CHAR(10)," "),CHAR(13)," ")))="OT",UPPER(TRIM(SUBSTITUTE(SUBSTITUTE(SUBSTITUTE(SUBSTITUTE(INDEX(PASTE_ALL,$DF390,$L$18)," "," "),CHAR(9)," "),CHAR(10)," "),CHAR(13)," ")))="OVERTIME",UPPER(TRIM(SUBSTITUTE(SUBSTITUTE(SUBSTITUTE(SUBSTITUTE(INDEX(PASTE_ALL,$DF390,$L$18)," "," "),CHAR(9)," "),CHAR(10)," "),CHAR(13)," ")))="TRIAL"),"OT",TRIM(SUBSTITUTE(SUBSTITUTE(SUBSTITUTE(SUBSTITUTE(INDEX(PASTE_ALL,$DF390,$L$18)," "," "),CHAR(9)," "),CHAR(10)," "),CHAR(13)," "))))),"")))</f>
        <v/>
      </c>
      <c r="EC390">
        <f>IF($DM390=0,"",IF($L$19=0,"",IFERROR(IF(ISNUMBER(INDEX(PASTE_ALL,$DF390,$L$19)),INDEX(PASTE_ALL,$DF390,$L$19),TRIM(SUBSTITUTE(SUBSTITUTE(SUBSTITUTE(SUBSTITUTE(INDEX(PASTE_ALL,$DF390,$L$19)," "," "),CHAR(9)," "),CHAR(10)," "),CHAR(13)," "))),"")))</f>
        <v/>
      </c>
      <c r="ED390">
        <f>IF($DM390=0,"",MATCH(1,INDEX(EXACT($DH$5:DH390,$DH390)*$DM$5:DM390,0),0))</f>
        <v/>
      </c>
      <c r="EE390">
        <f>IF($DM390=0,0,IF($ED390=$DE390,1,0))</f>
        <v/>
      </c>
      <c r="EF390">
        <f>EF389+$EE390</f>
        <v/>
      </c>
      <c r="EG390">
        <f>IF($DM390=0,"",INDEX($EF$5:$EF$1003,$ED390))</f>
        <v/>
      </c>
      <c r="EH390">
        <f>IF($DM390=0,"",IF($DO390&lt;&gt;"","",IFERROR(LOOKUP(2,1/(($EG$4:EG389=$EG390)*($DO$4:DO389&lt;&gt;"")),$DO$4:DO389),"")))</f>
        <v/>
      </c>
      <c r="EI390">
        <f>IF($DM390=0,"",IF($DO390&lt;&gt;"",$DO390,$EH390))</f>
        <v/>
      </c>
      <c r="EJ390">
        <f>IF($DM390=0,"",IF($EI390="",0,IF(OR(ISNUMBER($EI390),AND(AND(SUBSTITUTE(SUBSTITUTE(SUBSTITUTE(SUBSTITUTE(SUBSTITUTE(SUBSTITUTE(SUBSTITUTE(SUBSTITUTE(SUBSTITUTE(SUBSTITUTE(SUBSTITUTE(SUBSTITUTE(SUBSTITUTE(SUBSTITUTE(UPPER($EI390),"0",""),"1",""),"2",""),"3",""),"4",""),"5",""),"6",""),"7",""),"8",""),"9",""),".",""),"+",""),"-",""),"E","")="",LEN(SUBSTITUTE(SUBSTITUTE(MID(UPPER($EI390),1+OR(LEFT(UPPER($EI390),1)="+",LEFT(UPPER($EI390),1)="-"),999),"E+","E"),"E-","E"))=LEN(SUBSTITUTE(SUBSTITUTE(SUBSTITUTE(SUBSTITUTE(MID(UPPER($EI390),1+OR(LEFT(UPPER($EI390),1)="+",LEFT(UPPER($EI390),1)="-"),999),"E+","E"),"E-","E"),"+",""),"-","")),LEN(UPPER($EI390))-LEN(SUBSTITUTE(UPPER($EI390),"E",""))&lt;2,LEN(UPPER($EI390))-LEN(SUBSTITUTE(UPPER($EI390),".",""))&lt;2,IFERROR(FIND(".",UPPER($EI390)),0)&lt;IFERROR(FIND("E",UPPER($EI390)),999)),ISNUMBER(VALUE($EI390)))),1,2)))</f>
        <v/>
      </c>
      <c r="EK390">
        <f>IF($DM390=0,"",IF($EJ390=1,IF(ISNUMBER($EI390),$EI390,VALUE($EI390)),IF($EJ390=2,$DE390,0)))</f>
        <v/>
      </c>
      <c r="EL390">
        <f>IF($DM390=0,"",COUNTIF($EG$5:$EG$1003,"&lt;"&amp;$EG390)+SUMPRODUCT(($EG$5:$EG$1003=$EG390)*(($EJ$5:$EJ$1003&lt;$EJ390)+($EJ$5:$EJ$1003=$EJ390)*(($EK$5:$EK$1003&lt;$EK390)+($EK$5:$EK$1003=$EK390)*($DE$5:$DE$1003&lt;$DE390))))+1)</f>
        <v/>
      </c>
      <c r="EM390">
        <f>IF($DM390=0,"",$EL390+$EG390-1)</f>
        <v/>
      </c>
      <c r="EN390">
        <f>IF($DM390=0,0,IFERROR(MATCH(1,INDEX(--(TRIM(SUBSTITUTE(SUBSTITUTE(SUBSTITUTE(SUBSTITUTE(LINES_NAME&amp;""," "," "),CHAR(9)," "),CHAR(10)," "),CHAR(13)," "))=$DH390),0),0),0))</f>
        <v/>
      </c>
      <c r="EO390">
        <f>IF($EN390=0,0,IF(OR(UPPER(TRIM(INDEX(LINES_SCHEDULED,$EN390)&amp;""))="YES",UPPER(TRIM(INDEX(LINES_SCHEDULED,$EN390)&amp;""))="Y",UPPER(TRIM(INDEX(LINES_SCHEDULED,$EN390)&amp;""))="X"),1,0))</f>
        <v/>
      </c>
      <c r="EP390">
        <f>IF($DM390=0,"",IF(COUNTIFS($EG$5:$EG$1003,$EG390,$EB$5:$EB$1003,"Ready")&gt;0,"READY",IF(COUNTIFS($EG$5:$EG$1003,$EG390,$EB$5:$EB$1003,"PM")&gt;0,"PM",IF(COUNTIFS($EG$5:$EG$1003,$EG390,$EB$5:$EB$1003,"OT")&gt;0,"OT",""))))</f>
        <v/>
      </c>
      <c r="EQ390">
        <f>IF($EN390=0,"",UPPER(TRIM(INDEX(LINES_STATUS,$EN390)&amp;"")))</f>
        <v/>
      </c>
      <c r="ER390">
        <f>IF($DM390=0,"",IF(OR($EQ390="READY",$EQ390="PM",$EQ390="OT"),$EQ390,$EP390))</f>
        <v/>
      </c>
      <c r="ES390">
        <f>IF($DM390=0,"",IF(AND($DV390&lt;&gt;"",UPPER($DV390)&lt;&gt;"N"),"allergen",IF(ISNUMBER(SEARCH("oil",$DQ390)),"oil",IF(OR(EXACT($DS390,"A662"),EXACT($DS390,"A624")),"bulk",""))))</f>
        <v/>
      </c>
      <c r="ET390">
        <f>IF($DM390=0,"",IF(OR($EA390="",$EA390=0),"",$EA390/100))</f>
        <v/>
      </c>
      <c r="EU390">
        <f>IF(OR($ET390="",$DY390=""),"",INT($DY390*(1-$ET390)+0.5))</f>
        <v/>
      </c>
      <c r="EW390" t="n">
        <v>386</v>
      </c>
      <c r="EX390">
        <f>IFERROR(MATCH($EW390,$EM$5:$EM$1003,0),0)</f>
        <v/>
      </c>
      <c r="EY390">
        <f>IF($EW390&gt;$B$12,"",IF($EX390&gt;0,"row","spacer"))</f>
        <v/>
      </c>
      <c r="EZ390">
        <f>IF(AND($EY390="row",$EY389&lt;&gt;"row"),1,0)</f>
        <v/>
      </c>
      <c r="FA390">
        <f>IF(AND($EY390="row",$EY391&lt;&gt;"row"),1,0)</f>
        <v/>
      </c>
      <c r="FB390">
        <f>IF($EZ390=1,IFERROR(IF(ISNUMBER(INDEX(PASTE_ALL,INDEX($DF$5:$DF$1003,$EX390),$B$37)),INDEX(PASTE_ALL,INDEX($DF$5:$DF$1003,$EX390),$B$37),INDEX($DH$5:$DH$1003,$EX390)),INDEX($DH$5:$DH$1003,$EX390)),"")</f>
        <v/>
      </c>
      <c r="FC390">
        <f>IF($EY390="row",INDEX($ER$5:$ER$1003,$EX390),"")</f>
        <v/>
      </c>
      <c r="FD390">
        <f>IF($EY390="row",INDEX($DN$5:$DN$1003,$EX390),"")</f>
        <v/>
      </c>
      <c r="FE390">
        <f>IF($EY390="row",INDEX($DO$5:$DO$1003,$EX390),"")</f>
        <v/>
      </c>
      <c r="FF390">
        <f>IF($EY390="row",INDEX($DP$5:$DP$1003,$EX390),"")</f>
        <v/>
      </c>
      <c r="FG390">
        <f>IF($EY390="row",INDEX($DQ$5:$DQ$1003,$EX390),"")</f>
        <v/>
      </c>
      <c r="FH390">
        <f>IF($EY390="row",INDEX($DR$5:$DR$1003,$EX390),"")</f>
        <v/>
      </c>
      <c r="FI390">
        <f>IF($EY390="row",INDEX($DS$5:$DS$1003,$EX390),"")</f>
        <v/>
      </c>
      <c r="FJ390">
        <f>IF($EY390="row",INDEX($DT$5:$DT$1003,$EX390),"")</f>
        <v/>
      </c>
      <c r="FK390">
        <f>IF($EY390="row",INDEX($DU$5:$DU$1003,$EX390),"")</f>
        <v/>
      </c>
      <c r="FL390">
        <f>IF($EY390="row",INDEX($DV$5:$DV$1003,$EX390),"")</f>
        <v/>
      </c>
      <c r="FM390">
        <f>IF($EY390="row",INDEX($DW$5:$DW$1003,$EX390),"")</f>
        <v/>
      </c>
      <c r="FN390">
        <f>IF($EY390="row",INDEX($DY$5:$DY$1003,$EX390),"")</f>
        <v/>
      </c>
      <c r="FO390">
        <f>IF($EY390="row",INDEX($EA$5:$EA$1003,$EX390),"")</f>
        <v/>
      </c>
      <c r="FP390">
        <f>IF($EY390="row",INDEX($EC$5:$EC$1003,$EX390),"")</f>
        <v/>
      </c>
      <c r="FQ390">
        <f>IF($EY390="row",INDEX($ET$5:$ET$1003,$EX390),"")</f>
        <v/>
      </c>
      <c r="FR390">
        <f>IF($EY390="row",INDEX($EU$5:$EU$1003,$EX390),"")</f>
        <v/>
      </c>
      <c r="FS390">
        <f>IF(AND($EY390="row",$EY389="row"),IF(OR(INDEX($DT$5:$DT$1003,$EX389)="",INDEX($DT$5:$DT$1003,$EX390)=""),"",IF(NOT(EXACT(INDEX($DT$5:$DT$1003,$EX389),INDEX($DT$5:$DT$1003,$EX390))),"S4",IF(NOT(EXACT(INDEX($DS$5:$DS$1003,$EX389),INDEX($DS$5:$DS$1003,$EX390))),"S3",IF(NOT(EXACT(INDEX($DR$5:$DR$1003,$EX389),INDEX($DR$5:$DR$1003,$EX390))),"S1 Count Change","S1")))),"")</f>
        <v/>
      </c>
      <c r="FT390">
        <f>IF($EY390="row",INDEX($ES$5:$ES$1003,$EX390),"")</f>
        <v/>
      </c>
      <c r="FU390">
        <f>IF($EY390="row",INDEX($EO$5:$EO$1003,$EX390),0)</f>
        <v/>
      </c>
      <c r="FV390">
        <f>IF($FS390="S1 Count Change",1,0)</f>
        <v/>
      </c>
    </row>
    <row r="391">
      <c r="DA391" t="n">
        <v>387</v>
      </c>
      <c r="DB391">
        <f>IF($B$37=0,"",IFERROR(TRIM(SUBSTITUTE(SUBSTITUTE(SUBSTITUTE(SUBSTITUTE(INDEX(PASTE_ALL,387,$B$37)," "," "),CHAR(9)," "),CHAR(10)," "),CHAR(13)," ")),""))</f>
        <v/>
      </c>
      <c r="DC391">
        <f>IF(AND(387&gt;HEADER_ROW,UPPER(DB391)="LEGEND"),1,0)</f>
        <v/>
      </c>
      <c r="DE391" t="n">
        <v>387</v>
      </c>
      <c r="DF391">
        <f>HEADER_ROW+$DE391</f>
        <v/>
      </c>
      <c r="DG391">
        <f>IF(AND($DF391&lt;=1000,$DF391&lt;$B$8),1,0)</f>
        <v/>
      </c>
      <c r="DH391">
        <f>IF($DG391=1,IFERROR(INDEX($DB$5:$DB$1004,$DF391),""),"")</f>
        <v/>
      </c>
      <c r="DI391">
        <f>IF(AND($DG391=1,$DH391&lt;&gt;""),IFERROR(SUBSTITUTE(SUBSTITUTE(TRIM(SUBSTITUTE(SUBSTITUTE(SUBSTITUTE(SUBSTITUTE(IFERROR(INDEX(PASTE_ALL,$DF391,1)&amp;"","")&amp;"␟"&amp;IFERROR(INDEX(PASTE_ALL,$DF391,2)&amp;"","")&amp;"␟"&amp;IFERROR(INDEX(PASTE_ALL,$DF391,3)&amp;"","")&amp;"␟"&amp;IFERROR(INDEX(PASTE_ALL,$DF391,4)&amp;"","")&amp;"␟"&amp;IFERROR(INDEX(PASTE_ALL,$DF391,5)&amp;"","")&amp;"␟"&amp;IFERROR(INDEX(PASTE_ALL,$DF391,6)&amp;"","")&amp;"␟"&amp;IFERROR(INDEX(PASTE_ALL,$DF391,7)&amp;"","")&amp;"␟"&amp;IFERROR(INDEX(PASTE_ALL,$DF391,8)&amp;"","")&amp;"␟"&amp;IFERROR(INDEX(PASTE_ALL,$DF391,9)&amp;"","")&amp;"␟"&amp;IFERROR(INDEX(PASTE_ALL,$DF391,10)&amp;"","")&amp;"␟"&amp;IFERROR(INDEX(PASTE_ALL,$DF391,11)&amp;"","")&amp;"␟"&amp;IFERROR(INDEX(PASTE_ALL,$DF391,12)&amp;"","")&amp;"␟"&amp;IFERROR(INDEX(PASTE_ALL,$DF391,13)&amp;"","")&amp;"␟"&amp;IFERROR(INDEX(PASTE_ALL,$DF391,14)&amp;"","")&amp;"␟"&amp;IFERROR(INDEX(PASTE_ALL,$DF391,15)&amp;"","")&amp;"␟"&amp;IFERROR(INDEX(PASTE_ALL,$DF391,16)&amp;"","")&amp;"␟"&amp;IFERROR(INDEX(PASTE_ALL,$DF391,17)&amp;"","")&amp;"␟"&amp;IFERROR(INDEX(PASTE_ALL,$DF391,18)&amp;"","")&amp;"␟"&amp;IFERROR(INDEX(PASTE_ALL,$DF391,19)&amp;"","")&amp;"␟"&amp;IFERROR(INDEX(PASTE_ALL,$DF391,20)&amp;"","")&amp;"␟"&amp;IFERROR(INDEX(PASTE_ALL,$DF391,21)&amp;"","")&amp;"␟"&amp;IFERROR(INDEX(PASTE_ALL,$DF391,22)&amp;"","")&amp;"␟"&amp;IFERROR(INDEX(PASTE_ALL,$DF391,23)&amp;"","")&amp;"␟"&amp;IFERROR(INDEX(PASTE_ALL,$DF391,24)&amp;"","")&amp;"␟"&amp;IFERROR(INDEX(PASTE_ALL,$DF391,25)&amp;"","")&amp;"␟"&amp;IFERROR(INDEX(PASTE_ALL,$DF391,26)&amp;"","")&amp;"␟"&amp;IFERROR(INDEX(PASTE_ALL,$DF391,27)&amp;"","")&amp;"␟"&amp;IFERROR(INDEX(PASTE_ALL,$DF391,28)&amp;"","")&amp;"␟"&amp;IFERROR(INDEX(PASTE_ALL,$DF391,29)&amp;"","")&amp;"␟"&amp;IFERROR(INDEX(PASTE_ALL,$DF391,30)&amp;"","")&amp;"␟"&amp;IFERROR(INDEX(PASTE_ALL,$DF391,31)&amp;"","")&amp;"␟"&amp;IFERROR(INDEX(PASTE_ALL,$DF391,32)&amp;"","")&amp;"␟"&amp;IFERROR(INDEX(PASTE_ALL,$DF391,33)&amp;"","")&amp;"␟"&amp;IFERROR(INDEX(PASTE_ALL,$DF391,34)&amp;"","")&amp;"␟"&amp;IFERROR(INDEX(PASTE_ALL,$DF391,35)&amp;"","")&amp;"␟"&amp;IFERROR(INDEX(PASTE_ALL,$DF391,36)&amp;"","")&amp;"␟"&amp;IFERROR(INDEX(PASTE_ALL,$DF391,37)&amp;"","")&amp;"␟"&amp;IFERROR(INDEX(PASTE_ALL,$DF391,38)&amp;"","")&amp;"␟"&amp;IFERROR(INDEX(PASTE_ALL,$DF391,39)&amp;"","")&amp;"␟"&amp;IFERROR(INDEX(PASTE_ALL,$DF391,40)&amp;"","")&amp;"␟"&amp;IFERROR(INDEX(PASTE_ALL,$DF391,41)&amp;"","")&amp;"␟"&amp;IFERROR(INDEX(PASTE_ALL,$DF391,42)&amp;"","")&amp;"␟"&amp;IFERROR(INDEX(PASTE_ALL,$DF391,43)&amp;"","")&amp;"␟"&amp;IFERROR(INDEX(PASTE_ALL,$DF391,44)&amp;"","")&amp;"␟"&amp;IFERROR(INDEX(PASTE_ALL,$DF391,45)&amp;"","")&amp;"␟"&amp;IFERROR(INDEX(PASTE_ALL,$DF391,46)&amp;"","")&amp;"␟"&amp;IFERROR(INDEX(PASTE_ALL,$DF391,47)&amp;"","")&amp;"␟"&amp;IFERROR(INDEX(PASTE_ALL,$DF391,48)&amp;"","")&amp;"␟"&amp;IFERROR(INDEX(PASTE_ALL,$DF391,49)&amp;"","")&amp;"␟"&amp;IFERROR(INDEX(PASTE_ALL,$DF391,50)&amp;"","")&amp;"␟"&amp;IFERROR(INDEX(PASTE_ALL,$DF391,51)&amp;"","")&amp;"␟"&amp;IFERROR(INDEX(PASTE_ALL,$DF391,52)&amp;"","")&amp;"␟"&amp;IFERROR(INDEX(PASTE_ALL,$DF391,53)&amp;"","")&amp;"␟"&amp;IFERROR(INDEX(PASTE_ALL,$DF391,54)&amp;"","")&amp;"␟"&amp;IFERROR(INDEX(PASTE_ALL,$DF391,55)&amp;"","")&amp;"␟"&amp;IFERROR(INDEX(PASTE_ALL,$DF391,56)&amp;"","")&amp;"␟"&amp;IFERROR(INDEX(PASTE_ALL,$DF391,57)&amp;"","")&amp;"␟"&amp;IFERROR(INDEX(PASTE_ALL,$DF391,58)&amp;"","")&amp;"␟"&amp;IFERROR(INDEX(PASTE_ALL,$DF391,59)&amp;"","")&amp;"␟"&amp;IFERROR(INDEX(PASTE_ALL,$DF391,60)&amp;"","")," "," "),CHAR(9)," "),CHAR(10)," "),CHAR(13)," "))," ␟","␟"),"␟ ","␟"),"#"&amp;$DE391),"")</f>
        <v/>
      </c>
      <c r="DJ391">
        <f>IF($DI391="",0,IF(SUMPRODUCT(--EXACT($DI$4:DI390,$DI391))&gt;0,1,0))</f>
        <v/>
      </c>
      <c r="DK391">
        <f>IF(AND($DI391&lt;&gt;"",$DJ391=0),1,0)</f>
        <v/>
      </c>
      <c r="DL391">
        <f>DL390+$DK391</f>
        <v/>
      </c>
      <c r="DM391">
        <f>IF(AND($DK391=1,$DL391&lt;=600),1,0)</f>
        <v/>
      </c>
      <c r="DN391">
        <f>IF($DM391=0,"",IF($L$6=0,"",IFERROR(IF(ISNUMBER(INDEX(PASTE_ALL,$DF391,$L$6)),INDEX(PASTE_ALL,$DF391,$L$6),TRIM(SUBSTITUTE(SUBSTITUTE(SUBSTITUTE(SUBSTITUTE(INDEX(PASTE_ALL,$DF391,$L$6)," "," "),CHAR(9)," "),CHAR(10)," "),CHAR(13)," "))),"")))</f>
        <v/>
      </c>
      <c r="DO391">
        <f>IF($DM391=0,"",IF($L$7=0,"",IFERROR(IF(ISNUMBER(INDEX(PASTE_ALL,$DF391,$L$7)),INDEX(PASTE_ALL,$DF391,$L$7),TRIM(SUBSTITUTE(SUBSTITUTE(SUBSTITUTE(SUBSTITUTE(INDEX(PASTE_ALL,$DF391,$L$7)," "," "),CHAR(9)," "),CHAR(10)," "),CHAR(13)," "))),"")))</f>
        <v/>
      </c>
      <c r="DP391">
        <f>IF($DM391=0,"",IF($L$8=0,"",IFERROR(IF(ISNUMBER(INDEX(PASTE_ALL,$DF391,$L$8)),INDEX(PASTE_ALL,$DF391,$L$8),TRIM(SUBSTITUTE(SUBSTITUTE(SUBSTITUTE(SUBSTITUTE(INDEX(PASTE_ALL,$DF391,$L$8)," "," "),CHAR(9)," "),CHAR(10)," "),CHAR(13)," "))),"")))</f>
        <v/>
      </c>
      <c r="DQ391">
        <f>IF($DM391=0,"",IF($L$9=0,"",IFERROR(IF(ISNUMBER(INDEX(PASTE_ALL,$DF391,$L$9)),INDEX(PASTE_ALL,$DF391,$L$9),TRIM(SUBSTITUTE(SUBSTITUTE(SUBSTITUTE(SUBSTITUTE(INDEX(PASTE_ALL,$DF391,$L$9)," "," "),CHAR(9)," "),CHAR(10)," "),CHAR(13)," "))),"")))</f>
        <v/>
      </c>
      <c r="DR391">
        <f>IF($DM391=0,"",IF($L$10=0,"",IFERROR(IF(ISNUMBER(INDEX(PASTE_ALL,$DF391,$L$10)),INDEX(PASTE_ALL,$DF391,$L$10),TRIM(SUBSTITUTE(SUBSTITUTE(SUBSTITUTE(SUBSTITUTE(INDEX(PASTE_ALL,$DF391,$L$10)," "," "),CHAR(9)," "),CHAR(10)," "),CHAR(13)," "))),"")))</f>
        <v/>
      </c>
      <c r="DS391">
        <f>IF($DM391=0,"",IF($L$11=0,"",IFERROR(IF(ISNUMBER(INDEX(PASTE_ALL,$DF391,$L$11)),INDEX(PASTE_ALL,$DF391,$L$11),TRIM(SUBSTITUTE(SUBSTITUTE(SUBSTITUTE(SUBSTITUTE(INDEX(PASTE_ALL,$DF391,$L$11)," "," "),CHAR(9)," "),CHAR(10)," "),CHAR(13)," "))),"")))</f>
        <v/>
      </c>
      <c r="DT391">
        <f>IF($DM391=0,"",IF($L$12=0,"",IFERROR(IF(ISNUMBER(INDEX(PASTE_ALL,$DF391,$L$12)),INDEX(PASTE_ALL,$DF391,$L$12),TRIM(SUBSTITUTE(SUBSTITUTE(SUBSTITUTE(SUBSTITUTE(INDEX(PASTE_ALL,$DF391,$L$12)," "," "),CHAR(9)," "),CHAR(10)," "),CHAR(13)," "))),"")))</f>
        <v/>
      </c>
      <c r="DU391">
        <f>IF($DM391=0,"",IF($L$13=0,"",IFERROR(IF(ISNUMBER(INDEX(PASTE_ALL,$DF391,$L$13)),INDEX(PASTE_ALL,$DF391,$L$13),TRIM(SUBSTITUTE(SUBSTITUTE(SUBSTITUTE(SUBSTITUTE(INDEX(PASTE_ALL,$DF391,$L$13)," "," "),CHAR(9)," "),CHAR(10)," "),CHAR(13)," "))),"")))</f>
        <v/>
      </c>
      <c r="DV391">
        <f>IF($DM391=0,"",IF($L$14=0,"",IFERROR(IF(ISNUMBER(INDEX(PASTE_ALL,$DF391,$L$14)),INDEX(PASTE_ALL,$DF391,$L$14),TRIM(SUBSTITUTE(SUBSTITUTE(SUBSTITUTE(SUBSTITUTE(INDEX(PASTE_ALL,$DF391,$L$14)," "," "),CHAR(9)," "),CHAR(10)," "),CHAR(13)," "))),"")))</f>
        <v/>
      </c>
      <c r="DW391">
        <f>IF($DM391=0,"",IF($L$15=0,"",IFERROR(IF(ISNUMBER(INDEX(PASTE_ALL,$DF391,$L$15)),INDEX(PASTE_ALL,$DF391,$L$15),IF(SUMPRODUCT(--ISNUMBER(FIND({"A","B","C","D","E","F","G","H","I","J","K","L","M","N","O","P","Q","R","S","T","U","V","W","X","Y","Z","0","1","2","3","4","5","6","7","8","9"},UPPER(TRIM(SUBSTITUTE(SUBSTITUTE(SUBSTITUTE(SUBSTITUTE(INDEX(PASTE_ALL,$DF391,$L$15)," "," "),CHAR(9)," "),CHAR(10)," "),CHAR(13)," "))))))&gt;0,TRIM(SUBSTITUTE(SUBSTITUTE(SUBSTITUTE(SUBSTITUTE(INDEX(PASTE_ALL,$DF391,$L$15)," "," "),CHAR(9)," "),CHAR(10)," "),CHAR(13)," ")),"")),"")))</f>
        <v/>
      </c>
      <c r="DX391">
        <f>IF($DM391=0,"",IF($L$16=0,"",IFERROR(IF(ISNUMBER(INDEX(PASTE_ALL,$DF391,$L$16)),INDEX(PASTE_ALL,$DF391,$L$16),SUBSTITUTE(SUBSTITUTE(TRIM(SUBSTITUTE(SUBSTITUTE(SUBSTITUTE(SUBSTITUTE(INDEX(PASTE_ALL,$DF391,$L$16)," "," "),CHAR(9)," "),CHAR(10)," "),CHAR(13)," ")),",",""),"%","")),"")))</f>
        <v/>
      </c>
      <c r="DY391">
        <f>IF($DM391=0,"",IFERROR(IF(ISNUMBER($DX391),$DX391,IF($DX391="","",IF(TRIM($DX391)="",0,IF(AND(AND(SUBSTITUTE(SUBSTITUTE(SUBSTITUTE(SUBSTITUTE(SUBSTITUTE(SUBSTITUTE(SUBSTITUTE(SUBSTITUTE(SUBSTITUTE(SUBSTITUTE(SUBSTITUTE(SUBSTITUTE(SUBSTITUTE(SUBSTITUTE(UPPER(TRIM($DX391)),"0",""),"1",""),"2",""),"3",""),"4",""),"5",""),"6",""),"7",""),"8",""),"9",""),".",""),"+",""),"-",""),"E","")="",LEN(SUBSTITUTE(SUBSTITUTE(MID(UPPER(TRIM($DX391)),1+OR(LEFT(UPPER(TRIM($DX391)),1)="+",LEFT(UPPER(TRIM($DX391)),1)="-"),999),"E+","E"),"E-","E"))=LEN(SUBSTITUTE(SUBSTITUTE(SUBSTITUTE(SUBSTITUTE(MID(UPPER(TRIM($DX391)),1+OR(LEFT(UPPER(TRIM($DX391)),1)="+",LEFT(UPPER(TRIM($DX391)),1)="-"),999),"E+","E"),"E-","E"),"+",""),"-","")),LEN(UPPER(TRIM($DX391)))-LEN(SUBSTITUTE(UPPER(TRIM($DX391)),"E",""))&lt;2,LEN(UPPER(TRIM($DX391)))-LEN(SUBSTITUTE(UPPER(TRIM($DX391)),".",""))&lt;2,IFERROR(FIND(".",UPPER(TRIM($DX391))),0)&lt;IFERROR(FIND("E",UPPER(TRIM($DX391))),999)),ISNUMBER(VALUE(TRIM($DX391)))),VALUE(TRIM($DX391)),"")))),""))</f>
        <v/>
      </c>
      <c r="DZ391">
        <f>IF($DM391=0,"",IF($L$17=0,"",IFERROR(IF(ISNUMBER(INDEX(PASTE_ALL,$DF391,$L$17)),INDEX(PASTE_ALL,$DF391,$L$17),SUBSTITUTE(SUBSTITUTE(TRIM(SUBSTITUTE(SUBSTITUTE(SUBSTITUTE(SUBSTITUTE(INDEX(PASTE_ALL,$DF391,$L$17)," "," "),CHAR(9)," "),CHAR(10)," "),CHAR(13)," ")),",",""),"%","")),"")))</f>
        <v/>
      </c>
      <c r="EA391">
        <f>IF($DM391=0,"",IFERROR(IF(ISNUMBER($DZ391),$DZ391,IF($DZ391="","",IF(TRIM($DZ391)="",0,IF(AND(AND(SUBSTITUTE(SUBSTITUTE(SUBSTITUTE(SUBSTITUTE(SUBSTITUTE(SUBSTITUTE(SUBSTITUTE(SUBSTITUTE(SUBSTITUTE(SUBSTITUTE(SUBSTITUTE(SUBSTITUTE(SUBSTITUTE(SUBSTITUTE(UPPER(TRIM($DZ391)),"0",""),"1",""),"2",""),"3",""),"4",""),"5",""),"6",""),"7",""),"8",""),"9",""),".",""),"+",""),"-",""),"E","")="",LEN(SUBSTITUTE(SUBSTITUTE(MID(UPPER(TRIM($DZ391)),1+OR(LEFT(UPPER(TRIM($DZ391)),1)="+",LEFT(UPPER(TRIM($DZ391)),1)="-"),999),"E+","E"),"E-","E"))=LEN(SUBSTITUTE(SUBSTITUTE(SUBSTITUTE(SUBSTITUTE(MID(UPPER(TRIM($DZ391)),1+OR(LEFT(UPPER(TRIM($DZ391)),1)="+",LEFT(UPPER(TRIM($DZ391)),1)="-"),999),"E+","E"),"E-","E"),"+",""),"-","")),LEN(UPPER(TRIM($DZ391)))-LEN(SUBSTITUTE(UPPER(TRIM($DZ391)),"E",""))&lt;2,LEN(UPPER(TRIM($DZ391)))-LEN(SUBSTITUTE(UPPER(TRIM($DZ391)),".",""))&lt;2,IFERROR(FIND(".",UPPER(TRIM($DZ391))),0)&lt;IFERROR(FIND("E",UPPER(TRIM($DZ391))),999)),ISNUMBER(VALUE(TRIM($DZ391)))),VALUE(TRIM($DZ391)),"")))),""))</f>
        <v/>
      </c>
      <c r="EB391">
        <f>IF($DM391=0,"",IF($L$18=0,"",IFERROR(IF(UPPER(TRIM(SUBSTITUTE(SUBSTITUTE(SUBSTITUTE(SUBSTITUTE(INDEX(PASTE_ALL,$DF391,$L$18)," "," "),CHAR(9)," "),CHAR(10)," "),CHAR(13)," ")))="READY","Ready",IF(UPPER(TRIM(SUBSTITUTE(SUBSTITUTE(SUBSTITUTE(SUBSTITUTE(INDEX(PASTE_ALL,$DF391,$L$18)," "," "),CHAR(9)," "),CHAR(10)," "),CHAR(13)," ")))="PM","PM",IF(OR(UPPER(TRIM(SUBSTITUTE(SUBSTITUTE(SUBSTITUTE(SUBSTITUTE(INDEX(PASTE_ALL,$DF391,$L$18)," "," "),CHAR(9)," "),CHAR(10)," "),CHAR(13)," ")))="OT",UPPER(TRIM(SUBSTITUTE(SUBSTITUTE(SUBSTITUTE(SUBSTITUTE(INDEX(PASTE_ALL,$DF391,$L$18)," "," "),CHAR(9)," "),CHAR(10)," "),CHAR(13)," ")))="OVERTIME",UPPER(TRIM(SUBSTITUTE(SUBSTITUTE(SUBSTITUTE(SUBSTITUTE(INDEX(PASTE_ALL,$DF391,$L$18)," "," "),CHAR(9)," "),CHAR(10)," "),CHAR(13)," ")))="TRIAL"),"OT",TRIM(SUBSTITUTE(SUBSTITUTE(SUBSTITUTE(SUBSTITUTE(INDEX(PASTE_ALL,$DF391,$L$18)," "," "),CHAR(9)," "),CHAR(10)," "),CHAR(13)," "))))),"")))</f>
        <v/>
      </c>
      <c r="EC391">
        <f>IF($DM391=0,"",IF($L$19=0,"",IFERROR(IF(ISNUMBER(INDEX(PASTE_ALL,$DF391,$L$19)),INDEX(PASTE_ALL,$DF391,$L$19),TRIM(SUBSTITUTE(SUBSTITUTE(SUBSTITUTE(SUBSTITUTE(INDEX(PASTE_ALL,$DF391,$L$19)," "," "),CHAR(9)," "),CHAR(10)," "),CHAR(13)," "))),"")))</f>
        <v/>
      </c>
      <c r="ED391">
        <f>IF($DM391=0,"",MATCH(1,INDEX(EXACT($DH$5:DH391,$DH391)*$DM$5:DM391,0),0))</f>
        <v/>
      </c>
      <c r="EE391">
        <f>IF($DM391=0,0,IF($ED391=$DE391,1,0))</f>
        <v/>
      </c>
      <c r="EF391">
        <f>EF390+$EE391</f>
        <v/>
      </c>
      <c r="EG391">
        <f>IF($DM391=0,"",INDEX($EF$5:$EF$1003,$ED391))</f>
        <v/>
      </c>
      <c r="EH391">
        <f>IF($DM391=0,"",IF($DO391&lt;&gt;"","",IFERROR(LOOKUP(2,1/(($EG$4:EG390=$EG391)*($DO$4:DO390&lt;&gt;"")),$DO$4:DO390),"")))</f>
        <v/>
      </c>
      <c r="EI391">
        <f>IF($DM391=0,"",IF($DO391&lt;&gt;"",$DO391,$EH391))</f>
        <v/>
      </c>
      <c r="EJ391">
        <f>IF($DM391=0,"",IF($EI391="",0,IF(OR(ISNUMBER($EI391),AND(AND(SUBSTITUTE(SUBSTITUTE(SUBSTITUTE(SUBSTITUTE(SUBSTITUTE(SUBSTITUTE(SUBSTITUTE(SUBSTITUTE(SUBSTITUTE(SUBSTITUTE(SUBSTITUTE(SUBSTITUTE(SUBSTITUTE(SUBSTITUTE(UPPER($EI391),"0",""),"1",""),"2",""),"3",""),"4",""),"5",""),"6",""),"7",""),"8",""),"9",""),".",""),"+",""),"-",""),"E","")="",LEN(SUBSTITUTE(SUBSTITUTE(MID(UPPER($EI391),1+OR(LEFT(UPPER($EI391),1)="+",LEFT(UPPER($EI391),1)="-"),999),"E+","E"),"E-","E"))=LEN(SUBSTITUTE(SUBSTITUTE(SUBSTITUTE(SUBSTITUTE(MID(UPPER($EI391),1+OR(LEFT(UPPER($EI391),1)="+",LEFT(UPPER($EI391),1)="-"),999),"E+","E"),"E-","E"),"+",""),"-","")),LEN(UPPER($EI391))-LEN(SUBSTITUTE(UPPER($EI391),"E",""))&lt;2,LEN(UPPER($EI391))-LEN(SUBSTITUTE(UPPER($EI391),".",""))&lt;2,IFERROR(FIND(".",UPPER($EI391)),0)&lt;IFERROR(FIND("E",UPPER($EI391)),999)),ISNUMBER(VALUE($EI391)))),1,2)))</f>
        <v/>
      </c>
      <c r="EK391">
        <f>IF($DM391=0,"",IF($EJ391=1,IF(ISNUMBER($EI391),$EI391,VALUE($EI391)),IF($EJ391=2,$DE391,0)))</f>
        <v/>
      </c>
      <c r="EL391">
        <f>IF($DM391=0,"",COUNTIF($EG$5:$EG$1003,"&lt;"&amp;$EG391)+SUMPRODUCT(($EG$5:$EG$1003=$EG391)*(($EJ$5:$EJ$1003&lt;$EJ391)+($EJ$5:$EJ$1003=$EJ391)*(($EK$5:$EK$1003&lt;$EK391)+($EK$5:$EK$1003=$EK391)*($DE$5:$DE$1003&lt;$DE391))))+1)</f>
        <v/>
      </c>
      <c r="EM391">
        <f>IF($DM391=0,"",$EL391+$EG391-1)</f>
        <v/>
      </c>
      <c r="EN391">
        <f>IF($DM391=0,0,IFERROR(MATCH(1,INDEX(--(TRIM(SUBSTITUTE(SUBSTITUTE(SUBSTITUTE(SUBSTITUTE(LINES_NAME&amp;""," "," "),CHAR(9)," "),CHAR(10)," "),CHAR(13)," "))=$DH391),0),0),0))</f>
        <v/>
      </c>
      <c r="EO391">
        <f>IF($EN391=0,0,IF(OR(UPPER(TRIM(INDEX(LINES_SCHEDULED,$EN391)&amp;""))="YES",UPPER(TRIM(INDEX(LINES_SCHEDULED,$EN391)&amp;""))="Y",UPPER(TRIM(INDEX(LINES_SCHEDULED,$EN391)&amp;""))="X"),1,0))</f>
        <v/>
      </c>
      <c r="EP391">
        <f>IF($DM391=0,"",IF(COUNTIFS($EG$5:$EG$1003,$EG391,$EB$5:$EB$1003,"Ready")&gt;0,"READY",IF(COUNTIFS($EG$5:$EG$1003,$EG391,$EB$5:$EB$1003,"PM")&gt;0,"PM",IF(COUNTIFS($EG$5:$EG$1003,$EG391,$EB$5:$EB$1003,"OT")&gt;0,"OT",""))))</f>
        <v/>
      </c>
      <c r="EQ391">
        <f>IF($EN391=0,"",UPPER(TRIM(INDEX(LINES_STATUS,$EN391)&amp;"")))</f>
        <v/>
      </c>
      <c r="ER391">
        <f>IF($DM391=0,"",IF(OR($EQ391="READY",$EQ391="PM",$EQ391="OT"),$EQ391,$EP391))</f>
        <v/>
      </c>
      <c r="ES391">
        <f>IF($DM391=0,"",IF(AND($DV391&lt;&gt;"",UPPER($DV391)&lt;&gt;"N"),"allergen",IF(ISNUMBER(SEARCH("oil",$DQ391)),"oil",IF(OR(EXACT($DS391,"A662"),EXACT($DS391,"A624")),"bulk",""))))</f>
        <v/>
      </c>
      <c r="ET391">
        <f>IF($DM391=0,"",IF(OR($EA391="",$EA391=0),"",$EA391/100))</f>
        <v/>
      </c>
      <c r="EU391">
        <f>IF(OR($ET391="",$DY391=""),"",INT($DY391*(1-$ET391)+0.5))</f>
        <v/>
      </c>
      <c r="EW391" t="n">
        <v>387</v>
      </c>
      <c r="EX391">
        <f>IFERROR(MATCH($EW391,$EM$5:$EM$1003,0),0)</f>
        <v/>
      </c>
      <c r="EY391">
        <f>IF($EW391&gt;$B$12,"",IF($EX391&gt;0,"row","spacer"))</f>
        <v/>
      </c>
      <c r="EZ391">
        <f>IF(AND($EY391="row",$EY390&lt;&gt;"row"),1,0)</f>
        <v/>
      </c>
      <c r="FA391">
        <f>IF(AND($EY391="row",$EY392&lt;&gt;"row"),1,0)</f>
        <v/>
      </c>
      <c r="FB391">
        <f>IF($EZ391=1,IFERROR(IF(ISNUMBER(INDEX(PASTE_ALL,INDEX($DF$5:$DF$1003,$EX391),$B$37)),INDEX(PASTE_ALL,INDEX($DF$5:$DF$1003,$EX391),$B$37),INDEX($DH$5:$DH$1003,$EX391)),INDEX($DH$5:$DH$1003,$EX391)),"")</f>
        <v/>
      </c>
      <c r="FC391">
        <f>IF($EY391="row",INDEX($ER$5:$ER$1003,$EX391),"")</f>
        <v/>
      </c>
      <c r="FD391">
        <f>IF($EY391="row",INDEX($DN$5:$DN$1003,$EX391),"")</f>
        <v/>
      </c>
      <c r="FE391">
        <f>IF($EY391="row",INDEX($DO$5:$DO$1003,$EX391),"")</f>
        <v/>
      </c>
      <c r="FF391">
        <f>IF($EY391="row",INDEX($DP$5:$DP$1003,$EX391),"")</f>
        <v/>
      </c>
      <c r="FG391">
        <f>IF($EY391="row",INDEX($DQ$5:$DQ$1003,$EX391),"")</f>
        <v/>
      </c>
      <c r="FH391">
        <f>IF($EY391="row",INDEX($DR$5:$DR$1003,$EX391),"")</f>
        <v/>
      </c>
      <c r="FI391">
        <f>IF($EY391="row",INDEX($DS$5:$DS$1003,$EX391),"")</f>
        <v/>
      </c>
      <c r="FJ391">
        <f>IF($EY391="row",INDEX($DT$5:$DT$1003,$EX391),"")</f>
        <v/>
      </c>
      <c r="FK391">
        <f>IF($EY391="row",INDEX($DU$5:$DU$1003,$EX391),"")</f>
        <v/>
      </c>
      <c r="FL391">
        <f>IF($EY391="row",INDEX($DV$5:$DV$1003,$EX391),"")</f>
        <v/>
      </c>
      <c r="FM391">
        <f>IF($EY391="row",INDEX($DW$5:$DW$1003,$EX391),"")</f>
        <v/>
      </c>
      <c r="FN391">
        <f>IF($EY391="row",INDEX($DY$5:$DY$1003,$EX391),"")</f>
        <v/>
      </c>
      <c r="FO391">
        <f>IF($EY391="row",INDEX($EA$5:$EA$1003,$EX391),"")</f>
        <v/>
      </c>
      <c r="FP391">
        <f>IF($EY391="row",INDEX($EC$5:$EC$1003,$EX391),"")</f>
        <v/>
      </c>
      <c r="FQ391">
        <f>IF($EY391="row",INDEX($ET$5:$ET$1003,$EX391),"")</f>
        <v/>
      </c>
      <c r="FR391">
        <f>IF($EY391="row",INDEX($EU$5:$EU$1003,$EX391),"")</f>
        <v/>
      </c>
      <c r="FS391">
        <f>IF(AND($EY391="row",$EY390="row"),IF(OR(INDEX($DT$5:$DT$1003,$EX390)="",INDEX($DT$5:$DT$1003,$EX391)=""),"",IF(NOT(EXACT(INDEX($DT$5:$DT$1003,$EX390),INDEX($DT$5:$DT$1003,$EX391))),"S4",IF(NOT(EXACT(INDEX($DS$5:$DS$1003,$EX390),INDEX($DS$5:$DS$1003,$EX391))),"S3",IF(NOT(EXACT(INDEX($DR$5:$DR$1003,$EX390),INDEX($DR$5:$DR$1003,$EX391))),"S1 Count Change","S1")))),"")</f>
        <v/>
      </c>
      <c r="FT391">
        <f>IF($EY391="row",INDEX($ES$5:$ES$1003,$EX391),"")</f>
        <v/>
      </c>
      <c r="FU391">
        <f>IF($EY391="row",INDEX($EO$5:$EO$1003,$EX391),0)</f>
        <v/>
      </c>
      <c r="FV391">
        <f>IF($FS391="S1 Count Change",1,0)</f>
        <v/>
      </c>
    </row>
    <row r="392">
      <c r="DA392" t="n">
        <v>388</v>
      </c>
      <c r="DB392">
        <f>IF($B$37=0,"",IFERROR(TRIM(SUBSTITUTE(SUBSTITUTE(SUBSTITUTE(SUBSTITUTE(INDEX(PASTE_ALL,388,$B$37)," "," "),CHAR(9)," "),CHAR(10)," "),CHAR(13)," ")),""))</f>
        <v/>
      </c>
      <c r="DC392">
        <f>IF(AND(388&gt;HEADER_ROW,UPPER(DB392)="LEGEND"),1,0)</f>
        <v/>
      </c>
      <c r="DE392" t="n">
        <v>388</v>
      </c>
      <c r="DF392">
        <f>HEADER_ROW+$DE392</f>
        <v/>
      </c>
      <c r="DG392">
        <f>IF(AND($DF392&lt;=1000,$DF392&lt;$B$8),1,0)</f>
        <v/>
      </c>
      <c r="DH392">
        <f>IF($DG392=1,IFERROR(INDEX($DB$5:$DB$1004,$DF392),""),"")</f>
        <v/>
      </c>
      <c r="DI392">
        <f>IF(AND($DG392=1,$DH392&lt;&gt;""),IFERROR(SUBSTITUTE(SUBSTITUTE(TRIM(SUBSTITUTE(SUBSTITUTE(SUBSTITUTE(SUBSTITUTE(IFERROR(INDEX(PASTE_ALL,$DF392,1)&amp;"","")&amp;"␟"&amp;IFERROR(INDEX(PASTE_ALL,$DF392,2)&amp;"","")&amp;"␟"&amp;IFERROR(INDEX(PASTE_ALL,$DF392,3)&amp;"","")&amp;"␟"&amp;IFERROR(INDEX(PASTE_ALL,$DF392,4)&amp;"","")&amp;"␟"&amp;IFERROR(INDEX(PASTE_ALL,$DF392,5)&amp;"","")&amp;"␟"&amp;IFERROR(INDEX(PASTE_ALL,$DF392,6)&amp;"","")&amp;"␟"&amp;IFERROR(INDEX(PASTE_ALL,$DF392,7)&amp;"","")&amp;"␟"&amp;IFERROR(INDEX(PASTE_ALL,$DF392,8)&amp;"","")&amp;"␟"&amp;IFERROR(INDEX(PASTE_ALL,$DF392,9)&amp;"","")&amp;"␟"&amp;IFERROR(INDEX(PASTE_ALL,$DF392,10)&amp;"","")&amp;"␟"&amp;IFERROR(INDEX(PASTE_ALL,$DF392,11)&amp;"","")&amp;"␟"&amp;IFERROR(INDEX(PASTE_ALL,$DF392,12)&amp;"","")&amp;"␟"&amp;IFERROR(INDEX(PASTE_ALL,$DF392,13)&amp;"","")&amp;"␟"&amp;IFERROR(INDEX(PASTE_ALL,$DF392,14)&amp;"","")&amp;"␟"&amp;IFERROR(INDEX(PASTE_ALL,$DF392,15)&amp;"","")&amp;"␟"&amp;IFERROR(INDEX(PASTE_ALL,$DF392,16)&amp;"","")&amp;"␟"&amp;IFERROR(INDEX(PASTE_ALL,$DF392,17)&amp;"","")&amp;"␟"&amp;IFERROR(INDEX(PASTE_ALL,$DF392,18)&amp;"","")&amp;"␟"&amp;IFERROR(INDEX(PASTE_ALL,$DF392,19)&amp;"","")&amp;"␟"&amp;IFERROR(INDEX(PASTE_ALL,$DF392,20)&amp;"","")&amp;"␟"&amp;IFERROR(INDEX(PASTE_ALL,$DF392,21)&amp;"","")&amp;"␟"&amp;IFERROR(INDEX(PASTE_ALL,$DF392,22)&amp;"","")&amp;"␟"&amp;IFERROR(INDEX(PASTE_ALL,$DF392,23)&amp;"","")&amp;"␟"&amp;IFERROR(INDEX(PASTE_ALL,$DF392,24)&amp;"","")&amp;"␟"&amp;IFERROR(INDEX(PASTE_ALL,$DF392,25)&amp;"","")&amp;"␟"&amp;IFERROR(INDEX(PASTE_ALL,$DF392,26)&amp;"","")&amp;"␟"&amp;IFERROR(INDEX(PASTE_ALL,$DF392,27)&amp;"","")&amp;"␟"&amp;IFERROR(INDEX(PASTE_ALL,$DF392,28)&amp;"","")&amp;"␟"&amp;IFERROR(INDEX(PASTE_ALL,$DF392,29)&amp;"","")&amp;"␟"&amp;IFERROR(INDEX(PASTE_ALL,$DF392,30)&amp;"","")&amp;"␟"&amp;IFERROR(INDEX(PASTE_ALL,$DF392,31)&amp;"","")&amp;"␟"&amp;IFERROR(INDEX(PASTE_ALL,$DF392,32)&amp;"","")&amp;"␟"&amp;IFERROR(INDEX(PASTE_ALL,$DF392,33)&amp;"","")&amp;"␟"&amp;IFERROR(INDEX(PASTE_ALL,$DF392,34)&amp;"","")&amp;"␟"&amp;IFERROR(INDEX(PASTE_ALL,$DF392,35)&amp;"","")&amp;"␟"&amp;IFERROR(INDEX(PASTE_ALL,$DF392,36)&amp;"","")&amp;"␟"&amp;IFERROR(INDEX(PASTE_ALL,$DF392,37)&amp;"","")&amp;"␟"&amp;IFERROR(INDEX(PASTE_ALL,$DF392,38)&amp;"","")&amp;"␟"&amp;IFERROR(INDEX(PASTE_ALL,$DF392,39)&amp;"","")&amp;"␟"&amp;IFERROR(INDEX(PASTE_ALL,$DF392,40)&amp;"","")&amp;"␟"&amp;IFERROR(INDEX(PASTE_ALL,$DF392,41)&amp;"","")&amp;"␟"&amp;IFERROR(INDEX(PASTE_ALL,$DF392,42)&amp;"","")&amp;"␟"&amp;IFERROR(INDEX(PASTE_ALL,$DF392,43)&amp;"","")&amp;"␟"&amp;IFERROR(INDEX(PASTE_ALL,$DF392,44)&amp;"","")&amp;"␟"&amp;IFERROR(INDEX(PASTE_ALL,$DF392,45)&amp;"","")&amp;"␟"&amp;IFERROR(INDEX(PASTE_ALL,$DF392,46)&amp;"","")&amp;"␟"&amp;IFERROR(INDEX(PASTE_ALL,$DF392,47)&amp;"","")&amp;"␟"&amp;IFERROR(INDEX(PASTE_ALL,$DF392,48)&amp;"","")&amp;"␟"&amp;IFERROR(INDEX(PASTE_ALL,$DF392,49)&amp;"","")&amp;"␟"&amp;IFERROR(INDEX(PASTE_ALL,$DF392,50)&amp;"","")&amp;"␟"&amp;IFERROR(INDEX(PASTE_ALL,$DF392,51)&amp;"","")&amp;"␟"&amp;IFERROR(INDEX(PASTE_ALL,$DF392,52)&amp;"","")&amp;"␟"&amp;IFERROR(INDEX(PASTE_ALL,$DF392,53)&amp;"","")&amp;"␟"&amp;IFERROR(INDEX(PASTE_ALL,$DF392,54)&amp;"","")&amp;"␟"&amp;IFERROR(INDEX(PASTE_ALL,$DF392,55)&amp;"","")&amp;"␟"&amp;IFERROR(INDEX(PASTE_ALL,$DF392,56)&amp;"","")&amp;"␟"&amp;IFERROR(INDEX(PASTE_ALL,$DF392,57)&amp;"","")&amp;"␟"&amp;IFERROR(INDEX(PASTE_ALL,$DF392,58)&amp;"","")&amp;"␟"&amp;IFERROR(INDEX(PASTE_ALL,$DF392,59)&amp;"","")&amp;"␟"&amp;IFERROR(INDEX(PASTE_ALL,$DF392,60)&amp;"","")," "," "),CHAR(9)," "),CHAR(10)," "),CHAR(13)," "))," ␟","␟"),"␟ ","␟"),"#"&amp;$DE392),"")</f>
        <v/>
      </c>
      <c r="DJ392">
        <f>IF($DI392="",0,IF(SUMPRODUCT(--EXACT($DI$4:DI391,$DI392))&gt;0,1,0))</f>
        <v/>
      </c>
      <c r="DK392">
        <f>IF(AND($DI392&lt;&gt;"",$DJ392=0),1,0)</f>
        <v/>
      </c>
      <c r="DL392">
        <f>DL391+$DK392</f>
        <v/>
      </c>
      <c r="DM392">
        <f>IF(AND($DK392=1,$DL392&lt;=600),1,0)</f>
        <v/>
      </c>
      <c r="DN392">
        <f>IF($DM392=0,"",IF($L$6=0,"",IFERROR(IF(ISNUMBER(INDEX(PASTE_ALL,$DF392,$L$6)),INDEX(PASTE_ALL,$DF392,$L$6),TRIM(SUBSTITUTE(SUBSTITUTE(SUBSTITUTE(SUBSTITUTE(INDEX(PASTE_ALL,$DF392,$L$6)," "," "),CHAR(9)," "),CHAR(10)," "),CHAR(13)," "))),"")))</f>
        <v/>
      </c>
      <c r="DO392">
        <f>IF($DM392=0,"",IF($L$7=0,"",IFERROR(IF(ISNUMBER(INDEX(PASTE_ALL,$DF392,$L$7)),INDEX(PASTE_ALL,$DF392,$L$7),TRIM(SUBSTITUTE(SUBSTITUTE(SUBSTITUTE(SUBSTITUTE(INDEX(PASTE_ALL,$DF392,$L$7)," "," "),CHAR(9)," "),CHAR(10)," "),CHAR(13)," "))),"")))</f>
        <v/>
      </c>
      <c r="DP392">
        <f>IF($DM392=0,"",IF($L$8=0,"",IFERROR(IF(ISNUMBER(INDEX(PASTE_ALL,$DF392,$L$8)),INDEX(PASTE_ALL,$DF392,$L$8),TRIM(SUBSTITUTE(SUBSTITUTE(SUBSTITUTE(SUBSTITUTE(INDEX(PASTE_ALL,$DF392,$L$8)," "," "),CHAR(9)," "),CHAR(10)," "),CHAR(13)," "))),"")))</f>
        <v/>
      </c>
      <c r="DQ392">
        <f>IF($DM392=0,"",IF($L$9=0,"",IFERROR(IF(ISNUMBER(INDEX(PASTE_ALL,$DF392,$L$9)),INDEX(PASTE_ALL,$DF392,$L$9),TRIM(SUBSTITUTE(SUBSTITUTE(SUBSTITUTE(SUBSTITUTE(INDEX(PASTE_ALL,$DF392,$L$9)," "," "),CHAR(9)," "),CHAR(10)," "),CHAR(13)," "))),"")))</f>
        <v/>
      </c>
      <c r="DR392">
        <f>IF($DM392=0,"",IF($L$10=0,"",IFERROR(IF(ISNUMBER(INDEX(PASTE_ALL,$DF392,$L$10)),INDEX(PASTE_ALL,$DF392,$L$10),TRIM(SUBSTITUTE(SUBSTITUTE(SUBSTITUTE(SUBSTITUTE(INDEX(PASTE_ALL,$DF392,$L$10)," "," "),CHAR(9)," "),CHAR(10)," "),CHAR(13)," "))),"")))</f>
        <v/>
      </c>
      <c r="DS392">
        <f>IF($DM392=0,"",IF($L$11=0,"",IFERROR(IF(ISNUMBER(INDEX(PASTE_ALL,$DF392,$L$11)),INDEX(PASTE_ALL,$DF392,$L$11),TRIM(SUBSTITUTE(SUBSTITUTE(SUBSTITUTE(SUBSTITUTE(INDEX(PASTE_ALL,$DF392,$L$11)," "," "),CHAR(9)," "),CHAR(10)," "),CHAR(13)," "))),"")))</f>
        <v/>
      </c>
      <c r="DT392">
        <f>IF($DM392=0,"",IF($L$12=0,"",IFERROR(IF(ISNUMBER(INDEX(PASTE_ALL,$DF392,$L$12)),INDEX(PASTE_ALL,$DF392,$L$12),TRIM(SUBSTITUTE(SUBSTITUTE(SUBSTITUTE(SUBSTITUTE(INDEX(PASTE_ALL,$DF392,$L$12)," "," "),CHAR(9)," "),CHAR(10)," "),CHAR(13)," "))),"")))</f>
        <v/>
      </c>
      <c r="DU392">
        <f>IF($DM392=0,"",IF($L$13=0,"",IFERROR(IF(ISNUMBER(INDEX(PASTE_ALL,$DF392,$L$13)),INDEX(PASTE_ALL,$DF392,$L$13),TRIM(SUBSTITUTE(SUBSTITUTE(SUBSTITUTE(SUBSTITUTE(INDEX(PASTE_ALL,$DF392,$L$13)," "," "),CHAR(9)," "),CHAR(10)," "),CHAR(13)," "))),"")))</f>
        <v/>
      </c>
      <c r="DV392">
        <f>IF($DM392=0,"",IF($L$14=0,"",IFERROR(IF(ISNUMBER(INDEX(PASTE_ALL,$DF392,$L$14)),INDEX(PASTE_ALL,$DF392,$L$14),TRIM(SUBSTITUTE(SUBSTITUTE(SUBSTITUTE(SUBSTITUTE(INDEX(PASTE_ALL,$DF392,$L$14)," "," "),CHAR(9)," "),CHAR(10)," "),CHAR(13)," "))),"")))</f>
        <v/>
      </c>
      <c r="DW392">
        <f>IF($DM392=0,"",IF($L$15=0,"",IFERROR(IF(ISNUMBER(INDEX(PASTE_ALL,$DF392,$L$15)),INDEX(PASTE_ALL,$DF392,$L$15),IF(SUMPRODUCT(--ISNUMBER(FIND({"A","B","C","D","E","F","G","H","I","J","K","L","M","N","O","P","Q","R","S","T","U","V","W","X","Y","Z","0","1","2","3","4","5","6","7","8","9"},UPPER(TRIM(SUBSTITUTE(SUBSTITUTE(SUBSTITUTE(SUBSTITUTE(INDEX(PASTE_ALL,$DF392,$L$15)," "," "),CHAR(9)," "),CHAR(10)," "),CHAR(13)," "))))))&gt;0,TRIM(SUBSTITUTE(SUBSTITUTE(SUBSTITUTE(SUBSTITUTE(INDEX(PASTE_ALL,$DF392,$L$15)," "," "),CHAR(9)," "),CHAR(10)," "),CHAR(13)," ")),"")),"")))</f>
        <v/>
      </c>
      <c r="DX392">
        <f>IF($DM392=0,"",IF($L$16=0,"",IFERROR(IF(ISNUMBER(INDEX(PASTE_ALL,$DF392,$L$16)),INDEX(PASTE_ALL,$DF392,$L$16),SUBSTITUTE(SUBSTITUTE(TRIM(SUBSTITUTE(SUBSTITUTE(SUBSTITUTE(SUBSTITUTE(INDEX(PASTE_ALL,$DF392,$L$16)," "," "),CHAR(9)," "),CHAR(10)," "),CHAR(13)," ")),",",""),"%","")),"")))</f>
        <v/>
      </c>
      <c r="DY392">
        <f>IF($DM392=0,"",IFERROR(IF(ISNUMBER($DX392),$DX392,IF($DX392="","",IF(TRIM($DX392)="",0,IF(AND(AND(SUBSTITUTE(SUBSTITUTE(SUBSTITUTE(SUBSTITUTE(SUBSTITUTE(SUBSTITUTE(SUBSTITUTE(SUBSTITUTE(SUBSTITUTE(SUBSTITUTE(SUBSTITUTE(SUBSTITUTE(SUBSTITUTE(SUBSTITUTE(UPPER(TRIM($DX392)),"0",""),"1",""),"2",""),"3",""),"4",""),"5",""),"6",""),"7",""),"8",""),"9",""),".",""),"+",""),"-",""),"E","")="",LEN(SUBSTITUTE(SUBSTITUTE(MID(UPPER(TRIM($DX392)),1+OR(LEFT(UPPER(TRIM($DX392)),1)="+",LEFT(UPPER(TRIM($DX392)),1)="-"),999),"E+","E"),"E-","E"))=LEN(SUBSTITUTE(SUBSTITUTE(SUBSTITUTE(SUBSTITUTE(MID(UPPER(TRIM($DX392)),1+OR(LEFT(UPPER(TRIM($DX392)),1)="+",LEFT(UPPER(TRIM($DX392)),1)="-"),999),"E+","E"),"E-","E"),"+",""),"-","")),LEN(UPPER(TRIM($DX392)))-LEN(SUBSTITUTE(UPPER(TRIM($DX392)),"E",""))&lt;2,LEN(UPPER(TRIM($DX392)))-LEN(SUBSTITUTE(UPPER(TRIM($DX392)),".",""))&lt;2,IFERROR(FIND(".",UPPER(TRIM($DX392))),0)&lt;IFERROR(FIND("E",UPPER(TRIM($DX392))),999)),ISNUMBER(VALUE(TRIM($DX392)))),VALUE(TRIM($DX392)),"")))),""))</f>
        <v/>
      </c>
      <c r="DZ392">
        <f>IF($DM392=0,"",IF($L$17=0,"",IFERROR(IF(ISNUMBER(INDEX(PASTE_ALL,$DF392,$L$17)),INDEX(PASTE_ALL,$DF392,$L$17),SUBSTITUTE(SUBSTITUTE(TRIM(SUBSTITUTE(SUBSTITUTE(SUBSTITUTE(SUBSTITUTE(INDEX(PASTE_ALL,$DF392,$L$17)," "," "),CHAR(9)," "),CHAR(10)," "),CHAR(13)," ")),",",""),"%","")),"")))</f>
        <v/>
      </c>
      <c r="EA392">
        <f>IF($DM392=0,"",IFERROR(IF(ISNUMBER($DZ392),$DZ392,IF($DZ392="","",IF(TRIM($DZ392)="",0,IF(AND(AND(SUBSTITUTE(SUBSTITUTE(SUBSTITUTE(SUBSTITUTE(SUBSTITUTE(SUBSTITUTE(SUBSTITUTE(SUBSTITUTE(SUBSTITUTE(SUBSTITUTE(SUBSTITUTE(SUBSTITUTE(SUBSTITUTE(SUBSTITUTE(UPPER(TRIM($DZ392)),"0",""),"1",""),"2",""),"3",""),"4",""),"5",""),"6",""),"7",""),"8",""),"9",""),".",""),"+",""),"-",""),"E","")="",LEN(SUBSTITUTE(SUBSTITUTE(MID(UPPER(TRIM($DZ392)),1+OR(LEFT(UPPER(TRIM($DZ392)),1)="+",LEFT(UPPER(TRIM($DZ392)),1)="-"),999),"E+","E"),"E-","E"))=LEN(SUBSTITUTE(SUBSTITUTE(SUBSTITUTE(SUBSTITUTE(MID(UPPER(TRIM($DZ392)),1+OR(LEFT(UPPER(TRIM($DZ392)),1)="+",LEFT(UPPER(TRIM($DZ392)),1)="-"),999),"E+","E"),"E-","E"),"+",""),"-","")),LEN(UPPER(TRIM($DZ392)))-LEN(SUBSTITUTE(UPPER(TRIM($DZ392)),"E",""))&lt;2,LEN(UPPER(TRIM($DZ392)))-LEN(SUBSTITUTE(UPPER(TRIM($DZ392)),".",""))&lt;2,IFERROR(FIND(".",UPPER(TRIM($DZ392))),0)&lt;IFERROR(FIND("E",UPPER(TRIM($DZ392))),999)),ISNUMBER(VALUE(TRIM($DZ392)))),VALUE(TRIM($DZ392)),"")))),""))</f>
        <v/>
      </c>
      <c r="EB392">
        <f>IF($DM392=0,"",IF($L$18=0,"",IFERROR(IF(UPPER(TRIM(SUBSTITUTE(SUBSTITUTE(SUBSTITUTE(SUBSTITUTE(INDEX(PASTE_ALL,$DF392,$L$18)," "," "),CHAR(9)," "),CHAR(10)," "),CHAR(13)," ")))="READY","Ready",IF(UPPER(TRIM(SUBSTITUTE(SUBSTITUTE(SUBSTITUTE(SUBSTITUTE(INDEX(PASTE_ALL,$DF392,$L$18)," "," "),CHAR(9)," "),CHAR(10)," "),CHAR(13)," ")))="PM","PM",IF(OR(UPPER(TRIM(SUBSTITUTE(SUBSTITUTE(SUBSTITUTE(SUBSTITUTE(INDEX(PASTE_ALL,$DF392,$L$18)," "," "),CHAR(9)," "),CHAR(10)," "),CHAR(13)," ")))="OT",UPPER(TRIM(SUBSTITUTE(SUBSTITUTE(SUBSTITUTE(SUBSTITUTE(INDEX(PASTE_ALL,$DF392,$L$18)," "," "),CHAR(9)," "),CHAR(10)," "),CHAR(13)," ")))="OVERTIME",UPPER(TRIM(SUBSTITUTE(SUBSTITUTE(SUBSTITUTE(SUBSTITUTE(INDEX(PASTE_ALL,$DF392,$L$18)," "," "),CHAR(9)," "),CHAR(10)," "),CHAR(13)," ")))="TRIAL"),"OT",TRIM(SUBSTITUTE(SUBSTITUTE(SUBSTITUTE(SUBSTITUTE(INDEX(PASTE_ALL,$DF392,$L$18)," "," "),CHAR(9)," "),CHAR(10)," "),CHAR(13)," "))))),"")))</f>
        <v/>
      </c>
      <c r="EC392">
        <f>IF($DM392=0,"",IF($L$19=0,"",IFERROR(IF(ISNUMBER(INDEX(PASTE_ALL,$DF392,$L$19)),INDEX(PASTE_ALL,$DF392,$L$19),TRIM(SUBSTITUTE(SUBSTITUTE(SUBSTITUTE(SUBSTITUTE(INDEX(PASTE_ALL,$DF392,$L$19)," "," "),CHAR(9)," "),CHAR(10)," "),CHAR(13)," "))),"")))</f>
        <v/>
      </c>
      <c r="ED392">
        <f>IF($DM392=0,"",MATCH(1,INDEX(EXACT($DH$5:DH392,$DH392)*$DM$5:DM392,0),0))</f>
        <v/>
      </c>
      <c r="EE392">
        <f>IF($DM392=0,0,IF($ED392=$DE392,1,0))</f>
        <v/>
      </c>
      <c r="EF392">
        <f>EF391+$EE392</f>
        <v/>
      </c>
      <c r="EG392">
        <f>IF($DM392=0,"",INDEX($EF$5:$EF$1003,$ED392))</f>
        <v/>
      </c>
      <c r="EH392">
        <f>IF($DM392=0,"",IF($DO392&lt;&gt;"","",IFERROR(LOOKUP(2,1/(($EG$4:EG391=$EG392)*($DO$4:DO391&lt;&gt;"")),$DO$4:DO391),"")))</f>
        <v/>
      </c>
      <c r="EI392">
        <f>IF($DM392=0,"",IF($DO392&lt;&gt;"",$DO392,$EH392))</f>
        <v/>
      </c>
      <c r="EJ392">
        <f>IF($DM392=0,"",IF($EI392="",0,IF(OR(ISNUMBER($EI392),AND(AND(SUBSTITUTE(SUBSTITUTE(SUBSTITUTE(SUBSTITUTE(SUBSTITUTE(SUBSTITUTE(SUBSTITUTE(SUBSTITUTE(SUBSTITUTE(SUBSTITUTE(SUBSTITUTE(SUBSTITUTE(SUBSTITUTE(SUBSTITUTE(UPPER($EI392),"0",""),"1",""),"2",""),"3",""),"4",""),"5",""),"6",""),"7",""),"8",""),"9",""),".",""),"+",""),"-",""),"E","")="",LEN(SUBSTITUTE(SUBSTITUTE(MID(UPPER($EI392),1+OR(LEFT(UPPER($EI392),1)="+",LEFT(UPPER($EI392),1)="-"),999),"E+","E"),"E-","E"))=LEN(SUBSTITUTE(SUBSTITUTE(SUBSTITUTE(SUBSTITUTE(MID(UPPER($EI392),1+OR(LEFT(UPPER($EI392),1)="+",LEFT(UPPER($EI392),1)="-"),999),"E+","E"),"E-","E"),"+",""),"-","")),LEN(UPPER($EI392))-LEN(SUBSTITUTE(UPPER($EI392),"E",""))&lt;2,LEN(UPPER($EI392))-LEN(SUBSTITUTE(UPPER($EI392),".",""))&lt;2,IFERROR(FIND(".",UPPER($EI392)),0)&lt;IFERROR(FIND("E",UPPER($EI392)),999)),ISNUMBER(VALUE($EI392)))),1,2)))</f>
        <v/>
      </c>
      <c r="EK392">
        <f>IF($DM392=0,"",IF($EJ392=1,IF(ISNUMBER($EI392),$EI392,VALUE($EI392)),IF($EJ392=2,$DE392,0)))</f>
        <v/>
      </c>
      <c r="EL392">
        <f>IF($DM392=0,"",COUNTIF($EG$5:$EG$1003,"&lt;"&amp;$EG392)+SUMPRODUCT(($EG$5:$EG$1003=$EG392)*(($EJ$5:$EJ$1003&lt;$EJ392)+($EJ$5:$EJ$1003=$EJ392)*(($EK$5:$EK$1003&lt;$EK392)+($EK$5:$EK$1003=$EK392)*($DE$5:$DE$1003&lt;$DE392))))+1)</f>
        <v/>
      </c>
      <c r="EM392">
        <f>IF($DM392=0,"",$EL392+$EG392-1)</f>
        <v/>
      </c>
      <c r="EN392">
        <f>IF($DM392=0,0,IFERROR(MATCH(1,INDEX(--(TRIM(SUBSTITUTE(SUBSTITUTE(SUBSTITUTE(SUBSTITUTE(LINES_NAME&amp;""," "," "),CHAR(9)," "),CHAR(10)," "),CHAR(13)," "))=$DH392),0),0),0))</f>
        <v/>
      </c>
      <c r="EO392">
        <f>IF($EN392=0,0,IF(OR(UPPER(TRIM(INDEX(LINES_SCHEDULED,$EN392)&amp;""))="YES",UPPER(TRIM(INDEX(LINES_SCHEDULED,$EN392)&amp;""))="Y",UPPER(TRIM(INDEX(LINES_SCHEDULED,$EN392)&amp;""))="X"),1,0))</f>
        <v/>
      </c>
      <c r="EP392">
        <f>IF($DM392=0,"",IF(COUNTIFS($EG$5:$EG$1003,$EG392,$EB$5:$EB$1003,"Ready")&gt;0,"READY",IF(COUNTIFS($EG$5:$EG$1003,$EG392,$EB$5:$EB$1003,"PM")&gt;0,"PM",IF(COUNTIFS($EG$5:$EG$1003,$EG392,$EB$5:$EB$1003,"OT")&gt;0,"OT",""))))</f>
        <v/>
      </c>
      <c r="EQ392">
        <f>IF($EN392=0,"",UPPER(TRIM(INDEX(LINES_STATUS,$EN392)&amp;"")))</f>
        <v/>
      </c>
      <c r="ER392">
        <f>IF($DM392=0,"",IF(OR($EQ392="READY",$EQ392="PM",$EQ392="OT"),$EQ392,$EP392))</f>
        <v/>
      </c>
      <c r="ES392">
        <f>IF($DM392=0,"",IF(AND($DV392&lt;&gt;"",UPPER($DV392)&lt;&gt;"N"),"allergen",IF(ISNUMBER(SEARCH("oil",$DQ392)),"oil",IF(OR(EXACT($DS392,"A662"),EXACT($DS392,"A624")),"bulk",""))))</f>
        <v/>
      </c>
      <c r="ET392">
        <f>IF($DM392=0,"",IF(OR($EA392="",$EA392=0),"",$EA392/100))</f>
        <v/>
      </c>
      <c r="EU392">
        <f>IF(OR($ET392="",$DY392=""),"",INT($DY392*(1-$ET392)+0.5))</f>
        <v/>
      </c>
      <c r="EW392" t="n">
        <v>388</v>
      </c>
      <c r="EX392">
        <f>IFERROR(MATCH($EW392,$EM$5:$EM$1003,0),0)</f>
        <v/>
      </c>
      <c r="EY392">
        <f>IF($EW392&gt;$B$12,"",IF($EX392&gt;0,"row","spacer"))</f>
        <v/>
      </c>
      <c r="EZ392">
        <f>IF(AND($EY392="row",$EY391&lt;&gt;"row"),1,0)</f>
        <v/>
      </c>
      <c r="FA392">
        <f>IF(AND($EY392="row",$EY393&lt;&gt;"row"),1,0)</f>
        <v/>
      </c>
      <c r="FB392">
        <f>IF($EZ392=1,IFERROR(IF(ISNUMBER(INDEX(PASTE_ALL,INDEX($DF$5:$DF$1003,$EX392),$B$37)),INDEX(PASTE_ALL,INDEX($DF$5:$DF$1003,$EX392),$B$37),INDEX($DH$5:$DH$1003,$EX392)),INDEX($DH$5:$DH$1003,$EX392)),"")</f>
        <v/>
      </c>
      <c r="FC392">
        <f>IF($EY392="row",INDEX($ER$5:$ER$1003,$EX392),"")</f>
        <v/>
      </c>
      <c r="FD392">
        <f>IF($EY392="row",INDEX($DN$5:$DN$1003,$EX392),"")</f>
        <v/>
      </c>
      <c r="FE392">
        <f>IF($EY392="row",INDEX($DO$5:$DO$1003,$EX392),"")</f>
        <v/>
      </c>
      <c r="FF392">
        <f>IF($EY392="row",INDEX($DP$5:$DP$1003,$EX392),"")</f>
        <v/>
      </c>
      <c r="FG392">
        <f>IF($EY392="row",INDEX($DQ$5:$DQ$1003,$EX392),"")</f>
        <v/>
      </c>
      <c r="FH392">
        <f>IF($EY392="row",INDEX($DR$5:$DR$1003,$EX392),"")</f>
        <v/>
      </c>
      <c r="FI392">
        <f>IF($EY392="row",INDEX($DS$5:$DS$1003,$EX392),"")</f>
        <v/>
      </c>
      <c r="FJ392">
        <f>IF($EY392="row",INDEX($DT$5:$DT$1003,$EX392),"")</f>
        <v/>
      </c>
      <c r="FK392">
        <f>IF($EY392="row",INDEX($DU$5:$DU$1003,$EX392),"")</f>
        <v/>
      </c>
      <c r="FL392">
        <f>IF($EY392="row",INDEX($DV$5:$DV$1003,$EX392),"")</f>
        <v/>
      </c>
      <c r="FM392">
        <f>IF($EY392="row",INDEX($DW$5:$DW$1003,$EX392),"")</f>
        <v/>
      </c>
      <c r="FN392">
        <f>IF($EY392="row",INDEX($DY$5:$DY$1003,$EX392),"")</f>
        <v/>
      </c>
      <c r="FO392">
        <f>IF($EY392="row",INDEX($EA$5:$EA$1003,$EX392),"")</f>
        <v/>
      </c>
      <c r="FP392">
        <f>IF($EY392="row",INDEX($EC$5:$EC$1003,$EX392),"")</f>
        <v/>
      </c>
      <c r="FQ392">
        <f>IF($EY392="row",INDEX($ET$5:$ET$1003,$EX392),"")</f>
        <v/>
      </c>
      <c r="FR392">
        <f>IF($EY392="row",INDEX($EU$5:$EU$1003,$EX392),"")</f>
        <v/>
      </c>
      <c r="FS392">
        <f>IF(AND($EY392="row",$EY391="row"),IF(OR(INDEX($DT$5:$DT$1003,$EX391)="",INDEX($DT$5:$DT$1003,$EX392)=""),"",IF(NOT(EXACT(INDEX($DT$5:$DT$1003,$EX391),INDEX($DT$5:$DT$1003,$EX392))),"S4",IF(NOT(EXACT(INDEX($DS$5:$DS$1003,$EX391),INDEX($DS$5:$DS$1003,$EX392))),"S3",IF(NOT(EXACT(INDEX($DR$5:$DR$1003,$EX391),INDEX($DR$5:$DR$1003,$EX392))),"S1 Count Change","S1")))),"")</f>
        <v/>
      </c>
      <c r="FT392">
        <f>IF($EY392="row",INDEX($ES$5:$ES$1003,$EX392),"")</f>
        <v/>
      </c>
      <c r="FU392">
        <f>IF($EY392="row",INDEX($EO$5:$EO$1003,$EX392),0)</f>
        <v/>
      </c>
      <c r="FV392">
        <f>IF($FS392="S1 Count Change",1,0)</f>
        <v/>
      </c>
    </row>
    <row r="393">
      <c r="DA393" t="n">
        <v>389</v>
      </c>
      <c r="DB393">
        <f>IF($B$37=0,"",IFERROR(TRIM(SUBSTITUTE(SUBSTITUTE(SUBSTITUTE(SUBSTITUTE(INDEX(PASTE_ALL,389,$B$37)," "," "),CHAR(9)," "),CHAR(10)," "),CHAR(13)," ")),""))</f>
        <v/>
      </c>
      <c r="DC393">
        <f>IF(AND(389&gt;HEADER_ROW,UPPER(DB393)="LEGEND"),1,0)</f>
        <v/>
      </c>
      <c r="DE393" t="n">
        <v>389</v>
      </c>
      <c r="DF393">
        <f>HEADER_ROW+$DE393</f>
        <v/>
      </c>
      <c r="DG393">
        <f>IF(AND($DF393&lt;=1000,$DF393&lt;$B$8),1,0)</f>
        <v/>
      </c>
      <c r="DH393">
        <f>IF($DG393=1,IFERROR(INDEX($DB$5:$DB$1004,$DF393),""),"")</f>
        <v/>
      </c>
      <c r="DI393">
        <f>IF(AND($DG393=1,$DH393&lt;&gt;""),IFERROR(SUBSTITUTE(SUBSTITUTE(TRIM(SUBSTITUTE(SUBSTITUTE(SUBSTITUTE(SUBSTITUTE(IFERROR(INDEX(PASTE_ALL,$DF393,1)&amp;"","")&amp;"␟"&amp;IFERROR(INDEX(PASTE_ALL,$DF393,2)&amp;"","")&amp;"␟"&amp;IFERROR(INDEX(PASTE_ALL,$DF393,3)&amp;"","")&amp;"␟"&amp;IFERROR(INDEX(PASTE_ALL,$DF393,4)&amp;"","")&amp;"␟"&amp;IFERROR(INDEX(PASTE_ALL,$DF393,5)&amp;"","")&amp;"␟"&amp;IFERROR(INDEX(PASTE_ALL,$DF393,6)&amp;"","")&amp;"␟"&amp;IFERROR(INDEX(PASTE_ALL,$DF393,7)&amp;"","")&amp;"␟"&amp;IFERROR(INDEX(PASTE_ALL,$DF393,8)&amp;"","")&amp;"␟"&amp;IFERROR(INDEX(PASTE_ALL,$DF393,9)&amp;"","")&amp;"␟"&amp;IFERROR(INDEX(PASTE_ALL,$DF393,10)&amp;"","")&amp;"␟"&amp;IFERROR(INDEX(PASTE_ALL,$DF393,11)&amp;"","")&amp;"␟"&amp;IFERROR(INDEX(PASTE_ALL,$DF393,12)&amp;"","")&amp;"␟"&amp;IFERROR(INDEX(PASTE_ALL,$DF393,13)&amp;"","")&amp;"␟"&amp;IFERROR(INDEX(PASTE_ALL,$DF393,14)&amp;"","")&amp;"␟"&amp;IFERROR(INDEX(PASTE_ALL,$DF393,15)&amp;"","")&amp;"␟"&amp;IFERROR(INDEX(PASTE_ALL,$DF393,16)&amp;"","")&amp;"␟"&amp;IFERROR(INDEX(PASTE_ALL,$DF393,17)&amp;"","")&amp;"␟"&amp;IFERROR(INDEX(PASTE_ALL,$DF393,18)&amp;"","")&amp;"␟"&amp;IFERROR(INDEX(PASTE_ALL,$DF393,19)&amp;"","")&amp;"␟"&amp;IFERROR(INDEX(PASTE_ALL,$DF393,20)&amp;"","")&amp;"␟"&amp;IFERROR(INDEX(PASTE_ALL,$DF393,21)&amp;"","")&amp;"␟"&amp;IFERROR(INDEX(PASTE_ALL,$DF393,22)&amp;"","")&amp;"␟"&amp;IFERROR(INDEX(PASTE_ALL,$DF393,23)&amp;"","")&amp;"␟"&amp;IFERROR(INDEX(PASTE_ALL,$DF393,24)&amp;"","")&amp;"␟"&amp;IFERROR(INDEX(PASTE_ALL,$DF393,25)&amp;"","")&amp;"␟"&amp;IFERROR(INDEX(PASTE_ALL,$DF393,26)&amp;"","")&amp;"␟"&amp;IFERROR(INDEX(PASTE_ALL,$DF393,27)&amp;"","")&amp;"␟"&amp;IFERROR(INDEX(PASTE_ALL,$DF393,28)&amp;"","")&amp;"␟"&amp;IFERROR(INDEX(PASTE_ALL,$DF393,29)&amp;"","")&amp;"␟"&amp;IFERROR(INDEX(PASTE_ALL,$DF393,30)&amp;"","")&amp;"␟"&amp;IFERROR(INDEX(PASTE_ALL,$DF393,31)&amp;"","")&amp;"␟"&amp;IFERROR(INDEX(PASTE_ALL,$DF393,32)&amp;"","")&amp;"␟"&amp;IFERROR(INDEX(PASTE_ALL,$DF393,33)&amp;"","")&amp;"␟"&amp;IFERROR(INDEX(PASTE_ALL,$DF393,34)&amp;"","")&amp;"␟"&amp;IFERROR(INDEX(PASTE_ALL,$DF393,35)&amp;"","")&amp;"␟"&amp;IFERROR(INDEX(PASTE_ALL,$DF393,36)&amp;"","")&amp;"␟"&amp;IFERROR(INDEX(PASTE_ALL,$DF393,37)&amp;"","")&amp;"␟"&amp;IFERROR(INDEX(PASTE_ALL,$DF393,38)&amp;"","")&amp;"␟"&amp;IFERROR(INDEX(PASTE_ALL,$DF393,39)&amp;"","")&amp;"␟"&amp;IFERROR(INDEX(PASTE_ALL,$DF393,40)&amp;"","")&amp;"␟"&amp;IFERROR(INDEX(PASTE_ALL,$DF393,41)&amp;"","")&amp;"␟"&amp;IFERROR(INDEX(PASTE_ALL,$DF393,42)&amp;"","")&amp;"␟"&amp;IFERROR(INDEX(PASTE_ALL,$DF393,43)&amp;"","")&amp;"␟"&amp;IFERROR(INDEX(PASTE_ALL,$DF393,44)&amp;"","")&amp;"␟"&amp;IFERROR(INDEX(PASTE_ALL,$DF393,45)&amp;"","")&amp;"␟"&amp;IFERROR(INDEX(PASTE_ALL,$DF393,46)&amp;"","")&amp;"␟"&amp;IFERROR(INDEX(PASTE_ALL,$DF393,47)&amp;"","")&amp;"␟"&amp;IFERROR(INDEX(PASTE_ALL,$DF393,48)&amp;"","")&amp;"␟"&amp;IFERROR(INDEX(PASTE_ALL,$DF393,49)&amp;"","")&amp;"␟"&amp;IFERROR(INDEX(PASTE_ALL,$DF393,50)&amp;"","")&amp;"␟"&amp;IFERROR(INDEX(PASTE_ALL,$DF393,51)&amp;"","")&amp;"␟"&amp;IFERROR(INDEX(PASTE_ALL,$DF393,52)&amp;"","")&amp;"␟"&amp;IFERROR(INDEX(PASTE_ALL,$DF393,53)&amp;"","")&amp;"␟"&amp;IFERROR(INDEX(PASTE_ALL,$DF393,54)&amp;"","")&amp;"␟"&amp;IFERROR(INDEX(PASTE_ALL,$DF393,55)&amp;"","")&amp;"␟"&amp;IFERROR(INDEX(PASTE_ALL,$DF393,56)&amp;"","")&amp;"␟"&amp;IFERROR(INDEX(PASTE_ALL,$DF393,57)&amp;"","")&amp;"␟"&amp;IFERROR(INDEX(PASTE_ALL,$DF393,58)&amp;"","")&amp;"␟"&amp;IFERROR(INDEX(PASTE_ALL,$DF393,59)&amp;"","")&amp;"␟"&amp;IFERROR(INDEX(PASTE_ALL,$DF393,60)&amp;"","")," "," "),CHAR(9)," "),CHAR(10)," "),CHAR(13)," "))," ␟","␟"),"␟ ","␟"),"#"&amp;$DE393),"")</f>
        <v/>
      </c>
      <c r="DJ393">
        <f>IF($DI393="",0,IF(SUMPRODUCT(--EXACT($DI$4:DI392,$DI393))&gt;0,1,0))</f>
        <v/>
      </c>
      <c r="DK393">
        <f>IF(AND($DI393&lt;&gt;"",$DJ393=0),1,0)</f>
        <v/>
      </c>
      <c r="DL393">
        <f>DL392+$DK393</f>
        <v/>
      </c>
      <c r="DM393">
        <f>IF(AND($DK393=1,$DL393&lt;=600),1,0)</f>
        <v/>
      </c>
      <c r="DN393">
        <f>IF($DM393=0,"",IF($L$6=0,"",IFERROR(IF(ISNUMBER(INDEX(PASTE_ALL,$DF393,$L$6)),INDEX(PASTE_ALL,$DF393,$L$6),TRIM(SUBSTITUTE(SUBSTITUTE(SUBSTITUTE(SUBSTITUTE(INDEX(PASTE_ALL,$DF393,$L$6)," "," "),CHAR(9)," "),CHAR(10)," "),CHAR(13)," "))),"")))</f>
        <v/>
      </c>
      <c r="DO393">
        <f>IF($DM393=0,"",IF($L$7=0,"",IFERROR(IF(ISNUMBER(INDEX(PASTE_ALL,$DF393,$L$7)),INDEX(PASTE_ALL,$DF393,$L$7),TRIM(SUBSTITUTE(SUBSTITUTE(SUBSTITUTE(SUBSTITUTE(INDEX(PASTE_ALL,$DF393,$L$7)," "," "),CHAR(9)," "),CHAR(10)," "),CHAR(13)," "))),"")))</f>
        <v/>
      </c>
      <c r="DP393">
        <f>IF($DM393=0,"",IF($L$8=0,"",IFERROR(IF(ISNUMBER(INDEX(PASTE_ALL,$DF393,$L$8)),INDEX(PASTE_ALL,$DF393,$L$8),TRIM(SUBSTITUTE(SUBSTITUTE(SUBSTITUTE(SUBSTITUTE(INDEX(PASTE_ALL,$DF393,$L$8)," "," "),CHAR(9)," "),CHAR(10)," "),CHAR(13)," "))),"")))</f>
        <v/>
      </c>
      <c r="DQ393">
        <f>IF($DM393=0,"",IF($L$9=0,"",IFERROR(IF(ISNUMBER(INDEX(PASTE_ALL,$DF393,$L$9)),INDEX(PASTE_ALL,$DF393,$L$9),TRIM(SUBSTITUTE(SUBSTITUTE(SUBSTITUTE(SUBSTITUTE(INDEX(PASTE_ALL,$DF393,$L$9)," "," "),CHAR(9)," "),CHAR(10)," "),CHAR(13)," "))),"")))</f>
        <v/>
      </c>
      <c r="DR393">
        <f>IF($DM393=0,"",IF($L$10=0,"",IFERROR(IF(ISNUMBER(INDEX(PASTE_ALL,$DF393,$L$10)),INDEX(PASTE_ALL,$DF393,$L$10),TRIM(SUBSTITUTE(SUBSTITUTE(SUBSTITUTE(SUBSTITUTE(INDEX(PASTE_ALL,$DF393,$L$10)," "," "),CHAR(9)," "),CHAR(10)," "),CHAR(13)," "))),"")))</f>
        <v/>
      </c>
      <c r="DS393">
        <f>IF($DM393=0,"",IF($L$11=0,"",IFERROR(IF(ISNUMBER(INDEX(PASTE_ALL,$DF393,$L$11)),INDEX(PASTE_ALL,$DF393,$L$11),TRIM(SUBSTITUTE(SUBSTITUTE(SUBSTITUTE(SUBSTITUTE(INDEX(PASTE_ALL,$DF393,$L$11)," "," "),CHAR(9)," "),CHAR(10)," "),CHAR(13)," "))),"")))</f>
        <v/>
      </c>
      <c r="DT393">
        <f>IF($DM393=0,"",IF($L$12=0,"",IFERROR(IF(ISNUMBER(INDEX(PASTE_ALL,$DF393,$L$12)),INDEX(PASTE_ALL,$DF393,$L$12),TRIM(SUBSTITUTE(SUBSTITUTE(SUBSTITUTE(SUBSTITUTE(INDEX(PASTE_ALL,$DF393,$L$12)," "," "),CHAR(9)," "),CHAR(10)," "),CHAR(13)," "))),"")))</f>
        <v/>
      </c>
      <c r="DU393">
        <f>IF($DM393=0,"",IF($L$13=0,"",IFERROR(IF(ISNUMBER(INDEX(PASTE_ALL,$DF393,$L$13)),INDEX(PASTE_ALL,$DF393,$L$13),TRIM(SUBSTITUTE(SUBSTITUTE(SUBSTITUTE(SUBSTITUTE(INDEX(PASTE_ALL,$DF393,$L$13)," "," "),CHAR(9)," "),CHAR(10)," "),CHAR(13)," "))),"")))</f>
        <v/>
      </c>
      <c r="DV393">
        <f>IF($DM393=0,"",IF($L$14=0,"",IFERROR(IF(ISNUMBER(INDEX(PASTE_ALL,$DF393,$L$14)),INDEX(PASTE_ALL,$DF393,$L$14),TRIM(SUBSTITUTE(SUBSTITUTE(SUBSTITUTE(SUBSTITUTE(INDEX(PASTE_ALL,$DF393,$L$14)," "," "),CHAR(9)," "),CHAR(10)," "),CHAR(13)," "))),"")))</f>
        <v/>
      </c>
      <c r="DW393">
        <f>IF($DM393=0,"",IF($L$15=0,"",IFERROR(IF(ISNUMBER(INDEX(PASTE_ALL,$DF393,$L$15)),INDEX(PASTE_ALL,$DF393,$L$15),IF(SUMPRODUCT(--ISNUMBER(FIND({"A","B","C","D","E","F","G","H","I","J","K","L","M","N","O","P","Q","R","S","T","U","V","W","X","Y","Z","0","1","2","3","4","5","6","7","8","9"},UPPER(TRIM(SUBSTITUTE(SUBSTITUTE(SUBSTITUTE(SUBSTITUTE(INDEX(PASTE_ALL,$DF393,$L$15)," "," "),CHAR(9)," "),CHAR(10)," "),CHAR(13)," "))))))&gt;0,TRIM(SUBSTITUTE(SUBSTITUTE(SUBSTITUTE(SUBSTITUTE(INDEX(PASTE_ALL,$DF393,$L$15)," "," "),CHAR(9)," "),CHAR(10)," "),CHAR(13)," ")),"")),"")))</f>
        <v/>
      </c>
      <c r="DX393">
        <f>IF($DM393=0,"",IF($L$16=0,"",IFERROR(IF(ISNUMBER(INDEX(PASTE_ALL,$DF393,$L$16)),INDEX(PASTE_ALL,$DF393,$L$16),SUBSTITUTE(SUBSTITUTE(TRIM(SUBSTITUTE(SUBSTITUTE(SUBSTITUTE(SUBSTITUTE(INDEX(PASTE_ALL,$DF393,$L$16)," "," "),CHAR(9)," "),CHAR(10)," "),CHAR(13)," ")),",",""),"%","")),"")))</f>
        <v/>
      </c>
      <c r="DY393">
        <f>IF($DM393=0,"",IFERROR(IF(ISNUMBER($DX393),$DX393,IF($DX393="","",IF(TRIM($DX393)="",0,IF(AND(AND(SUBSTITUTE(SUBSTITUTE(SUBSTITUTE(SUBSTITUTE(SUBSTITUTE(SUBSTITUTE(SUBSTITUTE(SUBSTITUTE(SUBSTITUTE(SUBSTITUTE(SUBSTITUTE(SUBSTITUTE(SUBSTITUTE(SUBSTITUTE(UPPER(TRIM($DX393)),"0",""),"1",""),"2",""),"3",""),"4",""),"5",""),"6",""),"7",""),"8",""),"9",""),".",""),"+",""),"-",""),"E","")="",LEN(SUBSTITUTE(SUBSTITUTE(MID(UPPER(TRIM($DX393)),1+OR(LEFT(UPPER(TRIM($DX393)),1)="+",LEFT(UPPER(TRIM($DX393)),1)="-"),999),"E+","E"),"E-","E"))=LEN(SUBSTITUTE(SUBSTITUTE(SUBSTITUTE(SUBSTITUTE(MID(UPPER(TRIM($DX393)),1+OR(LEFT(UPPER(TRIM($DX393)),1)="+",LEFT(UPPER(TRIM($DX393)),1)="-"),999),"E+","E"),"E-","E"),"+",""),"-","")),LEN(UPPER(TRIM($DX393)))-LEN(SUBSTITUTE(UPPER(TRIM($DX393)),"E",""))&lt;2,LEN(UPPER(TRIM($DX393)))-LEN(SUBSTITUTE(UPPER(TRIM($DX393)),".",""))&lt;2,IFERROR(FIND(".",UPPER(TRIM($DX393))),0)&lt;IFERROR(FIND("E",UPPER(TRIM($DX393))),999)),ISNUMBER(VALUE(TRIM($DX393)))),VALUE(TRIM($DX393)),"")))),""))</f>
        <v/>
      </c>
      <c r="DZ393">
        <f>IF($DM393=0,"",IF($L$17=0,"",IFERROR(IF(ISNUMBER(INDEX(PASTE_ALL,$DF393,$L$17)),INDEX(PASTE_ALL,$DF393,$L$17),SUBSTITUTE(SUBSTITUTE(TRIM(SUBSTITUTE(SUBSTITUTE(SUBSTITUTE(SUBSTITUTE(INDEX(PASTE_ALL,$DF393,$L$17)," "," "),CHAR(9)," "),CHAR(10)," "),CHAR(13)," ")),",",""),"%","")),"")))</f>
        <v/>
      </c>
      <c r="EA393">
        <f>IF($DM393=0,"",IFERROR(IF(ISNUMBER($DZ393),$DZ393,IF($DZ393="","",IF(TRIM($DZ393)="",0,IF(AND(AND(SUBSTITUTE(SUBSTITUTE(SUBSTITUTE(SUBSTITUTE(SUBSTITUTE(SUBSTITUTE(SUBSTITUTE(SUBSTITUTE(SUBSTITUTE(SUBSTITUTE(SUBSTITUTE(SUBSTITUTE(SUBSTITUTE(SUBSTITUTE(UPPER(TRIM($DZ393)),"0",""),"1",""),"2",""),"3",""),"4",""),"5",""),"6",""),"7",""),"8",""),"9",""),".",""),"+",""),"-",""),"E","")="",LEN(SUBSTITUTE(SUBSTITUTE(MID(UPPER(TRIM($DZ393)),1+OR(LEFT(UPPER(TRIM($DZ393)),1)="+",LEFT(UPPER(TRIM($DZ393)),1)="-"),999),"E+","E"),"E-","E"))=LEN(SUBSTITUTE(SUBSTITUTE(SUBSTITUTE(SUBSTITUTE(MID(UPPER(TRIM($DZ393)),1+OR(LEFT(UPPER(TRIM($DZ393)),1)="+",LEFT(UPPER(TRIM($DZ393)),1)="-"),999),"E+","E"),"E-","E"),"+",""),"-","")),LEN(UPPER(TRIM($DZ393)))-LEN(SUBSTITUTE(UPPER(TRIM($DZ393)),"E",""))&lt;2,LEN(UPPER(TRIM($DZ393)))-LEN(SUBSTITUTE(UPPER(TRIM($DZ393)),".",""))&lt;2,IFERROR(FIND(".",UPPER(TRIM($DZ393))),0)&lt;IFERROR(FIND("E",UPPER(TRIM($DZ393))),999)),ISNUMBER(VALUE(TRIM($DZ393)))),VALUE(TRIM($DZ393)),"")))),""))</f>
        <v/>
      </c>
      <c r="EB393">
        <f>IF($DM393=0,"",IF($L$18=0,"",IFERROR(IF(UPPER(TRIM(SUBSTITUTE(SUBSTITUTE(SUBSTITUTE(SUBSTITUTE(INDEX(PASTE_ALL,$DF393,$L$18)," "," "),CHAR(9)," "),CHAR(10)," "),CHAR(13)," ")))="READY","Ready",IF(UPPER(TRIM(SUBSTITUTE(SUBSTITUTE(SUBSTITUTE(SUBSTITUTE(INDEX(PASTE_ALL,$DF393,$L$18)," "," "),CHAR(9)," "),CHAR(10)," "),CHAR(13)," ")))="PM","PM",IF(OR(UPPER(TRIM(SUBSTITUTE(SUBSTITUTE(SUBSTITUTE(SUBSTITUTE(INDEX(PASTE_ALL,$DF393,$L$18)," "," "),CHAR(9)," "),CHAR(10)," "),CHAR(13)," ")))="OT",UPPER(TRIM(SUBSTITUTE(SUBSTITUTE(SUBSTITUTE(SUBSTITUTE(INDEX(PASTE_ALL,$DF393,$L$18)," "," "),CHAR(9)," "),CHAR(10)," "),CHAR(13)," ")))="OVERTIME",UPPER(TRIM(SUBSTITUTE(SUBSTITUTE(SUBSTITUTE(SUBSTITUTE(INDEX(PASTE_ALL,$DF393,$L$18)," "," "),CHAR(9)," "),CHAR(10)," "),CHAR(13)," ")))="TRIAL"),"OT",TRIM(SUBSTITUTE(SUBSTITUTE(SUBSTITUTE(SUBSTITUTE(INDEX(PASTE_ALL,$DF393,$L$18)," "," "),CHAR(9)," "),CHAR(10)," "),CHAR(13)," "))))),"")))</f>
        <v/>
      </c>
      <c r="EC393">
        <f>IF($DM393=0,"",IF($L$19=0,"",IFERROR(IF(ISNUMBER(INDEX(PASTE_ALL,$DF393,$L$19)),INDEX(PASTE_ALL,$DF393,$L$19),TRIM(SUBSTITUTE(SUBSTITUTE(SUBSTITUTE(SUBSTITUTE(INDEX(PASTE_ALL,$DF393,$L$19)," "," "),CHAR(9)," "),CHAR(10)," "),CHAR(13)," "))),"")))</f>
        <v/>
      </c>
      <c r="ED393">
        <f>IF($DM393=0,"",MATCH(1,INDEX(EXACT($DH$5:DH393,$DH393)*$DM$5:DM393,0),0))</f>
        <v/>
      </c>
      <c r="EE393">
        <f>IF($DM393=0,0,IF($ED393=$DE393,1,0))</f>
        <v/>
      </c>
      <c r="EF393">
        <f>EF392+$EE393</f>
        <v/>
      </c>
      <c r="EG393">
        <f>IF($DM393=0,"",INDEX($EF$5:$EF$1003,$ED393))</f>
        <v/>
      </c>
      <c r="EH393">
        <f>IF($DM393=0,"",IF($DO393&lt;&gt;"","",IFERROR(LOOKUP(2,1/(($EG$4:EG392=$EG393)*($DO$4:DO392&lt;&gt;"")),$DO$4:DO392),"")))</f>
        <v/>
      </c>
      <c r="EI393">
        <f>IF($DM393=0,"",IF($DO393&lt;&gt;"",$DO393,$EH393))</f>
        <v/>
      </c>
      <c r="EJ393">
        <f>IF($DM393=0,"",IF($EI393="",0,IF(OR(ISNUMBER($EI393),AND(AND(SUBSTITUTE(SUBSTITUTE(SUBSTITUTE(SUBSTITUTE(SUBSTITUTE(SUBSTITUTE(SUBSTITUTE(SUBSTITUTE(SUBSTITUTE(SUBSTITUTE(SUBSTITUTE(SUBSTITUTE(SUBSTITUTE(SUBSTITUTE(UPPER($EI393),"0",""),"1",""),"2",""),"3",""),"4",""),"5",""),"6",""),"7",""),"8",""),"9",""),".",""),"+",""),"-",""),"E","")="",LEN(SUBSTITUTE(SUBSTITUTE(MID(UPPER($EI393),1+OR(LEFT(UPPER($EI393),1)="+",LEFT(UPPER($EI393),1)="-"),999),"E+","E"),"E-","E"))=LEN(SUBSTITUTE(SUBSTITUTE(SUBSTITUTE(SUBSTITUTE(MID(UPPER($EI393),1+OR(LEFT(UPPER($EI393),1)="+",LEFT(UPPER($EI393),1)="-"),999),"E+","E"),"E-","E"),"+",""),"-","")),LEN(UPPER($EI393))-LEN(SUBSTITUTE(UPPER($EI393),"E",""))&lt;2,LEN(UPPER($EI393))-LEN(SUBSTITUTE(UPPER($EI393),".",""))&lt;2,IFERROR(FIND(".",UPPER($EI393)),0)&lt;IFERROR(FIND("E",UPPER($EI393)),999)),ISNUMBER(VALUE($EI393)))),1,2)))</f>
        <v/>
      </c>
      <c r="EK393">
        <f>IF($DM393=0,"",IF($EJ393=1,IF(ISNUMBER($EI393),$EI393,VALUE($EI393)),IF($EJ393=2,$DE393,0)))</f>
        <v/>
      </c>
      <c r="EL393">
        <f>IF($DM393=0,"",COUNTIF($EG$5:$EG$1003,"&lt;"&amp;$EG393)+SUMPRODUCT(($EG$5:$EG$1003=$EG393)*(($EJ$5:$EJ$1003&lt;$EJ393)+($EJ$5:$EJ$1003=$EJ393)*(($EK$5:$EK$1003&lt;$EK393)+($EK$5:$EK$1003=$EK393)*($DE$5:$DE$1003&lt;$DE393))))+1)</f>
        <v/>
      </c>
      <c r="EM393">
        <f>IF($DM393=0,"",$EL393+$EG393-1)</f>
        <v/>
      </c>
      <c r="EN393">
        <f>IF($DM393=0,0,IFERROR(MATCH(1,INDEX(--(TRIM(SUBSTITUTE(SUBSTITUTE(SUBSTITUTE(SUBSTITUTE(LINES_NAME&amp;""," "," "),CHAR(9)," "),CHAR(10)," "),CHAR(13)," "))=$DH393),0),0),0))</f>
        <v/>
      </c>
      <c r="EO393">
        <f>IF($EN393=0,0,IF(OR(UPPER(TRIM(INDEX(LINES_SCHEDULED,$EN393)&amp;""))="YES",UPPER(TRIM(INDEX(LINES_SCHEDULED,$EN393)&amp;""))="Y",UPPER(TRIM(INDEX(LINES_SCHEDULED,$EN393)&amp;""))="X"),1,0))</f>
        <v/>
      </c>
      <c r="EP393">
        <f>IF($DM393=0,"",IF(COUNTIFS($EG$5:$EG$1003,$EG393,$EB$5:$EB$1003,"Ready")&gt;0,"READY",IF(COUNTIFS($EG$5:$EG$1003,$EG393,$EB$5:$EB$1003,"PM")&gt;0,"PM",IF(COUNTIFS($EG$5:$EG$1003,$EG393,$EB$5:$EB$1003,"OT")&gt;0,"OT",""))))</f>
        <v/>
      </c>
      <c r="EQ393">
        <f>IF($EN393=0,"",UPPER(TRIM(INDEX(LINES_STATUS,$EN393)&amp;"")))</f>
        <v/>
      </c>
      <c r="ER393">
        <f>IF($DM393=0,"",IF(OR($EQ393="READY",$EQ393="PM",$EQ393="OT"),$EQ393,$EP393))</f>
        <v/>
      </c>
      <c r="ES393">
        <f>IF($DM393=0,"",IF(AND($DV393&lt;&gt;"",UPPER($DV393)&lt;&gt;"N"),"allergen",IF(ISNUMBER(SEARCH("oil",$DQ393)),"oil",IF(OR(EXACT($DS393,"A662"),EXACT($DS393,"A624")),"bulk",""))))</f>
        <v/>
      </c>
      <c r="ET393">
        <f>IF($DM393=0,"",IF(OR($EA393="",$EA393=0),"",$EA393/100))</f>
        <v/>
      </c>
      <c r="EU393">
        <f>IF(OR($ET393="",$DY393=""),"",INT($DY393*(1-$ET393)+0.5))</f>
        <v/>
      </c>
      <c r="EW393" t="n">
        <v>389</v>
      </c>
      <c r="EX393">
        <f>IFERROR(MATCH($EW393,$EM$5:$EM$1003,0),0)</f>
        <v/>
      </c>
      <c r="EY393">
        <f>IF($EW393&gt;$B$12,"",IF($EX393&gt;0,"row","spacer"))</f>
        <v/>
      </c>
      <c r="EZ393">
        <f>IF(AND($EY393="row",$EY392&lt;&gt;"row"),1,0)</f>
        <v/>
      </c>
      <c r="FA393">
        <f>IF(AND($EY393="row",$EY394&lt;&gt;"row"),1,0)</f>
        <v/>
      </c>
      <c r="FB393">
        <f>IF($EZ393=1,IFERROR(IF(ISNUMBER(INDEX(PASTE_ALL,INDEX($DF$5:$DF$1003,$EX393),$B$37)),INDEX(PASTE_ALL,INDEX($DF$5:$DF$1003,$EX393),$B$37),INDEX($DH$5:$DH$1003,$EX393)),INDEX($DH$5:$DH$1003,$EX393)),"")</f>
        <v/>
      </c>
      <c r="FC393">
        <f>IF($EY393="row",INDEX($ER$5:$ER$1003,$EX393),"")</f>
        <v/>
      </c>
      <c r="FD393">
        <f>IF($EY393="row",INDEX($DN$5:$DN$1003,$EX393),"")</f>
        <v/>
      </c>
      <c r="FE393">
        <f>IF($EY393="row",INDEX($DO$5:$DO$1003,$EX393),"")</f>
        <v/>
      </c>
      <c r="FF393">
        <f>IF($EY393="row",INDEX($DP$5:$DP$1003,$EX393),"")</f>
        <v/>
      </c>
      <c r="FG393">
        <f>IF($EY393="row",INDEX($DQ$5:$DQ$1003,$EX393),"")</f>
        <v/>
      </c>
      <c r="FH393">
        <f>IF($EY393="row",INDEX($DR$5:$DR$1003,$EX393),"")</f>
        <v/>
      </c>
      <c r="FI393">
        <f>IF($EY393="row",INDEX($DS$5:$DS$1003,$EX393),"")</f>
        <v/>
      </c>
      <c r="FJ393">
        <f>IF($EY393="row",INDEX($DT$5:$DT$1003,$EX393),"")</f>
        <v/>
      </c>
      <c r="FK393">
        <f>IF($EY393="row",INDEX($DU$5:$DU$1003,$EX393),"")</f>
        <v/>
      </c>
      <c r="FL393">
        <f>IF($EY393="row",INDEX($DV$5:$DV$1003,$EX393),"")</f>
        <v/>
      </c>
      <c r="FM393">
        <f>IF($EY393="row",INDEX($DW$5:$DW$1003,$EX393),"")</f>
        <v/>
      </c>
      <c r="FN393">
        <f>IF($EY393="row",INDEX($DY$5:$DY$1003,$EX393),"")</f>
        <v/>
      </c>
      <c r="FO393">
        <f>IF($EY393="row",INDEX($EA$5:$EA$1003,$EX393),"")</f>
        <v/>
      </c>
      <c r="FP393">
        <f>IF($EY393="row",INDEX($EC$5:$EC$1003,$EX393),"")</f>
        <v/>
      </c>
      <c r="FQ393">
        <f>IF($EY393="row",INDEX($ET$5:$ET$1003,$EX393),"")</f>
        <v/>
      </c>
      <c r="FR393">
        <f>IF($EY393="row",INDEX($EU$5:$EU$1003,$EX393),"")</f>
        <v/>
      </c>
      <c r="FS393">
        <f>IF(AND($EY393="row",$EY392="row"),IF(OR(INDEX($DT$5:$DT$1003,$EX392)="",INDEX($DT$5:$DT$1003,$EX393)=""),"",IF(NOT(EXACT(INDEX($DT$5:$DT$1003,$EX392),INDEX($DT$5:$DT$1003,$EX393))),"S4",IF(NOT(EXACT(INDEX($DS$5:$DS$1003,$EX392),INDEX($DS$5:$DS$1003,$EX393))),"S3",IF(NOT(EXACT(INDEX($DR$5:$DR$1003,$EX392),INDEX($DR$5:$DR$1003,$EX393))),"S1 Count Change","S1")))),"")</f>
        <v/>
      </c>
      <c r="FT393">
        <f>IF($EY393="row",INDEX($ES$5:$ES$1003,$EX393),"")</f>
        <v/>
      </c>
      <c r="FU393">
        <f>IF($EY393="row",INDEX($EO$5:$EO$1003,$EX393),0)</f>
        <v/>
      </c>
      <c r="FV393">
        <f>IF($FS393="S1 Count Change",1,0)</f>
        <v/>
      </c>
    </row>
    <row r="394">
      <c r="DA394" t="n">
        <v>390</v>
      </c>
      <c r="DB394">
        <f>IF($B$37=0,"",IFERROR(TRIM(SUBSTITUTE(SUBSTITUTE(SUBSTITUTE(SUBSTITUTE(INDEX(PASTE_ALL,390,$B$37)," "," "),CHAR(9)," "),CHAR(10)," "),CHAR(13)," ")),""))</f>
        <v/>
      </c>
      <c r="DC394">
        <f>IF(AND(390&gt;HEADER_ROW,UPPER(DB394)="LEGEND"),1,0)</f>
        <v/>
      </c>
      <c r="DE394" t="n">
        <v>390</v>
      </c>
      <c r="DF394">
        <f>HEADER_ROW+$DE394</f>
        <v/>
      </c>
      <c r="DG394">
        <f>IF(AND($DF394&lt;=1000,$DF394&lt;$B$8),1,0)</f>
        <v/>
      </c>
      <c r="DH394">
        <f>IF($DG394=1,IFERROR(INDEX($DB$5:$DB$1004,$DF394),""),"")</f>
        <v/>
      </c>
      <c r="DI394">
        <f>IF(AND($DG394=1,$DH394&lt;&gt;""),IFERROR(SUBSTITUTE(SUBSTITUTE(TRIM(SUBSTITUTE(SUBSTITUTE(SUBSTITUTE(SUBSTITUTE(IFERROR(INDEX(PASTE_ALL,$DF394,1)&amp;"","")&amp;"␟"&amp;IFERROR(INDEX(PASTE_ALL,$DF394,2)&amp;"","")&amp;"␟"&amp;IFERROR(INDEX(PASTE_ALL,$DF394,3)&amp;"","")&amp;"␟"&amp;IFERROR(INDEX(PASTE_ALL,$DF394,4)&amp;"","")&amp;"␟"&amp;IFERROR(INDEX(PASTE_ALL,$DF394,5)&amp;"","")&amp;"␟"&amp;IFERROR(INDEX(PASTE_ALL,$DF394,6)&amp;"","")&amp;"␟"&amp;IFERROR(INDEX(PASTE_ALL,$DF394,7)&amp;"","")&amp;"␟"&amp;IFERROR(INDEX(PASTE_ALL,$DF394,8)&amp;"","")&amp;"␟"&amp;IFERROR(INDEX(PASTE_ALL,$DF394,9)&amp;"","")&amp;"␟"&amp;IFERROR(INDEX(PASTE_ALL,$DF394,10)&amp;"","")&amp;"␟"&amp;IFERROR(INDEX(PASTE_ALL,$DF394,11)&amp;"","")&amp;"␟"&amp;IFERROR(INDEX(PASTE_ALL,$DF394,12)&amp;"","")&amp;"␟"&amp;IFERROR(INDEX(PASTE_ALL,$DF394,13)&amp;"","")&amp;"␟"&amp;IFERROR(INDEX(PASTE_ALL,$DF394,14)&amp;"","")&amp;"␟"&amp;IFERROR(INDEX(PASTE_ALL,$DF394,15)&amp;"","")&amp;"␟"&amp;IFERROR(INDEX(PASTE_ALL,$DF394,16)&amp;"","")&amp;"␟"&amp;IFERROR(INDEX(PASTE_ALL,$DF394,17)&amp;"","")&amp;"␟"&amp;IFERROR(INDEX(PASTE_ALL,$DF394,18)&amp;"","")&amp;"␟"&amp;IFERROR(INDEX(PASTE_ALL,$DF394,19)&amp;"","")&amp;"␟"&amp;IFERROR(INDEX(PASTE_ALL,$DF394,20)&amp;"","")&amp;"␟"&amp;IFERROR(INDEX(PASTE_ALL,$DF394,21)&amp;"","")&amp;"␟"&amp;IFERROR(INDEX(PASTE_ALL,$DF394,22)&amp;"","")&amp;"␟"&amp;IFERROR(INDEX(PASTE_ALL,$DF394,23)&amp;"","")&amp;"␟"&amp;IFERROR(INDEX(PASTE_ALL,$DF394,24)&amp;"","")&amp;"␟"&amp;IFERROR(INDEX(PASTE_ALL,$DF394,25)&amp;"","")&amp;"␟"&amp;IFERROR(INDEX(PASTE_ALL,$DF394,26)&amp;"","")&amp;"␟"&amp;IFERROR(INDEX(PASTE_ALL,$DF394,27)&amp;"","")&amp;"␟"&amp;IFERROR(INDEX(PASTE_ALL,$DF394,28)&amp;"","")&amp;"␟"&amp;IFERROR(INDEX(PASTE_ALL,$DF394,29)&amp;"","")&amp;"␟"&amp;IFERROR(INDEX(PASTE_ALL,$DF394,30)&amp;"","")&amp;"␟"&amp;IFERROR(INDEX(PASTE_ALL,$DF394,31)&amp;"","")&amp;"␟"&amp;IFERROR(INDEX(PASTE_ALL,$DF394,32)&amp;"","")&amp;"␟"&amp;IFERROR(INDEX(PASTE_ALL,$DF394,33)&amp;"","")&amp;"␟"&amp;IFERROR(INDEX(PASTE_ALL,$DF394,34)&amp;"","")&amp;"␟"&amp;IFERROR(INDEX(PASTE_ALL,$DF394,35)&amp;"","")&amp;"␟"&amp;IFERROR(INDEX(PASTE_ALL,$DF394,36)&amp;"","")&amp;"␟"&amp;IFERROR(INDEX(PASTE_ALL,$DF394,37)&amp;"","")&amp;"␟"&amp;IFERROR(INDEX(PASTE_ALL,$DF394,38)&amp;"","")&amp;"␟"&amp;IFERROR(INDEX(PASTE_ALL,$DF394,39)&amp;"","")&amp;"␟"&amp;IFERROR(INDEX(PASTE_ALL,$DF394,40)&amp;"","")&amp;"␟"&amp;IFERROR(INDEX(PASTE_ALL,$DF394,41)&amp;"","")&amp;"␟"&amp;IFERROR(INDEX(PASTE_ALL,$DF394,42)&amp;"","")&amp;"␟"&amp;IFERROR(INDEX(PASTE_ALL,$DF394,43)&amp;"","")&amp;"␟"&amp;IFERROR(INDEX(PASTE_ALL,$DF394,44)&amp;"","")&amp;"␟"&amp;IFERROR(INDEX(PASTE_ALL,$DF394,45)&amp;"","")&amp;"␟"&amp;IFERROR(INDEX(PASTE_ALL,$DF394,46)&amp;"","")&amp;"␟"&amp;IFERROR(INDEX(PASTE_ALL,$DF394,47)&amp;"","")&amp;"␟"&amp;IFERROR(INDEX(PASTE_ALL,$DF394,48)&amp;"","")&amp;"␟"&amp;IFERROR(INDEX(PASTE_ALL,$DF394,49)&amp;"","")&amp;"␟"&amp;IFERROR(INDEX(PASTE_ALL,$DF394,50)&amp;"","")&amp;"␟"&amp;IFERROR(INDEX(PASTE_ALL,$DF394,51)&amp;"","")&amp;"␟"&amp;IFERROR(INDEX(PASTE_ALL,$DF394,52)&amp;"","")&amp;"␟"&amp;IFERROR(INDEX(PASTE_ALL,$DF394,53)&amp;"","")&amp;"␟"&amp;IFERROR(INDEX(PASTE_ALL,$DF394,54)&amp;"","")&amp;"␟"&amp;IFERROR(INDEX(PASTE_ALL,$DF394,55)&amp;"","")&amp;"␟"&amp;IFERROR(INDEX(PASTE_ALL,$DF394,56)&amp;"","")&amp;"␟"&amp;IFERROR(INDEX(PASTE_ALL,$DF394,57)&amp;"","")&amp;"␟"&amp;IFERROR(INDEX(PASTE_ALL,$DF394,58)&amp;"","")&amp;"␟"&amp;IFERROR(INDEX(PASTE_ALL,$DF394,59)&amp;"","")&amp;"␟"&amp;IFERROR(INDEX(PASTE_ALL,$DF394,60)&amp;"","")," "," "),CHAR(9)," "),CHAR(10)," "),CHAR(13)," "))," ␟","␟"),"␟ ","␟"),"#"&amp;$DE394),"")</f>
        <v/>
      </c>
      <c r="DJ394">
        <f>IF($DI394="",0,IF(SUMPRODUCT(--EXACT($DI$4:DI393,$DI394))&gt;0,1,0))</f>
        <v/>
      </c>
      <c r="DK394">
        <f>IF(AND($DI394&lt;&gt;"",$DJ394=0),1,0)</f>
        <v/>
      </c>
      <c r="DL394">
        <f>DL393+$DK394</f>
        <v/>
      </c>
      <c r="DM394">
        <f>IF(AND($DK394=1,$DL394&lt;=600),1,0)</f>
        <v/>
      </c>
      <c r="DN394">
        <f>IF($DM394=0,"",IF($L$6=0,"",IFERROR(IF(ISNUMBER(INDEX(PASTE_ALL,$DF394,$L$6)),INDEX(PASTE_ALL,$DF394,$L$6),TRIM(SUBSTITUTE(SUBSTITUTE(SUBSTITUTE(SUBSTITUTE(INDEX(PASTE_ALL,$DF394,$L$6)," "," "),CHAR(9)," "),CHAR(10)," "),CHAR(13)," "))),"")))</f>
        <v/>
      </c>
      <c r="DO394">
        <f>IF($DM394=0,"",IF($L$7=0,"",IFERROR(IF(ISNUMBER(INDEX(PASTE_ALL,$DF394,$L$7)),INDEX(PASTE_ALL,$DF394,$L$7),TRIM(SUBSTITUTE(SUBSTITUTE(SUBSTITUTE(SUBSTITUTE(INDEX(PASTE_ALL,$DF394,$L$7)," "," "),CHAR(9)," "),CHAR(10)," "),CHAR(13)," "))),"")))</f>
        <v/>
      </c>
      <c r="DP394">
        <f>IF($DM394=0,"",IF($L$8=0,"",IFERROR(IF(ISNUMBER(INDEX(PASTE_ALL,$DF394,$L$8)),INDEX(PASTE_ALL,$DF394,$L$8),TRIM(SUBSTITUTE(SUBSTITUTE(SUBSTITUTE(SUBSTITUTE(INDEX(PASTE_ALL,$DF394,$L$8)," "," "),CHAR(9)," "),CHAR(10)," "),CHAR(13)," "))),"")))</f>
        <v/>
      </c>
      <c r="DQ394">
        <f>IF($DM394=0,"",IF($L$9=0,"",IFERROR(IF(ISNUMBER(INDEX(PASTE_ALL,$DF394,$L$9)),INDEX(PASTE_ALL,$DF394,$L$9),TRIM(SUBSTITUTE(SUBSTITUTE(SUBSTITUTE(SUBSTITUTE(INDEX(PASTE_ALL,$DF394,$L$9)," "," "),CHAR(9)," "),CHAR(10)," "),CHAR(13)," "))),"")))</f>
        <v/>
      </c>
      <c r="DR394">
        <f>IF($DM394=0,"",IF($L$10=0,"",IFERROR(IF(ISNUMBER(INDEX(PASTE_ALL,$DF394,$L$10)),INDEX(PASTE_ALL,$DF394,$L$10),TRIM(SUBSTITUTE(SUBSTITUTE(SUBSTITUTE(SUBSTITUTE(INDEX(PASTE_ALL,$DF394,$L$10)," "," "),CHAR(9)," "),CHAR(10)," "),CHAR(13)," "))),"")))</f>
        <v/>
      </c>
      <c r="DS394">
        <f>IF($DM394=0,"",IF($L$11=0,"",IFERROR(IF(ISNUMBER(INDEX(PASTE_ALL,$DF394,$L$11)),INDEX(PASTE_ALL,$DF394,$L$11),TRIM(SUBSTITUTE(SUBSTITUTE(SUBSTITUTE(SUBSTITUTE(INDEX(PASTE_ALL,$DF394,$L$11)," "," "),CHAR(9)," "),CHAR(10)," "),CHAR(13)," "))),"")))</f>
        <v/>
      </c>
      <c r="DT394">
        <f>IF($DM394=0,"",IF($L$12=0,"",IFERROR(IF(ISNUMBER(INDEX(PASTE_ALL,$DF394,$L$12)),INDEX(PASTE_ALL,$DF394,$L$12),TRIM(SUBSTITUTE(SUBSTITUTE(SUBSTITUTE(SUBSTITUTE(INDEX(PASTE_ALL,$DF394,$L$12)," "," "),CHAR(9)," "),CHAR(10)," "),CHAR(13)," "))),"")))</f>
        <v/>
      </c>
      <c r="DU394">
        <f>IF($DM394=0,"",IF($L$13=0,"",IFERROR(IF(ISNUMBER(INDEX(PASTE_ALL,$DF394,$L$13)),INDEX(PASTE_ALL,$DF394,$L$13),TRIM(SUBSTITUTE(SUBSTITUTE(SUBSTITUTE(SUBSTITUTE(INDEX(PASTE_ALL,$DF394,$L$13)," "," "),CHAR(9)," "),CHAR(10)," "),CHAR(13)," "))),"")))</f>
        <v/>
      </c>
      <c r="DV394">
        <f>IF($DM394=0,"",IF($L$14=0,"",IFERROR(IF(ISNUMBER(INDEX(PASTE_ALL,$DF394,$L$14)),INDEX(PASTE_ALL,$DF394,$L$14),TRIM(SUBSTITUTE(SUBSTITUTE(SUBSTITUTE(SUBSTITUTE(INDEX(PASTE_ALL,$DF394,$L$14)," "," "),CHAR(9)," "),CHAR(10)," "),CHAR(13)," "))),"")))</f>
        <v/>
      </c>
      <c r="DW394">
        <f>IF($DM394=0,"",IF($L$15=0,"",IFERROR(IF(ISNUMBER(INDEX(PASTE_ALL,$DF394,$L$15)),INDEX(PASTE_ALL,$DF394,$L$15),IF(SUMPRODUCT(--ISNUMBER(FIND({"A","B","C","D","E","F","G","H","I","J","K","L","M","N","O","P","Q","R","S","T","U","V","W","X","Y","Z","0","1","2","3","4","5","6","7","8","9"},UPPER(TRIM(SUBSTITUTE(SUBSTITUTE(SUBSTITUTE(SUBSTITUTE(INDEX(PASTE_ALL,$DF394,$L$15)," "," "),CHAR(9)," "),CHAR(10)," "),CHAR(13)," "))))))&gt;0,TRIM(SUBSTITUTE(SUBSTITUTE(SUBSTITUTE(SUBSTITUTE(INDEX(PASTE_ALL,$DF394,$L$15)," "," "),CHAR(9)," "),CHAR(10)," "),CHAR(13)," ")),"")),"")))</f>
        <v/>
      </c>
      <c r="DX394">
        <f>IF($DM394=0,"",IF($L$16=0,"",IFERROR(IF(ISNUMBER(INDEX(PASTE_ALL,$DF394,$L$16)),INDEX(PASTE_ALL,$DF394,$L$16),SUBSTITUTE(SUBSTITUTE(TRIM(SUBSTITUTE(SUBSTITUTE(SUBSTITUTE(SUBSTITUTE(INDEX(PASTE_ALL,$DF394,$L$16)," "," "),CHAR(9)," "),CHAR(10)," "),CHAR(13)," ")),",",""),"%","")),"")))</f>
        <v/>
      </c>
      <c r="DY394">
        <f>IF($DM394=0,"",IFERROR(IF(ISNUMBER($DX394),$DX394,IF($DX394="","",IF(TRIM($DX394)="",0,IF(AND(AND(SUBSTITUTE(SUBSTITUTE(SUBSTITUTE(SUBSTITUTE(SUBSTITUTE(SUBSTITUTE(SUBSTITUTE(SUBSTITUTE(SUBSTITUTE(SUBSTITUTE(SUBSTITUTE(SUBSTITUTE(SUBSTITUTE(SUBSTITUTE(UPPER(TRIM($DX394)),"0",""),"1",""),"2",""),"3",""),"4",""),"5",""),"6",""),"7",""),"8",""),"9",""),".",""),"+",""),"-",""),"E","")="",LEN(SUBSTITUTE(SUBSTITUTE(MID(UPPER(TRIM($DX394)),1+OR(LEFT(UPPER(TRIM($DX394)),1)="+",LEFT(UPPER(TRIM($DX394)),1)="-"),999),"E+","E"),"E-","E"))=LEN(SUBSTITUTE(SUBSTITUTE(SUBSTITUTE(SUBSTITUTE(MID(UPPER(TRIM($DX394)),1+OR(LEFT(UPPER(TRIM($DX394)),1)="+",LEFT(UPPER(TRIM($DX394)),1)="-"),999),"E+","E"),"E-","E"),"+",""),"-","")),LEN(UPPER(TRIM($DX394)))-LEN(SUBSTITUTE(UPPER(TRIM($DX394)),"E",""))&lt;2,LEN(UPPER(TRIM($DX394)))-LEN(SUBSTITUTE(UPPER(TRIM($DX394)),".",""))&lt;2,IFERROR(FIND(".",UPPER(TRIM($DX394))),0)&lt;IFERROR(FIND("E",UPPER(TRIM($DX394))),999)),ISNUMBER(VALUE(TRIM($DX394)))),VALUE(TRIM($DX394)),"")))),""))</f>
        <v/>
      </c>
      <c r="DZ394">
        <f>IF($DM394=0,"",IF($L$17=0,"",IFERROR(IF(ISNUMBER(INDEX(PASTE_ALL,$DF394,$L$17)),INDEX(PASTE_ALL,$DF394,$L$17),SUBSTITUTE(SUBSTITUTE(TRIM(SUBSTITUTE(SUBSTITUTE(SUBSTITUTE(SUBSTITUTE(INDEX(PASTE_ALL,$DF394,$L$17)," "," "),CHAR(9)," "),CHAR(10)," "),CHAR(13)," ")),",",""),"%","")),"")))</f>
        <v/>
      </c>
      <c r="EA394">
        <f>IF($DM394=0,"",IFERROR(IF(ISNUMBER($DZ394),$DZ394,IF($DZ394="","",IF(TRIM($DZ394)="",0,IF(AND(AND(SUBSTITUTE(SUBSTITUTE(SUBSTITUTE(SUBSTITUTE(SUBSTITUTE(SUBSTITUTE(SUBSTITUTE(SUBSTITUTE(SUBSTITUTE(SUBSTITUTE(SUBSTITUTE(SUBSTITUTE(SUBSTITUTE(SUBSTITUTE(UPPER(TRIM($DZ394)),"0",""),"1",""),"2",""),"3",""),"4",""),"5",""),"6",""),"7",""),"8",""),"9",""),".",""),"+",""),"-",""),"E","")="",LEN(SUBSTITUTE(SUBSTITUTE(MID(UPPER(TRIM($DZ394)),1+OR(LEFT(UPPER(TRIM($DZ394)),1)="+",LEFT(UPPER(TRIM($DZ394)),1)="-"),999),"E+","E"),"E-","E"))=LEN(SUBSTITUTE(SUBSTITUTE(SUBSTITUTE(SUBSTITUTE(MID(UPPER(TRIM($DZ394)),1+OR(LEFT(UPPER(TRIM($DZ394)),1)="+",LEFT(UPPER(TRIM($DZ394)),1)="-"),999),"E+","E"),"E-","E"),"+",""),"-","")),LEN(UPPER(TRIM($DZ394)))-LEN(SUBSTITUTE(UPPER(TRIM($DZ394)),"E",""))&lt;2,LEN(UPPER(TRIM($DZ394)))-LEN(SUBSTITUTE(UPPER(TRIM($DZ394)),".",""))&lt;2,IFERROR(FIND(".",UPPER(TRIM($DZ394))),0)&lt;IFERROR(FIND("E",UPPER(TRIM($DZ394))),999)),ISNUMBER(VALUE(TRIM($DZ394)))),VALUE(TRIM($DZ394)),"")))),""))</f>
        <v/>
      </c>
      <c r="EB394">
        <f>IF($DM394=0,"",IF($L$18=0,"",IFERROR(IF(UPPER(TRIM(SUBSTITUTE(SUBSTITUTE(SUBSTITUTE(SUBSTITUTE(INDEX(PASTE_ALL,$DF394,$L$18)," "," "),CHAR(9)," "),CHAR(10)," "),CHAR(13)," ")))="READY","Ready",IF(UPPER(TRIM(SUBSTITUTE(SUBSTITUTE(SUBSTITUTE(SUBSTITUTE(INDEX(PASTE_ALL,$DF394,$L$18)," "," "),CHAR(9)," "),CHAR(10)," "),CHAR(13)," ")))="PM","PM",IF(OR(UPPER(TRIM(SUBSTITUTE(SUBSTITUTE(SUBSTITUTE(SUBSTITUTE(INDEX(PASTE_ALL,$DF394,$L$18)," "," "),CHAR(9)," "),CHAR(10)," "),CHAR(13)," ")))="OT",UPPER(TRIM(SUBSTITUTE(SUBSTITUTE(SUBSTITUTE(SUBSTITUTE(INDEX(PASTE_ALL,$DF394,$L$18)," "," "),CHAR(9)," "),CHAR(10)," "),CHAR(13)," ")))="OVERTIME",UPPER(TRIM(SUBSTITUTE(SUBSTITUTE(SUBSTITUTE(SUBSTITUTE(INDEX(PASTE_ALL,$DF394,$L$18)," "," "),CHAR(9)," "),CHAR(10)," "),CHAR(13)," ")))="TRIAL"),"OT",TRIM(SUBSTITUTE(SUBSTITUTE(SUBSTITUTE(SUBSTITUTE(INDEX(PASTE_ALL,$DF394,$L$18)," "," "),CHAR(9)," "),CHAR(10)," "),CHAR(13)," "))))),"")))</f>
        <v/>
      </c>
      <c r="EC394">
        <f>IF($DM394=0,"",IF($L$19=0,"",IFERROR(IF(ISNUMBER(INDEX(PASTE_ALL,$DF394,$L$19)),INDEX(PASTE_ALL,$DF394,$L$19),TRIM(SUBSTITUTE(SUBSTITUTE(SUBSTITUTE(SUBSTITUTE(INDEX(PASTE_ALL,$DF394,$L$19)," "," "),CHAR(9)," "),CHAR(10)," "),CHAR(13)," "))),"")))</f>
        <v/>
      </c>
      <c r="ED394">
        <f>IF($DM394=0,"",MATCH(1,INDEX(EXACT($DH$5:DH394,$DH394)*$DM$5:DM394,0),0))</f>
        <v/>
      </c>
      <c r="EE394">
        <f>IF($DM394=0,0,IF($ED394=$DE394,1,0))</f>
        <v/>
      </c>
      <c r="EF394">
        <f>EF393+$EE394</f>
        <v/>
      </c>
      <c r="EG394">
        <f>IF($DM394=0,"",INDEX($EF$5:$EF$1003,$ED394))</f>
        <v/>
      </c>
      <c r="EH394">
        <f>IF($DM394=0,"",IF($DO394&lt;&gt;"","",IFERROR(LOOKUP(2,1/(($EG$4:EG393=$EG394)*($DO$4:DO393&lt;&gt;"")),$DO$4:DO393),"")))</f>
        <v/>
      </c>
      <c r="EI394">
        <f>IF($DM394=0,"",IF($DO394&lt;&gt;"",$DO394,$EH394))</f>
        <v/>
      </c>
      <c r="EJ394">
        <f>IF($DM394=0,"",IF($EI394="",0,IF(OR(ISNUMBER($EI394),AND(AND(SUBSTITUTE(SUBSTITUTE(SUBSTITUTE(SUBSTITUTE(SUBSTITUTE(SUBSTITUTE(SUBSTITUTE(SUBSTITUTE(SUBSTITUTE(SUBSTITUTE(SUBSTITUTE(SUBSTITUTE(SUBSTITUTE(SUBSTITUTE(UPPER($EI394),"0",""),"1",""),"2",""),"3",""),"4",""),"5",""),"6",""),"7",""),"8",""),"9",""),".",""),"+",""),"-",""),"E","")="",LEN(SUBSTITUTE(SUBSTITUTE(MID(UPPER($EI394),1+OR(LEFT(UPPER($EI394),1)="+",LEFT(UPPER($EI394),1)="-"),999),"E+","E"),"E-","E"))=LEN(SUBSTITUTE(SUBSTITUTE(SUBSTITUTE(SUBSTITUTE(MID(UPPER($EI394),1+OR(LEFT(UPPER($EI394),1)="+",LEFT(UPPER($EI394),1)="-"),999),"E+","E"),"E-","E"),"+",""),"-","")),LEN(UPPER($EI394))-LEN(SUBSTITUTE(UPPER($EI394),"E",""))&lt;2,LEN(UPPER($EI394))-LEN(SUBSTITUTE(UPPER($EI394),".",""))&lt;2,IFERROR(FIND(".",UPPER($EI394)),0)&lt;IFERROR(FIND("E",UPPER($EI394)),999)),ISNUMBER(VALUE($EI394)))),1,2)))</f>
        <v/>
      </c>
      <c r="EK394">
        <f>IF($DM394=0,"",IF($EJ394=1,IF(ISNUMBER($EI394),$EI394,VALUE($EI394)),IF($EJ394=2,$DE394,0)))</f>
        <v/>
      </c>
      <c r="EL394">
        <f>IF($DM394=0,"",COUNTIF($EG$5:$EG$1003,"&lt;"&amp;$EG394)+SUMPRODUCT(($EG$5:$EG$1003=$EG394)*(($EJ$5:$EJ$1003&lt;$EJ394)+($EJ$5:$EJ$1003=$EJ394)*(($EK$5:$EK$1003&lt;$EK394)+($EK$5:$EK$1003=$EK394)*($DE$5:$DE$1003&lt;$DE394))))+1)</f>
        <v/>
      </c>
      <c r="EM394">
        <f>IF($DM394=0,"",$EL394+$EG394-1)</f>
        <v/>
      </c>
      <c r="EN394">
        <f>IF($DM394=0,0,IFERROR(MATCH(1,INDEX(--(TRIM(SUBSTITUTE(SUBSTITUTE(SUBSTITUTE(SUBSTITUTE(LINES_NAME&amp;""," "," "),CHAR(9)," "),CHAR(10)," "),CHAR(13)," "))=$DH394),0),0),0))</f>
        <v/>
      </c>
      <c r="EO394">
        <f>IF($EN394=0,0,IF(OR(UPPER(TRIM(INDEX(LINES_SCHEDULED,$EN394)&amp;""))="YES",UPPER(TRIM(INDEX(LINES_SCHEDULED,$EN394)&amp;""))="Y",UPPER(TRIM(INDEX(LINES_SCHEDULED,$EN394)&amp;""))="X"),1,0))</f>
        <v/>
      </c>
      <c r="EP394">
        <f>IF($DM394=0,"",IF(COUNTIFS($EG$5:$EG$1003,$EG394,$EB$5:$EB$1003,"Ready")&gt;0,"READY",IF(COUNTIFS($EG$5:$EG$1003,$EG394,$EB$5:$EB$1003,"PM")&gt;0,"PM",IF(COUNTIFS($EG$5:$EG$1003,$EG394,$EB$5:$EB$1003,"OT")&gt;0,"OT",""))))</f>
        <v/>
      </c>
      <c r="EQ394">
        <f>IF($EN394=0,"",UPPER(TRIM(INDEX(LINES_STATUS,$EN394)&amp;"")))</f>
        <v/>
      </c>
      <c r="ER394">
        <f>IF($DM394=0,"",IF(OR($EQ394="READY",$EQ394="PM",$EQ394="OT"),$EQ394,$EP394))</f>
        <v/>
      </c>
      <c r="ES394">
        <f>IF($DM394=0,"",IF(AND($DV394&lt;&gt;"",UPPER($DV394)&lt;&gt;"N"),"allergen",IF(ISNUMBER(SEARCH("oil",$DQ394)),"oil",IF(OR(EXACT($DS394,"A662"),EXACT($DS394,"A624")),"bulk",""))))</f>
        <v/>
      </c>
      <c r="ET394">
        <f>IF($DM394=0,"",IF(OR($EA394="",$EA394=0),"",$EA394/100))</f>
        <v/>
      </c>
      <c r="EU394">
        <f>IF(OR($ET394="",$DY394=""),"",INT($DY394*(1-$ET394)+0.5))</f>
        <v/>
      </c>
      <c r="EW394" t="n">
        <v>390</v>
      </c>
      <c r="EX394">
        <f>IFERROR(MATCH($EW394,$EM$5:$EM$1003,0),0)</f>
        <v/>
      </c>
      <c r="EY394">
        <f>IF($EW394&gt;$B$12,"",IF($EX394&gt;0,"row","spacer"))</f>
        <v/>
      </c>
      <c r="EZ394">
        <f>IF(AND($EY394="row",$EY393&lt;&gt;"row"),1,0)</f>
        <v/>
      </c>
      <c r="FA394">
        <f>IF(AND($EY394="row",$EY395&lt;&gt;"row"),1,0)</f>
        <v/>
      </c>
      <c r="FB394">
        <f>IF($EZ394=1,IFERROR(IF(ISNUMBER(INDEX(PASTE_ALL,INDEX($DF$5:$DF$1003,$EX394),$B$37)),INDEX(PASTE_ALL,INDEX($DF$5:$DF$1003,$EX394),$B$37),INDEX($DH$5:$DH$1003,$EX394)),INDEX($DH$5:$DH$1003,$EX394)),"")</f>
        <v/>
      </c>
      <c r="FC394">
        <f>IF($EY394="row",INDEX($ER$5:$ER$1003,$EX394),"")</f>
        <v/>
      </c>
      <c r="FD394">
        <f>IF($EY394="row",INDEX($DN$5:$DN$1003,$EX394),"")</f>
        <v/>
      </c>
      <c r="FE394">
        <f>IF($EY394="row",INDEX($DO$5:$DO$1003,$EX394),"")</f>
        <v/>
      </c>
      <c r="FF394">
        <f>IF($EY394="row",INDEX($DP$5:$DP$1003,$EX394),"")</f>
        <v/>
      </c>
      <c r="FG394">
        <f>IF($EY394="row",INDEX($DQ$5:$DQ$1003,$EX394),"")</f>
        <v/>
      </c>
      <c r="FH394">
        <f>IF($EY394="row",INDEX($DR$5:$DR$1003,$EX394),"")</f>
        <v/>
      </c>
      <c r="FI394">
        <f>IF($EY394="row",INDEX($DS$5:$DS$1003,$EX394),"")</f>
        <v/>
      </c>
      <c r="FJ394">
        <f>IF($EY394="row",INDEX($DT$5:$DT$1003,$EX394),"")</f>
        <v/>
      </c>
      <c r="FK394">
        <f>IF($EY394="row",INDEX($DU$5:$DU$1003,$EX394),"")</f>
        <v/>
      </c>
      <c r="FL394">
        <f>IF($EY394="row",INDEX($DV$5:$DV$1003,$EX394),"")</f>
        <v/>
      </c>
      <c r="FM394">
        <f>IF($EY394="row",INDEX($DW$5:$DW$1003,$EX394),"")</f>
        <v/>
      </c>
      <c r="FN394">
        <f>IF($EY394="row",INDEX($DY$5:$DY$1003,$EX394),"")</f>
        <v/>
      </c>
      <c r="FO394">
        <f>IF($EY394="row",INDEX($EA$5:$EA$1003,$EX394),"")</f>
        <v/>
      </c>
      <c r="FP394">
        <f>IF($EY394="row",INDEX($EC$5:$EC$1003,$EX394),"")</f>
        <v/>
      </c>
      <c r="FQ394">
        <f>IF($EY394="row",INDEX($ET$5:$ET$1003,$EX394),"")</f>
        <v/>
      </c>
      <c r="FR394">
        <f>IF($EY394="row",INDEX($EU$5:$EU$1003,$EX394),"")</f>
        <v/>
      </c>
      <c r="FS394">
        <f>IF(AND($EY394="row",$EY393="row"),IF(OR(INDEX($DT$5:$DT$1003,$EX393)="",INDEX($DT$5:$DT$1003,$EX394)=""),"",IF(NOT(EXACT(INDEX($DT$5:$DT$1003,$EX393),INDEX($DT$5:$DT$1003,$EX394))),"S4",IF(NOT(EXACT(INDEX($DS$5:$DS$1003,$EX393),INDEX($DS$5:$DS$1003,$EX394))),"S3",IF(NOT(EXACT(INDEX($DR$5:$DR$1003,$EX393),INDEX($DR$5:$DR$1003,$EX394))),"S1 Count Change","S1")))),"")</f>
        <v/>
      </c>
      <c r="FT394">
        <f>IF($EY394="row",INDEX($ES$5:$ES$1003,$EX394),"")</f>
        <v/>
      </c>
      <c r="FU394">
        <f>IF($EY394="row",INDEX($EO$5:$EO$1003,$EX394),0)</f>
        <v/>
      </c>
      <c r="FV394">
        <f>IF($FS394="S1 Count Change",1,0)</f>
        <v/>
      </c>
    </row>
    <row r="395">
      <c r="DA395" t="n">
        <v>391</v>
      </c>
      <c r="DB395">
        <f>IF($B$37=0,"",IFERROR(TRIM(SUBSTITUTE(SUBSTITUTE(SUBSTITUTE(SUBSTITUTE(INDEX(PASTE_ALL,391,$B$37)," "," "),CHAR(9)," "),CHAR(10)," "),CHAR(13)," ")),""))</f>
        <v/>
      </c>
      <c r="DC395">
        <f>IF(AND(391&gt;HEADER_ROW,UPPER(DB395)="LEGEND"),1,0)</f>
        <v/>
      </c>
      <c r="DE395" t="n">
        <v>391</v>
      </c>
      <c r="DF395">
        <f>HEADER_ROW+$DE395</f>
        <v/>
      </c>
      <c r="DG395">
        <f>IF(AND($DF395&lt;=1000,$DF395&lt;$B$8),1,0)</f>
        <v/>
      </c>
      <c r="DH395">
        <f>IF($DG395=1,IFERROR(INDEX($DB$5:$DB$1004,$DF395),""),"")</f>
        <v/>
      </c>
      <c r="DI395">
        <f>IF(AND($DG395=1,$DH395&lt;&gt;""),IFERROR(SUBSTITUTE(SUBSTITUTE(TRIM(SUBSTITUTE(SUBSTITUTE(SUBSTITUTE(SUBSTITUTE(IFERROR(INDEX(PASTE_ALL,$DF395,1)&amp;"","")&amp;"␟"&amp;IFERROR(INDEX(PASTE_ALL,$DF395,2)&amp;"","")&amp;"␟"&amp;IFERROR(INDEX(PASTE_ALL,$DF395,3)&amp;"","")&amp;"␟"&amp;IFERROR(INDEX(PASTE_ALL,$DF395,4)&amp;"","")&amp;"␟"&amp;IFERROR(INDEX(PASTE_ALL,$DF395,5)&amp;"","")&amp;"␟"&amp;IFERROR(INDEX(PASTE_ALL,$DF395,6)&amp;"","")&amp;"␟"&amp;IFERROR(INDEX(PASTE_ALL,$DF395,7)&amp;"","")&amp;"␟"&amp;IFERROR(INDEX(PASTE_ALL,$DF395,8)&amp;"","")&amp;"␟"&amp;IFERROR(INDEX(PASTE_ALL,$DF395,9)&amp;"","")&amp;"␟"&amp;IFERROR(INDEX(PASTE_ALL,$DF395,10)&amp;"","")&amp;"␟"&amp;IFERROR(INDEX(PASTE_ALL,$DF395,11)&amp;"","")&amp;"␟"&amp;IFERROR(INDEX(PASTE_ALL,$DF395,12)&amp;"","")&amp;"␟"&amp;IFERROR(INDEX(PASTE_ALL,$DF395,13)&amp;"","")&amp;"␟"&amp;IFERROR(INDEX(PASTE_ALL,$DF395,14)&amp;"","")&amp;"␟"&amp;IFERROR(INDEX(PASTE_ALL,$DF395,15)&amp;"","")&amp;"␟"&amp;IFERROR(INDEX(PASTE_ALL,$DF395,16)&amp;"","")&amp;"␟"&amp;IFERROR(INDEX(PASTE_ALL,$DF395,17)&amp;"","")&amp;"␟"&amp;IFERROR(INDEX(PASTE_ALL,$DF395,18)&amp;"","")&amp;"␟"&amp;IFERROR(INDEX(PASTE_ALL,$DF395,19)&amp;"","")&amp;"␟"&amp;IFERROR(INDEX(PASTE_ALL,$DF395,20)&amp;"","")&amp;"␟"&amp;IFERROR(INDEX(PASTE_ALL,$DF395,21)&amp;"","")&amp;"␟"&amp;IFERROR(INDEX(PASTE_ALL,$DF395,22)&amp;"","")&amp;"␟"&amp;IFERROR(INDEX(PASTE_ALL,$DF395,23)&amp;"","")&amp;"␟"&amp;IFERROR(INDEX(PASTE_ALL,$DF395,24)&amp;"","")&amp;"␟"&amp;IFERROR(INDEX(PASTE_ALL,$DF395,25)&amp;"","")&amp;"␟"&amp;IFERROR(INDEX(PASTE_ALL,$DF395,26)&amp;"","")&amp;"␟"&amp;IFERROR(INDEX(PASTE_ALL,$DF395,27)&amp;"","")&amp;"␟"&amp;IFERROR(INDEX(PASTE_ALL,$DF395,28)&amp;"","")&amp;"␟"&amp;IFERROR(INDEX(PASTE_ALL,$DF395,29)&amp;"","")&amp;"␟"&amp;IFERROR(INDEX(PASTE_ALL,$DF395,30)&amp;"","")&amp;"␟"&amp;IFERROR(INDEX(PASTE_ALL,$DF395,31)&amp;"","")&amp;"␟"&amp;IFERROR(INDEX(PASTE_ALL,$DF395,32)&amp;"","")&amp;"␟"&amp;IFERROR(INDEX(PASTE_ALL,$DF395,33)&amp;"","")&amp;"␟"&amp;IFERROR(INDEX(PASTE_ALL,$DF395,34)&amp;"","")&amp;"␟"&amp;IFERROR(INDEX(PASTE_ALL,$DF395,35)&amp;"","")&amp;"␟"&amp;IFERROR(INDEX(PASTE_ALL,$DF395,36)&amp;"","")&amp;"␟"&amp;IFERROR(INDEX(PASTE_ALL,$DF395,37)&amp;"","")&amp;"␟"&amp;IFERROR(INDEX(PASTE_ALL,$DF395,38)&amp;"","")&amp;"␟"&amp;IFERROR(INDEX(PASTE_ALL,$DF395,39)&amp;"","")&amp;"␟"&amp;IFERROR(INDEX(PASTE_ALL,$DF395,40)&amp;"","")&amp;"␟"&amp;IFERROR(INDEX(PASTE_ALL,$DF395,41)&amp;"","")&amp;"␟"&amp;IFERROR(INDEX(PASTE_ALL,$DF395,42)&amp;"","")&amp;"␟"&amp;IFERROR(INDEX(PASTE_ALL,$DF395,43)&amp;"","")&amp;"␟"&amp;IFERROR(INDEX(PASTE_ALL,$DF395,44)&amp;"","")&amp;"␟"&amp;IFERROR(INDEX(PASTE_ALL,$DF395,45)&amp;"","")&amp;"␟"&amp;IFERROR(INDEX(PASTE_ALL,$DF395,46)&amp;"","")&amp;"␟"&amp;IFERROR(INDEX(PASTE_ALL,$DF395,47)&amp;"","")&amp;"␟"&amp;IFERROR(INDEX(PASTE_ALL,$DF395,48)&amp;"","")&amp;"␟"&amp;IFERROR(INDEX(PASTE_ALL,$DF395,49)&amp;"","")&amp;"␟"&amp;IFERROR(INDEX(PASTE_ALL,$DF395,50)&amp;"","")&amp;"␟"&amp;IFERROR(INDEX(PASTE_ALL,$DF395,51)&amp;"","")&amp;"␟"&amp;IFERROR(INDEX(PASTE_ALL,$DF395,52)&amp;"","")&amp;"␟"&amp;IFERROR(INDEX(PASTE_ALL,$DF395,53)&amp;"","")&amp;"␟"&amp;IFERROR(INDEX(PASTE_ALL,$DF395,54)&amp;"","")&amp;"␟"&amp;IFERROR(INDEX(PASTE_ALL,$DF395,55)&amp;"","")&amp;"␟"&amp;IFERROR(INDEX(PASTE_ALL,$DF395,56)&amp;"","")&amp;"␟"&amp;IFERROR(INDEX(PASTE_ALL,$DF395,57)&amp;"","")&amp;"␟"&amp;IFERROR(INDEX(PASTE_ALL,$DF395,58)&amp;"","")&amp;"␟"&amp;IFERROR(INDEX(PASTE_ALL,$DF395,59)&amp;"","")&amp;"␟"&amp;IFERROR(INDEX(PASTE_ALL,$DF395,60)&amp;"","")," "," "),CHAR(9)," "),CHAR(10)," "),CHAR(13)," "))," ␟","␟"),"␟ ","␟"),"#"&amp;$DE395),"")</f>
        <v/>
      </c>
      <c r="DJ395">
        <f>IF($DI395="",0,IF(SUMPRODUCT(--EXACT($DI$4:DI394,$DI395))&gt;0,1,0))</f>
        <v/>
      </c>
      <c r="DK395">
        <f>IF(AND($DI395&lt;&gt;"",$DJ395=0),1,0)</f>
        <v/>
      </c>
      <c r="DL395">
        <f>DL394+$DK395</f>
        <v/>
      </c>
      <c r="DM395">
        <f>IF(AND($DK395=1,$DL395&lt;=600),1,0)</f>
        <v/>
      </c>
      <c r="DN395">
        <f>IF($DM395=0,"",IF($L$6=0,"",IFERROR(IF(ISNUMBER(INDEX(PASTE_ALL,$DF395,$L$6)),INDEX(PASTE_ALL,$DF395,$L$6),TRIM(SUBSTITUTE(SUBSTITUTE(SUBSTITUTE(SUBSTITUTE(INDEX(PASTE_ALL,$DF395,$L$6)," "," "),CHAR(9)," "),CHAR(10)," "),CHAR(13)," "))),"")))</f>
        <v/>
      </c>
      <c r="DO395">
        <f>IF($DM395=0,"",IF($L$7=0,"",IFERROR(IF(ISNUMBER(INDEX(PASTE_ALL,$DF395,$L$7)),INDEX(PASTE_ALL,$DF395,$L$7),TRIM(SUBSTITUTE(SUBSTITUTE(SUBSTITUTE(SUBSTITUTE(INDEX(PASTE_ALL,$DF395,$L$7)," "," "),CHAR(9)," "),CHAR(10)," "),CHAR(13)," "))),"")))</f>
        <v/>
      </c>
      <c r="DP395">
        <f>IF($DM395=0,"",IF($L$8=0,"",IFERROR(IF(ISNUMBER(INDEX(PASTE_ALL,$DF395,$L$8)),INDEX(PASTE_ALL,$DF395,$L$8),TRIM(SUBSTITUTE(SUBSTITUTE(SUBSTITUTE(SUBSTITUTE(INDEX(PASTE_ALL,$DF395,$L$8)," "," "),CHAR(9)," "),CHAR(10)," "),CHAR(13)," "))),"")))</f>
        <v/>
      </c>
      <c r="DQ395">
        <f>IF($DM395=0,"",IF($L$9=0,"",IFERROR(IF(ISNUMBER(INDEX(PASTE_ALL,$DF395,$L$9)),INDEX(PASTE_ALL,$DF395,$L$9),TRIM(SUBSTITUTE(SUBSTITUTE(SUBSTITUTE(SUBSTITUTE(INDEX(PASTE_ALL,$DF395,$L$9)," "," "),CHAR(9)," "),CHAR(10)," "),CHAR(13)," "))),"")))</f>
        <v/>
      </c>
      <c r="DR395">
        <f>IF($DM395=0,"",IF($L$10=0,"",IFERROR(IF(ISNUMBER(INDEX(PASTE_ALL,$DF395,$L$10)),INDEX(PASTE_ALL,$DF395,$L$10),TRIM(SUBSTITUTE(SUBSTITUTE(SUBSTITUTE(SUBSTITUTE(INDEX(PASTE_ALL,$DF395,$L$10)," "," "),CHAR(9)," "),CHAR(10)," "),CHAR(13)," "))),"")))</f>
        <v/>
      </c>
      <c r="DS395">
        <f>IF($DM395=0,"",IF($L$11=0,"",IFERROR(IF(ISNUMBER(INDEX(PASTE_ALL,$DF395,$L$11)),INDEX(PASTE_ALL,$DF395,$L$11),TRIM(SUBSTITUTE(SUBSTITUTE(SUBSTITUTE(SUBSTITUTE(INDEX(PASTE_ALL,$DF395,$L$11)," "," "),CHAR(9)," "),CHAR(10)," "),CHAR(13)," "))),"")))</f>
        <v/>
      </c>
      <c r="DT395">
        <f>IF($DM395=0,"",IF($L$12=0,"",IFERROR(IF(ISNUMBER(INDEX(PASTE_ALL,$DF395,$L$12)),INDEX(PASTE_ALL,$DF395,$L$12),TRIM(SUBSTITUTE(SUBSTITUTE(SUBSTITUTE(SUBSTITUTE(INDEX(PASTE_ALL,$DF395,$L$12)," "," "),CHAR(9)," "),CHAR(10)," "),CHAR(13)," "))),"")))</f>
        <v/>
      </c>
      <c r="DU395">
        <f>IF($DM395=0,"",IF($L$13=0,"",IFERROR(IF(ISNUMBER(INDEX(PASTE_ALL,$DF395,$L$13)),INDEX(PASTE_ALL,$DF395,$L$13),TRIM(SUBSTITUTE(SUBSTITUTE(SUBSTITUTE(SUBSTITUTE(INDEX(PASTE_ALL,$DF395,$L$13)," "," "),CHAR(9)," "),CHAR(10)," "),CHAR(13)," "))),"")))</f>
        <v/>
      </c>
      <c r="DV395">
        <f>IF($DM395=0,"",IF($L$14=0,"",IFERROR(IF(ISNUMBER(INDEX(PASTE_ALL,$DF395,$L$14)),INDEX(PASTE_ALL,$DF395,$L$14),TRIM(SUBSTITUTE(SUBSTITUTE(SUBSTITUTE(SUBSTITUTE(INDEX(PASTE_ALL,$DF395,$L$14)," "," "),CHAR(9)," "),CHAR(10)," "),CHAR(13)," "))),"")))</f>
        <v/>
      </c>
      <c r="DW395">
        <f>IF($DM395=0,"",IF($L$15=0,"",IFERROR(IF(ISNUMBER(INDEX(PASTE_ALL,$DF395,$L$15)),INDEX(PASTE_ALL,$DF395,$L$15),IF(SUMPRODUCT(--ISNUMBER(FIND({"A","B","C","D","E","F","G","H","I","J","K","L","M","N","O","P","Q","R","S","T","U","V","W","X","Y","Z","0","1","2","3","4","5","6","7","8","9"},UPPER(TRIM(SUBSTITUTE(SUBSTITUTE(SUBSTITUTE(SUBSTITUTE(INDEX(PASTE_ALL,$DF395,$L$15)," "," "),CHAR(9)," "),CHAR(10)," "),CHAR(13)," "))))))&gt;0,TRIM(SUBSTITUTE(SUBSTITUTE(SUBSTITUTE(SUBSTITUTE(INDEX(PASTE_ALL,$DF395,$L$15)," "," "),CHAR(9)," "),CHAR(10)," "),CHAR(13)," ")),"")),"")))</f>
        <v/>
      </c>
      <c r="DX395">
        <f>IF($DM395=0,"",IF($L$16=0,"",IFERROR(IF(ISNUMBER(INDEX(PASTE_ALL,$DF395,$L$16)),INDEX(PASTE_ALL,$DF395,$L$16),SUBSTITUTE(SUBSTITUTE(TRIM(SUBSTITUTE(SUBSTITUTE(SUBSTITUTE(SUBSTITUTE(INDEX(PASTE_ALL,$DF395,$L$16)," "," "),CHAR(9)," "),CHAR(10)," "),CHAR(13)," ")),",",""),"%","")),"")))</f>
        <v/>
      </c>
      <c r="DY395">
        <f>IF($DM395=0,"",IFERROR(IF(ISNUMBER($DX395),$DX395,IF($DX395="","",IF(TRIM($DX395)="",0,IF(AND(AND(SUBSTITUTE(SUBSTITUTE(SUBSTITUTE(SUBSTITUTE(SUBSTITUTE(SUBSTITUTE(SUBSTITUTE(SUBSTITUTE(SUBSTITUTE(SUBSTITUTE(SUBSTITUTE(SUBSTITUTE(SUBSTITUTE(SUBSTITUTE(UPPER(TRIM($DX395)),"0",""),"1",""),"2",""),"3",""),"4",""),"5",""),"6",""),"7",""),"8",""),"9",""),".",""),"+",""),"-",""),"E","")="",LEN(SUBSTITUTE(SUBSTITUTE(MID(UPPER(TRIM($DX395)),1+OR(LEFT(UPPER(TRIM($DX395)),1)="+",LEFT(UPPER(TRIM($DX395)),1)="-"),999),"E+","E"),"E-","E"))=LEN(SUBSTITUTE(SUBSTITUTE(SUBSTITUTE(SUBSTITUTE(MID(UPPER(TRIM($DX395)),1+OR(LEFT(UPPER(TRIM($DX395)),1)="+",LEFT(UPPER(TRIM($DX395)),1)="-"),999),"E+","E"),"E-","E"),"+",""),"-","")),LEN(UPPER(TRIM($DX395)))-LEN(SUBSTITUTE(UPPER(TRIM($DX395)),"E",""))&lt;2,LEN(UPPER(TRIM($DX395)))-LEN(SUBSTITUTE(UPPER(TRIM($DX395)),".",""))&lt;2,IFERROR(FIND(".",UPPER(TRIM($DX395))),0)&lt;IFERROR(FIND("E",UPPER(TRIM($DX395))),999)),ISNUMBER(VALUE(TRIM($DX395)))),VALUE(TRIM($DX395)),"")))),""))</f>
        <v/>
      </c>
      <c r="DZ395">
        <f>IF($DM395=0,"",IF($L$17=0,"",IFERROR(IF(ISNUMBER(INDEX(PASTE_ALL,$DF395,$L$17)),INDEX(PASTE_ALL,$DF395,$L$17),SUBSTITUTE(SUBSTITUTE(TRIM(SUBSTITUTE(SUBSTITUTE(SUBSTITUTE(SUBSTITUTE(INDEX(PASTE_ALL,$DF395,$L$17)," "," "),CHAR(9)," "),CHAR(10)," "),CHAR(13)," ")),",",""),"%","")),"")))</f>
        <v/>
      </c>
      <c r="EA395">
        <f>IF($DM395=0,"",IFERROR(IF(ISNUMBER($DZ395),$DZ395,IF($DZ395="","",IF(TRIM($DZ395)="",0,IF(AND(AND(SUBSTITUTE(SUBSTITUTE(SUBSTITUTE(SUBSTITUTE(SUBSTITUTE(SUBSTITUTE(SUBSTITUTE(SUBSTITUTE(SUBSTITUTE(SUBSTITUTE(SUBSTITUTE(SUBSTITUTE(SUBSTITUTE(SUBSTITUTE(UPPER(TRIM($DZ395)),"0",""),"1",""),"2",""),"3",""),"4",""),"5",""),"6",""),"7",""),"8",""),"9",""),".",""),"+",""),"-",""),"E","")="",LEN(SUBSTITUTE(SUBSTITUTE(MID(UPPER(TRIM($DZ395)),1+OR(LEFT(UPPER(TRIM($DZ395)),1)="+",LEFT(UPPER(TRIM($DZ395)),1)="-"),999),"E+","E"),"E-","E"))=LEN(SUBSTITUTE(SUBSTITUTE(SUBSTITUTE(SUBSTITUTE(MID(UPPER(TRIM($DZ395)),1+OR(LEFT(UPPER(TRIM($DZ395)),1)="+",LEFT(UPPER(TRIM($DZ395)),1)="-"),999),"E+","E"),"E-","E"),"+",""),"-","")),LEN(UPPER(TRIM($DZ395)))-LEN(SUBSTITUTE(UPPER(TRIM($DZ395)),"E",""))&lt;2,LEN(UPPER(TRIM($DZ395)))-LEN(SUBSTITUTE(UPPER(TRIM($DZ395)),".",""))&lt;2,IFERROR(FIND(".",UPPER(TRIM($DZ395))),0)&lt;IFERROR(FIND("E",UPPER(TRIM($DZ395))),999)),ISNUMBER(VALUE(TRIM($DZ395)))),VALUE(TRIM($DZ395)),"")))),""))</f>
        <v/>
      </c>
      <c r="EB395">
        <f>IF($DM395=0,"",IF($L$18=0,"",IFERROR(IF(UPPER(TRIM(SUBSTITUTE(SUBSTITUTE(SUBSTITUTE(SUBSTITUTE(INDEX(PASTE_ALL,$DF395,$L$18)," "," "),CHAR(9)," "),CHAR(10)," "),CHAR(13)," ")))="READY","Ready",IF(UPPER(TRIM(SUBSTITUTE(SUBSTITUTE(SUBSTITUTE(SUBSTITUTE(INDEX(PASTE_ALL,$DF395,$L$18)," "," "),CHAR(9)," "),CHAR(10)," "),CHAR(13)," ")))="PM","PM",IF(OR(UPPER(TRIM(SUBSTITUTE(SUBSTITUTE(SUBSTITUTE(SUBSTITUTE(INDEX(PASTE_ALL,$DF395,$L$18)," "," "),CHAR(9)," "),CHAR(10)," "),CHAR(13)," ")))="OT",UPPER(TRIM(SUBSTITUTE(SUBSTITUTE(SUBSTITUTE(SUBSTITUTE(INDEX(PASTE_ALL,$DF395,$L$18)," "," "),CHAR(9)," "),CHAR(10)," "),CHAR(13)," ")))="OVERTIME",UPPER(TRIM(SUBSTITUTE(SUBSTITUTE(SUBSTITUTE(SUBSTITUTE(INDEX(PASTE_ALL,$DF395,$L$18)," "," "),CHAR(9)," "),CHAR(10)," "),CHAR(13)," ")))="TRIAL"),"OT",TRIM(SUBSTITUTE(SUBSTITUTE(SUBSTITUTE(SUBSTITUTE(INDEX(PASTE_ALL,$DF395,$L$18)," "," "),CHAR(9)," "),CHAR(10)," "),CHAR(13)," "))))),"")))</f>
        <v/>
      </c>
      <c r="EC395">
        <f>IF($DM395=0,"",IF($L$19=0,"",IFERROR(IF(ISNUMBER(INDEX(PASTE_ALL,$DF395,$L$19)),INDEX(PASTE_ALL,$DF395,$L$19),TRIM(SUBSTITUTE(SUBSTITUTE(SUBSTITUTE(SUBSTITUTE(INDEX(PASTE_ALL,$DF395,$L$19)," "," "),CHAR(9)," "),CHAR(10)," "),CHAR(13)," "))),"")))</f>
        <v/>
      </c>
      <c r="ED395">
        <f>IF($DM395=0,"",MATCH(1,INDEX(EXACT($DH$5:DH395,$DH395)*$DM$5:DM395,0),0))</f>
        <v/>
      </c>
      <c r="EE395">
        <f>IF($DM395=0,0,IF($ED395=$DE395,1,0))</f>
        <v/>
      </c>
      <c r="EF395">
        <f>EF394+$EE395</f>
        <v/>
      </c>
      <c r="EG395">
        <f>IF($DM395=0,"",INDEX($EF$5:$EF$1003,$ED395))</f>
        <v/>
      </c>
      <c r="EH395">
        <f>IF($DM395=0,"",IF($DO395&lt;&gt;"","",IFERROR(LOOKUP(2,1/(($EG$4:EG394=$EG395)*($DO$4:DO394&lt;&gt;"")),$DO$4:DO394),"")))</f>
        <v/>
      </c>
      <c r="EI395">
        <f>IF($DM395=0,"",IF($DO395&lt;&gt;"",$DO395,$EH395))</f>
        <v/>
      </c>
      <c r="EJ395">
        <f>IF($DM395=0,"",IF($EI395="",0,IF(OR(ISNUMBER($EI395),AND(AND(SUBSTITUTE(SUBSTITUTE(SUBSTITUTE(SUBSTITUTE(SUBSTITUTE(SUBSTITUTE(SUBSTITUTE(SUBSTITUTE(SUBSTITUTE(SUBSTITUTE(SUBSTITUTE(SUBSTITUTE(SUBSTITUTE(SUBSTITUTE(UPPER($EI395),"0",""),"1",""),"2",""),"3",""),"4",""),"5",""),"6",""),"7",""),"8",""),"9",""),".",""),"+",""),"-",""),"E","")="",LEN(SUBSTITUTE(SUBSTITUTE(MID(UPPER($EI395),1+OR(LEFT(UPPER($EI395),1)="+",LEFT(UPPER($EI395),1)="-"),999),"E+","E"),"E-","E"))=LEN(SUBSTITUTE(SUBSTITUTE(SUBSTITUTE(SUBSTITUTE(MID(UPPER($EI395),1+OR(LEFT(UPPER($EI395),1)="+",LEFT(UPPER($EI395),1)="-"),999),"E+","E"),"E-","E"),"+",""),"-","")),LEN(UPPER($EI395))-LEN(SUBSTITUTE(UPPER($EI395),"E",""))&lt;2,LEN(UPPER($EI395))-LEN(SUBSTITUTE(UPPER($EI395),".",""))&lt;2,IFERROR(FIND(".",UPPER($EI395)),0)&lt;IFERROR(FIND("E",UPPER($EI395)),999)),ISNUMBER(VALUE($EI395)))),1,2)))</f>
        <v/>
      </c>
      <c r="EK395">
        <f>IF($DM395=0,"",IF($EJ395=1,IF(ISNUMBER($EI395),$EI395,VALUE($EI395)),IF($EJ395=2,$DE395,0)))</f>
        <v/>
      </c>
      <c r="EL395">
        <f>IF($DM395=0,"",COUNTIF($EG$5:$EG$1003,"&lt;"&amp;$EG395)+SUMPRODUCT(($EG$5:$EG$1003=$EG395)*(($EJ$5:$EJ$1003&lt;$EJ395)+($EJ$5:$EJ$1003=$EJ395)*(($EK$5:$EK$1003&lt;$EK395)+($EK$5:$EK$1003=$EK395)*($DE$5:$DE$1003&lt;$DE395))))+1)</f>
        <v/>
      </c>
      <c r="EM395">
        <f>IF($DM395=0,"",$EL395+$EG395-1)</f>
        <v/>
      </c>
      <c r="EN395">
        <f>IF($DM395=0,0,IFERROR(MATCH(1,INDEX(--(TRIM(SUBSTITUTE(SUBSTITUTE(SUBSTITUTE(SUBSTITUTE(LINES_NAME&amp;""," "," "),CHAR(9)," "),CHAR(10)," "),CHAR(13)," "))=$DH395),0),0),0))</f>
        <v/>
      </c>
      <c r="EO395">
        <f>IF($EN395=0,0,IF(OR(UPPER(TRIM(INDEX(LINES_SCHEDULED,$EN395)&amp;""))="YES",UPPER(TRIM(INDEX(LINES_SCHEDULED,$EN395)&amp;""))="Y",UPPER(TRIM(INDEX(LINES_SCHEDULED,$EN395)&amp;""))="X"),1,0))</f>
        <v/>
      </c>
      <c r="EP395">
        <f>IF($DM395=0,"",IF(COUNTIFS($EG$5:$EG$1003,$EG395,$EB$5:$EB$1003,"Ready")&gt;0,"READY",IF(COUNTIFS($EG$5:$EG$1003,$EG395,$EB$5:$EB$1003,"PM")&gt;0,"PM",IF(COUNTIFS($EG$5:$EG$1003,$EG395,$EB$5:$EB$1003,"OT")&gt;0,"OT",""))))</f>
        <v/>
      </c>
      <c r="EQ395">
        <f>IF($EN395=0,"",UPPER(TRIM(INDEX(LINES_STATUS,$EN395)&amp;"")))</f>
        <v/>
      </c>
      <c r="ER395">
        <f>IF($DM395=0,"",IF(OR($EQ395="READY",$EQ395="PM",$EQ395="OT"),$EQ395,$EP395))</f>
        <v/>
      </c>
      <c r="ES395">
        <f>IF($DM395=0,"",IF(AND($DV395&lt;&gt;"",UPPER($DV395)&lt;&gt;"N"),"allergen",IF(ISNUMBER(SEARCH("oil",$DQ395)),"oil",IF(OR(EXACT($DS395,"A662"),EXACT($DS395,"A624")),"bulk",""))))</f>
        <v/>
      </c>
      <c r="ET395">
        <f>IF($DM395=0,"",IF(OR($EA395="",$EA395=0),"",$EA395/100))</f>
        <v/>
      </c>
      <c r="EU395">
        <f>IF(OR($ET395="",$DY395=""),"",INT($DY395*(1-$ET395)+0.5))</f>
        <v/>
      </c>
      <c r="EW395" t="n">
        <v>391</v>
      </c>
      <c r="EX395">
        <f>IFERROR(MATCH($EW395,$EM$5:$EM$1003,0),0)</f>
        <v/>
      </c>
      <c r="EY395">
        <f>IF($EW395&gt;$B$12,"",IF($EX395&gt;0,"row","spacer"))</f>
        <v/>
      </c>
      <c r="EZ395">
        <f>IF(AND($EY395="row",$EY394&lt;&gt;"row"),1,0)</f>
        <v/>
      </c>
      <c r="FA395">
        <f>IF(AND($EY395="row",$EY396&lt;&gt;"row"),1,0)</f>
        <v/>
      </c>
      <c r="FB395">
        <f>IF($EZ395=1,IFERROR(IF(ISNUMBER(INDEX(PASTE_ALL,INDEX($DF$5:$DF$1003,$EX395),$B$37)),INDEX(PASTE_ALL,INDEX($DF$5:$DF$1003,$EX395),$B$37),INDEX($DH$5:$DH$1003,$EX395)),INDEX($DH$5:$DH$1003,$EX395)),"")</f>
        <v/>
      </c>
      <c r="FC395">
        <f>IF($EY395="row",INDEX($ER$5:$ER$1003,$EX395),"")</f>
        <v/>
      </c>
      <c r="FD395">
        <f>IF($EY395="row",INDEX($DN$5:$DN$1003,$EX395),"")</f>
        <v/>
      </c>
      <c r="FE395">
        <f>IF($EY395="row",INDEX($DO$5:$DO$1003,$EX395),"")</f>
        <v/>
      </c>
      <c r="FF395">
        <f>IF($EY395="row",INDEX($DP$5:$DP$1003,$EX395),"")</f>
        <v/>
      </c>
      <c r="FG395">
        <f>IF($EY395="row",INDEX($DQ$5:$DQ$1003,$EX395),"")</f>
        <v/>
      </c>
      <c r="FH395">
        <f>IF($EY395="row",INDEX($DR$5:$DR$1003,$EX395),"")</f>
        <v/>
      </c>
      <c r="FI395">
        <f>IF($EY395="row",INDEX($DS$5:$DS$1003,$EX395),"")</f>
        <v/>
      </c>
      <c r="FJ395">
        <f>IF($EY395="row",INDEX($DT$5:$DT$1003,$EX395),"")</f>
        <v/>
      </c>
      <c r="FK395">
        <f>IF($EY395="row",INDEX($DU$5:$DU$1003,$EX395),"")</f>
        <v/>
      </c>
      <c r="FL395">
        <f>IF($EY395="row",INDEX($DV$5:$DV$1003,$EX395),"")</f>
        <v/>
      </c>
      <c r="FM395">
        <f>IF($EY395="row",INDEX($DW$5:$DW$1003,$EX395),"")</f>
        <v/>
      </c>
      <c r="FN395">
        <f>IF($EY395="row",INDEX($DY$5:$DY$1003,$EX395),"")</f>
        <v/>
      </c>
      <c r="FO395">
        <f>IF($EY395="row",INDEX($EA$5:$EA$1003,$EX395),"")</f>
        <v/>
      </c>
      <c r="FP395">
        <f>IF($EY395="row",INDEX($EC$5:$EC$1003,$EX395),"")</f>
        <v/>
      </c>
      <c r="FQ395">
        <f>IF($EY395="row",INDEX($ET$5:$ET$1003,$EX395),"")</f>
        <v/>
      </c>
      <c r="FR395">
        <f>IF($EY395="row",INDEX($EU$5:$EU$1003,$EX395),"")</f>
        <v/>
      </c>
      <c r="FS395">
        <f>IF(AND($EY395="row",$EY394="row"),IF(OR(INDEX($DT$5:$DT$1003,$EX394)="",INDEX($DT$5:$DT$1003,$EX395)=""),"",IF(NOT(EXACT(INDEX($DT$5:$DT$1003,$EX394),INDEX($DT$5:$DT$1003,$EX395))),"S4",IF(NOT(EXACT(INDEX($DS$5:$DS$1003,$EX394),INDEX($DS$5:$DS$1003,$EX395))),"S3",IF(NOT(EXACT(INDEX($DR$5:$DR$1003,$EX394),INDEX($DR$5:$DR$1003,$EX395))),"S1 Count Change","S1")))),"")</f>
        <v/>
      </c>
      <c r="FT395">
        <f>IF($EY395="row",INDEX($ES$5:$ES$1003,$EX395),"")</f>
        <v/>
      </c>
      <c r="FU395">
        <f>IF($EY395="row",INDEX($EO$5:$EO$1003,$EX395),0)</f>
        <v/>
      </c>
      <c r="FV395">
        <f>IF($FS395="S1 Count Change",1,0)</f>
        <v/>
      </c>
    </row>
    <row r="396">
      <c r="DA396" t="n">
        <v>392</v>
      </c>
      <c r="DB396">
        <f>IF($B$37=0,"",IFERROR(TRIM(SUBSTITUTE(SUBSTITUTE(SUBSTITUTE(SUBSTITUTE(INDEX(PASTE_ALL,392,$B$37)," "," "),CHAR(9)," "),CHAR(10)," "),CHAR(13)," ")),""))</f>
        <v/>
      </c>
      <c r="DC396">
        <f>IF(AND(392&gt;HEADER_ROW,UPPER(DB396)="LEGEND"),1,0)</f>
        <v/>
      </c>
      <c r="DE396" t="n">
        <v>392</v>
      </c>
      <c r="DF396">
        <f>HEADER_ROW+$DE396</f>
        <v/>
      </c>
      <c r="DG396">
        <f>IF(AND($DF396&lt;=1000,$DF396&lt;$B$8),1,0)</f>
        <v/>
      </c>
      <c r="DH396">
        <f>IF($DG396=1,IFERROR(INDEX($DB$5:$DB$1004,$DF396),""),"")</f>
        <v/>
      </c>
      <c r="DI396">
        <f>IF(AND($DG396=1,$DH396&lt;&gt;""),IFERROR(SUBSTITUTE(SUBSTITUTE(TRIM(SUBSTITUTE(SUBSTITUTE(SUBSTITUTE(SUBSTITUTE(IFERROR(INDEX(PASTE_ALL,$DF396,1)&amp;"","")&amp;"␟"&amp;IFERROR(INDEX(PASTE_ALL,$DF396,2)&amp;"","")&amp;"␟"&amp;IFERROR(INDEX(PASTE_ALL,$DF396,3)&amp;"","")&amp;"␟"&amp;IFERROR(INDEX(PASTE_ALL,$DF396,4)&amp;"","")&amp;"␟"&amp;IFERROR(INDEX(PASTE_ALL,$DF396,5)&amp;"","")&amp;"␟"&amp;IFERROR(INDEX(PASTE_ALL,$DF396,6)&amp;"","")&amp;"␟"&amp;IFERROR(INDEX(PASTE_ALL,$DF396,7)&amp;"","")&amp;"␟"&amp;IFERROR(INDEX(PASTE_ALL,$DF396,8)&amp;"","")&amp;"␟"&amp;IFERROR(INDEX(PASTE_ALL,$DF396,9)&amp;"","")&amp;"␟"&amp;IFERROR(INDEX(PASTE_ALL,$DF396,10)&amp;"","")&amp;"␟"&amp;IFERROR(INDEX(PASTE_ALL,$DF396,11)&amp;"","")&amp;"␟"&amp;IFERROR(INDEX(PASTE_ALL,$DF396,12)&amp;"","")&amp;"␟"&amp;IFERROR(INDEX(PASTE_ALL,$DF396,13)&amp;"","")&amp;"␟"&amp;IFERROR(INDEX(PASTE_ALL,$DF396,14)&amp;"","")&amp;"␟"&amp;IFERROR(INDEX(PASTE_ALL,$DF396,15)&amp;"","")&amp;"␟"&amp;IFERROR(INDEX(PASTE_ALL,$DF396,16)&amp;"","")&amp;"␟"&amp;IFERROR(INDEX(PASTE_ALL,$DF396,17)&amp;"","")&amp;"␟"&amp;IFERROR(INDEX(PASTE_ALL,$DF396,18)&amp;"","")&amp;"␟"&amp;IFERROR(INDEX(PASTE_ALL,$DF396,19)&amp;"","")&amp;"␟"&amp;IFERROR(INDEX(PASTE_ALL,$DF396,20)&amp;"","")&amp;"␟"&amp;IFERROR(INDEX(PASTE_ALL,$DF396,21)&amp;"","")&amp;"␟"&amp;IFERROR(INDEX(PASTE_ALL,$DF396,22)&amp;"","")&amp;"␟"&amp;IFERROR(INDEX(PASTE_ALL,$DF396,23)&amp;"","")&amp;"␟"&amp;IFERROR(INDEX(PASTE_ALL,$DF396,24)&amp;"","")&amp;"␟"&amp;IFERROR(INDEX(PASTE_ALL,$DF396,25)&amp;"","")&amp;"␟"&amp;IFERROR(INDEX(PASTE_ALL,$DF396,26)&amp;"","")&amp;"␟"&amp;IFERROR(INDEX(PASTE_ALL,$DF396,27)&amp;"","")&amp;"␟"&amp;IFERROR(INDEX(PASTE_ALL,$DF396,28)&amp;"","")&amp;"␟"&amp;IFERROR(INDEX(PASTE_ALL,$DF396,29)&amp;"","")&amp;"␟"&amp;IFERROR(INDEX(PASTE_ALL,$DF396,30)&amp;"","")&amp;"␟"&amp;IFERROR(INDEX(PASTE_ALL,$DF396,31)&amp;"","")&amp;"␟"&amp;IFERROR(INDEX(PASTE_ALL,$DF396,32)&amp;"","")&amp;"␟"&amp;IFERROR(INDEX(PASTE_ALL,$DF396,33)&amp;"","")&amp;"␟"&amp;IFERROR(INDEX(PASTE_ALL,$DF396,34)&amp;"","")&amp;"␟"&amp;IFERROR(INDEX(PASTE_ALL,$DF396,35)&amp;"","")&amp;"␟"&amp;IFERROR(INDEX(PASTE_ALL,$DF396,36)&amp;"","")&amp;"␟"&amp;IFERROR(INDEX(PASTE_ALL,$DF396,37)&amp;"","")&amp;"␟"&amp;IFERROR(INDEX(PASTE_ALL,$DF396,38)&amp;"","")&amp;"␟"&amp;IFERROR(INDEX(PASTE_ALL,$DF396,39)&amp;"","")&amp;"␟"&amp;IFERROR(INDEX(PASTE_ALL,$DF396,40)&amp;"","")&amp;"␟"&amp;IFERROR(INDEX(PASTE_ALL,$DF396,41)&amp;"","")&amp;"␟"&amp;IFERROR(INDEX(PASTE_ALL,$DF396,42)&amp;"","")&amp;"␟"&amp;IFERROR(INDEX(PASTE_ALL,$DF396,43)&amp;"","")&amp;"␟"&amp;IFERROR(INDEX(PASTE_ALL,$DF396,44)&amp;"","")&amp;"␟"&amp;IFERROR(INDEX(PASTE_ALL,$DF396,45)&amp;"","")&amp;"␟"&amp;IFERROR(INDEX(PASTE_ALL,$DF396,46)&amp;"","")&amp;"␟"&amp;IFERROR(INDEX(PASTE_ALL,$DF396,47)&amp;"","")&amp;"␟"&amp;IFERROR(INDEX(PASTE_ALL,$DF396,48)&amp;"","")&amp;"␟"&amp;IFERROR(INDEX(PASTE_ALL,$DF396,49)&amp;"","")&amp;"␟"&amp;IFERROR(INDEX(PASTE_ALL,$DF396,50)&amp;"","")&amp;"␟"&amp;IFERROR(INDEX(PASTE_ALL,$DF396,51)&amp;"","")&amp;"␟"&amp;IFERROR(INDEX(PASTE_ALL,$DF396,52)&amp;"","")&amp;"␟"&amp;IFERROR(INDEX(PASTE_ALL,$DF396,53)&amp;"","")&amp;"␟"&amp;IFERROR(INDEX(PASTE_ALL,$DF396,54)&amp;"","")&amp;"␟"&amp;IFERROR(INDEX(PASTE_ALL,$DF396,55)&amp;"","")&amp;"␟"&amp;IFERROR(INDEX(PASTE_ALL,$DF396,56)&amp;"","")&amp;"␟"&amp;IFERROR(INDEX(PASTE_ALL,$DF396,57)&amp;"","")&amp;"␟"&amp;IFERROR(INDEX(PASTE_ALL,$DF396,58)&amp;"","")&amp;"␟"&amp;IFERROR(INDEX(PASTE_ALL,$DF396,59)&amp;"","")&amp;"␟"&amp;IFERROR(INDEX(PASTE_ALL,$DF396,60)&amp;"","")," "," "),CHAR(9)," "),CHAR(10)," "),CHAR(13)," "))," ␟","␟"),"␟ ","␟"),"#"&amp;$DE396),"")</f>
        <v/>
      </c>
      <c r="DJ396">
        <f>IF($DI396="",0,IF(SUMPRODUCT(--EXACT($DI$4:DI395,$DI396))&gt;0,1,0))</f>
        <v/>
      </c>
      <c r="DK396">
        <f>IF(AND($DI396&lt;&gt;"",$DJ396=0),1,0)</f>
        <v/>
      </c>
      <c r="DL396">
        <f>DL395+$DK396</f>
        <v/>
      </c>
      <c r="DM396">
        <f>IF(AND($DK396=1,$DL396&lt;=600),1,0)</f>
        <v/>
      </c>
      <c r="DN396">
        <f>IF($DM396=0,"",IF($L$6=0,"",IFERROR(IF(ISNUMBER(INDEX(PASTE_ALL,$DF396,$L$6)),INDEX(PASTE_ALL,$DF396,$L$6),TRIM(SUBSTITUTE(SUBSTITUTE(SUBSTITUTE(SUBSTITUTE(INDEX(PASTE_ALL,$DF396,$L$6)," "," "),CHAR(9)," "),CHAR(10)," "),CHAR(13)," "))),"")))</f>
        <v/>
      </c>
      <c r="DO396">
        <f>IF($DM396=0,"",IF($L$7=0,"",IFERROR(IF(ISNUMBER(INDEX(PASTE_ALL,$DF396,$L$7)),INDEX(PASTE_ALL,$DF396,$L$7),TRIM(SUBSTITUTE(SUBSTITUTE(SUBSTITUTE(SUBSTITUTE(INDEX(PASTE_ALL,$DF396,$L$7)," "," "),CHAR(9)," "),CHAR(10)," "),CHAR(13)," "))),"")))</f>
        <v/>
      </c>
      <c r="DP396">
        <f>IF($DM396=0,"",IF($L$8=0,"",IFERROR(IF(ISNUMBER(INDEX(PASTE_ALL,$DF396,$L$8)),INDEX(PASTE_ALL,$DF396,$L$8),TRIM(SUBSTITUTE(SUBSTITUTE(SUBSTITUTE(SUBSTITUTE(INDEX(PASTE_ALL,$DF396,$L$8)," "," "),CHAR(9)," "),CHAR(10)," "),CHAR(13)," "))),"")))</f>
        <v/>
      </c>
      <c r="DQ396">
        <f>IF($DM396=0,"",IF($L$9=0,"",IFERROR(IF(ISNUMBER(INDEX(PASTE_ALL,$DF396,$L$9)),INDEX(PASTE_ALL,$DF396,$L$9),TRIM(SUBSTITUTE(SUBSTITUTE(SUBSTITUTE(SUBSTITUTE(INDEX(PASTE_ALL,$DF396,$L$9)," "," "),CHAR(9)," "),CHAR(10)," "),CHAR(13)," "))),"")))</f>
        <v/>
      </c>
      <c r="DR396">
        <f>IF($DM396=0,"",IF($L$10=0,"",IFERROR(IF(ISNUMBER(INDEX(PASTE_ALL,$DF396,$L$10)),INDEX(PASTE_ALL,$DF396,$L$10),TRIM(SUBSTITUTE(SUBSTITUTE(SUBSTITUTE(SUBSTITUTE(INDEX(PASTE_ALL,$DF396,$L$10)," "," "),CHAR(9)," "),CHAR(10)," "),CHAR(13)," "))),"")))</f>
        <v/>
      </c>
      <c r="DS396">
        <f>IF($DM396=0,"",IF($L$11=0,"",IFERROR(IF(ISNUMBER(INDEX(PASTE_ALL,$DF396,$L$11)),INDEX(PASTE_ALL,$DF396,$L$11),TRIM(SUBSTITUTE(SUBSTITUTE(SUBSTITUTE(SUBSTITUTE(INDEX(PASTE_ALL,$DF396,$L$11)," "," "),CHAR(9)," "),CHAR(10)," "),CHAR(13)," "))),"")))</f>
        <v/>
      </c>
      <c r="DT396">
        <f>IF($DM396=0,"",IF($L$12=0,"",IFERROR(IF(ISNUMBER(INDEX(PASTE_ALL,$DF396,$L$12)),INDEX(PASTE_ALL,$DF396,$L$12),TRIM(SUBSTITUTE(SUBSTITUTE(SUBSTITUTE(SUBSTITUTE(INDEX(PASTE_ALL,$DF396,$L$12)," "," "),CHAR(9)," "),CHAR(10)," "),CHAR(13)," "))),"")))</f>
        <v/>
      </c>
      <c r="DU396">
        <f>IF($DM396=0,"",IF($L$13=0,"",IFERROR(IF(ISNUMBER(INDEX(PASTE_ALL,$DF396,$L$13)),INDEX(PASTE_ALL,$DF396,$L$13),TRIM(SUBSTITUTE(SUBSTITUTE(SUBSTITUTE(SUBSTITUTE(INDEX(PASTE_ALL,$DF396,$L$13)," "," "),CHAR(9)," "),CHAR(10)," "),CHAR(13)," "))),"")))</f>
        <v/>
      </c>
      <c r="DV396">
        <f>IF($DM396=0,"",IF($L$14=0,"",IFERROR(IF(ISNUMBER(INDEX(PASTE_ALL,$DF396,$L$14)),INDEX(PASTE_ALL,$DF396,$L$14),TRIM(SUBSTITUTE(SUBSTITUTE(SUBSTITUTE(SUBSTITUTE(INDEX(PASTE_ALL,$DF396,$L$14)," "," "),CHAR(9)," "),CHAR(10)," "),CHAR(13)," "))),"")))</f>
        <v/>
      </c>
      <c r="DW396">
        <f>IF($DM396=0,"",IF($L$15=0,"",IFERROR(IF(ISNUMBER(INDEX(PASTE_ALL,$DF396,$L$15)),INDEX(PASTE_ALL,$DF396,$L$15),IF(SUMPRODUCT(--ISNUMBER(FIND({"A","B","C","D","E","F","G","H","I","J","K","L","M","N","O","P","Q","R","S","T","U","V","W","X","Y","Z","0","1","2","3","4","5","6","7","8","9"},UPPER(TRIM(SUBSTITUTE(SUBSTITUTE(SUBSTITUTE(SUBSTITUTE(INDEX(PASTE_ALL,$DF396,$L$15)," "," "),CHAR(9)," "),CHAR(10)," "),CHAR(13)," "))))))&gt;0,TRIM(SUBSTITUTE(SUBSTITUTE(SUBSTITUTE(SUBSTITUTE(INDEX(PASTE_ALL,$DF396,$L$15)," "," "),CHAR(9)," "),CHAR(10)," "),CHAR(13)," ")),"")),"")))</f>
        <v/>
      </c>
      <c r="DX396">
        <f>IF($DM396=0,"",IF($L$16=0,"",IFERROR(IF(ISNUMBER(INDEX(PASTE_ALL,$DF396,$L$16)),INDEX(PASTE_ALL,$DF396,$L$16),SUBSTITUTE(SUBSTITUTE(TRIM(SUBSTITUTE(SUBSTITUTE(SUBSTITUTE(SUBSTITUTE(INDEX(PASTE_ALL,$DF396,$L$16)," "," "),CHAR(9)," "),CHAR(10)," "),CHAR(13)," ")),",",""),"%","")),"")))</f>
        <v/>
      </c>
      <c r="DY396">
        <f>IF($DM396=0,"",IFERROR(IF(ISNUMBER($DX396),$DX396,IF($DX396="","",IF(TRIM($DX396)="",0,IF(AND(AND(SUBSTITUTE(SUBSTITUTE(SUBSTITUTE(SUBSTITUTE(SUBSTITUTE(SUBSTITUTE(SUBSTITUTE(SUBSTITUTE(SUBSTITUTE(SUBSTITUTE(SUBSTITUTE(SUBSTITUTE(SUBSTITUTE(SUBSTITUTE(UPPER(TRIM($DX396)),"0",""),"1",""),"2",""),"3",""),"4",""),"5",""),"6",""),"7",""),"8",""),"9",""),".",""),"+",""),"-",""),"E","")="",LEN(SUBSTITUTE(SUBSTITUTE(MID(UPPER(TRIM($DX396)),1+OR(LEFT(UPPER(TRIM($DX396)),1)="+",LEFT(UPPER(TRIM($DX396)),1)="-"),999),"E+","E"),"E-","E"))=LEN(SUBSTITUTE(SUBSTITUTE(SUBSTITUTE(SUBSTITUTE(MID(UPPER(TRIM($DX396)),1+OR(LEFT(UPPER(TRIM($DX396)),1)="+",LEFT(UPPER(TRIM($DX396)),1)="-"),999),"E+","E"),"E-","E"),"+",""),"-","")),LEN(UPPER(TRIM($DX396)))-LEN(SUBSTITUTE(UPPER(TRIM($DX396)),"E",""))&lt;2,LEN(UPPER(TRIM($DX396)))-LEN(SUBSTITUTE(UPPER(TRIM($DX396)),".",""))&lt;2,IFERROR(FIND(".",UPPER(TRIM($DX396))),0)&lt;IFERROR(FIND("E",UPPER(TRIM($DX396))),999)),ISNUMBER(VALUE(TRIM($DX396)))),VALUE(TRIM($DX396)),"")))),""))</f>
        <v/>
      </c>
      <c r="DZ396">
        <f>IF($DM396=0,"",IF($L$17=0,"",IFERROR(IF(ISNUMBER(INDEX(PASTE_ALL,$DF396,$L$17)),INDEX(PASTE_ALL,$DF396,$L$17),SUBSTITUTE(SUBSTITUTE(TRIM(SUBSTITUTE(SUBSTITUTE(SUBSTITUTE(SUBSTITUTE(INDEX(PASTE_ALL,$DF396,$L$17)," "," "),CHAR(9)," "),CHAR(10)," "),CHAR(13)," ")),",",""),"%","")),"")))</f>
        <v/>
      </c>
      <c r="EA396">
        <f>IF($DM396=0,"",IFERROR(IF(ISNUMBER($DZ396),$DZ396,IF($DZ396="","",IF(TRIM($DZ396)="",0,IF(AND(AND(SUBSTITUTE(SUBSTITUTE(SUBSTITUTE(SUBSTITUTE(SUBSTITUTE(SUBSTITUTE(SUBSTITUTE(SUBSTITUTE(SUBSTITUTE(SUBSTITUTE(SUBSTITUTE(SUBSTITUTE(SUBSTITUTE(SUBSTITUTE(UPPER(TRIM($DZ396)),"0",""),"1",""),"2",""),"3",""),"4",""),"5",""),"6",""),"7",""),"8",""),"9",""),".",""),"+",""),"-",""),"E","")="",LEN(SUBSTITUTE(SUBSTITUTE(MID(UPPER(TRIM($DZ396)),1+OR(LEFT(UPPER(TRIM($DZ396)),1)="+",LEFT(UPPER(TRIM($DZ396)),1)="-"),999),"E+","E"),"E-","E"))=LEN(SUBSTITUTE(SUBSTITUTE(SUBSTITUTE(SUBSTITUTE(MID(UPPER(TRIM($DZ396)),1+OR(LEFT(UPPER(TRIM($DZ396)),1)="+",LEFT(UPPER(TRIM($DZ396)),1)="-"),999),"E+","E"),"E-","E"),"+",""),"-","")),LEN(UPPER(TRIM($DZ396)))-LEN(SUBSTITUTE(UPPER(TRIM($DZ396)),"E",""))&lt;2,LEN(UPPER(TRIM($DZ396)))-LEN(SUBSTITUTE(UPPER(TRIM($DZ396)),".",""))&lt;2,IFERROR(FIND(".",UPPER(TRIM($DZ396))),0)&lt;IFERROR(FIND("E",UPPER(TRIM($DZ396))),999)),ISNUMBER(VALUE(TRIM($DZ396)))),VALUE(TRIM($DZ396)),"")))),""))</f>
        <v/>
      </c>
      <c r="EB396">
        <f>IF($DM396=0,"",IF($L$18=0,"",IFERROR(IF(UPPER(TRIM(SUBSTITUTE(SUBSTITUTE(SUBSTITUTE(SUBSTITUTE(INDEX(PASTE_ALL,$DF396,$L$18)," "," "),CHAR(9)," "),CHAR(10)," "),CHAR(13)," ")))="READY","Ready",IF(UPPER(TRIM(SUBSTITUTE(SUBSTITUTE(SUBSTITUTE(SUBSTITUTE(INDEX(PASTE_ALL,$DF396,$L$18)," "," "),CHAR(9)," "),CHAR(10)," "),CHAR(13)," ")))="PM","PM",IF(OR(UPPER(TRIM(SUBSTITUTE(SUBSTITUTE(SUBSTITUTE(SUBSTITUTE(INDEX(PASTE_ALL,$DF396,$L$18)," "," "),CHAR(9)," "),CHAR(10)," "),CHAR(13)," ")))="OT",UPPER(TRIM(SUBSTITUTE(SUBSTITUTE(SUBSTITUTE(SUBSTITUTE(INDEX(PASTE_ALL,$DF396,$L$18)," "," "),CHAR(9)," "),CHAR(10)," "),CHAR(13)," ")))="OVERTIME",UPPER(TRIM(SUBSTITUTE(SUBSTITUTE(SUBSTITUTE(SUBSTITUTE(INDEX(PASTE_ALL,$DF396,$L$18)," "," "),CHAR(9)," "),CHAR(10)," "),CHAR(13)," ")))="TRIAL"),"OT",TRIM(SUBSTITUTE(SUBSTITUTE(SUBSTITUTE(SUBSTITUTE(INDEX(PASTE_ALL,$DF396,$L$18)," "," "),CHAR(9)," "),CHAR(10)," "),CHAR(13)," "))))),"")))</f>
        <v/>
      </c>
      <c r="EC396">
        <f>IF($DM396=0,"",IF($L$19=0,"",IFERROR(IF(ISNUMBER(INDEX(PASTE_ALL,$DF396,$L$19)),INDEX(PASTE_ALL,$DF396,$L$19),TRIM(SUBSTITUTE(SUBSTITUTE(SUBSTITUTE(SUBSTITUTE(INDEX(PASTE_ALL,$DF396,$L$19)," "," "),CHAR(9)," "),CHAR(10)," "),CHAR(13)," "))),"")))</f>
        <v/>
      </c>
      <c r="ED396">
        <f>IF($DM396=0,"",MATCH(1,INDEX(EXACT($DH$5:DH396,$DH396)*$DM$5:DM396,0),0))</f>
        <v/>
      </c>
      <c r="EE396">
        <f>IF($DM396=0,0,IF($ED396=$DE396,1,0))</f>
        <v/>
      </c>
      <c r="EF396">
        <f>EF395+$EE396</f>
        <v/>
      </c>
      <c r="EG396">
        <f>IF($DM396=0,"",INDEX($EF$5:$EF$1003,$ED396))</f>
        <v/>
      </c>
      <c r="EH396">
        <f>IF($DM396=0,"",IF($DO396&lt;&gt;"","",IFERROR(LOOKUP(2,1/(($EG$4:EG395=$EG396)*($DO$4:DO395&lt;&gt;"")),$DO$4:DO395),"")))</f>
        <v/>
      </c>
      <c r="EI396">
        <f>IF($DM396=0,"",IF($DO396&lt;&gt;"",$DO396,$EH396))</f>
        <v/>
      </c>
      <c r="EJ396">
        <f>IF($DM396=0,"",IF($EI396="",0,IF(OR(ISNUMBER($EI396),AND(AND(SUBSTITUTE(SUBSTITUTE(SUBSTITUTE(SUBSTITUTE(SUBSTITUTE(SUBSTITUTE(SUBSTITUTE(SUBSTITUTE(SUBSTITUTE(SUBSTITUTE(SUBSTITUTE(SUBSTITUTE(SUBSTITUTE(SUBSTITUTE(UPPER($EI396),"0",""),"1",""),"2",""),"3",""),"4",""),"5",""),"6",""),"7",""),"8",""),"9",""),".",""),"+",""),"-",""),"E","")="",LEN(SUBSTITUTE(SUBSTITUTE(MID(UPPER($EI396),1+OR(LEFT(UPPER($EI396),1)="+",LEFT(UPPER($EI396),1)="-"),999),"E+","E"),"E-","E"))=LEN(SUBSTITUTE(SUBSTITUTE(SUBSTITUTE(SUBSTITUTE(MID(UPPER($EI396),1+OR(LEFT(UPPER($EI396),1)="+",LEFT(UPPER($EI396),1)="-"),999),"E+","E"),"E-","E"),"+",""),"-","")),LEN(UPPER($EI396))-LEN(SUBSTITUTE(UPPER($EI396),"E",""))&lt;2,LEN(UPPER($EI396))-LEN(SUBSTITUTE(UPPER($EI396),".",""))&lt;2,IFERROR(FIND(".",UPPER($EI396)),0)&lt;IFERROR(FIND("E",UPPER($EI396)),999)),ISNUMBER(VALUE($EI396)))),1,2)))</f>
        <v/>
      </c>
      <c r="EK396">
        <f>IF($DM396=0,"",IF($EJ396=1,IF(ISNUMBER($EI396),$EI396,VALUE($EI396)),IF($EJ396=2,$DE396,0)))</f>
        <v/>
      </c>
      <c r="EL396">
        <f>IF($DM396=0,"",COUNTIF($EG$5:$EG$1003,"&lt;"&amp;$EG396)+SUMPRODUCT(($EG$5:$EG$1003=$EG396)*(($EJ$5:$EJ$1003&lt;$EJ396)+($EJ$5:$EJ$1003=$EJ396)*(($EK$5:$EK$1003&lt;$EK396)+($EK$5:$EK$1003=$EK396)*($DE$5:$DE$1003&lt;$DE396))))+1)</f>
        <v/>
      </c>
      <c r="EM396">
        <f>IF($DM396=0,"",$EL396+$EG396-1)</f>
        <v/>
      </c>
      <c r="EN396">
        <f>IF($DM396=0,0,IFERROR(MATCH(1,INDEX(--(TRIM(SUBSTITUTE(SUBSTITUTE(SUBSTITUTE(SUBSTITUTE(LINES_NAME&amp;""," "," "),CHAR(9)," "),CHAR(10)," "),CHAR(13)," "))=$DH396),0),0),0))</f>
        <v/>
      </c>
      <c r="EO396">
        <f>IF($EN396=0,0,IF(OR(UPPER(TRIM(INDEX(LINES_SCHEDULED,$EN396)&amp;""))="YES",UPPER(TRIM(INDEX(LINES_SCHEDULED,$EN396)&amp;""))="Y",UPPER(TRIM(INDEX(LINES_SCHEDULED,$EN396)&amp;""))="X"),1,0))</f>
        <v/>
      </c>
      <c r="EP396">
        <f>IF($DM396=0,"",IF(COUNTIFS($EG$5:$EG$1003,$EG396,$EB$5:$EB$1003,"Ready")&gt;0,"READY",IF(COUNTIFS($EG$5:$EG$1003,$EG396,$EB$5:$EB$1003,"PM")&gt;0,"PM",IF(COUNTIFS($EG$5:$EG$1003,$EG396,$EB$5:$EB$1003,"OT")&gt;0,"OT",""))))</f>
        <v/>
      </c>
      <c r="EQ396">
        <f>IF($EN396=0,"",UPPER(TRIM(INDEX(LINES_STATUS,$EN396)&amp;"")))</f>
        <v/>
      </c>
      <c r="ER396">
        <f>IF($DM396=0,"",IF(OR($EQ396="READY",$EQ396="PM",$EQ396="OT"),$EQ396,$EP396))</f>
        <v/>
      </c>
      <c r="ES396">
        <f>IF($DM396=0,"",IF(AND($DV396&lt;&gt;"",UPPER($DV396)&lt;&gt;"N"),"allergen",IF(ISNUMBER(SEARCH("oil",$DQ396)),"oil",IF(OR(EXACT($DS396,"A662"),EXACT($DS396,"A624")),"bulk",""))))</f>
        <v/>
      </c>
      <c r="ET396">
        <f>IF($DM396=0,"",IF(OR($EA396="",$EA396=0),"",$EA396/100))</f>
        <v/>
      </c>
      <c r="EU396">
        <f>IF(OR($ET396="",$DY396=""),"",INT($DY396*(1-$ET396)+0.5))</f>
        <v/>
      </c>
      <c r="EW396" t="n">
        <v>392</v>
      </c>
      <c r="EX396">
        <f>IFERROR(MATCH($EW396,$EM$5:$EM$1003,0),0)</f>
        <v/>
      </c>
      <c r="EY396">
        <f>IF($EW396&gt;$B$12,"",IF($EX396&gt;0,"row","spacer"))</f>
        <v/>
      </c>
      <c r="EZ396">
        <f>IF(AND($EY396="row",$EY395&lt;&gt;"row"),1,0)</f>
        <v/>
      </c>
      <c r="FA396">
        <f>IF(AND($EY396="row",$EY397&lt;&gt;"row"),1,0)</f>
        <v/>
      </c>
      <c r="FB396">
        <f>IF($EZ396=1,IFERROR(IF(ISNUMBER(INDEX(PASTE_ALL,INDEX($DF$5:$DF$1003,$EX396),$B$37)),INDEX(PASTE_ALL,INDEX($DF$5:$DF$1003,$EX396),$B$37),INDEX($DH$5:$DH$1003,$EX396)),INDEX($DH$5:$DH$1003,$EX396)),"")</f>
        <v/>
      </c>
      <c r="FC396">
        <f>IF($EY396="row",INDEX($ER$5:$ER$1003,$EX396),"")</f>
        <v/>
      </c>
      <c r="FD396">
        <f>IF($EY396="row",INDEX($DN$5:$DN$1003,$EX396),"")</f>
        <v/>
      </c>
      <c r="FE396">
        <f>IF($EY396="row",INDEX($DO$5:$DO$1003,$EX396),"")</f>
        <v/>
      </c>
      <c r="FF396">
        <f>IF($EY396="row",INDEX($DP$5:$DP$1003,$EX396),"")</f>
        <v/>
      </c>
      <c r="FG396">
        <f>IF($EY396="row",INDEX($DQ$5:$DQ$1003,$EX396),"")</f>
        <v/>
      </c>
      <c r="FH396">
        <f>IF($EY396="row",INDEX($DR$5:$DR$1003,$EX396),"")</f>
        <v/>
      </c>
      <c r="FI396">
        <f>IF($EY396="row",INDEX($DS$5:$DS$1003,$EX396),"")</f>
        <v/>
      </c>
      <c r="FJ396">
        <f>IF($EY396="row",INDEX($DT$5:$DT$1003,$EX396),"")</f>
        <v/>
      </c>
      <c r="FK396">
        <f>IF($EY396="row",INDEX($DU$5:$DU$1003,$EX396),"")</f>
        <v/>
      </c>
      <c r="FL396">
        <f>IF($EY396="row",INDEX($DV$5:$DV$1003,$EX396),"")</f>
        <v/>
      </c>
      <c r="FM396">
        <f>IF($EY396="row",INDEX($DW$5:$DW$1003,$EX396),"")</f>
        <v/>
      </c>
      <c r="FN396">
        <f>IF($EY396="row",INDEX($DY$5:$DY$1003,$EX396),"")</f>
        <v/>
      </c>
      <c r="FO396">
        <f>IF($EY396="row",INDEX($EA$5:$EA$1003,$EX396),"")</f>
        <v/>
      </c>
      <c r="FP396">
        <f>IF($EY396="row",INDEX($EC$5:$EC$1003,$EX396),"")</f>
        <v/>
      </c>
      <c r="FQ396">
        <f>IF($EY396="row",INDEX($ET$5:$ET$1003,$EX396),"")</f>
        <v/>
      </c>
      <c r="FR396">
        <f>IF($EY396="row",INDEX($EU$5:$EU$1003,$EX396),"")</f>
        <v/>
      </c>
      <c r="FS396">
        <f>IF(AND($EY396="row",$EY395="row"),IF(OR(INDEX($DT$5:$DT$1003,$EX395)="",INDEX($DT$5:$DT$1003,$EX396)=""),"",IF(NOT(EXACT(INDEX($DT$5:$DT$1003,$EX395),INDEX($DT$5:$DT$1003,$EX396))),"S4",IF(NOT(EXACT(INDEX($DS$5:$DS$1003,$EX395),INDEX($DS$5:$DS$1003,$EX396))),"S3",IF(NOT(EXACT(INDEX($DR$5:$DR$1003,$EX395),INDEX($DR$5:$DR$1003,$EX396))),"S1 Count Change","S1")))),"")</f>
        <v/>
      </c>
      <c r="FT396">
        <f>IF($EY396="row",INDEX($ES$5:$ES$1003,$EX396),"")</f>
        <v/>
      </c>
      <c r="FU396">
        <f>IF($EY396="row",INDEX($EO$5:$EO$1003,$EX396),0)</f>
        <v/>
      </c>
      <c r="FV396">
        <f>IF($FS396="S1 Count Change",1,0)</f>
        <v/>
      </c>
    </row>
    <row r="397">
      <c r="DA397" t="n">
        <v>393</v>
      </c>
      <c r="DB397">
        <f>IF($B$37=0,"",IFERROR(TRIM(SUBSTITUTE(SUBSTITUTE(SUBSTITUTE(SUBSTITUTE(INDEX(PASTE_ALL,393,$B$37)," "," "),CHAR(9)," "),CHAR(10)," "),CHAR(13)," ")),""))</f>
        <v/>
      </c>
      <c r="DC397">
        <f>IF(AND(393&gt;HEADER_ROW,UPPER(DB397)="LEGEND"),1,0)</f>
        <v/>
      </c>
      <c r="DE397" t="n">
        <v>393</v>
      </c>
      <c r="DF397">
        <f>HEADER_ROW+$DE397</f>
        <v/>
      </c>
      <c r="DG397">
        <f>IF(AND($DF397&lt;=1000,$DF397&lt;$B$8),1,0)</f>
        <v/>
      </c>
      <c r="DH397">
        <f>IF($DG397=1,IFERROR(INDEX($DB$5:$DB$1004,$DF397),""),"")</f>
        <v/>
      </c>
      <c r="DI397">
        <f>IF(AND($DG397=1,$DH397&lt;&gt;""),IFERROR(SUBSTITUTE(SUBSTITUTE(TRIM(SUBSTITUTE(SUBSTITUTE(SUBSTITUTE(SUBSTITUTE(IFERROR(INDEX(PASTE_ALL,$DF397,1)&amp;"","")&amp;"␟"&amp;IFERROR(INDEX(PASTE_ALL,$DF397,2)&amp;"","")&amp;"␟"&amp;IFERROR(INDEX(PASTE_ALL,$DF397,3)&amp;"","")&amp;"␟"&amp;IFERROR(INDEX(PASTE_ALL,$DF397,4)&amp;"","")&amp;"␟"&amp;IFERROR(INDEX(PASTE_ALL,$DF397,5)&amp;"","")&amp;"␟"&amp;IFERROR(INDEX(PASTE_ALL,$DF397,6)&amp;"","")&amp;"␟"&amp;IFERROR(INDEX(PASTE_ALL,$DF397,7)&amp;"","")&amp;"␟"&amp;IFERROR(INDEX(PASTE_ALL,$DF397,8)&amp;"","")&amp;"␟"&amp;IFERROR(INDEX(PASTE_ALL,$DF397,9)&amp;"","")&amp;"␟"&amp;IFERROR(INDEX(PASTE_ALL,$DF397,10)&amp;"","")&amp;"␟"&amp;IFERROR(INDEX(PASTE_ALL,$DF397,11)&amp;"","")&amp;"␟"&amp;IFERROR(INDEX(PASTE_ALL,$DF397,12)&amp;"","")&amp;"␟"&amp;IFERROR(INDEX(PASTE_ALL,$DF397,13)&amp;"","")&amp;"␟"&amp;IFERROR(INDEX(PASTE_ALL,$DF397,14)&amp;"","")&amp;"␟"&amp;IFERROR(INDEX(PASTE_ALL,$DF397,15)&amp;"","")&amp;"␟"&amp;IFERROR(INDEX(PASTE_ALL,$DF397,16)&amp;"","")&amp;"␟"&amp;IFERROR(INDEX(PASTE_ALL,$DF397,17)&amp;"","")&amp;"␟"&amp;IFERROR(INDEX(PASTE_ALL,$DF397,18)&amp;"","")&amp;"␟"&amp;IFERROR(INDEX(PASTE_ALL,$DF397,19)&amp;"","")&amp;"␟"&amp;IFERROR(INDEX(PASTE_ALL,$DF397,20)&amp;"","")&amp;"␟"&amp;IFERROR(INDEX(PASTE_ALL,$DF397,21)&amp;"","")&amp;"␟"&amp;IFERROR(INDEX(PASTE_ALL,$DF397,22)&amp;"","")&amp;"␟"&amp;IFERROR(INDEX(PASTE_ALL,$DF397,23)&amp;"","")&amp;"␟"&amp;IFERROR(INDEX(PASTE_ALL,$DF397,24)&amp;"","")&amp;"␟"&amp;IFERROR(INDEX(PASTE_ALL,$DF397,25)&amp;"","")&amp;"␟"&amp;IFERROR(INDEX(PASTE_ALL,$DF397,26)&amp;"","")&amp;"␟"&amp;IFERROR(INDEX(PASTE_ALL,$DF397,27)&amp;"","")&amp;"␟"&amp;IFERROR(INDEX(PASTE_ALL,$DF397,28)&amp;"","")&amp;"␟"&amp;IFERROR(INDEX(PASTE_ALL,$DF397,29)&amp;"","")&amp;"␟"&amp;IFERROR(INDEX(PASTE_ALL,$DF397,30)&amp;"","")&amp;"␟"&amp;IFERROR(INDEX(PASTE_ALL,$DF397,31)&amp;"","")&amp;"␟"&amp;IFERROR(INDEX(PASTE_ALL,$DF397,32)&amp;"","")&amp;"␟"&amp;IFERROR(INDEX(PASTE_ALL,$DF397,33)&amp;"","")&amp;"␟"&amp;IFERROR(INDEX(PASTE_ALL,$DF397,34)&amp;"","")&amp;"␟"&amp;IFERROR(INDEX(PASTE_ALL,$DF397,35)&amp;"","")&amp;"␟"&amp;IFERROR(INDEX(PASTE_ALL,$DF397,36)&amp;"","")&amp;"␟"&amp;IFERROR(INDEX(PASTE_ALL,$DF397,37)&amp;"","")&amp;"␟"&amp;IFERROR(INDEX(PASTE_ALL,$DF397,38)&amp;"","")&amp;"␟"&amp;IFERROR(INDEX(PASTE_ALL,$DF397,39)&amp;"","")&amp;"␟"&amp;IFERROR(INDEX(PASTE_ALL,$DF397,40)&amp;"","")&amp;"␟"&amp;IFERROR(INDEX(PASTE_ALL,$DF397,41)&amp;"","")&amp;"␟"&amp;IFERROR(INDEX(PASTE_ALL,$DF397,42)&amp;"","")&amp;"␟"&amp;IFERROR(INDEX(PASTE_ALL,$DF397,43)&amp;"","")&amp;"␟"&amp;IFERROR(INDEX(PASTE_ALL,$DF397,44)&amp;"","")&amp;"␟"&amp;IFERROR(INDEX(PASTE_ALL,$DF397,45)&amp;"","")&amp;"␟"&amp;IFERROR(INDEX(PASTE_ALL,$DF397,46)&amp;"","")&amp;"␟"&amp;IFERROR(INDEX(PASTE_ALL,$DF397,47)&amp;"","")&amp;"␟"&amp;IFERROR(INDEX(PASTE_ALL,$DF397,48)&amp;"","")&amp;"␟"&amp;IFERROR(INDEX(PASTE_ALL,$DF397,49)&amp;"","")&amp;"␟"&amp;IFERROR(INDEX(PASTE_ALL,$DF397,50)&amp;"","")&amp;"␟"&amp;IFERROR(INDEX(PASTE_ALL,$DF397,51)&amp;"","")&amp;"␟"&amp;IFERROR(INDEX(PASTE_ALL,$DF397,52)&amp;"","")&amp;"␟"&amp;IFERROR(INDEX(PASTE_ALL,$DF397,53)&amp;"","")&amp;"␟"&amp;IFERROR(INDEX(PASTE_ALL,$DF397,54)&amp;"","")&amp;"␟"&amp;IFERROR(INDEX(PASTE_ALL,$DF397,55)&amp;"","")&amp;"␟"&amp;IFERROR(INDEX(PASTE_ALL,$DF397,56)&amp;"","")&amp;"␟"&amp;IFERROR(INDEX(PASTE_ALL,$DF397,57)&amp;"","")&amp;"␟"&amp;IFERROR(INDEX(PASTE_ALL,$DF397,58)&amp;"","")&amp;"␟"&amp;IFERROR(INDEX(PASTE_ALL,$DF397,59)&amp;"","")&amp;"␟"&amp;IFERROR(INDEX(PASTE_ALL,$DF397,60)&amp;"","")," "," "),CHAR(9)," "),CHAR(10)," "),CHAR(13)," "))," ␟","␟"),"␟ ","␟"),"#"&amp;$DE397),"")</f>
        <v/>
      </c>
      <c r="DJ397">
        <f>IF($DI397="",0,IF(SUMPRODUCT(--EXACT($DI$4:DI396,$DI397))&gt;0,1,0))</f>
        <v/>
      </c>
      <c r="DK397">
        <f>IF(AND($DI397&lt;&gt;"",$DJ397=0),1,0)</f>
        <v/>
      </c>
      <c r="DL397">
        <f>DL396+$DK397</f>
        <v/>
      </c>
      <c r="DM397">
        <f>IF(AND($DK397=1,$DL397&lt;=600),1,0)</f>
        <v/>
      </c>
      <c r="DN397">
        <f>IF($DM397=0,"",IF($L$6=0,"",IFERROR(IF(ISNUMBER(INDEX(PASTE_ALL,$DF397,$L$6)),INDEX(PASTE_ALL,$DF397,$L$6),TRIM(SUBSTITUTE(SUBSTITUTE(SUBSTITUTE(SUBSTITUTE(INDEX(PASTE_ALL,$DF397,$L$6)," "," "),CHAR(9)," "),CHAR(10)," "),CHAR(13)," "))),"")))</f>
        <v/>
      </c>
      <c r="DO397">
        <f>IF($DM397=0,"",IF($L$7=0,"",IFERROR(IF(ISNUMBER(INDEX(PASTE_ALL,$DF397,$L$7)),INDEX(PASTE_ALL,$DF397,$L$7),TRIM(SUBSTITUTE(SUBSTITUTE(SUBSTITUTE(SUBSTITUTE(INDEX(PASTE_ALL,$DF397,$L$7)," "," "),CHAR(9)," "),CHAR(10)," "),CHAR(13)," "))),"")))</f>
        <v/>
      </c>
      <c r="DP397">
        <f>IF($DM397=0,"",IF($L$8=0,"",IFERROR(IF(ISNUMBER(INDEX(PASTE_ALL,$DF397,$L$8)),INDEX(PASTE_ALL,$DF397,$L$8),TRIM(SUBSTITUTE(SUBSTITUTE(SUBSTITUTE(SUBSTITUTE(INDEX(PASTE_ALL,$DF397,$L$8)," "," "),CHAR(9)," "),CHAR(10)," "),CHAR(13)," "))),"")))</f>
        <v/>
      </c>
      <c r="DQ397">
        <f>IF($DM397=0,"",IF($L$9=0,"",IFERROR(IF(ISNUMBER(INDEX(PASTE_ALL,$DF397,$L$9)),INDEX(PASTE_ALL,$DF397,$L$9),TRIM(SUBSTITUTE(SUBSTITUTE(SUBSTITUTE(SUBSTITUTE(INDEX(PASTE_ALL,$DF397,$L$9)," "," "),CHAR(9)," "),CHAR(10)," "),CHAR(13)," "))),"")))</f>
        <v/>
      </c>
      <c r="DR397">
        <f>IF($DM397=0,"",IF($L$10=0,"",IFERROR(IF(ISNUMBER(INDEX(PASTE_ALL,$DF397,$L$10)),INDEX(PASTE_ALL,$DF397,$L$10),TRIM(SUBSTITUTE(SUBSTITUTE(SUBSTITUTE(SUBSTITUTE(INDEX(PASTE_ALL,$DF397,$L$10)," "," "),CHAR(9)," "),CHAR(10)," "),CHAR(13)," "))),"")))</f>
        <v/>
      </c>
      <c r="DS397">
        <f>IF($DM397=0,"",IF($L$11=0,"",IFERROR(IF(ISNUMBER(INDEX(PASTE_ALL,$DF397,$L$11)),INDEX(PASTE_ALL,$DF397,$L$11),TRIM(SUBSTITUTE(SUBSTITUTE(SUBSTITUTE(SUBSTITUTE(INDEX(PASTE_ALL,$DF397,$L$11)," "," "),CHAR(9)," "),CHAR(10)," "),CHAR(13)," "))),"")))</f>
        <v/>
      </c>
      <c r="DT397">
        <f>IF($DM397=0,"",IF($L$12=0,"",IFERROR(IF(ISNUMBER(INDEX(PASTE_ALL,$DF397,$L$12)),INDEX(PASTE_ALL,$DF397,$L$12),TRIM(SUBSTITUTE(SUBSTITUTE(SUBSTITUTE(SUBSTITUTE(INDEX(PASTE_ALL,$DF397,$L$12)," "," "),CHAR(9)," "),CHAR(10)," "),CHAR(13)," "))),"")))</f>
        <v/>
      </c>
      <c r="DU397">
        <f>IF($DM397=0,"",IF($L$13=0,"",IFERROR(IF(ISNUMBER(INDEX(PASTE_ALL,$DF397,$L$13)),INDEX(PASTE_ALL,$DF397,$L$13),TRIM(SUBSTITUTE(SUBSTITUTE(SUBSTITUTE(SUBSTITUTE(INDEX(PASTE_ALL,$DF397,$L$13)," "," "),CHAR(9)," "),CHAR(10)," "),CHAR(13)," "))),"")))</f>
        <v/>
      </c>
      <c r="DV397">
        <f>IF($DM397=0,"",IF($L$14=0,"",IFERROR(IF(ISNUMBER(INDEX(PASTE_ALL,$DF397,$L$14)),INDEX(PASTE_ALL,$DF397,$L$14),TRIM(SUBSTITUTE(SUBSTITUTE(SUBSTITUTE(SUBSTITUTE(INDEX(PASTE_ALL,$DF397,$L$14)," "," "),CHAR(9)," "),CHAR(10)," "),CHAR(13)," "))),"")))</f>
        <v/>
      </c>
      <c r="DW397">
        <f>IF($DM397=0,"",IF($L$15=0,"",IFERROR(IF(ISNUMBER(INDEX(PASTE_ALL,$DF397,$L$15)),INDEX(PASTE_ALL,$DF397,$L$15),IF(SUMPRODUCT(--ISNUMBER(FIND({"A","B","C","D","E","F","G","H","I","J","K","L","M","N","O","P","Q","R","S","T","U","V","W","X","Y","Z","0","1","2","3","4","5","6","7","8","9"},UPPER(TRIM(SUBSTITUTE(SUBSTITUTE(SUBSTITUTE(SUBSTITUTE(INDEX(PASTE_ALL,$DF397,$L$15)," "," "),CHAR(9)," "),CHAR(10)," "),CHAR(13)," "))))))&gt;0,TRIM(SUBSTITUTE(SUBSTITUTE(SUBSTITUTE(SUBSTITUTE(INDEX(PASTE_ALL,$DF397,$L$15)," "," "),CHAR(9)," "),CHAR(10)," "),CHAR(13)," ")),"")),"")))</f>
        <v/>
      </c>
      <c r="DX397">
        <f>IF($DM397=0,"",IF($L$16=0,"",IFERROR(IF(ISNUMBER(INDEX(PASTE_ALL,$DF397,$L$16)),INDEX(PASTE_ALL,$DF397,$L$16),SUBSTITUTE(SUBSTITUTE(TRIM(SUBSTITUTE(SUBSTITUTE(SUBSTITUTE(SUBSTITUTE(INDEX(PASTE_ALL,$DF397,$L$16)," "," "),CHAR(9)," "),CHAR(10)," "),CHAR(13)," ")),",",""),"%","")),"")))</f>
        <v/>
      </c>
      <c r="DY397">
        <f>IF($DM397=0,"",IFERROR(IF(ISNUMBER($DX397),$DX397,IF($DX397="","",IF(TRIM($DX397)="",0,IF(AND(AND(SUBSTITUTE(SUBSTITUTE(SUBSTITUTE(SUBSTITUTE(SUBSTITUTE(SUBSTITUTE(SUBSTITUTE(SUBSTITUTE(SUBSTITUTE(SUBSTITUTE(SUBSTITUTE(SUBSTITUTE(SUBSTITUTE(SUBSTITUTE(UPPER(TRIM($DX397)),"0",""),"1",""),"2",""),"3",""),"4",""),"5",""),"6",""),"7",""),"8",""),"9",""),".",""),"+",""),"-",""),"E","")="",LEN(SUBSTITUTE(SUBSTITUTE(MID(UPPER(TRIM($DX397)),1+OR(LEFT(UPPER(TRIM($DX397)),1)="+",LEFT(UPPER(TRIM($DX397)),1)="-"),999),"E+","E"),"E-","E"))=LEN(SUBSTITUTE(SUBSTITUTE(SUBSTITUTE(SUBSTITUTE(MID(UPPER(TRIM($DX397)),1+OR(LEFT(UPPER(TRIM($DX397)),1)="+",LEFT(UPPER(TRIM($DX397)),1)="-"),999),"E+","E"),"E-","E"),"+",""),"-","")),LEN(UPPER(TRIM($DX397)))-LEN(SUBSTITUTE(UPPER(TRIM($DX397)),"E",""))&lt;2,LEN(UPPER(TRIM($DX397)))-LEN(SUBSTITUTE(UPPER(TRIM($DX397)),".",""))&lt;2,IFERROR(FIND(".",UPPER(TRIM($DX397))),0)&lt;IFERROR(FIND("E",UPPER(TRIM($DX397))),999)),ISNUMBER(VALUE(TRIM($DX397)))),VALUE(TRIM($DX397)),"")))),""))</f>
        <v/>
      </c>
      <c r="DZ397">
        <f>IF($DM397=0,"",IF($L$17=0,"",IFERROR(IF(ISNUMBER(INDEX(PASTE_ALL,$DF397,$L$17)),INDEX(PASTE_ALL,$DF397,$L$17),SUBSTITUTE(SUBSTITUTE(TRIM(SUBSTITUTE(SUBSTITUTE(SUBSTITUTE(SUBSTITUTE(INDEX(PASTE_ALL,$DF397,$L$17)," "," "),CHAR(9)," "),CHAR(10)," "),CHAR(13)," ")),",",""),"%","")),"")))</f>
        <v/>
      </c>
      <c r="EA397">
        <f>IF($DM397=0,"",IFERROR(IF(ISNUMBER($DZ397),$DZ397,IF($DZ397="","",IF(TRIM($DZ397)="",0,IF(AND(AND(SUBSTITUTE(SUBSTITUTE(SUBSTITUTE(SUBSTITUTE(SUBSTITUTE(SUBSTITUTE(SUBSTITUTE(SUBSTITUTE(SUBSTITUTE(SUBSTITUTE(SUBSTITUTE(SUBSTITUTE(SUBSTITUTE(SUBSTITUTE(UPPER(TRIM($DZ397)),"0",""),"1",""),"2",""),"3",""),"4",""),"5",""),"6",""),"7",""),"8",""),"9",""),".",""),"+",""),"-",""),"E","")="",LEN(SUBSTITUTE(SUBSTITUTE(MID(UPPER(TRIM($DZ397)),1+OR(LEFT(UPPER(TRIM($DZ397)),1)="+",LEFT(UPPER(TRIM($DZ397)),1)="-"),999),"E+","E"),"E-","E"))=LEN(SUBSTITUTE(SUBSTITUTE(SUBSTITUTE(SUBSTITUTE(MID(UPPER(TRIM($DZ397)),1+OR(LEFT(UPPER(TRIM($DZ397)),1)="+",LEFT(UPPER(TRIM($DZ397)),1)="-"),999),"E+","E"),"E-","E"),"+",""),"-","")),LEN(UPPER(TRIM($DZ397)))-LEN(SUBSTITUTE(UPPER(TRIM($DZ397)),"E",""))&lt;2,LEN(UPPER(TRIM($DZ397)))-LEN(SUBSTITUTE(UPPER(TRIM($DZ397)),".",""))&lt;2,IFERROR(FIND(".",UPPER(TRIM($DZ397))),0)&lt;IFERROR(FIND("E",UPPER(TRIM($DZ397))),999)),ISNUMBER(VALUE(TRIM($DZ397)))),VALUE(TRIM($DZ397)),"")))),""))</f>
        <v/>
      </c>
      <c r="EB397">
        <f>IF($DM397=0,"",IF($L$18=0,"",IFERROR(IF(UPPER(TRIM(SUBSTITUTE(SUBSTITUTE(SUBSTITUTE(SUBSTITUTE(INDEX(PASTE_ALL,$DF397,$L$18)," "," "),CHAR(9)," "),CHAR(10)," "),CHAR(13)," ")))="READY","Ready",IF(UPPER(TRIM(SUBSTITUTE(SUBSTITUTE(SUBSTITUTE(SUBSTITUTE(INDEX(PASTE_ALL,$DF397,$L$18)," "," "),CHAR(9)," "),CHAR(10)," "),CHAR(13)," ")))="PM","PM",IF(OR(UPPER(TRIM(SUBSTITUTE(SUBSTITUTE(SUBSTITUTE(SUBSTITUTE(INDEX(PASTE_ALL,$DF397,$L$18)," "," "),CHAR(9)," "),CHAR(10)," "),CHAR(13)," ")))="OT",UPPER(TRIM(SUBSTITUTE(SUBSTITUTE(SUBSTITUTE(SUBSTITUTE(INDEX(PASTE_ALL,$DF397,$L$18)," "," "),CHAR(9)," "),CHAR(10)," "),CHAR(13)," ")))="OVERTIME",UPPER(TRIM(SUBSTITUTE(SUBSTITUTE(SUBSTITUTE(SUBSTITUTE(INDEX(PASTE_ALL,$DF397,$L$18)," "," "),CHAR(9)," "),CHAR(10)," "),CHAR(13)," ")))="TRIAL"),"OT",TRIM(SUBSTITUTE(SUBSTITUTE(SUBSTITUTE(SUBSTITUTE(INDEX(PASTE_ALL,$DF397,$L$18)," "," "),CHAR(9)," "),CHAR(10)," "),CHAR(13)," "))))),"")))</f>
        <v/>
      </c>
      <c r="EC397">
        <f>IF($DM397=0,"",IF($L$19=0,"",IFERROR(IF(ISNUMBER(INDEX(PASTE_ALL,$DF397,$L$19)),INDEX(PASTE_ALL,$DF397,$L$19),TRIM(SUBSTITUTE(SUBSTITUTE(SUBSTITUTE(SUBSTITUTE(INDEX(PASTE_ALL,$DF397,$L$19)," "," "),CHAR(9)," "),CHAR(10)," "),CHAR(13)," "))),"")))</f>
        <v/>
      </c>
      <c r="ED397">
        <f>IF($DM397=0,"",MATCH(1,INDEX(EXACT($DH$5:DH397,$DH397)*$DM$5:DM397,0),0))</f>
        <v/>
      </c>
      <c r="EE397">
        <f>IF($DM397=0,0,IF($ED397=$DE397,1,0))</f>
        <v/>
      </c>
      <c r="EF397">
        <f>EF396+$EE397</f>
        <v/>
      </c>
      <c r="EG397">
        <f>IF($DM397=0,"",INDEX($EF$5:$EF$1003,$ED397))</f>
        <v/>
      </c>
      <c r="EH397">
        <f>IF($DM397=0,"",IF($DO397&lt;&gt;"","",IFERROR(LOOKUP(2,1/(($EG$4:EG396=$EG397)*($DO$4:DO396&lt;&gt;"")),$DO$4:DO396),"")))</f>
        <v/>
      </c>
      <c r="EI397">
        <f>IF($DM397=0,"",IF($DO397&lt;&gt;"",$DO397,$EH397))</f>
        <v/>
      </c>
      <c r="EJ397">
        <f>IF($DM397=0,"",IF($EI397="",0,IF(OR(ISNUMBER($EI397),AND(AND(SUBSTITUTE(SUBSTITUTE(SUBSTITUTE(SUBSTITUTE(SUBSTITUTE(SUBSTITUTE(SUBSTITUTE(SUBSTITUTE(SUBSTITUTE(SUBSTITUTE(SUBSTITUTE(SUBSTITUTE(SUBSTITUTE(SUBSTITUTE(UPPER($EI397),"0",""),"1",""),"2",""),"3",""),"4",""),"5",""),"6",""),"7",""),"8",""),"9",""),".",""),"+",""),"-",""),"E","")="",LEN(SUBSTITUTE(SUBSTITUTE(MID(UPPER($EI397),1+OR(LEFT(UPPER($EI397),1)="+",LEFT(UPPER($EI397),1)="-"),999),"E+","E"),"E-","E"))=LEN(SUBSTITUTE(SUBSTITUTE(SUBSTITUTE(SUBSTITUTE(MID(UPPER($EI397),1+OR(LEFT(UPPER($EI397),1)="+",LEFT(UPPER($EI397),1)="-"),999),"E+","E"),"E-","E"),"+",""),"-","")),LEN(UPPER($EI397))-LEN(SUBSTITUTE(UPPER($EI397),"E",""))&lt;2,LEN(UPPER($EI397))-LEN(SUBSTITUTE(UPPER($EI397),".",""))&lt;2,IFERROR(FIND(".",UPPER($EI397)),0)&lt;IFERROR(FIND("E",UPPER($EI397)),999)),ISNUMBER(VALUE($EI397)))),1,2)))</f>
        <v/>
      </c>
      <c r="EK397">
        <f>IF($DM397=0,"",IF($EJ397=1,IF(ISNUMBER($EI397),$EI397,VALUE($EI397)),IF($EJ397=2,$DE397,0)))</f>
        <v/>
      </c>
      <c r="EL397">
        <f>IF($DM397=0,"",COUNTIF($EG$5:$EG$1003,"&lt;"&amp;$EG397)+SUMPRODUCT(($EG$5:$EG$1003=$EG397)*(($EJ$5:$EJ$1003&lt;$EJ397)+($EJ$5:$EJ$1003=$EJ397)*(($EK$5:$EK$1003&lt;$EK397)+($EK$5:$EK$1003=$EK397)*($DE$5:$DE$1003&lt;$DE397))))+1)</f>
        <v/>
      </c>
      <c r="EM397">
        <f>IF($DM397=0,"",$EL397+$EG397-1)</f>
        <v/>
      </c>
      <c r="EN397">
        <f>IF($DM397=0,0,IFERROR(MATCH(1,INDEX(--(TRIM(SUBSTITUTE(SUBSTITUTE(SUBSTITUTE(SUBSTITUTE(LINES_NAME&amp;""," "," "),CHAR(9)," "),CHAR(10)," "),CHAR(13)," "))=$DH397),0),0),0))</f>
        <v/>
      </c>
      <c r="EO397">
        <f>IF($EN397=0,0,IF(OR(UPPER(TRIM(INDEX(LINES_SCHEDULED,$EN397)&amp;""))="YES",UPPER(TRIM(INDEX(LINES_SCHEDULED,$EN397)&amp;""))="Y",UPPER(TRIM(INDEX(LINES_SCHEDULED,$EN397)&amp;""))="X"),1,0))</f>
        <v/>
      </c>
      <c r="EP397">
        <f>IF($DM397=0,"",IF(COUNTIFS($EG$5:$EG$1003,$EG397,$EB$5:$EB$1003,"Ready")&gt;0,"READY",IF(COUNTIFS($EG$5:$EG$1003,$EG397,$EB$5:$EB$1003,"PM")&gt;0,"PM",IF(COUNTIFS($EG$5:$EG$1003,$EG397,$EB$5:$EB$1003,"OT")&gt;0,"OT",""))))</f>
        <v/>
      </c>
      <c r="EQ397">
        <f>IF($EN397=0,"",UPPER(TRIM(INDEX(LINES_STATUS,$EN397)&amp;"")))</f>
        <v/>
      </c>
      <c r="ER397">
        <f>IF($DM397=0,"",IF(OR($EQ397="READY",$EQ397="PM",$EQ397="OT"),$EQ397,$EP397))</f>
        <v/>
      </c>
      <c r="ES397">
        <f>IF($DM397=0,"",IF(AND($DV397&lt;&gt;"",UPPER($DV397)&lt;&gt;"N"),"allergen",IF(ISNUMBER(SEARCH("oil",$DQ397)),"oil",IF(OR(EXACT($DS397,"A662"),EXACT($DS397,"A624")),"bulk",""))))</f>
        <v/>
      </c>
      <c r="ET397">
        <f>IF($DM397=0,"",IF(OR($EA397="",$EA397=0),"",$EA397/100))</f>
        <v/>
      </c>
      <c r="EU397">
        <f>IF(OR($ET397="",$DY397=""),"",INT($DY397*(1-$ET397)+0.5))</f>
        <v/>
      </c>
      <c r="EW397" t="n">
        <v>393</v>
      </c>
      <c r="EX397">
        <f>IFERROR(MATCH($EW397,$EM$5:$EM$1003,0),0)</f>
        <v/>
      </c>
      <c r="EY397">
        <f>IF($EW397&gt;$B$12,"",IF($EX397&gt;0,"row","spacer"))</f>
        <v/>
      </c>
      <c r="EZ397">
        <f>IF(AND($EY397="row",$EY396&lt;&gt;"row"),1,0)</f>
        <v/>
      </c>
      <c r="FA397">
        <f>IF(AND($EY397="row",$EY398&lt;&gt;"row"),1,0)</f>
        <v/>
      </c>
      <c r="FB397">
        <f>IF($EZ397=1,IFERROR(IF(ISNUMBER(INDEX(PASTE_ALL,INDEX($DF$5:$DF$1003,$EX397),$B$37)),INDEX(PASTE_ALL,INDEX($DF$5:$DF$1003,$EX397),$B$37),INDEX($DH$5:$DH$1003,$EX397)),INDEX($DH$5:$DH$1003,$EX397)),"")</f>
        <v/>
      </c>
      <c r="FC397">
        <f>IF($EY397="row",INDEX($ER$5:$ER$1003,$EX397),"")</f>
        <v/>
      </c>
      <c r="FD397">
        <f>IF($EY397="row",INDEX($DN$5:$DN$1003,$EX397),"")</f>
        <v/>
      </c>
      <c r="FE397">
        <f>IF($EY397="row",INDEX($DO$5:$DO$1003,$EX397),"")</f>
        <v/>
      </c>
      <c r="FF397">
        <f>IF($EY397="row",INDEX($DP$5:$DP$1003,$EX397),"")</f>
        <v/>
      </c>
      <c r="FG397">
        <f>IF($EY397="row",INDEX($DQ$5:$DQ$1003,$EX397),"")</f>
        <v/>
      </c>
      <c r="FH397">
        <f>IF($EY397="row",INDEX($DR$5:$DR$1003,$EX397),"")</f>
        <v/>
      </c>
      <c r="FI397">
        <f>IF($EY397="row",INDEX($DS$5:$DS$1003,$EX397),"")</f>
        <v/>
      </c>
      <c r="FJ397">
        <f>IF($EY397="row",INDEX($DT$5:$DT$1003,$EX397),"")</f>
        <v/>
      </c>
      <c r="FK397">
        <f>IF($EY397="row",INDEX($DU$5:$DU$1003,$EX397),"")</f>
        <v/>
      </c>
      <c r="FL397">
        <f>IF($EY397="row",INDEX($DV$5:$DV$1003,$EX397),"")</f>
        <v/>
      </c>
      <c r="FM397">
        <f>IF($EY397="row",INDEX($DW$5:$DW$1003,$EX397),"")</f>
        <v/>
      </c>
      <c r="FN397">
        <f>IF($EY397="row",INDEX($DY$5:$DY$1003,$EX397),"")</f>
        <v/>
      </c>
      <c r="FO397">
        <f>IF($EY397="row",INDEX($EA$5:$EA$1003,$EX397),"")</f>
        <v/>
      </c>
      <c r="FP397">
        <f>IF($EY397="row",INDEX($EC$5:$EC$1003,$EX397),"")</f>
        <v/>
      </c>
      <c r="FQ397">
        <f>IF($EY397="row",INDEX($ET$5:$ET$1003,$EX397),"")</f>
        <v/>
      </c>
      <c r="FR397">
        <f>IF($EY397="row",INDEX($EU$5:$EU$1003,$EX397),"")</f>
        <v/>
      </c>
      <c r="FS397">
        <f>IF(AND($EY397="row",$EY396="row"),IF(OR(INDEX($DT$5:$DT$1003,$EX396)="",INDEX($DT$5:$DT$1003,$EX397)=""),"",IF(NOT(EXACT(INDEX($DT$5:$DT$1003,$EX396),INDEX($DT$5:$DT$1003,$EX397))),"S4",IF(NOT(EXACT(INDEX($DS$5:$DS$1003,$EX396),INDEX($DS$5:$DS$1003,$EX397))),"S3",IF(NOT(EXACT(INDEX($DR$5:$DR$1003,$EX396),INDEX($DR$5:$DR$1003,$EX397))),"S1 Count Change","S1")))),"")</f>
        <v/>
      </c>
      <c r="FT397">
        <f>IF($EY397="row",INDEX($ES$5:$ES$1003,$EX397),"")</f>
        <v/>
      </c>
      <c r="FU397">
        <f>IF($EY397="row",INDEX($EO$5:$EO$1003,$EX397),0)</f>
        <v/>
      </c>
      <c r="FV397">
        <f>IF($FS397="S1 Count Change",1,0)</f>
        <v/>
      </c>
    </row>
    <row r="398">
      <c r="DA398" t="n">
        <v>394</v>
      </c>
      <c r="DB398">
        <f>IF($B$37=0,"",IFERROR(TRIM(SUBSTITUTE(SUBSTITUTE(SUBSTITUTE(SUBSTITUTE(INDEX(PASTE_ALL,394,$B$37)," "," "),CHAR(9)," "),CHAR(10)," "),CHAR(13)," ")),""))</f>
        <v/>
      </c>
      <c r="DC398">
        <f>IF(AND(394&gt;HEADER_ROW,UPPER(DB398)="LEGEND"),1,0)</f>
        <v/>
      </c>
      <c r="DE398" t="n">
        <v>394</v>
      </c>
      <c r="DF398">
        <f>HEADER_ROW+$DE398</f>
        <v/>
      </c>
      <c r="DG398">
        <f>IF(AND($DF398&lt;=1000,$DF398&lt;$B$8),1,0)</f>
        <v/>
      </c>
      <c r="DH398">
        <f>IF($DG398=1,IFERROR(INDEX($DB$5:$DB$1004,$DF398),""),"")</f>
        <v/>
      </c>
      <c r="DI398">
        <f>IF(AND($DG398=1,$DH398&lt;&gt;""),IFERROR(SUBSTITUTE(SUBSTITUTE(TRIM(SUBSTITUTE(SUBSTITUTE(SUBSTITUTE(SUBSTITUTE(IFERROR(INDEX(PASTE_ALL,$DF398,1)&amp;"","")&amp;"␟"&amp;IFERROR(INDEX(PASTE_ALL,$DF398,2)&amp;"","")&amp;"␟"&amp;IFERROR(INDEX(PASTE_ALL,$DF398,3)&amp;"","")&amp;"␟"&amp;IFERROR(INDEX(PASTE_ALL,$DF398,4)&amp;"","")&amp;"␟"&amp;IFERROR(INDEX(PASTE_ALL,$DF398,5)&amp;"","")&amp;"␟"&amp;IFERROR(INDEX(PASTE_ALL,$DF398,6)&amp;"","")&amp;"␟"&amp;IFERROR(INDEX(PASTE_ALL,$DF398,7)&amp;"","")&amp;"␟"&amp;IFERROR(INDEX(PASTE_ALL,$DF398,8)&amp;"","")&amp;"␟"&amp;IFERROR(INDEX(PASTE_ALL,$DF398,9)&amp;"","")&amp;"␟"&amp;IFERROR(INDEX(PASTE_ALL,$DF398,10)&amp;"","")&amp;"␟"&amp;IFERROR(INDEX(PASTE_ALL,$DF398,11)&amp;"","")&amp;"␟"&amp;IFERROR(INDEX(PASTE_ALL,$DF398,12)&amp;"","")&amp;"␟"&amp;IFERROR(INDEX(PASTE_ALL,$DF398,13)&amp;"","")&amp;"␟"&amp;IFERROR(INDEX(PASTE_ALL,$DF398,14)&amp;"","")&amp;"␟"&amp;IFERROR(INDEX(PASTE_ALL,$DF398,15)&amp;"","")&amp;"␟"&amp;IFERROR(INDEX(PASTE_ALL,$DF398,16)&amp;"","")&amp;"␟"&amp;IFERROR(INDEX(PASTE_ALL,$DF398,17)&amp;"","")&amp;"␟"&amp;IFERROR(INDEX(PASTE_ALL,$DF398,18)&amp;"","")&amp;"␟"&amp;IFERROR(INDEX(PASTE_ALL,$DF398,19)&amp;"","")&amp;"␟"&amp;IFERROR(INDEX(PASTE_ALL,$DF398,20)&amp;"","")&amp;"␟"&amp;IFERROR(INDEX(PASTE_ALL,$DF398,21)&amp;"","")&amp;"␟"&amp;IFERROR(INDEX(PASTE_ALL,$DF398,22)&amp;"","")&amp;"␟"&amp;IFERROR(INDEX(PASTE_ALL,$DF398,23)&amp;"","")&amp;"␟"&amp;IFERROR(INDEX(PASTE_ALL,$DF398,24)&amp;"","")&amp;"␟"&amp;IFERROR(INDEX(PASTE_ALL,$DF398,25)&amp;"","")&amp;"␟"&amp;IFERROR(INDEX(PASTE_ALL,$DF398,26)&amp;"","")&amp;"␟"&amp;IFERROR(INDEX(PASTE_ALL,$DF398,27)&amp;"","")&amp;"␟"&amp;IFERROR(INDEX(PASTE_ALL,$DF398,28)&amp;"","")&amp;"␟"&amp;IFERROR(INDEX(PASTE_ALL,$DF398,29)&amp;"","")&amp;"␟"&amp;IFERROR(INDEX(PASTE_ALL,$DF398,30)&amp;"","")&amp;"␟"&amp;IFERROR(INDEX(PASTE_ALL,$DF398,31)&amp;"","")&amp;"␟"&amp;IFERROR(INDEX(PASTE_ALL,$DF398,32)&amp;"","")&amp;"␟"&amp;IFERROR(INDEX(PASTE_ALL,$DF398,33)&amp;"","")&amp;"␟"&amp;IFERROR(INDEX(PASTE_ALL,$DF398,34)&amp;"","")&amp;"␟"&amp;IFERROR(INDEX(PASTE_ALL,$DF398,35)&amp;"","")&amp;"␟"&amp;IFERROR(INDEX(PASTE_ALL,$DF398,36)&amp;"","")&amp;"␟"&amp;IFERROR(INDEX(PASTE_ALL,$DF398,37)&amp;"","")&amp;"␟"&amp;IFERROR(INDEX(PASTE_ALL,$DF398,38)&amp;"","")&amp;"␟"&amp;IFERROR(INDEX(PASTE_ALL,$DF398,39)&amp;"","")&amp;"␟"&amp;IFERROR(INDEX(PASTE_ALL,$DF398,40)&amp;"","")&amp;"␟"&amp;IFERROR(INDEX(PASTE_ALL,$DF398,41)&amp;"","")&amp;"␟"&amp;IFERROR(INDEX(PASTE_ALL,$DF398,42)&amp;"","")&amp;"␟"&amp;IFERROR(INDEX(PASTE_ALL,$DF398,43)&amp;"","")&amp;"␟"&amp;IFERROR(INDEX(PASTE_ALL,$DF398,44)&amp;"","")&amp;"␟"&amp;IFERROR(INDEX(PASTE_ALL,$DF398,45)&amp;"","")&amp;"␟"&amp;IFERROR(INDEX(PASTE_ALL,$DF398,46)&amp;"","")&amp;"␟"&amp;IFERROR(INDEX(PASTE_ALL,$DF398,47)&amp;"","")&amp;"␟"&amp;IFERROR(INDEX(PASTE_ALL,$DF398,48)&amp;"","")&amp;"␟"&amp;IFERROR(INDEX(PASTE_ALL,$DF398,49)&amp;"","")&amp;"␟"&amp;IFERROR(INDEX(PASTE_ALL,$DF398,50)&amp;"","")&amp;"␟"&amp;IFERROR(INDEX(PASTE_ALL,$DF398,51)&amp;"","")&amp;"␟"&amp;IFERROR(INDEX(PASTE_ALL,$DF398,52)&amp;"","")&amp;"␟"&amp;IFERROR(INDEX(PASTE_ALL,$DF398,53)&amp;"","")&amp;"␟"&amp;IFERROR(INDEX(PASTE_ALL,$DF398,54)&amp;"","")&amp;"␟"&amp;IFERROR(INDEX(PASTE_ALL,$DF398,55)&amp;"","")&amp;"␟"&amp;IFERROR(INDEX(PASTE_ALL,$DF398,56)&amp;"","")&amp;"␟"&amp;IFERROR(INDEX(PASTE_ALL,$DF398,57)&amp;"","")&amp;"␟"&amp;IFERROR(INDEX(PASTE_ALL,$DF398,58)&amp;"","")&amp;"␟"&amp;IFERROR(INDEX(PASTE_ALL,$DF398,59)&amp;"","")&amp;"␟"&amp;IFERROR(INDEX(PASTE_ALL,$DF398,60)&amp;"","")," "," "),CHAR(9)," "),CHAR(10)," "),CHAR(13)," "))," ␟","␟"),"␟ ","␟"),"#"&amp;$DE398),"")</f>
        <v/>
      </c>
      <c r="DJ398">
        <f>IF($DI398="",0,IF(SUMPRODUCT(--EXACT($DI$4:DI397,$DI398))&gt;0,1,0))</f>
        <v/>
      </c>
      <c r="DK398">
        <f>IF(AND($DI398&lt;&gt;"",$DJ398=0),1,0)</f>
        <v/>
      </c>
      <c r="DL398">
        <f>DL397+$DK398</f>
        <v/>
      </c>
      <c r="DM398">
        <f>IF(AND($DK398=1,$DL398&lt;=600),1,0)</f>
        <v/>
      </c>
      <c r="DN398">
        <f>IF($DM398=0,"",IF($L$6=0,"",IFERROR(IF(ISNUMBER(INDEX(PASTE_ALL,$DF398,$L$6)),INDEX(PASTE_ALL,$DF398,$L$6),TRIM(SUBSTITUTE(SUBSTITUTE(SUBSTITUTE(SUBSTITUTE(INDEX(PASTE_ALL,$DF398,$L$6)," "," "),CHAR(9)," "),CHAR(10)," "),CHAR(13)," "))),"")))</f>
        <v/>
      </c>
      <c r="DO398">
        <f>IF($DM398=0,"",IF($L$7=0,"",IFERROR(IF(ISNUMBER(INDEX(PASTE_ALL,$DF398,$L$7)),INDEX(PASTE_ALL,$DF398,$L$7),TRIM(SUBSTITUTE(SUBSTITUTE(SUBSTITUTE(SUBSTITUTE(INDEX(PASTE_ALL,$DF398,$L$7)," "," "),CHAR(9)," "),CHAR(10)," "),CHAR(13)," "))),"")))</f>
        <v/>
      </c>
      <c r="DP398">
        <f>IF($DM398=0,"",IF($L$8=0,"",IFERROR(IF(ISNUMBER(INDEX(PASTE_ALL,$DF398,$L$8)),INDEX(PASTE_ALL,$DF398,$L$8),TRIM(SUBSTITUTE(SUBSTITUTE(SUBSTITUTE(SUBSTITUTE(INDEX(PASTE_ALL,$DF398,$L$8)," "," "),CHAR(9)," "),CHAR(10)," "),CHAR(13)," "))),"")))</f>
        <v/>
      </c>
      <c r="DQ398">
        <f>IF($DM398=0,"",IF($L$9=0,"",IFERROR(IF(ISNUMBER(INDEX(PASTE_ALL,$DF398,$L$9)),INDEX(PASTE_ALL,$DF398,$L$9),TRIM(SUBSTITUTE(SUBSTITUTE(SUBSTITUTE(SUBSTITUTE(INDEX(PASTE_ALL,$DF398,$L$9)," "," "),CHAR(9)," "),CHAR(10)," "),CHAR(13)," "))),"")))</f>
        <v/>
      </c>
      <c r="DR398">
        <f>IF($DM398=0,"",IF($L$10=0,"",IFERROR(IF(ISNUMBER(INDEX(PASTE_ALL,$DF398,$L$10)),INDEX(PASTE_ALL,$DF398,$L$10),TRIM(SUBSTITUTE(SUBSTITUTE(SUBSTITUTE(SUBSTITUTE(INDEX(PASTE_ALL,$DF398,$L$10)," "," "),CHAR(9)," "),CHAR(10)," "),CHAR(13)," "))),"")))</f>
        <v/>
      </c>
      <c r="DS398">
        <f>IF($DM398=0,"",IF($L$11=0,"",IFERROR(IF(ISNUMBER(INDEX(PASTE_ALL,$DF398,$L$11)),INDEX(PASTE_ALL,$DF398,$L$11),TRIM(SUBSTITUTE(SUBSTITUTE(SUBSTITUTE(SUBSTITUTE(INDEX(PASTE_ALL,$DF398,$L$11)," "," "),CHAR(9)," "),CHAR(10)," "),CHAR(13)," "))),"")))</f>
        <v/>
      </c>
      <c r="DT398">
        <f>IF($DM398=0,"",IF($L$12=0,"",IFERROR(IF(ISNUMBER(INDEX(PASTE_ALL,$DF398,$L$12)),INDEX(PASTE_ALL,$DF398,$L$12),TRIM(SUBSTITUTE(SUBSTITUTE(SUBSTITUTE(SUBSTITUTE(INDEX(PASTE_ALL,$DF398,$L$12)," "," "),CHAR(9)," "),CHAR(10)," "),CHAR(13)," "))),"")))</f>
        <v/>
      </c>
      <c r="DU398">
        <f>IF($DM398=0,"",IF($L$13=0,"",IFERROR(IF(ISNUMBER(INDEX(PASTE_ALL,$DF398,$L$13)),INDEX(PASTE_ALL,$DF398,$L$13),TRIM(SUBSTITUTE(SUBSTITUTE(SUBSTITUTE(SUBSTITUTE(INDEX(PASTE_ALL,$DF398,$L$13)," "," "),CHAR(9)," "),CHAR(10)," "),CHAR(13)," "))),"")))</f>
        <v/>
      </c>
      <c r="DV398">
        <f>IF($DM398=0,"",IF($L$14=0,"",IFERROR(IF(ISNUMBER(INDEX(PASTE_ALL,$DF398,$L$14)),INDEX(PASTE_ALL,$DF398,$L$14),TRIM(SUBSTITUTE(SUBSTITUTE(SUBSTITUTE(SUBSTITUTE(INDEX(PASTE_ALL,$DF398,$L$14)," "," "),CHAR(9)," "),CHAR(10)," "),CHAR(13)," "))),"")))</f>
        <v/>
      </c>
      <c r="DW398">
        <f>IF($DM398=0,"",IF($L$15=0,"",IFERROR(IF(ISNUMBER(INDEX(PASTE_ALL,$DF398,$L$15)),INDEX(PASTE_ALL,$DF398,$L$15),IF(SUMPRODUCT(--ISNUMBER(FIND({"A","B","C","D","E","F","G","H","I","J","K","L","M","N","O","P","Q","R","S","T","U","V","W","X","Y","Z","0","1","2","3","4","5","6","7","8","9"},UPPER(TRIM(SUBSTITUTE(SUBSTITUTE(SUBSTITUTE(SUBSTITUTE(INDEX(PASTE_ALL,$DF398,$L$15)," "," "),CHAR(9)," "),CHAR(10)," "),CHAR(13)," "))))))&gt;0,TRIM(SUBSTITUTE(SUBSTITUTE(SUBSTITUTE(SUBSTITUTE(INDEX(PASTE_ALL,$DF398,$L$15)," "," "),CHAR(9)," "),CHAR(10)," "),CHAR(13)," ")),"")),"")))</f>
        <v/>
      </c>
      <c r="DX398">
        <f>IF($DM398=0,"",IF($L$16=0,"",IFERROR(IF(ISNUMBER(INDEX(PASTE_ALL,$DF398,$L$16)),INDEX(PASTE_ALL,$DF398,$L$16),SUBSTITUTE(SUBSTITUTE(TRIM(SUBSTITUTE(SUBSTITUTE(SUBSTITUTE(SUBSTITUTE(INDEX(PASTE_ALL,$DF398,$L$16)," "," "),CHAR(9)," "),CHAR(10)," "),CHAR(13)," ")),",",""),"%","")),"")))</f>
        <v/>
      </c>
      <c r="DY398">
        <f>IF($DM398=0,"",IFERROR(IF(ISNUMBER($DX398),$DX398,IF($DX398="","",IF(TRIM($DX398)="",0,IF(AND(AND(SUBSTITUTE(SUBSTITUTE(SUBSTITUTE(SUBSTITUTE(SUBSTITUTE(SUBSTITUTE(SUBSTITUTE(SUBSTITUTE(SUBSTITUTE(SUBSTITUTE(SUBSTITUTE(SUBSTITUTE(SUBSTITUTE(SUBSTITUTE(UPPER(TRIM($DX398)),"0",""),"1",""),"2",""),"3",""),"4",""),"5",""),"6",""),"7",""),"8",""),"9",""),".",""),"+",""),"-",""),"E","")="",LEN(SUBSTITUTE(SUBSTITUTE(MID(UPPER(TRIM($DX398)),1+OR(LEFT(UPPER(TRIM($DX398)),1)="+",LEFT(UPPER(TRIM($DX398)),1)="-"),999),"E+","E"),"E-","E"))=LEN(SUBSTITUTE(SUBSTITUTE(SUBSTITUTE(SUBSTITUTE(MID(UPPER(TRIM($DX398)),1+OR(LEFT(UPPER(TRIM($DX398)),1)="+",LEFT(UPPER(TRIM($DX398)),1)="-"),999),"E+","E"),"E-","E"),"+",""),"-","")),LEN(UPPER(TRIM($DX398)))-LEN(SUBSTITUTE(UPPER(TRIM($DX398)),"E",""))&lt;2,LEN(UPPER(TRIM($DX398)))-LEN(SUBSTITUTE(UPPER(TRIM($DX398)),".",""))&lt;2,IFERROR(FIND(".",UPPER(TRIM($DX398))),0)&lt;IFERROR(FIND("E",UPPER(TRIM($DX398))),999)),ISNUMBER(VALUE(TRIM($DX398)))),VALUE(TRIM($DX398)),"")))),""))</f>
        <v/>
      </c>
      <c r="DZ398">
        <f>IF($DM398=0,"",IF($L$17=0,"",IFERROR(IF(ISNUMBER(INDEX(PASTE_ALL,$DF398,$L$17)),INDEX(PASTE_ALL,$DF398,$L$17),SUBSTITUTE(SUBSTITUTE(TRIM(SUBSTITUTE(SUBSTITUTE(SUBSTITUTE(SUBSTITUTE(INDEX(PASTE_ALL,$DF398,$L$17)," "," "),CHAR(9)," "),CHAR(10)," "),CHAR(13)," ")),",",""),"%","")),"")))</f>
        <v/>
      </c>
      <c r="EA398">
        <f>IF($DM398=0,"",IFERROR(IF(ISNUMBER($DZ398),$DZ398,IF($DZ398="","",IF(TRIM($DZ398)="",0,IF(AND(AND(SUBSTITUTE(SUBSTITUTE(SUBSTITUTE(SUBSTITUTE(SUBSTITUTE(SUBSTITUTE(SUBSTITUTE(SUBSTITUTE(SUBSTITUTE(SUBSTITUTE(SUBSTITUTE(SUBSTITUTE(SUBSTITUTE(SUBSTITUTE(UPPER(TRIM($DZ398)),"0",""),"1",""),"2",""),"3",""),"4",""),"5",""),"6",""),"7",""),"8",""),"9",""),".",""),"+",""),"-",""),"E","")="",LEN(SUBSTITUTE(SUBSTITUTE(MID(UPPER(TRIM($DZ398)),1+OR(LEFT(UPPER(TRIM($DZ398)),1)="+",LEFT(UPPER(TRIM($DZ398)),1)="-"),999),"E+","E"),"E-","E"))=LEN(SUBSTITUTE(SUBSTITUTE(SUBSTITUTE(SUBSTITUTE(MID(UPPER(TRIM($DZ398)),1+OR(LEFT(UPPER(TRIM($DZ398)),1)="+",LEFT(UPPER(TRIM($DZ398)),1)="-"),999),"E+","E"),"E-","E"),"+",""),"-","")),LEN(UPPER(TRIM($DZ398)))-LEN(SUBSTITUTE(UPPER(TRIM($DZ398)),"E",""))&lt;2,LEN(UPPER(TRIM($DZ398)))-LEN(SUBSTITUTE(UPPER(TRIM($DZ398)),".",""))&lt;2,IFERROR(FIND(".",UPPER(TRIM($DZ398))),0)&lt;IFERROR(FIND("E",UPPER(TRIM($DZ398))),999)),ISNUMBER(VALUE(TRIM($DZ398)))),VALUE(TRIM($DZ398)),"")))),""))</f>
        <v/>
      </c>
      <c r="EB398">
        <f>IF($DM398=0,"",IF($L$18=0,"",IFERROR(IF(UPPER(TRIM(SUBSTITUTE(SUBSTITUTE(SUBSTITUTE(SUBSTITUTE(INDEX(PASTE_ALL,$DF398,$L$18)," "," "),CHAR(9)," "),CHAR(10)," "),CHAR(13)," ")))="READY","Ready",IF(UPPER(TRIM(SUBSTITUTE(SUBSTITUTE(SUBSTITUTE(SUBSTITUTE(INDEX(PASTE_ALL,$DF398,$L$18)," "," "),CHAR(9)," "),CHAR(10)," "),CHAR(13)," ")))="PM","PM",IF(OR(UPPER(TRIM(SUBSTITUTE(SUBSTITUTE(SUBSTITUTE(SUBSTITUTE(INDEX(PASTE_ALL,$DF398,$L$18)," "," "),CHAR(9)," "),CHAR(10)," "),CHAR(13)," ")))="OT",UPPER(TRIM(SUBSTITUTE(SUBSTITUTE(SUBSTITUTE(SUBSTITUTE(INDEX(PASTE_ALL,$DF398,$L$18)," "," "),CHAR(9)," "),CHAR(10)," "),CHAR(13)," ")))="OVERTIME",UPPER(TRIM(SUBSTITUTE(SUBSTITUTE(SUBSTITUTE(SUBSTITUTE(INDEX(PASTE_ALL,$DF398,$L$18)," "," "),CHAR(9)," "),CHAR(10)," "),CHAR(13)," ")))="TRIAL"),"OT",TRIM(SUBSTITUTE(SUBSTITUTE(SUBSTITUTE(SUBSTITUTE(INDEX(PASTE_ALL,$DF398,$L$18)," "," "),CHAR(9)," "),CHAR(10)," "),CHAR(13)," "))))),"")))</f>
        <v/>
      </c>
      <c r="EC398">
        <f>IF($DM398=0,"",IF($L$19=0,"",IFERROR(IF(ISNUMBER(INDEX(PASTE_ALL,$DF398,$L$19)),INDEX(PASTE_ALL,$DF398,$L$19),TRIM(SUBSTITUTE(SUBSTITUTE(SUBSTITUTE(SUBSTITUTE(INDEX(PASTE_ALL,$DF398,$L$19)," "," "),CHAR(9)," "),CHAR(10)," "),CHAR(13)," "))),"")))</f>
        <v/>
      </c>
      <c r="ED398">
        <f>IF($DM398=0,"",MATCH(1,INDEX(EXACT($DH$5:DH398,$DH398)*$DM$5:DM398,0),0))</f>
        <v/>
      </c>
      <c r="EE398">
        <f>IF($DM398=0,0,IF($ED398=$DE398,1,0))</f>
        <v/>
      </c>
      <c r="EF398">
        <f>EF397+$EE398</f>
        <v/>
      </c>
      <c r="EG398">
        <f>IF($DM398=0,"",INDEX($EF$5:$EF$1003,$ED398))</f>
        <v/>
      </c>
      <c r="EH398">
        <f>IF($DM398=0,"",IF($DO398&lt;&gt;"","",IFERROR(LOOKUP(2,1/(($EG$4:EG397=$EG398)*($DO$4:DO397&lt;&gt;"")),$DO$4:DO397),"")))</f>
        <v/>
      </c>
      <c r="EI398">
        <f>IF($DM398=0,"",IF($DO398&lt;&gt;"",$DO398,$EH398))</f>
        <v/>
      </c>
      <c r="EJ398">
        <f>IF($DM398=0,"",IF($EI398="",0,IF(OR(ISNUMBER($EI398),AND(AND(SUBSTITUTE(SUBSTITUTE(SUBSTITUTE(SUBSTITUTE(SUBSTITUTE(SUBSTITUTE(SUBSTITUTE(SUBSTITUTE(SUBSTITUTE(SUBSTITUTE(SUBSTITUTE(SUBSTITUTE(SUBSTITUTE(SUBSTITUTE(UPPER($EI398),"0",""),"1",""),"2",""),"3",""),"4",""),"5",""),"6",""),"7",""),"8",""),"9",""),".",""),"+",""),"-",""),"E","")="",LEN(SUBSTITUTE(SUBSTITUTE(MID(UPPER($EI398),1+OR(LEFT(UPPER($EI398),1)="+",LEFT(UPPER($EI398),1)="-"),999),"E+","E"),"E-","E"))=LEN(SUBSTITUTE(SUBSTITUTE(SUBSTITUTE(SUBSTITUTE(MID(UPPER($EI398),1+OR(LEFT(UPPER($EI398),1)="+",LEFT(UPPER($EI398),1)="-"),999),"E+","E"),"E-","E"),"+",""),"-","")),LEN(UPPER($EI398))-LEN(SUBSTITUTE(UPPER($EI398),"E",""))&lt;2,LEN(UPPER($EI398))-LEN(SUBSTITUTE(UPPER($EI398),".",""))&lt;2,IFERROR(FIND(".",UPPER($EI398)),0)&lt;IFERROR(FIND("E",UPPER($EI398)),999)),ISNUMBER(VALUE($EI398)))),1,2)))</f>
        <v/>
      </c>
      <c r="EK398">
        <f>IF($DM398=0,"",IF($EJ398=1,IF(ISNUMBER($EI398),$EI398,VALUE($EI398)),IF($EJ398=2,$DE398,0)))</f>
        <v/>
      </c>
      <c r="EL398">
        <f>IF($DM398=0,"",COUNTIF($EG$5:$EG$1003,"&lt;"&amp;$EG398)+SUMPRODUCT(($EG$5:$EG$1003=$EG398)*(($EJ$5:$EJ$1003&lt;$EJ398)+($EJ$5:$EJ$1003=$EJ398)*(($EK$5:$EK$1003&lt;$EK398)+($EK$5:$EK$1003=$EK398)*($DE$5:$DE$1003&lt;$DE398))))+1)</f>
        <v/>
      </c>
      <c r="EM398">
        <f>IF($DM398=0,"",$EL398+$EG398-1)</f>
        <v/>
      </c>
      <c r="EN398">
        <f>IF($DM398=0,0,IFERROR(MATCH(1,INDEX(--(TRIM(SUBSTITUTE(SUBSTITUTE(SUBSTITUTE(SUBSTITUTE(LINES_NAME&amp;""," "," "),CHAR(9)," "),CHAR(10)," "),CHAR(13)," "))=$DH398),0),0),0))</f>
        <v/>
      </c>
      <c r="EO398">
        <f>IF($EN398=0,0,IF(OR(UPPER(TRIM(INDEX(LINES_SCHEDULED,$EN398)&amp;""))="YES",UPPER(TRIM(INDEX(LINES_SCHEDULED,$EN398)&amp;""))="Y",UPPER(TRIM(INDEX(LINES_SCHEDULED,$EN398)&amp;""))="X"),1,0))</f>
        <v/>
      </c>
      <c r="EP398">
        <f>IF($DM398=0,"",IF(COUNTIFS($EG$5:$EG$1003,$EG398,$EB$5:$EB$1003,"Ready")&gt;0,"READY",IF(COUNTIFS($EG$5:$EG$1003,$EG398,$EB$5:$EB$1003,"PM")&gt;0,"PM",IF(COUNTIFS($EG$5:$EG$1003,$EG398,$EB$5:$EB$1003,"OT")&gt;0,"OT",""))))</f>
        <v/>
      </c>
      <c r="EQ398">
        <f>IF($EN398=0,"",UPPER(TRIM(INDEX(LINES_STATUS,$EN398)&amp;"")))</f>
        <v/>
      </c>
      <c r="ER398">
        <f>IF($DM398=0,"",IF(OR($EQ398="READY",$EQ398="PM",$EQ398="OT"),$EQ398,$EP398))</f>
        <v/>
      </c>
      <c r="ES398">
        <f>IF($DM398=0,"",IF(AND($DV398&lt;&gt;"",UPPER($DV398)&lt;&gt;"N"),"allergen",IF(ISNUMBER(SEARCH("oil",$DQ398)),"oil",IF(OR(EXACT($DS398,"A662"),EXACT($DS398,"A624")),"bulk",""))))</f>
        <v/>
      </c>
      <c r="ET398">
        <f>IF($DM398=0,"",IF(OR($EA398="",$EA398=0),"",$EA398/100))</f>
        <v/>
      </c>
      <c r="EU398">
        <f>IF(OR($ET398="",$DY398=""),"",INT($DY398*(1-$ET398)+0.5))</f>
        <v/>
      </c>
      <c r="EW398" t="n">
        <v>394</v>
      </c>
      <c r="EX398">
        <f>IFERROR(MATCH($EW398,$EM$5:$EM$1003,0),0)</f>
        <v/>
      </c>
      <c r="EY398">
        <f>IF($EW398&gt;$B$12,"",IF($EX398&gt;0,"row","spacer"))</f>
        <v/>
      </c>
      <c r="EZ398">
        <f>IF(AND($EY398="row",$EY397&lt;&gt;"row"),1,0)</f>
        <v/>
      </c>
      <c r="FA398">
        <f>IF(AND($EY398="row",$EY399&lt;&gt;"row"),1,0)</f>
        <v/>
      </c>
      <c r="FB398">
        <f>IF($EZ398=1,IFERROR(IF(ISNUMBER(INDEX(PASTE_ALL,INDEX($DF$5:$DF$1003,$EX398),$B$37)),INDEX(PASTE_ALL,INDEX($DF$5:$DF$1003,$EX398),$B$37),INDEX($DH$5:$DH$1003,$EX398)),INDEX($DH$5:$DH$1003,$EX398)),"")</f>
        <v/>
      </c>
      <c r="FC398">
        <f>IF($EY398="row",INDEX($ER$5:$ER$1003,$EX398),"")</f>
        <v/>
      </c>
      <c r="FD398">
        <f>IF($EY398="row",INDEX($DN$5:$DN$1003,$EX398),"")</f>
        <v/>
      </c>
      <c r="FE398">
        <f>IF($EY398="row",INDEX($DO$5:$DO$1003,$EX398),"")</f>
        <v/>
      </c>
      <c r="FF398">
        <f>IF($EY398="row",INDEX($DP$5:$DP$1003,$EX398),"")</f>
        <v/>
      </c>
      <c r="FG398">
        <f>IF($EY398="row",INDEX($DQ$5:$DQ$1003,$EX398),"")</f>
        <v/>
      </c>
      <c r="FH398">
        <f>IF($EY398="row",INDEX($DR$5:$DR$1003,$EX398),"")</f>
        <v/>
      </c>
      <c r="FI398">
        <f>IF($EY398="row",INDEX($DS$5:$DS$1003,$EX398),"")</f>
        <v/>
      </c>
      <c r="FJ398">
        <f>IF($EY398="row",INDEX($DT$5:$DT$1003,$EX398),"")</f>
        <v/>
      </c>
      <c r="FK398">
        <f>IF($EY398="row",INDEX($DU$5:$DU$1003,$EX398),"")</f>
        <v/>
      </c>
      <c r="FL398">
        <f>IF($EY398="row",INDEX($DV$5:$DV$1003,$EX398),"")</f>
        <v/>
      </c>
      <c r="FM398">
        <f>IF($EY398="row",INDEX($DW$5:$DW$1003,$EX398),"")</f>
        <v/>
      </c>
      <c r="FN398">
        <f>IF($EY398="row",INDEX($DY$5:$DY$1003,$EX398),"")</f>
        <v/>
      </c>
      <c r="FO398">
        <f>IF($EY398="row",INDEX($EA$5:$EA$1003,$EX398),"")</f>
        <v/>
      </c>
      <c r="FP398">
        <f>IF($EY398="row",INDEX($EC$5:$EC$1003,$EX398),"")</f>
        <v/>
      </c>
      <c r="FQ398">
        <f>IF($EY398="row",INDEX($ET$5:$ET$1003,$EX398),"")</f>
        <v/>
      </c>
      <c r="FR398">
        <f>IF($EY398="row",INDEX($EU$5:$EU$1003,$EX398),"")</f>
        <v/>
      </c>
      <c r="FS398">
        <f>IF(AND($EY398="row",$EY397="row"),IF(OR(INDEX($DT$5:$DT$1003,$EX397)="",INDEX($DT$5:$DT$1003,$EX398)=""),"",IF(NOT(EXACT(INDEX($DT$5:$DT$1003,$EX397),INDEX($DT$5:$DT$1003,$EX398))),"S4",IF(NOT(EXACT(INDEX($DS$5:$DS$1003,$EX397),INDEX($DS$5:$DS$1003,$EX398))),"S3",IF(NOT(EXACT(INDEX($DR$5:$DR$1003,$EX397),INDEX($DR$5:$DR$1003,$EX398))),"S1 Count Change","S1")))),"")</f>
        <v/>
      </c>
      <c r="FT398">
        <f>IF($EY398="row",INDEX($ES$5:$ES$1003,$EX398),"")</f>
        <v/>
      </c>
      <c r="FU398">
        <f>IF($EY398="row",INDEX($EO$5:$EO$1003,$EX398),0)</f>
        <v/>
      </c>
      <c r="FV398">
        <f>IF($FS398="S1 Count Change",1,0)</f>
        <v/>
      </c>
    </row>
    <row r="399">
      <c r="DA399" t="n">
        <v>395</v>
      </c>
      <c r="DB399">
        <f>IF($B$37=0,"",IFERROR(TRIM(SUBSTITUTE(SUBSTITUTE(SUBSTITUTE(SUBSTITUTE(INDEX(PASTE_ALL,395,$B$37)," "," "),CHAR(9)," "),CHAR(10)," "),CHAR(13)," ")),""))</f>
        <v/>
      </c>
      <c r="DC399">
        <f>IF(AND(395&gt;HEADER_ROW,UPPER(DB399)="LEGEND"),1,0)</f>
        <v/>
      </c>
      <c r="DE399" t="n">
        <v>395</v>
      </c>
      <c r="DF399">
        <f>HEADER_ROW+$DE399</f>
        <v/>
      </c>
      <c r="DG399">
        <f>IF(AND($DF399&lt;=1000,$DF399&lt;$B$8),1,0)</f>
        <v/>
      </c>
      <c r="DH399">
        <f>IF($DG399=1,IFERROR(INDEX($DB$5:$DB$1004,$DF399),""),"")</f>
        <v/>
      </c>
      <c r="DI399">
        <f>IF(AND($DG399=1,$DH399&lt;&gt;""),IFERROR(SUBSTITUTE(SUBSTITUTE(TRIM(SUBSTITUTE(SUBSTITUTE(SUBSTITUTE(SUBSTITUTE(IFERROR(INDEX(PASTE_ALL,$DF399,1)&amp;"","")&amp;"␟"&amp;IFERROR(INDEX(PASTE_ALL,$DF399,2)&amp;"","")&amp;"␟"&amp;IFERROR(INDEX(PASTE_ALL,$DF399,3)&amp;"","")&amp;"␟"&amp;IFERROR(INDEX(PASTE_ALL,$DF399,4)&amp;"","")&amp;"␟"&amp;IFERROR(INDEX(PASTE_ALL,$DF399,5)&amp;"","")&amp;"␟"&amp;IFERROR(INDEX(PASTE_ALL,$DF399,6)&amp;"","")&amp;"␟"&amp;IFERROR(INDEX(PASTE_ALL,$DF399,7)&amp;"","")&amp;"␟"&amp;IFERROR(INDEX(PASTE_ALL,$DF399,8)&amp;"","")&amp;"␟"&amp;IFERROR(INDEX(PASTE_ALL,$DF399,9)&amp;"","")&amp;"␟"&amp;IFERROR(INDEX(PASTE_ALL,$DF399,10)&amp;"","")&amp;"␟"&amp;IFERROR(INDEX(PASTE_ALL,$DF399,11)&amp;"","")&amp;"␟"&amp;IFERROR(INDEX(PASTE_ALL,$DF399,12)&amp;"","")&amp;"␟"&amp;IFERROR(INDEX(PASTE_ALL,$DF399,13)&amp;"","")&amp;"␟"&amp;IFERROR(INDEX(PASTE_ALL,$DF399,14)&amp;"","")&amp;"␟"&amp;IFERROR(INDEX(PASTE_ALL,$DF399,15)&amp;"","")&amp;"␟"&amp;IFERROR(INDEX(PASTE_ALL,$DF399,16)&amp;"","")&amp;"␟"&amp;IFERROR(INDEX(PASTE_ALL,$DF399,17)&amp;"","")&amp;"␟"&amp;IFERROR(INDEX(PASTE_ALL,$DF399,18)&amp;"","")&amp;"␟"&amp;IFERROR(INDEX(PASTE_ALL,$DF399,19)&amp;"","")&amp;"␟"&amp;IFERROR(INDEX(PASTE_ALL,$DF399,20)&amp;"","")&amp;"␟"&amp;IFERROR(INDEX(PASTE_ALL,$DF399,21)&amp;"","")&amp;"␟"&amp;IFERROR(INDEX(PASTE_ALL,$DF399,22)&amp;"","")&amp;"␟"&amp;IFERROR(INDEX(PASTE_ALL,$DF399,23)&amp;"","")&amp;"␟"&amp;IFERROR(INDEX(PASTE_ALL,$DF399,24)&amp;"","")&amp;"␟"&amp;IFERROR(INDEX(PASTE_ALL,$DF399,25)&amp;"","")&amp;"␟"&amp;IFERROR(INDEX(PASTE_ALL,$DF399,26)&amp;"","")&amp;"␟"&amp;IFERROR(INDEX(PASTE_ALL,$DF399,27)&amp;"","")&amp;"␟"&amp;IFERROR(INDEX(PASTE_ALL,$DF399,28)&amp;"","")&amp;"␟"&amp;IFERROR(INDEX(PASTE_ALL,$DF399,29)&amp;"","")&amp;"␟"&amp;IFERROR(INDEX(PASTE_ALL,$DF399,30)&amp;"","")&amp;"␟"&amp;IFERROR(INDEX(PASTE_ALL,$DF399,31)&amp;"","")&amp;"␟"&amp;IFERROR(INDEX(PASTE_ALL,$DF399,32)&amp;"","")&amp;"␟"&amp;IFERROR(INDEX(PASTE_ALL,$DF399,33)&amp;"","")&amp;"␟"&amp;IFERROR(INDEX(PASTE_ALL,$DF399,34)&amp;"","")&amp;"␟"&amp;IFERROR(INDEX(PASTE_ALL,$DF399,35)&amp;"","")&amp;"␟"&amp;IFERROR(INDEX(PASTE_ALL,$DF399,36)&amp;"","")&amp;"␟"&amp;IFERROR(INDEX(PASTE_ALL,$DF399,37)&amp;"","")&amp;"␟"&amp;IFERROR(INDEX(PASTE_ALL,$DF399,38)&amp;"","")&amp;"␟"&amp;IFERROR(INDEX(PASTE_ALL,$DF399,39)&amp;"","")&amp;"␟"&amp;IFERROR(INDEX(PASTE_ALL,$DF399,40)&amp;"","")&amp;"␟"&amp;IFERROR(INDEX(PASTE_ALL,$DF399,41)&amp;"","")&amp;"␟"&amp;IFERROR(INDEX(PASTE_ALL,$DF399,42)&amp;"","")&amp;"␟"&amp;IFERROR(INDEX(PASTE_ALL,$DF399,43)&amp;"","")&amp;"␟"&amp;IFERROR(INDEX(PASTE_ALL,$DF399,44)&amp;"","")&amp;"␟"&amp;IFERROR(INDEX(PASTE_ALL,$DF399,45)&amp;"","")&amp;"␟"&amp;IFERROR(INDEX(PASTE_ALL,$DF399,46)&amp;"","")&amp;"␟"&amp;IFERROR(INDEX(PASTE_ALL,$DF399,47)&amp;"","")&amp;"␟"&amp;IFERROR(INDEX(PASTE_ALL,$DF399,48)&amp;"","")&amp;"␟"&amp;IFERROR(INDEX(PASTE_ALL,$DF399,49)&amp;"","")&amp;"␟"&amp;IFERROR(INDEX(PASTE_ALL,$DF399,50)&amp;"","")&amp;"␟"&amp;IFERROR(INDEX(PASTE_ALL,$DF399,51)&amp;"","")&amp;"␟"&amp;IFERROR(INDEX(PASTE_ALL,$DF399,52)&amp;"","")&amp;"␟"&amp;IFERROR(INDEX(PASTE_ALL,$DF399,53)&amp;"","")&amp;"␟"&amp;IFERROR(INDEX(PASTE_ALL,$DF399,54)&amp;"","")&amp;"␟"&amp;IFERROR(INDEX(PASTE_ALL,$DF399,55)&amp;"","")&amp;"␟"&amp;IFERROR(INDEX(PASTE_ALL,$DF399,56)&amp;"","")&amp;"␟"&amp;IFERROR(INDEX(PASTE_ALL,$DF399,57)&amp;"","")&amp;"␟"&amp;IFERROR(INDEX(PASTE_ALL,$DF399,58)&amp;"","")&amp;"␟"&amp;IFERROR(INDEX(PASTE_ALL,$DF399,59)&amp;"","")&amp;"␟"&amp;IFERROR(INDEX(PASTE_ALL,$DF399,60)&amp;"","")," "," "),CHAR(9)," "),CHAR(10)," "),CHAR(13)," "))," ␟","␟"),"␟ ","␟"),"#"&amp;$DE399),"")</f>
        <v/>
      </c>
      <c r="DJ399">
        <f>IF($DI399="",0,IF(SUMPRODUCT(--EXACT($DI$4:DI398,$DI399))&gt;0,1,0))</f>
        <v/>
      </c>
      <c r="DK399">
        <f>IF(AND($DI399&lt;&gt;"",$DJ399=0),1,0)</f>
        <v/>
      </c>
      <c r="DL399">
        <f>DL398+$DK399</f>
        <v/>
      </c>
      <c r="DM399">
        <f>IF(AND($DK399=1,$DL399&lt;=600),1,0)</f>
        <v/>
      </c>
      <c r="DN399">
        <f>IF($DM399=0,"",IF($L$6=0,"",IFERROR(IF(ISNUMBER(INDEX(PASTE_ALL,$DF399,$L$6)),INDEX(PASTE_ALL,$DF399,$L$6),TRIM(SUBSTITUTE(SUBSTITUTE(SUBSTITUTE(SUBSTITUTE(INDEX(PASTE_ALL,$DF399,$L$6)," "," "),CHAR(9)," "),CHAR(10)," "),CHAR(13)," "))),"")))</f>
        <v/>
      </c>
      <c r="DO399">
        <f>IF($DM399=0,"",IF($L$7=0,"",IFERROR(IF(ISNUMBER(INDEX(PASTE_ALL,$DF399,$L$7)),INDEX(PASTE_ALL,$DF399,$L$7),TRIM(SUBSTITUTE(SUBSTITUTE(SUBSTITUTE(SUBSTITUTE(INDEX(PASTE_ALL,$DF399,$L$7)," "," "),CHAR(9)," "),CHAR(10)," "),CHAR(13)," "))),"")))</f>
        <v/>
      </c>
      <c r="DP399">
        <f>IF($DM399=0,"",IF($L$8=0,"",IFERROR(IF(ISNUMBER(INDEX(PASTE_ALL,$DF399,$L$8)),INDEX(PASTE_ALL,$DF399,$L$8),TRIM(SUBSTITUTE(SUBSTITUTE(SUBSTITUTE(SUBSTITUTE(INDEX(PASTE_ALL,$DF399,$L$8)," "," "),CHAR(9)," "),CHAR(10)," "),CHAR(13)," "))),"")))</f>
        <v/>
      </c>
      <c r="DQ399">
        <f>IF($DM399=0,"",IF($L$9=0,"",IFERROR(IF(ISNUMBER(INDEX(PASTE_ALL,$DF399,$L$9)),INDEX(PASTE_ALL,$DF399,$L$9),TRIM(SUBSTITUTE(SUBSTITUTE(SUBSTITUTE(SUBSTITUTE(INDEX(PASTE_ALL,$DF399,$L$9)," "," "),CHAR(9)," "),CHAR(10)," "),CHAR(13)," "))),"")))</f>
        <v/>
      </c>
      <c r="DR399">
        <f>IF($DM399=0,"",IF($L$10=0,"",IFERROR(IF(ISNUMBER(INDEX(PASTE_ALL,$DF399,$L$10)),INDEX(PASTE_ALL,$DF399,$L$10),TRIM(SUBSTITUTE(SUBSTITUTE(SUBSTITUTE(SUBSTITUTE(INDEX(PASTE_ALL,$DF399,$L$10)," "," "),CHAR(9)," "),CHAR(10)," "),CHAR(13)," "))),"")))</f>
        <v/>
      </c>
      <c r="DS399">
        <f>IF($DM399=0,"",IF($L$11=0,"",IFERROR(IF(ISNUMBER(INDEX(PASTE_ALL,$DF399,$L$11)),INDEX(PASTE_ALL,$DF399,$L$11),TRIM(SUBSTITUTE(SUBSTITUTE(SUBSTITUTE(SUBSTITUTE(INDEX(PASTE_ALL,$DF399,$L$11)," "," "),CHAR(9)," "),CHAR(10)," "),CHAR(13)," "))),"")))</f>
        <v/>
      </c>
      <c r="DT399">
        <f>IF($DM399=0,"",IF($L$12=0,"",IFERROR(IF(ISNUMBER(INDEX(PASTE_ALL,$DF399,$L$12)),INDEX(PASTE_ALL,$DF399,$L$12),TRIM(SUBSTITUTE(SUBSTITUTE(SUBSTITUTE(SUBSTITUTE(INDEX(PASTE_ALL,$DF399,$L$12)," "," "),CHAR(9)," "),CHAR(10)," "),CHAR(13)," "))),"")))</f>
        <v/>
      </c>
      <c r="DU399">
        <f>IF($DM399=0,"",IF($L$13=0,"",IFERROR(IF(ISNUMBER(INDEX(PASTE_ALL,$DF399,$L$13)),INDEX(PASTE_ALL,$DF399,$L$13),TRIM(SUBSTITUTE(SUBSTITUTE(SUBSTITUTE(SUBSTITUTE(INDEX(PASTE_ALL,$DF399,$L$13)," "," "),CHAR(9)," "),CHAR(10)," "),CHAR(13)," "))),"")))</f>
        <v/>
      </c>
      <c r="DV399">
        <f>IF($DM399=0,"",IF($L$14=0,"",IFERROR(IF(ISNUMBER(INDEX(PASTE_ALL,$DF399,$L$14)),INDEX(PASTE_ALL,$DF399,$L$14),TRIM(SUBSTITUTE(SUBSTITUTE(SUBSTITUTE(SUBSTITUTE(INDEX(PASTE_ALL,$DF399,$L$14)," "," "),CHAR(9)," "),CHAR(10)," "),CHAR(13)," "))),"")))</f>
        <v/>
      </c>
      <c r="DW399">
        <f>IF($DM399=0,"",IF($L$15=0,"",IFERROR(IF(ISNUMBER(INDEX(PASTE_ALL,$DF399,$L$15)),INDEX(PASTE_ALL,$DF399,$L$15),IF(SUMPRODUCT(--ISNUMBER(FIND({"A","B","C","D","E","F","G","H","I","J","K","L","M","N","O","P","Q","R","S","T","U","V","W","X","Y","Z","0","1","2","3","4","5","6","7","8","9"},UPPER(TRIM(SUBSTITUTE(SUBSTITUTE(SUBSTITUTE(SUBSTITUTE(INDEX(PASTE_ALL,$DF399,$L$15)," "," "),CHAR(9)," "),CHAR(10)," "),CHAR(13)," "))))))&gt;0,TRIM(SUBSTITUTE(SUBSTITUTE(SUBSTITUTE(SUBSTITUTE(INDEX(PASTE_ALL,$DF399,$L$15)," "," "),CHAR(9)," "),CHAR(10)," "),CHAR(13)," ")),"")),"")))</f>
        <v/>
      </c>
      <c r="DX399">
        <f>IF($DM399=0,"",IF($L$16=0,"",IFERROR(IF(ISNUMBER(INDEX(PASTE_ALL,$DF399,$L$16)),INDEX(PASTE_ALL,$DF399,$L$16),SUBSTITUTE(SUBSTITUTE(TRIM(SUBSTITUTE(SUBSTITUTE(SUBSTITUTE(SUBSTITUTE(INDEX(PASTE_ALL,$DF399,$L$16)," "," "),CHAR(9)," "),CHAR(10)," "),CHAR(13)," ")),",",""),"%","")),"")))</f>
        <v/>
      </c>
      <c r="DY399">
        <f>IF($DM399=0,"",IFERROR(IF(ISNUMBER($DX399),$DX399,IF($DX399="","",IF(TRIM($DX399)="",0,IF(AND(AND(SUBSTITUTE(SUBSTITUTE(SUBSTITUTE(SUBSTITUTE(SUBSTITUTE(SUBSTITUTE(SUBSTITUTE(SUBSTITUTE(SUBSTITUTE(SUBSTITUTE(SUBSTITUTE(SUBSTITUTE(SUBSTITUTE(SUBSTITUTE(UPPER(TRIM($DX399)),"0",""),"1",""),"2",""),"3",""),"4",""),"5",""),"6",""),"7",""),"8",""),"9",""),".",""),"+",""),"-",""),"E","")="",LEN(SUBSTITUTE(SUBSTITUTE(MID(UPPER(TRIM($DX399)),1+OR(LEFT(UPPER(TRIM($DX399)),1)="+",LEFT(UPPER(TRIM($DX399)),1)="-"),999),"E+","E"),"E-","E"))=LEN(SUBSTITUTE(SUBSTITUTE(SUBSTITUTE(SUBSTITUTE(MID(UPPER(TRIM($DX399)),1+OR(LEFT(UPPER(TRIM($DX399)),1)="+",LEFT(UPPER(TRIM($DX399)),1)="-"),999),"E+","E"),"E-","E"),"+",""),"-","")),LEN(UPPER(TRIM($DX399)))-LEN(SUBSTITUTE(UPPER(TRIM($DX399)),"E",""))&lt;2,LEN(UPPER(TRIM($DX399)))-LEN(SUBSTITUTE(UPPER(TRIM($DX399)),".",""))&lt;2,IFERROR(FIND(".",UPPER(TRIM($DX399))),0)&lt;IFERROR(FIND("E",UPPER(TRIM($DX399))),999)),ISNUMBER(VALUE(TRIM($DX399)))),VALUE(TRIM($DX399)),"")))),""))</f>
        <v/>
      </c>
      <c r="DZ399">
        <f>IF($DM399=0,"",IF($L$17=0,"",IFERROR(IF(ISNUMBER(INDEX(PASTE_ALL,$DF399,$L$17)),INDEX(PASTE_ALL,$DF399,$L$17),SUBSTITUTE(SUBSTITUTE(TRIM(SUBSTITUTE(SUBSTITUTE(SUBSTITUTE(SUBSTITUTE(INDEX(PASTE_ALL,$DF399,$L$17)," "," "),CHAR(9)," "),CHAR(10)," "),CHAR(13)," ")),",",""),"%","")),"")))</f>
        <v/>
      </c>
      <c r="EA399">
        <f>IF($DM399=0,"",IFERROR(IF(ISNUMBER($DZ399),$DZ399,IF($DZ399="","",IF(TRIM($DZ399)="",0,IF(AND(AND(SUBSTITUTE(SUBSTITUTE(SUBSTITUTE(SUBSTITUTE(SUBSTITUTE(SUBSTITUTE(SUBSTITUTE(SUBSTITUTE(SUBSTITUTE(SUBSTITUTE(SUBSTITUTE(SUBSTITUTE(SUBSTITUTE(SUBSTITUTE(UPPER(TRIM($DZ399)),"0",""),"1",""),"2",""),"3",""),"4",""),"5",""),"6",""),"7",""),"8",""),"9",""),".",""),"+",""),"-",""),"E","")="",LEN(SUBSTITUTE(SUBSTITUTE(MID(UPPER(TRIM($DZ399)),1+OR(LEFT(UPPER(TRIM($DZ399)),1)="+",LEFT(UPPER(TRIM($DZ399)),1)="-"),999),"E+","E"),"E-","E"))=LEN(SUBSTITUTE(SUBSTITUTE(SUBSTITUTE(SUBSTITUTE(MID(UPPER(TRIM($DZ399)),1+OR(LEFT(UPPER(TRIM($DZ399)),1)="+",LEFT(UPPER(TRIM($DZ399)),1)="-"),999),"E+","E"),"E-","E"),"+",""),"-","")),LEN(UPPER(TRIM($DZ399)))-LEN(SUBSTITUTE(UPPER(TRIM($DZ399)),"E",""))&lt;2,LEN(UPPER(TRIM($DZ399)))-LEN(SUBSTITUTE(UPPER(TRIM($DZ399)),".",""))&lt;2,IFERROR(FIND(".",UPPER(TRIM($DZ399))),0)&lt;IFERROR(FIND("E",UPPER(TRIM($DZ399))),999)),ISNUMBER(VALUE(TRIM($DZ399)))),VALUE(TRIM($DZ399)),"")))),""))</f>
        <v/>
      </c>
      <c r="EB399">
        <f>IF($DM399=0,"",IF($L$18=0,"",IFERROR(IF(UPPER(TRIM(SUBSTITUTE(SUBSTITUTE(SUBSTITUTE(SUBSTITUTE(INDEX(PASTE_ALL,$DF399,$L$18)," "," "),CHAR(9)," "),CHAR(10)," "),CHAR(13)," ")))="READY","Ready",IF(UPPER(TRIM(SUBSTITUTE(SUBSTITUTE(SUBSTITUTE(SUBSTITUTE(INDEX(PASTE_ALL,$DF399,$L$18)," "," "),CHAR(9)," "),CHAR(10)," "),CHAR(13)," ")))="PM","PM",IF(OR(UPPER(TRIM(SUBSTITUTE(SUBSTITUTE(SUBSTITUTE(SUBSTITUTE(INDEX(PASTE_ALL,$DF399,$L$18)," "," "),CHAR(9)," "),CHAR(10)," "),CHAR(13)," ")))="OT",UPPER(TRIM(SUBSTITUTE(SUBSTITUTE(SUBSTITUTE(SUBSTITUTE(INDEX(PASTE_ALL,$DF399,$L$18)," "," "),CHAR(9)," "),CHAR(10)," "),CHAR(13)," ")))="OVERTIME",UPPER(TRIM(SUBSTITUTE(SUBSTITUTE(SUBSTITUTE(SUBSTITUTE(INDEX(PASTE_ALL,$DF399,$L$18)," "," "),CHAR(9)," "),CHAR(10)," "),CHAR(13)," ")))="TRIAL"),"OT",TRIM(SUBSTITUTE(SUBSTITUTE(SUBSTITUTE(SUBSTITUTE(INDEX(PASTE_ALL,$DF399,$L$18)," "," "),CHAR(9)," "),CHAR(10)," "),CHAR(13)," "))))),"")))</f>
        <v/>
      </c>
      <c r="EC399">
        <f>IF($DM399=0,"",IF($L$19=0,"",IFERROR(IF(ISNUMBER(INDEX(PASTE_ALL,$DF399,$L$19)),INDEX(PASTE_ALL,$DF399,$L$19),TRIM(SUBSTITUTE(SUBSTITUTE(SUBSTITUTE(SUBSTITUTE(INDEX(PASTE_ALL,$DF399,$L$19)," "," "),CHAR(9)," "),CHAR(10)," "),CHAR(13)," "))),"")))</f>
        <v/>
      </c>
      <c r="ED399">
        <f>IF($DM399=0,"",MATCH(1,INDEX(EXACT($DH$5:DH399,$DH399)*$DM$5:DM399,0),0))</f>
        <v/>
      </c>
      <c r="EE399">
        <f>IF($DM399=0,0,IF($ED399=$DE399,1,0))</f>
        <v/>
      </c>
      <c r="EF399">
        <f>EF398+$EE399</f>
        <v/>
      </c>
      <c r="EG399">
        <f>IF($DM399=0,"",INDEX($EF$5:$EF$1003,$ED399))</f>
        <v/>
      </c>
      <c r="EH399">
        <f>IF($DM399=0,"",IF($DO399&lt;&gt;"","",IFERROR(LOOKUP(2,1/(($EG$4:EG398=$EG399)*($DO$4:DO398&lt;&gt;"")),$DO$4:DO398),"")))</f>
        <v/>
      </c>
      <c r="EI399">
        <f>IF($DM399=0,"",IF($DO399&lt;&gt;"",$DO399,$EH399))</f>
        <v/>
      </c>
      <c r="EJ399">
        <f>IF($DM399=0,"",IF($EI399="",0,IF(OR(ISNUMBER($EI399),AND(AND(SUBSTITUTE(SUBSTITUTE(SUBSTITUTE(SUBSTITUTE(SUBSTITUTE(SUBSTITUTE(SUBSTITUTE(SUBSTITUTE(SUBSTITUTE(SUBSTITUTE(SUBSTITUTE(SUBSTITUTE(SUBSTITUTE(SUBSTITUTE(UPPER($EI399),"0",""),"1",""),"2",""),"3",""),"4",""),"5",""),"6",""),"7",""),"8",""),"9",""),".",""),"+",""),"-",""),"E","")="",LEN(SUBSTITUTE(SUBSTITUTE(MID(UPPER($EI399),1+OR(LEFT(UPPER($EI399),1)="+",LEFT(UPPER($EI399),1)="-"),999),"E+","E"),"E-","E"))=LEN(SUBSTITUTE(SUBSTITUTE(SUBSTITUTE(SUBSTITUTE(MID(UPPER($EI399),1+OR(LEFT(UPPER($EI399),1)="+",LEFT(UPPER($EI399),1)="-"),999),"E+","E"),"E-","E"),"+",""),"-","")),LEN(UPPER($EI399))-LEN(SUBSTITUTE(UPPER($EI399),"E",""))&lt;2,LEN(UPPER($EI399))-LEN(SUBSTITUTE(UPPER($EI399),".",""))&lt;2,IFERROR(FIND(".",UPPER($EI399)),0)&lt;IFERROR(FIND("E",UPPER($EI399)),999)),ISNUMBER(VALUE($EI399)))),1,2)))</f>
        <v/>
      </c>
      <c r="EK399">
        <f>IF($DM399=0,"",IF($EJ399=1,IF(ISNUMBER($EI399),$EI399,VALUE($EI399)),IF($EJ399=2,$DE399,0)))</f>
        <v/>
      </c>
      <c r="EL399">
        <f>IF($DM399=0,"",COUNTIF($EG$5:$EG$1003,"&lt;"&amp;$EG399)+SUMPRODUCT(($EG$5:$EG$1003=$EG399)*(($EJ$5:$EJ$1003&lt;$EJ399)+($EJ$5:$EJ$1003=$EJ399)*(($EK$5:$EK$1003&lt;$EK399)+($EK$5:$EK$1003=$EK399)*($DE$5:$DE$1003&lt;$DE399))))+1)</f>
        <v/>
      </c>
      <c r="EM399">
        <f>IF($DM399=0,"",$EL399+$EG399-1)</f>
        <v/>
      </c>
      <c r="EN399">
        <f>IF($DM399=0,0,IFERROR(MATCH(1,INDEX(--(TRIM(SUBSTITUTE(SUBSTITUTE(SUBSTITUTE(SUBSTITUTE(LINES_NAME&amp;""," "," "),CHAR(9)," "),CHAR(10)," "),CHAR(13)," "))=$DH399),0),0),0))</f>
        <v/>
      </c>
      <c r="EO399">
        <f>IF($EN399=0,0,IF(OR(UPPER(TRIM(INDEX(LINES_SCHEDULED,$EN399)&amp;""))="YES",UPPER(TRIM(INDEX(LINES_SCHEDULED,$EN399)&amp;""))="Y",UPPER(TRIM(INDEX(LINES_SCHEDULED,$EN399)&amp;""))="X"),1,0))</f>
        <v/>
      </c>
      <c r="EP399">
        <f>IF($DM399=0,"",IF(COUNTIFS($EG$5:$EG$1003,$EG399,$EB$5:$EB$1003,"Ready")&gt;0,"READY",IF(COUNTIFS($EG$5:$EG$1003,$EG399,$EB$5:$EB$1003,"PM")&gt;0,"PM",IF(COUNTIFS($EG$5:$EG$1003,$EG399,$EB$5:$EB$1003,"OT")&gt;0,"OT",""))))</f>
        <v/>
      </c>
      <c r="EQ399">
        <f>IF($EN399=0,"",UPPER(TRIM(INDEX(LINES_STATUS,$EN399)&amp;"")))</f>
        <v/>
      </c>
      <c r="ER399">
        <f>IF($DM399=0,"",IF(OR($EQ399="READY",$EQ399="PM",$EQ399="OT"),$EQ399,$EP399))</f>
        <v/>
      </c>
      <c r="ES399">
        <f>IF($DM399=0,"",IF(AND($DV399&lt;&gt;"",UPPER($DV399)&lt;&gt;"N"),"allergen",IF(ISNUMBER(SEARCH("oil",$DQ399)),"oil",IF(OR(EXACT($DS399,"A662"),EXACT($DS399,"A624")),"bulk",""))))</f>
        <v/>
      </c>
      <c r="ET399">
        <f>IF($DM399=0,"",IF(OR($EA399="",$EA399=0),"",$EA399/100))</f>
        <v/>
      </c>
      <c r="EU399">
        <f>IF(OR($ET399="",$DY399=""),"",INT($DY399*(1-$ET399)+0.5))</f>
        <v/>
      </c>
      <c r="EW399" t="n">
        <v>395</v>
      </c>
      <c r="EX399">
        <f>IFERROR(MATCH($EW399,$EM$5:$EM$1003,0),0)</f>
        <v/>
      </c>
      <c r="EY399">
        <f>IF($EW399&gt;$B$12,"",IF($EX399&gt;0,"row","spacer"))</f>
        <v/>
      </c>
      <c r="EZ399">
        <f>IF(AND($EY399="row",$EY398&lt;&gt;"row"),1,0)</f>
        <v/>
      </c>
      <c r="FA399">
        <f>IF(AND($EY399="row",$EY400&lt;&gt;"row"),1,0)</f>
        <v/>
      </c>
      <c r="FB399">
        <f>IF($EZ399=1,IFERROR(IF(ISNUMBER(INDEX(PASTE_ALL,INDEX($DF$5:$DF$1003,$EX399),$B$37)),INDEX(PASTE_ALL,INDEX($DF$5:$DF$1003,$EX399),$B$37),INDEX($DH$5:$DH$1003,$EX399)),INDEX($DH$5:$DH$1003,$EX399)),"")</f>
        <v/>
      </c>
      <c r="FC399">
        <f>IF($EY399="row",INDEX($ER$5:$ER$1003,$EX399),"")</f>
        <v/>
      </c>
      <c r="FD399">
        <f>IF($EY399="row",INDEX($DN$5:$DN$1003,$EX399),"")</f>
        <v/>
      </c>
      <c r="FE399">
        <f>IF($EY399="row",INDEX($DO$5:$DO$1003,$EX399),"")</f>
        <v/>
      </c>
      <c r="FF399">
        <f>IF($EY399="row",INDEX($DP$5:$DP$1003,$EX399),"")</f>
        <v/>
      </c>
      <c r="FG399">
        <f>IF($EY399="row",INDEX($DQ$5:$DQ$1003,$EX399),"")</f>
        <v/>
      </c>
      <c r="FH399">
        <f>IF($EY399="row",INDEX($DR$5:$DR$1003,$EX399),"")</f>
        <v/>
      </c>
      <c r="FI399">
        <f>IF($EY399="row",INDEX($DS$5:$DS$1003,$EX399),"")</f>
        <v/>
      </c>
      <c r="FJ399">
        <f>IF($EY399="row",INDEX($DT$5:$DT$1003,$EX399),"")</f>
        <v/>
      </c>
      <c r="FK399">
        <f>IF($EY399="row",INDEX($DU$5:$DU$1003,$EX399),"")</f>
        <v/>
      </c>
      <c r="FL399">
        <f>IF($EY399="row",INDEX($DV$5:$DV$1003,$EX399),"")</f>
        <v/>
      </c>
      <c r="FM399">
        <f>IF($EY399="row",INDEX($DW$5:$DW$1003,$EX399),"")</f>
        <v/>
      </c>
      <c r="FN399">
        <f>IF($EY399="row",INDEX($DY$5:$DY$1003,$EX399),"")</f>
        <v/>
      </c>
      <c r="FO399">
        <f>IF($EY399="row",INDEX($EA$5:$EA$1003,$EX399),"")</f>
        <v/>
      </c>
      <c r="FP399">
        <f>IF($EY399="row",INDEX($EC$5:$EC$1003,$EX399),"")</f>
        <v/>
      </c>
      <c r="FQ399">
        <f>IF($EY399="row",INDEX($ET$5:$ET$1003,$EX399),"")</f>
        <v/>
      </c>
      <c r="FR399">
        <f>IF($EY399="row",INDEX($EU$5:$EU$1003,$EX399),"")</f>
        <v/>
      </c>
      <c r="FS399">
        <f>IF(AND($EY399="row",$EY398="row"),IF(OR(INDEX($DT$5:$DT$1003,$EX398)="",INDEX($DT$5:$DT$1003,$EX399)=""),"",IF(NOT(EXACT(INDEX($DT$5:$DT$1003,$EX398),INDEX($DT$5:$DT$1003,$EX399))),"S4",IF(NOT(EXACT(INDEX($DS$5:$DS$1003,$EX398),INDEX($DS$5:$DS$1003,$EX399))),"S3",IF(NOT(EXACT(INDEX($DR$5:$DR$1003,$EX398),INDEX($DR$5:$DR$1003,$EX399))),"S1 Count Change","S1")))),"")</f>
        <v/>
      </c>
      <c r="FT399">
        <f>IF($EY399="row",INDEX($ES$5:$ES$1003,$EX399),"")</f>
        <v/>
      </c>
      <c r="FU399">
        <f>IF($EY399="row",INDEX($EO$5:$EO$1003,$EX399),0)</f>
        <v/>
      </c>
      <c r="FV399">
        <f>IF($FS399="S1 Count Change",1,0)</f>
        <v/>
      </c>
    </row>
    <row r="400">
      <c r="DA400" t="n">
        <v>396</v>
      </c>
      <c r="DB400">
        <f>IF($B$37=0,"",IFERROR(TRIM(SUBSTITUTE(SUBSTITUTE(SUBSTITUTE(SUBSTITUTE(INDEX(PASTE_ALL,396,$B$37)," "," "),CHAR(9)," "),CHAR(10)," "),CHAR(13)," ")),""))</f>
        <v/>
      </c>
      <c r="DC400">
        <f>IF(AND(396&gt;HEADER_ROW,UPPER(DB400)="LEGEND"),1,0)</f>
        <v/>
      </c>
      <c r="DE400" t="n">
        <v>396</v>
      </c>
      <c r="DF400">
        <f>HEADER_ROW+$DE400</f>
        <v/>
      </c>
      <c r="DG400">
        <f>IF(AND($DF400&lt;=1000,$DF400&lt;$B$8),1,0)</f>
        <v/>
      </c>
      <c r="DH400">
        <f>IF($DG400=1,IFERROR(INDEX($DB$5:$DB$1004,$DF400),""),"")</f>
        <v/>
      </c>
      <c r="DI400">
        <f>IF(AND($DG400=1,$DH400&lt;&gt;""),IFERROR(SUBSTITUTE(SUBSTITUTE(TRIM(SUBSTITUTE(SUBSTITUTE(SUBSTITUTE(SUBSTITUTE(IFERROR(INDEX(PASTE_ALL,$DF400,1)&amp;"","")&amp;"␟"&amp;IFERROR(INDEX(PASTE_ALL,$DF400,2)&amp;"","")&amp;"␟"&amp;IFERROR(INDEX(PASTE_ALL,$DF400,3)&amp;"","")&amp;"␟"&amp;IFERROR(INDEX(PASTE_ALL,$DF400,4)&amp;"","")&amp;"␟"&amp;IFERROR(INDEX(PASTE_ALL,$DF400,5)&amp;"","")&amp;"␟"&amp;IFERROR(INDEX(PASTE_ALL,$DF400,6)&amp;"","")&amp;"␟"&amp;IFERROR(INDEX(PASTE_ALL,$DF400,7)&amp;"","")&amp;"␟"&amp;IFERROR(INDEX(PASTE_ALL,$DF400,8)&amp;"","")&amp;"␟"&amp;IFERROR(INDEX(PASTE_ALL,$DF400,9)&amp;"","")&amp;"␟"&amp;IFERROR(INDEX(PASTE_ALL,$DF400,10)&amp;"","")&amp;"␟"&amp;IFERROR(INDEX(PASTE_ALL,$DF400,11)&amp;"","")&amp;"␟"&amp;IFERROR(INDEX(PASTE_ALL,$DF400,12)&amp;"","")&amp;"␟"&amp;IFERROR(INDEX(PASTE_ALL,$DF400,13)&amp;"","")&amp;"␟"&amp;IFERROR(INDEX(PASTE_ALL,$DF400,14)&amp;"","")&amp;"␟"&amp;IFERROR(INDEX(PASTE_ALL,$DF400,15)&amp;"","")&amp;"␟"&amp;IFERROR(INDEX(PASTE_ALL,$DF400,16)&amp;"","")&amp;"␟"&amp;IFERROR(INDEX(PASTE_ALL,$DF400,17)&amp;"","")&amp;"␟"&amp;IFERROR(INDEX(PASTE_ALL,$DF400,18)&amp;"","")&amp;"␟"&amp;IFERROR(INDEX(PASTE_ALL,$DF400,19)&amp;"","")&amp;"␟"&amp;IFERROR(INDEX(PASTE_ALL,$DF400,20)&amp;"","")&amp;"␟"&amp;IFERROR(INDEX(PASTE_ALL,$DF400,21)&amp;"","")&amp;"␟"&amp;IFERROR(INDEX(PASTE_ALL,$DF400,22)&amp;"","")&amp;"␟"&amp;IFERROR(INDEX(PASTE_ALL,$DF400,23)&amp;"","")&amp;"␟"&amp;IFERROR(INDEX(PASTE_ALL,$DF400,24)&amp;"","")&amp;"␟"&amp;IFERROR(INDEX(PASTE_ALL,$DF400,25)&amp;"","")&amp;"␟"&amp;IFERROR(INDEX(PASTE_ALL,$DF400,26)&amp;"","")&amp;"␟"&amp;IFERROR(INDEX(PASTE_ALL,$DF400,27)&amp;"","")&amp;"␟"&amp;IFERROR(INDEX(PASTE_ALL,$DF400,28)&amp;"","")&amp;"␟"&amp;IFERROR(INDEX(PASTE_ALL,$DF400,29)&amp;"","")&amp;"␟"&amp;IFERROR(INDEX(PASTE_ALL,$DF400,30)&amp;"","")&amp;"␟"&amp;IFERROR(INDEX(PASTE_ALL,$DF400,31)&amp;"","")&amp;"␟"&amp;IFERROR(INDEX(PASTE_ALL,$DF400,32)&amp;"","")&amp;"␟"&amp;IFERROR(INDEX(PASTE_ALL,$DF400,33)&amp;"","")&amp;"␟"&amp;IFERROR(INDEX(PASTE_ALL,$DF400,34)&amp;"","")&amp;"␟"&amp;IFERROR(INDEX(PASTE_ALL,$DF400,35)&amp;"","")&amp;"␟"&amp;IFERROR(INDEX(PASTE_ALL,$DF400,36)&amp;"","")&amp;"␟"&amp;IFERROR(INDEX(PASTE_ALL,$DF400,37)&amp;"","")&amp;"␟"&amp;IFERROR(INDEX(PASTE_ALL,$DF400,38)&amp;"","")&amp;"␟"&amp;IFERROR(INDEX(PASTE_ALL,$DF400,39)&amp;"","")&amp;"␟"&amp;IFERROR(INDEX(PASTE_ALL,$DF400,40)&amp;"","")&amp;"␟"&amp;IFERROR(INDEX(PASTE_ALL,$DF400,41)&amp;"","")&amp;"␟"&amp;IFERROR(INDEX(PASTE_ALL,$DF400,42)&amp;"","")&amp;"␟"&amp;IFERROR(INDEX(PASTE_ALL,$DF400,43)&amp;"","")&amp;"␟"&amp;IFERROR(INDEX(PASTE_ALL,$DF400,44)&amp;"","")&amp;"␟"&amp;IFERROR(INDEX(PASTE_ALL,$DF400,45)&amp;"","")&amp;"␟"&amp;IFERROR(INDEX(PASTE_ALL,$DF400,46)&amp;"","")&amp;"␟"&amp;IFERROR(INDEX(PASTE_ALL,$DF400,47)&amp;"","")&amp;"␟"&amp;IFERROR(INDEX(PASTE_ALL,$DF400,48)&amp;"","")&amp;"␟"&amp;IFERROR(INDEX(PASTE_ALL,$DF400,49)&amp;"","")&amp;"␟"&amp;IFERROR(INDEX(PASTE_ALL,$DF400,50)&amp;"","")&amp;"␟"&amp;IFERROR(INDEX(PASTE_ALL,$DF400,51)&amp;"","")&amp;"␟"&amp;IFERROR(INDEX(PASTE_ALL,$DF400,52)&amp;"","")&amp;"␟"&amp;IFERROR(INDEX(PASTE_ALL,$DF400,53)&amp;"","")&amp;"␟"&amp;IFERROR(INDEX(PASTE_ALL,$DF400,54)&amp;"","")&amp;"␟"&amp;IFERROR(INDEX(PASTE_ALL,$DF400,55)&amp;"","")&amp;"␟"&amp;IFERROR(INDEX(PASTE_ALL,$DF400,56)&amp;"","")&amp;"␟"&amp;IFERROR(INDEX(PASTE_ALL,$DF400,57)&amp;"","")&amp;"␟"&amp;IFERROR(INDEX(PASTE_ALL,$DF400,58)&amp;"","")&amp;"␟"&amp;IFERROR(INDEX(PASTE_ALL,$DF400,59)&amp;"","")&amp;"␟"&amp;IFERROR(INDEX(PASTE_ALL,$DF400,60)&amp;"","")," "," "),CHAR(9)," "),CHAR(10)," "),CHAR(13)," "))," ␟","␟"),"␟ ","␟"),"#"&amp;$DE400),"")</f>
        <v/>
      </c>
      <c r="DJ400">
        <f>IF($DI400="",0,IF(SUMPRODUCT(--EXACT($DI$4:DI399,$DI400))&gt;0,1,0))</f>
        <v/>
      </c>
      <c r="DK400">
        <f>IF(AND($DI400&lt;&gt;"",$DJ400=0),1,0)</f>
        <v/>
      </c>
      <c r="DL400">
        <f>DL399+$DK400</f>
        <v/>
      </c>
      <c r="DM400">
        <f>IF(AND($DK400=1,$DL400&lt;=600),1,0)</f>
        <v/>
      </c>
      <c r="DN400">
        <f>IF($DM400=0,"",IF($L$6=0,"",IFERROR(IF(ISNUMBER(INDEX(PASTE_ALL,$DF400,$L$6)),INDEX(PASTE_ALL,$DF400,$L$6),TRIM(SUBSTITUTE(SUBSTITUTE(SUBSTITUTE(SUBSTITUTE(INDEX(PASTE_ALL,$DF400,$L$6)," "," "),CHAR(9)," "),CHAR(10)," "),CHAR(13)," "))),"")))</f>
        <v/>
      </c>
      <c r="DO400">
        <f>IF($DM400=0,"",IF($L$7=0,"",IFERROR(IF(ISNUMBER(INDEX(PASTE_ALL,$DF400,$L$7)),INDEX(PASTE_ALL,$DF400,$L$7),TRIM(SUBSTITUTE(SUBSTITUTE(SUBSTITUTE(SUBSTITUTE(INDEX(PASTE_ALL,$DF400,$L$7)," "," "),CHAR(9)," "),CHAR(10)," "),CHAR(13)," "))),"")))</f>
        <v/>
      </c>
      <c r="DP400">
        <f>IF($DM400=0,"",IF($L$8=0,"",IFERROR(IF(ISNUMBER(INDEX(PASTE_ALL,$DF400,$L$8)),INDEX(PASTE_ALL,$DF400,$L$8),TRIM(SUBSTITUTE(SUBSTITUTE(SUBSTITUTE(SUBSTITUTE(INDEX(PASTE_ALL,$DF400,$L$8)," "," "),CHAR(9)," "),CHAR(10)," "),CHAR(13)," "))),"")))</f>
        <v/>
      </c>
      <c r="DQ400">
        <f>IF($DM400=0,"",IF($L$9=0,"",IFERROR(IF(ISNUMBER(INDEX(PASTE_ALL,$DF400,$L$9)),INDEX(PASTE_ALL,$DF400,$L$9),TRIM(SUBSTITUTE(SUBSTITUTE(SUBSTITUTE(SUBSTITUTE(INDEX(PASTE_ALL,$DF400,$L$9)," "," "),CHAR(9)," "),CHAR(10)," "),CHAR(13)," "))),"")))</f>
        <v/>
      </c>
      <c r="DR400">
        <f>IF($DM400=0,"",IF($L$10=0,"",IFERROR(IF(ISNUMBER(INDEX(PASTE_ALL,$DF400,$L$10)),INDEX(PASTE_ALL,$DF400,$L$10),TRIM(SUBSTITUTE(SUBSTITUTE(SUBSTITUTE(SUBSTITUTE(INDEX(PASTE_ALL,$DF400,$L$10)," "," "),CHAR(9)," "),CHAR(10)," "),CHAR(13)," "))),"")))</f>
        <v/>
      </c>
      <c r="DS400">
        <f>IF($DM400=0,"",IF($L$11=0,"",IFERROR(IF(ISNUMBER(INDEX(PASTE_ALL,$DF400,$L$11)),INDEX(PASTE_ALL,$DF400,$L$11),TRIM(SUBSTITUTE(SUBSTITUTE(SUBSTITUTE(SUBSTITUTE(INDEX(PASTE_ALL,$DF400,$L$11)," "," "),CHAR(9)," "),CHAR(10)," "),CHAR(13)," "))),"")))</f>
        <v/>
      </c>
      <c r="DT400">
        <f>IF($DM400=0,"",IF($L$12=0,"",IFERROR(IF(ISNUMBER(INDEX(PASTE_ALL,$DF400,$L$12)),INDEX(PASTE_ALL,$DF400,$L$12),TRIM(SUBSTITUTE(SUBSTITUTE(SUBSTITUTE(SUBSTITUTE(INDEX(PASTE_ALL,$DF400,$L$12)," "," "),CHAR(9)," "),CHAR(10)," "),CHAR(13)," "))),"")))</f>
        <v/>
      </c>
      <c r="DU400">
        <f>IF($DM400=0,"",IF($L$13=0,"",IFERROR(IF(ISNUMBER(INDEX(PASTE_ALL,$DF400,$L$13)),INDEX(PASTE_ALL,$DF400,$L$13),TRIM(SUBSTITUTE(SUBSTITUTE(SUBSTITUTE(SUBSTITUTE(INDEX(PASTE_ALL,$DF400,$L$13)," "," "),CHAR(9)," "),CHAR(10)," "),CHAR(13)," "))),"")))</f>
        <v/>
      </c>
      <c r="DV400">
        <f>IF($DM400=0,"",IF($L$14=0,"",IFERROR(IF(ISNUMBER(INDEX(PASTE_ALL,$DF400,$L$14)),INDEX(PASTE_ALL,$DF400,$L$14),TRIM(SUBSTITUTE(SUBSTITUTE(SUBSTITUTE(SUBSTITUTE(INDEX(PASTE_ALL,$DF400,$L$14)," "," "),CHAR(9)," "),CHAR(10)," "),CHAR(13)," "))),"")))</f>
        <v/>
      </c>
      <c r="DW400">
        <f>IF($DM400=0,"",IF($L$15=0,"",IFERROR(IF(ISNUMBER(INDEX(PASTE_ALL,$DF400,$L$15)),INDEX(PASTE_ALL,$DF400,$L$15),IF(SUMPRODUCT(--ISNUMBER(FIND({"A","B","C","D","E","F","G","H","I","J","K","L","M","N","O","P","Q","R","S","T","U","V","W","X","Y","Z","0","1","2","3","4","5","6","7","8","9"},UPPER(TRIM(SUBSTITUTE(SUBSTITUTE(SUBSTITUTE(SUBSTITUTE(INDEX(PASTE_ALL,$DF400,$L$15)," "," "),CHAR(9)," "),CHAR(10)," "),CHAR(13)," "))))))&gt;0,TRIM(SUBSTITUTE(SUBSTITUTE(SUBSTITUTE(SUBSTITUTE(INDEX(PASTE_ALL,$DF400,$L$15)," "," "),CHAR(9)," "),CHAR(10)," "),CHAR(13)," ")),"")),"")))</f>
        <v/>
      </c>
      <c r="DX400">
        <f>IF($DM400=0,"",IF($L$16=0,"",IFERROR(IF(ISNUMBER(INDEX(PASTE_ALL,$DF400,$L$16)),INDEX(PASTE_ALL,$DF400,$L$16),SUBSTITUTE(SUBSTITUTE(TRIM(SUBSTITUTE(SUBSTITUTE(SUBSTITUTE(SUBSTITUTE(INDEX(PASTE_ALL,$DF400,$L$16)," "," "),CHAR(9)," "),CHAR(10)," "),CHAR(13)," ")),",",""),"%","")),"")))</f>
        <v/>
      </c>
      <c r="DY400">
        <f>IF($DM400=0,"",IFERROR(IF(ISNUMBER($DX400),$DX400,IF($DX400="","",IF(TRIM($DX400)="",0,IF(AND(AND(SUBSTITUTE(SUBSTITUTE(SUBSTITUTE(SUBSTITUTE(SUBSTITUTE(SUBSTITUTE(SUBSTITUTE(SUBSTITUTE(SUBSTITUTE(SUBSTITUTE(SUBSTITUTE(SUBSTITUTE(SUBSTITUTE(SUBSTITUTE(UPPER(TRIM($DX400)),"0",""),"1",""),"2",""),"3",""),"4",""),"5",""),"6",""),"7",""),"8",""),"9",""),".",""),"+",""),"-",""),"E","")="",LEN(SUBSTITUTE(SUBSTITUTE(MID(UPPER(TRIM($DX400)),1+OR(LEFT(UPPER(TRIM($DX400)),1)="+",LEFT(UPPER(TRIM($DX400)),1)="-"),999),"E+","E"),"E-","E"))=LEN(SUBSTITUTE(SUBSTITUTE(SUBSTITUTE(SUBSTITUTE(MID(UPPER(TRIM($DX400)),1+OR(LEFT(UPPER(TRIM($DX400)),1)="+",LEFT(UPPER(TRIM($DX400)),1)="-"),999),"E+","E"),"E-","E"),"+",""),"-","")),LEN(UPPER(TRIM($DX400)))-LEN(SUBSTITUTE(UPPER(TRIM($DX400)),"E",""))&lt;2,LEN(UPPER(TRIM($DX400)))-LEN(SUBSTITUTE(UPPER(TRIM($DX400)),".",""))&lt;2,IFERROR(FIND(".",UPPER(TRIM($DX400))),0)&lt;IFERROR(FIND("E",UPPER(TRIM($DX400))),999)),ISNUMBER(VALUE(TRIM($DX400)))),VALUE(TRIM($DX400)),"")))),""))</f>
        <v/>
      </c>
      <c r="DZ400">
        <f>IF($DM400=0,"",IF($L$17=0,"",IFERROR(IF(ISNUMBER(INDEX(PASTE_ALL,$DF400,$L$17)),INDEX(PASTE_ALL,$DF400,$L$17),SUBSTITUTE(SUBSTITUTE(TRIM(SUBSTITUTE(SUBSTITUTE(SUBSTITUTE(SUBSTITUTE(INDEX(PASTE_ALL,$DF400,$L$17)," "," "),CHAR(9)," "),CHAR(10)," "),CHAR(13)," ")),",",""),"%","")),"")))</f>
        <v/>
      </c>
      <c r="EA400">
        <f>IF($DM400=0,"",IFERROR(IF(ISNUMBER($DZ400),$DZ400,IF($DZ400="","",IF(TRIM($DZ400)="",0,IF(AND(AND(SUBSTITUTE(SUBSTITUTE(SUBSTITUTE(SUBSTITUTE(SUBSTITUTE(SUBSTITUTE(SUBSTITUTE(SUBSTITUTE(SUBSTITUTE(SUBSTITUTE(SUBSTITUTE(SUBSTITUTE(SUBSTITUTE(SUBSTITUTE(UPPER(TRIM($DZ400)),"0",""),"1",""),"2",""),"3",""),"4",""),"5",""),"6",""),"7",""),"8",""),"9",""),".",""),"+",""),"-",""),"E","")="",LEN(SUBSTITUTE(SUBSTITUTE(MID(UPPER(TRIM($DZ400)),1+OR(LEFT(UPPER(TRIM($DZ400)),1)="+",LEFT(UPPER(TRIM($DZ400)),1)="-"),999),"E+","E"),"E-","E"))=LEN(SUBSTITUTE(SUBSTITUTE(SUBSTITUTE(SUBSTITUTE(MID(UPPER(TRIM($DZ400)),1+OR(LEFT(UPPER(TRIM($DZ400)),1)="+",LEFT(UPPER(TRIM($DZ400)),1)="-"),999),"E+","E"),"E-","E"),"+",""),"-","")),LEN(UPPER(TRIM($DZ400)))-LEN(SUBSTITUTE(UPPER(TRIM($DZ400)),"E",""))&lt;2,LEN(UPPER(TRIM($DZ400)))-LEN(SUBSTITUTE(UPPER(TRIM($DZ400)),".",""))&lt;2,IFERROR(FIND(".",UPPER(TRIM($DZ400))),0)&lt;IFERROR(FIND("E",UPPER(TRIM($DZ400))),999)),ISNUMBER(VALUE(TRIM($DZ400)))),VALUE(TRIM($DZ400)),"")))),""))</f>
        <v/>
      </c>
      <c r="EB400">
        <f>IF($DM400=0,"",IF($L$18=0,"",IFERROR(IF(UPPER(TRIM(SUBSTITUTE(SUBSTITUTE(SUBSTITUTE(SUBSTITUTE(INDEX(PASTE_ALL,$DF400,$L$18)," "," "),CHAR(9)," "),CHAR(10)," "),CHAR(13)," ")))="READY","Ready",IF(UPPER(TRIM(SUBSTITUTE(SUBSTITUTE(SUBSTITUTE(SUBSTITUTE(INDEX(PASTE_ALL,$DF400,$L$18)," "," "),CHAR(9)," "),CHAR(10)," "),CHAR(13)," ")))="PM","PM",IF(OR(UPPER(TRIM(SUBSTITUTE(SUBSTITUTE(SUBSTITUTE(SUBSTITUTE(INDEX(PASTE_ALL,$DF400,$L$18)," "," "),CHAR(9)," "),CHAR(10)," "),CHAR(13)," ")))="OT",UPPER(TRIM(SUBSTITUTE(SUBSTITUTE(SUBSTITUTE(SUBSTITUTE(INDEX(PASTE_ALL,$DF400,$L$18)," "," "),CHAR(9)," "),CHAR(10)," "),CHAR(13)," ")))="OVERTIME",UPPER(TRIM(SUBSTITUTE(SUBSTITUTE(SUBSTITUTE(SUBSTITUTE(INDEX(PASTE_ALL,$DF400,$L$18)," "," "),CHAR(9)," "),CHAR(10)," "),CHAR(13)," ")))="TRIAL"),"OT",TRIM(SUBSTITUTE(SUBSTITUTE(SUBSTITUTE(SUBSTITUTE(INDEX(PASTE_ALL,$DF400,$L$18)," "," "),CHAR(9)," "),CHAR(10)," "),CHAR(13)," "))))),"")))</f>
        <v/>
      </c>
      <c r="EC400">
        <f>IF($DM400=0,"",IF($L$19=0,"",IFERROR(IF(ISNUMBER(INDEX(PASTE_ALL,$DF400,$L$19)),INDEX(PASTE_ALL,$DF400,$L$19),TRIM(SUBSTITUTE(SUBSTITUTE(SUBSTITUTE(SUBSTITUTE(INDEX(PASTE_ALL,$DF400,$L$19)," "," "),CHAR(9)," "),CHAR(10)," "),CHAR(13)," "))),"")))</f>
        <v/>
      </c>
      <c r="ED400">
        <f>IF($DM400=0,"",MATCH(1,INDEX(EXACT($DH$5:DH400,$DH400)*$DM$5:DM400,0),0))</f>
        <v/>
      </c>
      <c r="EE400">
        <f>IF($DM400=0,0,IF($ED400=$DE400,1,0))</f>
        <v/>
      </c>
      <c r="EF400">
        <f>EF399+$EE400</f>
        <v/>
      </c>
      <c r="EG400">
        <f>IF($DM400=0,"",INDEX($EF$5:$EF$1003,$ED400))</f>
        <v/>
      </c>
      <c r="EH400">
        <f>IF($DM400=0,"",IF($DO400&lt;&gt;"","",IFERROR(LOOKUP(2,1/(($EG$4:EG399=$EG400)*($DO$4:DO399&lt;&gt;"")),$DO$4:DO399),"")))</f>
        <v/>
      </c>
      <c r="EI400">
        <f>IF($DM400=0,"",IF($DO400&lt;&gt;"",$DO400,$EH400))</f>
        <v/>
      </c>
      <c r="EJ400">
        <f>IF($DM400=0,"",IF($EI400="",0,IF(OR(ISNUMBER($EI400),AND(AND(SUBSTITUTE(SUBSTITUTE(SUBSTITUTE(SUBSTITUTE(SUBSTITUTE(SUBSTITUTE(SUBSTITUTE(SUBSTITUTE(SUBSTITUTE(SUBSTITUTE(SUBSTITUTE(SUBSTITUTE(SUBSTITUTE(SUBSTITUTE(UPPER($EI400),"0",""),"1",""),"2",""),"3",""),"4",""),"5",""),"6",""),"7",""),"8",""),"9",""),".",""),"+",""),"-",""),"E","")="",LEN(SUBSTITUTE(SUBSTITUTE(MID(UPPER($EI400),1+OR(LEFT(UPPER($EI400),1)="+",LEFT(UPPER($EI400),1)="-"),999),"E+","E"),"E-","E"))=LEN(SUBSTITUTE(SUBSTITUTE(SUBSTITUTE(SUBSTITUTE(MID(UPPER($EI400),1+OR(LEFT(UPPER($EI400),1)="+",LEFT(UPPER($EI400),1)="-"),999),"E+","E"),"E-","E"),"+",""),"-","")),LEN(UPPER($EI400))-LEN(SUBSTITUTE(UPPER($EI400),"E",""))&lt;2,LEN(UPPER($EI400))-LEN(SUBSTITUTE(UPPER($EI400),".",""))&lt;2,IFERROR(FIND(".",UPPER($EI400)),0)&lt;IFERROR(FIND("E",UPPER($EI400)),999)),ISNUMBER(VALUE($EI400)))),1,2)))</f>
        <v/>
      </c>
      <c r="EK400">
        <f>IF($DM400=0,"",IF($EJ400=1,IF(ISNUMBER($EI400),$EI400,VALUE($EI400)),IF($EJ400=2,$DE400,0)))</f>
        <v/>
      </c>
      <c r="EL400">
        <f>IF($DM400=0,"",COUNTIF($EG$5:$EG$1003,"&lt;"&amp;$EG400)+SUMPRODUCT(($EG$5:$EG$1003=$EG400)*(($EJ$5:$EJ$1003&lt;$EJ400)+($EJ$5:$EJ$1003=$EJ400)*(($EK$5:$EK$1003&lt;$EK400)+($EK$5:$EK$1003=$EK400)*($DE$5:$DE$1003&lt;$DE400))))+1)</f>
        <v/>
      </c>
      <c r="EM400">
        <f>IF($DM400=0,"",$EL400+$EG400-1)</f>
        <v/>
      </c>
      <c r="EN400">
        <f>IF($DM400=0,0,IFERROR(MATCH(1,INDEX(--(TRIM(SUBSTITUTE(SUBSTITUTE(SUBSTITUTE(SUBSTITUTE(LINES_NAME&amp;""," "," "),CHAR(9)," "),CHAR(10)," "),CHAR(13)," "))=$DH400),0),0),0))</f>
        <v/>
      </c>
      <c r="EO400">
        <f>IF($EN400=0,0,IF(OR(UPPER(TRIM(INDEX(LINES_SCHEDULED,$EN400)&amp;""))="YES",UPPER(TRIM(INDEX(LINES_SCHEDULED,$EN400)&amp;""))="Y",UPPER(TRIM(INDEX(LINES_SCHEDULED,$EN400)&amp;""))="X"),1,0))</f>
        <v/>
      </c>
      <c r="EP400">
        <f>IF($DM400=0,"",IF(COUNTIFS($EG$5:$EG$1003,$EG400,$EB$5:$EB$1003,"Ready")&gt;0,"READY",IF(COUNTIFS($EG$5:$EG$1003,$EG400,$EB$5:$EB$1003,"PM")&gt;0,"PM",IF(COUNTIFS($EG$5:$EG$1003,$EG400,$EB$5:$EB$1003,"OT")&gt;0,"OT",""))))</f>
        <v/>
      </c>
      <c r="EQ400">
        <f>IF($EN400=0,"",UPPER(TRIM(INDEX(LINES_STATUS,$EN400)&amp;"")))</f>
        <v/>
      </c>
      <c r="ER400">
        <f>IF($DM400=0,"",IF(OR($EQ400="READY",$EQ400="PM",$EQ400="OT"),$EQ400,$EP400))</f>
        <v/>
      </c>
      <c r="ES400">
        <f>IF($DM400=0,"",IF(AND($DV400&lt;&gt;"",UPPER($DV400)&lt;&gt;"N"),"allergen",IF(ISNUMBER(SEARCH("oil",$DQ400)),"oil",IF(OR(EXACT($DS400,"A662"),EXACT($DS400,"A624")),"bulk",""))))</f>
        <v/>
      </c>
      <c r="ET400">
        <f>IF($DM400=0,"",IF(OR($EA400="",$EA400=0),"",$EA400/100))</f>
        <v/>
      </c>
      <c r="EU400">
        <f>IF(OR($ET400="",$DY400=""),"",INT($DY400*(1-$ET400)+0.5))</f>
        <v/>
      </c>
      <c r="EW400" t="n">
        <v>396</v>
      </c>
      <c r="EX400">
        <f>IFERROR(MATCH($EW400,$EM$5:$EM$1003,0),0)</f>
        <v/>
      </c>
      <c r="EY400">
        <f>IF($EW400&gt;$B$12,"",IF($EX400&gt;0,"row","spacer"))</f>
        <v/>
      </c>
      <c r="EZ400">
        <f>IF(AND($EY400="row",$EY399&lt;&gt;"row"),1,0)</f>
        <v/>
      </c>
      <c r="FA400">
        <f>IF(AND($EY400="row",$EY401&lt;&gt;"row"),1,0)</f>
        <v/>
      </c>
      <c r="FB400">
        <f>IF($EZ400=1,IFERROR(IF(ISNUMBER(INDEX(PASTE_ALL,INDEX($DF$5:$DF$1003,$EX400),$B$37)),INDEX(PASTE_ALL,INDEX($DF$5:$DF$1003,$EX400),$B$37),INDEX($DH$5:$DH$1003,$EX400)),INDEX($DH$5:$DH$1003,$EX400)),"")</f>
        <v/>
      </c>
      <c r="FC400">
        <f>IF($EY400="row",INDEX($ER$5:$ER$1003,$EX400),"")</f>
        <v/>
      </c>
      <c r="FD400">
        <f>IF($EY400="row",INDEX($DN$5:$DN$1003,$EX400),"")</f>
        <v/>
      </c>
      <c r="FE400">
        <f>IF($EY400="row",INDEX($DO$5:$DO$1003,$EX400),"")</f>
        <v/>
      </c>
      <c r="FF400">
        <f>IF($EY400="row",INDEX($DP$5:$DP$1003,$EX400),"")</f>
        <v/>
      </c>
      <c r="FG400">
        <f>IF($EY400="row",INDEX($DQ$5:$DQ$1003,$EX400),"")</f>
        <v/>
      </c>
      <c r="FH400">
        <f>IF($EY400="row",INDEX($DR$5:$DR$1003,$EX400),"")</f>
        <v/>
      </c>
      <c r="FI400">
        <f>IF($EY400="row",INDEX($DS$5:$DS$1003,$EX400),"")</f>
        <v/>
      </c>
      <c r="FJ400">
        <f>IF($EY400="row",INDEX($DT$5:$DT$1003,$EX400),"")</f>
        <v/>
      </c>
      <c r="FK400">
        <f>IF($EY400="row",INDEX($DU$5:$DU$1003,$EX400),"")</f>
        <v/>
      </c>
      <c r="FL400">
        <f>IF($EY400="row",INDEX($DV$5:$DV$1003,$EX400),"")</f>
        <v/>
      </c>
      <c r="FM400">
        <f>IF($EY400="row",INDEX($DW$5:$DW$1003,$EX400),"")</f>
        <v/>
      </c>
      <c r="FN400">
        <f>IF($EY400="row",INDEX($DY$5:$DY$1003,$EX400),"")</f>
        <v/>
      </c>
      <c r="FO400">
        <f>IF($EY400="row",INDEX($EA$5:$EA$1003,$EX400),"")</f>
        <v/>
      </c>
      <c r="FP400">
        <f>IF($EY400="row",INDEX($EC$5:$EC$1003,$EX400),"")</f>
        <v/>
      </c>
      <c r="FQ400">
        <f>IF($EY400="row",INDEX($ET$5:$ET$1003,$EX400),"")</f>
        <v/>
      </c>
      <c r="FR400">
        <f>IF($EY400="row",INDEX($EU$5:$EU$1003,$EX400),"")</f>
        <v/>
      </c>
      <c r="FS400">
        <f>IF(AND($EY400="row",$EY399="row"),IF(OR(INDEX($DT$5:$DT$1003,$EX399)="",INDEX($DT$5:$DT$1003,$EX400)=""),"",IF(NOT(EXACT(INDEX($DT$5:$DT$1003,$EX399),INDEX($DT$5:$DT$1003,$EX400))),"S4",IF(NOT(EXACT(INDEX($DS$5:$DS$1003,$EX399),INDEX($DS$5:$DS$1003,$EX400))),"S3",IF(NOT(EXACT(INDEX($DR$5:$DR$1003,$EX399),INDEX($DR$5:$DR$1003,$EX400))),"S1 Count Change","S1")))),"")</f>
        <v/>
      </c>
      <c r="FT400">
        <f>IF($EY400="row",INDEX($ES$5:$ES$1003,$EX400),"")</f>
        <v/>
      </c>
      <c r="FU400">
        <f>IF($EY400="row",INDEX($EO$5:$EO$1003,$EX400),0)</f>
        <v/>
      </c>
      <c r="FV400">
        <f>IF($FS400="S1 Count Change",1,0)</f>
        <v/>
      </c>
    </row>
    <row r="401">
      <c r="DA401" t="n">
        <v>397</v>
      </c>
      <c r="DB401">
        <f>IF($B$37=0,"",IFERROR(TRIM(SUBSTITUTE(SUBSTITUTE(SUBSTITUTE(SUBSTITUTE(INDEX(PASTE_ALL,397,$B$37)," "," "),CHAR(9)," "),CHAR(10)," "),CHAR(13)," ")),""))</f>
        <v/>
      </c>
      <c r="DC401">
        <f>IF(AND(397&gt;HEADER_ROW,UPPER(DB401)="LEGEND"),1,0)</f>
        <v/>
      </c>
      <c r="DE401" t="n">
        <v>397</v>
      </c>
      <c r="DF401">
        <f>HEADER_ROW+$DE401</f>
        <v/>
      </c>
      <c r="DG401">
        <f>IF(AND($DF401&lt;=1000,$DF401&lt;$B$8),1,0)</f>
        <v/>
      </c>
      <c r="DH401">
        <f>IF($DG401=1,IFERROR(INDEX($DB$5:$DB$1004,$DF401),""),"")</f>
        <v/>
      </c>
      <c r="DI401">
        <f>IF(AND($DG401=1,$DH401&lt;&gt;""),IFERROR(SUBSTITUTE(SUBSTITUTE(TRIM(SUBSTITUTE(SUBSTITUTE(SUBSTITUTE(SUBSTITUTE(IFERROR(INDEX(PASTE_ALL,$DF401,1)&amp;"","")&amp;"␟"&amp;IFERROR(INDEX(PASTE_ALL,$DF401,2)&amp;"","")&amp;"␟"&amp;IFERROR(INDEX(PASTE_ALL,$DF401,3)&amp;"","")&amp;"␟"&amp;IFERROR(INDEX(PASTE_ALL,$DF401,4)&amp;"","")&amp;"␟"&amp;IFERROR(INDEX(PASTE_ALL,$DF401,5)&amp;"","")&amp;"␟"&amp;IFERROR(INDEX(PASTE_ALL,$DF401,6)&amp;"","")&amp;"␟"&amp;IFERROR(INDEX(PASTE_ALL,$DF401,7)&amp;"","")&amp;"␟"&amp;IFERROR(INDEX(PASTE_ALL,$DF401,8)&amp;"","")&amp;"␟"&amp;IFERROR(INDEX(PASTE_ALL,$DF401,9)&amp;"","")&amp;"␟"&amp;IFERROR(INDEX(PASTE_ALL,$DF401,10)&amp;"","")&amp;"␟"&amp;IFERROR(INDEX(PASTE_ALL,$DF401,11)&amp;"","")&amp;"␟"&amp;IFERROR(INDEX(PASTE_ALL,$DF401,12)&amp;"","")&amp;"␟"&amp;IFERROR(INDEX(PASTE_ALL,$DF401,13)&amp;"","")&amp;"␟"&amp;IFERROR(INDEX(PASTE_ALL,$DF401,14)&amp;"","")&amp;"␟"&amp;IFERROR(INDEX(PASTE_ALL,$DF401,15)&amp;"","")&amp;"␟"&amp;IFERROR(INDEX(PASTE_ALL,$DF401,16)&amp;"","")&amp;"␟"&amp;IFERROR(INDEX(PASTE_ALL,$DF401,17)&amp;"","")&amp;"␟"&amp;IFERROR(INDEX(PASTE_ALL,$DF401,18)&amp;"","")&amp;"␟"&amp;IFERROR(INDEX(PASTE_ALL,$DF401,19)&amp;"","")&amp;"␟"&amp;IFERROR(INDEX(PASTE_ALL,$DF401,20)&amp;"","")&amp;"␟"&amp;IFERROR(INDEX(PASTE_ALL,$DF401,21)&amp;"","")&amp;"␟"&amp;IFERROR(INDEX(PASTE_ALL,$DF401,22)&amp;"","")&amp;"␟"&amp;IFERROR(INDEX(PASTE_ALL,$DF401,23)&amp;"","")&amp;"␟"&amp;IFERROR(INDEX(PASTE_ALL,$DF401,24)&amp;"","")&amp;"␟"&amp;IFERROR(INDEX(PASTE_ALL,$DF401,25)&amp;"","")&amp;"␟"&amp;IFERROR(INDEX(PASTE_ALL,$DF401,26)&amp;"","")&amp;"␟"&amp;IFERROR(INDEX(PASTE_ALL,$DF401,27)&amp;"","")&amp;"␟"&amp;IFERROR(INDEX(PASTE_ALL,$DF401,28)&amp;"","")&amp;"␟"&amp;IFERROR(INDEX(PASTE_ALL,$DF401,29)&amp;"","")&amp;"␟"&amp;IFERROR(INDEX(PASTE_ALL,$DF401,30)&amp;"","")&amp;"␟"&amp;IFERROR(INDEX(PASTE_ALL,$DF401,31)&amp;"","")&amp;"␟"&amp;IFERROR(INDEX(PASTE_ALL,$DF401,32)&amp;"","")&amp;"␟"&amp;IFERROR(INDEX(PASTE_ALL,$DF401,33)&amp;"","")&amp;"␟"&amp;IFERROR(INDEX(PASTE_ALL,$DF401,34)&amp;"","")&amp;"␟"&amp;IFERROR(INDEX(PASTE_ALL,$DF401,35)&amp;"","")&amp;"␟"&amp;IFERROR(INDEX(PASTE_ALL,$DF401,36)&amp;"","")&amp;"␟"&amp;IFERROR(INDEX(PASTE_ALL,$DF401,37)&amp;"","")&amp;"␟"&amp;IFERROR(INDEX(PASTE_ALL,$DF401,38)&amp;"","")&amp;"␟"&amp;IFERROR(INDEX(PASTE_ALL,$DF401,39)&amp;"","")&amp;"␟"&amp;IFERROR(INDEX(PASTE_ALL,$DF401,40)&amp;"","")&amp;"␟"&amp;IFERROR(INDEX(PASTE_ALL,$DF401,41)&amp;"","")&amp;"␟"&amp;IFERROR(INDEX(PASTE_ALL,$DF401,42)&amp;"","")&amp;"␟"&amp;IFERROR(INDEX(PASTE_ALL,$DF401,43)&amp;"","")&amp;"␟"&amp;IFERROR(INDEX(PASTE_ALL,$DF401,44)&amp;"","")&amp;"␟"&amp;IFERROR(INDEX(PASTE_ALL,$DF401,45)&amp;"","")&amp;"␟"&amp;IFERROR(INDEX(PASTE_ALL,$DF401,46)&amp;"","")&amp;"␟"&amp;IFERROR(INDEX(PASTE_ALL,$DF401,47)&amp;"","")&amp;"␟"&amp;IFERROR(INDEX(PASTE_ALL,$DF401,48)&amp;"","")&amp;"␟"&amp;IFERROR(INDEX(PASTE_ALL,$DF401,49)&amp;"","")&amp;"␟"&amp;IFERROR(INDEX(PASTE_ALL,$DF401,50)&amp;"","")&amp;"␟"&amp;IFERROR(INDEX(PASTE_ALL,$DF401,51)&amp;"","")&amp;"␟"&amp;IFERROR(INDEX(PASTE_ALL,$DF401,52)&amp;"","")&amp;"␟"&amp;IFERROR(INDEX(PASTE_ALL,$DF401,53)&amp;"","")&amp;"␟"&amp;IFERROR(INDEX(PASTE_ALL,$DF401,54)&amp;"","")&amp;"␟"&amp;IFERROR(INDEX(PASTE_ALL,$DF401,55)&amp;"","")&amp;"␟"&amp;IFERROR(INDEX(PASTE_ALL,$DF401,56)&amp;"","")&amp;"␟"&amp;IFERROR(INDEX(PASTE_ALL,$DF401,57)&amp;"","")&amp;"␟"&amp;IFERROR(INDEX(PASTE_ALL,$DF401,58)&amp;"","")&amp;"␟"&amp;IFERROR(INDEX(PASTE_ALL,$DF401,59)&amp;"","")&amp;"␟"&amp;IFERROR(INDEX(PASTE_ALL,$DF401,60)&amp;"","")," "," "),CHAR(9)," "),CHAR(10)," "),CHAR(13)," "))," ␟","␟"),"␟ ","␟"),"#"&amp;$DE401),"")</f>
        <v/>
      </c>
      <c r="DJ401">
        <f>IF($DI401="",0,IF(SUMPRODUCT(--EXACT($DI$4:DI400,$DI401))&gt;0,1,0))</f>
        <v/>
      </c>
      <c r="DK401">
        <f>IF(AND($DI401&lt;&gt;"",$DJ401=0),1,0)</f>
        <v/>
      </c>
      <c r="DL401">
        <f>DL400+$DK401</f>
        <v/>
      </c>
      <c r="DM401">
        <f>IF(AND($DK401=1,$DL401&lt;=600),1,0)</f>
        <v/>
      </c>
      <c r="DN401">
        <f>IF($DM401=0,"",IF($L$6=0,"",IFERROR(IF(ISNUMBER(INDEX(PASTE_ALL,$DF401,$L$6)),INDEX(PASTE_ALL,$DF401,$L$6),TRIM(SUBSTITUTE(SUBSTITUTE(SUBSTITUTE(SUBSTITUTE(INDEX(PASTE_ALL,$DF401,$L$6)," "," "),CHAR(9)," "),CHAR(10)," "),CHAR(13)," "))),"")))</f>
        <v/>
      </c>
      <c r="DO401">
        <f>IF($DM401=0,"",IF($L$7=0,"",IFERROR(IF(ISNUMBER(INDEX(PASTE_ALL,$DF401,$L$7)),INDEX(PASTE_ALL,$DF401,$L$7),TRIM(SUBSTITUTE(SUBSTITUTE(SUBSTITUTE(SUBSTITUTE(INDEX(PASTE_ALL,$DF401,$L$7)," "," "),CHAR(9)," "),CHAR(10)," "),CHAR(13)," "))),"")))</f>
        <v/>
      </c>
      <c r="DP401">
        <f>IF($DM401=0,"",IF($L$8=0,"",IFERROR(IF(ISNUMBER(INDEX(PASTE_ALL,$DF401,$L$8)),INDEX(PASTE_ALL,$DF401,$L$8),TRIM(SUBSTITUTE(SUBSTITUTE(SUBSTITUTE(SUBSTITUTE(INDEX(PASTE_ALL,$DF401,$L$8)," "," "),CHAR(9)," "),CHAR(10)," "),CHAR(13)," "))),"")))</f>
        <v/>
      </c>
      <c r="DQ401">
        <f>IF($DM401=0,"",IF($L$9=0,"",IFERROR(IF(ISNUMBER(INDEX(PASTE_ALL,$DF401,$L$9)),INDEX(PASTE_ALL,$DF401,$L$9),TRIM(SUBSTITUTE(SUBSTITUTE(SUBSTITUTE(SUBSTITUTE(INDEX(PASTE_ALL,$DF401,$L$9)," "," "),CHAR(9)," "),CHAR(10)," "),CHAR(13)," "))),"")))</f>
        <v/>
      </c>
      <c r="DR401">
        <f>IF($DM401=0,"",IF($L$10=0,"",IFERROR(IF(ISNUMBER(INDEX(PASTE_ALL,$DF401,$L$10)),INDEX(PASTE_ALL,$DF401,$L$10),TRIM(SUBSTITUTE(SUBSTITUTE(SUBSTITUTE(SUBSTITUTE(INDEX(PASTE_ALL,$DF401,$L$10)," "," "),CHAR(9)," "),CHAR(10)," "),CHAR(13)," "))),"")))</f>
        <v/>
      </c>
      <c r="DS401">
        <f>IF($DM401=0,"",IF($L$11=0,"",IFERROR(IF(ISNUMBER(INDEX(PASTE_ALL,$DF401,$L$11)),INDEX(PASTE_ALL,$DF401,$L$11),TRIM(SUBSTITUTE(SUBSTITUTE(SUBSTITUTE(SUBSTITUTE(INDEX(PASTE_ALL,$DF401,$L$11)," "," "),CHAR(9)," "),CHAR(10)," "),CHAR(13)," "))),"")))</f>
        <v/>
      </c>
      <c r="DT401">
        <f>IF($DM401=0,"",IF($L$12=0,"",IFERROR(IF(ISNUMBER(INDEX(PASTE_ALL,$DF401,$L$12)),INDEX(PASTE_ALL,$DF401,$L$12),TRIM(SUBSTITUTE(SUBSTITUTE(SUBSTITUTE(SUBSTITUTE(INDEX(PASTE_ALL,$DF401,$L$12)," "," "),CHAR(9)," "),CHAR(10)," "),CHAR(13)," "))),"")))</f>
        <v/>
      </c>
      <c r="DU401">
        <f>IF($DM401=0,"",IF($L$13=0,"",IFERROR(IF(ISNUMBER(INDEX(PASTE_ALL,$DF401,$L$13)),INDEX(PASTE_ALL,$DF401,$L$13),TRIM(SUBSTITUTE(SUBSTITUTE(SUBSTITUTE(SUBSTITUTE(INDEX(PASTE_ALL,$DF401,$L$13)," "," "),CHAR(9)," "),CHAR(10)," "),CHAR(13)," "))),"")))</f>
        <v/>
      </c>
      <c r="DV401">
        <f>IF($DM401=0,"",IF($L$14=0,"",IFERROR(IF(ISNUMBER(INDEX(PASTE_ALL,$DF401,$L$14)),INDEX(PASTE_ALL,$DF401,$L$14),TRIM(SUBSTITUTE(SUBSTITUTE(SUBSTITUTE(SUBSTITUTE(INDEX(PASTE_ALL,$DF401,$L$14)," "," "),CHAR(9)," "),CHAR(10)," "),CHAR(13)," "))),"")))</f>
        <v/>
      </c>
      <c r="DW401">
        <f>IF($DM401=0,"",IF($L$15=0,"",IFERROR(IF(ISNUMBER(INDEX(PASTE_ALL,$DF401,$L$15)),INDEX(PASTE_ALL,$DF401,$L$15),IF(SUMPRODUCT(--ISNUMBER(FIND({"A","B","C","D","E","F","G","H","I","J","K","L","M","N","O","P","Q","R","S","T","U","V","W","X","Y","Z","0","1","2","3","4","5","6","7","8","9"},UPPER(TRIM(SUBSTITUTE(SUBSTITUTE(SUBSTITUTE(SUBSTITUTE(INDEX(PASTE_ALL,$DF401,$L$15)," "," "),CHAR(9)," "),CHAR(10)," "),CHAR(13)," "))))))&gt;0,TRIM(SUBSTITUTE(SUBSTITUTE(SUBSTITUTE(SUBSTITUTE(INDEX(PASTE_ALL,$DF401,$L$15)," "," "),CHAR(9)," "),CHAR(10)," "),CHAR(13)," ")),"")),"")))</f>
        <v/>
      </c>
      <c r="DX401">
        <f>IF($DM401=0,"",IF($L$16=0,"",IFERROR(IF(ISNUMBER(INDEX(PASTE_ALL,$DF401,$L$16)),INDEX(PASTE_ALL,$DF401,$L$16),SUBSTITUTE(SUBSTITUTE(TRIM(SUBSTITUTE(SUBSTITUTE(SUBSTITUTE(SUBSTITUTE(INDEX(PASTE_ALL,$DF401,$L$16)," "," "),CHAR(9)," "),CHAR(10)," "),CHAR(13)," ")),",",""),"%","")),"")))</f>
        <v/>
      </c>
      <c r="DY401">
        <f>IF($DM401=0,"",IFERROR(IF(ISNUMBER($DX401),$DX401,IF($DX401="","",IF(TRIM($DX401)="",0,IF(AND(AND(SUBSTITUTE(SUBSTITUTE(SUBSTITUTE(SUBSTITUTE(SUBSTITUTE(SUBSTITUTE(SUBSTITUTE(SUBSTITUTE(SUBSTITUTE(SUBSTITUTE(SUBSTITUTE(SUBSTITUTE(SUBSTITUTE(SUBSTITUTE(UPPER(TRIM($DX401)),"0",""),"1",""),"2",""),"3",""),"4",""),"5",""),"6",""),"7",""),"8",""),"9",""),".",""),"+",""),"-",""),"E","")="",LEN(SUBSTITUTE(SUBSTITUTE(MID(UPPER(TRIM($DX401)),1+OR(LEFT(UPPER(TRIM($DX401)),1)="+",LEFT(UPPER(TRIM($DX401)),1)="-"),999),"E+","E"),"E-","E"))=LEN(SUBSTITUTE(SUBSTITUTE(SUBSTITUTE(SUBSTITUTE(MID(UPPER(TRIM($DX401)),1+OR(LEFT(UPPER(TRIM($DX401)),1)="+",LEFT(UPPER(TRIM($DX401)),1)="-"),999),"E+","E"),"E-","E"),"+",""),"-","")),LEN(UPPER(TRIM($DX401)))-LEN(SUBSTITUTE(UPPER(TRIM($DX401)),"E",""))&lt;2,LEN(UPPER(TRIM($DX401)))-LEN(SUBSTITUTE(UPPER(TRIM($DX401)),".",""))&lt;2,IFERROR(FIND(".",UPPER(TRIM($DX401))),0)&lt;IFERROR(FIND("E",UPPER(TRIM($DX401))),999)),ISNUMBER(VALUE(TRIM($DX401)))),VALUE(TRIM($DX401)),"")))),""))</f>
        <v/>
      </c>
      <c r="DZ401">
        <f>IF($DM401=0,"",IF($L$17=0,"",IFERROR(IF(ISNUMBER(INDEX(PASTE_ALL,$DF401,$L$17)),INDEX(PASTE_ALL,$DF401,$L$17),SUBSTITUTE(SUBSTITUTE(TRIM(SUBSTITUTE(SUBSTITUTE(SUBSTITUTE(SUBSTITUTE(INDEX(PASTE_ALL,$DF401,$L$17)," "," "),CHAR(9)," "),CHAR(10)," "),CHAR(13)," ")),",",""),"%","")),"")))</f>
        <v/>
      </c>
      <c r="EA401">
        <f>IF($DM401=0,"",IFERROR(IF(ISNUMBER($DZ401),$DZ401,IF($DZ401="","",IF(TRIM($DZ401)="",0,IF(AND(AND(SUBSTITUTE(SUBSTITUTE(SUBSTITUTE(SUBSTITUTE(SUBSTITUTE(SUBSTITUTE(SUBSTITUTE(SUBSTITUTE(SUBSTITUTE(SUBSTITUTE(SUBSTITUTE(SUBSTITUTE(SUBSTITUTE(SUBSTITUTE(UPPER(TRIM($DZ401)),"0",""),"1",""),"2",""),"3",""),"4",""),"5",""),"6",""),"7",""),"8",""),"9",""),".",""),"+",""),"-",""),"E","")="",LEN(SUBSTITUTE(SUBSTITUTE(MID(UPPER(TRIM($DZ401)),1+OR(LEFT(UPPER(TRIM($DZ401)),1)="+",LEFT(UPPER(TRIM($DZ401)),1)="-"),999),"E+","E"),"E-","E"))=LEN(SUBSTITUTE(SUBSTITUTE(SUBSTITUTE(SUBSTITUTE(MID(UPPER(TRIM($DZ401)),1+OR(LEFT(UPPER(TRIM($DZ401)),1)="+",LEFT(UPPER(TRIM($DZ401)),1)="-"),999),"E+","E"),"E-","E"),"+",""),"-","")),LEN(UPPER(TRIM($DZ401)))-LEN(SUBSTITUTE(UPPER(TRIM($DZ401)),"E",""))&lt;2,LEN(UPPER(TRIM($DZ401)))-LEN(SUBSTITUTE(UPPER(TRIM($DZ401)),".",""))&lt;2,IFERROR(FIND(".",UPPER(TRIM($DZ401))),0)&lt;IFERROR(FIND("E",UPPER(TRIM($DZ401))),999)),ISNUMBER(VALUE(TRIM($DZ401)))),VALUE(TRIM($DZ401)),"")))),""))</f>
        <v/>
      </c>
      <c r="EB401">
        <f>IF($DM401=0,"",IF($L$18=0,"",IFERROR(IF(UPPER(TRIM(SUBSTITUTE(SUBSTITUTE(SUBSTITUTE(SUBSTITUTE(INDEX(PASTE_ALL,$DF401,$L$18)," "," "),CHAR(9)," "),CHAR(10)," "),CHAR(13)," ")))="READY","Ready",IF(UPPER(TRIM(SUBSTITUTE(SUBSTITUTE(SUBSTITUTE(SUBSTITUTE(INDEX(PASTE_ALL,$DF401,$L$18)," "," "),CHAR(9)," "),CHAR(10)," "),CHAR(13)," ")))="PM","PM",IF(OR(UPPER(TRIM(SUBSTITUTE(SUBSTITUTE(SUBSTITUTE(SUBSTITUTE(INDEX(PASTE_ALL,$DF401,$L$18)," "," "),CHAR(9)," "),CHAR(10)," "),CHAR(13)," ")))="OT",UPPER(TRIM(SUBSTITUTE(SUBSTITUTE(SUBSTITUTE(SUBSTITUTE(INDEX(PASTE_ALL,$DF401,$L$18)," "," "),CHAR(9)," "),CHAR(10)," "),CHAR(13)," ")))="OVERTIME",UPPER(TRIM(SUBSTITUTE(SUBSTITUTE(SUBSTITUTE(SUBSTITUTE(INDEX(PASTE_ALL,$DF401,$L$18)," "," "),CHAR(9)," "),CHAR(10)," "),CHAR(13)," ")))="TRIAL"),"OT",TRIM(SUBSTITUTE(SUBSTITUTE(SUBSTITUTE(SUBSTITUTE(INDEX(PASTE_ALL,$DF401,$L$18)," "," "),CHAR(9)," "),CHAR(10)," "),CHAR(13)," "))))),"")))</f>
        <v/>
      </c>
      <c r="EC401">
        <f>IF($DM401=0,"",IF($L$19=0,"",IFERROR(IF(ISNUMBER(INDEX(PASTE_ALL,$DF401,$L$19)),INDEX(PASTE_ALL,$DF401,$L$19),TRIM(SUBSTITUTE(SUBSTITUTE(SUBSTITUTE(SUBSTITUTE(INDEX(PASTE_ALL,$DF401,$L$19)," "," "),CHAR(9)," "),CHAR(10)," "),CHAR(13)," "))),"")))</f>
        <v/>
      </c>
      <c r="ED401">
        <f>IF($DM401=0,"",MATCH(1,INDEX(EXACT($DH$5:DH401,$DH401)*$DM$5:DM401,0),0))</f>
        <v/>
      </c>
      <c r="EE401">
        <f>IF($DM401=0,0,IF($ED401=$DE401,1,0))</f>
        <v/>
      </c>
      <c r="EF401">
        <f>EF400+$EE401</f>
        <v/>
      </c>
      <c r="EG401">
        <f>IF($DM401=0,"",INDEX($EF$5:$EF$1003,$ED401))</f>
        <v/>
      </c>
      <c r="EH401">
        <f>IF($DM401=0,"",IF($DO401&lt;&gt;"","",IFERROR(LOOKUP(2,1/(($EG$4:EG400=$EG401)*($DO$4:DO400&lt;&gt;"")),$DO$4:DO400),"")))</f>
        <v/>
      </c>
      <c r="EI401">
        <f>IF($DM401=0,"",IF($DO401&lt;&gt;"",$DO401,$EH401))</f>
        <v/>
      </c>
      <c r="EJ401">
        <f>IF($DM401=0,"",IF($EI401="",0,IF(OR(ISNUMBER($EI401),AND(AND(SUBSTITUTE(SUBSTITUTE(SUBSTITUTE(SUBSTITUTE(SUBSTITUTE(SUBSTITUTE(SUBSTITUTE(SUBSTITUTE(SUBSTITUTE(SUBSTITUTE(SUBSTITUTE(SUBSTITUTE(SUBSTITUTE(SUBSTITUTE(UPPER($EI401),"0",""),"1",""),"2",""),"3",""),"4",""),"5",""),"6",""),"7",""),"8",""),"9",""),".",""),"+",""),"-",""),"E","")="",LEN(SUBSTITUTE(SUBSTITUTE(MID(UPPER($EI401),1+OR(LEFT(UPPER($EI401),1)="+",LEFT(UPPER($EI401),1)="-"),999),"E+","E"),"E-","E"))=LEN(SUBSTITUTE(SUBSTITUTE(SUBSTITUTE(SUBSTITUTE(MID(UPPER($EI401),1+OR(LEFT(UPPER($EI401),1)="+",LEFT(UPPER($EI401),1)="-"),999),"E+","E"),"E-","E"),"+",""),"-","")),LEN(UPPER($EI401))-LEN(SUBSTITUTE(UPPER($EI401),"E",""))&lt;2,LEN(UPPER($EI401))-LEN(SUBSTITUTE(UPPER($EI401),".",""))&lt;2,IFERROR(FIND(".",UPPER($EI401)),0)&lt;IFERROR(FIND("E",UPPER($EI401)),999)),ISNUMBER(VALUE($EI401)))),1,2)))</f>
        <v/>
      </c>
      <c r="EK401">
        <f>IF($DM401=0,"",IF($EJ401=1,IF(ISNUMBER($EI401),$EI401,VALUE($EI401)),IF($EJ401=2,$DE401,0)))</f>
        <v/>
      </c>
      <c r="EL401">
        <f>IF($DM401=0,"",COUNTIF($EG$5:$EG$1003,"&lt;"&amp;$EG401)+SUMPRODUCT(($EG$5:$EG$1003=$EG401)*(($EJ$5:$EJ$1003&lt;$EJ401)+($EJ$5:$EJ$1003=$EJ401)*(($EK$5:$EK$1003&lt;$EK401)+($EK$5:$EK$1003=$EK401)*($DE$5:$DE$1003&lt;$DE401))))+1)</f>
        <v/>
      </c>
      <c r="EM401">
        <f>IF($DM401=0,"",$EL401+$EG401-1)</f>
        <v/>
      </c>
      <c r="EN401">
        <f>IF($DM401=0,0,IFERROR(MATCH(1,INDEX(--(TRIM(SUBSTITUTE(SUBSTITUTE(SUBSTITUTE(SUBSTITUTE(LINES_NAME&amp;""," "," "),CHAR(9)," "),CHAR(10)," "),CHAR(13)," "))=$DH401),0),0),0))</f>
        <v/>
      </c>
      <c r="EO401">
        <f>IF($EN401=0,0,IF(OR(UPPER(TRIM(INDEX(LINES_SCHEDULED,$EN401)&amp;""))="YES",UPPER(TRIM(INDEX(LINES_SCHEDULED,$EN401)&amp;""))="Y",UPPER(TRIM(INDEX(LINES_SCHEDULED,$EN401)&amp;""))="X"),1,0))</f>
        <v/>
      </c>
      <c r="EP401">
        <f>IF($DM401=0,"",IF(COUNTIFS($EG$5:$EG$1003,$EG401,$EB$5:$EB$1003,"Ready")&gt;0,"READY",IF(COUNTIFS($EG$5:$EG$1003,$EG401,$EB$5:$EB$1003,"PM")&gt;0,"PM",IF(COUNTIFS($EG$5:$EG$1003,$EG401,$EB$5:$EB$1003,"OT")&gt;0,"OT",""))))</f>
        <v/>
      </c>
      <c r="EQ401">
        <f>IF($EN401=0,"",UPPER(TRIM(INDEX(LINES_STATUS,$EN401)&amp;"")))</f>
        <v/>
      </c>
      <c r="ER401">
        <f>IF($DM401=0,"",IF(OR($EQ401="READY",$EQ401="PM",$EQ401="OT"),$EQ401,$EP401))</f>
        <v/>
      </c>
      <c r="ES401">
        <f>IF($DM401=0,"",IF(AND($DV401&lt;&gt;"",UPPER($DV401)&lt;&gt;"N"),"allergen",IF(ISNUMBER(SEARCH("oil",$DQ401)),"oil",IF(OR(EXACT($DS401,"A662"),EXACT($DS401,"A624")),"bulk",""))))</f>
        <v/>
      </c>
      <c r="ET401">
        <f>IF($DM401=0,"",IF(OR($EA401="",$EA401=0),"",$EA401/100))</f>
        <v/>
      </c>
      <c r="EU401">
        <f>IF(OR($ET401="",$DY401=""),"",INT($DY401*(1-$ET401)+0.5))</f>
        <v/>
      </c>
      <c r="EW401" t="n">
        <v>397</v>
      </c>
      <c r="EX401">
        <f>IFERROR(MATCH($EW401,$EM$5:$EM$1003,0),0)</f>
        <v/>
      </c>
      <c r="EY401">
        <f>IF($EW401&gt;$B$12,"",IF($EX401&gt;0,"row","spacer"))</f>
        <v/>
      </c>
      <c r="EZ401">
        <f>IF(AND($EY401="row",$EY400&lt;&gt;"row"),1,0)</f>
        <v/>
      </c>
      <c r="FA401">
        <f>IF(AND($EY401="row",$EY402&lt;&gt;"row"),1,0)</f>
        <v/>
      </c>
      <c r="FB401">
        <f>IF($EZ401=1,IFERROR(IF(ISNUMBER(INDEX(PASTE_ALL,INDEX($DF$5:$DF$1003,$EX401),$B$37)),INDEX(PASTE_ALL,INDEX($DF$5:$DF$1003,$EX401),$B$37),INDEX($DH$5:$DH$1003,$EX401)),INDEX($DH$5:$DH$1003,$EX401)),"")</f>
        <v/>
      </c>
      <c r="FC401">
        <f>IF($EY401="row",INDEX($ER$5:$ER$1003,$EX401),"")</f>
        <v/>
      </c>
      <c r="FD401">
        <f>IF($EY401="row",INDEX($DN$5:$DN$1003,$EX401),"")</f>
        <v/>
      </c>
      <c r="FE401">
        <f>IF($EY401="row",INDEX($DO$5:$DO$1003,$EX401),"")</f>
        <v/>
      </c>
      <c r="FF401">
        <f>IF($EY401="row",INDEX($DP$5:$DP$1003,$EX401),"")</f>
        <v/>
      </c>
      <c r="FG401">
        <f>IF($EY401="row",INDEX($DQ$5:$DQ$1003,$EX401),"")</f>
        <v/>
      </c>
      <c r="FH401">
        <f>IF($EY401="row",INDEX($DR$5:$DR$1003,$EX401),"")</f>
        <v/>
      </c>
      <c r="FI401">
        <f>IF($EY401="row",INDEX($DS$5:$DS$1003,$EX401),"")</f>
        <v/>
      </c>
      <c r="FJ401">
        <f>IF($EY401="row",INDEX($DT$5:$DT$1003,$EX401),"")</f>
        <v/>
      </c>
      <c r="FK401">
        <f>IF($EY401="row",INDEX($DU$5:$DU$1003,$EX401),"")</f>
        <v/>
      </c>
      <c r="FL401">
        <f>IF($EY401="row",INDEX($DV$5:$DV$1003,$EX401),"")</f>
        <v/>
      </c>
      <c r="FM401">
        <f>IF($EY401="row",INDEX($DW$5:$DW$1003,$EX401),"")</f>
        <v/>
      </c>
      <c r="FN401">
        <f>IF($EY401="row",INDEX($DY$5:$DY$1003,$EX401),"")</f>
        <v/>
      </c>
      <c r="FO401">
        <f>IF($EY401="row",INDEX($EA$5:$EA$1003,$EX401),"")</f>
        <v/>
      </c>
      <c r="FP401">
        <f>IF($EY401="row",INDEX($EC$5:$EC$1003,$EX401),"")</f>
        <v/>
      </c>
      <c r="FQ401">
        <f>IF($EY401="row",INDEX($ET$5:$ET$1003,$EX401),"")</f>
        <v/>
      </c>
      <c r="FR401">
        <f>IF($EY401="row",INDEX($EU$5:$EU$1003,$EX401),"")</f>
        <v/>
      </c>
      <c r="FS401">
        <f>IF(AND($EY401="row",$EY400="row"),IF(OR(INDEX($DT$5:$DT$1003,$EX400)="",INDEX($DT$5:$DT$1003,$EX401)=""),"",IF(NOT(EXACT(INDEX($DT$5:$DT$1003,$EX400),INDEX($DT$5:$DT$1003,$EX401))),"S4",IF(NOT(EXACT(INDEX($DS$5:$DS$1003,$EX400),INDEX($DS$5:$DS$1003,$EX401))),"S3",IF(NOT(EXACT(INDEX($DR$5:$DR$1003,$EX400),INDEX($DR$5:$DR$1003,$EX401))),"S1 Count Change","S1")))),"")</f>
        <v/>
      </c>
      <c r="FT401">
        <f>IF($EY401="row",INDEX($ES$5:$ES$1003,$EX401),"")</f>
        <v/>
      </c>
      <c r="FU401">
        <f>IF($EY401="row",INDEX($EO$5:$EO$1003,$EX401),0)</f>
        <v/>
      </c>
      <c r="FV401">
        <f>IF($FS401="S1 Count Change",1,0)</f>
        <v/>
      </c>
    </row>
    <row r="402">
      <c r="DA402" t="n">
        <v>398</v>
      </c>
      <c r="DB402">
        <f>IF($B$37=0,"",IFERROR(TRIM(SUBSTITUTE(SUBSTITUTE(SUBSTITUTE(SUBSTITUTE(INDEX(PASTE_ALL,398,$B$37)," "," "),CHAR(9)," "),CHAR(10)," "),CHAR(13)," ")),""))</f>
        <v/>
      </c>
      <c r="DC402">
        <f>IF(AND(398&gt;HEADER_ROW,UPPER(DB402)="LEGEND"),1,0)</f>
        <v/>
      </c>
      <c r="DE402" t="n">
        <v>398</v>
      </c>
      <c r="DF402">
        <f>HEADER_ROW+$DE402</f>
        <v/>
      </c>
      <c r="DG402">
        <f>IF(AND($DF402&lt;=1000,$DF402&lt;$B$8),1,0)</f>
        <v/>
      </c>
      <c r="DH402">
        <f>IF($DG402=1,IFERROR(INDEX($DB$5:$DB$1004,$DF402),""),"")</f>
        <v/>
      </c>
      <c r="DI402">
        <f>IF(AND($DG402=1,$DH402&lt;&gt;""),IFERROR(SUBSTITUTE(SUBSTITUTE(TRIM(SUBSTITUTE(SUBSTITUTE(SUBSTITUTE(SUBSTITUTE(IFERROR(INDEX(PASTE_ALL,$DF402,1)&amp;"","")&amp;"␟"&amp;IFERROR(INDEX(PASTE_ALL,$DF402,2)&amp;"","")&amp;"␟"&amp;IFERROR(INDEX(PASTE_ALL,$DF402,3)&amp;"","")&amp;"␟"&amp;IFERROR(INDEX(PASTE_ALL,$DF402,4)&amp;"","")&amp;"␟"&amp;IFERROR(INDEX(PASTE_ALL,$DF402,5)&amp;"","")&amp;"␟"&amp;IFERROR(INDEX(PASTE_ALL,$DF402,6)&amp;"","")&amp;"␟"&amp;IFERROR(INDEX(PASTE_ALL,$DF402,7)&amp;"","")&amp;"␟"&amp;IFERROR(INDEX(PASTE_ALL,$DF402,8)&amp;"","")&amp;"␟"&amp;IFERROR(INDEX(PASTE_ALL,$DF402,9)&amp;"","")&amp;"␟"&amp;IFERROR(INDEX(PASTE_ALL,$DF402,10)&amp;"","")&amp;"␟"&amp;IFERROR(INDEX(PASTE_ALL,$DF402,11)&amp;"","")&amp;"␟"&amp;IFERROR(INDEX(PASTE_ALL,$DF402,12)&amp;"","")&amp;"␟"&amp;IFERROR(INDEX(PASTE_ALL,$DF402,13)&amp;"","")&amp;"␟"&amp;IFERROR(INDEX(PASTE_ALL,$DF402,14)&amp;"","")&amp;"␟"&amp;IFERROR(INDEX(PASTE_ALL,$DF402,15)&amp;"","")&amp;"␟"&amp;IFERROR(INDEX(PASTE_ALL,$DF402,16)&amp;"","")&amp;"␟"&amp;IFERROR(INDEX(PASTE_ALL,$DF402,17)&amp;"","")&amp;"␟"&amp;IFERROR(INDEX(PASTE_ALL,$DF402,18)&amp;"","")&amp;"␟"&amp;IFERROR(INDEX(PASTE_ALL,$DF402,19)&amp;"","")&amp;"␟"&amp;IFERROR(INDEX(PASTE_ALL,$DF402,20)&amp;"","")&amp;"␟"&amp;IFERROR(INDEX(PASTE_ALL,$DF402,21)&amp;"","")&amp;"␟"&amp;IFERROR(INDEX(PASTE_ALL,$DF402,22)&amp;"","")&amp;"␟"&amp;IFERROR(INDEX(PASTE_ALL,$DF402,23)&amp;"","")&amp;"␟"&amp;IFERROR(INDEX(PASTE_ALL,$DF402,24)&amp;"","")&amp;"␟"&amp;IFERROR(INDEX(PASTE_ALL,$DF402,25)&amp;"","")&amp;"␟"&amp;IFERROR(INDEX(PASTE_ALL,$DF402,26)&amp;"","")&amp;"␟"&amp;IFERROR(INDEX(PASTE_ALL,$DF402,27)&amp;"","")&amp;"␟"&amp;IFERROR(INDEX(PASTE_ALL,$DF402,28)&amp;"","")&amp;"␟"&amp;IFERROR(INDEX(PASTE_ALL,$DF402,29)&amp;"","")&amp;"␟"&amp;IFERROR(INDEX(PASTE_ALL,$DF402,30)&amp;"","")&amp;"␟"&amp;IFERROR(INDEX(PASTE_ALL,$DF402,31)&amp;"","")&amp;"␟"&amp;IFERROR(INDEX(PASTE_ALL,$DF402,32)&amp;"","")&amp;"␟"&amp;IFERROR(INDEX(PASTE_ALL,$DF402,33)&amp;"","")&amp;"␟"&amp;IFERROR(INDEX(PASTE_ALL,$DF402,34)&amp;"","")&amp;"␟"&amp;IFERROR(INDEX(PASTE_ALL,$DF402,35)&amp;"","")&amp;"␟"&amp;IFERROR(INDEX(PASTE_ALL,$DF402,36)&amp;"","")&amp;"␟"&amp;IFERROR(INDEX(PASTE_ALL,$DF402,37)&amp;"","")&amp;"␟"&amp;IFERROR(INDEX(PASTE_ALL,$DF402,38)&amp;"","")&amp;"␟"&amp;IFERROR(INDEX(PASTE_ALL,$DF402,39)&amp;"","")&amp;"␟"&amp;IFERROR(INDEX(PASTE_ALL,$DF402,40)&amp;"","")&amp;"␟"&amp;IFERROR(INDEX(PASTE_ALL,$DF402,41)&amp;"","")&amp;"␟"&amp;IFERROR(INDEX(PASTE_ALL,$DF402,42)&amp;"","")&amp;"␟"&amp;IFERROR(INDEX(PASTE_ALL,$DF402,43)&amp;"","")&amp;"␟"&amp;IFERROR(INDEX(PASTE_ALL,$DF402,44)&amp;"","")&amp;"␟"&amp;IFERROR(INDEX(PASTE_ALL,$DF402,45)&amp;"","")&amp;"␟"&amp;IFERROR(INDEX(PASTE_ALL,$DF402,46)&amp;"","")&amp;"␟"&amp;IFERROR(INDEX(PASTE_ALL,$DF402,47)&amp;"","")&amp;"␟"&amp;IFERROR(INDEX(PASTE_ALL,$DF402,48)&amp;"","")&amp;"␟"&amp;IFERROR(INDEX(PASTE_ALL,$DF402,49)&amp;"","")&amp;"␟"&amp;IFERROR(INDEX(PASTE_ALL,$DF402,50)&amp;"","")&amp;"␟"&amp;IFERROR(INDEX(PASTE_ALL,$DF402,51)&amp;"","")&amp;"␟"&amp;IFERROR(INDEX(PASTE_ALL,$DF402,52)&amp;"","")&amp;"␟"&amp;IFERROR(INDEX(PASTE_ALL,$DF402,53)&amp;"","")&amp;"␟"&amp;IFERROR(INDEX(PASTE_ALL,$DF402,54)&amp;"","")&amp;"␟"&amp;IFERROR(INDEX(PASTE_ALL,$DF402,55)&amp;"","")&amp;"␟"&amp;IFERROR(INDEX(PASTE_ALL,$DF402,56)&amp;"","")&amp;"␟"&amp;IFERROR(INDEX(PASTE_ALL,$DF402,57)&amp;"","")&amp;"␟"&amp;IFERROR(INDEX(PASTE_ALL,$DF402,58)&amp;"","")&amp;"␟"&amp;IFERROR(INDEX(PASTE_ALL,$DF402,59)&amp;"","")&amp;"␟"&amp;IFERROR(INDEX(PASTE_ALL,$DF402,60)&amp;"","")," "," "),CHAR(9)," "),CHAR(10)," "),CHAR(13)," "))," ␟","␟"),"␟ ","␟"),"#"&amp;$DE402),"")</f>
        <v/>
      </c>
      <c r="DJ402">
        <f>IF($DI402="",0,IF(SUMPRODUCT(--EXACT($DI$4:DI401,$DI402))&gt;0,1,0))</f>
        <v/>
      </c>
      <c r="DK402">
        <f>IF(AND($DI402&lt;&gt;"",$DJ402=0),1,0)</f>
        <v/>
      </c>
      <c r="DL402">
        <f>DL401+$DK402</f>
        <v/>
      </c>
      <c r="DM402">
        <f>IF(AND($DK402=1,$DL402&lt;=600),1,0)</f>
        <v/>
      </c>
      <c r="DN402">
        <f>IF($DM402=0,"",IF($L$6=0,"",IFERROR(IF(ISNUMBER(INDEX(PASTE_ALL,$DF402,$L$6)),INDEX(PASTE_ALL,$DF402,$L$6),TRIM(SUBSTITUTE(SUBSTITUTE(SUBSTITUTE(SUBSTITUTE(INDEX(PASTE_ALL,$DF402,$L$6)," "," "),CHAR(9)," "),CHAR(10)," "),CHAR(13)," "))),"")))</f>
        <v/>
      </c>
      <c r="DO402">
        <f>IF($DM402=0,"",IF($L$7=0,"",IFERROR(IF(ISNUMBER(INDEX(PASTE_ALL,$DF402,$L$7)),INDEX(PASTE_ALL,$DF402,$L$7),TRIM(SUBSTITUTE(SUBSTITUTE(SUBSTITUTE(SUBSTITUTE(INDEX(PASTE_ALL,$DF402,$L$7)," "," "),CHAR(9)," "),CHAR(10)," "),CHAR(13)," "))),"")))</f>
        <v/>
      </c>
      <c r="DP402">
        <f>IF($DM402=0,"",IF($L$8=0,"",IFERROR(IF(ISNUMBER(INDEX(PASTE_ALL,$DF402,$L$8)),INDEX(PASTE_ALL,$DF402,$L$8),TRIM(SUBSTITUTE(SUBSTITUTE(SUBSTITUTE(SUBSTITUTE(INDEX(PASTE_ALL,$DF402,$L$8)," "," "),CHAR(9)," "),CHAR(10)," "),CHAR(13)," "))),"")))</f>
        <v/>
      </c>
      <c r="DQ402">
        <f>IF($DM402=0,"",IF($L$9=0,"",IFERROR(IF(ISNUMBER(INDEX(PASTE_ALL,$DF402,$L$9)),INDEX(PASTE_ALL,$DF402,$L$9),TRIM(SUBSTITUTE(SUBSTITUTE(SUBSTITUTE(SUBSTITUTE(INDEX(PASTE_ALL,$DF402,$L$9)," "," "),CHAR(9)," "),CHAR(10)," "),CHAR(13)," "))),"")))</f>
        <v/>
      </c>
      <c r="DR402">
        <f>IF($DM402=0,"",IF($L$10=0,"",IFERROR(IF(ISNUMBER(INDEX(PASTE_ALL,$DF402,$L$10)),INDEX(PASTE_ALL,$DF402,$L$10),TRIM(SUBSTITUTE(SUBSTITUTE(SUBSTITUTE(SUBSTITUTE(INDEX(PASTE_ALL,$DF402,$L$10)," "," "),CHAR(9)," "),CHAR(10)," "),CHAR(13)," "))),"")))</f>
        <v/>
      </c>
      <c r="DS402">
        <f>IF($DM402=0,"",IF($L$11=0,"",IFERROR(IF(ISNUMBER(INDEX(PASTE_ALL,$DF402,$L$11)),INDEX(PASTE_ALL,$DF402,$L$11),TRIM(SUBSTITUTE(SUBSTITUTE(SUBSTITUTE(SUBSTITUTE(INDEX(PASTE_ALL,$DF402,$L$11)," "," "),CHAR(9)," "),CHAR(10)," "),CHAR(13)," "))),"")))</f>
        <v/>
      </c>
      <c r="DT402">
        <f>IF($DM402=0,"",IF($L$12=0,"",IFERROR(IF(ISNUMBER(INDEX(PASTE_ALL,$DF402,$L$12)),INDEX(PASTE_ALL,$DF402,$L$12),TRIM(SUBSTITUTE(SUBSTITUTE(SUBSTITUTE(SUBSTITUTE(INDEX(PASTE_ALL,$DF402,$L$12)," "," "),CHAR(9)," "),CHAR(10)," "),CHAR(13)," "))),"")))</f>
        <v/>
      </c>
      <c r="DU402">
        <f>IF($DM402=0,"",IF($L$13=0,"",IFERROR(IF(ISNUMBER(INDEX(PASTE_ALL,$DF402,$L$13)),INDEX(PASTE_ALL,$DF402,$L$13),TRIM(SUBSTITUTE(SUBSTITUTE(SUBSTITUTE(SUBSTITUTE(INDEX(PASTE_ALL,$DF402,$L$13)," "," "),CHAR(9)," "),CHAR(10)," "),CHAR(13)," "))),"")))</f>
        <v/>
      </c>
      <c r="DV402">
        <f>IF($DM402=0,"",IF($L$14=0,"",IFERROR(IF(ISNUMBER(INDEX(PASTE_ALL,$DF402,$L$14)),INDEX(PASTE_ALL,$DF402,$L$14),TRIM(SUBSTITUTE(SUBSTITUTE(SUBSTITUTE(SUBSTITUTE(INDEX(PASTE_ALL,$DF402,$L$14)," "," "),CHAR(9)," "),CHAR(10)," "),CHAR(13)," "))),"")))</f>
        <v/>
      </c>
      <c r="DW402">
        <f>IF($DM402=0,"",IF($L$15=0,"",IFERROR(IF(ISNUMBER(INDEX(PASTE_ALL,$DF402,$L$15)),INDEX(PASTE_ALL,$DF402,$L$15),IF(SUMPRODUCT(--ISNUMBER(FIND({"A","B","C","D","E","F","G","H","I","J","K","L","M","N","O","P","Q","R","S","T","U","V","W","X","Y","Z","0","1","2","3","4","5","6","7","8","9"},UPPER(TRIM(SUBSTITUTE(SUBSTITUTE(SUBSTITUTE(SUBSTITUTE(INDEX(PASTE_ALL,$DF402,$L$15)," "," "),CHAR(9)," "),CHAR(10)," "),CHAR(13)," "))))))&gt;0,TRIM(SUBSTITUTE(SUBSTITUTE(SUBSTITUTE(SUBSTITUTE(INDEX(PASTE_ALL,$DF402,$L$15)," "," "),CHAR(9)," "),CHAR(10)," "),CHAR(13)," ")),"")),"")))</f>
        <v/>
      </c>
      <c r="DX402">
        <f>IF($DM402=0,"",IF($L$16=0,"",IFERROR(IF(ISNUMBER(INDEX(PASTE_ALL,$DF402,$L$16)),INDEX(PASTE_ALL,$DF402,$L$16),SUBSTITUTE(SUBSTITUTE(TRIM(SUBSTITUTE(SUBSTITUTE(SUBSTITUTE(SUBSTITUTE(INDEX(PASTE_ALL,$DF402,$L$16)," "," "),CHAR(9)," "),CHAR(10)," "),CHAR(13)," ")),",",""),"%","")),"")))</f>
        <v/>
      </c>
      <c r="DY402">
        <f>IF($DM402=0,"",IFERROR(IF(ISNUMBER($DX402),$DX402,IF($DX402="","",IF(TRIM($DX402)="",0,IF(AND(AND(SUBSTITUTE(SUBSTITUTE(SUBSTITUTE(SUBSTITUTE(SUBSTITUTE(SUBSTITUTE(SUBSTITUTE(SUBSTITUTE(SUBSTITUTE(SUBSTITUTE(SUBSTITUTE(SUBSTITUTE(SUBSTITUTE(SUBSTITUTE(UPPER(TRIM($DX402)),"0",""),"1",""),"2",""),"3",""),"4",""),"5",""),"6",""),"7",""),"8",""),"9",""),".",""),"+",""),"-",""),"E","")="",LEN(SUBSTITUTE(SUBSTITUTE(MID(UPPER(TRIM($DX402)),1+OR(LEFT(UPPER(TRIM($DX402)),1)="+",LEFT(UPPER(TRIM($DX402)),1)="-"),999),"E+","E"),"E-","E"))=LEN(SUBSTITUTE(SUBSTITUTE(SUBSTITUTE(SUBSTITUTE(MID(UPPER(TRIM($DX402)),1+OR(LEFT(UPPER(TRIM($DX402)),1)="+",LEFT(UPPER(TRIM($DX402)),1)="-"),999),"E+","E"),"E-","E"),"+",""),"-","")),LEN(UPPER(TRIM($DX402)))-LEN(SUBSTITUTE(UPPER(TRIM($DX402)),"E",""))&lt;2,LEN(UPPER(TRIM($DX402)))-LEN(SUBSTITUTE(UPPER(TRIM($DX402)),".",""))&lt;2,IFERROR(FIND(".",UPPER(TRIM($DX402))),0)&lt;IFERROR(FIND("E",UPPER(TRIM($DX402))),999)),ISNUMBER(VALUE(TRIM($DX402)))),VALUE(TRIM($DX402)),"")))),""))</f>
        <v/>
      </c>
      <c r="DZ402">
        <f>IF($DM402=0,"",IF($L$17=0,"",IFERROR(IF(ISNUMBER(INDEX(PASTE_ALL,$DF402,$L$17)),INDEX(PASTE_ALL,$DF402,$L$17),SUBSTITUTE(SUBSTITUTE(TRIM(SUBSTITUTE(SUBSTITUTE(SUBSTITUTE(SUBSTITUTE(INDEX(PASTE_ALL,$DF402,$L$17)," "," "),CHAR(9)," "),CHAR(10)," "),CHAR(13)," ")),",",""),"%","")),"")))</f>
        <v/>
      </c>
      <c r="EA402">
        <f>IF($DM402=0,"",IFERROR(IF(ISNUMBER($DZ402),$DZ402,IF($DZ402="","",IF(TRIM($DZ402)="",0,IF(AND(AND(SUBSTITUTE(SUBSTITUTE(SUBSTITUTE(SUBSTITUTE(SUBSTITUTE(SUBSTITUTE(SUBSTITUTE(SUBSTITUTE(SUBSTITUTE(SUBSTITUTE(SUBSTITUTE(SUBSTITUTE(SUBSTITUTE(SUBSTITUTE(UPPER(TRIM($DZ402)),"0",""),"1",""),"2",""),"3",""),"4",""),"5",""),"6",""),"7",""),"8",""),"9",""),".",""),"+",""),"-",""),"E","")="",LEN(SUBSTITUTE(SUBSTITUTE(MID(UPPER(TRIM($DZ402)),1+OR(LEFT(UPPER(TRIM($DZ402)),1)="+",LEFT(UPPER(TRIM($DZ402)),1)="-"),999),"E+","E"),"E-","E"))=LEN(SUBSTITUTE(SUBSTITUTE(SUBSTITUTE(SUBSTITUTE(MID(UPPER(TRIM($DZ402)),1+OR(LEFT(UPPER(TRIM($DZ402)),1)="+",LEFT(UPPER(TRIM($DZ402)),1)="-"),999),"E+","E"),"E-","E"),"+",""),"-","")),LEN(UPPER(TRIM($DZ402)))-LEN(SUBSTITUTE(UPPER(TRIM($DZ402)),"E",""))&lt;2,LEN(UPPER(TRIM($DZ402)))-LEN(SUBSTITUTE(UPPER(TRIM($DZ402)),".",""))&lt;2,IFERROR(FIND(".",UPPER(TRIM($DZ402))),0)&lt;IFERROR(FIND("E",UPPER(TRIM($DZ402))),999)),ISNUMBER(VALUE(TRIM($DZ402)))),VALUE(TRIM($DZ402)),"")))),""))</f>
        <v/>
      </c>
      <c r="EB402">
        <f>IF($DM402=0,"",IF($L$18=0,"",IFERROR(IF(UPPER(TRIM(SUBSTITUTE(SUBSTITUTE(SUBSTITUTE(SUBSTITUTE(INDEX(PASTE_ALL,$DF402,$L$18)," "," "),CHAR(9)," "),CHAR(10)," "),CHAR(13)," ")))="READY","Ready",IF(UPPER(TRIM(SUBSTITUTE(SUBSTITUTE(SUBSTITUTE(SUBSTITUTE(INDEX(PASTE_ALL,$DF402,$L$18)," "," "),CHAR(9)," "),CHAR(10)," "),CHAR(13)," ")))="PM","PM",IF(OR(UPPER(TRIM(SUBSTITUTE(SUBSTITUTE(SUBSTITUTE(SUBSTITUTE(INDEX(PASTE_ALL,$DF402,$L$18)," "," "),CHAR(9)," "),CHAR(10)," "),CHAR(13)," ")))="OT",UPPER(TRIM(SUBSTITUTE(SUBSTITUTE(SUBSTITUTE(SUBSTITUTE(INDEX(PASTE_ALL,$DF402,$L$18)," "," "),CHAR(9)," "),CHAR(10)," "),CHAR(13)," ")))="OVERTIME",UPPER(TRIM(SUBSTITUTE(SUBSTITUTE(SUBSTITUTE(SUBSTITUTE(INDEX(PASTE_ALL,$DF402,$L$18)," "," "),CHAR(9)," "),CHAR(10)," "),CHAR(13)," ")))="TRIAL"),"OT",TRIM(SUBSTITUTE(SUBSTITUTE(SUBSTITUTE(SUBSTITUTE(INDEX(PASTE_ALL,$DF402,$L$18)," "," "),CHAR(9)," "),CHAR(10)," "),CHAR(13)," "))))),"")))</f>
        <v/>
      </c>
      <c r="EC402">
        <f>IF($DM402=0,"",IF($L$19=0,"",IFERROR(IF(ISNUMBER(INDEX(PASTE_ALL,$DF402,$L$19)),INDEX(PASTE_ALL,$DF402,$L$19),TRIM(SUBSTITUTE(SUBSTITUTE(SUBSTITUTE(SUBSTITUTE(INDEX(PASTE_ALL,$DF402,$L$19)," "," "),CHAR(9)," "),CHAR(10)," "),CHAR(13)," "))),"")))</f>
        <v/>
      </c>
      <c r="ED402">
        <f>IF($DM402=0,"",MATCH(1,INDEX(EXACT($DH$5:DH402,$DH402)*$DM$5:DM402,0),0))</f>
        <v/>
      </c>
      <c r="EE402">
        <f>IF($DM402=0,0,IF($ED402=$DE402,1,0))</f>
        <v/>
      </c>
      <c r="EF402">
        <f>EF401+$EE402</f>
        <v/>
      </c>
      <c r="EG402">
        <f>IF($DM402=0,"",INDEX($EF$5:$EF$1003,$ED402))</f>
        <v/>
      </c>
      <c r="EH402">
        <f>IF($DM402=0,"",IF($DO402&lt;&gt;"","",IFERROR(LOOKUP(2,1/(($EG$4:EG401=$EG402)*($DO$4:DO401&lt;&gt;"")),$DO$4:DO401),"")))</f>
        <v/>
      </c>
      <c r="EI402">
        <f>IF($DM402=0,"",IF($DO402&lt;&gt;"",$DO402,$EH402))</f>
        <v/>
      </c>
      <c r="EJ402">
        <f>IF($DM402=0,"",IF($EI402="",0,IF(OR(ISNUMBER($EI402),AND(AND(SUBSTITUTE(SUBSTITUTE(SUBSTITUTE(SUBSTITUTE(SUBSTITUTE(SUBSTITUTE(SUBSTITUTE(SUBSTITUTE(SUBSTITUTE(SUBSTITUTE(SUBSTITUTE(SUBSTITUTE(SUBSTITUTE(SUBSTITUTE(UPPER($EI402),"0",""),"1",""),"2",""),"3",""),"4",""),"5",""),"6",""),"7",""),"8",""),"9",""),".",""),"+",""),"-",""),"E","")="",LEN(SUBSTITUTE(SUBSTITUTE(MID(UPPER($EI402),1+OR(LEFT(UPPER($EI402),1)="+",LEFT(UPPER($EI402),1)="-"),999),"E+","E"),"E-","E"))=LEN(SUBSTITUTE(SUBSTITUTE(SUBSTITUTE(SUBSTITUTE(MID(UPPER($EI402),1+OR(LEFT(UPPER($EI402),1)="+",LEFT(UPPER($EI402),1)="-"),999),"E+","E"),"E-","E"),"+",""),"-","")),LEN(UPPER($EI402))-LEN(SUBSTITUTE(UPPER($EI402),"E",""))&lt;2,LEN(UPPER($EI402))-LEN(SUBSTITUTE(UPPER($EI402),".",""))&lt;2,IFERROR(FIND(".",UPPER($EI402)),0)&lt;IFERROR(FIND("E",UPPER($EI402)),999)),ISNUMBER(VALUE($EI402)))),1,2)))</f>
        <v/>
      </c>
      <c r="EK402">
        <f>IF($DM402=0,"",IF($EJ402=1,IF(ISNUMBER($EI402),$EI402,VALUE($EI402)),IF($EJ402=2,$DE402,0)))</f>
        <v/>
      </c>
      <c r="EL402">
        <f>IF($DM402=0,"",COUNTIF($EG$5:$EG$1003,"&lt;"&amp;$EG402)+SUMPRODUCT(($EG$5:$EG$1003=$EG402)*(($EJ$5:$EJ$1003&lt;$EJ402)+($EJ$5:$EJ$1003=$EJ402)*(($EK$5:$EK$1003&lt;$EK402)+($EK$5:$EK$1003=$EK402)*($DE$5:$DE$1003&lt;$DE402))))+1)</f>
        <v/>
      </c>
      <c r="EM402">
        <f>IF($DM402=0,"",$EL402+$EG402-1)</f>
        <v/>
      </c>
      <c r="EN402">
        <f>IF($DM402=0,0,IFERROR(MATCH(1,INDEX(--(TRIM(SUBSTITUTE(SUBSTITUTE(SUBSTITUTE(SUBSTITUTE(LINES_NAME&amp;""," "," "),CHAR(9)," "),CHAR(10)," "),CHAR(13)," "))=$DH402),0),0),0))</f>
        <v/>
      </c>
      <c r="EO402">
        <f>IF($EN402=0,0,IF(OR(UPPER(TRIM(INDEX(LINES_SCHEDULED,$EN402)&amp;""))="YES",UPPER(TRIM(INDEX(LINES_SCHEDULED,$EN402)&amp;""))="Y",UPPER(TRIM(INDEX(LINES_SCHEDULED,$EN402)&amp;""))="X"),1,0))</f>
        <v/>
      </c>
      <c r="EP402">
        <f>IF($DM402=0,"",IF(COUNTIFS($EG$5:$EG$1003,$EG402,$EB$5:$EB$1003,"Ready")&gt;0,"READY",IF(COUNTIFS($EG$5:$EG$1003,$EG402,$EB$5:$EB$1003,"PM")&gt;0,"PM",IF(COUNTIFS($EG$5:$EG$1003,$EG402,$EB$5:$EB$1003,"OT")&gt;0,"OT",""))))</f>
        <v/>
      </c>
      <c r="EQ402">
        <f>IF($EN402=0,"",UPPER(TRIM(INDEX(LINES_STATUS,$EN402)&amp;"")))</f>
        <v/>
      </c>
      <c r="ER402">
        <f>IF($DM402=0,"",IF(OR($EQ402="READY",$EQ402="PM",$EQ402="OT"),$EQ402,$EP402))</f>
        <v/>
      </c>
      <c r="ES402">
        <f>IF($DM402=0,"",IF(AND($DV402&lt;&gt;"",UPPER($DV402)&lt;&gt;"N"),"allergen",IF(ISNUMBER(SEARCH("oil",$DQ402)),"oil",IF(OR(EXACT($DS402,"A662"),EXACT($DS402,"A624")),"bulk",""))))</f>
        <v/>
      </c>
      <c r="ET402">
        <f>IF($DM402=0,"",IF(OR($EA402="",$EA402=0),"",$EA402/100))</f>
        <v/>
      </c>
      <c r="EU402">
        <f>IF(OR($ET402="",$DY402=""),"",INT($DY402*(1-$ET402)+0.5))</f>
        <v/>
      </c>
      <c r="EW402" t="n">
        <v>398</v>
      </c>
      <c r="EX402">
        <f>IFERROR(MATCH($EW402,$EM$5:$EM$1003,0),0)</f>
        <v/>
      </c>
      <c r="EY402">
        <f>IF($EW402&gt;$B$12,"",IF($EX402&gt;0,"row","spacer"))</f>
        <v/>
      </c>
      <c r="EZ402">
        <f>IF(AND($EY402="row",$EY401&lt;&gt;"row"),1,0)</f>
        <v/>
      </c>
      <c r="FA402">
        <f>IF(AND($EY402="row",$EY403&lt;&gt;"row"),1,0)</f>
        <v/>
      </c>
      <c r="FB402">
        <f>IF($EZ402=1,IFERROR(IF(ISNUMBER(INDEX(PASTE_ALL,INDEX($DF$5:$DF$1003,$EX402),$B$37)),INDEX(PASTE_ALL,INDEX($DF$5:$DF$1003,$EX402),$B$37),INDEX($DH$5:$DH$1003,$EX402)),INDEX($DH$5:$DH$1003,$EX402)),"")</f>
        <v/>
      </c>
      <c r="FC402">
        <f>IF($EY402="row",INDEX($ER$5:$ER$1003,$EX402),"")</f>
        <v/>
      </c>
      <c r="FD402">
        <f>IF($EY402="row",INDEX($DN$5:$DN$1003,$EX402),"")</f>
        <v/>
      </c>
      <c r="FE402">
        <f>IF($EY402="row",INDEX($DO$5:$DO$1003,$EX402),"")</f>
        <v/>
      </c>
      <c r="FF402">
        <f>IF($EY402="row",INDEX($DP$5:$DP$1003,$EX402),"")</f>
        <v/>
      </c>
      <c r="FG402">
        <f>IF($EY402="row",INDEX($DQ$5:$DQ$1003,$EX402),"")</f>
        <v/>
      </c>
      <c r="FH402">
        <f>IF($EY402="row",INDEX($DR$5:$DR$1003,$EX402),"")</f>
        <v/>
      </c>
      <c r="FI402">
        <f>IF($EY402="row",INDEX($DS$5:$DS$1003,$EX402),"")</f>
        <v/>
      </c>
      <c r="FJ402">
        <f>IF($EY402="row",INDEX($DT$5:$DT$1003,$EX402),"")</f>
        <v/>
      </c>
      <c r="FK402">
        <f>IF($EY402="row",INDEX($DU$5:$DU$1003,$EX402),"")</f>
        <v/>
      </c>
      <c r="FL402">
        <f>IF($EY402="row",INDEX($DV$5:$DV$1003,$EX402),"")</f>
        <v/>
      </c>
      <c r="FM402">
        <f>IF($EY402="row",INDEX($DW$5:$DW$1003,$EX402),"")</f>
        <v/>
      </c>
      <c r="FN402">
        <f>IF($EY402="row",INDEX($DY$5:$DY$1003,$EX402),"")</f>
        <v/>
      </c>
      <c r="FO402">
        <f>IF($EY402="row",INDEX($EA$5:$EA$1003,$EX402),"")</f>
        <v/>
      </c>
      <c r="FP402">
        <f>IF($EY402="row",INDEX($EC$5:$EC$1003,$EX402),"")</f>
        <v/>
      </c>
      <c r="FQ402">
        <f>IF($EY402="row",INDEX($ET$5:$ET$1003,$EX402),"")</f>
        <v/>
      </c>
      <c r="FR402">
        <f>IF($EY402="row",INDEX($EU$5:$EU$1003,$EX402),"")</f>
        <v/>
      </c>
      <c r="FS402">
        <f>IF(AND($EY402="row",$EY401="row"),IF(OR(INDEX($DT$5:$DT$1003,$EX401)="",INDEX($DT$5:$DT$1003,$EX402)=""),"",IF(NOT(EXACT(INDEX($DT$5:$DT$1003,$EX401),INDEX($DT$5:$DT$1003,$EX402))),"S4",IF(NOT(EXACT(INDEX($DS$5:$DS$1003,$EX401),INDEX($DS$5:$DS$1003,$EX402))),"S3",IF(NOT(EXACT(INDEX($DR$5:$DR$1003,$EX401),INDEX($DR$5:$DR$1003,$EX402))),"S1 Count Change","S1")))),"")</f>
        <v/>
      </c>
      <c r="FT402">
        <f>IF($EY402="row",INDEX($ES$5:$ES$1003,$EX402),"")</f>
        <v/>
      </c>
      <c r="FU402">
        <f>IF($EY402="row",INDEX($EO$5:$EO$1003,$EX402),0)</f>
        <v/>
      </c>
      <c r="FV402">
        <f>IF($FS402="S1 Count Change",1,0)</f>
        <v/>
      </c>
    </row>
    <row r="403">
      <c r="DA403" t="n">
        <v>399</v>
      </c>
      <c r="DB403">
        <f>IF($B$37=0,"",IFERROR(TRIM(SUBSTITUTE(SUBSTITUTE(SUBSTITUTE(SUBSTITUTE(INDEX(PASTE_ALL,399,$B$37)," "," "),CHAR(9)," "),CHAR(10)," "),CHAR(13)," ")),""))</f>
        <v/>
      </c>
      <c r="DC403">
        <f>IF(AND(399&gt;HEADER_ROW,UPPER(DB403)="LEGEND"),1,0)</f>
        <v/>
      </c>
      <c r="DE403" t="n">
        <v>399</v>
      </c>
      <c r="DF403">
        <f>HEADER_ROW+$DE403</f>
        <v/>
      </c>
      <c r="DG403">
        <f>IF(AND($DF403&lt;=1000,$DF403&lt;$B$8),1,0)</f>
        <v/>
      </c>
      <c r="DH403">
        <f>IF($DG403=1,IFERROR(INDEX($DB$5:$DB$1004,$DF403),""),"")</f>
        <v/>
      </c>
      <c r="DI403">
        <f>IF(AND($DG403=1,$DH403&lt;&gt;""),IFERROR(SUBSTITUTE(SUBSTITUTE(TRIM(SUBSTITUTE(SUBSTITUTE(SUBSTITUTE(SUBSTITUTE(IFERROR(INDEX(PASTE_ALL,$DF403,1)&amp;"","")&amp;"␟"&amp;IFERROR(INDEX(PASTE_ALL,$DF403,2)&amp;"","")&amp;"␟"&amp;IFERROR(INDEX(PASTE_ALL,$DF403,3)&amp;"","")&amp;"␟"&amp;IFERROR(INDEX(PASTE_ALL,$DF403,4)&amp;"","")&amp;"␟"&amp;IFERROR(INDEX(PASTE_ALL,$DF403,5)&amp;"","")&amp;"␟"&amp;IFERROR(INDEX(PASTE_ALL,$DF403,6)&amp;"","")&amp;"␟"&amp;IFERROR(INDEX(PASTE_ALL,$DF403,7)&amp;"","")&amp;"␟"&amp;IFERROR(INDEX(PASTE_ALL,$DF403,8)&amp;"","")&amp;"␟"&amp;IFERROR(INDEX(PASTE_ALL,$DF403,9)&amp;"","")&amp;"␟"&amp;IFERROR(INDEX(PASTE_ALL,$DF403,10)&amp;"","")&amp;"␟"&amp;IFERROR(INDEX(PASTE_ALL,$DF403,11)&amp;"","")&amp;"␟"&amp;IFERROR(INDEX(PASTE_ALL,$DF403,12)&amp;"","")&amp;"␟"&amp;IFERROR(INDEX(PASTE_ALL,$DF403,13)&amp;"","")&amp;"␟"&amp;IFERROR(INDEX(PASTE_ALL,$DF403,14)&amp;"","")&amp;"␟"&amp;IFERROR(INDEX(PASTE_ALL,$DF403,15)&amp;"","")&amp;"␟"&amp;IFERROR(INDEX(PASTE_ALL,$DF403,16)&amp;"","")&amp;"␟"&amp;IFERROR(INDEX(PASTE_ALL,$DF403,17)&amp;"","")&amp;"␟"&amp;IFERROR(INDEX(PASTE_ALL,$DF403,18)&amp;"","")&amp;"␟"&amp;IFERROR(INDEX(PASTE_ALL,$DF403,19)&amp;"","")&amp;"␟"&amp;IFERROR(INDEX(PASTE_ALL,$DF403,20)&amp;"","")&amp;"␟"&amp;IFERROR(INDEX(PASTE_ALL,$DF403,21)&amp;"","")&amp;"␟"&amp;IFERROR(INDEX(PASTE_ALL,$DF403,22)&amp;"","")&amp;"␟"&amp;IFERROR(INDEX(PASTE_ALL,$DF403,23)&amp;"","")&amp;"␟"&amp;IFERROR(INDEX(PASTE_ALL,$DF403,24)&amp;"","")&amp;"␟"&amp;IFERROR(INDEX(PASTE_ALL,$DF403,25)&amp;"","")&amp;"␟"&amp;IFERROR(INDEX(PASTE_ALL,$DF403,26)&amp;"","")&amp;"␟"&amp;IFERROR(INDEX(PASTE_ALL,$DF403,27)&amp;"","")&amp;"␟"&amp;IFERROR(INDEX(PASTE_ALL,$DF403,28)&amp;"","")&amp;"␟"&amp;IFERROR(INDEX(PASTE_ALL,$DF403,29)&amp;"","")&amp;"␟"&amp;IFERROR(INDEX(PASTE_ALL,$DF403,30)&amp;"","")&amp;"␟"&amp;IFERROR(INDEX(PASTE_ALL,$DF403,31)&amp;"","")&amp;"␟"&amp;IFERROR(INDEX(PASTE_ALL,$DF403,32)&amp;"","")&amp;"␟"&amp;IFERROR(INDEX(PASTE_ALL,$DF403,33)&amp;"","")&amp;"␟"&amp;IFERROR(INDEX(PASTE_ALL,$DF403,34)&amp;"","")&amp;"␟"&amp;IFERROR(INDEX(PASTE_ALL,$DF403,35)&amp;"","")&amp;"␟"&amp;IFERROR(INDEX(PASTE_ALL,$DF403,36)&amp;"","")&amp;"␟"&amp;IFERROR(INDEX(PASTE_ALL,$DF403,37)&amp;"","")&amp;"␟"&amp;IFERROR(INDEX(PASTE_ALL,$DF403,38)&amp;"","")&amp;"␟"&amp;IFERROR(INDEX(PASTE_ALL,$DF403,39)&amp;"","")&amp;"␟"&amp;IFERROR(INDEX(PASTE_ALL,$DF403,40)&amp;"","")&amp;"␟"&amp;IFERROR(INDEX(PASTE_ALL,$DF403,41)&amp;"","")&amp;"␟"&amp;IFERROR(INDEX(PASTE_ALL,$DF403,42)&amp;"","")&amp;"␟"&amp;IFERROR(INDEX(PASTE_ALL,$DF403,43)&amp;"","")&amp;"␟"&amp;IFERROR(INDEX(PASTE_ALL,$DF403,44)&amp;"","")&amp;"␟"&amp;IFERROR(INDEX(PASTE_ALL,$DF403,45)&amp;"","")&amp;"␟"&amp;IFERROR(INDEX(PASTE_ALL,$DF403,46)&amp;"","")&amp;"␟"&amp;IFERROR(INDEX(PASTE_ALL,$DF403,47)&amp;"","")&amp;"␟"&amp;IFERROR(INDEX(PASTE_ALL,$DF403,48)&amp;"","")&amp;"␟"&amp;IFERROR(INDEX(PASTE_ALL,$DF403,49)&amp;"","")&amp;"␟"&amp;IFERROR(INDEX(PASTE_ALL,$DF403,50)&amp;"","")&amp;"␟"&amp;IFERROR(INDEX(PASTE_ALL,$DF403,51)&amp;"","")&amp;"␟"&amp;IFERROR(INDEX(PASTE_ALL,$DF403,52)&amp;"","")&amp;"␟"&amp;IFERROR(INDEX(PASTE_ALL,$DF403,53)&amp;"","")&amp;"␟"&amp;IFERROR(INDEX(PASTE_ALL,$DF403,54)&amp;"","")&amp;"␟"&amp;IFERROR(INDEX(PASTE_ALL,$DF403,55)&amp;"","")&amp;"␟"&amp;IFERROR(INDEX(PASTE_ALL,$DF403,56)&amp;"","")&amp;"␟"&amp;IFERROR(INDEX(PASTE_ALL,$DF403,57)&amp;"","")&amp;"␟"&amp;IFERROR(INDEX(PASTE_ALL,$DF403,58)&amp;"","")&amp;"␟"&amp;IFERROR(INDEX(PASTE_ALL,$DF403,59)&amp;"","")&amp;"␟"&amp;IFERROR(INDEX(PASTE_ALL,$DF403,60)&amp;"","")," "," "),CHAR(9)," "),CHAR(10)," "),CHAR(13)," "))," ␟","␟"),"␟ ","␟"),"#"&amp;$DE403),"")</f>
        <v/>
      </c>
      <c r="DJ403">
        <f>IF($DI403="",0,IF(SUMPRODUCT(--EXACT($DI$4:DI402,$DI403))&gt;0,1,0))</f>
        <v/>
      </c>
      <c r="DK403">
        <f>IF(AND($DI403&lt;&gt;"",$DJ403=0),1,0)</f>
        <v/>
      </c>
      <c r="DL403">
        <f>DL402+$DK403</f>
        <v/>
      </c>
      <c r="DM403">
        <f>IF(AND($DK403=1,$DL403&lt;=600),1,0)</f>
        <v/>
      </c>
      <c r="DN403">
        <f>IF($DM403=0,"",IF($L$6=0,"",IFERROR(IF(ISNUMBER(INDEX(PASTE_ALL,$DF403,$L$6)),INDEX(PASTE_ALL,$DF403,$L$6),TRIM(SUBSTITUTE(SUBSTITUTE(SUBSTITUTE(SUBSTITUTE(INDEX(PASTE_ALL,$DF403,$L$6)," "," "),CHAR(9)," "),CHAR(10)," "),CHAR(13)," "))),"")))</f>
        <v/>
      </c>
      <c r="DO403">
        <f>IF($DM403=0,"",IF($L$7=0,"",IFERROR(IF(ISNUMBER(INDEX(PASTE_ALL,$DF403,$L$7)),INDEX(PASTE_ALL,$DF403,$L$7),TRIM(SUBSTITUTE(SUBSTITUTE(SUBSTITUTE(SUBSTITUTE(INDEX(PASTE_ALL,$DF403,$L$7)," "," "),CHAR(9)," "),CHAR(10)," "),CHAR(13)," "))),"")))</f>
        <v/>
      </c>
      <c r="DP403">
        <f>IF($DM403=0,"",IF($L$8=0,"",IFERROR(IF(ISNUMBER(INDEX(PASTE_ALL,$DF403,$L$8)),INDEX(PASTE_ALL,$DF403,$L$8),TRIM(SUBSTITUTE(SUBSTITUTE(SUBSTITUTE(SUBSTITUTE(INDEX(PASTE_ALL,$DF403,$L$8)," "," "),CHAR(9)," "),CHAR(10)," "),CHAR(13)," "))),"")))</f>
        <v/>
      </c>
      <c r="DQ403">
        <f>IF($DM403=0,"",IF($L$9=0,"",IFERROR(IF(ISNUMBER(INDEX(PASTE_ALL,$DF403,$L$9)),INDEX(PASTE_ALL,$DF403,$L$9),TRIM(SUBSTITUTE(SUBSTITUTE(SUBSTITUTE(SUBSTITUTE(INDEX(PASTE_ALL,$DF403,$L$9)," "," "),CHAR(9)," "),CHAR(10)," "),CHAR(13)," "))),"")))</f>
        <v/>
      </c>
      <c r="DR403">
        <f>IF($DM403=0,"",IF($L$10=0,"",IFERROR(IF(ISNUMBER(INDEX(PASTE_ALL,$DF403,$L$10)),INDEX(PASTE_ALL,$DF403,$L$10),TRIM(SUBSTITUTE(SUBSTITUTE(SUBSTITUTE(SUBSTITUTE(INDEX(PASTE_ALL,$DF403,$L$10)," "," "),CHAR(9)," "),CHAR(10)," "),CHAR(13)," "))),"")))</f>
        <v/>
      </c>
      <c r="DS403">
        <f>IF($DM403=0,"",IF($L$11=0,"",IFERROR(IF(ISNUMBER(INDEX(PASTE_ALL,$DF403,$L$11)),INDEX(PASTE_ALL,$DF403,$L$11),TRIM(SUBSTITUTE(SUBSTITUTE(SUBSTITUTE(SUBSTITUTE(INDEX(PASTE_ALL,$DF403,$L$11)," "," "),CHAR(9)," "),CHAR(10)," "),CHAR(13)," "))),"")))</f>
        <v/>
      </c>
      <c r="DT403">
        <f>IF($DM403=0,"",IF($L$12=0,"",IFERROR(IF(ISNUMBER(INDEX(PASTE_ALL,$DF403,$L$12)),INDEX(PASTE_ALL,$DF403,$L$12),TRIM(SUBSTITUTE(SUBSTITUTE(SUBSTITUTE(SUBSTITUTE(INDEX(PASTE_ALL,$DF403,$L$12)," "," "),CHAR(9)," "),CHAR(10)," "),CHAR(13)," "))),"")))</f>
        <v/>
      </c>
      <c r="DU403">
        <f>IF($DM403=0,"",IF($L$13=0,"",IFERROR(IF(ISNUMBER(INDEX(PASTE_ALL,$DF403,$L$13)),INDEX(PASTE_ALL,$DF403,$L$13),TRIM(SUBSTITUTE(SUBSTITUTE(SUBSTITUTE(SUBSTITUTE(INDEX(PASTE_ALL,$DF403,$L$13)," "," "),CHAR(9)," "),CHAR(10)," "),CHAR(13)," "))),"")))</f>
        <v/>
      </c>
      <c r="DV403">
        <f>IF($DM403=0,"",IF($L$14=0,"",IFERROR(IF(ISNUMBER(INDEX(PASTE_ALL,$DF403,$L$14)),INDEX(PASTE_ALL,$DF403,$L$14),TRIM(SUBSTITUTE(SUBSTITUTE(SUBSTITUTE(SUBSTITUTE(INDEX(PASTE_ALL,$DF403,$L$14)," "," "),CHAR(9)," "),CHAR(10)," "),CHAR(13)," "))),"")))</f>
        <v/>
      </c>
      <c r="DW403">
        <f>IF($DM403=0,"",IF($L$15=0,"",IFERROR(IF(ISNUMBER(INDEX(PASTE_ALL,$DF403,$L$15)),INDEX(PASTE_ALL,$DF403,$L$15),IF(SUMPRODUCT(--ISNUMBER(FIND({"A","B","C","D","E","F","G","H","I","J","K","L","M","N","O","P","Q","R","S","T","U","V","W","X","Y","Z","0","1","2","3","4","5","6","7","8","9"},UPPER(TRIM(SUBSTITUTE(SUBSTITUTE(SUBSTITUTE(SUBSTITUTE(INDEX(PASTE_ALL,$DF403,$L$15)," "," "),CHAR(9)," "),CHAR(10)," "),CHAR(13)," "))))))&gt;0,TRIM(SUBSTITUTE(SUBSTITUTE(SUBSTITUTE(SUBSTITUTE(INDEX(PASTE_ALL,$DF403,$L$15)," "," "),CHAR(9)," "),CHAR(10)," "),CHAR(13)," ")),"")),"")))</f>
        <v/>
      </c>
      <c r="DX403">
        <f>IF($DM403=0,"",IF($L$16=0,"",IFERROR(IF(ISNUMBER(INDEX(PASTE_ALL,$DF403,$L$16)),INDEX(PASTE_ALL,$DF403,$L$16),SUBSTITUTE(SUBSTITUTE(TRIM(SUBSTITUTE(SUBSTITUTE(SUBSTITUTE(SUBSTITUTE(INDEX(PASTE_ALL,$DF403,$L$16)," "," "),CHAR(9)," "),CHAR(10)," "),CHAR(13)," ")),",",""),"%","")),"")))</f>
        <v/>
      </c>
      <c r="DY403">
        <f>IF($DM403=0,"",IFERROR(IF(ISNUMBER($DX403),$DX403,IF($DX403="","",IF(TRIM($DX403)="",0,IF(AND(AND(SUBSTITUTE(SUBSTITUTE(SUBSTITUTE(SUBSTITUTE(SUBSTITUTE(SUBSTITUTE(SUBSTITUTE(SUBSTITUTE(SUBSTITUTE(SUBSTITUTE(SUBSTITUTE(SUBSTITUTE(SUBSTITUTE(SUBSTITUTE(UPPER(TRIM($DX403)),"0",""),"1",""),"2",""),"3",""),"4",""),"5",""),"6",""),"7",""),"8",""),"9",""),".",""),"+",""),"-",""),"E","")="",LEN(SUBSTITUTE(SUBSTITUTE(MID(UPPER(TRIM($DX403)),1+OR(LEFT(UPPER(TRIM($DX403)),1)="+",LEFT(UPPER(TRIM($DX403)),1)="-"),999),"E+","E"),"E-","E"))=LEN(SUBSTITUTE(SUBSTITUTE(SUBSTITUTE(SUBSTITUTE(MID(UPPER(TRIM($DX403)),1+OR(LEFT(UPPER(TRIM($DX403)),1)="+",LEFT(UPPER(TRIM($DX403)),1)="-"),999),"E+","E"),"E-","E"),"+",""),"-","")),LEN(UPPER(TRIM($DX403)))-LEN(SUBSTITUTE(UPPER(TRIM($DX403)),"E",""))&lt;2,LEN(UPPER(TRIM($DX403)))-LEN(SUBSTITUTE(UPPER(TRIM($DX403)),".",""))&lt;2,IFERROR(FIND(".",UPPER(TRIM($DX403))),0)&lt;IFERROR(FIND("E",UPPER(TRIM($DX403))),999)),ISNUMBER(VALUE(TRIM($DX403)))),VALUE(TRIM($DX403)),"")))),""))</f>
        <v/>
      </c>
      <c r="DZ403">
        <f>IF($DM403=0,"",IF($L$17=0,"",IFERROR(IF(ISNUMBER(INDEX(PASTE_ALL,$DF403,$L$17)),INDEX(PASTE_ALL,$DF403,$L$17),SUBSTITUTE(SUBSTITUTE(TRIM(SUBSTITUTE(SUBSTITUTE(SUBSTITUTE(SUBSTITUTE(INDEX(PASTE_ALL,$DF403,$L$17)," "," "),CHAR(9)," "),CHAR(10)," "),CHAR(13)," ")),",",""),"%","")),"")))</f>
        <v/>
      </c>
      <c r="EA403">
        <f>IF($DM403=0,"",IFERROR(IF(ISNUMBER($DZ403),$DZ403,IF($DZ403="","",IF(TRIM($DZ403)="",0,IF(AND(AND(SUBSTITUTE(SUBSTITUTE(SUBSTITUTE(SUBSTITUTE(SUBSTITUTE(SUBSTITUTE(SUBSTITUTE(SUBSTITUTE(SUBSTITUTE(SUBSTITUTE(SUBSTITUTE(SUBSTITUTE(SUBSTITUTE(SUBSTITUTE(UPPER(TRIM($DZ403)),"0",""),"1",""),"2",""),"3",""),"4",""),"5",""),"6",""),"7",""),"8",""),"9",""),".",""),"+",""),"-",""),"E","")="",LEN(SUBSTITUTE(SUBSTITUTE(MID(UPPER(TRIM($DZ403)),1+OR(LEFT(UPPER(TRIM($DZ403)),1)="+",LEFT(UPPER(TRIM($DZ403)),1)="-"),999),"E+","E"),"E-","E"))=LEN(SUBSTITUTE(SUBSTITUTE(SUBSTITUTE(SUBSTITUTE(MID(UPPER(TRIM($DZ403)),1+OR(LEFT(UPPER(TRIM($DZ403)),1)="+",LEFT(UPPER(TRIM($DZ403)),1)="-"),999),"E+","E"),"E-","E"),"+",""),"-","")),LEN(UPPER(TRIM($DZ403)))-LEN(SUBSTITUTE(UPPER(TRIM($DZ403)),"E",""))&lt;2,LEN(UPPER(TRIM($DZ403)))-LEN(SUBSTITUTE(UPPER(TRIM($DZ403)),".",""))&lt;2,IFERROR(FIND(".",UPPER(TRIM($DZ403))),0)&lt;IFERROR(FIND("E",UPPER(TRIM($DZ403))),999)),ISNUMBER(VALUE(TRIM($DZ403)))),VALUE(TRIM($DZ403)),"")))),""))</f>
        <v/>
      </c>
      <c r="EB403">
        <f>IF($DM403=0,"",IF($L$18=0,"",IFERROR(IF(UPPER(TRIM(SUBSTITUTE(SUBSTITUTE(SUBSTITUTE(SUBSTITUTE(INDEX(PASTE_ALL,$DF403,$L$18)," "," "),CHAR(9)," "),CHAR(10)," "),CHAR(13)," ")))="READY","Ready",IF(UPPER(TRIM(SUBSTITUTE(SUBSTITUTE(SUBSTITUTE(SUBSTITUTE(INDEX(PASTE_ALL,$DF403,$L$18)," "," "),CHAR(9)," "),CHAR(10)," "),CHAR(13)," ")))="PM","PM",IF(OR(UPPER(TRIM(SUBSTITUTE(SUBSTITUTE(SUBSTITUTE(SUBSTITUTE(INDEX(PASTE_ALL,$DF403,$L$18)," "," "),CHAR(9)," "),CHAR(10)," "),CHAR(13)," ")))="OT",UPPER(TRIM(SUBSTITUTE(SUBSTITUTE(SUBSTITUTE(SUBSTITUTE(INDEX(PASTE_ALL,$DF403,$L$18)," "," "),CHAR(9)," "),CHAR(10)," "),CHAR(13)," ")))="OVERTIME",UPPER(TRIM(SUBSTITUTE(SUBSTITUTE(SUBSTITUTE(SUBSTITUTE(INDEX(PASTE_ALL,$DF403,$L$18)," "," "),CHAR(9)," "),CHAR(10)," "),CHAR(13)," ")))="TRIAL"),"OT",TRIM(SUBSTITUTE(SUBSTITUTE(SUBSTITUTE(SUBSTITUTE(INDEX(PASTE_ALL,$DF403,$L$18)," "," "),CHAR(9)," "),CHAR(10)," "),CHAR(13)," "))))),"")))</f>
        <v/>
      </c>
      <c r="EC403">
        <f>IF($DM403=0,"",IF($L$19=0,"",IFERROR(IF(ISNUMBER(INDEX(PASTE_ALL,$DF403,$L$19)),INDEX(PASTE_ALL,$DF403,$L$19),TRIM(SUBSTITUTE(SUBSTITUTE(SUBSTITUTE(SUBSTITUTE(INDEX(PASTE_ALL,$DF403,$L$19)," "," "),CHAR(9)," "),CHAR(10)," "),CHAR(13)," "))),"")))</f>
        <v/>
      </c>
      <c r="ED403">
        <f>IF($DM403=0,"",MATCH(1,INDEX(EXACT($DH$5:DH403,$DH403)*$DM$5:DM403,0),0))</f>
        <v/>
      </c>
      <c r="EE403">
        <f>IF($DM403=0,0,IF($ED403=$DE403,1,0))</f>
        <v/>
      </c>
      <c r="EF403">
        <f>EF402+$EE403</f>
        <v/>
      </c>
      <c r="EG403">
        <f>IF($DM403=0,"",INDEX($EF$5:$EF$1003,$ED403))</f>
        <v/>
      </c>
      <c r="EH403">
        <f>IF($DM403=0,"",IF($DO403&lt;&gt;"","",IFERROR(LOOKUP(2,1/(($EG$4:EG402=$EG403)*($DO$4:DO402&lt;&gt;"")),$DO$4:DO402),"")))</f>
        <v/>
      </c>
      <c r="EI403">
        <f>IF($DM403=0,"",IF($DO403&lt;&gt;"",$DO403,$EH403))</f>
        <v/>
      </c>
      <c r="EJ403">
        <f>IF($DM403=0,"",IF($EI403="",0,IF(OR(ISNUMBER($EI403),AND(AND(SUBSTITUTE(SUBSTITUTE(SUBSTITUTE(SUBSTITUTE(SUBSTITUTE(SUBSTITUTE(SUBSTITUTE(SUBSTITUTE(SUBSTITUTE(SUBSTITUTE(SUBSTITUTE(SUBSTITUTE(SUBSTITUTE(SUBSTITUTE(UPPER($EI403),"0",""),"1",""),"2",""),"3",""),"4",""),"5",""),"6",""),"7",""),"8",""),"9",""),".",""),"+",""),"-",""),"E","")="",LEN(SUBSTITUTE(SUBSTITUTE(MID(UPPER($EI403),1+OR(LEFT(UPPER($EI403),1)="+",LEFT(UPPER($EI403),1)="-"),999),"E+","E"),"E-","E"))=LEN(SUBSTITUTE(SUBSTITUTE(SUBSTITUTE(SUBSTITUTE(MID(UPPER($EI403),1+OR(LEFT(UPPER($EI403),1)="+",LEFT(UPPER($EI403),1)="-"),999),"E+","E"),"E-","E"),"+",""),"-","")),LEN(UPPER($EI403))-LEN(SUBSTITUTE(UPPER($EI403),"E",""))&lt;2,LEN(UPPER($EI403))-LEN(SUBSTITUTE(UPPER($EI403),".",""))&lt;2,IFERROR(FIND(".",UPPER($EI403)),0)&lt;IFERROR(FIND("E",UPPER($EI403)),999)),ISNUMBER(VALUE($EI403)))),1,2)))</f>
        <v/>
      </c>
      <c r="EK403">
        <f>IF($DM403=0,"",IF($EJ403=1,IF(ISNUMBER($EI403),$EI403,VALUE($EI403)),IF($EJ403=2,$DE403,0)))</f>
        <v/>
      </c>
      <c r="EL403">
        <f>IF($DM403=0,"",COUNTIF($EG$5:$EG$1003,"&lt;"&amp;$EG403)+SUMPRODUCT(($EG$5:$EG$1003=$EG403)*(($EJ$5:$EJ$1003&lt;$EJ403)+($EJ$5:$EJ$1003=$EJ403)*(($EK$5:$EK$1003&lt;$EK403)+($EK$5:$EK$1003=$EK403)*($DE$5:$DE$1003&lt;$DE403))))+1)</f>
        <v/>
      </c>
      <c r="EM403">
        <f>IF($DM403=0,"",$EL403+$EG403-1)</f>
        <v/>
      </c>
      <c r="EN403">
        <f>IF($DM403=0,0,IFERROR(MATCH(1,INDEX(--(TRIM(SUBSTITUTE(SUBSTITUTE(SUBSTITUTE(SUBSTITUTE(LINES_NAME&amp;""," "," "),CHAR(9)," "),CHAR(10)," "),CHAR(13)," "))=$DH403),0),0),0))</f>
        <v/>
      </c>
      <c r="EO403">
        <f>IF($EN403=0,0,IF(OR(UPPER(TRIM(INDEX(LINES_SCHEDULED,$EN403)&amp;""))="YES",UPPER(TRIM(INDEX(LINES_SCHEDULED,$EN403)&amp;""))="Y",UPPER(TRIM(INDEX(LINES_SCHEDULED,$EN403)&amp;""))="X"),1,0))</f>
        <v/>
      </c>
      <c r="EP403">
        <f>IF($DM403=0,"",IF(COUNTIFS($EG$5:$EG$1003,$EG403,$EB$5:$EB$1003,"Ready")&gt;0,"READY",IF(COUNTIFS($EG$5:$EG$1003,$EG403,$EB$5:$EB$1003,"PM")&gt;0,"PM",IF(COUNTIFS($EG$5:$EG$1003,$EG403,$EB$5:$EB$1003,"OT")&gt;0,"OT",""))))</f>
        <v/>
      </c>
      <c r="EQ403">
        <f>IF($EN403=0,"",UPPER(TRIM(INDEX(LINES_STATUS,$EN403)&amp;"")))</f>
        <v/>
      </c>
      <c r="ER403">
        <f>IF($DM403=0,"",IF(OR($EQ403="READY",$EQ403="PM",$EQ403="OT"),$EQ403,$EP403))</f>
        <v/>
      </c>
      <c r="ES403">
        <f>IF($DM403=0,"",IF(AND($DV403&lt;&gt;"",UPPER($DV403)&lt;&gt;"N"),"allergen",IF(ISNUMBER(SEARCH("oil",$DQ403)),"oil",IF(OR(EXACT($DS403,"A662"),EXACT($DS403,"A624")),"bulk",""))))</f>
        <v/>
      </c>
      <c r="ET403">
        <f>IF($DM403=0,"",IF(OR($EA403="",$EA403=0),"",$EA403/100))</f>
        <v/>
      </c>
      <c r="EU403">
        <f>IF(OR($ET403="",$DY403=""),"",INT($DY403*(1-$ET403)+0.5))</f>
        <v/>
      </c>
      <c r="EW403" t="n">
        <v>399</v>
      </c>
      <c r="EX403">
        <f>IFERROR(MATCH($EW403,$EM$5:$EM$1003,0),0)</f>
        <v/>
      </c>
      <c r="EY403">
        <f>IF($EW403&gt;$B$12,"",IF($EX403&gt;0,"row","spacer"))</f>
        <v/>
      </c>
      <c r="EZ403">
        <f>IF(AND($EY403="row",$EY402&lt;&gt;"row"),1,0)</f>
        <v/>
      </c>
      <c r="FA403">
        <f>IF(AND($EY403="row",$EY404&lt;&gt;"row"),1,0)</f>
        <v/>
      </c>
      <c r="FB403">
        <f>IF($EZ403=1,IFERROR(IF(ISNUMBER(INDEX(PASTE_ALL,INDEX($DF$5:$DF$1003,$EX403),$B$37)),INDEX(PASTE_ALL,INDEX($DF$5:$DF$1003,$EX403),$B$37),INDEX($DH$5:$DH$1003,$EX403)),INDEX($DH$5:$DH$1003,$EX403)),"")</f>
        <v/>
      </c>
      <c r="FC403">
        <f>IF($EY403="row",INDEX($ER$5:$ER$1003,$EX403),"")</f>
        <v/>
      </c>
      <c r="FD403">
        <f>IF($EY403="row",INDEX($DN$5:$DN$1003,$EX403),"")</f>
        <v/>
      </c>
      <c r="FE403">
        <f>IF($EY403="row",INDEX($DO$5:$DO$1003,$EX403),"")</f>
        <v/>
      </c>
      <c r="FF403">
        <f>IF($EY403="row",INDEX($DP$5:$DP$1003,$EX403),"")</f>
        <v/>
      </c>
      <c r="FG403">
        <f>IF($EY403="row",INDEX($DQ$5:$DQ$1003,$EX403),"")</f>
        <v/>
      </c>
      <c r="FH403">
        <f>IF($EY403="row",INDEX($DR$5:$DR$1003,$EX403),"")</f>
        <v/>
      </c>
      <c r="FI403">
        <f>IF($EY403="row",INDEX($DS$5:$DS$1003,$EX403),"")</f>
        <v/>
      </c>
      <c r="FJ403">
        <f>IF($EY403="row",INDEX($DT$5:$DT$1003,$EX403),"")</f>
        <v/>
      </c>
      <c r="FK403">
        <f>IF($EY403="row",INDEX($DU$5:$DU$1003,$EX403),"")</f>
        <v/>
      </c>
      <c r="FL403">
        <f>IF($EY403="row",INDEX($DV$5:$DV$1003,$EX403),"")</f>
        <v/>
      </c>
      <c r="FM403">
        <f>IF($EY403="row",INDEX($DW$5:$DW$1003,$EX403),"")</f>
        <v/>
      </c>
      <c r="FN403">
        <f>IF($EY403="row",INDEX($DY$5:$DY$1003,$EX403),"")</f>
        <v/>
      </c>
      <c r="FO403">
        <f>IF($EY403="row",INDEX($EA$5:$EA$1003,$EX403),"")</f>
        <v/>
      </c>
      <c r="FP403">
        <f>IF($EY403="row",INDEX($EC$5:$EC$1003,$EX403),"")</f>
        <v/>
      </c>
      <c r="FQ403">
        <f>IF($EY403="row",INDEX($ET$5:$ET$1003,$EX403),"")</f>
        <v/>
      </c>
      <c r="FR403">
        <f>IF($EY403="row",INDEX($EU$5:$EU$1003,$EX403),"")</f>
        <v/>
      </c>
      <c r="FS403">
        <f>IF(AND($EY403="row",$EY402="row"),IF(OR(INDEX($DT$5:$DT$1003,$EX402)="",INDEX($DT$5:$DT$1003,$EX403)=""),"",IF(NOT(EXACT(INDEX($DT$5:$DT$1003,$EX402),INDEX($DT$5:$DT$1003,$EX403))),"S4",IF(NOT(EXACT(INDEX($DS$5:$DS$1003,$EX402),INDEX($DS$5:$DS$1003,$EX403))),"S3",IF(NOT(EXACT(INDEX($DR$5:$DR$1003,$EX402),INDEX($DR$5:$DR$1003,$EX403))),"S1 Count Change","S1")))),"")</f>
        <v/>
      </c>
      <c r="FT403">
        <f>IF($EY403="row",INDEX($ES$5:$ES$1003,$EX403),"")</f>
        <v/>
      </c>
      <c r="FU403">
        <f>IF($EY403="row",INDEX($EO$5:$EO$1003,$EX403),0)</f>
        <v/>
      </c>
      <c r="FV403">
        <f>IF($FS403="S1 Count Change",1,0)</f>
        <v/>
      </c>
    </row>
    <row r="404">
      <c r="DA404" t="n">
        <v>400</v>
      </c>
      <c r="DB404">
        <f>IF($B$37=0,"",IFERROR(TRIM(SUBSTITUTE(SUBSTITUTE(SUBSTITUTE(SUBSTITUTE(INDEX(PASTE_ALL,400,$B$37)," "," "),CHAR(9)," "),CHAR(10)," "),CHAR(13)," ")),""))</f>
        <v/>
      </c>
      <c r="DC404">
        <f>IF(AND(400&gt;HEADER_ROW,UPPER(DB404)="LEGEND"),1,0)</f>
        <v/>
      </c>
      <c r="DE404" t="n">
        <v>400</v>
      </c>
      <c r="DF404">
        <f>HEADER_ROW+$DE404</f>
        <v/>
      </c>
      <c r="DG404">
        <f>IF(AND($DF404&lt;=1000,$DF404&lt;$B$8),1,0)</f>
        <v/>
      </c>
      <c r="DH404">
        <f>IF($DG404=1,IFERROR(INDEX($DB$5:$DB$1004,$DF404),""),"")</f>
        <v/>
      </c>
      <c r="DI404">
        <f>IF(AND($DG404=1,$DH404&lt;&gt;""),IFERROR(SUBSTITUTE(SUBSTITUTE(TRIM(SUBSTITUTE(SUBSTITUTE(SUBSTITUTE(SUBSTITUTE(IFERROR(INDEX(PASTE_ALL,$DF404,1)&amp;"","")&amp;"␟"&amp;IFERROR(INDEX(PASTE_ALL,$DF404,2)&amp;"","")&amp;"␟"&amp;IFERROR(INDEX(PASTE_ALL,$DF404,3)&amp;"","")&amp;"␟"&amp;IFERROR(INDEX(PASTE_ALL,$DF404,4)&amp;"","")&amp;"␟"&amp;IFERROR(INDEX(PASTE_ALL,$DF404,5)&amp;"","")&amp;"␟"&amp;IFERROR(INDEX(PASTE_ALL,$DF404,6)&amp;"","")&amp;"␟"&amp;IFERROR(INDEX(PASTE_ALL,$DF404,7)&amp;"","")&amp;"␟"&amp;IFERROR(INDEX(PASTE_ALL,$DF404,8)&amp;"","")&amp;"␟"&amp;IFERROR(INDEX(PASTE_ALL,$DF404,9)&amp;"","")&amp;"␟"&amp;IFERROR(INDEX(PASTE_ALL,$DF404,10)&amp;"","")&amp;"␟"&amp;IFERROR(INDEX(PASTE_ALL,$DF404,11)&amp;"","")&amp;"␟"&amp;IFERROR(INDEX(PASTE_ALL,$DF404,12)&amp;"","")&amp;"␟"&amp;IFERROR(INDEX(PASTE_ALL,$DF404,13)&amp;"","")&amp;"␟"&amp;IFERROR(INDEX(PASTE_ALL,$DF404,14)&amp;"","")&amp;"␟"&amp;IFERROR(INDEX(PASTE_ALL,$DF404,15)&amp;"","")&amp;"␟"&amp;IFERROR(INDEX(PASTE_ALL,$DF404,16)&amp;"","")&amp;"␟"&amp;IFERROR(INDEX(PASTE_ALL,$DF404,17)&amp;"","")&amp;"␟"&amp;IFERROR(INDEX(PASTE_ALL,$DF404,18)&amp;"","")&amp;"␟"&amp;IFERROR(INDEX(PASTE_ALL,$DF404,19)&amp;"","")&amp;"␟"&amp;IFERROR(INDEX(PASTE_ALL,$DF404,20)&amp;"","")&amp;"␟"&amp;IFERROR(INDEX(PASTE_ALL,$DF404,21)&amp;"","")&amp;"␟"&amp;IFERROR(INDEX(PASTE_ALL,$DF404,22)&amp;"","")&amp;"␟"&amp;IFERROR(INDEX(PASTE_ALL,$DF404,23)&amp;"","")&amp;"␟"&amp;IFERROR(INDEX(PASTE_ALL,$DF404,24)&amp;"","")&amp;"␟"&amp;IFERROR(INDEX(PASTE_ALL,$DF404,25)&amp;"","")&amp;"␟"&amp;IFERROR(INDEX(PASTE_ALL,$DF404,26)&amp;"","")&amp;"␟"&amp;IFERROR(INDEX(PASTE_ALL,$DF404,27)&amp;"","")&amp;"␟"&amp;IFERROR(INDEX(PASTE_ALL,$DF404,28)&amp;"","")&amp;"␟"&amp;IFERROR(INDEX(PASTE_ALL,$DF404,29)&amp;"","")&amp;"␟"&amp;IFERROR(INDEX(PASTE_ALL,$DF404,30)&amp;"","")&amp;"␟"&amp;IFERROR(INDEX(PASTE_ALL,$DF404,31)&amp;"","")&amp;"␟"&amp;IFERROR(INDEX(PASTE_ALL,$DF404,32)&amp;"","")&amp;"␟"&amp;IFERROR(INDEX(PASTE_ALL,$DF404,33)&amp;"","")&amp;"␟"&amp;IFERROR(INDEX(PASTE_ALL,$DF404,34)&amp;"","")&amp;"␟"&amp;IFERROR(INDEX(PASTE_ALL,$DF404,35)&amp;"","")&amp;"␟"&amp;IFERROR(INDEX(PASTE_ALL,$DF404,36)&amp;"","")&amp;"␟"&amp;IFERROR(INDEX(PASTE_ALL,$DF404,37)&amp;"","")&amp;"␟"&amp;IFERROR(INDEX(PASTE_ALL,$DF404,38)&amp;"","")&amp;"␟"&amp;IFERROR(INDEX(PASTE_ALL,$DF404,39)&amp;"","")&amp;"␟"&amp;IFERROR(INDEX(PASTE_ALL,$DF404,40)&amp;"","")&amp;"␟"&amp;IFERROR(INDEX(PASTE_ALL,$DF404,41)&amp;"","")&amp;"␟"&amp;IFERROR(INDEX(PASTE_ALL,$DF404,42)&amp;"","")&amp;"␟"&amp;IFERROR(INDEX(PASTE_ALL,$DF404,43)&amp;"","")&amp;"␟"&amp;IFERROR(INDEX(PASTE_ALL,$DF404,44)&amp;"","")&amp;"␟"&amp;IFERROR(INDEX(PASTE_ALL,$DF404,45)&amp;"","")&amp;"␟"&amp;IFERROR(INDEX(PASTE_ALL,$DF404,46)&amp;"","")&amp;"␟"&amp;IFERROR(INDEX(PASTE_ALL,$DF404,47)&amp;"","")&amp;"␟"&amp;IFERROR(INDEX(PASTE_ALL,$DF404,48)&amp;"","")&amp;"␟"&amp;IFERROR(INDEX(PASTE_ALL,$DF404,49)&amp;"","")&amp;"␟"&amp;IFERROR(INDEX(PASTE_ALL,$DF404,50)&amp;"","")&amp;"␟"&amp;IFERROR(INDEX(PASTE_ALL,$DF404,51)&amp;"","")&amp;"␟"&amp;IFERROR(INDEX(PASTE_ALL,$DF404,52)&amp;"","")&amp;"␟"&amp;IFERROR(INDEX(PASTE_ALL,$DF404,53)&amp;"","")&amp;"␟"&amp;IFERROR(INDEX(PASTE_ALL,$DF404,54)&amp;"","")&amp;"␟"&amp;IFERROR(INDEX(PASTE_ALL,$DF404,55)&amp;"","")&amp;"␟"&amp;IFERROR(INDEX(PASTE_ALL,$DF404,56)&amp;"","")&amp;"␟"&amp;IFERROR(INDEX(PASTE_ALL,$DF404,57)&amp;"","")&amp;"␟"&amp;IFERROR(INDEX(PASTE_ALL,$DF404,58)&amp;"","")&amp;"␟"&amp;IFERROR(INDEX(PASTE_ALL,$DF404,59)&amp;"","")&amp;"␟"&amp;IFERROR(INDEX(PASTE_ALL,$DF404,60)&amp;"","")," "," "),CHAR(9)," "),CHAR(10)," "),CHAR(13)," "))," ␟","␟"),"␟ ","␟"),"#"&amp;$DE404),"")</f>
        <v/>
      </c>
      <c r="DJ404">
        <f>IF($DI404="",0,IF(SUMPRODUCT(--EXACT($DI$4:DI403,$DI404))&gt;0,1,0))</f>
        <v/>
      </c>
      <c r="DK404">
        <f>IF(AND($DI404&lt;&gt;"",$DJ404=0),1,0)</f>
        <v/>
      </c>
      <c r="DL404">
        <f>DL403+$DK404</f>
        <v/>
      </c>
      <c r="DM404">
        <f>IF(AND($DK404=1,$DL404&lt;=600),1,0)</f>
        <v/>
      </c>
      <c r="DN404">
        <f>IF($DM404=0,"",IF($L$6=0,"",IFERROR(IF(ISNUMBER(INDEX(PASTE_ALL,$DF404,$L$6)),INDEX(PASTE_ALL,$DF404,$L$6),TRIM(SUBSTITUTE(SUBSTITUTE(SUBSTITUTE(SUBSTITUTE(INDEX(PASTE_ALL,$DF404,$L$6)," "," "),CHAR(9)," "),CHAR(10)," "),CHAR(13)," "))),"")))</f>
        <v/>
      </c>
      <c r="DO404">
        <f>IF($DM404=0,"",IF($L$7=0,"",IFERROR(IF(ISNUMBER(INDEX(PASTE_ALL,$DF404,$L$7)),INDEX(PASTE_ALL,$DF404,$L$7),TRIM(SUBSTITUTE(SUBSTITUTE(SUBSTITUTE(SUBSTITUTE(INDEX(PASTE_ALL,$DF404,$L$7)," "," "),CHAR(9)," "),CHAR(10)," "),CHAR(13)," "))),"")))</f>
        <v/>
      </c>
      <c r="DP404">
        <f>IF($DM404=0,"",IF($L$8=0,"",IFERROR(IF(ISNUMBER(INDEX(PASTE_ALL,$DF404,$L$8)),INDEX(PASTE_ALL,$DF404,$L$8),TRIM(SUBSTITUTE(SUBSTITUTE(SUBSTITUTE(SUBSTITUTE(INDEX(PASTE_ALL,$DF404,$L$8)," "," "),CHAR(9)," "),CHAR(10)," "),CHAR(13)," "))),"")))</f>
        <v/>
      </c>
      <c r="DQ404">
        <f>IF($DM404=0,"",IF($L$9=0,"",IFERROR(IF(ISNUMBER(INDEX(PASTE_ALL,$DF404,$L$9)),INDEX(PASTE_ALL,$DF404,$L$9),TRIM(SUBSTITUTE(SUBSTITUTE(SUBSTITUTE(SUBSTITUTE(INDEX(PASTE_ALL,$DF404,$L$9)," "," "),CHAR(9)," "),CHAR(10)," "),CHAR(13)," "))),"")))</f>
        <v/>
      </c>
      <c r="DR404">
        <f>IF($DM404=0,"",IF($L$10=0,"",IFERROR(IF(ISNUMBER(INDEX(PASTE_ALL,$DF404,$L$10)),INDEX(PASTE_ALL,$DF404,$L$10),TRIM(SUBSTITUTE(SUBSTITUTE(SUBSTITUTE(SUBSTITUTE(INDEX(PASTE_ALL,$DF404,$L$10)," "," "),CHAR(9)," "),CHAR(10)," "),CHAR(13)," "))),"")))</f>
        <v/>
      </c>
      <c r="DS404">
        <f>IF($DM404=0,"",IF($L$11=0,"",IFERROR(IF(ISNUMBER(INDEX(PASTE_ALL,$DF404,$L$11)),INDEX(PASTE_ALL,$DF404,$L$11),TRIM(SUBSTITUTE(SUBSTITUTE(SUBSTITUTE(SUBSTITUTE(INDEX(PASTE_ALL,$DF404,$L$11)," "," "),CHAR(9)," "),CHAR(10)," "),CHAR(13)," "))),"")))</f>
        <v/>
      </c>
      <c r="DT404">
        <f>IF($DM404=0,"",IF($L$12=0,"",IFERROR(IF(ISNUMBER(INDEX(PASTE_ALL,$DF404,$L$12)),INDEX(PASTE_ALL,$DF404,$L$12),TRIM(SUBSTITUTE(SUBSTITUTE(SUBSTITUTE(SUBSTITUTE(INDEX(PASTE_ALL,$DF404,$L$12)," "," "),CHAR(9)," "),CHAR(10)," "),CHAR(13)," "))),"")))</f>
        <v/>
      </c>
      <c r="DU404">
        <f>IF($DM404=0,"",IF($L$13=0,"",IFERROR(IF(ISNUMBER(INDEX(PASTE_ALL,$DF404,$L$13)),INDEX(PASTE_ALL,$DF404,$L$13),TRIM(SUBSTITUTE(SUBSTITUTE(SUBSTITUTE(SUBSTITUTE(INDEX(PASTE_ALL,$DF404,$L$13)," "," "),CHAR(9)," "),CHAR(10)," "),CHAR(13)," "))),"")))</f>
        <v/>
      </c>
      <c r="DV404">
        <f>IF($DM404=0,"",IF($L$14=0,"",IFERROR(IF(ISNUMBER(INDEX(PASTE_ALL,$DF404,$L$14)),INDEX(PASTE_ALL,$DF404,$L$14),TRIM(SUBSTITUTE(SUBSTITUTE(SUBSTITUTE(SUBSTITUTE(INDEX(PASTE_ALL,$DF404,$L$14)," "," "),CHAR(9)," "),CHAR(10)," "),CHAR(13)," "))),"")))</f>
        <v/>
      </c>
      <c r="DW404">
        <f>IF($DM404=0,"",IF($L$15=0,"",IFERROR(IF(ISNUMBER(INDEX(PASTE_ALL,$DF404,$L$15)),INDEX(PASTE_ALL,$DF404,$L$15),IF(SUMPRODUCT(--ISNUMBER(FIND({"A","B","C","D","E","F","G","H","I","J","K","L","M","N","O","P","Q","R","S","T","U","V","W","X","Y","Z","0","1","2","3","4","5","6","7","8","9"},UPPER(TRIM(SUBSTITUTE(SUBSTITUTE(SUBSTITUTE(SUBSTITUTE(INDEX(PASTE_ALL,$DF404,$L$15)," "," "),CHAR(9)," "),CHAR(10)," "),CHAR(13)," "))))))&gt;0,TRIM(SUBSTITUTE(SUBSTITUTE(SUBSTITUTE(SUBSTITUTE(INDEX(PASTE_ALL,$DF404,$L$15)," "," "),CHAR(9)," "),CHAR(10)," "),CHAR(13)," ")),"")),"")))</f>
        <v/>
      </c>
      <c r="DX404">
        <f>IF($DM404=0,"",IF($L$16=0,"",IFERROR(IF(ISNUMBER(INDEX(PASTE_ALL,$DF404,$L$16)),INDEX(PASTE_ALL,$DF404,$L$16),SUBSTITUTE(SUBSTITUTE(TRIM(SUBSTITUTE(SUBSTITUTE(SUBSTITUTE(SUBSTITUTE(INDEX(PASTE_ALL,$DF404,$L$16)," "," "),CHAR(9)," "),CHAR(10)," "),CHAR(13)," ")),",",""),"%","")),"")))</f>
        <v/>
      </c>
      <c r="DY404">
        <f>IF($DM404=0,"",IFERROR(IF(ISNUMBER($DX404),$DX404,IF($DX404="","",IF(TRIM($DX404)="",0,IF(AND(AND(SUBSTITUTE(SUBSTITUTE(SUBSTITUTE(SUBSTITUTE(SUBSTITUTE(SUBSTITUTE(SUBSTITUTE(SUBSTITUTE(SUBSTITUTE(SUBSTITUTE(SUBSTITUTE(SUBSTITUTE(SUBSTITUTE(SUBSTITUTE(UPPER(TRIM($DX404)),"0",""),"1",""),"2",""),"3",""),"4",""),"5",""),"6",""),"7",""),"8",""),"9",""),".",""),"+",""),"-",""),"E","")="",LEN(SUBSTITUTE(SUBSTITUTE(MID(UPPER(TRIM($DX404)),1+OR(LEFT(UPPER(TRIM($DX404)),1)="+",LEFT(UPPER(TRIM($DX404)),1)="-"),999),"E+","E"),"E-","E"))=LEN(SUBSTITUTE(SUBSTITUTE(SUBSTITUTE(SUBSTITUTE(MID(UPPER(TRIM($DX404)),1+OR(LEFT(UPPER(TRIM($DX404)),1)="+",LEFT(UPPER(TRIM($DX404)),1)="-"),999),"E+","E"),"E-","E"),"+",""),"-","")),LEN(UPPER(TRIM($DX404)))-LEN(SUBSTITUTE(UPPER(TRIM($DX404)),"E",""))&lt;2,LEN(UPPER(TRIM($DX404)))-LEN(SUBSTITUTE(UPPER(TRIM($DX404)),".",""))&lt;2,IFERROR(FIND(".",UPPER(TRIM($DX404))),0)&lt;IFERROR(FIND("E",UPPER(TRIM($DX404))),999)),ISNUMBER(VALUE(TRIM($DX404)))),VALUE(TRIM($DX404)),"")))),""))</f>
        <v/>
      </c>
      <c r="DZ404">
        <f>IF($DM404=0,"",IF($L$17=0,"",IFERROR(IF(ISNUMBER(INDEX(PASTE_ALL,$DF404,$L$17)),INDEX(PASTE_ALL,$DF404,$L$17),SUBSTITUTE(SUBSTITUTE(TRIM(SUBSTITUTE(SUBSTITUTE(SUBSTITUTE(SUBSTITUTE(INDEX(PASTE_ALL,$DF404,$L$17)," "," "),CHAR(9)," "),CHAR(10)," "),CHAR(13)," ")),",",""),"%","")),"")))</f>
        <v/>
      </c>
      <c r="EA404">
        <f>IF($DM404=0,"",IFERROR(IF(ISNUMBER($DZ404),$DZ404,IF($DZ404="","",IF(TRIM($DZ404)="",0,IF(AND(AND(SUBSTITUTE(SUBSTITUTE(SUBSTITUTE(SUBSTITUTE(SUBSTITUTE(SUBSTITUTE(SUBSTITUTE(SUBSTITUTE(SUBSTITUTE(SUBSTITUTE(SUBSTITUTE(SUBSTITUTE(SUBSTITUTE(SUBSTITUTE(UPPER(TRIM($DZ404)),"0",""),"1",""),"2",""),"3",""),"4",""),"5",""),"6",""),"7",""),"8",""),"9",""),".",""),"+",""),"-",""),"E","")="",LEN(SUBSTITUTE(SUBSTITUTE(MID(UPPER(TRIM($DZ404)),1+OR(LEFT(UPPER(TRIM($DZ404)),1)="+",LEFT(UPPER(TRIM($DZ404)),1)="-"),999),"E+","E"),"E-","E"))=LEN(SUBSTITUTE(SUBSTITUTE(SUBSTITUTE(SUBSTITUTE(MID(UPPER(TRIM($DZ404)),1+OR(LEFT(UPPER(TRIM($DZ404)),1)="+",LEFT(UPPER(TRIM($DZ404)),1)="-"),999),"E+","E"),"E-","E"),"+",""),"-","")),LEN(UPPER(TRIM($DZ404)))-LEN(SUBSTITUTE(UPPER(TRIM($DZ404)),"E",""))&lt;2,LEN(UPPER(TRIM($DZ404)))-LEN(SUBSTITUTE(UPPER(TRIM($DZ404)),".",""))&lt;2,IFERROR(FIND(".",UPPER(TRIM($DZ404))),0)&lt;IFERROR(FIND("E",UPPER(TRIM($DZ404))),999)),ISNUMBER(VALUE(TRIM($DZ404)))),VALUE(TRIM($DZ404)),"")))),""))</f>
        <v/>
      </c>
      <c r="EB404">
        <f>IF($DM404=0,"",IF($L$18=0,"",IFERROR(IF(UPPER(TRIM(SUBSTITUTE(SUBSTITUTE(SUBSTITUTE(SUBSTITUTE(INDEX(PASTE_ALL,$DF404,$L$18)," "," "),CHAR(9)," "),CHAR(10)," "),CHAR(13)," ")))="READY","Ready",IF(UPPER(TRIM(SUBSTITUTE(SUBSTITUTE(SUBSTITUTE(SUBSTITUTE(INDEX(PASTE_ALL,$DF404,$L$18)," "," "),CHAR(9)," "),CHAR(10)," "),CHAR(13)," ")))="PM","PM",IF(OR(UPPER(TRIM(SUBSTITUTE(SUBSTITUTE(SUBSTITUTE(SUBSTITUTE(INDEX(PASTE_ALL,$DF404,$L$18)," "," "),CHAR(9)," "),CHAR(10)," "),CHAR(13)," ")))="OT",UPPER(TRIM(SUBSTITUTE(SUBSTITUTE(SUBSTITUTE(SUBSTITUTE(INDEX(PASTE_ALL,$DF404,$L$18)," "," "),CHAR(9)," "),CHAR(10)," "),CHAR(13)," ")))="OVERTIME",UPPER(TRIM(SUBSTITUTE(SUBSTITUTE(SUBSTITUTE(SUBSTITUTE(INDEX(PASTE_ALL,$DF404,$L$18)," "," "),CHAR(9)," "),CHAR(10)," "),CHAR(13)," ")))="TRIAL"),"OT",TRIM(SUBSTITUTE(SUBSTITUTE(SUBSTITUTE(SUBSTITUTE(INDEX(PASTE_ALL,$DF404,$L$18)," "," "),CHAR(9)," "),CHAR(10)," "),CHAR(13)," "))))),"")))</f>
        <v/>
      </c>
      <c r="EC404">
        <f>IF($DM404=0,"",IF($L$19=0,"",IFERROR(IF(ISNUMBER(INDEX(PASTE_ALL,$DF404,$L$19)),INDEX(PASTE_ALL,$DF404,$L$19),TRIM(SUBSTITUTE(SUBSTITUTE(SUBSTITUTE(SUBSTITUTE(INDEX(PASTE_ALL,$DF404,$L$19)," "," "),CHAR(9)," "),CHAR(10)," "),CHAR(13)," "))),"")))</f>
        <v/>
      </c>
      <c r="ED404">
        <f>IF($DM404=0,"",MATCH(1,INDEX(EXACT($DH$5:DH404,$DH404)*$DM$5:DM404,0),0))</f>
        <v/>
      </c>
      <c r="EE404">
        <f>IF($DM404=0,0,IF($ED404=$DE404,1,0))</f>
        <v/>
      </c>
      <c r="EF404">
        <f>EF403+$EE404</f>
        <v/>
      </c>
      <c r="EG404">
        <f>IF($DM404=0,"",INDEX($EF$5:$EF$1003,$ED404))</f>
        <v/>
      </c>
      <c r="EH404">
        <f>IF($DM404=0,"",IF($DO404&lt;&gt;"","",IFERROR(LOOKUP(2,1/(($EG$4:EG403=$EG404)*($DO$4:DO403&lt;&gt;"")),$DO$4:DO403),"")))</f>
        <v/>
      </c>
      <c r="EI404">
        <f>IF($DM404=0,"",IF($DO404&lt;&gt;"",$DO404,$EH404))</f>
        <v/>
      </c>
      <c r="EJ404">
        <f>IF($DM404=0,"",IF($EI404="",0,IF(OR(ISNUMBER($EI404),AND(AND(SUBSTITUTE(SUBSTITUTE(SUBSTITUTE(SUBSTITUTE(SUBSTITUTE(SUBSTITUTE(SUBSTITUTE(SUBSTITUTE(SUBSTITUTE(SUBSTITUTE(SUBSTITUTE(SUBSTITUTE(SUBSTITUTE(SUBSTITUTE(UPPER($EI404),"0",""),"1",""),"2",""),"3",""),"4",""),"5",""),"6",""),"7",""),"8",""),"9",""),".",""),"+",""),"-",""),"E","")="",LEN(SUBSTITUTE(SUBSTITUTE(MID(UPPER($EI404),1+OR(LEFT(UPPER($EI404),1)="+",LEFT(UPPER($EI404),1)="-"),999),"E+","E"),"E-","E"))=LEN(SUBSTITUTE(SUBSTITUTE(SUBSTITUTE(SUBSTITUTE(MID(UPPER($EI404),1+OR(LEFT(UPPER($EI404),1)="+",LEFT(UPPER($EI404),1)="-"),999),"E+","E"),"E-","E"),"+",""),"-","")),LEN(UPPER($EI404))-LEN(SUBSTITUTE(UPPER($EI404),"E",""))&lt;2,LEN(UPPER($EI404))-LEN(SUBSTITUTE(UPPER($EI404),".",""))&lt;2,IFERROR(FIND(".",UPPER($EI404)),0)&lt;IFERROR(FIND("E",UPPER($EI404)),999)),ISNUMBER(VALUE($EI404)))),1,2)))</f>
        <v/>
      </c>
      <c r="EK404">
        <f>IF($DM404=0,"",IF($EJ404=1,IF(ISNUMBER($EI404),$EI404,VALUE($EI404)),IF($EJ404=2,$DE404,0)))</f>
        <v/>
      </c>
      <c r="EL404">
        <f>IF($DM404=0,"",COUNTIF($EG$5:$EG$1003,"&lt;"&amp;$EG404)+SUMPRODUCT(($EG$5:$EG$1003=$EG404)*(($EJ$5:$EJ$1003&lt;$EJ404)+($EJ$5:$EJ$1003=$EJ404)*(($EK$5:$EK$1003&lt;$EK404)+($EK$5:$EK$1003=$EK404)*($DE$5:$DE$1003&lt;$DE404))))+1)</f>
        <v/>
      </c>
      <c r="EM404">
        <f>IF($DM404=0,"",$EL404+$EG404-1)</f>
        <v/>
      </c>
      <c r="EN404">
        <f>IF($DM404=0,0,IFERROR(MATCH(1,INDEX(--(TRIM(SUBSTITUTE(SUBSTITUTE(SUBSTITUTE(SUBSTITUTE(LINES_NAME&amp;""," "," "),CHAR(9)," "),CHAR(10)," "),CHAR(13)," "))=$DH404),0),0),0))</f>
        <v/>
      </c>
      <c r="EO404">
        <f>IF($EN404=0,0,IF(OR(UPPER(TRIM(INDEX(LINES_SCHEDULED,$EN404)&amp;""))="YES",UPPER(TRIM(INDEX(LINES_SCHEDULED,$EN404)&amp;""))="Y",UPPER(TRIM(INDEX(LINES_SCHEDULED,$EN404)&amp;""))="X"),1,0))</f>
        <v/>
      </c>
      <c r="EP404">
        <f>IF($DM404=0,"",IF(COUNTIFS($EG$5:$EG$1003,$EG404,$EB$5:$EB$1003,"Ready")&gt;0,"READY",IF(COUNTIFS($EG$5:$EG$1003,$EG404,$EB$5:$EB$1003,"PM")&gt;0,"PM",IF(COUNTIFS($EG$5:$EG$1003,$EG404,$EB$5:$EB$1003,"OT")&gt;0,"OT",""))))</f>
        <v/>
      </c>
      <c r="EQ404">
        <f>IF($EN404=0,"",UPPER(TRIM(INDEX(LINES_STATUS,$EN404)&amp;"")))</f>
        <v/>
      </c>
      <c r="ER404">
        <f>IF($DM404=0,"",IF(OR($EQ404="READY",$EQ404="PM",$EQ404="OT"),$EQ404,$EP404))</f>
        <v/>
      </c>
      <c r="ES404">
        <f>IF($DM404=0,"",IF(AND($DV404&lt;&gt;"",UPPER($DV404)&lt;&gt;"N"),"allergen",IF(ISNUMBER(SEARCH("oil",$DQ404)),"oil",IF(OR(EXACT($DS404,"A662"),EXACT($DS404,"A624")),"bulk",""))))</f>
        <v/>
      </c>
      <c r="ET404">
        <f>IF($DM404=0,"",IF(OR($EA404="",$EA404=0),"",$EA404/100))</f>
        <v/>
      </c>
      <c r="EU404">
        <f>IF(OR($ET404="",$DY404=""),"",INT($DY404*(1-$ET404)+0.5))</f>
        <v/>
      </c>
      <c r="EW404" t="n">
        <v>400</v>
      </c>
      <c r="EX404">
        <f>IFERROR(MATCH($EW404,$EM$5:$EM$1003,0),0)</f>
        <v/>
      </c>
      <c r="EY404">
        <f>IF($EW404&gt;$B$12,"",IF($EX404&gt;0,"row","spacer"))</f>
        <v/>
      </c>
      <c r="EZ404">
        <f>IF(AND($EY404="row",$EY403&lt;&gt;"row"),1,0)</f>
        <v/>
      </c>
      <c r="FA404">
        <f>IF(AND($EY404="row",$EY405&lt;&gt;"row"),1,0)</f>
        <v/>
      </c>
      <c r="FB404">
        <f>IF($EZ404=1,IFERROR(IF(ISNUMBER(INDEX(PASTE_ALL,INDEX($DF$5:$DF$1003,$EX404),$B$37)),INDEX(PASTE_ALL,INDEX($DF$5:$DF$1003,$EX404),$B$37),INDEX($DH$5:$DH$1003,$EX404)),INDEX($DH$5:$DH$1003,$EX404)),"")</f>
        <v/>
      </c>
      <c r="FC404">
        <f>IF($EY404="row",INDEX($ER$5:$ER$1003,$EX404),"")</f>
        <v/>
      </c>
      <c r="FD404">
        <f>IF($EY404="row",INDEX($DN$5:$DN$1003,$EX404),"")</f>
        <v/>
      </c>
      <c r="FE404">
        <f>IF($EY404="row",INDEX($DO$5:$DO$1003,$EX404),"")</f>
        <v/>
      </c>
      <c r="FF404">
        <f>IF($EY404="row",INDEX($DP$5:$DP$1003,$EX404),"")</f>
        <v/>
      </c>
      <c r="FG404">
        <f>IF($EY404="row",INDEX($DQ$5:$DQ$1003,$EX404),"")</f>
        <v/>
      </c>
      <c r="FH404">
        <f>IF($EY404="row",INDEX($DR$5:$DR$1003,$EX404),"")</f>
        <v/>
      </c>
      <c r="FI404">
        <f>IF($EY404="row",INDEX($DS$5:$DS$1003,$EX404),"")</f>
        <v/>
      </c>
      <c r="FJ404">
        <f>IF($EY404="row",INDEX($DT$5:$DT$1003,$EX404),"")</f>
        <v/>
      </c>
      <c r="FK404">
        <f>IF($EY404="row",INDEX($DU$5:$DU$1003,$EX404),"")</f>
        <v/>
      </c>
      <c r="FL404">
        <f>IF($EY404="row",INDEX($DV$5:$DV$1003,$EX404),"")</f>
        <v/>
      </c>
      <c r="FM404">
        <f>IF($EY404="row",INDEX($DW$5:$DW$1003,$EX404),"")</f>
        <v/>
      </c>
      <c r="FN404">
        <f>IF($EY404="row",INDEX($DY$5:$DY$1003,$EX404),"")</f>
        <v/>
      </c>
      <c r="FO404">
        <f>IF($EY404="row",INDEX($EA$5:$EA$1003,$EX404),"")</f>
        <v/>
      </c>
      <c r="FP404">
        <f>IF($EY404="row",INDEX($EC$5:$EC$1003,$EX404),"")</f>
        <v/>
      </c>
      <c r="FQ404">
        <f>IF($EY404="row",INDEX($ET$5:$ET$1003,$EX404),"")</f>
        <v/>
      </c>
      <c r="FR404">
        <f>IF($EY404="row",INDEX($EU$5:$EU$1003,$EX404),"")</f>
        <v/>
      </c>
      <c r="FS404">
        <f>IF(AND($EY404="row",$EY403="row"),IF(OR(INDEX($DT$5:$DT$1003,$EX403)="",INDEX($DT$5:$DT$1003,$EX404)=""),"",IF(NOT(EXACT(INDEX($DT$5:$DT$1003,$EX403),INDEX($DT$5:$DT$1003,$EX404))),"S4",IF(NOT(EXACT(INDEX($DS$5:$DS$1003,$EX403),INDEX($DS$5:$DS$1003,$EX404))),"S3",IF(NOT(EXACT(INDEX($DR$5:$DR$1003,$EX403),INDEX($DR$5:$DR$1003,$EX404))),"S1 Count Change","S1")))),"")</f>
        <v/>
      </c>
      <c r="FT404">
        <f>IF($EY404="row",INDEX($ES$5:$ES$1003,$EX404),"")</f>
        <v/>
      </c>
      <c r="FU404">
        <f>IF($EY404="row",INDEX($EO$5:$EO$1003,$EX404),0)</f>
        <v/>
      </c>
      <c r="FV404">
        <f>IF($FS404="S1 Count Change",1,0)</f>
        <v/>
      </c>
    </row>
    <row r="405">
      <c r="DA405" t="n">
        <v>401</v>
      </c>
      <c r="DB405">
        <f>IF($B$37=0,"",IFERROR(TRIM(SUBSTITUTE(SUBSTITUTE(SUBSTITUTE(SUBSTITUTE(INDEX(PASTE_ALL,401,$B$37)," "," "),CHAR(9)," "),CHAR(10)," "),CHAR(13)," ")),""))</f>
        <v/>
      </c>
      <c r="DC405">
        <f>IF(AND(401&gt;HEADER_ROW,UPPER(DB405)="LEGEND"),1,0)</f>
        <v/>
      </c>
      <c r="DE405" t="n">
        <v>401</v>
      </c>
      <c r="DF405">
        <f>HEADER_ROW+$DE405</f>
        <v/>
      </c>
      <c r="DG405">
        <f>IF(AND($DF405&lt;=1000,$DF405&lt;$B$8),1,0)</f>
        <v/>
      </c>
      <c r="DH405">
        <f>IF($DG405=1,IFERROR(INDEX($DB$5:$DB$1004,$DF405),""),"")</f>
        <v/>
      </c>
      <c r="DI405">
        <f>IF(AND($DG405=1,$DH405&lt;&gt;""),IFERROR(SUBSTITUTE(SUBSTITUTE(TRIM(SUBSTITUTE(SUBSTITUTE(SUBSTITUTE(SUBSTITUTE(IFERROR(INDEX(PASTE_ALL,$DF405,1)&amp;"","")&amp;"␟"&amp;IFERROR(INDEX(PASTE_ALL,$DF405,2)&amp;"","")&amp;"␟"&amp;IFERROR(INDEX(PASTE_ALL,$DF405,3)&amp;"","")&amp;"␟"&amp;IFERROR(INDEX(PASTE_ALL,$DF405,4)&amp;"","")&amp;"␟"&amp;IFERROR(INDEX(PASTE_ALL,$DF405,5)&amp;"","")&amp;"␟"&amp;IFERROR(INDEX(PASTE_ALL,$DF405,6)&amp;"","")&amp;"␟"&amp;IFERROR(INDEX(PASTE_ALL,$DF405,7)&amp;"","")&amp;"␟"&amp;IFERROR(INDEX(PASTE_ALL,$DF405,8)&amp;"","")&amp;"␟"&amp;IFERROR(INDEX(PASTE_ALL,$DF405,9)&amp;"","")&amp;"␟"&amp;IFERROR(INDEX(PASTE_ALL,$DF405,10)&amp;"","")&amp;"␟"&amp;IFERROR(INDEX(PASTE_ALL,$DF405,11)&amp;"","")&amp;"␟"&amp;IFERROR(INDEX(PASTE_ALL,$DF405,12)&amp;"","")&amp;"␟"&amp;IFERROR(INDEX(PASTE_ALL,$DF405,13)&amp;"","")&amp;"␟"&amp;IFERROR(INDEX(PASTE_ALL,$DF405,14)&amp;"","")&amp;"␟"&amp;IFERROR(INDEX(PASTE_ALL,$DF405,15)&amp;"","")&amp;"␟"&amp;IFERROR(INDEX(PASTE_ALL,$DF405,16)&amp;"","")&amp;"␟"&amp;IFERROR(INDEX(PASTE_ALL,$DF405,17)&amp;"","")&amp;"␟"&amp;IFERROR(INDEX(PASTE_ALL,$DF405,18)&amp;"","")&amp;"␟"&amp;IFERROR(INDEX(PASTE_ALL,$DF405,19)&amp;"","")&amp;"␟"&amp;IFERROR(INDEX(PASTE_ALL,$DF405,20)&amp;"","")&amp;"␟"&amp;IFERROR(INDEX(PASTE_ALL,$DF405,21)&amp;"","")&amp;"␟"&amp;IFERROR(INDEX(PASTE_ALL,$DF405,22)&amp;"","")&amp;"␟"&amp;IFERROR(INDEX(PASTE_ALL,$DF405,23)&amp;"","")&amp;"␟"&amp;IFERROR(INDEX(PASTE_ALL,$DF405,24)&amp;"","")&amp;"␟"&amp;IFERROR(INDEX(PASTE_ALL,$DF405,25)&amp;"","")&amp;"␟"&amp;IFERROR(INDEX(PASTE_ALL,$DF405,26)&amp;"","")&amp;"␟"&amp;IFERROR(INDEX(PASTE_ALL,$DF405,27)&amp;"","")&amp;"␟"&amp;IFERROR(INDEX(PASTE_ALL,$DF405,28)&amp;"","")&amp;"␟"&amp;IFERROR(INDEX(PASTE_ALL,$DF405,29)&amp;"","")&amp;"␟"&amp;IFERROR(INDEX(PASTE_ALL,$DF405,30)&amp;"","")&amp;"␟"&amp;IFERROR(INDEX(PASTE_ALL,$DF405,31)&amp;"","")&amp;"␟"&amp;IFERROR(INDEX(PASTE_ALL,$DF405,32)&amp;"","")&amp;"␟"&amp;IFERROR(INDEX(PASTE_ALL,$DF405,33)&amp;"","")&amp;"␟"&amp;IFERROR(INDEX(PASTE_ALL,$DF405,34)&amp;"","")&amp;"␟"&amp;IFERROR(INDEX(PASTE_ALL,$DF405,35)&amp;"","")&amp;"␟"&amp;IFERROR(INDEX(PASTE_ALL,$DF405,36)&amp;"","")&amp;"␟"&amp;IFERROR(INDEX(PASTE_ALL,$DF405,37)&amp;"","")&amp;"␟"&amp;IFERROR(INDEX(PASTE_ALL,$DF405,38)&amp;"","")&amp;"␟"&amp;IFERROR(INDEX(PASTE_ALL,$DF405,39)&amp;"","")&amp;"␟"&amp;IFERROR(INDEX(PASTE_ALL,$DF405,40)&amp;"","")&amp;"␟"&amp;IFERROR(INDEX(PASTE_ALL,$DF405,41)&amp;"","")&amp;"␟"&amp;IFERROR(INDEX(PASTE_ALL,$DF405,42)&amp;"","")&amp;"␟"&amp;IFERROR(INDEX(PASTE_ALL,$DF405,43)&amp;"","")&amp;"␟"&amp;IFERROR(INDEX(PASTE_ALL,$DF405,44)&amp;"","")&amp;"␟"&amp;IFERROR(INDEX(PASTE_ALL,$DF405,45)&amp;"","")&amp;"␟"&amp;IFERROR(INDEX(PASTE_ALL,$DF405,46)&amp;"","")&amp;"␟"&amp;IFERROR(INDEX(PASTE_ALL,$DF405,47)&amp;"","")&amp;"␟"&amp;IFERROR(INDEX(PASTE_ALL,$DF405,48)&amp;"","")&amp;"␟"&amp;IFERROR(INDEX(PASTE_ALL,$DF405,49)&amp;"","")&amp;"␟"&amp;IFERROR(INDEX(PASTE_ALL,$DF405,50)&amp;"","")&amp;"␟"&amp;IFERROR(INDEX(PASTE_ALL,$DF405,51)&amp;"","")&amp;"␟"&amp;IFERROR(INDEX(PASTE_ALL,$DF405,52)&amp;"","")&amp;"␟"&amp;IFERROR(INDEX(PASTE_ALL,$DF405,53)&amp;"","")&amp;"␟"&amp;IFERROR(INDEX(PASTE_ALL,$DF405,54)&amp;"","")&amp;"␟"&amp;IFERROR(INDEX(PASTE_ALL,$DF405,55)&amp;"","")&amp;"␟"&amp;IFERROR(INDEX(PASTE_ALL,$DF405,56)&amp;"","")&amp;"␟"&amp;IFERROR(INDEX(PASTE_ALL,$DF405,57)&amp;"","")&amp;"␟"&amp;IFERROR(INDEX(PASTE_ALL,$DF405,58)&amp;"","")&amp;"␟"&amp;IFERROR(INDEX(PASTE_ALL,$DF405,59)&amp;"","")&amp;"␟"&amp;IFERROR(INDEX(PASTE_ALL,$DF405,60)&amp;"","")," "," "),CHAR(9)," "),CHAR(10)," "),CHAR(13)," "))," ␟","␟"),"␟ ","␟"),"#"&amp;$DE405),"")</f>
        <v/>
      </c>
      <c r="DJ405">
        <f>IF($DI405="",0,IF(SUMPRODUCT(--EXACT($DI$4:DI404,$DI405))&gt;0,1,0))</f>
        <v/>
      </c>
      <c r="DK405">
        <f>IF(AND($DI405&lt;&gt;"",$DJ405=0),1,0)</f>
        <v/>
      </c>
      <c r="DL405">
        <f>DL404+$DK405</f>
        <v/>
      </c>
      <c r="DM405">
        <f>IF(AND($DK405=1,$DL405&lt;=600),1,0)</f>
        <v/>
      </c>
      <c r="DN405">
        <f>IF($DM405=0,"",IF($L$6=0,"",IFERROR(IF(ISNUMBER(INDEX(PASTE_ALL,$DF405,$L$6)),INDEX(PASTE_ALL,$DF405,$L$6),TRIM(SUBSTITUTE(SUBSTITUTE(SUBSTITUTE(SUBSTITUTE(INDEX(PASTE_ALL,$DF405,$L$6)," "," "),CHAR(9)," "),CHAR(10)," "),CHAR(13)," "))),"")))</f>
        <v/>
      </c>
      <c r="DO405">
        <f>IF($DM405=0,"",IF($L$7=0,"",IFERROR(IF(ISNUMBER(INDEX(PASTE_ALL,$DF405,$L$7)),INDEX(PASTE_ALL,$DF405,$L$7),TRIM(SUBSTITUTE(SUBSTITUTE(SUBSTITUTE(SUBSTITUTE(INDEX(PASTE_ALL,$DF405,$L$7)," "," "),CHAR(9)," "),CHAR(10)," "),CHAR(13)," "))),"")))</f>
        <v/>
      </c>
      <c r="DP405">
        <f>IF($DM405=0,"",IF($L$8=0,"",IFERROR(IF(ISNUMBER(INDEX(PASTE_ALL,$DF405,$L$8)),INDEX(PASTE_ALL,$DF405,$L$8),TRIM(SUBSTITUTE(SUBSTITUTE(SUBSTITUTE(SUBSTITUTE(INDEX(PASTE_ALL,$DF405,$L$8)," "," "),CHAR(9)," "),CHAR(10)," "),CHAR(13)," "))),"")))</f>
        <v/>
      </c>
      <c r="DQ405">
        <f>IF($DM405=0,"",IF($L$9=0,"",IFERROR(IF(ISNUMBER(INDEX(PASTE_ALL,$DF405,$L$9)),INDEX(PASTE_ALL,$DF405,$L$9),TRIM(SUBSTITUTE(SUBSTITUTE(SUBSTITUTE(SUBSTITUTE(INDEX(PASTE_ALL,$DF405,$L$9)," "," "),CHAR(9)," "),CHAR(10)," "),CHAR(13)," "))),"")))</f>
        <v/>
      </c>
      <c r="DR405">
        <f>IF($DM405=0,"",IF($L$10=0,"",IFERROR(IF(ISNUMBER(INDEX(PASTE_ALL,$DF405,$L$10)),INDEX(PASTE_ALL,$DF405,$L$10),TRIM(SUBSTITUTE(SUBSTITUTE(SUBSTITUTE(SUBSTITUTE(INDEX(PASTE_ALL,$DF405,$L$10)," "," "),CHAR(9)," "),CHAR(10)," "),CHAR(13)," "))),"")))</f>
        <v/>
      </c>
      <c r="DS405">
        <f>IF($DM405=0,"",IF($L$11=0,"",IFERROR(IF(ISNUMBER(INDEX(PASTE_ALL,$DF405,$L$11)),INDEX(PASTE_ALL,$DF405,$L$11),TRIM(SUBSTITUTE(SUBSTITUTE(SUBSTITUTE(SUBSTITUTE(INDEX(PASTE_ALL,$DF405,$L$11)," "," "),CHAR(9)," "),CHAR(10)," "),CHAR(13)," "))),"")))</f>
        <v/>
      </c>
      <c r="DT405">
        <f>IF($DM405=0,"",IF($L$12=0,"",IFERROR(IF(ISNUMBER(INDEX(PASTE_ALL,$DF405,$L$12)),INDEX(PASTE_ALL,$DF405,$L$12),TRIM(SUBSTITUTE(SUBSTITUTE(SUBSTITUTE(SUBSTITUTE(INDEX(PASTE_ALL,$DF405,$L$12)," "," "),CHAR(9)," "),CHAR(10)," "),CHAR(13)," "))),"")))</f>
        <v/>
      </c>
      <c r="DU405">
        <f>IF($DM405=0,"",IF($L$13=0,"",IFERROR(IF(ISNUMBER(INDEX(PASTE_ALL,$DF405,$L$13)),INDEX(PASTE_ALL,$DF405,$L$13),TRIM(SUBSTITUTE(SUBSTITUTE(SUBSTITUTE(SUBSTITUTE(INDEX(PASTE_ALL,$DF405,$L$13)," "," "),CHAR(9)," "),CHAR(10)," "),CHAR(13)," "))),"")))</f>
        <v/>
      </c>
      <c r="DV405">
        <f>IF($DM405=0,"",IF($L$14=0,"",IFERROR(IF(ISNUMBER(INDEX(PASTE_ALL,$DF405,$L$14)),INDEX(PASTE_ALL,$DF405,$L$14),TRIM(SUBSTITUTE(SUBSTITUTE(SUBSTITUTE(SUBSTITUTE(INDEX(PASTE_ALL,$DF405,$L$14)," "," "),CHAR(9)," "),CHAR(10)," "),CHAR(13)," "))),"")))</f>
        <v/>
      </c>
      <c r="DW405">
        <f>IF($DM405=0,"",IF($L$15=0,"",IFERROR(IF(ISNUMBER(INDEX(PASTE_ALL,$DF405,$L$15)),INDEX(PASTE_ALL,$DF405,$L$15),IF(SUMPRODUCT(--ISNUMBER(FIND({"A","B","C","D","E","F","G","H","I","J","K","L","M","N","O","P","Q","R","S","T","U","V","W","X","Y","Z","0","1","2","3","4","5","6","7","8","9"},UPPER(TRIM(SUBSTITUTE(SUBSTITUTE(SUBSTITUTE(SUBSTITUTE(INDEX(PASTE_ALL,$DF405,$L$15)," "," "),CHAR(9)," "),CHAR(10)," "),CHAR(13)," "))))))&gt;0,TRIM(SUBSTITUTE(SUBSTITUTE(SUBSTITUTE(SUBSTITUTE(INDEX(PASTE_ALL,$DF405,$L$15)," "," "),CHAR(9)," "),CHAR(10)," "),CHAR(13)," ")),"")),"")))</f>
        <v/>
      </c>
      <c r="DX405">
        <f>IF($DM405=0,"",IF($L$16=0,"",IFERROR(IF(ISNUMBER(INDEX(PASTE_ALL,$DF405,$L$16)),INDEX(PASTE_ALL,$DF405,$L$16),SUBSTITUTE(SUBSTITUTE(TRIM(SUBSTITUTE(SUBSTITUTE(SUBSTITUTE(SUBSTITUTE(INDEX(PASTE_ALL,$DF405,$L$16)," "," "),CHAR(9)," "),CHAR(10)," "),CHAR(13)," ")),",",""),"%","")),"")))</f>
        <v/>
      </c>
      <c r="DY405">
        <f>IF($DM405=0,"",IFERROR(IF(ISNUMBER($DX405),$DX405,IF($DX405="","",IF(TRIM($DX405)="",0,IF(AND(AND(SUBSTITUTE(SUBSTITUTE(SUBSTITUTE(SUBSTITUTE(SUBSTITUTE(SUBSTITUTE(SUBSTITUTE(SUBSTITUTE(SUBSTITUTE(SUBSTITUTE(SUBSTITUTE(SUBSTITUTE(SUBSTITUTE(SUBSTITUTE(UPPER(TRIM($DX405)),"0",""),"1",""),"2",""),"3",""),"4",""),"5",""),"6",""),"7",""),"8",""),"9",""),".",""),"+",""),"-",""),"E","")="",LEN(SUBSTITUTE(SUBSTITUTE(MID(UPPER(TRIM($DX405)),1+OR(LEFT(UPPER(TRIM($DX405)),1)="+",LEFT(UPPER(TRIM($DX405)),1)="-"),999),"E+","E"),"E-","E"))=LEN(SUBSTITUTE(SUBSTITUTE(SUBSTITUTE(SUBSTITUTE(MID(UPPER(TRIM($DX405)),1+OR(LEFT(UPPER(TRIM($DX405)),1)="+",LEFT(UPPER(TRIM($DX405)),1)="-"),999),"E+","E"),"E-","E"),"+",""),"-","")),LEN(UPPER(TRIM($DX405)))-LEN(SUBSTITUTE(UPPER(TRIM($DX405)),"E",""))&lt;2,LEN(UPPER(TRIM($DX405)))-LEN(SUBSTITUTE(UPPER(TRIM($DX405)),".",""))&lt;2,IFERROR(FIND(".",UPPER(TRIM($DX405))),0)&lt;IFERROR(FIND("E",UPPER(TRIM($DX405))),999)),ISNUMBER(VALUE(TRIM($DX405)))),VALUE(TRIM($DX405)),"")))),""))</f>
        <v/>
      </c>
      <c r="DZ405">
        <f>IF($DM405=0,"",IF($L$17=0,"",IFERROR(IF(ISNUMBER(INDEX(PASTE_ALL,$DF405,$L$17)),INDEX(PASTE_ALL,$DF405,$L$17),SUBSTITUTE(SUBSTITUTE(TRIM(SUBSTITUTE(SUBSTITUTE(SUBSTITUTE(SUBSTITUTE(INDEX(PASTE_ALL,$DF405,$L$17)," "," "),CHAR(9)," "),CHAR(10)," "),CHAR(13)," ")),",",""),"%","")),"")))</f>
        <v/>
      </c>
      <c r="EA405">
        <f>IF($DM405=0,"",IFERROR(IF(ISNUMBER($DZ405),$DZ405,IF($DZ405="","",IF(TRIM($DZ405)="",0,IF(AND(AND(SUBSTITUTE(SUBSTITUTE(SUBSTITUTE(SUBSTITUTE(SUBSTITUTE(SUBSTITUTE(SUBSTITUTE(SUBSTITUTE(SUBSTITUTE(SUBSTITUTE(SUBSTITUTE(SUBSTITUTE(SUBSTITUTE(SUBSTITUTE(UPPER(TRIM($DZ405)),"0",""),"1",""),"2",""),"3",""),"4",""),"5",""),"6",""),"7",""),"8",""),"9",""),".",""),"+",""),"-",""),"E","")="",LEN(SUBSTITUTE(SUBSTITUTE(MID(UPPER(TRIM($DZ405)),1+OR(LEFT(UPPER(TRIM($DZ405)),1)="+",LEFT(UPPER(TRIM($DZ405)),1)="-"),999),"E+","E"),"E-","E"))=LEN(SUBSTITUTE(SUBSTITUTE(SUBSTITUTE(SUBSTITUTE(MID(UPPER(TRIM($DZ405)),1+OR(LEFT(UPPER(TRIM($DZ405)),1)="+",LEFT(UPPER(TRIM($DZ405)),1)="-"),999),"E+","E"),"E-","E"),"+",""),"-","")),LEN(UPPER(TRIM($DZ405)))-LEN(SUBSTITUTE(UPPER(TRIM($DZ405)),"E",""))&lt;2,LEN(UPPER(TRIM($DZ405)))-LEN(SUBSTITUTE(UPPER(TRIM($DZ405)),".",""))&lt;2,IFERROR(FIND(".",UPPER(TRIM($DZ405))),0)&lt;IFERROR(FIND("E",UPPER(TRIM($DZ405))),999)),ISNUMBER(VALUE(TRIM($DZ405)))),VALUE(TRIM($DZ405)),"")))),""))</f>
        <v/>
      </c>
      <c r="EB405">
        <f>IF($DM405=0,"",IF($L$18=0,"",IFERROR(IF(UPPER(TRIM(SUBSTITUTE(SUBSTITUTE(SUBSTITUTE(SUBSTITUTE(INDEX(PASTE_ALL,$DF405,$L$18)," "," "),CHAR(9)," "),CHAR(10)," "),CHAR(13)," ")))="READY","Ready",IF(UPPER(TRIM(SUBSTITUTE(SUBSTITUTE(SUBSTITUTE(SUBSTITUTE(INDEX(PASTE_ALL,$DF405,$L$18)," "," "),CHAR(9)," "),CHAR(10)," "),CHAR(13)," ")))="PM","PM",IF(OR(UPPER(TRIM(SUBSTITUTE(SUBSTITUTE(SUBSTITUTE(SUBSTITUTE(INDEX(PASTE_ALL,$DF405,$L$18)," "," "),CHAR(9)," "),CHAR(10)," "),CHAR(13)," ")))="OT",UPPER(TRIM(SUBSTITUTE(SUBSTITUTE(SUBSTITUTE(SUBSTITUTE(INDEX(PASTE_ALL,$DF405,$L$18)," "," "),CHAR(9)," "),CHAR(10)," "),CHAR(13)," ")))="OVERTIME",UPPER(TRIM(SUBSTITUTE(SUBSTITUTE(SUBSTITUTE(SUBSTITUTE(INDEX(PASTE_ALL,$DF405,$L$18)," "," "),CHAR(9)," "),CHAR(10)," "),CHAR(13)," ")))="TRIAL"),"OT",TRIM(SUBSTITUTE(SUBSTITUTE(SUBSTITUTE(SUBSTITUTE(INDEX(PASTE_ALL,$DF405,$L$18)," "," "),CHAR(9)," "),CHAR(10)," "),CHAR(13)," "))))),"")))</f>
        <v/>
      </c>
      <c r="EC405">
        <f>IF($DM405=0,"",IF($L$19=0,"",IFERROR(IF(ISNUMBER(INDEX(PASTE_ALL,$DF405,$L$19)),INDEX(PASTE_ALL,$DF405,$L$19),TRIM(SUBSTITUTE(SUBSTITUTE(SUBSTITUTE(SUBSTITUTE(INDEX(PASTE_ALL,$DF405,$L$19)," "," "),CHAR(9)," "),CHAR(10)," "),CHAR(13)," "))),"")))</f>
        <v/>
      </c>
      <c r="ED405">
        <f>IF($DM405=0,"",MATCH(1,INDEX(EXACT($DH$5:DH405,$DH405)*$DM$5:DM405,0),0))</f>
        <v/>
      </c>
      <c r="EE405">
        <f>IF($DM405=0,0,IF($ED405=$DE405,1,0))</f>
        <v/>
      </c>
      <c r="EF405">
        <f>EF404+$EE405</f>
        <v/>
      </c>
      <c r="EG405">
        <f>IF($DM405=0,"",INDEX($EF$5:$EF$1003,$ED405))</f>
        <v/>
      </c>
      <c r="EH405">
        <f>IF($DM405=0,"",IF($DO405&lt;&gt;"","",IFERROR(LOOKUP(2,1/(($EG$4:EG404=$EG405)*($DO$4:DO404&lt;&gt;"")),$DO$4:DO404),"")))</f>
        <v/>
      </c>
      <c r="EI405">
        <f>IF($DM405=0,"",IF($DO405&lt;&gt;"",$DO405,$EH405))</f>
        <v/>
      </c>
      <c r="EJ405">
        <f>IF($DM405=0,"",IF($EI405="",0,IF(OR(ISNUMBER($EI405),AND(AND(SUBSTITUTE(SUBSTITUTE(SUBSTITUTE(SUBSTITUTE(SUBSTITUTE(SUBSTITUTE(SUBSTITUTE(SUBSTITUTE(SUBSTITUTE(SUBSTITUTE(SUBSTITUTE(SUBSTITUTE(SUBSTITUTE(SUBSTITUTE(UPPER($EI405),"0",""),"1",""),"2",""),"3",""),"4",""),"5",""),"6",""),"7",""),"8",""),"9",""),".",""),"+",""),"-",""),"E","")="",LEN(SUBSTITUTE(SUBSTITUTE(MID(UPPER($EI405),1+OR(LEFT(UPPER($EI405),1)="+",LEFT(UPPER($EI405),1)="-"),999),"E+","E"),"E-","E"))=LEN(SUBSTITUTE(SUBSTITUTE(SUBSTITUTE(SUBSTITUTE(MID(UPPER($EI405),1+OR(LEFT(UPPER($EI405),1)="+",LEFT(UPPER($EI405),1)="-"),999),"E+","E"),"E-","E"),"+",""),"-","")),LEN(UPPER($EI405))-LEN(SUBSTITUTE(UPPER($EI405),"E",""))&lt;2,LEN(UPPER($EI405))-LEN(SUBSTITUTE(UPPER($EI405),".",""))&lt;2,IFERROR(FIND(".",UPPER($EI405)),0)&lt;IFERROR(FIND("E",UPPER($EI405)),999)),ISNUMBER(VALUE($EI405)))),1,2)))</f>
        <v/>
      </c>
      <c r="EK405">
        <f>IF($DM405=0,"",IF($EJ405=1,IF(ISNUMBER($EI405),$EI405,VALUE($EI405)),IF($EJ405=2,$DE405,0)))</f>
        <v/>
      </c>
      <c r="EL405">
        <f>IF($DM405=0,"",COUNTIF($EG$5:$EG$1003,"&lt;"&amp;$EG405)+SUMPRODUCT(($EG$5:$EG$1003=$EG405)*(($EJ$5:$EJ$1003&lt;$EJ405)+($EJ$5:$EJ$1003=$EJ405)*(($EK$5:$EK$1003&lt;$EK405)+($EK$5:$EK$1003=$EK405)*($DE$5:$DE$1003&lt;$DE405))))+1)</f>
        <v/>
      </c>
      <c r="EM405">
        <f>IF($DM405=0,"",$EL405+$EG405-1)</f>
        <v/>
      </c>
      <c r="EN405">
        <f>IF($DM405=0,0,IFERROR(MATCH(1,INDEX(--(TRIM(SUBSTITUTE(SUBSTITUTE(SUBSTITUTE(SUBSTITUTE(LINES_NAME&amp;""," "," "),CHAR(9)," "),CHAR(10)," "),CHAR(13)," "))=$DH405),0),0),0))</f>
        <v/>
      </c>
      <c r="EO405">
        <f>IF($EN405=0,0,IF(OR(UPPER(TRIM(INDEX(LINES_SCHEDULED,$EN405)&amp;""))="YES",UPPER(TRIM(INDEX(LINES_SCHEDULED,$EN405)&amp;""))="Y",UPPER(TRIM(INDEX(LINES_SCHEDULED,$EN405)&amp;""))="X"),1,0))</f>
        <v/>
      </c>
      <c r="EP405">
        <f>IF($DM405=0,"",IF(COUNTIFS($EG$5:$EG$1003,$EG405,$EB$5:$EB$1003,"Ready")&gt;0,"READY",IF(COUNTIFS($EG$5:$EG$1003,$EG405,$EB$5:$EB$1003,"PM")&gt;0,"PM",IF(COUNTIFS($EG$5:$EG$1003,$EG405,$EB$5:$EB$1003,"OT")&gt;0,"OT",""))))</f>
        <v/>
      </c>
      <c r="EQ405">
        <f>IF($EN405=0,"",UPPER(TRIM(INDEX(LINES_STATUS,$EN405)&amp;"")))</f>
        <v/>
      </c>
      <c r="ER405">
        <f>IF($DM405=0,"",IF(OR($EQ405="READY",$EQ405="PM",$EQ405="OT"),$EQ405,$EP405))</f>
        <v/>
      </c>
      <c r="ES405">
        <f>IF($DM405=0,"",IF(AND($DV405&lt;&gt;"",UPPER($DV405)&lt;&gt;"N"),"allergen",IF(ISNUMBER(SEARCH("oil",$DQ405)),"oil",IF(OR(EXACT($DS405,"A662"),EXACT($DS405,"A624")),"bulk",""))))</f>
        <v/>
      </c>
      <c r="ET405">
        <f>IF($DM405=0,"",IF(OR($EA405="",$EA405=0),"",$EA405/100))</f>
        <v/>
      </c>
      <c r="EU405">
        <f>IF(OR($ET405="",$DY405=""),"",INT($DY405*(1-$ET405)+0.5))</f>
        <v/>
      </c>
      <c r="EW405" t="n">
        <v>401</v>
      </c>
      <c r="EX405">
        <f>IFERROR(MATCH($EW405,$EM$5:$EM$1003,0),0)</f>
        <v/>
      </c>
      <c r="EY405">
        <f>IF($EW405&gt;$B$12,"",IF($EX405&gt;0,"row","spacer"))</f>
        <v/>
      </c>
      <c r="EZ405">
        <f>IF(AND($EY405="row",$EY404&lt;&gt;"row"),1,0)</f>
        <v/>
      </c>
      <c r="FA405">
        <f>IF(AND($EY405="row",$EY406&lt;&gt;"row"),1,0)</f>
        <v/>
      </c>
      <c r="FB405">
        <f>IF($EZ405=1,IFERROR(IF(ISNUMBER(INDEX(PASTE_ALL,INDEX($DF$5:$DF$1003,$EX405),$B$37)),INDEX(PASTE_ALL,INDEX($DF$5:$DF$1003,$EX405),$B$37),INDEX($DH$5:$DH$1003,$EX405)),INDEX($DH$5:$DH$1003,$EX405)),"")</f>
        <v/>
      </c>
      <c r="FC405">
        <f>IF($EY405="row",INDEX($ER$5:$ER$1003,$EX405),"")</f>
        <v/>
      </c>
      <c r="FD405">
        <f>IF($EY405="row",INDEX($DN$5:$DN$1003,$EX405),"")</f>
        <v/>
      </c>
      <c r="FE405">
        <f>IF($EY405="row",INDEX($DO$5:$DO$1003,$EX405),"")</f>
        <v/>
      </c>
      <c r="FF405">
        <f>IF($EY405="row",INDEX($DP$5:$DP$1003,$EX405),"")</f>
        <v/>
      </c>
      <c r="FG405">
        <f>IF($EY405="row",INDEX($DQ$5:$DQ$1003,$EX405),"")</f>
        <v/>
      </c>
      <c r="FH405">
        <f>IF($EY405="row",INDEX($DR$5:$DR$1003,$EX405),"")</f>
        <v/>
      </c>
      <c r="FI405">
        <f>IF($EY405="row",INDEX($DS$5:$DS$1003,$EX405),"")</f>
        <v/>
      </c>
      <c r="FJ405">
        <f>IF($EY405="row",INDEX($DT$5:$DT$1003,$EX405),"")</f>
        <v/>
      </c>
      <c r="FK405">
        <f>IF($EY405="row",INDEX($DU$5:$DU$1003,$EX405),"")</f>
        <v/>
      </c>
      <c r="FL405">
        <f>IF($EY405="row",INDEX($DV$5:$DV$1003,$EX405),"")</f>
        <v/>
      </c>
      <c r="FM405">
        <f>IF($EY405="row",INDEX($DW$5:$DW$1003,$EX405),"")</f>
        <v/>
      </c>
      <c r="FN405">
        <f>IF($EY405="row",INDEX($DY$5:$DY$1003,$EX405),"")</f>
        <v/>
      </c>
      <c r="FO405">
        <f>IF($EY405="row",INDEX($EA$5:$EA$1003,$EX405),"")</f>
        <v/>
      </c>
      <c r="FP405">
        <f>IF($EY405="row",INDEX($EC$5:$EC$1003,$EX405),"")</f>
        <v/>
      </c>
      <c r="FQ405">
        <f>IF($EY405="row",INDEX($ET$5:$ET$1003,$EX405),"")</f>
        <v/>
      </c>
      <c r="FR405">
        <f>IF($EY405="row",INDEX($EU$5:$EU$1003,$EX405),"")</f>
        <v/>
      </c>
      <c r="FS405">
        <f>IF(AND($EY405="row",$EY404="row"),IF(OR(INDEX($DT$5:$DT$1003,$EX404)="",INDEX($DT$5:$DT$1003,$EX405)=""),"",IF(NOT(EXACT(INDEX($DT$5:$DT$1003,$EX404),INDEX($DT$5:$DT$1003,$EX405))),"S4",IF(NOT(EXACT(INDEX($DS$5:$DS$1003,$EX404),INDEX($DS$5:$DS$1003,$EX405))),"S3",IF(NOT(EXACT(INDEX($DR$5:$DR$1003,$EX404),INDEX($DR$5:$DR$1003,$EX405))),"S1 Count Change","S1")))),"")</f>
        <v/>
      </c>
      <c r="FT405">
        <f>IF($EY405="row",INDEX($ES$5:$ES$1003,$EX405),"")</f>
        <v/>
      </c>
      <c r="FU405">
        <f>IF($EY405="row",INDEX($EO$5:$EO$1003,$EX405),0)</f>
        <v/>
      </c>
      <c r="FV405">
        <f>IF($FS405="S1 Count Change",1,0)</f>
        <v/>
      </c>
    </row>
    <row r="406">
      <c r="DA406" t="n">
        <v>402</v>
      </c>
      <c r="DB406">
        <f>IF($B$37=0,"",IFERROR(TRIM(SUBSTITUTE(SUBSTITUTE(SUBSTITUTE(SUBSTITUTE(INDEX(PASTE_ALL,402,$B$37)," "," "),CHAR(9)," "),CHAR(10)," "),CHAR(13)," ")),""))</f>
        <v/>
      </c>
      <c r="DC406">
        <f>IF(AND(402&gt;HEADER_ROW,UPPER(DB406)="LEGEND"),1,0)</f>
        <v/>
      </c>
      <c r="DE406" t="n">
        <v>402</v>
      </c>
      <c r="DF406">
        <f>HEADER_ROW+$DE406</f>
        <v/>
      </c>
      <c r="DG406">
        <f>IF(AND($DF406&lt;=1000,$DF406&lt;$B$8),1,0)</f>
        <v/>
      </c>
      <c r="DH406">
        <f>IF($DG406=1,IFERROR(INDEX($DB$5:$DB$1004,$DF406),""),"")</f>
        <v/>
      </c>
      <c r="DI406">
        <f>IF(AND($DG406=1,$DH406&lt;&gt;""),IFERROR(SUBSTITUTE(SUBSTITUTE(TRIM(SUBSTITUTE(SUBSTITUTE(SUBSTITUTE(SUBSTITUTE(IFERROR(INDEX(PASTE_ALL,$DF406,1)&amp;"","")&amp;"␟"&amp;IFERROR(INDEX(PASTE_ALL,$DF406,2)&amp;"","")&amp;"␟"&amp;IFERROR(INDEX(PASTE_ALL,$DF406,3)&amp;"","")&amp;"␟"&amp;IFERROR(INDEX(PASTE_ALL,$DF406,4)&amp;"","")&amp;"␟"&amp;IFERROR(INDEX(PASTE_ALL,$DF406,5)&amp;"","")&amp;"␟"&amp;IFERROR(INDEX(PASTE_ALL,$DF406,6)&amp;"","")&amp;"␟"&amp;IFERROR(INDEX(PASTE_ALL,$DF406,7)&amp;"","")&amp;"␟"&amp;IFERROR(INDEX(PASTE_ALL,$DF406,8)&amp;"","")&amp;"␟"&amp;IFERROR(INDEX(PASTE_ALL,$DF406,9)&amp;"","")&amp;"␟"&amp;IFERROR(INDEX(PASTE_ALL,$DF406,10)&amp;"","")&amp;"␟"&amp;IFERROR(INDEX(PASTE_ALL,$DF406,11)&amp;"","")&amp;"␟"&amp;IFERROR(INDEX(PASTE_ALL,$DF406,12)&amp;"","")&amp;"␟"&amp;IFERROR(INDEX(PASTE_ALL,$DF406,13)&amp;"","")&amp;"␟"&amp;IFERROR(INDEX(PASTE_ALL,$DF406,14)&amp;"","")&amp;"␟"&amp;IFERROR(INDEX(PASTE_ALL,$DF406,15)&amp;"","")&amp;"␟"&amp;IFERROR(INDEX(PASTE_ALL,$DF406,16)&amp;"","")&amp;"␟"&amp;IFERROR(INDEX(PASTE_ALL,$DF406,17)&amp;"","")&amp;"␟"&amp;IFERROR(INDEX(PASTE_ALL,$DF406,18)&amp;"","")&amp;"␟"&amp;IFERROR(INDEX(PASTE_ALL,$DF406,19)&amp;"","")&amp;"␟"&amp;IFERROR(INDEX(PASTE_ALL,$DF406,20)&amp;"","")&amp;"␟"&amp;IFERROR(INDEX(PASTE_ALL,$DF406,21)&amp;"","")&amp;"␟"&amp;IFERROR(INDEX(PASTE_ALL,$DF406,22)&amp;"","")&amp;"␟"&amp;IFERROR(INDEX(PASTE_ALL,$DF406,23)&amp;"","")&amp;"␟"&amp;IFERROR(INDEX(PASTE_ALL,$DF406,24)&amp;"","")&amp;"␟"&amp;IFERROR(INDEX(PASTE_ALL,$DF406,25)&amp;"","")&amp;"␟"&amp;IFERROR(INDEX(PASTE_ALL,$DF406,26)&amp;"","")&amp;"␟"&amp;IFERROR(INDEX(PASTE_ALL,$DF406,27)&amp;"","")&amp;"␟"&amp;IFERROR(INDEX(PASTE_ALL,$DF406,28)&amp;"","")&amp;"␟"&amp;IFERROR(INDEX(PASTE_ALL,$DF406,29)&amp;"","")&amp;"␟"&amp;IFERROR(INDEX(PASTE_ALL,$DF406,30)&amp;"","")&amp;"␟"&amp;IFERROR(INDEX(PASTE_ALL,$DF406,31)&amp;"","")&amp;"␟"&amp;IFERROR(INDEX(PASTE_ALL,$DF406,32)&amp;"","")&amp;"␟"&amp;IFERROR(INDEX(PASTE_ALL,$DF406,33)&amp;"","")&amp;"␟"&amp;IFERROR(INDEX(PASTE_ALL,$DF406,34)&amp;"","")&amp;"␟"&amp;IFERROR(INDEX(PASTE_ALL,$DF406,35)&amp;"","")&amp;"␟"&amp;IFERROR(INDEX(PASTE_ALL,$DF406,36)&amp;"","")&amp;"␟"&amp;IFERROR(INDEX(PASTE_ALL,$DF406,37)&amp;"","")&amp;"␟"&amp;IFERROR(INDEX(PASTE_ALL,$DF406,38)&amp;"","")&amp;"␟"&amp;IFERROR(INDEX(PASTE_ALL,$DF406,39)&amp;"","")&amp;"␟"&amp;IFERROR(INDEX(PASTE_ALL,$DF406,40)&amp;"","")&amp;"␟"&amp;IFERROR(INDEX(PASTE_ALL,$DF406,41)&amp;"","")&amp;"␟"&amp;IFERROR(INDEX(PASTE_ALL,$DF406,42)&amp;"","")&amp;"␟"&amp;IFERROR(INDEX(PASTE_ALL,$DF406,43)&amp;"","")&amp;"␟"&amp;IFERROR(INDEX(PASTE_ALL,$DF406,44)&amp;"","")&amp;"␟"&amp;IFERROR(INDEX(PASTE_ALL,$DF406,45)&amp;"","")&amp;"␟"&amp;IFERROR(INDEX(PASTE_ALL,$DF406,46)&amp;"","")&amp;"␟"&amp;IFERROR(INDEX(PASTE_ALL,$DF406,47)&amp;"","")&amp;"␟"&amp;IFERROR(INDEX(PASTE_ALL,$DF406,48)&amp;"","")&amp;"␟"&amp;IFERROR(INDEX(PASTE_ALL,$DF406,49)&amp;"","")&amp;"␟"&amp;IFERROR(INDEX(PASTE_ALL,$DF406,50)&amp;"","")&amp;"␟"&amp;IFERROR(INDEX(PASTE_ALL,$DF406,51)&amp;"","")&amp;"␟"&amp;IFERROR(INDEX(PASTE_ALL,$DF406,52)&amp;"","")&amp;"␟"&amp;IFERROR(INDEX(PASTE_ALL,$DF406,53)&amp;"","")&amp;"␟"&amp;IFERROR(INDEX(PASTE_ALL,$DF406,54)&amp;"","")&amp;"␟"&amp;IFERROR(INDEX(PASTE_ALL,$DF406,55)&amp;"","")&amp;"␟"&amp;IFERROR(INDEX(PASTE_ALL,$DF406,56)&amp;"","")&amp;"␟"&amp;IFERROR(INDEX(PASTE_ALL,$DF406,57)&amp;"","")&amp;"␟"&amp;IFERROR(INDEX(PASTE_ALL,$DF406,58)&amp;"","")&amp;"␟"&amp;IFERROR(INDEX(PASTE_ALL,$DF406,59)&amp;"","")&amp;"␟"&amp;IFERROR(INDEX(PASTE_ALL,$DF406,60)&amp;"","")," "," "),CHAR(9)," "),CHAR(10)," "),CHAR(13)," "))," ␟","␟"),"␟ ","␟"),"#"&amp;$DE406),"")</f>
        <v/>
      </c>
      <c r="DJ406">
        <f>IF($DI406="",0,IF(SUMPRODUCT(--EXACT($DI$4:DI405,$DI406))&gt;0,1,0))</f>
        <v/>
      </c>
      <c r="DK406">
        <f>IF(AND($DI406&lt;&gt;"",$DJ406=0),1,0)</f>
        <v/>
      </c>
      <c r="DL406">
        <f>DL405+$DK406</f>
        <v/>
      </c>
      <c r="DM406">
        <f>IF(AND($DK406=1,$DL406&lt;=600),1,0)</f>
        <v/>
      </c>
      <c r="DN406">
        <f>IF($DM406=0,"",IF($L$6=0,"",IFERROR(IF(ISNUMBER(INDEX(PASTE_ALL,$DF406,$L$6)),INDEX(PASTE_ALL,$DF406,$L$6),TRIM(SUBSTITUTE(SUBSTITUTE(SUBSTITUTE(SUBSTITUTE(INDEX(PASTE_ALL,$DF406,$L$6)," "," "),CHAR(9)," "),CHAR(10)," "),CHAR(13)," "))),"")))</f>
        <v/>
      </c>
      <c r="DO406">
        <f>IF($DM406=0,"",IF($L$7=0,"",IFERROR(IF(ISNUMBER(INDEX(PASTE_ALL,$DF406,$L$7)),INDEX(PASTE_ALL,$DF406,$L$7),TRIM(SUBSTITUTE(SUBSTITUTE(SUBSTITUTE(SUBSTITUTE(INDEX(PASTE_ALL,$DF406,$L$7)," "," "),CHAR(9)," "),CHAR(10)," "),CHAR(13)," "))),"")))</f>
        <v/>
      </c>
      <c r="DP406">
        <f>IF($DM406=0,"",IF($L$8=0,"",IFERROR(IF(ISNUMBER(INDEX(PASTE_ALL,$DF406,$L$8)),INDEX(PASTE_ALL,$DF406,$L$8),TRIM(SUBSTITUTE(SUBSTITUTE(SUBSTITUTE(SUBSTITUTE(INDEX(PASTE_ALL,$DF406,$L$8)," "," "),CHAR(9)," "),CHAR(10)," "),CHAR(13)," "))),"")))</f>
        <v/>
      </c>
      <c r="DQ406">
        <f>IF($DM406=0,"",IF($L$9=0,"",IFERROR(IF(ISNUMBER(INDEX(PASTE_ALL,$DF406,$L$9)),INDEX(PASTE_ALL,$DF406,$L$9),TRIM(SUBSTITUTE(SUBSTITUTE(SUBSTITUTE(SUBSTITUTE(INDEX(PASTE_ALL,$DF406,$L$9)," "," "),CHAR(9)," "),CHAR(10)," "),CHAR(13)," "))),"")))</f>
        <v/>
      </c>
      <c r="DR406">
        <f>IF($DM406=0,"",IF($L$10=0,"",IFERROR(IF(ISNUMBER(INDEX(PASTE_ALL,$DF406,$L$10)),INDEX(PASTE_ALL,$DF406,$L$10),TRIM(SUBSTITUTE(SUBSTITUTE(SUBSTITUTE(SUBSTITUTE(INDEX(PASTE_ALL,$DF406,$L$10)," "," "),CHAR(9)," "),CHAR(10)," "),CHAR(13)," "))),"")))</f>
        <v/>
      </c>
      <c r="DS406">
        <f>IF($DM406=0,"",IF($L$11=0,"",IFERROR(IF(ISNUMBER(INDEX(PASTE_ALL,$DF406,$L$11)),INDEX(PASTE_ALL,$DF406,$L$11),TRIM(SUBSTITUTE(SUBSTITUTE(SUBSTITUTE(SUBSTITUTE(INDEX(PASTE_ALL,$DF406,$L$11)," "," "),CHAR(9)," "),CHAR(10)," "),CHAR(13)," "))),"")))</f>
        <v/>
      </c>
      <c r="DT406">
        <f>IF($DM406=0,"",IF($L$12=0,"",IFERROR(IF(ISNUMBER(INDEX(PASTE_ALL,$DF406,$L$12)),INDEX(PASTE_ALL,$DF406,$L$12),TRIM(SUBSTITUTE(SUBSTITUTE(SUBSTITUTE(SUBSTITUTE(INDEX(PASTE_ALL,$DF406,$L$12)," "," "),CHAR(9)," "),CHAR(10)," "),CHAR(13)," "))),"")))</f>
        <v/>
      </c>
      <c r="DU406">
        <f>IF($DM406=0,"",IF($L$13=0,"",IFERROR(IF(ISNUMBER(INDEX(PASTE_ALL,$DF406,$L$13)),INDEX(PASTE_ALL,$DF406,$L$13),TRIM(SUBSTITUTE(SUBSTITUTE(SUBSTITUTE(SUBSTITUTE(INDEX(PASTE_ALL,$DF406,$L$13)," "," "),CHAR(9)," "),CHAR(10)," "),CHAR(13)," "))),"")))</f>
        <v/>
      </c>
      <c r="DV406">
        <f>IF($DM406=0,"",IF($L$14=0,"",IFERROR(IF(ISNUMBER(INDEX(PASTE_ALL,$DF406,$L$14)),INDEX(PASTE_ALL,$DF406,$L$14),TRIM(SUBSTITUTE(SUBSTITUTE(SUBSTITUTE(SUBSTITUTE(INDEX(PASTE_ALL,$DF406,$L$14)," "," "),CHAR(9)," "),CHAR(10)," "),CHAR(13)," "))),"")))</f>
        <v/>
      </c>
      <c r="DW406">
        <f>IF($DM406=0,"",IF($L$15=0,"",IFERROR(IF(ISNUMBER(INDEX(PASTE_ALL,$DF406,$L$15)),INDEX(PASTE_ALL,$DF406,$L$15),IF(SUMPRODUCT(--ISNUMBER(FIND({"A","B","C","D","E","F","G","H","I","J","K","L","M","N","O","P","Q","R","S","T","U","V","W","X","Y","Z","0","1","2","3","4","5","6","7","8","9"},UPPER(TRIM(SUBSTITUTE(SUBSTITUTE(SUBSTITUTE(SUBSTITUTE(INDEX(PASTE_ALL,$DF406,$L$15)," "," "),CHAR(9)," "),CHAR(10)," "),CHAR(13)," "))))))&gt;0,TRIM(SUBSTITUTE(SUBSTITUTE(SUBSTITUTE(SUBSTITUTE(INDEX(PASTE_ALL,$DF406,$L$15)," "," "),CHAR(9)," "),CHAR(10)," "),CHAR(13)," ")),"")),"")))</f>
        <v/>
      </c>
      <c r="DX406">
        <f>IF($DM406=0,"",IF($L$16=0,"",IFERROR(IF(ISNUMBER(INDEX(PASTE_ALL,$DF406,$L$16)),INDEX(PASTE_ALL,$DF406,$L$16),SUBSTITUTE(SUBSTITUTE(TRIM(SUBSTITUTE(SUBSTITUTE(SUBSTITUTE(SUBSTITUTE(INDEX(PASTE_ALL,$DF406,$L$16)," "," "),CHAR(9)," "),CHAR(10)," "),CHAR(13)," ")),",",""),"%","")),"")))</f>
        <v/>
      </c>
      <c r="DY406">
        <f>IF($DM406=0,"",IFERROR(IF(ISNUMBER($DX406),$DX406,IF($DX406="","",IF(TRIM($DX406)="",0,IF(AND(AND(SUBSTITUTE(SUBSTITUTE(SUBSTITUTE(SUBSTITUTE(SUBSTITUTE(SUBSTITUTE(SUBSTITUTE(SUBSTITUTE(SUBSTITUTE(SUBSTITUTE(SUBSTITUTE(SUBSTITUTE(SUBSTITUTE(SUBSTITUTE(UPPER(TRIM($DX406)),"0",""),"1",""),"2",""),"3",""),"4",""),"5",""),"6",""),"7",""),"8",""),"9",""),".",""),"+",""),"-",""),"E","")="",LEN(SUBSTITUTE(SUBSTITUTE(MID(UPPER(TRIM($DX406)),1+OR(LEFT(UPPER(TRIM($DX406)),1)="+",LEFT(UPPER(TRIM($DX406)),1)="-"),999),"E+","E"),"E-","E"))=LEN(SUBSTITUTE(SUBSTITUTE(SUBSTITUTE(SUBSTITUTE(MID(UPPER(TRIM($DX406)),1+OR(LEFT(UPPER(TRIM($DX406)),1)="+",LEFT(UPPER(TRIM($DX406)),1)="-"),999),"E+","E"),"E-","E"),"+",""),"-","")),LEN(UPPER(TRIM($DX406)))-LEN(SUBSTITUTE(UPPER(TRIM($DX406)),"E",""))&lt;2,LEN(UPPER(TRIM($DX406)))-LEN(SUBSTITUTE(UPPER(TRIM($DX406)),".",""))&lt;2,IFERROR(FIND(".",UPPER(TRIM($DX406))),0)&lt;IFERROR(FIND("E",UPPER(TRIM($DX406))),999)),ISNUMBER(VALUE(TRIM($DX406)))),VALUE(TRIM($DX406)),"")))),""))</f>
        <v/>
      </c>
      <c r="DZ406">
        <f>IF($DM406=0,"",IF($L$17=0,"",IFERROR(IF(ISNUMBER(INDEX(PASTE_ALL,$DF406,$L$17)),INDEX(PASTE_ALL,$DF406,$L$17),SUBSTITUTE(SUBSTITUTE(TRIM(SUBSTITUTE(SUBSTITUTE(SUBSTITUTE(SUBSTITUTE(INDEX(PASTE_ALL,$DF406,$L$17)," "," "),CHAR(9)," "),CHAR(10)," "),CHAR(13)," ")),",",""),"%","")),"")))</f>
        <v/>
      </c>
      <c r="EA406">
        <f>IF($DM406=0,"",IFERROR(IF(ISNUMBER($DZ406),$DZ406,IF($DZ406="","",IF(TRIM($DZ406)="",0,IF(AND(AND(SUBSTITUTE(SUBSTITUTE(SUBSTITUTE(SUBSTITUTE(SUBSTITUTE(SUBSTITUTE(SUBSTITUTE(SUBSTITUTE(SUBSTITUTE(SUBSTITUTE(SUBSTITUTE(SUBSTITUTE(SUBSTITUTE(SUBSTITUTE(UPPER(TRIM($DZ406)),"0",""),"1",""),"2",""),"3",""),"4",""),"5",""),"6",""),"7",""),"8",""),"9",""),".",""),"+",""),"-",""),"E","")="",LEN(SUBSTITUTE(SUBSTITUTE(MID(UPPER(TRIM($DZ406)),1+OR(LEFT(UPPER(TRIM($DZ406)),1)="+",LEFT(UPPER(TRIM($DZ406)),1)="-"),999),"E+","E"),"E-","E"))=LEN(SUBSTITUTE(SUBSTITUTE(SUBSTITUTE(SUBSTITUTE(MID(UPPER(TRIM($DZ406)),1+OR(LEFT(UPPER(TRIM($DZ406)),1)="+",LEFT(UPPER(TRIM($DZ406)),1)="-"),999),"E+","E"),"E-","E"),"+",""),"-","")),LEN(UPPER(TRIM($DZ406)))-LEN(SUBSTITUTE(UPPER(TRIM($DZ406)),"E",""))&lt;2,LEN(UPPER(TRIM($DZ406)))-LEN(SUBSTITUTE(UPPER(TRIM($DZ406)),".",""))&lt;2,IFERROR(FIND(".",UPPER(TRIM($DZ406))),0)&lt;IFERROR(FIND("E",UPPER(TRIM($DZ406))),999)),ISNUMBER(VALUE(TRIM($DZ406)))),VALUE(TRIM($DZ406)),"")))),""))</f>
        <v/>
      </c>
      <c r="EB406">
        <f>IF($DM406=0,"",IF($L$18=0,"",IFERROR(IF(UPPER(TRIM(SUBSTITUTE(SUBSTITUTE(SUBSTITUTE(SUBSTITUTE(INDEX(PASTE_ALL,$DF406,$L$18)," "," "),CHAR(9)," "),CHAR(10)," "),CHAR(13)," ")))="READY","Ready",IF(UPPER(TRIM(SUBSTITUTE(SUBSTITUTE(SUBSTITUTE(SUBSTITUTE(INDEX(PASTE_ALL,$DF406,$L$18)," "," "),CHAR(9)," "),CHAR(10)," "),CHAR(13)," ")))="PM","PM",IF(OR(UPPER(TRIM(SUBSTITUTE(SUBSTITUTE(SUBSTITUTE(SUBSTITUTE(INDEX(PASTE_ALL,$DF406,$L$18)," "," "),CHAR(9)," "),CHAR(10)," "),CHAR(13)," ")))="OT",UPPER(TRIM(SUBSTITUTE(SUBSTITUTE(SUBSTITUTE(SUBSTITUTE(INDEX(PASTE_ALL,$DF406,$L$18)," "," "),CHAR(9)," "),CHAR(10)," "),CHAR(13)," ")))="OVERTIME",UPPER(TRIM(SUBSTITUTE(SUBSTITUTE(SUBSTITUTE(SUBSTITUTE(INDEX(PASTE_ALL,$DF406,$L$18)," "," "),CHAR(9)," "),CHAR(10)," "),CHAR(13)," ")))="TRIAL"),"OT",TRIM(SUBSTITUTE(SUBSTITUTE(SUBSTITUTE(SUBSTITUTE(INDEX(PASTE_ALL,$DF406,$L$18)," "," "),CHAR(9)," "),CHAR(10)," "),CHAR(13)," "))))),"")))</f>
        <v/>
      </c>
      <c r="EC406">
        <f>IF($DM406=0,"",IF($L$19=0,"",IFERROR(IF(ISNUMBER(INDEX(PASTE_ALL,$DF406,$L$19)),INDEX(PASTE_ALL,$DF406,$L$19),TRIM(SUBSTITUTE(SUBSTITUTE(SUBSTITUTE(SUBSTITUTE(INDEX(PASTE_ALL,$DF406,$L$19)," "," "),CHAR(9)," "),CHAR(10)," "),CHAR(13)," "))),"")))</f>
        <v/>
      </c>
      <c r="ED406">
        <f>IF($DM406=0,"",MATCH(1,INDEX(EXACT($DH$5:DH406,$DH406)*$DM$5:DM406,0),0))</f>
        <v/>
      </c>
      <c r="EE406">
        <f>IF($DM406=0,0,IF($ED406=$DE406,1,0))</f>
        <v/>
      </c>
      <c r="EF406">
        <f>EF405+$EE406</f>
        <v/>
      </c>
      <c r="EG406">
        <f>IF($DM406=0,"",INDEX($EF$5:$EF$1003,$ED406))</f>
        <v/>
      </c>
      <c r="EH406">
        <f>IF($DM406=0,"",IF($DO406&lt;&gt;"","",IFERROR(LOOKUP(2,1/(($EG$4:EG405=$EG406)*($DO$4:DO405&lt;&gt;"")),$DO$4:DO405),"")))</f>
        <v/>
      </c>
      <c r="EI406">
        <f>IF($DM406=0,"",IF($DO406&lt;&gt;"",$DO406,$EH406))</f>
        <v/>
      </c>
      <c r="EJ406">
        <f>IF($DM406=0,"",IF($EI406="",0,IF(OR(ISNUMBER($EI406),AND(AND(SUBSTITUTE(SUBSTITUTE(SUBSTITUTE(SUBSTITUTE(SUBSTITUTE(SUBSTITUTE(SUBSTITUTE(SUBSTITUTE(SUBSTITUTE(SUBSTITUTE(SUBSTITUTE(SUBSTITUTE(SUBSTITUTE(SUBSTITUTE(UPPER($EI406),"0",""),"1",""),"2",""),"3",""),"4",""),"5",""),"6",""),"7",""),"8",""),"9",""),".",""),"+",""),"-",""),"E","")="",LEN(SUBSTITUTE(SUBSTITUTE(MID(UPPER($EI406),1+OR(LEFT(UPPER($EI406),1)="+",LEFT(UPPER($EI406),1)="-"),999),"E+","E"),"E-","E"))=LEN(SUBSTITUTE(SUBSTITUTE(SUBSTITUTE(SUBSTITUTE(MID(UPPER($EI406),1+OR(LEFT(UPPER($EI406),1)="+",LEFT(UPPER($EI406),1)="-"),999),"E+","E"),"E-","E"),"+",""),"-","")),LEN(UPPER($EI406))-LEN(SUBSTITUTE(UPPER($EI406),"E",""))&lt;2,LEN(UPPER($EI406))-LEN(SUBSTITUTE(UPPER($EI406),".",""))&lt;2,IFERROR(FIND(".",UPPER($EI406)),0)&lt;IFERROR(FIND("E",UPPER($EI406)),999)),ISNUMBER(VALUE($EI406)))),1,2)))</f>
        <v/>
      </c>
      <c r="EK406">
        <f>IF($DM406=0,"",IF($EJ406=1,IF(ISNUMBER($EI406),$EI406,VALUE($EI406)),IF($EJ406=2,$DE406,0)))</f>
        <v/>
      </c>
      <c r="EL406">
        <f>IF($DM406=0,"",COUNTIF($EG$5:$EG$1003,"&lt;"&amp;$EG406)+SUMPRODUCT(($EG$5:$EG$1003=$EG406)*(($EJ$5:$EJ$1003&lt;$EJ406)+($EJ$5:$EJ$1003=$EJ406)*(($EK$5:$EK$1003&lt;$EK406)+($EK$5:$EK$1003=$EK406)*($DE$5:$DE$1003&lt;$DE406))))+1)</f>
        <v/>
      </c>
      <c r="EM406">
        <f>IF($DM406=0,"",$EL406+$EG406-1)</f>
        <v/>
      </c>
      <c r="EN406">
        <f>IF($DM406=0,0,IFERROR(MATCH(1,INDEX(--(TRIM(SUBSTITUTE(SUBSTITUTE(SUBSTITUTE(SUBSTITUTE(LINES_NAME&amp;""," "," "),CHAR(9)," "),CHAR(10)," "),CHAR(13)," "))=$DH406),0),0),0))</f>
        <v/>
      </c>
      <c r="EO406">
        <f>IF($EN406=0,0,IF(OR(UPPER(TRIM(INDEX(LINES_SCHEDULED,$EN406)&amp;""))="YES",UPPER(TRIM(INDEX(LINES_SCHEDULED,$EN406)&amp;""))="Y",UPPER(TRIM(INDEX(LINES_SCHEDULED,$EN406)&amp;""))="X"),1,0))</f>
        <v/>
      </c>
      <c r="EP406">
        <f>IF($DM406=0,"",IF(COUNTIFS($EG$5:$EG$1003,$EG406,$EB$5:$EB$1003,"Ready")&gt;0,"READY",IF(COUNTIFS($EG$5:$EG$1003,$EG406,$EB$5:$EB$1003,"PM")&gt;0,"PM",IF(COUNTIFS($EG$5:$EG$1003,$EG406,$EB$5:$EB$1003,"OT")&gt;0,"OT",""))))</f>
        <v/>
      </c>
      <c r="EQ406">
        <f>IF($EN406=0,"",UPPER(TRIM(INDEX(LINES_STATUS,$EN406)&amp;"")))</f>
        <v/>
      </c>
      <c r="ER406">
        <f>IF($DM406=0,"",IF(OR($EQ406="READY",$EQ406="PM",$EQ406="OT"),$EQ406,$EP406))</f>
        <v/>
      </c>
      <c r="ES406">
        <f>IF($DM406=0,"",IF(AND($DV406&lt;&gt;"",UPPER($DV406)&lt;&gt;"N"),"allergen",IF(ISNUMBER(SEARCH("oil",$DQ406)),"oil",IF(OR(EXACT($DS406,"A662"),EXACT($DS406,"A624")),"bulk",""))))</f>
        <v/>
      </c>
      <c r="ET406">
        <f>IF($DM406=0,"",IF(OR($EA406="",$EA406=0),"",$EA406/100))</f>
        <v/>
      </c>
      <c r="EU406">
        <f>IF(OR($ET406="",$DY406=""),"",INT($DY406*(1-$ET406)+0.5))</f>
        <v/>
      </c>
      <c r="EW406" t="n">
        <v>402</v>
      </c>
      <c r="EX406">
        <f>IFERROR(MATCH($EW406,$EM$5:$EM$1003,0),0)</f>
        <v/>
      </c>
      <c r="EY406">
        <f>IF($EW406&gt;$B$12,"",IF($EX406&gt;0,"row","spacer"))</f>
        <v/>
      </c>
      <c r="EZ406">
        <f>IF(AND($EY406="row",$EY405&lt;&gt;"row"),1,0)</f>
        <v/>
      </c>
      <c r="FA406">
        <f>IF(AND($EY406="row",$EY407&lt;&gt;"row"),1,0)</f>
        <v/>
      </c>
      <c r="FB406">
        <f>IF($EZ406=1,IFERROR(IF(ISNUMBER(INDEX(PASTE_ALL,INDEX($DF$5:$DF$1003,$EX406),$B$37)),INDEX(PASTE_ALL,INDEX($DF$5:$DF$1003,$EX406),$B$37),INDEX($DH$5:$DH$1003,$EX406)),INDEX($DH$5:$DH$1003,$EX406)),"")</f>
        <v/>
      </c>
      <c r="FC406">
        <f>IF($EY406="row",INDEX($ER$5:$ER$1003,$EX406),"")</f>
        <v/>
      </c>
      <c r="FD406">
        <f>IF($EY406="row",INDEX($DN$5:$DN$1003,$EX406),"")</f>
        <v/>
      </c>
      <c r="FE406">
        <f>IF($EY406="row",INDEX($DO$5:$DO$1003,$EX406),"")</f>
        <v/>
      </c>
      <c r="FF406">
        <f>IF($EY406="row",INDEX($DP$5:$DP$1003,$EX406),"")</f>
        <v/>
      </c>
      <c r="FG406">
        <f>IF($EY406="row",INDEX($DQ$5:$DQ$1003,$EX406),"")</f>
        <v/>
      </c>
      <c r="FH406">
        <f>IF($EY406="row",INDEX($DR$5:$DR$1003,$EX406),"")</f>
        <v/>
      </c>
      <c r="FI406">
        <f>IF($EY406="row",INDEX($DS$5:$DS$1003,$EX406),"")</f>
        <v/>
      </c>
      <c r="FJ406">
        <f>IF($EY406="row",INDEX($DT$5:$DT$1003,$EX406),"")</f>
        <v/>
      </c>
      <c r="FK406">
        <f>IF($EY406="row",INDEX($DU$5:$DU$1003,$EX406),"")</f>
        <v/>
      </c>
      <c r="FL406">
        <f>IF($EY406="row",INDEX($DV$5:$DV$1003,$EX406),"")</f>
        <v/>
      </c>
      <c r="FM406">
        <f>IF($EY406="row",INDEX($DW$5:$DW$1003,$EX406),"")</f>
        <v/>
      </c>
      <c r="FN406">
        <f>IF($EY406="row",INDEX($DY$5:$DY$1003,$EX406),"")</f>
        <v/>
      </c>
      <c r="FO406">
        <f>IF($EY406="row",INDEX($EA$5:$EA$1003,$EX406),"")</f>
        <v/>
      </c>
      <c r="FP406">
        <f>IF($EY406="row",INDEX($EC$5:$EC$1003,$EX406),"")</f>
        <v/>
      </c>
      <c r="FQ406">
        <f>IF($EY406="row",INDEX($ET$5:$ET$1003,$EX406),"")</f>
        <v/>
      </c>
      <c r="FR406">
        <f>IF($EY406="row",INDEX($EU$5:$EU$1003,$EX406),"")</f>
        <v/>
      </c>
      <c r="FS406">
        <f>IF(AND($EY406="row",$EY405="row"),IF(OR(INDEX($DT$5:$DT$1003,$EX405)="",INDEX($DT$5:$DT$1003,$EX406)=""),"",IF(NOT(EXACT(INDEX($DT$5:$DT$1003,$EX405),INDEX($DT$5:$DT$1003,$EX406))),"S4",IF(NOT(EXACT(INDEX($DS$5:$DS$1003,$EX405),INDEX($DS$5:$DS$1003,$EX406))),"S3",IF(NOT(EXACT(INDEX($DR$5:$DR$1003,$EX405),INDEX($DR$5:$DR$1003,$EX406))),"S1 Count Change","S1")))),"")</f>
        <v/>
      </c>
      <c r="FT406">
        <f>IF($EY406="row",INDEX($ES$5:$ES$1003,$EX406),"")</f>
        <v/>
      </c>
      <c r="FU406">
        <f>IF($EY406="row",INDEX($EO$5:$EO$1003,$EX406),0)</f>
        <v/>
      </c>
      <c r="FV406">
        <f>IF($FS406="S1 Count Change",1,0)</f>
        <v/>
      </c>
    </row>
    <row r="407">
      <c r="DA407" t="n">
        <v>403</v>
      </c>
      <c r="DB407">
        <f>IF($B$37=0,"",IFERROR(TRIM(SUBSTITUTE(SUBSTITUTE(SUBSTITUTE(SUBSTITUTE(INDEX(PASTE_ALL,403,$B$37)," "," "),CHAR(9)," "),CHAR(10)," "),CHAR(13)," ")),""))</f>
        <v/>
      </c>
      <c r="DC407">
        <f>IF(AND(403&gt;HEADER_ROW,UPPER(DB407)="LEGEND"),1,0)</f>
        <v/>
      </c>
      <c r="DE407" t="n">
        <v>403</v>
      </c>
      <c r="DF407">
        <f>HEADER_ROW+$DE407</f>
        <v/>
      </c>
      <c r="DG407">
        <f>IF(AND($DF407&lt;=1000,$DF407&lt;$B$8),1,0)</f>
        <v/>
      </c>
      <c r="DH407">
        <f>IF($DG407=1,IFERROR(INDEX($DB$5:$DB$1004,$DF407),""),"")</f>
        <v/>
      </c>
      <c r="DI407">
        <f>IF(AND($DG407=1,$DH407&lt;&gt;""),IFERROR(SUBSTITUTE(SUBSTITUTE(TRIM(SUBSTITUTE(SUBSTITUTE(SUBSTITUTE(SUBSTITUTE(IFERROR(INDEX(PASTE_ALL,$DF407,1)&amp;"","")&amp;"␟"&amp;IFERROR(INDEX(PASTE_ALL,$DF407,2)&amp;"","")&amp;"␟"&amp;IFERROR(INDEX(PASTE_ALL,$DF407,3)&amp;"","")&amp;"␟"&amp;IFERROR(INDEX(PASTE_ALL,$DF407,4)&amp;"","")&amp;"␟"&amp;IFERROR(INDEX(PASTE_ALL,$DF407,5)&amp;"","")&amp;"␟"&amp;IFERROR(INDEX(PASTE_ALL,$DF407,6)&amp;"","")&amp;"␟"&amp;IFERROR(INDEX(PASTE_ALL,$DF407,7)&amp;"","")&amp;"␟"&amp;IFERROR(INDEX(PASTE_ALL,$DF407,8)&amp;"","")&amp;"␟"&amp;IFERROR(INDEX(PASTE_ALL,$DF407,9)&amp;"","")&amp;"␟"&amp;IFERROR(INDEX(PASTE_ALL,$DF407,10)&amp;"","")&amp;"␟"&amp;IFERROR(INDEX(PASTE_ALL,$DF407,11)&amp;"","")&amp;"␟"&amp;IFERROR(INDEX(PASTE_ALL,$DF407,12)&amp;"","")&amp;"␟"&amp;IFERROR(INDEX(PASTE_ALL,$DF407,13)&amp;"","")&amp;"␟"&amp;IFERROR(INDEX(PASTE_ALL,$DF407,14)&amp;"","")&amp;"␟"&amp;IFERROR(INDEX(PASTE_ALL,$DF407,15)&amp;"","")&amp;"␟"&amp;IFERROR(INDEX(PASTE_ALL,$DF407,16)&amp;"","")&amp;"␟"&amp;IFERROR(INDEX(PASTE_ALL,$DF407,17)&amp;"","")&amp;"␟"&amp;IFERROR(INDEX(PASTE_ALL,$DF407,18)&amp;"","")&amp;"␟"&amp;IFERROR(INDEX(PASTE_ALL,$DF407,19)&amp;"","")&amp;"␟"&amp;IFERROR(INDEX(PASTE_ALL,$DF407,20)&amp;"","")&amp;"␟"&amp;IFERROR(INDEX(PASTE_ALL,$DF407,21)&amp;"","")&amp;"␟"&amp;IFERROR(INDEX(PASTE_ALL,$DF407,22)&amp;"","")&amp;"␟"&amp;IFERROR(INDEX(PASTE_ALL,$DF407,23)&amp;"","")&amp;"␟"&amp;IFERROR(INDEX(PASTE_ALL,$DF407,24)&amp;"","")&amp;"␟"&amp;IFERROR(INDEX(PASTE_ALL,$DF407,25)&amp;"","")&amp;"␟"&amp;IFERROR(INDEX(PASTE_ALL,$DF407,26)&amp;"","")&amp;"␟"&amp;IFERROR(INDEX(PASTE_ALL,$DF407,27)&amp;"","")&amp;"␟"&amp;IFERROR(INDEX(PASTE_ALL,$DF407,28)&amp;"","")&amp;"␟"&amp;IFERROR(INDEX(PASTE_ALL,$DF407,29)&amp;"","")&amp;"␟"&amp;IFERROR(INDEX(PASTE_ALL,$DF407,30)&amp;"","")&amp;"␟"&amp;IFERROR(INDEX(PASTE_ALL,$DF407,31)&amp;"","")&amp;"␟"&amp;IFERROR(INDEX(PASTE_ALL,$DF407,32)&amp;"","")&amp;"␟"&amp;IFERROR(INDEX(PASTE_ALL,$DF407,33)&amp;"","")&amp;"␟"&amp;IFERROR(INDEX(PASTE_ALL,$DF407,34)&amp;"","")&amp;"␟"&amp;IFERROR(INDEX(PASTE_ALL,$DF407,35)&amp;"","")&amp;"␟"&amp;IFERROR(INDEX(PASTE_ALL,$DF407,36)&amp;"","")&amp;"␟"&amp;IFERROR(INDEX(PASTE_ALL,$DF407,37)&amp;"","")&amp;"␟"&amp;IFERROR(INDEX(PASTE_ALL,$DF407,38)&amp;"","")&amp;"␟"&amp;IFERROR(INDEX(PASTE_ALL,$DF407,39)&amp;"","")&amp;"␟"&amp;IFERROR(INDEX(PASTE_ALL,$DF407,40)&amp;"","")&amp;"␟"&amp;IFERROR(INDEX(PASTE_ALL,$DF407,41)&amp;"","")&amp;"␟"&amp;IFERROR(INDEX(PASTE_ALL,$DF407,42)&amp;"","")&amp;"␟"&amp;IFERROR(INDEX(PASTE_ALL,$DF407,43)&amp;"","")&amp;"␟"&amp;IFERROR(INDEX(PASTE_ALL,$DF407,44)&amp;"","")&amp;"␟"&amp;IFERROR(INDEX(PASTE_ALL,$DF407,45)&amp;"","")&amp;"␟"&amp;IFERROR(INDEX(PASTE_ALL,$DF407,46)&amp;"","")&amp;"␟"&amp;IFERROR(INDEX(PASTE_ALL,$DF407,47)&amp;"","")&amp;"␟"&amp;IFERROR(INDEX(PASTE_ALL,$DF407,48)&amp;"","")&amp;"␟"&amp;IFERROR(INDEX(PASTE_ALL,$DF407,49)&amp;"","")&amp;"␟"&amp;IFERROR(INDEX(PASTE_ALL,$DF407,50)&amp;"","")&amp;"␟"&amp;IFERROR(INDEX(PASTE_ALL,$DF407,51)&amp;"","")&amp;"␟"&amp;IFERROR(INDEX(PASTE_ALL,$DF407,52)&amp;"","")&amp;"␟"&amp;IFERROR(INDEX(PASTE_ALL,$DF407,53)&amp;"","")&amp;"␟"&amp;IFERROR(INDEX(PASTE_ALL,$DF407,54)&amp;"","")&amp;"␟"&amp;IFERROR(INDEX(PASTE_ALL,$DF407,55)&amp;"","")&amp;"␟"&amp;IFERROR(INDEX(PASTE_ALL,$DF407,56)&amp;"","")&amp;"␟"&amp;IFERROR(INDEX(PASTE_ALL,$DF407,57)&amp;"","")&amp;"␟"&amp;IFERROR(INDEX(PASTE_ALL,$DF407,58)&amp;"","")&amp;"␟"&amp;IFERROR(INDEX(PASTE_ALL,$DF407,59)&amp;"","")&amp;"␟"&amp;IFERROR(INDEX(PASTE_ALL,$DF407,60)&amp;"","")," "," "),CHAR(9)," "),CHAR(10)," "),CHAR(13)," "))," ␟","␟"),"␟ ","␟"),"#"&amp;$DE407),"")</f>
        <v/>
      </c>
      <c r="DJ407">
        <f>IF($DI407="",0,IF(SUMPRODUCT(--EXACT($DI$4:DI406,$DI407))&gt;0,1,0))</f>
        <v/>
      </c>
      <c r="DK407">
        <f>IF(AND($DI407&lt;&gt;"",$DJ407=0),1,0)</f>
        <v/>
      </c>
      <c r="DL407">
        <f>DL406+$DK407</f>
        <v/>
      </c>
      <c r="DM407">
        <f>IF(AND($DK407=1,$DL407&lt;=600),1,0)</f>
        <v/>
      </c>
      <c r="DN407">
        <f>IF($DM407=0,"",IF($L$6=0,"",IFERROR(IF(ISNUMBER(INDEX(PASTE_ALL,$DF407,$L$6)),INDEX(PASTE_ALL,$DF407,$L$6),TRIM(SUBSTITUTE(SUBSTITUTE(SUBSTITUTE(SUBSTITUTE(INDEX(PASTE_ALL,$DF407,$L$6)," "," "),CHAR(9)," "),CHAR(10)," "),CHAR(13)," "))),"")))</f>
        <v/>
      </c>
      <c r="DO407">
        <f>IF($DM407=0,"",IF($L$7=0,"",IFERROR(IF(ISNUMBER(INDEX(PASTE_ALL,$DF407,$L$7)),INDEX(PASTE_ALL,$DF407,$L$7),TRIM(SUBSTITUTE(SUBSTITUTE(SUBSTITUTE(SUBSTITUTE(INDEX(PASTE_ALL,$DF407,$L$7)," "," "),CHAR(9)," "),CHAR(10)," "),CHAR(13)," "))),"")))</f>
        <v/>
      </c>
      <c r="DP407">
        <f>IF($DM407=0,"",IF($L$8=0,"",IFERROR(IF(ISNUMBER(INDEX(PASTE_ALL,$DF407,$L$8)),INDEX(PASTE_ALL,$DF407,$L$8),TRIM(SUBSTITUTE(SUBSTITUTE(SUBSTITUTE(SUBSTITUTE(INDEX(PASTE_ALL,$DF407,$L$8)," "," "),CHAR(9)," "),CHAR(10)," "),CHAR(13)," "))),"")))</f>
        <v/>
      </c>
      <c r="DQ407">
        <f>IF($DM407=0,"",IF($L$9=0,"",IFERROR(IF(ISNUMBER(INDEX(PASTE_ALL,$DF407,$L$9)),INDEX(PASTE_ALL,$DF407,$L$9),TRIM(SUBSTITUTE(SUBSTITUTE(SUBSTITUTE(SUBSTITUTE(INDEX(PASTE_ALL,$DF407,$L$9)," "," "),CHAR(9)," "),CHAR(10)," "),CHAR(13)," "))),"")))</f>
        <v/>
      </c>
      <c r="DR407">
        <f>IF($DM407=0,"",IF($L$10=0,"",IFERROR(IF(ISNUMBER(INDEX(PASTE_ALL,$DF407,$L$10)),INDEX(PASTE_ALL,$DF407,$L$10),TRIM(SUBSTITUTE(SUBSTITUTE(SUBSTITUTE(SUBSTITUTE(INDEX(PASTE_ALL,$DF407,$L$10)," "," "),CHAR(9)," "),CHAR(10)," "),CHAR(13)," "))),"")))</f>
        <v/>
      </c>
      <c r="DS407">
        <f>IF($DM407=0,"",IF($L$11=0,"",IFERROR(IF(ISNUMBER(INDEX(PASTE_ALL,$DF407,$L$11)),INDEX(PASTE_ALL,$DF407,$L$11),TRIM(SUBSTITUTE(SUBSTITUTE(SUBSTITUTE(SUBSTITUTE(INDEX(PASTE_ALL,$DF407,$L$11)," "," "),CHAR(9)," "),CHAR(10)," "),CHAR(13)," "))),"")))</f>
        <v/>
      </c>
      <c r="DT407">
        <f>IF($DM407=0,"",IF($L$12=0,"",IFERROR(IF(ISNUMBER(INDEX(PASTE_ALL,$DF407,$L$12)),INDEX(PASTE_ALL,$DF407,$L$12),TRIM(SUBSTITUTE(SUBSTITUTE(SUBSTITUTE(SUBSTITUTE(INDEX(PASTE_ALL,$DF407,$L$12)," "," "),CHAR(9)," "),CHAR(10)," "),CHAR(13)," "))),"")))</f>
        <v/>
      </c>
      <c r="DU407">
        <f>IF($DM407=0,"",IF($L$13=0,"",IFERROR(IF(ISNUMBER(INDEX(PASTE_ALL,$DF407,$L$13)),INDEX(PASTE_ALL,$DF407,$L$13),TRIM(SUBSTITUTE(SUBSTITUTE(SUBSTITUTE(SUBSTITUTE(INDEX(PASTE_ALL,$DF407,$L$13)," "," "),CHAR(9)," "),CHAR(10)," "),CHAR(13)," "))),"")))</f>
        <v/>
      </c>
      <c r="DV407">
        <f>IF($DM407=0,"",IF($L$14=0,"",IFERROR(IF(ISNUMBER(INDEX(PASTE_ALL,$DF407,$L$14)),INDEX(PASTE_ALL,$DF407,$L$14),TRIM(SUBSTITUTE(SUBSTITUTE(SUBSTITUTE(SUBSTITUTE(INDEX(PASTE_ALL,$DF407,$L$14)," "," "),CHAR(9)," "),CHAR(10)," "),CHAR(13)," "))),"")))</f>
        <v/>
      </c>
      <c r="DW407">
        <f>IF($DM407=0,"",IF($L$15=0,"",IFERROR(IF(ISNUMBER(INDEX(PASTE_ALL,$DF407,$L$15)),INDEX(PASTE_ALL,$DF407,$L$15),IF(SUMPRODUCT(--ISNUMBER(FIND({"A","B","C","D","E","F","G","H","I","J","K","L","M","N","O","P","Q","R","S","T","U","V","W","X","Y","Z","0","1","2","3","4","5","6","7","8","9"},UPPER(TRIM(SUBSTITUTE(SUBSTITUTE(SUBSTITUTE(SUBSTITUTE(INDEX(PASTE_ALL,$DF407,$L$15)," "," "),CHAR(9)," "),CHAR(10)," "),CHAR(13)," "))))))&gt;0,TRIM(SUBSTITUTE(SUBSTITUTE(SUBSTITUTE(SUBSTITUTE(INDEX(PASTE_ALL,$DF407,$L$15)," "," "),CHAR(9)," "),CHAR(10)," "),CHAR(13)," ")),"")),"")))</f>
        <v/>
      </c>
      <c r="DX407">
        <f>IF($DM407=0,"",IF($L$16=0,"",IFERROR(IF(ISNUMBER(INDEX(PASTE_ALL,$DF407,$L$16)),INDEX(PASTE_ALL,$DF407,$L$16),SUBSTITUTE(SUBSTITUTE(TRIM(SUBSTITUTE(SUBSTITUTE(SUBSTITUTE(SUBSTITUTE(INDEX(PASTE_ALL,$DF407,$L$16)," "," "),CHAR(9)," "),CHAR(10)," "),CHAR(13)," ")),",",""),"%","")),"")))</f>
        <v/>
      </c>
      <c r="DY407">
        <f>IF($DM407=0,"",IFERROR(IF(ISNUMBER($DX407),$DX407,IF($DX407="","",IF(TRIM($DX407)="",0,IF(AND(AND(SUBSTITUTE(SUBSTITUTE(SUBSTITUTE(SUBSTITUTE(SUBSTITUTE(SUBSTITUTE(SUBSTITUTE(SUBSTITUTE(SUBSTITUTE(SUBSTITUTE(SUBSTITUTE(SUBSTITUTE(SUBSTITUTE(SUBSTITUTE(UPPER(TRIM($DX407)),"0",""),"1",""),"2",""),"3",""),"4",""),"5",""),"6",""),"7",""),"8",""),"9",""),".",""),"+",""),"-",""),"E","")="",LEN(SUBSTITUTE(SUBSTITUTE(MID(UPPER(TRIM($DX407)),1+OR(LEFT(UPPER(TRIM($DX407)),1)="+",LEFT(UPPER(TRIM($DX407)),1)="-"),999),"E+","E"),"E-","E"))=LEN(SUBSTITUTE(SUBSTITUTE(SUBSTITUTE(SUBSTITUTE(MID(UPPER(TRIM($DX407)),1+OR(LEFT(UPPER(TRIM($DX407)),1)="+",LEFT(UPPER(TRIM($DX407)),1)="-"),999),"E+","E"),"E-","E"),"+",""),"-","")),LEN(UPPER(TRIM($DX407)))-LEN(SUBSTITUTE(UPPER(TRIM($DX407)),"E",""))&lt;2,LEN(UPPER(TRIM($DX407)))-LEN(SUBSTITUTE(UPPER(TRIM($DX407)),".",""))&lt;2,IFERROR(FIND(".",UPPER(TRIM($DX407))),0)&lt;IFERROR(FIND("E",UPPER(TRIM($DX407))),999)),ISNUMBER(VALUE(TRIM($DX407)))),VALUE(TRIM($DX407)),"")))),""))</f>
        <v/>
      </c>
      <c r="DZ407">
        <f>IF($DM407=0,"",IF($L$17=0,"",IFERROR(IF(ISNUMBER(INDEX(PASTE_ALL,$DF407,$L$17)),INDEX(PASTE_ALL,$DF407,$L$17),SUBSTITUTE(SUBSTITUTE(TRIM(SUBSTITUTE(SUBSTITUTE(SUBSTITUTE(SUBSTITUTE(INDEX(PASTE_ALL,$DF407,$L$17)," "," "),CHAR(9)," "),CHAR(10)," "),CHAR(13)," ")),",",""),"%","")),"")))</f>
        <v/>
      </c>
      <c r="EA407">
        <f>IF($DM407=0,"",IFERROR(IF(ISNUMBER($DZ407),$DZ407,IF($DZ407="","",IF(TRIM($DZ407)="",0,IF(AND(AND(SUBSTITUTE(SUBSTITUTE(SUBSTITUTE(SUBSTITUTE(SUBSTITUTE(SUBSTITUTE(SUBSTITUTE(SUBSTITUTE(SUBSTITUTE(SUBSTITUTE(SUBSTITUTE(SUBSTITUTE(SUBSTITUTE(SUBSTITUTE(UPPER(TRIM($DZ407)),"0",""),"1",""),"2",""),"3",""),"4",""),"5",""),"6",""),"7",""),"8",""),"9",""),".",""),"+",""),"-",""),"E","")="",LEN(SUBSTITUTE(SUBSTITUTE(MID(UPPER(TRIM($DZ407)),1+OR(LEFT(UPPER(TRIM($DZ407)),1)="+",LEFT(UPPER(TRIM($DZ407)),1)="-"),999),"E+","E"),"E-","E"))=LEN(SUBSTITUTE(SUBSTITUTE(SUBSTITUTE(SUBSTITUTE(MID(UPPER(TRIM($DZ407)),1+OR(LEFT(UPPER(TRIM($DZ407)),1)="+",LEFT(UPPER(TRIM($DZ407)),1)="-"),999),"E+","E"),"E-","E"),"+",""),"-","")),LEN(UPPER(TRIM($DZ407)))-LEN(SUBSTITUTE(UPPER(TRIM($DZ407)),"E",""))&lt;2,LEN(UPPER(TRIM($DZ407)))-LEN(SUBSTITUTE(UPPER(TRIM($DZ407)),".",""))&lt;2,IFERROR(FIND(".",UPPER(TRIM($DZ407))),0)&lt;IFERROR(FIND("E",UPPER(TRIM($DZ407))),999)),ISNUMBER(VALUE(TRIM($DZ407)))),VALUE(TRIM($DZ407)),"")))),""))</f>
        <v/>
      </c>
      <c r="EB407">
        <f>IF($DM407=0,"",IF($L$18=0,"",IFERROR(IF(UPPER(TRIM(SUBSTITUTE(SUBSTITUTE(SUBSTITUTE(SUBSTITUTE(INDEX(PASTE_ALL,$DF407,$L$18)," "," "),CHAR(9)," "),CHAR(10)," "),CHAR(13)," ")))="READY","Ready",IF(UPPER(TRIM(SUBSTITUTE(SUBSTITUTE(SUBSTITUTE(SUBSTITUTE(INDEX(PASTE_ALL,$DF407,$L$18)," "," "),CHAR(9)," "),CHAR(10)," "),CHAR(13)," ")))="PM","PM",IF(OR(UPPER(TRIM(SUBSTITUTE(SUBSTITUTE(SUBSTITUTE(SUBSTITUTE(INDEX(PASTE_ALL,$DF407,$L$18)," "," "),CHAR(9)," "),CHAR(10)," "),CHAR(13)," ")))="OT",UPPER(TRIM(SUBSTITUTE(SUBSTITUTE(SUBSTITUTE(SUBSTITUTE(INDEX(PASTE_ALL,$DF407,$L$18)," "," "),CHAR(9)," "),CHAR(10)," "),CHAR(13)," ")))="OVERTIME",UPPER(TRIM(SUBSTITUTE(SUBSTITUTE(SUBSTITUTE(SUBSTITUTE(INDEX(PASTE_ALL,$DF407,$L$18)," "," "),CHAR(9)," "),CHAR(10)," "),CHAR(13)," ")))="TRIAL"),"OT",TRIM(SUBSTITUTE(SUBSTITUTE(SUBSTITUTE(SUBSTITUTE(INDEX(PASTE_ALL,$DF407,$L$18)," "," "),CHAR(9)," "),CHAR(10)," "),CHAR(13)," "))))),"")))</f>
        <v/>
      </c>
      <c r="EC407">
        <f>IF($DM407=0,"",IF($L$19=0,"",IFERROR(IF(ISNUMBER(INDEX(PASTE_ALL,$DF407,$L$19)),INDEX(PASTE_ALL,$DF407,$L$19),TRIM(SUBSTITUTE(SUBSTITUTE(SUBSTITUTE(SUBSTITUTE(INDEX(PASTE_ALL,$DF407,$L$19)," "," "),CHAR(9)," "),CHAR(10)," "),CHAR(13)," "))),"")))</f>
        <v/>
      </c>
      <c r="ED407">
        <f>IF($DM407=0,"",MATCH(1,INDEX(EXACT($DH$5:DH407,$DH407)*$DM$5:DM407,0),0))</f>
        <v/>
      </c>
      <c r="EE407">
        <f>IF($DM407=0,0,IF($ED407=$DE407,1,0))</f>
        <v/>
      </c>
      <c r="EF407">
        <f>EF406+$EE407</f>
        <v/>
      </c>
      <c r="EG407">
        <f>IF($DM407=0,"",INDEX($EF$5:$EF$1003,$ED407))</f>
        <v/>
      </c>
      <c r="EH407">
        <f>IF($DM407=0,"",IF($DO407&lt;&gt;"","",IFERROR(LOOKUP(2,1/(($EG$4:EG406=$EG407)*($DO$4:DO406&lt;&gt;"")),$DO$4:DO406),"")))</f>
        <v/>
      </c>
      <c r="EI407">
        <f>IF($DM407=0,"",IF($DO407&lt;&gt;"",$DO407,$EH407))</f>
        <v/>
      </c>
      <c r="EJ407">
        <f>IF($DM407=0,"",IF($EI407="",0,IF(OR(ISNUMBER($EI407),AND(AND(SUBSTITUTE(SUBSTITUTE(SUBSTITUTE(SUBSTITUTE(SUBSTITUTE(SUBSTITUTE(SUBSTITUTE(SUBSTITUTE(SUBSTITUTE(SUBSTITUTE(SUBSTITUTE(SUBSTITUTE(SUBSTITUTE(SUBSTITUTE(UPPER($EI407),"0",""),"1",""),"2",""),"3",""),"4",""),"5",""),"6",""),"7",""),"8",""),"9",""),".",""),"+",""),"-",""),"E","")="",LEN(SUBSTITUTE(SUBSTITUTE(MID(UPPER($EI407),1+OR(LEFT(UPPER($EI407),1)="+",LEFT(UPPER($EI407),1)="-"),999),"E+","E"),"E-","E"))=LEN(SUBSTITUTE(SUBSTITUTE(SUBSTITUTE(SUBSTITUTE(MID(UPPER($EI407),1+OR(LEFT(UPPER($EI407),1)="+",LEFT(UPPER($EI407),1)="-"),999),"E+","E"),"E-","E"),"+",""),"-","")),LEN(UPPER($EI407))-LEN(SUBSTITUTE(UPPER($EI407),"E",""))&lt;2,LEN(UPPER($EI407))-LEN(SUBSTITUTE(UPPER($EI407),".",""))&lt;2,IFERROR(FIND(".",UPPER($EI407)),0)&lt;IFERROR(FIND("E",UPPER($EI407)),999)),ISNUMBER(VALUE($EI407)))),1,2)))</f>
        <v/>
      </c>
      <c r="EK407">
        <f>IF($DM407=0,"",IF($EJ407=1,IF(ISNUMBER($EI407),$EI407,VALUE($EI407)),IF($EJ407=2,$DE407,0)))</f>
        <v/>
      </c>
      <c r="EL407">
        <f>IF($DM407=0,"",COUNTIF($EG$5:$EG$1003,"&lt;"&amp;$EG407)+SUMPRODUCT(($EG$5:$EG$1003=$EG407)*(($EJ$5:$EJ$1003&lt;$EJ407)+($EJ$5:$EJ$1003=$EJ407)*(($EK$5:$EK$1003&lt;$EK407)+($EK$5:$EK$1003=$EK407)*($DE$5:$DE$1003&lt;$DE407))))+1)</f>
        <v/>
      </c>
      <c r="EM407">
        <f>IF($DM407=0,"",$EL407+$EG407-1)</f>
        <v/>
      </c>
      <c r="EN407">
        <f>IF($DM407=0,0,IFERROR(MATCH(1,INDEX(--(TRIM(SUBSTITUTE(SUBSTITUTE(SUBSTITUTE(SUBSTITUTE(LINES_NAME&amp;""," "," "),CHAR(9)," "),CHAR(10)," "),CHAR(13)," "))=$DH407),0),0),0))</f>
        <v/>
      </c>
      <c r="EO407">
        <f>IF($EN407=0,0,IF(OR(UPPER(TRIM(INDEX(LINES_SCHEDULED,$EN407)&amp;""))="YES",UPPER(TRIM(INDEX(LINES_SCHEDULED,$EN407)&amp;""))="Y",UPPER(TRIM(INDEX(LINES_SCHEDULED,$EN407)&amp;""))="X"),1,0))</f>
        <v/>
      </c>
      <c r="EP407">
        <f>IF($DM407=0,"",IF(COUNTIFS($EG$5:$EG$1003,$EG407,$EB$5:$EB$1003,"Ready")&gt;0,"READY",IF(COUNTIFS($EG$5:$EG$1003,$EG407,$EB$5:$EB$1003,"PM")&gt;0,"PM",IF(COUNTIFS($EG$5:$EG$1003,$EG407,$EB$5:$EB$1003,"OT")&gt;0,"OT",""))))</f>
        <v/>
      </c>
      <c r="EQ407">
        <f>IF($EN407=0,"",UPPER(TRIM(INDEX(LINES_STATUS,$EN407)&amp;"")))</f>
        <v/>
      </c>
      <c r="ER407">
        <f>IF($DM407=0,"",IF(OR($EQ407="READY",$EQ407="PM",$EQ407="OT"),$EQ407,$EP407))</f>
        <v/>
      </c>
      <c r="ES407">
        <f>IF($DM407=0,"",IF(AND($DV407&lt;&gt;"",UPPER($DV407)&lt;&gt;"N"),"allergen",IF(ISNUMBER(SEARCH("oil",$DQ407)),"oil",IF(OR(EXACT($DS407,"A662"),EXACT($DS407,"A624")),"bulk",""))))</f>
        <v/>
      </c>
      <c r="ET407">
        <f>IF($DM407=0,"",IF(OR($EA407="",$EA407=0),"",$EA407/100))</f>
        <v/>
      </c>
      <c r="EU407">
        <f>IF(OR($ET407="",$DY407=""),"",INT($DY407*(1-$ET407)+0.5))</f>
        <v/>
      </c>
      <c r="EW407" t="n">
        <v>403</v>
      </c>
      <c r="EX407">
        <f>IFERROR(MATCH($EW407,$EM$5:$EM$1003,0),0)</f>
        <v/>
      </c>
      <c r="EY407">
        <f>IF($EW407&gt;$B$12,"",IF($EX407&gt;0,"row","spacer"))</f>
        <v/>
      </c>
      <c r="EZ407">
        <f>IF(AND($EY407="row",$EY406&lt;&gt;"row"),1,0)</f>
        <v/>
      </c>
      <c r="FA407">
        <f>IF(AND($EY407="row",$EY408&lt;&gt;"row"),1,0)</f>
        <v/>
      </c>
      <c r="FB407">
        <f>IF($EZ407=1,IFERROR(IF(ISNUMBER(INDEX(PASTE_ALL,INDEX($DF$5:$DF$1003,$EX407),$B$37)),INDEX(PASTE_ALL,INDEX($DF$5:$DF$1003,$EX407),$B$37),INDEX($DH$5:$DH$1003,$EX407)),INDEX($DH$5:$DH$1003,$EX407)),"")</f>
        <v/>
      </c>
      <c r="FC407">
        <f>IF($EY407="row",INDEX($ER$5:$ER$1003,$EX407),"")</f>
        <v/>
      </c>
      <c r="FD407">
        <f>IF($EY407="row",INDEX($DN$5:$DN$1003,$EX407),"")</f>
        <v/>
      </c>
      <c r="FE407">
        <f>IF($EY407="row",INDEX($DO$5:$DO$1003,$EX407),"")</f>
        <v/>
      </c>
      <c r="FF407">
        <f>IF($EY407="row",INDEX($DP$5:$DP$1003,$EX407),"")</f>
        <v/>
      </c>
      <c r="FG407">
        <f>IF($EY407="row",INDEX($DQ$5:$DQ$1003,$EX407),"")</f>
        <v/>
      </c>
      <c r="FH407">
        <f>IF($EY407="row",INDEX($DR$5:$DR$1003,$EX407),"")</f>
        <v/>
      </c>
      <c r="FI407">
        <f>IF($EY407="row",INDEX($DS$5:$DS$1003,$EX407),"")</f>
        <v/>
      </c>
      <c r="FJ407">
        <f>IF($EY407="row",INDEX($DT$5:$DT$1003,$EX407),"")</f>
        <v/>
      </c>
      <c r="FK407">
        <f>IF($EY407="row",INDEX($DU$5:$DU$1003,$EX407),"")</f>
        <v/>
      </c>
      <c r="FL407">
        <f>IF($EY407="row",INDEX($DV$5:$DV$1003,$EX407),"")</f>
        <v/>
      </c>
      <c r="FM407">
        <f>IF($EY407="row",INDEX($DW$5:$DW$1003,$EX407),"")</f>
        <v/>
      </c>
      <c r="FN407">
        <f>IF($EY407="row",INDEX($DY$5:$DY$1003,$EX407),"")</f>
        <v/>
      </c>
      <c r="FO407">
        <f>IF($EY407="row",INDEX($EA$5:$EA$1003,$EX407),"")</f>
        <v/>
      </c>
      <c r="FP407">
        <f>IF($EY407="row",INDEX($EC$5:$EC$1003,$EX407),"")</f>
        <v/>
      </c>
      <c r="FQ407">
        <f>IF($EY407="row",INDEX($ET$5:$ET$1003,$EX407),"")</f>
        <v/>
      </c>
      <c r="FR407">
        <f>IF($EY407="row",INDEX($EU$5:$EU$1003,$EX407),"")</f>
        <v/>
      </c>
      <c r="FS407">
        <f>IF(AND($EY407="row",$EY406="row"),IF(OR(INDEX($DT$5:$DT$1003,$EX406)="",INDEX($DT$5:$DT$1003,$EX407)=""),"",IF(NOT(EXACT(INDEX($DT$5:$DT$1003,$EX406),INDEX($DT$5:$DT$1003,$EX407))),"S4",IF(NOT(EXACT(INDEX($DS$5:$DS$1003,$EX406),INDEX($DS$5:$DS$1003,$EX407))),"S3",IF(NOT(EXACT(INDEX($DR$5:$DR$1003,$EX406),INDEX($DR$5:$DR$1003,$EX407))),"S1 Count Change","S1")))),"")</f>
        <v/>
      </c>
      <c r="FT407">
        <f>IF($EY407="row",INDEX($ES$5:$ES$1003,$EX407),"")</f>
        <v/>
      </c>
      <c r="FU407">
        <f>IF($EY407="row",INDEX($EO$5:$EO$1003,$EX407),0)</f>
        <v/>
      </c>
      <c r="FV407">
        <f>IF($FS407="S1 Count Change",1,0)</f>
        <v/>
      </c>
    </row>
    <row r="408">
      <c r="DA408" t="n">
        <v>404</v>
      </c>
      <c r="DB408">
        <f>IF($B$37=0,"",IFERROR(TRIM(SUBSTITUTE(SUBSTITUTE(SUBSTITUTE(SUBSTITUTE(INDEX(PASTE_ALL,404,$B$37)," "," "),CHAR(9)," "),CHAR(10)," "),CHAR(13)," ")),""))</f>
        <v/>
      </c>
      <c r="DC408">
        <f>IF(AND(404&gt;HEADER_ROW,UPPER(DB408)="LEGEND"),1,0)</f>
        <v/>
      </c>
      <c r="DE408" t="n">
        <v>404</v>
      </c>
      <c r="DF408">
        <f>HEADER_ROW+$DE408</f>
        <v/>
      </c>
      <c r="DG408">
        <f>IF(AND($DF408&lt;=1000,$DF408&lt;$B$8),1,0)</f>
        <v/>
      </c>
      <c r="DH408">
        <f>IF($DG408=1,IFERROR(INDEX($DB$5:$DB$1004,$DF408),""),"")</f>
        <v/>
      </c>
      <c r="DI408">
        <f>IF(AND($DG408=1,$DH408&lt;&gt;""),IFERROR(SUBSTITUTE(SUBSTITUTE(TRIM(SUBSTITUTE(SUBSTITUTE(SUBSTITUTE(SUBSTITUTE(IFERROR(INDEX(PASTE_ALL,$DF408,1)&amp;"","")&amp;"␟"&amp;IFERROR(INDEX(PASTE_ALL,$DF408,2)&amp;"","")&amp;"␟"&amp;IFERROR(INDEX(PASTE_ALL,$DF408,3)&amp;"","")&amp;"␟"&amp;IFERROR(INDEX(PASTE_ALL,$DF408,4)&amp;"","")&amp;"␟"&amp;IFERROR(INDEX(PASTE_ALL,$DF408,5)&amp;"","")&amp;"␟"&amp;IFERROR(INDEX(PASTE_ALL,$DF408,6)&amp;"","")&amp;"␟"&amp;IFERROR(INDEX(PASTE_ALL,$DF408,7)&amp;"","")&amp;"␟"&amp;IFERROR(INDEX(PASTE_ALL,$DF408,8)&amp;"","")&amp;"␟"&amp;IFERROR(INDEX(PASTE_ALL,$DF408,9)&amp;"","")&amp;"␟"&amp;IFERROR(INDEX(PASTE_ALL,$DF408,10)&amp;"","")&amp;"␟"&amp;IFERROR(INDEX(PASTE_ALL,$DF408,11)&amp;"","")&amp;"␟"&amp;IFERROR(INDEX(PASTE_ALL,$DF408,12)&amp;"","")&amp;"␟"&amp;IFERROR(INDEX(PASTE_ALL,$DF408,13)&amp;"","")&amp;"␟"&amp;IFERROR(INDEX(PASTE_ALL,$DF408,14)&amp;"","")&amp;"␟"&amp;IFERROR(INDEX(PASTE_ALL,$DF408,15)&amp;"","")&amp;"␟"&amp;IFERROR(INDEX(PASTE_ALL,$DF408,16)&amp;"","")&amp;"␟"&amp;IFERROR(INDEX(PASTE_ALL,$DF408,17)&amp;"","")&amp;"␟"&amp;IFERROR(INDEX(PASTE_ALL,$DF408,18)&amp;"","")&amp;"␟"&amp;IFERROR(INDEX(PASTE_ALL,$DF408,19)&amp;"","")&amp;"␟"&amp;IFERROR(INDEX(PASTE_ALL,$DF408,20)&amp;"","")&amp;"␟"&amp;IFERROR(INDEX(PASTE_ALL,$DF408,21)&amp;"","")&amp;"␟"&amp;IFERROR(INDEX(PASTE_ALL,$DF408,22)&amp;"","")&amp;"␟"&amp;IFERROR(INDEX(PASTE_ALL,$DF408,23)&amp;"","")&amp;"␟"&amp;IFERROR(INDEX(PASTE_ALL,$DF408,24)&amp;"","")&amp;"␟"&amp;IFERROR(INDEX(PASTE_ALL,$DF408,25)&amp;"","")&amp;"␟"&amp;IFERROR(INDEX(PASTE_ALL,$DF408,26)&amp;"","")&amp;"␟"&amp;IFERROR(INDEX(PASTE_ALL,$DF408,27)&amp;"","")&amp;"␟"&amp;IFERROR(INDEX(PASTE_ALL,$DF408,28)&amp;"","")&amp;"␟"&amp;IFERROR(INDEX(PASTE_ALL,$DF408,29)&amp;"","")&amp;"␟"&amp;IFERROR(INDEX(PASTE_ALL,$DF408,30)&amp;"","")&amp;"␟"&amp;IFERROR(INDEX(PASTE_ALL,$DF408,31)&amp;"","")&amp;"␟"&amp;IFERROR(INDEX(PASTE_ALL,$DF408,32)&amp;"","")&amp;"␟"&amp;IFERROR(INDEX(PASTE_ALL,$DF408,33)&amp;"","")&amp;"␟"&amp;IFERROR(INDEX(PASTE_ALL,$DF408,34)&amp;"","")&amp;"␟"&amp;IFERROR(INDEX(PASTE_ALL,$DF408,35)&amp;"","")&amp;"␟"&amp;IFERROR(INDEX(PASTE_ALL,$DF408,36)&amp;"","")&amp;"␟"&amp;IFERROR(INDEX(PASTE_ALL,$DF408,37)&amp;"","")&amp;"␟"&amp;IFERROR(INDEX(PASTE_ALL,$DF408,38)&amp;"","")&amp;"␟"&amp;IFERROR(INDEX(PASTE_ALL,$DF408,39)&amp;"","")&amp;"␟"&amp;IFERROR(INDEX(PASTE_ALL,$DF408,40)&amp;"","")&amp;"␟"&amp;IFERROR(INDEX(PASTE_ALL,$DF408,41)&amp;"","")&amp;"␟"&amp;IFERROR(INDEX(PASTE_ALL,$DF408,42)&amp;"","")&amp;"␟"&amp;IFERROR(INDEX(PASTE_ALL,$DF408,43)&amp;"","")&amp;"␟"&amp;IFERROR(INDEX(PASTE_ALL,$DF408,44)&amp;"","")&amp;"␟"&amp;IFERROR(INDEX(PASTE_ALL,$DF408,45)&amp;"","")&amp;"␟"&amp;IFERROR(INDEX(PASTE_ALL,$DF408,46)&amp;"","")&amp;"␟"&amp;IFERROR(INDEX(PASTE_ALL,$DF408,47)&amp;"","")&amp;"␟"&amp;IFERROR(INDEX(PASTE_ALL,$DF408,48)&amp;"","")&amp;"␟"&amp;IFERROR(INDEX(PASTE_ALL,$DF408,49)&amp;"","")&amp;"␟"&amp;IFERROR(INDEX(PASTE_ALL,$DF408,50)&amp;"","")&amp;"␟"&amp;IFERROR(INDEX(PASTE_ALL,$DF408,51)&amp;"","")&amp;"␟"&amp;IFERROR(INDEX(PASTE_ALL,$DF408,52)&amp;"","")&amp;"␟"&amp;IFERROR(INDEX(PASTE_ALL,$DF408,53)&amp;"","")&amp;"␟"&amp;IFERROR(INDEX(PASTE_ALL,$DF408,54)&amp;"","")&amp;"␟"&amp;IFERROR(INDEX(PASTE_ALL,$DF408,55)&amp;"","")&amp;"␟"&amp;IFERROR(INDEX(PASTE_ALL,$DF408,56)&amp;"","")&amp;"␟"&amp;IFERROR(INDEX(PASTE_ALL,$DF408,57)&amp;"","")&amp;"␟"&amp;IFERROR(INDEX(PASTE_ALL,$DF408,58)&amp;"","")&amp;"␟"&amp;IFERROR(INDEX(PASTE_ALL,$DF408,59)&amp;"","")&amp;"␟"&amp;IFERROR(INDEX(PASTE_ALL,$DF408,60)&amp;"","")," "," "),CHAR(9)," "),CHAR(10)," "),CHAR(13)," "))," ␟","␟"),"␟ ","␟"),"#"&amp;$DE408),"")</f>
        <v/>
      </c>
      <c r="DJ408">
        <f>IF($DI408="",0,IF(SUMPRODUCT(--EXACT($DI$4:DI407,$DI408))&gt;0,1,0))</f>
        <v/>
      </c>
      <c r="DK408">
        <f>IF(AND($DI408&lt;&gt;"",$DJ408=0),1,0)</f>
        <v/>
      </c>
      <c r="DL408">
        <f>DL407+$DK408</f>
        <v/>
      </c>
      <c r="DM408">
        <f>IF(AND($DK408=1,$DL408&lt;=600),1,0)</f>
        <v/>
      </c>
      <c r="DN408">
        <f>IF($DM408=0,"",IF($L$6=0,"",IFERROR(IF(ISNUMBER(INDEX(PASTE_ALL,$DF408,$L$6)),INDEX(PASTE_ALL,$DF408,$L$6),TRIM(SUBSTITUTE(SUBSTITUTE(SUBSTITUTE(SUBSTITUTE(INDEX(PASTE_ALL,$DF408,$L$6)," "," "),CHAR(9)," "),CHAR(10)," "),CHAR(13)," "))),"")))</f>
        <v/>
      </c>
      <c r="DO408">
        <f>IF($DM408=0,"",IF($L$7=0,"",IFERROR(IF(ISNUMBER(INDEX(PASTE_ALL,$DF408,$L$7)),INDEX(PASTE_ALL,$DF408,$L$7),TRIM(SUBSTITUTE(SUBSTITUTE(SUBSTITUTE(SUBSTITUTE(INDEX(PASTE_ALL,$DF408,$L$7)," "," "),CHAR(9)," "),CHAR(10)," "),CHAR(13)," "))),"")))</f>
        <v/>
      </c>
      <c r="DP408">
        <f>IF($DM408=0,"",IF($L$8=0,"",IFERROR(IF(ISNUMBER(INDEX(PASTE_ALL,$DF408,$L$8)),INDEX(PASTE_ALL,$DF408,$L$8),TRIM(SUBSTITUTE(SUBSTITUTE(SUBSTITUTE(SUBSTITUTE(INDEX(PASTE_ALL,$DF408,$L$8)," "," "),CHAR(9)," "),CHAR(10)," "),CHAR(13)," "))),"")))</f>
        <v/>
      </c>
      <c r="DQ408">
        <f>IF($DM408=0,"",IF($L$9=0,"",IFERROR(IF(ISNUMBER(INDEX(PASTE_ALL,$DF408,$L$9)),INDEX(PASTE_ALL,$DF408,$L$9),TRIM(SUBSTITUTE(SUBSTITUTE(SUBSTITUTE(SUBSTITUTE(INDEX(PASTE_ALL,$DF408,$L$9)," "," "),CHAR(9)," "),CHAR(10)," "),CHAR(13)," "))),"")))</f>
        <v/>
      </c>
      <c r="DR408">
        <f>IF($DM408=0,"",IF($L$10=0,"",IFERROR(IF(ISNUMBER(INDEX(PASTE_ALL,$DF408,$L$10)),INDEX(PASTE_ALL,$DF408,$L$10),TRIM(SUBSTITUTE(SUBSTITUTE(SUBSTITUTE(SUBSTITUTE(INDEX(PASTE_ALL,$DF408,$L$10)," "," "),CHAR(9)," "),CHAR(10)," "),CHAR(13)," "))),"")))</f>
        <v/>
      </c>
      <c r="DS408">
        <f>IF($DM408=0,"",IF($L$11=0,"",IFERROR(IF(ISNUMBER(INDEX(PASTE_ALL,$DF408,$L$11)),INDEX(PASTE_ALL,$DF408,$L$11),TRIM(SUBSTITUTE(SUBSTITUTE(SUBSTITUTE(SUBSTITUTE(INDEX(PASTE_ALL,$DF408,$L$11)," "," "),CHAR(9)," "),CHAR(10)," "),CHAR(13)," "))),"")))</f>
        <v/>
      </c>
      <c r="DT408">
        <f>IF($DM408=0,"",IF($L$12=0,"",IFERROR(IF(ISNUMBER(INDEX(PASTE_ALL,$DF408,$L$12)),INDEX(PASTE_ALL,$DF408,$L$12),TRIM(SUBSTITUTE(SUBSTITUTE(SUBSTITUTE(SUBSTITUTE(INDEX(PASTE_ALL,$DF408,$L$12)," "," "),CHAR(9)," "),CHAR(10)," "),CHAR(13)," "))),"")))</f>
        <v/>
      </c>
      <c r="DU408">
        <f>IF($DM408=0,"",IF($L$13=0,"",IFERROR(IF(ISNUMBER(INDEX(PASTE_ALL,$DF408,$L$13)),INDEX(PASTE_ALL,$DF408,$L$13),TRIM(SUBSTITUTE(SUBSTITUTE(SUBSTITUTE(SUBSTITUTE(INDEX(PASTE_ALL,$DF408,$L$13)," "," "),CHAR(9)," "),CHAR(10)," "),CHAR(13)," "))),"")))</f>
        <v/>
      </c>
      <c r="DV408">
        <f>IF($DM408=0,"",IF($L$14=0,"",IFERROR(IF(ISNUMBER(INDEX(PASTE_ALL,$DF408,$L$14)),INDEX(PASTE_ALL,$DF408,$L$14),TRIM(SUBSTITUTE(SUBSTITUTE(SUBSTITUTE(SUBSTITUTE(INDEX(PASTE_ALL,$DF408,$L$14)," "," "),CHAR(9)," "),CHAR(10)," "),CHAR(13)," "))),"")))</f>
        <v/>
      </c>
      <c r="DW408">
        <f>IF($DM408=0,"",IF($L$15=0,"",IFERROR(IF(ISNUMBER(INDEX(PASTE_ALL,$DF408,$L$15)),INDEX(PASTE_ALL,$DF408,$L$15),IF(SUMPRODUCT(--ISNUMBER(FIND({"A","B","C","D","E","F","G","H","I","J","K","L","M","N","O","P","Q","R","S","T","U","V","W","X","Y","Z","0","1","2","3","4","5","6","7","8","9"},UPPER(TRIM(SUBSTITUTE(SUBSTITUTE(SUBSTITUTE(SUBSTITUTE(INDEX(PASTE_ALL,$DF408,$L$15)," "," "),CHAR(9)," "),CHAR(10)," "),CHAR(13)," "))))))&gt;0,TRIM(SUBSTITUTE(SUBSTITUTE(SUBSTITUTE(SUBSTITUTE(INDEX(PASTE_ALL,$DF408,$L$15)," "," "),CHAR(9)," "),CHAR(10)," "),CHAR(13)," ")),"")),"")))</f>
        <v/>
      </c>
      <c r="DX408">
        <f>IF($DM408=0,"",IF($L$16=0,"",IFERROR(IF(ISNUMBER(INDEX(PASTE_ALL,$DF408,$L$16)),INDEX(PASTE_ALL,$DF408,$L$16),SUBSTITUTE(SUBSTITUTE(TRIM(SUBSTITUTE(SUBSTITUTE(SUBSTITUTE(SUBSTITUTE(INDEX(PASTE_ALL,$DF408,$L$16)," "," "),CHAR(9)," "),CHAR(10)," "),CHAR(13)," ")),",",""),"%","")),"")))</f>
        <v/>
      </c>
      <c r="DY408">
        <f>IF($DM408=0,"",IFERROR(IF(ISNUMBER($DX408),$DX408,IF($DX408="","",IF(TRIM($DX408)="",0,IF(AND(AND(SUBSTITUTE(SUBSTITUTE(SUBSTITUTE(SUBSTITUTE(SUBSTITUTE(SUBSTITUTE(SUBSTITUTE(SUBSTITUTE(SUBSTITUTE(SUBSTITUTE(SUBSTITUTE(SUBSTITUTE(SUBSTITUTE(SUBSTITUTE(UPPER(TRIM($DX408)),"0",""),"1",""),"2",""),"3",""),"4",""),"5",""),"6",""),"7",""),"8",""),"9",""),".",""),"+",""),"-",""),"E","")="",LEN(SUBSTITUTE(SUBSTITUTE(MID(UPPER(TRIM($DX408)),1+OR(LEFT(UPPER(TRIM($DX408)),1)="+",LEFT(UPPER(TRIM($DX408)),1)="-"),999),"E+","E"),"E-","E"))=LEN(SUBSTITUTE(SUBSTITUTE(SUBSTITUTE(SUBSTITUTE(MID(UPPER(TRIM($DX408)),1+OR(LEFT(UPPER(TRIM($DX408)),1)="+",LEFT(UPPER(TRIM($DX408)),1)="-"),999),"E+","E"),"E-","E"),"+",""),"-","")),LEN(UPPER(TRIM($DX408)))-LEN(SUBSTITUTE(UPPER(TRIM($DX408)),"E",""))&lt;2,LEN(UPPER(TRIM($DX408)))-LEN(SUBSTITUTE(UPPER(TRIM($DX408)),".",""))&lt;2,IFERROR(FIND(".",UPPER(TRIM($DX408))),0)&lt;IFERROR(FIND("E",UPPER(TRIM($DX408))),999)),ISNUMBER(VALUE(TRIM($DX408)))),VALUE(TRIM($DX408)),"")))),""))</f>
        <v/>
      </c>
      <c r="DZ408">
        <f>IF($DM408=0,"",IF($L$17=0,"",IFERROR(IF(ISNUMBER(INDEX(PASTE_ALL,$DF408,$L$17)),INDEX(PASTE_ALL,$DF408,$L$17),SUBSTITUTE(SUBSTITUTE(TRIM(SUBSTITUTE(SUBSTITUTE(SUBSTITUTE(SUBSTITUTE(INDEX(PASTE_ALL,$DF408,$L$17)," "," "),CHAR(9)," "),CHAR(10)," "),CHAR(13)," ")),",",""),"%","")),"")))</f>
        <v/>
      </c>
      <c r="EA408">
        <f>IF($DM408=0,"",IFERROR(IF(ISNUMBER($DZ408),$DZ408,IF($DZ408="","",IF(TRIM($DZ408)="",0,IF(AND(AND(SUBSTITUTE(SUBSTITUTE(SUBSTITUTE(SUBSTITUTE(SUBSTITUTE(SUBSTITUTE(SUBSTITUTE(SUBSTITUTE(SUBSTITUTE(SUBSTITUTE(SUBSTITUTE(SUBSTITUTE(SUBSTITUTE(SUBSTITUTE(UPPER(TRIM($DZ408)),"0",""),"1",""),"2",""),"3",""),"4",""),"5",""),"6",""),"7",""),"8",""),"9",""),".",""),"+",""),"-",""),"E","")="",LEN(SUBSTITUTE(SUBSTITUTE(MID(UPPER(TRIM($DZ408)),1+OR(LEFT(UPPER(TRIM($DZ408)),1)="+",LEFT(UPPER(TRIM($DZ408)),1)="-"),999),"E+","E"),"E-","E"))=LEN(SUBSTITUTE(SUBSTITUTE(SUBSTITUTE(SUBSTITUTE(MID(UPPER(TRIM($DZ408)),1+OR(LEFT(UPPER(TRIM($DZ408)),1)="+",LEFT(UPPER(TRIM($DZ408)),1)="-"),999),"E+","E"),"E-","E"),"+",""),"-","")),LEN(UPPER(TRIM($DZ408)))-LEN(SUBSTITUTE(UPPER(TRIM($DZ408)),"E",""))&lt;2,LEN(UPPER(TRIM($DZ408)))-LEN(SUBSTITUTE(UPPER(TRIM($DZ408)),".",""))&lt;2,IFERROR(FIND(".",UPPER(TRIM($DZ408))),0)&lt;IFERROR(FIND("E",UPPER(TRIM($DZ408))),999)),ISNUMBER(VALUE(TRIM($DZ408)))),VALUE(TRIM($DZ408)),"")))),""))</f>
        <v/>
      </c>
      <c r="EB408">
        <f>IF($DM408=0,"",IF($L$18=0,"",IFERROR(IF(UPPER(TRIM(SUBSTITUTE(SUBSTITUTE(SUBSTITUTE(SUBSTITUTE(INDEX(PASTE_ALL,$DF408,$L$18)," "," "),CHAR(9)," "),CHAR(10)," "),CHAR(13)," ")))="READY","Ready",IF(UPPER(TRIM(SUBSTITUTE(SUBSTITUTE(SUBSTITUTE(SUBSTITUTE(INDEX(PASTE_ALL,$DF408,$L$18)," "," "),CHAR(9)," "),CHAR(10)," "),CHAR(13)," ")))="PM","PM",IF(OR(UPPER(TRIM(SUBSTITUTE(SUBSTITUTE(SUBSTITUTE(SUBSTITUTE(INDEX(PASTE_ALL,$DF408,$L$18)," "," "),CHAR(9)," "),CHAR(10)," "),CHAR(13)," ")))="OT",UPPER(TRIM(SUBSTITUTE(SUBSTITUTE(SUBSTITUTE(SUBSTITUTE(INDEX(PASTE_ALL,$DF408,$L$18)," "," "),CHAR(9)," "),CHAR(10)," "),CHAR(13)," ")))="OVERTIME",UPPER(TRIM(SUBSTITUTE(SUBSTITUTE(SUBSTITUTE(SUBSTITUTE(INDEX(PASTE_ALL,$DF408,$L$18)," "," "),CHAR(9)," "),CHAR(10)," "),CHAR(13)," ")))="TRIAL"),"OT",TRIM(SUBSTITUTE(SUBSTITUTE(SUBSTITUTE(SUBSTITUTE(INDEX(PASTE_ALL,$DF408,$L$18)," "," "),CHAR(9)," "),CHAR(10)," "),CHAR(13)," "))))),"")))</f>
        <v/>
      </c>
      <c r="EC408">
        <f>IF($DM408=0,"",IF($L$19=0,"",IFERROR(IF(ISNUMBER(INDEX(PASTE_ALL,$DF408,$L$19)),INDEX(PASTE_ALL,$DF408,$L$19),TRIM(SUBSTITUTE(SUBSTITUTE(SUBSTITUTE(SUBSTITUTE(INDEX(PASTE_ALL,$DF408,$L$19)," "," "),CHAR(9)," "),CHAR(10)," "),CHAR(13)," "))),"")))</f>
        <v/>
      </c>
      <c r="ED408">
        <f>IF($DM408=0,"",MATCH(1,INDEX(EXACT($DH$5:DH408,$DH408)*$DM$5:DM408,0),0))</f>
        <v/>
      </c>
      <c r="EE408">
        <f>IF($DM408=0,0,IF($ED408=$DE408,1,0))</f>
        <v/>
      </c>
      <c r="EF408">
        <f>EF407+$EE408</f>
        <v/>
      </c>
      <c r="EG408">
        <f>IF($DM408=0,"",INDEX($EF$5:$EF$1003,$ED408))</f>
        <v/>
      </c>
      <c r="EH408">
        <f>IF($DM408=0,"",IF($DO408&lt;&gt;"","",IFERROR(LOOKUP(2,1/(($EG$4:EG407=$EG408)*($DO$4:DO407&lt;&gt;"")),$DO$4:DO407),"")))</f>
        <v/>
      </c>
      <c r="EI408">
        <f>IF($DM408=0,"",IF($DO408&lt;&gt;"",$DO408,$EH408))</f>
        <v/>
      </c>
      <c r="EJ408">
        <f>IF($DM408=0,"",IF($EI408="",0,IF(OR(ISNUMBER($EI408),AND(AND(SUBSTITUTE(SUBSTITUTE(SUBSTITUTE(SUBSTITUTE(SUBSTITUTE(SUBSTITUTE(SUBSTITUTE(SUBSTITUTE(SUBSTITUTE(SUBSTITUTE(SUBSTITUTE(SUBSTITUTE(SUBSTITUTE(SUBSTITUTE(UPPER($EI408),"0",""),"1",""),"2",""),"3",""),"4",""),"5",""),"6",""),"7",""),"8",""),"9",""),".",""),"+",""),"-",""),"E","")="",LEN(SUBSTITUTE(SUBSTITUTE(MID(UPPER($EI408),1+OR(LEFT(UPPER($EI408),1)="+",LEFT(UPPER($EI408),1)="-"),999),"E+","E"),"E-","E"))=LEN(SUBSTITUTE(SUBSTITUTE(SUBSTITUTE(SUBSTITUTE(MID(UPPER($EI408),1+OR(LEFT(UPPER($EI408),1)="+",LEFT(UPPER($EI408),1)="-"),999),"E+","E"),"E-","E"),"+",""),"-","")),LEN(UPPER($EI408))-LEN(SUBSTITUTE(UPPER($EI408),"E",""))&lt;2,LEN(UPPER($EI408))-LEN(SUBSTITUTE(UPPER($EI408),".",""))&lt;2,IFERROR(FIND(".",UPPER($EI408)),0)&lt;IFERROR(FIND("E",UPPER($EI408)),999)),ISNUMBER(VALUE($EI408)))),1,2)))</f>
        <v/>
      </c>
      <c r="EK408">
        <f>IF($DM408=0,"",IF($EJ408=1,IF(ISNUMBER($EI408),$EI408,VALUE($EI408)),IF($EJ408=2,$DE408,0)))</f>
        <v/>
      </c>
      <c r="EL408">
        <f>IF($DM408=0,"",COUNTIF($EG$5:$EG$1003,"&lt;"&amp;$EG408)+SUMPRODUCT(($EG$5:$EG$1003=$EG408)*(($EJ$5:$EJ$1003&lt;$EJ408)+($EJ$5:$EJ$1003=$EJ408)*(($EK$5:$EK$1003&lt;$EK408)+($EK$5:$EK$1003=$EK408)*($DE$5:$DE$1003&lt;$DE408))))+1)</f>
        <v/>
      </c>
      <c r="EM408">
        <f>IF($DM408=0,"",$EL408+$EG408-1)</f>
        <v/>
      </c>
      <c r="EN408">
        <f>IF($DM408=0,0,IFERROR(MATCH(1,INDEX(--(TRIM(SUBSTITUTE(SUBSTITUTE(SUBSTITUTE(SUBSTITUTE(LINES_NAME&amp;""," "," "),CHAR(9)," "),CHAR(10)," "),CHAR(13)," "))=$DH408),0),0),0))</f>
        <v/>
      </c>
      <c r="EO408">
        <f>IF($EN408=0,0,IF(OR(UPPER(TRIM(INDEX(LINES_SCHEDULED,$EN408)&amp;""))="YES",UPPER(TRIM(INDEX(LINES_SCHEDULED,$EN408)&amp;""))="Y",UPPER(TRIM(INDEX(LINES_SCHEDULED,$EN408)&amp;""))="X"),1,0))</f>
        <v/>
      </c>
      <c r="EP408">
        <f>IF($DM408=0,"",IF(COUNTIFS($EG$5:$EG$1003,$EG408,$EB$5:$EB$1003,"Ready")&gt;0,"READY",IF(COUNTIFS($EG$5:$EG$1003,$EG408,$EB$5:$EB$1003,"PM")&gt;0,"PM",IF(COUNTIFS($EG$5:$EG$1003,$EG408,$EB$5:$EB$1003,"OT")&gt;0,"OT",""))))</f>
        <v/>
      </c>
      <c r="EQ408">
        <f>IF($EN408=0,"",UPPER(TRIM(INDEX(LINES_STATUS,$EN408)&amp;"")))</f>
        <v/>
      </c>
      <c r="ER408">
        <f>IF($DM408=0,"",IF(OR($EQ408="READY",$EQ408="PM",$EQ408="OT"),$EQ408,$EP408))</f>
        <v/>
      </c>
      <c r="ES408">
        <f>IF($DM408=0,"",IF(AND($DV408&lt;&gt;"",UPPER($DV408)&lt;&gt;"N"),"allergen",IF(ISNUMBER(SEARCH("oil",$DQ408)),"oil",IF(OR(EXACT($DS408,"A662"),EXACT($DS408,"A624")),"bulk",""))))</f>
        <v/>
      </c>
      <c r="ET408">
        <f>IF($DM408=0,"",IF(OR($EA408="",$EA408=0),"",$EA408/100))</f>
        <v/>
      </c>
      <c r="EU408">
        <f>IF(OR($ET408="",$DY408=""),"",INT($DY408*(1-$ET408)+0.5))</f>
        <v/>
      </c>
      <c r="EW408" t="n">
        <v>404</v>
      </c>
      <c r="EX408">
        <f>IFERROR(MATCH($EW408,$EM$5:$EM$1003,0),0)</f>
        <v/>
      </c>
      <c r="EY408">
        <f>IF($EW408&gt;$B$12,"",IF($EX408&gt;0,"row","spacer"))</f>
        <v/>
      </c>
      <c r="EZ408">
        <f>IF(AND($EY408="row",$EY407&lt;&gt;"row"),1,0)</f>
        <v/>
      </c>
      <c r="FA408">
        <f>IF(AND($EY408="row",$EY409&lt;&gt;"row"),1,0)</f>
        <v/>
      </c>
      <c r="FB408">
        <f>IF($EZ408=1,IFERROR(IF(ISNUMBER(INDEX(PASTE_ALL,INDEX($DF$5:$DF$1003,$EX408),$B$37)),INDEX(PASTE_ALL,INDEX($DF$5:$DF$1003,$EX408),$B$37),INDEX($DH$5:$DH$1003,$EX408)),INDEX($DH$5:$DH$1003,$EX408)),"")</f>
        <v/>
      </c>
      <c r="FC408">
        <f>IF($EY408="row",INDEX($ER$5:$ER$1003,$EX408),"")</f>
        <v/>
      </c>
      <c r="FD408">
        <f>IF($EY408="row",INDEX($DN$5:$DN$1003,$EX408),"")</f>
        <v/>
      </c>
      <c r="FE408">
        <f>IF($EY408="row",INDEX($DO$5:$DO$1003,$EX408),"")</f>
        <v/>
      </c>
      <c r="FF408">
        <f>IF($EY408="row",INDEX($DP$5:$DP$1003,$EX408),"")</f>
        <v/>
      </c>
      <c r="FG408">
        <f>IF($EY408="row",INDEX($DQ$5:$DQ$1003,$EX408),"")</f>
        <v/>
      </c>
      <c r="FH408">
        <f>IF($EY408="row",INDEX($DR$5:$DR$1003,$EX408),"")</f>
        <v/>
      </c>
      <c r="FI408">
        <f>IF($EY408="row",INDEX($DS$5:$DS$1003,$EX408),"")</f>
        <v/>
      </c>
      <c r="FJ408">
        <f>IF($EY408="row",INDEX($DT$5:$DT$1003,$EX408),"")</f>
        <v/>
      </c>
      <c r="FK408">
        <f>IF($EY408="row",INDEX($DU$5:$DU$1003,$EX408),"")</f>
        <v/>
      </c>
      <c r="FL408">
        <f>IF($EY408="row",INDEX($DV$5:$DV$1003,$EX408),"")</f>
        <v/>
      </c>
      <c r="FM408">
        <f>IF($EY408="row",INDEX($DW$5:$DW$1003,$EX408),"")</f>
        <v/>
      </c>
      <c r="FN408">
        <f>IF($EY408="row",INDEX($DY$5:$DY$1003,$EX408),"")</f>
        <v/>
      </c>
      <c r="FO408">
        <f>IF($EY408="row",INDEX($EA$5:$EA$1003,$EX408),"")</f>
        <v/>
      </c>
      <c r="FP408">
        <f>IF($EY408="row",INDEX($EC$5:$EC$1003,$EX408),"")</f>
        <v/>
      </c>
      <c r="FQ408">
        <f>IF($EY408="row",INDEX($ET$5:$ET$1003,$EX408),"")</f>
        <v/>
      </c>
      <c r="FR408">
        <f>IF($EY408="row",INDEX($EU$5:$EU$1003,$EX408),"")</f>
        <v/>
      </c>
      <c r="FS408">
        <f>IF(AND($EY408="row",$EY407="row"),IF(OR(INDEX($DT$5:$DT$1003,$EX407)="",INDEX($DT$5:$DT$1003,$EX408)=""),"",IF(NOT(EXACT(INDEX($DT$5:$DT$1003,$EX407),INDEX($DT$5:$DT$1003,$EX408))),"S4",IF(NOT(EXACT(INDEX($DS$5:$DS$1003,$EX407),INDEX($DS$5:$DS$1003,$EX408))),"S3",IF(NOT(EXACT(INDEX($DR$5:$DR$1003,$EX407),INDEX($DR$5:$DR$1003,$EX408))),"S1 Count Change","S1")))),"")</f>
        <v/>
      </c>
      <c r="FT408">
        <f>IF($EY408="row",INDEX($ES$5:$ES$1003,$EX408),"")</f>
        <v/>
      </c>
      <c r="FU408">
        <f>IF($EY408="row",INDEX($EO$5:$EO$1003,$EX408),0)</f>
        <v/>
      </c>
      <c r="FV408">
        <f>IF($FS408="S1 Count Change",1,0)</f>
        <v/>
      </c>
    </row>
    <row r="409">
      <c r="DA409" t="n">
        <v>405</v>
      </c>
      <c r="DB409">
        <f>IF($B$37=0,"",IFERROR(TRIM(SUBSTITUTE(SUBSTITUTE(SUBSTITUTE(SUBSTITUTE(INDEX(PASTE_ALL,405,$B$37)," "," "),CHAR(9)," "),CHAR(10)," "),CHAR(13)," ")),""))</f>
        <v/>
      </c>
      <c r="DC409">
        <f>IF(AND(405&gt;HEADER_ROW,UPPER(DB409)="LEGEND"),1,0)</f>
        <v/>
      </c>
      <c r="DE409" t="n">
        <v>405</v>
      </c>
      <c r="DF409">
        <f>HEADER_ROW+$DE409</f>
        <v/>
      </c>
      <c r="DG409">
        <f>IF(AND($DF409&lt;=1000,$DF409&lt;$B$8),1,0)</f>
        <v/>
      </c>
      <c r="DH409">
        <f>IF($DG409=1,IFERROR(INDEX($DB$5:$DB$1004,$DF409),""),"")</f>
        <v/>
      </c>
      <c r="DI409">
        <f>IF(AND($DG409=1,$DH409&lt;&gt;""),IFERROR(SUBSTITUTE(SUBSTITUTE(TRIM(SUBSTITUTE(SUBSTITUTE(SUBSTITUTE(SUBSTITUTE(IFERROR(INDEX(PASTE_ALL,$DF409,1)&amp;"","")&amp;"␟"&amp;IFERROR(INDEX(PASTE_ALL,$DF409,2)&amp;"","")&amp;"␟"&amp;IFERROR(INDEX(PASTE_ALL,$DF409,3)&amp;"","")&amp;"␟"&amp;IFERROR(INDEX(PASTE_ALL,$DF409,4)&amp;"","")&amp;"␟"&amp;IFERROR(INDEX(PASTE_ALL,$DF409,5)&amp;"","")&amp;"␟"&amp;IFERROR(INDEX(PASTE_ALL,$DF409,6)&amp;"","")&amp;"␟"&amp;IFERROR(INDEX(PASTE_ALL,$DF409,7)&amp;"","")&amp;"␟"&amp;IFERROR(INDEX(PASTE_ALL,$DF409,8)&amp;"","")&amp;"␟"&amp;IFERROR(INDEX(PASTE_ALL,$DF409,9)&amp;"","")&amp;"␟"&amp;IFERROR(INDEX(PASTE_ALL,$DF409,10)&amp;"","")&amp;"␟"&amp;IFERROR(INDEX(PASTE_ALL,$DF409,11)&amp;"","")&amp;"␟"&amp;IFERROR(INDEX(PASTE_ALL,$DF409,12)&amp;"","")&amp;"␟"&amp;IFERROR(INDEX(PASTE_ALL,$DF409,13)&amp;"","")&amp;"␟"&amp;IFERROR(INDEX(PASTE_ALL,$DF409,14)&amp;"","")&amp;"␟"&amp;IFERROR(INDEX(PASTE_ALL,$DF409,15)&amp;"","")&amp;"␟"&amp;IFERROR(INDEX(PASTE_ALL,$DF409,16)&amp;"","")&amp;"␟"&amp;IFERROR(INDEX(PASTE_ALL,$DF409,17)&amp;"","")&amp;"␟"&amp;IFERROR(INDEX(PASTE_ALL,$DF409,18)&amp;"","")&amp;"␟"&amp;IFERROR(INDEX(PASTE_ALL,$DF409,19)&amp;"","")&amp;"␟"&amp;IFERROR(INDEX(PASTE_ALL,$DF409,20)&amp;"","")&amp;"␟"&amp;IFERROR(INDEX(PASTE_ALL,$DF409,21)&amp;"","")&amp;"␟"&amp;IFERROR(INDEX(PASTE_ALL,$DF409,22)&amp;"","")&amp;"␟"&amp;IFERROR(INDEX(PASTE_ALL,$DF409,23)&amp;"","")&amp;"␟"&amp;IFERROR(INDEX(PASTE_ALL,$DF409,24)&amp;"","")&amp;"␟"&amp;IFERROR(INDEX(PASTE_ALL,$DF409,25)&amp;"","")&amp;"␟"&amp;IFERROR(INDEX(PASTE_ALL,$DF409,26)&amp;"","")&amp;"␟"&amp;IFERROR(INDEX(PASTE_ALL,$DF409,27)&amp;"","")&amp;"␟"&amp;IFERROR(INDEX(PASTE_ALL,$DF409,28)&amp;"","")&amp;"␟"&amp;IFERROR(INDEX(PASTE_ALL,$DF409,29)&amp;"","")&amp;"␟"&amp;IFERROR(INDEX(PASTE_ALL,$DF409,30)&amp;"","")&amp;"␟"&amp;IFERROR(INDEX(PASTE_ALL,$DF409,31)&amp;"","")&amp;"␟"&amp;IFERROR(INDEX(PASTE_ALL,$DF409,32)&amp;"","")&amp;"␟"&amp;IFERROR(INDEX(PASTE_ALL,$DF409,33)&amp;"","")&amp;"␟"&amp;IFERROR(INDEX(PASTE_ALL,$DF409,34)&amp;"","")&amp;"␟"&amp;IFERROR(INDEX(PASTE_ALL,$DF409,35)&amp;"","")&amp;"␟"&amp;IFERROR(INDEX(PASTE_ALL,$DF409,36)&amp;"","")&amp;"␟"&amp;IFERROR(INDEX(PASTE_ALL,$DF409,37)&amp;"","")&amp;"␟"&amp;IFERROR(INDEX(PASTE_ALL,$DF409,38)&amp;"","")&amp;"␟"&amp;IFERROR(INDEX(PASTE_ALL,$DF409,39)&amp;"","")&amp;"␟"&amp;IFERROR(INDEX(PASTE_ALL,$DF409,40)&amp;"","")&amp;"␟"&amp;IFERROR(INDEX(PASTE_ALL,$DF409,41)&amp;"","")&amp;"␟"&amp;IFERROR(INDEX(PASTE_ALL,$DF409,42)&amp;"","")&amp;"␟"&amp;IFERROR(INDEX(PASTE_ALL,$DF409,43)&amp;"","")&amp;"␟"&amp;IFERROR(INDEX(PASTE_ALL,$DF409,44)&amp;"","")&amp;"␟"&amp;IFERROR(INDEX(PASTE_ALL,$DF409,45)&amp;"","")&amp;"␟"&amp;IFERROR(INDEX(PASTE_ALL,$DF409,46)&amp;"","")&amp;"␟"&amp;IFERROR(INDEX(PASTE_ALL,$DF409,47)&amp;"","")&amp;"␟"&amp;IFERROR(INDEX(PASTE_ALL,$DF409,48)&amp;"","")&amp;"␟"&amp;IFERROR(INDEX(PASTE_ALL,$DF409,49)&amp;"","")&amp;"␟"&amp;IFERROR(INDEX(PASTE_ALL,$DF409,50)&amp;"","")&amp;"␟"&amp;IFERROR(INDEX(PASTE_ALL,$DF409,51)&amp;"","")&amp;"␟"&amp;IFERROR(INDEX(PASTE_ALL,$DF409,52)&amp;"","")&amp;"␟"&amp;IFERROR(INDEX(PASTE_ALL,$DF409,53)&amp;"","")&amp;"␟"&amp;IFERROR(INDEX(PASTE_ALL,$DF409,54)&amp;"","")&amp;"␟"&amp;IFERROR(INDEX(PASTE_ALL,$DF409,55)&amp;"","")&amp;"␟"&amp;IFERROR(INDEX(PASTE_ALL,$DF409,56)&amp;"","")&amp;"␟"&amp;IFERROR(INDEX(PASTE_ALL,$DF409,57)&amp;"","")&amp;"␟"&amp;IFERROR(INDEX(PASTE_ALL,$DF409,58)&amp;"","")&amp;"␟"&amp;IFERROR(INDEX(PASTE_ALL,$DF409,59)&amp;"","")&amp;"␟"&amp;IFERROR(INDEX(PASTE_ALL,$DF409,60)&amp;"","")," "," "),CHAR(9)," "),CHAR(10)," "),CHAR(13)," "))," ␟","␟"),"␟ ","␟"),"#"&amp;$DE409),"")</f>
        <v/>
      </c>
      <c r="DJ409">
        <f>IF($DI409="",0,IF(SUMPRODUCT(--EXACT($DI$4:DI408,$DI409))&gt;0,1,0))</f>
        <v/>
      </c>
      <c r="DK409">
        <f>IF(AND($DI409&lt;&gt;"",$DJ409=0),1,0)</f>
        <v/>
      </c>
      <c r="DL409">
        <f>DL408+$DK409</f>
        <v/>
      </c>
      <c r="DM409">
        <f>IF(AND($DK409=1,$DL409&lt;=600),1,0)</f>
        <v/>
      </c>
      <c r="DN409">
        <f>IF($DM409=0,"",IF($L$6=0,"",IFERROR(IF(ISNUMBER(INDEX(PASTE_ALL,$DF409,$L$6)),INDEX(PASTE_ALL,$DF409,$L$6),TRIM(SUBSTITUTE(SUBSTITUTE(SUBSTITUTE(SUBSTITUTE(INDEX(PASTE_ALL,$DF409,$L$6)," "," "),CHAR(9)," "),CHAR(10)," "),CHAR(13)," "))),"")))</f>
        <v/>
      </c>
      <c r="DO409">
        <f>IF($DM409=0,"",IF($L$7=0,"",IFERROR(IF(ISNUMBER(INDEX(PASTE_ALL,$DF409,$L$7)),INDEX(PASTE_ALL,$DF409,$L$7),TRIM(SUBSTITUTE(SUBSTITUTE(SUBSTITUTE(SUBSTITUTE(INDEX(PASTE_ALL,$DF409,$L$7)," "," "),CHAR(9)," "),CHAR(10)," "),CHAR(13)," "))),"")))</f>
        <v/>
      </c>
      <c r="DP409">
        <f>IF($DM409=0,"",IF($L$8=0,"",IFERROR(IF(ISNUMBER(INDEX(PASTE_ALL,$DF409,$L$8)),INDEX(PASTE_ALL,$DF409,$L$8),TRIM(SUBSTITUTE(SUBSTITUTE(SUBSTITUTE(SUBSTITUTE(INDEX(PASTE_ALL,$DF409,$L$8)," "," "),CHAR(9)," "),CHAR(10)," "),CHAR(13)," "))),"")))</f>
        <v/>
      </c>
      <c r="DQ409">
        <f>IF($DM409=0,"",IF($L$9=0,"",IFERROR(IF(ISNUMBER(INDEX(PASTE_ALL,$DF409,$L$9)),INDEX(PASTE_ALL,$DF409,$L$9),TRIM(SUBSTITUTE(SUBSTITUTE(SUBSTITUTE(SUBSTITUTE(INDEX(PASTE_ALL,$DF409,$L$9)," "," "),CHAR(9)," "),CHAR(10)," "),CHAR(13)," "))),"")))</f>
        <v/>
      </c>
      <c r="DR409">
        <f>IF($DM409=0,"",IF($L$10=0,"",IFERROR(IF(ISNUMBER(INDEX(PASTE_ALL,$DF409,$L$10)),INDEX(PASTE_ALL,$DF409,$L$10),TRIM(SUBSTITUTE(SUBSTITUTE(SUBSTITUTE(SUBSTITUTE(INDEX(PASTE_ALL,$DF409,$L$10)," "," "),CHAR(9)," "),CHAR(10)," "),CHAR(13)," "))),"")))</f>
        <v/>
      </c>
      <c r="DS409">
        <f>IF($DM409=0,"",IF($L$11=0,"",IFERROR(IF(ISNUMBER(INDEX(PASTE_ALL,$DF409,$L$11)),INDEX(PASTE_ALL,$DF409,$L$11),TRIM(SUBSTITUTE(SUBSTITUTE(SUBSTITUTE(SUBSTITUTE(INDEX(PASTE_ALL,$DF409,$L$11)," "," "),CHAR(9)," "),CHAR(10)," "),CHAR(13)," "))),"")))</f>
        <v/>
      </c>
      <c r="DT409">
        <f>IF($DM409=0,"",IF($L$12=0,"",IFERROR(IF(ISNUMBER(INDEX(PASTE_ALL,$DF409,$L$12)),INDEX(PASTE_ALL,$DF409,$L$12),TRIM(SUBSTITUTE(SUBSTITUTE(SUBSTITUTE(SUBSTITUTE(INDEX(PASTE_ALL,$DF409,$L$12)," "," "),CHAR(9)," "),CHAR(10)," "),CHAR(13)," "))),"")))</f>
        <v/>
      </c>
      <c r="DU409">
        <f>IF($DM409=0,"",IF($L$13=0,"",IFERROR(IF(ISNUMBER(INDEX(PASTE_ALL,$DF409,$L$13)),INDEX(PASTE_ALL,$DF409,$L$13),TRIM(SUBSTITUTE(SUBSTITUTE(SUBSTITUTE(SUBSTITUTE(INDEX(PASTE_ALL,$DF409,$L$13)," "," "),CHAR(9)," "),CHAR(10)," "),CHAR(13)," "))),"")))</f>
        <v/>
      </c>
      <c r="DV409">
        <f>IF($DM409=0,"",IF($L$14=0,"",IFERROR(IF(ISNUMBER(INDEX(PASTE_ALL,$DF409,$L$14)),INDEX(PASTE_ALL,$DF409,$L$14),TRIM(SUBSTITUTE(SUBSTITUTE(SUBSTITUTE(SUBSTITUTE(INDEX(PASTE_ALL,$DF409,$L$14)," "," "),CHAR(9)," "),CHAR(10)," "),CHAR(13)," "))),"")))</f>
        <v/>
      </c>
      <c r="DW409">
        <f>IF($DM409=0,"",IF($L$15=0,"",IFERROR(IF(ISNUMBER(INDEX(PASTE_ALL,$DF409,$L$15)),INDEX(PASTE_ALL,$DF409,$L$15),IF(SUMPRODUCT(--ISNUMBER(FIND({"A","B","C","D","E","F","G","H","I","J","K","L","M","N","O","P","Q","R","S","T","U","V","W","X","Y","Z","0","1","2","3","4","5","6","7","8","9"},UPPER(TRIM(SUBSTITUTE(SUBSTITUTE(SUBSTITUTE(SUBSTITUTE(INDEX(PASTE_ALL,$DF409,$L$15)," "," "),CHAR(9)," "),CHAR(10)," "),CHAR(13)," "))))))&gt;0,TRIM(SUBSTITUTE(SUBSTITUTE(SUBSTITUTE(SUBSTITUTE(INDEX(PASTE_ALL,$DF409,$L$15)," "," "),CHAR(9)," "),CHAR(10)," "),CHAR(13)," ")),"")),"")))</f>
        <v/>
      </c>
      <c r="DX409">
        <f>IF($DM409=0,"",IF($L$16=0,"",IFERROR(IF(ISNUMBER(INDEX(PASTE_ALL,$DF409,$L$16)),INDEX(PASTE_ALL,$DF409,$L$16),SUBSTITUTE(SUBSTITUTE(TRIM(SUBSTITUTE(SUBSTITUTE(SUBSTITUTE(SUBSTITUTE(INDEX(PASTE_ALL,$DF409,$L$16)," "," "),CHAR(9)," "),CHAR(10)," "),CHAR(13)," ")),",",""),"%","")),"")))</f>
        <v/>
      </c>
      <c r="DY409">
        <f>IF($DM409=0,"",IFERROR(IF(ISNUMBER($DX409),$DX409,IF($DX409="","",IF(TRIM($DX409)="",0,IF(AND(AND(SUBSTITUTE(SUBSTITUTE(SUBSTITUTE(SUBSTITUTE(SUBSTITUTE(SUBSTITUTE(SUBSTITUTE(SUBSTITUTE(SUBSTITUTE(SUBSTITUTE(SUBSTITUTE(SUBSTITUTE(SUBSTITUTE(SUBSTITUTE(UPPER(TRIM($DX409)),"0",""),"1",""),"2",""),"3",""),"4",""),"5",""),"6",""),"7",""),"8",""),"9",""),".",""),"+",""),"-",""),"E","")="",LEN(SUBSTITUTE(SUBSTITUTE(MID(UPPER(TRIM($DX409)),1+OR(LEFT(UPPER(TRIM($DX409)),1)="+",LEFT(UPPER(TRIM($DX409)),1)="-"),999),"E+","E"),"E-","E"))=LEN(SUBSTITUTE(SUBSTITUTE(SUBSTITUTE(SUBSTITUTE(MID(UPPER(TRIM($DX409)),1+OR(LEFT(UPPER(TRIM($DX409)),1)="+",LEFT(UPPER(TRIM($DX409)),1)="-"),999),"E+","E"),"E-","E"),"+",""),"-","")),LEN(UPPER(TRIM($DX409)))-LEN(SUBSTITUTE(UPPER(TRIM($DX409)),"E",""))&lt;2,LEN(UPPER(TRIM($DX409)))-LEN(SUBSTITUTE(UPPER(TRIM($DX409)),".",""))&lt;2,IFERROR(FIND(".",UPPER(TRIM($DX409))),0)&lt;IFERROR(FIND("E",UPPER(TRIM($DX409))),999)),ISNUMBER(VALUE(TRIM($DX409)))),VALUE(TRIM($DX409)),"")))),""))</f>
        <v/>
      </c>
      <c r="DZ409">
        <f>IF($DM409=0,"",IF($L$17=0,"",IFERROR(IF(ISNUMBER(INDEX(PASTE_ALL,$DF409,$L$17)),INDEX(PASTE_ALL,$DF409,$L$17),SUBSTITUTE(SUBSTITUTE(TRIM(SUBSTITUTE(SUBSTITUTE(SUBSTITUTE(SUBSTITUTE(INDEX(PASTE_ALL,$DF409,$L$17)," "," "),CHAR(9)," "),CHAR(10)," "),CHAR(13)," ")),",",""),"%","")),"")))</f>
        <v/>
      </c>
      <c r="EA409">
        <f>IF($DM409=0,"",IFERROR(IF(ISNUMBER($DZ409),$DZ409,IF($DZ409="","",IF(TRIM($DZ409)="",0,IF(AND(AND(SUBSTITUTE(SUBSTITUTE(SUBSTITUTE(SUBSTITUTE(SUBSTITUTE(SUBSTITUTE(SUBSTITUTE(SUBSTITUTE(SUBSTITUTE(SUBSTITUTE(SUBSTITUTE(SUBSTITUTE(SUBSTITUTE(SUBSTITUTE(UPPER(TRIM($DZ409)),"0",""),"1",""),"2",""),"3",""),"4",""),"5",""),"6",""),"7",""),"8",""),"9",""),".",""),"+",""),"-",""),"E","")="",LEN(SUBSTITUTE(SUBSTITUTE(MID(UPPER(TRIM($DZ409)),1+OR(LEFT(UPPER(TRIM($DZ409)),1)="+",LEFT(UPPER(TRIM($DZ409)),1)="-"),999),"E+","E"),"E-","E"))=LEN(SUBSTITUTE(SUBSTITUTE(SUBSTITUTE(SUBSTITUTE(MID(UPPER(TRIM($DZ409)),1+OR(LEFT(UPPER(TRIM($DZ409)),1)="+",LEFT(UPPER(TRIM($DZ409)),1)="-"),999),"E+","E"),"E-","E"),"+",""),"-","")),LEN(UPPER(TRIM($DZ409)))-LEN(SUBSTITUTE(UPPER(TRIM($DZ409)),"E",""))&lt;2,LEN(UPPER(TRIM($DZ409)))-LEN(SUBSTITUTE(UPPER(TRIM($DZ409)),".",""))&lt;2,IFERROR(FIND(".",UPPER(TRIM($DZ409))),0)&lt;IFERROR(FIND("E",UPPER(TRIM($DZ409))),999)),ISNUMBER(VALUE(TRIM($DZ409)))),VALUE(TRIM($DZ409)),"")))),""))</f>
        <v/>
      </c>
      <c r="EB409">
        <f>IF($DM409=0,"",IF($L$18=0,"",IFERROR(IF(UPPER(TRIM(SUBSTITUTE(SUBSTITUTE(SUBSTITUTE(SUBSTITUTE(INDEX(PASTE_ALL,$DF409,$L$18)," "," "),CHAR(9)," "),CHAR(10)," "),CHAR(13)," ")))="READY","Ready",IF(UPPER(TRIM(SUBSTITUTE(SUBSTITUTE(SUBSTITUTE(SUBSTITUTE(INDEX(PASTE_ALL,$DF409,$L$18)," "," "),CHAR(9)," "),CHAR(10)," "),CHAR(13)," ")))="PM","PM",IF(OR(UPPER(TRIM(SUBSTITUTE(SUBSTITUTE(SUBSTITUTE(SUBSTITUTE(INDEX(PASTE_ALL,$DF409,$L$18)," "," "),CHAR(9)," "),CHAR(10)," "),CHAR(13)," ")))="OT",UPPER(TRIM(SUBSTITUTE(SUBSTITUTE(SUBSTITUTE(SUBSTITUTE(INDEX(PASTE_ALL,$DF409,$L$18)," "," "),CHAR(9)," "),CHAR(10)," "),CHAR(13)," ")))="OVERTIME",UPPER(TRIM(SUBSTITUTE(SUBSTITUTE(SUBSTITUTE(SUBSTITUTE(INDEX(PASTE_ALL,$DF409,$L$18)," "," "),CHAR(9)," "),CHAR(10)," "),CHAR(13)," ")))="TRIAL"),"OT",TRIM(SUBSTITUTE(SUBSTITUTE(SUBSTITUTE(SUBSTITUTE(INDEX(PASTE_ALL,$DF409,$L$18)," "," "),CHAR(9)," "),CHAR(10)," "),CHAR(13)," "))))),"")))</f>
        <v/>
      </c>
      <c r="EC409">
        <f>IF($DM409=0,"",IF($L$19=0,"",IFERROR(IF(ISNUMBER(INDEX(PASTE_ALL,$DF409,$L$19)),INDEX(PASTE_ALL,$DF409,$L$19),TRIM(SUBSTITUTE(SUBSTITUTE(SUBSTITUTE(SUBSTITUTE(INDEX(PASTE_ALL,$DF409,$L$19)," "," "),CHAR(9)," "),CHAR(10)," "),CHAR(13)," "))),"")))</f>
        <v/>
      </c>
      <c r="ED409">
        <f>IF($DM409=0,"",MATCH(1,INDEX(EXACT($DH$5:DH409,$DH409)*$DM$5:DM409,0),0))</f>
        <v/>
      </c>
      <c r="EE409">
        <f>IF($DM409=0,0,IF($ED409=$DE409,1,0))</f>
        <v/>
      </c>
      <c r="EF409">
        <f>EF408+$EE409</f>
        <v/>
      </c>
      <c r="EG409">
        <f>IF($DM409=0,"",INDEX($EF$5:$EF$1003,$ED409))</f>
        <v/>
      </c>
      <c r="EH409">
        <f>IF($DM409=0,"",IF($DO409&lt;&gt;"","",IFERROR(LOOKUP(2,1/(($EG$4:EG408=$EG409)*($DO$4:DO408&lt;&gt;"")),$DO$4:DO408),"")))</f>
        <v/>
      </c>
      <c r="EI409">
        <f>IF($DM409=0,"",IF($DO409&lt;&gt;"",$DO409,$EH409))</f>
        <v/>
      </c>
      <c r="EJ409">
        <f>IF($DM409=0,"",IF($EI409="",0,IF(OR(ISNUMBER($EI409),AND(AND(SUBSTITUTE(SUBSTITUTE(SUBSTITUTE(SUBSTITUTE(SUBSTITUTE(SUBSTITUTE(SUBSTITUTE(SUBSTITUTE(SUBSTITUTE(SUBSTITUTE(SUBSTITUTE(SUBSTITUTE(SUBSTITUTE(SUBSTITUTE(UPPER($EI409),"0",""),"1",""),"2",""),"3",""),"4",""),"5",""),"6",""),"7",""),"8",""),"9",""),".",""),"+",""),"-",""),"E","")="",LEN(SUBSTITUTE(SUBSTITUTE(MID(UPPER($EI409),1+OR(LEFT(UPPER($EI409),1)="+",LEFT(UPPER($EI409),1)="-"),999),"E+","E"),"E-","E"))=LEN(SUBSTITUTE(SUBSTITUTE(SUBSTITUTE(SUBSTITUTE(MID(UPPER($EI409),1+OR(LEFT(UPPER($EI409),1)="+",LEFT(UPPER($EI409),1)="-"),999),"E+","E"),"E-","E"),"+",""),"-","")),LEN(UPPER($EI409))-LEN(SUBSTITUTE(UPPER($EI409),"E",""))&lt;2,LEN(UPPER($EI409))-LEN(SUBSTITUTE(UPPER($EI409),".",""))&lt;2,IFERROR(FIND(".",UPPER($EI409)),0)&lt;IFERROR(FIND("E",UPPER($EI409)),999)),ISNUMBER(VALUE($EI409)))),1,2)))</f>
        <v/>
      </c>
      <c r="EK409">
        <f>IF($DM409=0,"",IF($EJ409=1,IF(ISNUMBER($EI409),$EI409,VALUE($EI409)),IF($EJ409=2,$DE409,0)))</f>
        <v/>
      </c>
      <c r="EL409">
        <f>IF($DM409=0,"",COUNTIF($EG$5:$EG$1003,"&lt;"&amp;$EG409)+SUMPRODUCT(($EG$5:$EG$1003=$EG409)*(($EJ$5:$EJ$1003&lt;$EJ409)+($EJ$5:$EJ$1003=$EJ409)*(($EK$5:$EK$1003&lt;$EK409)+($EK$5:$EK$1003=$EK409)*($DE$5:$DE$1003&lt;$DE409))))+1)</f>
        <v/>
      </c>
      <c r="EM409">
        <f>IF($DM409=0,"",$EL409+$EG409-1)</f>
        <v/>
      </c>
      <c r="EN409">
        <f>IF($DM409=0,0,IFERROR(MATCH(1,INDEX(--(TRIM(SUBSTITUTE(SUBSTITUTE(SUBSTITUTE(SUBSTITUTE(LINES_NAME&amp;""," "," "),CHAR(9)," "),CHAR(10)," "),CHAR(13)," "))=$DH409),0),0),0))</f>
        <v/>
      </c>
      <c r="EO409">
        <f>IF($EN409=0,0,IF(OR(UPPER(TRIM(INDEX(LINES_SCHEDULED,$EN409)&amp;""))="YES",UPPER(TRIM(INDEX(LINES_SCHEDULED,$EN409)&amp;""))="Y",UPPER(TRIM(INDEX(LINES_SCHEDULED,$EN409)&amp;""))="X"),1,0))</f>
        <v/>
      </c>
      <c r="EP409">
        <f>IF($DM409=0,"",IF(COUNTIFS($EG$5:$EG$1003,$EG409,$EB$5:$EB$1003,"Ready")&gt;0,"READY",IF(COUNTIFS($EG$5:$EG$1003,$EG409,$EB$5:$EB$1003,"PM")&gt;0,"PM",IF(COUNTIFS($EG$5:$EG$1003,$EG409,$EB$5:$EB$1003,"OT")&gt;0,"OT",""))))</f>
        <v/>
      </c>
      <c r="EQ409">
        <f>IF($EN409=0,"",UPPER(TRIM(INDEX(LINES_STATUS,$EN409)&amp;"")))</f>
        <v/>
      </c>
      <c r="ER409">
        <f>IF($DM409=0,"",IF(OR($EQ409="READY",$EQ409="PM",$EQ409="OT"),$EQ409,$EP409))</f>
        <v/>
      </c>
      <c r="ES409">
        <f>IF($DM409=0,"",IF(AND($DV409&lt;&gt;"",UPPER($DV409)&lt;&gt;"N"),"allergen",IF(ISNUMBER(SEARCH("oil",$DQ409)),"oil",IF(OR(EXACT($DS409,"A662"),EXACT($DS409,"A624")),"bulk",""))))</f>
        <v/>
      </c>
      <c r="ET409">
        <f>IF($DM409=0,"",IF(OR($EA409="",$EA409=0),"",$EA409/100))</f>
        <v/>
      </c>
      <c r="EU409">
        <f>IF(OR($ET409="",$DY409=""),"",INT($DY409*(1-$ET409)+0.5))</f>
        <v/>
      </c>
      <c r="EW409" t="n">
        <v>405</v>
      </c>
      <c r="EX409">
        <f>IFERROR(MATCH($EW409,$EM$5:$EM$1003,0),0)</f>
        <v/>
      </c>
      <c r="EY409">
        <f>IF($EW409&gt;$B$12,"",IF($EX409&gt;0,"row","spacer"))</f>
        <v/>
      </c>
      <c r="EZ409">
        <f>IF(AND($EY409="row",$EY408&lt;&gt;"row"),1,0)</f>
        <v/>
      </c>
      <c r="FA409">
        <f>IF(AND($EY409="row",$EY410&lt;&gt;"row"),1,0)</f>
        <v/>
      </c>
      <c r="FB409">
        <f>IF($EZ409=1,IFERROR(IF(ISNUMBER(INDEX(PASTE_ALL,INDEX($DF$5:$DF$1003,$EX409),$B$37)),INDEX(PASTE_ALL,INDEX($DF$5:$DF$1003,$EX409),$B$37),INDEX($DH$5:$DH$1003,$EX409)),INDEX($DH$5:$DH$1003,$EX409)),"")</f>
        <v/>
      </c>
      <c r="FC409">
        <f>IF($EY409="row",INDEX($ER$5:$ER$1003,$EX409),"")</f>
        <v/>
      </c>
      <c r="FD409">
        <f>IF($EY409="row",INDEX($DN$5:$DN$1003,$EX409),"")</f>
        <v/>
      </c>
      <c r="FE409">
        <f>IF($EY409="row",INDEX($DO$5:$DO$1003,$EX409),"")</f>
        <v/>
      </c>
      <c r="FF409">
        <f>IF($EY409="row",INDEX($DP$5:$DP$1003,$EX409),"")</f>
        <v/>
      </c>
      <c r="FG409">
        <f>IF($EY409="row",INDEX($DQ$5:$DQ$1003,$EX409),"")</f>
        <v/>
      </c>
      <c r="FH409">
        <f>IF($EY409="row",INDEX($DR$5:$DR$1003,$EX409),"")</f>
        <v/>
      </c>
      <c r="FI409">
        <f>IF($EY409="row",INDEX($DS$5:$DS$1003,$EX409),"")</f>
        <v/>
      </c>
      <c r="FJ409">
        <f>IF($EY409="row",INDEX($DT$5:$DT$1003,$EX409),"")</f>
        <v/>
      </c>
      <c r="FK409">
        <f>IF($EY409="row",INDEX($DU$5:$DU$1003,$EX409),"")</f>
        <v/>
      </c>
      <c r="FL409">
        <f>IF($EY409="row",INDEX($DV$5:$DV$1003,$EX409),"")</f>
        <v/>
      </c>
      <c r="FM409">
        <f>IF($EY409="row",INDEX($DW$5:$DW$1003,$EX409),"")</f>
        <v/>
      </c>
      <c r="FN409">
        <f>IF($EY409="row",INDEX($DY$5:$DY$1003,$EX409),"")</f>
        <v/>
      </c>
      <c r="FO409">
        <f>IF($EY409="row",INDEX($EA$5:$EA$1003,$EX409),"")</f>
        <v/>
      </c>
      <c r="FP409">
        <f>IF($EY409="row",INDEX($EC$5:$EC$1003,$EX409),"")</f>
        <v/>
      </c>
      <c r="FQ409">
        <f>IF($EY409="row",INDEX($ET$5:$ET$1003,$EX409),"")</f>
        <v/>
      </c>
      <c r="FR409">
        <f>IF($EY409="row",INDEX($EU$5:$EU$1003,$EX409),"")</f>
        <v/>
      </c>
      <c r="FS409">
        <f>IF(AND($EY409="row",$EY408="row"),IF(OR(INDEX($DT$5:$DT$1003,$EX408)="",INDEX($DT$5:$DT$1003,$EX409)=""),"",IF(NOT(EXACT(INDEX($DT$5:$DT$1003,$EX408),INDEX($DT$5:$DT$1003,$EX409))),"S4",IF(NOT(EXACT(INDEX($DS$5:$DS$1003,$EX408),INDEX($DS$5:$DS$1003,$EX409))),"S3",IF(NOT(EXACT(INDEX($DR$5:$DR$1003,$EX408),INDEX($DR$5:$DR$1003,$EX409))),"S1 Count Change","S1")))),"")</f>
        <v/>
      </c>
      <c r="FT409">
        <f>IF($EY409="row",INDEX($ES$5:$ES$1003,$EX409),"")</f>
        <v/>
      </c>
      <c r="FU409">
        <f>IF($EY409="row",INDEX($EO$5:$EO$1003,$EX409),0)</f>
        <v/>
      </c>
      <c r="FV409">
        <f>IF($FS409="S1 Count Change",1,0)</f>
        <v/>
      </c>
    </row>
    <row r="410">
      <c r="DA410" t="n">
        <v>406</v>
      </c>
      <c r="DB410">
        <f>IF($B$37=0,"",IFERROR(TRIM(SUBSTITUTE(SUBSTITUTE(SUBSTITUTE(SUBSTITUTE(INDEX(PASTE_ALL,406,$B$37)," "," "),CHAR(9)," "),CHAR(10)," "),CHAR(13)," ")),""))</f>
        <v/>
      </c>
      <c r="DC410">
        <f>IF(AND(406&gt;HEADER_ROW,UPPER(DB410)="LEGEND"),1,0)</f>
        <v/>
      </c>
      <c r="DE410" t="n">
        <v>406</v>
      </c>
      <c r="DF410">
        <f>HEADER_ROW+$DE410</f>
        <v/>
      </c>
      <c r="DG410">
        <f>IF(AND($DF410&lt;=1000,$DF410&lt;$B$8),1,0)</f>
        <v/>
      </c>
      <c r="DH410">
        <f>IF($DG410=1,IFERROR(INDEX($DB$5:$DB$1004,$DF410),""),"")</f>
        <v/>
      </c>
      <c r="DI410">
        <f>IF(AND($DG410=1,$DH410&lt;&gt;""),IFERROR(SUBSTITUTE(SUBSTITUTE(TRIM(SUBSTITUTE(SUBSTITUTE(SUBSTITUTE(SUBSTITUTE(IFERROR(INDEX(PASTE_ALL,$DF410,1)&amp;"","")&amp;"␟"&amp;IFERROR(INDEX(PASTE_ALL,$DF410,2)&amp;"","")&amp;"␟"&amp;IFERROR(INDEX(PASTE_ALL,$DF410,3)&amp;"","")&amp;"␟"&amp;IFERROR(INDEX(PASTE_ALL,$DF410,4)&amp;"","")&amp;"␟"&amp;IFERROR(INDEX(PASTE_ALL,$DF410,5)&amp;"","")&amp;"␟"&amp;IFERROR(INDEX(PASTE_ALL,$DF410,6)&amp;"","")&amp;"␟"&amp;IFERROR(INDEX(PASTE_ALL,$DF410,7)&amp;"","")&amp;"␟"&amp;IFERROR(INDEX(PASTE_ALL,$DF410,8)&amp;"","")&amp;"␟"&amp;IFERROR(INDEX(PASTE_ALL,$DF410,9)&amp;"","")&amp;"␟"&amp;IFERROR(INDEX(PASTE_ALL,$DF410,10)&amp;"","")&amp;"␟"&amp;IFERROR(INDEX(PASTE_ALL,$DF410,11)&amp;"","")&amp;"␟"&amp;IFERROR(INDEX(PASTE_ALL,$DF410,12)&amp;"","")&amp;"␟"&amp;IFERROR(INDEX(PASTE_ALL,$DF410,13)&amp;"","")&amp;"␟"&amp;IFERROR(INDEX(PASTE_ALL,$DF410,14)&amp;"","")&amp;"␟"&amp;IFERROR(INDEX(PASTE_ALL,$DF410,15)&amp;"","")&amp;"␟"&amp;IFERROR(INDEX(PASTE_ALL,$DF410,16)&amp;"","")&amp;"␟"&amp;IFERROR(INDEX(PASTE_ALL,$DF410,17)&amp;"","")&amp;"␟"&amp;IFERROR(INDEX(PASTE_ALL,$DF410,18)&amp;"","")&amp;"␟"&amp;IFERROR(INDEX(PASTE_ALL,$DF410,19)&amp;"","")&amp;"␟"&amp;IFERROR(INDEX(PASTE_ALL,$DF410,20)&amp;"","")&amp;"␟"&amp;IFERROR(INDEX(PASTE_ALL,$DF410,21)&amp;"","")&amp;"␟"&amp;IFERROR(INDEX(PASTE_ALL,$DF410,22)&amp;"","")&amp;"␟"&amp;IFERROR(INDEX(PASTE_ALL,$DF410,23)&amp;"","")&amp;"␟"&amp;IFERROR(INDEX(PASTE_ALL,$DF410,24)&amp;"","")&amp;"␟"&amp;IFERROR(INDEX(PASTE_ALL,$DF410,25)&amp;"","")&amp;"␟"&amp;IFERROR(INDEX(PASTE_ALL,$DF410,26)&amp;"","")&amp;"␟"&amp;IFERROR(INDEX(PASTE_ALL,$DF410,27)&amp;"","")&amp;"␟"&amp;IFERROR(INDEX(PASTE_ALL,$DF410,28)&amp;"","")&amp;"␟"&amp;IFERROR(INDEX(PASTE_ALL,$DF410,29)&amp;"","")&amp;"␟"&amp;IFERROR(INDEX(PASTE_ALL,$DF410,30)&amp;"","")&amp;"␟"&amp;IFERROR(INDEX(PASTE_ALL,$DF410,31)&amp;"","")&amp;"␟"&amp;IFERROR(INDEX(PASTE_ALL,$DF410,32)&amp;"","")&amp;"␟"&amp;IFERROR(INDEX(PASTE_ALL,$DF410,33)&amp;"","")&amp;"␟"&amp;IFERROR(INDEX(PASTE_ALL,$DF410,34)&amp;"","")&amp;"␟"&amp;IFERROR(INDEX(PASTE_ALL,$DF410,35)&amp;"","")&amp;"␟"&amp;IFERROR(INDEX(PASTE_ALL,$DF410,36)&amp;"","")&amp;"␟"&amp;IFERROR(INDEX(PASTE_ALL,$DF410,37)&amp;"","")&amp;"␟"&amp;IFERROR(INDEX(PASTE_ALL,$DF410,38)&amp;"","")&amp;"␟"&amp;IFERROR(INDEX(PASTE_ALL,$DF410,39)&amp;"","")&amp;"␟"&amp;IFERROR(INDEX(PASTE_ALL,$DF410,40)&amp;"","")&amp;"␟"&amp;IFERROR(INDEX(PASTE_ALL,$DF410,41)&amp;"","")&amp;"␟"&amp;IFERROR(INDEX(PASTE_ALL,$DF410,42)&amp;"","")&amp;"␟"&amp;IFERROR(INDEX(PASTE_ALL,$DF410,43)&amp;"","")&amp;"␟"&amp;IFERROR(INDEX(PASTE_ALL,$DF410,44)&amp;"","")&amp;"␟"&amp;IFERROR(INDEX(PASTE_ALL,$DF410,45)&amp;"","")&amp;"␟"&amp;IFERROR(INDEX(PASTE_ALL,$DF410,46)&amp;"","")&amp;"␟"&amp;IFERROR(INDEX(PASTE_ALL,$DF410,47)&amp;"","")&amp;"␟"&amp;IFERROR(INDEX(PASTE_ALL,$DF410,48)&amp;"","")&amp;"␟"&amp;IFERROR(INDEX(PASTE_ALL,$DF410,49)&amp;"","")&amp;"␟"&amp;IFERROR(INDEX(PASTE_ALL,$DF410,50)&amp;"","")&amp;"␟"&amp;IFERROR(INDEX(PASTE_ALL,$DF410,51)&amp;"","")&amp;"␟"&amp;IFERROR(INDEX(PASTE_ALL,$DF410,52)&amp;"","")&amp;"␟"&amp;IFERROR(INDEX(PASTE_ALL,$DF410,53)&amp;"","")&amp;"␟"&amp;IFERROR(INDEX(PASTE_ALL,$DF410,54)&amp;"","")&amp;"␟"&amp;IFERROR(INDEX(PASTE_ALL,$DF410,55)&amp;"","")&amp;"␟"&amp;IFERROR(INDEX(PASTE_ALL,$DF410,56)&amp;"","")&amp;"␟"&amp;IFERROR(INDEX(PASTE_ALL,$DF410,57)&amp;"","")&amp;"␟"&amp;IFERROR(INDEX(PASTE_ALL,$DF410,58)&amp;"","")&amp;"␟"&amp;IFERROR(INDEX(PASTE_ALL,$DF410,59)&amp;"","")&amp;"␟"&amp;IFERROR(INDEX(PASTE_ALL,$DF410,60)&amp;"","")," "," "),CHAR(9)," "),CHAR(10)," "),CHAR(13)," "))," ␟","␟"),"␟ ","␟"),"#"&amp;$DE410),"")</f>
        <v/>
      </c>
      <c r="DJ410">
        <f>IF($DI410="",0,IF(SUMPRODUCT(--EXACT($DI$4:DI409,$DI410))&gt;0,1,0))</f>
        <v/>
      </c>
      <c r="DK410">
        <f>IF(AND($DI410&lt;&gt;"",$DJ410=0),1,0)</f>
        <v/>
      </c>
      <c r="DL410">
        <f>DL409+$DK410</f>
        <v/>
      </c>
      <c r="DM410">
        <f>IF(AND($DK410=1,$DL410&lt;=600),1,0)</f>
        <v/>
      </c>
      <c r="DN410">
        <f>IF($DM410=0,"",IF($L$6=0,"",IFERROR(IF(ISNUMBER(INDEX(PASTE_ALL,$DF410,$L$6)),INDEX(PASTE_ALL,$DF410,$L$6),TRIM(SUBSTITUTE(SUBSTITUTE(SUBSTITUTE(SUBSTITUTE(INDEX(PASTE_ALL,$DF410,$L$6)," "," "),CHAR(9)," "),CHAR(10)," "),CHAR(13)," "))),"")))</f>
        <v/>
      </c>
      <c r="DO410">
        <f>IF($DM410=0,"",IF($L$7=0,"",IFERROR(IF(ISNUMBER(INDEX(PASTE_ALL,$DF410,$L$7)),INDEX(PASTE_ALL,$DF410,$L$7),TRIM(SUBSTITUTE(SUBSTITUTE(SUBSTITUTE(SUBSTITUTE(INDEX(PASTE_ALL,$DF410,$L$7)," "," "),CHAR(9)," "),CHAR(10)," "),CHAR(13)," "))),"")))</f>
        <v/>
      </c>
      <c r="DP410">
        <f>IF($DM410=0,"",IF($L$8=0,"",IFERROR(IF(ISNUMBER(INDEX(PASTE_ALL,$DF410,$L$8)),INDEX(PASTE_ALL,$DF410,$L$8),TRIM(SUBSTITUTE(SUBSTITUTE(SUBSTITUTE(SUBSTITUTE(INDEX(PASTE_ALL,$DF410,$L$8)," "," "),CHAR(9)," "),CHAR(10)," "),CHAR(13)," "))),"")))</f>
        <v/>
      </c>
      <c r="DQ410">
        <f>IF($DM410=0,"",IF($L$9=0,"",IFERROR(IF(ISNUMBER(INDEX(PASTE_ALL,$DF410,$L$9)),INDEX(PASTE_ALL,$DF410,$L$9),TRIM(SUBSTITUTE(SUBSTITUTE(SUBSTITUTE(SUBSTITUTE(INDEX(PASTE_ALL,$DF410,$L$9)," "," "),CHAR(9)," "),CHAR(10)," "),CHAR(13)," "))),"")))</f>
        <v/>
      </c>
      <c r="DR410">
        <f>IF($DM410=0,"",IF($L$10=0,"",IFERROR(IF(ISNUMBER(INDEX(PASTE_ALL,$DF410,$L$10)),INDEX(PASTE_ALL,$DF410,$L$10),TRIM(SUBSTITUTE(SUBSTITUTE(SUBSTITUTE(SUBSTITUTE(INDEX(PASTE_ALL,$DF410,$L$10)," "," "),CHAR(9)," "),CHAR(10)," "),CHAR(13)," "))),"")))</f>
        <v/>
      </c>
      <c r="DS410">
        <f>IF($DM410=0,"",IF($L$11=0,"",IFERROR(IF(ISNUMBER(INDEX(PASTE_ALL,$DF410,$L$11)),INDEX(PASTE_ALL,$DF410,$L$11),TRIM(SUBSTITUTE(SUBSTITUTE(SUBSTITUTE(SUBSTITUTE(INDEX(PASTE_ALL,$DF410,$L$11)," "," "),CHAR(9)," "),CHAR(10)," "),CHAR(13)," "))),"")))</f>
        <v/>
      </c>
      <c r="DT410">
        <f>IF($DM410=0,"",IF($L$12=0,"",IFERROR(IF(ISNUMBER(INDEX(PASTE_ALL,$DF410,$L$12)),INDEX(PASTE_ALL,$DF410,$L$12),TRIM(SUBSTITUTE(SUBSTITUTE(SUBSTITUTE(SUBSTITUTE(INDEX(PASTE_ALL,$DF410,$L$12)," "," "),CHAR(9)," "),CHAR(10)," "),CHAR(13)," "))),"")))</f>
        <v/>
      </c>
      <c r="DU410">
        <f>IF($DM410=0,"",IF($L$13=0,"",IFERROR(IF(ISNUMBER(INDEX(PASTE_ALL,$DF410,$L$13)),INDEX(PASTE_ALL,$DF410,$L$13),TRIM(SUBSTITUTE(SUBSTITUTE(SUBSTITUTE(SUBSTITUTE(INDEX(PASTE_ALL,$DF410,$L$13)," "," "),CHAR(9)," "),CHAR(10)," "),CHAR(13)," "))),"")))</f>
        <v/>
      </c>
      <c r="DV410">
        <f>IF($DM410=0,"",IF($L$14=0,"",IFERROR(IF(ISNUMBER(INDEX(PASTE_ALL,$DF410,$L$14)),INDEX(PASTE_ALL,$DF410,$L$14),TRIM(SUBSTITUTE(SUBSTITUTE(SUBSTITUTE(SUBSTITUTE(INDEX(PASTE_ALL,$DF410,$L$14)," "," "),CHAR(9)," "),CHAR(10)," "),CHAR(13)," "))),"")))</f>
        <v/>
      </c>
      <c r="DW410">
        <f>IF($DM410=0,"",IF($L$15=0,"",IFERROR(IF(ISNUMBER(INDEX(PASTE_ALL,$DF410,$L$15)),INDEX(PASTE_ALL,$DF410,$L$15),IF(SUMPRODUCT(--ISNUMBER(FIND({"A","B","C","D","E","F","G","H","I","J","K","L","M","N","O","P","Q","R","S","T","U","V","W","X","Y","Z","0","1","2","3","4","5","6","7","8","9"},UPPER(TRIM(SUBSTITUTE(SUBSTITUTE(SUBSTITUTE(SUBSTITUTE(INDEX(PASTE_ALL,$DF410,$L$15)," "," "),CHAR(9)," "),CHAR(10)," "),CHAR(13)," "))))))&gt;0,TRIM(SUBSTITUTE(SUBSTITUTE(SUBSTITUTE(SUBSTITUTE(INDEX(PASTE_ALL,$DF410,$L$15)," "," "),CHAR(9)," "),CHAR(10)," "),CHAR(13)," ")),"")),"")))</f>
        <v/>
      </c>
      <c r="DX410">
        <f>IF($DM410=0,"",IF($L$16=0,"",IFERROR(IF(ISNUMBER(INDEX(PASTE_ALL,$DF410,$L$16)),INDEX(PASTE_ALL,$DF410,$L$16),SUBSTITUTE(SUBSTITUTE(TRIM(SUBSTITUTE(SUBSTITUTE(SUBSTITUTE(SUBSTITUTE(INDEX(PASTE_ALL,$DF410,$L$16)," "," "),CHAR(9)," "),CHAR(10)," "),CHAR(13)," ")),",",""),"%","")),"")))</f>
        <v/>
      </c>
      <c r="DY410">
        <f>IF($DM410=0,"",IFERROR(IF(ISNUMBER($DX410),$DX410,IF($DX410="","",IF(TRIM($DX410)="",0,IF(AND(AND(SUBSTITUTE(SUBSTITUTE(SUBSTITUTE(SUBSTITUTE(SUBSTITUTE(SUBSTITUTE(SUBSTITUTE(SUBSTITUTE(SUBSTITUTE(SUBSTITUTE(SUBSTITUTE(SUBSTITUTE(SUBSTITUTE(SUBSTITUTE(UPPER(TRIM($DX410)),"0",""),"1",""),"2",""),"3",""),"4",""),"5",""),"6",""),"7",""),"8",""),"9",""),".",""),"+",""),"-",""),"E","")="",LEN(SUBSTITUTE(SUBSTITUTE(MID(UPPER(TRIM($DX410)),1+OR(LEFT(UPPER(TRIM($DX410)),1)="+",LEFT(UPPER(TRIM($DX410)),1)="-"),999),"E+","E"),"E-","E"))=LEN(SUBSTITUTE(SUBSTITUTE(SUBSTITUTE(SUBSTITUTE(MID(UPPER(TRIM($DX410)),1+OR(LEFT(UPPER(TRIM($DX410)),1)="+",LEFT(UPPER(TRIM($DX410)),1)="-"),999),"E+","E"),"E-","E"),"+",""),"-","")),LEN(UPPER(TRIM($DX410)))-LEN(SUBSTITUTE(UPPER(TRIM($DX410)),"E",""))&lt;2,LEN(UPPER(TRIM($DX410)))-LEN(SUBSTITUTE(UPPER(TRIM($DX410)),".",""))&lt;2,IFERROR(FIND(".",UPPER(TRIM($DX410))),0)&lt;IFERROR(FIND("E",UPPER(TRIM($DX410))),999)),ISNUMBER(VALUE(TRIM($DX410)))),VALUE(TRIM($DX410)),"")))),""))</f>
        <v/>
      </c>
      <c r="DZ410">
        <f>IF($DM410=0,"",IF($L$17=0,"",IFERROR(IF(ISNUMBER(INDEX(PASTE_ALL,$DF410,$L$17)),INDEX(PASTE_ALL,$DF410,$L$17),SUBSTITUTE(SUBSTITUTE(TRIM(SUBSTITUTE(SUBSTITUTE(SUBSTITUTE(SUBSTITUTE(INDEX(PASTE_ALL,$DF410,$L$17)," "," "),CHAR(9)," "),CHAR(10)," "),CHAR(13)," ")),",",""),"%","")),"")))</f>
        <v/>
      </c>
      <c r="EA410">
        <f>IF($DM410=0,"",IFERROR(IF(ISNUMBER($DZ410),$DZ410,IF($DZ410="","",IF(TRIM($DZ410)="",0,IF(AND(AND(SUBSTITUTE(SUBSTITUTE(SUBSTITUTE(SUBSTITUTE(SUBSTITUTE(SUBSTITUTE(SUBSTITUTE(SUBSTITUTE(SUBSTITUTE(SUBSTITUTE(SUBSTITUTE(SUBSTITUTE(SUBSTITUTE(SUBSTITUTE(UPPER(TRIM($DZ410)),"0",""),"1",""),"2",""),"3",""),"4",""),"5",""),"6",""),"7",""),"8",""),"9",""),".",""),"+",""),"-",""),"E","")="",LEN(SUBSTITUTE(SUBSTITUTE(MID(UPPER(TRIM($DZ410)),1+OR(LEFT(UPPER(TRIM($DZ410)),1)="+",LEFT(UPPER(TRIM($DZ410)),1)="-"),999),"E+","E"),"E-","E"))=LEN(SUBSTITUTE(SUBSTITUTE(SUBSTITUTE(SUBSTITUTE(MID(UPPER(TRIM($DZ410)),1+OR(LEFT(UPPER(TRIM($DZ410)),1)="+",LEFT(UPPER(TRIM($DZ410)),1)="-"),999),"E+","E"),"E-","E"),"+",""),"-","")),LEN(UPPER(TRIM($DZ410)))-LEN(SUBSTITUTE(UPPER(TRIM($DZ410)),"E",""))&lt;2,LEN(UPPER(TRIM($DZ410)))-LEN(SUBSTITUTE(UPPER(TRIM($DZ410)),".",""))&lt;2,IFERROR(FIND(".",UPPER(TRIM($DZ410))),0)&lt;IFERROR(FIND("E",UPPER(TRIM($DZ410))),999)),ISNUMBER(VALUE(TRIM($DZ410)))),VALUE(TRIM($DZ410)),"")))),""))</f>
        <v/>
      </c>
      <c r="EB410">
        <f>IF($DM410=0,"",IF($L$18=0,"",IFERROR(IF(UPPER(TRIM(SUBSTITUTE(SUBSTITUTE(SUBSTITUTE(SUBSTITUTE(INDEX(PASTE_ALL,$DF410,$L$18)," "," "),CHAR(9)," "),CHAR(10)," "),CHAR(13)," ")))="READY","Ready",IF(UPPER(TRIM(SUBSTITUTE(SUBSTITUTE(SUBSTITUTE(SUBSTITUTE(INDEX(PASTE_ALL,$DF410,$L$18)," "," "),CHAR(9)," "),CHAR(10)," "),CHAR(13)," ")))="PM","PM",IF(OR(UPPER(TRIM(SUBSTITUTE(SUBSTITUTE(SUBSTITUTE(SUBSTITUTE(INDEX(PASTE_ALL,$DF410,$L$18)," "," "),CHAR(9)," "),CHAR(10)," "),CHAR(13)," ")))="OT",UPPER(TRIM(SUBSTITUTE(SUBSTITUTE(SUBSTITUTE(SUBSTITUTE(INDEX(PASTE_ALL,$DF410,$L$18)," "," "),CHAR(9)," "),CHAR(10)," "),CHAR(13)," ")))="OVERTIME",UPPER(TRIM(SUBSTITUTE(SUBSTITUTE(SUBSTITUTE(SUBSTITUTE(INDEX(PASTE_ALL,$DF410,$L$18)," "," "),CHAR(9)," "),CHAR(10)," "),CHAR(13)," ")))="TRIAL"),"OT",TRIM(SUBSTITUTE(SUBSTITUTE(SUBSTITUTE(SUBSTITUTE(INDEX(PASTE_ALL,$DF410,$L$18)," "," "),CHAR(9)," "),CHAR(10)," "),CHAR(13)," "))))),"")))</f>
        <v/>
      </c>
      <c r="EC410">
        <f>IF($DM410=0,"",IF($L$19=0,"",IFERROR(IF(ISNUMBER(INDEX(PASTE_ALL,$DF410,$L$19)),INDEX(PASTE_ALL,$DF410,$L$19),TRIM(SUBSTITUTE(SUBSTITUTE(SUBSTITUTE(SUBSTITUTE(INDEX(PASTE_ALL,$DF410,$L$19)," "," "),CHAR(9)," "),CHAR(10)," "),CHAR(13)," "))),"")))</f>
        <v/>
      </c>
      <c r="ED410">
        <f>IF($DM410=0,"",MATCH(1,INDEX(EXACT($DH$5:DH410,$DH410)*$DM$5:DM410,0),0))</f>
        <v/>
      </c>
      <c r="EE410">
        <f>IF($DM410=0,0,IF($ED410=$DE410,1,0))</f>
        <v/>
      </c>
      <c r="EF410">
        <f>EF409+$EE410</f>
        <v/>
      </c>
      <c r="EG410">
        <f>IF($DM410=0,"",INDEX($EF$5:$EF$1003,$ED410))</f>
        <v/>
      </c>
      <c r="EH410">
        <f>IF($DM410=0,"",IF($DO410&lt;&gt;"","",IFERROR(LOOKUP(2,1/(($EG$4:EG409=$EG410)*($DO$4:DO409&lt;&gt;"")),$DO$4:DO409),"")))</f>
        <v/>
      </c>
      <c r="EI410">
        <f>IF($DM410=0,"",IF($DO410&lt;&gt;"",$DO410,$EH410))</f>
        <v/>
      </c>
      <c r="EJ410">
        <f>IF($DM410=0,"",IF($EI410="",0,IF(OR(ISNUMBER($EI410),AND(AND(SUBSTITUTE(SUBSTITUTE(SUBSTITUTE(SUBSTITUTE(SUBSTITUTE(SUBSTITUTE(SUBSTITUTE(SUBSTITUTE(SUBSTITUTE(SUBSTITUTE(SUBSTITUTE(SUBSTITUTE(SUBSTITUTE(SUBSTITUTE(UPPER($EI410),"0",""),"1",""),"2",""),"3",""),"4",""),"5",""),"6",""),"7",""),"8",""),"9",""),".",""),"+",""),"-",""),"E","")="",LEN(SUBSTITUTE(SUBSTITUTE(MID(UPPER($EI410),1+OR(LEFT(UPPER($EI410),1)="+",LEFT(UPPER($EI410),1)="-"),999),"E+","E"),"E-","E"))=LEN(SUBSTITUTE(SUBSTITUTE(SUBSTITUTE(SUBSTITUTE(MID(UPPER($EI410),1+OR(LEFT(UPPER($EI410),1)="+",LEFT(UPPER($EI410),1)="-"),999),"E+","E"),"E-","E"),"+",""),"-","")),LEN(UPPER($EI410))-LEN(SUBSTITUTE(UPPER($EI410),"E",""))&lt;2,LEN(UPPER($EI410))-LEN(SUBSTITUTE(UPPER($EI410),".",""))&lt;2,IFERROR(FIND(".",UPPER($EI410)),0)&lt;IFERROR(FIND("E",UPPER($EI410)),999)),ISNUMBER(VALUE($EI410)))),1,2)))</f>
        <v/>
      </c>
      <c r="EK410">
        <f>IF($DM410=0,"",IF($EJ410=1,IF(ISNUMBER($EI410),$EI410,VALUE($EI410)),IF($EJ410=2,$DE410,0)))</f>
        <v/>
      </c>
      <c r="EL410">
        <f>IF($DM410=0,"",COUNTIF($EG$5:$EG$1003,"&lt;"&amp;$EG410)+SUMPRODUCT(($EG$5:$EG$1003=$EG410)*(($EJ$5:$EJ$1003&lt;$EJ410)+($EJ$5:$EJ$1003=$EJ410)*(($EK$5:$EK$1003&lt;$EK410)+($EK$5:$EK$1003=$EK410)*($DE$5:$DE$1003&lt;$DE410))))+1)</f>
        <v/>
      </c>
      <c r="EM410">
        <f>IF($DM410=0,"",$EL410+$EG410-1)</f>
        <v/>
      </c>
      <c r="EN410">
        <f>IF($DM410=0,0,IFERROR(MATCH(1,INDEX(--(TRIM(SUBSTITUTE(SUBSTITUTE(SUBSTITUTE(SUBSTITUTE(LINES_NAME&amp;""," "," "),CHAR(9)," "),CHAR(10)," "),CHAR(13)," "))=$DH410),0),0),0))</f>
        <v/>
      </c>
      <c r="EO410">
        <f>IF($EN410=0,0,IF(OR(UPPER(TRIM(INDEX(LINES_SCHEDULED,$EN410)&amp;""))="YES",UPPER(TRIM(INDEX(LINES_SCHEDULED,$EN410)&amp;""))="Y",UPPER(TRIM(INDEX(LINES_SCHEDULED,$EN410)&amp;""))="X"),1,0))</f>
        <v/>
      </c>
      <c r="EP410">
        <f>IF($DM410=0,"",IF(COUNTIFS($EG$5:$EG$1003,$EG410,$EB$5:$EB$1003,"Ready")&gt;0,"READY",IF(COUNTIFS($EG$5:$EG$1003,$EG410,$EB$5:$EB$1003,"PM")&gt;0,"PM",IF(COUNTIFS($EG$5:$EG$1003,$EG410,$EB$5:$EB$1003,"OT")&gt;0,"OT",""))))</f>
        <v/>
      </c>
      <c r="EQ410">
        <f>IF($EN410=0,"",UPPER(TRIM(INDEX(LINES_STATUS,$EN410)&amp;"")))</f>
        <v/>
      </c>
      <c r="ER410">
        <f>IF($DM410=0,"",IF(OR($EQ410="READY",$EQ410="PM",$EQ410="OT"),$EQ410,$EP410))</f>
        <v/>
      </c>
      <c r="ES410">
        <f>IF($DM410=0,"",IF(AND($DV410&lt;&gt;"",UPPER($DV410)&lt;&gt;"N"),"allergen",IF(ISNUMBER(SEARCH("oil",$DQ410)),"oil",IF(OR(EXACT($DS410,"A662"),EXACT($DS410,"A624")),"bulk",""))))</f>
        <v/>
      </c>
      <c r="ET410">
        <f>IF($DM410=0,"",IF(OR($EA410="",$EA410=0),"",$EA410/100))</f>
        <v/>
      </c>
      <c r="EU410">
        <f>IF(OR($ET410="",$DY410=""),"",INT($DY410*(1-$ET410)+0.5))</f>
        <v/>
      </c>
      <c r="EW410" t="n">
        <v>406</v>
      </c>
      <c r="EX410">
        <f>IFERROR(MATCH($EW410,$EM$5:$EM$1003,0),0)</f>
        <v/>
      </c>
      <c r="EY410">
        <f>IF($EW410&gt;$B$12,"",IF($EX410&gt;0,"row","spacer"))</f>
        <v/>
      </c>
      <c r="EZ410">
        <f>IF(AND($EY410="row",$EY409&lt;&gt;"row"),1,0)</f>
        <v/>
      </c>
      <c r="FA410">
        <f>IF(AND($EY410="row",$EY411&lt;&gt;"row"),1,0)</f>
        <v/>
      </c>
      <c r="FB410">
        <f>IF($EZ410=1,IFERROR(IF(ISNUMBER(INDEX(PASTE_ALL,INDEX($DF$5:$DF$1003,$EX410),$B$37)),INDEX(PASTE_ALL,INDEX($DF$5:$DF$1003,$EX410),$B$37),INDEX($DH$5:$DH$1003,$EX410)),INDEX($DH$5:$DH$1003,$EX410)),"")</f>
        <v/>
      </c>
      <c r="FC410">
        <f>IF($EY410="row",INDEX($ER$5:$ER$1003,$EX410),"")</f>
        <v/>
      </c>
      <c r="FD410">
        <f>IF($EY410="row",INDEX($DN$5:$DN$1003,$EX410),"")</f>
        <v/>
      </c>
      <c r="FE410">
        <f>IF($EY410="row",INDEX($DO$5:$DO$1003,$EX410),"")</f>
        <v/>
      </c>
      <c r="FF410">
        <f>IF($EY410="row",INDEX($DP$5:$DP$1003,$EX410),"")</f>
        <v/>
      </c>
      <c r="FG410">
        <f>IF($EY410="row",INDEX($DQ$5:$DQ$1003,$EX410),"")</f>
        <v/>
      </c>
      <c r="FH410">
        <f>IF($EY410="row",INDEX($DR$5:$DR$1003,$EX410),"")</f>
        <v/>
      </c>
      <c r="FI410">
        <f>IF($EY410="row",INDEX($DS$5:$DS$1003,$EX410),"")</f>
        <v/>
      </c>
      <c r="FJ410">
        <f>IF($EY410="row",INDEX($DT$5:$DT$1003,$EX410),"")</f>
        <v/>
      </c>
      <c r="FK410">
        <f>IF($EY410="row",INDEX($DU$5:$DU$1003,$EX410),"")</f>
        <v/>
      </c>
      <c r="FL410">
        <f>IF($EY410="row",INDEX($DV$5:$DV$1003,$EX410),"")</f>
        <v/>
      </c>
      <c r="FM410">
        <f>IF($EY410="row",INDEX($DW$5:$DW$1003,$EX410),"")</f>
        <v/>
      </c>
      <c r="FN410">
        <f>IF($EY410="row",INDEX($DY$5:$DY$1003,$EX410),"")</f>
        <v/>
      </c>
      <c r="FO410">
        <f>IF($EY410="row",INDEX($EA$5:$EA$1003,$EX410),"")</f>
        <v/>
      </c>
      <c r="FP410">
        <f>IF($EY410="row",INDEX($EC$5:$EC$1003,$EX410),"")</f>
        <v/>
      </c>
      <c r="FQ410">
        <f>IF($EY410="row",INDEX($ET$5:$ET$1003,$EX410),"")</f>
        <v/>
      </c>
      <c r="FR410">
        <f>IF($EY410="row",INDEX($EU$5:$EU$1003,$EX410),"")</f>
        <v/>
      </c>
      <c r="FS410">
        <f>IF(AND($EY410="row",$EY409="row"),IF(OR(INDEX($DT$5:$DT$1003,$EX409)="",INDEX($DT$5:$DT$1003,$EX410)=""),"",IF(NOT(EXACT(INDEX($DT$5:$DT$1003,$EX409),INDEX($DT$5:$DT$1003,$EX410))),"S4",IF(NOT(EXACT(INDEX($DS$5:$DS$1003,$EX409),INDEX($DS$5:$DS$1003,$EX410))),"S3",IF(NOT(EXACT(INDEX($DR$5:$DR$1003,$EX409),INDEX($DR$5:$DR$1003,$EX410))),"S1 Count Change","S1")))),"")</f>
        <v/>
      </c>
      <c r="FT410">
        <f>IF($EY410="row",INDEX($ES$5:$ES$1003,$EX410),"")</f>
        <v/>
      </c>
      <c r="FU410">
        <f>IF($EY410="row",INDEX($EO$5:$EO$1003,$EX410),0)</f>
        <v/>
      </c>
      <c r="FV410">
        <f>IF($FS410="S1 Count Change",1,0)</f>
        <v/>
      </c>
    </row>
    <row r="411">
      <c r="DA411" t="n">
        <v>407</v>
      </c>
      <c r="DB411">
        <f>IF($B$37=0,"",IFERROR(TRIM(SUBSTITUTE(SUBSTITUTE(SUBSTITUTE(SUBSTITUTE(INDEX(PASTE_ALL,407,$B$37)," "," "),CHAR(9)," "),CHAR(10)," "),CHAR(13)," ")),""))</f>
        <v/>
      </c>
      <c r="DC411">
        <f>IF(AND(407&gt;HEADER_ROW,UPPER(DB411)="LEGEND"),1,0)</f>
        <v/>
      </c>
      <c r="DE411" t="n">
        <v>407</v>
      </c>
      <c r="DF411">
        <f>HEADER_ROW+$DE411</f>
        <v/>
      </c>
      <c r="DG411">
        <f>IF(AND($DF411&lt;=1000,$DF411&lt;$B$8),1,0)</f>
        <v/>
      </c>
      <c r="DH411">
        <f>IF($DG411=1,IFERROR(INDEX($DB$5:$DB$1004,$DF411),""),"")</f>
        <v/>
      </c>
      <c r="DI411">
        <f>IF(AND($DG411=1,$DH411&lt;&gt;""),IFERROR(SUBSTITUTE(SUBSTITUTE(TRIM(SUBSTITUTE(SUBSTITUTE(SUBSTITUTE(SUBSTITUTE(IFERROR(INDEX(PASTE_ALL,$DF411,1)&amp;"","")&amp;"␟"&amp;IFERROR(INDEX(PASTE_ALL,$DF411,2)&amp;"","")&amp;"␟"&amp;IFERROR(INDEX(PASTE_ALL,$DF411,3)&amp;"","")&amp;"␟"&amp;IFERROR(INDEX(PASTE_ALL,$DF411,4)&amp;"","")&amp;"␟"&amp;IFERROR(INDEX(PASTE_ALL,$DF411,5)&amp;"","")&amp;"␟"&amp;IFERROR(INDEX(PASTE_ALL,$DF411,6)&amp;"","")&amp;"␟"&amp;IFERROR(INDEX(PASTE_ALL,$DF411,7)&amp;"","")&amp;"␟"&amp;IFERROR(INDEX(PASTE_ALL,$DF411,8)&amp;"","")&amp;"␟"&amp;IFERROR(INDEX(PASTE_ALL,$DF411,9)&amp;"","")&amp;"␟"&amp;IFERROR(INDEX(PASTE_ALL,$DF411,10)&amp;"","")&amp;"␟"&amp;IFERROR(INDEX(PASTE_ALL,$DF411,11)&amp;"","")&amp;"␟"&amp;IFERROR(INDEX(PASTE_ALL,$DF411,12)&amp;"","")&amp;"␟"&amp;IFERROR(INDEX(PASTE_ALL,$DF411,13)&amp;"","")&amp;"␟"&amp;IFERROR(INDEX(PASTE_ALL,$DF411,14)&amp;"","")&amp;"␟"&amp;IFERROR(INDEX(PASTE_ALL,$DF411,15)&amp;"","")&amp;"␟"&amp;IFERROR(INDEX(PASTE_ALL,$DF411,16)&amp;"","")&amp;"␟"&amp;IFERROR(INDEX(PASTE_ALL,$DF411,17)&amp;"","")&amp;"␟"&amp;IFERROR(INDEX(PASTE_ALL,$DF411,18)&amp;"","")&amp;"␟"&amp;IFERROR(INDEX(PASTE_ALL,$DF411,19)&amp;"","")&amp;"␟"&amp;IFERROR(INDEX(PASTE_ALL,$DF411,20)&amp;"","")&amp;"␟"&amp;IFERROR(INDEX(PASTE_ALL,$DF411,21)&amp;"","")&amp;"␟"&amp;IFERROR(INDEX(PASTE_ALL,$DF411,22)&amp;"","")&amp;"␟"&amp;IFERROR(INDEX(PASTE_ALL,$DF411,23)&amp;"","")&amp;"␟"&amp;IFERROR(INDEX(PASTE_ALL,$DF411,24)&amp;"","")&amp;"␟"&amp;IFERROR(INDEX(PASTE_ALL,$DF411,25)&amp;"","")&amp;"␟"&amp;IFERROR(INDEX(PASTE_ALL,$DF411,26)&amp;"","")&amp;"␟"&amp;IFERROR(INDEX(PASTE_ALL,$DF411,27)&amp;"","")&amp;"␟"&amp;IFERROR(INDEX(PASTE_ALL,$DF411,28)&amp;"","")&amp;"␟"&amp;IFERROR(INDEX(PASTE_ALL,$DF411,29)&amp;"","")&amp;"␟"&amp;IFERROR(INDEX(PASTE_ALL,$DF411,30)&amp;"","")&amp;"␟"&amp;IFERROR(INDEX(PASTE_ALL,$DF411,31)&amp;"","")&amp;"␟"&amp;IFERROR(INDEX(PASTE_ALL,$DF411,32)&amp;"","")&amp;"␟"&amp;IFERROR(INDEX(PASTE_ALL,$DF411,33)&amp;"","")&amp;"␟"&amp;IFERROR(INDEX(PASTE_ALL,$DF411,34)&amp;"","")&amp;"␟"&amp;IFERROR(INDEX(PASTE_ALL,$DF411,35)&amp;"","")&amp;"␟"&amp;IFERROR(INDEX(PASTE_ALL,$DF411,36)&amp;"","")&amp;"␟"&amp;IFERROR(INDEX(PASTE_ALL,$DF411,37)&amp;"","")&amp;"␟"&amp;IFERROR(INDEX(PASTE_ALL,$DF411,38)&amp;"","")&amp;"␟"&amp;IFERROR(INDEX(PASTE_ALL,$DF411,39)&amp;"","")&amp;"␟"&amp;IFERROR(INDEX(PASTE_ALL,$DF411,40)&amp;"","")&amp;"␟"&amp;IFERROR(INDEX(PASTE_ALL,$DF411,41)&amp;"","")&amp;"␟"&amp;IFERROR(INDEX(PASTE_ALL,$DF411,42)&amp;"","")&amp;"␟"&amp;IFERROR(INDEX(PASTE_ALL,$DF411,43)&amp;"","")&amp;"␟"&amp;IFERROR(INDEX(PASTE_ALL,$DF411,44)&amp;"","")&amp;"␟"&amp;IFERROR(INDEX(PASTE_ALL,$DF411,45)&amp;"","")&amp;"␟"&amp;IFERROR(INDEX(PASTE_ALL,$DF411,46)&amp;"","")&amp;"␟"&amp;IFERROR(INDEX(PASTE_ALL,$DF411,47)&amp;"","")&amp;"␟"&amp;IFERROR(INDEX(PASTE_ALL,$DF411,48)&amp;"","")&amp;"␟"&amp;IFERROR(INDEX(PASTE_ALL,$DF411,49)&amp;"","")&amp;"␟"&amp;IFERROR(INDEX(PASTE_ALL,$DF411,50)&amp;"","")&amp;"␟"&amp;IFERROR(INDEX(PASTE_ALL,$DF411,51)&amp;"","")&amp;"␟"&amp;IFERROR(INDEX(PASTE_ALL,$DF411,52)&amp;"","")&amp;"␟"&amp;IFERROR(INDEX(PASTE_ALL,$DF411,53)&amp;"","")&amp;"␟"&amp;IFERROR(INDEX(PASTE_ALL,$DF411,54)&amp;"","")&amp;"␟"&amp;IFERROR(INDEX(PASTE_ALL,$DF411,55)&amp;"","")&amp;"␟"&amp;IFERROR(INDEX(PASTE_ALL,$DF411,56)&amp;"","")&amp;"␟"&amp;IFERROR(INDEX(PASTE_ALL,$DF411,57)&amp;"","")&amp;"␟"&amp;IFERROR(INDEX(PASTE_ALL,$DF411,58)&amp;"","")&amp;"␟"&amp;IFERROR(INDEX(PASTE_ALL,$DF411,59)&amp;"","")&amp;"␟"&amp;IFERROR(INDEX(PASTE_ALL,$DF411,60)&amp;"","")," "," "),CHAR(9)," "),CHAR(10)," "),CHAR(13)," "))," ␟","␟"),"␟ ","␟"),"#"&amp;$DE411),"")</f>
        <v/>
      </c>
      <c r="DJ411">
        <f>IF($DI411="",0,IF(SUMPRODUCT(--EXACT($DI$4:DI410,$DI411))&gt;0,1,0))</f>
        <v/>
      </c>
      <c r="DK411">
        <f>IF(AND($DI411&lt;&gt;"",$DJ411=0),1,0)</f>
        <v/>
      </c>
      <c r="DL411">
        <f>DL410+$DK411</f>
        <v/>
      </c>
      <c r="DM411">
        <f>IF(AND($DK411=1,$DL411&lt;=600),1,0)</f>
        <v/>
      </c>
      <c r="DN411">
        <f>IF($DM411=0,"",IF($L$6=0,"",IFERROR(IF(ISNUMBER(INDEX(PASTE_ALL,$DF411,$L$6)),INDEX(PASTE_ALL,$DF411,$L$6),TRIM(SUBSTITUTE(SUBSTITUTE(SUBSTITUTE(SUBSTITUTE(INDEX(PASTE_ALL,$DF411,$L$6)," "," "),CHAR(9)," "),CHAR(10)," "),CHAR(13)," "))),"")))</f>
        <v/>
      </c>
      <c r="DO411">
        <f>IF($DM411=0,"",IF($L$7=0,"",IFERROR(IF(ISNUMBER(INDEX(PASTE_ALL,$DF411,$L$7)),INDEX(PASTE_ALL,$DF411,$L$7),TRIM(SUBSTITUTE(SUBSTITUTE(SUBSTITUTE(SUBSTITUTE(INDEX(PASTE_ALL,$DF411,$L$7)," "," "),CHAR(9)," "),CHAR(10)," "),CHAR(13)," "))),"")))</f>
        <v/>
      </c>
      <c r="DP411">
        <f>IF($DM411=0,"",IF($L$8=0,"",IFERROR(IF(ISNUMBER(INDEX(PASTE_ALL,$DF411,$L$8)),INDEX(PASTE_ALL,$DF411,$L$8),TRIM(SUBSTITUTE(SUBSTITUTE(SUBSTITUTE(SUBSTITUTE(INDEX(PASTE_ALL,$DF411,$L$8)," "," "),CHAR(9)," "),CHAR(10)," "),CHAR(13)," "))),"")))</f>
        <v/>
      </c>
      <c r="DQ411">
        <f>IF($DM411=0,"",IF($L$9=0,"",IFERROR(IF(ISNUMBER(INDEX(PASTE_ALL,$DF411,$L$9)),INDEX(PASTE_ALL,$DF411,$L$9),TRIM(SUBSTITUTE(SUBSTITUTE(SUBSTITUTE(SUBSTITUTE(INDEX(PASTE_ALL,$DF411,$L$9)," "," "),CHAR(9)," "),CHAR(10)," "),CHAR(13)," "))),"")))</f>
        <v/>
      </c>
      <c r="DR411">
        <f>IF($DM411=0,"",IF($L$10=0,"",IFERROR(IF(ISNUMBER(INDEX(PASTE_ALL,$DF411,$L$10)),INDEX(PASTE_ALL,$DF411,$L$10),TRIM(SUBSTITUTE(SUBSTITUTE(SUBSTITUTE(SUBSTITUTE(INDEX(PASTE_ALL,$DF411,$L$10)," "," "),CHAR(9)," "),CHAR(10)," "),CHAR(13)," "))),"")))</f>
        <v/>
      </c>
      <c r="DS411">
        <f>IF($DM411=0,"",IF($L$11=0,"",IFERROR(IF(ISNUMBER(INDEX(PASTE_ALL,$DF411,$L$11)),INDEX(PASTE_ALL,$DF411,$L$11),TRIM(SUBSTITUTE(SUBSTITUTE(SUBSTITUTE(SUBSTITUTE(INDEX(PASTE_ALL,$DF411,$L$11)," "," "),CHAR(9)," "),CHAR(10)," "),CHAR(13)," "))),"")))</f>
        <v/>
      </c>
      <c r="DT411">
        <f>IF($DM411=0,"",IF($L$12=0,"",IFERROR(IF(ISNUMBER(INDEX(PASTE_ALL,$DF411,$L$12)),INDEX(PASTE_ALL,$DF411,$L$12),TRIM(SUBSTITUTE(SUBSTITUTE(SUBSTITUTE(SUBSTITUTE(INDEX(PASTE_ALL,$DF411,$L$12)," "," "),CHAR(9)," "),CHAR(10)," "),CHAR(13)," "))),"")))</f>
        <v/>
      </c>
      <c r="DU411">
        <f>IF($DM411=0,"",IF($L$13=0,"",IFERROR(IF(ISNUMBER(INDEX(PASTE_ALL,$DF411,$L$13)),INDEX(PASTE_ALL,$DF411,$L$13),TRIM(SUBSTITUTE(SUBSTITUTE(SUBSTITUTE(SUBSTITUTE(INDEX(PASTE_ALL,$DF411,$L$13)," "," "),CHAR(9)," "),CHAR(10)," "),CHAR(13)," "))),"")))</f>
        <v/>
      </c>
      <c r="DV411">
        <f>IF($DM411=0,"",IF($L$14=0,"",IFERROR(IF(ISNUMBER(INDEX(PASTE_ALL,$DF411,$L$14)),INDEX(PASTE_ALL,$DF411,$L$14),TRIM(SUBSTITUTE(SUBSTITUTE(SUBSTITUTE(SUBSTITUTE(INDEX(PASTE_ALL,$DF411,$L$14)," "," "),CHAR(9)," "),CHAR(10)," "),CHAR(13)," "))),"")))</f>
        <v/>
      </c>
      <c r="DW411">
        <f>IF($DM411=0,"",IF($L$15=0,"",IFERROR(IF(ISNUMBER(INDEX(PASTE_ALL,$DF411,$L$15)),INDEX(PASTE_ALL,$DF411,$L$15),IF(SUMPRODUCT(--ISNUMBER(FIND({"A","B","C","D","E","F","G","H","I","J","K","L","M","N","O","P","Q","R","S","T","U","V","W","X","Y","Z","0","1","2","3","4","5","6","7","8","9"},UPPER(TRIM(SUBSTITUTE(SUBSTITUTE(SUBSTITUTE(SUBSTITUTE(INDEX(PASTE_ALL,$DF411,$L$15)," "," "),CHAR(9)," "),CHAR(10)," "),CHAR(13)," "))))))&gt;0,TRIM(SUBSTITUTE(SUBSTITUTE(SUBSTITUTE(SUBSTITUTE(INDEX(PASTE_ALL,$DF411,$L$15)," "," "),CHAR(9)," "),CHAR(10)," "),CHAR(13)," ")),"")),"")))</f>
        <v/>
      </c>
      <c r="DX411">
        <f>IF($DM411=0,"",IF($L$16=0,"",IFERROR(IF(ISNUMBER(INDEX(PASTE_ALL,$DF411,$L$16)),INDEX(PASTE_ALL,$DF411,$L$16),SUBSTITUTE(SUBSTITUTE(TRIM(SUBSTITUTE(SUBSTITUTE(SUBSTITUTE(SUBSTITUTE(INDEX(PASTE_ALL,$DF411,$L$16)," "," "),CHAR(9)," "),CHAR(10)," "),CHAR(13)," ")),",",""),"%","")),"")))</f>
        <v/>
      </c>
      <c r="DY411">
        <f>IF($DM411=0,"",IFERROR(IF(ISNUMBER($DX411),$DX411,IF($DX411="","",IF(TRIM($DX411)="",0,IF(AND(AND(SUBSTITUTE(SUBSTITUTE(SUBSTITUTE(SUBSTITUTE(SUBSTITUTE(SUBSTITUTE(SUBSTITUTE(SUBSTITUTE(SUBSTITUTE(SUBSTITUTE(SUBSTITUTE(SUBSTITUTE(SUBSTITUTE(SUBSTITUTE(UPPER(TRIM($DX411)),"0",""),"1",""),"2",""),"3",""),"4",""),"5",""),"6",""),"7",""),"8",""),"9",""),".",""),"+",""),"-",""),"E","")="",LEN(SUBSTITUTE(SUBSTITUTE(MID(UPPER(TRIM($DX411)),1+OR(LEFT(UPPER(TRIM($DX411)),1)="+",LEFT(UPPER(TRIM($DX411)),1)="-"),999),"E+","E"),"E-","E"))=LEN(SUBSTITUTE(SUBSTITUTE(SUBSTITUTE(SUBSTITUTE(MID(UPPER(TRIM($DX411)),1+OR(LEFT(UPPER(TRIM($DX411)),1)="+",LEFT(UPPER(TRIM($DX411)),1)="-"),999),"E+","E"),"E-","E"),"+",""),"-","")),LEN(UPPER(TRIM($DX411)))-LEN(SUBSTITUTE(UPPER(TRIM($DX411)),"E",""))&lt;2,LEN(UPPER(TRIM($DX411)))-LEN(SUBSTITUTE(UPPER(TRIM($DX411)),".",""))&lt;2,IFERROR(FIND(".",UPPER(TRIM($DX411))),0)&lt;IFERROR(FIND("E",UPPER(TRIM($DX411))),999)),ISNUMBER(VALUE(TRIM($DX411)))),VALUE(TRIM($DX411)),"")))),""))</f>
        <v/>
      </c>
      <c r="DZ411">
        <f>IF($DM411=0,"",IF($L$17=0,"",IFERROR(IF(ISNUMBER(INDEX(PASTE_ALL,$DF411,$L$17)),INDEX(PASTE_ALL,$DF411,$L$17),SUBSTITUTE(SUBSTITUTE(TRIM(SUBSTITUTE(SUBSTITUTE(SUBSTITUTE(SUBSTITUTE(INDEX(PASTE_ALL,$DF411,$L$17)," "," "),CHAR(9)," "),CHAR(10)," "),CHAR(13)," ")),",",""),"%","")),"")))</f>
        <v/>
      </c>
      <c r="EA411">
        <f>IF($DM411=0,"",IFERROR(IF(ISNUMBER($DZ411),$DZ411,IF($DZ411="","",IF(TRIM($DZ411)="",0,IF(AND(AND(SUBSTITUTE(SUBSTITUTE(SUBSTITUTE(SUBSTITUTE(SUBSTITUTE(SUBSTITUTE(SUBSTITUTE(SUBSTITUTE(SUBSTITUTE(SUBSTITUTE(SUBSTITUTE(SUBSTITUTE(SUBSTITUTE(SUBSTITUTE(UPPER(TRIM($DZ411)),"0",""),"1",""),"2",""),"3",""),"4",""),"5",""),"6",""),"7",""),"8",""),"9",""),".",""),"+",""),"-",""),"E","")="",LEN(SUBSTITUTE(SUBSTITUTE(MID(UPPER(TRIM($DZ411)),1+OR(LEFT(UPPER(TRIM($DZ411)),1)="+",LEFT(UPPER(TRIM($DZ411)),1)="-"),999),"E+","E"),"E-","E"))=LEN(SUBSTITUTE(SUBSTITUTE(SUBSTITUTE(SUBSTITUTE(MID(UPPER(TRIM($DZ411)),1+OR(LEFT(UPPER(TRIM($DZ411)),1)="+",LEFT(UPPER(TRIM($DZ411)),1)="-"),999),"E+","E"),"E-","E"),"+",""),"-","")),LEN(UPPER(TRIM($DZ411)))-LEN(SUBSTITUTE(UPPER(TRIM($DZ411)),"E",""))&lt;2,LEN(UPPER(TRIM($DZ411)))-LEN(SUBSTITUTE(UPPER(TRIM($DZ411)),".",""))&lt;2,IFERROR(FIND(".",UPPER(TRIM($DZ411))),0)&lt;IFERROR(FIND("E",UPPER(TRIM($DZ411))),999)),ISNUMBER(VALUE(TRIM($DZ411)))),VALUE(TRIM($DZ411)),"")))),""))</f>
        <v/>
      </c>
      <c r="EB411">
        <f>IF($DM411=0,"",IF($L$18=0,"",IFERROR(IF(UPPER(TRIM(SUBSTITUTE(SUBSTITUTE(SUBSTITUTE(SUBSTITUTE(INDEX(PASTE_ALL,$DF411,$L$18)," "," "),CHAR(9)," "),CHAR(10)," "),CHAR(13)," ")))="READY","Ready",IF(UPPER(TRIM(SUBSTITUTE(SUBSTITUTE(SUBSTITUTE(SUBSTITUTE(INDEX(PASTE_ALL,$DF411,$L$18)," "," "),CHAR(9)," "),CHAR(10)," "),CHAR(13)," ")))="PM","PM",IF(OR(UPPER(TRIM(SUBSTITUTE(SUBSTITUTE(SUBSTITUTE(SUBSTITUTE(INDEX(PASTE_ALL,$DF411,$L$18)," "," "),CHAR(9)," "),CHAR(10)," "),CHAR(13)," ")))="OT",UPPER(TRIM(SUBSTITUTE(SUBSTITUTE(SUBSTITUTE(SUBSTITUTE(INDEX(PASTE_ALL,$DF411,$L$18)," "," "),CHAR(9)," "),CHAR(10)," "),CHAR(13)," ")))="OVERTIME",UPPER(TRIM(SUBSTITUTE(SUBSTITUTE(SUBSTITUTE(SUBSTITUTE(INDEX(PASTE_ALL,$DF411,$L$18)," "," "),CHAR(9)," "),CHAR(10)," "),CHAR(13)," ")))="TRIAL"),"OT",TRIM(SUBSTITUTE(SUBSTITUTE(SUBSTITUTE(SUBSTITUTE(INDEX(PASTE_ALL,$DF411,$L$18)," "," "),CHAR(9)," "),CHAR(10)," "),CHAR(13)," "))))),"")))</f>
        <v/>
      </c>
      <c r="EC411">
        <f>IF($DM411=0,"",IF($L$19=0,"",IFERROR(IF(ISNUMBER(INDEX(PASTE_ALL,$DF411,$L$19)),INDEX(PASTE_ALL,$DF411,$L$19),TRIM(SUBSTITUTE(SUBSTITUTE(SUBSTITUTE(SUBSTITUTE(INDEX(PASTE_ALL,$DF411,$L$19)," "," "),CHAR(9)," "),CHAR(10)," "),CHAR(13)," "))),"")))</f>
        <v/>
      </c>
      <c r="ED411">
        <f>IF($DM411=0,"",MATCH(1,INDEX(EXACT($DH$5:DH411,$DH411)*$DM$5:DM411,0),0))</f>
        <v/>
      </c>
      <c r="EE411">
        <f>IF($DM411=0,0,IF($ED411=$DE411,1,0))</f>
        <v/>
      </c>
      <c r="EF411">
        <f>EF410+$EE411</f>
        <v/>
      </c>
      <c r="EG411">
        <f>IF($DM411=0,"",INDEX($EF$5:$EF$1003,$ED411))</f>
        <v/>
      </c>
      <c r="EH411">
        <f>IF($DM411=0,"",IF($DO411&lt;&gt;"","",IFERROR(LOOKUP(2,1/(($EG$4:EG410=$EG411)*($DO$4:DO410&lt;&gt;"")),$DO$4:DO410),"")))</f>
        <v/>
      </c>
      <c r="EI411">
        <f>IF($DM411=0,"",IF($DO411&lt;&gt;"",$DO411,$EH411))</f>
        <v/>
      </c>
      <c r="EJ411">
        <f>IF($DM411=0,"",IF($EI411="",0,IF(OR(ISNUMBER($EI411),AND(AND(SUBSTITUTE(SUBSTITUTE(SUBSTITUTE(SUBSTITUTE(SUBSTITUTE(SUBSTITUTE(SUBSTITUTE(SUBSTITUTE(SUBSTITUTE(SUBSTITUTE(SUBSTITUTE(SUBSTITUTE(SUBSTITUTE(SUBSTITUTE(UPPER($EI411),"0",""),"1",""),"2",""),"3",""),"4",""),"5",""),"6",""),"7",""),"8",""),"9",""),".",""),"+",""),"-",""),"E","")="",LEN(SUBSTITUTE(SUBSTITUTE(MID(UPPER($EI411),1+OR(LEFT(UPPER($EI411),1)="+",LEFT(UPPER($EI411),1)="-"),999),"E+","E"),"E-","E"))=LEN(SUBSTITUTE(SUBSTITUTE(SUBSTITUTE(SUBSTITUTE(MID(UPPER($EI411),1+OR(LEFT(UPPER($EI411),1)="+",LEFT(UPPER($EI411),1)="-"),999),"E+","E"),"E-","E"),"+",""),"-","")),LEN(UPPER($EI411))-LEN(SUBSTITUTE(UPPER($EI411),"E",""))&lt;2,LEN(UPPER($EI411))-LEN(SUBSTITUTE(UPPER($EI411),".",""))&lt;2,IFERROR(FIND(".",UPPER($EI411)),0)&lt;IFERROR(FIND("E",UPPER($EI411)),999)),ISNUMBER(VALUE($EI411)))),1,2)))</f>
        <v/>
      </c>
      <c r="EK411">
        <f>IF($DM411=0,"",IF($EJ411=1,IF(ISNUMBER($EI411),$EI411,VALUE($EI411)),IF($EJ411=2,$DE411,0)))</f>
        <v/>
      </c>
      <c r="EL411">
        <f>IF($DM411=0,"",COUNTIF($EG$5:$EG$1003,"&lt;"&amp;$EG411)+SUMPRODUCT(($EG$5:$EG$1003=$EG411)*(($EJ$5:$EJ$1003&lt;$EJ411)+($EJ$5:$EJ$1003=$EJ411)*(($EK$5:$EK$1003&lt;$EK411)+($EK$5:$EK$1003=$EK411)*($DE$5:$DE$1003&lt;$DE411))))+1)</f>
        <v/>
      </c>
      <c r="EM411">
        <f>IF($DM411=0,"",$EL411+$EG411-1)</f>
        <v/>
      </c>
      <c r="EN411">
        <f>IF($DM411=0,0,IFERROR(MATCH(1,INDEX(--(TRIM(SUBSTITUTE(SUBSTITUTE(SUBSTITUTE(SUBSTITUTE(LINES_NAME&amp;""," "," "),CHAR(9)," "),CHAR(10)," "),CHAR(13)," "))=$DH411),0),0),0))</f>
        <v/>
      </c>
      <c r="EO411">
        <f>IF($EN411=0,0,IF(OR(UPPER(TRIM(INDEX(LINES_SCHEDULED,$EN411)&amp;""))="YES",UPPER(TRIM(INDEX(LINES_SCHEDULED,$EN411)&amp;""))="Y",UPPER(TRIM(INDEX(LINES_SCHEDULED,$EN411)&amp;""))="X"),1,0))</f>
        <v/>
      </c>
      <c r="EP411">
        <f>IF($DM411=0,"",IF(COUNTIFS($EG$5:$EG$1003,$EG411,$EB$5:$EB$1003,"Ready")&gt;0,"READY",IF(COUNTIFS($EG$5:$EG$1003,$EG411,$EB$5:$EB$1003,"PM")&gt;0,"PM",IF(COUNTIFS($EG$5:$EG$1003,$EG411,$EB$5:$EB$1003,"OT")&gt;0,"OT",""))))</f>
        <v/>
      </c>
      <c r="EQ411">
        <f>IF($EN411=0,"",UPPER(TRIM(INDEX(LINES_STATUS,$EN411)&amp;"")))</f>
        <v/>
      </c>
      <c r="ER411">
        <f>IF($DM411=0,"",IF(OR($EQ411="READY",$EQ411="PM",$EQ411="OT"),$EQ411,$EP411))</f>
        <v/>
      </c>
      <c r="ES411">
        <f>IF($DM411=0,"",IF(AND($DV411&lt;&gt;"",UPPER($DV411)&lt;&gt;"N"),"allergen",IF(ISNUMBER(SEARCH("oil",$DQ411)),"oil",IF(OR(EXACT($DS411,"A662"),EXACT($DS411,"A624")),"bulk",""))))</f>
        <v/>
      </c>
      <c r="ET411">
        <f>IF($DM411=0,"",IF(OR($EA411="",$EA411=0),"",$EA411/100))</f>
        <v/>
      </c>
      <c r="EU411">
        <f>IF(OR($ET411="",$DY411=""),"",INT($DY411*(1-$ET411)+0.5))</f>
        <v/>
      </c>
      <c r="EW411" t="n">
        <v>407</v>
      </c>
      <c r="EX411">
        <f>IFERROR(MATCH($EW411,$EM$5:$EM$1003,0),0)</f>
        <v/>
      </c>
      <c r="EY411">
        <f>IF($EW411&gt;$B$12,"",IF($EX411&gt;0,"row","spacer"))</f>
        <v/>
      </c>
      <c r="EZ411">
        <f>IF(AND($EY411="row",$EY410&lt;&gt;"row"),1,0)</f>
        <v/>
      </c>
      <c r="FA411">
        <f>IF(AND($EY411="row",$EY412&lt;&gt;"row"),1,0)</f>
        <v/>
      </c>
      <c r="FB411">
        <f>IF($EZ411=1,IFERROR(IF(ISNUMBER(INDEX(PASTE_ALL,INDEX($DF$5:$DF$1003,$EX411),$B$37)),INDEX(PASTE_ALL,INDEX($DF$5:$DF$1003,$EX411),$B$37),INDEX($DH$5:$DH$1003,$EX411)),INDEX($DH$5:$DH$1003,$EX411)),"")</f>
        <v/>
      </c>
      <c r="FC411">
        <f>IF($EY411="row",INDEX($ER$5:$ER$1003,$EX411),"")</f>
        <v/>
      </c>
      <c r="FD411">
        <f>IF($EY411="row",INDEX($DN$5:$DN$1003,$EX411),"")</f>
        <v/>
      </c>
      <c r="FE411">
        <f>IF($EY411="row",INDEX($DO$5:$DO$1003,$EX411),"")</f>
        <v/>
      </c>
      <c r="FF411">
        <f>IF($EY411="row",INDEX($DP$5:$DP$1003,$EX411),"")</f>
        <v/>
      </c>
      <c r="FG411">
        <f>IF($EY411="row",INDEX($DQ$5:$DQ$1003,$EX411),"")</f>
        <v/>
      </c>
      <c r="FH411">
        <f>IF($EY411="row",INDEX($DR$5:$DR$1003,$EX411),"")</f>
        <v/>
      </c>
      <c r="FI411">
        <f>IF($EY411="row",INDEX($DS$5:$DS$1003,$EX411),"")</f>
        <v/>
      </c>
      <c r="FJ411">
        <f>IF($EY411="row",INDEX($DT$5:$DT$1003,$EX411),"")</f>
        <v/>
      </c>
      <c r="FK411">
        <f>IF($EY411="row",INDEX($DU$5:$DU$1003,$EX411),"")</f>
        <v/>
      </c>
      <c r="FL411">
        <f>IF($EY411="row",INDEX($DV$5:$DV$1003,$EX411),"")</f>
        <v/>
      </c>
      <c r="FM411">
        <f>IF($EY411="row",INDEX($DW$5:$DW$1003,$EX411),"")</f>
        <v/>
      </c>
      <c r="FN411">
        <f>IF($EY411="row",INDEX($DY$5:$DY$1003,$EX411),"")</f>
        <v/>
      </c>
      <c r="FO411">
        <f>IF($EY411="row",INDEX($EA$5:$EA$1003,$EX411),"")</f>
        <v/>
      </c>
      <c r="FP411">
        <f>IF($EY411="row",INDEX($EC$5:$EC$1003,$EX411),"")</f>
        <v/>
      </c>
      <c r="FQ411">
        <f>IF($EY411="row",INDEX($ET$5:$ET$1003,$EX411),"")</f>
        <v/>
      </c>
      <c r="FR411">
        <f>IF($EY411="row",INDEX($EU$5:$EU$1003,$EX411),"")</f>
        <v/>
      </c>
      <c r="FS411">
        <f>IF(AND($EY411="row",$EY410="row"),IF(OR(INDEX($DT$5:$DT$1003,$EX410)="",INDEX($DT$5:$DT$1003,$EX411)=""),"",IF(NOT(EXACT(INDEX($DT$5:$DT$1003,$EX410),INDEX($DT$5:$DT$1003,$EX411))),"S4",IF(NOT(EXACT(INDEX($DS$5:$DS$1003,$EX410),INDEX($DS$5:$DS$1003,$EX411))),"S3",IF(NOT(EXACT(INDEX($DR$5:$DR$1003,$EX410),INDEX($DR$5:$DR$1003,$EX411))),"S1 Count Change","S1")))),"")</f>
        <v/>
      </c>
      <c r="FT411">
        <f>IF($EY411="row",INDEX($ES$5:$ES$1003,$EX411),"")</f>
        <v/>
      </c>
      <c r="FU411">
        <f>IF($EY411="row",INDEX($EO$5:$EO$1003,$EX411),0)</f>
        <v/>
      </c>
      <c r="FV411">
        <f>IF($FS411="S1 Count Change",1,0)</f>
        <v/>
      </c>
    </row>
    <row r="412">
      <c r="DA412" t="n">
        <v>408</v>
      </c>
      <c r="DB412">
        <f>IF($B$37=0,"",IFERROR(TRIM(SUBSTITUTE(SUBSTITUTE(SUBSTITUTE(SUBSTITUTE(INDEX(PASTE_ALL,408,$B$37)," "," "),CHAR(9)," "),CHAR(10)," "),CHAR(13)," ")),""))</f>
        <v/>
      </c>
      <c r="DC412">
        <f>IF(AND(408&gt;HEADER_ROW,UPPER(DB412)="LEGEND"),1,0)</f>
        <v/>
      </c>
      <c r="DE412" t="n">
        <v>408</v>
      </c>
      <c r="DF412">
        <f>HEADER_ROW+$DE412</f>
        <v/>
      </c>
      <c r="DG412">
        <f>IF(AND($DF412&lt;=1000,$DF412&lt;$B$8),1,0)</f>
        <v/>
      </c>
      <c r="DH412">
        <f>IF($DG412=1,IFERROR(INDEX($DB$5:$DB$1004,$DF412),""),"")</f>
        <v/>
      </c>
      <c r="DI412">
        <f>IF(AND($DG412=1,$DH412&lt;&gt;""),IFERROR(SUBSTITUTE(SUBSTITUTE(TRIM(SUBSTITUTE(SUBSTITUTE(SUBSTITUTE(SUBSTITUTE(IFERROR(INDEX(PASTE_ALL,$DF412,1)&amp;"","")&amp;"␟"&amp;IFERROR(INDEX(PASTE_ALL,$DF412,2)&amp;"","")&amp;"␟"&amp;IFERROR(INDEX(PASTE_ALL,$DF412,3)&amp;"","")&amp;"␟"&amp;IFERROR(INDEX(PASTE_ALL,$DF412,4)&amp;"","")&amp;"␟"&amp;IFERROR(INDEX(PASTE_ALL,$DF412,5)&amp;"","")&amp;"␟"&amp;IFERROR(INDEX(PASTE_ALL,$DF412,6)&amp;"","")&amp;"␟"&amp;IFERROR(INDEX(PASTE_ALL,$DF412,7)&amp;"","")&amp;"␟"&amp;IFERROR(INDEX(PASTE_ALL,$DF412,8)&amp;"","")&amp;"␟"&amp;IFERROR(INDEX(PASTE_ALL,$DF412,9)&amp;"","")&amp;"␟"&amp;IFERROR(INDEX(PASTE_ALL,$DF412,10)&amp;"","")&amp;"␟"&amp;IFERROR(INDEX(PASTE_ALL,$DF412,11)&amp;"","")&amp;"␟"&amp;IFERROR(INDEX(PASTE_ALL,$DF412,12)&amp;"","")&amp;"␟"&amp;IFERROR(INDEX(PASTE_ALL,$DF412,13)&amp;"","")&amp;"␟"&amp;IFERROR(INDEX(PASTE_ALL,$DF412,14)&amp;"","")&amp;"␟"&amp;IFERROR(INDEX(PASTE_ALL,$DF412,15)&amp;"","")&amp;"␟"&amp;IFERROR(INDEX(PASTE_ALL,$DF412,16)&amp;"","")&amp;"␟"&amp;IFERROR(INDEX(PASTE_ALL,$DF412,17)&amp;"","")&amp;"␟"&amp;IFERROR(INDEX(PASTE_ALL,$DF412,18)&amp;"","")&amp;"␟"&amp;IFERROR(INDEX(PASTE_ALL,$DF412,19)&amp;"","")&amp;"␟"&amp;IFERROR(INDEX(PASTE_ALL,$DF412,20)&amp;"","")&amp;"␟"&amp;IFERROR(INDEX(PASTE_ALL,$DF412,21)&amp;"","")&amp;"␟"&amp;IFERROR(INDEX(PASTE_ALL,$DF412,22)&amp;"","")&amp;"␟"&amp;IFERROR(INDEX(PASTE_ALL,$DF412,23)&amp;"","")&amp;"␟"&amp;IFERROR(INDEX(PASTE_ALL,$DF412,24)&amp;"","")&amp;"␟"&amp;IFERROR(INDEX(PASTE_ALL,$DF412,25)&amp;"","")&amp;"␟"&amp;IFERROR(INDEX(PASTE_ALL,$DF412,26)&amp;"","")&amp;"␟"&amp;IFERROR(INDEX(PASTE_ALL,$DF412,27)&amp;"","")&amp;"␟"&amp;IFERROR(INDEX(PASTE_ALL,$DF412,28)&amp;"","")&amp;"␟"&amp;IFERROR(INDEX(PASTE_ALL,$DF412,29)&amp;"","")&amp;"␟"&amp;IFERROR(INDEX(PASTE_ALL,$DF412,30)&amp;"","")&amp;"␟"&amp;IFERROR(INDEX(PASTE_ALL,$DF412,31)&amp;"","")&amp;"␟"&amp;IFERROR(INDEX(PASTE_ALL,$DF412,32)&amp;"","")&amp;"␟"&amp;IFERROR(INDEX(PASTE_ALL,$DF412,33)&amp;"","")&amp;"␟"&amp;IFERROR(INDEX(PASTE_ALL,$DF412,34)&amp;"","")&amp;"␟"&amp;IFERROR(INDEX(PASTE_ALL,$DF412,35)&amp;"","")&amp;"␟"&amp;IFERROR(INDEX(PASTE_ALL,$DF412,36)&amp;"","")&amp;"␟"&amp;IFERROR(INDEX(PASTE_ALL,$DF412,37)&amp;"","")&amp;"␟"&amp;IFERROR(INDEX(PASTE_ALL,$DF412,38)&amp;"","")&amp;"␟"&amp;IFERROR(INDEX(PASTE_ALL,$DF412,39)&amp;"","")&amp;"␟"&amp;IFERROR(INDEX(PASTE_ALL,$DF412,40)&amp;"","")&amp;"␟"&amp;IFERROR(INDEX(PASTE_ALL,$DF412,41)&amp;"","")&amp;"␟"&amp;IFERROR(INDEX(PASTE_ALL,$DF412,42)&amp;"","")&amp;"␟"&amp;IFERROR(INDEX(PASTE_ALL,$DF412,43)&amp;"","")&amp;"␟"&amp;IFERROR(INDEX(PASTE_ALL,$DF412,44)&amp;"","")&amp;"␟"&amp;IFERROR(INDEX(PASTE_ALL,$DF412,45)&amp;"","")&amp;"␟"&amp;IFERROR(INDEX(PASTE_ALL,$DF412,46)&amp;"","")&amp;"␟"&amp;IFERROR(INDEX(PASTE_ALL,$DF412,47)&amp;"","")&amp;"␟"&amp;IFERROR(INDEX(PASTE_ALL,$DF412,48)&amp;"","")&amp;"␟"&amp;IFERROR(INDEX(PASTE_ALL,$DF412,49)&amp;"","")&amp;"␟"&amp;IFERROR(INDEX(PASTE_ALL,$DF412,50)&amp;"","")&amp;"␟"&amp;IFERROR(INDEX(PASTE_ALL,$DF412,51)&amp;"","")&amp;"␟"&amp;IFERROR(INDEX(PASTE_ALL,$DF412,52)&amp;"","")&amp;"␟"&amp;IFERROR(INDEX(PASTE_ALL,$DF412,53)&amp;"","")&amp;"␟"&amp;IFERROR(INDEX(PASTE_ALL,$DF412,54)&amp;"","")&amp;"␟"&amp;IFERROR(INDEX(PASTE_ALL,$DF412,55)&amp;"","")&amp;"␟"&amp;IFERROR(INDEX(PASTE_ALL,$DF412,56)&amp;"","")&amp;"␟"&amp;IFERROR(INDEX(PASTE_ALL,$DF412,57)&amp;"","")&amp;"␟"&amp;IFERROR(INDEX(PASTE_ALL,$DF412,58)&amp;"","")&amp;"␟"&amp;IFERROR(INDEX(PASTE_ALL,$DF412,59)&amp;"","")&amp;"␟"&amp;IFERROR(INDEX(PASTE_ALL,$DF412,60)&amp;"","")," "," "),CHAR(9)," "),CHAR(10)," "),CHAR(13)," "))," ␟","␟"),"␟ ","␟"),"#"&amp;$DE412),"")</f>
        <v/>
      </c>
      <c r="DJ412">
        <f>IF($DI412="",0,IF(SUMPRODUCT(--EXACT($DI$4:DI411,$DI412))&gt;0,1,0))</f>
        <v/>
      </c>
      <c r="DK412">
        <f>IF(AND($DI412&lt;&gt;"",$DJ412=0),1,0)</f>
        <v/>
      </c>
      <c r="DL412">
        <f>DL411+$DK412</f>
        <v/>
      </c>
      <c r="DM412">
        <f>IF(AND($DK412=1,$DL412&lt;=600),1,0)</f>
        <v/>
      </c>
      <c r="DN412">
        <f>IF($DM412=0,"",IF($L$6=0,"",IFERROR(IF(ISNUMBER(INDEX(PASTE_ALL,$DF412,$L$6)),INDEX(PASTE_ALL,$DF412,$L$6),TRIM(SUBSTITUTE(SUBSTITUTE(SUBSTITUTE(SUBSTITUTE(INDEX(PASTE_ALL,$DF412,$L$6)," "," "),CHAR(9)," "),CHAR(10)," "),CHAR(13)," "))),"")))</f>
        <v/>
      </c>
      <c r="DO412">
        <f>IF($DM412=0,"",IF($L$7=0,"",IFERROR(IF(ISNUMBER(INDEX(PASTE_ALL,$DF412,$L$7)),INDEX(PASTE_ALL,$DF412,$L$7),TRIM(SUBSTITUTE(SUBSTITUTE(SUBSTITUTE(SUBSTITUTE(INDEX(PASTE_ALL,$DF412,$L$7)," "," "),CHAR(9)," "),CHAR(10)," "),CHAR(13)," "))),"")))</f>
        <v/>
      </c>
      <c r="DP412">
        <f>IF($DM412=0,"",IF($L$8=0,"",IFERROR(IF(ISNUMBER(INDEX(PASTE_ALL,$DF412,$L$8)),INDEX(PASTE_ALL,$DF412,$L$8),TRIM(SUBSTITUTE(SUBSTITUTE(SUBSTITUTE(SUBSTITUTE(INDEX(PASTE_ALL,$DF412,$L$8)," "," "),CHAR(9)," "),CHAR(10)," "),CHAR(13)," "))),"")))</f>
        <v/>
      </c>
      <c r="DQ412">
        <f>IF($DM412=0,"",IF($L$9=0,"",IFERROR(IF(ISNUMBER(INDEX(PASTE_ALL,$DF412,$L$9)),INDEX(PASTE_ALL,$DF412,$L$9),TRIM(SUBSTITUTE(SUBSTITUTE(SUBSTITUTE(SUBSTITUTE(INDEX(PASTE_ALL,$DF412,$L$9)," "," "),CHAR(9)," "),CHAR(10)," "),CHAR(13)," "))),"")))</f>
        <v/>
      </c>
      <c r="DR412">
        <f>IF($DM412=0,"",IF($L$10=0,"",IFERROR(IF(ISNUMBER(INDEX(PASTE_ALL,$DF412,$L$10)),INDEX(PASTE_ALL,$DF412,$L$10),TRIM(SUBSTITUTE(SUBSTITUTE(SUBSTITUTE(SUBSTITUTE(INDEX(PASTE_ALL,$DF412,$L$10)," "," "),CHAR(9)," "),CHAR(10)," "),CHAR(13)," "))),"")))</f>
        <v/>
      </c>
      <c r="DS412">
        <f>IF($DM412=0,"",IF($L$11=0,"",IFERROR(IF(ISNUMBER(INDEX(PASTE_ALL,$DF412,$L$11)),INDEX(PASTE_ALL,$DF412,$L$11),TRIM(SUBSTITUTE(SUBSTITUTE(SUBSTITUTE(SUBSTITUTE(INDEX(PASTE_ALL,$DF412,$L$11)," "," "),CHAR(9)," "),CHAR(10)," "),CHAR(13)," "))),"")))</f>
        <v/>
      </c>
      <c r="DT412">
        <f>IF($DM412=0,"",IF($L$12=0,"",IFERROR(IF(ISNUMBER(INDEX(PASTE_ALL,$DF412,$L$12)),INDEX(PASTE_ALL,$DF412,$L$12),TRIM(SUBSTITUTE(SUBSTITUTE(SUBSTITUTE(SUBSTITUTE(INDEX(PASTE_ALL,$DF412,$L$12)," "," "),CHAR(9)," "),CHAR(10)," "),CHAR(13)," "))),"")))</f>
        <v/>
      </c>
      <c r="DU412">
        <f>IF($DM412=0,"",IF($L$13=0,"",IFERROR(IF(ISNUMBER(INDEX(PASTE_ALL,$DF412,$L$13)),INDEX(PASTE_ALL,$DF412,$L$13),TRIM(SUBSTITUTE(SUBSTITUTE(SUBSTITUTE(SUBSTITUTE(INDEX(PASTE_ALL,$DF412,$L$13)," "," "),CHAR(9)," "),CHAR(10)," "),CHAR(13)," "))),"")))</f>
        <v/>
      </c>
      <c r="DV412">
        <f>IF($DM412=0,"",IF($L$14=0,"",IFERROR(IF(ISNUMBER(INDEX(PASTE_ALL,$DF412,$L$14)),INDEX(PASTE_ALL,$DF412,$L$14),TRIM(SUBSTITUTE(SUBSTITUTE(SUBSTITUTE(SUBSTITUTE(INDEX(PASTE_ALL,$DF412,$L$14)," "," "),CHAR(9)," "),CHAR(10)," "),CHAR(13)," "))),"")))</f>
        <v/>
      </c>
      <c r="DW412">
        <f>IF($DM412=0,"",IF($L$15=0,"",IFERROR(IF(ISNUMBER(INDEX(PASTE_ALL,$DF412,$L$15)),INDEX(PASTE_ALL,$DF412,$L$15),IF(SUMPRODUCT(--ISNUMBER(FIND({"A","B","C","D","E","F","G","H","I","J","K","L","M","N","O","P","Q","R","S","T","U","V","W","X","Y","Z","0","1","2","3","4","5","6","7","8","9"},UPPER(TRIM(SUBSTITUTE(SUBSTITUTE(SUBSTITUTE(SUBSTITUTE(INDEX(PASTE_ALL,$DF412,$L$15)," "," "),CHAR(9)," "),CHAR(10)," "),CHAR(13)," "))))))&gt;0,TRIM(SUBSTITUTE(SUBSTITUTE(SUBSTITUTE(SUBSTITUTE(INDEX(PASTE_ALL,$DF412,$L$15)," "," "),CHAR(9)," "),CHAR(10)," "),CHAR(13)," ")),"")),"")))</f>
        <v/>
      </c>
      <c r="DX412">
        <f>IF($DM412=0,"",IF($L$16=0,"",IFERROR(IF(ISNUMBER(INDEX(PASTE_ALL,$DF412,$L$16)),INDEX(PASTE_ALL,$DF412,$L$16),SUBSTITUTE(SUBSTITUTE(TRIM(SUBSTITUTE(SUBSTITUTE(SUBSTITUTE(SUBSTITUTE(INDEX(PASTE_ALL,$DF412,$L$16)," "," "),CHAR(9)," "),CHAR(10)," "),CHAR(13)," ")),",",""),"%","")),"")))</f>
        <v/>
      </c>
      <c r="DY412">
        <f>IF($DM412=0,"",IFERROR(IF(ISNUMBER($DX412),$DX412,IF($DX412="","",IF(TRIM($DX412)="",0,IF(AND(AND(SUBSTITUTE(SUBSTITUTE(SUBSTITUTE(SUBSTITUTE(SUBSTITUTE(SUBSTITUTE(SUBSTITUTE(SUBSTITUTE(SUBSTITUTE(SUBSTITUTE(SUBSTITUTE(SUBSTITUTE(SUBSTITUTE(SUBSTITUTE(UPPER(TRIM($DX412)),"0",""),"1",""),"2",""),"3",""),"4",""),"5",""),"6",""),"7",""),"8",""),"9",""),".",""),"+",""),"-",""),"E","")="",LEN(SUBSTITUTE(SUBSTITUTE(MID(UPPER(TRIM($DX412)),1+OR(LEFT(UPPER(TRIM($DX412)),1)="+",LEFT(UPPER(TRIM($DX412)),1)="-"),999),"E+","E"),"E-","E"))=LEN(SUBSTITUTE(SUBSTITUTE(SUBSTITUTE(SUBSTITUTE(MID(UPPER(TRIM($DX412)),1+OR(LEFT(UPPER(TRIM($DX412)),1)="+",LEFT(UPPER(TRIM($DX412)),1)="-"),999),"E+","E"),"E-","E"),"+",""),"-","")),LEN(UPPER(TRIM($DX412)))-LEN(SUBSTITUTE(UPPER(TRIM($DX412)),"E",""))&lt;2,LEN(UPPER(TRIM($DX412)))-LEN(SUBSTITUTE(UPPER(TRIM($DX412)),".",""))&lt;2,IFERROR(FIND(".",UPPER(TRIM($DX412))),0)&lt;IFERROR(FIND("E",UPPER(TRIM($DX412))),999)),ISNUMBER(VALUE(TRIM($DX412)))),VALUE(TRIM($DX412)),"")))),""))</f>
        <v/>
      </c>
      <c r="DZ412">
        <f>IF($DM412=0,"",IF($L$17=0,"",IFERROR(IF(ISNUMBER(INDEX(PASTE_ALL,$DF412,$L$17)),INDEX(PASTE_ALL,$DF412,$L$17),SUBSTITUTE(SUBSTITUTE(TRIM(SUBSTITUTE(SUBSTITUTE(SUBSTITUTE(SUBSTITUTE(INDEX(PASTE_ALL,$DF412,$L$17)," "," "),CHAR(9)," "),CHAR(10)," "),CHAR(13)," ")),",",""),"%","")),"")))</f>
        <v/>
      </c>
      <c r="EA412">
        <f>IF($DM412=0,"",IFERROR(IF(ISNUMBER($DZ412),$DZ412,IF($DZ412="","",IF(TRIM($DZ412)="",0,IF(AND(AND(SUBSTITUTE(SUBSTITUTE(SUBSTITUTE(SUBSTITUTE(SUBSTITUTE(SUBSTITUTE(SUBSTITUTE(SUBSTITUTE(SUBSTITUTE(SUBSTITUTE(SUBSTITUTE(SUBSTITUTE(SUBSTITUTE(SUBSTITUTE(UPPER(TRIM($DZ412)),"0",""),"1",""),"2",""),"3",""),"4",""),"5",""),"6",""),"7",""),"8",""),"9",""),".",""),"+",""),"-",""),"E","")="",LEN(SUBSTITUTE(SUBSTITUTE(MID(UPPER(TRIM($DZ412)),1+OR(LEFT(UPPER(TRIM($DZ412)),1)="+",LEFT(UPPER(TRIM($DZ412)),1)="-"),999),"E+","E"),"E-","E"))=LEN(SUBSTITUTE(SUBSTITUTE(SUBSTITUTE(SUBSTITUTE(MID(UPPER(TRIM($DZ412)),1+OR(LEFT(UPPER(TRIM($DZ412)),1)="+",LEFT(UPPER(TRIM($DZ412)),1)="-"),999),"E+","E"),"E-","E"),"+",""),"-","")),LEN(UPPER(TRIM($DZ412)))-LEN(SUBSTITUTE(UPPER(TRIM($DZ412)),"E",""))&lt;2,LEN(UPPER(TRIM($DZ412)))-LEN(SUBSTITUTE(UPPER(TRIM($DZ412)),".",""))&lt;2,IFERROR(FIND(".",UPPER(TRIM($DZ412))),0)&lt;IFERROR(FIND("E",UPPER(TRIM($DZ412))),999)),ISNUMBER(VALUE(TRIM($DZ412)))),VALUE(TRIM($DZ412)),"")))),""))</f>
        <v/>
      </c>
      <c r="EB412">
        <f>IF($DM412=0,"",IF($L$18=0,"",IFERROR(IF(UPPER(TRIM(SUBSTITUTE(SUBSTITUTE(SUBSTITUTE(SUBSTITUTE(INDEX(PASTE_ALL,$DF412,$L$18)," "," "),CHAR(9)," "),CHAR(10)," "),CHAR(13)," ")))="READY","Ready",IF(UPPER(TRIM(SUBSTITUTE(SUBSTITUTE(SUBSTITUTE(SUBSTITUTE(INDEX(PASTE_ALL,$DF412,$L$18)," "," "),CHAR(9)," "),CHAR(10)," "),CHAR(13)," ")))="PM","PM",IF(OR(UPPER(TRIM(SUBSTITUTE(SUBSTITUTE(SUBSTITUTE(SUBSTITUTE(INDEX(PASTE_ALL,$DF412,$L$18)," "," "),CHAR(9)," "),CHAR(10)," "),CHAR(13)," ")))="OT",UPPER(TRIM(SUBSTITUTE(SUBSTITUTE(SUBSTITUTE(SUBSTITUTE(INDEX(PASTE_ALL,$DF412,$L$18)," "," "),CHAR(9)," "),CHAR(10)," "),CHAR(13)," ")))="OVERTIME",UPPER(TRIM(SUBSTITUTE(SUBSTITUTE(SUBSTITUTE(SUBSTITUTE(INDEX(PASTE_ALL,$DF412,$L$18)," "," "),CHAR(9)," "),CHAR(10)," "),CHAR(13)," ")))="TRIAL"),"OT",TRIM(SUBSTITUTE(SUBSTITUTE(SUBSTITUTE(SUBSTITUTE(INDEX(PASTE_ALL,$DF412,$L$18)," "," "),CHAR(9)," "),CHAR(10)," "),CHAR(13)," "))))),"")))</f>
        <v/>
      </c>
      <c r="EC412">
        <f>IF($DM412=0,"",IF($L$19=0,"",IFERROR(IF(ISNUMBER(INDEX(PASTE_ALL,$DF412,$L$19)),INDEX(PASTE_ALL,$DF412,$L$19),TRIM(SUBSTITUTE(SUBSTITUTE(SUBSTITUTE(SUBSTITUTE(INDEX(PASTE_ALL,$DF412,$L$19)," "," "),CHAR(9)," "),CHAR(10)," "),CHAR(13)," "))),"")))</f>
        <v/>
      </c>
      <c r="ED412">
        <f>IF($DM412=0,"",MATCH(1,INDEX(EXACT($DH$5:DH412,$DH412)*$DM$5:DM412,0),0))</f>
        <v/>
      </c>
      <c r="EE412">
        <f>IF($DM412=0,0,IF($ED412=$DE412,1,0))</f>
        <v/>
      </c>
      <c r="EF412">
        <f>EF411+$EE412</f>
        <v/>
      </c>
      <c r="EG412">
        <f>IF($DM412=0,"",INDEX($EF$5:$EF$1003,$ED412))</f>
        <v/>
      </c>
      <c r="EH412">
        <f>IF($DM412=0,"",IF($DO412&lt;&gt;"","",IFERROR(LOOKUP(2,1/(($EG$4:EG411=$EG412)*($DO$4:DO411&lt;&gt;"")),$DO$4:DO411),"")))</f>
        <v/>
      </c>
      <c r="EI412">
        <f>IF($DM412=0,"",IF($DO412&lt;&gt;"",$DO412,$EH412))</f>
        <v/>
      </c>
      <c r="EJ412">
        <f>IF($DM412=0,"",IF($EI412="",0,IF(OR(ISNUMBER($EI412),AND(AND(SUBSTITUTE(SUBSTITUTE(SUBSTITUTE(SUBSTITUTE(SUBSTITUTE(SUBSTITUTE(SUBSTITUTE(SUBSTITUTE(SUBSTITUTE(SUBSTITUTE(SUBSTITUTE(SUBSTITUTE(SUBSTITUTE(SUBSTITUTE(UPPER($EI412),"0",""),"1",""),"2",""),"3",""),"4",""),"5",""),"6",""),"7",""),"8",""),"9",""),".",""),"+",""),"-",""),"E","")="",LEN(SUBSTITUTE(SUBSTITUTE(MID(UPPER($EI412),1+OR(LEFT(UPPER($EI412),1)="+",LEFT(UPPER($EI412),1)="-"),999),"E+","E"),"E-","E"))=LEN(SUBSTITUTE(SUBSTITUTE(SUBSTITUTE(SUBSTITUTE(MID(UPPER($EI412),1+OR(LEFT(UPPER($EI412),1)="+",LEFT(UPPER($EI412),1)="-"),999),"E+","E"),"E-","E"),"+",""),"-","")),LEN(UPPER($EI412))-LEN(SUBSTITUTE(UPPER($EI412),"E",""))&lt;2,LEN(UPPER($EI412))-LEN(SUBSTITUTE(UPPER($EI412),".",""))&lt;2,IFERROR(FIND(".",UPPER($EI412)),0)&lt;IFERROR(FIND("E",UPPER($EI412)),999)),ISNUMBER(VALUE($EI412)))),1,2)))</f>
        <v/>
      </c>
      <c r="EK412">
        <f>IF($DM412=0,"",IF($EJ412=1,IF(ISNUMBER($EI412),$EI412,VALUE($EI412)),IF($EJ412=2,$DE412,0)))</f>
        <v/>
      </c>
      <c r="EL412">
        <f>IF($DM412=0,"",COUNTIF($EG$5:$EG$1003,"&lt;"&amp;$EG412)+SUMPRODUCT(($EG$5:$EG$1003=$EG412)*(($EJ$5:$EJ$1003&lt;$EJ412)+($EJ$5:$EJ$1003=$EJ412)*(($EK$5:$EK$1003&lt;$EK412)+($EK$5:$EK$1003=$EK412)*($DE$5:$DE$1003&lt;$DE412))))+1)</f>
        <v/>
      </c>
      <c r="EM412">
        <f>IF($DM412=0,"",$EL412+$EG412-1)</f>
        <v/>
      </c>
      <c r="EN412">
        <f>IF($DM412=0,0,IFERROR(MATCH(1,INDEX(--(TRIM(SUBSTITUTE(SUBSTITUTE(SUBSTITUTE(SUBSTITUTE(LINES_NAME&amp;""," "," "),CHAR(9)," "),CHAR(10)," "),CHAR(13)," "))=$DH412),0),0),0))</f>
        <v/>
      </c>
      <c r="EO412">
        <f>IF($EN412=0,0,IF(OR(UPPER(TRIM(INDEX(LINES_SCHEDULED,$EN412)&amp;""))="YES",UPPER(TRIM(INDEX(LINES_SCHEDULED,$EN412)&amp;""))="Y",UPPER(TRIM(INDEX(LINES_SCHEDULED,$EN412)&amp;""))="X"),1,0))</f>
        <v/>
      </c>
      <c r="EP412">
        <f>IF($DM412=0,"",IF(COUNTIFS($EG$5:$EG$1003,$EG412,$EB$5:$EB$1003,"Ready")&gt;0,"READY",IF(COUNTIFS($EG$5:$EG$1003,$EG412,$EB$5:$EB$1003,"PM")&gt;0,"PM",IF(COUNTIFS($EG$5:$EG$1003,$EG412,$EB$5:$EB$1003,"OT")&gt;0,"OT",""))))</f>
        <v/>
      </c>
      <c r="EQ412">
        <f>IF($EN412=0,"",UPPER(TRIM(INDEX(LINES_STATUS,$EN412)&amp;"")))</f>
        <v/>
      </c>
      <c r="ER412">
        <f>IF($DM412=0,"",IF(OR($EQ412="READY",$EQ412="PM",$EQ412="OT"),$EQ412,$EP412))</f>
        <v/>
      </c>
      <c r="ES412">
        <f>IF($DM412=0,"",IF(AND($DV412&lt;&gt;"",UPPER($DV412)&lt;&gt;"N"),"allergen",IF(ISNUMBER(SEARCH("oil",$DQ412)),"oil",IF(OR(EXACT($DS412,"A662"),EXACT($DS412,"A624")),"bulk",""))))</f>
        <v/>
      </c>
      <c r="ET412">
        <f>IF($DM412=0,"",IF(OR($EA412="",$EA412=0),"",$EA412/100))</f>
        <v/>
      </c>
      <c r="EU412">
        <f>IF(OR($ET412="",$DY412=""),"",INT($DY412*(1-$ET412)+0.5))</f>
        <v/>
      </c>
      <c r="EW412" t="n">
        <v>408</v>
      </c>
      <c r="EX412">
        <f>IFERROR(MATCH($EW412,$EM$5:$EM$1003,0),0)</f>
        <v/>
      </c>
      <c r="EY412">
        <f>IF($EW412&gt;$B$12,"",IF($EX412&gt;0,"row","spacer"))</f>
        <v/>
      </c>
      <c r="EZ412">
        <f>IF(AND($EY412="row",$EY411&lt;&gt;"row"),1,0)</f>
        <v/>
      </c>
      <c r="FA412">
        <f>IF(AND($EY412="row",$EY413&lt;&gt;"row"),1,0)</f>
        <v/>
      </c>
      <c r="FB412">
        <f>IF($EZ412=1,IFERROR(IF(ISNUMBER(INDEX(PASTE_ALL,INDEX($DF$5:$DF$1003,$EX412),$B$37)),INDEX(PASTE_ALL,INDEX($DF$5:$DF$1003,$EX412),$B$37),INDEX($DH$5:$DH$1003,$EX412)),INDEX($DH$5:$DH$1003,$EX412)),"")</f>
        <v/>
      </c>
      <c r="FC412">
        <f>IF($EY412="row",INDEX($ER$5:$ER$1003,$EX412),"")</f>
        <v/>
      </c>
      <c r="FD412">
        <f>IF($EY412="row",INDEX($DN$5:$DN$1003,$EX412),"")</f>
        <v/>
      </c>
      <c r="FE412">
        <f>IF($EY412="row",INDEX($DO$5:$DO$1003,$EX412),"")</f>
        <v/>
      </c>
      <c r="FF412">
        <f>IF($EY412="row",INDEX($DP$5:$DP$1003,$EX412),"")</f>
        <v/>
      </c>
      <c r="FG412">
        <f>IF($EY412="row",INDEX($DQ$5:$DQ$1003,$EX412),"")</f>
        <v/>
      </c>
      <c r="FH412">
        <f>IF($EY412="row",INDEX($DR$5:$DR$1003,$EX412),"")</f>
        <v/>
      </c>
      <c r="FI412">
        <f>IF($EY412="row",INDEX($DS$5:$DS$1003,$EX412),"")</f>
        <v/>
      </c>
      <c r="FJ412">
        <f>IF($EY412="row",INDEX($DT$5:$DT$1003,$EX412),"")</f>
        <v/>
      </c>
      <c r="FK412">
        <f>IF($EY412="row",INDEX($DU$5:$DU$1003,$EX412),"")</f>
        <v/>
      </c>
      <c r="FL412">
        <f>IF($EY412="row",INDEX($DV$5:$DV$1003,$EX412),"")</f>
        <v/>
      </c>
      <c r="FM412">
        <f>IF($EY412="row",INDEX($DW$5:$DW$1003,$EX412),"")</f>
        <v/>
      </c>
      <c r="FN412">
        <f>IF($EY412="row",INDEX($DY$5:$DY$1003,$EX412),"")</f>
        <v/>
      </c>
      <c r="FO412">
        <f>IF($EY412="row",INDEX($EA$5:$EA$1003,$EX412),"")</f>
        <v/>
      </c>
      <c r="FP412">
        <f>IF($EY412="row",INDEX($EC$5:$EC$1003,$EX412),"")</f>
        <v/>
      </c>
      <c r="FQ412">
        <f>IF($EY412="row",INDEX($ET$5:$ET$1003,$EX412),"")</f>
        <v/>
      </c>
      <c r="FR412">
        <f>IF($EY412="row",INDEX($EU$5:$EU$1003,$EX412),"")</f>
        <v/>
      </c>
      <c r="FS412">
        <f>IF(AND($EY412="row",$EY411="row"),IF(OR(INDEX($DT$5:$DT$1003,$EX411)="",INDEX($DT$5:$DT$1003,$EX412)=""),"",IF(NOT(EXACT(INDEX($DT$5:$DT$1003,$EX411),INDEX($DT$5:$DT$1003,$EX412))),"S4",IF(NOT(EXACT(INDEX($DS$5:$DS$1003,$EX411),INDEX($DS$5:$DS$1003,$EX412))),"S3",IF(NOT(EXACT(INDEX($DR$5:$DR$1003,$EX411),INDEX($DR$5:$DR$1003,$EX412))),"S1 Count Change","S1")))),"")</f>
        <v/>
      </c>
      <c r="FT412">
        <f>IF($EY412="row",INDEX($ES$5:$ES$1003,$EX412),"")</f>
        <v/>
      </c>
      <c r="FU412">
        <f>IF($EY412="row",INDEX($EO$5:$EO$1003,$EX412),0)</f>
        <v/>
      </c>
      <c r="FV412">
        <f>IF($FS412="S1 Count Change",1,0)</f>
        <v/>
      </c>
    </row>
    <row r="413">
      <c r="DA413" t="n">
        <v>409</v>
      </c>
      <c r="DB413">
        <f>IF($B$37=0,"",IFERROR(TRIM(SUBSTITUTE(SUBSTITUTE(SUBSTITUTE(SUBSTITUTE(INDEX(PASTE_ALL,409,$B$37)," "," "),CHAR(9)," "),CHAR(10)," "),CHAR(13)," ")),""))</f>
        <v/>
      </c>
      <c r="DC413">
        <f>IF(AND(409&gt;HEADER_ROW,UPPER(DB413)="LEGEND"),1,0)</f>
        <v/>
      </c>
      <c r="DE413" t="n">
        <v>409</v>
      </c>
      <c r="DF413">
        <f>HEADER_ROW+$DE413</f>
        <v/>
      </c>
      <c r="DG413">
        <f>IF(AND($DF413&lt;=1000,$DF413&lt;$B$8),1,0)</f>
        <v/>
      </c>
      <c r="DH413">
        <f>IF($DG413=1,IFERROR(INDEX($DB$5:$DB$1004,$DF413),""),"")</f>
        <v/>
      </c>
      <c r="DI413">
        <f>IF(AND($DG413=1,$DH413&lt;&gt;""),IFERROR(SUBSTITUTE(SUBSTITUTE(TRIM(SUBSTITUTE(SUBSTITUTE(SUBSTITUTE(SUBSTITUTE(IFERROR(INDEX(PASTE_ALL,$DF413,1)&amp;"","")&amp;"␟"&amp;IFERROR(INDEX(PASTE_ALL,$DF413,2)&amp;"","")&amp;"␟"&amp;IFERROR(INDEX(PASTE_ALL,$DF413,3)&amp;"","")&amp;"␟"&amp;IFERROR(INDEX(PASTE_ALL,$DF413,4)&amp;"","")&amp;"␟"&amp;IFERROR(INDEX(PASTE_ALL,$DF413,5)&amp;"","")&amp;"␟"&amp;IFERROR(INDEX(PASTE_ALL,$DF413,6)&amp;"","")&amp;"␟"&amp;IFERROR(INDEX(PASTE_ALL,$DF413,7)&amp;"","")&amp;"␟"&amp;IFERROR(INDEX(PASTE_ALL,$DF413,8)&amp;"","")&amp;"␟"&amp;IFERROR(INDEX(PASTE_ALL,$DF413,9)&amp;"","")&amp;"␟"&amp;IFERROR(INDEX(PASTE_ALL,$DF413,10)&amp;"","")&amp;"␟"&amp;IFERROR(INDEX(PASTE_ALL,$DF413,11)&amp;"","")&amp;"␟"&amp;IFERROR(INDEX(PASTE_ALL,$DF413,12)&amp;"","")&amp;"␟"&amp;IFERROR(INDEX(PASTE_ALL,$DF413,13)&amp;"","")&amp;"␟"&amp;IFERROR(INDEX(PASTE_ALL,$DF413,14)&amp;"","")&amp;"␟"&amp;IFERROR(INDEX(PASTE_ALL,$DF413,15)&amp;"","")&amp;"␟"&amp;IFERROR(INDEX(PASTE_ALL,$DF413,16)&amp;"","")&amp;"␟"&amp;IFERROR(INDEX(PASTE_ALL,$DF413,17)&amp;"","")&amp;"␟"&amp;IFERROR(INDEX(PASTE_ALL,$DF413,18)&amp;"","")&amp;"␟"&amp;IFERROR(INDEX(PASTE_ALL,$DF413,19)&amp;"","")&amp;"␟"&amp;IFERROR(INDEX(PASTE_ALL,$DF413,20)&amp;"","")&amp;"␟"&amp;IFERROR(INDEX(PASTE_ALL,$DF413,21)&amp;"","")&amp;"␟"&amp;IFERROR(INDEX(PASTE_ALL,$DF413,22)&amp;"","")&amp;"␟"&amp;IFERROR(INDEX(PASTE_ALL,$DF413,23)&amp;"","")&amp;"␟"&amp;IFERROR(INDEX(PASTE_ALL,$DF413,24)&amp;"","")&amp;"␟"&amp;IFERROR(INDEX(PASTE_ALL,$DF413,25)&amp;"","")&amp;"␟"&amp;IFERROR(INDEX(PASTE_ALL,$DF413,26)&amp;"","")&amp;"␟"&amp;IFERROR(INDEX(PASTE_ALL,$DF413,27)&amp;"","")&amp;"␟"&amp;IFERROR(INDEX(PASTE_ALL,$DF413,28)&amp;"","")&amp;"␟"&amp;IFERROR(INDEX(PASTE_ALL,$DF413,29)&amp;"","")&amp;"␟"&amp;IFERROR(INDEX(PASTE_ALL,$DF413,30)&amp;"","")&amp;"␟"&amp;IFERROR(INDEX(PASTE_ALL,$DF413,31)&amp;"","")&amp;"␟"&amp;IFERROR(INDEX(PASTE_ALL,$DF413,32)&amp;"","")&amp;"␟"&amp;IFERROR(INDEX(PASTE_ALL,$DF413,33)&amp;"","")&amp;"␟"&amp;IFERROR(INDEX(PASTE_ALL,$DF413,34)&amp;"","")&amp;"␟"&amp;IFERROR(INDEX(PASTE_ALL,$DF413,35)&amp;"","")&amp;"␟"&amp;IFERROR(INDEX(PASTE_ALL,$DF413,36)&amp;"","")&amp;"␟"&amp;IFERROR(INDEX(PASTE_ALL,$DF413,37)&amp;"","")&amp;"␟"&amp;IFERROR(INDEX(PASTE_ALL,$DF413,38)&amp;"","")&amp;"␟"&amp;IFERROR(INDEX(PASTE_ALL,$DF413,39)&amp;"","")&amp;"␟"&amp;IFERROR(INDEX(PASTE_ALL,$DF413,40)&amp;"","")&amp;"␟"&amp;IFERROR(INDEX(PASTE_ALL,$DF413,41)&amp;"","")&amp;"␟"&amp;IFERROR(INDEX(PASTE_ALL,$DF413,42)&amp;"","")&amp;"␟"&amp;IFERROR(INDEX(PASTE_ALL,$DF413,43)&amp;"","")&amp;"␟"&amp;IFERROR(INDEX(PASTE_ALL,$DF413,44)&amp;"","")&amp;"␟"&amp;IFERROR(INDEX(PASTE_ALL,$DF413,45)&amp;"","")&amp;"␟"&amp;IFERROR(INDEX(PASTE_ALL,$DF413,46)&amp;"","")&amp;"␟"&amp;IFERROR(INDEX(PASTE_ALL,$DF413,47)&amp;"","")&amp;"␟"&amp;IFERROR(INDEX(PASTE_ALL,$DF413,48)&amp;"","")&amp;"␟"&amp;IFERROR(INDEX(PASTE_ALL,$DF413,49)&amp;"","")&amp;"␟"&amp;IFERROR(INDEX(PASTE_ALL,$DF413,50)&amp;"","")&amp;"␟"&amp;IFERROR(INDEX(PASTE_ALL,$DF413,51)&amp;"","")&amp;"␟"&amp;IFERROR(INDEX(PASTE_ALL,$DF413,52)&amp;"","")&amp;"␟"&amp;IFERROR(INDEX(PASTE_ALL,$DF413,53)&amp;"","")&amp;"␟"&amp;IFERROR(INDEX(PASTE_ALL,$DF413,54)&amp;"","")&amp;"␟"&amp;IFERROR(INDEX(PASTE_ALL,$DF413,55)&amp;"","")&amp;"␟"&amp;IFERROR(INDEX(PASTE_ALL,$DF413,56)&amp;"","")&amp;"␟"&amp;IFERROR(INDEX(PASTE_ALL,$DF413,57)&amp;"","")&amp;"␟"&amp;IFERROR(INDEX(PASTE_ALL,$DF413,58)&amp;"","")&amp;"␟"&amp;IFERROR(INDEX(PASTE_ALL,$DF413,59)&amp;"","")&amp;"␟"&amp;IFERROR(INDEX(PASTE_ALL,$DF413,60)&amp;"","")," "," "),CHAR(9)," "),CHAR(10)," "),CHAR(13)," "))," ␟","␟"),"␟ ","␟"),"#"&amp;$DE413),"")</f>
        <v/>
      </c>
      <c r="DJ413">
        <f>IF($DI413="",0,IF(SUMPRODUCT(--EXACT($DI$4:DI412,$DI413))&gt;0,1,0))</f>
        <v/>
      </c>
      <c r="DK413">
        <f>IF(AND($DI413&lt;&gt;"",$DJ413=0),1,0)</f>
        <v/>
      </c>
      <c r="DL413">
        <f>DL412+$DK413</f>
        <v/>
      </c>
      <c r="DM413">
        <f>IF(AND($DK413=1,$DL413&lt;=600),1,0)</f>
        <v/>
      </c>
      <c r="DN413">
        <f>IF($DM413=0,"",IF($L$6=0,"",IFERROR(IF(ISNUMBER(INDEX(PASTE_ALL,$DF413,$L$6)),INDEX(PASTE_ALL,$DF413,$L$6),TRIM(SUBSTITUTE(SUBSTITUTE(SUBSTITUTE(SUBSTITUTE(INDEX(PASTE_ALL,$DF413,$L$6)," "," "),CHAR(9)," "),CHAR(10)," "),CHAR(13)," "))),"")))</f>
        <v/>
      </c>
      <c r="DO413">
        <f>IF($DM413=0,"",IF($L$7=0,"",IFERROR(IF(ISNUMBER(INDEX(PASTE_ALL,$DF413,$L$7)),INDEX(PASTE_ALL,$DF413,$L$7),TRIM(SUBSTITUTE(SUBSTITUTE(SUBSTITUTE(SUBSTITUTE(INDEX(PASTE_ALL,$DF413,$L$7)," "," "),CHAR(9)," "),CHAR(10)," "),CHAR(13)," "))),"")))</f>
        <v/>
      </c>
      <c r="DP413">
        <f>IF($DM413=0,"",IF($L$8=0,"",IFERROR(IF(ISNUMBER(INDEX(PASTE_ALL,$DF413,$L$8)),INDEX(PASTE_ALL,$DF413,$L$8),TRIM(SUBSTITUTE(SUBSTITUTE(SUBSTITUTE(SUBSTITUTE(INDEX(PASTE_ALL,$DF413,$L$8)," "," "),CHAR(9)," "),CHAR(10)," "),CHAR(13)," "))),"")))</f>
        <v/>
      </c>
      <c r="DQ413">
        <f>IF($DM413=0,"",IF($L$9=0,"",IFERROR(IF(ISNUMBER(INDEX(PASTE_ALL,$DF413,$L$9)),INDEX(PASTE_ALL,$DF413,$L$9),TRIM(SUBSTITUTE(SUBSTITUTE(SUBSTITUTE(SUBSTITUTE(INDEX(PASTE_ALL,$DF413,$L$9)," "," "),CHAR(9)," "),CHAR(10)," "),CHAR(13)," "))),"")))</f>
        <v/>
      </c>
      <c r="DR413">
        <f>IF($DM413=0,"",IF($L$10=0,"",IFERROR(IF(ISNUMBER(INDEX(PASTE_ALL,$DF413,$L$10)),INDEX(PASTE_ALL,$DF413,$L$10),TRIM(SUBSTITUTE(SUBSTITUTE(SUBSTITUTE(SUBSTITUTE(INDEX(PASTE_ALL,$DF413,$L$10)," "," "),CHAR(9)," "),CHAR(10)," "),CHAR(13)," "))),"")))</f>
        <v/>
      </c>
      <c r="DS413">
        <f>IF($DM413=0,"",IF($L$11=0,"",IFERROR(IF(ISNUMBER(INDEX(PASTE_ALL,$DF413,$L$11)),INDEX(PASTE_ALL,$DF413,$L$11),TRIM(SUBSTITUTE(SUBSTITUTE(SUBSTITUTE(SUBSTITUTE(INDEX(PASTE_ALL,$DF413,$L$11)," "," "),CHAR(9)," "),CHAR(10)," "),CHAR(13)," "))),"")))</f>
        <v/>
      </c>
      <c r="DT413">
        <f>IF($DM413=0,"",IF($L$12=0,"",IFERROR(IF(ISNUMBER(INDEX(PASTE_ALL,$DF413,$L$12)),INDEX(PASTE_ALL,$DF413,$L$12),TRIM(SUBSTITUTE(SUBSTITUTE(SUBSTITUTE(SUBSTITUTE(INDEX(PASTE_ALL,$DF413,$L$12)," "," "),CHAR(9)," "),CHAR(10)," "),CHAR(13)," "))),"")))</f>
        <v/>
      </c>
      <c r="DU413">
        <f>IF($DM413=0,"",IF($L$13=0,"",IFERROR(IF(ISNUMBER(INDEX(PASTE_ALL,$DF413,$L$13)),INDEX(PASTE_ALL,$DF413,$L$13),TRIM(SUBSTITUTE(SUBSTITUTE(SUBSTITUTE(SUBSTITUTE(INDEX(PASTE_ALL,$DF413,$L$13)," "," "),CHAR(9)," "),CHAR(10)," "),CHAR(13)," "))),"")))</f>
        <v/>
      </c>
      <c r="DV413">
        <f>IF($DM413=0,"",IF($L$14=0,"",IFERROR(IF(ISNUMBER(INDEX(PASTE_ALL,$DF413,$L$14)),INDEX(PASTE_ALL,$DF413,$L$14),TRIM(SUBSTITUTE(SUBSTITUTE(SUBSTITUTE(SUBSTITUTE(INDEX(PASTE_ALL,$DF413,$L$14)," "," "),CHAR(9)," "),CHAR(10)," "),CHAR(13)," "))),"")))</f>
        <v/>
      </c>
      <c r="DW413">
        <f>IF($DM413=0,"",IF($L$15=0,"",IFERROR(IF(ISNUMBER(INDEX(PASTE_ALL,$DF413,$L$15)),INDEX(PASTE_ALL,$DF413,$L$15),IF(SUMPRODUCT(--ISNUMBER(FIND({"A","B","C","D","E","F","G","H","I","J","K","L","M","N","O","P","Q","R","S","T","U","V","W","X","Y","Z","0","1","2","3","4","5","6","7","8","9"},UPPER(TRIM(SUBSTITUTE(SUBSTITUTE(SUBSTITUTE(SUBSTITUTE(INDEX(PASTE_ALL,$DF413,$L$15)," "," "),CHAR(9)," "),CHAR(10)," "),CHAR(13)," "))))))&gt;0,TRIM(SUBSTITUTE(SUBSTITUTE(SUBSTITUTE(SUBSTITUTE(INDEX(PASTE_ALL,$DF413,$L$15)," "," "),CHAR(9)," "),CHAR(10)," "),CHAR(13)," ")),"")),"")))</f>
        <v/>
      </c>
      <c r="DX413">
        <f>IF($DM413=0,"",IF($L$16=0,"",IFERROR(IF(ISNUMBER(INDEX(PASTE_ALL,$DF413,$L$16)),INDEX(PASTE_ALL,$DF413,$L$16),SUBSTITUTE(SUBSTITUTE(TRIM(SUBSTITUTE(SUBSTITUTE(SUBSTITUTE(SUBSTITUTE(INDEX(PASTE_ALL,$DF413,$L$16)," "," "),CHAR(9)," "),CHAR(10)," "),CHAR(13)," ")),",",""),"%","")),"")))</f>
        <v/>
      </c>
      <c r="DY413">
        <f>IF($DM413=0,"",IFERROR(IF(ISNUMBER($DX413),$DX413,IF($DX413="","",IF(TRIM($DX413)="",0,IF(AND(AND(SUBSTITUTE(SUBSTITUTE(SUBSTITUTE(SUBSTITUTE(SUBSTITUTE(SUBSTITUTE(SUBSTITUTE(SUBSTITUTE(SUBSTITUTE(SUBSTITUTE(SUBSTITUTE(SUBSTITUTE(SUBSTITUTE(SUBSTITUTE(UPPER(TRIM($DX413)),"0",""),"1",""),"2",""),"3",""),"4",""),"5",""),"6",""),"7",""),"8",""),"9",""),".",""),"+",""),"-",""),"E","")="",LEN(SUBSTITUTE(SUBSTITUTE(MID(UPPER(TRIM($DX413)),1+OR(LEFT(UPPER(TRIM($DX413)),1)="+",LEFT(UPPER(TRIM($DX413)),1)="-"),999),"E+","E"),"E-","E"))=LEN(SUBSTITUTE(SUBSTITUTE(SUBSTITUTE(SUBSTITUTE(MID(UPPER(TRIM($DX413)),1+OR(LEFT(UPPER(TRIM($DX413)),1)="+",LEFT(UPPER(TRIM($DX413)),1)="-"),999),"E+","E"),"E-","E"),"+",""),"-","")),LEN(UPPER(TRIM($DX413)))-LEN(SUBSTITUTE(UPPER(TRIM($DX413)),"E",""))&lt;2,LEN(UPPER(TRIM($DX413)))-LEN(SUBSTITUTE(UPPER(TRIM($DX413)),".",""))&lt;2,IFERROR(FIND(".",UPPER(TRIM($DX413))),0)&lt;IFERROR(FIND("E",UPPER(TRIM($DX413))),999)),ISNUMBER(VALUE(TRIM($DX413)))),VALUE(TRIM($DX413)),"")))),""))</f>
        <v/>
      </c>
      <c r="DZ413">
        <f>IF($DM413=0,"",IF($L$17=0,"",IFERROR(IF(ISNUMBER(INDEX(PASTE_ALL,$DF413,$L$17)),INDEX(PASTE_ALL,$DF413,$L$17),SUBSTITUTE(SUBSTITUTE(TRIM(SUBSTITUTE(SUBSTITUTE(SUBSTITUTE(SUBSTITUTE(INDEX(PASTE_ALL,$DF413,$L$17)," "," "),CHAR(9)," "),CHAR(10)," "),CHAR(13)," ")),",",""),"%","")),"")))</f>
        <v/>
      </c>
      <c r="EA413">
        <f>IF($DM413=0,"",IFERROR(IF(ISNUMBER($DZ413),$DZ413,IF($DZ413="","",IF(TRIM($DZ413)="",0,IF(AND(AND(SUBSTITUTE(SUBSTITUTE(SUBSTITUTE(SUBSTITUTE(SUBSTITUTE(SUBSTITUTE(SUBSTITUTE(SUBSTITUTE(SUBSTITUTE(SUBSTITUTE(SUBSTITUTE(SUBSTITUTE(SUBSTITUTE(SUBSTITUTE(UPPER(TRIM($DZ413)),"0",""),"1",""),"2",""),"3",""),"4",""),"5",""),"6",""),"7",""),"8",""),"9",""),".",""),"+",""),"-",""),"E","")="",LEN(SUBSTITUTE(SUBSTITUTE(MID(UPPER(TRIM($DZ413)),1+OR(LEFT(UPPER(TRIM($DZ413)),1)="+",LEFT(UPPER(TRIM($DZ413)),1)="-"),999),"E+","E"),"E-","E"))=LEN(SUBSTITUTE(SUBSTITUTE(SUBSTITUTE(SUBSTITUTE(MID(UPPER(TRIM($DZ413)),1+OR(LEFT(UPPER(TRIM($DZ413)),1)="+",LEFT(UPPER(TRIM($DZ413)),1)="-"),999),"E+","E"),"E-","E"),"+",""),"-","")),LEN(UPPER(TRIM($DZ413)))-LEN(SUBSTITUTE(UPPER(TRIM($DZ413)),"E",""))&lt;2,LEN(UPPER(TRIM($DZ413)))-LEN(SUBSTITUTE(UPPER(TRIM($DZ413)),".",""))&lt;2,IFERROR(FIND(".",UPPER(TRIM($DZ413))),0)&lt;IFERROR(FIND("E",UPPER(TRIM($DZ413))),999)),ISNUMBER(VALUE(TRIM($DZ413)))),VALUE(TRIM($DZ413)),"")))),""))</f>
        <v/>
      </c>
      <c r="EB413">
        <f>IF($DM413=0,"",IF($L$18=0,"",IFERROR(IF(UPPER(TRIM(SUBSTITUTE(SUBSTITUTE(SUBSTITUTE(SUBSTITUTE(INDEX(PASTE_ALL,$DF413,$L$18)," "," "),CHAR(9)," "),CHAR(10)," "),CHAR(13)," ")))="READY","Ready",IF(UPPER(TRIM(SUBSTITUTE(SUBSTITUTE(SUBSTITUTE(SUBSTITUTE(INDEX(PASTE_ALL,$DF413,$L$18)," "," "),CHAR(9)," "),CHAR(10)," "),CHAR(13)," ")))="PM","PM",IF(OR(UPPER(TRIM(SUBSTITUTE(SUBSTITUTE(SUBSTITUTE(SUBSTITUTE(INDEX(PASTE_ALL,$DF413,$L$18)," "," "),CHAR(9)," "),CHAR(10)," "),CHAR(13)," ")))="OT",UPPER(TRIM(SUBSTITUTE(SUBSTITUTE(SUBSTITUTE(SUBSTITUTE(INDEX(PASTE_ALL,$DF413,$L$18)," "," "),CHAR(9)," "),CHAR(10)," "),CHAR(13)," ")))="OVERTIME",UPPER(TRIM(SUBSTITUTE(SUBSTITUTE(SUBSTITUTE(SUBSTITUTE(INDEX(PASTE_ALL,$DF413,$L$18)," "," "),CHAR(9)," "),CHAR(10)," "),CHAR(13)," ")))="TRIAL"),"OT",TRIM(SUBSTITUTE(SUBSTITUTE(SUBSTITUTE(SUBSTITUTE(INDEX(PASTE_ALL,$DF413,$L$18)," "," "),CHAR(9)," "),CHAR(10)," "),CHAR(13)," "))))),"")))</f>
        <v/>
      </c>
      <c r="EC413">
        <f>IF($DM413=0,"",IF($L$19=0,"",IFERROR(IF(ISNUMBER(INDEX(PASTE_ALL,$DF413,$L$19)),INDEX(PASTE_ALL,$DF413,$L$19),TRIM(SUBSTITUTE(SUBSTITUTE(SUBSTITUTE(SUBSTITUTE(INDEX(PASTE_ALL,$DF413,$L$19)," "," "),CHAR(9)," "),CHAR(10)," "),CHAR(13)," "))),"")))</f>
        <v/>
      </c>
      <c r="ED413">
        <f>IF($DM413=0,"",MATCH(1,INDEX(EXACT($DH$5:DH413,$DH413)*$DM$5:DM413,0),0))</f>
        <v/>
      </c>
      <c r="EE413">
        <f>IF($DM413=0,0,IF($ED413=$DE413,1,0))</f>
        <v/>
      </c>
      <c r="EF413">
        <f>EF412+$EE413</f>
        <v/>
      </c>
      <c r="EG413">
        <f>IF($DM413=0,"",INDEX($EF$5:$EF$1003,$ED413))</f>
        <v/>
      </c>
      <c r="EH413">
        <f>IF($DM413=0,"",IF($DO413&lt;&gt;"","",IFERROR(LOOKUP(2,1/(($EG$4:EG412=$EG413)*($DO$4:DO412&lt;&gt;"")),$DO$4:DO412),"")))</f>
        <v/>
      </c>
      <c r="EI413">
        <f>IF($DM413=0,"",IF($DO413&lt;&gt;"",$DO413,$EH413))</f>
        <v/>
      </c>
      <c r="EJ413">
        <f>IF($DM413=0,"",IF($EI413="",0,IF(OR(ISNUMBER($EI413),AND(AND(SUBSTITUTE(SUBSTITUTE(SUBSTITUTE(SUBSTITUTE(SUBSTITUTE(SUBSTITUTE(SUBSTITUTE(SUBSTITUTE(SUBSTITUTE(SUBSTITUTE(SUBSTITUTE(SUBSTITUTE(SUBSTITUTE(SUBSTITUTE(UPPER($EI413),"0",""),"1",""),"2",""),"3",""),"4",""),"5",""),"6",""),"7",""),"8",""),"9",""),".",""),"+",""),"-",""),"E","")="",LEN(SUBSTITUTE(SUBSTITUTE(MID(UPPER($EI413),1+OR(LEFT(UPPER($EI413),1)="+",LEFT(UPPER($EI413),1)="-"),999),"E+","E"),"E-","E"))=LEN(SUBSTITUTE(SUBSTITUTE(SUBSTITUTE(SUBSTITUTE(MID(UPPER($EI413),1+OR(LEFT(UPPER($EI413),1)="+",LEFT(UPPER($EI413),1)="-"),999),"E+","E"),"E-","E"),"+",""),"-","")),LEN(UPPER($EI413))-LEN(SUBSTITUTE(UPPER($EI413),"E",""))&lt;2,LEN(UPPER($EI413))-LEN(SUBSTITUTE(UPPER($EI413),".",""))&lt;2,IFERROR(FIND(".",UPPER($EI413)),0)&lt;IFERROR(FIND("E",UPPER($EI413)),999)),ISNUMBER(VALUE($EI413)))),1,2)))</f>
        <v/>
      </c>
      <c r="EK413">
        <f>IF($DM413=0,"",IF($EJ413=1,IF(ISNUMBER($EI413),$EI413,VALUE($EI413)),IF($EJ413=2,$DE413,0)))</f>
        <v/>
      </c>
      <c r="EL413">
        <f>IF($DM413=0,"",COUNTIF($EG$5:$EG$1003,"&lt;"&amp;$EG413)+SUMPRODUCT(($EG$5:$EG$1003=$EG413)*(($EJ$5:$EJ$1003&lt;$EJ413)+($EJ$5:$EJ$1003=$EJ413)*(($EK$5:$EK$1003&lt;$EK413)+($EK$5:$EK$1003=$EK413)*($DE$5:$DE$1003&lt;$DE413))))+1)</f>
        <v/>
      </c>
      <c r="EM413">
        <f>IF($DM413=0,"",$EL413+$EG413-1)</f>
        <v/>
      </c>
      <c r="EN413">
        <f>IF($DM413=0,0,IFERROR(MATCH(1,INDEX(--(TRIM(SUBSTITUTE(SUBSTITUTE(SUBSTITUTE(SUBSTITUTE(LINES_NAME&amp;""," "," "),CHAR(9)," "),CHAR(10)," "),CHAR(13)," "))=$DH413),0),0),0))</f>
        <v/>
      </c>
      <c r="EO413">
        <f>IF($EN413=0,0,IF(OR(UPPER(TRIM(INDEX(LINES_SCHEDULED,$EN413)&amp;""))="YES",UPPER(TRIM(INDEX(LINES_SCHEDULED,$EN413)&amp;""))="Y",UPPER(TRIM(INDEX(LINES_SCHEDULED,$EN413)&amp;""))="X"),1,0))</f>
        <v/>
      </c>
      <c r="EP413">
        <f>IF($DM413=0,"",IF(COUNTIFS($EG$5:$EG$1003,$EG413,$EB$5:$EB$1003,"Ready")&gt;0,"READY",IF(COUNTIFS($EG$5:$EG$1003,$EG413,$EB$5:$EB$1003,"PM")&gt;0,"PM",IF(COUNTIFS($EG$5:$EG$1003,$EG413,$EB$5:$EB$1003,"OT")&gt;0,"OT",""))))</f>
        <v/>
      </c>
      <c r="EQ413">
        <f>IF($EN413=0,"",UPPER(TRIM(INDEX(LINES_STATUS,$EN413)&amp;"")))</f>
        <v/>
      </c>
      <c r="ER413">
        <f>IF($DM413=0,"",IF(OR($EQ413="READY",$EQ413="PM",$EQ413="OT"),$EQ413,$EP413))</f>
        <v/>
      </c>
      <c r="ES413">
        <f>IF($DM413=0,"",IF(AND($DV413&lt;&gt;"",UPPER($DV413)&lt;&gt;"N"),"allergen",IF(ISNUMBER(SEARCH("oil",$DQ413)),"oil",IF(OR(EXACT($DS413,"A662"),EXACT($DS413,"A624")),"bulk",""))))</f>
        <v/>
      </c>
      <c r="ET413">
        <f>IF($DM413=0,"",IF(OR($EA413="",$EA413=0),"",$EA413/100))</f>
        <v/>
      </c>
      <c r="EU413">
        <f>IF(OR($ET413="",$DY413=""),"",INT($DY413*(1-$ET413)+0.5))</f>
        <v/>
      </c>
      <c r="EW413" t="n">
        <v>409</v>
      </c>
      <c r="EX413">
        <f>IFERROR(MATCH($EW413,$EM$5:$EM$1003,0),0)</f>
        <v/>
      </c>
      <c r="EY413">
        <f>IF($EW413&gt;$B$12,"",IF($EX413&gt;0,"row","spacer"))</f>
        <v/>
      </c>
      <c r="EZ413">
        <f>IF(AND($EY413="row",$EY412&lt;&gt;"row"),1,0)</f>
        <v/>
      </c>
      <c r="FA413">
        <f>IF(AND($EY413="row",$EY414&lt;&gt;"row"),1,0)</f>
        <v/>
      </c>
      <c r="FB413">
        <f>IF($EZ413=1,IFERROR(IF(ISNUMBER(INDEX(PASTE_ALL,INDEX($DF$5:$DF$1003,$EX413),$B$37)),INDEX(PASTE_ALL,INDEX($DF$5:$DF$1003,$EX413),$B$37),INDEX($DH$5:$DH$1003,$EX413)),INDEX($DH$5:$DH$1003,$EX413)),"")</f>
        <v/>
      </c>
      <c r="FC413">
        <f>IF($EY413="row",INDEX($ER$5:$ER$1003,$EX413),"")</f>
        <v/>
      </c>
      <c r="FD413">
        <f>IF($EY413="row",INDEX($DN$5:$DN$1003,$EX413),"")</f>
        <v/>
      </c>
      <c r="FE413">
        <f>IF($EY413="row",INDEX($DO$5:$DO$1003,$EX413),"")</f>
        <v/>
      </c>
      <c r="FF413">
        <f>IF($EY413="row",INDEX($DP$5:$DP$1003,$EX413),"")</f>
        <v/>
      </c>
      <c r="FG413">
        <f>IF($EY413="row",INDEX($DQ$5:$DQ$1003,$EX413),"")</f>
        <v/>
      </c>
      <c r="FH413">
        <f>IF($EY413="row",INDEX($DR$5:$DR$1003,$EX413),"")</f>
        <v/>
      </c>
      <c r="FI413">
        <f>IF($EY413="row",INDEX($DS$5:$DS$1003,$EX413),"")</f>
        <v/>
      </c>
      <c r="FJ413">
        <f>IF($EY413="row",INDEX($DT$5:$DT$1003,$EX413),"")</f>
        <v/>
      </c>
      <c r="FK413">
        <f>IF($EY413="row",INDEX($DU$5:$DU$1003,$EX413),"")</f>
        <v/>
      </c>
      <c r="FL413">
        <f>IF($EY413="row",INDEX($DV$5:$DV$1003,$EX413),"")</f>
        <v/>
      </c>
      <c r="FM413">
        <f>IF($EY413="row",INDEX($DW$5:$DW$1003,$EX413),"")</f>
        <v/>
      </c>
      <c r="FN413">
        <f>IF($EY413="row",INDEX($DY$5:$DY$1003,$EX413),"")</f>
        <v/>
      </c>
      <c r="FO413">
        <f>IF($EY413="row",INDEX($EA$5:$EA$1003,$EX413),"")</f>
        <v/>
      </c>
      <c r="FP413">
        <f>IF($EY413="row",INDEX($EC$5:$EC$1003,$EX413),"")</f>
        <v/>
      </c>
      <c r="FQ413">
        <f>IF($EY413="row",INDEX($ET$5:$ET$1003,$EX413),"")</f>
        <v/>
      </c>
      <c r="FR413">
        <f>IF($EY413="row",INDEX($EU$5:$EU$1003,$EX413),"")</f>
        <v/>
      </c>
      <c r="FS413">
        <f>IF(AND($EY413="row",$EY412="row"),IF(OR(INDEX($DT$5:$DT$1003,$EX412)="",INDEX($DT$5:$DT$1003,$EX413)=""),"",IF(NOT(EXACT(INDEX($DT$5:$DT$1003,$EX412),INDEX($DT$5:$DT$1003,$EX413))),"S4",IF(NOT(EXACT(INDEX($DS$5:$DS$1003,$EX412),INDEX($DS$5:$DS$1003,$EX413))),"S3",IF(NOT(EXACT(INDEX($DR$5:$DR$1003,$EX412),INDEX($DR$5:$DR$1003,$EX413))),"S1 Count Change","S1")))),"")</f>
        <v/>
      </c>
      <c r="FT413">
        <f>IF($EY413="row",INDEX($ES$5:$ES$1003,$EX413),"")</f>
        <v/>
      </c>
      <c r="FU413">
        <f>IF($EY413="row",INDEX($EO$5:$EO$1003,$EX413),0)</f>
        <v/>
      </c>
      <c r="FV413">
        <f>IF($FS413="S1 Count Change",1,0)</f>
        <v/>
      </c>
    </row>
    <row r="414">
      <c r="DA414" t="n">
        <v>410</v>
      </c>
      <c r="DB414">
        <f>IF($B$37=0,"",IFERROR(TRIM(SUBSTITUTE(SUBSTITUTE(SUBSTITUTE(SUBSTITUTE(INDEX(PASTE_ALL,410,$B$37)," "," "),CHAR(9)," "),CHAR(10)," "),CHAR(13)," ")),""))</f>
        <v/>
      </c>
      <c r="DC414">
        <f>IF(AND(410&gt;HEADER_ROW,UPPER(DB414)="LEGEND"),1,0)</f>
        <v/>
      </c>
      <c r="DE414" t="n">
        <v>410</v>
      </c>
      <c r="DF414">
        <f>HEADER_ROW+$DE414</f>
        <v/>
      </c>
      <c r="DG414">
        <f>IF(AND($DF414&lt;=1000,$DF414&lt;$B$8),1,0)</f>
        <v/>
      </c>
      <c r="DH414">
        <f>IF($DG414=1,IFERROR(INDEX($DB$5:$DB$1004,$DF414),""),"")</f>
        <v/>
      </c>
      <c r="DI414">
        <f>IF(AND($DG414=1,$DH414&lt;&gt;""),IFERROR(SUBSTITUTE(SUBSTITUTE(TRIM(SUBSTITUTE(SUBSTITUTE(SUBSTITUTE(SUBSTITUTE(IFERROR(INDEX(PASTE_ALL,$DF414,1)&amp;"","")&amp;"␟"&amp;IFERROR(INDEX(PASTE_ALL,$DF414,2)&amp;"","")&amp;"␟"&amp;IFERROR(INDEX(PASTE_ALL,$DF414,3)&amp;"","")&amp;"␟"&amp;IFERROR(INDEX(PASTE_ALL,$DF414,4)&amp;"","")&amp;"␟"&amp;IFERROR(INDEX(PASTE_ALL,$DF414,5)&amp;"","")&amp;"␟"&amp;IFERROR(INDEX(PASTE_ALL,$DF414,6)&amp;"","")&amp;"␟"&amp;IFERROR(INDEX(PASTE_ALL,$DF414,7)&amp;"","")&amp;"␟"&amp;IFERROR(INDEX(PASTE_ALL,$DF414,8)&amp;"","")&amp;"␟"&amp;IFERROR(INDEX(PASTE_ALL,$DF414,9)&amp;"","")&amp;"␟"&amp;IFERROR(INDEX(PASTE_ALL,$DF414,10)&amp;"","")&amp;"␟"&amp;IFERROR(INDEX(PASTE_ALL,$DF414,11)&amp;"","")&amp;"␟"&amp;IFERROR(INDEX(PASTE_ALL,$DF414,12)&amp;"","")&amp;"␟"&amp;IFERROR(INDEX(PASTE_ALL,$DF414,13)&amp;"","")&amp;"␟"&amp;IFERROR(INDEX(PASTE_ALL,$DF414,14)&amp;"","")&amp;"␟"&amp;IFERROR(INDEX(PASTE_ALL,$DF414,15)&amp;"","")&amp;"␟"&amp;IFERROR(INDEX(PASTE_ALL,$DF414,16)&amp;"","")&amp;"␟"&amp;IFERROR(INDEX(PASTE_ALL,$DF414,17)&amp;"","")&amp;"␟"&amp;IFERROR(INDEX(PASTE_ALL,$DF414,18)&amp;"","")&amp;"␟"&amp;IFERROR(INDEX(PASTE_ALL,$DF414,19)&amp;"","")&amp;"␟"&amp;IFERROR(INDEX(PASTE_ALL,$DF414,20)&amp;"","")&amp;"␟"&amp;IFERROR(INDEX(PASTE_ALL,$DF414,21)&amp;"","")&amp;"␟"&amp;IFERROR(INDEX(PASTE_ALL,$DF414,22)&amp;"","")&amp;"␟"&amp;IFERROR(INDEX(PASTE_ALL,$DF414,23)&amp;"","")&amp;"␟"&amp;IFERROR(INDEX(PASTE_ALL,$DF414,24)&amp;"","")&amp;"␟"&amp;IFERROR(INDEX(PASTE_ALL,$DF414,25)&amp;"","")&amp;"␟"&amp;IFERROR(INDEX(PASTE_ALL,$DF414,26)&amp;"","")&amp;"␟"&amp;IFERROR(INDEX(PASTE_ALL,$DF414,27)&amp;"","")&amp;"␟"&amp;IFERROR(INDEX(PASTE_ALL,$DF414,28)&amp;"","")&amp;"␟"&amp;IFERROR(INDEX(PASTE_ALL,$DF414,29)&amp;"","")&amp;"␟"&amp;IFERROR(INDEX(PASTE_ALL,$DF414,30)&amp;"","")&amp;"␟"&amp;IFERROR(INDEX(PASTE_ALL,$DF414,31)&amp;"","")&amp;"␟"&amp;IFERROR(INDEX(PASTE_ALL,$DF414,32)&amp;"","")&amp;"␟"&amp;IFERROR(INDEX(PASTE_ALL,$DF414,33)&amp;"","")&amp;"␟"&amp;IFERROR(INDEX(PASTE_ALL,$DF414,34)&amp;"","")&amp;"␟"&amp;IFERROR(INDEX(PASTE_ALL,$DF414,35)&amp;"","")&amp;"␟"&amp;IFERROR(INDEX(PASTE_ALL,$DF414,36)&amp;"","")&amp;"␟"&amp;IFERROR(INDEX(PASTE_ALL,$DF414,37)&amp;"","")&amp;"␟"&amp;IFERROR(INDEX(PASTE_ALL,$DF414,38)&amp;"","")&amp;"␟"&amp;IFERROR(INDEX(PASTE_ALL,$DF414,39)&amp;"","")&amp;"␟"&amp;IFERROR(INDEX(PASTE_ALL,$DF414,40)&amp;"","")&amp;"␟"&amp;IFERROR(INDEX(PASTE_ALL,$DF414,41)&amp;"","")&amp;"␟"&amp;IFERROR(INDEX(PASTE_ALL,$DF414,42)&amp;"","")&amp;"␟"&amp;IFERROR(INDEX(PASTE_ALL,$DF414,43)&amp;"","")&amp;"␟"&amp;IFERROR(INDEX(PASTE_ALL,$DF414,44)&amp;"","")&amp;"␟"&amp;IFERROR(INDEX(PASTE_ALL,$DF414,45)&amp;"","")&amp;"␟"&amp;IFERROR(INDEX(PASTE_ALL,$DF414,46)&amp;"","")&amp;"␟"&amp;IFERROR(INDEX(PASTE_ALL,$DF414,47)&amp;"","")&amp;"␟"&amp;IFERROR(INDEX(PASTE_ALL,$DF414,48)&amp;"","")&amp;"␟"&amp;IFERROR(INDEX(PASTE_ALL,$DF414,49)&amp;"","")&amp;"␟"&amp;IFERROR(INDEX(PASTE_ALL,$DF414,50)&amp;"","")&amp;"␟"&amp;IFERROR(INDEX(PASTE_ALL,$DF414,51)&amp;"","")&amp;"␟"&amp;IFERROR(INDEX(PASTE_ALL,$DF414,52)&amp;"","")&amp;"␟"&amp;IFERROR(INDEX(PASTE_ALL,$DF414,53)&amp;"","")&amp;"␟"&amp;IFERROR(INDEX(PASTE_ALL,$DF414,54)&amp;"","")&amp;"␟"&amp;IFERROR(INDEX(PASTE_ALL,$DF414,55)&amp;"","")&amp;"␟"&amp;IFERROR(INDEX(PASTE_ALL,$DF414,56)&amp;"","")&amp;"␟"&amp;IFERROR(INDEX(PASTE_ALL,$DF414,57)&amp;"","")&amp;"␟"&amp;IFERROR(INDEX(PASTE_ALL,$DF414,58)&amp;"","")&amp;"␟"&amp;IFERROR(INDEX(PASTE_ALL,$DF414,59)&amp;"","")&amp;"␟"&amp;IFERROR(INDEX(PASTE_ALL,$DF414,60)&amp;"","")," "," "),CHAR(9)," "),CHAR(10)," "),CHAR(13)," "))," ␟","␟"),"␟ ","␟"),"#"&amp;$DE414),"")</f>
        <v/>
      </c>
      <c r="DJ414">
        <f>IF($DI414="",0,IF(SUMPRODUCT(--EXACT($DI$4:DI413,$DI414))&gt;0,1,0))</f>
        <v/>
      </c>
      <c r="DK414">
        <f>IF(AND($DI414&lt;&gt;"",$DJ414=0),1,0)</f>
        <v/>
      </c>
      <c r="DL414">
        <f>DL413+$DK414</f>
        <v/>
      </c>
      <c r="DM414">
        <f>IF(AND($DK414=1,$DL414&lt;=600),1,0)</f>
        <v/>
      </c>
      <c r="DN414">
        <f>IF($DM414=0,"",IF($L$6=0,"",IFERROR(IF(ISNUMBER(INDEX(PASTE_ALL,$DF414,$L$6)),INDEX(PASTE_ALL,$DF414,$L$6),TRIM(SUBSTITUTE(SUBSTITUTE(SUBSTITUTE(SUBSTITUTE(INDEX(PASTE_ALL,$DF414,$L$6)," "," "),CHAR(9)," "),CHAR(10)," "),CHAR(13)," "))),"")))</f>
        <v/>
      </c>
      <c r="DO414">
        <f>IF($DM414=0,"",IF($L$7=0,"",IFERROR(IF(ISNUMBER(INDEX(PASTE_ALL,$DF414,$L$7)),INDEX(PASTE_ALL,$DF414,$L$7),TRIM(SUBSTITUTE(SUBSTITUTE(SUBSTITUTE(SUBSTITUTE(INDEX(PASTE_ALL,$DF414,$L$7)," "," "),CHAR(9)," "),CHAR(10)," "),CHAR(13)," "))),"")))</f>
        <v/>
      </c>
      <c r="DP414">
        <f>IF($DM414=0,"",IF($L$8=0,"",IFERROR(IF(ISNUMBER(INDEX(PASTE_ALL,$DF414,$L$8)),INDEX(PASTE_ALL,$DF414,$L$8),TRIM(SUBSTITUTE(SUBSTITUTE(SUBSTITUTE(SUBSTITUTE(INDEX(PASTE_ALL,$DF414,$L$8)," "," "),CHAR(9)," "),CHAR(10)," "),CHAR(13)," "))),"")))</f>
        <v/>
      </c>
      <c r="DQ414">
        <f>IF($DM414=0,"",IF($L$9=0,"",IFERROR(IF(ISNUMBER(INDEX(PASTE_ALL,$DF414,$L$9)),INDEX(PASTE_ALL,$DF414,$L$9),TRIM(SUBSTITUTE(SUBSTITUTE(SUBSTITUTE(SUBSTITUTE(INDEX(PASTE_ALL,$DF414,$L$9)," "," "),CHAR(9)," "),CHAR(10)," "),CHAR(13)," "))),"")))</f>
        <v/>
      </c>
      <c r="DR414">
        <f>IF($DM414=0,"",IF($L$10=0,"",IFERROR(IF(ISNUMBER(INDEX(PASTE_ALL,$DF414,$L$10)),INDEX(PASTE_ALL,$DF414,$L$10),TRIM(SUBSTITUTE(SUBSTITUTE(SUBSTITUTE(SUBSTITUTE(INDEX(PASTE_ALL,$DF414,$L$10)," "," "),CHAR(9)," "),CHAR(10)," "),CHAR(13)," "))),"")))</f>
        <v/>
      </c>
      <c r="DS414">
        <f>IF($DM414=0,"",IF($L$11=0,"",IFERROR(IF(ISNUMBER(INDEX(PASTE_ALL,$DF414,$L$11)),INDEX(PASTE_ALL,$DF414,$L$11),TRIM(SUBSTITUTE(SUBSTITUTE(SUBSTITUTE(SUBSTITUTE(INDEX(PASTE_ALL,$DF414,$L$11)," "," "),CHAR(9)," "),CHAR(10)," "),CHAR(13)," "))),"")))</f>
        <v/>
      </c>
      <c r="DT414">
        <f>IF($DM414=0,"",IF($L$12=0,"",IFERROR(IF(ISNUMBER(INDEX(PASTE_ALL,$DF414,$L$12)),INDEX(PASTE_ALL,$DF414,$L$12),TRIM(SUBSTITUTE(SUBSTITUTE(SUBSTITUTE(SUBSTITUTE(INDEX(PASTE_ALL,$DF414,$L$12)," "," "),CHAR(9)," "),CHAR(10)," "),CHAR(13)," "))),"")))</f>
        <v/>
      </c>
      <c r="DU414">
        <f>IF($DM414=0,"",IF($L$13=0,"",IFERROR(IF(ISNUMBER(INDEX(PASTE_ALL,$DF414,$L$13)),INDEX(PASTE_ALL,$DF414,$L$13),TRIM(SUBSTITUTE(SUBSTITUTE(SUBSTITUTE(SUBSTITUTE(INDEX(PASTE_ALL,$DF414,$L$13)," "," "),CHAR(9)," "),CHAR(10)," "),CHAR(13)," "))),"")))</f>
        <v/>
      </c>
      <c r="DV414">
        <f>IF($DM414=0,"",IF($L$14=0,"",IFERROR(IF(ISNUMBER(INDEX(PASTE_ALL,$DF414,$L$14)),INDEX(PASTE_ALL,$DF414,$L$14),TRIM(SUBSTITUTE(SUBSTITUTE(SUBSTITUTE(SUBSTITUTE(INDEX(PASTE_ALL,$DF414,$L$14)," "," "),CHAR(9)," "),CHAR(10)," "),CHAR(13)," "))),"")))</f>
        <v/>
      </c>
      <c r="DW414">
        <f>IF($DM414=0,"",IF($L$15=0,"",IFERROR(IF(ISNUMBER(INDEX(PASTE_ALL,$DF414,$L$15)),INDEX(PASTE_ALL,$DF414,$L$15),IF(SUMPRODUCT(--ISNUMBER(FIND({"A","B","C","D","E","F","G","H","I","J","K","L","M","N","O","P","Q","R","S","T","U","V","W","X","Y","Z","0","1","2","3","4","5","6","7","8","9"},UPPER(TRIM(SUBSTITUTE(SUBSTITUTE(SUBSTITUTE(SUBSTITUTE(INDEX(PASTE_ALL,$DF414,$L$15)," "," "),CHAR(9)," "),CHAR(10)," "),CHAR(13)," "))))))&gt;0,TRIM(SUBSTITUTE(SUBSTITUTE(SUBSTITUTE(SUBSTITUTE(INDEX(PASTE_ALL,$DF414,$L$15)," "," "),CHAR(9)," "),CHAR(10)," "),CHAR(13)," ")),"")),"")))</f>
        <v/>
      </c>
      <c r="DX414">
        <f>IF($DM414=0,"",IF($L$16=0,"",IFERROR(IF(ISNUMBER(INDEX(PASTE_ALL,$DF414,$L$16)),INDEX(PASTE_ALL,$DF414,$L$16),SUBSTITUTE(SUBSTITUTE(TRIM(SUBSTITUTE(SUBSTITUTE(SUBSTITUTE(SUBSTITUTE(INDEX(PASTE_ALL,$DF414,$L$16)," "," "),CHAR(9)," "),CHAR(10)," "),CHAR(13)," ")),",",""),"%","")),"")))</f>
        <v/>
      </c>
      <c r="DY414">
        <f>IF($DM414=0,"",IFERROR(IF(ISNUMBER($DX414),$DX414,IF($DX414="","",IF(TRIM($DX414)="",0,IF(AND(AND(SUBSTITUTE(SUBSTITUTE(SUBSTITUTE(SUBSTITUTE(SUBSTITUTE(SUBSTITUTE(SUBSTITUTE(SUBSTITUTE(SUBSTITUTE(SUBSTITUTE(SUBSTITUTE(SUBSTITUTE(SUBSTITUTE(SUBSTITUTE(UPPER(TRIM($DX414)),"0",""),"1",""),"2",""),"3",""),"4",""),"5",""),"6",""),"7",""),"8",""),"9",""),".",""),"+",""),"-",""),"E","")="",LEN(SUBSTITUTE(SUBSTITUTE(MID(UPPER(TRIM($DX414)),1+OR(LEFT(UPPER(TRIM($DX414)),1)="+",LEFT(UPPER(TRIM($DX414)),1)="-"),999),"E+","E"),"E-","E"))=LEN(SUBSTITUTE(SUBSTITUTE(SUBSTITUTE(SUBSTITUTE(MID(UPPER(TRIM($DX414)),1+OR(LEFT(UPPER(TRIM($DX414)),1)="+",LEFT(UPPER(TRIM($DX414)),1)="-"),999),"E+","E"),"E-","E"),"+",""),"-","")),LEN(UPPER(TRIM($DX414)))-LEN(SUBSTITUTE(UPPER(TRIM($DX414)),"E",""))&lt;2,LEN(UPPER(TRIM($DX414)))-LEN(SUBSTITUTE(UPPER(TRIM($DX414)),".",""))&lt;2,IFERROR(FIND(".",UPPER(TRIM($DX414))),0)&lt;IFERROR(FIND("E",UPPER(TRIM($DX414))),999)),ISNUMBER(VALUE(TRIM($DX414)))),VALUE(TRIM($DX414)),"")))),""))</f>
        <v/>
      </c>
      <c r="DZ414">
        <f>IF($DM414=0,"",IF($L$17=0,"",IFERROR(IF(ISNUMBER(INDEX(PASTE_ALL,$DF414,$L$17)),INDEX(PASTE_ALL,$DF414,$L$17),SUBSTITUTE(SUBSTITUTE(TRIM(SUBSTITUTE(SUBSTITUTE(SUBSTITUTE(SUBSTITUTE(INDEX(PASTE_ALL,$DF414,$L$17)," "," "),CHAR(9)," "),CHAR(10)," "),CHAR(13)," ")),",",""),"%","")),"")))</f>
        <v/>
      </c>
      <c r="EA414">
        <f>IF($DM414=0,"",IFERROR(IF(ISNUMBER($DZ414),$DZ414,IF($DZ414="","",IF(TRIM($DZ414)="",0,IF(AND(AND(SUBSTITUTE(SUBSTITUTE(SUBSTITUTE(SUBSTITUTE(SUBSTITUTE(SUBSTITUTE(SUBSTITUTE(SUBSTITUTE(SUBSTITUTE(SUBSTITUTE(SUBSTITUTE(SUBSTITUTE(SUBSTITUTE(SUBSTITUTE(UPPER(TRIM($DZ414)),"0",""),"1",""),"2",""),"3",""),"4",""),"5",""),"6",""),"7",""),"8",""),"9",""),".",""),"+",""),"-",""),"E","")="",LEN(SUBSTITUTE(SUBSTITUTE(MID(UPPER(TRIM($DZ414)),1+OR(LEFT(UPPER(TRIM($DZ414)),1)="+",LEFT(UPPER(TRIM($DZ414)),1)="-"),999),"E+","E"),"E-","E"))=LEN(SUBSTITUTE(SUBSTITUTE(SUBSTITUTE(SUBSTITUTE(MID(UPPER(TRIM($DZ414)),1+OR(LEFT(UPPER(TRIM($DZ414)),1)="+",LEFT(UPPER(TRIM($DZ414)),1)="-"),999),"E+","E"),"E-","E"),"+",""),"-","")),LEN(UPPER(TRIM($DZ414)))-LEN(SUBSTITUTE(UPPER(TRIM($DZ414)),"E",""))&lt;2,LEN(UPPER(TRIM($DZ414)))-LEN(SUBSTITUTE(UPPER(TRIM($DZ414)),".",""))&lt;2,IFERROR(FIND(".",UPPER(TRIM($DZ414))),0)&lt;IFERROR(FIND("E",UPPER(TRIM($DZ414))),999)),ISNUMBER(VALUE(TRIM($DZ414)))),VALUE(TRIM($DZ414)),"")))),""))</f>
        <v/>
      </c>
      <c r="EB414">
        <f>IF($DM414=0,"",IF($L$18=0,"",IFERROR(IF(UPPER(TRIM(SUBSTITUTE(SUBSTITUTE(SUBSTITUTE(SUBSTITUTE(INDEX(PASTE_ALL,$DF414,$L$18)," "," "),CHAR(9)," "),CHAR(10)," "),CHAR(13)," ")))="READY","Ready",IF(UPPER(TRIM(SUBSTITUTE(SUBSTITUTE(SUBSTITUTE(SUBSTITUTE(INDEX(PASTE_ALL,$DF414,$L$18)," "," "),CHAR(9)," "),CHAR(10)," "),CHAR(13)," ")))="PM","PM",IF(OR(UPPER(TRIM(SUBSTITUTE(SUBSTITUTE(SUBSTITUTE(SUBSTITUTE(INDEX(PASTE_ALL,$DF414,$L$18)," "," "),CHAR(9)," "),CHAR(10)," "),CHAR(13)," ")))="OT",UPPER(TRIM(SUBSTITUTE(SUBSTITUTE(SUBSTITUTE(SUBSTITUTE(INDEX(PASTE_ALL,$DF414,$L$18)," "," "),CHAR(9)," "),CHAR(10)," "),CHAR(13)," ")))="OVERTIME",UPPER(TRIM(SUBSTITUTE(SUBSTITUTE(SUBSTITUTE(SUBSTITUTE(INDEX(PASTE_ALL,$DF414,$L$18)," "," "),CHAR(9)," "),CHAR(10)," "),CHAR(13)," ")))="TRIAL"),"OT",TRIM(SUBSTITUTE(SUBSTITUTE(SUBSTITUTE(SUBSTITUTE(INDEX(PASTE_ALL,$DF414,$L$18)," "," "),CHAR(9)," "),CHAR(10)," "),CHAR(13)," "))))),"")))</f>
        <v/>
      </c>
      <c r="EC414">
        <f>IF($DM414=0,"",IF($L$19=0,"",IFERROR(IF(ISNUMBER(INDEX(PASTE_ALL,$DF414,$L$19)),INDEX(PASTE_ALL,$DF414,$L$19),TRIM(SUBSTITUTE(SUBSTITUTE(SUBSTITUTE(SUBSTITUTE(INDEX(PASTE_ALL,$DF414,$L$19)," "," "),CHAR(9)," "),CHAR(10)," "),CHAR(13)," "))),"")))</f>
        <v/>
      </c>
      <c r="ED414">
        <f>IF($DM414=0,"",MATCH(1,INDEX(EXACT($DH$5:DH414,$DH414)*$DM$5:DM414,0),0))</f>
        <v/>
      </c>
      <c r="EE414">
        <f>IF($DM414=0,0,IF($ED414=$DE414,1,0))</f>
        <v/>
      </c>
      <c r="EF414">
        <f>EF413+$EE414</f>
        <v/>
      </c>
      <c r="EG414">
        <f>IF($DM414=0,"",INDEX($EF$5:$EF$1003,$ED414))</f>
        <v/>
      </c>
      <c r="EH414">
        <f>IF($DM414=0,"",IF($DO414&lt;&gt;"","",IFERROR(LOOKUP(2,1/(($EG$4:EG413=$EG414)*($DO$4:DO413&lt;&gt;"")),$DO$4:DO413),"")))</f>
        <v/>
      </c>
      <c r="EI414">
        <f>IF($DM414=0,"",IF($DO414&lt;&gt;"",$DO414,$EH414))</f>
        <v/>
      </c>
      <c r="EJ414">
        <f>IF($DM414=0,"",IF($EI414="",0,IF(OR(ISNUMBER($EI414),AND(AND(SUBSTITUTE(SUBSTITUTE(SUBSTITUTE(SUBSTITUTE(SUBSTITUTE(SUBSTITUTE(SUBSTITUTE(SUBSTITUTE(SUBSTITUTE(SUBSTITUTE(SUBSTITUTE(SUBSTITUTE(SUBSTITUTE(SUBSTITUTE(UPPER($EI414),"0",""),"1",""),"2",""),"3",""),"4",""),"5",""),"6",""),"7",""),"8",""),"9",""),".",""),"+",""),"-",""),"E","")="",LEN(SUBSTITUTE(SUBSTITUTE(MID(UPPER($EI414),1+OR(LEFT(UPPER($EI414),1)="+",LEFT(UPPER($EI414),1)="-"),999),"E+","E"),"E-","E"))=LEN(SUBSTITUTE(SUBSTITUTE(SUBSTITUTE(SUBSTITUTE(MID(UPPER($EI414),1+OR(LEFT(UPPER($EI414),1)="+",LEFT(UPPER($EI414),1)="-"),999),"E+","E"),"E-","E"),"+",""),"-","")),LEN(UPPER($EI414))-LEN(SUBSTITUTE(UPPER($EI414),"E",""))&lt;2,LEN(UPPER($EI414))-LEN(SUBSTITUTE(UPPER($EI414),".",""))&lt;2,IFERROR(FIND(".",UPPER($EI414)),0)&lt;IFERROR(FIND("E",UPPER($EI414)),999)),ISNUMBER(VALUE($EI414)))),1,2)))</f>
        <v/>
      </c>
      <c r="EK414">
        <f>IF($DM414=0,"",IF($EJ414=1,IF(ISNUMBER($EI414),$EI414,VALUE($EI414)),IF($EJ414=2,$DE414,0)))</f>
        <v/>
      </c>
      <c r="EL414">
        <f>IF($DM414=0,"",COUNTIF($EG$5:$EG$1003,"&lt;"&amp;$EG414)+SUMPRODUCT(($EG$5:$EG$1003=$EG414)*(($EJ$5:$EJ$1003&lt;$EJ414)+($EJ$5:$EJ$1003=$EJ414)*(($EK$5:$EK$1003&lt;$EK414)+($EK$5:$EK$1003=$EK414)*($DE$5:$DE$1003&lt;$DE414))))+1)</f>
        <v/>
      </c>
      <c r="EM414">
        <f>IF($DM414=0,"",$EL414+$EG414-1)</f>
        <v/>
      </c>
      <c r="EN414">
        <f>IF($DM414=0,0,IFERROR(MATCH(1,INDEX(--(TRIM(SUBSTITUTE(SUBSTITUTE(SUBSTITUTE(SUBSTITUTE(LINES_NAME&amp;""," "," "),CHAR(9)," "),CHAR(10)," "),CHAR(13)," "))=$DH414),0),0),0))</f>
        <v/>
      </c>
      <c r="EO414">
        <f>IF($EN414=0,0,IF(OR(UPPER(TRIM(INDEX(LINES_SCHEDULED,$EN414)&amp;""))="YES",UPPER(TRIM(INDEX(LINES_SCHEDULED,$EN414)&amp;""))="Y",UPPER(TRIM(INDEX(LINES_SCHEDULED,$EN414)&amp;""))="X"),1,0))</f>
        <v/>
      </c>
      <c r="EP414">
        <f>IF($DM414=0,"",IF(COUNTIFS($EG$5:$EG$1003,$EG414,$EB$5:$EB$1003,"Ready")&gt;0,"READY",IF(COUNTIFS($EG$5:$EG$1003,$EG414,$EB$5:$EB$1003,"PM")&gt;0,"PM",IF(COUNTIFS($EG$5:$EG$1003,$EG414,$EB$5:$EB$1003,"OT")&gt;0,"OT",""))))</f>
        <v/>
      </c>
      <c r="EQ414">
        <f>IF($EN414=0,"",UPPER(TRIM(INDEX(LINES_STATUS,$EN414)&amp;"")))</f>
        <v/>
      </c>
      <c r="ER414">
        <f>IF($DM414=0,"",IF(OR($EQ414="READY",$EQ414="PM",$EQ414="OT"),$EQ414,$EP414))</f>
        <v/>
      </c>
      <c r="ES414">
        <f>IF($DM414=0,"",IF(AND($DV414&lt;&gt;"",UPPER($DV414)&lt;&gt;"N"),"allergen",IF(ISNUMBER(SEARCH("oil",$DQ414)),"oil",IF(OR(EXACT($DS414,"A662"),EXACT($DS414,"A624")),"bulk",""))))</f>
        <v/>
      </c>
      <c r="ET414">
        <f>IF($DM414=0,"",IF(OR($EA414="",$EA414=0),"",$EA414/100))</f>
        <v/>
      </c>
      <c r="EU414">
        <f>IF(OR($ET414="",$DY414=""),"",INT($DY414*(1-$ET414)+0.5))</f>
        <v/>
      </c>
      <c r="EW414" t="n">
        <v>410</v>
      </c>
      <c r="EX414">
        <f>IFERROR(MATCH($EW414,$EM$5:$EM$1003,0),0)</f>
        <v/>
      </c>
      <c r="EY414">
        <f>IF($EW414&gt;$B$12,"",IF($EX414&gt;0,"row","spacer"))</f>
        <v/>
      </c>
      <c r="EZ414">
        <f>IF(AND($EY414="row",$EY413&lt;&gt;"row"),1,0)</f>
        <v/>
      </c>
      <c r="FA414">
        <f>IF(AND($EY414="row",$EY415&lt;&gt;"row"),1,0)</f>
        <v/>
      </c>
      <c r="FB414">
        <f>IF($EZ414=1,IFERROR(IF(ISNUMBER(INDEX(PASTE_ALL,INDEX($DF$5:$DF$1003,$EX414),$B$37)),INDEX(PASTE_ALL,INDEX($DF$5:$DF$1003,$EX414),$B$37),INDEX($DH$5:$DH$1003,$EX414)),INDEX($DH$5:$DH$1003,$EX414)),"")</f>
        <v/>
      </c>
      <c r="FC414">
        <f>IF($EY414="row",INDEX($ER$5:$ER$1003,$EX414),"")</f>
        <v/>
      </c>
      <c r="FD414">
        <f>IF($EY414="row",INDEX($DN$5:$DN$1003,$EX414),"")</f>
        <v/>
      </c>
      <c r="FE414">
        <f>IF($EY414="row",INDEX($DO$5:$DO$1003,$EX414),"")</f>
        <v/>
      </c>
      <c r="FF414">
        <f>IF($EY414="row",INDEX($DP$5:$DP$1003,$EX414),"")</f>
        <v/>
      </c>
      <c r="FG414">
        <f>IF($EY414="row",INDEX($DQ$5:$DQ$1003,$EX414),"")</f>
        <v/>
      </c>
      <c r="FH414">
        <f>IF($EY414="row",INDEX($DR$5:$DR$1003,$EX414),"")</f>
        <v/>
      </c>
      <c r="FI414">
        <f>IF($EY414="row",INDEX($DS$5:$DS$1003,$EX414),"")</f>
        <v/>
      </c>
      <c r="FJ414">
        <f>IF($EY414="row",INDEX($DT$5:$DT$1003,$EX414),"")</f>
        <v/>
      </c>
      <c r="FK414">
        <f>IF($EY414="row",INDEX($DU$5:$DU$1003,$EX414),"")</f>
        <v/>
      </c>
      <c r="FL414">
        <f>IF($EY414="row",INDEX($DV$5:$DV$1003,$EX414),"")</f>
        <v/>
      </c>
      <c r="FM414">
        <f>IF($EY414="row",INDEX($DW$5:$DW$1003,$EX414),"")</f>
        <v/>
      </c>
      <c r="FN414">
        <f>IF($EY414="row",INDEX($DY$5:$DY$1003,$EX414),"")</f>
        <v/>
      </c>
      <c r="FO414">
        <f>IF($EY414="row",INDEX($EA$5:$EA$1003,$EX414),"")</f>
        <v/>
      </c>
      <c r="FP414">
        <f>IF($EY414="row",INDEX($EC$5:$EC$1003,$EX414),"")</f>
        <v/>
      </c>
      <c r="FQ414">
        <f>IF($EY414="row",INDEX($ET$5:$ET$1003,$EX414),"")</f>
        <v/>
      </c>
      <c r="FR414">
        <f>IF($EY414="row",INDEX($EU$5:$EU$1003,$EX414),"")</f>
        <v/>
      </c>
      <c r="FS414">
        <f>IF(AND($EY414="row",$EY413="row"),IF(OR(INDEX($DT$5:$DT$1003,$EX413)="",INDEX($DT$5:$DT$1003,$EX414)=""),"",IF(NOT(EXACT(INDEX($DT$5:$DT$1003,$EX413),INDEX($DT$5:$DT$1003,$EX414))),"S4",IF(NOT(EXACT(INDEX($DS$5:$DS$1003,$EX413),INDEX($DS$5:$DS$1003,$EX414))),"S3",IF(NOT(EXACT(INDEX($DR$5:$DR$1003,$EX413),INDEX($DR$5:$DR$1003,$EX414))),"S1 Count Change","S1")))),"")</f>
        <v/>
      </c>
      <c r="FT414">
        <f>IF($EY414="row",INDEX($ES$5:$ES$1003,$EX414),"")</f>
        <v/>
      </c>
      <c r="FU414">
        <f>IF($EY414="row",INDEX($EO$5:$EO$1003,$EX414),0)</f>
        <v/>
      </c>
      <c r="FV414">
        <f>IF($FS414="S1 Count Change",1,0)</f>
        <v/>
      </c>
    </row>
    <row r="415">
      <c r="DA415" t="n">
        <v>411</v>
      </c>
      <c r="DB415">
        <f>IF($B$37=0,"",IFERROR(TRIM(SUBSTITUTE(SUBSTITUTE(SUBSTITUTE(SUBSTITUTE(INDEX(PASTE_ALL,411,$B$37)," "," "),CHAR(9)," "),CHAR(10)," "),CHAR(13)," ")),""))</f>
        <v/>
      </c>
      <c r="DC415">
        <f>IF(AND(411&gt;HEADER_ROW,UPPER(DB415)="LEGEND"),1,0)</f>
        <v/>
      </c>
      <c r="DE415" t="n">
        <v>411</v>
      </c>
      <c r="DF415">
        <f>HEADER_ROW+$DE415</f>
        <v/>
      </c>
      <c r="DG415">
        <f>IF(AND($DF415&lt;=1000,$DF415&lt;$B$8),1,0)</f>
        <v/>
      </c>
      <c r="DH415">
        <f>IF($DG415=1,IFERROR(INDEX($DB$5:$DB$1004,$DF415),""),"")</f>
        <v/>
      </c>
      <c r="DI415">
        <f>IF(AND($DG415=1,$DH415&lt;&gt;""),IFERROR(SUBSTITUTE(SUBSTITUTE(TRIM(SUBSTITUTE(SUBSTITUTE(SUBSTITUTE(SUBSTITUTE(IFERROR(INDEX(PASTE_ALL,$DF415,1)&amp;"","")&amp;"␟"&amp;IFERROR(INDEX(PASTE_ALL,$DF415,2)&amp;"","")&amp;"␟"&amp;IFERROR(INDEX(PASTE_ALL,$DF415,3)&amp;"","")&amp;"␟"&amp;IFERROR(INDEX(PASTE_ALL,$DF415,4)&amp;"","")&amp;"␟"&amp;IFERROR(INDEX(PASTE_ALL,$DF415,5)&amp;"","")&amp;"␟"&amp;IFERROR(INDEX(PASTE_ALL,$DF415,6)&amp;"","")&amp;"␟"&amp;IFERROR(INDEX(PASTE_ALL,$DF415,7)&amp;"","")&amp;"␟"&amp;IFERROR(INDEX(PASTE_ALL,$DF415,8)&amp;"","")&amp;"␟"&amp;IFERROR(INDEX(PASTE_ALL,$DF415,9)&amp;"","")&amp;"␟"&amp;IFERROR(INDEX(PASTE_ALL,$DF415,10)&amp;"","")&amp;"␟"&amp;IFERROR(INDEX(PASTE_ALL,$DF415,11)&amp;"","")&amp;"␟"&amp;IFERROR(INDEX(PASTE_ALL,$DF415,12)&amp;"","")&amp;"␟"&amp;IFERROR(INDEX(PASTE_ALL,$DF415,13)&amp;"","")&amp;"␟"&amp;IFERROR(INDEX(PASTE_ALL,$DF415,14)&amp;"","")&amp;"␟"&amp;IFERROR(INDEX(PASTE_ALL,$DF415,15)&amp;"","")&amp;"␟"&amp;IFERROR(INDEX(PASTE_ALL,$DF415,16)&amp;"","")&amp;"␟"&amp;IFERROR(INDEX(PASTE_ALL,$DF415,17)&amp;"","")&amp;"␟"&amp;IFERROR(INDEX(PASTE_ALL,$DF415,18)&amp;"","")&amp;"␟"&amp;IFERROR(INDEX(PASTE_ALL,$DF415,19)&amp;"","")&amp;"␟"&amp;IFERROR(INDEX(PASTE_ALL,$DF415,20)&amp;"","")&amp;"␟"&amp;IFERROR(INDEX(PASTE_ALL,$DF415,21)&amp;"","")&amp;"␟"&amp;IFERROR(INDEX(PASTE_ALL,$DF415,22)&amp;"","")&amp;"␟"&amp;IFERROR(INDEX(PASTE_ALL,$DF415,23)&amp;"","")&amp;"␟"&amp;IFERROR(INDEX(PASTE_ALL,$DF415,24)&amp;"","")&amp;"␟"&amp;IFERROR(INDEX(PASTE_ALL,$DF415,25)&amp;"","")&amp;"␟"&amp;IFERROR(INDEX(PASTE_ALL,$DF415,26)&amp;"","")&amp;"␟"&amp;IFERROR(INDEX(PASTE_ALL,$DF415,27)&amp;"","")&amp;"␟"&amp;IFERROR(INDEX(PASTE_ALL,$DF415,28)&amp;"","")&amp;"␟"&amp;IFERROR(INDEX(PASTE_ALL,$DF415,29)&amp;"","")&amp;"␟"&amp;IFERROR(INDEX(PASTE_ALL,$DF415,30)&amp;"","")&amp;"␟"&amp;IFERROR(INDEX(PASTE_ALL,$DF415,31)&amp;"","")&amp;"␟"&amp;IFERROR(INDEX(PASTE_ALL,$DF415,32)&amp;"","")&amp;"␟"&amp;IFERROR(INDEX(PASTE_ALL,$DF415,33)&amp;"","")&amp;"␟"&amp;IFERROR(INDEX(PASTE_ALL,$DF415,34)&amp;"","")&amp;"␟"&amp;IFERROR(INDEX(PASTE_ALL,$DF415,35)&amp;"","")&amp;"␟"&amp;IFERROR(INDEX(PASTE_ALL,$DF415,36)&amp;"","")&amp;"␟"&amp;IFERROR(INDEX(PASTE_ALL,$DF415,37)&amp;"","")&amp;"␟"&amp;IFERROR(INDEX(PASTE_ALL,$DF415,38)&amp;"","")&amp;"␟"&amp;IFERROR(INDEX(PASTE_ALL,$DF415,39)&amp;"","")&amp;"␟"&amp;IFERROR(INDEX(PASTE_ALL,$DF415,40)&amp;"","")&amp;"␟"&amp;IFERROR(INDEX(PASTE_ALL,$DF415,41)&amp;"","")&amp;"␟"&amp;IFERROR(INDEX(PASTE_ALL,$DF415,42)&amp;"","")&amp;"␟"&amp;IFERROR(INDEX(PASTE_ALL,$DF415,43)&amp;"","")&amp;"␟"&amp;IFERROR(INDEX(PASTE_ALL,$DF415,44)&amp;"","")&amp;"␟"&amp;IFERROR(INDEX(PASTE_ALL,$DF415,45)&amp;"","")&amp;"␟"&amp;IFERROR(INDEX(PASTE_ALL,$DF415,46)&amp;"","")&amp;"␟"&amp;IFERROR(INDEX(PASTE_ALL,$DF415,47)&amp;"","")&amp;"␟"&amp;IFERROR(INDEX(PASTE_ALL,$DF415,48)&amp;"","")&amp;"␟"&amp;IFERROR(INDEX(PASTE_ALL,$DF415,49)&amp;"","")&amp;"␟"&amp;IFERROR(INDEX(PASTE_ALL,$DF415,50)&amp;"","")&amp;"␟"&amp;IFERROR(INDEX(PASTE_ALL,$DF415,51)&amp;"","")&amp;"␟"&amp;IFERROR(INDEX(PASTE_ALL,$DF415,52)&amp;"","")&amp;"␟"&amp;IFERROR(INDEX(PASTE_ALL,$DF415,53)&amp;"","")&amp;"␟"&amp;IFERROR(INDEX(PASTE_ALL,$DF415,54)&amp;"","")&amp;"␟"&amp;IFERROR(INDEX(PASTE_ALL,$DF415,55)&amp;"","")&amp;"␟"&amp;IFERROR(INDEX(PASTE_ALL,$DF415,56)&amp;"","")&amp;"␟"&amp;IFERROR(INDEX(PASTE_ALL,$DF415,57)&amp;"","")&amp;"␟"&amp;IFERROR(INDEX(PASTE_ALL,$DF415,58)&amp;"","")&amp;"␟"&amp;IFERROR(INDEX(PASTE_ALL,$DF415,59)&amp;"","")&amp;"␟"&amp;IFERROR(INDEX(PASTE_ALL,$DF415,60)&amp;"","")," "," "),CHAR(9)," "),CHAR(10)," "),CHAR(13)," "))," ␟","␟"),"␟ ","␟"),"#"&amp;$DE415),"")</f>
        <v/>
      </c>
      <c r="DJ415">
        <f>IF($DI415="",0,IF(SUMPRODUCT(--EXACT($DI$4:DI414,$DI415))&gt;0,1,0))</f>
        <v/>
      </c>
      <c r="DK415">
        <f>IF(AND($DI415&lt;&gt;"",$DJ415=0),1,0)</f>
        <v/>
      </c>
      <c r="DL415">
        <f>DL414+$DK415</f>
        <v/>
      </c>
      <c r="DM415">
        <f>IF(AND($DK415=1,$DL415&lt;=600),1,0)</f>
        <v/>
      </c>
      <c r="DN415">
        <f>IF($DM415=0,"",IF($L$6=0,"",IFERROR(IF(ISNUMBER(INDEX(PASTE_ALL,$DF415,$L$6)),INDEX(PASTE_ALL,$DF415,$L$6),TRIM(SUBSTITUTE(SUBSTITUTE(SUBSTITUTE(SUBSTITUTE(INDEX(PASTE_ALL,$DF415,$L$6)," "," "),CHAR(9)," "),CHAR(10)," "),CHAR(13)," "))),"")))</f>
        <v/>
      </c>
      <c r="DO415">
        <f>IF($DM415=0,"",IF($L$7=0,"",IFERROR(IF(ISNUMBER(INDEX(PASTE_ALL,$DF415,$L$7)),INDEX(PASTE_ALL,$DF415,$L$7),TRIM(SUBSTITUTE(SUBSTITUTE(SUBSTITUTE(SUBSTITUTE(INDEX(PASTE_ALL,$DF415,$L$7)," "," "),CHAR(9)," "),CHAR(10)," "),CHAR(13)," "))),"")))</f>
        <v/>
      </c>
      <c r="DP415">
        <f>IF($DM415=0,"",IF($L$8=0,"",IFERROR(IF(ISNUMBER(INDEX(PASTE_ALL,$DF415,$L$8)),INDEX(PASTE_ALL,$DF415,$L$8),TRIM(SUBSTITUTE(SUBSTITUTE(SUBSTITUTE(SUBSTITUTE(INDEX(PASTE_ALL,$DF415,$L$8)," "," "),CHAR(9)," "),CHAR(10)," "),CHAR(13)," "))),"")))</f>
        <v/>
      </c>
      <c r="DQ415">
        <f>IF($DM415=0,"",IF($L$9=0,"",IFERROR(IF(ISNUMBER(INDEX(PASTE_ALL,$DF415,$L$9)),INDEX(PASTE_ALL,$DF415,$L$9),TRIM(SUBSTITUTE(SUBSTITUTE(SUBSTITUTE(SUBSTITUTE(INDEX(PASTE_ALL,$DF415,$L$9)," "," "),CHAR(9)," "),CHAR(10)," "),CHAR(13)," "))),"")))</f>
        <v/>
      </c>
      <c r="DR415">
        <f>IF($DM415=0,"",IF($L$10=0,"",IFERROR(IF(ISNUMBER(INDEX(PASTE_ALL,$DF415,$L$10)),INDEX(PASTE_ALL,$DF415,$L$10),TRIM(SUBSTITUTE(SUBSTITUTE(SUBSTITUTE(SUBSTITUTE(INDEX(PASTE_ALL,$DF415,$L$10)," "," "),CHAR(9)," "),CHAR(10)," "),CHAR(13)," "))),"")))</f>
        <v/>
      </c>
      <c r="DS415">
        <f>IF($DM415=0,"",IF($L$11=0,"",IFERROR(IF(ISNUMBER(INDEX(PASTE_ALL,$DF415,$L$11)),INDEX(PASTE_ALL,$DF415,$L$11),TRIM(SUBSTITUTE(SUBSTITUTE(SUBSTITUTE(SUBSTITUTE(INDEX(PASTE_ALL,$DF415,$L$11)," "," "),CHAR(9)," "),CHAR(10)," "),CHAR(13)," "))),"")))</f>
        <v/>
      </c>
      <c r="DT415">
        <f>IF($DM415=0,"",IF($L$12=0,"",IFERROR(IF(ISNUMBER(INDEX(PASTE_ALL,$DF415,$L$12)),INDEX(PASTE_ALL,$DF415,$L$12),TRIM(SUBSTITUTE(SUBSTITUTE(SUBSTITUTE(SUBSTITUTE(INDEX(PASTE_ALL,$DF415,$L$12)," "," "),CHAR(9)," "),CHAR(10)," "),CHAR(13)," "))),"")))</f>
        <v/>
      </c>
      <c r="DU415">
        <f>IF($DM415=0,"",IF($L$13=0,"",IFERROR(IF(ISNUMBER(INDEX(PASTE_ALL,$DF415,$L$13)),INDEX(PASTE_ALL,$DF415,$L$13),TRIM(SUBSTITUTE(SUBSTITUTE(SUBSTITUTE(SUBSTITUTE(INDEX(PASTE_ALL,$DF415,$L$13)," "," "),CHAR(9)," "),CHAR(10)," "),CHAR(13)," "))),"")))</f>
        <v/>
      </c>
      <c r="DV415">
        <f>IF($DM415=0,"",IF($L$14=0,"",IFERROR(IF(ISNUMBER(INDEX(PASTE_ALL,$DF415,$L$14)),INDEX(PASTE_ALL,$DF415,$L$14),TRIM(SUBSTITUTE(SUBSTITUTE(SUBSTITUTE(SUBSTITUTE(INDEX(PASTE_ALL,$DF415,$L$14)," "," "),CHAR(9)," "),CHAR(10)," "),CHAR(13)," "))),"")))</f>
        <v/>
      </c>
      <c r="DW415">
        <f>IF($DM415=0,"",IF($L$15=0,"",IFERROR(IF(ISNUMBER(INDEX(PASTE_ALL,$DF415,$L$15)),INDEX(PASTE_ALL,$DF415,$L$15),IF(SUMPRODUCT(--ISNUMBER(FIND({"A","B","C","D","E","F","G","H","I","J","K","L","M","N","O","P","Q","R","S","T","U","V","W","X","Y","Z","0","1","2","3","4","5","6","7","8","9"},UPPER(TRIM(SUBSTITUTE(SUBSTITUTE(SUBSTITUTE(SUBSTITUTE(INDEX(PASTE_ALL,$DF415,$L$15)," "," "),CHAR(9)," "),CHAR(10)," "),CHAR(13)," "))))))&gt;0,TRIM(SUBSTITUTE(SUBSTITUTE(SUBSTITUTE(SUBSTITUTE(INDEX(PASTE_ALL,$DF415,$L$15)," "," "),CHAR(9)," "),CHAR(10)," "),CHAR(13)," ")),"")),"")))</f>
        <v/>
      </c>
      <c r="DX415">
        <f>IF($DM415=0,"",IF($L$16=0,"",IFERROR(IF(ISNUMBER(INDEX(PASTE_ALL,$DF415,$L$16)),INDEX(PASTE_ALL,$DF415,$L$16),SUBSTITUTE(SUBSTITUTE(TRIM(SUBSTITUTE(SUBSTITUTE(SUBSTITUTE(SUBSTITUTE(INDEX(PASTE_ALL,$DF415,$L$16)," "," "),CHAR(9)," "),CHAR(10)," "),CHAR(13)," ")),",",""),"%","")),"")))</f>
        <v/>
      </c>
      <c r="DY415">
        <f>IF($DM415=0,"",IFERROR(IF(ISNUMBER($DX415),$DX415,IF($DX415="","",IF(TRIM($DX415)="",0,IF(AND(AND(SUBSTITUTE(SUBSTITUTE(SUBSTITUTE(SUBSTITUTE(SUBSTITUTE(SUBSTITUTE(SUBSTITUTE(SUBSTITUTE(SUBSTITUTE(SUBSTITUTE(SUBSTITUTE(SUBSTITUTE(SUBSTITUTE(SUBSTITUTE(UPPER(TRIM($DX415)),"0",""),"1",""),"2",""),"3",""),"4",""),"5",""),"6",""),"7",""),"8",""),"9",""),".",""),"+",""),"-",""),"E","")="",LEN(SUBSTITUTE(SUBSTITUTE(MID(UPPER(TRIM($DX415)),1+OR(LEFT(UPPER(TRIM($DX415)),1)="+",LEFT(UPPER(TRIM($DX415)),1)="-"),999),"E+","E"),"E-","E"))=LEN(SUBSTITUTE(SUBSTITUTE(SUBSTITUTE(SUBSTITUTE(MID(UPPER(TRIM($DX415)),1+OR(LEFT(UPPER(TRIM($DX415)),1)="+",LEFT(UPPER(TRIM($DX415)),1)="-"),999),"E+","E"),"E-","E"),"+",""),"-","")),LEN(UPPER(TRIM($DX415)))-LEN(SUBSTITUTE(UPPER(TRIM($DX415)),"E",""))&lt;2,LEN(UPPER(TRIM($DX415)))-LEN(SUBSTITUTE(UPPER(TRIM($DX415)),".",""))&lt;2,IFERROR(FIND(".",UPPER(TRIM($DX415))),0)&lt;IFERROR(FIND("E",UPPER(TRIM($DX415))),999)),ISNUMBER(VALUE(TRIM($DX415)))),VALUE(TRIM($DX415)),"")))),""))</f>
        <v/>
      </c>
      <c r="DZ415">
        <f>IF($DM415=0,"",IF($L$17=0,"",IFERROR(IF(ISNUMBER(INDEX(PASTE_ALL,$DF415,$L$17)),INDEX(PASTE_ALL,$DF415,$L$17),SUBSTITUTE(SUBSTITUTE(TRIM(SUBSTITUTE(SUBSTITUTE(SUBSTITUTE(SUBSTITUTE(INDEX(PASTE_ALL,$DF415,$L$17)," "," "),CHAR(9)," "),CHAR(10)," "),CHAR(13)," ")),",",""),"%","")),"")))</f>
        <v/>
      </c>
      <c r="EA415">
        <f>IF($DM415=0,"",IFERROR(IF(ISNUMBER($DZ415),$DZ415,IF($DZ415="","",IF(TRIM($DZ415)="",0,IF(AND(AND(SUBSTITUTE(SUBSTITUTE(SUBSTITUTE(SUBSTITUTE(SUBSTITUTE(SUBSTITUTE(SUBSTITUTE(SUBSTITUTE(SUBSTITUTE(SUBSTITUTE(SUBSTITUTE(SUBSTITUTE(SUBSTITUTE(SUBSTITUTE(UPPER(TRIM($DZ415)),"0",""),"1",""),"2",""),"3",""),"4",""),"5",""),"6",""),"7",""),"8",""),"9",""),".",""),"+",""),"-",""),"E","")="",LEN(SUBSTITUTE(SUBSTITUTE(MID(UPPER(TRIM($DZ415)),1+OR(LEFT(UPPER(TRIM($DZ415)),1)="+",LEFT(UPPER(TRIM($DZ415)),1)="-"),999),"E+","E"),"E-","E"))=LEN(SUBSTITUTE(SUBSTITUTE(SUBSTITUTE(SUBSTITUTE(MID(UPPER(TRIM($DZ415)),1+OR(LEFT(UPPER(TRIM($DZ415)),1)="+",LEFT(UPPER(TRIM($DZ415)),1)="-"),999),"E+","E"),"E-","E"),"+",""),"-","")),LEN(UPPER(TRIM($DZ415)))-LEN(SUBSTITUTE(UPPER(TRIM($DZ415)),"E",""))&lt;2,LEN(UPPER(TRIM($DZ415)))-LEN(SUBSTITUTE(UPPER(TRIM($DZ415)),".",""))&lt;2,IFERROR(FIND(".",UPPER(TRIM($DZ415))),0)&lt;IFERROR(FIND("E",UPPER(TRIM($DZ415))),999)),ISNUMBER(VALUE(TRIM($DZ415)))),VALUE(TRIM($DZ415)),"")))),""))</f>
        <v/>
      </c>
      <c r="EB415">
        <f>IF($DM415=0,"",IF($L$18=0,"",IFERROR(IF(UPPER(TRIM(SUBSTITUTE(SUBSTITUTE(SUBSTITUTE(SUBSTITUTE(INDEX(PASTE_ALL,$DF415,$L$18)," "," "),CHAR(9)," "),CHAR(10)," "),CHAR(13)," ")))="READY","Ready",IF(UPPER(TRIM(SUBSTITUTE(SUBSTITUTE(SUBSTITUTE(SUBSTITUTE(INDEX(PASTE_ALL,$DF415,$L$18)," "," "),CHAR(9)," "),CHAR(10)," "),CHAR(13)," ")))="PM","PM",IF(OR(UPPER(TRIM(SUBSTITUTE(SUBSTITUTE(SUBSTITUTE(SUBSTITUTE(INDEX(PASTE_ALL,$DF415,$L$18)," "," "),CHAR(9)," "),CHAR(10)," "),CHAR(13)," ")))="OT",UPPER(TRIM(SUBSTITUTE(SUBSTITUTE(SUBSTITUTE(SUBSTITUTE(INDEX(PASTE_ALL,$DF415,$L$18)," "," "),CHAR(9)," "),CHAR(10)," "),CHAR(13)," ")))="OVERTIME",UPPER(TRIM(SUBSTITUTE(SUBSTITUTE(SUBSTITUTE(SUBSTITUTE(INDEX(PASTE_ALL,$DF415,$L$18)," "," "),CHAR(9)," "),CHAR(10)," "),CHAR(13)," ")))="TRIAL"),"OT",TRIM(SUBSTITUTE(SUBSTITUTE(SUBSTITUTE(SUBSTITUTE(INDEX(PASTE_ALL,$DF415,$L$18)," "," "),CHAR(9)," "),CHAR(10)," "),CHAR(13)," "))))),"")))</f>
        <v/>
      </c>
      <c r="EC415">
        <f>IF($DM415=0,"",IF($L$19=0,"",IFERROR(IF(ISNUMBER(INDEX(PASTE_ALL,$DF415,$L$19)),INDEX(PASTE_ALL,$DF415,$L$19),TRIM(SUBSTITUTE(SUBSTITUTE(SUBSTITUTE(SUBSTITUTE(INDEX(PASTE_ALL,$DF415,$L$19)," "," "),CHAR(9)," "),CHAR(10)," "),CHAR(13)," "))),"")))</f>
        <v/>
      </c>
      <c r="ED415">
        <f>IF($DM415=0,"",MATCH(1,INDEX(EXACT($DH$5:DH415,$DH415)*$DM$5:DM415,0),0))</f>
        <v/>
      </c>
      <c r="EE415">
        <f>IF($DM415=0,0,IF($ED415=$DE415,1,0))</f>
        <v/>
      </c>
      <c r="EF415">
        <f>EF414+$EE415</f>
        <v/>
      </c>
      <c r="EG415">
        <f>IF($DM415=0,"",INDEX($EF$5:$EF$1003,$ED415))</f>
        <v/>
      </c>
      <c r="EH415">
        <f>IF($DM415=0,"",IF($DO415&lt;&gt;"","",IFERROR(LOOKUP(2,1/(($EG$4:EG414=$EG415)*($DO$4:DO414&lt;&gt;"")),$DO$4:DO414),"")))</f>
        <v/>
      </c>
      <c r="EI415">
        <f>IF($DM415=0,"",IF($DO415&lt;&gt;"",$DO415,$EH415))</f>
        <v/>
      </c>
      <c r="EJ415">
        <f>IF($DM415=0,"",IF($EI415="",0,IF(OR(ISNUMBER($EI415),AND(AND(SUBSTITUTE(SUBSTITUTE(SUBSTITUTE(SUBSTITUTE(SUBSTITUTE(SUBSTITUTE(SUBSTITUTE(SUBSTITUTE(SUBSTITUTE(SUBSTITUTE(SUBSTITUTE(SUBSTITUTE(SUBSTITUTE(SUBSTITUTE(UPPER($EI415),"0",""),"1",""),"2",""),"3",""),"4",""),"5",""),"6",""),"7",""),"8",""),"9",""),".",""),"+",""),"-",""),"E","")="",LEN(SUBSTITUTE(SUBSTITUTE(MID(UPPER($EI415),1+OR(LEFT(UPPER($EI415),1)="+",LEFT(UPPER($EI415),1)="-"),999),"E+","E"),"E-","E"))=LEN(SUBSTITUTE(SUBSTITUTE(SUBSTITUTE(SUBSTITUTE(MID(UPPER($EI415),1+OR(LEFT(UPPER($EI415),1)="+",LEFT(UPPER($EI415),1)="-"),999),"E+","E"),"E-","E"),"+",""),"-","")),LEN(UPPER($EI415))-LEN(SUBSTITUTE(UPPER($EI415),"E",""))&lt;2,LEN(UPPER($EI415))-LEN(SUBSTITUTE(UPPER($EI415),".",""))&lt;2,IFERROR(FIND(".",UPPER($EI415)),0)&lt;IFERROR(FIND("E",UPPER($EI415)),999)),ISNUMBER(VALUE($EI415)))),1,2)))</f>
        <v/>
      </c>
      <c r="EK415">
        <f>IF($DM415=0,"",IF($EJ415=1,IF(ISNUMBER($EI415),$EI415,VALUE($EI415)),IF($EJ415=2,$DE415,0)))</f>
        <v/>
      </c>
      <c r="EL415">
        <f>IF($DM415=0,"",COUNTIF($EG$5:$EG$1003,"&lt;"&amp;$EG415)+SUMPRODUCT(($EG$5:$EG$1003=$EG415)*(($EJ$5:$EJ$1003&lt;$EJ415)+($EJ$5:$EJ$1003=$EJ415)*(($EK$5:$EK$1003&lt;$EK415)+($EK$5:$EK$1003=$EK415)*($DE$5:$DE$1003&lt;$DE415))))+1)</f>
        <v/>
      </c>
      <c r="EM415">
        <f>IF($DM415=0,"",$EL415+$EG415-1)</f>
        <v/>
      </c>
      <c r="EN415">
        <f>IF($DM415=0,0,IFERROR(MATCH(1,INDEX(--(TRIM(SUBSTITUTE(SUBSTITUTE(SUBSTITUTE(SUBSTITUTE(LINES_NAME&amp;""," "," "),CHAR(9)," "),CHAR(10)," "),CHAR(13)," "))=$DH415),0),0),0))</f>
        <v/>
      </c>
      <c r="EO415">
        <f>IF($EN415=0,0,IF(OR(UPPER(TRIM(INDEX(LINES_SCHEDULED,$EN415)&amp;""))="YES",UPPER(TRIM(INDEX(LINES_SCHEDULED,$EN415)&amp;""))="Y",UPPER(TRIM(INDEX(LINES_SCHEDULED,$EN415)&amp;""))="X"),1,0))</f>
        <v/>
      </c>
      <c r="EP415">
        <f>IF($DM415=0,"",IF(COUNTIFS($EG$5:$EG$1003,$EG415,$EB$5:$EB$1003,"Ready")&gt;0,"READY",IF(COUNTIFS($EG$5:$EG$1003,$EG415,$EB$5:$EB$1003,"PM")&gt;0,"PM",IF(COUNTIFS($EG$5:$EG$1003,$EG415,$EB$5:$EB$1003,"OT")&gt;0,"OT",""))))</f>
        <v/>
      </c>
      <c r="EQ415">
        <f>IF($EN415=0,"",UPPER(TRIM(INDEX(LINES_STATUS,$EN415)&amp;"")))</f>
        <v/>
      </c>
      <c r="ER415">
        <f>IF($DM415=0,"",IF(OR($EQ415="READY",$EQ415="PM",$EQ415="OT"),$EQ415,$EP415))</f>
        <v/>
      </c>
      <c r="ES415">
        <f>IF($DM415=0,"",IF(AND($DV415&lt;&gt;"",UPPER($DV415)&lt;&gt;"N"),"allergen",IF(ISNUMBER(SEARCH("oil",$DQ415)),"oil",IF(OR(EXACT($DS415,"A662"),EXACT($DS415,"A624")),"bulk",""))))</f>
        <v/>
      </c>
      <c r="ET415">
        <f>IF($DM415=0,"",IF(OR($EA415="",$EA415=0),"",$EA415/100))</f>
        <v/>
      </c>
      <c r="EU415">
        <f>IF(OR($ET415="",$DY415=""),"",INT($DY415*(1-$ET415)+0.5))</f>
        <v/>
      </c>
      <c r="EW415" t="n">
        <v>411</v>
      </c>
      <c r="EX415">
        <f>IFERROR(MATCH($EW415,$EM$5:$EM$1003,0),0)</f>
        <v/>
      </c>
      <c r="EY415">
        <f>IF($EW415&gt;$B$12,"",IF($EX415&gt;0,"row","spacer"))</f>
        <v/>
      </c>
      <c r="EZ415">
        <f>IF(AND($EY415="row",$EY414&lt;&gt;"row"),1,0)</f>
        <v/>
      </c>
      <c r="FA415">
        <f>IF(AND($EY415="row",$EY416&lt;&gt;"row"),1,0)</f>
        <v/>
      </c>
      <c r="FB415">
        <f>IF($EZ415=1,IFERROR(IF(ISNUMBER(INDEX(PASTE_ALL,INDEX($DF$5:$DF$1003,$EX415),$B$37)),INDEX(PASTE_ALL,INDEX($DF$5:$DF$1003,$EX415),$B$37),INDEX($DH$5:$DH$1003,$EX415)),INDEX($DH$5:$DH$1003,$EX415)),"")</f>
        <v/>
      </c>
      <c r="FC415">
        <f>IF($EY415="row",INDEX($ER$5:$ER$1003,$EX415),"")</f>
        <v/>
      </c>
      <c r="FD415">
        <f>IF($EY415="row",INDEX($DN$5:$DN$1003,$EX415),"")</f>
        <v/>
      </c>
      <c r="FE415">
        <f>IF($EY415="row",INDEX($DO$5:$DO$1003,$EX415),"")</f>
        <v/>
      </c>
      <c r="FF415">
        <f>IF($EY415="row",INDEX($DP$5:$DP$1003,$EX415),"")</f>
        <v/>
      </c>
      <c r="FG415">
        <f>IF($EY415="row",INDEX($DQ$5:$DQ$1003,$EX415),"")</f>
        <v/>
      </c>
      <c r="FH415">
        <f>IF($EY415="row",INDEX($DR$5:$DR$1003,$EX415),"")</f>
        <v/>
      </c>
      <c r="FI415">
        <f>IF($EY415="row",INDEX($DS$5:$DS$1003,$EX415),"")</f>
        <v/>
      </c>
      <c r="FJ415">
        <f>IF($EY415="row",INDEX($DT$5:$DT$1003,$EX415),"")</f>
        <v/>
      </c>
      <c r="FK415">
        <f>IF($EY415="row",INDEX($DU$5:$DU$1003,$EX415),"")</f>
        <v/>
      </c>
      <c r="FL415">
        <f>IF($EY415="row",INDEX($DV$5:$DV$1003,$EX415),"")</f>
        <v/>
      </c>
      <c r="FM415">
        <f>IF($EY415="row",INDEX($DW$5:$DW$1003,$EX415),"")</f>
        <v/>
      </c>
      <c r="FN415">
        <f>IF($EY415="row",INDEX($DY$5:$DY$1003,$EX415),"")</f>
        <v/>
      </c>
      <c r="FO415">
        <f>IF($EY415="row",INDEX($EA$5:$EA$1003,$EX415),"")</f>
        <v/>
      </c>
      <c r="FP415">
        <f>IF($EY415="row",INDEX($EC$5:$EC$1003,$EX415),"")</f>
        <v/>
      </c>
      <c r="FQ415">
        <f>IF($EY415="row",INDEX($ET$5:$ET$1003,$EX415),"")</f>
        <v/>
      </c>
      <c r="FR415">
        <f>IF($EY415="row",INDEX($EU$5:$EU$1003,$EX415),"")</f>
        <v/>
      </c>
      <c r="FS415">
        <f>IF(AND($EY415="row",$EY414="row"),IF(OR(INDEX($DT$5:$DT$1003,$EX414)="",INDEX($DT$5:$DT$1003,$EX415)=""),"",IF(NOT(EXACT(INDEX($DT$5:$DT$1003,$EX414),INDEX($DT$5:$DT$1003,$EX415))),"S4",IF(NOT(EXACT(INDEX($DS$5:$DS$1003,$EX414),INDEX($DS$5:$DS$1003,$EX415))),"S3",IF(NOT(EXACT(INDEX($DR$5:$DR$1003,$EX414),INDEX($DR$5:$DR$1003,$EX415))),"S1 Count Change","S1")))),"")</f>
        <v/>
      </c>
      <c r="FT415">
        <f>IF($EY415="row",INDEX($ES$5:$ES$1003,$EX415),"")</f>
        <v/>
      </c>
      <c r="FU415">
        <f>IF($EY415="row",INDEX($EO$5:$EO$1003,$EX415),0)</f>
        <v/>
      </c>
      <c r="FV415">
        <f>IF($FS415="S1 Count Change",1,0)</f>
        <v/>
      </c>
    </row>
    <row r="416">
      <c r="DA416" t="n">
        <v>412</v>
      </c>
      <c r="DB416">
        <f>IF($B$37=0,"",IFERROR(TRIM(SUBSTITUTE(SUBSTITUTE(SUBSTITUTE(SUBSTITUTE(INDEX(PASTE_ALL,412,$B$37)," "," "),CHAR(9)," "),CHAR(10)," "),CHAR(13)," ")),""))</f>
        <v/>
      </c>
      <c r="DC416">
        <f>IF(AND(412&gt;HEADER_ROW,UPPER(DB416)="LEGEND"),1,0)</f>
        <v/>
      </c>
      <c r="DE416" t="n">
        <v>412</v>
      </c>
      <c r="DF416">
        <f>HEADER_ROW+$DE416</f>
        <v/>
      </c>
      <c r="DG416">
        <f>IF(AND($DF416&lt;=1000,$DF416&lt;$B$8),1,0)</f>
        <v/>
      </c>
      <c r="DH416">
        <f>IF($DG416=1,IFERROR(INDEX($DB$5:$DB$1004,$DF416),""),"")</f>
        <v/>
      </c>
      <c r="DI416">
        <f>IF(AND($DG416=1,$DH416&lt;&gt;""),IFERROR(SUBSTITUTE(SUBSTITUTE(TRIM(SUBSTITUTE(SUBSTITUTE(SUBSTITUTE(SUBSTITUTE(IFERROR(INDEX(PASTE_ALL,$DF416,1)&amp;"","")&amp;"␟"&amp;IFERROR(INDEX(PASTE_ALL,$DF416,2)&amp;"","")&amp;"␟"&amp;IFERROR(INDEX(PASTE_ALL,$DF416,3)&amp;"","")&amp;"␟"&amp;IFERROR(INDEX(PASTE_ALL,$DF416,4)&amp;"","")&amp;"␟"&amp;IFERROR(INDEX(PASTE_ALL,$DF416,5)&amp;"","")&amp;"␟"&amp;IFERROR(INDEX(PASTE_ALL,$DF416,6)&amp;"","")&amp;"␟"&amp;IFERROR(INDEX(PASTE_ALL,$DF416,7)&amp;"","")&amp;"␟"&amp;IFERROR(INDEX(PASTE_ALL,$DF416,8)&amp;"","")&amp;"␟"&amp;IFERROR(INDEX(PASTE_ALL,$DF416,9)&amp;"","")&amp;"␟"&amp;IFERROR(INDEX(PASTE_ALL,$DF416,10)&amp;"","")&amp;"␟"&amp;IFERROR(INDEX(PASTE_ALL,$DF416,11)&amp;"","")&amp;"␟"&amp;IFERROR(INDEX(PASTE_ALL,$DF416,12)&amp;"","")&amp;"␟"&amp;IFERROR(INDEX(PASTE_ALL,$DF416,13)&amp;"","")&amp;"␟"&amp;IFERROR(INDEX(PASTE_ALL,$DF416,14)&amp;"","")&amp;"␟"&amp;IFERROR(INDEX(PASTE_ALL,$DF416,15)&amp;"","")&amp;"␟"&amp;IFERROR(INDEX(PASTE_ALL,$DF416,16)&amp;"","")&amp;"␟"&amp;IFERROR(INDEX(PASTE_ALL,$DF416,17)&amp;"","")&amp;"␟"&amp;IFERROR(INDEX(PASTE_ALL,$DF416,18)&amp;"","")&amp;"␟"&amp;IFERROR(INDEX(PASTE_ALL,$DF416,19)&amp;"","")&amp;"␟"&amp;IFERROR(INDEX(PASTE_ALL,$DF416,20)&amp;"","")&amp;"␟"&amp;IFERROR(INDEX(PASTE_ALL,$DF416,21)&amp;"","")&amp;"␟"&amp;IFERROR(INDEX(PASTE_ALL,$DF416,22)&amp;"","")&amp;"␟"&amp;IFERROR(INDEX(PASTE_ALL,$DF416,23)&amp;"","")&amp;"␟"&amp;IFERROR(INDEX(PASTE_ALL,$DF416,24)&amp;"","")&amp;"␟"&amp;IFERROR(INDEX(PASTE_ALL,$DF416,25)&amp;"","")&amp;"␟"&amp;IFERROR(INDEX(PASTE_ALL,$DF416,26)&amp;"","")&amp;"␟"&amp;IFERROR(INDEX(PASTE_ALL,$DF416,27)&amp;"","")&amp;"␟"&amp;IFERROR(INDEX(PASTE_ALL,$DF416,28)&amp;"","")&amp;"␟"&amp;IFERROR(INDEX(PASTE_ALL,$DF416,29)&amp;"","")&amp;"␟"&amp;IFERROR(INDEX(PASTE_ALL,$DF416,30)&amp;"","")&amp;"␟"&amp;IFERROR(INDEX(PASTE_ALL,$DF416,31)&amp;"","")&amp;"␟"&amp;IFERROR(INDEX(PASTE_ALL,$DF416,32)&amp;"","")&amp;"␟"&amp;IFERROR(INDEX(PASTE_ALL,$DF416,33)&amp;"","")&amp;"␟"&amp;IFERROR(INDEX(PASTE_ALL,$DF416,34)&amp;"","")&amp;"␟"&amp;IFERROR(INDEX(PASTE_ALL,$DF416,35)&amp;"","")&amp;"␟"&amp;IFERROR(INDEX(PASTE_ALL,$DF416,36)&amp;"","")&amp;"␟"&amp;IFERROR(INDEX(PASTE_ALL,$DF416,37)&amp;"","")&amp;"␟"&amp;IFERROR(INDEX(PASTE_ALL,$DF416,38)&amp;"","")&amp;"␟"&amp;IFERROR(INDEX(PASTE_ALL,$DF416,39)&amp;"","")&amp;"␟"&amp;IFERROR(INDEX(PASTE_ALL,$DF416,40)&amp;"","")&amp;"␟"&amp;IFERROR(INDEX(PASTE_ALL,$DF416,41)&amp;"","")&amp;"␟"&amp;IFERROR(INDEX(PASTE_ALL,$DF416,42)&amp;"","")&amp;"␟"&amp;IFERROR(INDEX(PASTE_ALL,$DF416,43)&amp;"","")&amp;"␟"&amp;IFERROR(INDEX(PASTE_ALL,$DF416,44)&amp;"","")&amp;"␟"&amp;IFERROR(INDEX(PASTE_ALL,$DF416,45)&amp;"","")&amp;"␟"&amp;IFERROR(INDEX(PASTE_ALL,$DF416,46)&amp;"","")&amp;"␟"&amp;IFERROR(INDEX(PASTE_ALL,$DF416,47)&amp;"","")&amp;"␟"&amp;IFERROR(INDEX(PASTE_ALL,$DF416,48)&amp;"","")&amp;"␟"&amp;IFERROR(INDEX(PASTE_ALL,$DF416,49)&amp;"","")&amp;"␟"&amp;IFERROR(INDEX(PASTE_ALL,$DF416,50)&amp;"","")&amp;"␟"&amp;IFERROR(INDEX(PASTE_ALL,$DF416,51)&amp;"","")&amp;"␟"&amp;IFERROR(INDEX(PASTE_ALL,$DF416,52)&amp;"","")&amp;"␟"&amp;IFERROR(INDEX(PASTE_ALL,$DF416,53)&amp;"","")&amp;"␟"&amp;IFERROR(INDEX(PASTE_ALL,$DF416,54)&amp;"","")&amp;"␟"&amp;IFERROR(INDEX(PASTE_ALL,$DF416,55)&amp;"","")&amp;"␟"&amp;IFERROR(INDEX(PASTE_ALL,$DF416,56)&amp;"","")&amp;"␟"&amp;IFERROR(INDEX(PASTE_ALL,$DF416,57)&amp;"","")&amp;"␟"&amp;IFERROR(INDEX(PASTE_ALL,$DF416,58)&amp;"","")&amp;"␟"&amp;IFERROR(INDEX(PASTE_ALL,$DF416,59)&amp;"","")&amp;"␟"&amp;IFERROR(INDEX(PASTE_ALL,$DF416,60)&amp;"","")," "," "),CHAR(9)," "),CHAR(10)," "),CHAR(13)," "))," ␟","␟"),"␟ ","␟"),"#"&amp;$DE416),"")</f>
        <v/>
      </c>
      <c r="DJ416">
        <f>IF($DI416="",0,IF(SUMPRODUCT(--EXACT($DI$4:DI415,$DI416))&gt;0,1,0))</f>
        <v/>
      </c>
      <c r="DK416">
        <f>IF(AND($DI416&lt;&gt;"",$DJ416=0),1,0)</f>
        <v/>
      </c>
      <c r="DL416">
        <f>DL415+$DK416</f>
        <v/>
      </c>
      <c r="DM416">
        <f>IF(AND($DK416=1,$DL416&lt;=600),1,0)</f>
        <v/>
      </c>
      <c r="DN416">
        <f>IF($DM416=0,"",IF($L$6=0,"",IFERROR(IF(ISNUMBER(INDEX(PASTE_ALL,$DF416,$L$6)),INDEX(PASTE_ALL,$DF416,$L$6),TRIM(SUBSTITUTE(SUBSTITUTE(SUBSTITUTE(SUBSTITUTE(INDEX(PASTE_ALL,$DF416,$L$6)," "," "),CHAR(9)," "),CHAR(10)," "),CHAR(13)," "))),"")))</f>
        <v/>
      </c>
      <c r="DO416">
        <f>IF($DM416=0,"",IF($L$7=0,"",IFERROR(IF(ISNUMBER(INDEX(PASTE_ALL,$DF416,$L$7)),INDEX(PASTE_ALL,$DF416,$L$7),TRIM(SUBSTITUTE(SUBSTITUTE(SUBSTITUTE(SUBSTITUTE(INDEX(PASTE_ALL,$DF416,$L$7)," "," "),CHAR(9)," "),CHAR(10)," "),CHAR(13)," "))),"")))</f>
        <v/>
      </c>
      <c r="DP416">
        <f>IF($DM416=0,"",IF($L$8=0,"",IFERROR(IF(ISNUMBER(INDEX(PASTE_ALL,$DF416,$L$8)),INDEX(PASTE_ALL,$DF416,$L$8),TRIM(SUBSTITUTE(SUBSTITUTE(SUBSTITUTE(SUBSTITUTE(INDEX(PASTE_ALL,$DF416,$L$8)," "," "),CHAR(9)," "),CHAR(10)," "),CHAR(13)," "))),"")))</f>
        <v/>
      </c>
      <c r="DQ416">
        <f>IF($DM416=0,"",IF($L$9=0,"",IFERROR(IF(ISNUMBER(INDEX(PASTE_ALL,$DF416,$L$9)),INDEX(PASTE_ALL,$DF416,$L$9),TRIM(SUBSTITUTE(SUBSTITUTE(SUBSTITUTE(SUBSTITUTE(INDEX(PASTE_ALL,$DF416,$L$9)," "," "),CHAR(9)," "),CHAR(10)," "),CHAR(13)," "))),"")))</f>
        <v/>
      </c>
      <c r="DR416">
        <f>IF($DM416=0,"",IF($L$10=0,"",IFERROR(IF(ISNUMBER(INDEX(PASTE_ALL,$DF416,$L$10)),INDEX(PASTE_ALL,$DF416,$L$10),TRIM(SUBSTITUTE(SUBSTITUTE(SUBSTITUTE(SUBSTITUTE(INDEX(PASTE_ALL,$DF416,$L$10)," "," "),CHAR(9)," "),CHAR(10)," "),CHAR(13)," "))),"")))</f>
        <v/>
      </c>
      <c r="DS416">
        <f>IF($DM416=0,"",IF($L$11=0,"",IFERROR(IF(ISNUMBER(INDEX(PASTE_ALL,$DF416,$L$11)),INDEX(PASTE_ALL,$DF416,$L$11),TRIM(SUBSTITUTE(SUBSTITUTE(SUBSTITUTE(SUBSTITUTE(INDEX(PASTE_ALL,$DF416,$L$11)," "," "),CHAR(9)," "),CHAR(10)," "),CHAR(13)," "))),"")))</f>
        <v/>
      </c>
      <c r="DT416">
        <f>IF($DM416=0,"",IF($L$12=0,"",IFERROR(IF(ISNUMBER(INDEX(PASTE_ALL,$DF416,$L$12)),INDEX(PASTE_ALL,$DF416,$L$12),TRIM(SUBSTITUTE(SUBSTITUTE(SUBSTITUTE(SUBSTITUTE(INDEX(PASTE_ALL,$DF416,$L$12)," "," "),CHAR(9)," "),CHAR(10)," "),CHAR(13)," "))),"")))</f>
        <v/>
      </c>
      <c r="DU416">
        <f>IF($DM416=0,"",IF($L$13=0,"",IFERROR(IF(ISNUMBER(INDEX(PASTE_ALL,$DF416,$L$13)),INDEX(PASTE_ALL,$DF416,$L$13),TRIM(SUBSTITUTE(SUBSTITUTE(SUBSTITUTE(SUBSTITUTE(INDEX(PASTE_ALL,$DF416,$L$13)," "," "),CHAR(9)," "),CHAR(10)," "),CHAR(13)," "))),"")))</f>
        <v/>
      </c>
      <c r="DV416">
        <f>IF($DM416=0,"",IF($L$14=0,"",IFERROR(IF(ISNUMBER(INDEX(PASTE_ALL,$DF416,$L$14)),INDEX(PASTE_ALL,$DF416,$L$14),TRIM(SUBSTITUTE(SUBSTITUTE(SUBSTITUTE(SUBSTITUTE(INDEX(PASTE_ALL,$DF416,$L$14)," "," "),CHAR(9)," "),CHAR(10)," "),CHAR(13)," "))),"")))</f>
        <v/>
      </c>
      <c r="DW416">
        <f>IF($DM416=0,"",IF($L$15=0,"",IFERROR(IF(ISNUMBER(INDEX(PASTE_ALL,$DF416,$L$15)),INDEX(PASTE_ALL,$DF416,$L$15),IF(SUMPRODUCT(--ISNUMBER(FIND({"A","B","C","D","E","F","G","H","I","J","K","L","M","N","O","P","Q","R","S","T","U","V","W","X","Y","Z","0","1","2","3","4","5","6","7","8","9"},UPPER(TRIM(SUBSTITUTE(SUBSTITUTE(SUBSTITUTE(SUBSTITUTE(INDEX(PASTE_ALL,$DF416,$L$15)," "," "),CHAR(9)," "),CHAR(10)," "),CHAR(13)," "))))))&gt;0,TRIM(SUBSTITUTE(SUBSTITUTE(SUBSTITUTE(SUBSTITUTE(INDEX(PASTE_ALL,$DF416,$L$15)," "," "),CHAR(9)," "),CHAR(10)," "),CHAR(13)," ")),"")),"")))</f>
        <v/>
      </c>
      <c r="DX416">
        <f>IF($DM416=0,"",IF($L$16=0,"",IFERROR(IF(ISNUMBER(INDEX(PASTE_ALL,$DF416,$L$16)),INDEX(PASTE_ALL,$DF416,$L$16),SUBSTITUTE(SUBSTITUTE(TRIM(SUBSTITUTE(SUBSTITUTE(SUBSTITUTE(SUBSTITUTE(INDEX(PASTE_ALL,$DF416,$L$16)," "," "),CHAR(9)," "),CHAR(10)," "),CHAR(13)," ")),",",""),"%","")),"")))</f>
        <v/>
      </c>
      <c r="DY416">
        <f>IF($DM416=0,"",IFERROR(IF(ISNUMBER($DX416),$DX416,IF($DX416="","",IF(TRIM($DX416)="",0,IF(AND(AND(SUBSTITUTE(SUBSTITUTE(SUBSTITUTE(SUBSTITUTE(SUBSTITUTE(SUBSTITUTE(SUBSTITUTE(SUBSTITUTE(SUBSTITUTE(SUBSTITUTE(SUBSTITUTE(SUBSTITUTE(SUBSTITUTE(SUBSTITUTE(UPPER(TRIM($DX416)),"0",""),"1",""),"2",""),"3",""),"4",""),"5",""),"6",""),"7",""),"8",""),"9",""),".",""),"+",""),"-",""),"E","")="",LEN(SUBSTITUTE(SUBSTITUTE(MID(UPPER(TRIM($DX416)),1+OR(LEFT(UPPER(TRIM($DX416)),1)="+",LEFT(UPPER(TRIM($DX416)),1)="-"),999),"E+","E"),"E-","E"))=LEN(SUBSTITUTE(SUBSTITUTE(SUBSTITUTE(SUBSTITUTE(MID(UPPER(TRIM($DX416)),1+OR(LEFT(UPPER(TRIM($DX416)),1)="+",LEFT(UPPER(TRIM($DX416)),1)="-"),999),"E+","E"),"E-","E"),"+",""),"-","")),LEN(UPPER(TRIM($DX416)))-LEN(SUBSTITUTE(UPPER(TRIM($DX416)),"E",""))&lt;2,LEN(UPPER(TRIM($DX416)))-LEN(SUBSTITUTE(UPPER(TRIM($DX416)),".",""))&lt;2,IFERROR(FIND(".",UPPER(TRIM($DX416))),0)&lt;IFERROR(FIND("E",UPPER(TRIM($DX416))),999)),ISNUMBER(VALUE(TRIM($DX416)))),VALUE(TRIM($DX416)),"")))),""))</f>
        <v/>
      </c>
      <c r="DZ416">
        <f>IF($DM416=0,"",IF($L$17=0,"",IFERROR(IF(ISNUMBER(INDEX(PASTE_ALL,$DF416,$L$17)),INDEX(PASTE_ALL,$DF416,$L$17),SUBSTITUTE(SUBSTITUTE(TRIM(SUBSTITUTE(SUBSTITUTE(SUBSTITUTE(SUBSTITUTE(INDEX(PASTE_ALL,$DF416,$L$17)," "," "),CHAR(9)," "),CHAR(10)," "),CHAR(13)," ")),",",""),"%","")),"")))</f>
        <v/>
      </c>
      <c r="EA416">
        <f>IF($DM416=0,"",IFERROR(IF(ISNUMBER($DZ416),$DZ416,IF($DZ416="","",IF(TRIM($DZ416)="",0,IF(AND(AND(SUBSTITUTE(SUBSTITUTE(SUBSTITUTE(SUBSTITUTE(SUBSTITUTE(SUBSTITUTE(SUBSTITUTE(SUBSTITUTE(SUBSTITUTE(SUBSTITUTE(SUBSTITUTE(SUBSTITUTE(SUBSTITUTE(SUBSTITUTE(UPPER(TRIM($DZ416)),"0",""),"1",""),"2",""),"3",""),"4",""),"5",""),"6",""),"7",""),"8",""),"9",""),".",""),"+",""),"-",""),"E","")="",LEN(SUBSTITUTE(SUBSTITUTE(MID(UPPER(TRIM($DZ416)),1+OR(LEFT(UPPER(TRIM($DZ416)),1)="+",LEFT(UPPER(TRIM($DZ416)),1)="-"),999),"E+","E"),"E-","E"))=LEN(SUBSTITUTE(SUBSTITUTE(SUBSTITUTE(SUBSTITUTE(MID(UPPER(TRIM($DZ416)),1+OR(LEFT(UPPER(TRIM($DZ416)),1)="+",LEFT(UPPER(TRIM($DZ416)),1)="-"),999),"E+","E"),"E-","E"),"+",""),"-","")),LEN(UPPER(TRIM($DZ416)))-LEN(SUBSTITUTE(UPPER(TRIM($DZ416)),"E",""))&lt;2,LEN(UPPER(TRIM($DZ416)))-LEN(SUBSTITUTE(UPPER(TRIM($DZ416)),".",""))&lt;2,IFERROR(FIND(".",UPPER(TRIM($DZ416))),0)&lt;IFERROR(FIND("E",UPPER(TRIM($DZ416))),999)),ISNUMBER(VALUE(TRIM($DZ416)))),VALUE(TRIM($DZ416)),"")))),""))</f>
        <v/>
      </c>
      <c r="EB416">
        <f>IF($DM416=0,"",IF($L$18=0,"",IFERROR(IF(UPPER(TRIM(SUBSTITUTE(SUBSTITUTE(SUBSTITUTE(SUBSTITUTE(INDEX(PASTE_ALL,$DF416,$L$18)," "," "),CHAR(9)," "),CHAR(10)," "),CHAR(13)," ")))="READY","Ready",IF(UPPER(TRIM(SUBSTITUTE(SUBSTITUTE(SUBSTITUTE(SUBSTITUTE(INDEX(PASTE_ALL,$DF416,$L$18)," "," "),CHAR(9)," "),CHAR(10)," "),CHAR(13)," ")))="PM","PM",IF(OR(UPPER(TRIM(SUBSTITUTE(SUBSTITUTE(SUBSTITUTE(SUBSTITUTE(INDEX(PASTE_ALL,$DF416,$L$18)," "," "),CHAR(9)," "),CHAR(10)," "),CHAR(13)," ")))="OT",UPPER(TRIM(SUBSTITUTE(SUBSTITUTE(SUBSTITUTE(SUBSTITUTE(INDEX(PASTE_ALL,$DF416,$L$18)," "," "),CHAR(9)," "),CHAR(10)," "),CHAR(13)," ")))="OVERTIME",UPPER(TRIM(SUBSTITUTE(SUBSTITUTE(SUBSTITUTE(SUBSTITUTE(INDEX(PASTE_ALL,$DF416,$L$18)," "," "),CHAR(9)," "),CHAR(10)," "),CHAR(13)," ")))="TRIAL"),"OT",TRIM(SUBSTITUTE(SUBSTITUTE(SUBSTITUTE(SUBSTITUTE(INDEX(PASTE_ALL,$DF416,$L$18)," "," "),CHAR(9)," "),CHAR(10)," "),CHAR(13)," "))))),"")))</f>
        <v/>
      </c>
      <c r="EC416">
        <f>IF($DM416=0,"",IF($L$19=0,"",IFERROR(IF(ISNUMBER(INDEX(PASTE_ALL,$DF416,$L$19)),INDEX(PASTE_ALL,$DF416,$L$19),TRIM(SUBSTITUTE(SUBSTITUTE(SUBSTITUTE(SUBSTITUTE(INDEX(PASTE_ALL,$DF416,$L$19)," "," "),CHAR(9)," "),CHAR(10)," "),CHAR(13)," "))),"")))</f>
        <v/>
      </c>
      <c r="ED416">
        <f>IF($DM416=0,"",MATCH(1,INDEX(EXACT($DH$5:DH416,$DH416)*$DM$5:DM416,0),0))</f>
        <v/>
      </c>
      <c r="EE416">
        <f>IF($DM416=0,0,IF($ED416=$DE416,1,0))</f>
        <v/>
      </c>
      <c r="EF416">
        <f>EF415+$EE416</f>
        <v/>
      </c>
      <c r="EG416">
        <f>IF($DM416=0,"",INDEX($EF$5:$EF$1003,$ED416))</f>
        <v/>
      </c>
      <c r="EH416">
        <f>IF($DM416=0,"",IF($DO416&lt;&gt;"","",IFERROR(LOOKUP(2,1/(($EG$4:EG415=$EG416)*($DO$4:DO415&lt;&gt;"")),$DO$4:DO415),"")))</f>
        <v/>
      </c>
      <c r="EI416">
        <f>IF($DM416=0,"",IF($DO416&lt;&gt;"",$DO416,$EH416))</f>
        <v/>
      </c>
      <c r="EJ416">
        <f>IF($DM416=0,"",IF($EI416="",0,IF(OR(ISNUMBER($EI416),AND(AND(SUBSTITUTE(SUBSTITUTE(SUBSTITUTE(SUBSTITUTE(SUBSTITUTE(SUBSTITUTE(SUBSTITUTE(SUBSTITUTE(SUBSTITUTE(SUBSTITUTE(SUBSTITUTE(SUBSTITUTE(SUBSTITUTE(SUBSTITUTE(UPPER($EI416),"0",""),"1",""),"2",""),"3",""),"4",""),"5",""),"6",""),"7",""),"8",""),"9",""),".",""),"+",""),"-",""),"E","")="",LEN(SUBSTITUTE(SUBSTITUTE(MID(UPPER($EI416),1+OR(LEFT(UPPER($EI416),1)="+",LEFT(UPPER($EI416),1)="-"),999),"E+","E"),"E-","E"))=LEN(SUBSTITUTE(SUBSTITUTE(SUBSTITUTE(SUBSTITUTE(MID(UPPER($EI416),1+OR(LEFT(UPPER($EI416),1)="+",LEFT(UPPER($EI416),1)="-"),999),"E+","E"),"E-","E"),"+",""),"-","")),LEN(UPPER($EI416))-LEN(SUBSTITUTE(UPPER($EI416),"E",""))&lt;2,LEN(UPPER($EI416))-LEN(SUBSTITUTE(UPPER($EI416),".",""))&lt;2,IFERROR(FIND(".",UPPER($EI416)),0)&lt;IFERROR(FIND("E",UPPER($EI416)),999)),ISNUMBER(VALUE($EI416)))),1,2)))</f>
        <v/>
      </c>
      <c r="EK416">
        <f>IF($DM416=0,"",IF($EJ416=1,IF(ISNUMBER($EI416),$EI416,VALUE($EI416)),IF($EJ416=2,$DE416,0)))</f>
        <v/>
      </c>
      <c r="EL416">
        <f>IF($DM416=0,"",COUNTIF($EG$5:$EG$1003,"&lt;"&amp;$EG416)+SUMPRODUCT(($EG$5:$EG$1003=$EG416)*(($EJ$5:$EJ$1003&lt;$EJ416)+($EJ$5:$EJ$1003=$EJ416)*(($EK$5:$EK$1003&lt;$EK416)+($EK$5:$EK$1003=$EK416)*($DE$5:$DE$1003&lt;$DE416))))+1)</f>
        <v/>
      </c>
      <c r="EM416">
        <f>IF($DM416=0,"",$EL416+$EG416-1)</f>
        <v/>
      </c>
      <c r="EN416">
        <f>IF($DM416=0,0,IFERROR(MATCH(1,INDEX(--(TRIM(SUBSTITUTE(SUBSTITUTE(SUBSTITUTE(SUBSTITUTE(LINES_NAME&amp;""," "," "),CHAR(9)," "),CHAR(10)," "),CHAR(13)," "))=$DH416),0),0),0))</f>
        <v/>
      </c>
      <c r="EO416">
        <f>IF($EN416=0,0,IF(OR(UPPER(TRIM(INDEX(LINES_SCHEDULED,$EN416)&amp;""))="YES",UPPER(TRIM(INDEX(LINES_SCHEDULED,$EN416)&amp;""))="Y",UPPER(TRIM(INDEX(LINES_SCHEDULED,$EN416)&amp;""))="X"),1,0))</f>
        <v/>
      </c>
      <c r="EP416">
        <f>IF($DM416=0,"",IF(COUNTIFS($EG$5:$EG$1003,$EG416,$EB$5:$EB$1003,"Ready")&gt;0,"READY",IF(COUNTIFS($EG$5:$EG$1003,$EG416,$EB$5:$EB$1003,"PM")&gt;0,"PM",IF(COUNTIFS($EG$5:$EG$1003,$EG416,$EB$5:$EB$1003,"OT")&gt;0,"OT",""))))</f>
        <v/>
      </c>
      <c r="EQ416">
        <f>IF($EN416=0,"",UPPER(TRIM(INDEX(LINES_STATUS,$EN416)&amp;"")))</f>
        <v/>
      </c>
      <c r="ER416">
        <f>IF($DM416=0,"",IF(OR($EQ416="READY",$EQ416="PM",$EQ416="OT"),$EQ416,$EP416))</f>
        <v/>
      </c>
      <c r="ES416">
        <f>IF($DM416=0,"",IF(AND($DV416&lt;&gt;"",UPPER($DV416)&lt;&gt;"N"),"allergen",IF(ISNUMBER(SEARCH("oil",$DQ416)),"oil",IF(OR(EXACT($DS416,"A662"),EXACT($DS416,"A624")),"bulk",""))))</f>
        <v/>
      </c>
      <c r="ET416">
        <f>IF($DM416=0,"",IF(OR($EA416="",$EA416=0),"",$EA416/100))</f>
        <v/>
      </c>
      <c r="EU416">
        <f>IF(OR($ET416="",$DY416=""),"",INT($DY416*(1-$ET416)+0.5))</f>
        <v/>
      </c>
      <c r="EW416" t="n">
        <v>412</v>
      </c>
      <c r="EX416">
        <f>IFERROR(MATCH($EW416,$EM$5:$EM$1003,0),0)</f>
        <v/>
      </c>
      <c r="EY416">
        <f>IF($EW416&gt;$B$12,"",IF($EX416&gt;0,"row","spacer"))</f>
        <v/>
      </c>
      <c r="EZ416">
        <f>IF(AND($EY416="row",$EY415&lt;&gt;"row"),1,0)</f>
        <v/>
      </c>
      <c r="FA416">
        <f>IF(AND($EY416="row",$EY417&lt;&gt;"row"),1,0)</f>
        <v/>
      </c>
      <c r="FB416">
        <f>IF($EZ416=1,IFERROR(IF(ISNUMBER(INDEX(PASTE_ALL,INDEX($DF$5:$DF$1003,$EX416),$B$37)),INDEX(PASTE_ALL,INDEX($DF$5:$DF$1003,$EX416),$B$37),INDEX($DH$5:$DH$1003,$EX416)),INDEX($DH$5:$DH$1003,$EX416)),"")</f>
        <v/>
      </c>
      <c r="FC416">
        <f>IF($EY416="row",INDEX($ER$5:$ER$1003,$EX416),"")</f>
        <v/>
      </c>
      <c r="FD416">
        <f>IF($EY416="row",INDEX($DN$5:$DN$1003,$EX416),"")</f>
        <v/>
      </c>
      <c r="FE416">
        <f>IF($EY416="row",INDEX($DO$5:$DO$1003,$EX416),"")</f>
        <v/>
      </c>
      <c r="FF416">
        <f>IF($EY416="row",INDEX($DP$5:$DP$1003,$EX416),"")</f>
        <v/>
      </c>
      <c r="FG416">
        <f>IF($EY416="row",INDEX($DQ$5:$DQ$1003,$EX416),"")</f>
        <v/>
      </c>
      <c r="FH416">
        <f>IF($EY416="row",INDEX($DR$5:$DR$1003,$EX416),"")</f>
        <v/>
      </c>
      <c r="FI416">
        <f>IF($EY416="row",INDEX($DS$5:$DS$1003,$EX416),"")</f>
        <v/>
      </c>
      <c r="FJ416">
        <f>IF($EY416="row",INDEX($DT$5:$DT$1003,$EX416),"")</f>
        <v/>
      </c>
      <c r="FK416">
        <f>IF($EY416="row",INDEX($DU$5:$DU$1003,$EX416),"")</f>
        <v/>
      </c>
      <c r="FL416">
        <f>IF($EY416="row",INDEX($DV$5:$DV$1003,$EX416),"")</f>
        <v/>
      </c>
      <c r="FM416">
        <f>IF($EY416="row",INDEX($DW$5:$DW$1003,$EX416),"")</f>
        <v/>
      </c>
      <c r="FN416">
        <f>IF($EY416="row",INDEX($DY$5:$DY$1003,$EX416),"")</f>
        <v/>
      </c>
      <c r="FO416">
        <f>IF($EY416="row",INDEX($EA$5:$EA$1003,$EX416),"")</f>
        <v/>
      </c>
      <c r="FP416">
        <f>IF($EY416="row",INDEX($EC$5:$EC$1003,$EX416),"")</f>
        <v/>
      </c>
      <c r="FQ416">
        <f>IF($EY416="row",INDEX($ET$5:$ET$1003,$EX416),"")</f>
        <v/>
      </c>
      <c r="FR416">
        <f>IF($EY416="row",INDEX($EU$5:$EU$1003,$EX416),"")</f>
        <v/>
      </c>
      <c r="FS416">
        <f>IF(AND($EY416="row",$EY415="row"),IF(OR(INDEX($DT$5:$DT$1003,$EX415)="",INDEX($DT$5:$DT$1003,$EX416)=""),"",IF(NOT(EXACT(INDEX($DT$5:$DT$1003,$EX415),INDEX($DT$5:$DT$1003,$EX416))),"S4",IF(NOT(EXACT(INDEX($DS$5:$DS$1003,$EX415),INDEX($DS$5:$DS$1003,$EX416))),"S3",IF(NOT(EXACT(INDEX($DR$5:$DR$1003,$EX415),INDEX($DR$5:$DR$1003,$EX416))),"S1 Count Change","S1")))),"")</f>
        <v/>
      </c>
      <c r="FT416">
        <f>IF($EY416="row",INDEX($ES$5:$ES$1003,$EX416),"")</f>
        <v/>
      </c>
      <c r="FU416">
        <f>IF($EY416="row",INDEX($EO$5:$EO$1003,$EX416),0)</f>
        <v/>
      </c>
      <c r="FV416">
        <f>IF($FS416="S1 Count Change",1,0)</f>
        <v/>
      </c>
    </row>
    <row r="417">
      <c r="DA417" t="n">
        <v>413</v>
      </c>
      <c r="DB417">
        <f>IF($B$37=0,"",IFERROR(TRIM(SUBSTITUTE(SUBSTITUTE(SUBSTITUTE(SUBSTITUTE(INDEX(PASTE_ALL,413,$B$37)," "," "),CHAR(9)," "),CHAR(10)," "),CHAR(13)," ")),""))</f>
        <v/>
      </c>
      <c r="DC417">
        <f>IF(AND(413&gt;HEADER_ROW,UPPER(DB417)="LEGEND"),1,0)</f>
        <v/>
      </c>
      <c r="DE417" t="n">
        <v>413</v>
      </c>
      <c r="DF417">
        <f>HEADER_ROW+$DE417</f>
        <v/>
      </c>
      <c r="DG417">
        <f>IF(AND($DF417&lt;=1000,$DF417&lt;$B$8),1,0)</f>
        <v/>
      </c>
      <c r="DH417">
        <f>IF($DG417=1,IFERROR(INDEX($DB$5:$DB$1004,$DF417),""),"")</f>
        <v/>
      </c>
      <c r="DI417">
        <f>IF(AND($DG417=1,$DH417&lt;&gt;""),IFERROR(SUBSTITUTE(SUBSTITUTE(TRIM(SUBSTITUTE(SUBSTITUTE(SUBSTITUTE(SUBSTITUTE(IFERROR(INDEX(PASTE_ALL,$DF417,1)&amp;"","")&amp;"␟"&amp;IFERROR(INDEX(PASTE_ALL,$DF417,2)&amp;"","")&amp;"␟"&amp;IFERROR(INDEX(PASTE_ALL,$DF417,3)&amp;"","")&amp;"␟"&amp;IFERROR(INDEX(PASTE_ALL,$DF417,4)&amp;"","")&amp;"␟"&amp;IFERROR(INDEX(PASTE_ALL,$DF417,5)&amp;"","")&amp;"␟"&amp;IFERROR(INDEX(PASTE_ALL,$DF417,6)&amp;"","")&amp;"␟"&amp;IFERROR(INDEX(PASTE_ALL,$DF417,7)&amp;"","")&amp;"␟"&amp;IFERROR(INDEX(PASTE_ALL,$DF417,8)&amp;"","")&amp;"␟"&amp;IFERROR(INDEX(PASTE_ALL,$DF417,9)&amp;"","")&amp;"␟"&amp;IFERROR(INDEX(PASTE_ALL,$DF417,10)&amp;"","")&amp;"␟"&amp;IFERROR(INDEX(PASTE_ALL,$DF417,11)&amp;"","")&amp;"␟"&amp;IFERROR(INDEX(PASTE_ALL,$DF417,12)&amp;"","")&amp;"␟"&amp;IFERROR(INDEX(PASTE_ALL,$DF417,13)&amp;"","")&amp;"␟"&amp;IFERROR(INDEX(PASTE_ALL,$DF417,14)&amp;"","")&amp;"␟"&amp;IFERROR(INDEX(PASTE_ALL,$DF417,15)&amp;"","")&amp;"␟"&amp;IFERROR(INDEX(PASTE_ALL,$DF417,16)&amp;"","")&amp;"␟"&amp;IFERROR(INDEX(PASTE_ALL,$DF417,17)&amp;"","")&amp;"␟"&amp;IFERROR(INDEX(PASTE_ALL,$DF417,18)&amp;"","")&amp;"␟"&amp;IFERROR(INDEX(PASTE_ALL,$DF417,19)&amp;"","")&amp;"␟"&amp;IFERROR(INDEX(PASTE_ALL,$DF417,20)&amp;"","")&amp;"␟"&amp;IFERROR(INDEX(PASTE_ALL,$DF417,21)&amp;"","")&amp;"␟"&amp;IFERROR(INDEX(PASTE_ALL,$DF417,22)&amp;"","")&amp;"␟"&amp;IFERROR(INDEX(PASTE_ALL,$DF417,23)&amp;"","")&amp;"␟"&amp;IFERROR(INDEX(PASTE_ALL,$DF417,24)&amp;"","")&amp;"␟"&amp;IFERROR(INDEX(PASTE_ALL,$DF417,25)&amp;"","")&amp;"␟"&amp;IFERROR(INDEX(PASTE_ALL,$DF417,26)&amp;"","")&amp;"␟"&amp;IFERROR(INDEX(PASTE_ALL,$DF417,27)&amp;"","")&amp;"␟"&amp;IFERROR(INDEX(PASTE_ALL,$DF417,28)&amp;"","")&amp;"␟"&amp;IFERROR(INDEX(PASTE_ALL,$DF417,29)&amp;"","")&amp;"␟"&amp;IFERROR(INDEX(PASTE_ALL,$DF417,30)&amp;"","")&amp;"␟"&amp;IFERROR(INDEX(PASTE_ALL,$DF417,31)&amp;"","")&amp;"␟"&amp;IFERROR(INDEX(PASTE_ALL,$DF417,32)&amp;"","")&amp;"␟"&amp;IFERROR(INDEX(PASTE_ALL,$DF417,33)&amp;"","")&amp;"␟"&amp;IFERROR(INDEX(PASTE_ALL,$DF417,34)&amp;"","")&amp;"␟"&amp;IFERROR(INDEX(PASTE_ALL,$DF417,35)&amp;"","")&amp;"␟"&amp;IFERROR(INDEX(PASTE_ALL,$DF417,36)&amp;"","")&amp;"␟"&amp;IFERROR(INDEX(PASTE_ALL,$DF417,37)&amp;"","")&amp;"␟"&amp;IFERROR(INDEX(PASTE_ALL,$DF417,38)&amp;"","")&amp;"␟"&amp;IFERROR(INDEX(PASTE_ALL,$DF417,39)&amp;"","")&amp;"␟"&amp;IFERROR(INDEX(PASTE_ALL,$DF417,40)&amp;"","")&amp;"␟"&amp;IFERROR(INDEX(PASTE_ALL,$DF417,41)&amp;"","")&amp;"␟"&amp;IFERROR(INDEX(PASTE_ALL,$DF417,42)&amp;"","")&amp;"␟"&amp;IFERROR(INDEX(PASTE_ALL,$DF417,43)&amp;"","")&amp;"␟"&amp;IFERROR(INDEX(PASTE_ALL,$DF417,44)&amp;"","")&amp;"␟"&amp;IFERROR(INDEX(PASTE_ALL,$DF417,45)&amp;"","")&amp;"␟"&amp;IFERROR(INDEX(PASTE_ALL,$DF417,46)&amp;"","")&amp;"␟"&amp;IFERROR(INDEX(PASTE_ALL,$DF417,47)&amp;"","")&amp;"␟"&amp;IFERROR(INDEX(PASTE_ALL,$DF417,48)&amp;"","")&amp;"␟"&amp;IFERROR(INDEX(PASTE_ALL,$DF417,49)&amp;"","")&amp;"␟"&amp;IFERROR(INDEX(PASTE_ALL,$DF417,50)&amp;"","")&amp;"␟"&amp;IFERROR(INDEX(PASTE_ALL,$DF417,51)&amp;"","")&amp;"␟"&amp;IFERROR(INDEX(PASTE_ALL,$DF417,52)&amp;"","")&amp;"␟"&amp;IFERROR(INDEX(PASTE_ALL,$DF417,53)&amp;"","")&amp;"␟"&amp;IFERROR(INDEX(PASTE_ALL,$DF417,54)&amp;"","")&amp;"␟"&amp;IFERROR(INDEX(PASTE_ALL,$DF417,55)&amp;"","")&amp;"␟"&amp;IFERROR(INDEX(PASTE_ALL,$DF417,56)&amp;"","")&amp;"␟"&amp;IFERROR(INDEX(PASTE_ALL,$DF417,57)&amp;"","")&amp;"␟"&amp;IFERROR(INDEX(PASTE_ALL,$DF417,58)&amp;"","")&amp;"␟"&amp;IFERROR(INDEX(PASTE_ALL,$DF417,59)&amp;"","")&amp;"␟"&amp;IFERROR(INDEX(PASTE_ALL,$DF417,60)&amp;"","")," "," "),CHAR(9)," "),CHAR(10)," "),CHAR(13)," "))," ␟","␟"),"␟ ","␟"),"#"&amp;$DE417),"")</f>
        <v/>
      </c>
      <c r="DJ417">
        <f>IF($DI417="",0,IF(SUMPRODUCT(--EXACT($DI$4:DI416,$DI417))&gt;0,1,0))</f>
        <v/>
      </c>
      <c r="DK417">
        <f>IF(AND($DI417&lt;&gt;"",$DJ417=0),1,0)</f>
        <v/>
      </c>
      <c r="DL417">
        <f>DL416+$DK417</f>
        <v/>
      </c>
      <c r="DM417">
        <f>IF(AND($DK417=1,$DL417&lt;=600),1,0)</f>
        <v/>
      </c>
      <c r="DN417">
        <f>IF($DM417=0,"",IF($L$6=0,"",IFERROR(IF(ISNUMBER(INDEX(PASTE_ALL,$DF417,$L$6)),INDEX(PASTE_ALL,$DF417,$L$6),TRIM(SUBSTITUTE(SUBSTITUTE(SUBSTITUTE(SUBSTITUTE(INDEX(PASTE_ALL,$DF417,$L$6)," "," "),CHAR(9)," "),CHAR(10)," "),CHAR(13)," "))),"")))</f>
        <v/>
      </c>
      <c r="DO417">
        <f>IF($DM417=0,"",IF($L$7=0,"",IFERROR(IF(ISNUMBER(INDEX(PASTE_ALL,$DF417,$L$7)),INDEX(PASTE_ALL,$DF417,$L$7),TRIM(SUBSTITUTE(SUBSTITUTE(SUBSTITUTE(SUBSTITUTE(INDEX(PASTE_ALL,$DF417,$L$7)," "," "),CHAR(9)," "),CHAR(10)," "),CHAR(13)," "))),"")))</f>
        <v/>
      </c>
      <c r="DP417">
        <f>IF($DM417=0,"",IF($L$8=0,"",IFERROR(IF(ISNUMBER(INDEX(PASTE_ALL,$DF417,$L$8)),INDEX(PASTE_ALL,$DF417,$L$8),TRIM(SUBSTITUTE(SUBSTITUTE(SUBSTITUTE(SUBSTITUTE(INDEX(PASTE_ALL,$DF417,$L$8)," "," "),CHAR(9)," "),CHAR(10)," "),CHAR(13)," "))),"")))</f>
        <v/>
      </c>
      <c r="DQ417">
        <f>IF($DM417=0,"",IF($L$9=0,"",IFERROR(IF(ISNUMBER(INDEX(PASTE_ALL,$DF417,$L$9)),INDEX(PASTE_ALL,$DF417,$L$9),TRIM(SUBSTITUTE(SUBSTITUTE(SUBSTITUTE(SUBSTITUTE(INDEX(PASTE_ALL,$DF417,$L$9)," "," "),CHAR(9)," "),CHAR(10)," "),CHAR(13)," "))),"")))</f>
        <v/>
      </c>
      <c r="DR417">
        <f>IF($DM417=0,"",IF($L$10=0,"",IFERROR(IF(ISNUMBER(INDEX(PASTE_ALL,$DF417,$L$10)),INDEX(PASTE_ALL,$DF417,$L$10),TRIM(SUBSTITUTE(SUBSTITUTE(SUBSTITUTE(SUBSTITUTE(INDEX(PASTE_ALL,$DF417,$L$10)," "," "),CHAR(9)," "),CHAR(10)," "),CHAR(13)," "))),"")))</f>
        <v/>
      </c>
      <c r="DS417">
        <f>IF($DM417=0,"",IF($L$11=0,"",IFERROR(IF(ISNUMBER(INDEX(PASTE_ALL,$DF417,$L$11)),INDEX(PASTE_ALL,$DF417,$L$11),TRIM(SUBSTITUTE(SUBSTITUTE(SUBSTITUTE(SUBSTITUTE(INDEX(PASTE_ALL,$DF417,$L$11)," "," "),CHAR(9)," "),CHAR(10)," "),CHAR(13)," "))),"")))</f>
        <v/>
      </c>
      <c r="DT417">
        <f>IF($DM417=0,"",IF($L$12=0,"",IFERROR(IF(ISNUMBER(INDEX(PASTE_ALL,$DF417,$L$12)),INDEX(PASTE_ALL,$DF417,$L$12),TRIM(SUBSTITUTE(SUBSTITUTE(SUBSTITUTE(SUBSTITUTE(INDEX(PASTE_ALL,$DF417,$L$12)," "," "),CHAR(9)," "),CHAR(10)," "),CHAR(13)," "))),"")))</f>
        <v/>
      </c>
      <c r="DU417">
        <f>IF($DM417=0,"",IF($L$13=0,"",IFERROR(IF(ISNUMBER(INDEX(PASTE_ALL,$DF417,$L$13)),INDEX(PASTE_ALL,$DF417,$L$13),TRIM(SUBSTITUTE(SUBSTITUTE(SUBSTITUTE(SUBSTITUTE(INDEX(PASTE_ALL,$DF417,$L$13)," "," "),CHAR(9)," "),CHAR(10)," "),CHAR(13)," "))),"")))</f>
        <v/>
      </c>
      <c r="DV417">
        <f>IF($DM417=0,"",IF($L$14=0,"",IFERROR(IF(ISNUMBER(INDEX(PASTE_ALL,$DF417,$L$14)),INDEX(PASTE_ALL,$DF417,$L$14),TRIM(SUBSTITUTE(SUBSTITUTE(SUBSTITUTE(SUBSTITUTE(INDEX(PASTE_ALL,$DF417,$L$14)," "," "),CHAR(9)," "),CHAR(10)," "),CHAR(13)," "))),"")))</f>
        <v/>
      </c>
      <c r="DW417">
        <f>IF($DM417=0,"",IF($L$15=0,"",IFERROR(IF(ISNUMBER(INDEX(PASTE_ALL,$DF417,$L$15)),INDEX(PASTE_ALL,$DF417,$L$15),IF(SUMPRODUCT(--ISNUMBER(FIND({"A","B","C","D","E","F","G","H","I","J","K","L","M","N","O","P","Q","R","S","T","U","V","W","X","Y","Z","0","1","2","3","4","5","6","7","8","9"},UPPER(TRIM(SUBSTITUTE(SUBSTITUTE(SUBSTITUTE(SUBSTITUTE(INDEX(PASTE_ALL,$DF417,$L$15)," "," "),CHAR(9)," "),CHAR(10)," "),CHAR(13)," "))))))&gt;0,TRIM(SUBSTITUTE(SUBSTITUTE(SUBSTITUTE(SUBSTITUTE(INDEX(PASTE_ALL,$DF417,$L$15)," "," "),CHAR(9)," "),CHAR(10)," "),CHAR(13)," ")),"")),"")))</f>
        <v/>
      </c>
      <c r="DX417">
        <f>IF($DM417=0,"",IF($L$16=0,"",IFERROR(IF(ISNUMBER(INDEX(PASTE_ALL,$DF417,$L$16)),INDEX(PASTE_ALL,$DF417,$L$16),SUBSTITUTE(SUBSTITUTE(TRIM(SUBSTITUTE(SUBSTITUTE(SUBSTITUTE(SUBSTITUTE(INDEX(PASTE_ALL,$DF417,$L$16)," "," "),CHAR(9)," "),CHAR(10)," "),CHAR(13)," ")),",",""),"%","")),"")))</f>
        <v/>
      </c>
      <c r="DY417">
        <f>IF($DM417=0,"",IFERROR(IF(ISNUMBER($DX417),$DX417,IF($DX417="","",IF(TRIM($DX417)="",0,IF(AND(AND(SUBSTITUTE(SUBSTITUTE(SUBSTITUTE(SUBSTITUTE(SUBSTITUTE(SUBSTITUTE(SUBSTITUTE(SUBSTITUTE(SUBSTITUTE(SUBSTITUTE(SUBSTITUTE(SUBSTITUTE(SUBSTITUTE(SUBSTITUTE(UPPER(TRIM($DX417)),"0",""),"1",""),"2",""),"3",""),"4",""),"5",""),"6",""),"7",""),"8",""),"9",""),".",""),"+",""),"-",""),"E","")="",LEN(SUBSTITUTE(SUBSTITUTE(MID(UPPER(TRIM($DX417)),1+OR(LEFT(UPPER(TRIM($DX417)),1)="+",LEFT(UPPER(TRIM($DX417)),1)="-"),999),"E+","E"),"E-","E"))=LEN(SUBSTITUTE(SUBSTITUTE(SUBSTITUTE(SUBSTITUTE(MID(UPPER(TRIM($DX417)),1+OR(LEFT(UPPER(TRIM($DX417)),1)="+",LEFT(UPPER(TRIM($DX417)),1)="-"),999),"E+","E"),"E-","E"),"+",""),"-","")),LEN(UPPER(TRIM($DX417)))-LEN(SUBSTITUTE(UPPER(TRIM($DX417)),"E",""))&lt;2,LEN(UPPER(TRIM($DX417)))-LEN(SUBSTITUTE(UPPER(TRIM($DX417)),".",""))&lt;2,IFERROR(FIND(".",UPPER(TRIM($DX417))),0)&lt;IFERROR(FIND("E",UPPER(TRIM($DX417))),999)),ISNUMBER(VALUE(TRIM($DX417)))),VALUE(TRIM($DX417)),"")))),""))</f>
        <v/>
      </c>
      <c r="DZ417">
        <f>IF($DM417=0,"",IF($L$17=0,"",IFERROR(IF(ISNUMBER(INDEX(PASTE_ALL,$DF417,$L$17)),INDEX(PASTE_ALL,$DF417,$L$17),SUBSTITUTE(SUBSTITUTE(TRIM(SUBSTITUTE(SUBSTITUTE(SUBSTITUTE(SUBSTITUTE(INDEX(PASTE_ALL,$DF417,$L$17)," "," "),CHAR(9)," "),CHAR(10)," "),CHAR(13)," ")),",",""),"%","")),"")))</f>
        <v/>
      </c>
      <c r="EA417">
        <f>IF($DM417=0,"",IFERROR(IF(ISNUMBER($DZ417),$DZ417,IF($DZ417="","",IF(TRIM($DZ417)="",0,IF(AND(AND(SUBSTITUTE(SUBSTITUTE(SUBSTITUTE(SUBSTITUTE(SUBSTITUTE(SUBSTITUTE(SUBSTITUTE(SUBSTITUTE(SUBSTITUTE(SUBSTITUTE(SUBSTITUTE(SUBSTITUTE(SUBSTITUTE(SUBSTITUTE(UPPER(TRIM($DZ417)),"0",""),"1",""),"2",""),"3",""),"4",""),"5",""),"6",""),"7",""),"8",""),"9",""),".",""),"+",""),"-",""),"E","")="",LEN(SUBSTITUTE(SUBSTITUTE(MID(UPPER(TRIM($DZ417)),1+OR(LEFT(UPPER(TRIM($DZ417)),1)="+",LEFT(UPPER(TRIM($DZ417)),1)="-"),999),"E+","E"),"E-","E"))=LEN(SUBSTITUTE(SUBSTITUTE(SUBSTITUTE(SUBSTITUTE(MID(UPPER(TRIM($DZ417)),1+OR(LEFT(UPPER(TRIM($DZ417)),1)="+",LEFT(UPPER(TRIM($DZ417)),1)="-"),999),"E+","E"),"E-","E"),"+",""),"-","")),LEN(UPPER(TRIM($DZ417)))-LEN(SUBSTITUTE(UPPER(TRIM($DZ417)),"E",""))&lt;2,LEN(UPPER(TRIM($DZ417)))-LEN(SUBSTITUTE(UPPER(TRIM($DZ417)),".",""))&lt;2,IFERROR(FIND(".",UPPER(TRIM($DZ417))),0)&lt;IFERROR(FIND("E",UPPER(TRIM($DZ417))),999)),ISNUMBER(VALUE(TRIM($DZ417)))),VALUE(TRIM($DZ417)),"")))),""))</f>
        <v/>
      </c>
      <c r="EB417">
        <f>IF($DM417=0,"",IF($L$18=0,"",IFERROR(IF(UPPER(TRIM(SUBSTITUTE(SUBSTITUTE(SUBSTITUTE(SUBSTITUTE(INDEX(PASTE_ALL,$DF417,$L$18)," "," "),CHAR(9)," "),CHAR(10)," "),CHAR(13)," ")))="READY","Ready",IF(UPPER(TRIM(SUBSTITUTE(SUBSTITUTE(SUBSTITUTE(SUBSTITUTE(INDEX(PASTE_ALL,$DF417,$L$18)," "," "),CHAR(9)," "),CHAR(10)," "),CHAR(13)," ")))="PM","PM",IF(OR(UPPER(TRIM(SUBSTITUTE(SUBSTITUTE(SUBSTITUTE(SUBSTITUTE(INDEX(PASTE_ALL,$DF417,$L$18)," "," "),CHAR(9)," "),CHAR(10)," "),CHAR(13)," ")))="OT",UPPER(TRIM(SUBSTITUTE(SUBSTITUTE(SUBSTITUTE(SUBSTITUTE(INDEX(PASTE_ALL,$DF417,$L$18)," "," "),CHAR(9)," "),CHAR(10)," "),CHAR(13)," ")))="OVERTIME",UPPER(TRIM(SUBSTITUTE(SUBSTITUTE(SUBSTITUTE(SUBSTITUTE(INDEX(PASTE_ALL,$DF417,$L$18)," "," "),CHAR(9)," "),CHAR(10)," "),CHAR(13)," ")))="TRIAL"),"OT",TRIM(SUBSTITUTE(SUBSTITUTE(SUBSTITUTE(SUBSTITUTE(INDEX(PASTE_ALL,$DF417,$L$18)," "," "),CHAR(9)," "),CHAR(10)," "),CHAR(13)," "))))),"")))</f>
        <v/>
      </c>
      <c r="EC417">
        <f>IF($DM417=0,"",IF($L$19=0,"",IFERROR(IF(ISNUMBER(INDEX(PASTE_ALL,$DF417,$L$19)),INDEX(PASTE_ALL,$DF417,$L$19),TRIM(SUBSTITUTE(SUBSTITUTE(SUBSTITUTE(SUBSTITUTE(INDEX(PASTE_ALL,$DF417,$L$19)," "," "),CHAR(9)," "),CHAR(10)," "),CHAR(13)," "))),"")))</f>
        <v/>
      </c>
      <c r="ED417">
        <f>IF($DM417=0,"",MATCH(1,INDEX(EXACT($DH$5:DH417,$DH417)*$DM$5:DM417,0),0))</f>
        <v/>
      </c>
      <c r="EE417">
        <f>IF($DM417=0,0,IF($ED417=$DE417,1,0))</f>
        <v/>
      </c>
      <c r="EF417">
        <f>EF416+$EE417</f>
        <v/>
      </c>
      <c r="EG417">
        <f>IF($DM417=0,"",INDEX($EF$5:$EF$1003,$ED417))</f>
        <v/>
      </c>
      <c r="EH417">
        <f>IF($DM417=0,"",IF($DO417&lt;&gt;"","",IFERROR(LOOKUP(2,1/(($EG$4:EG416=$EG417)*($DO$4:DO416&lt;&gt;"")),$DO$4:DO416),"")))</f>
        <v/>
      </c>
      <c r="EI417">
        <f>IF($DM417=0,"",IF($DO417&lt;&gt;"",$DO417,$EH417))</f>
        <v/>
      </c>
      <c r="EJ417">
        <f>IF($DM417=0,"",IF($EI417="",0,IF(OR(ISNUMBER($EI417),AND(AND(SUBSTITUTE(SUBSTITUTE(SUBSTITUTE(SUBSTITUTE(SUBSTITUTE(SUBSTITUTE(SUBSTITUTE(SUBSTITUTE(SUBSTITUTE(SUBSTITUTE(SUBSTITUTE(SUBSTITUTE(SUBSTITUTE(SUBSTITUTE(UPPER($EI417),"0",""),"1",""),"2",""),"3",""),"4",""),"5",""),"6",""),"7",""),"8",""),"9",""),".",""),"+",""),"-",""),"E","")="",LEN(SUBSTITUTE(SUBSTITUTE(MID(UPPER($EI417),1+OR(LEFT(UPPER($EI417),1)="+",LEFT(UPPER($EI417),1)="-"),999),"E+","E"),"E-","E"))=LEN(SUBSTITUTE(SUBSTITUTE(SUBSTITUTE(SUBSTITUTE(MID(UPPER($EI417),1+OR(LEFT(UPPER($EI417),1)="+",LEFT(UPPER($EI417),1)="-"),999),"E+","E"),"E-","E"),"+",""),"-","")),LEN(UPPER($EI417))-LEN(SUBSTITUTE(UPPER($EI417),"E",""))&lt;2,LEN(UPPER($EI417))-LEN(SUBSTITUTE(UPPER($EI417),".",""))&lt;2,IFERROR(FIND(".",UPPER($EI417)),0)&lt;IFERROR(FIND("E",UPPER($EI417)),999)),ISNUMBER(VALUE($EI417)))),1,2)))</f>
        <v/>
      </c>
      <c r="EK417">
        <f>IF($DM417=0,"",IF($EJ417=1,IF(ISNUMBER($EI417),$EI417,VALUE($EI417)),IF($EJ417=2,$DE417,0)))</f>
        <v/>
      </c>
      <c r="EL417">
        <f>IF($DM417=0,"",COUNTIF($EG$5:$EG$1003,"&lt;"&amp;$EG417)+SUMPRODUCT(($EG$5:$EG$1003=$EG417)*(($EJ$5:$EJ$1003&lt;$EJ417)+($EJ$5:$EJ$1003=$EJ417)*(($EK$5:$EK$1003&lt;$EK417)+($EK$5:$EK$1003=$EK417)*($DE$5:$DE$1003&lt;$DE417))))+1)</f>
        <v/>
      </c>
      <c r="EM417">
        <f>IF($DM417=0,"",$EL417+$EG417-1)</f>
        <v/>
      </c>
      <c r="EN417">
        <f>IF($DM417=0,0,IFERROR(MATCH(1,INDEX(--(TRIM(SUBSTITUTE(SUBSTITUTE(SUBSTITUTE(SUBSTITUTE(LINES_NAME&amp;""," "," "),CHAR(9)," "),CHAR(10)," "),CHAR(13)," "))=$DH417),0),0),0))</f>
        <v/>
      </c>
      <c r="EO417">
        <f>IF($EN417=0,0,IF(OR(UPPER(TRIM(INDEX(LINES_SCHEDULED,$EN417)&amp;""))="YES",UPPER(TRIM(INDEX(LINES_SCHEDULED,$EN417)&amp;""))="Y",UPPER(TRIM(INDEX(LINES_SCHEDULED,$EN417)&amp;""))="X"),1,0))</f>
        <v/>
      </c>
      <c r="EP417">
        <f>IF($DM417=0,"",IF(COUNTIFS($EG$5:$EG$1003,$EG417,$EB$5:$EB$1003,"Ready")&gt;0,"READY",IF(COUNTIFS($EG$5:$EG$1003,$EG417,$EB$5:$EB$1003,"PM")&gt;0,"PM",IF(COUNTIFS($EG$5:$EG$1003,$EG417,$EB$5:$EB$1003,"OT")&gt;0,"OT",""))))</f>
        <v/>
      </c>
      <c r="EQ417">
        <f>IF($EN417=0,"",UPPER(TRIM(INDEX(LINES_STATUS,$EN417)&amp;"")))</f>
        <v/>
      </c>
      <c r="ER417">
        <f>IF($DM417=0,"",IF(OR($EQ417="READY",$EQ417="PM",$EQ417="OT"),$EQ417,$EP417))</f>
        <v/>
      </c>
      <c r="ES417">
        <f>IF($DM417=0,"",IF(AND($DV417&lt;&gt;"",UPPER($DV417)&lt;&gt;"N"),"allergen",IF(ISNUMBER(SEARCH("oil",$DQ417)),"oil",IF(OR(EXACT($DS417,"A662"),EXACT($DS417,"A624")),"bulk",""))))</f>
        <v/>
      </c>
      <c r="ET417">
        <f>IF($DM417=0,"",IF(OR($EA417="",$EA417=0),"",$EA417/100))</f>
        <v/>
      </c>
      <c r="EU417">
        <f>IF(OR($ET417="",$DY417=""),"",INT($DY417*(1-$ET417)+0.5))</f>
        <v/>
      </c>
      <c r="EW417" t="n">
        <v>413</v>
      </c>
      <c r="EX417">
        <f>IFERROR(MATCH($EW417,$EM$5:$EM$1003,0),0)</f>
        <v/>
      </c>
      <c r="EY417">
        <f>IF($EW417&gt;$B$12,"",IF($EX417&gt;0,"row","spacer"))</f>
        <v/>
      </c>
      <c r="EZ417">
        <f>IF(AND($EY417="row",$EY416&lt;&gt;"row"),1,0)</f>
        <v/>
      </c>
      <c r="FA417">
        <f>IF(AND($EY417="row",$EY418&lt;&gt;"row"),1,0)</f>
        <v/>
      </c>
      <c r="FB417">
        <f>IF($EZ417=1,IFERROR(IF(ISNUMBER(INDEX(PASTE_ALL,INDEX($DF$5:$DF$1003,$EX417),$B$37)),INDEX(PASTE_ALL,INDEX($DF$5:$DF$1003,$EX417),$B$37),INDEX($DH$5:$DH$1003,$EX417)),INDEX($DH$5:$DH$1003,$EX417)),"")</f>
        <v/>
      </c>
      <c r="FC417">
        <f>IF($EY417="row",INDEX($ER$5:$ER$1003,$EX417),"")</f>
        <v/>
      </c>
      <c r="FD417">
        <f>IF($EY417="row",INDEX($DN$5:$DN$1003,$EX417),"")</f>
        <v/>
      </c>
      <c r="FE417">
        <f>IF($EY417="row",INDEX($DO$5:$DO$1003,$EX417),"")</f>
        <v/>
      </c>
      <c r="FF417">
        <f>IF($EY417="row",INDEX($DP$5:$DP$1003,$EX417),"")</f>
        <v/>
      </c>
      <c r="FG417">
        <f>IF($EY417="row",INDEX($DQ$5:$DQ$1003,$EX417),"")</f>
        <v/>
      </c>
      <c r="FH417">
        <f>IF($EY417="row",INDEX($DR$5:$DR$1003,$EX417),"")</f>
        <v/>
      </c>
      <c r="FI417">
        <f>IF($EY417="row",INDEX($DS$5:$DS$1003,$EX417),"")</f>
        <v/>
      </c>
      <c r="FJ417">
        <f>IF($EY417="row",INDEX($DT$5:$DT$1003,$EX417),"")</f>
        <v/>
      </c>
      <c r="FK417">
        <f>IF($EY417="row",INDEX($DU$5:$DU$1003,$EX417),"")</f>
        <v/>
      </c>
      <c r="FL417">
        <f>IF($EY417="row",INDEX($DV$5:$DV$1003,$EX417),"")</f>
        <v/>
      </c>
      <c r="FM417">
        <f>IF($EY417="row",INDEX($DW$5:$DW$1003,$EX417),"")</f>
        <v/>
      </c>
      <c r="FN417">
        <f>IF($EY417="row",INDEX($DY$5:$DY$1003,$EX417),"")</f>
        <v/>
      </c>
      <c r="FO417">
        <f>IF($EY417="row",INDEX($EA$5:$EA$1003,$EX417),"")</f>
        <v/>
      </c>
      <c r="FP417">
        <f>IF($EY417="row",INDEX($EC$5:$EC$1003,$EX417),"")</f>
        <v/>
      </c>
      <c r="FQ417">
        <f>IF($EY417="row",INDEX($ET$5:$ET$1003,$EX417),"")</f>
        <v/>
      </c>
      <c r="FR417">
        <f>IF($EY417="row",INDEX($EU$5:$EU$1003,$EX417),"")</f>
        <v/>
      </c>
      <c r="FS417">
        <f>IF(AND($EY417="row",$EY416="row"),IF(OR(INDEX($DT$5:$DT$1003,$EX416)="",INDEX($DT$5:$DT$1003,$EX417)=""),"",IF(NOT(EXACT(INDEX($DT$5:$DT$1003,$EX416),INDEX($DT$5:$DT$1003,$EX417))),"S4",IF(NOT(EXACT(INDEX($DS$5:$DS$1003,$EX416),INDEX($DS$5:$DS$1003,$EX417))),"S3",IF(NOT(EXACT(INDEX($DR$5:$DR$1003,$EX416),INDEX($DR$5:$DR$1003,$EX417))),"S1 Count Change","S1")))),"")</f>
        <v/>
      </c>
      <c r="FT417">
        <f>IF($EY417="row",INDEX($ES$5:$ES$1003,$EX417),"")</f>
        <v/>
      </c>
      <c r="FU417">
        <f>IF($EY417="row",INDEX($EO$5:$EO$1003,$EX417),0)</f>
        <v/>
      </c>
      <c r="FV417">
        <f>IF($FS417="S1 Count Change",1,0)</f>
        <v/>
      </c>
    </row>
    <row r="418">
      <c r="DA418" t="n">
        <v>414</v>
      </c>
      <c r="DB418">
        <f>IF($B$37=0,"",IFERROR(TRIM(SUBSTITUTE(SUBSTITUTE(SUBSTITUTE(SUBSTITUTE(INDEX(PASTE_ALL,414,$B$37)," "," "),CHAR(9)," "),CHAR(10)," "),CHAR(13)," ")),""))</f>
        <v/>
      </c>
      <c r="DC418">
        <f>IF(AND(414&gt;HEADER_ROW,UPPER(DB418)="LEGEND"),1,0)</f>
        <v/>
      </c>
      <c r="DE418" t="n">
        <v>414</v>
      </c>
      <c r="DF418">
        <f>HEADER_ROW+$DE418</f>
        <v/>
      </c>
      <c r="DG418">
        <f>IF(AND($DF418&lt;=1000,$DF418&lt;$B$8),1,0)</f>
        <v/>
      </c>
      <c r="DH418">
        <f>IF($DG418=1,IFERROR(INDEX($DB$5:$DB$1004,$DF418),""),"")</f>
        <v/>
      </c>
      <c r="DI418">
        <f>IF(AND($DG418=1,$DH418&lt;&gt;""),IFERROR(SUBSTITUTE(SUBSTITUTE(TRIM(SUBSTITUTE(SUBSTITUTE(SUBSTITUTE(SUBSTITUTE(IFERROR(INDEX(PASTE_ALL,$DF418,1)&amp;"","")&amp;"␟"&amp;IFERROR(INDEX(PASTE_ALL,$DF418,2)&amp;"","")&amp;"␟"&amp;IFERROR(INDEX(PASTE_ALL,$DF418,3)&amp;"","")&amp;"␟"&amp;IFERROR(INDEX(PASTE_ALL,$DF418,4)&amp;"","")&amp;"␟"&amp;IFERROR(INDEX(PASTE_ALL,$DF418,5)&amp;"","")&amp;"␟"&amp;IFERROR(INDEX(PASTE_ALL,$DF418,6)&amp;"","")&amp;"␟"&amp;IFERROR(INDEX(PASTE_ALL,$DF418,7)&amp;"","")&amp;"␟"&amp;IFERROR(INDEX(PASTE_ALL,$DF418,8)&amp;"","")&amp;"␟"&amp;IFERROR(INDEX(PASTE_ALL,$DF418,9)&amp;"","")&amp;"␟"&amp;IFERROR(INDEX(PASTE_ALL,$DF418,10)&amp;"","")&amp;"␟"&amp;IFERROR(INDEX(PASTE_ALL,$DF418,11)&amp;"","")&amp;"␟"&amp;IFERROR(INDEX(PASTE_ALL,$DF418,12)&amp;"","")&amp;"␟"&amp;IFERROR(INDEX(PASTE_ALL,$DF418,13)&amp;"","")&amp;"␟"&amp;IFERROR(INDEX(PASTE_ALL,$DF418,14)&amp;"","")&amp;"␟"&amp;IFERROR(INDEX(PASTE_ALL,$DF418,15)&amp;"","")&amp;"␟"&amp;IFERROR(INDEX(PASTE_ALL,$DF418,16)&amp;"","")&amp;"␟"&amp;IFERROR(INDEX(PASTE_ALL,$DF418,17)&amp;"","")&amp;"␟"&amp;IFERROR(INDEX(PASTE_ALL,$DF418,18)&amp;"","")&amp;"␟"&amp;IFERROR(INDEX(PASTE_ALL,$DF418,19)&amp;"","")&amp;"␟"&amp;IFERROR(INDEX(PASTE_ALL,$DF418,20)&amp;"","")&amp;"␟"&amp;IFERROR(INDEX(PASTE_ALL,$DF418,21)&amp;"","")&amp;"␟"&amp;IFERROR(INDEX(PASTE_ALL,$DF418,22)&amp;"","")&amp;"␟"&amp;IFERROR(INDEX(PASTE_ALL,$DF418,23)&amp;"","")&amp;"␟"&amp;IFERROR(INDEX(PASTE_ALL,$DF418,24)&amp;"","")&amp;"␟"&amp;IFERROR(INDEX(PASTE_ALL,$DF418,25)&amp;"","")&amp;"␟"&amp;IFERROR(INDEX(PASTE_ALL,$DF418,26)&amp;"","")&amp;"␟"&amp;IFERROR(INDEX(PASTE_ALL,$DF418,27)&amp;"","")&amp;"␟"&amp;IFERROR(INDEX(PASTE_ALL,$DF418,28)&amp;"","")&amp;"␟"&amp;IFERROR(INDEX(PASTE_ALL,$DF418,29)&amp;"","")&amp;"␟"&amp;IFERROR(INDEX(PASTE_ALL,$DF418,30)&amp;"","")&amp;"␟"&amp;IFERROR(INDEX(PASTE_ALL,$DF418,31)&amp;"","")&amp;"␟"&amp;IFERROR(INDEX(PASTE_ALL,$DF418,32)&amp;"","")&amp;"␟"&amp;IFERROR(INDEX(PASTE_ALL,$DF418,33)&amp;"","")&amp;"␟"&amp;IFERROR(INDEX(PASTE_ALL,$DF418,34)&amp;"","")&amp;"␟"&amp;IFERROR(INDEX(PASTE_ALL,$DF418,35)&amp;"","")&amp;"␟"&amp;IFERROR(INDEX(PASTE_ALL,$DF418,36)&amp;"","")&amp;"␟"&amp;IFERROR(INDEX(PASTE_ALL,$DF418,37)&amp;"","")&amp;"␟"&amp;IFERROR(INDEX(PASTE_ALL,$DF418,38)&amp;"","")&amp;"␟"&amp;IFERROR(INDEX(PASTE_ALL,$DF418,39)&amp;"","")&amp;"␟"&amp;IFERROR(INDEX(PASTE_ALL,$DF418,40)&amp;"","")&amp;"␟"&amp;IFERROR(INDEX(PASTE_ALL,$DF418,41)&amp;"","")&amp;"␟"&amp;IFERROR(INDEX(PASTE_ALL,$DF418,42)&amp;"","")&amp;"␟"&amp;IFERROR(INDEX(PASTE_ALL,$DF418,43)&amp;"","")&amp;"␟"&amp;IFERROR(INDEX(PASTE_ALL,$DF418,44)&amp;"","")&amp;"␟"&amp;IFERROR(INDEX(PASTE_ALL,$DF418,45)&amp;"","")&amp;"␟"&amp;IFERROR(INDEX(PASTE_ALL,$DF418,46)&amp;"","")&amp;"␟"&amp;IFERROR(INDEX(PASTE_ALL,$DF418,47)&amp;"","")&amp;"␟"&amp;IFERROR(INDEX(PASTE_ALL,$DF418,48)&amp;"","")&amp;"␟"&amp;IFERROR(INDEX(PASTE_ALL,$DF418,49)&amp;"","")&amp;"␟"&amp;IFERROR(INDEX(PASTE_ALL,$DF418,50)&amp;"","")&amp;"␟"&amp;IFERROR(INDEX(PASTE_ALL,$DF418,51)&amp;"","")&amp;"␟"&amp;IFERROR(INDEX(PASTE_ALL,$DF418,52)&amp;"","")&amp;"␟"&amp;IFERROR(INDEX(PASTE_ALL,$DF418,53)&amp;"","")&amp;"␟"&amp;IFERROR(INDEX(PASTE_ALL,$DF418,54)&amp;"","")&amp;"␟"&amp;IFERROR(INDEX(PASTE_ALL,$DF418,55)&amp;"","")&amp;"␟"&amp;IFERROR(INDEX(PASTE_ALL,$DF418,56)&amp;"","")&amp;"␟"&amp;IFERROR(INDEX(PASTE_ALL,$DF418,57)&amp;"","")&amp;"␟"&amp;IFERROR(INDEX(PASTE_ALL,$DF418,58)&amp;"","")&amp;"␟"&amp;IFERROR(INDEX(PASTE_ALL,$DF418,59)&amp;"","")&amp;"␟"&amp;IFERROR(INDEX(PASTE_ALL,$DF418,60)&amp;"","")," "," "),CHAR(9)," "),CHAR(10)," "),CHAR(13)," "))," ␟","␟"),"␟ ","␟"),"#"&amp;$DE418),"")</f>
        <v/>
      </c>
      <c r="DJ418">
        <f>IF($DI418="",0,IF(SUMPRODUCT(--EXACT($DI$4:DI417,$DI418))&gt;0,1,0))</f>
        <v/>
      </c>
      <c r="DK418">
        <f>IF(AND($DI418&lt;&gt;"",$DJ418=0),1,0)</f>
        <v/>
      </c>
      <c r="DL418">
        <f>DL417+$DK418</f>
        <v/>
      </c>
      <c r="DM418">
        <f>IF(AND($DK418=1,$DL418&lt;=600),1,0)</f>
        <v/>
      </c>
      <c r="DN418">
        <f>IF($DM418=0,"",IF($L$6=0,"",IFERROR(IF(ISNUMBER(INDEX(PASTE_ALL,$DF418,$L$6)),INDEX(PASTE_ALL,$DF418,$L$6),TRIM(SUBSTITUTE(SUBSTITUTE(SUBSTITUTE(SUBSTITUTE(INDEX(PASTE_ALL,$DF418,$L$6)," "," "),CHAR(9)," "),CHAR(10)," "),CHAR(13)," "))),"")))</f>
        <v/>
      </c>
      <c r="DO418">
        <f>IF($DM418=0,"",IF($L$7=0,"",IFERROR(IF(ISNUMBER(INDEX(PASTE_ALL,$DF418,$L$7)),INDEX(PASTE_ALL,$DF418,$L$7),TRIM(SUBSTITUTE(SUBSTITUTE(SUBSTITUTE(SUBSTITUTE(INDEX(PASTE_ALL,$DF418,$L$7)," "," "),CHAR(9)," "),CHAR(10)," "),CHAR(13)," "))),"")))</f>
        <v/>
      </c>
      <c r="DP418">
        <f>IF($DM418=0,"",IF($L$8=0,"",IFERROR(IF(ISNUMBER(INDEX(PASTE_ALL,$DF418,$L$8)),INDEX(PASTE_ALL,$DF418,$L$8),TRIM(SUBSTITUTE(SUBSTITUTE(SUBSTITUTE(SUBSTITUTE(INDEX(PASTE_ALL,$DF418,$L$8)," "," "),CHAR(9)," "),CHAR(10)," "),CHAR(13)," "))),"")))</f>
        <v/>
      </c>
      <c r="DQ418">
        <f>IF($DM418=0,"",IF($L$9=0,"",IFERROR(IF(ISNUMBER(INDEX(PASTE_ALL,$DF418,$L$9)),INDEX(PASTE_ALL,$DF418,$L$9),TRIM(SUBSTITUTE(SUBSTITUTE(SUBSTITUTE(SUBSTITUTE(INDEX(PASTE_ALL,$DF418,$L$9)," "," "),CHAR(9)," "),CHAR(10)," "),CHAR(13)," "))),"")))</f>
        <v/>
      </c>
      <c r="DR418">
        <f>IF($DM418=0,"",IF($L$10=0,"",IFERROR(IF(ISNUMBER(INDEX(PASTE_ALL,$DF418,$L$10)),INDEX(PASTE_ALL,$DF418,$L$10),TRIM(SUBSTITUTE(SUBSTITUTE(SUBSTITUTE(SUBSTITUTE(INDEX(PASTE_ALL,$DF418,$L$10)," "," "),CHAR(9)," "),CHAR(10)," "),CHAR(13)," "))),"")))</f>
        <v/>
      </c>
      <c r="DS418">
        <f>IF($DM418=0,"",IF($L$11=0,"",IFERROR(IF(ISNUMBER(INDEX(PASTE_ALL,$DF418,$L$11)),INDEX(PASTE_ALL,$DF418,$L$11),TRIM(SUBSTITUTE(SUBSTITUTE(SUBSTITUTE(SUBSTITUTE(INDEX(PASTE_ALL,$DF418,$L$11)," "," "),CHAR(9)," "),CHAR(10)," "),CHAR(13)," "))),"")))</f>
        <v/>
      </c>
      <c r="DT418">
        <f>IF($DM418=0,"",IF($L$12=0,"",IFERROR(IF(ISNUMBER(INDEX(PASTE_ALL,$DF418,$L$12)),INDEX(PASTE_ALL,$DF418,$L$12),TRIM(SUBSTITUTE(SUBSTITUTE(SUBSTITUTE(SUBSTITUTE(INDEX(PASTE_ALL,$DF418,$L$12)," "," "),CHAR(9)," "),CHAR(10)," "),CHAR(13)," "))),"")))</f>
        <v/>
      </c>
      <c r="DU418">
        <f>IF($DM418=0,"",IF($L$13=0,"",IFERROR(IF(ISNUMBER(INDEX(PASTE_ALL,$DF418,$L$13)),INDEX(PASTE_ALL,$DF418,$L$13),TRIM(SUBSTITUTE(SUBSTITUTE(SUBSTITUTE(SUBSTITUTE(INDEX(PASTE_ALL,$DF418,$L$13)," "," "),CHAR(9)," "),CHAR(10)," "),CHAR(13)," "))),"")))</f>
        <v/>
      </c>
      <c r="DV418">
        <f>IF($DM418=0,"",IF($L$14=0,"",IFERROR(IF(ISNUMBER(INDEX(PASTE_ALL,$DF418,$L$14)),INDEX(PASTE_ALL,$DF418,$L$14),TRIM(SUBSTITUTE(SUBSTITUTE(SUBSTITUTE(SUBSTITUTE(INDEX(PASTE_ALL,$DF418,$L$14)," "," "),CHAR(9)," "),CHAR(10)," "),CHAR(13)," "))),"")))</f>
        <v/>
      </c>
      <c r="DW418">
        <f>IF($DM418=0,"",IF($L$15=0,"",IFERROR(IF(ISNUMBER(INDEX(PASTE_ALL,$DF418,$L$15)),INDEX(PASTE_ALL,$DF418,$L$15),IF(SUMPRODUCT(--ISNUMBER(FIND({"A","B","C","D","E","F","G","H","I","J","K","L","M","N","O","P","Q","R","S","T","U","V","W","X","Y","Z","0","1","2","3","4","5","6","7","8","9"},UPPER(TRIM(SUBSTITUTE(SUBSTITUTE(SUBSTITUTE(SUBSTITUTE(INDEX(PASTE_ALL,$DF418,$L$15)," "," "),CHAR(9)," "),CHAR(10)," "),CHAR(13)," "))))))&gt;0,TRIM(SUBSTITUTE(SUBSTITUTE(SUBSTITUTE(SUBSTITUTE(INDEX(PASTE_ALL,$DF418,$L$15)," "," "),CHAR(9)," "),CHAR(10)," "),CHAR(13)," ")),"")),"")))</f>
        <v/>
      </c>
      <c r="DX418">
        <f>IF($DM418=0,"",IF($L$16=0,"",IFERROR(IF(ISNUMBER(INDEX(PASTE_ALL,$DF418,$L$16)),INDEX(PASTE_ALL,$DF418,$L$16),SUBSTITUTE(SUBSTITUTE(TRIM(SUBSTITUTE(SUBSTITUTE(SUBSTITUTE(SUBSTITUTE(INDEX(PASTE_ALL,$DF418,$L$16)," "," "),CHAR(9)," "),CHAR(10)," "),CHAR(13)," ")),",",""),"%","")),"")))</f>
        <v/>
      </c>
      <c r="DY418">
        <f>IF($DM418=0,"",IFERROR(IF(ISNUMBER($DX418),$DX418,IF($DX418="","",IF(TRIM($DX418)="",0,IF(AND(AND(SUBSTITUTE(SUBSTITUTE(SUBSTITUTE(SUBSTITUTE(SUBSTITUTE(SUBSTITUTE(SUBSTITUTE(SUBSTITUTE(SUBSTITUTE(SUBSTITUTE(SUBSTITUTE(SUBSTITUTE(SUBSTITUTE(SUBSTITUTE(UPPER(TRIM($DX418)),"0",""),"1",""),"2",""),"3",""),"4",""),"5",""),"6",""),"7",""),"8",""),"9",""),".",""),"+",""),"-",""),"E","")="",LEN(SUBSTITUTE(SUBSTITUTE(MID(UPPER(TRIM($DX418)),1+OR(LEFT(UPPER(TRIM($DX418)),1)="+",LEFT(UPPER(TRIM($DX418)),1)="-"),999),"E+","E"),"E-","E"))=LEN(SUBSTITUTE(SUBSTITUTE(SUBSTITUTE(SUBSTITUTE(MID(UPPER(TRIM($DX418)),1+OR(LEFT(UPPER(TRIM($DX418)),1)="+",LEFT(UPPER(TRIM($DX418)),1)="-"),999),"E+","E"),"E-","E"),"+",""),"-","")),LEN(UPPER(TRIM($DX418)))-LEN(SUBSTITUTE(UPPER(TRIM($DX418)),"E",""))&lt;2,LEN(UPPER(TRIM($DX418)))-LEN(SUBSTITUTE(UPPER(TRIM($DX418)),".",""))&lt;2,IFERROR(FIND(".",UPPER(TRIM($DX418))),0)&lt;IFERROR(FIND("E",UPPER(TRIM($DX418))),999)),ISNUMBER(VALUE(TRIM($DX418)))),VALUE(TRIM($DX418)),"")))),""))</f>
        <v/>
      </c>
      <c r="DZ418">
        <f>IF($DM418=0,"",IF($L$17=0,"",IFERROR(IF(ISNUMBER(INDEX(PASTE_ALL,$DF418,$L$17)),INDEX(PASTE_ALL,$DF418,$L$17),SUBSTITUTE(SUBSTITUTE(TRIM(SUBSTITUTE(SUBSTITUTE(SUBSTITUTE(SUBSTITUTE(INDEX(PASTE_ALL,$DF418,$L$17)," "," "),CHAR(9)," "),CHAR(10)," "),CHAR(13)," ")),",",""),"%","")),"")))</f>
        <v/>
      </c>
      <c r="EA418">
        <f>IF($DM418=0,"",IFERROR(IF(ISNUMBER($DZ418),$DZ418,IF($DZ418="","",IF(TRIM($DZ418)="",0,IF(AND(AND(SUBSTITUTE(SUBSTITUTE(SUBSTITUTE(SUBSTITUTE(SUBSTITUTE(SUBSTITUTE(SUBSTITUTE(SUBSTITUTE(SUBSTITUTE(SUBSTITUTE(SUBSTITUTE(SUBSTITUTE(SUBSTITUTE(SUBSTITUTE(UPPER(TRIM($DZ418)),"0",""),"1",""),"2",""),"3",""),"4",""),"5",""),"6",""),"7",""),"8",""),"9",""),".",""),"+",""),"-",""),"E","")="",LEN(SUBSTITUTE(SUBSTITUTE(MID(UPPER(TRIM($DZ418)),1+OR(LEFT(UPPER(TRIM($DZ418)),1)="+",LEFT(UPPER(TRIM($DZ418)),1)="-"),999),"E+","E"),"E-","E"))=LEN(SUBSTITUTE(SUBSTITUTE(SUBSTITUTE(SUBSTITUTE(MID(UPPER(TRIM($DZ418)),1+OR(LEFT(UPPER(TRIM($DZ418)),1)="+",LEFT(UPPER(TRIM($DZ418)),1)="-"),999),"E+","E"),"E-","E"),"+",""),"-","")),LEN(UPPER(TRIM($DZ418)))-LEN(SUBSTITUTE(UPPER(TRIM($DZ418)),"E",""))&lt;2,LEN(UPPER(TRIM($DZ418)))-LEN(SUBSTITUTE(UPPER(TRIM($DZ418)),".",""))&lt;2,IFERROR(FIND(".",UPPER(TRIM($DZ418))),0)&lt;IFERROR(FIND("E",UPPER(TRIM($DZ418))),999)),ISNUMBER(VALUE(TRIM($DZ418)))),VALUE(TRIM($DZ418)),"")))),""))</f>
        <v/>
      </c>
      <c r="EB418">
        <f>IF($DM418=0,"",IF($L$18=0,"",IFERROR(IF(UPPER(TRIM(SUBSTITUTE(SUBSTITUTE(SUBSTITUTE(SUBSTITUTE(INDEX(PASTE_ALL,$DF418,$L$18)," "," "),CHAR(9)," "),CHAR(10)," "),CHAR(13)," ")))="READY","Ready",IF(UPPER(TRIM(SUBSTITUTE(SUBSTITUTE(SUBSTITUTE(SUBSTITUTE(INDEX(PASTE_ALL,$DF418,$L$18)," "," "),CHAR(9)," "),CHAR(10)," "),CHAR(13)," ")))="PM","PM",IF(OR(UPPER(TRIM(SUBSTITUTE(SUBSTITUTE(SUBSTITUTE(SUBSTITUTE(INDEX(PASTE_ALL,$DF418,$L$18)," "," "),CHAR(9)," "),CHAR(10)," "),CHAR(13)," ")))="OT",UPPER(TRIM(SUBSTITUTE(SUBSTITUTE(SUBSTITUTE(SUBSTITUTE(INDEX(PASTE_ALL,$DF418,$L$18)," "," "),CHAR(9)," "),CHAR(10)," "),CHAR(13)," ")))="OVERTIME",UPPER(TRIM(SUBSTITUTE(SUBSTITUTE(SUBSTITUTE(SUBSTITUTE(INDEX(PASTE_ALL,$DF418,$L$18)," "," "),CHAR(9)," "),CHAR(10)," "),CHAR(13)," ")))="TRIAL"),"OT",TRIM(SUBSTITUTE(SUBSTITUTE(SUBSTITUTE(SUBSTITUTE(INDEX(PASTE_ALL,$DF418,$L$18)," "," "),CHAR(9)," "),CHAR(10)," "),CHAR(13)," "))))),"")))</f>
        <v/>
      </c>
      <c r="EC418">
        <f>IF($DM418=0,"",IF($L$19=0,"",IFERROR(IF(ISNUMBER(INDEX(PASTE_ALL,$DF418,$L$19)),INDEX(PASTE_ALL,$DF418,$L$19),TRIM(SUBSTITUTE(SUBSTITUTE(SUBSTITUTE(SUBSTITUTE(INDEX(PASTE_ALL,$DF418,$L$19)," "," "),CHAR(9)," "),CHAR(10)," "),CHAR(13)," "))),"")))</f>
        <v/>
      </c>
      <c r="ED418">
        <f>IF($DM418=0,"",MATCH(1,INDEX(EXACT($DH$5:DH418,$DH418)*$DM$5:DM418,0),0))</f>
        <v/>
      </c>
      <c r="EE418">
        <f>IF($DM418=0,0,IF($ED418=$DE418,1,0))</f>
        <v/>
      </c>
      <c r="EF418">
        <f>EF417+$EE418</f>
        <v/>
      </c>
      <c r="EG418">
        <f>IF($DM418=0,"",INDEX($EF$5:$EF$1003,$ED418))</f>
        <v/>
      </c>
      <c r="EH418">
        <f>IF($DM418=0,"",IF($DO418&lt;&gt;"","",IFERROR(LOOKUP(2,1/(($EG$4:EG417=$EG418)*($DO$4:DO417&lt;&gt;"")),$DO$4:DO417),"")))</f>
        <v/>
      </c>
      <c r="EI418">
        <f>IF($DM418=0,"",IF($DO418&lt;&gt;"",$DO418,$EH418))</f>
        <v/>
      </c>
      <c r="EJ418">
        <f>IF($DM418=0,"",IF($EI418="",0,IF(OR(ISNUMBER($EI418),AND(AND(SUBSTITUTE(SUBSTITUTE(SUBSTITUTE(SUBSTITUTE(SUBSTITUTE(SUBSTITUTE(SUBSTITUTE(SUBSTITUTE(SUBSTITUTE(SUBSTITUTE(SUBSTITUTE(SUBSTITUTE(SUBSTITUTE(SUBSTITUTE(UPPER($EI418),"0",""),"1",""),"2",""),"3",""),"4",""),"5",""),"6",""),"7",""),"8",""),"9",""),".",""),"+",""),"-",""),"E","")="",LEN(SUBSTITUTE(SUBSTITUTE(MID(UPPER($EI418),1+OR(LEFT(UPPER($EI418),1)="+",LEFT(UPPER($EI418),1)="-"),999),"E+","E"),"E-","E"))=LEN(SUBSTITUTE(SUBSTITUTE(SUBSTITUTE(SUBSTITUTE(MID(UPPER($EI418),1+OR(LEFT(UPPER($EI418),1)="+",LEFT(UPPER($EI418),1)="-"),999),"E+","E"),"E-","E"),"+",""),"-","")),LEN(UPPER($EI418))-LEN(SUBSTITUTE(UPPER($EI418),"E",""))&lt;2,LEN(UPPER($EI418))-LEN(SUBSTITUTE(UPPER($EI418),".",""))&lt;2,IFERROR(FIND(".",UPPER($EI418)),0)&lt;IFERROR(FIND("E",UPPER($EI418)),999)),ISNUMBER(VALUE($EI418)))),1,2)))</f>
        <v/>
      </c>
      <c r="EK418">
        <f>IF($DM418=0,"",IF($EJ418=1,IF(ISNUMBER($EI418),$EI418,VALUE($EI418)),IF($EJ418=2,$DE418,0)))</f>
        <v/>
      </c>
      <c r="EL418">
        <f>IF($DM418=0,"",COUNTIF($EG$5:$EG$1003,"&lt;"&amp;$EG418)+SUMPRODUCT(($EG$5:$EG$1003=$EG418)*(($EJ$5:$EJ$1003&lt;$EJ418)+($EJ$5:$EJ$1003=$EJ418)*(($EK$5:$EK$1003&lt;$EK418)+($EK$5:$EK$1003=$EK418)*($DE$5:$DE$1003&lt;$DE418))))+1)</f>
        <v/>
      </c>
      <c r="EM418">
        <f>IF($DM418=0,"",$EL418+$EG418-1)</f>
        <v/>
      </c>
      <c r="EN418">
        <f>IF($DM418=0,0,IFERROR(MATCH(1,INDEX(--(TRIM(SUBSTITUTE(SUBSTITUTE(SUBSTITUTE(SUBSTITUTE(LINES_NAME&amp;""," "," "),CHAR(9)," "),CHAR(10)," "),CHAR(13)," "))=$DH418),0),0),0))</f>
        <v/>
      </c>
      <c r="EO418">
        <f>IF($EN418=0,0,IF(OR(UPPER(TRIM(INDEX(LINES_SCHEDULED,$EN418)&amp;""))="YES",UPPER(TRIM(INDEX(LINES_SCHEDULED,$EN418)&amp;""))="Y",UPPER(TRIM(INDEX(LINES_SCHEDULED,$EN418)&amp;""))="X"),1,0))</f>
        <v/>
      </c>
      <c r="EP418">
        <f>IF($DM418=0,"",IF(COUNTIFS($EG$5:$EG$1003,$EG418,$EB$5:$EB$1003,"Ready")&gt;0,"READY",IF(COUNTIFS($EG$5:$EG$1003,$EG418,$EB$5:$EB$1003,"PM")&gt;0,"PM",IF(COUNTIFS($EG$5:$EG$1003,$EG418,$EB$5:$EB$1003,"OT")&gt;0,"OT",""))))</f>
        <v/>
      </c>
      <c r="EQ418">
        <f>IF($EN418=0,"",UPPER(TRIM(INDEX(LINES_STATUS,$EN418)&amp;"")))</f>
        <v/>
      </c>
      <c r="ER418">
        <f>IF($DM418=0,"",IF(OR($EQ418="READY",$EQ418="PM",$EQ418="OT"),$EQ418,$EP418))</f>
        <v/>
      </c>
      <c r="ES418">
        <f>IF($DM418=0,"",IF(AND($DV418&lt;&gt;"",UPPER($DV418)&lt;&gt;"N"),"allergen",IF(ISNUMBER(SEARCH("oil",$DQ418)),"oil",IF(OR(EXACT($DS418,"A662"),EXACT($DS418,"A624")),"bulk",""))))</f>
        <v/>
      </c>
      <c r="ET418">
        <f>IF($DM418=0,"",IF(OR($EA418="",$EA418=0),"",$EA418/100))</f>
        <v/>
      </c>
      <c r="EU418">
        <f>IF(OR($ET418="",$DY418=""),"",INT($DY418*(1-$ET418)+0.5))</f>
        <v/>
      </c>
      <c r="EW418" t="n">
        <v>414</v>
      </c>
      <c r="EX418">
        <f>IFERROR(MATCH($EW418,$EM$5:$EM$1003,0),0)</f>
        <v/>
      </c>
      <c r="EY418">
        <f>IF($EW418&gt;$B$12,"",IF($EX418&gt;0,"row","spacer"))</f>
        <v/>
      </c>
      <c r="EZ418">
        <f>IF(AND($EY418="row",$EY417&lt;&gt;"row"),1,0)</f>
        <v/>
      </c>
      <c r="FA418">
        <f>IF(AND($EY418="row",$EY419&lt;&gt;"row"),1,0)</f>
        <v/>
      </c>
      <c r="FB418">
        <f>IF($EZ418=1,IFERROR(IF(ISNUMBER(INDEX(PASTE_ALL,INDEX($DF$5:$DF$1003,$EX418),$B$37)),INDEX(PASTE_ALL,INDEX($DF$5:$DF$1003,$EX418),$B$37),INDEX($DH$5:$DH$1003,$EX418)),INDEX($DH$5:$DH$1003,$EX418)),"")</f>
        <v/>
      </c>
      <c r="FC418">
        <f>IF($EY418="row",INDEX($ER$5:$ER$1003,$EX418),"")</f>
        <v/>
      </c>
      <c r="FD418">
        <f>IF($EY418="row",INDEX($DN$5:$DN$1003,$EX418),"")</f>
        <v/>
      </c>
      <c r="FE418">
        <f>IF($EY418="row",INDEX($DO$5:$DO$1003,$EX418),"")</f>
        <v/>
      </c>
      <c r="FF418">
        <f>IF($EY418="row",INDEX($DP$5:$DP$1003,$EX418),"")</f>
        <v/>
      </c>
      <c r="FG418">
        <f>IF($EY418="row",INDEX($DQ$5:$DQ$1003,$EX418),"")</f>
        <v/>
      </c>
      <c r="FH418">
        <f>IF($EY418="row",INDEX($DR$5:$DR$1003,$EX418),"")</f>
        <v/>
      </c>
      <c r="FI418">
        <f>IF($EY418="row",INDEX($DS$5:$DS$1003,$EX418),"")</f>
        <v/>
      </c>
      <c r="FJ418">
        <f>IF($EY418="row",INDEX($DT$5:$DT$1003,$EX418),"")</f>
        <v/>
      </c>
      <c r="FK418">
        <f>IF($EY418="row",INDEX($DU$5:$DU$1003,$EX418),"")</f>
        <v/>
      </c>
      <c r="FL418">
        <f>IF($EY418="row",INDEX($DV$5:$DV$1003,$EX418),"")</f>
        <v/>
      </c>
      <c r="FM418">
        <f>IF($EY418="row",INDEX($DW$5:$DW$1003,$EX418),"")</f>
        <v/>
      </c>
      <c r="FN418">
        <f>IF($EY418="row",INDEX($DY$5:$DY$1003,$EX418),"")</f>
        <v/>
      </c>
      <c r="FO418">
        <f>IF($EY418="row",INDEX($EA$5:$EA$1003,$EX418),"")</f>
        <v/>
      </c>
      <c r="FP418">
        <f>IF($EY418="row",INDEX($EC$5:$EC$1003,$EX418),"")</f>
        <v/>
      </c>
      <c r="FQ418">
        <f>IF($EY418="row",INDEX($ET$5:$ET$1003,$EX418),"")</f>
        <v/>
      </c>
      <c r="FR418">
        <f>IF($EY418="row",INDEX($EU$5:$EU$1003,$EX418),"")</f>
        <v/>
      </c>
      <c r="FS418">
        <f>IF(AND($EY418="row",$EY417="row"),IF(OR(INDEX($DT$5:$DT$1003,$EX417)="",INDEX($DT$5:$DT$1003,$EX418)=""),"",IF(NOT(EXACT(INDEX($DT$5:$DT$1003,$EX417),INDEX($DT$5:$DT$1003,$EX418))),"S4",IF(NOT(EXACT(INDEX($DS$5:$DS$1003,$EX417),INDEX($DS$5:$DS$1003,$EX418))),"S3",IF(NOT(EXACT(INDEX($DR$5:$DR$1003,$EX417),INDEX($DR$5:$DR$1003,$EX418))),"S1 Count Change","S1")))),"")</f>
        <v/>
      </c>
      <c r="FT418">
        <f>IF($EY418="row",INDEX($ES$5:$ES$1003,$EX418),"")</f>
        <v/>
      </c>
      <c r="FU418">
        <f>IF($EY418="row",INDEX($EO$5:$EO$1003,$EX418),0)</f>
        <v/>
      </c>
      <c r="FV418">
        <f>IF($FS418="S1 Count Change",1,0)</f>
        <v/>
      </c>
    </row>
    <row r="419">
      <c r="DA419" t="n">
        <v>415</v>
      </c>
      <c r="DB419">
        <f>IF($B$37=0,"",IFERROR(TRIM(SUBSTITUTE(SUBSTITUTE(SUBSTITUTE(SUBSTITUTE(INDEX(PASTE_ALL,415,$B$37)," "," "),CHAR(9)," "),CHAR(10)," "),CHAR(13)," ")),""))</f>
        <v/>
      </c>
      <c r="DC419">
        <f>IF(AND(415&gt;HEADER_ROW,UPPER(DB419)="LEGEND"),1,0)</f>
        <v/>
      </c>
      <c r="DE419" t="n">
        <v>415</v>
      </c>
      <c r="DF419">
        <f>HEADER_ROW+$DE419</f>
        <v/>
      </c>
      <c r="DG419">
        <f>IF(AND($DF419&lt;=1000,$DF419&lt;$B$8),1,0)</f>
        <v/>
      </c>
      <c r="DH419">
        <f>IF($DG419=1,IFERROR(INDEX($DB$5:$DB$1004,$DF419),""),"")</f>
        <v/>
      </c>
      <c r="DI419">
        <f>IF(AND($DG419=1,$DH419&lt;&gt;""),IFERROR(SUBSTITUTE(SUBSTITUTE(TRIM(SUBSTITUTE(SUBSTITUTE(SUBSTITUTE(SUBSTITUTE(IFERROR(INDEX(PASTE_ALL,$DF419,1)&amp;"","")&amp;"␟"&amp;IFERROR(INDEX(PASTE_ALL,$DF419,2)&amp;"","")&amp;"␟"&amp;IFERROR(INDEX(PASTE_ALL,$DF419,3)&amp;"","")&amp;"␟"&amp;IFERROR(INDEX(PASTE_ALL,$DF419,4)&amp;"","")&amp;"␟"&amp;IFERROR(INDEX(PASTE_ALL,$DF419,5)&amp;"","")&amp;"␟"&amp;IFERROR(INDEX(PASTE_ALL,$DF419,6)&amp;"","")&amp;"␟"&amp;IFERROR(INDEX(PASTE_ALL,$DF419,7)&amp;"","")&amp;"␟"&amp;IFERROR(INDEX(PASTE_ALL,$DF419,8)&amp;"","")&amp;"␟"&amp;IFERROR(INDEX(PASTE_ALL,$DF419,9)&amp;"","")&amp;"␟"&amp;IFERROR(INDEX(PASTE_ALL,$DF419,10)&amp;"","")&amp;"␟"&amp;IFERROR(INDEX(PASTE_ALL,$DF419,11)&amp;"","")&amp;"␟"&amp;IFERROR(INDEX(PASTE_ALL,$DF419,12)&amp;"","")&amp;"␟"&amp;IFERROR(INDEX(PASTE_ALL,$DF419,13)&amp;"","")&amp;"␟"&amp;IFERROR(INDEX(PASTE_ALL,$DF419,14)&amp;"","")&amp;"␟"&amp;IFERROR(INDEX(PASTE_ALL,$DF419,15)&amp;"","")&amp;"␟"&amp;IFERROR(INDEX(PASTE_ALL,$DF419,16)&amp;"","")&amp;"␟"&amp;IFERROR(INDEX(PASTE_ALL,$DF419,17)&amp;"","")&amp;"␟"&amp;IFERROR(INDEX(PASTE_ALL,$DF419,18)&amp;"","")&amp;"␟"&amp;IFERROR(INDEX(PASTE_ALL,$DF419,19)&amp;"","")&amp;"␟"&amp;IFERROR(INDEX(PASTE_ALL,$DF419,20)&amp;"","")&amp;"␟"&amp;IFERROR(INDEX(PASTE_ALL,$DF419,21)&amp;"","")&amp;"␟"&amp;IFERROR(INDEX(PASTE_ALL,$DF419,22)&amp;"","")&amp;"␟"&amp;IFERROR(INDEX(PASTE_ALL,$DF419,23)&amp;"","")&amp;"␟"&amp;IFERROR(INDEX(PASTE_ALL,$DF419,24)&amp;"","")&amp;"␟"&amp;IFERROR(INDEX(PASTE_ALL,$DF419,25)&amp;"","")&amp;"␟"&amp;IFERROR(INDEX(PASTE_ALL,$DF419,26)&amp;"","")&amp;"␟"&amp;IFERROR(INDEX(PASTE_ALL,$DF419,27)&amp;"","")&amp;"␟"&amp;IFERROR(INDEX(PASTE_ALL,$DF419,28)&amp;"","")&amp;"␟"&amp;IFERROR(INDEX(PASTE_ALL,$DF419,29)&amp;"","")&amp;"␟"&amp;IFERROR(INDEX(PASTE_ALL,$DF419,30)&amp;"","")&amp;"␟"&amp;IFERROR(INDEX(PASTE_ALL,$DF419,31)&amp;"","")&amp;"␟"&amp;IFERROR(INDEX(PASTE_ALL,$DF419,32)&amp;"","")&amp;"␟"&amp;IFERROR(INDEX(PASTE_ALL,$DF419,33)&amp;"","")&amp;"␟"&amp;IFERROR(INDEX(PASTE_ALL,$DF419,34)&amp;"","")&amp;"␟"&amp;IFERROR(INDEX(PASTE_ALL,$DF419,35)&amp;"","")&amp;"␟"&amp;IFERROR(INDEX(PASTE_ALL,$DF419,36)&amp;"","")&amp;"␟"&amp;IFERROR(INDEX(PASTE_ALL,$DF419,37)&amp;"","")&amp;"␟"&amp;IFERROR(INDEX(PASTE_ALL,$DF419,38)&amp;"","")&amp;"␟"&amp;IFERROR(INDEX(PASTE_ALL,$DF419,39)&amp;"","")&amp;"␟"&amp;IFERROR(INDEX(PASTE_ALL,$DF419,40)&amp;"","")&amp;"␟"&amp;IFERROR(INDEX(PASTE_ALL,$DF419,41)&amp;"","")&amp;"␟"&amp;IFERROR(INDEX(PASTE_ALL,$DF419,42)&amp;"","")&amp;"␟"&amp;IFERROR(INDEX(PASTE_ALL,$DF419,43)&amp;"","")&amp;"␟"&amp;IFERROR(INDEX(PASTE_ALL,$DF419,44)&amp;"","")&amp;"␟"&amp;IFERROR(INDEX(PASTE_ALL,$DF419,45)&amp;"","")&amp;"␟"&amp;IFERROR(INDEX(PASTE_ALL,$DF419,46)&amp;"","")&amp;"␟"&amp;IFERROR(INDEX(PASTE_ALL,$DF419,47)&amp;"","")&amp;"␟"&amp;IFERROR(INDEX(PASTE_ALL,$DF419,48)&amp;"","")&amp;"␟"&amp;IFERROR(INDEX(PASTE_ALL,$DF419,49)&amp;"","")&amp;"␟"&amp;IFERROR(INDEX(PASTE_ALL,$DF419,50)&amp;"","")&amp;"␟"&amp;IFERROR(INDEX(PASTE_ALL,$DF419,51)&amp;"","")&amp;"␟"&amp;IFERROR(INDEX(PASTE_ALL,$DF419,52)&amp;"","")&amp;"␟"&amp;IFERROR(INDEX(PASTE_ALL,$DF419,53)&amp;"","")&amp;"␟"&amp;IFERROR(INDEX(PASTE_ALL,$DF419,54)&amp;"","")&amp;"␟"&amp;IFERROR(INDEX(PASTE_ALL,$DF419,55)&amp;"","")&amp;"␟"&amp;IFERROR(INDEX(PASTE_ALL,$DF419,56)&amp;"","")&amp;"␟"&amp;IFERROR(INDEX(PASTE_ALL,$DF419,57)&amp;"","")&amp;"␟"&amp;IFERROR(INDEX(PASTE_ALL,$DF419,58)&amp;"","")&amp;"␟"&amp;IFERROR(INDEX(PASTE_ALL,$DF419,59)&amp;"","")&amp;"␟"&amp;IFERROR(INDEX(PASTE_ALL,$DF419,60)&amp;"","")," "," "),CHAR(9)," "),CHAR(10)," "),CHAR(13)," "))," ␟","␟"),"␟ ","␟"),"#"&amp;$DE419),"")</f>
        <v/>
      </c>
      <c r="DJ419">
        <f>IF($DI419="",0,IF(SUMPRODUCT(--EXACT($DI$4:DI418,$DI419))&gt;0,1,0))</f>
        <v/>
      </c>
      <c r="DK419">
        <f>IF(AND($DI419&lt;&gt;"",$DJ419=0),1,0)</f>
        <v/>
      </c>
      <c r="DL419">
        <f>DL418+$DK419</f>
        <v/>
      </c>
      <c r="DM419">
        <f>IF(AND($DK419=1,$DL419&lt;=600),1,0)</f>
        <v/>
      </c>
      <c r="DN419">
        <f>IF($DM419=0,"",IF($L$6=0,"",IFERROR(IF(ISNUMBER(INDEX(PASTE_ALL,$DF419,$L$6)),INDEX(PASTE_ALL,$DF419,$L$6),TRIM(SUBSTITUTE(SUBSTITUTE(SUBSTITUTE(SUBSTITUTE(INDEX(PASTE_ALL,$DF419,$L$6)," "," "),CHAR(9)," "),CHAR(10)," "),CHAR(13)," "))),"")))</f>
        <v/>
      </c>
      <c r="DO419">
        <f>IF($DM419=0,"",IF($L$7=0,"",IFERROR(IF(ISNUMBER(INDEX(PASTE_ALL,$DF419,$L$7)),INDEX(PASTE_ALL,$DF419,$L$7),TRIM(SUBSTITUTE(SUBSTITUTE(SUBSTITUTE(SUBSTITUTE(INDEX(PASTE_ALL,$DF419,$L$7)," "," "),CHAR(9)," "),CHAR(10)," "),CHAR(13)," "))),"")))</f>
        <v/>
      </c>
      <c r="DP419">
        <f>IF($DM419=0,"",IF($L$8=0,"",IFERROR(IF(ISNUMBER(INDEX(PASTE_ALL,$DF419,$L$8)),INDEX(PASTE_ALL,$DF419,$L$8),TRIM(SUBSTITUTE(SUBSTITUTE(SUBSTITUTE(SUBSTITUTE(INDEX(PASTE_ALL,$DF419,$L$8)," "," "),CHAR(9)," "),CHAR(10)," "),CHAR(13)," "))),"")))</f>
        <v/>
      </c>
      <c r="DQ419">
        <f>IF($DM419=0,"",IF($L$9=0,"",IFERROR(IF(ISNUMBER(INDEX(PASTE_ALL,$DF419,$L$9)),INDEX(PASTE_ALL,$DF419,$L$9),TRIM(SUBSTITUTE(SUBSTITUTE(SUBSTITUTE(SUBSTITUTE(INDEX(PASTE_ALL,$DF419,$L$9)," "," "),CHAR(9)," "),CHAR(10)," "),CHAR(13)," "))),"")))</f>
        <v/>
      </c>
      <c r="DR419">
        <f>IF($DM419=0,"",IF($L$10=0,"",IFERROR(IF(ISNUMBER(INDEX(PASTE_ALL,$DF419,$L$10)),INDEX(PASTE_ALL,$DF419,$L$10),TRIM(SUBSTITUTE(SUBSTITUTE(SUBSTITUTE(SUBSTITUTE(INDEX(PASTE_ALL,$DF419,$L$10)," "," "),CHAR(9)," "),CHAR(10)," "),CHAR(13)," "))),"")))</f>
        <v/>
      </c>
      <c r="DS419">
        <f>IF($DM419=0,"",IF($L$11=0,"",IFERROR(IF(ISNUMBER(INDEX(PASTE_ALL,$DF419,$L$11)),INDEX(PASTE_ALL,$DF419,$L$11),TRIM(SUBSTITUTE(SUBSTITUTE(SUBSTITUTE(SUBSTITUTE(INDEX(PASTE_ALL,$DF419,$L$11)," "," "),CHAR(9)," "),CHAR(10)," "),CHAR(13)," "))),"")))</f>
        <v/>
      </c>
      <c r="DT419">
        <f>IF($DM419=0,"",IF($L$12=0,"",IFERROR(IF(ISNUMBER(INDEX(PASTE_ALL,$DF419,$L$12)),INDEX(PASTE_ALL,$DF419,$L$12),TRIM(SUBSTITUTE(SUBSTITUTE(SUBSTITUTE(SUBSTITUTE(INDEX(PASTE_ALL,$DF419,$L$12)," "," "),CHAR(9)," "),CHAR(10)," "),CHAR(13)," "))),"")))</f>
        <v/>
      </c>
      <c r="DU419">
        <f>IF($DM419=0,"",IF($L$13=0,"",IFERROR(IF(ISNUMBER(INDEX(PASTE_ALL,$DF419,$L$13)),INDEX(PASTE_ALL,$DF419,$L$13),TRIM(SUBSTITUTE(SUBSTITUTE(SUBSTITUTE(SUBSTITUTE(INDEX(PASTE_ALL,$DF419,$L$13)," "," "),CHAR(9)," "),CHAR(10)," "),CHAR(13)," "))),"")))</f>
        <v/>
      </c>
      <c r="DV419">
        <f>IF($DM419=0,"",IF($L$14=0,"",IFERROR(IF(ISNUMBER(INDEX(PASTE_ALL,$DF419,$L$14)),INDEX(PASTE_ALL,$DF419,$L$14),TRIM(SUBSTITUTE(SUBSTITUTE(SUBSTITUTE(SUBSTITUTE(INDEX(PASTE_ALL,$DF419,$L$14)," "," "),CHAR(9)," "),CHAR(10)," "),CHAR(13)," "))),"")))</f>
        <v/>
      </c>
      <c r="DW419">
        <f>IF($DM419=0,"",IF($L$15=0,"",IFERROR(IF(ISNUMBER(INDEX(PASTE_ALL,$DF419,$L$15)),INDEX(PASTE_ALL,$DF419,$L$15),IF(SUMPRODUCT(--ISNUMBER(FIND({"A","B","C","D","E","F","G","H","I","J","K","L","M","N","O","P","Q","R","S","T","U","V","W","X","Y","Z","0","1","2","3","4","5","6","7","8","9"},UPPER(TRIM(SUBSTITUTE(SUBSTITUTE(SUBSTITUTE(SUBSTITUTE(INDEX(PASTE_ALL,$DF419,$L$15)," "," "),CHAR(9)," "),CHAR(10)," "),CHAR(13)," "))))))&gt;0,TRIM(SUBSTITUTE(SUBSTITUTE(SUBSTITUTE(SUBSTITUTE(INDEX(PASTE_ALL,$DF419,$L$15)," "," "),CHAR(9)," "),CHAR(10)," "),CHAR(13)," ")),"")),"")))</f>
        <v/>
      </c>
      <c r="DX419">
        <f>IF($DM419=0,"",IF($L$16=0,"",IFERROR(IF(ISNUMBER(INDEX(PASTE_ALL,$DF419,$L$16)),INDEX(PASTE_ALL,$DF419,$L$16),SUBSTITUTE(SUBSTITUTE(TRIM(SUBSTITUTE(SUBSTITUTE(SUBSTITUTE(SUBSTITUTE(INDEX(PASTE_ALL,$DF419,$L$16)," "," "),CHAR(9)," "),CHAR(10)," "),CHAR(13)," ")),",",""),"%","")),"")))</f>
        <v/>
      </c>
      <c r="DY419">
        <f>IF($DM419=0,"",IFERROR(IF(ISNUMBER($DX419),$DX419,IF($DX419="","",IF(TRIM($DX419)="",0,IF(AND(AND(SUBSTITUTE(SUBSTITUTE(SUBSTITUTE(SUBSTITUTE(SUBSTITUTE(SUBSTITUTE(SUBSTITUTE(SUBSTITUTE(SUBSTITUTE(SUBSTITUTE(SUBSTITUTE(SUBSTITUTE(SUBSTITUTE(SUBSTITUTE(UPPER(TRIM($DX419)),"0",""),"1",""),"2",""),"3",""),"4",""),"5",""),"6",""),"7",""),"8",""),"9",""),".",""),"+",""),"-",""),"E","")="",LEN(SUBSTITUTE(SUBSTITUTE(MID(UPPER(TRIM($DX419)),1+OR(LEFT(UPPER(TRIM($DX419)),1)="+",LEFT(UPPER(TRIM($DX419)),1)="-"),999),"E+","E"),"E-","E"))=LEN(SUBSTITUTE(SUBSTITUTE(SUBSTITUTE(SUBSTITUTE(MID(UPPER(TRIM($DX419)),1+OR(LEFT(UPPER(TRIM($DX419)),1)="+",LEFT(UPPER(TRIM($DX419)),1)="-"),999),"E+","E"),"E-","E"),"+",""),"-","")),LEN(UPPER(TRIM($DX419)))-LEN(SUBSTITUTE(UPPER(TRIM($DX419)),"E",""))&lt;2,LEN(UPPER(TRIM($DX419)))-LEN(SUBSTITUTE(UPPER(TRIM($DX419)),".",""))&lt;2,IFERROR(FIND(".",UPPER(TRIM($DX419))),0)&lt;IFERROR(FIND("E",UPPER(TRIM($DX419))),999)),ISNUMBER(VALUE(TRIM($DX419)))),VALUE(TRIM($DX419)),"")))),""))</f>
        <v/>
      </c>
      <c r="DZ419">
        <f>IF($DM419=0,"",IF($L$17=0,"",IFERROR(IF(ISNUMBER(INDEX(PASTE_ALL,$DF419,$L$17)),INDEX(PASTE_ALL,$DF419,$L$17),SUBSTITUTE(SUBSTITUTE(TRIM(SUBSTITUTE(SUBSTITUTE(SUBSTITUTE(SUBSTITUTE(INDEX(PASTE_ALL,$DF419,$L$17)," "," "),CHAR(9)," "),CHAR(10)," "),CHAR(13)," ")),",",""),"%","")),"")))</f>
        <v/>
      </c>
      <c r="EA419">
        <f>IF($DM419=0,"",IFERROR(IF(ISNUMBER($DZ419),$DZ419,IF($DZ419="","",IF(TRIM($DZ419)="",0,IF(AND(AND(SUBSTITUTE(SUBSTITUTE(SUBSTITUTE(SUBSTITUTE(SUBSTITUTE(SUBSTITUTE(SUBSTITUTE(SUBSTITUTE(SUBSTITUTE(SUBSTITUTE(SUBSTITUTE(SUBSTITUTE(SUBSTITUTE(SUBSTITUTE(UPPER(TRIM($DZ419)),"0",""),"1",""),"2",""),"3",""),"4",""),"5",""),"6",""),"7",""),"8",""),"9",""),".",""),"+",""),"-",""),"E","")="",LEN(SUBSTITUTE(SUBSTITUTE(MID(UPPER(TRIM($DZ419)),1+OR(LEFT(UPPER(TRIM($DZ419)),1)="+",LEFT(UPPER(TRIM($DZ419)),1)="-"),999),"E+","E"),"E-","E"))=LEN(SUBSTITUTE(SUBSTITUTE(SUBSTITUTE(SUBSTITUTE(MID(UPPER(TRIM($DZ419)),1+OR(LEFT(UPPER(TRIM($DZ419)),1)="+",LEFT(UPPER(TRIM($DZ419)),1)="-"),999),"E+","E"),"E-","E"),"+",""),"-","")),LEN(UPPER(TRIM($DZ419)))-LEN(SUBSTITUTE(UPPER(TRIM($DZ419)),"E",""))&lt;2,LEN(UPPER(TRIM($DZ419)))-LEN(SUBSTITUTE(UPPER(TRIM($DZ419)),".",""))&lt;2,IFERROR(FIND(".",UPPER(TRIM($DZ419))),0)&lt;IFERROR(FIND("E",UPPER(TRIM($DZ419))),999)),ISNUMBER(VALUE(TRIM($DZ419)))),VALUE(TRIM($DZ419)),"")))),""))</f>
        <v/>
      </c>
      <c r="EB419">
        <f>IF($DM419=0,"",IF($L$18=0,"",IFERROR(IF(UPPER(TRIM(SUBSTITUTE(SUBSTITUTE(SUBSTITUTE(SUBSTITUTE(INDEX(PASTE_ALL,$DF419,$L$18)," "," "),CHAR(9)," "),CHAR(10)," "),CHAR(13)," ")))="READY","Ready",IF(UPPER(TRIM(SUBSTITUTE(SUBSTITUTE(SUBSTITUTE(SUBSTITUTE(INDEX(PASTE_ALL,$DF419,$L$18)," "," "),CHAR(9)," "),CHAR(10)," "),CHAR(13)," ")))="PM","PM",IF(OR(UPPER(TRIM(SUBSTITUTE(SUBSTITUTE(SUBSTITUTE(SUBSTITUTE(INDEX(PASTE_ALL,$DF419,$L$18)," "," "),CHAR(9)," "),CHAR(10)," "),CHAR(13)," ")))="OT",UPPER(TRIM(SUBSTITUTE(SUBSTITUTE(SUBSTITUTE(SUBSTITUTE(INDEX(PASTE_ALL,$DF419,$L$18)," "," "),CHAR(9)," "),CHAR(10)," "),CHAR(13)," ")))="OVERTIME",UPPER(TRIM(SUBSTITUTE(SUBSTITUTE(SUBSTITUTE(SUBSTITUTE(INDEX(PASTE_ALL,$DF419,$L$18)," "," "),CHAR(9)," "),CHAR(10)," "),CHAR(13)," ")))="TRIAL"),"OT",TRIM(SUBSTITUTE(SUBSTITUTE(SUBSTITUTE(SUBSTITUTE(INDEX(PASTE_ALL,$DF419,$L$18)," "," "),CHAR(9)," "),CHAR(10)," "),CHAR(13)," "))))),"")))</f>
        <v/>
      </c>
      <c r="EC419">
        <f>IF($DM419=0,"",IF($L$19=0,"",IFERROR(IF(ISNUMBER(INDEX(PASTE_ALL,$DF419,$L$19)),INDEX(PASTE_ALL,$DF419,$L$19),TRIM(SUBSTITUTE(SUBSTITUTE(SUBSTITUTE(SUBSTITUTE(INDEX(PASTE_ALL,$DF419,$L$19)," "," "),CHAR(9)," "),CHAR(10)," "),CHAR(13)," "))),"")))</f>
        <v/>
      </c>
      <c r="ED419">
        <f>IF($DM419=0,"",MATCH(1,INDEX(EXACT($DH$5:DH419,$DH419)*$DM$5:DM419,0),0))</f>
        <v/>
      </c>
      <c r="EE419">
        <f>IF($DM419=0,0,IF($ED419=$DE419,1,0))</f>
        <v/>
      </c>
      <c r="EF419">
        <f>EF418+$EE419</f>
        <v/>
      </c>
      <c r="EG419">
        <f>IF($DM419=0,"",INDEX($EF$5:$EF$1003,$ED419))</f>
        <v/>
      </c>
      <c r="EH419">
        <f>IF($DM419=0,"",IF($DO419&lt;&gt;"","",IFERROR(LOOKUP(2,1/(($EG$4:EG418=$EG419)*($DO$4:DO418&lt;&gt;"")),$DO$4:DO418),"")))</f>
        <v/>
      </c>
      <c r="EI419">
        <f>IF($DM419=0,"",IF($DO419&lt;&gt;"",$DO419,$EH419))</f>
        <v/>
      </c>
      <c r="EJ419">
        <f>IF($DM419=0,"",IF($EI419="",0,IF(OR(ISNUMBER($EI419),AND(AND(SUBSTITUTE(SUBSTITUTE(SUBSTITUTE(SUBSTITUTE(SUBSTITUTE(SUBSTITUTE(SUBSTITUTE(SUBSTITUTE(SUBSTITUTE(SUBSTITUTE(SUBSTITUTE(SUBSTITUTE(SUBSTITUTE(SUBSTITUTE(UPPER($EI419),"0",""),"1",""),"2",""),"3",""),"4",""),"5",""),"6",""),"7",""),"8",""),"9",""),".",""),"+",""),"-",""),"E","")="",LEN(SUBSTITUTE(SUBSTITUTE(MID(UPPER($EI419),1+OR(LEFT(UPPER($EI419),1)="+",LEFT(UPPER($EI419),1)="-"),999),"E+","E"),"E-","E"))=LEN(SUBSTITUTE(SUBSTITUTE(SUBSTITUTE(SUBSTITUTE(MID(UPPER($EI419),1+OR(LEFT(UPPER($EI419),1)="+",LEFT(UPPER($EI419),1)="-"),999),"E+","E"),"E-","E"),"+",""),"-","")),LEN(UPPER($EI419))-LEN(SUBSTITUTE(UPPER($EI419),"E",""))&lt;2,LEN(UPPER($EI419))-LEN(SUBSTITUTE(UPPER($EI419),".",""))&lt;2,IFERROR(FIND(".",UPPER($EI419)),0)&lt;IFERROR(FIND("E",UPPER($EI419)),999)),ISNUMBER(VALUE($EI419)))),1,2)))</f>
        <v/>
      </c>
      <c r="EK419">
        <f>IF($DM419=0,"",IF($EJ419=1,IF(ISNUMBER($EI419),$EI419,VALUE($EI419)),IF($EJ419=2,$DE419,0)))</f>
        <v/>
      </c>
      <c r="EL419">
        <f>IF($DM419=0,"",COUNTIF($EG$5:$EG$1003,"&lt;"&amp;$EG419)+SUMPRODUCT(($EG$5:$EG$1003=$EG419)*(($EJ$5:$EJ$1003&lt;$EJ419)+($EJ$5:$EJ$1003=$EJ419)*(($EK$5:$EK$1003&lt;$EK419)+($EK$5:$EK$1003=$EK419)*($DE$5:$DE$1003&lt;$DE419))))+1)</f>
        <v/>
      </c>
      <c r="EM419">
        <f>IF($DM419=0,"",$EL419+$EG419-1)</f>
        <v/>
      </c>
      <c r="EN419">
        <f>IF($DM419=0,0,IFERROR(MATCH(1,INDEX(--(TRIM(SUBSTITUTE(SUBSTITUTE(SUBSTITUTE(SUBSTITUTE(LINES_NAME&amp;""," "," "),CHAR(9)," "),CHAR(10)," "),CHAR(13)," "))=$DH419),0),0),0))</f>
        <v/>
      </c>
      <c r="EO419">
        <f>IF($EN419=0,0,IF(OR(UPPER(TRIM(INDEX(LINES_SCHEDULED,$EN419)&amp;""))="YES",UPPER(TRIM(INDEX(LINES_SCHEDULED,$EN419)&amp;""))="Y",UPPER(TRIM(INDEX(LINES_SCHEDULED,$EN419)&amp;""))="X"),1,0))</f>
        <v/>
      </c>
      <c r="EP419">
        <f>IF($DM419=0,"",IF(COUNTIFS($EG$5:$EG$1003,$EG419,$EB$5:$EB$1003,"Ready")&gt;0,"READY",IF(COUNTIFS($EG$5:$EG$1003,$EG419,$EB$5:$EB$1003,"PM")&gt;0,"PM",IF(COUNTIFS($EG$5:$EG$1003,$EG419,$EB$5:$EB$1003,"OT")&gt;0,"OT",""))))</f>
        <v/>
      </c>
      <c r="EQ419">
        <f>IF($EN419=0,"",UPPER(TRIM(INDEX(LINES_STATUS,$EN419)&amp;"")))</f>
        <v/>
      </c>
      <c r="ER419">
        <f>IF($DM419=0,"",IF(OR($EQ419="READY",$EQ419="PM",$EQ419="OT"),$EQ419,$EP419))</f>
        <v/>
      </c>
      <c r="ES419">
        <f>IF($DM419=0,"",IF(AND($DV419&lt;&gt;"",UPPER($DV419)&lt;&gt;"N"),"allergen",IF(ISNUMBER(SEARCH("oil",$DQ419)),"oil",IF(OR(EXACT($DS419,"A662"),EXACT($DS419,"A624")),"bulk",""))))</f>
        <v/>
      </c>
      <c r="ET419">
        <f>IF($DM419=0,"",IF(OR($EA419="",$EA419=0),"",$EA419/100))</f>
        <v/>
      </c>
      <c r="EU419">
        <f>IF(OR($ET419="",$DY419=""),"",INT($DY419*(1-$ET419)+0.5))</f>
        <v/>
      </c>
      <c r="EW419" t="n">
        <v>415</v>
      </c>
      <c r="EX419">
        <f>IFERROR(MATCH($EW419,$EM$5:$EM$1003,0),0)</f>
        <v/>
      </c>
      <c r="EY419">
        <f>IF($EW419&gt;$B$12,"",IF($EX419&gt;0,"row","spacer"))</f>
        <v/>
      </c>
      <c r="EZ419">
        <f>IF(AND($EY419="row",$EY418&lt;&gt;"row"),1,0)</f>
        <v/>
      </c>
      <c r="FA419">
        <f>IF(AND($EY419="row",$EY420&lt;&gt;"row"),1,0)</f>
        <v/>
      </c>
      <c r="FB419">
        <f>IF($EZ419=1,IFERROR(IF(ISNUMBER(INDEX(PASTE_ALL,INDEX($DF$5:$DF$1003,$EX419),$B$37)),INDEX(PASTE_ALL,INDEX($DF$5:$DF$1003,$EX419),$B$37),INDEX($DH$5:$DH$1003,$EX419)),INDEX($DH$5:$DH$1003,$EX419)),"")</f>
        <v/>
      </c>
      <c r="FC419">
        <f>IF($EY419="row",INDEX($ER$5:$ER$1003,$EX419),"")</f>
        <v/>
      </c>
      <c r="FD419">
        <f>IF($EY419="row",INDEX($DN$5:$DN$1003,$EX419),"")</f>
        <v/>
      </c>
      <c r="FE419">
        <f>IF($EY419="row",INDEX($DO$5:$DO$1003,$EX419),"")</f>
        <v/>
      </c>
      <c r="FF419">
        <f>IF($EY419="row",INDEX($DP$5:$DP$1003,$EX419),"")</f>
        <v/>
      </c>
      <c r="FG419">
        <f>IF($EY419="row",INDEX($DQ$5:$DQ$1003,$EX419),"")</f>
        <v/>
      </c>
      <c r="FH419">
        <f>IF($EY419="row",INDEX($DR$5:$DR$1003,$EX419),"")</f>
        <v/>
      </c>
      <c r="FI419">
        <f>IF($EY419="row",INDEX($DS$5:$DS$1003,$EX419),"")</f>
        <v/>
      </c>
      <c r="FJ419">
        <f>IF($EY419="row",INDEX($DT$5:$DT$1003,$EX419),"")</f>
        <v/>
      </c>
      <c r="FK419">
        <f>IF($EY419="row",INDEX($DU$5:$DU$1003,$EX419),"")</f>
        <v/>
      </c>
      <c r="FL419">
        <f>IF($EY419="row",INDEX($DV$5:$DV$1003,$EX419),"")</f>
        <v/>
      </c>
      <c r="FM419">
        <f>IF($EY419="row",INDEX($DW$5:$DW$1003,$EX419),"")</f>
        <v/>
      </c>
      <c r="FN419">
        <f>IF($EY419="row",INDEX($DY$5:$DY$1003,$EX419),"")</f>
        <v/>
      </c>
      <c r="FO419">
        <f>IF($EY419="row",INDEX($EA$5:$EA$1003,$EX419),"")</f>
        <v/>
      </c>
      <c r="FP419">
        <f>IF($EY419="row",INDEX($EC$5:$EC$1003,$EX419),"")</f>
        <v/>
      </c>
      <c r="FQ419">
        <f>IF($EY419="row",INDEX($ET$5:$ET$1003,$EX419),"")</f>
        <v/>
      </c>
      <c r="FR419">
        <f>IF($EY419="row",INDEX($EU$5:$EU$1003,$EX419),"")</f>
        <v/>
      </c>
      <c r="FS419">
        <f>IF(AND($EY419="row",$EY418="row"),IF(OR(INDEX($DT$5:$DT$1003,$EX418)="",INDEX($DT$5:$DT$1003,$EX419)=""),"",IF(NOT(EXACT(INDEX($DT$5:$DT$1003,$EX418),INDEX($DT$5:$DT$1003,$EX419))),"S4",IF(NOT(EXACT(INDEX($DS$5:$DS$1003,$EX418),INDEX($DS$5:$DS$1003,$EX419))),"S3",IF(NOT(EXACT(INDEX($DR$5:$DR$1003,$EX418),INDEX($DR$5:$DR$1003,$EX419))),"S1 Count Change","S1")))),"")</f>
        <v/>
      </c>
      <c r="FT419">
        <f>IF($EY419="row",INDEX($ES$5:$ES$1003,$EX419),"")</f>
        <v/>
      </c>
      <c r="FU419">
        <f>IF($EY419="row",INDEX($EO$5:$EO$1003,$EX419),0)</f>
        <v/>
      </c>
      <c r="FV419">
        <f>IF($FS419="S1 Count Change",1,0)</f>
        <v/>
      </c>
    </row>
    <row r="420">
      <c r="DA420" t="n">
        <v>416</v>
      </c>
      <c r="DB420">
        <f>IF($B$37=0,"",IFERROR(TRIM(SUBSTITUTE(SUBSTITUTE(SUBSTITUTE(SUBSTITUTE(INDEX(PASTE_ALL,416,$B$37)," "," "),CHAR(9)," "),CHAR(10)," "),CHAR(13)," ")),""))</f>
        <v/>
      </c>
      <c r="DC420">
        <f>IF(AND(416&gt;HEADER_ROW,UPPER(DB420)="LEGEND"),1,0)</f>
        <v/>
      </c>
      <c r="DE420" t="n">
        <v>416</v>
      </c>
      <c r="DF420">
        <f>HEADER_ROW+$DE420</f>
        <v/>
      </c>
      <c r="DG420">
        <f>IF(AND($DF420&lt;=1000,$DF420&lt;$B$8),1,0)</f>
        <v/>
      </c>
      <c r="DH420">
        <f>IF($DG420=1,IFERROR(INDEX($DB$5:$DB$1004,$DF420),""),"")</f>
        <v/>
      </c>
      <c r="DI420">
        <f>IF(AND($DG420=1,$DH420&lt;&gt;""),IFERROR(SUBSTITUTE(SUBSTITUTE(TRIM(SUBSTITUTE(SUBSTITUTE(SUBSTITUTE(SUBSTITUTE(IFERROR(INDEX(PASTE_ALL,$DF420,1)&amp;"","")&amp;"␟"&amp;IFERROR(INDEX(PASTE_ALL,$DF420,2)&amp;"","")&amp;"␟"&amp;IFERROR(INDEX(PASTE_ALL,$DF420,3)&amp;"","")&amp;"␟"&amp;IFERROR(INDEX(PASTE_ALL,$DF420,4)&amp;"","")&amp;"␟"&amp;IFERROR(INDEX(PASTE_ALL,$DF420,5)&amp;"","")&amp;"␟"&amp;IFERROR(INDEX(PASTE_ALL,$DF420,6)&amp;"","")&amp;"␟"&amp;IFERROR(INDEX(PASTE_ALL,$DF420,7)&amp;"","")&amp;"␟"&amp;IFERROR(INDEX(PASTE_ALL,$DF420,8)&amp;"","")&amp;"␟"&amp;IFERROR(INDEX(PASTE_ALL,$DF420,9)&amp;"","")&amp;"␟"&amp;IFERROR(INDEX(PASTE_ALL,$DF420,10)&amp;"","")&amp;"␟"&amp;IFERROR(INDEX(PASTE_ALL,$DF420,11)&amp;"","")&amp;"␟"&amp;IFERROR(INDEX(PASTE_ALL,$DF420,12)&amp;"","")&amp;"␟"&amp;IFERROR(INDEX(PASTE_ALL,$DF420,13)&amp;"","")&amp;"␟"&amp;IFERROR(INDEX(PASTE_ALL,$DF420,14)&amp;"","")&amp;"␟"&amp;IFERROR(INDEX(PASTE_ALL,$DF420,15)&amp;"","")&amp;"␟"&amp;IFERROR(INDEX(PASTE_ALL,$DF420,16)&amp;"","")&amp;"␟"&amp;IFERROR(INDEX(PASTE_ALL,$DF420,17)&amp;"","")&amp;"␟"&amp;IFERROR(INDEX(PASTE_ALL,$DF420,18)&amp;"","")&amp;"␟"&amp;IFERROR(INDEX(PASTE_ALL,$DF420,19)&amp;"","")&amp;"␟"&amp;IFERROR(INDEX(PASTE_ALL,$DF420,20)&amp;"","")&amp;"␟"&amp;IFERROR(INDEX(PASTE_ALL,$DF420,21)&amp;"","")&amp;"␟"&amp;IFERROR(INDEX(PASTE_ALL,$DF420,22)&amp;"","")&amp;"␟"&amp;IFERROR(INDEX(PASTE_ALL,$DF420,23)&amp;"","")&amp;"␟"&amp;IFERROR(INDEX(PASTE_ALL,$DF420,24)&amp;"","")&amp;"␟"&amp;IFERROR(INDEX(PASTE_ALL,$DF420,25)&amp;"","")&amp;"␟"&amp;IFERROR(INDEX(PASTE_ALL,$DF420,26)&amp;"","")&amp;"␟"&amp;IFERROR(INDEX(PASTE_ALL,$DF420,27)&amp;"","")&amp;"␟"&amp;IFERROR(INDEX(PASTE_ALL,$DF420,28)&amp;"","")&amp;"␟"&amp;IFERROR(INDEX(PASTE_ALL,$DF420,29)&amp;"","")&amp;"␟"&amp;IFERROR(INDEX(PASTE_ALL,$DF420,30)&amp;"","")&amp;"␟"&amp;IFERROR(INDEX(PASTE_ALL,$DF420,31)&amp;"","")&amp;"␟"&amp;IFERROR(INDEX(PASTE_ALL,$DF420,32)&amp;"","")&amp;"␟"&amp;IFERROR(INDEX(PASTE_ALL,$DF420,33)&amp;"","")&amp;"␟"&amp;IFERROR(INDEX(PASTE_ALL,$DF420,34)&amp;"","")&amp;"␟"&amp;IFERROR(INDEX(PASTE_ALL,$DF420,35)&amp;"","")&amp;"␟"&amp;IFERROR(INDEX(PASTE_ALL,$DF420,36)&amp;"","")&amp;"␟"&amp;IFERROR(INDEX(PASTE_ALL,$DF420,37)&amp;"","")&amp;"␟"&amp;IFERROR(INDEX(PASTE_ALL,$DF420,38)&amp;"","")&amp;"␟"&amp;IFERROR(INDEX(PASTE_ALL,$DF420,39)&amp;"","")&amp;"␟"&amp;IFERROR(INDEX(PASTE_ALL,$DF420,40)&amp;"","")&amp;"␟"&amp;IFERROR(INDEX(PASTE_ALL,$DF420,41)&amp;"","")&amp;"␟"&amp;IFERROR(INDEX(PASTE_ALL,$DF420,42)&amp;"","")&amp;"␟"&amp;IFERROR(INDEX(PASTE_ALL,$DF420,43)&amp;"","")&amp;"␟"&amp;IFERROR(INDEX(PASTE_ALL,$DF420,44)&amp;"","")&amp;"␟"&amp;IFERROR(INDEX(PASTE_ALL,$DF420,45)&amp;"","")&amp;"␟"&amp;IFERROR(INDEX(PASTE_ALL,$DF420,46)&amp;"","")&amp;"␟"&amp;IFERROR(INDEX(PASTE_ALL,$DF420,47)&amp;"","")&amp;"␟"&amp;IFERROR(INDEX(PASTE_ALL,$DF420,48)&amp;"","")&amp;"␟"&amp;IFERROR(INDEX(PASTE_ALL,$DF420,49)&amp;"","")&amp;"␟"&amp;IFERROR(INDEX(PASTE_ALL,$DF420,50)&amp;"","")&amp;"␟"&amp;IFERROR(INDEX(PASTE_ALL,$DF420,51)&amp;"","")&amp;"␟"&amp;IFERROR(INDEX(PASTE_ALL,$DF420,52)&amp;"","")&amp;"␟"&amp;IFERROR(INDEX(PASTE_ALL,$DF420,53)&amp;"","")&amp;"␟"&amp;IFERROR(INDEX(PASTE_ALL,$DF420,54)&amp;"","")&amp;"␟"&amp;IFERROR(INDEX(PASTE_ALL,$DF420,55)&amp;"","")&amp;"␟"&amp;IFERROR(INDEX(PASTE_ALL,$DF420,56)&amp;"","")&amp;"␟"&amp;IFERROR(INDEX(PASTE_ALL,$DF420,57)&amp;"","")&amp;"␟"&amp;IFERROR(INDEX(PASTE_ALL,$DF420,58)&amp;"","")&amp;"␟"&amp;IFERROR(INDEX(PASTE_ALL,$DF420,59)&amp;"","")&amp;"␟"&amp;IFERROR(INDEX(PASTE_ALL,$DF420,60)&amp;"","")," "," "),CHAR(9)," "),CHAR(10)," "),CHAR(13)," "))," ␟","␟"),"␟ ","␟"),"#"&amp;$DE420),"")</f>
        <v/>
      </c>
      <c r="DJ420">
        <f>IF($DI420="",0,IF(SUMPRODUCT(--EXACT($DI$4:DI419,$DI420))&gt;0,1,0))</f>
        <v/>
      </c>
      <c r="DK420">
        <f>IF(AND($DI420&lt;&gt;"",$DJ420=0),1,0)</f>
        <v/>
      </c>
      <c r="DL420">
        <f>DL419+$DK420</f>
        <v/>
      </c>
      <c r="DM420">
        <f>IF(AND($DK420=1,$DL420&lt;=600),1,0)</f>
        <v/>
      </c>
      <c r="DN420">
        <f>IF($DM420=0,"",IF($L$6=0,"",IFERROR(IF(ISNUMBER(INDEX(PASTE_ALL,$DF420,$L$6)),INDEX(PASTE_ALL,$DF420,$L$6),TRIM(SUBSTITUTE(SUBSTITUTE(SUBSTITUTE(SUBSTITUTE(INDEX(PASTE_ALL,$DF420,$L$6)," "," "),CHAR(9)," "),CHAR(10)," "),CHAR(13)," "))),"")))</f>
        <v/>
      </c>
      <c r="DO420">
        <f>IF($DM420=0,"",IF($L$7=0,"",IFERROR(IF(ISNUMBER(INDEX(PASTE_ALL,$DF420,$L$7)),INDEX(PASTE_ALL,$DF420,$L$7),TRIM(SUBSTITUTE(SUBSTITUTE(SUBSTITUTE(SUBSTITUTE(INDEX(PASTE_ALL,$DF420,$L$7)," "," "),CHAR(9)," "),CHAR(10)," "),CHAR(13)," "))),"")))</f>
        <v/>
      </c>
      <c r="DP420">
        <f>IF($DM420=0,"",IF($L$8=0,"",IFERROR(IF(ISNUMBER(INDEX(PASTE_ALL,$DF420,$L$8)),INDEX(PASTE_ALL,$DF420,$L$8),TRIM(SUBSTITUTE(SUBSTITUTE(SUBSTITUTE(SUBSTITUTE(INDEX(PASTE_ALL,$DF420,$L$8)," "," "),CHAR(9)," "),CHAR(10)," "),CHAR(13)," "))),"")))</f>
        <v/>
      </c>
      <c r="DQ420">
        <f>IF($DM420=0,"",IF($L$9=0,"",IFERROR(IF(ISNUMBER(INDEX(PASTE_ALL,$DF420,$L$9)),INDEX(PASTE_ALL,$DF420,$L$9),TRIM(SUBSTITUTE(SUBSTITUTE(SUBSTITUTE(SUBSTITUTE(INDEX(PASTE_ALL,$DF420,$L$9)," "," "),CHAR(9)," "),CHAR(10)," "),CHAR(13)," "))),"")))</f>
        <v/>
      </c>
      <c r="DR420">
        <f>IF($DM420=0,"",IF($L$10=0,"",IFERROR(IF(ISNUMBER(INDEX(PASTE_ALL,$DF420,$L$10)),INDEX(PASTE_ALL,$DF420,$L$10),TRIM(SUBSTITUTE(SUBSTITUTE(SUBSTITUTE(SUBSTITUTE(INDEX(PASTE_ALL,$DF420,$L$10)," "," "),CHAR(9)," "),CHAR(10)," "),CHAR(13)," "))),"")))</f>
        <v/>
      </c>
      <c r="DS420">
        <f>IF($DM420=0,"",IF($L$11=0,"",IFERROR(IF(ISNUMBER(INDEX(PASTE_ALL,$DF420,$L$11)),INDEX(PASTE_ALL,$DF420,$L$11),TRIM(SUBSTITUTE(SUBSTITUTE(SUBSTITUTE(SUBSTITUTE(INDEX(PASTE_ALL,$DF420,$L$11)," "," "),CHAR(9)," "),CHAR(10)," "),CHAR(13)," "))),"")))</f>
        <v/>
      </c>
      <c r="DT420">
        <f>IF($DM420=0,"",IF($L$12=0,"",IFERROR(IF(ISNUMBER(INDEX(PASTE_ALL,$DF420,$L$12)),INDEX(PASTE_ALL,$DF420,$L$12),TRIM(SUBSTITUTE(SUBSTITUTE(SUBSTITUTE(SUBSTITUTE(INDEX(PASTE_ALL,$DF420,$L$12)," "," "),CHAR(9)," "),CHAR(10)," "),CHAR(13)," "))),"")))</f>
        <v/>
      </c>
      <c r="DU420">
        <f>IF($DM420=0,"",IF($L$13=0,"",IFERROR(IF(ISNUMBER(INDEX(PASTE_ALL,$DF420,$L$13)),INDEX(PASTE_ALL,$DF420,$L$13),TRIM(SUBSTITUTE(SUBSTITUTE(SUBSTITUTE(SUBSTITUTE(INDEX(PASTE_ALL,$DF420,$L$13)," "," "),CHAR(9)," "),CHAR(10)," "),CHAR(13)," "))),"")))</f>
        <v/>
      </c>
      <c r="DV420">
        <f>IF($DM420=0,"",IF($L$14=0,"",IFERROR(IF(ISNUMBER(INDEX(PASTE_ALL,$DF420,$L$14)),INDEX(PASTE_ALL,$DF420,$L$14),TRIM(SUBSTITUTE(SUBSTITUTE(SUBSTITUTE(SUBSTITUTE(INDEX(PASTE_ALL,$DF420,$L$14)," "," "),CHAR(9)," "),CHAR(10)," "),CHAR(13)," "))),"")))</f>
        <v/>
      </c>
      <c r="DW420">
        <f>IF($DM420=0,"",IF($L$15=0,"",IFERROR(IF(ISNUMBER(INDEX(PASTE_ALL,$DF420,$L$15)),INDEX(PASTE_ALL,$DF420,$L$15),IF(SUMPRODUCT(--ISNUMBER(FIND({"A","B","C","D","E","F","G","H","I","J","K","L","M","N","O","P","Q","R","S","T","U","V","W","X","Y","Z","0","1","2","3","4","5","6","7","8","9"},UPPER(TRIM(SUBSTITUTE(SUBSTITUTE(SUBSTITUTE(SUBSTITUTE(INDEX(PASTE_ALL,$DF420,$L$15)," "," "),CHAR(9)," "),CHAR(10)," "),CHAR(13)," "))))))&gt;0,TRIM(SUBSTITUTE(SUBSTITUTE(SUBSTITUTE(SUBSTITUTE(INDEX(PASTE_ALL,$DF420,$L$15)," "," "),CHAR(9)," "),CHAR(10)," "),CHAR(13)," ")),"")),"")))</f>
        <v/>
      </c>
      <c r="DX420">
        <f>IF($DM420=0,"",IF($L$16=0,"",IFERROR(IF(ISNUMBER(INDEX(PASTE_ALL,$DF420,$L$16)),INDEX(PASTE_ALL,$DF420,$L$16),SUBSTITUTE(SUBSTITUTE(TRIM(SUBSTITUTE(SUBSTITUTE(SUBSTITUTE(SUBSTITUTE(INDEX(PASTE_ALL,$DF420,$L$16)," "," "),CHAR(9)," "),CHAR(10)," "),CHAR(13)," ")),",",""),"%","")),"")))</f>
        <v/>
      </c>
      <c r="DY420">
        <f>IF($DM420=0,"",IFERROR(IF(ISNUMBER($DX420),$DX420,IF($DX420="","",IF(TRIM($DX420)="",0,IF(AND(AND(SUBSTITUTE(SUBSTITUTE(SUBSTITUTE(SUBSTITUTE(SUBSTITUTE(SUBSTITUTE(SUBSTITUTE(SUBSTITUTE(SUBSTITUTE(SUBSTITUTE(SUBSTITUTE(SUBSTITUTE(SUBSTITUTE(SUBSTITUTE(UPPER(TRIM($DX420)),"0",""),"1",""),"2",""),"3",""),"4",""),"5",""),"6",""),"7",""),"8",""),"9",""),".",""),"+",""),"-",""),"E","")="",LEN(SUBSTITUTE(SUBSTITUTE(MID(UPPER(TRIM($DX420)),1+OR(LEFT(UPPER(TRIM($DX420)),1)="+",LEFT(UPPER(TRIM($DX420)),1)="-"),999),"E+","E"),"E-","E"))=LEN(SUBSTITUTE(SUBSTITUTE(SUBSTITUTE(SUBSTITUTE(MID(UPPER(TRIM($DX420)),1+OR(LEFT(UPPER(TRIM($DX420)),1)="+",LEFT(UPPER(TRIM($DX420)),1)="-"),999),"E+","E"),"E-","E"),"+",""),"-","")),LEN(UPPER(TRIM($DX420)))-LEN(SUBSTITUTE(UPPER(TRIM($DX420)),"E",""))&lt;2,LEN(UPPER(TRIM($DX420)))-LEN(SUBSTITUTE(UPPER(TRIM($DX420)),".",""))&lt;2,IFERROR(FIND(".",UPPER(TRIM($DX420))),0)&lt;IFERROR(FIND("E",UPPER(TRIM($DX420))),999)),ISNUMBER(VALUE(TRIM($DX420)))),VALUE(TRIM($DX420)),"")))),""))</f>
        <v/>
      </c>
      <c r="DZ420">
        <f>IF($DM420=0,"",IF($L$17=0,"",IFERROR(IF(ISNUMBER(INDEX(PASTE_ALL,$DF420,$L$17)),INDEX(PASTE_ALL,$DF420,$L$17),SUBSTITUTE(SUBSTITUTE(TRIM(SUBSTITUTE(SUBSTITUTE(SUBSTITUTE(SUBSTITUTE(INDEX(PASTE_ALL,$DF420,$L$17)," "," "),CHAR(9)," "),CHAR(10)," "),CHAR(13)," ")),",",""),"%","")),"")))</f>
        <v/>
      </c>
      <c r="EA420">
        <f>IF($DM420=0,"",IFERROR(IF(ISNUMBER($DZ420),$DZ420,IF($DZ420="","",IF(TRIM($DZ420)="",0,IF(AND(AND(SUBSTITUTE(SUBSTITUTE(SUBSTITUTE(SUBSTITUTE(SUBSTITUTE(SUBSTITUTE(SUBSTITUTE(SUBSTITUTE(SUBSTITUTE(SUBSTITUTE(SUBSTITUTE(SUBSTITUTE(SUBSTITUTE(SUBSTITUTE(UPPER(TRIM($DZ420)),"0",""),"1",""),"2",""),"3",""),"4",""),"5",""),"6",""),"7",""),"8",""),"9",""),".",""),"+",""),"-",""),"E","")="",LEN(SUBSTITUTE(SUBSTITUTE(MID(UPPER(TRIM($DZ420)),1+OR(LEFT(UPPER(TRIM($DZ420)),1)="+",LEFT(UPPER(TRIM($DZ420)),1)="-"),999),"E+","E"),"E-","E"))=LEN(SUBSTITUTE(SUBSTITUTE(SUBSTITUTE(SUBSTITUTE(MID(UPPER(TRIM($DZ420)),1+OR(LEFT(UPPER(TRIM($DZ420)),1)="+",LEFT(UPPER(TRIM($DZ420)),1)="-"),999),"E+","E"),"E-","E"),"+",""),"-","")),LEN(UPPER(TRIM($DZ420)))-LEN(SUBSTITUTE(UPPER(TRIM($DZ420)),"E",""))&lt;2,LEN(UPPER(TRIM($DZ420)))-LEN(SUBSTITUTE(UPPER(TRIM($DZ420)),".",""))&lt;2,IFERROR(FIND(".",UPPER(TRIM($DZ420))),0)&lt;IFERROR(FIND("E",UPPER(TRIM($DZ420))),999)),ISNUMBER(VALUE(TRIM($DZ420)))),VALUE(TRIM($DZ420)),"")))),""))</f>
        <v/>
      </c>
      <c r="EB420">
        <f>IF($DM420=0,"",IF($L$18=0,"",IFERROR(IF(UPPER(TRIM(SUBSTITUTE(SUBSTITUTE(SUBSTITUTE(SUBSTITUTE(INDEX(PASTE_ALL,$DF420,$L$18)," "," "),CHAR(9)," "),CHAR(10)," "),CHAR(13)," ")))="READY","Ready",IF(UPPER(TRIM(SUBSTITUTE(SUBSTITUTE(SUBSTITUTE(SUBSTITUTE(INDEX(PASTE_ALL,$DF420,$L$18)," "," "),CHAR(9)," "),CHAR(10)," "),CHAR(13)," ")))="PM","PM",IF(OR(UPPER(TRIM(SUBSTITUTE(SUBSTITUTE(SUBSTITUTE(SUBSTITUTE(INDEX(PASTE_ALL,$DF420,$L$18)," "," "),CHAR(9)," "),CHAR(10)," "),CHAR(13)," ")))="OT",UPPER(TRIM(SUBSTITUTE(SUBSTITUTE(SUBSTITUTE(SUBSTITUTE(INDEX(PASTE_ALL,$DF420,$L$18)," "," "),CHAR(9)," "),CHAR(10)," "),CHAR(13)," ")))="OVERTIME",UPPER(TRIM(SUBSTITUTE(SUBSTITUTE(SUBSTITUTE(SUBSTITUTE(INDEX(PASTE_ALL,$DF420,$L$18)," "," "),CHAR(9)," "),CHAR(10)," "),CHAR(13)," ")))="TRIAL"),"OT",TRIM(SUBSTITUTE(SUBSTITUTE(SUBSTITUTE(SUBSTITUTE(INDEX(PASTE_ALL,$DF420,$L$18)," "," "),CHAR(9)," "),CHAR(10)," "),CHAR(13)," "))))),"")))</f>
        <v/>
      </c>
      <c r="EC420">
        <f>IF($DM420=0,"",IF($L$19=0,"",IFERROR(IF(ISNUMBER(INDEX(PASTE_ALL,$DF420,$L$19)),INDEX(PASTE_ALL,$DF420,$L$19),TRIM(SUBSTITUTE(SUBSTITUTE(SUBSTITUTE(SUBSTITUTE(INDEX(PASTE_ALL,$DF420,$L$19)," "," "),CHAR(9)," "),CHAR(10)," "),CHAR(13)," "))),"")))</f>
        <v/>
      </c>
      <c r="ED420">
        <f>IF($DM420=0,"",MATCH(1,INDEX(EXACT($DH$5:DH420,$DH420)*$DM$5:DM420,0),0))</f>
        <v/>
      </c>
      <c r="EE420">
        <f>IF($DM420=0,0,IF($ED420=$DE420,1,0))</f>
        <v/>
      </c>
      <c r="EF420">
        <f>EF419+$EE420</f>
        <v/>
      </c>
      <c r="EG420">
        <f>IF($DM420=0,"",INDEX($EF$5:$EF$1003,$ED420))</f>
        <v/>
      </c>
      <c r="EH420">
        <f>IF($DM420=0,"",IF($DO420&lt;&gt;"","",IFERROR(LOOKUP(2,1/(($EG$4:EG419=$EG420)*($DO$4:DO419&lt;&gt;"")),$DO$4:DO419),"")))</f>
        <v/>
      </c>
      <c r="EI420">
        <f>IF($DM420=0,"",IF($DO420&lt;&gt;"",$DO420,$EH420))</f>
        <v/>
      </c>
      <c r="EJ420">
        <f>IF($DM420=0,"",IF($EI420="",0,IF(OR(ISNUMBER($EI420),AND(AND(SUBSTITUTE(SUBSTITUTE(SUBSTITUTE(SUBSTITUTE(SUBSTITUTE(SUBSTITUTE(SUBSTITUTE(SUBSTITUTE(SUBSTITUTE(SUBSTITUTE(SUBSTITUTE(SUBSTITUTE(SUBSTITUTE(SUBSTITUTE(UPPER($EI420),"0",""),"1",""),"2",""),"3",""),"4",""),"5",""),"6",""),"7",""),"8",""),"9",""),".",""),"+",""),"-",""),"E","")="",LEN(SUBSTITUTE(SUBSTITUTE(MID(UPPER($EI420),1+OR(LEFT(UPPER($EI420),1)="+",LEFT(UPPER($EI420),1)="-"),999),"E+","E"),"E-","E"))=LEN(SUBSTITUTE(SUBSTITUTE(SUBSTITUTE(SUBSTITUTE(MID(UPPER($EI420),1+OR(LEFT(UPPER($EI420),1)="+",LEFT(UPPER($EI420),1)="-"),999),"E+","E"),"E-","E"),"+",""),"-","")),LEN(UPPER($EI420))-LEN(SUBSTITUTE(UPPER($EI420),"E",""))&lt;2,LEN(UPPER($EI420))-LEN(SUBSTITUTE(UPPER($EI420),".",""))&lt;2,IFERROR(FIND(".",UPPER($EI420)),0)&lt;IFERROR(FIND("E",UPPER($EI420)),999)),ISNUMBER(VALUE($EI420)))),1,2)))</f>
        <v/>
      </c>
      <c r="EK420">
        <f>IF($DM420=0,"",IF($EJ420=1,IF(ISNUMBER($EI420),$EI420,VALUE($EI420)),IF($EJ420=2,$DE420,0)))</f>
        <v/>
      </c>
      <c r="EL420">
        <f>IF($DM420=0,"",COUNTIF($EG$5:$EG$1003,"&lt;"&amp;$EG420)+SUMPRODUCT(($EG$5:$EG$1003=$EG420)*(($EJ$5:$EJ$1003&lt;$EJ420)+($EJ$5:$EJ$1003=$EJ420)*(($EK$5:$EK$1003&lt;$EK420)+($EK$5:$EK$1003=$EK420)*($DE$5:$DE$1003&lt;$DE420))))+1)</f>
        <v/>
      </c>
      <c r="EM420">
        <f>IF($DM420=0,"",$EL420+$EG420-1)</f>
        <v/>
      </c>
      <c r="EN420">
        <f>IF($DM420=0,0,IFERROR(MATCH(1,INDEX(--(TRIM(SUBSTITUTE(SUBSTITUTE(SUBSTITUTE(SUBSTITUTE(LINES_NAME&amp;""," "," "),CHAR(9)," "),CHAR(10)," "),CHAR(13)," "))=$DH420),0),0),0))</f>
        <v/>
      </c>
      <c r="EO420">
        <f>IF($EN420=0,0,IF(OR(UPPER(TRIM(INDEX(LINES_SCHEDULED,$EN420)&amp;""))="YES",UPPER(TRIM(INDEX(LINES_SCHEDULED,$EN420)&amp;""))="Y",UPPER(TRIM(INDEX(LINES_SCHEDULED,$EN420)&amp;""))="X"),1,0))</f>
        <v/>
      </c>
      <c r="EP420">
        <f>IF($DM420=0,"",IF(COUNTIFS($EG$5:$EG$1003,$EG420,$EB$5:$EB$1003,"Ready")&gt;0,"READY",IF(COUNTIFS($EG$5:$EG$1003,$EG420,$EB$5:$EB$1003,"PM")&gt;0,"PM",IF(COUNTIFS($EG$5:$EG$1003,$EG420,$EB$5:$EB$1003,"OT")&gt;0,"OT",""))))</f>
        <v/>
      </c>
      <c r="EQ420">
        <f>IF($EN420=0,"",UPPER(TRIM(INDEX(LINES_STATUS,$EN420)&amp;"")))</f>
        <v/>
      </c>
      <c r="ER420">
        <f>IF($DM420=0,"",IF(OR($EQ420="READY",$EQ420="PM",$EQ420="OT"),$EQ420,$EP420))</f>
        <v/>
      </c>
      <c r="ES420">
        <f>IF($DM420=0,"",IF(AND($DV420&lt;&gt;"",UPPER($DV420)&lt;&gt;"N"),"allergen",IF(ISNUMBER(SEARCH("oil",$DQ420)),"oil",IF(OR(EXACT($DS420,"A662"),EXACT($DS420,"A624")),"bulk",""))))</f>
        <v/>
      </c>
      <c r="ET420">
        <f>IF($DM420=0,"",IF(OR($EA420="",$EA420=0),"",$EA420/100))</f>
        <v/>
      </c>
      <c r="EU420">
        <f>IF(OR($ET420="",$DY420=""),"",INT($DY420*(1-$ET420)+0.5))</f>
        <v/>
      </c>
      <c r="EW420" t="n">
        <v>416</v>
      </c>
      <c r="EX420">
        <f>IFERROR(MATCH($EW420,$EM$5:$EM$1003,0),0)</f>
        <v/>
      </c>
      <c r="EY420">
        <f>IF($EW420&gt;$B$12,"",IF($EX420&gt;0,"row","spacer"))</f>
        <v/>
      </c>
      <c r="EZ420">
        <f>IF(AND($EY420="row",$EY419&lt;&gt;"row"),1,0)</f>
        <v/>
      </c>
      <c r="FA420">
        <f>IF(AND($EY420="row",$EY421&lt;&gt;"row"),1,0)</f>
        <v/>
      </c>
      <c r="FB420">
        <f>IF($EZ420=1,IFERROR(IF(ISNUMBER(INDEX(PASTE_ALL,INDEX($DF$5:$DF$1003,$EX420),$B$37)),INDEX(PASTE_ALL,INDEX($DF$5:$DF$1003,$EX420),$B$37),INDEX($DH$5:$DH$1003,$EX420)),INDEX($DH$5:$DH$1003,$EX420)),"")</f>
        <v/>
      </c>
      <c r="FC420">
        <f>IF($EY420="row",INDEX($ER$5:$ER$1003,$EX420),"")</f>
        <v/>
      </c>
      <c r="FD420">
        <f>IF($EY420="row",INDEX($DN$5:$DN$1003,$EX420),"")</f>
        <v/>
      </c>
      <c r="FE420">
        <f>IF($EY420="row",INDEX($DO$5:$DO$1003,$EX420),"")</f>
        <v/>
      </c>
      <c r="FF420">
        <f>IF($EY420="row",INDEX($DP$5:$DP$1003,$EX420),"")</f>
        <v/>
      </c>
      <c r="FG420">
        <f>IF($EY420="row",INDEX($DQ$5:$DQ$1003,$EX420),"")</f>
        <v/>
      </c>
      <c r="FH420">
        <f>IF($EY420="row",INDEX($DR$5:$DR$1003,$EX420),"")</f>
        <v/>
      </c>
      <c r="FI420">
        <f>IF($EY420="row",INDEX($DS$5:$DS$1003,$EX420),"")</f>
        <v/>
      </c>
      <c r="FJ420">
        <f>IF($EY420="row",INDEX($DT$5:$DT$1003,$EX420),"")</f>
        <v/>
      </c>
      <c r="FK420">
        <f>IF($EY420="row",INDEX($DU$5:$DU$1003,$EX420),"")</f>
        <v/>
      </c>
      <c r="FL420">
        <f>IF($EY420="row",INDEX($DV$5:$DV$1003,$EX420),"")</f>
        <v/>
      </c>
      <c r="FM420">
        <f>IF($EY420="row",INDEX($DW$5:$DW$1003,$EX420),"")</f>
        <v/>
      </c>
      <c r="FN420">
        <f>IF($EY420="row",INDEX($DY$5:$DY$1003,$EX420),"")</f>
        <v/>
      </c>
      <c r="FO420">
        <f>IF($EY420="row",INDEX($EA$5:$EA$1003,$EX420),"")</f>
        <v/>
      </c>
      <c r="FP420">
        <f>IF($EY420="row",INDEX($EC$5:$EC$1003,$EX420),"")</f>
        <v/>
      </c>
      <c r="FQ420">
        <f>IF($EY420="row",INDEX($ET$5:$ET$1003,$EX420),"")</f>
        <v/>
      </c>
      <c r="FR420">
        <f>IF($EY420="row",INDEX($EU$5:$EU$1003,$EX420),"")</f>
        <v/>
      </c>
      <c r="FS420">
        <f>IF(AND($EY420="row",$EY419="row"),IF(OR(INDEX($DT$5:$DT$1003,$EX419)="",INDEX($DT$5:$DT$1003,$EX420)=""),"",IF(NOT(EXACT(INDEX($DT$5:$DT$1003,$EX419),INDEX($DT$5:$DT$1003,$EX420))),"S4",IF(NOT(EXACT(INDEX($DS$5:$DS$1003,$EX419),INDEX($DS$5:$DS$1003,$EX420))),"S3",IF(NOT(EXACT(INDEX($DR$5:$DR$1003,$EX419),INDEX($DR$5:$DR$1003,$EX420))),"S1 Count Change","S1")))),"")</f>
        <v/>
      </c>
      <c r="FT420">
        <f>IF($EY420="row",INDEX($ES$5:$ES$1003,$EX420),"")</f>
        <v/>
      </c>
      <c r="FU420">
        <f>IF($EY420="row",INDEX($EO$5:$EO$1003,$EX420),0)</f>
        <v/>
      </c>
      <c r="FV420">
        <f>IF($FS420="S1 Count Change",1,0)</f>
        <v/>
      </c>
    </row>
    <row r="421">
      <c r="DA421" t="n">
        <v>417</v>
      </c>
      <c r="DB421">
        <f>IF($B$37=0,"",IFERROR(TRIM(SUBSTITUTE(SUBSTITUTE(SUBSTITUTE(SUBSTITUTE(INDEX(PASTE_ALL,417,$B$37)," "," "),CHAR(9)," "),CHAR(10)," "),CHAR(13)," ")),""))</f>
        <v/>
      </c>
      <c r="DC421">
        <f>IF(AND(417&gt;HEADER_ROW,UPPER(DB421)="LEGEND"),1,0)</f>
        <v/>
      </c>
      <c r="DE421" t="n">
        <v>417</v>
      </c>
      <c r="DF421">
        <f>HEADER_ROW+$DE421</f>
        <v/>
      </c>
      <c r="DG421">
        <f>IF(AND($DF421&lt;=1000,$DF421&lt;$B$8),1,0)</f>
        <v/>
      </c>
      <c r="DH421">
        <f>IF($DG421=1,IFERROR(INDEX($DB$5:$DB$1004,$DF421),""),"")</f>
        <v/>
      </c>
      <c r="DI421">
        <f>IF(AND($DG421=1,$DH421&lt;&gt;""),IFERROR(SUBSTITUTE(SUBSTITUTE(TRIM(SUBSTITUTE(SUBSTITUTE(SUBSTITUTE(SUBSTITUTE(IFERROR(INDEX(PASTE_ALL,$DF421,1)&amp;"","")&amp;"␟"&amp;IFERROR(INDEX(PASTE_ALL,$DF421,2)&amp;"","")&amp;"␟"&amp;IFERROR(INDEX(PASTE_ALL,$DF421,3)&amp;"","")&amp;"␟"&amp;IFERROR(INDEX(PASTE_ALL,$DF421,4)&amp;"","")&amp;"␟"&amp;IFERROR(INDEX(PASTE_ALL,$DF421,5)&amp;"","")&amp;"␟"&amp;IFERROR(INDEX(PASTE_ALL,$DF421,6)&amp;"","")&amp;"␟"&amp;IFERROR(INDEX(PASTE_ALL,$DF421,7)&amp;"","")&amp;"␟"&amp;IFERROR(INDEX(PASTE_ALL,$DF421,8)&amp;"","")&amp;"␟"&amp;IFERROR(INDEX(PASTE_ALL,$DF421,9)&amp;"","")&amp;"␟"&amp;IFERROR(INDEX(PASTE_ALL,$DF421,10)&amp;"","")&amp;"␟"&amp;IFERROR(INDEX(PASTE_ALL,$DF421,11)&amp;"","")&amp;"␟"&amp;IFERROR(INDEX(PASTE_ALL,$DF421,12)&amp;"","")&amp;"␟"&amp;IFERROR(INDEX(PASTE_ALL,$DF421,13)&amp;"","")&amp;"␟"&amp;IFERROR(INDEX(PASTE_ALL,$DF421,14)&amp;"","")&amp;"␟"&amp;IFERROR(INDEX(PASTE_ALL,$DF421,15)&amp;"","")&amp;"␟"&amp;IFERROR(INDEX(PASTE_ALL,$DF421,16)&amp;"","")&amp;"␟"&amp;IFERROR(INDEX(PASTE_ALL,$DF421,17)&amp;"","")&amp;"␟"&amp;IFERROR(INDEX(PASTE_ALL,$DF421,18)&amp;"","")&amp;"␟"&amp;IFERROR(INDEX(PASTE_ALL,$DF421,19)&amp;"","")&amp;"␟"&amp;IFERROR(INDEX(PASTE_ALL,$DF421,20)&amp;"","")&amp;"␟"&amp;IFERROR(INDEX(PASTE_ALL,$DF421,21)&amp;"","")&amp;"␟"&amp;IFERROR(INDEX(PASTE_ALL,$DF421,22)&amp;"","")&amp;"␟"&amp;IFERROR(INDEX(PASTE_ALL,$DF421,23)&amp;"","")&amp;"␟"&amp;IFERROR(INDEX(PASTE_ALL,$DF421,24)&amp;"","")&amp;"␟"&amp;IFERROR(INDEX(PASTE_ALL,$DF421,25)&amp;"","")&amp;"␟"&amp;IFERROR(INDEX(PASTE_ALL,$DF421,26)&amp;"","")&amp;"␟"&amp;IFERROR(INDEX(PASTE_ALL,$DF421,27)&amp;"","")&amp;"␟"&amp;IFERROR(INDEX(PASTE_ALL,$DF421,28)&amp;"","")&amp;"␟"&amp;IFERROR(INDEX(PASTE_ALL,$DF421,29)&amp;"","")&amp;"␟"&amp;IFERROR(INDEX(PASTE_ALL,$DF421,30)&amp;"","")&amp;"␟"&amp;IFERROR(INDEX(PASTE_ALL,$DF421,31)&amp;"","")&amp;"␟"&amp;IFERROR(INDEX(PASTE_ALL,$DF421,32)&amp;"","")&amp;"␟"&amp;IFERROR(INDEX(PASTE_ALL,$DF421,33)&amp;"","")&amp;"␟"&amp;IFERROR(INDEX(PASTE_ALL,$DF421,34)&amp;"","")&amp;"␟"&amp;IFERROR(INDEX(PASTE_ALL,$DF421,35)&amp;"","")&amp;"␟"&amp;IFERROR(INDEX(PASTE_ALL,$DF421,36)&amp;"","")&amp;"␟"&amp;IFERROR(INDEX(PASTE_ALL,$DF421,37)&amp;"","")&amp;"␟"&amp;IFERROR(INDEX(PASTE_ALL,$DF421,38)&amp;"","")&amp;"␟"&amp;IFERROR(INDEX(PASTE_ALL,$DF421,39)&amp;"","")&amp;"␟"&amp;IFERROR(INDEX(PASTE_ALL,$DF421,40)&amp;"","")&amp;"␟"&amp;IFERROR(INDEX(PASTE_ALL,$DF421,41)&amp;"","")&amp;"␟"&amp;IFERROR(INDEX(PASTE_ALL,$DF421,42)&amp;"","")&amp;"␟"&amp;IFERROR(INDEX(PASTE_ALL,$DF421,43)&amp;"","")&amp;"␟"&amp;IFERROR(INDEX(PASTE_ALL,$DF421,44)&amp;"","")&amp;"␟"&amp;IFERROR(INDEX(PASTE_ALL,$DF421,45)&amp;"","")&amp;"␟"&amp;IFERROR(INDEX(PASTE_ALL,$DF421,46)&amp;"","")&amp;"␟"&amp;IFERROR(INDEX(PASTE_ALL,$DF421,47)&amp;"","")&amp;"␟"&amp;IFERROR(INDEX(PASTE_ALL,$DF421,48)&amp;"","")&amp;"␟"&amp;IFERROR(INDEX(PASTE_ALL,$DF421,49)&amp;"","")&amp;"␟"&amp;IFERROR(INDEX(PASTE_ALL,$DF421,50)&amp;"","")&amp;"␟"&amp;IFERROR(INDEX(PASTE_ALL,$DF421,51)&amp;"","")&amp;"␟"&amp;IFERROR(INDEX(PASTE_ALL,$DF421,52)&amp;"","")&amp;"␟"&amp;IFERROR(INDEX(PASTE_ALL,$DF421,53)&amp;"","")&amp;"␟"&amp;IFERROR(INDEX(PASTE_ALL,$DF421,54)&amp;"","")&amp;"␟"&amp;IFERROR(INDEX(PASTE_ALL,$DF421,55)&amp;"","")&amp;"␟"&amp;IFERROR(INDEX(PASTE_ALL,$DF421,56)&amp;"","")&amp;"␟"&amp;IFERROR(INDEX(PASTE_ALL,$DF421,57)&amp;"","")&amp;"␟"&amp;IFERROR(INDEX(PASTE_ALL,$DF421,58)&amp;"","")&amp;"␟"&amp;IFERROR(INDEX(PASTE_ALL,$DF421,59)&amp;"","")&amp;"␟"&amp;IFERROR(INDEX(PASTE_ALL,$DF421,60)&amp;"","")," "," "),CHAR(9)," "),CHAR(10)," "),CHAR(13)," "))," ␟","␟"),"␟ ","␟"),"#"&amp;$DE421),"")</f>
        <v/>
      </c>
      <c r="DJ421">
        <f>IF($DI421="",0,IF(SUMPRODUCT(--EXACT($DI$4:DI420,$DI421))&gt;0,1,0))</f>
        <v/>
      </c>
      <c r="DK421">
        <f>IF(AND($DI421&lt;&gt;"",$DJ421=0),1,0)</f>
        <v/>
      </c>
      <c r="DL421">
        <f>DL420+$DK421</f>
        <v/>
      </c>
      <c r="DM421">
        <f>IF(AND($DK421=1,$DL421&lt;=600),1,0)</f>
        <v/>
      </c>
      <c r="DN421">
        <f>IF($DM421=0,"",IF($L$6=0,"",IFERROR(IF(ISNUMBER(INDEX(PASTE_ALL,$DF421,$L$6)),INDEX(PASTE_ALL,$DF421,$L$6),TRIM(SUBSTITUTE(SUBSTITUTE(SUBSTITUTE(SUBSTITUTE(INDEX(PASTE_ALL,$DF421,$L$6)," "," "),CHAR(9)," "),CHAR(10)," "),CHAR(13)," "))),"")))</f>
        <v/>
      </c>
      <c r="DO421">
        <f>IF($DM421=0,"",IF($L$7=0,"",IFERROR(IF(ISNUMBER(INDEX(PASTE_ALL,$DF421,$L$7)),INDEX(PASTE_ALL,$DF421,$L$7),TRIM(SUBSTITUTE(SUBSTITUTE(SUBSTITUTE(SUBSTITUTE(INDEX(PASTE_ALL,$DF421,$L$7)," "," "),CHAR(9)," "),CHAR(10)," "),CHAR(13)," "))),"")))</f>
        <v/>
      </c>
      <c r="DP421">
        <f>IF($DM421=0,"",IF($L$8=0,"",IFERROR(IF(ISNUMBER(INDEX(PASTE_ALL,$DF421,$L$8)),INDEX(PASTE_ALL,$DF421,$L$8),TRIM(SUBSTITUTE(SUBSTITUTE(SUBSTITUTE(SUBSTITUTE(INDEX(PASTE_ALL,$DF421,$L$8)," "," "),CHAR(9)," "),CHAR(10)," "),CHAR(13)," "))),"")))</f>
        <v/>
      </c>
      <c r="DQ421">
        <f>IF($DM421=0,"",IF($L$9=0,"",IFERROR(IF(ISNUMBER(INDEX(PASTE_ALL,$DF421,$L$9)),INDEX(PASTE_ALL,$DF421,$L$9),TRIM(SUBSTITUTE(SUBSTITUTE(SUBSTITUTE(SUBSTITUTE(INDEX(PASTE_ALL,$DF421,$L$9)," "," "),CHAR(9)," "),CHAR(10)," "),CHAR(13)," "))),"")))</f>
        <v/>
      </c>
      <c r="DR421">
        <f>IF($DM421=0,"",IF($L$10=0,"",IFERROR(IF(ISNUMBER(INDEX(PASTE_ALL,$DF421,$L$10)),INDEX(PASTE_ALL,$DF421,$L$10),TRIM(SUBSTITUTE(SUBSTITUTE(SUBSTITUTE(SUBSTITUTE(INDEX(PASTE_ALL,$DF421,$L$10)," "," "),CHAR(9)," "),CHAR(10)," "),CHAR(13)," "))),"")))</f>
        <v/>
      </c>
      <c r="DS421">
        <f>IF($DM421=0,"",IF($L$11=0,"",IFERROR(IF(ISNUMBER(INDEX(PASTE_ALL,$DF421,$L$11)),INDEX(PASTE_ALL,$DF421,$L$11),TRIM(SUBSTITUTE(SUBSTITUTE(SUBSTITUTE(SUBSTITUTE(INDEX(PASTE_ALL,$DF421,$L$11)," "," "),CHAR(9)," "),CHAR(10)," "),CHAR(13)," "))),"")))</f>
        <v/>
      </c>
      <c r="DT421">
        <f>IF($DM421=0,"",IF($L$12=0,"",IFERROR(IF(ISNUMBER(INDEX(PASTE_ALL,$DF421,$L$12)),INDEX(PASTE_ALL,$DF421,$L$12),TRIM(SUBSTITUTE(SUBSTITUTE(SUBSTITUTE(SUBSTITUTE(INDEX(PASTE_ALL,$DF421,$L$12)," "," "),CHAR(9)," "),CHAR(10)," "),CHAR(13)," "))),"")))</f>
        <v/>
      </c>
      <c r="DU421">
        <f>IF($DM421=0,"",IF($L$13=0,"",IFERROR(IF(ISNUMBER(INDEX(PASTE_ALL,$DF421,$L$13)),INDEX(PASTE_ALL,$DF421,$L$13),TRIM(SUBSTITUTE(SUBSTITUTE(SUBSTITUTE(SUBSTITUTE(INDEX(PASTE_ALL,$DF421,$L$13)," "," "),CHAR(9)," "),CHAR(10)," "),CHAR(13)," "))),"")))</f>
        <v/>
      </c>
      <c r="DV421">
        <f>IF($DM421=0,"",IF($L$14=0,"",IFERROR(IF(ISNUMBER(INDEX(PASTE_ALL,$DF421,$L$14)),INDEX(PASTE_ALL,$DF421,$L$14),TRIM(SUBSTITUTE(SUBSTITUTE(SUBSTITUTE(SUBSTITUTE(INDEX(PASTE_ALL,$DF421,$L$14)," "," "),CHAR(9)," "),CHAR(10)," "),CHAR(13)," "))),"")))</f>
        <v/>
      </c>
      <c r="DW421">
        <f>IF($DM421=0,"",IF($L$15=0,"",IFERROR(IF(ISNUMBER(INDEX(PASTE_ALL,$DF421,$L$15)),INDEX(PASTE_ALL,$DF421,$L$15),IF(SUMPRODUCT(--ISNUMBER(FIND({"A","B","C","D","E","F","G","H","I","J","K","L","M","N","O","P","Q","R","S","T","U","V","W","X","Y","Z","0","1","2","3","4","5","6","7","8","9"},UPPER(TRIM(SUBSTITUTE(SUBSTITUTE(SUBSTITUTE(SUBSTITUTE(INDEX(PASTE_ALL,$DF421,$L$15)," "," "),CHAR(9)," "),CHAR(10)," "),CHAR(13)," "))))))&gt;0,TRIM(SUBSTITUTE(SUBSTITUTE(SUBSTITUTE(SUBSTITUTE(INDEX(PASTE_ALL,$DF421,$L$15)," "," "),CHAR(9)," "),CHAR(10)," "),CHAR(13)," ")),"")),"")))</f>
        <v/>
      </c>
      <c r="DX421">
        <f>IF($DM421=0,"",IF($L$16=0,"",IFERROR(IF(ISNUMBER(INDEX(PASTE_ALL,$DF421,$L$16)),INDEX(PASTE_ALL,$DF421,$L$16),SUBSTITUTE(SUBSTITUTE(TRIM(SUBSTITUTE(SUBSTITUTE(SUBSTITUTE(SUBSTITUTE(INDEX(PASTE_ALL,$DF421,$L$16)," "," "),CHAR(9)," "),CHAR(10)," "),CHAR(13)," ")),",",""),"%","")),"")))</f>
        <v/>
      </c>
      <c r="DY421">
        <f>IF($DM421=0,"",IFERROR(IF(ISNUMBER($DX421),$DX421,IF($DX421="","",IF(TRIM($DX421)="",0,IF(AND(AND(SUBSTITUTE(SUBSTITUTE(SUBSTITUTE(SUBSTITUTE(SUBSTITUTE(SUBSTITUTE(SUBSTITUTE(SUBSTITUTE(SUBSTITUTE(SUBSTITUTE(SUBSTITUTE(SUBSTITUTE(SUBSTITUTE(SUBSTITUTE(UPPER(TRIM($DX421)),"0",""),"1",""),"2",""),"3",""),"4",""),"5",""),"6",""),"7",""),"8",""),"9",""),".",""),"+",""),"-",""),"E","")="",LEN(SUBSTITUTE(SUBSTITUTE(MID(UPPER(TRIM($DX421)),1+OR(LEFT(UPPER(TRIM($DX421)),1)="+",LEFT(UPPER(TRIM($DX421)),1)="-"),999),"E+","E"),"E-","E"))=LEN(SUBSTITUTE(SUBSTITUTE(SUBSTITUTE(SUBSTITUTE(MID(UPPER(TRIM($DX421)),1+OR(LEFT(UPPER(TRIM($DX421)),1)="+",LEFT(UPPER(TRIM($DX421)),1)="-"),999),"E+","E"),"E-","E"),"+",""),"-","")),LEN(UPPER(TRIM($DX421)))-LEN(SUBSTITUTE(UPPER(TRIM($DX421)),"E",""))&lt;2,LEN(UPPER(TRIM($DX421)))-LEN(SUBSTITUTE(UPPER(TRIM($DX421)),".",""))&lt;2,IFERROR(FIND(".",UPPER(TRIM($DX421))),0)&lt;IFERROR(FIND("E",UPPER(TRIM($DX421))),999)),ISNUMBER(VALUE(TRIM($DX421)))),VALUE(TRIM($DX421)),"")))),""))</f>
        <v/>
      </c>
      <c r="DZ421">
        <f>IF($DM421=0,"",IF($L$17=0,"",IFERROR(IF(ISNUMBER(INDEX(PASTE_ALL,$DF421,$L$17)),INDEX(PASTE_ALL,$DF421,$L$17),SUBSTITUTE(SUBSTITUTE(TRIM(SUBSTITUTE(SUBSTITUTE(SUBSTITUTE(SUBSTITUTE(INDEX(PASTE_ALL,$DF421,$L$17)," "," "),CHAR(9)," "),CHAR(10)," "),CHAR(13)," ")),",",""),"%","")),"")))</f>
        <v/>
      </c>
      <c r="EA421">
        <f>IF($DM421=0,"",IFERROR(IF(ISNUMBER($DZ421),$DZ421,IF($DZ421="","",IF(TRIM($DZ421)="",0,IF(AND(AND(SUBSTITUTE(SUBSTITUTE(SUBSTITUTE(SUBSTITUTE(SUBSTITUTE(SUBSTITUTE(SUBSTITUTE(SUBSTITUTE(SUBSTITUTE(SUBSTITUTE(SUBSTITUTE(SUBSTITUTE(SUBSTITUTE(SUBSTITUTE(UPPER(TRIM($DZ421)),"0",""),"1",""),"2",""),"3",""),"4",""),"5",""),"6",""),"7",""),"8",""),"9",""),".",""),"+",""),"-",""),"E","")="",LEN(SUBSTITUTE(SUBSTITUTE(MID(UPPER(TRIM($DZ421)),1+OR(LEFT(UPPER(TRIM($DZ421)),1)="+",LEFT(UPPER(TRIM($DZ421)),1)="-"),999),"E+","E"),"E-","E"))=LEN(SUBSTITUTE(SUBSTITUTE(SUBSTITUTE(SUBSTITUTE(MID(UPPER(TRIM($DZ421)),1+OR(LEFT(UPPER(TRIM($DZ421)),1)="+",LEFT(UPPER(TRIM($DZ421)),1)="-"),999),"E+","E"),"E-","E"),"+",""),"-","")),LEN(UPPER(TRIM($DZ421)))-LEN(SUBSTITUTE(UPPER(TRIM($DZ421)),"E",""))&lt;2,LEN(UPPER(TRIM($DZ421)))-LEN(SUBSTITUTE(UPPER(TRIM($DZ421)),".",""))&lt;2,IFERROR(FIND(".",UPPER(TRIM($DZ421))),0)&lt;IFERROR(FIND("E",UPPER(TRIM($DZ421))),999)),ISNUMBER(VALUE(TRIM($DZ421)))),VALUE(TRIM($DZ421)),"")))),""))</f>
        <v/>
      </c>
      <c r="EB421">
        <f>IF($DM421=0,"",IF($L$18=0,"",IFERROR(IF(UPPER(TRIM(SUBSTITUTE(SUBSTITUTE(SUBSTITUTE(SUBSTITUTE(INDEX(PASTE_ALL,$DF421,$L$18)," "," "),CHAR(9)," "),CHAR(10)," "),CHAR(13)," ")))="READY","Ready",IF(UPPER(TRIM(SUBSTITUTE(SUBSTITUTE(SUBSTITUTE(SUBSTITUTE(INDEX(PASTE_ALL,$DF421,$L$18)," "," "),CHAR(9)," "),CHAR(10)," "),CHAR(13)," ")))="PM","PM",IF(OR(UPPER(TRIM(SUBSTITUTE(SUBSTITUTE(SUBSTITUTE(SUBSTITUTE(INDEX(PASTE_ALL,$DF421,$L$18)," "," "),CHAR(9)," "),CHAR(10)," "),CHAR(13)," ")))="OT",UPPER(TRIM(SUBSTITUTE(SUBSTITUTE(SUBSTITUTE(SUBSTITUTE(INDEX(PASTE_ALL,$DF421,$L$18)," "," "),CHAR(9)," "),CHAR(10)," "),CHAR(13)," ")))="OVERTIME",UPPER(TRIM(SUBSTITUTE(SUBSTITUTE(SUBSTITUTE(SUBSTITUTE(INDEX(PASTE_ALL,$DF421,$L$18)," "," "),CHAR(9)," "),CHAR(10)," "),CHAR(13)," ")))="TRIAL"),"OT",TRIM(SUBSTITUTE(SUBSTITUTE(SUBSTITUTE(SUBSTITUTE(INDEX(PASTE_ALL,$DF421,$L$18)," "," "),CHAR(9)," "),CHAR(10)," "),CHAR(13)," "))))),"")))</f>
        <v/>
      </c>
      <c r="EC421">
        <f>IF($DM421=0,"",IF($L$19=0,"",IFERROR(IF(ISNUMBER(INDEX(PASTE_ALL,$DF421,$L$19)),INDEX(PASTE_ALL,$DF421,$L$19),TRIM(SUBSTITUTE(SUBSTITUTE(SUBSTITUTE(SUBSTITUTE(INDEX(PASTE_ALL,$DF421,$L$19)," "," "),CHAR(9)," "),CHAR(10)," "),CHAR(13)," "))),"")))</f>
        <v/>
      </c>
      <c r="ED421">
        <f>IF($DM421=0,"",MATCH(1,INDEX(EXACT($DH$5:DH421,$DH421)*$DM$5:DM421,0),0))</f>
        <v/>
      </c>
      <c r="EE421">
        <f>IF($DM421=0,0,IF($ED421=$DE421,1,0))</f>
        <v/>
      </c>
      <c r="EF421">
        <f>EF420+$EE421</f>
        <v/>
      </c>
      <c r="EG421">
        <f>IF($DM421=0,"",INDEX($EF$5:$EF$1003,$ED421))</f>
        <v/>
      </c>
      <c r="EH421">
        <f>IF($DM421=0,"",IF($DO421&lt;&gt;"","",IFERROR(LOOKUP(2,1/(($EG$4:EG420=$EG421)*($DO$4:DO420&lt;&gt;"")),$DO$4:DO420),"")))</f>
        <v/>
      </c>
      <c r="EI421">
        <f>IF($DM421=0,"",IF($DO421&lt;&gt;"",$DO421,$EH421))</f>
        <v/>
      </c>
      <c r="EJ421">
        <f>IF($DM421=0,"",IF($EI421="",0,IF(OR(ISNUMBER($EI421),AND(AND(SUBSTITUTE(SUBSTITUTE(SUBSTITUTE(SUBSTITUTE(SUBSTITUTE(SUBSTITUTE(SUBSTITUTE(SUBSTITUTE(SUBSTITUTE(SUBSTITUTE(SUBSTITUTE(SUBSTITUTE(SUBSTITUTE(SUBSTITUTE(UPPER($EI421),"0",""),"1",""),"2",""),"3",""),"4",""),"5",""),"6",""),"7",""),"8",""),"9",""),".",""),"+",""),"-",""),"E","")="",LEN(SUBSTITUTE(SUBSTITUTE(MID(UPPER($EI421),1+OR(LEFT(UPPER($EI421),1)="+",LEFT(UPPER($EI421),1)="-"),999),"E+","E"),"E-","E"))=LEN(SUBSTITUTE(SUBSTITUTE(SUBSTITUTE(SUBSTITUTE(MID(UPPER($EI421),1+OR(LEFT(UPPER($EI421),1)="+",LEFT(UPPER($EI421),1)="-"),999),"E+","E"),"E-","E"),"+",""),"-","")),LEN(UPPER($EI421))-LEN(SUBSTITUTE(UPPER($EI421),"E",""))&lt;2,LEN(UPPER($EI421))-LEN(SUBSTITUTE(UPPER($EI421),".",""))&lt;2,IFERROR(FIND(".",UPPER($EI421)),0)&lt;IFERROR(FIND("E",UPPER($EI421)),999)),ISNUMBER(VALUE($EI421)))),1,2)))</f>
        <v/>
      </c>
      <c r="EK421">
        <f>IF($DM421=0,"",IF($EJ421=1,IF(ISNUMBER($EI421),$EI421,VALUE($EI421)),IF($EJ421=2,$DE421,0)))</f>
        <v/>
      </c>
      <c r="EL421">
        <f>IF($DM421=0,"",COUNTIF($EG$5:$EG$1003,"&lt;"&amp;$EG421)+SUMPRODUCT(($EG$5:$EG$1003=$EG421)*(($EJ$5:$EJ$1003&lt;$EJ421)+($EJ$5:$EJ$1003=$EJ421)*(($EK$5:$EK$1003&lt;$EK421)+($EK$5:$EK$1003=$EK421)*($DE$5:$DE$1003&lt;$DE421))))+1)</f>
        <v/>
      </c>
      <c r="EM421">
        <f>IF($DM421=0,"",$EL421+$EG421-1)</f>
        <v/>
      </c>
      <c r="EN421">
        <f>IF($DM421=0,0,IFERROR(MATCH(1,INDEX(--(TRIM(SUBSTITUTE(SUBSTITUTE(SUBSTITUTE(SUBSTITUTE(LINES_NAME&amp;""," "," "),CHAR(9)," "),CHAR(10)," "),CHAR(13)," "))=$DH421),0),0),0))</f>
        <v/>
      </c>
      <c r="EO421">
        <f>IF($EN421=0,0,IF(OR(UPPER(TRIM(INDEX(LINES_SCHEDULED,$EN421)&amp;""))="YES",UPPER(TRIM(INDEX(LINES_SCHEDULED,$EN421)&amp;""))="Y",UPPER(TRIM(INDEX(LINES_SCHEDULED,$EN421)&amp;""))="X"),1,0))</f>
        <v/>
      </c>
      <c r="EP421">
        <f>IF($DM421=0,"",IF(COUNTIFS($EG$5:$EG$1003,$EG421,$EB$5:$EB$1003,"Ready")&gt;0,"READY",IF(COUNTIFS($EG$5:$EG$1003,$EG421,$EB$5:$EB$1003,"PM")&gt;0,"PM",IF(COUNTIFS($EG$5:$EG$1003,$EG421,$EB$5:$EB$1003,"OT")&gt;0,"OT",""))))</f>
        <v/>
      </c>
      <c r="EQ421">
        <f>IF($EN421=0,"",UPPER(TRIM(INDEX(LINES_STATUS,$EN421)&amp;"")))</f>
        <v/>
      </c>
      <c r="ER421">
        <f>IF($DM421=0,"",IF(OR($EQ421="READY",$EQ421="PM",$EQ421="OT"),$EQ421,$EP421))</f>
        <v/>
      </c>
      <c r="ES421">
        <f>IF($DM421=0,"",IF(AND($DV421&lt;&gt;"",UPPER($DV421)&lt;&gt;"N"),"allergen",IF(ISNUMBER(SEARCH("oil",$DQ421)),"oil",IF(OR(EXACT($DS421,"A662"),EXACT($DS421,"A624")),"bulk",""))))</f>
        <v/>
      </c>
      <c r="ET421">
        <f>IF($DM421=0,"",IF(OR($EA421="",$EA421=0),"",$EA421/100))</f>
        <v/>
      </c>
      <c r="EU421">
        <f>IF(OR($ET421="",$DY421=""),"",INT($DY421*(1-$ET421)+0.5))</f>
        <v/>
      </c>
      <c r="EW421" t="n">
        <v>417</v>
      </c>
      <c r="EX421">
        <f>IFERROR(MATCH($EW421,$EM$5:$EM$1003,0),0)</f>
        <v/>
      </c>
      <c r="EY421">
        <f>IF($EW421&gt;$B$12,"",IF($EX421&gt;0,"row","spacer"))</f>
        <v/>
      </c>
      <c r="EZ421">
        <f>IF(AND($EY421="row",$EY420&lt;&gt;"row"),1,0)</f>
        <v/>
      </c>
      <c r="FA421">
        <f>IF(AND($EY421="row",$EY422&lt;&gt;"row"),1,0)</f>
        <v/>
      </c>
      <c r="FB421">
        <f>IF($EZ421=1,IFERROR(IF(ISNUMBER(INDEX(PASTE_ALL,INDEX($DF$5:$DF$1003,$EX421),$B$37)),INDEX(PASTE_ALL,INDEX($DF$5:$DF$1003,$EX421),$B$37),INDEX($DH$5:$DH$1003,$EX421)),INDEX($DH$5:$DH$1003,$EX421)),"")</f>
        <v/>
      </c>
      <c r="FC421">
        <f>IF($EY421="row",INDEX($ER$5:$ER$1003,$EX421),"")</f>
        <v/>
      </c>
      <c r="FD421">
        <f>IF($EY421="row",INDEX($DN$5:$DN$1003,$EX421),"")</f>
        <v/>
      </c>
      <c r="FE421">
        <f>IF($EY421="row",INDEX($DO$5:$DO$1003,$EX421),"")</f>
        <v/>
      </c>
      <c r="FF421">
        <f>IF($EY421="row",INDEX($DP$5:$DP$1003,$EX421),"")</f>
        <v/>
      </c>
      <c r="FG421">
        <f>IF($EY421="row",INDEX($DQ$5:$DQ$1003,$EX421),"")</f>
        <v/>
      </c>
      <c r="FH421">
        <f>IF($EY421="row",INDEX($DR$5:$DR$1003,$EX421),"")</f>
        <v/>
      </c>
      <c r="FI421">
        <f>IF($EY421="row",INDEX($DS$5:$DS$1003,$EX421),"")</f>
        <v/>
      </c>
      <c r="FJ421">
        <f>IF($EY421="row",INDEX($DT$5:$DT$1003,$EX421),"")</f>
        <v/>
      </c>
      <c r="FK421">
        <f>IF($EY421="row",INDEX($DU$5:$DU$1003,$EX421),"")</f>
        <v/>
      </c>
      <c r="FL421">
        <f>IF($EY421="row",INDEX($DV$5:$DV$1003,$EX421),"")</f>
        <v/>
      </c>
      <c r="FM421">
        <f>IF($EY421="row",INDEX($DW$5:$DW$1003,$EX421),"")</f>
        <v/>
      </c>
      <c r="FN421">
        <f>IF($EY421="row",INDEX($DY$5:$DY$1003,$EX421),"")</f>
        <v/>
      </c>
      <c r="FO421">
        <f>IF($EY421="row",INDEX($EA$5:$EA$1003,$EX421),"")</f>
        <v/>
      </c>
      <c r="FP421">
        <f>IF($EY421="row",INDEX($EC$5:$EC$1003,$EX421),"")</f>
        <v/>
      </c>
      <c r="FQ421">
        <f>IF($EY421="row",INDEX($ET$5:$ET$1003,$EX421),"")</f>
        <v/>
      </c>
      <c r="FR421">
        <f>IF($EY421="row",INDEX($EU$5:$EU$1003,$EX421),"")</f>
        <v/>
      </c>
      <c r="FS421">
        <f>IF(AND($EY421="row",$EY420="row"),IF(OR(INDEX($DT$5:$DT$1003,$EX420)="",INDEX($DT$5:$DT$1003,$EX421)=""),"",IF(NOT(EXACT(INDEX($DT$5:$DT$1003,$EX420),INDEX($DT$5:$DT$1003,$EX421))),"S4",IF(NOT(EXACT(INDEX($DS$5:$DS$1003,$EX420),INDEX($DS$5:$DS$1003,$EX421))),"S3",IF(NOT(EXACT(INDEX($DR$5:$DR$1003,$EX420),INDEX($DR$5:$DR$1003,$EX421))),"S1 Count Change","S1")))),"")</f>
        <v/>
      </c>
      <c r="FT421">
        <f>IF($EY421="row",INDEX($ES$5:$ES$1003,$EX421),"")</f>
        <v/>
      </c>
      <c r="FU421">
        <f>IF($EY421="row",INDEX($EO$5:$EO$1003,$EX421),0)</f>
        <v/>
      </c>
      <c r="FV421">
        <f>IF($FS421="S1 Count Change",1,0)</f>
        <v/>
      </c>
    </row>
    <row r="422">
      <c r="DA422" t="n">
        <v>418</v>
      </c>
      <c r="DB422">
        <f>IF($B$37=0,"",IFERROR(TRIM(SUBSTITUTE(SUBSTITUTE(SUBSTITUTE(SUBSTITUTE(INDEX(PASTE_ALL,418,$B$37)," "," "),CHAR(9)," "),CHAR(10)," "),CHAR(13)," ")),""))</f>
        <v/>
      </c>
      <c r="DC422">
        <f>IF(AND(418&gt;HEADER_ROW,UPPER(DB422)="LEGEND"),1,0)</f>
        <v/>
      </c>
      <c r="DE422" t="n">
        <v>418</v>
      </c>
      <c r="DF422">
        <f>HEADER_ROW+$DE422</f>
        <v/>
      </c>
      <c r="DG422">
        <f>IF(AND($DF422&lt;=1000,$DF422&lt;$B$8),1,0)</f>
        <v/>
      </c>
      <c r="DH422">
        <f>IF($DG422=1,IFERROR(INDEX($DB$5:$DB$1004,$DF422),""),"")</f>
        <v/>
      </c>
      <c r="DI422">
        <f>IF(AND($DG422=1,$DH422&lt;&gt;""),IFERROR(SUBSTITUTE(SUBSTITUTE(TRIM(SUBSTITUTE(SUBSTITUTE(SUBSTITUTE(SUBSTITUTE(IFERROR(INDEX(PASTE_ALL,$DF422,1)&amp;"","")&amp;"␟"&amp;IFERROR(INDEX(PASTE_ALL,$DF422,2)&amp;"","")&amp;"␟"&amp;IFERROR(INDEX(PASTE_ALL,$DF422,3)&amp;"","")&amp;"␟"&amp;IFERROR(INDEX(PASTE_ALL,$DF422,4)&amp;"","")&amp;"␟"&amp;IFERROR(INDEX(PASTE_ALL,$DF422,5)&amp;"","")&amp;"␟"&amp;IFERROR(INDEX(PASTE_ALL,$DF422,6)&amp;"","")&amp;"␟"&amp;IFERROR(INDEX(PASTE_ALL,$DF422,7)&amp;"","")&amp;"␟"&amp;IFERROR(INDEX(PASTE_ALL,$DF422,8)&amp;"","")&amp;"␟"&amp;IFERROR(INDEX(PASTE_ALL,$DF422,9)&amp;"","")&amp;"␟"&amp;IFERROR(INDEX(PASTE_ALL,$DF422,10)&amp;"","")&amp;"␟"&amp;IFERROR(INDEX(PASTE_ALL,$DF422,11)&amp;"","")&amp;"␟"&amp;IFERROR(INDEX(PASTE_ALL,$DF422,12)&amp;"","")&amp;"␟"&amp;IFERROR(INDEX(PASTE_ALL,$DF422,13)&amp;"","")&amp;"␟"&amp;IFERROR(INDEX(PASTE_ALL,$DF422,14)&amp;"","")&amp;"␟"&amp;IFERROR(INDEX(PASTE_ALL,$DF422,15)&amp;"","")&amp;"␟"&amp;IFERROR(INDEX(PASTE_ALL,$DF422,16)&amp;"","")&amp;"␟"&amp;IFERROR(INDEX(PASTE_ALL,$DF422,17)&amp;"","")&amp;"␟"&amp;IFERROR(INDEX(PASTE_ALL,$DF422,18)&amp;"","")&amp;"␟"&amp;IFERROR(INDEX(PASTE_ALL,$DF422,19)&amp;"","")&amp;"␟"&amp;IFERROR(INDEX(PASTE_ALL,$DF422,20)&amp;"","")&amp;"␟"&amp;IFERROR(INDEX(PASTE_ALL,$DF422,21)&amp;"","")&amp;"␟"&amp;IFERROR(INDEX(PASTE_ALL,$DF422,22)&amp;"","")&amp;"␟"&amp;IFERROR(INDEX(PASTE_ALL,$DF422,23)&amp;"","")&amp;"␟"&amp;IFERROR(INDEX(PASTE_ALL,$DF422,24)&amp;"","")&amp;"␟"&amp;IFERROR(INDEX(PASTE_ALL,$DF422,25)&amp;"","")&amp;"␟"&amp;IFERROR(INDEX(PASTE_ALL,$DF422,26)&amp;"","")&amp;"␟"&amp;IFERROR(INDEX(PASTE_ALL,$DF422,27)&amp;"","")&amp;"␟"&amp;IFERROR(INDEX(PASTE_ALL,$DF422,28)&amp;"","")&amp;"␟"&amp;IFERROR(INDEX(PASTE_ALL,$DF422,29)&amp;"","")&amp;"␟"&amp;IFERROR(INDEX(PASTE_ALL,$DF422,30)&amp;"","")&amp;"␟"&amp;IFERROR(INDEX(PASTE_ALL,$DF422,31)&amp;"","")&amp;"␟"&amp;IFERROR(INDEX(PASTE_ALL,$DF422,32)&amp;"","")&amp;"␟"&amp;IFERROR(INDEX(PASTE_ALL,$DF422,33)&amp;"","")&amp;"␟"&amp;IFERROR(INDEX(PASTE_ALL,$DF422,34)&amp;"","")&amp;"␟"&amp;IFERROR(INDEX(PASTE_ALL,$DF422,35)&amp;"","")&amp;"␟"&amp;IFERROR(INDEX(PASTE_ALL,$DF422,36)&amp;"","")&amp;"␟"&amp;IFERROR(INDEX(PASTE_ALL,$DF422,37)&amp;"","")&amp;"␟"&amp;IFERROR(INDEX(PASTE_ALL,$DF422,38)&amp;"","")&amp;"␟"&amp;IFERROR(INDEX(PASTE_ALL,$DF422,39)&amp;"","")&amp;"␟"&amp;IFERROR(INDEX(PASTE_ALL,$DF422,40)&amp;"","")&amp;"␟"&amp;IFERROR(INDEX(PASTE_ALL,$DF422,41)&amp;"","")&amp;"␟"&amp;IFERROR(INDEX(PASTE_ALL,$DF422,42)&amp;"","")&amp;"␟"&amp;IFERROR(INDEX(PASTE_ALL,$DF422,43)&amp;"","")&amp;"␟"&amp;IFERROR(INDEX(PASTE_ALL,$DF422,44)&amp;"","")&amp;"␟"&amp;IFERROR(INDEX(PASTE_ALL,$DF422,45)&amp;"","")&amp;"␟"&amp;IFERROR(INDEX(PASTE_ALL,$DF422,46)&amp;"","")&amp;"␟"&amp;IFERROR(INDEX(PASTE_ALL,$DF422,47)&amp;"","")&amp;"␟"&amp;IFERROR(INDEX(PASTE_ALL,$DF422,48)&amp;"","")&amp;"␟"&amp;IFERROR(INDEX(PASTE_ALL,$DF422,49)&amp;"","")&amp;"␟"&amp;IFERROR(INDEX(PASTE_ALL,$DF422,50)&amp;"","")&amp;"␟"&amp;IFERROR(INDEX(PASTE_ALL,$DF422,51)&amp;"","")&amp;"␟"&amp;IFERROR(INDEX(PASTE_ALL,$DF422,52)&amp;"","")&amp;"␟"&amp;IFERROR(INDEX(PASTE_ALL,$DF422,53)&amp;"","")&amp;"␟"&amp;IFERROR(INDEX(PASTE_ALL,$DF422,54)&amp;"","")&amp;"␟"&amp;IFERROR(INDEX(PASTE_ALL,$DF422,55)&amp;"","")&amp;"␟"&amp;IFERROR(INDEX(PASTE_ALL,$DF422,56)&amp;"","")&amp;"␟"&amp;IFERROR(INDEX(PASTE_ALL,$DF422,57)&amp;"","")&amp;"␟"&amp;IFERROR(INDEX(PASTE_ALL,$DF422,58)&amp;"","")&amp;"␟"&amp;IFERROR(INDEX(PASTE_ALL,$DF422,59)&amp;"","")&amp;"␟"&amp;IFERROR(INDEX(PASTE_ALL,$DF422,60)&amp;"","")," "," "),CHAR(9)," "),CHAR(10)," "),CHAR(13)," "))," ␟","␟"),"␟ ","␟"),"#"&amp;$DE422),"")</f>
        <v/>
      </c>
      <c r="DJ422">
        <f>IF($DI422="",0,IF(SUMPRODUCT(--EXACT($DI$4:DI421,$DI422))&gt;0,1,0))</f>
        <v/>
      </c>
      <c r="DK422">
        <f>IF(AND($DI422&lt;&gt;"",$DJ422=0),1,0)</f>
        <v/>
      </c>
      <c r="DL422">
        <f>DL421+$DK422</f>
        <v/>
      </c>
      <c r="DM422">
        <f>IF(AND($DK422=1,$DL422&lt;=600),1,0)</f>
        <v/>
      </c>
      <c r="DN422">
        <f>IF($DM422=0,"",IF($L$6=0,"",IFERROR(IF(ISNUMBER(INDEX(PASTE_ALL,$DF422,$L$6)),INDEX(PASTE_ALL,$DF422,$L$6),TRIM(SUBSTITUTE(SUBSTITUTE(SUBSTITUTE(SUBSTITUTE(INDEX(PASTE_ALL,$DF422,$L$6)," "," "),CHAR(9)," "),CHAR(10)," "),CHAR(13)," "))),"")))</f>
        <v/>
      </c>
      <c r="DO422">
        <f>IF($DM422=0,"",IF($L$7=0,"",IFERROR(IF(ISNUMBER(INDEX(PASTE_ALL,$DF422,$L$7)),INDEX(PASTE_ALL,$DF422,$L$7),TRIM(SUBSTITUTE(SUBSTITUTE(SUBSTITUTE(SUBSTITUTE(INDEX(PASTE_ALL,$DF422,$L$7)," "," "),CHAR(9)," "),CHAR(10)," "),CHAR(13)," "))),"")))</f>
        <v/>
      </c>
      <c r="DP422">
        <f>IF($DM422=0,"",IF($L$8=0,"",IFERROR(IF(ISNUMBER(INDEX(PASTE_ALL,$DF422,$L$8)),INDEX(PASTE_ALL,$DF422,$L$8),TRIM(SUBSTITUTE(SUBSTITUTE(SUBSTITUTE(SUBSTITUTE(INDEX(PASTE_ALL,$DF422,$L$8)," "," "),CHAR(9)," "),CHAR(10)," "),CHAR(13)," "))),"")))</f>
        <v/>
      </c>
      <c r="DQ422">
        <f>IF($DM422=0,"",IF($L$9=0,"",IFERROR(IF(ISNUMBER(INDEX(PASTE_ALL,$DF422,$L$9)),INDEX(PASTE_ALL,$DF422,$L$9),TRIM(SUBSTITUTE(SUBSTITUTE(SUBSTITUTE(SUBSTITUTE(INDEX(PASTE_ALL,$DF422,$L$9)," "," "),CHAR(9)," "),CHAR(10)," "),CHAR(13)," "))),"")))</f>
        <v/>
      </c>
      <c r="DR422">
        <f>IF($DM422=0,"",IF($L$10=0,"",IFERROR(IF(ISNUMBER(INDEX(PASTE_ALL,$DF422,$L$10)),INDEX(PASTE_ALL,$DF422,$L$10),TRIM(SUBSTITUTE(SUBSTITUTE(SUBSTITUTE(SUBSTITUTE(INDEX(PASTE_ALL,$DF422,$L$10)," "," "),CHAR(9)," "),CHAR(10)," "),CHAR(13)," "))),"")))</f>
        <v/>
      </c>
      <c r="DS422">
        <f>IF($DM422=0,"",IF($L$11=0,"",IFERROR(IF(ISNUMBER(INDEX(PASTE_ALL,$DF422,$L$11)),INDEX(PASTE_ALL,$DF422,$L$11),TRIM(SUBSTITUTE(SUBSTITUTE(SUBSTITUTE(SUBSTITUTE(INDEX(PASTE_ALL,$DF422,$L$11)," "," "),CHAR(9)," "),CHAR(10)," "),CHAR(13)," "))),"")))</f>
        <v/>
      </c>
      <c r="DT422">
        <f>IF($DM422=0,"",IF($L$12=0,"",IFERROR(IF(ISNUMBER(INDEX(PASTE_ALL,$DF422,$L$12)),INDEX(PASTE_ALL,$DF422,$L$12),TRIM(SUBSTITUTE(SUBSTITUTE(SUBSTITUTE(SUBSTITUTE(INDEX(PASTE_ALL,$DF422,$L$12)," "," "),CHAR(9)," "),CHAR(10)," "),CHAR(13)," "))),"")))</f>
        <v/>
      </c>
      <c r="DU422">
        <f>IF($DM422=0,"",IF($L$13=0,"",IFERROR(IF(ISNUMBER(INDEX(PASTE_ALL,$DF422,$L$13)),INDEX(PASTE_ALL,$DF422,$L$13),TRIM(SUBSTITUTE(SUBSTITUTE(SUBSTITUTE(SUBSTITUTE(INDEX(PASTE_ALL,$DF422,$L$13)," "," "),CHAR(9)," "),CHAR(10)," "),CHAR(13)," "))),"")))</f>
        <v/>
      </c>
      <c r="DV422">
        <f>IF($DM422=0,"",IF($L$14=0,"",IFERROR(IF(ISNUMBER(INDEX(PASTE_ALL,$DF422,$L$14)),INDEX(PASTE_ALL,$DF422,$L$14),TRIM(SUBSTITUTE(SUBSTITUTE(SUBSTITUTE(SUBSTITUTE(INDEX(PASTE_ALL,$DF422,$L$14)," "," "),CHAR(9)," "),CHAR(10)," "),CHAR(13)," "))),"")))</f>
        <v/>
      </c>
      <c r="DW422">
        <f>IF($DM422=0,"",IF($L$15=0,"",IFERROR(IF(ISNUMBER(INDEX(PASTE_ALL,$DF422,$L$15)),INDEX(PASTE_ALL,$DF422,$L$15),IF(SUMPRODUCT(--ISNUMBER(FIND({"A","B","C","D","E","F","G","H","I","J","K","L","M","N","O","P","Q","R","S","T","U","V","W","X","Y","Z","0","1","2","3","4","5","6","7","8","9"},UPPER(TRIM(SUBSTITUTE(SUBSTITUTE(SUBSTITUTE(SUBSTITUTE(INDEX(PASTE_ALL,$DF422,$L$15)," "," "),CHAR(9)," "),CHAR(10)," "),CHAR(13)," "))))))&gt;0,TRIM(SUBSTITUTE(SUBSTITUTE(SUBSTITUTE(SUBSTITUTE(INDEX(PASTE_ALL,$DF422,$L$15)," "," "),CHAR(9)," "),CHAR(10)," "),CHAR(13)," ")),"")),"")))</f>
        <v/>
      </c>
      <c r="DX422">
        <f>IF($DM422=0,"",IF($L$16=0,"",IFERROR(IF(ISNUMBER(INDEX(PASTE_ALL,$DF422,$L$16)),INDEX(PASTE_ALL,$DF422,$L$16),SUBSTITUTE(SUBSTITUTE(TRIM(SUBSTITUTE(SUBSTITUTE(SUBSTITUTE(SUBSTITUTE(INDEX(PASTE_ALL,$DF422,$L$16)," "," "),CHAR(9)," "),CHAR(10)," "),CHAR(13)," ")),",",""),"%","")),"")))</f>
        <v/>
      </c>
      <c r="DY422">
        <f>IF($DM422=0,"",IFERROR(IF(ISNUMBER($DX422),$DX422,IF($DX422="","",IF(TRIM($DX422)="",0,IF(AND(AND(SUBSTITUTE(SUBSTITUTE(SUBSTITUTE(SUBSTITUTE(SUBSTITUTE(SUBSTITUTE(SUBSTITUTE(SUBSTITUTE(SUBSTITUTE(SUBSTITUTE(SUBSTITUTE(SUBSTITUTE(SUBSTITUTE(SUBSTITUTE(UPPER(TRIM($DX422)),"0",""),"1",""),"2",""),"3",""),"4",""),"5",""),"6",""),"7",""),"8",""),"9",""),".",""),"+",""),"-",""),"E","")="",LEN(SUBSTITUTE(SUBSTITUTE(MID(UPPER(TRIM($DX422)),1+OR(LEFT(UPPER(TRIM($DX422)),1)="+",LEFT(UPPER(TRIM($DX422)),1)="-"),999),"E+","E"),"E-","E"))=LEN(SUBSTITUTE(SUBSTITUTE(SUBSTITUTE(SUBSTITUTE(MID(UPPER(TRIM($DX422)),1+OR(LEFT(UPPER(TRIM($DX422)),1)="+",LEFT(UPPER(TRIM($DX422)),1)="-"),999),"E+","E"),"E-","E"),"+",""),"-","")),LEN(UPPER(TRIM($DX422)))-LEN(SUBSTITUTE(UPPER(TRIM($DX422)),"E",""))&lt;2,LEN(UPPER(TRIM($DX422)))-LEN(SUBSTITUTE(UPPER(TRIM($DX422)),".",""))&lt;2,IFERROR(FIND(".",UPPER(TRIM($DX422))),0)&lt;IFERROR(FIND("E",UPPER(TRIM($DX422))),999)),ISNUMBER(VALUE(TRIM($DX422)))),VALUE(TRIM($DX422)),"")))),""))</f>
        <v/>
      </c>
      <c r="DZ422">
        <f>IF($DM422=0,"",IF($L$17=0,"",IFERROR(IF(ISNUMBER(INDEX(PASTE_ALL,$DF422,$L$17)),INDEX(PASTE_ALL,$DF422,$L$17),SUBSTITUTE(SUBSTITUTE(TRIM(SUBSTITUTE(SUBSTITUTE(SUBSTITUTE(SUBSTITUTE(INDEX(PASTE_ALL,$DF422,$L$17)," "," "),CHAR(9)," "),CHAR(10)," "),CHAR(13)," ")),",",""),"%","")),"")))</f>
        <v/>
      </c>
      <c r="EA422">
        <f>IF($DM422=0,"",IFERROR(IF(ISNUMBER($DZ422),$DZ422,IF($DZ422="","",IF(TRIM($DZ422)="",0,IF(AND(AND(SUBSTITUTE(SUBSTITUTE(SUBSTITUTE(SUBSTITUTE(SUBSTITUTE(SUBSTITUTE(SUBSTITUTE(SUBSTITUTE(SUBSTITUTE(SUBSTITUTE(SUBSTITUTE(SUBSTITUTE(SUBSTITUTE(SUBSTITUTE(UPPER(TRIM($DZ422)),"0",""),"1",""),"2",""),"3",""),"4",""),"5",""),"6",""),"7",""),"8",""),"9",""),".",""),"+",""),"-",""),"E","")="",LEN(SUBSTITUTE(SUBSTITUTE(MID(UPPER(TRIM($DZ422)),1+OR(LEFT(UPPER(TRIM($DZ422)),1)="+",LEFT(UPPER(TRIM($DZ422)),1)="-"),999),"E+","E"),"E-","E"))=LEN(SUBSTITUTE(SUBSTITUTE(SUBSTITUTE(SUBSTITUTE(MID(UPPER(TRIM($DZ422)),1+OR(LEFT(UPPER(TRIM($DZ422)),1)="+",LEFT(UPPER(TRIM($DZ422)),1)="-"),999),"E+","E"),"E-","E"),"+",""),"-","")),LEN(UPPER(TRIM($DZ422)))-LEN(SUBSTITUTE(UPPER(TRIM($DZ422)),"E",""))&lt;2,LEN(UPPER(TRIM($DZ422)))-LEN(SUBSTITUTE(UPPER(TRIM($DZ422)),".",""))&lt;2,IFERROR(FIND(".",UPPER(TRIM($DZ422))),0)&lt;IFERROR(FIND("E",UPPER(TRIM($DZ422))),999)),ISNUMBER(VALUE(TRIM($DZ422)))),VALUE(TRIM($DZ422)),"")))),""))</f>
        <v/>
      </c>
      <c r="EB422">
        <f>IF($DM422=0,"",IF($L$18=0,"",IFERROR(IF(UPPER(TRIM(SUBSTITUTE(SUBSTITUTE(SUBSTITUTE(SUBSTITUTE(INDEX(PASTE_ALL,$DF422,$L$18)," "," "),CHAR(9)," "),CHAR(10)," "),CHAR(13)," ")))="READY","Ready",IF(UPPER(TRIM(SUBSTITUTE(SUBSTITUTE(SUBSTITUTE(SUBSTITUTE(INDEX(PASTE_ALL,$DF422,$L$18)," "," "),CHAR(9)," "),CHAR(10)," "),CHAR(13)," ")))="PM","PM",IF(OR(UPPER(TRIM(SUBSTITUTE(SUBSTITUTE(SUBSTITUTE(SUBSTITUTE(INDEX(PASTE_ALL,$DF422,$L$18)," "," "),CHAR(9)," "),CHAR(10)," "),CHAR(13)," ")))="OT",UPPER(TRIM(SUBSTITUTE(SUBSTITUTE(SUBSTITUTE(SUBSTITUTE(INDEX(PASTE_ALL,$DF422,$L$18)," "," "),CHAR(9)," "),CHAR(10)," "),CHAR(13)," ")))="OVERTIME",UPPER(TRIM(SUBSTITUTE(SUBSTITUTE(SUBSTITUTE(SUBSTITUTE(INDEX(PASTE_ALL,$DF422,$L$18)," "," "),CHAR(9)," "),CHAR(10)," "),CHAR(13)," ")))="TRIAL"),"OT",TRIM(SUBSTITUTE(SUBSTITUTE(SUBSTITUTE(SUBSTITUTE(INDEX(PASTE_ALL,$DF422,$L$18)," "," "),CHAR(9)," "),CHAR(10)," "),CHAR(13)," "))))),"")))</f>
        <v/>
      </c>
      <c r="EC422">
        <f>IF($DM422=0,"",IF($L$19=0,"",IFERROR(IF(ISNUMBER(INDEX(PASTE_ALL,$DF422,$L$19)),INDEX(PASTE_ALL,$DF422,$L$19),TRIM(SUBSTITUTE(SUBSTITUTE(SUBSTITUTE(SUBSTITUTE(INDEX(PASTE_ALL,$DF422,$L$19)," "," "),CHAR(9)," "),CHAR(10)," "),CHAR(13)," "))),"")))</f>
        <v/>
      </c>
      <c r="ED422">
        <f>IF($DM422=0,"",MATCH(1,INDEX(EXACT($DH$5:DH422,$DH422)*$DM$5:DM422,0),0))</f>
        <v/>
      </c>
      <c r="EE422">
        <f>IF($DM422=0,0,IF($ED422=$DE422,1,0))</f>
        <v/>
      </c>
      <c r="EF422">
        <f>EF421+$EE422</f>
        <v/>
      </c>
      <c r="EG422">
        <f>IF($DM422=0,"",INDEX($EF$5:$EF$1003,$ED422))</f>
        <v/>
      </c>
      <c r="EH422">
        <f>IF($DM422=0,"",IF($DO422&lt;&gt;"","",IFERROR(LOOKUP(2,1/(($EG$4:EG421=$EG422)*($DO$4:DO421&lt;&gt;"")),$DO$4:DO421),"")))</f>
        <v/>
      </c>
      <c r="EI422">
        <f>IF($DM422=0,"",IF($DO422&lt;&gt;"",$DO422,$EH422))</f>
        <v/>
      </c>
      <c r="EJ422">
        <f>IF($DM422=0,"",IF($EI422="",0,IF(OR(ISNUMBER($EI422),AND(AND(SUBSTITUTE(SUBSTITUTE(SUBSTITUTE(SUBSTITUTE(SUBSTITUTE(SUBSTITUTE(SUBSTITUTE(SUBSTITUTE(SUBSTITUTE(SUBSTITUTE(SUBSTITUTE(SUBSTITUTE(SUBSTITUTE(SUBSTITUTE(UPPER($EI422),"0",""),"1",""),"2",""),"3",""),"4",""),"5",""),"6",""),"7",""),"8",""),"9",""),".",""),"+",""),"-",""),"E","")="",LEN(SUBSTITUTE(SUBSTITUTE(MID(UPPER($EI422),1+OR(LEFT(UPPER($EI422),1)="+",LEFT(UPPER($EI422),1)="-"),999),"E+","E"),"E-","E"))=LEN(SUBSTITUTE(SUBSTITUTE(SUBSTITUTE(SUBSTITUTE(MID(UPPER($EI422),1+OR(LEFT(UPPER($EI422),1)="+",LEFT(UPPER($EI422),1)="-"),999),"E+","E"),"E-","E"),"+",""),"-","")),LEN(UPPER($EI422))-LEN(SUBSTITUTE(UPPER($EI422),"E",""))&lt;2,LEN(UPPER($EI422))-LEN(SUBSTITUTE(UPPER($EI422),".",""))&lt;2,IFERROR(FIND(".",UPPER($EI422)),0)&lt;IFERROR(FIND("E",UPPER($EI422)),999)),ISNUMBER(VALUE($EI422)))),1,2)))</f>
        <v/>
      </c>
      <c r="EK422">
        <f>IF($DM422=0,"",IF($EJ422=1,IF(ISNUMBER($EI422),$EI422,VALUE($EI422)),IF($EJ422=2,$DE422,0)))</f>
        <v/>
      </c>
      <c r="EL422">
        <f>IF($DM422=0,"",COUNTIF($EG$5:$EG$1003,"&lt;"&amp;$EG422)+SUMPRODUCT(($EG$5:$EG$1003=$EG422)*(($EJ$5:$EJ$1003&lt;$EJ422)+($EJ$5:$EJ$1003=$EJ422)*(($EK$5:$EK$1003&lt;$EK422)+($EK$5:$EK$1003=$EK422)*($DE$5:$DE$1003&lt;$DE422))))+1)</f>
        <v/>
      </c>
      <c r="EM422">
        <f>IF($DM422=0,"",$EL422+$EG422-1)</f>
        <v/>
      </c>
      <c r="EN422">
        <f>IF($DM422=0,0,IFERROR(MATCH(1,INDEX(--(TRIM(SUBSTITUTE(SUBSTITUTE(SUBSTITUTE(SUBSTITUTE(LINES_NAME&amp;""," "," "),CHAR(9)," "),CHAR(10)," "),CHAR(13)," "))=$DH422),0),0),0))</f>
        <v/>
      </c>
      <c r="EO422">
        <f>IF($EN422=0,0,IF(OR(UPPER(TRIM(INDEX(LINES_SCHEDULED,$EN422)&amp;""))="YES",UPPER(TRIM(INDEX(LINES_SCHEDULED,$EN422)&amp;""))="Y",UPPER(TRIM(INDEX(LINES_SCHEDULED,$EN422)&amp;""))="X"),1,0))</f>
        <v/>
      </c>
      <c r="EP422">
        <f>IF($DM422=0,"",IF(COUNTIFS($EG$5:$EG$1003,$EG422,$EB$5:$EB$1003,"Ready")&gt;0,"READY",IF(COUNTIFS($EG$5:$EG$1003,$EG422,$EB$5:$EB$1003,"PM")&gt;0,"PM",IF(COUNTIFS($EG$5:$EG$1003,$EG422,$EB$5:$EB$1003,"OT")&gt;0,"OT",""))))</f>
        <v/>
      </c>
      <c r="EQ422">
        <f>IF($EN422=0,"",UPPER(TRIM(INDEX(LINES_STATUS,$EN422)&amp;"")))</f>
        <v/>
      </c>
      <c r="ER422">
        <f>IF($DM422=0,"",IF(OR($EQ422="READY",$EQ422="PM",$EQ422="OT"),$EQ422,$EP422))</f>
        <v/>
      </c>
      <c r="ES422">
        <f>IF($DM422=0,"",IF(AND($DV422&lt;&gt;"",UPPER($DV422)&lt;&gt;"N"),"allergen",IF(ISNUMBER(SEARCH("oil",$DQ422)),"oil",IF(OR(EXACT($DS422,"A662"),EXACT($DS422,"A624")),"bulk",""))))</f>
        <v/>
      </c>
      <c r="ET422">
        <f>IF($DM422=0,"",IF(OR($EA422="",$EA422=0),"",$EA422/100))</f>
        <v/>
      </c>
      <c r="EU422">
        <f>IF(OR($ET422="",$DY422=""),"",INT($DY422*(1-$ET422)+0.5))</f>
        <v/>
      </c>
      <c r="EW422" t="n">
        <v>418</v>
      </c>
      <c r="EX422">
        <f>IFERROR(MATCH($EW422,$EM$5:$EM$1003,0),0)</f>
        <v/>
      </c>
      <c r="EY422">
        <f>IF($EW422&gt;$B$12,"",IF($EX422&gt;0,"row","spacer"))</f>
        <v/>
      </c>
      <c r="EZ422">
        <f>IF(AND($EY422="row",$EY421&lt;&gt;"row"),1,0)</f>
        <v/>
      </c>
      <c r="FA422">
        <f>IF(AND($EY422="row",$EY423&lt;&gt;"row"),1,0)</f>
        <v/>
      </c>
      <c r="FB422">
        <f>IF($EZ422=1,IFERROR(IF(ISNUMBER(INDEX(PASTE_ALL,INDEX($DF$5:$DF$1003,$EX422),$B$37)),INDEX(PASTE_ALL,INDEX($DF$5:$DF$1003,$EX422),$B$37),INDEX($DH$5:$DH$1003,$EX422)),INDEX($DH$5:$DH$1003,$EX422)),"")</f>
        <v/>
      </c>
      <c r="FC422">
        <f>IF($EY422="row",INDEX($ER$5:$ER$1003,$EX422),"")</f>
        <v/>
      </c>
      <c r="FD422">
        <f>IF($EY422="row",INDEX($DN$5:$DN$1003,$EX422),"")</f>
        <v/>
      </c>
      <c r="FE422">
        <f>IF($EY422="row",INDEX($DO$5:$DO$1003,$EX422),"")</f>
        <v/>
      </c>
      <c r="FF422">
        <f>IF($EY422="row",INDEX($DP$5:$DP$1003,$EX422),"")</f>
        <v/>
      </c>
      <c r="FG422">
        <f>IF($EY422="row",INDEX($DQ$5:$DQ$1003,$EX422),"")</f>
        <v/>
      </c>
      <c r="FH422">
        <f>IF($EY422="row",INDEX($DR$5:$DR$1003,$EX422),"")</f>
        <v/>
      </c>
      <c r="FI422">
        <f>IF($EY422="row",INDEX($DS$5:$DS$1003,$EX422),"")</f>
        <v/>
      </c>
      <c r="FJ422">
        <f>IF($EY422="row",INDEX($DT$5:$DT$1003,$EX422),"")</f>
        <v/>
      </c>
      <c r="FK422">
        <f>IF($EY422="row",INDEX($DU$5:$DU$1003,$EX422),"")</f>
        <v/>
      </c>
      <c r="FL422">
        <f>IF($EY422="row",INDEX($DV$5:$DV$1003,$EX422),"")</f>
        <v/>
      </c>
      <c r="FM422">
        <f>IF($EY422="row",INDEX($DW$5:$DW$1003,$EX422),"")</f>
        <v/>
      </c>
      <c r="FN422">
        <f>IF($EY422="row",INDEX($DY$5:$DY$1003,$EX422),"")</f>
        <v/>
      </c>
      <c r="FO422">
        <f>IF($EY422="row",INDEX($EA$5:$EA$1003,$EX422),"")</f>
        <v/>
      </c>
      <c r="FP422">
        <f>IF($EY422="row",INDEX($EC$5:$EC$1003,$EX422),"")</f>
        <v/>
      </c>
      <c r="FQ422">
        <f>IF($EY422="row",INDEX($ET$5:$ET$1003,$EX422),"")</f>
        <v/>
      </c>
      <c r="FR422">
        <f>IF($EY422="row",INDEX($EU$5:$EU$1003,$EX422),"")</f>
        <v/>
      </c>
      <c r="FS422">
        <f>IF(AND($EY422="row",$EY421="row"),IF(OR(INDEX($DT$5:$DT$1003,$EX421)="",INDEX($DT$5:$DT$1003,$EX422)=""),"",IF(NOT(EXACT(INDEX($DT$5:$DT$1003,$EX421),INDEX($DT$5:$DT$1003,$EX422))),"S4",IF(NOT(EXACT(INDEX($DS$5:$DS$1003,$EX421),INDEX($DS$5:$DS$1003,$EX422))),"S3",IF(NOT(EXACT(INDEX($DR$5:$DR$1003,$EX421),INDEX($DR$5:$DR$1003,$EX422))),"S1 Count Change","S1")))),"")</f>
        <v/>
      </c>
      <c r="FT422">
        <f>IF($EY422="row",INDEX($ES$5:$ES$1003,$EX422),"")</f>
        <v/>
      </c>
      <c r="FU422">
        <f>IF($EY422="row",INDEX($EO$5:$EO$1003,$EX422),0)</f>
        <v/>
      </c>
      <c r="FV422">
        <f>IF($FS422="S1 Count Change",1,0)</f>
        <v/>
      </c>
    </row>
    <row r="423">
      <c r="DA423" t="n">
        <v>419</v>
      </c>
      <c r="DB423">
        <f>IF($B$37=0,"",IFERROR(TRIM(SUBSTITUTE(SUBSTITUTE(SUBSTITUTE(SUBSTITUTE(INDEX(PASTE_ALL,419,$B$37)," "," "),CHAR(9)," "),CHAR(10)," "),CHAR(13)," ")),""))</f>
        <v/>
      </c>
      <c r="DC423">
        <f>IF(AND(419&gt;HEADER_ROW,UPPER(DB423)="LEGEND"),1,0)</f>
        <v/>
      </c>
      <c r="DE423" t="n">
        <v>419</v>
      </c>
      <c r="DF423">
        <f>HEADER_ROW+$DE423</f>
        <v/>
      </c>
      <c r="DG423">
        <f>IF(AND($DF423&lt;=1000,$DF423&lt;$B$8),1,0)</f>
        <v/>
      </c>
      <c r="DH423">
        <f>IF($DG423=1,IFERROR(INDEX($DB$5:$DB$1004,$DF423),""),"")</f>
        <v/>
      </c>
      <c r="DI423">
        <f>IF(AND($DG423=1,$DH423&lt;&gt;""),IFERROR(SUBSTITUTE(SUBSTITUTE(TRIM(SUBSTITUTE(SUBSTITUTE(SUBSTITUTE(SUBSTITUTE(IFERROR(INDEX(PASTE_ALL,$DF423,1)&amp;"","")&amp;"␟"&amp;IFERROR(INDEX(PASTE_ALL,$DF423,2)&amp;"","")&amp;"␟"&amp;IFERROR(INDEX(PASTE_ALL,$DF423,3)&amp;"","")&amp;"␟"&amp;IFERROR(INDEX(PASTE_ALL,$DF423,4)&amp;"","")&amp;"␟"&amp;IFERROR(INDEX(PASTE_ALL,$DF423,5)&amp;"","")&amp;"␟"&amp;IFERROR(INDEX(PASTE_ALL,$DF423,6)&amp;"","")&amp;"␟"&amp;IFERROR(INDEX(PASTE_ALL,$DF423,7)&amp;"","")&amp;"␟"&amp;IFERROR(INDEX(PASTE_ALL,$DF423,8)&amp;"","")&amp;"␟"&amp;IFERROR(INDEX(PASTE_ALL,$DF423,9)&amp;"","")&amp;"␟"&amp;IFERROR(INDEX(PASTE_ALL,$DF423,10)&amp;"","")&amp;"␟"&amp;IFERROR(INDEX(PASTE_ALL,$DF423,11)&amp;"","")&amp;"␟"&amp;IFERROR(INDEX(PASTE_ALL,$DF423,12)&amp;"","")&amp;"␟"&amp;IFERROR(INDEX(PASTE_ALL,$DF423,13)&amp;"","")&amp;"␟"&amp;IFERROR(INDEX(PASTE_ALL,$DF423,14)&amp;"","")&amp;"␟"&amp;IFERROR(INDEX(PASTE_ALL,$DF423,15)&amp;"","")&amp;"␟"&amp;IFERROR(INDEX(PASTE_ALL,$DF423,16)&amp;"","")&amp;"␟"&amp;IFERROR(INDEX(PASTE_ALL,$DF423,17)&amp;"","")&amp;"␟"&amp;IFERROR(INDEX(PASTE_ALL,$DF423,18)&amp;"","")&amp;"␟"&amp;IFERROR(INDEX(PASTE_ALL,$DF423,19)&amp;"","")&amp;"␟"&amp;IFERROR(INDEX(PASTE_ALL,$DF423,20)&amp;"","")&amp;"␟"&amp;IFERROR(INDEX(PASTE_ALL,$DF423,21)&amp;"","")&amp;"␟"&amp;IFERROR(INDEX(PASTE_ALL,$DF423,22)&amp;"","")&amp;"␟"&amp;IFERROR(INDEX(PASTE_ALL,$DF423,23)&amp;"","")&amp;"␟"&amp;IFERROR(INDEX(PASTE_ALL,$DF423,24)&amp;"","")&amp;"␟"&amp;IFERROR(INDEX(PASTE_ALL,$DF423,25)&amp;"","")&amp;"␟"&amp;IFERROR(INDEX(PASTE_ALL,$DF423,26)&amp;"","")&amp;"␟"&amp;IFERROR(INDEX(PASTE_ALL,$DF423,27)&amp;"","")&amp;"␟"&amp;IFERROR(INDEX(PASTE_ALL,$DF423,28)&amp;"","")&amp;"␟"&amp;IFERROR(INDEX(PASTE_ALL,$DF423,29)&amp;"","")&amp;"␟"&amp;IFERROR(INDEX(PASTE_ALL,$DF423,30)&amp;"","")&amp;"␟"&amp;IFERROR(INDEX(PASTE_ALL,$DF423,31)&amp;"","")&amp;"␟"&amp;IFERROR(INDEX(PASTE_ALL,$DF423,32)&amp;"","")&amp;"␟"&amp;IFERROR(INDEX(PASTE_ALL,$DF423,33)&amp;"","")&amp;"␟"&amp;IFERROR(INDEX(PASTE_ALL,$DF423,34)&amp;"","")&amp;"␟"&amp;IFERROR(INDEX(PASTE_ALL,$DF423,35)&amp;"","")&amp;"␟"&amp;IFERROR(INDEX(PASTE_ALL,$DF423,36)&amp;"","")&amp;"␟"&amp;IFERROR(INDEX(PASTE_ALL,$DF423,37)&amp;"","")&amp;"␟"&amp;IFERROR(INDEX(PASTE_ALL,$DF423,38)&amp;"","")&amp;"␟"&amp;IFERROR(INDEX(PASTE_ALL,$DF423,39)&amp;"","")&amp;"␟"&amp;IFERROR(INDEX(PASTE_ALL,$DF423,40)&amp;"","")&amp;"␟"&amp;IFERROR(INDEX(PASTE_ALL,$DF423,41)&amp;"","")&amp;"␟"&amp;IFERROR(INDEX(PASTE_ALL,$DF423,42)&amp;"","")&amp;"␟"&amp;IFERROR(INDEX(PASTE_ALL,$DF423,43)&amp;"","")&amp;"␟"&amp;IFERROR(INDEX(PASTE_ALL,$DF423,44)&amp;"","")&amp;"␟"&amp;IFERROR(INDEX(PASTE_ALL,$DF423,45)&amp;"","")&amp;"␟"&amp;IFERROR(INDEX(PASTE_ALL,$DF423,46)&amp;"","")&amp;"␟"&amp;IFERROR(INDEX(PASTE_ALL,$DF423,47)&amp;"","")&amp;"␟"&amp;IFERROR(INDEX(PASTE_ALL,$DF423,48)&amp;"","")&amp;"␟"&amp;IFERROR(INDEX(PASTE_ALL,$DF423,49)&amp;"","")&amp;"␟"&amp;IFERROR(INDEX(PASTE_ALL,$DF423,50)&amp;"","")&amp;"␟"&amp;IFERROR(INDEX(PASTE_ALL,$DF423,51)&amp;"","")&amp;"␟"&amp;IFERROR(INDEX(PASTE_ALL,$DF423,52)&amp;"","")&amp;"␟"&amp;IFERROR(INDEX(PASTE_ALL,$DF423,53)&amp;"","")&amp;"␟"&amp;IFERROR(INDEX(PASTE_ALL,$DF423,54)&amp;"","")&amp;"␟"&amp;IFERROR(INDEX(PASTE_ALL,$DF423,55)&amp;"","")&amp;"␟"&amp;IFERROR(INDEX(PASTE_ALL,$DF423,56)&amp;"","")&amp;"␟"&amp;IFERROR(INDEX(PASTE_ALL,$DF423,57)&amp;"","")&amp;"␟"&amp;IFERROR(INDEX(PASTE_ALL,$DF423,58)&amp;"","")&amp;"␟"&amp;IFERROR(INDEX(PASTE_ALL,$DF423,59)&amp;"","")&amp;"␟"&amp;IFERROR(INDEX(PASTE_ALL,$DF423,60)&amp;"","")," "," "),CHAR(9)," "),CHAR(10)," "),CHAR(13)," "))," ␟","␟"),"␟ ","␟"),"#"&amp;$DE423),"")</f>
        <v/>
      </c>
      <c r="DJ423">
        <f>IF($DI423="",0,IF(SUMPRODUCT(--EXACT($DI$4:DI422,$DI423))&gt;0,1,0))</f>
        <v/>
      </c>
      <c r="DK423">
        <f>IF(AND($DI423&lt;&gt;"",$DJ423=0),1,0)</f>
        <v/>
      </c>
      <c r="DL423">
        <f>DL422+$DK423</f>
        <v/>
      </c>
      <c r="DM423">
        <f>IF(AND($DK423=1,$DL423&lt;=600),1,0)</f>
        <v/>
      </c>
      <c r="DN423">
        <f>IF($DM423=0,"",IF($L$6=0,"",IFERROR(IF(ISNUMBER(INDEX(PASTE_ALL,$DF423,$L$6)),INDEX(PASTE_ALL,$DF423,$L$6),TRIM(SUBSTITUTE(SUBSTITUTE(SUBSTITUTE(SUBSTITUTE(INDEX(PASTE_ALL,$DF423,$L$6)," "," "),CHAR(9)," "),CHAR(10)," "),CHAR(13)," "))),"")))</f>
        <v/>
      </c>
      <c r="DO423">
        <f>IF($DM423=0,"",IF($L$7=0,"",IFERROR(IF(ISNUMBER(INDEX(PASTE_ALL,$DF423,$L$7)),INDEX(PASTE_ALL,$DF423,$L$7),TRIM(SUBSTITUTE(SUBSTITUTE(SUBSTITUTE(SUBSTITUTE(INDEX(PASTE_ALL,$DF423,$L$7)," "," "),CHAR(9)," "),CHAR(10)," "),CHAR(13)," "))),"")))</f>
        <v/>
      </c>
      <c r="DP423">
        <f>IF($DM423=0,"",IF($L$8=0,"",IFERROR(IF(ISNUMBER(INDEX(PASTE_ALL,$DF423,$L$8)),INDEX(PASTE_ALL,$DF423,$L$8),TRIM(SUBSTITUTE(SUBSTITUTE(SUBSTITUTE(SUBSTITUTE(INDEX(PASTE_ALL,$DF423,$L$8)," "," "),CHAR(9)," "),CHAR(10)," "),CHAR(13)," "))),"")))</f>
        <v/>
      </c>
      <c r="DQ423">
        <f>IF($DM423=0,"",IF($L$9=0,"",IFERROR(IF(ISNUMBER(INDEX(PASTE_ALL,$DF423,$L$9)),INDEX(PASTE_ALL,$DF423,$L$9),TRIM(SUBSTITUTE(SUBSTITUTE(SUBSTITUTE(SUBSTITUTE(INDEX(PASTE_ALL,$DF423,$L$9)," "," "),CHAR(9)," "),CHAR(10)," "),CHAR(13)," "))),"")))</f>
        <v/>
      </c>
      <c r="DR423">
        <f>IF($DM423=0,"",IF($L$10=0,"",IFERROR(IF(ISNUMBER(INDEX(PASTE_ALL,$DF423,$L$10)),INDEX(PASTE_ALL,$DF423,$L$10),TRIM(SUBSTITUTE(SUBSTITUTE(SUBSTITUTE(SUBSTITUTE(INDEX(PASTE_ALL,$DF423,$L$10)," "," "),CHAR(9)," "),CHAR(10)," "),CHAR(13)," "))),"")))</f>
        <v/>
      </c>
      <c r="DS423">
        <f>IF($DM423=0,"",IF($L$11=0,"",IFERROR(IF(ISNUMBER(INDEX(PASTE_ALL,$DF423,$L$11)),INDEX(PASTE_ALL,$DF423,$L$11),TRIM(SUBSTITUTE(SUBSTITUTE(SUBSTITUTE(SUBSTITUTE(INDEX(PASTE_ALL,$DF423,$L$11)," "," "),CHAR(9)," "),CHAR(10)," "),CHAR(13)," "))),"")))</f>
        <v/>
      </c>
      <c r="DT423">
        <f>IF($DM423=0,"",IF($L$12=0,"",IFERROR(IF(ISNUMBER(INDEX(PASTE_ALL,$DF423,$L$12)),INDEX(PASTE_ALL,$DF423,$L$12),TRIM(SUBSTITUTE(SUBSTITUTE(SUBSTITUTE(SUBSTITUTE(INDEX(PASTE_ALL,$DF423,$L$12)," "," "),CHAR(9)," "),CHAR(10)," "),CHAR(13)," "))),"")))</f>
        <v/>
      </c>
      <c r="DU423">
        <f>IF($DM423=0,"",IF($L$13=0,"",IFERROR(IF(ISNUMBER(INDEX(PASTE_ALL,$DF423,$L$13)),INDEX(PASTE_ALL,$DF423,$L$13),TRIM(SUBSTITUTE(SUBSTITUTE(SUBSTITUTE(SUBSTITUTE(INDEX(PASTE_ALL,$DF423,$L$13)," "," "),CHAR(9)," "),CHAR(10)," "),CHAR(13)," "))),"")))</f>
        <v/>
      </c>
      <c r="DV423">
        <f>IF($DM423=0,"",IF($L$14=0,"",IFERROR(IF(ISNUMBER(INDEX(PASTE_ALL,$DF423,$L$14)),INDEX(PASTE_ALL,$DF423,$L$14),TRIM(SUBSTITUTE(SUBSTITUTE(SUBSTITUTE(SUBSTITUTE(INDEX(PASTE_ALL,$DF423,$L$14)," "," "),CHAR(9)," "),CHAR(10)," "),CHAR(13)," "))),"")))</f>
        <v/>
      </c>
      <c r="DW423">
        <f>IF($DM423=0,"",IF($L$15=0,"",IFERROR(IF(ISNUMBER(INDEX(PASTE_ALL,$DF423,$L$15)),INDEX(PASTE_ALL,$DF423,$L$15),IF(SUMPRODUCT(--ISNUMBER(FIND({"A","B","C","D","E","F","G","H","I","J","K","L","M","N","O","P","Q","R","S","T","U","V","W","X","Y","Z","0","1","2","3","4","5","6","7","8","9"},UPPER(TRIM(SUBSTITUTE(SUBSTITUTE(SUBSTITUTE(SUBSTITUTE(INDEX(PASTE_ALL,$DF423,$L$15)," "," "),CHAR(9)," "),CHAR(10)," "),CHAR(13)," "))))))&gt;0,TRIM(SUBSTITUTE(SUBSTITUTE(SUBSTITUTE(SUBSTITUTE(INDEX(PASTE_ALL,$DF423,$L$15)," "," "),CHAR(9)," "),CHAR(10)," "),CHAR(13)," ")),"")),"")))</f>
        <v/>
      </c>
      <c r="DX423">
        <f>IF($DM423=0,"",IF($L$16=0,"",IFERROR(IF(ISNUMBER(INDEX(PASTE_ALL,$DF423,$L$16)),INDEX(PASTE_ALL,$DF423,$L$16),SUBSTITUTE(SUBSTITUTE(TRIM(SUBSTITUTE(SUBSTITUTE(SUBSTITUTE(SUBSTITUTE(INDEX(PASTE_ALL,$DF423,$L$16)," "," "),CHAR(9)," "),CHAR(10)," "),CHAR(13)," ")),",",""),"%","")),"")))</f>
        <v/>
      </c>
      <c r="DY423">
        <f>IF($DM423=0,"",IFERROR(IF(ISNUMBER($DX423),$DX423,IF($DX423="","",IF(TRIM($DX423)="",0,IF(AND(AND(SUBSTITUTE(SUBSTITUTE(SUBSTITUTE(SUBSTITUTE(SUBSTITUTE(SUBSTITUTE(SUBSTITUTE(SUBSTITUTE(SUBSTITUTE(SUBSTITUTE(SUBSTITUTE(SUBSTITUTE(SUBSTITUTE(SUBSTITUTE(UPPER(TRIM($DX423)),"0",""),"1",""),"2",""),"3",""),"4",""),"5",""),"6",""),"7",""),"8",""),"9",""),".",""),"+",""),"-",""),"E","")="",LEN(SUBSTITUTE(SUBSTITUTE(MID(UPPER(TRIM($DX423)),1+OR(LEFT(UPPER(TRIM($DX423)),1)="+",LEFT(UPPER(TRIM($DX423)),1)="-"),999),"E+","E"),"E-","E"))=LEN(SUBSTITUTE(SUBSTITUTE(SUBSTITUTE(SUBSTITUTE(MID(UPPER(TRIM($DX423)),1+OR(LEFT(UPPER(TRIM($DX423)),1)="+",LEFT(UPPER(TRIM($DX423)),1)="-"),999),"E+","E"),"E-","E"),"+",""),"-","")),LEN(UPPER(TRIM($DX423)))-LEN(SUBSTITUTE(UPPER(TRIM($DX423)),"E",""))&lt;2,LEN(UPPER(TRIM($DX423)))-LEN(SUBSTITUTE(UPPER(TRIM($DX423)),".",""))&lt;2,IFERROR(FIND(".",UPPER(TRIM($DX423))),0)&lt;IFERROR(FIND("E",UPPER(TRIM($DX423))),999)),ISNUMBER(VALUE(TRIM($DX423)))),VALUE(TRIM($DX423)),"")))),""))</f>
        <v/>
      </c>
      <c r="DZ423">
        <f>IF($DM423=0,"",IF($L$17=0,"",IFERROR(IF(ISNUMBER(INDEX(PASTE_ALL,$DF423,$L$17)),INDEX(PASTE_ALL,$DF423,$L$17),SUBSTITUTE(SUBSTITUTE(TRIM(SUBSTITUTE(SUBSTITUTE(SUBSTITUTE(SUBSTITUTE(INDEX(PASTE_ALL,$DF423,$L$17)," "," "),CHAR(9)," "),CHAR(10)," "),CHAR(13)," ")),",",""),"%","")),"")))</f>
        <v/>
      </c>
      <c r="EA423">
        <f>IF($DM423=0,"",IFERROR(IF(ISNUMBER($DZ423),$DZ423,IF($DZ423="","",IF(TRIM($DZ423)="",0,IF(AND(AND(SUBSTITUTE(SUBSTITUTE(SUBSTITUTE(SUBSTITUTE(SUBSTITUTE(SUBSTITUTE(SUBSTITUTE(SUBSTITUTE(SUBSTITUTE(SUBSTITUTE(SUBSTITUTE(SUBSTITUTE(SUBSTITUTE(SUBSTITUTE(UPPER(TRIM($DZ423)),"0",""),"1",""),"2",""),"3",""),"4",""),"5",""),"6",""),"7",""),"8",""),"9",""),".",""),"+",""),"-",""),"E","")="",LEN(SUBSTITUTE(SUBSTITUTE(MID(UPPER(TRIM($DZ423)),1+OR(LEFT(UPPER(TRIM($DZ423)),1)="+",LEFT(UPPER(TRIM($DZ423)),1)="-"),999),"E+","E"),"E-","E"))=LEN(SUBSTITUTE(SUBSTITUTE(SUBSTITUTE(SUBSTITUTE(MID(UPPER(TRIM($DZ423)),1+OR(LEFT(UPPER(TRIM($DZ423)),1)="+",LEFT(UPPER(TRIM($DZ423)),1)="-"),999),"E+","E"),"E-","E"),"+",""),"-","")),LEN(UPPER(TRIM($DZ423)))-LEN(SUBSTITUTE(UPPER(TRIM($DZ423)),"E",""))&lt;2,LEN(UPPER(TRIM($DZ423)))-LEN(SUBSTITUTE(UPPER(TRIM($DZ423)),".",""))&lt;2,IFERROR(FIND(".",UPPER(TRIM($DZ423))),0)&lt;IFERROR(FIND("E",UPPER(TRIM($DZ423))),999)),ISNUMBER(VALUE(TRIM($DZ423)))),VALUE(TRIM($DZ423)),"")))),""))</f>
        <v/>
      </c>
      <c r="EB423">
        <f>IF($DM423=0,"",IF($L$18=0,"",IFERROR(IF(UPPER(TRIM(SUBSTITUTE(SUBSTITUTE(SUBSTITUTE(SUBSTITUTE(INDEX(PASTE_ALL,$DF423,$L$18)," "," "),CHAR(9)," "),CHAR(10)," "),CHAR(13)," ")))="READY","Ready",IF(UPPER(TRIM(SUBSTITUTE(SUBSTITUTE(SUBSTITUTE(SUBSTITUTE(INDEX(PASTE_ALL,$DF423,$L$18)," "," "),CHAR(9)," "),CHAR(10)," "),CHAR(13)," ")))="PM","PM",IF(OR(UPPER(TRIM(SUBSTITUTE(SUBSTITUTE(SUBSTITUTE(SUBSTITUTE(INDEX(PASTE_ALL,$DF423,$L$18)," "," "),CHAR(9)," "),CHAR(10)," "),CHAR(13)," ")))="OT",UPPER(TRIM(SUBSTITUTE(SUBSTITUTE(SUBSTITUTE(SUBSTITUTE(INDEX(PASTE_ALL,$DF423,$L$18)," "," "),CHAR(9)," "),CHAR(10)," "),CHAR(13)," ")))="OVERTIME",UPPER(TRIM(SUBSTITUTE(SUBSTITUTE(SUBSTITUTE(SUBSTITUTE(INDEX(PASTE_ALL,$DF423,$L$18)," "," "),CHAR(9)," "),CHAR(10)," "),CHAR(13)," ")))="TRIAL"),"OT",TRIM(SUBSTITUTE(SUBSTITUTE(SUBSTITUTE(SUBSTITUTE(INDEX(PASTE_ALL,$DF423,$L$18)," "," "),CHAR(9)," "),CHAR(10)," "),CHAR(13)," "))))),"")))</f>
        <v/>
      </c>
      <c r="EC423">
        <f>IF($DM423=0,"",IF($L$19=0,"",IFERROR(IF(ISNUMBER(INDEX(PASTE_ALL,$DF423,$L$19)),INDEX(PASTE_ALL,$DF423,$L$19),TRIM(SUBSTITUTE(SUBSTITUTE(SUBSTITUTE(SUBSTITUTE(INDEX(PASTE_ALL,$DF423,$L$19)," "," "),CHAR(9)," "),CHAR(10)," "),CHAR(13)," "))),"")))</f>
        <v/>
      </c>
      <c r="ED423">
        <f>IF($DM423=0,"",MATCH(1,INDEX(EXACT($DH$5:DH423,$DH423)*$DM$5:DM423,0),0))</f>
        <v/>
      </c>
      <c r="EE423">
        <f>IF($DM423=0,0,IF($ED423=$DE423,1,0))</f>
        <v/>
      </c>
      <c r="EF423">
        <f>EF422+$EE423</f>
        <v/>
      </c>
      <c r="EG423">
        <f>IF($DM423=0,"",INDEX($EF$5:$EF$1003,$ED423))</f>
        <v/>
      </c>
      <c r="EH423">
        <f>IF($DM423=0,"",IF($DO423&lt;&gt;"","",IFERROR(LOOKUP(2,1/(($EG$4:EG422=$EG423)*($DO$4:DO422&lt;&gt;"")),$DO$4:DO422),"")))</f>
        <v/>
      </c>
      <c r="EI423">
        <f>IF($DM423=0,"",IF($DO423&lt;&gt;"",$DO423,$EH423))</f>
        <v/>
      </c>
      <c r="EJ423">
        <f>IF($DM423=0,"",IF($EI423="",0,IF(OR(ISNUMBER($EI423),AND(AND(SUBSTITUTE(SUBSTITUTE(SUBSTITUTE(SUBSTITUTE(SUBSTITUTE(SUBSTITUTE(SUBSTITUTE(SUBSTITUTE(SUBSTITUTE(SUBSTITUTE(SUBSTITUTE(SUBSTITUTE(SUBSTITUTE(SUBSTITUTE(UPPER($EI423),"0",""),"1",""),"2",""),"3",""),"4",""),"5",""),"6",""),"7",""),"8",""),"9",""),".",""),"+",""),"-",""),"E","")="",LEN(SUBSTITUTE(SUBSTITUTE(MID(UPPER($EI423),1+OR(LEFT(UPPER($EI423),1)="+",LEFT(UPPER($EI423),1)="-"),999),"E+","E"),"E-","E"))=LEN(SUBSTITUTE(SUBSTITUTE(SUBSTITUTE(SUBSTITUTE(MID(UPPER($EI423),1+OR(LEFT(UPPER($EI423),1)="+",LEFT(UPPER($EI423),1)="-"),999),"E+","E"),"E-","E"),"+",""),"-","")),LEN(UPPER($EI423))-LEN(SUBSTITUTE(UPPER($EI423),"E",""))&lt;2,LEN(UPPER($EI423))-LEN(SUBSTITUTE(UPPER($EI423),".",""))&lt;2,IFERROR(FIND(".",UPPER($EI423)),0)&lt;IFERROR(FIND("E",UPPER($EI423)),999)),ISNUMBER(VALUE($EI423)))),1,2)))</f>
        <v/>
      </c>
      <c r="EK423">
        <f>IF($DM423=0,"",IF($EJ423=1,IF(ISNUMBER($EI423),$EI423,VALUE($EI423)),IF($EJ423=2,$DE423,0)))</f>
        <v/>
      </c>
      <c r="EL423">
        <f>IF($DM423=0,"",COUNTIF($EG$5:$EG$1003,"&lt;"&amp;$EG423)+SUMPRODUCT(($EG$5:$EG$1003=$EG423)*(($EJ$5:$EJ$1003&lt;$EJ423)+($EJ$5:$EJ$1003=$EJ423)*(($EK$5:$EK$1003&lt;$EK423)+($EK$5:$EK$1003=$EK423)*($DE$5:$DE$1003&lt;$DE423))))+1)</f>
        <v/>
      </c>
      <c r="EM423">
        <f>IF($DM423=0,"",$EL423+$EG423-1)</f>
        <v/>
      </c>
      <c r="EN423">
        <f>IF($DM423=0,0,IFERROR(MATCH(1,INDEX(--(TRIM(SUBSTITUTE(SUBSTITUTE(SUBSTITUTE(SUBSTITUTE(LINES_NAME&amp;""," "," "),CHAR(9)," "),CHAR(10)," "),CHAR(13)," "))=$DH423),0),0),0))</f>
        <v/>
      </c>
      <c r="EO423">
        <f>IF($EN423=0,0,IF(OR(UPPER(TRIM(INDEX(LINES_SCHEDULED,$EN423)&amp;""))="YES",UPPER(TRIM(INDEX(LINES_SCHEDULED,$EN423)&amp;""))="Y",UPPER(TRIM(INDEX(LINES_SCHEDULED,$EN423)&amp;""))="X"),1,0))</f>
        <v/>
      </c>
      <c r="EP423">
        <f>IF($DM423=0,"",IF(COUNTIFS($EG$5:$EG$1003,$EG423,$EB$5:$EB$1003,"Ready")&gt;0,"READY",IF(COUNTIFS($EG$5:$EG$1003,$EG423,$EB$5:$EB$1003,"PM")&gt;0,"PM",IF(COUNTIFS($EG$5:$EG$1003,$EG423,$EB$5:$EB$1003,"OT")&gt;0,"OT",""))))</f>
        <v/>
      </c>
      <c r="EQ423">
        <f>IF($EN423=0,"",UPPER(TRIM(INDEX(LINES_STATUS,$EN423)&amp;"")))</f>
        <v/>
      </c>
      <c r="ER423">
        <f>IF($DM423=0,"",IF(OR($EQ423="READY",$EQ423="PM",$EQ423="OT"),$EQ423,$EP423))</f>
        <v/>
      </c>
      <c r="ES423">
        <f>IF($DM423=0,"",IF(AND($DV423&lt;&gt;"",UPPER($DV423)&lt;&gt;"N"),"allergen",IF(ISNUMBER(SEARCH("oil",$DQ423)),"oil",IF(OR(EXACT($DS423,"A662"),EXACT($DS423,"A624")),"bulk",""))))</f>
        <v/>
      </c>
      <c r="ET423">
        <f>IF($DM423=0,"",IF(OR($EA423="",$EA423=0),"",$EA423/100))</f>
        <v/>
      </c>
      <c r="EU423">
        <f>IF(OR($ET423="",$DY423=""),"",INT($DY423*(1-$ET423)+0.5))</f>
        <v/>
      </c>
      <c r="EW423" t="n">
        <v>419</v>
      </c>
      <c r="EX423">
        <f>IFERROR(MATCH($EW423,$EM$5:$EM$1003,0),0)</f>
        <v/>
      </c>
      <c r="EY423">
        <f>IF($EW423&gt;$B$12,"",IF($EX423&gt;0,"row","spacer"))</f>
        <v/>
      </c>
      <c r="EZ423">
        <f>IF(AND($EY423="row",$EY422&lt;&gt;"row"),1,0)</f>
        <v/>
      </c>
      <c r="FA423">
        <f>IF(AND($EY423="row",$EY424&lt;&gt;"row"),1,0)</f>
        <v/>
      </c>
      <c r="FB423">
        <f>IF($EZ423=1,IFERROR(IF(ISNUMBER(INDEX(PASTE_ALL,INDEX($DF$5:$DF$1003,$EX423),$B$37)),INDEX(PASTE_ALL,INDEX($DF$5:$DF$1003,$EX423),$B$37),INDEX($DH$5:$DH$1003,$EX423)),INDEX($DH$5:$DH$1003,$EX423)),"")</f>
        <v/>
      </c>
      <c r="FC423">
        <f>IF($EY423="row",INDEX($ER$5:$ER$1003,$EX423),"")</f>
        <v/>
      </c>
      <c r="FD423">
        <f>IF($EY423="row",INDEX($DN$5:$DN$1003,$EX423),"")</f>
        <v/>
      </c>
      <c r="FE423">
        <f>IF($EY423="row",INDEX($DO$5:$DO$1003,$EX423),"")</f>
        <v/>
      </c>
      <c r="FF423">
        <f>IF($EY423="row",INDEX($DP$5:$DP$1003,$EX423),"")</f>
        <v/>
      </c>
      <c r="FG423">
        <f>IF($EY423="row",INDEX($DQ$5:$DQ$1003,$EX423),"")</f>
        <v/>
      </c>
      <c r="FH423">
        <f>IF($EY423="row",INDEX($DR$5:$DR$1003,$EX423),"")</f>
        <v/>
      </c>
      <c r="FI423">
        <f>IF($EY423="row",INDEX($DS$5:$DS$1003,$EX423),"")</f>
        <v/>
      </c>
      <c r="FJ423">
        <f>IF($EY423="row",INDEX($DT$5:$DT$1003,$EX423),"")</f>
        <v/>
      </c>
      <c r="FK423">
        <f>IF($EY423="row",INDEX($DU$5:$DU$1003,$EX423),"")</f>
        <v/>
      </c>
      <c r="FL423">
        <f>IF($EY423="row",INDEX($DV$5:$DV$1003,$EX423),"")</f>
        <v/>
      </c>
      <c r="FM423">
        <f>IF($EY423="row",INDEX($DW$5:$DW$1003,$EX423),"")</f>
        <v/>
      </c>
      <c r="FN423">
        <f>IF($EY423="row",INDEX($DY$5:$DY$1003,$EX423),"")</f>
        <v/>
      </c>
      <c r="FO423">
        <f>IF($EY423="row",INDEX($EA$5:$EA$1003,$EX423),"")</f>
        <v/>
      </c>
      <c r="FP423">
        <f>IF($EY423="row",INDEX($EC$5:$EC$1003,$EX423),"")</f>
        <v/>
      </c>
      <c r="FQ423">
        <f>IF($EY423="row",INDEX($ET$5:$ET$1003,$EX423),"")</f>
        <v/>
      </c>
      <c r="FR423">
        <f>IF($EY423="row",INDEX($EU$5:$EU$1003,$EX423),"")</f>
        <v/>
      </c>
      <c r="FS423">
        <f>IF(AND($EY423="row",$EY422="row"),IF(OR(INDEX($DT$5:$DT$1003,$EX422)="",INDEX($DT$5:$DT$1003,$EX423)=""),"",IF(NOT(EXACT(INDEX($DT$5:$DT$1003,$EX422),INDEX($DT$5:$DT$1003,$EX423))),"S4",IF(NOT(EXACT(INDEX($DS$5:$DS$1003,$EX422),INDEX($DS$5:$DS$1003,$EX423))),"S3",IF(NOT(EXACT(INDEX($DR$5:$DR$1003,$EX422),INDEX($DR$5:$DR$1003,$EX423))),"S1 Count Change","S1")))),"")</f>
        <v/>
      </c>
      <c r="FT423">
        <f>IF($EY423="row",INDEX($ES$5:$ES$1003,$EX423),"")</f>
        <v/>
      </c>
      <c r="FU423">
        <f>IF($EY423="row",INDEX($EO$5:$EO$1003,$EX423),0)</f>
        <v/>
      </c>
      <c r="FV423">
        <f>IF($FS423="S1 Count Change",1,0)</f>
        <v/>
      </c>
    </row>
    <row r="424">
      <c r="DA424" t="n">
        <v>420</v>
      </c>
      <c r="DB424">
        <f>IF($B$37=0,"",IFERROR(TRIM(SUBSTITUTE(SUBSTITUTE(SUBSTITUTE(SUBSTITUTE(INDEX(PASTE_ALL,420,$B$37)," "," "),CHAR(9)," "),CHAR(10)," "),CHAR(13)," ")),""))</f>
        <v/>
      </c>
      <c r="DC424">
        <f>IF(AND(420&gt;HEADER_ROW,UPPER(DB424)="LEGEND"),1,0)</f>
        <v/>
      </c>
      <c r="DE424" t="n">
        <v>420</v>
      </c>
      <c r="DF424">
        <f>HEADER_ROW+$DE424</f>
        <v/>
      </c>
      <c r="DG424">
        <f>IF(AND($DF424&lt;=1000,$DF424&lt;$B$8),1,0)</f>
        <v/>
      </c>
      <c r="DH424">
        <f>IF($DG424=1,IFERROR(INDEX($DB$5:$DB$1004,$DF424),""),"")</f>
        <v/>
      </c>
      <c r="DI424">
        <f>IF(AND($DG424=1,$DH424&lt;&gt;""),IFERROR(SUBSTITUTE(SUBSTITUTE(TRIM(SUBSTITUTE(SUBSTITUTE(SUBSTITUTE(SUBSTITUTE(IFERROR(INDEX(PASTE_ALL,$DF424,1)&amp;"","")&amp;"␟"&amp;IFERROR(INDEX(PASTE_ALL,$DF424,2)&amp;"","")&amp;"␟"&amp;IFERROR(INDEX(PASTE_ALL,$DF424,3)&amp;"","")&amp;"␟"&amp;IFERROR(INDEX(PASTE_ALL,$DF424,4)&amp;"","")&amp;"␟"&amp;IFERROR(INDEX(PASTE_ALL,$DF424,5)&amp;"","")&amp;"␟"&amp;IFERROR(INDEX(PASTE_ALL,$DF424,6)&amp;"","")&amp;"␟"&amp;IFERROR(INDEX(PASTE_ALL,$DF424,7)&amp;"","")&amp;"␟"&amp;IFERROR(INDEX(PASTE_ALL,$DF424,8)&amp;"","")&amp;"␟"&amp;IFERROR(INDEX(PASTE_ALL,$DF424,9)&amp;"","")&amp;"␟"&amp;IFERROR(INDEX(PASTE_ALL,$DF424,10)&amp;"","")&amp;"␟"&amp;IFERROR(INDEX(PASTE_ALL,$DF424,11)&amp;"","")&amp;"␟"&amp;IFERROR(INDEX(PASTE_ALL,$DF424,12)&amp;"","")&amp;"␟"&amp;IFERROR(INDEX(PASTE_ALL,$DF424,13)&amp;"","")&amp;"␟"&amp;IFERROR(INDEX(PASTE_ALL,$DF424,14)&amp;"","")&amp;"␟"&amp;IFERROR(INDEX(PASTE_ALL,$DF424,15)&amp;"","")&amp;"␟"&amp;IFERROR(INDEX(PASTE_ALL,$DF424,16)&amp;"","")&amp;"␟"&amp;IFERROR(INDEX(PASTE_ALL,$DF424,17)&amp;"","")&amp;"␟"&amp;IFERROR(INDEX(PASTE_ALL,$DF424,18)&amp;"","")&amp;"␟"&amp;IFERROR(INDEX(PASTE_ALL,$DF424,19)&amp;"","")&amp;"␟"&amp;IFERROR(INDEX(PASTE_ALL,$DF424,20)&amp;"","")&amp;"␟"&amp;IFERROR(INDEX(PASTE_ALL,$DF424,21)&amp;"","")&amp;"␟"&amp;IFERROR(INDEX(PASTE_ALL,$DF424,22)&amp;"","")&amp;"␟"&amp;IFERROR(INDEX(PASTE_ALL,$DF424,23)&amp;"","")&amp;"␟"&amp;IFERROR(INDEX(PASTE_ALL,$DF424,24)&amp;"","")&amp;"␟"&amp;IFERROR(INDEX(PASTE_ALL,$DF424,25)&amp;"","")&amp;"␟"&amp;IFERROR(INDEX(PASTE_ALL,$DF424,26)&amp;"","")&amp;"␟"&amp;IFERROR(INDEX(PASTE_ALL,$DF424,27)&amp;"","")&amp;"␟"&amp;IFERROR(INDEX(PASTE_ALL,$DF424,28)&amp;"","")&amp;"␟"&amp;IFERROR(INDEX(PASTE_ALL,$DF424,29)&amp;"","")&amp;"␟"&amp;IFERROR(INDEX(PASTE_ALL,$DF424,30)&amp;"","")&amp;"␟"&amp;IFERROR(INDEX(PASTE_ALL,$DF424,31)&amp;"","")&amp;"␟"&amp;IFERROR(INDEX(PASTE_ALL,$DF424,32)&amp;"","")&amp;"␟"&amp;IFERROR(INDEX(PASTE_ALL,$DF424,33)&amp;"","")&amp;"␟"&amp;IFERROR(INDEX(PASTE_ALL,$DF424,34)&amp;"","")&amp;"␟"&amp;IFERROR(INDEX(PASTE_ALL,$DF424,35)&amp;"","")&amp;"␟"&amp;IFERROR(INDEX(PASTE_ALL,$DF424,36)&amp;"","")&amp;"␟"&amp;IFERROR(INDEX(PASTE_ALL,$DF424,37)&amp;"","")&amp;"␟"&amp;IFERROR(INDEX(PASTE_ALL,$DF424,38)&amp;"","")&amp;"␟"&amp;IFERROR(INDEX(PASTE_ALL,$DF424,39)&amp;"","")&amp;"␟"&amp;IFERROR(INDEX(PASTE_ALL,$DF424,40)&amp;"","")&amp;"␟"&amp;IFERROR(INDEX(PASTE_ALL,$DF424,41)&amp;"","")&amp;"␟"&amp;IFERROR(INDEX(PASTE_ALL,$DF424,42)&amp;"","")&amp;"␟"&amp;IFERROR(INDEX(PASTE_ALL,$DF424,43)&amp;"","")&amp;"␟"&amp;IFERROR(INDEX(PASTE_ALL,$DF424,44)&amp;"","")&amp;"␟"&amp;IFERROR(INDEX(PASTE_ALL,$DF424,45)&amp;"","")&amp;"␟"&amp;IFERROR(INDEX(PASTE_ALL,$DF424,46)&amp;"","")&amp;"␟"&amp;IFERROR(INDEX(PASTE_ALL,$DF424,47)&amp;"","")&amp;"␟"&amp;IFERROR(INDEX(PASTE_ALL,$DF424,48)&amp;"","")&amp;"␟"&amp;IFERROR(INDEX(PASTE_ALL,$DF424,49)&amp;"","")&amp;"␟"&amp;IFERROR(INDEX(PASTE_ALL,$DF424,50)&amp;"","")&amp;"␟"&amp;IFERROR(INDEX(PASTE_ALL,$DF424,51)&amp;"","")&amp;"␟"&amp;IFERROR(INDEX(PASTE_ALL,$DF424,52)&amp;"","")&amp;"␟"&amp;IFERROR(INDEX(PASTE_ALL,$DF424,53)&amp;"","")&amp;"␟"&amp;IFERROR(INDEX(PASTE_ALL,$DF424,54)&amp;"","")&amp;"␟"&amp;IFERROR(INDEX(PASTE_ALL,$DF424,55)&amp;"","")&amp;"␟"&amp;IFERROR(INDEX(PASTE_ALL,$DF424,56)&amp;"","")&amp;"␟"&amp;IFERROR(INDEX(PASTE_ALL,$DF424,57)&amp;"","")&amp;"␟"&amp;IFERROR(INDEX(PASTE_ALL,$DF424,58)&amp;"","")&amp;"␟"&amp;IFERROR(INDEX(PASTE_ALL,$DF424,59)&amp;"","")&amp;"␟"&amp;IFERROR(INDEX(PASTE_ALL,$DF424,60)&amp;"","")," "," "),CHAR(9)," "),CHAR(10)," "),CHAR(13)," "))," ␟","␟"),"␟ ","␟"),"#"&amp;$DE424),"")</f>
        <v/>
      </c>
      <c r="DJ424">
        <f>IF($DI424="",0,IF(SUMPRODUCT(--EXACT($DI$4:DI423,$DI424))&gt;0,1,0))</f>
        <v/>
      </c>
      <c r="DK424">
        <f>IF(AND($DI424&lt;&gt;"",$DJ424=0),1,0)</f>
        <v/>
      </c>
      <c r="DL424">
        <f>DL423+$DK424</f>
        <v/>
      </c>
      <c r="DM424">
        <f>IF(AND($DK424=1,$DL424&lt;=600),1,0)</f>
        <v/>
      </c>
      <c r="DN424">
        <f>IF($DM424=0,"",IF($L$6=0,"",IFERROR(IF(ISNUMBER(INDEX(PASTE_ALL,$DF424,$L$6)),INDEX(PASTE_ALL,$DF424,$L$6),TRIM(SUBSTITUTE(SUBSTITUTE(SUBSTITUTE(SUBSTITUTE(INDEX(PASTE_ALL,$DF424,$L$6)," "," "),CHAR(9)," "),CHAR(10)," "),CHAR(13)," "))),"")))</f>
        <v/>
      </c>
      <c r="DO424">
        <f>IF($DM424=0,"",IF($L$7=0,"",IFERROR(IF(ISNUMBER(INDEX(PASTE_ALL,$DF424,$L$7)),INDEX(PASTE_ALL,$DF424,$L$7),TRIM(SUBSTITUTE(SUBSTITUTE(SUBSTITUTE(SUBSTITUTE(INDEX(PASTE_ALL,$DF424,$L$7)," "," "),CHAR(9)," "),CHAR(10)," "),CHAR(13)," "))),"")))</f>
        <v/>
      </c>
      <c r="DP424">
        <f>IF($DM424=0,"",IF($L$8=0,"",IFERROR(IF(ISNUMBER(INDEX(PASTE_ALL,$DF424,$L$8)),INDEX(PASTE_ALL,$DF424,$L$8),TRIM(SUBSTITUTE(SUBSTITUTE(SUBSTITUTE(SUBSTITUTE(INDEX(PASTE_ALL,$DF424,$L$8)," "," "),CHAR(9)," "),CHAR(10)," "),CHAR(13)," "))),"")))</f>
        <v/>
      </c>
      <c r="DQ424">
        <f>IF($DM424=0,"",IF($L$9=0,"",IFERROR(IF(ISNUMBER(INDEX(PASTE_ALL,$DF424,$L$9)),INDEX(PASTE_ALL,$DF424,$L$9),TRIM(SUBSTITUTE(SUBSTITUTE(SUBSTITUTE(SUBSTITUTE(INDEX(PASTE_ALL,$DF424,$L$9)," "," "),CHAR(9)," "),CHAR(10)," "),CHAR(13)," "))),"")))</f>
        <v/>
      </c>
      <c r="DR424">
        <f>IF($DM424=0,"",IF($L$10=0,"",IFERROR(IF(ISNUMBER(INDEX(PASTE_ALL,$DF424,$L$10)),INDEX(PASTE_ALL,$DF424,$L$10),TRIM(SUBSTITUTE(SUBSTITUTE(SUBSTITUTE(SUBSTITUTE(INDEX(PASTE_ALL,$DF424,$L$10)," "," "),CHAR(9)," "),CHAR(10)," "),CHAR(13)," "))),"")))</f>
        <v/>
      </c>
      <c r="DS424">
        <f>IF($DM424=0,"",IF($L$11=0,"",IFERROR(IF(ISNUMBER(INDEX(PASTE_ALL,$DF424,$L$11)),INDEX(PASTE_ALL,$DF424,$L$11),TRIM(SUBSTITUTE(SUBSTITUTE(SUBSTITUTE(SUBSTITUTE(INDEX(PASTE_ALL,$DF424,$L$11)," "," "),CHAR(9)," "),CHAR(10)," "),CHAR(13)," "))),"")))</f>
        <v/>
      </c>
      <c r="DT424">
        <f>IF($DM424=0,"",IF($L$12=0,"",IFERROR(IF(ISNUMBER(INDEX(PASTE_ALL,$DF424,$L$12)),INDEX(PASTE_ALL,$DF424,$L$12),TRIM(SUBSTITUTE(SUBSTITUTE(SUBSTITUTE(SUBSTITUTE(INDEX(PASTE_ALL,$DF424,$L$12)," "," "),CHAR(9)," "),CHAR(10)," "),CHAR(13)," "))),"")))</f>
        <v/>
      </c>
      <c r="DU424">
        <f>IF($DM424=0,"",IF($L$13=0,"",IFERROR(IF(ISNUMBER(INDEX(PASTE_ALL,$DF424,$L$13)),INDEX(PASTE_ALL,$DF424,$L$13),TRIM(SUBSTITUTE(SUBSTITUTE(SUBSTITUTE(SUBSTITUTE(INDEX(PASTE_ALL,$DF424,$L$13)," "," "),CHAR(9)," "),CHAR(10)," "),CHAR(13)," "))),"")))</f>
        <v/>
      </c>
      <c r="DV424">
        <f>IF($DM424=0,"",IF($L$14=0,"",IFERROR(IF(ISNUMBER(INDEX(PASTE_ALL,$DF424,$L$14)),INDEX(PASTE_ALL,$DF424,$L$14),TRIM(SUBSTITUTE(SUBSTITUTE(SUBSTITUTE(SUBSTITUTE(INDEX(PASTE_ALL,$DF424,$L$14)," "," "),CHAR(9)," "),CHAR(10)," "),CHAR(13)," "))),"")))</f>
        <v/>
      </c>
      <c r="DW424">
        <f>IF($DM424=0,"",IF($L$15=0,"",IFERROR(IF(ISNUMBER(INDEX(PASTE_ALL,$DF424,$L$15)),INDEX(PASTE_ALL,$DF424,$L$15),IF(SUMPRODUCT(--ISNUMBER(FIND({"A","B","C","D","E","F","G","H","I","J","K","L","M","N","O","P","Q","R","S","T","U","V","W","X","Y","Z","0","1","2","3","4","5","6","7","8","9"},UPPER(TRIM(SUBSTITUTE(SUBSTITUTE(SUBSTITUTE(SUBSTITUTE(INDEX(PASTE_ALL,$DF424,$L$15)," "," "),CHAR(9)," "),CHAR(10)," "),CHAR(13)," "))))))&gt;0,TRIM(SUBSTITUTE(SUBSTITUTE(SUBSTITUTE(SUBSTITUTE(INDEX(PASTE_ALL,$DF424,$L$15)," "," "),CHAR(9)," "),CHAR(10)," "),CHAR(13)," ")),"")),"")))</f>
        <v/>
      </c>
      <c r="DX424">
        <f>IF($DM424=0,"",IF($L$16=0,"",IFERROR(IF(ISNUMBER(INDEX(PASTE_ALL,$DF424,$L$16)),INDEX(PASTE_ALL,$DF424,$L$16),SUBSTITUTE(SUBSTITUTE(TRIM(SUBSTITUTE(SUBSTITUTE(SUBSTITUTE(SUBSTITUTE(INDEX(PASTE_ALL,$DF424,$L$16)," "," "),CHAR(9)," "),CHAR(10)," "),CHAR(13)," ")),",",""),"%","")),"")))</f>
        <v/>
      </c>
      <c r="DY424">
        <f>IF($DM424=0,"",IFERROR(IF(ISNUMBER($DX424),$DX424,IF($DX424="","",IF(TRIM($DX424)="",0,IF(AND(AND(SUBSTITUTE(SUBSTITUTE(SUBSTITUTE(SUBSTITUTE(SUBSTITUTE(SUBSTITUTE(SUBSTITUTE(SUBSTITUTE(SUBSTITUTE(SUBSTITUTE(SUBSTITUTE(SUBSTITUTE(SUBSTITUTE(SUBSTITUTE(UPPER(TRIM($DX424)),"0",""),"1",""),"2",""),"3",""),"4",""),"5",""),"6",""),"7",""),"8",""),"9",""),".",""),"+",""),"-",""),"E","")="",LEN(SUBSTITUTE(SUBSTITUTE(MID(UPPER(TRIM($DX424)),1+OR(LEFT(UPPER(TRIM($DX424)),1)="+",LEFT(UPPER(TRIM($DX424)),1)="-"),999),"E+","E"),"E-","E"))=LEN(SUBSTITUTE(SUBSTITUTE(SUBSTITUTE(SUBSTITUTE(MID(UPPER(TRIM($DX424)),1+OR(LEFT(UPPER(TRIM($DX424)),1)="+",LEFT(UPPER(TRIM($DX424)),1)="-"),999),"E+","E"),"E-","E"),"+",""),"-","")),LEN(UPPER(TRIM($DX424)))-LEN(SUBSTITUTE(UPPER(TRIM($DX424)),"E",""))&lt;2,LEN(UPPER(TRIM($DX424)))-LEN(SUBSTITUTE(UPPER(TRIM($DX424)),".",""))&lt;2,IFERROR(FIND(".",UPPER(TRIM($DX424))),0)&lt;IFERROR(FIND("E",UPPER(TRIM($DX424))),999)),ISNUMBER(VALUE(TRIM($DX424)))),VALUE(TRIM($DX424)),"")))),""))</f>
        <v/>
      </c>
      <c r="DZ424">
        <f>IF($DM424=0,"",IF($L$17=0,"",IFERROR(IF(ISNUMBER(INDEX(PASTE_ALL,$DF424,$L$17)),INDEX(PASTE_ALL,$DF424,$L$17),SUBSTITUTE(SUBSTITUTE(TRIM(SUBSTITUTE(SUBSTITUTE(SUBSTITUTE(SUBSTITUTE(INDEX(PASTE_ALL,$DF424,$L$17)," "," "),CHAR(9)," "),CHAR(10)," "),CHAR(13)," ")),",",""),"%","")),"")))</f>
        <v/>
      </c>
      <c r="EA424">
        <f>IF($DM424=0,"",IFERROR(IF(ISNUMBER($DZ424),$DZ424,IF($DZ424="","",IF(TRIM($DZ424)="",0,IF(AND(AND(SUBSTITUTE(SUBSTITUTE(SUBSTITUTE(SUBSTITUTE(SUBSTITUTE(SUBSTITUTE(SUBSTITUTE(SUBSTITUTE(SUBSTITUTE(SUBSTITUTE(SUBSTITUTE(SUBSTITUTE(SUBSTITUTE(SUBSTITUTE(UPPER(TRIM($DZ424)),"0",""),"1",""),"2",""),"3",""),"4",""),"5",""),"6",""),"7",""),"8",""),"9",""),".",""),"+",""),"-",""),"E","")="",LEN(SUBSTITUTE(SUBSTITUTE(MID(UPPER(TRIM($DZ424)),1+OR(LEFT(UPPER(TRIM($DZ424)),1)="+",LEFT(UPPER(TRIM($DZ424)),1)="-"),999),"E+","E"),"E-","E"))=LEN(SUBSTITUTE(SUBSTITUTE(SUBSTITUTE(SUBSTITUTE(MID(UPPER(TRIM($DZ424)),1+OR(LEFT(UPPER(TRIM($DZ424)),1)="+",LEFT(UPPER(TRIM($DZ424)),1)="-"),999),"E+","E"),"E-","E"),"+",""),"-","")),LEN(UPPER(TRIM($DZ424)))-LEN(SUBSTITUTE(UPPER(TRIM($DZ424)),"E",""))&lt;2,LEN(UPPER(TRIM($DZ424)))-LEN(SUBSTITUTE(UPPER(TRIM($DZ424)),".",""))&lt;2,IFERROR(FIND(".",UPPER(TRIM($DZ424))),0)&lt;IFERROR(FIND("E",UPPER(TRIM($DZ424))),999)),ISNUMBER(VALUE(TRIM($DZ424)))),VALUE(TRIM($DZ424)),"")))),""))</f>
        <v/>
      </c>
      <c r="EB424">
        <f>IF($DM424=0,"",IF($L$18=0,"",IFERROR(IF(UPPER(TRIM(SUBSTITUTE(SUBSTITUTE(SUBSTITUTE(SUBSTITUTE(INDEX(PASTE_ALL,$DF424,$L$18)," "," "),CHAR(9)," "),CHAR(10)," "),CHAR(13)," ")))="READY","Ready",IF(UPPER(TRIM(SUBSTITUTE(SUBSTITUTE(SUBSTITUTE(SUBSTITUTE(INDEX(PASTE_ALL,$DF424,$L$18)," "," "),CHAR(9)," "),CHAR(10)," "),CHAR(13)," ")))="PM","PM",IF(OR(UPPER(TRIM(SUBSTITUTE(SUBSTITUTE(SUBSTITUTE(SUBSTITUTE(INDEX(PASTE_ALL,$DF424,$L$18)," "," "),CHAR(9)," "),CHAR(10)," "),CHAR(13)," ")))="OT",UPPER(TRIM(SUBSTITUTE(SUBSTITUTE(SUBSTITUTE(SUBSTITUTE(INDEX(PASTE_ALL,$DF424,$L$18)," "," "),CHAR(9)," "),CHAR(10)," "),CHAR(13)," ")))="OVERTIME",UPPER(TRIM(SUBSTITUTE(SUBSTITUTE(SUBSTITUTE(SUBSTITUTE(INDEX(PASTE_ALL,$DF424,$L$18)," "," "),CHAR(9)," "),CHAR(10)," "),CHAR(13)," ")))="TRIAL"),"OT",TRIM(SUBSTITUTE(SUBSTITUTE(SUBSTITUTE(SUBSTITUTE(INDEX(PASTE_ALL,$DF424,$L$18)," "," "),CHAR(9)," "),CHAR(10)," "),CHAR(13)," "))))),"")))</f>
        <v/>
      </c>
      <c r="EC424">
        <f>IF($DM424=0,"",IF($L$19=0,"",IFERROR(IF(ISNUMBER(INDEX(PASTE_ALL,$DF424,$L$19)),INDEX(PASTE_ALL,$DF424,$L$19),TRIM(SUBSTITUTE(SUBSTITUTE(SUBSTITUTE(SUBSTITUTE(INDEX(PASTE_ALL,$DF424,$L$19)," "," "),CHAR(9)," "),CHAR(10)," "),CHAR(13)," "))),"")))</f>
        <v/>
      </c>
      <c r="ED424">
        <f>IF($DM424=0,"",MATCH(1,INDEX(EXACT($DH$5:DH424,$DH424)*$DM$5:DM424,0),0))</f>
        <v/>
      </c>
      <c r="EE424">
        <f>IF($DM424=0,0,IF($ED424=$DE424,1,0))</f>
        <v/>
      </c>
      <c r="EF424">
        <f>EF423+$EE424</f>
        <v/>
      </c>
      <c r="EG424">
        <f>IF($DM424=0,"",INDEX($EF$5:$EF$1003,$ED424))</f>
        <v/>
      </c>
      <c r="EH424">
        <f>IF($DM424=0,"",IF($DO424&lt;&gt;"","",IFERROR(LOOKUP(2,1/(($EG$4:EG423=$EG424)*($DO$4:DO423&lt;&gt;"")),$DO$4:DO423),"")))</f>
        <v/>
      </c>
      <c r="EI424">
        <f>IF($DM424=0,"",IF($DO424&lt;&gt;"",$DO424,$EH424))</f>
        <v/>
      </c>
      <c r="EJ424">
        <f>IF($DM424=0,"",IF($EI424="",0,IF(OR(ISNUMBER($EI424),AND(AND(SUBSTITUTE(SUBSTITUTE(SUBSTITUTE(SUBSTITUTE(SUBSTITUTE(SUBSTITUTE(SUBSTITUTE(SUBSTITUTE(SUBSTITUTE(SUBSTITUTE(SUBSTITUTE(SUBSTITUTE(SUBSTITUTE(SUBSTITUTE(UPPER($EI424),"0",""),"1",""),"2",""),"3",""),"4",""),"5",""),"6",""),"7",""),"8",""),"9",""),".",""),"+",""),"-",""),"E","")="",LEN(SUBSTITUTE(SUBSTITUTE(MID(UPPER($EI424),1+OR(LEFT(UPPER($EI424),1)="+",LEFT(UPPER($EI424),1)="-"),999),"E+","E"),"E-","E"))=LEN(SUBSTITUTE(SUBSTITUTE(SUBSTITUTE(SUBSTITUTE(MID(UPPER($EI424),1+OR(LEFT(UPPER($EI424),1)="+",LEFT(UPPER($EI424),1)="-"),999),"E+","E"),"E-","E"),"+",""),"-","")),LEN(UPPER($EI424))-LEN(SUBSTITUTE(UPPER($EI424),"E",""))&lt;2,LEN(UPPER($EI424))-LEN(SUBSTITUTE(UPPER($EI424),".",""))&lt;2,IFERROR(FIND(".",UPPER($EI424)),0)&lt;IFERROR(FIND("E",UPPER($EI424)),999)),ISNUMBER(VALUE($EI424)))),1,2)))</f>
        <v/>
      </c>
      <c r="EK424">
        <f>IF($DM424=0,"",IF($EJ424=1,IF(ISNUMBER($EI424),$EI424,VALUE($EI424)),IF($EJ424=2,$DE424,0)))</f>
        <v/>
      </c>
      <c r="EL424">
        <f>IF($DM424=0,"",COUNTIF($EG$5:$EG$1003,"&lt;"&amp;$EG424)+SUMPRODUCT(($EG$5:$EG$1003=$EG424)*(($EJ$5:$EJ$1003&lt;$EJ424)+($EJ$5:$EJ$1003=$EJ424)*(($EK$5:$EK$1003&lt;$EK424)+($EK$5:$EK$1003=$EK424)*($DE$5:$DE$1003&lt;$DE424))))+1)</f>
        <v/>
      </c>
      <c r="EM424">
        <f>IF($DM424=0,"",$EL424+$EG424-1)</f>
        <v/>
      </c>
      <c r="EN424">
        <f>IF($DM424=0,0,IFERROR(MATCH(1,INDEX(--(TRIM(SUBSTITUTE(SUBSTITUTE(SUBSTITUTE(SUBSTITUTE(LINES_NAME&amp;""," "," "),CHAR(9)," "),CHAR(10)," "),CHAR(13)," "))=$DH424),0),0),0))</f>
        <v/>
      </c>
      <c r="EO424">
        <f>IF($EN424=0,0,IF(OR(UPPER(TRIM(INDEX(LINES_SCHEDULED,$EN424)&amp;""))="YES",UPPER(TRIM(INDEX(LINES_SCHEDULED,$EN424)&amp;""))="Y",UPPER(TRIM(INDEX(LINES_SCHEDULED,$EN424)&amp;""))="X"),1,0))</f>
        <v/>
      </c>
      <c r="EP424">
        <f>IF($DM424=0,"",IF(COUNTIFS($EG$5:$EG$1003,$EG424,$EB$5:$EB$1003,"Ready")&gt;0,"READY",IF(COUNTIFS($EG$5:$EG$1003,$EG424,$EB$5:$EB$1003,"PM")&gt;0,"PM",IF(COUNTIFS($EG$5:$EG$1003,$EG424,$EB$5:$EB$1003,"OT")&gt;0,"OT",""))))</f>
        <v/>
      </c>
      <c r="EQ424">
        <f>IF($EN424=0,"",UPPER(TRIM(INDEX(LINES_STATUS,$EN424)&amp;"")))</f>
        <v/>
      </c>
      <c r="ER424">
        <f>IF($DM424=0,"",IF(OR($EQ424="READY",$EQ424="PM",$EQ424="OT"),$EQ424,$EP424))</f>
        <v/>
      </c>
      <c r="ES424">
        <f>IF($DM424=0,"",IF(AND($DV424&lt;&gt;"",UPPER($DV424)&lt;&gt;"N"),"allergen",IF(ISNUMBER(SEARCH("oil",$DQ424)),"oil",IF(OR(EXACT($DS424,"A662"),EXACT($DS424,"A624")),"bulk",""))))</f>
        <v/>
      </c>
      <c r="ET424">
        <f>IF($DM424=0,"",IF(OR($EA424="",$EA424=0),"",$EA424/100))</f>
        <v/>
      </c>
      <c r="EU424">
        <f>IF(OR($ET424="",$DY424=""),"",INT($DY424*(1-$ET424)+0.5))</f>
        <v/>
      </c>
      <c r="EW424" t="n">
        <v>420</v>
      </c>
      <c r="EX424">
        <f>IFERROR(MATCH($EW424,$EM$5:$EM$1003,0),0)</f>
        <v/>
      </c>
      <c r="EY424">
        <f>IF($EW424&gt;$B$12,"",IF($EX424&gt;0,"row","spacer"))</f>
        <v/>
      </c>
      <c r="EZ424">
        <f>IF(AND($EY424="row",$EY423&lt;&gt;"row"),1,0)</f>
        <v/>
      </c>
      <c r="FA424">
        <f>IF(AND($EY424="row",$EY425&lt;&gt;"row"),1,0)</f>
        <v/>
      </c>
      <c r="FB424">
        <f>IF($EZ424=1,IFERROR(IF(ISNUMBER(INDEX(PASTE_ALL,INDEX($DF$5:$DF$1003,$EX424),$B$37)),INDEX(PASTE_ALL,INDEX($DF$5:$DF$1003,$EX424),$B$37),INDEX($DH$5:$DH$1003,$EX424)),INDEX($DH$5:$DH$1003,$EX424)),"")</f>
        <v/>
      </c>
      <c r="FC424">
        <f>IF($EY424="row",INDEX($ER$5:$ER$1003,$EX424),"")</f>
        <v/>
      </c>
      <c r="FD424">
        <f>IF($EY424="row",INDEX($DN$5:$DN$1003,$EX424),"")</f>
        <v/>
      </c>
      <c r="FE424">
        <f>IF($EY424="row",INDEX($DO$5:$DO$1003,$EX424),"")</f>
        <v/>
      </c>
      <c r="FF424">
        <f>IF($EY424="row",INDEX($DP$5:$DP$1003,$EX424),"")</f>
        <v/>
      </c>
      <c r="FG424">
        <f>IF($EY424="row",INDEX($DQ$5:$DQ$1003,$EX424),"")</f>
        <v/>
      </c>
      <c r="FH424">
        <f>IF($EY424="row",INDEX($DR$5:$DR$1003,$EX424),"")</f>
        <v/>
      </c>
      <c r="FI424">
        <f>IF($EY424="row",INDEX($DS$5:$DS$1003,$EX424),"")</f>
        <v/>
      </c>
      <c r="FJ424">
        <f>IF($EY424="row",INDEX($DT$5:$DT$1003,$EX424),"")</f>
        <v/>
      </c>
      <c r="FK424">
        <f>IF($EY424="row",INDEX($DU$5:$DU$1003,$EX424),"")</f>
        <v/>
      </c>
      <c r="FL424">
        <f>IF($EY424="row",INDEX($DV$5:$DV$1003,$EX424),"")</f>
        <v/>
      </c>
      <c r="FM424">
        <f>IF($EY424="row",INDEX($DW$5:$DW$1003,$EX424),"")</f>
        <v/>
      </c>
      <c r="FN424">
        <f>IF($EY424="row",INDEX($DY$5:$DY$1003,$EX424),"")</f>
        <v/>
      </c>
      <c r="FO424">
        <f>IF($EY424="row",INDEX($EA$5:$EA$1003,$EX424),"")</f>
        <v/>
      </c>
      <c r="FP424">
        <f>IF($EY424="row",INDEX($EC$5:$EC$1003,$EX424),"")</f>
        <v/>
      </c>
      <c r="FQ424">
        <f>IF($EY424="row",INDEX($ET$5:$ET$1003,$EX424),"")</f>
        <v/>
      </c>
      <c r="FR424">
        <f>IF($EY424="row",INDEX($EU$5:$EU$1003,$EX424),"")</f>
        <v/>
      </c>
      <c r="FS424">
        <f>IF(AND($EY424="row",$EY423="row"),IF(OR(INDEX($DT$5:$DT$1003,$EX423)="",INDEX($DT$5:$DT$1003,$EX424)=""),"",IF(NOT(EXACT(INDEX($DT$5:$DT$1003,$EX423),INDEX($DT$5:$DT$1003,$EX424))),"S4",IF(NOT(EXACT(INDEX($DS$5:$DS$1003,$EX423),INDEX($DS$5:$DS$1003,$EX424))),"S3",IF(NOT(EXACT(INDEX($DR$5:$DR$1003,$EX423),INDEX($DR$5:$DR$1003,$EX424))),"S1 Count Change","S1")))),"")</f>
        <v/>
      </c>
      <c r="FT424">
        <f>IF($EY424="row",INDEX($ES$5:$ES$1003,$EX424),"")</f>
        <v/>
      </c>
      <c r="FU424">
        <f>IF($EY424="row",INDEX($EO$5:$EO$1003,$EX424),0)</f>
        <v/>
      </c>
      <c r="FV424">
        <f>IF($FS424="S1 Count Change",1,0)</f>
        <v/>
      </c>
    </row>
    <row r="425">
      <c r="DA425" t="n">
        <v>421</v>
      </c>
      <c r="DB425">
        <f>IF($B$37=0,"",IFERROR(TRIM(SUBSTITUTE(SUBSTITUTE(SUBSTITUTE(SUBSTITUTE(INDEX(PASTE_ALL,421,$B$37)," "," "),CHAR(9)," "),CHAR(10)," "),CHAR(13)," ")),""))</f>
        <v/>
      </c>
      <c r="DC425">
        <f>IF(AND(421&gt;HEADER_ROW,UPPER(DB425)="LEGEND"),1,0)</f>
        <v/>
      </c>
      <c r="DE425" t="n">
        <v>421</v>
      </c>
      <c r="DF425">
        <f>HEADER_ROW+$DE425</f>
        <v/>
      </c>
      <c r="DG425">
        <f>IF(AND($DF425&lt;=1000,$DF425&lt;$B$8),1,0)</f>
        <v/>
      </c>
      <c r="DH425">
        <f>IF($DG425=1,IFERROR(INDEX($DB$5:$DB$1004,$DF425),""),"")</f>
        <v/>
      </c>
      <c r="DI425">
        <f>IF(AND($DG425=1,$DH425&lt;&gt;""),IFERROR(SUBSTITUTE(SUBSTITUTE(TRIM(SUBSTITUTE(SUBSTITUTE(SUBSTITUTE(SUBSTITUTE(IFERROR(INDEX(PASTE_ALL,$DF425,1)&amp;"","")&amp;"␟"&amp;IFERROR(INDEX(PASTE_ALL,$DF425,2)&amp;"","")&amp;"␟"&amp;IFERROR(INDEX(PASTE_ALL,$DF425,3)&amp;"","")&amp;"␟"&amp;IFERROR(INDEX(PASTE_ALL,$DF425,4)&amp;"","")&amp;"␟"&amp;IFERROR(INDEX(PASTE_ALL,$DF425,5)&amp;"","")&amp;"␟"&amp;IFERROR(INDEX(PASTE_ALL,$DF425,6)&amp;"","")&amp;"␟"&amp;IFERROR(INDEX(PASTE_ALL,$DF425,7)&amp;"","")&amp;"␟"&amp;IFERROR(INDEX(PASTE_ALL,$DF425,8)&amp;"","")&amp;"␟"&amp;IFERROR(INDEX(PASTE_ALL,$DF425,9)&amp;"","")&amp;"␟"&amp;IFERROR(INDEX(PASTE_ALL,$DF425,10)&amp;"","")&amp;"␟"&amp;IFERROR(INDEX(PASTE_ALL,$DF425,11)&amp;"","")&amp;"␟"&amp;IFERROR(INDEX(PASTE_ALL,$DF425,12)&amp;"","")&amp;"␟"&amp;IFERROR(INDEX(PASTE_ALL,$DF425,13)&amp;"","")&amp;"␟"&amp;IFERROR(INDEX(PASTE_ALL,$DF425,14)&amp;"","")&amp;"␟"&amp;IFERROR(INDEX(PASTE_ALL,$DF425,15)&amp;"","")&amp;"␟"&amp;IFERROR(INDEX(PASTE_ALL,$DF425,16)&amp;"","")&amp;"␟"&amp;IFERROR(INDEX(PASTE_ALL,$DF425,17)&amp;"","")&amp;"␟"&amp;IFERROR(INDEX(PASTE_ALL,$DF425,18)&amp;"","")&amp;"␟"&amp;IFERROR(INDEX(PASTE_ALL,$DF425,19)&amp;"","")&amp;"␟"&amp;IFERROR(INDEX(PASTE_ALL,$DF425,20)&amp;"","")&amp;"␟"&amp;IFERROR(INDEX(PASTE_ALL,$DF425,21)&amp;"","")&amp;"␟"&amp;IFERROR(INDEX(PASTE_ALL,$DF425,22)&amp;"","")&amp;"␟"&amp;IFERROR(INDEX(PASTE_ALL,$DF425,23)&amp;"","")&amp;"␟"&amp;IFERROR(INDEX(PASTE_ALL,$DF425,24)&amp;"","")&amp;"␟"&amp;IFERROR(INDEX(PASTE_ALL,$DF425,25)&amp;"","")&amp;"␟"&amp;IFERROR(INDEX(PASTE_ALL,$DF425,26)&amp;"","")&amp;"␟"&amp;IFERROR(INDEX(PASTE_ALL,$DF425,27)&amp;"","")&amp;"␟"&amp;IFERROR(INDEX(PASTE_ALL,$DF425,28)&amp;"","")&amp;"␟"&amp;IFERROR(INDEX(PASTE_ALL,$DF425,29)&amp;"","")&amp;"␟"&amp;IFERROR(INDEX(PASTE_ALL,$DF425,30)&amp;"","")&amp;"␟"&amp;IFERROR(INDEX(PASTE_ALL,$DF425,31)&amp;"","")&amp;"␟"&amp;IFERROR(INDEX(PASTE_ALL,$DF425,32)&amp;"","")&amp;"␟"&amp;IFERROR(INDEX(PASTE_ALL,$DF425,33)&amp;"","")&amp;"␟"&amp;IFERROR(INDEX(PASTE_ALL,$DF425,34)&amp;"","")&amp;"␟"&amp;IFERROR(INDEX(PASTE_ALL,$DF425,35)&amp;"","")&amp;"␟"&amp;IFERROR(INDEX(PASTE_ALL,$DF425,36)&amp;"","")&amp;"␟"&amp;IFERROR(INDEX(PASTE_ALL,$DF425,37)&amp;"","")&amp;"␟"&amp;IFERROR(INDEX(PASTE_ALL,$DF425,38)&amp;"","")&amp;"␟"&amp;IFERROR(INDEX(PASTE_ALL,$DF425,39)&amp;"","")&amp;"␟"&amp;IFERROR(INDEX(PASTE_ALL,$DF425,40)&amp;"","")&amp;"␟"&amp;IFERROR(INDEX(PASTE_ALL,$DF425,41)&amp;"","")&amp;"␟"&amp;IFERROR(INDEX(PASTE_ALL,$DF425,42)&amp;"","")&amp;"␟"&amp;IFERROR(INDEX(PASTE_ALL,$DF425,43)&amp;"","")&amp;"␟"&amp;IFERROR(INDEX(PASTE_ALL,$DF425,44)&amp;"","")&amp;"␟"&amp;IFERROR(INDEX(PASTE_ALL,$DF425,45)&amp;"","")&amp;"␟"&amp;IFERROR(INDEX(PASTE_ALL,$DF425,46)&amp;"","")&amp;"␟"&amp;IFERROR(INDEX(PASTE_ALL,$DF425,47)&amp;"","")&amp;"␟"&amp;IFERROR(INDEX(PASTE_ALL,$DF425,48)&amp;"","")&amp;"␟"&amp;IFERROR(INDEX(PASTE_ALL,$DF425,49)&amp;"","")&amp;"␟"&amp;IFERROR(INDEX(PASTE_ALL,$DF425,50)&amp;"","")&amp;"␟"&amp;IFERROR(INDEX(PASTE_ALL,$DF425,51)&amp;"","")&amp;"␟"&amp;IFERROR(INDEX(PASTE_ALL,$DF425,52)&amp;"","")&amp;"␟"&amp;IFERROR(INDEX(PASTE_ALL,$DF425,53)&amp;"","")&amp;"␟"&amp;IFERROR(INDEX(PASTE_ALL,$DF425,54)&amp;"","")&amp;"␟"&amp;IFERROR(INDEX(PASTE_ALL,$DF425,55)&amp;"","")&amp;"␟"&amp;IFERROR(INDEX(PASTE_ALL,$DF425,56)&amp;"","")&amp;"␟"&amp;IFERROR(INDEX(PASTE_ALL,$DF425,57)&amp;"","")&amp;"␟"&amp;IFERROR(INDEX(PASTE_ALL,$DF425,58)&amp;"","")&amp;"␟"&amp;IFERROR(INDEX(PASTE_ALL,$DF425,59)&amp;"","")&amp;"␟"&amp;IFERROR(INDEX(PASTE_ALL,$DF425,60)&amp;"","")," "," "),CHAR(9)," "),CHAR(10)," "),CHAR(13)," "))," ␟","␟"),"␟ ","␟"),"#"&amp;$DE425),"")</f>
        <v/>
      </c>
      <c r="DJ425">
        <f>IF($DI425="",0,IF(SUMPRODUCT(--EXACT($DI$4:DI424,$DI425))&gt;0,1,0))</f>
        <v/>
      </c>
      <c r="DK425">
        <f>IF(AND($DI425&lt;&gt;"",$DJ425=0),1,0)</f>
        <v/>
      </c>
      <c r="DL425">
        <f>DL424+$DK425</f>
        <v/>
      </c>
      <c r="DM425">
        <f>IF(AND($DK425=1,$DL425&lt;=600),1,0)</f>
        <v/>
      </c>
      <c r="DN425">
        <f>IF($DM425=0,"",IF($L$6=0,"",IFERROR(IF(ISNUMBER(INDEX(PASTE_ALL,$DF425,$L$6)),INDEX(PASTE_ALL,$DF425,$L$6),TRIM(SUBSTITUTE(SUBSTITUTE(SUBSTITUTE(SUBSTITUTE(INDEX(PASTE_ALL,$DF425,$L$6)," "," "),CHAR(9)," "),CHAR(10)," "),CHAR(13)," "))),"")))</f>
        <v/>
      </c>
      <c r="DO425">
        <f>IF($DM425=0,"",IF($L$7=0,"",IFERROR(IF(ISNUMBER(INDEX(PASTE_ALL,$DF425,$L$7)),INDEX(PASTE_ALL,$DF425,$L$7),TRIM(SUBSTITUTE(SUBSTITUTE(SUBSTITUTE(SUBSTITUTE(INDEX(PASTE_ALL,$DF425,$L$7)," "," "),CHAR(9)," "),CHAR(10)," "),CHAR(13)," "))),"")))</f>
        <v/>
      </c>
      <c r="DP425">
        <f>IF($DM425=0,"",IF($L$8=0,"",IFERROR(IF(ISNUMBER(INDEX(PASTE_ALL,$DF425,$L$8)),INDEX(PASTE_ALL,$DF425,$L$8),TRIM(SUBSTITUTE(SUBSTITUTE(SUBSTITUTE(SUBSTITUTE(INDEX(PASTE_ALL,$DF425,$L$8)," "," "),CHAR(9)," "),CHAR(10)," "),CHAR(13)," "))),"")))</f>
        <v/>
      </c>
      <c r="DQ425">
        <f>IF($DM425=0,"",IF($L$9=0,"",IFERROR(IF(ISNUMBER(INDEX(PASTE_ALL,$DF425,$L$9)),INDEX(PASTE_ALL,$DF425,$L$9),TRIM(SUBSTITUTE(SUBSTITUTE(SUBSTITUTE(SUBSTITUTE(INDEX(PASTE_ALL,$DF425,$L$9)," "," "),CHAR(9)," "),CHAR(10)," "),CHAR(13)," "))),"")))</f>
        <v/>
      </c>
      <c r="DR425">
        <f>IF($DM425=0,"",IF($L$10=0,"",IFERROR(IF(ISNUMBER(INDEX(PASTE_ALL,$DF425,$L$10)),INDEX(PASTE_ALL,$DF425,$L$10),TRIM(SUBSTITUTE(SUBSTITUTE(SUBSTITUTE(SUBSTITUTE(INDEX(PASTE_ALL,$DF425,$L$10)," "," "),CHAR(9)," "),CHAR(10)," "),CHAR(13)," "))),"")))</f>
        <v/>
      </c>
      <c r="DS425">
        <f>IF($DM425=0,"",IF($L$11=0,"",IFERROR(IF(ISNUMBER(INDEX(PASTE_ALL,$DF425,$L$11)),INDEX(PASTE_ALL,$DF425,$L$11),TRIM(SUBSTITUTE(SUBSTITUTE(SUBSTITUTE(SUBSTITUTE(INDEX(PASTE_ALL,$DF425,$L$11)," "," "),CHAR(9)," "),CHAR(10)," "),CHAR(13)," "))),"")))</f>
        <v/>
      </c>
      <c r="DT425">
        <f>IF($DM425=0,"",IF($L$12=0,"",IFERROR(IF(ISNUMBER(INDEX(PASTE_ALL,$DF425,$L$12)),INDEX(PASTE_ALL,$DF425,$L$12),TRIM(SUBSTITUTE(SUBSTITUTE(SUBSTITUTE(SUBSTITUTE(INDEX(PASTE_ALL,$DF425,$L$12)," "," "),CHAR(9)," "),CHAR(10)," "),CHAR(13)," "))),"")))</f>
        <v/>
      </c>
      <c r="DU425">
        <f>IF($DM425=0,"",IF($L$13=0,"",IFERROR(IF(ISNUMBER(INDEX(PASTE_ALL,$DF425,$L$13)),INDEX(PASTE_ALL,$DF425,$L$13),TRIM(SUBSTITUTE(SUBSTITUTE(SUBSTITUTE(SUBSTITUTE(INDEX(PASTE_ALL,$DF425,$L$13)," "," "),CHAR(9)," "),CHAR(10)," "),CHAR(13)," "))),"")))</f>
        <v/>
      </c>
      <c r="DV425">
        <f>IF($DM425=0,"",IF($L$14=0,"",IFERROR(IF(ISNUMBER(INDEX(PASTE_ALL,$DF425,$L$14)),INDEX(PASTE_ALL,$DF425,$L$14),TRIM(SUBSTITUTE(SUBSTITUTE(SUBSTITUTE(SUBSTITUTE(INDEX(PASTE_ALL,$DF425,$L$14)," "," "),CHAR(9)," "),CHAR(10)," "),CHAR(13)," "))),"")))</f>
        <v/>
      </c>
      <c r="DW425">
        <f>IF($DM425=0,"",IF($L$15=0,"",IFERROR(IF(ISNUMBER(INDEX(PASTE_ALL,$DF425,$L$15)),INDEX(PASTE_ALL,$DF425,$L$15),IF(SUMPRODUCT(--ISNUMBER(FIND({"A","B","C","D","E","F","G","H","I","J","K","L","M","N","O","P","Q","R","S","T","U","V","W","X","Y","Z","0","1","2","3","4","5","6","7","8","9"},UPPER(TRIM(SUBSTITUTE(SUBSTITUTE(SUBSTITUTE(SUBSTITUTE(INDEX(PASTE_ALL,$DF425,$L$15)," "," "),CHAR(9)," "),CHAR(10)," "),CHAR(13)," "))))))&gt;0,TRIM(SUBSTITUTE(SUBSTITUTE(SUBSTITUTE(SUBSTITUTE(INDEX(PASTE_ALL,$DF425,$L$15)," "," "),CHAR(9)," "),CHAR(10)," "),CHAR(13)," ")),"")),"")))</f>
        <v/>
      </c>
      <c r="DX425">
        <f>IF($DM425=0,"",IF($L$16=0,"",IFERROR(IF(ISNUMBER(INDEX(PASTE_ALL,$DF425,$L$16)),INDEX(PASTE_ALL,$DF425,$L$16),SUBSTITUTE(SUBSTITUTE(TRIM(SUBSTITUTE(SUBSTITUTE(SUBSTITUTE(SUBSTITUTE(INDEX(PASTE_ALL,$DF425,$L$16)," "," "),CHAR(9)," "),CHAR(10)," "),CHAR(13)," ")),",",""),"%","")),"")))</f>
        <v/>
      </c>
      <c r="DY425">
        <f>IF($DM425=0,"",IFERROR(IF(ISNUMBER($DX425),$DX425,IF($DX425="","",IF(TRIM($DX425)="",0,IF(AND(AND(SUBSTITUTE(SUBSTITUTE(SUBSTITUTE(SUBSTITUTE(SUBSTITUTE(SUBSTITUTE(SUBSTITUTE(SUBSTITUTE(SUBSTITUTE(SUBSTITUTE(SUBSTITUTE(SUBSTITUTE(SUBSTITUTE(SUBSTITUTE(UPPER(TRIM($DX425)),"0",""),"1",""),"2",""),"3",""),"4",""),"5",""),"6",""),"7",""),"8",""),"9",""),".",""),"+",""),"-",""),"E","")="",LEN(SUBSTITUTE(SUBSTITUTE(MID(UPPER(TRIM($DX425)),1+OR(LEFT(UPPER(TRIM($DX425)),1)="+",LEFT(UPPER(TRIM($DX425)),1)="-"),999),"E+","E"),"E-","E"))=LEN(SUBSTITUTE(SUBSTITUTE(SUBSTITUTE(SUBSTITUTE(MID(UPPER(TRIM($DX425)),1+OR(LEFT(UPPER(TRIM($DX425)),1)="+",LEFT(UPPER(TRIM($DX425)),1)="-"),999),"E+","E"),"E-","E"),"+",""),"-","")),LEN(UPPER(TRIM($DX425)))-LEN(SUBSTITUTE(UPPER(TRIM($DX425)),"E",""))&lt;2,LEN(UPPER(TRIM($DX425)))-LEN(SUBSTITUTE(UPPER(TRIM($DX425)),".",""))&lt;2,IFERROR(FIND(".",UPPER(TRIM($DX425))),0)&lt;IFERROR(FIND("E",UPPER(TRIM($DX425))),999)),ISNUMBER(VALUE(TRIM($DX425)))),VALUE(TRIM($DX425)),"")))),""))</f>
        <v/>
      </c>
      <c r="DZ425">
        <f>IF($DM425=0,"",IF($L$17=0,"",IFERROR(IF(ISNUMBER(INDEX(PASTE_ALL,$DF425,$L$17)),INDEX(PASTE_ALL,$DF425,$L$17),SUBSTITUTE(SUBSTITUTE(TRIM(SUBSTITUTE(SUBSTITUTE(SUBSTITUTE(SUBSTITUTE(INDEX(PASTE_ALL,$DF425,$L$17)," "," "),CHAR(9)," "),CHAR(10)," "),CHAR(13)," ")),",",""),"%","")),"")))</f>
        <v/>
      </c>
      <c r="EA425">
        <f>IF($DM425=0,"",IFERROR(IF(ISNUMBER($DZ425),$DZ425,IF($DZ425="","",IF(TRIM($DZ425)="",0,IF(AND(AND(SUBSTITUTE(SUBSTITUTE(SUBSTITUTE(SUBSTITUTE(SUBSTITUTE(SUBSTITUTE(SUBSTITUTE(SUBSTITUTE(SUBSTITUTE(SUBSTITUTE(SUBSTITUTE(SUBSTITUTE(SUBSTITUTE(SUBSTITUTE(UPPER(TRIM($DZ425)),"0",""),"1",""),"2",""),"3",""),"4",""),"5",""),"6",""),"7",""),"8",""),"9",""),".",""),"+",""),"-",""),"E","")="",LEN(SUBSTITUTE(SUBSTITUTE(MID(UPPER(TRIM($DZ425)),1+OR(LEFT(UPPER(TRIM($DZ425)),1)="+",LEFT(UPPER(TRIM($DZ425)),1)="-"),999),"E+","E"),"E-","E"))=LEN(SUBSTITUTE(SUBSTITUTE(SUBSTITUTE(SUBSTITUTE(MID(UPPER(TRIM($DZ425)),1+OR(LEFT(UPPER(TRIM($DZ425)),1)="+",LEFT(UPPER(TRIM($DZ425)),1)="-"),999),"E+","E"),"E-","E"),"+",""),"-","")),LEN(UPPER(TRIM($DZ425)))-LEN(SUBSTITUTE(UPPER(TRIM($DZ425)),"E",""))&lt;2,LEN(UPPER(TRIM($DZ425)))-LEN(SUBSTITUTE(UPPER(TRIM($DZ425)),".",""))&lt;2,IFERROR(FIND(".",UPPER(TRIM($DZ425))),0)&lt;IFERROR(FIND("E",UPPER(TRIM($DZ425))),999)),ISNUMBER(VALUE(TRIM($DZ425)))),VALUE(TRIM($DZ425)),"")))),""))</f>
        <v/>
      </c>
      <c r="EB425">
        <f>IF($DM425=0,"",IF($L$18=0,"",IFERROR(IF(UPPER(TRIM(SUBSTITUTE(SUBSTITUTE(SUBSTITUTE(SUBSTITUTE(INDEX(PASTE_ALL,$DF425,$L$18)," "," "),CHAR(9)," "),CHAR(10)," "),CHAR(13)," ")))="READY","Ready",IF(UPPER(TRIM(SUBSTITUTE(SUBSTITUTE(SUBSTITUTE(SUBSTITUTE(INDEX(PASTE_ALL,$DF425,$L$18)," "," "),CHAR(9)," "),CHAR(10)," "),CHAR(13)," ")))="PM","PM",IF(OR(UPPER(TRIM(SUBSTITUTE(SUBSTITUTE(SUBSTITUTE(SUBSTITUTE(INDEX(PASTE_ALL,$DF425,$L$18)," "," "),CHAR(9)," "),CHAR(10)," "),CHAR(13)," ")))="OT",UPPER(TRIM(SUBSTITUTE(SUBSTITUTE(SUBSTITUTE(SUBSTITUTE(INDEX(PASTE_ALL,$DF425,$L$18)," "," "),CHAR(9)," "),CHAR(10)," "),CHAR(13)," ")))="OVERTIME",UPPER(TRIM(SUBSTITUTE(SUBSTITUTE(SUBSTITUTE(SUBSTITUTE(INDEX(PASTE_ALL,$DF425,$L$18)," "," "),CHAR(9)," "),CHAR(10)," "),CHAR(13)," ")))="TRIAL"),"OT",TRIM(SUBSTITUTE(SUBSTITUTE(SUBSTITUTE(SUBSTITUTE(INDEX(PASTE_ALL,$DF425,$L$18)," "," "),CHAR(9)," "),CHAR(10)," "),CHAR(13)," "))))),"")))</f>
        <v/>
      </c>
      <c r="EC425">
        <f>IF($DM425=0,"",IF($L$19=0,"",IFERROR(IF(ISNUMBER(INDEX(PASTE_ALL,$DF425,$L$19)),INDEX(PASTE_ALL,$DF425,$L$19),TRIM(SUBSTITUTE(SUBSTITUTE(SUBSTITUTE(SUBSTITUTE(INDEX(PASTE_ALL,$DF425,$L$19)," "," "),CHAR(9)," "),CHAR(10)," "),CHAR(13)," "))),"")))</f>
        <v/>
      </c>
      <c r="ED425">
        <f>IF($DM425=0,"",MATCH(1,INDEX(EXACT($DH$5:DH425,$DH425)*$DM$5:DM425,0),0))</f>
        <v/>
      </c>
      <c r="EE425">
        <f>IF($DM425=0,0,IF($ED425=$DE425,1,0))</f>
        <v/>
      </c>
      <c r="EF425">
        <f>EF424+$EE425</f>
        <v/>
      </c>
      <c r="EG425">
        <f>IF($DM425=0,"",INDEX($EF$5:$EF$1003,$ED425))</f>
        <v/>
      </c>
      <c r="EH425">
        <f>IF($DM425=0,"",IF($DO425&lt;&gt;"","",IFERROR(LOOKUP(2,1/(($EG$4:EG424=$EG425)*($DO$4:DO424&lt;&gt;"")),$DO$4:DO424),"")))</f>
        <v/>
      </c>
      <c r="EI425">
        <f>IF($DM425=0,"",IF($DO425&lt;&gt;"",$DO425,$EH425))</f>
        <v/>
      </c>
      <c r="EJ425">
        <f>IF($DM425=0,"",IF($EI425="",0,IF(OR(ISNUMBER($EI425),AND(AND(SUBSTITUTE(SUBSTITUTE(SUBSTITUTE(SUBSTITUTE(SUBSTITUTE(SUBSTITUTE(SUBSTITUTE(SUBSTITUTE(SUBSTITUTE(SUBSTITUTE(SUBSTITUTE(SUBSTITUTE(SUBSTITUTE(SUBSTITUTE(UPPER($EI425),"0",""),"1",""),"2",""),"3",""),"4",""),"5",""),"6",""),"7",""),"8",""),"9",""),".",""),"+",""),"-",""),"E","")="",LEN(SUBSTITUTE(SUBSTITUTE(MID(UPPER($EI425),1+OR(LEFT(UPPER($EI425),1)="+",LEFT(UPPER($EI425),1)="-"),999),"E+","E"),"E-","E"))=LEN(SUBSTITUTE(SUBSTITUTE(SUBSTITUTE(SUBSTITUTE(MID(UPPER($EI425),1+OR(LEFT(UPPER($EI425),1)="+",LEFT(UPPER($EI425),1)="-"),999),"E+","E"),"E-","E"),"+",""),"-","")),LEN(UPPER($EI425))-LEN(SUBSTITUTE(UPPER($EI425),"E",""))&lt;2,LEN(UPPER($EI425))-LEN(SUBSTITUTE(UPPER($EI425),".",""))&lt;2,IFERROR(FIND(".",UPPER($EI425)),0)&lt;IFERROR(FIND("E",UPPER($EI425)),999)),ISNUMBER(VALUE($EI425)))),1,2)))</f>
        <v/>
      </c>
      <c r="EK425">
        <f>IF($DM425=0,"",IF($EJ425=1,IF(ISNUMBER($EI425),$EI425,VALUE($EI425)),IF($EJ425=2,$DE425,0)))</f>
        <v/>
      </c>
      <c r="EL425">
        <f>IF($DM425=0,"",COUNTIF($EG$5:$EG$1003,"&lt;"&amp;$EG425)+SUMPRODUCT(($EG$5:$EG$1003=$EG425)*(($EJ$5:$EJ$1003&lt;$EJ425)+($EJ$5:$EJ$1003=$EJ425)*(($EK$5:$EK$1003&lt;$EK425)+($EK$5:$EK$1003=$EK425)*($DE$5:$DE$1003&lt;$DE425))))+1)</f>
        <v/>
      </c>
      <c r="EM425">
        <f>IF($DM425=0,"",$EL425+$EG425-1)</f>
        <v/>
      </c>
      <c r="EN425">
        <f>IF($DM425=0,0,IFERROR(MATCH(1,INDEX(--(TRIM(SUBSTITUTE(SUBSTITUTE(SUBSTITUTE(SUBSTITUTE(LINES_NAME&amp;""," "," "),CHAR(9)," "),CHAR(10)," "),CHAR(13)," "))=$DH425),0),0),0))</f>
        <v/>
      </c>
      <c r="EO425">
        <f>IF($EN425=0,0,IF(OR(UPPER(TRIM(INDEX(LINES_SCHEDULED,$EN425)&amp;""))="YES",UPPER(TRIM(INDEX(LINES_SCHEDULED,$EN425)&amp;""))="Y",UPPER(TRIM(INDEX(LINES_SCHEDULED,$EN425)&amp;""))="X"),1,0))</f>
        <v/>
      </c>
      <c r="EP425">
        <f>IF($DM425=0,"",IF(COUNTIFS($EG$5:$EG$1003,$EG425,$EB$5:$EB$1003,"Ready")&gt;0,"READY",IF(COUNTIFS($EG$5:$EG$1003,$EG425,$EB$5:$EB$1003,"PM")&gt;0,"PM",IF(COUNTIFS($EG$5:$EG$1003,$EG425,$EB$5:$EB$1003,"OT")&gt;0,"OT",""))))</f>
        <v/>
      </c>
      <c r="EQ425">
        <f>IF($EN425=0,"",UPPER(TRIM(INDEX(LINES_STATUS,$EN425)&amp;"")))</f>
        <v/>
      </c>
      <c r="ER425">
        <f>IF($DM425=0,"",IF(OR($EQ425="READY",$EQ425="PM",$EQ425="OT"),$EQ425,$EP425))</f>
        <v/>
      </c>
      <c r="ES425">
        <f>IF($DM425=0,"",IF(AND($DV425&lt;&gt;"",UPPER($DV425)&lt;&gt;"N"),"allergen",IF(ISNUMBER(SEARCH("oil",$DQ425)),"oil",IF(OR(EXACT($DS425,"A662"),EXACT($DS425,"A624")),"bulk",""))))</f>
        <v/>
      </c>
      <c r="ET425">
        <f>IF($DM425=0,"",IF(OR($EA425="",$EA425=0),"",$EA425/100))</f>
        <v/>
      </c>
      <c r="EU425">
        <f>IF(OR($ET425="",$DY425=""),"",INT($DY425*(1-$ET425)+0.5))</f>
        <v/>
      </c>
      <c r="EW425" t="n">
        <v>421</v>
      </c>
      <c r="EX425">
        <f>IFERROR(MATCH($EW425,$EM$5:$EM$1003,0),0)</f>
        <v/>
      </c>
      <c r="EY425">
        <f>IF($EW425&gt;$B$12,"",IF($EX425&gt;0,"row","spacer"))</f>
        <v/>
      </c>
      <c r="EZ425">
        <f>IF(AND($EY425="row",$EY424&lt;&gt;"row"),1,0)</f>
        <v/>
      </c>
      <c r="FA425">
        <f>IF(AND($EY425="row",$EY426&lt;&gt;"row"),1,0)</f>
        <v/>
      </c>
      <c r="FB425">
        <f>IF($EZ425=1,IFERROR(IF(ISNUMBER(INDEX(PASTE_ALL,INDEX($DF$5:$DF$1003,$EX425),$B$37)),INDEX(PASTE_ALL,INDEX($DF$5:$DF$1003,$EX425),$B$37),INDEX($DH$5:$DH$1003,$EX425)),INDEX($DH$5:$DH$1003,$EX425)),"")</f>
        <v/>
      </c>
      <c r="FC425">
        <f>IF($EY425="row",INDEX($ER$5:$ER$1003,$EX425),"")</f>
        <v/>
      </c>
      <c r="FD425">
        <f>IF($EY425="row",INDEX($DN$5:$DN$1003,$EX425),"")</f>
        <v/>
      </c>
      <c r="FE425">
        <f>IF($EY425="row",INDEX($DO$5:$DO$1003,$EX425),"")</f>
        <v/>
      </c>
      <c r="FF425">
        <f>IF($EY425="row",INDEX($DP$5:$DP$1003,$EX425),"")</f>
        <v/>
      </c>
      <c r="FG425">
        <f>IF($EY425="row",INDEX($DQ$5:$DQ$1003,$EX425),"")</f>
        <v/>
      </c>
      <c r="FH425">
        <f>IF($EY425="row",INDEX($DR$5:$DR$1003,$EX425),"")</f>
        <v/>
      </c>
      <c r="FI425">
        <f>IF($EY425="row",INDEX($DS$5:$DS$1003,$EX425),"")</f>
        <v/>
      </c>
      <c r="FJ425">
        <f>IF($EY425="row",INDEX($DT$5:$DT$1003,$EX425),"")</f>
        <v/>
      </c>
      <c r="FK425">
        <f>IF($EY425="row",INDEX($DU$5:$DU$1003,$EX425),"")</f>
        <v/>
      </c>
      <c r="FL425">
        <f>IF($EY425="row",INDEX($DV$5:$DV$1003,$EX425),"")</f>
        <v/>
      </c>
      <c r="FM425">
        <f>IF($EY425="row",INDEX($DW$5:$DW$1003,$EX425),"")</f>
        <v/>
      </c>
      <c r="FN425">
        <f>IF($EY425="row",INDEX($DY$5:$DY$1003,$EX425),"")</f>
        <v/>
      </c>
      <c r="FO425">
        <f>IF($EY425="row",INDEX($EA$5:$EA$1003,$EX425),"")</f>
        <v/>
      </c>
      <c r="FP425">
        <f>IF($EY425="row",INDEX($EC$5:$EC$1003,$EX425),"")</f>
        <v/>
      </c>
      <c r="FQ425">
        <f>IF($EY425="row",INDEX($ET$5:$ET$1003,$EX425),"")</f>
        <v/>
      </c>
      <c r="FR425">
        <f>IF($EY425="row",INDEX($EU$5:$EU$1003,$EX425),"")</f>
        <v/>
      </c>
      <c r="FS425">
        <f>IF(AND($EY425="row",$EY424="row"),IF(OR(INDEX($DT$5:$DT$1003,$EX424)="",INDEX($DT$5:$DT$1003,$EX425)=""),"",IF(NOT(EXACT(INDEX($DT$5:$DT$1003,$EX424),INDEX($DT$5:$DT$1003,$EX425))),"S4",IF(NOT(EXACT(INDEX($DS$5:$DS$1003,$EX424),INDEX($DS$5:$DS$1003,$EX425))),"S3",IF(NOT(EXACT(INDEX($DR$5:$DR$1003,$EX424),INDEX($DR$5:$DR$1003,$EX425))),"S1 Count Change","S1")))),"")</f>
        <v/>
      </c>
      <c r="FT425">
        <f>IF($EY425="row",INDEX($ES$5:$ES$1003,$EX425),"")</f>
        <v/>
      </c>
      <c r="FU425">
        <f>IF($EY425="row",INDEX($EO$5:$EO$1003,$EX425),0)</f>
        <v/>
      </c>
      <c r="FV425">
        <f>IF($FS425="S1 Count Change",1,0)</f>
        <v/>
      </c>
    </row>
    <row r="426">
      <c r="DA426" t="n">
        <v>422</v>
      </c>
      <c r="DB426">
        <f>IF($B$37=0,"",IFERROR(TRIM(SUBSTITUTE(SUBSTITUTE(SUBSTITUTE(SUBSTITUTE(INDEX(PASTE_ALL,422,$B$37)," "," "),CHAR(9)," "),CHAR(10)," "),CHAR(13)," ")),""))</f>
        <v/>
      </c>
      <c r="DC426">
        <f>IF(AND(422&gt;HEADER_ROW,UPPER(DB426)="LEGEND"),1,0)</f>
        <v/>
      </c>
      <c r="DE426" t="n">
        <v>422</v>
      </c>
      <c r="DF426">
        <f>HEADER_ROW+$DE426</f>
        <v/>
      </c>
      <c r="DG426">
        <f>IF(AND($DF426&lt;=1000,$DF426&lt;$B$8),1,0)</f>
        <v/>
      </c>
      <c r="DH426">
        <f>IF($DG426=1,IFERROR(INDEX($DB$5:$DB$1004,$DF426),""),"")</f>
        <v/>
      </c>
      <c r="DI426">
        <f>IF(AND($DG426=1,$DH426&lt;&gt;""),IFERROR(SUBSTITUTE(SUBSTITUTE(TRIM(SUBSTITUTE(SUBSTITUTE(SUBSTITUTE(SUBSTITUTE(IFERROR(INDEX(PASTE_ALL,$DF426,1)&amp;"","")&amp;"␟"&amp;IFERROR(INDEX(PASTE_ALL,$DF426,2)&amp;"","")&amp;"␟"&amp;IFERROR(INDEX(PASTE_ALL,$DF426,3)&amp;"","")&amp;"␟"&amp;IFERROR(INDEX(PASTE_ALL,$DF426,4)&amp;"","")&amp;"␟"&amp;IFERROR(INDEX(PASTE_ALL,$DF426,5)&amp;"","")&amp;"␟"&amp;IFERROR(INDEX(PASTE_ALL,$DF426,6)&amp;"","")&amp;"␟"&amp;IFERROR(INDEX(PASTE_ALL,$DF426,7)&amp;"","")&amp;"␟"&amp;IFERROR(INDEX(PASTE_ALL,$DF426,8)&amp;"","")&amp;"␟"&amp;IFERROR(INDEX(PASTE_ALL,$DF426,9)&amp;"","")&amp;"␟"&amp;IFERROR(INDEX(PASTE_ALL,$DF426,10)&amp;"","")&amp;"␟"&amp;IFERROR(INDEX(PASTE_ALL,$DF426,11)&amp;"","")&amp;"␟"&amp;IFERROR(INDEX(PASTE_ALL,$DF426,12)&amp;"","")&amp;"␟"&amp;IFERROR(INDEX(PASTE_ALL,$DF426,13)&amp;"","")&amp;"␟"&amp;IFERROR(INDEX(PASTE_ALL,$DF426,14)&amp;"","")&amp;"␟"&amp;IFERROR(INDEX(PASTE_ALL,$DF426,15)&amp;"","")&amp;"␟"&amp;IFERROR(INDEX(PASTE_ALL,$DF426,16)&amp;"","")&amp;"␟"&amp;IFERROR(INDEX(PASTE_ALL,$DF426,17)&amp;"","")&amp;"␟"&amp;IFERROR(INDEX(PASTE_ALL,$DF426,18)&amp;"","")&amp;"␟"&amp;IFERROR(INDEX(PASTE_ALL,$DF426,19)&amp;"","")&amp;"␟"&amp;IFERROR(INDEX(PASTE_ALL,$DF426,20)&amp;"","")&amp;"␟"&amp;IFERROR(INDEX(PASTE_ALL,$DF426,21)&amp;"","")&amp;"␟"&amp;IFERROR(INDEX(PASTE_ALL,$DF426,22)&amp;"","")&amp;"␟"&amp;IFERROR(INDEX(PASTE_ALL,$DF426,23)&amp;"","")&amp;"␟"&amp;IFERROR(INDEX(PASTE_ALL,$DF426,24)&amp;"","")&amp;"␟"&amp;IFERROR(INDEX(PASTE_ALL,$DF426,25)&amp;"","")&amp;"␟"&amp;IFERROR(INDEX(PASTE_ALL,$DF426,26)&amp;"","")&amp;"␟"&amp;IFERROR(INDEX(PASTE_ALL,$DF426,27)&amp;"","")&amp;"␟"&amp;IFERROR(INDEX(PASTE_ALL,$DF426,28)&amp;"","")&amp;"␟"&amp;IFERROR(INDEX(PASTE_ALL,$DF426,29)&amp;"","")&amp;"␟"&amp;IFERROR(INDEX(PASTE_ALL,$DF426,30)&amp;"","")&amp;"␟"&amp;IFERROR(INDEX(PASTE_ALL,$DF426,31)&amp;"","")&amp;"␟"&amp;IFERROR(INDEX(PASTE_ALL,$DF426,32)&amp;"","")&amp;"␟"&amp;IFERROR(INDEX(PASTE_ALL,$DF426,33)&amp;"","")&amp;"␟"&amp;IFERROR(INDEX(PASTE_ALL,$DF426,34)&amp;"","")&amp;"␟"&amp;IFERROR(INDEX(PASTE_ALL,$DF426,35)&amp;"","")&amp;"␟"&amp;IFERROR(INDEX(PASTE_ALL,$DF426,36)&amp;"","")&amp;"␟"&amp;IFERROR(INDEX(PASTE_ALL,$DF426,37)&amp;"","")&amp;"␟"&amp;IFERROR(INDEX(PASTE_ALL,$DF426,38)&amp;"","")&amp;"␟"&amp;IFERROR(INDEX(PASTE_ALL,$DF426,39)&amp;"","")&amp;"␟"&amp;IFERROR(INDEX(PASTE_ALL,$DF426,40)&amp;"","")&amp;"␟"&amp;IFERROR(INDEX(PASTE_ALL,$DF426,41)&amp;"","")&amp;"␟"&amp;IFERROR(INDEX(PASTE_ALL,$DF426,42)&amp;"","")&amp;"␟"&amp;IFERROR(INDEX(PASTE_ALL,$DF426,43)&amp;"","")&amp;"␟"&amp;IFERROR(INDEX(PASTE_ALL,$DF426,44)&amp;"","")&amp;"␟"&amp;IFERROR(INDEX(PASTE_ALL,$DF426,45)&amp;"","")&amp;"␟"&amp;IFERROR(INDEX(PASTE_ALL,$DF426,46)&amp;"","")&amp;"␟"&amp;IFERROR(INDEX(PASTE_ALL,$DF426,47)&amp;"","")&amp;"␟"&amp;IFERROR(INDEX(PASTE_ALL,$DF426,48)&amp;"","")&amp;"␟"&amp;IFERROR(INDEX(PASTE_ALL,$DF426,49)&amp;"","")&amp;"␟"&amp;IFERROR(INDEX(PASTE_ALL,$DF426,50)&amp;"","")&amp;"␟"&amp;IFERROR(INDEX(PASTE_ALL,$DF426,51)&amp;"","")&amp;"␟"&amp;IFERROR(INDEX(PASTE_ALL,$DF426,52)&amp;"","")&amp;"␟"&amp;IFERROR(INDEX(PASTE_ALL,$DF426,53)&amp;"","")&amp;"␟"&amp;IFERROR(INDEX(PASTE_ALL,$DF426,54)&amp;"","")&amp;"␟"&amp;IFERROR(INDEX(PASTE_ALL,$DF426,55)&amp;"","")&amp;"␟"&amp;IFERROR(INDEX(PASTE_ALL,$DF426,56)&amp;"","")&amp;"␟"&amp;IFERROR(INDEX(PASTE_ALL,$DF426,57)&amp;"","")&amp;"␟"&amp;IFERROR(INDEX(PASTE_ALL,$DF426,58)&amp;"","")&amp;"␟"&amp;IFERROR(INDEX(PASTE_ALL,$DF426,59)&amp;"","")&amp;"␟"&amp;IFERROR(INDEX(PASTE_ALL,$DF426,60)&amp;"","")," "," "),CHAR(9)," "),CHAR(10)," "),CHAR(13)," "))," ␟","␟"),"␟ ","␟"),"#"&amp;$DE426),"")</f>
        <v/>
      </c>
      <c r="DJ426">
        <f>IF($DI426="",0,IF(SUMPRODUCT(--EXACT($DI$4:DI425,$DI426))&gt;0,1,0))</f>
        <v/>
      </c>
      <c r="DK426">
        <f>IF(AND($DI426&lt;&gt;"",$DJ426=0),1,0)</f>
        <v/>
      </c>
      <c r="DL426">
        <f>DL425+$DK426</f>
        <v/>
      </c>
      <c r="DM426">
        <f>IF(AND($DK426=1,$DL426&lt;=600),1,0)</f>
        <v/>
      </c>
      <c r="DN426">
        <f>IF($DM426=0,"",IF($L$6=0,"",IFERROR(IF(ISNUMBER(INDEX(PASTE_ALL,$DF426,$L$6)),INDEX(PASTE_ALL,$DF426,$L$6),TRIM(SUBSTITUTE(SUBSTITUTE(SUBSTITUTE(SUBSTITUTE(INDEX(PASTE_ALL,$DF426,$L$6)," "," "),CHAR(9)," "),CHAR(10)," "),CHAR(13)," "))),"")))</f>
        <v/>
      </c>
      <c r="DO426">
        <f>IF($DM426=0,"",IF($L$7=0,"",IFERROR(IF(ISNUMBER(INDEX(PASTE_ALL,$DF426,$L$7)),INDEX(PASTE_ALL,$DF426,$L$7),TRIM(SUBSTITUTE(SUBSTITUTE(SUBSTITUTE(SUBSTITUTE(INDEX(PASTE_ALL,$DF426,$L$7)," "," "),CHAR(9)," "),CHAR(10)," "),CHAR(13)," "))),"")))</f>
        <v/>
      </c>
      <c r="DP426">
        <f>IF($DM426=0,"",IF($L$8=0,"",IFERROR(IF(ISNUMBER(INDEX(PASTE_ALL,$DF426,$L$8)),INDEX(PASTE_ALL,$DF426,$L$8),TRIM(SUBSTITUTE(SUBSTITUTE(SUBSTITUTE(SUBSTITUTE(INDEX(PASTE_ALL,$DF426,$L$8)," "," "),CHAR(9)," "),CHAR(10)," "),CHAR(13)," "))),"")))</f>
        <v/>
      </c>
      <c r="DQ426">
        <f>IF($DM426=0,"",IF($L$9=0,"",IFERROR(IF(ISNUMBER(INDEX(PASTE_ALL,$DF426,$L$9)),INDEX(PASTE_ALL,$DF426,$L$9),TRIM(SUBSTITUTE(SUBSTITUTE(SUBSTITUTE(SUBSTITUTE(INDEX(PASTE_ALL,$DF426,$L$9)," "," "),CHAR(9)," "),CHAR(10)," "),CHAR(13)," "))),"")))</f>
        <v/>
      </c>
      <c r="DR426">
        <f>IF($DM426=0,"",IF($L$10=0,"",IFERROR(IF(ISNUMBER(INDEX(PASTE_ALL,$DF426,$L$10)),INDEX(PASTE_ALL,$DF426,$L$10),TRIM(SUBSTITUTE(SUBSTITUTE(SUBSTITUTE(SUBSTITUTE(INDEX(PASTE_ALL,$DF426,$L$10)," "," "),CHAR(9)," "),CHAR(10)," "),CHAR(13)," "))),"")))</f>
        <v/>
      </c>
      <c r="DS426">
        <f>IF($DM426=0,"",IF($L$11=0,"",IFERROR(IF(ISNUMBER(INDEX(PASTE_ALL,$DF426,$L$11)),INDEX(PASTE_ALL,$DF426,$L$11),TRIM(SUBSTITUTE(SUBSTITUTE(SUBSTITUTE(SUBSTITUTE(INDEX(PASTE_ALL,$DF426,$L$11)," "," "),CHAR(9)," "),CHAR(10)," "),CHAR(13)," "))),"")))</f>
        <v/>
      </c>
      <c r="DT426">
        <f>IF($DM426=0,"",IF($L$12=0,"",IFERROR(IF(ISNUMBER(INDEX(PASTE_ALL,$DF426,$L$12)),INDEX(PASTE_ALL,$DF426,$L$12),TRIM(SUBSTITUTE(SUBSTITUTE(SUBSTITUTE(SUBSTITUTE(INDEX(PASTE_ALL,$DF426,$L$12)," "," "),CHAR(9)," "),CHAR(10)," "),CHAR(13)," "))),"")))</f>
        <v/>
      </c>
      <c r="DU426">
        <f>IF($DM426=0,"",IF($L$13=0,"",IFERROR(IF(ISNUMBER(INDEX(PASTE_ALL,$DF426,$L$13)),INDEX(PASTE_ALL,$DF426,$L$13),TRIM(SUBSTITUTE(SUBSTITUTE(SUBSTITUTE(SUBSTITUTE(INDEX(PASTE_ALL,$DF426,$L$13)," "," "),CHAR(9)," "),CHAR(10)," "),CHAR(13)," "))),"")))</f>
        <v/>
      </c>
      <c r="DV426">
        <f>IF($DM426=0,"",IF($L$14=0,"",IFERROR(IF(ISNUMBER(INDEX(PASTE_ALL,$DF426,$L$14)),INDEX(PASTE_ALL,$DF426,$L$14),TRIM(SUBSTITUTE(SUBSTITUTE(SUBSTITUTE(SUBSTITUTE(INDEX(PASTE_ALL,$DF426,$L$14)," "," "),CHAR(9)," "),CHAR(10)," "),CHAR(13)," "))),"")))</f>
        <v/>
      </c>
      <c r="DW426">
        <f>IF($DM426=0,"",IF($L$15=0,"",IFERROR(IF(ISNUMBER(INDEX(PASTE_ALL,$DF426,$L$15)),INDEX(PASTE_ALL,$DF426,$L$15),IF(SUMPRODUCT(--ISNUMBER(FIND({"A","B","C","D","E","F","G","H","I","J","K","L","M","N","O","P","Q","R","S","T","U","V","W","X","Y","Z","0","1","2","3","4","5","6","7","8","9"},UPPER(TRIM(SUBSTITUTE(SUBSTITUTE(SUBSTITUTE(SUBSTITUTE(INDEX(PASTE_ALL,$DF426,$L$15)," "," "),CHAR(9)," "),CHAR(10)," "),CHAR(13)," "))))))&gt;0,TRIM(SUBSTITUTE(SUBSTITUTE(SUBSTITUTE(SUBSTITUTE(INDEX(PASTE_ALL,$DF426,$L$15)," "," "),CHAR(9)," "),CHAR(10)," "),CHAR(13)," ")),"")),"")))</f>
        <v/>
      </c>
      <c r="DX426">
        <f>IF($DM426=0,"",IF($L$16=0,"",IFERROR(IF(ISNUMBER(INDEX(PASTE_ALL,$DF426,$L$16)),INDEX(PASTE_ALL,$DF426,$L$16),SUBSTITUTE(SUBSTITUTE(TRIM(SUBSTITUTE(SUBSTITUTE(SUBSTITUTE(SUBSTITUTE(INDEX(PASTE_ALL,$DF426,$L$16)," "," "),CHAR(9)," "),CHAR(10)," "),CHAR(13)," ")),",",""),"%","")),"")))</f>
        <v/>
      </c>
      <c r="DY426">
        <f>IF($DM426=0,"",IFERROR(IF(ISNUMBER($DX426),$DX426,IF($DX426="","",IF(TRIM($DX426)="",0,IF(AND(AND(SUBSTITUTE(SUBSTITUTE(SUBSTITUTE(SUBSTITUTE(SUBSTITUTE(SUBSTITUTE(SUBSTITUTE(SUBSTITUTE(SUBSTITUTE(SUBSTITUTE(SUBSTITUTE(SUBSTITUTE(SUBSTITUTE(SUBSTITUTE(UPPER(TRIM($DX426)),"0",""),"1",""),"2",""),"3",""),"4",""),"5",""),"6",""),"7",""),"8",""),"9",""),".",""),"+",""),"-",""),"E","")="",LEN(SUBSTITUTE(SUBSTITUTE(MID(UPPER(TRIM($DX426)),1+OR(LEFT(UPPER(TRIM($DX426)),1)="+",LEFT(UPPER(TRIM($DX426)),1)="-"),999),"E+","E"),"E-","E"))=LEN(SUBSTITUTE(SUBSTITUTE(SUBSTITUTE(SUBSTITUTE(MID(UPPER(TRIM($DX426)),1+OR(LEFT(UPPER(TRIM($DX426)),1)="+",LEFT(UPPER(TRIM($DX426)),1)="-"),999),"E+","E"),"E-","E"),"+",""),"-","")),LEN(UPPER(TRIM($DX426)))-LEN(SUBSTITUTE(UPPER(TRIM($DX426)),"E",""))&lt;2,LEN(UPPER(TRIM($DX426)))-LEN(SUBSTITUTE(UPPER(TRIM($DX426)),".",""))&lt;2,IFERROR(FIND(".",UPPER(TRIM($DX426))),0)&lt;IFERROR(FIND("E",UPPER(TRIM($DX426))),999)),ISNUMBER(VALUE(TRIM($DX426)))),VALUE(TRIM($DX426)),"")))),""))</f>
        <v/>
      </c>
      <c r="DZ426">
        <f>IF($DM426=0,"",IF($L$17=0,"",IFERROR(IF(ISNUMBER(INDEX(PASTE_ALL,$DF426,$L$17)),INDEX(PASTE_ALL,$DF426,$L$17),SUBSTITUTE(SUBSTITUTE(TRIM(SUBSTITUTE(SUBSTITUTE(SUBSTITUTE(SUBSTITUTE(INDEX(PASTE_ALL,$DF426,$L$17)," "," "),CHAR(9)," "),CHAR(10)," "),CHAR(13)," ")),",",""),"%","")),"")))</f>
        <v/>
      </c>
      <c r="EA426">
        <f>IF($DM426=0,"",IFERROR(IF(ISNUMBER($DZ426),$DZ426,IF($DZ426="","",IF(TRIM($DZ426)="",0,IF(AND(AND(SUBSTITUTE(SUBSTITUTE(SUBSTITUTE(SUBSTITUTE(SUBSTITUTE(SUBSTITUTE(SUBSTITUTE(SUBSTITUTE(SUBSTITUTE(SUBSTITUTE(SUBSTITUTE(SUBSTITUTE(SUBSTITUTE(SUBSTITUTE(UPPER(TRIM($DZ426)),"0",""),"1",""),"2",""),"3",""),"4",""),"5",""),"6",""),"7",""),"8",""),"9",""),".",""),"+",""),"-",""),"E","")="",LEN(SUBSTITUTE(SUBSTITUTE(MID(UPPER(TRIM($DZ426)),1+OR(LEFT(UPPER(TRIM($DZ426)),1)="+",LEFT(UPPER(TRIM($DZ426)),1)="-"),999),"E+","E"),"E-","E"))=LEN(SUBSTITUTE(SUBSTITUTE(SUBSTITUTE(SUBSTITUTE(MID(UPPER(TRIM($DZ426)),1+OR(LEFT(UPPER(TRIM($DZ426)),1)="+",LEFT(UPPER(TRIM($DZ426)),1)="-"),999),"E+","E"),"E-","E"),"+",""),"-","")),LEN(UPPER(TRIM($DZ426)))-LEN(SUBSTITUTE(UPPER(TRIM($DZ426)),"E",""))&lt;2,LEN(UPPER(TRIM($DZ426)))-LEN(SUBSTITUTE(UPPER(TRIM($DZ426)),".",""))&lt;2,IFERROR(FIND(".",UPPER(TRIM($DZ426))),0)&lt;IFERROR(FIND("E",UPPER(TRIM($DZ426))),999)),ISNUMBER(VALUE(TRIM($DZ426)))),VALUE(TRIM($DZ426)),"")))),""))</f>
        <v/>
      </c>
      <c r="EB426">
        <f>IF($DM426=0,"",IF($L$18=0,"",IFERROR(IF(UPPER(TRIM(SUBSTITUTE(SUBSTITUTE(SUBSTITUTE(SUBSTITUTE(INDEX(PASTE_ALL,$DF426,$L$18)," "," "),CHAR(9)," "),CHAR(10)," "),CHAR(13)," ")))="READY","Ready",IF(UPPER(TRIM(SUBSTITUTE(SUBSTITUTE(SUBSTITUTE(SUBSTITUTE(INDEX(PASTE_ALL,$DF426,$L$18)," "," "),CHAR(9)," "),CHAR(10)," "),CHAR(13)," ")))="PM","PM",IF(OR(UPPER(TRIM(SUBSTITUTE(SUBSTITUTE(SUBSTITUTE(SUBSTITUTE(INDEX(PASTE_ALL,$DF426,$L$18)," "," "),CHAR(9)," "),CHAR(10)," "),CHAR(13)," ")))="OT",UPPER(TRIM(SUBSTITUTE(SUBSTITUTE(SUBSTITUTE(SUBSTITUTE(INDEX(PASTE_ALL,$DF426,$L$18)," "," "),CHAR(9)," "),CHAR(10)," "),CHAR(13)," ")))="OVERTIME",UPPER(TRIM(SUBSTITUTE(SUBSTITUTE(SUBSTITUTE(SUBSTITUTE(INDEX(PASTE_ALL,$DF426,$L$18)," "," "),CHAR(9)," "),CHAR(10)," "),CHAR(13)," ")))="TRIAL"),"OT",TRIM(SUBSTITUTE(SUBSTITUTE(SUBSTITUTE(SUBSTITUTE(INDEX(PASTE_ALL,$DF426,$L$18)," "," "),CHAR(9)," "),CHAR(10)," "),CHAR(13)," "))))),"")))</f>
        <v/>
      </c>
      <c r="EC426">
        <f>IF($DM426=0,"",IF($L$19=0,"",IFERROR(IF(ISNUMBER(INDEX(PASTE_ALL,$DF426,$L$19)),INDEX(PASTE_ALL,$DF426,$L$19),TRIM(SUBSTITUTE(SUBSTITUTE(SUBSTITUTE(SUBSTITUTE(INDEX(PASTE_ALL,$DF426,$L$19)," "," "),CHAR(9)," "),CHAR(10)," "),CHAR(13)," "))),"")))</f>
        <v/>
      </c>
      <c r="ED426">
        <f>IF($DM426=0,"",MATCH(1,INDEX(EXACT($DH$5:DH426,$DH426)*$DM$5:DM426,0),0))</f>
        <v/>
      </c>
      <c r="EE426">
        <f>IF($DM426=0,0,IF($ED426=$DE426,1,0))</f>
        <v/>
      </c>
      <c r="EF426">
        <f>EF425+$EE426</f>
        <v/>
      </c>
      <c r="EG426">
        <f>IF($DM426=0,"",INDEX($EF$5:$EF$1003,$ED426))</f>
        <v/>
      </c>
      <c r="EH426">
        <f>IF($DM426=0,"",IF($DO426&lt;&gt;"","",IFERROR(LOOKUP(2,1/(($EG$4:EG425=$EG426)*($DO$4:DO425&lt;&gt;"")),$DO$4:DO425),"")))</f>
        <v/>
      </c>
      <c r="EI426">
        <f>IF($DM426=0,"",IF($DO426&lt;&gt;"",$DO426,$EH426))</f>
        <v/>
      </c>
      <c r="EJ426">
        <f>IF($DM426=0,"",IF($EI426="",0,IF(OR(ISNUMBER($EI426),AND(AND(SUBSTITUTE(SUBSTITUTE(SUBSTITUTE(SUBSTITUTE(SUBSTITUTE(SUBSTITUTE(SUBSTITUTE(SUBSTITUTE(SUBSTITUTE(SUBSTITUTE(SUBSTITUTE(SUBSTITUTE(SUBSTITUTE(SUBSTITUTE(UPPER($EI426),"0",""),"1",""),"2",""),"3",""),"4",""),"5",""),"6",""),"7",""),"8",""),"9",""),".",""),"+",""),"-",""),"E","")="",LEN(SUBSTITUTE(SUBSTITUTE(MID(UPPER($EI426),1+OR(LEFT(UPPER($EI426),1)="+",LEFT(UPPER($EI426),1)="-"),999),"E+","E"),"E-","E"))=LEN(SUBSTITUTE(SUBSTITUTE(SUBSTITUTE(SUBSTITUTE(MID(UPPER($EI426),1+OR(LEFT(UPPER($EI426),1)="+",LEFT(UPPER($EI426),1)="-"),999),"E+","E"),"E-","E"),"+",""),"-","")),LEN(UPPER($EI426))-LEN(SUBSTITUTE(UPPER($EI426),"E",""))&lt;2,LEN(UPPER($EI426))-LEN(SUBSTITUTE(UPPER($EI426),".",""))&lt;2,IFERROR(FIND(".",UPPER($EI426)),0)&lt;IFERROR(FIND("E",UPPER($EI426)),999)),ISNUMBER(VALUE($EI426)))),1,2)))</f>
        <v/>
      </c>
      <c r="EK426">
        <f>IF($DM426=0,"",IF($EJ426=1,IF(ISNUMBER($EI426),$EI426,VALUE($EI426)),IF($EJ426=2,$DE426,0)))</f>
        <v/>
      </c>
      <c r="EL426">
        <f>IF($DM426=0,"",COUNTIF($EG$5:$EG$1003,"&lt;"&amp;$EG426)+SUMPRODUCT(($EG$5:$EG$1003=$EG426)*(($EJ$5:$EJ$1003&lt;$EJ426)+($EJ$5:$EJ$1003=$EJ426)*(($EK$5:$EK$1003&lt;$EK426)+($EK$5:$EK$1003=$EK426)*($DE$5:$DE$1003&lt;$DE426))))+1)</f>
        <v/>
      </c>
      <c r="EM426">
        <f>IF($DM426=0,"",$EL426+$EG426-1)</f>
        <v/>
      </c>
      <c r="EN426">
        <f>IF($DM426=0,0,IFERROR(MATCH(1,INDEX(--(TRIM(SUBSTITUTE(SUBSTITUTE(SUBSTITUTE(SUBSTITUTE(LINES_NAME&amp;""," "," "),CHAR(9)," "),CHAR(10)," "),CHAR(13)," "))=$DH426),0),0),0))</f>
        <v/>
      </c>
      <c r="EO426">
        <f>IF($EN426=0,0,IF(OR(UPPER(TRIM(INDEX(LINES_SCHEDULED,$EN426)&amp;""))="YES",UPPER(TRIM(INDEX(LINES_SCHEDULED,$EN426)&amp;""))="Y",UPPER(TRIM(INDEX(LINES_SCHEDULED,$EN426)&amp;""))="X"),1,0))</f>
        <v/>
      </c>
      <c r="EP426">
        <f>IF($DM426=0,"",IF(COUNTIFS($EG$5:$EG$1003,$EG426,$EB$5:$EB$1003,"Ready")&gt;0,"READY",IF(COUNTIFS($EG$5:$EG$1003,$EG426,$EB$5:$EB$1003,"PM")&gt;0,"PM",IF(COUNTIFS($EG$5:$EG$1003,$EG426,$EB$5:$EB$1003,"OT")&gt;0,"OT",""))))</f>
        <v/>
      </c>
      <c r="EQ426">
        <f>IF($EN426=0,"",UPPER(TRIM(INDEX(LINES_STATUS,$EN426)&amp;"")))</f>
        <v/>
      </c>
      <c r="ER426">
        <f>IF($DM426=0,"",IF(OR($EQ426="READY",$EQ426="PM",$EQ426="OT"),$EQ426,$EP426))</f>
        <v/>
      </c>
      <c r="ES426">
        <f>IF($DM426=0,"",IF(AND($DV426&lt;&gt;"",UPPER($DV426)&lt;&gt;"N"),"allergen",IF(ISNUMBER(SEARCH("oil",$DQ426)),"oil",IF(OR(EXACT($DS426,"A662"),EXACT($DS426,"A624")),"bulk",""))))</f>
        <v/>
      </c>
      <c r="ET426">
        <f>IF($DM426=0,"",IF(OR($EA426="",$EA426=0),"",$EA426/100))</f>
        <v/>
      </c>
      <c r="EU426">
        <f>IF(OR($ET426="",$DY426=""),"",INT($DY426*(1-$ET426)+0.5))</f>
        <v/>
      </c>
      <c r="EW426" t="n">
        <v>422</v>
      </c>
      <c r="EX426">
        <f>IFERROR(MATCH($EW426,$EM$5:$EM$1003,0),0)</f>
        <v/>
      </c>
      <c r="EY426">
        <f>IF($EW426&gt;$B$12,"",IF($EX426&gt;0,"row","spacer"))</f>
        <v/>
      </c>
      <c r="EZ426">
        <f>IF(AND($EY426="row",$EY425&lt;&gt;"row"),1,0)</f>
        <v/>
      </c>
      <c r="FA426">
        <f>IF(AND($EY426="row",$EY427&lt;&gt;"row"),1,0)</f>
        <v/>
      </c>
      <c r="FB426">
        <f>IF($EZ426=1,IFERROR(IF(ISNUMBER(INDEX(PASTE_ALL,INDEX($DF$5:$DF$1003,$EX426),$B$37)),INDEX(PASTE_ALL,INDEX($DF$5:$DF$1003,$EX426),$B$37),INDEX($DH$5:$DH$1003,$EX426)),INDEX($DH$5:$DH$1003,$EX426)),"")</f>
        <v/>
      </c>
      <c r="FC426">
        <f>IF($EY426="row",INDEX($ER$5:$ER$1003,$EX426),"")</f>
        <v/>
      </c>
      <c r="FD426">
        <f>IF($EY426="row",INDEX($DN$5:$DN$1003,$EX426),"")</f>
        <v/>
      </c>
      <c r="FE426">
        <f>IF($EY426="row",INDEX($DO$5:$DO$1003,$EX426),"")</f>
        <v/>
      </c>
      <c r="FF426">
        <f>IF($EY426="row",INDEX($DP$5:$DP$1003,$EX426),"")</f>
        <v/>
      </c>
      <c r="FG426">
        <f>IF($EY426="row",INDEX($DQ$5:$DQ$1003,$EX426),"")</f>
        <v/>
      </c>
      <c r="FH426">
        <f>IF($EY426="row",INDEX($DR$5:$DR$1003,$EX426),"")</f>
        <v/>
      </c>
      <c r="FI426">
        <f>IF($EY426="row",INDEX($DS$5:$DS$1003,$EX426),"")</f>
        <v/>
      </c>
      <c r="FJ426">
        <f>IF($EY426="row",INDEX($DT$5:$DT$1003,$EX426),"")</f>
        <v/>
      </c>
      <c r="FK426">
        <f>IF($EY426="row",INDEX($DU$5:$DU$1003,$EX426),"")</f>
        <v/>
      </c>
      <c r="FL426">
        <f>IF($EY426="row",INDEX($DV$5:$DV$1003,$EX426),"")</f>
        <v/>
      </c>
      <c r="FM426">
        <f>IF($EY426="row",INDEX($DW$5:$DW$1003,$EX426),"")</f>
        <v/>
      </c>
      <c r="FN426">
        <f>IF($EY426="row",INDEX($DY$5:$DY$1003,$EX426),"")</f>
        <v/>
      </c>
      <c r="FO426">
        <f>IF($EY426="row",INDEX($EA$5:$EA$1003,$EX426),"")</f>
        <v/>
      </c>
      <c r="FP426">
        <f>IF($EY426="row",INDEX($EC$5:$EC$1003,$EX426),"")</f>
        <v/>
      </c>
      <c r="FQ426">
        <f>IF($EY426="row",INDEX($ET$5:$ET$1003,$EX426),"")</f>
        <v/>
      </c>
      <c r="FR426">
        <f>IF($EY426="row",INDEX($EU$5:$EU$1003,$EX426),"")</f>
        <v/>
      </c>
      <c r="FS426">
        <f>IF(AND($EY426="row",$EY425="row"),IF(OR(INDEX($DT$5:$DT$1003,$EX425)="",INDEX($DT$5:$DT$1003,$EX426)=""),"",IF(NOT(EXACT(INDEX($DT$5:$DT$1003,$EX425),INDEX($DT$5:$DT$1003,$EX426))),"S4",IF(NOT(EXACT(INDEX($DS$5:$DS$1003,$EX425),INDEX($DS$5:$DS$1003,$EX426))),"S3",IF(NOT(EXACT(INDEX($DR$5:$DR$1003,$EX425),INDEX($DR$5:$DR$1003,$EX426))),"S1 Count Change","S1")))),"")</f>
        <v/>
      </c>
      <c r="FT426">
        <f>IF($EY426="row",INDEX($ES$5:$ES$1003,$EX426),"")</f>
        <v/>
      </c>
      <c r="FU426">
        <f>IF($EY426="row",INDEX($EO$5:$EO$1003,$EX426),0)</f>
        <v/>
      </c>
      <c r="FV426">
        <f>IF($FS426="S1 Count Change",1,0)</f>
        <v/>
      </c>
    </row>
    <row r="427">
      <c r="DA427" t="n">
        <v>423</v>
      </c>
      <c r="DB427">
        <f>IF($B$37=0,"",IFERROR(TRIM(SUBSTITUTE(SUBSTITUTE(SUBSTITUTE(SUBSTITUTE(INDEX(PASTE_ALL,423,$B$37)," "," "),CHAR(9)," "),CHAR(10)," "),CHAR(13)," ")),""))</f>
        <v/>
      </c>
      <c r="DC427">
        <f>IF(AND(423&gt;HEADER_ROW,UPPER(DB427)="LEGEND"),1,0)</f>
        <v/>
      </c>
      <c r="DE427" t="n">
        <v>423</v>
      </c>
      <c r="DF427">
        <f>HEADER_ROW+$DE427</f>
        <v/>
      </c>
      <c r="DG427">
        <f>IF(AND($DF427&lt;=1000,$DF427&lt;$B$8),1,0)</f>
        <v/>
      </c>
      <c r="DH427">
        <f>IF($DG427=1,IFERROR(INDEX($DB$5:$DB$1004,$DF427),""),"")</f>
        <v/>
      </c>
      <c r="DI427">
        <f>IF(AND($DG427=1,$DH427&lt;&gt;""),IFERROR(SUBSTITUTE(SUBSTITUTE(TRIM(SUBSTITUTE(SUBSTITUTE(SUBSTITUTE(SUBSTITUTE(IFERROR(INDEX(PASTE_ALL,$DF427,1)&amp;"","")&amp;"␟"&amp;IFERROR(INDEX(PASTE_ALL,$DF427,2)&amp;"","")&amp;"␟"&amp;IFERROR(INDEX(PASTE_ALL,$DF427,3)&amp;"","")&amp;"␟"&amp;IFERROR(INDEX(PASTE_ALL,$DF427,4)&amp;"","")&amp;"␟"&amp;IFERROR(INDEX(PASTE_ALL,$DF427,5)&amp;"","")&amp;"␟"&amp;IFERROR(INDEX(PASTE_ALL,$DF427,6)&amp;"","")&amp;"␟"&amp;IFERROR(INDEX(PASTE_ALL,$DF427,7)&amp;"","")&amp;"␟"&amp;IFERROR(INDEX(PASTE_ALL,$DF427,8)&amp;"","")&amp;"␟"&amp;IFERROR(INDEX(PASTE_ALL,$DF427,9)&amp;"","")&amp;"␟"&amp;IFERROR(INDEX(PASTE_ALL,$DF427,10)&amp;"","")&amp;"␟"&amp;IFERROR(INDEX(PASTE_ALL,$DF427,11)&amp;"","")&amp;"␟"&amp;IFERROR(INDEX(PASTE_ALL,$DF427,12)&amp;"","")&amp;"␟"&amp;IFERROR(INDEX(PASTE_ALL,$DF427,13)&amp;"","")&amp;"␟"&amp;IFERROR(INDEX(PASTE_ALL,$DF427,14)&amp;"","")&amp;"␟"&amp;IFERROR(INDEX(PASTE_ALL,$DF427,15)&amp;"","")&amp;"␟"&amp;IFERROR(INDEX(PASTE_ALL,$DF427,16)&amp;"","")&amp;"␟"&amp;IFERROR(INDEX(PASTE_ALL,$DF427,17)&amp;"","")&amp;"␟"&amp;IFERROR(INDEX(PASTE_ALL,$DF427,18)&amp;"","")&amp;"␟"&amp;IFERROR(INDEX(PASTE_ALL,$DF427,19)&amp;"","")&amp;"␟"&amp;IFERROR(INDEX(PASTE_ALL,$DF427,20)&amp;"","")&amp;"␟"&amp;IFERROR(INDEX(PASTE_ALL,$DF427,21)&amp;"","")&amp;"␟"&amp;IFERROR(INDEX(PASTE_ALL,$DF427,22)&amp;"","")&amp;"␟"&amp;IFERROR(INDEX(PASTE_ALL,$DF427,23)&amp;"","")&amp;"␟"&amp;IFERROR(INDEX(PASTE_ALL,$DF427,24)&amp;"","")&amp;"␟"&amp;IFERROR(INDEX(PASTE_ALL,$DF427,25)&amp;"","")&amp;"␟"&amp;IFERROR(INDEX(PASTE_ALL,$DF427,26)&amp;"","")&amp;"␟"&amp;IFERROR(INDEX(PASTE_ALL,$DF427,27)&amp;"","")&amp;"␟"&amp;IFERROR(INDEX(PASTE_ALL,$DF427,28)&amp;"","")&amp;"␟"&amp;IFERROR(INDEX(PASTE_ALL,$DF427,29)&amp;"","")&amp;"␟"&amp;IFERROR(INDEX(PASTE_ALL,$DF427,30)&amp;"","")&amp;"␟"&amp;IFERROR(INDEX(PASTE_ALL,$DF427,31)&amp;"","")&amp;"␟"&amp;IFERROR(INDEX(PASTE_ALL,$DF427,32)&amp;"","")&amp;"␟"&amp;IFERROR(INDEX(PASTE_ALL,$DF427,33)&amp;"","")&amp;"␟"&amp;IFERROR(INDEX(PASTE_ALL,$DF427,34)&amp;"","")&amp;"␟"&amp;IFERROR(INDEX(PASTE_ALL,$DF427,35)&amp;"","")&amp;"␟"&amp;IFERROR(INDEX(PASTE_ALL,$DF427,36)&amp;"","")&amp;"␟"&amp;IFERROR(INDEX(PASTE_ALL,$DF427,37)&amp;"","")&amp;"␟"&amp;IFERROR(INDEX(PASTE_ALL,$DF427,38)&amp;"","")&amp;"␟"&amp;IFERROR(INDEX(PASTE_ALL,$DF427,39)&amp;"","")&amp;"␟"&amp;IFERROR(INDEX(PASTE_ALL,$DF427,40)&amp;"","")&amp;"␟"&amp;IFERROR(INDEX(PASTE_ALL,$DF427,41)&amp;"","")&amp;"␟"&amp;IFERROR(INDEX(PASTE_ALL,$DF427,42)&amp;"","")&amp;"␟"&amp;IFERROR(INDEX(PASTE_ALL,$DF427,43)&amp;"","")&amp;"␟"&amp;IFERROR(INDEX(PASTE_ALL,$DF427,44)&amp;"","")&amp;"␟"&amp;IFERROR(INDEX(PASTE_ALL,$DF427,45)&amp;"","")&amp;"␟"&amp;IFERROR(INDEX(PASTE_ALL,$DF427,46)&amp;"","")&amp;"␟"&amp;IFERROR(INDEX(PASTE_ALL,$DF427,47)&amp;"","")&amp;"␟"&amp;IFERROR(INDEX(PASTE_ALL,$DF427,48)&amp;"","")&amp;"␟"&amp;IFERROR(INDEX(PASTE_ALL,$DF427,49)&amp;"","")&amp;"␟"&amp;IFERROR(INDEX(PASTE_ALL,$DF427,50)&amp;"","")&amp;"␟"&amp;IFERROR(INDEX(PASTE_ALL,$DF427,51)&amp;"","")&amp;"␟"&amp;IFERROR(INDEX(PASTE_ALL,$DF427,52)&amp;"","")&amp;"␟"&amp;IFERROR(INDEX(PASTE_ALL,$DF427,53)&amp;"","")&amp;"␟"&amp;IFERROR(INDEX(PASTE_ALL,$DF427,54)&amp;"","")&amp;"␟"&amp;IFERROR(INDEX(PASTE_ALL,$DF427,55)&amp;"","")&amp;"␟"&amp;IFERROR(INDEX(PASTE_ALL,$DF427,56)&amp;"","")&amp;"␟"&amp;IFERROR(INDEX(PASTE_ALL,$DF427,57)&amp;"","")&amp;"␟"&amp;IFERROR(INDEX(PASTE_ALL,$DF427,58)&amp;"","")&amp;"␟"&amp;IFERROR(INDEX(PASTE_ALL,$DF427,59)&amp;"","")&amp;"␟"&amp;IFERROR(INDEX(PASTE_ALL,$DF427,60)&amp;"","")," "," "),CHAR(9)," "),CHAR(10)," "),CHAR(13)," "))," ␟","␟"),"␟ ","␟"),"#"&amp;$DE427),"")</f>
        <v/>
      </c>
      <c r="DJ427">
        <f>IF($DI427="",0,IF(SUMPRODUCT(--EXACT($DI$4:DI426,$DI427))&gt;0,1,0))</f>
        <v/>
      </c>
      <c r="DK427">
        <f>IF(AND($DI427&lt;&gt;"",$DJ427=0),1,0)</f>
        <v/>
      </c>
      <c r="DL427">
        <f>DL426+$DK427</f>
        <v/>
      </c>
      <c r="DM427">
        <f>IF(AND($DK427=1,$DL427&lt;=600),1,0)</f>
        <v/>
      </c>
      <c r="DN427">
        <f>IF($DM427=0,"",IF($L$6=0,"",IFERROR(IF(ISNUMBER(INDEX(PASTE_ALL,$DF427,$L$6)),INDEX(PASTE_ALL,$DF427,$L$6),TRIM(SUBSTITUTE(SUBSTITUTE(SUBSTITUTE(SUBSTITUTE(INDEX(PASTE_ALL,$DF427,$L$6)," "," "),CHAR(9)," "),CHAR(10)," "),CHAR(13)," "))),"")))</f>
        <v/>
      </c>
      <c r="DO427">
        <f>IF($DM427=0,"",IF($L$7=0,"",IFERROR(IF(ISNUMBER(INDEX(PASTE_ALL,$DF427,$L$7)),INDEX(PASTE_ALL,$DF427,$L$7),TRIM(SUBSTITUTE(SUBSTITUTE(SUBSTITUTE(SUBSTITUTE(INDEX(PASTE_ALL,$DF427,$L$7)," "," "),CHAR(9)," "),CHAR(10)," "),CHAR(13)," "))),"")))</f>
        <v/>
      </c>
      <c r="DP427">
        <f>IF($DM427=0,"",IF($L$8=0,"",IFERROR(IF(ISNUMBER(INDEX(PASTE_ALL,$DF427,$L$8)),INDEX(PASTE_ALL,$DF427,$L$8),TRIM(SUBSTITUTE(SUBSTITUTE(SUBSTITUTE(SUBSTITUTE(INDEX(PASTE_ALL,$DF427,$L$8)," "," "),CHAR(9)," "),CHAR(10)," "),CHAR(13)," "))),"")))</f>
        <v/>
      </c>
      <c r="DQ427">
        <f>IF($DM427=0,"",IF($L$9=0,"",IFERROR(IF(ISNUMBER(INDEX(PASTE_ALL,$DF427,$L$9)),INDEX(PASTE_ALL,$DF427,$L$9),TRIM(SUBSTITUTE(SUBSTITUTE(SUBSTITUTE(SUBSTITUTE(INDEX(PASTE_ALL,$DF427,$L$9)," "," "),CHAR(9)," "),CHAR(10)," "),CHAR(13)," "))),"")))</f>
        <v/>
      </c>
      <c r="DR427">
        <f>IF($DM427=0,"",IF($L$10=0,"",IFERROR(IF(ISNUMBER(INDEX(PASTE_ALL,$DF427,$L$10)),INDEX(PASTE_ALL,$DF427,$L$10),TRIM(SUBSTITUTE(SUBSTITUTE(SUBSTITUTE(SUBSTITUTE(INDEX(PASTE_ALL,$DF427,$L$10)," "," "),CHAR(9)," "),CHAR(10)," "),CHAR(13)," "))),"")))</f>
        <v/>
      </c>
      <c r="DS427">
        <f>IF($DM427=0,"",IF($L$11=0,"",IFERROR(IF(ISNUMBER(INDEX(PASTE_ALL,$DF427,$L$11)),INDEX(PASTE_ALL,$DF427,$L$11),TRIM(SUBSTITUTE(SUBSTITUTE(SUBSTITUTE(SUBSTITUTE(INDEX(PASTE_ALL,$DF427,$L$11)," "," "),CHAR(9)," "),CHAR(10)," "),CHAR(13)," "))),"")))</f>
        <v/>
      </c>
      <c r="DT427">
        <f>IF($DM427=0,"",IF($L$12=0,"",IFERROR(IF(ISNUMBER(INDEX(PASTE_ALL,$DF427,$L$12)),INDEX(PASTE_ALL,$DF427,$L$12),TRIM(SUBSTITUTE(SUBSTITUTE(SUBSTITUTE(SUBSTITUTE(INDEX(PASTE_ALL,$DF427,$L$12)," "," "),CHAR(9)," "),CHAR(10)," "),CHAR(13)," "))),"")))</f>
        <v/>
      </c>
      <c r="DU427">
        <f>IF($DM427=0,"",IF($L$13=0,"",IFERROR(IF(ISNUMBER(INDEX(PASTE_ALL,$DF427,$L$13)),INDEX(PASTE_ALL,$DF427,$L$13),TRIM(SUBSTITUTE(SUBSTITUTE(SUBSTITUTE(SUBSTITUTE(INDEX(PASTE_ALL,$DF427,$L$13)," "," "),CHAR(9)," "),CHAR(10)," "),CHAR(13)," "))),"")))</f>
        <v/>
      </c>
      <c r="DV427">
        <f>IF($DM427=0,"",IF($L$14=0,"",IFERROR(IF(ISNUMBER(INDEX(PASTE_ALL,$DF427,$L$14)),INDEX(PASTE_ALL,$DF427,$L$14),TRIM(SUBSTITUTE(SUBSTITUTE(SUBSTITUTE(SUBSTITUTE(INDEX(PASTE_ALL,$DF427,$L$14)," "," "),CHAR(9)," "),CHAR(10)," "),CHAR(13)," "))),"")))</f>
        <v/>
      </c>
      <c r="DW427">
        <f>IF($DM427=0,"",IF($L$15=0,"",IFERROR(IF(ISNUMBER(INDEX(PASTE_ALL,$DF427,$L$15)),INDEX(PASTE_ALL,$DF427,$L$15),IF(SUMPRODUCT(--ISNUMBER(FIND({"A","B","C","D","E","F","G","H","I","J","K","L","M","N","O","P","Q","R","S","T","U","V","W","X","Y","Z","0","1","2","3","4","5","6","7","8","9"},UPPER(TRIM(SUBSTITUTE(SUBSTITUTE(SUBSTITUTE(SUBSTITUTE(INDEX(PASTE_ALL,$DF427,$L$15)," "," "),CHAR(9)," "),CHAR(10)," "),CHAR(13)," "))))))&gt;0,TRIM(SUBSTITUTE(SUBSTITUTE(SUBSTITUTE(SUBSTITUTE(INDEX(PASTE_ALL,$DF427,$L$15)," "," "),CHAR(9)," "),CHAR(10)," "),CHAR(13)," ")),"")),"")))</f>
        <v/>
      </c>
      <c r="DX427">
        <f>IF($DM427=0,"",IF($L$16=0,"",IFERROR(IF(ISNUMBER(INDEX(PASTE_ALL,$DF427,$L$16)),INDEX(PASTE_ALL,$DF427,$L$16),SUBSTITUTE(SUBSTITUTE(TRIM(SUBSTITUTE(SUBSTITUTE(SUBSTITUTE(SUBSTITUTE(INDEX(PASTE_ALL,$DF427,$L$16)," "," "),CHAR(9)," "),CHAR(10)," "),CHAR(13)," ")),",",""),"%","")),"")))</f>
        <v/>
      </c>
      <c r="DY427">
        <f>IF($DM427=0,"",IFERROR(IF(ISNUMBER($DX427),$DX427,IF($DX427="","",IF(TRIM($DX427)="",0,IF(AND(AND(SUBSTITUTE(SUBSTITUTE(SUBSTITUTE(SUBSTITUTE(SUBSTITUTE(SUBSTITUTE(SUBSTITUTE(SUBSTITUTE(SUBSTITUTE(SUBSTITUTE(SUBSTITUTE(SUBSTITUTE(SUBSTITUTE(SUBSTITUTE(UPPER(TRIM($DX427)),"0",""),"1",""),"2",""),"3",""),"4",""),"5",""),"6",""),"7",""),"8",""),"9",""),".",""),"+",""),"-",""),"E","")="",LEN(SUBSTITUTE(SUBSTITUTE(MID(UPPER(TRIM($DX427)),1+OR(LEFT(UPPER(TRIM($DX427)),1)="+",LEFT(UPPER(TRIM($DX427)),1)="-"),999),"E+","E"),"E-","E"))=LEN(SUBSTITUTE(SUBSTITUTE(SUBSTITUTE(SUBSTITUTE(MID(UPPER(TRIM($DX427)),1+OR(LEFT(UPPER(TRIM($DX427)),1)="+",LEFT(UPPER(TRIM($DX427)),1)="-"),999),"E+","E"),"E-","E"),"+",""),"-","")),LEN(UPPER(TRIM($DX427)))-LEN(SUBSTITUTE(UPPER(TRIM($DX427)),"E",""))&lt;2,LEN(UPPER(TRIM($DX427)))-LEN(SUBSTITUTE(UPPER(TRIM($DX427)),".",""))&lt;2,IFERROR(FIND(".",UPPER(TRIM($DX427))),0)&lt;IFERROR(FIND("E",UPPER(TRIM($DX427))),999)),ISNUMBER(VALUE(TRIM($DX427)))),VALUE(TRIM($DX427)),"")))),""))</f>
        <v/>
      </c>
      <c r="DZ427">
        <f>IF($DM427=0,"",IF($L$17=0,"",IFERROR(IF(ISNUMBER(INDEX(PASTE_ALL,$DF427,$L$17)),INDEX(PASTE_ALL,$DF427,$L$17),SUBSTITUTE(SUBSTITUTE(TRIM(SUBSTITUTE(SUBSTITUTE(SUBSTITUTE(SUBSTITUTE(INDEX(PASTE_ALL,$DF427,$L$17)," "," "),CHAR(9)," "),CHAR(10)," "),CHAR(13)," ")),",",""),"%","")),"")))</f>
        <v/>
      </c>
      <c r="EA427">
        <f>IF($DM427=0,"",IFERROR(IF(ISNUMBER($DZ427),$DZ427,IF($DZ427="","",IF(TRIM($DZ427)="",0,IF(AND(AND(SUBSTITUTE(SUBSTITUTE(SUBSTITUTE(SUBSTITUTE(SUBSTITUTE(SUBSTITUTE(SUBSTITUTE(SUBSTITUTE(SUBSTITUTE(SUBSTITUTE(SUBSTITUTE(SUBSTITUTE(SUBSTITUTE(SUBSTITUTE(UPPER(TRIM($DZ427)),"0",""),"1",""),"2",""),"3",""),"4",""),"5",""),"6",""),"7",""),"8",""),"9",""),".",""),"+",""),"-",""),"E","")="",LEN(SUBSTITUTE(SUBSTITUTE(MID(UPPER(TRIM($DZ427)),1+OR(LEFT(UPPER(TRIM($DZ427)),1)="+",LEFT(UPPER(TRIM($DZ427)),1)="-"),999),"E+","E"),"E-","E"))=LEN(SUBSTITUTE(SUBSTITUTE(SUBSTITUTE(SUBSTITUTE(MID(UPPER(TRIM($DZ427)),1+OR(LEFT(UPPER(TRIM($DZ427)),1)="+",LEFT(UPPER(TRIM($DZ427)),1)="-"),999),"E+","E"),"E-","E"),"+",""),"-","")),LEN(UPPER(TRIM($DZ427)))-LEN(SUBSTITUTE(UPPER(TRIM($DZ427)),"E",""))&lt;2,LEN(UPPER(TRIM($DZ427)))-LEN(SUBSTITUTE(UPPER(TRIM($DZ427)),".",""))&lt;2,IFERROR(FIND(".",UPPER(TRIM($DZ427))),0)&lt;IFERROR(FIND("E",UPPER(TRIM($DZ427))),999)),ISNUMBER(VALUE(TRIM($DZ427)))),VALUE(TRIM($DZ427)),"")))),""))</f>
        <v/>
      </c>
      <c r="EB427">
        <f>IF($DM427=0,"",IF($L$18=0,"",IFERROR(IF(UPPER(TRIM(SUBSTITUTE(SUBSTITUTE(SUBSTITUTE(SUBSTITUTE(INDEX(PASTE_ALL,$DF427,$L$18)," "," "),CHAR(9)," "),CHAR(10)," "),CHAR(13)," ")))="READY","Ready",IF(UPPER(TRIM(SUBSTITUTE(SUBSTITUTE(SUBSTITUTE(SUBSTITUTE(INDEX(PASTE_ALL,$DF427,$L$18)," "," "),CHAR(9)," "),CHAR(10)," "),CHAR(13)," ")))="PM","PM",IF(OR(UPPER(TRIM(SUBSTITUTE(SUBSTITUTE(SUBSTITUTE(SUBSTITUTE(INDEX(PASTE_ALL,$DF427,$L$18)," "," "),CHAR(9)," "),CHAR(10)," "),CHAR(13)," ")))="OT",UPPER(TRIM(SUBSTITUTE(SUBSTITUTE(SUBSTITUTE(SUBSTITUTE(INDEX(PASTE_ALL,$DF427,$L$18)," "," "),CHAR(9)," "),CHAR(10)," "),CHAR(13)," ")))="OVERTIME",UPPER(TRIM(SUBSTITUTE(SUBSTITUTE(SUBSTITUTE(SUBSTITUTE(INDEX(PASTE_ALL,$DF427,$L$18)," "," "),CHAR(9)," "),CHAR(10)," "),CHAR(13)," ")))="TRIAL"),"OT",TRIM(SUBSTITUTE(SUBSTITUTE(SUBSTITUTE(SUBSTITUTE(INDEX(PASTE_ALL,$DF427,$L$18)," "," "),CHAR(9)," "),CHAR(10)," "),CHAR(13)," "))))),"")))</f>
        <v/>
      </c>
      <c r="EC427">
        <f>IF($DM427=0,"",IF($L$19=0,"",IFERROR(IF(ISNUMBER(INDEX(PASTE_ALL,$DF427,$L$19)),INDEX(PASTE_ALL,$DF427,$L$19),TRIM(SUBSTITUTE(SUBSTITUTE(SUBSTITUTE(SUBSTITUTE(INDEX(PASTE_ALL,$DF427,$L$19)," "," "),CHAR(9)," "),CHAR(10)," "),CHAR(13)," "))),"")))</f>
        <v/>
      </c>
      <c r="ED427">
        <f>IF($DM427=0,"",MATCH(1,INDEX(EXACT($DH$5:DH427,$DH427)*$DM$5:DM427,0),0))</f>
        <v/>
      </c>
      <c r="EE427">
        <f>IF($DM427=0,0,IF($ED427=$DE427,1,0))</f>
        <v/>
      </c>
      <c r="EF427">
        <f>EF426+$EE427</f>
        <v/>
      </c>
      <c r="EG427">
        <f>IF($DM427=0,"",INDEX($EF$5:$EF$1003,$ED427))</f>
        <v/>
      </c>
      <c r="EH427">
        <f>IF($DM427=0,"",IF($DO427&lt;&gt;"","",IFERROR(LOOKUP(2,1/(($EG$4:EG426=$EG427)*($DO$4:DO426&lt;&gt;"")),$DO$4:DO426),"")))</f>
        <v/>
      </c>
      <c r="EI427">
        <f>IF($DM427=0,"",IF($DO427&lt;&gt;"",$DO427,$EH427))</f>
        <v/>
      </c>
      <c r="EJ427">
        <f>IF($DM427=0,"",IF($EI427="",0,IF(OR(ISNUMBER($EI427),AND(AND(SUBSTITUTE(SUBSTITUTE(SUBSTITUTE(SUBSTITUTE(SUBSTITUTE(SUBSTITUTE(SUBSTITUTE(SUBSTITUTE(SUBSTITUTE(SUBSTITUTE(SUBSTITUTE(SUBSTITUTE(SUBSTITUTE(SUBSTITUTE(UPPER($EI427),"0",""),"1",""),"2",""),"3",""),"4",""),"5",""),"6",""),"7",""),"8",""),"9",""),".",""),"+",""),"-",""),"E","")="",LEN(SUBSTITUTE(SUBSTITUTE(MID(UPPER($EI427),1+OR(LEFT(UPPER($EI427),1)="+",LEFT(UPPER($EI427),1)="-"),999),"E+","E"),"E-","E"))=LEN(SUBSTITUTE(SUBSTITUTE(SUBSTITUTE(SUBSTITUTE(MID(UPPER($EI427),1+OR(LEFT(UPPER($EI427),1)="+",LEFT(UPPER($EI427),1)="-"),999),"E+","E"),"E-","E"),"+",""),"-","")),LEN(UPPER($EI427))-LEN(SUBSTITUTE(UPPER($EI427),"E",""))&lt;2,LEN(UPPER($EI427))-LEN(SUBSTITUTE(UPPER($EI427),".",""))&lt;2,IFERROR(FIND(".",UPPER($EI427)),0)&lt;IFERROR(FIND("E",UPPER($EI427)),999)),ISNUMBER(VALUE($EI427)))),1,2)))</f>
        <v/>
      </c>
      <c r="EK427">
        <f>IF($DM427=0,"",IF($EJ427=1,IF(ISNUMBER($EI427),$EI427,VALUE($EI427)),IF($EJ427=2,$DE427,0)))</f>
        <v/>
      </c>
      <c r="EL427">
        <f>IF($DM427=0,"",COUNTIF($EG$5:$EG$1003,"&lt;"&amp;$EG427)+SUMPRODUCT(($EG$5:$EG$1003=$EG427)*(($EJ$5:$EJ$1003&lt;$EJ427)+($EJ$5:$EJ$1003=$EJ427)*(($EK$5:$EK$1003&lt;$EK427)+($EK$5:$EK$1003=$EK427)*($DE$5:$DE$1003&lt;$DE427))))+1)</f>
        <v/>
      </c>
      <c r="EM427">
        <f>IF($DM427=0,"",$EL427+$EG427-1)</f>
        <v/>
      </c>
      <c r="EN427">
        <f>IF($DM427=0,0,IFERROR(MATCH(1,INDEX(--(TRIM(SUBSTITUTE(SUBSTITUTE(SUBSTITUTE(SUBSTITUTE(LINES_NAME&amp;""," "," "),CHAR(9)," "),CHAR(10)," "),CHAR(13)," "))=$DH427),0),0),0))</f>
        <v/>
      </c>
      <c r="EO427">
        <f>IF($EN427=0,0,IF(OR(UPPER(TRIM(INDEX(LINES_SCHEDULED,$EN427)&amp;""))="YES",UPPER(TRIM(INDEX(LINES_SCHEDULED,$EN427)&amp;""))="Y",UPPER(TRIM(INDEX(LINES_SCHEDULED,$EN427)&amp;""))="X"),1,0))</f>
        <v/>
      </c>
      <c r="EP427">
        <f>IF($DM427=0,"",IF(COUNTIFS($EG$5:$EG$1003,$EG427,$EB$5:$EB$1003,"Ready")&gt;0,"READY",IF(COUNTIFS($EG$5:$EG$1003,$EG427,$EB$5:$EB$1003,"PM")&gt;0,"PM",IF(COUNTIFS($EG$5:$EG$1003,$EG427,$EB$5:$EB$1003,"OT")&gt;0,"OT",""))))</f>
        <v/>
      </c>
      <c r="EQ427">
        <f>IF($EN427=0,"",UPPER(TRIM(INDEX(LINES_STATUS,$EN427)&amp;"")))</f>
        <v/>
      </c>
      <c r="ER427">
        <f>IF($DM427=0,"",IF(OR($EQ427="READY",$EQ427="PM",$EQ427="OT"),$EQ427,$EP427))</f>
        <v/>
      </c>
      <c r="ES427">
        <f>IF($DM427=0,"",IF(AND($DV427&lt;&gt;"",UPPER($DV427)&lt;&gt;"N"),"allergen",IF(ISNUMBER(SEARCH("oil",$DQ427)),"oil",IF(OR(EXACT($DS427,"A662"),EXACT($DS427,"A624")),"bulk",""))))</f>
        <v/>
      </c>
      <c r="ET427">
        <f>IF($DM427=0,"",IF(OR($EA427="",$EA427=0),"",$EA427/100))</f>
        <v/>
      </c>
      <c r="EU427">
        <f>IF(OR($ET427="",$DY427=""),"",INT($DY427*(1-$ET427)+0.5))</f>
        <v/>
      </c>
      <c r="EW427" t="n">
        <v>423</v>
      </c>
      <c r="EX427">
        <f>IFERROR(MATCH($EW427,$EM$5:$EM$1003,0),0)</f>
        <v/>
      </c>
      <c r="EY427">
        <f>IF($EW427&gt;$B$12,"",IF($EX427&gt;0,"row","spacer"))</f>
        <v/>
      </c>
      <c r="EZ427">
        <f>IF(AND($EY427="row",$EY426&lt;&gt;"row"),1,0)</f>
        <v/>
      </c>
      <c r="FA427">
        <f>IF(AND($EY427="row",$EY428&lt;&gt;"row"),1,0)</f>
        <v/>
      </c>
      <c r="FB427">
        <f>IF($EZ427=1,IFERROR(IF(ISNUMBER(INDEX(PASTE_ALL,INDEX($DF$5:$DF$1003,$EX427),$B$37)),INDEX(PASTE_ALL,INDEX($DF$5:$DF$1003,$EX427),$B$37),INDEX($DH$5:$DH$1003,$EX427)),INDEX($DH$5:$DH$1003,$EX427)),"")</f>
        <v/>
      </c>
      <c r="FC427">
        <f>IF($EY427="row",INDEX($ER$5:$ER$1003,$EX427),"")</f>
        <v/>
      </c>
      <c r="FD427">
        <f>IF($EY427="row",INDEX($DN$5:$DN$1003,$EX427),"")</f>
        <v/>
      </c>
      <c r="FE427">
        <f>IF($EY427="row",INDEX($DO$5:$DO$1003,$EX427),"")</f>
        <v/>
      </c>
      <c r="FF427">
        <f>IF($EY427="row",INDEX($DP$5:$DP$1003,$EX427),"")</f>
        <v/>
      </c>
      <c r="FG427">
        <f>IF($EY427="row",INDEX($DQ$5:$DQ$1003,$EX427),"")</f>
        <v/>
      </c>
      <c r="FH427">
        <f>IF($EY427="row",INDEX($DR$5:$DR$1003,$EX427),"")</f>
        <v/>
      </c>
      <c r="FI427">
        <f>IF($EY427="row",INDEX($DS$5:$DS$1003,$EX427),"")</f>
        <v/>
      </c>
      <c r="FJ427">
        <f>IF($EY427="row",INDEX($DT$5:$DT$1003,$EX427),"")</f>
        <v/>
      </c>
      <c r="FK427">
        <f>IF($EY427="row",INDEX($DU$5:$DU$1003,$EX427),"")</f>
        <v/>
      </c>
      <c r="FL427">
        <f>IF($EY427="row",INDEX($DV$5:$DV$1003,$EX427),"")</f>
        <v/>
      </c>
      <c r="FM427">
        <f>IF($EY427="row",INDEX($DW$5:$DW$1003,$EX427),"")</f>
        <v/>
      </c>
      <c r="FN427">
        <f>IF($EY427="row",INDEX($DY$5:$DY$1003,$EX427),"")</f>
        <v/>
      </c>
      <c r="FO427">
        <f>IF($EY427="row",INDEX($EA$5:$EA$1003,$EX427),"")</f>
        <v/>
      </c>
      <c r="FP427">
        <f>IF($EY427="row",INDEX($EC$5:$EC$1003,$EX427),"")</f>
        <v/>
      </c>
      <c r="FQ427">
        <f>IF($EY427="row",INDEX($ET$5:$ET$1003,$EX427),"")</f>
        <v/>
      </c>
      <c r="FR427">
        <f>IF($EY427="row",INDEX($EU$5:$EU$1003,$EX427),"")</f>
        <v/>
      </c>
      <c r="FS427">
        <f>IF(AND($EY427="row",$EY426="row"),IF(OR(INDEX($DT$5:$DT$1003,$EX426)="",INDEX($DT$5:$DT$1003,$EX427)=""),"",IF(NOT(EXACT(INDEX($DT$5:$DT$1003,$EX426),INDEX($DT$5:$DT$1003,$EX427))),"S4",IF(NOT(EXACT(INDEX($DS$5:$DS$1003,$EX426),INDEX($DS$5:$DS$1003,$EX427))),"S3",IF(NOT(EXACT(INDEX($DR$5:$DR$1003,$EX426),INDEX($DR$5:$DR$1003,$EX427))),"S1 Count Change","S1")))),"")</f>
        <v/>
      </c>
      <c r="FT427">
        <f>IF($EY427="row",INDEX($ES$5:$ES$1003,$EX427),"")</f>
        <v/>
      </c>
      <c r="FU427">
        <f>IF($EY427="row",INDEX($EO$5:$EO$1003,$EX427),0)</f>
        <v/>
      </c>
      <c r="FV427">
        <f>IF($FS427="S1 Count Change",1,0)</f>
        <v/>
      </c>
    </row>
    <row r="428">
      <c r="DA428" t="n">
        <v>424</v>
      </c>
      <c r="DB428">
        <f>IF($B$37=0,"",IFERROR(TRIM(SUBSTITUTE(SUBSTITUTE(SUBSTITUTE(SUBSTITUTE(INDEX(PASTE_ALL,424,$B$37)," "," "),CHAR(9)," "),CHAR(10)," "),CHAR(13)," ")),""))</f>
        <v/>
      </c>
      <c r="DC428">
        <f>IF(AND(424&gt;HEADER_ROW,UPPER(DB428)="LEGEND"),1,0)</f>
        <v/>
      </c>
      <c r="DE428" t="n">
        <v>424</v>
      </c>
      <c r="DF428">
        <f>HEADER_ROW+$DE428</f>
        <v/>
      </c>
      <c r="DG428">
        <f>IF(AND($DF428&lt;=1000,$DF428&lt;$B$8),1,0)</f>
        <v/>
      </c>
      <c r="DH428">
        <f>IF($DG428=1,IFERROR(INDEX($DB$5:$DB$1004,$DF428),""),"")</f>
        <v/>
      </c>
      <c r="DI428">
        <f>IF(AND($DG428=1,$DH428&lt;&gt;""),IFERROR(SUBSTITUTE(SUBSTITUTE(TRIM(SUBSTITUTE(SUBSTITUTE(SUBSTITUTE(SUBSTITUTE(IFERROR(INDEX(PASTE_ALL,$DF428,1)&amp;"","")&amp;"␟"&amp;IFERROR(INDEX(PASTE_ALL,$DF428,2)&amp;"","")&amp;"␟"&amp;IFERROR(INDEX(PASTE_ALL,$DF428,3)&amp;"","")&amp;"␟"&amp;IFERROR(INDEX(PASTE_ALL,$DF428,4)&amp;"","")&amp;"␟"&amp;IFERROR(INDEX(PASTE_ALL,$DF428,5)&amp;"","")&amp;"␟"&amp;IFERROR(INDEX(PASTE_ALL,$DF428,6)&amp;"","")&amp;"␟"&amp;IFERROR(INDEX(PASTE_ALL,$DF428,7)&amp;"","")&amp;"␟"&amp;IFERROR(INDEX(PASTE_ALL,$DF428,8)&amp;"","")&amp;"␟"&amp;IFERROR(INDEX(PASTE_ALL,$DF428,9)&amp;"","")&amp;"␟"&amp;IFERROR(INDEX(PASTE_ALL,$DF428,10)&amp;"","")&amp;"␟"&amp;IFERROR(INDEX(PASTE_ALL,$DF428,11)&amp;"","")&amp;"␟"&amp;IFERROR(INDEX(PASTE_ALL,$DF428,12)&amp;"","")&amp;"␟"&amp;IFERROR(INDEX(PASTE_ALL,$DF428,13)&amp;"","")&amp;"␟"&amp;IFERROR(INDEX(PASTE_ALL,$DF428,14)&amp;"","")&amp;"␟"&amp;IFERROR(INDEX(PASTE_ALL,$DF428,15)&amp;"","")&amp;"␟"&amp;IFERROR(INDEX(PASTE_ALL,$DF428,16)&amp;"","")&amp;"␟"&amp;IFERROR(INDEX(PASTE_ALL,$DF428,17)&amp;"","")&amp;"␟"&amp;IFERROR(INDEX(PASTE_ALL,$DF428,18)&amp;"","")&amp;"␟"&amp;IFERROR(INDEX(PASTE_ALL,$DF428,19)&amp;"","")&amp;"␟"&amp;IFERROR(INDEX(PASTE_ALL,$DF428,20)&amp;"","")&amp;"␟"&amp;IFERROR(INDEX(PASTE_ALL,$DF428,21)&amp;"","")&amp;"␟"&amp;IFERROR(INDEX(PASTE_ALL,$DF428,22)&amp;"","")&amp;"␟"&amp;IFERROR(INDEX(PASTE_ALL,$DF428,23)&amp;"","")&amp;"␟"&amp;IFERROR(INDEX(PASTE_ALL,$DF428,24)&amp;"","")&amp;"␟"&amp;IFERROR(INDEX(PASTE_ALL,$DF428,25)&amp;"","")&amp;"␟"&amp;IFERROR(INDEX(PASTE_ALL,$DF428,26)&amp;"","")&amp;"␟"&amp;IFERROR(INDEX(PASTE_ALL,$DF428,27)&amp;"","")&amp;"␟"&amp;IFERROR(INDEX(PASTE_ALL,$DF428,28)&amp;"","")&amp;"␟"&amp;IFERROR(INDEX(PASTE_ALL,$DF428,29)&amp;"","")&amp;"␟"&amp;IFERROR(INDEX(PASTE_ALL,$DF428,30)&amp;"","")&amp;"␟"&amp;IFERROR(INDEX(PASTE_ALL,$DF428,31)&amp;"","")&amp;"␟"&amp;IFERROR(INDEX(PASTE_ALL,$DF428,32)&amp;"","")&amp;"␟"&amp;IFERROR(INDEX(PASTE_ALL,$DF428,33)&amp;"","")&amp;"␟"&amp;IFERROR(INDEX(PASTE_ALL,$DF428,34)&amp;"","")&amp;"␟"&amp;IFERROR(INDEX(PASTE_ALL,$DF428,35)&amp;"","")&amp;"␟"&amp;IFERROR(INDEX(PASTE_ALL,$DF428,36)&amp;"","")&amp;"␟"&amp;IFERROR(INDEX(PASTE_ALL,$DF428,37)&amp;"","")&amp;"␟"&amp;IFERROR(INDEX(PASTE_ALL,$DF428,38)&amp;"","")&amp;"␟"&amp;IFERROR(INDEX(PASTE_ALL,$DF428,39)&amp;"","")&amp;"␟"&amp;IFERROR(INDEX(PASTE_ALL,$DF428,40)&amp;"","")&amp;"␟"&amp;IFERROR(INDEX(PASTE_ALL,$DF428,41)&amp;"","")&amp;"␟"&amp;IFERROR(INDEX(PASTE_ALL,$DF428,42)&amp;"","")&amp;"␟"&amp;IFERROR(INDEX(PASTE_ALL,$DF428,43)&amp;"","")&amp;"␟"&amp;IFERROR(INDEX(PASTE_ALL,$DF428,44)&amp;"","")&amp;"␟"&amp;IFERROR(INDEX(PASTE_ALL,$DF428,45)&amp;"","")&amp;"␟"&amp;IFERROR(INDEX(PASTE_ALL,$DF428,46)&amp;"","")&amp;"␟"&amp;IFERROR(INDEX(PASTE_ALL,$DF428,47)&amp;"","")&amp;"␟"&amp;IFERROR(INDEX(PASTE_ALL,$DF428,48)&amp;"","")&amp;"␟"&amp;IFERROR(INDEX(PASTE_ALL,$DF428,49)&amp;"","")&amp;"␟"&amp;IFERROR(INDEX(PASTE_ALL,$DF428,50)&amp;"","")&amp;"␟"&amp;IFERROR(INDEX(PASTE_ALL,$DF428,51)&amp;"","")&amp;"␟"&amp;IFERROR(INDEX(PASTE_ALL,$DF428,52)&amp;"","")&amp;"␟"&amp;IFERROR(INDEX(PASTE_ALL,$DF428,53)&amp;"","")&amp;"␟"&amp;IFERROR(INDEX(PASTE_ALL,$DF428,54)&amp;"","")&amp;"␟"&amp;IFERROR(INDEX(PASTE_ALL,$DF428,55)&amp;"","")&amp;"␟"&amp;IFERROR(INDEX(PASTE_ALL,$DF428,56)&amp;"","")&amp;"␟"&amp;IFERROR(INDEX(PASTE_ALL,$DF428,57)&amp;"","")&amp;"␟"&amp;IFERROR(INDEX(PASTE_ALL,$DF428,58)&amp;"","")&amp;"␟"&amp;IFERROR(INDEX(PASTE_ALL,$DF428,59)&amp;"","")&amp;"␟"&amp;IFERROR(INDEX(PASTE_ALL,$DF428,60)&amp;"","")," "," "),CHAR(9)," "),CHAR(10)," "),CHAR(13)," "))," ␟","␟"),"␟ ","␟"),"#"&amp;$DE428),"")</f>
        <v/>
      </c>
      <c r="DJ428">
        <f>IF($DI428="",0,IF(SUMPRODUCT(--EXACT($DI$4:DI427,$DI428))&gt;0,1,0))</f>
        <v/>
      </c>
      <c r="DK428">
        <f>IF(AND($DI428&lt;&gt;"",$DJ428=0),1,0)</f>
        <v/>
      </c>
      <c r="DL428">
        <f>DL427+$DK428</f>
        <v/>
      </c>
      <c r="DM428">
        <f>IF(AND($DK428=1,$DL428&lt;=600),1,0)</f>
        <v/>
      </c>
      <c r="DN428">
        <f>IF($DM428=0,"",IF($L$6=0,"",IFERROR(IF(ISNUMBER(INDEX(PASTE_ALL,$DF428,$L$6)),INDEX(PASTE_ALL,$DF428,$L$6),TRIM(SUBSTITUTE(SUBSTITUTE(SUBSTITUTE(SUBSTITUTE(INDEX(PASTE_ALL,$DF428,$L$6)," "," "),CHAR(9)," "),CHAR(10)," "),CHAR(13)," "))),"")))</f>
        <v/>
      </c>
      <c r="DO428">
        <f>IF($DM428=0,"",IF($L$7=0,"",IFERROR(IF(ISNUMBER(INDEX(PASTE_ALL,$DF428,$L$7)),INDEX(PASTE_ALL,$DF428,$L$7),TRIM(SUBSTITUTE(SUBSTITUTE(SUBSTITUTE(SUBSTITUTE(INDEX(PASTE_ALL,$DF428,$L$7)," "," "),CHAR(9)," "),CHAR(10)," "),CHAR(13)," "))),"")))</f>
        <v/>
      </c>
      <c r="DP428">
        <f>IF($DM428=0,"",IF($L$8=0,"",IFERROR(IF(ISNUMBER(INDEX(PASTE_ALL,$DF428,$L$8)),INDEX(PASTE_ALL,$DF428,$L$8),TRIM(SUBSTITUTE(SUBSTITUTE(SUBSTITUTE(SUBSTITUTE(INDEX(PASTE_ALL,$DF428,$L$8)," "," "),CHAR(9)," "),CHAR(10)," "),CHAR(13)," "))),"")))</f>
        <v/>
      </c>
      <c r="DQ428">
        <f>IF($DM428=0,"",IF($L$9=0,"",IFERROR(IF(ISNUMBER(INDEX(PASTE_ALL,$DF428,$L$9)),INDEX(PASTE_ALL,$DF428,$L$9),TRIM(SUBSTITUTE(SUBSTITUTE(SUBSTITUTE(SUBSTITUTE(INDEX(PASTE_ALL,$DF428,$L$9)," "," "),CHAR(9)," "),CHAR(10)," "),CHAR(13)," "))),"")))</f>
        <v/>
      </c>
      <c r="DR428">
        <f>IF($DM428=0,"",IF($L$10=0,"",IFERROR(IF(ISNUMBER(INDEX(PASTE_ALL,$DF428,$L$10)),INDEX(PASTE_ALL,$DF428,$L$10),TRIM(SUBSTITUTE(SUBSTITUTE(SUBSTITUTE(SUBSTITUTE(INDEX(PASTE_ALL,$DF428,$L$10)," "," "),CHAR(9)," "),CHAR(10)," "),CHAR(13)," "))),"")))</f>
        <v/>
      </c>
      <c r="DS428">
        <f>IF($DM428=0,"",IF($L$11=0,"",IFERROR(IF(ISNUMBER(INDEX(PASTE_ALL,$DF428,$L$11)),INDEX(PASTE_ALL,$DF428,$L$11),TRIM(SUBSTITUTE(SUBSTITUTE(SUBSTITUTE(SUBSTITUTE(INDEX(PASTE_ALL,$DF428,$L$11)," "," "),CHAR(9)," "),CHAR(10)," "),CHAR(13)," "))),"")))</f>
        <v/>
      </c>
      <c r="DT428">
        <f>IF($DM428=0,"",IF($L$12=0,"",IFERROR(IF(ISNUMBER(INDEX(PASTE_ALL,$DF428,$L$12)),INDEX(PASTE_ALL,$DF428,$L$12),TRIM(SUBSTITUTE(SUBSTITUTE(SUBSTITUTE(SUBSTITUTE(INDEX(PASTE_ALL,$DF428,$L$12)," "," "),CHAR(9)," "),CHAR(10)," "),CHAR(13)," "))),"")))</f>
        <v/>
      </c>
      <c r="DU428">
        <f>IF($DM428=0,"",IF($L$13=0,"",IFERROR(IF(ISNUMBER(INDEX(PASTE_ALL,$DF428,$L$13)),INDEX(PASTE_ALL,$DF428,$L$13),TRIM(SUBSTITUTE(SUBSTITUTE(SUBSTITUTE(SUBSTITUTE(INDEX(PASTE_ALL,$DF428,$L$13)," "," "),CHAR(9)," "),CHAR(10)," "),CHAR(13)," "))),"")))</f>
        <v/>
      </c>
      <c r="DV428">
        <f>IF($DM428=0,"",IF($L$14=0,"",IFERROR(IF(ISNUMBER(INDEX(PASTE_ALL,$DF428,$L$14)),INDEX(PASTE_ALL,$DF428,$L$14),TRIM(SUBSTITUTE(SUBSTITUTE(SUBSTITUTE(SUBSTITUTE(INDEX(PASTE_ALL,$DF428,$L$14)," "," "),CHAR(9)," "),CHAR(10)," "),CHAR(13)," "))),"")))</f>
        <v/>
      </c>
      <c r="DW428">
        <f>IF($DM428=0,"",IF($L$15=0,"",IFERROR(IF(ISNUMBER(INDEX(PASTE_ALL,$DF428,$L$15)),INDEX(PASTE_ALL,$DF428,$L$15),IF(SUMPRODUCT(--ISNUMBER(FIND({"A","B","C","D","E","F","G","H","I","J","K","L","M","N","O","P","Q","R","S","T","U","V","W","X","Y","Z","0","1","2","3","4","5","6","7","8","9"},UPPER(TRIM(SUBSTITUTE(SUBSTITUTE(SUBSTITUTE(SUBSTITUTE(INDEX(PASTE_ALL,$DF428,$L$15)," "," "),CHAR(9)," "),CHAR(10)," "),CHAR(13)," "))))))&gt;0,TRIM(SUBSTITUTE(SUBSTITUTE(SUBSTITUTE(SUBSTITUTE(INDEX(PASTE_ALL,$DF428,$L$15)," "," "),CHAR(9)," "),CHAR(10)," "),CHAR(13)," ")),"")),"")))</f>
        <v/>
      </c>
      <c r="DX428">
        <f>IF($DM428=0,"",IF($L$16=0,"",IFERROR(IF(ISNUMBER(INDEX(PASTE_ALL,$DF428,$L$16)),INDEX(PASTE_ALL,$DF428,$L$16),SUBSTITUTE(SUBSTITUTE(TRIM(SUBSTITUTE(SUBSTITUTE(SUBSTITUTE(SUBSTITUTE(INDEX(PASTE_ALL,$DF428,$L$16)," "," "),CHAR(9)," "),CHAR(10)," "),CHAR(13)," ")),",",""),"%","")),"")))</f>
        <v/>
      </c>
      <c r="DY428">
        <f>IF($DM428=0,"",IFERROR(IF(ISNUMBER($DX428),$DX428,IF($DX428="","",IF(TRIM($DX428)="",0,IF(AND(AND(SUBSTITUTE(SUBSTITUTE(SUBSTITUTE(SUBSTITUTE(SUBSTITUTE(SUBSTITUTE(SUBSTITUTE(SUBSTITUTE(SUBSTITUTE(SUBSTITUTE(SUBSTITUTE(SUBSTITUTE(SUBSTITUTE(SUBSTITUTE(UPPER(TRIM($DX428)),"0",""),"1",""),"2",""),"3",""),"4",""),"5",""),"6",""),"7",""),"8",""),"9",""),".",""),"+",""),"-",""),"E","")="",LEN(SUBSTITUTE(SUBSTITUTE(MID(UPPER(TRIM($DX428)),1+OR(LEFT(UPPER(TRIM($DX428)),1)="+",LEFT(UPPER(TRIM($DX428)),1)="-"),999),"E+","E"),"E-","E"))=LEN(SUBSTITUTE(SUBSTITUTE(SUBSTITUTE(SUBSTITUTE(MID(UPPER(TRIM($DX428)),1+OR(LEFT(UPPER(TRIM($DX428)),1)="+",LEFT(UPPER(TRIM($DX428)),1)="-"),999),"E+","E"),"E-","E"),"+",""),"-","")),LEN(UPPER(TRIM($DX428)))-LEN(SUBSTITUTE(UPPER(TRIM($DX428)),"E",""))&lt;2,LEN(UPPER(TRIM($DX428)))-LEN(SUBSTITUTE(UPPER(TRIM($DX428)),".",""))&lt;2,IFERROR(FIND(".",UPPER(TRIM($DX428))),0)&lt;IFERROR(FIND("E",UPPER(TRIM($DX428))),999)),ISNUMBER(VALUE(TRIM($DX428)))),VALUE(TRIM($DX428)),"")))),""))</f>
        <v/>
      </c>
      <c r="DZ428">
        <f>IF($DM428=0,"",IF($L$17=0,"",IFERROR(IF(ISNUMBER(INDEX(PASTE_ALL,$DF428,$L$17)),INDEX(PASTE_ALL,$DF428,$L$17),SUBSTITUTE(SUBSTITUTE(TRIM(SUBSTITUTE(SUBSTITUTE(SUBSTITUTE(SUBSTITUTE(INDEX(PASTE_ALL,$DF428,$L$17)," "," "),CHAR(9)," "),CHAR(10)," "),CHAR(13)," ")),",",""),"%","")),"")))</f>
        <v/>
      </c>
      <c r="EA428">
        <f>IF($DM428=0,"",IFERROR(IF(ISNUMBER($DZ428),$DZ428,IF($DZ428="","",IF(TRIM($DZ428)="",0,IF(AND(AND(SUBSTITUTE(SUBSTITUTE(SUBSTITUTE(SUBSTITUTE(SUBSTITUTE(SUBSTITUTE(SUBSTITUTE(SUBSTITUTE(SUBSTITUTE(SUBSTITUTE(SUBSTITUTE(SUBSTITUTE(SUBSTITUTE(SUBSTITUTE(UPPER(TRIM($DZ428)),"0",""),"1",""),"2",""),"3",""),"4",""),"5",""),"6",""),"7",""),"8",""),"9",""),".",""),"+",""),"-",""),"E","")="",LEN(SUBSTITUTE(SUBSTITUTE(MID(UPPER(TRIM($DZ428)),1+OR(LEFT(UPPER(TRIM($DZ428)),1)="+",LEFT(UPPER(TRIM($DZ428)),1)="-"),999),"E+","E"),"E-","E"))=LEN(SUBSTITUTE(SUBSTITUTE(SUBSTITUTE(SUBSTITUTE(MID(UPPER(TRIM($DZ428)),1+OR(LEFT(UPPER(TRIM($DZ428)),1)="+",LEFT(UPPER(TRIM($DZ428)),1)="-"),999),"E+","E"),"E-","E"),"+",""),"-","")),LEN(UPPER(TRIM($DZ428)))-LEN(SUBSTITUTE(UPPER(TRIM($DZ428)),"E",""))&lt;2,LEN(UPPER(TRIM($DZ428)))-LEN(SUBSTITUTE(UPPER(TRIM($DZ428)),".",""))&lt;2,IFERROR(FIND(".",UPPER(TRIM($DZ428))),0)&lt;IFERROR(FIND("E",UPPER(TRIM($DZ428))),999)),ISNUMBER(VALUE(TRIM($DZ428)))),VALUE(TRIM($DZ428)),"")))),""))</f>
        <v/>
      </c>
      <c r="EB428">
        <f>IF($DM428=0,"",IF($L$18=0,"",IFERROR(IF(UPPER(TRIM(SUBSTITUTE(SUBSTITUTE(SUBSTITUTE(SUBSTITUTE(INDEX(PASTE_ALL,$DF428,$L$18)," "," "),CHAR(9)," "),CHAR(10)," "),CHAR(13)," ")))="READY","Ready",IF(UPPER(TRIM(SUBSTITUTE(SUBSTITUTE(SUBSTITUTE(SUBSTITUTE(INDEX(PASTE_ALL,$DF428,$L$18)," "," "),CHAR(9)," "),CHAR(10)," "),CHAR(13)," ")))="PM","PM",IF(OR(UPPER(TRIM(SUBSTITUTE(SUBSTITUTE(SUBSTITUTE(SUBSTITUTE(INDEX(PASTE_ALL,$DF428,$L$18)," "," "),CHAR(9)," "),CHAR(10)," "),CHAR(13)," ")))="OT",UPPER(TRIM(SUBSTITUTE(SUBSTITUTE(SUBSTITUTE(SUBSTITUTE(INDEX(PASTE_ALL,$DF428,$L$18)," "," "),CHAR(9)," "),CHAR(10)," "),CHAR(13)," ")))="OVERTIME",UPPER(TRIM(SUBSTITUTE(SUBSTITUTE(SUBSTITUTE(SUBSTITUTE(INDEX(PASTE_ALL,$DF428,$L$18)," "," "),CHAR(9)," "),CHAR(10)," "),CHAR(13)," ")))="TRIAL"),"OT",TRIM(SUBSTITUTE(SUBSTITUTE(SUBSTITUTE(SUBSTITUTE(INDEX(PASTE_ALL,$DF428,$L$18)," "," "),CHAR(9)," "),CHAR(10)," "),CHAR(13)," "))))),"")))</f>
        <v/>
      </c>
      <c r="EC428">
        <f>IF($DM428=0,"",IF($L$19=0,"",IFERROR(IF(ISNUMBER(INDEX(PASTE_ALL,$DF428,$L$19)),INDEX(PASTE_ALL,$DF428,$L$19),TRIM(SUBSTITUTE(SUBSTITUTE(SUBSTITUTE(SUBSTITUTE(INDEX(PASTE_ALL,$DF428,$L$19)," "," "),CHAR(9)," "),CHAR(10)," "),CHAR(13)," "))),"")))</f>
        <v/>
      </c>
      <c r="ED428">
        <f>IF($DM428=0,"",MATCH(1,INDEX(EXACT($DH$5:DH428,$DH428)*$DM$5:DM428,0),0))</f>
        <v/>
      </c>
      <c r="EE428">
        <f>IF($DM428=0,0,IF($ED428=$DE428,1,0))</f>
        <v/>
      </c>
      <c r="EF428">
        <f>EF427+$EE428</f>
        <v/>
      </c>
      <c r="EG428">
        <f>IF($DM428=0,"",INDEX($EF$5:$EF$1003,$ED428))</f>
        <v/>
      </c>
      <c r="EH428">
        <f>IF($DM428=0,"",IF($DO428&lt;&gt;"","",IFERROR(LOOKUP(2,1/(($EG$4:EG427=$EG428)*($DO$4:DO427&lt;&gt;"")),$DO$4:DO427),"")))</f>
        <v/>
      </c>
      <c r="EI428">
        <f>IF($DM428=0,"",IF($DO428&lt;&gt;"",$DO428,$EH428))</f>
        <v/>
      </c>
      <c r="EJ428">
        <f>IF($DM428=0,"",IF($EI428="",0,IF(OR(ISNUMBER($EI428),AND(AND(SUBSTITUTE(SUBSTITUTE(SUBSTITUTE(SUBSTITUTE(SUBSTITUTE(SUBSTITUTE(SUBSTITUTE(SUBSTITUTE(SUBSTITUTE(SUBSTITUTE(SUBSTITUTE(SUBSTITUTE(SUBSTITUTE(SUBSTITUTE(UPPER($EI428),"0",""),"1",""),"2",""),"3",""),"4",""),"5",""),"6",""),"7",""),"8",""),"9",""),".",""),"+",""),"-",""),"E","")="",LEN(SUBSTITUTE(SUBSTITUTE(MID(UPPER($EI428),1+OR(LEFT(UPPER($EI428),1)="+",LEFT(UPPER($EI428),1)="-"),999),"E+","E"),"E-","E"))=LEN(SUBSTITUTE(SUBSTITUTE(SUBSTITUTE(SUBSTITUTE(MID(UPPER($EI428),1+OR(LEFT(UPPER($EI428),1)="+",LEFT(UPPER($EI428),1)="-"),999),"E+","E"),"E-","E"),"+",""),"-","")),LEN(UPPER($EI428))-LEN(SUBSTITUTE(UPPER($EI428),"E",""))&lt;2,LEN(UPPER($EI428))-LEN(SUBSTITUTE(UPPER($EI428),".",""))&lt;2,IFERROR(FIND(".",UPPER($EI428)),0)&lt;IFERROR(FIND("E",UPPER($EI428)),999)),ISNUMBER(VALUE($EI428)))),1,2)))</f>
        <v/>
      </c>
      <c r="EK428">
        <f>IF($DM428=0,"",IF($EJ428=1,IF(ISNUMBER($EI428),$EI428,VALUE($EI428)),IF($EJ428=2,$DE428,0)))</f>
        <v/>
      </c>
      <c r="EL428">
        <f>IF($DM428=0,"",COUNTIF($EG$5:$EG$1003,"&lt;"&amp;$EG428)+SUMPRODUCT(($EG$5:$EG$1003=$EG428)*(($EJ$5:$EJ$1003&lt;$EJ428)+($EJ$5:$EJ$1003=$EJ428)*(($EK$5:$EK$1003&lt;$EK428)+($EK$5:$EK$1003=$EK428)*($DE$5:$DE$1003&lt;$DE428))))+1)</f>
        <v/>
      </c>
      <c r="EM428">
        <f>IF($DM428=0,"",$EL428+$EG428-1)</f>
        <v/>
      </c>
      <c r="EN428">
        <f>IF($DM428=0,0,IFERROR(MATCH(1,INDEX(--(TRIM(SUBSTITUTE(SUBSTITUTE(SUBSTITUTE(SUBSTITUTE(LINES_NAME&amp;""," "," "),CHAR(9)," "),CHAR(10)," "),CHAR(13)," "))=$DH428),0),0),0))</f>
        <v/>
      </c>
      <c r="EO428">
        <f>IF($EN428=0,0,IF(OR(UPPER(TRIM(INDEX(LINES_SCHEDULED,$EN428)&amp;""))="YES",UPPER(TRIM(INDEX(LINES_SCHEDULED,$EN428)&amp;""))="Y",UPPER(TRIM(INDEX(LINES_SCHEDULED,$EN428)&amp;""))="X"),1,0))</f>
        <v/>
      </c>
      <c r="EP428">
        <f>IF($DM428=0,"",IF(COUNTIFS($EG$5:$EG$1003,$EG428,$EB$5:$EB$1003,"Ready")&gt;0,"READY",IF(COUNTIFS($EG$5:$EG$1003,$EG428,$EB$5:$EB$1003,"PM")&gt;0,"PM",IF(COUNTIFS($EG$5:$EG$1003,$EG428,$EB$5:$EB$1003,"OT")&gt;0,"OT",""))))</f>
        <v/>
      </c>
      <c r="EQ428">
        <f>IF($EN428=0,"",UPPER(TRIM(INDEX(LINES_STATUS,$EN428)&amp;"")))</f>
        <v/>
      </c>
      <c r="ER428">
        <f>IF($DM428=0,"",IF(OR($EQ428="READY",$EQ428="PM",$EQ428="OT"),$EQ428,$EP428))</f>
        <v/>
      </c>
      <c r="ES428">
        <f>IF($DM428=0,"",IF(AND($DV428&lt;&gt;"",UPPER($DV428)&lt;&gt;"N"),"allergen",IF(ISNUMBER(SEARCH("oil",$DQ428)),"oil",IF(OR(EXACT($DS428,"A662"),EXACT($DS428,"A624")),"bulk",""))))</f>
        <v/>
      </c>
      <c r="ET428">
        <f>IF($DM428=0,"",IF(OR($EA428="",$EA428=0),"",$EA428/100))</f>
        <v/>
      </c>
      <c r="EU428">
        <f>IF(OR($ET428="",$DY428=""),"",INT($DY428*(1-$ET428)+0.5))</f>
        <v/>
      </c>
      <c r="EW428" t="n">
        <v>424</v>
      </c>
      <c r="EX428">
        <f>IFERROR(MATCH($EW428,$EM$5:$EM$1003,0),0)</f>
        <v/>
      </c>
      <c r="EY428">
        <f>IF($EW428&gt;$B$12,"",IF($EX428&gt;0,"row","spacer"))</f>
        <v/>
      </c>
      <c r="EZ428">
        <f>IF(AND($EY428="row",$EY427&lt;&gt;"row"),1,0)</f>
        <v/>
      </c>
      <c r="FA428">
        <f>IF(AND($EY428="row",$EY429&lt;&gt;"row"),1,0)</f>
        <v/>
      </c>
      <c r="FB428">
        <f>IF($EZ428=1,IFERROR(IF(ISNUMBER(INDEX(PASTE_ALL,INDEX($DF$5:$DF$1003,$EX428),$B$37)),INDEX(PASTE_ALL,INDEX($DF$5:$DF$1003,$EX428),$B$37),INDEX($DH$5:$DH$1003,$EX428)),INDEX($DH$5:$DH$1003,$EX428)),"")</f>
        <v/>
      </c>
      <c r="FC428">
        <f>IF($EY428="row",INDEX($ER$5:$ER$1003,$EX428),"")</f>
        <v/>
      </c>
      <c r="FD428">
        <f>IF($EY428="row",INDEX($DN$5:$DN$1003,$EX428),"")</f>
        <v/>
      </c>
      <c r="FE428">
        <f>IF($EY428="row",INDEX($DO$5:$DO$1003,$EX428),"")</f>
        <v/>
      </c>
      <c r="FF428">
        <f>IF($EY428="row",INDEX($DP$5:$DP$1003,$EX428),"")</f>
        <v/>
      </c>
      <c r="FG428">
        <f>IF($EY428="row",INDEX($DQ$5:$DQ$1003,$EX428),"")</f>
        <v/>
      </c>
      <c r="FH428">
        <f>IF($EY428="row",INDEX($DR$5:$DR$1003,$EX428),"")</f>
        <v/>
      </c>
      <c r="FI428">
        <f>IF($EY428="row",INDEX($DS$5:$DS$1003,$EX428),"")</f>
        <v/>
      </c>
      <c r="FJ428">
        <f>IF($EY428="row",INDEX($DT$5:$DT$1003,$EX428),"")</f>
        <v/>
      </c>
      <c r="FK428">
        <f>IF($EY428="row",INDEX($DU$5:$DU$1003,$EX428),"")</f>
        <v/>
      </c>
      <c r="FL428">
        <f>IF($EY428="row",INDEX($DV$5:$DV$1003,$EX428),"")</f>
        <v/>
      </c>
      <c r="FM428">
        <f>IF($EY428="row",INDEX($DW$5:$DW$1003,$EX428),"")</f>
        <v/>
      </c>
      <c r="FN428">
        <f>IF($EY428="row",INDEX($DY$5:$DY$1003,$EX428),"")</f>
        <v/>
      </c>
      <c r="FO428">
        <f>IF($EY428="row",INDEX($EA$5:$EA$1003,$EX428),"")</f>
        <v/>
      </c>
      <c r="FP428">
        <f>IF($EY428="row",INDEX($EC$5:$EC$1003,$EX428),"")</f>
        <v/>
      </c>
      <c r="FQ428">
        <f>IF($EY428="row",INDEX($ET$5:$ET$1003,$EX428),"")</f>
        <v/>
      </c>
      <c r="FR428">
        <f>IF($EY428="row",INDEX($EU$5:$EU$1003,$EX428),"")</f>
        <v/>
      </c>
      <c r="FS428">
        <f>IF(AND($EY428="row",$EY427="row"),IF(OR(INDEX($DT$5:$DT$1003,$EX427)="",INDEX($DT$5:$DT$1003,$EX428)=""),"",IF(NOT(EXACT(INDEX($DT$5:$DT$1003,$EX427),INDEX($DT$5:$DT$1003,$EX428))),"S4",IF(NOT(EXACT(INDEX($DS$5:$DS$1003,$EX427),INDEX($DS$5:$DS$1003,$EX428))),"S3",IF(NOT(EXACT(INDEX($DR$5:$DR$1003,$EX427),INDEX($DR$5:$DR$1003,$EX428))),"S1 Count Change","S1")))),"")</f>
        <v/>
      </c>
      <c r="FT428">
        <f>IF($EY428="row",INDEX($ES$5:$ES$1003,$EX428),"")</f>
        <v/>
      </c>
      <c r="FU428">
        <f>IF($EY428="row",INDEX($EO$5:$EO$1003,$EX428),0)</f>
        <v/>
      </c>
      <c r="FV428">
        <f>IF($FS428="S1 Count Change",1,0)</f>
        <v/>
      </c>
    </row>
    <row r="429">
      <c r="DA429" t="n">
        <v>425</v>
      </c>
      <c r="DB429">
        <f>IF($B$37=0,"",IFERROR(TRIM(SUBSTITUTE(SUBSTITUTE(SUBSTITUTE(SUBSTITUTE(INDEX(PASTE_ALL,425,$B$37)," "," "),CHAR(9)," "),CHAR(10)," "),CHAR(13)," ")),""))</f>
        <v/>
      </c>
      <c r="DC429">
        <f>IF(AND(425&gt;HEADER_ROW,UPPER(DB429)="LEGEND"),1,0)</f>
        <v/>
      </c>
      <c r="DE429" t="n">
        <v>425</v>
      </c>
      <c r="DF429">
        <f>HEADER_ROW+$DE429</f>
        <v/>
      </c>
      <c r="DG429">
        <f>IF(AND($DF429&lt;=1000,$DF429&lt;$B$8),1,0)</f>
        <v/>
      </c>
      <c r="DH429">
        <f>IF($DG429=1,IFERROR(INDEX($DB$5:$DB$1004,$DF429),""),"")</f>
        <v/>
      </c>
      <c r="DI429">
        <f>IF(AND($DG429=1,$DH429&lt;&gt;""),IFERROR(SUBSTITUTE(SUBSTITUTE(TRIM(SUBSTITUTE(SUBSTITUTE(SUBSTITUTE(SUBSTITUTE(IFERROR(INDEX(PASTE_ALL,$DF429,1)&amp;"","")&amp;"␟"&amp;IFERROR(INDEX(PASTE_ALL,$DF429,2)&amp;"","")&amp;"␟"&amp;IFERROR(INDEX(PASTE_ALL,$DF429,3)&amp;"","")&amp;"␟"&amp;IFERROR(INDEX(PASTE_ALL,$DF429,4)&amp;"","")&amp;"␟"&amp;IFERROR(INDEX(PASTE_ALL,$DF429,5)&amp;"","")&amp;"␟"&amp;IFERROR(INDEX(PASTE_ALL,$DF429,6)&amp;"","")&amp;"␟"&amp;IFERROR(INDEX(PASTE_ALL,$DF429,7)&amp;"","")&amp;"␟"&amp;IFERROR(INDEX(PASTE_ALL,$DF429,8)&amp;"","")&amp;"␟"&amp;IFERROR(INDEX(PASTE_ALL,$DF429,9)&amp;"","")&amp;"␟"&amp;IFERROR(INDEX(PASTE_ALL,$DF429,10)&amp;"","")&amp;"␟"&amp;IFERROR(INDEX(PASTE_ALL,$DF429,11)&amp;"","")&amp;"␟"&amp;IFERROR(INDEX(PASTE_ALL,$DF429,12)&amp;"","")&amp;"␟"&amp;IFERROR(INDEX(PASTE_ALL,$DF429,13)&amp;"","")&amp;"␟"&amp;IFERROR(INDEX(PASTE_ALL,$DF429,14)&amp;"","")&amp;"␟"&amp;IFERROR(INDEX(PASTE_ALL,$DF429,15)&amp;"","")&amp;"␟"&amp;IFERROR(INDEX(PASTE_ALL,$DF429,16)&amp;"","")&amp;"␟"&amp;IFERROR(INDEX(PASTE_ALL,$DF429,17)&amp;"","")&amp;"␟"&amp;IFERROR(INDEX(PASTE_ALL,$DF429,18)&amp;"","")&amp;"␟"&amp;IFERROR(INDEX(PASTE_ALL,$DF429,19)&amp;"","")&amp;"␟"&amp;IFERROR(INDEX(PASTE_ALL,$DF429,20)&amp;"","")&amp;"␟"&amp;IFERROR(INDEX(PASTE_ALL,$DF429,21)&amp;"","")&amp;"␟"&amp;IFERROR(INDEX(PASTE_ALL,$DF429,22)&amp;"","")&amp;"␟"&amp;IFERROR(INDEX(PASTE_ALL,$DF429,23)&amp;"","")&amp;"␟"&amp;IFERROR(INDEX(PASTE_ALL,$DF429,24)&amp;"","")&amp;"␟"&amp;IFERROR(INDEX(PASTE_ALL,$DF429,25)&amp;"","")&amp;"␟"&amp;IFERROR(INDEX(PASTE_ALL,$DF429,26)&amp;"","")&amp;"␟"&amp;IFERROR(INDEX(PASTE_ALL,$DF429,27)&amp;"","")&amp;"␟"&amp;IFERROR(INDEX(PASTE_ALL,$DF429,28)&amp;"","")&amp;"␟"&amp;IFERROR(INDEX(PASTE_ALL,$DF429,29)&amp;"","")&amp;"␟"&amp;IFERROR(INDEX(PASTE_ALL,$DF429,30)&amp;"","")&amp;"␟"&amp;IFERROR(INDEX(PASTE_ALL,$DF429,31)&amp;"","")&amp;"␟"&amp;IFERROR(INDEX(PASTE_ALL,$DF429,32)&amp;"","")&amp;"␟"&amp;IFERROR(INDEX(PASTE_ALL,$DF429,33)&amp;"","")&amp;"␟"&amp;IFERROR(INDEX(PASTE_ALL,$DF429,34)&amp;"","")&amp;"␟"&amp;IFERROR(INDEX(PASTE_ALL,$DF429,35)&amp;"","")&amp;"␟"&amp;IFERROR(INDEX(PASTE_ALL,$DF429,36)&amp;"","")&amp;"␟"&amp;IFERROR(INDEX(PASTE_ALL,$DF429,37)&amp;"","")&amp;"␟"&amp;IFERROR(INDEX(PASTE_ALL,$DF429,38)&amp;"","")&amp;"␟"&amp;IFERROR(INDEX(PASTE_ALL,$DF429,39)&amp;"","")&amp;"␟"&amp;IFERROR(INDEX(PASTE_ALL,$DF429,40)&amp;"","")&amp;"␟"&amp;IFERROR(INDEX(PASTE_ALL,$DF429,41)&amp;"","")&amp;"␟"&amp;IFERROR(INDEX(PASTE_ALL,$DF429,42)&amp;"","")&amp;"␟"&amp;IFERROR(INDEX(PASTE_ALL,$DF429,43)&amp;"","")&amp;"␟"&amp;IFERROR(INDEX(PASTE_ALL,$DF429,44)&amp;"","")&amp;"␟"&amp;IFERROR(INDEX(PASTE_ALL,$DF429,45)&amp;"","")&amp;"␟"&amp;IFERROR(INDEX(PASTE_ALL,$DF429,46)&amp;"","")&amp;"␟"&amp;IFERROR(INDEX(PASTE_ALL,$DF429,47)&amp;"","")&amp;"␟"&amp;IFERROR(INDEX(PASTE_ALL,$DF429,48)&amp;"","")&amp;"␟"&amp;IFERROR(INDEX(PASTE_ALL,$DF429,49)&amp;"","")&amp;"␟"&amp;IFERROR(INDEX(PASTE_ALL,$DF429,50)&amp;"","")&amp;"␟"&amp;IFERROR(INDEX(PASTE_ALL,$DF429,51)&amp;"","")&amp;"␟"&amp;IFERROR(INDEX(PASTE_ALL,$DF429,52)&amp;"","")&amp;"␟"&amp;IFERROR(INDEX(PASTE_ALL,$DF429,53)&amp;"","")&amp;"␟"&amp;IFERROR(INDEX(PASTE_ALL,$DF429,54)&amp;"","")&amp;"␟"&amp;IFERROR(INDEX(PASTE_ALL,$DF429,55)&amp;"","")&amp;"␟"&amp;IFERROR(INDEX(PASTE_ALL,$DF429,56)&amp;"","")&amp;"␟"&amp;IFERROR(INDEX(PASTE_ALL,$DF429,57)&amp;"","")&amp;"␟"&amp;IFERROR(INDEX(PASTE_ALL,$DF429,58)&amp;"","")&amp;"␟"&amp;IFERROR(INDEX(PASTE_ALL,$DF429,59)&amp;"","")&amp;"␟"&amp;IFERROR(INDEX(PASTE_ALL,$DF429,60)&amp;"","")," "," "),CHAR(9)," "),CHAR(10)," "),CHAR(13)," "))," ␟","␟"),"␟ ","␟"),"#"&amp;$DE429),"")</f>
        <v/>
      </c>
      <c r="DJ429">
        <f>IF($DI429="",0,IF(SUMPRODUCT(--EXACT($DI$4:DI428,$DI429))&gt;0,1,0))</f>
        <v/>
      </c>
      <c r="DK429">
        <f>IF(AND($DI429&lt;&gt;"",$DJ429=0),1,0)</f>
        <v/>
      </c>
      <c r="DL429">
        <f>DL428+$DK429</f>
        <v/>
      </c>
      <c r="DM429">
        <f>IF(AND($DK429=1,$DL429&lt;=600),1,0)</f>
        <v/>
      </c>
      <c r="DN429">
        <f>IF($DM429=0,"",IF($L$6=0,"",IFERROR(IF(ISNUMBER(INDEX(PASTE_ALL,$DF429,$L$6)),INDEX(PASTE_ALL,$DF429,$L$6),TRIM(SUBSTITUTE(SUBSTITUTE(SUBSTITUTE(SUBSTITUTE(INDEX(PASTE_ALL,$DF429,$L$6)," "," "),CHAR(9)," "),CHAR(10)," "),CHAR(13)," "))),"")))</f>
        <v/>
      </c>
      <c r="DO429">
        <f>IF($DM429=0,"",IF($L$7=0,"",IFERROR(IF(ISNUMBER(INDEX(PASTE_ALL,$DF429,$L$7)),INDEX(PASTE_ALL,$DF429,$L$7),TRIM(SUBSTITUTE(SUBSTITUTE(SUBSTITUTE(SUBSTITUTE(INDEX(PASTE_ALL,$DF429,$L$7)," "," "),CHAR(9)," "),CHAR(10)," "),CHAR(13)," "))),"")))</f>
        <v/>
      </c>
      <c r="DP429">
        <f>IF($DM429=0,"",IF($L$8=0,"",IFERROR(IF(ISNUMBER(INDEX(PASTE_ALL,$DF429,$L$8)),INDEX(PASTE_ALL,$DF429,$L$8),TRIM(SUBSTITUTE(SUBSTITUTE(SUBSTITUTE(SUBSTITUTE(INDEX(PASTE_ALL,$DF429,$L$8)," "," "),CHAR(9)," "),CHAR(10)," "),CHAR(13)," "))),"")))</f>
        <v/>
      </c>
      <c r="DQ429">
        <f>IF($DM429=0,"",IF($L$9=0,"",IFERROR(IF(ISNUMBER(INDEX(PASTE_ALL,$DF429,$L$9)),INDEX(PASTE_ALL,$DF429,$L$9),TRIM(SUBSTITUTE(SUBSTITUTE(SUBSTITUTE(SUBSTITUTE(INDEX(PASTE_ALL,$DF429,$L$9)," "," "),CHAR(9)," "),CHAR(10)," "),CHAR(13)," "))),"")))</f>
        <v/>
      </c>
      <c r="DR429">
        <f>IF($DM429=0,"",IF($L$10=0,"",IFERROR(IF(ISNUMBER(INDEX(PASTE_ALL,$DF429,$L$10)),INDEX(PASTE_ALL,$DF429,$L$10),TRIM(SUBSTITUTE(SUBSTITUTE(SUBSTITUTE(SUBSTITUTE(INDEX(PASTE_ALL,$DF429,$L$10)," "," "),CHAR(9)," "),CHAR(10)," "),CHAR(13)," "))),"")))</f>
        <v/>
      </c>
      <c r="DS429">
        <f>IF($DM429=0,"",IF($L$11=0,"",IFERROR(IF(ISNUMBER(INDEX(PASTE_ALL,$DF429,$L$11)),INDEX(PASTE_ALL,$DF429,$L$11),TRIM(SUBSTITUTE(SUBSTITUTE(SUBSTITUTE(SUBSTITUTE(INDEX(PASTE_ALL,$DF429,$L$11)," "," "),CHAR(9)," "),CHAR(10)," "),CHAR(13)," "))),"")))</f>
        <v/>
      </c>
      <c r="DT429">
        <f>IF($DM429=0,"",IF($L$12=0,"",IFERROR(IF(ISNUMBER(INDEX(PASTE_ALL,$DF429,$L$12)),INDEX(PASTE_ALL,$DF429,$L$12),TRIM(SUBSTITUTE(SUBSTITUTE(SUBSTITUTE(SUBSTITUTE(INDEX(PASTE_ALL,$DF429,$L$12)," "," "),CHAR(9)," "),CHAR(10)," "),CHAR(13)," "))),"")))</f>
        <v/>
      </c>
      <c r="DU429">
        <f>IF($DM429=0,"",IF($L$13=0,"",IFERROR(IF(ISNUMBER(INDEX(PASTE_ALL,$DF429,$L$13)),INDEX(PASTE_ALL,$DF429,$L$13),TRIM(SUBSTITUTE(SUBSTITUTE(SUBSTITUTE(SUBSTITUTE(INDEX(PASTE_ALL,$DF429,$L$13)," "," "),CHAR(9)," "),CHAR(10)," "),CHAR(13)," "))),"")))</f>
        <v/>
      </c>
      <c r="DV429">
        <f>IF($DM429=0,"",IF($L$14=0,"",IFERROR(IF(ISNUMBER(INDEX(PASTE_ALL,$DF429,$L$14)),INDEX(PASTE_ALL,$DF429,$L$14),TRIM(SUBSTITUTE(SUBSTITUTE(SUBSTITUTE(SUBSTITUTE(INDEX(PASTE_ALL,$DF429,$L$14)," "," "),CHAR(9)," "),CHAR(10)," "),CHAR(13)," "))),"")))</f>
        <v/>
      </c>
      <c r="DW429">
        <f>IF($DM429=0,"",IF($L$15=0,"",IFERROR(IF(ISNUMBER(INDEX(PASTE_ALL,$DF429,$L$15)),INDEX(PASTE_ALL,$DF429,$L$15),IF(SUMPRODUCT(--ISNUMBER(FIND({"A","B","C","D","E","F","G","H","I","J","K","L","M","N","O","P","Q","R","S","T","U","V","W","X","Y","Z","0","1","2","3","4","5","6","7","8","9"},UPPER(TRIM(SUBSTITUTE(SUBSTITUTE(SUBSTITUTE(SUBSTITUTE(INDEX(PASTE_ALL,$DF429,$L$15)," "," "),CHAR(9)," "),CHAR(10)," "),CHAR(13)," "))))))&gt;0,TRIM(SUBSTITUTE(SUBSTITUTE(SUBSTITUTE(SUBSTITUTE(INDEX(PASTE_ALL,$DF429,$L$15)," "," "),CHAR(9)," "),CHAR(10)," "),CHAR(13)," ")),"")),"")))</f>
        <v/>
      </c>
      <c r="DX429">
        <f>IF($DM429=0,"",IF($L$16=0,"",IFERROR(IF(ISNUMBER(INDEX(PASTE_ALL,$DF429,$L$16)),INDEX(PASTE_ALL,$DF429,$L$16),SUBSTITUTE(SUBSTITUTE(TRIM(SUBSTITUTE(SUBSTITUTE(SUBSTITUTE(SUBSTITUTE(INDEX(PASTE_ALL,$DF429,$L$16)," "," "),CHAR(9)," "),CHAR(10)," "),CHAR(13)," ")),",",""),"%","")),"")))</f>
        <v/>
      </c>
      <c r="DY429">
        <f>IF($DM429=0,"",IFERROR(IF(ISNUMBER($DX429),$DX429,IF($DX429="","",IF(TRIM($DX429)="",0,IF(AND(AND(SUBSTITUTE(SUBSTITUTE(SUBSTITUTE(SUBSTITUTE(SUBSTITUTE(SUBSTITUTE(SUBSTITUTE(SUBSTITUTE(SUBSTITUTE(SUBSTITUTE(SUBSTITUTE(SUBSTITUTE(SUBSTITUTE(SUBSTITUTE(UPPER(TRIM($DX429)),"0",""),"1",""),"2",""),"3",""),"4",""),"5",""),"6",""),"7",""),"8",""),"9",""),".",""),"+",""),"-",""),"E","")="",LEN(SUBSTITUTE(SUBSTITUTE(MID(UPPER(TRIM($DX429)),1+OR(LEFT(UPPER(TRIM($DX429)),1)="+",LEFT(UPPER(TRIM($DX429)),1)="-"),999),"E+","E"),"E-","E"))=LEN(SUBSTITUTE(SUBSTITUTE(SUBSTITUTE(SUBSTITUTE(MID(UPPER(TRIM($DX429)),1+OR(LEFT(UPPER(TRIM($DX429)),1)="+",LEFT(UPPER(TRIM($DX429)),1)="-"),999),"E+","E"),"E-","E"),"+",""),"-","")),LEN(UPPER(TRIM($DX429)))-LEN(SUBSTITUTE(UPPER(TRIM($DX429)),"E",""))&lt;2,LEN(UPPER(TRIM($DX429)))-LEN(SUBSTITUTE(UPPER(TRIM($DX429)),".",""))&lt;2,IFERROR(FIND(".",UPPER(TRIM($DX429))),0)&lt;IFERROR(FIND("E",UPPER(TRIM($DX429))),999)),ISNUMBER(VALUE(TRIM($DX429)))),VALUE(TRIM($DX429)),"")))),""))</f>
        <v/>
      </c>
      <c r="DZ429">
        <f>IF($DM429=0,"",IF($L$17=0,"",IFERROR(IF(ISNUMBER(INDEX(PASTE_ALL,$DF429,$L$17)),INDEX(PASTE_ALL,$DF429,$L$17),SUBSTITUTE(SUBSTITUTE(TRIM(SUBSTITUTE(SUBSTITUTE(SUBSTITUTE(SUBSTITUTE(INDEX(PASTE_ALL,$DF429,$L$17)," "," "),CHAR(9)," "),CHAR(10)," "),CHAR(13)," ")),",",""),"%","")),"")))</f>
        <v/>
      </c>
      <c r="EA429">
        <f>IF($DM429=0,"",IFERROR(IF(ISNUMBER($DZ429),$DZ429,IF($DZ429="","",IF(TRIM($DZ429)="",0,IF(AND(AND(SUBSTITUTE(SUBSTITUTE(SUBSTITUTE(SUBSTITUTE(SUBSTITUTE(SUBSTITUTE(SUBSTITUTE(SUBSTITUTE(SUBSTITUTE(SUBSTITUTE(SUBSTITUTE(SUBSTITUTE(SUBSTITUTE(SUBSTITUTE(UPPER(TRIM($DZ429)),"0",""),"1",""),"2",""),"3",""),"4",""),"5",""),"6",""),"7",""),"8",""),"9",""),".",""),"+",""),"-",""),"E","")="",LEN(SUBSTITUTE(SUBSTITUTE(MID(UPPER(TRIM($DZ429)),1+OR(LEFT(UPPER(TRIM($DZ429)),1)="+",LEFT(UPPER(TRIM($DZ429)),1)="-"),999),"E+","E"),"E-","E"))=LEN(SUBSTITUTE(SUBSTITUTE(SUBSTITUTE(SUBSTITUTE(MID(UPPER(TRIM($DZ429)),1+OR(LEFT(UPPER(TRIM($DZ429)),1)="+",LEFT(UPPER(TRIM($DZ429)),1)="-"),999),"E+","E"),"E-","E"),"+",""),"-","")),LEN(UPPER(TRIM($DZ429)))-LEN(SUBSTITUTE(UPPER(TRIM($DZ429)),"E",""))&lt;2,LEN(UPPER(TRIM($DZ429)))-LEN(SUBSTITUTE(UPPER(TRIM($DZ429)),".",""))&lt;2,IFERROR(FIND(".",UPPER(TRIM($DZ429))),0)&lt;IFERROR(FIND("E",UPPER(TRIM($DZ429))),999)),ISNUMBER(VALUE(TRIM($DZ429)))),VALUE(TRIM($DZ429)),"")))),""))</f>
        <v/>
      </c>
      <c r="EB429">
        <f>IF($DM429=0,"",IF($L$18=0,"",IFERROR(IF(UPPER(TRIM(SUBSTITUTE(SUBSTITUTE(SUBSTITUTE(SUBSTITUTE(INDEX(PASTE_ALL,$DF429,$L$18)," "," "),CHAR(9)," "),CHAR(10)," "),CHAR(13)," ")))="READY","Ready",IF(UPPER(TRIM(SUBSTITUTE(SUBSTITUTE(SUBSTITUTE(SUBSTITUTE(INDEX(PASTE_ALL,$DF429,$L$18)," "," "),CHAR(9)," "),CHAR(10)," "),CHAR(13)," ")))="PM","PM",IF(OR(UPPER(TRIM(SUBSTITUTE(SUBSTITUTE(SUBSTITUTE(SUBSTITUTE(INDEX(PASTE_ALL,$DF429,$L$18)," "," "),CHAR(9)," "),CHAR(10)," "),CHAR(13)," ")))="OT",UPPER(TRIM(SUBSTITUTE(SUBSTITUTE(SUBSTITUTE(SUBSTITUTE(INDEX(PASTE_ALL,$DF429,$L$18)," "," "),CHAR(9)," "),CHAR(10)," "),CHAR(13)," ")))="OVERTIME",UPPER(TRIM(SUBSTITUTE(SUBSTITUTE(SUBSTITUTE(SUBSTITUTE(INDEX(PASTE_ALL,$DF429,$L$18)," "," "),CHAR(9)," "),CHAR(10)," "),CHAR(13)," ")))="TRIAL"),"OT",TRIM(SUBSTITUTE(SUBSTITUTE(SUBSTITUTE(SUBSTITUTE(INDEX(PASTE_ALL,$DF429,$L$18)," "," "),CHAR(9)," "),CHAR(10)," "),CHAR(13)," "))))),"")))</f>
        <v/>
      </c>
      <c r="EC429">
        <f>IF($DM429=0,"",IF($L$19=0,"",IFERROR(IF(ISNUMBER(INDEX(PASTE_ALL,$DF429,$L$19)),INDEX(PASTE_ALL,$DF429,$L$19),TRIM(SUBSTITUTE(SUBSTITUTE(SUBSTITUTE(SUBSTITUTE(INDEX(PASTE_ALL,$DF429,$L$19)," "," "),CHAR(9)," "),CHAR(10)," "),CHAR(13)," "))),"")))</f>
        <v/>
      </c>
      <c r="ED429">
        <f>IF($DM429=0,"",MATCH(1,INDEX(EXACT($DH$5:DH429,$DH429)*$DM$5:DM429,0),0))</f>
        <v/>
      </c>
      <c r="EE429">
        <f>IF($DM429=0,0,IF($ED429=$DE429,1,0))</f>
        <v/>
      </c>
      <c r="EF429">
        <f>EF428+$EE429</f>
        <v/>
      </c>
      <c r="EG429">
        <f>IF($DM429=0,"",INDEX($EF$5:$EF$1003,$ED429))</f>
        <v/>
      </c>
      <c r="EH429">
        <f>IF($DM429=0,"",IF($DO429&lt;&gt;"","",IFERROR(LOOKUP(2,1/(($EG$4:EG428=$EG429)*($DO$4:DO428&lt;&gt;"")),$DO$4:DO428),"")))</f>
        <v/>
      </c>
      <c r="EI429">
        <f>IF($DM429=0,"",IF($DO429&lt;&gt;"",$DO429,$EH429))</f>
        <v/>
      </c>
      <c r="EJ429">
        <f>IF($DM429=0,"",IF($EI429="",0,IF(OR(ISNUMBER($EI429),AND(AND(SUBSTITUTE(SUBSTITUTE(SUBSTITUTE(SUBSTITUTE(SUBSTITUTE(SUBSTITUTE(SUBSTITUTE(SUBSTITUTE(SUBSTITUTE(SUBSTITUTE(SUBSTITUTE(SUBSTITUTE(SUBSTITUTE(SUBSTITUTE(UPPER($EI429),"0",""),"1",""),"2",""),"3",""),"4",""),"5",""),"6",""),"7",""),"8",""),"9",""),".",""),"+",""),"-",""),"E","")="",LEN(SUBSTITUTE(SUBSTITUTE(MID(UPPER($EI429),1+OR(LEFT(UPPER($EI429),1)="+",LEFT(UPPER($EI429),1)="-"),999),"E+","E"),"E-","E"))=LEN(SUBSTITUTE(SUBSTITUTE(SUBSTITUTE(SUBSTITUTE(MID(UPPER($EI429),1+OR(LEFT(UPPER($EI429),1)="+",LEFT(UPPER($EI429),1)="-"),999),"E+","E"),"E-","E"),"+",""),"-","")),LEN(UPPER($EI429))-LEN(SUBSTITUTE(UPPER($EI429),"E",""))&lt;2,LEN(UPPER($EI429))-LEN(SUBSTITUTE(UPPER($EI429),".",""))&lt;2,IFERROR(FIND(".",UPPER($EI429)),0)&lt;IFERROR(FIND("E",UPPER($EI429)),999)),ISNUMBER(VALUE($EI429)))),1,2)))</f>
        <v/>
      </c>
      <c r="EK429">
        <f>IF($DM429=0,"",IF($EJ429=1,IF(ISNUMBER($EI429),$EI429,VALUE($EI429)),IF($EJ429=2,$DE429,0)))</f>
        <v/>
      </c>
      <c r="EL429">
        <f>IF($DM429=0,"",COUNTIF($EG$5:$EG$1003,"&lt;"&amp;$EG429)+SUMPRODUCT(($EG$5:$EG$1003=$EG429)*(($EJ$5:$EJ$1003&lt;$EJ429)+($EJ$5:$EJ$1003=$EJ429)*(($EK$5:$EK$1003&lt;$EK429)+($EK$5:$EK$1003=$EK429)*($DE$5:$DE$1003&lt;$DE429))))+1)</f>
        <v/>
      </c>
      <c r="EM429">
        <f>IF($DM429=0,"",$EL429+$EG429-1)</f>
        <v/>
      </c>
      <c r="EN429">
        <f>IF($DM429=0,0,IFERROR(MATCH(1,INDEX(--(TRIM(SUBSTITUTE(SUBSTITUTE(SUBSTITUTE(SUBSTITUTE(LINES_NAME&amp;""," "," "),CHAR(9)," "),CHAR(10)," "),CHAR(13)," "))=$DH429),0),0),0))</f>
        <v/>
      </c>
      <c r="EO429">
        <f>IF($EN429=0,0,IF(OR(UPPER(TRIM(INDEX(LINES_SCHEDULED,$EN429)&amp;""))="YES",UPPER(TRIM(INDEX(LINES_SCHEDULED,$EN429)&amp;""))="Y",UPPER(TRIM(INDEX(LINES_SCHEDULED,$EN429)&amp;""))="X"),1,0))</f>
        <v/>
      </c>
      <c r="EP429">
        <f>IF($DM429=0,"",IF(COUNTIFS($EG$5:$EG$1003,$EG429,$EB$5:$EB$1003,"Ready")&gt;0,"READY",IF(COUNTIFS($EG$5:$EG$1003,$EG429,$EB$5:$EB$1003,"PM")&gt;0,"PM",IF(COUNTIFS($EG$5:$EG$1003,$EG429,$EB$5:$EB$1003,"OT")&gt;0,"OT",""))))</f>
        <v/>
      </c>
      <c r="EQ429">
        <f>IF($EN429=0,"",UPPER(TRIM(INDEX(LINES_STATUS,$EN429)&amp;"")))</f>
        <v/>
      </c>
      <c r="ER429">
        <f>IF($DM429=0,"",IF(OR($EQ429="READY",$EQ429="PM",$EQ429="OT"),$EQ429,$EP429))</f>
        <v/>
      </c>
      <c r="ES429">
        <f>IF($DM429=0,"",IF(AND($DV429&lt;&gt;"",UPPER($DV429)&lt;&gt;"N"),"allergen",IF(ISNUMBER(SEARCH("oil",$DQ429)),"oil",IF(OR(EXACT($DS429,"A662"),EXACT($DS429,"A624")),"bulk",""))))</f>
        <v/>
      </c>
      <c r="ET429">
        <f>IF($DM429=0,"",IF(OR($EA429="",$EA429=0),"",$EA429/100))</f>
        <v/>
      </c>
      <c r="EU429">
        <f>IF(OR($ET429="",$DY429=""),"",INT($DY429*(1-$ET429)+0.5))</f>
        <v/>
      </c>
      <c r="EW429" t="n">
        <v>425</v>
      </c>
      <c r="EX429">
        <f>IFERROR(MATCH($EW429,$EM$5:$EM$1003,0),0)</f>
        <v/>
      </c>
      <c r="EY429">
        <f>IF($EW429&gt;$B$12,"",IF($EX429&gt;0,"row","spacer"))</f>
        <v/>
      </c>
      <c r="EZ429">
        <f>IF(AND($EY429="row",$EY428&lt;&gt;"row"),1,0)</f>
        <v/>
      </c>
      <c r="FA429">
        <f>IF(AND($EY429="row",$EY430&lt;&gt;"row"),1,0)</f>
        <v/>
      </c>
      <c r="FB429">
        <f>IF($EZ429=1,IFERROR(IF(ISNUMBER(INDEX(PASTE_ALL,INDEX($DF$5:$DF$1003,$EX429),$B$37)),INDEX(PASTE_ALL,INDEX($DF$5:$DF$1003,$EX429),$B$37),INDEX($DH$5:$DH$1003,$EX429)),INDEX($DH$5:$DH$1003,$EX429)),"")</f>
        <v/>
      </c>
      <c r="FC429">
        <f>IF($EY429="row",INDEX($ER$5:$ER$1003,$EX429),"")</f>
        <v/>
      </c>
      <c r="FD429">
        <f>IF($EY429="row",INDEX($DN$5:$DN$1003,$EX429),"")</f>
        <v/>
      </c>
      <c r="FE429">
        <f>IF($EY429="row",INDEX($DO$5:$DO$1003,$EX429),"")</f>
        <v/>
      </c>
      <c r="FF429">
        <f>IF($EY429="row",INDEX($DP$5:$DP$1003,$EX429),"")</f>
        <v/>
      </c>
      <c r="FG429">
        <f>IF($EY429="row",INDEX($DQ$5:$DQ$1003,$EX429),"")</f>
        <v/>
      </c>
      <c r="FH429">
        <f>IF($EY429="row",INDEX($DR$5:$DR$1003,$EX429),"")</f>
        <v/>
      </c>
      <c r="FI429">
        <f>IF($EY429="row",INDEX($DS$5:$DS$1003,$EX429),"")</f>
        <v/>
      </c>
      <c r="FJ429">
        <f>IF($EY429="row",INDEX($DT$5:$DT$1003,$EX429),"")</f>
        <v/>
      </c>
      <c r="FK429">
        <f>IF($EY429="row",INDEX($DU$5:$DU$1003,$EX429),"")</f>
        <v/>
      </c>
      <c r="FL429">
        <f>IF($EY429="row",INDEX($DV$5:$DV$1003,$EX429),"")</f>
        <v/>
      </c>
      <c r="FM429">
        <f>IF($EY429="row",INDEX($DW$5:$DW$1003,$EX429),"")</f>
        <v/>
      </c>
      <c r="FN429">
        <f>IF($EY429="row",INDEX($DY$5:$DY$1003,$EX429),"")</f>
        <v/>
      </c>
      <c r="FO429">
        <f>IF($EY429="row",INDEX($EA$5:$EA$1003,$EX429),"")</f>
        <v/>
      </c>
      <c r="FP429">
        <f>IF($EY429="row",INDEX($EC$5:$EC$1003,$EX429),"")</f>
        <v/>
      </c>
      <c r="FQ429">
        <f>IF($EY429="row",INDEX($ET$5:$ET$1003,$EX429),"")</f>
        <v/>
      </c>
      <c r="FR429">
        <f>IF($EY429="row",INDEX($EU$5:$EU$1003,$EX429),"")</f>
        <v/>
      </c>
      <c r="FS429">
        <f>IF(AND($EY429="row",$EY428="row"),IF(OR(INDEX($DT$5:$DT$1003,$EX428)="",INDEX($DT$5:$DT$1003,$EX429)=""),"",IF(NOT(EXACT(INDEX($DT$5:$DT$1003,$EX428),INDEX($DT$5:$DT$1003,$EX429))),"S4",IF(NOT(EXACT(INDEX($DS$5:$DS$1003,$EX428),INDEX($DS$5:$DS$1003,$EX429))),"S3",IF(NOT(EXACT(INDEX($DR$5:$DR$1003,$EX428),INDEX($DR$5:$DR$1003,$EX429))),"S1 Count Change","S1")))),"")</f>
        <v/>
      </c>
      <c r="FT429">
        <f>IF($EY429="row",INDEX($ES$5:$ES$1003,$EX429),"")</f>
        <v/>
      </c>
      <c r="FU429">
        <f>IF($EY429="row",INDEX($EO$5:$EO$1003,$EX429),0)</f>
        <v/>
      </c>
      <c r="FV429">
        <f>IF($FS429="S1 Count Change",1,0)</f>
        <v/>
      </c>
    </row>
    <row r="430">
      <c r="DA430" t="n">
        <v>426</v>
      </c>
      <c r="DB430">
        <f>IF($B$37=0,"",IFERROR(TRIM(SUBSTITUTE(SUBSTITUTE(SUBSTITUTE(SUBSTITUTE(INDEX(PASTE_ALL,426,$B$37)," "," "),CHAR(9)," "),CHAR(10)," "),CHAR(13)," ")),""))</f>
        <v/>
      </c>
      <c r="DC430">
        <f>IF(AND(426&gt;HEADER_ROW,UPPER(DB430)="LEGEND"),1,0)</f>
        <v/>
      </c>
      <c r="DE430" t="n">
        <v>426</v>
      </c>
      <c r="DF430">
        <f>HEADER_ROW+$DE430</f>
        <v/>
      </c>
      <c r="DG430">
        <f>IF(AND($DF430&lt;=1000,$DF430&lt;$B$8),1,0)</f>
        <v/>
      </c>
      <c r="DH430">
        <f>IF($DG430=1,IFERROR(INDEX($DB$5:$DB$1004,$DF430),""),"")</f>
        <v/>
      </c>
      <c r="DI430">
        <f>IF(AND($DG430=1,$DH430&lt;&gt;""),IFERROR(SUBSTITUTE(SUBSTITUTE(TRIM(SUBSTITUTE(SUBSTITUTE(SUBSTITUTE(SUBSTITUTE(IFERROR(INDEX(PASTE_ALL,$DF430,1)&amp;"","")&amp;"␟"&amp;IFERROR(INDEX(PASTE_ALL,$DF430,2)&amp;"","")&amp;"␟"&amp;IFERROR(INDEX(PASTE_ALL,$DF430,3)&amp;"","")&amp;"␟"&amp;IFERROR(INDEX(PASTE_ALL,$DF430,4)&amp;"","")&amp;"␟"&amp;IFERROR(INDEX(PASTE_ALL,$DF430,5)&amp;"","")&amp;"␟"&amp;IFERROR(INDEX(PASTE_ALL,$DF430,6)&amp;"","")&amp;"␟"&amp;IFERROR(INDEX(PASTE_ALL,$DF430,7)&amp;"","")&amp;"␟"&amp;IFERROR(INDEX(PASTE_ALL,$DF430,8)&amp;"","")&amp;"␟"&amp;IFERROR(INDEX(PASTE_ALL,$DF430,9)&amp;"","")&amp;"␟"&amp;IFERROR(INDEX(PASTE_ALL,$DF430,10)&amp;"","")&amp;"␟"&amp;IFERROR(INDEX(PASTE_ALL,$DF430,11)&amp;"","")&amp;"␟"&amp;IFERROR(INDEX(PASTE_ALL,$DF430,12)&amp;"","")&amp;"␟"&amp;IFERROR(INDEX(PASTE_ALL,$DF430,13)&amp;"","")&amp;"␟"&amp;IFERROR(INDEX(PASTE_ALL,$DF430,14)&amp;"","")&amp;"␟"&amp;IFERROR(INDEX(PASTE_ALL,$DF430,15)&amp;"","")&amp;"␟"&amp;IFERROR(INDEX(PASTE_ALL,$DF430,16)&amp;"","")&amp;"␟"&amp;IFERROR(INDEX(PASTE_ALL,$DF430,17)&amp;"","")&amp;"␟"&amp;IFERROR(INDEX(PASTE_ALL,$DF430,18)&amp;"","")&amp;"␟"&amp;IFERROR(INDEX(PASTE_ALL,$DF430,19)&amp;"","")&amp;"␟"&amp;IFERROR(INDEX(PASTE_ALL,$DF430,20)&amp;"","")&amp;"␟"&amp;IFERROR(INDEX(PASTE_ALL,$DF430,21)&amp;"","")&amp;"␟"&amp;IFERROR(INDEX(PASTE_ALL,$DF430,22)&amp;"","")&amp;"␟"&amp;IFERROR(INDEX(PASTE_ALL,$DF430,23)&amp;"","")&amp;"␟"&amp;IFERROR(INDEX(PASTE_ALL,$DF430,24)&amp;"","")&amp;"␟"&amp;IFERROR(INDEX(PASTE_ALL,$DF430,25)&amp;"","")&amp;"␟"&amp;IFERROR(INDEX(PASTE_ALL,$DF430,26)&amp;"","")&amp;"␟"&amp;IFERROR(INDEX(PASTE_ALL,$DF430,27)&amp;"","")&amp;"␟"&amp;IFERROR(INDEX(PASTE_ALL,$DF430,28)&amp;"","")&amp;"␟"&amp;IFERROR(INDEX(PASTE_ALL,$DF430,29)&amp;"","")&amp;"␟"&amp;IFERROR(INDEX(PASTE_ALL,$DF430,30)&amp;"","")&amp;"␟"&amp;IFERROR(INDEX(PASTE_ALL,$DF430,31)&amp;"","")&amp;"␟"&amp;IFERROR(INDEX(PASTE_ALL,$DF430,32)&amp;"","")&amp;"␟"&amp;IFERROR(INDEX(PASTE_ALL,$DF430,33)&amp;"","")&amp;"␟"&amp;IFERROR(INDEX(PASTE_ALL,$DF430,34)&amp;"","")&amp;"␟"&amp;IFERROR(INDEX(PASTE_ALL,$DF430,35)&amp;"","")&amp;"␟"&amp;IFERROR(INDEX(PASTE_ALL,$DF430,36)&amp;"","")&amp;"␟"&amp;IFERROR(INDEX(PASTE_ALL,$DF430,37)&amp;"","")&amp;"␟"&amp;IFERROR(INDEX(PASTE_ALL,$DF430,38)&amp;"","")&amp;"␟"&amp;IFERROR(INDEX(PASTE_ALL,$DF430,39)&amp;"","")&amp;"␟"&amp;IFERROR(INDEX(PASTE_ALL,$DF430,40)&amp;"","")&amp;"␟"&amp;IFERROR(INDEX(PASTE_ALL,$DF430,41)&amp;"","")&amp;"␟"&amp;IFERROR(INDEX(PASTE_ALL,$DF430,42)&amp;"","")&amp;"␟"&amp;IFERROR(INDEX(PASTE_ALL,$DF430,43)&amp;"","")&amp;"␟"&amp;IFERROR(INDEX(PASTE_ALL,$DF430,44)&amp;"","")&amp;"␟"&amp;IFERROR(INDEX(PASTE_ALL,$DF430,45)&amp;"","")&amp;"␟"&amp;IFERROR(INDEX(PASTE_ALL,$DF430,46)&amp;"","")&amp;"␟"&amp;IFERROR(INDEX(PASTE_ALL,$DF430,47)&amp;"","")&amp;"␟"&amp;IFERROR(INDEX(PASTE_ALL,$DF430,48)&amp;"","")&amp;"␟"&amp;IFERROR(INDEX(PASTE_ALL,$DF430,49)&amp;"","")&amp;"␟"&amp;IFERROR(INDEX(PASTE_ALL,$DF430,50)&amp;"","")&amp;"␟"&amp;IFERROR(INDEX(PASTE_ALL,$DF430,51)&amp;"","")&amp;"␟"&amp;IFERROR(INDEX(PASTE_ALL,$DF430,52)&amp;"","")&amp;"␟"&amp;IFERROR(INDEX(PASTE_ALL,$DF430,53)&amp;"","")&amp;"␟"&amp;IFERROR(INDEX(PASTE_ALL,$DF430,54)&amp;"","")&amp;"␟"&amp;IFERROR(INDEX(PASTE_ALL,$DF430,55)&amp;"","")&amp;"␟"&amp;IFERROR(INDEX(PASTE_ALL,$DF430,56)&amp;"","")&amp;"␟"&amp;IFERROR(INDEX(PASTE_ALL,$DF430,57)&amp;"","")&amp;"␟"&amp;IFERROR(INDEX(PASTE_ALL,$DF430,58)&amp;"","")&amp;"␟"&amp;IFERROR(INDEX(PASTE_ALL,$DF430,59)&amp;"","")&amp;"␟"&amp;IFERROR(INDEX(PASTE_ALL,$DF430,60)&amp;"","")," "," "),CHAR(9)," "),CHAR(10)," "),CHAR(13)," "))," ␟","␟"),"␟ ","␟"),"#"&amp;$DE430),"")</f>
        <v/>
      </c>
      <c r="DJ430">
        <f>IF($DI430="",0,IF(SUMPRODUCT(--EXACT($DI$4:DI429,$DI430))&gt;0,1,0))</f>
        <v/>
      </c>
      <c r="DK430">
        <f>IF(AND($DI430&lt;&gt;"",$DJ430=0),1,0)</f>
        <v/>
      </c>
      <c r="DL430">
        <f>DL429+$DK430</f>
        <v/>
      </c>
      <c r="DM430">
        <f>IF(AND($DK430=1,$DL430&lt;=600),1,0)</f>
        <v/>
      </c>
      <c r="DN430">
        <f>IF($DM430=0,"",IF($L$6=0,"",IFERROR(IF(ISNUMBER(INDEX(PASTE_ALL,$DF430,$L$6)),INDEX(PASTE_ALL,$DF430,$L$6),TRIM(SUBSTITUTE(SUBSTITUTE(SUBSTITUTE(SUBSTITUTE(INDEX(PASTE_ALL,$DF430,$L$6)," "," "),CHAR(9)," "),CHAR(10)," "),CHAR(13)," "))),"")))</f>
        <v/>
      </c>
      <c r="DO430">
        <f>IF($DM430=0,"",IF($L$7=0,"",IFERROR(IF(ISNUMBER(INDEX(PASTE_ALL,$DF430,$L$7)),INDEX(PASTE_ALL,$DF430,$L$7),TRIM(SUBSTITUTE(SUBSTITUTE(SUBSTITUTE(SUBSTITUTE(INDEX(PASTE_ALL,$DF430,$L$7)," "," "),CHAR(9)," "),CHAR(10)," "),CHAR(13)," "))),"")))</f>
        <v/>
      </c>
      <c r="DP430">
        <f>IF($DM430=0,"",IF($L$8=0,"",IFERROR(IF(ISNUMBER(INDEX(PASTE_ALL,$DF430,$L$8)),INDEX(PASTE_ALL,$DF430,$L$8),TRIM(SUBSTITUTE(SUBSTITUTE(SUBSTITUTE(SUBSTITUTE(INDEX(PASTE_ALL,$DF430,$L$8)," "," "),CHAR(9)," "),CHAR(10)," "),CHAR(13)," "))),"")))</f>
        <v/>
      </c>
      <c r="DQ430">
        <f>IF($DM430=0,"",IF($L$9=0,"",IFERROR(IF(ISNUMBER(INDEX(PASTE_ALL,$DF430,$L$9)),INDEX(PASTE_ALL,$DF430,$L$9),TRIM(SUBSTITUTE(SUBSTITUTE(SUBSTITUTE(SUBSTITUTE(INDEX(PASTE_ALL,$DF430,$L$9)," "," "),CHAR(9)," "),CHAR(10)," "),CHAR(13)," "))),"")))</f>
        <v/>
      </c>
      <c r="DR430">
        <f>IF($DM430=0,"",IF($L$10=0,"",IFERROR(IF(ISNUMBER(INDEX(PASTE_ALL,$DF430,$L$10)),INDEX(PASTE_ALL,$DF430,$L$10),TRIM(SUBSTITUTE(SUBSTITUTE(SUBSTITUTE(SUBSTITUTE(INDEX(PASTE_ALL,$DF430,$L$10)," "," "),CHAR(9)," "),CHAR(10)," "),CHAR(13)," "))),"")))</f>
        <v/>
      </c>
      <c r="DS430">
        <f>IF($DM430=0,"",IF($L$11=0,"",IFERROR(IF(ISNUMBER(INDEX(PASTE_ALL,$DF430,$L$11)),INDEX(PASTE_ALL,$DF430,$L$11),TRIM(SUBSTITUTE(SUBSTITUTE(SUBSTITUTE(SUBSTITUTE(INDEX(PASTE_ALL,$DF430,$L$11)," "," "),CHAR(9)," "),CHAR(10)," "),CHAR(13)," "))),"")))</f>
        <v/>
      </c>
      <c r="DT430">
        <f>IF($DM430=0,"",IF($L$12=0,"",IFERROR(IF(ISNUMBER(INDEX(PASTE_ALL,$DF430,$L$12)),INDEX(PASTE_ALL,$DF430,$L$12),TRIM(SUBSTITUTE(SUBSTITUTE(SUBSTITUTE(SUBSTITUTE(INDEX(PASTE_ALL,$DF430,$L$12)," "," "),CHAR(9)," "),CHAR(10)," "),CHAR(13)," "))),"")))</f>
        <v/>
      </c>
      <c r="DU430">
        <f>IF($DM430=0,"",IF($L$13=0,"",IFERROR(IF(ISNUMBER(INDEX(PASTE_ALL,$DF430,$L$13)),INDEX(PASTE_ALL,$DF430,$L$13),TRIM(SUBSTITUTE(SUBSTITUTE(SUBSTITUTE(SUBSTITUTE(INDEX(PASTE_ALL,$DF430,$L$13)," "," "),CHAR(9)," "),CHAR(10)," "),CHAR(13)," "))),"")))</f>
        <v/>
      </c>
      <c r="DV430">
        <f>IF($DM430=0,"",IF($L$14=0,"",IFERROR(IF(ISNUMBER(INDEX(PASTE_ALL,$DF430,$L$14)),INDEX(PASTE_ALL,$DF430,$L$14),TRIM(SUBSTITUTE(SUBSTITUTE(SUBSTITUTE(SUBSTITUTE(INDEX(PASTE_ALL,$DF430,$L$14)," "," "),CHAR(9)," "),CHAR(10)," "),CHAR(13)," "))),"")))</f>
        <v/>
      </c>
      <c r="DW430">
        <f>IF($DM430=0,"",IF($L$15=0,"",IFERROR(IF(ISNUMBER(INDEX(PASTE_ALL,$DF430,$L$15)),INDEX(PASTE_ALL,$DF430,$L$15),IF(SUMPRODUCT(--ISNUMBER(FIND({"A","B","C","D","E","F","G","H","I","J","K","L","M","N","O","P","Q","R","S","T","U","V","W","X","Y","Z","0","1","2","3","4","5","6","7","8","9"},UPPER(TRIM(SUBSTITUTE(SUBSTITUTE(SUBSTITUTE(SUBSTITUTE(INDEX(PASTE_ALL,$DF430,$L$15)," "," "),CHAR(9)," "),CHAR(10)," "),CHAR(13)," "))))))&gt;0,TRIM(SUBSTITUTE(SUBSTITUTE(SUBSTITUTE(SUBSTITUTE(INDEX(PASTE_ALL,$DF430,$L$15)," "," "),CHAR(9)," "),CHAR(10)," "),CHAR(13)," ")),"")),"")))</f>
        <v/>
      </c>
      <c r="DX430">
        <f>IF($DM430=0,"",IF($L$16=0,"",IFERROR(IF(ISNUMBER(INDEX(PASTE_ALL,$DF430,$L$16)),INDEX(PASTE_ALL,$DF430,$L$16),SUBSTITUTE(SUBSTITUTE(TRIM(SUBSTITUTE(SUBSTITUTE(SUBSTITUTE(SUBSTITUTE(INDEX(PASTE_ALL,$DF430,$L$16)," "," "),CHAR(9)," "),CHAR(10)," "),CHAR(13)," ")),",",""),"%","")),"")))</f>
        <v/>
      </c>
      <c r="DY430">
        <f>IF($DM430=0,"",IFERROR(IF(ISNUMBER($DX430),$DX430,IF($DX430="","",IF(TRIM($DX430)="",0,IF(AND(AND(SUBSTITUTE(SUBSTITUTE(SUBSTITUTE(SUBSTITUTE(SUBSTITUTE(SUBSTITUTE(SUBSTITUTE(SUBSTITUTE(SUBSTITUTE(SUBSTITUTE(SUBSTITUTE(SUBSTITUTE(SUBSTITUTE(SUBSTITUTE(UPPER(TRIM($DX430)),"0",""),"1",""),"2",""),"3",""),"4",""),"5",""),"6",""),"7",""),"8",""),"9",""),".",""),"+",""),"-",""),"E","")="",LEN(SUBSTITUTE(SUBSTITUTE(MID(UPPER(TRIM($DX430)),1+OR(LEFT(UPPER(TRIM($DX430)),1)="+",LEFT(UPPER(TRIM($DX430)),1)="-"),999),"E+","E"),"E-","E"))=LEN(SUBSTITUTE(SUBSTITUTE(SUBSTITUTE(SUBSTITUTE(MID(UPPER(TRIM($DX430)),1+OR(LEFT(UPPER(TRIM($DX430)),1)="+",LEFT(UPPER(TRIM($DX430)),1)="-"),999),"E+","E"),"E-","E"),"+",""),"-","")),LEN(UPPER(TRIM($DX430)))-LEN(SUBSTITUTE(UPPER(TRIM($DX430)),"E",""))&lt;2,LEN(UPPER(TRIM($DX430)))-LEN(SUBSTITUTE(UPPER(TRIM($DX430)),".",""))&lt;2,IFERROR(FIND(".",UPPER(TRIM($DX430))),0)&lt;IFERROR(FIND("E",UPPER(TRIM($DX430))),999)),ISNUMBER(VALUE(TRIM($DX430)))),VALUE(TRIM($DX430)),"")))),""))</f>
        <v/>
      </c>
      <c r="DZ430">
        <f>IF($DM430=0,"",IF($L$17=0,"",IFERROR(IF(ISNUMBER(INDEX(PASTE_ALL,$DF430,$L$17)),INDEX(PASTE_ALL,$DF430,$L$17),SUBSTITUTE(SUBSTITUTE(TRIM(SUBSTITUTE(SUBSTITUTE(SUBSTITUTE(SUBSTITUTE(INDEX(PASTE_ALL,$DF430,$L$17)," "," "),CHAR(9)," "),CHAR(10)," "),CHAR(13)," ")),",",""),"%","")),"")))</f>
        <v/>
      </c>
      <c r="EA430">
        <f>IF($DM430=0,"",IFERROR(IF(ISNUMBER($DZ430),$DZ430,IF($DZ430="","",IF(TRIM($DZ430)="",0,IF(AND(AND(SUBSTITUTE(SUBSTITUTE(SUBSTITUTE(SUBSTITUTE(SUBSTITUTE(SUBSTITUTE(SUBSTITUTE(SUBSTITUTE(SUBSTITUTE(SUBSTITUTE(SUBSTITUTE(SUBSTITUTE(SUBSTITUTE(SUBSTITUTE(UPPER(TRIM($DZ430)),"0",""),"1",""),"2",""),"3",""),"4",""),"5",""),"6",""),"7",""),"8",""),"9",""),".",""),"+",""),"-",""),"E","")="",LEN(SUBSTITUTE(SUBSTITUTE(MID(UPPER(TRIM($DZ430)),1+OR(LEFT(UPPER(TRIM($DZ430)),1)="+",LEFT(UPPER(TRIM($DZ430)),1)="-"),999),"E+","E"),"E-","E"))=LEN(SUBSTITUTE(SUBSTITUTE(SUBSTITUTE(SUBSTITUTE(MID(UPPER(TRIM($DZ430)),1+OR(LEFT(UPPER(TRIM($DZ430)),1)="+",LEFT(UPPER(TRIM($DZ430)),1)="-"),999),"E+","E"),"E-","E"),"+",""),"-","")),LEN(UPPER(TRIM($DZ430)))-LEN(SUBSTITUTE(UPPER(TRIM($DZ430)),"E",""))&lt;2,LEN(UPPER(TRIM($DZ430)))-LEN(SUBSTITUTE(UPPER(TRIM($DZ430)),".",""))&lt;2,IFERROR(FIND(".",UPPER(TRIM($DZ430))),0)&lt;IFERROR(FIND("E",UPPER(TRIM($DZ430))),999)),ISNUMBER(VALUE(TRIM($DZ430)))),VALUE(TRIM($DZ430)),"")))),""))</f>
        <v/>
      </c>
      <c r="EB430">
        <f>IF($DM430=0,"",IF($L$18=0,"",IFERROR(IF(UPPER(TRIM(SUBSTITUTE(SUBSTITUTE(SUBSTITUTE(SUBSTITUTE(INDEX(PASTE_ALL,$DF430,$L$18)," "," "),CHAR(9)," "),CHAR(10)," "),CHAR(13)," ")))="READY","Ready",IF(UPPER(TRIM(SUBSTITUTE(SUBSTITUTE(SUBSTITUTE(SUBSTITUTE(INDEX(PASTE_ALL,$DF430,$L$18)," "," "),CHAR(9)," "),CHAR(10)," "),CHAR(13)," ")))="PM","PM",IF(OR(UPPER(TRIM(SUBSTITUTE(SUBSTITUTE(SUBSTITUTE(SUBSTITUTE(INDEX(PASTE_ALL,$DF430,$L$18)," "," "),CHAR(9)," "),CHAR(10)," "),CHAR(13)," ")))="OT",UPPER(TRIM(SUBSTITUTE(SUBSTITUTE(SUBSTITUTE(SUBSTITUTE(INDEX(PASTE_ALL,$DF430,$L$18)," "," "),CHAR(9)," "),CHAR(10)," "),CHAR(13)," ")))="OVERTIME",UPPER(TRIM(SUBSTITUTE(SUBSTITUTE(SUBSTITUTE(SUBSTITUTE(INDEX(PASTE_ALL,$DF430,$L$18)," "," "),CHAR(9)," "),CHAR(10)," "),CHAR(13)," ")))="TRIAL"),"OT",TRIM(SUBSTITUTE(SUBSTITUTE(SUBSTITUTE(SUBSTITUTE(INDEX(PASTE_ALL,$DF430,$L$18)," "," "),CHAR(9)," "),CHAR(10)," "),CHAR(13)," "))))),"")))</f>
        <v/>
      </c>
      <c r="EC430">
        <f>IF($DM430=0,"",IF($L$19=0,"",IFERROR(IF(ISNUMBER(INDEX(PASTE_ALL,$DF430,$L$19)),INDEX(PASTE_ALL,$DF430,$L$19),TRIM(SUBSTITUTE(SUBSTITUTE(SUBSTITUTE(SUBSTITUTE(INDEX(PASTE_ALL,$DF430,$L$19)," "," "),CHAR(9)," "),CHAR(10)," "),CHAR(13)," "))),"")))</f>
        <v/>
      </c>
      <c r="ED430">
        <f>IF($DM430=0,"",MATCH(1,INDEX(EXACT($DH$5:DH430,$DH430)*$DM$5:DM430,0),0))</f>
        <v/>
      </c>
      <c r="EE430">
        <f>IF($DM430=0,0,IF($ED430=$DE430,1,0))</f>
        <v/>
      </c>
      <c r="EF430">
        <f>EF429+$EE430</f>
        <v/>
      </c>
      <c r="EG430">
        <f>IF($DM430=0,"",INDEX($EF$5:$EF$1003,$ED430))</f>
        <v/>
      </c>
      <c r="EH430">
        <f>IF($DM430=0,"",IF($DO430&lt;&gt;"","",IFERROR(LOOKUP(2,1/(($EG$4:EG429=$EG430)*($DO$4:DO429&lt;&gt;"")),$DO$4:DO429),"")))</f>
        <v/>
      </c>
      <c r="EI430">
        <f>IF($DM430=0,"",IF($DO430&lt;&gt;"",$DO430,$EH430))</f>
        <v/>
      </c>
      <c r="EJ430">
        <f>IF($DM430=0,"",IF($EI430="",0,IF(OR(ISNUMBER($EI430),AND(AND(SUBSTITUTE(SUBSTITUTE(SUBSTITUTE(SUBSTITUTE(SUBSTITUTE(SUBSTITUTE(SUBSTITUTE(SUBSTITUTE(SUBSTITUTE(SUBSTITUTE(SUBSTITUTE(SUBSTITUTE(SUBSTITUTE(SUBSTITUTE(UPPER($EI430),"0",""),"1",""),"2",""),"3",""),"4",""),"5",""),"6",""),"7",""),"8",""),"9",""),".",""),"+",""),"-",""),"E","")="",LEN(SUBSTITUTE(SUBSTITUTE(MID(UPPER($EI430),1+OR(LEFT(UPPER($EI430),1)="+",LEFT(UPPER($EI430),1)="-"),999),"E+","E"),"E-","E"))=LEN(SUBSTITUTE(SUBSTITUTE(SUBSTITUTE(SUBSTITUTE(MID(UPPER($EI430),1+OR(LEFT(UPPER($EI430),1)="+",LEFT(UPPER($EI430),1)="-"),999),"E+","E"),"E-","E"),"+",""),"-","")),LEN(UPPER($EI430))-LEN(SUBSTITUTE(UPPER($EI430),"E",""))&lt;2,LEN(UPPER($EI430))-LEN(SUBSTITUTE(UPPER($EI430),".",""))&lt;2,IFERROR(FIND(".",UPPER($EI430)),0)&lt;IFERROR(FIND("E",UPPER($EI430)),999)),ISNUMBER(VALUE($EI430)))),1,2)))</f>
        <v/>
      </c>
      <c r="EK430">
        <f>IF($DM430=0,"",IF($EJ430=1,IF(ISNUMBER($EI430),$EI430,VALUE($EI430)),IF($EJ430=2,$DE430,0)))</f>
        <v/>
      </c>
      <c r="EL430">
        <f>IF($DM430=0,"",COUNTIF($EG$5:$EG$1003,"&lt;"&amp;$EG430)+SUMPRODUCT(($EG$5:$EG$1003=$EG430)*(($EJ$5:$EJ$1003&lt;$EJ430)+($EJ$5:$EJ$1003=$EJ430)*(($EK$5:$EK$1003&lt;$EK430)+($EK$5:$EK$1003=$EK430)*($DE$5:$DE$1003&lt;$DE430))))+1)</f>
        <v/>
      </c>
      <c r="EM430">
        <f>IF($DM430=0,"",$EL430+$EG430-1)</f>
        <v/>
      </c>
      <c r="EN430">
        <f>IF($DM430=0,0,IFERROR(MATCH(1,INDEX(--(TRIM(SUBSTITUTE(SUBSTITUTE(SUBSTITUTE(SUBSTITUTE(LINES_NAME&amp;""," "," "),CHAR(9)," "),CHAR(10)," "),CHAR(13)," "))=$DH430),0),0),0))</f>
        <v/>
      </c>
      <c r="EO430">
        <f>IF($EN430=0,0,IF(OR(UPPER(TRIM(INDEX(LINES_SCHEDULED,$EN430)&amp;""))="YES",UPPER(TRIM(INDEX(LINES_SCHEDULED,$EN430)&amp;""))="Y",UPPER(TRIM(INDEX(LINES_SCHEDULED,$EN430)&amp;""))="X"),1,0))</f>
        <v/>
      </c>
      <c r="EP430">
        <f>IF($DM430=0,"",IF(COUNTIFS($EG$5:$EG$1003,$EG430,$EB$5:$EB$1003,"Ready")&gt;0,"READY",IF(COUNTIFS($EG$5:$EG$1003,$EG430,$EB$5:$EB$1003,"PM")&gt;0,"PM",IF(COUNTIFS($EG$5:$EG$1003,$EG430,$EB$5:$EB$1003,"OT")&gt;0,"OT",""))))</f>
        <v/>
      </c>
      <c r="EQ430">
        <f>IF($EN430=0,"",UPPER(TRIM(INDEX(LINES_STATUS,$EN430)&amp;"")))</f>
        <v/>
      </c>
      <c r="ER430">
        <f>IF($DM430=0,"",IF(OR($EQ430="READY",$EQ430="PM",$EQ430="OT"),$EQ430,$EP430))</f>
        <v/>
      </c>
      <c r="ES430">
        <f>IF($DM430=0,"",IF(AND($DV430&lt;&gt;"",UPPER($DV430)&lt;&gt;"N"),"allergen",IF(ISNUMBER(SEARCH("oil",$DQ430)),"oil",IF(OR(EXACT($DS430,"A662"),EXACT($DS430,"A624")),"bulk",""))))</f>
        <v/>
      </c>
      <c r="ET430">
        <f>IF($DM430=0,"",IF(OR($EA430="",$EA430=0),"",$EA430/100))</f>
        <v/>
      </c>
      <c r="EU430">
        <f>IF(OR($ET430="",$DY430=""),"",INT($DY430*(1-$ET430)+0.5))</f>
        <v/>
      </c>
      <c r="EW430" t="n">
        <v>426</v>
      </c>
      <c r="EX430">
        <f>IFERROR(MATCH($EW430,$EM$5:$EM$1003,0),0)</f>
        <v/>
      </c>
      <c r="EY430">
        <f>IF($EW430&gt;$B$12,"",IF($EX430&gt;0,"row","spacer"))</f>
        <v/>
      </c>
      <c r="EZ430">
        <f>IF(AND($EY430="row",$EY429&lt;&gt;"row"),1,0)</f>
        <v/>
      </c>
      <c r="FA430">
        <f>IF(AND($EY430="row",$EY431&lt;&gt;"row"),1,0)</f>
        <v/>
      </c>
      <c r="FB430">
        <f>IF($EZ430=1,IFERROR(IF(ISNUMBER(INDEX(PASTE_ALL,INDEX($DF$5:$DF$1003,$EX430),$B$37)),INDEX(PASTE_ALL,INDEX($DF$5:$DF$1003,$EX430),$B$37),INDEX($DH$5:$DH$1003,$EX430)),INDEX($DH$5:$DH$1003,$EX430)),"")</f>
        <v/>
      </c>
      <c r="FC430">
        <f>IF($EY430="row",INDEX($ER$5:$ER$1003,$EX430),"")</f>
        <v/>
      </c>
      <c r="FD430">
        <f>IF($EY430="row",INDEX($DN$5:$DN$1003,$EX430),"")</f>
        <v/>
      </c>
      <c r="FE430">
        <f>IF($EY430="row",INDEX($DO$5:$DO$1003,$EX430),"")</f>
        <v/>
      </c>
      <c r="FF430">
        <f>IF($EY430="row",INDEX($DP$5:$DP$1003,$EX430),"")</f>
        <v/>
      </c>
      <c r="FG430">
        <f>IF($EY430="row",INDEX($DQ$5:$DQ$1003,$EX430),"")</f>
        <v/>
      </c>
      <c r="FH430">
        <f>IF($EY430="row",INDEX($DR$5:$DR$1003,$EX430),"")</f>
        <v/>
      </c>
      <c r="FI430">
        <f>IF($EY430="row",INDEX($DS$5:$DS$1003,$EX430),"")</f>
        <v/>
      </c>
      <c r="FJ430">
        <f>IF($EY430="row",INDEX($DT$5:$DT$1003,$EX430),"")</f>
        <v/>
      </c>
      <c r="FK430">
        <f>IF($EY430="row",INDEX($DU$5:$DU$1003,$EX430),"")</f>
        <v/>
      </c>
      <c r="FL430">
        <f>IF($EY430="row",INDEX($DV$5:$DV$1003,$EX430),"")</f>
        <v/>
      </c>
      <c r="FM430">
        <f>IF($EY430="row",INDEX($DW$5:$DW$1003,$EX430),"")</f>
        <v/>
      </c>
      <c r="FN430">
        <f>IF($EY430="row",INDEX($DY$5:$DY$1003,$EX430),"")</f>
        <v/>
      </c>
      <c r="FO430">
        <f>IF($EY430="row",INDEX($EA$5:$EA$1003,$EX430),"")</f>
        <v/>
      </c>
      <c r="FP430">
        <f>IF($EY430="row",INDEX($EC$5:$EC$1003,$EX430),"")</f>
        <v/>
      </c>
      <c r="FQ430">
        <f>IF($EY430="row",INDEX($ET$5:$ET$1003,$EX430),"")</f>
        <v/>
      </c>
      <c r="FR430">
        <f>IF($EY430="row",INDEX($EU$5:$EU$1003,$EX430),"")</f>
        <v/>
      </c>
      <c r="FS430">
        <f>IF(AND($EY430="row",$EY429="row"),IF(OR(INDEX($DT$5:$DT$1003,$EX429)="",INDEX($DT$5:$DT$1003,$EX430)=""),"",IF(NOT(EXACT(INDEX($DT$5:$DT$1003,$EX429),INDEX($DT$5:$DT$1003,$EX430))),"S4",IF(NOT(EXACT(INDEX($DS$5:$DS$1003,$EX429),INDEX($DS$5:$DS$1003,$EX430))),"S3",IF(NOT(EXACT(INDEX($DR$5:$DR$1003,$EX429),INDEX($DR$5:$DR$1003,$EX430))),"S1 Count Change","S1")))),"")</f>
        <v/>
      </c>
      <c r="FT430">
        <f>IF($EY430="row",INDEX($ES$5:$ES$1003,$EX430),"")</f>
        <v/>
      </c>
      <c r="FU430">
        <f>IF($EY430="row",INDEX($EO$5:$EO$1003,$EX430),0)</f>
        <v/>
      </c>
      <c r="FV430">
        <f>IF($FS430="S1 Count Change",1,0)</f>
        <v/>
      </c>
    </row>
    <row r="431">
      <c r="DA431" t="n">
        <v>427</v>
      </c>
      <c r="DB431">
        <f>IF($B$37=0,"",IFERROR(TRIM(SUBSTITUTE(SUBSTITUTE(SUBSTITUTE(SUBSTITUTE(INDEX(PASTE_ALL,427,$B$37)," "," "),CHAR(9)," "),CHAR(10)," "),CHAR(13)," ")),""))</f>
        <v/>
      </c>
      <c r="DC431">
        <f>IF(AND(427&gt;HEADER_ROW,UPPER(DB431)="LEGEND"),1,0)</f>
        <v/>
      </c>
      <c r="DE431" t="n">
        <v>427</v>
      </c>
      <c r="DF431">
        <f>HEADER_ROW+$DE431</f>
        <v/>
      </c>
      <c r="DG431">
        <f>IF(AND($DF431&lt;=1000,$DF431&lt;$B$8),1,0)</f>
        <v/>
      </c>
      <c r="DH431">
        <f>IF($DG431=1,IFERROR(INDEX($DB$5:$DB$1004,$DF431),""),"")</f>
        <v/>
      </c>
      <c r="DI431">
        <f>IF(AND($DG431=1,$DH431&lt;&gt;""),IFERROR(SUBSTITUTE(SUBSTITUTE(TRIM(SUBSTITUTE(SUBSTITUTE(SUBSTITUTE(SUBSTITUTE(IFERROR(INDEX(PASTE_ALL,$DF431,1)&amp;"","")&amp;"␟"&amp;IFERROR(INDEX(PASTE_ALL,$DF431,2)&amp;"","")&amp;"␟"&amp;IFERROR(INDEX(PASTE_ALL,$DF431,3)&amp;"","")&amp;"␟"&amp;IFERROR(INDEX(PASTE_ALL,$DF431,4)&amp;"","")&amp;"␟"&amp;IFERROR(INDEX(PASTE_ALL,$DF431,5)&amp;"","")&amp;"␟"&amp;IFERROR(INDEX(PASTE_ALL,$DF431,6)&amp;"","")&amp;"␟"&amp;IFERROR(INDEX(PASTE_ALL,$DF431,7)&amp;"","")&amp;"␟"&amp;IFERROR(INDEX(PASTE_ALL,$DF431,8)&amp;"","")&amp;"␟"&amp;IFERROR(INDEX(PASTE_ALL,$DF431,9)&amp;"","")&amp;"␟"&amp;IFERROR(INDEX(PASTE_ALL,$DF431,10)&amp;"","")&amp;"␟"&amp;IFERROR(INDEX(PASTE_ALL,$DF431,11)&amp;"","")&amp;"␟"&amp;IFERROR(INDEX(PASTE_ALL,$DF431,12)&amp;"","")&amp;"␟"&amp;IFERROR(INDEX(PASTE_ALL,$DF431,13)&amp;"","")&amp;"␟"&amp;IFERROR(INDEX(PASTE_ALL,$DF431,14)&amp;"","")&amp;"␟"&amp;IFERROR(INDEX(PASTE_ALL,$DF431,15)&amp;"","")&amp;"␟"&amp;IFERROR(INDEX(PASTE_ALL,$DF431,16)&amp;"","")&amp;"␟"&amp;IFERROR(INDEX(PASTE_ALL,$DF431,17)&amp;"","")&amp;"␟"&amp;IFERROR(INDEX(PASTE_ALL,$DF431,18)&amp;"","")&amp;"␟"&amp;IFERROR(INDEX(PASTE_ALL,$DF431,19)&amp;"","")&amp;"␟"&amp;IFERROR(INDEX(PASTE_ALL,$DF431,20)&amp;"","")&amp;"␟"&amp;IFERROR(INDEX(PASTE_ALL,$DF431,21)&amp;"","")&amp;"␟"&amp;IFERROR(INDEX(PASTE_ALL,$DF431,22)&amp;"","")&amp;"␟"&amp;IFERROR(INDEX(PASTE_ALL,$DF431,23)&amp;"","")&amp;"␟"&amp;IFERROR(INDEX(PASTE_ALL,$DF431,24)&amp;"","")&amp;"␟"&amp;IFERROR(INDEX(PASTE_ALL,$DF431,25)&amp;"","")&amp;"␟"&amp;IFERROR(INDEX(PASTE_ALL,$DF431,26)&amp;"","")&amp;"␟"&amp;IFERROR(INDEX(PASTE_ALL,$DF431,27)&amp;"","")&amp;"␟"&amp;IFERROR(INDEX(PASTE_ALL,$DF431,28)&amp;"","")&amp;"␟"&amp;IFERROR(INDEX(PASTE_ALL,$DF431,29)&amp;"","")&amp;"␟"&amp;IFERROR(INDEX(PASTE_ALL,$DF431,30)&amp;"","")&amp;"␟"&amp;IFERROR(INDEX(PASTE_ALL,$DF431,31)&amp;"","")&amp;"␟"&amp;IFERROR(INDEX(PASTE_ALL,$DF431,32)&amp;"","")&amp;"␟"&amp;IFERROR(INDEX(PASTE_ALL,$DF431,33)&amp;"","")&amp;"␟"&amp;IFERROR(INDEX(PASTE_ALL,$DF431,34)&amp;"","")&amp;"␟"&amp;IFERROR(INDEX(PASTE_ALL,$DF431,35)&amp;"","")&amp;"␟"&amp;IFERROR(INDEX(PASTE_ALL,$DF431,36)&amp;"","")&amp;"␟"&amp;IFERROR(INDEX(PASTE_ALL,$DF431,37)&amp;"","")&amp;"␟"&amp;IFERROR(INDEX(PASTE_ALL,$DF431,38)&amp;"","")&amp;"␟"&amp;IFERROR(INDEX(PASTE_ALL,$DF431,39)&amp;"","")&amp;"␟"&amp;IFERROR(INDEX(PASTE_ALL,$DF431,40)&amp;"","")&amp;"␟"&amp;IFERROR(INDEX(PASTE_ALL,$DF431,41)&amp;"","")&amp;"␟"&amp;IFERROR(INDEX(PASTE_ALL,$DF431,42)&amp;"","")&amp;"␟"&amp;IFERROR(INDEX(PASTE_ALL,$DF431,43)&amp;"","")&amp;"␟"&amp;IFERROR(INDEX(PASTE_ALL,$DF431,44)&amp;"","")&amp;"␟"&amp;IFERROR(INDEX(PASTE_ALL,$DF431,45)&amp;"","")&amp;"␟"&amp;IFERROR(INDEX(PASTE_ALL,$DF431,46)&amp;"","")&amp;"␟"&amp;IFERROR(INDEX(PASTE_ALL,$DF431,47)&amp;"","")&amp;"␟"&amp;IFERROR(INDEX(PASTE_ALL,$DF431,48)&amp;"","")&amp;"␟"&amp;IFERROR(INDEX(PASTE_ALL,$DF431,49)&amp;"","")&amp;"␟"&amp;IFERROR(INDEX(PASTE_ALL,$DF431,50)&amp;"","")&amp;"␟"&amp;IFERROR(INDEX(PASTE_ALL,$DF431,51)&amp;"","")&amp;"␟"&amp;IFERROR(INDEX(PASTE_ALL,$DF431,52)&amp;"","")&amp;"␟"&amp;IFERROR(INDEX(PASTE_ALL,$DF431,53)&amp;"","")&amp;"␟"&amp;IFERROR(INDEX(PASTE_ALL,$DF431,54)&amp;"","")&amp;"␟"&amp;IFERROR(INDEX(PASTE_ALL,$DF431,55)&amp;"","")&amp;"␟"&amp;IFERROR(INDEX(PASTE_ALL,$DF431,56)&amp;"","")&amp;"␟"&amp;IFERROR(INDEX(PASTE_ALL,$DF431,57)&amp;"","")&amp;"␟"&amp;IFERROR(INDEX(PASTE_ALL,$DF431,58)&amp;"","")&amp;"␟"&amp;IFERROR(INDEX(PASTE_ALL,$DF431,59)&amp;"","")&amp;"␟"&amp;IFERROR(INDEX(PASTE_ALL,$DF431,60)&amp;"","")," "," "),CHAR(9)," "),CHAR(10)," "),CHAR(13)," "))," ␟","␟"),"␟ ","␟"),"#"&amp;$DE431),"")</f>
        <v/>
      </c>
      <c r="DJ431">
        <f>IF($DI431="",0,IF(SUMPRODUCT(--EXACT($DI$4:DI430,$DI431))&gt;0,1,0))</f>
        <v/>
      </c>
      <c r="DK431">
        <f>IF(AND($DI431&lt;&gt;"",$DJ431=0),1,0)</f>
        <v/>
      </c>
      <c r="DL431">
        <f>DL430+$DK431</f>
        <v/>
      </c>
      <c r="DM431">
        <f>IF(AND($DK431=1,$DL431&lt;=600),1,0)</f>
        <v/>
      </c>
      <c r="DN431">
        <f>IF($DM431=0,"",IF($L$6=0,"",IFERROR(IF(ISNUMBER(INDEX(PASTE_ALL,$DF431,$L$6)),INDEX(PASTE_ALL,$DF431,$L$6),TRIM(SUBSTITUTE(SUBSTITUTE(SUBSTITUTE(SUBSTITUTE(INDEX(PASTE_ALL,$DF431,$L$6)," "," "),CHAR(9)," "),CHAR(10)," "),CHAR(13)," "))),"")))</f>
        <v/>
      </c>
      <c r="DO431">
        <f>IF($DM431=0,"",IF($L$7=0,"",IFERROR(IF(ISNUMBER(INDEX(PASTE_ALL,$DF431,$L$7)),INDEX(PASTE_ALL,$DF431,$L$7),TRIM(SUBSTITUTE(SUBSTITUTE(SUBSTITUTE(SUBSTITUTE(INDEX(PASTE_ALL,$DF431,$L$7)," "," "),CHAR(9)," "),CHAR(10)," "),CHAR(13)," "))),"")))</f>
        <v/>
      </c>
      <c r="DP431">
        <f>IF($DM431=0,"",IF($L$8=0,"",IFERROR(IF(ISNUMBER(INDEX(PASTE_ALL,$DF431,$L$8)),INDEX(PASTE_ALL,$DF431,$L$8),TRIM(SUBSTITUTE(SUBSTITUTE(SUBSTITUTE(SUBSTITUTE(INDEX(PASTE_ALL,$DF431,$L$8)," "," "),CHAR(9)," "),CHAR(10)," "),CHAR(13)," "))),"")))</f>
        <v/>
      </c>
      <c r="DQ431">
        <f>IF($DM431=0,"",IF($L$9=0,"",IFERROR(IF(ISNUMBER(INDEX(PASTE_ALL,$DF431,$L$9)),INDEX(PASTE_ALL,$DF431,$L$9),TRIM(SUBSTITUTE(SUBSTITUTE(SUBSTITUTE(SUBSTITUTE(INDEX(PASTE_ALL,$DF431,$L$9)," "," "),CHAR(9)," "),CHAR(10)," "),CHAR(13)," "))),"")))</f>
        <v/>
      </c>
      <c r="DR431">
        <f>IF($DM431=0,"",IF($L$10=0,"",IFERROR(IF(ISNUMBER(INDEX(PASTE_ALL,$DF431,$L$10)),INDEX(PASTE_ALL,$DF431,$L$10),TRIM(SUBSTITUTE(SUBSTITUTE(SUBSTITUTE(SUBSTITUTE(INDEX(PASTE_ALL,$DF431,$L$10)," "," "),CHAR(9)," "),CHAR(10)," "),CHAR(13)," "))),"")))</f>
        <v/>
      </c>
      <c r="DS431">
        <f>IF($DM431=0,"",IF($L$11=0,"",IFERROR(IF(ISNUMBER(INDEX(PASTE_ALL,$DF431,$L$11)),INDEX(PASTE_ALL,$DF431,$L$11),TRIM(SUBSTITUTE(SUBSTITUTE(SUBSTITUTE(SUBSTITUTE(INDEX(PASTE_ALL,$DF431,$L$11)," "," "),CHAR(9)," "),CHAR(10)," "),CHAR(13)," "))),"")))</f>
        <v/>
      </c>
      <c r="DT431">
        <f>IF($DM431=0,"",IF($L$12=0,"",IFERROR(IF(ISNUMBER(INDEX(PASTE_ALL,$DF431,$L$12)),INDEX(PASTE_ALL,$DF431,$L$12),TRIM(SUBSTITUTE(SUBSTITUTE(SUBSTITUTE(SUBSTITUTE(INDEX(PASTE_ALL,$DF431,$L$12)," "," "),CHAR(9)," "),CHAR(10)," "),CHAR(13)," "))),"")))</f>
        <v/>
      </c>
      <c r="DU431">
        <f>IF($DM431=0,"",IF($L$13=0,"",IFERROR(IF(ISNUMBER(INDEX(PASTE_ALL,$DF431,$L$13)),INDEX(PASTE_ALL,$DF431,$L$13),TRIM(SUBSTITUTE(SUBSTITUTE(SUBSTITUTE(SUBSTITUTE(INDEX(PASTE_ALL,$DF431,$L$13)," "," "),CHAR(9)," "),CHAR(10)," "),CHAR(13)," "))),"")))</f>
        <v/>
      </c>
      <c r="DV431">
        <f>IF($DM431=0,"",IF($L$14=0,"",IFERROR(IF(ISNUMBER(INDEX(PASTE_ALL,$DF431,$L$14)),INDEX(PASTE_ALL,$DF431,$L$14),TRIM(SUBSTITUTE(SUBSTITUTE(SUBSTITUTE(SUBSTITUTE(INDEX(PASTE_ALL,$DF431,$L$14)," "," "),CHAR(9)," "),CHAR(10)," "),CHAR(13)," "))),"")))</f>
        <v/>
      </c>
      <c r="DW431">
        <f>IF($DM431=0,"",IF($L$15=0,"",IFERROR(IF(ISNUMBER(INDEX(PASTE_ALL,$DF431,$L$15)),INDEX(PASTE_ALL,$DF431,$L$15),IF(SUMPRODUCT(--ISNUMBER(FIND({"A","B","C","D","E","F","G","H","I","J","K","L","M","N","O","P","Q","R","S","T","U","V","W","X","Y","Z","0","1","2","3","4","5","6","7","8","9"},UPPER(TRIM(SUBSTITUTE(SUBSTITUTE(SUBSTITUTE(SUBSTITUTE(INDEX(PASTE_ALL,$DF431,$L$15)," "," "),CHAR(9)," "),CHAR(10)," "),CHAR(13)," "))))))&gt;0,TRIM(SUBSTITUTE(SUBSTITUTE(SUBSTITUTE(SUBSTITUTE(INDEX(PASTE_ALL,$DF431,$L$15)," "," "),CHAR(9)," "),CHAR(10)," "),CHAR(13)," ")),"")),"")))</f>
        <v/>
      </c>
      <c r="DX431">
        <f>IF($DM431=0,"",IF($L$16=0,"",IFERROR(IF(ISNUMBER(INDEX(PASTE_ALL,$DF431,$L$16)),INDEX(PASTE_ALL,$DF431,$L$16),SUBSTITUTE(SUBSTITUTE(TRIM(SUBSTITUTE(SUBSTITUTE(SUBSTITUTE(SUBSTITUTE(INDEX(PASTE_ALL,$DF431,$L$16)," "," "),CHAR(9)," "),CHAR(10)," "),CHAR(13)," ")),",",""),"%","")),"")))</f>
        <v/>
      </c>
      <c r="DY431">
        <f>IF($DM431=0,"",IFERROR(IF(ISNUMBER($DX431),$DX431,IF($DX431="","",IF(TRIM($DX431)="",0,IF(AND(AND(SUBSTITUTE(SUBSTITUTE(SUBSTITUTE(SUBSTITUTE(SUBSTITUTE(SUBSTITUTE(SUBSTITUTE(SUBSTITUTE(SUBSTITUTE(SUBSTITUTE(SUBSTITUTE(SUBSTITUTE(SUBSTITUTE(SUBSTITUTE(UPPER(TRIM($DX431)),"0",""),"1",""),"2",""),"3",""),"4",""),"5",""),"6",""),"7",""),"8",""),"9",""),".",""),"+",""),"-",""),"E","")="",LEN(SUBSTITUTE(SUBSTITUTE(MID(UPPER(TRIM($DX431)),1+OR(LEFT(UPPER(TRIM($DX431)),1)="+",LEFT(UPPER(TRIM($DX431)),1)="-"),999),"E+","E"),"E-","E"))=LEN(SUBSTITUTE(SUBSTITUTE(SUBSTITUTE(SUBSTITUTE(MID(UPPER(TRIM($DX431)),1+OR(LEFT(UPPER(TRIM($DX431)),1)="+",LEFT(UPPER(TRIM($DX431)),1)="-"),999),"E+","E"),"E-","E"),"+",""),"-","")),LEN(UPPER(TRIM($DX431)))-LEN(SUBSTITUTE(UPPER(TRIM($DX431)),"E",""))&lt;2,LEN(UPPER(TRIM($DX431)))-LEN(SUBSTITUTE(UPPER(TRIM($DX431)),".",""))&lt;2,IFERROR(FIND(".",UPPER(TRIM($DX431))),0)&lt;IFERROR(FIND("E",UPPER(TRIM($DX431))),999)),ISNUMBER(VALUE(TRIM($DX431)))),VALUE(TRIM($DX431)),"")))),""))</f>
        <v/>
      </c>
      <c r="DZ431">
        <f>IF($DM431=0,"",IF($L$17=0,"",IFERROR(IF(ISNUMBER(INDEX(PASTE_ALL,$DF431,$L$17)),INDEX(PASTE_ALL,$DF431,$L$17),SUBSTITUTE(SUBSTITUTE(TRIM(SUBSTITUTE(SUBSTITUTE(SUBSTITUTE(SUBSTITUTE(INDEX(PASTE_ALL,$DF431,$L$17)," "," "),CHAR(9)," "),CHAR(10)," "),CHAR(13)," ")),",",""),"%","")),"")))</f>
        <v/>
      </c>
      <c r="EA431">
        <f>IF($DM431=0,"",IFERROR(IF(ISNUMBER($DZ431),$DZ431,IF($DZ431="","",IF(TRIM($DZ431)="",0,IF(AND(AND(SUBSTITUTE(SUBSTITUTE(SUBSTITUTE(SUBSTITUTE(SUBSTITUTE(SUBSTITUTE(SUBSTITUTE(SUBSTITUTE(SUBSTITUTE(SUBSTITUTE(SUBSTITUTE(SUBSTITUTE(SUBSTITUTE(SUBSTITUTE(UPPER(TRIM($DZ431)),"0",""),"1",""),"2",""),"3",""),"4",""),"5",""),"6",""),"7",""),"8",""),"9",""),".",""),"+",""),"-",""),"E","")="",LEN(SUBSTITUTE(SUBSTITUTE(MID(UPPER(TRIM($DZ431)),1+OR(LEFT(UPPER(TRIM($DZ431)),1)="+",LEFT(UPPER(TRIM($DZ431)),1)="-"),999),"E+","E"),"E-","E"))=LEN(SUBSTITUTE(SUBSTITUTE(SUBSTITUTE(SUBSTITUTE(MID(UPPER(TRIM($DZ431)),1+OR(LEFT(UPPER(TRIM($DZ431)),1)="+",LEFT(UPPER(TRIM($DZ431)),1)="-"),999),"E+","E"),"E-","E"),"+",""),"-","")),LEN(UPPER(TRIM($DZ431)))-LEN(SUBSTITUTE(UPPER(TRIM($DZ431)),"E",""))&lt;2,LEN(UPPER(TRIM($DZ431)))-LEN(SUBSTITUTE(UPPER(TRIM($DZ431)),".",""))&lt;2,IFERROR(FIND(".",UPPER(TRIM($DZ431))),0)&lt;IFERROR(FIND("E",UPPER(TRIM($DZ431))),999)),ISNUMBER(VALUE(TRIM($DZ431)))),VALUE(TRIM($DZ431)),"")))),""))</f>
        <v/>
      </c>
      <c r="EB431">
        <f>IF($DM431=0,"",IF($L$18=0,"",IFERROR(IF(UPPER(TRIM(SUBSTITUTE(SUBSTITUTE(SUBSTITUTE(SUBSTITUTE(INDEX(PASTE_ALL,$DF431,$L$18)," "," "),CHAR(9)," "),CHAR(10)," "),CHAR(13)," ")))="READY","Ready",IF(UPPER(TRIM(SUBSTITUTE(SUBSTITUTE(SUBSTITUTE(SUBSTITUTE(INDEX(PASTE_ALL,$DF431,$L$18)," "," "),CHAR(9)," "),CHAR(10)," "),CHAR(13)," ")))="PM","PM",IF(OR(UPPER(TRIM(SUBSTITUTE(SUBSTITUTE(SUBSTITUTE(SUBSTITUTE(INDEX(PASTE_ALL,$DF431,$L$18)," "," "),CHAR(9)," "),CHAR(10)," "),CHAR(13)," ")))="OT",UPPER(TRIM(SUBSTITUTE(SUBSTITUTE(SUBSTITUTE(SUBSTITUTE(INDEX(PASTE_ALL,$DF431,$L$18)," "," "),CHAR(9)," "),CHAR(10)," "),CHAR(13)," ")))="OVERTIME",UPPER(TRIM(SUBSTITUTE(SUBSTITUTE(SUBSTITUTE(SUBSTITUTE(INDEX(PASTE_ALL,$DF431,$L$18)," "," "),CHAR(9)," "),CHAR(10)," "),CHAR(13)," ")))="TRIAL"),"OT",TRIM(SUBSTITUTE(SUBSTITUTE(SUBSTITUTE(SUBSTITUTE(INDEX(PASTE_ALL,$DF431,$L$18)," "," "),CHAR(9)," "),CHAR(10)," "),CHAR(13)," "))))),"")))</f>
        <v/>
      </c>
      <c r="EC431">
        <f>IF($DM431=0,"",IF($L$19=0,"",IFERROR(IF(ISNUMBER(INDEX(PASTE_ALL,$DF431,$L$19)),INDEX(PASTE_ALL,$DF431,$L$19),TRIM(SUBSTITUTE(SUBSTITUTE(SUBSTITUTE(SUBSTITUTE(INDEX(PASTE_ALL,$DF431,$L$19)," "," "),CHAR(9)," "),CHAR(10)," "),CHAR(13)," "))),"")))</f>
        <v/>
      </c>
      <c r="ED431">
        <f>IF($DM431=0,"",MATCH(1,INDEX(EXACT($DH$5:DH431,$DH431)*$DM$5:DM431,0),0))</f>
        <v/>
      </c>
      <c r="EE431">
        <f>IF($DM431=0,0,IF($ED431=$DE431,1,0))</f>
        <v/>
      </c>
      <c r="EF431">
        <f>EF430+$EE431</f>
        <v/>
      </c>
      <c r="EG431">
        <f>IF($DM431=0,"",INDEX($EF$5:$EF$1003,$ED431))</f>
        <v/>
      </c>
      <c r="EH431">
        <f>IF($DM431=0,"",IF($DO431&lt;&gt;"","",IFERROR(LOOKUP(2,1/(($EG$4:EG430=$EG431)*($DO$4:DO430&lt;&gt;"")),$DO$4:DO430),"")))</f>
        <v/>
      </c>
      <c r="EI431">
        <f>IF($DM431=0,"",IF($DO431&lt;&gt;"",$DO431,$EH431))</f>
        <v/>
      </c>
      <c r="EJ431">
        <f>IF($DM431=0,"",IF($EI431="",0,IF(OR(ISNUMBER($EI431),AND(AND(SUBSTITUTE(SUBSTITUTE(SUBSTITUTE(SUBSTITUTE(SUBSTITUTE(SUBSTITUTE(SUBSTITUTE(SUBSTITUTE(SUBSTITUTE(SUBSTITUTE(SUBSTITUTE(SUBSTITUTE(SUBSTITUTE(SUBSTITUTE(UPPER($EI431),"0",""),"1",""),"2",""),"3",""),"4",""),"5",""),"6",""),"7",""),"8",""),"9",""),".",""),"+",""),"-",""),"E","")="",LEN(SUBSTITUTE(SUBSTITUTE(MID(UPPER($EI431),1+OR(LEFT(UPPER($EI431),1)="+",LEFT(UPPER($EI431),1)="-"),999),"E+","E"),"E-","E"))=LEN(SUBSTITUTE(SUBSTITUTE(SUBSTITUTE(SUBSTITUTE(MID(UPPER($EI431),1+OR(LEFT(UPPER($EI431),1)="+",LEFT(UPPER($EI431),1)="-"),999),"E+","E"),"E-","E"),"+",""),"-","")),LEN(UPPER($EI431))-LEN(SUBSTITUTE(UPPER($EI431),"E",""))&lt;2,LEN(UPPER($EI431))-LEN(SUBSTITUTE(UPPER($EI431),".",""))&lt;2,IFERROR(FIND(".",UPPER($EI431)),0)&lt;IFERROR(FIND("E",UPPER($EI431)),999)),ISNUMBER(VALUE($EI431)))),1,2)))</f>
        <v/>
      </c>
      <c r="EK431">
        <f>IF($DM431=0,"",IF($EJ431=1,IF(ISNUMBER($EI431),$EI431,VALUE($EI431)),IF($EJ431=2,$DE431,0)))</f>
        <v/>
      </c>
      <c r="EL431">
        <f>IF($DM431=0,"",COUNTIF($EG$5:$EG$1003,"&lt;"&amp;$EG431)+SUMPRODUCT(($EG$5:$EG$1003=$EG431)*(($EJ$5:$EJ$1003&lt;$EJ431)+($EJ$5:$EJ$1003=$EJ431)*(($EK$5:$EK$1003&lt;$EK431)+($EK$5:$EK$1003=$EK431)*($DE$5:$DE$1003&lt;$DE431))))+1)</f>
        <v/>
      </c>
      <c r="EM431">
        <f>IF($DM431=0,"",$EL431+$EG431-1)</f>
        <v/>
      </c>
      <c r="EN431">
        <f>IF($DM431=0,0,IFERROR(MATCH(1,INDEX(--(TRIM(SUBSTITUTE(SUBSTITUTE(SUBSTITUTE(SUBSTITUTE(LINES_NAME&amp;""," "," "),CHAR(9)," "),CHAR(10)," "),CHAR(13)," "))=$DH431),0),0),0))</f>
        <v/>
      </c>
      <c r="EO431">
        <f>IF($EN431=0,0,IF(OR(UPPER(TRIM(INDEX(LINES_SCHEDULED,$EN431)&amp;""))="YES",UPPER(TRIM(INDEX(LINES_SCHEDULED,$EN431)&amp;""))="Y",UPPER(TRIM(INDEX(LINES_SCHEDULED,$EN431)&amp;""))="X"),1,0))</f>
        <v/>
      </c>
      <c r="EP431">
        <f>IF($DM431=0,"",IF(COUNTIFS($EG$5:$EG$1003,$EG431,$EB$5:$EB$1003,"Ready")&gt;0,"READY",IF(COUNTIFS($EG$5:$EG$1003,$EG431,$EB$5:$EB$1003,"PM")&gt;0,"PM",IF(COUNTIFS($EG$5:$EG$1003,$EG431,$EB$5:$EB$1003,"OT")&gt;0,"OT",""))))</f>
        <v/>
      </c>
      <c r="EQ431">
        <f>IF($EN431=0,"",UPPER(TRIM(INDEX(LINES_STATUS,$EN431)&amp;"")))</f>
        <v/>
      </c>
      <c r="ER431">
        <f>IF($DM431=0,"",IF(OR($EQ431="READY",$EQ431="PM",$EQ431="OT"),$EQ431,$EP431))</f>
        <v/>
      </c>
      <c r="ES431">
        <f>IF($DM431=0,"",IF(AND($DV431&lt;&gt;"",UPPER($DV431)&lt;&gt;"N"),"allergen",IF(ISNUMBER(SEARCH("oil",$DQ431)),"oil",IF(OR(EXACT($DS431,"A662"),EXACT($DS431,"A624")),"bulk",""))))</f>
        <v/>
      </c>
      <c r="ET431">
        <f>IF($DM431=0,"",IF(OR($EA431="",$EA431=0),"",$EA431/100))</f>
        <v/>
      </c>
      <c r="EU431">
        <f>IF(OR($ET431="",$DY431=""),"",INT($DY431*(1-$ET431)+0.5))</f>
        <v/>
      </c>
      <c r="EW431" t="n">
        <v>427</v>
      </c>
      <c r="EX431">
        <f>IFERROR(MATCH($EW431,$EM$5:$EM$1003,0),0)</f>
        <v/>
      </c>
      <c r="EY431">
        <f>IF($EW431&gt;$B$12,"",IF($EX431&gt;0,"row","spacer"))</f>
        <v/>
      </c>
      <c r="EZ431">
        <f>IF(AND($EY431="row",$EY430&lt;&gt;"row"),1,0)</f>
        <v/>
      </c>
      <c r="FA431">
        <f>IF(AND($EY431="row",$EY432&lt;&gt;"row"),1,0)</f>
        <v/>
      </c>
      <c r="FB431">
        <f>IF($EZ431=1,IFERROR(IF(ISNUMBER(INDEX(PASTE_ALL,INDEX($DF$5:$DF$1003,$EX431),$B$37)),INDEX(PASTE_ALL,INDEX($DF$5:$DF$1003,$EX431),$B$37),INDEX($DH$5:$DH$1003,$EX431)),INDEX($DH$5:$DH$1003,$EX431)),"")</f>
        <v/>
      </c>
      <c r="FC431">
        <f>IF($EY431="row",INDEX($ER$5:$ER$1003,$EX431),"")</f>
        <v/>
      </c>
      <c r="FD431">
        <f>IF($EY431="row",INDEX($DN$5:$DN$1003,$EX431),"")</f>
        <v/>
      </c>
      <c r="FE431">
        <f>IF($EY431="row",INDEX($DO$5:$DO$1003,$EX431),"")</f>
        <v/>
      </c>
      <c r="FF431">
        <f>IF($EY431="row",INDEX($DP$5:$DP$1003,$EX431),"")</f>
        <v/>
      </c>
      <c r="FG431">
        <f>IF($EY431="row",INDEX($DQ$5:$DQ$1003,$EX431),"")</f>
        <v/>
      </c>
      <c r="FH431">
        <f>IF($EY431="row",INDEX($DR$5:$DR$1003,$EX431),"")</f>
        <v/>
      </c>
      <c r="FI431">
        <f>IF($EY431="row",INDEX($DS$5:$DS$1003,$EX431),"")</f>
        <v/>
      </c>
      <c r="FJ431">
        <f>IF($EY431="row",INDEX($DT$5:$DT$1003,$EX431),"")</f>
        <v/>
      </c>
      <c r="FK431">
        <f>IF($EY431="row",INDEX($DU$5:$DU$1003,$EX431),"")</f>
        <v/>
      </c>
      <c r="FL431">
        <f>IF($EY431="row",INDEX($DV$5:$DV$1003,$EX431),"")</f>
        <v/>
      </c>
      <c r="FM431">
        <f>IF($EY431="row",INDEX($DW$5:$DW$1003,$EX431),"")</f>
        <v/>
      </c>
      <c r="FN431">
        <f>IF($EY431="row",INDEX($DY$5:$DY$1003,$EX431),"")</f>
        <v/>
      </c>
      <c r="FO431">
        <f>IF($EY431="row",INDEX($EA$5:$EA$1003,$EX431),"")</f>
        <v/>
      </c>
      <c r="FP431">
        <f>IF($EY431="row",INDEX($EC$5:$EC$1003,$EX431),"")</f>
        <v/>
      </c>
      <c r="FQ431">
        <f>IF($EY431="row",INDEX($ET$5:$ET$1003,$EX431),"")</f>
        <v/>
      </c>
      <c r="FR431">
        <f>IF($EY431="row",INDEX($EU$5:$EU$1003,$EX431),"")</f>
        <v/>
      </c>
      <c r="FS431">
        <f>IF(AND($EY431="row",$EY430="row"),IF(OR(INDEX($DT$5:$DT$1003,$EX430)="",INDEX($DT$5:$DT$1003,$EX431)=""),"",IF(NOT(EXACT(INDEX($DT$5:$DT$1003,$EX430),INDEX($DT$5:$DT$1003,$EX431))),"S4",IF(NOT(EXACT(INDEX($DS$5:$DS$1003,$EX430),INDEX($DS$5:$DS$1003,$EX431))),"S3",IF(NOT(EXACT(INDEX($DR$5:$DR$1003,$EX430),INDEX($DR$5:$DR$1003,$EX431))),"S1 Count Change","S1")))),"")</f>
        <v/>
      </c>
      <c r="FT431">
        <f>IF($EY431="row",INDEX($ES$5:$ES$1003,$EX431),"")</f>
        <v/>
      </c>
      <c r="FU431">
        <f>IF($EY431="row",INDEX($EO$5:$EO$1003,$EX431),0)</f>
        <v/>
      </c>
      <c r="FV431">
        <f>IF($FS431="S1 Count Change",1,0)</f>
        <v/>
      </c>
    </row>
    <row r="432">
      <c r="DA432" t="n">
        <v>428</v>
      </c>
      <c r="DB432">
        <f>IF($B$37=0,"",IFERROR(TRIM(SUBSTITUTE(SUBSTITUTE(SUBSTITUTE(SUBSTITUTE(INDEX(PASTE_ALL,428,$B$37)," "," "),CHAR(9)," "),CHAR(10)," "),CHAR(13)," ")),""))</f>
        <v/>
      </c>
      <c r="DC432">
        <f>IF(AND(428&gt;HEADER_ROW,UPPER(DB432)="LEGEND"),1,0)</f>
        <v/>
      </c>
      <c r="DE432" t="n">
        <v>428</v>
      </c>
      <c r="DF432">
        <f>HEADER_ROW+$DE432</f>
        <v/>
      </c>
      <c r="DG432">
        <f>IF(AND($DF432&lt;=1000,$DF432&lt;$B$8),1,0)</f>
        <v/>
      </c>
      <c r="DH432">
        <f>IF($DG432=1,IFERROR(INDEX($DB$5:$DB$1004,$DF432),""),"")</f>
        <v/>
      </c>
      <c r="DI432">
        <f>IF(AND($DG432=1,$DH432&lt;&gt;""),IFERROR(SUBSTITUTE(SUBSTITUTE(TRIM(SUBSTITUTE(SUBSTITUTE(SUBSTITUTE(SUBSTITUTE(IFERROR(INDEX(PASTE_ALL,$DF432,1)&amp;"","")&amp;"␟"&amp;IFERROR(INDEX(PASTE_ALL,$DF432,2)&amp;"","")&amp;"␟"&amp;IFERROR(INDEX(PASTE_ALL,$DF432,3)&amp;"","")&amp;"␟"&amp;IFERROR(INDEX(PASTE_ALL,$DF432,4)&amp;"","")&amp;"␟"&amp;IFERROR(INDEX(PASTE_ALL,$DF432,5)&amp;"","")&amp;"␟"&amp;IFERROR(INDEX(PASTE_ALL,$DF432,6)&amp;"","")&amp;"␟"&amp;IFERROR(INDEX(PASTE_ALL,$DF432,7)&amp;"","")&amp;"␟"&amp;IFERROR(INDEX(PASTE_ALL,$DF432,8)&amp;"","")&amp;"␟"&amp;IFERROR(INDEX(PASTE_ALL,$DF432,9)&amp;"","")&amp;"␟"&amp;IFERROR(INDEX(PASTE_ALL,$DF432,10)&amp;"","")&amp;"␟"&amp;IFERROR(INDEX(PASTE_ALL,$DF432,11)&amp;"","")&amp;"␟"&amp;IFERROR(INDEX(PASTE_ALL,$DF432,12)&amp;"","")&amp;"␟"&amp;IFERROR(INDEX(PASTE_ALL,$DF432,13)&amp;"","")&amp;"␟"&amp;IFERROR(INDEX(PASTE_ALL,$DF432,14)&amp;"","")&amp;"␟"&amp;IFERROR(INDEX(PASTE_ALL,$DF432,15)&amp;"","")&amp;"␟"&amp;IFERROR(INDEX(PASTE_ALL,$DF432,16)&amp;"","")&amp;"␟"&amp;IFERROR(INDEX(PASTE_ALL,$DF432,17)&amp;"","")&amp;"␟"&amp;IFERROR(INDEX(PASTE_ALL,$DF432,18)&amp;"","")&amp;"␟"&amp;IFERROR(INDEX(PASTE_ALL,$DF432,19)&amp;"","")&amp;"␟"&amp;IFERROR(INDEX(PASTE_ALL,$DF432,20)&amp;"","")&amp;"␟"&amp;IFERROR(INDEX(PASTE_ALL,$DF432,21)&amp;"","")&amp;"␟"&amp;IFERROR(INDEX(PASTE_ALL,$DF432,22)&amp;"","")&amp;"␟"&amp;IFERROR(INDEX(PASTE_ALL,$DF432,23)&amp;"","")&amp;"␟"&amp;IFERROR(INDEX(PASTE_ALL,$DF432,24)&amp;"","")&amp;"␟"&amp;IFERROR(INDEX(PASTE_ALL,$DF432,25)&amp;"","")&amp;"␟"&amp;IFERROR(INDEX(PASTE_ALL,$DF432,26)&amp;"","")&amp;"␟"&amp;IFERROR(INDEX(PASTE_ALL,$DF432,27)&amp;"","")&amp;"␟"&amp;IFERROR(INDEX(PASTE_ALL,$DF432,28)&amp;"","")&amp;"␟"&amp;IFERROR(INDEX(PASTE_ALL,$DF432,29)&amp;"","")&amp;"␟"&amp;IFERROR(INDEX(PASTE_ALL,$DF432,30)&amp;"","")&amp;"␟"&amp;IFERROR(INDEX(PASTE_ALL,$DF432,31)&amp;"","")&amp;"␟"&amp;IFERROR(INDEX(PASTE_ALL,$DF432,32)&amp;"","")&amp;"␟"&amp;IFERROR(INDEX(PASTE_ALL,$DF432,33)&amp;"","")&amp;"␟"&amp;IFERROR(INDEX(PASTE_ALL,$DF432,34)&amp;"","")&amp;"␟"&amp;IFERROR(INDEX(PASTE_ALL,$DF432,35)&amp;"","")&amp;"␟"&amp;IFERROR(INDEX(PASTE_ALL,$DF432,36)&amp;"","")&amp;"␟"&amp;IFERROR(INDEX(PASTE_ALL,$DF432,37)&amp;"","")&amp;"␟"&amp;IFERROR(INDEX(PASTE_ALL,$DF432,38)&amp;"","")&amp;"␟"&amp;IFERROR(INDEX(PASTE_ALL,$DF432,39)&amp;"","")&amp;"␟"&amp;IFERROR(INDEX(PASTE_ALL,$DF432,40)&amp;"","")&amp;"␟"&amp;IFERROR(INDEX(PASTE_ALL,$DF432,41)&amp;"","")&amp;"␟"&amp;IFERROR(INDEX(PASTE_ALL,$DF432,42)&amp;"","")&amp;"␟"&amp;IFERROR(INDEX(PASTE_ALL,$DF432,43)&amp;"","")&amp;"␟"&amp;IFERROR(INDEX(PASTE_ALL,$DF432,44)&amp;"","")&amp;"␟"&amp;IFERROR(INDEX(PASTE_ALL,$DF432,45)&amp;"","")&amp;"␟"&amp;IFERROR(INDEX(PASTE_ALL,$DF432,46)&amp;"","")&amp;"␟"&amp;IFERROR(INDEX(PASTE_ALL,$DF432,47)&amp;"","")&amp;"␟"&amp;IFERROR(INDEX(PASTE_ALL,$DF432,48)&amp;"","")&amp;"␟"&amp;IFERROR(INDEX(PASTE_ALL,$DF432,49)&amp;"","")&amp;"␟"&amp;IFERROR(INDEX(PASTE_ALL,$DF432,50)&amp;"","")&amp;"␟"&amp;IFERROR(INDEX(PASTE_ALL,$DF432,51)&amp;"","")&amp;"␟"&amp;IFERROR(INDEX(PASTE_ALL,$DF432,52)&amp;"","")&amp;"␟"&amp;IFERROR(INDEX(PASTE_ALL,$DF432,53)&amp;"","")&amp;"␟"&amp;IFERROR(INDEX(PASTE_ALL,$DF432,54)&amp;"","")&amp;"␟"&amp;IFERROR(INDEX(PASTE_ALL,$DF432,55)&amp;"","")&amp;"␟"&amp;IFERROR(INDEX(PASTE_ALL,$DF432,56)&amp;"","")&amp;"␟"&amp;IFERROR(INDEX(PASTE_ALL,$DF432,57)&amp;"","")&amp;"␟"&amp;IFERROR(INDEX(PASTE_ALL,$DF432,58)&amp;"","")&amp;"␟"&amp;IFERROR(INDEX(PASTE_ALL,$DF432,59)&amp;"","")&amp;"␟"&amp;IFERROR(INDEX(PASTE_ALL,$DF432,60)&amp;"","")," "," "),CHAR(9)," "),CHAR(10)," "),CHAR(13)," "))," ␟","␟"),"␟ ","␟"),"#"&amp;$DE432),"")</f>
        <v/>
      </c>
      <c r="DJ432">
        <f>IF($DI432="",0,IF(SUMPRODUCT(--EXACT($DI$4:DI431,$DI432))&gt;0,1,0))</f>
        <v/>
      </c>
      <c r="DK432">
        <f>IF(AND($DI432&lt;&gt;"",$DJ432=0),1,0)</f>
        <v/>
      </c>
      <c r="DL432">
        <f>DL431+$DK432</f>
        <v/>
      </c>
      <c r="DM432">
        <f>IF(AND($DK432=1,$DL432&lt;=600),1,0)</f>
        <v/>
      </c>
      <c r="DN432">
        <f>IF($DM432=0,"",IF($L$6=0,"",IFERROR(IF(ISNUMBER(INDEX(PASTE_ALL,$DF432,$L$6)),INDEX(PASTE_ALL,$DF432,$L$6),TRIM(SUBSTITUTE(SUBSTITUTE(SUBSTITUTE(SUBSTITUTE(INDEX(PASTE_ALL,$DF432,$L$6)," "," "),CHAR(9)," "),CHAR(10)," "),CHAR(13)," "))),"")))</f>
        <v/>
      </c>
      <c r="DO432">
        <f>IF($DM432=0,"",IF($L$7=0,"",IFERROR(IF(ISNUMBER(INDEX(PASTE_ALL,$DF432,$L$7)),INDEX(PASTE_ALL,$DF432,$L$7),TRIM(SUBSTITUTE(SUBSTITUTE(SUBSTITUTE(SUBSTITUTE(INDEX(PASTE_ALL,$DF432,$L$7)," "," "),CHAR(9)," "),CHAR(10)," "),CHAR(13)," "))),"")))</f>
        <v/>
      </c>
      <c r="DP432">
        <f>IF($DM432=0,"",IF($L$8=0,"",IFERROR(IF(ISNUMBER(INDEX(PASTE_ALL,$DF432,$L$8)),INDEX(PASTE_ALL,$DF432,$L$8),TRIM(SUBSTITUTE(SUBSTITUTE(SUBSTITUTE(SUBSTITUTE(INDEX(PASTE_ALL,$DF432,$L$8)," "," "),CHAR(9)," "),CHAR(10)," "),CHAR(13)," "))),"")))</f>
        <v/>
      </c>
      <c r="DQ432">
        <f>IF($DM432=0,"",IF($L$9=0,"",IFERROR(IF(ISNUMBER(INDEX(PASTE_ALL,$DF432,$L$9)),INDEX(PASTE_ALL,$DF432,$L$9),TRIM(SUBSTITUTE(SUBSTITUTE(SUBSTITUTE(SUBSTITUTE(INDEX(PASTE_ALL,$DF432,$L$9)," "," "),CHAR(9)," "),CHAR(10)," "),CHAR(13)," "))),"")))</f>
        <v/>
      </c>
      <c r="DR432">
        <f>IF($DM432=0,"",IF($L$10=0,"",IFERROR(IF(ISNUMBER(INDEX(PASTE_ALL,$DF432,$L$10)),INDEX(PASTE_ALL,$DF432,$L$10),TRIM(SUBSTITUTE(SUBSTITUTE(SUBSTITUTE(SUBSTITUTE(INDEX(PASTE_ALL,$DF432,$L$10)," "," "),CHAR(9)," "),CHAR(10)," "),CHAR(13)," "))),"")))</f>
        <v/>
      </c>
      <c r="DS432">
        <f>IF($DM432=0,"",IF($L$11=0,"",IFERROR(IF(ISNUMBER(INDEX(PASTE_ALL,$DF432,$L$11)),INDEX(PASTE_ALL,$DF432,$L$11),TRIM(SUBSTITUTE(SUBSTITUTE(SUBSTITUTE(SUBSTITUTE(INDEX(PASTE_ALL,$DF432,$L$11)," "," "),CHAR(9)," "),CHAR(10)," "),CHAR(13)," "))),"")))</f>
        <v/>
      </c>
      <c r="DT432">
        <f>IF($DM432=0,"",IF($L$12=0,"",IFERROR(IF(ISNUMBER(INDEX(PASTE_ALL,$DF432,$L$12)),INDEX(PASTE_ALL,$DF432,$L$12),TRIM(SUBSTITUTE(SUBSTITUTE(SUBSTITUTE(SUBSTITUTE(INDEX(PASTE_ALL,$DF432,$L$12)," "," "),CHAR(9)," "),CHAR(10)," "),CHAR(13)," "))),"")))</f>
        <v/>
      </c>
      <c r="DU432">
        <f>IF($DM432=0,"",IF($L$13=0,"",IFERROR(IF(ISNUMBER(INDEX(PASTE_ALL,$DF432,$L$13)),INDEX(PASTE_ALL,$DF432,$L$13),TRIM(SUBSTITUTE(SUBSTITUTE(SUBSTITUTE(SUBSTITUTE(INDEX(PASTE_ALL,$DF432,$L$13)," "," "),CHAR(9)," "),CHAR(10)," "),CHAR(13)," "))),"")))</f>
        <v/>
      </c>
      <c r="DV432">
        <f>IF($DM432=0,"",IF($L$14=0,"",IFERROR(IF(ISNUMBER(INDEX(PASTE_ALL,$DF432,$L$14)),INDEX(PASTE_ALL,$DF432,$L$14),TRIM(SUBSTITUTE(SUBSTITUTE(SUBSTITUTE(SUBSTITUTE(INDEX(PASTE_ALL,$DF432,$L$14)," "," "),CHAR(9)," "),CHAR(10)," "),CHAR(13)," "))),"")))</f>
        <v/>
      </c>
      <c r="DW432">
        <f>IF($DM432=0,"",IF($L$15=0,"",IFERROR(IF(ISNUMBER(INDEX(PASTE_ALL,$DF432,$L$15)),INDEX(PASTE_ALL,$DF432,$L$15),IF(SUMPRODUCT(--ISNUMBER(FIND({"A","B","C","D","E","F","G","H","I","J","K","L","M","N","O","P","Q","R","S","T","U","V","W","X","Y","Z","0","1","2","3","4","5","6","7","8","9"},UPPER(TRIM(SUBSTITUTE(SUBSTITUTE(SUBSTITUTE(SUBSTITUTE(INDEX(PASTE_ALL,$DF432,$L$15)," "," "),CHAR(9)," "),CHAR(10)," "),CHAR(13)," "))))))&gt;0,TRIM(SUBSTITUTE(SUBSTITUTE(SUBSTITUTE(SUBSTITUTE(INDEX(PASTE_ALL,$DF432,$L$15)," "," "),CHAR(9)," "),CHAR(10)," "),CHAR(13)," ")),"")),"")))</f>
        <v/>
      </c>
      <c r="DX432">
        <f>IF($DM432=0,"",IF($L$16=0,"",IFERROR(IF(ISNUMBER(INDEX(PASTE_ALL,$DF432,$L$16)),INDEX(PASTE_ALL,$DF432,$L$16),SUBSTITUTE(SUBSTITUTE(TRIM(SUBSTITUTE(SUBSTITUTE(SUBSTITUTE(SUBSTITUTE(INDEX(PASTE_ALL,$DF432,$L$16)," "," "),CHAR(9)," "),CHAR(10)," "),CHAR(13)," ")),",",""),"%","")),"")))</f>
        <v/>
      </c>
      <c r="DY432">
        <f>IF($DM432=0,"",IFERROR(IF(ISNUMBER($DX432),$DX432,IF($DX432="","",IF(TRIM($DX432)="",0,IF(AND(AND(SUBSTITUTE(SUBSTITUTE(SUBSTITUTE(SUBSTITUTE(SUBSTITUTE(SUBSTITUTE(SUBSTITUTE(SUBSTITUTE(SUBSTITUTE(SUBSTITUTE(SUBSTITUTE(SUBSTITUTE(SUBSTITUTE(SUBSTITUTE(UPPER(TRIM($DX432)),"0",""),"1",""),"2",""),"3",""),"4",""),"5",""),"6",""),"7",""),"8",""),"9",""),".",""),"+",""),"-",""),"E","")="",LEN(SUBSTITUTE(SUBSTITUTE(MID(UPPER(TRIM($DX432)),1+OR(LEFT(UPPER(TRIM($DX432)),1)="+",LEFT(UPPER(TRIM($DX432)),1)="-"),999),"E+","E"),"E-","E"))=LEN(SUBSTITUTE(SUBSTITUTE(SUBSTITUTE(SUBSTITUTE(MID(UPPER(TRIM($DX432)),1+OR(LEFT(UPPER(TRIM($DX432)),1)="+",LEFT(UPPER(TRIM($DX432)),1)="-"),999),"E+","E"),"E-","E"),"+",""),"-","")),LEN(UPPER(TRIM($DX432)))-LEN(SUBSTITUTE(UPPER(TRIM($DX432)),"E",""))&lt;2,LEN(UPPER(TRIM($DX432)))-LEN(SUBSTITUTE(UPPER(TRIM($DX432)),".",""))&lt;2,IFERROR(FIND(".",UPPER(TRIM($DX432))),0)&lt;IFERROR(FIND("E",UPPER(TRIM($DX432))),999)),ISNUMBER(VALUE(TRIM($DX432)))),VALUE(TRIM($DX432)),"")))),""))</f>
        <v/>
      </c>
      <c r="DZ432">
        <f>IF($DM432=0,"",IF($L$17=0,"",IFERROR(IF(ISNUMBER(INDEX(PASTE_ALL,$DF432,$L$17)),INDEX(PASTE_ALL,$DF432,$L$17),SUBSTITUTE(SUBSTITUTE(TRIM(SUBSTITUTE(SUBSTITUTE(SUBSTITUTE(SUBSTITUTE(INDEX(PASTE_ALL,$DF432,$L$17)," "," "),CHAR(9)," "),CHAR(10)," "),CHAR(13)," ")),",",""),"%","")),"")))</f>
        <v/>
      </c>
      <c r="EA432">
        <f>IF($DM432=0,"",IFERROR(IF(ISNUMBER($DZ432),$DZ432,IF($DZ432="","",IF(TRIM($DZ432)="",0,IF(AND(AND(SUBSTITUTE(SUBSTITUTE(SUBSTITUTE(SUBSTITUTE(SUBSTITUTE(SUBSTITUTE(SUBSTITUTE(SUBSTITUTE(SUBSTITUTE(SUBSTITUTE(SUBSTITUTE(SUBSTITUTE(SUBSTITUTE(SUBSTITUTE(UPPER(TRIM($DZ432)),"0",""),"1",""),"2",""),"3",""),"4",""),"5",""),"6",""),"7",""),"8",""),"9",""),".",""),"+",""),"-",""),"E","")="",LEN(SUBSTITUTE(SUBSTITUTE(MID(UPPER(TRIM($DZ432)),1+OR(LEFT(UPPER(TRIM($DZ432)),1)="+",LEFT(UPPER(TRIM($DZ432)),1)="-"),999),"E+","E"),"E-","E"))=LEN(SUBSTITUTE(SUBSTITUTE(SUBSTITUTE(SUBSTITUTE(MID(UPPER(TRIM($DZ432)),1+OR(LEFT(UPPER(TRIM($DZ432)),1)="+",LEFT(UPPER(TRIM($DZ432)),1)="-"),999),"E+","E"),"E-","E"),"+",""),"-","")),LEN(UPPER(TRIM($DZ432)))-LEN(SUBSTITUTE(UPPER(TRIM($DZ432)),"E",""))&lt;2,LEN(UPPER(TRIM($DZ432)))-LEN(SUBSTITUTE(UPPER(TRIM($DZ432)),".",""))&lt;2,IFERROR(FIND(".",UPPER(TRIM($DZ432))),0)&lt;IFERROR(FIND("E",UPPER(TRIM($DZ432))),999)),ISNUMBER(VALUE(TRIM($DZ432)))),VALUE(TRIM($DZ432)),"")))),""))</f>
        <v/>
      </c>
      <c r="EB432">
        <f>IF($DM432=0,"",IF($L$18=0,"",IFERROR(IF(UPPER(TRIM(SUBSTITUTE(SUBSTITUTE(SUBSTITUTE(SUBSTITUTE(INDEX(PASTE_ALL,$DF432,$L$18)," "," "),CHAR(9)," "),CHAR(10)," "),CHAR(13)," ")))="READY","Ready",IF(UPPER(TRIM(SUBSTITUTE(SUBSTITUTE(SUBSTITUTE(SUBSTITUTE(INDEX(PASTE_ALL,$DF432,$L$18)," "," "),CHAR(9)," "),CHAR(10)," "),CHAR(13)," ")))="PM","PM",IF(OR(UPPER(TRIM(SUBSTITUTE(SUBSTITUTE(SUBSTITUTE(SUBSTITUTE(INDEX(PASTE_ALL,$DF432,$L$18)," "," "),CHAR(9)," "),CHAR(10)," "),CHAR(13)," ")))="OT",UPPER(TRIM(SUBSTITUTE(SUBSTITUTE(SUBSTITUTE(SUBSTITUTE(INDEX(PASTE_ALL,$DF432,$L$18)," "," "),CHAR(9)," "),CHAR(10)," "),CHAR(13)," ")))="OVERTIME",UPPER(TRIM(SUBSTITUTE(SUBSTITUTE(SUBSTITUTE(SUBSTITUTE(INDEX(PASTE_ALL,$DF432,$L$18)," "," "),CHAR(9)," "),CHAR(10)," "),CHAR(13)," ")))="TRIAL"),"OT",TRIM(SUBSTITUTE(SUBSTITUTE(SUBSTITUTE(SUBSTITUTE(INDEX(PASTE_ALL,$DF432,$L$18)," "," "),CHAR(9)," "),CHAR(10)," "),CHAR(13)," "))))),"")))</f>
        <v/>
      </c>
      <c r="EC432">
        <f>IF($DM432=0,"",IF($L$19=0,"",IFERROR(IF(ISNUMBER(INDEX(PASTE_ALL,$DF432,$L$19)),INDEX(PASTE_ALL,$DF432,$L$19),TRIM(SUBSTITUTE(SUBSTITUTE(SUBSTITUTE(SUBSTITUTE(INDEX(PASTE_ALL,$DF432,$L$19)," "," "),CHAR(9)," "),CHAR(10)," "),CHAR(13)," "))),"")))</f>
        <v/>
      </c>
      <c r="ED432">
        <f>IF($DM432=0,"",MATCH(1,INDEX(EXACT($DH$5:DH432,$DH432)*$DM$5:DM432,0),0))</f>
        <v/>
      </c>
      <c r="EE432">
        <f>IF($DM432=0,0,IF($ED432=$DE432,1,0))</f>
        <v/>
      </c>
      <c r="EF432">
        <f>EF431+$EE432</f>
        <v/>
      </c>
      <c r="EG432">
        <f>IF($DM432=0,"",INDEX($EF$5:$EF$1003,$ED432))</f>
        <v/>
      </c>
      <c r="EH432">
        <f>IF($DM432=0,"",IF($DO432&lt;&gt;"","",IFERROR(LOOKUP(2,1/(($EG$4:EG431=$EG432)*($DO$4:DO431&lt;&gt;"")),$DO$4:DO431),"")))</f>
        <v/>
      </c>
      <c r="EI432">
        <f>IF($DM432=0,"",IF($DO432&lt;&gt;"",$DO432,$EH432))</f>
        <v/>
      </c>
      <c r="EJ432">
        <f>IF($DM432=0,"",IF($EI432="",0,IF(OR(ISNUMBER($EI432),AND(AND(SUBSTITUTE(SUBSTITUTE(SUBSTITUTE(SUBSTITUTE(SUBSTITUTE(SUBSTITUTE(SUBSTITUTE(SUBSTITUTE(SUBSTITUTE(SUBSTITUTE(SUBSTITUTE(SUBSTITUTE(SUBSTITUTE(SUBSTITUTE(UPPER($EI432),"0",""),"1",""),"2",""),"3",""),"4",""),"5",""),"6",""),"7",""),"8",""),"9",""),".",""),"+",""),"-",""),"E","")="",LEN(SUBSTITUTE(SUBSTITUTE(MID(UPPER($EI432),1+OR(LEFT(UPPER($EI432),1)="+",LEFT(UPPER($EI432),1)="-"),999),"E+","E"),"E-","E"))=LEN(SUBSTITUTE(SUBSTITUTE(SUBSTITUTE(SUBSTITUTE(MID(UPPER($EI432),1+OR(LEFT(UPPER($EI432),1)="+",LEFT(UPPER($EI432),1)="-"),999),"E+","E"),"E-","E"),"+",""),"-","")),LEN(UPPER($EI432))-LEN(SUBSTITUTE(UPPER($EI432),"E",""))&lt;2,LEN(UPPER($EI432))-LEN(SUBSTITUTE(UPPER($EI432),".",""))&lt;2,IFERROR(FIND(".",UPPER($EI432)),0)&lt;IFERROR(FIND("E",UPPER($EI432)),999)),ISNUMBER(VALUE($EI432)))),1,2)))</f>
        <v/>
      </c>
      <c r="EK432">
        <f>IF($DM432=0,"",IF($EJ432=1,IF(ISNUMBER($EI432),$EI432,VALUE($EI432)),IF($EJ432=2,$DE432,0)))</f>
        <v/>
      </c>
      <c r="EL432">
        <f>IF($DM432=0,"",COUNTIF($EG$5:$EG$1003,"&lt;"&amp;$EG432)+SUMPRODUCT(($EG$5:$EG$1003=$EG432)*(($EJ$5:$EJ$1003&lt;$EJ432)+($EJ$5:$EJ$1003=$EJ432)*(($EK$5:$EK$1003&lt;$EK432)+($EK$5:$EK$1003=$EK432)*($DE$5:$DE$1003&lt;$DE432))))+1)</f>
        <v/>
      </c>
      <c r="EM432">
        <f>IF($DM432=0,"",$EL432+$EG432-1)</f>
        <v/>
      </c>
      <c r="EN432">
        <f>IF($DM432=0,0,IFERROR(MATCH(1,INDEX(--(TRIM(SUBSTITUTE(SUBSTITUTE(SUBSTITUTE(SUBSTITUTE(LINES_NAME&amp;""," "," "),CHAR(9)," "),CHAR(10)," "),CHAR(13)," "))=$DH432),0),0),0))</f>
        <v/>
      </c>
      <c r="EO432">
        <f>IF($EN432=0,0,IF(OR(UPPER(TRIM(INDEX(LINES_SCHEDULED,$EN432)&amp;""))="YES",UPPER(TRIM(INDEX(LINES_SCHEDULED,$EN432)&amp;""))="Y",UPPER(TRIM(INDEX(LINES_SCHEDULED,$EN432)&amp;""))="X"),1,0))</f>
        <v/>
      </c>
      <c r="EP432">
        <f>IF($DM432=0,"",IF(COUNTIFS($EG$5:$EG$1003,$EG432,$EB$5:$EB$1003,"Ready")&gt;0,"READY",IF(COUNTIFS($EG$5:$EG$1003,$EG432,$EB$5:$EB$1003,"PM")&gt;0,"PM",IF(COUNTIFS($EG$5:$EG$1003,$EG432,$EB$5:$EB$1003,"OT")&gt;0,"OT",""))))</f>
        <v/>
      </c>
      <c r="EQ432">
        <f>IF($EN432=0,"",UPPER(TRIM(INDEX(LINES_STATUS,$EN432)&amp;"")))</f>
        <v/>
      </c>
      <c r="ER432">
        <f>IF($DM432=0,"",IF(OR($EQ432="READY",$EQ432="PM",$EQ432="OT"),$EQ432,$EP432))</f>
        <v/>
      </c>
      <c r="ES432">
        <f>IF($DM432=0,"",IF(AND($DV432&lt;&gt;"",UPPER($DV432)&lt;&gt;"N"),"allergen",IF(ISNUMBER(SEARCH("oil",$DQ432)),"oil",IF(OR(EXACT($DS432,"A662"),EXACT($DS432,"A624")),"bulk",""))))</f>
        <v/>
      </c>
      <c r="ET432">
        <f>IF($DM432=0,"",IF(OR($EA432="",$EA432=0),"",$EA432/100))</f>
        <v/>
      </c>
      <c r="EU432">
        <f>IF(OR($ET432="",$DY432=""),"",INT($DY432*(1-$ET432)+0.5))</f>
        <v/>
      </c>
      <c r="EW432" t="n">
        <v>428</v>
      </c>
      <c r="EX432">
        <f>IFERROR(MATCH($EW432,$EM$5:$EM$1003,0),0)</f>
        <v/>
      </c>
      <c r="EY432">
        <f>IF($EW432&gt;$B$12,"",IF($EX432&gt;0,"row","spacer"))</f>
        <v/>
      </c>
      <c r="EZ432">
        <f>IF(AND($EY432="row",$EY431&lt;&gt;"row"),1,0)</f>
        <v/>
      </c>
      <c r="FA432">
        <f>IF(AND($EY432="row",$EY433&lt;&gt;"row"),1,0)</f>
        <v/>
      </c>
      <c r="FB432">
        <f>IF($EZ432=1,IFERROR(IF(ISNUMBER(INDEX(PASTE_ALL,INDEX($DF$5:$DF$1003,$EX432),$B$37)),INDEX(PASTE_ALL,INDEX($DF$5:$DF$1003,$EX432),$B$37),INDEX($DH$5:$DH$1003,$EX432)),INDEX($DH$5:$DH$1003,$EX432)),"")</f>
        <v/>
      </c>
      <c r="FC432">
        <f>IF($EY432="row",INDEX($ER$5:$ER$1003,$EX432),"")</f>
        <v/>
      </c>
      <c r="FD432">
        <f>IF($EY432="row",INDEX($DN$5:$DN$1003,$EX432),"")</f>
        <v/>
      </c>
      <c r="FE432">
        <f>IF($EY432="row",INDEX($DO$5:$DO$1003,$EX432),"")</f>
        <v/>
      </c>
      <c r="FF432">
        <f>IF($EY432="row",INDEX($DP$5:$DP$1003,$EX432),"")</f>
        <v/>
      </c>
      <c r="FG432">
        <f>IF($EY432="row",INDEX($DQ$5:$DQ$1003,$EX432),"")</f>
        <v/>
      </c>
      <c r="FH432">
        <f>IF($EY432="row",INDEX($DR$5:$DR$1003,$EX432),"")</f>
        <v/>
      </c>
      <c r="FI432">
        <f>IF($EY432="row",INDEX($DS$5:$DS$1003,$EX432),"")</f>
        <v/>
      </c>
      <c r="FJ432">
        <f>IF($EY432="row",INDEX($DT$5:$DT$1003,$EX432),"")</f>
        <v/>
      </c>
      <c r="FK432">
        <f>IF($EY432="row",INDEX($DU$5:$DU$1003,$EX432),"")</f>
        <v/>
      </c>
      <c r="FL432">
        <f>IF($EY432="row",INDEX($DV$5:$DV$1003,$EX432),"")</f>
        <v/>
      </c>
      <c r="FM432">
        <f>IF($EY432="row",INDEX($DW$5:$DW$1003,$EX432),"")</f>
        <v/>
      </c>
      <c r="FN432">
        <f>IF($EY432="row",INDEX($DY$5:$DY$1003,$EX432),"")</f>
        <v/>
      </c>
      <c r="FO432">
        <f>IF($EY432="row",INDEX($EA$5:$EA$1003,$EX432),"")</f>
        <v/>
      </c>
      <c r="FP432">
        <f>IF($EY432="row",INDEX($EC$5:$EC$1003,$EX432),"")</f>
        <v/>
      </c>
      <c r="FQ432">
        <f>IF($EY432="row",INDEX($ET$5:$ET$1003,$EX432),"")</f>
        <v/>
      </c>
      <c r="FR432">
        <f>IF($EY432="row",INDEX($EU$5:$EU$1003,$EX432),"")</f>
        <v/>
      </c>
      <c r="FS432">
        <f>IF(AND($EY432="row",$EY431="row"),IF(OR(INDEX($DT$5:$DT$1003,$EX431)="",INDEX($DT$5:$DT$1003,$EX432)=""),"",IF(NOT(EXACT(INDEX($DT$5:$DT$1003,$EX431),INDEX($DT$5:$DT$1003,$EX432))),"S4",IF(NOT(EXACT(INDEX($DS$5:$DS$1003,$EX431),INDEX($DS$5:$DS$1003,$EX432))),"S3",IF(NOT(EXACT(INDEX($DR$5:$DR$1003,$EX431),INDEX($DR$5:$DR$1003,$EX432))),"S1 Count Change","S1")))),"")</f>
        <v/>
      </c>
      <c r="FT432">
        <f>IF($EY432="row",INDEX($ES$5:$ES$1003,$EX432),"")</f>
        <v/>
      </c>
      <c r="FU432">
        <f>IF($EY432="row",INDEX($EO$5:$EO$1003,$EX432),0)</f>
        <v/>
      </c>
      <c r="FV432">
        <f>IF($FS432="S1 Count Change",1,0)</f>
        <v/>
      </c>
    </row>
    <row r="433">
      <c r="DA433" t="n">
        <v>429</v>
      </c>
      <c r="DB433">
        <f>IF($B$37=0,"",IFERROR(TRIM(SUBSTITUTE(SUBSTITUTE(SUBSTITUTE(SUBSTITUTE(INDEX(PASTE_ALL,429,$B$37)," "," "),CHAR(9)," "),CHAR(10)," "),CHAR(13)," ")),""))</f>
        <v/>
      </c>
      <c r="DC433">
        <f>IF(AND(429&gt;HEADER_ROW,UPPER(DB433)="LEGEND"),1,0)</f>
        <v/>
      </c>
      <c r="DE433" t="n">
        <v>429</v>
      </c>
      <c r="DF433">
        <f>HEADER_ROW+$DE433</f>
        <v/>
      </c>
      <c r="DG433">
        <f>IF(AND($DF433&lt;=1000,$DF433&lt;$B$8),1,0)</f>
        <v/>
      </c>
      <c r="DH433">
        <f>IF($DG433=1,IFERROR(INDEX($DB$5:$DB$1004,$DF433),""),"")</f>
        <v/>
      </c>
      <c r="DI433">
        <f>IF(AND($DG433=1,$DH433&lt;&gt;""),IFERROR(SUBSTITUTE(SUBSTITUTE(TRIM(SUBSTITUTE(SUBSTITUTE(SUBSTITUTE(SUBSTITUTE(IFERROR(INDEX(PASTE_ALL,$DF433,1)&amp;"","")&amp;"␟"&amp;IFERROR(INDEX(PASTE_ALL,$DF433,2)&amp;"","")&amp;"␟"&amp;IFERROR(INDEX(PASTE_ALL,$DF433,3)&amp;"","")&amp;"␟"&amp;IFERROR(INDEX(PASTE_ALL,$DF433,4)&amp;"","")&amp;"␟"&amp;IFERROR(INDEX(PASTE_ALL,$DF433,5)&amp;"","")&amp;"␟"&amp;IFERROR(INDEX(PASTE_ALL,$DF433,6)&amp;"","")&amp;"␟"&amp;IFERROR(INDEX(PASTE_ALL,$DF433,7)&amp;"","")&amp;"␟"&amp;IFERROR(INDEX(PASTE_ALL,$DF433,8)&amp;"","")&amp;"␟"&amp;IFERROR(INDEX(PASTE_ALL,$DF433,9)&amp;"","")&amp;"␟"&amp;IFERROR(INDEX(PASTE_ALL,$DF433,10)&amp;"","")&amp;"␟"&amp;IFERROR(INDEX(PASTE_ALL,$DF433,11)&amp;"","")&amp;"␟"&amp;IFERROR(INDEX(PASTE_ALL,$DF433,12)&amp;"","")&amp;"␟"&amp;IFERROR(INDEX(PASTE_ALL,$DF433,13)&amp;"","")&amp;"␟"&amp;IFERROR(INDEX(PASTE_ALL,$DF433,14)&amp;"","")&amp;"␟"&amp;IFERROR(INDEX(PASTE_ALL,$DF433,15)&amp;"","")&amp;"␟"&amp;IFERROR(INDEX(PASTE_ALL,$DF433,16)&amp;"","")&amp;"␟"&amp;IFERROR(INDEX(PASTE_ALL,$DF433,17)&amp;"","")&amp;"␟"&amp;IFERROR(INDEX(PASTE_ALL,$DF433,18)&amp;"","")&amp;"␟"&amp;IFERROR(INDEX(PASTE_ALL,$DF433,19)&amp;"","")&amp;"␟"&amp;IFERROR(INDEX(PASTE_ALL,$DF433,20)&amp;"","")&amp;"␟"&amp;IFERROR(INDEX(PASTE_ALL,$DF433,21)&amp;"","")&amp;"␟"&amp;IFERROR(INDEX(PASTE_ALL,$DF433,22)&amp;"","")&amp;"␟"&amp;IFERROR(INDEX(PASTE_ALL,$DF433,23)&amp;"","")&amp;"␟"&amp;IFERROR(INDEX(PASTE_ALL,$DF433,24)&amp;"","")&amp;"␟"&amp;IFERROR(INDEX(PASTE_ALL,$DF433,25)&amp;"","")&amp;"␟"&amp;IFERROR(INDEX(PASTE_ALL,$DF433,26)&amp;"","")&amp;"␟"&amp;IFERROR(INDEX(PASTE_ALL,$DF433,27)&amp;"","")&amp;"␟"&amp;IFERROR(INDEX(PASTE_ALL,$DF433,28)&amp;"","")&amp;"␟"&amp;IFERROR(INDEX(PASTE_ALL,$DF433,29)&amp;"","")&amp;"␟"&amp;IFERROR(INDEX(PASTE_ALL,$DF433,30)&amp;"","")&amp;"␟"&amp;IFERROR(INDEX(PASTE_ALL,$DF433,31)&amp;"","")&amp;"␟"&amp;IFERROR(INDEX(PASTE_ALL,$DF433,32)&amp;"","")&amp;"␟"&amp;IFERROR(INDEX(PASTE_ALL,$DF433,33)&amp;"","")&amp;"␟"&amp;IFERROR(INDEX(PASTE_ALL,$DF433,34)&amp;"","")&amp;"␟"&amp;IFERROR(INDEX(PASTE_ALL,$DF433,35)&amp;"","")&amp;"␟"&amp;IFERROR(INDEX(PASTE_ALL,$DF433,36)&amp;"","")&amp;"␟"&amp;IFERROR(INDEX(PASTE_ALL,$DF433,37)&amp;"","")&amp;"␟"&amp;IFERROR(INDEX(PASTE_ALL,$DF433,38)&amp;"","")&amp;"␟"&amp;IFERROR(INDEX(PASTE_ALL,$DF433,39)&amp;"","")&amp;"␟"&amp;IFERROR(INDEX(PASTE_ALL,$DF433,40)&amp;"","")&amp;"␟"&amp;IFERROR(INDEX(PASTE_ALL,$DF433,41)&amp;"","")&amp;"␟"&amp;IFERROR(INDEX(PASTE_ALL,$DF433,42)&amp;"","")&amp;"␟"&amp;IFERROR(INDEX(PASTE_ALL,$DF433,43)&amp;"","")&amp;"␟"&amp;IFERROR(INDEX(PASTE_ALL,$DF433,44)&amp;"","")&amp;"␟"&amp;IFERROR(INDEX(PASTE_ALL,$DF433,45)&amp;"","")&amp;"␟"&amp;IFERROR(INDEX(PASTE_ALL,$DF433,46)&amp;"","")&amp;"␟"&amp;IFERROR(INDEX(PASTE_ALL,$DF433,47)&amp;"","")&amp;"␟"&amp;IFERROR(INDEX(PASTE_ALL,$DF433,48)&amp;"","")&amp;"␟"&amp;IFERROR(INDEX(PASTE_ALL,$DF433,49)&amp;"","")&amp;"␟"&amp;IFERROR(INDEX(PASTE_ALL,$DF433,50)&amp;"","")&amp;"␟"&amp;IFERROR(INDEX(PASTE_ALL,$DF433,51)&amp;"","")&amp;"␟"&amp;IFERROR(INDEX(PASTE_ALL,$DF433,52)&amp;"","")&amp;"␟"&amp;IFERROR(INDEX(PASTE_ALL,$DF433,53)&amp;"","")&amp;"␟"&amp;IFERROR(INDEX(PASTE_ALL,$DF433,54)&amp;"","")&amp;"␟"&amp;IFERROR(INDEX(PASTE_ALL,$DF433,55)&amp;"","")&amp;"␟"&amp;IFERROR(INDEX(PASTE_ALL,$DF433,56)&amp;"","")&amp;"␟"&amp;IFERROR(INDEX(PASTE_ALL,$DF433,57)&amp;"","")&amp;"␟"&amp;IFERROR(INDEX(PASTE_ALL,$DF433,58)&amp;"","")&amp;"␟"&amp;IFERROR(INDEX(PASTE_ALL,$DF433,59)&amp;"","")&amp;"␟"&amp;IFERROR(INDEX(PASTE_ALL,$DF433,60)&amp;"","")," "," "),CHAR(9)," "),CHAR(10)," "),CHAR(13)," "))," ␟","␟"),"␟ ","␟"),"#"&amp;$DE433),"")</f>
        <v/>
      </c>
      <c r="DJ433">
        <f>IF($DI433="",0,IF(SUMPRODUCT(--EXACT($DI$4:DI432,$DI433))&gt;0,1,0))</f>
        <v/>
      </c>
      <c r="DK433">
        <f>IF(AND($DI433&lt;&gt;"",$DJ433=0),1,0)</f>
        <v/>
      </c>
      <c r="DL433">
        <f>DL432+$DK433</f>
        <v/>
      </c>
      <c r="DM433">
        <f>IF(AND($DK433=1,$DL433&lt;=600),1,0)</f>
        <v/>
      </c>
      <c r="DN433">
        <f>IF($DM433=0,"",IF($L$6=0,"",IFERROR(IF(ISNUMBER(INDEX(PASTE_ALL,$DF433,$L$6)),INDEX(PASTE_ALL,$DF433,$L$6),TRIM(SUBSTITUTE(SUBSTITUTE(SUBSTITUTE(SUBSTITUTE(INDEX(PASTE_ALL,$DF433,$L$6)," "," "),CHAR(9)," "),CHAR(10)," "),CHAR(13)," "))),"")))</f>
        <v/>
      </c>
      <c r="DO433">
        <f>IF($DM433=0,"",IF($L$7=0,"",IFERROR(IF(ISNUMBER(INDEX(PASTE_ALL,$DF433,$L$7)),INDEX(PASTE_ALL,$DF433,$L$7),TRIM(SUBSTITUTE(SUBSTITUTE(SUBSTITUTE(SUBSTITUTE(INDEX(PASTE_ALL,$DF433,$L$7)," "," "),CHAR(9)," "),CHAR(10)," "),CHAR(13)," "))),"")))</f>
        <v/>
      </c>
      <c r="DP433">
        <f>IF($DM433=0,"",IF($L$8=0,"",IFERROR(IF(ISNUMBER(INDEX(PASTE_ALL,$DF433,$L$8)),INDEX(PASTE_ALL,$DF433,$L$8),TRIM(SUBSTITUTE(SUBSTITUTE(SUBSTITUTE(SUBSTITUTE(INDEX(PASTE_ALL,$DF433,$L$8)," "," "),CHAR(9)," "),CHAR(10)," "),CHAR(13)," "))),"")))</f>
        <v/>
      </c>
      <c r="DQ433">
        <f>IF($DM433=0,"",IF($L$9=0,"",IFERROR(IF(ISNUMBER(INDEX(PASTE_ALL,$DF433,$L$9)),INDEX(PASTE_ALL,$DF433,$L$9),TRIM(SUBSTITUTE(SUBSTITUTE(SUBSTITUTE(SUBSTITUTE(INDEX(PASTE_ALL,$DF433,$L$9)," "," "),CHAR(9)," "),CHAR(10)," "),CHAR(13)," "))),"")))</f>
        <v/>
      </c>
      <c r="DR433">
        <f>IF($DM433=0,"",IF($L$10=0,"",IFERROR(IF(ISNUMBER(INDEX(PASTE_ALL,$DF433,$L$10)),INDEX(PASTE_ALL,$DF433,$L$10),TRIM(SUBSTITUTE(SUBSTITUTE(SUBSTITUTE(SUBSTITUTE(INDEX(PASTE_ALL,$DF433,$L$10)," "," "),CHAR(9)," "),CHAR(10)," "),CHAR(13)," "))),"")))</f>
        <v/>
      </c>
      <c r="DS433">
        <f>IF($DM433=0,"",IF($L$11=0,"",IFERROR(IF(ISNUMBER(INDEX(PASTE_ALL,$DF433,$L$11)),INDEX(PASTE_ALL,$DF433,$L$11),TRIM(SUBSTITUTE(SUBSTITUTE(SUBSTITUTE(SUBSTITUTE(INDEX(PASTE_ALL,$DF433,$L$11)," "," "),CHAR(9)," "),CHAR(10)," "),CHAR(13)," "))),"")))</f>
        <v/>
      </c>
      <c r="DT433">
        <f>IF($DM433=0,"",IF($L$12=0,"",IFERROR(IF(ISNUMBER(INDEX(PASTE_ALL,$DF433,$L$12)),INDEX(PASTE_ALL,$DF433,$L$12),TRIM(SUBSTITUTE(SUBSTITUTE(SUBSTITUTE(SUBSTITUTE(INDEX(PASTE_ALL,$DF433,$L$12)," "," "),CHAR(9)," "),CHAR(10)," "),CHAR(13)," "))),"")))</f>
        <v/>
      </c>
      <c r="DU433">
        <f>IF($DM433=0,"",IF($L$13=0,"",IFERROR(IF(ISNUMBER(INDEX(PASTE_ALL,$DF433,$L$13)),INDEX(PASTE_ALL,$DF433,$L$13),TRIM(SUBSTITUTE(SUBSTITUTE(SUBSTITUTE(SUBSTITUTE(INDEX(PASTE_ALL,$DF433,$L$13)," "," "),CHAR(9)," "),CHAR(10)," "),CHAR(13)," "))),"")))</f>
        <v/>
      </c>
      <c r="DV433">
        <f>IF($DM433=0,"",IF($L$14=0,"",IFERROR(IF(ISNUMBER(INDEX(PASTE_ALL,$DF433,$L$14)),INDEX(PASTE_ALL,$DF433,$L$14),TRIM(SUBSTITUTE(SUBSTITUTE(SUBSTITUTE(SUBSTITUTE(INDEX(PASTE_ALL,$DF433,$L$14)," "," "),CHAR(9)," "),CHAR(10)," "),CHAR(13)," "))),"")))</f>
        <v/>
      </c>
      <c r="DW433">
        <f>IF($DM433=0,"",IF($L$15=0,"",IFERROR(IF(ISNUMBER(INDEX(PASTE_ALL,$DF433,$L$15)),INDEX(PASTE_ALL,$DF433,$L$15),IF(SUMPRODUCT(--ISNUMBER(FIND({"A","B","C","D","E","F","G","H","I","J","K","L","M","N","O","P","Q","R","S","T","U","V","W","X","Y","Z","0","1","2","3","4","5","6","7","8","9"},UPPER(TRIM(SUBSTITUTE(SUBSTITUTE(SUBSTITUTE(SUBSTITUTE(INDEX(PASTE_ALL,$DF433,$L$15)," "," "),CHAR(9)," "),CHAR(10)," "),CHAR(13)," "))))))&gt;0,TRIM(SUBSTITUTE(SUBSTITUTE(SUBSTITUTE(SUBSTITUTE(INDEX(PASTE_ALL,$DF433,$L$15)," "," "),CHAR(9)," "),CHAR(10)," "),CHAR(13)," ")),"")),"")))</f>
        <v/>
      </c>
      <c r="DX433">
        <f>IF($DM433=0,"",IF($L$16=0,"",IFERROR(IF(ISNUMBER(INDEX(PASTE_ALL,$DF433,$L$16)),INDEX(PASTE_ALL,$DF433,$L$16),SUBSTITUTE(SUBSTITUTE(TRIM(SUBSTITUTE(SUBSTITUTE(SUBSTITUTE(SUBSTITUTE(INDEX(PASTE_ALL,$DF433,$L$16)," "," "),CHAR(9)," "),CHAR(10)," "),CHAR(13)," ")),",",""),"%","")),"")))</f>
        <v/>
      </c>
      <c r="DY433">
        <f>IF($DM433=0,"",IFERROR(IF(ISNUMBER($DX433),$DX433,IF($DX433="","",IF(TRIM($DX433)="",0,IF(AND(AND(SUBSTITUTE(SUBSTITUTE(SUBSTITUTE(SUBSTITUTE(SUBSTITUTE(SUBSTITUTE(SUBSTITUTE(SUBSTITUTE(SUBSTITUTE(SUBSTITUTE(SUBSTITUTE(SUBSTITUTE(SUBSTITUTE(SUBSTITUTE(UPPER(TRIM($DX433)),"0",""),"1",""),"2",""),"3",""),"4",""),"5",""),"6",""),"7",""),"8",""),"9",""),".",""),"+",""),"-",""),"E","")="",LEN(SUBSTITUTE(SUBSTITUTE(MID(UPPER(TRIM($DX433)),1+OR(LEFT(UPPER(TRIM($DX433)),1)="+",LEFT(UPPER(TRIM($DX433)),1)="-"),999),"E+","E"),"E-","E"))=LEN(SUBSTITUTE(SUBSTITUTE(SUBSTITUTE(SUBSTITUTE(MID(UPPER(TRIM($DX433)),1+OR(LEFT(UPPER(TRIM($DX433)),1)="+",LEFT(UPPER(TRIM($DX433)),1)="-"),999),"E+","E"),"E-","E"),"+",""),"-","")),LEN(UPPER(TRIM($DX433)))-LEN(SUBSTITUTE(UPPER(TRIM($DX433)),"E",""))&lt;2,LEN(UPPER(TRIM($DX433)))-LEN(SUBSTITUTE(UPPER(TRIM($DX433)),".",""))&lt;2,IFERROR(FIND(".",UPPER(TRIM($DX433))),0)&lt;IFERROR(FIND("E",UPPER(TRIM($DX433))),999)),ISNUMBER(VALUE(TRIM($DX433)))),VALUE(TRIM($DX433)),"")))),""))</f>
        <v/>
      </c>
      <c r="DZ433">
        <f>IF($DM433=0,"",IF($L$17=0,"",IFERROR(IF(ISNUMBER(INDEX(PASTE_ALL,$DF433,$L$17)),INDEX(PASTE_ALL,$DF433,$L$17),SUBSTITUTE(SUBSTITUTE(TRIM(SUBSTITUTE(SUBSTITUTE(SUBSTITUTE(SUBSTITUTE(INDEX(PASTE_ALL,$DF433,$L$17)," "," "),CHAR(9)," "),CHAR(10)," "),CHAR(13)," ")),",",""),"%","")),"")))</f>
        <v/>
      </c>
      <c r="EA433">
        <f>IF($DM433=0,"",IFERROR(IF(ISNUMBER($DZ433),$DZ433,IF($DZ433="","",IF(TRIM($DZ433)="",0,IF(AND(AND(SUBSTITUTE(SUBSTITUTE(SUBSTITUTE(SUBSTITUTE(SUBSTITUTE(SUBSTITUTE(SUBSTITUTE(SUBSTITUTE(SUBSTITUTE(SUBSTITUTE(SUBSTITUTE(SUBSTITUTE(SUBSTITUTE(SUBSTITUTE(UPPER(TRIM($DZ433)),"0",""),"1",""),"2",""),"3",""),"4",""),"5",""),"6",""),"7",""),"8",""),"9",""),".",""),"+",""),"-",""),"E","")="",LEN(SUBSTITUTE(SUBSTITUTE(MID(UPPER(TRIM($DZ433)),1+OR(LEFT(UPPER(TRIM($DZ433)),1)="+",LEFT(UPPER(TRIM($DZ433)),1)="-"),999),"E+","E"),"E-","E"))=LEN(SUBSTITUTE(SUBSTITUTE(SUBSTITUTE(SUBSTITUTE(MID(UPPER(TRIM($DZ433)),1+OR(LEFT(UPPER(TRIM($DZ433)),1)="+",LEFT(UPPER(TRIM($DZ433)),1)="-"),999),"E+","E"),"E-","E"),"+",""),"-","")),LEN(UPPER(TRIM($DZ433)))-LEN(SUBSTITUTE(UPPER(TRIM($DZ433)),"E",""))&lt;2,LEN(UPPER(TRIM($DZ433)))-LEN(SUBSTITUTE(UPPER(TRIM($DZ433)),".",""))&lt;2,IFERROR(FIND(".",UPPER(TRIM($DZ433))),0)&lt;IFERROR(FIND("E",UPPER(TRIM($DZ433))),999)),ISNUMBER(VALUE(TRIM($DZ433)))),VALUE(TRIM($DZ433)),"")))),""))</f>
        <v/>
      </c>
      <c r="EB433">
        <f>IF($DM433=0,"",IF($L$18=0,"",IFERROR(IF(UPPER(TRIM(SUBSTITUTE(SUBSTITUTE(SUBSTITUTE(SUBSTITUTE(INDEX(PASTE_ALL,$DF433,$L$18)," "," "),CHAR(9)," "),CHAR(10)," "),CHAR(13)," ")))="READY","Ready",IF(UPPER(TRIM(SUBSTITUTE(SUBSTITUTE(SUBSTITUTE(SUBSTITUTE(INDEX(PASTE_ALL,$DF433,$L$18)," "," "),CHAR(9)," "),CHAR(10)," "),CHAR(13)," ")))="PM","PM",IF(OR(UPPER(TRIM(SUBSTITUTE(SUBSTITUTE(SUBSTITUTE(SUBSTITUTE(INDEX(PASTE_ALL,$DF433,$L$18)," "," "),CHAR(9)," "),CHAR(10)," "),CHAR(13)," ")))="OT",UPPER(TRIM(SUBSTITUTE(SUBSTITUTE(SUBSTITUTE(SUBSTITUTE(INDEX(PASTE_ALL,$DF433,$L$18)," "," "),CHAR(9)," "),CHAR(10)," "),CHAR(13)," ")))="OVERTIME",UPPER(TRIM(SUBSTITUTE(SUBSTITUTE(SUBSTITUTE(SUBSTITUTE(INDEX(PASTE_ALL,$DF433,$L$18)," "," "),CHAR(9)," "),CHAR(10)," "),CHAR(13)," ")))="TRIAL"),"OT",TRIM(SUBSTITUTE(SUBSTITUTE(SUBSTITUTE(SUBSTITUTE(INDEX(PASTE_ALL,$DF433,$L$18)," "," "),CHAR(9)," "),CHAR(10)," "),CHAR(13)," "))))),"")))</f>
        <v/>
      </c>
      <c r="EC433">
        <f>IF($DM433=0,"",IF($L$19=0,"",IFERROR(IF(ISNUMBER(INDEX(PASTE_ALL,$DF433,$L$19)),INDEX(PASTE_ALL,$DF433,$L$19),TRIM(SUBSTITUTE(SUBSTITUTE(SUBSTITUTE(SUBSTITUTE(INDEX(PASTE_ALL,$DF433,$L$19)," "," "),CHAR(9)," "),CHAR(10)," "),CHAR(13)," "))),"")))</f>
        <v/>
      </c>
      <c r="ED433">
        <f>IF($DM433=0,"",MATCH(1,INDEX(EXACT($DH$5:DH433,$DH433)*$DM$5:DM433,0),0))</f>
        <v/>
      </c>
      <c r="EE433">
        <f>IF($DM433=0,0,IF($ED433=$DE433,1,0))</f>
        <v/>
      </c>
      <c r="EF433">
        <f>EF432+$EE433</f>
        <v/>
      </c>
      <c r="EG433">
        <f>IF($DM433=0,"",INDEX($EF$5:$EF$1003,$ED433))</f>
        <v/>
      </c>
      <c r="EH433">
        <f>IF($DM433=0,"",IF($DO433&lt;&gt;"","",IFERROR(LOOKUP(2,1/(($EG$4:EG432=$EG433)*($DO$4:DO432&lt;&gt;"")),$DO$4:DO432),"")))</f>
        <v/>
      </c>
      <c r="EI433">
        <f>IF($DM433=0,"",IF($DO433&lt;&gt;"",$DO433,$EH433))</f>
        <v/>
      </c>
      <c r="EJ433">
        <f>IF($DM433=0,"",IF($EI433="",0,IF(OR(ISNUMBER($EI433),AND(AND(SUBSTITUTE(SUBSTITUTE(SUBSTITUTE(SUBSTITUTE(SUBSTITUTE(SUBSTITUTE(SUBSTITUTE(SUBSTITUTE(SUBSTITUTE(SUBSTITUTE(SUBSTITUTE(SUBSTITUTE(SUBSTITUTE(SUBSTITUTE(UPPER($EI433),"0",""),"1",""),"2",""),"3",""),"4",""),"5",""),"6",""),"7",""),"8",""),"9",""),".",""),"+",""),"-",""),"E","")="",LEN(SUBSTITUTE(SUBSTITUTE(MID(UPPER($EI433),1+OR(LEFT(UPPER($EI433),1)="+",LEFT(UPPER($EI433),1)="-"),999),"E+","E"),"E-","E"))=LEN(SUBSTITUTE(SUBSTITUTE(SUBSTITUTE(SUBSTITUTE(MID(UPPER($EI433),1+OR(LEFT(UPPER($EI433),1)="+",LEFT(UPPER($EI433),1)="-"),999),"E+","E"),"E-","E"),"+",""),"-","")),LEN(UPPER($EI433))-LEN(SUBSTITUTE(UPPER($EI433),"E",""))&lt;2,LEN(UPPER($EI433))-LEN(SUBSTITUTE(UPPER($EI433),".",""))&lt;2,IFERROR(FIND(".",UPPER($EI433)),0)&lt;IFERROR(FIND("E",UPPER($EI433)),999)),ISNUMBER(VALUE($EI433)))),1,2)))</f>
        <v/>
      </c>
      <c r="EK433">
        <f>IF($DM433=0,"",IF($EJ433=1,IF(ISNUMBER($EI433),$EI433,VALUE($EI433)),IF($EJ433=2,$DE433,0)))</f>
        <v/>
      </c>
      <c r="EL433">
        <f>IF($DM433=0,"",COUNTIF($EG$5:$EG$1003,"&lt;"&amp;$EG433)+SUMPRODUCT(($EG$5:$EG$1003=$EG433)*(($EJ$5:$EJ$1003&lt;$EJ433)+($EJ$5:$EJ$1003=$EJ433)*(($EK$5:$EK$1003&lt;$EK433)+($EK$5:$EK$1003=$EK433)*($DE$5:$DE$1003&lt;$DE433))))+1)</f>
        <v/>
      </c>
      <c r="EM433">
        <f>IF($DM433=0,"",$EL433+$EG433-1)</f>
        <v/>
      </c>
      <c r="EN433">
        <f>IF($DM433=0,0,IFERROR(MATCH(1,INDEX(--(TRIM(SUBSTITUTE(SUBSTITUTE(SUBSTITUTE(SUBSTITUTE(LINES_NAME&amp;""," "," "),CHAR(9)," "),CHAR(10)," "),CHAR(13)," "))=$DH433),0),0),0))</f>
        <v/>
      </c>
      <c r="EO433">
        <f>IF($EN433=0,0,IF(OR(UPPER(TRIM(INDEX(LINES_SCHEDULED,$EN433)&amp;""))="YES",UPPER(TRIM(INDEX(LINES_SCHEDULED,$EN433)&amp;""))="Y",UPPER(TRIM(INDEX(LINES_SCHEDULED,$EN433)&amp;""))="X"),1,0))</f>
        <v/>
      </c>
      <c r="EP433">
        <f>IF($DM433=0,"",IF(COUNTIFS($EG$5:$EG$1003,$EG433,$EB$5:$EB$1003,"Ready")&gt;0,"READY",IF(COUNTIFS($EG$5:$EG$1003,$EG433,$EB$5:$EB$1003,"PM")&gt;0,"PM",IF(COUNTIFS($EG$5:$EG$1003,$EG433,$EB$5:$EB$1003,"OT")&gt;0,"OT",""))))</f>
        <v/>
      </c>
      <c r="EQ433">
        <f>IF($EN433=0,"",UPPER(TRIM(INDEX(LINES_STATUS,$EN433)&amp;"")))</f>
        <v/>
      </c>
      <c r="ER433">
        <f>IF($DM433=0,"",IF(OR($EQ433="READY",$EQ433="PM",$EQ433="OT"),$EQ433,$EP433))</f>
        <v/>
      </c>
      <c r="ES433">
        <f>IF($DM433=0,"",IF(AND($DV433&lt;&gt;"",UPPER($DV433)&lt;&gt;"N"),"allergen",IF(ISNUMBER(SEARCH("oil",$DQ433)),"oil",IF(OR(EXACT($DS433,"A662"),EXACT($DS433,"A624")),"bulk",""))))</f>
        <v/>
      </c>
      <c r="ET433">
        <f>IF($DM433=0,"",IF(OR($EA433="",$EA433=0),"",$EA433/100))</f>
        <v/>
      </c>
      <c r="EU433">
        <f>IF(OR($ET433="",$DY433=""),"",INT($DY433*(1-$ET433)+0.5))</f>
        <v/>
      </c>
      <c r="EW433" t="n">
        <v>429</v>
      </c>
      <c r="EX433">
        <f>IFERROR(MATCH($EW433,$EM$5:$EM$1003,0),0)</f>
        <v/>
      </c>
      <c r="EY433">
        <f>IF($EW433&gt;$B$12,"",IF($EX433&gt;0,"row","spacer"))</f>
        <v/>
      </c>
      <c r="EZ433">
        <f>IF(AND($EY433="row",$EY432&lt;&gt;"row"),1,0)</f>
        <v/>
      </c>
      <c r="FA433">
        <f>IF(AND($EY433="row",$EY434&lt;&gt;"row"),1,0)</f>
        <v/>
      </c>
      <c r="FB433">
        <f>IF($EZ433=1,IFERROR(IF(ISNUMBER(INDEX(PASTE_ALL,INDEX($DF$5:$DF$1003,$EX433),$B$37)),INDEX(PASTE_ALL,INDEX($DF$5:$DF$1003,$EX433),$B$37),INDEX($DH$5:$DH$1003,$EX433)),INDEX($DH$5:$DH$1003,$EX433)),"")</f>
        <v/>
      </c>
      <c r="FC433">
        <f>IF($EY433="row",INDEX($ER$5:$ER$1003,$EX433),"")</f>
        <v/>
      </c>
      <c r="FD433">
        <f>IF($EY433="row",INDEX($DN$5:$DN$1003,$EX433),"")</f>
        <v/>
      </c>
      <c r="FE433">
        <f>IF($EY433="row",INDEX($DO$5:$DO$1003,$EX433),"")</f>
        <v/>
      </c>
      <c r="FF433">
        <f>IF($EY433="row",INDEX($DP$5:$DP$1003,$EX433),"")</f>
        <v/>
      </c>
      <c r="FG433">
        <f>IF($EY433="row",INDEX($DQ$5:$DQ$1003,$EX433),"")</f>
        <v/>
      </c>
      <c r="FH433">
        <f>IF($EY433="row",INDEX($DR$5:$DR$1003,$EX433),"")</f>
        <v/>
      </c>
      <c r="FI433">
        <f>IF($EY433="row",INDEX($DS$5:$DS$1003,$EX433),"")</f>
        <v/>
      </c>
      <c r="FJ433">
        <f>IF($EY433="row",INDEX($DT$5:$DT$1003,$EX433),"")</f>
        <v/>
      </c>
      <c r="FK433">
        <f>IF($EY433="row",INDEX($DU$5:$DU$1003,$EX433),"")</f>
        <v/>
      </c>
      <c r="FL433">
        <f>IF($EY433="row",INDEX($DV$5:$DV$1003,$EX433),"")</f>
        <v/>
      </c>
      <c r="FM433">
        <f>IF($EY433="row",INDEX($DW$5:$DW$1003,$EX433),"")</f>
        <v/>
      </c>
      <c r="FN433">
        <f>IF($EY433="row",INDEX($DY$5:$DY$1003,$EX433),"")</f>
        <v/>
      </c>
      <c r="FO433">
        <f>IF($EY433="row",INDEX($EA$5:$EA$1003,$EX433),"")</f>
        <v/>
      </c>
      <c r="FP433">
        <f>IF($EY433="row",INDEX($EC$5:$EC$1003,$EX433),"")</f>
        <v/>
      </c>
      <c r="FQ433">
        <f>IF($EY433="row",INDEX($ET$5:$ET$1003,$EX433),"")</f>
        <v/>
      </c>
      <c r="FR433">
        <f>IF($EY433="row",INDEX($EU$5:$EU$1003,$EX433),"")</f>
        <v/>
      </c>
      <c r="FS433">
        <f>IF(AND($EY433="row",$EY432="row"),IF(OR(INDEX($DT$5:$DT$1003,$EX432)="",INDEX($DT$5:$DT$1003,$EX433)=""),"",IF(NOT(EXACT(INDEX($DT$5:$DT$1003,$EX432),INDEX($DT$5:$DT$1003,$EX433))),"S4",IF(NOT(EXACT(INDEX($DS$5:$DS$1003,$EX432),INDEX($DS$5:$DS$1003,$EX433))),"S3",IF(NOT(EXACT(INDEX($DR$5:$DR$1003,$EX432),INDEX($DR$5:$DR$1003,$EX433))),"S1 Count Change","S1")))),"")</f>
        <v/>
      </c>
      <c r="FT433">
        <f>IF($EY433="row",INDEX($ES$5:$ES$1003,$EX433),"")</f>
        <v/>
      </c>
      <c r="FU433">
        <f>IF($EY433="row",INDEX($EO$5:$EO$1003,$EX433),0)</f>
        <v/>
      </c>
      <c r="FV433">
        <f>IF($FS433="S1 Count Change",1,0)</f>
        <v/>
      </c>
    </row>
    <row r="434">
      <c r="DA434" t="n">
        <v>430</v>
      </c>
      <c r="DB434">
        <f>IF($B$37=0,"",IFERROR(TRIM(SUBSTITUTE(SUBSTITUTE(SUBSTITUTE(SUBSTITUTE(INDEX(PASTE_ALL,430,$B$37)," "," "),CHAR(9)," "),CHAR(10)," "),CHAR(13)," ")),""))</f>
        <v/>
      </c>
      <c r="DC434">
        <f>IF(AND(430&gt;HEADER_ROW,UPPER(DB434)="LEGEND"),1,0)</f>
        <v/>
      </c>
      <c r="DE434" t="n">
        <v>430</v>
      </c>
      <c r="DF434">
        <f>HEADER_ROW+$DE434</f>
        <v/>
      </c>
      <c r="DG434">
        <f>IF(AND($DF434&lt;=1000,$DF434&lt;$B$8),1,0)</f>
        <v/>
      </c>
      <c r="DH434">
        <f>IF($DG434=1,IFERROR(INDEX($DB$5:$DB$1004,$DF434),""),"")</f>
        <v/>
      </c>
      <c r="DI434">
        <f>IF(AND($DG434=1,$DH434&lt;&gt;""),IFERROR(SUBSTITUTE(SUBSTITUTE(TRIM(SUBSTITUTE(SUBSTITUTE(SUBSTITUTE(SUBSTITUTE(IFERROR(INDEX(PASTE_ALL,$DF434,1)&amp;"","")&amp;"␟"&amp;IFERROR(INDEX(PASTE_ALL,$DF434,2)&amp;"","")&amp;"␟"&amp;IFERROR(INDEX(PASTE_ALL,$DF434,3)&amp;"","")&amp;"␟"&amp;IFERROR(INDEX(PASTE_ALL,$DF434,4)&amp;"","")&amp;"␟"&amp;IFERROR(INDEX(PASTE_ALL,$DF434,5)&amp;"","")&amp;"␟"&amp;IFERROR(INDEX(PASTE_ALL,$DF434,6)&amp;"","")&amp;"␟"&amp;IFERROR(INDEX(PASTE_ALL,$DF434,7)&amp;"","")&amp;"␟"&amp;IFERROR(INDEX(PASTE_ALL,$DF434,8)&amp;"","")&amp;"␟"&amp;IFERROR(INDEX(PASTE_ALL,$DF434,9)&amp;"","")&amp;"␟"&amp;IFERROR(INDEX(PASTE_ALL,$DF434,10)&amp;"","")&amp;"␟"&amp;IFERROR(INDEX(PASTE_ALL,$DF434,11)&amp;"","")&amp;"␟"&amp;IFERROR(INDEX(PASTE_ALL,$DF434,12)&amp;"","")&amp;"␟"&amp;IFERROR(INDEX(PASTE_ALL,$DF434,13)&amp;"","")&amp;"␟"&amp;IFERROR(INDEX(PASTE_ALL,$DF434,14)&amp;"","")&amp;"␟"&amp;IFERROR(INDEX(PASTE_ALL,$DF434,15)&amp;"","")&amp;"␟"&amp;IFERROR(INDEX(PASTE_ALL,$DF434,16)&amp;"","")&amp;"␟"&amp;IFERROR(INDEX(PASTE_ALL,$DF434,17)&amp;"","")&amp;"␟"&amp;IFERROR(INDEX(PASTE_ALL,$DF434,18)&amp;"","")&amp;"␟"&amp;IFERROR(INDEX(PASTE_ALL,$DF434,19)&amp;"","")&amp;"␟"&amp;IFERROR(INDEX(PASTE_ALL,$DF434,20)&amp;"","")&amp;"␟"&amp;IFERROR(INDEX(PASTE_ALL,$DF434,21)&amp;"","")&amp;"␟"&amp;IFERROR(INDEX(PASTE_ALL,$DF434,22)&amp;"","")&amp;"␟"&amp;IFERROR(INDEX(PASTE_ALL,$DF434,23)&amp;"","")&amp;"␟"&amp;IFERROR(INDEX(PASTE_ALL,$DF434,24)&amp;"","")&amp;"␟"&amp;IFERROR(INDEX(PASTE_ALL,$DF434,25)&amp;"","")&amp;"␟"&amp;IFERROR(INDEX(PASTE_ALL,$DF434,26)&amp;"","")&amp;"␟"&amp;IFERROR(INDEX(PASTE_ALL,$DF434,27)&amp;"","")&amp;"␟"&amp;IFERROR(INDEX(PASTE_ALL,$DF434,28)&amp;"","")&amp;"␟"&amp;IFERROR(INDEX(PASTE_ALL,$DF434,29)&amp;"","")&amp;"␟"&amp;IFERROR(INDEX(PASTE_ALL,$DF434,30)&amp;"","")&amp;"␟"&amp;IFERROR(INDEX(PASTE_ALL,$DF434,31)&amp;"","")&amp;"␟"&amp;IFERROR(INDEX(PASTE_ALL,$DF434,32)&amp;"","")&amp;"␟"&amp;IFERROR(INDEX(PASTE_ALL,$DF434,33)&amp;"","")&amp;"␟"&amp;IFERROR(INDEX(PASTE_ALL,$DF434,34)&amp;"","")&amp;"␟"&amp;IFERROR(INDEX(PASTE_ALL,$DF434,35)&amp;"","")&amp;"␟"&amp;IFERROR(INDEX(PASTE_ALL,$DF434,36)&amp;"","")&amp;"␟"&amp;IFERROR(INDEX(PASTE_ALL,$DF434,37)&amp;"","")&amp;"␟"&amp;IFERROR(INDEX(PASTE_ALL,$DF434,38)&amp;"","")&amp;"␟"&amp;IFERROR(INDEX(PASTE_ALL,$DF434,39)&amp;"","")&amp;"␟"&amp;IFERROR(INDEX(PASTE_ALL,$DF434,40)&amp;"","")&amp;"␟"&amp;IFERROR(INDEX(PASTE_ALL,$DF434,41)&amp;"","")&amp;"␟"&amp;IFERROR(INDEX(PASTE_ALL,$DF434,42)&amp;"","")&amp;"␟"&amp;IFERROR(INDEX(PASTE_ALL,$DF434,43)&amp;"","")&amp;"␟"&amp;IFERROR(INDEX(PASTE_ALL,$DF434,44)&amp;"","")&amp;"␟"&amp;IFERROR(INDEX(PASTE_ALL,$DF434,45)&amp;"","")&amp;"␟"&amp;IFERROR(INDEX(PASTE_ALL,$DF434,46)&amp;"","")&amp;"␟"&amp;IFERROR(INDEX(PASTE_ALL,$DF434,47)&amp;"","")&amp;"␟"&amp;IFERROR(INDEX(PASTE_ALL,$DF434,48)&amp;"","")&amp;"␟"&amp;IFERROR(INDEX(PASTE_ALL,$DF434,49)&amp;"","")&amp;"␟"&amp;IFERROR(INDEX(PASTE_ALL,$DF434,50)&amp;"","")&amp;"␟"&amp;IFERROR(INDEX(PASTE_ALL,$DF434,51)&amp;"","")&amp;"␟"&amp;IFERROR(INDEX(PASTE_ALL,$DF434,52)&amp;"","")&amp;"␟"&amp;IFERROR(INDEX(PASTE_ALL,$DF434,53)&amp;"","")&amp;"␟"&amp;IFERROR(INDEX(PASTE_ALL,$DF434,54)&amp;"","")&amp;"␟"&amp;IFERROR(INDEX(PASTE_ALL,$DF434,55)&amp;"","")&amp;"␟"&amp;IFERROR(INDEX(PASTE_ALL,$DF434,56)&amp;"","")&amp;"␟"&amp;IFERROR(INDEX(PASTE_ALL,$DF434,57)&amp;"","")&amp;"␟"&amp;IFERROR(INDEX(PASTE_ALL,$DF434,58)&amp;"","")&amp;"␟"&amp;IFERROR(INDEX(PASTE_ALL,$DF434,59)&amp;"","")&amp;"␟"&amp;IFERROR(INDEX(PASTE_ALL,$DF434,60)&amp;"","")," "," "),CHAR(9)," "),CHAR(10)," "),CHAR(13)," "))," ␟","␟"),"␟ ","␟"),"#"&amp;$DE434),"")</f>
        <v/>
      </c>
      <c r="DJ434">
        <f>IF($DI434="",0,IF(SUMPRODUCT(--EXACT($DI$4:DI433,$DI434))&gt;0,1,0))</f>
        <v/>
      </c>
      <c r="DK434">
        <f>IF(AND($DI434&lt;&gt;"",$DJ434=0),1,0)</f>
        <v/>
      </c>
      <c r="DL434">
        <f>DL433+$DK434</f>
        <v/>
      </c>
      <c r="DM434">
        <f>IF(AND($DK434=1,$DL434&lt;=600),1,0)</f>
        <v/>
      </c>
      <c r="DN434">
        <f>IF($DM434=0,"",IF($L$6=0,"",IFERROR(IF(ISNUMBER(INDEX(PASTE_ALL,$DF434,$L$6)),INDEX(PASTE_ALL,$DF434,$L$6),TRIM(SUBSTITUTE(SUBSTITUTE(SUBSTITUTE(SUBSTITUTE(INDEX(PASTE_ALL,$DF434,$L$6)," "," "),CHAR(9)," "),CHAR(10)," "),CHAR(13)," "))),"")))</f>
        <v/>
      </c>
      <c r="DO434">
        <f>IF($DM434=0,"",IF($L$7=0,"",IFERROR(IF(ISNUMBER(INDEX(PASTE_ALL,$DF434,$L$7)),INDEX(PASTE_ALL,$DF434,$L$7),TRIM(SUBSTITUTE(SUBSTITUTE(SUBSTITUTE(SUBSTITUTE(INDEX(PASTE_ALL,$DF434,$L$7)," "," "),CHAR(9)," "),CHAR(10)," "),CHAR(13)," "))),"")))</f>
        <v/>
      </c>
      <c r="DP434">
        <f>IF($DM434=0,"",IF($L$8=0,"",IFERROR(IF(ISNUMBER(INDEX(PASTE_ALL,$DF434,$L$8)),INDEX(PASTE_ALL,$DF434,$L$8),TRIM(SUBSTITUTE(SUBSTITUTE(SUBSTITUTE(SUBSTITUTE(INDEX(PASTE_ALL,$DF434,$L$8)," "," "),CHAR(9)," "),CHAR(10)," "),CHAR(13)," "))),"")))</f>
        <v/>
      </c>
      <c r="DQ434">
        <f>IF($DM434=0,"",IF($L$9=0,"",IFERROR(IF(ISNUMBER(INDEX(PASTE_ALL,$DF434,$L$9)),INDEX(PASTE_ALL,$DF434,$L$9),TRIM(SUBSTITUTE(SUBSTITUTE(SUBSTITUTE(SUBSTITUTE(INDEX(PASTE_ALL,$DF434,$L$9)," "," "),CHAR(9)," "),CHAR(10)," "),CHAR(13)," "))),"")))</f>
        <v/>
      </c>
      <c r="DR434">
        <f>IF($DM434=0,"",IF($L$10=0,"",IFERROR(IF(ISNUMBER(INDEX(PASTE_ALL,$DF434,$L$10)),INDEX(PASTE_ALL,$DF434,$L$10),TRIM(SUBSTITUTE(SUBSTITUTE(SUBSTITUTE(SUBSTITUTE(INDEX(PASTE_ALL,$DF434,$L$10)," "," "),CHAR(9)," "),CHAR(10)," "),CHAR(13)," "))),"")))</f>
        <v/>
      </c>
      <c r="DS434">
        <f>IF($DM434=0,"",IF($L$11=0,"",IFERROR(IF(ISNUMBER(INDEX(PASTE_ALL,$DF434,$L$11)),INDEX(PASTE_ALL,$DF434,$L$11),TRIM(SUBSTITUTE(SUBSTITUTE(SUBSTITUTE(SUBSTITUTE(INDEX(PASTE_ALL,$DF434,$L$11)," "," "),CHAR(9)," "),CHAR(10)," "),CHAR(13)," "))),"")))</f>
        <v/>
      </c>
      <c r="DT434">
        <f>IF($DM434=0,"",IF($L$12=0,"",IFERROR(IF(ISNUMBER(INDEX(PASTE_ALL,$DF434,$L$12)),INDEX(PASTE_ALL,$DF434,$L$12),TRIM(SUBSTITUTE(SUBSTITUTE(SUBSTITUTE(SUBSTITUTE(INDEX(PASTE_ALL,$DF434,$L$12)," "," "),CHAR(9)," "),CHAR(10)," "),CHAR(13)," "))),"")))</f>
        <v/>
      </c>
      <c r="DU434">
        <f>IF($DM434=0,"",IF($L$13=0,"",IFERROR(IF(ISNUMBER(INDEX(PASTE_ALL,$DF434,$L$13)),INDEX(PASTE_ALL,$DF434,$L$13),TRIM(SUBSTITUTE(SUBSTITUTE(SUBSTITUTE(SUBSTITUTE(INDEX(PASTE_ALL,$DF434,$L$13)," "," "),CHAR(9)," "),CHAR(10)," "),CHAR(13)," "))),"")))</f>
        <v/>
      </c>
      <c r="DV434">
        <f>IF($DM434=0,"",IF($L$14=0,"",IFERROR(IF(ISNUMBER(INDEX(PASTE_ALL,$DF434,$L$14)),INDEX(PASTE_ALL,$DF434,$L$14),TRIM(SUBSTITUTE(SUBSTITUTE(SUBSTITUTE(SUBSTITUTE(INDEX(PASTE_ALL,$DF434,$L$14)," "," "),CHAR(9)," "),CHAR(10)," "),CHAR(13)," "))),"")))</f>
        <v/>
      </c>
      <c r="DW434">
        <f>IF($DM434=0,"",IF($L$15=0,"",IFERROR(IF(ISNUMBER(INDEX(PASTE_ALL,$DF434,$L$15)),INDEX(PASTE_ALL,$DF434,$L$15),IF(SUMPRODUCT(--ISNUMBER(FIND({"A","B","C","D","E","F","G","H","I","J","K","L","M","N","O","P","Q","R","S","T","U","V","W","X","Y","Z","0","1","2","3","4","5","6","7","8","9"},UPPER(TRIM(SUBSTITUTE(SUBSTITUTE(SUBSTITUTE(SUBSTITUTE(INDEX(PASTE_ALL,$DF434,$L$15)," "," "),CHAR(9)," "),CHAR(10)," "),CHAR(13)," "))))))&gt;0,TRIM(SUBSTITUTE(SUBSTITUTE(SUBSTITUTE(SUBSTITUTE(INDEX(PASTE_ALL,$DF434,$L$15)," "," "),CHAR(9)," "),CHAR(10)," "),CHAR(13)," ")),"")),"")))</f>
        <v/>
      </c>
      <c r="DX434">
        <f>IF($DM434=0,"",IF($L$16=0,"",IFERROR(IF(ISNUMBER(INDEX(PASTE_ALL,$DF434,$L$16)),INDEX(PASTE_ALL,$DF434,$L$16),SUBSTITUTE(SUBSTITUTE(TRIM(SUBSTITUTE(SUBSTITUTE(SUBSTITUTE(SUBSTITUTE(INDEX(PASTE_ALL,$DF434,$L$16)," "," "),CHAR(9)," "),CHAR(10)," "),CHAR(13)," ")),",",""),"%","")),"")))</f>
        <v/>
      </c>
      <c r="DY434">
        <f>IF($DM434=0,"",IFERROR(IF(ISNUMBER($DX434),$DX434,IF($DX434="","",IF(TRIM($DX434)="",0,IF(AND(AND(SUBSTITUTE(SUBSTITUTE(SUBSTITUTE(SUBSTITUTE(SUBSTITUTE(SUBSTITUTE(SUBSTITUTE(SUBSTITUTE(SUBSTITUTE(SUBSTITUTE(SUBSTITUTE(SUBSTITUTE(SUBSTITUTE(SUBSTITUTE(UPPER(TRIM($DX434)),"0",""),"1",""),"2",""),"3",""),"4",""),"5",""),"6",""),"7",""),"8",""),"9",""),".",""),"+",""),"-",""),"E","")="",LEN(SUBSTITUTE(SUBSTITUTE(MID(UPPER(TRIM($DX434)),1+OR(LEFT(UPPER(TRIM($DX434)),1)="+",LEFT(UPPER(TRIM($DX434)),1)="-"),999),"E+","E"),"E-","E"))=LEN(SUBSTITUTE(SUBSTITUTE(SUBSTITUTE(SUBSTITUTE(MID(UPPER(TRIM($DX434)),1+OR(LEFT(UPPER(TRIM($DX434)),1)="+",LEFT(UPPER(TRIM($DX434)),1)="-"),999),"E+","E"),"E-","E"),"+",""),"-","")),LEN(UPPER(TRIM($DX434)))-LEN(SUBSTITUTE(UPPER(TRIM($DX434)),"E",""))&lt;2,LEN(UPPER(TRIM($DX434)))-LEN(SUBSTITUTE(UPPER(TRIM($DX434)),".",""))&lt;2,IFERROR(FIND(".",UPPER(TRIM($DX434))),0)&lt;IFERROR(FIND("E",UPPER(TRIM($DX434))),999)),ISNUMBER(VALUE(TRIM($DX434)))),VALUE(TRIM($DX434)),"")))),""))</f>
        <v/>
      </c>
      <c r="DZ434">
        <f>IF($DM434=0,"",IF($L$17=0,"",IFERROR(IF(ISNUMBER(INDEX(PASTE_ALL,$DF434,$L$17)),INDEX(PASTE_ALL,$DF434,$L$17),SUBSTITUTE(SUBSTITUTE(TRIM(SUBSTITUTE(SUBSTITUTE(SUBSTITUTE(SUBSTITUTE(INDEX(PASTE_ALL,$DF434,$L$17)," "," "),CHAR(9)," "),CHAR(10)," "),CHAR(13)," ")),",",""),"%","")),"")))</f>
        <v/>
      </c>
      <c r="EA434">
        <f>IF($DM434=0,"",IFERROR(IF(ISNUMBER($DZ434),$DZ434,IF($DZ434="","",IF(TRIM($DZ434)="",0,IF(AND(AND(SUBSTITUTE(SUBSTITUTE(SUBSTITUTE(SUBSTITUTE(SUBSTITUTE(SUBSTITUTE(SUBSTITUTE(SUBSTITUTE(SUBSTITUTE(SUBSTITUTE(SUBSTITUTE(SUBSTITUTE(SUBSTITUTE(SUBSTITUTE(UPPER(TRIM($DZ434)),"0",""),"1",""),"2",""),"3",""),"4",""),"5",""),"6",""),"7",""),"8",""),"9",""),".",""),"+",""),"-",""),"E","")="",LEN(SUBSTITUTE(SUBSTITUTE(MID(UPPER(TRIM($DZ434)),1+OR(LEFT(UPPER(TRIM($DZ434)),1)="+",LEFT(UPPER(TRIM($DZ434)),1)="-"),999),"E+","E"),"E-","E"))=LEN(SUBSTITUTE(SUBSTITUTE(SUBSTITUTE(SUBSTITUTE(MID(UPPER(TRIM($DZ434)),1+OR(LEFT(UPPER(TRIM($DZ434)),1)="+",LEFT(UPPER(TRIM($DZ434)),1)="-"),999),"E+","E"),"E-","E"),"+",""),"-","")),LEN(UPPER(TRIM($DZ434)))-LEN(SUBSTITUTE(UPPER(TRIM($DZ434)),"E",""))&lt;2,LEN(UPPER(TRIM($DZ434)))-LEN(SUBSTITUTE(UPPER(TRIM($DZ434)),".",""))&lt;2,IFERROR(FIND(".",UPPER(TRIM($DZ434))),0)&lt;IFERROR(FIND("E",UPPER(TRIM($DZ434))),999)),ISNUMBER(VALUE(TRIM($DZ434)))),VALUE(TRIM($DZ434)),"")))),""))</f>
        <v/>
      </c>
      <c r="EB434">
        <f>IF($DM434=0,"",IF($L$18=0,"",IFERROR(IF(UPPER(TRIM(SUBSTITUTE(SUBSTITUTE(SUBSTITUTE(SUBSTITUTE(INDEX(PASTE_ALL,$DF434,$L$18)," "," "),CHAR(9)," "),CHAR(10)," "),CHAR(13)," ")))="READY","Ready",IF(UPPER(TRIM(SUBSTITUTE(SUBSTITUTE(SUBSTITUTE(SUBSTITUTE(INDEX(PASTE_ALL,$DF434,$L$18)," "," "),CHAR(9)," "),CHAR(10)," "),CHAR(13)," ")))="PM","PM",IF(OR(UPPER(TRIM(SUBSTITUTE(SUBSTITUTE(SUBSTITUTE(SUBSTITUTE(INDEX(PASTE_ALL,$DF434,$L$18)," "," "),CHAR(9)," "),CHAR(10)," "),CHAR(13)," ")))="OT",UPPER(TRIM(SUBSTITUTE(SUBSTITUTE(SUBSTITUTE(SUBSTITUTE(INDEX(PASTE_ALL,$DF434,$L$18)," "," "),CHAR(9)," "),CHAR(10)," "),CHAR(13)," ")))="OVERTIME",UPPER(TRIM(SUBSTITUTE(SUBSTITUTE(SUBSTITUTE(SUBSTITUTE(INDEX(PASTE_ALL,$DF434,$L$18)," "," "),CHAR(9)," "),CHAR(10)," "),CHAR(13)," ")))="TRIAL"),"OT",TRIM(SUBSTITUTE(SUBSTITUTE(SUBSTITUTE(SUBSTITUTE(INDEX(PASTE_ALL,$DF434,$L$18)," "," "),CHAR(9)," "),CHAR(10)," "),CHAR(13)," "))))),"")))</f>
        <v/>
      </c>
      <c r="EC434">
        <f>IF($DM434=0,"",IF($L$19=0,"",IFERROR(IF(ISNUMBER(INDEX(PASTE_ALL,$DF434,$L$19)),INDEX(PASTE_ALL,$DF434,$L$19),TRIM(SUBSTITUTE(SUBSTITUTE(SUBSTITUTE(SUBSTITUTE(INDEX(PASTE_ALL,$DF434,$L$19)," "," "),CHAR(9)," "),CHAR(10)," "),CHAR(13)," "))),"")))</f>
        <v/>
      </c>
      <c r="ED434">
        <f>IF($DM434=0,"",MATCH(1,INDEX(EXACT($DH$5:DH434,$DH434)*$DM$5:DM434,0),0))</f>
        <v/>
      </c>
      <c r="EE434">
        <f>IF($DM434=0,0,IF($ED434=$DE434,1,0))</f>
        <v/>
      </c>
      <c r="EF434">
        <f>EF433+$EE434</f>
        <v/>
      </c>
      <c r="EG434">
        <f>IF($DM434=0,"",INDEX($EF$5:$EF$1003,$ED434))</f>
        <v/>
      </c>
      <c r="EH434">
        <f>IF($DM434=0,"",IF($DO434&lt;&gt;"","",IFERROR(LOOKUP(2,1/(($EG$4:EG433=$EG434)*($DO$4:DO433&lt;&gt;"")),$DO$4:DO433),"")))</f>
        <v/>
      </c>
      <c r="EI434">
        <f>IF($DM434=0,"",IF($DO434&lt;&gt;"",$DO434,$EH434))</f>
        <v/>
      </c>
      <c r="EJ434">
        <f>IF($DM434=0,"",IF($EI434="",0,IF(OR(ISNUMBER($EI434),AND(AND(SUBSTITUTE(SUBSTITUTE(SUBSTITUTE(SUBSTITUTE(SUBSTITUTE(SUBSTITUTE(SUBSTITUTE(SUBSTITUTE(SUBSTITUTE(SUBSTITUTE(SUBSTITUTE(SUBSTITUTE(SUBSTITUTE(SUBSTITUTE(UPPER($EI434),"0",""),"1",""),"2",""),"3",""),"4",""),"5",""),"6",""),"7",""),"8",""),"9",""),".",""),"+",""),"-",""),"E","")="",LEN(SUBSTITUTE(SUBSTITUTE(MID(UPPER($EI434),1+OR(LEFT(UPPER($EI434),1)="+",LEFT(UPPER($EI434),1)="-"),999),"E+","E"),"E-","E"))=LEN(SUBSTITUTE(SUBSTITUTE(SUBSTITUTE(SUBSTITUTE(MID(UPPER($EI434),1+OR(LEFT(UPPER($EI434),1)="+",LEFT(UPPER($EI434),1)="-"),999),"E+","E"),"E-","E"),"+",""),"-","")),LEN(UPPER($EI434))-LEN(SUBSTITUTE(UPPER($EI434),"E",""))&lt;2,LEN(UPPER($EI434))-LEN(SUBSTITUTE(UPPER($EI434),".",""))&lt;2,IFERROR(FIND(".",UPPER($EI434)),0)&lt;IFERROR(FIND("E",UPPER($EI434)),999)),ISNUMBER(VALUE($EI434)))),1,2)))</f>
        <v/>
      </c>
      <c r="EK434">
        <f>IF($DM434=0,"",IF($EJ434=1,IF(ISNUMBER($EI434),$EI434,VALUE($EI434)),IF($EJ434=2,$DE434,0)))</f>
        <v/>
      </c>
      <c r="EL434">
        <f>IF($DM434=0,"",COUNTIF($EG$5:$EG$1003,"&lt;"&amp;$EG434)+SUMPRODUCT(($EG$5:$EG$1003=$EG434)*(($EJ$5:$EJ$1003&lt;$EJ434)+($EJ$5:$EJ$1003=$EJ434)*(($EK$5:$EK$1003&lt;$EK434)+($EK$5:$EK$1003=$EK434)*($DE$5:$DE$1003&lt;$DE434))))+1)</f>
        <v/>
      </c>
      <c r="EM434">
        <f>IF($DM434=0,"",$EL434+$EG434-1)</f>
        <v/>
      </c>
      <c r="EN434">
        <f>IF($DM434=0,0,IFERROR(MATCH(1,INDEX(--(TRIM(SUBSTITUTE(SUBSTITUTE(SUBSTITUTE(SUBSTITUTE(LINES_NAME&amp;""," "," "),CHAR(9)," "),CHAR(10)," "),CHAR(13)," "))=$DH434),0),0),0))</f>
        <v/>
      </c>
      <c r="EO434">
        <f>IF($EN434=0,0,IF(OR(UPPER(TRIM(INDEX(LINES_SCHEDULED,$EN434)&amp;""))="YES",UPPER(TRIM(INDEX(LINES_SCHEDULED,$EN434)&amp;""))="Y",UPPER(TRIM(INDEX(LINES_SCHEDULED,$EN434)&amp;""))="X"),1,0))</f>
        <v/>
      </c>
      <c r="EP434">
        <f>IF($DM434=0,"",IF(COUNTIFS($EG$5:$EG$1003,$EG434,$EB$5:$EB$1003,"Ready")&gt;0,"READY",IF(COUNTIFS($EG$5:$EG$1003,$EG434,$EB$5:$EB$1003,"PM")&gt;0,"PM",IF(COUNTIFS($EG$5:$EG$1003,$EG434,$EB$5:$EB$1003,"OT")&gt;0,"OT",""))))</f>
        <v/>
      </c>
      <c r="EQ434">
        <f>IF($EN434=0,"",UPPER(TRIM(INDEX(LINES_STATUS,$EN434)&amp;"")))</f>
        <v/>
      </c>
      <c r="ER434">
        <f>IF($DM434=0,"",IF(OR($EQ434="READY",$EQ434="PM",$EQ434="OT"),$EQ434,$EP434))</f>
        <v/>
      </c>
      <c r="ES434">
        <f>IF($DM434=0,"",IF(AND($DV434&lt;&gt;"",UPPER($DV434)&lt;&gt;"N"),"allergen",IF(ISNUMBER(SEARCH("oil",$DQ434)),"oil",IF(OR(EXACT($DS434,"A662"),EXACT($DS434,"A624")),"bulk",""))))</f>
        <v/>
      </c>
      <c r="ET434">
        <f>IF($DM434=0,"",IF(OR($EA434="",$EA434=0),"",$EA434/100))</f>
        <v/>
      </c>
      <c r="EU434">
        <f>IF(OR($ET434="",$DY434=""),"",INT($DY434*(1-$ET434)+0.5))</f>
        <v/>
      </c>
      <c r="EW434" t="n">
        <v>430</v>
      </c>
      <c r="EX434">
        <f>IFERROR(MATCH($EW434,$EM$5:$EM$1003,0),0)</f>
        <v/>
      </c>
      <c r="EY434">
        <f>IF($EW434&gt;$B$12,"",IF($EX434&gt;0,"row","spacer"))</f>
        <v/>
      </c>
      <c r="EZ434">
        <f>IF(AND($EY434="row",$EY433&lt;&gt;"row"),1,0)</f>
        <v/>
      </c>
      <c r="FA434">
        <f>IF(AND($EY434="row",$EY435&lt;&gt;"row"),1,0)</f>
        <v/>
      </c>
      <c r="FB434">
        <f>IF($EZ434=1,IFERROR(IF(ISNUMBER(INDEX(PASTE_ALL,INDEX($DF$5:$DF$1003,$EX434),$B$37)),INDEX(PASTE_ALL,INDEX($DF$5:$DF$1003,$EX434),$B$37),INDEX($DH$5:$DH$1003,$EX434)),INDEX($DH$5:$DH$1003,$EX434)),"")</f>
        <v/>
      </c>
      <c r="FC434">
        <f>IF($EY434="row",INDEX($ER$5:$ER$1003,$EX434),"")</f>
        <v/>
      </c>
      <c r="FD434">
        <f>IF($EY434="row",INDEX($DN$5:$DN$1003,$EX434),"")</f>
        <v/>
      </c>
      <c r="FE434">
        <f>IF($EY434="row",INDEX($DO$5:$DO$1003,$EX434),"")</f>
        <v/>
      </c>
      <c r="FF434">
        <f>IF($EY434="row",INDEX($DP$5:$DP$1003,$EX434),"")</f>
        <v/>
      </c>
      <c r="FG434">
        <f>IF($EY434="row",INDEX($DQ$5:$DQ$1003,$EX434),"")</f>
        <v/>
      </c>
      <c r="FH434">
        <f>IF($EY434="row",INDEX($DR$5:$DR$1003,$EX434),"")</f>
        <v/>
      </c>
      <c r="FI434">
        <f>IF($EY434="row",INDEX($DS$5:$DS$1003,$EX434),"")</f>
        <v/>
      </c>
      <c r="FJ434">
        <f>IF($EY434="row",INDEX($DT$5:$DT$1003,$EX434),"")</f>
        <v/>
      </c>
      <c r="FK434">
        <f>IF($EY434="row",INDEX($DU$5:$DU$1003,$EX434),"")</f>
        <v/>
      </c>
      <c r="FL434">
        <f>IF($EY434="row",INDEX($DV$5:$DV$1003,$EX434),"")</f>
        <v/>
      </c>
      <c r="FM434">
        <f>IF($EY434="row",INDEX($DW$5:$DW$1003,$EX434),"")</f>
        <v/>
      </c>
      <c r="FN434">
        <f>IF($EY434="row",INDEX($DY$5:$DY$1003,$EX434),"")</f>
        <v/>
      </c>
      <c r="FO434">
        <f>IF($EY434="row",INDEX($EA$5:$EA$1003,$EX434),"")</f>
        <v/>
      </c>
      <c r="FP434">
        <f>IF($EY434="row",INDEX($EC$5:$EC$1003,$EX434),"")</f>
        <v/>
      </c>
      <c r="FQ434">
        <f>IF($EY434="row",INDEX($ET$5:$ET$1003,$EX434),"")</f>
        <v/>
      </c>
      <c r="FR434">
        <f>IF($EY434="row",INDEX($EU$5:$EU$1003,$EX434),"")</f>
        <v/>
      </c>
      <c r="FS434">
        <f>IF(AND($EY434="row",$EY433="row"),IF(OR(INDEX($DT$5:$DT$1003,$EX433)="",INDEX($DT$5:$DT$1003,$EX434)=""),"",IF(NOT(EXACT(INDEX($DT$5:$DT$1003,$EX433),INDEX($DT$5:$DT$1003,$EX434))),"S4",IF(NOT(EXACT(INDEX($DS$5:$DS$1003,$EX433),INDEX($DS$5:$DS$1003,$EX434))),"S3",IF(NOT(EXACT(INDEX($DR$5:$DR$1003,$EX433),INDEX($DR$5:$DR$1003,$EX434))),"S1 Count Change","S1")))),"")</f>
        <v/>
      </c>
      <c r="FT434">
        <f>IF($EY434="row",INDEX($ES$5:$ES$1003,$EX434),"")</f>
        <v/>
      </c>
      <c r="FU434">
        <f>IF($EY434="row",INDEX($EO$5:$EO$1003,$EX434),0)</f>
        <v/>
      </c>
      <c r="FV434">
        <f>IF($FS434="S1 Count Change",1,0)</f>
        <v/>
      </c>
    </row>
    <row r="435">
      <c r="DA435" t="n">
        <v>431</v>
      </c>
      <c r="DB435">
        <f>IF($B$37=0,"",IFERROR(TRIM(SUBSTITUTE(SUBSTITUTE(SUBSTITUTE(SUBSTITUTE(INDEX(PASTE_ALL,431,$B$37)," "," "),CHAR(9)," "),CHAR(10)," "),CHAR(13)," ")),""))</f>
        <v/>
      </c>
      <c r="DC435">
        <f>IF(AND(431&gt;HEADER_ROW,UPPER(DB435)="LEGEND"),1,0)</f>
        <v/>
      </c>
      <c r="DE435" t="n">
        <v>431</v>
      </c>
      <c r="DF435">
        <f>HEADER_ROW+$DE435</f>
        <v/>
      </c>
      <c r="DG435">
        <f>IF(AND($DF435&lt;=1000,$DF435&lt;$B$8),1,0)</f>
        <v/>
      </c>
      <c r="DH435">
        <f>IF($DG435=1,IFERROR(INDEX($DB$5:$DB$1004,$DF435),""),"")</f>
        <v/>
      </c>
      <c r="DI435">
        <f>IF(AND($DG435=1,$DH435&lt;&gt;""),IFERROR(SUBSTITUTE(SUBSTITUTE(TRIM(SUBSTITUTE(SUBSTITUTE(SUBSTITUTE(SUBSTITUTE(IFERROR(INDEX(PASTE_ALL,$DF435,1)&amp;"","")&amp;"␟"&amp;IFERROR(INDEX(PASTE_ALL,$DF435,2)&amp;"","")&amp;"␟"&amp;IFERROR(INDEX(PASTE_ALL,$DF435,3)&amp;"","")&amp;"␟"&amp;IFERROR(INDEX(PASTE_ALL,$DF435,4)&amp;"","")&amp;"␟"&amp;IFERROR(INDEX(PASTE_ALL,$DF435,5)&amp;"","")&amp;"␟"&amp;IFERROR(INDEX(PASTE_ALL,$DF435,6)&amp;"","")&amp;"␟"&amp;IFERROR(INDEX(PASTE_ALL,$DF435,7)&amp;"","")&amp;"␟"&amp;IFERROR(INDEX(PASTE_ALL,$DF435,8)&amp;"","")&amp;"␟"&amp;IFERROR(INDEX(PASTE_ALL,$DF435,9)&amp;"","")&amp;"␟"&amp;IFERROR(INDEX(PASTE_ALL,$DF435,10)&amp;"","")&amp;"␟"&amp;IFERROR(INDEX(PASTE_ALL,$DF435,11)&amp;"","")&amp;"␟"&amp;IFERROR(INDEX(PASTE_ALL,$DF435,12)&amp;"","")&amp;"␟"&amp;IFERROR(INDEX(PASTE_ALL,$DF435,13)&amp;"","")&amp;"␟"&amp;IFERROR(INDEX(PASTE_ALL,$DF435,14)&amp;"","")&amp;"␟"&amp;IFERROR(INDEX(PASTE_ALL,$DF435,15)&amp;"","")&amp;"␟"&amp;IFERROR(INDEX(PASTE_ALL,$DF435,16)&amp;"","")&amp;"␟"&amp;IFERROR(INDEX(PASTE_ALL,$DF435,17)&amp;"","")&amp;"␟"&amp;IFERROR(INDEX(PASTE_ALL,$DF435,18)&amp;"","")&amp;"␟"&amp;IFERROR(INDEX(PASTE_ALL,$DF435,19)&amp;"","")&amp;"␟"&amp;IFERROR(INDEX(PASTE_ALL,$DF435,20)&amp;"","")&amp;"␟"&amp;IFERROR(INDEX(PASTE_ALL,$DF435,21)&amp;"","")&amp;"␟"&amp;IFERROR(INDEX(PASTE_ALL,$DF435,22)&amp;"","")&amp;"␟"&amp;IFERROR(INDEX(PASTE_ALL,$DF435,23)&amp;"","")&amp;"␟"&amp;IFERROR(INDEX(PASTE_ALL,$DF435,24)&amp;"","")&amp;"␟"&amp;IFERROR(INDEX(PASTE_ALL,$DF435,25)&amp;"","")&amp;"␟"&amp;IFERROR(INDEX(PASTE_ALL,$DF435,26)&amp;"","")&amp;"␟"&amp;IFERROR(INDEX(PASTE_ALL,$DF435,27)&amp;"","")&amp;"␟"&amp;IFERROR(INDEX(PASTE_ALL,$DF435,28)&amp;"","")&amp;"␟"&amp;IFERROR(INDEX(PASTE_ALL,$DF435,29)&amp;"","")&amp;"␟"&amp;IFERROR(INDEX(PASTE_ALL,$DF435,30)&amp;"","")&amp;"␟"&amp;IFERROR(INDEX(PASTE_ALL,$DF435,31)&amp;"","")&amp;"␟"&amp;IFERROR(INDEX(PASTE_ALL,$DF435,32)&amp;"","")&amp;"␟"&amp;IFERROR(INDEX(PASTE_ALL,$DF435,33)&amp;"","")&amp;"␟"&amp;IFERROR(INDEX(PASTE_ALL,$DF435,34)&amp;"","")&amp;"␟"&amp;IFERROR(INDEX(PASTE_ALL,$DF435,35)&amp;"","")&amp;"␟"&amp;IFERROR(INDEX(PASTE_ALL,$DF435,36)&amp;"","")&amp;"␟"&amp;IFERROR(INDEX(PASTE_ALL,$DF435,37)&amp;"","")&amp;"␟"&amp;IFERROR(INDEX(PASTE_ALL,$DF435,38)&amp;"","")&amp;"␟"&amp;IFERROR(INDEX(PASTE_ALL,$DF435,39)&amp;"","")&amp;"␟"&amp;IFERROR(INDEX(PASTE_ALL,$DF435,40)&amp;"","")&amp;"␟"&amp;IFERROR(INDEX(PASTE_ALL,$DF435,41)&amp;"","")&amp;"␟"&amp;IFERROR(INDEX(PASTE_ALL,$DF435,42)&amp;"","")&amp;"␟"&amp;IFERROR(INDEX(PASTE_ALL,$DF435,43)&amp;"","")&amp;"␟"&amp;IFERROR(INDEX(PASTE_ALL,$DF435,44)&amp;"","")&amp;"␟"&amp;IFERROR(INDEX(PASTE_ALL,$DF435,45)&amp;"","")&amp;"␟"&amp;IFERROR(INDEX(PASTE_ALL,$DF435,46)&amp;"","")&amp;"␟"&amp;IFERROR(INDEX(PASTE_ALL,$DF435,47)&amp;"","")&amp;"␟"&amp;IFERROR(INDEX(PASTE_ALL,$DF435,48)&amp;"","")&amp;"␟"&amp;IFERROR(INDEX(PASTE_ALL,$DF435,49)&amp;"","")&amp;"␟"&amp;IFERROR(INDEX(PASTE_ALL,$DF435,50)&amp;"","")&amp;"␟"&amp;IFERROR(INDEX(PASTE_ALL,$DF435,51)&amp;"","")&amp;"␟"&amp;IFERROR(INDEX(PASTE_ALL,$DF435,52)&amp;"","")&amp;"␟"&amp;IFERROR(INDEX(PASTE_ALL,$DF435,53)&amp;"","")&amp;"␟"&amp;IFERROR(INDEX(PASTE_ALL,$DF435,54)&amp;"","")&amp;"␟"&amp;IFERROR(INDEX(PASTE_ALL,$DF435,55)&amp;"","")&amp;"␟"&amp;IFERROR(INDEX(PASTE_ALL,$DF435,56)&amp;"","")&amp;"␟"&amp;IFERROR(INDEX(PASTE_ALL,$DF435,57)&amp;"","")&amp;"␟"&amp;IFERROR(INDEX(PASTE_ALL,$DF435,58)&amp;"","")&amp;"␟"&amp;IFERROR(INDEX(PASTE_ALL,$DF435,59)&amp;"","")&amp;"␟"&amp;IFERROR(INDEX(PASTE_ALL,$DF435,60)&amp;"","")," "," "),CHAR(9)," "),CHAR(10)," "),CHAR(13)," "))," ␟","␟"),"␟ ","␟"),"#"&amp;$DE435),"")</f>
        <v/>
      </c>
      <c r="DJ435">
        <f>IF($DI435="",0,IF(SUMPRODUCT(--EXACT($DI$4:DI434,$DI435))&gt;0,1,0))</f>
        <v/>
      </c>
      <c r="DK435">
        <f>IF(AND($DI435&lt;&gt;"",$DJ435=0),1,0)</f>
        <v/>
      </c>
      <c r="DL435">
        <f>DL434+$DK435</f>
        <v/>
      </c>
      <c r="DM435">
        <f>IF(AND($DK435=1,$DL435&lt;=600),1,0)</f>
        <v/>
      </c>
      <c r="DN435">
        <f>IF($DM435=0,"",IF($L$6=0,"",IFERROR(IF(ISNUMBER(INDEX(PASTE_ALL,$DF435,$L$6)),INDEX(PASTE_ALL,$DF435,$L$6),TRIM(SUBSTITUTE(SUBSTITUTE(SUBSTITUTE(SUBSTITUTE(INDEX(PASTE_ALL,$DF435,$L$6)," "," "),CHAR(9)," "),CHAR(10)," "),CHAR(13)," "))),"")))</f>
        <v/>
      </c>
      <c r="DO435">
        <f>IF($DM435=0,"",IF($L$7=0,"",IFERROR(IF(ISNUMBER(INDEX(PASTE_ALL,$DF435,$L$7)),INDEX(PASTE_ALL,$DF435,$L$7),TRIM(SUBSTITUTE(SUBSTITUTE(SUBSTITUTE(SUBSTITUTE(INDEX(PASTE_ALL,$DF435,$L$7)," "," "),CHAR(9)," "),CHAR(10)," "),CHAR(13)," "))),"")))</f>
        <v/>
      </c>
      <c r="DP435">
        <f>IF($DM435=0,"",IF($L$8=0,"",IFERROR(IF(ISNUMBER(INDEX(PASTE_ALL,$DF435,$L$8)),INDEX(PASTE_ALL,$DF435,$L$8),TRIM(SUBSTITUTE(SUBSTITUTE(SUBSTITUTE(SUBSTITUTE(INDEX(PASTE_ALL,$DF435,$L$8)," "," "),CHAR(9)," "),CHAR(10)," "),CHAR(13)," "))),"")))</f>
        <v/>
      </c>
      <c r="DQ435">
        <f>IF($DM435=0,"",IF($L$9=0,"",IFERROR(IF(ISNUMBER(INDEX(PASTE_ALL,$DF435,$L$9)),INDEX(PASTE_ALL,$DF435,$L$9),TRIM(SUBSTITUTE(SUBSTITUTE(SUBSTITUTE(SUBSTITUTE(INDEX(PASTE_ALL,$DF435,$L$9)," "," "),CHAR(9)," "),CHAR(10)," "),CHAR(13)," "))),"")))</f>
        <v/>
      </c>
      <c r="DR435">
        <f>IF($DM435=0,"",IF($L$10=0,"",IFERROR(IF(ISNUMBER(INDEX(PASTE_ALL,$DF435,$L$10)),INDEX(PASTE_ALL,$DF435,$L$10),TRIM(SUBSTITUTE(SUBSTITUTE(SUBSTITUTE(SUBSTITUTE(INDEX(PASTE_ALL,$DF435,$L$10)," "," "),CHAR(9)," "),CHAR(10)," "),CHAR(13)," "))),"")))</f>
        <v/>
      </c>
      <c r="DS435">
        <f>IF($DM435=0,"",IF($L$11=0,"",IFERROR(IF(ISNUMBER(INDEX(PASTE_ALL,$DF435,$L$11)),INDEX(PASTE_ALL,$DF435,$L$11),TRIM(SUBSTITUTE(SUBSTITUTE(SUBSTITUTE(SUBSTITUTE(INDEX(PASTE_ALL,$DF435,$L$11)," "," "),CHAR(9)," "),CHAR(10)," "),CHAR(13)," "))),"")))</f>
        <v/>
      </c>
      <c r="DT435">
        <f>IF($DM435=0,"",IF($L$12=0,"",IFERROR(IF(ISNUMBER(INDEX(PASTE_ALL,$DF435,$L$12)),INDEX(PASTE_ALL,$DF435,$L$12),TRIM(SUBSTITUTE(SUBSTITUTE(SUBSTITUTE(SUBSTITUTE(INDEX(PASTE_ALL,$DF435,$L$12)," "," "),CHAR(9)," "),CHAR(10)," "),CHAR(13)," "))),"")))</f>
        <v/>
      </c>
      <c r="DU435">
        <f>IF($DM435=0,"",IF($L$13=0,"",IFERROR(IF(ISNUMBER(INDEX(PASTE_ALL,$DF435,$L$13)),INDEX(PASTE_ALL,$DF435,$L$13),TRIM(SUBSTITUTE(SUBSTITUTE(SUBSTITUTE(SUBSTITUTE(INDEX(PASTE_ALL,$DF435,$L$13)," "," "),CHAR(9)," "),CHAR(10)," "),CHAR(13)," "))),"")))</f>
        <v/>
      </c>
      <c r="DV435">
        <f>IF($DM435=0,"",IF($L$14=0,"",IFERROR(IF(ISNUMBER(INDEX(PASTE_ALL,$DF435,$L$14)),INDEX(PASTE_ALL,$DF435,$L$14),TRIM(SUBSTITUTE(SUBSTITUTE(SUBSTITUTE(SUBSTITUTE(INDEX(PASTE_ALL,$DF435,$L$14)," "," "),CHAR(9)," "),CHAR(10)," "),CHAR(13)," "))),"")))</f>
        <v/>
      </c>
      <c r="DW435">
        <f>IF($DM435=0,"",IF($L$15=0,"",IFERROR(IF(ISNUMBER(INDEX(PASTE_ALL,$DF435,$L$15)),INDEX(PASTE_ALL,$DF435,$L$15),IF(SUMPRODUCT(--ISNUMBER(FIND({"A","B","C","D","E","F","G","H","I","J","K","L","M","N","O","P","Q","R","S","T","U","V","W","X","Y","Z","0","1","2","3","4","5","6","7","8","9"},UPPER(TRIM(SUBSTITUTE(SUBSTITUTE(SUBSTITUTE(SUBSTITUTE(INDEX(PASTE_ALL,$DF435,$L$15)," "," "),CHAR(9)," "),CHAR(10)," "),CHAR(13)," "))))))&gt;0,TRIM(SUBSTITUTE(SUBSTITUTE(SUBSTITUTE(SUBSTITUTE(INDEX(PASTE_ALL,$DF435,$L$15)," "," "),CHAR(9)," "),CHAR(10)," "),CHAR(13)," ")),"")),"")))</f>
        <v/>
      </c>
      <c r="DX435">
        <f>IF($DM435=0,"",IF($L$16=0,"",IFERROR(IF(ISNUMBER(INDEX(PASTE_ALL,$DF435,$L$16)),INDEX(PASTE_ALL,$DF435,$L$16),SUBSTITUTE(SUBSTITUTE(TRIM(SUBSTITUTE(SUBSTITUTE(SUBSTITUTE(SUBSTITUTE(INDEX(PASTE_ALL,$DF435,$L$16)," "," "),CHAR(9)," "),CHAR(10)," "),CHAR(13)," ")),",",""),"%","")),"")))</f>
        <v/>
      </c>
      <c r="DY435">
        <f>IF($DM435=0,"",IFERROR(IF(ISNUMBER($DX435),$DX435,IF($DX435="","",IF(TRIM($DX435)="",0,IF(AND(AND(SUBSTITUTE(SUBSTITUTE(SUBSTITUTE(SUBSTITUTE(SUBSTITUTE(SUBSTITUTE(SUBSTITUTE(SUBSTITUTE(SUBSTITUTE(SUBSTITUTE(SUBSTITUTE(SUBSTITUTE(SUBSTITUTE(SUBSTITUTE(UPPER(TRIM($DX435)),"0",""),"1",""),"2",""),"3",""),"4",""),"5",""),"6",""),"7",""),"8",""),"9",""),".",""),"+",""),"-",""),"E","")="",LEN(SUBSTITUTE(SUBSTITUTE(MID(UPPER(TRIM($DX435)),1+OR(LEFT(UPPER(TRIM($DX435)),1)="+",LEFT(UPPER(TRIM($DX435)),1)="-"),999),"E+","E"),"E-","E"))=LEN(SUBSTITUTE(SUBSTITUTE(SUBSTITUTE(SUBSTITUTE(MID(UPPER(TRIM($DX435)),1+OR(LEFT(UPPER(TRIM($DX435)),1)="+",LEFT(UPPER(TRIM($DX435)),1)="-"),999),"E+","E"),"E-","E"),"+",""),"-","")),LEN(UPPER(TRIM($DX435)))-LEN(SUBSTITUTE(UPPER(TRIM($DX435)),"E",""))&lt;2,LEN(UPPER(TRIM($DX435)))-LEN(SUBSTITUTE(UPPER(TRIM($DX435)),".",""))&lt;2,IFERROR(FIND(".",UPPER(TRIM($DX435))),0)&lt;IFERROR(FIND("E",UPPER(TRIM($DX435))),999)),ISNUMBER(VALUE(TRIM($DX435)))),VALUE(TRIM($DX435)),"")))),""))</f>
        <v/>
      </c>
      <c r="DZ435">
        <f>IF($DM435=0,"",IF($L$17=0,"",IFERROR(IF(ISNUMBER(INDEX(PASTE_ALL,$DF435,$L$17)),INDEX(PASTE_ALL,$DF435,$L$17),SUBSTITUTE(SUBSTITUTE(TRIM(SUBSTITUTE(SUBSTITUTE(SUBSTITUTE(SUBSTITUTE(INDEX(PASTE_ALL,$DF435,$L$17)," "," "),CHAR(9)," "),CHAR(10)," "),CHAR(13)," ")),",",""),"%","")),"")))</f>
        <v/>
      </c>
      <c r="EA435">
        <f>IF($DM435=0,"",IFERROR(IF(ISNUMBER($DZ435),$DZ435,IF($DZ435="","",IF(TRIM($DZ435)="",0,IF(AND(AND(SUBSTITUTE(SUBSTITUTE(SUBSTITUTE(SUBSTITUTE(SUBSTITUTE(SUBSTITUTE(SUBSTITUTE(SUBSTITUTE(SUBSTITUTE(SUBSTITUTE(SUBSTITUTE(SUBSTITUTE(SUBSTITUTE(SUBSTITUTE(UPPER(TRIM($DZ435)),"0",""),"1",""),"2",""),"3",""),"4",""),"5",""),"6",""),"7",""),"8",""),"9",""),".",""),"+",""),"-",""),"E","")="",LEN(SUBSTITUTE(SUBSTITUTE(MID(UPPER(TRIM($DZ435)),1+OR(LEFT(UPPER(TRIM($DZ435)),1)="+",LEFT(UPPER(TRIM($DZ435)),1)="-"),999),"E+","E"),"E-","E"))=LEN(SUBSTITUTE(SUBSTITUTE(SUBSTITUTE(SUBSTITUTE(MID(UPPER(TRIM($DZ435)),1+OR(LEFT(UPPER(TRIM($DZ435)),1)="+",LEFT(UPPER(TRIM($DZ435)),1)="-"),999),"E+","E"),"E-","E"),"+",""),"-","")),LEN(UPPER(TRIM($DZ435)))-LEN(SUBSTITUTE(UPPER(TRIM($DZ435)),"E",""))&lt;2,LEN(UPPER(TRIM($DZ435)))-LEN(SUBSTITUTE(UPPER(TRIM($DZ435)),".",""))&lt;2,IFERROR(FIND(".",UPPER(TRIM($DZ435))),0)&lt;IFERROR(FIND("E",UPPER(TRIM($DZ435))),999)),ISNUMBER(VALUE(TRIM($DZ435)))),VALUE(TRIM($DZ435)),"")))),""))</f>
        <v/>
      </c>
      <c r="EB435">
        <f>IF($DM435=0,"",IF($L$18=0,"",IFERROR(IF(UPPER(TRIM(SUBSTITUTE(SUBSTITUTE(SUBSTITUTE(SUBSTITUTE(INDEX(PASTE_ALL,$DF435,$L$18)," "," "),CHAR(9)," "),CHAR(10)," "),CHAR(13)," ")))="READY","Ready",IF(UPPER(TRIM(SUBSTITUTE(SUBSTITUTE(SUBSTITUTE(SUBSTITUTE(INDEX(PASTE_ALL,$DF435,$L$18)," "," "),CHAR(9)," "),CHAR(10)," "),CHAR(13)," ")))="PM","PM",IF(OR(UPPER(TRIM(SUBSTITUTE(SUBSTITUTE(SUBSTITUTE(SUBSTITUTE(INDEX(PASTE_ALL,$DF435,$L$18)," "," "),CHAR(9)," "),CHAR(10)," "),CHAR(13)," ")))="OT",UPPER(TRIM(SUBSTITUTE(SUBSTITUTE(SUBSTITUTE(SUBSTITUTE(INDEX(PASTE_ALL,$DF435,$L$18)," "," "),CHAR(9)," "),CHAR(10)," "),CHAR(13)," ")))="OVERTIME",UPPER(TRIM(SUBSTITUTE(SUBSTITUTE(SUBSTITUTE(SUBSTITUTE(INDEX(PASTE_ALL,$DF435,$L$18)," "," "),CHAR(9)," "),CHAR(10)," "),CHAR(13)," ")))="TRIAL"),"OT",TRIM(SUBSTITUTE(SUBSTITUTE(SUBSTITUTE(SUBSTITUTE(INDEX(PASTE_ALL,$DF435,$L$18)," "," "),CHAR(9)," "),CHAR(10)," "),CHAR(13)," "))))),"")))</f>
        <v/>
      </c>
      <c r="EC435">
        <f>IF($DM435=0,"",IF($L$19=0,"",IFERROR(IF(ISNUMBER(INDEX(PASTE_ALL,$DF435,$L$19)),INDEX(PASTE_ALL,$DF435,$L$19),TRIM(SUBSTITUTE(SUBSTITUTE(SUBSTITUTE(SUBSTITUTE(INDEX(PASTE_ALL,$DF435,$L$19)," "," "),CHAR(9)," "),CHAR(10)," "),CHAR(13)," "))),"")))</f>
        <v/>
      </c>
      <c r="ED435">
        <f>IF($DM435=0,"",MATCH(1,INDEX(EXACT($DH$5:DH435,$DH435)*$DM$5:DM435,0),0))</f>
        <v/>
      </c>
      <c r="EE435">
        <f>IF($DM435=0,0,IF($ED435=$DE435,1,0))</f>
        <v/>
      </c>
      <c r="EF435">
        <f>EF434+$EE435</f>
        <v/>
      </c>
      <c r="EG435">
        <f>IF($DM435=0,"",INDEX($EF$5:$EF$1003,$ED435))</f>
        <v/>
      </c>
      <c r="EH435">
        <f>IF($DM435=0,"",IF($DO435&lt;&gt;"","",IFERROR(LOOKUP(2,1/(($EG$4:EG434=$EG435)*($DO$4:DO434&lt;&gt;"")),$DO$4:DO434),"")))</f>
        <v/>
      </c>
      <c r="EI435">
        <f>IF($DM435=0,"",IF($DO435&lt;&gt;"",$DO435,$EH435))</f>
        <v/>
      </c>
      <c r="EJ435">
        <f>IF($DM435=0,"",IF($EI435="",0,IF(OR(ISNUMBER($EI435),AND(AND(SUBSTITUTE(SUBSTITUTE(SUBSTITUTE(SUBSTITUTE(SUBSTITUTE(SUBSTITUTE(SUBSTITUTE(SUBSTITUTE(SUBSTITUTE(SUBSTITUTE(SUBSTITUTE(SUBSTITUTE(SUBSTITUTE(SUBSTITUTE(UPPER($EI435),"0",""),"1",""),"2",""),"3",""),"4",""),"5",""),"6",""),"7",""),"8",""),"9",""),".",""),"+",""),"-",""),"E","")="",LEN(SUBSTITUTE(SUBSTITUTE(MID(UPPER($EI435),1+OR(LEFT(UPPER($EI435),1)="+",LEFT(UPPER($EI435),1)="-"),999),"E+","E"),"E-","E"))=LEN(SUBSTITUTE(SUBSTITUTE(SUBSTITUTE(SUBSTITUTE(MID(UPPER($EI435),1+OR(LEFT(UPPER($EI435),1)="+",LEFT(UPPER($EI435),1)="-"),999),"E+","E"),"E-","E"),"+",""),"-","")),LEN(UPPER($EI435))-LEN(SUBSTITUTE(UPPER($EI435),"E",""))&lt;2,LEN(UPPER($EI435))-LEN(SUBSTITUTE(UPPER($EI435),".",""))&lt;2,IFERROR(FIND(".",UPPER($EI435)),0)&lt;IFERROR(FIND("E",UPPER($EI435)),999)),ISNUMBER(VALUE($EI435)))),1,2)))</f>
        <v/>
      </c>
      <c r="EK435">
        <f>IF($DM435=0,"",IF($EJ435=1,IF(ISNUMBER($EI435),$EI435,VALUE($EI435)),IF($EJ435=2,$DE435,0)))</f>
        <v/>
      </c>
      <c r="EL435">
        <f>IF($DM435=0,"",COUNTIF($EG$5:$EG$1003,"&lt;"&amp;$EG435)+SUMPRODUCT(($EG$5:$EG$1003=$EG435)*(($EJ$5:$EJ$1003&lt;$EJ435)+($EJ$5:$EJ$1003=$EJ435)*(($EK$5:$EK$1003&lt;$EK435)+($EK$5:$EK$1003=$EK435)*($DE$5:$DE$1003&lt;$DE435))))+1)</f>
        <v/>
      </c>
      <c r="EM435">
        <f>IF($DM435=0,"",$EL435+$EG435-1)</f>
        <v/>
      </c>
      <c r="EN435">
        <f>IF($DM435=0,0,IFERROR(MATCH(1,INDEX(--(TRIM(SUBSTITUTE(SUBSTITUTE(SUBSTITUTE(SUBSTITUTE(LINES_NAME&amp;""," "," "),CHAR(9)," "),CHAR(10)," "),CHAR(13)," "))=$DH435),0),0),0))</f>
        <v/>
      </c>
      <c r="EO435">
        <f>IF($EN435=0,0,IF(OR(UPPER(TRIM(INDEX(LINES_SCHEDULED,$EN435)&amp;""))="YES",UPPER(TRIM(INDEX(LINES_SCHEDULED,$EN435)&amp;""))="Y",UPPER(TRIM(INDEX(LINES_SCHEDULED,$EN435)&amp;""))="X"),1,0))</f>
        <v/>
      </c>
      <c r="EP435">
        <f>IF($DM435=0,"",IF(COUNTIFS($EG$5:$EG$1003,$EG435,$EB$5:$EB$1003,"Ready")&gt;0,"READY",IF(COUNTIFS($EG$5:$EG$1003,$EG435,$EB$5:$EB$1003,"PM")&gt;0,"PM",IF(COUNTIFS($EG$5:$EG$1003,$EG435,$EB$5:$EB$1003,"OT")&gt;0,"OT",""))))</f>
        <v/>
      </c>
      <c r="EQ435">
        <f>IF($EN435=0,"",UPPER(TRIM(INDEX(LINES_STATUS,$EN435)&amp;"")))</f>
        <v/>
      </c>
      <c r="ER435">
        <f>IF($DM435=0,"",IF(OR($EQ435="READY",$EQ435="PM",$EQ435="OT"),$EQ435,$EP435))</f>
        <v/>
      </c>
      <c r="ES435">
        <f>IF($DM435=0,"",IF(AND($DV435&lt;&gt;"",UPPER($DV435)&lt;&gt;"N"),"allergen",IF(ISNUMBER(SEARCH("oil",$DQ435)),"oil",IF(OR(EXACT($DS435,"A662"),EXACT($DS435,"A624")),"bulk",""))))</f>
        <v/>
      </c>
      <c r="ET435">
        <f>IF($DM435=0,"",IF(OR($EA435="",$EA435=0),"",$EA435/100))</f>
        <v/>
      </c>
      <c r="EU435">
        <f>IF(OR($ET435="",$DY435=""),"",INT($DY435*(1-$ET435)+0.5))</f>
        <v/>
      </c>
      <c r="EW435" t="n">
        <v>431</v>
      </c>
      <c r="EX435">
        <f>IFERROR(MATCH($EW435,$EM$5:$EM$1003,0),0)</f>
        <v/>
      </c>
      <c r="EY435">
        <f>IF($EW435&gt;$B$12,"",IF($EX435&gt;0,"row","spacer"))</f>
        <v/>
      </c>
      <c r="EZ435">
        <f>IF(AND($EY435="row",$EY434&lt;&gt;"row"),1,0)</f>
        <v/>
      </c>
      <c r="FA435">
        <f>IF(AND($EY435="row",$EY436&lt;&gt;"row"),1,0)</f>
        <v/>
      </c>
      <c r="FB435">
        <f>IF($EZ435=1,IFERROR(IF(ISNUMBER(INDEX(PASTE_ALL,INDEX($DF$5:$DF$1003,$EX435),$B$37)),INDEX(PASTE_ALL,INDEX($DF$5:$DF$1003,$EX435),$B$37),INDEX($DH$5:$DH$1003,$EX435)),INDEX($DH$5:$DH$1003,$EX435)),"")</f>
        <v/>
      </c>
      <c r="FC435">
        <f>IF($EY435="row",INDEX($ER$5:$ER$1003,$EX435),"")</f>
        <v/>
      </c>
      <c r="FD435">
        <f>IF($EY435="row",INDEX($DN$5:$DN$1003,$EX435),"")</f>
        <v/>
      </c>
      <c r="FE435">
        <f>IF($EY435="row",INDEX($DO$5:$DO$1003,$EX435),"")</f>
        <v/>
      </c>
      <c r="FF435">
        <f>IF($EY435="row",INDEX($DP$5:$DP$1003,$EX435),"")</f>
        <v/>
      </c>
      <c r="FG435">
        <f>IF($EY435="row",INDEX($DQ$5:$DQ$1003,$EX435),"")</f>
        <v/>
      </c>
      <c r="FH435">
        <f>IF($EY435="row",INDEX($DR$5:$DR$1003,$EX435),"")</f>
        <v/>
      </c>
      <c r="FI435">
        <f>IF($EY435="row",INDEX($DS$5:$DS$1003,$EX435),"")</f>
        <v/>
      </c>
      <c r="FJ435">
        <f>IF($EY435="row",INDEX($DT$5:$DT$1003,$EX435),"")</f>
        <v/>
      </c>
      <c r="FK435">
        <f>IF($EY435="row",INDEX($DU$5:$DU$1003,$EX435),"")</f>
        <v/>
      </c>
      <c r="FL435">
        <f>IF($EY435="row",INDEX($DV$5:$DV$1003,$EX435),"")</f>
        <v/>
      </c>
      <c r="FM435">
        <f>IF($EY435="row",INDEX($DW$5:$DW$1003,$EX435),"")</f>
        <v/>
      </c>
      <c r="FN435">
        <f>IF($EY435="row",INDEX($DY$5:$DY$1003,$EX435),"")</f>
        <v/>
      </c>
      <c r="FO435">
        <f>IF($EY435="row",INDEX($EA$5:$EA$1003,$EX435),"")</f>
        <v/>
      </c>
      <c r="FP435">
        <f>IF($EY435="row",INDEX($EC$5:$EC$1003,$EX435),"")</f>
        <v/>
      </c>
      <c r="FQ435">
        <f>IF($EY435="row",INDEX($ET$5:$ET$1003,$EX435),"")</f>
        <v/>
      </c>
      <c r="FR435">
        <f>IF($EY435="row",INDEX($EU$5:$EU$1003,$EX435),"")</f>
        <v/>
      </c>
      <c r="FS435">
        <f>IF(AND($EY435="row",$EY434="row"),IF(OR(INDEX($DT$5:$DT$1003,$EX434)="",INDEX($DT$5:$DT$1003,$EX435)=""),"",IF(NOT(EXACT(INDEX($DT$5:$DT$1003,$EX434),INDEX($DT$5:$DT$1003,$EX435))),"S4",IF(NOT(EXACT(INDEX($DS$5:$DS$1003,$EX434),INDEX($DS$5:$DS$1003,$EX435))),"S3",IF(NOT(EXACT(INDEX($DR$5:$DR$1003,$EX434),INDEX($DR$5:$DR$1003,$EX435))),"S1 Count Change","S1")))),"")</f>
        <v/>
      </c>
      <c r="FT435">
        <f>IF($EY435="row",INDEX($ES$5:$ES$1003,$EX435),"")</f>
        <v/>
      </c>
      <c r="FU435">
        <f>IF($EY435="row",INDEX($EO$5:$EO$1003,$EX435),0)</f>
        <v/>
      </c>
      <c r="FV435">
        <f>IF($FS435="S1 Count Change",1,0)</f>
        <v/>
      </c>
    </row>
    <row r="436">
      <c r="DA436" t="n">
        <v>432</v>
      </c>
      <c r="DB436">
        <f>IF($B$37=0,"",IFERROR(TRIM(SUBSTITUTE(SUBSTITUTE(SUBSTITUTE(SUBSTITUTE(INDEX(PASTE_ALL,432,$B$37)," "," "),CHAR(9)," "),CHAR(10)," "),CHAR(13)," ")),""))</f>
        <v/>
      </c>
      <c r="DC436">
        <f>IF(AND(432&gt;HEADER_ROW,UPPER(DB436)="LEGEND"),1,0)</f>
        <v/>
      </c>
      <c r="DE436" t="n">
        <v>432</v>
      </c>
      <c r="DF436">
        <f>HEADER_ROW+$DE436</f>
        <v/>
      </c>
      <c r="DG436">
        <f>IF(AND($DF436&lt;=1000,$DF436&lt;$B$8),1,0)</f>
        <v/>
      </c>
      <c r="DH436">
        <f>IF($DG436=1,IFERROR(INDEX($DB$5:$DB$1004,$DF436),""),"")</f>
        <v/>
      </c>
      <c r="DI436">
        <f>IF(AND($DG436=1,$DH436&lt;&gt;""),IFERROR(SUBSTITUTE(SUBSTITUTE(TRIM(SUBSTITUTE(SUBSTITUTE(SUBSTITUTE(SUBSTITUTE(IFERROR(INDEX(PASTE_ALL,$DF436,1)&amp;"","")&amp;"␟"&amp;IFERROR(INDEX(PASTE_ALL,$DF436,2)&amp;"","")&amp;"␟"&amp;IFERROR(INDEX(PASTE_ALL,$DF436,3)&amp;"","")&amp;"␟"&amp;IFERROR(INDEX(PASTE_ALL,$DF436,4)&amp;"","")&amp;"␟"&amp;IFERROR(INDEX(PASTE_ALL,$DF436,5)&amp;"","")&amp;"␟"&amp;IFERROR(INDEX(PASTE_ALL,$DF436,6)&amp;"","")&amp;"␟"&amp;IFERROR(INDEX(PASTE_ALL,$DF436,7)&amp;"","")&amp;"␟"&amp;IFERROR(INDEX(PASTE_ALL,$DF436,8)&amp;"","")&amp;"␟"&amp;IFERROR(INDEX(PASTE_ALL,$DF436,9)&amp;"","")&amp;"␟"&amp;IFERROR(INDEX(PASTE_ALL,$DF436,10)&amp;"","")&amp;"␟"&amp;IFERROR(INDEX(PASTE_ALL,$DF436,11)&amp;"","")&amp;"␟"&amp;IFERROR(INDEX(PASTE_ALL,$DF436,12)&amp;"","")&amp;"␟"&amp;IFERROR(INDEX(PASTE_ALL,$DF436,13)&amp;"","")&amp;"␟"&amp;IFERROR(INDEX(PASTE_ALL,$DF436,14)&amp;"","")&amp;"␟"&amp;IFERROR(INDEX(PASTE_ALL,$DF436,15)&amp;"","")&amp;"␟"&amp;IFERROR(INDEX(PASTE_ALL,$DF436,16)&amp;"","")&amp;"␟"&amp;IFERROR(INDEX(PASTE_ALL,$DF436,17)&amp;"","")&amp;"␟"&amp;IFERROR(INDEX(PASTE_ALL,$DF436,18)&amp;"","")&amp;"␟"&amp;IFERROR(INDEX(PASTE_ALL,$DF436,19)&amp;"","")&amp;"␟"&amp;IFERROR(INDEX(PASTE_ALL,$DF436,20)&amp;"","")&amp;"␟"&amp;IFERROR(INDEX(PASTE_ALL,$DF436,21)&amp;"","")&amp;"␟"&amp;IFERROR(INDEX(PASTE_ALL,$DF436,22)&amp;"","")&amp;"␟"&amp;IFERROR(INDEX(PASTE_ALL,$DF436,23)&amp;"","")&amp;"␟"&amp;IFERROR(INDEX(PASTE_ALL,$DF436,24)&amp;"","")&amp;"␟"&amp;IFERROR(INDEX(PASTE_ALL,$DF436,25)&amp;"","")&amp;"␟"&amp;IFERROR(INDEX(PASTE_ALL,$DF436,26)&amp;"","")&amp;"␟"&amp;IFERROR(INDEX(PASTE_ALL,$DF436,27)&amp;"","")&amp;"␟"&amp;IFERROR(INDEX(PASTE_ALL,$DF436,28)&amp;"","")&amp;"␟"&amp;IFERROR(INDEX(PASTE_ALL,$DF436,29)&amp;"","")&amp;"␟"&amp;IFERROR(INDEX(PASTE_ALL,$DF436,30)&amp;"","")&amp;"␟"&amp;IFERROR(INDEX(PASTE_ALL,$DF436,31)&amp;"","")&amp;"␟"&amp;IFERROR(INDEX(PASTE_ALL,$DF436,32)&amp;"","")&amp;"␟"&amp;IFERROR(INDEX(PASTE_ALL,$DF436,33)&amp;"","")&amp;"␟"&amp;IFERROR(INDEX(PASTE_ALL,$DF436,34)&amp;"","")&amp;"␟"&amp;IFERROR(INDEX(PASTE_ALL,$DF436,35)&amp;"","")&amp;"␟"&amp;IFERROR(INDEX(PASTE_ALL,$DF436,36)&amp;"","")&amp;"␟"&amp;IFERROR(INDEX(PASTE_ALL,$DF436,37)&amp;"","")&amp;"␟"&amp;IFERROR(INDEX(PASTE_ALL,$DF436,38)&amp;"","")&amp;"␟"&amp;IFERROR(INDEX(PASTE_ALL,$DF436,39)&amp;"","")&amp;"␟"&amp;IFERROR(INDEX(PASTE_ALL,$DF436,40)&amp;"","")&amp;"␟"&amp;IFERROR(INDEX(PASTE_ALL,$DF436,41)&amp;"","")&amp;"␟"&amp;IFERROR(INDEX(PASTE_ALL,$DF436,42)&amp;"","")&amp;"␟"&amp;IFERROR(INDEX(PASTE_ALL,$DF436,43)&amp;"","")&amp;"␟"&amp;IFERROR(INDEX(PASTE_ALL,$DF436,44)&amp;"","")&amp;"␟"&amp;IFERROR(INDEX(PASTE_ALL,$DF436,45)&amp;"","")&amp;"␟"&amp;IFERROR(INDEX(PASTE_ALL,$DF436,46)&amp;"","")&amp;"␟"&amp;IFERROR(INDEX(PASTE_ALL,$DF436,47)&amp;"","")&amp;"␟"&amp;IFERROR(INDEX(PASTE_ALL,$DF436,48)&amp;"","")&amp;"␟"&amp;IFERROR(INDEX(PASTE_ALL,$DF436,49)&amp;"","")&amp;"␟"&amp;IFERROR(INDEX(PASTE_ALL,$DF436,50)&amp;"","")&amp;"␟"&amp;IFERROR(INDEX(PASTE_ALL,$DF436,51)&amp;"","")&amp;"␟"&amp;IFERROR(INDEX(PASTE_ALL,$DF436,52)&amp;"","")&amp;"␟"&amp;IFERROR(INDEX(PASTE_ALL,$DF436,53)&amp;"","")&amp;"␟"&amp;IFERROR(INDEX(PASTE_ALL,$DF436,54)&amp;"","")&amp;"␟"&amp;IFERROR(INDEX(PASTE_ALL,$DF436,55)&amp;"","")&amp;"␟"&amp;IFERROR(INDEX(PASTE_ALL,$DF436,56)&amp;"","")&amp;"␟"&amp;IFERROR(INDEX(PASTE_ALL,$DF436,57)&amp;"","")&amp;"␟"&amp;IFERROR(INDEX(PASTE_ALL,$DF436,58)&amp;"","")&amp;"␟"&amp;IFERROR(INDEX(PASTE_ALL,$DF436,59)&amp;"","")&amp;"␟"&amp;IFERROR(INDEX(PASTE_ALL,$DF436,60)&amp;"","")," "," "),CHAR(9)," "),CHAR(10)," "),CHAR(13)," "))," ␟","␟"),"␟ ","␟"),"#"&amp;$DE436),"")</f>
        <v/>
      </c>
      <c r="DJ436">
        <f>IF($DI436="",0,IF(SUMPRODUCT(--EXACT($DI$4:DI435,$DI436))&gt;0,1,0))</f>
        <v/>
      </c>
      <c r="DK436">
        <f>IF(AND($DI436&lt;&gt;"",$DJ436=0),1,0)</f>
        <v/>
      </c>
      <c r="DL436">
        <f>DL435+$DK436</f>
        <v/>
      </c>
      <c r="DM436">
        <f>IF(AND($DK436=1,$DL436&lt;=600),1,0)</f>
        <v/>
      </c>
      <c r="DN436">
        <f>IF($DM436=0,"",IF($L$6=0,"",IFERROR(IF(ISNUMBER(INDEX(PASTE_ALL,$DF436,$L$6)),INDEX(PASTE_ALL,$DF436,$L$6),TRIM(SUBSTITUTE(SUBSTITUTE(SUBSTITUTE(SUBSTITUTE(INDEX(PASTE_ALL,$DF436,$L$6)," "," "),CHAR(9)," "),CHAR(10)," "),CHAR(13)," "))),"")))</f>
        <v/>
      </c>
      <c r="DO436">
        <f>IF($DM436=0,"",IF($L$7=0,"",IFERROR(IF(ISNUMBER(INDEX(PASTE_ALL,$DF436,$L$7)),INDEX(PASTE_ALL,$DF436,$L$7),TRIM(SUBSTITUTE(SUBSTITUTE(SUBSTITUTE(SUBSTITUTE(INDEX(PASTE_ALL,$DF436,$L$7)," "," "),CHAR(9)," "),CHAR(10)," "),CHAR(13)," "))),"")))</f>
        <v/>
      </c>
      <c r="DP436">
        <f>IF($DM436=0,"",IF($L$8=0,"",IFERROR(IF(ISNUMBER(INDEX(PASTE_ALL,$DF436,$L$8)),INDEX(PASTE_ALL,$DF436,$L$8),TRIM(SUBSTITUTE(SUBSTITUTE(SUBSTITUTE(SUBSTITUTE(INDEX(PASTE_ALL,$DF436,$L$8)," "," "),CHAR(9)," "),CHAR(10)," "),CHAR(13)," "))),"")))</f>
        <v/>
      </c>
      <c r="DQ436">
        <f>IF($DM436=0,"",IF($L$9=0,"",IFERROR(IF(ISNUMBER(INDEX(PASTE_ALL,$DF436,$L$9)),INDEX(PASTE_ALL,$DF436,$L$9),TRIM(SUBSTITUTE(SUBSTITUTE(SUBSTITUTE(SUBSTITUTE(INDEX(PASTE_ALL,$DF436,$L$9)," "," "),CHAR(9)," "),CHAR(10)," "),CHAR(13)," "))),"")))</f>
        <v/>
      </c>
      <c r="DR436">
        <f>IF($DM436=0,"",IF($L$10=0,"",IFERROR(IF(ISNUMBER(INDEX(PASTE_ALL,$DF436,$L$10)),INDEX(PASTE_ALL,$DF436,$L$10),TRIM(SUBSTITUTE(SUBSTITUTE(SUBSTITUTE(SUBSTITUTE(INDEX(PASTE_ALL,$DF436,$L$10)," "," "),CHAR(9)," "),CHAR(10)," "),CHAR(13)," "))),"")))</f>
        <v/>
      </c>
      <c r="DS436">
        <f>IF($DM436=0,"",IF($L$11=0,"",IFERROR(IF(ISNUMBER(INDEX(PASTE_ALL,$DF436,$L$11)),INDEX(PASTE_ALL,$DF436,$L$11),TRIM(SUBSTITUTE(SUBSTITUTE(SUBSTITUTE(SUBSTITUTE(INDEX(PASTE_ALL,$DF436,$L$11)," "," "),CHAR(9)," "),CHAR(10)," "),CHAR(13)," "))),"")))</f>
        <v/>
      </c>
      <c r="DT436">
        <f>IF($DM436=0,"",IF($L$12=0,"",IFERROR(IF(ISNUMBER(INDEX(PASTE_ALL,$DF436,$L$12)),INDEX(PASTE_ALL,$DF436,$L$12),TRIM(SUBSTITUTE(SUBSTITUTE(SUBSTITUTE(SUBSTITUTE(INDEX(PASTE_ALL,$DF436,$L$12)," "," "),CHAR(9)," "),CHAR(10)," "),CHAR(13)," "))),"")))</f>
        <v/>
      </c>
      <c r="DU436">
        <f>IF($DM436=0,"",IF($L$13=0,"",IFERROR(IF(ISNUMBER(INDEX(PASTE_ALL,$DF436,$L$13)),INDEX(PASTE_ALL,$DF436,$L$13),TRIM(SUBSTITUTE(SUBSTITUTE(SUBSTITUTE(SUBSTITUTE(INDEX(PASTE_ALL,$DF436,$L$13)," "," "),CHAR(9)," "),CHAR(10)," "),CHAR(13)," "))),"")))</f>
        <v/>
      </c>
      <c r="DV436">
        <f>IF($DM436=0,"",IF($L$14=0,"",IFERROR(IF(ISNUMBER(INDEX(PASTE_ALL,$DF436,$L$14)),INDEX(PASTE_ALL,$DF436,$L$14),TRIM(SUBSTITUTE(SUBSTITUTE(SUBSTITUTE(SUBSTITUTE(INDEX(PASTE_ALL,$DF436,$L$14)," "," "),CHAR(9)," "),CHAR(10)," "),CHAR(13)," "))),"")))</f>
        <v/>
      </c>
      <c r="DW436">
        <f>IF($DM436=0,"",IF($L$15=0,"",IFERROR(IF(ISNUMBER(INDEX(PASTE_ALL,$DF436,$L$15)),INDEX(PASTE_ALL,$DF436,$L$15),IF(SUMPRODUCT(--ISNUMBER(FIND({"A","B","C","D","E","F","G","H","I","J","K","L","M","N","O","P","Q","R","S","T","U","V","W","X","Y","Z","0","1","2","3","4","5","6","7","8","9"},UPPER(TRIM(SUBSTITUTE(SUBSTITUTE(SUBSTITUTE(SUBSTITUTE(INDEX(PASTE_ALL,$DF436,$L$15)," "," "),CHAR(9)," "),CHAR(10)," "),CHAR(13)," "))))))&gt;0,TRIM(SUBSTITUTE(SUBSTITUTE(SUBSTITUTE(SUBSTITUTE(INDEX(PASTE_ALL,$DF436,$L$15)," "," "),CHAR(9)," "),CHAR(10)," "),CHAR(13)," ")),"")),"")))</f>
        <v/>
      </c>
      <c r="DX436">
        <f>IF($DM436=0,"",IF($L$16=0,"",IFERROR(IF(ISNUMBER(INDEX(PASTE_ALL,$DF436,$L$16)),INDEX(PASTE_ALL,$DF436,$L$16),SUBSTITUTE(SUBSTITUTE(TRIM(SUBSTITUTE(SUBSTITUTE(SUBSTITUTE(SUBSTITUTE(INDEX(PASTE_ALL,$DF436,$L$16)," "," "),CHAR(9)," "),CHAR(10)," "),CHAR(13)," ")),",",""),"%","")),"")))</f>
        <v/>
      </c>
      <c r="DY436">
        <f>IF($DM436=0,"",IFERROR(IF(ISNUMBER($DX436),$DX436,IF($DX436="","",IF(TRIM($DX436)="",0,IF(AND(AND(SUBSTITUTE(SUBSTITUTE(SUBSTITUTE(SUBSTITUTE(SUBSTITUTE(SUBSTITUTE(SUBSTITUTE(SUBSTITUTE(SUBSTITUTE(SUBSTITUTE(SUBSTITUTE(SUBSTITUTE(SUBSTITUTE(SUBSTITUTE(UPPER(TRIM($DX436)),"0",""),"1",""),"2",""),"3",""),"4",""),"5",""),"6",""),"7",""),"8",""),"9",""),".",""),"+",""),"-",""),"E","")="",LEN(SUBSTITUTE(SUBSTITUTE(MID(UPPER(TRIM($DX436)),1+OR(LEFT(UPPER(TRIM($DX436)),1)="+",LEFT(UPPER(TRIM($DX436)),1)="-"),999),"E+","E"),"E-","E"))=LEN(SUBSTITUTE(SUBSTITUTE(SUBSTITUTE(SUBSTITUTE(MID(UPPER(TRIM($DX436)),1+OR(LEFT(UPPER(TRIM($DX436)),1)="+",LEFT(UPPER(TRIM($DX436)),1)="-"),999),"E+","E"),"E-","E"),"+",""),"-","")),LEN(UPPER(TRIM($DX436)))-LEN(SUBSTITUTE(UPPER(TRIM($DX436)),"E",""))&lt;2,LEN(UPPER(TRIM($DX436)))-LEN(SUBSTITUTE(UPPER(TRIM($DX436)),".",""))&lt;2,IFERROR(FIND(".",UPPER(TRIM($DX436))),0)&lt;IFERROR(FIND("E",UPPER(TRIM($DX436))),999)),ISNUMBER(VALUE(TRIM($DX436)))),VALUE(TRIM($DX436)),"")))),""))</f>
        <v/>
      </c>
      <c r="DZ436">
        <f>IF($DM436=0,"",IF($L$17=0,"",IFERROR(IF(ISNUMBER(INDEX(PASTE_ALL,$DF436,$L$17)),INDEX(PASTE_ALL,$DF436,$L$17),SUBSTITUTE(SUBSTITUTE(TRIM(SUBSTITUTE(SUBSTITUTE(SUBSTITUTE(SUBSTITUTE(INDEX(PASTE_ALL,$DF436,$L$17)," "," "),CHAR(9)," "),CHAR(10)," "),CHAR(13)," ")),",",""),"%","")),"")))</f>
        <v/>
      </c>
      <c r="EA436">
        <f>IF($DM436=0,"",IFERROR(IF(ISNUMBER($DZ436),$DZ436,IF($DZ436="","",IF(TRIM($DZ436)="",0,IF(AND(AND(SUBSTITUTE(SUBSTITUTE(SUBSTITUTE(SUBSTITUTE(SUBSTITUTE(SUBSTITUTE(SUBSTITUTE(SUBSTITUTE(SUBSTITUTE(SUBSTITUTE(SUBSTITUTE(SUBSTITUTE(SUBSTITUTE(SUBSTITUTE(UPPER(TRIM($DZ436)),"0",""),"1",""),"2",""),"3",""),"4",""),"5",""),"6",""),"7",""),"8",""),"9",""),".",""),"+",""),"-",""),"E","")="",LEN(SUBSTITUTE(SUBSTITUTE(MID(UPPER(TRIM($DZ436)),1+OR(LEFT(UPPER(TRIM($DZ436)),1)="+",LEFT(UPPER(TRIM($DZ436)),1)="-"),999),"E+","E"),"E-","E"))=LEN(SUBSTITUTE(SUBSTITUTE(SUBSTITUTE(SUBSTITUTE(MID(UPPER(TRIM($DZ436)),1+OR(LEFT(UPPER(TRIM($DZ436)),1)="+",LEFT(UPPER(TRIM($DZ436)),1)="-"),999),"E+","E"),"E-","E"),"+",""),"-","")),LEN(UPPER(TRIM($DZ436)))-LEN(SUBSTITUTE(UPPER(TRIM($DZ436)),"E",""))&lt;2,LEN(UPPER(TRIM($DZ436)))-LEN(SUBSTITUTE(UPPER(TRIM($DZ436)),".",""))&lt;2,IFERROR(FIND(".",UPPER(TRIM($DZ436))),0)&lt;IFERROR(FIND("E",UPPER(TRIM($DZ436))),999)),ISNUMBER(VALUE(TRIM($DZ436)))),VALUE(TRIM($DZ436)),"")))),""))</f>
        <v/>
      </c>
      <c r="EB436">
        <f>IF($DM436=0,"",IF($L$18=0,"",IFERROR(IF(UPPER(TRIM(SUBSTITUTE(SUBSTITUTE(SUBSTITUTE(SUBSTITUTE(INDEX(PASTE_ALL,$DF436,$L$18)," "," "),CHAR(9)," "),CHAR(10)," "),CHAR(13)," ")))="READY","Ready",IF(UPPER(TRIM(SUBSTITUTE(SUBSTITUTE(SUBSTITUTE(SUBSTITUTE(INDEX(PASTE_ALL,$DF436,$L$18)," "," "),CHAR(9)," "),CHAR(10)," "),CHAR(13)," ")))="PM","PM",IF(OR(UPPER(TRIM(SUBSTITUTE(SUBSTITUTE(SUBSTITUTE(SUBSTITUTE(INDEX(PASTE_ALL,$DF436,$L$18)," "," "),CHAR(9)," "),CHAR(10)," "),CHAR(13)," ")))="OT",UPPER(TRIM(SUBSTITUTE(SUBSTITUTE(SUBSTITUTE(SUBSTITUTE(INDEX(PASTE_ALL,$DF436,$L$18)," "," "),CHAR(9)," "),CHAR(10)," "),CHAR(13)," ")))="OVERTIME",UPPER(TRIM(SUBSTITUTE(SUBSTITUTE(SUBSTITUTE(SUBSTITUTE(INDEX(PASTE_ALL,$DF436,$L$18)," "," "),CHAR(9)," "),CHAR(10)," "),CHAR(13)," ")))="TRIAL"),"OT",TRIM(SUBSTITUTE(SUBSTITUTE(SUBSTITUTE(SUBSTITUTE(INDEX(PASTE_ALL,$DF436,$L$18)," "," "),CHAR(9)," "),CHAR(10)," "),CHAR(13)," "))))),"")))</f>
        <v/>
      </c>
      <c r="EC436">
        <f>IF($DM436=0,"",IF($L$19=0,"",IFERROR(IF(ISNUMBER(INDEX(PASTE_ALL,$DF436,$L$19)),INDEX(PASTE_ALL,$DF436,$L$19),TRIM(SUBSTITUTE(SUBSTITUTE(SUBSTITUTE(SUBSTITUTE(INDEX(PASTE_ALL,$DF436,$L$19)," "," "),CHAR(9)," "),CHAR(10)," "),CHAR(13)," "))),"")))</f>
        <v/>
      </c>
      <c r="ED436">
        <f>IF($DM436=0,"",MATCH(1,INDEX(EXACT($DH$5:DH436,$DH436)*$DM$5:DM436,0),0))</f>
        <v/>
      </c>
      <c r="EE436">
        <f>IF($DM436=0,0,IF($ED436=$DE436,1,0))</f>
        <v/>
      </c>
      <c r="EF436">
        <f>EF435+$EE436</f>
        <v/>
      </c>
      <c r="EG436">
        <f>IF($DM436=0,"",INDEX($EF$5:$EF$1003,$ED436))</f>
        <v/>
      </c>
      <c r="EH436">
        <f>IF($DM436=0,"",IF($DO436&lt;&gt;"","",IFERROR(LOOKUP(2,1/(($EG$4:EG435=$EG436)*($DO$4:DO435&lt;&gt;"")),$DO$4:DO435),"")))</f>
        <v/>
      </c>
      <c r="EI436">
        <f>IF($DM436=0,"",IF($DO436&lt;&gt;"",$DO436,$EH436))</f>
        <v/>
      </c>
      <c r="EJ436">
        <f>IF($DM436=0,"",IF($EI436="",0,IF(OR(ISNUMBER($EI436),AND(AND(SUBSTITUTE(SUBSTITUTE(SUBSTITUTE(SUBSTITUTE(SUBSTITUTE(SUBSTITUTE(SUBSTITUTE(SUBSTITUTE(SUBSTITUTE(SUBSTITUTE(SUBSTITUTE(SUBSTITUTE(SUBSTITUTE(SUBSTITUTE(UPPER($EI436),"0",""),"1",""),"2",""),"3",""),"4",""),"5",""),"6",""),"7",""),"8",""),"9",""),".",""),"+",""),"-",""),"E","")="",LEN(SUBSTITUTE(SUBSTITUTE(MID(UPPER($EI436),1+OR(LEFT(UPPER($EI436),1)="+",LEFT(UPPER($EI436),1)="-"),999),"E+","E"),"E-","E"))=LEN(SUBSTITUTE(SUBSTITUTE(SUBSTITUTE(SUBSTITUTE(MID(UPPER($EI436),1+OR(LEFT(UPPER($EI436),1)="+",LEFT(UPPER($EI436),1)="-"),999),"E+","E"),"E-","E"),"+",""),"-","")),LEN(UPPER($EI436))-LEN(SUBSTITUTE(UPPER($EI436),"E",""))&lt;2,LEN(UPPER($EI436))-LEN(SUBSTITUTE(UPPER($EI436),".",""))&lt;2,IFERROR(FIND(".",UPPER($EI436)),0)&lt;IFERROR(FIND("E",UPPER($EI436)),999)),ISNUMBER(VALUE($EI436)))),1,2)))</f>
        <v/>
      </c>
      <c r="EK436">
        <f>IF($DM436=0,"",IF($EJ436=1,IF(ISNUMBER($EI436),$EI436,VALUE($EI436)),IF($EJ436=2,$DE436,0)))</f>
        <v/>
      </c>
      <c r="EL436">
        <f>IF($DM436=0,"",COUNTIF($EG$5:$EG$1003,"&lt;"&amp;$EG436)+SUMPRODUCT(($EG$5:$EG$1003=$EG436)*(($EJ$5:$EJ$1003&lt;$EJ436)+($EJ$5:$EJ$1003=$EJ436)*(($EK$5:$EK$1003&lt;$EK436)+($EK$5:$EK$1003=$EK436)*($DE$5:$DE$1003&lt;$DE436))))+1)</f>
        <v/>
      </c>
      <c r="EM436">
        <f>IF($DM436=0,"",$EL436+$EG436-1)</f>
        <v/>
      </c>
      <c r="EN436">
        <f>IF($DM436=0,0,IFERROR(MATCH(1,INDEX(--(TRIM(SUBSTITUTE(SUBSTITUTE(SUBSTITUTE(SUBSTITUTE(LINES_NAME&amp;""," "," "),CHAR(9)," "),CHAR(10)," "),CHAR(13)," "))=$DH436),0),0),0))</f>
        <v/>
      </c>
      <c r="EO436">
        <f>IF($EN436=0,0,IF(OR(UPPER(TRIM(INDEX(LINES_SCHEDULED,$EN436)&amp;""))="YES",UPPER(TRIM(INDEX(LINES_SCHEDULED,$EN436)&amp;""))="Y",UPPER(TRIM(INDEX(LINES_SCHEDULED,$EN436)&amp;""))="X"),1,0))</f>
        <v/>
      </c>
      <c r="EP436">
        <f>IF($DM436=0,"",IF(COUNTIFS($EG$5:$EG$1003,$EG436,$EB$5:$EB$1003,"Ready")&gt;0,"READY",IF(COUNTIFS($EG$5:$EG$1003,$EG436,$EB$5:$EB$1003,"PM")&gt;0,"PM",IF(COUNTIFS($EG$5:$EG$1003,$EG436,$EB$5:$EB$1003,"OT")&gt;0,"OT",""))))</f>
        <v/>
      </c>
      <c r="EQ436">
        <f>IF($EN436=0,"",UPPER(TRIM(INDEX(LINES_STATUS,$EN436)&amp;"")))</f>
        <v/>
      </c>
      <c r="ER436">
        <f>IF($DM436=0,"",IF(OR($EQ436="READY",$EQ436="PM",$EQ436="OT"),$EQ436,$EP436))</f>
        <v/>
      </c>
      <c r="ES436">
        <f>IF($DM436=0,"",IF(AND($DV436&lt;&gt;"",UPPER($DV436)&lt;&gt;"N"),"allergen",IF(ISNUMBER(SEARCH("oil",$DQ436)),"oil",IF(OR(EXACT($DS436,"A662"),EXACT($DS436,"A624")),"bulk",""))))</f>
        <v/>
      </c>
      <c r="ET436">
        <f>IF($DM436=0,"",IF(OR($EA436="",$EA436=0),"",$EA436/100))</f>
        <v/>
      </c>
      <c r="EU436">
        <f>IF(OR($ET436="",$DY436=""),"",INT($DY436*(1-$ET436)+0.5))</f>
        <v/>
      </c>
      <c r="EW436" t="n">
        <v>432</v>
      </c>
      <c r="EX436">
        <f>IFERROR(MATCH($EW436,$EM$5:$EM$1003,0),0)</f>
        <v/>
      </c>
      <c r="EY436">
        <f>IF($EW436&gt;$B$12,"",IF($EX436&gt;0,"row","spacer"))</f>
        <v/>
      </c>
      <c r="EZ436">
        <f>IF(AND($EY436="row",$EY435&lt;&gt;"row"),1,0)</f>
        <v/>
      </c>
      <c r="FA436">
        <f>IF(AND($EY436="row",$EY437&lt;&gt;"row"),1,0)</f>
        <v/>
      </c>
      <c r="FB436">
        <f>IF($EZ436=1,IFERROR(IF(ISNUMBER(INDEX(PASTE_ALL,INDEX($DF$5:$DF$1003,$EX436),$B$37)),INDEX(PASTE_ALL,INDEX($DF$5:$DF$1003,$EX436),$B$37),INDEX($DH$5:$DH$1003,$EX436)),INDEX($DH$5:$DH$1003,$EX436)),"")</f>
        <v/>
      </c>
      <c r="FC436">
        <f>IF($EY436="row",INDEX($ER$5:$ER$1003,$EX436),"")</f>
        <v/>
      </c>
      <c r="FD436">
        <f>IF($EY436="row",INDEX($DN$5:$DN$1003,$EX436),"")</f>
        <v/>
      </c>
      <c r="FE436">
        <f>IF($EY436="row",INDEX($DO$5:$DO$1003,$EX436),"")</f>
        <v/>
      </c>
      <c r="FF436">
        <f>IF($EY436="row",INDEX($DP$5:$DP$1003,$EX436),"")</f>
        <v/>
      </c>
      <c r="FG436">
        <f>IF($EY436="row",INDEX($DQ$5:$DQ$1003,$EX436),"")</f>
        <v/>
      </c>
      <c r="FH436">
        <f>IF($EY436="row",INDEX($DR$5:$DR$1003,$EX436),"")</f>
        <v/>
      </c>
      <c r="FI436">
        <f>IF($EY436="row",INDEX($DS$5:$DS$1003,$EX436),"")</f>
        <v/>
      </c>
      <c r="FJ436">
        <f>IF($EY436="row",INDEX($DT$5:$DT$1003,$EX436),"")</f>
        <v/>
      </c>
      <c r="FK436">
        <f>IF($EY436="row",INDEX($DU$5:$DU$1003,$EX436),"")</f>
        <v/>
      </c>
      <c r="FL436">
        <f>IF($EY436="row",INDEX($DV$5:$DV$1003,$EX436),"")</f>
        <v/>
      </c>
      <c r="FM436">
        <f>IF($EY436="row",INDEX($DW$5:$DW$1003,$EX436),"")</f>
        <v/>
      </c>
      <c r="FN436">
        <f>IF($EY436="row",INDEX($DY$5:$DY$1003,$EX436),"")</f>
        <v/>
      </c>
      <c r="FO436">
        <f>IF($EY436="row",INDEX($EA$5:$EA$1003,$EX436),"")</f>
        <v/>
      </c>
      <c r="FP436">
        <f>IF($EY436="row",INDEX($EC$5:$EC$1003,$EX436),"")</f>
        <v/>
      </c>
      <c r="FQ436">
        <f>IF($EY436="row",INDEX($ET$5:$ET$1003,$EX436),"")</f>
        <v/>
      </c>
      <c r="FR436">
        <f>IF($EY436="row",INDEX($EU$5:$EU$1003,$EX436),"")</f>
        <v/>
      </c>
      <c r="FS436">
        <f>IF(AND($EY436="row",$EY435="row"),IF(OR(INDEX($DT$5:$DT$1003,$EX435)="",INDEX($DT$5:$DT$1003,$EX436)=""),"",IF(NOT(EXACT(INDEX($DT$5:$DT$1003,$EX435),INDEX($DT$5:$DT$1003,$EX436))),"S4",IF(NOT(EXACT(INDEX($DS$5:$DS$1003,$EX435),INDEX($DS$5:$DS$1003,$EX436))),"S3",IF(NOT(EXACT(INDEX($DR$5:$DR$1003,$EX435),INDEX($DR$5:$DR$1003,$EX436))),"S1 Count Change","S1")))),"")</f>
        <v/>
      </c>
      <c r="FT436">
        <f>IF($EY436="row",INDEX($ES$5:$ES$1003,$EX436),"")</f>
        <v/>
      </c>
      <c r="FU436">
        <f>IF($EY436="row",INDEX($EO$5:$EO$1003,$EX436),0)</f>
        <v/>
      </c>
      <c r="FV436">
        <f>IF($FS436="S1 Count Change",1,0)</f>
        <v/>
      </c>
    </row>
    <row r="437">
      <c r="DA437" t="n">
        <v>433</v>
      </c>
      <c r="DB437">
        <f>IF($B$37=0,"",IFERROR(TRIM(SUBSTITUTE(SUBSTITUTE(SUBSTITUTE(SUBSTITUTE(INDEX(PASTE_ALL,433,$B$37)," "," "),CHAR(9)," "),CHAR(10)," "),CHAR(13)," ")),""))</f>
        <v/>
      </c>
      <c r="DC437">
        <f>IF(AND(433&gt;HEADER_ROW,UPPER(DB437)="LEGEND"),1,0)</f>
        <v/>
      </c>
      <c r="DE437" t="n">
        <v>433</v>
      </c>
      <c r="DF437">
        <f>HEADER_ROW+$DE437</f>
        <v/>
      </c>
      <c r="DG437">
        <f>IF(AND($DF437&lt;=1000,$DF437&lt;$B$8),1,0)</f>
        <v/>
      </c>
      <c r="DH437">
        <f>IF($DG437=1,IFERROR(INDEX($DB$5:$DB$1004,$DF437),""),"")</f>
        <v/>
      </c>
      <c r="DI437">
        <f>IF(AND($DG437=1,$DH437&lt;&gt;""),IFERROR(SUBSTITUTE(SUBSTITUTE(TRIM(SUBSTITUTE(SUBSTITUTE(SUBSTITUTE(SUBSTITUTE(IFERROR(INDEX(PASTE_ALL,$DF437,1)&amp;"","")&amp;"␟"&amp;IFERROR(INDEX(PASTE_ALL,$DF437,2)&amp;"","")&amp;"␟"&amp;IFERROR(INDEX(PASTE_ALL,$DF437,3)&amp;"","")&amp;"␟"&amp;IFERROR(INDEX(PASTE_ALL,$DF437,4)&amp;"","")&amp;"␟"&amp;IFERROR(INDEX(PASTE_ALL,$DF437,5)&amp;"","")&amp;"␟"&amp;IFERROR(INDEX(PASTE_ALL,$DF437,6)&amp;"","")&amp;"␟"&amp;IFERROR(INDEX(PASTE_ALL,$DF437,7)&amp;"","")&amp;"␟"&amp;IFERROR(INDEX(PASTE_ALL,$DF437,8)&amp;"","")&amp;"␟"&amp;IFERROR(INDEX(PASTE_ALL,$DF437,9)&amp;"","")&amp;"␟"&amp;IFERROR(INDEX(PASTE_ALL,$DF437,10)&amp;"","")&amp;"␟"&amp;IFERROR(INDEX(PASTE_ALL,$DF437,11)&amp;"","")&amp;"␟"&amp;IFERROR(INDEX(PASTE_ALL,$DF437,12)&amp;"","")&amp;"␟"&amp;IFERROR(INDEX(PASTE_ALL,$DF437,13)&amp;"","")&amp;"␟"&amp;IFERROR(INDEX(PASTE_ALL,$DF437,14)&amp;"","")&amp;"␟"&amp;IFERROR(INDEX(PASTE_ALL,$DF437,15)&amp;"","")&amp;"␟"&amp;IFERROR(INDEX(PASTE_ALL,$DF437,16)&amp;"","")&amp;"␟"&amp;IFERROR(INDEX(PASTE_ALL,$DF437,17)&amp;"","")&amp;"␟"&amp;IFERROR(INDEX(PASTE_ALL,$DF437,18)&amp;"","")&amp;"␟"&amp;IFERROR(INDEX(PASTE_ALL,$DF437,19)&amp;"","")&amp;"␟"&amp;IFERROR(INDEX(PASTE_ALL,$DF437,20)&amp;"","")&amp;"␟"&amp;IFERROR(INDEX(PASTE_ALL,$DF437,21)&amp;"","")&amp;"␟"&amp;IFERROR(INDEX(PASTE_ALL,$DF437,22)&amp;"","")&amp;"␟"&amp;IFERROR(INDEX(PASTE_ALL,$DF437,23)&amp;"","")&amp;"␟"&amp;IFERROR(INDEX(PASTE_ALL,$DF437,24)&amp;"","")&amp;"␟"&amp;IFERROR(INDEX(PASTE_ALL,$DF437,25)&amp;"","")&amp;"␟"&amp;IFERROR(INDEX(PASTE_ALL,$DF437,26)&amp;"","")&amp;"␟"&amp;IFERROR(INDEX(PASTE_ALL,$DF437,27)&amp;"","")&amp;"␟"&amp;IFERROR(INDEX(PASTE_ALL,$DF437,28)&amp;"","")&amp;"␟"&amp;IFERROR(INDEX(PASTE_ALL,$DF437,29)&amp;"","")&amp;"␟"&amp;IFERROR(INDEX(PASTE_ALL,$DF437,30)&amp;"","")&amp;"␟"&amp;IFERROR(INDEX(PASTE_ALL,$DF437,31)&amp;"","")&amp;"␟"&amp;IFERROR(INDEX(PASTE_ALL,$DF437,32)&amp;"","")&amp;"␟"&amp;IFERROR(INDEX(PASTE_ALL,$DF437,33)&amp;"","")&amp;"␟"&amp;IFERROR(INDEX(PASTE_ALL,$DF437,34)&amp;"","")&amp;"␟"&amp;IFERROR(INDEX(PASTE_ALL,$DF437,35)&amp;"","")&amp;"␟"&amp;IFERROR(INDEX(PASTE_ALL,$DF437,36)&amp;"","")&amp;"␟"&amp;IFERROR(INDEX(PASTE_ALL,$DF437,37)&amp;"","")&amp;"␟"&amp;IFERROR(INDEX(PASTE_ALL,$DF437,38)&amp;"","")&amp;"␟"&amp;IFERROR(INDEX(PASTE_ALL,$DF437,39)&amp;"","")&amp;"␟"&amp;IFERROR(INDEX(PASTE_ALL,$DF437,40)&amp;"","")&amp;"␟"&amp;IFERROR(INDEX(PASTE_ALL,$DF437,41)&amp;"","")&amp;"␟"&amp;IFERROR(INDEX(PASTE_ALL,$DF437,42)&amp;"","")&amp;"␟"&amp;IFERROR(INDEX(PASTE_ALL,$DF437,43)&amp;"","")&amp;"␟"&amp;IFERROR(INDEX(PASTE_ALL,$DF437,44)&amp;"","")&amp;"␟"&amp;IFERROR(INDEX(PASTE_ALL,$DF437,45)&amp;"","")&amp;"␟"&amp;IFERROR(INDEX(PASTE_ALL,$DF437,46)&amp;"","")&amp;"␟"&amp;IFERROR(INDEX(PASTE_ALL,$DF437,47)&amp;"","")&amp;"␟"&amp;IFERROR(INDEX(PASTE_ALL,$DF437,48)&amp;"","")&amp;"␟"&amp;IFERROR(INDEX(PASTE_ALL,$DF437,49)&amp;"","")&amp;"␟"&amp;IFERROR(INDEX(PASTE_ALL,$DF437,50)&amp;"","")&amp;"␟"&amp;IFERROR(INDEX(PASTE_ALL,$DF437,51)&amp;"","")&amp;"␟"&amp;IFERROR(INDEX(PASTE_ALL,$DF437,52)&amp;"","")&amp;"␟"&amp;IFERROR(INDEX(PASTE_ALL,$DF437,53)&amp;"","")&amp;"␟"&amp;IFERROR(INDEX(PASTE_ALL,$DF437,54)&amp;"","")&amp;"␟"&amp;IFERROR(INDEX(PASTE_ALL,$DF437,55)&amp;"","")&amp;"␟"&amp;IFERROR(INDEX(PASTE_ALL,$DF437,56)&amp;"","")&amp;"␟"&amp;IFERROR(INDEX(PASTE_ALL,$DF437,57)&amp;"","")&amp;"␟"&amp;IFERROR(INDEX(PASTE_ALL,$DF437,58)&amp;"","")&amp;"␟"&amp;IFERROR(INDEX(PASTE_ALL,$DF437,59)&amp;"","")&amp;"␟"&amp;IFERROR(INDEX(PASTE_ALL,$DF437,60)&amp;"","")," "," "),CHAR(9)," "),CHAR(10)," "),CHAR(13)," "))," ␟","␟"),"␟ ","␟"),"#"&amp;$DE437),"")</f>
        <v/>
      </c>
      <c r="DJ437">
        <f>IF($DI437="",0,IF(SUMPRODUCT(--EXACT($DI$4:DI436,$DI437))&gt;0,1,0))</f>
        <v/>
      </c>
      <c r="DK437">
        <f>IF(AND($DI437&lt;&gt;"",$DJ437=0),1,0)</f>
        <v/>
      </c>
      <c r="DL437">
        <f>DL436+$DK437</f>
        <v/>
      </c>
      <c r="DM437">
        <f>IF(AND($DK437=1,$DL437&lt;=600),1,0)</f>
        <v/>
      </c>
      <c r="DN437">
        <f>IF($DM437=0,"",IF($L$6=0,"",IFERROR(IF(ISNUMBER(INDEX(PASTE_ALL,$DF437,$L$6)),INDEX(PASTE_ALL,$DF437,$L$6),TRIM(SUBSTITUTE(SUBSTITUTE(SUBSTITUTE(SUBSTITUTE(INDEX(PASTE_ALL,$DF437,$L$6)," "," "),CHAR(9)," "),CHAR(10)," "),CHAR(13)," "))),"")))</f>
        <v/>
      </c>
      <c r="DO437">
        <f>IF($DM437=0,"",IF($L$7=0,"",IFERROR(IF(ISNUMBER(INDEX(PASTE_ALL,$DF437,$L$7)),INDEX(PASTE_ALL,$DF437,$L$7),TRIM(SUBSTITUTE(SUBSTITUTE(SUBSTITUTE(SUBSTITUTE(INDEX(PASTE_ALL,$DF437,$L$7)," "," "),CHAR(9)," "),CHAR(10)," "),CHAR(13)," "))),"")))</f>
        <v/>
      </c>
      <c r="DP437">
        <f>IF($DM437=0,"",IF($L$8=0,"",IFERROR(IF(ISNUMBER(INDEX(PASTE_ALL,$DF437,$L$8)),INDEX(PASTE_ALL,$DF437,$L$8),TRIM(SUBSTITUTE(SUBSTITUTE(SUBSTITUTE(SUBSTITUTE(INDEX(PASTE_ALL,$DF437,$L$8)," "," "),CHAR(9)," "),CHAR(10)," "),CHAR(13)," "))),"")))</f>
        <v/>
      </c>
      <c r="DQ437">
        <f>IF($DM437=0,"",IF($L$9=0,"",IFERROR(IF(ISNUMBER(INDEX(PASTE_ALL,$DF437,$L$9)),INDEX(PASTE_ALL,$DF437,$L$9),TRIM(SUBSTITUTE(SUBSTITUTE(SUBSTITUTE(SUBSTITUTE(INDEX(PASTE_ALL,$DF437,$L$9)," "," "),CHAR(9)," "),CHAR(10)," "),CHAR(13)," "))),"")))</f>
        <v/>
      </c>
      <c r="DR437">
        <f>IF($DM437=0,"",IF($L$10=0,"",IFERROR(IF(ISNUMBER(INDEX(PASTE_ALL,$DF437,$L$10)),INDEX(PASTE_ALL,$DF437,$L$10),TRIM(SUBSTITUTE(SUBSTITUTE(SUBSTITUTE(SUBSTITUTE(INDEX(PASTE_ALL,$DF437,$L$10)," "," "),CHAR(9)," "),CHAR(10)," "),CHAR(13)," "))),"")))</f>
        <v/>
      </c>
      <c r="DS437">
        <f>IF($DM437=0,"",IF($L$11=0,"",IFERROR(IF(ISNUMBER(INDEX(PASTE_ALL,$DF437,$L$11)),INDEX(PASTE_ALL,$DF437,$L$11),TRIM(SUBSTITUTE(SUBSTITUTE(SUBSTITUTE(SUBSTITUTE(INDEX(PASTE_ALL,$DF437,$L$11)," "," "),CHAR(9)," "),CHAR(10)," "),CHAR(13)," "))),"")))</f>
        <v/>
      </c>
      <c r="DT437">
        <f>IF($DM437=0,"",IF($L$12=0,"",IFERROR(IF(ISNUMBER(INDEX(PASTE_ALL,$DF437,$L$12)),INDEX(PASTE_ALL,$DF437,$L$12),TRIM(SUBSTITUTE(SUBSTITUTE(SUBSTITUTE(SUBSTITUTE(INDEX(PASTE_ALL,$DF437,$L$12)," "," "),CHAR(9)," "),CHAR(10)," "),CHAR(13)," "))),"")))</f>
        <v/>
      </c>
      <c r="DU437">
        <f>IF($DM437=0,"",IF($L$13=0,"",IFERROR(IF(ISNUMBER(INDEX(PASTE_ALL,$DF437,$L$13)),INDEX(PASTE_ALL,$DF437,$L$13),TRIM(SUBSTITUTE(SUBSTITUTE(SUBSTITUTE(SUBSTITUTE(INDEX(PASTE_ALL,$DF437,$L$13)," "," "),CHAR(9)," "),CHAR(10)," "),CHAR(13)," "))),"")))</f>
        <v/>
      </c>
      <c r="DV437">
        <f>IF($DM437=0,"",IF($L$14=0,"",IFERROR(IF(ISNUMBER(INDEX(PASTE_ALL,$DF437,$L$14)),INDEX(PASTE_ALL,$DF437,$L$14),TRIM(SUBSTITUTE(SUBSTITUTE(SUBSTITUTE(SUBSTITUTE(INDEX(PASTE_ALL,$DF437,$L$14)," "," "),CHAR(9)," "),CHAR(10)," "),CHAR(13)," "))),"")))</f>
        <v/>
      </c>
      <c r="DW437">
        <f>IF($DM437=0,"",IF($L$15=0,"",IFERROR(IF(ISNUMBER(INDEX(PASTE_ALL,$DF437,$L$15)),INDEX(PASTE_ALL,$DF437,$L$15),IF(SUMPRODUCT(--ISNUMBER(FIND({"A","B","C","D","E","F","G","H","I","J","K","L","M","N","O","P","Q","R","S","T","U","V","W","X","Y","Z","0","1","2","3","4","5","6","7","8","9"},UPPER(TRIM(SUBSTITUTE(SUBSTITUTE(SUBSTITUTE(SUBSTITUTE(INDEX(PASTE_ALL,$DF437,$L$15)," "," "),CHAR(9)," "),CHAR(10)," "),CHAR(13)," "))))))&gt;0,TRIM(SUBSTITUTE(SUBSTITUTE(SUBSTITUTE(SUBSTITUTE(INDEX(PASTE_ALL,$DF437,$L$15)," "," "),CHAR(9)," "),CHAR(10)," "),CHAR(13)," ")),"")),"")))</f>
        <v/>
      </c>
      <c r="DX437">
        <f>IF($DM437=0,"",IF($L$16=0,"",IFERROR(IF(ISNUMBER(INDEX(PASTE_ALL,$DF437,$L$16)),INDEX(PASTE_ALL,$DF437,$L$16),SUBSTITUTE(SUBSTITUTE(TRIM(SUBSTITUTE(SUBSTITUTE(SUBSTITUTE(SUBSTITUTE(INDEX(PASTE_ALL,$DF437,$L$16)," "," "),CHAR(9)," "),CHAR(10)," "),CHAR(13)," ")),",",""),"%","")),"")))</f>
        <v/>
      </c>
      <c r="DY437">
        <f>IF($DM437=0,"",IFERROR(IF(ISNUMBER($DX437),$DX437,IF($DX437="","",IF(TRIM($DX437)="",0,IF(AND(AND(SUBSTITUTE(SUBSTITUTE(SUBSTITUTE(SUBSTITUTE(SUBSTITUTE(SUBSTITUTE(SUBSTITUTE(SUBSTITUTE(SUBSTITUTE(SUBSTITUTE(SUBSTITUTE(SUBSTITUTE(SUBSTITUTE(SUBSTITUTE(UPPER(TRIM($DX437)),"0",""),"1",""),"2",""),"3",""),"4",""),"5",""),"6",""),"7",""),"8",""),"9",""),".",""),"+",""),"-",""),"E","")="",LEN(SUBSTITUTE(SUBSTITUTE(MID(UPPER(TRIM($DX437)),1+OR(LEFT(UPPER(TRIM($DX437)),1)="+",LEFT(UPPER(TRIM($DX437)),1)="-"),999),"E+","E"),"E-","E"))=LEN(SUBSTITUTE(SUBSTITUTE(SUBSTITUTE(SUBSTITUTE(MID(UPPER(TRIM($DX437)),1+OR(LEFT(UPPER(TRIM($DX437)),1)="+",LEFT(UPPER(TRIM($DX437)),1)="-"),999),"E+","E"),"E-","E"),"+",""),"-","")),LEN(UPPER(TRIM($DX437)))-LEN(SUBSTITUTE(UPPER(TRIM($DX437)),"E",""))&lt;2,LEN(UPPER(TRIM($DX437)))-LEN(SUBSTITUTE(UPPER(TRIM($DX437)),".",""))&lt;2,IFERROR(FIND(".",UPPER(TRIM($DX437))),0)&lt;IFERROR(FIND("E",UPPER(TRIM($DX437))),999)),ISNUMBER(VALUE(TRIM($DX437)))),VALUE(TRIM($DX437)),"")))),""))</f>
        <v/>
      </c>
      <c r="DZ437">
        <f>IF($DM437=0,"",IF($L$17=0,"",IFERROR(IF(ISNUMBER(INDEX(PASTE_ALL,$DF437,$L$17)),INDEX(PASTE_ALL,$DF437,$L$17),SUBSTITUTE(SUBSTITUTE(TRIM(SUBSTITUTE(SUBSTITUTE(SUBSTITUTE(SUBSTITUTE(INDEX(PASTE_ALL,$DF437,$L$17)," "," "),CHAR(9)," "),CHAR(10)," "),CHAR(13)," ")),",",""),"%","")),"")))</f>
        <v/>
      </c>
      <c r="EA437">
        <f>IF($DM437=0,"",IFERROR(IF(ISNUMBER($DZ437),$DZ437,IF($DZ437="","",IF(TRIM($DZ437)="",0,IF(AND(AND(SUBSTITUTE(SUBSTITUTE(SUBSTITUTE(SUBSTITUTE(SUBSTITUTE(SUBSTITUTE(SUBSTITUTE(SUBSTITUTE(SUBSTITUTE(SUBSTITUTE(SUBSTITUTE(SUBSTITUTE(SUBSTITUTE(SUBSTITUTE(UPPER(TRIM($DZ437)),"0",""),"1",""),"2",""),"3",""),"4",""),"5",""),"6",""),"7",""),"8",""),"9",""),".",""),"+",""),"-",""),"E","")="",LEN(SUBSTITUTE(SUBSTITUTE(MID(UPPER(TRIM($DZ437)),1+OR(LEFT(UPPER(TRIM($DZ437)),1)="+",LEFT(UPPER(TRIM($DZ437)),1)="-"),999),"E+","E"),"E-","E"))=LEN(SUBSTITUTE(SUBSTITUTE(SUBSTITUTE(SUBSTITUTE(MID(UPPER(TRIM($DZ437)),1+OR(LEFT(UPPER(TRIM($DZ437)),1)="+",LEFT(UPPER(TRIM($DZ437)),1)="-"),999),"E+","E"),"E-","E"),"+",""),"-","")),LEN(UPPER(TRIM($DZ437)))-LEN(SUBSTITUTE(UPPER(TRIM($DZ437)),"E",""))&lt;2,LEN(UPPER(TRIM($DZ437)))-LEN(SUBSTITUTE(UPPER(TRIM($DZ437)),".",""))&lt;2,IFERROR(FIND(".",UPPER(TRIM($DZ437))),0)&lt;IFERROR(FIND("E",UPPER(TRIM($DZ437))),999)),ISNUMBER(VALUE(TRIM($DZ437)))),VALUE(TRIM($DZ437)),"")))),""))</f>
        <v/>
      </c>
      <c r="EB437">
        <f>IF($DM437=0,"",IF($L$18=0,"",IFERROR(IF(UPPER(TRIM(SUBSTITUTE(SUBSTITUTE(SUBSTITUTE(SUBSTITUTE(INDEX(PASTE_ALL,$DF437,$L$18)," "," "),CHAR(9)," "),CHAR(10)," "),CHAR(13)," ")))="READY","Ready",IF(UPPER(TRIM(SUBSTITUTE(SUBSTITUTE(SUBSTITUTE(SUBSTITUTE(INDEX(PASTE_ALL,$DF437,$L$18)," "," "),CHAR(9)," "),CHAR(10)," "),CHAR(13)," ")))="PM","PM",IF(OR(UPPER(TRIM(SUBSTITUTE(SUBSTITUTE(SUBSTITUTE(SUBSTITUTE(INDEX(PASTE_ALL,$DF437,$L$18)," "," "),CHAR(9)," "),CHAR(10)," "),CHAR(13)," ")))="OT",UPPER(TRIM(SUBSTITUTE(SUBSTITUTE(SUBSTITUTE(SUBSTITUTE(INDEX(PASTE_ALL,$DF437,$L$18)," "," "),CHAR(9)," "),CHAR(10)," "),CHAR(13)," ")))="OVERTIME",UPPER(TRIM(SUBSTITUTE(SUBSTITUTE(SUBSTITUTE(SUBSTITUTE(INDEX(PASTE_ALL,$DF437,$L$18)," "," "),CHAR(9)," "),CHAR(10)," "),CHAR(13)," ")))="TRIAL"),"OT",TRIM(SUBSTITUTE(SUBSTITUTE(SUBSTITUTE(SUBSTITUTE(INDEX(PASTE_ALL,$DF437,$L$18)," "," "),CHAR(9)," "),CHAR(10)," "),CHAR(13)," "))))),"")))</f>
        <v/>
      </c>
      <c r="EC437">
        <f>IF($DM437=0,"",IF($L$19=0,"",IFERROR(IF(ISNUMBER(INDEX(PASTE_ALL,$DF437,$L$19)),INDEX(PASTE_ALL,$DF437,$L$19),TRIM(SUBSTITUTE(SUBSTITUTE(SUBSTITUTE(SUBSTITUTE(INDEX(PASTE_ALL,$DF437,$L$19)," "," "),CHAR(9)," "),CHAR(10)," "),CHAR(13)," "))),"")))</f>
        <v/>
      </c>
      <c r="ED437">
        <f>IF($DM437=0,"",MATCH(1,INDEX(EXACT($DH$5:DH437,$DH437)*$DM$5:DM437,0),0))</f>
        <v/>
      </c>
      <c r="EE437">
        <f>IF($DM437=0,0,IF($ED437=$DE437,1,0))</f>
        <v/>
      </c>
      <c r="EF437">
        <f>EF436+$EE437</f>
        <v/>
      </c>
      <c r="EG437">
        <f>IF($DM437=0,"",INDEX($EF$5:$EF$1003,$ED437))</f>
        <v/>
      </c>
      <c r="EH437">
        <f>IF($DM437=0,"",IF($DO437&lt;&gt;"","",IFERROR(LOOKUP(2,1/(($EG$4:EG436=$EG437)*($DO$4:DO436&lt;&gt;"")),$DO$4:DO436),"")))</f>
        <v/>
      </c>
      <c r="EI437">
        <f>IF($DM437=0,"",IF($DO437&lt;&gt;"",$DO437,$EH437))</f>
        <v/>
      </c>
      <c r="EJ437">
        <f>IF($DM437=0,"",IF($EI437="",0,IF(OR(ISNUMBER($EI437),AND(AND(SUBSTITUTE(SUBSTITUTE(SUBSTITUTE(SUBSTITUTE(SUBSTITUTE(SUBSTITUTE(SUBSTITUTE(SUBSTITUTE(SUBSTITUTE(SUBSTITUTE(SUBSTITUTE(SUBSTITUTE(SUBSTITUTE(SUBSTITUTE(UPPER($EI437),"0",""),"1",""),"2",""),"3",""),"4",""),"5",""),"6",""),"7",""),"8",""),"9",""),".",""),"+",""),"-",""),"E","")="",LEN(SUBSTITUTE(SUBSTITUTE(MID(UPPER($EI437),1+OR(LEFT(UPPER($EI437),1)="+",LEFT(UPPER($EI437),1)="-"),999),"E+","E"),"E-","E"))=LEN(SUBSTITUTE(SUBSTITUTE(SUBSTITUTE(SUBSTITUTE(MID(UPPER($EI437),1+OR(LEFT(UPPER($EI437),1)="+",LEFT(UPPER($EI437),1)="-"),999),"E+","E"),"E-","E"),"+",""),"-","")),LEN(UPPER($EI437))-LEN(SUBSTITUTE(UPPER($EI437),"E",""))&lt;2,LEN(UPPER($EI437))-LEN(SUBSTITUTE(UPPER($EI437),".",""))&lt;2,IFERROR(FIND(".",UPPER($EI437)),0)&lt;IFERROR(FIND("E",UPPER($EI437)),999)),ISNUMBER(VALUE($EI437)))),1,2)))</f>
        <v/>
      </c>
      <c r="EK437">
        <f>IF($DM437=0,"",IF($EJ437=1,IF(ISNUMBER($EI437),$EI437,VALUE($EI437)),IF($EJ437=2,$DE437,0)))</f>
        <v/>
      </c>
      <c r="EL437">
        <f>IF($DM437=0,"",COUNTIF($EG$5:$EG$1003,"&lt;"&amp;$EG437)+SUMPRODUCT(($EG$5:$EG$1003=$EG437)*(($EJ$5:$EJ$1003&lt;$EJ437)+($EJ$5:$EJ$1003=$EJ437)*(($EK$5:$EK$1003&lt;$EK437)+($EK$5:$EK$1003=$EK437)*($DE$5:$DE$1003&lt;$DE437))))+1)</f>
        <v/>
      </c>
      <c r="EM437">
        <f>IF($DM437=0,"",$EL437+$EG437-1)</f>
        <v/>
      </c>
      <c r="EN437">
        <f>IF($DM437=0,0,IFERROR(MATCH(1,INDEX(--(TRIM(SUBSTITUTE(SUBSTITUTE(SUBSTITUTE(SUBSTITUTE(LINES_NAME&amp;""," "," "),CHAR(9)," "),CHAR(10)," "),CHAR(13)," "))=$DH437),0),0),0))</f>
        <v/>
      </c>
      <c r="EO437">
        <f>IF($EN437=0,0,IF(OR(UPPER(TRIM(INDEX(LINES_SCHEDULED,$EN437)&amp;""))="YES",UPPER(TRIM(INDEX(LINES_SCHEDULED,$EN437)&amp;""))="Y",UPPER(TRIM(INDEX(LINES_SCHEDULED,$EN437)&amp;""))="X"),1,0))</f>
        <v/>
      </c>
      <c r="EP437">
        <f>IF($DM437=0,"",IF(COUNTIFS($EG$5:$EG$1003,$EG437,$EB$5:$EB$1003,"Ready")&gt;0,"READY",IF(COUNTIFS($EG$5:$EG$1003,$EG437,$EB$5:$EB$1003,"PM")&gt;0,"PM",IF(COUNTIFS($EG$5:$EG$1003,$EG437,$EB$5:$EB$1003,"OT")&gt;0,"OT",""))))</f>
        <v/>
      </c>
      <c r="EQ437">
        <f>IF($EN437=0,"",UPPER(TRIM(INDEX(LINES_STATUS,$EN437)&amp;"")))</f>
        <v/>
      </c>
      <c r="ER437">
        <f>IF($DM437=0,"",IF(OR($EQ437="READY",$EQ437="PM",$EQ437="OT"),$EQ437,$EP437))</f>
        <v/>
      </c>
      <c r="ES437">
        <f>IF($DM437=0,"",IF(AND($DV437&lt;&gt;"",UPPER($DV437)&lt;&gt;"N"),"allergen",IF(ISNUMBER(SEARCH("oil",$DQ437)),"oil",IF(OR(EXACT($DS437,"A662"),EXACT($DS437,"A624")),"bulk",""))))</f>
        <v/>
      </c>
      <c r="ET437">
        <f>IF($DM437=0,"",IF(OR($EA437="",$EA437=0),"",$EA437/100))</f>
        <v/>
      </c>
      <c r="EU437">
        <f>IF(OR($ET437="",$DY437=""),"",INT($DY437*(1-$ET437)+0.5))</f>
        <v/>
      </c>
      <c r="EW437" t="n">
        <v>433</v>
      </c>
      <c r="EX437">
        <f>IFERROR(MATCH($EW437,$EM$5:$EM$1003,0),0)</f>
        <v/>
      </c>
      <c r="EY437">
        <f>IF($EW437&gt;$B$12,"",IF($EX437&gt;0,"row","spacer"))</f>
        <v/>
      </c>
      <c r="EZ437">
        <f>IF(AND($EY437="row",$EY436&lt;&gt;"row"),1,0)</f>
        <v/>
      </c>
      <c r="FA437">
        <f>IF(AND($EY437="row",$EY438&lt;&gt;"row"),1,0)</f>
        <v/>
      </c>
      <c r="FB437">
        <f>IF($EZ437=1,IFERROR(IF(ISNUMBER(INDEX(PASTE_ALL,INDEX($DF$5:$DF$1003,$EX437),$B$37)),INDEX(PASTE_ALL,INDEX($DF$5:$DF$1003,$EX437),$B$37),INDEX($DH$5:$DH$1003,$EX437)),INDEX($DH$5:$DH$1003,$EX437)),"")</f>
        <v/>
      </c>
      <c r="FC437">
        <f>IF($EY437="row",INDEX($ER$5:$ER$1003,$EX437),"")</f>
        <v/>
      </c>
      <c r="FD437">
        <f>IF($EY437="row",INDEX($DN$5:$DN$1003,$EX437),"")</f>
        <v/>
      </c>
      <c r="FE437">
        <f>IF($EY437="row",INDEX($DO$5:$DO$1003,$EX437),"")</f>
        <v/>
      </c>
      <c r="FF437">
        <f>IF($EY437="row",INDEX($DP$5:$DP$1003,$EX437),"")</f>
        <v/>
      </c>
      <c r="FG437">
        <f>IF($EY437="row",INDEX($DQ$5:$DQ$1003,$EX437),"")</f>
        <v/>
      </c>
      <c r="FH437">
        <f>IF($EY437="row",INDEX($DR$5:$DR$1003,$EX437),"")</f>
        <v/>
      </c>
      <c r="FI437">
        <f>IF($EY437="row",INDEX($DS$5:$DS$1003,$EX437),"")</f>
        <v/>
      </c>
      <c r="FJ437">
        <f>IF($EY437="row",INDEX($DT$5:$DT$1003,$EX437),"")</f>
        <v/>
      </c>
      <c r="FK437">
        <f>IF($EY437="row",INDEX($DU$5:$DU$1003,$EX437),"")</f>
        <v/>
      </c>
      <c r="FL437">
        <f>IF($EY437="row",INDEX($DV$5:$DV$1003,$EX437),"")</f>
        <v/>
      </c>
      <c r="FM437">
        <f>IF($EY437="row",INDEX($DW$5:$DW$1003,$EX437),"")</f>
        <v/>
      </c>
      <c r="FN437">
        <f>IF($EY437="row",INDEX($DY$5:$DY$1003,$EX437),"")</f>
        <v/>
      </c>
      <c r="FO437">
        <f>IF($EY437="row",INDEX($EA$5:$EA$1003,$EX437),"")</f>
        <v/>
      </c>
      <c r="FP437">
        <f>IF($EY437="row",INDEX($EC$5:$EC$1003,$EX437),"")</f>
        <v/>
      </c>
      <c r="FQ437">
        <f>IF($EY437="row",INDEX($ET$5:$ET$1003,$EX437),"")</f>
        <v/>
      </c>
      <c r="FR437">
        <f>IF($EY437="row",INDEX($EU$5:$EU$1003,$EX437),"")</f>
        <v/>
      </c>
      <c r="FS437">
        <f>IF(AND($EY437="row",$EY436="row"),IF(OR(INDEX($DT$5:$DT$1003,$EX436)="",INDEX($DT$5:$DT$1003,$EX437)=""),"",IF(NOT(EXACT(INDEX($DT$5:$DT$1003,$EX436),INDEX($DT$5:$DT$1003,$EX437))),"S4",IF(NOT(EXACT(INDEX($DS$5:$DS$1003,$EX436),INDEX($DS$5:$DS$1003,$EX437))),"S3",IF(NOT(EXACT(INDEX($DR$5:$DR$1003,$EX436),INDEX($DR$5:$DR$1003,$EX437))),"S1 Count Change","S1")))),"")</f>
        <v/>
      </c>
      <c r="FT437">
        <f>IF($EY437="row",INDEX($ES$5:$ES$1003,$EX437),"")</f>
        <v/>
      </c>
      <c r="FU437">
        <f>IF($EY437="row",INDEX($EO$5:$EO$1003,$EX437),0)</f>
        <v/>
      </c>
      <c r="FV437">
        <f>IF($FS437="S1 Count Change",1,0)</f>
        <v/>
      </c>
    </row>
    <row r="438">
      <c r="DA438" t="n">
        <v>434</v>
      </c>
      <c r="DB438">
        <f>IF($B$37=0,"",IFERROR(TRIM(SUBSTITUTE(SUBSTITUTE(SUBSTITUTE(SUBSTITUTE(INDEX(PASTE_ALL,434,$B$37)," "," "),CHAR(9)," "),CHAR(10)," "),CHAR(13)," ")),""))</f>
        <v/>
      </c>
      <c r="DC438">
        <f>IF(AND(434&gt;HEADER_ROW,UPPER(DB438)="LEGEND"),1,0)</f>
        <v/>
      </c>
      <c r="DE438" t="n">
        <v>434</v>
      </c>
      <c r="DF438">
        <f>HEADER_ROW+$DE438</f>
        <v/>
      </c>
      <c r="DG438">
        <f>IF(AND($DF438&lt;=1000,$DF438&lt;$B$8),1,0)</f>
        <v/>
      </c>
      <c r="DH438">
        <f>IF($DG438=1,IFERROR(INDEX($DB$5:$DB$1004,$DF438),""),"")</f>
        <v/>
      </c>
      <c r="DI438">
        <f>IF(AND($DG438=1,$DH438&lt;&gt;""),IFERROR(SUBSTITUTE(SUBSTITUTE(TRIM(SUBSTITUTE(SUBSTITUTE(SUBSTITUTE(SUBSTITUTE(IFERROR(INDEX(PASTE_ALL,$DF438,1)&amp;"","")&amp;"␟"&amp;IFERROR(INDEX(PASTE_ALL,$DF438,2)&amp;"","")&amp;"␟"&amp;IFERROR(INDEX(PASTE_ALL,$DF438,3)&amp;"","")&amp;"␟"&amp;IFERROR(INDEX(PASTE_ALL,$DF438,4)&amp;"","")&amp;"␟"&amp;IFERROR(INDEX(PASTE_ALL,$DF438,5)&amp;"","")&amp;"␟"&amp;IFERROR(INDEX(PASTE_ALL,$DF438,6)&amp;"","")&amp;"␟"&amp;IFERROR(INDEX(PASTE_ALL,$DF438,7)&amp;"","")&amp;"␟"&amp;IFERROR(INDEX(PASTE_ALL,$DF438,8)&amp;"","")&amp;"␟"&amp;IFERROR(INDEX(PASTE_ALL,$DF438,9)&amp;"","")&amp;"␟"&amp;IFERROR(INDEX(PASTE_ALL,$DF438,10)&amp;"","")&amp;"␟"&amp;IFERROR(INDEX(PASTE_ALL,$DF438,11)&amp;"","")&amp;"␟"&amp;IFERROR(INDEX(PASTE_ALL,$DF438,12)&amp;"","")&amp;"␟"&amp;IFERROR(INDEX(PASTE_ALL,$DF438,13)&amp;"","")&amp;"␟"&amp;IFERROR(INDEX(PASTE_ALL,$DF438,14)&amp;"","")&amp;"␟"&amp;IFERROR(INDEX(PASTE_ALL,$DF438,15)&amp;"","")&amp;"␟"&amp;IFERROR(INDEX(PASTE_ALL,$DF438,16)&amp;"","")&amp;"␟"&amp;IFERROR(INDEX(PASTE_ALL,$DF438,17)&amp;"","")&amp;"␟"&amp;IFERROR(INDEX(PASTE_ALL,$DF438,18)&amp;"","")&amp;"␟"&amp;IFERROR(INDEX(PASTE_ALL,$DF438,19)&amp;"","")&amp;"␟"&amp;IFERROR(INDEX(PASTE_ALL,$DF438,20)&amp;"","")&amp;"␟"&amp;IFERROR(INDEX(PASTE_ALL,$DF438,21)&amp;"","")&amp;"␟"&amp;IFERROR(INDEX(PASTE_ALL,$DF438,22)&amp;"","")&amp;"␟"&amp;IFERROR(INDEX(PASTE_ALL,$DF438,23)&amp;"","")&amp;"␟"&amp;IFERROR(INDEX(PASTE_ALL,$DF438,24)&amp;"","")&amp;"␟"&amp;IFERROR(INDEX(PASTE_ALL,$DF438,25)&amp;"","")&amp;"␟"&amp;IFERROR(INDEX(PASTE_ALL,$DF438,26)&amp;"","")&amp;"␟"&amp;IFERROR(INDEX(PASTE_ALL,$DF438,27)&amp;"","")&amp;"␟"&amp;IFERROR(INDEX(PASTE_ALL,$DF438,28)&amp;"","")&amp;"␟"&amp;IFERROR(INDEX(PASTE_ALL,$DF438,29)&amp;"","")&amp;"␟"&amp;IFERROR(INDEX(PASTE_ALL,$DF438,30)&amp;"","")&amp;"␟"&amp;IFERROR(INDEX(PASTE_ALL,$DF438,31)&amp;"","")&amp;"␟"&amp;IFERROR(INDEX(PASTE_ALL,$DF438,32)&amp;"","")&amp;"␟"&amp;IFERROR(INDEX(PASTE_ALL,$DF438,33)&amp;"","")&amp;"␟"&amp;IFERROR(INDEX(PASTE_ALL,$DF438,34)&amp;"","")&amp;"␟"&amp;IFERROR(INDEX(PASTE_ALL,$DF438,35)&amp;"","")&amp;"␟"&amp;IFERROR(INDEX(PASTE_ALL,$DF438,36)&amp;"","")&amp;"␟"&amp;IFERROR(INDEX(PASTE_ALL,$DF438,37)&amp;"","")&amp;"␟"&amp;IFERROR(INDEX(PASTE_ALL,$DF438,38)&amp;"","")&amp;"␟"&amp;IFERROR(INDEX(PASTE_ALL,$DF438,39)&amp;"","")&amp;"␟"&amp;IFERROR(INDEX(PASTE_ALL,$DF438,40)&amp;"","")&amp;"␟"&amp;IFERROR(INDEX(PASTE_ALL,$DF438,41)&amp;"","")&amp;"␟"&amp;IFERROR(INDEX(PASTE_ALL,$DF438,42)&amp;"","")&amp;"␟"&amp;IFERROR(INDEX(PASTE_ALL,$DF438,43)&amp;"","")&amp;"␟"&amp;IFERROR(INDEX(PASTE_ALL,$DF438,44)&amp;"","")&amp;"␟"&amp;IFERROR(INDEX(PASTE_ALL,$DF438,45)&amp;"","")&amp;"␟"&amp;IFERROR(INDEX(PASTE_ALL,$DF438,46)&amp;"","")&amp;"␟"&amp;IFERROR(INDEX(PASTE_ALL,$DF438,47)&amp;"","")&amp;"␟"&amp;IFERROR(INDEX(PASTE_ALL,$DF438,48)&amp;"","")&amp;"␟"&amp;IFERROR(INDEX(PASTE_ALL,$DF438,49)&amp;"","")&amp;"␟"&amp;IFERROR(INDEX(PASTE_ALL,$DF438,50)&amp;"","")&amp;"␟"&amp;IFERROR(INDEX(PASTE_ALL,$DF438,51)&amp;"","")&amp;"␟"&amp;IFERROR(INDEX(PASTE_ALL,$DF438,52)&amp;"","")&amp;"␟"&amp;IFERROR(INDEX(PASTE_ALL,$DF438,53)&amp;"","")&amp;"␟"&amp;IFERROR(INDEX(PASTE_ALL,$DF438,54)&amp;"","")&amp;"␟"&amp;IFERROR(INDEX(PASTE_ALL,$DF438,55)&amp;"","")&amp;"␟"&amp;IFERROR(INDEX(PASTE_ALL,$DF438,56)&amp;"","")&amp;"␟"&amp;IFERROR(INDEX(PASTE_ALL,$DF438,57)&amp;"","")&amp;"␟"&amp;IFERROR(INDEX(PASTE_ALL,$DF438,58)&amp;"","")&amp;"␟"&amp;IFERROR(INDEX(PASTE_ALL,$DF438,59)&amp;"","")&amp;"␟"&amp;IFERROR(INDEX(PASTE_ALL,$DF438,60)&amp;"","")," "," "),CHAR(9)," "),CHAR(10)," "),CHAR(13)," "))," ␟","␟"),"␟ ","␟"),"#"&amp;$DE438),"")</f>
        <v/>
      </c>
      <c r="DJ438">
        <f>IF($DI438="",0,IF(SUMPRODUCT(--EXACT($DI$4:DI437,$DI438))&gt;0,1,0))</f>
        <v/>
      </c>
      <c r="DK438">
        <f>IF(AND($DI438&lt;&gt;"",$DJ438=0),1,0)</f>
        <v/>
      </c>
      <c r="DL438">
        <f>DL437+$DK438</f>
        <v/>
      </c>
      <c r="DM438">
        <f>IF(AND($DK438=1,$DL438&lt;=600),1,0)</f>
        <v/>
      </c>
      <c r="DN438">
        <f>IF($DM438=0,"",IF($L$6=0,"",IFERROR(IF(ISNUMBER(INDEX(PASTE_ALL,$DF438,$L$6)),INDEX(PASTE_ALL,$DF438,$L$6),TRIM(SUBSTITUTE(SUBSTITUTE(SUBSTITUTE(SUBSTITUTE(INDEX(PASTE_ALL,$DF438,$L$6)," "," "),CHAR(9)," "),CHAR(10)," "),CHAR(13)," "))),"")))</f>
        <v/>
      </c>
      <c r="DO438">
        <f>IF($DM438=0,"",IF($L$7=0,"",IFERROR(IF(ISNUMBER(INDEX(PASTE_ALL,$DF438,$L$7)),INDEX(PASTE_ALL,$DF438,$L$7),TRIM(SUBSTITUTE(SUBSTITUTE(SUBSTITUTE(SUBSTITUTE(INDEX(PASTE_ALL,$DF438,$L$7)," "," "),CHAR(9)," "),CHAR(10)," "),CHAR(13)," "))),"")))</f>
        <v/>
      </c>
      <c r="DP438">
        <f>IF($DM438=0,"",IF($L$8=0,"",IFERROR(IF(ISNUMBER(INDEX(PASTE_ALL,$DF438,$L$8)),INDEX(PASTE_ALL,$DF438,$L$8),TRIM(SUBSTITUTE(SUBSTITUTE(SUBSTITUTE(SUBSTITUTE(INDEX(PASTE_ALL,$DF438,$L$8)," "," "),CHAR(9)," "),CHAR(10)," "),CHAR(13)," "))),"")))</f>
        <v/>
      </c>
      <c r="DQ438">
        <f>IF($DM438=0,"",IF($L$9=0,"",IFERROR(IF(ISNUMBER(INDEX(PASTE_ALL,$DF438,$L$9)),INDEX(PASTE_ALL,$DF438,$L$9),TRIM(SUBSTITUTE(SUBSTITUTE(SUBSTITUTE(SUBSTITUTE(INDEX(PASTE_ALL,$DF438,$L$9)," "," "),CHAR(9)," "),CHAR(10)," "),CHAR(13)," "))),"")))</f>
        <v/>
      </c>
      <c r="DR438">
        <f>IF($DM438=0,"",IF($L$10=0,"",IFERROR(IF(ISNUMBER(INDEX(PASTE_ALL,$DF438,$L$10)),INDEX(PASTE_ALL,$DF438,$L$10),TRIM(SUBSTITUTE(SUBSTITUTE(SUBSTITUTE(SUBSTITUTE(INDEX(PASTE_ALL,$DF438,$L$10)," "," "),CHAR(9)," "),CHAR(10)," "),CHAR(13)," "))),"")))</f>
        <v/>
      </c>
      <c r="DS438">
        <f>IF($DM438=0,"",IF($L$11=0,"",IFERROR(IF(ISNUMBER(INDEX(PASTE_ALL,$DF438,$L$11)),INDEX(PASTE_ALL,$DF438,$L$11),TRIM(SUBSTITUTE(SUBSTITUTE(SUBSTITUTE(SUBSTITUTE(INDEX(PASTE_ALL,$DF438,$L$11)," "," "),CHAR(9)," "),CHAR(10)," "),CHAR(13)," "))),"")))</f>
        <v/>
      </c>
      <c r="DT438">
        <f>IF($DM438=0,"",IF($L$12=0,"",IFERROR(IF(ISNUMBER(INDEX(PASTE_ALL,$DF438,$L$12)),INDEX(PASTE_ALL,$DF438,$L$12),TRIM(SUBSTITUTE(SUBSTITUTE(SUBSTITUTE(SUBSTITUTE(INDEX(PASTE_ALL,$DF438,$L$12)," "," "),CHAR(9)," "),CHAR(10)," "),CHAR(13)," "))),"")))</f>
        <v/>
      </c>
      <c r="DU438">
        <f>IF($DM438=0,"",IF($L$13=0,"",IFERROR(IF(ISNUMBER(INDEX(PASTE_ALL,$DF438,$L$13)),INDEX(PASTE_ALL,$DF438,$L$13),TRIM(SUBSTITUTE(SUBSTITUTE(SUBSTITUTE(SUBSTITUTE(INDEX(PASTE_ALL,$DF438,$L$13)," "," "),CHAR(9)," "),CHAR(10)," "),CHAR(13)," "))),"")))</f>
        <v/>
      </c>
      <c r="DV438">
        <f>IF($DM438=0,"",IF($L$14=0,"",IFERROR(IF(ISNUMBER(INDEX(PASTE_ALL,$DF438,$L$14)),INDEX(PASTE_ALL,$DF438,$L$14),TRIM(SUBSTITUTE(SUBSTITUTE(SUBSTITUTE(SUBSTITUTE(INDEX(PASTE_ALL,$DF438,$L$14)," "," "),CHAR(9)," "),CHAR(10)," "),CHAR(13)," "))),"")))</f>
        <v/>
      </c>
      <c r="DW438">
        <f>IF($DM438=0,"",IF($L$15=0,"",IFERROR(IF(ISNUMBER(INDEX(PASTE_ALL,$DF438,$L$15)),INDEX(PASTE_ALL,$DF438,$L$15),IF(SUMPRODUCT(--ISNUMBER(FIND({"A","B","C","D","E","F","G","H","I","J","K","L","M","N","O","P","Q","R","S","T","U","V","W","X","Y","Z","0","1","2","3","4","5","6","7","8","9"},UPPER(TRIM(SUBSTITUTE(SUBSTITUTE(SUBSTITUTE(SUBSTITUTE(INDEX(PASTE_ALL,$DF438,$L$15)," "," "),CHAR(9)," "),CHAR(10)," "),CHAR(13)," "))))))&gt;0,TRIM(SUBSTITUTE(SUBSTITUTE(SUBSTITUTE(SUBSTITUTE(INDEX(PASTE_ALL,$DF438,$L$15)," "," "),CHAR(9)," "),CHAR(10)," "),CHAR(13)," ")),"")),"")))</f>
        <v/>
      </c>
      <c r="DX438">
        <f>IF($DM438=0,"",IF($L$16=0,"",IFERROR(IF(ISNUMBER(INDEX(PASTE_ALL,$DF438,$L$16)),INDEX(PASTE_ALL,$DF438,$L$16),SUBSTITUTE(SUBSTITUTE(TRIM(SUBSTITUTE(SUBSTITUTE(SUBSTITUTE(SUBSTITUTE(INDEX(PASTE_ALL,$DF438,$L$16)," "," "),CHAR(9)," "),CHAR(10)," "),CHAR(13)," ")),",",""),"%","")),"")))</f>
        <v/>
      </c>
      <c r="DY438">
        <f>IF($DM438=0,"",IFERROR(IF(ISNUMBER($DX438),$DX438,IF($DX438="","",IF(TRIM($DX438)="",0,IF(AND(AND(SUBSTITUTE(SUBSTITUTE(SUBSTITUTE(SUBSTITUTE(SUBSTITUTE(SUBSTITUTE(SUBSTITUTE(SUBSTITUTE(SUBSTITUTE(SUBSTITUTE(SUBSTITUTE(SUBSTITUTE(SUBSTITUTE(SUBSTITUTE(UPPER(TRIM($DX438)),"0",""),"1",""),"2",""),"3",""),"4",""),"5",""),"6",""),"7",""),"8",""),"9",""),".",""),"+",""),"-",""),"E","")="",LEN(SUBSTITUTE(SUBSTITUTE(MID(UPPER(TRIM($DX438)),1+OR(LEFT(UPPER(TRIM($DX438)),1)="+",LEFT(UPPER(TRIM($DX438)),1)="-"),999),"E+","E"),"E-","E"))=LEN(SUBSTITUTE(SUBSTITUTE(SUBSTITUTE(SUBSTITUTE(MID(UPPER(TRIM($DX438)),1+OR(LEFT(UPPER(TRIM($DX438)),1)="+",LEFT(UPPER(TRIM($DX438)),1)="-"),999),"E+","E"),"E-","E"),"+",""),"-","")),LEN(UPPER(TRIM($DX438)))-LEN(SUBSTITUTE(UPPER(TRIM($DX438)),"E",""))&lt;2,LEN(UPPER(TRIM($DX438)))-LEN(SUBSTITUTE(UPPER(TRIM($DX438)),".",""))&lt;2,IFERROR(FIND(".",UPPER(TRIM($DX438))),0)&lt;IFERROR(FIND("E",UPPER(TRIM($DX438))),999)),ISNUMBER(VALUE(TRIM($DX438)))),VALUE(TRIM($DX438)),"")))),""))</f>
        <v/>
      </c>
      <c r="DZ438">
        <f>IF($DM438=0,"",IF($L$17=0,"",IFERROR(IF(ISNUMBER(INDEX(PASTE_ALL,$DF438,$L$17)),INDEX(PASTE_ALL,$DF438,$L$17),SUBSTITUTE(SUBSTITUTE(TRIM(SUBSTITUTE(SUBSTITUTE(SUBSTITUTE(SUBSTITUTE(INDEX(PASTE_ALL,$DF438,$L$17)," "," "),CHAR(9)," "),CHAR(10)," "),CHAR(13)," ")),",",""),"%","")),"")))</f>
        <v/>
      </c>
      <c r="EA438">
        <f>IF($DM438=0,"",IFERROR(IF(ISNUMBER($DZ438),$DZ438,IF($DZ438="","",IF(TRIM($DZ438)="",0,IF(AND(AND(SUBSTITUTE(SUBSTITUTE(SUBSTITUTE(SUBSTITUTE(SUBSTITUTE(SUBSTITUTE(SUBSTITUTE(SUBSTITUTE(SUBSTITUTE(SUBSTITUTE(SUBSTITUTE(SUBSTITUTE(SUBSTITUTE(SUBSTITUTE(UPPER(TRIM($DZ438)),"0",""),"1",""),"2",""),"3",""),"4",""),"5",""),"6",""),"7",""),"8",""),"9",""),".",""),"+",""),"-",""),"E","")="",LEN(SUBSTITUTE(SUBSTITUTE(MID(UPPER(TRIM($DZ438)),1+OR(LEFT(UPPER(TRIM($DZ438)),1)="+",LEFT(UPPER(TRIM($DZ438)),1)="-"),999),"E+","E"),"E-","E"))=LEN(SUBSTITUTE(SUBSTITUTE(SUBSTITUTE(SUBSTITUTE(MID(UPPER(TRIM($DZ438)),1+OR(LEFT(UPPER(TRIM($DZ438)),1)="+",LEFT(UPPER(TRIM($DZ438)),1)="-"),999),"E+","E"),"E-","E"),"+",""),"-","")),LEN(UPPER(TRIM($DZ438)))-LEN(SUBSTITUTE(UPPER(TRIM($DZ438)),"E",""))&lt;2,LEN(UPPER(TRIM($DZ438)))-LEN(SUBSTITUTE(UPPER(TRIM($DZ438)),".",""))&lt;2,IFERROR(FIND(".",UPPER(TRIM($DZ438))),0)&lt;IFERROR(FIND("E",UPPER(TRIM($DZ438))),999)),ISNUMBER(VALUE(TRIM($DZ438)))),VALUE(TRIM($DZ438)),"")))),""))</f>
        <v/>
      </c>
      <c r="EB438">
        <f>IF($DM438=0,"",IF($L$18=0,"",IFERROR(IF(UPPER(TRIM(SUBSTITUTE(SUBSTITUTE(SUBSTITUTE(SUBSTITUTE(INDEX(PASTE_ALL,$DF438,$L$18)," "," "),CHAR(9)," "),CHAR(10)," "),CHAR(13)," ")))="READY","Ready",IF(UPPER(TRIM(SUBSTITUTE(SUBSTITUTE(SUBSTITUTE(SUBSTITUTE(INDEX(PASTE_ALL,$DF438,$L$18)," "," "),CHAR(9)," "),CHAR(10)," "),CHAR(13)," ")))="PM","PM",IF(OR(UPPER(TRIM(SUBSTITUTE(SUBSTITUTE(SUBSTITUTE(SUBSTITUTE(INDEX(PASTE_ALL,$DF438,$L$18)," "," "),CHAR(9)," "),CHAR(10)," "),CHAR(13)," ")))="OT",UPPER(TRIM(SUBSTITUTE(SUBSTITUTE(SUBSTITUTE(SUBSTITUTE(INDEX(PASTE_ALL,$DF438,$L$18)," "," "),CHAR(9)," "),CHAR(10)," "),CHAR(13)," ")))="OVERTIME",UPPER(TRIM(SUBSTITUTE(SUBSTITUTE(SUBSTITUTE(SUBSTITUTE(INDEX(PASTE_ALL,$DF438,$L$18)," "," "),CHAR(9)," "),CHAR(10)," "),CHAR(13)," ")))="TRIAL"),"OT",TRIM(SUBSTITUTE(SUBSTITUTE(SUBSTITUTE(SUBSTITUTE(INDEX(PASTE_ALL,$DF438,$L$18)," "," "),CHAR(9)," "),CHAR(10)," "),CHAR(13)," "))))),"")))</f>
        <v/>
      </c>
      <c r="EC438">
        <f>IF($DM438=0,"",IF($L$19=0,"",IFERROR(IF(ISNUMBER(INDEX(PASTE_ALL,$DF438,$L$19)),INDEX(PASTE_ALL,$DF438,$L$19),TRIM(SUBSTITUTE(SUBSTITUTE(SUBSTITUTE(SUBSTITUTE(INDEX(PASTE_ALL,$DF438,$L$19)," "," "),CHAR(9)," "),CHAR(10)," "),CHAR(13)," "))),"")))</f>
        <v/>
      </c>
      <c r="ED438">
        <f>IF($DM438=0,"",MATCH(1,INDEX(EXACT($DH$5:DH438,$DH438)*$DM$5:DM438,0),0))</f>
        <v/>
      </c>
      <c r="EE438">
        <f>IF($DM438=0,0,IF($ED438=$DE438,1,0))</f>
        <v/>
      </c>
      <c r="EF438">
        <f>EF437+$EE438</f>
        <v/>
      </c>
      <c r="EG438">
        <f>IF($DM438=0,"",INDEX($EF$5:$EF$1003,$ED438))</f>
        <v/>
      </c>
      <c r="EH438">
        <f>IF($DM438=0,"",IF($DO438&lt;&gt;"","",IFERROR(LOOKUP(2,1/(($EG$4:EG437=$EG438)*($DO$4:DO437&lt;&gt;"")),$DO$4:DO437),"")))</f>
        <v/>
      </c>
      <c r="EI438">
        <f>IF($DM438=0,"",IF($DO438&lt;&gt;"",$DO438,$EH438))</f>
        <v/>
      </c>
      <c r="EJ438">
        <f>IF($DM438=0,"",IF($EI438="",0,IF(OR(ISNUMBER($EI438),AND(AND(SUBSTITUTE(SUBSTITUTE(SUBSTITUTE(SUBSTITUTE(SUBSTITUTE(SUBSTITUTE(SUBSTITUTE(SUBSTITUTE(SUBSTITUTE(SUBSTITUTE(SUBSTITUTE(SUBSTITUTE(SUBSTITUTE(SUBSTITUTE(UPPER($EI438),"0",""),"1",""),"2",""),"3",""),"4",""),"5",""),"6",""),"7",""),"8",""),"9",""),".",""),"+",""),"-",""),"E","")="",LEN(SUBSTITUTE(SUBSTITUTE(MID(UPPER($EI438),1+OR(LEFT(UPPER($EI438),1)="+",LEFT(UPPER($EI438),1)="-"),999),"E+","E"),"E-","E"))=LEN(SUBSTITUTE(SUBSTITUTE(SUBSTITUTE(SUBSTITUTE(MID(UPPER($EI438),1+OR(LEFT(UPPER($EI438),1)="+",LEFT(UPPER($EI438),1)="-"),999),"E+","E"),"E-","E"),"+",""),"-","")),LEN(UPPER($EI438))-LEN(SUBSTITUTE(UPPER($EI438),"E",""))&lt;2,LEN(UPPER($EI438))-LEN(SUBSTITUTE(UPPER($EI438),".",""))&lt;2,IFERROR(FIND(".",UPPER($EI438)),0)&lt;IFERROR(FIND("E",UPPER($EI438)),999)),ISNUMBER(VALUE($EI438)))),1,2)))</f>
        <v/>
      </c>
      <c r="EK438">
        <f>IF($DM438=0,"",IF($EJ438=1,IF(ISNUMBER($EI438),$EI438,VALUE($EI438)),IF($EJ438=2,$DE438,0)))</f>
        <v/>
      </c>
      <c r="EL438">
        <f>IF($DM438=0,"",COUNTIF($EG$5:$EG$1003,"&lt;"&amp;$EG438)+SUMPRODUCT(($EG$5:$EG$1003=$EG438)*(($EJ$5:$EJ$1003&lt;$EJ438)+($EJ$5:$EJ$1003=$EJ438)*(($EK$5:$EK$1003&lt;$EK438)+($EK$5:$EK$1003=$EK438)*($DE$5:$DE$1003&lt;$DE438))))+1)</f>
        <v/>
      </c>
      <c r="EM438">
        <f>IF($DM438=0,"",$EL438+$EG438-1)</f>
        <v/>
      </c>
      <c r="EN438">
        <f>IF($DM438=0,0,IFERROR(MATCH(1,INDEX(--(TRIM(SUBSTITUTE(SUBSTITUTE(SUBSTITUTE(SUBSTITUTE(LINES_NAME&amp;""," "," "),CHAR(9)," "),CHAR(10)," "),CHAR(13)," "))=$DH438),0),0),0))</f>
        <v/>
      </c>
      <c r="EO438">
        <f>IF($EN438=0,0,IF(OR(UPPER(TRIM(INDEX(LINES_SCHEDULED,$EN438)&amp;""))="YES",UPPER(TRIM(INDEX(LINES_SCHEDULED,$EN438)&amp;""))="Y",UPPER(TRIM(INDEX(LINES_SCHEDULED,$EN438)&amp;""))="X"),1,0))</f>
        <v/>
      </c>
      <c r="EP438">
        <f>IF($DM438=0,"",IF(COUNTIFS($EG$5:$EG$1003,$EG438,$EB$5:$EB$1003,"Ready")&gt;0,"READY",IF(COUNTIFS($EG$5:$EG$1003,$EG438,$EB$5:$EB$1003,"PM")&gt;0,"PM",IF(COUNTIFS($EG$5:$EG$1003,$EG438,$EB$5:$EB$1003,"OT")&gt;0,"OT",""))))</f>
        <v/>
      </c>
      <c r="EQ438">
        <f>IF($EN438=0,"",UPPER(TRIM(INDEX(LINES_STATUS,$EN438)&amp;"")))</f>
        <v/>
      </c>
      <c r="ER438">
        <f>IF($DM438=0,"",IF(OR($EQ438="READY",$EQ438="PM",$EQ438="OT"),$EQ438,$EP438))</f>
        <v/>
      </c>
      <c r="ES438">
        <f>IF($DM438=0,"",IF(AND($DV438&lt;&gt;"",UPPER($DV438)&lt;&gt;"N"),"allergen",IF(ISNUMBER(SEARCH("oil",$DQ438)),"oil",IF(OR(EXACT($DS438,"A662"),EXACT($DS438,"A624")),"bulk",""))))</f>
        <v/>
      </c>
      <c r="ET438">
        <f>IF($DM438=0,"",IF(OR($EA438="",$EA438=0),"",$EA438/100))</f>
        <v/>
      </c>
      <c r="EU438">
        <f>IF(OR($ET438="",$DY438=""),"",INT($DY438*(1-$ET438)+0.5))</f>
        <v/>
      </c>
      <c r="EW438" t="n">
        <v>434</v>
      </c>
      <c r="EX438">
        <f>IFERROR(MATCH($EW438,$EM$5:$EM$1003,0),0)</f>
        <v/>
      </c>
      <c r="EY438">
        <f>IF($EW438&gt;$B$12,"",IF($EX438&gt;0,"row","spacer"))</f>
        <v/>
      </c>
      <c r="EZ438">
        <f>IF(AND($EY438="row",$EY437&lt;&gt;"row"),1,0)</f>
        <v/>
      </c>
      <c r="FA438">
        <f>IF(AND($EY438="row",$EY439&lt;&gt;"row"),1,0)</f>
        <v/>
      </c>
      <c r="FB438">
        <f>IF($EZ438=1,IFERROR(IF(ISNUMBER(INDEX(PASTE_ALL,INDEX($DF$5:$DF$1003,$EX438),$B$37)),INDEX(PASTE_ALL,INDEX($DF$5:$DF$1003,$EX438),$B$37),INDEX($DH$5:$DH$1003,$EX438)),INDEX($DH$5:$DH$1003,$EX438)),"")</f>
        <v/>
      </c>
      <c r="FC438">
        <f>IF($EY438="row",INDEX($ER$5:$ER$1003,$EX438),"")</f>
        <v/>
      </c>
      <c r="FD438">
        <f>IF($EY438="row",INDEX($DN$5:$DN$1003,$EX438),"")</f>
        <v/>
      </c>
      <c r="FE438">
        <f>IF($EY438="row",INDEX($DO$5:$DO$1003,$EX438),"")</f>
        <v/>
      </c>
      <c r="FF438">
        <f>IF($EY438="row",INDEX($DP$5:$DP$1003,$EX438),"")</f>
        <v/>
      </c>
      <c r="FG438">
        <f>IF($EY438="row",INDEX($DQ$5:$DQ$1003,$EX438),"")</f>
        <v/>
      </c>
      <c r="FH438">
        <f>IF($EY438="row",INDEX($DR$5:$DR$1003,$EX438),"")</f>
        <v/>
      </c>
      <c r="FI438">
        <f>IF($EY438="row",INDEX($DS$5:$DS$1003,$EX438),"")</f>
        <v/>
      </c>
      <c r="FJ438">
        <f>IF($EY438="row",INDEX($DT$5:$DT$1003,$EX438),"")</f>
        <v/>
      </c>
      <c r="FK438">
        <f>IF($EY438="row",INDEX($DU$5:$DU$1003,$EX438),"")</f>
        <v/>
      </c>
      <c r="FL438">
        <f>IF($EY438="row",INDEX($DV$5:$DV$1003,$EX438),"")</f>
        <v/>
      </c>
      <c r="FM438">
        <f>IF($EY438="row",INDEX($DW$5:$DW$1003,$EX438),"")</f>
        <v/>
      </c>
      <c r="FN438">
        <f>IF($EY438="row",INDEX($DY$5:$DY$1003,$EX438),"")</f>
        <v/>
      </c>
      <c r="FO438">
        <f>IF($EY438="row",INDEX($EA$5:$EA$1003,$EX438),"")</f>
        <v/>
      </c>
      <c r="FP438">
        <f>IF($EY438="row",INDEX($EC$5:$EC$1003,$EX438),"")</f>
        <v/>
      </c>
      <c r="FQ438">
        <f>IF($EY438="row",INDEX($ET$5:$ET$1003,$EX438),"")</f>
        <v/>
      </c>
      <c r="FR438">
        <f>IF($EY438="row",INDEX($EU$5:$EU$1003,$EX438),"")</f>
        <v/>
      </c>
      <c r="FS438">
        <f>IF(AND($EY438="row",$EY437="row"),IF(OR(INDEX($DT$5:$DT$1003,$EX437)="",INDEX($DT$5:$DT$1003,$EX438)=""),"",IF(NOT(EXACT(INDEX($DT$5:$DT$1003,$EX437),INDEX($DT$5:$DT$1003,$EX438))),"S4",IF(NOT(EXACT(INDEX($DS$5:$DS$1003,$EX437),INDEX($DS$5:$DS$1003,$EX438))),"S3",IF(NOT(EXACT(INDEX($DR$5:$DR$1003,$EX437),INDEX($DR$5:$DR$1003,$EX438))),"S1 Count Change","S1")))),"")</f>
        <v/>
      </c>
      <c r="FT438">
        <f>IF($EY438="row",INDEX($ES$5:$ES$1003,$EX438),"")</f>
        <v/>
      </c>
      <c r="FU438">
        <f>IF($EY438="row",INDEX($EO$5:$EO$1003,$EX438),0)</f>
        <v/>
      </c>
      <c r="FV438">
        <f>IF($FS438="S1 Count Change",1,0)</f>
        <v/>
      </c>
    </row>
    <row r="439">
      <c r="DA439" t="n">
        <v>435</v>
      </c>
      <c r="DB439">
        <f>IF($B$37=0,"",IFERROR(TRIM(SUBSTITUTE(SUBSTITUTE(SUBSTITUTE(SUBSTITUTE(INDEX(PASTE_ALL,435,$B$37)," "," "),CHAR(9)," "),CHAR(10)," "),CHAR(13)," ")),""))</f>
        <v/>
      </c>
      <c r="DC439">
        <f>IF(AND(435&gt;HEADER_ROW,UPPER(DB439)="LEGEND"),1,0)</f>
        <v/>
      </c>
      <c r="DE439" t="n">
        <v>435</v>
      </c>
      <c r="DF439">
        <f>HEADER_ROW+$DE439</f>
        <v/>
      </c>
      <c r="DG439">
        <f>IF(AND($DF439&lt;=1000,$DF439&lt;$B$8),1,0)</f>
        <v/>
      </c>
      <c r="DH439">
        <f>IF($DG439=1,IFERROR(INDEX($DB$5:$DB$1004,$DF439),""),"")</f>
        <v/>
      </c>
      <c r="DI439">
        <f>IF(AND($DG439=1,$DH439&lt;&gt;""),IFERROR(SUBSTITUTE(SUBSTITUTE(TRIM(SUBSTITUTE(SUBSTITUTE(SUBSTITUTE(SUBSTITUTE(IFERROR(INDEX(PASTE_ALL,$DF439,1)&amp;"","")&amp;"␟"&amp;IFERROR(INDEX(PASTE_ALL,$DF439,2)&amp;"","")&amp;"␟"&amp;IFERROR(INDEX(PASTE_ALL,$DF439,3)&amp;"","")&amp;"␟"&amp;IFERROR(INDEX(PASTE_ALL,$DF439,4)&amp;"","")&amp;"␟"&amp;IFERROR(INDEX(PASTE_ALL,$DF439,5)&amp;"","")&amp;"␟"&amp;IFERROR(INDEX(PASTE_ALL,$DF439,6)&amp;"","")&amp;"␟"&amp;IFERROR(INDEX(PASTE_ALL,$DF439,7)&amp;"","")&amp;"␟"&amp;IFERROR(INDEX(PASTE_ALL,$DF439,8)&amp;"","")&amp;"␟"&amp;IFERROR(INDEX(PASTE_ALL,$DF439,9)&amp;"","")&amp;"␟"&amp;IFERROR(INDEX(PASTE_ALL,$DF439,10)&amp;"","")&amp;"␟"&amp;IFERROR(INDEX(PASTE_ALL,$DF439,11)&amp;"","")&amp;"␟"&amp;IFERROR(INDEX(PASTE_ALL,$DF439,12)&amp;"","")&amp;"␟"&amp;IFERROR(INDEX(PASTE_ALL,$DF439,13)&amp;"","")&amp;"␟"&amp;IFERROR(INDEX(PASTE_ALL,$DF439,14)&amp;"","")&amp;"␟"&amp;IFERROR(INDEX(PASTE_ALL,$DF439,15)&amp;"","")&amp;"␟"&amp;IFERROR(INDEX(PASTE_ALL,$DF439,16)&amp;"","")&amp;"␟"&amp;IFERROR(INDEX(PASTE_ALL,$DF439,17)&amp;"","")&amp;"␟"&amp;IFERROR(INDEX(PASTE_ALL,$DF439,18)&amp;"","")&amp;"␟"&amp;IFERROR(INDEX(PASTE_ALL,$DF439,19)&amp;"","")&amp;"␟"&amp;IFERROR(INDEX(PASTE_ALL,$DF439,20)&amp;"","")&amp;"␟"&amp;IFERROR(INDEX(PASTE_ALL,$DF439,21)&amp;"","")&amp;"␟"&amp;IFERROR(INDEX(PASTE_ALL,$DF439,22)&amp;"","")&amp;"␟"&amp;IFERROR(INDEX(PASTE_ALL,$DF439,23)&amp;"","")&amp;"␟"&amp;IFERROR(INDEX(PASTE_ALL,$DF439,24)&amp;"","")&amp;"␟"&amp;IFERROR(INDEX(PASTE_ALL,$DF439,25)&amp;"","")&amp;"␟"&amp;IFERROR(INDEX(PASTE_ALL,$DF439,26)&amp;"","")&amp;"␟"&amp;IFERROR(INDEX(PASTE_ALL,$DF439,27)&amp;"","")&amp;"␟"&amp;IFERROR(INDEX(PASTE_ALL,$DF439,28)&amp;"","")&amp;"␟"&amp;IFERROR(INDEX(PASTE_ALL,$DF439,29)&amp;"","")&amp;"␟"&amp;IFERROR(INDEX(PASTE_ALL,$DF439,30)&amp;"","")&amp;"␟"&amp;IFERROR(INDEX(PASTE_ALL,$DF439,31)&amp;"","")&amp;"␟"&amp;IFERROR(INDEX(PASTE_ALL,$DF439,32)&amp;"","")&amp;"␟"&amp;IFERROR(INDEX(PASTE_ALL,$DF439,33)&amp;"","")&amp;"␟"&amp;IFERROR(INDEX(PASTE_ALL,$DF439,34)&amp;"","")&amp;"␟"&amp;IFERROR(INDEX(PASTE_ALL,$DF439,35)&amp;"","")&amp;"␟"&amp;IFERROR(INDEX(PASTE_ALL,$DF439,36)&amp;"","")&amp;"␟"&amp;IFERROR(INDEX(PASTE_ALL,$DF439,37)&amp;"","")&amp;"␟"&amp;IFERROR(INDEX(PASTE_ALL,$DF439,38)&amp;"","")&amp;"␟"&amp;IFERROR(INDEX(PASTE_ALL,$DF439,39)&amp;"","")&amp;"␟"&amp;IFERROR(INDEX(PASTE_ALL,$DF439,40)&amp;"","")&amp;"␟"&amp;IFERROR(INDEX(PASTE_ALL,$DF439,41)&amp;"","")&amp;"␟"&amp;IFERROR(INDEX(PASTE_ALL,$DF439,42)&amp;"","")&amp;"␟"&amp;IFERROR(INDEX(PASTE_ALL,$DF439,43)&amp;"","")&amp;"␟"&amp;IFERROR(INDEX(PASTE_ALL,$DF439,44)&amp;"","")&amp;"␟"&amp;IFERROR(INDEX(PASTE_ALL,$DF439,45)&amp;"","")&amp;"␟"&amp;IFERROR(INDEX(PASTE_ALL,$DF439,46)&amp;"","")&amp;"␟"&amp;IFERROR(INDEX(PASTE_ALL,$DF439,47)&amp;"","")&amp;"␟"&amp;IFERROR(INDEX(PASTE_ALL,$DF439,48)&amp;"","")&amp;"␟"&amp;IFERROR(INDEX(PASTE_ALL,$DF439,49)&amp;"","")&amp;"␟"&amp;IFERROR(INDEX(PASTE_ALL,$DF439,50)&amp;"","")&amp;"␟"&amp;IFERROR(INDEX(PASTE_ALL,$DF439,51)&amp;"","")&amp;"␟"&amp;IFERROR(INDEX(PASTE_ALL,$DF439,52)&amp;"","")&amp;"␟"&amp;IFERROR(INDEX(PASTE_ALL,$DF439,53)&amp;"","")&amp;"␟"&amp;IFERROR(INDEX(PASTE_ALL,$DF439,54)&amp;"","")&amp;"␟"&amp;IFERROR(INDEX(PASTE_ALL,$DF439,55)&amp;"","")&amp;"␟"&amp;IFERROR(INDEX(PASTE_ALL,$DF439,56)&amp;"","")&amp;"␟"&amp;IFERROR(INDEX(PASTE_ALL,$DF439,57)&amp;"","")&amp;"␟"&amp;IFERROR(INDEX(PASTE_ALL,$DF439,58)&amp;"","")&amp;"␟"&amp;IFERROR(INDEX(PASTE_ALL,$DF439,59)&amp;"","")&amp;"␟"&amp;IFERROR(INDEX(PASTE_ALL,$DF439,60)&amp;"","")," "," "),CHAR(9)," "),CHAR(10)," "),CHAR(13)," "))," ␟","␟"),"␟ ","␟"),"#"&amp;$DE439),"")</f>
        <v/>
      </c>
      <c r="DJ439">
        <f>IF($DI439="",0,IF(SUMPRODUCT(--EXACT($DI$4:DI438,$DI439))&gt;0,1,0))</f>
        <v/>
      </c>
      <c r="DK439">
        <f>IF(AND($DI439&lt;&gt;"",$DJ439=0),1,0)</f>
        <v/>
      </c>
      <c r="DL439">
        <f>DL438+$DK439</f>
        <v/>
      </c>
      <c r="DM439">
        <f>IF(AND($DK439=1,$DL439&lt;=600),1,0)</f>
        <v/>
      </c>
      <c r="DN439">
        <f>IF($DM439=0,"",IF($L$6=0,"",IFERROR(IF(ISNUMBER(INDEX(PASTE_ALL,$DF439,$L$6)),INDEX(PASTE_ALL,$DF439,$L$6),TRIM(SUBSTITUTE(SUBSTITUTE(SUBSTITUTE(SUBSTITUTE(INDEX(PASTE_ALL,$DF439,$L$6)," "," "),CHAR(9)," "),CHAR(10)," "),CHAR(13)," "))),"")))</f>
        <v/>
      </c>
      <c r="DO439">
        <f>IF($DM439=0,"",IF($L$7=0,"",IFERROR(IF(ISNUMBER(INDEX(PASTE_ALL,$DF439,$L$7)),INDEX(PASTE_ALL,$DF439,$L$7),TRIM(SUBSTITUTE(SUBSTITUTE(SUBSTITUTE(SUBSTITUTE(INDEX(PASTE_ALL,$DF439,$L$7)," "," "),CHAR(9)," "),CHAR(10)," "),CHAR(13)," "))),"")))</f>
        <v/>
      </c>
      <c r="DP439">
        <f>IF($DM439=0,"",IF($L$8=0,"",IFERROR(IF(ISNUMBER(INDEX(PASTE_ALL,$DF439,$L$8)),INDEX(PASTE_ALL,$DF439,$L$8),TRIM(SUBSTITUTE(SUBSTITUTE(SUBSTITUTE(SUBSTITUTE(INDEX(PASTE_ALL,$DF439,$L$8)," "," "),CHAR(9)," "),CHAR(10)," "),CHAR(13)," "))),"")))</f>
        <v/>
      </c>
      <c r="DQ439">
        <f>IF($DM439=0,"",IF($L$9=0,"",IFERROR(IF(ISNUMBER(INDEX(PASTE_ALL,$DF439,$L$9)),INDEX(PASTE_ALL,$DF439,$L$9),TRIM(SUBSTITUTE(SUBSTITUTE(SUBSTITUTE(SUBSTITUTE(INDEX(PASTE_ALL,$DF439,$L$9)," "," "),CHAR(9)," "),CHAR(10)," "),CHAR(13)," "))),"")))</f>
        <v/>
      </c>
      <c r="DR439">
        <f>IF($DM439=0,"",IF($L$10=0,"",IFERROR(IF(ISNUMBER(INDEX(PASTE_ALL,$DF439,$L$10)),INDEX(PASTE_ALL,$DF439,$L$10),TRIM(SUBSTITUTE(SUBSTITUTE(SUBSTITUTE(SUBSTITUTE(INDEX(PASTE_ALL,$DF439,$L$10)," "," "),CHAR(9)," "),CHAR(10)," "),CHAR(13)," "))),"")))</f>
        <v/>
      </c>
      <c r="DS439">
        <f>IF($DM439=0,"",IF($L$11=0,"",IFERROR(IF(ISNUMBER(INDEX(PASTE_ALL,$DF439,$L$11)),INDEX(PASTE_ALL,$DF439,$L$11),TRIM(SUBSTITUTE(SUBSTITUTE(SUBSTITUTE(SUBSTITUTE(INDEX(PASTE_ALL,$DF439,$L$11)," "," "),CHAR(9)," "),CHAR(10)," "),CHAR(13)," "))),"")))</f>
        <v/>
      </c>
      <c r="DT439">
        <f>IF($DM439=0,"",IF($L$12=0,"",IFERROR(IF(ISNUMBER(INDEX(PASTE_ALL,$DF439,$L$12)),INDEX(PASTE_ALL,$DF439,$L$12),TRIM(SUBSTITUTE(SUBSTITUTE(SUBSTITUTE(SUBSTITUTE(INDEX(PASTE_ALL,$DF439,$L$12)," "," "),CHAR(9)," "),CHAR(10)," "),CHAR(13)," "))),"")))</f>
        <v/>
      </c>
      <c r="DU439">
        <f>IF($DM439=0,"",IF($L$13=0,"",IFERROR(IF(ISNUMBER(INDEX(PASTE_ALL,$DF439,$L$13)),INDEX(PASTE_ALL,$DF439,$L$13),TRIM(SUBSTITUTE(SUBSTITUTE(SUBSTITUTE(SUBSTITUTE(INDEX(PASTE_ALL,$DF439,$L$13)," "," "),CHAR(9)," "),CHAR(10)," "),CHAR(13)," "))),"")))</f>
        <v/>
      </c>
      <c r="DV439">
        <f>IF($DM439=0,"",IF($L$14=0,"",IFERROR(IF(ISNUMBER(INDEX(PASTE_ALL,$DF439,$L$14)),INDEX(PASTE_ALL,$DF439,$L$14),TRIM(SUBSTITUTE(SUBSTITUTE(SUBSTITUTE(SUBSTITUTE(INDEX(PASTE_ALL,$DF439,$L$14)," "," "),CHAR(9)," "),CHAR(10)," "),CHAR(13)," "))),"")))</f>
        <v/>
      </c>
      <c r="DW439">
        <f>IF($DM439=0,"",IF($L$15=0,"",IFERROR(IF(ISNUMBER(INDEX(PASTE_ALL,$DF439,$L$15)),INDEX(PASTE_ALL,$DF439,$L$15),IF(SUMPRODUCT(--ISNUMBER(FIND({"A","B","C","D","E","F","G","H","I","J","K","L","M","N","O","P","Q","R","S","T","U","V","W","X","Y","Z","0","1","2","3","4","5","6","7","8","9"},UPPER(TRIM(SUBSTITUTE(SUBSTITUTE(SUBSTITUTE(SUBSTITUTE(INDEX(PASTE_ALL,$DF439,$L$15)," "," "),CHAR(9)," "),CHAR(10)," "),CHAR(13)," "))))))&gt;0,TRIM(SUBSTITUTE(SUBSTITUTE(SUBSTITUTE(SUBSTITUTE(INDEX(PASTE_ALL,$DF439,$L$15)," "," "),CHAR(9)," "),CHAR(10)," "),CHAR(13)," ")),"")),"")))</f>
        <v/>
      </c>
      <c r="DX439">
        <f>IF($DM439=0,"",IF($L$16=0,"",IFERROR(IF(ISNUMBER(INDEX(PASTE_ALL,$DF439,$L$16)),INDEX(PASTE_ALL,$DF439,$L$16),SUBSTITUTE(SUBSTITUTE(TRIM(SUBSTITUTE(SUBSTITUTE(SUBSTITUTE(SUBSTITUTE(INDEX(PASTE_ALL,$DF439,$L$16)," "," "),CHAR(9)," "),CHAR(10)," "),CHAR(13)," ")),",",""),"%","")),"")))</f>
        <v/>
      </c>
      <c r="DY439">
        <f>IF($DM439=0,"",IFERROR(IF(ISNUMBER($DX439),$DX439,IF($DX439="","",IF(TRIM($DX439)="",0,IF(AND(AND(SUBSTITUTE(SUBSTITUTE(SUBSTITUTE(SUBSTITUTE(SUBSTITUTE(SUBSTITUTE(SUBSTITUTE(SUBSTITUTE(SUBSTITUTE(SUBSTITUTE(SUBSTITUTE(SUBSTITUTE(SUBSTITUTE(SUBSTITUTE(UPPER(TRIM($DX439)),"0",""),"1",""),"2",""),"3",""),"4",""),"5",""),"6",""),"7",""),"8",""),"9",""),".",""),"+",""),"-",""),"E","")="",LEN(SUBSTITUTE(SUBSTITUTE(MID(UPPER(TRIM($DX439)),1+OR(LEFT(UPPER(TRIM($DX439)),1)="+",LEFT(UPPER(TRIM($DX439)),1)="-"),999),"E+","E"),"E-","E"))=LEN(SUBSTITUTE(SUBSTITUTE(SUBSTITUTE(SUBSTITUTE(MID(UPPER(TRIM($DX439)),1+OR(LEFT(UPPER(TRIM($DX439)),1)="+",LEFT(UPPER(TRIM($DX439)),1)="-"),999),"E+","E"),"E-","E"),"+",""),"-","")),LEN(UPPER(TRIM($DX439)))-LEN(SUBSTITUTE(UPPER(TRIM($DX439)),"E",""))&lt;2,LEN(UPPER(TRIM($DX439)))-LEN(SUBSTITUTE(UPPER(TRIM($DX439)),".",""))&lt;2,IFERROR(FIND(".",UPPER(TRIM($DX439))),0)&lt;IFERROR(FIND("E",UPPER(TRIM($DX439))),999)),ISNUMBER(VALUE(TRIM($DX439)))),VALUE(TRIM($DX439)),"")))),""))</f>
        <v/>
      </c>
      <c r="DZ439">
        <f>IF($DM439=0,"",IF($L$17=0,"",IFERROR(IF(ISNUMBER(INDEX(PASTE_ALL,$DF439,$L$17)),INDEX(PASTE_ALL,$DF439,$L$17),SUBSTITUTE(SUBSTITUTE(TRIM(SUBSTITUTE(SUBSTITUTE(SUBSTITUTE(SUBSTITUTE(INDEX(PASTE_ALL,$DF439,$L$17)," "," "),CHAR(9)," "),CHAR(10)," "),CHAR(13)," ")),",",""),"%","")),"")))</f>
        <v/>
      </c>
      <c r="EA439">
        <f>IF($DM439=0,"",IFERROR(IF(ISNUMBER($DZ439),$DZ439,IF($DZ439="","",IF(TRIM($DZ439)="",0,IF(AND(AND(SUBSTITUTE(SUBSTITUTE(SUBSTITUTE(SUBSTITUTE(SUBSTITUTE(SUBSTITUTE(SUBSTITUTE(SUBSTITUTE(SUBSTITUTE(SUBSTITUTE(SUBSTITUTE(SUBSTITUTE(SUBSTITUTE(SUBSTITUTE(UPPER(TRIM($DZ439)),"0",""),"1",""),"2",""),"3",""),"4",""),"5",""),"6",""),"7",""),"8",""),"9",""),".",""),"+",""),"-",""),"E","")="",LEN(SUBSTITUTE(SUBSTITUTE(MID(UPPER(TRIM($DZ439)),1+OR(LEFT(UPPER(TRIM($DZ439)),1)="+",LEFT(UPPER(TRIM($DZ439)),1)="-"),999),"E+","E"),"E-","E"))=LEN(SUBSTITUTE(SUBSTITUTE(SUBSTITUTE(SUBSTITUTE(MID(UPPER(TRIM($DZ439)),1+OR(LEFT(UPPER(TRIM($DZ439)),1)="+",LEFT(UPPER(TRIM($DZ439)),1)="-"),999),"E+","E"),"E-","E"),"+",""),"-","")),LEN(UPPER(TRIM($DZ439)))-LEN(SUBSTITUTE(UPPER(TRIM($DZ439)),"E",""))&lt;2,LEN(UPPER(TRIM($DZ439)))-LEN(SUBSTITUTE(UPPER(TRIM($DZ439)),".",""))&lt;2,IFERROR(FIND(".",UPPER(TRIM($DZ439))),0)&lt;IFERROR(FIND("E",UPPER(TRIM($DZ439))),999)),ISNUMBER(VALUE(TRIM($DZ439)))),VALUE(TRIM($DZ439)),"")))),""))</f>
        <v/>
      </c>
      <c r="EB439">
        <f>IF($DM439=0,"",IF($L$18=0,"",IFERROR(IF(UPPER(TRIM(SUBSTITUTE(SUBSTITUTE(SUBSTITUTE(SUBSTITUTE(INDEX(PASTE_ALL,$DF439,$L$18)," "," "),CHAR(9)," "),CHAR(10)," "),CHAR(13)," ")))="READY","Ready",IF(UPPER(TRIM(SUBSTITUTE(SUBSTITUTE(SUBSTITUTE(SUBSTITUTE(INDEX(PASTE_ALL,$DF439,$L$18)," "," "),CHAR(9)," "),CHAR(10)," "),CHAR(13)," ")))="PM","PM",IF(OR(UPPER(TRIM(SUBSTITUTE(SUBSTITUTE(SUBSTITUTE(SUBSTITUTE(INDEX(PASTE_ALL,$DF439,$L$18)," "," "),CHAR(9)," "),CHAR(10)," "),CHAR(13)," ")))="OT",UPPER(TRIM(SUBSTITUTE(SUBSTITUTE(SUBSTITUTE(SUBSTITUTE(INDEX(PASTE_ALL,$DF439,$L$18)," "," "),CHAR(9)," "),CHAR(10)," "),CHAR(13)," ")))="OVERTIME",UPPER(TRIM(SUBSTITUTE(SUBSTITUTE(SUBSTITUTE(SUBSTITUTE(INDEX(PASTE_ALL,$DF439,$L$18)," "," "),CHAR(9)," "),CHAR(10)," "),CHAR(13)," ")))="TRIAL"),"OT",TRIM(SUBSTITUTE(SUBSTITUTE(SUBSTITUTE(SUBSTITUTE(INDEX(PASTE_ALL,$DF439,$L$18)," "," "),CHAR(9)," "),CHAR(10)," "),CHAR(13)," "))))),"")))</f>
        <v/>
      </c>
      <c r="EC439">
        <f>IF($DM439=0,"",IF($L$19=0,"",IFERROR(IF(ISNUMBER(INDEX(PASTE_ALL,$DF439,$L$19)),INDEX(PASTE_ALL,$DF439,$L$19),TRIM(SUBSTITUTE(SUBSTITUTE(SUBSTITUTE(SUBSTITUTE(INDEX(PASTE_ALL,$DF439,$L$19)," "," "),CHAR(9)," "),CHAR(10)," "),CHAR(13)," "))),"")))</f>
        <v/>
      </c>
      <c r="ED439">
        <f>IF($DM439=0,"",MATCH(1,INDEX(EXACT($DH$5:DH439,$DH439)*$DM$5:DM439,0),0))</f>
        <v/>
      </c>
      <c r="EE439">
        <f>IF($DM439=0,0,IF($ED439=$DE439,1,0))</f>
        <v/>
      </c>
      <c r="EF439">
        <f>EF438+$EE439</f>
        <v/>
      </c>
      <c r="EG439">
        <f>IF($DM439=0,"",INDEX($EF$5:$EF$1003,$ED439))</f>
        <v/>
      </c>
      <c r="EH439">
        <f>IF($DM439=0,"",IF($DO439&lt;&gt;"","",IFERROR(LOOKUP(2,1/(($EG$4:EG438=$EG439)*($DO$4:DO438&lt;&gt;"")),$DO$4:DO438),"")))</f>
        <v/>
      </c>
      <c r="EI439">
        <f>IF($DM439=0,"",IF($DO439&lt;&gt;"",$DO439,$EH439))</f>
        <v/>
      </c>
      <c r="EJ439">
        <f>IF($DM439=0,"",IF($EI439="",0,IF(OR(ISNUMBER($EI439),AND(AND(SUBSTITUTE(SUBSTITUTE(SUBSTITUTE(SUBSTITUTE(SUBSTITUTE(SUBSTITUTE(SUBSTITUTE(SUBSTITUTE(SUBSTITUTE(SUBSTITUTE(SUBSTITUTE(SUBSTITUTE(SUBSTITUTE(SUBSTITUTE(UPPER($EI439),"0",""),"1",""),"2",""),"3",""),"4",""),"5",""),"6",""),"7",""),"8",""),"9",""),".",""),"+",""),"-",""),"E","")="",LEN(SUBSTITUTE(SUBSTITUTE(MID(UPPER($EI439),1+OR(LEFT(UPPER($EI439),1)="+",LEFT(UPPER($EI439),1)="-"),999),"E+","E"),"E-","E"))=LEN(SUBSTITUTE(SUBSTITUTE(SUBSTITUTE(SUBSTITUTE(MID(UPPER($EI439),1+OR(LEFT(UPPER($EI439),1)="+",LEFT(UPPER($EI439),1)="-"),999),"E+","E"),"E-","E"),"+",""),"-","")),LEN(UPPER($EI439))-LEN(SUBSTITUTE(UPPER($EI439),"E",""))&lt;2,LEN(UPPER($EI439))-LEN(SUBSTITUTE(UPPER($EI439),".",""))&lt;2,IFERROR(FIND(".",UPPER($EI439)),0)&lt;IFERROR(FIND("E",UPPER($EI439)),999)),ISNUMBER(VALUE($EI439)))),1,2)))</f>
        <v/>
      </c>
      <c r="EK439">
        <f>IF($DM439=0,"",IF($EJ439=1,IF(ISNUMBER($EI439),$EI439,VALUE($EI439)),IF($EJ439=2,$DE439,0)))</f>
        <v/>
      </c>
      <c r="EL439">
        <f>IF($DM439=0,"",COUNTIF($EG$5:$EG$1003,"&lt;"&amp;$EG439)+SUMPRODUCT(($EG$5:$EG$1003=$EG439)*(($EJ$5:$EJ$1003&lt;$EJ439)+($EJ$5:$EJ$1003=$EJ439)*(($EK$5:$EK$1003&lt;$EK439)+($EK$5:$EK$1003=$EK439)*($DE$5:$DE$1003&lt;$DE439))))+1)</f>
        <v/>
      </c>
      <c r="EM439">
        <f>IF($DM439=0,"",$EL439+$EG439-1)</f>
        <v/>
      </c>
      <c r="EN439">
        <f>IF($DM439=0,0,IFERROR(MATCH(1,INDEX(--(TRIM(SUBSTITUTE(SUBSTITUTE(SUBSTITUTE(SUBSTITUTE(LINES_NAME&amp;""," "," "),CHAR(9)," "),CHAR(10)," "),CHAR(13)," "))=$DH439),0),0),0))</f>
        <v/>
      </c>
      <c r="EO439">
        <f>IF($EN439=0,0,IF(OR(UPPER(TRIM(INDEX(LINES_SCHEDULED,$EN439)&amp;""))="YES",UPPER(TRIM(INDEX(LINES_SCHEDULED,$EN439)&amp;""))="Y",UPPER(TRIM(INDEX(LINES_SCHEDULED,$EN439)&amp;""))="X"),1,0))</f>
        <v/>
      </c>
      <c r="EP439">
        <f>IF($DM439=0,"",IF(COUNTIFS($EG$5:$EG$1003,$EG439,$EB$5:$EB$1003,"Ready")&gt;0,"READY",IF(COUNTIFS($EG$5:$EG$1003,$EG439,$EB$5:$EB$1003,"PM")&gt;0,"PM",IF(COUNTIFS($EG$5:$EG$1003,$EG439,$EB$5:$EB$1003,"OT")&gt;0,"OT",""))))</f>
        <v/>
      </c>
      <c r="EQ439">
        <f>IF($EN439=0,"",UPPER(TRIM(INDEX(LINES_STATUS,$EN439)&amp;"")))</f>
        <v/>
      </c>
      <c r="ER439">
        <f>IF($DM439=0,"",IF(OR($EQ439="READY",$EQ439="PM",$EQ439="OT"),$EQ439,$EP439))</f>
        <v/>
      </c>
      <c r="ES439">
        <f>IF($DM439=0,"",IF(AND($DV439&lt;&gt;"",UPPER($DV439)&lt;&gt;"N"),"allergen",IF(ISNUMBER(SEARCH("oil",$DQ439)),"oil",IF(OR(EXACT($DS439,"A662"),EXACT($DS439,"A624")),"bulk",""))))</f>
        <v/>
      </c>
      <c r="ET439">
        <f>IF($DM439=0,"",IF(OR($EA439="",$EA439=0),"",$EA439/100))</f>
        <v/>
      </c>
      <c r="EU439">
        <f>IF(OR($ET439="",$DY439=""),"",INT($DY439*(1-$ET439)+0.5))</f>
        <v/>
      </c>
      <c r="EW439" t="n">
        <v>435</v>
      </c>
      <c r="EX439">
        <f>IFERROR(MATCH($EW439,$EM$5:$EM$1003,0),0)</f>
        <v/>
      </c>
      <c r="EY439">
        <f>IF($EW439&gt;$B$12,"",IF($EX439&gt;0,"row","spacer"))</f>
        <v/>
      </c>
      <c r="EZ439">
        <f>IF(AND($EY439="row",$EY438&lt;&gt;"row"),1,0)</f>
        <v/>
      </c>
      <c r="FA439">
        <f>IF(AND($EY439="row",$EY440&lt;&gt;"row"),1,0)</f>
        <v/>
      </c>
      <c r="FB439">
        <f>IF($EZ439=1,IFERROR(IF(ISNUMBER(INDEX(PASTE_ALL,INDEX($DF$5:$DF$1003,$EX439),$B$37)),INDEX(PASTE_ALL,INDEX($DF$5:$DF$1003,$EX439),$B$37),INDEX($DH$5:$DH$1003,$EX439)),INDEX($DH$5:$DH$1003,$EX439)),"")</f>
        <v/>
      </c>
      <c r="FC439">
        <f>IF($EY439="row",INDEX($ER$5:$ER$1003,$EX439),"")</f>
        <v/>
      </c>
      <c r="FD439">
        <f>IF($EY439="row",INDEX($DN$5:$DN$1003,$EX439),"")</f>
        <v/>
      </c>
      <c r="FE439">
        <f>IF($EY439="row",INDEX($DO$5:$DO$1003,$EX439),"")</f>
        <v/>
      </c>
      <c r="FF439">
        <f>IF($EY439="row",INDEX($DP$5:$DP$1003,$EX439),"")</f>
        <v/>
      </c>
      <c r="FG439">
        <f>IF($EY439="row",INDEX($DQ$5:$DQ$1003,$EX439),"")</f>
        <v/>
      </c>
      <c r="FH439">
        <f>IF($EY439="row",INDEX($DR$5:$DR$1003,$EX439),"")</f>
        <v/>
      </c>
      <c r="FI439">
        <f>IF($EY439="row",INDEX($DS$5:$DS$1003,$EX439),"")</f>
        <v/>
      </c>
      <c r="FJ439">
        <f>IF($EY439="row",INDEX($DT$5:$DT$1003,$EX439),"")</f>
        <v/>
      </c>
      <c r="FK439">
        <f>IF($EY439="row",INDEX($DU$5:$DU$1003,$EX439),"")</f>
        <v/>
      </c>
      <c r="FL439">
        <f>IF($EY439="row",INDEX($DV$5:$DV$1003,$EX439),"")</f>
        <v/>
      </c>
      <c r="FM439">
        <f>IF($EY439="row",INDEX($DW$5:$DW$1003,$EX439),"")</f>
        <v/>
      </c>
      <c r="FN439">
        <f>IF($EY439="row",INDEX($DY$5:$DY$1003,$EX439),"")</f>
        <v/>
      </c>
      <c r="FO439">
        <f>IF($EY439="row",INDEX($EA$5:$EA$1003,$EX439),"")</f>
        <v/>
      </c>
      <c r="FP439">
        <f>IF($EY439="row",INDEX($EC$5:$EC$1003,$EX439),"")</f>
        <v/>
      </c>
      <c r="FQ439">
        <f>IF($EY439="row",INDEX($ET$5:$ET$1003,$EX439),"")</f>
        <v/>
      </c>
      <c r="FR439">
        <f>IF($EY439="row",INDEX($EU$5:$EU$1003,$EX439),"")</f>
        <v/>
      </c>
      <c r="FS439">
        <f>IF(AND($EY439="row",$EY438="row"),IF(OR(INDEX($DT$5:$DT$1003,$EX438)="",INDEX($DT$5:$DT$1003,$EX439)=""),"",IF(NOT(EXACT(INDEX($DT$5:$DT$1003,$EX438),INDEX($DT$5:$DT$1003,$EX439))),"S4",IF(NOT(EXACT(INDEX($DS$5:$DS$1003,$EX438),INDEX($DS$5:$DS$1003,$EX439))),"S3",IF(NOT(EXACT(INDEX($DR$5:$DR$1003,$EX438),INDEX($DR$5:$DR$1003,$EX439))),"S1 Count Change","S1")))),"")</f>
        <v/>
      </c>
      <c r="FT439">
        <f>IF($EY439="row",INDEX($ES$5:$ES$1003,$EX439),"")</f>
        <v/>
      </c>
      <c r="FU439">
        <f>IF($EY439="row",INDEX($EO$5:$EO$1003,$EX439),0)</f>
        <v/>
      </c>
      <c r="FV439">
        <f>IF($FS439="S1 Count Change",1,0)</f>
        <v/>
      </c>
    </row>
    <row r="440">
      <c r="DA440" t="n">
        <v>436</v>
      </c>
      <c r="DB440">
        <f>IF($B$37=0,"",IFERROR(TRIM(SUBSTITUTE(SUBSTITUTE(SUBSTITUTE(SUBSTITUTE(INDEX(PASTE_ALL,436,$B$37)," "," "),CHAR(9)," "),CHAR(10)," "),CHAR(13)," ")),""))</f>
        <v/>
      </c>
      <c r="DC440">
        <f>IF(AND(436&gt;HEADER_ROW,UPPER(DB440)="LEGEND"),1,0)</f>
        <v/>
      </c>
      <c r="DE440" t="n">
        <v>436</v>
      </c>
      <c r="DF440">
        <f>HEADER_ROW+$DE440</f>
        <v/>
      </c>
      <c r="DG440">
        <f>IF(AND($DF440&lt;=1000,$DF440&lt;$B$8),1,0)</f>
        <v/>
      </c>
      <c r="DH440">
        <f>IF($DG440=1,IFERROR(INDEX($DB$5:$DB$1004,$DF440),""),"")</f>
        <v/>
      </c>
      <c r="DI440">
        <f>IF(AND($DG440=1,$DH440&lt;&gt;""),IFERROR(SUBSTITUTE(SUBSTITUTE(TRIM(SUBSTITUTE(SUBSTITUTE(SUBSTITUTE(SUBSTITUTE(IFERROR(INDEX(PASTE_ALL,$DF440,1)&amp;"","")&amp;"␟"&amp;IFERROR(INDEX(PASTE_ALL,$DF440,2)&amp;"","")&amp;"␟"&amp;IFERROR(INDEX(PASTE_ALL,$DF440,3)&amp;"","")&amp;"␟"&amp;IFERROR(INDEX(PASTE_ALL,$DF440,4)&amp;"","")&amp;"␟"&amp;IFERROR(INDEX(PASTE_ALL,$DF440,5)&amp;"","")&amp;"␟"&amp;IFERROR(INDEX(PASTE_ALL,$DF440,6)&amp;"","")&amp;"␟"&amp;IFERROR(INDEX(PASTE_ALL,$DF440,7)&amp;"","")&amp;"␟"&amp;IFERROR(INDEX(PASTE_ALL,$DF440,8)&amp;"","")&amp;"␟"&amp;IFERROR(INDEX(PASTE_ALL,$DF440,9)&amp;"","")&amp;"␟"&amp;IFERROR(INDEX(PASTE_ALL,$DF440,10)&amp;"","")&amp;"␟"&amp;IFERROR(INDEX(PASTE_ALL,$DF440,11)&amp;"","")&amp;"␟"&amp;IFERROR(INDEX(PASTE_ALL,$DF440,12)&amp;"","")&amp;"␟"&amp;IFERROR(INDEX(PASTE_ALL,$DF440,13)&amp;"","")&amp;"␟"&amp;IFERROR(INDEX(PASTE_ALL,$DF440,14)&amp;"","")&amp;"␟"&amp;IFERROR(INDEX(PASTE_ALL,$DF440,15)&amp;"","")&amp;"␟"&amp;IFERROR(INDEX(PASTE_ALL,$DF440,16)&amp;"","")&amp;"␟"&amp;IFERROR(INDEX(PASTE_ALL,$DF440,17)&amp;"","")&amp;"␟"&amp;IFERROR(INDEX(PASTE_ALL,$DF440,18)&amp;"","")&amp;"␟"&amp;IFERROR(INDEX(PASTE_ALL,$DF440,19)&amp;"","")&amp;"␟"&amp;IFERROR(INDEX(PASTE_ALL,$DF440,20)&amp;"","")&amp;"␟"&amp;IFERROR(INDEX(PASTE_ALL,$DF440,21)&amp;"","")&amp;"␟"&amp;IFERROR(INDEX(PASTE_ALL,$DF440,22)&amp;"","")&amp;"␟"&amp;IFERROR(INDEX(PASTE_ALL,$DF440,23)&amp;"","")&amp;"␟"&amp;IFERROR(INDEX(PASTE_ALL,$DF440,24)&amp;"","")&amp;"␟"&amp;IFERROR(INDEX(PASTE_ALL,$DF440,25)&amp;"","")&amp;"␟"&amp;IFERROR(INDEX(PASTE_ALL,$DF440,26)&amp;"","")&amp;"␟"&amp;IFERROR(INDEX(PASTE_ALL,$DF440,27)&amp;"","")&amp;"␟"&amp;IFERROR(INDEX(PASTE_ALL,$DF440,28)&amp;"","")&amp;"␟"&amp;IFERROR(INDEX(PASTE_ALL,$DF440,29)&amp;"","")&amp;"␟"&amp;IFERROR(INDEX(PASTE_ALL,$DF440,30)&amp;"","")&amp;"␟"&amp;IFERROR(INDEX(PASTE_ALL,$DF440,31)&amp;"","")&amp;"␟"&amp;IFERROR(INDEX(PASTE_ALL,$DF440,32)&amp;"","")&amp;"␟"&amp;IFERROR(INDEX(PASTE_ALL,$DF440,33)&amp;"","")&amp;"␟"&amp;IFERROR(INDEX(PASTE_ALL,$DF440,34)&amp;"","")&amp;"␟"&amp;IFERROR(INDEX(PASTE_ALL,$DF440,35)&amp;"","")&amp;"␟"&amp;IFERROR(INDEX(PASTE_ALL,$DF440,36)&amp;"","")&amp;"␟"&amp;IFERROR(INDEX(PASTE_ALL,$DF440,37)&amp;"","")&amp;"␟"&amp;IFERROR(INDEX(PASTE_ALL,$DF440,38)&amp;"","")&amp;"␟"&amp;IFERROR(INDEX(PASTE_ALL,$DF440,39)&amp;"","")&amp;"␟"&amp;IFERROR(INDEX(PASTE_ALL,$DF440,40)&amp;"","")&amp;"␟"&amp;IFERROR(INDEX(PASTE_ALL,$DF440,41)&amp;"","")&amp;"␟"&amp;IFERROR(INDEX(PASTE_ALL,$DF440,42)&amp;"","")&amp;"␟"&amp;IFERROR(INDEX(PASTE_ALL,$DF440,43)&amp;"","")&amp;"␟"&amp;IFERROR(INDEX(PASTE_ALL,$DF440,44)&amp;"","")&amp;"␟"&amp;IFERROR(INDEX(PASTE_ALL,$DF440,45)&amp;"","")&amp;"␟"&amp;IFERROR(INDEX(PASTE_ALL,$DF440,46)&amp;"","")&amp;"␟"&amp;IFERROR(INDEX(PASTE_ALL,$DF440,47)&amp;"","")&amp;"␟"&amp;IFERROR(INDEX(PASTE_ALL,$DF440,48)&amp;"","")&amp;"␟"&amp;IFERROR(INDEX(PASTE_ALL,$DF440,49)&amp;"","")&amp;"␟"&amp;IFERROR(INDEX(PASTE_ALL,$DF440,50)&amp;"","")&amp;"␟"&amp;IFERROR(INDEX(PASTE_ALL,$DF440,51)&amp;"","")&amp;"␟"&amp;IFERROR(INDEX(PASTE_ALL,$DF440,52)&amp;"","")&amp;"␟"&amp;IFERROR(INDEX(PASTE_ALL,$DF440,53)&amp;"","")&amp;"␟"&amp;IFERROR(INDEX(PASTE_ALL,$DF440,54)&amp;"","")&amp;"␟"&amp;IFERROR(INDEX(PASTE_ALL,$DF440,55)&amp;"","")&amp;"␟"&amp;IFERROR(INDEX(PASTE_ALL,$DF440,56)&amp;"","")&amp;"␟"&amp;IFERROR(INDEX(PASTE_ALL,$DF440,57)&amp;"","")&amp;"␟"&amp;IFERROR(INDEX(PASTE_ALL,$DF440,58)&amp;"","")&amp;"␟"&amp;IFERROR(INDEX(PASTE_ALL,$DF440,59)&amp;"","")&amp;"␟"&amp;IFERROR(INDEX(PASTE_ALL,$DF440,60)&amp;"","")," "," "),CHAR(9)," "),CHAR(10)," "),CHAR(13)," "))," ␟","␟"),"␟ ","␟"),"#"&amp;$DE440),"")</f>
        <v/>
      </c>
      <c r="DJ440">
        <f>IF($DI440="",0,IF(SUMPRODUCT(--EXACT($DI$4:DI439,$DI440))&gt;0,1,0))</f>
        <v/>
      </c>
      <c r="DK440">
        <f>IF(AND($DI440&lt;&gt;"",$DJ440=0),1,0)</f>
        <v/>
      </c>
      <c r="DL440">
        <f>DL439+$DK440</f>
        <v/>
      </c>
      <c r="DM440">
        <f>IF(AND($DK440=1,$DL440&lt;=600),1,0)</f>
        <v/>
      </c>
      <c r="DN440">
        <f>IF($DM440=0,"",IF($L$6=0,"",IFERROR(IF(ISNUMBER(INDEX(PASTE_ALL,$DF440,$L$6)),INDEX(PASTE_ALL,$DF440,$L$6),TRIM(SUBSTITUTE(SUBSTITUTE(SUBSTITUTE(SUBSTITUTE(INDEX(PASTE_ALL,$DF440,$L$6)," "," "),CHAR(9)," "),CHAR(10)," "),CHAR(13)," "))),"")))</f>
        <v/>
      </c>
      <c r="DO440">
        <f>IF($DM440=0,"",IF($L$7=0,"",IFERROR(IF(ISNUMBER(INDEX(PASTE_ALL,$DF440,$L$7)),INDEX(PASTE_ALL,$DF440,$L$7),TRIM(SUBSTITUTE(SUBSTITUTE(SUBSTITUTE(SUBSTITUTE(INDEX(PASTE_ALL,$DF440,$L$7)," "," "),CHAR(9)," "),CHAR(10)," "),CHAR(13)," "))),"")))</f>
        <v/>
      </c>
      <c r="DP440">
        <f>IF($DM440=0,"",IF($L$8=0,"",IFERROR(IF(ISNUMBER(INDEX(PASTE_ALL,$DF440,$L$8)),INDEX(PASTE_ALL,$DF440,$L$8),TRIM(SUBSTITUTE(SUBSTITUTE(SUBSTITUTE(SUBSTITUTE(INDEX(PASTE_ALL,$DF440,$L$8)," "," "),CHAR(9)," "),CHAR(10)," "),CHAR(13)," "))),"")))</f>
        <v/>
      </c>
      <c r="DQ440">
        <f>IF($DM440=0,"",IF($L$9=0,"",IFERROR(IF(ISNUMBER(INDEX(PASTE_ALL,$DF440,$L$9)),INDEX(PASTE_ALL,$DF440,$L$9),TRIM(SUBSTITUTE(SUBSTITUTE(SUBSTITUTE(SUBSTITUTE(INDEX(PASTE_ALL,$DF440,$L$9)," "," "),CHAR(9)," "),CHAR(10)," "),CHAR(13)," "))),"")))</f>
        <v/>
      </c>
      <c r="DR440">
        <f>IF($DM440=0,"",IF($L$10=0,"",IFERROR(IF(ISNUMBER(INDEX(PASTE_ALL,$DF440,$L$10)),INDEX(PASTE_ALL,$DF440,$L$10),TRIM(SUBSTITUTE(SUBSTITUTE(SUBSTITUTE(SUBSTITUTE(INDEX(PASTE_ALL,$DF440,$L$10)," "," "),CHAR(9)," "),CHAR(10)," "),CHAR(13)," "))),"")))</f>
        <v/>
      </c>
      <c r="DS440">
        <f>IF($DM440=0,"",IF($L$11=0,"",IFERROR(IF(ISNUMBER(INDEX(PASTE_ALL,$DF440,$L$11)),INDEX(PASTE_ALL,$DF440,$L$11),TRIM(SUBSTITUTE(SUBSTITUTE(SUBSTITUTE(SUBSTITUTE(INDEX(PASTE_ALL,$DF440,$L$11)," "," "),CHAR(9)," "),CHAR(10)," "),CHAR(13)," "))),"")))</f>
        <v/>
      </c>
      <c r="DT440">
        <f>IF($DM440=0,"",IF($L$12=0,"",IFERROR(IF(ISNUMBER(INDEX(PASTE_ALL,$DF440,$L$12)),INDEX(PASTE_ALL,$DF440,$L$12),TRIM(SUBSTITUTE(SUBSTITUTE(SUBSTITUTE(SUBSTITUTE(INDEX(PASTE_ALL,$DF440,$L$12)," "," "),CHAR(9)," "),CHAR(10)," "),CHAR(13)," "))),"")))</f>
        <v/>
      </c>
      <c r="DU440">
        <f>IF($DM440=0,"",IF($L$13=0,"",IFERROR(IF(ISNUMBER(INDEX(PASTE_ALL,$DF440,$L$13)),INDEX(PASTE_ALL,$DF440,$L$13),TRIM(SUBSTITUTE(SUBSTITUTE(SUBSTITUTE(SUBSTITUTE(INDEX(PASTE_ALL,$DF440,$L$13)," "," "),CHAR(9)," "),CHAR(10)," "),CHAR(13)," "))),"")))</f>
        <v/>
      </c>
      <c r="DV440">
        <f>IF($DM440=0,"",IF($L$14=0,"",IFERROR(IF(ISNUMBER(INDEX(PASTE_ALL,$DF440,$L$14)),INDEX(PASTE_ALL,$DF440,$L$14),TRIM(SUBSTITUTE(SUBSTITUTE(SUBSTITUTE(SUBSTITUTE(INDEX(PASTE_ALL,$DF440,$L$14)," "," "),CHAR(9)," "),CHAR(10)," "),CHAR(13)," "))),"")))</f>
        <v/>
      </c>
      <c r="DW440">
        <f>IF($DM440=0,"",IF($L$15=0,"",IFERROR(IF(ISNUMBER(INDEX(PASTE_ALL,$DF440,$L$15)),INDEX(PASTE_ALL,$DF440,$L$15),IF(SUMPRODUCT(--ISNUMBER(FIND({"A","B","C","D","E","F","G","H","I","J","K","L","M","N","O","P","Q","R","S","T","U","V","W","X","Y","Z","0","1","2","3","4","5","6","7","8","9"},UPPER(TRIM(SUBSTITUTE(SUBSTITUTE(SUBSTITUTE(SUBSTITUTE(INDEX(PASTE_ALL,$DF440,$L$15)," "," "),CHAR(9)," "),CHAR(10)," "),CHAR(13)," "))))))&gt;0,TRIM(SUBSTITUTE(SUBSTITUTE(SUBSTITUTE(SUBSTITUTE(INDEX(PASTE_ALL,$DF440,$L$15)," "," "),CHAR(9)," "),CHAR(10)," "),CHAR(13)," ")),"")),"")))</f>
        <v/>
      </c>
      <c r="DX440">
        <f>IF($DM440=0,"",IF($L$16=0,"",IFERROR(IF(ISNUMBER(INDEX(PASTE_ALL,$DF440,$L$16)),INDEX(PASTE_ALL,$DF440,$L$16),SUBSTITUTE(SUBSTITUTE(TRIM(SUBSTITUTE(SUBSTITUTE(SUBSTITUTE(SUBSTITUTE(INDEX(PASTE_ALL,$DF440,$L$16)," "," "),CHAR(9)," "),CHAR(10)," "),CHAR(13)," ")),",",""),"%","")),"")))</f>
        <v/>
      </c>
      <c r="DY440">
        <f>IF($DM440=0,"",IFERROR(IF(ISNUMBER($DX440),$DX440,IF($DX440="","",IF(TRIM($DX440)="",0,IF(AND(AND(SUBSTITUTE(SUBSTITUTE(SUBSTITUTE(SUBSTITUTE(SUBSTITUTE(SUBSTITUTE(SUBSTITUTE(SUBSTITUTE(SUBSTITUTE(SUBSTITUTE(SUBSTITUTE(SUBSTITUTE(SUBSTITUTE(SUBSTITUTE(UPPER(TRIM($DX440)),"0",""),"1",""),"2",""),"3",""),"4",""),"5",""),"6",""),"7",""),"8",""),"9",""),".",""),"+",""),"-",""),"E","")="",LEN(SUBSTITUTE(SUBSTITUTE(MID(UPPER(TRIM($DX440)),1+OR(LEFT(UPPER(TRIM($DX440)),1)="+",LEFT(UPPER(TRIM($DX440)),1)="-"),999),"E+","E"),"E-","E"))=LEN(SUBSTITUTE(SUBSTITUTE(SUBSTITUTE(SUBSTITUTE(MID(UPPER(TRIM($DX440)),1+OR(LEFT(UPPER(TRIM($DX440)),1)="+",LEFT(UPPER(TRIM($DX440)),1)="-"),999),"E+","E"),"E-","E"),"+",""),"-","")),LEN(UPPER(TRIM($DX440)))-LEN(SUBSTITUTE(UPPER(TRIM($DX440)),"E",""))&lt;2,LEN(UPPER(TRIM($DX440)))-LEN(SUBSTITUTE(UPPER(TRIM($DX440)),".",""))&lt;2,IFERROR(FIND(".",UPPER(TRIM($DX440))),0)&lt;IFERROR(FIND("E",UPPER(TRIM($DX440))),999)),ISNUMBER(VALUE(TRIM($DX440)))),VALUE(TRIM($DX440)),"")))),""))</f>
        <v/>
      </c>
      <c r="DZ440">
        <f>IF($DM440=0,"",IF($L$17=0,"",IFERROR(IF(ISNUMBER(INDEX(PASTE_ALL,$DF440,$L$17)),INDEX(PASTE_ALL,$DF440,$L$17),SUBSTITUTE(SUBSTITUTE(TRIM(SUBSTITUTE(SUBSTITUTE(SUBSTITUTE(SUBSTITUTE(INDEX(PASTE_ALL,$DF440,$L$17)," "," "),CHAR(9)," "),CHAR(10)," "),CHAR(13)," ")),",",""),"%","")),"")))</f>
        <v/>
      </c>
      <c r="EA440">
        <f>IF($DM440=0,"",IFERROR(IF(ISNUMBER($DZ440),$DZ440,IF($DZ440="","",IF(TRIM($DZ440)="",0,IF(AND(AND(SUBSTITUTE(SUBSTITUTE(SUBSTITUTE(SUBSTITUTE(SUBSTITUTE(SUBSTITUTE(SUBSTITUTE(SUBSTITUTE(SUBSTITUTE(SUBSTITUTE(SUBSTITUTE(SUBSTITUTE(SUBSTITUTE(SUBSTITUTE(UPPER(TRIM($DZ440)),"0",""),"1",""),"2",""),"3",""),"4",""),"5",""),"6",""),"7",""),"8",""),"9",""),".",""),"+",""),"-",""),"E","")="",LEN(SUBSTITUTE(SUBSTITUTE(MID(UPPER(TRIM($DZ440)),1+OR(LEFT(UPPER(TRIM($DZ440)),1)="+",LEFT(UPPER(TRIM($DZ440)),1)="-"),999),"E+","E"),"E-","E"))=LEN(SUBSTITUTE(SUBSTITUTE(SUBSTITUTE(SUBSTITUTE(MID(UPPER(TRIM($DZ440)),1+OR(LEFT(UPPER(TRIM($DZ440)),1)="+",LEFT(UPPER(TRIM($DZ440)),1)="-"),999),"E+","E"),"E-","E"),"+",""),"-","")),LEN(UPPER(TRIM($DZ440)))-LEN(SUBSTITUTE(UPPER(TRIM($DZ440)),"E",""))&lt;2,LEN(UPPER(TRIM($DZ440)))-LEN(SUBSTITUTE(UPPER(TRIM($DZ440)),".",""))&lt;2,IFERROR(FIND(".",UPPER(TRIM($DZ440))),0)&lt;IFERROR(FIND("E",UPPER(TRIM($DZ440))),999)),ISNUMBER(VALUE(TRIM($DZ440)))),VALUE(TRIM($DZ440)),"")))),""))</f>
        <v/>
      </c>
      <c r="EB440">
        <f>IF($DM440=0,"",IF($L$18=0,"",IFERROR(IF(UPPER(TRIM(SUBSTITUTE(SUBSTITUTE(SUBSTITUTE(SUBSTITUTE(INDEX(PASTE_ALL,$DF440,$L$18)," "," "),CHAR(9)," "),CHAR(10)," "),CHAR(13)," ")))="READY","Ready",IF(UPPER(TRIM(SUBSTITUTE(SUBSTITUTE(SUBSTITUTE(SUBSTITUTE(INDEX(PASTE_ALL,$DF440,$L$18)," "," "),CHAR(9)," "),CHAR(10)," "),CHAR(13)," ")))="PM","PM",IF(OR(UPPER(TRIM(SUBSTITUTE(SUBSTITUTE(SUBSTITUTE(SUBSTITUTE(INDEX(PASTE_ALL,$DF440,$L$18)," "," "),CHAR(9)," "),CHAR(10)," "),CHAR(13)," ")))="OT",UPPER(TRIM(SUBSTITUTE(SUBSTITUTE(SUBSTITUTE(SUBSTITUTE(INDEX(PASTE_ALL,$DF440,$L$18)," "," "),CHAR(9)," "),CHAR(10)," "),CHAR(13)," ")))="OVERTIME",UPPER(TRIM(SUBSTITUTE(SUBSTITUTE(SUBSTITUTE(SUBSTITUTE(INDEX(PASTE_ALL,$DF440,$L$18)," "," "),CHAR(9)," "),CHAR(10)," "),CHAR(13)," ")))="TRIAL"),"OT",TRIM(SUBSTITUTE(SUBSTITUTE(SUBSTITUTE(SUBSTITUTE(INDEX(PASTE_ALL,$DF440,$L$18)," "," "),CHAR(9)," "),CHAR(10)," "),CHAR(13)," "))))),"")))</f>
        <v/>
      </c>
      <c r="EC440">
        <f>IF($DM440=0,"",IF($L$19=0,"",IFERROR(IF(ISNUMBER(INDEX(PASTE_ALL,$DF440,$L$19)),INDEX(PASTE_ALL,$DF440,$L$19),TRIM(SUBSTITUTE(SUBSTITUTE(SUBSTITUTE(SUBSTITUTE(INDEX(PASTE_ALL,$DF440,$L$19)," "," "),CHAR(9)," "),CHAR(10)," "),CHAR(13)," "))),"")))</f>
        <v/>
      </c>
      <c r="ED440">
        <f>IF($DM440=0,"",MATCH(1,INDEX(EXACT($DH$5:DH440,$DH440)*$DM$5:DM440,0),0))</f>
        <v/>
      </c>
      <c r="EE440">
        <f>IF($DM440=0,0,IF($ED440=$DE440,1,0))</f>
        <v/>
      </c>
      <c r="EF440">
        <f>EF439+$EE440</f>
        <v/>
      </c>
      <c r="EG440">
        <f>IF($DM440=0,"",INDEX($EF$5:$EF$1003,$ED440))</f>
        <v/>
      </c>
      <c r="EH440">
        <f>IF($DM440=0,"",IF($DO440&lt;&gt;"","",IFERROR(LOOKUP(2,1/(($EG$4:EG439=$EG440)*($DO$4:DO439&lt;&gt;"")),$DO$4:DO439),"")))</f>
        <v/>
      </c>
      <c r="EI440">
        <f>IF($DM440=0,"",IF($DO440&lt;&gt;"",$DO440,$EH440))</f>
        <v/>
      </c>
      <c r="EJ440">
        <f>IF($DM440=0,"",IF($EI440="",0,IF(OR(ISNUMBER($EI440),AND(AND(SUBSTITUTE(SUBSTITUTE(SUBSTITUTE(SUBSTITUTE(SUBSTITUTE(SUBSTITUTE(SUBSTITUTE(SUBSTITUTE(SUBSTITUTE(SUBSTITUTE(SUBSTITUTE(SUBSTITUTE(SUBSTITUTE(SUBSTITUTE(UPPER($EI440),"0",""),"1",""),"2",""),"3",""),"4",""),"5",""),"6",""),"7",""),"8",""),"9",""),".",""),"+",""),"-",""),"E","")="",LEN(SUBSTITUTE(SUBSTITUTE(MID(UPPER($EI440),1+OR(LEFT(UPPER($EI440),1)="+",LEFT(UPPER($EI440),1)="-"),999),"E+","E"),"E-","E"))=LEN(SUBSTITUTE(SUBSTITUTE(SUBSTITUTE(SUBSTITUTE(MID(UPPER($EI440),1+OR(LEFT(UPPER($EI440),1)="+",LEFT(UPPER($EI440),1)="-"),999),"E+","E"),"E-","E"),"+",""),"-","")),LEN(UPPER($EI440))-LEN(SUBSTITUTE(UPPER($EI440),"E",""))&lt;2,LEN(UPPER($EI440))-LEN(SUBSTITUTE(UPPER($EI440),".",""))&lt;2,IFERROR(FIND(".",UPPER($EI440)),0)&lt;IFERROR(FIND("E",UPPER($EI440)),999)),ISNUMBER(VALUE($EI440)))),1,2)))</f>
        <v/>
      </c>
      <c r="EK440">
        <f>IF($DM440=0,"",IF($EJ440=1,IF(ISNUMBER($EI440),$EI440,VALUE($EI440)),IF($EJ440=2,$DE440,0)))</f>
        <v/>
      </c>
      <c r="EL440">
        <f>IF($DM440=0,"",COUNTIF($EG$5:$EG$1003,"&lt;"&amp;$EG440)+SUMPRODUCT(($EG$5:$EG$1003=$EG440)*(($EJ$5:$EJ$1003&lt;$EJ440)+($EJ$5:$EJ$1003=$EJ440)*(($EK$5:$EK$1003&lt;$EK440)+($EK$5:$EK$1003=$EK440)*($DE$5:$DE$1003&lt;$DE440))))+1)</f>
        <v/>
      </c>
      <c r="EM440">
        <f>IF($DM440=0,"",$EL440+$EG440-1)</f>
        <v/>
      </c>
      <c r="EN440">
        <f>IF($DM440=0,0,IFERROR(MATCH(1,INDEX(--(TRIM(SUBSTITUTE(SUBSTITUTE(SUBSTITUTE(SUBSTITUTE(LINES_NAME&amp;""," "," "),CHAR(9)," "),CHAR(10)," "),CHAR(13)," "))=$DH440),0),0),0))</f>
        <v/>
      </c>
      <c r="EO440">
        <f>IF($EN440=0,0,IF(OR(UPPER(TRIM(INDEX(LINES_SCHEDULED,$EN440)&amp;""))="YES",UPPER(TRIM(INDEX(LINES_SCHEDULED,$EN440)&amp;""))="Y",UPPER(TRIM(INDEX(LINES_SCHEDULED,$EN440)&amp;""))="X"),1,0))</f>
        <v/>
      </c>
      <c r="EP440">
        <f>IF($DM440=0,"",IF(COUNTIFS($EG$5:$EG$1003,$EG440,$EB$5:$EB$1003,"Ready")&gt;0,"READY",IF(COUNTIFS($EG$5:$EG$1003,$EG440,$EB$5:$EB$1003,"PM")&gt;0,"PM",IF(COUNTIFS($EG$5:$EG$1003,$EG440,$EB$5:$EB$1003,"OT")&gt;0,"OT",""))))</f>
        <v/>
      </c>
      <c r="EQ440">
        <f>IF($EN440=0,"",UPPER(TRIM(INDEX(LINES_STATUS,$EN440)&amp;"")))</f>
        <v/>
      </c>
      <c r="ER440">
        <f>IF($DM440=0,"",IF(OR($EQ440="READY",$EQ440="PM",$EQ440="OT"),$EQ440,$EP440))</f>
        <v/>
      </c>
      <c r="ES440">
        <f>IF($DM440=0,"",IF(AND($DV440&lt;&gt;"",UPPER($DV440)&lt;&gt;"N"),"allergen",IF(ISNUMBER(SEARCH("oil",$DQ440)),"oil",IF(OR(EXACT($DS440,"A662"),EXACT($DS440,"A624")),"bulk",""))))</f>
        <v/>
      </c>
      <c r="ET440">
        <f>IF($DM440=0,"",IF(OR($EA440="",$EA440=0),"",$EA440/100))</f>
        <v/>
      </c>
      <c r="EU440">
        <f>IF(OR($ET440="",$DY440=""),"",INT($DY440*(1-$ET440)+0.5))</f>
        <v/>
      </c>
      <c r="EW440" t="n">
        <v>436</v>
      </c>
      <c r="EX440">
        <f>IFERROR(MATCH($EW440,$EM$5:$EM$1003,0),0)</f>
        <v/>
      </c>
      <c r="EY440">
        <f>IF($EW440&gt;$B$12,"",IF($EX440&gt;0,"row","spacer"))</f>
        <v/>
      </c>
      <c r="EZ440">
        <f>IF(AND($EY440="row",$EY439&lt;&gt;"row"),1,0)</f>
        <v/>
      </c>
      <c r="FA440">
        <f>IF(AND($EY440="row",$EY441&lt;&gt;"row"),1,0)</f>
        <v/>
      </c>
      <c r="FB440">
        <f>IF($EZ440=1,IFERROR(IF(ISNUMBER(INDEX(PASTE_ALL,INDEX($DF$5:$DF$1003,$EX440),$B$37)),INDEX(PASTE_ALL,INDEX($DF$5:$DF$1003,$EX440),$B$37),INDEX($DH$5:$DH$1003,$EX440)),INDEX($DH$5:$DH$1003,$EX440)),"")</f>
        <v/>
      </c>
      <c r="FC440">
        <f>IF($EY440="row",INDEX($ER$5:$ER$1003,$EX440),"")</f>
        <v/>
      </c>
      <c r="FD440">
        <f>IF($EY440="row",INDEX($DN$5:$DN$1003,$EX440),"")</f>
        <v/>
      </c>
      <c r="FE440">
        <f>IF($EY440="row",INDEX($DO$5:$DO$1003,$EX440),"")</f>
        <v/>
      </c>
      <c r="FF440">
        <f>IF($EY440="row",INDEX($DP$5:$DP$1003,$EX440),"")</f>
        <v/>
      </c>
      <c r="FG440">
        <f>IF($EY440="row",INDEX($DQ$5:$DQ$1003,$EX440),"")</f>
        <v/>
      </c>
      <c r="FH440">
        <f>IF($EY440="row",INDEX($DR$5:$DR$1003,$EX440),"")</f>
        <v/>
      </c>
      <c r="FI440">
        <f>IF($EY440="row",INDEX($DS$5:$DS$1003,$EX440),"")</f>
        <v/>
      </c>
      <c r="FJ440">
        <f>IF($EY440="row",INDEX($DT$5:$DT$1003,$EX440),"")</f>
        <v/>
      </c>
      <c r="FK440">
        <f>IF($EY440="row",INDEX($DU$5:$DU$1003,$EX440),"")</f>
        <v/>
      </c>
      <c r="FL440">
        <f>IF($EY440="row",INDEX($DV$5:$DV$1003,$EX440),"")</f>
        <v/>
      </c>
      <c r="FM440">
        <f>IF($EY440="row",INDEX($DW$5:$DW$1003,$EX440),"")</f>
        <v/>
      </c>
      <c r="FN440">
        <f>IF($EY440="row",INDEX($DY$5:$DY$1003,$EX440),"")</f>
        <v/>
      </c>
      <c r="FO440">
        <f>IF($EY440="row",INDEX($EA$5:$EA$1003,$EX440),"")</f>
        <v/>
      </c>
      <c r="FP440">
        <f>IF($EY440="row",INDEX($EC$5:$EC$1003,$EX440),"")</f>
        <v/>
      </c>
      <c r="FQ440">
        <f>IF($EY440="row",INDEX($ET$5:$ET$1003,$EX440),"")</f>
        <v/>
      </c>
      <c r="FR440">
        <f>IF($EY440="row",INDEX($EU$5:$EU$1003,$EX440),"")</f>
        <v/>
      </c>
      <c r="FS440">
        <f>IF(AND($EY440="row",$EY439="row"),IF(OR(INDEX($DT$5:$DT$1003,$EX439)="",INDEX($DT$5:$DT$1003,$EX440)=""),"",IF(NOT(EXACT(INDEX($DT$5:$DT$1003,$EX439),INDEX($DT$5:$DT$1003,$EX440))),"S4",IF(NOT(EXACT(INDEX($DS$5:$DS$1003,$EX439),INDEX($DS$5:$DS$1003,$EX440))),"S3",IF(NOT(EXACT(INDEX($DR$5:$DR$1003,$EX439),INDEX($DR$5:$DR$1003,$EX440))),"S1 Count Change","S1")))),"")</f>
        <v/>
      </c>
      <c r="FT440">
        <f>IF($EY440="row",INDEX($ES$5:$ES$1003,$EX440),"")</f>
        <v/>
      </c>
      <c r="FU440">
        <f>IF($EY440="row",INDEX($EO$5:$EO$1003,$EX440),0)</f>
        <v/>
      </c>
      <c r="FV440">
        <f>IF($FS440="S1 Count Change",1,0)</f>
        <v/>
      </c>
    </row>
    <row r="441">
      <c r="DA441" t="n">
        <v>437</v>
      </c>
      <c r="DB441">
        <f>IF($B$37=0,"",IFERROR(TRIM(SUBSTITUTE(SUBSTITUTE(SUBSTITUTE(SUBSTITUTE(INDEX(PASTE_ALL,437,$B$37)," "," "),CHAR(9)," "),CHAR(10)," "),CHAR(13)," ")),""))</f>
        <v/>
      </c>
      <c r="DC441">
        <f>IF(AND(437&gt;HEADER_ROW,UPPER(DB441)="LEGEND"),1,0)</f>
        <v/>
      </c>
      <c r="DE441" t="n">
        <v>437</v>
      </c>
      <c r="DF441">
        <f>HEADER_ROW+$DE441</f>
        <v/>
      </c>
      <c r="DG441">
        <f>IF(AND($DF441&lt;=1000,$DF441&lt;$B$8),1,0)</f>
        <v/>
      </c>
      <c r="DH441">
        <f>IF($DG441=1,IFERROR(INDEX($DB$5:$DB$1004,$DF441),""),"")</f>
        <v/>
      </c>
      <c r="DI441">
        <f>IF(AND($DG441=1,$DH441&lt;&gt;""),IFERROR(SUBSTITUTE(SUBSTITUTE(TRIM(SUBSTITUTE(SUBSTITUTE(SUBSTITUTE(SUBSTITUTE(IFERROR(INDEX(PASTE_ALL,$DF441,1)&amp;"","")&amp;"␟"&amp;IFERROR(INDEX(PASTE_ALL,$DF441,2)&amp;"","")&amp;"␟"&amp;IFERROR(INDEX(PASTE_ALL,$DF441,3)&amp;"","")&amp;"␟"&amp;IFERROR(INDEX(PASTE_ALL,$DF441,4)&amp;"","")&amp;"␟"&amp;IFERROR(INDEX(PASTE_ALL,$DF441,5)&amp;"","")&amp;"␟"&amp;IFERROR(INDEX(PASTE_ALL,$DF441,6)&amp;"","")&amp;"␟"&amp;IFERROR(INDEX(PASTE_ALL,$DF441,7)&amp;"","")&amp;"␟"&amp;IFERROR(INDEX(PASTE_ALL,$DF441,8)&amp;"","")&amp;"␟"&amp;IFERROR(INDEX(PASTE_ALL,$DF441,9)&amp;"","")&amp;"␟"&amp;IFERROR(INDEX(PASTE_ALL,$DF441,10)&amp;"","")&amp;"␟"&amp;IFERROR(INDEX(PASTE_ALL,$DF441,11)&amp;"","")&amp;"␟"&amp;IFERROR(INDEX(PASTE_ALL,$DF441,12)&amp;"","")&amp;"␟"&amp;IFERROR(INDEX(PASTE_ALL,$DF441,13)&amp;"","")&amp;"␟"&amp;IFERROR(INDEX(PASTE_ALL,$DF441,14)&amp;"","")&amp;"␟"&amp;IFERROR(INDEX(PASTE_ALL,$DF441,15)&amp;"","")&amp;"␟"&amp;IFERROR(INDEX(PASTE_ALL,$DF441,16)&amp;"","")&amp;"␟"&amp;IFERROR(INDEX(PASTE_ALL,$DF441,17)&amp;"","")&amp;"␟"&amp;IFERROR(INDEX(PASTE_ALL,$DF441,18)&amp;"","")&amp;"␟"&amp;IFERROR(INDEX(PASTE_ALL,$DF441,19)&amp;"","")&amp;"␟"&amp;IFERROR(INDEX(PASTE_ALL,$DF441,20)&amp;"","")&amp;"␟"&amp;IFERROR(INDEX(PASTE_ALL,$DF441,21)&amp;"","")&amp;"␟"&amp;IFERROR(INDEX(PASTE_ALL,$DF441,22)&amp;"","")&amp;"␟"&amp;IFERROR(INDEX(PASTE_ALL,$DF441,23)&amp;"","")&amp;"␟"&amp;IFERROR(INDEX(PASTE_ALL,$DF441,24)&amp;"","")&amp;"␟"&amp;IFERROR(INDEX(PASTE_ALL,$DF441,25)&amp;"","")&amp;"␟"&amp;IFERROR(INDEX(PASTE_ALL,$DF441,26)&amp;"","")&amp;"␟"&amp;IFERROR(INDEX(PASTE_ALL,$DF441,27)&amp;"","")&amp;"␟"&amp;IFERROR(INDEX(PASTE_ALL,$DF441,28)&amp;"","")&amp;"␟"&amp;IFERROR(INDEX(PASTE_ALL,$DF441,29)&amp;"","")&amp;"␟"&amp;IFERROR(INDEX(PASTE_ALL,$DF441,30)&amp;"","")&amp;"␟"&amp;IFERROR(INDEX(PASTE_ALL,$DF441,31)&amp;"","")&amp;"␟"&amp;IFERROR(INDEX(PASTE_ALL,$DF441,32)&amp;"","")&amp;"␟"&amp;IFERROR(INDEX(PASTE_ALL,$DF441,33)&amp;"","")&amp;"␟"&amp;IFERROR(INDEX(PASTE_ALL,$DF441,34)&amp;"","")&amp;"␟"&amp;IFERROR(INDEX(PASTE_ALL,$DF441,35)&amp;"","")&amp;"␟"&amp;IFERROR(INDEX(PASTE_ALL,$DF441,36)&amp;"","")&amp;"␟"&amp;IFERROR(INDEX(PASTE_ALL,$DF441,37)&amp;"","")&amp;"␟"&amp;IFERROR(INDEX(PASTE_ALL,$DF441,38)&amp;"","")&amp;"␟"&amp;IFERROR(INDEX(PASTE_ALL,$DF441,39)&amp;"","")&amp;"␟"&amp;IFERROR(INDEX(PASTE_ALL,$DF441,40)&amp;"","")&amp;"␟"&amp;IFERROR(INDEX(PASTE_ALL,$DF441,41)&amp;"","")&amp;"␟"&amp;IFERROR(INDEX(PASTE_ALL,$DF441,42)&amp;"","")&amp;"␟"&amp;IFERROR(INDEX(PASTE_ALL,$DF441,43)&amp;"","")&amp;"␟"&amp;IFERROR(INDEX(PASTE_ALL,$DF441,44)&amp;"","")&amp;"␟"&amp;IFERROR(INDEX(PASTE_ALL,$DF441,45)&amp;"","")&amp;"␟"&amp;IFERROR(INDEX(PASTE_ALL,$DF441,46)&amp;"","")&amp;"␟"&amp;IFERROR(INDEX(PASTE_ALL,$DF441,47)&amp;"","")&amp;"␟"&amp;IFERROR(INDEX(PASTE_ALL,$DF441,48)&amp;"","")&amp;"␟"&amp;IFERROR(INDEX(PASTE_ALL,$DF441,49)&amp;"","")&amp;"␟"&amp;IFERROR(INDEX(PASTE_ALL,$DF441,50)&amp;"","")&amp;"␟"&amp;IFERROR(INDEX(PASTE_ALL,$DF441,51)&amp;"","")&amp;"␟"&amp;IFERROR(INDEX(PASTE_ALL,$DF441,52)&amp;"","")&amp;"␟"&amp;IFERROR(INDEX(PASTE_ALL,$DF441,53)&amp;"","")&amp;"␟"&amp;IFERROR(INDEX(PASTE_ALL,$DF441,54)&amp;"","")&amp;"␟"&amp;IFERROR(INDEX(PASTE_ALL,$DF441,55)&amp;"","")&amp;"␟"&amp;IFERROR(INDEX(PASTE_ALL,$DF441,56)&amp;"","")&amp;"␟"&amp;IFERROR(INDEX(PASTE_ALL,$DF441,57)&amp;"","")&amp;"␟"&amp;IFERROR(INDEX(PASTE_ALL,$DF441,58)&amp;"","")&amp;"␟"&amp;IFERROR(INDEX(PASTE_ALL,$DF441,59)&amp;"","")&amp;"␟"&amp;IFERROR(INDEX(PASTE_ALL,$DF441,60)&amp;"","")," "," "),CHAR(9)," "),CHAR(10)," "),CHAR(13)," "))," ␟","␟"),"␟ ","␟"),"#"&amp;$DE441),"")</f>
        <v/>
      </c>
      <c r="DJ441">
        <f>IF($DI441="",0,IF(SUMPRODUCT(--EXACT($DI$4:DI440,$DI441))&gt;0,1,0))</f>
        <v/>
      </c>
      <c r="DK441">
        <f>IF(AND($DI441&lt;&gt;"",$DJ441=0),1,0)</f>
        <v/>
      </c>
      <c r="DL441">
        <f>DL440+$DK441</f>
        <v/>
      </c>
      <c r="DM441">
        <f>IF(AND($DK441=1,$DL441&lt;=600),1,0)</f>
        <v/>
      </c>
      <c r="DN441">
        <f>IF($DM441=0,"",IF($L$6=0,"",IFERROR(IF(ISNUMBER(INDEX(PASTE_ALL,$DF441,$L$6)),INDEX(PASTE_ALL,$DF441,$L$6),TRIM(SUBSTITUTE(SUBSTITUTE(SUBSTITUTE(SUBSTITUTE(INDEX(PASTE_ALL,$DF441,$L$6)," "," "),CHAR(9)," "),CHAR(10)," "),CHAR(13)," "))),"")))</f>
        <v/>
      </c>
      <c r="DO441">
        <f>IF($DM441=0,"",IF($L$7=0,"",IFERROR(IF(ISNUMBER(INDEX(PASTE_ALL,$DF441,$L$7)),INDEX(PASTE_ALL,$DF441,$L$7),TRIM(SUBSTITUTE(SUBSTITUTE(SUBSTITUTE(SUBSTITUTE(INDEX(PASTE_ALL,$DF441,$L$7)," "," "),CHAR(9)," "),CHAR(10)," "),CHAR(13)," "))),"")))</f>
        <v/>
      </c>
      <c r="DP441">
        <f>IF($DM441=0,"",IF($L$8=0,"",IFERROR(IF(ISNUMBER(INDEX(PASTE_ALL,$DF441,$L$8)),INDEX(PASTE_ALL,$DF441,$L$8),TRIM(SUBSTITUTE(SUBSTITUTE(SUBSTITUTE(SUBSTITUTE(INDEX(PASTE_ALL,$DF441,$L$8)," "," "),CHAR(9)," "),CHAR(10)," "),CHAR(13)," "))),"")))</f>
        <v/>
      </c>
      <c r="DQ441">
        <f>IF($DM441=0,"",IF($L$9=0,"",IFERROR(IF(ISNUMBER(INDEX(PASTE_ALL,$DF441,$L$9)),INDEX(PASTE_ALL,$DF441,$L$9),TRIM(SUBSTITUTE(SUBSTITUTE(SUBSTITUTE(SUBSTITUTE(INDEX(PASTE_ALL,$DF441,$L$9)," "," "),CHAR(9)," "),CHAR(10)," "),CHAR(13)," "))),"")))</f>
        <v/>
      </c>
      <c r="DR441">
        <f>IF($DM441=0,"",IF($L$10=0,"",IFERROR(IF(ISNUMBER(INDEX(PASTE_ALL,$DF441,$L$10)),INDEX(PASTE_ALL,$DF441,$L$10),TRIM(SUBSTITUTE(SUBSTITUTE(SUBSTITUTE(SUBSTITUTE(INDEX(PASTE_ALL,$DF441,$L$10)," "," "),CHAR(9)," "),CHAR(10)," "),CHAR(13)," "))),"")))</f>
        <v/>
      </c>
      <c r="DS441">
        <f>IF($DM441=0,"",IF($L$11=0,"",IFERROR(IF(ISNUMBER(INDEX(PASTE_ALL,$DF441,$L$11)),INDEX(PASTE_ALL,$DF441,$L$11),TRIM(SUBSTITUTE(SUBSTITUTE(SUBSTITUTE(SUBSTITUTE(INDEX(PASTE_ALL,$DF441,$L$11)," "," "),CHAR(9)," "),CHAR(10)," "),CHAR(13)," "))),"")))</f>
        <v/>
      </c>
      <c r="DT441">
        <f>IF($DM441=0,"",IF($L$12=0,"",IFERROR(IF(ISNUMBER(INDEX(PASTE_ALL,$DF441,$L$12)),INDEX(PASTE_ALL,$DF441,$L$12),TRIM(SUBSTITUTE(SUBSTITUTE(SUBSTITUTE(SUBSTITUTE(INDEX(PASTE_ALL,$DF441,$L$12)," "," "),CHAR(9)," "),CHAR(10)," "),CHAR(13)," "))),"")))</f>
        <v/>
      </c>
      <c r="DU441">
        <f>IF($DM441=0,"",IF($L$13=0,"",IFERROR(IF(ISNUMBER(INDEX(PASTE_ALL,$DF441,$L$13)),INDEX(PASTE_ALL,$DF441,$L$13),TRIM(SUBSTITUTE(SUBSTITUTE(SUBSTITUTE(SUBSTITUTE(INDEX(PASTE_ALL,$DF441,$L$13)," "," "),CHAR(9)," "),CHAR(10)," "),CHAR(13)," "))),"")))</f>
        <v/>
      </c>
      <c r="DV441">
        <f>IF($DM441=0,"",IF($L$14=0,"",IFERROR(IF(ISNUMBER(INDEX(PASTE_ALL,$DF441,$L$14)),INDEX(PASTE_ALL,$DF441,$L$14),TRIM(SUBSTITUTE(SUBSTITUTE(SUBSTITUTE(SUBSTITUTE(INDEX(PASTE_ALL,$DF441,$L$14)," "," "),CHAR(9)," "),CHAR(10)," "),CHAR(13)," "))),"")))</f>
        <v/>
      </c>
      <c r="DW441">
        <f>IF($DM441=0,"",IF($L$15=0,"",IFERROR(IF(ISNUMBER(INDEX(PASTE_ALL,$DF441,$L$15)),INDEX(PASTE_ALL,$DF441,$L$15),IF(SUMPRODUCT(--ISNUMBER(FIND({"A","B","C","D","E","F","G","H","I","J","K","L","M","N","O","P","Q","R","S","T","U","V","W","X","Y","Z","0","1","2","3","4","5","6","7","8","9"},UPPER(TRIM(SUBSTITUTE(SUBSTITUTE(SUBSTITUTE(SUBSTITUTE(INDEX(PASTE_ALL,$DF441,$L$15)," "," "),CHAR(9)," "),CHAR(10)," "),CHAR(13)," "))))))&gt;0,TRIM(SUBSTITUTE(SUBSTITUTE(SUBSTITUTE(SUBSTITUTE(INDEX(PASTE_ALL,$DF441,$L$15)," "," "),CHAR(9)," "),CHAR(10)," "),CHAR(13)," ")),"")),"")))</f>
        <v/>
      </c>
      <c r="DX441">
        <f>IF($DM441=0,"",IF($L$16=0,"",IFERROR(IF(ISNUMBER(INDEX(PASTE_ALL,$DF441,$L$16)),INDEX(PASTE_ALL,$DF441,$L$16),SUBSTITUTE(SUBSTITUTE(TRIM(SUBSTITUTE(SUBSTITUTE(SUBSTITUTE(SUBSTITUTE(INDEX(PASTE_ALL,$DF441,$L$16)," "," "),CHAR(9)," "),CHAR(10)," "),CHAR(13)," ")),",",""),"%","")),"")))</f>
        <v/>
      </c>
      <c r="DY441">
        <f>IF($DM441=0,"",IFERROR(IF(ISNUMBER($DX441),$DX441,IF($DX441="","",IF(TRIM($DX441)="",0,IF(AND(AND(SUBSTITUTE(SUBSTITUTE(SUBSTITUTE(SUBSTITUTE(SUBSTITUTE(SUBSTITUTE(SUBSTITUTE(SUBSTITUTE(SUBSTITUTE(SUBSTITUTE(SUBSTITUTE(SUBSTITUTE(SUBSTITUTE(SUBSTITUTE(UPPER(TRIM($DX441)),"0",""),"1",""),"2",""),"3",""),"4",""),"5",""),"6",""),"7",""),"8",""),"9",""),".",""),"+",""),"-",""),"E","")="",LEN(SUBSTITUTE(SUBSTITUTE(MID(UPPER(TRIM($DX441)),1+OR(LEFT(UPPER(TRIM($DX441)),1)="+",LEFT(UPPER(TRIM($DX441)),1)="-"),999),"E+","E"),"E-","E"))=LEN(SUBSTITUTE(SUBSTITUTE(SUBSTITUTE(SUBSTITUTE(MID(UPPER(TRIM($DX441)),1+OR(LEFT(UPPER(TRIM($DX441)),1)="+",LEFT(UPPER(TRIM($DX441)),1)="-"),999),"E+","E"),"E-","E"),"+",""),"-","")),LEN(UPPER(TRIM($DX441)))-LEN(SUBSTITUTE(UPPER(TRIM($DX441)),"E",""))&lt;2,LEN(UPPER(TRIM($DX441)))-LEN(SUBSTITUTE(UPPER(TRIM($DX441)),".",""))&lt;2,IFERROR(FIND(".",UPPER(TRIM($DX441))),0)&lt;IFERROR(FIND("E",UPPER(TRIM($DX441))),999)),ISNUMBER(VALUE(TRIM($DX441)))),VALUE(TRIM($DX441)),"")))),""))</f>
        <v/>
      </c>
      <c r="DZ441">
        <f>IF($DM441=0,"",IF($L$17=0,"",IFERROR(IF(ISNUMBER(INDEX(PASTE_ALL,$DF441,$L$17)),INDEX(PASTE_ALL,$DF441,$L$17),SUBSTITUTE(SUBSTITUTE(TRIM(SUBSTITUTE(SUBSTITUTE(SUBSTITUTE(SUBSTITUTE(INDEX(PASTE_ALL,$DF441,$L$17)," "," "),CHAR(9)," "),CHAR(10)," "),CHAR(13)," ")),",",""),"%","")),"")))</f>
        <v/>
      </c>
      <c r="EA441">
        <f>IF($DM441=0,"",IFERROR(IF(ISNUMBER($DZ441),$DZ441,IF($DZ441="","",IF(TRIM($DZ441)="",0,IF(AND(AND(SUBSTITUTE(SUBSTITUTE(SUBSTITUTE(SUBSTITUTE(SUBSTITUTE(SUBSTITUTE(SUBSTITUTE(SUBSTITUTE(SUBSTITUTE(SUBSTITUTE(SUBSTITUTE(SUBSTITUTE(SUBSTITUTE(SUBSTITUTE(UPPER(TRIM($DZ441)),"0",""),"1",""),"2",""),"3",""),"4",""),"5",""),"6",""),"7",""),"8",""),"9",""),".",""),"+",""),"-",""),"E","")="",LEN(SUBSTITUTE(SUBSTITUTE(MID(UPPER(TRIM($DZ441)),1+OR(LEFT(UPPER(TRIM($DZ441)),1)="+",LEFT(UPPER(TRIM($DZ441)),1)="-"),999),"E+","E"),"E-","E"))=LEN(SUBSTITUTE(SUBSTITUTE(SUBSTITUTE(SUBSTITUTE(MID(UPPER(TRIM($DZ441)),1+OR(LEFT(UPPER(TRIM($DZ441)),1)="+",LEFT(UPPER(TRIM($DZ441)),1)="-"),999),"E+","E"),"E-","E"),"+",""),"-","")),LEN(UPPER(TRIM($DZ441)))-LEN(SUBSTITUTE(UPPER(TRIM($DZ441)),"E",""))&lt;2,LEN(UPPER(TRIM($DZ441)))-LEN(SUBSTITUTE(UPPER(TRIM($DZ441)),".",""))&lt;2,IFERROR(FIND(".",UPPER(TRIM($DZ441))),0)&lt;IFERROR(FIND("E",UPPER(TRIM($DZ441))),999)),ISNUMBER(VALUE(TRIM($DZ441)))),VALUE(TRIM($DZ441)),"")))),""))</f>
        <v/>
      </c>
      <c r="EB441">
        <f>IF($DM441=0,"",IF($L$18=0,"",IFERROR(IF(UPPER(TRIM(SUBSTITUTE(SUBSTITUTE(SUBSTITUTE(SUBSTITUTE(INDEX(PASTE_ALL,$DF441,$L$18)," "," "),CHAR(9)," "),CHAR(10)," "),CHAR(13)," ")))="READY","Ready",IF(UPPER(TRIM(SUBSTITUTE(SUBSTITUTE(SUBSTITUTE(SUBSTITUTE(INDEX(PASTE_ALL,$DF441,$L$18)," "," "),CHAR(9)," "),CHAR(10)," "),CHAR(13)," ")))="PM","PM",IF(OR(UPPER(TRIM(SUBSTITUTE(SUBSTITUTE(SUBSTITUTE(SUBSTITUTE(INDEX(PASTE_ALL,$DF441,$L$18)," "," "),CHAR(9)," "),CHAR(10)," "),CHAR(13)," ")))="OT",UPPER(TRIM(SUBSTITUTE(SUBSTITUTE(SUBSTITUTE(SUBSTITUTE(INDEX(PASTE_ALL,$DF441,$L$18)," "," "),CHAR(9)," "),CHAR(10)," "),CHAR(13)," ")))="OVERTIME",UPPER(TRIM(SUBSTITUTE(SUBSTITUTE(SUBSTITUTE(SUBSTITUTE(INDEX(PASTE_ALL,$DF441,$L$18)," "," "),CHAR(9)," "),CHAR(10)," "),CHAR(13)," ")))="TRIAL"),"OT",TRIM(SUBSTITUTE(SUBSTITUTE(SUBSTITUTE(SUBSTITUTE(INDEX(PASTE_ALL,$DF441,$L$18)," "," "),CHAR(9)," "),CHAR(10)," "),CHAR(13)," "))))),"")))</f>
        <v/>
      </c>
      <c r="EC441">
        <f>IF($DM441=0,"",IF($L$19=0,"",IFERROR(IF(ISNUMBER(INDEX(PASTE_ALL,$DF441,$L$19)),INDEX(PASTE_ALL,$DF441,$L$19),TRIM(SUBSTITUTE(SUBSTITUTE(SUBSTITUTE(SUBSTITUTE(INDEX(PASTE_ALL,$DF441,$L$19)," "," "),CHAR(9)," "),CHAR(10)," "),CHAR(13)," "))),"")))</f>
        <v/>
      </c>
      <c r="ED441">
        <f>IF($DM441=0,"",MATCH(1,INDEX(EXACT($DH$5:DH441,$DH441)*$DM$5:DM441,0),0))</f>
        <v/>
      </c>
      <c r="EE441">
        <f>IF($DM441=0,0,IF($ED441=$DE441,1,0))</f>
        <v/>
      </c>
      <c r="EF441">
        <f>EF440+$EE441</f>
        <v/>
      </c>
      <c r="EG441">
        <f>IF($DM441=0,"",INDEX($EF$5:$EF$1003,$ED441))</f>
        <v/>
      </c>
      <c r="EH441">
        <f>IF($DM441=0,"",IF($DO441&lt;&gt;"","",IFERROR(LOOKUP(2,1/(($EG$4:EG440=$EG441)*($DO$4:DO440&lt;&gt;"")),$DO$4:DO440),"")))</f>
        <v/>
      </c>
      <c r="EI441">
        <f>IF($DM441=0,"",IF($DO441&lt;&gt;"",$DO441,$EH441))</f>
        <v/>
      </c>
      <c r="EJ441">
        <f>IF($DM441=0,"",IF($EI441="",0,IF(OR(ISNUMBER($EI441),AND(AND(SUBSTITUTE(SUBSTITUTE(SUBSTITUTE(SUBSTITUTE(SUBSTITUTE(SUBSTITUTE(SUBSTITUTE(SUBSTITUTE(SUBSTITUTE(SUBSTITUTE(SUBSTITUTE(SUBSTITUTE(SUBSTITUTE(SUBSTITUTE(UPPER($EI441),"0",""),"1",""),"2",""),"3",""),"4",""),"5",""),"6",""),"7",""),"8",""),"9",""),".",""),"+",""),"-",""),"E","")="",LEN(SUBSTITUTE(SUBSTITUTE(MID(UPPER($EI441),1+OR(LEFT(UPPER($EI441),1)="+",LEFT(UPPER($EI441),1)="-"),999),"E+","E"),"E-","E"))=LEN(SUBSTITUTE(SUBSTITUTE(SUBSTITUTE(SUBSTITUTE(MID(UPPER($EI441),1+OR(LEFT(UPPER($EI441),1)="+",LEFT(UPPER($EI441),1)="-"),999),"E+","E"),"E-","E"),"+",""),"-","")),LEN(UPPER($EI441))-LEN(SUBSTITUTE(UPPER($EI441),"E",""))&lt;2,LEN(UPPER($EI441))-LEN(SUBSTITUTE(UPPER($EI441),".",""))&lt;2,IFERROR(FIND(".",UPPER($EI441)),0)&lt;IFERROR(FIND("E",UPPER($EI441)),999)),ISNUMBER(VALUE($EI441)))),1,2)))</f>
        <v/>
      </c>
      <c r="EK441">
        <f>IF($DM441=0,"",IF($EJ441=1,IF(ISNUMBER($EI441),$EI441,VALUE($EI441)),IF($EJ441=2,$DE441,0)))</f>
        <v/>
      </c>
      <c r="EL441">
        <f>IF($DM441=0,"",COUNTIF($EG$5:$EG$1003,"&lt;"&amp;$EG441)+SUMPRODUCT(($EG$5:$EG$1003=$EG441)*(($EJ$5:$EJ$1003&lt;$EJ441)+($EJ$5:$EJ$1003=$EJ441)*(($EK$5:$EK$1003&lt;$EK441)+($EK$5:$EK$1003=$EK441)*($DE$5:$DE$1003&lt;$DE441))))+1)</f>
        <v/>
      </c>
      <c r="EM441">
        <f>IF($DM441=0,"",$EL441+$EG441-1)</f>
        <v/>
      </c>
      <c r="EN441">
        <f>IF($DM441=0,0,IFERROR(MATCH(1,INDEX(--(TRIM(SUBSTITUTE(SUBSTITUTE(SUBSTITUTE(SUBSTITUTE(LINES_NAME&amp;""," "," "),CHAR(9)," "),CHAR(10)," "),CHAR(13)," "))=$DH441),0),0),0))</f>
        <v/>
      </c>
      <c r="EO441">
        <f>IF($EN441=0,0,IF(OR(UPPER(TRIM(INDEX(LINES_SCHEDULED,$EN441)&amp;""))="YES",UPPER(TRIM(INDEX(LINES_SCHEDULED,$EN441)&amp;""))="Y",UPPER(TRIM(INDEX(LINES_SCHEDULED,$EN441)&amp;""))="X"),1,0))</f>
        <v/>
      </c>
      <c r="EP441">
        <f>IF($DM441=0,"",IF(COUNTIFS($EG$5:$EG$1003,$EG441,$EB$5:$EB$1003,"Ready")&gt;0,"READY",IF(COUNTIFS($EG$5:$EG$1003,$EG441,$EB$5:$EB$1003,"PM")&gt;0,"PM",IF(COUNTIFS($EG$5:$EG$1003,$EG441,$EB$5:$EB$1003,"OT")&gt;0,"OT",""))))</f>
        <v/>
      </c>
      <c r="EQ441">
        <f>IF($EN441=0,"",UPPER(TRIM(INDEX(LINES_STATUS,$EN441)&amp;"")))</f>
        <v/>
      </c>
      <c r="ER441">
        <f>IF($DM441=0,"",IF(OR($EQ441="READY",$EQ441="PM",$EQ441="OT"),$EQ441,$EP441))</f>
        <v/>
      </c>
      <c r="ES441">
        <f>IF($DM441=0,"",IF(AND($DV441&lt;&gt;"",UPPER($DV441)&lt;&gt;"N"),"allergen",IF(ISNUMBER(SEARCH("oil",$DQ441)),"oil",IF(OR(EXACT($DS441,"A662"),EXACT($DS441,"A624")),"bulk",""))))</f>
        <v/>
      </c>
      <c r="ET441">
        <f>IF($DM441=0,"",IF(OR($EA441="",$EA441=0),"",$EA441/100))</f>
        <v/>
      </c>
      <c r="EU441">
        <f>IF(OR($ET441="",$DY441=""),"",INT($DY441*(1-$ET441)+0.5))</f>
        <v/>
      </c>
      <c r="EW441" t="n">
        <v>437</v>
      </c>
      <c r="EX441">
        <f>IFERROR(MATCH($EW441,$EM$5:$EM$1003,0),0)</f>
        <v/>
      </c>
      <c r="EY441">
        <f>IF($EW441&gt;$B$12,"",IF($EX441&gt;0,"row","spacer"))</f>
        <v/>
      </c>
      <c r="EZ441">
        <f>IF(AND($EY441="row",$EY440&lt;&gt;"row"),1,0)</f>
        <v/>
      </c>
      <c r="FA441">
        <f>IF(AND($EY441="row",$EY442&lt;&gt;"row"),1,0)</f>
        <v/>
      </c>
      <c r="FB441">
        <f>IF($EZ441=1,IFERROR(IF(ISNUMBER(INDEX(PASTE_ALL,INDEX($DF$5:$DF$1003,$EX441),$B$37)),INDEX(PASTE_ALL,INDEX($DF$5:$DF$1003,$EX441),$B$37),INDEX($DH$5:$DH$1003,$EX441)),INDEX($DH$5:$DH$1003,$EX441)),"")</f>
        <v/>
      </c>
      <c r="FC441">
        <f>IF($EY441="row",INDEX($ER$5:$ER$1003,$EX441),"")</f>
        <v/>
      </c>
      <c r="FD441">
        <f>IF($EY441="row",INDEX($DN$5:$DN$1003,$EX441),"")</f>
        <v/>
      </c>
      <c r="FE441">
        <f>IF($EY441="row",INDEX($DO$5:$DO$1003,$EX441),"")</f>
        <v/>
      </c>
      <c r="FF441">
        <f>IF($EY441="row",INDEX($DP$5:$DP$1003,$EX441),"")</f>
        <v/>
      </c>
      <c r="FG441">
        <f>IF($EY441="row",INDEX($DQ$5:$DQ$1003,$EX441),"")</f>
        <v/>
      </c>
      <c r="FH441">
        <f>IF($EY441="row",INDEX($DR$5:$DR$1003,$EX441),"")</f>
        <v/>
      </c>
      <c r="FI441">
        <f>IF($EY441="row",INDEX($DS$5:$DS$1003,$EX441),"")</f>
        <v/>
      </c>
      <c r="FJ441">
        <f>IF($EY441="row",INDEX($DT$5:$DT$1003,$EX441),"")</f>
        <v/>
      </c>
      <c r="FK441">
        <f>IF($EY441="row",INDEX($DU$5:$DU$1003,$EX441),"")</f>
        <v/>
      </c>
      <c r="FL441">
        <f>IF($EY441="row",INDEX($DV$5:$DV$1003,$EX441),"")</f>
        <v/>
      </c>
      <c r="FM441">
        <f>IF($EY441="row",INDEX($DW$5:$DW$1003,$EX441),"")</f>
        <v/>
      </c>
      <c r="FN441">
        <f>IF($EY441="row",INDEX($DY$5:$DY$1003,$EX441),"")</f>
        <v/>
      </c>
      <c r="FO441">
        <f>IF($EY441="row",INDEX($EA$5:$EA$1003,$EX441),"")</f>
        <v/>
      </c>
      <c r="FP441">
        <f>IF($EY441="row",INDEX($EC$5:$EC$1003,$EX441),"")</f>
        <v/>
      </c>
      <c r="FQ441">
        <f>IF($EY441="row",INDEX($ET$5:$ET$1003,$EX441),"")</f>
        <v/>
      </c>
      <c r="FR441">
        <f>IF($EY441="row",INDEX($EU$5:$EU$1003,$EX441),"")</f>
        <v/>
      </c>
      <c r="FS441">
        <f>IF(AND($EY441="row",$EY440="row"),IF(OR(INDEX($DT$5:$DT$1003,$EX440)="",INDEX($DT$5:$DT$1003,$EX441)=""),"",IF(NOT(EXACT(INDEX($DT$5:$DT$1003,$EX440),INDEX($DT$5:$DT$1003,$EX441))),"S4",IF(NOT(EXACT(INDEX($DS$5:$DS$1003,$EX440),INDEX($DS$5:$DS$1003,$EX441))),"S3",IF(NOT(EXACT(INDEX($DR$5:$DR$1003,$EX440),INDEX($DR$5:$DR$1003,$EX441))),"S1 Count Change","S1")))),"")</f>
        <v/>
      </c>
      <c r="FT441">
        <f>IF($EY441="row",INDEX($ES$5:$ES$1003,$EX441),"")</f>
        <v/>
      </c>
      <c r="FU441">
        <f>IF($EY441="row",INDEX($EO$5:$EO$1003,$EX441),0)</f>
        <v/>
      </c>
      <c r="FV441">
        <f>IF($FS441="S1 Count Change",1,0)</f>
        <v/>
      </c>
    </row>
    <row r="442">
      <c r="DA442" t="n">
        <v>438</v>
      </c>
      <c r="DB442">
        <f>IF($B$37=0,"",IFERROR(TRIM(SUBSTITUTE(SUBSTITUTE(SUBSTITUTE(SUBSTITUTE(INDEX(PASTE_ALL,438,$B$37)," "," "),CHAR(9)," "),CHAR(10)," "),CHAR(13)," ")),""))</f>
        <v/>
      </c>
      <c r="DC442">
        <f>IF(AND(438&gt;HEADER_ROW,UPPER(DB442)="LEGEND"),1,0)</f>
        <v/>
      </c>
      <c r="DE442" t="n">
        <v>438</v>
      </c>
      <c r="DF442">
        <f>HEADER_ROW+$DE442</f>
        <v/>
      </c>
      <c r="DG442">
        <f>IF(AND($DF442&lt;=1000,$DF442&lt;$B$8),1,0)</f>
        <v/>
      </c>
      <c r="DH442">
        <f>IF($DG442=1,IFERROR(INDEX($DB$5:$DB$1004,$DF442),""),"")</f>
        <v/>
      </c>
      <c r="DI442">
        <f>IF(AND($DG442=1,$DH442&lt;&gt;""),IFERROR(SUBSTITUTE(SUBSTITUTE(TRIM(SUBSTITUTE(SUBSTITUTE(SUBSTITUTE(SUBSTITUTE(IFERROR(INDEX(PASTE_ALL,$DF442,1)&amp;"","")&amp;"␟"&amp;IFERROR(INDEX(PASTE_ALL,$DF442,2)&amp;"","")&amp;"␟"&amp;IFERROR(INDEX(PASTE_ALL,$DF442,3)&amp;"","")&amp;"␟"&amp;IFERROR(INDEX(PASTE_ALL,$DF442,4)&amp;"","")&amp;"␟"&amp;IFERROR(INDEX(PASTE_ALL,$DF442,5)&amp;"","")&amp;"␟"&amp;IFERROR(INDEX(PASTE_ALL,$DF442,6)&amp;"","")&amp;"␟"&amp;IFERROR(INDEX(PASTE_ALL,$DF442,7)&amp;"","")&amp;"␟"&amp;IFERROR(INDEX(PASTE_ALL,$DF442,8)&amp;"","")&amp;"␟"&amp;IFERROR(INDEX(PASTE_ALL,$DF442,9)&amp;"","")&amp;"␟"&amp;IFERROR(INDEX(PASTE_ALL,$DF442,10)&amp;"","")&amp;"␟"&amp;IFERROR(INDEX(PASTE_ALL,$DF442,11)&amp;"","")&amp;"␟"&amp;IFERROR(INDEX(PASTE_ALL,$DF442,12)&amp;"","")&amp;"␟"&amp;IFERROR(INDEX(PASTE_ALL,$DF442,13)&amp;"","")&amp;"␟"&amp;IFERROR(INDEX(PASTE_ALL,$DF442,14)&amp;"","")&amp;"␟"&amp;IFERROR(INDEX(PASTE_ALL,$DF442,15)&amp;"","")&amp;"␟"&amp;IFERROR(INDEX(PASTE_ALL,$DF442,16)&amp;"","")&amp;"␟"&amp;IFERROR(INDEX(PASTE_ALL,$DF442,17)&amp;"","")&amp;"␟"&amp;IFERROR(INDEX(PASTE_ALL,$DF442,18)&amp;"","")&amp;"␟"&amp;IFERROR(INDEX(PASTE_ALL,$DF442,19)&amp;"","")&amp;"␟"&amp;IFERROR(INDEX(PASTE_ALL,$DF442,20)&amp;"","")&amp;"␟"&amp;IFERROR(INDEX(PASTE_ALL,$DF442,21)&amp;"","")&amp;"␟"&amp;IFERROR(INDEX(PASTE_ALL,$DF442,22)&amp;"","")&amp;"␟"&amp;IFERROR(INDEX(PASTE_ALL,$DF442,23)&amp;"","")&amp;"␟"&amp;IFERROR(INDEX(PASTE_ALL,$DF442,24)&amp;"","")&amp;"␟"&amp;IFERROR(INDEX(PASTE_ALL,$DF442,25)&amp;"","")&amp;"␟"&amp;IFERROR(INDEX(PASTE_ALL,$DF442,26)&amp;"","")&amp;"␟"&amp;IFERROR(INDEX(PASTE_ALL,$DF442,27)&amp;"","")&amp;"␟"&amp;IFERROR(INDEX(PASTE_ALL,$DF442,28)&amp;"","")&amp;"␟"&amp;IFERROR(INDEX(PASTE_ALL,$DF442,29)&amp;"","")&amp;"␟"&amp;IFERROR(INDEX(PASTE_ALL,$DF442,30)&amp;"","")&amp;"␟"&amp;IFERROR(INDEX(PASTE_ALL,$DF442,31)&amp;"","")&amp;"␟"&amp;IFERROR(INDEX(PASTE_ALL,$DF442,32)&amp;"","")&amp;"␟"&amp;IFERROR(INDEX(PASTE_ALL,$DF442,33)&amp;"","")&amp;"␟"&amp;IFERROR(INDEX(PASTE_ALL,$DF442,34)&amp;"","")&amp;"␟"&amp;IFERROR(INDEX(PASTE_ALL,$DF442,35)&amp;"","")&amp;"␟"&amp;IFERROR(INDEX(PASTE_ALL,$DF442,36)&amp;"","")&amp;"␟"&amp;IFERROR(INDEX(PASTE_ALL,$DF442,37)&amp;"","")&amp;"␟"&amp;IFERROR(INDEX(PASTE_ALL,$DF442,38)&amp;"","")&amp;"␟"&amp;IFERROR(INDEX(PASTE_ALL,$DF442,39)&amp;"","")&amp;"␟"&amp;IFERROR(INDEX(PASTE_ALL,$DF442,40)&amp;"","")&amp;"␟"&amp;IFERROR(INDEX(PASTE_ALL,$DF442,41)&amp;"","")&amp;"␟"&amp;IFERROR(INDEX(PASTE_ALL,$DF442,42)&amp;"","")&amp;"␟"&amp;IFERROR(INDEX(PASTE_ALL,$DF442,43)&amp;"","")&amp;"␟"&amp;IFERROR(INDEX(PASTE_ALL,$DF442,44)&amp;"","")&amp;"␟"&amp;IFERROR(INDEX(PASTE_ALL,$DF442,45)&amp;"","")&amp;"␟"&amp;IFERROR(INDEX(PASTE_ALL,$DF442,46)&amp;"","")&amp;"␟"&amp;IFERROR(INDEX(PASTE_ALL,$DF442,47)&amp;"","")&amp;"␟"&amp;IFERROR(INDEX(PASTE_ALL,$DF442,48)&amp;"","")&amp;"␟"&amp;IFERROR(INDEX(PASTE_ALL,$DF442,49)&amp;"","")&amp;"␟"&amp;IFERROR(INDEX(PASTE_ALL,$DF442,50)&amp;"","")&amp;"␟"&amp;IFERROR(INDEX(PASTE_ALL,$DF442,51)&amp;"","")&amp;"␟"&amp;IFERROR(INDEX(PASTE_ALL,$DF442,52)&amp;"","")&amp;"␟"&amp;IFERROR(INDEX(PASTE_ALL,$DF442,53)&amp;"","")&amp;"␟"&amp;IFERROR(INDEX(PASTE_ALL,$DF442,54)&amp;"","")&amp;"␟"&amp;IFERROR(INDEX(PASTE_ALL,$DF442,55)&amp;"","")&amp;"␟"&amp;IFERROR(INDEX(PASTE_ALL,$DF442,56)&amp;"","")&amp;"␟"&amp;IFERROR(INDEX(PASTE_ALL,$DF442,57)&amp;"","")&amp;"␟"&amp;IFERROR(INDEX(PASTE_ALL,$DF442,58)&amp;"","")&amp;"␟"&amp;IFERROR(INDEX(PASTE_ALL,$DF442,59)&amp;"","")&amp;"␟"&amp;IFERROR(INDEX(PASTE_ALL,$DF442,60)&amp;"","")," "," "),CHAR(9)," "),CHAR(10)," "),CHAR(13)," "))," ␟","␟"),"␟ ","␟"),"#"&amp;$DE442),"")</f>
        <v/>
      </c>
      <c r="DJ442">
        <f>IF($DI442="",0,IF(SUMPRODUCT(--EXACT($DI$4:DI441,$DI442))&gt;0,1,0))</f>
        <v/>
      </c>
      <c r="DK442">
        <f>IF(AND($DI442&lt;&gt;"",$DJ442=0),1,0)</f>
        <v/>
      </c>
      <c r="DL442">
        <f>DL441+$DK442</f>
        <v/>
      </c>
      <c r="DM442">
        <f>IF(AND($DK442=1,$DL442&lt;=600),1,0)</f>
        <v/>
      </c>
      <c r="DN442">
        <f>IF($DM442=0,"",IF($L$6=0,"",IFERROR(IF(ISNUMBER(INDEX(PASTE_ALL,$DF442,$L$6)),INDEX(PASTE_ALL,$DF442,$L$6),TRIM(SUBSTITUTE(SUBSTITUTE(SUBSTITUTE(SUBSTITUTE(INDEX(PASTE_ALL,$DF442,$L$6)," "," "),CHAR(9)," "),CHAR(10)," "),CHAR(13)," "))),"")))</f>
        <v/>
      </c>
      <c r="DO442">
        <f>IF($DM442=0,"",IF($L$7=0,"",IFERROR(IF(ISNUMBER(INDEX(PASTE_ALL,$DF442,$L$7)),INDEX(PASTE_ALL,$DF442,$L$7),TRIM(SUBSTITUTE(SUBSTITUTE(SUBSTITUTE(SUBSTITUTE(INDEX(PASTE_ALL,$DF442,$L$7)," "," "),CHAR(9)," "),CHAR(10)," "),CHAR(13)," "))),"")))</f>
        <v/>
      </c>
      <c r="DP442">
        <f>IF($DM442=0,"",IF($L$8=0,"",IFERROR(IF(ISNUMBER(INDEX(PASTE_ALL,$DF442,$L$8)),INDEX(PASTE_ALL,$DF442,$L$8),TRIM(SUBSTITUTE(SUBSTITUTE(SUBSTITUTE(SUBSTITUTE(INDEX(PASTE_ALL,$DF442,$L$8)," "," "),CHAR(9)," "),CHAR(10)," "),CHAR(13)," "))),"")))</f>
        <v/>
      </c>
      <c r="DQ442">
        <f>IF($DM442=0,"",IF($L$9=0,"",IFERROR(IF(ISNUMBER(INDEX(PASTE_ALL,$DF442,$L$9)),INDEX(PASTE_ALL,$DF442,$L$9),TRIM(SUBSTITUTE(SUBSTITUTE(SUBSTITUTE(SUBSTITUTE(INDEX(PASTE_ALL,$DF442,$L$9)," "," "),CHAR(9)," "),CHAR(10)," "),CHAR(13)," "))),"")))</f>
        <v/>
      </c>
      <c r="DR442">
        <f>IF($DM442=0,"",IF($L$10=0,"",IFERROR(IF(ISNUMBER(INDEX(PASTE_ALL,$DF442,$L$10)),INDEX(PASTE_ALL,$DF442,$L$10),TRIM(SUBSTITUTE(SUBSTITUTE(SUBSTITUTE(SUBSTITUTE(INDEX(PASTE_ALL,$DF442,$L$10)," "," "),CHAR(9)," "),CHAR(10)," "),CHAR(13)," "))),"")))</f>
        <v/>
      </c>
      <c r="DS442">
        <f>IF($DM442=0,"",IF($L$11=0,"",IFERROR(IF(ISNUMBER(INDEX(PASTE_ALL,$DF442,$L$11)),INDEX(PASTE_ALL,$DF442,$L$11),TRIM(SUBSTITUTE(SUBSTITUTE(SUBSTITUTE(SUBSTITUTE(INDEX(PASTE_ALL,$DF442,$L$11)," "," "),CHAR(9)," "),CHAR(10)," "),CHAR(13)," "))),"")))</f>
        <v/>
      </c>
      <c r="DT442">
        <f>IF($DM442=0,"",IF($L$12=0,"",IFERROR(IF(ISNUMBER(INDEX(PASTE_ALL,$DF442,$L$12)),INDEX(PASTE_ALL,$DF442,$L$12),TRIM(SUBSTITUTE(SUBSTITUTE(SUBSTITUTE(SUBSTITUTE(INDEX(PASTE_ALL,$DF442,$L$12)," "," "),CHAR(9)," "),CHAR(10)," "),CHAR(13)," "))),"")))</f>
        <v/>
      </c>
      <c r="DU442">
        <f>IF($DM442=0,"",IF($L$13=0,"",IFERROR(IF(ISNUMBER(INDEX(PASTE_ALL,$DF442,$L$13)),INDEX(PASTE_ALL,$DF442,$L$13),TRIM(SUBSTITUTE(SUBSTITUTE(SUBSTITUTE(SUBSTITUTE(INDEX(PASTE_ALL,$DF442,$L$13)," "," "),CHAR(9)," "),CHAR(10)," "),CHAR(13)," "))),"")))</f>
        <v/>
      </c>
      <c r="DV442">
        <f>IF($DM442=0,"",IF($L$14=0,"",IFERROR(IF(ISNUMBER(INDEX(PASTE_ALL,$DF442,$L$14)),INDEX(PASTE_ALL,$DF442,$L$14),TRIM(SUBSTITUTE(SUBSTITUTE(SUBSTITUTE(SUBSTITUTE(INDEX(PASTE_ALL,$DF442,$L$14)," "," "),CHAR(9)," "),CHAR(10)," "),CHAR(13)," "))),"")))</f>
        <v/>
      </c>
      <c r="DW442">
        <f>IF($DM442=0,"",IF($L$15=0,"",IFERROR(IF(ISNUMBER(INDEX(PASTE_ALL,$DF442,$L$15)),INDEX(PASTE_ALL,$DF442,$L$15),IF(SUMPRODUCT(--ISNUMBER(FIND({"A","B","C","D","E","F","G","H","I","J","K","L","M","N","O","P","Q","R","S","T","U","V","W","X","Y","Z","0","1","2","3","4","5","6","7","8","9"},UPPER(TRIM(SUBSTITUTE(SUBSTITUTE(SUBSTITUTE(SUBSTITUTE(INDEX(PASTE_ALL,$DF442,$L$15)," "," "),CHAR(9)," "),CHAR(10)," "),CHAR(13)," "))))))&gt;0,TRIM(SUBSTITUTE(SUBSTITUTE(SUBSTITUTE(SUBSTITUTE(INDEX(PASTE_ALL,$DF442,$L$15)," "," "),CHAR(9)," "),CHAR(10)," "),CHAR(13)," ")),"")),"")))</f>
        <v/>
      </c>
      <c r="DX442">
        <f>IF($DM442=0,"",IF($L$16=0,"",IFERROR(IF(ISNUMBER(INDEX(PASTE_ALL,$DF442,$L$16)),INDEX(PASTE_ALL,$DF442,$L$16),SUBSTITUTE(SUBSTITUTE(TRIM(SUBSTITUTE(SUBSTITUTE(SUBSTITUTE(SUBSTITUTE(INDEX(PASTE_ALL,$DF442,$L$16)," "," "),CHAR(9)," "),CHAR(10)," "),CHAR(13)," ")),",",""),"%","")),"")))</f>
        <v/>
      </c>
      <c r="DY442">
        <f>IF($DM442=0,"",IFERROR(IF(ISNUMBER($DX442),$DX442,IF($DX442="","",IF(TRIM($DX442)="",0,IF(AND(AND(SUBSTITUTE(SUBSTITUTE(SUBSTITUTE(SUBSTITUTE(SUBSTITUTE(SUBSTITUTE(SUBSTITUTE(SUBSTITUTE(SUBSTITUTE(SUBSTITUTE(SUBSTITUTE(SUBSTITUTE(SUBSTITUTE(SUBSTITUTE(UPPER(TRIM($DX442)),"0",""),"1",""),"2",""),"3",""),"4",""),"5",""),"6",""),"7",""),"8",""),"9",""),".",""),"+",""),"-",""),"E","")="",LEN(SUBSTITUTE(SUBSTITUTE(MID(UPPER(TRIM($DX442)),1+OR(LEFT(UPPER(TRIM($DX442)),1)="+",LEFT(UPPER(TRIM($DX442)),1)="-"),999),"E+","E"),"E-","E"))=LEN(SUBSTITUTE(SUBSTITUTE(SUBSTITUTE(SUBSTITUTE(MID(UPPER(TRIM($DX442)),1+OR(LEFT(UPPER(TRIM($DX442)),1)="+",LEFT(UPPER(TRIM($DX442)),1)="-"),999),"E+","E"),"E-","E"),"+",""),"-","")),LEN(UPPER(TRIM($DX442)))-LEN(SUBSTITUTE(UPPER(TRIM($DX442)),"E",""))&lt;2,LEN(UPPER(TRIM($DX442)))-LEN(SUBSTITUTE(UPPER(TRIM($DX442)),".",""))&lt;2,IFERROR(FIND(".",UPPER(TRIM($DX442))),0)&lt;IFERROR(FIND("E",UPPER(TRIM($DX442))),999)),ISNUMBER(VALUE(TRIM($DX442)))),VALUE(TRIM($DX442)),"")))),""))</f>
        <v/>
      </c>
      <c r="DZ442">
        <f>IF($DM442=0,"",IF($L$17=0,"",IFERROR(IF(ISNUMBER(INDEX(PASTE_ALL,$DF442,$L$17)),INDEX(PASTE_ALL,$DF442,$L$17),SUBSTITUTE(SUBSTITUTE(TRIM(SUBSTITUTE(SUBSTITUTE(SUBSTITUTE(SUBSTITUTE(INDEX(PASTE_ALL,$DF442,$L$17)," "," "),CHAR(9)," "),CHAR(10)," "),CHAR(13)," ")),",",""),"%","")),"")))</f>
        <v/>
      </c>
      <c r="EA442">
        <f>IF($DM442=0,"",IFERROR(IF(ISNUMBER($DZ442),$DZ442,IF($DZ442="","",IF(TRIM($DZ442)="",0,IF(AND(AND(SUBSTITUTE(SUBSTITUTE(SUBSTITUTE(SUBSTITUTE(SUBSTITUTE(SUBSTITUTE(SUBSTITUTE(SUBSTITUTE(SUBSTITUTE(SUBSTITUTE(SUBSTITUTE(SUBSTITUTE(SUBSTITUTE(SUBSTITUTE(UPPER(TRIM($DZ442)),"0",""),"1",""),"2",""),"3",""),"4",""),"5",""),"6",""),"7",""),"8",""),"9",""),".",""),"+",""),"-",""),"E","")="",LEN(SUBSTITUTE(SUBSTITUTE(MID(UPPER(TRIM($DZ442)),1+OR(LEFT(UPPER(TRIM($DZ442)),1)="+",LEFT(UPPER(TRIM($DZ442)),1)="-"),999),"E+","E"),"E-","E"))=LEN(SUBSTITUTE(SUBSTITUTE(SUBSTITUTE(SUBSTITUTE(MID(UPPER(TRIM($DZ442)),1+OR(LEFT(UPPER(TRIM($DZ442)),1)="+",LEFT(UPPER(TRIM($DZ442)),1)="-"),999),"E+","E"),"E-","E"),"+",""),"-","")),LEN(UPPER(TRIM($DZ442)))-LEN(SUBSTITUTE(UPPER(TRIM($DZ442)),"E",""))&lt;2,LEN(UPPER(TRIM($DZ442)))-LEN(SUBSTITUTE(UPPER(TRIM($DZ442)),".",""))&lt;2,IFERROR(FIND(".",UPPER(TRIM($DZ442))),0)&lt;IFERROR(FIND("E",UPPER(TRIM($DZ442))),999)),ISNUMBER(VALUE(TRIM($DZ442)))),VALUE(TRIM($DZ442)),"")))),""))</f>
        <v/>
      </c>
      <c r="EB442">
        <f>IF($DM442=0,"",IF($L$18=0,"",IFERROR(IF(UPPER(TRIM(SUBSTITUTE(SUBSTITUTE(SUBSTITUTE(SUBSTITUTE(INDEX(PASTE_ALL,$DF442,$L$18)," "," "),CHAR(9)," "),CHAR(10)," "),CHAR(13)," ")))="READY","Ready",IF(UPPER(TRIM(SUBSTITUTE(SUBSTITUTE(SUBSTITUTE(SUBSTITUTE(INDEX(PASTE_ALL,$DF442,$L$18)," "," "),CHAR(9)," "),CHAR(10)," "),CHAR(13)," ")))="PM","PM",IF(OR(UPPER(TRIM(SUBSTITUTE(SUBSTITUTE(SUBSTITUTE(SUBSTITUTE(INDEX(PASTE_ALL,$DF442,$L$18)," "," "),CHAR(9)," "),CHAR(10)," "),CHAR(13)," ")))="OT",UPPER(TRIM(SUBSTITUTE(SUBSTITUTE(SUBSTITUTE(SUBSTITUTE(INDEX(PASTE_ALL,$DF442,$L$18)," "," "),CHAR(9)," "),CHAR(10)," "),CHAR(13)," ")))="OVERTIME",UPPER(TRIM(SUBSTITUTE(SUBSTITUTE(SUBSTITUTE(SUBSTITUTE(INDEX(PASTE_ALL,$DF442,$L$18)," "," "),CHAR(9)," "),CHAR(10)," "),CHAR(13)," ")))="TRIAL"),"OT",TRIM(SUBSTITUTE(SUBSTITUTE(SUBSTITUTE(SUBSTITUTE(INDEX(PASTE_ALL,$DF442,$L$18)," "," "),CHAR(9)," "),CHAR(10)," "),CHAR(13)," "))))),"")))</f>
        <v/>
      </c>
      <c r="EC442">
        <f>IF($DM442=0,"",IF($L$19=0,"",IFERROR(IF(ISNUMBER(INDEX(PASTE_ALL,$DF442,$L$19)),INDEX(PASTE_ALL,$DF442,$L$19),TRIM(SUBSTITUTE(SUBSTITUTE(SUBSTITUTE(SUBSTITUTE(INDEX(PASTE_ALL,$DF442,$L$19)," "," "),CHAR(9)," "),CHAR(10)," "),CHAR(13)," "))),"")))</f>
        <v/>
      </c>
      <c r="ED442">
        <f>IF($DM442=0,"",MATCH(1,INDEX(EXACT($DH$5:DH442,$DH442)*$DM$5:DM442,0),0))</f>
        <v/>
      </c>
      <c r="EE442">
        <f>IF($DM442=0,0,IF($ED442=$DE442,1,0))</f>
        <v/>
      </c>
      <c r="EF442">
        <f>EF441+$EE442</f>
        <v/>
      </c>
      <c r="EG442">
        <f>IF($DM442=0,"",INDEX($EF$5:$EF$1003,$ED442))</f>
        <v/>
      </c>
      <c r="EH442">
        <f>IF($DM442=0,"",IF($DO442&lt;&gt;"","",IFERROR(LOOKUP(2,1/(($EG$4:EG441=$EG442)*($DO$4:DO441&lt;&gt;"")),$DO$4:DO441),"")))</f>
        <v/>
      </c>
      <c r="EI442">
        <f>IF($DM442=0,"",IF($DO442&lt;&gt;"",$DO442,$EH442))</f>
        <v/>
      </c>
      <c r="EJ442">
        <f>IF($DM442=0,"",IF($EI442="",0,IF(OR(ISNUMBER($EI442),AND(AND(SUBSTITUTE(SUBSTITUTE(SUBSTITUTE(SUBSTITUTE(SUBSTITUTE(SUBSTITUTE(SUBSTITUTE(SUBSTITUTE(SUBSTITUTE(SUBSTITUTE(SUBSTITUTE(SUBSTITUTE(SUBSTITUTE(SUBSTITUTE(UPPER($EI442),"0",""),"1",""),"2",""),"3",""),"4",""),"5",""),"6",""),"7",""),"8",""),"9",""),".",""),"+",""),"-",""),"E","")="",LEN(SUBSTITUTE(SUBSTITUTE(MID(UPPER($EI442),1+OR(LEFT(UPPER($EI442),1)="+",LEFT(UPPER($EI442),1)="-"),999),"E+","E"),"E-","E"))=LEN(SUBSTITUTE(SUBSTITUTE(SUBSTITUTE(SUBSTITUTE(MID(UPPER($EI442),1+OR(LEFT(UPPER($EI442),1)="+",LEFT(UPPER($EI442),1)="-"),999),"E+","E"),"E-","E"),"+",""),"-","")),LEN(UPPER($EI442))-LEN(SUBSTITUTE(UPPER($EI442),"E",""))&lt;2,LEN(UPPER($EI442))-LEN(SUBSTITUTE(UPPER($EI442),".",""))&lt;2,IFERROR(FIND(".",UPPER($EI442)),0)&lt;IFERROR(FIND("E",UPPER($EI442)),999)),ISNUMBER(VALUE($EI442)))),1,2)))</f>
        <v/>
      </c>
      <c r="EK442">
        <f>IF($DM442=0,"",IF($EJ442=1,IF(ISNUMBER($EI442),$EI442,VALUE($EI442)),IF($EJ442=2,$DE442,0)))</f>
        <v/>
      </c>
      <c r="EL442">
        <f>IF($DM442=0,"",COUNTIF($EG$5:$EG$1003,"&lt;"&amp;$EG442)+SUMPRODUCT(($EG$5:$EG$1003=$EG442)*(($EJ$5:$EJ$1003&lt;$EJ442)+($EJ$5:$EJ$1003=$EJ442)*(($EK$5:$EK$1003&lt;$EK442)+($EK$5:$EK$1003=$EK442)*($DE$5:$DE$1003&lt;$DE442))))+1)</f>
        <v/>
      </c>
      <c r="EM442">
        <f>IF($DM442=0,"",$EL442+$EG442-1)</f>
        <v/>
      </c>
      <c r="EN442">
        <f>IF($DM442=0,0,IFERROR(MATCH(1,INDEX(--(TRIM(SUBSTITUTE(SUBSTITUTE(SUBSTITUTE(SUBSTITUTE(LINES_NAME&amp;""," "," "),CHAR(9)," "),CHAR(10)," "),CHAR(13)," "))=$DH442),0),0),0))</f>
        <v/>
      </c>
      <c r="EO442">
        <f>IF($EN442=0,0,IF(OR(UPPER(TRIM(INDEX(LINES_SCHEDULED,$EN442)&amp;""))="YES",UPPER(TRIM(INDEX(LINES_SCHEDULED,$EN442)&amp;""))="Y",UPPER(TRIM(INDEX(LINES_SCHEDULED,$EN442)&amp;""))="X"),1,0))</f>
        <v/>
      </c>
      <c r="EP442">
        <f>IF($DM442=0,"",IF(COUNTIFS($EG$5:$EG$1003,$EG442,$EB$5:$EB$1003,"Ready")&gt;0,"READY",IF(COUNTIFS($EG$5:$EG$1003,$EG442,$EB$5:$EB$1003,"PM")&gt;0,"PM",IF(COUNTIFS($EG$5:$EG$1003,$EG442,$EB$5:$EB$1003,"OT")&gt;0,"OT",""))))</f>
        <v/>
      </c>
      <c r="EQ442">
        <f>IF($EN442=0,"",UPPER(TRIM(INDEX(LINES_STATUS,$EN442)&amp;"")))</f>
        <v/>
      </c>
      <c r="ER442">
        <f>IF($DM442=0,"",IF(OR($EQ442="READY",$EQ442="PM",$EQ442="OT"),$EQ442,$EP442))</f>
        <v/>
      </c>
      <c r="ES442">
        <f>IF($DM442=0,"",IF(AND($DV442&lt;&gt;"",UPPER($DV442)&lt;&gt;"N"),"allergen",IF(ISNUMBER(SEARCH("oil",$DQ442)),"oil",IF(OR(EXACT($DS442,"A662"),EXACT($DS442,"A624")),"bulk",""))))</f>
        <v/>
      </c>
      <c r="ET442">
        <f>IF($DM442=0,"",IF(OR($EA442="",$EA442=0),"",$EA442/100))</f>
        <v/>
      </c>
      <c r="EU442">
        <f>IF(OR($ET442="",$DY442=""),"",INT($DY442*(1-$ET442)+0.5))</f>
        <v/>
      </c>
      <c r="EW442" t="n">
        <v>438</v>
      </c>
      <c r="EX442">
        <f>IFERROR(MATCH($EW442,$EM$5:$EM$1003,0),0)</f>
        <v/>
      </c>
      <c r="EY442">
        <f>IF($EW442&gt;$B$12,"",IF($EX442&gt;0,"row","spacer"))</f>
        <v/>
      </c>
      <c r="EZ442">
        <f>IF(AND($EY442="row",$EY441&lt;&gt;"row"),1,0)</f>
        <v/>
      </c>
      <c r="FA442">
        <f>IF(AND($EY442="row",$EY443&lt;&gt;"row"),1,0)</f>
        <v/>
      </c>
      <c r="FB442">
        <f>IF($EZ442=1,IFERROR(IF(ISNUMBER(INDEX(PASTE_ALL,INDEX($DF$5:$DF$1003,$EX442),$B$37)),INDEX(PASTE_ALL,INDEX($DF$5:$DF$1003,$EX442),$B$37),INDEX($DH$5:$DH$1003,$EX442)),INDEX($DH$5:$DH$1003,$EX442)),"")</f>
        <v/>
      </c>
      <c r="FC442">
        <f>IF($EY442="row",INDEX($ER$5:$ER$1003,$EX442),"")</f>
        <v/>
      </c>
      <c r="FD442">
        <f>IF($EY442="row",INDEX($DN$5:$DN$1003,$EX442),"")</f>
        <v/>
      </c>
      <c r="FE442">
        <f>IF($EY442="row",INDEX($DO$5:$DO$1003,$EX442),"")</f>
        <v/>
      </c>
      <c r="FF442">
        <f>IF($EY442="row",INDEX($DP$5:$DP$1003,$EX442),"")</f>
        <v/>
      </c>
      <c r="FG442">
        <f>IF($EY442="row",INDEX($DQ$5:$DQ$1003,$EX442),"")</f>
        <v/>
      </c>
      <c r="FH442">
        <f>IF($EY442="row",INDEX($DR$5:$DR$1003,$EX442),"")</f>
        <v/>
      </c>
      <c r="FI442">
        <f>IF($EY442="row",INDEX($DS$5:$DS$1003,$EX442),"")</f>
        <v/>
      </c>
      <c r="FJ442">
        <f>IF($EY442="row",INDEX($DT$5:$DT$1003,$EX442),"")</f>
        <v/>
      </c>
      <c r="FK442">
        <f>IF($EY442="row",INDEX($DU$5:$DU$1003,$EX442),"")</f>
        <v/>
      </c>
      <c r="FL442">
        <f>IF($EY442="row",INDEX($DV$5:$DV$1003,$EX442),"")</f>
        <v/>
      </c>
      <c r="FM442">
        <f>IF($EY442="row",INDEX($DW$5:$DW$1003,$EX442),"")</f>
        <v/>
      </c>
      <c r="FN442">
        <f>IF($EY442="row",INDEX($DY$5:$DY$1003,$EX442),"")</f>
        <v/>
      </c>
      <c r="FO442">
        <f>IF($EY442="row",INDEX($EA$5:$EA$1003,$EX442),"")</f>
        <v/>
      </c>
      <c r="FP442">
        <f>IF($EY442="row",INDEX($EC$5:$EC$1003,$EX442),"")</f>
        <v/>
      </c>
      <c r="FQ442">
        <f>IF($EY442="row",INDEX($ET$5:$ET$1003,$EX442),"")</f>
        <v/>
      </c>
      <c r="FR442">
        <f>IF($EY442="row",INDEX($EU$5:$EU$1003,$EX442),"")</f>
        <v/>
      </c>
      <c r="FS442">
        <f>IF(AND($EY442="row",$EY441="row"),IF(OR(INDEX($DT$5:$DT$1003,$EX441)="",INDEX($DT$5:$DT$1003,$EX442)=""),"",IF(NOT(EXACT(INDEX($DT$5:$DT$1003,$EX441),INDEX($DT$5:$DT$1003,$EX442))),"S4",IF(NOT(EXACT(INDEX($DS$5:$DS$1003,$EX441),INDEX($DS$5:$DS$1003,$EX442))),"S3",IF(NOT(EXACT(INDEX($DR$5:$DR$1003,$EX441),INDEX($DR$5:$DR$1003,$EX442))),"S1 Count Change","S1")))),"")</f>
        <v/>
      </c>
      <c r="FT442">
        <f>IF($EY442="row",INDEX($ES$5:$ES$1003,$EX442),"")</f>
        <v/>
      </c>
      <c r="FU442">
        <f>IF($EY442="row",INDEX($EO$5:$EO$1003,$EX442),0)</f>
        <v/>
      </c>
      <c r="FV442">
        <f>IF($FS442="S1 Count Change",1,0)</f>
        <v/>
      </c>
    </row>
    <row r="443">
      <c r="DA443" t="n">
        <v>439</v>
      </c>
      <c r="DB443">
        <f>IF($B$37=0,"",IFERROR(TRIM(SUBSTITUTE(SUBSTITUTE(SUBSTITUTE(SUBSTITUTE(INDEX(PASTE_ALL,439,$B$37)," "," "),CHAR(9)," "),CHAR(10)," "),CHAR(13)," ")),""))</f>
        <v/>
      </c>
      <c r="DC443">
        <f>IF(AND(439&gt;HEADER_ROW,UPPER(DB443)="LEGEND"),1,0)</f>
        <v/>
      </c>
      <c r="DE443" t="n">
        <v>439</v>
      </c>
      <c r="DF443">
        <f>HEADER_ROW+$DE443</f>
        <v/>
      </c>
      <c r="DG443">
        <f>IF(AND($DF443&lt;=1000,$DF443&lt;$B$8),1,0)</f>
        <v/>
      </c>
      <c r="DH443">
        <f>IF($DG443=1,IFERROR(INDEX($DB$5:$DB$1004,$DF443),""),"")</f>
        <v/>
      </c>
      <c r="DI443">
        <f>IF(AND($DG443=1,$DH443&lt;&gt;""),IFERROR(SUBSTITUTE(SUBSTITUTE(TRIM(SUBSTITUTE(SUBSTITUTE(SUBSTITUTE(SUBSTITUTE(IFERROR(INDEX(PASTE_ALL,$DF443,1)&amp;"","")&amp;"␟"&amp;IFERROR(INDEX(PASTE_ALL,$DF443,2)&amp;"","")&amp;"␟"&amp;IFERROR(INDEX(PASTE_ALL,$DF443,3)&amp;"","")&amp;"␟"&amp;IFERROR(INDEX(PASTE_ALL,$DF443,4)&amp;"","")&amp;"␟"&amp;IFERROR(INDEX(PASTE_ALL,$DF443,5)&amp;"","")&amp;"␟"&amp;IFERROR(INDEX(PASTE_ALL,$DF443,6)&amp;"","")&amp;"␟"&amp;IFERROR(INDEX(PASTE_ALL,$DF443,7)&amp;"","")&amp;"␟"&amp;IFERROR(INDEX(PASTE_ALL,$DF443,8)&amp;"","")&amp;"␟"&amp;IFERROR(INDEX(PASTE_ALL,$DF443,9)&amp;"","")&amp;"␟"&amp;IFERROR(INDEX(PASTE_ALL,$DF443,10)&amp;"","")&amp;"␟"&amp;IFERROR(INDEX(PASTE_ALL,$DF443,11)&amp;"","")&amp;"␟"&amp;IFERROR(INDEX(PASTE_ALL,$DF443,12)&amp;"","")&amp;"␟"&amp;IFERROR(INDEX(PASTE_ALL,$DF443,13)&amp;"","")&amp;"␟"&amp;IFERROR(INDEX(PASTE_ALL,$DF443,14)&amp;"","")&amp;"␟"&amp;IFERROR(INDEX(PASTE_ALL,$DF443,15)&amp;"","")&amp;"␟"&amp;IFERROR(INDEX(PASTE_ALL,$DF443,16)&amp;"","")&amp;"␟"&amp;IFERROR(INDEX(PASTE_ALL,$DF443,17)&amp;"","")&amp;"␟"&amp;IFERROR(INDEX(PASTE_ALL,$DF443,18)&amp;"","")&amp;"␟"&amp;IFERROR(INDEX(PASTE_ALL,$DF443,19)&amp;"","")&amp;"␟"&amp;IFERROR(INDEX(PASTE_ALL,$DF443,20)&amp;"","")&amp;"␟"&amp;IFERROR(INDEX(PASTE_ALL,$DF443,21)&amp;"","")&amp;"␟"&amp;IFERROR(INDEX(PASTE_ALL,$DF443,22)&amp;"","")&amp;"␟"&amp;IFERROR(INDEX(PASTE_ALL,$DF443,23)&amp;"","")&amp;"␟"&amp;IFERROR(INDEX(PASTE_ALL,$DF443,24)&amp;"","")&amp;"␟"&amp;IFERROR(INDEX(PASTE_ALL,$DF443,25)&amp;"","")&amp;"␟"&amp;IFERROR(INDEX(PASTE_ALL,$DF443,26)&amp;"","")&amp;"␟"&amp;IFERROR(INDEX(PASTE_ALL,$DF443,27)&amp;"","")&amp;"␟"&amp;IFERROR(INDEX(PASTE_ALL,$DF443,28)&amp;"","")&amp;"␟"&amp;IFERROR(INDEX(PASTE_ALL,$DF443,29)&amp;"","")&amp;"␟"&amp;IFERROR(INDEX(PASTE_ALL,$DF443,30)&amp;"","")&amp;"␟"&amp;IFERROR(INDEX(PASTE_ALL,$DF443,31)&amp;"","")&amp;"␟"&amp;IFERROR(INDEX(PASTE_ALL,$DF443,32)&amp;"","")&amp;"␟"&amp;IFERROR(INDEX(PASTE_ALL,$DF443,33)&amp;"","")&amp;"␟"&amp;IFERROR(INDEX(PASTE_ALL,$DF443,34)&amp;"","")&amp;"␟"&amp;IFERROR(INDEX(PASTE_ALL,$DF443,35)&amp;"","")&amp;"␟"&amp;IFERROR(INDEX(PASTE_ALL,$DF443,36)&amp;"","")&amp;"␟"&amp;IFERROR(INDEX(PASTE_ALL,$DF443,37)&amp;"","")&amp;"␟"&amp;IFERROR(INDEX(PASTE_ALL,$DF443,38)&amp;"","")&amp;"␟"&amp;IFERROR(INDEX(PASTE_ALL,$DF443,39)&amp;"","")&amp;"␟"&amp;IFERROR(INDEX(PASTE_ALL,$DF443,40)&amp;"","")&amp;"␟"&amp;IFERROR(INDEX(PASTE_ALL,$DF443,41)&amp;"","")&amp;"␟"&amp;IFERROR(INDEX(PASTE_ALL,$DF443,42)&amp;"","")&amp;"␟"&amp;IFERROR(INDEX(PASTE_ALL,$DF443,43)&amp;"","")&amp;"␟"&amp;IFERROR(INDEX(PASTE_ALL,$DF443,44)&amp;"","")&amp;"␟"&amp;IFERROR(INDEX(PASTE_ALL,$DF443,45)&amp;"","")&amp;"␟"&amp;IFERROR(INDEX(PASTE_ALL,$DF443,46)&amp;"","")&amp;"␟"&amp;IFERROR(INDEX(PASTE_ALL,$DF443,47)&amp;"","")&amp;"␟"&amp;IFERROR(INDEX(PASTE_ALL,$DF443,48)&amp;"","")&amp;"␟"&amp;IFERROR(INDEX(PASTE_ALL,$DF443,49)&amp;"","")&amp;"␟"&amp;IFERROR(INDEX(PASTE_ALL,$DF443,50)&amp;"","")&amp;"␟"&amp;IFERROR(INDEX(PASTE_ALL,$DF443,51)&amp;"","")&amp;"␟"&amp;IFERROR(INDEX(PASTE_ALL,$DF443,52)&amp;"","")&amp;"␟"&amp;IFERROR(INDEX(PASTE_ALL,$DF443,53)&amp;"","")&amp;"␟"&amp;IFERROR(INDEX(PASTE_ALL,$DF443,54)&amp;"","")&amp;"␟"&amp;IFERROR(INDEX(PASTE_ALL,$DF443,55)&amp;"","")&amp;"␟"&amp;IFERROR(INDEX(PASTE_ALL,$DF443,56)&amp;"","")&amp;"␟"&amp;IFERROR(INDEX(PASTE_ALL,$DF443,57)&amp;"","")&amp;"␟"&amp;IFERROR(INDEX(PASTE_ALL,$DF443,58)&amp;"","")&amp;"␟"&amp;IFERROR(INDEX(PASTE_ALL,$DF443,59)&amp;"","")&amp;"␟"&amp;IFERROR(INDEX(PASTE_ALL,$DF443,60)&amp;"","")," "," "),CHAR(9)," "),CHAR(10)," "),CHAR(13)," "))," ␟","␟"),"␟ ","␟"),"#"&amp;$DE443),"")</f>
        <v/>
      </c>
      <c r="DJ443">
        <f>IF($DI443="",0,IF(SUMPRODUCT(--EXACT($DI$4:DI442,$DI443))&gt;0,1,0))</f>
        <v/>
      </c>
      <c r="DK443">
        <f>IF(AND($DI443&lt;&gt;"",$DJ443=0),1,0)</f>
        <v/>
      </c>
      <c r="DL443">
        <f>DL442+$DK443</f>
        <v/>
      </c>
      <c r="DM443">
        <f>IF(AND($DK443=1,$DL443&lt;=600),1,0)</f>
        <v/>
      </c>
      <c r="DN443">
        <f>IF($DM443=0,"",IF($L$6=0,"",IFERROR(IF(ISNUMBER(INDEX(PASTE_ALL,$DF443,$L$6)),INDEX(PASTE_ALL,$DF443,$L$6),TRIM(SUBSTITUTE(SUBSTITUTE(SUBSTITUTE(SUBSTITUTE(INDEX(PASTE_ALL,$DF443,$L$6)," "," "),CHAR(9)," "),CHAR(10)," "),CHAR(13)," "))),"")))</f>
        <v/>
      </c>
      <c r="DO443">
        <f>IF($DM443=0,"",IF($L$7=0,"",IFERROR(IF(ISNUMBER(INDEX(PASTE_ALL,$DF443,$L$7)),INDEX(PASTE_ALL,$DF443,$L$7),TRIM(SUBSTITUTE(SUBSTITUTE(SUBSTITUTE(SUBSTITUTE(INDEX(PASTE_ALL,$DF443,$L$7)," "," "),CHAR(9)," "),CHAR(10)," "),CHAR(13)," "))),"")))</f>
        <v/>
      </c>
      <c r="DP443">
        <f>IF($DM443=0,"",IF($L$8=0,"",IFERROR(IF(ISNUMBER(INDEX(PASTE_ALL,$DF443,$L$8)),INDEX(PASTE_ALL,$DF443,$L$8),TRIM(SUBSTITUTE(SUBSTITUTE(SUBSTITUTE(SUBSTITUTE(INDEX(PASTE_ALL,$DF443,$L$8)," "," "),CHAR(9)," "),CHAR(10)," "),CHAR(13)," "))),"")))</f>
        <v/>
      </c>
      <c r="DQ443">
        <f>IF($DM443=0,"",IF($L$9=0,"",IFERROR(IF(ISNUMBER(INDEX(PASTE_ALL,$DF443,$L$9)),INDEX(PASTE_ALL,$DF443,$L$9),TRIM(SUBSTITUTE(SUBSTITUTE(SUBSTITUTE(SUBSTITUTE(INDEX(PASTE_ALL,$DF443,$L$9)," "," "),CHAR(9)," "),CHAR(10)," "),CHAR(13)," "))),"")))</f>
        <v/>
      </c>
      <c r="DR443">
        <f>IF($DM443=0,"",IF($L$10=0,"",IFERROR(IF(ISNUMBER(INDEX(PASTE_ALL,$DF443,$L$10)),INDEX(PASTE_ALL,$DF443,$L$10),TRIM(SUBSTITUTE(SUBSTITUTE(SUBSTITUTE(SUBSTITUTE(INDEX(PASTE_ALL,$DF443,$L$10)," "," "),CHAR(9)," "),CHAR(10)," "),CHAR(13)," "))),"")))</f>
        <v/>
      </c>
      <c r="DS443">
        <f>IF($DM443=0,"",IF($L$11=0,"",IFERROR(IF(ISNUMBER(INDEX(PASTE_ALL,$DF443,$L$11)),INDEX(PASTE_ALL,$DF443,$L$11),TRIM(SUBSTITUTE(SUBSTITUTE(SUBSTITUTE(SUBSTITUTE(INDEX(PASTE_ALL,$DF443,$L$11)," "," "),CHAR(9)," "),CHAR(10)," "),CHAR(13)," "))),"")))</f>
        <v/>
      </c>
      <c r="DT443">
        <f>IF($DM443=0,"",IF($L$12=0,"",IFERROR(IF(ISNUMBER(INDEX(PASTE_ALL,$DF443,$L$12)),INDEX(PASTE_ALL,$DF443,$L$12),TRIM(SUBSTITUTE(SUBSTITUTE(SUBSTITUTE(SUBSTITUTE(INDEX(PASTE_ALL,$DF443,$L$12)," "," "),CHAR(9)," "),CHAR(10)," "),CHAR(13)," "))),"")))</f>
        <v/>
      </c>
      <c r="DU443">
        <f>IF($DM443=0,"",IF($L$13=0,"",IFERROR(IF(ISNUMBER(INDEX(PASTE_ALL,$DF443,$L$13)),INDEX(PASTE_ALL,$DF443,$L$13),TRIM(SUBSTITUTE(SUBSTITUTE(SUBSTITUTE(SUBSTITUTE(INDEX(PASTE_ALL,$DF443,$L$13)," "," "),CHAR(9)," "),CHAR(10)," "),CHAR(13)," "))),"")))</f>
        <v/>
      </c>
      <c r="DV443">
        <f>IF($DM443=0,"",IF($L$14=0,"",IFERROR(IF(ISNUMBER(INDEX(PASTE_ALL,$DF443,$L$14)),INDEX(PASTE_ALL,$DF443,$L$14),TRIM(SUBSTITUTE(SUBSTITUTE(SUBSTITUTE(SUBSTITUTE(INDEX(PASTE_ALL,$DF443,$L$14)," "," "),CHAR(9)," "),CHAR(10)," "),CHAR(13)," "))),"")))</f>
        <v/>
      </c>
      <c r="DW443">
        <f>IF($DM443=0,"",IF($L$15=0,"",IFERROR(IF(ISNUMBER(INDEX(PASTE_ALL,$DF443,$L$15)),INDEX(PASTE_ALL,$DF443,$L$15),IF(SUMPRODUCT(--ISNUMBER(FIND({"A","B","C","D","E","F","G","H","I","J","K","L","M","N","O","P","Q","R","S","T","U","V","W","X","Y","Z","0","1","2","3","4","5","6","7","8","9"},UPPER(TRIM(SUBSTITUTE(SUBSTITUTE(SUBSTITUTE(SUBSTITUTE(INDEX(PASTE_ALL,$DF443,$L$15)," "," "),CHAR(9)," "),CHAR(10)," "),CHAR(13)," "))))))&gt;0,TRIM(SUBSTITUTE(SUBSTITUTE(SUBSTITUTE(SUBSTITUTE(INDEX(PASTE_ALL,$DF443,$L$15)," "," "),CHAR(9)," "),CHAR(10)," "),CHAR(13)," ")),"")),"")))</f>
        <v/>
      </c>
      <c r="DX443">
        <f>IF($DM443=0,"",IF($L$16=0,"",IFERROR(IF(ISNUMBER(INDEX(PASTE_ALL,$DF443,$L$16)),INDEX(PASTE_ALL,$DF443,$L$16),SUBSTITUTE(SUBSTITUTE(TRIM(SUBSTITUTE(SUBSTITUTE(SUBSTITUTE(SUBSTITUTE(INDEX(PASTE_ALL,$DF443,$L$16)," "," "),CHAR(9)," "),CHAR(10)," "),CHAR(13)," ")),",",""),"%","")),"")))</f>
        <v/>
      </c>
      <c r="DY443">
        <f>IF($DM443=0,"",IFERROR(IF(ISNUMBER($DX443),$DX443,IF($DX443="","",IF(TRIM($DX443)="",0,IF(AND(AND(SUBSTITUTE(SUBSTITUTE(SUBSTITUTE(SUBSTITUTE(SUBSTITUTE(SUBSTITUTE(SUBSTITUTE(SUBSTITUTE(SUBSTITUTE(SUBSTITUTE(SUBSTITUTE(SUBSTITUTE(SUBSTITUTE(SUBSTITUTE(UPPER(TRIM($DX443)),"0",""),"1",""),"2",""),"3",""),"4",""),"5",""),"6",""),"7",""),"8",""),"9",""),".",""),"+",""),"-",""),"E","")="",LEN(SUBSTITUTE(SUBSTITUTE(MID(UPPER(TRIM($DX443)),1+OR(LEFT(UPPER(TRIM($DX443)),1)="+",LEFT(UPPER(TRIM($DX443)),1)="-"),999),"E+","E"),"E-","E"))=LEN(SUBSTITUTE(SUBSTITUTE(SUBSTITUTE(SUBSTITUTE(MID(UPPER(TRIM($DX443)),1+OR(LEFT(UPPER(TRIM($DX443)),1)="+",LEFT(UPPER(TRIM($DX443)),1)="-"),999),"E+","E"),"E-","E"),"+",""),"-","")),LEN(UPPER(TRIM($DX443)))-LEN(SUBSTITUTE(UPPER(TRIM($DX443)),"E",""))&lt;2,LEN(UPPER(TRIM($DX443)))-LEN(SUBSTITUTE(UPPER(TRIM($DX443)),".",""))&lt;2,IFERROR(FIND(".",UPPER(TRIM($DX443))),0)&lt;IFERROR(FIND("E",UPPER(TRIM($DX443))),999)),ISNUMBER(VALUE(TRIM($DX443)))),VALUE(TRIM($DX443)),"")))),""))</f>
        <v/>
      </c>
      <c r="DZ443">
        <f>IF($DM443=0,"",IF($L$17=0,"",IFERROR(IF(ISNUMBER(INDEX(PASTE_ALL,$DF443,$L$17)),INDEX(PASTE_ALL,$DF443,$L$17),SUBSTITUTE(SUBSTITUTE(TRIM(SUBSTITUTE(SUBSTITUTE(SUBSTITUTE(SUBSTITUTE(INDEX(PASTE_ALL,$DF443,$L$17)," "," "),CHAR(9)," "),CHAR(10)," "),CHAR(13)," ")),",",""),"%","")),"")))</f>
        <v/>
      </c>
      <c r="EA443">
        <f>IF($DM443=0,"",IFERROR(IF(ISNUMBER($DZ443),$DZ443,IF($DZ443="","",IF(TRIM($DZ443)="",0,IF(AND(AND(SUBSTITUTE(SUBSTITUTE(SUBSTITUTE(SUBSTITUTE(SUBSTITUTE(SUBSTITUTE(SUBSTITUTE(SUBSTITUTE(SUBSTITUTE(SUBSTITUTE(SUBSTITUTE(SUBSTITUTE(SUBSTITUTE(SUBSTITUTE(UPPER(TRIM($DZ443)),"0",""),"1",""),"2",""),"3",""),"4",""),"5",""),"6",""),"7",""),"8",""),"9",""),".",""),"+",""),"-",""),"E","")="",LEN(SUBSTITUTE(SUBSTITUTE(MID(UPPER(TRIM($DZ443)),1+OR(LEFT(UPPER(TRIM($DZ443)),1)="+",LEFT(UPPER(TRIM($DZ443)),1)="-"),999),"E+","E"),"E-","E"))=LEN(SUBSTITUTE(SUBSTITUTE(SUBSTITUTE(SUBSTITUTE(MID(UPPER(TRIM($DZ443)),1+OR(LEFT(UPPER(TRIM($DZ443)),1)="+",LEFT(UPPER(TRIM($DZ443)),1)="-"),999),"E+","E"),"E-","E"),"+",""),"-","")),LEN(UPPER(TRIM($DZ443)))-LEN(SUBSTITUTE(UPPER(TRIM($DZ443)),"E",""))&lt;2,LEN(UPPER(TRIM($DZ443)))-LEN(SUBSTITUTE(UPPER(TRIM($DZ443)),".",""))&lt;2,IFERROR(FIND(".",UPPER(TRIM($DZ443))),0)&lt;IFERROR(FIND("E",UPPER(TRIM($DZ443))),999)),ISNUMBER(VALUE(TRIM($DZ443)))),VALUE(TRIM($DZ443)),"")))),""))</f>
        <v/>
      </c>
      <c r="EB443">
        <f>IF($DM443=0,"",IF($L$18=0,"",IFERROR(IF(UPPER(TRIM(SUBSTITUTE(SUBSTITUTE(SUBSTITUTE(SUBSTITUTE(INDEX(PASTE_ALL,$DF443,$L$18)," "," "),CHAR(9)," "),CHAR(10)," "),CHAR(13)," ")))="READY","Ready",IF(UPPER(TRIM(SUBSTITUTE(SUBSTITUTE(SUBSTITUTE(SUBSTITUTE(INDEX(PASTE_ALL,$DF443,$L$18)," "," "),CHAR(9)," "),CHAR(10)," "),CHAR(13)," ")))="PM","PM",IF(OR(UPPER(TRIM(SUBSTITUTE(SUBSTITUTE(SUBSTITUTE(SUBSTITUTE(INDEX(PASTE_ALL,$DF443,$L$18)," "," "),CHAR(9)," "),CHAR(10)," "),CHAR(13)," ")))="OT",UPPER(TRIM(SUBSTITUTE(SUBSTITUTE(SUBSTITUTE(SUBSTITUTE(INDEX(PASTE_ALL,$DF443,$L$18)," "," "),CHAR(9)," "),CHAR(10)," "),CHAR(13)," ")))="OVERTIME",UPPER(TRIM(SUBSTITUTE(SUBSTITUTE(SUBSTITUTE(SUBSTITUTE(INDEX(PASTE_ALL,$DF443,$L$18)," "," "),CHAR(9)," "),CHAR(10)," "),CHAR(13)," ")))="TRIAL"),"OT",TRIM(SUBSTITUTE(SUBSTITUTE(SUBSTITUTE(SUBSTITUTE(INDEX(PASTE_ALL,$DF443,$L$18)," "," "),CHAR(9)," "),CHAR(10)," "),CHAR(13)," "))))),"")))</f>
        <v/>
      </c>
      <c r="EC443">
        <f>IF($DM443=0,"",IF($L$19=0,"",IFERROR(IF(ISNUMBER(INDEX(PASTE_ALL,$DF443,$L$19)),INDEX(PASTE_ALL,$DF443,$L$19),TRIM(SUBSTITUTE(SUBSTITUTE(SUBSTITUTE(SUBSTITUTE(INDEX(PASTE_ALL,$DF443,$L$19)," "," "),CHAR(9)," "),CHAR(10)," "),CHAR(13)," "))),"")))</f>
        <v/>
      </c>
      <c r="ED443">
        <f>IF($DM443=0,"",MATCH(1,INDEX(EXACT($DH$5:DH443,$DH443)*$DM$5:DM443,0),0))</f>
        <v/>
      </c>
      <c r="EE443">
        <f>IF($DM443=0,0,IF($ED443=$DE443,1,0))</f>
        <v/>
      </c>
      <c r="EF443">
        <f>EF442+$EE443</f>
        <v/>
      </c>
      <c r="EG443">
        <f>IF($DM443=0,"",INDEX($EF$5:$EF$1003,$ED443))</f>
        <v/>
      </c>
      <c r="EH443">
        <f>IF($DM443=0,"",IF($DO443&lt;&gt;"","",IFERROR(LOOKUP(2,1/(($EG$4:EG442=$EG443)*($DO$4:DO442&lt;&gt;"")),$DO$4:DO442),"")))</f>
        <v/>
      </c>
      <c r="EI443">
        <f>IF($DM443=0,"",IF($DO443&lt;&gt;"",$DO443,$EH443))</f>
        <v/>
      </c>
      <c r="EJ443">
        <f>IF($DM443=0,"",IF($EI443="",0,IF(OR(ISNUMBER($EI443),AND(AND(SUBSTITUTE(SUBSTITUTE(SUBSTITUTE(SUBSTITUTE(SUBSTITUTE(SUBSTITUTE(SUBSTITUTE(SUBSTITUTE(SUBSTITUTE(SUBSTITUTE(SUBSTITUTE(SUBSTITUTE(SUBSTITUTE(SUBSTITUTE(UPPER($EI443),"0",""),"1",""),"2",""),"3",""),"4",""),"5",""),"6",""),"7",""),"8",""),"9",""),".",""),"+",""),"-",""),"E","")="",LEN(SUBSTITUTE(SUBSTITUTE(MID(UPPER($EI443),1+OR(LEFT(UPPER($EI443),1)="+",LEFT(UPPER($EI443),1)="-"),999),"E+","E"),"E-","E"))=LEN(SUBSTITUTE(SUBSTITUTE(SUBSTITUTE(SUBSTITUTE(MID(UPPER($EI443),1+OR(LEFT(UPPER($EI443),1)="+",LEFT(UPPER($EI443),1)="-"),999),"E+","E"),"E-","E"),"+",""),"-","")),LEN(UPPER($EI443))-LEN(SUBSTITUTE(UPPER($EI443),"E",""))&lt;2,LEN(UPPER($EI443))-LEN(SUBSTITUTE(UPPER($EI443),".",""))&lt;2,IFERROR(FIND(".",UPPER($EI443)),0)&lt;IFERROR(FIND("E",UPPER($EI443)),999)),ISNUMBER(VALUE($EI443)))),1,2)))</f>
        <v/>
      </c>
      <c r="EK443">
        <f>IF($DM443=0,"",IF($EJ443=1,IF(ISNUMBER($EI443),$EI443,VALUE($EI443)),IF($EJ443=2,$DE443,0)))</f>
        <v/>
      </c>
      <c r="EL443">
        <f>IF($DM443=0,"",COUNTIF($EG$5:$EG$1003,"&lt;"&amp;$EG443)+SUMPRODUCT(($EG$5:$EG$1003=$EG443)*(($EJ$5:$EJ$1003&lt;$EJ443)+($EJ$5:$EJ$1003=$EJ443)*(($EK$5:$EK$1003&lt;$EK443)+($EK$5:$EK$1003=$EK443)*($DE$5:$DE$1003&lt;$DE443))))+1)</f>
        <v/>
      </c>
      <c r="EM443">
        <f>IF($DM443=0,"",$EL443+$EG443-1)</f>
        <v/>
      </c>
      <c r="EN443">
        <f>IF($DM443=0,0,IFERROR(MATCH(1,INDEX(--(TRIM(SUBSTITUTE(SUBSTITUTE(SUBSTITUTE(SUBSTITUTE(LINES_NAME&amp;""," "," "),CHAR(9)," "),CHAR(10)," "),CHAR(13)," "))=$DH443),0),0),0))</f>
        <v/>
      </c>
      <c r="EO443">
        <f>IF($EN443=0,0,IF(OR(UPPER(TRIM(INDEX(LINES_SCHEDULED,$EN443)&amp;""))="YES",UPPER(TRIM(INDEX(LINES_SCHEDULED,$EN443)&amp;""))="Y",UPPER(TRIM(INDEX(LINES_SCHEDULED,$EN443)&amp;""))="X"),1,0))</f>
        <v/>
      </c>
      <c r="EP443">
        <f>IF($DM443=0,"",IF(COUNTIFS($EG$5:$EG$1003,$EG443,$EB$5:$EB$1003,"Ready")&gt;0,"READY",IF(COUNTIFS($EG$5:$EG$1003,$EG443,$EB$5:$EB$1003,"PM")&gt;0,"PM",IF(COUNTIFS($EG$5:$EG$1003,$EG443,$EB$5:$EB$1003,"OT")&gt;0,"OT",""))))</f>
        <v/>
      </c>
      <c r="EQ443">
        <f>IF($EN443=0,"",UPPER(TRIM(INDEX(LINES_STATUS,$EN443)&amp;"")))</f>
        <v/>
      </c>
      <c r="ER443">
        <f>IF($DM443=0,"",IF(OR($EQ443="READY",$EQ443="PM",$EQ443="OT"),$EQ443,$EP443))</f>
        <v/>
      </c>
      <c r="ES443">
        <f>IF($DM443=0,"",IF(AND($DV443&lt;&gt;"",UPPER($DV443)&lt;&gt;"N"),"allergen",IF(ISNUMBER(SEARCH("oil",$DQ443)),"oil",IF(OR(EXACT($DS443,"A662"),EXACT($DS443,"A624")),"bulk",""))))</f>
        <v/>
      </c>
      <c r="ET443">
        <f>IF($DM443=0,"",IF(OR($EA443="",$EA443=0),"",$EA443/100))</f>
        <v/>
      </c>
      <c r="EU443">
        <f>IF(OR($ET443="",$DY443=""),"",INT($DY443*(1-$ET443)+0.5))</f>
        <v/>
      </c>
      <c r="EW443" t="n">
        <v>439</v>
      </c>
      <c r="EX443">
        <f>IFERROR(MATCH($EW443,$EM$5:$EM$1003,0),0)</f>
        <v/>
      </c>
      <c r="EY443">
        <f>IF($EW443&gt;$B$12,"",IF($EX443&gt;0,"row","spacer"))</f>
        <v/>
      </c>
      <c r="EZ443">
        <f>IF(AND($EY443="row",$EY442&lt;&gt;"row"),1,0)</f>
        <v/>
      </c>
      <c r="FA443">
        <f>IF(AND($EY443="row",$EY444&lt;&gt;"row"),1,0)</f>
        <v/>
      </c>
      <c r="FB443">
        <f>IF($EZ443=1,IFERROR(IF(ISNUMBER(INDEX(PASTE_ALL,INDEX($DF$5:$DF$1003,$EX443),$B$37)),INDEX(PASTE_ALL,INDEX($DF$5:$DF$1003,$EX443),$B$37),INDEX($DH$5:$DH$1003,$EX443)),INDEX($DH$5:$DH$1003,$EX443)),"")</f>
        <v/>
      </c>
      <c r="FC443">
        <f>IF($EY443="row",INDEX($ER$5:$ER$1003,$EX443),"")</f>
        <v/>
      </c>
      <c r="FD443">
        <f>IF($EY443="row",INDEX($DN$5:$DN$1003,$EX443),"")</f>
        <v/>
      </c>
      <c r="FE443">
        <f>IF($EY443="row",INDEX($DO$5:$DO$1003,$EX443),"")</f>
        <v/>
      </c>
      <c r="FF443">
        <f>IF($EY443="row",INDEX($DP$5:$DP$1003,$EX443),"")</f>
        <v/>
      </c>
      <c r="FG443">
        <f>IF($EY443="row",INDEX($DQ$5:$DQ$1003,$EX443),"")</f>
        <v/>
      </c>
      <c r="FH443">
        <f>IF($EY443="row",INDEX($DR$5:$DR$1003,$EX443),"")</f>
        <v/>
      </c>
      <c r="FI443">
        <f>IF($EY443="row",INDEX($DS$5:$DS$1003,$EX443),"")</f>
        <v/>
      </c>
      <c r="FJ443">
        <f>IF($EY443="row",INDEX($DT$5:$DT$1003,$EX443),"")</f>
        <v/>
      </c>
      <c r="FK443">
        <f>IF($EY443="row",INDEX($DU$5:$DU$1003,$EX443),"")</f>
        <v/>
      </c>
      <c r="FL443">
        <f>IF($EY443="row",INDEX($DV$5:$DV$1003,$EX443),"")</f>
        <v/>
      </c>
      <c r="FM443">
        <f>IF($EY443="row",INDEX($DW$5:$DW$1003,$EX443),"")</f>
        <v/>
      </c>
      <c r="FN443">
        <f>IF($EY443="row",INDEX($DY$5:$DY$1003,$EX443),"")</f>
        <v/>
      </c>
      <c r="FO443">
        <f>IF($EY443="row",INDEX($EA$5:$EA$1003,$EX443),"")</f>
        <v/>
      </c>
      <c r="FP443">
        <f>IF($EY443="row",INDEX($EC$5:$EC$1003,$EX443),"")</f>
        <v/>
      </c>
      <c r="FQ443">
        <f>IF($EY443="row",INDEX($ET$5:$ET$1003,$EX443),"")</f>
        <v/>
      </c>
      <c r="FR443">
        <f>IF($EY443="row",INDEX($EU$5:$EU$1003,$EX443),"")</f>
        <v/>
      </c>
      <c r="FS443">
        <f>IF(AND($EY443="row",$EY442="row"),IF(OR(INDEX($DT$5:$DT$1003,$EX442)="",INDEX($DT$5:$DT$1003,$EX443)=""),"",IF(NOT(EXACT(INDEX($DT$5:$DT$1003,$EX442),INDEX($DT$5:$DT$1003,$EX443))),"S4",IF(NOT(EXACT(INDEX($DS$5:$DS$1003,$EX442),INDEX($DS$5:$DS$1003,$EX443))),"S3",IF(NOT(EXACT(INDEX($DR$5:$DR$1003,$EX442),INDEX($DR$5:$DR$1003,$EX443))),"S1 Count Change","S1")))),"")</f>
        <v/>
      </c>
      <c r="FT443">
        <f>IF($EY443="row",INDEX($ES$5:$ES$1003,$EX443),"")</f>
        <v/>
      </c>
      <c r="FU443">
        <f>IF($EY443="row",INDEX($EO$5:$EO$1003,$EX443),0)</f>
        <v/>
      </c>
      <c r="FV443">
        <f>IF($FS443="S1 Count Change",1,0)</f>
        <v/>
      </c>
    </row>
    <row r="444">
      <c r="DA444" t="n">
        <v>440</v>
      </c>
      <c r="DB444">
        <f>IF($B$37=0,"",IFERROR(TRIM(SUBSTITUTE(SUBSTITUTE(SUBSTITUTE(SUBSTITUTE(INDEX(PASTE_ALL,440,$B$37)," "," "),CHAR(9)," "),CHAR(10)," "),CHAR(13)," ")),""))</f>
        <v/>
      </c>
      <c r="DC444">
        <f>IF(AND(440&gt;HEADER_ROW,UPPER(DB444)="LEGEND"),1,0)</f>
        <v/>
      </c>
      <c r="DE444" t="n">
        <v>440</v>
      </c>
      <c r="DF444">
        <f>HEADER_ROW+$DE444</f>
        <v/>
      </c>
      <c r="DG444">
        <f>IF(AND($DF444&lt;=1000,$DF444&lt;$B$8),1,0)</f>
        <v/>
      </c>
      <c r="DH444">
        <f>IF($DG444=1,IFERROR(INDEX($DB$5:$DB$1004,$DF444),""),"")</f>
        <v/>
      </c>
      <c r="DI444">
        <f>IF(AND($DG444=1,$DH444&lt;&gt;""),IFERROR(SUBSTITUTE(SUBSTITUTE(TRIM(SUBSTITUTE(SUBSTITUTE(SUBSTITUTE(SUBSTITUTE(IFERROR(INDEX(PASTE_ALL,$DF444,1)&amp;"","")&amp;"␟"&amp;IFERROR(INDEX(PASTE_ALL,$DF444,2)&amp;"","")&amp;"␟"&amp;IFERROR(INDEX(PASTE_ALL,$DF444,3)&amp;"","")&amp;"␟"&amp;IFERROR(INDEX(PASTE_ALL,$DF444,4)&amp;"","")&amp;"␟"&amp;IFERROR(INDEX(PASTE_ALL,$DF444,5)&amp;"","")&amp;"␟"&amp;IFERROR(INDEX(PASTE_ALL,$DF444,6)&amp;"","")&amp;"␟"&amp;IFERROR(INDEX(PASTE_ALL,$DF444,7)&amp;"","")&amp;"␟"&amp;IFERROR(INDEX(PASTE_ALL,$DF444,8)&amp;"","")&amp;"␟"&amp;IFERROR(INDEX(PASTE_ALL,$DF444,9)&amp;"","")&amp;"␟"&amp;IFERROR(INDEX(PASTE_ALL,$DF444,10)&amp;"","")&amp;"␟"&amp;IFERROR(INDEX(PASTE_ALL,$DF444,11)&amp;"","")&amp;"␟"&amp;IFERROR(INDEX(PASTE_ALL,$DF444,12)&amp;"","")&amp;"␟"&amp;IFERROR(INDEX(PASTE_ALL,$DF444,13)&amp;"","")&amp;"␟"&amp;IFERROR(INDEX(PASTE_ALL,$DF444,14)&amp;"","")&amp;"␟"&amp;IFERROR(INDEX(PASTE_ALL,$DF444,15)&amp;"","")&amp;"␟"&amp;IFERROR(INDEX(PASTE_ALL,$DF444,16)&amp;"","")&amp;"␟"&amp;IFERROR(INDEX(PASTE_ALL,$DF444,17)&amp;"","")&amp;"␟"&amp;IFERROR(INDEX(PASTE_ALL,$DF444,18)&amp;"","")&amp;"␟"&amp;IFERROR(INDEX(PASTE_ALL,$DF444,19)&amp;"","")&amp;"␟"&amp;IFERROR(INDEX(PASTE_ALL,$DF444,20)&amp;"","")&amp;"␟"&amp;IFERROR(INDEX(PASTE_ALL,$DF444,21)&amp;"","")&amp;"␟"&amp;IFERROR(INDEX(PASTE_ALL,$DF444,22)&amp;"","")&amp;"␟"&amp;IFERROR(INDEX(PASTE_ALL,$DF444,23)&amp;"","")&amp;"␟"&amp;IFERROR(INDEX(PASTE_ALL,$DF444,24)&amp;"","")&amp;"␟"&amp;IFERROR(INDEX(PASTE_ALL,$DF444,25)&amp;"","")&amp;"␟"&amp;IFERROR(INDEX(PASTE_ALL,$DF444,26)&amp;"","")&amp;"␟"&amp;IFERROR(INDEX(PASTE_ALL,$DF444,27)&amp;"","")&amp;"␟"&amp;IFERROR(INDEX(PASTE_ALL,$DF444,28)&amp;"","")&amp;"␟"&amp;IFERROR(INDEX(PASTE_ALL,$DF444,29)&amp;"","")&amp;"␟"&amp;IFERROR(INDEX(PASTE_ALL,$DF444,30)&amp;"","")&amp;"␟"&amp;IFERROR(INDEX(PASTE_ALL,$DF444,31)&amp;"","")&amp;"␟"&amp;IFERROR(INDEX(PASTE_ALL,$DF444,32)&amp;"","")&amp;"␟"&amp;IFERROR(INDEX(PASTE_ALL,$DF444,33)&amp;"","")&amp;"␟"&amp;IFERROR(INDEX(PASTE_ALL,$DF444,34)&amp;"","")&amp;"␟"&amp;IFERROR(INDEX(PASTE_ALL,$DF444,35)&amp;"","")&amp;"␟"&amp;IFERROR(INDEX(PASTE_ALL,$DF444,36)&amp;"","")&amp;"␟"&amp;IFERROR(INDEX(PASTE_ALL,$DF444,37)&amp;"","")&amp;"␟"&amp;IFERROR(INDEX(PASTE_ALL,$DF444,38)&amp;"","")&amp;"␟"&amp;IFERROR(INDEX(PASTE_ALL,$DF444,39)&amp;"","")&amp;"␟"&amp;IFERROR(INDEX(PASTE_ALL,$DF444,40)&amp;"","")&amp;"␟"&amp;IFERROR(INDEX(PASTE_ALL,$DF444,41)&amp;"","")&amp;"␟"&amp;IFERROR(INDEX(PASTE_ALL,$DF444,42)&amp;"","")&amp;"␟"&amp;IFERROR(INDEX(PASTE_ALL,$DF444,43)&amp;"","")&amp;"␟"&amp;IFERROR(INDEX(PASTE_ALL,$DF444,44)&amp;"","")&amp;"␟"&amp;IFERROR(INDEX(PASTE_ALL,$DF444,45)&amp;"","")&amp;"␟"&amp;IFERROR(INDEX(PASTE_ALL,$DF444,46)&amp;"","")&amp;"␟"&amp;IFERROR(INDEX(PASTE_ALL,$DF444,47)&amp;"","")&amp;"␟"&amp;IFERROR(INDEX(PASTE_ALL,$DF444,48)&amp;"","")&amp;"␟"&amp;IFERROR(INDEX(PASTE_ALL,$DF444,49)&amp;"","")&amp;"␟"&amp;IFERROR(INDEX(PASTE_ALL,$DF444,50)&amp;"","")&amp;"␟"&amp;IFERROR(INDEX(PASTE_ALL,$DF444,51)&amp;"","")&amp;"␟"&amp;IFERROR(INDEX(PASTE_ALL,$DF444,52)&amp;"","")&amp;"␟"&amp;IFERROR(INDEX(PASTE_ALL,$DF444,53)&amp;"","")&amp;"␟"&amp;IFERROR(INDEX(PASTE_ALL,$DF444,54)&amp;"","")&amp;"␟"&amp;IFERROR(INDEX(PASTE_ALL,$DF444,55)&amp;"","")&amp;"␟"&amp;IFERROR(INDEX(PASTE_ALL,$DF444,56)&amp;"","")&amp;"␟"&amp;IFERROR(INDEX(PASTE_ALL,$DF444,57)&amp;"","")&amp;"␟"&amp;IFERROR(INDEX(PASTE_ALL,$DF444,58)&amp;"","")&amp;"␟"&amp;IFERROR(INDEX(PASTE_ALL,$DF444,59)&amp;"","")&amp;"␟"&amp;IFERROR(INDEX(PASTE_ALL,$DF444,60)&amp;"","")," "," "),CHAR(9)," "),CHAR(10)," "),CHAR(13)," "))," ␟","␟"),"␟ ","␟"),"#"&amp;$DE444),"")</f>
        <v/>
      </c>
      <c r="DJ444">
        <f>IF($DI444="",0,IF(SUMPRODUCT(--EXACT($DI$4:DI443,$DI444))&gt;0,1,0))</f>
        <v/>
      </c>
      <c r="DK444">
        <f>IF(AND($DI444&lt;&gt;"",$DJ444=0),1,0)</f>
        <v/>
      </c>
      <c r="DL444">
        <f>DL443+$DK444</f>
        <v/>
      </c>
      <c r="DM444">
        <f>IF(AND($DK444=1,$DL444&lt;=600),1,0)</f>
        <v/>
      </c>
      <c r="DN444">
        <f>IF($DM444=0,"",IF($L$6=0,"",IFERROR(IF(ISNUMBER(INDEX(PASTE_ALL,$DF444,$L$6)),INDEX(PASTE_ALL,$DF444,$L$6),TRIM(SUBSTITUTE(SUBSTITUTE(SUBSTITUTE(SUBSTITUTE(INDEX(PASTE_ALL,$DF444,$L$6)," "," "),CHAR(9)," "),CHAR(10)," "),CHAR(13)," "))),"")))</f>
        <v/>
      </c>
      <c r="DO444">
        <f>IF($DM444=0,"",IF($L$7=0,"",IFERROR(IF(ISNUMBER(INDEX(PASTE_ALL,$DF444,$L$7)),INDEX(PASTE_ALL,$DF444,$L$7),TRIM(SUBSTITUTE(SUBSTITUTE(SUBSTITUTE(SUBSTITUTE(INDEX(PASTE_ALL,$DF444,$L$7)," "," "),CHAR(9)," "),CHAR(10)," "),CHAR(13)," "))),"")))</f>
        <v/>
      </c>
      <c r="DP444">
        <f>IF($DM444=0,"",IF($L$8=0,"",IFERROR(IF(ISNUMBER(INDEX(PASTE_ALL,$DF444,$L$8)),INDEX(PASTE_ALL,$DF444,$L$8),TRIM(SUBSTITUTE(SUBSTITUTE(SUBSTITUTE(SUBSTITUTE(INDEX(PASTE_ALL,$DF444,$L$8)," "," "),CHAR(9)," "),CHAR(10)," "),CHAR(13)," "))),"")))</f>
        <v/>
      </c>
      <c r="DQ444">
        <f>IF($DM444=0,"",IF($L$9=0,"",IFERROR(IF(ISNUMBER(INDEX(PASTE_ALL,$DF444,$L$9)),INDEX(PASTE_ALL,$DF444,$L$9),TRIM(SUBSTITUTE(SUBSTITUTE(SUBSTITUTE(SUBSTITUTE(INDEX(PASTE_ALL,$DF444,$L$9)," "," "),CHAR(9)," "),CHAR(10)," "),CHAR(13)," "))),"")))</f>
        <v/>
      </c>
      <c r="DR444">
        <f>IF($DM444=0,"",IF($L$10=0,"",IFERROR(IF(ISNUMBER(INDEX(PASTE_ALL,$DF444,$L$10)),INDEX(PASTE_ALL,$DF444,$L$10),TRIM(SUBSTITUTE(SUBSTITUTE(SUBSTITUTE(SUBSTITUTE(INDEX(PASTE_ALL,$DF444,$L$10)," "," "),CHAR(9)," "),CHAR(10)," "),CHAR(13)," "))),"")))</f>
        <v/>
      </c>
      <c r="DS444">
        <f>IF($DM444=0,"",IF($L$11=0,"",IFERROR(IF(ISNUMBER(INDEX(PASTE_ALL,$DF444,$L$11)),INDEX(PASTE_ALL,$DF444,$L$11),TRIM(SUBSTITUTE(SUBSTITUTE(SUBSTITUTE(SUBSTITUTE(INDEX(PASTE_ALL,$DF444,$L$11)," "," "),CHAR(9)," "),CHAR(10)," "),CHAR(13)," "))),"")))</f>
        <v/>
      </c>
      <c r="DT444">
        <f>IF($DM444=0,"",IF($L$12=0,"",IFERROR(IF(ISNUMBER(INDEX(PASTE_ALL,$DF444,$L$12)),INDEX(PASTE_ALL,$DF444,$L$12),TRIM(SUBSTITUTE(SUBSTITUTE(SUBSTITUTE(SUBSTITUTE(INDEX(PASTE_ALL,$DF444,$L$12)," "," "),CHAR(9)," "),CHAR(10)," "),CHAR(13)," "))),"")))</f>
        <v/>
      </c>
      <c r="DU444">
        <f>IF($DM444=0,"",IF($L$13=0,"",IFERROR(IF(ISNUMBER(INDEX(PASTE_ALL,$DF444,$L$13)),INDEX(PASTE_ALL,$DF444,$L$13),TRIM(SUBSTITUTE(SUBSTITUTE(SUBSTITUTE(SUBSTITUTE(INDEX(PASTE_ALL,$DF444,$L$13)," "," "),CHAR(9)," "),CHAR(10)," "),CHAR(13)," "))),"")))</f>
        <v/>
      </c>
      <c r="DV444">
        <f>IF($DM444=0,"",IF($L$14=0,"",IFERROR(IF(ISNUMBER(INDEX(PASTE_ALL,$DF444,$L$14)),INDEX(PASTE_ALL,$DF444,$L$14),TRIM(SUBSTITUTE(SUBSTITUTE(SUBSTITUTE(SUBSTITUTE(INDEX(PASTE_ALL,$DF444,$L$14)," "," "),CHAR(9)," "),CHAR(10)," "),CHAR(13)," "))),"")))</f>
        <v/>
      </c>
      <c r="DW444">
        <f>IF($DM444=0,"",IF($L$15=0,"",IFERROR(IF(ISNUMBER(INDEX(PASTE_ALL,$DF444,$L$15)),INDEX(PASTE_ALL,$DF444,$L$15),IF(SUMPRODUCT(--ISNUMBER(FIND({"A","B","C","D","E","F","G","H","I","J","K","L","M","N","O","P","Q","R","S","T","U","V","W","X","Y","Z","0","1","2","3","4","5","6","7","8","9"},UPPER(TRIM(SUBSTITUTE(SUBSTITUTE(SUBSTITUTE(SUBSTITUTE(INDEX(PASTE_ALL,$DF444,$L$15)," "," "),CHAR(9)," "),CHAR(10)," "),CHAR(13)," "))))))&gt;0,TRIM(SUBSTITUTE(SUBSTITUTE(SUBSTITUTE(SUBSTITUTE(INDEX(PASTE_ALL,$DF444,$L$15)," "," "),CHAR(9)," "),CHAR(10)," "),CHAR(13)," ")),"")),"")))</f>
        <v/>
      </c>
      <c r="DX444">
        <f>IF($DM444=0,"",IF($L$16=0,"",IFERROR(IF(ISNUMBER(INDEX(PASTE_ALL,$DF444,$L$16)),INDEX(PASTE_ALL,$DF444,$L$16),SUBSTITUTE(SUBSTITUTE(TRIM(SUBSTITUTE(SUBSTITUTE(SUBSTITUTE(SUBSTITUTE(INDEX(PASTE_ALL,$DF444,$L$16)," "," "),CHAR(9)," "),CHAR(10)," "),CHAR(13)," ")),",",""),"%","")),"")))</f>
        <v/>
      </c>
      <c r="DY444">
        <f>IF($DM444=0,"",IFERROR(IF(ISNUMBER($DX444),$DX444,IF($DX444="","",IF(TRIM($DX444)="",0,IF(AND(AND(SUBSTITUTE(SUBSTITUTE(SUBSTITUTE(SUBSTITUTE(SUBSTITUTE(SUBSTITUTE(SUBSTITUTE(SUBSTITUTE(SUBSTITUTE(SUBSTITUTE(SUBSTITUTE(SUBSTITUTE(SUBSTITUTE(SUBSTITUTE(UPPER(TRIM($DX444)),"0",""),"1",""),"2",""),"3",""),"4",""),"5",""),"6",""),"7",""),"8",""),"9",""),".",""),"+",""),"-",""),"E","")="",LEN(SUBSTITUTE(SUBSTITUTE(MID(UPPER(TRIM($DX444)),1+OR(LEFT(UPPER(TRIM($DX444)),1)="+",LEFT(UPPER(TRIM($DX444)),1)="-"),999),"E+","E"),"E-","E"))=LEN(SUBSTITUTE(SUBSTITUTE(SUBSTITUTE(SUBSTITUTE(MID(UPPER(TRIM($DX444)),1+OR(LEFT(UPPER(TRIM($DX444)),1)="+",LEFT(UPPER(TRIM($DX444)),1)="-"),999),"E+","E"),"E-","E"),"+",""),"-","")),LEN(UPPER(TRIM($DX444)))-LEN(SUBSTITUTE(UPPER(TRIM($DX444)),"E",""))&lt;2,LEN(UPPER(TRIM($DX444)))-LEN(SUBSTITUTE(UPPER(TRIM($DX444)),".",""))&lt;2,IFERROR(FIND(".",UPPER(TRIM($DX444))),0)&lt;IFERROR(FIND("E",UPPER(TRIM($DX444))),999)),ISNUMBER(VALUE(TRIM($DX444)))),VALUE(TRIM($DX444)),"")))),""))</f>
        <v/>
      </c>
      <c r="DZ444">
        <f>IF($DM444=0,"",IF($L$17=0,"",IFERROR(IF(ISNUMBER(INDEX(PASTE_ALL,$DF444,$L$17)),INDEX(PASTE_ALL,$DF444,$L$17),SUBSTITUTE(SUBSTITUTE(TRIM(SUBSTITUTE(SUBSTITUTE(SUBSTITUTE(SUBSTITUTE(INDEX(PASTE_ALL,$DF444,$L$17)," "," "),CHAR(9)," "),CHAR(10)," "),CHAR(13)," ")),",",""),"%","")),"")))</f>
        <v/>
      </c>
      <c r="EA444">
        <f>IF($DM444=0,"",IFERROR(IF(ISNUMBER($DZ444),$DZ444,IF($DZ444="","",IF(TRIM($DZ444)="",0,IF(AND(AND(SUBSTITUTE(SUBSTITUTE(SUBSTITUTE(SUBSTITUTE(SUBSTITUTE(SUBSTITUTE(SUBSTITUTE(SUBSTITUTE(SUBSTITUTE(SUBSTITUTE(SUBSTITUTE(SUBSTITUTE(SUBSTITUTE(SUBSTITUTE(UPPER(TRIM($DZ444)),"0",""),"1",""),"2",""),"3",""),"4",""),"5",""),"6",""),"7",""),"8",""),"9",""),".",""),"+",""),"-",""),"E","")="",LEN(SUBSTITUTE(SUBSTITUTE(MID(UPPER(TRIM($DZ444)),1+OR(LEFT(UPPER(TRIM($DZ444)),1)="+",LEFT(UPPER(TRIM($DZ444)),1)="-"),999),"E+","E"),"E-","E"))=LEN(SUBSTITUTE(SUBSTITUTE(SUBSTITUTE(SUBSTITUTE(MID(UPPER(TRIM($DZ444)),1+OR(LEFT(UPPER(TRIM($DZ444)),1)="+",LEFT(UPPER(TRIM($DZ444)),1)="-"),999),"E+","E"),"E-","E"),"+",""),"-","")),LEN(UPPER(TRIM($DZ444)))-LEN(SUBSTITUTE(UPPER(TRIM($DZ444)),"E",""))&lt;2,LEN(UPPER(TRIM($DZ444)))-LEN(SUBSTITUTE(UPPER(TRIM($DZ444)),".",""))&lt;2,IFERROR(FIND(".",UPPER(TRIM($DZ444))),0)&lt;IFERROR(FIND("E",UPPER(TRIM($DZ444))),999)),ISNUMBER(VALUE(TRIM($DZ444)))),VALUE(TRIM($DZ444)),"")))),""))</f>
        <v/>
      </c>
      <c r="EB444">
        <f>IF($DM444=0,"",IF($L$18=0,"",IFERROR(IF(UPPER(TRIM(SUBSTITUTE(SUBSTITUTE(SUBSTITUTE(SUBSTITUTE(INDEX(PASTE_ALL,$DF444,$L$18)," "," "),CHAR(9)," "),CHAR(10)," "),CHAR(13)," ")))="READY","Ready",IF(UPPER(TRIM(SUBSTITUTE(SUBSTITUTE(SUBSTITUTE(SUBSTITUTE(INDEX(PASTE_ALL,$DF444,$L$18)," "," "),CHAR(9)," "),CHAR(10)," "),CHAR(13)," ")))="PM","PM",IF(OR(UPPER(TRIM(SUBSTITUTE(SUBSTITUTE(SUBSTITUTE(SUBSTITUTE(INDEX(PASTE_ALL,$DF444,$L$18)," "," "),CHAR(9)," "),CHAR(10)," "),CHAR(13)," ")))="OT",UPPER(TRIM(SUBSTITUTE(SUBSTITUTE(SUBSTITUTE(SUBSTITUTE(INDEX(PASTE_ALL,$DF444,$L$18)," "," "),CHAR(9)," "),CHAR(10)," "),CHAR(13)," ")))="OVERTIME",UPPER(TRIM(SUBSTITUTE(SUBSTITUTE(SUBSTITUTE(SUBSTITUTE(INDEX(PASTE_ALL,$DF444,$L$18)," "," "),CHAR(9)," "),CHAR(10)," "),CHAR(13)," ")))="TRIAL"),"OT",TRIM(SUBSTITUTE(SUBSTITUTE(SUBSTITUTE(SUBSTITUTE(INDEX(PASTE_ALL,$DF444,$L$18)," "," "),CHAR(9)," "),CHAR(10)," "),CHAR(13)," "))))),"")))</f>
        <v/>
      </c>
      <c r="EC444">
        <f>IF($DM444=0,"",IF($L$19=0,"",IFERROR(IF(ISNUMBER(INDEX(PASTE_ALL,$DF444,$L$19)),INDEX(PASTE_ALL,$DF444,$L$19),TRIM(SUBSTITUTE(SUBSTITUTE(SUBSTITUTE(SUBSTITUTE(INDEX(PASTE_ALL,$DF444,$L$19)," "," "),CHAR(9)," "),CHAR(10)," "),CHAR(13)," "))),"")))</f>
        <v/>
      </c>
      <c r="ED444">
        <f>IF($DM444=0,"",MATCH(1,INDEX(EXACT($DH$5:DH444,$DH444)*$DM$5:DM444,0),0))</f>
        <v/>
      </c>
      <c r="EE444">
        <f>IF($DM444=0,0,IF($ED444=$DE444,1,0))</f>
        <v/>
      </c>
      <c r="EF444">
        <f>EF443+$EE444</f>
        <v/>
      </c>
      <c r="EG444">
        <f>IF($DM444=0,"",INDEX($EF$5:$EF$1003,$ED444))</f>
        <v/>
      </c>
      <c r="EH444">
        <f>IF($DM444=0,"",IF($DO444&lt;&gt;"","",IFERROR(LOOKUP(2,1/(($EG$4:EG443=$EG444)*($DO$4:DO443&lt;&gt;"")),$DO$4:DO443),"")))</f>
        <v/>
      </c>
      <c r="EI444">
        <f>IF($DM444=0,"",IF($DO444&lt;&gt;"",$DO444,$EH444))</f>
        <v/>
      </c>
      <c r="EJ444">
        <f>IF($DM444=0,"",IF($EI444="",0,IF(OR(ISNUMBER($EI444),AND(AND(SUBSTITUTE(SUBSTITUTE(SUBSTITUTE(SUBSTITUTE(SUBSTITUTE(SUBSTITUTE(SUBSTITUTE(SUBSTITUTE(SUBSTITUTE(SUBSTITUTE(SUBSTITUTE(SUBSTITUTE(SUBSTITUTE(SUBSTITUTE(UPPER($EI444),"0",""),"1",""),"2",""),"3",""),"4",""),"5",""),"6",""),"7",""),"8",""),"9",""),".",""),"+",""),"-",""),"E","")="",LEN(SUBSTITUTE(SUBSTITUTE(MID(UPPER($EI444),1+OR(LEFT(UPPER($EI444),1)="+",LEFT(UPPER($EI444),1)="-"),999),"E+","E"),"E-","E"))=LEN(SUBSTITUTE(SUBSTITUTE(SUBSTITUTE(SUBSTITUTE(MID(UPPER($EI444),1+OR(LEFT(UPPER($EI444),1)="+",LEFT(UPPER($EI444),1)="-"),999),"E+","E"),"E-","E"),"+",""),"-","")),LEN(UPPER($EI444))-LEN(SUBSTITUTE(UPPER($EI444),"E",""))&lt;2,LEN(UPPER($EI444))-LEN(SUBSTITUTE(UPPER($EI444),".",""))&lt;2,IFERROR(FIND(".",UPPER($EI444)),0)&lt;IFERROR(FIND("E",UPPER($EI444)),999)),ISNUMBER(VALUE($EI444)))),1,2)))</f>
        <v/>
      </c>
      <c r="EK444">
        <f>IF($DM444=0,"",IF($EJ444=1,IF(ISNUMBER($EI444),$EI444,VALUE($EI444)),IF($EJ444=2,$DE444,0)))</f>
        <v/>
      </c>
      <c r="EL444">
        <f>IF($DM444=0,"",COUNTIF($EG$5:$EG$1003,"&lt;"&amp;$EG444)+SUMPRODUCT(($EG$5:$EG$1003=$EG444)*(($EJ$5:$EJ$1003&lt;$EJ444)+($EJ$5:$EJ$1003=$EJ444)*(($EK$5:$EK$1003&lt;$EK444)+($EK$5:$EK$1003=$EK444)*($DE$5:$DE$1003&lt;$DE444))))+1)</f>
        <v/>
      </c>
      <c r="EM444">
        <f>IF($DM444=0,"",$EL444+$EG444-1)</f>
        <v/>
      </c>
      <c r="EN444">
        <f>IF($DM444=0,0,IFERROR(MATCH(1,INDEX(--(TRIM(SUBSTITUTE(SUBSTITUTE(SUBSTITUTE(SUBSTITUTE(LINES_NAME&amp;""," "," "),CHAR(9)," "),CHAR(10)," "),CHAR(13)," "))=$DH444),0),0),0))</f>
        <v/>
      </c>
      <c r="EO444">
        <f>IF($EN444=0,0,IF(OR(UPPER(TRIM(INDEX(LINES_SCHEDULED,$EN444)&amp;""))="YES",UPPER(TRIM(INDEX(LINES_SCHEDULED,$EN444)&amp;""))="Y",UPPER(TRIM(INDEX(LINES_SCHEDULED,$EN444)&amp;""))="X"),1,0))</f>
        <v/>
      </c>
      <c r="EP444">
        <f>IF($DM444=0,"",IF(COUNTIFS($EG$5:$EG$1003,$EG444,$EB$5:$EB$1003,"Ready")&gt;0,"READY",IF(COUNTIFS($EG$5:$EG$1003,$EG444,$EB$5:$EB$1003,"PM")&gt;0,"PM",IF(COUNTIFS($EG$5:$EG$1003,$EG444,$EB$5:$EB$1003,"OT")&gt;0,"OT",""))))</f>
        <v/>
      </c>
      <c r="EQ444">
        <f>IF($EN444=0,"",UPPER(TRIM(INDEX(LINES_STATUS,$EN444)&amp;"")))</f>
        <v/>
      </c>
      <c r="ER444">
        <f>IF($DM444=0,"",IF(OR($EQ444="READY",$EQ444="PM",$EQ444="OT"),$EQ444,$EP444))</f>
        <v/>
      </c>
      <c r="ES444">
        <f>IF($DM444=0,"",IF(AND($DV444&lt;&gt;"",UPPER($DV444)&lt;&gt;"N"),"allergen",IF(ISNUMBER(SEARCH("oil",$DQ444)),"oil",IF(OR(EXACT($DS444,"A662"),EXACT($DS444,"A624")),"bulk",""))))</f>
        <v/>
      </c>
      <c r="ET444">
        <f>IF($DM444=0,"",IF(OR($EA444="",$EA444=0),"",$EA444/100))</f>
        <v/>
      </c>
      <c r="EU444">
        <f>IF(OR($ET444="",$DY444=""),"",INT($DY444*(1-$ET444)+0.5))</f>
        <v/>
      </c>
      <c r="EW444" t="n">
        <v>440</v>
      </c>
      <c r="EX444">
        <f>IFERROR(MATCH($EW444,$EM$5:$EM$1003,0),0)</f>
        <v/>
      </c>
      <c r="EY444">
        <f>IF($EW444&gt;$B$12,"",IF($EX444&gt;0,"row","spacer"))</f>
        <v/>
      </c>
      <c r="EZ444">
        <f>IF(AND($EY444="row",$EY443&lt;&gt;"row"),1,0)</f>
        <v/>
      </c>
      <c r="FA444">
        <f>IF(AND($EY444="row",$EY445&lt;&gt;"row"),1,0)</f>
        <v/>
      </c>
      <c r="FB444">
        <f>IF($EZ444=1,IFERROR(IF(ISNUMBER(INDEX(PASTE_ALL,INDEX($DF$5:$DF$1003,$EX444),$B$37)),INDEX(PASTE_ALL,INDEX($DF$5:$DF$1003,$EX444),$B$37),INDEX($DH$5:$DH$1003,$EX444)),INDEX($DH$5:$DH$1003,$EX444)),"")</f>
        <v/>
      </c>
      <c r="FC444">
        <f>IF($EY444="row",INDEX($ER$5:$ER$1003,$EX444),"")</f>
        <v/>
      </c>
      <c r="FD444">
        <f>IF($EY444="row",INDEX($DN$5:$DN$1003,$EX444),"")</f>
        <v/>
      </c>
      <c r="FE444">
        <f>IF($EY444="row",INDEX($DO$5:$DO$1003,$EX444),"")</f>
        <v/>
      </c>
      <c r="FF444">
        <f>IF($EY444="row",INDEX($DP$5:$DP$1003,$EX444),"")</f>
        <v/>
      </c>
      <c r="FG444">
        <f>IF($EY444="row",INDEX($DQ$5:$DQ$1003,$EX444),"")</f>
        <v/>
      </c>
      <c r="FH444">
        <f>IF($EY444="row",INDEX($DR$5:$DR$1003,$EX444),"")</f>
        <v/>
      </c>
      <c r="FI444">
        <f>IF($EY444="row",INDEX($DS$5:$DS$1003,$EX444),"")</f>
        <v/>
      </c>
      <c r="FJ444">
        <f>IF($EY444="row",INDEX($DT$5:$DT$1003,$EX444),"")</f>
        <v/>
      </c>
      <c r="FK444">
        <f>IF($EY444="row",INDEX($DU$5:$DU$1003,$EX444),"")</f>
        <v/>
      </c>
      <c r="FL444">
        <f>IF($EY444="row",INDEX($DV$5:$DV$1003,$EX444),"")</f>
        <v/>
      </c>
      <c r="FM444">
        <f>IF($EY444="row",INDEX($DW$5:$DW$1003,$EX444),"")</f>
        <v/>
      </c>
      <c r="FN444">
        <f>IF($EY444="row",INDEX($DY$5:$DY$1003,$EX444),"")</f>
        <v/>
      </c>
      <c r="FO444">
        <f>IF($EY444="row",INDEX($EA$5:$EA$1003,$EX444),"")</f>
        <v/>
      </c>
      <c r="FP444">
        <f>IF($EY444="row",INDEX($EC$5:$EC$1003,$EX444),"")</f>
        <v/>
      </c>
      <c r="FQ444">
        <f>IF($EY444="row",INDEX($ET$5:$ET$1003,$EX444),"")</f>
        <v/>
      </c>
      <c r="FR444">
        <f>IF($EY444="row",INDEX($EU$5:$EU$1003,$EX444),"")</f>
        <v/>
      </c>
      <c r="FS444">
        <f>IF(AND($EY444="row",$EY443="row"),IF(OR(INDEX($DT$5:$DT$1003,$EX443)="",INDEX($DT$5:$DT$1003,$EX444)=""),"",IF(NOT(EXACT(INDEX($DT$5:$DT$1003,$EX443),INDEX($DT$5:$DT$1003,$EX444))),"S4",IF(NOT(EXACT(INDEX($DS$5:$DS$1003,$EX443),INDEX($DS$5:$DS$1003,$EX444))),"S3",IF(NOT(EXACT(INDEX($DR$5:$DR$1003,$EX443),INDEX($DR$5:$DR$1003,$EX444))),"S1 Count Change","S1")))),"")</f>
        <v/>
      </c>
      <c r="FT444">
        <f>IF($EY444="row",INDEX($ES$5:$ES$1003,$EX444),"")</f>
        <v/>
      </c>
      <c r="FU444">
        <f>IF($EY444="row",INDEX($EO$5:$EO$1003,$EX444),0)</f>
        <v/>
      </c>
      <c r="FV444">
        <f>IF($FS444="S1 Count Change",1,0)</f>
        <v/>
      </c>
    </row>
    <row r="445">
      <c r="DA445" t="n">
        <v>441</v>
      </c>
      <c r="DB445">
        <f>IF($B$37=0,"",IFERROR(TRIM(SUBSTITUTE(SUBSTITUTE(SUBSTITUTE(SUBSTITUTE(INDEX(PASTE_ALL,441,$B$37)," "," "),CHAR(9)," "),CHAR(10)," "),CHAR(13)," ")),""))</f>
        <v/>
      </c>
      <c r="DC445">
        <f>IF(AND(441&gt;HEADER_ROW,UPPER(DB445)="LEGEND"),1,0)</f>
        <v/>
      </c>
      <c r="DE445" t="n">
        <v>441</v>
      </c>
      <c r="DF445">
        <f>HEADER_ROW+$DE445</f>
        <v/>
      </c>
      <c r="DG445">
        <f>IF(AND($DF445&lt;=1000,$DF445&lt;$B$8),1,0)</f>
        <v/>
      </c>
      <c r="DH445">
        <f>IF($DG445=1,IFERROR(INDEX($DB$5:$DB$1004,$DF445),""),"")</f>
        <v/>
      </c>
      <c r="DI445">
        <f>IF(AND($DG445=1,$DH445&lt;&gt;""),IFERROR(SUBSTITUTE(SUBSTITUTE(TRIM(SUBSTITUTE(SUBSTITUTE(SUBSTITUTE(SUBSTITUTE(IFERROR(INDEX(PASTE_ALL,$DF445,1)&amp;"","")&amp;"␟"&amp;IFERROR(INDEX(PASTE_ALL,$DF445,2)&amp;"","")&amp;"␟"&amp;IFERROR(INDEX(PASTE_ALL,$DF445,3)&amp;"","")&amp;"␟"&amp;IFERROR(INDEX(PASTE_ALL,$DF445,4)&amp;"","")&amp;"␟"&amp;IFERROR(INDEX(PASTE_ALL,$DF445,5)&amp;"","")&amp;"␟"&amp;IFERROR(INDEX(PASTE_ALL,$DF445,6)&amp;"","")&amp;"␟"&amp;IFERROR(INDEX(PASTE_ALL,$DF445,7)&amp;"","")&amp;"␟"&amp;IFERROR(INDEX(PASTE_ALL,$DF445,8)&amp;"","")&amp;"␟"&amp;IFERROR(INDEX(PASTE_ALL,$DF445,9)&amp;"","")&amp;"␟"&amp;IFERROR(INDEX(PASTE_ALL,$DF445,10)&amp;"","")&amp;"␟"&amp;IFERROR(INDEX(PASTE_ALL,$DF445,11)&amp;"","")&amp;"␟"&amp;IFERROR(INDEX(PASTE_ALL,$DF445,12)&amp;"","")&amp;"␟"&amp;IFERROR(INDEX(PASTE_ALL,$DF445,13)&amp;"","")&amp;"␟"&amp;IFERROR(INDEX(PASTE_ALL,$DF445,14)&amp;"","")&amp;"␟"&amp;IFERROR(INDEX(PASTE_ALL,$DF445,15)&amp;"","")&amp;"␟"&amp;IFERROR(INDEX(PASTE_ALL,$DF445,16)&amp;"","")&amp;"␟"&amp;IFERROR(INDEX(PASTE_ALL,$DF445,17)&amp;"","")&amp;"␟"&amp;IFERROR(INDEX(PASTE_ALL,$DF445,18)&amp;"","")&amp;"␟"&amp;IFERROR(INDEX(PASTE_ALL,$DF445,19)&amp;"","")&amp;"␟"&amp;IFERROR(INDEX(PASTE_ALL,$DF445,20)&amp;"","")&amp;"␟"&amp;IFERROR(INDEX(PASTE_ALL,$DF445,21)&amp;"","")&amp;"␟"&amp;IFERROR(INDEX(PASTE_ALL,$DF445,22)&amp;"","")&amp;"␟"&amp;IFERROR(INDEX(PASTE_ALL,$DF445,23)&amp;"","")&amp;"␟"&amp;IFERROR(INDEX(PASTE_ALL,$DF445,24)&amp;"","")&amp;"␟"&amp;IFERROR(INDEX(PASTE_ALL,$DF445,25)&amp;"","")&amp;"␟"&amp;IFERROR(INDEX(PASTE_ALL,$DF445,26)&amp;"","")&amp;"␟"&amp;IFERROR(INDEX(PASTE_ALL,$DF445,27)&amp;"","")&amp;"␟"&amp;IFERROR(INDEX(PASTE_ALL,$DF445,28)&amp;"","")&amp;"␟"&amp;IFERROR(INDEX(PASTE_ALL,$DF445,29)&amp;"","")&amp;"␟"&amp;IFERROR(INDEX(PASTE_ALL,$DF445,30)&amp;"","")&amp;"␟"&amp;IFERROR(INDEX(PASTE_ALL,$DF445,31)&amp;"","")&amp;"␟"&amp;IFERROR(INDEX(PASTE_ALL,$DF445,32)&amp;"","")&amp;"␟"&amp;IFERROR(INDEX(PASTE_ALL,$DF445,33)&amp;"","")&amp;"␟"&amp;IFERROR(INDEX(PASTE_ALL,$DF445,34)&amp;"","")&amp;"␟"&amp;IFERROR(INDEX(PASTE_ALL,$DF445,35)&amp;"","")&amp;"␟"&amp;IFERROR(INDEX(PASTE_ALL,$DF445,36)&amp;"","")&amp;"␟"&amp;IFERROR(INDEX(PASTE_ALL,$DF445,37)&amp;"","")&amp;"␟"&amp;IFERROR(INDEX(PASTE_ALL,$DF445,38)&amp;"","")&amp;"␟"&amp;IFERROR(INDEX(PASTE_ALL,$DF445,39)&amp;"","")&amp;"␟"&amp;IFERROR(INDEX(PASTE_ALL,$DF445,40)&amp;"","")&amp;"␟"&amp;IFERROR(INDEX(PASTE_ALL,$DF445,41)&amp;"","")&amp;"␟"&amp;IFERROR(INDEX(PASTE_ALL,$DF445,42)&amp;"","")&amp;"␟"&amp;IFERROR(INDEX(PASTE_ALL,$DF445,43)&amp;"","")&amp;"␟"&amp;IFERROR(INDEX(PASTE_ALL,$DF445,44)&amp;"","")&amp;"␟"&amp;IFERROR(INDEX(PASTE_ALL,$DF445,45)&amp;"","")&amp;"␟"&amp;IFERROR(INDEX(PASTE_ALL,$DF445,46)&amp;"","")&amp;"␟"&amp;IFERROR(INDEX(PASTE_ALL,$DF445,47)&amp;"","")&amp;"␟"&amp;IFERROR(INDEX(PASTE_ALL,$DF445,48)&amp;"","")&amp;"␟"&amp;IFERROR(INDEX(PASTE_ALL,$DF445,49)&amp;"","")&amp;"␟"&amp;IFERROR(INDEX(PASTE_ALL,$DF445,50)&amp;"","")&amp;"␟"&amp;IFERROR(INDEX(PASTE_ALL,$DF445,51)&amp;"","")&amp;"␟"&amp;IFERROR(INDEX(PASTE_ALL,$DF445,52)&amp;"","")&amp;"␟"&amp;IFERROR(INDEX(PASTE_ALL,$DF445,53)&amp;"","")&amp;"␟"&amp;IFERROR(INDEX(PASTE_ALL,$DF445,54)&amp;"","")&amp;"␟"&amp;IFERROR(INDEX(PASTE_ALL,$DF445,55)&amp;"","")&amp;"␟"&amp;IFERROR(INDEX(PASTE_ALL,$DF445,56)&amp;"","")&amp;"␟"&amp;IFERROR(INDEX(PASTE_ALL,$DF445,57)&amp;"","")&amp;"␟"&amp;IFERROR(INDEX(PASTE_ALL,$DF445,58)&amp;"","")&amp;"␟"&amp;IFERROR(INDEX(PASTE_ALL,$DF445,59)&amp;"","")&amp;"␟"&amp;IFERROR(INDEX(PASTE_ALL,$DF445,60)&amp;"","")," "," "),CHAR(9)," "),CHAR(10)," "),CHAR(13)," "))," ␟","␟"),"␟ ","␟"),"#"&amp;$DE445),"")</f>
        <v/>
      </c>
      <c r="DJ445">
        <f>IF($DI445="",0,IF(SUMPRODUCT(--EXACT($DI$4:DI444,$DI445))&gt;0,1,0))</f>
        <v/>
      </c>
      <c r="DK445">
        <f>IF(AND($DI445&lt;&gt;"",$DJ445=0),1,0)</f>
        <v/>
      </c>
      <c r="DL445">
        <f>DL444+$DK445</f>
        <v/>
      </c>
      <c r="DM445">
        <f>IF(AND($DK445=1,$DL445&lt;=600),1,0)</f>
        <v/>
      </c>
      <c r="DN445">
        <f>IF($DM445=0,"",IF($L$6=0,"",IFERROR(IF(ISNUMBER(INDEX(PASTE_ALL,$DF445,$L$6)),INDEX(PASTE_ALL,$DF445,$L$6),TRIM(SUBSTITUTE(SUBSTITUTE(SUBSTITUTE(SUBSTITUTE(INDEX(PASTE_ALL,$DF445,$L$6)," "," "),CHAR(9)," "),CHAR(10)," "),CHAR(13)," "))),"")))</f>
        <v/>
      </c>
      <c r="DO445">
        <f>IF($DM445=0,"",IF($L$7=0,"",IFERROR(IF(ISNUMBER(INDEX(PASTE_ALL,$DF445,$L$7)),INDEX(PASTE_ALL,$DF445,$L$7),TRIM(SUBSTITUTE(SUBSTITUTE(SUBSTITUTE(SUBSTITUTE(INDEX(PASTE_ALL,$DF445,$L$7)," "," "),CHAR(9)," "),CHAR(10)," "),CHAR(13)," "))),"")))</f>
        <v/>
      </c>
      <c r="DP445">
        <f>IF($DM445=0,"",IF($L$8=0,"",IFERROR(IF(ISNUMBER(INDEX(PASTE_ALL,$DF445,$L$8)),INDEX(PASTE_ALL,$DF445,$L$8),TRIM(SUBSTITUTE(SUBSTITUTE(SUBSTITUTE(SUBSTITUTE(INDEX(PASTE_ALL,$DF445,$L$8)," "," "),CHAR(9)," "),CHAR(10)," "),CHAR(13)," "))),"")))</f>
        <v/>
      </c>
      <c r="DQ445">
        <f>IF($DM445=0,"",IF($L$9=0,"",IFERROR(IF(ISNUMBER(INDEX(PASTE_ALL,$DF445,$L$9)),INDEX(PASTE_ALL,$DF445,$L$9),TRIM(SUBSTITUTE(SUBSTITUTE(SUBSTITUTE(SUBSTITUTE(INDEX(PASTE_ALL,$DF445,$L$9)," "," "),CHAR(9)," "),CHAR(10)," "),CHAR(13)," "))),"")))</f>
        <v/>
      </c>
      <c r="DR445">
        <f>IF($DM445=0,"",IF($L$10=0,"",IFERROR(IF(ISNUMBER(INDEX(PASTE_ALL,$DF445,$L$10)),INDEX(PASTE_ALL,$DF445,$L$10),TRIM(SUBSTITUTE(SUBSTITUTE(SUBSTITUTE(SUBSTITUTE(INDEX(PASTE_ALL,$DF445,$L$10)," "," "),CHAR(9)," "),CHAR(10)," "),CHAR(13)," "))),"")))</f>
        <v/>
      </c>
      <c r="DS445">
        <f>IF($DM445=0,"",IF($L$11=0,"",IFERROR(IF(ISNUMBER(INDEX(PASTE_ALL,$DF445,$L$11)),INDEX(PASTE_ALL,$DF445,$L$11),TRIM(SUBSTITUTE(SUBSTITUTE(SUBSTITUTE(SUBSTITUTE(INDEX(PASTE_ALL,$DF445,$L$11)," "," "),CHAR(9)," "),CHAR(10)," "),CHAR(13)," "))),"")))</f>
        <v/>
      </c>
      <c r="DT445">
        <f>IF($DM445=0,"",IF($L$12=0,"",IFERROR(IF(ISNUMBER(INDEX(PASTE_ALL,$DF445,$L$12)),INDEX(PASTE_ALL,$DF445,$L$12),TRIM(SUBSTITUTE(SUBSTITUTE(SUBSTITUTE(SUBSTITUTE(INDEX(PASTE_ALL,$DF445,$L$12)," "," "),CHAR(9)," "),CHAR(10)," "),CHAR(13)," "))),"")))</f>
        <v/>
      </c>
      <c r="DU445">
        <f>IF($DM445=0,"",IF($L$13=0,"",IFERROR(IF(ISNUMBER(INDEX(PASTE_ALL,$DF445,$L$13)),INDEX(PASTE_ALL,$DF445,$L$13),TRIM(SUBSTITUTE(SUBSTITUTE(SUBSTITUTE(SUBSTITUTE(INDEX(PASTE_ALL,$DF445,$L$13)," "," "),CHAR(9)," "),CHAR(10)," "),CHAR(13)," "))),"")))</f>
        <v/>
      </c>
      <c r="DV445">
        <f>IF($DM445=0,"",IF($L$14=0,"",IFERROR(IF(ISNUMBER(INDEX(PASTE_ALL,$DF445,$L$14)),INDEX(PASTE_ALL,$DF445,$L$14),TRIM(SUBSTITUTE(SUBSTITUTE(SUBSTITUTE(SUBSTITUTE(INDEX(PASTE_ALL,$DF445,$L$14)," "," "),CHAR(9)," "),CHAR(10)," "),CHAR(13)," "))),"")))</f>
        <v/>
      </c>
      <c r="DW445">
        <f>IF($DM445=0,"",IF($L$15=0,"",IFERROR(IF(ISNUMBER(INDEX(PASTE_ALL,$DF445,$L$15)),INDEX(PASTE_ALL,$DF445,$L$15),IF(SUMPRODUCT(--ISNUMBER(FIND({"A","B","C","D","E","F","G","H","I","J","K","L","M","N","O","P","Q","R","S","T","U","V","W","X","Y","Z","0","1","2","3","4","5","6","7","8","9"},UPPER(TRIM(SUBSTITUTE(SUBSTITUTE(SUBSTITUTE(SUBSTITUTE(INDEX(PASTE_ALL,$DF445,$L$15)," "," "),CHAR(9)," "),CHAR(10)," "),CHAR(13)," "))))))&gt;0,TRIM(SUBSTITUTE(SUBSTITUTE(SUBSTITUTE(SUBSTITUTE(INDEX(PASTE_ALL,$DF445,$L$15)," "," "),CHAR(9)," "),CHAR(10)," "),CHAR(13)," ")),"")),"")))</f>
        <v/>
      </c>
      <c r="DX445">
        <f>IF($DM445=0,"",IF($L$16=0,"",IFERROR(IF(ISNUMBER(INDEX(PASTE_ALL,$DF445,$L$16)),INDEX(PASTE_ALL,$DF445,$L$16),SUBSTITUTE(SUBSTITUTE(TRIM(SUBSTITUTE(SUBSTITUTE(SUBSTITUTE(SUBSTITUTE(INDEX(PASTE_ALL,$DF445,$L$16)," "," "),CHAR(9)," "),CHAR(10)," "),CHAR(13)," ")),",",""),"%","")),"")))</f>
        <v/>
      </c>
      <c r="DY445">
        <f>IF($DM445=0,"",IFERROR(IF(ISNUMBER($DX445),$DX445,IF($DX445="","",IF(TRIM($DX445)="",0,IF(AND(AND(SUBSTITUTE(SUBSTITUTE(SUBSTITUTE(SUBSTITUTE(SUBSTITUTE(SUBSTITUTE(SUBSTITUTE(SUBSTITUTE(SUBSTITUTE(SUBSTITUTE(SUBSTITUTE(SUBSTITUTE(SUBSTITUTE(SUBSTITUTE(UPPER(TRIM($DX445)),"0",""),"1",""),"2",""),"3",""),"4",""),"5",""),"6",""),"7",""),"8",""),"9",""),".",""),"+",""),"-",""),"E","")="",LEN(SUBSTITUTE(SUBSTITUTE(MID(UPPER(TRIM($DX445)),1+OR(LEFT(UPPER(TRIM($DX445)),1)="+",LEFT(UPPER(TRIM($DX445)),1)="-"),999),"E+","E"),"E-","E"))=LEN(SUBSTITUTE(SUBSTITUTE(SUBSTITUTE(SUBSTITUTE(MID(UPPER(TRIM($DX445)),1+OR(LEFT(UPPER(TRIM($DX445)),1)="+",LEFT(UPPER(TRIM($DX445)),1)="-"),999),"E+","E"),"E-","E"),"+",""),"-","")),LEN(UPPER(TRIM($DX445)))-LEN(SUBSTITUTE(UPPER(TRIM($DX445)),"E",""))&lt;2,LEN(UPPER(TRIM($DX445)))-LEN(SUBSTITUTE(UPPER(TRIM($DX445)),".",""))&lt;2,IFERROR(FIND(".",UPPER(TRIM($DX445))),0)&lt;IFERROR(FIND("E",UPPER(TRIM($DX445))),999)),ISNUMBER(VALUE(TRIM($DX445)))),VALUE(TRIM($DX445)),"")))),""))</f>
        <v/>
      </c>
      <c r="DZ445">
        <f>IF($DM445=0,"",IF($L$17=0,"",IFERROR(IF(ISNUMBER(INDEX(PASTE_ALL,$DF445,$L$17)),INDEX(PASTE_ALL,$DF445,$L$17),SUBSTITUTE(SUBSTITUTE(TRIM(SUBSTITUTE(SUBSTITUTE(SUBSTITUTE(SUBSTITUTE(INDEX(PASTE_ALL,$DF445,$L$17)," "," "),CHAR(9)," "),CHAR(10)," "),CHAR(13)," ")),",",""),"%","")),"")))</f>
        <v/>
      </c>
      <c r="EA445">
        <f>IF($DM445=0,"",IFERROR(IF(ISNUMBER($DZ445),$DZ445,IF($DZ445="","",IF(TRIM($DZ445)="",0,IF(AND(AND(SUBSTITUTE(SUBSTITUTE(SUBSTITUTE(SUBSTITUTE(SUBSTITUTE(SUBSTITUTE(SUBSTITUTE(SUBSTITUTE(SUBSTITUTE(SUBSTITUTE(SUBSTITUTE(SUBSTITUTE(SUBSTITUTE(SUBSTITUTE(UPPER(TRIM($DZ445)),"0",""),"1",""),"2",""),"3",""),"4",""),"5",""),"6",""),"7",""),"8",""),"9",""),".",""),"+",""),"-",""),"E","")="",LEN(SUBSTITUTE(SUBSTITUTE(MID(UPPER(TRIM($DZ445)),1+OR(LEFT(UPPER(TRIM($DZ445)),1)="+",LEFT(UPPER(TRIM($DZ445)),1)="-"),999),"E+","E"),"E-","E"))=LEN(SUBSTITUTE(SUBSTITUTE(SUBSTITUTE(SUBSTITUTE(MID(UPPER(TRIM($DZ445)),1+OR(LEFT(UPPER(TRIM($DZ445)),1)="+",LEFT(UPPER(TRIM($DZ445)),1)="-"),999),"E+","E"),"E-","E"),"+",""),"-","")),LEN(UPPER(TRIM($DZ445)))-LEN(SUBSTITUTE(UPPER(TRIM($DZ445)),"E",""))&lt;2,LEN(UPPER(TRIM($DZ445)))-LEN(SUBSTITUTE(UPPER(TRIM($DZ445)),".",""))&lt;2,IFERROR(FIND(".",UPPER(TRIM($DZ445))),0)&lt;IFERROR(FIND("E",UPPER(TRIM($DZ445))),999)),ISNUMBER(VALUE(TRIM($DZ445)))),VALUE(TRIM($DZ445)),"")))),""))</f>
        <v/>
      </c>
      <c r="EB445">
        <f>IF($DM445=0,"",IF($L$18=0,"",IFERROR(IF(UPPER(TRIM(SUBSTITUTE(SUBSTITUTE(SUBSTITUTE(SUBSTITUTE(INDEX(PASTE_ALL,$DF445,$L$18)," "," "),CHAR(9)," "),CHAR(10)," "),CHAR(13)," ")))="READY","Ready",IF(UPPER(TRIM(SUBSTITUTE(SUBSTITUTE(SUBSTITUTE(SUBSTITUTE(INDEX(PASTE_ALL,$DF445,$L$18)," "," "),CHAR(9)," "),CHAR(10)," "),CHAR(13)," ")))="PM","PM",IF(OR(UPPER(TRIM(SUBSTITUTE(SUBSTITUTE(SUBSTITUTE(SUBSTITUTE(INDEX(PASTE_ALL,$DF445,$L$18)," "," "),CHAR(9)," "),CHAR(10)," "),CHAR(13)," ")))="OT",UPPER(TRIM(SUBSTITUTE(SUBSTITUTE(SUBSTITUTE(SUBSTITUTE(INDEX(PASTE_ALL,$DF445,$L$18)," "," "),CHAR(9)," "),CHAR(10)," "),CHAR(13)," ")))="OVERTIME",UPPER(TRIM(SUBSTITUTE(SUBSTITUTE(SUBSTITUTE(SUBSTITUTE(INDEX(PASTE_ALL,$DF445,$L$18)," "," "),CHAR(9)," "),CHAR(10)," "),CHAR(13)," ")))="TRIAL"),"OT",TRIM(SUBSTITUTE(SUBSTITUTE(SUBSTITUTE(SUBSTITUTE(INDEX(PASTE_ALL,$DF445,$L$18)," "," "),CHAR(9)," "),CHAR(10)," "),CHAR(13)," "))))),"")))</f>
        <v/>
      </c>
      <c r="EC445">
        <f>IF($DM445=0,"",IF($L$19=0,"",IFERROR(IF(ISNUMBER(INDEX(PASTE_ALL,$DF445,$L$19)),INDEX(PASTE_ALL,$DF445,$L$19),TRIM(SUBSTITUTE(SUBSTITUTE(SUBSTITUTE(SUBSTITUTE(INDEX(PASTE_ALL,$DF445,$L$19)," "," "),CHAR(9)," "),CHAR(10)," "),CHAR(13)," "))),"")))</f>
        <v/>
      </c>
      <c r="ED445">
        <f>IF($DM445=0,"",MATCH(1,INDEX(EXACT($DH$5:DH445,$DH445)*$DM$5:DM445,0),0))</f>
        <v/>
      </c>
      <c r="EE445">
        <f>IF($DM445=0,0,IF($ED445=$DE445,1,0))</f>
        <v/>
      </c>
      <c r="EF445">
        <f>EF444+$EE445</f>
        <v/>
      </c>
      <c r="EG445">
        <f>IF($DM445=0,"",INDEX($EF$5:$EF$1003,$ED445))</f>
        <v/>
      </c>
      <c r="EH445">
        <f>IF($DM445=0,"",IF($DO445&lt;&gt;"","",IFERROR(LOOKUP(2,1/(($EG$4:EG444=$EG445)*($DO$4:DO444&lt;&gt;"")),$DO$4:DO444),"")))</f>
        <v/>
      </c>
      <c r="EI445">
        <f>IF($DM445=0,"",IF($DO445&lt;&gt;"",$DO445,$EH445))</f>
        <v/>
      </c>
      <c r="EJ445">
        <f>IF($DM445=0,"",IF($EI445="",0,IF(OR(ISNUMBER($EI445),AND(AND(SUBSTITUTE(SUBSTITUTE(SUBSTITUTE(SUBSTITUTE(SUBSTITUTE(SUBSTITUTE(SUBSTITUTE(SUBSTITUTE(SUBSTITUTE(SUBSTITUTE(SUBSTITUTE(SUBSTITUTE(SUBSTITUTE(SUBSTITUTE(UPPER($EI445),"0",""),"1",""),"2",""),"3",""),"4",""),"5",""),"6",""),"7",""),"8",""),"9",""),".",""),"+",""),"-",""),"E","")="",LEN(SUBSTITUTE(SUBSTITUTE(MID(UPPER($EI445),1+OR(LEFT(UPPER($EI445),1)="+",LEFT(UPPER($EI445),1)="-"),999),"E+","E"),"E-","E"))=LEN(SUBSTITUTE(SUBSTITUTE(SUBSTITUTE(SUBSTITUTE(MID(UPPER($EI445),1+OR(LEFT(UPPER($EI445),1)="+",LEFT(UPPER($EI445),1)="-"),999),"E+","E"),"E-","E"),"+",""),"-","")),LEN(UPPER($EI445))-LEN(SUBSTITUTE(UPPER($EI445),"E",""))&lt;2,LEN(UPPER($EI445))-LEN(SUBSTITUTE(UPPER($EI445),".",""))&lt;2,IFERROR(FIND(".",UPPER($EI445)),0)&lt;IFERROR(FIND("E",UPPER($EI445)),999)),ISNUMBER(VALUE($EI445)))),1,2)))</f>
        <v/>
      </c>
      <c r="EK445">
        <f>IF($DM445=0,"",IF($EJ445=1,IF(ISNUMBER($EI445),$EI445,VALUE($EI445)),IF($EJ445=2,$DE445,0)))</f>
        <v/>
      </c>
      <c r="EL445">
        <f>IF($DM445=0,"",COUNTIF($EG$5:$EG$1003,"&lt;"&amp;$EG445)+SUMPRODUCT(($EG$5:$EG$1003=$EG445)*(($EJ$5:$EJ$1003&lt;$EJ445)+($EJ$5:$EJ$1003=$EJ445)*(($EK$5:$EK$1003&lt;$EK445)+($EK$5:$EK$1003=$EK445)*($DE$5:$DE$1003&lt;$DE445))))+1)</f>
        <v/>
      </c>
      <c r="EM445">
        <f>IF($DM445=0,"",$EL445+$EG445-1)</f>
        <v/>
      </c>
      <c r="EN445">
        <f>IF($DM445=0,0,IFERROR(MATCH(1,INDEX(--(TRIM(SUBSTITUTE(SUBSTITUTE(SUBSTITUTE(SUBSTITUTE(LINES_NAME&amp;""," "," "),CHAR(9)," "),CHAR(10)," "),CHAR(13)," "))=$DH445),0),0),0))</f>
        <v/>
      </c>
      <c r="EO445">
        <f>IF($EN445=0,0,IF(OR(UPPER(TRIM(INDEX(LINES_SCHEDULED,$EN445)&amp;""))="YES",UPPER(TRIM(INDEX(LINES_SCHEDULED,$EN445)&amp;""))="Y",UPPER(TRIM(INDEX(LINES_SCHEDULED,$EN445)&amp;""))="X"),1,0))</f>
        <v/>
      </c>
      <c r="EP445">
        <f>IF($DM445=0,"",IF(COUNTIFS($EG$5:$EG$1003,$EG445,$EB$5:$EB$1003,"Ready")&gt;0,"READY",IF(COUNTIFS($EG$5:$EG$1003,$EG445,$EB$5:$EB$1003,"PM")&gt;0,"PM",IF(COUNTIFS($EG$5:$EG$1003,$EG445,$EB$5:$EB$1003,"OT")&gt;0,"OT",""))))</f>
        <v/>
      </c>
      <c r="EQ445">
        <f>IF($EN445=0,"",UPPER(TRIM(INDEX(LINES_STATUS,$EN445)&amp;"")))</f>
        <v/>
      </c>
      <c r="ER445">
        <f>IF($DM445=0,"",IF(OR($EQ445="READY",$EQ445="PM",$EQ445="OT"),$EQ445,$EP445))</f>
        <v/>
      </c>
      <c r="ES445">
        <f>IF($DM445=0,"",IF(AND($DV445&lt;&gt;"",UPPER($DV445)&lt;&gt;"N"),"allergen",IF(ISNUMBER(SEARCH("oil",$DQ445)),"oil",IF(OR(EXACT($DS445,"A662"),EXACT($DS445,"A624")),"bulk",""))))</f>
        <v/>
      </c>
      <c r="ET445">
        <f>IF($DM445=0,"",IF(OR($EA445="",$EA445=0),"",$EA445/100))</f>
        <v/>
      </c>
      <c r="EU445">
        <f>IF(OR($ET445="",$DY445=""),"",INT($DY445*(1-$ET445)+0.5))</f>
        <v/>
      </c>
      <c r="EW445" t="n">
        <v>441</v>
      </c>
      <c r="EX445">
        <f>IFERROR(MATCH($EW445,$EM$5:$EM$1003,0),0)</f>
        <v/>
      </c>
      <c r="EY445">
        <f>IF($EW445&gt;$B$12,"",IF($EX445&gt;0,"row","spacer"))</f>
        <v/>
      </c>
      <c r="EZ445">
        <f>IF(AND($EY445="row",$EY444&lt;&gt;"row"),1,0)</f>
        <v/>
      </c>
      <c r="FA445">
        <f>IF(AND($EY445="row",$EY446&lt;&gt;"row"),1,0)</f>
        <v/>
      </c>
      <c r="FB445">
        <f>IF($EZ445=1,IFERROR(IF(ISNUMBER(INDEX(PASTE_ALL,INDEX($DF$5:$DF$1003,$EX445),$B$37)),INDEX(PASTE_ALL,INDEX($DF$5:$DF$1003,$EX445),$B$37),INDEX($DH$5:$DH$1003,$EX445)),INDEX($DH$5:$DH$1003,$EX445)),"")</f>
        <v/>
      </c>
      <c r="FC445">
        <f>IF($EY445="row",INDEX($ER$5:$ER$1003,$EX445),"")</f>
        <v/>
      </c>
      <c r="FD445">
        <f>IF($EY445="row",INDEX($DN$5:$DN$1003,$EX445),"")</f>
        <v/>
      </c>
      <c r="FE445">
        <f>IF($EY445="row",INDEX($DO$5:$DO$1003,$EX445),"")</f>
        <v/>
      </c>
      <c r="FF445">
        <f>IF($EY445="row",INDEX($DP$5:$DP$1003,$EX445),"")</f>
        <v/>
      </c>
      <c r="FG445">
        <f>IF($EY445="row",INDEX($DQ$5:$DQ$1003,$EX445),"")</f>
        <v/>
      </c>
      <c r="FH445">
        <f>IF($EY445="row",INDEX($DR$5:$DR$1003,$EX445),"")</f>
        <v/>
      </c>
      <c r="FI445">
        <f>IF($EY445="row",INDEX($DS$5:$DS$1003,$EX445),"")</f>
        <v/>
      </c>
      <c r="FJ445">
        <f>IF($EY445="row",INDEX($DT$5:$DT$1003,$EX445),"")</f>
        <v/>
      </c>
      <c r="FK445">
        <f>IF($EY445="row",INDEX($DU$5:$DU$1003,$EX445),"")</f>
        <v/>
      </c>
      <c r="FL445">
        <f>IF($EY445="row",INDEX($DV$5:$DV$1003,$EX445),"")</f>
        <v/>
      </c>
      <c r="FM445">
        <f>IF($EY445="row",INDEX($DW$5:$DW$1003,$EX445),"")</f>
        <v/>
      </c>
      <c r="FN445">
        <f>IF($EY445="row",INDEX($DY$5:$DY$1003,$EX445),"")</f>
        <v/>
      </c>
      <c r="FO445">
        <f>IF($EY445="row",INDEX($EA$5:$EA$1003,$EX445),"")</f>
        <v/>
      </c>
      <c r="FP445">
        <f>IF($EY445="row",INDEX($EC$5:$EC$1003,$EX445),"")</f>
        <v/>
      </c>
      <c r="FQ445">
        <f>IF($EY445="row",INDEX($ET$5:$ET$1003,$EX445),"")</f>
        <v/>
      </c>
      <c r="FR445">
        <f>IF($EY445="row",INDEX($EU$5:$EU$1003,$EX445),"")</f>
        <v/>
      </c>
      <c r="FS445">
        <f>IF(AND($EY445="row",$EY444="row"),IF(OR(INDEX($DT$5:$DT$1003,$EX444)="",INDEX($DT$5:$DT$1003,$EX445)=""),"",IF(NOT(EXACT(INDEX($DT$5:$DT$1003,$EX444),INDEX($DT$5:$DT$1003,$EX445))),"S4",IF(NOT(EXACT(INDEX($DS$5:$DS$1003,$EX444),INDEX($DS$5:$DS$1003,$EX445))),"S3",IF(NOT(EXACT(INDEX($DR$5:$DR$1003,$EX444),INDEX($DR$5:$DR$1003,$EX445))),"S1 Count Change","S1")))),"")</f>
        <v/>
      </c>
      <c r="FT445">
        <f>IF($EY445="row",INDEX($ES$5:$ES$1003,$EX445),"")</f>
        <v/>
      </c>
      <c r="FU445">
        <f>IF($EY445="row",INDEX($EO$5:$EO$1003,$EX445),0)</f>
        <v/>
      </c>
      <c r="FV445">
        <f>IF($FS445="S1 Count Change",1,0)</f>
        <v/>
      </c>
    </row>
    <row r="446">
      <c r="DA446" t="n">
        <v>442</v>
      </c>
      <c r="DB446">
        <f>IF($B$37=0,"",IFERROR(TRIM(SUBSTITUTE(SUBSTITUTE(SUBSTITUTE(SUBSTITUTE(INDEX(PASTE_ALL,442,$B$37)," "," "),CHAR(9)," "),CHAR(10)," "),CHAR(13)," ")),""))</f>
        <v/>
      </c>
      <c r="DC446">
        <f>IF(AND(442&gt;HEADER_ROW,UPPER(DB446)="LEGEND"),1,0)</f>
        <v/>
      </c>
      <c r="DE446" t="n">
        <v>442</v>
      </c>
      <c r="DF446">
        <f>HEADER_ROW+$DE446</f>
        <v/>
      </c>
      <c r="DG446">
        <f>IF(AND($DF446&lt;=1000,$DF446&lt;$B$8),1,0)</f>
        <v/>
      </c>
      <c r="DH446">
        <f>IF($DG446=1,IFERROR(INDEX($DB$5:$DB$1004,$DF446),""),"")</f>
        <v/>
      </c>
      <c r="DI446">
        <f>IF(AND($DG446=1,$DH446&lt;&gt;""),IFERROR(SUBSTITUTE(SUBSTITUTE(TRIM(SUBSTITUTE(SUBSTITUTE(SUBSTITUTE(SUBSTITUTE(IFERROR(INDEX(PASTE_ALL,$DF446,1)&amp;"","")&amp;"␟"&amp;IFERROR(INDEX(PASTE_ALL,$DF446,2)&amp;"","")&amp;"␟"&amp;IFERROR(INDEX(PASTE_ALL,$DF446,3)&amp;"","")&amp;"␟"&amp;IFERROR(INDEX(PASTE_ALL,$DF446,4)&amp;"","")&amp;"␟"&amp;IFERROR(INDEX(PASTE_ALL,$DF446,5)&amp;"","")&amp;"␟"&amp;IFERROR(INDEX(PASTE_ALL,$DF446,6)&amp;"","")&amp;"␟"&amp;IFERROR(INDEX(PASTE_ALL,$DF446,7)&amp;"","")&amp;"␟"&amp;IFERROR(INDEX(PASTE_ALL,$DF446,8)&amp;"","")&amp;"␟"&amp;IFERROR(INDEX(PASTE_ALL,$DF446,9)&amp;"","")&amp;"␟"&amp;IFERROR(INDEX(PASTE_ALL,$DF446,10)&amp;"","")&amp;"␟"&amp;IFERROR(INDEX(PASTE_ALL,$DF446,11)&amp;"","")&amp;"␟"&amp;IFERROR(INDEX(PASTE_ALL,$DF446,12)&amp;"","")&amp;"␟"&amp;IFERROR(INDEX(PASTE_ALL,$DF446,13)&amp;"","")&amp;"␟"&amp;IFERROR(INDEX(PASTE_ALL,$DF446,14)&amp;"","")&amp;"␟"&amp;IFERROR(INDEX(PASTE_ALL,$DF446,15)&amp;"","")&amp;"␟"&amp;IFERROR(INDEX(PASTE_ALL,$DF446,16)&amp;"","")&amp;"␟"&amp;IFERROR(INDEX(PASTE_ALL,$DF446,17)&amp;"","")&amp;"␟"&amp;IFERROR(INDEX(PASTE_ALL,$DF446,18)&amp;"","")&amp;"␟"&amp;IFERROR(INDEX(PASTE_ALL,$DF446,19)&amp;"","")&amp;"␟"&amp;IFERROR(INDEX(PASTE_ALL,$DF446,20)&amp;"","")&amp;"␟"&amp;IFERROR(INDEX(PASTE_ALL,$DF446,21)&amp;"","")&amp;"␟"&amp;IFERROR(INDEX(PASTE_ALL,$DF446,22)&amp;"","")&amp;"␟"&amp;IFERROR(INDEX(PASTE_ALL,$DF446,23)&amp;"","")&amp;"␟"&amp;IFERROR(INDEX(PASTE_ALL,$DF446,24)&amp;"","")&amp;"␟"&amp;IFERROR(INDEX(PASTE_ALL,$DF446,25)&amp;"","")&amp;"␟"&amp;IFERROR(INDEX(PASTE_ALL,$DF446,26)&amp;"","")&amp;"␟"&amp;IFERROR(INDEX(PASTE_ALL,$DF446,27)&amp;"","")&amp;"␟"&amp;IFERROR(INDEX(PASTE_ALL,$DF446,28)&amp;"","")&amp;"␟"&amp;IFERROR(INDEX(PASTE_ALL,$DF446,29)&amp;"","")&amp;"␟"&amp;IFERROR(INDEX(PASTE_ALL,$DF446,30)&amp;"","")&amp;"␟"&amp;IFERROR(INDEX(PASTE_ALL,$DF446,31)&amp;"","")&amp;"␟"&amp;IFERROR(INDEX(PASTE_ALL,$DF446,32)&amp;"","")&amp;"␟"&amp;IFERROR(INDEX(PASTE_ALL,$DF446,33)&amp;"","")&amp;"␟"&amp;IFERROR(INDEX(PASTE_ALL,$DF446,34)&amp;"","")&amp;"␟"&amp;IFERROR(INDEX(PASTE_ALL,$DF446,35)&amp;"","")&amp;"␟"&amp;IFERROR(INDEX(PASTE_ALL,$DF446,36)&amp;"","")&amp;"␟"&amp;IFERROR(INDEX(PASTE_ALL,$DF446,37)&amp;"","")&amp;"␟"&amp;IFERROR(INDEX(PASTE_ALL,$DF446,38)&amp;"","")&amp;"␟"&amp;IFERROR(INDEX(PASTE_ALL,$DF446,39)&amp;"","")&amp;"␟"&amp;IFERROR(INDEX(PASTE_ALL,$DF446,40)&amp;"","")&amp;"␟"&amp;IFERROR(INDEX(PASTE_ALL,$DF446,41)&amp;"","")&amp;"␟"&amp;IFERROR(INDEX(PASTE_ALL,$DF446,42)&amp;"","")&amp;"␟"&amp;IFERROR(INDEX(PASTE_ALL,$DF446,43)&amp;"","")&amp;"␟"&amp;IFERROR(INDEX(PASTE_ALL,$DF446,44)&amp;"","")&amp;"␟"&amp;IFERROR(INDEX(PASTE_ALL,$DF446,45)&amp;"","")&amp;"␟"&amp;IFERROR(INDEX(PASTE_ALL,$DF446,46)&amp;"","")&amp;"␟"&amp;IFERROR(INDEX(PASTE_ALL,$DF446,47)&amp;"","")&amp;"␟"&amp;IFERROR(INDEX(PASTE_ALL,$DF446,48)&amp;"","")&amp;"␟"&amp;IFERROR(INDEX(PASTE_ALL,$DF446,49)&amp;"","")&amp;"␟"&amp;IFERROR(INDEX(PASTE_ALL,$DF446,50)&amp;"","")&amp;"␟"&amp;IFERROR(INDEX(PASTE_ALL,$DF446,51)&amp;"","")&amp;"␟"&amp;IFERROR(INDEX(PASTE_ALL,$DF446,52)&amp;"","")&amp;"␟"&amp;IFERROR(INDEX(PASTE_ALL,$DF446,53)&amp;"","")&amp;"␟"&amp;IFERROR(INDEX(PASTE_ALL,$DF446,54)&amp;"","")&amp;"␟"&amp;IFERROR(INDEX(PASTE_ALL,$DF446,55)&amp;"","")&amp;"␟"&amp;IFERROR(INDEX(PASTE_ALL,$DF446,56)&amp;"","")&amp;"␟"&amp;IFERROR(INDEX(PASTE_ALL,$DF446,57)&amp;"","")&amp;"␟"&amp;IFERROR(INDEX(PASTE_ALL,$DF446,58)&amp;"","")&amp;"␟"&amp;IFERROR(INDEX(PASTE_ALL,$DF446,59)&amp;"","")&amp;"␟"&amp;IFERROR(INDEX(PASTE_ALL,$DF446,60)&amp;"","")," "," "),CHAR(9)," "),CHAR(10)," "),CHAR(13)," "))," ␟","␟"),"␟ ","␟"),"#"&amp;$DE446),"")</f>
        <v/>
      </c>
      <c r="DJ446">
        <f>IF($DI446="",0,IF(SUMPRODUCT(--EXACT($DI$4:DI445,$DI446))&gt;0,1,0))</f>
        <v/>
      </c>
      <c r="DK446">
        <f>IF(AND($DI446&lt;&gt;"",$DJ446=0),1,0)</f>
        <v/>
      </c>
      <c r="DL446">
        <f>DL445+$DK446</f>
        <v/>
      </c>
      <c r="DM446">
        <f>IF(AND($DK446=1,$DL446&lt;=600),1,0)</f>
        <v/>
      </c>
      <c r="DN446">
        <f>IF($DM446=0,"",IF($L$6=0,"",IFERROR(IF(ISNUMBER(INDEX(PASTE_ALL,$DF446,$L$6)),INDEX(PASTE_ALL,$DF446,$L$6),TRIM(SUBSTITUTE(SUBSTITUTE(SUBSTITUTE(SUBSTITUTE(INDEX(PASTE_ALL,$DF446,$L$6)," "," "),CHAR(9)," "),CHAR(10)," "),CHAR(13)," "))),"")))</f>
        <v/>
      </c>
      <c r="DO446">
        <f>IF($DM446=0,"",IF($L$7=0,"",IFERROR(IF(ISNUMBER(INDEX(PASTE_ALL,$DF446,$L$7)),INDEX(PASTE_ALL,$DF446,$L$7),TRIM(SUBSTITUTE(SUBSTITUTE(SUBSTITUTE(SUBSTITUTE(INDEX(PASTE_ALL,$DF446,$L$7)," "," "),CHAR(9)," "),CHAR(10)," "),CHAR(13)," "))),"")))</f>
        <v/>
      </c>
      <c r="DP446">
        <f>IF($DM446=0,"",IF($L$8=0,"",IFERROR(IF(ISNUMBER(INDEX(PASTE_ALL,$DF446,$L$8)),INDEX(PASTE_ALL,$DF446,$L$8),TRIM(SUBSTITUTE(SUBSTITUTE(SUBSTITUTE(SUBSTITUTE(INDEX(PASTE_ALL,$DF446,$L$8)," "," "),CHAR(9)," "),CHAR(10)," "),CHAR(13)," "))),"")))</f>
        <v/>
      </c>
      <c r="DQ446">
        <f>IF($DM446=0,"",IF($L$9=0,"",IFERROR(IF(ISNUMBER(INDEX(PASTE_ALL,$DF446,$L$9)),INDEX(PASTE_ALL,$DF446,$L$9),TRIM(SUBSTITUTE(SUBSTITUTE(SUBSTITUTE(SUBSTITUTE(INDEX(PASTE_ALL,$DF446,$L$9)," "," "),CHAR(9)," "),CHAR(10)," "),CHAR(13)," "))),"")))</f>
        <v/>
      </c>
      <c r="DR446">
        <f>IF($DM446=0,"",IF($L$10=0,"",IFERROR(IF(ISNUMBER(INDEX(PASTE_ALL,$DF446,$L$10)),INDEX(PASTE_ALL,$DF446,$L$10),TRIM(SUBSTITUTE(SUBSTITUTE(SUBSTITUTE(SUBSTITUTE(INDEX(PASTE_ALL,$DF446,$L$10)," "," "),CHAR(9)," "),CHAR(10)," "),CHAR(13)," "))),"")))</f>
        <v/>
      </c>
      <c r="DS446">
        <f>IF($DM446=0,"",IF($L$11=0,"",IFERROR(IF(ISNUMBER(INDEX(PASTE_ALL,$DF446,$L$11)),INDEX(PASTE_ALL,$DF446,$L$11),TRIM(SUBSTITUTE(SUBSTITUTE(SUBSTITUTE(SUBSTITUTE(INDEX(PASTE_ALL,$DF446,$L$11)," "," "),CHAR(9)," "),CHAR(10)," "),CHAR(13)," "))),"")))</f>
        <v/>
      </c>
      <c r="DT446">
        <f>IF($DM446=0,"",IF($L$12=0,"",IFERROR(IF(ISNUMBER(INDEX(PASTE_ALL,$DF446,$L$12)),INDEX(PASTE_ALL,$DF446,$L$12),TRIM(SUBSTITUTE(SUBSTITUTE(SUBSTITUTE(SUBSTITUTE(INDEX(PASTE_ALL,$DF446,$L$12)," "," "),CHAR(9)," "),CHAR(10)," "),CHAR(13)," "))),"")))</f>
        <v/>
      </c>
      <c r="DU446">
        <f>IF($DM446=0,"",IF($L$13=0,"",IFERROR(IF(ISNUMBER(INDEX(PASTE_ALL,$DF446,$L$13)),INDEX(PASTE_ALL,$DF446,$L$13),TRIM(SUBSTITUTE(SUBSTITUTE(SUBSTITUTE(SUBSTITUTE(INDEX(PASTE_ALL,$DF446,$L$13)," "," "),CHAR(9)," "),CHAR(10)," "),CHAR(13)," "))),"")))</f>
        <v/>
      </c>
      <c r="DV446">
        <f>IF($DM446=0,"",IF($L$14=0,"",IFERROR(IF(ISNUMBER(INDEX(PASTE_ALL,$DF446,$L$14)),INDEX(PASTE_ALL,$DF446,$L$14),TRIM(SUBSTITUTE(SUBSTITUTE(SUBSTITUTE(SUBSTITUTE(INDEX(PASTE_ALL,$DF446,$L$14)," "," "),CHAR(9)," "),CHAR(10)," "),CHAR(13)," "))),"")))</f>
        <v/>
      </c>
      <c r="DW446">
        <f>IF($DM446=0,"",IF($L$15=0,"",IFERROR(IF(ISNUMBER(INDEX(PASTE_ALL,$DF446,$L$15)),INDEX(PASTE_ALL,$DF446,$L$15),IF(SUMPRODUCT(--ISNUMBER(FIND({"A","B","C","D","E","F","G","H","I","J","K","L","M","N","O","P","Q","R","S","T","U","V","W","X","Y","Z","0","1","2","3","4","5","6","7","8","9"},UPPER(TRIM(SUBSTITUTE(SUBSTITUTE(SUBSTITUTE(SUBSTITUTE(INDEX(PASTE_ALL,$DF446,$L$15)," "," "),CHAR(9)," "),CHAR(10)," "),CHAR(13)," "))))))&gt;0,TRIM(SUBSTITUTE(SUBSTITUTE(SUBSTITUTE(SUBSTITUTE(INDEX(PASTE_ALL,$DF446,$L$15)," "," "),CHAR(9)," "),CHAR(10)," "),CHAR(13)," ")),"")),"")))</f>
        <v/>
      </c>
      <c r="DX446">
        <f>IF($DM446=0,"",IF($L$16=0,"",IFERROR(IF(ISNUMBER(INDEX(PASTE_ALL,$DF446,$L$16)),INDEX(PASTE_ALL,$DF446,$L$16),SUBSTITUTE(SUBSTITUTE(TRIM(SUBSTITUTE(SUBSTITUTE(SUBSTITUTE(SUBSTITUTE(INDEX(PASTE_ALL,$DF446,$L$16)," "," "),CHAR(9)," "),CHAR(10)," "),CHAR(13)," ")),",",""),"%","")),"")))</f>
        <v/>
      </c>
      <c r="DY446">
        <f>IF($DM446=0,"",IFERROR(IF(ISNUMBER($DX446),$DX446,IF($DX446="","",IF(TRIM($DX446)="",0,IF(AND(AND(SUBSTITUTE(SUBSTITUTE(SUBSTITUTE(SUBSTITUTE(SUBSTITUTE(SUBSTITUTE(SUBSTITUTE(SUBSTITUTE(SUBSTITUTE(SUBSTITUTE(SUBSTITUTE(SUBSTITUTE(SUBSTITUTE(SUBSTITUTE(UPPER(TRIM($DX446)),"0",""),"1",""),"2",""),"3",""),"4",""),"5",""),"6",""),"7",""),"8",""),"9",""),".",""),"+",""),"-",""),"E","")="",LEN(SUBSTITUTE(SUBSTITUTE(MID(UPPER(TRIM($DX446)),1+OR(LEFT(UPPER(TRIM($DX446)),1)="+",LEFT(UPPER(TRIM($DX446)),1)="-"),999),"E+","E"),"E-","E"))=LEN(SUBSTITUTE(SUBSTITUTE(SUBSTITUTE(SUBSTITUTE(MID(UPPER(TRIM($DX446)),1+OR(LEFT(UPPER(TRIM($DX446)),1)="+",LEFT(UPPER(TRIM($DX446)),1)="-"),999),"E+","E"),"E-","E"),"+",""),"-","")),LEN(UPPER(TRIM($DX446)))-LEN(SUBSTITUTE(UPPER(TRIM($DX446)),"E",""))&lt;2,LEN(UPPER(TRIM($DX446)))-LEN(SUBSTITUTE(UPPER(TRIM($DX446)),".",""))&lt;2,IFERROR(FIND(".",UPPER(TRIM($DX446))),0)&lt;IFERROR(FIND("E",UPPER(TRIM($DX446))),999)),ISNUMBER(VALUE(TRIM($DX446)))),VALUE(TRIM($DX446)),"")))),""))</f>
        <v/>
      </c>
      <c r="DZ446">
        <f>IF($DM446=0,"",IF($L$17=0,"",IFERROR(IF(ISNUMBER(INDEX(PASTE_ALL,$DF446,$L$17)),INDEX(PASTE_ALL,$DF446,$L$17),SUBSTITUTE(SUBSTITUTE(TRIM(SUBSTITUTE(SUBSTITUTE(SUBSTITUTE(SUBSTITUTE(INDEX(PASTE_ALL,$DF446,$L$17)," "," "),CHAR(9)," "),CHAR(10)," "),CHAR(13)," ")),",",""),"%","")),"")))</f>
        <v/>
      </c>
      <c r="EA446">
        <f>IF($DM446=0,"",IFERROR(IF(ISNUMBER($DZ446),$DZ446,IF($DZ446="","",IF(TRIM($DZ446)="",0,IF(AND(AND(SUBSTITUTE(SUBSTITUTE(SUBSTITUTE(SUBSTITUTE(SUBSTITUTE(SUBSTITUTE(SUBSTITUTE(SUBSTITUTE(SUBSTITUTE(SUBSTITUTE(SUBSTITUTE(SUBSTITUTE(SUBSTITUTE(SUBSTITUTE(UPPER(TRIM($DZ446)),"0",""),"1",""),"2",""),"3",""),"4",""),"5",""),"6",""),"7",""),"8",""),"9",""),".",""),"+",""),"-",""),"E","")="",LEN(SUBSTITUTE(SUBSTITUTE(MID(UPPER(TRIM($DZ446)),1+OR(LEFT(UPPER(TRIM($DZ446)),1)="+",LEFT(UPPER(TRIM($DZ446)),1)="-"),999),"E+","E"),"E-","E"))=LEN(SUBSTITUTE(SUBSTITUTE(SUBSTITUTE(SUBSTITUTE(MID(UPPER(TRIM($DZ446)),1+OR(LEFT(UPPER(TRIM($DZ446)),1)="+",LEFT(UPPER(TRIM($DZ446)),1)="-"),999),"E+","E"),"E-","E"),"+",""),"-","")),LEN(UPPER(TRIM($DZ446)))-LEN(SUBSTITUTE(UPPER(TRIM($DZ446)),"E",""))&lt;2,LEN(UPPER(TRIM($DZ446)))-LEN(SUBSTITUTE(UPPER(TRIM($DZ446)),".",""))&lt;2,IFERROR(FIND(".",UPPER(TRIM($DZ446))),0)&lt;IFERROR(FIND("E",UPPER(TRIM($DZ446))),999)),ISNUMBER(VALUE(TRIM($DZ446)))),VALUE(TRIM($DZ446)),"")))),""))</f>
        <v/>
      </c>
      <c r="EB446">
        <f>IF($DM446=0,"",IF($L$18=0,"",IFERROR(IF(UPPER(TRIM(SUBSTITUTE(SUBSTITUTE(SUBSTITUTE(SUBSTITUTE(INDEX(PASTE_ALL,$DF446,$L$18)," "," "),CHAR(9)," "),CHAR(10)," "),CHAR(13)," ")))="READY","Ready",IF(UPPER(TRIM(SUBSTITUTE(SUBSTITUTE(SUBSTITUTE(SUBSTITUTE(INDEX(PASTE_ALL,$DF446,$L$18)," "," "),CHAR(9)," "),CHAR(10)," "),CHAR(13)," ")))="PM","PM",IF(OR(UPPER(TRIM(SUBSTITUTE(SUBSTITUTE(SUBSTITUTE(SUBSTITUTE(INDEX(PASTE_ALL,$DF446,$L$18)," "," "),CHAR(9)," "),CHAR(10)," "),CHAR(13)," ")))="OT",UPPER(TRIM(SUBSTITUTE(SUBSTITUTE(SUBSTITUTE(SUBSTITUTE(INDEX(PASTE_ALL,$DF446,$L$18)," "," "),CHAR(9)," "),CHAR(10)," "),CHAR(13)," ")))="OVERTIME",UPPER(TRIM(SUBSTITUTE(SUBSTITUTE(SUBSTITUTE(SUBSTITUTE(INDEX(PASTE_ALL,$DF446,$L$18)," "," "),CHAR(9)," "),CHAR(10)," "),CHAR(13)," ")))="TRIAL"),"OT",TRIM(SUBSTITUTE(SUBSTITUTE(SUBSTITUTE(SUBSTITUTE(INDEX(PASTE_ALL,$DF446,$L$18)," "," "),CHAR(9)," "),CHAR(10)," "),CHAR(13)," "))))),"")))</f>
        <v/>
      </c>
      <c r="EC446">
        <f>IF($DM446=0,"",IF($L$19=0,"",IFERROR(IF(ISNUMBER(INDEX(PASTE_ALL,$DF446,$L$19)),INDEX(PASTE_ALL,$DF446,$L$19),TRIM(SUBSTITUTE(SUBSTITUTE(SUBSTITUTE(SUBSTITUTE(INDEX(PASTE_ALL,$DF446,$L$19)," "," "),CHAR(9)," "),CHAR(10)," "),CHAR(13)," "))),"")))</f>
        <v/>
      </c>
      <c r="ED446">
        <f>IF($DM446=0,"",MATCH(1,INDEX(EXACT($DH$5:DH446,$DH446)*$DM$5:DM446,0),0))</f>
        <v/>
      </c>
      <c r="EE446">
        <f>IF($DM446=0,0,IF($ED446=$DE446,1,0))</f>
        <v/>
      </c>
      <c r="EF446">
        <f>EF445+$EE446</f>
        <v/>
      </c>
      <c r="EG446">
        <f>IF($DM446=0,"",INDEX($EF$5:$EF$1003,$ED446))</f>
        <v/>
      </c>
      <c r="EH446">
        <f>IF($DM446=0,"",IF($DO446&lt;&gt;"","",IFERROR(LOOKUP(2,1/(($EG$4:EG445=$EG446)*($DO$4:DO445&lt;&gt;"")),$DO$4:DO445),"")))</f>
        <v/>
      </c>
      <c r="EI446">
        <f>IF($DM446=0,"",IF($DO446&lt;&gt;"",$DO446,$EH446))</f>
        <v/>
      </c>
      <c r="EJ446">
        <f>IF($DM446=0,"",IF($EI446="",0,IF(OR(ISNUMBER($EI446),AND(AND(SUBSTITUTE(SUBSTITUTE(SUBSTITUTE(SUBSTITUTE(SUBSTITUTE(SUBSTITUTE(SUBSTITUTE(SUBSTITUTE(SUBSTITUTE(SUBSTITUTE(SUBSTITUTE(SUBSTITUTE(SUBSTITUTE(SUBSTITUTE(UPPER($EI446),"0",""),"1",""),"2",""),"3",""),"4",""),"5",""),"6",""),"7",""),"8",""),"9",""),".",""),"+",""),"-",""),"E","")="",LEN(SUBSTITUTE(SUBSTITUTE(MID(UPPER($EI446),1+OR(LEFT(UPPER($EI446),1)="+",LEFT(UPPER($EI446),1)="-"),999),"E+","E"),"E-","E"))=LEN(SUBSTITUTE(SUBSTITUTE(SUBSTITUTE(SUBSTITUTE(MID(UPPER($EI446),1+OR(LEFT(UPPER($EI446),1)="+",LEFT(UPPER($EI446),1)="-"),999),"E+","E"),"E-","E"),"+",""),"-","")),LEN(UPPER($EI446))-LEN(SUBSTITUTE(UPPER($EI446),"E",""))&lt;2,LEN(UPPER($EI446))-LEN(SUBSTITUTE(UPPER($EI446),".",""))&lt;2,IFERROR(FIND(".",UPPER($EI446)),0)&lt;IFERROR(FIND("E",UPPER($EI446)),999)),ISNUMBER(VALUE($EI446)))),1,2)))</f>
        <v/>
      </c>
      <c r="EK446">
        <f>IF($DM446=0,"",IF($EJ446=1,IF(ISNUMBER($EI446),$EI446,VALUE($EI446)),IF($EJ446=2,$DE446,0)))</f>
        <v/>
      </c>
      <c r="EL446">
        <f>IF($DM446=0,"",COUNTIF($EG$5:$EG$1003,"&lt;"&amp;$EG446)+SUMPRODUCT(($EG$5:$EG$1003=$EG446)*(($EJ$5:$EJ$1003&lt;$EJ446)+($EJ$5:$EJ$1003=$EJ446)*(($EK$5:$EK$1003&lt;$EK446)+($EK$5:$EK$1003=$EK446)*($DE$5:$DE$1003&lt;$DE446))))+1)</f>
        <v/>
      </c>
      <c r="EM446">
        <f>IF($DM446=0,"",$EL446+$EG446-1)</f>
        <v/>
      </c>
      <c r="EN446">
        <f>IF($DM446=0,0,IFERROR(MATCH(1,INDEX(--(TRIM(SUBSTITUTE(SUBSTITUTE(SUBSTITUTE(SUBSTITUTE(LINES_NAME&amp;""," "," "),CHAR(9)," "),CHAR(10)," "),CHAR(13)," "))=$DH446),0),0),0))</f>
        <v/>
      </c>
      <c r="EO446">
        <f>IF($EN446=0,0,IF(OR(UPPER(TRIM(INDEX(LINES_SCHEDULED,$EN446)&amp;""))="YES",UPPER(TRIM(INDEX(LINES_SCHEDULED,$EN446)&amp;""))="Y",UPPER(TRIM(INDEX(LINES_SCHEDULED,$EN446)&amp;""))="X"),1,0))</f>
        <v/>
      </c>
      <c r="EP446">
        <f>IF($DM446=0,"",IF(COUNTIFS($EG$5:$EG$1003,$EG446,$EB$5:$EB$1003,"Ready")&gt;0,"READY",IF(COUNTIFS($EG$5:$EG$1003,$EG446,$EB$5:$EB$1003,"PM")&gt;0,"PM",IF(COUNTIFS($EG$5:$EG$1003,$EG446,$EB$5:$EB$1003,"OT")&gt;0,"OT",""))))</f>
        <v/>
      </c>
      <c r="EQ446">
        <f>IF($EN446=0,"",UPPER(TRIM(INDEX(LINES_STATUS,$EN446)&amp;"")))</f>
        <v/>
      </c>
      <c r="ER446">
        <f>IF($DM446=0,"",IF(OR($EQ446="READY",$EQ446="PM",$EQ446="OT"),$EQ446,$EP446))</f>
        <v/>
      </c>
      <c r="ES446">
        <f>IF($DM446=0,"",IF(AND($DV446&lt;&gt;"",UPPER($DV446)&lt;&gt;"N"),"allergen",IF(ISNUMBER(SEARCH("oil",$DQ446)),"oil",IF(OR(EXACT($DS446,"A662"),EXACT($DS446,"A624")),"bulk",""))))</f>
        <v/>
      </c>
      <c r="ET446">
        <f>IF($DM446=0,"",IF(OR($EA446="",$EA446=0),"",$EA446/100))</f>
        <v/>
      </c>
      <c r="EU446">
        <f>IF(OR($ET446="",$DY446=""),"",INT($DY446*(1-$ET446)+0.5))</f>
        <v/>
      </c>
      <c r="EW446" t="n">
        <v>442</v>
      </c>
      <c r="EX446">
        <f>IFERROR(MATCH($EW446,$EM$5:$EM$1003,0),0)</f>
        <v/>
      </c>
      <c r="EY446">
        <f>IF($EW446&gt;$B$12,"",IF($EX446&gt;0,"row","spacer"))</f>
        <v/>
      </c>
      <c r="EZ446">
        <f>IF(AND($EY446="row",$EY445&lt;&gt;"row"),1,0)</f>
        <v/>
      </c>
      <c r="FA446">
        <f>IF(AND($EY446="row",$EY447&lt;&gt;"row"),1,0)</f>
        <v/>
      </c>
      <c r="FB446">
        <f>IF($EZ446=1,IFERROR(IF(ISNUMBER(INDEX(PASTE_ALL,INDEX($DF$5:$DF$1003,$EX446),$B$37)),INDEX(PASTE_ALL,INDEX($DF$5:$DF$1003,$EX446),$B$37),INDEX($DH$5:$DH$1003,$EX446)),INDEX($DH$5:$DH$1003,$EX446)),"")</f>
        <v/>
      </c>
      <c r="FC446">
        <f>IF($EY446="row",INDEX($ER$5:$ER$1003,$EX446),"")</f>
        <v/>
      </c>
      <c r="FD446">
        <f>IF($EY446="row",INDEX($DN$5:$DN$1003,$EX446),"")</f>
        <v/>
      </c>
      <c r="FE446">
        <f>IF($EY446="row",INDEX($DO$5:$DO$1003,$EX446),"")</f>
        <v/>
      </c>
      <c r="FF446">
        <f>IF($EY446="row",INDEX($DP$5:$DP$1003,$EX446),"")</f>
        <v/>
      </c>
      <c r="FG446">
        <f>IF($EY446="row",INDEX($DQ$5:$DQ$1003,$EX446),"")</f>
        <v/>
      </c>
      <c r="FH446">
        <f>IF($EY446="row",INDEX($DR$5:$DR$1003,$EX446),"")</f>
        <v/>
      </c>
      <c r="FI446">
        <f>IF($EY446="row",INDEX($DS$5:$DS$1003,$EX446),"")</f>
        <v/>
      </c>
      <c r="FJ446">
        <f>IF($EY446="row",INDEX($DT$5:$DT$1003,$EX446),"")</f>
        <v/>
      </c>
      <c r="FK446">
        <f>IF($EY446="row",INDEX($DU$5:$DU$1003,$EX446),"")</f>
        <v/>
      </c>
      <c r="FL446">
        <f>IF($EY446="row",INDEX($DV$5:$DV$1003,$EX446),"")</f>
        <v/>
      </c>
      <c r="FM446">
        <f>IF($EY446="row",INDEX($DW$5:$DW$1003,$EX446),"")</f>
        <v/>
      </c>
      <c r="FN446">
        <f>IF($EY446="row",INDEX($DY$5:$DY$1003,$EX446),"")</f>
        <v/>
      </c>
      <c r="FO446">
        <f>IF($EY446="row",INDEX($EA$5:$EA$1003,$EX446),"")</f>
        <v/>
      </c>
      <c r="FP446">
        <f>IF($EY446="row",INDEX($EC$5:$EC$1003,$EX446),"")</f>
        <v/>
      </c>
      <c r="FQ446">
        <f>IF($EY446="row",INDEX($ET$5:$ET$1003,$EX446),"")</f>
        <v/>
      </c>
      <c r="FR446">
        <f>IF($EY446="row",INDEX($EU$5:$EU$1003,$EX446),"")</f>
        <v/>
      </c>
      <c r="FS446">
        <f>IF(AND($EY446="row",$EY445="row"),IF(OR(INDEX($DT$5:$DT$1003,$EX445)="",INDEX($DT$5:$DT$1003,$EX446)=""),"",IF(NOT(EXACT(INDEX($DT$5:$DT$1003,$EX445),INDEX($DT$5:$DT$1003,$EX446))),"S4",IF(NOT(EXACT(INDEX($DS$5:$DS$1003,$EX445),INDEX($DS$5:$DS$1003,$EX446))),"S3",IF(NOT(EXACT(INDEX($DR$5:$DR$1003,$EX445),INDEX($DR$5:$DR$1003,$EX446))),"S1 Count Change","S1")))),"")</f>
        <v/>
      </c>
      <c r="FT446">
        <f>IF($EY446="row",INDEX($ES$5:$ES$1003,$EX446),"")</f>
        <v/>
      </c>
      <c r="FU446">
        <f>IF($EY446="row",INDEX($EO$5:$EO$1003,$EX446),0)</f>
        <v/>
      </c>
      <c r="FV446">
        <f>IF($FS446="S1 Count Change",1,0)</f>
        <v/>
      </c>
    </row>
    <row r="447">
      <c r="DA447" t="n">
        <v>443</v>
      </c>
      <c r="DB447">
        <f>IF($B$37=0,"",IFERROR(TRIM(SUBSTITUTE(SUBSTITUTE(SUBSTITUTE(SUBSTITUTE(INDEX(PASTE_ALL,443,$B$37)," "," "),CHAR(9)," "),CHAR(10)," "),CHAR(13)," ")),""))</f>
        <v/>
      </c>
      <c r="DC447">
        <f>IF(AND(443&gt;HEADER_ROW,UPPER(DB447)="LEGEND"),1,0)</f>
        <v/>
      </c>
      <c r="DE447" t="n">
        <v>443</v>
      </c>
      <c r="DF447">
        <f>HEADER_ROW+$DE447</f>
        <v/>
      </c>
      <c r="DG447">
        <f>IF(AND($DF447&lt;=1000,$DF447&lt;$B$8),1,0)</f>
        <v/>
      </c>
      <c r="DH447">
        <f>IF($DG447=1,IFERROR(INDEX($DB$5:$DB$1004,$DF447),""),"")</f>
        <v/>
      </c>
      <c r="DI447">
        <f>IF(AND($DG447=1,$DH447&lt;&gt;""),IFERROR(SUBSTITUTE(SUBSTITUTE(TRIM(SUBSTITUTE(SUBSTITUTE(SUBSTITUTE(SUBSTITUTE(IFERROR(INDEX(PASTE_ALL,$DF447,1)&amp;"","")&amp;"␟"&amp;IFERROR(INDEX(PASTE_ALL,$DF447,2)&amp;"","")&amp;"␟"&amp;IFERROR(INDEX(PASTE_ALL,$DF447,3)&amp;"","")&amp;"␟"&amp;IFERROR(INDEX(PASTE_ALL,$DF447,4)&amp;"","")&amp;"␟"&amp;IFERROR(INDEX(PASTE_ALL,$DF447,5)&amp;"","")&amp;"␟"&amp;IFERROR(INDEX(PASTE_ALL,$DF447,6)&amp;"","")&amp;"␟"&amp;IFERROR(INDEX(PASTE_ALL,$DF447,7)&amp;"","")&amp;"␟"&amp;IFERROR(INDEX(PASTE_ALL,$DF447,8)&amp;"","")&amp;"␟"&amp;IFERROR(INDEX(PASTE_ALL,$DF447,9)&amp;"","")&amp;"␟"&amp;IFERROR(INDEX(PASTE_ALL,$DF447,10)&amp;"","")&amp;"␟"&amp;IFERROR(INDEX(PASTE_ALL,$DF447,11)&amp;"","")&amp;"␟"&amp;IFERROR(INDEX(PASTE_ALL,$DF447,12)&amp;"","")&amp;"␟"&amp;IFERROR(INDEX(PASTE_ALL,$DF447,13)&amp;"","")&amp;"␟"&amp;IFERROR(INDEX(PASTE_ALL,$DF447,14)&amp;"","")&amp;"␟"&amp;IFERROR(INDEX(PASTE_ALL,$DF447,15)&amp;"","")&amp;"␟"&amp;IFERROR(INDEX(PASTE_ALL,$DF447,16)&amp;"","")&amp;"␟"&amp;IFERROR(INDEX(PASTE_ALL,$DF447,17)&amp;"","")&amp;"␟"&amp;IFERROR(INDEX(PASTE_ALL,$DF447,18)&amp;"","")&amp;"␟"&amp;IFERROR(INDEX(PASTE_ALL,$DF447,19)&amp;"","")&amp;"␟"&amp;IFERROR(INDEX(PASTE_ALL,$DF447,20)&amp;"","")&amp;"␟"&amp;IFERROR(INDEX(PASTE_ALL,$DF447,21)&amp;"","")&amp;"␟"&amp;IFERROR(INDEX(PASTE_ALL,$DF447,22)&amp;"","")&amp;"␟"&amp;IFERROR(INDEX(PASTE_ALL,$DF447,23)&amp;"","")&amp;"␟"&amp;IFERROR(INDEX(PASTE_ALL,$DF447,24)&amp;"","")&amp;"␟"&amp;IFERROR(INDEX(PASTE_ALL,$DF447,25)&amp;"","")&amp;"␟"&amp;IFERROR(INDEX(PASTE_ALL,$DF447,26)&amp;"","")&amp;"␟"&amp;IFERROR(INDEX(PASTE_ALL,$DF447,27)&amp;"","")&amp;"␟"&amp;IFERROR(INDEX(PASTE_ALL,$DF447,28)&amp;"","")&amp;"␟"&amp;IFERROR(INDEX(PASTE_ALL,$DF447,29)&amp;"","")&amp;"␟"&amp;IFERROR(INDEX(PASTE_ALL,$DF447,30)&amp;"","")&amp;"␟"&amp;IFERROR(INDEX(PASTE_ALL,$DF447,31)&amp;"","")&amp;"␟"&amp;IFERROR(INDEX(PASTE_ALL,$DF447,32)&amp;"","")&amp;"␟"&amp;IFERROR(INDEX(PASTE_ALL,$DF447,33)&amp;"","")&amp;"␟"&amp;IFERROR(INDEX(PASTE_ALL,$DF447,34)&amp;"","")&amp;"␟"&amp;IFERROR(INDEX(PASTE_ALL,$DF447,35)&amp;"","")&amp;"␟"&amp;IFERROR(INDEX(PASTE_ALL,$DF447,36)&amp;"","")&amp;"␟"&amp;IFERROR(INDEX(PASTE_ALL,$DF447,37)&amp;"","")&amp;"␟"&amp;IFERROR(INDEX(PASTE_ALL,$DF447,38)&amp;"","")&amp;"␟"&amp;IFERROR(INDEX(PASTE_ALL,$DF447,39)&amp;"","")&amp;"␟"&amp;IFERROR(INDEX(PASTE_ALL,$DF447,40)&amp;"","")&amp;"␟"&amp;IFERROR(INDEX(PASTE_ALL,$DF447,41)&amp;"","")&amp;"␟"&amp;IFERROR(INDEX(PASTE_ALL,$DF447,42)&amp;"","")&amp;"␟"&amp;IFERROR(INDEX(PASTE_ALL,$DF447,43)&amp;"","")&amp;"␟"&amp;IFERROR(INDEX(PASTE_ALL,$DF447,44)&amp;"","")&amp;"␟"&amp;IFERROR(INDEX(PASTE_ALL,$DF447,45)&amp;"","")&amp;"␟"&amp;IFERROR(INDEX(PASTE_ALL,$DF447,46)&amp;"","")&amp;"␟"&amp;IFERROR(INDEX(PASTE_ALL,$DF447,47)&amp;"","")&amp;"␟"&amp;IFERROR(INDEX(PASTE_ALL,$DF447,48)&amp;"","")&amp;"␟"&amp;IFERROR(INDEX(PASTE_ALL,$DF447,49)&amp;"","")&amp;"␟"&amp;IFERROR(INDEX(PASTE_ALL,$DF447,50)&amp;"","")&amp;"␟"&amp;IFERROR(INDEX(PASTE_ALL,$DF447,51)&amp;"","")&amp;"␟"&amp;IFERROR(INDEX(PASTE_ALL,$DF447,52)&amp;"","")&amp;"␟"&amp;IFERROR(INDEX(PASTE_ALL,$DF447,53)&amp;"","")&amp;"␟"&amp;IFERROR(INDEX(PASTE_ALL,$DF447,54)&amp;"","")&amp;"␟"&amp;IFERROR(INDEX(PASTE_ALL,$DF447,55)&amp;"","")&amp;"␟"&amp;IFERROR(INDEX(PASTE_ALL,$DF447,56)&amp;"","")&amp;"␟"&amp;IFERROR(INDEX(PASTE_ALL,$DF447,57)&amp;"","")&amp;"␟"&amp;IFERROR(INDEX(PASTE_ALL,$DF447,58)&amp;"","")&amp;"␟"&amp;IFERROR(INDEX(PASTE_ALL,$DF447,59)&amp;"","")&amp;"␟"&amp;IFERROR(INDEX(PASTE_ALL,$DF447,60)&amp;"","")," "," "),CHAR(9)," "),CHAR(10)," "),CHAR(13)," "))," ␟","␟"),"␟ ","␟"),"#"&amp;$DE447),"")</f>
        <v/>
      </c>
      <c r="DJ447">
        <f>IF($DI447="",0,IF(SUMPRODUCT(--EXACT($DI$4:DI446,$DI447))&gt;0,1,0))</f>
        <v/>
      </c>
      <c r="DK447">
        <f>IF(AND($DI447&lt;&gt;"",$DJ447=0),1,0)</f>
        <v/>
      </c>
      <c r="DL447">
        <f>DL446+$DK447</f>
        <v/>
      </c>
      <c r="DM447">
        <f>IF(AND($DK447=1,$DL447&lt;=600),1,0)</f>
        <v/>
      </c>
      <c r="DN447">
        <f>IF($DM447=0,"",IF($L$6=0,"",IFERROR(IF(ISNUMBER(INDEX(PASTE_ALL,$DF447,$L$6)),INDEX(PASTE_ALL,$DF447,$L$6),TRIM(SUBSTITUTE(SUBSTITUTE(SUBSTITUTE(SUBSTITUTE(INDEX(PASTE_ALL,$DF447,$L$6)," "," "),CHAR(9)," "),CHAR(10)," "),CHAR(13)," "))),"")))</f>
        <v/>
      </c>
      <c r="DO447">
        <f>IF($DM447=0,"",IF($L$7=0,"",IFERROR(IF(ISNUMBER(INDEX(PASTE_ALL,$DF447,$L$7)),INDEX(PASTE_ALL,$DF447,$L$7),TRIM(SUBSTITUTE(SUBSTITUTE(SUBSTITUTE(SUBSTITUTE(INDEX(PASTE_ALL,$DF447,$L$7)," "," "),CHAR(9)," "),CHAR(10)," "),CHAR(13)," "))),"")))</f>
        <v/>
      </c>
      <c r="DP447">
        <f>IF($DM447=0,"",IF($L$8=0,"",IFERROR(IF(ISNUMBER(INDEX(PASTE_ALL,$DF447,$L$8)),INDEX(PASTE_ALL,$DF447,$L$8),TRIM(SUBSTITUTE(SUBSTITUTE(SUBSTITUTE(SUBSTITUTE(INDEX(PASTE_ALL,$DF447,$L$8)," "," "),CHAR(9)," "),CHAR(10)," "),CHAR(13)," "))),"")))</f>
        <v/>
      </c>
      <c r="DQ447">
        <f>IF($DM447=0,"",IF($L$9=0,"",IFERROR(IF(ISNUMBER(INDEX(PASTE_ALL,$DF447,$L$9)),INDEX(PASTE_ALL,$DF447,$L$9),TRIM(SUBSTITUTE(SUBSTITUTE(SUBSTITUTE(SUBSTITUTE(INDEX(PASTE_ALL,$DF447,$L$9)," "," "),CHAR(9)," "),CHAR(10)," "),CHAR(13)," "))),"")))</f>
        <v/>
      </c>
      <c r="DR447">
        <f>IF($DM447=0,"",IF($L$10=0,"",IFERROR(IF(ISNUMBER(INDEX(PASTE_ALL,$DF447,$L$10)),INDEX(PASTE_ALL,$DF447,$L$10),TRIM(SUBSTITUTE(SUBSTITUTE(SUBSTITUTE(SUBSTITUTE(INDEX(PASTE_ALL,$DF447,$L$10)," "," "),CHAR(9)," "),CHAR(10)," "),CHAR(13)," "))),"")))</f>
        <v/>
      </c>
      <c r="DS447">
        <f>IF($DM447=0,"",IF($L$11=0,"",IFERROR(IF(ISNUMBER(INDEX(PASTE_ALL,$DF447,$L$11)),INDEX(PASTE_ALL,$DF447,$L$11),TRIM(SUBSTITUTE(SUBSTITUTE(SUBSTITUTE(SUBSTITUTE(INDEX(PASTE_ALL,$DF447,$L$11)," "," "),CHAR(9)," "),CHAR(10)," "),CHAR(13)," "))),"")))</f>
        <v/>
      </c>
      <c r="DT447">
        <f>IF($DM447=0,"",IF($L$12=0,"",IFERROR(IF(ISNUMBER(INDEX(PASTE_ALL,$DF447,$L$12)),INDEX(PASTE_ALL,$DF447,$L$12),TRIM(SUBSTITUTE(SUBSTITUTE(SUBSTITUTE(SUBSTITUTE(INDEX(PASTE_ALL,$DF447,$L$12)," "," "),CHAR(9)," "),CHAR(10)," "),CHAR(13)," "))),"")))</f>
        <v/>
      </c>
      <c r="DU447">
        <f>IF($DM447=0,"",IF($L$13=0,"",IFERROR(IF(ISNUMBER(INDEX(PASTE_ALL,$DF447,$L$13)),INDEX(PASTE_ALL,$DF447,$L$13),TRIM(SUBSTITUTE(SUBSTITUTE(SUBSTITUTE(SUBSTITUTE(INDEX(PASTE_ALL,$DF447,$L$13)," "," "),CHAR(9)," "),CHAR(10)," "),CHAR(13)," "))),"")))</f>
        <v/>
      </c>
      <c r="DV447">
        <f>IF($DM447=0,"",IF($L$14=0,"",IFERROR(IF(ISNUMBER(INDEX(PASTE_ALL,$DF447,$L$14)),INDEX(PASTE_ALL,$DF447,$L$14),TRIM(SUBSTITUTE(SUBSTITUTE(SUBSTITUTE(SUBSTITUTE(INDEX(PASTE_ALL,$DF447,$L$14)," "," "),CHAR(9)," "),CHAR(10)," "),CHAR(13)," "))),"")))</f>
        <v/>
      </c>
      <c r="DW447">
        <f>IF($DM447=0,"",IF($L$15=0,"",IFERROR(IF(ISNUMBER(INDEX(PASTE_ALL,$DF447,$L$15)),INDEX(PASTE_ALL,$DF447,$L$15),IF(SUMPRODUCT(--ISNUMBER(FIND({"A","B","C","D","E","F","G","H","I","J","K","L","M","N","O","P","Q","R","S","T","U","V","W","X","Y","Z","0","1","2","3","4","5","6","7","8","9"},UPPER(TRIM(SUBSTITUTE(SUBSTITUTE(SUBSTITUTE(SUBSTITUTE(INDEX(PASTE_ALL,$DF447,$L$15)," "," "),CHAR(9)," "),CHAR(10)," "),CHAR(13)," "))))))&gt;0,TRIM(SUBSTITUTE(SUBSTITUTE(SUBSTITUTE(SUBSTITUTE(INDEX(PASTE_ALL,$DF447,$L$15)," "," "),CHAR(9)," "),CHAR(10)," "),CHAR(13)," ")),"")),"")))</f>
        <v/>
      </c>
      <c r="DX447">
        <f>IF($DM447=0,"",IF($L$16=0,"",IFERROR(IF(ISNUMBER(INDEX(PASTE_ALL,$DF447,$L$16)),INDEX(PASTE_ALL,$DF447,$L$16),SUBSTITUTE(SUBSTITUTE(TRIM(SUBSTITUTE(SUBSTITUTE(SUBSTITUTE(SUBSTITUTE(INDEX(PASTE_ALL,$DF447,$L$16)," "," "),CHAR(9)," "),CHAR(10)," "),CHAR(13)," ")),",",""),"%","")),"")))</f>
        <v/>
      </c>
      <c r="DY447">
        <f>IF($DM447=0,"",IFERROR(IF(ISNUMBER($DX447),$DX447,IF($DX447="","",IF(TRIM($DX447)="",0,IF(AND(AND(SUBSTITUTE(SUBSTITUTE(SUBSTITUTE(SUBSTITUTE(SUBSTITUTE(SUBSTITUTE(SUBSTITUTE(SUBSTITUTE(SUBSTITUTE(SUBSTITUTE(SUBSTITUTE(SUBSTITUTE(SUBSTITUTE(SUBSTITUTE(UPPER(TRIM($DX447)),"0",""),"1",""),"2",""),"3",""),"4",""),"5",""),"6",""),"7",""),"8",""),"9",""),".",""),"+",""),"-",""),"E","")="",LEN(SUBSTITUTE(SUBSTITUTE(MID(UPPER(TRIM($DX447)),1+OR(LEFT(UPPER(TRIM($DX447)),1)="+",LEFT(UPPER(TRIM($DX447)),1)="-"),999),"E+","E"),"E-","E"))=LEN(SUBSTITUTE(SUBSTITUTE(SUBSTITUTE(SUBSTITUTE(MID(UPPER(TRIM($DX447)),1+OR(LEFT(UPPER(TRIM($DX447)),1)="+",LEFT(UPPER(TRIM($DX447)),1)="-"),999),"E+","E"),"E-","E"),"+",""),"-","")),LEN(UPPER(TRIM($DX447)))-LEN(SUBSTITUTE(UPPER(TRIM($DX447)),"E",""))&lt;2,LEN(UPPER(TRIM($DX447)))-LEN(SUBSTITUTE(UPPER(TRIM($DX447)),".",""))&lt;2,IFERROR(FIND(".",UPPER(TRIM($DX447))),0)&lt;IFERROR(FIND("E",UPPER(TRIM($DX447))),999)),ISNUMBER(VALUE(TRIM($DX447)))),VALUE(TRIM($DX447)),"")))),""))</f>
        <v/>
      </c>
      <c r="DZ447">
        <f>IF($DM447=0,"",IF($L$17=0,"",IFERROR(IF(ISNUMBER(INDEX(PASTE_ALL,$DF447,$L$17)),INDEX(PASTE_ALL,$DF447,$L$17),SUBSTITUTE(SUBSTITUTE(TRIM(SUBSTITUTE(SUBSTITUTE(SUBSTITUTE(SUBSTITUTE(INDEX(PASTE_ALL,$DF447,$L$17)," "," "),CHAR(9)," "),CHAR(10)," "),CHAR(13)," ")),",",""),"%","")),"")))</f>
        <v/>
      </c>
      <c r="EA447">
        <f>IF($DM447=0,"",IFERROR(IF(ISNUMBER($DZ447),$DZ447,IF($DZ447="","",IF(TRIM($DZ447)="",0,IF(AND(AND(SUBSTITUTE(SUBSTITUTE(SUBSTITUTE(SUBSTITUTE(SUBSTITUTE(SUBSTITUTE(SUBSTITUTE(SUBSTITUTE(SUBSTITUTE(SUBSTITUTE(SUBSTITUTE(SUBSTITUTE(SUBSTITUTE(SUBSTITUTE(UPPER(TRIM($DZ447)),"0",""),"1",""),"2",""),"3",""),"4",""),"5",""),"6",""),"7",""),"8",""),"9",""),".",""),"+",""),"-",""),"E","")="",LEN(SUBSTITUTE(SUBSTITUTE(MID(UPPER(TRIM($DZ447)),1+OR(LEFT(UPPER(TRIM($DZ447)),1)="+",LEFT(UPPER(TRIM($DZ447)),1)="-"),999),"E+","E"),"E-","E"))=LEN(SUBSTITUTE(SUBSTITUTE(SUBSTITUTE(SUBSTITUTE(MID(UPPER(TRIM($DZ447)),1+OR(LEFT(UPPER(TRIM($DZ447)),1)="+",LEFT(UPPER(TRIM($DZ447)),1)="-"),999),"E+","E"),"E-","E"),"+",""),"-","")),LEN(UPPER(TRIM($DZ447)))-LEN(SUBSTITUTE(UPPER(TRIM($DZ447)),"E",""))&lt;2,LEN(UPPER(TRIM($DZ447)))-LEN(SUBSTITUTE(UPPER(TRIM($DZ447)),".",""))&lt;2,IFERROR(FIND(".",UPPER(TRIM($DZ447))),0)&lt;IFERROR(FIND("E",UPPER(TRIM($DZ447))),999)),ISNUMBER(VALUE(TRIM($DZ447)))),VALUE(TRIM($DZ447)),"")))),""))</f>
        <v/>
      </c>
      <c r="EB447">
        <f>IF($DM447=0,"",IF($L$18=0,"",IFERROR(IF(UPPER(TRIM(SUBSTITUTE(SUBSTITUTE(SUBSTITUTE(SUBSTITUTE(INDEX(PASTE_ALL,$DF447,$L$18)," "," "),CHAR(9)," "),CHAR(10)," "),CHAR(13)," ")))="READY","Ready",IF(UPPER(TRIM(SUBSTITUTE(SUBSTITUTE(SUBSTITUTE(SUBSTITUTE(INDEX(PASTE_ALL,$DF447,$L$18)," "," "),CHAR(9)," "),CHAR(10)," "),CHAR(13)," ")))="PM","PM",IF(OR(UPPER(TRIM(SUBSTITUTE(SUBSTITUTE(SUBSTITUTE(SUBSTITUTE(INDEX(PASTE_ALL,$DF447,$L$18)," "," "),CHAR(9)," "),CHAR(10)," "),CHAR(13)," ")))="OT",UPPER(TRIM(SUBSTITUTE(SUBSTITUTE(SUBSTITUTE(SUBSTITUTE(INDEX(PASTE_ALL,$DF447,$L$18)," "," "),CHAR(9)," "),CHAR(10)," "),CHAR(13)," ")))="OVERTIME",UPPER(TRIM(SUBSTITUTE(SUBSTITUTE(SUBSTITUTE(SUBSTITUTE(INDEX(PASTE_ALL,$DF447,$L$18)," "," "),CHAR(9)," "),CHAR(10)," "),CHAR(13)," ")))="TRIAL"),"OT",TRIM(SUBSTITUTE(SUBSTITUTE(SUBSTITUTE(SUBSTITUTE(INDEX(PASTE_ALL,$DF447,$L$18)," "," "),CHAR(9)," "),CHAR(10)," "),CHAR(13)," "))))),"")))</f>
        <v/>
      </c>
      <c r="EC447">
        <f>IF($DM447=0,"",IF($L$19=0,"",IFERROR(IF(ISNUMBER(INDEX(PASTE_ALL,$DF447,$L$19)),INDEX(PASTE_ALL,$DF447,$L$19),TRIM(SUBSTITUTE(SUBSTITUTE(SUBSTITUTE(SUBSTITUTE(INDEX(PASTE_ALL,$DF447,$L$19)," "," "),CHAR(9)," "),CHAR(10)," "),CHAR(13)," "))),"")))</f>
        <v/>
      </c>
      <c r="ED447">
        <f>IF($DM447=0,"",MATCH(1,INDEX(EXACT($DH$5:DH447,$DH447)*$DM$5:DM447,0),0))</f>
        <v/>
      </c>
      <c r="EE447">
        <f>IF($DM447=0,0,IF($ED447=$DE447,1,0))</f>
        <v/>
      </c>
      <c r="EF447">
        <f>EF446+$EE447</f>
        <v/>
      </c>
      <c r="EG447">
        <f>IF($DM447=0,"",INDEX($EF$5:$EF$1003,$ED447))</f>
        <v/>
      </c>
      <c r="EH447">
        <f>IF($DM447=0,"",IF($DO447&lt;&gt;"","",IFERROR(LOOKUP(2,1/(($EG$4:EG446=$EG447)*($DO$4:DO446&lt;&gt;"")),$DO$4:DO446),"")))</f>
        <v/>
      </c>
      <c r="EI447">
        <f>IF($DM447=0,"",IF($DO447&lt;&gt;"",$DO447,$EH447))</f>
        <v/>
      </c>
      <c r="EJ447">
        <f>IF($DM447=0,"",IF($EI447="",0,IF(OR(ISNUMBER($EI447),AND(AND(SUBSTITUTE(SUBSTITUTE(SUBSTITUTE(SUBSTITUTE(SUBSTITUTE(SUBSTITUTE(SUBSTITUTE(SUBSTITUTE(SUBSTITUTE(SUBSTITUTE(SUBSTITUTE(SUBSTITUTE(SUBSTITUTE(SUBSTITUTE(UPPER($EI447),"0",""),"1",""),"2",""),"3",""),"4",""),"5",""),"6",""),"7",""),"8",""),"9",""),".",""),"+",""),"-",""),"E","")="",LEN(SUBSTITUTE(SUBSTITUTE(MID(UPPER($EI447),1+OR(LEFT(UPPER($EI447),1)="+",LEFT(UPPER($EI447),1)="-"),999),"E+","E"),"E-","E"))=LEN(SUBSTITUTE(SUBSTITUTE(SUBSTITUTE(SUBSTITUTE(MID(UPPER($EI447),1+OR(LEFT(UPPER($EI447),1)="+",LEFT(UPPER($EI447),1)="-"),999),"E+","E"),"E-","E"),"+",""),"-","")),LEN(UPPER($EI447))-LEN(SUBSTITUTE(UPPER($EI447),"E",""))&lt;2,LEN(UPPER($EI447))-LEN(SUBSTITUTE(UPPER($EI447),".",""))&lt;2,IFERROR(FIND(".",UPPER($EI447)),0)&lt;IFERROR(FIND("E",UPPER($EI447)),999)),ISNUMBER(VALUE($EI447)))),1,2)))</f>
        <v/>
      </c>
      <c r="EK447">
        <f>IF($DM447=0,"",IF($EJ447=1,IF(ISNUMBER($EI447),$EI447,VALUE($EI447)),IF($EJ447=2,$DE447,0)))</f>
        <v/>
      </c>
      <c r="EL447">
        <f>IF($DM447=0,"",COUNTIF($EG$5:$EG$1003,"&lt;"&amp;$EG447)+SUMPRODUCT(($EG$5:$EG$1003=$EG447)*(($EJ$5:$EJ$1003&lt;$EJ447)+($EJ$5:$EJ$1003=$EJ447)*(($EK$5:$EK$1003&lt;$EK447)+($EK$5:$EK$1003=$EK447)*($DE$5:$DE$1003&lt;$DE447))))+1)</f>
        <v/>
      </c>
      <c r="EM447">
        <f>IF($DM447=0,"",$EL447+$EG447-1)</f>
        <v/>
      </c>
      <c r="EN447">
        <f>IF($DM447=0,0,IFERROR(MATCH(1,INDEX(--(TRIM(SUBSTITUTE(SUBSTITUTE(SUBSTITUTE(SUBSTITUTE(LINES_NAME&amp;""," "," "),CHAR(9)," "),CHAR(10)," "),CHAR(13)," "))=$DH447),0),0),0))</f>
        <v/>
      </c>
      <c r="EO447">
        <f>IF($EN447=0,0,IF(OR(UPPER(TRIM(INDEX(LINES_SCHEDULED,$EN447)&amp;""))="YES",UPPER(TRIM(INDEX(LINES_SCHEDULED,$EN447)&amp;""))="Y",UPPER(TRIM(INDEX(LINES_SCHEDULED,$EN447)&amp;""))="X"),1,0))</f>
        <v/>
      </c>
      <c r="EP447">
        <f>IF($DM447=0,"",IF(COUNTIFS($EG$5:$EG$1003,$EG447,$EB$5:$EB$1003,"Ready")&gt;0,"READY",IF(COUNTIFS($EG$5:$EG$1003,$EG447,$EB$5:$EB$1003,"PM")&gt;0,"PM",IF(COUNTIFS($EG$5:$EG$1003,$EG447,$EB$5:$EB$1003,"OT")&gt;0,"OT",""))))</f>
        <v/>
      </c>
      <c r="EQ447">
        <f>IF($EN447=0,"",UPPER(TRIM(INDEX(LINES_STATUS,$EN447)&amp;"")))</f>
        <v/>
      </c>
      <c r="ER447">
        <f>IF($DM447=0,"",IF(OR($EQ447="READY",$EQ447="PM",$EQ447="OT"),$EQ447,$EP447))</f>
        <v/>
      </c>
      <c r="ES447">
        <f>IF($DM447=0,"",IF(AND($DV447&lt;&gt;"",UPPER($DV447)&lt;&gt;"N"),"allergen",IF(ISNUMBER(SEARCH("oil",$DQ447)),"oil",IF(OR(EXACT($DS447,"A662"),EXACT($DS447,"A624")),"bulk",""))))</f>
        <v/>
      </c>
      <c r="ET447">
        <f>IF($DM447=0,"",IF(OR($EA447="",$EA447=0),"",$EA447/100))</f>
        <v/>
      </c>
      <c r="EU447">
        <f>IF(OR($ET447="",$DY447=""),"",INT($DY447*(1-$ET447)+0.5))</f>
        <v/>
      </c>
      <c r="EW447" t="n">
        <v>443</v>
      </c>
      <c r="EX447">
        <f>IFERROR(MATCH($EW447,$EM$5:$EM$1003,0),0)</f>
        <v/>
      </c>
      <c r="EY447">
        <f>IF($EW447&gt;$B$12,"",IF($EX447&gt;0,"row","spacer"))</f>
        <v/>
      </c>
      <c r="EZ447">
        <f>IF(AND($EY447="row",$EY446&lt;&gt;"row"),1,0)</f>
        <v/>
      </c>
      <c r="FA447">
        <f>IF(AND($EY447="row",$EY448&lt;&gt;"row"),1,0)</f>
        <v/>
      </c>
      <c r="FB447">
        <f>IF($EZ447=1,IFERROR(IF(ISNUMBER(INDEX(PASTE_ALL,INDEX($DF$5:$DF$1003,$EX447),$B$37)),INDEX(PASTE_ALL,INDEX($DF$5:$DF$1003,$EX447),$B$37),INDEX($DH$5:$DH$1003,$EX447)),INDEX($DH$5:$DH$1003,$EX447)),"")</f>
        <v/>
      </c>
      <c r="FC447">
        <f>IF($EY447="row",INDEX($ER$5:$ER$1003,$EX447),"")</f>
        <v/>
      </c>
      <c r="FD447">
        <f>IF($EY447="row",INDEX($DN$5:$DN$1003,$EX447),"")</f>
        <v/>
      </c>
      <c r="FE447">
        <f>IF($EY447="row",INDEX($DO$5:$DO$1003,$EX447),"")</f>
        <v/>
      </c>
      <c r="FF447">
        <f>IF($EY447="row",INDEX($DP$5:$DP$1003,$EX447),"")</f>
        <v/>
      </c>
      <c r="FG447">
        <f>IF($EY447="row",INDEX($DQ$5:$DQ$1003,$EX447),"")</f>
        <v/>
      </c>
      <c r="FH447">
        <f>IF($EY447="row",INDEX($DR$5:$DR$1003,$EX447),"")</f>
        <v/>
      </c>
      <c r="FI447">
        <f>IF($EY447="row",INDEX($DS$5:$DS$1003,$EX447),"")</f>
        <v/>
      </c>
      <c r="FJ447">
        <f>IF($EY447="row",INDEX($DT$5:$DT$1003,$EX447),"")</f>
        <v/>
      </c>
      <c r="FK447">
        <f>IF($EY447="row",INDEX($DU$5:$DU$1003,$EX447),"")</f>
        <v/>
      </c>
      <c r="FL447">
        <f>IF($EY447="row",INDEX($DV$5:$DV$1003,$EX447),"")</f>
        <v/>
      </c>
      <c r="FM447">
        <f>IF($EY447="row",INDEX($DW$5:$DW$1003,$EX447),"")</f>
        <v/>
      </c>
      <c r="FN447">
        <f>IF($EY447="row",INDEX($DY$5:$DY$1003,$EX447),"")</f>
        <v/>
      </c>
      <c r="FO447">
        <f>IF($EY447="row",INDEX($EA$5:$EA$1003,$EX447),"")</f>
        <v/>
      </c>
      <c r="FP447">
        <f>IF($EY447="row",INDEX($EC$5:$EC$1003,$EX447),"")</f>
        <v/>
      </c>
      <c r="FQ447">
        <f>IF($EY447="row",INDEX($ET$5:$ET$1003,$EX447),"")</f>
        <v/>
      </c>
      <c r="FR447">
        <f>IF($EY447="row",INDEX($EU$5:$EU$1003,$EX447),"")</f>
        <v/>
      </c>
      <c r="FS447">
        <f>IF(AND($EY447="row",$EY446="row"),IF(OR(INDEX($DT$5:$DT$1003,$EX446)="",INDEX($DT$5:$DT$1003,$EX447)=""),"",IF(NOT(EXACT(INDEX($DT$5:$DT$1003,$EX446),INDEX($DT$5:$DT$1003,$EX447))),"S4",IF(NOT(EXACT(INDEX($DS$5:$DS$1003,$EX446),INDEX($DS$5:$DS$1003,$EX447))),"S3",IF(NOT(EXACT(INDEX($DR$5:$DR$1003,$EX446),INDEX($DR$5:$DR$1003,$EX447))),"S1 Count Change","S1")))),"")</f>
        <v/>
      </c>
      <c r="FT447">
        <f>IF($EY447="row",INDEX($ES$5:$ES$1003,$EX447),"")</f>
        <v/>
      </c>
      <c r="FU447">
        <f>IF($EY447="row",INDEX($EO$5:$EO$1003,$EX447),0)</f>
        <v/>
      </c>
      <c r="FV447">
        <f>IF($FS447="S1 Count Change",1,0)</f>
        <v/>
      </c>
    </row>
    <row r="448">
      <c r="DA448" t="n">
        <v>444</v>
      </c>
      <c r="DB448">
        <f>IF($B$37=0,"",IFERROR(TRIM(SUBSTITUTE(SUBSTITUTE(SUBSTITUTE(SUBSTITUTE(INDEX(PASTE_ALL,444,$B$37)," "," "),CHAR(9)," "),CHAR(10)," "),CHAR(13)," ")),""))</f>
        <v/>
      </c>
      <c r="DC448">
        <f>IF(AND(444&gt;HEADER_ROW,UPPER(DB448)="LEGEND"),1,0)</f>
        <v/>
      </c>
      <c r="DE448" t="n">
        <v>444</v>
      </c>
      <c r="DF448">
        <f>HEADER_ROW+$DE448</f>
        <v/>
      </c>
      <c r="DG448">
        <f>IF(AND($DF448&lt;=1000,$DF448&lt;$B$8),1,0)</f>
        <v/>
      </c>
      <c r="DH448">
        <f>IF($DG448=1,IFERROR(INDEX($DB$5:$DB$1004,$DF448),""),"")</f>
        <v/>
      </c>
      <c r="DI448">
        <f>IF(AND($DG448=1,$DH448&lt;&gt;""),IFERROR(SUBSTITUTE(SUBSTITUTE(TRIM(SUBSTITUTE(SUBSTITUTE(SUBSTITUTE(SUBSTITUTE(IFERROR(INDEX(PASTE_ALL,$DF448,1)&amp;"","")&amp;"␟"&amp;IFERROR(INDEX(PASTE_ALL,$DF448,2)&amp;"","")&amp;"␟"&amp;IFERROR(INDEX(PASTE_ALL,$DF448,3)&amp;"","")&amp;"␟"&amp;IFERROR(INDEX(PASTE_ALL,$DF448,4)&amp;"","")&amp;"␟"&amp;IFERROR(INDEX(PASTE_ALL,$DF448,5)&amp;"","")&amp;"␟"&amp;IFERROR(INDEX(PASTE_ALL,$DF448,6)&amp;"","")&amp;"␟"&amp;IFERROR(INDEX(PASTE_ALL,$DF448,7)&amp;"","")&amp;"␟"&amp;IFERROR(INDEX(PASTE_ALL,$DF448,8)&amp;"","")&amp;"␟"&amp;IFERROR(INDEX(PASTE_ALL,$DF448,9)&amp;"","")&amp;"␟"&amp;IFERROR(INDEX(PASTE_ALL,$DF448,10)&amp;"","")&amp;"␟"&amp;IFERROR(INDEX(PASTE_ALL,$DF448,11)&amp;"","")&amp;"␟"&amp;IFERROR(INDEX(PASTE_ALL,$DF448,12)&amp;"","")&amp;"␟"&amp;IFERROR(INDEX(PASTE_ALL,$DF448,13)&amp;"","")&amp;"␟"&amp;IFERROR(INDEX(PASTE_ALL,$DF448,14)&amp;"","")&amp;"␟"&amp;IFERROR(INDEX(PASTE_ALL,$DF448,15)&amp;"","")&amp;"␟"&amp;IFERROR(INDEX(PASTE_ALL,$DF448,16)&amp;"","")&amp;"␟"&amp;IFERROR(INDEX(PASTE_ALL,$DF448,17)&amp;"","")&amp;"␟"&amp;IFERROR(INDEX(PASTE_ALL,$DF448,18)&amp;"","")&amp;"␟"&amp;IFERROR(INDEX(PASTE_ALL,$DF448,19)&amp;"","")&amp;"␟"&amp;IFERROR(INDEX(PASTE_ALL,$DF448,20)&amp;"","")&amp;"␟"&amp;IFERROR(INDEX(PASTE_ALL,$DF448,21)&amp;"","")&amp;"␟"&amp;IFERROR(INDEX(PASTE_ALL,$DF448,22)&amp;"","")&amp;"␟"&amp;IFERROR(INDEX(PASTE_ALL,$DF448,23)&amp;"","")&amp;"␟"&amp;IFERROR(INDEX(PASTE_ALL,$DF448,24)&amp;"","")&amp;"␟"&amp;IFERROR(INDEX(PASTE_ALL,$DF448,25)&amp;"","")&amp;"␟"&amp;IFERROR(INDEX(PASTE_ALL,$DF448,26)&amp;"","")&amp;"␟"&amp;IFERROR(INDEX(PASTE_ALL,$DF448,27)&amp;"","")&amp;"␟"&amp;IFERROR(INDEX(PASTE_ALL,$DF448,28)&amp;"","")&amp;"␟"&amp;IFERROR(INDEX(PASTE_ALL,$DF448,29)&amp;"","")&amp;"␟"&amp;IFERROR(INDEX(PASTE_ALL,$DF448,30)&amp;"","")&amp;"␟"&amp;IFERROR(INDEX(PASTE_ALL,$DF448,31)&amp;"","")&amp;"␟"&amp;IFERROR(INDEX(PASTE_ALL,$DF448,32)&amp;"","")&amp;"␟"&amp;IFERROR(INDEX(PASTE_ALL,$DF448,33)&amp;"","")&amp;"␟"&amp;IFERROR(INDEX(PASTE_ALL,$DF448,34)&amp;"","")&amp;"␟"&amp;IFERROR(INDEX(PASTE_ALL,$DF448,35)&amp;"","")&amp;"␟"&amp;IFERROR(INDEX(PASTE_ALL,$DF448,36)&amp;"","")&amp;"␟"&amp;IFERROR(INDEX(PASTE_ALL,$DF448,37)&amp;"","")&amp;"␟"&amp;IFERROR(INDEX(PASTE_ALL,$DF448,38)&amp;"","")&amp;"␟"&amp;IFERROR(INDEX(PASTE_ALL,$DF448,39)&amp;"","")&amp;"␟"&amp;IFERROR(INDEX(PASTE_ALL,$DF448,40)&amp;"","")&amp;"␟"&amp;IFERROR(INDEX(PASTE_ALL,$DF448,41)&amp;"","")&amp;"␟"&amp;IFERROR(INDEX(PASTE_ALL,$DF448,42)&amp;"","")&amp;"␟"&amp;IFERROR(INDEX(PASTE_ALL,$DF448,43)&amp;"","")&amp;"␟"&amp;IFERROR(INDEX(PASTE_ALL,$DF448,44)&amp;"","")&amp;"␟"&amp;IFERROR(INDEX(PASTE_ALL,$DF448,45)&amp;"","")&amp;"␟"&amp;IFERROR(INDEX(PASTE_ALL,$DF448,46)&amp;"","")&amp;"␟"&amp;IFERROR(INDEX(PASTE_ALL,$DF448,47)&amp;"","")&amp;"␟"&amp;IFERROR(INDEX(PASTE_ALL,$DF448,48)&amp;"","")&amp;"␟"&amp;IFERROR(INDEX(PASTE_ALL,$DF448,49)&amp;"","")&amp;"␟"&amp;IFERROR(INDEX(PASTE_ALL,$DF448,50)&amp;"","")&amp;"␟"&amp;IFERROR(INDEX(PASTE_ALL,$DF448,51)&amp;"","")&amp;"␟"&amp;IFERROR(INDEX(PASTE_ALL,$DF448,52)&amp;"","")&amp;"␟"&amp;IFERROR(INDEX(PASTE_ALL,$DF448,53)&amp;"","")&amp;"␟"&amp;IFERROR(INDEX(PASTE_ALL,$DF448,54)&amp;"","")&amp;"␟"&amp;IFERROR(INDEX(PASTE_ALL,$DF448,55)&amp;"","")&amp;"␟"&amp;IFERROR(INDEX(PASTE_ALL,$DF448,56)&amp;"","")&amp;"␟"&amp;IFERROR(INDEX(PASTE_ALL,$DF448,57)&amp;"","")&amp;"␟"&amp;IFERROR(INDEX(PASTE_ALL,$DF448,58)&amp;"","")&amp;"␟"&amp;IFERROR(INDEX(PASTE_ALL,$DF448,59)&amp;"","")&amp;"␟"&amp;IFERROR(INDEX(PASTE_ALL,$DF448,60)&amp;"","")," "," "),CHAR(9)," "),CHAR(10)," "),CHAR(13)," "))," ␟","␟"),"␟ ","␟"),"#"&amp;$DE448),"")</f>
        <v/>
      </c>
      <c r="DJ448">
        <f>IF($DI448="",0,IF(SUMPRODUCT(--EXACT($DI$4:DI447,$DI448))&gt;0,1,0))</f>
        <v/>
      </c>
      <c r="DK448">
        <f>IF(AND($DI448&lt;&gt;"",$DJ448=0),1,0)</f>
        <v/>
      </c>
      <c r="DL448">
        <f>DL447+$DK448</f>
        <v/>
      </c>
      <c r="DM448">
        <f>IF(AND($DK448=1,$DL448&lt;=600),1,0)</f>
        <v/>
      </c>
      <c r="DN448">
        <f>IF($DM448=0,"",IF($L$6=0,"",IFERROR(IF(ISNUMBER(INDEX(PASTE_ALL,$DF448,$L$6)),INDEX(PASTE_ALL,$DF448,$L$6),TRIM(SUBSTITUTE(SUBSTITUTE(SUBSTITUTE(SUBSTITUTE(INDEX(PASTE_ALL,$DF448,$L$6)," "," "),CHAR(9)," "),CHAR(10)," "),CHAR(13)," "))),"")))</f>
        <v/>
      </c>
      <c r="DO448">
        <f>IF($DM448=0,"",IF($L$7=0,"",IFERROR(IF(ISNUMBER(INDEX(PASTE_ALL,$DF448,$L$7)),INDEX(PASTE_ALL,$DF448,$L$7),TRIM(SUBSTITUTE(SUBSTITUTE(SUBSTITUTE(SUBSTITUTE(INDEX(PASTE_ALL,$DF448,$L$7)," "," "),CHAR(9)," "),CHAR(10)," "),CHAR(13)," "))),"")))</f>
        <v/>
      </c>
      <c r="DP448">
        <f>IF($DM448=0,"",IF($L$8=0,"",IFERROR(IF(ISNUMBER(INDEX(PASTE_ALL,$DF448,$L$8)),INDEX(PASTE_ALL,$DF448,$L$8),TRIM(SUBSTITUTE(SUBSTITUTE(SUBSTITUTE(SUBSTITUTE(INDEX(PASTE_ALL,$DF448,$L$8)," "," "),CHAR(9)," "),CHAR(10)," "),CHAR(13)," "))),"")))</f>
        <v/>
      </c>
      <c r="DQ448">
        <f>IF($DM448=0,"",IF($L$9=0,"",IFERROR(IF(ISNUMBER(INDEX(PASTE_ALL,$DF448,$L$9)),INDEX(PASTE_ALL,$DF448,$L$9),TRIM(SUBSTITUTE(SUBSTITUTE(SUBSTITUTE(SUBSTITUTE(INDEX(PASTE_ALL,$DF448,$L$9)," "," "),CHAR(9)," "),CHAR(10)," "),CHAR(13)," "))),"")))</f>
        <v/>
      </c>
      <c r="DR448">
        <f>IF($DM448=0,"",IF($L$10=0,"",IFERROR(IF(ISNUMBER(INDEX(PASTE_ALL,$DF448,$L$10)),INDEX(PASTE_ALL,$DF448,$L$10),TRIM(SUBSTITUTE(SUBSTITUTE(SUBSTITUTE(SUBSTITUTE(INDEX(PASTE_ALL,$DF448,$L$10)," "," "),CHAR(9)," "),CHAR(10)," "),CHAR(13)," "))),"")))</f>
        <v/>
      </c>
      <c r="DS448">
        <f>IF($DM448=0,"",IF($L$11=0,"",IFERROR(IF(ISNUMBER(INDEX(PASTE_ALL,$DF448,$L$11)),INDEX(PASTE_ALL,$DF448,$L$11),TRIM(SUBSTITUTE(SUBSTITUTE(SUBSTITUTE(SUBSTITUTE(INDEX(PASTE_ALL,$DF448,$L$11)," "," "),CHAR(9)," "),CHAR(10)," "),CHAR(13)," "))),"")))</f>
        <v/>
      </c>
      <c r="DT448">
        <f>IF($DM448=0,"",IF($L$12=0,"",IFERROR(IF(ISNUMBER(INDEX(PASTE_ALL,$DF448,$L$12)),INDEX(PASTE_ALL,$DF448,$L$12),TRIM(SUBSTITUTE(SUBSTITUTE(SUBSTITUTE(SUBSTITUTE(INDEX(PASTE_ALL,$DF448,$L$12)," "," "),CHAR(9)," "),CHAR(10)," "),CHAR(13)," "))),"")))</f>
        <v/>
      </c>
      <c r="DU448">
        <f>IF($DM448=0,"",IF($L$13=0,"",IFERROR(IF(ISNUMBER(INDEX(PASTE_ALL,$DF448,$L$13)),INDEX(PASTE_ALL,$DF448,$L$13),TRIM(SUBSTITUTE(SUBSTITUTE(SUBSTITUTE(SUBSTITUTE(INDEX(PASTE_ALL,$DF448,$L$13)," "," "),CHAR(9)," "),CHAR(10)," "),CHAR(13)," "))),"")))</f>
        <v/>
      </c>
      <c r="DV448">
        <f>IF($DM448=0,"",IF($L$14=0,"",IFERROR(IF(ISNUMBER(INDEX(PASTE_ALL,$DF448,$L$14)),INDEX(PASTE_ALL,$DF448,$L$14),TRIM(SUBSTITUTE(SUBSTITUTE(SUBSTITUTE(SUBSTITUTE(INDEX(PASTE_ALL,$DF448,$L$14)," "," "),CHAR(9)," "),CHAR(10)," "),CHAR(13)," "))),"")))</f>
        <v/>
      </c>
      <c r="DW448">
        <f>IF($DM448=0,"",IF($L$15=0,"",IFERROR(IF(ISNUMBER(INDEX(PASTE_ALL,$DF448,$L$15)),INDEX(PASTE_ALL,$DF448,$L$15),IF(SUMPRODUCT(--ISNUMBER(FIND({"A","B","C","D","E","F","G","H","I","J","K","L","M","N","O","P","Q","R","S","T","U","V","W","X","Y","Z","0","1","2","3","4","5","6","7","8","9"},UPPER(TRIM(SUBSTITUTE(SUBSTITUTE(SUBSTITUTE(SUBSTITUTE(INDEX(PASTE_ALL,$DF448,$L$15)," "," "),CHAR(9)," "),CHAR(10)," "),CHAR(13)," "))))))&gt;0,TRIM(SUBSTITUTE(SUBSTITUTE(SUBSTITUTE(SUBSTITUTE(INDEX(PASTE_ALL,$DF448,$L$15)," "," "),CHAR(9)," "),CHAR(10)," "),CHAR(13)," ")),"")),"")))</f>
        <v/>
      </c>
      <c r="DX448">
        <f>IF($DM448=0,"",IF($L$16=0,"",IFERROR(IF(ISNUMBER(INDEX(PASTE_ALL,$DF448,$L$16)),INDEX(PASTE_ALL,$DF448,$L$16),SUBSTITUTE(SUBSTITUTE(TRIM(SUBSTITUTE(SUBSTITUTE(SUBSTITUTE(SUBSTITUTE(INDEX(PASTE_ALL,$DF448,$L$16)," "," "),CHAR(9)," "),CHAR(10)," "),CHAR(13)," ")),",",""),"%","")),"")))</f>
        <v/>
      </c>
      <c r="DY448">
        <f>IF($DM448=0,"",IFERROR(IF(ISNUMBER($DX448),$DX448,IF($DX448="","",IF(TRIM($DX448)="",0,IF(AND(AND(SUBSTITUTE(SUBSTITUTE(SUBSTITUTE(SUBSTITUTE(SUBSTITUTE(SUBSTITUTE(SUBSTITUTE(SUBSTITUTE(SUBSTITUTE(SUBSTITUTE(SUBSTITUTE(SUBSTITUTE(SUBSTITUTE(SUBSTITUTE(UPPER(TRIM($DX448)),"0",""),"1",""),"2",""),"3",""),"4",""),"5",""),"6",""),"7",""),"8",""),"9",""),".",""),"+",""),"-",""),"E","")="",LEN(SUBSTITUTE(SUBSTITUTE(MID(UPPER(TRIM($DX448)),1+OR(LEFT(UPPER(TRIM($DX448)),1)="+",LEFT(UPPER(TRIM($DX448)),1)="-"),999),"E+","E"),"E-","E"))=LEN(SUBSTITUTE(SUBSTITUTE(SUBSTITUTE(SUBSTITUTE(MID(UPPER(TRIM($DX448)),1+OR(LEFT(UPPER(TRIM($DX448)),1)="+",LEFT(UPPER(TRIM($DX448)),1)="-"),999),"E+","E"),"E-","E"),"+",""),"-","")),LEN(UPPER(TRIM($DX448)))-LEN(SUBSTITUTE(UPPER(TRIM($DX448)),"E",""))&lt;2,LEN(UPPER(TRIM($DX448)))-LEN(SUBSTITUTE(UPPER(TRIM($DX448)),".",""))&lt;2,IFERROR(FIND(".",UPPER(TRIM($DX448))),0)&lt;IFERROR(FIND("E",UPPER(TRIM($DX448))),999)),ISNUMBER(VALUE(TRIM($DX448)))),VALUE(TRIM($DX448)),"")))),""))</f>
        <v/>
      </c>
      <c r="DZ448">
        <f>IF($DM448=0,"",IF($L$17=0,"",IFERROR(IF(ISNUMBER(INDEX(PASTE_ALL,$DF448,$L$17)),INDEX(PASTE_ALL,$DF448,$L$17),SUBSTITUTE(SUBSTITUTE(TRIM(SUBSTITUTE(SUBSTITUTE(SUBSTITUTE(SUBSTITUTE(INDEX(PASTE_ALL,$DF448,$L$17)," "," "),CHAR(9)," "),CHAR(10)," "),CHAR(13)," ")),",",""),"%","")),"")))</f>
        <v/>
      </c>
      <c r="EA448">
        <f>IF($DM448=0,"",IFERROR(IF(ISNUMBER($DZ448),$DZ448,IF($DZ448="","",IF(TRIM($DZ448)="",0,IF(AND(AND(SUBSTITUTE(SUBSTITUTE(SUBSTITUTE(SUBSTITUTE(SUBSTITUTE(SUBSTITUTE(SUBSTITUTE(SUBSTITUTE(SUBSTITUTE(SUBSTITUTE(SUBSTITUTE(SUBSTITUTE(SUBSTITUTE(SUBSTITUTE(UPPER(TRIM($DZ448)),"0",""),"1",""),"2",""),"3",""),"4",""),"5",""),"6",""),"7",""),"8",""),"9",""),".",""),"+",""),"-",""),"E","")="",LEN(SUBSTITUTE(SUBSTITUTE(MID(UPPER(TRIM($DZ448)),1+OR(LEFT(UPPER(TRIM($DZ448)),1)="+",LEFT(UPPER(TRIM($DZ448)),1)="-"),999),"E+","E"),"E-","E"))=LEN(SUBSTITUTE(SUBSTITUTE(SUBSTITUTE(SUBSTITUTE(MID(UPPER(TRIM($DZ448)),1+OR(LEFT(UPPER(TRIM($DZ448)),1)="+",LEFT(UPPER(TRIM($DZ448)),1)="-"),999),"E+","E"),"E-","E"),"+",""),"-","")),LEN(UPPER(TRIM($DZ448)))-LEN(SUBSTITUTE(UPPER(TRIM($DZ448)),"E",""))&lt;2,LEN(UPPER(TRIM($DZ448)))-LEN(SUBSTITUTE(UPPER(TRIM($DZ448)),".",""))&lt;2,IFERROR(FIND(".",UPPER(TRIM($DZ448))),0)&lt;IFERROR(FIND("E",UPPER(TRIM($DZ448))),999)),ISNUMBER(VALUE(TRIM($DZ448)))),VALUE(TRIM($DZ448)),"")))),""))</f>
        <v/>
      </c>
      <c r="EB448">
        <f>IF($DM448=0,"",IF($L$18=0,"",IFERROR(IF(UPPER(TRIM(SUBSTITUTE(SUBSTITUTE(SUBSTITUTE(SUBSTITUTE(INDEX(PASTE_ALL,$DF448,$L$18)," "," "),CHAR(9)," "),CHAR(10)," "),CHAR(13)," ")))="READY","Ready",IF(UPPER(TRIM(SUBSTITUTE(SUBSTITUTE(SUBSTITUTE(SUBSTITUTE(INDEX(PASTE_ALL,$DF448,$L$18)," "," "),CHAR(9)," "),CHAR(10)," "),CHAR(13)," ")))="PM","PM",IF(OR(UPPER(TRIM(SUBSTITUTE(SUBSTITUTE(SUBSTITUTE(SUBSTITUTE(INDEX(PASTE_ALL,$DF448,$L$18)," "," "),CHAR(9)," "),CHAR(10)," "),CHAR(13)," ")))="OT",UPPER(TRIM(SUBSTITUTE(SUBSTITUTE(SUBSTITUTE(SUBSTITUTE(INDEX(PASTE_ALL,$DF448,$L$18)," "," "),CHAR(9)," "),CHAR(10)," "),CHAR(13)," ")))="OVERTIME",UPPER(TRIM(SUBSTITUTE(SUBSTITUTE(SUBSTITUTE(SUBSTITUTE(INDEX(PASTE_ALL,$DF448,$L$18)," "," "),CHAR(9)," "),CHAR(10)," "),CHAR(13)," ")))="TRIAL"),"OT",TRIM(SUBSTITUTE(SUBSTITUTE(SUBSTITUTE(SUBSTITUTE(INDEX(PASTE_ALL,$DF448,$L$18)," "," "),CHAR(9)," "),CHAR(10)," "),CHAR(13)," "))))),"")))</f>
        <v/>
      </c>
      <c r="EC448">
        <f>IF($DM448=0,"",IF($L$19=0,"",IFERROR(IF(ISNUMBER(INDEX(PASTE_ALL,$DF448,$L$19)),INDEX(PASTE_ALL,$DF448,$L$19),TRIM(SUBSTITUTE(SUBSTITUTE(SUBSTITUTE(SUBSTITUTE(INDEX(PASTE_ALL,$DF448,$L$19)," "," "),CHAR(9)," "),CHAR(10)," "),CHAR(13)," "))),"")))</f>
        <v/>
      </c>
      <c r="ED448">
        <f>IF($DM448=0,"",MATCH(1,INDEX(EXACT($DH$5:DH448,$DH448)*$DM$5:DM448,0),0))</f>
        <v/>
      </c>
      <c r="EE448">
        <f>IF($DM448=0,0,IF($ED448=$DE448,1,0))</f>
        <v/>
      </c>
      <c r="EF448">
        <f>EF447+$EE448</f>
        <v/>
      </c>
      <c r="EG448">
        <f>IF($DM448=0,"",INDEX($EF$5:$EF$1003,$ED448))</f>
        <v/>
      </c>
      <c r="EH448">
        <f>IF($DM448=0,"",IF($DO448&lt;&gt;"","",IFERROR(LOOKUP(2,1/(($EG$4:EG447=$EG448)*($DO$4:DO447&lt;&gt;"")),$DO$4:DO447),"")))</f>
        <v/>
      </c>
      <c r="EI448">
        <f>IF($DM448=0,"",IF($DO448&lt;&gt;"",$DO448,$EH448))</f>
        <v/>
      </c>
      <c r="EJ448">
        <f>IF($DM448=0,"",IF($EI448="",0,IF(OR(ISNUMBER($EI448),AND(AND(SUBSTITUTE(SUBSTITUTE(SUBSTITUTE(SUBSTITUTE(SUBSTITUTE(SUBSTITUTE(SUBSTITUTE(SUBSTITUTE(SUBSTITUTE(SUBSTITUTE(SUBSTITUTE(SUBSTITUTE(SUBSTITUTE(SUBSTITUTE(UPPER($EI448),"0",""),"1",""),"2",""),"3",""),"4",""),"5",""),"6",""),"7",""),"8",""),"9",""),".",""),"+",""),"-",""),"E","")="",LEN(SUBSTITUTE(SUBSTITUTE(MID(UPPER($EI448),1+OR(LEFT(UPPER($EI448),1)="+",LEFT(UPPER($EI448),1)="-"),999),"E+","E"),"E-","E"))=LEN(SUBSTITUTE(SUBSTITUTE(SUBSTITUTE(SUBSTITUTE(MID(UPPER($EI448),1+OR(LEFT(UPPER($EI448),1)="+",LEFT(UPPER($EI448),1)="-"),999),"E+","E"),"E-","E"),"+",""),"-","")),LEN(UPPER($EI448))-LEN(SUBSTITUTE(UPPER($EI448),"E",""))&lt;2,LEN(UPPER($EI448))-LEN(SUBSTITUTE(UPPER($EI448),".",""))&lt;2,IFERROR(FIND(".",UPPER($EI448)),0)&lt;IFERROR(FIND("E",UPPER($EI448)),999)),ISNUMBER(VALUE($EI448)))),1,2)))</f>
        <v/>
      </c>
      <c r="EK448">
        <f>IF($DM448=0,"",IF($EJ448=1,IF(ISNUMBER($EI448),$EI448,VALUE($EI448)),IF($EJ448=2,$DE448,0)))</f>
        <v/>
      </c>
      <c r="EL448">
        <f>IF($DM448=0,"",COUNTIF($EG$5:$EG$1003,"&lt;"&amp;$EG448)+SUMPRODUCT(($EG$5:$EG$1003=$EG448)*(($EJ$5:$EJ$1003&lt;$EJ448)+($EJ$5:$EJ$1003=$EJ448)*(($EK$5:$EK$1003&lt;$EK448)+($EK$5:$EK$1003=$EK448)*($DE$5:$DE$1003&lt;$DE448))))+1)</f>
        <v/>
      </c>
      <c r="EM448">
        <f>IF($DM448=0,"",$EL448+$EG448-1)</f>
        <v/>
      </c>
      <c r="EN448">
        <f>IF($DM448=0,0,IFERROR(MATCH(1,INDEX(--(TRIM(SUBSTITUTE(SUBSTITUTE(SUBSTITUTE(SUBSTITUTE(LINES_NAME&amp;""," "," "),CHAR(9)," "),CHAR(10)," "),CHAR(13)," "))=$DH448),0),0),0))</f>
        <v/>
      </c>
      <c r="EO448">
        <f>IF($EN448=0,0,IF(OR(UPPER(TRIM(INDEX(LINES_SCHEDULED,$EN448)&amp;""))="YES",UPPER(TRIM(INDEX(LINES_SCHEDULED,$EN448)&amp;""))="Y",UPPER(TRIM(INDEX(LINES_SCHEDULED,$EN448)&amp;""))="X"),1,0))</f>
        <v/>
      </c>
      <c r="EP448">
        <f>IF($DM448=0,"",IF(COUNTIFS($EG$5:$EG$1003,$EG448,$EB$5:$EB$1003,"Ready")&gt;0,"READY",IF(COUNTIFS($EG$5:$EG$1003,$EG448,$EB$5:$EB$1003,"PM")&gt;0,"PM",IF(COUNTIFS($EG$5:$EG$1003,$EG448,$EB$5:$EB$1003,"OT")&gt;0,"OT",""))))</f>
        <v/>
      </c>
      <c r="EQ448">
        <f>IF($EN448=0,"",UPPER(TRIM(INDEX(LINES_STATUS,$EN448)&amp;"")))</f>
        <v/>
      </c>
      <c r="ER448">
        <f>IF($DM448=0,"",IF(OR($EQ448="READY",$EQ448="PM",$EQ448="OT"),$EQ448,$EP448))</f>
        <v/>
      </c>
      <c r="ES448">
        <f>IF($DM448=0,"",IF(AND($DV448&lt;&gt;"",UPPER($DV448)&lt;&gt;"N"),"allergen",IF(ISNUMBER(SEARCH("oil",$DQ448)),"oil",IF(OR(EXACT($DS448,"A662"),EXACT($DS448,"A624")),"bulk",""))))</f>
        <v/>
      </c>
      <c r="ET448">
        <f>IF($DM448=0,"",IF(OR($EA448="",$EA448=0),"",$EA448/100))</f>
        <v/>
      </c>
      <c r="EU448">
        <f>IF(OR($ET448="",$DY448=""),"",INT($DY448*(1-$ET448)+0.5))</f>
        <v/>
      </c>
      <c r="EW448" t="n">
        <v>444</v>
      </c>
      <c r="EX448">
        <f>IFERROR(MATCH($EW448,$EM$5:$EM$1003,0),0)</f>
        <v/>
      </c>
      <c r="EY448">
        <f>IF($EW448&gt;$B$12,"",IF($EX448&gt;0,"row","spacer"))</f>
        <v/>
      </c>
      <c r="EZ448">
        <f>IF(AND($EY448="row",$EY447&lt;&gt;"row"),1,0)</f>
        <v/>
      </c>
      <c r="FA448">
        <f>IF(AND($EY448="row",$EY449&lt;&gt;"row"),1,0)</f>
        <v/>
      </c>
      <c r="FB448">
        <f>IF($EZ448=1,IFERROR(IF(ISNUMBER(INDEX(PASTE_ALL,INDEX($DF$5:$DF$1003,$EX448),$B$37)),INDEX(PASTE_ALL,INDEX($DF$5:$DF$1003,$EX448),$B$37),INDEX($DH$5:$DH$1003,$EX448)),INDEX($DH$5:$DH$1003,$EX448)),"")</f>
        <v/>
      </c>
      <c r="FC448">
        <f>IF($EY448="row",INDEX($ER$5:$ER$1003,$EX448),"")</f>
        <v/>
      </c>
      <c r="FD448">
        <f>IF($EY448="row",INDEX($DN$5:$DN$1003,$EX448),"")</f>
        <v/>
      </c>
      <c r="FE448">
        <f>IF($EY448="row",INDEX($DO$5:$DO$1003,$EX448),"")</f>
        <v/>
      </c>
      <c r="FF448">
        <f>IF($EY448="row",INDEX($DP$5:$DP$1003,$EX448),"")</f>
        <v/>
      </c>
      <c r="FG448">
        <f>IF($EY448="row",INDEX($DQ$5:$DQ$1003,$EX448),"")</f>
        <v/>
      </c>
      <c r="FH448">
        <f>IF($EY448="row",INDEX($DR$5:$DR$1003,$EX448),"")</f>
        <v/>
      </c>
      <c r="FI448">
        <f>IF($EY448="row",INDEX($DS$5:$DS$1003,$EX448),"")</f>
        <v/>
      </c>
      <c r="FJ448">
        <f>IF($EY448="row",INDEX($DT$5:$DT$1003,$EX448),"")</f>
        <v/>
      </c>
      <c r="FK448">
        <f>IF($EY448="row",INDEX($DU$5:$DU$1003,$EX448),"")</f>
        <v/>
      </c>
      <c r="FL448">
        <f>IF($EY448="row",INDEX($DV$5:$DV$1003,$EX448),"")</f>
        <v/>
      </c>
      <c r="FM448">
        <f>IF($EY448="row",INDEX($DW$5:$DW$1003,$EX448),"")</f>
        <v/>
      </c>
      <c r="FN448">
        <f>IF($EY448="row",INDEX($DY$5:$DY$1003,$EX448),"")</f>
        <v/>
      </c>
      <c r="FO448">
        <f>IF($EY448="row",INDEX($EA$5:$EA$1003,$EX448),"")</f>
        <v/>
      </c>
      <c r="FP448">
        <f>IF($EY448="row",INDEX($EC$5:$EC$1003,$EX448),"")</f>
        <v/>
      </c>
      <c r="FQ448">
        <f>IF($EY448="row",INDEX($ET$5:$ET$1003,$EX448),"")</f>
        <v/>
      </c>
      <c r="FR448">
        <f>IF($EY448="row",INDEX($EU$5:$EU$1003,$EX448),"")</f>
        <v/>
      </c>
      <c r="FS448">
        <f>IF(AND($EY448="row",$EY447="row"),IF(OR(INDEX($DT$5:$DT$1003,$EX447)="",INDEX($DT$5:$DT$1003,$EX448)=""),"",IF(NOT(EXACT(INDEX($DT$5:$DT$1003,$EX447),INDEX($DT$5:$DT$1003,$EX448))),"S4",IF(NOT(EXACT(INDEX($DS$5:$DS$1003,$EX447),INDEX($DS$5:$DS$1003,$EX448))),"S3",IF(NOT(EXACT(INDEX($DR$5:$DR$1003,$EX447),INDEX($DR$5:$DR$1003,$EX448))),"S1 Count Change","S1")))),"")</f>
        <v/>
      </c>
      <c r="FT448">
        <f>IF($EY448="row",INDEX($ES$5:$ES$1003,$EX448),"")</f>
        <v/>
      </c>
      <c r="FU448">
        <f>IF($EY448="row",INDEX($EO$5:$EO$1003,$EX448),0)</f>
        <v/>
      </c>
      <c r="FV448">
        <f>IF($FS448="S1 Count Change",1,0)</f>
        <v/>
      </c>
    </row>
    <row r="449">
      <c r="DA449" t="n">
        <v>445</v>
      </c>
      <c r="DB449">
        <f>IF($B$37=0,"",IFERROR(TRIM(SUBSTITUTE(SUBSTITUTE(SUBSTITUTE(SUBSTITUTE(INDEX(PASTE_ALL,445,$B$37)," "," "),CHAR(9)," "),CHAR(10)," "),CHAR(13)," ")),""))</f>
        <v/>
      </c>
      <c r="DC449">
        <f>IF(AND(445&gt;HEADER_ROW,UPPER(DB449)="LEGEND"),1,0)</f>
        <v/>
      </c>
      <c r="DE449" t="n">
        <v>445</v>
      </c>
      <c r="DF449">
        <f>HEADER_ROW+$DE449</f>
        <v/>
      </c>
      <c r="DG449">
        <f>IF(AND($DF449&lt;=1000,$DF449&lt;$B$8),1,0)</f>
        <v/>
      </c>
      <c r="DH449">
        <f>IF($DG449=1,IFERROR(INDEX($DB$5:$DB$1004,$DF449),""),"")</f>
        <v/>
      </c>
      <c r="DI449">
        <f>IF(AND($DG449=1,$DH449&lt;&gt;""),IFERROR(SUBSTITUTE(SUBSTITUTE(TRIM(SUBSTITUTE(SUBSTITUTE(SUBSTITUTE(SUBSTITUTE(IFERROR(INDEX(PASTE_ALL,$DF449,1)&amp;"","")&amp;"␟"&amp;IFERROR(INDEX(PASTE_ALL,$DF449,2)&amp;"","")&amp;"␟"&amp;IFERROR(INDEX(PASTE_ALL,$DF449,3)&amp;"","")&amp;"␟"&amp;IFERROR(INDEX(PASTE_ALL,$DF449,4)&amp;"","")&amp;"␟"&amp;IFERROR(INDEX(PASTE_ALL,$DF449,5)&amp;"","")&amp;"␟"&amp;IFERROR(INDEX(PASTE_ALL,$DF449,6)&amp;"","")&amp;"␟"&amp;IFERROR(INDEX(PASTE_ALL,$DF449,7)&amp;"","")&amp;"␟"&amp;IFERROR(INDEX(PASTE_ALL,$DF449,8)&amp;"","")&amp;"␟"&amp;IFERROR(INDEX(PASTE_ALL,$DF449,9)&amp;"","")&amp;"␟"&amp;IFERROR(INDEX(PASTE_ALL,$DF449,10)&amp;"","")&amp;"␟"&amp;IFERROR(INDEX(PASTE_ALL,$DF449,11)&amp;"","")&amp;"␟"&amp;IFERROR(INDEX(PASTE_ALL,$DF449,12)&amp;"","")&amp;"␟"&amp;IFERROR(INDEX(PASTE_ALL,$DF449,13)&amp;"","")&amp;"␟"&amp;IFERROR(INDEX(PASTE_ALL,$DF449,14)&amp;"","")&amp;"␟"&amp;IFERROR(INDEX(PASTE_ALL,$DF449,15)&amp;"","")&amp;"␟"&amp;IFERROR(INDEX(PASTE_ALL,$DF449,16)&amp;"","")&amp;"␟"&amp;IFERROR(INDEX(PASTE_ALL,$DF449,17)&amp;"","")&amp;"␟"&amp;IFERROR(INDEX(PASTE_ALL,$DF449,18)&amp;"","")&amp;"␟"&amp;IFERROR(INDEX(PASTE_ALL,$DF449,19)&amp;"","")&amp;"␟"&amp;IFERROR(INDEX(PASTE_ALL,$DF449,20)&amp;"","")&amp;"␟"&amp;IFERROR(INDEX(PASTE_ALL,$DF449,21)&amp;"","")&amp;"␟"&amp;IFERROR(INDEX(PASTE_ALL,$DF449,22)&amp;"","")&amp;"␟"&amp;IFERROR(INDEX(PASTE_ALL,$DF449,23)&amp;"","")&amp;"␟"&amp;IFERROR(INDEX(PASTE_ALL,$DF449,24)&amp;"","")&amp;"␟"&amp;IFERROR(INDEX(PASTE_ALL,$DF449,25)&amp;"","")&amp;"␟"&amp;IFERROR(INDEX(PASTE_ALL,$DF449,26)&amp;"","")&amp;"␟"&amp;IFERROR(INDEX(PASTE_ALL,$DF449,27)&amp;"","")&amp;"␟"&amp;IFERROR(INDEX(PASTE_ALL,$DF449,28)&amp;"","")&amp;"␟"&amp;IFERROR(INDEX(PASTE_ALL,$DF449,29)&amp;"","")&amp;"␟"&amp;IFERROR(INDEX(PASTE_ALL,$DF449,30)&amp;"","")&amp;"␟"&amp;IFERROR(INDEX(PASTE_ALL,$DF449,31)&amp;"","")&amp;"␟"&amp;IFERROR(INDEX(PASTE_ALL,$DF449,32)&amp;"","")&amp;"␟"&amp;IFERROR(INDEX(PASTE_ALL,$DF449,33)&amp;"","")&amp;"␟"&amp;IFERROR(INDEX(PASTE_ALL,$DF449,34)&amp;"","")&amp;"␟"&amp;IFERROR(INDEX(PASTE_ALL,$DF449,35)&amp;"","")&amp;"␟"&amp;IFERROR(INDEX(PASTE_ALL,$DF449,36)&amp;"","")&amp;"␟"&amp;IFERROR(INDEX(PASTE_ALL,$DF449,37)&amp;"","")&amp;"␟"&amp;IFERROR(INDEX(PASTE_ALL,$DF449,38)&amp;"","")&amp;"␟"&amp;IFERROR(INDEX(PASTE_ALL,$DF449,39)&amp;"","")&amp;"␟"&amp;IFERROR(INDEX(PASTE_ALL,$DF449,40)&amp;"","")&amp;"␟"&amp;IFERROR(INDEX(PASTE_ALL,$DF449,41)&amp;"","")&amp;"␟"&amp;IFERROR(INDEX(PASTE_ALL,$DF449,42)&amp;"","")&amp;"␟"&amp;IFERROR(INDEX(PASTE_ALL,$DF449,43)&amp;"","")&amp;"␟"&amp;IFERROR(INDEX(PASTE_ALL,$DF449,44)&amp;"","")&amp;"␟"&amp;IFERROR(INDEX(PASTE_ALL,$DF449,45)&amp;"","")&amp;"␟"&amp;IFERROR(INDEX(PASTE_ALL,$DF449,46)&amp;"","")&amp;"␟"&amp;IFERROR(INDEX(PASTE_ALL,$DF449,47)&amp;"","")&amp;"␟"&amp;IFERROR(INDEX(PASTE_ALL,$DF449,48)&amp;"","")&amp;"␟"&amp;IFERROR(INDEX(PASTE_ALL,$DF449,49)&amp;"","")&amp;"␟"&amp;IFERROR(INDEX(PASTE_ALL,$DF449,50)&amp;"","")&amp;"␟"&amp;IFERROR(INDEX(PASTE_ALL,$DF449,51)&amp;"","")&amp;"␟"&amp;IFERROR(INDEX(PASTE_ALL,$DF449,52)&amp;"","")&amp;"␟"&amp;IFERROR(INDEX(PASTE_ALL,$DF449,53)&amp;"","")&amp;"␟"&amp;IFERROR(INDEX(PASTE_ALL,$DF449,54)&amp;"","")&amp;"␟"&amp;IFERROR(INDEX(PASTE_ALL,$DF449,55)&amp;"","")&amp;"␟"&amp;IFERROR(INDEX(PASTE_ALL,$DF449,56)&amp;"","")&amp;"␟"&amp;IFERROR(INDEX(PASTE_ALL,$DF449,57)&amp;"","")&amp;"␟"&amp;IFERROR(INDEX(PASTE_ALL,$DF449,58)&amp;"","")&amp;"␟"&amp;IFERROR(INDEX(PASTE_ALL,$DF449,59)&amp;"","")&amp;"␟"&amp;IFERROR(INDEX(PASTE_ALL,$DF449,60)&amp;"","")," "," "),CHAR(9)," "),CHAR(10)," "),CHAR(13)," "))," ␟","␟"),"␟ ","␟"),"#"&amp;$DE449),"")</f>
        <v/>
      </c>
      <c r="DJ449">
        <f>IF($DI449="",0,IF(SUMPRODUCT(--EXACT($DI$4:DI448,$DI449))&gt;0,1,0))</f>
        <v/>
      </c>
      <c r="DK449">
        <f>IF(AND($DI449&lt;&gt;"",$DJ449=0),1,0)</f>
        <v/>
      </c>
      <c r="DL449">
        <f>DL448+$DK449</f>
        <v/>
      </c>
      <c r="DM449">
        <f>IF(AND($DK449=1,$DL449&lt;=600),1,0)</f>
        <v/>
      </c>
      <c r="DN449">
        <f>IF($DM449=0,"",IF($L$6=0,"",IFERROR(IF(ISNUMBER(INDEX(PASTE_ALL,$DF449,$L$6)),INDEX(PASTE_ALL,$DF449,$L$6),TRIM(SUBSTITUTE(SUBSTITUTE(SUBSTITUTE(SUBSTITUTE(INDEX(PASTE_ALL,$DF449,$L$6)," "," "),CHAR(9)," "),CHAR(10)," "),CHAR(13)," "))),"")))</f>
        <v/>
      </c>
      <c r="DO449">
        <f>IF($DM449=0,"",IF($L$7=0,"",IFERROR(IF(ISNUMBER(INDEX(PASTE_ALL,$DF449,$L$7)),INDEX(PASTE_ALL,$DF449,$L$7),TRIM(SUBSTITUTE(SUBSTITUTE(SUBSTITUTE(SUBSTITUTE(INDEX(PASTE_ALL,$DF449,$L$7)," "," "),CHAR(9)," "),CHAR(10)," "),CHAR(13)," "))),"")))</f>
        <v/>
      </c>
      <c r="DP449">
        <f>IF($DM449=0,"",IF($L$8=0,"",IFERROR(IF(ISNUMBER(INDEX(PASTE_ALL,$DF449,$L$8)),INDEX(PASTE_ALL,$DF449,$L$8),TRIM(SUBSTITUTE(SUBSTITUTE(SUBSTITUTE(SUBSTITUTE(INDEX(PASTE_ALL,$DF449,$L$8)," "," "),CHAR(9)," "),CHAR(10)," "),CHAR(13)," "))),"")))</f>
        <v/>
      </c>
      <c r="DQ449">
        <f>IF($DM449=0,"",IF($L$9=0,"",IFERROR(IF(ISNUMBER(INDEX(PASTE_ALL,$DF449,$L$9)),INDEX(PASTE_ALL,$DF449,$L$9),TRIM(SUBSTITUTE(SUBSTITUTE(SUBSTITUTE(SUBSTITUTE(INDEX(PASTE_ALL,$DF449,$L$9)," "," "),CHAR(9)," "),CHAR(10)," "),CHAR(13)," "))),"")))</f>
        <v/>
      </c>
      <c r="DR449">
        <f>IF($DM449=0,"",IF($L$10=0,"",IFERROR(IF(ISNUMBER(INDEX(PASTE_ALL,$DF449,$L$10)),INDEX(PASTE_ALL,$DF449,$L$10),TRIM(SUBSTITUTE(SUBSTITUTE(SUBSTITUTE(SUBSTITUTE(INDEX(PASTE_ALL,$DF449,$L$10)," "," "),CHAR(9)," "),CHAR(10)," "),CHAR(13)," "))),"")))</f>
        <v/>
      </c>
      <c r="DS449">
        <f>IF($DM449=0,"",IF($L$11=0,"",IFERROR(IF(ISNUMBER(INDEX(PASTE_ALL,$DF449,$L$11)),INDEX(PASTE_ALL,$DF449,$L$11),TRIM(SUBSTITUTE(SUBSTITUTE(SUBSTITUTE(SUBSTITUTE(INDEX(PASTE_ALL,$DF449,$L$11)," "," "),CHAR(9)," "),CHAR(10)," "),CHAR(13)," "))),"")))</f>
        <v/>
      </c>
      <c r="DT449">
        <f>IF($DM449=0,"",IF($L$12=0,"",IFERROR(IF(ISNUMBER(INDEX(PASTE_ALL,$DF449,$L$12)),INDEX(PASTE_ALL,$DF449,$L$12),TRIM(SUBSTITUTE(SUBSTITUTE(SUBSTITUTE(SUBSTITUTE(INDEX(PASTE_ALL,$DF449,$L$12)," "," "),CHAR(9)," "),CHAR(10)," "),CHAR(13)," "))),"")))</f>
        <v/>
      </c>
      <c r="DU449">
        <f>IF($DM449=0,"",IF($L$13=0,"",IFERROR(IF(ISNUMBER(INDEX(PASTE_ALL,$DF449,$L$13)),INDEX(PASTE_ALL,$DF449,$L$13),TRIM(SUBSTITUTE(SUBSTITUTE(SUBSTITUTE(SUBSTITUTE(INDEX(PASTE_ALL,$DF449,$L$13)," "," "),CHAR(9)," "),CHAR(10)," "),CHAR(13)," "))),"")))</f>
        <v/>
      </c>
      <c r="DV449">
        <f>IF($DM449=0,"",IF($L$14=0,"",IFERROR(IF(ISNUMBER(INDEX(PASTE_ALL,$DF449,$L$14)),INDEX(PASTE_ALL,$DF449,$L$14),TRIM(SUBSTITUTE(SUBSTITUTE(SUBSTITUTE(SUBSTITUTE(INDEX(PASTE_ALL,$DF449,$L$14)," "," "),CHAR(9)," "),CHAR(10)," "),CHAR(13)," "))),"")))</f>
        <v/>
      </c>
      <c r="DW449">
        <f>IF($DM449=0,"",IF($L$15=0,"",IFERROR(IF(ISNUMBER(INDEX(PASTE_ALL,$DF449,$L$15)),INDEX(PASTE_ALL,$DF449,$L$15),IF(SUMPRODUCT(--ISNUMBER(FIND({"A","B","C","D","E","F","G","H","I","J","K","L","M","N","O","P","Q","R","S","T","U","V","W","X","Y","Z","0","1","2","3","4","5","6","7","8","9"},UPPER(TRIM(SUBSTITUTE(SUBSTITUTE(SUBSTITUTE(SUBSTITUTE(INDEX(PASTE_ALL,$DF449,$L$15)," "," "),CHAR(9)," "),CHAR(10)," "),CHAR(13)," "))))))&gt;0,TRIM(SUBSTITUTE(SUBSTITUTE(SUBSTITUTE(SUBSTITUTE(INDEX(PASTE_ALL,$DF449,$L$15)," "," "),CHAR(9)," "),CHAR(10)," "),CHAR(13)," ")),"")),"")))</f>
        <v/>
      </c>
      <c r="DX449">
        <f>IF($DM449=0,"",IF($L$16=0,"",IFERROR(IF(ISNUMBER(INDEX(PASTE_ALL,$DF449,$L$16)),INDEX(PASTE_ALL,$DF449,$L$16),SUBSTITUTE(SUBSTITUTE(TRIM(SUBSTITUTE(SUBSTITUTE(SUBSTITUTE(SUBSTITUTE(INDEX(PASTE_ALL,$DF449,$L$16)," "," "),CHAR(9)," "),CHAR(10)," "),CHAR(13)," ")),",",""),"%","")),"")))</f>
        <v/>
      </c>
      <c r="DY449">
        <f>IF($DM449=0,"",IFERROR(IF(ISNUMBER($DX449),$DX449,IF($DX449="","",IF(TRIM($DX449)="",0,IF(AND(AND(SUBSTITUTE(SUBSTITUTE(SUBSTITUTE(SUBSTITUTE(SUBSTITUTE(SUBSTITUTE(SUBSTITUTE(SUBSTITUTE(SUBSTITUTE(SUBSTITUTE(SUBSTITUTE(SUBSTITUTE(SUBSTITUTE(SUBSTITUTE(UPPER(TRIM($DX449)),"0",""),"1",""),"2",""),"3",""),"4",""),"5",""),"6",""),"7",""),"8",""),"9",""),".",""),"+",""),"-",""),"E","")="",LEN(SUBSTITUTE(SUBSTITUTE(MID(UPPER(TRIM($DX449)),1+OR(LEFT(UPPER(TRIM($DX449)),1)="+",LEFT(UPPER(TRIM($DX449)),1)="-"),999),"E+","E"),"E-","E"))=LEN(SUBSTITUTE(SUBSTITUTE(SUBSTITUTE(SUBSTITUTE(MID(UPPER(TRIM($DX449)),1+OR(LEFT(UPPER(TRIM($DX449)),1)="+",LEFT(UPPER(TRIM($DX449)),1)="-"),999),"E+","E"),"E-","E"),"+",""),"-","")),LEN(UPPER(TRIM($DX449)))-LEN(SUBSTITUTE(UPPER(TRIM($DX449)),"E",""))&lt;2,LEN(UPPER(TRIM($DX449)))-LEN(SUBSTITUTE(UPPER(TRIM($DX449)),".",""))&lt;2,IFERROR(FIND(".",UPPER(TRIM($DX449))),0)&lt;IFERROR(FIND("E",UPPER(TRIM($DX449))),999)),ISNUMBER(VALUE(TRIM($DX449)))),VALUE(TRIM($DX449)),"")))),""))</f>
        <v/>
      </c>
      <c r="DZ449">
        <f>IF($DM449=0,"",IF($L$17=0,"",IFERROR(IF(ISNUMBER(INDEX(PASTE_ALL,$DF449,$L$17)),INDEX(PASTE_ALL,$DF449,$L$17),SUBSTITUTE(SUBSTITUTE(TRIM(SUBSTITUTE(SUBSTITUTE(SUBSTITUTE(SUBSTITUTE(INDEX(PASTE_ALL,$DF449,$L$17)," "," "),CHAR(9)," "),CHAR(10)," "),CHAR(13)," ")),",",""),"%","")),"")))</f>
        <v/>
      </c>
      <c r="EA449">
        <f>IF($DM449=0,"",IFERROR(IF(ISNUMBER($DZ449),$DZ449,IF($DZ449="","",IF(TRIM($DZ449)="",0,IF(AND(AND(SUBSTITUTE(SUBSTITUTE(SUBSTITUTE(SUBSTITUTE(SUBSTITUTE(SUBSTITUTE(SUBSTITUTE(SUBSTITUTE(SUBSTITUTE(SUBSTITUTE(SUBSTITUTE(SUBSTITUTE(SUBSTITUTE(SUBSTITUTE(UPPER(TRIM($DZ449)),"0",""),"1",""),"2",""),"3",""),"4",""),"5",""),"6",""),"7",""),"8",""),"9",""),".",""),"+",""),"-",""),"E","")="",LEN(SUBSTITUTE(SUBSTITUTE(MID(UPPER(TRIM($DZ449)),1+OR(LEFT(UPPER(TRIM($DZ449)),1)="+",LEFT(UPPER(TRIM($DZ449)),1)="-"),999),"E+","E"),"E-","E"))=LEN(SUBSTITUTE(SUBSTITUTE(SUBSTITUTE(SUBSTITUTE(MID(UPPER(TRIM($DZ449)),1+OR(LEFT(UPPER(TRIM($DZ449)),1)="+",LEFT(UPPER(TRIM($DZ449)),1)="-"),999),"E+","E"),"E-","E"),"+",""),"-","")),LEN(UPPER(TRIM($DZ449)))-LEN(SUBSTITUTE(UPPER(TRIM($DZ449)),"E",""))&lt;2,LEN(UPPER(TRIM($DZ449)))-LEN(SUBSTITUTE(UPPER(TRIM($DZ449)),".",""))&lt;2,IFERROR(FIND(".",UPPER(TRIM($DZ449))),0)&lt;IFERROR(FIND("E",UPPER(TRIM($DZ449))),999)),ISNUMBER(VALUE(TRIM($DZ449)))),VALUE(TRIM($DZ449)),"")))),""))</f>
        <v/>
      </c>
      <c r="EB449">
        <f>IF($DM449=0,"",IF($L$18=0,"",IFERROR(IF(UPPER(TRIM(SUBSTITUTE(SUBSTITUTE(SUBSTITUTE(SUBSTITUTE(INDEX(PASTE_ALL,$DF449,$L$18)," "," "),CHAR(9)," "),CHAR(10)," "),CHAR(13)," ")))="READY","Ready",IF(UPPER(TRIM(SUBSTITUTE(SUBSTITUTE(SUBSTITUTE(SUBSTITUTE(INDEX(PASTE_ALL,$DF449,$L$18)," "," "),CHAR(9)," "),CHAR(10)," "),CHAR(13)," ")))="PM","PM",IF(OR(UPPER(TRIM(SUBSTITUTE(SUBSTITUTE(SUBSTITUTE(SUBSTITUTE(INDEX(PASTE_ALL,$DF449,$L$18)," "," "),CHAR(9)," "),CHAR(10)," "),CHAR(13)," ")))="OT",UPPER(TRIM(SUBSTITUTE(SUBSTITUTE(SUBSTITUTE(SUBSTITUTE(INDEX(PASTE_ALL,$DF449,$L$18)," "," "),CHAR(9)," "),CHAR(10)," "),CHAR(13)," ")))="OVERTIME",UPPER(TRIM(SUBSTITUTE(SUBSTITUTE(SUBSTITUTE(SUBSTITUTE(INDEX(PASTE_ALL,$DF449,$L$18)," "," "),CHAR(9)," "),CHAR(10)," "),CHAR(13)," ")))="TRIAL"),"OT",TRIM(SUBSTITUTE(SUBSTITUTE(SUBSTITUTE(SUBSTITUTE(INDEX(PASTE_ALL,$DF449,$L$18)," "," "),CHAR(9)," "),CHAR(10)," "),CHAR(13)," "))))),"")))</f>
        <v/>
      </c>
      <c r="EC449">
        <f>IF($DM449=0,"",IF($L$19=0,"",IFERROR(IF(ISNUMBER(INDEX(PASTE_ALL,$DF449,$L$19)),INDEX(PASTE_ALL,$DF449,$L$19),TRIM(SUBSTITUTE(SUBSTITUTE(SUBSTITUTE(SUBSTITUTE(INDEX(PASTE_ALL,$DF449,$L$19)," "," "),CHAR(9)," "),CHAR(10)," "),CHAR(13)," "))),"")))</f>
        <v/>
      </c>
      <c r="ED449">
        <f>IF($DM449=0,"",MATCH(1,INDEX(EXACT($DH$5:DH449,$DH449)*$DM$5:DM449,0),0))</f>
        <v/>
      </c>
      <c r="EE449">
        <f>IF($DM449=0,0,IF($ED449=$DE449,1,0))</f>
        <v/>
      </c>
      <c r="EF449">
        <f>EF448+$EE449</f>
        <v/>
      </c>
      <c r="EG449">
        <f>IF($DM449=0,"",INDEX($EF$5:$EF$1003,$ED449))</f>
        <v/>
      </c>
      <c r="EH449">
        <f>IF($DM449=0,"",IF($DO449&lt;&gt;"","",IFERROR(LOOKUP(2,1/(($EG$4:EG448=$EG449)*($DO$4:DO448&lt;&gt;"")),$DO$4:DO448),"")))</f>
        <v/>
      </c>
      <c r="EI449">
        <f>IF($DM449=0,"",IF($DO449&lt;&gt;"",$DO449,$EH449))</f>
        <v/>
      </c>
      <c r="EJ449">
        <f>IF($DM449=0,"",IF($EI449="",0,IF(OR(ISNUMBER($EI449),AND(AND(SUBSTITUTE(SUBSTITUTE(SUBSTITUTE(SUBSTITUTE(SUBSTITUTE(SUBSTITUTE(SUBSTITUTE(SUBSTITUTE(SUBSTITUTE(SUBSTITUTE(SUBSTITUTE(SUBSTITUTE(SUBSTITUTE(SUBSTITUTE(UPPER($EI449),"0",""),"1",""),"2",""),"3",""),"4",""),"5",""),"6",""),"7",""),"8",""),"9",""),".",""),"+",""),"-",""),"E","")="",LEN(SUBSTITUTE(SUBSTITUTE(MID(UPPER($EI449),1+OR(LEFT(UPPER($EI449),1)="+",LEFT(UPPER($EI449),1)="-"),999),"E+","E"),"E-","E"))=LEN(SUBSTITUTE(SUBSTITUTE(SUBSTITUTE(SUBSTITUTE(MID(UPPER($EI449),1+OR(LEFT(UPPER($EI449),1)="+",LEFT(UPPER($EI449),1)="-"),999),"E+","E"),"E-","E"),"+",""),"-","")),LEN(UPPER($EI449))-LEN(SUBSTITUTE(UPPER($EI449),"E",""))&lt;2,LEN(UPPER($EI449))-LEN(SUBSTITUTE(UPPER($EI449),".",""))&lt;2,IFERROR(FIND(".",UPPER($EI449)),0)&lt;IFERROR(FIND("E",UPPER($EI449)),999)),ISNUMBER(VALUE($EI449)))),1,2)))</f>
        <v/>
      </c>
      <c r="EK449">
        <f>IF($DM449=0,"",IF($EJ449=1,IF(ISNUMBER($EI449),$EI449,VALUE($EI449)),IF($EJ449=2,$DE449,0)))</f>
        <v/>
      </c>
      <c r="EL449">
        <f>IF($DM449=0,"",COUNTIF($EG$5:$EG$1003,"&lt;"&amp;$EG449)+SUMPRODUCT(($EG$5:$EG$1003=$EG449)*(($EJ$5:$EJ$1003&lt;$EJ449)+($EJ$5:$EJ$1003=$EJ449)*(($EK$5:$EK$1003&lt;$EK449)+($EK$5:$EK$1003=$EK449)*($DE$5:$DE$1003&lt;$DE449))))+1)</f>
        <v/>
      </c>
      <c r="EM449">
        <f>IF($DM449=0,"",$EL449+$EG449-1)</f>
        <v/>
      </c>
      <c r="EN449">
        <f>IF($DM449=0,0,IFERROR(MATCH(1,INDEX(--(TRIM(SUBSTITUTE(SUBSTITUTE(SUBSTITUTE(SUBSTITUTE(LINES_NAME&amp;""," "," "),CHAR(9)," "),CHAR(10)," "),CHAR(13)," "))=$DH449),0),0),0))</f>
        <v/>
      </c>
      <c r="EO449">
        <f>IF($EN449=0,0,IF(OR(UPPER(TRIM(INDEX(LINES_SCHEDULED,$EN449)&amp;""))="YES",UPPER(TRIM(INDEX(LINES_SCHEDULED,$EN449)&amp;""))="Y",UPPER(TRIM(INDEX(LINES_SCHEDULED,$EN449)&amp;""))="X"),1,0))</f>
        <v/>
      </c>
      <c r="EP449">
        <f>IF($DM449=0,"",IF(COUNTIFS($EG$5:$EG$1003,$EG449,$EB$5:$EB$1003,"Ready")&gt;0,"READY",IF(COUNTIFS($EG$5:$EG$1003,$EG449,$EB$5:$EB$1003,"PM")&gt;0,"PM",IF(COUNTIFS($EG$5:$EG$1003,$EG449,$EB$5:$EB$1003,"OT")&gt;0,"OT",""))))</f>
        <v/>
      </c>
      <c r="EQ449">
        <f>IF($EN449=0,"",UPPER(TRIM(INDEX(LINES_STATUS,$EN449)&amp;"")))</f>
        <v/>
      </c>
      <c r="ER449">
        <f>IF($DM449=0,"",IF(OR($EQ449="READY",$EQ449="PM",$EQ449="OT"),$EQ449,$EP449))</f>
        <v/>
      </c>
      <c r="ES449">
        <f>IF($DM449=0,"",IF(AND($DV449&lt;&gt;"",UPPER($DV449)&lt;&gt;"N"),"allergen",IF(ISNUMBER(SEARCH("oil",$DQ449)),"oil",IF(OR(EXACT($DS449,"A662"),EXACT($DS449,"A624")),"bulk",""))))</f>
        <v/>
      </c>
      <c r="ET449">
        <f>IF($DM449=0,"",IF(OR($EA449="",$EA449=0),"",$EA449/100))</f>
        <v/>
      </c>
      <c r="EU449">
        <f>IF(OR($ET449="",$DY449=""),"",INT($DY449*(1-$ET449)+0.5))</f>
        <v/>
      </c>
      <c r="EW449" t="n">
        <v>445</v>
      </c>
      <c r="EX449">
        <f>IFERROR(MATCH($EW449,$EM$5:$EM$1003,0),0)</f>
        <v/>
      </c>
      <c r="EY449">
        <f>IF($EW449&gt;$B$12,"",IF($EX449&gt;0,"row","spacer"))</f>
        <v/>
      </c>
      <c r="EZ449">
        <f>IF(AND($EY449="row",$EY448&lt;&gt;"row"),1,0)</f>
        <v/>
      </c>
      <c r="FA449">
        <f>IF(AND($EY449="row",$EY450&lt;&gt;"row"),1,0)</f>
        <v/>
      </c>
      <c r="FB449">
        <f>IF($EZ449=1,IFERROR(IF(ISNUMBER(INDEX(PASTE_ALL,INDEX($DF$5:$DF$1003,$EX449),$B$37)),INDEX(PASTE_ALL,INDEX($DF$5:$DF$1003,$EX449),$B$37),INDEX($DH$5:$DH$1003,$EX449)),INDEX($DH$5:$DH$1003,$EX449)),"")</f>
        <v/>
      </c>
      <c r="FC449">
        <f>IF($EY449="row",INDEX($ER$5:$ER$1003,$EX449),"")</f>
        <v/>
      </c>
      <c r="FD449">
        <f>IF($EY449="row",INDEX($DN$5:$DN$1003,$EX449),"")</f>
        <v/>
      </c>
      <c r="FE449">
        <f>IF($EY449="row",INDEX($DO$5:$DO$1003,$EX449),"")</f>
        <v/>
      </c>
      <c r="FF449">
        <f>IF($EY449="row",INDEX($DP$5:$DP$1003,$EX449),"")</f>
        <v/>
      </c>
      <c r="FG449">
        <f>IF($EY449="row",INDEX($DQ$5:$DQ$1003,$EX449),"")</f>
        <v/>
      </c>
      <c r="FH449">
        <f>IF($EY449="row",INDEX($DR$5:$DR$1003,$EX449),"")</f>
        <v/>
      </c>
      <c r="FI449">
        <f>IF($EY449="row",INDEX($DS$5:$DS$1003,$EX449),"")</f>
        <v/>
      </c>
      <c r="FJ449">
        <f>IF($EY449="row",INDEX($DT$5:$DT$1003,$EX449),"")</f>
        <v/>
      </c>
      <c r="FK449">
        <f>IF($EY449="row",INDEX($DU$5:$DU$1003,$EX449),"")</f>
        <v/>
      </c>
      <c r="FL449">
        <f>IF($EY449="row",INDEX($DV$5:$DV$1003,$EX449),"")</f>
        <v/>
      </c>
      <c r="FM449">
        <f>IF($EY449="row",INDEX($DW$5:$DW$1003,$EX449),"")</f>
        <v/>
      </c>
      <c r="FN449">
        <f>IF($EY449="row",INDEX($DY$5:$DY$1003,$EX449),"")</f>
        <v/>
      </c>
      <c r="FO449">
        <f>IF($EY449="row",INDEX($EA$5:$EA$1003,$EX449),"")</f>
        <v/>
      </c>
      <c r="FP449">
        <f>IF($EY449="row",INDEX($EC$5:$EC$1003,$EX449),"")</f>
        <v/>
      </c>
      <c r="FQ449">
        <f>IF($EY449="row",INDEX($ET$5:$ET$1003,$EX449),"")</f>
        <v/>
      </c>
      <c r="FR449">
        <f>IF($EY449="row",INDEX($EU$5:$EU$1003,$EX449),"")</f>
        <v/>
      </c>
      <c r="FS449">
        <f>IF(AND($EY449="row",$EY448="row"),IF(OR(INDEX($DT$5:$DT$1003,$EX448)="",INDEX($DT$5:$DT$1003,$EX449)=""),"",IF(NOT(EXACT(INDEX($DT$5:$DT$1003,$EX448),INDEX($DT$5:$DT$1003,$EX449))),"S4",IF(NOT(EXACT(INDEX($DS$5:$DS$1003,$EX448),INDEX($DS$5:$DS$1003,$EX449))),"S3",IF(NOT(EXACT(INDEX($DR$5:$DR$1003,$EX448),INDEX($DR$5:$DR$1003,$EX449))),"S1 Count Change","S1")))),"")</f>
        <v/>
      </c>
      <c r="FT449">
        <f>IF($EY449="row",INDEX($ES$5:$ES$1003,$EX449),"")</f>
        <v/>
      </c>
      <c r="FU449">
        <f>IF($EY449="row",INDEX($EO$5:$EO$1003,$EX449),0)</f>
        <v/>
      </c>
      <c r="FV449">
        <f>IF($FS449="S1 Count Change",1,0)</f>
        <v/>
      </c>
    </row>
    <row r="450">
      <c r="DA450" t="n">
        <v>446</v>
      </c>
      <c r="DB450">
        <f>IF($B$37=0,"",IFERROR(TRIM(SUBSTITUTE(SUBSTITUTE(SUBSTITUTE(SUBSTITUTE(INDEX(PASTE_ALL,446,$B$37)," "," "),CHAR(9)," "),CHAR(10)," "),CHAR(13)," ")),""))</f>
        <v/>
      </c>
      <c r="DC450">
        <f>IF(AND(446&gt;HEADER_ROW,UPPER(DB450)="LEGEND"),1,0)</f>
        <v/>
      </c>
      <c r="DE450" t="n">
        <v>446</v>
      </c>
      <c r="DF450">
        <f>HEADER_ROW+$DE450</f>
        <v/>
      </c>
      <c r="DG450">
        <f>IF(AND($DF450&lt;=1000,$DF450&lt;$B$8),1,0)</f>
        <v/>
      </c>
      <c r="DH450">
        <f>IF($DG450=1,IFERROR(INDEX($DB$5:$DB$1004,$DF450),""),"")</f>
        <v/>
      </c>
      <c r="DI450">
        <f>IF(AND($DG450=1,$DH450&lt;&gt;""),IFERROR(SUBSTITUTE(SUBSTITUTE(TRIM(SUBSTITUTE(SUBSTITUTE(SUBSTITUTE(SUBSTITUTE(IFERROR(INDEX(PASTE_ALL,$DF450,1)&amp;"","")&amp;"␟"&amp;IFERROR(INDEX(PASTE_ALL,$DF450,2)&amp;"","")&amp;"␟"&amp;IFERROR(INDEX(PASTE_ALL,$DF450,3)&amp;"","")&amp;"␟"&amp;IFERROR(INDEX(PASTE_ALL,$DF450,4)&amp;"","")&amp;"␟"&amp;IFERROR(INDEX(PASTE_ALL,$DF450,5)&amp;"","")&amp;"␟"&amp;IFERROR(INDEX(PASTE_ALL,$DF450,6)&amp;"","")&amp;"␟"&amp;IFERROR(INDEX(PASTE_ALL,$DF450,7)&amp;"","")&amp;"␟"&amp;IFERROR(INDEX(PASTE_ALL,$DF450,8)&amp;"","")&amp;"␟"&amp;IFERROR(INDEX(PASTE_ALL,$DF450,9)&amp;"","")&amp;"␟"&amp;IFERROR(INDEX(PASTE_ALL,$DF450,10)&amp;"","")&amp;"␟"&amp;IFERROR(INDEX(PASTE_ALL,$DF450,11)&amp;"","")&amp;"␟"&amp;IFERROR(INDEX(PASTE_ALL,$DF450,12)&amp;"","")&amp;"␟"&amp;IFERROR(INDEX(PASTE_ALL,$DF450,13)&amp;"","")&amp;"␟"&amp;IFERROR(INDEX(PASTE_ALL,$DF450,14)&amp;"","")&amp;"␟"&amp;IFERROR(INDEX(PASTE_ALL,$DF450,15)&amp;"","")&amp;"␟"&amp;IFERROR(INDEX(PASTE_ALL,$DF450,16)&amp;"","")&amp;"␟"&amp;IFERROR(INDEX(PASTE_ALL,$DF450,17)&amp;"","")&amp;"␟"&amp;IFERROR(INDEX(PASTE_ALL,$DF450,18)&amp;"","")&amp;"␟"&amp;IFERROR(INDEX(PASTE_ALL,$DF450,19)&amp;"","")&amp;"␟"&amp;IFERROR(INDEX(PASTE_ALL,$DF450,20)&amp;"","")&amp;"␟"&amp;IFERROR(INDEX(PASTE_ALL,$DF450,21)&amp;"","")&amp;"␟"&amp;IFERROR(INDEX(PASTE_ALL,$DF450,22)&amp;"","")&amp;"␟"&amp;IFERROR(INDEX(PASTE_ALL,$DF450,23)&amp;"","")&amp;"␟"&amp;IFERROR(INDEX(PASTE_ALL,$DF450,24)&amp;"","")&amp;"␟"&amp;IFERROR(INDEX(PASTE_ALL,$DF450,25)&amp;"","")&amp;"␟"&amp;IFERROR(INDEX(PASTE_ALL,$DF450,26)&amp;"","")&amp;"␟"&amp;IFERROR(INDEX(PASTE_ALL,$DF450,27)&amp;"","")&amp;"␟"&amp;IFERROR(INDEX(PASTE_ALL,$DF450,28)&amp;"","")&amp;"␟"&amp;IFERROR(INDEX(PASTE_ALL,$DF450,29)&amp;"","")&amp;"␟"&amp;IFERROR(INDEX(PASTE_ALL,$DF450,30)&amp;"","")&amp;"␟"&amp;IFERROR(INDEX(PASTE_ALL,$DF450,31)&amp;"","")&amp;"␟"&amp;IFERROR(INDEX(PASTE_ALL,$DF450,32)&amp;"","")&amp;"␟"&amp;IFERROR(INDEX(PASTE_ALL,$DF450,33)&amp;"","")&amp;"␟"&amp;IFERROR(INDEX(PASTE_ALL,$DF450,34)&amp;"","")&amp;"␟"&amp;IFERROR(INDEX(PASTE_ALL,$DF450,35)&amp;"","")&amp;"␟"&amp;IFERROR(INDEX(PASTE_ALL,$DF450,36)&amp;"","")&amp;"␟"&amp;IFERROR(INDEX(PASTE_ALL,$DF450,37)&amp;"","")&amp;"␟"&amp;IFERROR(INDEX(PASTE_ALL,$DF450,38)&amp;"","")&amp;"␟"&amp;IFERROR(INDEX(PASTE_ALL,$DF450,39)&amp;"","")&amp;"␟"&amp;IFERROR(INDEX(PASTE_ALL,$DF450,40)&amp;"","")&amp;"␟"&amp;IFERROR(INDEX(PASTE_ALL,$DF450,41)&amp;"","")&amp;"␟"&amp;IFERROR(INDEX(PASTE_ALL,$DF450,42)&amp;"","")&amp;"␟"&amp;IFERROR(INDEX(PASTE_ALL,$DF450,43)&amp;"","")&amp;"␟"&amp;IFERROR(INDEX(PASTE_ALL,$DF450,44)&amp;"","")&amp;"␟"&amp;IFERROR(INDEX(PASTE_ALL,$DF450,45)&amp;"","")&amp;"␟"&amp;IFERROR(INDEX(PASTE_ALL,$DF450,46)&amp;"","")&amp;"␟"&amp;IFERROR(INDEX(PASTE_ALL,$DF450,47)&amp;"","")&amp;"␟"&amp;IFERROR(INDEX(PASTE_ALL,$DF450,48)&amp;"","")&amp;"␟"&amp;IFERROR(INDEX(PASTE_ALL,$DF450,49)&amp;"","")&amp;"␟"&amp;IFERROR(INDEX(PASTE_ALL,$DF450,50)&amp;"","")&amp;"␟"&amp;IFERROR(INDEX(PASTE_ALL,$DF450,51)&amp;"","")&amp;"␟"&amp;IFERROR(INDEX(PASTE_ALL,$DF450,52)&amp;"","")&amp;"␟"&amp;IFERROR(INDEX(PASTE_ALL,$DF450,53)&amp;"","")&amp;"␟"&amp;IFERROR(INDEX(PASTE_ALL,$DF450,54)&amp;"","")&amp;"␟"&amp;IFERROR(INDEX(PASTE_ALL,$DF450,55)&amp;"","")&amp;"␟"&amp;IFERROR(INDEX(PASTE_ALL,$DF450,56)&amp;"","")&amp;"␟"&amp;IFERROR(INDEX(PASTE_ALL,$DF450,57)&amp;"","")&amp;"␟"&amp;IFERROR(INDEX(PASTE_ALL,$DF450,58)&amp;"","")&amp;"␟"&amp;IFERROR(INDEX(PASTE_ALL,$DF450,59)&amp;"","")&amp;"␟"&amp;IFERROR(INDEX(PASTE_ALL,$DF450,60)&amp;"","")," "," "),CHAR(9)," "),CHAR(10)," "),CHAR(13)," "))," ␟","␟"),"␟ ","␟"),"#"&amp;$DE450),"")</f>
        <v/>
      </c>
      <c r="DJ450">
        <f>IF($DI450="",0,IF(SUMPRODUCT(--EXACT($DI$4:DI449,$DI450))&gt;0,1,0))</f>
        <v/>
      </c>
      <c r="DK450">
        <f>IF(AND($DI450&lt;&gt;"",$DJ450=0),1,0)</f>
        <v/>
      </c>
      <c r="DL450">
        <f>DL449+$DK450</f>
        <v/>
      </c>
      <c r="DM450">
        <f>IF(AND($DK450=1,$DL450&lt;=600),1,0)</f>
        <v/>
      </c>
      <c r="DN450">
        <f>IF($DM450=0,"",IF($L$6=0,"",IFERROR(IF(ISNUMBER(INDEX(PASTE_ALL,$DF450,$L$6)),INDEX(PASTE_ALL,$DF450,$L$6),TRIM(SUBSTITUTE(SUBSTITUTE(SUBSTITUTE(SUBSTITUTE(INDEX(PASTE_ALL,$DF450,$L$6)," "," "),CHAR(9)," "),CHAR(10)," "),CHAR(13)," "))),"")))</f>
        <v/>
      </c>
      <c r="DO450">
        <f>IF($DM450=0,"",IF($L$7=0,"",IFERROR(IF(ISNUMBER(INDEX(PASTE_ALL,$DF450,$L$7)),INDEX(PASTE_ALL,$DF450,$L$7),TRIM(SUBSTITUTE(SUBSTITUTE(SUBSTITUTE(SUBSTITUTE(INDEX(PASTE_ALL,$DF450,$L$7)," "," "),CHAR(9)," "),CHAR(10)," "),CHAR(13)," "))),"")))</f>
        <v/>
      </c>
      <c r="DP450">
        <f>IF($DM450=0,"",IF($L$8=0,"",IFERROR(IF(ISNUMBER(INDEX(PASTE_ALL,$DF450,$L$8)),INDEX(PASTE_ALL,$DF450,$L$8),TRIM(SUBSTITUTE(SUBSTITUTE(SUBSTITUTE(SUBSTITUTE(INDEX(PASTE_ALL,$DF450,$L$8)," "," "),CHAR(9)," "),CHAR(10)," "),CHAR(13)," "))),"")))</f>
        <v/>
      </c>
      <c r="DQ450">
        <f>IF($DM450=0,"",IF($L$9=0,"",IFERROR(IF(ISNUMBER(INDEX(PASTE_ALL,$DF450,$L$9)),INDEX(PASTE_ALL,$DF450,$L$9),TRIM(SUBSTITUTE(SUBSTITUTE(SUBSTITUTE(SUBSTITUTE(INDEX(PASTE_ALL,$DF450,$L$9)," "," "),CHAR(9)," "),CHAR(10)," "),CHAR(13)," "))),"")))</f>
        <v/>
      </c>
      <c r="DR450">
        <f>IF($DM450=0,"",IF($L$10=0,"",IFERROR(IF(ISNUMBER(INDEX(PASTE_ALL,$DF450,$L$10)),INDEX(PASTE_ALL,$DF450,$L$10),TRIM(SUBSTITUTE(SUBSTITUTE(SUBSTITUTE(SUBSTITUTE(INDEX(PASTE_ALL,$DF450,$L$10)," "," "),CHAR(9)," "),CHAR(10)," "),CHAR(13)," "))),"")))</f>
        <v/>
      </c>
      <c r="DS450">
        <f>IF($DM450=0,"",IF($L$11=0,"",IFERROR(IF(ISNUMBER(INDEX(PASTE_ALL,$DF450,$L$11)),INDEX(PASTE_ALL,$DF450,$L$11),TRIM(SUBSTITUTE(SUBSTITUTE(SUBSTITUTE(SUBSTITUTE(INDEX(PASTE_ALL,$DF450,$L$11)," "," "),CHAR(9)," "),CHAR(10)," "),CHAR(13)," "))),"")))</f>
        <v/>
      </c>
      <c r="DT450">
        <f>IF($DM450=0,"",IF($L$12=0,"",IFERROR(IF(ISNUMBER(INDEX(PASTE_ALL,$DF450,$L$12)),INDEX(PASTE_ALL,$DF450,$L$12),TRIM(SUBSTITUTE(SUBSTITUTE(SUBSTITUTE(SUBSTITUTE(INDEX(PASTE_ALL,$DF450,$L$12)," "," "),CHAR(9)," "),CHAR(10)," "),CHAR(13)," "))),"")))</f>
        <v/>
      </c>
      <c r="DU450">
        <f>IF($DM450=0,"",IF($L$13=0,"",IFERROR(IF(ISNUMBER(INDEX(PASTE_ALL,$DF450,$L$13)),INDEX(PASTE_ALL,$DF450,$L$13),TRIM(SUBSTITUTE(SUBSTITUTE(SUBSTITUTE(SUBSTITUTE(INDEX(PASTE_ALL,$DF450,$L$13)," "," "),CHAR(9)," "),CHAR(10)," "),CHAR(13)," "))),"")))</f>
        <v/>
      </c>
      <c r="DV450">
        <f>IF($DM450=0,"",IF($L$14=0,"",IFERROR(IF(ISNUMBER(INDEX(PASTE_ALL,$DF450,$L$14)),INDEX(PASTE_ALL,$DF450,$L$14),TRIM(SUBSTITUTE(SUBSTITUTE(SUBSTITUTE(SUBSTITUTE(INDEX(PASTE_ALL,$DF450,$L$14)," "," "),CHAR(9)," "),CHAR(10)," "),CHAR(13)," "))),"")))</f>
        <v/>
      </c>
      <c r="DW450">
        <f>IF($DM450=0,"",IF($L$15=0,"",IFERROR(IF(ISNUMBER(INDEX(PASTE_ALL,$DF450,$L$15)),INDEX(PASTE_ALL,$DF450,$L$15),IF(SUMPRODUCT(--ISNUMBER(FIND({"A","B","C","D","E","F","G","H","I","J","K","L","M","N","O","P","Q","R","S","T","U","V","W","X","Y","Z","0","1","2","3","4","5","6","7","8","9"},UPPER(TRIM(SUBSTITUTE(SUBSTITUTE(SUBSTITUTE(SUBSTITUTE(INDEX(PASTE_ALL,$DF450,$L$15)," "," "),CHAR(9)," "),CHAR(10)," "),CHAR(13)," "))))))&gt;0,TRIM(SUBSTITUTE(SUBSTITUTE(SUBSTITUTE(SUBSTITUTE(INDEX(PASTE_ALL,$DF450,$L$15)," "," "),CHAR(9)," "),CHAR(10)," "),CHAR(13)," ")),"")),"")))</f>
        <v/>
      </c>
      <c r="DX450">
        <f>IF($DM450=0,"",IF($L$16=0,"",IFERROR(IF(ISNUMBER(INDEX(PASTE_ALL,$DF450,$L$16)),INDEX(PASTE_ALL,$DF450,$L$16),SUBSTITUTE(SUBSTITUTE(TRIM(SUBSTITUTE(SUBSTITUTE(SUBSTITUTE(SUBSTITUTE(INDEX(PASTE_ALL,$DF450,$L$16)," "," "),CHAR(9)," "),CHAR(10)," "),CHAR(13)," ")),",",""),"%","")),"")))</f>
        <v/>
      </c>
      <c r="DY450">
        <f>IF($DM450=0,"",IFERROR(IF(ISNUMBER($DX450),$DX450,IF($DX450="","",IF(TRIM($DX450)="",0,IF(AND(AND(SUBSTITUTE(SUBSTITUTE(SUBSTITUTE(SUBSTITUTE(SUBSTITUTE(SUBSTITUTE(SUBSTITUTE(SUBSTITUTE(SUBSTITUTE(SUBSTITUTE(SUBSTITUTE(SUBSTITUTE(SUBSTITUTE(SUBSTITUTE(UPPER(TRIM($DX450)),"0",""),"1",""),"2",""),"3",""),"4",""),"5",""),"6",""),"7",""),"8",""),"9",""),".",""),"+",""),"-",""),"E","")="",LEN(SUBSTITUTE(SUBSTITUTE(MID(UPPER(TRIM($DX450)),1+OR(LEFT(UPPER(TRIM($DX450)),1)="+",LEFT(UPPER(TRIM($DX450)),1)="-"),999),"E+","E"),"E-","E"))=LEN(SUBSTITUTE(SUBSTITUTE(SUBSTITUTE(SUBSTITUTE(MID(UPPER(TRIM($DX450)),1+OR(LEFT(UPPER(TRIM($DX450)),1)="+",LEFT(UPPER(TRIM($DX450)),1)="-"),999),"E+","E"),"E-","E"),"+",""),"-","")),LEN(UPPER(TRIM($DX450)))-LEN(SUBSTITUTE(UPPER(TRIM($DX450)),"E",""))&lt;2,LEN(UPPER(TRIM($DX450)))-LEN(SUBSTITUTE(UPPER(TRIM($DX450)),".",""))&lt;2,IFERROR(FIND(".",UPPER(TRIM($DX450))),0)&lt;IFERROR(FIND("E",UPPER(TRIM($DX450))),999)),ISNUMBER(VALUE(TRIM($DX450)))),VALUE(TRIM($DX450)),"")))),""))</f>
        <v/>
      </c>
      <c r="DZ450">
        <f>IF($DM450=0,"",IF($L$17=0,"",IFERROR(IF(ISNUMBER(INDEX(PASTE_ALL,$DF450,$L$17)),INDEX(PASTE_ALL,$DF450,$L$17),SUBSTITUTE(SUBSTITUTE(TRIM(SUBSTITUTE(SUBSTITUTE(SUBSTITUTE(SUBSTITUTE(INDEX(PASTE_ALL,$DF450,$L$17)," "," "),CHAR(9)," "),CHAR(10)," "),CHAR(13)," ")),",",""),"%","")),"")))</f>
        <v/>
      </c>
      <c r="EA450">
        <f>IF($DM450=0,"",IFERROR(IF(ISNUMBER($DZ450),$DZ450,IF($DZ450="","",IF(TRIM($DZ450)="",0,IF(AND(AND(SUBSTITUTE(SUBSTITUTE(SUBSTITUTE(SUBSTITUTE(SUBSTITUTE(SUBSTITUTE(SUBSTITUTE(SUBSTITUTE(SUBSTITUTE(SUBSTITUTE(SUBSTITUTE(SUBSTITUTE(SUBSTITUTE(SUBSTITUTE(UPPER(TRIM($DZ450)),"0",""),"1",""),"2",""),"3",""),"4",""),"5",""),"6",""),"7",""),"8",""),"9",""),".",""),"+",""),"-",""),"E","")="",LEN(SUBSTITUTE(SUBSTITUTE(MID(UPPER(TRIM($DZ450)),1+OR(LEFT(UPPER(TRIM($DZ450)),1)="+",LEFT(UPPER(TRIM($DZ450)),1)="-"),999),"E+","E"),"E-","E"))=LEN(SUBSTITUTE(SUBSTITUTE(SUBSTITUTE(SUBSTITUTE(MID(UPPER(TRIM($DZ450)),1+OR(LEFT(UPPER(TRIM($DZ450)),1)="+",LEFT(UPPER(TRIM($DZ450)),1)="-"),999),"E+","E"),"E-","E"),"+",""),"-","")),LEN(UPPER(TRIM($DZ450)))-LEN(SUBSTITUTE(UPPER(TRIM($DZ450)),"E",""))&lt;2,LEN(UPPER(TRIM($DZ450)))-LEN(SUBSTITUTE(UPPER(TRIM($DZ450)),".",""))&lt;2,IFERROR(FIND(".",UPPER(TRIM($DZ450))),0)&lt;IFERROR(FIND("E",UPPER(TRIM($DZ450))),999)),ISNUMBER(VALUE(TRIM($DZ450)))),VALUE(TRIM($DZ450)),"")))),""))</f>
        <v/>
      </c>
      <c r="EB450">
        <f>IF($DM450=0,"",IF($L$18=0,"",IFERROR(IF(UPPER(TRIM(SUBSTITUTE(SUBSTITUTE(SUBSTITUTE(SUBSTITUTE(INDEX(PASTE_ALL,$DF450,$L$18)," "," "),CHAR(9)," "),CHAR(10)," "),CHAR(13)," ")))="READY","Ready",IF(UPPER(TRIM(SUBSTITUTE(SUBSTITUTE(SUBSTITUTE(SUBSTITUTE(INDEX(PASTE_ALL,$DF450,$L$18)," "," "),CHAR(9)," "),CHAR(10)," "),CHAR(13)," ")))="PM","PM",IF(OR(UPPER(TRIM(SUBSTITUTE(SUBSTITUTE(SUBSTITUTE(SUBSTITUTE(INDEX(PASTE_ALL,$DF450,$L$18)," "," "),CHAR(9)," "),CHAR(10)," "),CHAR(13)," ")))="OT",UPPER(TRIM(SUBSTITUTE(SUBSTITUTE(SUBSTITUTE(SUBSTITUTE(INDEX(PASTE_ALL,$DF450,$L$18)," "," "),CHAR(9)," "),CHAR(10)," "),CHAR(13)," ")))="OVERTIME",UPPER(TRIM(SUBSTITUTE(SUBSTITUTE(SUBSTITUTE(SUBSTITUTE(INDEX(PASTE_ALL,$DF450,$L$18)," "," "),CHAR(9)," "),CHAR(10)," "),CHAR(13)," ")))="TRIAL"),"OT",TRIM(SUBSTITUTE(SUBSTITUTE(SUBSTITUTE(SUBSTITUTE(INDEX(PASTE_ALL,$DF450,$L$18)," "," "),CHAR(9)," "),CHAR(10)," "),CHAR(13)," "))))),"")))</f>
        <v/>
      </c>
      <c r="EC450">
        <f>IF($DM450=0,"",IF($L$19=0,"",IFERROR(IF(ISNUMBER(INDEX(PASTE_ALL,$DF450,$L$19)),INDEX(PASTE_ALL,$DF450,$L$19),TRIM(SUBSTITUTE(SUBSTITUTE(SUBSTITUTE(SUBSTITUTE(INDEX(PASTE_ALL,$DF450,$L$19)," "," "),CHAR(9)," "),CHAR(10)," "),CHAR(13)," "))),"")))</f>
        <v/>
      </c>
      <c r="ED450">
        <f>IF($DM450=0,"",MATCH(1,INDEX(EXACT($DH$5:DH450,$DH450)*$DM$5:DM450,0),0))</f>
        <v/>
      </c>
      <c r="EE450">
        <f>IF($DM450=0,0,IF($ED450=$DE450,1,0))</f>
        <v/>
      </c>
      <c r="EF450">
        <f>EF449+$EE450</f>
        <v/>
      </c>
      <c r="EG450">
        <f>IF($DM450=0,"",INDEX($EF$5:$EF$1003,$ED450))</f>
        <v/>
      </c>
      <c r="EH450">
        <f>IF($DM450=0,"",IF($DO450&lt;&gt;"","",IFERROR(LOOKUP(2,1/(($EG$4:EG449=$EG450)*($DO$4:DO449&lt;&gt;"")),$DO$4:DO449),"")))</f>
        <v/>
      </c>
      <c r="EI450">
        <f>IF($DM450=0,"",IF($DO450&lt;&gt;"",$DO450,$EH450))</f>
        <v/>
      </c>
      <c r="EJ450">
        <f>IF($DM450=0,"",IF($EI450="",0,IF(OR(ISNUMBER($EI450),AND(AND(SUBSTITUTE(SUBSTITUTE(SUBSTITUTE(SUBSTITUTE(SUBSTITUTE(SUBSTITUTE(SUBSTITUTE(SUBSTITUTE(SUBSTITUTE(SUBSTITUTE(SUBSTITUTE(SUBSTITUTE(SUBSTITUTE(SUBSTITUTE(UPPER($EI450),"0",""),"1",""),"2",""),"3",""),"4",""),"5",""),"6",""),"7",""),"8",""),"9",""),".",""),"+",""),"-",""),"E","")="",LEN(SUBSTITUTE(SUBSTITUTE(MID(UPPER($EI450),1+OR(LEFT(UPPER($EI450),1)="+",LEFT(UPPER($EI450),1)="-"),999),"E+","E"),"E-","E"))=LEN(SUBSTITUTE(SUBSTITUTE(SUBSTITUTE(SUBSTITUTE(MID(UPPER($EI450),1+OR(LEFT(UPPER($EI450),1)="+",LEFT(UPPER($EI450),1)="-"),999),"E+","E"),"E-","E"),"+",""),"-","")),LEN(UPPER($EI450))-LEN(SUBSTITUTE(UPPER($EI450),"E",""))&lt;2,LEN(UPPER($EI450))-LEN(SUBSTITUTE(UPPER($EI450),".",""))&lt;2,IFERROR(FIND(".",UPPER($EI450)),0)&lt;IFERROR(FIND("E",UPPER($EI450)),999)),ISNUMBER(VALUE($EI450)))),1,2)))</f>
        <v/>
      </c>
      <c r="EK450">
        <f>IF($DM450=0,"",IF($EJ450=1,IF(ISNUMBER($EI450),$EI450,VALUE($EI450)),IF($EJ450=2,$DE450,0)))</f>
        <v/>
      </c>
      <c r="EL450">
        <f>IF($DM450=0,"",COUNTIF($EG$5:$EG$1003,"&lt;"&amp;$EG450)+SUMPRODUCT(($EG$5:$EG$1003=$EG450)*(($EJ$5:$EJ$1003&lt;$EJ450)+($EJ$5:$EJ$1003=$EJ450)*(($EK$5:$EK$1003&lt;$EK450)+($EK$5:$EK$1003=$EK450)*($DE$5:$DE$1003&lt;$DE450))))+1)</f>
        <v/>
      </c>
      <c r="EM450">
        <f>IF($DM450=0,"",$EL450+$EG450-1)</f>
        <v/>
      </c>
      <c r="EN450">
        <f>IF($DM450=0,0,IFERROR(MATCH(1,INDEX(--(TRIM(SUBSTITUTE(SUBSTITUTE(SUBSTITUTE(SUBSTITUTE(LINES_NAME&amp;""," "," "),CHAR(9)," "),CHAR(10)," "),CHAR(13)," "))=$DH450),0),0),0))</f>
        <v/>
      </c>
      <c r="EO450">
        <f>IF($EN450=0,0,IF(OR(UPPER(TRIM(INDEX(LINES_SCHEDULED,$EN450)&amp;""))="YES",UPPER(TRIM(INDEX(LINES_SCHEDULED,$EN450)&amp;""))="Y",UPPER(TRIM(INDEX(LINES_SCHEDULED,$EN450)&amp;""))="X"),1,0))</f>
        <v/>
      </c>
      <c r="EP450">
        <f>IF($DM450=0,"",IF(COUNTIFS($EG$5:$EG$1003,$EG450,$EB$5:$EB$1003,"Ready")&gt;0,"READY",IF(COUNTIFS($EG$5:$EG$1003,$EG450,$EB$5:$EB$1003,"PM")&gt;0,"PM",IF(COUNTIFS($EG$5:$EG$1003,$EG450,$EB$5:$EB$1003,"OT")&gt;0,"OT",""))))</f>
        <v/>
      </c>
      <c r="EQ450">
        <f>IF($EN450=0,"",UPPER(TRIM(INDEX(LINES_STATUS,$EN450)&amp;"")))</f>
        <v/>
      </c>
      <c r="ER450">
        <f>IF($DM450=0,"",IF(OR($EQ450="READY",$EQ450="PM",$EQ450="OT"),$EQ450,$EP450))</f>
        <v/>
      </c>
      <c r="ES450">
        <f>IF($DM450=0,"",IF(AND($DV450&lt;&gt;"",UPPER($DV450)&lt;&gt;"N"),"allergen",IF(ISNUMBER(SEARCH("oil",$DQ450)),"oil",IF(OR(EXACT($DS450,"A662"),EXACT($DS450,"A624")),"bulk",""))))</f>
        <v/>
      </c>
      <c r="ET450">
        <f>IF($DM450=0,"",IF(OR($EA450="",$EA450=0),"",$EA450/100))</f>
        <v/>
      </c>
      <c r="EU450">
        <f>IF(OR($ET450="",$DY450=""),"",INT($DY450*(1-$ET450)+0.5))</f>
        <v/>
      </c>
      <c r="EW450" t="n">
        <v>446</v>
      </c>
      <c r="EX450">
        <f>IFERROR(MATCH($EW450,$EM$5:$EM$1003,0),0)</f>
        <v/>
      </c>
      <c r="EY450">
        <f>IF($EW450&gt;$B$12,"",IF($EX450&gt;0,"row","spacer"))</f>
        <v/>
      </c>
      <c r="EZ450">
        <f>IF(AND($EY450="row",$EY449&lt;&gt;"row"),1,0)</f>
        <v/>
      </c>
      <c r="FA450">
        <f>IF(AND($EY450="row",$EY451&lt;&gt;"row"),1,0)</f>
        <v/>
      </c>
      <c r="FB450">
        <f>IF($EZ450=1,IFERROR(IF(ISNUMBER(INDEX(PASTE_ALL,INDEX($DF$5:$DF$1003,$EX450),$B$37)),INDEX(PASTE_ALL,INDEX($DF$5:$DF$1003,$EX450),$B$37),INDEX($DH$5:$DH$1003,$EX450)),INDEX($DH$5:$DH$1003,$EX450)),"")</f>
        <v/>
      </c>
      <c r="FC450">
        <f>IF($EY450="row",INDEX($ER$5:$ER$1003,$EX450),"")</f>
        <v/>
      </c>
      <c r="FD450">
        <f>IF($EY450="row",INDEX($DN$5:$DN$1003,$EX450),"")</f>
        <v/>
      </c>
      <c r="FE450">
        <f>IF($EY450="row",INDEX($DO$5:$DO$1003,$EX450),"")</f>
        <v/>
      </c>
      <c r="FF450">
        <f>IF($EY450="row",INDEX($DP$5:$DP$1003,$EX450),"")</f>
        <v/>
      </c>
      <c r="FG450">
        <f>IF($EY450="row",INDEX($DQ$5:$DQ$1003,$EX450),"")</f>
        <v/>
      </c>
      <c r="FH450">
        <f>IF($EY450="row",INDEX($DR$5:$DR$1003,$EX450),"")</f>
        <v/>
      </c>
      <c r="FI450">
        <f>IF($EY450="row",INDEX($DS$5:$DS$1003,$EX450),"")</f>
        <v/>
      </c>
      <c r="FJ450">
        <f>IF($EY450="row",INDEX($DT$5:$DT$1003,$EX450),"")</f>
        <v/>
      </c>
      <c r="FK450">
        <f>IF($EY450="row",INDEX($DU$5:$DU$1003,$EX450),"")</f>
        <v/>
      </c>
      <c r="FL450">
        <f>IF($EY450="row",INDEX($DV$5:$DV$1003,$EX450),"")</f>
        <v/>
      </c>
      <c r="FM450">
        <f>IF($EY450="row",INDEX($DW$5:$DW$1003,$EX450),"")</f>
        <v/>
      </c>
      <c r="FN450">
        <f>IF($EY450="row",INDEX($DY$5:$DY$1003,$EX450),"")</f>
        <v/>
      </c>
      <c r="FO450">
        <f>IF($EY450="row",INDEX($EA$5:$EA$1003,$EX450),"")</f>
        <v/>
      </c>
      <c r="FP450">
        <f>IF($EY450="row",INDEX($EC$5:$EC$1003,$EX450),"")</f>
        <v/>
      </c>
      <c r="FQ450">
        <f>IF($EY450="row",INDEX($ET$5:$ET$1003,$EX450),"")</f>
        <v/>
      </c>
      <c r="FR450">
        <f>IF($EY450="row",INDEX($EU$5:$EU$1003,$EX450),"")</f>
        <v/>
      </c>
      <c r="FS450">
        <f>IF(AND($EY450="row",$EY449="row"),IF(OR(INDEX($DT$5:$DT$1003,$EX449)="",INDEX($DT$5:$DT$1003,$EX450)=""),"",IF(NOT(EXACT(INDEX($DT$5:$DT$1003,$EX449),INDEX($DT$5:$DT$1003,$EX450))),"S4",IF(NOT(EXACT(INDEX($DS$5:$DS$1003,$EX449),INDEX($DS$5:$DS$1003,$EX450))),"S3",IF(NOT(EXACT(INDEX($DR$5:$DR$1003,$EX449),INDEX($DR$5:$DR$1003,$EX450))),"S1 Count Change","S1")))),"")</f>
        <v/>
      </c>
      <c r="FT450">
        <f>IF($EY450="row",INDEX($ES$5:$ES$1003,$EX450),"")</f>
        <v/>
      </c>
      <c r="FU450">
        <f>IF($EY450="row",INDEX($EO$5:$EO$1003,$EX450),0)</f>
        <v/>
      </c>
      <c r="FV450">
        <f>IF($FS450="S1 Count Change",1,0)</f>
        <v/>
      </c>
    </row>
    <row r="451">
      <c r="DA451" t="n">
        <v>447</v>
      </c>
      <c r="DB451">
        <f>IF($B$37=0,"",IFERROR(TRIM(SUBSTITUTE(SUBSTITUTE(SUBSTITUTE(SUBSTITUTE(INDEX(PASTE_ALL,447,$B$37)," "," "),CHAR(9)," "),CHAR(10)," "),CHAR(13)," ")),""))</f>
        <v/>
      </c>
      <c r="DC451">
        <f>IF(AND(447&gt;HEADER_ROW,UPPER(DB451)="LEGEND"),1,0)</f>
        <v/>
      </c>
      <c r="DE451" t="n">
        <v>447</v>
      </c>
      <c r="DF451">
        <f>HEADER_ROW+$DE451</f>
        <v/>
      </c>
      <c r="DG451">
        <f>IF(AND($DF451&lt;=1000,$DF451&lt;$B$8),1,0)</f>
        <v/>
      </c>
      <c r="DH451">
        <f>IF($DG451=1,IFERROR(INDEX($DB$5:$DB$1004,$DF451),""),"")</f>
        <v/>
      </c>
      <c r="DI451">
        <f>IF(AND($DG451=1,$DH451&lt;&gt;""),IFERROR(SUBSTITUTE(SUBSTITUTE(TRIM(SUBSTITUTE(SUBSTITUTE(SUBSTITUTE(SUBSTITUTE(IFERROR(INDEX(PASTE_ALL,$DF451,1)&amp;"","")&amp;"␟"&amp;IFERROR(INDEX(PASTE_ALL,$DF451,2)&amp;"","")&amp;"␟"&amp;IFERROR(INDEX(PASTE_ALL,$DF451,3)&amp;"","")&amp;"␟"&amp;IFERROR(INDEX(PASTE_ALL,$DF451,4)&amp;"","")&amp;"␟"&amp;IFERROR(INDEX(PASTE_ALL,$DF451,5)&amp;"","")&amp;"␟"&amp;IFERROR(INDEX(PASTE_ALL,$DF451,6)&amp;"","")&amp;"␟"&amp;IFERROR(INDEX(PASTE_ALL,$DF451,7)&amp;"","")&amp;"␟"&amp;IFERROR(INDEX(PASTE_ALL,$DF451,8)&amp;"","")&amp;"␟"&amp;IFERROR(INDEX(PASTE_ALL,$DF451,9)&amp;"","")&amp;"␟"&amp;IFERROR(INDEX(PASTE_ALL,$DF451,10)&amp;"","")&amp;"␟"&amp;IFERROR(INDEX(PASTE_ALL,$DF451,11)&amp;"","")&amp;"␟"&amp;IFERROR(INDEX(PASTE_ALL,$DF451,12)&amp;"","")&amp;"␟"&amp;IFERROR(INDEX(PASTE_ALL,$DF451,13)&amp;"","")&amp;"␟"&amp;IFERROR(INDEX(PASTE_ALL,$DF451,14)&amp;"","")&amp;"␟"&amp;IFERROR(INDEX(PASTE_ALL,$DF451,15)&amp;"","")&amp;"␟"&amp;IFERROR(INDEX(PASTE_ALL,$DF451,16)&amp;"","")&amp;"␟"&amp;IFERROR(INDEX(PASTE_ALL,$DF451,17)&amp;"","")&amp;"␟"&amp;IFERROR(INDEX(PASTE_ALL,$DF451,18)&amp;"","")&amp;"␟"&amp;IFERROR(INDEX(PASTE_ALL,$DF451,19)&amp;"","")&amp;"␟"&amp;IFERROR(INDEX(PASTE_ALL,$DF451,20)&amp;"","")&amp;"␟"&amp;IFERROR(INDEX(PASTE_ALL,$DF451,21)&amp;"","")&amp;"␟"&amp;IFERROR(INDEX(PASTE_ALL,$DF451,22)&amp;"","")&amp;"␟"&amp;IFERROR(INDEX(PASTE_ALL,$DF451,23)&amp;"","")&amp;"␟"&amp;IFERROR(INDEX(PASTE_ALL,$DF451,24)&amp;"","")&amp;"␟"&amp;IFERROR(INDEX(PASTE_ALL,$DF451,25)&amp;"","")&amp;"␟"&amp;IFERROR(INDEX(PASTE_ALL,$DF451,26)&amp;"","")&amp;"␟"&amp;IFERROR(INDEX(PASTE_ALL,$DF451,27)&amp;"","")&amp;"␟"&amp;IFERROR(INDEX(PASTE_ALL,$DF451,28)&amp;"","")&amp;"␟"&amp;IFERROR(INDEX(PASTE_ALL,$DF451,29)&amp;"","")&amp;"␟"&amp;IFERROR(INDEX(PASTE_ALL,$DF451,30)&amp;"","")&amp;"␟"&amp;IFERROR(INDEX(PASTE_ALL,$DF451,31)&amp;"","")&amp;"␟"&amp;IFERROR(INDEX(PASTE_ALL,$DF451,32)&amp;"","")&amp;"␟"&amp;IFERROR(INDEX(PASTE_ALL,$DF451,33)&amp;"","")&amp;"␟"&amp;IFERROR(INDEX(PASTE_ALL,$DF451,34)&amp;"","")&amp;"␟"&amp;IFERROR(INDEX(PASTE_ALL,$DF451,35)&amp;"","")&amp;"␟"&amp;IFERROR(INDEX(PASTE_ALL,$DF451,36)&amp;"","")&amp;"␟"&amp;IFERROR(INDEX(PASTE_ALL,$DF451,37)&amp;"","")&amp;"␟"&amp;IFERROR(INDEX(PASTE_ALL,$DF451,38)&amp;"","")&amp;"␟"&amp;IFERROR(INDEX(PASTE_ALL,$DF451,39)&amp;"","")&amp;"␟"&amp;IFERROR(INDEX(PASTE_ALL,$DF451,40)&amp;"","")&amp;"␟"&amp;IFERROR(INDEX(PASTE_ALL,$DF451,41)&amp;"","")&amp;"␟"&amp;IFERROR(INDEX(PASTE_ALL,$DF451,42)&amp;"","")&amp;"␟"&amp;IFERROR(INDEX(PASTE_ALL,$DF451,43)&amp;"","")&amp;"␟"&amp;IFERROR(INDEX(PASTE_ALL,$DF451,44)&amp;"","")&amp;"␟"&amp;IFERROR(INDEX(PASTE_ALL,$DF451,45)&amp;"","")&amp;"␟"&amp;IFERROR(INDEX(PASTE_ALL,$DF451,46)&amp;"","")&amp;"␟"&amp;IFERROR(INDEX(PASTE_ALL,$DF451,47)&amp;"","")&amp;"␟"&amp;IFERROR(INDEX(PASTE_ALL,$DF451,48)&amp;"","")&amp;"␟"&amp;IFERROR(INDEX(PASTE_ALL,$DF451,49)&amp;"","")&amp;"␟"&amp;IFERROR(INDEX(PASTE_ALL,$DF451,50)&amp;"","")&amp;"␟"&amp;IFERROR(INDEX(PASTE_ALL,$DF451,51)&amp;"","")&amp;"␟"&amp;IFERROR(INDEX(PASTE_ALL,$DF451,52)&amp;"","")&amp;"␟"&amp;IFERROR(INDEX(PASTE_ALL,$DF451,53)&amp;"","")&amp;"␟"&amp;IFERROR(INDEX(PASTE_ALL,$DF451,54)&amp;"","")&amp;"␟"&amp;IFERROR(INDEX(PASTE_ALL,$DF451,55)&amp;"","")&amp;"␟"&amp;IFERROR(INDEX(PASTE_ALL,$DF451,56)&amp;"","")&amp;"␟"&amp;IFERROR(INDEX(PASTE_ALL,$DF451,57)&amp;"","")&amp;"␟"&amp;IFERROR(INDEX(PASTE_ALL,$DF451,58)&amp;"","")&amp;"␟"&amp;IFERROR(INDEX(PASTE_ALL,$DF451,59)&amp;"","")&amp;"␟"&amp;IFERROR(INDEX(PASTE_ALL,$DF451,60)&amp;"","")," "," "),CHAR(9)," "),CHAR(10)," "),CHAR(13)," "))," ␟","␟"),"␟ ","␟"),"#"&amp;$DE451),"")</f>
        <v/>
      </c>
      <c r="DJ451">
        <f>IF($DI451="",0,IF(SUMPRODUCT(--EXACT($DI$4:DI450,$DI451))&gt;0,1,0))</f>
        <v/>
      </c>
      <c r="DK451">
        <f>IF(AND($DI451&lt;&gt;"",$DJ451=0),1,0)</f>
        <v/>
      </c>
      <c r="DL451">
        <f>DL450+$DK451</f>
        <v/>
      </c>
      <c r="DM451">
        <f>IF(AND($DK451=1,$DL451&lt;=600),1,0)</f>
        <v/>
      </c>
      <c r="DN451">
        <f>IF($DM451=0,"",IF($L$6=0,"",IFERROR(IF(ISNUMBER(INDEX(PASTE_ALL,$DF451,$L$6)),INDEX(PASTE_ALL,$DF451,$L$6),TRIM(SUBSTITUTE(SUBSTITUTE(SUBSTITUTE(SUBSTITUTE(INDEX(PASTE_ALL,$DF451,$L$6)," "," "),CHAR(9)," "),CHAR(10)," "),CHAR(13)," "))),"")))</f>
        <v/>
      </c>
      <c r="DO451">
        <f>IF($DM451=0,"",IF($L$7=0,"",IFERROR(IF(ISNUMBER(INDEX(PASTE_ALL,$DF451,$L$7)),INDEX(PASTE_ALL,$DF451,$L$7),TRIM(SUBSTITUTE(SUBSTITUTE(SUBSTITUTE(SUBSTITUTE(INDEX(PASTE_ALL,$DF451,$L$7)," "," "),CHAR(9)," "),CHAR(10)," "),CHAR(13)," "))),"")))</f>
        <v/>
      </c>
      <c r="DP451">
        <f>IF($DM451=0,"",IF($L$8=0,"",IFERROR(IF(ISNUMBER(INDEX(PASTE_ALL,$DF451,$L$8)),INDEX(PASTE_ALL,$DF451,$L$8),TRIM(SUBSTITUTE(SUBSTITUTE(SUBSTITUTE(SUBSTITUTE(INDEX(PASTE_ALL,$DF451,$L$8)," "," "),CHAR(9)," "),CHAR(10)," "),CHAR(13)," "))),"")))</f>
        <v/>
      </c>
      <c r="DQ451">
        <f>IF($DM451=0,"",IF($L$9=0,"",IFERROR(IF(ISNUMBER(INDEX(PASTE_ALL,$DF451,$L$9)),INDEX(PASTE_ALL,$DF451,$L$9),TRIM(SUBSTITUTE(SUBSTITUTE(SUBSTITUTE(SUBSTITUTE(INDEX(PASTE_ALL,$DF451,$L$9)," "," "),CHAR(9)," "),CHAR(10)," "),CHAR(13)," "))),"")))</f>
        <v/>
      </c>
      <c r="DR451">
        <f>IF($DM451=0,"",IF($L$10=0,"",IFERROR(IF(ISNUMBER(INDEX(PASTE_ALL,$DF451,$L$10)),INDEX(PASTE_ALL,$DF451,$L$10),TRIM(SUBSTITUTE(SUBSTITUTE(SUBSTITUTE(SUBSTITUTE(INDEX(PASTE_ALL,$DF451,$L$10)," "," "),CHAR(9)," "),CHAR(10)," "),CHAR(13)," "))),"")))</f>
        <v/>
      </c>
      <c r="DS451">
        <f>IF($DM451=0,"",IF($L$11=0,"",IFERROR(IF(ISNUMBER(INDEX(PASTE_ALL,$DF451,$L$11)),INDEX(PASTE_ALL,$DF451,$L$11),TRIM(SUBSTITUTE(SUBSTITUTE(SUBSTITUTE(SUBSTITUTE(INDEX(PASTE_ALL,$DF451,$L$11)," "," "),CHAR(9)," "),CHAR(10)," "),CHAR(13)," "))),"")))</f>
        <v/>
      </c>
      <c r="DT451">
        <f>IF($DM451=0,"",IF($L$12=0,"",IFERROR(IF(ISNUMBER(INDEX(PASTE_ALL,$DF451,$L$12)),INDEX(PASTE_ALL,$DF451,$L$12),TRIM(SUBSTITUTE(SUBSTITUTE(SUBSTITUTE(SUBSTITUTE(INDEX(PASTE_ALL,$DF451,$L$12)," "," "),CHAR(9)," "),CHAR(10)," "),CHAR(13)," "))),"")))</f>
        <v/>
      </c>
      <c r="DU451">
        <f>IF($DM451=0,"",IF($L$13=0,"",IFERROR(IF(ISNUMBER(INDEX(PASTE_ALL,$DF451,$L$13)),INDEX(PASTE_ALL,$DF451,$L$13),TRIM(SUBSTITUTE(SUBSTITUTE(SUBSTITUTE(SUBSTITUTE(INDEX(PASTE_ALL,$DF451,$L$13)," "," "),CHAR(9)," "),CHAR(10)," "),CHAR(13)," "))),"")))</f>
        <v/>
      </c>
      <c r="DV451">
        <f>IF($DM451=0,"",IF($L$14=0,"",IFERROR(IF(ISNUMBER(INDEX(PASTE_ALL,$DF451,$L$14)),INDEX(PASTE_ALL,$DF451,$L$14),TRIM(SUBSTITUTE(SUBSTITUTE(SUBSTITUTE(SUBSTITUTE(INDEX(PASTE_ALL,$DF451,$L$14)," "," "),CHAR(9)," "),CHAR(10)," "),CHAR(13)," "))),"")))</f>
        <v/>
      </c>
      <c r="DW451">
        <f>IF($DM451=0,"",IF($L$15=0,"",IFERROR(IF(ISNUMBER(INDEX(PASTE_ALL,$DF451,$L$15)),INDEX(PASTE_ALL,$DF451,$L$15),IF(SUMPRODUCT(--ISNUMBER(FIND({"A","B","C","D","E","F","G","H","I","J","K","L","M","N","O","P","Q","R","S","T","U","V","W","X","Y","Z","0","1","2","3","4","5","6","7","8","9"},UPPER(TRIM(SUBSTITUTE(SUBSTITUTE(SUBSTITUTE(SUBSTITUTE(INDEX(PASTE_ALL,$DF451,$L$15)," "," "),CHAR(9)," "),CHAR(10)," "),CHAR(13)," "))))))&gt;0,TRIM(SUBSTITUTE(SUBSTITUTE(SUBSTITUTE(SUBSTITUTE(INDEX(PASTE_ALL,$DF451,$L$15)," "," "),CHAR(9)," "),CHAR(10)," "),CHAR(13)," ")),"")),"")))</f>
        <v/>
      </c>
      <c r="DX451">
        <f>IF($DM451=0,"",IF($L$16=0,"",IFERROR(IF(ISNUMBER(INDEX(PASTE_ALL,$DF451,$L$16)),INDEX(PASTE_ALL,$DF451,$L$16),SUBSTITUTE(SUBSTITUTE(TRIM(SUBSTITUTE(SUBSTITUTE(SUBSTITUTE(SUBSTITUTE(INDEX(PASTE_ALL,$DF451,$L$16)," "," "),CHAR(9)," "),CHAR(10)," "),CHAR(13)," ")),",",""),"%","")),"")))</f>
        <v/>
      </c>
      <c r="DY451">
        <f>IF($DM451=0,"",IFERROR(IF(ISNUMBER($DX451),$DX451,IF($DX451="","",IF(TRIM($DX451)="",0,IF(AND(AND(SUBSTITUTE(SUBSTITUTE(SUBSTITUTE(SUBSTITUTE(SUBSTITUTE(SUBSTITUTE(SUBSTITUTE(SUBSTITUTE(SUBSTITUTE(SUBSTITUTE(SUBSTITUTE(SUBSTITUTE(SUBSTITUTE(SUBSTITUTE(UPPER(TRIM($DX451)),"0",""),"1",""),"2",""),"3",""),"4",""),"5",""),"6",""),"7",""),"8",""),"9",""),".",""),"+",""),"-",""),"E","")="",LEN(SUBSTITUTE(SUBSTITUTE(MID(UPPER(TRIM($DX451)),1+OR(LEFT(UPPER(TRIM($DX451)),1)="+",LEFT(UPPER(TRIM($DX451)),1)="-"),999),"E+","E"),"E-","E"))=LEN(SUBSTITUTE(SUBSTITUTE(SUBSTITUTE(SUBSTITUTE(MID(UPPER(TRIM($DX451)),1+OR(LEFT(UPPER(TRIM($DX451)),1)="+",LEFT(UPPER(TRIM($DX451)),1)="-"),999),"E+","E"),"E-","E"),"+",""),"-","")),LEN(UPPER(TRIM($DX451)))-LEN(SUBSTITUTE(UPPER(TRIM($DX451)),"E",""))&lt;2,LEN(UPPER(TRIM($DX451)))-LEN(SUBSTITUTE(UPPER(TRIM($DX451)),".",""))&lt;2,IFERROR(FIND(".",UPPER(TRIM($DX451))),0)&lt;IFERROR(FIND("E",UPPER(TRIM($DX451))),999)),ISNUMBER(VALUE(TRIM($DX451)))),VALUE(TRIM($DX451)),"")))),""))</f>
        <v/>
      </c>
      <c r="DZ451">
        <f>IF($DM451=0,"",IF($L$17=0,"",IFERROR(IF(ISNUMBER(INDEX(PASTE_ALL,$DF451,$L$17)),INDEX(PASTE_ALL,$DF451,$L$17),SUBSTITUTE(SUBSTITUTE(TRIM(SUBSTITUTE(SUBSTITUTE(SUBSTITUTE(SUBSTITUTE(INDEX(PASTE_ALL,$DF451,$L$17)," "," "),CHAR(9)," "),CHAR(10)," "),CHAR(13)," ")),",",""),"%","")),"")))</f>
        <v/>
      </c>
      <c r="EA451">
        <f>IF($DM451=0,"",IFERROR(IF(ISNUMBER($DZ451),$DZ451,IF($DZ451="","",IF(TRIM($DZ451)="",0,IF(AND(AND(SUBSTITUTE(SUBSTITUTE(SUBSTITUTE(SUBSTITUTE(SUBSTITUTE(SUBSTITUTE(SUBSTITUTE(SUBSTITUTE(SUBSTITUTE(SUBSTITUTE(SUBSTITUTE(SUBSTITUTE(SUBSTITUTE(SUBSTITUTE(UPPER(TRIM($DZ451)),"0",""),"1",""),"2",""),"3",""),"4",""),"5",""),"6",""),"7",""),"8",""),"9",""),".",""),"+",""),"-",""),"E","")="",LEN(SUBSTITUTE(SUBSTITUTE(MID(UPPER(TRIM($DZ451)),1+OR(LEFT(UPPER(TRIM($DZ451)),1)="+",LEFT(UPPER(TRIM($DZ451)),1)="-"),999),"E+","E"),"E-","E"))=LEN(SUBSTITUTE(SUBSTITUTE(SUBSTITUTE(SUBSTITUTE(MID(UPPER(TRIM($DZ451)),1+OR(LEFT(UPPER(TRIM($DZ451)),1)="+",LEFT(UPPER(TRIM($DZ451)),1)="-"),999),"E+","E"),"E-","E"),"+",""),"-","")),LEN(UPPER(TRIM($DZ451)))-LEN(SUBSTITUTE(UPPER(TRIM($DZ451)),"E",""))&lt;2,LEN(UPPER(TRIM($DZ451)))-LEN(SUBSTITUTE(UPPER(TRIM($DZ451)),".",""))&lt;2,IFERROR(FIND(".",UPPER(TRIM($DZ451))),0)&lt;IFERROR(FIND("E",UPPER(TRIM($DZ451))),999)),ISNUMBER(VALUE(TRIM($DZ451)))),VALUE(TRIM($DZ451)),"")))),""))</f>
        <v/>
      </c>
      <c r="EB451">
        <f>IF($DM451=0,"",IF($L$18=0,"",IFERROR(IF(UPPER(TRIM(SUBSTITUTE(SUBSTITUTE(SUBSTITUTE(SUBSTITUTE(INDEX(PASTE_ALL,$DF451,$L$18)," "," "),CHAR(9)," "),CHAR(10)," "),CHAR(13)," ")))="READY","Ready",IF(UPPER(TRIM(SUBSTITUTE(SUBSTITUTE(SUBSTITUTE(SUBSTITUTE(INDEX(PASTE_ALL,$DF451,$L$18)," "," "),CHAR(9)," "),CHAR(10)," "),CHAR(13)," ")))="PM","PM",IF(OR(UPPER(TRIM(SUBSTITUTE(SUBSTITUTE(SUBSTITUTE(SUBSTITUTE(INDEX(PASTE_ALL,$DF451,$L$18)," "," "),CHAR(9)," "),CHAR(10)," "),CHAR(13)," ")))="OT",UPPER(TRIM(SUBSTITUTE(SUBSTITUTE(SUBSTITUTE(SUBSTITUTE(INDEX(PASTE_ALL,$DF451,$L$18)," "," "),CHAR(9)," "),CHAR(10)," "),CHAR(13)," ")))="OVERTIME",UPPER(TRIM(SUBSTITUTE(SUBSTITUTE(SUBSTITUTE(SUBSTITUTE(INDEX(PASTE_ALL,$DF451,$L$18)," "," "),CHAR(9)," "),CHAR(10)," "),CHAR(13)," ")))="TRIAL"),"OT",TRIM(SUBSTITUTE(SUBSTITUTE(SUBSTITUTE(SUBSTITUTE(INDEX(PASTE_ALL,$DF451,$L$18)," "," "),CHAR(9)," "),CHAR(10)," "),CHAR(13)," "))))),"")))</f>
        <v/>
      </c>
      <c r="EC451">
        <f>IF($DM451=0,"",IF($L$19=0,"",IFERROR(IF(ISNUMBER(INDEX(PASTE_ALL,$DF451,$L$19)),INDEX(PASTE_ALL,$DF451,$L$19),TRIM(SUBSTITUTE(SUBSTITUTE(SUBSTITUTE(SUBSTITUTE(INDEX(PASTE_ALL,$DF451,$L$19)," "," "),CHAR(9)," "),CHAR(10)," "),CHAR(13)," "))),"")))</f>
        <v/>
      </c>
      <c r="ED451">
        <f>IF($DM451=0,"",MATCH(1,INDEX(EXACT($DH$5:DH451,$DH451)*$DM$5:DM451,0),0))</f>
        <v/>
      </c>
      <c r="EE451">
        <f>IF($DM451=0,0,IF($ED451=$DE451,1,0))</f>
        <v/>
      </c>
      <c r="EF451">
        <f>EF450+$EE451</f>
        <v/>
      </c>
      <c r="EG451">
        <f>IF($DM451=0,"",INDEX($EF$5:$EF$1003,$ED451))</f>
        <v/>
      </c>
      <c r="EH451">
        <f>IF($DM451=0,"",IF($DO451&lt;&gt;"","",IFERROR(LOOKUP(2,1/(($EG$4:EG450=$EG451)*($DO$4:DO450&lt;&gt;"")),$DO$4:DO450),"")))</f>
        <v/>
      </c>
      <c r="EI451">
        <f>IF($DM451=0,"",IF($DO451&lt;&gt;"",$DO451,$EH451))</f>
        <v/>
      </c>
      <c r="EJ451">
        <f>IF($DM451=0,"",IF($EI451="",0,IF(OR(ISNUMBER($EI451),AND(AND(SUBSTITUTE(SUBSTITUTE(SUBSTITUTE(SUBSTITUTE(SUBSTITUTE(SUBSTITUTE(SUBSTITUTE(SUBSTITUTE(SUBSTITUTE(SUBSTITUTE(SUBSTITUTE(SUBSTITUTE(SUBSTITUTE(SUBSTITUTE(UPPER($EI451),"0",""),"1",""),"2",""),"3",""),"4",""),"5",""),"6",""),"7",""),"8",""),"9",""),".",""),"+",""),"-",""),"E","")="",LEN(SUBSTITUTE(SUBSTITUTE(MID(UPPER($EI451),1+OR(LEFT(UPPER($EI451),1)="+",LEFT(UPPER($EI451),1)="-"),999),"E+","E"),"E-","E"))=LEN(SUBSTITUTE(SUBSTITUTE(SUBSTITUTE(SUBSTITUTE(MID(UPPER($EI451),1+OR(LEFT(UPPER($EI451),1)="+",LEFT(UPPER($EI451),1)="-"),999),"E+","E"),"E-","E"),"+",""),"-","")),LEN(UPPER($EI451))-LEN(SUBSTITUTE(UPPER($EI451),"E",""))&lt;2,LEN(UPPER($EI451))-LEN(SUBSTITUTE(UPPER($EI451),".",""))&lt;2,IFERROR(FIND(".",UPPER($EI451)),0)&lt;IFERROR(FIND("E",UPPER($EI451)),999)),ISNUMBER(VALUE($EI451)))),1,2)))</f>
        <v/>
      </c>
      <c r="EK451">
        <f>IF($DM451=0,"",IF($EJ451=1,IF(ISNUMBER($EI451),$EI451,VALUE($EI451)),IF($EJ451=2,$DE451,0)))</f>
        <v/>
      </c>
      <c r="EL451">
        <f>IF($DM451=0,"",COUNTIF($EG$5:$EG$1003,"&lt;"&amp;$EG451)+SUMPRODUCT(($EG$5:$EG$1003=$EG451)*(($EJ$5:$EJ$1003&lt;$EJ451)+($EJ$5:$EJ$1003=$EJ451)*(($EK$5:$EK$1003&lt;$EK451)+($EK$5:$EK$1003=$EK451)*($DE$5:$DE$1003&lt;$DE451))))+1)</f>
        <v/>
      </c>
      <c r="EM451">
        <f>IF($DM451=0,"",$EL451+$EG451-1)</f>
        <v/>
      </c>
      <c r="EN451">
        <f>IF($DM451=0,0,IFERROR(MATCH(1,INDEX(--(TRIM(SUBSTITUTE(SUBSTITUTE(SUBSTITUTE(SUBSTITUTE(LINES_NAME&amp;""," "," "),CHAR(9)," "),CHAR(10)," "),CHAR(13)," "))=$DH451),0),0),0))</f>
        <v/>
      </c>
      <c r="EO451">
        <f>IF($EN451=0,0,IF(OR(UPPER(TRIM(INDEX(LINES_SCHEDULED,$EN451)&amp;""))="YES",UPPER(TRIM(INDEX(LINES_SCHEDULED,$EN451)&amp;""))="Y",UPPER(TRIM(INDEX(LINES_SCHEDULED,$EN451)&amp;""))="X"),1,0))</f>
        <v/>
      </c>
      <c r="EP451">
        <f>IF($DM451=0,"",IF(COUNTIFS($EG$5:$EG$1003,$EG451,$EB$5:$EB$1003,"Ready")&gt;0,"READY",IF(COUNTIFS($EG$5:$EG$1003,$EG451,$EB$5:$EB$1003,"PM")&gt;0,"PM",IF(COUNTIFS($EG$5:$EG$1003,$EG451,$EB$5:$EB$1003,"OT")&gt;0,"OT",""))))</f>
        <v/>
      </c>
      <c r="EQ451">
        <f>IF($EN451=0,"",UPPER(TRIM(INDEX(LINES_STATUS,$EN451)&amp;"")))</f>
        <v/>
      </c>
      <c r="ER451">
        <f>IF($DM451=0,"",IF(OR($EQ451="READY",$EQ451="PM",$EQ451="OT"),$EQ451,$EP451))</f>
        <v/>
      </c>
      <c r="ES451">
        <f>IF($DM451=0,"",IF(AND($DV451&lt;&gt;"",UPPER($DV451)&lt;&gt;"N"),"allergen",IF(ISNUMBER(SEARCH("oil",$DQ451)),"oil",IF(OR(EXACT($DS451,"A662"),EXACT($DS451,"A624")),"bulk",""))))</f>
        <v/>
      </c>
      <c r="ET451">
        <f>IF($DM451=0,"",IF(OR($EA451="",$EA451=0),"",$EA451/100))</f>
        <v/>
      </c>
      <c r="EU451">
        <f>IF(OR($ET451="",$DY451=""),"",INT($DY451*(1-$ET451)+0.5))</f>
        <v/>
      </c>
      <c r="EW451" t="n">
        <v>447</v>
      </c>
      <c r="EX451">
        <f>IFERROR(MATCH($EW451,$EM$5:$EM$1003,0),0)</f>
        <v/>
      </c>
      <c r="EY451">
        <f>IF($EW451&gt;$B$12,"",IF($EX451&gt;0,"row","spacer"))</f>
        <v/>
      </c>
      <c r="EZ451">
        <f>IF(AND($EY451="row",$EY450&lt;&gt;"row"),1,0)</f>
        <v/>
      </c>
      <c r="FA451">
        <f>IF(AND($EY451="row",$EY452&lt;&gt;"row"),1,0)</f>
        <v/>
      </c>
      <c r="FB451">
        <f>IF($EZ451=1,IFERROR(IF(ISNUMBER(INDEX(PASTE_ALL,INDEX($DF$5:$DF$1003,$EX451),$B$37)),INDEX(PASTE_ALL,INDEX($DF$5:$DF$1003,$EX451),$B$37),INDEX($DH$5:$DH$1003,$EX451)),INDEX($DH$5:$DH$1003,$EX451)),"")</f>
        <v/>
      </c>
      <c r="FC451">
        <f>IF($EY451="row",INDEX($ER$5:$ER$1003,$EX451),"")</f>
        <v/>
      </c>
      <c r="FD451">
        <f>IF($EY451="row",INDEX($DN$5:$DN$1003,$EX451),"")</f>
        <v/>
      </c>
      <c r="FE451">
        <f>IF($EY451="row",INDEX($DO$5:$DO$1003,$EX451),"")</f>
        <v/>
      </c>
      <c r="FF451">
        <f>IF($EY451="row",INDEX($DP$5:$DP$1003,$EX451),"")</f>
        <v/>
      </c>
      <c r="FG451">
        <f>IF($EY451="row",INDEX($DQ$5:$DQ$1003,$EX451),"")</f>
        <v/>
      </c>
      <c r="FH451">
        <f>IF($EY451="row",INDEX($DR$5:$DR$1003,$EX451),"")</f>
        <v/>
      </c>
      <c r="FI451">
        <f>IF($EY451="row",INDEX($DS$5:$DS$1003,$EX451),"")</f>
        <v/>
      </c>
      <c r="FJ451">
        <f>IF($EY451="row",INDEX($DT$5:$DT$1003,$EX451),"")</f>
        <v/>
      </c>
      <c r="FK451">
        <f>IF($EY451="row",INDEX($DU$5:$DU$1003,$EX451),"")</f>
        <v/>
      </c>
      <c r="FL451">
        <f>IF($EY451="row",INDEX($DV$5:$DV$1003,$EX451),"")</f>
        <v/>
      </c>
      <c r="FM451">
        <f>IF($EY451="row",INDEX($DW$5:$DW$1003,$EX451),"")</f>
        <v/>
      </c>
      <c r="FN451">
        <f>IF($EY451="row",INDEX($DY$5:$DY$1003,$EX451),"")</f>
        <v/>
      </c>
      <c r="FO451">
        <f>IF($EY451="row",INDEX($EA$5:$EA$1003,$EX451),"")</f>
        <v/>
      </c>
      <c r="FP451">
        <f>IF($EY451="row",INDEX($EC$5:$EC$1003,$EX451),"")</f>
        <v/>
      </c>
      <c r="FQ451">
        <f>IF($EY451="row",INDEX($ET$5:$ET$1003,$EX451),"")</f>
        <v/>
      </c>
      <c r="FR451">
        <f>IF($EY451="row",INDEX($EU$5:$EU$1003,$EX451),"")</f>
        <v/>
      </c>
      <c r="FS451">
        <f>IF(AND($EY451="row",$EY450="row"),IF(OR(INDEX($DT$5:$DT$1003,$EX450)="",INDEX($DT$5:$DT$1003,$EX451)=""),"",IF(NOT(EXACT(INDEX($DT$5:$DT$1003,$EX450),INDEX($DT$5:$DT$1003,$EX451))),"S4",IF(NOT(EXACT(INDEX($DS$5:$DS$1003,$EX450),INDEX($DS$5:$DS$1003,$EX451))),"S3",IF(NOT(EXACT(INDEX($DR$5:$DR$1003,$EX450),INDEX($DR$5:$DR$1003,$EX451))),"S1 Count Change","S1")))),"")</f>
        <v/>
      </c>
      <c r="FT451">
        <f>IF($EY451="row",INDEX($ES$5:$ES$1003,$EX451),"")</f>
        <v/>
      </c>
      <c r="FU451">
        <f>IF($EY451="row",INDEX($EO$5:$EO$1003,$EX451),0)</f>
        <v/>
      </c>
      <c r="FV451">
        <f>IF($FS451="S1 Count Change",1,0)</f>
        <v/>
      </c>
    </row>
    <row r="452">
      <c r="DA452" t="n">
        <v>448</v>
      </c>
      <c r="DB452">
        <f>IF($B$37=0,"",IFERROR(TRIM(SUBSTITUTE(SUBSTITUTE(SUBSTITUTE(SUBSTITUTE(INDEX(PASTE_ALL,448,$B$37)," "," "),CHAR(9)," "),CHAR(10)," "),CHAR(13)," ")),""))</f>
        <v/>
      </c>
      <c r="DC452">
        <f>IF(AND(448&gt;HEADER_ROW,UPPER(DB452)="LEGEND"),1,0)</f>
        <v/>
      </c>
      <c r="DE452" t="n">
        <v>448</v>
      </c>
      <c r="DF452">
        <f>HEADER_ROW+$DE452</f>
        <v/>
      </c>
      <c r="DG452">
        <f>IF(AND($DF452&lt;=1000,$DF452&lt;$B$8),1,0)</f>
        <v/>
      </c>
      <c r="DH452">
        <f>IF($DG452=1,IFERROR(INDEX($DB$5:$DB$1004,$DF452),""),"")</f>
        <v/>
      </c>
      <c r="DI452">
        <f>IF(AND($DG452=1,$DH452&lt;&gt;""),IFERROR(SUBSTITUTE(SUBSTITUTE(TRIM(SUBSTITUTE(SUBSTITUTE(SUBSTITUTE(SUBSTITUTE(IFERROR(INDEX(PASTE_ALL,$DF452,1)&amp;"","")&amp;"␟"&amp;IFERROR(INDEX(PASTE_ALL,$DF452,2)&amp;"","")&amp;"␟"&amp;IFERROR(INDEX(PASTE_ALL,$DF452,3)&amp;"","")&amp;"␟"&amp;IFERROR(INDEX(PASTE_ALL,$DF452,4)&amp;"","")&amp;"␟"&amp;IFERROR(INDEX(PASTE_ALL,$DF452,5)&amp;"","")&amp;"␟"&amp;IFERROR(INDEX(PASTE_ALL,$DF452,6)&amp;"","")&amp;"␟"&amp;IFERROR(INDEX(PASTE_ALL,$DF452,7)&amp;"","")&amp;"␟"&amp;IFERROR(INDEX(PASTE_ALL,$DF452,8)&amp;"","")&amp;"␟"&amp;IFERROR(INDEX(PASTE_ALL,$DF452,9)&amp;"","")&amp;"␟"&amp;IFERROR(INDEX(PASTE_ALL,$DF452,10)&amp;"","")&amp;"␟"&amp;IFERROR(INDEX(PASTE_ALL,$DF452,11)&amp;"","")&amp;"␟"&amp;IFERROR(INDEX(PASTE_ALL,$DF452,12)&amp;"","")&amp;"␟"&amp;IFERROR(INDEX(PASTE_ALL,$DF452,13)&amp;"","")&amp;"␟"&amp;IFERROR(INDEX(PASTE_ALL,$DF452,14)&amp;"","")&amp;"␟"&amp;IFERROR(INDEX(PASTE_ALL,$DF452,15)&amp;"","")&amp;"␟"&amp;IFERROR(INDEX(PASTE_ALL,$DF452,16)&amp;"","")&amp;"␟"&amp;IFERROR(INDEX(PASTE_ALL,$DF452,17)&amp;"","")&amp;"␟"&amp;IFERROR(INDEX(PASTE_ALL,$DF452,18)&amp;"","")&amp;"␟"&amp;IFERROR(INDEX(PASTE_ALL,$DF452,19)&amp;"","")&amp;"␟"&amp;IFERROR(INDEX(PASTE_ALL,$DF452,20)&amp;"","")&amp;"␟"&amp;IFERROR(INDEX(PASTE_ALL,$DF452,21)&amp;"","")&amp;"␟"&amp;IFERROR(INDEX(PASTE_ALL,$DF452,22)&amp;"","")&amp;"␟"&amp;IFERROR(INDEX(PASTE_ALL,$DF452,23)&amp;"","")&amp;"␟"&amp;IFERROR(INDEX(PASTE_ALL,$DF452,24)&amp;"","")&amp;"␟"&amp;IFERROR(INDEX(PASTE_ALL,$DF452,25)&amp;"","")&amp;"␟"&amp;IFERROR(INDEX(PASTE_ALL,$DF452,26)&amp;"","")&amp;"␟"&amp;IFERROR(INDEX(PASTE_ALL,$DF452,27)&amp;"","")&amp;"␟"&amp;IFERROR(INDEX(PASTE_ALL,$DF452,28)&amp;"","")&amp;"␟"&amp;IFERROR(INDEX(PASTE_ALL,$DF452,29)&amp;"","")&amp;"␟"&amp;IFERROR(INDEX(PASTE_ALL,$DF452,30)&amp;"","")&amp;"␟"&amp;IFERROR(INDEX(PASTE_ALL,$DF452,31)&amp;"","")&amp;"␟"&amp;IFERROR(INDEX(PASTE_ALL,$DF452,32)&amp;"","")&amp;"␟"&amp;IFERROR(INDEX(PASTE_ALL,$DF452,33)&amp;"","")&amp;"␟"&amp;IFERROR(INDEX(PASTE_ALL,$DF452,34)&amp;"","")&amp;"␟"&amp;IFERROR(INDEX(PASTE_ALL,$DF452,35)&amp;"","")&amp;"␟"&amp;IFERROR(INDEX(PASTE_ALL,$DF452,36)&amp;"","")&amp;"␟"&amp;IFERROR(INDEX(PASTE_ALL,$DF452,37)&amp;"","")&amp;"␟"&amp;IFERROR(INDEX(PASTE_ALL,$DF452,38)&amp;"","")&amp;"␟"&amp;IFERROR(INDEX(PASTE_ALL,$DF452,39)&amp;"","")&amp;"␟"&amp;IFERROR(INDEX(PASTE_ALL,$DF452,40)&amp;"","")&amp;"␟"&amp;IFERROR(INDEX(PASTE_ALL,$DF452,41)&amp;"","")&amp;"␟"&amp;IFERROR(INDEX(PASTE_ALL,$DF452,42)&amp;"","")&amp;"␟"&amp;IFERROR(INDEX(PASTE_ALL,$DF452,43)&amp;"","")&amp;"␟"&amp;IFERROR(INDEX(PASTE_ALL,$DF452,44)&amp;"","")&amp;"␟"&amp;IFERROR(INDEX(PASTE_ALL,$DF452,45)&amp;"","")&amp;"␟"&amp;IFERROR(INDEX(PASTE_ALL,$DF452,46)&amp;"","")&amp;"␟"&amp;IFERROR(INDEX(PASTE_ALL,$DF452,47)&amp;"","")&amp;"␟"&amp;IFERROR(INDEX(PASTE_ALL,$DF452,48)&amp;"","")&amp;"␟"&amp;IFERROR(INDEX(PASTE_ALL,$DF452,49)&amp;"","")&amp;"␟"&amp;IFERROR(INDEX(PASTE_ALL,$DF452,50)&amp;"","")&amp;"␟"&amp;IFERROR(INDEX(PASTE_ALL,$DF452,51)&amp;"","")&amp;"␟"&amp;IFERROR(INDEX(PASTE_ALL,$DF452,52)&amp;"","")&amp;"␟"&amp;IFERROR(INDEX(PASTE_ALL,$DF452,53)&amp;"","")&amp;"␟"&amp;IFERROR(INDEX(PASTE_ALL,$DF452,54)&amp;"","")&amp;"␟"&amp;IFERROR(INDEX(PASTE_ALL,$DF452,55)&amp;"","")&amp;"␟"&amp;IFERROR(INDEX(PASTE_ALL,$DF452,56)&amp;"","")&amp;"␟"&amp;IFERROR(INDEX(PASTE_ALL,$DF452,57)&amp;"","")&amp;"␟"&amp;IFERROR(INDEX(PASTE_ALL,$DF452,58)&amp;"","")&amp;"␟"&amp;IFERROR(INDEX(PASTE_ALL,$DF452,59)&amp;"","")&amp;"␟"&amp;IFERROR(INDEX(PASTE_ALL,$DF452,60)&amp;"","")," "," "),CHAR(9)," "),CHAR(10)," "),CHAR(13)," "))," ␟","␟"),"␟ ","␟"),"#"&amp;$DE452),"")</f>
        <v/>
      </c>
      <c r="DJ452">
        <f>IF($DI452="",0,IF(SUMPRODUCT(--EXACT($DI$4:DI451,$DI452))&gt;0,1,0))</f>
        <v/>
      </c>
      <c r="DK452">
        <f>IF(AND($DI452&lt;&gt;"",$DJ452=0),1,0)</f>
        <v/>
      </c>
      <c r="DL452">
        <f>DL451+$DK452</f>
        <v/>
      </c>
      <c r="DM452">
        <f>IF(AND($DK452=1,$DL452&lt;=600),1,0)</f>
        <v/>
      </c>
      <c r="DN452">
        <f>IF($DM452=0,"",IF($L$6=0,"",IFERROR(IF(ISNUMBER(INDEX(PASTE_ALL,$DF452,$L$6)),INDEX(PASTE_ALL,$DF452,$L$6),TRIM(SUBSTITUTE(SUBSTITUTE(SUBSTITUTE(SUBSTITUTE(INDEX(PASTE_ALL,$DF452,$L$6)," "," "),CHAR(9)," "),CHAR(10)," "),CHAR(13)," "))),"")))</f>
        <v/>
      </c>
      <c r="DO452">
        <f>IF($DM452=0,"",IF($L$7=0,"",IFERROR(IF(ISNUMBER(INDEX(PASTE_ALL,$DF452,$L$7)),INDEX(PASTE_ALL,$DF452,$L$7),TRIM(SUBSTITUTE(SUBSTITUTE(SUBSTITUTE(SUBSTITUTE(INDEX(PASTE_ALL,$DF452,$L$7)," "," "),CHAR(9)," "),CHAR(10)," "),CHAR(13)," "))),"")))</f>
        <v/>
      </c>
      <c r="DP452">
        <f>IF($DM452=0,"",IF($L$8=0,"",IFERROR(IF(ISNUMBER(INDEX(PASTE_ALL,$DF452,$L$8)),INDEX(PASTE_ALL,$DF452,$L$8),TRIM(SUBSTITUTE(SUBSTITUTE(SUBSTITUTE(SUBSTITUTE(INDEX(PASTE_ALL,$DF452,$L$8)," "," "),CHAR(9)," "),CHAR(10)," "),CHAR(13)," "))),"")))</f>
        <v/>
      </c>
      <c r="DQ452">
        <f>IF($DM452=0,"",IF($L$9=0,"",IFERROR(IF(ISNUMBER(INDEX(PASTE_ALL,$DF452,$L$9)),INDEX(PASTE_ALL,$DF452,$L$9),TRIM(SUBSTITUTE(SUBSTITUTE(SUBSTITUTE(SUBSTITUTE(INDEX(PASTE_ALL,$DF452,$L$9)," "," "),CHAR(9)," "),CHAR(10)," "),CHAR(13)," "))),"")))</f>
        <v/>
      </c>
      <c r="DR452">
        <f>IF($DM452=0,"",IF($L$10=0,"",IFERROR(IF(ISNUMBER(INDEX(PASTE_ALL,$DF452,$L$10)),INDEX(PASTE_ALL,$DF452,$L$10),TRIM(SUBSTITUTE(SUBSTITUTE(SUBSTITUTE(SUBSTITUTE(INDEX(PASTE_ALL,$DF452,$L$10)," "," "),CHAR(9)," "),CHAR(10)," "),CHAR(13)," "))),"")))</f>
        <v/>
      </c>
      <c r="DS452">
        <f>IF($DM452=0,"",IF($L$11=0,"",IFERROR(IF(ISNUMBER(INDEX(PASTE_ALL,$DF452,$L$11)),INDEX(PASTE_ALL,$DF452,$L$11),TRIM(SUBSTITUTE(SUBSTITUTE(SUBSTITUTE(SUBSTITUTE(INDEX(PASTE_ALL,$DF452,$L$11)," "," "),CHAR(9)," "),CHAR(10)," "),CHAR(13)," "))),"")))</f>
        <v/>
      </c>
      <c r="DT452">
        <f>IF($DM452=0,"",IF($L$12=0,"",IFERROR(IF(ISNUMBER(INDEX(PASTE_ALL,$DF452,$L$12)),INDEX(PASTE_ALL,$DF452,$L$12),TRIM(SUBSTITUTE(SUBSTITUTE(SUBSTITUTE(SUBSTITUTE(INDEX(PASTE_ALL,$DF452,$L$12)," "," "),CHAR(9)," "),CHAR(10)," "),CHAR(13)," "))),"")))</f>
        <v/>
      </c>
      <c r="DU452">
        <f>IF($DM452=0,"",IF($L$13=0,"",IFERROR(IF(ISNUMBER(INDEX(PASTE_ALL,$DF452,$L$13)),INDEX(PASTE_ALL,$DF452,$L$13),TRIM(SUBSTITUTE(SUBSTITUTE(SUBSTITUTE(SUBSTITUTE(INDEX(PASTE_ALL,$DF452,$L$13)," "," "),CHAR(9)," "),CHAR(10)," "),CHAR(13)," "))),"")))</f>
        <v/>
      </c>
      <c r="DV452">
        <f>IF($DM452=0,"",IF($L$14=0,"",IFERROR(IF(ISNUMBER(INDEX(PASTE_ALL,$DF452,$L$14)),INDEX(PASTE_ALL,$DF452,$L$14),TRIM(SUBSTITUTE(SUBSTITUTE(SUBSTITUTE(SUBSTITUTE(INDEX(PASTE_ALL,$DF452,$L$14)," "," "),CHAR(9)," "),CHAR(10)," "),CHAR(13)," "))),"")))</f>
        <v/>
      </c>
      <c r="DW452">
        <f>IF($DM452=0,"",IF($L$15=0,"",IFERROR(IF(ISNUMBER(INDEX(PASTE_ALL,$DF452,$L$15)),INDEX(PASTE_ALL,$DF452,$L$15),IF(SUMPRODUCT(--ISNUMBER(FIND({"A","B","C","D","E","F","G","H","I","J","K","L","M","N","O","P","Q","R","S","T","U","V","W","X","Y","Z","0","1","2","3","4","5","6","7","8","9"},UPPER(TRIM(SUBSTITUTE(SUBSTITUTE(SUBSTITUTE(SUBSTITUTE(INDEX(PASTE_ALL,$DF452,$L$15)," "," "),CHAR(9)," "),CHAR(10)," "),CHAR(13)," "))))))&gt;0,TRIM(SUBSTITUTE(SUBSTITUTE(SUBSTITUTE(SUBSTITUTE(INDEX(PASTE_ALL,$DF452,$L$15)," "," "),CHAR(9)," "),CHAR(10)," "),CHAR(13)," ")),"")),"")))</f>
        <v/>
      </c>
      <c r="DX452">
        <f>IF($DM452=0,"",IF($L$16=0,"",IFERROR(IF(ISNUMBER(INDEX(PASTE_ALL,$DF452,$L$16)),INDEX(PASTE_ALL,$DF452,$L$16),SUBSTITUTE(SUBSTITUTE(TRIM(SUBSTITUTE(SUBSTITUTE(SUBSTITUTE(SUBSTITUTE(INDEX(PASTE_ALL,$DF452,$L$16)," "," "),CHAR(9)," "),CHAR(10)," "),CHAR(13)," ")),",",""),"%","")),"")))</f>
        <v/>
      </c>
      <c r="DY452">
        <f>IF($DM452=0,"",IFERROR(IF(ISNUMBER($DX452),$DX452,IF($DX452="","",IF(TRIM($DX452)="",0,IF(AND(AND(SUBSTITUTE(SUBSTITUTE(SUBSTITUTE(SUBSTITUTE(SUBSTITUTE(SUBSTITUTE(SUBSTITUTE(SUBSTITUTE(SUBSTITUTE(SUBSTITUTE(SUBSTITUTE(SUBSTITUTE(SUBSTITUTE(SUBSTITUTE(UPPER(TRIM($DX452)),"0",""),"1",""),"2",""),"3",""),"4",""),"5",""),"6",""),"7",""),"8",""),"9",""),".",""),"+",""),"-",""),"E","")="",LEN(SUBSTITUTE(SUBSTITUTE(MID(UPPER(TRIM($DX452)),1+OR(LEFT(UPPER(TRIM($DX452)),1)="+",LEFT(UPPER(TRIM($DX452)),1)="-"),999),"E+","E"),"E-","E"))=LEN(SUBSTITUTE(SUBSTITUTE(SUBSTITUTE(SUBSTITUTE(MID(UPPER(TRIM($DX452)),1+OR(LEFT(UPPER(TRIM($DX452)),1)="+",LEFT(UPPER(TRIM($DX452)),1)="-"),999),"E+","E"),"E-","E"),"+",""),"-","")),LEN(UPPER(TRIM($DX452)))-LEN(SUBSTITUTE(UPPER(TRIM($DX452)),"E",""))&lt;2,LEN(UPPER(TRIM($DX452)))-LEN(SUBSTITUTE(UPPER(TRIM($DX452)),".",""))&lt;2,IFERROR(FIND(".",UPPER(TRIM($DX452))),0)&lt;IFERROR(FIND("E",UPPER(TRIM($DX452))),999)),ISNUMBER(VALUE(TRIM($DX452)))),VALUE(TRIM($DX452)),"")))),""))</f>
        <v/>
      </c>
      <c r="DZ452">
        <f>IF($DM452=0,"",IF($L$17=0,"",IFERROR(IF(ISNUMBER(INDEX(PASTE_ALL,$DF452,$L$17)),INDEX(PASTE_ALL,$DF452,$L$17),SUBSTITUTE(SUBSTITUTE(TRIM(SUBSTITUTE(SUBSTITUTE(SUBSTITUTE(SUBSTITUTE(INDEX(PASTE_ALL,$DF452,$L$17)," "," "),CHAR(9)," "),CHAR(10)," "),CHAR(13)," ")),",",""),"%","")),"")))</f>
        <v/>
      </c>
      <c r="EA452">
        <f>IF($DM452=0,"",IFERROR(IF(ISNUMBER($DZ452),$DZ452,IF($DZ452="","",IF(TRIM($DZ452)="",0,IF(AND(AND(SUBSTITUTE(SUBSTITUTE(SUBSTITUTE(SUBSTITUTE(SUBSTITUTE(SUBSTITUTE(SUBSTITUTE(SUBSTITUTE(SUBSTITUTE(SUBSTITUTE(SUBSTITUTE(SUBSTITUTE(SUBSTITUTE(SUBSTITUTE(UPPER(TRIM($DZ452)),"0",""),"1",""),"2",""),"3",""),"4",""),"5",""),"6",""),"7",""),"8",""),"9",""),".",""),"+",""),"-",""),"E","")="",LEN(SUBSTITUTE(SUBSTITUTE(MID(UPPER(TRIM($DZ452)),1+OR(LEFT(UPPER(TRIM($DZ452)),1)="+",LEFT(UPPER(TRIM($DZ452)),1)="-"),999),"E+","E"),"E-","E"))=LEN(SUBSTITUTE(SUBSTITUTE(SUBSTITUTE(SUBSTITUTE(MID(UPPER(TRIM($DZ452)),1+OR(LEFT(UPPER(TRIM($DZ452)),1)="+",LEFT(UPPER(TRIM($DZ452)),1)="-"),999),"E+","E"),"E-","E"),"+",""),"-","")),LEN(UPPER(TRIM($DZ452)))-LEN(SUBSTITUTE(UPPER(TRIM($DZ452)),"E",""))&lt;2,LEN(UPPER(TRIM($DZ452)))-LEN(SUBSTITUTE(UPPER(TRIM($DZ452)),".",""))&lt;2,IFERROR(FIND(".",UPPER(TRIM($DZ452))),0)&lt;IFERROR(FIND("E",UPPER(TRIM($DZ452))),999)),ISNUMBER(VALUE(TRIM($DZ452)))),VALUE(TRIM($DZ452)),"")))),""))</f>
        <v/>
      </c>
      <c r="EB452">
        <f>IF($DM452=0,"",IF($L$18=0,"",IFERROR(IF(UPPER(TRIM(SUBSTITUTE(SUBSTITUTE(SUBSTITUTE(SUBSTITUTE(INDEX(PASTE_ALL,$DF452,$L$18)," "," "),CHAR(9)," "),CHAR(10)," "),CHAR(13)," ")))="READY","Ready",IF(UPPER(TRIM(SUBSTITUTE(SUBSTITUTE(SUBSTITUTE(SUBSTITUTE(INDEX(PASTE_ALL,$DF452,$L$18)," "," "),CHAR(9)," "),CHAR(10)," "),CHAR(13)," ")))="PM","PM",IF(OR(UPPER(TRIM(SUBSTITUTE(SUBSTITUTE(SUBSTITUTE(SUBSTITUTE(INDEX(PASTE_ALL,$DF452,$L$18)," "," "),CHAR(9)," "),CHAR(10)," "),CHAR(13)," ")))="OT",UPPER(TRIM(SUBSTITUTE(SUBSTITUTE(SUBSTITUTE(SUBSTITUTE(INDEX(PASTE_ALL,$DF452,$L$18)," "," "),CHAR(9)," "),CHAR(10)," "),CHAR(13)," ")))="OVERTIME",UPPER(TRIM(SUBSTITUTE(SUBSTITUTE(SUBSTITUTE(SUBSTITUTE(INDEX(PASTE_ALL,$DF452,$L$18)," "," "),CHAR(9)," "),CHAR(10)," "),CHAR(13)," ")))="TRIAL"),"OT",TRIM(SUBSTITUTE(SUBSTITUTE(SUBSTITUTE(SUBSTITUTE(INDEX(PASTE_ALL,$DF452,$L$18)," "," "),CHAR(9)," "),CHAR(10)," "),CHAR(13)," "))))),"")))</f>
        <v/>
      </c>
      <c r="EC452">
        <f>IF($DM452=0,"",IF($L$19=0,"",IFERROR(IF(ISNUMBER(INDEX(PASTE_ALL,$DF452,$L$19)),INDEX(PASTE_ALL,$DF452,$L$19),TRIM(SUBSTITUTE(SUBSTITUTE(SUBSTITUTE(SUBSTITUTE(INDEX(PASTE_ALL,$DF452,$L$19)," "," "),CHAR(9)," "),CHAR(10)," "),CHAR(13)," "))),"")))</f>
        <v/>
      </c>
      <c r="ED452">
        <f>IF($DM452=0,"",MATCH(1,INDEX(EXACT($DH$5:DH452,$DH452)*$DM$5:DM452,0),0))</f>
        <v/>
      </c>
      <c r="EE452">
        <f>IF($DM452=0,0,IF($ED452=$DE452,1,0))</f>
        <v/>
      </c>
      <c r="EF452">
        <f>EF451+$EE452</f>
        <v/>
      </c>
      <c r="EG452">
        <f>IF($DM452=0,"",INDEX($EF$5:$EF$1003,$ED452))</f>
        <v/>
      </c>
      <c r="EH452">
        <f>IF($DM452=0,"",IF($DO452&lt;&gt;"","",IFERROR(LOOKUP(2,1/(($EG$4:EG451=$EG452)*($DO$4:DO451&lt;&gt;"")),$DO$4:DO451),"")))</f>
        <v/>
      </c>
      <c r="EI452">
        <f>IF($DM452=0,"",IF($DO452&lt;&gt;"",$DO452,$EH452))</f>
        <v/>
      </c>
      <c r="EJ452">
        <f>IF($DM452=0,"",IF($EI452="",0,IF(OR(ISNUMBER($EI452),AND(AND(SUBSTITUTE(SUBSTITUTE(SUBSTITUTE(SUBSTITUTE(SUBSTITUTE(SUBSTITUTE(SUBSTITUTE(SUBSTITUTE(SUBSTITUTE(SUBSTITUTE(SUBSTITUTE(SUBSTITUTE(SUBSTITUTE(SUBSTITUTE(UPPER($EI452),"0",""),"1",""),"2",""),"3",""),"4",""),"5",""),"6",""),"7",""),"8",""),"9",""),".",""),"+",""),"-",""),"E","")="",LEN(SUBSTITUTE(SUBSTITUTE(MID(UPPER($EI452),1+OR(LEFT(UPPER($EI452),1)="+",LEFT(UPPER($EI452),1)="-"),999),"E+","E"),"E-","E"))=LEN(SUBSTITUTE(SUBSTITUTE(SUBSTITUTE(SUBSTITUTE(MID(UPPER($EI452),1+OR(LEFT(UPPER($EI452),1)="+",LEFT(UPPER($EI452),1)="-"),999),"E+","E"),"E-","E"),"+",""),"-","")),LEN(UPPER($EI452))-LEN(SUBSTITUTE(UPPER($EI452),"E",""))&lt;2,LEN(UPPER($EI452))-LEN(SUBSTITUTE(UPPER($EI452),".",""))&lt;2,IFERROR(FIND(".",UPPER($EI452)),0)&lt;IFERROR(FIND("E",UPPER($EI452)),999)),ISNUMBER(VALUE($EI452)))),1,2)))</f>
        <v/>
      </c>
      <c r="EK452">
        <f>IF($DM452=0,"",IF($EJ452=1,IF(ISNUMBER($EI452),$EI452,VALUE($EI452)),IF($EJ452=2,$DE452,0)))</f>
        <v/>
      </c>
      <c r="EL452">
        <f>IF($DM452=0,"",COUNTIF($EG$5:$EG$1003,"&lt;"&amp;$EG452)+SUMPRODUCT(($EG$5:$EG$1003=$EG452)*(($EJ$5:$EJ$1003&lt;$EJ452)+($EJ$5:$EJ$1003=$EJ452)*(($EK$5:$EK$1003&lt;$EK452)+($EK$5:$EK$1003=$EK452)*($DE$5:$DE$1003&lt;$DE452))))+1)</f>
        <v/>
      </c>
      <c r="EM452">
        <f>IF($DM452=0,"",$EL452+$EG452-1)</f>
        <v/>
      </c>
      <c r="EN452">
        <f>IF($DM452=0,0,IFERROR(MATCH(1,INDEX(--(TRIM(SUBSTITUTE(SUBSTITUTE(SUBSTITUTE(SUBSTITUTE(LINES_NAME&amp;""," "," "),CHAR(9)," "),CHAR(10)," "),CHAR(13)," "))=$DH452),0),0),0))</f>
        <v/>
      </c>
      <c r="EO452">
        <f>IF($EN452=0,0,IF(OR(UPPER(TRIM(INDEX(LINES_SCHEDULED,$EN452)&amp;""))="YES",UPPER(TRIM(INDEX(LINES_SCHEDULED,$EN452)&amp;""))="Y",UPPER(TRIM(INDEX(LINES_SCHEDULED,$EN452)&amp;""))="X"),1,0))</f>
        <v/>
      </c>
      <c r="EP452">
        <f>IF($DM452=0,"",IF(COUNTIFS($EG$5:$EG$1003,$EG452,$EB$5:$EB$1003,"Ready")&gt;0,"READY",IF(COUNTIFS($EG$5:$EG$1003,$EG452,$EB$5:$EB$1003,"PM")&gt;0,"PM",IF(COUNTIFS($EG$5:$EG$1003,$EG452,$EB$5:$EB$1003,"OT")&gt;0,"OT",""))))</f>
        <v/>
      </c>
      <c r="EQ452">
        <f>IF($EN452=0,"",UPPER(TRIM(INDEX(LINES_STATUS,$EN452)&amp;"")))</f>
        <v/>
      </c>
      <c r="ER452">
        <f>IF($DM452=0,"",IF(OR($EQ452="READY",$EQ452="PM",$EQ452="OT"),$EQ452,$EP452))</f>
        <v/>
      </c>
      <c r="ES452">
        <f>IF($DM452=0,"",IF(AND($DV452&lt;&gt;"",UPPER($DV452)&lt;&gt;"N"),"allergen",IF(ISNUMBER(SEARCH("oil",$DQ452)),"oil",IF(OR(EXACT($DS452,"A662"),EXACT($DS452,"A624")),"bulk",""))))</f>
        <v/>
      </c>
      <c r="ET452">
        <f>IF($DM452=0,"",IF(OR($EA452="",$EA452=0),"",$EA452/100))</f>
        <v/>
      </c>
      <c r="EU452">
        <f>IF(OR($ET452="",$DY452=""),"",INT($DY452*(1-$ET452)+0.5))</f>
        <v/>
      </c>
      <c r="EW452" t="n">
        <v>448</v>
      </c>
      <c r="EX452">
        <f>IFERROR(MATCH($EW452,$EM$5:$EM$1003,0),0)</f>
        <v/>
      </c>
      <c r="EY452">
        <f>IF($EW452&gt;$B$12,"",IF($EX452&gt;0,"row","spacer"))</f>
        <v/>
      </c>
      <c r="EZ452">
        <f>IF(AND($EY452="row",$EY451&lt;&gt;"row"),1,0)</f>
        <v/>
      </c>
      <c r="FA452">
        <f>IF(AND($EY452="row",$EY453&lt;&gt;"row"),1,0)</f>
        <v/>
      </c>
      <c r="FB452">
        <f>IF($EZ452=1,IFERROR(IF(ISNUMBER(INDEX(PASTE_ALL,INDEX($DF$5:$DF$1003,$EX452),$B$37)),INDEX(PASTE_ALL,INDEX($DF$5:$DF$1003,$EX452),$B$37),INDEX($DH$5:$DH$1003,$EX452)),INDEX($DH$5:$DH$1003,$EX452)),"")</f>
        <v/>
      </c>
      <c r="FC452">
        <f>IF($EY452="row",INDEX($ER$5:$ER$1003,$EX452),"")</f>
        <v/>
      </c>
      <c r="FD452">
        <f>IF($EY452="row",INDEX($DN$5:$DN$1003,$EX452),"")</f>
        <v/>
      </c>
      <c r="FE452">
        <f>IF($EY452="row",INDEX($DO$5:$DO$1003,$EX452),"")</f>
        <v/>
      </c>
      <c r="FF452">
        <f>IF($EY452="row",INDEX($DP$5:$DP$1003,$EX452),"")</f>
        <v/>
      </c>
      <c r="FG452">
        <f>IF($EY452="row",INDEX($DQ$5:$DQ$1003,$EX452),"")</f>
        <v/>
      </c>
      <c r="FH452">
        <f>IF($EY452="row",INDEX($DR$5:$DR$1003,$EX452),"")</f>
        <v/>
      </c>
      <c r="FI452">
        <f>IF($EY452="row",INDEX($DS$5:$DS$1003,$EX452),"")</f>
        <v/>
      </c>
      <c r="FJ452">
        <f>IF($EY452="row",INDEX($DT$5:$DT$1003,$EX452),"")</f>
        <v/>
      </c>
      <c r="FK452">
        <f>IF($EY452="row",INDEX($DU$5:$DU$1003,$EX452),"")</f>
        <v/>
      </c>
      <c r="FL452">
        <f>IF($EY452="row",INDEX($DV$5:$DV$1003,$EX452),"")</f>
        <v/>
      </c>
      <c r="FM452">
        <f>IF($EY452="row",INDEX($DW$5:$DW$1003,$EX452),"")</f>
        <v/>
      </c>
      <c r="FN452">
        <f>IF($EY452="row",INDEX($DY$5:$DY$1003,$EX452),"")</f>
        <v/>
      </c>
      <c r="FO452">
        <f>IF($EY452="row",INDEX($EA$5:$EA$1003,$EX452),"")</f>
        <v/>
      </c>
      <c r="FP452">
        <f>IF($EY452="row",INDEX($EC$5:$EC$1003,$EX452),"")</f>
        <v/>
      </c>
      <c r="FQ452">
        <f>IF($EY452="row",INDEX($ET$5:$ET$1003,$EX452),"")</f>
        <v/>
      </c>
      <c r="FR452">
        <f>IF($EY452="row",INDEX($EU$5:$EU$1003,$EX452),"")</f>
        <v/>
      </c>
      <c r="FS452">
        <f>IF(AND($EY452="row",$EY451="row"),IF(OR(INDEX($DT$5:$DT$1003,$EX451)="",INDEX($DT$5:$DT$1003,$EX452)=""),"",IF(NOT(EXACT(INDEX($DT$5:$DT$1003,$EX451),INDEX($DT$5:$DT$1003,$EX452))),"S4",IF(NOT(EXACT(INDEX($DS$5:$DS$1003,$EX451),INDEX($DS$5:$DS$1003,$EX452))),"S3",IF(NOT(EXACT(INDEX($DR$5:$DR$1003,$EX451),INDEX($DR$5:$DR$1003,$EX452))),"S1 Count Change","S1")))),"")</f>
        <v/>
      </c>
      <c r="FT452">
        <f>IF($EY452="row",INDEX($ES$5:$ES$1003,$EX452),"")</f>
        <v/>
      </c>
      <c r="FU452">
        <f>IF($EY452="row",INDEX($EO$5:$EO$1003,$EX452),0)</f>
        <v/>
      </c>
      <c r="FV452">
        <f>IF($FS452="S1 Count Change",1,0)</f>
        <v/>
      </c>
    </row>
    <row r="453">
      <c r="DA453" t="n">
        <v>449</v>
      </c>
      <c r="DB453">
        <f>IF($B$37=0,"",IFERROR(TRIM(SUBSTITUTE(SUBSTITUTE(SUBSTITUTE(SUBSTITUTE(INDEX(PASTE_ALL,449,$B$37)," "," "),CHAR(9)," "),CHAR(10)," "),CHAR(13)," ")),""))</f>
        <v/>
      </c>
      <c r="DC453">
        <f>IF(AND(449&gt;HEADER_ROW,UPPER(DB453)="LEGEND"),1,0)</f>
        <v/>
      </c>
      <c r="DE453" t="n">
        <v>449</v>
      </c>
      <c r="DF453">
        <f>HEADER_ROW+$DE453</f>
        <v/>
      </c>
      <c r="DG453">
        <f>IF(AND($DF453&lt;=1000,$DF453&lt;$B$8),1,0)</f>
        <v/>
      </c>
      <c r="DH453">
        <f>IF($DG453=1,IFERROR(INDEX($DB$5:$DB$1004,$DF453),""),"")</f>
        <v/>
      </c>
      <c r="DI453">
        <f>IF(AND($DG453=1,$DH453&lt;&gt;""),IFERROR(SUBSTITUTE(SUBSTITUTE(TRIM(SUBSTITUTE(SUBSTITUTE(SUBSTITUTE(SUBSTITUTE(IFERROR(INDEX(PASTE_ALL,$DF453,1)&amp;"","")&amp;"␟"&amp;IFERROR(INDEX(PASTE_ALL,$DF453,2)&amp;"","")&amp;"␟"&amp;IFERROR(INDEX(PASTE_ALL,$DF453,3)&amp;"","")&amp;"␟"&amp;IFERROR(INDEX(PASTE_ALL,$DF453,4)&amp;"","")&amp;"␟"&amp;IFERROR(INDEX(PASTE_ALL,$DF453,5)&amp;"","")&amp;"␟"&amp;IFERROR(INDEX(PASTE_ALL,$DF453,6)&amp;"","")&amp;"␟"&amp;IFERROR(INDEX(PASTE_ALL,$DF453,7)&amp;"","")&amp;"␟"&amp;IFERROR(INDEX(PASTE_ALL,$DF453,8)&amp;"","")&amp;"␟"&amp;IFERROR(INDEX(PASTE_ALL,$DF453,9)&amp;"","")&amp;"␟"&amp;IFERROR(INDEX(PASTE_ALL,$DF453,10)&amp;"","")&amp;"␟"&amp;IFERROR(INDEX(PASTE_ALL,$DF453,11)&amp;"","")&amp;"␟"&amp;IFERROR(INDEX(PASTE_ALL,$DF453,12)&amp;"","")&amp;"␟"&amp;IFERROR(INDEX(PASTE_ALL,$DF453,13)&amp;"","")&amp;"␟"&amp;IFERROR(INDEX(PASTE_ALL,$DF453,14)&amp;"","")&amp;"␟"&amp;IFERROR(INDEX(PASTE_ALL,$DF453,15)&amp;"","")&amp;"␟"&amp;IFERROR(INDEX(PASTE_ALL,$DF453,16)&amp;"","")&amp;"␟"&amp;IFERROR(INDEX(PASTE_ALL,$DF453,17)&amp;"","")&amp;"␟"&amp;IFERROR(INDEX(PASTE_ALL,$DF453,18)&amp;"","")&amp;"␟"&amp;IFERROR(INDEX(PASTE_ALL,$DF453,19)&amp;"","")&amp;"␟"&amp;IFERROR(INDEX(PASTE_ALL,$DF453,20)&amp;"","")&amp;"␟"&amp;IFERROR(INDEX(PASTE_ALL,$DF453,21)&amp;"","")&amp;"␟"&amp;IFERROR(INDEX(PASTE_ALL,$DF453,22)&amp;"","")&amp;"␟"&amp;IFERROR(INDEX(PASTE_ALL,$DF453,23)&amp;"","")&amp;"␟"&amp;IFERROR(INDEX(PASTE_ALL,$DF453,24)&amp;"","")&amp;"␟"&amp;IFERROR(INDEX(PASTE_ALL,$DF453,25)&amp;"","")&amp;"␟"&amp;IFERROR(INDEX(PASTE_ALL,$DF453,26)&amp;"","")&amp;"␟"&amp;IFERROR(INDEX(PASTE_ALL,$DF453,27)&amp;"","")&amp;"␟"&amp;IFERROR(INDEX(PASTE_ALL,$DF453,28)&amp;"","")&amp;"␟"&amp;IFERROR(INDEX(PASTE_ALL,$DF453,29)&amp;"","")&amp;"␟"&amp;IFERROR(INDEX(PASTE_ALL,$DF453,30)&amp;"","")&amp;"␟"&amp;IFERROR(INDEX(PASTE_ALL,$DF453,31)&amp;"","")&amp;"␟"&amp;IFERROR(INDEX(PASTE_ALL,$DF453,32)&amp;"","")&amp;"␟"&amp;IFERROR(INDEX(PASTE_ALL,$DF453,33)&amp;"","")&amp;"␟"&amp;IFERROR(INDEX(PASTE_ALL,$DF453,34)&amp;"","")&amp;"␟"&amp;IFERROR(INDEX(PASTE_ALL,$DF453,35)&amp;"","")&amp;"␟"&amp;IFERROR(INDEX(PASTE_ALL,$DF453,36)&amp;"","")&amp;"␟"&amp;IFERROR(INDEX(PASTE_ALL,$DF453,37)&amp;"","")&amp;"␟"&amp;IFERROR(INDEX(PASTE_ALL,$DF453,38)&amp;"","")&amp;"␟"&amp;IFERROR(INDEX(PASTE_ALL,$DF453,39)&amp;"","")&amp;"␟"&amp;IFERROR(INDEX(PASTE_ALL,$DF453,40)&amp;"","")&amp;"␟"&amp;IFERROR(INDEX(PASTE_ALL,$DF453,41)&amp;"","")&amp;"␟"&amp;IFERROR(INDEX(PASTE_ALL,$DF453,42)&amp;"","")&amp;"␟"&amp;IFERROR(INDEX(PASTE_ALL,$DF453,43)&amp;"","")&amp;"␟"&amp;IFERROR(INDEX(PASTE_ALL,$DF453,44)&amp;"","")&amp;"␟"&amp;IFERROR(INDEX(PASTE_ALL,$DF453,45)&amp;"","")&amp;"␟"&amp;IFERROR(INDEX(PASTE_ALL,$DF453,46)&amp;"","")&amp;"␟"&amp;IFERROR(INDEX(PASTE_ALL,$DF453,47)&amp;"","")&amp;"␟"&amp;IFERROR(INDEX(PASTE_ALL,$DF453,48)&amp;"","")&amp;"␟"&amp;IFERROR(INDEX(PASTE_ALL,$DF453,49)&amp;"","")&amp;"␟"&amp;IFERROR(INDEX(PASTE_ALL,$DF453,50)&amp;"","")&amp;"␟"&amp;IFERROR(INDEX(PASTE_ALL,$DF453,51)&amp;"","")&amp;"␟"&amp;IFERROR(INDEX(PASTE_ALL,$DF453,52)&amp;"","")&amp;"␟"&amp;IFERROR(INDEX(PASTE_ALL,$DF453,53)&amp;"","")&amp;"␟"&amp;IFERROR(INDEX(PASTE_ALL,$DF453,54)&amp;"","")&amp;"␟"&amp;IFERROR(INDEX(PASTE_ALL,$DF453,55)&amp;"","")&amp;"␟"&amp;IFERROR(INDEX(PASTE_ALL,$DF453,56)&amp;"","")&amp;"␟"&amp;IFERROR(INDEX(PASTE_ALL,$DF453,57)&amp;"","")&amp;"␟"&amp;IFERROR(INDEX(PASTE_ALL,$DF453,58)&amp;"","")&amp;"␟"&amp;IFERROR(INDEX(PASTE_ALL,$DF453,59)&amp;"","")&amp;"␟"&amp;IFERROR(INDEX(PASTE_ALL,$DF453,60)&amp;"","")," "," "),CHAR(9)," "),CHAR(10)," "),CHAR(13)," "))," ␟","␟"),"␟ ","␟"),"#"&amp;$DE453),"")</f>
        <v/>
      </c>
      <c r="DJ453">
        <f>IF($DI453="",0,IF(SUMPRODUCT(--EXACT($DI$4:DI452,$DI453))&gt;0,1,0))</f>
        <v/>
      </c>
      <c r="DK453">
        <f>IF(AND($DI453&lt;&gt;"",$DJ453=0),1,0)</f>
        <v/>
      </c>
      <c r="DL453">
        <f>DL452+$DK453</f>
        <v/>
      </c>
      <c r="DM453">
        <f>IF(AND($DK453=1,$DL453&lt;=600),1,0)</f>
        <v/>
      </c>
      <c r="DN453">
        <f>IF($DM453=0,"",IF($L$6=0,"",IFERROR(IF(ISNUMBER(INDEX(PASTE_ALL,$DF453,$L$6)),INDEX(PASTE_ALL,$DF453,$L$6),TRIM(SUBSTITUTE(SUBSTITUTE(SUBSTITUTE(SUBSTITUTE(INDEX(PASTE_ALL,$DF453,$L$6)," "," "),CHAR(9)," "),CHAR(10)," "),CHAR(13)," "))),"")))</f>
        <v/>
      </c>
      <c r="DO453">
        <f>IF($DM453=0,"",IF($L$7=0,"",IFERROR(IF(ISNUMBER(INDEX(PASTE_ALL,$DF453,$L$7)),INDEX(PASTE_ALL,$DF453,$L$7),TRIM(SUBSTITUTE(SUBSTITUTE(SUBSTITUTE(SUBSTITUTE(INDEX(PASTE_ALL,$DF453,$L$7)," "," "),CHAR(9)," "),CHAR(10)," "),CHAR(13)," "))),"")))</f>
        <v/>
      </c>
      <c r="DP453">
        <f>IF($DM453=0,"",IF($L$8=0,"",IFERROR(IF(ISNUMBER(INDEX(PASTE_ALL,$DF453,$L$8)),INDEX(PASTE_ALL,$DF453,$L$8),TRIM(SUBSTITUTE(SUBSTITUTE(SUBSTITUTE(SUBSTITUTE(INDEX(PASTE_ALL,$DF453,$L$8)," "," "),CHAR(9)," "),CHAR(10)," "),CHAR(13)," "))),"")))</f>
        <v/>
      </c>
      <c r="DQ453">
        <f>IF($DM453=0,"",IF($L$9=0,"",IFERROR(IF(ISNUMBER(INDEX(PASTE_ALL,$DF453,$L$9)),INDEX(PASTE_ALL,$DF453,$L$9),TRIM(SUBSTITUTE(SUBSTITUTE(SUBSTITUTE(SUBSTITUTE(INDEX(PASTE_ALL,$DF453,$L$9)," "," "),CHAR(9)," "),CHAR(10)," "),CHAR(13)," "))),"")))</f>
        <v/>
      </c>
      <c r="DR453">
        <f>IF($DM453=0,"",IF($L$10=0,"",IFERROR(IF(ISNUMBER(INDEX(PASTE_ALL,$DF453,$L$10)),INDEX(PASTE_ALL,$DF453,$L$10),TRIM(SUBSTITUTE(SUBSTITUTE(SUBSTITUTE(SUBSTITUTE(INDEX(PASTE_ALL,$DF453,$L$10)," "," "),CHAR(9)," "),CHAR(10)," "),CHAR(13)," "))),"")))</f>
        <v/>
      </c>
      <c r="DS453">
        <f>IF($DM453=0,"",IF($L$11=0,"",IFERROR(IF(ISNUMBER(INDEX(PASTE_ALL,$DF453,$L$11)),INDEX(PASTE_ALL,$DF453,$L$11),TRIM(SUBSTITUTE(SUBSTITUTE(SUBSTITUTE(SUBSTITUTE(INDEX(PASTE_ALL,$DF453,$L$11)," "," "),CHAR(9)," "),CHAR(10)," "),CHAR(13)," "))),"")))</f>
        <v/>
      </c>
      <c r="DT453">
        <f>IF($DM453=0,"",IF($L$12=0,"",IFERROR(IF(ISNUMBER(INDEX(PASTE_ALL,$DF453,$L$12)),INDEX(PASTE_ALL,$DF453,$L$12),TRIM(SUBSTITUTE(SUBSTITUTE(SUBSTITUTE(SUBSTITUTE(INDEX(PASTE_ALL,$DF453,$L$12)," "," "),CHAR(9)," "),CHAR(10)," "),CHAR(13)," "))),"")))</f>
        <v/>
      </c>
      <c r="DU453">
        <f>IF($DM453=0,"",IF($L$13=0,"",IFERROR(IF(ISNUMBER(INDEX(PASTE_ALL,$DF453,$L$13)),INDEX(PASTE_ALL,$DF453,$L$13),TRIM(SUBSTITUTE(SUBSTITUTE(SUBSTITUTE(SUBSTITUTE(INDEX(PASTE_ALL,$DF453,$L$13)," "," "),CHAR(9)," "),CHAR(10)," "),CHAR(13)," "))),"")))</f>
        <v/>
      </c>
      <c r="DV453">
        <f>IF($DM453=0,"",IF($L$14=0,"",IFERROR(IF(ISNUMBER(INDEX(PASTE_ALL,$DF453,$L$14)),INDEX(PASTE_ALL,$DF453,$L$14),TRIM(SUBSTITUTE(SUBSTITUTE(SUBSTITUTE(SUBSTITUTE(INDEX(PASTE_ALL,$DF453,$L$14)," "," "),CHAR(9)," "),CHAR(10)," "),CHAR(13)," "))),"")))</f>
        <v/>
      </c>
      <c r="DW453">
        <f>IF($DM453=0,"",IF($L$15=0,"",IFERROR(IF(ISNUMBER(INDEX(PASTE_ALL,$DF453,$L$15)),INDEX(PASTE_ALL,$DF453,$L$15),IF(SUMPRODUCT(--ISNUMBER(FIND({"A","B","C","D","E","F","G","H","I","J","K","L","M","N","O","P","Q","R","S","T","U","V","W","X","Y","Z","0","1","2","3","4","5","6","7","8","9"},UPPER(TRIM(SUBSTITUTE(SUBSTITUTE(SUBSTITUTE(SUBSTITUTE(INDEX(PASTE_ALL,$DF453,$L$15)," "," "),CHAR(9)," "),CHAR(10)," "),CHAR(13)," "))))))&gt;0,TRIM(SUBSTITUTE(SUBSTITUTE(SUBSTITUTE(SUBSTITUTE(INDEX(PASTE_ALL,$DF453,$L$15)," "," "),CHAR(9)," "),CHAR(10)," "),CHAR(13)," ")),"")),"")))</f>
        <v/>
      </c>
      <c r="DX453">
        <f>IF($DM453=0,"",IF($L$16=0,"",IFERROR(IF(ISNUMBER(INDEX(PASTE_ALL,$DF453,$L$16)),INDEX(PASTE_ALL,$DF453,$L$16),SUBSTITUTE(SUBSTITUTE(TRIM(SUBSTITUTE(SUBSTITUTE(SUBSTITUTE(SUBSTITUTE(INDEX(PASTE_ALL,$DF453,$L$16)," "," "),CHAR(9)," "),CHAR(10)," "),CHAR(13)," ")),",",""),"%","")),"")))</f>
        <v/>
      </c>
      <c r="DY453">
        <f>IF($DM453=0,"",IFERROR(IF(ISNUMBER($DX453),$DX453,IF($DX453="","",IF(TRIM($DX453)="",0,IF(AND(AND(SUBSTITUTE(SUBSTITUTE(SUBSTITUTE(SUBSTITUTE(SUBSTITUTE(SUBSTITUTE(SUBSTITUTE(SUBSTITUTE(SUBSTITUTE(SUBSTITUTE(SUBSTITUTE(SUBSTITUTE(SUBSTITUTE(SUBSTITUTE(UPPER(TRIM($DX453)),"0",""),"1",""),"2",""),"3",""),"4",""),"5",""),"6",""),"7",""),"8",""),"9",""),".",""),"+",""),"-",""),"E","")="",LEN(SUBSTITUTE(SUBSTITUTE(MID(UPPER(TRIM($DX453)),1+OR(LEFT(UPPER(TRIM($DX453)),1)="+",LEFT(UPPER(TRIM($DX453)),1)="-"),999),"E+","E"),"E-","E"))=LEN(SUBSTITUTE(SUBSTITUTE(SUBSTITUTE(SUBSTITUTE(MID(UPPER(TRIM($DX453)),1+OR(LEFT(UPPER(TRIM($DX453)),1)="+",LEFT(UPPER(TRIM($DX453)),1)="-"),999),"E+","E"),"E-","E"),"+",""),"-","")),LEN(UPPER(TRIM($DX453)))-LEN(SUBSTITUTE(UPPER(TRIM($DX453)),"E",""))&lt;2,LEN(UPPER(TRIM($DX453)))-LEN(SUBSTITUTE(UPPER(TRIM($DX453)),".",""))&lt;2,IFERROR(FIND(".",UPPER(TRIM($DX453))),0)&lt;IFERROR(FIND("E",UPPER(TRIM($DX453))),999)),ISNUMBER(VALUE(TRIM($DX453)))),VALUE(TRIM($DX453)),"")))),""))</f>
        <v/>
      </c>
      <c r="DZ453">
        <f>IF($DM453=0,"",IF($L$17=0,"",IFERROR(IF(ISNUMBER(INDEX(PASTE_ALL,$DF453,$L$17)),INDEX(PASTE_ALL,$DF453,$L$17),SUBSTITUTE(SUBSTITUTE(TRIM(SUBSTITUTE(SUBSTITUTE(SUBSTITUTE(SUBSTITUTE(INDEX(PASTE_ALL,$DF453,$L$17)," "," "),CHAR(9)," "),CHAR(10)," "),CHAR(13)," ")),",",""),"%","")),"")))</f>
        <v/>
      </c>
      <c r="EA453">
        <f>IF($DM453=0,"",IFERROR(IF(ISNUMBER($DZ453),$DZ453,IF($DZ453="","",IF(TRIM($DZ453)="",0,IF(AND(AND(SUBSTITUTE(SUBSTITUTE(SUBSTITUTE(SUBSTITUTE(SUBSTITUTE(SUBSTITUTE(SUBSTITUTE(SUBSTITUTE(SUBSTITUTE(SUBSTITUTE(SUBSTITUTE(SUBSTITUTE(SUBSTITUTE(SUBSTITUTE(UPPER(TRIM($DZ453)),"0",""),"1",""),"2",""),"3",""),"4",""),"5",""),"6",""),"7",""),"8",""),"9",""),".",""),"+",""),"-",""),"E","")="",LEN(SUBSTITUTE(SUBSTITUTE(MID(UPPER(TRIM($DZ453)),1+OR(LEFT(UPPER(TRIM($DZ453)),1)="+",LEFT(UPPER(TRIM($DZ453)),1)="-"),999),"E+","E"),"E-","E"))=LEN(SUBSTITUTE(SUBSTITUTE(SUBSTITUTE(SUBSTITUTE(MID(UPPER(TRIM($DZ453)),1+OR(LEFT(UPPER(TRIM($DZ453)),1)="+",LEFT(UPPER(TRIM($DZ453)),1)="-"),999),"E+","E"),"E-","E"),"+",""),"-","")),LEN(UPPER(TRIM($DZ453)))-LEN(SUBSTITUTE(UPPER(TRIM($DZ453)),"E",""))&lt;2,LEN(UPPER(TRIM($DZ453)))-LEN(SUBSTITUTE(UPPER(TRIM($DZ453)),".",""))&lt;2,IFERROR(FIND(".",UPPER(TRIM($DZ453))),0)&lt;IFERROR(FIND("E",UPPER(TRIM($DZ453))),999)),ISNUMBER(VALUE(TRIM($DZ453)))),VALUE(TRIM($DZ453)),"")))),""))</f>
        <v/>
      </c>
      <c r="EB453">
        <f>IF($DM453=0,"",IF($L$18=0,"",IFERROR(IF(UPPER(TRIM(SUBSTITUTE(SUBSTITUTE(SUBSTITUTE(SUBSTITUTE(INDEX(PASTE_ALL,$DF453,$L$18)," "," "),CHAR(9)," "),CHAR(10)," "),CHAR(13)," ")))="READY","Ready",IF(UPPER(TRIM(SUBSTITUTE(SUBSTITUTE(SUBSTITUTE(SUBSTITUTE(INDEX(PASTE_ALL,$DF453,$L$18)," "," "),CHAR(9)," "),CHAR(10)," "),CHAR(13)," ")))="PM","PM",IF(OR(UPPER(TRIM(SUBSTITUTE(SUBSTITUTE(SUBSTITUTE(SUBSTITUTE(INDEX(PASTE_ALL,$DF453,$L$18)," "," "),CHAR(9)," "),CHAR(10)," "),CHAR(13)," ")))="OT",UPPER(TRIM(SUBSTITUTE(SUBSTITUTE(SUBSTITUTE(SUBSTITUTE(INDEX(PASTE_ALL,$DF453,$L$18)," "," "),CHAR(9)," "),CHAR(10)," "),CHAR(13)," ")))="OVERTIME",UPPER(TRIM(SUBSTITUTE(SUBSTITUTE(SUBSTITUTE(SUBSTITUTE(INDEX(PASTE_ALL,$DF453,$L$18)," "," "),CHAR(9)," "),CHAR(10)," "),CHAR(13)," ")))="TRIAL"),"OT",TRIM(SUBSTITUTE(SUBSTITUTE(SUBSTITUTE(SUBSTITUTE(INDEX(PASTE_ALL,$DF453,$L$18)," "," "),CHAR(9)," "),CHAR(10)," "),CHAR(13)," "))))),"")))</f>
        <v/>
      </c>
      <c r="EC453">
        <f>IF($DM453=0,"",IF($L$19=0,"",IFERROR(IF(ISNUMBER(INDEX(PASTE_ALL,$DF453,$L$19)),INDEX(PASTE_ALL,$DF453,$L$19),TRIM(SUBSTITUTE(SUBSTITUTE(SUBSTITUTE(SUBSTITUTE(INDEX(PASTE_ALL,$DF453,$L$19)," "," "),CHAR(9)," "),CHAR(10)," "),CHAR(13)," "))),"")))</f>
        <v/>
      </c>
      <c r="ED453">
        <f>IF($DM453=0,"",MATCH(1,INDEX(EXACT($DH$5:DH453,$DH453)*$DM$5:DM453,0),0))</f>
        <v/>
      </c>
      <c r="EE453">
        <f>IF($DM453=0,0,IF($ED453=$DE453,1,0))</f>
        <v/>
      </c>
      <c r="EF453">
        <f>EF452+$EE453</f>
        <v/>
      </c>
      <c r="EG453">
        <f>IF($DM453=0,"",INDEX($EF$5:$EF$1003,$ED453))</f>
        <v/>
      </c>
      <c r="EH453">
        <f>IF($DM453=0,"",IF($DO453&lt;&gt;"","",IFERROR(LOOKUP(2,1/(($EG$4:EG452=$EG453)*($DO$4:DO452&lt;&gt;"")),$DO$4:DO452),"")))</f>
        <v/>
      </c>
      <c r="EI453">
        <f>IF($DM453=0,"",IF($DO453&lt;&gt;"",$DO453,$EH453))</f>
        <v/>
      </c>
      <c r="EJ453">
        <f>IF($DM453=0,"",IF($EI453="",0,IF(OR(ISNUMBER($EI453),AND(AND(SUBSTITUTE(SUBSTITUTE(SUBSTITUTE(SUBSTITUTE(SUBSTITUTE(SUBSTITUTE(SUBSTITUTE(SUBSTITUTE(SUBSTITUTE(SUBSTITUTE(SUBSTITUTE(SUBSTITUTE(SUBSTITUTE(SUBSTITUTE(UPPER($EI453),"0",""),"1",""),"2",""),"3",""),"4",""),"5",""),"6",""),"7",""),"8",""),"9",""),".",""),"+",""),"-",""),"E","")="",LEN(SUBSTITUTE(SUBSTITUTE(MID(UPPER($EI453),1+OR(LEFT(UPPER($EI453),1)="+",LEFT(UPPER($EI453),1)="-"),999),"E+","E"),"E-","E"))=LEN(SUBSTITUTE(SUBSTITUTE(SUBSTITUTE(SUBSTITUTE(MID(UPPER($EI453),1+OR(LEFT(UPPER($EI453),1)="+",LEFT(UPPER($EI453),1)="-"),999),"E+","E"),"E-","E"),"+",""),"-","")),LEN(UPPER($EI453))-LEN(SUBSTITUTE(UPPER($EI453),"E",""))&lt;2,LEN(UPPER($EI453))-LEN(SUBSTITUTE(UPPER($EI453),".",""))&lt;2,IFERROR(FIND(".",UPPER($EI453)),0)&lt;IFERROR(FIND("E",UPPER($EI453)),999)),ISNUMBER(VALUE($EI453)))),1,2)))</f>
        <v/>
      </c>
      <c r="EK453">
        <f>IF($DM453=0,"",IF($EJ453=1,IF(ISNUMBER($EI453),$EI453,VALUE($EI453)),IF($EJ453=2,$DE453,0)))</f>
        <v/>
      </c>
      <c r="EL453">
        <f>IF($DM453=0,"",COUNTIF($EG$5:$EG$1003,"&lt;"&amp;$EG453)+SUMPRODUCT(($EG$5:$EG$1003=$EG453)*(($EJ$5:$EJ$1003&lt;$EJ453)+($EJ$5:$EJ$1003=$EJ453)*(($EK$5:$EK$1003&lt;$EK453)+($EK$5:$EK$1003=$EK453)*($DE$5:$DE$1003&lt;$DE453))))+1)</f>
        <v/>
      </c>
      <c r="EM453">
        <f>IF($DM453=0,"",$EL453+$EG453-1)</f>
        <v/>
      </c>
      <c r="EN453">
        <f>IF($DM453=0,0,IFERROR(MATCH(1,INDEX(--(TRIM(SUBSTITUTE(SUBSTITUTE(SUBSTITUTE(SUBSTITUTE(LINES_NAME&amp;""," "," "),CHAR(9)," "),CHAR(10)," "),CHAR(13)," "))=$DH453),0),0),0))</f>
        <v/>
      </c>
      <c r="EO453">
        <f>IF($EN453=0,0,IF(OR(UPPER(TRIM(INDEX(LINES_SCHEDULED,$EN453)&amp;""))="YES",UPPER(TRIM(INDEX(LINES_SCHEDULED,$EN453)&amp;""))="Y",UPPER(TRIM(INDEX(LINES_SCHEDULED,$EN453)&amp;""))="X"),1,0))</f>
        <v/>
      </c>
      <c r="EP453">
        <f>IF($DM453=0,"",IF(COUNTIFS($EG$5:$EG$1003,$EG453,$EB$5:$EB$1003,"Ready")&gt;0,"READY",IF(COUNTIFS($EG$5:$EG$1003,$EG453,$EB$5:$EB$1003,"PM")&gt;0,"PM",IF(COUNTIFS($EG$5:$EG$1003,$EG453,$EB$5:$EB$1003,"OT")&gt;0,"OT",""))))</f>
        <v/>
      </c>
      <c r="EQ453">
        <f>IF($EN453=0,"",UPPER(TRIM(INDEX(LINES_STATUS,$EN453)&amp;"")))</f>
        <v/>
      </c>
      <c r="ER453">
        <f>IF($DM453=0,"",IF(OR($EQ453="READY",$EQ453="PM",$EQ453="OT"),$EQ453,$EP453))</f>
        <v/>
      </c>
      <c r="ES453">
        <f>IF($DM453=0,"",IF(AND($DV453&lt;&gt;"",UPPER($DV453)&lt;&gt;"N"),"allergen",IF(ISNUMBER(SEARCH("oil",$DQ453)),"oil",IF(OR(EXACT($DS453,"A662"),EXACT($DS453,"A624")),"bulk",""))))</f>
        <v/>
      </c>
      <c r="ET453">
        <f>IF($DM453=0,"",IF(OR($EA453="",$EA453=0),"",$EA453/100))</f>
        <v/>
      </c>
      <c r="EU453">
        <f>IF(OR($ET453="",$DY453=""),"",INT($DY453*(1-$ET453)+0.5))</f>
        <v/>
      </c>
      <c r="EW453" t="n">
        <v>449</v>
      </c>
      <c r="EX453">
        <f>IFERROR(MATCH($EW453,$EM$5:$EM$1003,0),0)</f>
        <v/>
      </c>
      <c r="EY453">
        <f>IF($EW453&gt;$B$12,"",IF($EX453&gt;0,"row","spacer"))</f>
        <v/>
      </c>
      <c r="EZ453">
        <f>IF(AND($EY453="row",$EY452&lt;&gt;"row"),1,0)</f>
        <v/>
      </c>
      <c r="FA453">
        <f>IF(AND($EY453="row",$EY454&lt;&gt;"row"),1,0)</f>
        <v/>
      </c>
      <c r="FB453">
        <f>IF($EZ453=1,IFERROR(IF(ISNUMBER(INDEX(PASTE_ALL,INDEX($DF$5:$DF$1003,$EX453),$B$37)),INDEX(PASTE_ALL,INDEX($DF$5:$DF$1003,$EX453),$B$37),INDEX($DH$5:$DH$1003,$EX453)),INDEX($DH$5:$DH$1003,$EX453)),"")</f>
        <v/>
      </c>
      <c r="FC453">
        <f>IF($EY453="row",INDEX($ER$5:$ER$1003,$EX453),"")</f>
        <v/>
      </c>
      <c r="FD453">
        <f>IF($EY453="row",INDEX($DN$5:$DN$1003,$EX453),"")</f>
        <v/>
      </c>
      <c r="FE453">
        <f>IF($EY453="row",INDEX($DO$5:$DO$1003,$EX453),"")</f>
        <v/>
      </c>
      <c r="FF453">
        <f>IF($EY453="row",INDEX($DP$5:$DP$1003,$EX453),"")</f>
        <v/>
      </c>
      <c r="FG453">
        <f>IF($EY453="row",INDEX($DQ$5:$DQ$1003,$EX453),"")</f>
        <v/>
      </c>
      <c r="FH453">
        <f>IF($EY453="row",INDEX($DR$5:$DR$1003,$EX453),"")</f>
        <v/>
      </c>
      <c r="FI453">
        <f>IF($EY453="row",INDEX($DS$5:$DS$1003,$EX453),"")</f>
        <v/>
      </c>
      <c r="FJ453">
        <f>IF($EY453="row",INDEX($DT$5:$DT$1003,$EX453),"")</f>
        <v/>
      </c>
      <c r="FK453">
        <f>IF($EY453="row",INDEX($DU$5:$DU$1003,$EX453),"")</f>
        <v/>
      </c>
      <c r="FL453">
        <f>IF($EY453="row",INDEX($DV$5:$DV$1003,$EX453),"")</f>
        <v/>
      </c>
      <c r="FM453">
        <f>IF($EY453="row",INDEX($DW$5:$DW$1003,$EX453),"")</f>
        <v/>
      </c>
      <c r="FN453">
        <f>IF($EY453="row",INDEX($DY$5:$DY$1003,$EX453),"")</f>
        <v/>
      </c>
      <c r="FO453">
        <f>IF($EY453="row",INDEX($EA$5:$EA$1003,$EX453),"")</f>
        <v/>
      </c>
      <c r="FP453">
        <f>IF($EY453="row",INDEX($EC$5:$EC$1003,$EX453),"")</f>
        <v/>
      </c>
      <c r="FQ453">
        <f>IF($EY453="row",INDEX($ET$5:$ET$1003,$EX453),"")</f>
        <v/>
      </c>
      <c r="FR453">
        <f>IF($EY453="row",INDEX($EU$5:$EU$1003,$EX453),"")</f>
        <v/>
      </c>
      <c r="FS453">
        <f>IF(AND($EY453="row",$EY452="row"),IF(OR(INDEX($DT$5:$DT$1003,$EX452)="",INDEX($DT$5:$DT$1003,$EX453)=""),"",IF(NOT(EXACT(INDEX($DT$5:$DT$1003,$EX452),INDEX($DT$5:$DT$1003,$EX453))),"S4",IF(NOT(EXACT(INDEX($DS$5:$DS$1003,$EX452),INDEX($DS$5:$DS$1003,$EX453))),"S3",IF(NOT(EXACT(INDEX($DR$5:$DR$1003,$EX452),INDEX($DR$5:$DR$1003,$EX453))),"S1 Count Change","S1")))),"")</f>
        <v/>
      </c>
      <c r="FT453">
        <f>IF($EY453="row",INDEX($ES$5:$ES$1003,$EX453),"")</f>
        <v/>
      </c>
      <c r="FU453">
        <f>IF($EY453="row",INDEX($EO$5:$EO$1003,$EX453),0)</f>
        <v/>
      </c>
      <c r="FV453">
        <f>IF($FS453="S1 Count Change",1,0)</f>
        <v/>
      </c>
    </row>
    <row r="454">
      <c r="DA454" t="n">
        <v>450</v>
      </c>
      <c r="DB454">
        <f>IF($B$37=0,"",IFERROR(TRIM(SUBSTITUTE(SUBSTITUTE(SUBSTITUTE(SUBSTITUTE(INDEX(PASTE_ALL,450,$B$37)," "," "),CHAR(9)," "),CHAR(10)," "),CHAR(13)," ")),""))</f>
        <v/>
      </c>
      <c r="DC454">
        <f>IF(AND(450&gt;HEADER_ROW,UPPER(DB454)="LEGEND"),1,0)</f>
        <v/>
      </c>
      <c r="DE454" t="n">
        <v>450</v>
      </c>
      <c r="DF454">
        <f>HEADER_ROW+$DE454</f>
        <v/>
      </c>
      <c r="DG454">
        <f>IF(AND($DF454&lt;=1000,$DF454&lt;$B$8),1,0)</f>
        <v/>
      </c>
      <c r="DH454">
        <f>IF($DG454=1,IFERROR(INDEX($DB$5:$DB$1004,$DF454),""),"")</f>
        <v/>
      </c>
      <c r="DI454">
        <f>IF(AND($DG454=1,$DH454&lt;&gt;""),IFERROR(SUBSTITUTE(SUBSTITUTE(TRIM(SUBSTITUTE(SUBSTITUTE(SUBSTITUTE(SUBSTITUTE(IFERROR(INDEX(PASTE_ALL,$DF454,1)&amp;"","")&amp;"␟"&amp;IFERROR(INDEX(PASTE_ALL,$DF454,2)&amp;"","")&amp;"␟"&amp;IFERROR(INDEX(PASTE_ALL,$DF454,3)&amp;"","")&amp;"␟"&amp;IFERROR(INDEX(PASTE_ALL,$DF454,4)&amp;"","")&amp;"␟"&amp;IFERROR(INDEX(PASTE_ALL,$DF454,5)&amp;"","")&amp;"␟"&amp;IFERROR(INDEX(PASTE_ALL,$DF454,6)&amp;"","")&amp;"␟"&amp;IFERROR(INDEX(PASTE_ALL,$DF454,7)&amp;"","")&amp;"␟"&amp;IFERROR(INDEX(PASTE_ALL,$DF454,8)&amp;"","")&amp;"␟"&amp;IFERROR(INDEX(PASTE_ALL,$DF454,9)&amp;"","")&amp;"␟"&amp;IFERROR(INDEX(PASTE_ALL,$DF454,10)&amp;"","")&amp;"␟"&amp;IFERROR(INDEX(PASTE_ALL,$DF454,11)&amp;"","")&amp;"␟"&amp;IFERROR(INDEX(PASTE_ALL,$DF454,12)&amp;"","")&amp;"␟"&amp;IFERROR(INDEX(PASTE_ALL,$DF454,13)&amp;"","")&amp;"␟"&amp;IFERROR(INDEX(PASTE_ALL,$DF454,14)&amp;"","")&amp;"␟"&amp;IFERROR(INDEX(PASTE_ALL,$DF454,15)&amp;"","")&amp;"␟"&amp;IFERROR(INDEX(PASTE_ALL,$DF454,16)&amp;"","")&amp;"␟"&amp;IFERROR(INDEX(PASTE_ALL,$DF454,17)&amp;"","")&amp;"␟"&amp;IFERROR(INDEX(PASTE_ALL,$DF454,18)&amp;"","")&amp;"␟"&amp;IFERROR(INDEX(PASTE_ALL,$DF454,19)&amp;"","")&amp;"␟"&amp;IFERROR(INDEX(PASTE_ALL,$DF454,20)&amp;"","")&amp;"␟"&amp;IFERROR(INDEX(PASTE_ALL,$DF454,21)&amp;"","")&amp;"␟"&amp;IFERROR(INDEX(PASTE_ALL,$DF454,22)&amp;"","")&amp;"␟"&amp;IFERROR(INDEX(PASTE_ALL,$DF454,23)&amp;"","")&amp;"␟"&amp;IFERROR(INDEX(PASTE_ALL,$DF454,24)&amp;"","")&amp;"␟"&amp;IFERROR(INDEX(PASTE_ALL,$DF454,25)&amp;"","")&amp;"␟"&amp;IFERROR(INDEX(PASTE_ALL,$DF454,26)&amp;"","")&amp;"␟"&amp;IFERROR(INDEX(PASTE_ALL,$DF454,27)&amp;"","")&amp;"␟"&amp;IFERROR(INDEX(PASTE_ALL,$DF454,28)&amp;"","")&amp;"␟"&amp;IFERROR(INDEX(PASTE_ALL,$DF454,29)&amp;"","")&amp;"␟"&amp;IFERROR(INDEX(PASTE_ALL,$DF454,30)&amp;"","")&amp;"␟"&amp;IFERROR(INDEX(PASTE_ALL,$DF454,31)&amp;"","")&amp;"␟"&amp;IFERROR(INDEX(PASTE_ALL,$DF454,32)&amp;"","")&amp;"␟"&amp;IFERROR(INDEX(PASTE_ALL,$DF454,33)&amp;"","")&amp;"␟"&amp;IFERROR(INDEX(PASTE_ALL,$DF454,34)&amp;"","")&amp;"␟"&amp;IFERROR(INDEX(PASTE_ALL,$DF454,35)&amp;"","")&amp;"␟"&amp;IFERROR(INDEX(PASTE_ALL,$DF454,36)&amp;"","")&amp;"␟"&amp;IFERROR(INDEX(PASTE_ALL,$DF454,37)&amp;"","")&amp;"␟"&amp;IFERROR(INDEX(PASTE_ALL,$DF454,38)&amp;"","")&amp;"␟"&amp;IFERROR(INDEX(PASTE_ALL,$DF454,39)&amp;"","")&amp;"␟"&amp;IFERROR(INDEX(PASTE_ALL,$DF454,40)&amp;"","")&amp;"␟"&amp;IFERROR(INDEX(PASTE_ALL,$DF454,41)&amp;"","")&amp;"␟"&amp;IFERROR(INDEX(PASTE_ALL,$DF454,42)&amp;"","")&amp;"␟"&amp;IFERROR(INDEX(PASTE_ALL,$DF454,43)&amp;"","")&amp;"␟"&amp;IFERROR(INDEX(PASTE_ALL,$DF454,44)&amp;"","")&amp;"␟"&amp;IFERROR(INDEX(PASTE_ALL,$DF454,45)&amp;"","")&amp;"␟"&amp;IFERROR(INDEX(PASTE_ALL,$DF454,46)&amp;"","")&amp;"␟"&amp;IFERROR(INDEX(PASTE_ALL,$DF454,47)&amp;"","")&amp;"␟"&amp;IFERROR(INDEX(PASTE_ALL,$DF454,48)&amp;"","")&amp;"␟"&amp;IFERROR(INDEX(PASTE_ALL,$DF454,49)&amp;"","")&amp;"␟"&amp;IFERROR(INDEX(PASTE_ALL,$DF454,50)&amp;"","")&amp;"␟"&amp;IFERROR(INDEX(PASTE_ALL,$DF454,51)&amp;"","")&amp;"␟"&amp;IFERROR(INDEX(PASTE_ALL,$DF454,52)&amp;"","")&amp;"␟"&amp;IFERROR(INDEX(PASTE_ALL,$DF454,53)&amp;"","")&amp;"␟"&amp;IFERROR(INDEX(PASTE_ALL,$DF454,54)&amp;"","")&amp;"␟"&amp;IFERROR(INDEX(PASTE_ALL,$DF454,55)&amp;"","")&amp;"␟"&amp;IFERROR(INDEX(PASTE_ALL,$DF454,56)&amp;"","")&amp;"␟"&amp;IFERROR(INDEX(PASTE_ALL,$DF454,57)&amp;"","")&amp;"␟"&amp;IFERROR(INDEX(PASTE_ALL,$DF454,58)&amp;"","")&amp;"␟"&amp;IFERROR(INDEX(PASTE_ALL,$DF454,59)&amp;"","")&amp;"␟"&amp;IFERROR(INDEX(PASTE_ALL,$DF454,60)&amp;"","")," "," "),CHAR(9)," "),CHAR(10)," "),CHAR(13)," "))," ␟","␟"),"␟ ","␟"),"#"&amp;$DE454),"")</f>
        <v/>
      </c>
      <c r="DJ454">
        <f>IF($DI454="",0,IF(SUMPRODUCT(--EXACT($DI$4:DI453,$DI454))&gt;0,1,0))</f>
        <v/>
      </c>
      <c r="DK454">
        <f>IF(AND($DI454&lt;&gt;"",$DJ454=0),1,0)</f>
        <v/>
      </c>
      <c r="DL454">
        <f>DL453+$DK454</f>
        <v/>
      </c>
      <c r="DM454">
        <f>IF(AND($DK454=1,$DL454&lt;=600),1,0)</f>
        <v/>
      </c>
      <c r="DN454">
        <f>IF($DM454=0,"",IF($L$6=0,"",IFERROR(IF(ISNUMBER(INDEX(PASTE_ALL,$DF454,$L$6)),INDEX(PASTE_ALL,$DF454,$L$6),TRIM(SUBSTITUTE(SUBSTITUTE(SUBSTITUTE(SUBSTITUTE(INDEX(PASTE_ALL,$DF454,$L$6)," "," "),CHAR(9)," "),CHAR(10)," "),CHAR(13)," "))),"")))</f>
        <v/>
      </c>
      <c r="DO454">
        <f>IF($DM454=0,"",IF($L$7=0,"",IFERROR(IF(ISNUMBER(INDEX(PASTE_ALL,$DF454,$L$7)),INDEX(PASTE_ALL,$DF454,$L$7),TRIM(SUBSTITUTE(SUBSTITUTE(SUBSTITUTE(SUBSTITUTE(INDEX(PASTE_ALL,$DF454,$L$7)," "," "),CHAR(9)," "),CHAR(10)," "),CHAR(13)," "))),"")))</f>
        <v/>
      </c>
      <c r="DP454">
        <f>IF($DM454=0,"",IF($L$8=0,"",IFERROR(IF(ISNUMBER(INDEX(PASTE_ALL,$DF454,$L$8)),INDEX(PASTE_ALL,$DF454,$L$8),TRIM(SUBSTITUTE(SUBSTITUTE(SUBSTITUTE(SUBSTITUTE(INDEX(PASTE_ALL,$DF454,$L$8)," "," "),CHAR(9)," "),CHAR(10)," "),CHAR(13)," "))),"")))</f>
        <v/>
      </c>
      <c r="DQ454">
        <f>IF($DM454=0,"",IF($L$9=0,"",IFERROR(IF(ISNUMBER(INDEX(PASTE_ALL,$DF454,$L$9)),INDEX(PASTE_ALL,$DF454,$L$9),TRIM(SUBSTITUTE(SUBSTITUTE(SUBSTITUTE(SUBSTITUTE(INDEX(PASTE_ALL,$DF454,$L$9)," "," "),CHAR(9)," "),CHAR(10)," "),CHAR(13)," "))),"")))</f>
        <v/>
      </c>
      <c r="DR454">
        <f>IF($DM454=0,"",IF($L$10=0,"",IFERROR(IF(ISNUMBER(INDEX(PASTE_ALL,$DF454,$L$10)),INDEX(PASTE_ALL,$DF454,$L$10),TRIM(SUBSTITUTE(SUBSTITUTE(SUBSTITUTE(SUBSTITUTE(INDEX(PASTE_ALL,$DF454,$L$10)," "," "),CHAR(9)," "),CHAR(10)," "),CHAR(13)," "))),"")))</f>
        <v/>
      </c>
      <c r="DS454">
        <f>IF($DM454=0,"",IF($L$11=0,"",IFERROR(IF(ISNUMBER(INDEX(PASTE_ALL,$DF454,$L$11)),INDEX(PASTE_ALL,$DF454,$L$11),TRIM(SUBSTITUTE(SUBSTITUTE(SUBSTITUTE(SUBSTITUTE(INDEX(PASTE_ALL,$DF454,$L$11)," "," "),CHAR(9)," "),CHAR(10)," "),CHAR(13)," "))),"")))</f>
        <v/>
      </c>
      <c r="DT454">
        <f>IF($DM454=0,"",IF($L$12=0,"",IFERROR(IF(ISNUMBER(INDEX(PASTE_ALL,$DF454,$L$12)),INDEX(PASTE_ALL,$DF454,$L$12),TRIM(SUBSTITUTE(SUBSTITUTE(SUBSTITUTE(SUBSTITUTE(INDEX(PASTE_ALL,$DF454,$L$12)," "," "),CHAR(9)," "),CHAR(10)," "),CHAR(13)," "))),"")))</f>
        <v/>
      </c>
      <c r="DU454">
        <f>IF($DM454=0,"",IF($L$13=0,"",IFERROR(IF(ISNUMBER(INDEX(PASTE_ALL,$DF454,$L$13)),INDEX(PASTE_ALL,$DF454,$L$13),TRIM(SUBSTITUTE(SUBSTITUTE(SUBSTITUTE(SUBSTITUTE(INDEX(PASTE_ALL,$DF454,$L$13)," "," "),CHAR(9)," "),CHAR(10)," "),CHAR(13)," "))),"")))</f>
        <v/>
      </c>
      <c r="DV454">
        <f>IF($DM454=0,"",IF($L$14=0,"",IFERROR(IF(ISNUMBER(INDEX(PASTE_ALL,$DF454,$L$14)),INDEX(PASTE_ALL,$DF454,$L$14),TRIM(SUBSTITUTE(SUBSTITUTE(SUBSTITUTE(SUBSTITUTE(INDEX(PASTE_ALL,$DF454,$L$14)," "," "),CHAR(9)," "),CHAR(10)," "),CHAR(13)," "))),"")))</f>
        <v/>
      </c>
      <c r="DW454">
        <f>IF($DM454=0,"",IF($L$15=0,"",IFERROR(IF(ISNUMBER(INDEX(PASTE_ALL,$DF454,$L$15)),INDEX(PASTE_ALL,$DF454,$L$15),IF(SUMPRODUCT(--ISNUMBER(FIND({"A","B","C","D","E","F","G","H","I","J","K","L","M","N","O","P","Q","R","S","T","U","V","W","X","Y","Z","0","1","2","3","4","5","6","7","8","9"},UPPER(TRIM(SUBSTITUTE(SUBSTITUTE(SUBSTITUTE(SUBSTITUTE(INDEX(PASTE_ALL,$DF454,$L$15)," "," "),CHAR(9)," "),CHAR(10)," "),CHAR(13)," "))))))&gt;0,TRIM(SUBSTITUTE(SUBSTITUTE(SUBSTITUTE(SUBSTITUTE(INDEX(PASTE_ALL,$DF454,$L$15)," "," "),CHAR(9)," "),CHAR(10)," "),CHAR(13)," ")),"")),"")))</f>
        <v/>
      </c>
      <c r="DX454">
        <f>IF($DM454=0,"",IF($L$16=0,"",IFERROR(IF(ISNUMBER(INDEX(PASTE_ALL,$DF454,$L$16)),INDEX(PASTE_ALL,$DF454,$L$16),SUBSTITUTE(SUBSTITUTE(TRIM(SUBSTITUTE(SUBSTITUTE(SUBSTITUTE(SUBSTITUTE(INDEX(PASTE_ALL,$DF454,$L$16)," "," "),CHAR(9)," "),CHAR(10)," "),CHAR(13)," ")),",",""),"%","")),"")))</f>
        <v/>
      </c>
      <c r="DY454">
        <f>IF($DM454=0,"",IFERROR(IF(ISNUMBER($DX454),$DX454,IF($DX454="","",IF(TRIM($DX454)="",0,IF(AND(AND(SUBSTITUTE(SUBSTITUTE(SUBSTITUTE(SUBSTITUTE(SUBSTITUTE(SUBSTITUTE(SUBSTITUTE(SUBSTITUTE(SUBSTITUTE(SUBSTITUTE(SUBSTITUTE(SUBSTITUTE(SUBSTITUTE(SUBSTITUTE(UPPER(TRIM($DX454)),"0",""),"1",""),"2",""),"3",""),"4",""),"5",""),"6",""),"7",""),"8",""),"9",""),".",""),"+",""),"-",""),"E","")="",LEN(SUBSTITUTE(SUBSTITUTE(MID(UPPER(TRIM($DX454)),1+OR(LEFT(UPPER(TRIM($DX454)),1)="+",LEFT(UPPER(TRIM($DX454)),1)="-"),999),"E+","E"),"E-","E"))=LEN(SUBSTITUTE(SUBSTITUTE(SUBSTITUTE(SUBSTITUTE(MID(UPPER(TRIM($DX454)),1+OR(LEFT(UPPER(TRIM($DX454)),1)="+",LEFT(UPPER(TRIM($DX454)),1)="-"),999),"E+","E"),"E-","E"),"+",""),"-","")),LEN(UPPER(TRIM($DX454)))-LEN(SUBSTITUTE(UPPER(TRIM($DX454)),"E",""))&lt;2,LEN(UPPER(TRIM($DX454)))-LEN(SUBSTITUTE(UPPER(TRIM($DX454)),".",""))&lt;2,IFERROR(FIND(".",UPPER(TRIM($DX454))),0)&lt;IFERROR(FIND("E",UPPER(TRIM($DX454))),999)),ISNUMBER(VALUE(TRIM($DX454)))),VALUE(TRIM($DX454)),"")))),""))</f>
        <v/>
      </c>
      <c r="DZ454">
        <f>IF($DM454=0,"",IF($L$17=0,"",IFERROR(IF(ISNUMBER(INDEX(PASTE_ALL,$DF454,$L$17)),INDEX(PASTE_ALL,$DF454,$L$17),SUBSTITUTE(SUBSTITUTE(TRIM(SUBSTITUTE(SUBSTITUTE(SUBSTITUTE(SUBSTITUTE(INDEX(PASTE_ALL,$DF454,$L$17)," "," "),CHAR(9)," "),CHAR(10)," "),CHAR(13)," ")),",",""),"%","")),"")))</f>
        <v/>
      </c>
      <c r="EA454">
        <f>IF($DM454=0,"",IFERROR(IF(ISNUMBER($DZ454),$DZ454,IF($DZ454="","",IF(TRIM($DZ454)="",0,IF(AND(AND(SUBSTITUTE(SUBSTITUTE(SUBSTITUTE(SUBSTITUTE(SUBSTITUTE(SUBSTITUTE(SUBSTITUTE(SUBSTITUTE(SUBSTITUTE(SUBSTITUTE(SUBSTITUTE(SUBSTITUTE(SUBSTITUTE(SUBSTITUTE(UPPER(TRIM($DZ454)),"0",""),"1",""),"2",""),"3",""),"4",""),"5",""),"6",""),"7",""),"8",""),"9",""),".",""),"+",""),"-",""),"E","")="",LEN(SUBSTITUTE(SUBSTITUTE(MID(UPPER(TRIM($DZ454)),1+OR(LEFT(UPPER(TRIM($DZ454)),1)="+",LEFT(UPPER(TRIM($DZ454)),1)="-"),999),"E+","E"),"E-","E"))=LEN(SUBSTITUTE(SUBSTITUTE(SUBSTITUTE(SUBSTITUTE(MID(UPPER(TRIM($DZ454)),1+OR(LEFT(UPPER(TRIM($DZ454)),1)="+",LEFT(UPPER(TRIM($DZ454)),1)="-"),999),"E+","E"),"E-","E"),"+",""),"-","")),LEN(UPPER(TRIM($DZ454)))-LEN(SUBSTITUTE(UPPER(TRIM($DZ454)),"E",""))&lt;2,LEN(UPPER(TRIM($DZ454)))-LEN(SUBSTITUTE(UPPER(TRIM($DZ454)),".",""))&lt;2,IFERROR(FIND(".",UPPER(TRIM($DZ454))),0)&lt;IFERROR(FIND("E",UPPER(TRIM($DZ454))),999)),ISNUMBER(VALUE(TRIM($DZ454)))),VALUE(TRIM($DZ454)),"")))),""))</f>
        <v/>
      </c>
      <c r="EB454">
        <f>IF($DM454=0,"",IF($L$18=0,"",IFERROR(IF(UPPER(TRIM(SUBSTITUTE(SUBSTITUTE(SUBSTITUTE(SUBSTITUTE(INDEX(PASTE_ALL,$DF454,$L$18)," "," "),CHAR(9)," "),CHAR(10)," "),CHAR(13)," ")))="READY","Ready",IF(UPPER(TRIM(SUBSTITUTE(SUBSTITUTE(SUBSTITUTE(SUBSTITUTE(INDEX(PASTE_ALL,$DF454,$L$18)," "," "),CHAR(9)," "),CHAR(10)," "),CHAR(13)," ")))="PM","PM",IF(OR(UPPER(TRIM(SUBSTITUTE(SUBSTITUTE(SUBSTITUTE(SUBSTITUTE(INDEX(PASTE_ALL,$DF454,$L$18)," "," "),CHAR(9)," "),CHAR(10)," "),CHAR(13)," ")))="OT",UPPER(TRIM(SUBSTITUTE(SUBSTITUTE(SUBSTITUTE(SUBSTITUTE(INDEX(PASTE_ALL,$DF454,$L$18)," "," "),CHAR(9)," "),CHAR(10)," "),CHAR(13)," ")))="OVERTIME",UPPER(TRIM(SUBSTITUTE(SUBSTITUTE(SUBSTITUTE(SUBSTITUTE(INDEX(PASTE_ALL,$DF454,$L$18)," "," "),CHAR(9)," "),CHAR(10)," "),CHAR(13)," ")))="TRIAL"),"OT",TRIM(SUBSTITUTE(SUBSTITUTE(SUBSTITUTE(SUBSTITUTE(INDEX(PASTE_ALL,$DF454,$L$18)," "," "),CHAR(9)," "),CHAR(10)," "),CHAR(13)," "))))),"")))</f>
        <v/>
      </c>
      <c r="EC454">
        <f>IF($DM454=0,"",IF($L$19=0,"",IFERROR(IF(ISNUMBER(INDEX(PASTE_ALL,$DF454,$L$19)),INDEX(PASTE_ALL,$DF454,$L$19),TRIM(SUBSTITUTE(SUBSTITUTE(SUBSTITUTE(SUBSTITUTE(INDEX(PASTE_ALL,$DF454,$L$19)," "," "),CHAR(9)," "),CHAR(10)," "),CHAR(13)," "))),"")))</f>
        <v/>
      </c>
      <c r="ED454">
        <f>IF($DM454=0,"",MATCH(1,INDEX(EXACT($DH$5:DH454,$DH454)*$DM$5:DM454,0),0))</f>
        <v/>
      </c>
      <c r="EE454">
        <f>IF($DM454=0,0,IF($ED454=$DE454,1,0))</f>
        <v/>
      </c>
      <c r="EF454">
        <f>EF453+$EE454</f>
        <v/>
      </c>
      <c r="EG454">
        <f>IF($DM454=0,"",INDEX($EF$5:$EF$1003,$ED454))</f>
        <v/>
      </c>
      <c r="EH454">
        <f>IF($DM454=0,"",IF($DO454&lt;&gt;"","",IFERROR(LOOKUP(2,1/(($EG$4:EG453=$EG454)*($DO$4:DO453&lt;&gt;"")),$DO$4:DO453),"")))</f>
        <v/>
      </c>
      <c r="EI454">
        <f>IF($DM454=0,"",IF($DO454&lt;&gt;"",$DO454,$EH454))</f>
        <v/>
      </c>
      <c r="EJ454">
        <f>IF($DM454=0,"",IF($EI454="",0,IF(OR(ISNUMBER($EI454),AND(AND(SUBSTITUTE(SUBSTITUTE(SUBSTITUTE(SUBSTITUTE(SUBSTITUTE(SUBSTITUTE(SUBSTITUTE(SUBSTITUTE(SUBSTITUTE(SUBSTITUTE(SUBSTITUTE(SUBSTITUTE(SUBSTITUTE(SUBSTITUTE(UPPER($EI454),"0",""),"1",""),"2",""),"3",""),"4",""),"5",""),"6",""),"7",""),"8",""),"9",""),".",""),"+",""),"-",""),"E","")="",LEN(SUBSTITUTE(SUBSTITUTE(MID(UPPER($EI454),1+OR(LEFT(UPPER($EI454),1)="+",LEFT(UPPER($EI454),1)="-"),999),"E+","E"),"E-","E"))=LEN(SUBSTITUTE(SUBSTITUTE(SUBSTITUTE(SUBSTITUTE(MID(UPPER($EI454),1+OR(LEFT(UPPER($EI454),1)="+",LEFT(UPPER($EI454),1)="-"),999),"E+","E"),"E-","E"),"+",""),"-","")),LEN(UPPER($EI454))-LEN(SUBSTITUTE(UPPER($EI454),"E",""))&lt;2,LEN(UPPER($EI454))-LEN(SUBSTITUTE(UPPER($EI454),".",""))&lt;2,IFERROR(FIND(".",UPPER($EI454)),0)&lt;IFERROR(FIND("E",UPPER($EI454)),999)),ISNUMBER(VALUE($EI454)))),1,2)))</f>
        <v/>
      </c>
      <c r="EK454">
        <f>IF($DM454=0,"",IF($EJ454=1,IF(ISNUMBER($EI454),$EI454,VALUE($EI454)),IF($EJ454=2,$DE454,0)))</f>
        <v/>
      </c>
      <c r="EL454">
        <f>IF($DM454=0,"",COUNTIF($EG$5:$EG$1003,"&lt;"&amp;$EG454)+SUMPRODUCT(($EG$5:$EG$1003=$EG454)*(($EJ$5:$EJ$1003&lt;$EJ454)+($EJ$5:$EJ$1003=$EJ454)*(($EK$5:$EK$1003&lt;$EK454)+($EK$5:$EK$1003=$EK454)*($DE$5:$DE$1003&lt;$DE454))))+1)</f>
        <v/>
      </c>
      <c r="EM454">
        <f>IF($DM454=0,"",$EL454+$EG454-1)</f>
        <v/>
      </c>
      <c r="EN454">
        <f>IF($DM454=0,0,IFERROR(MATCH(1,INDEX(--(TRIM(SUBSTITUTE(SUBSTITUTE(SUBSTITUTE(SUBSTITUTE(LINES_NAME&amp;""," "," "),CHAR(9)," "),CHAR(10)," "),CHAR(13)," "))=$DH454),0),0),0))</f>
        <v/>
      </c>
      <c r="EO454">
        <f>IF($EN454=0,0,IF(OR(UPPER(TRIM(INDEX(LINES_SCHEDULED,$EN454)&amp;""))="YES",UPPER(TRIM(INDEX(LINES_SCHEDULED,$EN454)&amp;""))="Y",UPPER(TRIM(INDEX(LINES_SCHEDULED,$EN454)&amp;""))="X"),1,0))</f>
        <v/>
      </c>
      <c r="EP454">
        <f>IF($DM454=0,"",IF(COUNTIFS($EG$5:$EG$1003,$EG454,$EB$5:$EB$1003,"Ready")&gt;0,"READY",IF(COUNTIFS($EG$5:$EG$1003,$EG454,$EB$5:$EB$1003,"PM")&gt;0,"PM",IF(COUNTIFS($EG$5:$EG$1003,$EG454,$EB$5:$EB$1003,"OT")&gt;0,"OT",""))))</f>
        <v/>
      </c>
      <c r="EQ454">
        <f>IF($EN454=0,"",UPPER(TRIM(INDEX(LINES_STATUS,$EN454)&amp;"")))</f>
        <v/>
      </c>
      <c r="ER454">
        <f>IF($DM454=0,"",IF(OR($EQ454="READY",$EQ454="PM",$EQ454="OT"),$EQ454,$EP454))</f>
        <v/>
      </c>
      <c r="ES454">
        <f>IF($DM454=0,"",IF(AND($DV454&lt;&gt;"",UPPER($DV454)&lt;&gt;"N"),"allergen",IF(ISNUMBER(SEARCH("oil",$DQ454)),"oil",IF(OR(EXACT($DS454,"A662"),EXACT($DS454,"A624")),"bulk",""))))</f>
        <v/>
      </c>
      <c r="ET454">
        <f>IF($DM454=0,"",IF(OR($EA454="",$EA454=0),"",$EA454/100))</f>
        <v/>
      </c>
      <c r="EU454">
        <f>IF(OR($ET454="",$DY454=""),"",INT($DY454*(1-$ET454)+0.5))</f>
        <v/>
      </c>
      <c r="EW454" t="n">
        <v>450</v>
      </c>
      <c r="EX454">
        <f>IFERROR(MATCH($EW454,$EM$5:$EM$1003,0),0)</f>
        <v/>
      </c>
      <c r="EY454">
        <f>IF($EW454&gt;$B$12,"",IF($EX454&gt;0,"row","spacer"))</f>
        <v/>
      </c>
      <c r="EZ454">
        <f>IF(AND($EY454="row",$EY453&lt;&gt;"row"),1,0)</f>
        <v/>
      </c>
      <c r="FA454">
        <f>IF(AND($EY454="row",$EY455&lt;&gt;"row"),1,0)</f>
        <v/>
      </c>
      <c r="FB454">
        <f>IF($EZ454=1,IFERROR(IF(ISNUMBER(INDEX(PASTE_ALL,INDEX($DF$5:$DF$1003,$EX454),$B$37)),INDEX(PASTE_ALL,INDEX($DF$5:$DF$1003,$EX454),$B$37),INDEX($DH$5:$DH$1003,$EX454)),INDEX($DH$5:$DH$1003,$EX454)),"")</f>
        <v/>
      </c>
      <c r="FC454">
        <f>IF($EY454="row",INDEX($ER$5:$ER$1003,$EX454),"")</f>
        <v/>
      </c>
      <c r="FD454">
        <f>IF($EY454="row",INDEX($DN$5:$DN$1003,$EX454),"")</f>
        <v/>
      </c>
      <c r="FE454">
        <f>IF($EY454="row",INDEX($DO$5:$DO$1003,$EX454),"")</f>
        <v/>
      </c>
      <c r="FF454">
        <f>IF($EY454="row",INDEX($DP$5:$DP$1003,$EX454),"")</f>
        <v/>
      </c>
      <c r="FG454">
        <f>IF($EY454="row",INDEX($DQ$5:$DQ$1003,$EX454),"")</f>
        <v/>
      </c>
      <c r="FH454">
        <f>IF($EY454="row",INDEX($DR$5:$DR$1003,$EX454),"")</f>
        <v/>
      </c>
      <c r="FI454">
        <f>IF($EY454="row",INDEX($DS$5:$DS$1003,$EX454),"")</f>
        <v/>
      </c>
      <c r="FJ454">
        <f>IF($EY454="row",INDEX($DT$5:$DT$1003,$EX454),"")</f>
        <v/>
      </c>
      <c r="FK454">
        <f>IF($EY454="row",INDEX($DU$5:$DU$1003,$EX454),"")</f>
        <v/>
      </c>
      <c r="FL454">
        <f>IF($EY454="row",INDEX($DV$5:$DV$1003,$EX454),"")</f>
        <v/>
      </c>
      <c r="FM454">
        <f>IF($EY454="row",INDEX($DW$5:$DW$1003,$EX454),"")</f>
        <v/>
      </c>
      <c r="FN454">
        <f>IF($EY454="row",INDEX($DY$5:$DY$1003,$EX454),"")</f>
        <v/>
      </c>
      <c r="FO454">
        <f>IF($EY454="row",INDEX($EA$5:$EA$1003,$EX454),"")</f>
        <v/>
      </c>
      <c r="FP454">
        <f>IF($EY454="row",INDEX($EC$5:$EC$1003,$EX454),"")</f>
        <v/>
      </c>
      <c r="FQ454">
        <f>IF($EY454="row",INDEX($ET$5:$ET$1003,$EX454),"")</f>
        <v/>
      </c>
      <c r="FR454">
        <f>IF($EY454="row",INDEX($EU$5:$EU$1003,$EX454),"")</f>
        <v/>
      </c>
      <c r="FS454">
        <f>IF(AND($EY454="row",$EY453="row"),IF(OR(INDEX($DT$5:$DT$1003,$EX453)="",INDEX($DT$5:$DT$1003,$EX454)=""),"",IF(NOT(EXACT(INDEX($DT$5:$DT$1003,$EX453),INDEX($DT$5:$DT$1003,$EX454))),"S4",IF(NOT(EXACT(INDEX($DS$5:$DS$1003,$EX453),INDEX($DS$5:$DS$1003,$EX454))),"S3",IF(NOT(EXACT(INDEX($DR$5:$DR$1003,$EX453),INDEX($DR$5:$DR$1003,$EX454))),"S1 Count Change","S1")))),"")</f>
        <v/>
      </c>
      <c r="FT454">
        <f>IF($EY454="row",INDEX($ES$5:$ES$1003,$EX454),"")</f>
        <v/>
      </c>
      <c r="FU454">
        <f>IF($EY454="row",INDEX($EO$5:$EO$1003,$EX454),0)</f>
        <v/>
      </c>
      <c r="FV454">
        <f>IF($FS454="S1 Count Change",1,0)</f>
        <v/>
      </c>
    </row>
    <row r="455">
      <c r="DA455" t="n">
        <v>451</v>
      </c>
      <c r="DB455">
        <f>IF($B$37=0,"",IFERROR(TRIM(SUBSTITUTE(SUBSTITUTE(SUBSTITUTE(SUBSTITUTE(INDEX(PASTE_ALL,451,$B$37)," "," "),CHAR(9)," "),CHAR(10)," "),CHAR(13)," ")),""))</f>
        <v/>
      </c>
      <c r="DC455">
        <f>IF(AND(451&gt;HEADER_ROW,UPPER(DB455)="LEGEND"),1,0)</f>
        <v/>
      </c>
      <c r="DE455" t="n">
        <v>451</v>
      </c>
      <c r="DF455">
        <f>HEADER_ROW+$DE455</f>
        <v/>
      </c>
      <c r="DG455">
        <f>IF(AND($DF455&lt;=1000,$DF455&lt;$B$8),1,0)</f>
        <v/>
      </c>
      <c r="DH455">
        <f>IF($DG455=1,IFERROR(INDEX($DB$5:$DB$1004,$DF455),""),"")</f>
        <v/>
      </c>
      <c r="DI455">
        <f>IF(AND($DG455=1,$DH455&lt;&gt;""),IFERROR(SUBSTITUTE(SUBSTITUTE(TRIM(SUBSTITUTE(SUBSTITUTE(SUBSTITUTE(SUBSTITUTE(IFERROR(INDEX(PASTE_ALL,$DF455,1)&amp;"","")&amp;"␟"&amp;IFERROR(INDEX(PASTE_ALL,$DF455,2)&amp;"","")&amp;"␟"&amp;IFERROR(INDEX(PASTE_ALL,$DF455,3)&amp;"","")&amp;"␟"&amp;IFERROR(INDEX(PASTE_ALL,$DF455,4)&amp;"","")&amp;"␟"&amp;IFERROR(INDEX(PASTE_ALL,$DF455,5)&amp;"","")&amp;"␟"&amp;IFERROR(INDEX(PASTE_ALL,$DF455,6)&amp;"","")&amp;"␟"&amp;IFERROR(INDEX(PASTE_ALL,$DF455,7)&amp;"","")&amp;"␟"&amp;IFERROR(INDEX(PASTE_ALL,$DF455,8)&amp;"","")&amp;"␟"&amp;IFERROR(INDEX(PASTE_ALL,$DF455,9)&amp;"","")&amp;"␟"&amp;IFERROR(INDEX(PASTE_ALL,$DF455,10)&amp;"","")&amp;"␟"&amp;IFERROR(INDEX(PASTE_ALL,$DF455,11)&amp;"","")&amp;"␟"&amp;IFERROR(INDEX(PASTE_ALL,$DF455,12)&amp;"","")&amp;"␟"&amp;IFERROR(INDEX(PASTE_ALL,$DF455,13)&amp;"","")&amp;"␟"&amp;IFERROR(INDEX(PASTE_ALL,$DF455,14)&amp;"","")&amp;"␟"&amp;IFERROR(INDEX(PASTE_ALL,$DF455,15)&amp;"","")&amp;"␟"&amp;IFERROR(INDEX(PASTE_ALL,$DF455,16)&amp;"","")&amp;"␟"&amp;IFERROR(INDEX(PASTE_ALL,$DF455,17)&amp;"","")&amp;"␟"&amp;IFERROR(INDEX(PASTE_ALL,$DF455,18)&amp;"","")&amp;"␟"&amp;IFERROR(INDEX(PASTE_ALL,$DF455,19)&amp;"","")&amp;"␟"&amp;IFERROR(INDEX(PASTE_ALL,$DF455,20)&amp;"","")&amp;"␟"&amp;IFERROR(INDEX(PASTE_ALL,$DF455,21)&amp;"","")&amp;"␟"&amp;IFERROR(INDEX(PASTE_ALL,$DF455,22)&amp;"","")&amp;"␟"&amp;IFERROR(INDEX(PASTE_ALL,$DF455,23)&amp;"","")&amp;"␟"&amp;IFERROR(INDEX(PASTE_ALL,$DF455,24)&amp;"","")&amp;"␟"&amp;IFERROR(INDEX(PASTE_ALL,$DF455,25)&amp;"","")&amp;"␟"&amp;IFERROR(INDEX(PASTE_ALL,$DF455,26)&amp;"","")&amp;"␟"&amp;IFERROR(INDEX(PASTE_ALL,$DF455,27)&amp;"","")&amp;"␟"&amp;IFERROR(INDEX(PASTE_ALL,$DF455,28)&amp;"","")&amp;"␟"&amp;IFERROR(INDEX(PASTE_ALL,$DF455,29)&amp;"","")&amp;"␟"&amp;IFERROR(INDEX(PASTE_ALL,$DF455,30)&amp;"","")&amp;"␟"&amp;IFERROR(INDEX(PASTE_ALL,$DF455,31)&amp;"","")&amp;"␟"&amp;IFERROR(INDEX(PASTE_ALL,$DF455,32)&amp;"","")&amp;"␟"&amp;IFERROR(INDEX(PASTE_ALL,$DF455,33)&amp;"","")&amp;"␟"&amp;IFERROR(INDEX(PASTE_ALL,$DF455,34)&amp;"","")&amp;"␟"&amp;IFERROR(INDEX(PASTE_ALL,$DF455,35)&amp;"","")&amp;"␟"&amp;IFERROR(INDEX(PASTE_ALL,$DF455,36)&amp;"","")&amp;"␟"&amp;IFERROR(INDEX(PASTE_ALL,$DF455,37)&amp;"","")&amp;"␟"&amp;IFERROR(INDEX(PASTE_ALL,$DF455,38)&amp;"","")&amp;"␟"&amp;IFERROR(INDEX(PASTE_ALL,$DF455,39)&amp;"","")&amp;"␟"&amp;IFERROR(INDEX(PASTE_ALL,$DF455,40)&amp;"","")&amp;"␟"&amp;IFERROR(INDEX(PASTE_ALL,$DF455,41)&amp;"","")&amp;"␟"&amp;IFERROR(INDEX(PASTE_ALL,$DF455,42)&amp;"","")&amp;"␟"&amp;IFERROR(INDEX(PASTE_ALL,$DF455,43)&amp;"","")&amp;"␟"&amp;IFERROR(INDEX(PASTE_ALL,$DF455,44)&amp;"","")&amp;"␟"&amp;IFERROR(INDEX(PASTE_ALL,$DF455,45)&amp;"","")&amp;"␟"&amp;IFERROR(INDEX(PASTE_ALL,$DF455,46)&amp;"","")&amp;"␟"&amp;IFERROR(INDEX(PASTE_ALL,$DF455,47)&amp;"","")&amp;"␟"&amp;IFERROR(INDEX(PASTE_ALL,$DF455,48)&amp;"","")&amp;"␟"&amp;IFERROR(INDEX(PASTE_ALL,$DF455,49)&amp;"","")&amp;"␟"&amp;IFERROR(INDEX(PASTE_ALL,$DF455,50)&amp;"","")&amp;"␟"&amp;IFERROR(INDEX(PASTE_ALL,$DF455,51)&amp;"","")&amp;"␟"&amp;IFERROR(INDEX(PASTE_ALL,$DF455,52)&amp;"","")&amp;"␟"&amp;IFERROR(INDEX(PASTE_ALL,$DF455,53)&amp;"","")&amp;"␟"&amp;IFERROR(INDEX(PASTE_ALL,$DF455,54)&amp;"","")&amp;"␟"&amp;IFERROR(INDEX(PASTE_ALL,$DF455,55)&amp;"","")&amp;"␟"&amp;IFERROR(INDEX(PASTE_ALL,$DF455,56)&amp;"","")&amp;"␟"&amp;IFERROR(INDEX(PASTE_ALL,$DF455,57)&amp;"","")&amp;"␟"&amp;IFERROR(INDEX(PASTE_ALL,$DF455,58)&amp;"","")&amp;"␟"&amp;IFERROR(INDEX(PASTE_ALL,$DF455,59)&amp;"","")&amp;"␟"&amp;IFERROR(INDEX(PASTE_ALL,$DF455,60)&amp;"","")," "," "),CHAR(9)," "),CHAR(10)," "),CHAR(13)," "))," ␟","␟"),"␟ ","␟"),"#"&amp;$DE455),"")</f>
        <v/>
      </c>
      <c r="DJ455">
        <f>IF($DI455="",0,IF(SUMPRODUCT(--EXACT($DI$4:DI454,$DI455))&gt;0,1,0))</f>
        <v/>
      </c>
      <c r="DK455">
        <f>IF(AND($DI455&lt;&gt;"",$DJ455=0),1,0)</f>
        <v/>
      </c>
      <c r="DL455">
        <f>DL454+$DK455</f>
        <v/>
      </c>
      <c r="DM455">
        <f>IF(AND($DK455=1,$DL455&lt;=600),1,0)</f>
        <v/>
      </c>
      <c r="DN455">
        <f>IF($DM455=0,"",IF($L$6=0,"",IFERROR(IF(ISNUMBER(INDEX(PASTE_ALL,$DF455,$L$6)),INDEX(PASTE_ALL,$DF455,$L$6),TRIM(SUBSTITUTE(SUBSTITUTE(SUBSTITUTE(SUBSTITUTE(INDEX(PASTE_ALL,$DF455,$L$6)," "," "),CHAR(9)," "),CHAR(10)," "),CHAR(13)," "))),"")))</f>
        <v/>
      </c>
      <c r="DO455">
        <f>IF($DM455=0,"",IF($L$7=0,"",IFERROR(IF(ISNUMBER(INDEX(PASTE_ALL,$DF455,$L$7)),INDEX(PASTE_ALL,$DF455,$L$7),TRIM(SUBSTITUTE(SUBSTITUTE(SUBSTITUTE(SUBSTITUTE(INDEX(PASTE_ALL,$DF455,$L$7)," "," "),CHAR(9)," "),CHAR(10)," "),CHAR(13)," "))),"")))</f>
        <v/>
      </c>
      <c r="DP455">
        <f>IF($DM455=0,"",IF($L$8=0,"",IFERROR(IF(ISNUMBER(INDEX(PASTE_ALL,$DF455,$L$8)),INDEX(PASTE_ALL,$DF455,$L$8),TRIM(SUBSTITUTE(SUBSTITUTE(SUBSTITUTE(SUBSTITUTE(INDEX(PASTE_ALL,$DF455,$L$8)," "," "),CHAR(9)," "),CHAR(10)," "),CHAR(13)," "))),"")))</f>
        <v/>
      </c>
      <c r="DQ455">
        <f>IF($DM455=0,"",IF($L$9=0,"",IFERROR(IF(ISNUMBER(INDEX(PASTE_ALL,$DF455,$L$9)),INDEX(PASTE_ALL,$DF455,$L$9),TRIM(SUBSTITUTE(SUBSTITUTE(SUBSTITUTE(SUBSTITUTE(INDEX(PASTE_ALL,$DF455,$L$9)," "," "),CHAR(9)," "),CHAR(10)," "),CHAR(13)," "))),"")))</f>
        <v/>
      </c>
      <c r="DR455">
        <f>IF($DM455=0,"",IF($L$10=0,"",IFERROR(IF(ISNUMBER(INDEX(PASTE_ALL,$DF455,$L$10)),INDEX(PASTE_ALL,$DF455,$L$10),TRIM(SUBSTITUTE(SUBSTITUTE(SUBSTITUTE(SUBSTITUTE(INDEX(PASTE_ALL,$DF455,$L$10)," "," "),CHAR(9)," "),CHAR(10)," "),CHAR(13)," "))),"")))</f>
        <v/>
      </c>
      <c r="DS455">
        <f>IF($DM455=0,"",IF($L$11=0,"",IFERROR(IF(ISNUMBER(INDEX(PASTE_ALL,$DF455,$L$11)),INDEX(PASTE_ALL,$DF455,$L$11),TRIM(SUBSTITUTE(SUBSTITUTE(SUBSTITUTE(SUBSTITUTE(INDEX(PASTE_ALL,$DF455,$L$11)," "," "),CHAR(9)," "),CHAR(10)," "),CHAR(13)," "))),"")))</f>
        <v/>
      </c>
      <c r="DT455">
        <f>IF($DM455=0,"",IF($L$12=0,"",IFERROR(IF(ISNUMBER(INDEX(PASTE_ALL,$DF455,$L$12)),INDEX(PASTE_ALL,$DF455,$L$12),TRIM(SUBSTITUTE(SUBSTITUTE(SUBSTITUTE(SUBSTITUTE(INDEX(PASTE_ALL,$DF455,$L$12)," "," "),CHAR(9)," "),CHAR(10)," "),CHAR(13)," "))),"")))</f>
        <v/>
      </c>
      <c r="DU455">
        <f>IF($DM455=0,"",IF($L$13=0,"",IFERROR(IF(ISNUMBER(INDEX(PASTE_ALL,$DF455,$L$13)),INDEX(PASTE_ALL,$DF455,$L$13),TRIM(SUBSTITUTE(SUBSTITUTE(SUBSTITUTE(SUBSTITUTE(INDEX(PASTE_ALL,$DF455,$L$13)," "," "),CHAR(9)," "),CHAR(10)," "),CHAR(13)," "))),"")))</f>
        <v/>
      </c>
      <c r="DV455">
        <f>IF($DM455=0,"",IF($L$14=0,"",IFERROR(IF(ISNUMBER(INDEX(PASTE_ALL,$DF455,$L$14)),INDEX(PASTE_ALL,$DF455,$L$14),TRIM(SUBSTITUTE(SUBSTITUTE(SUBSTITUTE(SUBSTITUTE(INDEX(PASTE_ALL,$DF455,$L$14)," "," "),CHAR(9)," "),CHAR(10)," "),CHAR(13)," "))),"")))</f>
        <v/>
      </c>
      <c r="DW455">
        <f>IF($DM455=0,"",IF($L$15=0,"",IFERROR(IF(ISNUMBER(INDEX(PASTE_ALL,$DF455,$L$15)),INDEX(PASTE_ALL,$DF455,$L$15),IF(SUMPRODUCT(--ISNUMBER(FIND({"A","B","C","D","E","F","G","H","I","J","K","L","M","N","O","P","Q","R","S","T","U","V","W","X","Y","Z","0","1","2","3","4","5","6","7","8","9"},UPPER(TRIM(SUBSTITUTE(SUBSTITUTE(SUBSTITUTE(SUBSTITUTE(INDEX(PASTE_ALL,$DF455,$L$15)," "," "),CHAR(9)," "),CHAR(10)," "),CHAR(13)," "))))))&gt;0,TRIM(SUBSTITUTE(SUBSTITUTE(SUBSTITUTE(SUBSTITUTE(INDEX(PASTE_ALL,$DF455,$L$15)," "," "),CHAR(9)," "),CHAR(10)," "),CHAR(13)," ")),"")),"")))</f>
        <v/>
      </c>
      <c r="DX455">
        <f>IF($DM455=0,"",IF($L$16=0,"",IFERROR(IF(ISNUMBER(INDEX(PASTE_ALL,$DF455,$L$16)),INDEX(PASTE_ALL,$DF455,$L$16),SUBSTITUTE(SUBSTITUTE(TRIM(SUBSTITUTE(SUBSTITUTE(SUBSTITUTE(SUBSTITUTE(INDEX(PASTE_ALL,$DF455,$L$16)," "," "),CHAR(9)," "),CHAR(10)," "),CHAR(13)," ")),",",""),"%","")),"")))</f>
        <v/>
      </c>
      <c r="DY455">
        <f>IF($DM455=0,"",IFERROR(IF(ISNUMBER($DX455),$DX455,IF($DX455="","",IF(TRIM($DX455)="",0,IF(AND(AND(SUBSTITUTE(SUBSTITUTE(SUBSTITUTE(SUBSTITUTE(SUBSTITUTE(SUBSTITUTE(SUBSTITUTE(SUBSTITUTE(SUBSTITUTE(SUBSTITUTE(SUBSTITUTE(SUBSTITUTE(SUBSTITUTE(SUBSTITUTE(UPPER(TRIM($DX455)),"0",""),"1",""),"2",""),"3",""),"4",""),"5",""),"6",""),"7",""),"8",""),"9",""),".",""),"+",""),"-",""),"E","")="",LEN(SUBSTITUTE(SUBSTITUTE(MID(UPPER(TRIM($DX455)),1+OR(LEFT(UPPER(TRIM($DX455)),1)="+",LEFT(UPPER(TRIM($DX455)),1)="-"),999),"E+","E"),"E-","E"))=LEN(SUBSTITUTE(SUBSTITUTE(SUBSTITUTE(SUBSTITUTE(MID(UPPER(TRIM($DX455)),1+OR(LEFT(UPPER(TRIM($DX455)),1)="+",LEFT(UPPER(TRIM($DX455)),1)="-"),999),"E+","E"),"E-","E"),"+",""),"-","")),LEN(UPPER(TRIM($DX455)))-LEN(SUBSTITUTE(UPPER(TRIM($DX455)),"E",""))&lt;2,LEN(UPPER(TRIM($DX455)))-LEN(SUBSTITUTE(UPPER(TRIM($DX455)),".",""))&lt;2,IFERROR(FIND(".",UPPER(TRIM($DX455))),0)&lt;IFERROR(FIND("E",UPPER(TRIM($DX455))),999)),ISNUMBER(VALUE(TRIM($DX455)))),VALUE(TRIM($DX455)),"")))),""))</f>
        <v/>
      </c>
      <c r="DZ455">
        <f>IF($DM455=0,"",IF($L$17=0,"",IFERROR(IF(ISNUMBER(INDEX(PASTE_ALL,$DF455,$L$17)),INDEX(PASTE_ALL,$DF455,$L$17),SUBSTITUTE(SUBSTITUTE(TRIM(SUBSTITUTE(SUBSTITUTE(SUBSTITUTE(SUBSTITUTE(INDEX(PASTE_ALL,$DF455,$L$17)," "," "),CHAR(9)," "),CHAR(10)," "),CHAR(13)," ")),",",""),"%","")),"")))</f>
        <v/>
      </c>
      <c r="EA455">
        <f>IF($DM455=0,"",IFERROR(IF(ISNUMBER($DZ455),$DZ455,IF($DZ455="","",IF(TRIM($DZ455)="",0,IF(AND(AND(SUBSTITUTE(SUBSTITUTE(SUBSTITUTE(SUBSTITUTE(SUBSTITUTE(SUBSTITUTE(SUBSTITUTE(SUBSTITUTE(SUBSTITUTE(SUBSTITUTE(SUBSTITUTE(SUBSTITUTE(SUBSTITUTE(SUBSTITUTE(UPPER(TRIM($DZ455)),"0",""),"1",""),"2",""),"3",""),"4",""),"5",""),"6",""),"7",""),"8",""),"9",""),".",""),"+",""),"-",""),"E","")="",LEN(SUBSTITUTE(SUBSTITUTE(MID(UPPER(TRIM($DZ455)),1+OR(LEFT(UPPER(TRIM($DZ455)),1)="+",LEFT(UPPER(TRIM($DZ455)),1)="-"),999),"E+","E"),"E-","E"))=LEN(SUBSTITUTE(SUBSTITUTE(SUBSTITUTE(SUBSTITUTE(MID(UPPER(TRIM($DZ455)),1+OR(LEFT(UPPER(TRIM($DZ455)),1)="+",LEFT(UPPER(TRIM($DZ455)),1)="-"),999),"E+","E"),"E-","E"),"+",""),"-","")),LEN(UPPER(TRIM($DZ455)))-LEN(SUBSTITUTE(UPPER(TRIM($DZ455)),"E",""))&lt;2,LEN(UPPER(TRIM($DZ455)))-LEN(SUBSTITUTE(UPPER(TRIM($DZ455)),".",""))&lt;2,IFERROR(FIND(".",UPPER(TRIM($DZ455))),0)&lt;IFERROR(FIND("E",UPPER(TRIM($DZ455))),999)),ISNUMBER(VALUE(TRIM($DZ455)))),VALUE(TRIM($DZ455)),"")))),""))</f>
        <v/>
      </c>
      <c r="EB455">
        <f>IF($DM455=0,"",IF($L$18=0,"",IFERROR(IF(UPPER(TRIM(SUBSTITUTE(SUBSTITUTE(SUBSTITUTE(SUBSTITUTE(INDEX(PASTE_ALL,$DF455,$L$18)," "," "),CHAR(9)," "),CHAR(10)," "),CHAR(13)," ")))="READY","Ready",IF(UPPER(TRIM(SUBSTITUTE(SUBSTITUTE(SUBSTITUTE(SUBSTITUTE(INDEX(PASTE_ALL,$DF455,$L$18)," "," "),CHAR(9)," "),CHAR(10)," "),CHAR(13)," ")))="PM","PM",IF(OR(UPPER(TRIM(SUBSTITUTE(SUBSTITUTE(SUBSTITUTE(SUBSTITUTE(INDEX(PASTE_ALL,$DF455,$L$18)," "," "),CHAR(9)," "),CHAR(10)," "),CHAR(13)," ")))="OT",UPPER(TRIM(SUBSTITUTE(SUBSTITUTE(SUBSTITUTE(SUBSTITUTE(INDEX(PASTE_ALL,$DF455,$L$18)," "," "),CHAR(9)," "),CHAR(10)," "),CHAR(13)," ")))="OVERTIME",UPPER(TRIM(SUBSTITUTE(SUBSTITUTE(SUBSTITUTE(SUBSTITUTE(INDEX(PASTE_ALL,$DF455,$L$18)," "," "),CHAR(9)," "),CHAR(10)," "),CHAR(13)," ")))="TRIAL"),"OT",TRIM(SUBSTITUTE(SUBSTITUTE(SUBSTITUTE(SUBSTITUTE(INDEX(PASTE_ALL,$DF455,$L$18)," "," "),CHAR(9)," "),CHAR(10)," "),CHAR(13)," "))))),"")))</f>
        <v/>
      </c>
      <c r="EC455">
        <f>IF($DM455=0,"",IF($L$19=0,"",IFERROR(IF(ISNUMBER(INDEX(PASTE_ALL,$DF455,$L$19)),INDEX(PASTE_ALL,$DF455,$L$19),TRIM(SUBSTITUTE(SUBSTITUTE(SUBSTITUTE(SUBSTITUTE(INDEX(PASTE_ALL,$DF455,$L$19)," "," "),CHAR(9)," "),CHAR(10)," "),CHAR(13)," "))),"")))</f>
        <v/>
      </c>
      <c r="ED455">
        <f>IF($DM455=0,"",MATCH(1,INDEX(EXACT($DH$5:DH455,$DH455)*$DM$5:DM455,0),0))</f>
        <v/>
      </c>
      <c r="EE455">
        <f>IF($DM455=0,0,IF($ED455=$DE455,1,0))</f>
        <v/>
      </c>
      <c r="EF455">
        <f>EF454+$EE455</f>
        <v/>
      </c>
      <c r="EG455">
        <f>IF($DM455=0,"",INDEX($EF$5:$EF$1003,$ED455))</f>
        <v/>
      </c>
      <c r="EH455">
        <f>IF($DM455=0,"",IF($DO455&lt;&gt;"","",IFERROR(LOOKUP(2,1/(($EG$4:EG454=$EG455)*($DO$4:DO454&lt;&gt;"")),$DO$4:DO454),"")))</f>
        <v/>
      </c>
      <c r="EI455">
        <f>IF($DM455=0,"",IF($DO455&lt;&gt;"",$DO455,$EH455))</f>
        <v/>
      </c>
      <c r="EJ455">
        <f>IF($DM455=0,"",IF($EI455="",0,IF(OR(ISNUMBER($EI455),AND(AND(SUBSTITUTE(SUBSTITUTE(SUBSTITUTE(SUBSTITUTE(SUBSTITUTE(SUBSTITUTE(SUBSTITUTE(SUBSTITUTE(SUBSTITUTE(SUBSTITUTE(SUBSTITUTE(SUBSTITUTE(SUBSTITUTE(SUBSTITUTE(UPPER($EI455),"0",""),"1",""),"2",""),"3",""),"4",""),"5",""),"6",""),"7",""),"8",""),"9",""),".",""),"+",""),"-",""),"E","")="",LEN(SUBSTITUTE(SUBSTITUTE(MID(UPPER($EI455),1+OR(LEFT(UPPER($EI455),1)="+",LEFT(UPPER($EI455),1)="-"),999),"E+","E"),"E-","E"))=LEN(SUBSTITUTE(SUBSTITUTE(SUBSTITUTE(SUBSTITUTE(MID(UPPER($EI455),1+OR(LEFT(UPPER($EI455),1)="+",LEFT(UPPER($EI455),1)="-"),999),"E+","E"),"E-","E"),"+",""),"-","")),LEN(UPPER($EI455))-LEN(SUBSTITUTE(UPPER($EI455),"E",""))&lt;2,LEN(UPPER($EI455))-LEN(SUBSTITUTE(UPPER($EI455),".",""))&lt;2,IFERROR(FIND(".",UPPER($EI455)),0)&lt;IFERROR(FIND("E",UPPER($EI455)),999)),ISNUMBER(VALUE($EI455)))),1,2)))</f>
        <v/>
      </c>
      <c r="EK455">
        <f>IF($DM455=0,"",IF($EJ455=1,IF(ISNUMBER($EI455),$EI455,VALUE($EI455)),IF($EJ455=2,$DE455,0)))</f>
        <v/>
      </c>
      <c r="EL455">
        <f>IF($DM455=0,"",COUNTIF($EG$5:$EG$1003,"&lt;"&amp;$EG455)+SUMPRODUCT(($EG$5:$EG$1003=$EG455)*(($EJ$5:$EJ$1003&lt;$EJ455)+($EJ$5:$EJ$1003=$EJ455)*(($EK$5:$EK$1003&lt;$EK455)+($EK$5:$EK$1003=$EK455)*($DE$5:$DE$1003&lt;$DE455))))+1)</f>
        <v/>
      </c>
      <c r="EM455">
        <f>IF($DM455=0,"",$EL455+$EG455-1)</f>
        <v/>
      </c>
      <c r="EN455">
        <f>IF($DM455=0,0,IFERROR(MATCH(1,INDEX(--(TRIM(SUBSTITUTE(SUBSTITUTE(SUBSTITUTE(SUBSTITUTE(LINES_NAME&amp;""," "," "),CHAR(9)," "),CHAR(10)," "),CHAR(13)," "))=$DH455),0),0),0))</f>
        <v/>
      </c>
      <c r="EO455">
        <f>IF($EN455=0,0,IF(OR(UPPER(TRIM(INDEX(LINES_SCHEDULED,$EN455)&amp;""))="YES",UPPER(TRIM(INDEX(LINES_SCHEDULED,$EN455)&amp;""))="Y",UPPER(TRIM(INDEX(LINES_SCHEDULED,$EN455)&amp;""))="X"),1,0))</f>
        <v/>
      </c>
      <c r="EP455">
        <f>IF($DM455=0,"",IF(COUNTIFS($EG$5:$EG$1003,$EG455,$EB$5:$EB$1003,"Ready")&gt;0,"READY",IF(COUNTIFS($EG$5:$EG$1003,$EG455,$EB$5:$EB$1003,"PM")&gt;0,"PM",IF(COUNTIFS($EG$5:$EG$1003,$EG455,$EB$5:$EB$1003,"OT")&gt;0,"OT",""))))</f>
        <v/>
      </c>
      <c r="EQ455">
        <f>IF($EN455=0,"",UPPER(TRIM(INDEX(LINES_STATUS,$EN455)&amp;"")))</f>
        <v/>
      </c>
      <c r="ER455">
        <f>IF($DM455=0,"",IF(OR($EQ455="READY",$EQ455="PM",$EQ455="OT"),$EQ455,$EP455))</f>
        <v/>
      </c>
      <c r="ES455">
        <f>IF($DM455=0,"",IF(AND($DV455&lt;&gt;"",UPPER($DV455)&lt;&gt;"N"),"allergen",IF(ISNUMBER(SEARCH("oil",$DQ455)),"oil",IF(OR(EXACT($DS455,"A662"),EXACT($DS455,"A624")),"bulk",""))))</f>
        <v/>
      </c>
      <c r="ET455">
        <f>IF($DM455=0,"",IF(OR($EA455="",$EA455=0),"",$EA455/100))</f>
        <v/>
      </c>
      <c r="EU455">
        <f>IF(OR($ET455="",$DY455=""),"",INT($DY455*(1-$ET455)+0.5))</f>
        <v/>
      </c>
      <c r="EW455" t="n">
        <v>451</v>
      </c>
      <c r="EX455">
        <f>IFERROR(MATCH($EW455,$EM$5:$EM$1003,0),0)</f>
        <v/>
      </c>
      <c r="EY455">
        <f>IF($EW455&gt;$B$12,"",IF($EX455&gt;0,"row","spacer"))</f>
        <v/>
      </c>
      <c r="EZ455">
        <f>IF(AND($EY455="row",$EY454&lt;&gt;"row"),1,0)</f>
        <v/>
      </c>
      <c r="FA455">
        <f>IF(AND($EY455="row",$EY456&lt;&gt;"row"),1,0)</f>
        <v/>
      </c>
      <c r="FB455">
        <f>IF($EZ455=1,IFERROR(IF(ISNUMBER(INDEX(PASTE_ALL,INDEX($DF$5:$DF$1003,$EX455),$B$37)),INDEX(PASTE_ALL,INDEX($DF$5:$DF$1003,$EX455),$B$37),INDEX($DH$5:$DH$1003,$EX455)),INDEX($DH$5:$DH$1003,$EX455)),"")</f>
        <v/>
      </c>
      <c r="FC455">
        <f>IF($EY455="row",INDEX($ER$5:$ER$1003,$EX455),"")</f>
        <v/>
      </c>
      <c r="FD455">
        <f>IF($EY455="row",INDEX($DN$5:$DN$1003,$EX455),"")</f>
        <v/>
      </c>
      <c r="FE455">
        <f>IF($EY455="row",INDEX($DO$5:$DO$1003,$EX455),"")</f>
        <v/>
      </c>
      <c r="FF455">
        <f>IF($EY455="row",INDEX($DP$5:$DP$1003,$EX455),"")</f>
        <v/>
      </c>
      <c r="FG455">
        <f>IF($EY455="row",INDEX($DQ$5:$DQ$1003,$EX455),"")</f>
        <v/>
      </c>
      <c r="FH455">
        <f>IF($EY455="row",INDEX($DR$5:$DR$1003,$EX455),"")</f>
        <v/>
      </c>
      <c r="FI455">
        <f>IF($EY455="row",INDEX($DS$5:$DS$1003,$EX455),"")</f>
        <v/>
      </c>
      <c r="FJ455">
        <f>IF($EY455="row",INDEX($DT$5:$DT$1003,$EX455),"")</f>
        <v/>
      </c>
      <c r="FK455">
        <f>IF($EY455="row",INDEX($DU$5:$DU$1003,$EX455),"")</f>
        <v/>
      </c>
      <c r="FL455">
        <f>IF($EY455="row",INDEX($DV$5:$DV$1003,$EX455),"")</f>
        <v/>
      </c>
      <c r="FM455">
        <f>IF($EY455="row",INDEX($DW$5:$DW$1003,$EX455),"")</f>
        <v/>
      </c>
      <c r="FN455">
        <f>IF($EY455="row",INDEX($DY$5:$DY$1003,$EX455),"")</f>
        <v/>
      </c>
      <c r="FO455">
        <f>IF($EY455="row",INDEX($EA$5:$EA$1003,$EX455),"")</f>
        <v/>
      </c>
      <c r="FP455">
        <f>IF($EY455="row",INDEX($EC$5:$EC$1003,$EX455),"")</f>
        <v/>
      </c>
      <c r="FQ455">
        <f>IF($EY455="row",INDEX($ET$5:$ET$1003,$EX455),"")</f>
        <v/>
      </c>
      <c r="FR455">
        <f>IF($EY455="row",INDEX($EU$5:$EU$1003,$EX455),"")</f>
        <v/>
      </c>
      <c r="FS455">
        <f>IF(AND($EY455="row",$EY454="row"),IF(OR(INDEX($DT$5:$DT$1003,$EX454)="",INDEX($DT$5:$DT$1003,$EX455)=""),"",IF(NOT(EXACT(INDEX($DT$5:$DT$1003,$EX454),INDEX($DT$5:$DT$1003,$EX455))),"S4",IF(NOT(EXACT(INDEX($DS$5:$DS$1003,$EX454),INDEX($DS$5:$DS$1003,$EX455))),"S3",IF(NOT(EXACT(INDEX($DR$5:$DR$1003,$EX454),INDEX($DR$5:$DR$1003,$EX455))),"S1 Count Change","S1")))),"")</f>
        <v/>
      </c>
      <c r="FT455">
        <f>IF($EY455="row",INDEX($ES$5:$ES$1003,$EX455),"")</f>
        <v/>
      </c>
      <c r="FU455">
        <f>IF($EY455="row",INDEX($EO$5:$EO$1003,$EX455),0)</f>
        <v/>
      </c>
      <c r="FV455">
        <f>IF($FS455="S1 Count Change",1,0)</f>
        <v/>
      </c>
    </row>
    <row r="456">
      <c r="DA456" t="n">
        <v>452</v>
      </c>
      <c r="DB456">
        <f>IF($B$37=0,"",IFERROR(TRIM(SUBSTITUTE(SUBSTITUTE(SUBSTITUTE(SUBSTITUTE(INDEX(PASTE_ALL,452,$B$37)," "," "),CHAR(9)," "),CHAR(10)," "),CHAR(13)," ")),""))</f>
        <v/>
      </c>
      <c r="DC456">
        <f>IF(AND(452&gt;HEADER_ROW,UPPER(DB456)="LEGEND"),1,0)</f>
        <v/>
      </c>
      <c r="DE456" t="n">
        <v>452</v>
      </c>
      <c r="DF456">
        <f>HEADER_ROW+$DE456</f>
        <v/>
      </c>
      <c r="DG456">
        <f>IF(AND($DF456&lt;=1000,$DF456&lt;$B$8),1,0)</f>
        <v/>
      </c>
      <c r="DH456">
        <f>IF($DG456=1,IFERROR(INDEX($DB$5:$DB$1004,$DF456),""),"")</f>
        <v/>
      </c>
      <c r="DI456">
        <f>IF(AND($DG456=1,$DH456&lt;&gt;""),IFERROR(SUBSTITUTE(SUBSTITUTE(TRIM(SUBSTITUTE(SUBSTITUTE(SUBSTITUTE(SUBSTITUTE(IFERROR(INDEX(PASTE_ALL,$DF456,1)&amp;"","")&amp;"␟"&amp;IFERROR(INDEX(PASTE_ALL,$DF456,2)&amp;"","")&amp;"␟"&amp;IFERROR(INDEX(PASTE_ALL,$DF456,3)&amp;"","")&amp;"␟"&amp;IFERROR(INDEX(PASTE_ALL,$DF456,4)&amp;"","")&amp;"␟"&amp;IFERROR(INDEX(PASTE_ALL,$DF456,5)&amp;"","")&amp;"␟"&amp;IFERROR(INDEX(PASTE_ALL,$DF456,6)&amp;"","")&amp;"␟"&amp;IFERROR(INDEX(PASTE_ALL,$DF456,7)&amp;"","")&amp;"␟"&amp;IFERROR(INDEX(PASTE_ALL,$DF456,8)&amp;"","")&amp;"␟"&amp;IFERROR(INDEX(PASTE_ALL,$DF456,9)&amp;"","")&amp;"␟"&amp;IFERROR(INDEX(PASTE_ALL,$DF456,10)&amp;"","")&amp;"␟"&amp;IFERROR(INDEX(PASTE_ALL,$DF456,11)&amp;"","")&amp;"␟"&amp;IFERROR(INDEX(PASTE_ALL,$DF456,12)&amp;"","")&amp;"␟"&amp;IFERROR(INDEX(PASTE_ALL,$DF456,13)&amp;"","")&amp;"␟"&amp;IFERROR(INDEX(PASTE_ALL,$DF456,14)&amp;"","")&amp;"␟"&amp;IFERROR(INDEX(PASTE_ALL,$DF456,15)&amp;"","")&amp;"␟"&amp;IFERROR(INDEX(PASTE_ALL,$DF456,16)&amp;"","")&amp;"␟"&amp;IFERROR(INDEX(PASTE_ALL,$DF456,17)&amp;"","")&amp;"␟"&amp;IFERROR(INDEX(PASTE_ALL,$DF456,18)&amp;"","")&amp;"␟"&amp;IFERROR(INDEX(PASTE_ALL,$DF456,19)&amp;"","")&amp;"␟"&amp;IFERROR(INDEX(PASTE_ALL,$DF456,20)&amp;"","")&amp;"␟"&amp;IFERROR(INDEX(PASTE_ALL,$DF456,21)&amp;"","")&amp;"␟"&amp;IFERROR(INDEX(PASTE_ALL,$DF456,22)&amp;"","")&amp;"␟"&amp;IFERROR(INDEX(PASTE_ALL,$DF456,23)&amp;"","")&amp;"␟"&amp;IFERROR(INDEX(PASTE_ALL,$DF456,24)&amp;"","")&amp;"␟"&amp;IFERROR(INDEX(PASTE_ALL,$DF456,25)&amp;"","")&amp;"␟"&amp;IFERROR(INDEX(PASTE_ALL,$DF456,26)&amp;"","")&amp;"␟"&amp;IFERROR(INDEX(PASTE_ALL,$DF456,27)&amp;"","")&amp;"␟"&amp;IFERROR(INDEX(PASTE_ALL,$DF456,28)&amp;"","")&amp;"␟"&amp;IFERROR(INDEX(PASTE_ALL,$DF456,29)&amp;"","")&amp;"␟"&amp;IFERROR(INDEX(PASTE_ALL,$DF456,30)&amp;"","")&amp;"␟"&amp;IFERROR(INDEX(PASTE_ALL,$DF456,31)&amp;"","")&amp;"␟"&amp;IFERROR(INDEX(PASTE_ALL,$DF456,32)&amp;"","")&amp;"␟"&amp;IFERROR(INDEX(PASTE_ALL,$DF456,33)&amp;"","")&amp;"␟"&amp;IFERROR(INDEX(PASTE_ALL,$DF456,34)&amp;"","")&amp;"␟"&amp;IFERROR(INDEX(PASTE_ALL,$DF456,35)&amp;"","")&amp;"␟"&amp;IFERROR(INDEX(PASTE_ALL,$DF456,36)&amp;"","")&amp;"␟"&amp;IFERROR(INDEX(PASTE_ALL,$DF456,37)&amp;"","")&amp;"␟"&amp;IFERROR(INDEX(PASTE_ALL,$DF456,38)&amp;"","")&amp;"␟"&amp;IFERROR(INDEX(PASTE_ALL,$DF456,39)&amp;"","")&amp;"␟"&amp;IFERROR(INDEX(PASTE_ALL,$DF456,40)&amp;"","")&amp;"␟"&amp;IFERROR(INDEX(PASTE_ALL,$DF456,41)&amp;"","")&amp;"␟"&amp;IFERROR(INDEX(PASTE_ALL,$DF456,42)&amp;"","")&amp;"␟"&amp;IFERROR(INDEX(PASTE_ALL,$DF456,43)&amp;"","")&amp;"␟"&amp;IFERROR(INDEX(PASTE_ALL,$DF456,44)&amp;"","")&amp;"␟"&amp;IFERROR(INDEX(PASTE_ALL,$DF456,45)&amp;"","")&amp;"␟"&amp;IFERROR(INDEX(PASTE_ALL,$DF456,46)&amp;"","")&amp;"␟"&amp;IFERROR(INDEX(PASTE_ALL,$DF456,47)&amp;"","")&amp;"␟"&amp;IFERROR(INDEX(PASTE_ALL,$DF456,48)&amp;"","")&amp;"␟"&amp;IFERROR(INDEX(PASTE_ALL,$DF456,49)&amp;"","")&amp;"␟"&amp;IFERROR(INDEX(PASTE_ALL,$DF456,50)&amp;"","")&amp;"␟"&amp;IFERROR(INDEX(PASTE_ALL,$DF456,51)&amp;"","")&amp;"␟"&amp;IFERROR(INDEX(PASTE_ALL,$DF456,52)&amp;"","")&amp;"␟"&amp;IFERROR(INDEX(PASTE_ALL,$DF456,53)&amp;"","")&amp;"␟"&amp;IFERROR(INDEX(PASTE_ALL,$DF456,54)&amp;"","")&amp;"␟"&amp;IFERROR(INDEX(PASTE_ALL,$DF456,55)&amp;"","")&amp;"␟"&amp;IFERROR(INDEX(PASTE_ALL,$DF456,56)&amp;"","")&amp;"␟"&amp;IFERROR(INDEX(PASTE_ALL,$DF456,57)&amp;"","")&amp;"␟"&amp;IFERROR(INDEX(PASTE_ALL,$DF456,58)&amp;"","")&amp;"␟"&amp;IFERROR(INDEX(PASTE_ALL,$DF456,59)&amp;"","")&amp;"␟"&amp;IFERROR(INDEX(PASTE_ALL,$DF456,60)&amp;"","")," "," "),CHAR(9)," "),CHAR(10)," "),CHAR(13)," "))," ␟","␟"),"␟ ","␟"),"#"&amp;$DE456),"")</f>
        <v/>
      </c>
      <c r="DJ456">
        <f>IF($DI456="",0,IF(SUMPRODUCT(--EXACT($DI$4:DI455,$DI456))&gt;0,1,0))</f>
        <v/>
      </c>
      <c r="DK456">
        <f>IF(AND($DI456&lt;&gt;"",$DJ456=0),1,0)</f>
        <v/>
      </c>
      <c r="DL456">
        <f>DL455+$DK456</f>
        <v/>
      </c>
      <c r="DM456">
        <f>IF(AND($DK456=1,$DL456&lt;=600),1,0)</f>
        <v/>
      </c>
      <c r="DN456">
        <f>IF($DM456=0,"",IF($L$6=0,"",IFERROR(IF(ISNUMBER(INDEX(PASTE_ALL,$DF456,$L$6)),INDEX(PASTE_ALL,$DF456,$L$6),TRIM(SUBSTITUTE(SUBSTITUTE(SUBSTITUTE(SUBSTITUTE(INDEX(PASTE_ALL,$DF456,$L$6)," "," "),CHAR(9)," "),CHAR(10)," "),CHAR(13)," "))),"")))</f>
        <v/>
      </c>
      <c r="DO456">
        <f>IF($DM456=0,"",IF($L$7=0,"",IFERROR(IF(ISNUMBER(INDEX(PASTE_ALL,$DF456,$L$7)),INDEX(PASTE_ALL,$DF456,$L$7),TRIM(SUBSTITUTE(SUBSTITUTE(SUBSTITUTE(SUBSTITUTE(INDEX(PASTE_ALL,$DF456,$L$7)," "," "),CHAR(9)," "),CHAR(10)," "),CHAR(13)," "))),"")))</f>
        <v/>
      </c>
      <c r="DP456">
        <f>IF($DM456=0,"",IF($L$8=0,"",IFERROR(IF(ISNUMBER(INDEX(PASTE_ALL,$DF456,$L$8)),INDEX(PASTE_ALL,$DF456,$L$8),TRIM(SUBSTITUTE(SUBSTITUTE(SUBSTITUTE(SUBSTITUTE(INDEX(PASTE_ALL,$DF456,$L$8)," "," "),CHAR(9)," "),CHAR(10)," "),CHAR(13)," "))),"")))</f>
        <v/>
      </c>
      <c r="DQ456">
        <f>IF($DM456=0,"",IF($L$9=0,"",IFERROR(IF(ISNUMBER(INDEX(PASTE_ALL,$DF456,$L$9)),INDEX(PASTE_ALL,$DF456,$L$9),TRIM(SUBSTITUTE(SUBSTITUTE(SUBSTITUTE(SUBSTITUTE(INDEX(PASTE_ALL,$DF456,$L$9)," "," "),CHAR(9)," "),CHAR(10)," "),CHAR(13)," "))),"")))</f>
        <v/>
      </c>
      <c r="DR456">
        <f>IF($DM456=0,"",IF($L$10=0,"",IFERROR(IF(ISNUMBER(INDEX(PASTE_ALL,$DF456,$L$10)),INDEX(PASTE_ALL,$DF456,$L$10),TRIM(SUBSTITUTE(SUBSTITUTE(SUBSTITUTE(SUBSTITUTE(INDEX(PASTE_ALL,$DF456,$L$10)," "," "),CHAR(9)," "),CHAR(10)," "),CHAR(13)," "))),"")))</f>
        <v/>
      </c>
      <c r="DS456">
        <f>IF($DM456=0,"",IF($L$11=0,"",IFERROR(IF(ISNUMBER(INDEX(PASTE_ALL,$DF456,$L$11)),INDEX(PASTE_ALL,$DF456,$L$11),TRIM(SUBSTITUTE(SUBSTITUTE(SUBSTITUTE(SUBSTITUTE(INDEX(PASTE_ALL,$DF456,$L$11)," "," "),CHAR(9)," "),CHAR(10)," "),CHAR(13)," "))),"")))</f>
        <v/>
      </c>
      <c r="DT456">
        <f>IF($DM456=0,"",IF($L$12=0,"",IFERROR(IF(ISNUMBER(INDEX(PASTE_ALL,$DF456,$L$12)),INDEX(PASTE_ALL,$DF456,$L$12),TRIM(SUBSTITUTE(SUBSTITUTE(SUBSTITUTE(SUBSTITUTE(INDEX(PASTE_ALL,$DF456,$L$12)," "," "),CHAR(9)," "),CHAR(10)," "),CHAR(13)," "))),"")))</f>
        <v/>
      </c>
      <c r="DU456">
        <f>IF($DM456=0,"",IF($L$13=0,"",IFERROR(IF(ISNUMBER(INDEX(PASTE_ALL,$DF456,$L$13)),INDEX(PASTE_ALL,$DF456,$L$13),TRIM(SUBSTITUTE(SUBSTITUTE(SUBSTITUTE(SUBSTITUTE(INDEX(PASTE_ALL,$DF456,$L$13)," "," "),CHAR(9)," "),CHAR(10)," "),CHAR(13)," "))),"")))</f>
        <v/>
      </c>
      <c r="DV456">
        <f>IF($DM456=0,"",IF($L$14=0,"",IFERROR(IF(ISNUMBER(INDEX(PASTE_ALL,$DF456,$L$14)),INDEX(PASTE_ALL,$DF456,$L$14),TRIM(SUBSTITUTE(SUBSTITUTE(SUBSTITUTE(SUBSTITUTE(INDEX(PASTE_ALL,$DF456,$L$14)," "," "),CHAR(9)," "),CHAR(10)," "),CHAR(13)," "))),"")))</f>
        <v/>
      </c>
      <c r="DW456">
        <f>IF($DM456=0,"",IF($L$15=0,"",IFERROR(IF(ISNUMBER(INDEX(PASTE_ALL,$DF456,$L$15)),INDEX(PASTE_ALL,$DF456,$L$15),IF(SUMPRODUCT(--ISNUMBER(FIND({"A","B","C","D","E","F","G","H","I","J","K","L","M","N","O","P","Q","R","S","T","U","V","W","X","Y","Z","0","1","2","3","4","5","6","7","8","9"},UPPER(TRIM(SUBSTITUTE(SUBSTITUTE(SUBSTITUTE(SUBSTITUTE(INDEX(PASTE_ALL,$DF456,$L$15)," "," "),CHAR(9)," "),CHAR(10)," "),CHAR(13)," "))))))&gt;0,TRIM(SUBSTITUTE(SUBSTITUTE(SUBSTITUTE(SUBSTITUTE(INDEX(PASTE_ALL,$DF456,$L$15)," "," "),CHAR(9)," "),CHAR(10)," "),CHAR(13)," ")),"")),"")))</f>
        <v/>
      </c>
      <c r="DX456">
        <f>IF($DM456=0,"",IF($L$16=0,"",IFERROR(IF(ISNUMBER(INDEX(PASTE_ALL,$DF456,$L$16)),INDEX(PASTE_ALL,$DF456,$L$16),SUBSTITUTE(SUBSTITUTE(TRIM(SUBSTITUTE(SUBSTITUTE(SUBSTITUTE(SUBSTITUTE(INDEX(PASTE_ALL,$DF456,$L$16)," "," "),CHAR(9)," "),CHAR(10)," "),CHAR(13)," ")),",",""),"%","")),"")))</f>
        <v/>
      </c>
      <c r="DY456">
        <f>IF($DM456=0,"",IFERROR(IF(ISNUMBER($DX456),$DX456,IF($DX456="","",IF(TRIM($DX456)="",0,IF(AND(AND(SUBSTITUTE(SUBSTITUTE(SUBSTITUTE(SUBSTITUTE(SUBSTITUTE(SUBSTITUTE(SUBSTITUTE(SUBSTITUTE(SUBSTITUTE(SUBSTITUTE(SUBSTITUTE(SUBSTITUTE(SUBSTITUTE(SUBSTITUTE(UPPER(TRIM($DX456)),"0",""),"1",""),"2",""),"3",""),"4",""),"5",""),"6",""),"7",""),"8",""),"9",""),".",""),"+",""),"-",""),"E","")="",LEN(SUBSTITUTE(SUBSTITUTE(MID(UPPER(TRIM($DX456)),1+OR(LEFT(UPPER(TRIM($DX456)),1)="+",LEFT(UPPER(TRIM($DX456)),1)="-"),999),"E+","E"),"E-","E"))=LEN(SUBSTITUTE(SUBSTITUTE(SUBSTITUTE(SUBSTITUTE(MID(UPPER(TRIM($DX456)),1+OR(LEFT(UPPER(TRIM($DX456)),1)="+",LEFT(UPPER(TRIM($DX456)),1)="-"),999),"E+","E"),"E-","E"),"+",""),"-","")),LEN(UPPER(TRIM($DX456)))-LEN(SUBSTITUTE(UPPER(TRIM($DX456)),"E",""))&lt;2,LEN(UPPER(TRIM($DX456)))-LEN(SUBSTITUTE(UPPER(TRIM($DX456)),".",""))&lt;2,IFERROR(FIND(".",UPPER(TRIM($DX456))),0)&lt;IFERROR(FIND("E",UPPER(TRIM($DX456))),999)),ISNUMBER(VALUE(TRIM($DX456)))),VALUE(TRIM($DX456)),"")))),""))</f>
        <v/>
      </c>
      <c r="DZ456">
        <f>IF($DM456=0,"",IF($L$17=0,"",IFERROR(IF(ISNUMBER(INDEX(PASTE_ALL,$DF456,$L$17)),INDEX(PASTE_ALL,$DF456,$L$17),SUBSTITUTE(SUBSTITUTE(TRIM(SUBSTITUTE(SUBSTITUTE(SUBSTITUTE(SUBSTITUTE(INDEX(PASTE_ALL,$DF456,$L$17)," "," "),CHAR(9)," "),CHAR(10)," "),CHAR(13)," ")),",",""),"%","")),"")))</f>
        <v/>
      </c>
      <c r="EA456">
        <f>IF($DM456=0,"",IFERROR(IF(ISNUMBER($DZ456),$DZ456,IF($DZ456="","",IF(TRIM($DZ456)="",0,IF(AND(AND(SUBSTITUTE(SUBSTITUTE(SUBSTITUTE(SUBSTITUTE(SUBSTITUTE(SUBSTITUTE(SUBSTITUTE(SUBSTITUTE(SUBSTITUTE(SUBSTITUTE(SUBSTITUTE(SUBSTITUTE(SUBSTITUTE(SUBSTITUTE(UPPER(TRIM($DZ456)),"0",""),"1",""),"2",""),"3",""),"4",""),"5",""),"6",""),"7",""),"8",""),"9",""),".",""),"+",""),"-",""),"E","")="",LEN(SUBSTITUTE(SUBSTITUTE(MID(UPPER(TRIM($DZ456)),1+OR(LEFT(UPPER(TRIM($DZ456)),1)="+",LEFT(UPPER(TRIM($DZ456)),1)="-"),999),"E+","E"),"E-","E"))=LEN(SUBSTITUTE(SUBSTITUTE(SUBSTITUTE(SUBSTITUTE(MID(UPPER(TRIM($DZ456)),1+OR(LEFT(UPPER(TRIM($DZ456)),1)="+",LEFT(UPPER(TRIM($DZ456)),1)="-"),999),"E+","E"),"E-","E"),"+",""),"-","")),LEN(UPPER(TRIM($DZ456)))-LEN(SUBSTITUTE(UPPER(TRIM($DZ456)),"E",""))&lt;2,LEN(UPPER(TRIM($DZ456)))-LEN(SUBSTITUTE(UPPER(TRIM($DZ456)),".",""))&lt;2,IFERROR(FIND(".",UPPER(TRIM($DZ456))),0)&lt;IFERROR(FIND("E",UPPER(TRIM($DZ456))),999)),ISNUMBER(VALUE(TRIM($DZ456)))),VALUE(TRIM($DZ456)),"")))),""))</f>
        <v/>
      </c>
      <c r="EB456">
        <f>IF($DM456=0,"",IF($L$18=0,"",IFERROR(IF(UPPER(TRIM(SUBSTITUTE(SUBSTITUTE(SUBSTITUTE(SUBSTITUTE(INDEX(PASTE_ALL,$DF456,$L$18)," "," "),CHAR(9)," "),CHAR(10)," "),CHAR(13)," ")))="READY","Ready",IF(UPPER(TRIM(SUBSTITUTE(SUBSTITUTE(SUBSTITUTE(SUBSTITUTE(INDEX(PASTE_ALL,$DF456,$L$18)," "," "),CHAR(9)," "),CHAR(10)," "),CHAR(13)," ")))="PM","PM",IF(OR(UPPER(TRIM(SUBSTITUTE(SUBSTITUTE(SUBSTITUTE(SUBSTITUTE(INDEX(PASTE_ALL,$DF456,$L$18)," "," "),CHAR(9)," "),CHAR(10)," "),CHAR(13)," ")))="OT",UPPER(TRIM(SUBSTITUTE(SUBSTITUTE(SUBSTITUTE(SUBSTITUTE(INDEX(PASTE_ALL,$DF456,$L$18)," "," "),CHAR(9)," "),CHAR(10)," "),CHAR(13)," ")))="OVERTIME",UPPER(TRIM(SUBSTITUTE(SUBSTITUTE(SUBSTITUTE(SUBSTITUTE(INDEX(PASTE_ALL,$DF456,$L$18)," "," "),CHAR(9)," "),CHAR(10)," "),CHAR(13)," ")))="TRIAL"),"OT",TRIM(SUBSTITUTE(SUBSTITUTE(SUBSTITUTE(SUBSTITUTE(INDEX(PASTE_ALL,$DF456,$L$18)," "," "),CHAR(9)," "),CHAR(10)," "),CHAR(13)," "))))),"")))</f>
        <v/>
      </c>
      <c r="EC456">
        <f>IF($DM456=0,"",IF($L$19=0,"",IFERROR(IF(ISNUMBER(INDEX(PASTE_ALL,$DF456,$L$19)),INDEX(PASTE_ALL,$DF456,$L$19),TRIM(SUBSTITUTE(SUBSTITUTE(SUBSTITUTE(SUBSTITUTE(INDEX(PASTE_ALL,$DF456,$L$19)," "," "),CHAR(9)," "),CHAR(10)," "),CHAR(13)," "))),"")))</f>
        <v/>
      </c>
      <c r="ED456">
        <f>IF($DM456=0,"",MATCH(1,INDEX(EXACT($DH$5:DH456,$DH456)*$DM$5:DM456,0),0))</f>
        <v/>
      </c>
      <c r="EE456">
        <f>IF($DM456=0,0,IF($ED456=$DE456,1,0))</f>
        <v/>
      </c>
      <c r="EF456">
        <f>EF455+$EE456</f>
        <v/>
      </c>
      <c r="EG456">
        <f>IF($DM456=0,"",INDEX($EF$5:$EF$1003,$ED456))</f>
        <v/>
      </c>
      <c r="EH456">
        <f>IF($DM456=0,"",IF($DO456&lt;&gt;"","",IFERROR(LOOKUP(2,1/(($EG$4:EG455=$EG456)*($DO$4:DO455&lt;&gt;"")),$DO$4:DO455),"")))</f>
        <v/>
      </c>
      <c r="EI456">
        <f>IF($DM456=0,"",IF($DO456&lt;&gt;"",$DO456,$EH456))</f>
        <v/>
      </c>
      <c r="EJ456">
        <f>IF($DM456=0,"",IF($EI456="",0,IF(OR(ISNUMBER($EI456),AND(AND(SUBSTITUTE(SUBSTITUTE(SUBSTITUTE(SUBSTITUTE(SUBSTITUTE(SUBSTITUTE(SUBSTITUTE(SUBSTITUTE(SUBSTITUTE(SUBSTITUTE(SUBSTITUTE(SUBSTITUTE(SUBSTITUTE(SUBSTITUTE(UPPER($EI456),"0",""),"1",""),"2",""),"3",""),"4",""),"5",""),"6",""),"7",""),"8",""),"9",""),".",""),"+",""),"-",""),"E","")="",LEN(SUBSTITUTE(SUBSTITUTE(MID(UPPER($EI456),1+OR(LEFT(UPPER($EI456),1)="+",LEFT(UPPER($EI456),1)="-"),999),"E+","E"),"E-","E"))=LEN(SUBSTITUTE(SUBSTITUTE(SUBSTITUTE(SUBSTITUTE(MID(UPPER($EI456),1+OR(LEFT(UPPER($EI456),1)="+",LEFT(UPPER($EI456),1)="-"),999),"E+","E"),"E-","E"),"+",""),"-","")),LEN(UPPER($EI456))-LEN(SUBSTITUTE(UPPER($EI456),"E",""))&lt;2,LEN(UPPER($EI456))-LEN(SUBSTITUTE(UPPER($EI456),".",""))&lt;2,IFERROR(FIND(".",UPPER($EI456)),0)&lt;IFERROR(FIND("E",UPPER($EI456)),999)),ISNUMBER(VALUE($EI456)))),1,2)))</f>
        <v/>
      </c>
      <c r="EK456">
        <f>IF($DM456=0,"",IF($EJ456=1,IF(ISNUMBER($EI456),$EI456,VALUE($EI456)),IF($EJ456=2,$DE456,0)))</f>
        <v/>
      </c>
      <c r="EL456">
        <f>IF($DM456=0,"",COUNTIF($EG$5:$EG$1003,"&lt;"&amp;$EG456)+SUMPRODUCT(($EG$5:$EG$1003=$EG456)*(($EJ$5:$EJ$1003&lt;$EJ456)+($EJ$5:$EJ$1003=$EJ456)*(($EK$5:$EK$1003&lt;$EK456)+($EK$5:$EK$1003=$EK456)*($DE$5:$DE$1003&lt;$DE456))))+1)</f>
        <v/>
      </c>
      <c r="EM456">
        <f>IF($DM456=0,"",$EL456+$EG456-1)</f>
        <v/>
      </c>
      <c r="EN456">
        <f>IF($DM456=0,0,IFERROR(MATCH(1,INDEX(--(TRIM(SUBSTITUTE(SUBSTITUTE(SUBSTITUTE(SUBSTITUTE(LINES_NAME&amp;""," "," "),CHAR(9)," "),CHAR(10)," "),CHAR(13)," "))=$DH456),0),0),0))</f>
        <v/>
      </c>
      <c r="EO456">
        <f>IF($EN456=0,0,IF(OR(UPPER(TRIM(INDEX(LINES_SCHEDULED,$EN456)&amp;""))="YES",UPPER(TRIM(INDEX(LINES_SCHEDULED,$EN456)&amp;""))="Y",UPPER(TRIM(INDEX(LINES_SCHEDULED,$EN456)&amp;""))="X"),1,0))</f>
        <v/>
      </c>
      <c r="EP456">
        <f>IF($DM456=0,"",IF(COUNTIFS($EG$5:$EG$1003,$EG456,$EB$5:$EB$1003,"Ready")&gt;0,"READY",IF(COUNTIFS($EG$5:$EG$1003,$EG456,$EB$5:$EB$1003,"PM")&gt;0,"PM",IF(COUNTIFS($EG$5:$EG$1003,$EG456,$EB$5:$EB$1003,"OT")&gt;0,"OT",""))))</f>
        <v/>
      </c>
      <c r="EQ456">
        <f>IF($EN456=0,"",UPPER(TRIM(INDEX(LINES_STATUS,$EN456)&amp;"")))</f>
        <v/>
      </c>
      <c r="ER456">
        <f>IF($DM456=0,"",IF(OR($EQ456="READY",$EQ456="PM",$EQ456="OT"),$EQ456,$EP456))</f>
        <v/>
      </c>
      <c r="ES456">
        <f>IF($DM456=0,"",IF(AND($DV456&lt;&gt;"",UPPER($DV456)&lt;&gt;"N"),"allergen",IF(ISNUMBER(SEARCH("oil",$DQ456)),"oil",IF(OR(EXACT($DS456,"A662"),EXACT($DS456,"A624")),"bulk",""))))</f>
        <v/>
      </c>
      <c r="ET456">
        <f>IF($DM456=0,"",IF(OR($EA456="",$EA456=0),"",$EA456/100))</f>
        <v/>
      </c>
      <c r="EU456">
        <f>IF(OR($ET456="",$DY456=""),"",INT($DY456*(1-$ET456)+0.5))</f>
        <v/>
      </c>
      <c r="EW456" t="n">
        <v>452</v>
      </c>
      <c r="EX456">
        <f>IFERROR(MATCH($EW456,$EM$5:$EM$1003,0),0)</f>
        <v/>
      </c>
      <c r="EY456">
        <f>IF($EW456&gt;$B$12,"",IF($EX456&gt;0,"row","spacer"))</f>
        <v/>
      </c>
      <c r="EZ456">
        <f>IF(AND($EY456="row",$EY455&lt;&gt;"row"),1,0)</f>
        <v/>
      </c>
      <c r="FA456">
        <f>IF(AND($EY456="row",$EY457&lt;&gt;"row"),1,0)</f>
        <v/>
      </c>
      <c r="FB456">
        <f>IF($EZ456=1,IFERROR(IF(ISNUMBER(INDEX(PASTE_ALL,INDEX($DF$5:$DF$1003,$EX456),$B$37)),INDEX(PASTE_ALL,INDEX($DF$5:$DF$1003,$EX456),$B$37),INDEX($DH$5:$DH$1003,$EX456)),INDEX($DH$5:$DH$1003,$EX456)),"")</f>
        <v/>
      </c>
      <c r="FC456">
        <f>IF($EY456="row",INDEX($ER$5:$ER$1003,$EX456),"")</f>
        <v/>
      </c>
      <c r="FD456">
        <f>IF($EY456="row",INDEX($DN$5:$DN$1003,$EX456),"")</f>
        <v/>
      </c>
      <c r="FE456">
        <f>IF($EY456="row",INDEX($DO$5:$DO$1003,$EX456),"")</f>
        <v/>
      </c>
      <c r="FF456">
        <f>IF($EY456="row",INDEX($DP$5:$DP$1003,$EX456),"")</f>
        <v/>
      </c>
      <c r="FG456">
        <f>IF($EY456="row",INDEX($DQ$5:$DQ$1003,$EX456),"")</f>
        <v/>
      </c>
      <c r="FH456">
        <f>IF($EY456="row",INDEX($DR$5:$DR$1003,$EX456),"")</f>
        <v/>
      </c>
      <c r="FI456">
        <f>IF($EY456="row",INDEX($DS$5:$DS$1003,$EX456),"")</f>
        <v/>
      </c>
      <c r="FJ456">
        <f>IF($EY456="row",INDEX($DT$5:$DT$1003,$EX456),"")</f>
        <v/>
      </c>
      <c r="FK456">
        <f>IF($EY456="row",INDEX($DU$5:$DU$1003,$EX456),"")</f>
        <v/>
      </c>
      <c r="FL456">
        <f>IF($EY456="row",INDEX($DV$5:$DV$1003,$EX456),"")</f>
        <v/>
      </c>
      <c r="FM456">
        <f>IF($EY456="row",INDEX($DW$5:$DW$1003,$EX456),"")</f>
        <v/>
      </c>
      <c r="FN456">
        <f>IF($EY456="row",INDEX($DY$5:$DY$1003,$EX456),"")</f>
        <v/>
      </c>
      <c r="FO456">
        <f>IF($EY456="row",INDEX($EA$5:$EA$1003,$EX456),"")</f>
        <v/>
      </c>
      <c r="FP456">
        <f>IF($EY456="row",INDEX($EC$5:$EC$1003,$EX456),"")</f>
        <v/>
      </c>
      <c r="FQ456">
        <f>IF($EY456="row",INDEX($ET$5:$ET$1003,$EX456),"")</f>
        <v/>
      </c>
      <c r="FR456">
        <f>IF($EY456="row",INDEX($EU$5:$EU$1003,$EX456),"")</f>
        <v/>
      </c>
      <c r="FS456">
        <f>IF(AND($EY456="row",$EY455="row"),IF(OR(INDEX($DT$5:$DT$1003,$EX455)="",INDEX($DT$5:$DT$1003,$EX456)=""),"",IF(NOT(EXACT(INDEX($DT$5:$DT$1003,$EX455),INDEX($DT$5:$DT$1003,$EX456))),"S4",IF(NOT(EXACT(INDEX($DS$5:$DS$1003,$EX455),INDEX($DS$5:$DS$1003,$EX456))),"S3",IF(NOT(EXACT(INDEX($DR$5:$DR$1003,$EX455),INDEX($DR$5:$DR$1003,$EX456))),"S1 Count Change","S1")))),"")</f>
        <v/>
      </c>
      <c r="FT456">
        <f>IF($EY456="row",INDEX($ES$5:$ES$1003,$EX456),"")</f>
        <v/>
      </c>
      <c r="FU456">
        <f>IF($EY456="row",INDEX($EO$5:$EO$1003,$EX456),0)</f>
        <v/>
      </c>
      <c r="FV456">
        <f>IF($FS456="S1 Count Change",1,0)</f>
        <v/>
      </c>
    </row>
    <row r="457">
      <c r="DA457" t="n">
        <v>453</v>
      </c>
      <c r="DB457">
        <f>IF($B$37=0,"",IFERROR(TRIM(SUBSTITUTE(SUBSTITUTE(SUBSTITUTE(SUBSTITUTE(INDEX(PASTE_ALL,453,$B$37)," "," "),CHAR(9)," "),CHAR(10)," "),CHAR(13)," ")),""))</f>
        <v/>
      </c>
      <c r="DC457">
        <f>IF(AND(453&gt;HEADER_ROW,UPPER(DB457)="LEGEND"),1,0)</f>
        <v/>
      </c>
      <c r="DE457" t="n">
        <v>453</v>
      </c>
      <c r="DF457">
        <f>HEADER_ROW+$DE457</f>
        <v/>
      </c>
      <c r="DG457">
        <f>IF(AND($DF457&lt;=1000,$DF457&lt;$B$8),1,0)</f>
        <v/>
      </c>
      <c r="DH457">
        <f>IF($DG457=1,IFERROR(INDEX($DB$5:$DB$1004,$DF457),""),"")</f>
        <v/>
      </c>
      <c r="DI457">
        <f>IF(AND($DG457=1,$DH457&lt;&gt;""),IFERROR(SUBSTITUTE(SUBSTITUTE(TRIM(SUBSTITUTE(SUBSTITUTE(SUBSTITUTE(SUBSTITUTE(IFERROR(INDEX(PASTE_ALL,$DF457,1)&amp;"","")&amp;"␟"&amp;IFERROR(INDEX(PASTE_ALL,$DF457,2)&amp;"","")&amp;"␟"&amp;IFERROR(INDEX(PASTE_ALL,$DF457,3)&amp;"","")&amp;"␟"&amp;IFERROR(INDEX(PASTE_ALL,$DF457,4)&amp;"","")&amp;"␟"&amp;IFERROR(INDEX(PASTE_ALL,$DF457,5)&amp;"","")&amp;"␟"&amp;IFERROR(INDEX(PASTE_ALL,$DF457,6)&amp;"","")&amp;"␟"&amp;IFERROR(INDEX(PASTE_ALL,$DF457,7)&amp;"","")&amp;"␟"&amp;IFERROR(INDEX(PASTE_ALL,$DF457,8)&amp;"","")&amp;"␟"&amp;IFERROR(INDEX(PASTE_ALL,$DF457,9)&amp;"","")&amp;"␟"&amp;IFERROR(INDEX(PASTE_ALL,$DF457,10)&amp;"","")&amp;"␟"&amp;IFERROR(INDEX(PASTE_ALL,$DF457,11)&amp;"","")&amp;"␟"&amp;IFERROR(INDEX(PASTE_ALL,$DF457,12)&amp;"","")&amp;"␟"&amp;IFERROR(INDEX(PASTE_ALL,$DF457,13)&amp;"","")&amp;"␟"&amp;IFERROR(INDEX(PASTE_ALL,$DF457,14)&amp;"","")&amp;"␟"&amp;IFERROR(INDEX(PASTE_ALL,$DF457,15)&amp;"","")&amp;"␟"&amp;IFERROR(INDEX(PASTE_ALL,$DF457,16)&amp;"","")&amp;"␟"&amp;IFERROR(INDEX(PASTE_ALL,$DF457,17)&amp;"","")&amp;"␟"&amp;IFERROR(INDEX(PASTE_ALL,$DF457,18)&amp;"","")&amp;"␟"&amp;IFERROR(INDEX(PASTE_ALL,$DF457,19)&amp;"","")&amp;"␟"&amp;IFERROR(INDEX(PASTE_ALL,$DF457,20)&amp;"","")&amp;"␟"&amp;IFERROR(INDEX(PASTE_ALL,$DF457,21)&amp;"","")&amp;"␟"&amp;IFERROR(INDEX(PASTE_ALL,$DF457,22)&amp;"","")&amp;"␟"&amp;IFERROR(INDEX(PASTE_ALL,$DF457,23)&amp;"","")&amp;"␟"&amp;IFERROR(INDEX(PASTE_ALL,$DF457,24)&amp;"","")&amp;"␟"&amp;IFERROR(INDEX(PASTE_ALL,$DF457,25)&amp;"","")&amp;"␟"&amp;IFERROR(INDEX(PASTE_ALL,$DF457,26)&amp;"","")&amp;"␟"&amp;IFERROR(INDEX(PASTE_ALL,$DF457,27)&amp;"","")&amp;"␟"&amp;IFERROR(INDEX(PASTE_ALL,$DF457,28)&amp;"","")&amp;"␟"&amp;IFERROR(INDEX(PASTE_ALL,$DF457,29)&amp;"","")&amp;"␟"&amp;IFERROR(INDEX(PASTE_ALL,$DF457,30)&amp;"","")&amp;"␟"&amp;IFERROR(INDEX(PASTE_ALL,$DF457,31)&amp;"","")&amp;"␟"&amp;IFERROR(INDEX(PASTE_ALL,$DF457,32)&amp;"","")&amp;"␟"&amp;IFERROR(INDEX(PASTE_ALL,$DF457,33)&amp;"","")&amp;"␟"&amp;IFERROR(INDEX(PASTE_ALL,$DF457,34)&amp;"","")&amp;"␟"&amp;IFERROR(INDEX(PASTE_ALL,$DF457,35)&amp;"","")&amp;"␟"&amp;IFERROR(INDEX(PASTE_ALL,$DF457,36)&amp;"","")&amp;"␟"&amp;IFERROR(INDEX(PASTE_ALL,$DF457,37)&amp;"","")&amp;"␟"&amp;IFERROR(INDEX(PASTE_ALL,$DF457,38)&amp;"","")&amp;"␟"&amp;IFERROR(INDEX(PASTE_ALL,$DF457,39)&amp;"","")&amp;"␟"&amp;IFERROR(INDEX(PASTE_ALL,$DF457,40)&amp;"","")&amp;"␟"&amp;IFERROR(INDEX(PASTE_ALL,$DF457,41)&amp;"","")&amp;"␟"&amp;IFERROR(INDEX(PASTE_ALL,$DF457,42)&amp;"","")&amp;"␟"&amp;IFERROR(INDEX(PASTE_ALL,$DF457,43)&amp;"","")&amp;"␟"&amp;IFERROR(INDEX(PASTE_ALL,$DF457,44)&amp;"","")&amp;"␟"&amp;IFERROR(INDEX(PASTE_ALL,$DF457,45)&amp;"","")&amp;"␟"&amp;IFERROR(INDEX(PASTE_ALL,$DF457,46)&amp;"","")&amp;"␟"&amp;IFERROR(INDEX(PASTE_ALL,$DF457,47)&amp;"","")&amp;"␟"&amp;IFERROR(INDEX(PASTE_ALL,$DF457,48)&amp;"","")&amp;"␟"&amp;IFERROR(INDEX(PASTE_ALL,$DF457,49)&amp;"","")&amp;"␟"&amp;IFERROR(INDEX(PASTE_ALL,$DF457,50)&amp;"","")&amp;"␟"&amp;IFERROR(INDEX(PASTE_ALL,$DF457,51)&amp;"","")&amp;"␟"&amp;IFERROR(INDEX(PASTE_ALL,$DF457,52)&amp;"","")&amp;"␟"&amp;IFERROR(INDEX(PASTE_ALL,$DF457,53)&amp;"","")&amp;"␟"&amp;IFERROR(INDEX(PASTE_ALL,$DF457,54)&amp;"","")&amp;"␟"&amp;IFERROR(INDEX(PASTE_ALL,$DF457,55)&amp;"","")&amp;"␟"&amp;IFERROR(INDEX(PASTE_ALL,$DF457,56)&amp;"","")&amp;"␟"&amp;IFERROR(INDEX(PASTE_ALL,$DF457,57)&amp;"","")&amp;"␟"&amp;IFERROR(INDEX(PASTE_ALL,$DF457,58)&amp;"","")&amp;"␟"&amp;IFERROR(INDEX(PASTE_ALL,$DF457,59)&amp;"","")&amp;"␟"&amp;IFERROR(INDEX(PASTE_ALL,$DF457,60)&amp;"","")," "," "),CHAR(9)," "),CHAR(10)," "),CHAR(13)," "))," ␟","␟"),"␟ ","␟"),"#"&amp;$DE457),"")</f>
        <v/>
      </c>
      <c r="DJ457">
        <f>IF($DI457="",0,IF(SUMPRODUCT(--EXACT($DI$4:DI456,$DI457))&gt;0,1,0))</f>
        <v/>
      </c>
      <c r="DK457">
        <f>IF(AND($DI457&lt;&gt;"",$DJ457=0),1,0)</f>
        <v/>
      </c>
      <c r="DL457">
        <f>DL456+$DK457</f>
        <v/>
      </c>
      <c r="DM457">
        <f>IF(AND($DK457=1,$DL457&lt;=600),1,0)</f>
        <v/>
      </c>
      <c r="DN457">
        <f>IF($DM457=0,"",IF($L$6=0,"",IFERROR(IF(ISNUMBER(INDEX(PASTE_ALL,$DF457,$L$6)),INDEX(PASTE_ALL,$DF457,$L$6),TRIM(SUBSTITUTE(SUBSTITUTE(SUBSTITUTE(SUBSTITUTE(INDEX(PASTE_ALL,$DF457,$L$6)," "," "),CHAR(9)," "),CHAR(10)," "),CHAR(13)," "))),"")))</f>
        <v/>
      </c>
      <c r="DO457">
        <f>IF($DM457=0,"",IF($L$7=0,"",IFERROR(IF(ISNUMBER(INDEX(PASTE_ALL,$DF457,$L$7)),INDEX(PASTE_ALL,$DF457,$L$7),TRIM(SUBSTITUTE(SUBSTITUTE(SUBSTITUTE(SUBSTITUTE(INDEX(PASTE_ALL,$DF457,$L$7)," "," "),CHAR(9)," "),CHAR(10)," "),CHAR(13)," "))),"")))</f>
        <v/>
      </c>
      <c r="DP457">
        <f>IF($DM457=0,"",IF($L$8=0,"",IFERROR(IF(ISNUMBER(INDEX(PASTE_ALL,$DF457,$L$8)),INDEX(PASTE_ALL,$DF457,$L$8),TRIM(SUBSTITUTE(SUBSTITUTE(SUBSTITUTE(SUBSTITUTE(INDEX(PASTE_ALL,$DF457,$L$8)," "," "),CHAR(9)," "),CHAR(10)," "),CHAR(13)," "))),"")))</f>
        <v/>
      </c>
      <c r="DQ457">
        <f>IF($DM457=0,"",IF($L$9=0,"",IFERROR(IF(ISNUMBER(INDEX(PASTE_ALL,$DF457,$L$9)),INDEX(PASTE_ALL,$DF457,$L$9),TRIM(SUBSTITUTE(SUBSTITUTE(SUBSTITUTE(SUBSTITUTE(INDEX(PASTE_ALL,$DF457,$L$9)," "," "),CHAR(9)," "),CHAR(10)," "),CHAR(13)," "))),"")))</f>
        <v/>
      </c>
      <c r="DR457">
        <f>IF($DM457=0,"",IF($L$10=0,"",IFERROR(IF(ISNUMBER(INDEX(PASTE_ALL,$DF457,$L$10)),INDEX(PASTE_ALL,$DF457,$L$10),TRIM(SUBSTITUTE(SUBSTITUTE(SUBSTITUTE(SUBSTITUTE(INDEX(PASTE_ALL,$DF457,$L$10)," "," "),CHAR(9)," "),CHAR(10)," "),CHAR(13)," "))),"")))</f>
        <v/>
      </c>
      <c r="DS457">
        <f>IF($DM457=0,"",IF($L$11=0,"",IFERROR(IF(ISNUMBER(INDEX(PASTE_ALL,$DF457,$L$11)),INDEX(PASTE_ALL,$DF457,$L$11),TRIM(SUBSTITUTE(SUBSTITUTE(SUBSTITUTE(SUBSTITUTE(INDEX(PASTE_ALL,$DF457,$L$11)," "," "),CHAR(9)," "),CHAR(10)," "),CHAR(13)," "))),"")))</f>
        <v/>
      </c>
      <c r="DT457">
        <f>IF($DM457=0,"",IF($L$12=0,"",IFERROR(IF(ISNUMBER(INDEX(PASTE_ALL,$DF457,$L$12)),INDEX(PASTE_ALL,$DF457,$L$12),TRIM(SUBSTITUTE(SUBSTITUTE(SUBSTITUTE(SUBSTITUTE(INDEX(PASTE_ALL,$DF457,$L$12)," "," "),CHAR(9)," "),CHAR(10)," "),CHAR(13)," "))),"")))</f>
        <v/>
      </c>
      <c r="DU457">
        <f>IF($DM457=0,"",IF($L$13=0,"",IFERROR(IF(ISNUMBER(INDEX(PASTE_ALL,$DF457,$L$13)),INDEX(PASTE_ALL,$DF457,$L$13),TRIM(SUBSTITUTE(SUBSTITUTE(SUBSTITUTE(SUBSTITUTE(INDEX(PASTE_ALL,$DF457,$L$13)," "," "),CHAR(9)," "),CHAR(10)," "),CHAR(13)," "))),"")))</f>
        <v/>
      </c>
      <c r="DV457">
        <f>IF($DM457=0,"",IF($L$14=0,"",IFERROR(IF(ISNUMBER(INDEX(PASTE_ALL,$DF457,$L$14)),INDEX(PASTE_ALL,$DF457,$L$14),TRIM(SUBSTITUTE(SUBSTITUTE(SUBSTITUTE(SUBSTITUTE(INDEX(PASTE_ALL,$DF457,$L$14)," "," "),CHAR(9)," "),CHAR(10)," "),CHAR(13)," "))),"")))</f>
        <v/>
      </c>
      <c r="DW457">
        <f>IF($DM457=0,"",IF($L$15=0,"",IFERROR(IF(ISNUMBER(INDEX(PASTE_ALL,$DF457,$L$15)),INDEX(PASTE_ALL,$DF457,$L$15),IF(SUMPRODUCT(--ISNUMBER(FIND({"A","B","C","D","E","F","G","H","I","J","K","L","M","N","O","P","Q","R","S","T","U","V","W","X","Y","Z","0","1","2","3","4","5","6","7","8","9"},UPPER(TRIM(SUBSTITUTE(SUBSTITUTE(SUBSTITUTE(SUBSTITUTE(INDEX(PASTE_ALL,$DF457,$L$15)," "," "),CHAR(9)," "),CHAR(10)," "),CHAR(13)," "))))))&gt;0,TRIM(SUBSTITUTE(SUBSTITUTE(SUBSTITUTE(SUBSTITUTE(INDEX(PASTE_ALL,$DF457,$L$15)," "," "),CHAR(9)," "),CHAR(10)," "),CHAR(13)," ")),"")),"")))</f>
        <v/>
      </c>
      <c r="DX457">
        <f>IF($DM457=0,"",IF($L$16=0,"",IFERROR(IF(ISNUMBER(INDEX(PASTE_ALL,$DF457,$L$16)),INDEX(PASTE_ALL,$DF457,$L$16),SUBSTITUTE(SUBSTITUTE(TRIM(SUBSTITUTE(SUBSTITUTE(SUBSTITUTE(SUBSTITUTE(INDEX(PASTE_ALL,$DF457,$L$16)," "," "),CHAR(9)," "),CHAR(10)," "),CHAR(13)," ")),",",""),"%","")),"")))</f>
        <v/>
      </c>
      <c r="DY457">
        <f>IF($DM457=0,"",IFERROR(IF(ISNUMBER($DX457),$DX457,IF($DX457="","",IF(TRIM($DX457)="",0,IF(AND(AND(SUBSTITUTE(SUBSTITUTE(SUBSTITUTE(SUBSTITUTE(SUBSTITUTE(SUBSTITUTE(SUBSTITUTE(SUBSTITUTE(SUBSTITUTE(SUBSTITUTE(SUBSTITUTE(SUBSTITUTE(SUBSTITUTE(SUBSTITUTE(UPPER(TRIM($DX457)),"0",""),"1",""),"2",""),"3",""),"4",""),"5",""),"6",""),"7",""),"8",""),"9",""),".",""),"+",""),"-",""),"E","")="",LEN(SUBSTITUTE(SUBSTITUTE(MID(UPPER(TRIM($DX457)),1+OR(LEFT(UPPER(TRIM($DX457)),1)="+",LEFT(UPPER(TRIM($DX457)),1)="-"),999),"E+","E"),"E-","E"))=LEN(SUBSTITUTE(SUBSTITUTE(SUBSTITUTE(SUBSTITUTE(MID(UPPER(TRIM($DX457)),1+OR(LEFT(UPPER(TRIM($DX457)),1)="+",LEFT(UPPER(TRIM($DX457)),1)="-"),999),"E+","E"),"E-","E"),"+",""),"-","")),LEN(UPPER(TRIM($DX457)))-LEN(SUBSTITUTE(UPPER(TRIM($DX457)),"E",""))&lt;2,LEN(UPPER(TRIM($DX457)))-LEN(SUBSTITUTE(UPPER(TRIM($DX457)),".",""))&lt;2,IFERROR(FIND(".",UPPER(TRIM($DX457))),0)&lt;IFERROR(FIND("E",UPPER(TRIM($DX457))),999)),ISNUMBER(VALUE(TRIM($DX457)))),VALUE(TRIM($DX457)),"")))),""))</f>
        <v/>
      </c>
      <c r="DZ457">
        <f>IF($DM457=0,"",IF($L$17=0,"",IFERROR(IF(ISNUMBER(INDEX(PASTE_ALL,$DF457,$L$17)),INDEX(PASTE_ALL,$DF457,$L$17),SUBSTITUTE(SUBSTITUTE(TRIM(SUBSTITUTE(SUBSTITUTE(SUBSTITUTE(SUBSTITUTE(INDEX(PASTE_ALL,$DF457,$L$17)," "," "),CHAR(9)," "),CHAR(10)," "),CHAR(13)," ")),",",""),"%","")),"")))</f>
        <v/>
      </c>
      <c r="EA457">
        <f>IF($DM457=0,"",IFERROR(IF(ISNUMBER($DZ457),$DZ457,IF($DZ457="","",IF(TRIM($DZ457)="",0,IF(AND(AND(SUBSTITUTE(SUBSTITUTE(SUBSTITUTE(SUBSTITUTE(SUBSTITUTE(SUBSTITUTE(SUBSTITUTE(SUBSTITUTE(SUBSTITUTE(SUBSTITUTE(SUBSTITUTE(SUBSTITUTE(SUBSTITUTE(SUBSTITUTE(UPPER(TRIM($DZ457)),"0",""),"1",""),"2",""),"3",""),"4",""),"5",""),"6",""),"7",""),"8",""),"9",""),".",""),"+",""),"-",""),"E","")="",LEN(SUBSTITUTE(SUBSTITUTE(MID(UPPER(TRIM($DZ457)),1+OR(LEFT(UPPER(TRIM($DZ457)),1)="+",LEFT(UPPER(TRIM($DZ457)),1)="-"),999),"E+","E"),"E-","E"))=LEN(SUBSTITUTE(SUBSTITUTE(SUBSTITUTE(SUBSTITUTE(MID(UPPER(TRIM($DZ457)),1+OR(LEFT(UPPER(TRIM($DZ457)),1)="+",LEFT(UPPER(TRIM($DZ457)),1)="-"),999),"E+","E"),"E-","E"),"+",""),"-","")),LEN(UPPER(TRIM($DZ457)))-LEN(SUBSTITUTE(UPPER(TRIM($DZ457)),"E",""))&lt;2,LEN(UPPER(TRIM($DZ457)))-LEN(SUBSTITUTE(UPPER(TRIM($DZ457)),".",""))&lt;2,IFERROR(FIND(".",UPPER(TRIM($DZ457))),0)&lt;IFERROR(FIND("E",UPPER(TRIM($DZ457))),999)),ISNUMBER(VALUE(TRIM($DZ457)))),VALUE(TRIM($DZ457)),"")))),""))</f>
        <v/>
      </c>
      <c r="EB457">
        <f>IF($DM457=0,"",IF($L$18=0,"",IFERROR(IF(UPPER(TRIM(SUBSTITUTE(SUBSTITUTE(SUBSTITUTE(SUBSTITUTE(INDEX(PASTE_ALL,$DF457,$L$18)," "," "),CHAR(9)," "),CHAR(10)," "),CHAR(13)," ")))="READY","Ready",IF(UPPER(TRIM(SUBSTITUTE(SUBSTITUTE(SUBSTITUTE(SUBSTITUTE(INDEX(PASTE_ALL,$DF457,$L$18)," "," "),CHAR(9)," "),CHAR(10)," "),CHAR(13)," ")))="PM","PM",IF(OR(UPPER(TRIM(SUBSTITUTE(SUBSTITUTE(SUBSTITUTE(SUBSTITUTE(INDEX(PASTE_ALL,$DF457,$L$18)," "," "),CHAR(9)," "),CHAR(10)," "),CHAR(13)," ")))="OT",UPPER(TRIM(SUBSTITUTE(SUBSTITUTE(SUBSTITUTE(SUBSTITUTE(INDEX(PASTE_ALL,$DF457,$L$18)," "," "),CHAR(9)," "),CHAR(10)," "),CHAR(13)," ")))="OVERTIME",UPPER(TRIM(SUBSTITUTE(SUBSTITUTE(SUBSTITUTE(SUBSTITUTE(INDEX(PASTE_ALL,$DF457,$L$18)," "," "),CHAR(9)," "),CHAR(10)," "),CHAR(13)," ")))="TRIAL"),"OT",TRIM(SUBSTITUTE(SUBSTITUTE(SUBSTITUTE(SUBSTITUTE(INDEX(PASTE_ALL,$DF457,$L$18)," "," "),CHAR(9)," "),CHAR(10)," "),CHAR(13)," "))))),"")))</f>
        <v/>
      </c>
      <c r="EC457">
        <f>IF($DM457=0,"",IF($L$19=0,"",IFERROR(IF(ISNUMBER(INDEX(PASTE_ALL,$DF457,$L$19)),INDEX(PASTE_ALL,$DF457,$L$19),TRIM(SUBSTITUTE(SUBSTITUTE(SUBSTITUTE(SUBSTITUTE(INDEX(PASTE_ALL,$DF457,$L$19)," "," "),CHAR(9)," "),CHAR(10)," "),CHAR(13)," "))),"")))</f>
        <v/>
      </c>
      <c r="ED457">
        <f>IF($DM457=0,"",MATCH(1,INDEX(EXACT($DH$5:DH457,$DH457)*$DM$5:DM457,0),0))</f>
        <v/>
      </c>
      <c r="EE457">
        <f>IF($DM457=0,0,IF($ED457=$DE457,1,0))</f>
        <v/>
      </c>
      <c r="EF457">
        <f>EF456+$EE457</f>
        <v/>
      </c>
      <c r="EG457">
        <f>IF($DM457=0,"",INDEX($EF$5:$EF$1003,$ED457))</f>
        <v/>
      </c>
      <c r="EH457">
        <f>IF($DM457=0,"",IF($DO457&lt;&gt;"","",IFERROR(LOOKUP(2,1/(($EG$4:EG456=$EG457)*($DO$4:DO456&lt;&gt;"")),$DO$4:DO456),"")))</f>
        <v/>
      </c>
      <c r="EI457">
        <f>IF($DM457=0,"",IF($DO457&lt;&gt;"",$DO457,$EH457))</f>
        <v/>
      </c>
      <c r="EJ457">
        <f>IF($DM457=0,"",IF($EI457="",0,IF(OR(ISNUMBER($EI457),AND(AND(SUBSTITUTE(SUBSTITUTE(SUBSTITUTE(SUBSTITUTE(SUBSTITUTE(SUBSTITUTE(SUBSTITUTE(SUBSTITUTE(SUBSTITUTE(SUBSTITUTE(SUBSTITUTE(SUBSTITUTE(SUBSTITUTE(SUBSTITUTE(UPPER($EI457),"0",""),"1",""),"2",""),"3",""),"4",""),"5",""),"6",""),"7",""),"8",""),"9",""),".",""),"+",""),"-",""),"E","")="",LEN(SUBSTITUTE(SUBSTITUTE(MID(UPPER($EI457),1+OR(LEFT(UPPER($EI457),1)="+",LEFT(UPPER($EI457),1)="-"),999),"E+","E"),"E-","E"))=LEN(SUBSTITUTE(SUBSTITUTE(SUBSTITUTE(SUBSTITUTE(MID(UPPER($EI457),1+OR(LEFT(UPPER($EI457),1)="+",LEFT(UPPER($EI457),1)="-"),999),"E+","E"),"E-","E"),"+",""),"-","")),LEN(UPPER($EI457))-LEN(SUBSTITUTE(UPPER($EI457),"E",""))&lt;2,LEN(UPPER($EI457))-LEN(SUBSTITUTE(UPPER($EI457),".",""))&lt;2,IFERROR(FIND(".",UPPER($EI457)),0)&lt;IFERROR(FIND("E",UPPER($EI457)),999)),ISNUMBER(VALUE($EI457)))),1,2)))</f>
        <v/>
      </c>
      <c r="EK457">
        <f>IF($DM457=0,"",IF($EJ457=1,IF(ISNUMBER($EI457),$EI457,VALUE($EI457)),IF($EJ457=2,$DE457,0)))</f>
        <v/>
      </c>
      <c r="EL457">
        <f>IF($DM457=0,"",COUNTIF($EG$5:$EG$1003,"&lt;"&amp;$EG457)+SUMPRODUCT(($EG$5:$EG$1003=$EG457)*(($EJ$5:$EJ$1003&lt;$EJ457)+($EJ$5:$EJ$1003=$EJ457)*(($EK$5:$EK$1003&lt;$EK457)+($EK$5:$EK$1003=$EK457)*($DE$5:$DE$1003&lt;$DE457))))+1)</f>
        <v/>
      </c>
      <c r="EM457">
        <f>IF($DM457=0,"",$EL457+$EG457-1)</f>
        <v/>
      </c>
      <c r="EN457">
        <f>IF($DM457=0,0,IFERROR(MATCH(1,INDEX(--(TRIM(SUBSTITUTE(SUBSTITUTE(SUBSTITUTE(SUBSTITUTE(LINES_NAME&amp;""," "," "),CHAR(9)," "),CHAR(10)," "),CHAR(13)," "))=$DH457),0),0),0))</f>
        <v/>
      </c>
      <c r="EO457">
        <f>IF($EN457=0,0,IF(OR(UPPER(TRIM(INDEX(LINES_SCHEDULED,$EN457)&amp;""))="YES",UPPER(TRIM(INDEX(LINES_SCHEDULED,$EN457)&amp;""))="Y",UPPER(TRIM(INDEX(LINES_SCHEDULED,$EN457)&amp;""))="X"),1,0))</f>
        <v/>
      </c>
      <c r="EP457">
        <f>IF($DM457=0,"",IF(COUNTIFS($EG$5:$EG$1003,$EG457,$EB$5:$EB$1003,"Ready")&gt;0,"READY",IF(COUNTIFS($EG$5:$EG$1003,$EG457,$EB$5:$EB$1003,"PM")&gt;0,"PM",IF(COUNTIFS($EG$5:$EG$1003,$EG457,$EB$5:$EB$1003,"OT")&gt;0,"OT",""))))</f>
        <v/>
      </c>
      <c r="EQ457">
        <f>IF($EN457=0,"",UPPER(TRIM(INDEX(LINES_STATUS,$EN457)&amp;"")))</f>
        <v/>
      </c>
      <c r="ER457">
        <f>IF($DM457=0,"",IF(OR($EQ457="READY",$EQ457="PM",$EQ457="OT"),$EQ457,$EP457))</f>
        <v/>
      </c>
      <c r="ES457">
        <f>IF($DM457=0,"",IF(AND($DV457&lt;&gt;"",UPPER($DV457)&lt;&gt;"N"),"allergen",IF(ISNUMBER(SEARCH("oil",$DQ457)),"oil",IF(OR(EXACT($DS457,"A662"),EXACT($DS457,"A624")),"bulk",""))))</f>
        <v/>
      </c>
      <c r="ET457">
        <f>IF($DM457=0,"",IF(OR($EA457="",$EA457=0),"",$EA457/100))</f>
        <v/>
      </c>
      <c r="EU457">
        <f>IF(OR($ET457="",$DY457=""),"",INT($DY457*(1-$ET457)+0.5))</f>
        <v/>
      </c>
      <c r="EW457" t="n">
        <v>453</v>
      </c>
      <c r="EX457">
        <f>IFERROR(MATCH($EW457,$EM$5:$EM$1003,0),0)</f>
        <v/>
      </c>
      <c r="EY457">
        <f>IF($EW457&gt;$B$12,"",IF($EX457&gt;0,"row","spacer"))</f>
        <v/>
      </c>
      <c r="EZ457">
        <f>IF(AND($EY457="row",$EY456&lt;&gt;"row"),1,0)</f>
        <v/>
      </c>
      <c r="FA457">
        <f>IF(AND($EY457="row",$EY458&lt;&gt;"row"),1,0)</f>
        <v/>
      </c>
      <c r="FB457">
        <f>IF($EZ457=1,IFERROR(IF(ISNUMBER(INDEX(PASTE_ALL,INDEX($DF$5:$DF$1003,$EX457),$B$37)),INDEX(PASTE_ALL,INDEX($DF$5:$DF$1003,$EX457),$B$37),INDEX($DH$5:$DH$1003,$EX457)),INDEX($DH$5:$DH$1003,$EX457)),"")</f>
        <v/>
      </c>
      <c r="FC457">
        <f>IF($EY457="row",INDEX($ER$5:$ER$1003,$EX457),"")</f>
        <v/>
      </c>
      <c r="FD457">
        <f>IF($EY457="row",INDEX($DN$5:$DN$1003,$EX457),"")</f>
        <v/>
      </c>
      <c r="FE457">
        <f>IF($EY457="row",INDEX($DO$5:$DO$1003,$EX457),"")</f>
        <v/>
      </c>
      <c r="FF457">
        <f>IF($EY457="row",INDEX($DP$5:$DP$1003,$EX457),"")</f>
        <v/>
      </c>
      <c r="FG457">
        <f>IF($EY457="row",INDEX($DQ$5:$DQ$1003,$EX457),"")</f>
        <v/>
      </c>
      <c r="FH457">
        <f>IF($EY457="row",INDEX($DR$5:$DR$1003,$EX457),"")</f>
        <v/>
      </c>
      <c r="FI457">
        <f>IF($EY457="row",INDEX($DS$5:$DS$1003,$EX457),"")</f>
        <v/>
      </c>
      <c r="FJ457">
        <f>IF($EY457="row",INDEX($DT$5:$DT$1003,$EX457),"")</f>
        <v/>
      </c>
      <c r="FK457">
        <f>IF($EY457="row",INDEX($DU$5:$DU$1003,$EX457),"")</f>
        <v/>
      </c>
      <c r="FL457">
        <f>IF($EY457="row",INDEX($DV$5:$DV$1003,$EX457),"")</f>
        <v/>
      </c>
      <c r="FM457">
        <f>IF($EY457="row",INDEX($DW$5:$DW$1003,$EX457),"")</f>
        <v/>
      </c>
      <c r="FN457">
        <f>IF($EY457="row",INDEX($DY$5:$DY$1003,$EX457),"")</f>
        <v/>
      </c>
      <c r="FO457">
        <f>IF($EY457="row",INDEX($EA$5:$EA$1003,$EX457),"")</f>
        <v/>
      </c>
      <c r="FP457">
        <f>IF($EY457="row",INDEX($EC$5:$EC$1003,$EX457),"")</f>
        <v/>
      </c>
      <c r="FQ457">
        <f>IF($EY457="row",INDEX($ET$5:$ET$1003,$EX457),"")</f>
        <v/>
      </c>
      <c r="FR457">
        <f>IF($EY457="row",INDEX($EU$5:$EU$1003,$EX457),"")</f>
        <v/>
      </c>
      <c r="FS457">
        <f>IF(AND($EY457="row",$EY456="row"),IF(OR(INDEX($DT$5:$DT$1003,$EX456)="",INDEX($DT$5:$DT$1003,$EX457)=""),"",IF(NOT(EXACT(INDEX($DT$5:$DT$1003,$EX456),INDEX($DT$5:$DT$1003,$EX457))),"S4",IF(NOT(EXACT(INDEX($DS$5:$DS$1003,$EX456),INDEX($DS$5:$DS$1003,$EX457))),"S3",IF(NOT(EXACT(INDEX($DR$5:$DR$1003,$EX456),INDEX($DR$5:$DR$1003,$EX457))),"S1 Count Change","S1")))),"")</f>
        <v/>
      </c>
      <c r="FT457">
        <f>IF($EY457="row",INDEX($ES$5:$ES$1003,$EX457),"")</f>
        <v/>
      </c>
      <c r="FU457">
        <f>IF($EY457="row",INDEX($EO$5:$EO$1003,$EX457),0)</f>
        <v/>
      </c>
      <c r="FV457">
        <f>IF($FS457="S1 Count Change",1,0)</f>
        <v/>
      </c>
    </row>
    <row r="458">
      <c r="DA458" t="n">
        <v>454</v>
      </c>
      <c r="DB458">
        <f>IF($B$37=0,"",IFERROR(TRIM(SUBSTITUTE(SUBSTITUTE(SUBSTITUTE(SUBSTITUTE(INDEX(PASTE_ALL,454,$B$37)," "," "),CHAR(9)," "),CHAR(10)," "),CHAR(13)," ")),""))</f>
        <v/>
      </c>
      <c r="DC458">
        <f>IF(AND(454&gt;HEADER_ROW,UPPER(DB458)="LEGEND"),1,0)</f>
        <v/>
      </c>
      <c r="DE458" t="n">
        <v>454</v>
      </c>
      <c r="DF458">
        <f>HEADER_ROW+$DE458</f>
        <v/>
      </c>
      <c r="DG458">
        <f>IF(AND($DF458&lt;=1000,$DF458&lt;$B$8),1,0)</f>
        <v/>
      </c>
      <c r="DH458">
        <f>IF($DG458=1,IFERROR(INDEX($DB$5:$DB$1004,$DF458),""),"")</f>
        <v/>
      </c>
      <c r="DI458">
        <f>IF(AND($DG458=1,$DH458&lt;&gt;""),IFERROR(SUBSTITUTE(SUBSTITUTE(TRIM(SUBSTITUTE(SUBSTITUTE(SUBSTITUTE(SUBSTITUTE(IFERROR(INDEX(PASTE_ALL,$DF458,1)&amp;"","")&amp;"␟"&amp;IFERROR(INDEX(PASTE_ALL,$DF458,2)&amp;"","")&amp;"␟"&amp;IFERROR(INDEX(PASTE_ALL,$DF458,3)&amp;"","")&amp;"␟"&amp;IFERROR(INDEX(PASTE_ALL,$DF458,4)&amp;"","")&amp;"␟"&amp;IFERROR(INDEX(PASTE_ALL,$DF458,5)&amp;"","")&amp;"␟"&amp;IFERROR(INDEX(PASTE_ALL,$DF458,6)&amp;"","")&amp;"␟"&amp;IFERROR(INDEX(PASTE_ALL,$DF458,7)&amp;"","")&amp;"␟"&amp;IFERROR(INDEX(PASTE_ALL,$DF458,8)&amp;"","")&amp;"␟"&amp;IFERROR(INDEX(PASTE_ALL,$DF458,9)&amp;"","")&amp;"␟"&amp;IFERROR(INDEX(PASTE_ALL,$DF458,10)&amp;"","")&amp;"␟"&amp;IFERROR(INDEX(PASTE_ALL,$DF458,11)&amp;"","")&amp;"␟"&amp;IFERROR(INDEX(PASTE_ALL,$DF458,12)&amp;"","")&amp;"␟"&amp;IFERROR(INDEX(PASTE_ALL,$DF458,13)&amp;"","")&amp;"␟"&amp;IFERROR(INDEX(PASTE_ALL,$DF458,14)&amp;"","")&amp;"␟"&amp;IFERROR(INDEX(PASTE_ALL,$DF458,15)&amp;"","")&amp;"␟"&amp;IFERROR(INDEX(PASTE_ALL,$DF458,16)&amp;"","")&amp;"␟"&amp;IFERROR(INDEX(PASTE_ALL,$DF458,17)&amp;"","")&amp;"␟"&amp;IFERROR(INDEX(PASTE_ALL,$DF458,18)&amp;"","")&amp;"␟"&amp;IFERROR(INDEX(PASTE_ALL,$DF458,19)&amp;"","")&amp;"␟"&amp;IFERROR(INDEX(PASTE_ALL,$DF458,20)&amp;"","")&amp;"␟"&amp;IFERROR(INDEX(PASTE_ALL,$DF458,21)&amp;"","")&amp;"␟"&amp;IFERROR(INDEX(PASTE_ALL,$DF458,22)&amp;"","")&amp;"␟"&amp;IFERROR(INDEX(PASTE_ALL,$DF458,23)&amp;"","")&amp;"␟"&amp;IFERROR(INDEX(PASTE_ALL,$DF458,24)&amp;"","")&amp;"␟"&amp;IFERROR(INDEX(PASTE_ALL,$DF458,25)&amp;"","")&amp;"␟"&amp;IFERROR(INDEX(PASTE_ALL,$DF458,26)&amp;"","")&amp;"␟"&amp;IFERROR(INDEX(PASTE_ALL,$DF458,27)&amp;"","")&amp;"␟"&amp;IFERROR(INDEX(PASTE_ALL,$DF458,28)&amp;"","")&amp;"␟"&amp;IFERROR(INDEX(PASTE_ALL,$DF458,29)&amp;"","")&amp;"␟"&amp;IFERROR(INDEX(PASTE_ALL,$DF458,30)&amp;"","")&amp;"␟"&amp;IFERROR(INDEX(PASTE_ALL,$DF458,31)&amp;"","")&amp;"␟"&amp;IFERROR(INDEX(PASTE_ALL,$DF458,32)&amp;"","")&amp;"␟"&amp;IFERROR(INDEX(PASTE_ALL,$DF458,33)&amp;"","")&amp;"␟"&amp;IFERROR(INDEX(PASTE_ALL,$DF458,34)&amp;"","")&amp;"␟"&amp;IFERROR(INDEX(PASTE_ALL,$DF458,35)&amp;"","")&amp;"␟"&amp;IFERROR(INDEX(PASTE_ALL,$DF458,36)&amp;"","")&amp;"␟"&amp;IFERROR(INDEX(PASTE_ALL,$DF458,37)&amp;"","")&amp;"␟"&amp;IFERROR(INDEX(PASTE_ALL,$DF458,38)&amp;"","")&amp;"␟"&amp;IFERROR(INDEX(PASTE_ALL,$DF458,39)&amp;"","")&amp;"␟"&amp;IFERROR(INDEX(PASTE_ALL,$DF458,40)&amp;"","")&amp;"␟"&amp;IFERROR(INDEX(PASTE_ALL,$DF458,41)&amp;"","")&amp;"␟"&amp;IFERROR(INDEX(PASTE_ALL,$DF458,42)&amp;"","")&amp;"␟"&amp;IFERROR(INDEX(PASTE_ALL,$DF458,43)&amp;"","")&amp;"␟"&amp;IFERROR(INDEX(PASTE_ALL,$DF458,44)&amp;"","")&amp;"␟"&amp;IFERROR(INDEX(PASTE_ALL,$DF458,45)&amp;"","")&amp;"␟"&amp;IFERROR(INDEX(PASTE_ALL,$DF458,46)&amp;"","")&amp;"␟"&amp;IFERROR(INDEX(PASTE_ALL,$DF458,47)&amp;"","")&amp;"␟"&amp;IFERROR(INDEX(PASTE_ALL,$DF458,48)&amp;"","")&amp;"␟"&amp;IFERROR(INDEX(PASTE_ALL,$DF458,49)&amp;"","")&amp;"␟"&amp;IFERROR(INDEX(PASTE_ALL,$DF458,50)&amp;"","")&amp;"␟"&amp;IFERROR(INDEX(PASTE_ALL,$DF458,51)&amp;"","")&amp;"␟"&amp;IFERROR(INDEX(PASTE_ALL,$DF458,52)&amp;"","")&amp;"␟"&amp;IFERROR(INDEX(PASTE_ALL,$DF458,53)&amp;"","")&amp;"␟"&amp;IFERROR(INDEX(PASTE_ALL,$DF458,54)&amp;"","")&amp;"␟"&amp;IFERROR(INDEX(PASTE_ALL,$DF458,55)&amp;"","")&amp;"␟"&amp;IFERROR(INDEX(PASTE_ALL,$DF458,56)&amp;"","")&amp;"␟"&amp;IFERROR(INDEX(PASTE_ALL,$DF458,57)&amp;"","")&amp;"␟"&amp;IFERROR(INDEX(PASTE_ALL,$DF458,58)&amp;"","")&amp;"␟"&amp;IFERROR(INDEX(PASTE_ALL,$DF458,59)&amp;"","")&amp;"␟"&amp;IFERROR(INDEX(PASTE_ALL,$DF458,60)&amp;"","")," "," "),CHAR(9)," "),CHAR(10)," "),CHAR(13)," "))," ␟","␟"),"␟ ","␟"),"#"&amp;$DE458),"")</f>
        <v/>
      </c>
      <c r="DJ458">
        <f>IF($DI458="",0,IF(SUMPRODUCT(--EXACT($DI$4:DI457,$DI458))&gt;0,1,0))</f>
        <v/>
      </c>
      <c r="DK458">
        <f>IF(AND($DI458&lt;&gt;"",$DJ458=0),1,0)</f>
        <v/>
      </c>
      <c r="DL458">
        <f>DL457+$DK458</f>
        <v/>
      </c>
      <c r="DM458">
        <f>IF(AND($DK458=1,$DL458&lt;=600),1,0)</f>
        <v/>
      </c>
      <c r="DN458">
        <f>IF($DM458=0,"",IF($L$6=0,"",IFERROR(IF(ISNUMBER(INDEX(PASTE_ALL,$DF458,$L$6)),INDEX(PASTE_ALL,$DF458,$L$6),TRIM(SUBSTITUTE(SUBSTITUTE(SUBSTITUTE(SUBSTITUTE(INDEX(PASTE_ALL,$DF458,$L$6)," "," "),CHAR(9)," "),CHAR(10)," "),CHAR(13)," "))),"")))</f>
        <v/>
      </c>
      <c r="DO458">
        <f>IF($DM458=0,"",IF($L$7=0,"",IFERROR(IF(ISNUMBER(INDEX(PASTE_ALL,$DF458,$L$7)),INDEX(PASTE_ALL,$DF458,$L$7),TRIM(SUBSTITUTE(SUBSTITUTE(SUBSTITUTE(SUBSTITUTE(INDEX(PASTE_ALL,$DF458,$L$7)," "," "),CHAR(9)," "),CHAR(10)," "),CHAR(13)," "))),"")))</f>
        <v/>
      </c>
      <c r="DP458">
        <f>IF($DM458=0,"",IF($L$8=0,"",IFERROR(IF(ISNUMBER(INDEX(PASTE_ALL,$DF458,$L$8)),INDEX(PASTE_ALL,$DF458,$L$8),TRIM(SUBSTITUTE(SUBSTITUTE(SUBSTITUTE(SUBSTITUTE(INDEX(PASTE_ALL,$DF458,$L$8)," "," "),CHAR(9)," "),CHAR(10)," "),CHAR(13)," "))),"")))</f>
        <v/>
      </c>
      <c r="DQ458">
        <f>IF($DM458=0,"",IF($L$9=0,"",IFERROR(IF(ISNUMBER(INDEX(PASTE_ALL,$DF458,$L$9)),INDEX(PASTE_ALL,$DF458,$L$9),TRIM(SUBSTITUTE(SUBSTITUTE(SUBSTITUTE(SUBSTITUTE(INDEX(PASTE_ALL,$DF458,$L$9)," "," "),CHAR(9)," "),CHAR(10)," "),CHAR(13)," "))),"")))</f>
        <v/>
      </c>
      <c r="DR458">
        <f>IF($DM458=0,"",IF($L$10=0,"",IFERROR(IF(ISNUMBER(INDEX(PASTE_ALL,$DF458,$L$10)),INDEX(PASTE_ALL,$DF458,$L$10),TRIM(SUBSTITUTE(SUBSTITUTE(SUBSTITUTE(SUBSTITUTE(INDEX(PASTE_ALL,$DF458,$L$10)," "," "),CHAR(9)," "),CHAR(10)," "),CHAR(13)," "))),"")))</f>
        <v/>
      </c>
      <c r="DS458">
        <f>IF($DM458=0,"",IF($L$11=0,"",IFERROR(IF(ISNUMBER(INDEX(PASTE_ALL,$DF458,$L$11)),INDEX(PASTE_ALL,$DF458,$L$11),TRIM(SUBSTITUTE(SUBSTITUTE(SUBSTITUTE(SUBSTITUTE(INDEX(PASTE_ALL,$DF458,$L$11)," "," "),CHAR(9)," "),CHAR(10)," "),CHAR(13)," "))),"")))</f>
        <v/>
      </c>
      <c r="DT458">
        <f>IF($DM458=0,"",IF($L$12=0,"",IFERROR(IF(ISNUMBER(INDEX(PASTE_ALL,$DF458,$L$12)),INDEX(PASTE_ALL,$DF458,$L$12),TRIM(SUBSTITUTE(SUBSTITUTE(SUBSTITUTE(SUBSTITUTE(INDEX(PASTE_ALL,$DF458,$L$12)," "," "),CHAR(9)," "),CHAR(10)," "),CHAR(13)," "))),"")))</f>
        <v/>
      </c>
      <c r="DU458">
        <f>IF($DM458=0,"",IF($L$13=0,"",IFERROR(IF(ISNUMBER(INDEX(PASTE_ALL,$DF458,$L$13)),INDEX(PASTE_ALL,$DF458,$L$13),TRIM(SUBSTITUTE(SUBSTITUTE(SUBSTITUTE(SUBSTITUTE(INDEX(PASTE_ALL,$DF458,$L$13)," "," "),CHAR(9)," "),CHAR(10)," "),CHAR(13)," "))),"")))</f>
        <v/>
      </c>
      <c r="DV458">
        <f>IF($DM458=0,"",IF($L$14=0,"",IFERROR(IF(ISNUMBER(INDEX(PASTE_ALL,$DF458,$L$14)),INDEX(PASTE_ALL,$DF458,$L$14),TRIM(SUBSTITUTE(SUBSTITUTE(SUBSTITUTE(SUBSTITUTE(INDEX(PASTE_ALL,$DF458,$L$14)," "," "),CHAR(9)," "),CHAR(10)," "),CHAR(13)," "))),"")))</f>
        <v/>
      </c>
      <c r="DW458">
        <f>IF($DM458=0,"",IF($L$15=0,"",IFERROR(IF(ISNUMBER(INDEX(PASTE_ALL,$DF458,$L$15)),INDEX(PASTE_ALL,$DF458,$L$15),IF(SUMPRODUCT(--ISNUMBER(FIND({"A","B","C","D","E","F","G","H","I","J","K","L","M","N","O","P","Q","R","S","T","U","V","W","X","Y","Z","0","1","2","3","4","5","6","7","8","9"},UPPER(TRIM(SUBSTITUTE(SUBSTITUTE(SUBSTITUTE(SUBSTITUTE(INDEX(PASTE_ALL,$DF458,$L$15)," "," "),CHAR(9)," "),CHAR(10)," "),CHAR(13)," "))))))&gt;0,TRIM(SUBSTITUTE(SUBSTITUTE(SUBSTITUTE(SUBSTITUTE(INDEX(PASTE_ALL,$DF458,$L$15)," "," "),CHAR(9)," "),CHAR(10)," "),CHAR(13)," ")),"")),"")))</f>
        <v/>
      </c>
      <c r="DX458">
        <f>IF($DM458=0,"",IF($L$16=0,"",IFERROR(IF(ISNUMBER(INDEX(PASTE_ALL,$DF458,$L$16)),INDEX(PASTE_ALL,$DF458,$L$16),SUBSTITUTE(SUBSTITUTE(TRIM(SUBSTITUTE(SUBSTITUTE(SUBSTITUTE(SUBSTITUTE(INDEX(PASTE_ALL,$DF458,$L$16)," "," "),CHAR(9)," "),CHAR(10)," "),CHAR(13)," ")),",",""),"%","")),"")))</f>
        <v/>
      </c>
      <c r="DY458">
        <f>IF($DM458=0,"",IFERROR(IF(ISNUMBER($DX458),$DX458,IF($DX458="","",IF(TRIM($DX458)="",0,IF(AND(AND(SUBSTITUTE(SUBSTITUTE(SUBSTITUTE(SUBSTITUTE(SUBSTITUTE(SUBSTITUTE(SUBSTITUTE(SUBSTITUTE(SUBSTITUTE(SUBSTITUTE(SUBSTITUTE(SUBSTITUTE(SUBSTITUTE(SUBSTITUTE(UPPER(TRIM($DX458)),"0",""),"1",""),"2",""),"3",""),"4",""),"5",""),"6",""),"7",""),"8",""),"9",""),".",""),"+",""),"-",""),"E","")="",LEN(SUBSTITUTE(SUBSTITUTE(MID(UPPER(TRIM($DX458)),1+OR(LEFT(UPPER(TRIM($DX458)),1)="+",LEFT(UPPER(TRIM($DX458)),1)="-"),999),"E+","E"),"E-","E"))=LEN(SUBSTITUTE(SUBSTITUTE(SUBSTITUTE(SUBSTITUTE(MID(UPPER(TRIM($DX458)),1+OR(LEFT(UPPER(TRIM($DX458)),1)="+",LEFT(UPPER(TRIM($DX458)),1)="-"),999),"E+","E"),"E-","E"),"+",""),"-","")),LEN(UPPER(TRIM($DX458)))-LEN(SUBSTITUTE(UPPER(TRIM($DX458)),"E",""))&lt;2,LEN(UPPER(TRIM($DX458)))-LEN(SUBSTITUTE(UPPER(TRIM($DX458)),".",""))&lt;2,IFERROR(FIND(".",UPPER(TRIM($DX458))),0)&lt;IFERROR(FIND("E",UPPER(TRIM($DX458))),999)),ISNUMBER(VALUE(TRIM($DX458)))),VALUE(TRIM($DX458)),"")))),""))</f>
        <v/>
      </c>
      <c r="DZ458">
        <f>IF($DM458=0,"",IF($L$17=0,"",IFERROR(IF(ISNUMBER(INDEX(PASTE_ALL,$DF458,$L$17)),INDEX(PASTE_ALL,$DF458,$L$17),SUBSTITUTE(SUBSTITUTE(TRIM(SUBSTITUTE(SUBSTITUTE(SUBSTITUTE(SUBSTITUTE(INDEX(PASTE_ALL,$DF458,$L$17)," "," "),CHAR(9)," "),CHAR(10)," "),CHAR(13)," ")),",",""),"%","")),"")))</f>
        <v/>
      </c>
      <c r="EA458">
        <f>IF($DM458=0,"",IFERROR(IF(ISNUMBER($DZ458),$DZ458,IF($DZ458="","",IF(TRIM($DZ458)="",0,IF(AND(AND(SUBSTITUTE(SUBSTITUTE(SUBSTITUTE(SUBSTITUTE(SUBSTITUTE(SUBSTITUTE(SUBSTITUTE(SUBSTITUTE(SUBSTITUTE(SUBSTITUTE(SUBSTITUTE(SUBSTITUTE(SUBSTITUTE(SUBSTITUTE(UPPER(TRIM($DZ458)),"0",""),"1",""),"2",""),"3",""),"4",""),"5",""),"6",""),"7",""),"8",""),"9",""),".",""),"+",""),"-",""),"E","")="",LEN(SUBSTITUTE(SUBSTITUTE(MID(UPPER(TRIM($DZ458)),1+OR(LEFT(UPPER(TRIM($DZ458)),1)="+",LEFT(UPPER(TRIM($DZ458)),1)="-"),999),"E+","E"),"E-","E"))=LEN(SUBSTITUTE(SUBSTITUTE(SUBSTITUTE(SUBSTITUTE(MID(UPPER(TRIM($DZ458)),1+OR(LEFT(UPPER(TRIM($DZ458)),1)="+",LEFT(UPPER(TRIM($DZ458)),1)="-"),999),"E+","E"),"E-","E"),"+",""),"-","")),LEN(UPPER(TRIM($DZ458)))-LEN(SUBSTITUTE(UPPER(TRIM($DZ458)),"E",""))&lt;2,LEN(UPPER(TRIM($DZ458)))-LEN(SUBSTITUTE(UPPER(TRIM($DZ458)),".",""))&lt;2,IFERROR(FIND(".",UPPER(TRIM($DZ458))),0)&lt;IFERROR(FIND("E",UPPER(TRIM($DZ458))),999)),ISNUMBER(VALUE(TRIM($DZ458)))),VALUE(TRIM($DZ458)),"")))),""))</f>
        <v/>
      </c>
      <c r="EB458">
        <f>IF($DM458=0,"",IF($L$18=0,"",IFERROR(IF(UPPER(TRIM(SUBSTITUTE(SUBSTITUTE(SUBSTITUTE(SUBSTITUTE(INDEX(PASTE_ALL,$DF458,$L$18)," "," "),CHAR(9)," "),CHAR(10)," "),CHAR(13)," ")))="READY","Ready",IF(UPPER(TRIM(SUBSTITUTE(SUBSTITUTE(SUBSTITUTE(SUBSTITUTE(INDEX(PASTE_ALL,$DF458,$L$18)," "," "),CHAR(9)," "),CHAR(10)," "),CHAR(13)," ")))="PM","PM",IF(OR(UPPER(TRIM(SUBSTITUTE(SUBSTITUTE(SUBSTITUTE(SUBSTITUTE(INDEX(PASTE_ALL,$DF458,$L$18)," "," "),CHAR(9)," "),CHAR(10)," "),CHAR(13)," ")))="OT",UPPER(TRIM(SUBSTITUTE(SUBSTITUTE(SUBSTITUTE(SUBSTITUTE(INDEX(PASTE_ALL,$DF458,$L$18)," "," "),CHAR(9)," "),CHAR(10)," "),CHAR(13)," ")))="OVERTIME",UPPER(TRIM(SUBSTITUTE(SUBSTITUTE(SUBSTITUTE(SUBSTITUTE(INDEX(PASTE_ALL,$DF458,$L$18)," "," "),CHAR(9)," "),CHAR(10)," "),CHAR(13)," ")))="TRIAL"),"OT",TRIM(SUBSTITUTE(SUBSTITUTE(SUBSTITUTE(SUBSTITUTE(INDEX(PASTE_ALL,$DF458,$L$18)," "," "),CHAR(9)," "),CHAR(10)," "),CHAR(13)," "))))),"")))</f>
        <v/>
      </c>
      <c r="EC458">
        <f>IF($DM458=0,"",IF($L$19=0,"",IFERROR(IF(ISNUMBER(INDEX(PASTE_ALL,$DF458,$L$19)),INDEX(PASTE_ALL,$DF458,$L$19),TRIM(SUBSTITUTE(SUBSTITUTE(SUBSTITUTE(SUBSTITUTE(INDEX(PASTE_ALL,$DF458,$L$19)," "," "),CHAR(9)," "),CHAR(10)," "),CHAR(13)," "))),"")))</f>
        <v/>
      </c>
      <c r="ED458">
        <f>IF($DM458=0,"",MATCH(1,INDEX(EXACT($DH$5:DH458,$DH458)*$DM$5:DM458,0),0))</f>
        <v/>
      </c>
      <c r="EE458">
        <f>IF($DM458=0,0,IF($ED458=$DE458,1,0))</f>
        <v/>
      </c>
      <c r="EF458">
        <f>EF457+$EE458</f>
        <v/>
      </c>
      <c r="EG458">
        <f>IF($DM458=0,"",INDEX($EF$5:$EF$1003,$ED458))</f>
        <v/>
      </c>
      <c r="EH458">
        <f>IF($DM458=0,"",IF($DO458&lt;&gt;"","",IFERROR(LOOKUP(2,1/(($EG$4:EG457=$EG458)*($DO$4:DO457&lt;&gt;"")),$DO$4:DO457),"")))</f>
        <v/>
      </c>
      <c r="EI458">
        <f>IF($DM458=0,"",IF($DO458&lt;&gt;"",$DO458,$EH458))</f>
        <v/>
      </c>
      <c r="EJ458">
        <f>IF($DM458=0,"",IF($EI458="",0,IF(OR(ISNUMBER($EI458),AND(AND(SUBSTITUTE(SUBSTITUTE(SUBSTITUTE(SUBSTITUTE(SUBSTITUTE(SUBSTITUTE(SUBSTITUTE(SUBSTITUTE(SUBSTITUTE(SUBSTITUTE(SUBSTITUTE(SUBSTITUTE(SUBSTITUTE(SUBSTITUTE(UPPER($EI458),"0",""),"1",""),"2",""),"3",""),"4",""),"5",""),"6",""),"7",""),"8",""),"9",""),".",""),"+",""),"-",""),"E","")="",LEN(SUBSTITUTE(SUBSTITUTE(MID(UPPER($EI458),1+OR(LEFT(UPPER($EI458),1)="+",LEFT(UPPER($EI458),1)="-"),999),"E+","E"),"E-","E"))=LEN(SUBSTITUTE(SUBSTITUTE(SUBSTITUTE(SUBSTITUTE(MID(UPPER($EI458),1+OR(LEFT(UPPER($EI458),1)="+",LEFT(UPPER($EI458),1)="-"),999),"E+","E"),"E-","E"),"+",""),"-","")),LEN(UPPER($EI458))-LEN(SUBSTITUTE(UPPER($EI458),"E",""))&lt;2,LEN(UPPER($EI458))-LEN(SUBSTITUTE(UPPER($EI458),".",""))&lt;2,IFERROR(FIND(".",UPPER($EI458)),0)&lt;IFERROR(FIND("E",UPPER($EI458)),999)),ISNUMBER(VALUE($EI458)))),1,2)))</f>
        <v/>
      </c>
      <c r="EK458">
        <f>IF($DM458=0,"",IF($EJ458=1,IF(ISNUMBER($EI458),$EI458,VALUE($EI458)),IF($EJ458=2,$DE458,0)))</f>
        <v/>
      </c>
      <c r="EL458">
        <f>IF($DM458=0,"",COUNTIF($EG$5:$EG$1003,"&lt;"&amp;$EG458)+SUMPRODUCT(($EG$5:$EG$1003=$EG458)*(($EJ$5:$EJ$1003&lt;$EJ458)+($EJ$5:$EJ$1003=$EJ458)*(($EK$5:$EK$1003&lt;$EK458)+($EK$5:$EK$1003=$EK458)*($DE$5:$DE$1003&lt;$DE458))))+1)</f>
        <v/>
      </c>
      <c r="EM458">
        <f>IF($DM458=0,"",$EL458+$EG458-1)</f>
        <v/>
      </c>
      <c r="EN458">
        <f>IF($DM458=0,0,IFERROR(MATCH(1,INDEX(--(TRIM(SUBSTITUTE(SUBSTITUTE(SUBSTITUTE(SUBSTITUTE(LINES_NAME&amp;""," "," "),CHAR(9)," "),CHAR(10)," "),CHAR(13)," "))=$DH458),0),0),0))</f>
        <v/>
      </c>
      <c r="EO458">
        <f>IF($EN458=0,0,IF(OR(UPPER(TRIM(INDEX(LINES_SCHEDULED,$EN458)&amp;""))="YES",UPPER(TRIM(INDEX(LINES_SCHEDULED,$EN458)&amp;""))="Y",UPPER(TRIM(INDEX(LINES_SCHEDULED,$EN458)&amp;""))="X"),1,0))</f>
        <v/>
      </c>
      <c r="EP458">
        <f>IF($DM458=0,"",IF(COUNTIFS($EG$5:$EG$1003,$EG458,$EB$5:$EB$1003,"Ready")&gt;0,"READY",IF(COUNTIFS($EG$5:$EG$1003,$EG458,$EB$5:$EB$1003,"PM")&gt;0,"PM",IF(COUNTIFS($EG$5:$EG$1003,$EG458,$EB$5:$EB$1003,"OT")&gt;0,"OT",""))))</f>
        <v/>
      </c>
      <c r="EQ458">
        <f>IF($EN458=0,"",UPPER(TRIM(INDEX(LINES_STATUS,$EN458)&amp;"")))</f>
        <v/>
      </c>
      <c r="ER458">
        <f>IF($DM458=0,"",IF(OR($EQ458="READY",$EQ458="PM",$EQ458="OT"),$EQ458,$EP458))</f>
        <v/>
      </c>
      <c r="ES458">
        <f>IF($DM458=0,"",IF(AND($DV458&lt;&gt;"",UPPER($DV458)&lt;&gt;"N"),"allergen",IF(ISNUMBER(SEARCH("oil",$DQ458)),"oil",IF(OR(EXACT($DS458,"A662"),EXACT($DS458,"A624")),"bulk",""))))</f>
        <v/>
      </c>
      <c r="ET458">
        <f>IF($DM458=0,"",IF(OR($EA458="",$EA458=0),"",$EA458/100))</f>
        <v/>
      </c>
      <c r="EU458">
        <f>IF(OR($ET458="",$DY458=""),"",INT($DY458*(1-$ET458)+0.5))</f>
        <v/>
      </c>
      <c r="EW458" t="n">
        <v>454</v>
      </c>
      <c r="EX458">
        <f>IFERROR(MATCH($EW458,$EM$5:$EM$1003,0),0)</f>
        <v/>
      </c>
      <c r="EY458">
        <f>IF($EW458&gt;$B$12,"",IF($EX458&gt;0,"row","spacer"))</f>
        <v/>
      </c>
      <c r="EZ458">
        <f>IF(AND($EY458="row",$EY457&lt;&gt;"row"),1,0)</f>
        <v/>
      </c>
      <c r="FA458">
        <f>IF(AND($EY458="row",$EY459&lt;&gt;"row"),1,0)</f>
        <v/>
      </c>
      <c r="FB458">
        <f>IF($EZ458=1,IFERROR(IF(ISNUMBER(INDEX(PASTE_ALL,INDEX($DF$5:$DF$1003,$EX458),$B$37)),INDEX(PASTE_ALL,INDEX($DF$5:$DF$1003,$EX458),$B$37),INDEX($DH$5:$DH$1003,$EX458)),INDEX($DH$5:$DH$1003,$EX458)),"")</f>
        <v/>
      </c>
      <c r="FC458">
        <f>IF($EY458="row",INDEX($ER$5:$ER$1003,$EX458),"")</f>
        <v/>
      </c>
      <c r="FD458">
        <f>IF($EY458="row",INDEX($DN$5:$DN$1003,$EX458),"")</f>
        <v/>
      </c>
      <c r="FE458">
        <f>IF($EY458="row",INDEX($DO$5:$DO$1003,$EX458),"")</f>
        <v/>
      </c>
      <c r="FF458">
        <f>IF($EY458="row",INDEX($DP$5:$DP$1003,$EX458),"")</f>
        <v/>
      </c>
      <c r="FG458">
        <f>IF($EY458="row",INDEX($DQ$5:$DQ$1003,$EX458),"")</f>
        <v/>
      </c>
      <c r="FH458">
        <f>IF($EY458="row",INDEX($DR$5:$DR$1003,$EX458),"")</f>
        <v/>
      </c>
      <c r="FI458">
        <f>IF($EY458="row",INDEX($DS$5:$DS$1003,$EX458),"")</f>
        <v/>
      </c>
      <c r="FJ458">
        <f>IF($EY458="row",INDEX($DT$5:$DT$1003,$EX458),"")</f>
        <v/>
      </c>
      <c r="FK458">
        <f>IF($EY458="row",INDEX($DU$5:$DU$1003,$EX458),"")</f>
        <v/>
      </c>
      <c r="FL458">
        <f>IF($EY458="row",INDEX($DV$5:$DV$1003,$EX458),"")</f>
        <v/>
      </c>
      <c r="FM458">
        <f>IF($EY458="row",INDEX($DW$5:$DW$1003,$EX458),"")</f>
        <v/>
      </c>
      <c r="FN458">
        <f>IF($EY458="row",INDEX($DY$5:$DY$1003,$EX458),"")</f>
        <v/>
      </c>
      <c r="FO458">
        <f>IF($EY458="row",INDEX($EA$5:$EA$1003,$EX458),"")</f>
        <v/>
      </c>
      <c r="FP458">
        <f>IF($EY458="row",INDEX($EC$5:$EC$1003,$EX458),"")</f>
        <v/>
      </c>
      <c r="FQ458">
        <f>IF($EY458="row",INDEX($ET$5:$ET$1003,$EX458),"")</f>
        <v/>
      </c>
      <c r="FR458">
        <f>IF($EY458="row",INDEX($EU$5:$EU$1003,$EX458),"")</f>
        <v/>
      </c>
      <c r="FS458">
        <f>IF(AND($EY458="row",$EY457="row"),IF(OR(INDEX($DT$5:$DT$1003,$EX457)="",INDEX($DT$5:$DT$1003,$EX458)=""),"",IF(NOT(EXACT(INDEX($DT$5:$DT$1003,$EX457),INDEX($DT$5:$DT$1003,$EX458))),"S4",IF(NOT(EXACT(INDEX($DS$5:$DS$1003,$EX457),INDEX($DS$5:$DS$1003,$EX458))),"S3",IF(NOT(EXACT(INDEX($DR$5:$DR$1003,$EX457),INDEX($DR$5:$DR$1003,$EX458))),"S1 Count Change","S1")))),"")</f>
        <v/>
      </c>
      <c r="FT458">
        <f>IF($EY458="row",INDEX($ES$5:$ES$1003,$EX458),"")</f>
        <v/>
      </c>
      <c r="FU458">
        <f>IF($EY458="row",INDEX($EO$5:$EO$1003,$EX458),0)</f>
        <v/>
      </c>
      <c r="FV458">
        <f>IF($FS458="S1 Count Change",1,0)</f>
        <v/>
      </c>
    </row>
    <row r="459">
      <c r="DA459" t="n">
        <v>455</v>
      </c>
      <c r="DB459">
        <f>IF($B$37=0,"",IFERROR(TRIM(SUBSTITUTE(SUBSTITUTE(SUBSTITUTE(SUBSTITUTE(INDEX(PASTE_ALL,455,$B$37)," "," "),CHAR(9)," "),CHAR(10)," "),CHAR(13)," ")),""))</f>
        <v/>
      </c>
      <c r="DC459">
        <f>IF(AND(455&gt;HEADER_ROW,UPPER(DB459)="LEGEND"),1,0)</f>
        <v/>
      </c>
      <c r="DE459" t="n">
        <v>455</v>
      </c>
      <c r="DF459">
        <f>HEADER_ROW+$DE459</f>
        <v/>
      </c>
      <c r="DG459">
        <f>IF(AND($DF459&lt;=1000,$DF459&lt;$B$8),1,0)</f>
        <v/>
      </c>
      <c r="DH459">
        <f>IF($DG459=1,IFERROR(INDEX($DB$5:$DB$1004,$DF459),""),"")</f>
        <v/>
      </c>
      <c r="DI459">
        <f>IF(AND($DG459=1,$DH459&lt;&gt;""),IFERROR(SUBSTITUTE(SUBSTITUTE(TRIM(SUBSTITUTE(SUBSTITUTE(SUBSTITUTE(SUBSTITUTE(IFERROR(INDEX(PASTE_ALL,$DF459,1)&amp;"","")&amp;"␟"&amp;IFERROR(INDEX(PASTE_ALL,$DF459,2)&amp;"","")&amp;"␟"&amp;IFERROR(INDEX(PASTE_ALL,$DF459,3)&amp;"","")&amp;"␟"&amp;IFERROR(INDEX(PASTE_ALL,$DF459,4)&amp;"","")&amp;"␟"&amp;IFERROR(INDEX(PASTE_ALL,$DF459,5)&amp;"","")&amp;"␟"&amp;IFERROR(INDEX(PASTE_ALL,$DF459,6)&amp;"","")&amp;"␟"&amp;IFERROR(INDEX(PASTE_ALL,$DF459,7)&amp;"","")&amp;"␟"&amp;IFERROR(INDEX(PASTE_ALL,$DF459,8)&amp;"","")&amp;"␟"&amp;IFERROR(INDEX(PASTE_ALL,$DF459,9)&amp;"","")&amp;"␟"&amp;IFERROR(INDEX(PASTE_ALL,$DF459,10)&amp;"","")&amp;"␟"&amp;IFERROR(INDEX(PASTE_ALL,$DF459,11)&amp;"","")&amp;"␟"&amp;IFERROR(INDEX(PASTE_ALL,$DF459,12)&amp;"","")&amp;"␟"&amp;IFERROR(INDEX(PASTE_ALL,$DF459,13)&amp;"","")&amp;"␟"&amp;IFERROR(INDEX(PASTE_ALL,$DF459,14)&amp;"","")&amp;"␟"&amp;IFERROR(INDEX(PASTE_ALL,$DF459,15)&amp;"","")&amp;"␟"&amp;IFERROR(INDEX(PASTE_ALL,$DF459,16)&amp;"","")&amp;"␟"&amp;IFERROR(INDEX(PASTE_ALL,$DF459,17)&amp;"","")&amp;"␟"&amp;IFERROR(INDEX(PASTE_ALL,$DF459,18)&amp;"","")&amp;"␟"&amp;IFERROR(INDEX(PASTE_ALL,$DF459,19)&amp;"","")&amp;"␟"&amp;IFERROR(INDEX(PASTE_ALL,$DF459,20)&amp;"","")&amp;"␟"&amp;IFERROR(INDEX(PASTE_ALL,$DF459,21)&amp;"","")&amp;"␟"&amp;IFERROR(INDEX(PASTE_ALL,$DF459,22)&amp;"","")&amp;"␟"&amp;IFERROR(INDEX(PASTE_ALL,$DF459,23)&amp;"","")&amp;"␟"&amp;IFERROR(INDEX(PASTE_ALL,$DF459,24)&amp;"","")&amp;"␟"&amp;IFERROR(INDEX(PASTE_ALL,$DF459,25)&amp;"","")&amp;"␟"&amp;IFERROR(INDEX(PASTE_ALL,$DF459,26)&amp;"","")&amp;"␟"&amp;IFERROR(INDEX(PASTE_ALL,$DF459,27)&amp;"","")&amp;"␟"&amp;IFERROR(INDEX(PASTE_ALL,$DF459,28)&amp;"","")&amp;"␟"&amp;IFERROR(INDEX(PASTE_ALL,$DF459,29)&amp;"","")&amp;"␟"&amp;IFERROR(INDEX(PASTE_ALL,$DF459,30)&amp;"","")&amp;"␟"&amp;IFERROR(INDEX(PASTE_ALL,$DF459,31)&amp;"","")&amp;"␟"&amp;IFERROR(INDEX(PASTE_ALL,$DF459,32)&amp;"","")&amp;"␟"&amp;IFERROR(INDEX(PASTE_ALL,$DF459,33)&amp;"","")&amp;"␟"&amp;IFERROR(INDEX(PASTE_ALL,$DF459,34)&amp;"","")&amp;"␟"&amp;IFERROR(INDEX(PASTE_ALL,$DF459,35)&amp;"","")&amp;"␟"&amp;IFERROR(INDEX(PASTE_ALL,$DF459,36)&amp;"","")&amp;"␟"&amp;IFERROR(INDEX(PASTE_ALL,$DF459,37)&amp;"","")&amp;"␟"&amp;IFERROR(INDEX(PASTE_ALL,$DF459,38)&amp;"","")&amp;"␟"&amp;IFERROR(INDEX(PASTE_ALL,$DF459,39)&amp;"","")&amp;"␟"&amp;IFERROR(INDEX(PASTE_ALL,$DF459,40)&amp;"","")&amp;"␟"&amp;IFERROR(INDEX(PASTE_ALL,$DF459,41)&amp;"","")&amp;"␟"&amp;IFERROR(INDEX(PASTE_ALL,$DF459,42)&amp;"","")&amp;"␟"&amp;IFERROR(INDEX(PASTE_ALL,$DF459,43)&amp;"","")&amp;"␟"&amp;IFERROR(INDEX(PASTE_ALL,$DF459,44)&amp;"","")&amp;"␟"&amp;IFERROR(INDEX(PASTE_ALL,$DF459,45)&amp;"","")&amp;"␟"&amp;IFERROR(INDEX(PASTE_ALL,$DF459,46)&amp;"","")&amp;"␟"&amp;IFERROR(INDEX(PASTE_ALL,$DF459,47)&amp;"","")&amp;"␟"&amp;IFERROR(INDEX(PASTE_ALL,$DF459,48)&amp;"","")&amp;"␟"&amp;IFERROR(INDEX(PASTE_ALL,$DF459,49)&amp;"","")&amp;"␟"&amp;IFERROR(INDEX(PASTE_ALL,$DF459,50)&amp;"","")&amp;"␟"&amp;IFERROR(INDEX(PASTE_ALL,$DF459,51)&amp;"","")&amp;"␟"&amp;IFERROR(INDEX(PASTE_ALL,$DF459,52)&amp;"","")&amp;"␟"&amp;IFERROR(INDEX(PASTE_ALL,$DF459,53)&amp;"","")&amp;"␟"&amp;IFERROR(INDEX(PASTE_ALL,$DF459,54)&amp;"","")&amp;"␟"&amp;IFERROR(INDEX(PASTE_ALL,$DF459,55)&amp;"","")&amp;"␟"&amp;IFERROR(INDEX(PASTE_ALL,$DF459,56)&amp;"","")&amp;"␟"&amp;IFERROR(INDEX(PASTE_ALL,$DF459,57)&amp;"","")&amp;"␟"&amp;IFERROR(INDEX(PASTE_ALL,$DF459,58)&amp;"","")&amp;"␟"&amp;IFERROR(INDEX(PASTE_ALL,$DF459,59)&amp;"","")&amp;"␟"&amp;IFERROR(INDEX(PASTE_ALL,$DF459,60)&amp;"","")," "," "),CHAR(9)," "),CHAR(10)," "),CHAR(13)," "))," ␟","␟"),"␟ ","␟"),"#"&amp;$DE459),"")</f>
        <v/>
      </c>
      <c r="DJ459">
        <f>IF($DI459="",0,IF(SUMPRODUCT(--EXACT($DI$4:DI458,$DI459))&gt;0,1,0))</f>
        <v/>
      </c>
      <c r="DK459">
        <f>IF(AND($DI459&lt;&gt;"",$DJ459=0),1,0)</f>
        <v/>
      </c>
      <c r="DL459">
        <f>DL458+$DK459</f>
        <v/>
      </c>
      <c r="DM459">
        <f>IF(AND($DK459=1,$DL459&lt;=600),1,0)</f>
        <v/>
      </c>
      <c r="DN459">
        <f>IF($DM459=0,"",IF($L$6=0,"",IFERROR(IF(ISNUMBER(INDEX(PASTE_ALL,$DF459,$L$6)),INDEX(PASTE_ALL,$DF459,$L$6),TRIM(SUBSTITUTE(SUBSTITUTE(SUBSTITUTE(SUBSTITUTE(INDEX(PASTE_ALL,$DF459,$L$6)," "," "),CHAR(9)," "),CHAR(10)," "),CHAR(13)," "))),"")))</f>
        <v/>
      </c>
      <c r="DO459">
        <f>IF($DM459=0,"",IF($L$7=0,"",IFERROR(IF(ISNUMBER(INDEX(PASTE_ALL,$DF459,$L$7)),INDEX(PASTE_ALL,$DF459,$L$7),TRIM(SUBSTITUTE(SUBSTITUTE(SUBSTITUTE(SUBSTITUTE(INDEX(PASTE_ALL,$DF459,$L$7)," "," "),CHAR(9)," "),CHAR(10)," "),CHAR(13)," "))),"")))</f>
        <v/>
      </c>
      <c r="DP459">
        <f>IF($DM459=0,"",IF($L$8=0,"",IFERROR(IF(ISNUMBER(INDEX(PASTE_ALL,$DF459,$L$8)),INDEX(PASTE_ALL,$DF459,$L$8),TRIM(SUBSTITUTE(SUBSTITUTE(SUBSTITUTE(SUBSTITUTE(INDEX(PASTE_ALL,$DF459,$L$8)," "," "),CHAR(9)," "),CHAR(10)," "),CHAR(13)," "))),"")))</f>
        <v/>
      </c>
      <c r="DQ459">
        <f>IF($DM459=0,"",IF($L$9=0,"",IFERROR(IF(ISNUMBER(INDEX(PASTE_ALL,$DF459,$L$9)),INDEX(PASTE_ALL,$DF459,$L$9),TRIM(SUBSTITUTE(SUBSTITUTE(SUBSTITUTE(SUBSTITUTE(INDEX(PASTE_ALL,$DF459,$L$9)," "," "),CHAR(9)," "),CHAR(10)," "),CHAR(13)," "))),"")))</f>
        <v/>
      </c>
      <c r="DR459">
        <f>IF($DM459=0,"",IF($L$10=0,"",IFERROR(IF(ISNUMBER(INDEX(PASTE_ALL,$DF459,$L$10)),INDEX(PASTE_ALL,$DF459,$L$10),TRIM(SUBSTITUTE(SUBSTITUTE(SUBSTITUTE(SUBSTITUTE(INDEX(PASTE_ALL,$DF459,$L$10)," "," "),CHAR(9)," "),CHAR(10)," "),CHAR(13)," "))),"")))</f>
        <v/>
      </c>
      <c r="DS459">
        <f>IF($DM459=0,"",IF($L$11=0,"",IFERROR(IF(ISNUMBER(INDEX(PASTE_ALL,$DF459,$L$11)),INDEX(PASTE_ALL,$DF459,$L$11),TRIM(SUBSTITUTE(SUBSTITUTE(SUBSTITUTE(SUBSTITUTE(INDEX(PASTE_ALL,$DF459,$L$11)," "," "),CHAR(9)," "),CHAR(10)," "),CHAR(13)," "))),"")))</f>
        <v/>
      </c>
      <c r="DT459">
        <f>IF($DM459=0,"",IF($L$12=0,"",IFERROR(IF(ISNUMBER(INDEX(PASTE_ALL,$DF459,$L$12)),INDEX(PASTE_ALL,$DF459,$L$12),TRIM(SUBSTITUTE(SUBSTITUTE(SUBSTITUTE(SUBSTITUTE(INDEX(PASTE_ALL,$DF459,$L$12)," "," "),CHAR(9)," "),CHAR(10)," "),CHAR(13)," "))),"")))</f>
        <v/>
      </c>
      <c r="DU459">
        <f>IF($DM459=0,"",IF($L$13=0,"",IFERROR(IF(ISNUMBER(INDEX(PASTE_ALL,$DF459,$L$13)),INDEX(PASTE_ALL,$DF459,$L$13),TRIM(SUBSTITUTE(SUBSTITUTE(SUBSTITUTE(SUBSTITUTE(INDEX(PASTE_ALL,$DF459,$L$13)," "," "),CHAR(9)," "),CHAR(10)," "),CHAR(13)," "))),"")))</f>
        <v/>
      </c>
      <c r="DV459">
        <f>IF($DM459=0,"",IF($L$14=0,"",IFERROR(IF(ISNUMBER(INDEX(PASTE_ALL,$DF459,$L$14)),INDEX(PASTE_ALL,$DF459,$L$14),TRIM(SUBSTITUTE(SUBSTITUTE(SUBSTITUTE(SUBSTITUTE(INDEX(PASTE_ALL,$DF459,$L$14)," "," "),CHAR(9)," "),CHAR(10)," "),CHAR(13)," "))),"")))</f>
        <v/>
      </c>
      <c r="DW459">
        <f>IF($DM459=0,"",IF($L$15=0,"",IFERROR(IF(ISNUMBER(INDEX(PASTE_ALL,$DF459,$L$15)),INDEX(PASTE_ALL,$DF459,$L$15),IF(SUMPRODUCT(--ISNUMBER(FIND({"A","B","C","D","E","F","G","H","I","J","K","L","M","N","O","P","Q","R","S","T","U","V","W","X","Y","Z","0","1","2","3","4","5","6","7","8","9"},UPPER(TRIM(SUBSTITUTE(SUBSTITUTE(SUBSTITUTE(SUBSTITUTE(INDEX(PASTE_ALL,$DF459,$L$15)," "," "),CHAR(9)," "),CHAR(10)," "),CHAR(13)," "))))))&gt;0,TRIM(SUBSTITUTE(SUBSTITUTE(SUBSTITUTE(SUBSTITUTE(INDEX(PASTE_ALL,$DF459,$L$15)," "," "),CHAR(9)," "),CHAR(10)," "),CHAR(13)," ")),"")),"")))</f>
        <v/>
      </c>
      <c r="DX459">
        <f>IF($DM459=0,"",IF($L$16=0,"",IFERROR(IF(ISNUMBER(INDEX(PASTE_ALL,$DF459,$L$16)),INDEX(PASTE_ALL,$DF459,$L$16),SUBSTITUTE(SUBSTITUTE(TRIM(SUBSTITUTE(SUBSTITUTE(SUBSTITUTE(SUBSTITUTE(INDEX(PASTE_ALL,$DF459,$L$16)," "," "),CHAR(9)," "),CHAR(10)," "),CHAR(13)," ")),",",""),"%","")),"")))</f>
        <v/>
      </c>
      <c r="DY459">
        <f>IF($DM459=0,"",IFERROR(IF(ISNUMBER($DX459),$DX459,IF($DX459="","",IF(TRIM($DX459)="",0,IF(AND(AND(SUBSTITUTE(SUBSTITUTE(SUBSTITUTE(SUBSTITUTE(SUBSTITUTE(SUBSTITUTE(SUBSTITUTE(SUBSTITUTE(SUBSTITUTE(SUBSTITUTE(SUBSTITUTE(SUBSTITUTE(SUBSTITUTE(SUBSTITUTE(UPPER(TRIM($DX459)),"0",""),"1",""),"2",""),"3",""),"4",""),"5",""),"6",""),"7",""),"8",""),"9",""),".",""),"+",""),"-",""),"E","")="",LEN(SUBSTITUTE(SUBSTITUTE(MID(UPPER(TRIM($DX459)),1+OR(LEFT(UPPER(TRIM($DX459)),1)="+",LEFT(UPPER(TRIM($DX459)),1)="-"),999),"E+","E"),"E-","E"))=LEN(SUBSTITUTE(SUBSTITUTE(SUBSTITUTE(SUBSTITUTE(MID(UPPER(TRIM($DX459)),1+OR(LEFT(UPPER(TRIM($DX459)),1)="+",LEFT(UPPER(TRIM($DX459)),1)="-"),999),"E+","E"),"E-","E"),"+",""),"-","")),LEN(UPPER(TRIM($DX459)))-LEN(SUBSTITUTE(UPPER(TRIM($DX459)),"E",""))&lt;2,LEN(UPPER(TRIM($DX459)))-LEN(SUBSTITUTE(UPPER(TRIM($DX459)),".",""))&lt;2,IFERROR(FIND(".",UPPER(TRIM($DX459))),0)&lt;IFERROR(FIND("E",UPPER(TRIM($DX459))),999)),ISNUMBER(VALUE(TRIM($DX459)))),VALUE(TRIM($DX459)),"")))),""))</f>
        <v/>
      </c>
      <c r="DZ459">
        <f>IF($DM459=0,"",IF($L$17=0,"",IFERROR(IF(ISNUMBER(INDEX(PASTE_ALL,$DF459,$L$17)),INDEX(PASTE_ALL,$DF459,$L$17),SUBSTITUTE(SUBSTITUTE(TRIM(SUBSTITUTE(SUBSTITUTE(SUBSTITUTE(SUBSTITUTE(INDEX(PASTE_ALL,$DF459,$L$17)," "," "),CHAR(9)," "),CHAR(10)," "),CHAR(13)," ")),",",""),"%","")),"")))</f>
        <v/>
      </c>
      <c r="EA459">
        <f>IF($DM459=0,"",IFERROR(IF(ISNUMBER($DZ459),$DZ459,IF($DZ459="","",IF(TRIM($DZ459)="",0,IF(AND(AND(SUBSTITUTE(SUBSTITUTE(SUBSTITUTE(SUBSTITUTE(SUBSTITUTE(SUBSTITUTE(SUBSTITUTE(SUBSTITUTE(SUBSTITUTE(SUBSTITUTE(SUBSTITUTE(SUBSTITUTE(SUBSTITUTE(SUBSTITUTE(UPPER(TRIM($DZ459)),"0",""),"1",""),"2",""),"3",""),"4",""),"5",""),"6",""),"7",""),"8",""),"9",""),".",""),"+",""),"-",""),"E","")="",LEN(SUBSTITUTE(SUBSTITUTE(MID(UPPER(TRIM($DZ459)),1+OR(LEFT(UPPER(TRIM($DZ459)),1)="+",LEFT(UPPER(TRIM($DZ459)),1)="-"),999),"E+","E"),"E-","E"))=LEN(SUBSTITUTE(SUBSTITUTE(SUBSTITUTE(SUBSTITUTE(MID(UPPER(TRIM($DZ459)),1+OR(LEFT(UPPER(TRIM($DZ459)),1)="+",LEFT(UPPER(TRIM($DZ459)),1)="-"),999),"E+","E"),"E-","E"),"+",""),"-","")),LEN(UPPER(TRIM($DZ459)))-LEN(SUBSTITUTE(UPPER(TRIM($DZ459)),"E",""))&lt;2,LEN(UPPER(TRIM($DZ459)))-LEN(SUBSTITUTE(UPPER(TRIM($DZ459)),".",""))&lt;2,IFERROR(FIND(".",UPPER(TRIM($DZ459))),0)&lt;IFERROR(FIND("E",UPPER(TRIM($DZ459))),999)),ISNUMBER(VALUE(TRIM($DZ459)))),VALUE(TRIM($DZ459)),"")))),""))</f>
        <v/>
      </c>
      <c r="EB459">
        <f>IF($DM459=0,"",IF($L$18=0,"",IFERROR(IF(UPPER(TRIM(SUBSTITUTE(SUBSTITUTE(SUBSTITUTE(SUBSTITUTE(INDEX(PASTE_ALL,$DF459,$L$18)," "," "),CHAR(9)," "),CHAR(10)," "),CHAR(13)," ")))="READY","Ready",IF(UPPER(TRIM(SUBSTITUTE(SUBSTITUTE(SUBSTITUTE(SUBSTITUTE(INDEX(PASTE_ALL,$DF459,$L$18)," "," "),CHAR(9)," "),CHAR(10)," "),CHAR(13)," ")))="PM","PM",IF(OR(UPPER(TRIM(SUBSTITUTE(SUBSTITUTE(SUBSTITUTE(SUBSTITUTE(INDEX(PASTE_ALL,$DF459,$L$18)," "," "),CHAR(9)," "),CHAR(10)," "),CHAR(13)," ")))="OT",UPPER(TRIM(SUBSTITUTE(SUBSTITUTE(SUBSTITUTE(SUBSTITUTE(INDEX(PASTE_ALL,$DF459,$L$18)," "," "),CHAR(9)," "),CHAR(10)," "),CHAR(13)," ")))="OVERTIME",UPPER(TRIM(SUBSTITUTE(SUBSTITUTE(SUBSTITUTE(SUBSTITUTE(INDEX(PASTE_ALL,$DF459,$L$18)," "," "),CHAR(9)," "),CHAR(10)," "),CHAR(13)," ")))="TRIAL"),"OT",TRIM(SUBSTITUTE(SUBSTITUTE(SUBSTITUTE(SUBSTITUTE(INDEX(PASTE_ALL,$DF459,$L$18)," "," "),CHAR(9)," "),CHAR(10)," "),CHAR(13)," "))))),"")))</f>
        <v/>
      </c>
      <c r="EC459">
        <f>IF($DM459=0,"",IF($L$19=0,"",IFERROR(IF(ISNUMBER(INDEX(PASTE_ALL,$DF459,$L$19)),INDEX(PASTE_ALL,$DF459,$L$19),TRIM(SUBSTITUTE(SUBSTITUTE(SUBSTITUTE(SUBSTITUTE(INDEX(PASTE_ALL,$DF459,$L$19)," "," "),CHAR(9)," "),CHAR(10)," "),CHAR(13)," "))),"")))</f>
        <v/>
      </c>
      <c r="ED459">
        <f>IF($DM459=0,"",MATCH(1,INDEX(EXACT($DH$5:DH459,$DH459)*$DM$5:DM459,0),0))</f>
        <v/>
      </c>
      <c r="EE459">
        <f>IF($DM459=0,0,IF($ED459=$DE459,1,0))</f>
        <v/>
      </c>
      <c r="EF459">
        <f>EF458+$EE459</f>
        <v/>
      </c>
      <c r="EG459">
        <f>IF($DM459=0,"",INDEX($EF$5:$EF$1003,$ED459))</f>
        <v/>
      </c>
      <c r="EH459">
        <f>IF($DM459=0,"",IF($DO459&lt;&gt;"","",IFERROR(LOOKUP(2,1/(($EG$4:EG458=$EG459)*($DO$4:DO458&lt;&gt;"")),$DO$4:DO458),"")))</f>
        <v/>
      </c>
      <c r="EI459">
        <f>IF($DM459=0,"",IF($DO459&lt;&gt;"",$DO459,$EH459))</f>
        <v/>
      </c>
      <c r="EJ459">
        <f>IF($DM459=0,"",IF($EI459="",0,IF(OR(ISNUMBER($EI459),AND(AND(SUBSTITUTE(SUBSTITUTE(SUBSTITUTE(SUBSTITUTE(SUBSTITUTE(SUBSTITUTE(SUBSTITUTE(SUBSTITUTE(SUBSTITUTE(SUBSTITUTE(SUBSTITUTE(SUBSTITUTE(SUBSTITUTE(SUBSTITUTE(UPPER($EI459),"0",""),"1",""),"2",""),"3",""),"4",""),"5",""),"6",""),"7",""),"8",""),"9",""),".",""),"+",""),"-",""),"E","")="",LEN(SUBSTITUTE(SUBSTITUTE(MID(UPPER($EI459),1+OR(LEFT(UPPER($EI459),1)="+",LEFT(UPPER($EI459),1)="-"),999),"E+","E"),"E-","E"))=LEN(SUBSTITUTE(SUBSTITUTE(SUBSTITUTE(SUBSTITUTE(MID(UPPER($EI459),1+OR(LEFT(UPPER($EI459),1)="+",LEFT(UPPER($EI459),1)="-"),999),"E+","E"),"E-","E"),"+",""),"-","")),LEN(UPPER($EI459))-LEN(SUBSTITUTE(UPPER($EI459),"E",""))&lt;2,LEN(UPPER($EI459))-LEN(SUBSTITUTE(UPPER($EI459),".",""))&lt;2,IFERROR(FIND(".",UPPER($EI459)),0)&lt;IFERROR(FIND("E",UPPER($EI459)),999)),ISNUMBER(VALUE($EI459)))),1,2)))</f>
        <v/>
      </c>
      <c r="EK459">
        <f>IF($DM459=0,"",IF($EJ459=1,IF(ISNUMBER($EI459),$EI459,VALUE($EI459)),IF($EJ459=2,$DE459,0)))</f>
        <v/>
      </c>
      <c r="EL459">
        <f>IF($DM459=0,"",COUNTIF($EG$5:$EG$1003,"&lt;"&amp;$EG459)+SUMPRODUCT(($EG$5:$EG$1003=$EG459)*(($EJ$5:$EJ$1003&lt;$EJ459)+($EJ$5:$EJ$1003=$EJ459)*(($EK$5:$EK$1003&lt;$EK459)+($EK$5:$EK$1003=$EK459)*($DE$5:$DE$1003&lt;$DE459))))+1)</f>
        <v/>
      </c>
      <c r="EM459">
        <f>IF($DM459=0,"",$EL459+$EG459-1)</f>
        <v/>
      </c>
      <c r="EN459">
        <f>IF($DM459=0,0,IFERROR(MATCH(1,INDEX(--(TRIM(SUBSTITUTE(SUBSTITUTE(SUBSTITUTE(SUBSTITUTE(LINES_NAME&amp;""," "," "),CHAR(9)," "),CHAR(10)," "),CHAR(13)," "))=$DH459),0),0),0))</f>
        <v/>
      </c>
      <c r="EO459">
        <f>IF($EN459=0,0,IF(OR(UPPER(TRIM(INDEX(LINES_SCHEDULED,$EN459)&amp;""))="YES",UPPER(TRIM(INDEX(LINES_SCHEDULED,$EN459)&amp;""))="Y",UPPER(TRIM(INDEX(LINES_SCHEDULED,$EN459)&amp;""))="X"),1,0))</f>
        <v/>
      </c>
      <c r="EP459">
        <f>IF($DM459=0,"",IF(COUNTIFS($EG$5:$EG$1003,$EG459,$EB$5:$EB$1003,"Ready")&gt;0,"READY",IF(COUNTIFS($EG$5:$EG$1003,$EG459,$EB$5:$EB$1003,"PM")&gt;0,"PM",IF(COUNTIFS($EG$5:$EG$1003,$EG459,$EB$5:$EB$1003,"OT")&gt;0,"OT",""))))</f>
        <v/>
      </c>
      <c r="EQ459">
        <f>IF($EN459=0,"",UPPER(TRIM(INDEX(LINES_STATUS,$EN459)&amp;"")))</f>
        <v/>
      </c>
      <c r="ER459">
        <f>IF($DM459=0,"",IF(OR($EQ459="READY",$EQ459="PM",$EQ459="OT"),$EQ459,$EP459))</f>
        <v/>
      </c>
      <c r="ES459">
        <f>IF($DM459=0,"",IF(AND($DV459&lt;&gt;"",UPPER($DV459)&lt;&gt;"N"),"allergen",IF(ISNUMBER(SEARCH("oil",$DQ459)),"oil",IF(OR(EXACT($DS459,"A662"),EXACT($DS459,"A624")),"bulk",""))))</f>
        <v/>
      </c>
      <c r="ET459">
        <f>IF($DM459=0,"",IF(OR($EA459="",$EA459=0),"",$EA459/100))</f>
        <v/>
      </c>
      <c r="EU459">
        <f>IF(OR($ET459="",$DY459=""),"",INT($DY459*(1-$ET459)+0.5))</f>
        <v/>
      </c>
      <c r="EW459" t="n">
        <v>455</v>
      </c>
      <c r="EX459">
        <f>IFERROR(MATCH($EW459,$EM$5:$EM$1003,0),0)</f>
        <v/>
      </c>
      <c r="EY459">
        <f>IF($EW459&gt;$B$12,"",IF($EX459&gt;0,"row","spacer"))</f>
        <v/>
      </c>
      <c r="EZ459">
        <f>IF(AND($EY459="row",$EY458&lt;&gt;"row"),1,0)</f>
        <v/>
      </c>
      <c r="FA459">
        <f>IF(AND($EY459="row",$EY460&lt;&gt;"row"),1,0)</f>
        <v/>
      </c>
      <c r="FB459">
        <f>IF($EZ459=1,IFERROR(IF(ISNUMBER(INDEX(PASTE_ALL,INDEX($DF$5:$DF$1003,$EX459),$B$37)),INDEX(PASTE_ALL,INDEX($DF$5:$DF$1003,$EX459),$B$37),INDEX($DH$5:$DH$1003,$EX459)),INDEX($DH$5:$DH$1003,$EX459)),"")</f>
        <v/>
      </c>
      <c r="FC459">
        <f>IF($EY459="row",INDEX($ER$5:$ER$1003,$EX459),"")</f>
        <v/>
      </c>
      <c r="FD459">
        <f>IF($EY459="row",INDEX($DN$5:$DN$1003,$EX459),"")</f>
        <v/>
      </c>
      <c r="FE459">
        <f>IF($EY459="row",INDEX($DO$5:$DO$1003,$EX459),"")</f>
        <v/>
      </c>
      <c r="FF459">
        <f>IF($EY459="row",INDEX($DP$5:$DP$1003,$EX459),"")</f>
        <v/>
      </c>
      <c r="FG459">
        <f>IF($EY459="row",INDEX($DQ$5:$DQ$1003,$EX459),"")</f>
        <v/>
      </c>
      <c r="FH459">
        <f>IF($EY459="row",INDEX($DR$5:$DR$1003,$EX459),"")</f>
        <v/>
      </c>
      <c r="FI459">
        <f>IF($EY459="row",INDEX($DS$5:$DS$1003,$EX459),"")</f>
        <v/>
      </c>
      <c r="FJ459">
        <f>IF($EY459="row",INDEX($DT$5:$DT$1003,$EX459),"")</f>
        <v/>
      </c>
      <c r="FK459">
        <f>IF($EY459="row",INDEX($DU$5:$DU$1003,$EX459),"")</f>
        <v/>
      </c>
      <c r="FL459">
        <f>IF($EY459="row",INDEX($DV$5:$DV$1003,$EX459),"")</f>
        <v/>
      </c>
      <c r="FM459">
        <f>IF($EY459="row",INDEX($DW$5:$DW$1003,$EX459),"")</f>
        <v/>
      </c>
      <c r="FN459">
        <f>IF($EY459="row",INDEX($DY$5:$DY$1003,$EX459),"")</f>
        <v/>
      </c>
      <c r="FO459">
        <f>IF($EY459="row",INDEX($EA$5:$EA$1003,$EX459),"")</f>
        <v/>
      </c>
      <c r="FP459">
        <f>IF($EY459="row",INDEX($EC$5:$EC$1003,$EX459),"")</f>
        <v/>
      </c>
      <c r="FQ459">
        <f>IF($EY459="row",INDEX($ET$5:$ET$1003,$EX459),"")</f>
        <v/>
      </c>
      <c r="FR459">
        <f>IF($EY459="row",INDEX($EU$5:$EU$1003,$EX459),"")</f>
        <v/>
      </c>
      <c r="FS459">
        <f>IF(AND($EY459="row",$EY458="row"),IF(OR(INDEX($DT$5:$DT$1003,$EX458)="",INDEX($DT$5:$DT$1003,$EX459)=""),"",IF(NOT(EXACT(INDEX($DT$5:$DT$1003,$EX458),INDEX($DT$5:$DT$1003,$EX459))),"S4",IF(NOT(EXACT(INDEX($DS$5:$DS$1003,$EX458),INDEX($DS$5:$DS$1003,$EX459))),"S3",IF(NOT(EXACT(INDEX($DR$5:$DR$1003,$EX458),INDEX($DR$5:$DR$1003,$EX459))),"S1 Count Change","S1")))),"")</f>
        <v/>
      </c>
      <c r="FT459">
        <f>IF($EY459="row",INDEX($ES$5:$ES$1003,$EX459),"")</f>
        <v/>
      </c>
      <c r="FU459">
        <f>IF($EY459="row",INDEX($EO$5:$EO$1003,$EX459),0)</f>
        <v/>
      </c>
      <c r="FV459">
        <f>IF($FS459="S1 Count Change",1,0)</f>
        <v/>
      </c>
    </row>
    <row r="460">
      <c r="DA460" t="n">
        <v>456</v>
      </c>
      <c r="DB460">
        <f>IF($B$37=0,"",IFERROR(TRIM(SUBSTITUTE(SUBSTITUTE(SUBSTITUTE(SUBSTITUTE(INDEX(PASTE_ALL,456,$B$37)," "," "),CHAR(9)," "),CHAR(10)," "),CHAR(13)," ")),""))</f>
        <v/>
      </c>
      <c r="DC460">
        <f>IF(AND(456&gt;HEADER_ROW,UPPER(DB460)="LEGEND"),1,0)</f>
        <v/>
      </c>
      <c r="DE460" t="n">
        <v>456</v>
      </c>
      <c r="DF460">
        <f>HEADER_ROW+$DE460</f>
        <v/>
      </c>
      <c r="DG460">
        <f>IF(AND($DF460&lt;=1000,$DF460&lt;$B$8),1,0)</f>
        <v/>
      </c>
      <c r="DH460">
        <f>IF($DG460=1,IFERROR(INDEX($DB$5:$DB$1004,$DF460),""),"")</f>
        <v/>
      </c>
      <c r="DI460">
        <f>IF(AND($DG460=1,$DH460&lt;&gt;""),IFERROR(SUBSTITUTE(SUBSTITUTE(TRIM(SUBSTITUTE(SUBSTITUTE(SUBSTITUTE(SUBSTITUTE(IFERROR(INDEX(PASTE_ALL,$DF460,1)&amp;"","")&amp;"␟"&amp;IFERROR(INDEX(PASTE_ALL,$DF460,2)&amp;"","")&amp;"␟"&amp;IFERROR(INDEX(PASTE_ALL,$DF460,3)&amp;"","")&amp;"␟"&amp;IFERROR(INDEX(PASTE_ALL,$DF460,4)&amp;"","")&amp;"␟"&amp;IFERROR(INDEX(PASTE_ALL,$DF460,5)&amp;"","")&amp;"␟"&amp;IFERROR(INDEX(PASTE_ALL,$DF460,6)&amp;"","")&amp;"␟"&amp;IFERROR(INDEX(PASTE_ALL,$DF460,7)&amp;"","")&amp;"␟"&amp;IFERROR(INDEX(PASTE_ALL,$DF460,8)&amp;"","")&amp;"␟"&amp;IFERROR(INDEX(PASTE_ALL,$DF460,9)&amp;"","")&amp;"␟"&amp;IFERROR(INDEX(PASTE_ALL,$DF460,10)&amp;"","")&amp;"␟"&amp;IFERROR(INDEX(PASTE_ALL,$DF460,11)&amp;"","")&amp;"␟"&amp;IFERROR(INDEX(PASTE_ALL,$DF460,12)&amp;"","")&amp;"␟"&amp;IFERROR(INDEX(PASTE_ALL,$DF460,13)&amp;"","")&amp;"␟"&amp;IFERROR(INDEX(PASTE_ALL,$DF460,14)&amp;"","")&amp;"␟"&amp;IFERROR(INDEX(PASTE_ALL,$DF460,15)&amp;"","")&amp;"␟"&amp;IFERROR(INDEX(PASTE_ALL,$DF460,16)&amp;"","")&amp;"␟"&amp;IFERROR(INDEX(PASTE_ALL,$DF460,17)&amp;"","")&amp;"␟"&amp;IFERROR(INDEX(PASTE_ALL,$DF460,18)&amp;"","")&amp;"␟"&amp;IFERROR(INDEX(PASTE_ALL,$DF460,19)&amp;"","")&amp;"␟"&amp;IFERROR(INDEX(PASTE_ALL,$DF460,20)&amp;"","")&amp;"␟"&amp;IFERROR(INDEX(PASTE_ALL,$DF460,21)&amp;"","")&amp;"␟"&amp;IFERROR(INDEX(PASTE_ALL,$DF460,22)&amp;"","")&amp;"␟"&amp;IFERROR(INDEX(PASTE_ALL,$DF460,23)&amp;"","")&amp;"␟"&amp;IFERROR(INDEX(PASTE_ALL,$DF460,24)&amp;"","")&amp;"␟"&amp;IFERROR(INDEX(PASTE_ALL,$DF460,25)&amp;"","")&amp;"␟"&amp;IFERROR(INDEX(PASTE_ALL,$DF460,26)&amp;"","")&amp;"␟"&amp;IFERROR(INDEX(PASTE_ALL,$DF460,27)&amp;"","")&amp;"␟"&amp;IFERROR(INDEX(PASTE_ALL,$DF460,28)&amp;"","")&amp;"␟"&amp;IFERROR(INDEX(PASTE_ALL,$DF460,29)&amp;"","")&amp;"␟"&amp;IFERROR(INDEX(PASTE_ALL,$DF460,30)&amp;"","")&amp;"␟"&amp;IFERROR(INDEX(PASTE_ALL,$DF460,31)&amp;"","")&amp;"␟"&amp;IFERROR(INDEX(PASTE_ALL,$DF460,32)&amp;"","")&amp;"␟"&amp;IFERROR(INDEX(PASTE_ALL,$DF460,33)&amp;"","")&amp;"␟"&amp;IFERROR(INDEX(PASTE_ALL,$DF460,34)&amp;"","")&amp;"␟"&amp;IFERROR(INDEX(PASTE_ALL,$DF460,35)&amp;"","")&amp;"␟"&amp;IFERROR(INDEX(PASTE_ALL,$DF460,36)&amp;"","")&amp;"␟"&amp;IFERROR(INDEX(PASTE_ALL,$DF460,37)&amp;"","")&amp;"␟"&amp;IFERROR(INDEX(PASTE_ALL,$DF460,38)&amp;"","")&amp;"␟"&amp;IFERROR(INDEX(PASTE_ALL,$DF460,39)&amp;"","")&amp;"␟"&amp;IFERROR(INDEX(PASTE_ALL,$DF460,40)&amp;"","")&amp;"␟"&amp;IFERROR(INDEX(PASTE_ALL,$DF460,41)&amp;"","")&amp;"␟"&amp;IFERROR(INDEX(PASTE_ALL,$DF460,42)&amp;"","")&amp;"␟"&amp;IFERROR(INDEX(PASTE_ALL,$DF460,43)&amp;"","")&amp;"␟"&amp;IFERROR(INDEX(PASTE_ALL,$DF460,44)&amp;"","")&amp;"␟"&amp;IFERROR(INDEX(PASTE_ALL,$DF460,45)&amp;"","")&amp;"␟"&amp;IFERROR(INDEX(PASTE_ALL,$DF460,46)&amp;"","")&amp;"␟"&amp;IFERROR(INDEX(PASTE_ALL,$DF460,47)&amp;"","")&amp;"␟"&amp;IFERROR(INDEX(PASTE_ALL,$DF460,48)&amp;"","")&amp;"␟"&amp;IFERROR(INDEX(PASTE_ALL,$DF460,49)&amp;"","")&amp;"␟"&amp;IFERROR(INDEX(PASTE_ALL,$DF460,50)&amp;"","")&amp;"␟"&amp;IFERROR(INDEX(PASTE_ALL,$DF460,51)&amp;"","")&amp;"␟"&amp;IFERROR(INDEX(PASTE_ALL,$DF460,52)&amp;"","")&amp;"␟"&amp;IFERROR(INDEX(PASTE_ALL,$DF460,53)&amp;"","")&amp;"␟"&amp;IFERROR(INDEX(PASTE_ALL,$DF460,54)&amp;"","")&amp;"␟"&amp;IFERROR(INDEX(PASTE_ALL,$DF460,55)&amp;"","")&amp;"␟"&amp;IFERROR(INDEX(PASTE_ALL,$DF460,56)&amp;"","")&amp;"␟"&amp;IFERROR(INDEX(PASTE_ALL,$DF460,57)&amp;"","")&amp;"␟"&amp;IFERROR(INDEX(PASTE_ALL,$DF460,58)&amp;"","")&amp;"␟"&amp;IFERROR(INDEX(PASTE_ALL,$DF460,59)&amp;"","")&amp;"␟"&amp;IFERROR(INDEX(PASTE_ALL,$DF460,60)&amp;"","")," "," "),CHAR(9)," "),CHAR(10)," "),CHAR(13)," "))," ␟","␟"),"␟ ","␟"),"#"&amp;$DE460),"")</f>
        <v/>
      </c>
      <c r="DJ460">
        <f>IF($DI460="",0,IF(SUMPRODUCT(--EXACT($DI$4:DI459,$DI460))&gt;0,1,0))</f>
        <v/>
      </c>
      <c r="DK460">
        <f>IF(AND($DI460&lt;&gt;"",$DJ460=0),1,0)</f>
        <v/>
      </c>
      <c r="DL460">
        <f>DL459+$DK460</f>
        <v/>
      </c>
      <c r="DM460">
        <f>IF(AND($DK460=1,$DL460&lt;=600),1,0)</f>
        <v/>
      </c>
      <c r="DN460">
        <f>IF($DM460=0,"",IF($L$6=0,"",IFERROR(IF(ISNUMBER(INDEX(PASTE_ALL,$DF460,$L$6)),INDEX(PASTE_ALL,$DF460,$L$6),TRIM(SUBSTITUTE(SUBSTITUTE(SUBSTITUTE(SUBSTITUTE(INDEX(PASTE_ALL,$DF460,$L$6)," "," "),CHAR(9)," "),CHAR(10)," "),CHAR(13)," "))),"")))</f>
        <v/>
      </c>
      <c r="DO460">
        <f>IF($DM460=0,"",IF($L$7=0,"",IFERROR(IF(ISNUMBER(INDEX(PASTE_ALL,$DF460,$L$7)),INDEX(PASTE_ALL,$DF460,$L$7),TRIM(SUBSTITUTE(SUBSTITUTE(SUBSTITUTE(SUBSTITUTE(INDEX(PASTE_ALL,$DF460,$L$7)," "," "),CHAR(9)," "),CHAR(10)," "),CHAR(13)," "))),"")))</f>
        <v/>
      </c>
      <c r="DP460">
        <f>IF($DM460=0,"",IF($L$8=0,"",IFERROR(IF(ISNUMBER(INDEX(PASTE_ALL,$DF460,$L$8)),INDEX(PASTE_ALL,$DF460,$L$8),TRIM(SUBSTITUTE(SUBSTITUTE(SUBSTITUTE(SUBSTITUTE(INDEX(PASTE_ALL,$DF460,$L$8)," "," "),CHAR(9)," "),CHAR(10)," "),CHAR(13)," "))),"")))</f>
        <v/>
      </c>
      <c r="DQ460">
        <f>IF($DM460=0,"",IF($L$9=0,"",IFERROR(IF(ISNUMBER(INDEX(PASTE_ALL,$DF460,$L$9)),INDEX(PASTE_ALL,$DF460,$L$9),TRIM(SUBSTITUTE(SUBSTITUTE(SUBSTITUTE(SUBSTITUTE(INDEX(PASTE_ALL,$DF460,$L$9)," "," "),CHAR(9)," "),CHAR(10)," "),CHAR(13)," "))),"")))</f>
        <v/>
      </c>
      <c r="DR460">
        <f>IF($DM460=0,"",IF($L$10=0,"",IFERROR(IF(ISNUMBER(INDEX(PASTE_ALL,$DF460,$L$10)),INDEX(PASTE_ALL,$DF460,$L$10),TRIM(SUBSTITUTE(SUBSTITUTE(SUBSTITUTE(SUBSTITUTE(INDEX(PASTE_ALL,$DF460,$L$10)," "," "),CHAR(9)," "),CHAR(10)," "),CHAR(13)," "))),"")))</f>
        <v/>
      </c>
      <c r="DS460">
        <f>IF($DM460=0,"",IF($L$11=0,"",IFERROR(IF(ISNUMBER(INDEX(PASTE_ALL,$DF460,$L$11)),INDEX(PASTE_ALL,$DF460,$L$11),TRIM(SUBSTITUTE(SUBSTITUTE(SUBSTITUTE(SUBSTITUTE(INDEX(PASTE_ALL,$DF460,$L$11)," "," "),CHAR(9)," "),CHAR(10)," "),CHAR(13)," "))),"")))</f>
        <v/>
      </c>
      <c r="DT460">
        <f>IF($DM460=0,"",IF($L$12=0,"",IFERROR(IF(ISNUMBER(INDEX(PASTE_ALL,$DF460,$L$12)),INDEX(PASTE_ALL,$DF460,$L$12),TRIM(SUBSTITUTE(SUBSTITUTE(SUBSTITUTE(SUBSTITUTE(INDEX(PASTE_ALL,$DF460,$L$12)," "," "),CHAR(9)," "),CHAR(10)," "),CHAR(13)," "))),"")))</f>
        <v/>
      </c>
      <c r="DU460">
        <f>IF($DM460=0,"",IF($L$13=0,"",IFERROR(IF(ISNUMBER(INDEX(PASTE_ALL,$DF460,$L$13)),INDEX(PASTE_ALL,$DF460,$L$13),TRIM(SUBSTITUTE(SUBSTITUTE(SUBSTITUTE(SUBSTITUTE(INDEX(PASTE_ALL,$DF460,$L$13)," "," "),CHAR(9)," "),CHAR(10)," "),CHAR(13)," "))),"")))</f>
        <v/>
      </c>
      <c r="DV460">
        <f>IF($DM460=0,"",IF($L$14=0,"",IFERROR(IF(ISNUMBER(INDEX(PASTE_ALL,$DF460,$L$14)),INDEX(PASTE_ALL,$DF460,$L$14),TRIM(SUBSTITUTE(SUBSTITUTE(SUBSTITUTE(SUBSTITUTE(INDEX(PASTE_ALL,$DF460,$L$14)," "," "),CHAR(9)," "),CHAR(10)," "),CHAR(13)," "))),"")))</f>
        <v/>
      </c>
      <c r="DW460">
        <f>IF($DM460=0,"",IF($L$15=0,"",IFERROR(IF(ISNUMBER(INDEX(PASTE_ALL,$DF460,$L$15)),INDEX(PASTE_ALL,$DF460,$L$15),IF(SUMPRODUCT(--ISNUMBER(FIND({"A","B","C","D","E","F","G","H","I","J","K","L","M","N","O","P","Q","R","S","T","U","V","W","X","Y","Z","0","1","2","3","4","5","6","7","8","9"},UPPER(TRIM(SUBSTITUTE(SUBSTITUTE(SUBSTITUTE(SUBSTITUTE(INDEX(PASTE_ALL,$DF460,$L$15)," "," "),CHAR(9)," "),CHAR(10)," "),CHAR(13)," "))))))&gt;0,TRIM(SUBSTITUTE(SUBSTITUTE(SUBSTITUTE(SUBSTITUTE(INDEX(PASTE_ALL,$DF460,$L$15)," "," "),CHAR(9)," "),CHAR(10)," "),CHAR(13)," ")),"")),"")))</f>
        <v/>
      </c>
      <c r="DX460">
        <f>IF($DM460=0,"",IF($L$16=0,"",IFERROR(IF(ISNUMBER(INDEX(PASTE_ALL,$DF460,$L$16)),INDEX(PASTE_ALL,$DF460,$L$16),SUBSTITUTE(SUBSTITUTE(TRIM(SUBSTITUTE(SUBSTITUTE(SUBSTITUTE(SUBSTITUTE(INDEX(PASTE_ALL,$DF460,$L$16)," "," "),CHAR(9)," "),CHAR(10)," "),CHAR(13)," ")),",",""),"%","")),"")))</f>
        <v/>
      </c>
      <c r="DY460">
        <f>IF($DM460=0,"",IFERROR(IF(ISNUMBER($DX460),$DX460,IF($DX460="","",IF(TRIM($DX460)="",0,IF(AND(AND(SUBSTITUTE(SUBSTITUTE(SUBSTITUTE(SUBSTITUTE(SUBSTITUTE(SUBSTITUTE(SUBSTITUTE(SUBSTITUTE(SUBSTITUTE(SUBSTITUTE(SUBSTITUTE(SUBSTITUTE(SUBSTITUTE(SUBSTITUTE(UPPER(TRIM($DX460)),"0",""),"1",""),"2",""),"3",""),"4",""),"5",""),"6",""),"7",""),"8",""),"9",""),".",""),"+",""),"-",""),"E","")="",LEN(SUBSTITUTE(SUBSTITUTE(MID(UPPER(TRIM($DX460)),1+OR(LEFT(UPPER(TRIM($DX460)),1)="+",LEFT(UPPER(TRIM($DX460)),1)="-"),999),"E+","E"),"E-","E"))=LEN(SUBSTITUTE(SUBSTITUTE(SUBSTITUTE(SUBSTITUTE(MID(UPPER(TRIM($DX460)),1+OR(LEFT(UPPER(TRIM($DX460)),1)="+",LEFT(UPPER(TRIM($DX460)),1)="-"),999),"E+","E"),"E-","E"),"+",""),"-","")),LEN(UPPER(TRIM($DX460)))-LEN(SUBSTITUTE(UPPER(TRIM($DX460)),"E",""))&lt;2,LEN(UPPER(TRIM($DX460)))-LEN(SUBSTITUTE(UPPER(TRIM($DX460)),".",""))&lt;2,IFERROR(FIND(".",UPPER(TRIM($DX460))),0)&lt;IFERROR(FIND("E",UPPER(TRIM($DX460))),999)),ISNUMBER(VALUE(TRIM($DX460)))),VALUE(TRIM($DX460)),"")))),""))</f>
        <v/>
      </c>
      <c r="DZ460">
        <f>IF($DM460=0,"",IF($L$17=0,"",IFERROR(IF(ISNUMBER(INDEX(PASTE_ALL,$DF460,$L$17)),INDEX(PASTE_ALL,$DF460,$L$17),SUBSTITUTE(SUBSTITUTE(TRIM(SUBSTITUTE(SUBSTITUTE(SUBSTITUTE(SUBSTITUTE(INDEX(PASTE_ALL,$DF460,$L$17)," "," "),CHAR(9)," "),CHAR(10)," "),CHAR(13)," ")),",",""),"%","")),"")))</f>
        <v/>
      </c>
      <c r="EA460">
        <f>IF($DM460=0,"",IFERROR(IF(ISNUMBER($DZ460),$DZ460,IF($DZ460="","",IF(TRIM($DZ460)="",0,IF(AND(AND(SUBSTITUTE(SUBSTITUTE(SUBSTITUTE(SUBSTITUTE(SUBSTITUTE(SUBSTITUTE(SUBSTITUTE(SUBSTITUTE(SUBSTITUTE(SUBSTITUTE(SUBSTITUTE(SUBSTITUTE(SUBSTITUTE(SUBSTITUTE(UPPER(TRIM($DZ460)),"0",""),"1",""),"2",""),"3",""),"4",""),"5",""),"6",""),"7",""),"8",""),"9",""),".",""),"+",""),"-",""),"E","")="",LEN(SUBSTITUTE(SUBSTITUTE(MID(UPPER(TRIM($DZ460)),1+OR(LEFT(UPPER(TRIM($DZ460)),1)="+",LEFT(UPPER(TRIM($DZ460)),1)="-"),999),"E+","E"),"E-","E"))=LEN(SUBSTITUTE(SUBSTITUTE(SUBSTITUTE(SUBSTITUTE(MID(UPPER(TRIM($DZ460)),1+OR(LEFT(UPPER(TRIM($DZ460)),1)="+",LEFT(UPPER(TRIM($DZ460)),1)="-"),999),"E+","E"),"E-","E"),"+",""),"-","")),LEN(UPPER(TRIM($DZ460)))-LEN(SUBSTITUTE(UPPER(TRIM($DZ460)),"E",""))&lt;2,LEN(UPPER(TRIM($DZ460)))-LEN(SUBSTITUTE(UPPER(TRIM($DZ460)),".",""))&lt;2,IFERROR(FIND(".",UPPER(TRIM($DZ460))),0)&lt;IFERROR(FIND("E",UPPER(TRIM($DZ460))),999)),ISNUMBER(VALUE(TRIM($DZ460)))),VALUE(TRIM($DZ460)),"")))),""))</f>
        <v/>
      </c>
      <c r="EB460">
        <f>IF($DM460=0,"",IF($L$18=0,"",IFERROR(IF(UPPER(TRIM(SUBSTITUTE(SUBSTITUTE(SUBSTITUTE(SUBSTITUTE(INDEX(PASTE_ALL,$DF460,$L$18)," "," "),CHAR(9)," "),CHAR(10)," "),CHAR(13)," ")))="READY","Ready",IF(UPPER(TRIM(SUBSTITUTE(SUBSTITUTE(SUBSTITUTE(SUBSTITUTE(INDEX(PASTE_ALL,$DF460,$L$18)," "," "),CHAR(9)," "),CHAR(10)," "),CHAR(13)," ")))="PM","PM",IF(OR(UPPER(TRIM(SUBSTITUTE(SUBSTITUTE(SUBSTITUTE(SUBSTITUTE(INDEX(PASTE_ALL,$DF460,$L$18)," "," "),CHAR(9)," "),CHAR(10)," "),CHAR(13)," ")))="OT",UPPER(TRIM(SUBSTITUTE(SUBSTITUTE(SUBSTITUTE(SUBSTITUTE(INDEX(PASTE_ALL,$DF460,$L$18)," "," "),CHAR(9)," "),CHAR(10)," "),CHAR(13)," ")))="OVERTIME",UPPER(TRIM(SUBSTITUTE(SUBSTITUTE(SUBSTITUTE(SUBSTITUTE(INDEX(PASTE_ALL,$DF460,$L$18)," "," "),CHAR(9)," "),CHAR(10)," "),CHAR(13)," ")))="TRIAL"),"OT",TRIM(SUBSTITUTE(SUBSTITUTE(SUBSTITUTE(SUBSTITUTE(INDEX(PASTE_ALL,$DF460,$L$18)," "," "),CHAR(9)," "),CHAR(10)," "),CHAR(13)," "))))),"")))</f>
        <v/>
      </c>
      <c r="EC460">
        <f>IF($DM460=0,"",IF($L$19=0,"",IFERROR(IF(ISNUMBER(INDEX(PASTE_ALL,$DF460,$L$19)),INDEX(PASTE_ALL,$DF460,$L$19),TRIM(SUBSTITUTE(SUBSTITUTE(SUBSTITUTE(SUBSTITUTE(INDEX(PASTE_ALL,$DF460,$L$19)," "," "),CHAR(9)," "),CHAR(10)," "),CHAR(13)," "))),"")))</f>
        <v/>
      </c>
      <c r="ED460">
        <f>IF($DM460=0,"",MATCH(1,INDEX(EXACT($DH$5:DH460,$DH460)*$DM$5:DM460,0),0))</f>
        <v/>
      </c>
      <c r="EE460">
        <f>IF($DM460=0,0,IF($ED460=$DE460,1,0))</f>
        <v/>
      </c>
      <c r="EF460">
        <f>EF459+$EE460</f>
        <v/>
      </c>
      <c r="EG460">
        <f>IF($DM460=0,"",INDEX($EF$5:$EF$1003,$ED460))</f>
        <v/>
      </c>
      <c r="EH460">
        <f>IF($DM460=0,"",IF($DO460&lt;&gt;"","",IFERROR(LOOKUP(2,1/(($EG$4:EG459=$EG460)*($DO$4:DO459&lt;&gt;"")),$DO$4:DO459),"")))</f>
        <v/>
      </c>
      <c r="EI460">
        <f>IF($DM460=0,"",IF($DO460&lt;&gt;"",$DO460,$EH460))</f>
        <v/>
      </c>
      <c r="EJ460">
        <f>IF($DM460=0,"",IF($EI460="",0,IF(OR(ISNUMBER($EI460),AND(AND(SUBSTITUTE(SUBSTITUTE(SUBSTITUTE(SUBSTITUTE(SUBSTITUTE(SUBSTITUTE(SUBSTITUTE(SUBSTITUTE(SUBSTITUTE(SUBSTITUTE(SUBSTITUTE(SUBSTITUTE(SUBSTITUTE(SUBSTITUTE(UPPER($EI460),"0",""),"1",""),"2",""),"3",""),"4",""),"5",""),"6",""),"7",""),"8",""),"9",""),".",""),"+",""),"-",""),"E","")="",LEN(SUBSTITUTE(SUBSTITUTE(MID(UPPER($EI460),1+OR(LEFT(UPPER($EI460),1)="+",LEFT(UPPER($EI460),1)="-"),999),"E+","E"),"E-","E"))=LEN(SUBSTITUTE(SUBSTITUTE(SUBSTITUTE(SUBSTITUTE(MID(UPPER($EI460),1+OR(LEFT(UPPER($EI460),1)="+",LEFT(UPPER($EI460),1)="-"),999),"E+","E"),"E-","E"),"+",""),"-","")),LEN(UPPER($EI460))-LEN(SUBSTITUTE(UPPER($EI460),"E",""))&lt;2,LEN(UPPER($EI460))-LEN(SUBSTITUTE(UPPER($EI460),".",""))&lt;2,IFERROR(FIND(".",UPPER($EI460)),0)&lt;IFERROR(FIND("E",UPPER($EI460)),999)),ISNUMBER(VALUE($EI460)))),1,2)))</f>
        <v/>
      </c>
      <c r="EK460">
        <f>IF($DM460=0,"",IF($EJ460=1,IF(ISNUMBER($EI460),$EI460,VALUE($EI460)),IF($EJ460=2,$DE460,0)))</f>
        <v/>
      </c>
      <c r="EL460">
        <f>IF($DM460=0,"",COUNTIF($EG$5:$EG$1003,"&lt;"&amp;$EG460)+SUMPRODUCT(($EG$5:$EG$1003=$EG460)*(($EJ$5:$EJ$1003&lt;$EJ460)+($EJ$5:$EJ$1003=$EJ460)*(($EK$5:$EK$1003&lt;$EK460)+($EK$5:$EK$1003=$EK460)*($DE$5:$DE$1003&lt;$DE460))))+1)</f>
        <v/>
      </c>
      <c r="EM460">
        <f>IF($DM460=0,"",$EL460+$EG460-1)</f>
        <v/>
      </c>
      <c r="EN460">
        <f>IF($DM460=0,0,IFERROR(MATCH(1,INDEX(--(TRIM(SUBSTITUTE(SUBSTITUTE(SUBSTITUTE(SUBSTITUTE(LINES_NAME&amp;""," "," "),CHAR(9)," "),CHAR(10)," "),CHAR(13)," "))=$DH460),0),0),0))</f>
        <v/>
      </c>
      <c r="EO460">
        <f>IF($EN460=0,0,IF(OR(UPPER(TRIM(INDEX(LINES_SCHEDULED,$EN460)&amp;""))="YES",UPPER(TRIM(INDEX(LINES_SCHEDULED,$EN460)&amp;""))="Y",UPPER(TRIM(INDEX(LINES_SCHEDULED,$EN460)&amp;""))="X"),1,0))</f>
        <v/>
      </c>
      <c r="EP460">
        <f>IF($DM460=0,"",IF(COUNTIFS($EG$5:$EG$1003,$EG460,$EB$5:$EB$1003,"Ready")&gt;0,"READY",IF(COUNTIFS($EG$5:$EG$1003,$EG460,$EB$5:$EB$1003,"PM")&gt;0,"PM",IF(COUNTIFS($EG$5:$EG$1003,$EG460,$EB$5:$EB$1003,"OT")&gt;0,"OT",""))))</f>
        <v/>
      </c>
      <c r="EQ460">
        <f>IF($EN460=0,"",UPPER(TRIM(INDEX(LINES_STATUS,$EN460)&amp;"")))</f>
        <v/>
      </c>
      <c r="ER460">
        <f>IF($DM460=0,"",IF(OR($EQ460="READY",$EQ460="PM",$EQ460="OT"),$EQ460,$EP460))</f>
        <v/>
      </c>
      <c r="ES460">
        <f>IF($DM460=0,"",IF(AND($DV460&lt;&gt;"",UPPER($DV460)&lt;&gt;"N"),"allergen",IF(ISNUMBER(SEARCH("oil",$DQ460)),"oil",IF(OR(EXACT($DS460,"A662"),EXACT($DS460,"A624")),"bulk",""))))</f>
        <v/>
      </c>
      <c r="ET460">
        <f>IF($DM460=0,"",IF(OR($EA460="",$EA460=0),"",$EA460/100))</f>
        <v/>
      </c>
      <c r="EU460">
        <f>IF(OR($ET460="",$DY460=""),"",INT($DY460*(1-$ET460)+0.5))</f>
        <v/>
      </c>
      <c r="EW460" t="n">
        <v>456</v>
      </c>
      <c r="EX460">
        <f>IFERROR(MATCH($EW460,$EM$5:$EM$1003,0),0)</f>
        <v/>
      </c>
      <c r="EY460">
        <f>IF($EW460&gt;$B$12,"",IF($EX460&gt;0,"row","spacer"))</f>
        <v/>
      </c>
      <c r="EZ460">
        <f>IF(AND($EY460="row",$EY459&lt;&gt;"row"),1,0)</f>
        <v/>
      </c>
      <c r="FA460">
        <f>IF(AND($EY460="row",$EY461&lt;&gt;"row"),1,0)</f>
        <v/>
      </c>
      <c r="FB460">
        <f>IF($EZ460=1,IFERROR(IF(ISNUMBER(INDEX(PASTE_ALL,INDEX($DF$5:$DF$1003,$EX460),$B$37)),INDEX(PASTE_ALL,INDEX($DF$5:$DF$1003,$EX460),$B$37),INDEX($DH$5:$DH$1003,$EX460)),INDEX($DH$5:$DH$1003,$EX460)),"")</f>
        <v/>
      </c>
      <c r="FC460">
        <f>IF($EY460="row",INDEX($ER$5:$ER$1003,$EX460),"")</f>
        <v/>
      </c>
      <c r="FD460">
        <f>IF($EY460="row",INDEX($DN$5:$DN$1003,$EX460),"")</f>
        <v/>
      </c>
      <c r="FE460">
        <f>IF($EY460="row",INDEX($DO$5:$DO$1003,$EX460),"")</f>
        <v/>
      </c>
      <c r="FF460">
        <f>IF($EY460="row",INDEX($DP$5:$DP$1003,$EX460),"")</f>
        <v/>
      </c>
      <c r="FG460">
        <f>IF($EY460="row",INDEX($DQ$5:$DQ$1003,$EX460),"")</f>
        <v/>
      </c>
      <c r="FH460">
        <f>IF($EY460="row",INDEX($DR$5:$DR$1003,$EX460),"")</f>
        <v/>
      </c>
      <c r="FI460">
        <f>IF($EY460="row",INDEX($DS$5:$DS$1003,$EX460),"")</f>
        <v/>
      </c>
      <c r="FJ460">
        <f>IF($EY460="row",INDEX($DT$5:$DT$1003,$EX460),"")</f>
        <v/>
      </c>
      <c r="FK460">
        <f>IF($EY460="row",INDEX($DU$5:$DU$1003,$EX460),"")</f>
        <v/>
      </c>
      <c r="FL460">
        <f>IF($EY460="row",INDEX($DV$5:$DV$1003,$EX460),"")</f>
        <v/>
      </c>
      <c r="FM460">
        <f>IF($EY460="row",INDEX($DW$5:$DW$1003,$EX460),"")</f>
        <v/>
      </c>
      <c r="FN460">
        <f>IF($EY460="row",INDEX($DY$5:$DY$1003,$EX460),"")</f>
        <v/>
      </c>
      <c r="FO460">
        <f>IF($EY460="row",INDEX($EA$5:$EA$1003,$EX460),"")</f>
        <v/>
      </c>
      <c r="FP460">
        <f>IF($EY460="row",INDEX($EC$5:$EC$1003,$EX460),"")</f>
        <v/>
      </c>
      <c r="FQ460">
        <f>IF($EY460="row",INDEX($ET$5:$ET$1003,$EX460),"")</f>
        <v/>
      </c>
      <c r="FR460">
        <f>IF($EY460="row",INDEX($EU$5:$EU$1003,$EX460),"")</f>
        <v/>
      </c>
      <c r="FS460">
        <f>IF(AND($EY460="row",$EY459="row"),IF(OR(INDEX($DT$5:$DT$1003,$EX459)="",INDEX($DT$5:$DT$1003,$EX460)=""),"",IF(NOT(EXACT(INDEX($DT$5:$DT$1003,$EX459),INDEX($DT$5:$DT$1003,$EX460))),"S4",IF(NOT(EXACT(INDEX($DS$5:$DS$1003,$EX459),INDEX($DS$5:$DS$1003,$EX460))),"S3",IF(NOT(EXACT(INDEX($DR$5:$DR$1003,$EX459),INDEX($DR$5:$DR$1003,$EX460))),"S1 Count Change","S1")))),"")</f>
        <v/>
      </c>
      <c r="FT460">
        <f>IF($EY460="row",INDEX($ES$5:$ES$1003,$EX460),"")</f>
        <v/>
      </c>
      <c r="FU460">
        <f>IF($EY460="row",INDEX($EO$5:$EO$1003,$EX460),0)</f>
        <v/>
      </c>
      <c r="FV460">
        <f>IF($FS460="S1 Count Change",1,0)</f>
        <v/>
      </c>
    </row>
    <row r="461">
      <c r="DA461" t="n">
        <v>457</v>
      </c>
      <c r="DB461">
        <f>IF($B$37=0,"",IFERROR(TRIM(SUBSTITUTE(SUBSTITUTE(SUBSTITUTE(SUBSTITUTE(INDEX(PASTE_ALL,457,$B$37)," "," "),CHAR(9)," "),CHAR(10)," "),CHAR(13)," ")),""))</f>
        <v/>
      </c>
      <c r="DC461">
        <f>IF(AND(457&gt;HEADER_ROW,UPPER(DB461)="LEGEND"),1,0)</f>
        <v/>
      </c>
      <c r="DE461" t="n">
        <v>457</v>
      </c>
      <c r="DF461">
        <f>HEADER_ROW+$DE461</f>
        <v/>
      </c>
      <c r="DG461">
        <f>IF(AND($DF461&lt;=1000,$DF461&lt;$B$8),1,0)</f>
        <v/>
      </c>
      <c r="DH461">
        <f>IF($DG461=1,IFERROR(INDEX($DB$5:$DB$1004,$DF461),""),"")</f>
        <v/>
      </c>
      <c r="DI461">
        <f>IF(AND($DG461=1,$DH461&lt;&gt;""),IFERROR(SUBSTITUTE(SUBSTITUTE(TRIM(SUBSTITUTE(SUBSTITUTE(SUBSTITUTE(SUBSTITUTE(IFERROR(INDEX(PASTE_ALL,$DF461,1)&amp;"","")&amp;"␟"&amp;IFERROR(INDEX(PASTE_ALL,$DF461,2)&amp;"","")&amp;"␟"&amp;IFERROR(INDEX(PASTE_ALL,$DF461,3)&amp;"","")&amp;"␟"&amp;IFERROR(INDEX(PASTE_ALL,$DF461,4)&amp;"","")&amp;"␟"&amp;IFERROR(INDEX(PASTE_ALL,$DF461,5)&amp;"","")&amp;"␟"&amp;IFERROR(INDEX(PASTE_ALL,$DF461,6)&amp;"","")&amp;"␟"&amp;IFERROR(INDEX(PASTE_ALL,$DF461,7)&amp;"","")&amp;"␟"&amp;IFERROR(INDEX(PASTE_ALL,$DF461,8)&amp;"","")&amp;"␟"&amp;IFERROR(INDEX(PASTE_ALL,$DF461,9)&amp;"","")&amp;"␟"&amp;IFERROR(INDEX(PASTE_ALL,$DF461,10)&amp;"","")&amp;"␟"&amp;IFERROR(INDEX(PASTE_ALL,$DF461,11)&amp;"","")&amp;"␟"&amp;IFERROR(INDEX(PASTE_ALL,$DF461,12)&amp;"","")&amp;"␟"&amp;IFERROR(INDEX(PASTE_ALL,$DF461,13)&amp;"","")&amp;"␟"&amp;IFERROR(INDEX(PASTE_ALL,$DF461,14)&amp;"","")&amp;"␟"&amp;IFERROR(INDEX(PASTE_ALL,$DF461,15)&amp;"","")&amp;"␟"&amp;IFERROR(INDEX(PASTE_ALL,$DF461,16)&amp;"","")&amp;"␟"&amp;IFERROR(INDEX(PASTE_ALL,$DF461,17)&amp;"","")&amp;"␟"&amp;IFERROR(INDEX(PASTE_ALL,$DF461,18)&amp;"","")&amp;"␟"&amp;IFERROR(INDEX(PASTE_ALL,$DF461,19)&amp;"","")&amp;"␟"&amp;IFERROR(INDEX(PASTE_ALL,$DF461,20)&amp;"","")&amp;"␟"&amp;IFERROR(INDEX(PASTE_ALL,$DF461,21)&amp;"","")&amp;"␟"&amp;IFERROR(INDEX(PASTE_ALL,$DF461,22)&amp;"","")&amp;"␟"&amp;IFERROR(INDEX(PASTE_ALL,$DF461,23)&amp;"","")&amp;"␟"&amp;IFERROR(INDEX(PASTE_ALL,$DF461,24)&amp;"","")&amp;"␟"&amp;IFERROR(INDEX(PASTE_ALL,$DF461,25)&amp;"","")&amp;"␟"&amp;IFERROR(INDEX(PASTE_ALL,$DF461,26)&amp;"","")&amp;"␟"&amp;IFERROR(INDEX(PASTE_ALL,$DF461,27)&amp;"","")&amp;"␟"&amp;IFERROR(INDEX(PASTE_ALL,$DF461,28)&amp;"","")&amp;"␟"&amp;IFERROR(INDEX(PASTE_ALL,$DF461,29)&amp;"","")&amp;"␟"&amp;IFERROR(INDEX(PASTE_ALL,$DF461,30)&amp;"","")&amp;"␟"&amp;IFERROR(INDEX(PASTE_ALL,$DF461,31)&amp;"","")&amp;"␟"&amp;IFERROR(INDEX(PASTE_ALL,$DF461,32)&amp;"","")&amp;"␟"&amp;IFERROR(INDEX(PASTE_ALL,$DF461,33)&amp;"","")&amp;"␟"&amp;IFERROR(INDEX(PASTE_ALL,$DF461,34)&amp;"","")&amp;"␟"&amp;IFERROR(INDEX(PASTE_ALL,$DF461,35)&amp;"","")&amp;"␟"&amp;IFERROR(INDEX(PASTE_ALL,$DF461,36)&amp;"","")&amp;"␟"&amp;IFERROR(INDEX(PASTE_ALL,$DF461,37)&amp;"","")&amp;"␟"&amp;IFERROR(INDEX(PASTE_ALL,$DF461,38)&amp;"","")&amp;"␟"&amp;IFERROR(INDEX(PASTE_ALL,$DF461,39)&amp;"","")&amp;"␟"&amp;IFERROR(INDEX(PASTE_ALL,$DF461,40)&amp;"","")&amp;"␟"&amp;IFERROR(INDEX(PASTE_ALL,$DF461,41)&amp;"","")&amp;"␟"&amp;IFERROR(INDEX(PASTE_ALL,$DF461,42)&amp;"","")&amp;"␟"&amp;IFERROR(INDEX(PASTE_ALL,$DF461,43)&amp;"","")&amp;"␟"&amp;IFERROR(INDEX(PASTE_ALL,$DF461,44)&amp;"","")&amp;"␟"&amp;IFERROR(INDEX(PASTE_ALL,$DF461,45)&amp;"","")&amp;"␟"&amp;IFERROR(INDEX(PASTE_ALL,$DF461,46)&amp;"","")&amp;"␟"&amp;IFERROR(INDEX(PASTE_ALL,$DF461,47)&amp;"","")&amp;"␟"&amp;IFERROR(INDEX(PASTE_ALL,$DF461,48)&amp;"","")&amp;"␟"&amp;IFERROR(INDEX(PASTE_ALL,$DF461,49)&amp;"","")&amp;"␟"&amp;IFERROR(INDEX(PASTE_ALL,$DF461,50)&amp;"","")&amp;"␟"&amp;IFERROR(INDEX(PASTE_ALL,$DF461,51)&amp;"","")&amp;"␟"&amp;IFERROR(INDEX(PASTE_ALL,$DF461,52)&amp;"","")&amp;"␟"&amp;IFERROR(INDEX(PASTE_ALL,$DF461,53)&amp;"","")&amp;"␟"&amp;IFERROR(INDEX(PASTE_ALL,$DF461,54)&amp;"","")&amp;"␟"&amp;IFERROR(INDEX(PASTE_ALL,$DF461,55)&amp;"","")&amp;"␟"&amp;IFERROR(INDEX(PASTE_ALL,$DF461,56)&amp;"","")&amp;"␟"&amp;IFERROR(INDEX(PASTE_ALL,$DF461,57)&amp;"","")&amp;"␟"&amp;IFERROR(INDEX(PASTE_ALL,$DF461,58)&amp;"","")&amp;"␟"&amp;IFERROR(INDEX(PASTE_ALL,$DF461,59)&amp;"","")&amp;"␟"&amp;IFERROR(INDEX(PASTE_ALL,$DF461,60)&amp;"","")," "," "),CHAR(9)," "),CHAR(10)," "),CHAR(13)," "))," ␟","␟"),"␟ ","␟"),"#"&amp;$DE461),"")</f>
        <v/>
      </c>
      <c r="DJ461">
        <f>IF($DI461="",0,IF(SUMPRODUCT(--EXACT($DI$4:DI460,$DI461))&gt;0,1,0))</f>
        <v/>
      </c>
      <c r="DK461">
        <f>IF(AND($DI461&lt;&gt;"",$DJ461=0),1,0)</f>
        <v/>
      </c>
      <c r="DL461">
        <f>DL460+$DK461</f>
        <v/>
      </c>
      <c r="DM461">
        <f>IF(AND($DK461=1,$DL461&lt;=600),1,0)</f>
        <v/>
      </c>
      <c r="DN461">
        <f>IF($DM461=0,"",IF($L$6=0,"",IFERROR(IF(ISNUMBER(INDEX(PASTE_ALL,$DF461,$L$6)),INDEX(PASTE_ALL,$DF461,$L$6),TRIM(SUBSTITUTE(SUBSTITUTE(SUBSTITUTE(SUBSTITUTE(INDEX(PASTE_ALL,$DF461,$L$6)," "," "),CHAR(9)," "),CHAR(10)," "),CHAR(13)," "))),"")))</f>
        <v/>
      </c>
      <c r="DO461">
        <f>IF($DM461=0,"",IF($L$7=0,"",IFERROR(IF(ISNUMBER(INDEX(PASTE_ALL,$DF461,$L$7)),INDEX(PASTE_ALL,$DF461,$L$7),TRIM(SUBSTITUTE(SUBSTITUTE(SUBSTITUTE(SUBSTITUTE(INDEX(PASTE_ALL,$DF461,$L$7)," "," "),CHAR(9)," "),CHAR(10)," "),CHAR(13)," "))),"")))</f>
        <v/>
      </c>
      <c r="DP461">
        <f>IF($DM461=0,"",IF($L$8=0,"",IFERROR(IF(ISNUMBER(INDEX(PASTE_ALL,$DF461,$L$8)),INDEX(PASTE_ALL,$DF461,$L$8),TRIM(SUBSTITUTE(SUBSTITUTE(SUBSTITUTE(SUBSTITUTE(INDEX(PASTE_ALL,$DF461,$L$8)," "," "),CHAR(9)," "),CHAR(10)," "),CHAR(13)," "))),"")))</f>
        <v/>
      </c>
      <c r="DQ461">
        <f>IF($DM461=0,"",IF($L$9=0,"",IFERROR(IF(ISNUMBER(INDEX(PASTE_ALL,$DF461,$L$9)),INDEX(PASTE_ALL,$DF461,$L$9),TRIM(SUBSTITUTE(SUBSTITUTE(SUBSTITUTE(SUBSTITUTE(INDEX(PASTE_ALL,$DF461,$L$9)," "," "),CHAR(9)," "),CHAR(10)," "),CHAR(13)," "))),"")))</f>
        <v/>
      </c>
      <c r="DR461">
        <f>IF($DM461=0,"",IF($L$10=0,"",IFERROR(IF(ISNUMBER(INDEX(PASTE_ALL,$DF461,$L$10)),INDEX(PASTE_ALL,$DF461,$L$10),TRIM(SUBSTITUTE(SUBSTITUTE(SUBSTITUTE(SUBSTITUTE(INDEX(PASTE_ALL,$DF461,$L$10)," "," "),CHAR(9)," "),CHAR(10)," "),CHAR(13)," "))),"")))</f>
        <v/>
      </c>
      <c r="DS461">
        <f>IF($DM461=0,"",IF($L$11=0,"",IFERROR(IF(ISNUMBER(INDEX(PASTE_ALL,$DF461,$L$11)),INDEX(PASTE_ALL,$DF461,$L$11),TRIM(SUBSTITUTE(SUBSTITUTE(SUBSTITUTE(SUBSTITUTE(INDEX(PASTE_ALL,$DF461,$L$11)," "," "),CHAR(9)," "),CHAR(10)," "),CHAR(13)," "))),"")))</f>
        <v/>
      </c>
      <c r="DT461">
        <f>IF($DM461=0,"",IF($L$12=0,"",IFERROR(IF(ISNUMBER(INDEX(PASTE_ALL,$DF461,$L$12)),INDEX(PASTE_ALL,$DF461,$L$12),TRIM(SUBSTITUTE(SUBSTITUTE(SUBSTITUTE(SUBSTITUTE(INDEX(PASTE_ALL,$DF461,$L$12)," "," "),CHAR(9)," "),CHAR(10)," "),CHAR(13)," "))),"")))</f>
        <v/>
      </c>
      <c r="DU461">
        <f>IF($DM461=0,"",IF($L$13=0,"",IFERROR(IF(ISNUMBER(INDEX(PASTE_ALL,$DF461,$L$13)),INDEX(PASTE_ALL,$DF461,$L$13),TRIM(SUBSTITUTE(SUBSTITUTE(SUBSTITUTE(SUBSTITUTE(INDEX(PASTE_ALL,$DF461,$L$13)," "," "),CHAR(9)," "),CHAR(10)," "),CHAR(13)," "))),"")))</f>
        <v/>
      </c>
      <c r="DV461">
        <f>IF($DM461=0,"",IF($L$14=0,"",IFERROR(IF(ISNUMBER(INDEX(PASTE_ALL,$DF461,$L$14)),INDEX(PASTE_ALL,$DF461,$L$14),TRIM(SUBSTITUTE(SUBSTITUTE(SUBSTITUTE(SUBSTITUTE(INDEX(PASTE_ALL,$DF461,$L$14)," "," "),CHAR(9)," "),CHAR(10)," "),CHAR(13)," "))),"")))</f>
        <v/>
      </c>
      <c r="DW461">
        <f>IF($DM461=0,"",IF($L$15=0,"",IFERROR(IF(ISNUMBER(INDEX(PASTE_ALL,$DF461,$L$15)),INDEX(PASTE_ALL,$DF461,$L$15),IF(SUMPRODUCT(--ISNUMBER(FIND({"A","B","C","D","E","F","G","H","I","J","K","L","M","N","O","P","Q","R","S","T","U","V","W","X","Y","Z","0","1","2","3","4","5","6","7","8","9"},UPPER(TRIM(SUBSTITUTE(SUBSTITUTE(SUBSTITUTE(SUBSTITUTE(INDEX(PASTE_ALL,$DF461,$L$15)," "," "),CHAR(9)," "),CHAR(10)," "),CHAR(13)," "))))))&gt;0,TRIM(SUBSTITUTE(SUBSTITUTE(SUBSTITUTE(SUBSTITUTE(INDEX(PASTE_ALL,$DF461,$L$15)," "," "),CHAR(9)," "),CHAR(10)," "),CHAR(13)," ")),"")),"")))</f>
        <v/>
      </c>
      <c r="DX461">
        <f>IF($DM461=0,"",IF($L$16=0,"",IFERROR(IF(ISNUMBER(INDEX(PASTE_ALL,$DF461,$L$16)),INDEX(PASTE_ALL,$DF461,$L$16),SUBSTITUTE(SUBSTITUTE(TRIM(SUBSTITUTE(SUBSTITUTE(SUBSTITUTE(SUBSTITUTE(INDEX(PASTE_ALL,$DF461,$L$16)," "," "),CHAR(9)," "),CHAR(10)," "),CHAR(13)," ")),",",""),"%","")),"")))</f>
        <v/>
      </c>
      <c r="DY461">
        <f>IF($DM461=0,"",IFERROR(IF(ISNUMBER($DX461),$DX461,IF($DX461="","",IF(TRIM($DX461)="",0,IF(AND(AND(SUBSTITUTE(SUBSTITUTE(SUBSTITUTE(SUBSTITUTE(SUBSTITUTE(SUBSTITUTE(SUBSTITUTE(SUBSTITUTE(SUBSTITUTE(SUBSTITUTE(SUBSTITUTE(SUBSTITUTE(SUBSTITUTE(SUBSTITUTE(UPPER(TRIM($DX461)),"0",""),"1",""),"2",""),"3",""),"4",""),"5",""),"6",""),"7",""),"8",""),"9",""),".",""),"+",""),"-",""),"E","")="",LEN(SUBSTITUTE(SUBSTITUTE(MID(UPPER(TRIM($DX461)),1+OR(LEFT(UPPER(TRIM($DX461)),1)="+",LEFT(UPPER(TRIM($DX461)),1)="-"),999),"E+","E"),"E-","E"))=LEN(SUBSTITUTE(SUBSTITUTE(SUBSTITUTE(SUBSTITUTE(MID(UPPER(TRIM($DX461)),1+OR(LEFT(UPPER(TRIM($DX461)),1)="+",LEFT(UPPER(TRIM($DX461)),1)="-"),999),"E+","E"),"E-","E"),"+",""),"-","")),LEN(UPPER(TRIM($DX461)))-LEN(SUBSTITUTE(UPPER(TRIM($DX461)),"E",""))&lt;2,LEN(UPPER(TRIM($DX461)))-LEN(SUBSTITUTE(UPPER(TRIM($DX461)),".",""))&lt;2,IFERROR(FIND(".",UPPER(TRIM($DX461))),0)&lt;IFERROR(FIND("E",UPPER(TRIM($DX461))),999)),ISNUMBER(VALUE(TRIM($DX461)))),VALUE(TRIM($DX461)),"")))),""))</f>
        <v/>
      </c>
      <c r="DZ461">
        <f>IF($DM461=0,"",IF($L$17=0,"",IFERROR(IF(ISNUMBER(INDEX(PASTE_ALL,$DF461,$L$17)),INDEX(PASTE_ALL,$DF461,$L$17),SUBSTITUTE(SUBSTITUTE(TRIM(SUBSTITUTE(SUBSTITUTE(SUBSTITUTE(SUBSTITUTE(INDEX(PASTE_ALL,$DF461,$L$17)," "," "),CHAR(9)," "),CHAR(10)," "),CHAR(13)," ")),",",""),"%","")),"")))</f>
        <v/>
      </c>
      <c r="EA461">
        <f>IF($DM461=0,"",IFERROR(IF(ISNUMBER($DZ461),$DZ461,IF($DZ461="","",IF(TRIM($DZ461)="",0,IF(AND(AND(SUBSTITUTE(SUBSTITUTE(SUBSTITUTE(SUBSTITUTE(SUBSTITUTE(SUBSTITUTE(SUBSTITUTE(SUBSTITUTE(SUBSTITUTE(SUBSTITUTE(SUBSTITUTE(SUBSTITUTE(SUBSTITUTE(SUBSTITUTE(UPPER(TRIM($DZ461)),"0",""),"1",""),"2",""),"3",""),"4",""),"5",""),"6",""),"7",""),"8",""),"9",""),".",""),"+",""),"-",""),"E","")="",LEN(SUBSTITUTE(SUBSTITUTE(MID(UPPER(TRIM($DZ461)),1+OR(LEFT(UPPER(TRIM($DZ461)),1)="+",LEFT(UPPER(TRIM($DZ461)),1)="-"),999),"E+","E"),"E-","E"))=LEN(SUBSTITUTE(SUBSTITUTE(SUBSTITUTE(SUBSTITUTE(MID(UPPER(TRIM($DZ461)),1+OR(LEFT(UPPER(TRIM($DZ461)),1)="+",LEFT(UPPER(TRIM($DZ461)),1)="-"),999),"E+","E"),"E-","E"),"+",""),"-","")),LEN(UPPER(TRIM($DZ461)))-LEN(SUBSTITUTE(UPPER(TRIM($DZ461)),"E",""))&lt;2,LEN(UPPER(TRIM($DZ461)))-LEN(SUBSTITUTE(UPPER(TRIM($DZ461)),".",""))&lt;2,IFERROR(FIND(".",UPPER(TRIM($DZ461))),0)&lt;IFERROR(FIND("E",UPPER(TRIM($DZ461))),999)),ISNUMBER(VALUE(TRIM($DZ461)))),VALUE(TRIM($DZ461)),"")))),""))</f>
        <v/>
      </c>
      <c r="EB461">
        <f>IF($DM461=0,"",IF($L$18=0,"",IFERROR(IF(UPPER(TRIM(SUBSTITUTE(SUBSTITUTE(SUBSTITUTE(SUBSTITUTE(INDEX(PASTE_ALL,$DF461,$L$18)," "," "),CHAR(9)," "),CHAR(10)," "),CHAR(13)," ")))="READY","Ready",IF(UPPER(TRIM(SUBSTITUTE(SUBSTITUTE(SUBSTITUTE(SUBSTITUTE(INDEX(PASTE_ALL,$DF461,$L$18)," "," "),CHAR(9)," "),CHAR(10)," "),CHAR(13)," ")))="PM","PM",IF(OR(UPPER(TRIM(SUBSTITUTE(SUBSTITUTE(SUBSTITUTE(SUBSTITUTE(INDEX(PASTE_ALL,$DF461,$L$18)," "," "),CHAR(9)," "),CHAR(10)," "),CHAR(13)," ")))="OT",UPPER(TRIM(SUBSTITUTE(SUBSTITUTE(SUBSTITUTE(SUBSTITUTE(INDEX(PASTE_ALL,$DF461,$L$18)," "," "),CHAR(9)," "),CHAR(10)," "),CHAR(13)," ")))="OVERTIME",UPPER(TRIM(SUBSTITUTE(SUBSTITUTE(SUBSTITUTE(SUBSTITUTE(INDEX(PASTE_ALL,$DF461,$L$18)," "," "),CHAR(9)," "),CHAR(10)," "),CHAR(13)," ")))="TRIAL"),"OT",TRIM(SUBSTITUTE(SUBSTITUTE(SUBSTITUTE(SUBSTITUTE(INDEX(PASTE_ALL,$DF461,$L$18)," "," "),CHAR(9)," "),CHAR(10)," "),CHAR(13)," "))))),"")))</f>
        <v/>
      </c>
      <c r="EC461">
        <f>IF($DM461=0,"",IF($L$19=0,"",IFERROR(IF(ISNUMBER(INDEX(PASTE_ALL,$DF461,$L$19)),INDEX(PASTE_ALL,$DF461,$L$19),TRIM(SUBSTITUTE(SUBSTITUTE(SUBSTITUTE(SUBSTITUTE(INDEX(PASTE_ALL,$DF461,$L$19)," "," "),CHAR(9)," "),CHAR(10)," "),CHAR(13)," "))),"")))</f>
        <v/>
      </c>
      <c r="ED461">
        <f>IF($DM461=0,"",MATCH(1,INDEX(EXACT($DH$5:DH461,$DH461)*$DM$5:DM461,0),0))</f>
        <v/>
      </c>
      <c r="EE461">
        <f>IF($DM461=0,0,IF($ED461=$DE461,1,0))</f>
        <v/>
      </c>
      <c r="EF461">
        <f>EF460+$EE461</f>
        <v/>
      </c>
      <c r="EG461">
        <f>IF($DM461=0,"",INDEX($EF$5:$EF$1003,$ED461))</f>
        <v/>
      </c>
      <c r="EH461">
        <f>IF($DM461=0,"",IF($DO461&lt;&gt;"","",IFERROR(LOOKUP(2,1/(($EG$4:EG460=$EG461)*($DO$4:DO460&lt;&gt;"")),$DO$4:DO460),"")))</f>
        <v/>
      </c>
      <c r="EI461">
        <f>IF($DM461=0,"",IF($DO461&lt;&gt;"",$DO461,$EH461))</f>
        <v/>
      </c>
      <c r="EJ461">
        <f>IF($DM461=0,"",IF($EI461="",0,IF(OR(ISNUMBER($EI461),AND(AND(SUBSTITUTE(SUBSTITUTE(SUBSTITUTE(SUBSTITUTE(SUBSTITUTE(SUBSTITUTE(SUBSTITUTE(SUBSTITUTE(SUBSTITUTE(SUBSTITUTE(SUBSTITUTE(SUBSTITUTE(SUBSTITUTE(SUBSTITUTE(UPPER($EI461),"0",""),"1",""),"2",""),"3",""),"4",""),"5",""),"6",""),"7",""),"8",""),"9",""),".",""),"+",""),"-",""),"E","")="",LEN(SUBSTITUTE(SUBSTITUTE(MID(UPPER($EI461),1+OR(LEFT(UPPER($EI461),1)="+",LEFT(UPPER($EI461),1)="-"),999),"E+","E"),"E-","E"))=LEN(SUBSTITUTE(SUBSTITUTE(SUBSTITUTE(SUBSTITUTE(MID(UPPER($EI461),1+OR(LEFT(UPPER($EI461),1)="+",LEFT(UPPER($EI461),1)="-"),999),"E+","E"),"E-","E"),"+",""),"-","")),LEN(UPPER($EI461))-LEN(SUBSTITUTE(UPPER($EI461),"E",""))&lt;2,LEN(UPPER($EI461))-LEN(SUBSTITUTE(UPPER($EI461),".",""))&lt;2,IFERROR(FIND(".",UPPER($EI461)),0)&lt;IFERROR(FIND("E",UPPER($EI461)),999)),ISNUMBER(VALUE($EI461)))),1,2)))</f>
        <v/>
      </c>
      <c r="EK461">
        <f>IF($DM461=0,"",IF($EJ461=1,IF(ISNUMBER($EI461),$EI461,VALUE($EI461)),IF($EJ461=2,$DE461,0)))</f>
        <v/>
      </c>
      <c r="EL461">
        <f>IF($DM461=0,"",COUNTIF($EG$5:$EG$1003,"&lt;"&amp;$EG461)+SUMPRODUCT(($EG$5:$EG$1003=$EG461)*(($EJ$5:$EJ$1003&lt;$EJ461)+($EJ$5:$EJ$1003=$EJ461)*(($EK$5:$EK$1003&lt;$EK461)+($EK$5:$EK$1003=$EK461)*($DE$5:$DE$1003&lt;$DE461))))+1)</f>
        <v/>
      </c>
      <c r="EM461">
        <f>IF($DM461=0,"",$EL461+$EG461-1)</f>
        <v/>
      </c>
      <c r="EN461">
        <f>IF($DM461=0,0,IFERROR(MATCH(1,INDEX(--(TRIM(SUBSTITUTE(SUBSTITUTE(SUBSTITUTE(SUBSTITUTE(LINES_NAME&amp;""," "," "),CHAR(9)," "),CHAR(10)," "),CHAR(13)," "))=$DH461),0),0),0))</f>
        <v/>
      </c>
      <c r="EO461">
        <f>IF($EN461=0,0,IF(OR(UPPER(TRIM(INDEX(LINES_SCHEDULED,$EN461)&amp;""))="YES",UPPER(TRIM(INDEX(LINES_SCHEDULED,$EN461)&amp;""))="Y",UPPER(TRIM(INDEX(LINES_SCHEDULED,$EN461)&amp;""))="X"),1,0))</f>
        <v/>
      </c>
      <c r="EP461">
        <f>IF($DM461=0,"",IF(COUNTIFS($EG$5:$EG$1003,$EG461,$EB$5:$EB$1003,"Ready")&gt;0,"READY",IF(COUNTIFS($EG$5:$EG$1003,$EG461,$EB$5:$EB$1003,"PM")&gt;0,"PM",IF(COUNTIFS($EG$5:$EG$1003,$EG461,$EB$5:$EB$1003,"OT")&gt;0,"OT",""))))</f>
        <v/>
      </c>
      <c r="EQ461">
        <f>IF($EN461=0,"",UPPER(TRIM(INDEX(LINES_STATUS,$EN461)&amp;"")))</f>
        <v/>
      </c>
      <c r="ER461">
        <f>IF($DM461=0,"",IF(OR($EQ461="READY",$EQ461="PM",$EQ461="OT"),$EQ461,$EP461))</f>
        <v/>
      </c>
      <c r="ES461">
        <f>IF($DM461=0,"",IF(AND($DV461&lt;&gt;"",UPPER($DV461)&lt;&gt;"N"),"allergen",IF(ISNUMBER(SEARCH("oil",$DQ461)),"oil",IF(OR(EXACT($DS461,"A662"),EXACT($DS461,"A624")),"bulk",""))))</f>
        <v/>
      </c>
      <c r="ET461">
        <f>IF($DM461=0,"",IF(OR($EA461="",$EA461=0),"",$EA461/100))</f>
        <v/>
      </c>
      <c r="EU461">
        <f>IF(OR($ET461="",$DY461=""),"",INT($DY461*(1-$ET461)+0.5))</f>
        <v/>
      </c>
      <c r="EW461" t="n">
        <v>457</v>
      </c>
      <c r="EX461">
        <f>IFERROR(MATCH($EW461,$EM$5:$EM$1003,0),0)</f>
        <v/>
      </c>
      <c r="EY461">
        <f>IF($EW461&gt;$B$12,"",IF($EX461&gt;0,"row","spacer"))</f>
        <v/>
      </c>
      <c r="EZ461">
        <f>IF(AND($EY461="row",$EY460&lt;&gt;"row"),1,0)</f>
        <v/>
      </c>
      <c r="FA461">
        <f>IF(AND($EY461="row",$EY462&lt;&gt;"row"),1,0)</f>
        <v/>
      </c>
      <c r="FB461">
        <f>IF($EZ461=1,IFERROR(IF(ISNUMBER(INDEX(PASTE_ALL,INDEX($DF$5:$DF$1003,$EX461),$B$37)),INDEX(PASTE_ALL,INDEX($DF$5:$DF$1003,$EX461),$B$37),INDEX($DH$5:$DH$1003,$EX461)),INDEX($DH$5:$DH$1003,$EX461)),"")</f>
        <v/>
      </c>
      <c r="FC461">
        <f>IF($EY461="row",INDEX($ER$5:$ER$1003,$EX461),"")</f>
        <v/>
      </c>
      <c r="FD461">
        <f>IF($EY461="row",INDEX($DN$5:$DN$1003,$EX461),"")</f>
        <v/>
      </c>
      <c r="FE461">
        <f>IF($EY461="row",INDEX($DO$5:$DO$1003,$EX461),"")</f>
        <v/>
      </c>
      <c r="FF461">
        <f>IF($EY461="row",INDEX($DP$5:$DP$1003,$EX461),"")</f>
        <v/>
      </c>
      <c r="FG461">
        <f>IF($EY461="row",INDEX($DQ$5:$DQ$1003,$EX461),"")</f>
        <v/>
      </c>
      <c r="FH461">
        <f>IF($EY461="row",INDEX($DR$5:$DR$1003,$EX461),"")</f>
        <v/>
      </c>
      <c r="FI461">
        <f>IF($EY461="row",INDEX($DS$5:$DS$1003,$EX461),"")</f>
        <v/>
      </c>
      <c r="FJ461">
        <f>IF($EY461="row",INDEX($DT$5:$DT$1003,$EX461),"")</f>
        <v/>
      </c>
      <c r="FK461">
        <f>IF($EY461="row",INDEX($DU$5:$DU$1003,$EX461),"")</f>
        <v/>
      </c>
      <c r="FL461">
        <f>IF($EY461="row",INDEX($DV$5:$DV$1003,$EX461),"")</f>
        <v/>
      </c>
      <c r="FM461">
        <f>IF($EY461="row",INDEX($DW$5:$DW$1003,$EX461),"")</f>
        <v/>
      </c>
      <c r="FN461">
        <f>IF($EY461="row",INDEX($DY$5:$DY$1003,$EX461),"")</f>
        <v/>
      </c>
      <c r="FO461">
        <f>IF($EY461="row",INDEX($EA$5:$EA$1003,$EX461),"")</f>
        <v/>
      </c>
      <c r="FP461">
        <f>IF($EY461="row",INDEX($EC$5:$EC$1003,$EX461),"")</f>
        <v/>
      </c>
      <c r="FQ461">
        <f>IF($EY461="row",INDEX($ET$5:$ET$1003,$EX461),"")</f>
        <v/>
      </c>
      <c r="FR461">
        <f>IF($EY461="row",INDEX($EU$5:$EU$1003,$EX461),"")</f>
        <v/>
      </c>
      <c r="FS461">
        <f>IF(AND($EY461="row",$EY460="row"),IF(OR(INDEX($DT$5:$DT$1003,$EX460)="",INDEX($DT$5:$DT$1003,$EX461)=""),"",IF(NOT(EXACT(INDEX($DT$5:$DT$1003,$EX460),INDEX($DT$5:$DT$1003,$EX461))),"S4",IF(NOT(EXACT(INDEX($DS$5:$DS$1003,$EX460),INDEX($DS$5:$DS$1003,$EX461))),"S3",IF(NOT(EXACT(INDEX($DR$5:$DR$1003,$EX460),INDEX($DR$5:$DR$1003,$EX461))),"S1 Count Change","S1")))),"")</f>
        <v/>
      </c>
      <c r="FT461">
        <f>IF($EY461="row",INDEX($ES$5:$ES$1003,$EX461),"")</f>
        <v/>
      </c>
      <c r="FU461">
        <f>IF($EY461="row",INDEX($EO$5:$EO$1003,$EX461),0)</f>
        <v/>
      </c>
      <c r="FV461">
        <f>IF($FS461="S1 Count Change",1,0)</f>
        <v/>
      </c>
    </row>
    <row r="462">
      <c r="DA462" t="n">
        <v>458</v>
      </c>
      <c r="DB462">
        <f>IF($B$37=0,"",IFERROR(TRIM(SUBSTITUTE(SUBSTITUTE(SUBSTITUTE(SUBSTITUTE(INDEX(PASTE_ALL,458,$B$37)," "," "),CHAR(9)," "),CHAR(10)," "),CHAR(13)," ")),""))</f>
        <v/>
      </c>
      <c r="DC462">
        <f>IF(AND(458&gt;HEADER_ROW,UPPER(DB462)="LEGEND"),1,0)</f>
        <v/>
      </c>
      <c r="DE462" t="n">
        <v>458</v>
      </c>
      <c r="DF462">
        <f>HEADER_ROW+$DE462</f>
        <v/>
      </c>
      <c r="DG462">
        <f>IF(AND($DF462&lt;=1000,$DF462&lt;$B$8),1,0)</f>
        <v/>
      </c>
      <c r="DH462">
        <f>IF($DG462=1,IFERROR(INDEX($DB$5:$DB$1004,$DF462),""),"")</f>
        <v/>
      </c>
      <c r="DI462">
        <f>IF(AND($DG462=1,$DH462&lt;&gt;""),IFERROR(SUBSTITUTE(SUBSTITUTE(TRIM(SUBSTITUTE(SUBSTITUTE(SUBSTITUTE(SUBSTITUTE(IFERROR(INDEX(PASTE_ALL,$DF462,1)&amp;"","")&amp;"␟"&amp;IFERROR(INDEX(PASTE_ALL,$DF462,2)&amp;"","")&amp;"␟"&amp;IFERROR(INDEX(PASTE_ALL,$DF462,3)&amp;"","")&amp;"␟"&amp;IFERROR(INDEX(PASTE_ALL,$DF462,4)&amp;"","")&amp;"␟"&amp;IFERROR(INDEX(PASTE_ALL,$DF462,5)&amp;"","")&amp;"␟"&amp;IFERROR(INDEX(PASTE_ALL,$DF462,6)&amp;"","")&amp;"␟"&amp;IFERROR(INDEX(PASTE_ALL,$DF462,7)&amp;"","")&amp;"␟"&amp;IFERROR(INDEX(PASTE_ALL,$DF462,8)&amp;"","")&amp;"␟"&amp;IFERROR(INDEX(PASTE_ALL,$DF462,9)&amp;"","")&amp;"␟"&amp;IFERROR(INDEX(PASTE_ALL,$DF462,10)&amp;"","")&amp;"␟"&amp;IFERROR(INDEX(PASTE_ALL,$DF462,11)&amp;"","")&amp;"␟"&amp;IFERROR(INDEX(PASTE_ALL,$DF462,12)&amp;"","")&amp;"␟"&amp;IFERROR(INDEX(PASTE_ALL,$DF462,13)&amp;"","")&amp;"␟"&amp;IFERROR(INDEX(PASTE_ALL,$DF462,14)&amp;"","")&amp;"␟"&amp;IFERROR(INDEX(PASTE_ALL,$DF462,15)&amp;"","")&amp;"␟"&amp;IFERROR(INDEX(PASTE_ALL,$DF462,16)&amp;"","")&amp;"␟"&amp;IFERROR(INDEX(PASTE_ALL,$DF462,17)&amp;"","")&amp;"␟"&amp;IFERROR(INDEX(PASTE_ALL,$DF462,18)&amp;"","")&amp;"␟"&amp;IFERROR(INDEX(PASTE_ALL,$DF462,19)&amp;"","")&amp;"␟"&amp;IFERROR(INDEX(PASTE_ALL,$DF462,20)&amp;"","")&amp;"␟"&amp;IFERROR(INDEX(PASTE_ALL,$DF462,21)&amp;"","")&amp;"␟"&amp;IFERROR(INDEX(PASTE_ALL,$DF462,22)&amp;"","")&amp;"␟"&amp;IFERROR(INDEX(PASTE_ALL,$DF462,23)&amp;"","")&amp;"␟"&amp;IFERROR(INDEX(PASTE_ALL,$DF462,24)&amp;"","")&amp;"␟"&amp;IFERROR(INDEX(PASTE_ALL,$DF462,25)&amp;"","")&amp;"␟"&amp;IFERROR(INDEX(PASTE_ALL,$DF462,26)&amp;"","")&amp;"␟"&amp;IFERROR(INDEX(PASTE_ALL,$DF462,27)&amp;"","")&amp;"␟"&amp;IFERROR(INDEX(PASTE_ALL,$DF462,28)&amp;"","")&amp;"␟"&amp;IFERROR(INDEX(PASTE_ALL,$DF462,29)&amp;"","")&amp;"␟"&amp;IFERROR(INDEX(PASTE_ALL,$DF462,30)&amp;"","")&amp;"␟"&amp;IFERROR(INDEX(PASTE_ALL,$DF462,31)&amp;"","")&amp;"␟"&amp;IFERROR(INDEX(PASTE_ALL,$DF462,32)&amp;"","")&amp;"␟"&amp;IFERROR(INDEX(PASTE_ALL,$DF462,33)&amp;"","")&amp;"␟"&amp;IFERROR(INDEX(PASTE_ALL,$DF462,34)&amp;"","")&amp;"␟"&amp;IFERROR(INDEX(PASTE_ALL,$DF462,35)&amp;"","")&amp;"␟"&amp;IFERROR(INDEX(PASTE_ALL,$DF462,36)&amp;"","")&amp;"␟"&amp;IFERROR(INDEX(PASTE_ALL,$DF462,37)&amp;"","")&amp;"␟"&amp;IFERROR(INDEX(PASTE_ALL,$DF462,38)&amp;"","")&amp;"␟"&amp;IFERROR(INDEX(PASTE_ALL,$DF462,39)&amp;"","")&amp;"␟"&amp;IFERROR(INDEX(PASTE_ALL,$DF462,40)&amp;"","")&amp;"␟"&amp;IFERROR(INDEX(PASTE_ALL,$DF462,41)&amp;"","")&amp;"␟"&amp;IFERROR(INDEX(PASTE_ALL,$DF462,42)&amp;"","")&amp;"␟"&amp;IFERROR(INDEX(PASTE_ALL,$DF462,43)&amp;"","")&amp;"␟"&amp;IFERROR(INDEX(PASTE_ALL,$DF462,44)&amp;"","")&amp;"␟"&amp;IFERROR(INDEX(PASTE_ALL,$DF462,45)&amp;"","")&amp;"␟"&amp;IFERROR(INDEX(PASTE_ALL,$DF462,46)&amp;"","")&amp;"␟"&amp;IFERROR(INDEX(PASTE_ALL,$DF462,47)&amp;"","")&amp;"␟"&amp;IFERROR(INDEX(PASTE_ALL,$DF462,48)&amp;"","")&amp;"␟"&amp;IFERROR(INDEX(PASTE_ALL,$DF462,49)&amp;"","")&amp;"␟"&amp;IFERROR(INDEX(PASTE_ALL,$DF462,50)&amp;"","")&amp;"␟"&amp;IFERROR(INDEX(PASTE_ALL,$DF462,51)&amp;"","")&amp;"␟"&amp;IFERROR(INDEX(PASTE_ALL,$DF462,52)&amp;"","")&amp;"␟"&amp;IFERROR(INDEX(PASTE_ALL,$DF462,53)&amp;"","")&amp;"␟"&amp;IFERROR(INDEX(PASTE_ALL,$DF462,54)&amp;"","")&amp;"␟"&amp;IFERROR(INDEX(PASTE_ALL,$DF462,55)&amp;"","")&amp;"␟"&amp;IFERROR(INDEX(PASTE_ALL,$DF462,56)&amp;"","")&amp;"␟"&amp;IFERROR(INDEX(PASTE_ALL,$DF462,57)&amp;"","")&amp;"␟"&amp;IFERROR(INDEX(PASTE_ALL,$DF462,58)&amp;"","")&amp;"␟"&amp;IFERROR(INDEX(PASTE_ALL,$DF462,59)&amp;"","")&amp;"␟"&amp;IFERROR(INDEX(PASTE_ALL,$DF462,60)&amp;"","")," "," "),CHAR(9)," "),CHAR(10)," "),CHAR(13)," "))," ␟","␟"),"␟ ","␟"),"#"&amp;$DE462),"")</f>
        <v/>
      </c>
      <c r="DJ462">
        <f>IF($DI462="",0,IF(SUMPRODUCT(--EXACT($DI$4:DI461,$DI462))&gt;0,1,0))</f>
        <v/>
      </c>
      <c r="DK462">
        <f>IF(AND($DI462&lt;&gt;"",$DJ462=0),1,0)</f>
        <v/>
      </c>
      <c r="DL462">
        <f>DL461+$DK462</f>
        <v/>
      </c>
      <c r="DM462">
        <f>IF(AND($DK462=1,$DL462&lt;=600),1,0)</f>
        <v/>
      </c>
      <c r="DN462">
        <f>IF($DM462=0,"",IF($L$6=0,"",IFERROR(IF(ISNUMBER(INDEX(PASTE_ALL,$DF462,$L$6)),INDEX(PASTE_ALL,$DF462,$L$6),TRIM(SUBSTITUTE(SUBSTITUTE(SUBSTITUTE(SUBSTITUTE(INDEX(PASTE_ALL,$DF462,$L$6)," "," "),CHAR(9)," "),CHAR(10)," "),CHAR(13)," "))),"")))</f>
        <v/>
      </c>
      <c r="DO462">
        <f>IF($DM462=0,"",IF($L$7=0,"",IFERROR(IF(ISNUMBER(INDEX(PASTE_ALL,$DF462,$L$7)),INDEX(PASTE_ALL,$DF462,$L$7),TRIM(SUBSTITUTE(SUBSTITUTE(SUBSTITUTE(SUBSTITUTE(INDEX(PASTE_ALL,$DF462,$L$7)," "," "),CHAR(9)," "),CHAR(10)," "),CHAR(13)," "))),"")))</f>
        <v/>
      </c>
      <c r="DP462">
        <f>IF($DM462=0,"",IF($L$8=0,"",IFERROR(IF(ISNUMBER(INDEX(PASTE_ALL,$DF462,$L$8)),INDEX(PASTE_ALL,$DF462,$L$8),TRIM(SUBSTITUTE(SUBSTITUTE(SUBSTITUTE(SUBSTITUTE(INDEX(PASTE_ALL,$DF462,$L$8)," "," "),CHAR(9)," "),CHAR(10)," "),CHAR(13)," "))),"")))</f>
        <v/>
      </c>
      <c r="DQ462">
        <f>IF($DM462=0,"",IF($L$9=0,"",IFERROR(IF(ISNUMBER(INDEX(PASTE_ALL,$DF462,$L$9)),INDEX(PASTE_ALL,$DF462,$L$9),TRIM(SUBSTITUTE(SUBSTITUTE(SUBSTITUTE(SUBSTITUTE(INDEX(PASTE_ALL,$DF462,$L$9)," "," "),CHAR(9)," "),CHAR(10)," "),CHAR(13)," "))),"")))</f>
        <v/>
      </c>
      <c r="DR462">
        <f>IF($DM462=0,"",IF($L$10=0,"",IFERROR(IF(ISNUMBER(INDEX(PASTE_ALL,$DF462,$L$10)),INDEX(PASTE_ALL,$DF462,$L$10),TRIM(SUBSTITUTE(SUBSTITUTE(SUBSTITUTE(SUBSTITUTE(INDEX(PASTE_ALL,$DF462,$L$10)," "," "),CHAR(9)," "),CHAR(10)," "),CHAR(13)," "))),"")))</f>
        <v/>
      </c>
      <c r="DS462">
        <f>IF($DM462=0,"",IF($L$11=0,"",IFERROR(IF(ISNUMBER(INDEX(PASTE_ALL,$DF462,$L$11)),INDEX(PASTE_ALL,$DF462,$L$11),TRIM(SUBSTITUTE(SUBSTITUTE(SUBSTITUTE(SUBSTITUTE(INDEX(PASTE_ALL,$DF462,$L$11)," "," "),CHAR(9)," "),CHAR(10)," "),CHAR(13)," "))),"")))</f>
        <v/>
      </c>
      <c r="DT462">
        <f>IF($DM462=0,"",IF($L$12=0,"",IFERROR(IF(ISNUMBER(INDEX(PASTE_ALL,$DF462,$L$12)),INDEX(PASTE_ALL,$DF462,$L$12),TRIM(SUBSTITUTE(SUBSTITUTE(SUBSTITUTE(SUBSTITUTE(INDEX(PASTE_ALL,$DF462,$L$12)," "," "),CHAR(9)," "),CHAR(10)," "),CHAR(13)," "))),"")))</f>
        <v/>
      </c>
      <c r="DU462">
        <f>IF($DM462=0,"",IF($L$13=0,"",IFERROR(IF(ISNUMBER(INDEX(PASTE_ALL,$DF462,$L$13)),INDEX(PASTE_ALL,$DF462,$L$13),TRIM(SUBSTITUTE(SUBSTITUTE(SUBSTITUTE(SUBSTITUTE(INDEX(PASTE_ALL,$DF462,$L$13)," "," "),CHAR(9)," "),CHAR(10)," "),CHAR(13)," "))),"")))</f>
        <v/>
      </c>
      <c r="DV462">
        <f>IF($DM462=0,"",IF($L$14=0,"",IFERROR(IF(ISNUMBER(INDEX(PASTE_ALL,$DF462,$L$14)),INDEX(PASTE_ALL,$DF462,$L$14),TRIM(SUBSTITUTE(SUBSTITUTE(SUBSTITUTE(SUBSTITUTE(INDEX(PASTE_ALL,$DF462,$L$14)," "," "),CHAR(9)," "),CHAR(10)," "),CHAR(13)," "))),"")))</f>
        <v/>
      </c>
      <c r="DW462">
        <f>IF($DM462=0,"",IF($L$15=0,"",IFERROR(IF(ISNUMBER(INDEX(PASTE_ALL,$DF462,$L$15)),INDEX(PASTE_ALL,$DF462,$L$15),IF(SUMPRODUCT(--ISNUMBER(FIND({"A","B","C","D","E","F","G","H","I","J","K","L","M","N","O","P","Q","R","S","T","U","V","W","X","Y","Z","0","1","2","3","4","5","6","7","8","9"},UPPER(TRIM(SUBSTITUTE(SUBSTITUTE(SUBSTITUTE(SUBSTITUTE(INDEX(PASTE_ALL,$DF462,$L$15)," "," "),CHAR(9)," "),CHAR(10)," "),CHAR(13)," "))))))&gt;0,TRIM(SUBSTITUTE(SUBSTITUTE(SUBSTITUTE(SUBSTITUTE(INDEX(PASTE_ALL,$DF462,$L$15)," "," "),CHAR(9)," "),CHAR(10)," "),CHAR(13)," ")),"")),"")))</f>
        <v/>
      </c>
      <c r="DX462">
        <f>IF($DM462=0,"",IF($L$16=0,"",IFERROR(IF(ISNUMBER(INDEX(PASTE_ALL,$DF462,$L$16)),INDEX(PASTE_ALL,$DF462,$L$16),SUBSTITUTE(SUBSTITUTE(TRIM(SUBSTITUTE(SUBSTITUTE(SUBSTITUTE(SUBSTITUTE(INDEX(PASTE_ALL,$DF462,$L$16)," "," "),CHAR(9)," "),CHAR(10)," "),CHAR(13)," ")),",",""),"%","")),"")))</f>
        <v/>
      </c>
      <c r="DY462">
        <f>IF($DM462=0,"",IFERROR(IF(ISNUMBER($DX462),$DX462,IF($DX462="","",IF(TRIM($DX462)="",0,IF(AND(AND(SUBSTITUTE(SUBSTITUTE(SUBSTITUTE(SUBSTITUTE(SUBSTITUTE(SUBSTITUTE(SUBSTITUTE(SUBSTITUTE(SUBSTITUTE(SUBSTITUTE(SUBSTITUTE(SUBSTITUTE(SUBSTITUTE(SUBSTITUTE(UPPER(TRIM($DX462)),"0",""),"1",""),"2",""),"3",""),"4",""),"5",""),"6",""),"7",""),"8",""),"9",""),".",""),"+",""),"-",""),"E","")="",LEN(SUBSTITUTE(SUBSTITUTE(MID(UPPER(TRIM($DX462)),1+OR(LEFT(UPPER(TRIM($DX462)),1)="+",LEFT(UPPER(TRIM($DX462)),1)="-"),999),"E+","E"),"E-","E"))=LEN(SUBSTITUTE(SUBSTITUTE(SUBSTITUTE(SUBSTITUTE(MID(UPPER(TRIM($DX462)),1+OR(LEFT(UPPER(TRIM($DX462)),1)="+",LEFT(UPPER(TRIM($DX462)),1)="-"),999),"E+","E"),"E-","E"),"+",""),"-","")),LEN(UPPER(TRIM($DX462)))-LEN(SUBSTITUTE(UPPER(TRIM($DX462)),"E",""))&lt;2,LEN(UPPER(TRIM($DX462)))-LEN(SUBSTITUTE(UPPER(TRIM($DX462)),".",""))&lt;2,IFERROR(FIND(".",UPPER(TRIM($DX462))),0)&lt;IFERROR(FIND("E",UPPER(TRIM($DX462))),999)),ISNUMBER(VALUE(TRIM($DX462)))),VALUE(TRIM($DX462)),"")))),""))</f>
        <v/>
      </c>
      <c r="DZ462">
        <f>IF($DM462=0,"",IF($L$17=0,"",IFERROR(IF(ISNUMBER(INDEX(PASTE_ALL,$DF462,$L$17)),INDEX(PASTE_ALL,$DF462,$L$17),SUBSTITUTE(SUBSTITUTE(TRIM(SUBSTITUTE(SUBSTITUTE(SUBSTITUTE(SUBSTITUTE(INDEX(PASTE_ALL,$DF462,$L$17)," "," "),CHAR(9)," "),CHAR(10)," "),CHAR(13)," ")),",",""),"%","")),"")))</f>
        <v/>
      </c>
      <c r="EA462">
        <f>IF($DM462=0,"",IFERROR(IF(ISNUMBER($DZ462),$DZ462,IF($DZ462="","",IF(TRIM($DZ462)="",0,IF(AND(AND(SUBSTITUTE(SUBSTITUTE(SUBSTITUTE(SUBSTITUTE(SUBSTITUTE(SUBSTITUTE(SUBSTITUTE(SUBSTITUTE(SUBSTITUTE(SUBSTITUTE(SUBSTITUTE(SUBSTITUTE(SUBSTITUTE(SUBSTITUTE(UPPER(TRIM($DZ462)),"0",""),"1",""),"2",""),"3",""),"4",""),"5",""),"6",""),"7",""),"8",""),"9",""),".",""),"+",""),"-",""),"E","")="",LEN(SUBSTITUTE(SUBSTITUTE(MID(UPPER(TRIM($DZ462)),1+OR(LEFT(UPPER(TRIM($DZ462)),1)="+",LEFT(UPPER(TRIM($DZ462)),1)="-"),999),"E+","E"),"E-","E"))=LEN(SUBSTITUTE(SUBSTITUTE(SUBSTITUTE(SUBSTITUTE(MID(UPPER(TRIM($DZ462)),1+OR(LEFT(UPPER(TRIM($DZ462)),1)="+",LEFT(UPPER(TRIM($DZ462)),1)="-"),999),"E+","E"),"E-","E"),"+",""),"-","")),LEN(UPPER(TRIM($DZ462)))-LEN(SUBSTITUTE(UPPER(TRIM($DZ462)),"E",""))&lt;2,LEN(UPPER(TRIM($DZ462)))-LEN(SUBSTITUTE(UPPER(TRIM($DZ462)),".",""))&lt;2,IFERROR(FIND(".",UPPER(TRIM($DZ462))),0)&lt;IFERROR(FIND("E",UPPER(TRIM($DZ462))),999)),ISNUMBER(VALUE(TRIM($DZ462)))),VALUE(TRIM($DZ462)),"")))),""))</f>
        <v/>
      </c>
      <c r="EB462">
        <f>IF($DM462=0,"",IF($L$18=0,"",IFERROR(IF(UPPER(TRIM(SUBSTITUTE(SUBSTITUTE(SUBSTITUTE(SUBSTITUTE(INDEX(PASTE_ALL,$DF462,$L$18)," "," "),CHAR(9)," "),CHAR(10)," "),CHAR(13)," ")))="READY","Ready",IF(UPPER(TRIM(SUBSTITUTE(SUBSTITUTE(SUBSTITUTE(SUBSTITUTE(INDEX(PASTE_ALL,$DF462,$L$18)," "," "),CHAR(9)," "),CHAR(10)," "),CHAR(13)," ")))="PM","PM",IF(OR(UPPER(TRIM(SUBSTITUTE(SUBSTITUTE(SUBSTITUTE(SUBSTITUTE(INDEX(PASTE_ALL,$DF462,$L$18)," "," "),CHAR(9)," "),CHAR(10)," "),CHAR(13)," ")))="OT",UPPER(TRIM(SUBSTITUTE(SUBSTITUTE(SUBSTITUTE(SUBSTITUTE(INDEX(PASTE_ALL,$DF462,$L$18)," "," "),CHAR(9)," "),CHAR(10)," "),CHAR(13)," ")))="OVERTIME",UPPER(TRIM(SUBSTITUTE(SUBSTITUTE(SUBSTITUTE(SUBSTITUTE(INDEX(PASTE_ALL,$DF462,$L$18)," "," "),CHAR(9)," "),CHAR(10)," "),CHAR(13)," ")))="TRIAL"),"OT",TRIM(SUBSTITUTE(SUBSTITUTE(SUBSTITUTE(SUBSTITUTE(INDEX(PASTE_ALL,$DF462,$L$18)," "," "),CHAR(9)," "),CHAR(10)," "),CHAR(13)," "))))),"")))</f>
        <v/>
      </c>
      <c r="EC462">
        <f>IF($DM462=0,"",IF($L$19=0,"",IFERROR(IF(ISNUMBER(INDEX(PASTE_ALL,$DF462,$L$19)),INDEX(PASTE_ALL,$DF462,$L$19),TRIM(SUBSTITUTE(SUBSTITUTE(SUBSTITUTE(SUBSTITUTE(INDEX(PASTE_ALL,$DF462,$L$19)," "," "),CHAR(9)," "),CHAR(10)," "),CHAR(13)," "))),"")))</f>
        <v/>
      </c>
      <c r="ED462">
        <f>IF($DM462=0,"",MATCH(1,INDEX(EXACT($DH$5:DH462,$DH462)*$DM$5:DM462,0),0))</f>
        <v/>
      </c>
      <c r="EE462">
        <f>IF($DM462=0,0,IF($ED462=$DE462,1,0))</f>
        <v/>
      </c>
      <c r="EF462">
        <f>EF461+$EE462</f>
        <v/>
      </c>
      <c r="EG462">
        <f>IF($DM462=0,"",INDEX($EF$5:$EF$1003,$ED462))</f>
        <v/>
      </c>
      <c r="EH462">
        <f>IF($DM462=0,"",IF($DO462&lt;&gt;"","",IFERROR(LOOKUP(2,1/(($EG$4:EG461=$EG462)*($DO$4:DO461&lt;&gt;"")),$DO$4:DO461),"")))</f>
        <v/>
      </c>
      <c r="EI462">
        <f>IF($DM462=0,"",IF($DO462&lt;&gt;"",$DO462,$EH462))</f>
        <v/>
      </c>
      <c r="EJ462">
        <f>IF($DM462=0,"",IF($EI462="",0,IF(OR(ISNUMBER($EI462),AND(AND(SUBSTITUTE(SUBSTITUTE(SUBSTITUTE(SUBSTITUTE(SUBSTITUTE(SUBSTITUTE(SUBSTITUTE(SUBSTITUTE(SUBSTITUTE(SUBSTITUTE(SUBSTITUTE(SUBSTITUTE(SUBSTITUTE(SUBSTITUTE(UPPER($EI462),"0",""),"1",""),"2",""),"3",""),"4",""),"5",""),"6",""),"7",""),"8",""),"9",""),".",""),"+",""),"-",""),"E","")="",LEN(SUBSTITUTE(SUBSTITUTE(MID(UPPER($EI462),1+OR(LEFT(UPPER($EI462),1)="+",LEFT(UPPER($EI462),1)="-"),999),"E+","E"),"E-","E"))=LEN(SUBSTITUTE(SUBSTITUTE(SUBSTITUTE(SUBSTITUTE(MID(UPPER($EI462),1+OR(LEFT(UPPER($EI462),1)="+",LEFT(UPPER($EI462),1)="-"),999),"E+","E"),"E-","E"),"+",""),"-","")),LEN(UPPER($EI462))-LEN(SUBSTITUTE(UPPER($EI462),"E",""))&lt;2,LEN(UPPER($EI462))-LEN(SUBSTITUTE(UPPER($EI462),".",""))&lt;2,IFERROR(FIND(".",UPPER($EI462)),0)&lt;IFERROR(FIND("E",UPPER($EI462)),999)),ISNUMBER(VALUE($EI462)))),1,2)))</f>
        <v/>
      </c>
      <c r="EK462">
        <f>IF($DM462=0,"",IF($EJ462=1,IF(ISNUMBER($EI462),$EI462,VALUE($EI462)),IF($EJ462=2,$DE462,0)))</f>
        <v/>
      </c>
      <c r="EL462">
        <f>IF($DM462=0,"",COUNTIF($EG$5:$EG$1003,"&lt;"&amp;$EG462)+SUMPRODUCT(($EG$5:$EG$1003=$EG462)*(($EJ$5:$EJ$1003&lt;$EJ462)+($EJ$5:$EJ$1003=$EJ462)*(($EK$5:$EK$1003&lt;$EK462)+($EK$5:$EK$1003=$EK462)*($DE$5:$DE$1003&lt;$DE462))))+1)</f>
        <v/>
      </c>
      <c r="EM462">
        <f>IF($DM462=0,"",$EL462+$EG462-1)</f>
        <v/>
      </c>
      <c r="EN462">
        <f>IF($DM462=0,0,IFERROR(MATCH(1,INDEX(--(TRIM(SUBSTITUTE(SUBSTITUTE(SUBSTITUTE(SUBSTITUTE(LINES_NAME&amp;""," "," "),CHAR(9)," "),CHAR(10)," "),CHAR(13)," "))=$DH462),0),0),0))</f>
        <v/>
      </c>
      <c r="EO462">
        <f>IF($EN462=0,0,IF(OR(UPPER(TRIM(INDEX(LINES_SCHEDULED,$EN462)&amp;""))="YES",UPPER(TRIM(INDEX(LINES_SCHEDULED,$EN462)&amp;""))="Y",UPPER(TRIM(INDEX(LINES_SCHEDULED,$EN462)&amp;""))="X"),1,0))</f>
        <v/>
      </c>
      <c r="EP462">
        <f>IF($DM462=0,"",IF(COUNTIFS($EG$5:$EG$1003,$EG462,$EB$5:$EB$1003,"Ready")&gt;0,"READY",IF(COUNTIFS($EG$5:$EG$1003,$EG462,$EB$5:$EB$1003,"PM")&gt;0,"PM",IF(COUNTIFS($EG$5:$EG$1003,$EG462,$EB$5:$EB$1003,"OT")&gt;0,"OT",""))))</f>
        <v/>
      </c>
      <c r="EQ462">
        <f>IF($EN462=0,"",UPPER(TRIM(INDEX(LINES_STATUS,$EN462)&amp;"")))</f>
        <v/>
      </c>
      <c r="ER462">
        <f>IF($DM462=0,"",IF(OR($EQ462="READY",$EQ462="PM",$EQ462="OT"),$EQ462,$EP462))</f>
        <v/>
      </c>
      <c r="ES462">
        <f>IF($DM462=0,"",IF(AND($DV462&lt;&gt;"",UPPER($DV462)&lt;&gt;"N"),"allergen",IF(ISNUMBER(SEARCH("oil",$DQ462)),"oil",IF(OR(EXACT($DS462,"A662"),EXACT($DS462,"A624")),"bulk",""))))</f>
        <v/>
      </c>
      <c r="ET462">
        <f>IF($DM462=0,"",IF(OR($EA462="",$EA462=0),"",$EA462/100))</f>
        <v/>
      </c>
      <c r="EU462">
        <f>IF(OR($ET462="",$DY462=""),"",INT($DY462*(1-$ET462)+0.5))</f>
        <v/>
      </c>
      <c r="EW462" t="n">
        <v>458</v>
      </c>
      <c r="EX462">
        <f>IFERROR(MATCH($EW462,$EM$5:$EM$1003,0),0)</f>
        <v/>
      </c>
      <c r="EY462">
        <f>IF($EW462&gt;$B$12,"",IF($EX462&gt;0,"row","spacer"))</f>
        <v/>
      </c>
      <c r="EZ462">
        <f>IF(AND($EY462="row",$EY461&lt;&gt;"row"),1,0)</f>
        <v/>
      </c>
      <c r="FA462">
        <f>IF(AND($EY462="row",$EY463&lt;&gt;"row"),1,0)</f>
        <v/>
      </c>
      <c r="FB462">
        <f>IF($EZ462=1,IFERROR(IF(ISNUMBER(INDEX(PASTE_ALL,INDEX($DF$5:$DF$1003,$EX462),$B$37)),INDEX(PASTE_ALL,INDEX($DF$5:$DF$1003,$EX462),$B$37),INDEX($DH$5:$DH$1003,$EX462)),INDEX($DH$5:$DH$1003,$EX462)),"")</f>
        <v/>
      </c>
      <c r="FC462">
        <f>IF($EY462="row",INDEX($ER$5:$ER$1003,$EX462),"")</f>
        <v/>
      </c>
      <c r="FD462">
        <f>IF($EY462="row",INDEX($DN$5:$DN$1003,$EX462),"")</f>
        <v/>
      </c>
      <c r="FE462">
        <f>IF($EY462="row",INDEX($DO$5:$DO$1003,$EX462),"")</f>
        <v/>
      </c>
      <c r="FF462">
        <f>IF($EY462="row",INDEX($DP$5:$DP$1003,$EX462),"")</f>
        <v/>
      </c>
      <c r="FG462">
        <f>IF($EY462="row",INDEX($DQ$5:$DQ$1003,$EX462),"")</f>
        <v/>
      </c>
      <c r="FH462">
        <f>IF($EY462="row",INDEX($DR$5:$DR$1003,$EX462),"")</f>
        <v/>
      </c>
      <c r="FI462">
        <f>IF($EY462="row",INDEX($DS$5:$DS$1003,$EX462),"")</f>
        <v/>
      </c>
      <c r="FJ462">
        <f>IF($EY462="row",INDEX($DT$5:$DT$1003,$EX462),"")</f>
        <v/>
      </c>
      <c r="FK462">
        <f>IF($EY462="row",INDEX($DU$5:$DU$1003,$EX462),"")</f>
        <v/>
      </c>
      <c r="FL462">
        <f>IF($EY462="row",INDEX($DV$5:$DV$1003,$EX462),"")</f>
        <v/>
      </c>
      <c r="FM462">
        <f>IF($EY462="row",INDEX($DW$5:$DW$1003,$EX462),"")</f>
        <v/>
      </c>
      <c r="FN462">
        <f>IF($EY462="row",INDEX($DY$5:$DY$1003,$EX462),"")</f>
        <v/>
      </c>
      <c r="FO462">
        <f>IF($EY462="row",INDEX($EA$5:$EA$1003,$EX462),"")</f>
        <v/>
      </c>
      <c r="FP462">
        <f>IF($EY462="row",INDEX($EC$5:$EC$1003,$EX462),"")</f>
        <v/>
      </c>
      <c r="FQ462">
        <f>IF($EY462="row",INDEX($ET$5:$ET$1003,$EX462),"")</f>
        <v/>
      </c>
      <c r="FR462">
        <f>IF($EY462="row",INDEX($EU$5:$EU$1003,$EX462),"")</f>
        <v/>
      </c>
      <c r="FS462">
        <f>IF(AND($EY462="row",$EY461="row"),IF(OR(INDEX($DT$5:$DT$1003,$EX461)="",INDEX($DT$5:$DT$1003,$EX462)=""),"",IF(NOT(EXACT(INDEX($DT$5:$DT$1003,$EX461),INDEX($DT$5:$DT$1003,$EX462))),"S4",IF(NOT(EXACT(INDEX($DS$5:$DS$1003,$EX461),INDEX($DS$5:$DS$1003,$EX462))),"S3",IF(NOT(EXACT(INDEX($DR$5:$DR$1003,$EX461),INDEX($DR$5:$DR$1003,$EX462))),"S1 Count Change","S1")))),"")</f>
        <v/>
      </c>
      <c r="FT462">
        <f>IF($EY462="row",INDEX($ES$5:$ES$1003,$EX462),"")</f>
        <v/>
      </c>
      <c r="FU462">
        <f>IF($EY462="row",INDEX($EO$5:$EO$1003,$EX462),0)</f>
        <v/>
      </c>
      <c r="FV462">
        <f>IF($FS462="S1 Count Change",1,0)</f>
        <v/>
      </c>
    </row>
    <row r="463">
      <c r="DA463" t="n">
        <v>459</v>
      </c>
      <c r="DB463">
        <f>IF($B$37=0,"",IFERROR(TRIM(SUBSTITUTE(SUBSTITUTE(SUBSTITUTE(SUBSTITUTE(INDEX(PASTE_ALL,459,$B$37)," "," "),CHAR(9)," "),CHAR(10)," "),CHAR(13)," ")),""))</f>
        <v/>
      </c>
      <c r="DC463">
        <f>IF(AND(459&gt;HEADER_ROW,UPPER(DB463)="LEGEND"),1,0)</f>
        <v/>
      </c>
      <c r="DE463" t="n">
        <v>459</v>
      </c>
      <c r="DF463">
        <f>HEADER_ROW+$DE463</f>
        <v/>
      </c>
      <c r="DG463">
        <f>IF(AND($DF463&lt;=1000,$DF463&lt;$B$8),1,0)</f>
        <v/>
      </c>
      <c r="DH463">
        <f>IF($DG463=1,IFERROR(INDEX($DB$5:$DB$1004,$DF463),""),"")</f>
        <v/>
      </c>
      <c r="DI463">
        <f>IF(AND($DG463=1,$DH463&lt;&gt;""),IFERROR(SUBSTITUTE(SUBSTITUTE(TRIM(SUBSTITUTE(SUBSTITUTE(SUBSTITUTE(SUBSTITUTE(IFERROR(INDEX(PASTE_ALL,$DF463,1)&amp;"","")&amp;"␟"&amp;IFERROR(INDEX(PASTE_ALL,$DF463,2)&amp;"","")&amp;"␟"&amp;IFERROR(INDEX(PASTE_ALL,$DF463,3)&amp;"","")&amp;"␟"&amp;IFERROR(INDEX(PASTE_ALL,$DF463,4)&amp;"","")&amp;"␟"&amp;IFERROR(INDEX(PASTE_ALL,$DF463,5)&amp;"","")&amp;"␟"&amp;IFERROR(INDEX(PASTE_ALL,$DF463,6)&amp;"","")&amp;"␟"&amp;IFERROR(INDEX(PASTE_ALL,$DF463,7)&amp;"","")&amp;"␟"&amp;IFERROR(INDEX(PASTE_ALL,$DF463,8)&amp;"","")&amp;"␟"&amp;IFERROR(INDEX(PASTE_ALL,$DF463,9)&amp;"","")&amp;"␟"&amp;IFERROR(INDEX(PASTE_ALL,$DF463,10)&amp;"","")&amp;"␟"&amp;IFERROR(INDEX(PASTE_ALL,$DF463,11)&amp;"","")&amp;"␟"&amp;IFERROR(INDEX(PASTE_ALL,$DF463,12)&amp;"","")&amp;"␟"&amp;IFERROR(INDEX(PASTE_ALL,$DF463,13)&amp;"","")&amp;"␟"&amp;IFERROR(INDEX(PASTE_ALL,$DF463,14)&amp;"","")&amp;"␟"&amp;IFERROR(INDEX(PASTE_ALL,$DF463,15)&amp;"","")&amp;"␟"&amp;IFERROR(INDEX(PASTE_ALL,$DF463,16)&amp;"","")&amp;"␟"&amp;IFERROR(INDEX(PASTE_ALL,$DF463,17)&amp;"","")&amp;"␟"&amp;IFERROR(INDEX(PASTE_ALL,$DF463,18)&amp;"","")&amp;"␟"&amp;IFERROR(INDEX(PASTE_ALL,$DF463,19)&amp;"","")&amp;"␟"&amp;IFERROR(INDEX(PASTE_ALL,$DF463,20)&amp;"","")&amp;"␟"&amp;IFERROR(INDEX(PASTE_ALL,$DF463,21)&amp;"","")&amp;"␟"&amp;IFERROR(INDEX(PASTE_ALL,$DF463,22)&amp;"","")&amp;"␟"&amp;IFERROR(INDEX(PASTE_ALL,$DF463,23)&amp;"","")&amp;"␟"&amp;IFERROR(INDEX(PASTE_ALL,$DF463,24)&amp;"","")&amp;"␟"&amp;IFERROR(INDEX(PASTE_ALL,$DF463,25)&amp;"","")&amp;"␟"&amp;IFERROR(INDEX(PASTE_ALL,$DF463,26)&amp;"","")&amp;"␟"&amp;IFERROR(INDEX(PASTE_ALL,$DF463,27)&amp;"","")&amp;"␟"&amp;IFERROR(INDEX(PASTE_ALL,$DF463,28)&amp;"","")&amp;"␟"&amp;IFERROR(INDEX(PASTE_ALL,$DF463,29)&amp;"","")&amp;"␟"&amp;IFERROR(INDEX(PASTE_ALL,$DF463,30)&amp;"","")&amp;"␟"&amp;IFERROR(INDEX(PASTE_ALL,$DF463,31)&amp;"","")&amp;"␟"&amp;IFERROR(INDEX(PASTE_ALL,$DF463,32)&amp;"","")&amp;"␟"&amp;IFERROR(INDEX(PASTE_ALL,$DF463,33)&amp;"","")&amp;"␟"&amp;IFERROR(INDEX(PASTE_ALL,$DF463,34)&amp;"","")&amp;"␟"&amp;IFERROR(INDEX(PASTE_ALL,$DF463,35)&amp;"","")&amp;"␟"&amp;IFERROR(INDEX(PASTE_ALL,$DF463,36)&amp;"","")&amp;"␟"&amp;IFERROR(INDEX(PASTE_ALL,$DF463,37)&amp;"","")&amp;"␟"&amp;IFERROR(INDEX(PASTE_ALL,$DF463,38)&amp;"","")&amp;"␟"&amp;IFERROR(INDEX(PASTE_ALL,$DF463,39)&amp;"","")&amp;"␟"&amp;IFERROR(INDEX(PASTE_ALL,$DF463,40)&amp;"","")&amp;"␟"&amp;IFERROR(INDEX(PASTE_ALL,$DF463,41)&amp;"","")&amp;"␟"&amp;IFERROR(INDEX(PASTE_ALL,$DF463,42)&amp;"","")&amp;"␟"&amp;IFERROR(INDEX(PASTE_ALL,$DF463,43)&amp;"","")&amp;"␟"&amp;IFERROR(INDEX(PASTE_ALL,$DF463,44)&amp;"","")&amp;"␟"&amp;IFERROR(INDEX(PASTE_ALL,$DF463,45)&amp;"","")&amp;"␟"&amp;IFERROR(INDEX(PASTE_ALL,$DF463,46)&amp;"","")&amp;"␟"&amp;IFERROR(INDEX(PASTE_ALL,$DF463,47)&amp;"","")&amp;"␟"&amp;IFERROR(INDEX(PASTE_ALL,$DF463,48)&amp;"","")&amp;"␟"&amp;IFERROR(INDEX(PASTE_ALL,$DF463,49)&amp;"","")&amp;"␟"&amp;IFERROR(INDEX(PASTE_ALL,$DF463,50)&amp;"","")&amp;"␟"&amp;IFERROR(INDEX(PASTE_ALL,$DF463,51)&amp;"","")&amp;"␟"&amp;IFERROR(INDEX(PASTE_ALL,$DF463,52)&amp;"","")&amp;"␟"&amp;IFERROR(INDEX(PASTE_ALL,$DF463,53)&amp;"","")&amp;"␟"&amp;IFERROR(INDEX(PASTE_ALL,$DF463,54)&amp;"","")&amp;"␟"&amp;IFERROR(INDEX(PASTE_ALL,$DF463,55)&amp;"","")&amp;"␟"&amp;IFERROR(INDEX(PASTE_ALL,$DF463,56)&amp;"","")&amp;"␟"&amp;IFERROR(INDEX(PASTE_ALL,$DF463,57)&amp;"","")&amp;"␟"&amp;IFERROR(INDEX(PASTE_ALL,$DF463,58)&amp;"","")&amp;"␟"&amp;IFERROR(INDEX(PASTE_ALL,$DF463,59)&amp;"","")&amp;"␟"&amp;IFERROR(INDEX(PASTE_ALL,$DF463,60)&amp;"","")," "," "),CHAR(9)," "),CHAR(10)," "),CHAR(13)," "))," ␟","␟"),"␟ ","␟"),"#"&amp;$DE463),"")</f>
        <v/>
      </c>
      <c r="DJ463">
        <f>IF($DI463="",0,IF(SUMPRODUCT(--EXACT($DI$4:DI462,$DI463))&gt;0,1,0))</f>
        <v/>
      </c>
      <c r="DK463">
        <f>IF(AND($DI463&lt;&gt;"",$DJ463=0),1,0)</f>
        <v/>
      </c>
      <c r="DL463">
        <f>DL462+$DK463</f>
        <v/>
      </c>
      <c r="DM463">
        <f>IF(AND($DK463=1,$DL463&lt;=600),1,0)</f>
        <v/>
      </c>
      <c r="DN463">
        <f>IF($DM463=0,"",IF($L$6=0,"",IFERROR(IF(ISNUMBER(INDEX(PASTE_ALL,$DF463,$L$6)),INDEX(PASTE_ALL,$DF463,$L$6),TRIM(SUBSTITUTE(SUBSTITUTE(SUBSTITUTE(SUBSTITUTE(INDEX(PASTE_ALL,$DF463,$L$6)," "," "),CHAR(9)," "),CHAR(10)," "),CHAR(13)," "))),"")))</f>
        <v/>
      </c>
      <c r="DO463">
        <f>IF($DM463=0,"",IF($L$7=0,"",IFERROR(IF(ISNUMBER(INDEX(PASTE_ALL,$DF463,$L$7)),INDEX(PASTE_ALL,$DF463,$L$7),TRIM(SUBSTITUTE(SUBSTITUTE(SUBSTITUTE(SUBSTITUTE(INDEX(PASTE_ALL,$DF463,$L$7)," "," "),CHAR(9)," "),CHAR(10)," "),CHAR(13)," "))),"")))</f>
        <v/>
      </c>
      <c r="DP463">
        <f>IF($DM463=0,"",IF($L$8=0,"",IFERROR(IF(ISNUMBER(INDEX(PASTE_ALL,$DF463,$L$8)),INDEX(PASTE_ALL,$DF463,$L$8),TRIM(SUBSTITUTE(SUBSTITUTE(SUBSTITUTE(SUBSTITUTE(INDEX(PASTE_ALL,$DF463,$L$8)," "," "),CHAR(9)," "),CHAR(10)," "),CHAR(13)," "))),"")))</f>
        <v/>
      </c>
      <c r="DQ463">
        <f>IF($DM463=0,"",IF($L$9=0,"",IFERROR(IF(ISNUMBER(INDEX(PASTE_ALL,$DF463,$L$9)),INDEX(PASTE_ALL,$DF463,$L$9),TRIM(SUBSTITUTE(SUBSTITUTE(SUBSTITUTE(SUBSTITUTE(INDEX(PASTE_ALL,$DF463,$L$9)," "," "),CHAR(9)," "),CHAR(10)," "),CHAR(13)," "))),"")))</f>
        <v/>
      </c>
      <c r="DR463">
        <f>IF($DM463=0,"",IF($L$10=0,"",IFERROR(IF(ISNUMBER(INDEX(PASTE_ALL,$DF463,$L$10)),INDEX(PASTE_ALL,$DF463,$L$10),TRIM(SUBSTITUTE(SUBSTITUTE(SUBSTITUTE(SUBSTITUTE(INDEX(PASTE_ALL,$DF463,$L$10)," "," "),CHAR(9)," "),CHAR(10)," "),CHAR(13)," "))),"")))</f>
        <v/>
      </c>
      <c r="DS463">
        <f>IF($DM463=0,"",IF($L$11=0,"",IFERROR(IF(ISNUMBER(INDEX(PASTE_ALL,$DF463,$L$11)),INDEX(PASTE_ALL,$DF463,$L$11),TRIM(SUBSTITUTE(SUBSTITUTE(SUBSTITUTE(SUBSTITUTE(INDEX(PASTE_ALL,$DF463,$L$11)," "," "),CHAR(9)," "),CHAR(10)," "),CHAR(13)," "))),"")))</f>
        <v/>
      </c>
      <c r="DT463">
        <f>IF($DM463=0,"",IF($L$12=0,"",IFERROR(IF(ISNUMBER(INDEX(PASTE_ALL,$DF463,$L$12)),INDEX(PASTE_ALL,$DF463,$L$12),TRIM(SUBSTITUTE(SUBSTITUTE(SUBSTITUTE(SUBSTITUTE(INDEX(PASTE_ALL,$DF463,$L$12)," "," "),CHAR(9)," "),CHAR(10)," "),CHAR(13)," "))),"")))</f>
        <v/>
      </c>
      <c r="DU463">
        <f>IF($DM463=0,"",IF($L$13=0,"",IFERROR(IF(ISNUMBER(INDEX(PASTE_ALL,$DF463,$L$13)),INDEX(PASTE_ALL,$DF463,$L$13),TRIM(SUBSTITUTE(SUBSTITUTE(SUBSTITUTE(SUBSTITUTE(INDEX(PASTE_ALL,$DF463,$L$13)," "," "),CHAR(9)," "),CHAR(10)," "),CHAR(13)," "))),"")))</f>
        <v/>
      </c>
      <c r="DV463">
        <f>IF($DM463=0,"",IF($L$14=0,"",IFERROR(IF(ISNUMBER(INDEX(PASTE_ALL,$DF463,$L$14)),INDEX(PASTE_ALL,$DF463,$L$14),TRIM(SUBSTITUTE(SUBSTITUTE(SUBSTITUTE(SUBSTITUTE(INDEX(PASTE_ALL,$DF463,$L$14)," "," "),CHAR(9)," "),CHAR(10)," "),CHAR(13)," "))),"")))</f>
        <v/>
      </c>
      <c r="DW463">
        <f>IF($DM463=0,"",IF($L$15=0,"",IFERROR(IF(ISNUMBER(INDEX(PASTE_ALL,$DF463,$L$15)),INDEX(PASTE_ALL,$DF463,$L$15),IF(SUMPRODUCT(--ISNUMBER(FIND({"A","B","C","D","E","F","G","H","I","J","K","L","M","N","O","P","Q","R","S","T","U","V","W","X","Y","Z","0","1","2","3","4","5","6","7","8","9"},UPPER(TRIM(SUBSTITUTE(SUBSTITUTE(SUBSTITUTE(SUBSTITUTE(INDEX(PASTE_ALL,$DF463,$L$15)," "," "),CHAR(9)," "),CHAR(10)," "),CHAR(13)," "))))))&gt;0,TRIM(SUBSTITUTE(SUBSTITUTE(SUBSTITUTE(SUBSTITUTE(INDEX(PASTE_ALL,$DF463,$L$15)," "," "),CHAR(9)," "),CHAR(10)," "),CHAR(13)," ")),"")),"")))</f>
        <v/>
      </c>
      <c r="DX463">
        <f>IF($DM463=0,"",IF($L$16=0,"",IFERROR(IF(ISNUMBER(INDEX(PASTE_ALL,$DF463,$L$16)),INDEX(PASTE_ALL,$DF463,$L$16),SUBSTITUTE(SUBSTITUTE(TRIM(SUBSTITUTE(SUBSTITUTE(SUBSTITUTE(SUBSTITUTE(INDEX(PASTE_ALL,$DF463,$L$16)," "," "),CHAR(9)," "),CHAR(10)," "),CHAR(13)," ")),",",""),"%","")),"")))</f>
        <v/>
      </c>
      <c r="DY463">
        <f>IF($DM463=0,"",IFERROR(IF(ISNUMBER($DX463),$DX463,IF($DX463="","",IF(TRIM($DX463)="",0,IF(AND(AND(SUBSTITUTE(SUBSTITUTE(SUBSTITUTE(SUBSTITUTE(SUBSTITUTE(SUBSTITUTE(SUBSTITUTE(SUBSTITUTE(SUBSTITUTE(SUBSTITUTE(SUBSTITUTE(SUBSTITUTE(SUBSTITUTE(SUBSTITUTE(UPPER(TRIM($DX463)),"0",""),"1",""),"2",""),"3",""),"4",""),"5",""),"6",""),"7",""),"8",""),"9",""),".",""),"+",""),"-",""),"E","")="",LEN(SUBSTITUTE(SUBSTITUTE(MID(UPPER(TRIM($DX463)),1+OR(LEFT(UPPER(TRIM($DX463)),1)="+",LEFT(UPPER(TRIM($DX463)),1)="-"),999),"E+","E"),"E-","E"))=LEN(SUBSTITUTE(SUBSTITUTE(SUBSTITUTE(SUBSTITUTE(MID(UPPER(TRIM($DX463)),1+OR(LEFT(UPPER(TRIM($DX463)),1)="+",LEFT(UPPER(TRIM($DX463)),1)="-"),999),"E+","E"),"E-","E"),"+",""),"-","")),LEN(UPPER(TRIM($DX463)))-LEN(SUBSTITUTE(UPPER(TRIM($DX463)),"E",""))&lt;2,LEN(UPPER(TRIM($DX463)))-LEN(SUBSTITUTE(UPPER(TRIM($DX463)),".",""))&lt;2,IFERROR(FIND(".",UPPER(TRIM($DX463))),0)&lt;IFERROR(FIND("E",UPPER(TRIM($DX463))),999)),ISNUMBER(VALUE(TRIM($DX463)))),VALUE(TRIM($DX463)),"")))),""))</f>
        <v/>
      </c>
      <c r="DZ463">
        <f>IF($DM463=0,"",IF($L$17=0,"",IFERROR(IF(ISNUMBER(INDEX(PASTE_ALL,$DF463,$L$17)),INDEX(PASTE_ALL,$DF463,$L$17),SUBSTITUTE(SUBSTITUTE(TRIM(SUBSTITUTE(SUBSTITUTE(SUBSTITUTE(SUBSTITUTE(INDEX(PASTE_ALL,$DF463,$L$17)," "," "),CHAR(9)," "),CHAR(10)," "),CHAR(13)," ")),",",""),"%","")),"")))</f>
        <v/>
      </c>
      <c r="EA463">
        <f>IF($DM463=0,"",IFERROR(IF(ISNUMBER($DZ463),$DZ463,IF($DZ463="","",IF(TRIM($DZ463)="",0,IF(AND(AND(SUBSTITUTE(SUBSTITUTE(SUBSTITUTE(SUBSTITUTE(SUBSTITUTE(SUBSTITUTE(SUBSTITUTE(SUBSTITUTE(SUBSTITUTE(SUBSTITUTE(SUBSTITUTE(SUBSTITUTE(SUBSTITUTE(SUBSTITUTE(UPPER(TRIM($DZ463)),"0",""),"1",""),"2",""),"3",""),"4",""),"5",""),"6",""),"7",""),"8",""),"9",""),".",""),"+",""),"-",""),"E","")="",LEN(SUBSTITUTE(SUBSTITUTE(MID(UPPER(TRIM($DZ463)),1+OR(LEFT(UPPER(TRIM($DZ463)),1)="+",LEFT(UPPER(TRIM($DZ463)),1)="-"),999),"E+","E"),"E-","E"))=LEN(SUBSTITUTE(SUBSTITUTE(SUBSTITUTE(SUBSTITUTE(MID(UPPER(TRIM($DZ463)),1+OR(LEFT(UPPER(TRIM($DZ463)),1)="+",LEFT(UPPER(TRIM($DZ463)),1)="-"),999),"E+","E"),"E-","E"),"+",""),"-","")),LEN(UPPER(TRIM($DZ463)))-LEN(SUBSTITUTE(UPPER(TRIM($DZ463)),"E",""))&lt;2,LEN(UPPER(TRIM($DZ463)))-LEN(SUBSTITUTE(UPPER(TRIM($DZ463)),".",""))&lt;2,IFERROR(FIND(".",UPPER(TRIM($DZ463))),0)&lt;IFERROR(FIND("E",UPPER(TRIM($DZ463))),999)),ISNUMBER(VALUE(TRIM($DZ463)))),VALUE(TRIM($DZ463)),"")))),""))</f>
        <v/>
      </c>
      <c r="EB463">
        <f>IF($DM463=0,"",IF($L$18=0,"",IFERROR(IF(UPPER(TRIM(SUBSTITUTE(SUBSTITUTE(SUBSTITUTE(SUBSTITUTE(INDEX(PASTE_ALL,$DF463,$L$18)," "," "),CHAR(9)," "),CHAR(10)," "),CHAR(13)," ")))="READY","Ready",IF(UPPER(TRIM(SUBSTITUTE(SUBSTITUTE(SUBSTITUTE(SUBSTITUTE(INDEX(PASTE_ALL,$DF463,$L$18)," "," "),CHAR(9)," "),CHAR(10)," "),CHAR(13)," ")))="PM","PM",IF(OR(UPPER(TRIM(SUBSTITUTE(SUBSTITUTE(SUBSTITUTE(SUBSTITUTE(INDEX(PASTE_ALL,$DF463,$L$18)," "," "),CHAR(9)," "),CHAR(10)," "),CHAR(13)," ")))="OT",UPPER(TRIM(SUBSTITUTE(SUBSTITUTE(SUBSTITUTE(SUBSTITUTE(INDEX(PASTE_ALL,$DF463,$L$18)," "," "),CHAR(9)," "),CHAR(10)," "),CHAR(13)," ")))="OVERTIME",UPPER(TRIM(SUBSTITUTE(SUBSTITUTE(SUBSTITUTE(SUBSTITUTE(INDEX(PASTE_ALL,$DF463,$L$18)," "," "),CHAR(9)," "),CHAR(10)," "),CHAR(13)," ")))="TRIAL"),"OT",TRIM(SUBSTITUTE(SUBSTITUTE(SUBSTITUTE(SUBSTITUTE(INDEX(PASTE_ALL,$DF463,$L$18)," "," "),CHAR(9)," "),CHAR(10)," "),CHAR(13)," "))))),"")))</f>
        <v/>
      </c>
      <c r="EC463">
        <f>IF($DM463=0,"",IF($L$19=0,"",IFERROR(IF(ISNUMBER(INDEX(PASTE_ALL,$DF463,$L$19)),INDEX(PASTE_ALL,$DF463,$L$19),TRIM(SUBSTITUTE(SUBSTITUTE(SUBSTITUTE(SUBSTITUTE(INDEX(PASTE_ALL,$DF463,$L$19)," "," "),CHAR(9)," "),CHAR(10)," "),CHAR(13)," "))),"")))</f>
        <v/>
      </c>
      <c r="ED463">
        <f>IF($DM463=0,"",MATCH(1,INDEX(EXACT($DH$5:DH463,$DH463)*$DM$5:DM463,0),0))</f>
        <v/>
      </c>
      <c r="EE463">
        <f>IF($DM463=0,0,IF($ED463=$DE463,1,0))</f>
        <v/>
      </c>
      <c r="EF463">
        <f>EF462+$EE463</f>
        <v/>
      </c>
      <c r="EG463">
        <f>IF($DM463=0,"",INDEX($EF$5:$EF$1003,$ED463))</f>
        <v/>
      </c>
      <c r="EH463">
        <f>IF($DM463=0,"",IF($DO463&lt;&gt;"","",IFERROR(LOOKUP(2,1/(($EG$4:EG462=$EG463)*($DO$4:DO462&lt;&gt;"")),$DO$4:DO462),"")))</f>
        <v/>
      </c>
      <c r="EI463">
        <f>IF($DM463=0,"",IF($DO463&lt;&gt;"",$DO463,$EH463))</f>
        <v/>
      </c>
      <c r="EJ463">
        <f>IF($DM463=0,"",IF($EI463="",0,IF(OR(ISNUMBER($EI463),AND(AND(SUBSTITUTE(SUBSTITUTE(SUBSTITUTE(SUBSTITUTE(SUBSTITUTE(SUBSTITUTE(SUBSTITUTE(SUBSTITUTE(SUBSTITUTE(SUBSTITUTE(SUBSTITUTE(SUBSTITUTE(SUBSTITUTE(SUBSTITUTE(UPPER($EI463),"0",""),"1",""),"2",""),"3",""),"4",""),"5",""),"6",""),"7",""),"8",""),"9",""),".",""),"+",""),"-",""),"E","")="",LEN(SUBSTITUTE(SUBSTITUTE(MID(UPPER($EI463),1+OR(LEFT(UPPER($EI463),1)="+",LEFT(UPPER($EI463),1)="-"),999),"E+","E"),"E-","E"))=LEN(SUBSTITUTE(SUBSTITUTE(SUBSTITUTE(SUBSTITUTE(MID(UPPER($EI463),1+OR(LEFT(UPPER($EI463),1)="+",LEFT(UPPER($EI463),1)="-"),999),"E+","E"),"E-","E"),"+",""),"-","")),LEN(UPPER($EI463))-LEN(SUBSTITUTE(UPPER($EI463),"E",""))&lt;2,LEN(UPPER($EI463))-LEN(SUBSTITUTE(UPPER($EI463),".",""))&lt;2,IFERROR(FIND(".",UPPER($EI463)),0)&lt;IFERROR(FIND("E",UPPER($EI463)),999)),ISNUMBER(VALUE($EI463)))),1,2)))</f>
        <v/>
      </c>
      <c r="EK463">
        <f>IF($DM463=0,"",IF($EJ463=1,IF(ISNUMBER($EI463),$EI463,VALUE($EI463)),IF($EJ463=2,$DE463,0)))</f>
        <v/>
      </c>
      <c r="EL463">
        <f>IF($DM463=0,"",COUNTIF($EG$5:$EG$1003,"&lt;"&amp;$EG463)+SUMPRODUCT(($EG$5:$EG$1003=$EG463)*(($EJ$5:$EJ$1003&lt;$EJ463)+($EJ$5:$EJ$1003=$EJ463)*(($EK$5:$EK$1003&lt;$EK463)+($EK$5:$EK$1003=$EK463)*($DE$5:$DE$1003&lt;$DE463))))+1)</f>
        <v/>
      </c>
      <c r="EM463">
        <f>IF($DM463=0,"",$EL463+$EG463-1)</f>
        <v/>
      </c>
      <c r="EN463">
        <f>IF($DM463=0,0,IFERROR(MATCH(1,INDEX(--(TRIM(SUBSTITUTE(SUBSTITUTE(SUBSTITUTE(SUBSTITUTE(LINES_NAME&amp;""," "," "),CHAR(9)," "),CHAR(10)," "),CHAR(13)," "))=$DH463),0),0),0))</f>
        <v/>
      </c>
      <c r="EO463">
        <f>IF($EN463=0,0,IF(OR(UPPER(TRIM(INDEX(LINES_SCHEDULED,$EN463)&amp;""))="YES",UPPER(TRIM(INDEX(LINES_SCHEDULED,$EN463)&amp;""))="Y",UPPER(TRIM(INDEX(LINES_SCHEDULED,$EN463)&amp;""))="X"),1,0))</f>
        <v/>
      </c>
      <c r="EP463">
        <f>IF($DM463=0,"",IF(COUNTIFS($EG$5:$EG$1003,$EG463,$EB$5:$EB$1003,"Ready")&gt;0,"READY",IF(COUNTIFS($EG$5:$EG$1003,$EG463,$EB$5:$EB$1003,"PM")&gt;0,"PM",IF(COUNTIFS($EG$5:$EG$1003,$EG463,$EB$5:$EB$1003,"OT")&gt;0,"OT",""))))</f>
        <v/>
      </c>
      <c r="EQ463">
        <f>IF($EN463=0,"",UPPER(TRIM(INDEX(LINES_STATUS,$EN463)&amp;"")))</f>
        <v/>
      </c>
      <c r="ER463">
        <f>IF($DM463=0,"",IF(OR($EQ463="READY",$EQ463="PM",$EQ463="OT"),$EQ463,$EP463))</f>
        <v/>
      </c>
      <c r="ES463">
        <f>IF($DM463=0,"",IF(AND($DV463&lt;&gt;"",UPPER($DV463)&lt;&gt;"N"),"allergen",IF(ISNUMBER(SEARCH("oil",$DQ463)),"oil",IF(OR(EXACT($DS463,"A662"),EXACT($DS463,"A624")),"bulk",""))))</f>
        <v/>
      </c>
      <c r="ET463">
        <f>IF($DM463=0,"",IF(OR($EA463="",$EA463=0),"",$EA463/100))</f>
        <v/>
      </c>
      <c r="EU463">
        <f>IF(OR($ET463="",$DY463=""),"",INT($DY463*(1-$ET463)+0.5))</f>
        <v/>
      </c>
      <c r="EW463" t="n">
        <v>459</v>
      </c>
      <c r="EX463">
        <f>IFERROR(MATCH($EW463,$EM$5:$EM$1003,0),0)</f>
        <v/>
      </c>
      <c r="EY463">
        <f>IF($EW463&gt;$B$12,"",IF($EX463&gt;0,"row","spacer"))</f>
        <v/>
      </c>
      <c r="EZ463">
        <f>IF(AND($EY463="row",$EY462&lt;&gt;"row"),1,0)</f>
        <v/>
      </c>
      <c r="FA463">
        <f>IF(AND($EY463="row",$EY464&lt;&gt;"row"),1,0)</f>
        <v/>
      </c>
      <c r="FB463">
        <f>IF($EZ463=1,IFERROR(IF(ISNUMBER(INDEX(PASTE_ALL,INDEX($DF$5:$DF$1003,$EX463),$B$37)),INDEX(PASTE_ALL,INDEX($DF$5:$DF$1003,$EX463),$B$37),INDEX($DH$5:$DH$1003,$EX463)),INDEX($DH$5:$DH$1003,$EX463)),"")</f>
        <v/>
      </c>
      <c r="FC463">
        <f>IF($EY463="row",INDEX($ER$5:$ER$1003,$EX463),"")</f>
        <v/>
      </c>
      <c r="FD463">
        <f>IF($EY463="row",INDEX($DN$5:$DN$1003,$EX463),"")</f>
        <v/>
      </c>
      <c r="FE463">
        <f>IF($EY463="row",INDEX($DO$5:$DO$1003,$EX463),"")</f>
        <v/>
      </c>
      <c r="FF463">
        <f>IF($EY463="row",INDEX($DP$5:$DP$1003,$EX463),"")</f>
        <v/>
      </c>
      <c r="FG463">
        <f>IF($EY463="row",INDEX($DQ$5:$DQ$1003,$EX463),"")</f>
        <v/>
      </c>
      <c r="FH463">
        <f>IF($EY463="row",INDEX($DR$5:$DR$1003,$EX463),"")</f>
        <v/>
      </c>
      <c r="FI463">
        <f>IF($EY463="row",INDEX($DS$5:$DS$1003,$EX463),"")</f>
        <v/>
      </c>
      <c r="FJ463">
        <f>IF($EY463="row",INDEX($DT$5:$DT$1003,$EX463),"")</f>
        <v/>
      </c>
      <c r="FK463">
        <f>IF($EY463="row",INDEX($DU$5:$DU$1003,$EX463),"")</f>
        <v/>
      </c>
      <c r="FL463">
        <f>IF($EY463="row",INDEX($DV$5:$DV$1003,$EX463),"")</f>
        <v/>
      </c>
      <c r="FM463">
        <f>IF($EY463="row",INDEX($DW$5:$DW$1003,$EX463),"")</f>
        <v/>
      </c>
      <c r="FN463">
        <f>IF($EY463="row",INDEX($DY$5:$DY$1003,$EX463),"")</f>
        <v/>
      </c>
      <c r="FO463">
        <f>IF($EY463="row",INDEX($EA$5:$EA$1003,$EX463),"")</f>
        <v/>
      </c>
      <c r="FP463">
        <f>IF($EY463="row",INDEX($EC$5:$EC$1003,$EX463),"")</f>
        <v/>
      </c>
      <c r="FQ463">
        <f>IF($EY463="row",INDEX($ET$5:$ET$1003,$EX463),"")</f>
        <v/>
      </c>
      <c r="FR463">
        <f>IF($EY463="row",INDEX($EU$5:$EU$1003,$EX463),"")</f>
        <v/>
      </c>
      <c r="FS463">
        <f>IF(AND($EY463="row",$EY462="row"),IF(OR(INDEX($DT$5:$DT$1003,$EX462)="",INDEX($DT$5:$DT$1003,$EX463)=""),"",IF(NOT(EXACT(INDEX($DT$5:$DT$1003,$EX462),INDEX($DT$5:$DT$1003,$EX463))),"S4",IF(NOT(EXACT(INDEX($DS$5:$DS$1003,$EX462),INDEX($DS$5:$DS$1003,$EX463))),"S3",IF(NOT(EXACT(INDEX($DR$5:$DR$1003,$EX462),INDEX($DR$5:$DR$1003,$EX463))),"S1 Count Change","S1")))),"")</f>
        <v/>
      </c>
      <c r="FT463">
        <f>IF($EY463="row",INDEX($ES$5:$ES$1003,$EX463),"")</f>
        <v/>
      </c>
      <c r="FU463">
        <f>IF($EY463="row",INDEX($EO$5:$EO$1003,$EX463),0)</f>
        <v/>
      </c>
      <c r="FV463">
        <f>IF($FS463="S1 Count Change",1,0)</f>
        <v/>
      </c>
    </row>
    <row r="464">
      <c r="DA464" t="n">
        <v>460</v>
      </c>
      <c r="DB464">
        <f>IF($B$37=0,"",IFERROR(TRIM(SUBSTITUTE(SUBSTITUTE(SUBSTITUTE(SUBSTITUTE(INDEX(PASTE_ALL,460,$B$37)," "," "),CHAR(9)," "),CHAR(10)," "),CHAR(13)," ")),""))</f>
        <v/>
      </c>
      <c r="DC464">
        <f>IF(AND(460&gt;HEADER_ROW,UPPER(DB464)="LEGEND"),1,0)</f>
        <v/>
      </c>
      <c r="DE464" t="n">
        <v>460</v>
      </c>
      <c r="DF464">
        <f>HEADER_ROW+$DE464</f>
        <v/>
      </c>
      <c r="DG464">
        <f>IF(AND($DF464&lt;=1000,$DF464&lt;$B$8),1,0)</f>
        <v/>
      </c>
      <c r="DH464">
        <f>IF($DG464=1,IFERROR(INDEX($DB$5:$DB$1004,$DF464),""),"")</f>
        <v/>
      </c>
      <c r="DI464">
        <f>IF(AND($DG464=1,$DH464&lt;&gt;""),IFERROR(SUBSTITUTE(SUBSTITUTE(TRIM(SUBSTITUTE(SUBSTITUTE(SUBSTITUTE(SUBSTITUTE(IFERROR(INDEX(PASTE_ALL,$DF464,1)&amp;"","")&amp;"␟"&amp;IFERROR(INDEX(PASTE_ALL,$DF464,2)&amp;"","")&amp;"␟"&amp;IFERROR(INDEX(PASTE_ALL,$DF464,3)&amp;"","")&amp;"␟"&amp;IFERROR(INDEX(PASTE_ALL,$DF464,4)&amp;"","")&amp;"␟"&amp;IFERROR(INDEX(PASTE_ALL,$DF464,5)&amp;"","")&amp;"␟"&amp;IFERROR(INDEX(PASTE_ALL,$DF464,6)&amp;"","")&amp;"␟"&amp;IFERROR(INDEX(PASTE_ALL,$DF464,7)&amp;"","")&amp;"␟"&amp;IFERROR(INDEX(PASTE_ALL,$DF464,8)&amp;"","")&amp;"␟"&amp;IFERROR(INDEX(PASTE_ALL,$DF464,9)&amp;"","")&amp;"␟"&amp;IFERROR(INDEX(PASTE_ALL,$DF464,10)&amp;"","")&amp;"␟"&amp;IFERROR(INDEX(PASTE_ALL,$DF464,11)&amp;"","")&amp;"␟"&amp;IFERROR(INDEX(PASTE_ALL,$DF464,12)&amp;"","")&amp;"␟"&amp;IFERROR(INDEX(PASTE_ALL,$DF464,13)&amp;"","")&amp;"␟"&amp;IFERROR(INDEX(PASTE_ALL,$DF464,14)&amp;"","")&amp;"␟"&amp;IFERROR(INDEX(PASTE_ALL,$DF464,15)&amp;"","")&amp;"␟"&amp;IFERROR(INDEX(PASTE_ALL,$DF464,16)&amp;"","")&amp;"␟"&amp;IFERROR(INDEX(PASTE_ALL,$DF464,17)&amp;"","")&amp;"␟"&amp;IFERROR(INDEX(PASTE_ALL,$DF464,18)&amp;"","")&amp;"␟"&amp;IFERROR(INDEX(PASTE_ALL,$DF464,19)&amp;"","")&amp;"␟"&amp;IFERROR(INDEX(PASTE_ALL,$DF464,20)&amp;"","")&amp;"␟"&amp;IFERROR(INDEX(PASTE_ALL,$DF464,21)&amp;"","")&amp;"␟"&amp;IFERROR(INDEX(PASTE_ALL,$DF464,22)&amp;"","")&amp;"␟"&amp;IFERROR(INDEX(PASTE_ALL,$DF464,23)&amp;"","")&amp;"␟"&amp;IFERROR(INDEX(PASTE_ALL,$DF464,24)&amp;"","")&amp;"␟"&amp;IFERROR(INDEX(PASTE_ALL,$DF464,25)&amp;"","")&amp;"␟"&amp;IFERROR(INDEX(PASTE_ALL,$DF464,26)&amp;"","")&amp;"␟"&amp;IFERROR(INDEX(PASTE_ALL,$DF464,27)&amp;"","")&amp;"␟"&amp;IFERROR(INDEX(PASTE_ALL,$DF464,28)&amp;"","")&amp;"␟"&amp;IFERROR(INDEX(PASTE_ALL,$DF464,29)&amp;"","")&amp;"␟"&amp;IFERROR(INDEX(PASTE_ALL,$DF464,30)&amp;"","")&amp;"␟"&amp;IFERROR(INDEX(PASTE_ALL,$DF464,31)&amp;"","")&amp;"␟"&amp;IFERROR(INDEX(PASTE_ALL,$DF464,32)&amp;"","")&amp;"␟"&amp;IFERROR(INDEX(PASTE_ALL,$DF464,33)&amp;"","")&amp;"␟"&amp;IFERROR(INDEX(PASTE_ALL,$DF464,34)&amp;"","")&amp;"␟"&amp;IFERROR(INDEX(PASTE_ALL,$DF464,35)&amp;"","")&amp;"␟"&amp;IFERROR(INDEX(PASTE_ALL,$DF464,36)&amp;"","")&amp;"␟"&amp;IFERROR(INDEX(PASTE_ALL,$DF464,37)&amp;"","")&amp;"␟"&amp;IFERROR(INDEX(PASTE_ALL,$DF464,38)&amp;"","")&amp;"␟"&amp;IFERROR(INDEX(PASTE_ALL,$DF464,39)&amp;"","")&amp;"␟"&amp;IFERROR(INDEX(PASTE_ALL,$DF464,40)&amp;"","")&amp;"␟"&amp;IFERROR(INDEX(PASTE_ALL,$DF464,41)&amp;"","")&amp;"␟"&amp;IFERROR(INDEX(PASTE_ALL,$DF464,42)&amp;"","")&amp;"␟"&amp;IFERROR(INDEX(PASTE_ALL,$DF464,43)&amp;"","")&amp;"␟"&amp;IFERROR(INDEX(PASTE_ALL,$DF464,44)&amp;"","")&amp;"␟"&amp;IFERROR(INDEX(PASTE_ALL,$DF464,45)&amp;"","")&amp;"␟"&amp;IFERROR(INDEX(PASTE_ALL,$DF464,46)&amp;"","")&amp;"␟"&amp;IFERROR(INDEX(PASTE_ALL,$DF464,47)&amp;"","")&amp;"␟"&amp;IFERROR(INDEX(PASTE_ALL,$DF464,48)&amp;"","")&amp;"␟"&amp;IFERROR(INDEX(PASTE_ALL,$DF464,49)&amp;"","")&amp;"␟"&amp;IFERROR(INDEX(PASTE_ALL,$DF464,50)&amp;"","")&amp;"␟"&amp;IFERROR(INDEX(PASTE_ALL,$DF464,51)&amp;"","")&amp;"␟"&amp;IFERROR(INDEX(PASTE_ALL,$DF464,52)&amp;"","")&amp;"␟"&amp;IFERROR(INDEX(PASTE_ALL,$DF464,53)&amp;"","")&amp;"␟"&amp;IFERROR(INDEX(PASTE_ALL,$DF464,54)&amp;"","")&amp;"␟"&amp;IFERROR(INDEX(PASTE_ALL,$DF464,55)&amp;"","")&amp;"␟"&amp;IFERROR(INDEX(PASTE_ALL,$DF464,56)&amp;"","")&amp;"␟"&amp;IFERROR(INDEX(PASTE_ALL,$DF464,57)&amp;"","")&amp;"␟"&amp;IFERROR(INDEX(PASTE_ALL,$DF464,58)&amp;"","")&amp;"␟"&amp;IFERROR(INDEX(PASTE_ALL,$DF464,59)&amp;"","")&amp;"␟"&amp;IFERROR(INDEX(PASTE_ALL,$DF464,60)&amp;"","")," "," "),CHAR(9)," "),CHAR(10)," "),CHAR(13)," "))," ␟","␟"),"␟ ","␟"),"#"&amp;$DE464),"")</f>
        <v/>
      </c>
      <c r="DJ464">
        <f>IF($DI464="",0,IF(SUMPRODUCT(--EXACT($DI$4:DI463,$DI464))&gt;0,1,0))</f>
        <v/>
      </c>
      <c r="DK464">
        <f>IF(AND($DI464&lt;&gt;"",$DJ464=0),1,0)</f>
        <v/>
      </c>
      <c r="DL464">
        <f>DL463+$DK464</f>
        <v/>
      </c>
      <c r="DM464">
        <f>IF(AND($DK464=1,$DL464&lt;=600),1,0)</f>
        <v/>
      </c>
      <c r="DN464">
        <f>IF($DM464=0,"",IF($L$6=0,"",IFERROR(IF(ISNUMBER(INDEX(PASTE_ALL,$DF464,$L$6)),INDEX(PASTE_ALL,$DF464,$L$6),TRIM(SUBSTITUTE(SUBSTITUTE(SUBSTITUTE(SUBSTITUTE(INDEX(PASTE_ALL,$DF464,$L$6)," "," "),CHAR(9)," "),CHAR(10)," "),CHAR(13)," "))),"")))</f>
        <v/>
      </c>
      <c r="DO464">
        <f>IF($DM464=0,"",IF($L$7=0,"",IFERROR(IF(ISNUMBER(INDEX(PASTE_ALL,$DF464,$L$7)),INDEX(PASTE_ALL,$DF464,$L$7),TRIM(SUBSTITUTE(SUBSTITUTE(SUBSTITUTE(SUBSTITUTE(INDEX(PASTE_ALL,$DF464,$L$7)," "," "),CHAR(9)," "),CHAR(10)," "),CHAR(13)," "))),"")))</f>
        <v/>
      </c>
      <c r="DP464">
        <f>IF($DM464=0,"",IF($L$8=0,"",IFERROR(IF(ISNUMBER(INDEX(PASTE_ALL,$DF464,$L$8)),INDEX(PASTE_ALL,$DF464,$L$8),TRIM(SUBSTITUTE(SUBSTITUTE(SUBSTITUTE(SUBSTITUTE(INDEX(PASTE_ALL,$DF464,$L$8)," "," "),CHAR(9)," "),CHAR(10)," "),CHAR(13)," "))),"")))</f>
        <v/>
      </c>
      <c r="DQ464">
        <f>IF($DM464=0,"",IF($L$9=0,"",IFERROR(IF(ISNUMBER(INDEX(PASTE_ALL,$DF464,$L$9)),INDEX(PASTE_ALL,$DF464,$L$9),TRIM(SUBSTITUTE(SUBSTITUTE(SUBSTITUTE(SUBSTITUTE(INDEX(PASTE_ALL,$DF464,$L$9)," "," "),CHAR(9)," "),CHAR(10)," "),CHAR(13)," "))),"")))</f>
        <v/>
      </c>
      <c r="DR464">
        <f>IF($DM464=0,"",IF($L$10=0,"",IFERROR(IF(ISNUMBER(INDEX(PASTE_ALL,$DF464,$L$10)),INDEX(PASTE_ALL,$DF464,$L$10),TRIM(SUBSTITUTE(SUBSTITUTE(SUBSTITUTE(SUBSTITUTE(INDEX(PASTE_ALL,$DF464,$L$10)," "," "),CHAR(9)," "),CHAR(10)," "),CHAR(13)," "))),"")))</f>
        <v/>
      </c>
      <c r="DS464">
        <f>IF($DM464=0,"",IF($L$11=0,"",IFERROR(IF(ISNUMBER(INDEX(PASTE_ALL,$DF464,$L$11)),INDEX(PASTE_ALL,$DF464,$L$11),TRIM(SUBSTITUTE(SUBSTITUTE(SUBSTITUTE(SUBSTITUTE(INDEX(PASTE_ALL,$DF464,$L$11)," "," "),CHAR(9)," "),CHAR(10)," "),CHAR(13)," "))),"")))</f>
        <v/>
      </c>
      <c r="DT464">
        <f>IF($DM464=0,"",IF($L$12=0,"",IFERROR(IF(ISNUMBER(INDEX(PASTE_ALL,$DF464,$L$12)),INDEX(PASTE_ALL,$DF464,$L$12),TRIM(SUBSTITUTE(SUBSTITUTE(SUBSTITUTE(SUBSTITUTE(INDEX(PASTE_ALL,$DF464,$L$12)," "," "),CHAR(9)," "),CHAR(10)," "),CHAR(13)," "))),"")))</f>
        <v/>
      </c>
      <c r="DU464">
        <f>IF($DM464=0,"",IF($L$13=0,"",IFERROR(IF(ISNUMBER(INDEX(PASTE_ALL,$DF464,$L$13)),INDEX(PASTE_ALL,$DF464,$L$13),TRIM(SUBSTITUTE(SUBSTITUTE(SUBSTITUTE(SUBSTITUTE(INDEX(PASTE_ALL,$DF464,$L$13)," "," "),CHAR(9)," "),CHAR(10)," "),CHAR(13)," "))),"")))</f>
        <v/>
      </c>
      <c r="DV464">
        <f>IF($DM464=0,"",IF($L$14=0,"",IFERROR(IF(ISNUMBER(INDEX(PASTE_ALL,$DF464,$L$14)),INDEX(PASTE_ALL,$DF464,$L$14),TRIM(SUBSTITUTE(SUBSTITUTE(SUBSTITUTE(SUBSTITUTE(INDEX(PASTE_ALL,$DF464,$L$14)," "," "),CHAR(9)," "),CHAR(10)," "),CHAR(13)," "))),"")))</f>
        <v/>
      </c>
      <c r="DW464">
        <f>IF($DM464=0,"",IF($L$15=0,"",IFERROR(IF(ISNUMBER(INDEX(PASTE_ALL,$DF464,$L$15)),INDEX(PASTE_ALL,$DF464,$L$15),IF(SUMPRODUCT(--ISNUMBER(FIND({"A","B","C","D","E","F","G","H","I","J","K","L","M","N","O","P","Q","R","S","T","U","V","W","X","Y","Z","0","1","2","3","4","5","6","7","8","9"},UPPER(TRIM(SUBSTITUTE(SUBSTITUTE(SUBSTITUTE(SUBSTITUTE(INDEX(PASTE_ALL,$DF464,$L$15)," "," "),CHAR(9)," "),CHAR(10)," "),CHAR(13)," "))))))&gt;0,TRIM(SUBSTITUTE(SUBSTITUTE(SUBSTITUTE(SUBSTITUTE(INDEX(PASTE_ALL,$DF464,$L$15)," "," "),CHAR(9)," "),CHAR(10)," "),CHAR(13)," ")),"")),"")))</f>
        <v/>
      </c>
      <c r="DX464">
        <f>IF($DM464=0,"",IF($L$16=0,"",IFERROR(IF(ISNUMBER(INDEX(PASTE_ALL,$DF464,$L$16)),INDEX(PASTE_ALL,$DF464,$L$16),SUBSTITUTE(SUBSTITUTE(TRIM(SUBSTITUTE(SUBSTITUTE(SUBSTITUTE(SUBSTITUTE(INDEX(PASTE_ALL,$DF464,$L$16)," "," "),CHAR(9)," "),CHAR(10)," "),CHAR(13)," ")),",",""),"%","")),"")))</f>
        <v/>
      </c>
      <c r="DY464">
        <f>IF($DM464=0,"",IFERROR(IF(ISNUMBER($DX464),$DX464,IF($DX464="","",IF(TRIM($DX464)="",0,IF(AND(AND(SUBSTITUTE(SUBSTITUTE(SUBSTITUTE(SUBSTITUTE(SUBSTITUTE(SUBSTITUTE(SUBSTITUTE(SUBSTITUTE(SUBSTITUTE(SUBSTITUTE(SUBSTITUTE(SUBSTITUTE(SUBSTITUTE(SUBSTITUTE(UPPER(TRIM($DX464)),"0",""),"1",""),"2",""),"3",""),"4",""),"5",""),"6",""),"7",""),"8",""),"9",""),".",""),"+",""),"-",""),"E","")="",LEN(SUBSTITUTE(SUBSTITUTE(MID(UPPER(TRIM($DX464)),1+OR(LEFT(UPPER(TRIM($DX464)),1)="+",LEFT(UPPER(TRIM($DX464)),1)="-"),999),"E+","E"),"E-","E"))=LEN(SUBSTITUTE(SUBSTITUTE(SUBSTITUTE(SUBSTITUTE(MID(UPPER(TRIM($DX464)),1+OR(LEFT(UPPER(TRIM($DX464)),1)="+",LEFT(UPPER(TRIM($DX464)),1)="-"),999),"E+","E"),"E-","E"),"+",""),"-","")),LEN(UPPER(TRIM($DX464)))-LEN(SUBSTITUTE(UPPER(TRIM($DX464)),"E",""))&lt;2,LEN(UPPER(TRIM($DX464)))-LEN(SUBSTITUTE(UPPER(TRIM($DX464)),".",""))&lt;2,IFERROR(FIND(".",UPPER(TRIM($DX464))),0)&lt;IFERROR(FIND("E",UPPER(TRIM($DX464))),999)),ISNUMBER(VALUE(TRIM($DX464)))),VALUE(TRIM($DX464)),"")))),""))</f>
        <v/>
      </c>
      <c r="DZ464">
        <f>IF($DM464=0,"",IF($L$17=0,"",IFERROR(IF(ISNUMBER(INDEX(PASTE_ALL,$DF464,$L$17)),INDEX(PASTE_ALL,$DF464,$L$17),SUBSTITUTE(SUBSTITUTE(TRIM(SUBSTITUTE(SUBSTITUTE(SUBSTITUTE(SUBSTITUTE(INDEX(PASTE_ALL,$DF464,$L$17)," "," "),CHAR(9)," "),CHAR(10)," "),CHAR(13)," ")),",",""),"%","")),"")))</f>
        <v/>
      </c>
      <c r="EA464">
        <f>IF($DM464=0,"",IFERROR(IF(ISNUMBER($DZ464),$DZ464,IF($DZ464="","",IF(TRIM($DZ464)="",0,IF(AND(AND(SUBSTITUTE(SUBSTITUTE(SUBSTITUTE(SUBSTITUTE(SUBSTITUTE(SUBSTITUTE(SUBSTITUTE(SUBSTITUTE(SUBSTITUTE(SUBSTITUTE(SUBSTITUTE(SUBSTITUTE(SUBSTITUTE(SUBSTITUTE(UPPER(TRIM($DZ464)),"0",""),"1",""),"2",""),"3",""),"4",""),"5",""),"6",""),"7",""),"8",""),"9",""),".",""),"+",""),"-",""),"E","")="",LEN(SUBSTITUTE(SUBSTITUTE(MID(UPPER(TRIM($DZ464)),1+OR(LEFT(UPPER(TRIM($DZ464)),1)="+",LEFT(UPPER(TRIM($DZ464)),1)="-"),999),"E+","E"),"E-","E"))=LEN(SUBSTITUTE(SUBSTITUTE(SUBSTITUTE(SUBSTITUTE(MID(UPPER(TRIM($DZ464)),1+OR(LEFT(UPPER(TRIM($DZ464)),1)="+",LEFT(UPPER(TRIM($DZ464)),1)="-"),999),"E+","E"),"E-","E"),"+",""),"-","")),LEN(UPPER(TRIM($DZ464)))-LEN(SUBSTITUTE(UPPER(TRIM($DZ464)),"E",""))&lt;2,LEN(UPPER(TRIM($DZ464)))-LEN(SUBSTITUTE(UPPER(TRIM($DZ464)),".",""))&lt;2,IFERROR(FIND(".",UPPER(TRIM($DZ464))),0)&lt;IFERROR(FIND("E",UPPER(TRIM($DZ464))),999)),ISNUMBER(VALUE(TRIM($DZ464)))),VALUE(TRIM($DZ464)),"")))),""))</f>
        <v/>
      </c>
      <c r="EB464">
        <f>IF($DM464=0,"",IF($L$18=0,"",IFERROR(IF(UPPER(TRIM(SUBSTITUTE(SUBSTITUTE(SUBSTITUTE(SUBSTITUTE(INDEX(PASTE_ALL,$DF464,$L$18)," "," "),CHAR(9)," "),CHAR(10)," "),CHAR(13)," ")))="READY","Ready",IF(UPPER(TRIM(SUBSTITUTE(SUBSTITUTE(SUBSTITUTE(SUBSTITUTE(INDEX(PASTE_ALL,$DF464,$L$18)," "," "),CHAR(9)," "),CHAR(10)," "),CHAR(13)," ")))="PM","PM",IF(OR(UPPER(TRIM(SUBSTITUTE(SUBSTITUTE(SUBSTITUTE(SUBSTITUTE(INDEX(PASTE_ALL,$DF464,$L$18)," "," "),CHAR(9)," "),CHAR(10)," "),CHAR(13)," ")))="OT",UPPER(TRIM(SUBSTITUTE(SUBSTITUTE(SUBSTITUTE(SUBSTITUTE(INDEX(PASTE_ALL,$DF464,$L$18)," "," "),CHAR(9)," "),CHAR(10)," "),CHAR(13)," ")))="OVERTIME",UPPER(TRIM(SUBSTITUTE(SUBSTITUTE(SUBSTITUTE(SUBSTITUTE(INDEX(PASTE_ALL,$DF464,$L$18)," "," "),CHAR(9)," "),CHAR(10)," "),CHAR(13)," ")))="TRIAL"),"OT",TRIM(SUBSTITUTE(SUBSTITUTE(SUBSTITUTE(SUBSTITUTE(INDEX(PASTE_ALL,$DF464,$L$18)," "," "),CHAR(9)," "),CHAR(10)," "),CHAR(13)," "))))),"")))</f>
        <v/>
      </c>
      <c r="EC464">
        <f>IF($DM464=0,"",IF($L$19=0,"",IFERROR(IF(ISNUMBER(INDEX(PASTE_ALL,$DF464,$L$19)),INDEX(PASTE_ALL,$DF464,$L$19),TRIM(SUBSTITUTE(SUBSTITUTE(SUBSTITUTE(SUBSTITUTE(INDEX(PASTE_ALL,$DF464,$L$19)," "," "),CHAR(9)," "),CHAR(10)," "),CHAR(13)," "))),"")))</f>
        <v/>
      </c>
      <c r="ED464">
        <f>IF($DM464=0,"",MATCH(1,INDEX(EXACT($DH$5:DH464,$DH464)*$DM$5:DM464,0),0))</f>
        <v/>
      </c>
      <c r="EE464">
        <f>IF($DM464=0,0,IF($ED464=$DE464,1,0))</f>
        <v/>
      </c>
      <c r="EF464">
        <f>EF463+$EE464</f>
        <v/>
      </c>
      <c r="EG464">
        <f>IF($DM464=0,"",INDEX($EF$5:$EF$1003,$ED464))</f>
        <v/>
      </c>
      <c r="EH464">
        <f>IF($DM464=0,"",IF($DO464&lt;&gt;"","",IFERROR(LOOKUP(2,1/(($EG$4:EG463=$EG464)*($DO$4:DO463&lt;&gt;"")),$DO$4:DO463),"")))</f>
        <v/>
      </c>
      <c r="EI464">
        <f>IF($DM464=0,"",IF($DO464&lt;&gt;"",$DO464,$EH464))</f>
        <v/>
      </c>
      <c r="EJ464">
        <f>IF($DM464=0,"",IF($EI464="",0,IF(OR(ISNUMBER($EI464),AND(AND(SUBSTITUTE(SUBSTITUTE(SUBSTITUTE(SUBSTITUTE(SUBSTITUTE(SUBSTITUTE(SUBSTITUTE(SUBSTITUTE(SUBSTITUTE(SUBSTITUTE(SUBSTITUTE(SUBSTITUTE(SUBSTITUTE(SUBSTITUTE(UPPER($EI464),"0",""),"1",""),"2",""),"3",""),"4",""),"5",""),"6",""),"7",""),"8",""),"9",""),".",""),"+",""),"-",""),"E","")="",LEN(SUBSTITUTE(SUBSTITUTE(MID(UPPER($EI464),1+OR(LEFT(UPPER($EI464),1)="+",LEFT(UPPER($EI464),1)="-"),999),"E+","E"),"E-","E"))=LEN(SUBSTITUTE(SUBSTITUTE(SUBSTITUTE(SUBSTITUTE(MID(UPPER($EI464),1+OR(LEFT(UPPER($EI464),1)="+",LEFT(UPPER($EI464),1)="-"),999),"E+","E"),"E-","E"),"+",""),"-","")),LEN(UPPER($EI464))-LEN(SUBSTITUTE(UPPER($EI464),"E",""))&lt;2,LEN(UPPER($EI464))-LEN(SUBSTITUTE(UPPER($EI464),".",""))&lt;2,IFERROR(FIND(".",UPPER($EI464)),0)&lt;IFERROR(FIND("E",UPPER($EI464)),999)),ISNUMBER(VALUE($EI464)))),1,2)))</f>
        <v/>
      </c>
      <c r="EK464">
        <f>IF($DM464=0,"",IF($EJ464=1,IF(ISNUMBER($EI464),$EI464,VALUE($EI464)),IF($EJ464=2,$DE464,0)))</f>
        <v/>
      </c>
      <c r="EL464">
        <f>IF($DM464=0,"",COUNTIF($EG$5:$EG$1003,"&lt;"&amp;$EG464)+SUMPRODUCT(($EG$5:$EG$1003=$EG464)*(($EJ$5:$EJ$1003&lt;$EJ464)+($EJ$5:$EJ$1003=$EJ464)*(($EK$5:$EK$1003&lt;$EK464)+($EK$5:$EK$1003=$EK464)*($DE$5:$DE$1003&lt;$DE464))))+1)</f>
        <v/>
      </c>
      <c r="EM464">
        <f>IF($DM464=0,"",$EL464+$EG464-1)</f>
        <v/>
      </c>
      <c r="EN464">
        <f>IF($DM464=0,0,IFERROR(MATCH(1,INDEX(--(TRIM(SUBSTITUTE(SUBSTITUTE(SUBSTITUTE(SUBSTITUTE(LINES_NAME&amp;""," "," "),CHAR(9)," "),CHAR(10)," "),CHAR(13)," "))=$DH464),0),0),0))</f>
        <v/>
      </c>
      <c r="EO464">
        <f>IF($EN464=0,0,IF(OR(UPPER(TRIM(INDEX(LINES_SCHEDULED,$EN464)&amp;""))="YES",UPPER(TRIM(INDEX(LINES_SCHEDULED,$EN464)&amp;""))="Y",UPPER(TRIM(INDEX(LINES_SCHEDULED,$EN464)&amp;""))="X"),1,0))</f>
        <v/>
      </c>
      <c r="EP464">
        <f>IF($DM464=0,"",IF(COUNTIFS($EG$5:$EG$1003,$EG464,$EB$5:$EB$1003,"Ready")&gt;0,"READY",IF(COUNTIFS($EG$5:$EG$1003,$EG464,$EB$5:$EB$1003,"PM")&gt;0,"PM",IF(COUNTIFS($EG$5:$EG$1003,$EG464,$EB$5:$EB$1003,"OT")&gt;0,"OT",""))))</f>
        <v/>
      </c>
      <c r="EQ464">
        <f>IF($EN464=0,"",UPPER(TRIM(INDEX(LINES_STATUS,$EN464)&amp;"")))</f>
        <v/>
      </c>
      <c r="ER464">
        <f>IF($DM464=0,"",IF(OR($EQ464="READY",$EQ464="PM",$EQ464="OT"),$EQ464,$EP464))</f>
        <v/>
      </c>
      <c r="ES464">
        <f>IF($DM464=0,"",IF(AND($DV464&lt;&gt;"",UPPER($DV464)&lt;&gt;"N"),"allergen",IF(ISNUMBER(SEARCH("oil",$DQ464)),"oil",IF(OR(EXACT($DS464,"A662"),EXACT($DS464,"A624")),"bulk",""))))</f>
        <v/>
      </c>
      <c r="ET464">
        <f>IF($DM464=0,"",IF(OR($EA464="",$EA464=0),"",$EA464/100))</f>
        <v/>
      </c>
      <c r="EU464">
        <f>IF(OR($ET464="",$DY464=""),"",INT($DY464*(1-$ET464)+0.5))</f>
        <v/>
      </c>
      <c r="EW464" t="n">
        <v>460</v>
      </c>
      <c r="EX464">
        <f>IFERROR(MATCH($EW464,$EM$5:$EM$1003,0),0)</f>
        <v/>
      </c>
      <c r="EY464">
        <f>IF($EW464&gt;$B$12,"",IF($EX464&gt;0,"row","spacer"))</f>
        <v/>
      </c>
      <c r="EZ464">
        <f>IF(AND($EY464="row",$EY463&lt;&gt;"row"),1,0)</f>
        <v/>
      </c>
      <c r="FA464">
        <f>IF(AND($EY464="row",$EY465&lt;&gt;"row"),1,0)</f>
        <v/>
      </c>
      <c r="FB464">
        <f>IF($EZ464=1,IFERROR(IF(ISNUMBER(INDEX(PASTE_ALL,INDEX($DF$5:$DF$1003,$EX464),$B$37)),INDEX(PASTE_ALL,INDEX($DF$5:$DF$1003,$EX464),$B$37),INDEX($DH$5:$DH$1003,$EX464)),INDEX($DH$5:$DH$1003,$EX464)),"")</f>
        <v/>
      </c>
      <c r="FC464">
        <f>IF($EY464="row",INDEX($ER$5:$ER$1003,$EX464),"")</f>
        <v/>
      </c>
      <c r="FD464">
        <f>IF($EY464="row",INDEX($DN$5:$DN$1003,$EX464),"")</f>
        <v/>
      </c>
      <c r="FE464">
        <f>IF($EY464="row",INDEX($DO$5:$DO$1003,$EX464),"")</f>
        <v/>
      </c>
      <c r="FF464">
        <f>IF($EY464="row",INDEX($DP$5:$DP$1003,$EX464),"")</f>
        <v/>
      </c>
      <c r="FG464">
        <f>IF($EY464="row",INDEX($DQ$5:$DQ$1003,$EX464),"")</f>
        <v/>
      </c>
      <c r="FH464">
        <f>IF($EY464="row",INDEX($DR$5:$DR$1003,$EX464),"")</f>
        <v/>
      </c>
      <c r="FI464">
        <f>IF($EY464="row",INDEX($DS$5:$DS$1003,$EX464),"")</f>
        <v/>
      </c>
      <c r="FJ464">
        <f>IF($EY464="row",INDEX($DT$5:$DT$1003,$EX464),"")</f>
        <v/>
      </c>
      <c r="FK464">
        <f>IF($EY464="row",INDEX($DU$5:$DU$1003,$EX464),"")</f>
        <v/>
      </c>
      <c r="FL464">
        <f>IF($EY464="row",INDEX($DV$5:$DV$1003,$EX464),"")</f>
        <v/>
      </c>
      <c r="FM464">
        <f>IF($EY464="row",INDEX($DW$5:$DW$1003,$EX464),"")</f>
        <v/>
      </c>
      <c r="FN464">
        <f>IF($EY464="row",INDEX($DY$5:$DY$1003,$EX464),"")</f>
        <v/>
      </c>
      <c r="FO464">
        <f>IF($EY464="row",INDEX($EA$5:$EA$1003,$EX464),"")</f>
        <v/>
      </c>
      <c r="FP464">
        <f>IF($EY464="row",INDEX($EC$5:$EC$1003,$EX464),"")</f>
        <v/>
      </c>
      <c r="FQ464">
        <f>IF($EY464="row",INDEX($ET$5:$ET$1003,$EX464),"")</f>
        <v/>
      </c>
      <c r="FR464">
        <f>IF($EY464="row",INDEX($EU$5:$EU$1003,$EX464),"")</f>
        <v/>
      </c>
      <c r="FS464">
        <f>IF(AND($EY464="row",$EY463="row"),IF(OR(INDEX($DT$5:$DT$1003,$EX463)="",INDEX($DT$5:$DT$1003,$EX464)=""),"",IF(NOT(EXACT(INDEX($DT$5:$DT$1003,$EX463),INDEX($DT$5:$DT$1003,$EX464))),"S4",IF(NOT(EXACT(INDEX($DS$5:$DS$1003,$EX463),INDEX($DS$5:$DS$1003,$EX464))),"S3",IF(NOT(EXACT(INDEX($DR$5:$DR$1003,$EX463),INDEX($DR$5:$DR$1003,$EX464))),"S1 Count Change","S1")))),"")</f>
        <v/>
      </c>
      <c r="FT464">
        <f>IF($EY464="row",INDEX($ES$5:$ES$1003,$EX464),"")</f>
        <v/>
      </c>
      <c r="FU464">
        <f>IF($EY464="row",INDEX($EO$5:$EO$1003,$EX464),0)</f>
        <v/>
      </c>
      <c r="FV464">
        <f>IF($FS464="S1 Count Change",1,0)</f>
        <v/>
      </c>
    </row>
    <row r="465">
      <c r="DA465" t="n">
        <v>461</v>
      </c>
      <c r="DB465">
        <f>IF($B$37=0,"",IFERROR(TRIM(SUBSTITUTE(SUBSTITUTE(SUBSTITUTE(SUBSTITUTE(INDEX(PASTE_ALL,461,$B$37)," "," "),CHAR(9)," "),CHAR(10)," "),CHAR(13)," ")),""))</f>
        <v/>
      </c>
      <c r="DC465">
        <f>IF(AND(461&gt;HEADER_ROW,UPPER(DB465)="LEGEND"),1,0)</f>
        <v/>
      </c>
      <c r="DE465" t="n">
        <v>461</v>
      </c>
      <c r="DF465">
        <f>HEADER_ROW+$DE465</f>
        <v/>
      </c>
      <c r="DG465">
        <f>IF(AND($DF465&lt;=1000,$DF465&lt;$B$8),1,0)</f>
        <v/>
      </c>
      <c r="DH465">
        <f>IF($DG465=1,IFERROR(INDEX($DB$5:$DB$1004,$DF465),""),"")</f>
        <v/>
      </c>
      <c r="DI465">
        <f>IF(AND($DG465=1,$DH465&lt;&gt;""),IFERROR(SUBSTITUTE(SUBSTITUTE(TRIM(SUBSTITUTE(SUBSTITUTE(SUBSTITUTE(SUBSTITUTE(IFERROR(INDEX(PASTE_ALL,$DF465,1)&amp;"","")&amp;"␟"&amp;IFERROR(INDEX(PASTE_ALL,$DF465,2)&amp;"","")&amp;"␟"&amp;IFERROR(INDEX(PASTE_ALL,$DF465,3)&amp;"","")&amp;"␟"&amp;IFERROR(INDEX(PASTE_ALL,$DF465,4)&amp;"","")&amp;"␟"&amp;IFERROR(INDEX(PASTE_ALL,$DF465,5)&amp;"","")&amp;"␟"&amp;IFERROR(INDEX(PASTE_ALL,$DF465,6)&amp;"","")&amp;"␟"&amp;IFERROR(INDEX(PASTE_ALL,$DF465,7)&amp;"","")&amp;"␟"&amp;IFERROR(INDEX(PASTE_ALL,$DF465,8)&amp;"","")&amp;"␟"&amp;IFERROR(INDEX(PASTE_ALL,$DF465,9)&amp;"","")&amp;"␟"&amp;IFERROR(INDEX(PASTE_ALL,$DF465,10)&amp;"","")&amp;"␟"&amp;IFERROR(INDEX(PASTE_ALL,$DF465,11)&amp;"","")&amp;"␟"&amp;IFERROR(INDEX(PASTE_ALL,$DF465,12)&amp;"","")&amp;"␟"&amp;IFERROR(INDEX(PASTE_ALL,$DF465,13)&amp;"","")&amp;"␟"&amp;IFERROR(INDEX(PASTE_ALL,$DF465,14)&amp;"","")&amp;"␟"&amp;IFERROR(INDEX(PASTE_ALL,$DF465,15)&amp;"","")&amp;"␟"&amp;IFERROR(INDEX(PASTE_ALL,$DF465,16)&amp;"","")&amp;"␟"&amp;IFERROR(INDEX(PASTE_ALL,$DF465,17)&amp;"","")&amp;"␟"&amp;IFERROR(INDEX(PASTE_ALL,$DF465,18)&amp;"","")&amp;"␟"&amp;IFERROR(INDEX(PASTE_ALL,$DF465,19)&amp;"","")&amp;"␟"&amp;IFERROR(INDEX(PASTE_ALL,$DF465,20)&amp;"","")&amp;"␟"&amp;IFERROR(INDEX(PASTE_ALL,$DF465,21)&amp;"","")&amp;"␟"&amp;IFERROR(INDEX(PASTE_ALL,$DF465,22)&amp;"","")&amp;"␟"&amp;IFERROR(INDEX(PASTE_ALL,$DF465,23)&amp;"","")&amp;"␟"&amp;IFERROR(INDEX(PASTE_ALL,$DF465,24)&amp;"","")&amp;"␟"&amp;IFERROR(INDEX(PASTE_ALL,$DF465,25)&amp;"","")&amp;"␟"&amp;IFERROR(INDEX(PASTE_ALL,$DF465,26)&amp;"","")&amp;"␟"&amp;IFERROR(INDEX(PASTE_ALL,$DF465,27)&amp;"","")&amp;"␟"&amp;IFERROR(INDEX(PASTE_ALL,$DF465,28)&amp;"","")&amp;"␟"&amp;IFERROR(INDEX(PASTE_ALL,$DF465,29)&amp;"","")&amp;"␟"&amp;IFERROR(INDEX(PASTE_ALL,$DF465,30)&amp;"","")&amp;"␟"&amp;IFERROR(INDEX(PASTE_ALL,$DF465,31)&amp;"","")&amp;"␟"&amp;IFERROR(INDEX(PASTE_ALL,$DF465,32)&amp;"","")&amp;"␟"&amp;IFERROR(INDEX(PASTE_ALL,$DF465,33)&amp;"","")&amp;"␟"&amp;IFERROR(INDEX(PASTE_ALL,$DF465,34)&amp;"","")&amp;"␟"&amp;IFERROR(INDEX(PASTE_ALL,$DF465,35)&amp;"","")&amp;"␟"&amp;IFERROR(INDEX(PASTE_ALL,$DF465,36)&amp;"","")&amp;"␟"&amp;IFERROR(INDEX(PASTE_ALL,$DF465,37)&amp;"","")&amp;"␟"&amp;IFERROR(INDEX(PASTE_ALL,$DF465,38)&amp;"","")&amp;"␟"&amp;IFERROR(INDEX(PASTE_ALL,$DF465,39)&amp;"","")&amp;"␟"&amp;IFERROR(INDEX(PASTE_ALL,$DF465,40)&amp;"","")&amp;"␟"&amp;IFERROR(INDEX(PASTE_ALL,$DF465,41)&amp;"","")&amp;"␟"&amp;IFERROR(INDEX(PASTE_ALL,$DF465,42)&amp;"","")&amp;"␟"&amp;IFERROR(INDEX(PASTE_ALL,$DF465,43)&amp;"","")&amp;"␟"&amp;IFERROR(INDEX(PASTE_ALL,$DF465,44)&amp;"","")&amp;"␟"&amp;IFERROR(INDEX(PASTE_ALL,$DF465,45)&amp;"","")&amp;"␟"&amp;IFERROR(INDEX(PASTE_ALL,$DF465,46)&amp;"","")&amp;"␟"&amp;IFERROR(INDEX(PASTE_ALL,$DF465,47)&amp;"","")&amp;"␟"&amp;IFERROR(INDEX(PASTE_ALL,$DF465,48)&amp;"","")&amp;"␟"&amp;IFERROR(INDEX(PASTE_ALL,$DF465,49)&amp;"","")&amp;"␟"&amp;IFERROR(INDEX(PASTE_ALL,$DF465,50)&amp;"","")&amp;"␟"&amp;IFERROR(INDEX(PASTE_ALL,$DF465,51)&amp;"","")&amp;"␟"&amp;IFERROR(INDEX(PASTE_ALL,$DF465,52)&amp;"","")&amp;"␟"&amp;IFERROR(INDEX(PASTE_ALL,$DF465,53)&amp;"","")&amp;"␟"&amp;IFERROR(INDEX(PASTE_ALL,$DF465,54)&amp;"","")&amp;"␟"&amp;IFERROR(INDEX(PASTE_ALL,$DF465,55)&amp;"","")&amp;"␟"&amp;IFERROR(INDEX(PASTE_ALL,$DF465,56)&amp;"","")&amp;"␟"&amp;IFERROR(INDEX(PASTE_ALL,$DF465,57)&amp;"","")&amp;"␟"&amp;IFERROR(INDEX(PASTE_ALL,$DF465,58)&amp;"","")&amp;"␟"&amp;IFERROR(INDEX(PASTE_ALL,$DF465,59)&amp;"","")&amp;"␟"&amp;IFERROR(INDEX(PASTE_ALL,$DF465,60)&amp;"","")," "," "),CHAR(9)," "),CHAR(10)," "),CHAR(13)," "))," ␟","␟"),"␟ ","␟"),"#"&amp;$DE465),"")</f>
        <v/>
      </c>
      <c r="DJ465">
        <f>IF($DI465="",0,IF(SUMPRODUCT(--EXACT($DI$4:DI464,$DI465))&gt;0,1,0))</f>
        <v/>
      </c>
      <c r="DK465">
        <f>IF(AND($DI465&lt;&gt;"",$DJ465=0),1,0)</f>
        <v/>
      </c>
      <c r="DL465">
        <f>DL464+$DK465</f>
        <v/>
      </c>
      <c r="DM465">
        <f>IF(AND($DK465=1,$DL465&lt;=600),1,0)</f>
        <v/>
      </c>
      <c r="DN465">
        <f>IF($DM465=0,"",IF($L$6=0,"",IFERROR(IF(ISNUMBER(INDEX(PASTE_ALL,$DF465,$L$6)),INDEX(PASTE_ALL,$DF465,$L$6),TRIM(SUBSTITUTE(SUBSTITUTE(SUBSTITUTE(SUBSTITUTE(INDEX(PASTE_ALL,$DF465,$L$6)," "," "),CHAR(9)," "),CHAR(10)," "),CHAR(13)," "))),"")))</f>
        <v/>
      </c>
      <c r="DO465">
        <f>IF($DM465=0,"",IF($L$7=0,"",IFERROR(IF(ISNUMBER(INDEX(PASTE_ALL,$DF465,$L$7)),INDEX(PASTE_ALL,$DF465,$L$7),TRIM(SUBSTITUTE(SUBSTITUTE(SUBSTITUTE(SUBSTITUTE(INDEX(PASTE_ALL,$DF465,$L$7)," "," "),CHAR(9)," "),CHAR(10)," "),CHAR(13)," "))),"")))</f>
        <v/>
      </c>
      <c r="DP465">
        <f>IF($DM465=0,"",IF($L$8=0,"",IFERROR(IF(ISNUMBER(INDEX(PASTE_ALL,$DF465,$L$8)),INDEX(PASTE_ALL,$DF465,$L$8),TRIM(SUBSTITUTE(SUBSTITUTE(SUBSTITUTE(SUBSTITUTE(INDEX(PASTE_ALL,$DF465,$L$8)," "," "),CHAR(9)," "),CHAR(10)," "),CHAR(13)," "))),"")))</f>
        <v/>
      </c>
      <c r="DQ465">
        <f>IF($DM465=0,"",IF($L$9=0,"",IFERROR(IF(ISNUMBER(INDEX(PASTE_ALL,$DF465,$L$9)),INDEX(PASTE_ALL,$DF465,$L$9),TRIM(SUBSTITUTE(SUBSTITUTE(SUBSTITUTE(SUBSTITUTE(INDEX(PASTE_ALL,$DF465,$L$9)," "," "),CHAR(9)," "),CHAR(10)," "),CHAR(13)," "))),"")))</f>
        <v/>
      </c>
      <c r="DR465">
        <f>IF($DM465=0,"",IF($L$10=0,"",IFERROR(IF(ISNUMBER(INDEX(PASTE_ALL,$DF465,$L$10)),INDEX(PASTE_ALL,$DF465,$L$10),TRIM(SUBSTITUTE(SUBSTITUTE(SUBSTITUTE(SUBSTITUTE(INDEX(PASTE_ALL,$DF465,$L$10)," "," "),CHAR(9)," "),CHAR(10)," "),CHAR(13)," "))),"")))</f>
        <v/>
      </c>
      <c r="DS465">
        <f>IF($DM465=0,"",IF($L$11=0,"",IFERROR(IF(ISNUMBER(INDEX(PASTE_ALL,$DF465,$L$11)),INDEX(PASTE_ALL,$DF465,$L$11),TRIM(SUBSTITUTE(SUBSTITUTE(SUBSTITUTE(SUBSTITUTE(INDEX(PASTE_ALL,$DF465,$L$11)," "," "),CHAR(9)," "),CHAR(10)," "),CHAR(13)," "))),"")))</f>
        <v/>
      </c>
      <c r="DT465">
        <f>IF($DM465=0,"",IF($L$12=0,"",IFERROR(IF(ISNUMBER(INDEX(PASTE_ALL,$DF465,$L$12)),INDEX(PASTE_ALL,$DF465,$L$12),TRIM(SUBSTITUTE(SUBSTITUTE(SUBSTITUTE(SUBSTITUTE(INDEX(PASTE_ALL,$DF465,$L$12)," "," "),CHAR(9)," "),CHAR(10)," "),CHAR(13)," "))),"")))</f>
        <v/>
      </c>
      <c r="DU465">
        <f>IF($DM465=0,"",IF($L$13=0,"",IFERROR(IF(ISNUMBER(INDEX(PASTE_ALL,$DF465,$L$13)),INDEX(PASTE_ALL,$DF465,$L$13),TRIM(SUBSTITUTE(SUBSTITUTE(SUBSTITUTE(SUBSTITUTE(INDEX(PASTE_ALL,$DF465,$L$13)," "," "),CHAR(9)," "),CHAR(10)," "),CHAR(13)," "))),"")))</f>
        <v/>
      </c>
      <c r="DV465">
        <f>IF($DM465=0,"",IF($L$14=0,"",IFERROR(IF(ISNUMBER(INDEX(PASTE_ALL,$DF465,$L$14)),INDEX(PASTE_ALL,$DF465,$L$14),TRIM(SUBSTITUTE(SUBSTITUTE(SUBSTITUTE(SUBSTITUTE(INDEX(PASTE_ALL,$DF465,$L$14)," "," "),CHAR(9)," "),CHAR(10)," "),CHAR(13)," "))),"")))</f>
        <v/>
      </c>
      <c r="DW465">
        <f>IF($DM465=0,"",IF($L$15=0,"",IFERROR(IF(ISNUMBER(INDEX(PASTE_ALL,$DF465,$L$15)),INDEX(PASTE_ALL,$DF465,$L$15),IF(SUMPRODUCT(--ISNUMBER(FIND({"A","B","C","D","E","F","G","H","I","J","K","L","M","N","O","P","Q","R","S","T","U","V","W","X","Y","Z","0","1","2","3","4","5","6","7","8","9"},UPPER(TRIM(SUBSTITUTE(SUBSTITUTE(SUBSTITUTE(SUBSTITUTE(INDEX(PASTE_ALL,$DF465,$L$15)," "," "),CHAR(9)," "),CHAR(10)," "),CHAR(13)," "))))))&gt;0,TRIM(SUBSTITUTE(SUBSTITUTE(SUBSTITUTE(SUBSTITUTE(INDEX(PASTE_ALL,$DF465,$L$15)," "," "),CHAR(9)," "),CHAR(10)," "),CHAR(13)," ")),"")),"")))</f>
        <v/>
      </c>
      <c r="DX465">
        <f>IF($DM465=0,"",IF($L$16=0,"",IFERROR(IF(ISNUMBER(INDEX(PASTE_ALL,$DF465,$L$16)),INDEX(PASTE_ALL,$DF465,$L$16),SUBSTITUTE(SUBSTITUTE(TRIM(SUBSTITUTE(SUBSTITUTE(SUBSTITUTE(SUBSTITUTE(INDEX(PASTE_ALL,$DF465,$L$16)," "," "),CHAR(9)," "),CHAR(10)," "),CHAR(13)," ")),",",""),"%","")),"")))</f>
        <v/>
      </c>
      <c r="DY465">
        <f>IF($DM465=0,"",IFERROR(IF(ISNUMBER($DX465),$DX465,IF($DX465="","",IF(TRIM($DX465)="",0,IF(AND(AND(SUBSTITUTE(SUBSTITUTE(SUBSTITUTE(SUBSTITUTE(SUBSTITUTE(SUBSTITUTE(SUBSTITUTE(SUBSTITUTE(SUBSTITUTE(SUBSTITUTE(SUBSTITUTE(SUBSTITUTE(SUBSTITUTE(SUBSTITUTE(UPPER(TRIM($DX465)),"0",""),"1",""),"2",""),"3",""),"4",""),"5",""),"6",""),"7",""),"8",""),"9",""),".",""),"+",""),"-",""),"E","")="",LEN(SUBSTITUTE(SUBSTITUTE(MID(UPPER(TRIM($DX465)),1+OR(LEFT(UPPER(TRIM($DX465)),1)="+",LEFT(UPPER(TRIM($DX465)),1)="-"),999),"E+","E"),"E-","E"))=LEN(SUBSTITUTE(SUBSTITUTE(SUBSTITUTE(SUBSTITUTE(MID(UPPER(TRIM($DX465)),1+OR(LEFT(UPPER(TRIM($DX465)),1)="+",LEFT(UPPER(TRIM($DX465)),1)="-"),999),"E+","E"),"E-","E"),"+",""),"-","")),LEN(UPPER(TRIM($DX465)))-LEN(SUBSTITUTE(UPPER(TRIM($DX465)),"E",""))&lt;2,LEN(UPPER(TRIM($DX465)))-LEN(SUBSTITUTE(UPPER(TRIM($DX465)),".",""))&lt;2,IFERROR(FIND(".",UPPER(TRIM($DX465))),0)&lt;IFERROR(FIND("E",UPPER(TRIM($DX465))),999)),ISNUMBER(VALUE(TRIM($DX465)))),VALUE(TRIM($DX465)),"")))),""))</f>
        <v/>
      </c>
      <c r="DZ465">
        <f>IF($DM465=0,"",IF($L$17=0,"",IFERROR(IF(ISNUMBER(INDEX(PASTE_ALL,$DF465,$L$17)),INDEX(PASTE_ALL,$DF465,$L$17),SUBSTITUTE(SUBSTITUTE(TRIM(SUBSTITUTE(SUBSTITUTE(SUBSTITUTE(SUBSTITUTE(INDEX(PASTE_ALL,$DF465,$L$17)," "," "),CHAR(9)," "),CHAR(10)," "),CHAR(13)," ")),",",""),"%","")),"")))</f>
        <v/>
      </c>
      <c r="EA465">
        <f>IF($DM465=0,"",IFERROR(IF(ISNUMBER($DZ465),$DZ465,IF($DZ465="","",IF(TRIM($DZ465)="",0,IF(AND(AND(SUBSTITUTE(SUBSTITUTE(SUBSTITUTE(SUBSTITUTE(SUBSTITUTE(SUBSTITUTE(SUBSTITUTE(SUBSTITUTE(SUBSTITUTE(SUBSTITUTE(SUBSTITUTE(SUBSTITUTE(SUBSTITUTE(SUBSTITUTE(UPPER(TRIM($DZ465)),"0",""),"1",""),"2",""),"3",""),"4",""),"5",""),"6",""),"7",""),"8",""),"9",""),".",""),"+",""),"-",""),"E","")="",LEN(SUBSTITUTE(SUBSTITUTE(MID(UPPER(TRIM($DZ465)),1+OR(LEFT(UPPER(TRIM($DZ465)),1)="+",LEFT(UPPER(TRIM($DZ465)),1)="-"),999),"E+","E"),"E-","E"))=LEN(SUBSTITUTE(SUBSTITUTE(SUBSTITUTE(SUBSTITUTE(MID(UPPER(TRIM($DZ465)),1+OR(LEFT(UPPER(TRIM($DZ465)),1)="+",LEFT(UPPER(TRIM($DZ465)),1)="-"),999),"E+","E"),"E-","E"),"+",""),"-","")),LEN(UPPER(TRIM($DZ465)))-LEN(SUBSTITUTE(UPPER(TRIM($DZ465)),"E",""))&lt;2,LEN(UPPER(TRIM($DZ465)))-LEN(SUBSTITUTE(UPPER(TRIM($DZ465)),".",""))&lt;2,IFERROR(FIND(".",UPPER(TRIM($DZ465))),0)&lt;IFERROR(FIND("E",UPPER(TRIM($DZ465))),999)),ISNUMBER(VALUE(TRIM($DZ465)))),VALUE(TRIM($DZ465)),"")))),""))</f>
        <v/>
      </c>
      <c r="EB465">
        <f>IF($DM465=0,"",IF($L$18=0,"",IFERROR(IF(UPPER(TRIM(SUBSTITUTE(SUBSTITUTE(SUBSTITUTE(SUBSTITUTE(INDEX(PASTE_ALL,$DF465,$L$18)," "," "),CHAR(9)," "),CHAR(10)," "),CHAR(13)," ")))="READY","Ready",IF(UPPER(TRIM(SUBSTITUTE(SUBSTITUTE(SUBSTITUTE(SUBSTITUTE(INDEX(PASTE_ALL,$DF465,$L$18)," "," "),CHAR(9)," "),CHAR(10)," "),CHAR(13)," ")))="PM","PM",IF(OR(UPPER(TRIM(SUBSTITUTE(SUBSTITUTE(SUBSTITUTE(SUBSTITUTE(INDEX(PASTE_ALL,$DF465,$L$18)," "," "),CHAR(9)," "),CHAR(10)," "),CHAR(13)," ")))="OT",UPPER(TRIM(SUBSTITUTE(SUBSTITUTE(SUBSTITUTE(SUBSTITUTE(INDEX(PASTE_ALL,$DF465,$L$18)," "," "),CHAR(9)," "),CHAR(10)," "),CHAR(13)," ")))="OVERTIME",UPPER(TRIM(SUBSTITUTE(SUBSTITUTE(SUBSTITUTE(SUBSTITUTE(INDEX(PASTE_ALL,$DF465,$L$18)," "," "),CHAR(9)," "),CHAR(10)," "),CHAR(13)," ")))="TRIAL"),"OT",TRIM(SUBSTITUTE(SUBSTITUTE(SUBSTITUTE(SUBSTITUTE(INDEX(PASTE_ALL,$DF465,$L$18)," "," "),CHAR(9)," "),CHAR(10)," "),CHAR(13)," "))))),"")))</f>
        <v/>
      </c>
      <c r="EC465">
        <f>IF($DM465=0,"",IF($L$19=0,"",IFERROR(IF(ISNUMBER(INDEX(PASTE_ALL,$DF465,$L$19)),INDEX(PASTE_ALL,$DF465,$L$19),TRIM(SUBSTITUTE(SUBSTITUTE(SUBSTITUTE(SUBSTITUTE(INDEX(PASTE_ALL,$DF465,$L$19)," "," "),CHAR(9)," "),CHAR(10)," "),CHAR(13)," "))),"")))</f>
        <v/>
      </c>
      <c r="ED465">
        <f>IF($DM465=0,"",MATCH(1,INDEX(EXACT($DH$5:DH465,$DH465)*$DM$5:DM465,0),0))</f>
        <v/>
      </c>
      <c r="EE465">
        <f>IF($DM465=0,0,IF($ED465=$DE465,1,0))</f>
        <v/>
      </c>
      <c r="EF465">
        <f>EF464+$EE465</f>
        <v/>
      </c>
      <c r="EG465">
        <f>IF($DM465=0,"",INDEX($EF$5:$EF$1003,$ED465))</f>
        <v/>
      </c>
      <c r="EH465">
        <f>IF($DM465=0,"",IF($DO465&lt;&gt;"","",IFERROR(LOOKUP(2,1/(($EG$4:EG464=$EG465)*($DO$4:DO464&lt;&gt;"")),$DO$4:DO464),"")))</f>
        <v/>
      </c>
      <c r="EI465">
        <f>IF($DM465=0,"",IF($DO465&lt;&gt;"",$DO465,$EH465))</f>
        <v/>
      </c>
      <c r="EJ465">
        <f>IF($DM465=0,"",IF($EI465="",0,IF(OR(ISNUMBER($EI465),AND(AND(SUBSTITUTE(SUBSTITUTE(SUBSTITUTE(SUBSTITUTE(SUBSTITUTE(SUBSTITUTE(SUBSTITUTE(SUBSTITUTE(SUBSTITUTE(SUBSTITUTE(SUBSTITUTE(SUBSTITUTE(SUBSTITUTE(SUBSTITUTE(UPPER($EI465),"0",""),"1",""),"2",""),"3",""),"4",""),"5",""),"6",""),"7",""),"8",""),"9",""),".",""),"+",""),"-",""),"E","")="",LEN(SUBSTITUTE(SUBSTITUTE(MID(UPPER($EI465),1+OR(LEFT(UPPER($EI465),1)="+",LEFT(UPPER($EI465),1)="-"),999),"E+","E"),"E-","E"))=LEN(SUBSTITUTE(SUBSTITUTE(SUBSTITUTE(SUBSTITUTE(MID(UPPER($EI465),1+OR(LEFT(UPPER($EI465),1)="+",LEFT(UPPER($EI465),1)="-"),999),"E+","E"),"E-","E"),"+",""),"-","")),LEN(UPPER($EI465))-LEN(SUBSTITUTE(UPPER($EI465),"E",""))&lt;2,LEN(UPPER($EI465))-LEN(SUBSTITUTE(UPPER($EI465),".",""))&lt;2,IFERROR(FIND(".",UPPER($EI465)),0)&lt;IFERROR(FIND("E",UPPER($EI465)),999)),ISNUMBER(VALUE($EI465)))),1,2)))</f>
        <v/>
      </c>
      <c r="EK465">
        <f>IF($DM465=0,"",IF($EJ465=1,IF(ISNUMBER($EI465),$EI465,VALUE($EI465)),IF($EJ465=2,$DE465,0)))</f>
        <v/>
      </c>
      <c r="EL465">
        <f>IF($DM465=0,"",COUNTIF($EG$5:$EG$1003,"&lt;"&amp;$EG465)+SUMPRODUCT(($EG$5:$EG$1003=$EG465)*(($EJ$5:$EJ$1003&lt;$EJ465)+($EJ$5:$EJ$1003=$EJ465)*(($EK$5:$EK$1003&lt;$EK465)+($EK$5:$EK$1003=$EK465)*($DE$5:$DE$1003&lt;$DE465))))+1)</f>
        <v/>
      </c>
      <c r="EM465">
        <f>IF($DM465=0,"",$EL465+$EG465-1)</f>
        <v/>
      </c>
      <c r="EN465">
        <f>IF($DM465=0,0,IFERROR(MATCH(1,INDEX(--(TRIM(SUBSTITUTE(SUBSTITUTE(SUBSTITUTE(SUBSTITUTE(LINES_NAME&amp;""," "," "),CHAR(9)," "),CHAR(10)," "),CHAR(13)," "))=$DH465),0),0),0))</f>
        <v/>
      </c>
      <c r="EO465">
        <f>IF($EN465=0,0,IF(OR(UPPER(TRIM(INDEX(LINES_SCHEDULED,$EN465)&amp;""))="YES",UPPER(TRIM(INDEX(LINES_SCHEDULED,$EN465)&amp;""))="Y",UPPER(TRIM(INDEX(LINES_SCHEDULED,$EN465)&amp;""))="X"),1,0))</f>
        <v/>
      </c>
      <c r="EP465">
        <f>IF($DM465=0,"",IF(COUNTIFS($EG$5:$EG$1003,$EG465,$EB$5:$EB$1003,"Ready")&gt;0,"READY",IF(COUNTIFS($EG$5:$EG$1003,$EG465,$EB$5:$EB$1003,"PM")&gt;0,"PM",IF(COUNTIFS($EG$5:$EG$1003,$EG465,$EB$5:$EB$1003,"OT")&gt;0,"OT",""))))</f>
        <v/>
      </c>
      <c r="EQ465">
        <f>IF($EN465=0,"",UPPER(TRIM(INDEX(LINES_STATUS,$EN465)&amp;"")))</f>
        <v/>
      </c>
      <c r="ER465">
        <f>IF($DM465=0,"",IF(OR($EQ465="READY",$EQ465="PM",$EQ465="OT"),$EQ465,$EP465))</f>
        <v/>
      </c>
      <c r="ES465">
        <f>IF($DM465=0,"",IF(AND($DV465&lt;&gt;"",UPPER($DV465)&lt;&gt;"N"),"allergen",IF(ISNUMBER(SEARCH("oil",$DQ465)),"oil",IF(OR(EXACT($DS465,"A662"),EXACT($DS465,"A624")),"bulk",""))))</f>
        <v/>
      </c>
      <c r="ET465">
        <f>IF($DM465=0,"",IF(OR($EA465="",$EA465=0),"",$EA465/100))</f>
        <v/>
      </c>
      <c r="EU465">
        <f>IF(OR($ET465="",$DY465=""),"",INT($DY465*(1-$ET465)+0.5))</f>
        <v/>
      </c>
      <c r="EW465" t="n">
        <v>461</v>
      </c>
      <c r="EX465">
        <f>IFERROR(MATCH($EW465,$EM$5:$EM$1003,0),0)</f>
        <v/>
      </c>
      <c r="EY465">
        <f>IF($EW465&gt;$B$12,"",IF($EX465&gt;0,"row","spacer"))</f>
        <v/>
      </c>
      <c r="EZ465">
        <f>IF(AND($EY465="row",$EY464&lt;&gt;"row"),1,0)</f>
        <v/>
      </c>
      <c r="FA465">
        <f>IF(AND($EY465="row",$EY466&lt;&gt;"row"),1,0)</f>
        <v/>
      </c>
      <c r="FB465">
        <f>IF($EZ465=1,IFERROR(IF(ISNUMBER(INDEX(PASTE_ALL,INDEX($DF$5:$DF$1003,$EX465),$B$37)),INDEX(PASTE_ALL,INDEX($DF$5:$DF$1003,$EX465),$B$37),INDEX($DH$5:$DH$1003,$EX465)),INDEX($DH$5:$DH$1003,$EX465)),"")</f>
        <v/>
      </c>
      <c r="FC465">
        <f>IF($EY465="row",INDEX($ER$5:$ER$1003,$EX465),"")</f>
        <v/>
      </c>
      <c r="FD465">
        <f>IF($EY465="row",INDEX($DN$5:$DN$1003,$EX465),"")</f>
        <v/>
      </c>
      <c r="FE465">
        <f>IF($EY465="row",INDEX($DO$5:$DO$1003,$EX465),"")</f>
        <v/>
      </c>
      <c r="FF465">
        <f>IF($EY465="row",INDEX($DP$5:$DP$1003,$EX465),"")</f>
        <v/>
      </c>
      <c r="FG465">
        <f>IF($EY465="row",INDEX($DQ$5:$DQ$1003,$EX465),"")</f>
        <v/>
      </c>
      <c r="FH465">
        <f>IF($EY465="row",INDEX($DR$5:$DR$1003,$EX465),"")</f>
        <v/>
      </c>
      <c r="FI465">
        <f>IF($EY465="row",INDEX($DS$5:$DS$1003,$EX465),"")</f>
        <v/>
      </c>
      <c r="FJ465">
        <f>IF($EY465="row",INDEX($DT$5:$DT$1003,$EX465),"")</f>
        <v/>
      </c>
      <c r="FK465">
        <f>IF($EY465="row",INDEX($DU$5:$DU$1003,$EX465),"")</f>
        <v/>
      </c>
      <c r="FL465">
        <f>IF($EY465="row",INDEX($DV$5:$DV$1003,$EX465),"")</f>
        <v/>
      </c>
      <c r="FM465">
        <f>IF($EY465="row",INDEX($DW$5:$DW$1003,$EX465),"")</f>
        <v/>
      </c>
      <c r="FN465">
        <f>IF($EY465="row",INDEX($DY$5:$DY$1003,$EX465),"")</f>
        <v/>
      </c>
      <c r="FO465">
        <f>IF($EY465="row",INDEX($EA$5:$EA$1003,$EX465),"")</f>
        <v/>
      </c>
      <c r="FP465">
        <f>IF($EY465="row",INDEX($EC$5:$EC$1003,$EX465),"")</f>
        <v/>
      </c>
      <c r="FQ465">
        <f>IF($EY465="row",INDEX($ET$5:$ET$1003,$EX465),"")</f>
        <v/>
      </c>
      <c r="FR465">
        <f>IF($EY465="row",INDEX($EU$5:$EU$1003,$EX465),"")</f>
        <v/>
      </c>
      <c r="FS465">
        <f>IF(AND($EY465="row",$EY464="row"),IF(OR(INDEX($DT$5:$DT$1003,$EX464)="",INDEX($DT$5:$DT$1003,$EX465)=""),"",IF(NOT(EXACT(INDEX($DT$5:$DT$1003,$EX464),INDEX($DT$5:$DT$1003,$EX465))),"S4",IF(NOT(EXACT(INDEX($DS$5:$DS$1003,$EX464),INDEX($DS$5:$DS$1003,$EX465))),"S3",IF(NOT(EXACT(INDEX($DR$5:$DR$1003,$EX464),INDEX($DR$5:$DR$1003,$EX465))),"S1 Count Change","S1")))),"")</f>
        <v/>
      </c>
      <c r="FT465">
        <f>IF($EY465="row",INDEX($ES$5:$ES$1003,$EX465),"")</f>
        <v/>
      </c>
      <c r="FU465">
        <f>IF($EY465="row",INDEX($EO$5:$EO$1003,$EX465),0)</f>
        <v/>
      </c>
      <c r="FV465">
        <f>IF($FS465="S1 Count Change",1,0)</f>
        <v/>
      </c>
    </row>
    <row r="466">
      <c r="DA466" t="n">
        <v>462</v>
      </c>
      <c r="DB466">
        <f>IF($B$37=0,"",IFERROR(TRIM(SUBSTITUTE(SUBSTITUTE(SUBSTITUTE(SUBSTITUTE(INDEX(PASTE_ALL,462,$B$37)," "," "),CHAR(9)," "),CHAR(10)," "),CHAR(13)," ")),""))</f>
        <v/>
      </c>
      <c r="DC466">
        <f>IF(AND(462&gt;HEADER_ROW,UPPER(DB466)="LEGEND"),1,0)</f>
        <v/>
      </c>
      <c r="DE466" t="n">
        <v>462</v>
      </c>
      <c r="DF466">
        <f>HEADER_ROW+$DE466</f>
        <v/>
      </c>
      <c r="DG466">
        <f>IF(AND($DF466&lt;=1000,$DF466&lt;$B$8),1,0)</f>
        <v/>
      </c>
      <c r="DH466">
        <f>IF($DG466=1,IFERROR(INDEX($DB$5:$DB$1004,$DF466),""),"")</f>
        <v/>
      </c>
      <c r="DI466">
        <f>IF(AND($DG466=1,$DH466&lt;&gt;""),IFERROR(SUBSTITUTE(SUBSTITUTE(TRIM(SUBSTITUTE(SUBSTITUTE(SUBSTITUTE(SUBSTITUTE(IFERROR(INDEX(PASTE_ALL,$DF466,1)&amp;"","")&amp;"␟"&amp;IFERROR(INDEX(PASTE_ALL,$DF466,2)&amp;"","")&amp;"␟"&amp;IFERROR(INDEX(PASTE_ALL,$DF466,3)&amp;"","")&amp;"␟"&amp;IFERROR(INDEX(PASTE_ALL,$DF466,4)&amp;"","")&amp;"␟"&amp;IFERROR(INDEX(PASTE_ALL,$DF466,5)&amp;"","")&amp;"␟"&amp;IFERROR(INDEX(PASTE_ALL,$DF466,6)&amp;"","")&amp;"␟"&amp;IFERROR(INDEX(PASTE_ALL,$DF466,7)&amp;"","")&amp;"␟"&amp;IFERROR(INDEX(PASTE_ALL,$DF466,8)&amp;"","")&amp;"␟"&amp;IFERROR(INDEX(PASTE_ALL,$DF466,9)&amp;"","")&amp;"␟"&amp;IFERROR(INDEX(PASTE_ALL,$DF466,10)&amp;"","")&amp;"␟"&amp;IFERROR(INDEX(PASTE_ALL,$DF466,11)&amp;"","")&amp;"␟"&amp;IFERROR(INDEX(PASTE_ALL,$DF466,12)&amp;"","")&amp;"␟"&amp;IFERROR(INDEX(PASTE_ALL,$DF466,13)&amp;"","")&amp;"␟"&amp;IFERROR(INDEX(PASTE_ALL,$DF466,14)&amp;"","")&amp;"␟"&amp;IFERROR(INDEX(PASTE_ALL,$DF466,15)&amp;"","")&amp;"␟"&amp;IFERROR(INDEX(PASTE_ALL,$DF466,16)&amp;"","")&amp;"␟"&amp;IFERROR(INDEX(PASTE_ALL,$DF466,17)&amp;"","")&amp;"␟"&amp;IFERROR(INDEX(PASTE_ALL,$DF466,18)&amp;"","")&amp;"␟"&amp;IFERROR(INDEX(PASTE_ALL,$DF466,19)&amp;"","")&amp;"␟"&amp;IFERROR(INDEX(PASTE_ALL,$DF466,20)&amp;"","")&amp;"␟"&amp;IFERROR(INDEX(PASTE_ALL,$DF466,21)&amp;"","")&amp;"␟"&amp;IFERROR(INDEX(PASTE_ALL,$DF466,22)&amp;"","")&amp;"␟"&amp;IFERROR(INDEX(PASTE_ALL,$DF466,23)&amp;"","")&amp;"␟"&amp;IFERROR(INDEX(PASTE_ALL,$DF466,24)&amp;"","")&amp;"␟"&amp;IFERROR(INDEX(PASTE_ALL,$DF466,25)&amp;"","")&amp;"␟"&amp;IFERROR(INDEX(PASTE_ALL,$DF466,26)&amp;"","")&amp;"␟"&amp;IFERROR(INDEX(PASTE_ALL,$DF466,27)&amp;"","")&amp;"␟"&amp;IFERROR(INDEX(PASTE_ALL,$DF466,28)&amp;"","")&amp;"␟"&amp;IFERROR(INDEX(PASTE_ALL,$DF466,29)&amp;"","")&amp;"␟"&amp;IFERROR(INDEX(PASTE_ALL,$DF466,30)&amp;"","")&amp;"␟"&amp;IFERROR(INDEX(PASTE_ALL,$DF466,31)&amp;"","")&amp;"␟"&amp;IFERROR(INDEX(PASTE_ALL,$DF466,32)&amp;"","")&amp;"␟"&amp;IFERROR(INDEX(PASTE_ALL,$DF466,33)&amp;"","")&amp;"␟"&amp;IFERROR(INDEX(PASTE_ALL,$DF466,34)&amp;"","")&amp;"␟"&amp;IFERROR(INDEX(PASTE_ALL,$DF466,35)&amp;"","")&amp;"␟"&amp;IFERROR(INDEX(PASTE_ALL,$DF466,36)&amp;"","")&amp;"␟"&amp;IFERROR(INDEX(PASTE_ALL,$DF466,37)&amp;"","")&amp;"␟"&amp;IFERROR(INDEX(PASTE_ALL,$DF466,38)&amp;"","")&amp;"␟"&amp;IFERROR(INDEX(PASTE_ALL,$DF466,39)&amp;"","")&amp;"␟"&amp;IFERROR(INDEX(PASTE_ALL,$DF466,40)&amp;"","")&amp;"␟"&amp;IFERROR(INDEX(PASTE_ALL,$DF466,41)&amp;"","")&amp;"␟"&amp;IFERROR(INDEX(PASTE_ALL,$DF466,42)&amp;"","")&amp;"␟"&amp;IFERROR(INDEX(PASTE_ALL,$DF466,43)&amp;"","")&amp;"␟"&amp;IFERROR(INDEX(PASTE_ALL,$DF466,44)&amp;"","")&amp;"␟"&amp;IFERROR(INDEX(PASTE_ALL,$DF466,45)&amp;"","")&amp;"␟"&amp;IFERROR(INDEX(PASTE_ALL,$DF466,46)&amp;"","")&amp;"␟"&amp;IFERROR(INDEX(PASTE_ALL,$DF466,47)&amp;"","")&amp;"␟"&amp;IFERROR(INDEX(PASTE_ALL,$DF466,48)&amp;"","")&amp;"␟"&amp;IFERROR(INDEX(PASTE_ALL,$DF466,49)&amp;"","")&amp;"␟"&amp;IFERROR(INDEX(PASTE_ALL,$DF466,50)&amp;"","")&amp;"␟"&amp;IFERROR(INDEX(PASTE_ALL,$DF466,51)&amp;"","")&amp;"␟"&amp;IFERROR(INDEX(PASTE_ALL,$DF466,52)&amp;"","")&amp;"␟"&amp;IFERROR(INDEX(PASTE_ALL,$DF466,53)&amp;"","")&amp;"␟"&amp;IFERROR(INDEX(PASTE_ALL,$DF466,54)&amp;"","")&amp;"␟"&amp;IFERROR(INDEX(PASTE_ALL,$DF466,55)&amp;"","")&amp;"␟"&amp;IFERROR(INDEX(PASTE_ALL,$DF466,56)&amp;"","")&amp;"␟"&amp;IFERROR(INDEX(PASTE_ALL,$DF466,57)&amp;"","")&amp;"␟"&amp;IFERROR(INDEX(PASTE_ALL,$DF466,58)&amp;"","")&amp;"␟"&amp;IFERROR(INDEX(PASTE_ALL,$DF466,59)&amp;"","")&amp;"␟"&amp;IFERROR(INDEX(PASTE_ALL,$DF466,60)&amp;"","")," "," "),CHAR(9)," "),CHAR(10)," "),CHAR(13)," "))," ␟","␟"),"␟ ","␟"),"#"&amp;$DE466),"")</f>
        <v/>
      </c>
      <c r="DJ466">
        <f>IF($DI466="",0,IF(SUMPRODUCT(--EXACT($DI$4:DI465,$DI466))&gt;0,1,0))</f>
        <v/>
      </c>
      <c r="DK466">
        <f>IF(AND($DI466&lt;&gt;"",$DJ466=0),1,0)</f>
        <v/>
      </c>
      <c r="DL466">
        <f>DL465+$DK466</f>
        <v/>
      </c>
      <c r="DM466">
        <f>IF(AND($DK466=1,$DL466&lt;=600),1,0)</f>
        <v/>
      </c>
      <c r="DN466">
        <f>IF($DM466=0,"",IF($L$6=0,"",IFERROR(IF(ISNUMBER(INDEX(PASTE_ALL,$DF466,$L$6)),INDEX(PASTE_ALL,$DF466,$L$6),TRIM(SUBSTITUTE(SUBSTITUTE(SUBSTITUTE(SUBSTITUTE(INDEX(PASTE_ALL,$DF466,$L$6)," "," "),CHAR(9)," "),CHAR(10)," "),CHAR(13)," "))),"")))</f>
        <v/>
      </c>
      <c r="DO466">
        <f>IF($DM466=0,"",IF($L$7=0,"",IFERROR(IF(ISNUMBER(INDEX(PASTE_ALL,$DF466,$L$7)),INDEX(PASTE_ALL,$DF466,$L$7),TRIM(SUBSTITUTE(SUBSTITUTE(SUBSTITUTE(SUBSTITUTE(INDEX(PASTE_ALL,$DF466,$L$7)," "," "),CHAR(9)," "),CHAR(10)," "),CHAR(13)," "))),"")))</f>
        <v/>
      </c>
      <c r="DP466">
        <f>IF($DM466=0,"",IF($L$8=0,"",IFERROR(IF(ISNUMBER(INDEX(PASTE_ALL,$DF466,$L$8)),INDEX(PASTE_ALL,$DF466,$L$8),TRIM(SUBSTITUTE(SUBSTITUTE(SUBSTITUTE(SUBSTITUTE(INDEX(PASTE_ALL,$DF466,$L$8)," "," "),CHAR(9)," "),CHAR(10)," "),CHAR(13)," "))),"")))</f>
        <v/>
      </c>
      <c r="DQ466">
        <f>IF($DM466=0,"",IF($L$9=0,"",IFERROR(IF(ISNUMBER(INDEX(PASTE_ALL,$DF466,$L$9)),INDEX(PASTE_ALL,$DF466,$L$9),TRIM(SUBSTITUTE(SUBSTITUTE(SUBSTITUTE(SUBSTITUTE(INDEX(PASTE_ALL,$DF466,$L$9)," "," "),CHAR(9)," "),CHAR(10)," "),CHAR(13)," "))),"")))</f>
        <v/>
      </c>
      <c r="DR466">
        <f>IF($DM466=0,"",IF($L$10=0,"",IFERROR(IF(ISNUMBER(INDEX(PASTE_ALL,$DF466,$L$10)),INDEX(PASTE_ALL,$DF466,$L$10),TRIM(SUBSTITUTE(SUBSTITUTE(SUBSTITUTE(SUBSTITUTE(INDEX(PASTE_ALL,$DF466,$L$10)," "," "),CHAR(9)," "),CHAR(10)," "),CHAR(13)," "))),"")))</f>
        <v/>
      </c>
      <c r="DS466">
        <f>IF($DM466=0,"",IF($L$11=0,"",IFERROR(IF(ISNUMBER(INDEX(PASTE_ALL,$DF466,$L$11)),INDEX(PASTE_ALL,$DF466,$L$11),TRIM(SUBSTITUTE(SUBSTITUTE(SUBSTITUTE(SUBSTITUTE(INDEX(PASTE_ALL,$DF466,$L$11)," "," "),CHAR(9)," "),CHAR(10)," "),CHAR(13)," "))),"")))</f>
        <v/>
      </c>
      <c r="DT466">
        <f>IF($DM466=0,"",IF($L$12=0,"",IFERROR(IF(ISNUMBER(INDEX(PASTE_ALL,$DF466,$L$12)),INDEX(PASTE_ALL,$DF466,$L$12),TRIM(SUBSTITUTE(SUBSTITUTE(SUBSTITUTE(SUBSTITUTE(INDEX(PASTE_ALL,$DF466,$L$12)," "," "),CHAR(9)," "),CHAR(10)," "),CHAR(13)," "))),"")))</f>
        <v/>
      </c>
      <c r="DU466">
        <f>IF($DM466=0,"",IF($L$13=0,"",IFERROR(IF(ISNUMBER(INDEX(PASTE_ALL,$DF466,$L$13)),INDEX(PASTE_ALL,$DF466,$L$13),TRIM(SUBSTITUTE(SUBSTITUTE(SUBSTITUTE(SUBSTITUTE(INDEX(PASTE_ALL,$DF466,$L$13)," "," "),CHAR(9)," "),CHAR(10)," "),CHAR(13)," "))),"")))</f>
        <v/>
      </c>
      <c r="DV466">
        <f>IF($DM466=0,"",IF($L$14=0,"",IFERROR(IF(ISNUMBER(INDEX(PASTE_ALL,$DF466,$L$14)),INDEX(PASTE_ALL,$DF466,$L$14),TRIM(SUBSTITUTE(SUBSTITUTE(SUBSTITUTE(SUBSTITUTE(INDEX(PASTE_ALL,$DF466,$L$14)," "," "),CHAR(9)," "),CHAR(10)," "),CHAR(13)," "))),"")))</f>
        <v/>
      </c>
      <c r="DW466">
        <f>IF($DM466=0,"",IF($L$15=0,"",IFERROR(IF(ISNUMBER(INDEX(PASTE_ALL,$DF466,$L$15)),INDEX(PASTE_ALL,$DF466,$L$15),IF(SUMPRODUCT(--ISNUMBER(FIND({"A","B","C","D","E","F","G","H","I","J","K","L","M","N","O","P","Q","R","S","T","U","V","W","X","Y","Z","0","1","2","3","4","5","6","7","8","9"},UPPER(TRIM(SUBSTITUTE(SUBSTITUTE(SUBSTITUTE(SUBSTITUTE(INDEX(PASTE_ALL,$DF466,$L$15)," "," "),CHAR(9)," "),CHAR(10)," "),CHAR(13)," "))))))&gt;0,TRIM(SUBSTITUTE(SUBSTITUTE(SUBSTITUTE(SUBSTITUTE(INDEX(PASTE_ALL,$DF466,$L$15)," "," "),CHAR(9)," "),CHAR(10)," "),CHAR(13)," ")),"")),"")))</f>
        <v/>
      </c>
      <c r="DX466">
        <f>IF($DM466=0,"",IF($L$16=0,"",IFERROR(IF(ISNUMBER(INDEX(PASTE_ALL,$DF466,$L$16)),INDEX(PASTE_ALL,$DF466,$L$16),SUBSTITUTE(SUBSTITUTE(TRIM(SUBSTITUTE(SUBSTITUTE(SUBSTITUTE(SUBSTITUTE(INDEX(PASTE_ALL,$DF466,$L$16)," "," "),CHAR(9)," "),CHAR(10)," "),CHAR(13)," ")),",",""),"%","")),"")))</f>
        <v/>
      </c>
      <c r="DY466">
        <f>IF($DM466=0,"",IFERROR(IF(ISNUMBER($DX466),$DX466,IF($DX466="","",IF(TRIM($DX466)="",0,IF(AND(AND(SUBSTITUTE(SUBSTITUTE(SUBSTITUTE(SUBSTITUTE(SUBSTITUTE(SUBSTITUTE(SUBSTITUTE(SUBSTITUTE(SUBSTITUTE(SUBSTITUTE(SUBSTITUTE(SUBSTITUTE(SUBSTITUTE(SUBSTITUTE(UPPER(TRIM($DX466)),"0",""),"1",""),"2",""),"3",""),"4",""),"5",""),"6",""),"7",""),"8",""),"9",""),".",""),"+",""),"-",""),"E","")="",LEN(SUBSTITUTE(SUBSTITUTE(MID(UPPER(TRIM($DX466)),1+OR(LEFT(UPPER(TRIM($DX466)),1)="+",LEFT(UPPER(TRIM($DX466)),1)="-"),999),"E+","E"),"E-","E"))=LEN(SUBSTITUTE(SUBSTITUTE(SUBSTITUTE(SUBSTITUTE(MID(UPPER(TRIM($DX466)),1+OR(LEFT(UPPER(TRIM($DX466)),1)="+",LEFT(UPPER(TRIM($DX466)),1)="-"),999),"E+","E"),"E-","E"),"+",""),"-","")),LEN(UPPER(TRIM($DX466)))-LEN(SUBSTITUTE(UPPER(TRIM($DX466)),"E",""))&lt;2,LEN(UPPER(TRIM($DX466)))-LEN(SUBSTITUTE(UPPER(TRIM($DX466)),".",""))&lt;2,IFERROR(FIND(".",UPPER(TRIM($DX466))),0)&lt;IFERROR(FIND("E",UPPER(TRIM($DX466))),999)),ISNUMBER(VALUE(TRIM($DX466)))),VALUE(TRIM($DX466)),"")))),""))</f>
        <v/>
      </c>
      <c r="DZ466">
        <f>IF($DM466=0,"",IF($L$17=0,"",IFERROR(IF(ISNUMBER(INDEX(PASTE_ALL,$DF466,$L$17)),INDEX(PASTE_ALL,$DF466,$L$17),SUBSTITUTE(SUBSTITUTE(TRIM(SUBSTITUTE(SUBSTITUTE(SUBSTITUTE(SUBSTITUTE(INDEX(PASTE_ALL,$DF466,$L$17)," "," "),CHAR(9)," "),CHAR(10)," "),CHAR(13)," ")),",",""),"%","")),"")))</f>
        <v/>
      </c>
      <c r="EA466">
        <f>IF($DM466=0,"",IFERROR(IF(ISNUMBER($DZ466),$DZ466,IF($DZ466="","",IF(TRIM($DZ466)="",0,IF(AND(AND(SUBSTITUTE(SUBSTITUTE(SUBSTITUTE(SUBSTITUTE(SUBSTITUTE(SUBSTITUTE(SUBSTITUTE(SUBSTITUTE(SUBSTITUTE(SUBSTITUTE(SUBSTITUTE(SUBSTITUTE(SUBSTITUTE(SUBSTITUTE(UPPER(TRIM($DZ466)),"0",""),"1",""),"2",""),"3",""),"4",""),"5",""),"6",""),"7",""),"8",""),"9",""),".",""),"+",""),"-",""),"E","")="",LEN(SUBSTITUTE(SUBSTITUTE(MID(UPPER(TRIM($DZ466)),1+OR(LEFT(UPPER(TRIM($DZ466)),1)="+",LEFT(UPPER(TRIM($DZ466)),1)="-"),999),"E+","E"),"E-","E"))=LEN(SUBSTITUTE(SUBSTITUTE(SUBSTITUTE(SUBSTITUTE(MID(UPPER(TRIM($DZ466)),1+OR(LEFT(UPPER(TRIM($DZ466)),1)="+",LEFT(UPPER(TRIM($DZ466)),1)="-"),999),"E+","E"),"E-","E"),"+",""),"-","")),LEN(UPPER(TRIM($DZ466)))-LEN(SUBSTITUTE(UPPER(TRIM($DZ466)),"E",""))&lt;2,LEN(UPPER(TRIM($DZ466)))-LEN(SUBSTITUTE(UPPER(TRIM($DZ466)),".",""))&lt;2,IFERROR(FIND(".",UPPER(TRIM($DZ466))),0)&lt;IFERROR(FIND("E",UPPER(TRIM($DZ466))),999)),ISNUMBER(VALUE(TRIM($DZ466)))),VALUE(TRIM($DZ466)),"")))),""))</f>
        <v/>
      </c>
      <c r="EB466">
        <f>IF($DM466=0,"",IF($L$18=0,"",IFERROR(IF(UPPER(TRIM(SUBSTITUTE(SUBSTITUTE(SUBSTITUTE(SUBSTITUTE(INDEX(PASTE_ALL,$DF466,$L$18)," "," "),CHAR(9)," "),CHAR(10)," "),CHAR(13)," ")))="READY","Ready",IF(UPPER(TRIM(SUBSTITUTE(SUBSTITUTE(SUBSTITUTE(SUBSTITUTE(INDEX(PASTE_ALL,$DF466,$L$18)," "," "),CHAR(9)," "),CHAR(10)," "),CHAR(13)," ")))="PM","PM",IF(OR(UPPER(TRIM(SUBSTITUTE(SUBSTITUTE(SUBSTITUTE(SUBSTITUTE(INDEX(PASTE_ALL,$DF466,$L$18)," "," "),CHAR(9)," "),CHAR(10)," "),CHAR(13)," ")))="OT",UPPER(TRIM(SUBSTITUTE(SUBSTITUTE(SUBSTITUTE(SUBSTITUTE(INDEX(PASTE_ALL,$DF466,$L$18)," "," "),CHAR(9)," "),CHAR(10)," "),CHAR(13)," ")))="OVERTIME",UPPER(TRIM(SUBSTITUTE(SUBSTITUTE(SUBSTITUTE(SUBSTITUTE(INDEX(PASTE_ALL,$DF466,$L$18)," "," "),CHAR(9)," "),CHAR(10)," "),CHAR(13)," ")))="TRIAL"),"OT",TRIM(SUBSTITUTE(SUBSTITUTE(SUBSTITUTE(SUBSTITUTE(INDEX(PASTE_ALL,$DF466,$L$18)," "," "),CHAR(9)," "),CHAR(10)," "),CHAR(13)," "))))),"")))</f>
        <v/>
      </c>
      <c r="EC466">
        <f>IF($DM466=0,"",IF($L$19=0,"",IFERROR(IF(ISNUMBER(INDEX(PASTE_ALL,$DF466,$L$19)),INDEX(PASTE_ALL,$DF466,$L$19),TRIM(SUBSTITUTE(SUBSTITUTE(SUBSTITUTE(SUBSTITUTE(INDEX(PASTE_ALL,$DF466,$L$19)," "," "),CHAR(9)," "),CHAR(10)," "),CHAR(13)," "))),"")))</f>
        <v/>
      </c>
      <c r="ED466">
        <f>IF($DM466=0,"",MATCH(1,INDEX(EXACT($DH$5:DH466,$DH466)*$DM$5:DM466,0),0))</f>
        <v/>
      </c>
      <c r="EE466">
        <f>IF($DM466=0,0,IF($ED466=$DE466,1,0))</f>
        <v/>
      </c>
      <c r="EF466">
        <f>EF465+$EE466</f>
        <v/>
      </c>
      <c r="EG466">
        <f>IF($DM466=0,"",INDEX($EF$5:$EF$1003,$ED466))</f>
        <v/>
      </c>
      <c r="EH466">
        <f>IF($DM466=0,"",IF($DO466&lt;&gt;"","",IFERROR(LOOKUP(2,1/(($EG$4:EG465=$EG466)*($DO$4:DO465&lt;&gt;"")),$DO$4:DO465),"")))</f>
        <v/>
      </c>
      <c r="EI466">
        <f>IF($DM466=0,"",IF($DO466&lt;&gt;"",$DO466,$EH466))</f>
        <v/>
      </c>
      <c r="EJ466">
        <f>IF($DM466=0,"",IF($EI466="",0,IF(OR(ISNUMBER($EI466),AND(AND(SUBSTITUTE(SUBSTITUTE(SUBSTITUTE(SUBSTITUTE(SUBSTITUTE(SUBSTITUTE(SUBSTITUTE(SUBSTITUTE(SUBSTITUTE(SUBSTITUTE(SUBSTITUTE(SUBSTITUTE(SUBSTITUTE(SUBSTITUTE(UPPER($EI466),"0",""),"1",""),"2",""),"3",""),"4",""),"5",""),"6",""),"7",""),"8",""),"9",""),".",""),"+",""),"-",""),"E","")="",LEN(SUBSTITUTE(SUBSTITUTE(MID(UPPER($EI466),1+OR(LEFT(UPPER($EI466),1)="+",LEFT(UPPER($EI466),1)="-"),999),"E+","E"),"E-","E"))=LEN(SUBSTITUTE(SUBSTITUTE(SUBSTITUTE(SUBSTITUTE(MID(UPPER($EI466),1+OR(LEFT(UPPER($EI466),1)="+",LEFT(UPPER($EI466),1)="-"),999),"E+","E"),"E-","E"),"+",""),"-","")),LEN(UPPER($EI466))-LEN(SUBSTITUTE(UPPER($EI466),"E",""))&lt;2,LEN(UPPER($EI466))-LEN(SUBSTITUTE(UPPER($EI466),".",""))&lt;2,IFERROR(FIND(".",UPPER($EI466)),0)&lt;IFERROR(FIND("E",UPPER($EI466)),999)),ISNUMBER(VALUE($EI466)))),1,2)))</f>
        <v/>
      </c>
      <c r="EK466">
        <f>IF($DM466=0,"",IF($EJ466=1,IF(ISNUMBER($EI466),$EI466,VALUE($EI466)),IF($EJ466=2,$DE466,0)))</f>
        <v/>
      </c>
      <c r="EL466">
        <f>IF($DM466=0,"",COUNTIF($EG$5:$EG$1003,"&lt;"&amp;$EG466)+SUMPRODUCT(($EG$5:$EG$1003=$EG466)*(($EJ$5:$EJ$1003&lt;$EJ466)+($EJ$5:$EJ$1003=$EJ466)*(($EK$5:$EK$1003&lt;$EK466)+($EK$5:$EK$1003=$EK466)*($DE$5:$DE$1003&lt;$DE466))))+1)</f>
        <v/>
      </c>
      <c r="EM466">
        <f>IF($DM466=0,"",$EL466+$EG466-1)</f>
        <v/>
      </c>
      <c r="EN466">
        <f>IF($DM466=0,0,IFERROR(MATCH(1,INDEX(--(TRIM(SUBSTITUTE(SUBSTITUTE(SUBSTITUTE(SUBSTITUTE(LINES_NAME&amp;""," "," "),CHAR(9)," "),CHAR(10)," "),CHAR(13)," "))=$DH466),0),0),0))</f>
        <v/>
      </c>
      <c r="EO466">
        <f>IF($EN466=0,0,IF(OR(UPPER(TRIM(INDEX(LINES_SCHEDULED,$EN466)&amp;""))="YES",UPPER(TRIM(INDEX(LINES_SCHEDULED,$EN466)&amp;""))="Y",UPPER(TRIM(INDEX(LINES_SCHEDULED,$EN466)&amp;""))="X"),1,0))</f>
        <v/>
      </c>
      <c r="EP466">
        <f>IF($DM466=0,"",IF(COUNTIFS($EG$5:$EG$1003,$EG466,$EB$5:$EB$1003,"Ready")&gt;0,"READY",IF(COUNTIFS($EG$5:$EG$1003,$EG466,$EB$5:$EB$1003,"PM")&gt;0,"PM",IF(COUNTIFS($EG$5:$EG$1003,$EG466,$EB$5:$EB$1003,"OT")&gt;0,"OT",""))))</f>
        <v/>
      </c>
      <c r="EQ466">
        <f>IF($EN466=0,"",UPPER(TRIM(INDEX(LINES_STATUS,$EN466)&amp;"")))</f>
        <v/>
      </c>
      <c r="ER466">
        <f>IF($DM466=0,"",IF(OR($EQ466="READY",$EQ466="PM",$EQ466="OT"),$EQ466,$EP466))</f>
        <v/>
      </c>
      <c r="ES466">
        <f>IF($DM466=0,"",IF(AND($DV466&lt;&gt;"",UPPER($DV466)&lt;&gt;"N"),"allergen",IF(ISNUMBER(SEARCH("oil",$DQ466)),"oil",IF(OR(EXACT($DS466,"A662"),EXACT($DS466,"A624")),"bulk",""))))</f>
        <v/>
      </c>
      <c r="ET466">
        <f>IF($DM466=0,"",IF(OR($EA466="",$EA466=0),"",$EA466/100))</f>
        <v/>
      </c>
      <c r="EU466">
        <f>IF(OR($ET466="",$DY466=""),"",INT($DY466*(1-$ET466)+0.5))</f>
        <v/>
      </c>
      <c r="EW466" t="n">
        <v>462</v>
      </c>
      <c r="EX466">
        <f>IFERROR(MATCH($EW466,$EM$5:$EM$1003,0),0)</f>
        <v/>
      </c>
      <c r="EY466">
        <f>IF($EW466&gt;$B$12,"",IF($EX466&gt;0,"row","spacer"))</f>
        <v/>
      </c>
      <c r="EZ466">
        <f>IF(AND($EY466="row",$EY465&lt;&gt;"row"),1,0)</f>
        <v/>
      </c>
      <c r="FA466">
        <f>IF(AND($EY466="row",$EY467&lt;&gt;"row"),1,0)</f>
        <v/>
      </c>
      <c r="FB466">
        <f>IF($EZ466=1,IFERROR(IF(ISNUMBER(INDEX(PASTE_ALL,INDEX($DF$5:$DF$1003,$EX466),$B$37)),INDEX(PASTE_ALL,INDEX($DF$5:$DF$1003,$EX466),$B$37),INDEX($DH$5:$DH$1003,$EX466)),INDEX($DH$5:$DH$1003,$EX466)),"")</f>
        <v/>
      </c>
      <c r="FC466">
        <f>IF($EY466="row",INDEX($ER$5:$ER$1003,$EX466),"")</f>
        <v/>
      </c>
      <c r="FD466">
        <f>IF($EY466="row",INDEX($DN$5:$DN$1003,$EX466),"")</f>
        <v/>
      </c>
      <c r="FE466">
        <f>IF($EY466="row",INDEX($DO$5:$DO$1003,$EX466),"")</f>
        <v/>
      </c>
      <c r="FF466">
        <f>IF($EY466="row",INDEX($DP$5:$DP$1003,$EX466),"")</f>
        <v/>
      </c>
      <c r="FG466">
        <f>IF($EY466="row",INDEX($DQ$5:$DQ$1003,$EX466),"")</f>
        <v/>
      </c>
      <c r="FH466">
        <f>IF($EY466="row",INDEX($DR$5:$DR$1003,$EX466),"")</f>
        <v/>
      </c>
      <c r="FI466">
        <f>IF($EY466="row",INDEX($DS$5:$DS$1003,$EX466),"")</f>
        <v/>
      </c>
      <c r="FJ466">
        <f>IF($EY466="row",INDEX($DT$5:$DT$1003,$EX466),"")</f>
        <v/>
      </c>
      <c r="FK466">
        <f>IF($EY466="row",INDEX($DU$5:$DU$1003,$EX466),"")</f>
        <v/>
      </c>
      <c r="FL466">
        <f>IF($EY466="row",INDEX($DV$5:$DV$1003,$EX466),"")</f>
        <v/>
      </c>
      <c r="FM466">
        <f>IF($EY466="row",INDEX($DW$5:$DW$1003,$EX466),"")</f>
        <v/>
      </c>
      <c r="FN466">
        <f>IF($EY466="row",INDEX($DY$5:$DY$1003,$EX466),"")</f>
        <v/>
      </c>
      <c r="FO466">
        <f>IF($EY466="row",INDEX($EA$5:$EA$1003,$EX466),"")</f>
        <v/>
      </c>
      <c r="FP466">
        <f>IF($EY466="row",INDEX($EC$5:$EC$1003,$EX466),"")</f>
        <v/>
      </c>
      <c r="FQ466">
        <f>IF($EY466="row",INDEX($ET$5:$ET$1003,$EX466),"")</f>
        <v/>
      </c>
      <c r="FR466">
        <f>IF($EY466="row",INDEX($EU$5:$EU$1003,$EX466),"")</f>
        <v/>
      </c>
      <c r="FS466">
        <f>IF(AND($EY466="row",$EY465="row"),IF(OR(INDEX($DT$5:$DT$1003,$EX465)="",INDEX($DT$5:$DT$1003,$EX466)=""),"",IF(NOT(EXACT(INDEX($DT$5:$DT$1003,$EX465),INDEX($DT$5:$DT$1003,$EX466))),"S4",IF(NOT(EXACT(INDEX($DS$5:$DS$1003,$EX465),INDEX($DS$5:$DS$1003,$EX466))),"S3",IF(NOT(EXACT(INDEX($DR$5:$DR$1003,$EX465),INDEX($DR$5:$DR$1003,$EX466))),"S1 Count Change","S1")))),"")</f>
        <v/>
      </c>
      <c r="FT466">
        <f>IF($EY466="row",INDEX($ES$5:$ES$1003,$EX466),"")</f>
        <v/>
      </c>
      <c r="FU466">
        <f>IF($EY466="row",INDEX($EO$5:$EO$1003,$EX466),0)</f>
        <v/>
      </c>
      <c r="FV466">
        <f>IF($FS466="S1 Count Change",1,0)</f>
        <v/>
      </c>
    </row>
    <row r="467">
      <c r="DA467" t="n">
        <v>463</v>
      </c>
      <c r="DB467">
        <f>IF($B$37=0,"",IFERROR(TRIM(SUBSTITUTE(SUBSTITUTE(SUBSTITUTE(SUBSTITUTE(INDEX(PASTE_ALL,463,$B$37)," "," "),CHAR(9)," "),CHAR(10)," "),CHAR(13)," ")),""))</f>
        <v/>
      </c>
      <c r="DC467">
        <f>IF(AND(463&gt;HEADER_ROW,UPPER(DB467)="LEGEND"),1,0)</f>
        <v/>
      </c>
      <c r="DE467" t="n">
        <v>463</v>
      </c>
      <c r="DF467">
        <f>HEADER_ROW+$DE467</f>
        <v/>
      </c>
      <c r="DG467">
        <f>IF(AND($DF467&lt;=1000,$DF467&lt;$B$8),1,0)</f>
        <v/>
      </c>
      <c r="DH467">
        <f>IF($DG467=1,IFERROR(INDEX($DB$5:$DB$1004,$DF467),""),"")</f>
        <v/>
      </c>
      <c r="DI467">
        <f>IF(AND($DG467=1,$DH467&lt;&gt;""),IFERROR(SUBSTITUTE(SUBSTITUTE(TRIM(SUBSTITUTE(SUBSTITUTE(SUBSTITUTE(SUBSTITUTE(IFERROR(INDEX(PASTE_ALL,$DF467,1)&amp;"","")&amp;"␟"&amp;IFERROR(INDEX(PASTE_ALL,$DF467,2)&amp;"","")&amp;"␟"&amp;IFERROR(INDEX(PASTE_ALL,$DF467,3)&amp;"","")&amp;"␟"&amp;IFERROR(INDEX(PASTE_ALL,$DF467,4)&amp;"","")&amp;"␟"&amp;IFERROR(INDEX(PASTE_ALL,$DF467,5)&amp;"","")&amp;"␟"&amp;IFERROR(INDEX(PASTE_ALL,$DF467,6)&amp;"","")&amp;"␟"&amp;IFERROR(INDEX(PASTE_ALL,$DF467,7)&amp;"","")&amp;"␟"&amp;IFERROR(INDEX(PASTE_ALL,$DF467,8)&amp;"","")&amp;"␟"&amp;IFERROR(INDEX(PASTE_ALL,$DF467,9)&amp;"","")&amp;"␟"&amp;IFERROR(INDEX(PASTE_ALL,$DF467,10)&amp;"","")&amp;"␟"&amp;IFERROR(INDEX(PASTE_ALL,$DF467,11)&amp;"","")&amp;"␟"&amp;IFERROR(INDEX(PASTE_ALL,$DF467,12)&amp;"","")&amp;"␟"&amp;IFERROR(INDEX(PASTE_ALL,$DF467,13)&amp;"","")&amp;"␟"&amp;IFERROR(INDEX(PASTE_ALL,$DF467,14)&amp;"","")&amp;"␟"&amp;IFERROR(INDEX(PASTE_ALL,$DF467,15)&amp;"","")&amp;"␟"&amp;IFERROR(INDEX(PASTE_ALL,$DF467,16)&amp;"","")&amp;"␟"&amp;IFERROR(INDEX(PASTE_ALL,$DF467,17)&amp;"","")&amp;"␟"&amp;IFERROR(INDEX(PASTE_ALL,$DF467,18)&amp;"","")&amp;"␟"&amp;IFERROR(INDEX(PASTE_ALL,$DF467,19)&amp;"","")&amp;"␟"&amp;IFERROR(INDEX(PASTE_ALL,$DF467,20)&amp;"","")&amp;"␟"&amp;IFERROR(INDEX(PASTE_ALL,$DF467,21)&amp;"","")&amp;"␟"&amp;IFERROR(INDEX(PASTE_ALL,$DF467,22)&amp;"","")&amp;"␟"&amp;IFERROR(INDEX(PASTE_ALL,$DF467,23)&amp;"","")&amp;"␟"&amp;IFERROR(INDEX(PASTE_ALL,$DF467,24)&amp;"","")&amp;"␟"&amp;IFERROR(INDEX(PASTE_ALL,$DF467,25)&amp;"","")&amp;"␟"&amp;IFERROR(INDEX(PASTE_ALL,$DF467,26)&amp;"","")&amp;"␟"&amp;IFERROR(INDEX(PASTE_ALL,$DF467,27)&amp;"","")&amp;"␟"&amp;IFERROR(INDEX(PASTE_ALL,$DF467,28)&amp;"","")&amp;"␟"&amp;IFERROR(INDEX(PASTE_ALL,$DF467,29)&amp;"","")&amp;"␟"&amp;IFERROR(INDEX(PASTE_ALL,$DF467,30)&amp;"","")&amp;"␟"&amp;IFERROR(INDEX(PASTE_ALL,$DF467,31)&amp;"","")&amp;"␟"&amp;IFERROR(INDEX(PASTE_ALL,$DF467,32)&amp;"","")&amp;"␟"&amp;IFERROR(INDEX(PASTE_ALL,$DF467,33)&amp;"","")&amp;"␟"&amp;IFERROR(INDEX(PASTE_ALL,$DF467,34)&amp;"","")&amp;"␟"&amp;IFERROR(INDEX(PASTE_ALL,$DF467,35)&amp;"","")&amp;"␟"&amp;IFERROR(INDEX(PASTE_ALL,$DF467,36)&amp;"","")&amp;"␟"&amp;IFERROR(INDEX(PASTE_ALL,$DF467,37)&amp;"","")&amp;"␟"&amp;IFERROR(INDEX(PASTE_ALL,$DF467,38)&amp;"","")&amp;"␟"&amp;IFERROR(INDEX(PASTE_ALL,$DF467,39)&amp;"","")&amp;"␟"&amp;IFERROR(INDEX(PASTE_ALL,$DF467,40)&amp;"","")&amp;"␟"&amp;IFERROR(INDEX(PASTE_ALL,$DF467,41)&amp;"","")&amp;"␟"&amp;IFERROR(INDEX(PASTE_ALL,$DF467,42)&amp;"","")&amp;"␟"&amp;IFERROR(INDEX(PASTE_ALL,$DF467,43)&amp;"","")&amp;"␟"&amp;IFERROR(INDEX(PASTE_ALL,$DF467,44)&amp;"","")&amp;"␟"&amp;IFERROR(INDEX(PASTE_ALL,$DF467,45)&amp;"","")&amp;"␟"&amp;IFERROR(INDEX(PASTE_ALL,$DF467,46)&amp;"","")&amp;"␟"&amp;IFERROR(INDEX(PASTE_ALL,$DF467,47)&amp;"","")&amp;"␟"&amp;IFERROR(INDEX(PASTE_ALL,$DF467,48)&amp;"","")&amp;"␟"&amp;IFERROR(INDEX(PASTE_ALL,$DF467,49)&amp;"","")&amp;"␟"&amp;IFERROR(INDEX(PASTE_ALL,$DF467,50)&amp;"","")&amp;"␟"&amp;IFERROR(INDEX(PASTE_ALL,$DF467,51)&amp;"","")&amp;"␟"&amp;IFERROR(INDEX(PASTE_ALL,$DF467,52)&amp;"","")&amp;"␟"&amp;IFERROR(INDEX(PASTE_ALL,$DF467,53)&amp;"","")&amp;"␟"&amp;IFERROR(INDEX(PASTE_ALL,$DF467,54)&amp;"","")&amp;"␟"&amp;IFERROR(INDEX(PASTE_ALL,$DF467,55)&amp;"","")&amp;"␟"&amp;IFERROR(INDEX(PASTE_ALL,$DF467,56)&amp;"","")&amp;"␟"&amp;IFERROR(INDEX(PASTE_ALL,$DF467,57)&amp;"","")&amp;"␟"&amp;IFERROR(INDEX(PASTE_ALL,$DF467,58)&amp;"","")&amp;"␟"&amp;IFERROR(INDEX(PASTE_ALL,$DF467,59)&amp;"","")&amp;"␟"&amp;IFERROR(INDEX(PASTE_ALL,$DF467,60)&amp;"","")," "," "),CHAR(9)," "),CHAR(10)," "),CHAR(13)," "))," ␟","␟"),"␟ ","␟"),"#"&amp;$DE467),"")</f>
        <v/>
      </c>
      <c r="DJ467">
        <f>IF($DI467="",0,IF(SUMPRODUCT(--EXACT($DI$4:DI466,$DI467))&gt;0,1,0))</f>
        <v/>
      </c>
      <c r="DK467">
        <f>IF(AND($DI467&lt;&gt;"",$DJ467=0),1,0)</f>
        <v/>
      </c>
      <c r="DL467">
        <f>DL466+$DK467</f>
        <v/>
      </c>
      <c r="DM467">
        <f>IF(AND($DK467=1,$DL467&lt;=600),1,0)</f>
        <v/>
      </c>
      <c r="DN467">
        <f>IF($DM467=0,"",IF($L$6=0,"",IFERROR(IF(ISNUMBER(INDEX(PASTE_ALL,$DF467,$L$6)),INDEX(PASTE_ALL,$DF467,$L$6),TRIM(SUBSTITUTE(SUBSTITUTE(SUBSTITUTE(SUBSTITUTE(INDEX(PASTE_ALL,$DF467,$L$6)," "," "),CHAR(9)," "),CHAR(10)," "),CHAR(13)," "))),"")))</f>
        <v/>
      </c>
      <c r="DO467">
        <f>IF($DM467=0,"",IF($L$7=0,"",IFERROR(IF(ISNUMBER(INDEX(PASTE_ALL,$DF467,$L$7)),INDEX(PASTE_ALL,$DF467,$L$7),TRIM(SUBSTITUTE(SUBSTITUTE(SUBSTITUTE(SUBSTITUTE(INDEX(PASTE_ALL,$DF467,$L$7)," "," "),CHAR(9)," "),CHAR(10)," "),CHAR(13)," "))),"")))</f>
        <v/>
      </c>
      <c r="DP467">
        <f>IF($DM467=0,"",IF($L$8=0,"",IFERROR(IF(ISNUMBER(INDEX(PASTE_ALL,$DF467,$L$8)),INDEX(PASTE_ALL,$DF467,$L$8),TRIM(SUBSTITUTE(SUBSTITUTE(SUBSTITUTE(SUBSTITUTE(INDEX(PASTE_ALL,$DF467,$L$8)," "," "),CHAR(9)," "),CHAR(10)," "),CHAR(13)," "))),"")))</f>
        <v/>
      </c>
      <c r="DQ467">
        <f>IF($DM467=0,"",IF($L$9=0,"",IFERROR(IF(ISNUMBER(INDEX(PASTE_ALL,$DF467,$L$9)),INDEX(PASTE_ALL,$DF467,$L$9),TRIM(SUBSTITUTE(SUBSTITUTE(SUBSTITUTE(SUBSTITUTE(INDEX(PASTE_ALL,$DF467,$L$9)," "," "),CHAR(9)," "),CHAR(10)," "),CHAR(13)," "))),"")))</f>
        <v/>
      </c>
      <c r="DR467">
        <f>IF($DM467=0,"",IF($L$10=0,"",IFERROR(IF(ISNUMBER(INDEX(PASTE_ALL,$DF467,$L$10)),INDEX(PASTE_ALL,$DF467,$L$10),TRIM(SUBSTITUTE(SUBSTITUTE(SUBSTITUTE(SUBSTITUTE(INDEX(PASTE_ALL,$DF467,$L$10)," "," "),CHAR(9)," "),CHAR(10)," "),CHAR(13)," "))),"")))</f>
        <v/>
      </c>
      <c r="DS467">
        <f>IF($DM467=0,"",IF($L$11=0,"",IFERROR(IF(ISNUMBER(INDEX(PASTE_ALL,$DF467,$L$11)),INDEX(PASTE_ALL,$DF467,$L$11),TRIM(SUBSTITUTE(SUBSTITUTE(SUBSTITUTE(SUBSTITUTE(INDEX(PASTE_ALL,$DF467,$L$11)," "," "),CHAR(9)," "),CHAR(10)," "),CHAR(13)," "))),"")))</f>
        <v/>
      </c>
      <c r="DT467">
        <f>IF($DM467=0,"",IF($L$12=0,"",IFERROR(IF(ISNUMBER(INDEX(PASTE_ALL,$DF467,$L$12)),INDEX(PASTE_ALL,$DF467,$L$12),TRIM(SUBSTITUTE(SUBSTITUTE(SUBSTITUTE(SUBSTITUTE(INDEX(PASTE_ALL,$DF467,$L$12)," "," "),CHAR(9)," "),CHAR(10)," "),CHAR(13)," "))),"")))</f>
        <v/>
      </c>
      <c r="DU467">
        <f>IF($DM467=0,"",IF($L$13=0,"",IFERROR(IF(ISNUMBER(INDEX(PASTE_ALL,$DF467,$L$13)),INDEX(PASTE_ALL,$DF467,$L$13),TRIM(SUBSTITUTE(SUBSTITUTE(SUBSTITUTE(SUBSTITUTE(INDEX(PASTE_ALL,$DF467,$L$13)," "," "),CHAR(9)," "),CHAR(10)," "),CHAR(13)," "))),"")))</f>
        <v/>
      </c>
      <c r="DV467">
        <f>IF($DM467=0,"",IF($L$14=0,"",IFERROR(IF(ISNUMBER(INDEX(PASTE_ALL,$DF467,$L$14)),INDEX(PASTE_ALL,$DF467,$L$14),TRIM(SUBSTITUTE(SUBSTITUTE(SUBSTITUTE(SUBSTITUTE(INDEX(PASTE_ALL,$DF467,$L$14)," "," "),CHAR(9)," "),CHAR(10)," "),CHAR(13)," "))),"")))</f>
        <v/>
      </c>
      <c r="DW467">
        <f>IF($DM467=0,"",IF($L$15=0,"",IFERROR(IF(ISNUMBER(INDEX(PASTE_ALL,$DF467,$L$15)),INDEX(PASTE_ALL,$DF467,$L$15),IF(SUMPRODUCT(--ISNUMBER(FIND({"A","B","C","D","E","F","G","H","I","J","K","L","M","N","O","P","Q","R","S","T","U","V","W","X","Y","Z","0","1","2","3","4","5","6","7","8","9"},UPPER(TRIM(SUBSTITUTE(SUBSTITUTE(SUBSTITUTE(SUBSTITUTE(INDEX(PASTE_ALL,$DF467,$L$15)," "," "),CHAR(9)," "),CHAR(10)," "),CHAR(13)," "))))))&gt;0,TRIM(SUBSTITUTE(SUBSTITUTE(SUBSTITUTE(SUBSTITUTE(INDEX(PASTE_ALL,$DF467,$L$15)," "," "),CHAR(9)," "),CHAR(10)," "),CHAR(13)," ")),"")),"")))</f>
        <v/>
      </c>
      <c r="DX467">
        <f>IF($DM467=0,"",IF($L$16=0,"",IFERROR(IF(ISNUMBER(INDEX(PASTE_ALL,$DF467,$L$16)),INDEX(PASTE_ALL,$DF467,$L$16),SUBSTITUTE(SUBSTITUTE(TRIM(SUBSTITUTE(SUBSTITUTE(SUBSTITUTE(SUBSTITUTE(INDEX(PASTE_ALL,$DF467,$L$16)," "," "),CHAR(9)," "),CHAR(10)," "),CHAR(13)," ")),",",""),"%","")),"")))</f>
        <v/>
      </c>
      <c r="DY467">
        <f>IF($DM467=0,"",IFERROR(IF(ISNUMBER($DX467),$DX467,IF($DX467="","",IF(TRIM($DX467)="",0,IF(AND(AND(SUBSTITUTE(SUBSTITUTE(SUBSTITUTE(SUBSTITUTE(SUBSTITUTE(SUBSTITUTE(SUBSTITUTE(SUBSTITUTE(SUBSTITUTE(SUBSTITUTE(SUBSTITUTE(SUBSTITUTE(SUBSTITUTE(SUBSTITUTE(UPPER(TRIM($DX467)),"0",""),"1",""),"2",""),"3",""),"4",""),"5",""),"6",""),"7",""),"8",""),"9",""),".",""),"+",""),"-",""),"E","")="",LEN(SUBSTITUTE(SUBSTITUTE(MID(UPPER(TRIM($DX467)),1+OR(LEFT(UPPER(TRIM($DX467)),1)="+",LEFT(UPPER(TRIM($DX467)),1)="-"),999),"E+","E"),"E-","E"))=LEN(SUBSTITUTE(SUBSTITUTE(SUBSTITUTE(SUBSTITUTE(MID(UPPER(TRIM($DX467)),1+OR(LEFT(UPPER(TRIM($DX467)),1)="+",LEFT(UPPER(TRIM($DX467)),1)="-"),999),"E+","E"),"E-","E"),"+",""),"-","")),LEN(UPPER(TRIM($DX467)))-LEN(SUBSTITUTE(UPPER(TRIM($DX467)),"E",""))&lt;2,LEN(UPPER(TRIM($DX467)))-LEN(SUBSTITUTE(UPPER(TRIM($DX467)),".",""))&lt;2,IFERROR(FIND(".",UPPER(TRIM($DX467))),0)&lt;IFERROR(FIND("E",UPPER(TRIM($DX467))),999)),ISNUMBER(VALUE(TRIM($DX467)))),VALUE(TRIM($DX467)),"")))),""))</f>
        <v/>
      </c>
      <c r="DZ467">
        <f>IF($DM467=0,"",IF($L$17=0,"",IFERROR(IF(ISNUMBER(INDEX(PASTE_ALL,$DF467,$L$17)),INDEX(PASTE_ALL,$DF467,$L$17),SUBSTITUTE(SUBSTITUTE(TRIM(SUBSTITUTE(SUBSTITUTE(SUBSTITUTE(SUBSTITUTE(INDEX(PASTE_ALL,$DF467,$L$17)," "," "),CHAR(9)," "),CHAR(10)," "),CHAR(13)," ")),",",""),"%","")),"")))</f>
        <v/>
      </c>
      <c r="EA467">
        <f>IF($DM467=0,"",IFERROR(IF(ISNUMBER($DZ467),$DZ467,IF($DZ467="","",IF(TRIM($DZ467)="",0,IF(AND(AND(SUBSTITUTE(SUBSTITUTE(SUBSTITUTE(SUBSTITUTE(SUBSTITUTE(SUBSTITUTE(SUBSTITUTE(SUBSTITUTE(SUBSTITUTE(SUBSTITUTE(SUBSTITUTE(SUBSTITUTE(SUBSTITUTE(SUBSTITUTE(UPPER(TRIM($DZ467)),"0",""),"1",""),"2",""),"3",""),"4",""),"5",""),"6",""),"7",""),"8",""),"9",""),".",""),"+",""),"-",""),"E","")="",LEN(SUBSTITUTE(SUBSTITUTE(MID(UPPER(TRIM($DZ467)),1+OR(LEFT(UPPER(TRIM($DZ467)),1)="+",LEFT(UPPER(TRIM($DZ467)),1)="-"),999),"E+","E"),"E-","E"))=LEN(SUBSTITUTE(SUBSTITUTE(SUBSTITUTE(SUBSTITUTE(MID(UPPER(TRIM($DZ467)),1+OR(LEFT(UPPER(TRIM($DZ467)),1)="+",LEFT(UPPER(TRIM($DZ467)),1)="-"),999),"E+","E"),"E-","E"),"+",""),"-","")),LEN(UPPER(TRIM($DZ467)))-LEN(SUBSTITUTE(UPPER(TRIM($DZ467)),"E",""))&lt;2,LEN(UPPER(TRIM($DZ467)))-LEN(SUBSTITUTE(UPPER(TRIM($DZ467)),".",""))&lt;2,IFERROR(FIND(".",UPPER(TRIM($DZ467))),0)&lt;IFERROR(FIND("E",UPPER(TRIM($DZ467))),999)),ISNUMBER(VALUE(TRIM($DZ467)))),VALUE(TRIM($DZ467)),"")))),""))</f>
        <v/>
      </c>
      <c r="EB467">
        <f>IF($DM467=0,"",IF($L$18=0,"",IFERROR(IF(UPPER(TRIM(SUBSTITUTE(SUBSTITUTE(SUBSTITUTE(SUBSTITUTE(INDEX(PASTE_ALL,$DF467,$L$18)," "," "),CHAR(9)," "),CHAR(10)," "),CHAR(13)," ")))="READY","Ready",IF(UPPER(TRIM(SUBSTITUTE(SUBSTITUTE(SUBSTITUTE(SUBSTITUTE(INDEX(PASTE_ALL,$DF467,$L$18)," "," "),CHAR(9)," "),CHAR(10)," "),CHAR(13)," ")))="PM","PM",IF(OR(UPPER(TRIM(SUBSTITUTE(SUBSTITUTE(SUBSTITUTE(SUBSTITUTE(INDEX(PASTE_ALL,$DF467,$L$18)," "," "),CHAR(9)," "),CHAR(10)," "),CHAR(13)," ")))="OT",UPPER(TRIM(SUBSTITUTE(SUBSTITUTE(SUBSTITUTE(SUBSTITUTE(INDEX(PASTE_ALL,$DF467,$L$18)," "," "),CHAR(9)," "),CHAR(10)," "),CHAR(13)," ")))="OVERTIME",UPPER(TRIM(SUBSTITUTE(SUBSTITUTE(SUBSTITUTE(SUBSTITUTE(INDEX(PASTE_ALL,$DF467,$L$18)," "," "),CHAR(9)," "),CHAR(10)," "),CHAR(13)," ")))="TRIAL"),"OT",TRIM(SUBSTITUTE(SUBSTITUTE(SUBSTITUTE(SUBSTITUTE(INDEX(PASTE_ALL,$DF467,$L$18)," "," "),CHAR(9)," "),CHAR(10)," "),CHAR(13)," "))))),"")))</f>
        <v/>
      </c>
      <c r="EC467">
        <f>IF($DM467=0,"",IF($L$19=0,"",IFERROR(IF(ISNUMBER(INDEX(PASTE_ALL,$DF467,$L$19)),INDEX(PASTE_ALL,$DF467,$L$19),TRIM(SUBSTITUTE(SUBSTITUTE(SUBSTITUTE(SUBSTITUTE(INDEX(PASTE_ALL,$DF467,$L$19)," "," "),CHAR(9)," "),CHAR(10)," "),CHAR(13)," "))),"")))</f>
        <v/>
      </c>
      <c r="ED467">
        <f>IF($DM467=0,"",MATCH(1,INDEX(EXACT($DH$5:DH467,$DH467)*$DM$5:DM467,0),0))</f>
        <v/>
      </c>
      <c r="EE467">
        <f>IF($DM467=0,0,IF($ED467=$DE467,1,0))</f>
        <v/>
      </c>
      <c r="EF467">
        <f>EF466+$EE467</f>
        <v/>
      </c>
      <c r="EG467">
        <f>IF($DM467=0,"",INDEX($EF$5:$EF$1003,$ED467))</f>
        <v/>
      </c>
      <c r="EH467">
        <f>IF($DM467=0,"",IF($DO467&lt;&gt;"","",IFERROR(LOOKUP(2,1/(($EG$4:EG466=$EG467)*($DO$4:DO466&lt;&gt;"")),$DO$4:DO466),"")))</f>
        <v/>
      </c>
      <c r="EI467">
        <f>IF($DM467=0,"",IF($DO467&lt;&gt;"",$DO467,$EH467))</f>
        <v/>
      </c>
      <c r="EJ467">
        <f>IF($DM467=0,"",IF($EI467="",0,IF(OR(ISNUMBER($EI467),AND(AND(SUBSTITUTE(SUBSTITUTE(SUBSTITUTE(SUBSTITUTE(SUBSTITUTE(SUBSTITUTE(SUBSTITUTE(SUBSTITUTE(SUBSTITUTE(SUBSTITUTE(SUBSTITUTE(SUBSTITUTE(SUBSTITUTE(SUBSTITUTE(UPPER($EI467),"0",""),"1",""),"2",""),"3",""),"4",""),"5",""),"6",""),"7",""),"8",""),"9",""),".",""),"+",""),"-",""),"E","")="",LEN(SUBSTITUTE(SUBSTITUTE(MID(UPPER($EI467),1+OR(LEFT(UPPER($EI467),1)="+",LEFT(UPPER($EI467),1)="-"),999),"E+","E"),"E-","E"))=LEN(SUBSTITUTE(SUBSTITUTE(SUBSTITUTE(SUBSTITUTE(MID(UPPER($EI467),1+OR(LEFT(UPPER($EI467),1)="+",LEFT(UPPER($EI467),1)="-"),999),"E+","E"),"E-","E"),"+",""),"-","")),LEN(UPPER($EI467))-LEN(SUBSTITUTE(UPPER($EI467),"E",""))&lt;2,LEN(UPPER($EI467))-LEN(SUBSTITUTE(UPPER($EI467),".",""))&lt;2,IFERROR(FIND(".",UPPER($EI467)),0)&lt;IFERROR(FIND("E",UPPER($EI467)),999)),ISNUMBER(VALUE($EI467)))),1,2)))</f>
        <v/>
      </c>
      <c r="EK467">
        <f>IF($DM467=0,"",IF($EJ467=1,IF(ISNUMBER($EI467),$EI467,VALUE($EI467)),IF($EJ467=2,$DE467,0)))</f>
        <v/>
      </c>
      <c r="EL467">
        <f>IF($DM467=0,"",COUNTIF($EG$5:$EG$1003,"&lt;"&amp;$EG467)+SUMPRODUCT(($EG$5:$EG$1003=$EG467)*(($EJ$5:$EJ$1003&lt;$EJ467)+($EJ$5:$EJ$1003=$EJ467)*(($EK$5:$EK$1003&lt;$EK467)+($EK$5:$EK$1003=$EK467)*($DE$5:$DE$1003&lt;$DE467))))+1)</f>
        <v/>
      </c>
      <c r="EM467">
        <f>IF($DM467=0,"",$EL467+$EG467-1)</f>
        <v/>
      </c>
      <c r="EN467">
        <f>IF($DM467=0,0,IFERROR(MATCH(1,INDEX(--(TRIM(SUBSTITUTE(SUBSTITUTE(SUBSTITUTE(SUBSTITUTE(LINES_NAME&amp;""," "," "),CHAR(9)," "),CHAR(10)," "),CHAR(13)," "))=$DH467),0),0),0))</f>
        <v/>
      </c>
      <c r="EO467">
        <f>IF($EN467=0,0,IF(OR(UPPER(TRIM(INDEX(LINES_SCHEDULED,$EN467)&amp;""))="YES",UPPER(TRIM(INDEX(LINES_SCHEDULED,$EN467)&amp;""))="Y",UPPER(TRIM(INDEX(LINES_SCHEDULED,$EN467)&amp;""))="X"),1,0))</f>
        <v/>
      </c>
      <c r="EP467">
        <f>IF($DM467=0,"",IF(COUNTIFS($EG$5:$EG$1003,$EG467,$EB$5:$EB$1003,"Ready")&gt;0,"READY",IF(COUNTIFS($EG$5:$EG$1003,$EG467,$EB$5:$EB$1003,"PM")&gt;0,"PM",IF(COUNTIFS($EG$5:$EG$1003,$EG467,$EB$5:$EB$1003,"OT")&gt;0,"OT",""))))</f>
        <v/>
      </c>
      <c r="EQ467">
        <f>IF($EN467=0,"",UPPER(TRIM(INDEX(LINES_STATUS,$EN467)&amp;"")))</f>
        <v/>
      </c>
      <c r="ER467">
        <f>IF($DM467=0,"",IF(OR($EQ467="READY",$EQ467="PM",$EQ467="OT"),$EQ467,$EP467))</f>
        <v/>
      </c>
      <c r="ES467">
        <f>IF($DM467=0,"",IF(AND($DV467&lt;&gt;"",UPPER($DV467)&lt;&gt;"N"),"allergen",IF(ISNUMBER(SEARCH("oil",$DQ467)),"oil",IF(OR(EXACT($DS467,"A662"),EXACT($DS467,"A624")),"bulk",""))))</f>
        <v/>
      </c>
      <c r="ET467">
        <f>IF($DM467=0,"",IF(OR($EA467="",$EA467=0),"",$EA467/100))</f>
        <v/>
      </c>
      <c r="EU467">
        <f>IF(OR($ET467="",$DY467=""),"",INT($DY467*(1-$ET467)+0.5))</f>
        <v/>
      </c>
      <c r="EW467" t="n">
        <v>463</v>
      </c>
      <c r="EX467">
        <f>IFERROR(MATCH($EW467,$EM$5:$EM$1003,0),0)</f>
        <v/>
      </c>
      <c r="EY467">
        <f>IF($EW467&gt;$B$12,"",IF($EX467&gt;0,"row","spacer"))</f>
        <v/>
      </c>
      <c r="EZ467">
        <f>IF(AND($EY467="row",$EY466&lt;&gt;"row"),1,0)</f>
        <v/>
      </c>
      <c r="FA467">
        <f>IF(AND($EY467="row",$EY468&lt;&gt;"row"),1,0)</f>
        <v/>
      </c>
      <c r="FB467">
        <f>IF($EZ467=1,IFERROR(IF(ISNUMBER(INDEX(PASTE_ALL,INDEX($DF$5:$DF$1003,$EX467),$B$37)),INDEX(PASTE_ALL,INDEX($DF$5:$DF$1003,$EX467),$B$37),INDEX($DH$5:$DH$1003,$EX467)),INDEX($DH$5:$DH$1003,$EX467)),"")</f>
        <v/>
      </c>
      <c r="FC467">
        <f>IF($EY467="row",INDEX($ER$5:$ER$1003,$EX467),"")</f>
        <v/>
      </c>
      <c r="FD467">
        <f>IF($EY467="row",INDEX($DN$5:$DN$1003,$EX467),"")</f>
        <v/>
      </c>
      <c r="FE467">
        <f>IF($EY467="row",INDEX($DO$5:$DO$1003,$EX467),"")</f>
        <v/>
      </c>
      <c r="FF467">
        <f>IF($EY467="row",INDEX($DP$5:$DP$1003,$EX467),"")</f>
        <v/>
      </c>
      <c r="FG467">
        <f>IF($EY467="row",INDEX($DQ$5:$DQ$1003,$EX467),"")</f>
        <v/>
      </c>
      <c r="FH467">
        <f>IF($EY467="row",INDEX($DR$5:$DR$1003,$EX467),"")</f>
        <v/>
      </c>
      <c r="FI467">
        <f>IF($EY467="row",INDEX($DS$5:$DS$1003,$EX467),"")</f>
        <v/>
      </c>
      <c r="FJ467">
        <f>IF($EY467="row",INDEX($DT$5:$DT$1003,$EX467),"")</f>
        <v/>
      </c>
      <c r="FK467">
        <f>IF($EY467="row",INDEX($DU$5:$DU$1003,$EX467),"")</f>
        <v/>
      </c>
      <c r="FL467">
        <f>IF($EY467="row",INDEX($DV$5:$DV$1003,$EX467),"")</f>
        <v/>
      </c>
      <c r="FM467">
        <f>IF($EY467="row",INDEX($DW$5:$DW$1003,$EX467),"")</f>
        <v/>
      </c>
      <c r="FN467">
        <f>IF($EY467="row",INDEX($DY$5:$DY$1003,$EX467),"")</f>
        <v/>
      </c>
      <c r="FO467">
        <f>IF($EY467="row",INDEX($EA$5:$EA$1003,$EX467),"")</f>
        <v/>
      </c>
      <c r="FP467">
        <f>IF($EY467="row",INDEX($EC$5:$EC$1003,$EX467),"")</f>
        <v/>
      </c>
      <c r="FQ467">
        <f>IF($EY467="row",INDEX($ET$5:$ET$1003,$EX467),"")</f>
        <v/>
      </c>
      <c r="FR467">
        <f>IF($EY467="row",INDEX($EU$5:$EU$1003,$EX467),"")</f>
        <v/>
      </c>
      <c r="FS467">
        <f>IF(AND($EY467="row",$EY466="row"),IF(OR(INDEX($DT$5:$DT$1003,$EX466)="",INDEX($DT$5:$DT$1003,$EX467)=""),"",IF(NOT(EXACT(INDEX($DT$5:$DT$1003,$EX466),INDEX($DT$5:$DT$1003,$EX467))),"S4",IF(NOT(EXACT(INDEX($DS$5:$DS$1003,$EX466),INDEX($DS$5:$DS$1003,$EX467))),"S3",IF(NOT(EXACT(INDEX($DR$5:$DR$1003,$EX466),INDEX($DR$5:$DR$1003,$EX467))),"S1 Count Change","S1")))),"")</f>
        <v/>
      </c>
      <c r="FT467">
        <f>IF($EY467="row",INDEX($ES$5:$ES$1003,$EX467),"")</f>
        <v/>
      </c>
      <c r="FU467">
        <f>IF($EY467="row",INDEX($EO$5:$EO$1003,$EX467),0)</f>
        <v/>
      </c>
      <c r="FV467">
        <f>IF($FS467="S1 Count Change",1,0)</f>
        <v/>
      </c>
    </row>
    <row r="468">
      <c r="DA468" t="n">
        <v>464</v>
      </c>
      <c r="DB468">
        <f>IF($B$37=0,"",IFERROR(TRIM(SUBSTITUTE(SUBSTITUTE(SUBSTITUTE(SUBSTITUTE(INDEX(PASTE_ALL,464,$B$37)," "," "),CHAR(9)," "),CHAR(10)," "),CHAR(13)," ")),""))</f>
        <v/>
      </c>
      <c r="DC468">
        <f>IF(AND(464&gt;HEADER_ROW,UPPER(DB468)="LEGEND"),1,0)</f>
        <v/>
      </c>
      <c r="DE468" t="n">
        <v>464</v>
      </c>
      <c r="DF468">
        <f>HEADER_ROW+$DE468</f>
        <v/>
      </c>
      <c r="DG468">
        <f>IF(AND($DF468&lt;=1000,$DF468&lt;$B$8),1,0)</f>
        <v/>
      </c>
      <c r="DH468">
        <f>IF($DG468=1,IFERROR(INDEX($DB$5:$DB$1004,$DF468),""),"")</f>
        <v/>
      </c>
      <c r="DI468">
        <f>IF(AND($DG468=1,$DH468&lt;&gt;""),IFERROR(SUBSTITUTE(SUBSTITUTE(TRIM(SUBSTITUTE(SUBSTITUTE(SUBSTITUTE(SUBSTITUTE(IFERROR(INDEX(PASTE_ALL,$DF468,1)&amp;"","")&amp;"␟"&amp;IFERROR(INDEX(PASTE_ALL,$DF468,2)&amp;"","")&amp;"␟"&amp;IFERROR(INDEX(PASTE_ALL,$DF468,3)&amp;"","")&amp;"␟"&amp;IFERROR(INDEX(PASTE_ALL,$DF468,4)&amp;"","")&amp;"␟"&amp;IFERROR(INDEX(PASTE_ALL,$DF468,5)&amp;"","")&amp;"␟"&amp;IFERROR(INDEX(PASTE_ALL,$DF468,6)&amp;"","")&amp;"␟"&amp;IFERROR(INDEX(PASTE_ALL,$DF468,7)&amp;"","")&amp;"␟"&amp;IFERROR(INDEX(PASTE_ALL,$DF468,8)&amp;"","")&amp;"␟"&amp;IFERROR(INDEX(PASTE_ALL,$DF468,9)&amp;"","")&amp;"␟"&amp;IFERROR(INDEX(PASTE_ALL,$DF468,10)&amp;"","")&amp;"␟"&amp;IFERROR(INDEX(PASTE_ALL,$DF468,11)&amp;"","")&amp;"␟"&amp;IFERROR(INDEX(PASTE_ALL,$DF468,12)&amp;"","")&amp;"␟"&amp;IFERROR(INDEX(PASTE_ALL,$DF468,13)&amp;"","")&amp;"␟"&amp;IFERROR(INDEX(PASTE_ALL,$DF468,14)&amp;"","")&amp;"␟"&amp;IFERROR(INDEX(PASTE_ALL,$DF468,15)&amp;"","")&amp;"␟"&amp;IFERROR(INDEX(PASTE_ALL,$DF468,16)&amp;"","")&amp;"␟"&amp;IFERROR(INDEX(PASTE_ALL,$DF468,17)&amp;"","")&amp;"␟"&amp;IFERROR(INDEX(PASTE_ALL,$DF468,18)&amp;"","")&amp;"␟"&amp;IFERROR(INDEX(PASTE_ALL,$DF468,19)&amp;"","")&amp;"␟"&amp;IFERROR(INDEX(PASTE_ALL,$DF468,20)&amp;"","")&amp;"␟"&amp;IFERROR(INDEX(PASTE_ALL,$DF468,21)&amp;"","")&amp;"␟"&amp;IFERROR(INDEX(PASTE_ALL,$DF468,22)&amp;"","")&amp;"␟"&amp;IFERROR(INDEX(PASTE_ALL,$DF468,23)&amp;"","")&amp;"␟"&amp;IFERROR(INDEX(PASTE_ALL,$DF468,24)&amp;"","")&amp;"␟"&amp;IFERROR(INDEX(PASTE_ALL,$DF468,25)&amp;"","")&amp;"␟"&amp;IFERROR(INDEX(PASTE_ALL,$DF468,26)&amp;"","")&amp;"␟"&amp;IFERROR(INDEX(PASTE_ALL,$DF468,27)&amp;"","")&amp;"␟"&amp;IFERROR(INDEX(PASTE_ALL,$DF468,28)&amp;"","")&amp;"␟"&amp;IFERROR(INDEX(PASTE_ALL,$DF468,29)&amp;"","")&amp;"␟"&amp;IFERROR(INDEX(PASTE_ALL,$DF468,30)&amp;"","")&amp;"␟"&amp;IFERROR(INDEX(PASTE_ALL,$DF468,31)&amp;"","")&amp;"␟"&amp;IFERROR(INDEX(PASTE_ALL,$DF468,32)&amp;"","")&amp;"␟"&amp;IFERROR(INDEX(PASTE_ALL,$DF468,33)&amp;"","")&amp;"␟"&amp;IFERROR(INDEX(PASTE_ALL,$DF468,34)&amp;"","")&amp;"␟"&amp;IFERROR(INDEX(PASTE_ALL,$DF468,35)&amp;"","")&amp;"␟"&amp;IFERROR(INDEX(PASTE_ALL,$DF468,36)&amp;"","")&amp;"␟"&amp;IFERROR(INDEX(PASTE_ALL,$DF468,37)&amp;"","")&amp;"␟"&amp;IFERROR(INDEX(PASTE_ALL,$DF468,38)&amp;"","")&amp;"␟"&amp;IFERROR(INDEX(PASTE_ALL,$DF468,39)&amp;"","")&amp;"␟"&amp;IFERROR(INDEX(PASTE_ALL,$DF468,40)&amp;"","")&amp;"␟"&amp;IFERROR(INDEX(PASTE_ALL,$DF468,41)&amp;"","")&amp;"␟"&amp;IFERROR(INDEX(PASTE_ALL,$DF468,42)&amp;"","")&amp;"␟"&amp;IFERROR(INDEX(PASTE_ALL,$DF468,43)&amp;"","")&amp;"␟"&amp;IFERROR(INDEX(PASTE_ALL,$DF468,44)&amp;"","")&amp;"␟"&amp;IFERROR(INDEX(PASTE_ALL,$DF468,45)&amp;"","")&amp;"␟"&amp;IFERROR(INDEX(PASTE_ALL,$DF468,46)&amp;"","")&amp;"␟"&amp;IFERROR(INDEX(PASTE_ALL,$DF468,47)&amp;"","")&amp;"␟"&amp;IFERROR(INDEX(PASTE_ALL,$DF468,48)&amp;"","")&amp;"␟"&amp;IFERROR(INDEX(PASTE_ALL,$DF468,49)&amp;"","")&amp;"␟"&amp;IFERROR(INDEX(PASTE_ALL,$DF468,50)&amp;"","")&amp;"␟"&amp;IFERROR(INDEX(PASTE_ALL,$DF468,51)&amp;"","")&amp;"␟"&amp;IFERROR(INDEX(PASTE_ALL,$DF468,52)&amp;"","")&amp;"␟"&amp;IFERROR(INDEX(PASTE_ALL,$DF468,53)&amp;"","")&amp;"␟"&amp;IFERROR(INDEX(PASTE_ALL,$DF468,54)&amp;"","")&amp;"␟"&amp;IFERROR(INDEX(PASTE_ALL,$DF468,55)&amp;"","")&amp;"␟"&amp;IFERROR(INDEX(PASTE_ALL,$DF468,56)&amp;"","")&amp;"␟"&amp;IFERROR(INDEX(PASTE_ALL,$DF468,57)&amp;"","")&amp;"␟"&amp;IFERROR(INDEX(PASTE_ALL,$DF468,58)&amp;"","")&amp;"␟"&amp;IFERROR(INDEX(PASTE_ALL,$DF468,59)&amp;"","")&amp;"␟"&amp;IFERROR(INDEX(PASTE_ALL,$DF468,60)&amp;"","")," "," "),CHAR(9)," "),CHAR(10)," "),CHAR(13)," "))," ␟","␟"),"␟ ","␟"),"#"&amp;$DE468),"")</f>
        <v/>
      </c>
      <c r="DJ468">
        <f>IF($DI468="",0,IF(SUMPRODUCT(--EXACT($DI$4:DI467,$DI468))&gt;0,1,0))</f>
        <v/>
      </c>
      <c r="DK468">
        <f>IF(AND($DI468&lt;&gt;"",$DJ468=0),1,0)</f>
        <v/>
      </c>
      <c r="DL468">
        <f>DL467+$DK468</f>
        <v/>
      </c>
      <c r="DM468">
        <f>IF(AND($DK468=1,$DL468&lt;=600),1,0)</f>
        <v/>
      </c>
      <c r="DN468">
        <f>IF($DM468=0,"",IF($L$6=0,"",IFERROR(IF(ISNUMBER(INDEX(PASTE_ALL,$DF468,$L$6)),INDEX(PASTE_ALL,$DF468,$L$6),TRIM(SUBSTITUTE(SUBSTITUTE(SUBSTITUTE(SUBSTITUTE(INDEX(PASTE_ALL,$DF468,$L$6)," "," "),CHAR(9)," "),CHAR(10)," "),CHAR(13)," "))),"")))</f>
        <v/>
      </c>
      <c r="DO468">
        <f>IF($DM468=0,"",IF($L$7=0,"",IFERROR(IF(ISNUMBER(INDEX(PASTE_ALL,$DF468,$L$7)),INDEX(PASTE_ALL,$DF468,$L$7),TRIM(SUBSTITUTE(SUBSTITUTE(SUBSTITUTE(SUBSTITUTE(INDEX(PASTE_ALL,$DF468,$L$7)," "," "),CHAR(9)," "),CHAR(10)," "),CHAR(13)," "))),"")))</f>
        <v/>
      </c>
      <c r="DP468">
        <f>IF($DM468=0,"",IF($L$8=0,"",IFERROR(IF(ISNUMBER(INDEX(PASTE_ALL,$DF468,$L$8)),INDEX(PASTE_ALL,$DF468,$L$8),TRIM(SUBSTITUTE(SUBSTITUTE(SUBSTITUTE(SUBSTITUTE(INDEX(PASTE_ALL,$DF468,$L$8)," "," "),CHAR(9)," "),CHAR(10)," "),CHAR(13)," "))),"")))</f>
        <v/>
      </c>
      <c r="DQ468">
        <f>IF($DM468=0,"",IF($L$9=0,"",IFERROR(IF(ISNUMBER(INDEX(PASTE_ALL,$DF468,$L$9)),INDEX(PASTE_ALL,$DF468,$L$9),TRIM(SUBSTITUTE(SUBSTITUTE(SUBSTITUTE(SUBSTITUTE(INDEX(PASTE_ALL,$DF468,$L$9)," "," "),CHAR(9)," "),CHAR(10)," "),CHAR(13)," "))),"")))</f>
        <v/>
      </c>
      <c r="DR468">
        <f>IF($DM468=0,"",IF($L$10=0,"",IFERROR(IF(ISNUMBER(INDEX(PASTE_ALL,$DF468,$L$10)),INDEX(PASTE_ALL,$DF468,$L$10),TRIM(SUBSTITUTE(SUBSTITUTE(SUBSTITUTE(SUBSTITUTE(INDEX(PASTE_ALL,$DF468,$L$10)," "," "),CHAR(9)," "),CHAR(10)," "),CHAR(13)," "))),"")))</f>
        <v/>
      </c>
      <c r="DS468">
        <f>IF($DM468=0,"",IF($L$11=0,"",IFERROR(IF(ISNUMBER(INDEX(PASTE_ALL,$DF468,$L$11)),INDEX(PASTE_ALL,$DF468,$L$11),TRIM(SUBSTITUTE(SUBSTITUTE(SUBSTITUTE(SUBSTITUTE(INDEX(PASTE_ALL,$DF468,$L$11)," "," "),CHAR(9)," "),CHAR(10)," "),CHAR(13)," "))),"")))</f>
        <v/>
      </c>
      <c r="DT468">
        <f>IF($DM468=0,"",IF($L$12=0,"",IFERROR(IF(ISNUMBER(INDEX(PASTE_ALL,$DF468,$L$12)),INDEX(PASTE_ALL,$DF468,$L$12),TRIM(SUBSTITUTE(SUBSTITUTE(SUBSTITUTE(SUBSTITUTE(INDEX(PASTE_ALL,$DF468,$L$12)," "," "),CHAR(9)," "),CHAR(10)," "),CHAR(13)," "))),"")))</f>
        <v/>
      </c>
      <c r="DU468">
        <f>IF($DM468=0,"",IF($L$13=0,"",IFERROR(IF(ISNUMBER(INDEX(PASTE_ALL,$DF468,$L$13)),INDEX(PASTE_ALL,$DF468,$L$13),TRIM(SUBSTITUTE(SUBSTITUTE(SUBSTITUTE(SUBSTITUTE(INDEX(PASTE_ALL,$DF468,$L$13)," "," "),CHAR(9)," "),CHAR(10)," "),CHAR(13)," "))),"")))</f>
        <v/>
      </c>
      <c r="DV468">
        <f>IF($DM468=0,"",IF($L$14=0,"",IFERROR(IF(ISNUMBER(INDEX(PASTE_ALL,$DF468,$L$14)),INDEX(PASTE_ALL,$DF468,$L$14),TRIM(SUBSTITUTE(SUBSTITUTE(SUBSTITUTE(SUBSTITUTE(INDEX(PASTE_ALL,$DF468,$L$14)," "," "),CHAR(9)," "),CHAR(10)," "),CHAR(13)," "))),"")))</f>
        <v/>
      </c>
      <c r="DW468">
        <f>IF($DM468=0,"",IF($L$15=0,"",IFERROR(IF(ISNUMBER(INDEX(PASTE_ALL,$DF468,$L$15)),INDEX(PASTE_ALL,$DF468,$L$15),IF(SUMPRODUCT(--ISNUMBER(FIND({"A","B","C","D","E","F","G","H","I","J","K","L","M","N","O","P","Q","R","S","T","U","V","W","X","Y","Z","0","1","2","3","4","5","6","7","8","9"},UPPER(TRIM(SUBSTITUTE(SUBSTITUTE(SUBSTITUTE(SUBSTITUTE(INDEX(PASTE_ALL,$DF468,$L$15)," "," "),CHAR(9)," "),CHAR(10)," "),CHAR(13)," "))))))&gt;0,TRIM(SUBSTITUTE(SUBSTITUTE(SUBSTITUTE(SUBSTITUTE(INDEX(PASTE_ALL,$DF468,$L$15)," "," "),CHAR(9)," "),CHAR(10)," "),CHAR(13)," ")),"")),"")))</f>
        <v/>
      </c>
      <c r="DX468">
        <f>IF($DM468=0,"",IF($L$16=0,"",IFERROR(IF(ISNUMBER(INDEX(PASTE_ALL,$DF468,$L$16)),INDEX(PASTE_ALL,$DF468,$L$16),SUBSTITUTE(SUBSTITUTE(TRIM(SUBSTITUTE(SUBSTITUTE(SUBSTITUTE(SUBSTITUTE(INDEX(PASTE_ALL,$DF468,$L$16)," "," "),CHAR(9)," "),CHAR(10)," "),CHAR(13)," ")),",",""),"%","")),"")))</f>
        <v/>
      </c>
      <c r="DY468">
        <f>IF($DM468=0,"",IFERROR(IF(ISNUMBER($DX468),$DX468,IF($DX468="","",IF(TRIM($DX468)="",0,IF(AND(AND(SUBSTITUTE(SUBSTITUTE(SUBSTITUTE(SUBSTITUTE(SUBSTITUTE(SUBSTITUTE(SUBSTITUTE(SUBSTITUTE(SUBSTITUTE(SUBSTITUTE(SUBSTITUTE(SUBSTITUTE(SUBSTITUTE(SUBSTITUTE(UPPER(TRIM($DX468)),"0",""),"1",""),"2",""),"3",""),"4",""),"5",""),"6",""),"7",""),"8",""),"9",""),".",""),"+",""),"-",""),"E","")="",LEN(SUBSTITUTE(SUBSTITUTE(MID(UPPER(TRIM($DX468)),1+OR(LEFT(UPPER(TRIM($DX468)),1)="+",LEFT(UPPER(TRIM($DX468)),1)="-"),999),"E+","E"),"E-","E"))=LEN(SUBSTITUTE(SUBSTITUTE(SUBSTITUTE(SUBSTITUTE(MID(UPPER(TRIM($DX468)),1+OR(LEFT(UPPER(TRIM($DX468)),1)="+",LEFT(UPPER(TRIM($DX468)),1)="-"),999),"E+","E"),"E-","E"),"+",""),"-","")),LEN(UPPER(TRIM($DX468)))-LEN(SUBSTITUTE(UPPER(TRIM($DX468)),"E",""))&lt;2,LEN(UPPER(TRIM($DX468)))-LEN(SUBSTITUTE(UPPER(TRIM($DX468)),".",""))&lt;2,IFERROR(FIND(".",UPPER(TRIM($DX468))),0)&lt;IFERROR(FIND("E",UPPER(TRIM($DX468))),999)),ISNUMBER(VALUE(TRIM($DX468)))),VALUE(TRIM($DX468)),"")))),""))</f>
        <v/>
      </c>
      <c r="DZ468">
        <f>IF($DM468=0,"",IF($L$17=0,"",IFERROR(IF(ISNUMBER(INDEX(PASTE_ALL,$DF468,$L$17)),INDEX(PASTE_ALL,$DF468,$L$17),SUBSTITUTE(SUBSTITUTE(TRIM(SUBSTITUTE(SUBSTITUTE(SUBSTITUTE(SUBSTITUTE(INDEX(PASTE_ALL,$DF468,$L$17)," "," "),CHAR(9)," "),CHAR(10)," "),CHAR(13)," ")),",",""),"%","")),"")))</f>
        <v/>
      </c>
      <c r="EA468">
        <f>IF($DM468=0,"",IFERROR(IF(ISNUMBER($DZ468),$DZ468,IF($DZ468="","",IF(TRIM($DZ468)="",0,IF(AND(AND(SUBSTITUTE(SUBSTITUTE(SUBSTITUTE(SUBSTITUTE(SUBSTITUTE(SUBSTITUTE(SUBSTITUTE(SUBSTITUTE(SUBSTITUTE(SUBSTITUTE(SUBSTITUTE(SUBSTITUTE(SUBSTITUTE(SUBSTITUTE(UPPER(TRIM($DZ468)),"0",""),"1",""),"2",""),"3",""),"4",""),"5",""),"6",""),"7",""),"8",""),"9",""),".",""),"+",""),"-",""),"E","")="",LEN(SUBSTITUTE(SUBSTITUTE(MID(UPPER(TRIM($DZ468)),1+OR(LEFT(UPPER(TRIM($DZ468)),1)="+",LEFT(UPPER(TRIM($DZ468)),1)="-"),999),"E+","E"),"E-","E"))=LEN(SUBSTITUTE(SUBSTITUTE(SUBSTITUTE(SUBSTITUTE(MID(UPPER(TRIM($DZ468)),1+OR(LEFT(UPPER(TRIM($DZ468)),1)="+",LEFT(UPPER(TRIM($DZ468)),1)="-"),999),"E+","E"),"E-","E"),"+",""),"-","")),LEN(UPPER(TRIM($DZ468)))-LEN(SUBSTITUTE(UPPER(TRIM($DZ468)),"E",""))&lt;2,LEN(UPPER(TRIM($DZ468)))-LEN(SUBSTITUTE(UPPER(TRIM($DZ468)),".",""))&lt;2,IFERROR(FIND(".",UPPER(TRIM($DZ468))),0)&lt;IFERROR(FIND("E",UPPER(TRIM($DZ468))),999)),ISNUMBER(VALUE(TRIM($DZ468)))),VALUE(TRIM($DZ468)),"")))),""))</f>
        <v/>
      </c>
      <c r="EB468">
        <f>IF($DM468=0,"",IF($L$18=0,"",IFERROR(IF(UPPER(TRIM(SUBSTITUTE(SUBSTITUTE(SUBSTITUTE(SUBSTITUTE(INDEX(PASTE_ALL,$DF468,$L$18)," "," "),CHAR(9)," "),CHAR(10)," "),CHAR(13)," ")))="READY","Ready",IF(UPPER(TRIM(SUBSTITUTE(SUBSTITUTE(SUBSTITUTE(SUBSTITUTE(INDEX(PASTE_ALL,$DF468,$L$18)," "," "),CHAR(9)," "),CHAR(10)," "),CHAR(13)," ")))="PM","PM",IF(OR(UPPER(TRIM(SUBSTITUTE(SUBSTITUTE(SUBSTITUTE(SUBSTITUTE(INDEX(PASTE_ALL,$DF468,$L$18)," "," "),CHAR(9)," "),CHAR(10)," "),CHAR(13)," ")))="OT",UPPER(TRIM(SUBSTITUTE(SUBSTITUTE(SUBSTITUTE(SUBSTITUTE(INDEX(PASTE_ALL,$DF468,$L$18)," "," "),CHAR(9)," "),CHAR(10)," "),CHAR(13)," ")))="OVERTIME",UPPER(TRIM(SUBSTITUTE(SUBSTITUTE(SUBSTITUTE(SUBSTITUTE(INDEX(PASTE_ALL,$DF468,$L$18)," "," "),CHAR(9)," "),CHAR(10)," "),CHAR(13)," ")))="TRIAL"),"OT",TRIM(SUBSTITUTE(SUBSTITUTE(SUBSTITUTE(SUBSTITUTE(INDEX(PASTE_ALL,$DF468,$L$18)," "," "),CHAR(9)," "),CHAR(10)," "),CHAR(13)," "))))),"")))</f>
        <v/>
      </c>
      <c r="EC468">
        <f>IF($DM468=0,"",IF($L$19=0,"",IFERROR(IF(ISNUMBER(INDEX(PASTE_ALL,$DF468,$L$19)),INDEX(PASTE_ALL,$DF468,$L$19),TRIM(SUBSTITUTE(SUBSTITUTE(SUBSTITUTE(SUBSTITUTE(INDEX(PASTE_ALL,$DF468,$L$19)," "," "),CHAR(9)," "),CHAR(10)," "),CHAR(13)," "))),"")))</f>
        <v/>
      </c>
      <c r="ED468">
        <f>IF($DM468=0,"",MATCH(1,INDEX(EXACT($DH$5:DH468,$DH468)*$DM$5:DM468,0),0))</f>
        <v/>
      </c>
      <c r="EE468">
        <f>IF($DM468=0,0,IF($ED468=$DE468,1,0))</f>
        <v/>
      </c>
      <c r="EF468">
        <f>EF467+$EE468</f>
        <v/>
      </c>
      <c r="EG468">
        <f>IF($DM468=0,"",INDEX($EF$5:$EF$1003,$ED468))</f>
        <v/>
      </c>
      <c r="EH468">
        <f>IF($DM468=0,"",IF($DO468&lt;&gt;"","",IFERROR(LOOKUP(2,1/(($EG$4:EG467=$EG468)*($DO$4:DO467&lt;&gt;"")),$DO$4:DO467),"")))</f>
        <v/>
      </c>
      <c r="EI468">
        <f>IF($DM468=0,"",IF($DO468&lt;&gt;"",$DO468,$EH468))</f>
        <v/>
      </c>
      <c r="EJ468">
        <f>IF($DM468=0,"",IF($EI468="",0,IF(OR(ISNUMBER($EI468),AND(AND(SUBSTITUTE(SUBSTITUTE(SUBSTITUTE(SUBSTITUTE(SUBSTITUTE(SUBSTITUTE(SUBSTITUTE(SUBSTITUTE(SUBSTITUTE(SUBSTITUTE(SUBSTITUTE(SUBSTITUTE(SUBSTITUTE(SUBSTITUTE(UPPER($EI468),"0",""),"1",""),"2",""),"3",""),"4",""),"5",""),"6",""),"7",""),"8",""),"9",""),".",""),"+",""),"-",""),"E","")="",LEN(SUBSTITUTE(SUBSTITUTE(MID(UPPER($EI468),1+OR(LEFT(UPPER($EI468),1)="+",LEFT(UPPER($EI468),1)="-"),999),"E+","E"),"E-","E"))=LEN(SUBSTITUTE(SUBSTITUTE(SUBSTITUTE(SUBSTITUTE(MID(UPPER($EI468),1+OR(LEFT(UPPER($EI468),1)="+",LEFT(UPPER($EI468),1)="-"),999),"E+","E"),"E-","E"),"+",""),"-","")),LEN(UPPER($EI468))-LEN(SUBSTITUTE(UPPER($EI468),"E",""))&lt;2,LEN(UPPER($EI468))-LEN(SUBSTITUTE(UPPER($EI468),".",""))&lt;2,IFERROR(FIND(".",UPPER($EI468)),0)&lt;IFERROR(FIND("E",UPPER($EI468)),999)),ISNUMBER(VALUE($EI468)))),1,2)))</f>
        <v/>
      </c>
      <c r="EK468">
        <f>IF($DM468=0,"",IF($EJ468=1,IF(ISNUMBER($EI468),$EI468,VALUE($EI468)),IF($EJ468=2,$DE468,0)))</f>
        <v/>
      </c>
      <c r="EL468">
        <f>IF($DM468=0,"",COUNTIF($EG$5:$EG$1003,"&lt;"&amp;$EG468)+SUMPRODUCT(($EG$5:$EG$1003=$EG468)*(($EJ$5:$EJ$1003&lt;$EJ468)+($EJ$5:$EJ$1003=$EJ468)*(($EK$5:$EK$1003&lt;$EK468)+($EK$5:$EK$1003=$EK468)*($DE$5:$DE$1003&lt;$DE468))))+1)</f>
        <v/>
      </c>
      <c r="EM468">
        <f>IF($DM468=0,"",$EL468+$EG468-1)</f>
        <v/>
      </c>
      <c r="EN468">
        <f>IF($DM468=0,0,IFERROR(MATCH(1,INDEX(--(TRIM(SUBSTITUTE(SUBSTITUTE(SUBSTITUTE(SUBSTITUTE(LINES_NAME&amp;""," "," "),CHAR(9)," "),CHAR(10)," "),CHAR(13)," "))=$DH468),0),0),0))</f>
        <v/>
      </c>
      <c r="EO468">
        <f>IF($EN468=0,0,IF(OR(UPPER(TRIM(INDEX(LINES_SCHEDULED,$EN468)&amp;""))="YES",UPPER(TRIM(INDEX(LINES_SCHEDULED,$EN468)&amp;""))="Y",UPPER(TRIM(INDEX(LINES_SCHEDULED,$EN468)&amp;""))="X"),1,0))</f>
        <v/>
      </c>
      <c r="EP468">
        <f>IF($DM468=0,"",IF(COUNTIFS($EG$5:$EG$1003,$EG468,$EB$5:$EB$1003,"Ready")&gt;0,"READY",IF(COUNTIFS($EG$5:$EG$1003,$EG468,$EB$5:$EB$1003,"PM")&gt;0,"PM",IF(COUNTIFS($EG$5:$EG$1003,$EG468,$EB$5:$EB$1003,"OT")&gt;0,"OT",""))))</f>
        <v/>
      </c>
      <c r="EQ468">
        <f>IF($EN468=0,"",UPPER(TRIM(INDEX(LINES_STATUS,$EN468)&amp;"")))</f>
        <v/>
      </c>
      <c r="ER468">
        <f>IF($DM468=0,"",IF(OR($EQ468="READY",$EQ468="PM",$EQ468="OT"),$EQ468,$EP468))</f>
        <v/>
      </c>
      <c r="ES468">
        <f>IF($DM468=0,"",IF(AND($DV468&lt;&gt;"",UPPER($DV468)&lt;&gt;"N"),"allergen",IF(ISNUMBER(SEARCH("oil",$DQ468)),"oil",IF(OR(EXACT($DS468,"A662"),EXACT($DS468,"A624")),"bulk",""))))</f>
        <v/>
      </c>
      <c r="ET468">
        <f>IF($DM468=0,"",IF(OR($EA468="",$EA468=0),"",$EA468/100))</f>
        <v/>
      </c>
      <c r="EU468">
        <f>IF(OR($ET468="",$DY468=""),"",INT($DY468*(1-$ET468)+0.5))</f>
        <v/>
      </c>
      <c r="EW468" t="n">
        <v>464</v>
      </c>
      <c r="EX468">
        <f>IFERROR(MATCH($EW468,$EM$5:$EM$1003,0),0)</f>
        <v/>
      </c>
      <c r="EY468">
        <f>IF($EW468&gt;$B$12,"",IF($EX468&gt;0,"row","spacer"))</f>
        <v/>
      </c>
      <c r="EZ468">
        <f>IF(AND($EY468="row",$EY467&lt;&gt;"row"),1,0)</f>
        <v/>
      </c>
      <c r="FA468">
        <f>IF(AND($EY468="row",$EY469&lt;&gt;"row"),1,0)</f>
        <v/>
      </c>
      <c r="FB468">
        <f>IF($EZ468=1,IFERROR(IF(ISNUMBER(INDEX(PASTE_ALL,INDEX($DF$5:$DF$1003,$EX468),$B$37)),INDEX(PASTE_ALL,INDEX($DF$5:$DF$1003,$EX468),$B$37),INDEX($DH$5:$DH$1003,$EX468)),INDEX($DH$5:$DH$1003,$EX468)),"")</f>
        <v/>
      </c>
      <c r="FC468">
        <f>IF($EY468="row",INDEX($ER$5:$ER$1003,$EX468),"")</f>
        <v/>
      </c>
      <c r="FD468">
        <f>IF($EY468="row",INDEX($DN$5:$DN$1003,$EX468),"")</f>
        <v/>
      </c>
      <c r="FE468">
        <f>IF($EY468="row",INDEX($DO$5:$DO$1003,$EX468),"")</f>
        <v/>
      </c>
      <c r="FF468">
        <f>IF($EY468="row",INDEX($DP$5:$DP$1003,$EX468),"")</f>
        <v/>
      </c>
      <c r="FG468">
        <f>IF($EY468="row",INDEX($DQ$5:$DQ$1003,$EX468),"")</f>
        <v/>
      </c>
      <c r="FH468">
        <f>IF($EY468="row",INDEX($DR$5:$DR$1003,$EX468),"")</f>
        <v/>
      </c>
      <c r="FI468">
        <f>IF($EY468="row",INDEX($DS$5:$DS$1003,$EX468),"")</f>
        <v/>
      </c>
      <c r="FJ468">
        <f>IF($EY468="row",INDEX($DT$5:$DT$1003,$EX468),"")</f>
        <v/>
      </c>
      <c r="FK468">
        <f>IF($EY468="row",INDEX($DU$5:$DU$1003,$EX468),"")</f>
        <v/>
      </c>
      <c r="FL468">
        <f>IF($EY468="row",INDEX($DV$5:$DV$1003,$EX468),"")</f>
        <v/>
      </c>
      <c r="FM468">
        <f>IF($EY468="row",INDEX($DW$5:$DW$1003,$EX468),"")</f>
        <v/>
      </c>
      <c r="FN468">
        <f>IF($EY468="row",INDEX($DY$5:$DY$1003,$EX468),"")</f>
        <v/>
      </c>
      <c r="FO468">
        <f>IF($EY468="row",INDEX($EA$5:$EA$1003,$EX468),"")</f>
        <v/>
      </c>
      <c r="FP468">
        <f>IF($EY468="row",INDEX($EC$5:$EC$1003,$EX468),"")</f>
        <v/>
      </c>
      <c r="FQ468">
        <f>IF($EY468="row",INDEX($ET$5:$ET$1003,$EX468),"")</f>
        <v/>
      </c>
      <c r="FR468">
        <f>IF($EY468="row",INDEX($EU$5:$EU$1003,$EX468),"")</f>
        <v/>
      </c>
      <c r="FS468">
        <f>IF(AND($EY468="row",$EY467="row"),IF(OR(INDEX($DT$5:$DT$1003,$EX467)="",INDEX($DT$5:$DT$1003,$EX468)=""),"",IF(NOT(EXACT(INDEX($DT$5:$DT$1003,$EX467),INDEX($DT$5:$DT$1003,$EX468))),"S4",IF(NOT(EXACT(INDEX($DS$5:$DS$1003,$EX467),INDEX($DS$5:$DS$1003,$EX468))),"S3",IF(NOT(EXACT(INDEX($DR$5:$DR$1003,$EX467),INDEX($DR$5:$DR$1003,$EX468))),"S1 Count Change","S1")))),"")</f>
        <v/>
      </c>
      <c r="FT468">
        <f>IF($EY468="row",INDEX($ES$5:$ES$1003,$EX468),"")</f>
        <v/>
      </c>
      <c r="FU468">
        <f>IF($EY468="row",INDEX($EO$5:$EO$1003,$EX468),0)</f>
        <v/>
      </c>
      <c r="FV468">
        <f>IF($FS468="S1 Count Change",1,0)</f>
        <v/>
      </c>
    </row>
    <row r="469">
      <c r="DA469" t="n">
        <v>465</v>
      </c>
      <c r="DB469">
        <f>IF($B$37=0,"",IFERROR(TRIM(SUBSTITUTE(SUBSTITUTE(SUBSTITUTE(SUBSTITUTE(INDEX(PASTE_ALL,465,$B$37)," "," "),CHAR(9)," "),CHAR(10)," "),CHAR(13)," ")),""))</f>
        <v/>
      </c>
      <c r="DC469">
        <f>IF(AND(465&gt;HEADER_ROW,UPPER(DB469)="LEGEND"),1,0)</f>
        <v/>
      </c>
      <c r="DE469" t="n">
        <v>465</v>
      </c>
      <c r="DF469">
        <f>HEADER_ROW+$DE469</f>
        <v/>
      </c>
      <c r="DG469">
        <f>IF(AND($DF469&lt;=1000,$DF469&lt;$B$8),1,0)</f>
        <v/>
      </c>
      <c r="DH469">
        <f>IF($DG469=1,IFERROR(INDEX($DB$5:$DB$1004,$DF469),""),"")</f>
        <v/>
      </c>
      <c r="DI469">
        <f>IF(AND($DG469=1,$DH469&lt;&gt;""),IFERROR(SUBSTITUTE(SUBSTITUTE(TRIM(SUBSTITUTE(SUBSTITUTE(SUBSTITUTE(SUBSTITUTE(IFERROR(INDEX(PASTE_ALL,$DF469,1)&amp;"","")&amp;"␟"&amp;IFERROR(INDEX(PASTE_ALL,$DF469,2)&amp;"","")&amp;"␟"&amp;IFERROR(INDEX(PASTE_ALL,$DF469,3)&amp;"","")&amp;"␟"&amp;IFERROR(INDEX(PASTE_ALL,$DF469,4)&amp;"","")&amp;"␟"&amp;IFERROR(INDEX(PASTE_ALL,$DF469,5)&amp;"","")&amp;"␟"&amp;IFERROR(INDEX(PASTE_ALL,$DF469,6)&amp;"","")&amp;"␟"&amp;IFERROR(INDEX(PASTE_ALL,$DF469,7)&amp;"","")&amp;"␟"&amp;IFERROR(INDEX(PASTE_ALL,$DF469,8)&amp;"","")&amp;"␟"&amp;IFERROR(INDEX(PASTE_ALL,$DF469,9)&amp;"","")&amp;"␟"&amp;IFERROR(INDEX(PASTE_ALL,$DF469,10)&amp;"","")&amp;"␟"&amp;IFERROR(INDEX(PASTE_ALL,$DF469,11)&amp;"","")&amp;"␟"&amp;IFERROR(INDEX(PASTE_ALL,$DF469,12)&amp;"","")&amp;"␟"&amp;IFERROR(INDEX(PASTE_ALL,$DF469,13)&amp;"","")&amp;"␟"&amp;IFERROR(INDEX(PASTE_ALL,$DF469,14)&amp;"","")&amp;"␟"&amp;IFERROR(INDEX(PASTE_ALL,$DF469,15)&amp;"","")&amp;"␟"&amp;IFERROR(INDEX(PASTE_ALL,$DF469,16)&amp;"","")&amp;"␟"&amp;IFERROR(INDEX(PASTE_ALL,$DF469,17)&amp;"","")&amp;"␟"&amp;IFERROR(INDEX(PASTE_ALL,$DF469,18)&amp;"","")&amp;"␟"&amp;IFERROR(INDEX(PASTE_ALL,$DF469,19)&amp;"","")&amp;"␟"&amp;IFERROR(INDEX(PASTE_ALL,$DF469,20)&amp;"","")&amp;"␟"&amp;IFERROR(INDEX(PASTE_ALL,$DF469,21)&amp;"","")&amp;"␟"&amp;IFERROR(INDEX(PASTE_ALL,$DF469,22)&amp;"","")&amp;"␟"&amp;IFERROR(INDEX(PASTE_ALL,$DF469,23)&amp;"","")&amp;"␟"&amp;IFERROR(INDEX(PASTE_ALL,$DF469,24)&amp;"","")&amp;"␟"&amp;IFERROR(INDEX(PASTE_ALL,$DF469,25)&amp;"","")&amp;"␟"&amp;IFERROR(INDEX(PASTE_ALL,$DF469,26)&amp;"","")&amp;"␟"&amp;IFERROR(INDEX(PASTE_ALL,$DF469,27)&amp;"","")&amp;"␟"&amp;IFERROR(INDEX(PASTE_ALL,$DF469,28)&amp;"","")&amp;"␟"&amp;IFERROR(INDEX(PASTE_ALL,$DF469,29)&amp;"","")&amp;"␟"&amp;IFERROR(INDEX(PASTE_ALL,$DF469,30)&amp;"","")&amp;"␟"&amp;IFERROR(INDEX(PASTE_ALL,$DF469,31)&amp;"","")&amp;"␟"&amp;IFERROR(INDEX(PASTE_ALL,$DF469,32)&amp;"","")&amp;"␟"&amp;IFERROR(INDEX(PASTE_ALL,$DF469,33)&amp;"","")&amp;"␟"&amp;IFERROR(INDEX(PASTE_ALL,$DF469,34)&amp;"","")&amp;"␟"&amp;IFERROR(INDEX(PASTE_ALL,$DF469,35)&amp;"","")&amp;"␟"&amp;IFERROR(INDEX(PASTE_ALL,$DF469,36)&amp;"","")&amp;"␟"&amp;IFERROR(INDEX(PASTE_ALL,$DF469,37)&amp;"","")&amp;"␟"&amp;IFERROR(INDEX(PASTE_ALL,$DF469,38)&amp;"","")&amp;"␟"&amp;IFERROR(INDEX(PASTE_ALL,$DF469,39)&amp;"","")&amp;"␟"&amp;IFERROR(INDEX(PASTE_ALL,$DF469,40)&amp;"","")&amp;"␟"&amp;IFERROR(INDEX(PASTE_ALL,$DF469,41)&amp;"","")&amp;"␟"&amp;IFERROR(INDEX(PASTE_ALL,$DF469,42)&amp;"","")&amp;"␟"&amp;IFERROR(INDEX(PASTE_ALL,$DF469,43)&amp;"","")&amp;"␟"&amp;IFERROR(INDEX(PASTE_ALL,$DF469,44)&amp;"","")&amp;"␟"&amp;IFERROR(INDEX(PASTE_ALL,$DF469,45)&amp;"","")&amp;"␟"&amp;IFERROR(INDEX(PASTE_ALL,$DF469,46)&amp;"","")&amp;"␟"&amp;IFERROR(INDEX(PASTE_ALL,$DF469,47)&amp;"","")&amp;"␟"&amp;IFERROR(INDEX(PASTE_ALL,$DF469,48)&amp;"","")&amp;"␟"&amp;IFERROR(INDEX(PASTE_ALL,$DF469,49)&amp;"","")&amp;"␟"&amp;IFERROR(INDEX(PASTE_ALL,$DF469,50)&amp;"","")&amp;"␟"&amp;IFERROR(INDEX(PASTE_ALL,$DF469,51)&amp;"","")&amp;"␟"&amp;IFERROR(INDEX(PASTE_ALL,$DF469,52)&amp;"","")&amp;"␟"&amp;IFERROR(INDEX(PASTE_ALL,$DF469,53)&amp;"","")&amp;"␟"&amp;IFERROR(INDEX(PASTE_ALL,$DF469,54)&amp;"","")&amp;"␟"&amp;IFERROR(INDEX(PASTE_ALL,$DF469,55)&amp;"","")&amp;"␟"&amp;IFERROR(INDEX(PASTE_ALL,$DF469,56)&amp;"","")&amp;"␟"&amp;IFERROR(INDEX(PASTE_ALL,$DF469,57)&amp;"","")&amp;"␟"&amp;IFERROR(INDEX(PASTE_ALL,$DF469,58)&amp;"","")&amp;"␟"&amp;IFERROR(INDEX(PASTE_ALL,$DF469,59)&amp;"","")&amp;"␟"&amp;IFERROR(INDEX(PASTE_ALL,$DF469,60)&amp;"","")," "," "),CHAR(9)," "),CHAR(10)," "),CHAR(13)," "))," ␟","␟"),"␟ ","␟"),"#"&amp;$DE469),"")</f>
        <v/>
      </c>
      <c r="DJ469">
        <f>IF($DI469="",0,IF(SUMPRODUCT(--EXACT($DI$4:DI468,$DI469))&gt;0,1,0))</f>
        <v/>
      </c>
      <c r="DK469">
        <f>IF(AND($DI469&lt;&gt;"",$DJ469=0),1,0)</f>
        <v/>
      </c>
      <c r="DL469">
        <f>DL468+$DK469</f>
        <v/>
      </c>
      <c r="DM469">
        <f>IF(AND($DK469=1,$DL469&lt;=600),1,0)</f>
        <v/>
      </c>
      <c r="DN469">
        <f>IF($DM469=0,"",IF($L$6=0,"",IFERROR(IF(ISNUMBER(INDEX(PASTE_ALL,$DF469,$L$6)),INDEX(PASTE_ALL,$DF469,$L$6),TRIM(SUBSTITUTE(SUBSTITUTE(SUBSTITUTE(SUBSTITUTE(INDEX(PASTE_ALL,$DF469,$L$6)," "," "),CHAR(9)," "),CHAR(10)," "),CHAR(13)," "))),"")))</f>
        <v/>
      </c>
      <c r="DO469">
        <f>IF($DM469=0,"",IF($L$7=0,"",IFERROR(IF(ISNUMBER(INDEX(PASTE_ALL,$DF469,$L$7)),INDEX(PASTE_ALL,$DF469,$L$7),TRIM(SUBSTITUTE(SUBSTITUTE(SUBSTITUTE(SUBSTITUTE(INDEX(PASTE_ALL,$DF469,$L$7)," "," "),CHAR(9)," "),CHAR(10)," "),CHAR(13)," "))),"")))</f>
        <v/>
      </c>
      <c r="DP469">
        <f>IF($DM469=0,"",IF($L$8=0,"",IFERROR(IF(ISNUMBER(INDEX(PASTE_ALL,$DF469,$L$8)),INDEX(PASTE_ALL,$DF469,$L$8),TRIM(SUBSTITUTE(SUBSTITUTE(SUBSTITUTE(SUBSTITUTE(INDEX(PASTE_ALL,$DF469,$L$8)," "," "),CHAR(9)," "),CHAR(10)," "),CHAR(13)," "))),"")))</f>
        <v/>
      </c>
      <c r="DQ469">
        <f>IF($DM469=0,"",IF($L$9=0,"",IFERROR(IF(ISNUMBER(INDEX(PASTE_ALL,$DF469,$L$9)),INDEX(PASTE_ALL,$DF469,$L$9),TRIM(SUBSTITUTE(SUBSTITUTE(SUBSTITUTE(SUBSTITUTE(INDEX(PASTE_ALL,$DF469,$L$9)," "," "),CHAR(9)," "),CHAR(10)," "),CHAR(13)," "))),"")))</f>
        <v/>
      </c>
      <c r="DR469">
        <f>IF($DM469=0,"",IF($L$10=0,"",IFERROR(IF(ISNUMBER(INDEX(PASTE_ALL,$DF469,$L$10)),INDEX(PASTE_ALL,$DF469,$L$10),TRIM(SUBSTITUTE(SUBSTITUTE(SUBSTITUTE(SUBSTITUTE(INDEX(PASTE_ALL,$DF469,$L$10)," "," "),CHAR(9)," "),CHAR(10)," "),CHAR(13)," "))),"")))</f>
        <v/>
      </c>
      <c r="DS469">
        <f>IF($DM469=0,"",IF($L$11=0,"",IFERROR(IF(ISNUMBER(INDEX(PASTE_ALL,$DF469,$L$11)),INDEX(PASTE_ALL,$DF469,$L$11),TRIM(SUBSTITUTE(SUBSTITUTE(SUBSTITUTE(SUBSTITUTE(INDEX(PASTE_ALL,$DF469,$L$11)," "," "),CHAR(9)," "),CHAR(10)," "),CHAR(13)," "))),"")))</f>
        <v/>
      </c>
      <c r="DT469">
        <f>IF($DM469=0,"",IF($L$12=0,"",IFERROR(IF(ISNUMBER(INDEX(PASTE_ALL,$DF469,$L$12)),INDEX(PASTE_ALL,$DF469,$L$12),TRIM(SUBSTITUTE(SUBSTITUTE(SUBSTITUTE(SUBSTITUTE(INDEX(PASTE_ALL,$DF469,$L$12)," "," "),CHAR(9)," "),CHAR(10)," "),CHAR(13)," "))),"")))</f>
        <v/>
      </c>
      <c r="DU469">
        <f>IF($DM469=0,"",IF($L$13=0,"",IFERROR(IF(ISNUMBER(INDEX(PASTE_ALL,$DF469,$L$13)),INDEX(PASTE_ALL,$DF469,$L$13),TRIM(SUBSTITUTE(SUBSTITUTE(SUBSTITUTE(SUBSTITUTE(INDEX(PASTE_ALL,$DF469,$L$13)," "," "),CHAR(9)," "),CHAR(10)," "),CHAR(13)," "))),"")))</f>
        <v/>
      </c>
      <c r="DV469">
        <f>IF($DM469=0,"",IF($L$14=0,"",IFERROR(IF(ISNUMBER(INDEX(PASTE_ALL,$DF469,$L$14)),INDEX(PASTE_ALL,$DF469,$L$14),TRIM(SUBSTITUTE(SUBSTITUTE(SUBSTITUTE(SUBSTITUTE(INDEX(PASTE_ALL,$DF469,$L$14)," "," "),CHAR(9)," "),CHAR(10)," "),CHAR(13)," "))),"")))</f>
        <v/>
      </c>
      <c r="DW469">
        <f>IF($DM469=0,"",IF($L$15=0,"",IFERROR(IF(ISNUMBER(INDEX(PASTE_ALL,$DF469,$L$15)),INDEX(PASTE_ALL,$DF469,$L$15),IF(SUMPRODUCT(--ISNUMBER(FIND({"A","B","C","D","E","F","G","H","I","J","K","L","M","N","O","P","Q","R","S","T","U","V","W","X","Y","Z","0","1","2","3","4","5","6","7","8","9"},UPPER(TRIM(SUBSTITUTE(SUBSTITUTE(SUBSTITUTE(SUBSTITUTE(INDEX(PASTE_ALL,$DF469,$L$15)," "," "),CHAR(9)," "),CHAR(10)," "),CHAR(13)," "))))))&gt;0,TRIM(SUBSTITUTE(SUBSTITUTE(SUBSTITUTE(SUBSTITUTE(INDEX(PASTE_ALL,$DF469,$L$15)," "," "),CHAR(9)," "),CHAR(10)," "),CHAR(13)," ")),"")),"")))</f>
        <v/>
      </c>
      <c r="DX469">
        <f>IF($DM469=0,"",IF($L$16=0,"",IFERROR(IF(ISNUMBER(INDEX(PASTE_ALL,$DF469,$L$16)),INDEX(PASTE_ALL,$DF469,$L$16),SUBSTITUTE(SUBSTITUTE(TRIM(SUBSTITUTE(SUBSTITUTE(SUBSTITUTE(SUBSTITUTE(INDEX(PASTE_ALL,$DF469,$L$16)," "," "),CHAR(9)," "),CHAR(10)," "),CHAR(13)," ")),",",""),"%","")),"")))</f>
        <v/>
      </c>
      <c r="DY469">
        <f>IF($DM469=0,"",IFERROR(IF(ISNUMBER($DX469),$DX469,IF($DX469="","",IF(TRIM($DX469)="",0,IF(AND(AND(SUBSTITUTE(SUBSTITUTE(SUBSTITUTE(SUBSTITUTE(SUBSTITUTE(SUBSTITUTE(SUBSTITUTE(SUBSTITUTE(SUBSTITUTE(SUBSTITUTE(SUBSTITUTE(SUBSTITUTE(SUBSTITUTE(SUBSTITUTE(UPPER(TRIM($DX469)),"0",""),"1",""),"2",""),"3",""),"4",""),"5",""),"6",""),"7",""),"8",""),"9",""),".",""),"+",""),"-",""),"E","")="",LEN(SUBSTITUTE(SUBSTITUTE(MID(UPPER(TRIM($DX469)),1+OR(LEFT(UPPER(TRIM($DX469)),1)="+",LEFT(UPPER(TRIM($DX469)),1)="-"),999),"E+","E"),"E-","E"))=LEN(SUBSTITUTE(SUBSTITUTE(SUBSTITUTE(SUBSTITUTE(MID(UPPER(TRIM($DX469)),1+OR(LEFT(UPPER(TRIM($DX469)),1)="+",LEFT(UPPER(TRIM($DX469)),1)="-"),999),"E+","E"),"E-","E"),"+",""),"-","")),LEN(UPPER(TRIM($DX469)))-LEN(SUBSTITUTE(UPPER(TRIM($DX469)),"E",""))&lt;2,LEN(UPPER(TRIM($DX469)))-LEN(SUBSTITUTE(UPPER(TRIM($DX469)),".",""))&lt;2,IFERROR(FIND(".",UPPER(TRIM($DX469))),0)&lt;IFERROR(FIND("E",UPPER(TRIM($DX469))),999)),ISNUMBER(VALUE(TRIM($DX469)))),VALUE(TRIM($DX469)),"")))),""))</f>
        <v/>
      </c>
      <c r="DZ469">
        <f>IF($DM469=0,"",IF($L$17=0,"",IFERROR(IF(ISNUMBER(INDEX(PASTE_ALL,$DF469,$L$17)),INDEX(PASTE_ALL,$DF469,$L$17),SUBSTITUTE(SUBSTITUTE(TRIM(SUBSTITUTE(SUBSTITUTE(SUBSTITUTE(SUBSTITUTE(INDEX(PASTE_ALL,$DF469,$L$17)," "," "),CHAR(9)," "),CHAR(10)," "),CHAR(13)," ")),",",""),"%","")),"")))</f>
        <v/>
      </c>
      <c r="EA469">
        <f>IF($DM469=0,"",IFERROR(IF(ISNUMBER($DZ469),$DZ469,IF($DZ469="","",IF(TRIM($DZ469)="",0,IF(AND(AND(SUBSTITUTE(SUBSTITUTE(SUBSTITUTE(SUBSTITUTE(SUBSTITUTE(SUBSTITUTE(SUBSTITUTE(SUBSTITUTE(SUBSTITUTE(SUBSTITUTE(SUBSTITUTE(SUBSTITUTE(SUBSTITUTE(SUBSTITUTE(UPPER(TRIM($DZ469)),"0",""),"1",""),"2",""),"3",""),"4",""),"5",""),"6",""),"7",""),"8",""),"9",""),".",""),"+",""),"-",""),"E","")="",LEN(SUBSTITUTE(SUBSTITUTE(MID(UPPER(TRIM($DZ469)),1+OR(LEFT(UPPER(TRIM($DZ469)),1)="+",LEFT(UPPER(TRIM($DZ469)),1)="-"),999),"E+","E"),"E-","E"))=LEN(SUBSTITUTE(SUBSTITUTE(SUBSTITUTE(SUBSTITUTE(MID(UPPER(TRIM($DZ469)),1+OR(LEFT(UPPER(TRIM($DZ469)),1)="+",LEFT(UPPER(TRIM($DZ469)),1)="-"),999),"E+","E"),"E-","E"),"+",""),"-","")),LEN(UPPER(TRIM($DZ469)))-LEN(SUBSTITUTE(UPPER(TRIM($DZ469)),"E",""))&lt;2,LEN(UPPER(TRIM($DZ469)))-LEN(SUBSTITUTE(UPPER(TRIM($DZ469)),".",""))&lt;2,IFERROR(FIND(".",UPPER(TRIM($DZ469))),0)&lt;IFERROR(FIND("E",UPPER(TRIM($DZ469))),999)),ISNUMBER(VALUE(TRIM($DZ469)))),VALUE(TRIM($DZ469)),"")))),""))</f>
        <v/>
      </c>
      <c r="EB469">
        <f>IF($DM469=0,"",IF($L$18=0,"",IFERROR(IF(UPPER(TRIM(SUBSTITUTE(SUBSTITUTE(SUBSTITUTE(SUBSTITUTE(INDEX(PASTE_ALL,$DF469,$L$18)," "," "),CHAR(9)," "),CHAR(10)," "),CHAR(13)," ")))="READY","Ready",IF(UPPER(TRIM(SUBSTITUTE(SUBSTITUTE(SUBSTITUTE(SUBSTITUTE(INDEX(PASTE_ALL,$DF469,$L$18)," "," "),CHAR(9)," "),CHAR(10)," "),CHAR(13)," ")))="PM","PM",IF(OR(UPPER(TRIM(SUBSTITUTE(SUBSTITUTE(SUBSTITUTE(SUBSTITUTE(INDEX(PASTE_ALL,$DF469,$L$18)," "," "),CHAR(9)," "),CHAR(10)," "),CHAR(13)," ")))="OT",UPPER(TRIM(SUBSTITUTE(SUBSTITUTE(SUBSTITUTE(SUBSTITUTE(INDEX(PASTE_ALL,$DF469,$L$18)," "," "),CHAR(9)," "),CHAR(10)," "),CHAR(13)," ")))="OVERTIME",UPPER(TRIM(SUBSTITUTE(SUBSTITUTE(SUBSTITUTE(SUBSTITUTE(INDEX(PASTE_ALL,$DF469,$L$18)," "," "),CHAR(9)," "),CHAR(10)," "),CHAR(13)," ")))="TRIAL"),"OT",TRIM(SUBSTITUTE(SUBSTITUTE(SUBSTITUTE(SUBSTITUTE(INDEX(PASTE_ALL,$DF469,$L$18)," "," "),CHAR(9)," "),CHAR(10)," "),CHAR(13)," "))))),"")))</f>
        <v/>
      </c>
      <c r="EC469">
        <f>IF($DM469=0,"",IF($L$19=0,"",IFERROR(IF(ISNUMBER(INDEX(PASTE_ALL,$DF469,$L$19)),INDEX(PASTE_ALL,$DF469,$L$19),TRIM(SUBSTITUTE(SUBSTITUTE(SUBSTITUTE(SUBSTITUTE(INDEX(PASTE_ALL,$DF469,$L$19)," "," "),CHAR(9)," "),CHAR(10)," "),CHAR(13)," "))),"")))</f>
        <v/>
      </c>
      <c r="ED469">
        <f>IF($DM469=0,"",MATCH(1,INDEX(EXACT($DH$5:DH469,$DH469)*$DM$5:DM469,0),0))</f>
        <v/>
      </c>
      <c r="EE469">
        <f>IF($DM469=0,0,IF($ED469=$DE469,1,0))</f>
        <v/>
      </c>
      <c r="EF469">
        <f>EF468+$EE469</f>
        <v/>
      </c>
      <c r="EG469">
        <f>IF($DM469=0,"",INDEX($EF$5:$EF$1003,$ED469))</f>
        <v/>
      </c>
      <c r="EH469">
        <f>IF($DM469=0,"",IF($DO469&lt;&gt;"","",IFERROR(LOOKUP(2,1/(($EG$4:EG468=$EG469)*($DO$4:DO468&lt;&gt;"")),$DO$4:DO468),"")))</f>
        <v/>
      </c>
      <c r="EI469">
        <f>IF($DM469=0,"",IF($DO469&lt;&gt;"",$DO469,$EH469))</f>
        <v/>
      </c>
      <c r="EJ469">
        <f>IF($DM469=0,"",IF($EI469="",0,IF(OR(ISNUMBER($EI469),AND(AND(SUBSTITUTE(SUBSTITUTE(SUBSTITUTE(SUBSTITUTE(SUBSTITUTE(SUBSTITUTE(SUBSTITUTE(SUBSTITUTE(SUBSTITUTE(SUBSTITUTE(SUBSTITUTE(SUBSTITUTE(SUBSTITUTE(SUBSTITUTE(UPPER($EI469),"0",""),"1",""),"2",""),"3",""),"4",""),"5",""),"6",""),"7",""),"8",""),"9",""),".",""),"+",""),"-",""),"E","")="",LEN(SUBSTITUTE(SUBSTITUTE(MID(UPPER($EI469),1+OR(LEFT(UPPER($EI469),1)="+",LEFT(UPPER($EI469),1)="-"),999),"E+","E"),"E-","E"))=LEN(SUBSTITUTE(SUBSTITUTE(SUBSTITUTE(SUBSTITUTE(MID(UPPER($EI469),1+OR(LEFT(UPPER($EI469),1)="+",LEFT(UPPER($EI469),1)="-"),999),"E+","E"),"E-","E"),"+",""),"-","")),LEN(UPPER($EI469))-LEN(SUBSTITUTE(UPPER($EI469),"E",""))&lt;2,LEN(UPPER($EI469))-LEN(SUBSTITUTE(UPPER($EI469),".",""))&lt;2,IFERROR(FIND(".",UPPER($EI469)),0)&lt;IFERROR(FIND("E",UPPER($EI469)),999)),ISNUMBER(VALUE($EI469)))),1,2)))</f>
        <v/>
      </c>
      <c r="EK469">
        <f>IF($DM469=0,"",IF($EJ469=1,IF(ISNUMBER($EI469),$EI469,VALUE($EI469)),IF($EJ469=2,$DE469,0)))</f>
        <v/>
      </c>
      <c r="EL469">
        <f>IF($DM469=0,"",COUNTIF($EG$5:$EG$1003,"&lt;"&amp;$EG469)+SUMPRODUCT(($EG$5:$EG$1003=$EG469)*(($EJ$5:$EJ$1003&lt;$EJ469)+($EJ$5:$EJ$1003=$EJ469)*(($EK$5:$EK$1003&lt;$EK469)+($EK$5:$EK$1003=$EK469)*($DE$5:$DE$1003&lt;$DE469))))+1)</f>
        <v/>
      </c>
      <c r="EM469">
        <f>IF($DM469=0,"",$EL469+$EG469-1)</f>
        <v/>
      </c>
      <c r="EN469">
        <f>IF($DM469=0,0,IFERROR(MATCH(1,INDEX(--(TRIM(SUBSTITUTE(SUBSTITUTE(SUBSTITUTE(SUBSTITUTE(LINES_NAME&amp;""," "," "),CHAR(9)," "),CHAR(10)," "),CHAR(13)," "))=$DH469),0),0),0))</f>
        <v/>
      </c>
      <c r="EO469">
        <f>IF($EN469=0,0,IF(OR(UPPER(TRIM(INDEX(LINES_SCHEDULED,$EN469)&amp;""))="YES",UPPER(TRIM(INDEX(LINES_SCHEDULED,$EN469)&amp;""))="Y",UPPER(TRIM(INDEX(LINES_SCHEDULED,$EN469)&amp;""))="X"),1,0))</f>
        <v/>
      </c>
      <c r="EP469">
        <f>IF($DM469=0,"",IF(COUNTIFS($EG$5:$EG$1003,$EG469,$EB$5:$EB$1003,"Ready")&gt;0,"READY",IF(COUNTIFS($EG$5:$EG$1003,$EG469,$EB$5:$EB$1003,"PM")&gt;0,"PM",IF(COUNTIFS($EG$5:$EG$1003,$EG469,$EB$5:$EB$1003,"OT")&gt;0,"OT",""))))</f>
        <v/>
      </c>
      <c r="EQ469">
        <f>IF($EN469=0,"",UPPER(TRIM(INDEX(LINES_STATUS,$EN469)&amp;"")))</f>
        <v/>
      </c>
      <c r="ER469">
        <f>IF($DM469=0,"",IF(OR($EQ469="READY",$EQ469="PM",$EQ469="OT"),$EQ469,$EP469))</f>
        <v/>
      </c>
      <c r="ES469">
        <f>IF($DM469=0,"",IF(AND($DV469&lt;&gt;"",UPPER($DV469)&lt;&gt;"N"),"allergen",IF(ISNUMBER(SEARCH("oil",$DQ469)),"oil",IF(OR(EXACT($DS469,"A662"),EXACT($DS469,"A624")),"bulk",""))))</f>
        <v/>
      </c>
      <c r="ET469">
        <f>IF($DM469=0,"",IF(OR($EA469="",$EA469=0),"",$EA469/100))</f>
        <v/>
      </c>
      <c r="EU469">
        <f>IF(OR($ET469="",$DY469=""),"",INT($DY469*(1-$ET469)+0.5))</f>
        <v/>
      </c>
      <c r="EW469" t="n">
        <v>465</v>
      </c>
      <c r="EX469">
        <f>IFERROR(MATCH($EW469,$EM$5:$EM$1003,0),0)</f>
        <v/>
      </c>
      <c r="EY469">
        <f>IF($EW469&gt;$B$12,"",IF($EX469&gt;0,"row","spacer"))</f>
        <v/>
      </c>
      <c r="EZ469">
        <f>IF(AND($EY469="row",$EY468&lt;&gt;"row"),1,0)</f>
        <v/>
      </c>
      <c r="FA469">
        <f>IF(AND($EY469="row",$EY470&lt;&gt;"row"),1,0)</f>
        <v/>
      </c>
      <c r="FB469">
        <f>IF($EZ469=1,IFERROR(IF(ISNUMBER(INDEX(PASTE_ALL,INDEX($DF$5:$DF$1003,$EX469),$B$37)),INDEX(PASTE_ALL,INDEX($DF$5:$DF$1003,$EX469),$B$37),INDEX($DH$5:$DH$1003,$EX469)),INDEX($DH$5:$DH$1003,$EX469)),"")</f>
        <v/>
      </c>
      <c r="FC469">
        <f>IF($EY469="row",INDEX($ER$5:$ER$1003,$EX469),"")</f>
        <v/>
      </c>
      <c r="FD469">
        <f>IF($EY469="row",INDEX($DN$5:$DN$1003,$EX469),"")</f>
        <v/>
      </c>
      <c r="FE469">
        <f>IF($EY469="row",INDEX($DO$5:$DO$1003,$EX469),"")</f>
        <v/>
      </c>
      <c r="FF469">
        <f>IF($EY469="row",INDEX($DP$5:$DP$1003,$EX469),"")</f>
        <v/>
      </c>
      <c r="FG469">
        <f>IF($EY469="row",INDEX($DQ$5:$DQ$1003,$EX469),"")</f>
        <v/>
      </c>
      <c r="FH469">
        <f>IF($EY469="row",INDEX($DR$5:$DR$1003,$EX469),"")</f>
        <v/>
      </c>
      <c r="FI469">
        <f>IF($EY469="row",INDEX($DS$5:$DS$1003,$EX469),"")</f>
        <v/>
      </c>
      <c r="FJ469">
        <f>IF($EY469="row",INDEX($DT$5:$DT$1003,$EX469),"")</f>
        <v/>
      </c>
      <c r="FK469">
        <f>IF($EY469="row",INDEX($DU$5:$DU$1003,$EX469),"")</f>
        <v/>
      </c>
      <c r="FL469">
        <f>IF($EY469="row",INDEX($DV$5:$DV$1003,$EX469),"")</f>
        <v/>
      </c>
      <c r="FM469">
        <f>IF($EY469="row",INDEX($DW$5:$DW$1003,$EX469),"")</f>
        <v/>
      </c>
      <c r="FN469">
        <f>IF($EY469="row",INDEX($DY$5:$DY$1003,$EX469),"")</f>
        <v/>
      </c>
      <c r="FO469">
        <f>IF($EY469="row",INDEX($EA$5:$EA$1003,$EX469),"")</f>
        <v/>
      </c>
      <c r="FP469">
        <f>IF($EY469="row",INDEX($EC$5:$EC$1003,$EX469),"")</f>
        <v/>
      </c>
      <c r="FQ469">
        <f>IF($EY469="row",INDEX($ET$5:$ET$1003,$EX469),"")</f>
        <v/>
      </c>
      <c r="FR469">
        <f>IF($EY469="row",INDEX($EU$5:$EU$1003,$EX469),"")</f>
        <v/>
      </c>
      <c r="FS469">
        <f>IF(AND($EY469="row",$EY468="row"),IF(OR(INDEX($DT$5:$DT$1003,$EX468)="",INDEX($DT$5:$DT$1003,$EX469)=""),"",IF(NOT(EXACT(INDEX($DT$5:$DT$1003,$EX468),INDEX($DT$5:$DT$1003,$EX469))),"S4",IF(NOT(EXACT(INDEX($DS$5:$DS$1003,$EX468),INDEX($DS$5:$DS$1003,$EX469))),"S3",IF(NOT(EXACT(INDEX($DR$5:$DR$1003,$EX468),INDEX($DR$5:$DR$1003,$EX469))),"S1 Count Change","S1")))),"")</f>
        <v/>
      </c>
      <c r="FT469">
        <f>IF($EY469="row",INDEX($ES$5:$ES$1003,$EX469),"")</f>
        <v/>
      </c>
      <c r="FU469">
        <f>IF($EY469="row",INDEX($EO$5:$EO$1003,$EX469),0)</f>
        <v/>
      </c>
      <c r="FV469">
        <f>IF($FS469="S1 Count Change",1,0)</f>
        <v/>
      </c>
    </row>
    <row r="470">
      <c r="DA470" t="n">
        <v>466</v>
      </c>
      <c r="DB470">
        <f>IF($B$37=0,"",IFERROR(TRIM(SUBSTITUTE(SUBSTITUTE(SUBSTITUTE(SUBSTITUTE(INDEX(PASTE_ALL,466,$B$37)," "," "),CHAR(9)," "),CHAR(10)," "),CHAR(13)," ")),""))</f>
        <v/>
      </c>
      <c r="DC470">
        <f>IF(AND(466&gt;HEADER_ROW,UPPER(DB470)="LEGEND"),1,0)</f>
        <v/>
      </c>
      <c r="DE470" t="n">
        <v>466</v>
      </c>
      <c r="DF470">
        <f>HEADER_ROW+$DE470</f>
        <v/>
      </c>
      <c r="DG470">
        <f>IF(AND($DF470&lt;=1000,$DF470&lt;$B$8),1,0)</f>
        <v/>
      </c>
      <c r="DH470">
        <f>IF($DG470=1,IFERROR(INDEX($DB$5:$DB$1004,$DF470),""),"")</f>
        <v/>
      </c>
      <c r="DI470">
        <f>IF(AND($DG470=1,$DH470&lt;&gt;""),IFERROR(SUBSTITUTE(SUBSTITUTE(TRIM(SUBSTITUTE(SUBSTITUTE(SUBSTITUTE(SUBSTITUTE(IFERROR(INDEX(PASTE_ALL,$DF470,1)&amp;"","")&amp;"␟"&amp;IFERROR(INDEX(PASTE_ALL,$DF470,2)&amp;"","")&amp;"␟"&amp;IFERROR(INDEX(PASTE_ALL,$DF470,3)&amp;"","")&amp;"␟"&amp;IFERROR(INDEX(PASTE_ALL,$DF470,4)&amp;"","")&amp;"␟"&amp;IFERROR(INDEX(PASTE_ALL,$DF470,5)&amp;"","")&amp;"␟"&amp;IFERROR(INDEX(PASTE_ALL,$DF470,6)&amp;"","")&amp;"␟"&amp;IFERROR(INDEX(PASTE_ALL,$DF470,7)&amp;"","")&amp;"␟"&amp;IFERROR(INDEX(PASTE_ALL,$DF470,8)&amp;"","")&amp;"␟"&amp;IFERROR(INDEX(PASTE_ALL,$DF470,9)&amp;"","")&amp;"␟"&amp;IFERROR(INDEX(PASTE_ALL,$DF470,10)&amp;"","")&amp;"␟"&amp;IFERROR(INDEX(PASTE_ALL,$DF470,11)&amp;"","")&amp;"␟"&amp;IFERROR(INDEX(PASTE_ALL,$DF470,12)&amp;"","")&amp;"␟"&amp;IFERROR(INDEX(PASTE_ALL,$DF470,13)&amp;"","")&amp;"␟"&amp;IFERROR(INDEX(PASTE_ALL,$DF470,14)&amp;"","")&amp;"␟"&amp;IFERROR(INDEX(PASTE_ALL,$DF470,15)&amp;"","")&amp;"␟"&amp;IFERROR(INDEX(PASTE_ALL,$DF470,16)&amp;"","")&amp;"␟"&amp;IFERROR(INDEX(PASTE_ALL,$DF470,17)&amp;"","")&amp;"␟"&amp;IFERROR(INDEX(PASTE_ALL,$DF470,18)&amp;"","")&amp;"␟"&amp;IFERROR(INDEX(PASTE_ALL,$DF470,19)&amp;"","")&amp;"␟"&amp;IFERROR(INDEX(PASTE_ALL,$DF470,20)&amp;"","")&amp;"␟"&amp;IFERROR(INDEX(PASTE_ALL,$DF470,21)&amp;"","")&amp;"␟"&amp;IFERROR(INDEX(PASTE_ALL,$DF470,22)&amp;"","")&amp;"␟"&amp;IFERROR(INDEX(PASTE_ALL,$DF470,23)&amp;"","")&amp;"␟"&amp;IFERROR(INDEX(PASTE_ALL,$DF470,24)&amp;"","")&amp;"␟"&amp;IFERROR(INDEX(PASTE_ALL,$DF470,25)&amp;"","")&amp;"␟"&amp;IFERROR(INDEX(PASTE_ALL,$DF470,26)&amp;"","")&amp;"␟"&amp;IFERROR(INDEX(PASTE_ALL,$DF470,27)&amp;"","")&amp;"␟"&amp;IFERROR(INDEX(PASTE_ALL,$DF470,28)&amp;"","")&amp;"␟"&amp;IFERROR(INDEX(PASTE_ALL,$DF470,29)&amp;"","")&amp;"␟"&amp;IFERROR(INDEX(PASTE_ALL,$DF470,30)&amp;"","")&amp;"␟"&amp;IFERROR(INDEX(PASTE_ALL,$DF470,31)&amp;"","")&amp;"␟"&amp;IFERROR(INDEX(PASTE_ALL,$DF470,32)&amp;"","")&amp;"␟"&amp;IFERROR(INDEX(PASTE_ALL,$DF470,33)&amp;"","")&amp;"␟"&amp;IFERROR(INDEX(PASTE_ALL,$DF470,34)&amp;"","")&amp;"␟"&amp;IFERROR(INDEX(PASTE_ALL,$DF470,35)&amp;"","")&amp;"␟"&amp;IFERROR(INDEX(PASTE_ALL,$DF470,36)&amp;"","")&amp;"␟"&amp;IFERROR(INDEX(PASTE_ALL,$DF470,37)&amp;"","")&amp;"␟"&amp;IFERROR(INDEX(PASTE_ALL,$DF470,38)&amp;"","")&amp;"␟"&amp;IFERROR(INDEX(PASTE_ALL,$DF470,39)&amp;"","")&amp;"␟"&amp;IFERROR(INDEX(PASTE_ALL,$DF470,40)&amp;"","")&amp;"␟"&amp;IFERROR(INDEX(PASTE_ALL,$DF470,41)&amp;"","")&amp;"␟"&amp;IFERROR(INDEX(PASTE_ALL,$DF470,42)&amp;"","")&amp;"␟"&amp;IFERROR(INDEX(PASTE_ALL,$DF470,43)&amp;"","")&amp;"␟"&amp;IFERROR(INDEX(PASTE_ALL,$DF470,44)&amp;"","")&amp;"␟"&amp;IFERROR(INDEX(PASTE_ALL,$DF470,45)&amp;"","")&amp;"␟"&amp;IFERROR(INDEX(PASTE_ALL,$DF470,46)&amp;"","")&amp;"␟"&amp;IFERROR(INDEX(PASTE_ALL,$DF470,47)&amp;"","")&amp;"␟"&amp;IFERROR(INDEX(PASTE_ALL,$DF470,48)&amp;"","")&amp;"␟"&amp;IFERROR(INDEX(PASTE_ALL,$DF470,49)&amp;"","")&amp;"␟"&amp;IFERROR(INDEX(PASTE_ALL,$DF470,50)&amp;"","")&amp;"␟"&amp;IFERROR(INDEX(PASTE_ALL,$DF470,51)&amp;"","")&amp;"␟"&amp;IFERROR(INDEX(PASTE_ALL,$DF470,52)&amp;"","")&amp;"␟"&amp;IFERROR(INDEX(PASTE_ALL,$DF470,53)&amp;"","")&amp;"␟"&amp;IFERROR(INDEX(PASTE_ALL,$DF470,54)&amp;"","")&amp;"␟"&amp;IFERROR(INDEX(PASTE_ALL,$DF470,55)&amp;"","")&amp;"␟"&amp;IFERROR(INDEX(PASTE_ALL,$DF470,56)&amp;"","")&amp;"␟"&amp;IFERROR(INDEX(PASTE_ALL,$DF470,57)&amp;"","")&amp;"␟"&amp;IFERROR(INDEX(PASTE_ALL,$DF470,58)&amp;"","")&amp;"␟"&amp;IFERROR(INDEX(PASTE_ALL,$DF470,59)&amp;"","")&amp;"␟"&amp;IFERROR(INDEX(PASTE_ALL,$DF470,60)&amp;"","")," "," "),CHAR(9)," "),CHAR(10)," "),CHAR(13)," "))," ␟","␟"),"␟ ","␟"),"#"&amp;$DE470),"")</f>
        <v/>
      </c>
      <c r="DJ470">
        <f>IF($DI470="",0,IF(SUMPRODUCT(--EXACT($DI$4:DI469,$DI470))&gt;0,1,0))</f>
        <v/>
      </c>
      <c r="DK470">
        <f>IF(AND($DI470&lt;&gt;"",$DJ470=0),1,0)</f>
        <v/>
      </c>
      <c r="DL470">
        <f>DL469+$DK470</f>
        <v/>
      </c>
      <c r="DM470">
        <f>IF(AND($DK470=1,$DL470&lt;=600),1,0)</f>
        <v/>
      </c>
      <c r="DN470">
        <f>IF($DM470=0,"",IF($L$6=0,"",IFERROR(IF(ISNUMBER(INDEX(PASTE_ALL,$DF470,$L$6)),INDEX(PASTE_ALL,$DF470,$L$6),TRIM(SUBSTITUTE(SUBSTITUTE(SUBSTITUTE(SUBSTITUTE(INDEX(PASTE_ALL,$DF470,$L$6)," "," "),CHAR(9)," "),CHAR(10)," "),CHAR(13)," "))),"")))</f>
        <v/>
      </c>
      <c r="DO470">
        <f>IF($DM470=0,"",IF($L$7=0,"",IFERROR(IF(ISNUMBER(INDEX(PASTE_ALL,$DF470,$L$7)),INDEX(PASTE_ALL,$DF470,$L$7),TRIM(SUBSTITUTE(SUBSTITUTE(SUBSTITUTE(SUBSTITUTE(INDEX(PASTE_ALL,$DF470,$L$7)," "," "),CHAR(9)," "),CHAR(10)," "),CHAR(13)," "))),"")))</f>
        <v/>
      </c>
      <c r="DP470">
        <f>IF($DM470=0,"",IF($L$8=0,"",IFERROR(IF(ISNUMBER(INDEX(PASTE_ALL,$DF470,$L$8)),INDEX(PASTE_ALL,$DF470,$L$8),TRIM(SUBSTITUTE(SUBSTITUTE(SUBSTITUTE(SUBSTITUTE(INDEX(PASTE_ALL,$DF470,$L$8)," "," "),CHAR(9)," "),CHAR(10)," "),CHAR(13)," "))),"")))</f>
        <v/>
      </c>
      <c r="DQ470">
        <f>IF($DM470=0,"",IF($L$9=0,"",IFERROR(IF(ISNUMBER(INDEX(PASTE_ALL,$DF470,$L$9)),INDEX(PASTE_ALL,$DF470,$L$9),TRIM(SUBSTITUTE(SUBSTITUTE(SUBSTITUTE(SUBSTITUTE(INDEX(PASTE_ALL,$DF470,$L$9)," "," "),CHAR(9)," "),CHAR(10)," "),CHAR(13)," "))),"")))</f>
        <v/>
      </c>
      <c r="DR470">
        <f>IF($DM470=0,"",IF($L$10=0,"",IFERROR(IF(ISNUMBER(INDEX(PASTE_ALL,$DF470,$L$10)),INDEX(PASTE_ALL,$DF470,$L$10),TRIM(SUBSTITUTE(SUBSTITUTE(SUBSTITUTE(SUBSTITUTE(INDEX(PASTE_ALL,$DF470,$L$10)," "," "),CHAR(9)," "),CHAR(10)," "),CHAR(13)," "))),"")))</f>
        <v/>
      </c>
      <c r="DS470">
        <f>IF($DM470=0,"",IF($L$11=0,"",IFERROR(IF(ISNUMBER(INDEX(PASTE_ALL,$DF470,$L$11)),INDEX(PASTE_ALL,$DF470,$L$11),TRIM(SUBSTITUTE(SUBSTITUTE(SUBSTITUTE(SUBSTITUTE(INDEX(PASTE_ALL,$DF470,$L$11)," "," "),CHAR(9)," "),CHAR(10)," "),CHAR(13)," "))),"")))</f>
        <v/>
      </c>
      <c r="DT470">
        <f>IF($DM470=0,"",IF($L$12=0,"",IFERROR(IF(ISNUMBER(INDEX(PASTE_ALL,$DF470,$L$12)),INDEX(PASTE_ALL,$DF470,$L$12),TRIM(SUBSTITUTE(SUBSTITUTE(SUBSTITUTE(SUBSTITUTE(INDEX(PASTE_ALL,$DF470,$L$12)," "," "),CHAR(9)," "),CHAR(10)," "),CHAR(13)," "))),"")))</f>
        <v/>
      </c>
      <c r="DU470">
        <f>IF($DM470=0,"",IF($L$13=0,"",IFERROR(IF(ISNUMBER(INDEX(PASTE_ALL,$DF470,$L$13)),INDEX(PASTE_ALL,$DF470,$L$13),TRIM(SUBSTITUTE(SUBSTITUTE(SUBSTITUTE(SUBSTITUTE(INDEX(PASTE_ALL,$DF470,$L$13)," "," "),CHAR(9)," "),CHAR(10)," "),CHAR(13)," "))),"")))</f>
        <v/>
      </c>
      <c r="DV470">
        <f>IF($DM470=0,"",IF($L$14=0,"",IFERROR(IF(ISNUMBER(INDEX(PASTE_ALL,$DF470,$L$14)),INDEX(PASTE_ALL,$DF470,$L$14),TRIM(SUBSTITUTE(SUBSTITUTE(SUBSTITUTE(SUBSTITUTE(INDEX(PASTE_ALL,$DF470,$L$14)," "," "),CHAR(9)," "),CHAR(10)," "),CHAR(13)," "))),"")))</f>
        <v/>
      </c>
      <c r="DW470">
        <f>IF($DM470=0,"",IF($L$15=0,"",IFERROR(IF(ISNUMBER(INDEX(PASTE_ALL,$DF470,$L$15)),INDEX(PASTE_ALL,$DF470,$L$15),IF(SUMPRODUCT(--ISNUMBER(FIND({"A","B","C","D","E","F","G","H","I","J","K","L","M","N","O","P","Q","R","S","T","U","V","W","X","Y","Z","0","1","2","3","4","5","6","7","8","9"},UPPER(TRIM(SUBSTITUTE(SUBSTITUTE(SUBSTITUTE(SUBSTITUTE(INDEX(PASTE_ALL,$DF470,$L$15)," "," "),CHAR(9)," "),CHAR(10)," "),CHAR(13)," "))))))&gt;0,TRIM(SUBSTITUTE(SUBSTITUTE(SUBSTITUTE(SUBSTITUTE(INDEX(PASTE_ALL,$DF470,$L$15)," "," "),CHAR(9)," "),CHAR(10)," "),CHAR(13)," ")),"")),"")))</f>
        <v/>
      </c>
      <c r="DX470">
        <f>IF($DM470=0,"",IF($L$16=0,"",IFERROR(IF(ISNUMBER(INDEX(PASTE_ALL,$DF470,$L$16)),INDEX(PASTE_ALL,$DF470,$L$16),SUBSTITUTE(SUBSTITUTE(TRIM(SUBSTITUTE(SUBSTITUTE(SUBSTITUTE(SUBSTITUTE(INDEX(PASTE_ALL,$DF470,$L$16)," "," "),CHAR(9)," "),CHAR(10)," "),CHAR(13)," ")),",",""),"%","")),"")))</f>
        <v/>
      </c>
      <c r="DY470">
        <f>IF($DM470=0,"",IFERROR(IF(ISNUMBER($DX470),$DX470,IF($DX470="","",IF(TRIM($DX470)="",0,IF(AND(AND(SUBSTITUTE(SUBSTITUTE(SUBSTITUTE(SUBSTITUTE(SUBSTITUTE(SUBSTITUTE(SUBSTITUTE(SUBSTITUTE(SUBSTITUTE(SUBSTITUTE(SUBSTITUTE(SUBSTITUTE(SUBSTITUTE(SUBSTITUTE(UPPER(TRIM($DX470)),"0",""),"1",""),"2",""),"3",""),"4",""),"5",""),"6",""),"7",""),"8",""),"9",""),".",""),"+",""),"-",""),"E","")="",LEN(SUBSTITUTE(SUBSTITUTE(MID(UPPER(TRIM($DX470)),1+OR(LEFT(UPPER(TRIM($DX470)),1)="+",LEFT(UPPER(TRIM($DX470)),1)="-"),999),"E+","E"),"E-","E"))=LEN(SUBSTITUTE(SUBSTITUTE(SUBSTITUTE(SUBSTITUTE(MID(UPPER(TRIM($DX470)),1+OR(LEFT(UPPER(TRIM($DX470)),1)="+",LEFT(UPPER(TRIM($DX470)),1)="-"),999),"E+","E"),"E-","E"),"+",""),"-","")),LEN(UPPER(TRIM($DX470)))-LEN(SUBSTITUTE(UPPER(TRIM($DX470)),"E",""))&lt;2,LEN(UPPER(TRIM($DX470)))-LEN(SUBSTITUTE(UPPER(TRIM($DX470)),".",""))&lt;2,IFERROR(FIND(".",UPPER(TRIM($DX470))),0)&lt;IFERROR(FIND("E",UPPER(TRIM($DX470))),999)),ISNUMBER(VALUE(TRIM($DX470)))),VALUE(TRIM($DX470)),"")))),""))</f>
        <v/>
      </c>
      <c r="DZ470">
        <f>IF($DM470=0,"",IF($L$17=0,"",IFERROR(IF(ISNUMBER(INDEX(PASTE_ALL,$DF470,$L$17)),INDEX(PASTE_ALL,$DF470,$L$17),SUBSTITUTE(SUBSTITUTE(TRIM(SUBSTITUTE(SUBSTITUTE(SUBSTITUTE(SUBSTITUTE(INDEX(PASTE_ALL,$DF470,$L$17)," "," "),CHAR(9)," "),CHAR(10)," "),CHAR(13)," ")),",",""),"%","")),"")))</f>
        <v/>
      </c>
      <c r="EA470">
        <f>IF($DM470=0,"",IFERROR(IF(ISNUMBER($DZ470),$DZ470,IF($DZ470="","",IF(TRIM($DZ470)="",0,IF(AND(AND(SUBSTITUTE(SUBSTITUTE(SUBSTITUTE(SUBSTITUTE(SUBSTITUTE(SUBSTITUTE(SUBSTITUTE(SUBSTITUTE(SUBSTITUTE(SUBSTITUTE(SUBSTITUTE(SUBSTITUTE(SUBSTITUTE(SUBSTITUTE(UPPER(TRIM($DZ470)),"0",""),"1",""),"2",""),"3",""),"4",""),"5",""),"6",""),"7",""),"8",""),"9",""),".",""),"+",""),"-",""),"E","")="",LEN(SUBSTITUTE(SUBSTITUTE(MID(UPPER(TRIM($DZ470)),1+OR(LEFT(UPPER(TRIM($DZ470)),1)="+",LEFT(UPPER(TRIM($DZ470)),1)="-"),999),"E+","E"),"E-","E"))=LEN(SUBSTITUTE(SUBSTITUTE(SUBSTITUTE(SUBSTITUTE(MID(UPPER(TRIM($DZ470)),1+OR(LEFT(UPPER(TRIM($DZ470)),1)="+",LEFT(UPPER(TRIM($DZ470)),1)="-"),999),"E+","E"),"E-","E"),"+",""),"-","")),LEN(UPPER(TRIM($DZ470)))-LEN(SUBSTITUTE(UPPER(TRIM($DZ470)),"E",""))&lt;2,LEN(UPPER(TRIM($DZ470)))-LEN(SUBSTITUTE(UPPER(TRIM($DZ470)),".",""))&lt;2,IFERROR(FIND(".",UPPER(TRIM($DZ470))),0)&lt;IFERROR(FIND("E",UPPER(TRIM($DZ470))),999)),ISNUMBER(VALUE(TRIM($DZ470)))),VALUE(TRIM($DZ470)),"")))),""))</f>
        <v/>
      </c>
      <c r="EB470">
        <f>IF($DM470=0,"",IF($L$18=0,"",IFERROR(IF(UPPER(TRIM(SUBSTITUTE(SUBSTITUTE(SUBSTITUTE(SUBSTITUTE(INDEX(PASTE_ALL,$DF470,$L$18)," "," "),CHAR(9)," "),CHAR(10)," "),CHAR(13)," ")))="READY","Ready",IF(UPPER(TRIM(SUBSTITUTE(SUBSTITUTE(SUBSTITUTE(SUBSTITUTE(INDEX(PASTE_ALL,$DF470,$L$18)," "," "),CHAR(9)," "),CHAR(10)," "),CHAR(13)," ")))="PM","PM",IF(OR(UPPER(TRIM(SUBSTITUTE(SUBSTITUTE(SUBSTITUTE(SUBSTITUTE(INDEX(PASTE_ALL,$DF470,$L$18)," "," "),CHAR(9)," "),CHAR(10)," "),CHAR(13)," ")))="OT",UPPER(TRIM(SUBSTITUTE(SUBSTITUTE(SUBSTITUTE(SUBSTITUTE(INDEX(PASTE_ALL,$DF470,$L$18)," "," "),CHAR(9)," "),CHAR(10)," "),CHAR(13)," ")))="OVERTIME",UPPER(TRIM(SUBSTITUTE(SUBSTITUTE(SUBSTITUTE(SUBSTITUTE(INDEX(PASTE_ALL,$DF470,$L$18)," "," "),CHAR(9)," "),CHAR(10)," "),CHAR(13)," ")))="TRIAL"),"OT",TRIM(SUBSTITUTE(SUBSTITUTE(SUBSTITUTE(SUBSTITUTE(INDEX(PASTE_ALL,$DF470,$L$18)," "," "),CHAR(9)," "),CHAR(10)," "),CHAR(13)," "))))),"")))</f>
        <v/>
      </c>
      <c r="EC470">
        <f>IF($DM470=0,"",IF($L$19=0,"",IFERROR(IF(ISNUMBER(INDEX(PASTE_ALL,$DF470,$L$19)),INDEX(PASTE_ALL,$DF470,$L$19),TRIM(SUBSTITUTE(SUBSTITUTE(SUBSTITUTE(SUBSTITUTE(INDEX(PASTE_ALL,$DF470,$L$19)," "," "),CHAR(9)," "),CHAR(10)," "),CHAR(13)," "))),"")))</f>
        <v/>
      </c>
      <c r="ED470">
        <f>IF($DM470=0,"",MATCH(1,INDEX(EXACT($DH$5:DH470,$DH470)*$DM$5:DM470,0),0))</f>
        <v/>
      </c>
      <c r="EE470">
        <f>IF($DM470=0,0,IF($ED470=$DE470,1,0))</f>
        <v/>
      </c>
      <c r="EF470">
        <f>EF469+$EE470</f>
        <v/>
      </c>
      <c r="EG470">
        <f>IF($DM470=0,"",INDEX($EF$5:$EF$1003,$ED470))</f>
        <v/>
      </c>
      <c r="EH470">
        <f>IF($DM470=0,"",IF($DO470&lt;&gt;"","",IFERROR(LOOKUP(2,1/(($EG$4:EG469=$EG470)*($DO$4:DO469&lt;&gt;"")),$DO$4:DO469),"")))</f>
        <v/>
      </c>
      <c r="EI470">
        <f>IF($DM470=0,"",IF($DO470&lt;&gt;"",$DO470,$EH470))</f>
        <v/>
      </c>
      <c r="EJ470">
        <f>IF($DM470=0,"",IF($EI470="",0,IF(OR(ISNUMBER($EI470),AND(AND(SUBSTITUTE(SUBSTITUTE(SUBSTITUTE(SUBSTITUTE(SUBSTITUTE(SUBSTITUTE(SUBSTITUTE(SUBSTITUTE(SUBSTITUTE(SUBSTITUTE(SUBSTITUTE(SUBSTITUTE(SUBSTITUTE(SUBSTITUTE(UPPER($EI470),"0",""),"1",""),"2",""),"3",""),"4",""),"5",""),"6",""),"7",""),"8",""),"9",""),".",""),"+",""),"-",""),"E","")="",LEN(SUBSTITUTE(SUBSTITUTE(MID(UPPER($EI470),1+OR(LEFT(UPPER($EI470),1)="+",LEFT(UPPER($EI470),1)="-"),999),"E+","E"),"E-","E"))=LEN(SUBSTITUTE(SUBSTITUTE(SUBSTITUTE(SUBSTITUTE(MID(UPPER($EI470),1+OR(LEFT(UPPER($EI470),1)="+",LEFT(UPPER($EI470),1)="-"),999),"E+","E"),"E-","E"),"+",""),"-","")),LEN(UPPER($EI470))-LEN(SUBSTITUTE(UPPER($EI470),"E",""))&lt;2,LEN(UPPER($EI470))-LEN(SUBSTITUTE(UPPER($EI470),".",""))&lt;2,IFERROR(FIND(".",UPPER($EI470)),0)&lt;IFERROR(FIND("E",UPPER($EI470)),999)),ISNUMBER(VALUE($EI470)))),1,2)))</f>
        <v/>
      </c>
      <c r="EK470">
        <f>IF($DM470=0,"",IF($EJ470=1,IF(ISNUMBER($EI470),$EI470,VALUE($EI470)),IF($EJ470=2,$DE470,0)))</f>
        <v/>
      </c>
      <c r="EL470">
        <f>IF($DM470=0,"",COUNTIF($EG$5:$EG$1003,"&lt;"&amp;$EG470)+SUMPRODUCT(($EG$5:$EG$1003=$EG470)*(($EJ$5:$EJ$1003&lt;$EJ470)+($EJ$5:$EJ$1003=$EJ470)*(($EK$5:$EK$1003&lt;$EK470)+($EK$5:$EK$1003=$EK470)*($DE$5:$DE$1003&lt;$DE470))))+1)</f>
        <v/>
      </c>
      <c r="EM470">
        <f>IF($DM470=0,"",$EL470+$EG470-1)</f>
        <v/>
      </c>
      <c r="EN470">
        <f>IF($DM470=0,0,IFERROR(MATCH(1,INDEX(--(TRIM(SUBSTITUTE(SUBSTITUTE(SUBSTITUTE(SUBSTITUTE(LINES_NAME&amp;""," "," "),CHAR(9)," "),CHAR(10)," "),CHAR(13)," "))=$DH470),0),0),0))</f>
        <v/>
      </c>
      <c r="EO470">
        <f>IF($EN470=0,0,IF(OR(UPPER(TRIM(INDEX(LINES_SCHEDULED,$EN470)&amp;""))="YES",UPPER(TRIM(INDEX(LINES_SCHEDULED,$EN470)&amp;""))="Y",UPPER(TRIM(INDEX(LINES_SCHEDULED,$EN470)&amp;""))="X"),1,0))</f>
        <v/>
      </c>
      <c r="EP470">
        <f>IF($DM470=0,"",IF(COUNTIFS($EG$5:$EG$1003,$EG470,$EB$5:$EB$1003,"Ready")&gt;0,"READY",IF(COUNTIFS($EG$5:$EG$1003,$EG470,$EB$5:$EB$1003,"PM")&gt;0,"PM",IF(COUNTIFS($EG$5:$EG$1003,$EG470,$EB$5:$EB$1003,"OT")&gt;0,"OT",""))))</f>
        <v/>
      </c>
      <c r="EQ470">
        <f>IF($EN470=0,"",UPPER(TRIM(INDEX(LINES_STATUS,$EN470)&amp;"")))</f>
        <v/>
      </c>
      <c r="ER470">
        <f>IF($DM470=0,"",IF(OR($EQ470="READY",$EQ470="PM",$EQ470="OT"),$EQ470,$EP470))</f>
        <v/>
      </c>
      <c r="ES470">
        <f>IF($DM470=0,"",IF(AND($DV470&lt;&gt;"",UPPER($DV470)&lt;&gt;"N"),"allergen",IF(ISNUMBER(SEARCH("oil",$DQ470)),"oil",IF(OR(EXACT($DS470,"A662"),EXACT($DS470,"A624")),"bulk",""))))</f>
        <v/>
      </c>
      <c r="ET470">
        <f>IF($DM470=0,"",IF(OR($EA470="",$EA470=0),"",$EA470/100))</f>
        <v/>
      </c>
      <c r="EU470">
        <f>IF(OR($ET470="",$DY470=""),"",INT($DY470*(1-$ET470)+0.5))</f>
        <v/>
      </c>
      <c r="EW470" t="n">
        <v>466</v>
      </c>
      <c r="EX470">
        <f>IFERROR(MATCH($EW470,$EM$5:$EM$1003,0),0)</f>
        <v/>
      </c>
      <c r="EY470">
        <f>IF($EW470&gt;$B$12,"",IF($EX470&gt;0,"row","spacer"))</f>
        <v/>
      </c>
      <c r="EZ470">
        <f>IF(AND($EY470="row",$EY469&lt;&gt;"row"),1,0)</f>
        <v/>
      </c>
      <c r="FA470">
        <f>IF(AND($EY470="row",$EY471&lt;&gt;"row"),1,0)</f>
        <v/>
      </c>
      <c r="FB470">
        <f>IF($EZ470=1,IFERROR(IF(ISNUMBER(INDEX(PASTE_ALL,INDEX($DF$5:$DF$1003,$EX470),$B$37)),INDEX(PASTE_ALL,INDEX($DF$5:$DF$1003,$EX470),$B$37),INDEX($DH$5:$DH$1003,$EX470)),INDEX($DH$5:$DH$1003,$EX470)),"")</f>
        <v/>
      </c>
      <c r="FC470">
        <f>IF($EY470="row",INDEX($ER$5:$ER$1003,$EX470),"")</f>
        <v/>
      </c>
      <c r="FD470">
        <f>IF($EY470="row",INDEX($DN$5:$DN$1003,$EX470),"")</f>
        <v/>
      </c>
      <c r="FE470">
        <f>IF($EY470="row",INDEX($DO$5:$DO$1003,$EX470),"")</f>
        <v/>
      </c>
      <c r="FF470">
        <f>IF($EY470="row",INDEX($DP$5:$DP$1003,$EX470),"")</f>
        <v/>
      </c>
      <c r="FG470">
        <f>IF($EY470="row",INDEX($DQ$5:$DQ$1003,$EX470),"")</f>
        <v/>
      </c>
      <c r="FH470">
        <f>IF($EY470="row",INDEX($DR$5:$DR$1003,$EX470),"")</f>
        <v/>
      </c>
      <c r="FI470">
        <f>IF($EY470="row",INDEX($DS$5:$DS$1003,$EX470),"")</f>
        <v/>
      </c>
      <c r="FJ470">
        <f>IF($EY470="row",INDEX($DT$5:$DT$1003,$EX470),"")</f>
        <v/>
      </c>
      <c r="FK470">
        <f>IF($EY470="row",INDEX($DU$5:$DU$1003,$EX470),"")</f>
        <v/>
      </c>
      <c r="FL470">
        <f>IF($EY470="row",INDEX($DV$5:$DV$1003,$EX470),"")</f>
        <v/>
      </c>
      <c r="FM470">
        <f>IF($EY470="row",INDEX($DW$5:$DW$1003,$EX470),"")</f>
        <v/>
      </c>
      <c r="FN470">
        <f>IF($EY470="row",INDEX($DY$5:$DY$1003,$EX470),"")</f>
        <v/>
      </c>
      <c r="FO470">
        <f>IF($EY470="row",INDEX($EA$5:$EA$1003,$EX470),"")</f>
        <v/>
      </c>
      <c r="FP470">
        <f>IF($EY470="row",INDEX($EC$5:$EC$1003,$EX470),"")</f>
        <v/>
      </c>
      <c r="FQ470">
        <f>IF($EY470="row",INDEX($ET$5:$ET$1003,$EX470),"")</f>
        <v/>
      </c>
      <c r="FR470">
        <f>IF($EY470="row",INDEX($EU$5:$EU$1003,$EX470),"")</f>
        <v/>
      </c>
      <c r="FS470">
        <f>IF(AND($EY470="row",$EY469="row"),IF(OR(INDEX($DT$5:$DT$1003,$EX469)="",INDEX($DT$5:$DT$1003,$EX470)=""),"",IF(NOT(EXACT(INDEX($DT$5:$DT$1003,$EX469),INDEX($DT$5:$DT$1003,$EX470))),"S4",IF(NOT(EXACT(INDEX($DS$5:$DS$1003,$EX469),INDEX($DS$5:$DS$1003,$EX470))),"S3",IF(NOT(EXACT(INDEX($DR$5:$DR$1003,$EX469),INDEX($DR$5:$DR$1003,$EX470))),"S1 Count Change","S1")))),"")</f>
        <v/>
      </c>
      <c r="FT470">
        <f>IF($EY470="row",INDEX($ES$5:$ES$1003,$EX470),"")</f>
        <v/>
      </c>
      <c r="FU470">
        <f>IF($EY470="row",INDEX($EO$5:$EO$1003,$EX470),0)</f>
        <v/>
      </c>
      <c r="FV470">
        <f>IF($FS470="S1 Count Change",1,0)</f>
        <v/>
      </c>
    </row>
    <row r="471">
      <c r="DA471" t="n">
        <v>467</v>
      </c>
      <c r="DB471">
        <f>IF($B$37=0,"",IFERROR(TRIM(SUBSTITUTE(SUBSTITUTE(SUBSTITUTE(SUBSTITUTE(INDEX(PASTE_ALL,467,$B$37)," "," "),CHAR(9)," "),CHAR(10)," "),CHAR(13)," ")),""))</f>
        <v/>
      </c>
      <c r="DC471">
        <f>IF(AND(467&gt;HEADER_ROW,UPPER(DB471)="LEGEND"),1,0)</f>
        <v/>
      </c>
      <c r="DE471" t="n">
        <v>467</v>
      </c>
      <c r="DF471">
        <f>HEADER_ROW+$DE471</f>
        <v/>
      </c>
      <c r="DG471">
        <f>IF(AND($DF471&lt;=1000,$DF471&lt;$B$8),1,0)</f>
        <v/>
      </c>
      <c r="DH471">
        <f>IF($DG471=1,IFERROR(INDEX($DB$5:$DB$1004,$DF471),""),"")</f>
        <v/>
      </c>
      <c r="DI471">
        <f>IF(AND($DG471=1,$DH471&lt;&gt;""),IFERROR(SUBSTITUTE(SUBSTITUTE(TRIM(SUBSTITUTE(SUBSTITUTE(SUBSTITUTE(SUBSTITUTE(IFERROR(INDEX(PASTE_ALL,$DF471,1)&amp;"","")&amp;"␟"&amp;IFERROR(INDEX(PASTE_ALL,$DF471,2)&amp;"","")&amp;"␟"&amp;IFERROR(INDEX(PASTE_ALL,$DF471,3)&amp;"","")&amp;"␟"&amp;IFERROR(INDEX(PASTE_ALL,$DF471,4)&amp;"","")&amp;"␟"&amp;IFERROR(INDEX(PASTE_ALL,$DF471,5)&amp;"","")&amp;"␟"&amp;IFERROR(INDEX(PASTE_ALL,$DF471,6)&amp;"","")&amp;"␟"&amp;IFERROR(INDEX(PASTE_ALL,$DF471,7)&amp;"","")&amp;"␟"&amp;IFERROR(INDEX(PASTE_ALL,$DF471,8)&amp;"","")&amp;"␟"&amp;IFERROR(INDEX(PASTE_ALL,$DF471,9)&amp;"","")&amp;"␟"&amp;IFERROR(INDEX(PASTE_ALL,$DF471,10)&amp;"","")&amp;"␟"&amp;IFERROR(INDEX(PASTE_ALL,$DF471,11)&amp;"","")&amp;"␟"&amp;IFERROR(INDEX(PASTE_ALL,$DF471,12)&amp;"","")&amp;"␟"&amp;IFERROR(INDEX(PASTE_ALL,$DF471,13)&amp;"","")&amp;"␟"&amp;IFERROR(INDEX(PASTE_ALL,$DF471,14)&amp;"","")&amp;"␟"&amp;IFERROR(INDEX(PASTE_ALL,$DF471,15)&amp;"","")&amp;"␟"&amp;IFERROR(INDEX(PASTE_ALL,$DF471,16)&amp;"","")&amp;"␟"&amp;IFERROR(INDEX(PASTE_ALL,$DF471,17)&amp;"","")&amp;"␟"&amp;IFERROR(INDEX(PASTE_ALL,$DF471,18)&amp;"","")&amp;"␟"&amp;IFERROR(INDEX(PASTE_ALL,$DF471,19)&amp;"","")&amp;"␟"&amp;IFERROR(INDEX(PASTE_ALL,$DF471,20)&amp;"","")&amp;"␟"&amp;IFERROR(INDEX(PASTE_ALL,$DF471,21)&amp;"","")&amp;"␟"&amp;IFERROR(INDEX(PASTE_ALL,$DF471,22)&amp;"","")&amp;"␟"&amp;IFERROR(INDEX(PASTE_ALL,$DF471,23)&amp;"","")&amp;"␟"&amp;IFERROR(INDEX(PASTE_ALL,$DF471,24)&amp;"","")&amp;"␟"&amp;IFERROR(INDEX(PASTE_ALL,$DF471,25)&amp;"","")&amp;"␟"&amp;IFERROR(INDEX(PASTE_ALL,$DF471,26)&amp;"","")&amp;"␟"&amp;IFERROR(INDEX(PASTE_ALL,$DF471,27)&amp;"","")&amp;"␟"&amp;IFERROR(INDEX(PASTE_ALL,$DF471,28)&amp;"","")&amp;"␟"&amp;IFERROR(INDEX(PASTE_ALL,$DF471,29)&amp;"","")&amp;"␟"&amp;IFERROR(INDEX(PASTE_ALL,$DF471,30)&amp;"","")&amp;"␟"&amp;IFERROR(INDEX(PASTE_ALL,$DF471,31)&amp;"","")&amp;"␟"&amp;IFERROR(INDEX(PASTE_ALL,$DF471,32)&amp;"","")&amp;"␟"&amp;IFERROR(INDEX(PASTE_ALL,$DF471,33)&amp;"","")&amp;"␟"&amp;IFERROR(INDEX(PASTE_ALL,$DF471,34)&amp;"","")&amp;"␟"&amp;IFERROR(INDEX(PASTE_ALL,$DF471,35)&amp;"","")&amp;"␟"&amp;IFERROR(INDEX(PASTE_ALL,$DF471,36)&amp;"","")&amp;"␟"&amp;IFERROR(INDEX(PASTE_ALL,$DF471,37)&amp;"","")&amp;"␟"&amp;IFERROR(INDEX(PASTE_ALL,$DF471,38)&amp;"","")&amp;"␟"&amp;IFERROR(INDEX(PASTE_ALL,$DF471,39)&amp;"","")&amp;"␟"&amp;IFERROR(INDEX(PASTE_ALL,$DF471,40)&amp;"","")&amp;"␟"&amp;IFERROR(INDEX(PASTE_ALL,$DF471,41)&amp;"","")&amp;"␟"&amp;IFERROR(INDEX(PASTE_ALL,$DF471,42)&amp;"","")&amp;"␟"&amp;IFERROR(INDEX(PASTE_ALL,$DF471,43)&amp;"","")&amp;"␟"&amp;IFERROR(INDEX(PASTE_ALL,$DF471,44)&amp;"","")&amp;"␟"&amp;IFERROR(INDEX(PASTE_ALL,$DF471,45)&amp;"","")&amp;"␟"&amp;IFERROR(INDEX(PASTE_ALL,$DF471,46)&amp;"","")&amp;"␟"&amp;IFERROR(INDEX(PASTE_ALL,$DF471,47)&amp;"","")&amp;"␟"&amp;IFERROR(INDEX(PASTE_ALL,$DF471,48)&amp;"","")&amp;"␟"&amp;IFERROR(INDEX(PASTE_ALL,$DF471,49)&amp;"","")&amp;"␟"&amp;IFERROR(INDEX(PASTE_ALL,$DF471,50)&amp;"","")&amp;"␟"&amp;IFERROR(INDEX(PASTE_ALL,$DF471,51)&amp;"","")&amp;"␟"&amp;IFERROR(INDEX(PASTE_ALL,$DF471,52)&amp;"","")&amp;"␟"&amp;IFERROR(INDEX(PASTE_ALL,$DF471,53)&amp;"","")&amp;"␟"&amp;IFERROR(INDEX(PASTE_ALL,$DF471,54)&amp;"","")&amp;"␟"&amp;IFERROR(INDEX(PASTE_ALL,$DF471,55)&amp;"","")&amp;"␟"&amp;IFERROR(INDEX(PASTE_ALL,$DF471,56)&amp;"","")&amp;"␟"&amp;IFERROR(INDEX(PASTE_ALL,$DF471,57)&amp;"","")&amp;"␟"&amp;IFERROR(INDEX(PASTE_ALL,$DF471,58)&amp;"","")&amp;"␟"&amp;IFERROR(INDEX(PASTE_ALL,$DF471,59)&amp;"","")&amp;"␟"&amp;IFERROR(INDEX(PASTE_ALL,$DF471,60)&amp;"","")," "," "),CHAR(9)," "),CHAR(10)," "),CHAR(13)," "))," ␟","␟"),"␟ ","␟"),"#"&amp;$DE471),"")</f>
        <v/>
      </c>
      <c r="DJ471">
        <f>IF($DI471="",0,IF(SUMPRODUCT(--EXACT($DI$4:DI470,$DI471))&gt;0,1,0))</f>
        <v/>
      </c>
      <c r="DK471">
        <f>IF(AND($DI471&lt;&gt;"",$DJ471=0),1,0)</f>
        <v/>
      </c>
      <c r="DL471">
        <f>DL470+$DK471</f>
        <v/>
      </c>
      <c r="DM471">
        <f>IF(AND($DK471=1,$DL471&lt;=600),1,0)</f>
        <v/>
      </c>
      <c r="DN471">
        <f>IF($DM471=0,"",IF($L$6=0,"",IFERROR(IF(ISNUMBER(INDEX(PASTE_ALL,$DF471,$L$6)),INDEX(PASTE_ALL,$DF471,$L$6),TRIM(SUBSTITUTE(SUBSTITUTE(SUBSTITUTE(SUBSTITUTE(INDEX(PASTE_ALL,$DF471,$L$6)," "," "),CHAR(9)," "),CHAR(10)," "),CHAR(13)," "))),"")))</f>
        <v/>
      </c>
      <c r="DO471">
        <f>IF($DM471=0,"",IF($L$7=0,"",IFERROR(IF(ISNUMBER(INDEX(PASTE_ALL,$DF471,$L$7)),INDEX(PASTE_ALL,$DF471,$L$7),TRIM(SUBSTITUTE(SUBSTITUTE(SUBSTITUTE(SUBSTITUTE(INDEX(PASTE_ALL,$DF471,$L$7)," "," "),CHAR(9)," "),CHAR(10)," "),CHAR(13)," "))),"")))</f>
        <v/>
      </c>
      <c r="DP471">
        <f>IF($DM471=0,"",IF($L$8=0,"",IFERROR(IF(ISNUMBER(INDEX(PASTE_ALL,$DF471,$L$8)),INDEX(PASTE_ALL,$DF471,$L$8),TRIM(SUBSTITUTE(SUBSTITUTE(SUBSTITUTE(SUBSTITUTE(INDEX(PASTE_ALL,$DF471,$L$8)," "," "),CHAR(9)," "),CHAR(10)," "),CHAR(13)," "))),"")))</f>
        <v/>
      </c>
      <c r="DQ471">
        <f>IF($DM471=0,"",IF($L$9=0,"",IFERROR(IF(ISNUMBER(INDEX(PASTE_ALL,$DF471,$L$9)),INDEX(PASTE_ALL,$DF471,$L$9),TRIM(SUBSTITUTE(SUBSTITUTE(SUBSTITUTE(SUBSTITUTE(INDEX(PASTE_ALL,$DF471,$L$9)," "," "),CHAR(9)," "),CHAR(10)," "),CHAR(13)," "))),"")))</f>
        <v/>
      </c>
      <c r="DR471">
        <f>IF($DM471=0,"",IF($L$10=0,"",IFERROR(IF(ISNUMBER(INDEX(PASTE_ALL,$DF471,$L$10)),INDEX(PASTE_ALL,$DF471,$L$10),TRIM(SUBSTITUTE(SUBSTITUTE(SUBSTITUTE(SUBSTITUTE(INDEX(PASTE_ALL,$DF471,$L$10)," "," "),CHAR(9)," "),CHAR(10)," "),CHAR(13)," "))),"")))</f>
        <v/>
      </c>
      <c r="DS471">
        <f>IF($DM471=0,"",IF($L$11=0,"",IFERROR(IF(ISNUMBER(INDEX(PASTE_ALL,$DF471,$L$11)),INDEX(PASTE_ALL,$DF471,$L$11),TRIM(SUBSTITUTE(SUBSTITUTE(SUBSTITUTE(SUBSTITUTE(INDEX(PASTE_ALL,$DF471,$L$11)," "," "),CHAR(9)," "),CHAR(10)," "),CHAR(13)," "))),"")))</f>
        <v/>
      </c>
      <c r="DT471">
        <f>IF($DM471=0,"",IF($L$12=0,"",IFERROR(IF(ISNUMBER(INDEX(PASTE_ALL,$DF471,$L$12)),INDEX(PASTE_ALL,$DF471,$L$12),TRIM(SUBSTITUTE(SUBSTITUTE(SUBSTITUTE(SUBSTITUTE(INDEX(PASTE_ALL,$DF471,$L$12)," "," "),CHAR(9)," "),CHAR(10)," "),CHAR(13)," "))),"")))</f>
        <v/>
      </c>
      <c r="DU471">
        <f>IF($DM471=0,"",IF($L$13=0,"",IFERROR(IF(ISNUMBER(INDEX(PASTE_ALL,$DF471,$L$13)),INDEX(PASTE_ALL,$DF471,$L$13),TRIM(SUBSTITUTE(SUBSTITUTE(SUBSTITUTE(SUBSTITUTE(INDEX(PASTE_ALL,$DF471,$L$13)," "," "),CHAR(9)," "),CHAR(10)," "),CHAR(13)," "))),"")))</f>
        <v/>
      </c>
      <c r="DV471">
        <f>IF($DM471=0,"",IF($L$14=0,"",IFERROR(IF(ISNUMBER(INDEX(PASTE_ALL,$DF471,$L$14)),INDEX(PASTE_ALL,$DF471,$L$14),TRIM(SUBSTITUTE(SUBSTITUTE(SUBSTITUTE(SUBSTITUTE(INDEX(PASTE_ALL,$DF471,$L$14)," "," "),CHAR(9)," "),CHAR(10)," "),CHAR(13)," "))),"")))</f>
        <v/>
      </c>
      <c r="DW471">
        <f>IF($DM471=0,"",IF($L$15=0,"",IFERROR(IF(ISNUMBER(INDEX(PASTE_ALL,$DF471,$L$15)),INDEX(PASTE_ALL,$DF471,$L$15),IF(SUMPRODUCT(--ISNUMBER(FIND({"A","B","C","D","E","F","G","H","I","J","K","L","M","N","O","P","Q","R","S","T","U","V","W","X","Y","Z","0","1","2","3","4","5","6","7","8","9"},UPPER(TRIM(SUBSTITUTE(SUBSTITUTE(SUBSTITUTE(SUBSTITUTE(INDEX(PASTE_ALL,$DF471,$L$15)," "," "),CHAR(9)," "),CHAR(10)," "),CHAR(13)," "))))))&gt;0,TRIM(SUBSTITUTE(SUBSTITUTE(SUBSTITUTE(SUBSTITUTE(INDEX(PASTE_ALL,$DF471,$L$15)," "," "),CHAR(9)," "),CHAR(10)," "),CHAR(13)," ")),"")),"")))</f>
        <v/>
      </c>
      <c r="DX471">
        <f>IF($DM471=0,"",IF($L$16=0,"",IFERROR(IF(ISNUMBER(INDEX(PASTE_ALL,$DF471,$L$16)),INDEX(PASTE_ALL,$DF471,$L$16),SUBSTITUTE(SUBSTITUTE(TRIM(SUBSTITUTE(SUBSTITUTE(SUBSTITUTE(SUBSTITUTE(INDEX(PASTE_ALL,$DF471,$L$16)," "," "),CHAR(9)," "),CHAR(10)," "),CHAR(13)," ")),",",""),"%","")),"")))</f>
        <v/>
      </c>
      <c r="DY471">
        <f>IF($DM471=0,"",IFERROR(IF(ISNUMBER($DX471),$DX471,IF($DX471="","",IF(TRIM($DX471)="",0,IF(AND(AND(SUBSTITUTE(SUBSTITUTE(SUBSTITUTE(SUBSTITUTE(SUBSTITUTE(SUBSTITUTE(SUBSTITUTE(SUBSTITUTE(SUBSTITUTE(SUBSTITUTE(SUBSTITUTE(SUBSTITUTE(SUBSTITUTE(SUBSTITUTE(UPPER(TRIM($DX471)),"0",""),"1",""),"2",""),"3",""),"4",""),"5",""),"6",""),"7",""),"8",""),"9",""),".",""),"+",""),"-",""),"E","")="",LEN(SUBSTITUTE(SUBSTITUTE(MID(UPPER(TRIM($DX471)),1+OR(LEFT(UPPER(TRIM($DX471)),1)="+",LEFT(UPPER(TRIM($DX471)),1)="-"),999),"E+","E"),"E-","E"))=LEN(SUBSTITUTE(SUBSTITUTE(SUBSTITUTE(SUBSTITUTE(MID(UPPER(TRIM($DX471)),1+OR(LEFT(UPPER(TRIM($DX471)),1)="+",LEFT(UPPER(TRIM($DX471)),1)="-"),999),"E+","E"),"E-","E"),"+",""),"-","")),LEN(UPPER(TRIM($DX471)))-LEN(SUBSTITUTE(UPPER(TRIM($DX471)),"E",""))&lt;2,LEN(UPPER(TRIM($DX471)))-LEN(SUBSTITUTE(UPPER(TRIM($DX471)),".",""))&lt;2,IFERROR(FIND(".",UPPER(TRIM($DX471))),0)&lt;IFERROR(FIND("E",UPPER(TRIM($DX471))),999)),ISNUMBER(VALUE(TRIM($DX471)))),VALUE(TRIM($DX471)),"")))),""))</f>
        <v/>
      </c>
      <c r="DZ471">
        <f>IF($DM471=0,"",IF($L$17=0,"",IFERROR(IF(ISNUMBER(INDEX(PASTE_ALL,$DF471,$L$17)),INDEX(PASTE_ALL,$DF471,$L$17),SUBSTITUTE(SUBSTITUTE(TRIM(SUBSTITUTE(SUBSTITUTE(SUBSTITUTE(SUBSTITUTE(INDEX(PASTE_ALL,$DF471,$L$17)," "," "),CHAR(9)," "),CHAR(10)," "),CHAR(13)," ")),",",""),"%","")),"")))</f>
        <v/>
      </c>
      <c r="EA471">
        <f>IF($DM471=0,"",IFERROR(IF(ISNUMBER($DZ471),$DZ471,IF($DZ471="","",IF(TRIM($DZ471)="",0,IF(AND(AND(SUBSTITUTE(SUBSTITUTE(SUBSTITUTE(SUBSTITUTE(SUBSTITUTE(SUBSTITUTE(SUBSTITUTE(SUBSTITUTE(SUBSTITUTE(SUBSTITUTE(SUBSTITUTE(SUBSTITUTE(SUBSTITUTE(SUBSTITUTE(UPPER(TRIM($DZ471)),"0",""),"1",""),"2",""),"3",""),"4",""),"5",""),"6",""),"7",""),"8",""),"9",""),".",""),"+",""),"-",""),"E","")="",LEN(SUBSTITUTE(SUBSTITUTE(MID(UPPER(TRIM($DZ471)),1+OR(LEFT(UPPER(TRIM($DZ471)),1)="+",LEFT(UPPER(TRIM($DZ471)),1)="-"),999),"E+","E"),"E-","E"))=LEN(SUBSTITUTE(SUBSTITUTE(SUBSTITUTE(SUBSTITUTE(MID(UPPER(TRIM($DZ471)),1+OR(LEFT(UPPER(TRIM($DZ471)),1)="+",LEFT(UPPER(TRIM($DZ471)),1)="-"),999),"E+","E"),"E-","E"),"+",""),"-","")),LEN(UPPER(TRIM($DZ471)))-LEN(SUBSTITUTE(UPPER(TRIM($DZ471)),"E",""))&lt;2,LEN(UPPER(TRIM($DZ471)))-LEN(SUBSTITUTE(UPPER(TRIM($DZ471)),".",""))&lt;2,IFERROR(FIND(".",UPPER(TRIM($DZ471))),0)&lt;IFERROR(FIND("E",UPPER(TRIM($DZ471))),999)),ISNUMBER(VALUE(TRIM($DZ471)))),VALUE(TRIM($DZ471)),"")))),""))</f>
        <v/>
      </c>
      <c r="EB471">
        <f>IF($DM471=0,"",IF($L$18=0,"",IFERROR(IF(UPPER(TRIM(SUBSTITUTE(SUBSTITUTE(SUBSTITUTE(SUBSTITUTE(INDEX(PASTE_ALL,$DF471,$L$18)," "," "),CHAR(9)," "),CHAR(10)," "),CHAR(13)," ")))="READY","Ready",IF(UPPER(TRIM(SUBSTITUTE(SUBSTITUTE(SUBSTITUTE(SUBSTITUTE(INDEX(PASTE_ALL,$DF471,$L$18)," "," "),CHAR(9)," "),CHAR(10)," "),CHAR(13)," ")))="PM","PM",IF(OR(UPPER(TRIM(SUBSTITUTE(SUBSTITUTE(SUBSTITUTE(SUBSTITUTE(INDEX(PASTE_ALL,$DF471,$L$18)," "," "),CHAR(9)," "),CHAR(10)," "),CHAR(13)," ")))="OT",UPPER(TRIM(SUBSTITUTE(SUBSTITUTE(SUBSTITUTE(SUBSTITUTE(INDEX(PASTE_ALL,$DF471,$L$18)," "," "),CHAR(9)," "),CHAR(10)," "),CHAR(13)," ")))="OVERTIME",UPPER(TRIM(SUBSTITUTE(SUBSTITUTE(SUBSTITUTE(SUBSTITUTE(INDEX(PASTE_ALL,$DF471,$L$18)," "," "),CHAR(9)," "),CHAR(10)," "),CHAR(13)," ")))="TRIAL"),"OT",TRIM(SUBSTITUTE(SUBSTITUTE(SUBSTITUTE(SUBSTITUTE(INDEX(PASTE_ALL,$DF471,$L$18)," "," "),CHAR(9)," "),CHAR(10)," "),CHAR(13)," "))))),"")))</f>
        <v/>
      </c>
      <c r="EC471">
        <f>IF($DM471=0,"",IF($L$19=0,"",IFERROR(IF(ISNUMBER(INDEX(PASTE_ALL,$DF471,$L$19)),INDEX(PASTE_ALL,$DF471,$L$19),TRIM(SUBSTITUTE(SUBSTITUTE(SUBSTITUTE(SUBSTITUTE(INDEX(PASTE_ALL,$DF471,$L$19)," "," "),CHAR(9)," "),CHAR(10)," "),CHAR(13)," "))),"")))</f>
        <v/>
      </c>
      <c r="ED471">
        <f>IF($DM471=0,"",MATCH(1,INDEX(EXACT($DH$5:DH471,$DH471)*$DM$5:DM471,0),0))</f>
        <v/>
      </c>
      <c r="EE471">
        <f>IF($DM471=0,0,IF($ED471=$DE471,1,0))</f>
        <v/>
      </c>
      <c r="EF471">
        <f>EF470+$EE471</f>
        <v/>
      </c>
      <c r="EG471">
        <f>IF($DM471=0,"",INDEX($EF$5:$EF$1003,$ED471))</f>
        <v/>
      </c>
      <c r="EH471">
        <f>IF($DM471=0,"",IF($DO471&lt;&gt;"","",IFERROR(LOOKUP(2,1/(($EG$4:EG470=$EG471)*($DO$4:DO470&lt;&gt;"")),$DO$4:DO470),"")))</f>
        <v/>
      </c>
      <c r="EI471">
        <f>IF($DM471=0,"",IF($DO471&lt;&gt;"",$DO471,$EH471))</f>
        <v/>
      </c>
      <c r="EJ471">
        <f>IF($DM471=0,"",IF($EI471="",0,IF(OR(ISNUMBER($EI471),AND(AND(SUBSTITUTE(SUBSTITUTE(SUBSTITUTE(SUBSTITUTE(SUBSTITUTE(SUBSTITUTE(SUBSTITUTE(SUBSTITUTE(SUBSTITUTE(SUBSTITUTE(SUBSTITUTE(SUBSTITUTE(SUBSTITUTE(SUBSTITUTE(UPPER($EI471),"0",""),"1",""),"2",""),"3",""),"4",""),"5",""),"6",""),"7",""),"8",""),"9",""),".",""),"+",""),"-",""),"E","")="",LEN(SUBSTITUTE(SUBSTITUTE(MID(UPPER($EI471),1+OR(LEFT(UPPER($EI471),1)="+",LEFT(UPPER($EI471),1)="-"),999),"E+","E"),"E-","E"))=LEN(SUBSTITUTE(SUBSTITUTE(SUBSTITUTE(SUBSTITUTE(MID(UPPER($EI471),1+OR(LEFT(UPPER($EI471),1)="+",LEFT(UPPER($EI471),1)="-"),999),"E+","E"),"E-","E"),"+",""),"-","")),LEN(UPPER($EI471))-LEN(SUBSTITUTE(UPPER($EI471),"E",""))&lt;2,LEN(UPPER($EI471))-LEN(SUBSTITUTE(UPPER($EI471),".",""))&lt;2,IFERROR(FIND(".",UPPER($EI471)),0)&lt;IFERROR(FIND("E",UPPER($EI471)),999)),ISNUMBER(VALUE($EI471)))),1,2)))</f>
        <v/>
      </c>
      <c r="EK471">
        <f>IF($DM471=0,"",IF($EJ471=1,IF(ISNUMBER($EI471),$EI471,VALUE($EI471)),IF($EJ471=2,$DE471,0)))</f>
        <v/>
      </c>
      <c r="EL471">
        <f>IF($DM471=0,"",COUNTIF($EG$5:$EG$1003,"&lt;"&amp;$EG471)+SUMPRODUCT(($EG$5:$EG$1003=$EG471)*(($EJ$5:$EJ$1003&lt;$EJ471)+($EJ$5:$EJ$1003=$EJ471)*(($EK$5:$EK$1003&lt;$EK471)+($EK$5:$EK$1003=$EK471)*($DE$5:$DE$1003&lt;$DE471))))+1)</f>
        <v/>
      </c>
      <c r="EM471">
        <f>IF($DM471=0,"",$EL471+$EG471-1)</f>
        <v/>
      </c>
      <c r="EN471">
        <f>IF($DM471=0,0,IFERROR(MATCH(1,INDEX(--(TRIM(SUBSTITUTE(SUBSTITUTE(SUBSTITUTE(SUBSTITUTE(LINES_NAME&amp;""," "," "),CHAR(9)," "),CHAR(10)," "),CHAR(13)," "))=$DH471),0),0),0))</f>
        <v/>
      </c>
      <c r="EO471">
        <f>IF($EN471=0,0,IF(OR(UPPER(TRIM(INDEX(LINES_SCHEDULED,$EN471)&amp;""))="YES",UPPER(TRIM(INDEX(LINES_SCHEDULED,$EN471)&amp;""))="Y",UPPER(TRIM(INDEX(LINES_SCHEDULED,$EN471)&amp;""))="X"),1,0))</f>
        <v/>
      </c>
      <c r="EP471">
        <f>IF($DM471=0,"",IF(COUNTIFS($EG$5:$EG$1003,$EG471,$EB$5:$EB$1003,"Ready")&gt;0,"READY",IF(COUNTIFS($EG$5:$EG$1003,$EG471,$EB$5:$EB$1003,"PM")&gt;0,"PM",IF(COUNTIFS($EG$5:$EG$1003,$EG471,$EB$5:$EB$1003,"OT")&gt;0,"OT",""))))</f>
        <v/>
      </c>
      <c r="EQ471">
        <f>IF($EN471=0,"",UPPER(TRIM(INDEX(LINES_STATUS,$EN471)&amp;"")))</f>
        <v/>
      </c>
      <c r="ER471">
        <f>IF($DM471=0,"",IF(OR($EQ471="READY",$EQ471="PM",$EQ471="OT"),$EQ471,$EP471))</f>
        <v/>
      </c>
      <c r="ES471">
        <f>IF($DM471=0,"",IF(AND($DV471&lt;&gt;"",UPPER($DV471)&lt;&gt;"N"),"allergen",IF(ISNUMBER(SEARCH("oil",$DQ471)),"oil",IF(OR(EXACT($DS471,"A662"),EXACT($DS471,"A624")),"bulk",""))))</f>
        <v/>
      </c>
      <c r="ET471">
        <f>IF($DM471=0,"",IF(OR($EA471="",$EA471=0),"",$EA471/100))</f>
        <v/>
      </c>
      <c r="EU471">
        <f>IF(OR($ET471="",$DY471=""),"",INT($DY471*(1-$ET471)+0.5))</f>
        <v/>
      </c>
      <c r="EW471" t="n">
        <v>467</v>
      </c>
      <c r="EX471">
        <f>IFERROR(MATCH($EW471,$EM$5:$EM$1003,0),0)</f>
        <v/>
      </c>
      <c r="EY471">
        <f>IF($EW471&gt;$B$12,"",IF($EX471&gt;0,"row","spacer"))</f>
        <v/>
      </c>
      <c r="EZ471">
        <f>IF(AND($EY471="row",$EY470&lt;&gt;"row"),1,0)</f>
        <v/>
      </c>
      <c r="FA471">
        <f>IF(AND($EY471="row",$EY472&lt;&gt;"row"),1,0)</f>
        <v/>
      </c>
      <c r="FB471">
        <f>IF($EZ471=1,IFERROR(IF(ISNUMBER(INDEX(PASTE_ALL,INDEX($DF$5:$DF$1003,$EX471),$B$37)),INDEX(PASTE_ALL,INDEX($DF$5:$DF$1003,$EX471),$B$37),INDEX($DH$5:$DH$1003,$EX471)),INDEX($DH$5:$DH$1003,$EX471)),"")</f>
        <v/>
      </c>
      <c r="FC471">
        <f>IF($EY471="row",INDEX($ER$5:$ER$1003,$EX471),"")</f>
        <v/>
      </c>
      <c r="FD471">
        <f>IF($EY471="row",INDEX($DN$5:$DN$1003,$EX471),"")</f>
        <v/>
      </c>
      <c r="FE471">
        <f>IF($EY471="row",INDEX($DO$5:$DO$1003,$EX471),"")</f>
        <v/>
      </c>
      <c r="FF471">
        <f>IF($EY471="row",INDEX($DP$5:$DP$1003,$EX471),"")</f>
        <v/>
      </c>
      <c r="FG471">
        <f>IF($EY471="row",INDEX($DQ$5:$DQ$1003,$EX471),"")</f>
        <v/>
      </c>
      <c r="FH471">
        <f>IF($EY471="row",INDEX($DR$5:$DR$1003,$EX471),"")</f>
        <v/>
      </c>
      <c r="FI471">
        <f>IF($EY471="row",INDEX($DS$5:$DS$1003,$EX471),"")</f>
        <v/>
      </c>
      <c r="FJ471">
        <f>IF($EY471="row",INDEX($DT$5:$DT$1003,$EX471),"")</f>
        <v/>
      </c>
      <c r="FK471">
        <f>IF($EY471="row",INDEX($DU$5:$DU$1003,$EX471),"")</f>
        <v/>
      </c>
      <c r="FL471">
        <f>IF($EY471="row",INDEX($DV$5:$DV$1003,$EX471),"")</f>
        <v/>
      </c>
      <c r="FM471">
        <f>IF($EY471="row",INDEX($DW$5:$DW$1003,$EX471),"")</f>
        <v/>
      </c>
      <c r="FN471">
        <f>IF($EY471="row",INDEX($DY$5:$DY$1003,$EX471),"")</f>
        <v/>
      </c>
      <c r="FO471">
        <f>IF($EY471="row",INDEX($EA$5:$EA$1003,$EX471),"")</f>
        <v/>
      </c>
      <c r="FP471">
        <f>IF($EY471="row",INDEX($EC$5:$EC$1003,$EX471),"")</f>
        <v/>
      </c>
      <c r="FQ471">
        <f>IF($EY471="row",INDEX($ET$5:$ET$1003,$EX471),"")</f>
        <v/>
      </c>
      <c r="FR471">
        <f>IF($EY471="row",INDEX($EU$5:$EU$1003,$EX471),"")</f>
        <v/>
      </c>
      <c r="FS471">
        <f>IF(AND($EY471="row",$EY470="row"),IF(OR(INDEX($DT$5:$DT$1003,$EX470)="",INDEX($DT$5:$DT$1003,$EX471)=""),"",IF(NOT(EXACT(INDEX($DT$5:$DT$1003,$EX470),INDEX($DT$5:$DT$1003,$EX471))),"S4",IF(NOT(EXACT(INDEX($DS$5:$DS$1003,$EX470),INDEX($DS$5:$DS$1003,$EX471))),"S3",IF(NOT(EXACT(INDEX($DR$5:$DR$1003,$EX470),INDEX($DR$5:$DR$1003,$EX471))),"S1 Count Change","S1")))),"")</f>
        <v/>
      </c>
      <c r="FT471">
        <f>IF($EY471="row",INDEX($ES$5:$ES$1003,$EX471),"")</f>
        <v/>
      </c>
      <c r="FU471">
        <f>IF($EY471="row",INDEX($EO$5:$EO$1003,$EX471),0)</f>
        <v/>
      </c>
      <c r="FV471">
        <f>IF($FS471="S1 Count Change",1,0)</f>
        <v/>
      </c>
    </row>
    <row r="472">
      <c r="DA472" t="n">
        <v>468</v>
      </c>
      <c r="DB472">
        <f>IF($B$37=0,"",IFERROR(TRIM(SUBSTITUTE(SUBSTITUTE(SUBSTITUTE(SUBSTITUTE(INDEX(PASTE_ALL,468,$B$37)," "," "),CHAR(9)," "),CHAR(10)," "),CHAR(13)," ")),""))</f>
        <v/>
      </c>
      <c r="DC472">
        <f>IF(AND(468&gt;HEADER_ROW,UPPER(DB472)="LEGEND"),1,0)</f>
        <v/>
      </c>
      <c r="DE472" t="n">
        <v>468</v>
      </c>
      <c r="DF472">
        <f>HEADER_ROW+$DE472</f>
        <v/>
      </c>
      <c r="DG472">
        <f>IF(AND($DF472&lt;=1000,$DF472&lt;$B$8),1,0)</f>
        <v/>
      </c>
      <c r="DH472">
        <f>IF($DG472=1,IFERROR(INDEX($DB$5:$DB$1004,$DF472),""),"")</f>
        <v/>
      </c>
      <c r="DI472">
        <f>IF(AND($DG472=1,$DH472&lt;&gt;""),IFERROR(SUBSTITUTE(SUBSTITUTE(TRIM(SUBSTITUTE(SUBSTITUTE(SUBSTITUTE(SUBSTITUTE(IFERROR(INDEX(PASTE_ALL,$DF472,1)&amp;"","")&amp;"␟"&amp;IFERROR(INDEX(PASTE_ALL,$DF472,2)&amp;"","")&amp;"␟"&amp;IFERROR(INDEX(PASTE_ALL,$DF472,3)&amp;"","")&amp;"␟"&amp;IFERROR(INDEX(PASTE_ALL,$DF472,4)&amp;"","")&amp;"␟"&amp;IFERROR(INDEX(PASTE_ALL,$DF472,5)&amp;"","")&amp;"␟"&amp;IFERROR(INDEX(PASTE_ALL,$DF472,6)&amp;"","")&amp;"␟"&amp;IFERROR(INDEX(PASTE_ALL,$DF472,7)&amp;"","")&amp;"␟"&amp;IFERROR(INDEX(PASTE_ALL,$DF472,8)&amp;"","")&amp;"␟"&amp;IFERROR(INDEX(PASTE_ALL,$DF472,9)&amp;"","")&amp;"␟"&amp;IFERROR(INDEX(PASTE_ALL,$DF472,10)&amp;"","")&amp;"␟"&amp;IFERROR(INDEX(PASTE_ALL,$DF472,11)&amp;"","")&amp;"␟"&amp;IFERROR(INDEX(PASTE_ALL,$DF472,12)&amp;"","")&amp;"␟"&amp;IFERROR(INDEX(PASTE_ALL,$DF472,13)&amp;"","")&amp;"␟"&amp;IFERROR(INDEX(PASTE_ALL,$DF472,14)&amp;"","")&amp;"␟"&amp;IFERROR(INDEX(PASTE_ALL,$DF472,15)&amp;"","")&amp;"␟"&amp;IFERROR(INDEX(PASTE_ALL,$DF472,16)&amp;"","")&amp;"␟"&amp;IFERROR(INDEX(PASTE_ALL,$DF472,17)&amp;"","")&amp;"␟"&amp;IFERROR(INDEX(PASTE_ALL,$DF472,18)&amp;"","")&amp;"␟"&amp;IFERROR(INDEX(PASTE_ALL,$DF472,19)&amp;"","")&amp;"␟"&amp;IFERROR(INDEX(PASTE_ALL,$DF472,20)&amp;"","")&amp;"␟"&amp;IFERROR(INDEX(PASTE_ALL,$DF472,21)&amp;"","")&amp;"␟"&amp;IFERROR(INDEX(PASTE_ALL,$DF472,22)&amp;"","")&amp;"␟"&amp;IFERROR(INDEX(PASTE_ALL,$DF472,23)&amp;"","")&amp;"␟"&amp;IFERROR(INDEX(PASTE_ALL,$DF472,24)&amp;"","")&amp;"␟"&amp;IFERROR(INDEX(PASTE_ALL,$DF472,25)&amp;"","")&amp;"␟"&amp;IFERROR(INDEX(PASTE_ALL,$DF472,26)&amp;"","")&amp;"␟"&amp;IFERROR(INDEX(PASTE_ALL,$DF472,27)&amp;"","")&amp;"␟"&amp;IFERROR(INDEX(PASTE_ALL,$DF472,28)&amp;"","")&amp;"␟"&amp;IFERROR(INDEX(PASTE_ALL,$DF472,29)&amp;"","")&amp;"␟"&amp;IFERROR(INDEX(PASTE_ALL,$DF472,30)&amp;"","")&amp;"␟"&amp;IFERROR(INDEX(PASTE_ALL,$DF472,31)&amp;"","")&amp;"␟"&amp;IFERROR(INDEX(PASTE_ALL,$DF472,32)&amp;"","")&amp;"␟"&amp;IFERROR(INDEX(PASTE_ALL,$DF472,33)&amp;"","")&amp;"␟"&amp;IFERROR(INDEX(PASTE_ALL,$DF472,34)&amp;"","")&amp;"␟"&amp;IFERROR(INDEX(PASTE_ALL,$DF472,35)&amp;"","")&amp;"␟"&amp;IFERROR(INDEX(PASTE_ALL,$DF472,36)&amp;"","")&amp;"␟"&amp;IFERROR(INDEX(PASTE_ALL,$DF472,37)&amp;"","")&amp;"␟"&amp;IFERROR(INDEX(PASTE_ALL,$DF472,38)&amp;"","")&amp;"␟"&amp;IFERROR(INDEX(PASTE_ALL,$DF472,39)&amp;"","")&amp;"␟"&amp;IFERROR(INDEX(PASTE_ALL,$DF472,40)&amp;"","")&amp;"␟"&amp;IFERROR(INDEX(PASTE_ALL,$DF472,41)&amp;"","")&amp;"␟"&amp;IFERROR(INDEX(PASTE_ALL,$DF472,42)&amp;"","")&amp;"␟"&amp;IFERROR(INDEX(PASTE_ALL,$DF472,43)&amp;"","")&amp;"␟"&amp;IFERROR(INDEX(PASTE_ALL,$DF472,44)&amp;"","")&amp;"␟"&amp;IFERROR(INDEX(PASTE_ALL,$DF472,45)&amp;"","")&amp;"␟"&amp;IFERROR(INDEX(PASTE_ALL,$DF472,46)&amp;"","")&amp;"␟"&amp;IFERROR(INDEX(PASTE_ALL,$DF472,47)&amp;"","")&amp;"␟"&amp;IFERROR(INDEX(PASTE_ALL,$DF472,48)&amp;"","")&amp;"␟"&amp;IFERROR(INDEX(PASTE_ALL,$DF472,49)&amp;"","")&amp;"␟"&amp;IFERROR(INDEX(PASTE_ALL,$DF472,50)&amp;"","")&amp;"␟"&amp;IFERROR(INDEX(PASTE_ALL,$DF472,51)&amp;"","")&amp;"␟"&amp;IFERROR(INDEX(PASTE_ALL,$DF472,52)&amp;"","")&amp;"␟"&amp;IFERROR(INDEX(PASTE_ALL,$DF472,53)&amp;"","")&amp;"␟"&amp;IFERROR(INDEX(PASTE_ALL,$DF472,54)&amp;"","")&amp;"␟"&amp;IFERROR(INDEX(PASTE_ALL,$DF472,55)&amp;"","")&amp;"␟"&amp;IFERROR(INDEX(PASTE_ALL,$DF472,56)&amp;"","")&amp;"␟"&amp;IFERROR(INDEX(PASTE_ALL,$DF472,57)&amp;"","")&amp;"␟"&amp;IFERROR(INDEX(PASTE_ALL,$DF472,58)&amp;"","")&amp;"␟"&amp;IFERROR(INDEX(PASTE_ALL,$DF472,59)&amp;"","")&amp;"␟"&amp;IFERROR(INDEX(PASTE_ALL,$DF472,60)&amp;"","")," "," "),CHAR(9)," "),CHAR(10)," "),CHAR(13)," "))," ␟","␟"),"␟ ","␟"),"#"&amp;$DE472),"")</f>
        <v/>
      </c>
      <c r="DJ472">
        <f>IF($DI472="",0,IF(SUMPRODUCT(--EXACT($DI$4:DI471,$DI472))&gt;0,1,0))</f>
        <v/>
      </c>
      <c r="DK472">
        <f>IF(AND($DI472&lt;&gt;"",$DJ472=0),1,0)</f>
        <v/>
      </c>
      <c r="DL472">
        <f>DL471+$DK472</f>
        <v/>
      </c>
      <c r="DM472">
        <f>IF(AND($DK472=1,$DL472&lt;=600),1,0)</f>
        <v/>
      </c>
      <c r="DN472">
        <f>IF($DM472=0,"",IF($L$6=0,"",IFERROR(IF(ISNUMBER(INDEX(PASTE_ALL,$DF472,$L$6)),INDEX(PASTE_ALL,$DF472,$L$6),TRIM(SUBSTITUTE(SUBSTITUTE(SUBSTITUTE(SUBSTITUTE(INDEX(PASTE_ALL,$DF472,$L$6)," "," "),CHAR(9)," "),CHAR(10)," "),CHAR(13)," "))),"")))</f>
        <v/>
      </c>
      <c r="DO472">
        <f>IF($DM472=0,"",IF($L$7=0,"",IFERROR(IF(ISNUMBER(INDEX(PASTE_ALL,$DF472,$L$7)),INDEX(PASTE_ALL,$DF472,$L$7),TRIM(SUBSTITUTE(SUBSTITUTE(SUBSTITUTE(SUBSTITUTE(INDEX(PASTE_ALL,$DF472,$L$7)," "," "),CHAR(9)," "),CHAR(10)," "),CHAR(13)," "))),"")))</f>
        <v/>
      </c>
      <c r="DP472">
        <f>IF($DM472=0,"",IF($L$8=0,"",IFERROR(IF(ISNUMBER(INDEX(PASTE_ALL,$DF472,$L$8)),INDEX(PASTE_ALL,$DF472,$L$8),TRIM(SUBSTITUTE(SUBSTITUTE(SUBSTITUTE(SUBSTITUTE(INDEX(PASTE_ALL,$DF472,$L$8)," "," "),CHAR(9)," "),CHAR(10)," "),CHAR(13)," "))),"")))</f>
        <v/>
      </c>
      <c r="DQ472">
        <f>IF($DM472=0,"",IF($L$9=0,"",IFERROR(IF(ISNUMBER(INDEX(PASTE_ALL,$DF472,$L$9)),INDEX(PASTE_ALL,$DF472,$L$9),TRIM(SUBSTITUTE(SUBSTITUTE(SUBSTITUTE(SUBSTITUTE(INDEX(PASTE_ALL,$DF472,$L$9)," "," "),CHAR(9)," "),CHAR(10)," "),CHAR(13)," "))),"")))</f>
        <v/>
      </c>
      <c r="DR472">
        <f>IF($DM472=0,"",IF($L$10=0,"",IFERROR(IF(ISNUMBER(INDEX(PASTE_ALL,$DF472,$L$10)),INDEX(PASTE_ALL,$DF472,$L$10),TRIM(SUBSTITUTE(SUBSTITUTE(SUBSTITUTE(SUBSTITUTE(INDEX(PASTE_ALL,$DF472,$L$10)," "," "),CHAR(9)," "),CHAR(10)," "),CHAR(13)," "))),"")))</f>
        <v/>
      </c>
      <c r="DS472">
        <f>IF($DM472=0,"",IF($L$11=0,"",IFERROR(IF(ISNUMBER(INDEX(PASTE_ALL,$DF472,$L$11)),INDEX(PASTE_ALL,$DF472,$L$11),TRIM(SUBSTITUTE(SUBSTITUTE(SUBSTITUTE(SUBSTITUTE(INDEX(PASTE_ALL,$DF472,$L$11)," "," "),CHAR(9)," "),CHAR(10)," "),CHAR(13)," "))),"")))</f>
        <v/>
      </c>
      <c r="DT472">
        <f>IF($DM472=0,"",IF($L$12=0,"",IFERROR(IF(ISNUMBER(INDEX(PASTE_ALL,$DF472,$L$12)),INDEX(PASTE_ALL,$DF472,$L$12),TRIM(SUBSTITUTE(SUBSTITUTE(SUBSTITUTE(SUBSTITUTE(INDEX(PASTE_ALL,$DF472,$L$12)," "," "),CHAR(9)," "),CHAR(10)," "),CHAR(13)," "))),"")))</f>
        <v/>
      </c>
      <c r="DU472">
        <f>IF($DM472=0,"",IF($L$13=0,"",IFERROR(IF(ISNUMBER(INDEX(PASTE_ALL,$DF472,$L$13)),INDEX(PASTE_ALL,$DF472,$L$13),TRIM(SUBSTITUTE(SUBSTITUTE(SUBSTITUTE(SUBSTITUTE(INDEX(PASTE_ALL,$DF472,$L$13)," "," "),CHAR(9)," "),CHAR(10)," "),CHAR(13)," "))),"")))</f>
        <v/>
      </c>
      <c r="DV472">
        <f>IF($DM472=0,"",IF($L$14=0,"",IFERROR(IF(ISNUMBER(INDEX(PASTE_ALL,$DF472,$L$14)),INDEX(PASTE_ALL,$DF472,$L$14),TRIM(SUBSTITUTE(SUBSTITUTE(SUBSTITUTE(SUBSTITUTE(INDEX(PASTE_ALL,$DF472,$L$14)," "," "),CHAR(9)," "),CHAR(10)," "),CHAR(13)," "))),"")))</f>
        <v/>
      </c>
      <c r="DW472">
        <f>IF($DM472=0,"",IF($L$15=0,"",IFERROR(IF(ISNUMBER(INDEX(PASTE_ALL,$DF472,$L$15)),INDEX(PASTE_ALL,$DF472,$L$15),IF(SUMPRODUCT(--ISNUMBER(FIND({"A","B","C","D","E","F","G","H","I","J","K","L","M","N","O","P","Q","R","S","T","U","V","W","X","Y","Z","0","1","2","3","4","5","6","7","8","9"},UPPER(TRIM(SUBSTITUTE(SUBSTITUTE(SUBSTITUTE(SUBSTITUTE(INDEX(PASTE_ALL,$DF472,$L$15)," "," "),CHAR(9)," "),CHAR(10)," "),CHAR(13)," "))))))&gt;0,TRIM(SUBSTITUTE(SUBSTITUTE(SUBSTITUTE(SUBSTITUTE(INDEX(PASTE_ALL,$DF472,$L$15)," "," "),CHAR(9)," "),CHAR(10)," "),CHAR(13)," ")),"")),"")))</f>
        <v/>
      </c>
      <c r="DX472">
        <f>IF($DM472=0,"",IF($L$16=0,"",IFERROR(IF(ISNUMBER(INDEX(PASTE_ALL,$DF472,$L$16)),INDEX(PASTE_ALL,$DF472,$L$16),SUBSTITUTE(SUBSTITUTE(TRIM(SUBSTITUTE(SUBSTITUTE(SUBSTITUTE(SUBSTITUTE(INDEX(PASTE_ALL,$DF472,$L$16)," "," "),CHAR(9)," "),CHAR(10)," "),CHAR(13)," ")),",",""),"%","")),"")))</f>
        <v/>
      </c>
      <c r="DY472">
        <f>IF($DM472=0,"",IFERROR(IF(ISNUMBER($DX472),$DX472,IF($DX472="","",IF(TRIM($DX472)="",0,IF(AND(AND(SUBSTITUTE(SUBSTITUTE(SUBSTITUTE(SUBSTITUTE(SUBSTITUTE(SUBSTITUTE(SUBSTITUTE(SUBSTITUTE(SUBSTITUTE(SUBSTITUTE(SUBSTITUTE(SUBSTITUTE(SUBSTITUTE(SUBSTITUTE(UPPER(TRIM($DX472)),"0",""),"1",""),"2",""),"3",""),"4",""),"5",""),"6",""),"7",""),"8",""),"9",""),".",""),"+",""),"-",""),"E","")="",LEN(SUBSTITUTE(SUBSTITUTE(MID(UPPER(TRIM($DX472)),1+OR(LEFT(UPPER(TRIM($DX472)),1)="+",LEFT(UPPER(TRIM($DX472)),1)="-"),999),"E+","E"),"E-","E"))=LEN(SUBSTITUTE(SUBSTITUTE(SUBSTITUTE(SUBSTITUTE(MID(UPPER(TRIM($DX472)),1+OR(LEFT(UPPER(TRIM($DX472)),1)="+",LEFT(UPPER(TRIM($DX472)),1)="-"),999),"E+","E"),"E-","E"),"+",""),"-","")),LEN(UPPER(TRIM($DX472)))-LEN(SUBSTITUTE(UPPER(TRIM($DX472)),"E",""))&lt;2,LEN(UPPER(TRIM($DX472)))-LEN(SUBSTITUTE(UPPER(TRIM($DX472)),".",""))&lt;2,IFERROR(FIND(".",UPPER(TRIM($DX472))),0)&lt;IFERROR(FIND("E",UPPER(TRIM($DX472))),999)),ISNUMBER(VALUE(TRIM($DX472)))),VALUE(TRIM($DX472)),"")))),""))</f>
        <v/>
      </c>
      <c r="DZ472">
        <f>IF($DM472=0,"",IF($L$17=0,"",IFERROR(IF(ISNUMBER(INDEX(PASTE_ALL,$DF472,$L$17)),INDEX(PASTE_ALL,$DF472,$L$17),SUBSTITUTE(SUBSTITUTE(TRIM(SUBSTITUTE(SUBSTITUTE(SUBSTITUTE(SUBSTITUTE(INDEX(PASTE_ALL,$DF472,$L$17)," "," "),CHAR(9)," "),CHAR(10)," "),CHAR(13)," ")),",",""),"%","")),"")))</f>
        <v/>
      </c>
      <c r="EA472">
        <f>IF($DM472=0,"",IFERROR(IF(ISNUMBER($DZ472),$DZ472,IF($DZ472="","",IF(TRIM($DZ472)="",0,IF(AND(AND(SUBSTITUTE(SUBSTITUTE(SUBSTITUTE(SUBSTITUTE(SUBSTITUTE(SUBSTITUTE(SUBSTITUTE(SUBSTITUTE(SUBSTITUTE(SUBSTITUTE(SUBSTITUTE(SUBSTITUTE(SUBSTITUTE(SUBSTITUTE(UPPER(TRIM($DZ472)),"0",""),"1",""),"2",""),"3",""),"4",""),"5",""),"6",""),"7",""),"8",""),"9",""),".",""),"+",""),"-",""),"E","")="",LEN(SUBSTITUTE(SUBSTITUTE(MID(UPPER(TRIM($DZ472)),1+OR(LEFT(UPPER(TRIM($DZ472)),1)="+",LEFT(UPPER(TRIM($DZ472)),1)="-"),999),"E+","E"),"E-","E"))=LEN(SUBSTITUTE(SUBSTITUTE(SUBSTITUTE(SUBSTITUTE(MID(UPPER(TRIM($DZ472)),1+OR(LEFT(UPPER(TRIM($DZ472)),1)="+",LEFT(UPPER(TRIM($DZ472)),1)="-"),999),"E+","E"),"E-","E"),"+",""),"-","")),LEN(UPPER(TRIM($DZ472)))-LEN(SUBSTITUTE(UPPER(TRIM($DZ472)),"E",""))&lt;2,LEN(UPPER(TRIM($DZ472)))-LEN(SUBSTITUTE(UPPER(TRIM($DZ472)),".",""))&lt;2,IFERROR(FIND(".",UPPER(TRIM($DZ472))),0)&lt;IFERROR(FIND("E",UPPER(TRIM($DZ472))),999)),ISNUMBER(VALUE(TRIM($DZ472)))),VALUE(TRIM($DZ472)),"")))),""))</f>
        <v/>
      </c>
      <c r="EB472">
        <f>IF($DM472=0,"",IF($L$18=0,"",IFERROR(IF(UPPER(TRIM(SUBSTITUTE(SUBSTITUTE(SUBSTITUTE(SUBSTITUTE(INDEX(PASTE_ALL,$DF472,$L$18)," "," "),CHAR(9)," "),CHAR(10)," "),CHAR(13)," ")))="READY","Ready",IF(UPPER(TRIM(SUBSTITUTE(SUBSTITUTE(SUBSTITUTE(SUBSTITUTE(INDEX(PASTE_ALL,$DF472,$L$18)," "," "),CHAR(9)," "),CHAR(10)," "),CHAR(13)," ")))="PM","PM",IF(OR(UPPER(TRIM(SUBSTITUTE(SUBSTITUTE(SUBSTITUTE(SUBSTITUTE(INDEX(PASTE_ALL,$DF472,$L$18)," "," "),CHAR(9)," "),CHAR(10)," "),CHAR(13)," ")))="OT",UPPER(TRIM(SUBSTITUTE(SUBSTITUTE(SUBSTITUTE(SUBSTITUTE(INDEX(PASTE_ALL,$DF472,$L$18)," "," "),CHAR(9)," "),CHAR(10)," "),CHAR(13)," ")))="OVERTIME",UPPER(TRIM(SUBSTITUTE(SUBSTITUTE(SUBSTITUTE(SUBSTITUTE(INDEX(PASTE_ALL,$DF472,$L$18)," "," "),CHAR(9)," "),CHAR(10)," "),CHAR(13)," ")))="TRIAL"),"OT",TRIM(SUBSTITUTE(SUBSTITUTE(SUBSTITUTE(SUBSTITUTE(INDEX(PASTE_ALL,$DF472,$L$18)," "," "),CHAR(9)," "),CHAR(10)," "),CHAR(13)," "))))),"")))</f>
        <v/>
      </c>
      <c r="EC472">
        <f>IF($DM472=0,"",IF($L$19=0,"",IFERROR(IF(ISNUMBER(INDEX(PASTE_ALL,$DF472,$L$19)),INDEX(PASTE_ALL,$DF472,$L$19),TRIM(SUBSTITUTE(SUBSTITUTE(SUBSTITUTE(SUBSTITUTE(INDEX(PASTE_ALL,$DF472,$L$19)," "," "),CHAR(9)," "),CHAR(10)," "),CHAR(13)," "))),"")))</f>
        <v/>
      </c>
      <c r="ED472">
        <f>IF($DM472=0,"",MATCH(1,INDEX(EXACT($DH$5:DH472,$DH472)*$DM$5:DM472,0),0))</f>
        <v/>
      </c>
      <c r="EE472">
        <f>IF($DM472=0,0,IF($ED472=$DE472,1,0))</f>
        <v/>
      </c>
      <c r="EF472">
        <f>EF471+$EE472</f>
        <v/>
      </c>
      <c r="EG472">
        <f>IF($DM472=0,"",INDEX($EF$5:$EF$1003,$ED472))</f>
        <v/>
      </c>
      <c r="EH472">
        <f>IF($DM472=0,"",IF($DO472&lt;&gt;"","",IFERROR(LOOKUP(2,1/(($EG$4:EG471=$EG472)*($DO$4:DO471&lt;&gt;"")),$DO$4:DO471),"")))</f>
        <v/>
      </c>
      <c r="EI472">
        <f>IF($DM472=0,"",IF($DO472&lt;&gt;"",$DO472,$EH472))</f>
        <v/>
      </c>
      <c r="EJ472">
        <f>IF($DM472=0,"",IF($EI472="",0,IF(OR(ISNUMBER($EI472),AND(AND(SUBSTITUTE(SUBSTITUTE(SUBSTITUTE(SUBSTITUTE(SUBSTITUTE(SUBSTITUTE(SUBSTITUTE(SUBSTITUTE(SUBSTITUTE(SUBSTITUTE(SUBSTITUTE(SUBSTITUTE(SUBSTITUTE(SUBSTITUTE(UPPER($EI472),"0",""),"1",""),"2",""),"3",""),"4",""),"5",""),"6",""),"7",""),"8",""),"9",""),".",""),"+",""),"-",""),"E","")="",LEN(SUBSTITUTE(SUBSTITUTE(MID(UPPER($EI472),1+OR(LEFT(UPPER($EI472),1)="+",LEFT(UPPER($EI472),1)="-"),999),"E+","E"),"E-","E"))=LEN(SUBSTITUTE(SUBSTITUTE(SUBSTITUTE(SUBSTITUTE(MID(UPPER($EI472),1+OR(LEFT(UPPER($EI472),1)="+",LEFT(UPPER($EI472),1)="-"),999),"E+","E"),"E-","E"),"+",""),"-","")),LEN(UPPER($EI472))-LEN(SUBSTITUTE(UPPER($EI472),"E",""))&lt;2,LEN(UPPER($EI472))-LEN(SUBSTITUTE(UPPER($EI472),".",""))&lt;2,IFERROR(FIND(".",UPPER($EI472)),0)&lt;IFERROR(FIND("E",UPPER($EI472)),999)),ISNUMBER(VALUE($EI472)))),1,2)))</f>
        <v/>
      </c>
      <c r="EK472">
        <f>IF($DM472=0,"",IF($EJ472=1,IF(ISNUMBER($EI472),$EI472,VALUE($EI472)),IF($EJ472=2,$DE472,0)))</f>
        <v/>
      </c>
      <c r="EL472">
        <f>IF($DM472=0,"",COUNTIF($EG$5:$EG$1003,"&lt;"&amp;$EG472)+SUMPRODUCT(($EG$5:$EG$1003=$EG472)*(($EJ$5:$EJ$1003&lt;$EJ472)+($EJ$5:$EJ$1003=$EJ472)*(($EK$5:$EK$1003&lt;$EK472)+($EK$5:$EK$1003=$EK472)*($DE$5:$DE$1003&lt;$DE472))))+1)</f>
        <v/>
      </c>
      <c r="EM472">
        <f>IF($DM472=0,"",$EL472+$EG472-1)</f>
        <v/>
      </c>
      <c r="EN472">
        <f>IF($DM472=0,0,IFERROR(MATCH(1,INDEX(--(TRIM(SUBSTITUTE(SUBSTITUTE(SUBSTITUTE(SUBSTITUTE(LINES_NAME&amp;""," "," "),CHAR(9)," "),CHAR(10)," "),CHAR(13)," "))=$DH472),0),0),0))</f>
        <v/>
      </c>
      <c r="EO472">
        <f>IF($EN472=0,0,IF(OR(UPPER(TRIM(INDEX(LINES_SCHEDULED,$EN472)&amp;""))="YES",UPPER(TRIM(INDEX(LINES_SCHEDULED,$EN472)&amp;""))="Y",UPPER(TRIM(INDEX(LINES_SCHEDULED,$EN472)&amp;""))="X"),1,0))</f>
        <v/>
      </c>
      <c r="EP472">
        <f>IF($DM472=0,"",IF(COUNTIFS($EG$5:$EG$1003,$EG472,$EB$5:$EB$1003,"Ready")&gt;0,"READY",IF(COUNTIFS($EG$5:$EG$1003,$EG472,$EB$5:$EB$1003,"PM")&gt;0,"PM",IF(COUNTIFS($EG$5:$EG$1003,$EG472,$EB$5:$EB$1003,"OT")&gt;0,"OT",""))))</f>
        <v/>
      </c>
      <c r="EQ472">
        <f>IF($EN472=0,"",UPPER(TRIM(INDEX(LINES_STATUS,$EN472)&amp;"")))</f>
        <v/>
      </c>
      <c r="ER472">
        <f>IF($DM472=0,"",IF(OR($EQ472="READY",$EQ472="PM",$EQ472="OT"),$EQ472,$EP472))</f>
        <v/>
      </c>
      <c r="ES472">
        <f>IF($DM472=0,"",IF(AND($DV472&lt;&gt;"",UPPER($DV472)&lt;&gt;"N"),"allergen",IF(ISNUMBER(SEARCH("oil",$DQ472)),"oil",IF(OR(EXACT($DS472,"A662"),EXACT($DS472,"A624")),"bulk",""))))</f>
        <v/>
      </c>
      <c r="ET472">
        <f>IF($DM472=0,"",IF(OR($EA472="",$EA472=0),"",$EA472/100))</f>
        <v/>
      </c>
      <c r="EU472">
        <f>IF(OR($ET472="",$DY472=""),"",INT($DY472*(1-$ET472)+0.5))</f>
        <v/>
      </c>
      <c r="EW472" t="n">
        <v>468</v>
      </c>
      <c r="EX472">
        <f>IFERROR(MATCH($EW472,$EM$5:$EM$1003,0),0)</f>
        <v/>
      </c>
      <c r="EY472">
        <f>IF($EW472&gt;$B$12,"",IF($EX472&gt;0,"row","spacer"))</f>
        <v/>
      </c>
      <c r="EZ472">
        <f>IF(AND($EY472="row",$EY471&lt;&gt;"row"),1,0)</f>
        <v/>
      </c>
      <c r="FA472">
        <f>IF(AND($EY472="row",$EY473&lt;&gt;"row"),1,0)</f>
        <v/>
      </c>
      <c r="FB472">
        <f>IF($EZ472=1,IFERROR(IF(ISNUMBER(INDEX(PASTE_ALL,INDEX($DF$5:$DF$1003,$EX472),$B$37)),INDEX(PASTE_ALL,INDEX($DF$5:$DF$1003,$EX472),$B$37),INDEX($DH$5:$DH$1003,$EX472)),INDEX($DH$5:$DH$1003,$EX472)),"")</f>
        <v/>
      </c>
      <c r="FC472">
        <f>IF($EY472="row",INDEX($ER$5:$ER$1003,$EX472),"")</f>
        <v/>
      </c>
      <c r="FD472">
        <f>IF($EY472="row",INDEX($DN$5:$DN$1003,$EX472),"")</f>
        <v/>
      </c>
      <c r="FE472">
        <f>IF($EY472="row",INDEX($DO$5:$DO$1003,$EX472),"")</f>
        <v/>
      </c>
      <c r="FF472">
        <f>IF($EY472="row",INDEX($DP$5:$DP$1003,$EX472),"")</f>
        <v/>
      </c>
      <c r="FG472">
        <f>IF($EY472="row",INDEX($DQ$5:$DQ$1003,$EX472),"")</f>
        <v/>
      </c>
      <c r="FH472">
        <f>IF($EY472="row",INDEX($DR$5:$DR$1003,$EX472),"")</f>
        <v/>
      </c>
      <c r="FI472">
        <f>IF($EY472="row",INDEX($DS$5:$DS$1003,$EX472),"")</f>
        <v/>
      </c>
      <c r="FJ472">
        <f>IF($EY472="row",INDEX($DT$5:$DT$1003,$EX472),"")</f>
        <v/>
      </c>
      <c r="FK472">
        <f>IF($EY472="row",INDEX($DU$5:$DU$1003,$EX472),"")</f>
        <v/>
      </c>
      <c r="FL472">
        <f>IF($EY472="row",INDEX($DV$5:$DV$1003,$EX472),"")</f>
        <v/>
      </c>
      <c r="FM472">
        <f>IF($EY472="row",INDEX($DW$5:$DW$1003,$EX472),"")</f>
        <v/>
      </c>
      <c r="FN472">
        <f>IF($EY472="row",INDEX($DY$5:$DY$1003,$EX472),"")</f>
        <v/>
      </c>
      <c r="FO472">
        <f>IF($EY472="row",INDEX($EA$5:$EA$1003,$EX472),"")</f>
        <v/>
      </c>
      <c r="FP472">
        <f>IF($EY472="row",INDEX($EC$5:$EC$1003,$EX472),"")</f>
        <v/>
      </c>
      <c r="FQ472">
        <f>IF($EY472="row",INDEX($ET$5:$ET$1003,$EX472),"")</f>
        <v/>
      </c>
      <c r="FR472">
        <f>IF($EY472="row",INDEX($EU$5:$EU$1003,$EX472),"")</f>
        <v/>
      </c>
      <c r="FS472">
        <f>IF(AND($EY472="row",$EY471="row"),IF(OR(INDEX($DT$5:$DT$1003,$EX471)="",INDEX($DT$5:$DT$1003,$EX472)=""),"",IF(NOT(EXACT(INDEX($DT$5:$DT$1003,$EX471),INDEX($DT$5:$DT$1003,$EX472))),"S4",IF(NOT(EXACT(INDEX($DS$5:$DS$1003,$EX471),INDEX($DS$5:$DS$1003,$EX472))),"S3",IF(NOT(EXACT(INDEX($DR$5:$DR$1003,$EX471),INDEX($DR$5:$DR$1003,$EX472))),"S1 Count Change","S1")))),"")</f>
        <v/>
      </c>
      <c r="FT472">
        <f>IF($EY472="row",INDEX($ES$5:$ES$1003,$EX472),"")</f>
        <v/>
      </c>
      <c r="FU472">
        <f>IF($EY472="row",INDEX($EO$5:$EO$1003,$EX472),0)</f>
        <v/>
      </c>
      <c r="FV472">
        <f>IF($FS472="S1 Count Change",1,0)</f>
        <v/>
      </c>
    </row>
    <row r="473">
      <c r="DA473" t="n">
        <v>469</v>
      </c>
      <c r="DB473">
        <f>IF($B$37=0,"",IFERROR(TRIM(SUBSTITUTE(SUBSTITUTE(SUBSTITUTE(SUBSTITUTE(INDEX(PASTE_ALL,469,$B$37)," "," "),CHAR(9)," "),CHAR(10)," "),CHAR(13)," ")),""))</f>
        <v/>
      </c>
      <c r="DC473">
        <f>IF(AND(469&gt;HEADER_ROW,UPPER(DB473)="LEGEND"),1,0)</f>
        <v/>
      </c>
      <c r="DE473" t="n">
        <v>469</v>
      </c>
      <c r="DF473">
        <f>HEADER_ROW+$DE473</f>
        <v/>
      </c>
      <c r="DG473">
        <f>IF(AND($DF473&lt;=1000,$DF473&lt;$B$8),1,0)</f>
        <v/>
      </c>
      <c r="DH473">
        <f>IF($DG473=1,IFERROR(INDEX($DB$5:$DB$1004,$DF473),""),"")</f>
        <v/>
      </c>
      <c r="DI473">
        <f>IF(AND($DG473=1,$DH473&lt;&gt;""),IFERROR(SUBSTITUTE(SUBSTITUTE(TRIM(SUBSTITUTE(SUBSTITUTE(SUBSTITUTE(SUBSTITUTE(IFERROR(INDEX(PASTE_ALL,$DF473,1)&amp;"","")&amp;"␟"&amp;IFERROR(INDEX(PASTE_ALL,$DF473,2)&amp;"","")&amp;"␟"&amp;IFERROR(INDEX(PASTE_ALL,$DF473,3)&amp;"","")&amp;"␟"&amp;IFERROR(INDEX(PASTE_ALL,$DF473,4)&amp;"","")&amp;"␟"&amp;IFERROR(INDEX(PASTE_ALL,$DF473,5)&amp;"","")&amp;"␟"&amp;IFERROR(INDEX(PASTE_ALL,$DF473,6)&amp;"","")&amp;"␟"&amp;IFERROR(INDEX(PASTE_ALL,$DF473,7)&amp;"","")&amp;"␟"&amp;IFERROR(INDEX(PASTE_ALL,$DF473,8)&amp;"","")&amp;"␟"&amp;IFERROR(INDEX(PASTE_ALL,$DF473,9)&amp;"","")&amp;"␟"&amp;IFERROR(INDEX(PASTE_ALL,$DF473,10)&amp;"","")&amp;"␟"&amp;IFERROR(INDEX(PASTE_ALL,$DF473,11)&amp;"","")&amp;"␟"&amp;IFERROR(INDEX(PASTE_ALL,$DF473,12)&amp;"","")&amp;"␟"&amp;IFERROR(INDEX(PASTE_ALL,$DF473,13)&amp;"","")&amp;"␟"&amp;IFERROR(INDEX(PASTE_ALL,$DF473,14)&amp;"","")&amp;"␟"&amp;IFERROR(INDEX(PASTE_ALL,$DF473,15)&amp;"","")&amp;"␟"&amp;IFERROR(INDEX(PASTE_ALL,$DF473,16)&amp;"","")&amp;"␟"&amp;IFERROR(INDEX(PASTE_ALL,$DF473,17)&amp;"","")&amp;"␟"&amp;IFERROR(INDEX(PASTE_ALL,$DF473,18)&amp;"","")&amp;"␟"&amp;IFERROR(INDEX(PASTE_ALL,$DF473,19)&amp;"","")&amp;"␟"&amp;IFERROR(INDEX(PASTE_ALL,$DF473,20)&amp;"","")&amp;"␟"&amp;IFERROR(INDEX(PASTE_ALL,$DF473,21)&amp;"","")&amp;"␟"&amp;IFERROR(INDEX(PASTE_ALL,$DF473,22)&amp;"","")&amp;"␟"&amp;IFERROR(INDEX(PASTE_ALL,$DF473,23)&amp;"","")&amp;"␟"&amp;IFERROR(INDEX(PASTE_ALL,$DF473,24)&amp;"","")&amp;"␟"&amp;IFERROR(INDEX(PASTE_ALL,$DF473,25)&amp;"","")&amp;"␟"&amp;IFERROR(INDEX(PASTE_ALL,$DF473,26)&amp;"","")&amp;"␟"&amp;IFERROR(INDEX(PASTE_ALL,$DF473,27)&amp;"","")&amp;"␟"&amp;IFERROR(INDEX(PASTE_ALL,$DF473,28)&amp;"","")&amp;"␟"&amp;IFERROR(INDEX(PASTE_ALL,$DF473,29)&amp;"","")&amp;"␟"&amp;IFERROR(INDEX(PASTE_ALL,$DF473,30)&amp;"","")&amp;"␟"&amp;IFERROR(INDEX(PASTE_ALL,$DF473,31)&amp;"","")&amp;"␟"&amp;IFERROR(INDEX(PASTE_ALL,$DF473,32)&amp;"","")&amp;"␟"&amp;IFERROR(INDEX(PASTE_ALL,$DF473,33)&amp;"","")&amp;"␟"&amp;IFERROR(INDEX(PASTE_ALL,$DF473,34)&amp;"","")&amp;"␟"&amp;IFERROR(INDEX(PASTE_ALL,$DF473,35)&amp;"","")&amp;"␟"&amp;IFERROR(INDEX(PASTE_ALL,$DF473,36)&amp;"","")&amp;"␟"&amp;IFERROR(INDEX(PASTE_ALL,$DF473,37)&amp;"","")&amp;"␟"&amp;IFERROR(INDEX(PASTE_ALL,$DF473,38)&amp;"","")&amp;"␟"&amp;IFERROR(INDEX(PASTE_ALL,$DF473,39)&amp;"","")&amp;"␟"&amp;IFERROR(INDEX(PASTE_ALL,$DF473,40)&amp;"","")&amp;"␟"&amp;IFERROR(INDEX(PASTE_ALL,$DF473,41)&amp;"","")&amp;"␟"&amp;IFERROR(INDEX(PASTE_ALL,$DF473,42)&amp;"","")&amp;"␟"&amp;IFERROR(INDEX(PASTE_ALL,$DF473,43)&amp;"","")&amp;"␟"&amp;IFERROR(INDEX(PASTE_ALL,$DF473,44)&amp;"","")&amp;"␟"&amp;IFERROR(INDEX(PASTE_ALL,$DF473,45)&amp;"","")&amp;"␟"&amp;IFERROR(INDEX(PASTE_ALL,$DF473,46)&amp;"","")&amp;"␟"&amp;IFERROR(INDEX(PASTE_ALL,$DF473,47)&amp;"","")&amp;"␟"&amp;IFERROR(INDEX(PASTE_ALL,$DF473,48)&amp;"","")&amp;"␟"&amp;IFERROR(INDEX(PASTE_ALL,$DF473,49)&amp;"","")&amp;"␟"&amp;IFERROR(INDEX(PASTE_ALL,$DF473,50)&amp;"","")&amp;"␟"&amp;IFERROR(INDEX(PASTE_ALL,$DF473,51)&amp;"","")&amp;"␟"&amp;IFERROR(INDEX(PASTE_ALL,$DF473,52)&amp;"","")&amp;"␟"&amp;IFERROR(INDEX(PASTE_ALL,$DF473,53)&amp;"","")&amp;"␟"&amp;IFERROR(INDEX(PASTE_ALL,$DF473,54)&amp;"","")&amp;"␟"&amp;IFERROR(INDEX(PASTE_ALL,$DF473,55)&amp;"","")&amp;"␟"&amp;IFERROR(INDEX(PASTE_ALL,$DF473,56)&amp;"","")&amp;"␟"&amp;IFERROR(INDEX(PASTE_ALL,$DF473,57)&amp;"","")&amp;"␟"&amp;IFERROR(INDEX(PASTE_ALL,$DF473,58)&amp;"","")&amp;"␟"&amp;IFERROR(INDEX(PASTE_ALL,$DF473,59)&amp;"","")&amp;"␟"&amp;IFERROR(INDEX(PASTE_ALL,$DF473,60)&amp;"","")," "," "),CHAR(9)," "),CHAR(10)," "),CHAR(13)," "))," ␟","␟"),"␟ ","␟"),"#"&amp;$DE473),"")</f>
        <v/>
      </c>
      <c r="DJ473">
        <f>IF($DI473="",0,IF(SUMPRODUCT(--EXACT($DI$4:DI472,$DI473))&gt;0,1,0))</f>
        <v/>
      </c>
      <c r="DK473">
        <f>IF(AND($DI473&lt;&gt;"",$DJ473=0),1,0)</f>
        <v/>
      </c>
      <c r="DL473">
        <f>DL472+$DK473</f>
        <v/>
      </c>
      <c r="DM473">
        <f>IF(AND($DK473=1,$DL473&lt;=600),1,0)</f>
        <v/>
      </c>
      <c r="DN473">
        <f>IF($DM473=0,"",IF($L$6=0,"",IFERROR(IF(ISNUMBER(INDEX(PASTE_ALL,$DF473,$L$6)),INDEX(PASTE_ALL,$DF473,$L$6),TRIM(SUBSTITUTE(SUBSTITUTE(SUBSTITUTE(SUBSTITUTE(INDEX(PASTE_ALL,$DF473,$L$6)," "," "),CHAR(9)," "),CHAR(10)," "),CHAR(13)," "))),"")))</f>
        <v/>
      </c>
      <c r="DO473">
        <f>IF($DM473=0,"",IF($L$7=0,"",IFERROR(IF(ISNUMBER(INDEX(PASTE_ALL,$DF473,$L$7)),INDEX(PASTE_ALL,$DF473,$L$7),TRIM(SUBSTITUTE(SUBSTITUTE(SUBSTITUTE(SUBSTITUTE(INDEX(PASTE_ALL,$DF473,$L$7)," "," "),CHAR(9)," "),CHAR(10)," "),CHAR(13)," "))),"")))</f>
        <v/>
      </c>
      <c r="DP473">
        <f>IF($DM473=0,"",IF($L$8=0,"",IFERROR(IF(ISNUMBER(INDEX(PASTE_ALL,$DF473,$L$8)),INDEX(PASTE_ALL,$DF473,$L$8),TRIM(SUBSTITUTE(SUBSTITUTE(SUBSTITUTE(SUBSTITUTE(INDEX(PASTE_ALL,$DF473,$L$8)," "," "),CHAR(9)," "),CHAR(10)," "),CHAR(13)," "))),"")))</f>
        <v/>
      </c>
      <c r="DQ473">
        <f>IF($DM473=0,"",IF($L$9=0,"",IFERROR(IF(ISNUMBER(INDEX(PASTE_ALL,$DF473,$L$9)),INDEX(PASTE_ALL,$DF473,$L$9),TRIM(SUBSTITUTE(SUBSTITUTE(SUBSTITUTE(SUBSTITUTE(INDEX(PASTE_ALL,$DF473,$L$9)," "," "),CHAR(9)," "),CHAR(10)," "),CHAR(13)," "))),"")))</f>
        <v/>
      </c>
      <c r="DR473">
        <f>IF($DM473=0,"",IF($L$10=0,"",IFERROR(IF(ISNUMBER(INDEX(PASTE_ALL,$DF473,$L$10)),INDEX(PASTE_ALL,$DF473,$L$10),TRIM(SUBSTITUTE(SUBSTITUTE(SUBSTITUTE(SUBSTITUTE(INDEX(PASTE_ALL,$DF473,$L$10)," "," "),CHAR(9)," "),CHAR(10)," "),CHAR(13)," "))),"")))</f>
        <v/>
      </c>
      <c r="DS473">
        <f>IF($DM473=0,"",IF($L$11=0,"",IFERROR(IF(ISNUMBER(INDEX(PASTE_ALL,$DF473,$L$11)),INDEX(PASTE_ALL,$DF473,$L$11),TRIM(SUBSTITUTE(SUBSTITUTE(SUBSTITUTE(SUBSTITUTE(INDEX(PASTE_ALL,$DF473,$L$11)," "," "),CHAR(9)," "),CHAR(10)," "),CHAR(13)," "))),"")))</f>
        <v/>
      </c>
      <c r="DT473">
        <f>IF($DM473=0,"",IF($L$12=0,"",IFERROR(IF(ISNUMBER(INDEX(PASTE_ALL,$DF473,$L$12)),INDEX(PASTE_ALL,$DF473,$L$12),TRIM(SUBSTITUTE(SUBSTITUTE(SUBSTITUTE(SUBSTITUTE(INDEX(PASTE_ALL,$DF473,$L$12)," "," "),CHAR(9)," "),CHAR(10)," "),CHAR(13)," "))),"")))</f>
        <v/>
      </c>
      <c r="DU473">
        <f>IF($DM473=0,"",IF($L$13=0,"",IFERROR(IF(ISNUMBER(INDEX(PASTE_ALL,$DF473,$L$13)),INDEX(PASTE_ALL,$DF473,$L$13),TRIM(SUBSTITUTE(SUBSTITUTE(SUBSTITUTE(SUBSTITUTE(INDEX(PASTE_ALL,$DF473,$L$13)," "," "),CHAR(9)," "),CHAR(10)," "),CHAR(13)," "))),"")))</f>
        <v/>
      </c>
      <c r="DV473">
        <f>IF($DM473=0,"",IF($L$14=0,"",IFERROR(IF(ISNUMBER(INDEX(PASTE_ALL,$DF473,$L$14)),INDEX(PASTE_ALL,$DF473,$L$14),TRIM(SUBSTITUTE(SUBSTITUTE(SUBSTITUTE(SUBSTITUTE(INDEX(PASTE_ALL,$DF473,$L$14)," "," "),CHAR(9)," "),CHAR(10)," "),CHAR(13)," "))),"")))</f>
        <v/>
      </c>
      <c r="DW473">
        <f>IF($DM473=0,"",IF($L$15=0,"",IFERROR(IF(ISNUMBER(INDEX(PASTE_ALL,$DF473,$L$15)),INDEX(PASTE_ALL,$DF473,$L$15),IF(SUMPRODUCT(--ISNUMBER(FIND({"A","B","C","D","E","F","G","H","I","J","K","L","M","N","O","P","Q","R","S","T","U","V","W","X","Y","Z","0","1","2","3","4","5","6","7","8","9"},UPPER(TRIM(SUBSTITUTE(SUBSTITUTE(SUBSTITUTE(SUBSTITUTE(INDEX(PASTE_ALL,$DF473,$L$15)," "," "),CHAR(9)," "),CHAR(10)," "),CHAR(13)," "))))))&gt;0,TRIM(SUBSTITUTE(SUBSTITUTE(SUBSTITUTE(SUBSTITUTE(INDEX(PASTE_ALL,$DF473,$L$15)," "," "),CHAR(9)," "),CHAR(10)," "),CHAR(13)," ")),"")),"")))</f>
        <v/>
      </c>
      <c r="DX473">
        <f>IF($DM473=0,"",IF($L$16=0,"",IFERROR(IF(ISNUMBER(INDEX(PASTE_ALL,$DF473,$L$16)),INDEX(PASTE_ALL,$DF473,$L$16),SUBSTITUTE(SUBSTITUTE(TRIM(SUBSTITUTE(SUBSTITUTE(SUBSTITUTE(SUBSTITUTE(INDEX(PASTE_ALL,$DF473,$L$16)," "," "),CHAR(9)," "),CHAR(10)," "),CHAR(13)," ")),",",""),"%","")),"")))</f>
        <v/>
      </c>
      <c r="DY473">
        <f>IF($DM473=0,"",IFERROR(IF(ISNUMBER($DX473),$DX473,IF($DX473="","",IF(TRIM($DX473)="",0,IF(AND(AND(SUBSTITUTE(SUBSTITUTE(SUBSTITUTE(SUBSTITUTE(SUBSTITUTE(SUBSTITUTE(SUBSTITUTE(SUBSTITUTE(SUBSTITUTE(SUBSTITUTE(SUBSTITUTE(SUBSTITUTE(SUBSTITUTE(SUBSTITUTE(UPPER(TRIM($DX473)),"0",""),"1",""),"2",""),"3",""),"4",""),"5",""),"6",""),"7",""),"8",""),"9",""),".",""),"+",""),"-",""),"E","")="",LEN(SUBSTITUTE(SUBSTITUTE(MID(UPPER(TRIM($DX473)),1+OR(LEFT(UPPER(TRIM($DX473)),1)="+",LEFT(UPPER(TRIM($DX473)),1)="-"),999),"E+","E"),"E-","E"))=LEN(SUBSTITUTE(SUBSTITUTE(SUBSTITUTE(SUBSTITUTE(MID(UPPER(TRIM($DX473)),1+OR(LEFT(UPPER(TRIM($DX473)),1)="+",LEFT(UPPER(TRIM($DX473)),1)="-"),999),"E+","E"),"E-","E"),"+",""),"-","")),LEN(UPPER(TRIM($DX473)))-LEN(SUBSTITUTE(UPPER(TRIM($DX473)),"E",""))&lt;2,LEN(UPPER(TRIM($DX473)))-LEN(SUBSTITUTE(UPPER(TRIM($DX473)),".",""))&lt;2,IFERROR(FIND(".",UPPER(TRIM($DX473))),0)&lt;IFERROR(FIND("E",UPPER(TRIM($DX473))),999)),ISNUMBER(VALUE(TRIM($DX473)))),VALUE(TRIM($DX473)),"")))),""))</f>
        <v/>
      </c>
      <c r="DZ473">
        <f>IF($DM473=0,"",IF($L$17=0,"",IFERROR(IF(ISNUMBER(INDEX(PASTE_ALL,$DF473,$L$17)),INDEX(PASTE_ALL,$DF473,$L$17),SUBSTITUTE(SUBSTITUTE(TRIM(SUBSTITUTE(SUBSTITUTE(SUBSTITUTE(SUBSTITUTE(INDEX(PASTE_ALL,$DF473,$L$17)," "," "),CHAR(9)," "),CHAR(10)," "),CHAR(13)," ")),",",""),"%","")),"")))</f>
        <v/>
      </c>
      <c r="EA473">
        <f>IF($DM473=0,"",IFERROR(IF(ISNUMBER($DZ473),$DZ473,IF($DZ473="","",IF(TRIM($DZ473)="",0,IF(AND(AND(SUBSTITUTE(SUBSTITUTE(SUBSTITUTE(SUBSTITUTE(SUBSTITUTE(SUBSTITUTE(SUBSTITUTE(SUBSTITUTE(SUBSTITUTE(SUBSTITUTE(SUBSTITUTE(SUBSTITUTE(SUBSTITUTE(SUBSTITUTE(UPPER(TRIM($DZ473)),"0",""),"1",""),"2",""),"3",""),"4",""),"5",""),"6",""),"7",""),"8",""),"9",""),".",""),"+",""),"-",""),"E","")="",LEN(SUBSTITUTE(SUBSTITUTE(MID(UPPER(TRIM($DZ473)),1+OR(LEFT(UPPER(TRIM($DZ473)),1)="+",LEFT(UPPER(TRIM($DZ473)),1)="-"),999),"E+","E"),"E-","E"))=LEN(SUBSTITUTE(SUBSTITUTE(SUBSTITUTE(SUBSTITUTE(MID(UPPER(TRIM($DZ473)),1+OR(LEFT(UPPER(TRIM($DZ473)),1)="+",LEFT(UPPER(TRIM($DZ473)),1)="-"),999),"E+","E"),"E-","E"),"+",""),"-","")),LEN(UPPER(TRIM($DZ473)))-LEN(SUBSTITUTE(UPPER(TRIM($DZ473)),"E",""))&lt;2,LEN(UPPER(TRIM($DZ473)))-LEN(SUBSTITUTE(UPPER(TRIM($DZ473)),".",""))&lt;2,IFERROR(FIND(".",UPPER(TRIM($DZ473))),0)&lt;IFERROR(FIND("E",UPPER(TRIM($DZ473))),999)),ISNUMBER(VALUE(TRIM($DZ473)))),VALUE(TRIM($DZ473)),"")))),""))</f>
        <v/>
      </c>
      <c r="EB473">
        <f>IF($DM473=0,"",IF($L$18=0,"",IFERROR(IF(UPPER(TRIM(SUBSTITUTE(SUBSTITUTE(SUBSTITUTE(SUBSTITUTE(INDEX(PASTE_ALL,$DF473,$L$18)," "," "),CHAR(9)," "),CHAR(10)," "),CHAR(13)," ")))="READY","Ready",IF(UPPER(TRIM(SUBSTITUTE(SUBSTITUTE(SUBSTITUTE(SUBSTITUTE(INDEX(PASTE_ALL,$DF473,$L$18)," "," "),CHAR(9)," "),CHAR(10)," "),CHAR(13)," ")))="PM","PM",IF(OR(UPPER(TRIM(SUBSTITUTE(SUBSTITUTE(SUBSTITUTE(SUBSTITUTE(INDEX(PASTE_ALL,$DF473,$L$18)," "," "),CHAR(9)," "),CHAR(10)," "),CHAR(13)," ")))="OT",UPPER(TRIM(SUBSTITUTE(SUBSTITUTE(SUBSTITUTE(SUBSTITUTE(INDEX(PASTE_ALL,$DF473,$L$18)," "," "),CHAR(9)," "),CHAR(10)," "),CHAR(13)," ")))="OVERTIME",UPPER(TRIM(SUBSTITUTE(SUBSTITUTE(SUBSTITUTE(SUBSTITUTE(INDEX(PASTE_ALL,$DF473,$L$18)," "," "),CHAR(9)," "),CHAR(10)," "),CHAR(13)," ")))="TRIAL"),"OT",TRIM(SUBSTITUTE(SUBSTITUTE(SUBSTITUTE(SUBSTITUTE(INDEX(PASTE_ALL,$DF473,$L$18)," "," "),CHAR(9)," "),CHAR(10)," "),CHAR(13)," "))))),"")))</f>
        <v/>
      </c>
      <c r="EC473">
        <f>IF($DM473=0,"",IF($L$19=0,"",IFERROR(IF(ISNUMBER(INDEX(PASTE_ALL,$DF473,$L$19)),INDEX(PASTE_ALL,$DF473,$L$19),TRIM(SUBSTITUTE(SUBSTITUTE(SUBSTITUTE(SUBSTITUTE(INDEX(PASTE_ALL,$DF473,$L$19)," "," "),CHAR(9)," "),CHAR(10)," "),CHAR(13)," "))),"")))</f>
        <v/>
      </c>
      <c r="ED473">
        <f>IF($DM473=0,"",MATCH(1,INDEX(EXACT($DH$5:DH473,$DH473)*$DM$5:DM473,0),0))</f>
        <v/>
      </c>
      <c r="EE473">
        <f>IF($DM473=0,0,IF($ED473=$DE473,1,0))</f>
        <v/>
      </c>
      <c r="EF473">
        <f>EF472+$EE473</f>
        <v/>
      </c>
      <c r="EG473">
        <f>IF($DM473=0,"",INDEX($EF$5:$EF$1003,$ED473))</f>
        <v/>
      </c>
      <c r="EH473">
        <f>IF($DM473=0,"",IF($DO473&lt;&gt;"","",IFERROR(LOOKUP(2,1/(($EG$4:EG472=$EG473)*($DO$4:DO472&lt;&gt;"")),$DO$4:DO472),"")))</f>
        <v/>
      </c>
      <c r="EI473">
        <f>IF($DM473=0,"",IF($DO473&lt;&gt;"",$DO473,$EH473))</f>
        <v/>
      </c>
      <c r="EJ473">
        <f>IF($DM473=0,"",IF($EI473="",0,IF(OR(ISNUMBER($EI473),AND(AND(SUBSTITUTE(SUBSTITUTE(SUBSTITUTE(SUBSTITUTE(SUBSTITUTE(SUBSTITUTE(SUBSTITUTE(SUBSTITUTE(SUBSTITUTE(SUBSTITUTE(SUBSTITUTE(SUBSTITUTE(SUBSTITUTE(SUBSTITUTE(UPPER($EI473),"0",""),"1",""),"2",""),"3",""),"4",""),"5",""),"6",""),"7",""),"8",""),"9",""),".",""),"+",""),"-",""),"E","")="",LEN(SUBSTITUTE(SUBSTITUTE(MID(UPPER($EI473),1+OR(LEFT(UPPER($EI473),1)="+",LEFT(UPPER($EI473),1)="-"),999),"E+","E"),"E-","E"))=LEN(SUBSTITUTE(SUBSTITUTE(SUBSTITUTE(SUBSTITUTE(MID(UPPER($EI473),1+OR(LEFT(UPPER($EI473),1)="+",LEFT(UPPER($EI473),1)="-"),999),"E+","E"),"E-","E"),"+",""),"-","")),LEN(UPPER($EI473))-LEN(SUBSTITUTE(UPPER($EI473),"E",""))&lt;2,LEN(UPPER($EI473))-LEN(SUBSTITUTE(UPPER($EI473),".",""))&lt;2,IFERROR(FIND(".",UPPER($EI473)),0)&lt;IFERROR(FIND("E",UPPER($EI473)),999)),ISNUMBER(VALUE($EI473)))),1,2)))</f>
        <v/>
      </c>
      <c r="EK473">
        <f>IF($DM473=0,"",IF($EJ473=1,IF(ISNUMBER($EI473),$EI473,VALUE($EI473)),IF($EJ473=2,$DE473,0)))</f>
        <v/>
      </c>
      <c r="EL473">
        <f>IF($DM473=0,"",COUNTIF($EG$5:$EG$1003,"&lt;"&amp;$EG473)+SUMPRODUCT(($EG$5:$EG$1003=$EG473)*(($EJ$5:$EJ$1003&lt;$EJ473)+($EJ$5:$EJ$1003=$EJ473)*(($EK$5:$EK$1003&lt;$EK473)+($EK$5:$EK$1003=$EK473)*($DE$5:$DE$1003&lt;$DE473))))+1)</f>
        <v/>
      </c>
      <c r="EM473">
        <f>IF($DM473=0,"",$EL473+$EG473-1)</f>
        <v/>
      </c>
      <c r="EN473">
        <f>IF($DM473=0,0,IFERROR(MATCH(1,INDEX(--(TRIM(SUBSTITUTE(SUBSTITUTE(SUBSTITUTE(SUBSTITUTE(LINES_NAME&amp;""," "," "),CHAR(9)," "),CHAR(10)," "),CHAR(13)," "))=$DH473),0),0),0))</f>
        <v/>
      </c>
      <c r="EO473">
        <f>IF($EN473=0,0,IF(OR(UPPER(TRIM(INDEX(LINES_SCHEDULED,$EN473)&amp;""))="YES",UPPER(TRIM(INDEX(LINES_SCHEDULED,$EN473)&amp;""))="Y",UPPER(TRIM(INDEX(LINES_SCHEDULED,$EN473)&amp;""))="X"),1,0))</f>
        <v/>
      </c>
      <c r="EP473">
        <f>IF($DM473=0,"",IF(COUNTIFS($EG$5:$EG$1003,$EG473,$EB$5:$EB$1003,"Ready")&gt;0,"READY",IF(COUNTIFS($EG$5:$EG$1003,$EG473,$EB$5:$EB$1003,"PM")&gt;0,"PM",IF(COUNTIFS($EG$5:$EG$1003,$EG473,$EB$5:$EB$1003,"OT")&gt;0,"OT",""))))</f>
        <v/>
      </c>
      <c r="EQ473">
        <f>IF($EN473=0,"",UPPER(TRIM(INDEX(LINES_STATUS,$EN473)&amp;"")))</f>
        <v/>
      </c>
      <c r="ER473">
        <f>IF($DM473=0,"",IF(OR($EQ473="READY",$EQ473="PM",$EQ473="OT"),$EQ473,$EP473))</f>
        <v/>
      </c>
      <c r="ES473">
        <f>IF($DM473=0,"",IF(AND($DV473&lt;&gt;"",UPPER($DV473)&lt;&gt;"N"),"allergen",IF(ISNUMBER(SEARCH("oil",$DQ473)),"oil",IF(OR(EXACT($DS473,"A662"),EXACT($DS473,"A624")),"bulk",""))))</f>
        <v/>
      </c>
      <c r="ET473">
        <f>IF($DM473=0,"",IF(OR($EA473="",$EA473=0),"",$EA473/100))</f>
        <v/>
      </c>
      <c r="EU473">
        <f>IF(OR($ET473="",$DY473=""),"",INT($DY473*(1-$ET473)+0.5))</f>
        <v/>
      </c>
      <c r="EW473" t="n">
        <v>469</v>
      </c>
      <c r="EX473">
        <f>IFERROR(MATCH($EW473,$EM$5:$EM$1003,0),0)</f>
        <v/>
      </c>
      <c r="EY473">
        <f>IF($EW473&gt;$B$12,"",IF($EX473&gt;0,"row","spacer"))</f>
        <v/>
      </c>
      <c r="EZ473">
        <f>IF(AND($EY473="row",$EY472&lt;&gt;"row"),1,0)</f>
        <v/>
      </c>
      <c r="FA473">
        <f>IF(AND($EY473="row",$EY474&lt;&gt;"row"),1,0)</f>
        <v/>
      </c>
      <c r="FB473">
        <f>IF($EZ473=1,IFERROR(IF(ISNUMBER(INDEX(PASTE_ALL,INDEX($DF$5:$DF$1003,$EX473),$B$37)),INDEX(PASTE_ALL,INDEX($DF$5:$DF$1003,$EX473),$B$37),INDEX($DH$5:$DH$1003,$EX473)),INDEX($DH$5:$DH$1003,$EX473)),"")</f>
        <v/>
      </c>
      <c r="FC473">
        <f>IF($EY473="row",INDEX($ER$5:$ER$1003,$EX473),"")</f>
        <v/>
      </c>
      <c r="FD473">
        <f>IF($EY473="row",INDEX($DN$5:$DN$1003,$EX473),"")</f>
        <v/>
      </c>
      <c r="FE473">
        <f>IF($EY473="row",INDEX($DO$5:$DO$1003,$EX473),"")</f>
        <v/>
      </c>
      <c r="FF473">
        <f>IF($EY473="row",INDEX($DP$5:$DP$1003,$EX473),"")</f>
        <v/>
      </c>
      <c r="FG473">
        <f>IF($EY473="row",INDEX($DQ$5:$DQ$1003,$EX473),"")</f>
        <v/>
      </c>
      <c r="FH473">
        <f>IF($EY473="row",INDEX($DR$5:$DR$1003,$EX473),"")</f>
        <v/>
      </c>
      <c r="FI473">
        <f>IF($EY473="row",INDEX($DS$5:$DS$1003,$EX473),"")</f>
        <v/>
      </c>
      <c r="FJ473">
        <f>IF($EY473="row",INDEX($DT$5:$DT$1003,$EX473),"")</f>
        <v/>
      </c>
      <c r="FK473">
        <f>IF($EY473="row",INDEX($DU$5:$DU$1003,$EX473),"")</f>
        <v/>
      </c>
      <c r="FL473">
        <f>IF($EY473="row",INDEX($DV$5:$DV$1003,$EX473),"")</f>
        <v/>
      </c>
      <c r="FM473">
        <f>IF($EY473="row",INDEX($DW$5:$DW$1003,$EX473),"")</f>
        <v/>
      </c>
      <c r="FN473">
        <f>IF($EY473="row",INDEX($DY$5:$DY$1003,$EX473),"")</f>
        <v/>
      </c>
      <c r="FO473">
        <f>IF($EY473="row",INDEX($EA$5:$EA$1003,$EX473),"")</f>
        <v/>
      </c>
      <c r="FP473">
        <f>IF($EY473="row",INDEX($EC$5:$EC$1003,$EX473),"")</f>
        <v/>
      </c>
      <c r="FQ473">
        <f>IF($EY473="row",INDEX($ET$5:$ET$1003,$EX473),"")</f>
        <v/>
      </c>
      <c r="FR473">
        <f>IF($EY473="row",INDEX($EU$5:$EU$1003,$EX473),"")</f>
        <v/>
      </c>
      <c r="FS473">
        <f>IF(AND($EY473="row",$EY472="row"),IF(OR(INDEX($DT$5:$DT$1003,$EX472)="",INDEX($DT$5:$DT$1003,$EX473)=""),"",IF(NOT(EXACT(INDEX($DT$5:$DT$1003,$EX472),INDEX($DT$5:$DT$1003,$EX473))),"S4",IF(NOT(EXACT(INDEX($DS$5:$DS$1003,$EX472),INDEX($DS$5:$DS$1003,$EX473))),"S3",IF(NOT(EXACT(INDEX($DR$5:$DR$1003,$EX472),INDEX($DR$5:$DR$1003,$EX473))),"S1 Count Change","S1")))),"")</f>
        <v/>
      </c>
      <c r="FT473">
        <f>IF($EY473="row",INDEX($ES$5:$ES$1003,$EX473),"")</f>
        <v/>
      </c>
      <c r="FU473">
        <f>IF($EY473="row",INDEX($EO$5:$EO$1003,$EX473),0)</f>
        <v/>
      </c>
      <c r="FV473">
        <f>IF($FS473="S1 Count Change",1,0)</f>
        <v/>
      </c>
    </row>
    <row r="474">
      <c r="DA474" t="n">
        <v>470</v>
      </c>
      <c r="DB474">
        <f>IF($B$37=0,"",IFERROR(TRIM(SUBSTITUTE(SUBSTITUTE(SUBSTITUTE(SUBSTITUTE(INDEX(PASTE_ALL,470,$B$37)," "," "),CHAR(9)," "),CHAR(10)," "),CHAR(13)," ")),""))</f>
        <v/>
      </c>
      <c r="DC474">
        <f>IF(AND(470&gt;HEADER_ROW,UPPER(DB474)="LEGEND"),1,0)</f>
        <v/>
      </c>
      <c r="DE474" t="n">
        <v>470</v>
      </c>
      <c r="DF474">
        <f>HEADER_ROW+$DE474</f>
        <v/>
      </c>
      <c r="DG474">
        <f>IF(AND($DF474&lt;=1000,$DF474&lt;$B$8),1,0)</f>
        <v/>
      </c>
      <c r="DH474">
        <f>IF($DG474=1,IFERROR(INDEX($DB$5:$DB$1004,$DF474),""),"")</f>
        <v/>
      </c>
      <c r="DI474">
        <f>IF(AND($DG474=1,$DH474&lt;&gt;""),IFERROR(SUBSTITUTE(SUBSTITUTE(TRIM(SUBSTITUTE(SUBSTITUTE(SUBSTITUTE(SUBSTITUTE(IFERROR(INDEX(PASTE_ALL,$DF474,1)&amp;"","")&amp;"␟"&amp;IFERROR(INDEX(PASTE_ALL,$DF474,2)&amp;"","")&amp;"␟"&amp;IFERROR(INDEX(PASTE_ALL,$DF474,3)&amp;"","")&amp;"␟"&amp;IFERROR(INDEX(PASTE_ALL,$DF474,4)&amp;"","")&amp;"␟"&amp;IFERROR(INDEX(PASTE_ALL,$DF474,5)&amp;"","")&amp;"␟"&amp;IFERROR(INDEX(PASTE_ALL,$DF474,6)&amp;"","")&amp;"␟"&amp;IFERROR(INDEX(PASTE_ALL,$DF474,7)&amp;"","")&amp;"␟"&amp;IFERROR(INDEX(PASTE_ALL,$DF474,8)&amp;"","")&amp;"␟"&amp;IFERROR(INDEX(PASTE_ALL,$DF474,9)&amp;"","")&amp;"␟"&amp;IFERROR(INDEX(PASTE_ALL,$DF474,10)&amp;"","")&amp;"␟"&amp;IFERROR(INDEX(PASTE_ALL,$DF474,11)&amp;"","")&amp;"␟"&amp;IFERROR(INDEX(PASTE_ALL,$DF474,12)&amp;"","")&amp;"␟"&amp;IFERROR(INDEX(PASTE_ALL,$DF474,13)&amp;"","")&amp;"␟"&amp;IFERROR(INDEX(PASTE_ALL,$DF474,14)&amp;"","")&amp;"␟"&amp;IFERROR(INDEX(PASTE_ALL,$DF474,15)&amp;"","")&amp;"␟"&amp;IFERROR(INDEX(PASTE_ALL,$DF474,16)&amp;"","")&amp;"␟"&amp;IFERROR(INDEX(PASTE_ALL,$DF474,17)&amp;"","")&amp;"␟"&amp;IFERROR(INDEX(PASTE_ALL,$DF474,18)&amp;"","")&amp;"␟"&amp;IFERROR(INDEX(PASTE_ALL,$DF474,19)&amp;"","")&amp;"␟"&amp;IFERROR(INDEX(PASTE_ALL,$DF474,20)&amp;"","")&amp;"␟"&amp;IFERROR(INDEX(PASTE_ALL,$DF474,21)&amp;"","")&amp;"␟"&amp;IFERROR(INDEX(PASTE_ALL,$DF474,22)&amp;"","")&amp;"␟"&amp;IFERROR(INDEX(PASTE_ALL,$DF474,23)&amp;"","")&amp;"␟"&amp;IFERROR(INDEX(PASTE_ALL,$DF474,24)&amp;"","")&amp;"␟"&amp;IFERROR(INDEX(PASTE_ALL,$DF474,25)&amp;"","")&amp;"␟"&amp;IFERROR(INDEX(PASTE_ALL,$DF474,26)&amp;"","")&amp;"␟"&amp;IFERROR(INDEX(PASTE_ALL,$DF474,27)&amp;"","")&amp;"␟"&amp;IFERROR(INDEX(PASTE_ALL,$DF474,28)&amp;"","")&amp;"␟"&amp;IFERROR(INDEX(PASTE_ALL,$DF474,29)&amp;"","")&amp;"␟"&amp;IFERROR(INDEX(PASTE_ALL,$DF474,30)&amp;"","")&amp;"␟"&amp;IFERROR(INDEX(PASTE_ALL,$DF474,31)&amp;"","")&amp;"␟"&amp;IFERROR(INDEX(PASTE_ALL,$DF474,32)&amp;"","")&amp;"␟"&amp;IFERROR(INDEX(PASTE_ALL,$DF474,33)&amp;"","")&amp;"␟"&amp;IFERROR(INDEX(PASTE_ALL,$DF474,34)&amp;"","")&amp;"␟"&amp;IFERROR(INDEX(PASTE_ALL,$DF474,35)&amp;"","")&amp;"␟"&amp;IFERROR(INDEX(PASTE_ALL,$DF474,36)&amp;"","")&amp;"␟"&amp;IFERROR(INDEX(PASTE_ALL,$DF474,37)&amp;"","")&amp;"␟"&amp;IFERROR(INDEX(PASTE_ALL,$DF474,38)&amp;"","")&amp;"␟"&amp;IFERROR(INDEX(PASTE_ALL,$DF474,39)&amp;"","")&amp;"␟"&amp;IFERROR(INDEX(PASTE_ALL,$DF474,40)&amp;"","")&amp;"␟"&amp;IFERROR(INDEX(PASTE_ALL,$DF474,41)&amp;"","")&amp;"␟"&amp;IFERROR(INDEX(PASTE_ALL,$DF474,42)&amp;"","")&amp;"␟"&amp;IFERROR(INDEX(PASTE_ALL,$DF474,43)&amp;"","")&amp;"␟"&amp;IFERROR(INDEX(PASTE_ALL,$DF474,44)&amp;"","")&amp;"␟"&amp;IFERROR(INDEX(PASTE_ALL,$DF474,45)&amp;"","")&amp;"␟"&amp;IFERROR(INDEX(PASTE_ALL,$DF474,46)&amp;"","")&amp;"␟"&amp;IFERROR(INDEX(PASTE_ALL,$DF474,47)&amp;"","")&amp;"␟"&amp;IFERROR(INDEX(PASTE_ALL,$DF474,48)&amp;"","")&amp;"␟"&amp;IFERROR(INDEX(PASTE_ALL,$DF474,49)&amp;"","")&amp;"␟"&amp;IFERROR(INDEX(PASTE_ALL,$DF474,50)&amp;"","")&amp;"␟"&amp;IFERROR(INDEX(PASTE_ALL,$DF474,51)&amp;"","")&amp;"␟"&amp;IFERROR(INDEX(PASTE_ALL,$DF474,52)&amp;"","")&amp;"␟"&amp;IFERROR(INDEX(PASTE_ALL,$DF474,53)&amp;"","")&amp;"␟"&amp;IFERROR(INDEX(PASTE_ALL,$DF474,54)&amp;"","")&amp;"␟"&amp;IFERROR(INDEX(PASTE_ALL,$DF474,55)&amp;"","")&amp;"␟"&amp;IFERROR(INDEX(PASTE_ALL,$DF474,56)&amp;"","")&amp;"␟"&amp;IFERROR(INDEX(PASTE_ALL,$DF474,57)&amp;"","")&amp;"␟"&amp;IFERROR(INDEX(PASTE_ALL,$DF474,58)&amp;"","")&amp;"␟"&amp;IFERROR(INDEX(PASTE_ALL,$DF474,59)&amp;"","")&amp;"␟"&amp;IFERROR(INDEX(PASTE_ALL,$DF474,60)&amp;"","")," "," "),CHAR(9)," "),CHAR(10)," "),CHAR(13)," "))," ␟","␟"),"␟ ","␟"),"#"&amp;$DE474),"")</f>
        <v/>
      </c>
      <c r="DJ474">
        <f>IF($DI474="",0,IF(SUMPRODUCT(--EXACT($DI$4:DI473,$DI474))&gt;0,1,0))</f>
        <v/>
      </c>
      <c r="DK474">
        <f>IF(AND($DI474&lt;&gt;"",$DJ474=0),1,0)</f>
        <v/>
      </c>
      <c r="DL474">
        <f>DL473+$DK474</f>
        <v/>
      </c>
      <c r="DM474">
        <f>IF(AND($DK474=1,$DL474&lt;=600),1,0)</f>
        <v/>
      </c>
      <c r="DN474">
        <f>IF($DM474=0,"",IF($L$6=0,"",IFERROR(IF(ISNUMBER(INDEX(PASTE_ALL,$DF474,$L$6)),INDEX(PASTE_ALL,$DF474,$L$6),TRIM(SUBSTITUTE(SUBSTITUTE(SUBSTITUTE(SUBSTITUTE(INDEX(PASTE_ALL,$DF474,$L$6)," "," "),CHAR(9)," "),CHAR(10)," "),CHAR(13)," "))),"")))</f>
        <v/>
      </c>
      <c r="DO474">
        <f>IF($DM474=0,"",IF($L$7=0,"",IFERROR(IF(ISNUMBER(INDEX(PASTE_ALL,$DF474,$L$7)),INDEX(PASTE_ALL,$DF474,$L$7),TRIM(SUBSTITUTE(SUBSTITUTE(SUBSTITUTE(SUBSTITUTE(INDEX(PASTE_ALL,$DF474,$L$7)," "," "),CHAR(9)," "),CHAR(10)," "),CHAR(13)," "))),"")))</f>
        <v/>
      </c>
      <c r="DP474">
        <f>IF($DM474=0,"",IF($L$8=0,"",IFERROR(IF(ISNUMBER(INDEX(PASTE_ALL,$DF474,$L$8)),INDEX(PASTE_ALL,$DF474,$L$8),TRIM(SUBSTITUTE(SUBSTITUTE(SUBSTITUTE(SUBSTITUTE(INDEX(PASTE_ALL,$DF474,$L$8)," "," "),CHAR(9)," "),CHAR(10)," "),CHAR(13)," "))),"")))</f>
        <v/>
      </c>
      <c r="DQ474">
        <f>IF($DM474=0,"",IF($L$9=0,"",IFERROR(IF(ISNUMBER(INDEX(PASTE_ALL,$DF474,$L$9)),INDEX(PASTE_ALL,$DF474,$L$9),TRIM(SUBSTITUTE(SUBSTITUTE(SUBSTITUTE(SUBSTITUTE(INDEX(PASTE_ALL,$DF474,$L$9)," "," "),CHAR(9)," "),CHAR(10)," "),CHAR(13)," "))),"")))</f>
        <v/>
      </c>
      <c r="DR474">
        <f>IF($DM474=0,"",IF($L$10=0,"",IFERROR(IF(ISNUMBER(INDEX(PASTE_ALL,$DF474,$L$10)),INDEX(PASTE_ALL,$DF474,$L$10),TRIM(SUBSTITUTE(SUBSTITUTE(SUBSTITUTE(SUBSTITUTE(INDEX(PASTE_ALL,$DF474,$L$10)," "," "),CHAR(9)," "),CHAR(10)," "),CHAR(13)," "))),"")))</f>
        <v/>
      </c>
      <c r="DS474">
        <f>IF($DM474=0,"",IF($L$11=0,"",IFERROR(IF(ISNUMBER(INDEX(PASTE_ALL,$DF474,$L$11)),INDEX(PASTE_ALL,$DF474,$L$11),TRIM(SUBSTITUTE(SUBSTITUTE(SUBSTITUTE(SUBSTITUTE(INDEX(PASTE_ALL,$DF474,$L$11)," "," "),CHAR(9)," "),CHAR(10)," "),CHAR(13)," "))),"")))</f>
        <v/>
      </c>
      <c r="DT474">
        <f>IF($DM474=0,"",IF($L$12=0,"",IFERROR(IF(ISNUMBER(INDEX(PASTE_ALL,$DF474,$L$12)),INDEX(PASTE_ALL,$DF474,$L$12),TRIM(SUBSTITUTE(SUBSTITUTE(SUBSTITUTE(SUBSTITUTE(INDEX(PASTE_ALL,$DF474,$L$12)," "," "),CHAR(9)," "),CHAR(10)," "),CHAR(13)," "))),"")))</f>
        <v/>
      </c>
      <c r="DU474">
        <f>IF($DM474=0,"",IF($L$13=0,"",IFERROR(IF(ISNUMBER(INDEX(PASTE_ALL,$DF474,$L$13)),INDEX(PASTE_ALL,$DF474,$L$13),TRIM(SUBSTITUTE(SUBSTITUTE(SUBSTITUTE(SUBSTITUTE(INDEX(PASTE_ALL,$DF474,$L$13)," "," "),CHAR(9)," "),CHAR(10)," "),CHAR(13)," "))),"")))</f>
        <v/>
      </c>
      <c r="DV474">
        <f>IF($DM474=0,"",IF($L$14=0,"",IFERROR(IF(ISNUMBER(INDEX(PASTE_ALL,$DF474,$L$14)),INDEX(PASTE_ALL,$DF474,$L$14),TRIM(SUBSTITUTE(SUBSTITUTE(SUBSTITUTE(SUBSTITUTE(INDEX(PASTE_ALL,$DF474,$L$14)," "," "),CHAR(9)," "),CHAR(10)," "),CHAR(13)," "))),"")))</f>
        <v/>
      </c>
      <c r="DW474">
        <f>IF($DM474=0,"",IF($L$15=0,"",IFERROR(IF(ISNUMBER(INDEX(PASTE_ALL,$DF474,$L$15)),INDEX(PASTE_ALL,$DF474,$L$15),IF(SUMPRODUCT(--ISNUMBER(FIND({"A","B","C","D","E","F","G","H","I","J","K","L","M","N","O","P","Q","R","S","T","U","V","W","X","Y","Z","0","1","2","3","4","5","6","7","8","9"},UPPER(TRIM(SUBSTITUTE(SUBSTITUTE(SUBSTITUTE(SUBSTITUTE(INDEX(PASTE_ALL,$DF474,$L$15)," "," "),CHAR(9)," "),CHAR(10)," "),CHAR(13)," "))))))&gt;0,TRIM(SUBSTITUTE(SUBSTITUTE(SUBSTITUTE(SUBSTITUTE(INDEX(PASTE_ALL,$DF474,$L$15)," "," "),CHAR(9)," "),CHAR(10)," "),CHAR(13)," ")),"")),"")))</f>
        <v/>
      </c>
      <c r="DX474">
        <f>IF($DM474=0,"",IF($L$16=0,"",IFERROR(IF(ISNUMBER(INDEX(PASTE_ALL,$DF474,$L$16)),INDEX(PASTE_ALL,$DF474,$L$16),SUBSTITUTE(SUBSTITUTE(TRIM(SUBSTITUTE(SUBSTITUTE(SUBSTITUTE(SUBSTITUTE(INDEX(PASTE_ALL,$DF474,$L$16)," "," "),CHAR(9)," "),CHAR(10)," "),CHAR(13)," ")),",",""),"%","")),"")))</f>
        <v/>
      </c>
      <c r="DY474">
        <f>IF($DM474=0,"",IFERROR(IF(ISNUMBER($DX474),$DX474,IF($DX474="","",IF(TRIM($DX474)="",0,IF(AND(AND(SUBSTITUTE(SUBSTITUTE(SUBSTITUTE(SUBSTITUTE(SUBSTITUTE(SUBSTITUTE(SUBSTITUTE(SUBSTITUTE(SUBSTITUTE(SUBSTITUTE(SUBSTITUTE(SUBSTITUTE(SUBSTITUTE(SUBSTITUTE(UPPER(TRIM($DX474)),"0",""),"1",""),"2",""),"3",""),"4",""),"5",""),"6",""),"7",""),"8",""),"9",""),".",""),"+",""),"-",""),"E","")="",LEN(SUBSTITUTE(SUBSTITUTE(MID(UPPER(TRIM($DX474)),1+OR(LEFT(UPPER(TRIM($DX474)),1)="+",LEFT(UPPER(TRIM($DX474)),1)="-"),999),"E+","E"),"E-","E"))=LEN(SUBSTITUTE(SUBSTITUTE(SUBSTITUTE(SUBSTITUTE(MID(UPPER(TRIM($DX474)),1+OR(LEFT(UPPER(TRIM($DX474)),1)="+",LEFT(UPPER(TRIM($DX474)),1)="-"),999),"E+","E"),"E-","E"),"+",""),"-","")),LEN(UPPER(TRIM($DX474)))-LEN(SUBSTITUTE(UPPER(TRIM($DX474)),"E",""))&lt;2,LEN(UPPER(TRIM($DX474)))-LEN(SUBSTITUTE(UPPER(TRIM($DX474)),".",""))&lt;2,IFERROR(FIND(".",UPPER(TRIM($DX474))),0)&lt;IFERROR(FIND("E",UPPER(TRIM($DX474))),999)),ISNUMBER(VALUE(TRIM($DX474)))),VALUE(TRIM($DX474)),"")))),""))</f>
        <v/>
      </c>
      <c r="DZ474">
        <f>IF($DM474=0,"",IF($L$17=0,"",IFERROR(IF(ISNUMBER(INDEX(PASTE_ALL,$DF474,$L$17)),INDEX(PASTE_ALL,$DF474,$L$17),SUBSTITUTE(SUBSTITUTE(TRIM(SUBSTITUTE(SUBSTITUTE(SUBSTITUTE(SUBSTITUTE(INDEX(PASTE_ALL,$DF474,$L$17)," "," "),CHAR(9)," "),CHAR(10)," "),CHAR(13)," ")),",",""),"%","")),"")))</f>
        <v/>
      </c>
      <c r="EA474">
        <f>IF($DM474=0,"",IFERROR(IF(ISNUMBER($DZ474),$DZ474,IF($DZ474="","",IF(TRIM($DZ474)="",0,IF(AND(AND(SUBSTITUTE(SUBSTITUTE(SUBSTITUTE(SUBSTITUTE(SUBSTITUTE(SUBSTITUTE(SUBSTITUTE(SUBSTITUTE(SUBSTITUTE(SUBSTITUTE(SUBSTITUTE(SUBSTITUTE(SUBSTITUTE(SUBSTITUTE(UPPER(TRIM($DZ474)),"0",""),"1",""),"2",""),"3",""),"4",""),"5",""),"6",""),"7",""),"8",""),"9",""),".",""),"+",""),"-",""),"E","")="",LEN(SUBSTITUTE(SUBSTITUTE(MID(UPPER(TRIM($DZ474)),1+OR(LEFT(UPPER(TRIM($DZ474)),1)="+",LEFT(UPPER(TRIM($DZ474)),1)="-"),999),"E+","E"),"E-","E"))=LEN(SUBSTITUTE(SUBSTITUTE(SUBSTITUTE(SUBSTITUTE(MID(UPPER(TRIM($DZ474)),1+OR(LEFT(UPPER(TRIM($DZ474)),1)="+",LEFT(UPPER(TRIM($DZ474)),1)="-"),999),"E+","E"),"E-","E"),"+",""),"-","")),LEN(UPPER(TRIM($DZ474)))-LEN(SUBSTITUTE(UPPER(TRIM($DZ474)),"E",""))&lt;2,LEN(UPPER(TRIM($DZ474)))-LEN(SUBSTITUTE(UPPER(TRIM($DZ474)),".",""))&lt;2,IFERROR(FIND(".",UPPER(TRIM($DZ474))),0)&lt;IFERROR(FIND("E",UPPER(TRIM($DZ474))),999)),ISNUMBER(VALUE(TRIM($DZ474)))),VALUE(TRIM($DZ474)),"")))),""))</f>
        <v/>
      </c>
      <c r="EB474">
        <f>IF($DM474=0,"",IF($L$18=0,"",IFERROR(IF(UPPER(TRIM(SUBSTITUTE(SUBSTITUTE(SUBSTITUTE(SUBSTITUTE(INDEX(PASTE_ALL,$DF474,$L$18)," "," "),CHAR(9)," "),CHAR(10)," "),CHAR(13)," ")))="READY","Ready",IF(UPPER(TRIM(SUBSTITUTE(SUBSTITUTE(SUBSTITUTE(SUBSTITUTE(INDEX(PASTE_ALL,$DF474,$L$18)," "," "),CHAR(9)," "),CHAR(10)," "),CHAR(13)," ")))="PM","PM",IF(OR(UPPER(TRIM(SUBSTITUTE(SUBSTITUTE(SUBSTITUTE(SUBSTITUTE(INDEX(PASTE_ALL,$DF474,$L$18)," "," "),CHAR(9)," "),CHAR(10)," "),CHAR(13)," ")))="OT",UPPER(TRIM(SUBSTITUTE(SUBSTITUTE(SUBSTITUTE(SUBSTITUTE(INDEX(PASTE_ALL,$DF474,$L$18)," "," "),CHAR(9)," "),CHAR(10)," "),CHAR(13)," ")))="OVERTIME",UPPER(TRIM(SUBSTITUTE(SUBSTITUTE(SUBSTITUTE(SUBSTITUTE(INDEX(PASTE_ALL,$DF474,$L$18)," "," "),CHAR(9)," "),CHAR(10)," "),CHAR(13)," ")))="TRIAL"),"OT",TRIM(SUBSTITUTE(SUBSTITUTE(SUBSTITUTE(SUBSTITUTE(INDEX(PASTE_ALL,$DF474,$L$18)," "," "),CHAR(9)," "),CHAR(10)," "),CHAR(13)," "))))),"")))</f>
        <v/>
      </c>
      <c r="EC474">
        <f>IF($DM474=0,"",IF($L$19=0,"",IFERROR(IF(ISNUMBER(INDEX(PASTE_ALL,$DF474,$L$19)),INDEX(PASTE_ALL,$DF474,$L$19),TRIM(SUBSTITUTE(SUBSTITUTE(SUBSTITUTE(SUBSTITUTE(INDEX(PASTE_ALL,$DF474,$L$19)," "," "),CHAR(9)," "),CHAR(10)," "),CHAR(13)," "))),"")))</f>
        <v/>
      </c>
      <c r="ED474">
        <f>IF($DM474=0,"",MATCH(1,INDEX(EXACT($DH$5:DH474,$DH474)*$DM$5:DM474,0),0))</f>
        <v/>
      </c>
      <c r="EE474">
        <f>IF($DM474=0,0,IF($ED474=$DE474,1,0))</f>
        <v/>
      </c>
      <c r="EF474">
        <f>EF473+$EE474</f>
        <v/>
      </c>
      <c r="EG474">
        <f>IF($DM474=0,"",INDEX($EF$5:$EF$1003,$ED474))</f>
        <v/>
      </c>
      <c r="EH474">
        <f>IF($DM474=0,"",IF($DO474&lt;&gt;"","",IFERROR(LOOKUP(2,1/(($EG$4:EG473=$EG474)*($DO$4:DO473&lt;&gt;"")),$DO$4:DO473),"")))</f>
        <v/>
      </c>
      <c r="EI474">
        <f>IF($DM474=0,"",IF($DO474&lt;&gt;"",$DO474,$EH474))</f>
        <v/>
      </c>
      <c r="EJ474">
        <f>IF($DM474=0,"",IF($EI474="",0,IF(OR(ISNUMBER($EI474),AND(AND(SUBSTITUTE(SUBSTITUTE(SUBSTITUTE(SUBSTITUTE(SUBSTITUTE(SUBSTITUTE(SUBSTITUTE(SUBSTITUTE(SUBSTITUTE(SUBSTITUTE(SUBSTITUTE(SUBSTITUTE(SUBSTITUTE(SUBSTITUTE(UPPER($EI474),"0",""),"1",""),"2",""),"3",""),"4",""),"5",""),"6",""),"7",""),"8",""),"9",""),".",""),"+",""),"-",""),"E","")="",LEN(SUBSTITUTE(SUBSTITUTE(MID(UPPER($EI474),1+OR(LEFT(UPPER($EI474),1)="+",LEFT(UPPER($EI474),1)="-"),999),"E+","E"),"E-","E"))=LEN(SUBSTITUTE(SUBSTITUTE(SUBSTITUTE(SUBSTITUTE(MID(UPPER($EI474),1+OR(LEFT(UPPER($EI474),1)="+",LEFT(UPPER($EI474),1)="-"),999),"E+","E"),"E-","E"),"+",""),"-","")),LEN(UPPER($EI474))-LEN(SUBSTITUTE(UPPER($EI474),"E",""))&lt;2,LEN(UPPER($EI474))-LEN(SUBSTITUTE(UPPER($EI474),".",""))&lt;2,IFERROR(FIND(".",UPPER($EI474)),0)&lt;IFERROR(FIND("E",UPPER($EI474)),999)),ISNUMBER(VALUE($EI474)))),1,2)))</f>
        <v/>
      </c>
      <c r="EK474">
        <f>IF($DM474=0,"",IF($EJ474=1,IF(ISNUMBER($EI474),$EI474,VALUE($EI474)),IF($EJ474=2,$DE474,0)))</f>
        <v/>
      </c>
      <c r="EL474">
        <f>IF($DM474=0,"",COUNTIF($EG$5:$EG$1003,"&lt;"&amp;$EG474)+SUMPRODUCT(($EG$5:$EG$1003=$EG474)*(($EJ$5:$EJ$1003&lt;$EJ474)+($EJ$5:$EJ$1003=$EJ474)*(($EK$5:$EK$1003&lt;$EK474)+($EK$5:$EK$1003=$EK474)*($DE$5:$DE$1003&lt;$DE474))))+1)</f>
        <v/>
      </c>
      <c r="EM474">
        <f>IF($DM474=0,"",$EL474+$EG474-1)</f>
        <v/>
      </c>
      <c r="EN474">
        <f>IF($DM474=0,0,IFERROR(MATCH(1,INDEX(--(TRIM(SUBSTITUTE(SUBSTITUTE(SUBSTITUTE(SUBSTITUTE(LINES_NAME&amp;""," "," "),CHAR(9)," "),CHAR(10)," "),CHAR(13)," "))=$DH474),0),0),0))</f>
        <v/>
      </c>
      <c r="EO474">
        <f>IF($EN474=0,0,IF(OR(UPPER(TRIM(INDEX(LINES_SCHEDULED,$EN474)&amp;""))="YES",UPPER(TRIM(INDEX(LINES_SCHEDULED,$EN474)&amp;""))="Y",UPPER(TRIM(INDEX(LINES_SCHEDULED,$EN474)&amp;""))="X"),1,0))</f>
        <v/>
      </c>
      <c r="EP474">
        <f>IF($DM474=0,"",IF(COUNTIFS($EG$5:$EG$1003,$EG474,$EB$5:$EB$1003,"Ready")&gt;0,"READY",IF(COUNTIFS($EG$5:$EG$1003,$EG474,$EB$5:$EB$1003,"PM")&gt;0,"PM",IF(COUNTIFS($EG$5:$EG$1003,$EG474,$EB$5:$EB$1003,"OT")&gt;0,"OT",""))))</f>
        <v/>
      </c>
      <c r="EQ474">
        <f>IF($EN474=0,"",UPPER(TRIM(INDEX(LINES_STATUS,$EN474)&amp;"")))</f>
        <v/>
      </c>
      <c r="ER474">
        <f>IF($DM474=0,"",IF(OR($EQ474="READY",$EQ474="PM",$EQ474="OT"),$EQ474,$EP474))</f>
        <v/>
      </c>
      <c r="ES474">
        <f>IF($DM474=0,"",IF(AND($DV474&lt;&gt;"",UPPER($DV474)&lt;&gt;"N"),"allergen",IF(ISNUMBER(SEARCH("oil",$DQ474)),"oil",IF(OR(EXACT($DS474,"A662"),EXACT($DS474,"A624")),"bulk",""))))</f>
        <v/>
      </c>
      <c r="ET474">
        <f>IF($DM474=0,"",IF(OR($EA474="",$EA474=0),"",$EA474/100))</f>
        <v/>
      </c>
      <c r="EU474">
        <f>IF(OR($ET474="",$DY474=""),"",INT($DY474*(1-$ET474)+0.5))</f>
        <v/>
      </c>
      <c r="EW474" t="n">
        <v>470</v>
      </c>
      <c r="EX474">
        <f>IFERROR(MATCH($EW474,$EM$5:$EM$1003,0),0)</f>
        <v/>
      </c>
      <c r="EY474">
        <f>IF($EW474&gt;$B$12,"",IF($EX474&gt;0,"row","spacer"))</f>
        <v/>
      </c>
      <c r="EZ474">
        <f>IF(AND($EY474="row",$EY473&lt;&gt;"row"),1,0)</f>
        <v/>
      </c>
      <c r="FA474">
        <f>IF(AND($EY474="row",$EY475&lt;&gt;"row"),1,0)</f>
        <v/>
      </c>
      <c r="FB474">
        <f>IF($EZ474=1,IFERROR(IF(ISNUMBER(INDEX(PASTE_ALL,INDEX($DF$5:$DF$1003,$EX474),$B$37)),INDEX(PASTE_ALL,INDEX($DF$5:$DF$1003,$EX474),$B$37),INDEX($DH$5:$DH$1003,$EX474)),INDEX($DH$5:$DH$1003,$EX474)),"")</f>
        <v/>
      </c>
      <c r="FC474">
        <f>IF($EY474="row",INDEX($ER$5:$ER$1003,$EX474),"")</f>
        <v/>
      </c>
      <c r="FD474">
        <f>IF($EY474="row",INDEX($DN$5:$DN$1003,$EX474),"")</f>
        <v/>
      </c>
      <c r="FE474">
        <f>IF($EY474="row",INDEX($DO$5:$DO$1003,$EX474),"")</f>
        <v/>
      </c>
      <c r="FF474">
        <f>IF($EY474="row",INDEX($DP$5:$DP$1003,$EX474),"")</f>
        <v/>
      </c>
      <c r="FG474">
        <f>IF($EY474="row",INDEX($DQ$5:$DQ$1003,$EX474),"")</f>
        <v/>
      </c>
      <c r="FH474">
        <f>IF($EY474="row",INDEX($DR$5:$DR$1003,$EX474),"")</f>
        <v/>
      </c>
      <c r="FI474">
        <f>IF($EY474="row",INDEX($DS$5:$DS$1003,$EX474),"")</f>
        <v/>
      </c>
      <c r="FJ474">
        <f>IF($EY474="row",INDEX($DT$5:$DT$1003,$EX474),"")</f>
        <v/>
      </c>
      <c r="FK474">
        <f>IF($EY474="row",INDEX($DU$5:$DU$1003,$EX474),"")</f>
        <v/>
      </c>
      <c r="FL474">
        <f>IF($EY474="row",INDEX($DV$5:$DV$1003,$EX474),"")</f>
        <v/>
      </c>
      <c r="FM474">
        <f>IF($EY474="row",INDEX($DW$5:$DW$1003,$EX474),"")</f>
        <v/>
      </c>
      <c r="FN474">
        <f>IF($EY474="row",INDEX($DY$5:$DY$1003,$EX474),"")</f>
        <v/>
      </c>
      <c r="FO474">
        <f>IF($EY474="row",INDEX($EA$5:$EA$1003,$EX474),"")</f>
        <v/>
      </c>
      <c r="FP474">
        <f>IF($EY474="row",INDEX($EC$5:$EC$1003,$EX474),"")</f>
        <v/>
      </c>
      <c r="FQ474">
        <f>IF($EY474="row",INDEX($ET$5:$ET$1003,$EX474),"")</f>
        <v/>
      </c>
      <c r="FR474">
        <f>IF($EY474="row",INDEX($EU$5:$EU$1003,$EX474),"")</f>
        <v/>
      </c>
      <c r="FS474">
        <f>IF(AND($EY474="row",$EY473="row"),IF(OR(INDEX($DT$5:$DT$1003,$EX473)="",INDEX($DT$5:$DT$1003,$EX474)=""),"",IF(NOT(EXACT(INDEX($DT$5:$DT$1003,$EX473),INDEX($DT$5:$DT$1003,$EX474))),"S4",IF(NOT(EXACT(INDEX($DS$5:$DS$1003,$EX473),INDEX($DS$5:$DS$1003,$EX474))),"S3",IF(NOT(EXACT(INDEX($DR$5:$DR$1003,$EX473),INDEX($DR$5:$DR$1003,$EX474))),"S1 Count Change","S1")))),"")</f>
        <v/>
      </c>
      <c r="FT474">
        <f>IF($EY474="row",INDEX($ES$5:$ES$1003,$EX474),"")</f>
        <v/>
      </c>
      <c r="FU474">
        <f>IF($EY474="row",INDEX($EO$5:$EO$1003,$EX474),0)</f>
        <v/>
      </c>
      <c r="FV474">
        <f>IF($FS474="S1 Count Change",1,0)</f>
        <v/>
      </c>
    </row>
    <row r="475">
      <c r="DA475" t="n">
        <v>471</v>
      </c>
      <c r="DB475">
        <f>IF($B$37=0,"",IFERROR(TRIM(SUBSTITUTE(SUBSTITUTE(SUBSTITUTE(SUBSTITUTE(INDEX(PASTE_ALL,471,$B$37)," "," "),CHAR(9)," "),CHAR(10)," "),CHAR(13)," ")),""))</f>
        <v/>
      </c>
      <c r="DC475">
        <f>IF(AND(471&gt;HEADER_ROW,UPPER(DB475)="LEGEND"),1,0)</f>
        <v/>
      </c>
      <c r="DE475" t="n">
        <v>471</v>
      </c>
      <c r="DF475">
        <f>HEADER_ROW+$DE475</f>
        <v/>
      </c>
      <c r="DG475">
        <f>IF(AND($DF475&lt;=1000,$DF475&lt;$B$8),1,0)</f>
        <v/>
      </c>
      <c r="DH475">
        <f>IF($DG475=1,IFERROR(INDEX($DB$5:$DB$1004,$DF475),""),"")</f>
        <v/>
      </c>
      <c r="DI475">
        <f>IF(AND($DG475=1,$DH475&lt;&gt;""),IFERROR(SUBSTITUTE(SUBSTITUTE(TRIM(SUBSTITUTE(SUBSTITUTE(SUBSTITUTE(SUBSTITUTE(IFERROR(INDEX(PASTE_ALL,$DF475,1)&amp;"","")&amp;"␟"&amp;IFERROR(INDEX(PASTE_ALL,$DF475,2)&amp;"","")&amp;"␟"&amp;IFERROR(INDEX(PASTE_ALL,$DF475,3)&amp;"","")&amp;"␟"&amp;IFERROR(INDEX(PASTE_ALL,$DF475,4)&amp;"","")&amp;"␟"&amp;IFERROR(INDEX(PASTE_ALL,$DF475,5)&amp;"","")&amp;"␟"&amp;IFERROR(INDEX(PASTE_ALL,$DF475,6)&amp;"","")&amp;"␟"&amp;IFERROR(INDEX(PASTE_ALL,$DF475,7)&amp;"","")&amp;"␟"&amp;IFERROR(INDEX(PASTE_ALL,$DF475,8)&amp;"","")&amp;"␟"&amp;IFERROR(INDEX(PASTE_ALL,$DF475,9)&amp;"","")&amp;"␟"&amp;IFERROR(INDEX(PASTE_ALL,$DF475,10)&amp;"","")&amp;"␟"&amp;IFERROR(INDEX(PASTE_ALL,$DF475,11)&amp;"","")&amp;"␟"&amp;IFERROR(INDEX(PASTE_ALL,$DF475,12)&amp;"","")&amp;"␟"&amp;IFERROR(INDEX(PASTE_ALL,$DF475,13)&amp;"","")&amp;"␟"&amp;IFERROR(INDEX(PASTE_ALL,$DF475,14)&amp;"","")&amp;"␟"&amp;IFERROR(INDEX(PASTE_ALL,$DF475,15)&amp;"","")&amp;"␟"&amp;IFERROR(INDEX(PASTE_ALL,$DF475,16)&amp;"","")&amp;"␟"&amp;IFERROR(INDEX(PASTE_ALL,$DF475,17)&amp;"","")&amp;"␟"&amp;IFERROR(INDEX(PASTE_ALL,$DF475,18)&amp;"","")&amp;"␟"&amp;IFERROR(INDEX(PASTE_ALL,$DF475,19)&amp;"","")&amp;"␟"&amp;IFERROR(INDEX(PASTE_ALL,$DF475,20)&amp;"","")&amp;"␟"&amp;IFERROR(INDEX(PASTE_ALL,$DF475,21)&amp;"","")&amp;"␟"&amp;IFERROR(INDEX(PASTE_ALL,$DF475,22)&amp;"","")&amp;"␟"&amp;IFERROR(INDEX(PASTE_ALL,$DF475,23)&amp;"","")&amp;"␟"&amp;IFERROR(INDEX(PASTE_ALL,$DF475,24)&amp;"","")&amp;"␟"&amp;IFERROR(INDEX(PASTE_ALL,$DF475,25)&amp;"","")&amp;"␟"&amp;IFERROR(INDEX(PASTE_ALL,$DF475,26)&amp;"","")&amp;"␟"&amp;IFERROR(INDEX(PASTE_ALL,$DF475,27)&amp;"","")&amp;"␟"&amp;IFERROR(INDEX(PASTE_ALL,$DF475,28)&amp;"","")&amp;"␟"&amp;IFERROR(INDEX(PASTE_ALL,$DF475,29)&amp;"","")&amp;"␟"&amp;IFERROR(INDEX(PASTE_ALL,$DF475,30)&amp;"","")&amp;"␟"&amp;IFERROR(INDEX(PASTE_ALL,$DF475,31)&amp;"","")&amp;"␟"&amp;IFERROR(INDEX(PASTE_ALL,$DF475,32)&amp;"","")&amp;"␟"&amp;IFERROR(INDEX(PASTE_ALL,$DF475,33)&amp;"","")&amp;"␟"&amp;IFERROR(INDEX(PASTE_ALL,$DF475,34)&amp;"","")&amp;"␟"&amp;IFERROR(INDEX(PASTE_ALL,$DF475,35)&amp;"","")&amp;"␟"&amp;IFERROR(INDEX(PASTE_ALL,$DF475,36)&amp;"","")&amp;"␟"&amp;IFERROR(INDEX(PASTE_ALL,$DF475,37)&amp;"","")&amp;"␟"&amp;IFERROR(INDEX(PASTE_ALL,$DF475,38)&amp;"","")&amp;"␟"&amp;IFERROR(INDEX(PASTE_ALL,$DF475,39)&amp;"","")&amp;"␟"&amp;IFERROR(INDEX(PASTE_ALL,$DF475,40)&amp;"","")&amp;"␟"&amp;IFERROR(INDEX(PASTE_ALL,$DF475,41)&amp;"","")&amp;"␟"&amp;IFERROR(INDEX(PASTE_ALL,$DF475,42)&amp;"","")&amp;"␟"&amp;IFERROR(INDEX(PASTE_ALL,$DF475,43)&amp;"","")&amp;"␟"&amp;IFERROR(INDEX(PASTE_ALL,$DF475,44)&amp;"","")&amp;"␟"&amp;IFERROR(INDEX(PASTE_ALL,$DF475,45)&amp;"","")&amp;"␟"&amp;IFERROR(INDEX(PASTE_ALL,$DF475,46)&amp;"","")&amp;"␟"&amp;IFERROR(INDEX(PASTE_ALL,$DF475,47)&amp;"","")&amp;"␟"&amp;IFERROR(INDEX(PASTE_ALL,$DF475,48)&amp;"","")&amp;"␟"&amp;IFERROR(INDEX(PASTE_ALL,$DF475,49)&amp;"","")&amp;"␟"&amp;IFERROR(INDEX(PASTE_ALL,$DF475,50)&amp;"","")&amp;"␟"&amp;IFERROR(INDEX(PASTE_ALL,$DF475,51)&amp;"","")&amp;"␟"&amp;IFERROR(INDEX(PASTE_ALL,$DF475,52)&amp;"","")&amp;"␟"&amp;IFERROR(INDEX(PASTE_ALL,$DF475,53)&amp;"","")&amp;"␟"&amp;IFERROR(INDEX(PASTE_ALL,$DF475,54)&amp;"","")&amp;"␟"&amp;IFERROR(INDEX(PASTE_ALL,$DF475,55)&amp;"","")&amp;"␟"&amp;IFERROR(INDEX(PASTE_ALL,$DF475,56)&amp;"","")&amp;"␟"&amp;IFERROR(INDEX(PASTE_ALL,$DF475,57)&amp;"","")&amp;"␟"&amp;IFERROR(INDEX(PASTE_ALL,$DF475,58)&amp;"","")&amp;"␟"&amp;IFERROR(INDEX(PASTE_ALL,$DF475,59)&amp;"","")&amp;"␟"&amp;IFERROR(INDEX(PASTE_ALL,$DF475,60)&amp;"","")," "," "),CHAR(9)," "),CHAR(10)," "),CHAR(13)," "))," ␟","␟"),"␟ ","␟"),"#"&amp;$DE475),"")</f>
        <v/>
      </c>
      <c r="DJ475">
        <f>IF($DI475="",0,IF(SUMPRODUCT(--EXACT($DI$4:DI474,$DI475))&gt;0,1,0))</f>
        <v/>
      </c>
      <c r="DK475">
        <f>IF(AND($DI475&lt;&gt;"",$DJ475=0),1,0)</f>
        <v/>
      </c>
      <c r="DL475">
        <f>DL474+$DK475</f>
        <v/>
      </c>
      <c r="DM475">
        <f>IF(AND($DK475=1,$DL475&lt;=600),1,0)</f>
        <v/>
      </c>
      <c r="DN475">
        <f>IF($DM475=0,"",IF($L$6=0,"",IFERROR(IF(ISNUMBER(INDEX(PASTE_ALL,$DF475,$L$6)),INDEX(PASTE_ALL,$DF475,$L$6),TRIM(SUBSTITUTE(SUBSTITUTE(SUBSTITUTE(SUBSTITUTE(INDEX(PASTE_ALL,$DF475,$L$6)," "," "),CHAR(9)," "),CHAR(10)," "),CHAR(13)," "))),"")))</f>
        <v/>
      </c>
      <c r="DO475">
        <f>IF($DM475=0,"",IF($L$7=0,"",IFERROR(IF(ISNUMBER(INDEX(PASTE_ALL,$DF475,$L$7)),INDEX(PASTE_ALL,$DF475,$L$7),TRIM(SUBSTITUTE(SUBSTITUTE(SUBSTITUTE(SUBSTITUTE(INDEX(PASTE_ALL,$DF475,$L$7)," "," "),CHAR(9)," "),CHAR(10)," "),CHAR(13)," "))),"")))</f>
        <v/>
      </c>
      <c r="DP475">
        <f>IF($DM475=0,"",IF($L$8=0,"",IFERROR(IF(ISNUMBER(INDEX(PASTE_ALL,$DF475,$L$8)),INDEX(PASTE_ALL,$DF475,$L$8),TRIM(SUBSTITUTE(SUBSTITUTE(SUBSTITUTE(SUBSTITUTE(INDEX(PASTE_ALL,$DF475,$L$8)," "," "),CHAR(9)," "),CHAR(10)," "),CHAR(13)," "))),"")))</f>
        <v/>
      </c>
      <c r="DQ475">
        <f>IF($DM475=0,"",IF($L$9=0,"",IFERROR(IF(ISNUMBER(INDEX(PASTE_ALL,$DF475,$L$9)),INDEX(PASTE_ALL,$DF475,$L$9),TRIM(SUBSTITUTE(SUBSTITUTE(SUBSTITUTE(SUBSTITUTE(INDEX(PASTE_ALL,$DF475,$L$9)," "," "),CHAR(9)," "),CHAR(10)," "),CHAR(13)," "))),"")))</f>
        <v/>
      </c>
      <c r="DR475">
        <f>IF($DM475=0,"",IF($L$10=0,"",IFERROR(IF(ISNUMBER(INDEX(PASTE_ALL,$DF475,$L$10)),INDEX(PASTE_ALL,$DF475,$L$10),TRIM(SUBSTITUTE(SUBSTITUTE(SUBSTITUTE(SUBSTITUTE(INDEX(PASTE_ALL,$DF475,$L$10)," "," "),CHAR(9)," "),CHAR(10)," "),CHAR(13)," "))),"")))</f>
        <v/>
      </c>
      <c r="DS475">
        <f>IF($DM475=0,"",IF($L$11=0,"",IFERROR(IF(ISNUMBER(INDEX(PASTE_ALL,$DF475,$L$11)),INDEX(PASTE_ALL,$DF475,$L$11),TRIM(SUBSTITUTE(SUBSTITUTE(SUBSTITUTE(SUBSTITUTE(INDEX(PASTE_ALL,$DF475,$L$11)," "," "),CHAR(9)," "),CHAR(10)," "),CHAR(13)," "))),"")))</f>
        <v/>
      </c>
      <c r="DT475">
        <f>IF($DM475=0,"",IF($L$12=0,"",IFERROR(IF(ISNUMBER(INDEX(PASTE_ALL,$DF475,$L$12)),INDEX(PASTE_ALL,$DF475,$L$12),TRIM(SUBSTITUTE(SUBSTITUTE(SUBSTITUTE(SUBSTITUTE(INDEX(PASTE_ALL,$DF475,$L$12)," "," "),CHAR(9)," "),CHAR(10)," "),CHAR(13)," "))),"")))</f>
        <v/>
      </c>
      <c r="DU475">
        <f>IF($DM475=0,"",IF($L$13=0,"",IFERROR(IF(ISNUMBER(INDEX(PASTE_ALL,$DF475,$L$13)),INDEX(PASTE_ALL,$DF475,$L$13),TRIM(SUBSTITUTE(SUBSTITUTE(SUBSTITUTE(SUBSTITUTE(INDEX(PASTE_ALL,$DF475,$L$13)," "," "),CHAR(9)," "),CHAR(10)," "),CHAR(13)," "))),"")))</f>
        <v/>
      </c>
      <c r="DV475">
        <f>IF($DM475=0,"",IF($L$14=0,"",IFERROR(IF(ISNUMBER(INDEX(PASTE_ALL,$DF475,$L$14)),INDEX(PASTE_ALL,$DF475,$L$14),TRIM(SUBSTITUTE(SUBSTITUTE(SUBSTITUTE(SUBSTITUTE(INDEX(PASTE_ALL,$DF475,$L$14)," "," "),CHAR(9)," "),CHAR(10)," "),CHAR(13)," "))),"")))</f>
        <v/>
      </c>
      <c r="DW475">
        <f>IF($DM475=0,"",IF($L$15=0,"",IFERROR(IF(ISNUMBER(INDEX(PASTE_ALL,$DF475,$L$15)),INDEX(PASTE_ALL,$DF475,$L$15),IF(SUMPRODUCT(--ISNUMBER(FIND({"A","B","C","D","E","F","G","H","I","J","K","L","M","N","O","P","Q","R","S","T","U","V","W","X","Y","Z","0","1","2","3","4","5","6","7","8","9"},UPPER(TRIM(SUBSTITUTE(SUBSTITUTE(SUBSTITUTE(SUBSTITUTE(INDEX(PASTE_ALL,$DF475,$L$15)," "," "),CHAR(9)," "),CHAR(10)," "),CHAR(13)," "))))))&gt;0,TRIM(SUBSTITUTE(SUBSTITUTE(SUBSTITUTE(SUBSTITUTE(INDEX(PASTE_ALL,$DF475,$L$15)," "," "),CHAR(9)," "),CHAR(10)," "),CHAR(13)," ")),"")),"")))</f>
        <v/>
      </c>
      <c r="DX475">
        <f>IF($DM475=0,"",IF($L$16=0,"",IFERROR(IF(ISNUMBER(INDEX(PASTE_ALL,$DF475,$L$16)),INDEX(PASTE_ALL,$DF475,$L$16),SUBSTITUTE(SUBSTITUTE(TRIM(SUBSTITUTE(SUBSTITUTE(SUBSTITUTE(SUBSTITUTE(INDEX(PASTE_ALL,$DF475,$L$16)," "," "),CHAR(9)," "),CHAR(10)," "),CHAR(13)," ")),",",""),"%","")),"")))</f>
        <v/>
      </c>
      <c r="DY475">
        <f>IF($DM475=0,"",IFERROR(IF(ISNUMBER($DX475),$DX475,IF($DX475="","",IF(TRIM($DX475)="",0,IF(AND(AND(SUBSTITUTE(SUBSTITUTE(SUBSTITUTE(SUBSTITUTE(SUBSTITUTE(SUBSTITUTE(SUBSTITUTE(SUBSTITUTE(SUBSTITUTE(SUBSTITUTE(SUBSTITUTE(SUBSTITUTE(SUBSTITUTE(SUBSTITUTE(UPPER(TRIM($DX475)),"0",""),"1",""),"2",""),"3",""),"4",""),"5",""),"6",""),"7",""),"8",""),"9",""),".",""),"+",""),"-",""),"E","")="",LEN(SUBSTITUTE(SUBSTITUTE(MID(UPPER(TRIM($DX475)),1+OR(LEFT(UPPER(TRIM($DX475)),1)="+",LEFT(UPPER(TRIM($DX475)),1)="-"),999),"E+","E"),"E-","E"))=LEN(SUBSTITUTE(SUBSTITUTE(SUBSTITUTE(SUBSTITUTE(MID(UPPER(TRIM($DX475)),1+OR(LEFT(UPPER(TRIM($DX475)),1)="+",LEFT(UPPER(TRIM($DX475)),1)="-"),999),"E+","E"),"E-","E"),"+",""),"-","")),LEN(UPPER(TRIM($DX475)))-LEN(SUBSTITUTE(UPPER(TRIM($DX475)),"E",""))&lt;2,LEN(UPPER(TRIM($DX475)))-LEN(SUBSTITUTE(UPPER(TRIM($DX475)),".",""))&lt;2,IFERROR(FIND(".",UPPER(TRIM($DX475))),0)&lt;IFERROR(FIND("E",UPPER(TRIM($DX475))),999)),ISNUMBER(VALUE(TRIM($DX475)))),VALUE(TRIM($DX475)),"")))),""))</f>
        <v/>
      </c>
      <c r="DZ475">
        <f>IF($DM475=0,"",IF($L$17=0,"",IFERROR(IF(ISNUMBER(INDEX(PASTE_ALL,$DF475,$L$17)),INDEX(PASTE_ALL,$DF475,$L$17),SUBSTITUTE(SUBSTITUTE(TRIM(SUBSTITUTE(SUBSTITUTE(SUBSTITUTE(SUBSTITUTE(INDEX(PASTE_ALL,$DF475,$L$17)," "," "),CHAR(9)," "),CHAR(10)," "),CHAR(13)," ")),",",""),"%","")),"")))</f>
        <v/>
      </c>
      <c r="EA475">
        <f>IF($DM475=0,"",IFERROR(IF(ISNUMBER($DZ475),$DZ475,IF($DZ475="","",IF(TRIM($DZ475)="",0,IF(AND(AND(SUBSTITUTE(SUBSTITUTE(SUBSTITUTE(SUBSTITUTE(SUBSTITUTE(SUBSTITUTE(SUBSTITUTE(SUBSTITUTE(SUBSTITUTE(SUBSTITUTE(SUBSTITUTE(SUBSTITUTE(SUBSTITUTE(SUBSTITUTE(UPPER(TRIM($DZ475)),"0",""),"1",""),"2",""),"3",""),"4",""),"5",""),"6",""),"7",""),"8",""),"9",""),".",""),"+",""),"-",""),"E","")="",LEN(SUBSTITUTE(SUBSTITUTE(MID(UPPER(TRIM($DZ475)),1+OR(LEFT(UPPER(TRIM($DZ475)),1)="+",LEFT(UPPER(TRIM($DZ475)),1)="-"),999),"E+","E"),"E-","E"))=LEN(SUBSTITUTE(SUBSTITUTE(SUBSTITUTE(SUBSTITUTE(MID(UPPER(TRIM($DZ475)),1+OR(LEFT(UPPER(TRIM($DZ475)),1)="+",LEFT(UPPER(TRIM($DZ475)),1)="-"),999),"E+","E"),"E-","E"),"+",""),"-","")),LEN(UPPER(TRIM($DZ475)))-LEN(SUBSTITUTE(UPPER(TRIM($DZ475)),"E",""))&lt;2,LEN(UPPER(TRIM($DZ475)))-LEN(SUBSTITUTE(UPPER(TRIM($DZ475)),".",""))&lt;2,IFERROR(FIND(".",UPPER(TRIM($DZ475))),0)&lt;IFERROR(FIND("E",UPPER(TRIM($DZ475))),999)),ISNUMBER(VALUE(TRIM($DZ475)))),VALUE(TRIM($DZ475)),"")))),""))</f>
        <v/>
      </c>
      <c r="EB475">
        <f>IF($DM475=0,"",IF($L$18=0,"",IFERROR(IF(UPPER(TRIM(SUBSTITUTE(SUBSTITUTE(SUBSTITUTE(SUBSTITUTE(INDEX(PASTE_ALL,$DF475,$L$18)," "," "),CHAR(9)," "),CHAR(10)," "),CHAR(13)," ")))="READY","Ready",IF(UPPER(TRIM(SUBSTITUTE(SUBSTITUTE(SUBSTITUTE(SUBSTITUTE(INDEX(PASTE_ALL,$DF475,$L$18)," "," "),CHAR(9)," "),CHAR(10)," "),CHAR(13)," ")))="PM","PM",IF(OR(UPPER(TRIM(SUBSTITUTE(SUBSTITUTE(SUBSTITUTE(SUBSTITUTE(INDEX(PASTE_ALL,$DF475,$L$18)," "," "),CHAR(9)," "),CHAR(10)," "),CHAR(13)," ")))="OT",UPPER(TRIM(SUBSTITUTE(SUBSTITUTE(SUBSTITUTE(SUBSTITUTE(INDEX(PASTE_ALL,$DF475,$L$18)," "," "),CHAR(9)," "),CHAR(10)," "),CHAR(13)," ")))="OVERTIME",UPPER(TRIM(SUBSTITUTE(SUBSTITUTE(SUBSTITUTE(SUBSTITUTE(INDEX(PASTE_ALL,$DF475,$L$18)," "," "),CHAR(9)," "),CHAR(10)," "),CHAR(13)," ")))="TRIAL"),"OT",TRIM(SUBSTITUTE(SUBSTITUTE(SUBSTITUTE(SUBSTITUTE(INDEX(PASTE_ALL,$DF475,$L$18)," "," "),CHAR(9)," "),CHAR(10)," "),CHAR(13)," "))))),"")))</f>
        <v/>
      </c>
      <c r="EC475">
        <f>IF($DM475=0,"",IF($L$19=0,"",IFERROR(IF(ISNUMBER(INDEX(PASTE_ALL,$DF475,$L$19)),INDEX(PASTE_ALL,$DF475,$L$19),TRIM(SUBSTITUTE(SUBSTITUTE(SUBSTITUTE(SUBSTITUTE(INDEX(PASTE_ALL,$DF475,$L$19)," "," "),CHAR(9)," "),CHAR(10)," "),CHAR(13)," "))),"")))</f>
        <v/>
      </c>
      <c r="ED475">
        <f>IF($DM475=0,"",MATCH(1,INDEX(EXACT($DH$5:DH475,$DH475)*$DM$5:DM475,0),0))</f>
        <v/>
      </c>
      <c r="EE475">
        <f>IF($DM475=0,0,IF($ED475=$DE475,1,0))</f>
        <v/>
      </c>
      <c r="EF475">
        <f>EF474+$EE475</f>
        <v/>
      </c>
      <c r="EG475">
        <f>IF($DM475=0,"",INDEX($EF$5:$EF$1003,$ED475))</f>
        <v/>
      </c>
      <c r="EH475">
        <f>IF($DM475=0,"",IF($DO475&lt;&gt;"","",IFERROR(LOOKUP(2,1/(($EG$4:EG474=$EG475)*($DO$4:DO474&lt;&gt;"")),$DO$4:DO474),"")))</f>
        <v/>
      </c>
      <c r="EI475">
        <f>IF($DM475=0,"",IF($DO475&lt;&gt;"",$DO475,$EH475))</f>
        <v/>
      </c>
      <c r="EJ475">
        <f>IF($DM475=0,"",IF($EI475="",0,IF(OR(ISNUMBER($EI475),AND(AND(SUBSTITUTE(SUBSTITUTE(SUBSTITUTE(SUBSTITUTE(SUBSTITUTE(SUBSTITUTE(SUBSTITUTE(SUBSTITUTE(SUBSTITUTE(SUBSTITUTE(SUBSTITUTE(SUBSTITUTE(SUBSTITUTE(SUBSTITUTE(UPPER($EI475),"0",""),"1",""),"2",""),"3",""),"4",""),"5",""),"6",""),"7",""),"8",""),"9",""),".",""),"+",""),"-",""),"E","")="",LEN(SUBSTITUTE(SUBSTITUTE(MID(UPPER($EI475),1+OR(LEFT(UPPER($EI475),1)="+",LEFT(UPPER($EI475),1)="-"),999),"E+","E"),"E-","E"))=LEN(SUBSTITUTE(SUBSTITUTE(SUBSTITUTE(SUBSTITUTE(MID(UPPER($EI475),1+OR(LEFT(UPPER($EI475),1)="+",LEFT(UPPER($EI475),1)="-"),999),"E+","E"),"E-","E"),"+",""),"-","")),LEN(UPPER($EI475))-LEN(SUBSTITUTE(UPPER($EI475),"E",""))&lt;2,LEN(UPPER($EI475))-LEN(SUBSTITUTE(UPPER($EI475),".",""))&lt;2,IFERROR(FIND(".",UPPER($EI475)),0)&lt;IFERROR(FIND("E",UPPER($EI475)),999)),ISNUMBER(VALUE($EI475)))),1,2)))</f>
        <v/>
      </c>
      <c r="EK475">
        <f>IF($DM475=0,"",IF($EJ475=1,IF(ISNUMBER($EI475),$EI475,VALUE($EI475)),IF($EJ475=2,$DE475,0)))</f>
        <v/>
      </c>
      <c r="EL475">
        <f>IF($DM475=0,"",COUNTIF($EG$5:$EG$1003,"&lt;"&amp;$EG475)+SUMPRODUCT(($EG$5:$EG$1003=$EG475)*(($EJ$5:$EJ$1003&lt;$EJ475)+($EJ$5:$EJ$1003=$EJ475)*(($EK$5:$EK$1003&lt;$EK475)+($EK$5:$EK$1003=$EK475)*($DE$5:$DE$1003&lt;$DE475))))+1)</f>
        <v/>
      </c>
      <c r="EM475">
        <f>IF($DM475=0,"",$EL475+$EG475-1)</f>
        <v/>
      </c>
      <c r="EN475">
        <f>IF($DM475=0,0,IFERROR(MATCH(1,INDEX(--(TRIM(SUBSTITUTE(SUBSTITUTE(SUBSTITUTE(SUBSTITUTE(LINES_NAME&amp;""," "," "),CHAR(9)," "),CHAR(10)," "),CHAR(13)," "))=$DH475),0),0),0))</f>
        <v/>
      </c>
      <c r="EO475">
        <f>IF($EN475=0,0,IF(OR(UPPER(TRIM(INDEX(LINES_SCHEDULED,$EN475)&amp;""))="YES",UPPER(TRIM(INDEX(LINES_SCHEDULED,$EN475)&amp;""))="Y",UPPER(TRIM(INDEX(LINES_SCHEDULED,$EN475)&amp;""))="X"),1,0))</f>
        <v/>
      </c>
      <c r="EP475">
        <f>IF($DM475=0,"",IF(COUNTIFS($EG$5:$EG$1003,$EG475,$EB$5:$EB$1003,"Ready")&gt;0,"READY",IF(COUNTIFS($EG$5:$EG$1003,$EG475,$EB$5:$EB$1003,"PM")&gt;0,"PM",IF(COUNTIFS($EG$5:$EG$1003,$EG475,$EB$5:$EB$1003,"OT")&gt;0,"OT",""))))</f>
        <v/>
      </c>
      <c r="EQ475">
        <f>IF($EN475=0,"",UPPER(TRIM(INDEX(LINES_STATUS,$EN475)&amp;"")))</f>
        <v/>
      </c>
      <c r="ER475">
        <f>IF($DM475=0,"",IF(OR($EQ475="READY",$EQ475="PM",$EQ475="OT"),$EQ475,$EP475))</f>
        <v/>
      </c>
      <c r="ES475">
        <f>IF($DM475=0,"",IF(AND($DV475&lt;&gt;"",UPPER($DV475)&lt;&gt;"N"),"allergen",IF(ISNUMBER(SEARCH("oil",$DQ475)),"oil",IF(OR(EXACT($DS475,"A662"),EXACT($DS475,"A624")),"bulk",""))))</f>
        <v/>
      </c>
      <c r="ET475">
        <f>IF($DM475=0,"",IF(OR($EA475="",$EA475=0),"",$EA475/100))</f>
        <v/>
      </c>
      <c r="EU475">
        <f>IF(OR($ET475="",$DY475=""),"",INT($DY475*(1-$ET475)+0.5))</f>
        <v/>
      </c>
      <c r="EW475" t="n">
        <v>471</v>
      </c>
      <c r="EX475">
        <f>IFERROR(MATCH($EW475,$EM$5:$EM$1003,0),0)</f>
        <v/>
      </c>
      <c r="EY475">
        <f>IF($EW475&gt;$B$12,"",IF($EX475&gt;0,"row","spacer"))</f>
        <v/>
      </c>
      <c r="EZ475">
        <f>IF(AND($EY475="row",$EY474&lt;&gt;"row"),1,0)</f>
        <v/>
      </c>
      <c r="FA475">
        <f>IF(AND($EY475="row",$EY476&lt;&gt;"row"),1,0)</f>
        <v/>
      </c>
      <c r="FB475">
        <f>IF($EZ475=1,IFERROR(IF(ISNUMBER(INDEX(PASTE_ALL,INDEX($DF$5:$DF$1003,$EX475),$B$37)),INDEX(PASTE_ALL,INDEX($DF$5:$DF$1003,$EX475),$B$37),INDEX($DH$5:$DH$1003,$EX475)),INDEX($DH$5:$DH$1003,$EX475)),"")</f>
        <v/>
      </c>
      <c r="FC475">
        <f>IF($EY475="row",INDEX($ER$5:$ER$1003,$EX475),"")</f>
        <v/>
      </c>
      <c r="FD475">
        <f>IF($EY475="row",INDEX($DN$5:$DN$1003,$EX475),"")</f>
        <v/>
      </c>
      <c r="FE475">
        <f>IF($EY475="row",INDEX($DO$5:$DO$1003,$EX475),"")</f>
        <v/>
      </c>
      <c r="FF475">
        <f>IF($EY475="row",INDEX($DP$5:$DP$1003,$EX475),"")</f>
        <v/>
      </c>
      <c r="FG475">
        <f>IF($EY475="row",INDEX($DQ$5:$DQ$1003,$EX475),"")</f>
        <v/>
      </c>
      <c r="FH475">
        <f>IF($EY475="row",INDEX($DR$5:$DR$1003,$EX475),"")</f>
        <v/>
      </c>
      <c r="FI475">
        <f>IF($EY475="row",INDEX($DS$5:$DS$1003,$EX475),"")</f>
        <v/>
      </c>
      <c r="FJ475">
        <f>IF($EY475="row",INDEX($DT$5:$DT$1003,$EX475),"")</f>
        <v/>
      </c>
      <c r="FK475">
        <f>IF($EY475="row",INDEX($DU$5:$DU$1003,$EX475),"")</f>
        <v/>
      </c>
      <c r="FL475">
        <f>IF($EY475="row",INDEX($DV$5:$DV$1003,$EX475),"")</f>
        <v/>
      </c>
      <c r="FM475">
        <f>IF($EY475="row",INDEX($DW$5:$DW$1003,$EX475),"")</f>
        <v/>
      </c>
      <c r="FN475">
        <f>IF($EY475="row",INDEX($DY$5:$DY$1003,$EX475),"")</f>
        <v/>
      </c>
      <c r="FO475">
        <f>IF($EY475="row",INDEX($EA$5:$EA$1003,$EX475),"")</f>
        <v/>
      </c>
      <c r="FP475">
        <f>IF($EY475="row",INDEX($EC$5:$EC$1003,$EX475),"")</f>
        <v/>
      </c>
      <c r="FQ475">
        <f>IF($EY475="row",INDEX($ET$5:$ET$1003,$EX475),"")</f>
        <v/>
      </c>
      <c r="FR475">
        <f>IF($EY475="row",INDEX($EU$5:$EU$1003,$EX475),"")</f>
        <v/>
      </c>
      <c r="FS475">
        <f>IF(AND($EY475="row",$EY474="row"),IF(OR(INDEX($DT$5:$DT$1003,$EX474)="",INDEX($DT$5:$DT$1003,$EX475)=""),"",IF(NOT(EXACT(INDEX($DT$5:$DT$1003,$EX474),INDEX($DT$5:$DT$1003,$EX475))),"S4",IF(NOT(EXACT(INDEX($DS$5:$DS$1003,$EX474),INDEX($DS$5:$DS$1003,$EX475))),"S3",IF(NOT(EXACT(INDEX($DR$5:$DR$1003,$EX474),INDEX($DR$5:$DR$1003,$EX475))),"S1 Count Change","S1")))),"")</f>
        <v/>
      </c>
      <c r="FT475">
        <f>IF($EY475="row",INDEX($ES$5:$ES$1003,$EX475),"")</f>
        <v/>
      </c>
      <c r="FU475">
        <f>IF($EY475="row",INDEX($EO$5:$EO$1003,$EX475),0)</f>
        <v/>
      </c>
      <c r="FV475">
        <f>IF($FS475="S1 Count Change",1,0)</f>
        <v/>
      </c>
    </row>
    <row r="476">
      <c r="DA476" t="n">
        <v>472</v>
      </c>
      <c r="DB476">
        <f>IF($B$37=0,"",IFERROR(TRIM(SUBSTITUTE(SUBSTITUTE(SUBSTITUTE(SUBSTITUTE(INDEX(PASTE_ALL,472,$B$37)," "," "),CHAR(9)," "),CHAR(10)," "),CHAR(13)," ")),""))</f>
        <v/>
      </c>
      <c r="DC476">
        <f>IF(AND(472&gt;HEADER_ROW,UPPER(DB476)="LEGEND"),1,0)</f>
        <v/>
      </c>
      <c r="DE476" t="n">
        <v>472</v>
      </c>
      <c r="DF476">
        <f>HEADER_ROW+$DE476</f>
        <v/>
      </c>
      <c r="DG476">
        <f>IF(AND($DF476&lt;=1000,$DF476&lt;$B$8),1,0)</f>
        <v/>
      </c>
      <c r="DH476">
        <f>IF($DG476=1,IFERROR(INDEX($DB$5:$DB$1004,$DF476),""),"")</f>
        <v/>
      </c>
      <c r="DI476">
        <f>IF(AND($DG476=1,$DH476&lt;&gt;""),IFERROR(SUBSTITUTE(SUBSTITUTE(TRIM(SUBSTITUTE(SUBSTITUTE(SUBSTITUTE(SUBSTITUTE(IFERROR(INDEX(PASTE_ALL,$DF476,1)&amp;"","")&amp;"␟"&amp;IFERROR(INDEX(PASTE_ALL,$DF476,2)&amp;"","")&amp;"␟"&amp;IFERROR(INDEX(PASTE_ALL,$DF476,3)&amp;"","")&amp;"␟"&amp;IFERROR(INDEX(PASTE_ALL,$DF476,4)&amp;"","")&amp;"␟"&amp;IFERROR(INDEX(PASTE_ALL,$DF476,5)&amp;"","")&amp;"␟"&amp;IFERROR(INDEX(PASTE_ALL,$DF476,6)&amp;"","")&amp;"␟"&amp;IFERROR(INDEX(PASTE_ALL,$DF476,7)&amp;"","")&amp;"␟"&amp;IFERROR(INDEX(PASTE_ALL,$DF476,8)&amp;"","")&amp;"␟"&amp;IFERROR(INDEX(PASTE_ALL,$DF476,9)&amp;"","")&amp;"␟"&amp;IFERROR(INDEX(PASTE_ALL,$DF476,10)&amp;"","")&amp;"␟"&amp;IFERROR(INDEX(PASTE_ALL,$DF476,11)&amp;"","")&amp;"␟"&amp;IFERROR(INDEX(PASTE_ALL,$DF476,12)&amp;"","")&amp;"␟"&amp;IFERROR(INDEX(PASTE_ALL,$DF476,13)&amp;"","")&amp;"␟"&amp;IFERROR(INDEX(PASTE_ALL,$DF476,14)&amp;"","")&amp;"␟"&amp;IFERROR(INDEX(PASTE_ALL,$DF476,15)&amp;"","")&amp;"␟"&amp;IFERROR(INDEX(PASTE_ALL,$DF476,16)&amp;"","")&amp;"␟"&amp;IFERROR(INDEX(PASTE_ALL,$DF476,17)&amp;"","")&amp;"␟"&amp;IFERROR(INDEX(PASTE_ALL,$DF476,18)&amp;"","")&amp;"␟"&amp;IFERROR(INDEX(PASTE_ALL,$DF476,19)&amp;"","")&amp;"␟"&amp;IFERROR(INDEX(PASTE_ALL,$DF476,20)&amp;"","")&amp;"␟"&amp;IFERROR(INDEX(PASTE_ALL,$DF476,21)&amp;"","")&amp;"␟"&amp;IFERROR(INDEX(PASTE_ALL,$DF476,22)&amp;"","")&amp;"␟"&amp;IFERROR(INDEX(PASTE_ALL,$DF476,23)&amp;"","")&amp;"␟"&amp;IFERROR(INDEX(PASTE_ALL,$DF476,24)&amp;"","")&amp;"␟"&amp;IFERROR(INDEX(PASTE_ALL,$DF476,25)&amp;"","")&amp;"␟"&amp;IFERROR(INDEX(PASTE_ALL,$DF476,26)&amp;"","")&amp;"␟"&amp;IFERROR(INDEX(PASTE_ALL,$DF476,27)&amp;"","")&amp;"␟"&amp;IFERROR(INDEX(PASTE_ALL,$DF476,28)&amp;"","")&amp;"␟"&amp;IFERROR(INDEX(PASTE_ALL,$DF476,29)&amp;"","")&amp;"␟"&amp;IFERROR(INDEX(PASTE_ALL,$DF476,30)&amp;"","")&amp;"␟"&amp;IFERROR(INDEX(PASTE_ALL,$DF476,31)&amp;"","")&amp;"␟"&amp;IFERROR(INDEX(PASTE_ALL,$DF476,32)&amp;"","")&amp;"␟"&amp;IFERROR(INDEX(PASTE_ALL,$DF476,33)&amp;"","")&amp;"␟"&amp;IFERROR(INDEX(PASTE_ALL,$DF476,34)&amp;"","")&amp;"␟"&amp;IFERROR(INDEX(PASTE_ALL,$DF476,35)&amp;"","")&amp;"␟"&amp;IFERROR(INDEX(PASTE_ALL,$DF476,36)&amp;"","")&amp;"␟"&amp;IFERROR(INDEX(PASTE_ALL,$DF476,37)&amp;"","")&amp;"␟"&amp;IFERROR(INDEX(PASTE_ALL,$DF476,38)&amp;"","")&amp;"␟"&amp;IFERROR(INDEX(PASTE_ALL,$DF476,39)&amp;"","")&amp;"␟"&amp;IFERROR(INDEX(PASTE_ALL,$DF476,40)&amp;"","")&amp;"␟"&amp;IFERROR(INDEX(PASTE_ALL,$DF476,41)&amp;"","")&amp;"␟"&amp;IFERROR(INDEX(PASTE_ALL,$DF476,42)&amp;"","")&amp;"␟"&amp;IFERROR(INDEX(PASTE_ALL,$DF476,43)&amp;"","")&amp;"␟"&amp;IFERROR(INDEX(PASTE_ALL,$DF476,44)&amp;"","")&amp;"␟"&amp;IFERROR(INDEX(PASTE_ALL,$DF476,45)&amp;"","")&amp;"␟"&amp;IFERROR(INDEX(PASTE_ALL,$DF476,46)&amp;"","")&amp;"␟"&amp;IFERROR(INDEX(PASTE_ALL,$DF476,47)&amp;"","")&amp;"␟"&amp;IFERROR(INDEX(PASTE_ALL,$DF476,48)&amp;"","")&amp;"␟"&amp;IFERROR(INDEX(PASTE_ALL,$DF476,49)&amp;"","")&amp;"␟"&amp;IFERROR(INDEX(PASTE_ALL,$DF476,50)&amp;"","")&amp;"␟"&amp;IFERROR(INDEX(PASTE_ALL,$DF476,51)&amp;"","")&amp;"␟"&amp;IFERROR(INDEX(PASTE_ALL,$DF476,52)&amp;"","")&amp;"␟"&amp;IFERROR(INDEX(PASTE_ALL,$DF476,53)&amp;"","")&amp;"␟"&amp;IFERROR(INDEX(PASTE_ALL,$DF476,54)&amp;"","")&amp;"␟"&amp;IFERROR(INDEX(PASTE_ALL,$DF476,55)&amp;"","")&amp;"␟"&amp;IFERROR(INDEX(PASTE_ALL,$DF476,56)&amp;"","")&amp;"␟"&amp;IFERROR(INDEX(PASTE_ALL,$DF476,57)&amp;"","")&amp;"␟"&amp;IFERROR(INDEX(PASTE_ALL,$DF476,58)&amp;"","")&amp;"␟"&amp;IFERROR(INDEX(PASTE_ALL,$DF476,59)&amp;"","")&amp;"␟"&amp;IFERROR(INDEX(PASTE_ALL,$DF476,60)&amp;"","")," "," "),CHAR(9)," "),CHAR(10)," "),CHAR(13)," "))," ␟","␟"),"␟ ","␟"),"#"&amp;$DE476),"")</f>
        <v/>
      </c>
      <c r="DJ476">
        <f>IF($DI476="",0,IF(SUMPRODUCT(--EXACT($DI$4:DI475,$DI476))&gt;0,1,0))</f>
        <v/>
      </c>
      <c r="DK476">
        <f>IF(AND($DI476&lt;&gt;"",$DJ476=0),1,0)</f>
        <v/>
      </c>
      <c r="DL476">
        <f>DL475+$DK476</f>
        <v/>
      </c>
      <c r="DM476">
        <f>IF(AND($DK476=1,$DL476&lt;=600),1,0)</f>
        <v/>
      </c>
      <c r="DN476">
        <f>IF($DM476=0,"",IF($L$6=0,"",IFERROR(IF(ISNUMBER(INDEX(PASTE_ALL,$DF476,$L$6)),INDEX(PASTE_ALL,$DF476,$L$6),TRIM(SUBSTITUTE(SUBSTITUTE(SUBSTITUTE(SUBSTITUTE(INDEX(PASTE_ALL,$DF476,$L$6)," "," "),CHAR(9)," "),CHAR(10)," "),CHAR(13)," "))),"")))</f>
        <v/>
      </c>
      <c r="DO476">
        <f>IF($DM476=0,"",IF($L$7=0,"",IFERROR(IF(ISNUMBER(INDEX(PASTE_ALL,$DF476,$L$7)),INDEX(PASTE_ALL,$DF476,$L$7),TRIM(SUBSTITUTE(SUBSTITUTE(SUBSTITUTE(SUBSTITUTE(INDEX(PASTE_ALL,$DF476,$L$7)," "," "),CHAR(9)," "),CHAR(10)," "),CHAR(13)," "))),"")))</f>
        <v/>
      </c>
      <c r="DP476">
        <f>IF($DM476=0,"",IF($L$8=0,"",IFERROR(IF(ISNUMBER(INDEX(PASTE_ALL,$DF476,$L$8)),INDEX(PASTE_ALL,$DF476,$L$8),TRIM(SUBSTITUTE(SUBSTITUTE(SUBSTITUTE(SUBSTITUTE(INDEX(PASTE_ALL,$DF476,$L$8)," "," "),CHAR(9)," "),CHAR(10)," "),CHAR(13)," "))),"")))</f>
        <v/>
      </c>
      <c r="DQ476">
        <f>IF($DM476=0,"",IF($L$9=0,"",IFERROR(IF(ISNUMBER(INDEX(PASTE_ALL,$DF476,$L$9)),INDEX(PASTE_ALL,$DF476,$L$9),TRIM(SUBSTITUTE(SUBSTITUTE(SUBSTITUTE(SUBSTITUTE(INDEX(PASTE_ALL,$DF476,$L$9)," "," "),CHAR(9)," "),CHAR(10)," "),CHAR(13)," "))),"")))</f>
        <v/>
      </c>
      <c r="DR476">
        <f>IF($DM476=0,"",IF($L$10=0,"",IFERROR(IF(ISNUMBER(INDEX(PASTE_ALL,$DF476,$L$10)),INDEX(PASTE_ALL,$DF476,$L$10),TRIM(SUBSTITUTE(SUBSTITUTE(SUBSTITUTE(SUBSTITUTE(INDEX(PASTE_ALL,$DF476,$L$10)," "," "),CHAR(9)," "),CHAR(10)," "),CHAR(13)," "))),"")))</f>
        <v/>
      </c>
      <c r="DS476">
        <f>IF($DM476=0,"",IF($L$11=0,"",IFERROR(IF(ISNUMBER(INDEX(PASTE_ALL,$DF476,$L$11)),INDEX(PASTE_ALL,$DF476,$L$11),TRIM(SUBSTITUTE(SUBSTITUTE(SUBSTITUTE(SUBSTITUTE(INDEX(PASTE_ALL,$DF476,$L$11)," "," "),CHAR(9)," "),CHAR(10)," "),CHAR(13)," "))),"")))</f>
        <v/>
      </c>
      <c r="DT476">
        <f>IF($DM476=0,"",IF($L$12=0,"",IFERROR(IF(ISNUMBER(INDEX(PASTE_ALL,$DF476,$L$12)),INDEX(PASTE_ALL,$DF476,$L$12),TRIM(SUBSTITUTE(SUBSTITUTE(SUBSTITUTE(SUBSTITUTE(INDEX(PASTE_ALL,$DF476,$L$12)," "," "),CHAR(9)," "),CHAR(10)," "),CHAR(13)," "))),"")))</f>
        <v/>
      </c>
      <c r="DU476">
        <f>IF($DM476=0,"",IF($L$13=0,"",IFERROR(IF(ISNUMBER(INDEX(PASTE_ALL,$DF476,$L$13)),INDEX(PASTE_ALL,$DF476,$L$13),TRIM(SUBSTITUTE(SUBSTITUTE(SUBSTITUTE(SUBSTITUTE(INDEX(PASTE_ALL,$DF476,$L$13)," "," "),CHAR(9)," "),CHAR(10)," "),CHAR(13)," "))),"")))</f>
        <v/>
      </c>
      <c r="DV476">
        <f>IF($DM476=0,"",IF($L$14=0,"",IFERROR(IF(ISNUMBER(INDEX(PASTE_ALL,$DF476,$L$14)),INDEX(PASTE_ALL,$DF476,$L$14),TRIM(SUBSTITUTE(SUBSTITUTE(SUBSTITUTE(SUBSTITUTE(INDEX(PASTE_ALL,$DF476,$L$14)," "," "),CHAR(9)," "),CHAR(10)," "),CHAR(13)," "))),"")))</f>
        <v/>
      </c>
      <c r="DW476">
        <f>IF($DM476=0,"",IF($L$15=0,"",IFERROR(IF(ISNUMBER(INDEX(PASTE_ALL,$DF476,$L$15)),INDEX(PASTE_ALL,$DF476,$L$15),IF(SUMPRODUCT(--ISNUMBER(FIND({"A","B","C","D","E","F","G","H","I","J","K","L","M","N","O","P","Q","R","S","T","U","V","W","X","Y","Z","0","1","2","3","4","5","6","7","8","9"},UPPER(TRIM(SUBSTITUTE(SUBSTITUTE(SUBSTITUTE(SUBSTITUTE(INDEX(PASTE_ALL,$DF476,$L$15)," "," "),CHAR(9)," "),CHAR(10)," "),CHAR(13)," "))))))&gt;0,TRIM(SUBSTITUTE(SUBSTITUTE(SUBSTITUTE(SUBSTITUTE(INDEX(PASTE_ALL,$DF476,$L$15)," "," "),CHAR(9)," "),CHAR(10)," "),CHAR(13)," ")),"")),"")))</f>
        <v/>
      </c>
      <c r="DX476">
        <f>IF($DM476=0,"",IF($L$16=0,"",IFERROR(IF(ISNUMBER(INDEX(PASTE_ALL,$DF476,$L$16)),INDEX(PASTE_ALL,$DF476,$L$16),SUBSTITUTE(SUBSTITUTE(TRIM(SUBSTITUTE(SUBSTITUTE(SUBSTITUTE(SUBSTITUTE(INDEX(PASTE_ALL,$DF476,$L$16)," "," "),CHAR(9)," "),CHAR(10)," "),CHAR(13)," ")),",",""),"%","")),"")))</f>
        <v/>
      </c>
      <c r="DY476">
        <f>IF($DM476=0,"",IFERROR(IF(ISNUMBER($DX476),$DX476,IF($DX476="","",IF(TRIM($DX476)="",0,IF(AND(AND(SUBSTITUTE(SUBSTITUTE(SUBSTITUTE(SUBSTITUTE(SUBSTITUTE(SUBSTITUTE(SUBSTITUTE(SUBSTITUTE(SUBSTITUTE(SUBSTITUTE(SUBSTITUTE(SUBSTITUTE(SUBSTITUTE(SUBSTITUTE(UPPER(TRIM($DX476)),"0",""),"1",""),"2",""),"3",""),"4",""),"5",""),"6",""),"7",""),"8",""),"9",""),".",""),"+",""),"-",""),"E","")="",LEN(SUBSTITUTE(SUBSTITUTE(MID(UPPER(TRIM($DX476)),1+OR(LEFT(UPPER(TRIM($DX476)),1)="+",LEFT(UPPER(TRIM($DX476)),1)="-"),999),"E+","E"),"E-","E"))=LEN(SUBSTITUTE(SUBSTITUTE(SUBSTITUTE(SUBSTITUTE(MID(UPPER(TRIM($DX476)),1+OR(LEFT(UPPER(TRIM($DX476)),1)="+",LEFT(UPPER(TRIM($DX476)),1)="-"),999),"E+","E"),"E-","E"),"+",""),"-","")),LEN(UPPER(TRIM($DX476)))-LEN(SUBSTITUTE(UPPER(TRIM($DX476)),"E",""))&lt;2,LEN(UPPER(TRIM($DX476)))-LEN(SUBSTITUTE(UPPER(TRIM($DX476)),".",""))&lt;2,IFERROR(FIND(".",UPPER(TRIM($DX476))),0)&lt;IFERROR(FIND("E",UPPER(TRIM($DX476))),999)),ISNUMBER(VALUE(TRIM($DX476)))),VALUE(TRIM($DX476)),"")))),""))</f>
        <v/>
      </c>
      <c r="DZ476">
        <f>IF($DM476=0,"",IF($L$17=0,"",IFERROR(IF(ISNUMBER(INDEX(PASTE_ALL,$DF476,$L$17)),INDEX(PASTE_ALL,$DF476,$L$17),SUBSTITUTE(SUBSTITUTE(TRIM(SUBSTITUTE(SUBSTITUTE(SUBSTITUTE(SUBSTITUTE(INDEX(PASTE_ALL,$DF476,$L$17)," "," "),CHAR(9)," "),CHAR(10)," "),CHAR(13)," ")),",",""),"%","")),"")))</f>
        <v/>
      </c>
      <c r="EA476">
        <f>IF($DM476=0,"",IFERROR(IF(ISNUMBER($DZ476),$DZ476,IF($DZ476="","",IF(TRIM($DZ476)="",0,IF(AND(AND(SUBSTITUTE(SUBSTITUTE(SUBSTITUTE(SUBSTITUTE(SUBSTITUTE(SUBSTITUTE(SUBSTITUTE(SUBSTITUTE(SUBSTITUTE(SUBSTITUTE(SUBSTITUTE(SUBSTITUTE(SUBSTITUTE(SUBSTITUTE(UPPER(TRIM($DZ476)),"0",""),"1",""),"2",""),"3",""),"4",""),"5",""),"6",""),"7",""),"8",""),"9",""),".",""),"+",""),"-",""),"E","")="",LEN(SUBSTITUTE(SUBSTITUTE(MID(UPPER(TRIM($DZ476)),1+OR(LEFT(UPPER(TRIM($DZ476)),1)="+",LEFT(UPPER(TRIM($DZ476)),1)="-"),999),"E+","E"),"E-","E"))=LEN(SUBSTITUTE(SUBSTITUTE(SUBSTITUTE(SUBSTITUTE(MID(UPPER(TRIM($DZ476)),1+OR(LEFT(UPPER(TRIM($DZ476)),1)="+",LEFT(UPPER(TRIM($DZ476)),1)="-"),999),"E+","E"),"E-","E"),"+",""),"-","")),LEN(UPPER(TRIM($DZ476)))-LEN(SUBSTITUTE(UPPER(TRIM($DZ476)),"E",""))&lt;2,LEN(UPPER(TRIM($DZ476)))-LEN(SUBSTITUTE(UPPER(TRIM($DZ476)),".",""))&lt;2,IFERROR(FIND(".",UPPER(TRIM($DZ476))),0)&lt;IFERROR(FIND("E",UPPER(TRIM($DZ476))),999)),ISNUMBER(VALUE(TRIM($DZ476)))),VALUE(TRIM($DZ476)),"")))),""))</f>
        <v/>
      </c>
      <c r="EB476">
        <f>IF($DM476=0,"",IF($L$18=0,"",IFERROR(IF(UPPER(TRIM(SUBSTITUTE(SUBSTITUTE(SUBSTITUTE(SUBSTITUTE(INDEX(PASTE_ALL,$DF476,$L$18)," "," "),CHAR(9)," "),CHAR(10)," "),CHAR(13)," ")))="READY","Ready",IF(UPPER(TRIM(SUBSTITUTE(SUBSTITUTE(SUBSTITUTE(SUBSTITUTE(INDEX(PASTE_ALL,$DF476,$L$18)," "," "),CHAR(9)," "),CHAR(10)," "),CHAR(13)," ")))="PM","PM",IF(OR(UPPER(TRIM(SUBSTITUTE(SUBSTITUTE(SUBSTITUTE(SUBSTITUTE(INDEX(PASTE_ALL,$DF476,$L$18)," "," "),CHAR(9)," "),CHAR(10)," "),CHAR(13)," ")))="OT",UPPER(TRIM(SUBSTITUTE(SUBSTITUTE(SUBSTITUTE(SUBSTITUTE(INDEX(PASTE_ALL,$DF476,$L$18)," "," "),CHAR(9)," "),CHAR(10)," "),CHAR(13)," ")))="OVERTIME",UPPER(TRIM(SUBSTITUTE(SUBSTITUTE(SUBSTITUTE(SUBSTITUTE(INDEX(PASTE_ALL,$DF476,$L$18)," "," "),CHAR(9)," "),CHAR(10)," "),CHAR(13)," ")))="TRIAL"),"OT",TRIM(SUBSTITUTE(SUBSTITUTE(SUBSTITUTE(SUBSTITUTE(INDEX(PASTE_ALL,$DF476,$L$18)," "," "),CHAR(9)," "),CHAR(10)," "),CHAR(13)," "))))),"")))</f>
        <v/>
      </c>
      <c r="EC476">
        <f>IF($DM476=0,"",IF($L$19=0,"",IFERROR(IF(ISNUMBER(INDEX(PASTE_ALL,$DF476,$L$19)),INDEX(PASTE_ALL,$DF476,$L$19),TRIM(SUBSTITUTE(SUBSTITUTE(SUBSTITUTE(SUBSTITUTE(INDEX(PASTE_ALL,$DF476,$L$19)," "," "),CHAR(9)," "),CHAR(10)," "),CHAR(13)," "))),"")))</f>
        <v/>
      </c>
      <c r="ED476">
        <f>IF($DM476=0,"",MATCH(1,INDEX(EXACT($DH$5:DH476,$DH476)*$DM$5:DM476,0),0))</f>
        <v/>
      </c>
      <c r="EE476">
        <f>IF($DM476=0,0,IF($ED476=$DE476,1,0))</f>
        <v/>
      </c>
      <c r="EF476">
        <f>EF475+$EE476</f>
        <v/>
      </c>
      <c r="EG476">
        <f>IF($DM476=0,"",INDEX($EF$5:$EF$1003,$ED476))</f>
        <v/>
      </c>
      <c r="EH476">
        <f>IF($DM476=0,"",IF($DO476&lt;&gt;"","",IFERROR(LOOKUP(2,1/(($EG$4:EG475=$EG476)*($DO$4:DO475&lt;&gt;"")),$DO$4:DO475),"")))</f>
        <v/>
      </c>
      <c r="EI476">
        <f>IF($DM476=0,"",IF($DO476&lt;&gt;"",$DO476,$EH476))</f>
        <v/>
      </c>
      <c r="EJ476">
        <f>IF($DM476=0,"",IF($EI476="",0,IF(OR(ISNUMBER($EI476),AND(AND(SUBSTITUTE(SUBSTITUTE(SUBSTITUTE(SUBSTITUTE(SUBSTITUTE(SUBSTITUTE(SUBSTITUTE(SUBSTITUTE(SUBSTITUTE(SUBSTITUTE(SUBSTITUTE(SUBSTITUTE(SUBSTITUTE(SUBSTITUTE(UPPER($EI476),"0",""),"1",""),"2",""),"3",""),"4",""),"5",""),"6",""),"7",""),"8",""),"9",""),".",""),"+",""),"-",""),"E","")="",LEN(SUBSTITUTE(SUBSTITUTE(MID(UPPER($EI476),1+OR(LEFT(UPPER($EI476),1)="+",LEFT(UPPER($EI476),1)="-"),999),"E+","E"),"E-","E"))=LEN(SUBSTITUTE(SUBSTITUTE(SUBSTITUTE(SUBSTITUTE(MID(UPPER($EI476),1+OR(LEFT(UPPER($EI476),1)="+",LEFT(UPPER($EI476),1)="-"),999),"E+","E"),"E-","E"),"+",""),"-","")),LEN(UPPER($EI476))-LEN(SUBSTITUTE(UPPER($EI476),"E",""))&lt;2,LEN(UPPER($EI476))-LEN(SUBSTITUTE(UPPER($EI476),".",""))&lt;2,IFERROR(FIND(".",UPPER($EI476)),0)&lt;IFERROR(FIND("E",UPPER($EI476)),999)),ISNUMBER(VALUE($EI476)))),1,2)))</f>
        <v/>
      </c>
      <c r="EK476">
        <f>IF($DM476=0,"",IF($EJ476=1,IF(ISNUMBER($EI476),$EI476,VALUE($EI476)),IF($EJ476=2,$DE476,0)))</f>
        <v/>
      </c>
      <c r="EL476">
        <f>IF($DM476=0,"",COUNTIF($EG$5:$EG$1003,"&lt;"&amp;$EG476)+SUMPRODUCT(($EG$5:$EG$1003=$EG476)*(($EJ$5:$EJ$1003&lt;$EJ476)+($EJ$5:$EJ$1003=$EJ476)*(($EK$5:$EK$1003&lt;$EK476)+($EK$5:$EK$1003=$EK476)*($DE$5:$DE$1003&lt;$DE476))))+1)</f>
        <v/>
      </c>
      <c r="EM476">
        <f>IF($DM476=0,"",$EL476+$EG476-1)</f>
        <v/>
      </c>
      <c r="EN476">
        <f>IF($DM476=0,0,IFERROR(MATCH(1,INDEX(--(TRIM(SUBSTITUTE(SUBSTITUTE(SUBSTITUTE(SUBSTITUTE(LINES_NAME&amp;""," "," "),CHAR(9)," "),CHAR(10)," "),CHAR(13)," "))=$DH476),0),0),0))</f>
        <v/>
      </c>
      <c r="EO476">
        <f>IF($EN476=0,0,IF(OR(UPPER(TRIM(INDEX(LINES_SCHEDULED,$EN476)&amp;""))="YES",UPPER(TRIM(INDEX(LINES_SCHEDULED,$EN476)&amp;""))="Y",UPPER(TRIM(INDEX(LINES_SCHEDULED,$EN476)&amp;""))="X"),1,0))</f>
        <v/>
      </c>
      <c r="EP476">
        <f>IF($DM476=0,"",IF(COUNTIFS($EG$5:$EG$1003,$EG476,$EB$5:$EB$1003,"Ready")&gt;0,"READY",IF(COUNTIFS($EG$5:$EG$1003,$EG476,$EB$5:$EB$1003,"PM")&gt;0,"PM",IF(COUNTIFS($EG$5:$EG$1003,$EG476,$EB$5:$EB$1003,"OT")&gt;0,"OT",""))))</f>
        <v/>
      </c>
      <c r="EQ476">
        <f>IF($EN476=0,"",UPPER(TRIM(INDEX(LINES_STATUS,$EN476)&amp;"")))</f>
        <v/>
      </c>
      <c r="ER476">
        <f>IF($DM476=0,"",IF(OR($EQ476="READY",$EQ476="PM",$EQ476="OT"),$EQ476,$EP476))</f>
        <v/>
      </c>
      <c r="ES476">
        <f>IF($DM476=0,"",IF(AND($DV476&lt;&gt;"",UPPER($DV476)&lt;&gt;"N"),"allergen",IF(ISNUMBER(SEARCH("oil",$DQ476)),"oil",IF(OR(EXACT($DS476,"A662"),EXACT($DS476,"A624")),"bulk",""))))</f>
        <v/>
      </c>
      <c r="ET476">
        <f>IF($DM476=0,"",IF(OR($EA476="",$EA476=0),"",$EA476/100))</f>
        <v/>
      </c>
      <c r="EU476">
        <f>IF(OR($ET476="",$DY476=""),"",INT($DY476*(1-$ET476)+0.5))</f>
        <v/>
      </c>
      <c r="EW476" t="n">
        <v>472</v>
      </c>
      <c r="EX476">
        <f>IFERROR(MATCH($EW476,$EM$5:$EM$1003,0),0)</f>
        <v/>
      </c>
      <c r="EY476">
        <f>IF($EW476&gt;$B$12,"",IF($EX476&gt;0,"row","spacer"))</f>
        <v/>
      </c>
      <c r="EZ476">
        <f>IF(AND($EY476="row",$EY475&lt;&gt;"row"),1,0)</f>
        <v/>
      </c>
      <c r="FA476">
        <f>IF(AND($EY476="row",$EY477&lt;&gt;"row"),1,0)</f>
        <v/>
      </c>
      <c r="FB476">
        <f>IF($EZ476=1,IFERROR(IF(ISNUMBER(INDEX(PASTE_ALL,INDEX($DF$5:$DF$1003,$EX476),$B$37)),INDEX(PASTE_ALL,INDEX($DF$5:$DF$1003,$EX476),$B$37),INDEX($DH$5:$DH$1003,$EX476)),INDEX($DH$5:$DH$1003,$EX476)),"")</f>
        <v/>
      </c>
      <c r="FC476">
        <f>IF($EY476="row",INDEX($ER$5:$ER$1003,$EX476),"")</f>
        <v/>
      </c>
      <c r="FD476">
        <f>IF($EY476="row",INDEX($DN$5:$DN$1003,$EX476),"")</f>
        <v/>
      </c>
      <c r="FE476">
        <f>IF($EY476="row",INDEX($DO$5:$DO$1003,$EX476),"")</f>
        <v/>
      </c>
      <c r="FF476">
        <f>IF($EY476="row",INDEX($DP$5:$DP$1003,$EX476),"")</f>
        <v/>
      </c>
      <c r="FG476">
        <f>IF($EY476="row",INDEX($DQ$5:$DQ$1003,$EX476),"")</f>
        <v/>
      </c>
      <c r="FH476">
        <f>IF($EY476="row",INDEX($DR$5:$DR$1003,$EX476),"")</f>
        <v/>
      </c>
      <c r="FI476">
        <f>IF($EY476="row",INDEX($DS$5:$DS$1003,$EX476),"")</f>
        <v/>
      </c>
      <c r="FJ476">
        <f>IF($EY476="row",INDEX($DT$5:$DT$1003,$EX476),"")</f>
        <v/>
      </c>
      <c r="FK476">
        <f>IF($EY476="row",INDEX($DU$5:$DU$1003,$EX476),"")</f>
        <v/>
      </c>
      <c r="FL476">
        <f>IF($EY476="row",INDEX($DV$5:$DV$1003,$EX476),"")</f>
        <v/>
      </c>
      <c r="FM476">
        <f>IF($EY476="row",INDEX($DW$5:$DW$1003,$EX476),"")</f>
        <v/>
      </c>
      <c r="FN476">
        <f>IF($EY476="row",INDEX($DY$5:$DY$1003,$EX476),"")</f>
        <v/>
      </c>
      <c r="FO476">
        <f>IF($EY476="row",INDEX($EA$5:$EA$1003,$EX476),"")</f>
        <v/>
      </c>
      <c r="FP476">
        <f>IF($EY476="row",INDEX($EC$5:$EC$1003,$EX476),"")</f>
        <v/>
      </c>
      <c r="FQ476">
        <f>IF($EY476="row",INDEX($ET$5:$ET$1003,$EX476),"")</f>
        <v/>
      </c>
      <c r="FR476">
        <f>IF($EY476="row",INDEX($EU$5:$EU$1003,$EX476),"")</f>
        <v/>
      </c>
      <c r="FS476">
        <f>IF(AND($EY476="row",$EY475="row"),IF(OR(INDEX($DT$5:$DT$1003,$EX475)="",INDEX($DT$5:$DT$1003,$EX476)=""),"",IF(NOT(EXACT(INDEX($DT$5:$DT$1003,$EX475),INDEX($DT$5:$DT$1003,$EX476))),"S4",IF(NOT(EXACT(INDEX($DS$5:$DS$1003,$EX475),INDEX($DS$5:$DS$1003,$EX476))),"S3",IF(NOT(EXACT(INDEX($DR$5:$DR$1003,$EX475),INDEX($DR$5:$DR$1003,$EX476))),"S1 Count Change","S1")))),"")</f>
        <v/>
      </c>
      <c r="FT476">
        <f>IF($EY476="row",INDEX($ES$5:$ES$1003,$EX476),"")</f>
        <v/>
      </c>
      <c r="FU476">
        <f>IF($EY476="row",INDEX($EO$5:$EO$1003,$EX476),0)</f>
        <v/>
      </c>
      <c r="FV476">
        <f>IF($FS476="S1 Count Change",1,0)</f>
        <v/>
      </c>
    </row>
    <row r="477">
      <c r="DA477" t="n">
        <v>473</v>
      </c>
      <c r="DB477">
        <f>IF($B$37=0,"",IFERROR(TRIM(SUBSTITUTE(SUBSTITUTE(SUBSTITUTE(SUBSTITUTE(INDEX(PASTE_ALL,473,$B$37)," "," "),CHAR(9)," "),CHAR(10)," "),CHAR(13)," ")),""))</f>
        <v/>
      </c>
      <c r="DC477">
        <f>IF(AND(473&gt;HEADER_ROW,UPPER(DB477)="LEGEND"),1,0)</f>
        <v/>
      </c>
      <c r="DE477" t="n">
        <v>473</v>
      </c>
      <c r="DF477">
        <f>HEADER_ROW+$DE477</f>
        <v/>
      </c>
      <c r="DG477">
        <f>IF(AND($DF477&lt;=1000,$DF477&lt;$B$8),1,0)</f>
        <v/>
      </c>
      <c r="DH477">
        <f>IF($DG477=1,IFERROR(INDEX($DB$5:$DB$1004,$DF477),""),"")</f>
        <v/>
      </c>
      <c r="DI477">
        <f>IF(AND($DG477=1,$DH477&lt;&gt;""),IFERROR(SUBSTITUTE(SUBSTITUTE(TRIM(SUBSTITUTE(SUBSTITUTE(SUBSTITUTE(SUBSTITUTE(IFERROR(INDEX(PASTE_ALL,$DF477,1)&amp;"","")&amp;"␟"&amp;IFERROR(INDEX(PASTE_ALL,$DF477,2)&amp;"","")&amp;"␟"&amp;IFERROR(INDEX(PASTE_ALL,$DF477,3)&amp;"","")&amp;"␟"&amp;IFERROR(INDEX(PASTE_ALL,$DF477,4)&amp;"","")&amp;"␟"&amp;IFERROR(INDEX(PASTE_ALL,$DF477,5)&amp;"","")&amp;"␟"&amp;IFERROR(INDEX(PASTE_ALL,$DF477,6)&amp;"","")&amp;"␟"&amp;IFERROR(INDEX(PASTE_ALL,$DF477,7)&amp;"","")&amp;"␟"&amp;IFERROR(INDEX(PASTE_ALL,$DF477,8)&amp;"","")&amp;"␟"&amp;IFERROR(INDEX(PASTE_ALL,$DF477,9)&amp;"","")&amp;"␟"&amp;IFERROR(INDEX(PASTE_ALL,$DF477,10)&amp;"","")&amp;"␟"&amp;IFERROR(INDEX(PASTE_ALL,$DF477,11)&amp;"","")&amp;"␟"&amp;IFERROR(INDEX(PASTE_ALL,$DF477,12)&amp;"","")&amp;"␟"&amp;IFERROR(INDEX(PASTE_ALL,$DF477,13)&amp;"","")&amp;"␟"&amp;IFERROR(INDEX(PASTE_ALL,$DF477,14)&amp;"","")&amp;"␟"&amp;IFERROR(INDEX(PASTE_ALL,$DF477,15)&amp;"","")&amp;"␟"&amp;IFERROR(INDEX(PASTE_ALL,$DF477,16)&amp;"","")&amp;"␟"&amp;IFERROR(INDEX(PASTE_ALL,$DF477,17)&amp;"","")&amp;"␟"&amp;IFERROR(INDEX(PASTE_ALL,$DF477,18)&amp;"","")&amp;"␟"&amp;IFERROR(INDEX(PASTE_ALL,$DF477,19)&amp;"","")&amp;"␟"&amp;IFERROR(INDEX(PASTE_ALL,$DF477,20)&amp;"","")&amp;"␟"&amp;IFERROR(INDEX(PASTE_ALL,$DF477,21)&amp;"","")&amp;"␟"&amp;IFERROR(INDEX(PASTE_ALL,$DF477,22)&amp;"","")&amp;"␟"&amp;IFERROR(INDEX(PASTE_ALL,$DF477,23)&amp;"","")&amp;"␟"&amp;IFERROR(INDEX(PASTE_ALL,$DF477,24)&amp;"","")&amp;"␟"&amp;IFERROR(INDEX(PASTE_ALL,$DF477,25)&amp;"","")&amp;"␟"&amp;IFERROR(INDEX(PASTE_ALL,$DF477,26)&amp;"","")&amp;"␟"&amp;IFERROR(INDEX(PASTE_ALL,$DF477,27)&amp;"","")&amp;"␟"&amp;IFERROR(INDEX(PASTE_ALL,$DF477,28)&amp;"","")&amp;"␟"&amp;IFERROR(INDEX(PASTE_ALL,$DF477,29)&amp;"","")&amp;"␟"&amp;IFERROR(INDEX(PASTE_ALL,$DF477,30)&amp;"","")&amp;"␟"&amp;IFERROR(INDEX(PASTE_ALL,$DF477,31)&amp;"","")&amp;"␟"&amp;IFERROR(INDEX(PASTE_ALL,$DF477,32)&amp;"","")&amp;"␟"&amp;IFERROR(INDEX(PASTE_ALL,$DF477,33)&amp;"","")&amp;"␟"&amp;IFERROR(INDEX(PASTE_ALL,$DF477,34)&amp;"","")&amp;"␟"&amp;IFERROR(INDEX(PASTE_ALL,$DF477,35)&amp;"","")&amp;"␟"&amp;IFERROR(INDEX(PASTE_ALL,$DF477,36)&amp;"","")&amp;"␟"&amp;IFERROR(INDEX(PASTE_ALL,$DF477,37)&amp;"","")&amp;"␟"&amp;IFERROR(INDEX(PASTE_ALL,$DF477,38)&amp;"","")&amp;"␟"&amp;IFERROR(INDEX(PASTE_ALL,$DF477,39)&amp;"","")&amp;"␟"&amp;IFERROR(INDEX(PASTE_ALL,$DF477,40)&amp;"","")&amp;"␟"&amp;IFERROR(INDEX(PASTE_ALL,$DF477,41)&amp;"","")&amp;"␟"&amp;IFERROR(INDEX(PASTE_ALL,$DF477,42)&amp;"","")&amp;"␟"&amp;IFERROR(INDEX(PASTE_ALL,$DF477,43)&amp;"","")&amp;"␟"&amp;IFERROR(INDEX(PASTE_ALL,$DF477,44)&amp;"","")&amp;"␟"&amp;IFERROR(INDEX(PASTE_ALL,$DF477,45)&amp;"","")&amp;"␟"&amp;IFERROR(INDEX(PASTE_ALL,$DF477,46)&amp;"","")&amp;"␟"&amp;IFERROR(INDEX(PASTE_ALL,$DF477,47)&amp;"","")&amp;"␟"&amp;IFERROR(INDEX(PASTE_ALL,$DF477,48)&amp;"","")&amp;"␟"&amp;IFERROR(INDEX(PASTE_ALL,$DF477,49)&amp;"","")&amp;"␟"&amp;IFERROR(INDEX(PASTE_ALL,$DF477,50)&amp;"","")&amp;"␟"&amp;IFERROR(INDEX(PASTE_ALL,$DF477,51)&amp;"","")&amp;"␟"&amp;IFERROR(INDEX(PASTE_ALL,$DF477,52)&amp;"","")&amp;"␟"&amp;IFERROR(INDEX(PASTE_ALL,$DF477,53)&amp;"","")&amp;"␟"&amp;IFERROR(INDEX(PASTE_ALL,$DF477,54)&amp;"","")&amp;"␟"&amp;IFERROR(INDEX(PASTE_ALL,$DF477,55)&amp;"","")&amp;"␟"&amp;IFERROR(INDEX(PASTE_ALL,$DF477,56)&amp;"","")&amp;"␟"&amp;IFERROR(INDEX(PASTE_ALL,$DF477,57)&amp;"","")&amp;"␟"&amp;IFERROR(INDEX(PASTE_ALL,$DF477,58)&amp;"","")&amp;"␟"&amp;IFERROR(INDEX(PASTE_ALL,$DF477,59)&amp;"","")&amp;"␟"&amp;IFERROR(INDEX(PASTE_ALL,$DF477,60)&amp;"","")," "," "),CHAR(9)," "),CHAR(10)," "),CHAR(13)," "))," ␟","␟"),"␟ ","␟"),"#"&amp;$DE477),"")</f>
        <v/>
      </c>
      <c r="DJ477">
        <f>IF($DI477="",0,IF(SUMPRODUCT(--EXACT($DI$4:DI476,$DI477))&gt;0,1,0))</f>
        <v/>
      </c>
      <c r="DK477">
        <f>IF(AND($DI477&lt;&gt;"",$DJ477=0),1,0)</f>
        <v/>
      </c>
      <c r="DL477">
        <f>DL476+$DK477</f>
        <v/>
      </c>
      <c r="DM477">
        <f>IF(AND($DK477=1,$DL477&lt;=600),1,0)</f>
        <v/>
      </c>
      <c r="DN477">
        <f>IF($DM477=0,"",IF($L$6=0,"",IFERROR(IF(ISNUMBER(INDEX(PASTE_ALL,$DF477,$L$6)),INDEX(PASTE_ALL,$DF477,$L$6),TRIM(SUBSTITUTE(SUBSTITUTE(SUBSTITUTE(SUBSTITUTE(INDEX(PASTE_ALL,$DF477,$L$6)," "," "),CHAR(9)," "),CHAR(10)," "),CHAR(13)," "))),"")))</f>
        <v/>
      </c>
      <c r="DO477">
        <f>IF($DM477=0,"",IF($L$7=0,"",IFERROR(IF(ISNUMBER(INDEX(PASTE_ALL,$DF477,$L$7)),INDEX(PASTE_ALL,$DF477,$L$7),TRIM(SUBSTITUTE(SUBSTITUTE(SUBSTITUTE(SUBSTITUTE(INDEX(PASTE_ALL,$DF477,$L$7)," "," "),CHAR(9)," "),CHAR(10)," "),CHAR(13)," "))),"")))</f>
        <v/>
      </c>
      <c r="DP477">
        <f>IF($DM477=0,"",IF($L$8=0,"",IFERROR(IF(ISNUMBER(INDEX(PASTE_ALL,$DF477,$L$8)),INDEX(PASTE_ALL,$DF477,$L$8),TRIM(SUBSTITUTE(SUBSTITUTE(SUBSTITUTE(SUBSTITUTE(INDEX(PASTE_ALL,$DF477,$L$8)," "," "),CHAR(9)," "),CHAR(10)," "),CHAR(13)," "))),"")))</f>
        <v/>
      </c>
      <c r="DQ477">
        <f>IF($DM477=0,"",IF($L$9=0,"",IFERROR(IF(ISNUMBER(INDEX(PASTE_ALL,$DF477,$L$9)),INDEX(PASTE_ALL,$DF477,$L$9),TRIM(SUBSTITUTE(SUBSTITUTE(SUBSTITUTE(SUBSTITUTE(INDEX(PASTE_ALL,$DF477,$L$9)," "," "),CHAR(9)," "),CHAR(10)," "),CHAR(13)," "))),"")))</f>
        <v/>
      </c>
      <c r="DR477">
        <f>IF($DM477=0,"",IF($L$10=0,"",IFERROR(IF(ISNUMBER(INDEX(PASTE_ALL,$DF477,$L$10)),INDEX(PASTE_ALL,$DF477,$L$10),TRIM(SUBSTITUTE(SUBSTITUTE(SUBSTITUTE(SUBSTITUTE(INDEX(PASTE_ALL,$DF477,$L$10)," "," "),CHAR(9)," "),CHAR(10)," "),CHAR(13)," "))),"")))</f>
        <v/>
      </c>
      <c r="DS477">
        <f>IF($DM477=0,"",IF($L$11=0,"",IFERROR(IF(ISNUMBER(INDEX(PASTE_ALL,$DF477,$L$11)),INDEX(PASTE_ALL,$DF477,$L$11),TRIM(SUBSTITUTE(SUBSTITUTE(SUBSTITUTE(SUBSTITUTE(INDEX(PASTE_ALL,$DF477,$L$11)," "," "),CHAR(9)," "),CHAR(10)," "),CHAR(13)," "))),"")))</f>
        <v/>
      </c>
      <c r="DT477">
        <f>IF($DM477=0,"",IF($L$12=0,"",IFERROR(IF(ISNUMBER(INDEX(PASTE_ALL,$DF477,$L$12)),INDEX(PASTE_ALL,$DF477,$L$12),TRIM(SUBSTITUTE(SUBSTITUTE(SUBSTITUTE(SUBSTITUTE(INDEX(PASTE_ALL,$DF477,$L$12)," "," "),CHAR(9)," "),CHAR(10)," "),CHAR(13)," "))),"")))</f>
        <v/>
      </c>
      <c r="DU477">
        <f>IF($DM477=0,"",IF($L$13=0,"",IFERROR(IF(ISNUMBER(INDEX(PASTE_ALL,$DF477,$L$13)),INDEX(PASTE_ALL,$DF477,$L$13),TRIM(SUBSTITUTE(SUBSTITUTE(SUBSTITUTE(SUBSTITUTE(INDEX(PASTE_ALL,$DF477,$L$13)," "," "),CHAR(9)," "),CHAR(10)," "),CHAR(13)," "))),"")))</f>
        <v/>
      </c>
      <c r="DV477">
        <f>IF($DM477=0,"",IF($L$14=0,"",IFERROR(IF(ISNUMBER(INDEX(PASTE_ALL,$DF477,$L$14)),INDEX(PASTE_ALL,$DF477,$L$14),TRIM(SUBSTITUTE(SUBSTITUTE(SUBSTITUTE(SUBSTITUTE(INDEX(PASTE_ALL,$DF477,$L$14)," "," "),CHAR(9)," "),CHAR(10)," "),CHAR(13)," "))),"")))</f>
        <v/>
      </c>
      <c r="DW477">
        <f>IF($DM477=0,"",IF($L$15=0,"",IFERROR(IF(ISNUMBER(INDEX(PASTE_ALL,$DF477,$L$15)),INDEX(PASTE_ALL,$DF477,$L$15),IF(SUMPRODUCT(--ISNUMBER(FIND({"A","B","C","D","E","F","G","H","I","J","K","L","M","N","O","P","Q","R","S","T","U","V","W","X","Y","Z","0","1","2","3","4","5","6","7","8","9"},UPPER(TRIM(SUBSTITUTE(SUBSTITUTE(SUBSTITUTE(SUBSTITUTE(INDEX(PASTE_ALL,$DF477,$L$15)," "," "),CHAR(9)," "),CHAR(10)," "),CHAR(13)," "))))))&gt;0,TRIM(SUBSTITUTE(SUBSTITUTE(SUBSTITUTE(SUBSTITUTE(INDEX(PASTE_ALL,$DF477,$L$15)," "," "),CHAR(9)," "),CHAR(10)," "),CHAR(13)," ")),"")),"")))</f>
        <v/>
      </c>
      <c r="DX477">
        <f>IF($DM477=0,"",IF($L$16=0,"",IFERROR(IF(ISNUMBER(INDEX(PASTE_ALL,$DF477,$L$16)),INDEX(PASTE_ALL,$DF477,$L$16),SUBSTITUTE(SUBSTITUTE(TRIM(SUBSTITUTE(SUBSTITUTE(SUBSTITUTE(SUBSTITUTE(INDEX(PASTE_ALL,$DF477,$L$16)," "," "),CHAR(9)," "),CHAR(10)," "),CHAR(13)," ")),",",""),"%","")),"")))</f>
        <v/>
      </c>
      <c r="DY477">
        <f>IF($DM477=0,"",IFERROR(IF(ISNUMBER($DX477),$DX477,IF($DX477="","",IF(TRIM($DX477)="",0,IF(AND(AND(SUBSTITUTE(SUBSTITUTE(SUBSTITUTE(SUBSTITUTE(SUBSTITUTE(SUBSTITUTE(SUBSTITUTE(SUBSTITUTE(SUBSTITUTE(SUBSTITUTE(SUBSTITUTE(SUBSTITUTE(SUBSTITUTE(SUBSTITUTE(UPPER(TRIM($DX477)),"0",""),"1",""),"2",""),"3",""),"4",""),"5",""),"6",""),"7",""),"8",""),"9",""),".",""),"+",""),"-",""),"E","")="",LEN(SUBSTITUTE(SUBSTITUTE(MID(UPPER(TRIM($DX477)),1+OR(LEFT(UPPER(TRIM($DX477)),1)="+",LEFT(UPPER(TRIM($DX477)),1)="-"),999),"E+","E"),"E-","E"))=LEN(SUBSTITUTE(SUBSTITUTE(SUBSTITUTE(SUBSTITUTE(MID(UPPER(TRIM($DX477)),1+OR(LEFT(UPPER(TRIM($DX477)),1)="+",LEFT(UPPER(TRIM($DX477)),1)="-"),999),"E+","E"),"E-","E"),"+",""),"-","")),LEN(UPPER(TRIM($DX477)))-LEN(SUBSTITUTE(UPPER(TRIM($DX477)),"E",""))&lt;2,LEN(UPPER(TRIM($DX477)))-LEN(SUBSTITUTE(UPPER(TRIM($DX477)),".",""))&lt;2,IFERROR(FIND(".",UPPER(TRIM($DX477))),0)&lt;IFERROR(FIND("E",UPPER(TRIM($DX477))),999)),ISNUMBER(VALUE(TRIM($DX477)))),VALUE(TRIM($DX477)),"")))),""))</f>
        <v/>
      </c>
      <c r="DZ477">
        <f>IF($DM477=0,"",IF($L$17=0,"",IFERROR(IF(ISNUMBER(INDEX(PASTE_ALL,$DF477,$L$17)),INDEX(PASTE_ALL,$DF477,$L$17),SUBSTITUTE(SUBSTITUTE(TRIM(SUBSTITUTE(SUBSTITUTE(SUBSTITUTE(SUBSTITUTE(INDEX(PASTE_ALL,$DF477,$L$17)," "," "),CHAR(9)," "),CHAR(10)," "),CHAR(13)," ")),",",""),"%","")),"")))</f>
        <v/>
      </c>
      <c r="EA477">
        <f>IF($DM477=0,"",IFERROR(IF(ISNUMBER($DZ477),$DZ477,IF($DZ477="","",IF(TRIM($DZ477)="",0,IF(AND(AND(SUBSTITUTE(SUBSTITUTE(SUBSTITUTE(SUBSTITUTE(SUBSTITUTE(SUBSTITUTE(SUBSTITUTE(SUBSTITUTE(SUBSTITUTE(SUBSTITUTE(SUBSTITUTE(SUBSTITUTE(SUBSTITUTE(SUBSTITUTE(UPPER(TRIM($DZ477)),"0",""),"1",""),"2",""),"3",""),"4",""),"5",""),"6",""),"7",""),"8",""),"9",""),".",""),"+",""),"-",""),"E","")="",LEN(SUBSTITUTE(SUBSTITUTE(MID(UPPER(TRIM($DZ477)),1+OR(LEFT(UPPER(TRIM($DZ477)),1)="+",LEFT(UPPER(TRIM($DZ477)),1)="-"),999),"E+","E"),"E-","E"))=LEN(SUBSTITUTE(SUBSTITUTE(SUBSTITUTE(SUBSTITUTE(MID(UPPER(TRIM($DZ477)),1+OR(LEFT(UPPER(TRIM($DZ477)),1)="+",LEFT(UPPER(TRIM($DZ477)),1)="-"),999),"E+","E"),"E-","E"),"+",""),"-","")),LEN(UPPER(TRIM($DZ477)))-LEN(SUBSTITUTE(UPPER(TRIM($DZ477)),"E",""))&lt;2,LEN(UPPER(TRIM($DZ477)))-LEN(SUBSTITUTE(UPPER(TRIM($DZ477)),".",""))&lt;2,IFERROR(FIND(".",UPPER(TRIM($DZ477))),0)&lt;IFERROR(FIND("E",UPPER(TRIM($DZ477))),999)),ISNUMBER(VALUE(TRIM($DZ477)))),VALUE(TRIM($DZ477)),"")))),""))</f>
        <v/>
      </c>
      <c r="EB477">
        <f>IF($DM477=0,"",IF($L$18=0,"",IFERROR(IF(UPPER(TRIM(SUBSTITUTE(SUBSTITUTE(SUBSTITUTE(SUBSTITUTE(INDEX(PASTE_ALL,$DF477,$L$18)," "," "),CHAR(9)," "),CHAR(10)," "),CHAR(13)," ")))="READY","Ready",IF(UPPER(TRIM(SUBSTITUTE(SUBSTITUTE(SUBSTITUTE(SUBSTITUTE(INDEX(PASTE_ALL,$DF477,$L$18)," "," "),CHAR(9)," "),CHAR(10)," "),CHAR(13)," ")))="PM","PM",IF(OR(UPPER(TRIM(SUBSTITUTE(SUBSTITUTE(SUBSTITUTE(SUBSTITUTE(INDEX(PASTE_ALL,$DF477,$L$18)," "," "),CHAR(9)," "),CHAR(10)," "),CHAR(13)," ")))="OT",UPPER(TRIM(SUBSTITUTE(SUBSTITUTE(SUBSTITUTE(SUBSTITUTE(INDEX(PASTE_ALL,$DF477,$L$18)," "," "),CHAR(9)," "),CHAR(10)," "),CHAR(13)," ")))="OVERTIME",UPPER(TRIM(SUBSTITUTE(SUBSTITUTE(SUBSTITUTE(SUBSTITUTE(INDEX(PASTE_ALL,$DF477,$L$18)," "," "),CHAR(9)," "),CHAR(10)," "),CHAR(13)," ")))="TRIAL"),"OT",TRIM(SUBSTITUTE(SUBSTITUTE(SUBSTITUTE(SUBSTITUTE(INDEX(PASTE_ALL,$DF477,$L$18)," "," "),CHAR(9)," "),CHAR(10)," "),CHAR(13)," "))))),"")))</f>
        <v/>
      </c>
      <c r="EC477">
        <f>IF($DM477=0,"",IF($L$19=0,"",IFERROR(IF(ISNUMBER(INDEX(PASTE_ALL,$DF477,$L$19)),INDEX(PASTE_ALL,$DF477,$L$19),TRIM(SUBSTITUTE(SUBSTITUTE(SUBSTITUTE(SUBSTITUTE(INDEX(PASTE_ALL,$DF477,$L$19)," "," "),CHAR(9)," "),CHAR(10)," "),CHAR(13)," "))),"")))</f>
        <v/>
      </c>
      <c r="ED477">
        <f>IF($DM477=0,"",MATCH(1,INDEX(EXACT($DH$5:DH477,$DH477)*$DM$5:DM477,0),0))</f>
        <v/>
      </c>
      <c r="EE477">
        <f>IF($DM477=0,0,IF($ED477=$DE477,1,0))</f>
        <v/>
      </c>
      <c r="EF477">
        <f>EF476+$EE477</f>
        <v/>
      </c>
      <c r="EG477">
        <f>IF($DM477=0,"",INDEX($EF$5:$EF$1003,$ED477))</f>
        <v/>
      </c>
      <c r="EH477">
        <f>IF($DM477=0,"",IF($DO477&lt;&gt;"","",IFERROR(LOOKUP(2,1/(($EG$4:EG476=$EG477)*($DO$4:DO476&lt;&gt;"")),$DO$4:DO476),"")))</f>
        <v/>
      </c>
      <c r="EI477">
        <f>IF($DM477=0,"",IF($DO477&lt;&gt;"",$DO477,$EH477))</f>
        <v/>
      </c>
      <c r="EJ477">
        <f>IF($DM477=0,"",IF($EI477="",0,IF(OR(ISNUMBER($EI477),AND(AND(SUBSTITUTE(SUBSTITUTE(SUBSTITUTE(SUBSTITUTE(SUBSTITUTE(SUBSTITUTE(SUBSTITUTE(SUBSTITUTE(SUBSTITUTE(SUBSTITUTE(SUBSTITUTE(SUBSTITUTE(SUBSTITUTE(SUBSTITUTE(UPPER($EI477),"0",""),"1",""),"2",""),"3",""),"4",""),"5",""),"6",""),"7",""),"8",""),"9",""),".",""),"+",""),"-",""),"E","")="",LEN(SUBSTITUTE(SUBSTITUTE(MID(UPPER($EI477),1+OR(LEFT(UPPER($EI477),1)="+",LEFT(UPPER($EI477),1)="-"),999),"E+","E"),"E-","E"))=LEN(SUBSTITUTE(SUBSTITUTE(SUBSTITUTE(SUBSTITUTE(MID(UPPER($EI477),1+OR(LEFT(UPPER($EI477),1)="+",LEFT(UPPER($EI477),1)="-"),999),"E+","E"),"E-","E"),"+",""),"-","")),LEN(UPPER($EI477))-LEN(SUBSTITUTE(UPPER($EI477),"E",""))&lt;2,LEN(UPPER($EI477))-LEN(SUBSTITUTE(UPPER($EI477),".",""))&lt;2,IFERROR(FIND(".",UPPER($EI477)),0)&lt;IFERROR(FIND("E",UPPER($EI477)),999)),ISNUMBER(VALUE($EI477)))),1,2)))</f>
        <v/>
      </c>
      <c r="EK477">
        <f>IF($DM477=0,"",IF($EJ477=1,IF(ISNUMBER($EI477),$EI477,VALUE($EI477)),IF($EJ477=2,$DE477,0)))</f>
        <v/>
      </c>
      <c r="EL477">
        <f>IF($DM477=0,"",COUNTIF($EG$5:$EG$1003,"&lt;"&amp;$EG477)+SUMPRODUCT(($EG$5:$EG$1003=$EG477)*(($EJ$5:$EJ$1003&lt;$EJ477)+($EJ$5:$EJ$1003=$EJ477)*(($EK$5:$EK$1003&lt;$EK477)+($EK$5:$EK$1003=$EK477)*($DE$5:$DE$1003&lt;$DE477))))+1)</f>
        <v/>
      </c>
      <c r="EM477">
        <f>IF($DM477=0,"",$EL477+$EG477-1)</f>
        <v/>
      </c>
      <c r="EN477">
        <f>IF($DM477=0,0,IFERROR(MATCH(1,INDEX(--(TRIM(SUBSTITUTE(SUBSTITUTE(SUBSTITUTE(SUBSTITUTE(LINES_NAME&amp;""," "," "),CHAR(9)," "),CHAR(10)," "),CHAR(13)," "))=$DH477),0),0),0))</f>
        <v/>
      </c>
      <c r="EO477">
        <f>IF($EN477=0,0,IF(OR(UPPER(TRIM(INDEX(LINES_SCHEDULED,$EN477)&amp;""))="YES",UPPER(TRIM(INDEX(LINES_SCHEDULED,$EN477)&amp;""))="Y",UPPER(TRIM(INDEX(LINES_SCHEDULED,$EN477)&amp;""))="X"),1,0))</f>
        <v/>
      </c>
      <c r="EP477">
        <f>IF($DM477=0,"",IF(COUNTIFS($EG$5:$EG$1003,$EG477,$EB$5:$EB$1003,"Ready")&gt;0,"READY",IF(COUNTIFS($EG$5:$EG$1003,$EG477,$EB$5:$EB$1003,"PM")&gt;0,"PM",IF(COUNTIFS($EG$5:$EG$1003,$EG477,$EB$5:$EB$1003,"OT")&gt;0,"OT",""))))</f>
        <v/>
      </c>
      <c r="EQ477">
        <f>IF($EN477=0,"",UPPER(TRIM(INDEX(LINES_STATUS,$EN477)&amp;"")))</f>
        <v/>
      </c>
      <c r="ER477">
        <f>IF($DM477=0,"",IF(OR($EQ477="READY",$EQ477="PM",$EQ477="OT"),$EQ477,$EP477))</f>
        <v/>
      </c>
      <c r="ES477">
        <f>IF($DM477=0,"",IF(AND($DV477&lt;&gt;"",UPPER($DV477)&lt;&gt;"N"),"allergen",IF(ISNUMBER(SEARCH("oil",$DQ477)),"oil",IF(OR(EXACT($DS477,"A662"),EXACT($DS477,"A624")),"bulk",""))))</f>
        <v/>
      </c>
      <c r="ET477">
        <f>IF($DM477=0,"",IF(OR($EA477="",$EA477=0),"",$EA477/100))</f>
        <v/>
      </c>
      <c r="EU477">
        <f>IF(OR($ET477="",$DY477=""),"",INT($DY477*(1-$ET477)+0.5))</f>
        <v/>
      </c>
      <c r="EW477" t="n">
        <v>473</v>
      </c>
      <c r="EX477">
        <f>IFERROR(MATCH($EW477,$EM$5:$EM$1003,0),0)</f>
        <v/>
      </c>
      <c r="EY477">
        <f>IF($EW477&gt;$B$12,"",IF($EX477&gt;0,"row","spacer"))</f>
        <v/>
      </c>
      <c r="EZ477">
        <f>IF(AND($EY477="row",$EY476&lt;&gt;"row"),1,0)</f>
        <v/>
      </c>
      <c r="FA477">
        <f>IF(AND($EY477="row",$EY478&lt;&gt;"row"),1,0)</f>
        <v/>
      </c>
      <c r="FB477">
        <f>IF($EZ477=1,IFERROR(IF(ISNUMBER(INDEX(PASTE_ALL,INDEX($DF$5:$DF$1003,$EX477),$B$37)),INDEX(PASTE_ALL,INDEX($DF$5:$DF$1003,$EX477),$B$37),INDEX($DH$5:$DH$1003,$EX477)),INDEX($DH$5:$DH$1003,$EX477)),"")</f>
        <v/>
      </c>
      <c r="FC477">
        <f>IF($EY477="row",INDEX($ER$5:$ER$1003,$EX477),"")</f>
        <v/>
      </c>
      <c r="FD477">
        <f>IF($EY477="row",INDEX($DN$5:$DN$1003,$EX477),"")</f>
        <v/>
      </c>
      <c r="FE477">
        <f>IF($EY477="row",INDEX($DO$5:$DO$1003,$EX477),"")</f>
        <v/>
      </c>
      <c r="FF477">
        <f>IF($EY477="row",INDEX($DP$5:$DP$1003,$EX477),"")</f>
        <v/>
      </c>
      <c r="FG477">
        <f>IF($EY477="row",INDEX($DQ$5:$DQ$1003,$EX477),"")</f>
        <v/>
      </c>
      <c r="FH477">
        <f>IF($EY477="row",INDEX($DR$5:$DR$1003,$EX477),"")</f>
        <v/>
      </c>
      <c r="FI477">
        <f>IF($EY477="row",INDEX($DS$5:$DS$1003,$EX477),"")</f>
        <v/>
      </c>
      <c r="FJ477">
        <f>IF($EY477="row",INDEX($DT$5:$DT$1003,$EX477),"")</f>
        <v/>
      </c>
      <c r="FK477">
        <f>IF($EY477="row",INDEX($DU$5:$DU$1003,$EX477),"")</f>
        <v/>
      </c>
      <c r="FL477">
        <f>IF($EY477="row",INDEX($DV$5:$DV$1003,$EX477),"")</f>
        <v/>
      </c>
      <c r="FM477">
        <f>IF($EY477="row",INDEX($DW$5:$DW$1003,$EX477),"")</f>
        <v/>
      </c>
      <c r="FN477">
        <f>IF($EY477="row",INDEX($DY$5:$DY$1003,$EX477),"")</f>
        <v/>
      </c>
      <c r="FO477">
        <f>IF($EY477="row",INDEX($EA$5:$EA$1003,$EX477),"")</f>
        <v/>
      </c>
      <c r="FP477">
        <f>IF($EY477="row",INDEX($EC$5:$EC$1003,$EX477),"")</f>
        <v/>
      </c>
      <c r="FQ477">
        <f>IF($EY477="row",INDEX($ET$5:$ET$1003,$EX477),"")</f>
        <v/>
      </c>
      <c r="FR477">
        <f>IF($EY477="row",INDEX($EU$5:$EU$1003,$EX477),"")</f>
        <v/>
      </c>
      <c r="FS477">
        <f>IF(AND($EY477="row",$EY476="row"),IF(OR(INDEX($DT$5:$DT$1003,$EX476)="",INDEX($DT$5:$DT$1003,$EX477)=""),"",IF(NOT(EXACT(INDEX($DT$5:$DT$1003,$EX476),INDEX($DT$5:$DT$1003,$EX477))),"S4",IF(NOT(EXACT(INDEX($DS$5:$DS$1003,$EX476),INDEX($DS$5:$DS$1003,$EX477))),"S3",IF(NOT(EXACT(INDEX($DR$5:$DR$1003,$EX476),INDEX($DR$5:$DR$1003,$EX477))),"S1 Count Change","S1")))),"")</f>
        <v/>
      </c>
      <c r="FT477">
        <f>IF($EY477="row",INDEX($ES$5:$ES$1003,$EX477),"")</f>
        <v/>
      </c>
      <c r="FU477">
        <f>IF($EY477="row",INDEX($EO$5:$EO$1003,$EX477),0)</f>
        <v/>
      </c>
      <c r="FV477">
        <f>IF($FS477="S1 Count Change",1,0)</f>
        <v/>
      </c>
    </row>
    <row r="478">
      <c r="DA478" t="n">
        <v>474</v>
      </c>
      <c r="DB478">
        <f>IF($B$37=0,"",IFERROR(TRIM(SUBSTITUTE(SUBSTITUTE(SUBSTITUTE(SUBSTITUTE(INDEX(PASTE_ALL,474,$B$37)," "," "),CHAR(9)," "),CHAR(10)," "),CHAR(13)," ")),""))</f>
        <v/>
      </c>
      <c r="DC478">
        <f>IF(AND(474&gt;HEADER_ROW,UPPER(DB478)="LEGEND"),1,0)</f>
        <v/>
      </c>
      <c r="DE478" t="n">
        <v>474</v>
      </c>
      <c r="DF478">
        <f>HEADER_ROW+$DE478</f>
        <v/>
      </c>
      <c r="DG478">
        <f>IF(AND($DF478&lt;=1000,$DF478&lt;$B$8),1,0)</f>
        <v/>
      </c>
      <c r="DH478">
        <f>IF($DG478=1,IFERROR(INDEX($DB$5:$DB$1004,$DF478),""),"")</f>
        <v/>
      </c>
      <c r="DI478">
        <f>IF(AND($DG478=1,$DH478&lt;&gt;""),IFERROR(SUBSTITUTE(SUBSTITUTE(TRIM(SUBSTITUTE(SUBSTITUTE(SUBSTITUTE(SUBSTITUTE(IFERROR(INDEX(PASTE_ALL,$DF478,1)&amp;"","")&amp;"␟"&amp;IFERROR(INDEX(PASTE_ALL,$DF478,2)&amp;"","")&amp;"␟"&amp;IFERROR(INDEX(PASTE_ALL,$DF478,3)&amp;"","")&amp;"␟"&amp;IFERROR(INDEX(PASTE_ALL,$DF478,4)&amp;"","")&amp;"␟"&amp;IFERROR(INDEX(PASTE_ALL,$DF478,5)&amp;"","")&amp;"␟"&amp;IFERROR(INDEX(PASTE_ALL,$DF478,6)&amp;"","")&amp;"␟"&amp;IFERROR(INDEX(PASTE_ALL,$DF478,7)&amp;"","")&amp;"␟"&amp;IFERROR(INDEX(PASTE_ALL,$DF478,8)&amp;"","")&amp;"␟"&amp;IFERROR(INDEX(PASTE_ALL,$DF478,9)&amp;"","")&amp;"␟"&amp;IFERROR(INDEX(PASTE_ALL,$DF478,10)&amp;"","")&amp;"␟"&amp;IFERROR(INDEX(PASTE_ALL,$DF478,11)&amp;"","")&amp;"␟"&amp;IFERROR(INDEX(PASTE_ALL,$DF478,12)&amp;"","")&amp;"␟"&amp;IFERROR(INDEX(PASTE_ALL,$DF478,13)&amp;"","")&amp;"␟"&amp;IFERROR(INDEX(PASTE_ALL,$DF478,14)&amp;"","")&amp;"␟"&amp;IFERROR(INDEX(PASTE_ALL,$DF478,15)&amp;"","")&amp;"␟"&amp;IFERROR(INDEX(PASTE_ALL,$DF478,16)&amp;"","")&amp;"␟"&amp;IFERROR(INDEX(PASTE_ALL,$DF478,17)&amp;"","")&amp;"␟"&amp;IFERROR(INDEX(PASTE_ALL,$DF478,18)&amp;"","")&amp;"␟"&amp;IFERROR(INDEX(PASTE_ALL,$DF478,19)&amp;"","")&amp;"␟"&amp;IFERROR(INDEX(PASTE_ALL,$DF478,20)&amp;"","")&amp;"␟"&amp;IFERROR(INDEX(PASTE_ALL,$DF478,21)&amp;"","")&amp;"␟"&amp;IFERROR(INDEX(PASTE_ALL,$DF478,22)&amp;"","")&amp;"␟"&amp;IFERROR(INDEX(PASTE_ALL,$DF478,23)&amp;"","")&amp;"␟"&amp;IFERROR(INDEX(PASTE_ALL,$DF478,24)&amp;"","")&amp;"␟"&amp;IFERROR(INDEX(PASTE_ALL,$DF478,25)&amp;"","")&amp;"␟"&amp;IFERROR(INDEX(PASTE_ALL,$DF478,26)&amp;"","")&amp;"␟"&amp;IFERROR(INDEX(PASTE_ALL,$DF478,27)&amp;"","")&amp;"␟"&amp;IFERROR(INDEX(PASTE_ALL,$DF478,28)&amp;"","")&amp;"␟"&amp;IFERROR(INDEX(PASTE_ALL,$DF478,29)&amp;"","")&amp;"␟"&amp;IFERROR(INDEX(PASTE_ALL,$DF478,30)&amp;"","")&amp;"␟"&amp;IFERROR(INDEX(PASTE_ALL,$DF478,31)&amp;"","")&amp;"␟"&amp;IFERROR(INDEX(PASTE_ALL,$DF478,32)&amp;"","")&amp;"␟"&amp;IFERROR(INDEX(PASTE_ALL,$DF478,33)&amp;"","")&amp;"␟"&amp;IFERROR(INDEX(PASTE_ALL,$DF478,34)&amp;"","")&amp;"␟"&amp;IFERROR(INDEX(PASTE_ALL,$DF478,35)&amp;"","")&amp;"␟"&amp;IFERROR(INDEX(PASTE_ALL,$DF478,36)&amp;"","")&amp;"␟"&amp;IFERROR(INDEX(PASTE_ALL,$DF478,37)&amp;"","")&amp;"␟"&amp;IFERROR(INDEX(PASTE_ALL,$DF478,38)&amp;"","")&amp;"␟"&amp;IFERROR(INDEX(PASTE_ALL,$DF478,39)&amp;"","")&amp;"␟"&amp;IFERROR(INDEX(PASTE_ALL,$DF478,40)&amp;"","")&amp;"␟"&amp;IFERROR(INDEX(PASTE_ALL,$DF478,41)&amp;"","")&amp;"␟"&amp;IFERROR(INDEX(PASTE_ALL,$DF478,42)&amp;"","")&amp;"␟"&amp;IFERROR(INDEX(PASTE_ALL,$DF478,43)&amp;"","")&amp;"␟"&amp;IFERROR(INDEX(PASTE_ALL,$DF478,44)&amp;"","")&amp;"␟"&amp;IFERROR(INDEX(PASTE_ALL,$DF478,45)&amp;"","")&amp;"␟"&amp;IFERROR(INDEX(PASTE_ALL,$DF478,46)&amp;"","")&amp;"␟"&amp;IFERROR(INDEX(PASTE_ALL,$DF478,47)&amp;"","")&amp;"␟"&amp;IFERROR(INDEX(PASTE_ALL,$DF478,48)&amp;"","")&amp;"␟"&amp;IFERROR(INDEX(PASTE_ALL,$DF478,49)&amp;"","")&amp;"␟"&amp;IFERROR(INDEX(PASTE_ALL,$DF478,50)&amp;"","")&amp;"␟"&amp;IFERROR(INDEX(PASTE_ALL,$DF478,51)&amp;"","")&amp;"␟"&amp;IFERROR(INDEX(PASTE_ALL,$DF478,52)&amp;"","")&amp;"␟"&amp;IFERROR(INDEX(PASTE_ALL,$DF478,53)&amp;"","")&amp;"␟"&amp;IFERROR(INDEX(PASTE_ALL,$DF478,54)&amp;"","")&amp;"␟"&amp;IFERROR(INDEX(PASTE_ALL,$DF478,55)&amp;"","")&amp;"␟"&amp;IFERROR(INDEX(PASTE_ALL,$DF478,56)&amp;"","")&amp;"␟"&amp;IFERROR(INDEX(PASTE_ALL,$DF478,57)&amp;"","")&amp;"␟"&amp;IFERROR(INDEX(PASTE_ALL,$DF478,58)&amp;"","")&amp;"␟"&amp;IFERROR(INDEX(PASTE_ALL,$DF478,59)&amp;"","")&amp;"␟"&amp;IFERROR(INDEX(PASTE_ALL,$DF478,60)&amp;"","")," "," "),CHAR(9)," "),CHAR(10)," "),CHAR(13)," "))," ␟","␟"),"␟ ","␟"),"#"&amp;$DE478),"")</f>
        <v/>
      </c>
      <c r="DJ478">
        <f>IF($DI478="",0,IF(SUMPRODUCT(--EXACT($DI$4:DI477,$DI478))&gt;0,1,0))</f>
        <v/>
      </c>
      <c r="DK478">
        <f>IF(AND($DI478&lt;&gt;"",$DJ478=0),1,0)</f>
        <v/>
      </c>
      <c r="DL478">
        <f>DL477+$DK478</f>
        <v/>
      </c>
      <c r="DM478">
        <f>IF(AND($DK478=1,$DL478&lt;=600),1,0)</f>
        <v/>
      </c>
      <c r="DN478">
        <f>IF($DM478=0,"",IF($L$6=0,"",IFERROR(IF(ISNUMBER(INDEX(PASTE_ALL,$DF478,$L$6)),INDEX(PASTE_ALL,$DF478,$L$6),TRIM(SUBSTITUTE(SUBSTITUTE(SUBSTITUTE(SUBSTITUTE(INDEX(PASTE_ALL,$DF478,$L$6)," "," "),CHAR(9)," "),CHAR(10)," "),CHAR(13)," "))),"")))</f>
        <v/>
      </c>
      <c r="DO478">
        <f>IF($DM478=0,"",IF($L$7=0,"",IFERROR(IF(ISNUMBER(INDEX(PASTE_ALL,$DF478,$L$7)),INDEX(PASTE_ALL,$DF478,$L$7),TRIM(SUBSTITUTE(SUBSTITUTE(SUBSTITUTE(SUBSTITUTE(INDEX(PASTE_ALL,$DF478,$L$7)," "," "),CHAR(9)," "),CHAR(10)," "),CHAR(13)," "))),"")))</f>
        <v/>
      </c>
      <c r="DP478">
        <f>IF($DM478=0,"",IF($L$8=0,"",IFERROR(IF(ISNUMBER(INDEX(PASTE_ALL,$DF478,$L$8)),INDEX(PASTE_ALL,$DF478,$L$8),TRIM(SUBSTITUTE(SUBSTITUTE(SUBSTITUTE(SUBSTITUTE(INDEX(PASTE_ALL,$DF478,$L$8)," "," "),CHAR(9)," "),CHAR(10)," "),CHAR(13)," "))),"")))</f>
        <v/>
      </c>
      <c r="DQ478">
        <f>IF($DM478=0,"",IF($L$9=0,"",IFERROR(IF(ISNUMBER(INDEX(PASTE_ALL,$DF478,$L$9)),INDEX(PASTE_ALL,$DF478,$L$9),TRIM(SUBSTITUTE(SUBSTITUTE(SUBSTITUTE(SUBSTITUTE(INDEX(PASTE_ALL,$DF478,$L$9)," "," "),CHAR(9)," "),CHAR(10)," "),CHAR(13)," "))),"")))</f>
        <v/>
      </c>
      <c r="DR478">
        <f>IF($DM478=0,"",IF($L$10=0,"",IFERROR(IF(ISNUMBER(INDEX(PASTE_ALL,$DF478,$L$10)),INDEX(PASTE_ALL,$DF478,$L$10),TRIM(SUBSTITUTE(SUBSTITUTE(SUBSTITUTE(SUBSTITUTE(INDEX(PASTE_ALL,$DF478,$L$10)," "," "),CHAR(9)," "),CHAR(10)," "),CHAR(13)," "))),"")))</f>
        <v/>
      </c>
      <c r="DS478">
        <f>IF($DM478=0,"",IF($L$11=0,"",IFERROR(IF(ISNUMBER(INDEX(PASTE_ALL,$DF478,$L$11)),INDEX(PASTE_ALL,$DF478,$L$11),TRIM(SUBSTITUTE(SUBSTITUTE(SUBSTITUTE(SUBSTITUTE(INDEX(PASTE_ALL,$DF478,$L$11)," "," "),CHAR(9)," "),CHAR(10)," "),CHAR(13)," "))),"")))</f>
        <v/>
      </c>
      <c r="DT478">
        <f>IF($DM478=0,"",IF($L$12=0,"",IFERROR(IF(ISNUMBER(INDEX(PASTE_ALL,$DF478,$L$12)),INDEX(PASTE_ALL,$DF478,$L$12),TRIM(SUBSTITUTE(SUBSTITUTE(SUBSTITUTE(SUBSTITUTE(INDEX(PASTE_ALL,$DF478,$L$12)," "," "),CHAR(9)," "),CHAR(10)," "),CHAR(13)," "))),"")))</f>
        <v/>
      </c>
      <c r="DU478">
        <f>IF($DM478=0,"",IF($L$13=0,"",IFERROR(IF(ISNUMBER(INDEX(PASTE_ALL,$DF478,$L$13)),INDEX(PASTE_ALL,$DF478,$L$13),TRIM(SUBSTITUTE(SUBSTITUTE(SUBSTITUTE(SUBSTITUTE(INDEX(PASTE_ALL,$DF478,$L$13)," "," "),CHAR(9)," "),CHAR(10)," "),CHAR(13)," "))),"")))</f>
        <v/>
      </c>
      <c r="DV478">
        <f>IF($DM478=0,"",IF($L$14=0,"",IFERROR(IF(ISNUMBER(INDEX(PASTE_ALL,$DF478,$L$14)),INDEX(PASTE_ALL,$DF478,$L$14),TRIM(SUBSTITUTE(SUBSTITUTE(SUBSTITUTE(SUBSTITUTE(INDEX(PASTE_ALL,$DF478,$L$14)," "," "),CHAR(9)," "),CHAR(10)," "),CHAR(13)," "))),"")))</f>
        <v/>
      </c>
      <c r="DW478">
        <f>IF($DM478=0,"",IF($L$15=0,"",IFERROR(IF(ISNUMBER(INDEX(PASTE_ALL,$DF478,$L$15)),INDEX(PASTE_ALL,$DF478,$L$15),IF(SUMPRODUCT(--ISNUMBER(FIND({"A","B","C","D","E","F","G","H","I","J","K","L","M","N","O","P","Q","R","S","T","U","V","W","X","Y","Z","0","1","2","3","4","5","6","7","8","9"},UPPER(TRIM(SUBSTITUTE(SUBSTITUTE(SUBSTITUTE(SUBSTITUTE(INDEX(PASTE_ALL,$DF478,$L$15)," "," "),CHAR(9)," "),CHAR(10)," "),CHAR(13)," "))))))&gt;0,TRIM(SUBSTITUTE(SUBSTITUTE(SUBSTITUTE(SUBSTITUTE(INDEX(PASTE_ALL,$DF478,$L$15)," "," "),CHAR(9)," "),CHAR(10)," "),CHAR(13)," ")),"")),"")))</f>
        <v/>
      </c>
      <c r="DX478">
        <f>IF($DM478=0,"",IF($L$16=0,"",IFERROR(IF(ISNUMBER(INDEX(PASTE_ALL,$DF478,$L$16)),INDEX(PASTE_ALL,$DF478,$L$16),SUBSTITUTE(SUBSTITUTE(TRIM(SUBSTITUTE(SUBSTITUTE(SUBSTITUTE(SUBSTITUTE(INDEX(PASTE_ALL,$DF478,$L$16)," "," "),CHAR(9)," "),CHAR(10)," "),CHAR(13)," ")),",",""),"%","")),"")))</f>
        <v/>
      </c>
      <c r="DY478">
        <f>IF($DM478=0,"",IFERROR(IF(ISNUMBER($DX478),$DX478,IF($DX478="","",IF(TRIM($DX478)="",0,IF(AND(AND(SUBSTITUTE(SUBSTITUTE(SUBSTITUTE(SUBSTITUTE(SUBSTITUTE(SUBSTITUTE(SUBSTITUTE(SUBSTITUTE(SUBSTITUTE(SUBSTITUTE(SUBSTITUTE(SUBSTITUTE(SUBSTITUTE(SUBSTITUTE(UPPER(TRIM($DX478)),"0",""),"1",""),"2",""),"3",""),"4",""),"5",""),"6",""),"7",""),"8",""),"9",""),".",""),"+",""),"-",""),"E","")="",LEN(SUBSTITUTE(SUBSTITUTE(MID(UPPER(TRIM($DX478)),1+OR(LEFT(UPPER(TRIM($DX478)),1)="+",LEFT(UPPER(TRIM($DX478)),1)="-"),999),"E+","E"),"E-","E"))=LEN(SUBSTITUTE(SUBSTITUTE(SUBSTITUTE(SUBSTITUTE(MID(UPPER(TRIM($DX478)),1+OR(LEFT(UPPER(TRIM($DX478)),1)="+",LEFT(UPPER(TRIM($DX478)),1)="-"),999),"E+","E"),"E-","E"),"+",""),"-","")),LEN(UPPER(TRIM($DX478)))-LEN(SUBSTITUTE(UPPER(TRIM($DX478)),"E",""))&lt;2,LEN(UPPER(TRIM($DX478)))-LEN(SUBSTITUTE(UPPER(TRIM($DX478)),".",""))&lt;2,IFERROR(FIND(".",UPPER(TRIM($DX478))),0)&lt;IFERROR(FIND("E",UPPER(TRIM($DX478))),999)),ISNUMBER(VALUE(TRIM($DX478)))),VALUE(TRIM($DX478)),"")))),""))</f>
        <v/>
      </c>
      <c r="DZ478">
        <f>IF($DM478=0,"",IF($L$17=0,"",IFERROR(IF(ISNUMBER(INDEX(PASTE_ALL,$DF478,$L$17)),INDEX(PASTE_ALL,$DF478,$L$17),SUBSTITUTE(SUBSTITUTE(TRIM(SUBSTITUTE(SUBSTITUTE(SUBSTITUTE(SUBSTITUTE(INDEX(PASTE_ALL,$DF478,$L$17)," "," "),CHAR(9)," "),CHAR(10)," "),CHAR(13)," ")),",",""),"%","")),"")))</f>
        <v/>
      </c>
      <c r="EA478">
        <f>IF($DM478=0,"",IFERROR(IF(ISNUMBER($DZ478),$DZ478,IF($DZ478="","",IF(TRIM($DZ478)="",0,IF(AND(AND(SUBSTITUTE(SUBSTITUTE(SUBSTITUTE(SUBSTITUTE(SUBSTITUTE(SUBSTITUTE(SUBSTITUTE(SUBSTITUTE(SUBSTITUTE(SUBSTITUTE(SUBSTITUTE(SUBSTITUTE(SUBSTITUTE(SUBSTITUTE(UPPER(TRIM($DZ478)),"0",""),"1",""),"2",""),"3",""),"4",""),"5",""),"6",""),"7",""),"8",""),"9",""),".",""),"+",""),"-",""),"E","")="",LEN(SUBSTITUTE(SUBSTITUTE(MID(UPPER(TRIM($DZ478)),1+OR(LEFT(UPPER(TRIM($DZ478)),1)="+",LEFT(UPPER(TRIM($DZ478)),1)="-"),999),"E+","E"),"E-","E"))=LEN(SUBSTITUTE(SUBSTITUTE(SUBSTITUTE(SUBSTITUTE(MID(UPPER(TRIM($DZ478)),1+OR(LEFT(UPPER(TRIM($DZ478)),1)="+",LEFT(UPPER(TRIM($DZ478)),1)="-"),999),"E+","E"),"E-","E"),"+",""),"-","")),LEN(UPPER(TRIM($DZ478)))-LEN(SUBSTITUTE(UPPER(TRIM($DZ478)),"E",""))&lt;2,LEN(UPPER(TRIM($DZ478)))-LEN(SUBSTITUTE(UPPER(TRIM($DZ478)),".",""))&lt;2,IFERROR(FIND(".",UPPER(TRIM($DZ478))),0)&lt;IFERROR(FIND("E",UPPER(TRIM($DZ478))),999)),ISNUMBER(VALUE(TRIM($DZ478)))),VALUE(TRIM($DZ478)),"")))),""))</f>
        <v/>
      </c>
      <c r="EB478">
        <f>IF($DM478=0,"",IF($L$18=0,"",IFERROR(IF(UPPER(TRIM(SUBSTITUTE(SUBSTITUTE(SUBSTITUTE(SUBSTITUTE(INDEX(PASTE_ALL,$DF478,$L$18)," "," "),CHAR(9)," "),CHAR(10)," "),CHAR(13)," ")))="READY","Ready",IF(UPPER(TRIM(SUBSTITUTE(SUBSTITUTE(SUBSTITUTE(SUBSTITUTE(INDEX(PASTE_ALL,$DF478,$L$18)," "," "),CHAR(9)," "),CHAR(10)," "),CHAR(13)," ")))="PM","PM",IF(OR(UPPER(TRIM(SUBSTITUTE(SUBSTITUTE(SUBSTITUTE(SUBSTITUTE(INDEX(PASTE_ALL,$DF478,$L$18)," "," "),CHAR(9)," "),CHAR(10)," "),CHAR(13)," ")))="OT",UPPER(TRIM(SUBSTITUTE(SUBSTITUTE(SUBSTITUTE(SUBSTITUTE(INDEX(PASTE_ALL,$DF478,$L$18)," "," "),CHAR(9)," "),CHAR(10)," "),CHAR(13)," ")))="OVERTIME",UPPER(TRIM(SUBSTITUTE(SUBSTITUTE(SUBSTITUTE(SUBSTITUTE(INDEX(PASTE_ALL,$DF478,$L$18)," "," "),CHAR(9)," "),CHAR(10)," "),CHAR(13)," ")))="TRIAL"),"OT",TRIM(SUBSTITUTE(SUBSTITUTE(SUBSTITUTE(SUBSTITUTE(INDEX(PASTE_ALL,$DF478,$L$18)," "," "),CHAR(9)," "),CHAR(10)," "),CHAR(13)," "))))),"")))</f>
        <v/>
      </c>
      <c r="EC478">
        <f>IF($DM478=0,"",IF($L$19=0,"",IFERROR(IF(ISNUMBER(INDEX(PASTE_ALL,$DF478,$L$19)),INDEX(PASTE_ALL,$DF478,$L$19),TRIM(SUBSTITUTE(SUBSTITUTE(SUBSTITUTE(SUBSTITUTE(INDEX(PASTE_ALL,$DF478,$L$19)," "," "),CHAR(9)," "),CHAR(10)," "),CHAR(13)," "))),"")))</f>
        <v/>
      </c>
      <c r="ED478">
        <f>IF($DM478=0,"",MATCH(1,INDEX(EXACT($DH$5:DH478,$DH478)*$DM$5:DM478,0),0))</f>
        <v/>
      </c>
      <c r="EE478">
        <f>IF($DM478=0,0,IF($ED478=$DE478,1,0))</f>
        <v/>
      </c>
      <c r="EF478">
        <f>EF477+$EE478</f>
        <v/>
      </c>
      <c r="EG478">
        <f>IF($DM478=0,"",INDEX($EF$5:$EF$1003,$ED478))</f>
        <v/>
      </c>
      <c r="EH478">
        <f>IF($DM478=0,"",IF($DO478&lt;&gt;"","",IFERROR(LOOKUP(2,1/(($EG$4:EG477=$EG478)*($DO$4:DO477&lt;&gt;"")),$DO$4:DO477),"")))</f>
        <v/>
      </c>
      <c r="EI478">
        <f>IF($DM478=0,"",IF($DO478&lt;&gt;"",$DO478,$EH478))</f>
        <v/>
      </c>
      <c r="EJ478">
        <f>IF($DM478=0,"",IF($EI478="",0,IF(OR(ISNUMBER($EI478),AND(AND(SUBSTITUTE(SUBSTITUTE(SUBSTITUTE(SUBSTITUTE(SUBSTITUTE(SUBSTITUTE(SUBSTITUTE(SUBSTITUTE(SUBSTITUTE(SUBSTITUTE(SUBSTITUTE(SUBSTITUTE(SUBSTITUTE(SUBSTITUTE(UPPER($EI478),"0",""),"1",""),"2",""),"3",""),"4",""),"5",""),"6",""),"7",""),"8",""),"9",""),".",""),"+",""),"-",""),"E","")="",LEN(SUBSTITUTE(SUBSTITUTE(MID(UPPER($EI478),1+OR(LEFT(UPPER($EI478),1)="+",LEFT(UPPER($EI478),1)="-"),999),"E+","E"),"E-","E"))=LEN(SUBSTITUTE(SUBSTITUTE(SUBSTITUTE(SUBSTITUTE(MID(UPPER($EI478),1+OR(LEFT(UPPER($EI478),1)="+",LEFT(UPPER($EI478),1)="-"),999),"E+","E"),"E-","E"),"+",""),"-","")),LEN(UPPER($EI478))-LEN(SUBSTITUTE(UPPER($EI478),"E",""))&lt;2,LEN(UPPER($EI478))-LEN(SUBSTITUTE(UPPER($EI478),".",""))&lt;2,IFERROR(FIND(".",UPPER($EI478)),0)&lt;IFERROR(FIND("E",UPPER($EI478)),999)),ISNUMBER(VALUE($EI478)))),1,2)))</f>
        <v/>
      </c>
      <c r="EK478">
        <f>IF($DM478=0,"",IF($EJ478=1,IF(ISNUMBER($EI478),$EI478,VALUE($EI478)),IF($EJ478=2,$DE478,0)))</f>
        <v/>
      </c>
      <c r="EL478">
        <f>IF($DM478=0,"",COUNTIF($EG$5:$EG$1003,"&lt;"&amp;$EG478)+SUMPRODUCT(($EG$5:$EG$1003=$EG478)*(($EJ$5:$EJ$1003&lt;$EJ478)+($EJ$5:$EJ$1003=$EJ478)*(($EK$5:$EK$1003&lt;$EK478)+($EK$5:$EK$1003=$EK478)*($DE$5:$DE$1003&lt;$DE478))))+1)</f>
        <v/>
      </c>
      <c r="EM478">
        <f>IF($DM478=0,"",$EL478+$EG478-1)</f>
        <v/>
      </c>
      <c r="EN478">
        <f>IF($DM478=0,0,IFERROR(MATCH(1,INDEX(--(TRIM(SUBSTITUTE(SUBSTITUTE(SUBSTITUTE(SUBSTITUTE(LINES_NAME&amp;""," "," "),CHAR(9)," "),CHAR(10)," "),CHAR(13)," "))=$DH478),0),0),0))</f>
        <v/>
      </c>
      <c r="EO478">
        <f>IF($EN478=0,0,IF(OR(UPPER(TRIM(INDEX(LINES_SCHEDULED,$EN478)&amp;""))="YES",UPPER(TRIM(INDEX(LINES_SCHEDULED,$EN478)&amp;""))="Y",UPPER(TRIM(INDEX(LINES_SCHEDULED,$EN478)&amp;""))="X"),1,0))</f>
        <v/>
      </c>
      <c r="EP478">
        <f>IF($DM478=0,"",IF(COUNTIFS($EG$5:$EG$1003,$EG478,$EB$5:$EB$1003,"Ready")&gt;0,"READY",IF(COUNTIFS($EG$5:$EG$1003,$EG478,$EB$5:$EB$1003,"PM")&gt;0,"PM",IF(COUNTIFS($EG$5:$EG$1003,$EG478,$EB$5:$EB$1003,"OT")&gt;0,"OT",""))))</f>
        <v/>
      </c>
      <c r="EQ478">
        <f>IF($EN478=0,"",UPPER(TRIM(INDEX(LINES_STATUS,$EN478)&amp;"")))</f>
        <v/>
      </c>
      <c r="ER478">
        <f>IF($DM478=0,"",IF(OR($EQ478="READY",$EQ478="PM",$EQ478="OT"),$EQ478,$EP478))</f>
        <v/>
      </c>
      <c r="ES478">
        <f>IF($DM478=0,"",IF(AND($DV478&lt;&gt;"",UPPER($DV478)&lt;&gt;"N"),"allergen",IF(ISNUMBER(SEARCH("oil",$DQ478)),"oil",IF(OR(EXACT($DS478,"A662"),EXACT($DS478,"A624")),"bulk",""))))</f>
        <v/>
      </c>
      <c r="ET478">
        <f>IF($DM478=0,"",IF(OR($EA478="",$EA478=0),"",$EA478/100))</f>
        <v/>
      </c>
      <c r="EU478">
        <f>IF(OR($ET478="",$DY478=""),"",INT($DY478*(1-$ET478)+0.5))</f>
        <v/>
      </c>
      <c r="EW478" t="n">
        <v>474</v>
      </c>
      <c r="EX478">
        <f>IFERROR(MATCH($EW478,$EM$5:$EM$1003,0),0)</f>
        <v/>
      </c>
      <c r="EY478">
        <f>IF($EW478&gt;$B$12,"",IF($EX478&gt;0,"row","spacer"))</f>
        <v/>
      </c>
      <c r="EZ478">
        <f>IF(AND($EY478="row",$EY477&lt;&gt;"row"),1,0)</f>
        <v/>
      </c>
      <c r="FA478">
        <f>IF(AND($EY478="row",$EY479&lt;&gt;"row"),1,0)</f>
        <v/>
      </c>
      <c r="FB478">
        <f>IF($EZ478=1,IFERROR(IF(ISNUMBER(INDEX(PASTE_ALL,INDEX($DF$5:$DF$1003,$EX478),$B$37)),INDEX(PASTE_ALL,INDEX($DF$5:$DF$1003,$EX478),$B$37),INDEX($DH$5:$DH$1003,$EX478)),INDEX($DH$5:$DH$1003,$EX478)),"")</f>
        <v/>
      </c>
      <c r="FC478">
        <f>IF($EY478="row",INDEX($ER$5:$ER$1003,$EX478),"")</f>
        <v/>
      </c>
      <c r="FD478">
        <f>IF($EY478="row",INDEX($DN$5:$DN$1003,$EX478),"")</f>
        <v/>
      </c>
      <c r="FE478">
        <f>IF($EY478="row",INDEX($DO$5:$DO$1003,$EX478),"")</f>
        <v/>
      </c>
      <c r="FF478">
        <f>IF($EY478="row",INDEX($DP$5:$DP$1003,$EX478),"")</f>
        <v/>
      </c>
      <c r="FG478">
        <f>IF($EY478="row",INDEX($DQ$5:$DQ$1003,$EX478),"")</f>
        <v/>
      </c>
      <c r="FH478">
        <f>IF($EY478="row",INDEX($DR$5:$DR$1003,$EX478),"")</f>
        <v/>
      </c>
      <c r="FI478">
        <f>IF($EY478="row",INDEX($DS$5:$DS$1003,$EX478),"")</f>
        <v/>
      </c>
      <c r="FJ478">
        <f>IF($EY478="row",INDEX($DT$5:$DT$1003,$EX478),"")</f>
        <v/>
      </c>
      <c r="FK478">
        <f>IF($EY478="row",INDEX($DU$5:$DU$1003,$EX478),"")</f>
        <v/>
      </c>
      <c r="FL478">
        <f>IF($EY478="row",INDEX($DV$5:$DV$1003,$EX478),"")</f>
        <v/>
      </c>
      <c r="FM478">
        <f>IF($EY478="row",INDEX($DW$5:$DW$1003,$EX478),"")</f>
        <v/>
      </c>
      <c r="FN478">
        <f>IF($EY478="row",INDEX($DY$5:$DY$1003,$EX478),"")</f>
        <v/>
      </c>
      <c r="FO478">
        <f>IF($EY478="row",INDEX($EA$5:$EA$1003,$EX478),"")</f>
        <v/>
      </c>
      <c r="FP478">
        <f>IF($EY478="row",INDEX($EC$5:$EC$1003,$EX478),"")</f>
        <v/>
      </c>
      <c r="FQ478">
        <f>IF($EY478="row",INDEX($ET$5:$ET$1003,$EX478),"")</f>
        <v/>
      </c>
      <c r="FR478">
        <f>IF($EY478="row",INDEX($EU$5:$EU$1003,$EX478),"")</f>
        <v/>
      </c>
      <c r="FS478">
        <f>IF(AND($EY478="row",$EY477="row"),IF(OR(INDEX($DT$5:$DT$1003,$EX477)="",INDEX($DT$5:$DT$1003,$EX478)=""),"",IF(NOT(EXACT(INDEX($DT$5:$DT$1003,$EX477),INDEX($DT$5:$DT$1003,$EX478))),"S4",IF(NOT(EXACT(INDEX($DS$5:$DS$1003,$EX477),INDEX($DS$5:$DS$1003,$EX478))),"S3",IF(NOT(EXACT(INDEX($DR$5:$DR$1003,$EX477),INDEX($DR$5:$DR$1003,$EX478))),"S1 Count Change","S1")))),"")</f>
        <v/>
      </c>
      <c r="FT478">
        <f>IF($EY478="row",INDEX($ES$5:$ES$1003,$EX478),"")</f>
        <v/>
      </c>
      <c r="FU478">
        <f>IF($EY478="row",INDEX($EO$5:$EO$1003,$EX478),0)</f>
        <v/>
      </c>
      <c r="FV478">
        <f>IF($FS478="S1 Count Change",1,0)</f>
        <v/>
      </c>
    </row>
    <row r="479">
      <c r="DA479" t="n">
        <v>475</v>
      </c>
      <c r="DB479">
        <f>IF($B$37=0,"",IFERROR(TRIM(SUBSTITUTE(SUBSTITUTE(SUBSTITUTE(SUBSTITUTE(INDEX(PASTE_ALL,475,$B$37)," "," "),CHAR(9)," "),CHAR(10)," "),CHAR(13)," ")),""))</f>
        <v/>
      </c>
      <c r="DC479">
        <f>IF(AND(475&gt;HEADER_ROW,UPPER(DB479)="LEGEND"),1,0)</f>
        <v/>
      </c>
      <c r="DE479" t="n">
        <v>475</v>
      </c>
      <c r="DF479">
        <f>HEADER_ROW+$DE479</f>
        <v/>
      </c>
      <c r="DG479">
        <f>IF(AND($DF479&lt;=1000,$DF479&lt;$B$8),1,0)</f>
        <v/>
      </c>
      <c r="DH479">
        <f>IF($DG479=1,IFERROR(INDEX($DB$5:$DB$1004,$DF479),""),"")</f>
        <v/>
      </c>
      <c r="DI479">
        <f>IF(AND($DG479=1,$DH479&lt;&gt;""),IFERROR(SUBSTITUTE(SUBSTITUTE(TRIM(SUBSTITUTE(SUBSTITUTE(SUBSTITUTE(SUBSTITUTE(IFERROR(INDEX(PASTE_ALL,$DF479,1)&amp;"","")&amp;"␟"&amp;IFERROR(INDEX(PASTE_ALL,$DF479,2)&amp;"","")&amp;"␟"&amp;IFERROR(INDEX(PASTE_ALL,$DF479,3)&amp;"","")&amp;"␟"&amp;IFERROR(INDEX(PASTE_ALL,$DF479,4)&amp;"","")&amp;"␟"&amp;IFERROR(INDEX(PASTE_ALL,$DF479,5)&amp;"","")&amp;"␟"&amp;IFERROR(INDEX(PASTE_ALL,$DF479,6)&amp;"","")&amp;"␟"&amp;IFERROR(INDEX(PASTE_ALL,$DF479,7)&amp;"","")&amp;"␟"&amp;IFERROR(INDEX(PASTE_ALL,$DF479,8)&amp;"","")&amp;"␟"&amp;IFERROR(INDEX(PASTE_ALL,$DF479,9)&amp;"","")&amp;"␟"&amp;IFERROR(INDEX(PASTE_ALL,$DF479,10)&amp;"","")&amp;"␟"&amp;IFERROR(INDEX(PASTE_ALL,$DF479,11)&amp;"","")&amp;"␟"&amp;IFERROR(INDEX(PASTE_ALL,$DF479,12)&amp;"","")&amp;"␟"&amp;IFERROR(INDEX(PASTE_ALL,$DF479,13)&amp;"","")&amp;"␟"&amp;IFERROR(INDEX(PASTE_ALL,$DF479,14)&amp;"","")&amp;"␟"&amp;IFERROR(INDEX(PASTE_ALL,$DF479,15)&amp;"","")&amp;"␟"&amp;IFERROR(INDEX(PASTE_ALL,$DF479,16)&amp;"","")&amp;"␟"&amp;IFERROR(INDEX(PASTE_ALL,$DF479,17)&amp;"","")&amp;"␟"&amp;IFERROR(INDEX(PASTE_ALL,$DF479,18)&amp;"","")&amp;"␟"&amp;IFERROR(INDEX(PASTE_ALL,$DF479,19)&amp;"","")&amp;"␟"&amp;IFERROR(INDEX(PASTE_ALL,$DF479,20)&amp;"","")&amp;"␟"&amp;IFERROR(INDEX(PASTE_ALL,$DF479,21)&amp;"","")&amp;"␟"&amp;IFERROR(INDEX(PASTE_ALL,$DF479,22)&amp;"","")&amp;"␟"&amp;IFERROR(INDEX(PASTE_ALL,$DF479,23)&amp;"","")&amp;"␟"&amp;IFERROR(INDEX(PASTE_ALL,$DF479,24)&amp;"","")&amp;"␟"&amp;IFERROR(INDEX(PASTE_ALL,$DF479,25)&amp;"","")&amp;"␟"&amp;IFERROR(INDEX(PASTE_ALL,$DF479,26)&amp;"","")&amp;"␟"&amp;IFERROR(INDEX(PASTE_ALL,$DF479,27)&amp;"","")&amp;"␟"&amp;IFERROR(INDEX(PASTE_ALL,$DF479,28)&amp;"","")&amp;"␟"&amp;IFERROR(INDEX(PASTE_ALL,$DF479,29)&amp;"","")&amp;"␟"&amp;IFERROR(INDEX(PASTE_ALL,$DF479,30)&amp;"","")&amp;"␟"&amp;IFERROR(INDEX(PASTE_ALL,$DF479,31)&amp;"","")&amp;"␟"&amp;IFERROR(INDEX(PASTE_ALL,$DF479,32)&amp;"","")&amp;"␟"&amp;IFERROR(INDEX(PASTE_ALL,$DF479,33)&amp;"","")&amp;"␟"&amp;IFERROR(INDEX(PASTE_ALL,$DF479,34)&amp;"","")&amp;"␟"&amp;IFERROR(INDEX(PASTE_ALL,$DF479,35)&amp;"","")&amp;"␟"&amp;IFERROR(INDEX(PASTE_ALL,$DF479,36)&amp;"","")&amp;"␟"&amp;IFERROR(INDEX(PASTE_ALL,$DF479,37)&amp;"","")&amp;"␟"&amp;IFERROR(INDEX(PASTE_ALL,$DF479,38)&amp;"","")&amp;"␟"&amp;IFERROR(INDEX(PASTE_ALL,$DF479,39)&amp;"","")&amp;"␟"&amp;IFERROR(INDEX(PASTE_ALL,$DF479,40)&amp;"","")&amp;"␟"&amp;IFERROR(INDEX(PASTE_ALL,$DF479,41)&amp;"","")&amp;"␟"&amp;IFERROR(INDEX(PASTE_ALL,$DF479,42)&amp;"","")&amp;"␟"&amp;IFERROR(INDEX(PASTE_ALL,$DF479,43)&amp;"","")&amp;"␟"&amp;IFERROR(INDEX(PASTE_ALL,$DF479,44)&amp;"","")&amp;"␟"&amp;IFERROR(INDEX(PASTE_ALL,$DF479,45)&amp;"","")&amp;"␟"&amp;IFERROR(INDEX(PASTE_ALL,$DF479,46)&amp;"","")&amp;"␟"&amp;IFERROR(INDEX(PASTE_ALL,$DF479,47)&amp;"","")&amp;"␟"&amp;IFERROR(INDEX(PASTE_ALL,$DF479,48)&amp;"","")&amp;"␟"&amp;IFERROR(INDEX(PASTE_ALL,$DF479,49)&amp;"","")&amp;"␟"&amp;IFERROR(INDEX(PASTE_ALL,$DF479,50)&amp;"","")&amp;"␟"&amp;IFERROR(INDEX(PASTE_ALL,$DF479,51)&amp;"","")&amp;"␟"&amp;IFERROR(INDEX(PASTE_ALL,$DF479,52)&amp;"","")&amp;"␟"&amp;IFERROR(INDEX(PASTE_ALL,$DF479,53)&amp;"","")&amp;"␟"&amp;IFERROR(INDEX(PASTE_ALL,$DF479,54)&amp;"","")&amp;"␟"&amp;IFERROR(INDEX(PASTE_ALL,$DF479,55)&amp;"","")&amp;"␟"&amp;IFERROR(INDEX(PASTE_ALL,$DF479,56)&amp;"","")&amp;"␟"&amp;IFERROR(INDEX(PASTE_ALL,$DF479,57)&amp;"","")&amp;"␟"&amp;IFERROR(INDEX(PASTE_ALL,$DF479,58)&amp;"","")&amp;"␟"&amp;IFERROR(INDEX(PASTE_ALL,$DF479,59)&amp;"","")&amp;"␟"&amp;IFERROR(INDEX(PASTE_ALL,$DF479,60)&amp;"","")," "," "),CHAR(9)," "),CHAR(10)," "),CHAR(13)," "))," ␟","␟"),"␟ ","␟"),"#"&amp;$DE479),"")</f>
        <v/>
      </c>
      <c r="DJ479">
        <f>IF($DI479="",0,IF(SUMPRODUCT(--EXACT($DI$4:DI478,$DI479))&gt;0,1,0))</f>
        <v/>
      </c>
      <c r="DK479">
        <f>IF(AND($DI479&lt;&gt;"",$DJ479=0),1,0)</f>
        <v/>
      </c>
      <c r="DL479">
        <f>DL478+$DK479</f>
        <v/>
      </c>
      <c r="DM479">
        <f>IF(AND($DK479=1,$DL479&lt;=600),1,0)</f>
        <v/>
      </c>
      <c r="DN479">
        <f>IF($DM479=0,"",IF($L$6=0,"",IFERROR(IF(ISNUMBER(INDEX(PASTE_ALL,$DF479,$L$6)),INDEX(PASTE_ALL,$DF479,$L$6),TRIM(SUBSTITUTE(SUBSTITUTE(SUBSTITUTE(SUBSTITUTE(INDEX(PASTE_ALL,$DF479,$L$6)," "," "),CHAR(9)," "),CHAR(10)," "),CHAR(13)," "))),"")))</f>
        <v/>
      </c>
      <c r="DO479">
        <f>IF($DM479=0,"",IF($L$7=0,"",IFERROR(IF(ISNUMBER(INDEX(PASTE_ALL,$DF479,$L$7)),INDEX(PASTE_ALL,$DF479,$L$7),TRIM(SUBSTITUTE(SUBSTITUTE(SUBSTITUTE(SUBSTITUTE(INDEX(PASTE_ALL,$DF479,$L$7)," "," "),CHAR(9)," "),CHAR(10)," "),CHAR(13)," "))),"")))</f>
        <v/>
      </c>
      <c r="DP479">
        <f>IF($DM479=0,"",IF($L$8=0,"",IFERROR(IF(ISNUMBER(INDEX(PASTE_ALL,$DF479,$L$8)),INDEX(PASTE_ALL,$DF479,$L$8),TRIM(SUBSTITUTE(SUBSTITUTE(SUBSTITUTE(SUBSTITUTE(INDEX(PASTE_ALL,$DF479,$L$8)," "," "),CHAR(9)," "),CHAR(10)," "),CHAR(13)," "))),"")))</f>
        <v/>
      </c>
      <c r="DQ479">
        <f>IF($DM479=0,"",IF($L$9=0,"",IFERROR(IF(ISNUMBER(INDEX(PASTE_ALL,$DF479,$L$9)),INDEX(PASTE_ALL,$DF479,$L$9),TRIM(SUBSTITUTE(SUBSTITUTE(SUBSTITUTE(SUBSTITUTE(INDEX(PASTE_ALL,$DF479,$L$9)," "," "),CHAR(9)," "),CHAR(10)," "),CHAR(13)," "))),"")))</f>
        <v/>
      </c>
      <c r="DR479">
        <f>IF($DM479=0,"",IF($L$10=0,"",IFERROR(IF(ISNUMBER(INDEX(PASTE_ALL,$DF479,$L$10)),INDEX(PASTE_ALL,$DF479,$L$10),TRIM(SUBSTITUTE(SUBSTITUTE(SUBSTITUTE(SUBSTITUTE(INDEX(PASTE_ALL,$DF479,$L$10)," "," "),CHAR(9)," "),CHAR(10)," "),CHAR(13)," "))),"")))</f>
        <v/>
      </c>
      <c r="DS479">
        <f>IF($DM479=0,"",IF($L$11=0,"",IFERROR(IF(ISNUMBER(INDEX(PASTE_ALL,$DF479,$L$11)),INDEX(PASTE_ALL,$DF479,$L$11),TRIM(SUBSTITUTE(SUBSTITUTE(SUBSTITUTE(SUBSTITUTE(INDEX(PASTE_ALL,$DF479,$L$11)," "," "),CHAR(9)," "),CHAR(10)," "),CHAR(13)," "))),"")))</f>
        <v/>
      </c>
      <c r="DT479">
        <f>IF($DM479=0,"",IF($L$12=0,"",IFERROR(IF(ISNUMBER(INDEX(PASTE_ALL,$DF479,$L$12)),INDEX(PASTE_ALL,$DF479,$L$12),TRIM(SUBSTITUTE(SUBSTITUTE(SUBSTITUTE(SUBSTITUTE(INDEX(PASTE_ALL,$DF479,$L$12)," "," "),CHAR(9)," "),CHAR(10)," "),CHAR(13)," "))),"")))</f>
        <v/>
      </c>
      <c r="DU479">
        <f>IF($DM479=0,"",IF($L$13=0,"",IFERROR(IF(ISNUMBER(INDEX(PASTE_ALL,$DF479,$L$13)),INDEX(PASTE_ALL,$DF479,$L$13),TRIM(SUBSTITUTE(SUBSTITUTE(SUBSTITUTE(SUBSTITUTE(INDEX(PASTE_ALL,$DF479,$L$13)," "," "),CHAR(9)," "),CHAR(10)," "),CHAR(13)," "))),"")))</f>
        <v/>
      </c>
      <c r="DV479">
        <f>IF($DM479=0,"",IF($L$14=0,"",IFERROR(IF(ISNUMBER(INDEX(PASTE_ALL,$DF479,$L$14)),INDEX(PASTE_ALL,$DF479,$L$14),TRIM(SUBSTITUTE(SUBSTITUTE(SUBSTITUTE(SUBSTITUTE(INDEX(PASTE_ALL,$DF479,$L$14)," "," "),CHAR(9)," "),CHAR(10)," "),CHAR(13)," "))),"")))</f>
        <v/>
      </c>
      <c r="DW479">
        <f>IF($DM479=0,"",IF($L$15=0,"",IFERROR(IF(ISNUMBER(INDEX(PASTE_ALL,$DF479,$L$15)),INDEX(PASTE_ALL,$DF479,$L$15),IF(SUMPRODUCT(--ISNUMBER(FIND({"A","B","C","D","E","F","G","H","I","J","K","L","M","N","O","P","Q","R","S","T","U","V","W","X","Y","Z","0","1","2","3","4","5","6","7","8","9"},UPPER(TRIM(SUBSTITUTE(SUBSTITUTE(SUBSTITUTE(SUBSTITUTE(INDEX(PASTE_ALL,$DF479,$L$15)," "," "),CHAR(9)," "),CHAR(10)," "),CHAR(13)," "))))))&gt;0,TRIM(SUBSTITUTE(SUBSTITUTE(SUBSTITUTE(SUBSTITUTE(INDEX(PASTE_ALL,$DF479,$L$15)," "," "),CHAR(9)," "),CHAR(10)," "),CHAR(13)," ")),"")),"")))</f>
        <v/>
      </c>
      <c r="DX479">
        <f>IF($DM479=0,"",IF($L$16=0,"",IFERROR(IF(ISNUMBER(INDEX(PASTE_ALL,$DF479,$L$16)),INDEX(PASTE_ALL,$DF479,$L$16),SUBSTITUTE(SUBSTITUTE(TRIM(SUBSTITUTE(SUBSTITUTE(SUBSTITUTE(SUBSTITUTE(INDEX(PASTE_ALL,$DF479,$L$16)," "," "),CHAR(9)," "),CHAR(10)," "),CHAR(13)," ")),",",""),"%","")),"")))</f>
        <v/>
      </c>
      <c r="DY479">
        <f>IF($DM479=0,"",IFERROR(IF(ISNUMBER($DX479),$DX479,IF($DX479="","",IF(TRIM($DX479)="",0,IF(AND(AND(SUBSTITUTE(SUBSTITUTE(SUBSTITUTE(SUBSTITUTE(SUBSTITUTE(SUBSTITUTE(SUBSTITUTE(SUBSTITUTE(SUBSTITUTE(SUBSTITUTE(SUBSTITUTE(SUBSTITUTE(SUBSTITUTE(SUBSTITUTE(UPPER(TRIM($DX479)),"0",""),"1",""),"2",""),"3",""),"4",""),"5",""),"6",""),"7",""),"8",""),"9",""),".",""),"+",""),"-",""),"E","")="",LEN(SUBSTITUTE(SUBSTITUTE(MID(UPPER(TRIM($DX479)),1+OR(LEFT(UPPER(TRIM($DX479)),1)="+",LEFT(UPPER(TRIM($DX479)),1)="-"),999),"E+","E"),"E-","E"))=LEN(SUBSTITUTE(SUBSTITUTE(SUBSTITUTE(SUBSTITUTE(MID(UPPER(TRIM($DX479)),1+OR(LEFT(UPPER(TRIM($DX479)),1)="+",LEFT(UPPER(TRIM($DX479)),1)="-"),999),"E+","E"),"E-","E"),"+",""),"-","")),LEN(UPPER(TRIM($DX479)))-LEN(SUBSTITUTE(UPPER(TRIM($DX479)),"E",""))&lt;2,LEN(UPPER(TRIM($DX479)))-LEN(SUBSTITUTE(UPPER(TRIM($DX479)),".",""))&lt;2,IFERROR(FIND(".",UPPER(TRIM($DX479))),0)&lt;IFERROR(FIND("E",UPPER(TRIM($DX479))),999)),ISNUMBER(VALUE(TRIM($DX479)))),VALUE(TRIM($DX479)),"")))),""))</f>
        <v/>
      </c>
      <c r="DZ479">
        <f>IF($DM479=0,"",IF($L$17=0,"",IFERROR(IF(ISNUMBER(INDEX(PASTE_ALL,$DF479,$L$17)),INDEX(PASTE_ALL,$DF479,$L$17),SUBSTITUTE(SUBSTITUTE(TRIM(SUBSTITUTE(SUBSTITUTE(SUBSTITUTE(SUBSTITUTE(INDEX(PASTE_ALL,$DF479,$L$17)," "," "),CHAR(9)," "),CHAR(10)," "),CHAR(13)," ")),",",""),"%","")),"")))</f>
        <v/>
      </c>
      <c r="EA479">
        <f>IF($DM479=0,"",IFERROR(IF(ISNUMBER($DZ479),$DZ479,IF($DZ479="","",IF(TRIM($DZ479)="",0,IF(AND(AND(SUBSTITUTE(SUBSTITUTE(SUBSTITUTE(SUBSTITUTE(SUBSTITUTE(SUBSTITUTE(SUBSTITUTE(SUBSTITUTE(SUBSTITUTE(SUBSTITUTE(SUBSTITUTE(SUBSTITUTE(SUBSTITUTE(SUBSTITUTE(UPPER(TRIM($DZ479)),"0",""),"1",""),"2",""),"3",""),"4",""),"5",""),"6",""),"7",""),"8",""),"9",""),".",""),"+",""),"-",""),"E","")="",LEN(SUBSTITUTE(SUBSTITUTE(MID(UPPER(TRIM($DZ479)),1+OR(LEFT(UPPER(TRIM($DZ479)),1)="+",LEFT(UPPER(TRIM($DZ479)),1)="-"),999),"E+","E"),"E-","E"))=LEN(SUBSTITUTE(SUBSTITUTE(SUBSTITUTE(SUBSTITUTE(MID(UPPER(TRIM($DZ479)),1+OR(LEFT(UPPER(TRIM($DZ479)),1)="+",LEFT(UPPER(TRIM($DZ479)),1)="-"),999),"E+","E"),"E-","E"),"+",""),"-","")),LEN(UPPER(TRIM($DZ479)))-LEN(SUBSTITUTE(UPPER(TRIM($DZ479)),"E",""))&lt;2,LEN(UPPER(TRIM($DZ479)))-LEN(SUBSTITUTE(UPPER(TRIM($DZ479)),".",""))&lt;2,IFERROR(FIND(".",UPPER(TRIM($DZ479))),0)&lt;IFERROR(FIND("E",UPPER(TRIM($DZ479))),999)),ISNUMBER(VALUE(TRIM($DZ479)))),VALUE(TRIM($DZ479)),"")))),""))</f>
        <v/>
      </c>
      <c r="EB479">
        <f>IF($DM479=0,"",IF($L$18=0,"",IFERROR(IF(UPPER(TRIM(SUBSTITUTE(SUBSTITUTE(SUBSTITUTE(SUBSTITUTE(INDEX(PASTE_ALL,$DF479,$L$18)," "," "),CHAR(9)," "),CHAR(10)," "),CHAR(13)," ")))="READY","Ready",IF(UPPER(TRIM(SUBSTITUTE(SUBSTITUTE(SUBSTITUTE(SUBSTITUTE(INDEX(PASTE_ALL,$DF479,$L$18)," "," "),CHAR(9)," "),CHAR(10)," "),CHAR(13)," ")))="PM","PM",IF(OR(UPPER(TRIM(SUBSTITUTE(SUBSTITUTE(SUBSTITUTE(SUBSTITUTE(INDEX(PASTE_ALL,$DF479,$L$18)," "," "),CHAR(9)," "),CHAR(10)," "),CHAR(13)," ")))="OT",UPPER(TRIM(SUBSTITUTE(SUBSTITUTE(SUBSTITUTE(SUBSTITUTE(INDEX(PASTE_ALL,$DF479,$L$18)," "," "),CHAR(9)," "),CHAR(10)," "),CHAR(13)," ")))="OVERTIME",UPPER(TRIM(SUBSTITUTE(SUBSTITUTE(SUBSTITUTE(SUBSTITUTE(INDEX(PASTE_ALL,$DF479,$L$18)," "," "),CHAR(9)," "),CHAR(10)," "),CHAR(13)," ")))="TRIAL"),"OT",TRIM(SUBSTITUTE(SUBSTITUTE(SUBSTITUTE(SUBSTITUTE(INDEX(PASTE_ALL,$DF479,$L$18)," "," "),CHAR(9)," "),CHAR(10)," "),CHAR(13)," "))))),"")))</f>
        <v/>
      </c>
      <c r="EC479">
        <f>IF($DM479=0,"",IF($L$19=0,"",IFERROR(IF(ISNUMBER(INDEX(PASTE_ALL,$DF479,$L$19)),INDEX(PASTE_ALL,$DF479,$L$19),TRIM(SUBSTITUTE(SUBSTITUTE(SUBSTITUTE(SUBSTITUTE(INDEX(PASTE_ALL,$DF479,$L$19)," "," "),CHAR(9)," "),CHAR(10)," "),CHAR(13)," "))),"")))</f>
        <v/>
      </c>
      <c r="ED479">
        <f>IF($DM479=0,"",MATCH(1,INDEX(EXACT($DH$5:DH479,$DH479)*$DM$5:DM479,0),0))</f>
        <v/>
      </c>
      <c r="EE479">
        <f>IF($DM479=0,0,IF($ED479=$DE479,1,0))</f>
        <v/>
      </c>
      <c r="EF479">
        <f>EF478+$EE479</f>
        <v/>
      </c>
      <c r="EG479">
        <f>IF($DM479=0,"",INDEX($EF$5:$EF$1003,$ED479))</f>
        <v/>
      </c>
      <c r="EH479">
        <f>IF($DM479=0,"",IF($DO479&lt;&gt;"","",IFERROR(LOOKUP(2,1/(($EG$4:EG478=$EG479)*($DO$4:DO478&lt;&gt;"")),$DO$4:DO478),"")))</f>
        <v/>
      </c>
      <c r="EI479">
        <f>IF($DM479=0,"",IF($DO479&lt;&gt;"",$DO479,$EH479))</f>
        <v/>
      </c>
      <c r="EJ479">
        <f>IF($DM479=0,"",IF($EI479="",0,IF(OR(ISNUMBER($EI479),AND(AND(SUBSTITUTE(SUBSTITUTE(SUBSTITUTE(SUBSTITUTE(SUBSTITUTE(SUBSTITUTE(SUBSTITUTE(SUBSTITUTE(SUBSTITUTE(SUBSTITUTE(SUBSTITUTE(SUBSTITUTE(SUBSTITUTE(SUBSTITUTE(UPPER($EI479),"0",""),"1",""),"2",""),"3",""),"4",""),"5",""),"6",""),"7",""),"8",""),"9",""),".",""),"+",""),"-",""),"E","")="",LEN(SUBSTITUTE(SUBSTITUTE(MID(UPPER($EI479),1+OR(LEFT(UPPER($EI479),1)="+",LEFT(UPPER($EI479),1)="-"),999),"E+","E"),"E-","E"))=LEN(SUBSTITUTE(SUBSTITUTE(SUBSTITUTE(SUBSTITUTE(MID(UPPER($EI479),1+OR(LEFT(UPPER($EI479),1)="+",LEFT(UPPER($EI479),1)="-"),999),"E+","E"),"E-","E"),"+",""),"-","")),LEN(UPPER($EI479))-LEN(SUBSTITUTE(UPPER($EI479),"E",""))&lt;2,LEN(UPPER($EI479))-LEN(SUBSTITUTE(UPPER($EI479),".",""))&lt;2,IFERROR(FIND(".",UPPER($EI479)),0)&lt;IFERROR(FIND("E",UPPER($EI479)),999)),ISNUMBER(VALUE($EI479)))),1,2)))</f>
        <v/>
      </c>
      <c r="EK479">
        <f>IF($DM479=0,"",IF($EJ479=1,IF(ISNUMBER($EI479),$EI479,VALUE($EI479)),IF($EJ479=2,$DE479,0)))</f>
        <v/>
      </c>
      <c r="EL479">
        <f>IF($DM479=0,"",COUNTIF($EG$5:$EG$1003,"&lt;"&amp;$EG479)+SUMPRODUCT(($EG$5:$EG$1003=$EG479)*(($EJ$5:$EJ$1003&lt;$EJ479)+($EJ$5:$EJ$1003=$EJ479)*(($EK$5:$EK$1003&lt;$EK479)+($EK$5:$EK$1003=$EK479)*($DE$5:$DE$1003&lt;$DE479))))+1)</f>
        <v/>
      </c>
      <c r="EM479">
        <f>IF($DM479=0,"",$EL479+$EG479-1)</f>
        <v/>
      </c>
      <c r="EN479">
        <f>IF($DM479=0,0,IFERROR(MATCH(1,INDEX(--(TRIM(SUBSTITUTE(SUBSTITUTE(SUBSTITUTE(SUBSTITUTE(LINES_NAME&amp;""," "," "),CHAR(9)," "),CHAR(10)," "),CHAR(13)," "))=$DH479),0),0),0))</f>
        <v/>
      </c>
      <c r="EO479">
        <f>IF($EN479=0,0,IF(OR(UPPER(TRIM(INDEX(LINES_SCHEDULED,$EN479)&amp;""))="YES",UPPER(TRIM(INDEX(LINES_SCHEDULED,$EN479)&amp;""))="Y",UPPER(TRIM(INDEX(LINES_SCHEDULED,$EN479)&amp;""))="X"),1,0))</f>
        <v/>
      </c>
      <c r="EP479">
        <f>IF($DM479=0,"",IF(COUNTIFS($EG$5:$EG$1003,$EG479,$EB$5:$EB$1003,"Ready")&gt;0,"READY",IF(COUNTIFS($EG$5:$EG$1003,$EG479,$EB$5:$EB$1003,"PM")&gt;0,"PM",IF(COUNTIFS($EG$5:$EG$1003,$EG479,$EB$5:$EB$1003,"OT")&gt;0,"OT",""))))</f>
        <v/>
      </c>
      <c r="EQ479">
        <f>IF($EN479=0,"",UPPER(TRIM(INDEX(LINES_STATUS,$EN479)&amp;"")))</f>
        <v/>
      </c>
      <c r="ER479">
        <f>IF($DM479=0,"",IF(OR($EQ479="READY",$EQ479="PM",$EQ479="OT"),$EQ479,$EP479))</f>
        <v/>
      </c>
      <c r="ES479">
        <f>IF($DM479=0,"",IF(AND($DV479&lt;&gt;"",UPPER($DV479)&lt;&gt;"N"),"allergen",IF(ISNUMBER(SEARCH("oil",$DQ479)),"oil",IF(OR(EXACT($DS479,"A662"),EXACT($DS479,"A624")),"bulk",""))))</f>
        <v/>
      </c>
      <c r="ET479">
        <f>IF($DM479=0,"",IF(OR($EA479="",$EA479=0),"",$EA479/100))</f>
        <v/>
      </c>
      <c r="EU479">
        <f>IF(OR($ET479="",$DY479=""),"",INT($DY479*(1-$ET479)+0.5))</f>
        <v/>
      </c>
      <c r="EW479" t="n">
        <v>475</v>
      </c>
      <c r="EX479">
        <f>IFERROR(MATCH($EW479,$EM$5:$EM$1003,0),0)</f>
        <v/>
      </c>
      <c r="EY479">
        <f>IF($EW479&gt;$B$12,"",IF($EX479&gt;0,"row","spacer"))</f>
        <v/>
      </c>
      <c r="EZ479">
        <f>IF(AND($EY479="row",$EY478&lt;&gt;"row"),1,0)</f>
        <v/>
      </c>
      <c r="FA479">
        <f>IF(AND($EY479="row",$EY480&lt;&gt;"row"),1,0)</f>
        <v/>
      </c>
      <c r="FB479">
        <f>IF($EZ479=1,IFERROR(IF(ISNUMBER(INDEX(PASTE_ALL,INDEX($DF$5:$DF$1003,$EX479),$B$37)),INDEX(PASTE_ALL,INDEX($DF$5:$DF$1003,$EX479),$B$37),INDEX($DH$5:$DH$1003,$EX479)),INDEX($DH$5:$DH$1003,$EX479)),"")</f>
        <v/>
      </c>
      <c r="FC479">
        <f>IF($EY479="row",INDEX($ER$5:$ER$1003,$EX479),"")</f>
        <v/>
      </c>
      <c r="FD479">
        <f>IF($EY479="row",INDEX($DN$5:$DN$1003,$EX479),"")</f>
        <v/>
      </c>
      <c r="FE479">
        <f>IF($EY479="row",INDEX($DO$5:$DO$1003,$EX479),"")</f>
        <v/>
      </c>
      <c r="FF479">
        <f>IF($EY479="row",INDEX($DP$5:$DP$1003,$EX479),"")</f>
        <v/>
      </c>
      <c r="FG479">
        <f>IF($EY479="row",INDEX($DQ$5:$DQ$1003,$EX479),"")</f>
        <v/>
      </c>
      <c r="FH479">
        <f>IF($EY479="row",INDEX($DR$5:$DR$1003,$EX479),"")</f>
        <v/>
      </c>
      <c r="FI479">
        <f>IF($EY479="row",INDEX($DS$5:$DS$1003,$EX479),"")</f>
        <v/>
      </c>
      <c r="FJ479">
        <f>IF($EY479="row",INDEX($DT$5:$DT$1003,$EX479),"")</f>
        <v/>
      </c>
      <c r="FK479">
        <f>IF($EY479="row",INDEX($DU$5:$DU$1003,$EX479),"")</f>
        <v/>
      </c>
      <c r="FL479">
        <f>IF($EY479="row",INDEX($DV$5:$DV$1003,$EX479),"")</f>
        <v/>
      </c>
      <c r="FM479">
        <f>IF($EY479="row",INDEX($DW$5:$DW$1003,$EX479),"")</f>
        <v/>
      </c>
      <c r="FN479">
        <f>IF($EY479="row",INDEX($DY$5:$DY$1003,$EX479),"")</f>
        <v/>
      </c>
      <c r="FO479">
        <f>IF($EY479="row",INDEX($EA$5:$EA$1003,$EX479),"")</f>
        <v/>
      </c>
      <c r="FP479">
        <f>IF($EY479="row",INDEX($EC$5:$EC$1003,$EX479),"")</f>
        <v/>
      </c>
      <c r="FQ479">
        <f>IF($EY479="row",INDEX($ET$5:$ET$1003,$EX479),"")</f>
        <v/>
      </c>
      <c r="FR479">
        <f>IF($EY479="row",INDEX($EU$5:$EU$1003,$EX479),"")</f>
        <v/>
      </c>
      <c r="FS479">
        <f>IF(AND($EY479="row",$EY478="row"),IF(OR(INDEX($DT$5:$DT$1003,$EX478)="",INDEX($DT$5:$DT$1003,$EX479)=""),"",IF(NOT(EXACT(INDEX($DT$5:$DT$1003,$EX478),INDEX($DT$5:$DT$1003,$EX479))),"S4",IF(NOT(EXACT(INDEX($DS$5:$DS$1003,$EX478),INDEX($DS$5:$DS$1003,$EX479))),"S3",IF(NOT(EXACT(INDEX($DR$5:$DR$1003,$EX478),INDEX($DR$5:$DR$1003,$EX479))),"S1 Count Change","S1")))),"")</f>
        <v/>
      </c>
      <c r="FT479">
        <f>IF($EY479="row",INDEX($ES$5:$ES$1003,$EX479),"")</f>
        <v/>
      </c>
      <c r="FU479">
        <f>IF($EY479="row",INDEX($EO$5:$EO$1003,$EX479),0)</f>
        <v/>
      </c>
      <c r="FV479">
        <f>IF($FS479="S1 Count Change",1,0)</f>
        <v/>
      </c>
    </row>
    <row r="480">
      <c r="DA480" t="n">
        <v>476</v>
      </c>
      <c r="DB480">
        <f>IF($B$37=0,"",IFERROR(TRIM(SUBSTITUTE(SUBSTITUTE(SUBSTITUTE(SUBSTITUTE(INDEX(PASTE_ALL,476,$B$37)," "," "),CHAR(9)," "),CHAR(10)," "),CHAR(13)," ")),""))</f>
        <v/>
      </c>
      <c r="DC480">
        <f>IF(AND(476&gt;HEADER_ROW,UPPER(DB480)="LEGEND"),1,0)</f>
        <v/>
      </c>
      <c r="DE480" t="n">
        <v>476</v>
      </c>
      <c r="DF480">
        <f>HEADER_ROW+$DE480</f>
        <v/>
      </c>
      <c r="DG480">
        <f>IF(AND($DF480&lt;=1000,$DF480&lt;$B$8),1,0)</f>
        <v/>
      </c>
      <c r="DH480">
        <f>IF($DG480=1,IFERROR(INDEX($DB$5:$DB$1004,$DF480),""),"")</f>
        <v/>
      </c>
      <c r="DI480">
        <f>IF(AND($DG480=1,$DH480&lt;&gt;""),IFERROR(SUBSTITUTE(SUBSTITUTE(TRIM(SUBSTITUTE(SUBSTITUTE(SUBSTITUTE(SUBSTITUTE(IFERROR(INDEX(PASTE_ALL,$DF480,1)&amp;"","")&amp;"␟"&amp;IFERROR(INDEX(PASTE_ALL,$DF480,2)&amp;"","")&amp;"␟"&amp;IFERROR(INDEX(PASTE_ALL,$DF480,3)&amp;"","")&amp;"␟"&amp;IFERROR(INDEX(PASTE_ALL,$DF480,4)&amp;"","")&amp;"␟"&amp;IFERROR(INDEX(PASTE_ALL,$DF480,5)&amp;"","")&amp;"␟"&amp;IFERROR(INDEX(PASTE_ALL,$DF480,6)&amp;"","")&amp;"␟"&amp;IFERROR(INDEX(PASTE_ALL,$DF480,7)&amp;"","")&amp;"␟"&amp;IFERROR(INDEX(PASTE_ALL,$DF480,8)&amp;"","")&amp;"␟"&amp;IFERROR(INDEX(PASTE_ALL,$DF480,9)&amp;"","")&amp;"␟"&amp;IFERROR(INDEX(PASTE_ALL,$DF480,10)&amp;"","")&amp;"␟"&amp;IFERROR(INDEX(PASTE_ALL,$DF480,11)&amp;"","")&amp;"␟"&amp;IFERROR(INDEX(PASTE_ALL,$DF480,12)&amp;"","")&amp;"␟"&amp;IFERROR(INDEX(PASTE_ALL,$DF480,13)&amp;"","")&amp;"␟"&amp;IFERROR(INDEX(PASTE_ALL,$DF480,14)&amp;"","")&amp;"␟"&amp;IFERROR(INDEX(PASTE_ALL,$DF480,15)&amp;"","")&amp;"␟"&amp;IFERROR(INDEX(PASTE_ALL,$DF480,16)&amp;"","")&amp;"␟"&amp;IFERROR(INDEX(PASTE_ALL,$DF480,17)&amp;"","")&amp;"␟"&amp;IFERROR(INDEX(PASTE_ALL,$DF480,18)&amp;"","")&amp;"␟"&amp;IFERROR(INDEX(PASTE_ALL,$DF480,19)&amp;"","")&amp;"␟"&amp;IFERROR(INDEX(PASTE_ALL,$DF480,20)&amp;"","")&amp;"␟"&amp;IFERROR(INDEX(PASTE_ALL,$DF480,21)&amp;"","")&amp;"␟"&amp;IFERROR(INDEX(PASTE_ALL,$DF480,22)&amp;"","")&amp;"␟"&amp;IFERROR(INDEX(PASTE_ALL,$DF480,23)&amp;"","")&amp;"␟"&amp;IFERROR(INDEX(PASTE_ALL,$DF480,24)&amp;"","")&amp;"␟"&amp;IFERROR(INDEX(PASTE_ALL,$DF480,25)&amp;"","")&amp;"␟"&amp;IFERROR(INDEX(PASTE_ALL,$DF480,26)&amp;"","")&amp;"␟"&amp;IFERROR(INDEX(PASTE_ALL,$DF480,27)&amp;"","")&amp;"␟"&amp;IFERROR(INDEX(PASTE_ALL,$DF480,28)&amp;"","")&amp;"␟"&amp;IFERROR(INDEX(PASTE_ALL,$DF480,29)&amp;"","")&amp;"␟"&amp;IFERROR(INDEX(PASTE_ALL,$DF480,30)&amp;"","")&amp;"␟"&amp;IFERROR(INDEX(PASTE_ALL,$DF480,31)&amp;"","")&amp;"␟"&amp;IFERROR(INDEX(PASTE_ALL,$DF480,32)&amp;"","")&amp;"␟"&amp;IFERROR(INDEX(PASTE_ALL,$DF480,33)&amp;"","")&amp;"␟"&amp;IFERROR(INDEX(PASTE_ALL,$DF480,34)&amp;"","")&amp;"␟"&amp;IFERROR(INDEX(PASTE_ALL,$DF480,35)&amp;"","")&amp;"␟"&amp;IFERROR(INDEX(PASTE_ALL,$DF480,36)&amp;"","")&amp;"␟"&amp;IFERROR(INDEX(PASTE_ALL,$DF480,37)&amp;"","")&amp;"␟"&amp;IFERROR(INDEX(PASTE_ALL,$DF480,38)&amp;"","")&amp;"␟"&amp;IFERROR(INDEX(PASTE_ALL,$DF480,39)&amp;"","")&amp;"␟"&amp;IFERROR(INDEX(PASTE_ALL,$DF480,40)&amp;"","")&amp;"␟"&amp;IFERROR(INDEX(PASTE_ALL,$DF480,41)&amp;"","")&amp;"␟"&amp;IFERROR(INDEX(PASTE_ALL,$DF480,42)&amp;"","")&amp;"␟"&amp;IFERROR(INDEX(PASTE_ALL,$DF480,43)&amp;"","")&amp;"␟"&amp;IFERROR(INDEX(PASTE_ALL,$DF480,44)&amp;"","")&amp;"␟"&amp;IFERROR(INDEX(PASTE_ALL,$DF480,45)&amp;"","")&amp;"␟"&amp;IFERROR(INDEX(PASTE_ALL,$DF480,46)&amp;"","")&amp;"␟"&amp;IFERROR(INDEX(PASTE_ALL,$DF480,47)&amp;"","")&amp;"␟"&amp;IFERROR(INDEX(PASTE_ALL,$DF480,48)&amp;"","")&amp;"␟"&amp;IFERROR(INDEX(PASTE_ALL,$DF480,49)&amp;"","")&amp;"␟"&amp;IFERROR(INDEX(PASTE_ALL,$DF480,50)&amp;"","")&amp;"␟"&amp;IFERROR(INDEX(PASTE_ALL,$DF480,51)&amp;"","")&amp;"␟"&amp;IFERROR(INDEX(PASTE_ALL,$DF480,52)&amp;"","")&amp;"␟"&amp;IFERROR(INDEX(PASTE_ALL,$DF480,53)&amp;"","")&amp;"␟"&amp;IFERROR(INDEX(PASTE_ALL,$DF480,54)&amp;"","")&amp;"␟"&amp;IFERROR(INDEX(PASTE_ALL,$DF480,55)&amp;"","")&amp;"␟"&amp;IFERROR(INDEX(PASTE_ALL,$DF480,56)&amp;"","")&amp;"␟"&amp;IFERROR(INDEX(PASTE_ALL,$DF480,57)&amp;"","")&amp;"␟"&amp;IFERROR(INDEX(PASTE_ALL,$DF480,58)&amp;"","")&amp;"␟"&amp;IFERROR(INDEX(PASTE_ALL,$DF480,59)&amp;"","")&amp;"␟"&amp;IFERROR(INDEX(PASTE_ALL,$DF480,60)&amp;"","")," "," "),CHAR(9)," "),CHAR(10)," "),CHAR(13)," "))," ␟","␟"),"␟ ","␟"),"#"&amp;$DE480),"")</f>
        <v/>
      </c>
      <c r="DJ480">
        <f>IF($DI480="",0,IF(SUMPRODUCT(--EXACT($DI$4:DI479,$DI480))&gt;0,1,0))</f>
        <v/>
      </c>
      <c r="DK480">
        <f>IF(AND($DI480&lt;&gt;"",$DJ480=0),1,0)</f>
        <v/>
      </c>
      <c r="DL480">
        <f>DL479+$DK480</f>
        <v/>
      </c>
      <c r="DM480">
        <f>IF(AND($DK480=1,$DL480&lt;=600),1,0)</f>
        <v/>
      </c>
      <c r="DN480">
        <f>IF($DM480=0,"",IF($L$6=0,"",IFERROR(IF(ISNUMBER(INDEX(PASTE_ALL,$DF480,$L$6)),INDEX(PASTE_ALL,$DF480,$L$6),TRIM(SUBSTITUTE(SUBSTITUTE(SUBSTITUTE(SUBSTITUTE(INDEX(PASTE_ALL,$DF480,$L$6)," "," "),CHAR(9)," "),CHAR(10)," "),CHAR(13)," "))),"")))</f>
        <v/>
      </c>
      <c r="DO480">
        <f>IF($DM480=0,"",IF($L$7=0,"",IFERROR(IF(ISNUMBER(INDEX(PASTE_ALL,$DF480,$L$7)),INDEX(PASTE_ALL,$DF480,$L$7),TRIM(SUBSTITUTE(SUBSTITUTE(SUBSTITUTE(SUBSTITUTE(INDEX(PASTE_ALL,$DF480,$L$7)," "," "),CHAR(9)," "),CHAR(10)," "),CHAR(13)," "))),"")))</f>
        <v/>
      </c>
      <c r="DP480">
        <f>IF($DM480=0,"",IF($L$8=0,"",IFERROR(IF(ISNUMBER(INDEX(PASTE_ALL,$DF480,$L$8)),INDEX(PASTE_ALL,$DF480,$L$8),TRIM(SUBSTITUTE(SUBSTITUTE(SUBSTITUTE(SUBSTITUTE(INDEX(PASTE_ALL,$DF480,$L$8)," "," "),CHAR(9)," "),CHAR(10)," "),CHAR(13)," "))),"")))</f>
        <v/>
      </c>
      <c r="DQ480">
        <f>IF($DM480=0,"",IF($L$9=0,"",IFERROR(IF(ISNUMBER(INDEX(PASTE_ALL,$DF480,$L$9)),INDEX(PASTE_ALL,$DF480,$L$9),TRIM(SUBSTITUTE(SUBSTITUTE(SUBSTITUTE(SUBSTITUTE(INDEX(PASTE_ALL,$DF480,$L$9)," "," "),CHAR(9)," "),CHAR(10)," "),CHAR(13)," "))),"")))</f>
        <v/>
      </c>
      <c r="DR480">
        <f>IF($DM480=0,"",IF($L$10=0,"",IFERROR(IF(ISNUMBER(INDEX(PASTE_ALL,$DF480,$L$10)),INDEX(PASTE_ALL,$DF480,$L$10),TRIM(SUBSTITUTE(SUBSTITUTE(SUBSTITUTE(SUBSTITUTE(INDEX(PASTE_ALL,$DF480,$L$10)," "," "),CHAR(9)," "),CHAR(10)," "),CHAR(13)," "))),"")))</f>
        <v/>
      </c>
      <c r="DS480">
        <f>IF($DM480=0,"",IF($L$11=0,"",IFERROR(IF(ISNUMBER(INDEX(PASTE_ALL,$DF480,$L$11)),INDEX(PASTE_ALL,$DF480,$L$11),TRIM(SUBSTITUTE(SUBSTITUTE(SUBSTITUTE(SUBSTITUTE(INDEX(PASTE_ALL,$DF480,$L$11)," "," "),CHAR(9)," "),CHAR(10)," "),CHAR(13)," "))),"")))</f>
        <v/>
      </c>
      <c r="DT480">
        <f>IF($DM480=0,"",IF($L$12=0,"",IFERROR(IF(ISNUMBER(INDEX(PASTE_ALL,$DF480,$L$12)),INDEX(PASTE_ALL,$DF480,$L$12),TRIM(SUBSTITUTE(SUBSTITUTE(SUBSTITUTE(SUBSTITUTE(INDEX(PASTE_ALL,$DF480,$L$12)," "," "),CHAR(9)," "),CHAR(10)," "),CHAR(13)," "))),"")))</f>
        <v/>
      </c>
      <c r="DU480">
        <f>IF($DM480=0,"",IF($L$13=0,"",IFERROR(IF(ISNUMBER(INDEX(PASTE_ALL,$DF480,$L$13)),INDEX(PASTE_ALL,$DF480,$L$13),TRIM(SUBSTITUTE(SUBSTITUTE(SUBSTITUTE(SUBSTITUTE(INDEX(PASTE_ALL,$DF480,$L$13)," "," "),CHAR(9)," "),CHAR(10)," "),CHAR(13)," "))),"")))</f>
        <v/>
      </c>
      <c r="DV480">
        <f>IF($DM480=0,"",IF($L$14=0,"",IFERROR(IF(ISNUMBER(INDEX(PASTE_ALL,$DF480,$L$14)),INDEX(PASTE_ALL,$DF480,$L$14),TRIM(SUBSTITUTE(SUBSTITUTE(SUBSTITUTE(SUBSTITUTE(INDEX(PASTE_ALL,$DF480,$L$14)," "," "),CHAR(9)," "),CHAR(10)," "),CHAR(13)," "))),"")))</f>
        <v/>
      </c>
      <c r="DW480">
        <f>IF($DM480=0,"",IF($L$15=0,"",IFERROR(IF(ISNUMBER(INDEX(PASTE_ALL,$DF480,$L$15)),INDEX(PASTE_ALL,$DF480,$L$15),IF(SUMPRODUCT(--ISNUMBER(FIND({"A","B","C","D","E","F","G","H","I","J","K","L","M","N","O","P","Q","R","S","T","U","V","W","X","Y","Z","0","1","2","3","4","5","6","7","8","9"},UPPER(TRIM(SUBSTITUTE(SUBSTITUTE(SUBSTITUTE(SUBSTITUTE(INDEX(PASTE_ALL,$DF480,$L$15)," "," "),CHAR(9)," "),CHAR(10)," "),CHAR(13)," "))))))&gt;0,TRIM(SUBSTITUTE(SUBSTITUTE(SUBSTITUTE(SUBSTITUTE(INDEX(PASTE_ALL,$DF480,$L$15)," "," "),CHAR(9)," "),CHAR(10)," "),CHAR(13)," ")),"")),"")))</f>
        <v/>
      </c>
      <c r="DX480">
        <f>IF($DM480=0,"",IF($L$16=0,"",IFERROR(IF(ISNUMBER(INDEX(PASTE_ALL,$DF480,$L$16)),INDEX(PASTE_ALL,$DF480,$L$16),SUBSTITUTE(SUBSTITUTE(TRIM(SUBSTITUTE(SUBSTITUTE(SUBSTITUTE(SUBSTITUTE(INDEX(PASTE_ALL,$DF480,$L$16)," "," "),CHAR(9)," "),CHAR(10)," "),CHAR(13)," ")),",",""),"%","")),"")))</f>
        <v/>
      </c>
      <c r="DY480">
        <f>IF($DM480=0,"",IFERROR(IF(ISNUMBER($DX480),$DX480,IF($DX480="","",IF(TRIM($DX480)="",0,IF(AND(AND(SUBSTITUTE(SUBSTITUTE(SUBSTITUTE(SUBSTITUTE(SUBSTITUTE(SUBSTITUTE(SUBSTITUTE(SUBSTITUTE(SUBSTITUTE(SUBSTITUTE(SUBSTITUTE(SUBSTITUTE(SUBSTITUTE(SUBSTITUTE(UPPER(TRIM($DX480)),"0",""),"1",""),"2",""),"3",""),"4",""),"5",""),"6",""),"7",""),"8",""),"9",""),".",""),"+",""),"-",""),"E","")="",LEN(SUBSTITUTE(SUBSTITUTE(MID(UPPER(TRIM($DX480)),1+OR(LEFT(UPPER(TRIM($DX480)),1)="+",LEFT(UPPER(TRIM($DX480)),1)="-"),999),"E+","E"),"E-","E"))=LEN(SUBSTITUTE(SUBSTITUTE(SUBSTITUTE(SUBSTITUTE(MID(UPPER(TRIM($DX480)),1+OR(LEFT(UPPER(TRIM($DX480)),1)="+",LEFT(UPPER(TRIM($DX480)),1)="-"),999),"E+","E"),"E-","E"),"+",""),"-","")),LEN(UPPER(TRIM($DX480)))-LEN(SUBSTITUTE(UPPER(TRIM($DX480)),"E",""))&lt;2,LEN(UPPER(TRIM($DX480)))-LEN(SUBSTITUTE(UPPER(TRIM($DX480)),".",""))&lt;2,IFERROR(FIND(".",UPPER(TRIM($DX480))),0)&lt;IFERROR(FIND("E",UPPER(TRIM($DX480))),999)),ISNUMBER(VALUE(TRIM($DX480)))),VALUE(TRIM($DX480)),"")))),""))</f>
        <v/>
      </c>
      <c r="DZ480">
        <f>IF($DM480=0,"",IF($L$17=0,"",IFERROR(IF(ISNUMBER(INDEX(PASTE_ALL,$DF480,$L$17)),INDEX(PASTE_ALL,$DF480,$L$17),SUBSTITUTE(SUBSTITUTE(TRIM(SUBSTITUTE(SUBSTITUTE(SUBSTITUTE(SUBSTITUTE(INDEX(PASTE_ALL,$DF480,$L$17)," "," "),CHAR(9)," "),CHAR(10)," "),CHAR(13)," ")),",",""),"%","")),"")))</f>
        <v/>
      </c>
      <c r="EA480">
        <f>IF($DM480=0,"",IFERROR(IF(ISNUMBER($DZ480),$DZ480,IF($DZ480="","",IF(TRIM($DZ480)="",0,IF(AND(AND(SUBSTITUTE(SUBSTITUTE(SUBSTITUTE(SUBSTITUTE(SUBSTITUTE(SUBSTITUTE(SUBSTITUTE(SUBSTITUTE(SUBSTITUTE(SUBSTITUTE(SUBSTITUTE(SUBSTITUTE(SUBSTITUTE(SUBSTITUTE(UPPER(TRIM($DZ480)),"0",""),"1",""),"2",""),"3",""),"4",""),"5",""),"6",""),"7",""),"8",""),"9",""),".",""),"+",""),"-",""),"E","")="",LEN(SUBSTITUTE(SUBSTITUTE(MID(UPPER(TRIM($DZ480)),1+OR(LEFT(UPPER(TRIM($DZ480)),1)="+",LEFT(UPPER(TRIM($DZ480)),1)="-"),999),"E+","E"),"E-","E"))=LEN(SUBSTITUTE(SUBSTITUTE(SUBSTITUTE(SUBSTITUTE(MID(UPPER(TRIM($DZ480)),1+OR(LEFT(UPPER(TRIM($DZ480)),1)="+",LEFT(UPPER(TRIM($DZ480)),1)="-"),999),"E+","E"),"E-","E"),"+",""),"-","")),LEN(UPPER(TRIM($DZ480)))-LEN(SUBSTITUTE(UPPER(TRIM($DZ480)),"E",""))&lt;2,LEN(UPPER(TRIM($DZ480)))-LEN(SUBSTITUTE(UPPER(TRIM($DZ480)),".",""))&lt;2,IFERROR(FIND(".",UPPER(TRIM($DZ480))),0)&lt;IFERROR(FIND("E",UPPER(TRIM($DZ480))),999)),ISNUMBER(VALUE(TRIM($DZ480)))),VALUE(TRIM($DZ480)),"")))),""))</f>
        <v/>
      </c>
      <c r="EB480">
        <f>IF($DM480=0,"",IF($L$18=0,"",IFERROR(IF(UPPER(TRIM(SUBSTITUTE(SUBSTITUTE(SUBSTITUTE(SUBSTITUTE(INDEX(PASTE_ALL,$DF480,$L$18)," "," "),CHAR(9)," "),CHAR(10)," "),CHAR(13)," ")))="READY","Ready",IF(UPPER(TRIM(SUBSTITUTE(SUBSTITUTE(SUBSTITUTE(SUBSTITUTE(INDEX(PASTE_ALL,$DF480,$L$18)," "," "),CHAR(9)," "),CHAR(10)," "),CHAR(13)," ")))="PM","PM",IF(OR(UPPER(TRIM(SUBSTITUTE(SUBSTITUTE(SUBSTITUTE(SUBSTITUTE(INDEX(PASTE_ALL,$DF480,$L$18)," "," "),CHAR(9)," "),CHAR(10)," "),CHAR(13)," ")))="OT",UPPER(TRIM(SUBSTITUTE(SUBSTITUTE(SUBSTITUTE(SUBSTITUTE(INDEX(PASTE_ALL,$DF480,$L$18)," "," "),CHAR(9)," "),CHAR(10)," "),CHAR(13)," ")))="OVERTIME",UPPER(TRIM(SUBSTITUTE(SUBSTITUTE(SUBSTITUTE(SUBSTITUTE(INDEX(PASTE_ALL,$DF480,$L$18)," "," "),CHAR(9)," "),CHAR(10)," "),CHAR(13)," ")))="TRIAL"),"OT",TRIM(SUBSTITUTE(SUBSTITUTE(SUBSTITUTE(SUBSTITUTE(INDEX(PASTE_ALL,$DF480,$L$18)," "," "),CHAR(9)," "),CHAR(10)," "),CHAR(13)," "))))),"")))</f>
        <v/>
      </c>
      <c r="EC480">
        <f>IF($DM480=0,"",IF($L$19=0,"",IFERROR(IF(ISNUMBER(INDEX(PASTE_ALL,$DF480,$L$19)),INDEX(PASTE_ALL,$DF480,$L$19),TRIM(SUBSTITUTE(SUBSTITUTE(SUBSTITUTE(SUBSTITUTE(INDEX(PASTE_ALL,$DF480,$L$19)," "," "),CHAR(9)," "),CHAR(10)," "),CHAR(13)," "))),"")))</f>
        <v/>
      </c>
      <c r="ED480">
        <f>IF($DM480=0,"",MATCH(1,INDEX(EXACT($DH$5:DH480,$DH480)*$DM$5:DM480,0),0))</f>
        <v/>
      </c>
      <c r="EE480">
        <f>IF($DM480=0,0,IF($ED480=$DE480,1,0))</f>
        <v/>
      </c>
      <c r="EF480">
        <f>EF479+$EE480</f>
        <v/>
      </c>
      <c r="EG480">
        <f>IF($DM480=0,"",INDEX($EF$5:$EF$1003,$ED480))</f>
        <v/>
      </c>
      <c r="EH480">
        <f>IF($DM480=0,"",IF($DO480&lt;&gt;"","",IFERROR(LOOKUP(2,1/(($EG$4:EG479=$EG480)*($DO$4:DO479&lt;&gt;"")),$DO$4:DO479),"")))</f>
        <v/>
      </c>
      <c r="EI480">
        <f>IF($DM480=0,"",IF($DO480&lt;&gt;"",$DO480,$EH480))</f>
        <v/>
      </c>
      <c r="EJ480">
        <f>IF($DM480=0,"",IF($EI480="",0,IF(OR(ISNUMBER($EI480),AND(AND(SUBSTITUTE(SUBSTITUTE(SUBSTITUTE(SUBSTITUTE(SUBSTITUTE(SUBSTITUTE(SUBSTITUTE(SUBSTITUTE(SUBSTITUTE(SUBSTITUTE(SUBSTITUTE(SUBSTITUTE(SUBSTITUTE(SUBSTITUTE(UPPER($EI480),"0",""),"1",""),"2",""),"3",""),"4",""),"5",""),"6",""),"7",""),"8",""),"9",""),".",""),"+",""),"-",""),"E","")="",LEN(SUBSTITUTE(SUBSTITUTE(MID(UPPER($EI480),1+OR(LEFT(UPPER($EI480),1)="+",LEFT(UPPER($EI480),1)="-"),999),"E+","E"),"E-","E"))=LEN(SUBSTITUTE(SUBSTITUTE(SUBSTITUTE(SUBSTITUTE(MID(UPPER($EI480),1+OR(LEFT(UPPER($EI480),1)="+",LEFT(UPPER($EI480),1)="-"),999),"E+","E"),"E-","E"),"+",""),"-","")),LEN(UPPER($EI480))-LEN(SUBSTITUTE(UPPER($EI480),"E",""))&lt;2,LEN(UPPER($EI480))-LEN(SUBSTITUTE(UPPER($EI480),".",""))&lt;2,IFERROR(FIND(".",UPPER($EI480)),0)&lt;IFERROR(FIND("E",UPPER($EI480)),999)),ISNUMBER(VALUE($EI480)))),1,2)))</f>
        <v/>
      </c>
      <c r="EK480">
        <f>IF($DM480=0,"",IF($EJ480=1,IF(ISNUMBER($EI480),$EI480,VALUE($EI480)),IF($EJ480=2,$DE480,0)))</f>
        <v/>
      </c>
      <c r="EL480">
        <f>IF($DM480=0,"",COUNTIF($EG$5:$EG$1003,"&lt;"&amp;$EG480)+SUMPRODUCT(($EG$5:$EG$1003=$EG480)*(($EJ$5:$EJ$1003&lt;$EJ480)+($EJ$5:$EJ$1003=$EJ480)*(($EK$5:$EK$1003&lt;$EK480)+($EK$5:$EK$1003=$EK480)*($DE$5:$DE$1003&lt;$DE480))))+1)</f>
        <v/>
      </c>
      <c r="EM480">
        <f>IF($DM480=0,"",$EL480+$EG480-1)</f>
        <v/>
      </c>
      <c r="EN480">
        <f>IF($DM480=0,0,IFERROR(MATCH(1,INDEX(--(TRIM(SUBSTITUTE(SUBSTITUTE(SUBSTITUTE(SUBSTITUTE(LINES_NAME&amp;""," "," "),CHAR(9)," "),CHAR(10)," "),CHAR(13)," "))=$DH480),0),0),0))</f>
        <v/>
      </c>
      <c r="EO480">
        <f>IF($EN480=0,0,IF(OR(UPPER(TRIM(INDEX(LINES_SCHEDULED,$EN480)&amp;""))="YES",UPPER(TRIM(INDEX(LINES_SCHEDULED,$EN480)&amp;""))="Y",UPPER(TRIM(INDEX(LINES_SCHEDULED,$EN480)&amp;""))="X"),1,0))</f>
        <v/>
      </c>
      <c r="EP480">
        <f>IF($DM480=0,"",IF(COUNTIFS($EG$5:$EG$1003,$EG480,$EB$5:$EB$1003,"Ready")&gt;0,"READY",IF(COUNTIFS($EG$5:$EG$1003,$EG480,$EB$5:$EB$1003,"PM")&gt;0,"PM",IF(COUNTIFS($EG$5:$EG$1003,$EG480,$EB$5:$EB$1003,"OT")&gt;0,"OT",""))))</f>
        <v/>
      </c>
      <c r="EQ480">
        <f>IF($EN480=0,"",UPPER(TRIM(INDEX(LINES_STATUS,$EN480)&amp;"")))</f>
        <v/>
      </c>
      <c r="ER480">
        <f>IF($DM480=0,"",IF(OR($EQ480="READY",$EQ480="PM",$EQ480="OT"),$EQ480,$EP480))</f>
        <v/>
      </c>
      <c r="ES480">
        <f>IF($DM480=0,"",IF(AND($DV480&lt;&gt;"",UPPER($DV480)&lt;&gt;"N"),"allergen",IF(ISNUMBER(SEARCH("oil",$DQ480)),"oil",IF(OR(EXACT($DS480,"A662"),EXACT($DS480,"A624")),"bulk",""))))</f>
        <v/>
      </c>
      <c r="ET480">
        <f>IF($DM480=0,"",IF(OR($EA480="",$EA480=0),"",$EA480/100))</f>
        <v/>
      </c>
      <c r="EU480">
        <f>IF(OR($ET480="",$DY480=""),"",INT($DY480*(1-$ET480)+0.5))</f>
        <v/>
      </c>
      <c r="EW480" t="n">
        <v>476</v>
      </c>
      <c r="EX480">
        <f>IFERROR(MATCH($EW480,$EM$5:$EM$1003,0),0)</f>
        <v/>
      </c>
      <c r="EY480">
        <f>IF($EW480&gt;$B$12,"",IF($EX480&gt;0,"row","spacer"))</f>
        <v/>
      </c>
      <c r="EZ480">
        <f>IF(AND($EY480="row",$EY479&lt;&gt;"row"),1,0)</f>
        <v/>
      </c>
      <c r="FA480">
        <f>IF(AND($EY480="row",$EY481&lt;&gt;"row"),1,0)</f>
        <v/>
      </c>
      <c r="FB480">
        <f>IF($EZ480=1,IFERROR(IF(ISNUMBER(INDEX(PASTE_ALL,INDEX($DF$5:$DF$1003,$EX480),$B$37)),INDEX(PASTE_ALL,INDEX($DF$5:$DF$1003,$EX480),$B$37),INDEX($DH$5:$DH$1003,$EX480)),INDEX($DH$5:$DH$1003,$EX480)),"")</f>
        <v/>
      </c>
      <c r="FC480">
        <f>IF($EY480="row",INDEX($ER$5:$ER$1003,$EX480),"")</f>
        <v/>
      </c>
      <c r="FD480">
        <f>IF($EY480="row",INDEX($DN$5:$DN$1003,$EX480),"")</f>
        <v/>
      </c>
      <c r="FE480">
        <f>IF($EY480="row",INDEX($DO$5:$DO$1003,$EX480),"")</f>
        <v/>
      </c>
      <c r="FF480">
        <f>IF($EY480="row",INDEX($DP$5:$DP$1003,$EX480),"")</f>
        <v/>
      </c>
      <c r="FG480">
        <f>IF($EY480="row",INDEX($DQ$5:$DQ$1003,$EX480),"")</f>
        <v/>
      </c>
      <c r="FH480">
        <f>IF($EY480="row",INDEX($DR$5:$DR$1003,$EX480),"")</f>
        <v/>
      </c>
      <c r="FI480">
        <f>IF($EY480="row",INDEX($DS$5:$DS$1003,$EX480),"")</f>
        <v/>
      </c>
      <c r="FJ480">
        <f>IF($EY480="row",INDEX($DT$5:$DT$1003,$EX480),"")</f>
        <v/>
      </c>
      <c r="FK480">
        <f>IF($EY480="row",INDEX($DU$5:$DU$1003,$EX480),"")</f>
        <v/>
      </c>
      <c r="FL480">
        <f>IF($EY480="row",INDEX($DV$5:$DV$1003,$EX480),"")</f>
        <v/>
      </c>
      <c r="FM480">
        <f>IF($EY480="row",INDEX($DW$5:$DW$1003,$EX480),"")</f>
        <v/>
      </c>
      <c r="FN480">
        <f>IF($EY480="row",INDEX($DY$5:$DY$1003,$EX480),"")</f>
        <v/>
      </c>
      <c r="FO480">
        <f>IF($EY480="row",INDEX($EA$5:$EA$1003,$EX480),"")</f>
        <v/>
      </c>
      <c r="FP480">
        <f>IF($EY480="row",INDEX($EC$5:$EC$1003,$EX480),"")</f>
        <v/>
      </c>
      <c r="FQ480">
        <f>IF($EY480="row",INDEX($ET$5:$ET$1003,$EX480),"")</f>
        <v/>
      </c>
      <c r="FR480">
        <f>IF($EY480="row",INDEX($EU$5:$EU$1003,$EX480),"")</f>
        <v/>
      </c>
      <c r="FS480">
        <f>IF(AND($EY480="row",$EY479="row"),IF(OR(INDEX($DT$5:$DT$1003,$EX479)="",INDEX($DT$5:$DT$1003,$EX480)=""),"",IF(NOT(EXACT(INDEX($DT$5:$DT$1003,$EX479),INDEX($DT$5:$DT$1003,$EX480))),"S4",IF(NOT(EXACT(INDEX($DS$5:$DS$1003,$EX479),INDEX($DS$5:$DS$1003,$EX480))),"S3",IF(NOT(EXACT(INDEX($DR$5:$DR$1003,$EX479),INDEX($DR$5:$DR$1003,$EX480))),"S1 Count Change","S1")))),"")</f>
        <v/>
      </c>
      <c r="FT480">
        <f>IF($EY480="row",INDEX($ES$5:$ES$1003,$EX480),"")</f>
        <v/>
      </c>
      <c r="FU480">
        <f>IF($EY480="row",INDEX($EO$5:$EO$1003,$EX480),0)</f>
        <v/>
      </c>
      <c r="FV480">
        <f>IF($FS480="S1 Count Change",1,0)</f>
        <v/>
      </c>
    </row>
    <row r="481">
      <c r="DA481" t="n">
        <v>477</v>
      </c>
      <c r="DB481">
        <f>IF($B$37=0,"",IFERROR(TRIM(SUBSTITUTE(SUBSTITUTE(SUBSTITUTE(SUBSTITUTE(INDEX(PASTE_ALL,477,$B$37)," "," "),CHAR(9)," "),CHAR(10)," "),CHAR(13)," ")),""))</f>
        <v/>
      </c>
      <c r="DC481">
        <f>IF(AND(477&gt;HEADER_ROW,UPPER(DB481)="LEGEND"),1,0)</f>
        <v/>
      </c>
      <c r="DE481" t="n">
        <v>477</v>
      </c>
      <c r="DF481">
        <f>HEADER_ROW+$DE481</f>
        <v/>
      </c>
      <c r="DG481">
        <f>IF(AND($DF481&lt;=1000,$DF481&lt;$B$8),1,0)</f>
        <v/>
      </c>
      <c r="DH481">
        <f>IF($DG481=1,IFERROR(INDEX($DB$5:$DB$1004,$DF481),""),"")</f>
        <v/>
      </c>
      <c r="DI481">
        <f>IF(AND($DG481=1,$DH481&lt;&gt;""),IFERROR(SUBSTITUTE(SUBSTITUTE(TRIM(SUBSTITUTE(SUBSTITUTE(SUBSTITUTE(SUBSTITUTE(IFERROR(INDEX(PASTE_ALL,$DF481,1)&amp;"","")&amp;"␟"&amp;IFERROR(INDEX(PASTE_ALL,$DF481,2)&amp;"","")&amp;"␟"&amp;IFERROR(INDEX(PASTE_ALL,$DF481,3)&amp;"","")&amp;"␟"&amp;IFERROR(INDEX(PASTE_ALL,$DF481,4)&amp;"","")&amp;"␟"&amp;IFERROR(INDEX(PASTE_ALL,$DF481,5)&amp;"","")&amp;"␟"&amp;IFERROR(INDEX(PASTE_ALL,$DF481,6)&amp;"","")&amp;"␟"&amp;IFERROR(INDEX(PASTE_ALL,$DF481,7)&amp;"","")&amp;"␟"&amp;IFERROR(INDEX(PASTE_ALL,$DF481,8)&amp;"","")&amp;"␟"&amp;IFERROR(INDEX(PASTE_ALL,$DF481,9)&amp;"","")&amp;"␟"&amp;IFERROR(INDEX(PASTE_ALL,$DF481,10)&amp;"","")&amp;"␟"&amp;IFERROR(INDEX(PASTE_ALL,$DF481,11)&amp;"","")&amp;"␟"&amp;IFERROR(INDEX(PASTE_ALL,$DF481,12)&amp;"","")&amp;"␟"&amp;IFERROR(INDEX(PASTE_ALL,$DF481,13)&amp;"","")&amp;"␟"&amp;IFERROR(INDEX(PASTE_ALL,$DF481,14)&amp;"","")&amp;"␟"&amp;IFERROR(INDEX(PASTE_ALL,$DF481,15)&amp;"","")&amp;"␟"&amp;IFERROR(INDEX(PASTE_ALL,$DF481,16)&amp;"","")&amp;"␟"&amp;IFERROR(INDEX(PASTE_ALL,$DF481,17)&amp;"","")&amp;"␟"&amp;IFERROR(INDEX(PASTE_ALL,$DF481,18)&amp;"","")&amp;"␟"&amp;IFERROR(INDEX(PASTE_ALL,$DF481,19)&amp;"","")&amp;"␟"&amp;IFERROR(INDEX(PASTE_ALL,$DF481,20)&amp;"","")&amp;"␟"&amp;IFERROR(INDEX(PASTE_ALL,$DF481,21)&amp;"","")&amp;"␟"&amp;IFERROR(INDEX(PASTE_ALL,$DF481,22)&amp;"","")&amp;"␟"&amp;IFERROR(INDEX(PASTE_ALL,$DF481,23)&amp;"","")&amp;"␟"&amp;IFERROR(INDEX(PASTE_ALL,$DF481,24)&amp;"","")&amp;"␟"&amp;IFERROR(INDEX(PASTE_ALL,$DF481,25)&amp;"","")&amp;"␟"&amp;IFERROR(INDEX(PASTE_ALL,$DF481,26)&amp;"","")&amp;"␟"&amp;IFERROR(INDEX(PASTE_ALL,$DF481,27)&amp;"","")&amp;"␟"&amp;IFERROR(INDEX(PASTE_ALL,$DF481,28)&amp;"","")&amp;"␟"&amp;IFERROR(INDEX(PASTE_ALL,$DF481,29)&amp;"","")&amp;"␟"&amp;IFERROR(INDEX(PASTE_ALL,$DF481,30)&amp;"","")&amp;"␟"&amp;IFERROR(INDEX(PASTE_ALL,$DF481,31)&amp;"","")&amp;"␟"&amp;IFERROR(INDEX(PASTE_ALL,$DF481,32)&amp;"","")&amp;"␟"&amp;IFERROR(INDEX(PASTE_ALL,$DF481,33)&amp;"","")&amp;"␟"&amp;IFERROR(INDEX(PASTE_ALL,$DF481,34)&amp;"","")&amp;"␟"&amp;IFERROR(INDEX(PASTE_ALL,$DF481,35)&amp;"","")&amp;"␟"&amp;IFERROR(INDEX(PASTE_ALL,$DF481,36)&amp;"","")&amp;"␟"&amp;IFERROR(INDEX(PASTE_ALL,$DF481,37)&amp;"","")&amp;"␟"&amp;IFERROR(INDEX(PASTE_ALL,$DF481,38)&amp;"","")&amp;"␟"&amp;IFERROR(INDEX(PASTE_ALL,$DF481,39)&amp;"","")&amp;"␟"&amp;IFERROR(INDEX(PASTE_ALL,$DF481,40)&amp;"","")&amp;"␟"&amp;IFERROR(INDEX(PASTE_ALL,$DF481,41)&amp;"","")&amp;"␟"&amp;IFERROR(INDEX(PASTE_ALL,$DF481,42)&amp;"","")&amp;"␟"&amp;IFERROR(INDEX(PASTE_ALL,$DF481,43)&amp;"","")&amp;"␟"&amp;IFERROR(INDEX(PASTE_ALL,$DF481,44)&amp;"","")&amp;"␟"&amp;IFERROR(INDEX(PASTE_ALL,$DF481,45)&amp;"","")&amp;"␟"&amp;IFERROR(INDEX(PASTE_ALL,$DF481,46)&amp;"","")&amp;"␟"&amp;IFERROR(INDEX(PASTE_ALL,$DF481,47)&amp;"","")&amp;"␟"&amp;IFERROR(INDEX(PASTE_ALL,$DF481,48)&amp;"","")&amp;"␟"&amp;IFERROR(INDEX(PASTE_ALL,$DF481,49)&amp;"","")&amp;"␟"&amp;IFERROR(INDEX(PASTE_ALL,$DF481,50)&amp;"","")&amp;"␟"&amp;IFERROR(INDEX(PASTE_ALL,$DF481,51)&amp;"","")&amp;"␟"&amp;IFERROR(INDEX(PASTE_ALL,$DF481,52)&amp;"","")&amp;"␟"&amp;IFERROR(INDEX(PASTE_ALL,$DF481,53)&amp;"","")&amp;"␟"&amp;IFERROR(INDEX(PASTE_ALL,$DF481,54)&amp;"","")&amp;"␟"&amp;IFERROR(INDEX(PASTE_ALL,$DF481,55)&amp;"","")&amp;"␟"&amp;IFERROR(INDEX(PASTE_ALL,$DF481,56)&amp;"","")&amp;"␟"&amp;IFERROR(INDEX(PASTE_ALL,$DF481,57)&amp;"","")&amp;"␟"&amp;IFERROR(INDEX(PASTE_ALL,$DF481,58)&amp;"","")&amp;"␟"&amp;IFERROR(INDEX(PASTE_ALL,$DF481,59)&amp;"","")&amp;"␟"&amp;IFERROR(INDEX(PASTE_ALL,$DF481,60)&amp;"","")," "," "),CHAR(9)," "),CHAR(10)," "),CHAR(13)," "))," ␟","␟"),"␟ ","␟"),"#"&amp;$DE481),"")</f>
        <v/>
      </c>
      <c r="DJ481">
        <f>IF($DI481="",0,IF(SUMPRODUCT(--EXACT($DI$4:DI480,$DI481))&gt;0,1,0))</f>
        <v/>
      </c>
      <c r="DK481">
        <f>IF(AND($DI481&lt;&gt;"",$DJ481=0),1,0)</f>
        <v/>
      </c>
      <c r="DL481">
        <f>DL480+$DK481</f>
        <v/>
      </c>
      <c r="DM481">
        <f>IF(AND($DK481=1,$DL481&lt;=600),1,0)</f>
        <v/>
      </c>
      <c r="DN481">
        <f>IF($DM481=0,"",IF($L$6=0,"",IFERROR(IF(ISNUMBER(INDEX(PASTE_ALL,$DF481,$L$6)),INDEX(PASTE_ALL,$DF481,$L$6),TRIM(SUBSTITUTE(SUBSTITUTE(SUBSTITUTE(SUBSTITUTE(INDEX(PASTE_ALL,$DF481,$L$6)," "," "),CHAR(9)," "),CHAR(10)," "),CHAR(13)," "))),"")))</f>
        <v/>
      </c>
      <c r="DO481">
        <f>IF($DM481=0,"",IF($L$7=0,"",IFERROR(IF(ISNUMBER(INDEX(PASTE_ALL,$DF481,$L$7)),INDEX(PASTE_ALL,$DF481,$L$7),TRIM(SUBSTITUTE(SUBSTITUTE(SUBSTITUTE(SUBSTITUTE(INDEX(PASTE_ALL,$DF481,$L$7)," "," "),CHAR(9)," "),CHAR(10)," "),CHAR(13)," "))),"")))</f>
        <v/>
      </c>
      <c r="DP481">
        <f>IF($DM481=0,"",IF($L$8=0,"",IFERROR(IF(ISNUMBER(INDEX(PASTE_ALL,$DF481,$L$8)),INDEX(PASTE_ALL,$DF481,$L$8),TRIM(SUBSTITUTE(SUBSTITUTE(SUBSTITUTE(SUBSTITUTE(INDEX(PASTE_ALL,$DF481,$L$8)," "," "),CHAR(9)," "),CHAR(10)," "),CHAR(13)," "))),"")))</f>
        <v/>
      </c>
      <c r="DQ481">
        <f>IF($DM481=0,"",IF($L$9=0,"",IFERROR(IF(ISNUMBER(INDEX(PASTE_ALL,$DF481,$L$9)),INDEX(PASTE_ALL,$DF481,$L$9),TRIM(SUBSTITUTE(SUBSTITUTE(SUBSTITUTE(SUBSTITUTE(INDEX(PASTE_ALL,$DF481,$L$9)," "," "),CHAR(9)," "),CHAR(10)," "),CHAR(13)," "))),"")))</f>
        <v/>
      </c>
      <c r="DR481">
        <f>IF($DM481=0,"",IF($L$10=0,"",IFERROR(IF(ISNUMBER(INDEX(PASTE_ALL,$DF481,$L$10)),INDEX(PASTE_ALL,$DF481,$L$10),TRIM(SUBSTITUTE(SUBSTITUTE(SUBSTITUTE(SUBSTITUTE(INDEX(PASTE_ALL,$DF481,$L$10)," "," "),CHAR(9)," "),CHAR(10)," "),CHAR(13)," "))),"")))</f>
        <v/>
      </c>
      <c r="DS481">
        <f>IF($DM481=0,"",IF($L$11=0,"",IFERROR(IF(ISNUMBER(INDEX(PASTE_ALL,$DF481,$L$11)),INDEX(PASTE_ALL,$DF481,$L$11),TRIM(SUBSTITUTE(SUBSTITUTE(SUBSTITUTE(SUBSTITUTE(INDEX(PASTE_ALL,$DF481,$L$11)," "," "),CHAR(9)," "),CHAR(10)," "),CHAR(13)," "))),"")))</f>
        <v/>
      </c>
      <c r="DT481">
        <f>IF($DM481=0,"",IF($L$12=0,"",IFERROR(IF(ISNUMBER(INDEX(PASTE_ALL,$DF481,$L$12)),INDEX(PASTE_ALL,$DF481,$L$12),TRIM(SUBSTITUTE(SUBSTITUTE(SUBSTITUTE(SUBSTITUTE(INDEX(PASTE_ALL,$DF481,$L$12)," "," "),CHAR(9)," "),CHAR(10)," "),CHAR(13)," "))),"")))</f>
        <v/>
      </c>
      <c r="DU481">
        <f>IF($DM481=0,"",IF($L$13=0,"",IFERROR(IF(ISNUMBER(INDEX(PASTE_ALL,$DF481,$L$13)),INDEX(PASTE_ALL,$DF481,$L$13),TRIM(SUBSTITUTE(SUBSTITUTE(SUBSTITUTE(SUBSTITUTE(INDEX(PASTE_ALL,$DF481,$L$13)," "," "),CHAR(9)," "),CHAR(10)," "),CHAR(13)," "))),"")))</f>
        <v/>
      </c>
      <c r="DV481">
        <f>IF($DM481=0,"",IF($L$14=0,"",IFERROR(IF(ISNUMBER(INDEX(PASTE_ALL,$DF481,$L$14)),INDEX(PASTE_ALL,$DF481,$L$14),TRIM(SUBSTITUTE(SUBSTITUTE(SUBSTITUTE(SUBSTITUTE(INDEX(PASTE_ALL,$DF481,$L$14)," "," "),CHAR(9)," "),CHAR(10)," "),CHAR(13)," "))),"")))</f>
        <v/>
      </c>
      <c r="DW481">
        <f>IF($DM481=0,"",IF($L$15=0,"",IFERROR(IF(ISNUMBER(INDEX(PASTE_ALL,$DF481,$L$15)),INDEX(PASTE_ALL,$DF481,$L$15),IF(SUMPRODUCT(--ISNUMBER(FIND({"A","B","C","D","E","F","G","H","I","J","K","L","M","N","O","P","Q","R","S","T","U","V","W","X","Y","Z","0","1","2","3","4","5","6","7","8","9"},UPPER(TRIM(SUBSTITUTE(SUBSTITUTE(SUBSTITUTE(SUBSTITUTE(INDEX(PASTE_ALL,$DF481,$L$15)," "," "),CHAR(9)," "),CHAR(10)," "),CHAR(13)," "))))))&gt;0,TRIM(SUBSTITUTE(SUBSTITUTE(SUBSTITUTE(SUBSTITUTE(INDEX(PASTE_ALL,$DF481,$L$15)," "," "),CHAR(9)," "),CHAR(10)," "),CHAR(13)," ")),"")),"")))</f>
        <v/>
      </c>
      <c r="DX481">
        <f>IF($DM481=0,"",IF($L$16=0,"",IFERROR(IF(ISNUMBER(INDEX(PASTE_ALL,$DF481,$L$16)),INDEX(PASTE_ALL,$DF481,$L$16),SUBSTITUTE(SUBSTITUTE(TRIM(SUBSTITUTE(SUBSTITUTE(SUBSTITUTE(SUBSTITUTE(INDEX(PASTE_ALL,$DF481,$L$16)," "," "),CHAR(9)," "),CHAR(10)," "),CHAR(13)," ")),",",""),"%","")),"")))</f>
        <v/>
      </c>
      <c r="DY481">
        <f>IF($DM481=0,"",IFERROR(IF(ISNUMBER($DX481),$DX481,IF($DX481="","",IF(TRIM($DX481)="",0,IF(AND(AND(SUBSTITUTE(SUBSTITUTE(SUBSTITUTE(SUBSTITUTE(SUBSTITUTE(SUBSTITUTE(SUBSTITUTE(SUBSTITUTE(SUBSTITUTE(SUBSTITUTE(SUBSTITUTE(SUBSTITUTE(SUBSTITUTE(SUBSTITUTE(UPPER(TRIM($DX481)),"0",""),"1",""),"2",""),"3",""),"4",""),"5",""),"6",""),"7",""),"8",""),"9",""),".",""),"+",""),"-",""),"E","")="",LEN(SUBSTITUTE(SUBSTITUTE(MID(UPPER(TRIM($DX481)),1+OR(LEFT(UPPER(TRIM($DX481)),1)="+",LEFT(UPPER(TRIM($DX481)),1)="-"),999),"E+","E"),"E-","E"))=LEN(SUBSTITUTE(SUBSTITUTE(SUBSTITUTE(SUBSTITUTE(MID(UPPER(TRIM($DX481)),1+OR(LEFT(UPPER(TRIM($DX481)),1)="+",LEFT(UPPER(TRIM($DX481)),1)="-"),999),"E+","E"),"E-","E"),"+",""),"-","")),LEN(UPPER(TRIM($DX481)))-LEN(SUBSTITUTE(UPPER(TRIM($DX481)),"E",""))&lt;2,LEN(UPPER(TRIM($DX481)))-LEN(SUBSTITUTE(UPPER(TRIM($DX481)),".",""))&lt;2,IFERROR(FIND(".",UPPER(TRIM($DX481))),0)&lt;IFERROR(FIND("E",UPPER(TRIM($DX481))),999)),ISNUMBER(VALUE(TRIM($DX481)))),VALUE(TRIM($DX481)),"")))),""))</f>
        <v/>
      </c>
      <c r="DZ481">
        <f>IF($DM481=0,"",IF($L$17=0,"",IFERROR(IF(ISNUMBER(INDEX(PASTE_ALL,$DF481,$L$17)),INDEX(PASTE_ALL,$DF481,$L$17),SUBSTITUTE(SUBSTITUTE(TRIM(SUBSTITUTE(SUBSTITUTE(SUBSTITUTE(SUBSTITUTE(INDEX(PASTE_ALL,$DF481,$L$17)," "," "),CHAR(9)," "),CHAR(10)," "),CHAR(13)," ")),",",""),"%","")),"")))</f>
        <v/>
      </c>
      <c r="EA481">
        <f>IF($DM481=0,"",IFERROR(IF(ISNUMBER($DZ481),$DZ481,IF($DZ481="","",IF(TRIM($DZ481)="",0,IF(AND(AND(SUBSTITUTE(SUBSTITUTE(SUBSTITUTE(SUBSTITUTE(SUBSTITUTE(SUBSTITUTE(SUBSTITUTE(SUBSTITUTE(SUBSTITUTE(SUBSTITUTE(SUBSTITUTE(SUBSTITUTE(SUBSTITUTE(SUBSTITUTE(UPPER(TRIM($DZ481)),"0",""),"1",""),"2",""),"3",""),"4",""),"5",""),"6",""),"7",""),"8",""),"9",""),".",""),"+",""),"-",""),"E","")="",LEN(SUBSTITUTE(SUBSTITUTE(MID(UPPER(TRIM($DZ481)),1+OR(LEFT(UPPER(TRIM($DZ481)),1)="+",LEFT(UPPER(TRIM($DZ481)),1)="-"),999),"E+","E"),"E-","E"))=LEN(SUBSTITUTE(SUBSTITUTE(SUBSTITUTE(SUBSTITUTE(MID(UPPER(TRIM($DZ481)),1+OR(LEFT(UPPER(TRIM($DZ481)),1)="+",LEFT(UPPER(TRIM($DZ481)),1)="-"),999),"E+","E"),"E-","E"),"+",""),"-","")),LEN(UPPER(TRIM($DZ481)))-LEN(SUBSTITUTE(UPPER(TRIM($DZ481)),"E",""))&lt;2,LEN(UPPER(TRIM($DZ481)))-LEN(SUBSTITUTE(UPPER(TRIM($DZ481)),".",""))&lt;2,IFERROR(FIND(".",UPPER(TRIM($DZ481))),0)&lt;IFERROR(FIND("E",UPPER(TRIM($DZ481))),999)),ISNUMBER(VALUE(TRIM($DZ481)))),VALUE(TRIM($DZ481)),"")))),""))</f>
        <v/>
      </c>
      <c r="EB481">
        <f>IF($DM481=0,"",IF($L$18=0,"",IFERROR(IF(UPPER(TRIM(SUBSTITUTE(SUBSTITUTE(SUBSTITUTE(SUBSTITUTE(INDEX(PASTE_ALL,$DF481,$L$18)," "," "),CHAR(9)," "),CHAR(10)," "),CHAR(13)," ")))="READY","Ready",IF(UPPER(TRIM(SUBSTITUTE(SUBSTITUTE(SUBSTITUTE(SUBSTITUTE(INDEX(PASTE_ALL,$DF481,$L$18)," "," "),CHAR(9)," "),CHAR(10)," "),CHAR(13)," ")))="PM","PM",IF(OR(UPPER(TRIM(SUBSTITUTE(SUBSTITUTE(SUBSTITUTE(SUBSTITUTE(INDEX(PASTE_ALL,$DF481,$L$18)," "," "),CHAR(9)," "),CHAR(10)," "),CHAR(13)," ")))="OT",UPPER(TRIM(SUBSTITUTE(SUBSTITUTE(SUBSTITUTE(SUBSTITUTE(INDEX(PASTE_ALL,$DF481,$L$18)," "," "),CHAR(9)," "),CHAR(10)," "),CHAR(13)," ")))="OVERTIME",UPPER(TRIM(SUBSTITUTE(SUBSTITUTE(SUBSTITUTE(SUBSTITUTE(INDEX(PASTE_ALL,$DF481,$L$18)," "," "),CHAR(9)," "),CHAR(10)," "),CHAR(13)," ")))="TRIAL"),"OT",TRIM(SUBSTITUTE(SUBSTITUTE(SUBSTITUTE(SUBSTITUTE(INDEX(PASTE_ALL,$DF481,$L$18)," "," "),CHAR(9)," "),CHAR(10)," "),CHAR(13)," "))))),"")))</f>
        <v/>
      </c>
      <c r="EC481">
        <f>IF($DM481=0,"",IF($L$19=0,"",IFERROR(IF(ISNUMBER(INDEX(PASTE_ALL,$DF481,$L$19)),INDEX(PASTE_ALL,$DF481,$L$19),TRIM(SUBSTITUTE(SUBSTITUTE(SUBSTITUTE(SUBSTITUTE(INDEX(PASTE_ALL,$DF481,$L$19)," "," "),CHAR(9)," "),CHAR(10)," "),CHAR(13)," "))),"")))</f>
        <v/>
      </c>
      <c r="ED481">
        <f>IF($DM481=0,"",MATCH(1,INDEX(EXACT($DH$5:DH481,$DH481)*$DM$5:DM481,0),0))</f>
        <v/>
      </c>
      <c r="EE481">
        <f>IF($DM481=0,0,IF($ED481=$DE481,1,0))</f>
        <v/>
      </c>
      <c r="EF481">
        <f>EF480+$EE481</f>
        <v/>
      </c>
      <c r="EG481">
        <f>IF($DM481=0,"",INDEX($EF$5:$EF$1003,$ED481))</f>
        <v/>
      </c>
      <c r="EH481">
        <f>IF($DM481=0,"",IF($DO481&lt;&gt;"","",IFERROR(LOOKUP(2,1/(($EG$4:EG480=$EG481)*($DO$4:DO480&lt;&gt;"")),$DO$4:DO480),"")))</f>
        <v/>
      </c>
      <c r="EI481">
        <f>IF($DM481=0,"",IF($DO481&lt;&gt;"",$DO481,$EH481))</f>
        <v/>
      </c>
      <c r="EJ481">
        <f>IF($DM481=0,"",IF($EI481="",0,IF(OR(ISNUMBER($EI481),AND(AND(SUBSTITUTE(SUBSTITUTE(SUBSTITUTE(SUBSTITUTE(SUBSTITUTE(SUBSTITUTE(SUBSTITUTE(SUBSTITUTE(SUBSTITUTE(SUBSTITUTE(SUBSTITUTE(SUBSTITUTE(SUBSTITUTE(SUBSTITUTE(UPPER($EI481),"0",""),"1",""),"2",""),"3",""),"4",""),"5",""),"6",""),"7",""),"8",""),"9",""),".",""),"+",""),"-",""),"E","")="",LEN(SUBSTITUTE(SUBSTITUTE(MID(UPPER($EI481),1+OR(LEFT(UPPER($EI481),1)="+",LEFT(UPPER($EI481),1)="-"),999),"E+","E"),"E-","E"))=LEN(SUBSTITUTE(SUBSTITUTE(SUBSTITUTE(SUBSTITUTE(MID(UPPER($EI481),1+OR(LEFT(UPPER($EI481),1)="+",LEFT(UPPER($EI481),1)="-"),999),"E+","E"),"E-","E"),"+",""),"-","")),LEN(UPPER($EI481))-LEN(SUBSTITUTE(UPPER($EI481),"E",""))&lt;2,LEN(UPPER($EI481))-LEN(SUBSTITUTE(UPPER($EI481),".",""))&lt;2,IFERROR(FIND(".",UPPER($EI481)),0)&lt;IFERROR(FIND("E",UPPER($EI481)),999)),ISNUMBER(VALUE($EI481)))),1,2)))</f>
        <v/>
      </c>
      <c r="EK481">
        <f>IF($DM481=0,"",IF($EJ481=1,IF(ISNUMBER($EI481),$EI481,VALUE($EI481)),IF($EJ481=2,$DE481,0)))</f>
        <v/>
      </c>
      <c r="EL481">
        <f>IF($DM481=0,"",COUNTIF($EG$5:$EG$1003,"&lt;"&amp;$EG481)+SUMPRODUCT(($EG$5:$EG$1003=$EG481)*(($EJ$5:$EJ$1003&lt;$EJ481)+($EJ$5:$EJ$1003=$EJ481)*(($EK$5:$EK$1003&lt;$EK481)+($EK$5:$EK$1003=$EK481)*($DE$5:$DE$1003&lt;$DE481))))+1)</f>
        <v/>
      </c>
      <c r="EM481">
        <f>IF($DM481=0,"",$EL481+$EG481-1)</f>
        <v/>
      </c>
      <c r="EN481">
        <f>IF($DM481=0,0,IFERROR(MATCH(1,INDEX(--(TRIM(SUBSTITUTE(SUBSTITUTE(SUBSTITUTE(SUBSTITUTE(LINES_NAME&amp;""," "," "),CHAR(9)," "),CHAR(10)," "),CHAR(13)," "))=$DH481),0),0),0))</f>
        <v/>
      </c>
      <c r="EO481">
        <f>IF($EN481=0,0,IF(OR(UPPER(TRIM(INDEX(LINES_SCHEDULED,$EN481)&amp;""))="YES",UPPER(TRIM(INDEX(LINES_SCHEDULED,$EN481)&amp;""))="Y",UPPER(TRIM(INDEX(LINES_SCHEDULED,$EN481)&amp;""))="X"),1,0))</f>
        <v/>
      </c>
      <c r="EP481">
        <f>IF($DM481=0,"",IF(COUNTIFS($EG$5:$EG$1003,$EG481,$EB$5:$EB$1003,"Ready")&gt;0,"READY",IF(COUNTIFS($EG$5:$EG$1003,$EG481,$EB$5:$EB$1003,"PM")&gt;0,"PM",IF(COUNTIFS($EG$5:$EG$1003,$EG481,$EB$5:$EB$1003,"OT")&gt;0,"OT",""))))</f>
        <v/>
      </c>
      <c r="EQ481">
        <f>IF($EN481=0,"",UPPER(TRIM(INDEX(LINES_STATUS,$EN481)&amp;"")))</f>
        <v/>
      </c>
      <c r="ER481">
        <f>IF($DM481=0,"",IF(OR($EQ481="READY",$EQ481="PM",$EQ481="OT"),$EQ481,$EP481))</f>
        <v/>
      </c>
      <c r="ES481">
        <f>IF($DM481=0,"",IF(AND($DV481&lt;&gt;"",UPPER($DV481)&lt;&gt;"N"),"allergen",IF(ISNUMBER(SEARCH("oil",$DQ481)),"oil",IF(OR(EXACT($DS481,"A662"),EXACT($DS481,"A624")),"bulk",""))))</f>
        <v/>
      </c>
      <c r="ET481">
        <f>IF($DM481=0,"",IF(OR($EA481="",$EA481=0),"",$EA481/100))</f>
        <v/>
      </c>
      <c r="EU481">
        <f>IF(OR($ET481="",$DY481=""),"",INT($DY481*(1-$ET481)+0.5))</f>
        <v/>
      </c>
      <c r="EW481" t="n">
        <v>477</v>
      </c>
      <c r="EX481">
        <f>IFERROR(MATCH($EW481,$EM$5:$EM$1003,0),0)</f>
        <v/>
      </c>
      <c r="EY481">
        <f>IF($EW481&gt;$B$12,"",IF($EX481&gt;0,"row","spacer"))</f>
        <v/>
      </c>
      <c r="EZ481">
        <f>IF(AND($EY481="row",$EY480&lt;&gt;"row"),1,0)</f>
        <v/>
      </c>
      <c r="FA481">
        <f>IF(AND($EY481="row",$EY482&lt;&gt;"row"),1,0)</f>
        <v/>
      </c>
      <c r="FB481">
        <f>IF($EZ481=1,IFERROR(IF(ISNUMBER(INDEX(PASTE_ALL,INDEX($DF$5:$DF$1003,$EX481),$B$37)),INDEX(PASTE_ALL,INDEX($DF$5:$DF$1003,$EX481),$B$37),INDEX($DH$5:$DH$1003,$EX481)),INDEX($DH$5:$DH$1003,$EX481)),"")</f>
        <v/>
      </c>
      <c r="FC481">
        <f>IF($EY481="row",INDEX($ER$5:$ER$1003,$EX481),"")</f>
        <v/>
      </c>
      <c r="FD481">
        <f>IF($EY481="row",INDEX($DN$5:$DN$1003,$EX481),"")</f>
        <v/>
      </c>
      <c r="FE481">
        <f>IF($EY481="row",INDEX($DO$5:$DO$1003,$EX481),"")</f>
        <v/>
      </c>
      <c r="FF481">
        <f>IF($EY481="row",INDEX($DP$5:$DP$1003,$EX481),"")</f>
        <v/>
      </c>
      <c r="FG481">
        <f>IF($EY481="row",INDEX($DQ$5:$DQ$1003,$EX481),"")</f>
        <v/>
      </c>
      <c r="FH481">
        <f>IF($EY481="row",INDEX($DR$5:$DR$1003,$EX481),"")</f>
        <v/>
      </c>
      <c r="FI481">
        <f>IF($EY481="row",INDEX($DS$5:$DS$1003,$EX481),"")</f>
        <v/>
      </c>
      <c r="FJ481">
        <f>IF($EY481="row",INDEX($DT$5:$DT$1003,$EX481),"")</f>
        <v/>
      </c>
      <c r="FK481">
        <f>IF($EY481="row",INDEX($DU$5:$DU$1003,$EX481),"")</f>
        <v/>
      </c>
      <c r="FL481">
        <f>IF($EY481="row",INDEX($DV$5:$DV$1003,$EX481),"")</f>
        <v/>
      </c>
      <c r="FM481">
        <f>IF($EY481="row",INDEX($DW$5:$DW$1003,$EX481),"")</f>
        <v/>
      </c>
      <c r="FN481">
        <f>IF($EY481="row",INDEX($DY$5:$DY$1003,$EX481),"")</f>
        <v/>
      </c>
      <c r="FO481">
        <f>IF($EY481="row",INDEX($EA$5:$EA$1003,$EX481),"")</f>
        <v/>
      </c>
      <c r="FP481">
        <f>IF($EY481="row",INDEX($EC$5:$EC$1003,$EX481),"")</f>
        <v/>
      </c>
      <c r="FQ481">
        <f>IF($EY481="row",INDEX($ET$5:$ET$1003,$EX481),"")</f>
        <v/>
      </c>
      <c r="FR481">
        <f>IF($EY481="row",INDEX($EU$5:$EU$1003,$EX481),"")</f>
        <v/>
      </c>
      <c r="FS481">
        <f>IF(AND($EY481="row",$EY480="row"),IF(OR(INDEX($DT$5:$DT$1003,$EX480)="",INDEX($DT$5:$DT$1003,$EX481)=""),"",IF(NOT(EXACT(INDEX($DT$5:$DT$1003,$EX480),INDEX($DT$5:$DT$1003,$EX481))),"S4",IF(NOT(EXACT(INDEX($DS$5:$DS$1003,$EX480),INDEX($DS$5:$DS$1003,$EX481))),"S3",IF(NOT(EXACT(INDEX($DR$5:$DR$1003,$EX480),INDEX($DR$5:$DR$1003,$EX481))),"S1 Count Change","S1")))),"")</f>
        <v/>
      </c>
      <c r="FT481">
        <f>IF($EY481="row",INDEX($ES$5:$ES$1003,$EX481),"")</f>
        <v/>
      </c>
      <c r="FU481">
        <f>IF($EY481="row",INDEX($EO$5:$EO$1003,$EX481),0)</f>
        <v/>
      </c>
      <c r="FV481">
        <f>IF($FS481="S1 Count Change",1,0)</f>
        <v/>
      </c>
    </row>
    <row r="482">
      <c r="DA482" t="n">
        <v>478</v>
      </c>
      <c r="DB482">
        <f>IF($B$37=0,"",IFERROR(TRIM(SUBSTITUTE(SUBSTITUTE(SUBSTITUTE(SUBSTITUTE(INDEX(PASTE_ALL,478,$B$37)," "," "),CHAR(9)," "),CHAR(10)," "),CHAR(13)," ")),""))</f>
        <v/>
      </c>
      <c r="DC482">
        <f>IF(AND(478&gt;HEADER_ROW,UPPER(DB482)="LEGEND"),1,0)</f>
        <v/>
      </c>
      <c r="DE482" t="n">
        <v>478</v>
      </c>
      <c r="DF482">
        <f>HEADER_ROW+$DE482</f>
        <v/>
      </c>
      <c r="DG482">
        <f>IF(AND($DF482&lt;=1000,$DF482&lt;$B$8),1,0)</f>
        <v/>
      </c>
      <c r="DH482">
        <f>IF($DG482=1,IFERROR(INDEX($DB$5:$DB$1004,$DF482),""),"")</f>
        <v/>
      </c>
      <c r="DI482">
        <f>IF(AND($DG482=1,$DH482&lt;&gt;""),IFERROR(SUBSTITUTE(SUBSTITUTE(TRIM(SUBSTITUTE(SUBSTITUTE(SUBSTITUTE(SUBSTITUTE(IFERROR(INDEX(PASTE_ALL,$DF482,1)&amp;"","")&amp;"␟"&amp;IFERROR(INDEX(PASTE_ALL,$DF482,2)&amp;"","")&amp;"␟"&amp;IFERROR(INDEX(PASTE_ALL,$DF482,3)&amp;"","")&amp;"␟"&amp;IFERROR(INDEX(PASTE_ALL,$DF482,4)&amp;"","")&amp;"␟"&amp;IFERROR(INDEX(PASTE_ALL,$DF482,5)&amp;"","")&amp;"␟"&amp;IFERROR(INDEX(PASTE_ALL,$DF482,6)&amp;"","")&amp;"␟"&amp;IFERROR(INDEX(PASTE_ALL,$DF482,7)&amp;"","")&amp;"␟"&amp;IFERROR(INDEX(PASTE_ALL,$DF482,8)&amp;"","")&amp;"␟"&amp;IFERROR(INDEX(PASTE_ALL,$DF482,9)&amp;"","")&amp;"␟"&amp;IFERROR(INDEX(PASTE_ALL,$DF482,10)&amp;"","")&amp;"␟"&amp;IFERROR(INDEX(PASTE_ALL,$DF482,11)&amp;"","")&amp;"␟"&amp;IFERROR(INDEX(PASTE_ALL,$DF482,12)&amp;"","")&amp;"␟"&amp;IFERROR(INDEX(PASTE_ALL,$DF482,13)&amp;"","")&amp;"␟"&amp;IFERROR(INDEX(PASTE_ALL,$DF482,14)&amp;"","")&amp;"␟"&amp;IFERROR(INDEX(PASTE_ALL,$DF482,15)&amp;"","")&amp;"␟"&amp;IFERROR(INDEX(PASTE_ALL,$DF482,16)&amp;"","")&amp;"␟"&amp;IFERROR(INDEX(PASTE_ALL,$DF482,17)&amp;"","")&amp;"␟"&amp;IFERROR(INDEX(PASTE_ALL,$DF482,18)&amp;"","")&amp;"␟"&amp;IFERROR(INDEX(PASTE_ALL,$DF482,19)&amp;"","")&amp;"␟"&amp;IFERROR(INDEX(PASTE_ALL,$DF482,20)&amp;"","")&amp;"␟"&amp;IFERROR(INDEX(PASTE_ALL,$DF482,21)&amp;"","")&amp;"␟"&amp;IFERROR(INDEX(PASTE_ALL,$DF482,22)&amp;"","")&amp;"␟"&amp;IFERROR(INDEX(PASTE_ALL,$DF482,23)&amp;"","")&amp;"␟"&amp;IFERROR(INDEX(PASTE_ALL,$DF482,24)&amp;"","")&amp;"␟"&amp;IFERROR(INDEX(PASTE_ALL,$DF482,25)&amp;"","")&amp;"␟"&amp;IFERROR(INDEX(PASTE_ALL,$DF482,26)&amp;"","")&amp;"␟"&amp;IFERROR(INDEX(PASTE_ALL,$DF482,27)&amp;"","")&amp;"␟"&amp;IFERROR(INDEX(PASTE_ALL,$DF482,28)&amp;"","")&amp;"␟"&amp;IFERROR(INDEX(PASTE_ALL,$DF482,29)&amp;"","")&amp;"␟"&amp;IFERROR(INDEX(PASTE_ALL,$DF482,30)&amp;"","")&amp;"␟"&amp;IFERROR(INDEX(PASTE_ALL,$DF482,31)&amp;"","")&amp;"␟"&amp;IFERROR(INDEX(PASTE_ALL,$DF482,32)&amp;"","")&amp;"␟"&amp;IFERROR(INDEX(PASTE_ALL,$DF482,33)&amp;"","")&amp;"␟"&amp;IFERROR(INDEX(PASTE_ALL,$DF482,34)&amp;"","")&amp;"␟"&amp;IFERROR(INDEX(PASTE_ALL,$DF482,35)&amp;"","")&amp;"␟"&amp;IFERROR(INDEX(PASTE_ALL,$DF482,36)&amp;"","")&amp;"␟"&amp;IFERROR(INDEX(PASTE_ALL,$DF482,37)&amp;"","")&amp;"␟"&amp;IFERROR(INDEX(PASTE_ALL,$DF482,38)&amp;"","")&amp;"␟"&amp;IFERROR(INDEX(PASTE_ALL,$DF482,39)&amp;"","")&amp;"␟"&amp;IFERROR(INDEX(PASTE_ALL,$DF482,40)&amp;"","")&amp;"␟"&amp;IFERROR(INDEX(PASTE_ALL,$DF482,41)&amp;"","")&amp;"␟"&amp;IFERROR(INDEX(PASTE_ALL,$DF482,42)&amp;"","")&amp;"␟"&amp;IFERROR(INDEX(PASTE_ALL,$DF482,43)&amp;"","")&amp;"␟"&amp;IFERROR(INDEX(PASTE_ALL,$DF482,44)&amp;"","")&amp;"␟"&amp;IFERROR(INDEX(PASTE_ALL,$DF482,45)&amp;"","")&amp;"␟"&amp;IFERROR(INDEX(PASTE_ALL,$DF482,46)&amp;"","")&amp;"␟"&amp;IFERROR(INDEX(PASTE_ALL,$DF482,47)&amp;"","")&amp;"␟"&amp;IFERROR(INDEX(PASTE_ALL,$DF482,48)&amp;"","")&amp;"␟"&amp;IFERROR(INDEX(PASTE_ALL,$DF482,49)&amp;"","")&amp;"␟"&amp;IFERROR(INDEX(PASTE_ALL,$DF482,50)&amp;"","")&amp;"␟"&amp;IFERROR(INDEX(PASTE_ALL,$DF482,51)&amp;"","")&amp;"␟"&amp;IFERROR(INDEX(PASTE_ALL,$DF482,52)&amp;"","")&amp;"␟"&amp;IFERROR(INDEX(PASTE_ALL,$DF482,53)&amp;"","")&amp;"␟"&amp;IFERROR(INDEX(PASTE_ALL,$DF482,54)&amp;"","")&amp;"␟"&amp;IFERROR(INDEX(PASTE_ALL,$DF482,55)&amp;"","")&amp;"␟"&amp;IFERROR(INDEX(PASTE_ALL,$DF482,56)&amp;"","")&amp;"␟"&amp;IFERROR(INDEX(PASTE_ALL,$DF482,57)&amp;"","")&amp;"␟"&amp;IFERROR(INDEX(PASTE_ALL,$DF482,58)&amp;"","")&amp;"␟"&amp;IFERROR(INDEX(PASTE_ALL,$DF482,59)&amp;"","")&amp;"␟"&amp;IFERROR(INDEX(PASTE_ALL,$DF482,60)&amp;"","")," "," "),CHAR(9)," "),CHAR(10)," "),CHAR(13)," "))," ␟","␟"),"␟ ","␟"),"#"&amp;$DE482),"")</f>
        <v/>
      </c>
      <c r="DJ482">
        <f>IF($DI482="",0,IF(SUMPRODUCT(--EXACT($DI$4:DI481,$DI482))&gt;0,1,0))</f>
        <v/>
      </c>
      <c r="DK482">
        <f>IF(AND($DI482&lt;&gt;"",$DJ482=0),1,0)</f>
        <v/>
      </c>
      <c r="DL482">
        <f>DL481+$DK482</f>
        <v/>
      </c>
      <c r="DM482">
        <f>IF(AND($DK482=1,$DL482&lt;=600),1,0)</f>
        <v/>
      </c>
      <c r="DN482">
        <f>IF($DM482=0,"",IF($L$6=0,"",IFERROR(IF(ISNUMBER(INDEX(PASTE_ALL,$DF482,$L$6)),INDEX(PASTE_ALL,$DF482,$L$6),TRIM(SUBSTITUTE(SUBSTITUTE(SUBSTITUTE(SUBSTITUTE(INDEX(PASTE_ALL,$DF482,$L$6)," "," "),CHAR(9)," "),CHAR(10)," "),CHAR(13)," "))),"")))</f>
        <v/>
      </c>
      <c r="DO482">
        <f>IF($DM482=0,"",IF($L$7=0,"",IFERROR(IF(ISNUMBER(INDEX(PASTE_ALL,$DF482,$L$7)),INDEX(PASTE_ALL,$DF482,$L$7),TRIM(SUBSTITUTE(SUBSTITUTE(SUBSTITUTE(SUBSTITUTE(INDEX(PASTE_ALL,$DF482,$L$7)," "," "),CHAR(9)," "),CHAR(10)," "),CHAR(13)," "))),"")))</f>
        <v/>
      </c>
      <c r="DP482">
        <f>IF($DM482=0,"",IF($L$8=0,"",IFERROR(IF(ISNUMBER(INDEX(PASTE_ALL,$DF482,$L$8)),INDEX(PASTE_ALL,$DF482,$L$8),TRIM(SUBSTITUTE(SUBSTITUTE(SUBSTITUTE(SUBSTITUTE(INDEX(PASTE_ALL,$DF482,$L$8)," "," "),CHAR(9)," "),CHAR(10)," "),CHAR(13)," "))),"")))</f>
        <v/>
      </c>
      <c r="DQ482">
        <f>IF($DM482=0,"",IF($L$9=0,"",IFERROR(IF(ISNUMBER(INDEX(PASTE_ALL,$DF482,$L$9)),INDEX(PASTE_ALL,$DF482,$L$9),TRIM(SUBSTITUTE(SUBSTITUTE(SUBSTITUTE(SUBSTITUTE(INDEX(PASTE_ALL,$DF482,$L$9)," "," "),CHAR(9)," "),CHAR(10)," "),CHAR(13)," "))),"")))</f>
        <v/>
      </c>
      <c r="DR482">
        <f>IF($DM482=0,"",IF($L$10=0,"",IFERROR(IF(ISNUMBER(INDEX(PASTE_ALL,$DF482,$L$10)),INDEX(PASTE_ALL,$DF482,$L$10),TRIM(SUBSTITUTE(SUBSTITUTE(SUBSTITUTE(SUBSTITUTE(INDEX(PASTE_ALL,$DF482,$L$10)," "," "),CHAR(9)," "),CHAR(10)," "),CHAR(13)," "))),"")))</f>
        <v/>
      </c>
      <c r="DS482">
        <f>IF($DM482=0,"",IF($L$11=0,"",IFERROR(IF(ISNUMBER(INDEX(PASTE_ALL,$DF482,$L$11)),INDEX(PASTE_ALL,$DF482,$L$11),TRIM(SUBSTITUTE(SUBSTITUTE(SUBSTITUTE(SUBSTITUTE(INDEX(PASTE_ALL,$DF482,$L$11)," "," "),CHAR(9)," "),CHAR(10)," "),CHAR(13)," "))),"")))</f>
        <v/>
      </c>
      <c r="DT482">
        <f>IF($DM482=0,"",IF($L$12=0,"",IFERROR(IF(ISNUMBER(INDEX(PASTE_ALL,$DF482,$L$12)),INDEX(PASTE_ALL,$DF482,$L$12),TRIM(SUBSTITUTE(SUBSTITUTE(SUBSTITUTE(SUBSTITUTE(INDEX(PASTE_ALL,$DF482,$L$12)," "," "),CHAR(9)," "),CHAR(10)," "),CHAR(13)," "))),"")))</f>
        <v/>
      </c>
      <c r="DU482">
        <f>IF($DM482=0,"",IF($L$13=0,"",IFERROR(IF(ISNUMBER(INDEX(PASTE_ALL,$DF482,$L$13)),INDEX(PASTE_ALL,$DF482,$L$13),TRIM(SUBSTITUTE(SUBSTITUTE(SUBSTITUTE(SUBSTITUTE(INDEX(PASTE_ALL,$DF482,$L$13)," "," "),CHAR(9)," "),CHAR(10)," "),CHAR(13)," "))),"")))</f>
        <v/>
      </c>
      <c r="DV482">
        <f>IF($DM482=0,"",IF($L$14=0,"",IFERROR(IF(ISNUMBER(INDEX(PASTE_ALL,$DF482,$L$14)),INDEX(PASTE_ALL,$DF482,$L$14),TRIM(SUBSTITUTE(SUBSTITUTE(SUBSTITUTE(SUBSTITUTE(INDEX(PASTE_ALL,$DF482,$L$14)," "," "),CHAR(9)," "),CHAR(10)," "),CHAR(13)," "))),"")))</f>
        <v/>
      </c>
      <c r="DW482">
        <f>IF($DM482=0,"",IF($L$15=0,"",IFERROR(IF(ISNUMBER(INDEX(PASTE_ALL,$DF482,$L$15)),INDEX(PASTE_ALL,$DF482,$L$15),IF(SUMPRODUCT(--ISNUMBER(FIND({"A","B","C","D","E","F","G","H","I","J","K","L","M","N","O","P","Q","R","S","T","U","V","W","X","Y","Z","0","1","2","3","4","5","6","7","8","9"},UPPER(TRIM(SUBSTITUTE(SUBSTITUTE(SUBSTITUTE(SUBSTITUTE(INDEX(PASTE_ALL,$DF482,$L$15)," "," "),CHAR(9)," "),CHAR(10)," "),CHAR(13)," "))))))&gt;0,TRIM(SUBSTITUTE(SUBSTITUTE(SUBSTITUTE(SUBSTITUTE(INDEX(PASTE_ALL,$DF482,$L$15)," "," "),CHAR(9)," "),CHAR(10)," "),CHAR(13)," ")),"")),"")))</f>
        <v/>
      </c>
      <c r="DX482">
        <f>IF($DM482=0,"",IF($L$16=0,"",IFERROR(IF(ISNUMBER(INDEX(PASTE_ALL,$DF482,$L$16)),INDEX(PASTE_ALL,$DF482,$L$16),SUBSTITUTE(SUBSTITUTE(TRIM(SUBSTITUTE(SUBSTITUTE(SUBSTITUTE(SUBSTITUTE(INDEX(PASTE_ALL,$DF482,$L$16)," "," "),CHAR(9)," "),CHAR(10)," "),CHAR(13)," ")),",",""),"%","")),"")))</f>
        <v/>
      </c>
      <c r="DY482">
        <f>IF($DM482=0,"",IFERROR(IF(ISNUMBER($DX482),$DX482,IF($DX482="","",IF(TRIM($DX482)="",0,IF(AND(AND(SUBSTITUTE(SUBSTITUTE(SUBSTITUTE(SUBSTITUTE(SUBSTITUTE(SUBSTITUTE(SUBSTITUTE(SUBSTITUTE(SUBSTITUTE(SUBSTITUTE(SUBSTITUTE(SUBSTITUTE(SUBSTITUTE(SUBSTITUTE(UPPER(TRIM($DX482)),"0",""),"1",""),"2",""),"3",""),"4",""),"5",""),"6",""),"7",""),"8",""),"9",""),".",""),"+",""),"-",""),"E","")="",LEN(SUBSTITUTE(SUBSTITUTE(MID(UPPER(TRIM($DX482)),1+OR(LEFT(UPPER(TRIM($DX482)),1)="+",LEFT(UPPER(TRIM($DX482)),1)="-"),999),"E+","E"),"E-","E"))=LEN(SUBSTITUTE(SUBSTITUTE(SUBSTITUTE(SUBSTITUTE(MID(UPPER(TRIM($DX482)),1+OR(LEFT(UPPER(TRIM($DX482)),1)="+",LEFT(UPPER(TRIM($DX482)),1)="-"),999),"E+","E"),"E-","E"),"+",""),"-","")),LEN(UPPER(TRIM($DX482)))-LEN(SUBSTITUTE(UPPER(TRIM($DX482)),"E",""))&lt;2,LEN(UPPER(TRIM($DX482)))-LEN(SUBSTITUTE(UPPER(TRIM($DX482)),".",""))&lt;2,IFERROR(FIND(".",UPPER(TRIM($DX482))),0)&lt;IFERROR(FIND("E",UPPER(TRIM($DX482))),999)),ISNUMBER(VALUE(TRIM($DX482)))),VALUE(TRIM($DX482)),"")))),""))</f>
        <v/>
      </c>
      <c r="DZ482">
        <f>IF($DM482=0,"",IF($L$17=0,"",IFERROR(IF(ISNUMBER(INDEX(PASTE_ALL,$DF482,$L$17)),INDEX(PASTE_ALL,$DF482,$L$17),SUBSTITUTE(SUBSTITUTE(TRIM(SUBSTITUTE(SUBSTITUTE(SUBSTITUTE(SUBSTITUTE(INDEX(PASTE_ALL,$DF482,$L$17)," "," "),CHAR(9)," "),CHAR(10)," "),CHAR(13)," ")),",",""),"%","")),"")))</f>
        <v/>
      </c>
      <c r="EA482">
        <f>IF($DM482=0,"",IFERROR(IF(ISNUMBER($DZ482),$DZ482,IF($DZ482="","",IF(TRIM($DZ482)="",0,IF(AND(AND(SUBSTITUTE(SUBSTITUTE(SUBSTITUTE(SUBSTITUTE(SUBSTITUTE(SUBSTITUTE(SUBSTITUTE(SUBSTITUTE(SUBSTITUTE(SUBSTITUTE(SUBSTITUTE(SUBSTITUTE(SUBSTITUTE(SUBSTITUTE(UPPER(TRIM($DZ482)),"0",""),"1",""),"2",""),"3",""),"4",""),"5",""),"6",""),"7",""),"8",""),"9",""),".",""),"+",""),"-",""),"E","")="",LEN(SUBSTITUTE(SUBSTITUTE(MID(UPPER(TRIM($DZ482)),1+OR(LEFT(UPPER(TRIM($DZ482)),1)="+",LEFT(UPPER(TRIM($DZ482)),1)="-"),999),"E+","E"),"E-","E"))=LEN(SUBSTITUTE(SUBSTITUTE(SUBSTITUTE(SUBSTITUTE(MID(UPPER(TRIM($DZ482)),1+OR(LEFT(UPPER(TRIM($DZ482)),1)="+",LEFT(UPPER(TRIM($DZ482)),1)="-"),999),"E+","E"),"E-","E"),"+",""),"-","")),LEN(UPPER(TRIM($DZ482)))-LEN(SUBSTITUTE(UPPER(TRIM($DZ482)),"E",""))&lt;2,LEN(UPPER(TRIM($DZ482)))-LEN(SUBSTITUTE(UPPER(TRIM($DZ482)),".",""))&lt;2,IFERROR(FIND(".",UPPER(TRIM($DZ482))),0)&lt;IFERROR(FIND("E",UPPER(TRIM($DZ482))),999)),ISNUMBER(VALUE(TRIM($DZ482)))),VALUE(TRIM($DZ482)),"")))),""))</f>
        <v/>
      </c>
      <c r="EB482">
        <f>IF($DM482=0,"",IF($L$18=0,"",IFERROR(IF(UPPER(TRIM(SUBSTITUTE(SUBSTITUTE(SUBSTITUTE(SUBSTITUTE(INDEX(PASTE_ALL,$DF482,$L$18)," "," "),CHAR(9)," "),CHAR(10)," "),CHAR(13)," ")))="READY","Ready",IF(UPPER(TRIM(SUBSTITUTE(SUBSTITUTE(SUBSTITUTE(SUBSTITUTE(INDEX(PASTE_ALL,$DF482,$L$18)," "," "),CHAR(9)," "),CHAR(10)," "),CHAR(13)," ")))="PM","PM",IF(OR(UPPER(TRIM(SUBSTITUTE(SUBSTITUTE(SUBSTITUTE(SUBSTITUTE(INDEX(PASTE_ALL,$DF482,$L$18)," "," "),CHAR(9)," "),CHAR(10)," "),CHAR(13)," ")))="OT",UPPER(TRIM(SUBSTITUTE(SUBSTITUTE(SUBSTITUTE(SUBSTITUTE(INDEX(PASTE_ALL,$DF482,$L$18)," "," "),CHAR(9)," "),CHAR(10)," "),CHAR(13)," ")))="OVERTIME",UPPER(TRIM(SUBSTITUTE(SUBSTITUTE(SUBSTITUTE(SUBSTITUTE(INDEX(PASTE_ALL,$DF482,$L$18)," "," "),CHAR(9)," "),CHAR(10)," "),CHAR(13)," ")))="TRIAL"),"OT",TRIM(SUBSTITUTE(SUBSTITUTE(SUBSTITUTE(SUBSTITUTE(INDEX(PASTE_ALL,$DF482,$L$18)," "," "),CHAR(9)," "),CHAR(10)," "),CHAR(13)," "))))),"")))</f>
        <v/>
      </c>
      <c r="EC482">
        <f>IF($DM482=0,"",IF($L$19=0,"",IFERROR(IF(ISNUMBER(INDEX(PASTE_ALL,$DF482,$L$19)),INDEX(PASTE_ALL,$DF482,$L$19),TRIM(SUBSTITUTE(SUBSTITUTE(SUBSTITUTE(SUBSTITUTE(INDEX(PASTE_ALL,$DF482,$L$19)," "," "),CHAR(9)," "),CHAR(10)," "),CHAR(13)," "))),"")))</f>
        <v/>
      </c>
      <c r="ED482">
        <f>IF($DM482=0,"",MATCH(1,INDEX(EXACT($DH$5:DH482,$DH482)*$DM$5:DM482,0),0))</f>
        <v/>
      </c>
      <c r="EE482">
        <f>IF($DM482=0,0,IF($ED482=$DE482,1,0))</f>
        <v/>
      </c>
      <c r="EF482">
        <f>EF481+$EE482</f>
        <v/>
      </c>
      <c r="EG482">
        <f>IF($DM482=0,"",INDEX($EF$5:$EF$1003,$ED482))</f>
        <v/>
      </c>
      <c r="EH482">
        <f>IF($DM482=0,"",IF($DO482&lt;&gt;"","",IFERROR(LOOKUP(2,1/(($EG$4:EG481=$EG482)*($DO$4:DO481&lt;&gt;"")),$DO$4:DO481),"")))</f>
        <v/>
      </c>
      <c r="EI482">
        <f>IF($DM482=0,"",IF($DO482&lt;&gt;"",$DO482,$EH482))</f>
        <v/>
      </c>
      <c r="EJ482">
        <f>IF($DM482=0,"",IF($EI482="",0,IF(OR(ISNUMBER($EI482),AND(AND(SUBSTITUTE(SUBSTITUTE(SUBSTITUTE(SUBSTITUTE(SUBSTITUTE(SUBSTITUTE(SUBSTITUTE(SUBSTITUTE(SUBSTITUTE(SUBSTITUTE(SUBSTITUTE(SUBSTITUTE(SUBSTITUTE(SUBSTITUTE(UPPER($EI482),"0",""),"1",""),"2",""),"3",""),"4",""),"5",""),"6",""),"7",""),"8",""),"9",""),".",""),"+",""),"-",""),"E","")="",LEN(SUBSTITUTE(SUBSTITUTE(MID(UPPER($EI482),1+OR(LEFT(UPPER($EI482),1)="+",LEFT(UPPER($EI482),1)="-"),999),"E+","E"),"E-","E"))=LEN(SUBSTITUTE(SUBSTITUTE(SUBSTITUTE(SUBSTITUTE(MID(UPPER($EI482),1+OR(LEFT(UPPER($EI482),1)="+",LEFT(UPPER($EI482),1)="-"),999),"E+","E"),"E-","E"),"+",""),"-","")),LEN(UPPER($EI482))-LEN(SUBSTITUTE(UPPER($EI482),"E",""))&lt;2,LEN(UPPER($EI482))-LEN(SUBSTITUTE(UPPER($EI482),".",""))&lt;2,IFERROR(FIND(".",UPPER($EI482)),0)&lt;IFERROR(FIND("E",UPPER($EI482)),999)),ISNUMBER(VALUE($EI482)))),1,2)))</f>
        <v/>
      </c>
      <c r="EK482">
        <f>IF($DM482=0,"",IF($EJ482=1,IF(ISNUMBER($EI482),$EI482,VALUE($EI482)),IF($EJ482=2,$DE482,0)))</f>
        <v/>
      </c>
      <c r="EL482">
        <f>IF($DM482=0,"",COUNTIF($EG$5:$EG$1003,"&lt;"&amp;$EG482)+SUMPRODUCT(($EG$5:$EG$1003=$EG482)*(($EJ$5:$EJ$1003&lt;$EJ482)+($EJ$5:$EJ$1003=$EJ482)*(($EK$5:$EK$1003&lt;$EK482)+($EK$5:$EK$1003=$EK482)*($DE$5:$DE$1003&lt;$DE482))))+1)</f>
        <v/>
      </c>
      <c r="EM482">
        <f>IF($DM482=0,"",$EL482+$EG482-1)</f>
        <v/>
      </c>
      <c r="EN482">
        <f>IF($DM482=0,0,IFERROR(MATCH(1,INDEX(--(TRIM(SUBSTITUTE(SUBSTITUTE(SUBSTITUTE(SUBSTITUTE(LINES_NAME&amp;""," "," "),CHAR(9)," "),CHAR(10)," "),CHAR(13)," "))=$DH482),0),0),0))</f>
        <v/>
      </c>
      <c r="EO482">
        <f>IF($EN482=0,0,IF(OR(UPPER(TRIM(INDEX(LINES_SCHEDULED,$EN482)&amp;""))="YES",UPPER(TRIM(INDEX(LINES_SCHEDULED,$EN482)&amp;""))="Y",UPPER(TRIM(INDEX(LINES_SCHEDULED,$EN482)&amp;""))="X"),1,0))</f>
        <v/>
      </c>
      <c r="EP482">
        <f>IF($DM482=0,"",IF(COUNTIFS($EG$5:$EG$1003,$EG482,$EB$5:$EB$1003,"Ready")&gt;0,"READY",IF(COUNTIFS($EG$5:$EG$1003,$EG482,$EB$5:$EB$1003,"PM")&gt;0,"PM",IF(COUNTIFS($EG$5:$EG$1003,$EG482,$EB$5:$EB$1003,"OT")&gt;0,"OT",""))))</f>
        <v/>
      </c>
      <c r="EQ482">
        <f>IF($EN482=0,"",UPPER(TRIM(INDEX(LINES_STATUS,$EN482)&amp;"")))</f>
        <v/>
      </c>
      <c r="ER482">
        <f>IF($DM482=0,"",IF(OR($EQ482="READY",$EQ482="PM",$EQ482="OT"),$EQ482,$EP482))</f>
        <v/>
      </c>
      <c r="ES482">
        <f>IF($DM482=0,"",IF(AND($DV482&lt;&gt;"",UPPER($DV482)&lt;&gt;"N"),"allergen",IF(ISNUMBER(SEARCH("oil",$DQ482)),"oil",IF(OR(EXACT($DS482,"A662"),EXACT($DS482,"A624")),"bulk",""))))</f>
        <v/>
      </c>
      <c r="ET482">
        <f>IF($DM482=0,"",IF(OR($EA482="",$EA482=0),"",$EA482/100))</f>
        <v/>
      </c>
      <c r="EU482">
        <f>IF(OR($ET482="",$DY482=""),"",INT($DY482*(1-$ET482)+0.5))</f>
        <v/>
      </c>
      <c r="EW482" t="n">
        <v>478</v>
      </c>
      <c r="EX482">
        <f>IFERROR(MATCH($EW482,$EM$5:$EM$1003,0),0)</f>
        <v/>
      </c>
      <c r="EY482">
        <f>IF($EW482&gt;$B$12,"",IF($EX482&gt;0,"row","spacer"))</f>
        <v/>
      </c>
      <c r="EZ482">
        <f>IF(AND($EY482="row",$EY481&lt;&gt;"row"),1,0)</f>
        <v/>
      </c>
      <c r="FA482">
        <f>IF(AND($EY482="row",$EY483&lt;&gt;"row"),1,0)</f>
        <v/>
      </c>
      <c r="FB482">
        <f>IF($EZ482=1,IFERROR(IF(ISNUMBER(INDEX(PASTE_ALL,INDEX($DF$5:$DF$1003,$EX482),$B$37)),INDEX(PASTE_ALL,INDEX($DF$5:$DF$1003,$EX482),$B$37),INDEX($DH$5:$DH$1003,$EX482)),INDEX($DH$5:$DH$1003,$EX482)),"")</f>
        <v/>
      </c>
      <c r="FC482">
        <f>IF($EY482="row",INDEX($ER$5:$ER$1003,$EX482),"")</f>
        <v/>
      </c>
      <c r="FD482">
        <f>IF($EY482="row",INDEX($DN$5:$DN$1003,$EX482),"")</f>
        <v/>
      </c>
      <c r="FE482">
        <f>IF($EY482="row",INDEX($DO$5:$DO$1003,$EX482),"")</f>
        <v/>
      </c>
      <c r="FF482">
        <f>IF($EY482="row",INDEX($DP$5:$DP$1003,$EX482),"")</f>
        <v/>
      </c>
      <c r="FG482">
        <f>IF($EY482="row",INDEX($DQ$5:$DQ$1003,$EX482),"")</f>
        <v/>
      </c>
      <c r="FH482">
        <f>IF($EY482="row",INDEX($DR$5:$DR$1003,$EX482),"")</f>
        <v/>
      </c>
      <c r="FI482">
        <f>IF($EY482="row",INDEX($DS$5:$DS$1003,$EX482),"")</f>
        <v/>
      </c>
      <c r="FJ482">
        <f>IF($EY482="row",INDEX($DT$5:$DT$1003,$EX482),"")</f>
        <v/>
      </c>
      <c r="FK482">
        <f>IF($EY482="row",INDEX($DU$5:$DU$1003,$EX482),"")</f>
        <v/>
      </c>
      <c r="FL482">
        <f>IF($EY482="row",INDEX($DV$5:$DV$1003,$EX482),"")</f>
        <v/>
      </c>
      <c r="FM482">
        <f>IF($EY482="row",INDEX($DW$5:$DW$1003,$EX482),"")</f>
        <v/>
      </c>
      <c r="FN482">
        <f>IF($EY482="row",INDEX($DY$5:$DY$1003,$EX482),"")</f>
        <v/>
      </c>
      <c r="FO482">
        <f>IF($EY482="row",INDEX($EA$5:$EA$1003,$EX482),"")</f>
        <v/>
      </c>
      <c r="FP482">
        <f>IF($EY482="row",INDEX($EC$5:$EC$1003,$EX482),"")</f>
        <v/>
      </c>
      <c r="FQ482">
        <f>IF($EY482="row",INDEX($ET$5:$ET$1003,$EX482),"")</f>
        <v/>
      </c>
      <c r="FR482">
        <f>IF($EY482="row",INDEX($EU$5:$EU$1003,$EX482),"")</f>
        <v/>
      </c>
      <c r="FS482">
        <f>IF(AND($EY482="row",$EY481="row"),IF(OR(INDEX($DT$5:$DT$1003,$EX481)="",INDEX($DT$5:$DT$1003,$EX482)=""),"",IF(NOT(EXACT(INDEX($DT$5:$DT$1003,$EX481),INDEX($DT$5:$DT$1003,$EX482))),"S4",IF(NOT(EXACT(INDEX($DS$5:$DS$1003,$EX481),INDEX($DS$5:$DS$1003,$EX482))),"S3",IF(NOT(EXACT(INDEX($DR$5:$DR$1003,$EX481),INDEX($DR$5:$DR$1003,$EX482))),"S1 Count Change","S1")))),"")</f>
        <v/>
      </c>
      <c r="FT482">
        <f>IF($EY482="row",INDEX($ES$5:$ES$1003,$EX482),"")</f>
        <v/>
      </c>
      <c r="FU482">
        <f>IF($EY482="row",INDEX($EO$5:$EO$1003,$EX482),0)</f>
        <v/>
      </c>
      <c r="FV482">
        <f>IF($FS482="S1 Count Change",1,0)</f>
        <v/>
      </c>
    </row>
    <row r="483">
      <c r="DA483" t="n">
        <v>479</v>
      </c>
      <c r="DB483">
        <f>IF($B$37=0,"",IFERROR(TRIM(SUBSTITUTE(SUBSTITUTE(SUBSTITUTE(SUBSTITUTE(INDEX(PASTE_ALL,479,$B$37)," "," "),CHAR(9)," "),CHAR(10)," "),CHAR(13)," ")),""))</f>
        <v/>
      </c>
      <c r="DC483">
        <f>IF(AND(479&gt;HEADER_ROW,UPPER(DB483)="LEGEND"),1,0)</f>
        <v/>
      </c>
      <c r="DE483" t="n">
        <v>479</v>
      </c>
      <c r="DF483">
        <f>HEADER_ROW+$DE483</f>
        <v/>
      </c>
      <c r="DG483">
        <f>IF(AND($DF483&lt;=1000,$DF483&lt;$B$8),1,0)</f>
        <v/>
      </c>
      <c r="DH483">
        <f>IF($DG483=1,IFERROR(INDEX($DB$5:$DB$1004,$DF483),""),"")</f>
        <v/>
      </c>
      <c r="DI483">
        <f>IF(AND($DG483=1,$DH483&lt;&gt;""),IFERROR(SUBSTITUTE(SUBSTITUTE(TRIM(SUBSTITUTE(SUBSTITUTE(SUBSTITUTE(SUBSTITUTE(IFERROR(INDEX(PASTE_ALL,$DF483,1)&amp;"","")&amp;"␟"&amp;IFERROR(INDEX(PASTE_ALL,$DF483,2)&amp;"","")&amp;"␟"&amp;IFERROR(INDEX(PASTE_ALL,$DF483,3)&amp;"","")&amp;"␟"&amp;IFERROR(INDEX(PASTE_ALL,$DF483,4)&amp;"","")&amp;"␟"&amp;IFERROR(INDEX(PASTE_ALL,$DF483,5)&amp;"","")&amp;"␟"&amp;IFERROR(INDEX(PASTE_ALL,$DF483,6)&amp;"","")&amp;"␟"&amp;IFERROR(INDEX(PASTE_ALL,$DF483,7)&amp;"","")&amp;"␟"&amp;IFERROR(INDEX(PASTE_ALL,$DF483,8)&amp;"","")&amp;"␟"&amp;IFERROR(INDEX(PASTE_ALL,$DF483,9)&amp;"","")&amp;"␟"&amp;IFERROR(INDEX(PASTE_ALL,$DF483,10)&amp;"","")&amp;"␟"&amp;IFERROR(INDEX(PASTE_ALL,$DF483,11)&amp;"","")&amp;"␟"&amp;IFERROR(INDEX(PASTE_ALL,$DF483,12)&amp;"","")&amp;"␟"&amp;IFERROR(INDEX(PASTE_ALL,$DF483,13)&amp;"","")&amp;"␟"&amp;IFERROR(INDEX(PASTE_ALL,$DF483,14)&amp;"","")&amp;"␟"&amp;IFERROR(INDEX(PASTE_ALL,$DF483,15)&amp;"","")&amp;"␟"&amp;IFERROR(INDEX(PASTE_ALL,$DF483,16)&amp;"","")&amp;"␟"&amp;IFERROR(INDEX(PASTE_ALL,$DF483,17)&amp;"","")&amp;"␟"&amp;IFERROR(INDEX(PASTE_ALL,$DF483,18)&amp;"","")&amp;"␟"&amp;IFERROR(INDEX(PASTE_ALL,$DF483,19)&amp;"","")&amp;"␟"&amp;IFERROR(INDEX(PASTE_ALL,$DF483,20)&amp;"","")&amp;"␟"&amp;IFERROR(INDEX(PASTE_ALL,$DF483,21)&amp;"","")&amp;"␟"&amp;IFERROR(INDEX(PASTE_ALL,$DF483,22)&amp;"","")&amp;"␟"&amp;IFERROR(INDEX(PASTE_ALL,$DF483,23)&amp;"","")&amp;"␟"&amp;IFERROR(INDEX(PASTE_ALL,$DF483,24)&amp;"","")&amp;"␟"&amp;IFERROR(INDEX(PASTE_ALL,$DF483,25)&amp;"","")&amp;"␟"&amp;IFERROR(INDEX(PASTE_ALL,$DF483,26)&amp;"","")&amp;"␟"&amp;IFERROR(INDEX(PASTE_ALL,$DF483,27)&amp;"","")&amp;"␟"&amp;IFERROR(INDEX(PASTE_ALL,$DF483,28)&amp;"","")&amp;"␟"&amp;IFERROR(INDEX(PASTE_ALL,$DF483,29)&amp;"","")&amp;"␟"&amp;IFERROR(INDEX(PASTE_ALL,$DF483,30)&amp;"","")&amp;"␟"&amp;IFERROR(INDEX(PASTE_ALL,$DF483,31)&amp;"","")&amp;"␟"&amp;IFERROR(INDEX(PASTE_ALL,$DF483,32)&amp;"","")&amp;"␟"&amp;IFERROR(INDEX(PASTE_ALL,$DF483,33)&amp;"","")&amp;"␟"&amp;IFERROR(INDEX(PASTE_ALL,$DF483,34)&amp;"","")&amp;"␟"&amp;IFERROR(INDEX(PASTE_ALL,$DF483,35)&amp;"","")&amp;"␟"&amp;IFERROR(INDEX(PASTE_ALL,$DF483,36)&amp;"","")&amp;"␟"&amp;IFERROR(INDEX(PASTE_ALL,$DF483,37)&amp;"","")&amp;"␟"&amp;IFERROR(INDEX(PASTE_ALL,$DF483,38)&amp;"","")&amp;"␟"&amp;IFERROR(INDEX(PASTE_ALL,$DF483,39)&amp;"","")&amp;"␟"&amp;IFERROR(INDEX(PASTE_ALL,$DF483,40)&amp;"","")&amp;"␟"&amp;IFERROR(INDEX(PASTE_ALL,$DF483,41)&amp;"","")&amp;"␟"&amp;IFERROR(INDEX(PASTE_ALL,$DF483,42)&amp;"","")&amp;"␟"&amp;IFERROR(INDEX(PASTE_ALL,$DF483,43)&amp;"","")&amp;"␟"&amp;IFERROR(INDEX(PASTE_ALL,$DF483,44)&amp;"","")&amp;"␟"&amp;IFERROR(INDEX(PASTE_ALL,$DF483,45)&amp;"","")&amp;"␟"&amp;IFERROR(INDEX(PASTE_ALL,$DF483,46)&amp;"","")&amp;"␟"&amp;IFERROR(INDEX(PASTE_ALL,$DF483,47)&amp;"","")&amp;"␟"&amp;IFERROR(INDEX(PASTE_ALL,$DF483,48)&amp;"","")&amp;"␟"&amp;IFERROR(INDEX(PASTE_ALL,$DF483,49)&amp;"","")&amp;"␟"&amp;IFERROR(INDEX(PASTE_ALL,$DF483,50)&amp;"","")&amp;"␟"&amp;IFERROR(INDEX(PASTE_ALL,$DF483,51)&amp;"","")&amp;"␟"&amp;IFERROR(INDEX(PASTE_ALL,$DF483,52)&amp;"","")&amp;"␟"&amp;IFERROR(INDEX(PASTE_ALL,$DF483,53)&amp;"","")&amp;"␟"&amp;IFERROR(INDEX(PASTE_ALL,$DF483,54)&amp;"","")&amp;"␟"&amp;IFERROR(INDEX(PASTE_ALL,$DF483,55)&amp;"","")&amp;"␟"&amp;IFERROR(INDEX(PASTE_ALL,$DF483,56)&amp;"","")&amp;"␟"&amp;IFERROR(INDEX(PASTE_ALL,$DF483,57)&amp;"","")&amp;"␟"&amp;IFERROR(INDEX(PASTE_ALL,$DF483,58)&amp;"","")&amp;"␟"&amp;IFERROR(INDEX(PASTE_ALL,$DF483,59)&amp;"","")&amp;"␟"&amp;IFERROR(INDEX(PASTE_ALL,$DF483,60)&amp;"","")," "," "),CHAR(9)," "),CHAR(10)," "),CHAR(13)," "))," ␟","␟"),"␟ ","␟"),"#"&amp;$DE483),"")</f>
        <v/>
      </c>
      <c r="DJ483">
        <f>IF($DI483="",0,IF(SUMPRODUCT(--EXACT($DI$4:DI482,$DI483))&gt;0,1,0))</f>
        <v/>
      </c>
      <c r="DK483">
        <f>IF(AND($DI483&lt;&gt;"",$DJ483=0),1,0)</f>
        <v/>
      </c>
      <c r="DL483">
        <f>DL482+$DK483</f>
        <v/>
      </c>
      <c r="DM483">
        <f>IF(AND($DK483=1,$DL483&lt;=600),1,0)</f>
        <v/>
      </c>
      <c r="DN483">
        <f>IF($DM483=0,"",IF($L$6=0,"",IFERROR(IF(ISNUMBER(INDEX(PASTE_ALL,$DF483,$L$6)),INDEX(PASTE_ALL,$DF483,$L$6),TRIM(SUBSTITUTE(SUBSTITUTE(SUBSTITUTE(SUBSTITUTE(INDEX(PASTE_ALL,$DF483,$L$6)," "," "),CHAR(9)," "),CHAR(10)," "),CHAR(13)," "))),"")))</f>
        <v/>
      </c>
      <c r="DO483">
        <f>IF($DM483=0,"",IF($L$7=0,"",IFERROR(IF(ISNUMBER(INDEX(PASTE_ALL,$DF483,$L$7)),INDEX(PASTE_ALL,$DF483,$L$7),TRIM(SUBSTITUTE(SUBSTITUTE(SUBSTITUTE(SUBSTITUTE(INDEX(PASTE_ALL,$DF483,$L$7)," "," "),CHAR(9)," "),CHAR(10)," "),CHAR(13)," "))),"")))</f>
        <v/>
      </c>
      <c r="DP483">
        <f>IF($DM483=0,"",IF($L$8=0,"",IFERROR(IF(ISNUMBER(INDEX(PASTE_ALL,$DF483,$L$8)),INDEX(PASTE_ALL,$DF483,$L$8),TRIM(SUBSTITUTE(SUBSTITUTE(SUBSTITUTE(SUBSTITUTE(INDEX(PASTE_ALL,$DF483,$L$8)," "," "),CHAR(9)," "),CHAR(10)," "),CHAR(13)," "))),"")))</f>
        <v/>
      </c>
      <c r="DQ483">
        <f>IF($DM483=0,"",IF($L$9=0,"",IFERROR(IF(ISNUMBER(INDEX(PASTE_ALL,$DF483,$L$9)),INDEX(PASTE_ALL,$DF483,$L$9),TRIM(SUBSTITUTE(SUBSTITUTE(SUBSTITUTE(SUBSTITUTE(INDEX(PASTE_ALL,$DF483,$L$9)," "," "),CHAR(9)," "),CHAR(10)," "),CHAR(13)," "))),"")))</f>
        <v/>
      </c>
      <c r="DR483">
        <f>IF($DM483=0,"",IF($L$10=0,"",IFERROR(IF(ISNUMBER(INDEX(PASTE_ALL,$DF483,$L$10)),INDEX(PASTE_ALL,$DF483,$L$10),TRIM(SUBSTITUTE(SUBSTITUTE(SUBSTITUTE(SUBSTITUTE(INDEX(PASTE_ALL,$DF483,$L$10)," "," "),CHAR(9)," "),CHAR(10)," "),CHAR(13)," "))),"")))</f>
        <v/>
      </c>
      <c r="DS483">
        <f>IF($DM483=0,"",IF($L$11=0,"",IFERROR(IF(ISNUMBER(INDEX(PASTE_ALL,$DF483,$L$11)),INDEX(PASTE_ALL,$DF483,$L$11),TRIM(SUBSTITUTE(SUBSTITUTE(SUBSTITUTE(SUBSTITUTE(INDEX(PASTE_ALL,$DF483,$L$11)," "," "),CHAR(9)," "),CHAR(10)," "),CHAR(13)," "))),"")))</f>
        <v/>
      </c>
      <c r="DT483">
        <f>IF($DM483=0,"",IF($L$12=0,"",IFERROR(IF(ISNUMBER(INDEX(PASTE_ALL,$DF483,$L$12)),INDEX(PASTE_ALL,$DF483,$L$12),TRIM(SUBSTITUTE(SUBSTITUTE(SUBSTITUTE(SUBSTITUTE(INDEX(PASTE_ALL,$DF483,$L$12)," "," "),CHAR(9)," "),CHAR(10)," "),CHAR(13)," "))),"")))</f>
        <v/>
      </c>
      <c r="DU483">
        <f>IF($DM483=0,"",IF($L$13=0,"",IFERROR(IF(ISNUMBER(INDEX(PASTE_ALL,$DF483,$L$13)),INDEX(PASTE_ALL,$DF483,$L$13),TRIM(SUBSTITUTE(SUBSTITUTE(SUBSTITUTE(SUBSTITUTE(INDEX(PASTE_ALL,$DF483,$L$13)," "," "),CHAR(9)," "),CHAR(10)," "),CHAR(13)," "))),"")))</f>
        <v/>
      </c>
      <c r="DV483">
        <f>IF($DM483=0,"",IF($L$14=0,"",IFERROR(IF(ISNUMBER(INDEX(PASTE_ALL,$DF483,$L$14)),INDEX(PASTE_ALL,$DF483,$L$14),TRIM(SUBSTITUTE(SUBSTITUTE(SUBSTITUTE(SUBSTITUTE(INDEX(PASTE_ALL,$DF483,$L$14)," "," "),CHAR(9)," "),CHAR(10)," "),CHAR(13)," "))),"")))</f>
        <v/>
      </c>
      <c r="DW483">
        <f>IF($DM483=0,"",IF($L$15=0,"",IFERROR(IF(ISNUMBER(INDEX(PASTE_ALL,$DF483,$L$15)),INDEX(PASTE_ALL,$DF483,$L$15),IF(SUMPRODUCT(--ISNUMBER(FIND({"A","B","C","D","E","F","G","H","I","J","K","L","M","N","O","P","Q","R","S","T","U","V","W","X","Y","Z","0","1","2","3","4","5","6","7","8","9"},UPPER(TRIM(SUBSTITUTE(SUBSTITUTE(SUBSTITUTE(SUBSTITUTE(INDEX(PASTE_ALL,$DF483,$L$15)," "," "),CHAR(9)," "),CHAR(10)," "),CHAR(13)," "))))))&gt;0,TRIM(SUBSTITUTE(SUBSTITUTE(SUBSTITUTE(SUBSTITUTE(INDEX(PASTE_ALL,$DF483,$L$15)," "," "),CHAR(9)," "),CHAR(10)," "),CHAR(13)," ")),"")),"")))</f>
        <v/>
      </c>
      <c r="DX483">
        <f>IF($DM483=0,"",IF($L$16=0,"",IFERROR(IF(ISNUMBER(INDEX(PASTE_ALL,$DF483,$L$16)),INDEX(PASTE_ALL,$DF483,$L$16),SUBSTITUTE(SUBSTITUTE(TRIM(SUBSTITUTE(SUBSTITUTE(SUBSTITUTE(SUBSTITUTE(INDEX(PASTE_ALL,$DF483,$L$16)," "," "),CHAR(9)," "),CHAR(10)," "),CHAR(13)," ")),",",""),"%","")),"")))</f>
        <v/>
      </c>
      <c r="DY483">
        <f>IF($DM483=0,"",IFERROR(IF(ISNUMBER($DX483),$DX483,IF($DX483="","",IF(TRIM($DX483)="",0,IF(AND(AND(SUBSTITUTE(SUBSTITUTE(SUBSTITUTE(SUBSTITUTE(SUBSTITUTE(SUBSTITUTE(SUBSTITUTE(SUBSTITUTE(SUBSTITUTE(SUBSTITUTE(SUBSTITUTE(SUBSTITUTE(SUBSTITUTE(SUBSTITUTE(UPPER(TRIM($DX483)),"0",""),"1",""),"2",""),"3",""),"4",""),"5",""),"6",""),"7",""),"8",""),"9",""),".",""),"+",""),"-",""),"E","")="",LEN(SUBSTITUTE(SUBSTITUTE(MID(UPPER(TRIM($DX483)),1+OR(LEFT(UPPER(TRIM($DX483)),1)="+",LEFT(UPPER(TRIM($DX483)),1)="-"),999),"E+","E"),"E-","E"))=LEN(SUBSTITUTE(SUBSTITUTE(SUBSTITUTE(SUBSTITUTE(MID(UPPER(TRIM($DX483)),1+OR(LEFT(UPPER(TRIM($DX483)),1)="+",LEFT(UPPER(TRIM($DX483)),1)="-"),999),"E+","E"),"E-","E"),"+",""),"-","")),LEN(UPPER(TRIM($DX483)))-LEN(SUBSTITUTE(UPPER(TRIM($DX483)),"E",""))&lt;2,LEN(UPPER(TRIM($DX483)))-LEN(SUBSTITUTE(UPPER(TRIM($DX483)),".",""))&lt;2,IFERROR(FIND(".",UPPER(TRIM($DX483))),0)&lt;IFERROR(FIND("E",UPPER(TRIM($DX483))),999)),ISNUMBER(VALUE(TRIM($DX483)))),VALUE(TRIM($DX483)),"")))),""))</f>
        <v/>
      </c>
      <c r="DZ483">
        <f>IF($DM483=0,"",IF($L$17=0,"",IFERROR(IF(ISNUMBER(INDEX(PASTE_ALL,$DF483,$L$17)),INDEX(PASTE_ALL,$DF483,$L$17),SUBSTITUTE(SUBSTITUTE(TRIM(SUBSTITUTE(SUBSTITUTE(SUBSTITUTE(SUBSTITUTE(INDEX(PASTE_ALL,$DF483,$L$17)," "," "),CHAR(9)," "),CHAR(10)," "),CHAR(13)," ")),",",""),"%","")),"")))</f>
        <v/>
      </c>
      <c r="EA483">
        <f>IF($DM483=0,"",IFERROR(IF(ISNUMBER($DZ483),$DZ483,IF($DZ483="","",IF(TRIM($DZ483)="",0,IF(AND(AND(SUBSTITUTE(SUBSTITUTE(SUBSTITUTE(SUBSTITUTE(SUBSTITUTE(SUBSTITUTE(SUBSTITUTE(SUBSTITUTE(SUBSTITUTE(SUBSTITUTE(SUBSTITUTE(SUBSTITUTE(SUBSTITUTE(SUBSTITUTE(UPPER(TRIM($DZ483)),"0",""),"1",""),"2",""),"3",""),"4",""),"5",""),"6",""),"7",""),"8",""),"9",""),".",""),"+",""),"-",""),"E","")="",LEN(SUBSTITUTE(SUBSTITUTE(MID(UPPER(TRIM($DZ483)),1+OR(LEFT(UPPER(TRIM($DZ483)),1)="+",LEFT(UPPER(TRIM($DZ483)),1)="-"),999),"E+","E"),"E-","E"))=LEN(SUBSTITUTE(SUBSTITUTE(SUBSTITUTE(SUBSTITUTE(MID(UPPER(TRIM($DZ483)),1+OR(LEFT(UPPER(TRIM($DZ483)),1)="+",LEFT(UPPER(TRIM($DZ483)),1)="-"),999),"E+","E"),"E-","E"),"+",""),"-","")),LEN(UPPER(TRIM($DZ483)))-LEN(SUBSTITUTE(UPPER(TRIM($DZ483)),"E",""))&lt;2,LEN(UPPER(TRIM($DZ483)))-LEN(SUBSTITUTE(UPPER(TRIM($DZ483)),".",""))&lt;2,IFERROR(FIND(".",UPPER(TRIM($DZ483))),0)&lt;IFERROR(FIND("E",UPPER(TRIM($DZ483))),999)),ISNUMBER(VALUE(TRIM($DZ483)))),VALUE(TRIM($DZ483)),"")))),""))</f>
        <v/>
      </c>
      <c r="EB483">
        <f>IF($DM483=0,"",IF($L$18=0,"",IFERROR(IF(UPPER(TRIM(SUBSTITUTE(SUBSTITUTE(SUBSTITUTE(SUBSTITUTE(INDEX(PASTE_ALL,$DF483,$L$18)," "," "),CHAR(9)," "),CHAR(10)," "),CHAR(13)," ")))="READY","Ready",IF(UPPER(TRIM(SUBSTITUTE(SUBSTITUTE(SUBSTITUTE(SUBSTITUTE(INDEX(PASTE_ALL,$DF483,$L$18)," "," "),CHAR(9)," "),CHAR(10)," "),CHAR(13)," ")))="PM","PM",IF(OR(UPPER(TRIM(SUBSTITUTE(SUBSTITUTE(SUBSTITUTE(SUBSTITUTE(INDEX(PASTE_ALL,$DF483,$L$18)," "," "),CHAR(9)," "),CHAR(10)," "),CHAR(13)," ")))="OT",UPPER(TRIM(SUBSTITUTE(SUBSTITUTE(SUBSTITUTE(SUBSTITUTE(INDEX(PASTE_ALL,$DF483,$L$18)," "," "),CHAR(9)," "),CHAR(10)," "),CHAR(13)," ")))="OVERTIME",UPPER(TRIM(SUBSTITUTE(SUBSTITUTE(SUBSTITUTE(SUBSTITUTE(INDEX(PASTE_ALL,$DF483,$L$18)," "," "),CHAR(9)," "),CHAR(10)," "),CHAR(13)," ")))="TRIAL"),"OT",TRIM(SUBSTITUTE(SUBSTITUTE(SUBSTITUTE(SUBSTITUTE(INDEX(PASTE_ALL,$DF483,$L$18)," "," "),CHAR(9)," "),CHAR(10)," "),CHAR(13)," "))))),"")))</f>
        <v/>
      </c>
      <c r="EC483">
        <f>IF($DM483=0,"",IF($L$19=0,"",IFERROR(IF(ISNUMBER(INDEX(PASTE_ALL,$DF483,$L$19)),INDEX(PASTE_ALL,$DF483,$L$19),TRIM(SUBSTITUTE(SUBSTITUTE(SUBSTITUTE(SUBSTITUTE(INDEX(PASTE_ALL,$DF483,$L$19)," "," "),CHAR(9)," "),CHAR(10)," "),CHAR(13)," "))),"")))</f>
        <v/>
      </c>
      <c r="ED483">
        <f>IF($DM483=0,"",MATCH(1,INDEX(EXACT($DH$5:DH483,$DH483)*$DM$5:DM483,0),0))</f>
        <v/>
      </c>
      <c r="EE483">
        <f>IF($DM483=0,0,IF($ED483=$DE483,1,0))</f>
        <v/>
      </c>
      <c r="EF483">
        <f>EF482+$EE483</f>
        <v/>
      </c>
      <c r="EG483">
        <f>IF($DM483=0,"",INDEX($EF$5:$EF$1003,$ED483))</f>
        <v/>
      </c>
      <c r="EH483">
        <f>IF($DM483=0,"",IF($DO483&lt;&gt;"","",IFERROR(LOOKUP(2,1/(($EG$4:EG482=$EG483)*($DO$4:DO482&lt;&gt;"")),$DO$4:DO482),"")))</f>
        <v/>
      </c>
      <c r="EI483">
        <f>IF($DM483=0,"",IF($DO483&lt;&gt;"",$DO483,$EH483))</f>
        <v/>
      </c>
      <c r="EJ483">
        <f>IF($DM483=0,"",IF($EI483="",0,IF(OR(ISNUMBER($EI483),AND(AND(SUBSTITUTE(SUBSTITUTE(SUBSTITUTE(SUBSTITUTE(SUBSTITUTE(SUBSTITUTE(SUBSTITUTE(SUBSTITUTE(SUBSTITUTE(SUBSTITUTE(SUBSTITUTE(SUBSTITUTE(SUBSTITUTE(SUBSTITUTE(UPPER($EI483),"0",""),"1",""),"2",""),"3",""),"4",""),"5",""),"6",""),"7",""),"8",""),"9",""),".",""),"+",""),"-",""),"E","")="",LEN(SUBSTITUTE(SUBSTITUTE(MID(UPPER($EI483),1+OR(LEFT(UPPER($EI483),1)="+",LEFT(UPPER($EI483),1)="-"),999),"E+","E"),"E-","E"))=LEN(SUBSTITUTE(SUBSTITUTE(SUBSTITUTE(SUBSTITUTE(MID(UPPER($EI483),1+OR(LEFT(UPPER($EI483),1)="+",LEFT(UPPER($EI483),1)="-"),999),"E+","E"),"E-","E"),"+",""),"-","")),LEN(UPPER($EI483))-LEN(SUBSTITUTE(UPPER($EI483),"E",""))&lt;2,LEN(UPPER($EI483))-LEN(SUBSTITUTE(UPPER($EI483),".",""))&lt;2,IFERROR(FIND(".",UPPER($EI483)),0)&lt;IFERROR(FIND("E",UPPER($EI483)),999)),ISNUMBER(VALUE($EI483)))),1,2)))</f>
        <v/>
      </c>
      <c r="EK483">
        <f>IF($DM483=0,"",IF($EJ483=1,IF(ISNUMBER($EI483),$EI483,VALUE($EI483)),IF($EJ483=2,$DE483,0)))</f>
        <v/>
      </c>
      <c r="EL483">
        <f>IF($DM483=0,"",COUNTIF($EG$5:$EG$1003,"&lt;"&amp;$EG483)+SUMPRODUCT(($EG$5:$EG$1003=$EG483)*(($EJ$5:$EJ$1003&lt;$EJ483)+($EJ$5:$EJ$1003=$EJ483)*(($EK$5:$EK$1003&lt;$EK483)+($EK$5:$EK$1003=$EK483)*($DE$5:$DE$1003&lt;$DE483))))+1)</f>
        <v/>
      </c>
      <c r="EM483">
        <f>IF($DM483=0,"",$EL483+$EG483-1)</f>
        <v/>
      </c>
      <c r="EN483">
        <f>IF($DM483=0,0,IFERROR(MATCH(1,INDEX(--(TRIM(SUBSTITUTE(SUBSTITUTE(SUBSTITUTE(SUBSTITUTE(LINES_NAME&amp;""," "," "),CHAR(9)," "),CHAR(10)," "),CHAR(13)," "))=$DH483),0),0),0))</f>
        <v/>
      </c>
      <c r="EO483">
        <f>IF($EN483=0,0,IF(OR(UPPER(TRIM(INDEX(LINES_SCHEDULED,$EN483)&amp;""))="YES",UPPER(TRIM(INDEX(LINES_SCHEDULED,$EN483)&amp;""))="Y",UPPER(TRIM(INDEX(LINES_SCHEDULED,$EN483)&amp;""))="X"),1,0))</f>
        <v/>
      </c>
      <c r="EP483">
        <f>IF($DM483=0,"",IF(COUNTIFS($EG$5:$EG$1003,$EG483,$EB$5:$EB$1003,"Ready")&gt;0,"READY",IF(COUNTIFS($EG$5:$EG$1003,$EG483,$EB$5:$EB$1003,"PM")&gt;0,"PM",IF(COUNTIFS($EG$5:$EG$1003,$EG483,$EB$5:$EB$1003,"OT")&gt;0,"OT",""))))</f>
        <v/>
      </c>
      <c r="EQ483">
        <f>IF($EN483=0,"",UPPER(TRIM(INDEX(LINES_STATUS,$EN483)&amp;"")))</f>
        <v/>
      </c>
      <c r="ER483">
        <f>IF($DM483=0,"",IF(OR($EQ483="READY",$EQ483="PM",$EQ483="OT"),$EQ483,$EP483))</f>
        <v/>
      </c>
      <c r="ES483">
        <f>IF($DM483=0,"",IF(AND($DV483&lt;&gt;"",UPPER($DV483)&lt;&gt;"N"),"allergen",IF(ISNUMBER(SEARCH("oil",$DQ483)),"oil",IF(OR(EXACT($DS483,"A662"),EXACT($DS483,"A624")),"bulk",""))))</f>
        <v/>
      </c>
      <c r="ET483">
        <f>IF($DM483=0,"",IF(OR($EA483="",$EA483=0),"",$EA483/100))</f>
        <v/>
      </c>
      <c r="EU483">
        <f>IF(OR($ET483="",$DY483=""),"",INT($DY483*(1-$ET483)+0.5))</f>
        <v/>
      </c>
      <c r="EW483" t="n">
        <v>479</v>
      </c>
      <c r="EX483">
        <f>IFERROR(MATCH($EW483,$EM$5:$EM$1003,0),0)</f>
        <v/>
      </c>
      <c r="EY483">
        <f>IF($EW483&gt;$B$12,"",IF($EX483&gt;0,"row","spacer"))</f>
        <v/>
      </c>
      <c r="EZ483">
        <f>IF(AND($EY483="row",$EY482&lt;&gt;"row"),1,0)</f>
        <v/>
      </c>
      <c r="FA483">
        <f>IF(AND($EY483="row",$EY484&lt;&gt;"row"),1,0)</f>
        <v/>
      </c>
      <c r="FB483">
        <f>IF($EZ483=1,IFERROR(IF(ISNUMBER(INDEX(PASTE_ALL,INDEX($DF$5:$DF$1003,$EX483),$B$37)),INDEX(PASTE_ALL,INDEX($DF$5:$DF$1003,$EX483),$B$37),INDEX($DH$5:$DH$1003,$EX483)),INDEX($DH$5:$DH$1003,$EX483)),"")</f>
        <v/>
      </c>
      <c r="FC483">
        <f>IF($EY483="row",INDEX($ER$5:$ER$1003,$EX483),"")</f>
        <v/>
      </c>
      <c r="FD483">
        <f>IF($EY483="row",INDEX($DN$5:$DN$1003,$EX483),"")</f>
        <v/>
      </c>
      <c r="FE483">
        <f>IF($EY483="row",INDEX($DO$5:$DO$1003,$EX483),"")</f>
        <v/>
      </c>
      <c r="FF483">
        <f>IF($EY483="row",INDEX($DP$5:$DP$1003,$EX483),"")</f>
        <v/>
      </c>
      <c r="FG483">
        <f>IF($EY483="row",INDEX($DQ$5:$DQ$1003,$EX483),"")</f>
        <v/>
      </c>
      <c r="FH483">
        <f>IF($EY483="row",INDEX($DR$5:$DR$1003,$EX483),"")</f>
        <v/>
      </c>
      <c r="FI483">
        <f>IF($EY483="row",INDEX($DS$5:$DS$1003,$EX483),"")</f>
        <v/>
      </c>
      <c r="FJ483">
        <f>IF($EY483="row",INDEX($DT$5:$DT$1003,$EX483),"")</f>
        <v/>
      </c>
      <c r="FK483">
        <f>IF($EY483="row",INDEX($DU$5:$DU$1003,$EX483),"")</f>
        <v/>
      </c>
      <c r="FL483">
        <f>IF($EY483="row",INDEX($DV$5:$DV$1003,$EX483),"")</f>
        <v/>
      </c>
      <c r="FM483">
        <f>IF($EY483="row",INDEX($DW$5:$DW$1003,$EX483),"")</f>
        <v/>
      </c>
      <c r="FN483">
        <f>IF($EY483="row",INDEX($DY$5:$DY$1003,$EX483),"")</f>
        <v/>
      </c>
      <c r="FO483">
        <f>IF($EY483="row",INDEX($EA$5:$EA$1003,$EX483),"")</f>
        <v/>
      </c>
      <c r="FP483">
        <f>IF($EY483="row",INDEX($EC$5:$EC$1003,$EX483),"")</f>
        <v/>
      </c>
      <c r="FQ483">
        <f>IF($EY483="row",INDEX($ET$5:$ET$1003,$EX483),"")</f>
        <v/>
      </c>
      <c r="FR483">
        <f>IF($EY483="row",INDEX($EU$5:$EU$1003,$EX483),"")</f>
        <v/>
      </c>
      <c r="FS483">
        <f>IF(AND($EY483="row",$EY482="row"),IF(OR(INDEX($DT$5:$DT$1003,$EX482)="",INDEX($DT$5:$DT$1003,$EX483)=""),"",IF(NOT(EXACT(INDEX($DT$5:$DT$1003,$EX482),INDEX($DT$5:$DT$1003,$EX483))),"S4",IF(NOT(EXACT(INDEX($DS$5:$DS$1003,$EX482),INDEX($DS$5:$DS$1003,$EX483))),"S3",IF(NOT(EXACT(INDEX($DR$5:$DR$1003,$EX482),INDEX($DR$5:$DR$1003,$EX483))),"S1 Count Change","S1")))),"")</f>
        <v/>
      </c>
      <c r="FT483">
        <f>IF($EY483="row",INDEX($ES$5:$ES$1003,$EX483),"")</f>
        <v/>
      </c>
      <c r="FU483">
        <f>IF($EY483="row",INDEX($EO$5:$EO$1003,$EX483),0)</f>
        <v/>
      </c>
      <c r="FV483">
        <f>IF($FS483="S1 Count Change",1,0)</f>
        <v/>
      </c>
    </row>
    <row r="484">
      <c r="DA484" t="n">
        <v>480</v>
      </c>
      <c r="DB484">
        <f>IF($B$37=0,"",IFERROR(TRIM(SUBSTITUTE(SUBSTITUTE(SUBSTITUTE(SUBSTITUTE(INDEX(PASTE_ALL,480,$B$37)," "," "),CHAR(9)," "),CHAR(10)," "),CHAR(13)," ")),""))</f>
        <v/>
      </c>
      <c r="DC484">
        <f>IF(AND(480&gt;HEADER_ROW,UPPER(DB484)="LEGEND"),1,0)</f>
        <v/>
      </c>
      <c r="DE484" t="n">
        <v>480</v>
      </c>
      <c r="DF484">
        <f>HEADER_ROW+$DE484</f>
        <v/>
      </c>
      <c r="DG484">
        <f>IF(AND($DF484&lt;=1000,$DF484&lt;$B$8),1,0)</f>
        <v/>
      </c>
      <c r="DH484">
        <f>IF($DG484=1,IFERROR(INDEX($DB$5:$DB$1004,$DF484),""),"")</f>
        <v/>
      </c>
      <c r="DI484">
        <f>IF(AND($DG484=1,$DH484&lt;&gt;""),IFERROR(SUBSTITUTE(SUBSTITUTE(TRIM(SUBSTITUTE(SUBSTITUTE(SUBSTITUTE(SUBSTITUTE(IFERROR(INDEX(PASTE_ALL,$DF484,1)&amp;"","")&amp;"␟"&amp;IFERROR(INDEX(PASTE_ALL,$DF484,2)&amp;"","")&amp;"␟"&amp;IFERROR(INDEX(PASTE_ALL,$DF484,3)&amp;"","")&amp;"␟"&amp;IFERROR(INDEX(PASTE_ALL,$DF484,4)&amp;"","")&amp;"␟"&amp;IFERROR(INDEX(PASTE_ALL,$DF484,5)&amp;"","")&amp;"␟"&amp;IFERROR(INDEX(PASTE_ALL,$DF484,6)&amp;"","")&amp;"␟"&amp;IFERROR(INDEX(PASTE_ALL,$DF484,7)&amp;"","")&amp;"␟"&amp;IFERROR(INDEX(PASTE_ALL,$DF484,8)&amp;"","")&amp;"␟"&amp;IFERROR(INDEX(PASTE_ALL,$DF484,9)&amp;"","")&amp;"␟"&amp;IFERROR(INDEX(PASTE_ALL,$DF484,10)&amp;"","")&amp;"␟"&amp;IFERROR(INDEX(PASTE_ALL,$DF484,11)&amp;"","")&amp;"␟"&amp;IFERROR(INDEX(PASTE_ALL,$DF484,12)&amp;"","")&amp;"␟"&amp;IFERROR(INDEX(PASTE_ALL,$DF484,13)&amp;"","")&amp;"␟"&amp;IFERROR(INDEX(PASTE_ALL,$DF484,14)&amp;"","")&amp;"␟"&amp;IFERROR(INDEX(PASTE_ALL,$DF484,15)&amp;"","")&amp;"␟"&amp;IFERROR(INDEX(PASTE_ALL,$DF484,16)&amp;"","")&amp;"␟"&amp;IFERROR(INDEX(PASTE_ALL,$DF484,17)&amp;"","")&amp;"␟"&amp;IFERROR(INDEX(PASTE_ALL,$DF484,18)&amp;"","")&amp;"␟"&amp;IFERROR(INDEX(PASTE_ALL,$DF484,19)&amp;"","")&amp;"␟"&amp;IFERROR(INDEX(PASTE_ALL,$DF484,20)&amp;"","")&amp;"␟"&amp;IFERROR(INDEX(PASTE_ALL,$DF484,21)&amp;"","")&amp;"␟"&amp;IFERROR(INDEX(PASTE_ALL,$DF484,22)&amp;"","")&amp;"␟"&amp;IFERROR(INDEX(PASTE_ALL,$DF484,23)&amp;"","")&amp;"␟"&amp;IFERROR(INDEX(PASTE_ALL,$DF484,24)&amp;"","")&amp;"␟"&amp;IFERROR(INDEX(PASTE_ALL,$DF484,25)&amp;"","")&amp;"␟"&amp;IFERROR(INDEX(PASTE_ALL,$DF484,26)&amp;"","")&amp;"␟"&amp;IFERROR(INDEX(PASTE_ALL,$DF484,27)&amp;"","")&amp;"␟"&amp;IFERROR(INDEX(PASTE_ALL,$DF484,28)&amp;"","")&amp;"␟"&amp;IFERROR(INDEX(PASTE_ALL,$DF484,29)&amp;"","")&amp;"␟"&amp;IFERROR(INDEX(PASTE_ALL,$DF484,30)&amp;"","")&amp;"␟"&amp;IFERROR(INDEX(PASTE_ALL,$DF484,31)&amp;"","")&amp;"␟"&amp;IFERROR(INDEX(PASTE_ALL,$DF484,32)&amp;"","")&amp;"␟"&amp;IFERROR(INDEX(PASTE_ALL,$DF484,33)&amp;"","")&amp;"␟"&amp;IFERROR(INDEX(PASTE_ALL,$DF484,34)&amp;"","")&amp;"␟"&amp;IFERROR(INDEX(PASTE_ALL,$DF484,35)&amp;"","")&amp;"␟"&amp;IFERROR(INDEX(PASTE_ALL,$DF484,36)&amp;"","")&amp;"␟"&amp;IFERROR(INDEX(PASTE_ALL,$DF484,37)&amp;"","")&amp;"␟"&amp;IFERROR(INDEX(PASTE_ALL,$DF484,38)&amp;"","")&amp;"␟"&amp;IFERROR(INDEX(PASTE_ALL,$DF484,39)&amp;"","")&amp;"␟"&amp;IFERROR(INDEX(PASTE_ALL,$DF484,40)&amp;"","")&amp;"␟"&amp;IFERROR(INDEX(PASTE_ALL,$DF484,41)&amp;"","")&amp;"␟"&amp;IFERROR(INDEX(PASTE_ALL,$DF484,42)&amp;"","")&amp;"␟"&amp;IFERROR(INDEX(PASTE_ALL,$DF484,43)&amp;"","")&amp;"␟"&amp;IFERROR(INDEX(PASTE_ALL,$DF484,44)&amp;"","")&amp;"␟"&amp;IFERROR(INDEX(PASTE_ALL,$DF484,45)&amp;"","")&amp;"␟"&amp;IFERROR(INDEX(PASTE_ALL,$DF484,46)&amp;"","")&amp;"␟"&amp;IFERROR(INDEX(PASTE_ALL,$DF484,47)&amp;"","")&amp;"␟"&amp;IFERROR(INDEX(PASTE_ALL,$DF484,48)&amp;"","")&amp;"␟"&amp;IFERROR(INDEX(PASTE_ALL,$DF484,49)&amp;"","")&amp;"␟"&amp;IFERROR(INDEX(PASTE_ALL,$DF484,50)&amp;"","")&amp;"␟"&amp;IFERROR(INDEX(PASTE_ALL,$DF484,51)&amp;"","")&amp;"␟"&amp;IFERROR(INDEX(PASTE_ALL,$DF484,52)&amp;"","")&amp;"␟"&amp;IFERROR(INDEX(PASTE_ALL,$DF484,53)&amp;"","")&amp;"␟"&amp;IFERROR(INDEX(PASTE_ALL,$DF484,54)&amp;"","")&amp;"␟"&amp;IFERROR(INDEX(PASTE_ALL,$DF484,55)&amp;"","")&amp;"␟"&amp;IFERROR(INDEX(PASTE_ALL,$DF484,56)&amp;"","")&amp;"␟"&amp;IFERROR(INDEX(PASTE_ALL,$DF484,57)&amp;"","")&amp;"␟"&amp;IFERROR(INDEX(PASTE_ALL,$DF484,58)&amp;"","")&amp;"␟"&amp;IFERROR(INDEX(PASTE_ALL,$DF484,59)&amp;"","")&amp;"␟"&amp;IFERROR(INDEX(PASTE_ALL,$DF484,60)&amp;"","")," "," "),CHAR(9)," "),CHAR(10)," "),CHAR(13)," "))," ␟","␟"),"␟ ","␟"),"#"&amp;$DE484),"")</f>
        <v/>
      </c>
      <c r="DJ484">
        <f>IF($DI484="",0,IF(SUMPRODUCT(--EXACT($DI$4:DI483,$DI484))&gt;0,1,0))</f>
        <v/>
      </c>
      <c r="DK484">
        <f>IF(AND($DI484&lt;&gt;"",$DJ484=0),1,0)</f>
        <v/>
      </c>
      <c r="DL484">
        <f>DL483+$DK484</f>
        <v/>
      </c>
      <c r="DM484">
        <f>IF(AND($DK484=1,$DL484&lt;=600),1,0)</f>
        <v/>
      </c>
      <c r="DN484">
        <f>IF($DM484=0,"",IF($L$6=0,"",IFERROR(IF(ISNUMBER(INDEX(PASTE_ALL,$DF484,$L$6)),INDEX(PASTE_ALL,$DF484,$L$6),TRIM(SUBSTITUTE(SUBSTITUTE(SUBSTITUTE(SUBSTITUTE(INDEX(PASTE_ALL,$DF484,$L$6)," "," "),CHAR(9)," "),CHAR(10)," "),CHAR(13)," "))),"")))</f>
        <v/>
      </c>
      <c r="DO484">
        <f>IF($DM484=0,"",IF($L$7=0,"",IFERROR(IF(ISNUMBER(INDEX(PASTE_ALL,$DF484,$L$7)),INDEX(PASTE_ALL,$DF484,$L$7),TRIM(SUBSTITUTE(SUBSTITUTE(SUBSTITUTE(SUBSTITUTE(INDEX(PASTE_ALL,$DF484,$L$7)," "," "),CHAR(9)," "),CHAR(10)," "),CHAR(13)," "))),"")))</f>
        <v/>
      </c>
      <c r="DP484">
        <f>IF($DM484=0,"",IF($L$8=0,"",IFERROR(IF(ISNUMBER(INDEX(PASTE_ALL,$DF484,$L$8)),INDEX(PASTE_ALL,$DF484,$L$8),TRIM(SUBSTITUTE(SUBSTITUTE(SUBSTITUTE(SUBSTITUTE(INDEX(PASTE_ALL,$DF484,$L$8)," "," "),CHAR(9)," "),CHAR(10)," "),CHAR(13)," "))),"")))</f>
        <v/>
      </c>
      <c r="DQ484">
        <f>IF($DM484=0,"",IF($L$9=0,"",IFERROR(IF(ISNUMBER(INDEX(PASTE_ALL,$DF484,$L$9)),INDEX(PASTE_ALL,$DF484,$L$9),TRIM(SUBSTITUTE(SUBSTITUTE(SUBSTITUTE(SUBSTITUTE(INDEX(PASTE_ALL,$DF484,$L$9)," "," "),CHAR(9)," "),CHAR(10)," "),CHAR(13)," "))),"")))</f>
        <v/>
      </c>
      <c r="DR484">
        <f>IF($DM484=0,"",IF($L$10=0,"",IFERROR(IF(ISNUMBER(INDEX(PASTE_ALL,$DF484,$L$10)),INDEX(PASTE_ALL,$DF484,$L$10),TRIM(SUBSTITUTE(SUBSTITUTE(SUBSTITUTE(SUBSTITUTE(INDEX(PASTE_ALL,$DF484,$L$10)," "," "),CHAR(9)," "),CHAR(10)," "),CHAR(13)," "))),"")))</f>
        <v/>
      </c>
      <c r="DS484">
        <f>IF($DM484=0,"",IF($L$11=0,"",IFERROR(IF(ISNUMBER(INDEX(PASTE_ALL,$DF484,$L$11)),INDEX(PASTE_ALL,$DF484,$L$11),TRIM(SUBSTITUTE(SUBSTITUTE(SUBSTITUTE(SUBSTITUTE(INDEX(PASTE_ALL,$DF484,$L$11)," "," "),CHAR(9)," "),CHAR(10)," "),CHAR(13)," "))),"")))</f>
        <v/>
      </c>
      <c r="DT484">
        <f>IF($DM484=0,"",IF($L$12=0,"",IFERROR(IF(ISNUMBER(INDEX(PASTE_ALL,$DF484,$L$12)),INDEX(PASTE_ALL,$DF484,$L$12),TRIM(SUBSTITUTE(SUBSTITUTE(SUBSTITUTE(SUBSTITUTE(INDEX(PASTE_ALL,$DF484,$L$12)," "," "),CHAR(9)," "),CHAR(10)," "),CHAR(13)," "))),"")))</f>
        <v/>
      </c>
      <c r="DU484">
        <f>IF($DM484=0,"",IF($L$13=0,"",IFERROR(IF(ISNUMBER(INDEX(PASTE_ALL,$DF484,$L$13)),INDEX(PASTE_ALL,$DF484,$L$13),TRIM(SUBSTITUTE(SUBSTITUTE(SUBSTITUTE(SUBSTITUTE(INDEX(PASTE_ALL,$DF484,$L$13)," "," "),CHAR(9)," "),CHAR(10)," "),CHAR(13)," "))),"")))</f>
        <v/>
      </c>
      <c r="DV484">
        <f>IF($DM484=0,"",IF($L$14=0,"",IFERROR(IF(ISNUMBER(INDEX(PASTE_ALL,$DF484,$L$14)),INDEX(PASTE_ALL,$DF484,$L$14),TRIM(SUBSTITUTE(SUBSTITUTE(SUBSTITUTE(SUBSTITUTE(INDEX(PASTE_ALL,$DF484,$L$14)," "," "),CHAR(9)," "),CHAR(10)," "),CHAR(13)," "))),"")))</f>
        <v/>
      </c>
      <c r="DW484">
        <f>IF($DM484=0,"",IF($L$15=0,"",IFERROR(IF(ISNUMBER(INDEX(PASTE_ALL,$DF484,$L$15)),INDEX(PASTE_ALL,$DF484,$L$15),IF(SUMPRODUCT(--ISNUMBER(FIND({"A","B","C","D","E","F","G","H","I","J","K","L","M","N","O","P","Q","R","S","T","U","V","W","X","Y","Z","0","1","2","3","4","5","6","7","8","9"},UPPER(TRIM(SUBSTITUTE(SUBSTITUTE(SUBSTITUTE(SUBSTITUTE(INDEX(PASTE_ALL,$DF484,$L$15)," "," "),CHAR(9)," "),CHAR(10)," "),CHAR(13)," "))))))&gt;0,TRIM(SUBSTITUTE(SUBSTITUTE(SUBSTITUTE(SUBSTITUTE(INDEX(PASTE_ALL,$DF484,$L$15)," "," "),CHAR(9)," "),CHAR(10)," "),CHAR(13)," ")),"")),"")))</f>
        <v/>
      </c>
      <c r="DX484">
        <f>IF($DM484=0,"",IF($L$16=0,"",IFERROR(IF(ISNUMBER(INDEX(PASTE_ALL,$DF484,$L$16)),INDEX(PASTE_ALL,$DF484,$L$16),SUBSTITUTE(SUBSTITUTE(TRIM(SUBSTITUTE(SUBSTITUTE(SUBSTITUTE(SUBSTITUTE(INDEX(PASTE_ALL,$DF484,$L$16)," "," "),CHAR(9)," "),CHAR(10)," "),CHAR(13)," ")),",",""),"%","")),"")))</f>
        <v/>
      </c>
      <c r="DY484">
        <f>IF($DM484=0,"",IFERROR(IF(ISNUMBER($DX484),$DX484,IF($DX484="","",IF(TRIM($DX484)="",0,IF(AND(AND(SUBSTITUTE(SUBSTITUTE(SUBSTITUTE(SUBSTITUTE(SUBSTITUTE(SUBSTITUTE(SUBSTITUTE(SUBSTITUTE(SUBSTITUTE(SUBSTITUTE(SUBSTITUTE(SUBSTITUTE(SUBSTITUTE(SUBSTITUTE(UPPER(TRIM($DX484)),"0",""),"1",""),"2",""),"3",""),"4",""),"5",""),"6",""),"7",""),"8",""),"9",""),".",""),"+",""),"-",""),"E","")="",LEN(SUBSTITUTE(SUBSTITUTE(MID(UPPER(TRIM($DX484)),1+OR(LEFT(UPPER(TRIM($DX484)),1)="+",LEFT(UPPER(TRIM($DX484)),1)="-"),999),"E+","E"),"E-","E"))=LEN(SUBSTITUTE(SUBSTITUTE(SUBSTITUTE(SUBSTITUTE(MID(UPPER(TRIM($DX484)),1+OR(LEFT(UPPER(TRIM($DX484)),1)="+",LEFT(UPPER(TRIM($DX484)),1)="-"),999),"E+","E"),"E-","E"),"+",""),"-","")),LEN(UPPER(TRIM($DX484)))-LEN(SUBSTITUTE(UPPER(TRIM($DX484)),"E",""))&lt;2,LEN(UPPER(TRIM($DX484)))-LEN(SUBSTITUTE(UPPER(TRIM($DX484)),".",""))&lt;2,IFERROR(FIND(".",UPPER(TRIM($DX484))),0)&lt;IFERROR(FIND("E",UPPER(TRIM($DX484))),999)),ISNUMBER(VALUE(TRIM($DX484)))),VALUE(TRIM($DX484)),"")))),""))</f>
        <v/>
      </c>
      <c r="DZ484">
        <f>IF($DM484=0,"",IF($L$17=0,"",IFERROR(IF(ISNUMBER(INDEX(PASTE_ALL,$DF484,$L$17)),INDEX(PASTE_ALL,$DF484,$L$17),SUBSTITUTE(SUBSTITUTE(TRIM(SUBSTITUTE(SUBSTITUTE(SUBSTITUTE(SUBSTITUTE(INDEX(PASTE_ALL,$DF484,$L$17)," "," "),CHAR(9)," "),CHAR(10)," "),CHAR(13)," ")),",",""),"%","")),"")))</f>
        <v/>
      </c>
      <c r="EA484">
        <f>IF($DM484=0,"",IFERROR(IF(ISNUMBER($DZ484),$DZ484,IF($DZ484="","",IF(TRIM($DZ484)="",0,IF(AND(AND(SUBSTITUTE(SUBSTITUTE(SUBSTITUTE(SUBSTITUTE(SUBSTITUTE(SUBSTITUTE(SUBSTITUTE(SUBSTITUTE(SUBSTITUTE(SUBSTITUTE(SUBSTITUTE(SUBSTITUTE(SUBSTITUTE(SUBSTITUTE(UPPER(TRIM($DZ484)),"0",""),"1",""),"2",""),"3",""),"4",""),"5",""),"6",""),"7",""),"8",""),"9",""),".",""),"+",""),"-",""),"E","")="",LEN(SUBSTITUTE(SUBSTITUTE(MID(UPPER(TRIM($DZ484)),1+OR(LEFT(UPPER(TRIM($DZ484)),1)="+",LEFT(UPPER(TRIM($DZ484)),1)="-"),999),"E+","E"),"E-","E"))=LEN(SUBSTITUTE(SUBSTITUTE(SUBSTITUTE(SUBSTITUTE(MID(UPPER(TRIM($DZ484)),1+OR(LEFT(UPPER(TRIM($DZ484)),1)="+",LEFT(UPPER(TRIM($DZ484)),1)="-"),999),"E+","E"),"E-","E"),"+",""),"-","")),LEN(UPPER(TRIM($DZ484)))-LEN(SUBSTITUTE(UPPER(TRIM($DZ484)),"E",""))&lt;2,LEN(UPPER(TRIM($DZ484)))-LEN(SUBSTITUTE(UPPER(TRIM($DZ484)),".",""))&lt;2,IFERROR(FIND(".",UPPER(TRIM($DZ484))),0)&lt;IFERROR(FIND("E",UPPER(TRIM($DZ484))),999)),ISNUMBER(VALUE(TRIM($DZ484)))),VALUE(TRIM($DZ484)),"")))),""))</f>
        <v/>
      </c>
      <c r="EB484">
        <f>IF($DM484=0,"",IF($L$18=0,"",IFERROR(IF(UPPER(TRIM(SUBSTITUTE(SUBSTITUTE(SUBSTITUTE(SUBSTITUTE(INDEX(PASTE_ALL,$DF484,$L$18)," "," "),CHAR(9)," "),CHAR(10)," "),CHAR(13)," ")))="READY","Ready",IF(UPPER(TRIM(SUBSTITUTE(SUBSTITUTE(SUBSTITUTE(SUBSTITUTE(INDEX(PASTE_ALL,$DF484,$L$18)," "," "),CHAR(9)," "),CHAR(10)," "),CHAR(13)," ")))="PM","PM",IF(OR(UPPER(TRIM(SUBSTITUTE(SUBSTITUTE(SUBSTITUTE(SUBSTITUTE(INDEX(PASTE_ALL,$DF484,$L$18)," "," "),CHAR(9)," "),CHAR(10)," "),CHAR(13)," ")))="OT",UPPER(TRIM(SUBSTITUTE(SUBSTITUTE(SUBSTITUTE(SUBSTITUTE(INDEX(PASTE_ALL,$DF484,$L$18)," "," "),CHAR(9)," "),CHAR(10)," "),CHAR(13)," ")))="OVERTIME",UPPER(TRIM(SUBSTITUTE(SUBSTITUTE(SUBSTITUTE(SUBSTITUTE(INDEX(PASTE_ALL,$DF484,$L$18)," "," "),CHAR(9)," "),CHAR(10)," "),CHAR(13)," ")))="TRIAL"),"OT",TRIM(SUBSTITUTE(SUBSTITUTE(SUBSTITUTE(SUBSTITUTE(INDEX(PASTE_ALL,$DF484,$L$18)," "," "),CHAR(9)," "),CHAR(10)," "),CHAR(13)," "))))),"")))</f>
        <v/>
      </c>
      <c r="EC484">
        <f>IF($DM484=0,"",IF($L$19=0,"",IFERROR(IF(ISNUMBER(INDEX(PASTE_ALL,$DF484,$L$19)),INDEX(PASTE_ALL,$DF484,$L$19),TRIM(SUBSTITUTE(SUBSTITUTE(SUBSTITUTE(SUBSTITUTE(INDEX(PASTE_ALL,$DF484,$L$19)," "," "),CHAR(9)," "),CHAR(10)," "),CHAR(13)," "))),"")))</f>
        <v/>
      </c>
      <c r="ED484">
        <f>IF($DM484=0,"",MATCH(1,INDEX(EXACT($DH$5:DH484,$DH484)*$DM$5:DM484,0),0))</f>
        <v/>
      </c>
      <c r="EE484">
        <f>IF($DM484=0,0,IF($ED484=$DE484,1,0))</f>
        <v/>
      </c>
      <c r="EF484">
        <f>EF483+$EE484</f>
        <v/>
      </c>
      <c r="EG484">
        <f>IF($DM484=0,"",INDEX($EF$5:$EF$1003,$ED484))</f>
        <v/>
      </c>
      <c r="EH484">
        <f>IF($DM484=0,"",IF($DO484&lt;&gt;"","",IFERROR(LOOKUP(2,1/(($EG$4:EG483=$EG484)*($DO$4:DO483&lt;&gt;"")),$DO$4:DO483),"")))</f>
        <v/>
      </c>
      <c r="EI484">
        <f>IF($DM484=0,"",IF($DO484&lt;&gt;"",$DO484,$EH484))</f>
        <v/>
      </c>
      <c r="EJ484">
        <f>IF($DM484=0,"",IF($EI484="",0,IF(OR(ISNUMBER($EI484),AND(AND(SUBSTITUTE(SUBSTITUTE(SUBSTITUTE(SUBSTITUTE(SUBSTITUTE(SUBSTITUTE(SUBSTITUTE(SUBSTITUTE(SUBSTITUTE(SUBSTITUTE(SUBSTITUTE(SUBSTITUTE(SUBSTITUTE(SUBSTITUTE(UPPER($EI484),"0",""),"1",""),"2",""),"3",""),"4",""),"5",""),"6",""),"7",""),"8",""),"9",""),".",""),"+",""),"-",""),"E","")="",LEN(SUBSTITUTE(SUBSTITUTE(MID(UPPER($EI484),1+OR(LEFT(UPPER($EI484),1)="+",LEFT(UPPER($EI484),1)="-"),999),"E+","E"),"E-","E"))=LEN(SUBSTITUTE(SUBSTITUTE(SUBSTITUTE(SUBSTITUTE(MID(UPPER($EI484),1+OR(LEFT(UPPER($EI484),1)="+",LEFT(UPPER($EI484),1)="-"),999),"E+","E"),"E-","E"),"+",""),"-","")),LEN(UPPER($EI484))-LEN(SUBSTITUTE(UPPER($EI484),"E",""))&lt;2,LEN(UPPER($EI484))-LEN(SUBSTITUTE(UPPER($EI484),".",""))&lt;2,IFERROR(FIND(".",UPPER($EI484)),0)&lt;IFERROR(FIND("E",UPPER($EI484)),999)),ISNUMBER(VALUE($EI484)))),1,2)))</f>
        <v/>
      </c>
      <c r="EK484">
        <f>IF($DM484=0,"",IF($EJ484=1,IF(ISNUMBER($EI484),$EI484,VALUE($EI484)),IF($EJ484=2,$DE484,0)))</f>
        <v/>
      </c>
      <c r="EL484">
        <f>IF($DM484=0,"",COUNTIF($EG$5:$EG$1003,"&lt;"&amp;$EG484)+SUMPRODUCT(($EG$5:$EG$1003=$EG484)*(($EJ$5:$EJ$1003&lt;$EJ484)+($EJ$5:$EJ$1003=$EJ484)*(($EK$5:$EK$1003&lt;$EK484)+($EK$5:$EK$1003=$EK484)*($DE$5:$DE$1003&lt;$DE484))))+1)</f>
        <v/>
      </c>
      <c r="EM484">
        <f>IF($DM484=0,"",$EL484+$EG484-1)</f>
        <v/>
      </c>
      <c r="EN484">
        <f>IF($DM484=0,0,IFERROR(MATCH(1,INDEX(--(TRIM(SUBSTITUTE(SUBSTITUTE(SUBSTITUTE(SUBSTITUTE(LINES_NAME&amp;""," "," "),CHAR(9)," "),CHAR(10)," "),CHAR(13)," "))=$DH484),0),0),0))</f>
        <v/>
      </c>
      <c r="EO484">
        <f>IF($EN484=0,0,IF(OR(UPPER(TRIM(INDEX(LINES_SCHEDULED,$EN484)&amp;""))="YES",UPPER(TRIM(INDEX(LINES_SCHEDULED,$EN484)&amp;""))="Y",UPPER(TRIM(INDEX(LINES_SCHEDULED,$EN484)&amp;""))="X"),1,0))</f>
        <v/>
      </c>
      <c r="EP484">
        <f>IF($DM484=0,"",IF(COUNTIFS($EG$5:$EG$1003,$EG484,$EB$5:$EB$1003,"Ready")&gt;0,"READY",IF(COUNTIFS($EG$5:$EG$1003,$EG484,$EB$5:$EB$1003,"PM")&gt;0,"PM",IF(COUNTIFS($EG$5:$EG$1003,$EG484,$EB$5:$EB$1003,"OT")&gt;0,"OT",""))))</f>
        <v/>
      </c>
      <c r="EQ484">
        <f>IF($EN484=0,"",UPPER(TRIM(INDEX(LINES_STATUS,$EN484)&amp;"")))</f>
        <v/>
      </c>
      <c r="ER484">
        <f>IF($DM484=0,"",IF(OR($EQ484="READY",$EQ484="PM",$EQ484="OT"),$EQ484,$EP484))</f>
        <v/>
      </c>
      <c r="ES484">
        <f>IF($DM484=0,"",IF(AND($DV484&lt;&gt;"",UPPER($DV484)&lt;&gt;"N"),"allergen",IF(ISNUMBER(SEARCH("oil",$DQ484)),"oil",IF(OR(EXACT($DS484,"A662"),EXACT($DS484,"A624")),"bulk",""))))</f>
        <v/>
      </c>
      <c r="ET484">
        <f>IF($DM484=0,"",IF(OR($EA484="",$EA484=0),"",$EA484/100))</f>
        <v/>
      </c>
      <c r="EU484">
        <f>IF(OR($ET484="",$DY484=""),"",INT($DY484*(1-$ET484)+0.5))</f>
        <v/>
      </c>
      <c r="EW484" t="n">
        <v>480</v>
      </c>
      <c r="EX484">
        <f>IFERROR(MATCH($EW484,$EM$5:$EM$1003,0),0)</f>
        <v/>
      </c>
      <c r="EY484">
        <f>IF($EW484&gt;$B$12,"",IF($EX484&gt;0,"row","spacer"))</f>
        <v/>
      </c>
      <c r="EZ484">
        <f>IF(AND($EY484="row",$EY483&lt;&gt;"row"),1,0)</f>
        <v/>
      </c>
      <c r="FA484">
        <f>IF(AND($EY484="row",$EY485&lt;&gt;"row"),1,0)</f>
        <v/>
      </c>
      <c r="FB484">
        <f>IF($EZ484=1,IFERROR(IF(ISNUMBER(INDEX(PASTE_ALL,INDEX($DF$5:$DF$1003,$EX484),$B$37)),INDEX(PASTE_ALL,INDEX($DF$5:$DF$1003,$EX484),$B$37),INDEX($DH$5:$DH$1003,$EX484)),INDEX($DH$5:$DH$1003,$EX484)),"")</f>
        <v/>
      </c>
      <c r="FC484">
        <f>IF($EY484="row",INDEX($ER$5:$ER$1003,$EX484),"")</f>
        <v/>
      </c>
      <c r="FD484">
        <f>IF($EY484="row",INDEX($DN$5:$DN$1003,$EX484),"")</f>
        <v/>
      </c>
      <c r="FE484">
        <f>IF($EY484="row",INDEX($DO$5:$DO$1003,$EX484),"")</f>
        <v/>
      </c>
      <c r="FF484">
        <f>IF($EY484="row",INDEX($DP$5:$DP$1003,$EX484),"")</f>
        <v/>
      </c>
      <c r="FG484">
        <f>IF($EY484="row",INDEX($DQ$5:$DQ$1003,$EX484),"")</f>
        <v/>
      </c>
      <c r="FH484">
        <f>IF($EY484="row",INDEX($DR$5:$DR$1003,$EX484),"")</f>
        <v/>
      </c>
      <c r="FI484">
        <f>IF($EY484="row",INDEX($DS$5:$DS$1003,$EX484),"")</f>
        <v/>
      </c>
      <c r="FJ484">
        <f>IF($EY484="row",INDEX($DT$5:$DT$1003,$EX484),"")</f>
        <v/>
      </c>
      <c r="FK484">
        <f>IF($EY484="row",INDEX($DU$5:$DU$1003,$EX484),"")</f>
        <v/>
      </c>
      <c r="FL484">
        <f>IF($EY484="row",INDEX($DV$5:$DV$1003,$EX484),"")</f>
        <v/>
      </c>
      <c r="FM484">
        <f>IF($EY484="row",INDEX($DW$5:$DW$1003,$EX484),"")</f>
        <v/>
      </c>
      <c r="FN484">
        <f>IF($EY484="row",INDEX($DY$5:$DY$1003,$EX484),"")</f>
        <v/>
      </c>
      <c r="FO484">
        <f>IF($EY484="row",INDEX($EA$5:$EA$1003,$EX484),"")</f>
        <v/>
      </c>
      <c r="FP484">
        <f>IF($EY484="row",INDEX($EC$5:$EC$1003,$EX484),"")</f>
        <v/>
      </c>
      <c r="FQ484">
        <f>IF($EY484="row",INDEX($ET$5:$ET$1003,$EX484),"")</f>
        <v/>
      </c>
      <c r="FR484">
        <f>IF($EY484="row",INDEX($EU$5:$EU$1003,$EX484),"")</f>
        <v/>
      </c>
      <c r="FS484">
        <f>IF(AND($EY484="row",$EY483="row"),IF(OR(INDEX($DT$5:$DT$1003,$EX483)="",INDEX($DT$5:$DT$1003,$EX484)=""),"",IF(NOT(EXACT(INDEX($DT$5:$DT$1003,$EX483),INDEX($DT$5:$DT$1003,$EX484))),"S4",IF(NOT(EXACT(INDEX($DS$5:$DS$1003,$EX483),INDEX($DS$5:$DS$1003,$EX484))),"S3",IF(NOT(EXACT(INDEX($DR$5:$DR$1003,$EX483),INDEX($DR$5:$DR$1003,$EX484))),"S1 Count Change","S1")))),"")</f>
        <v/>
      </c>
      <c r="FT484">
        <f>IF($EY484="row",INDEX($ES$5:$ES$1003,$EX484),"")</f>
        <v/>
      </c>
      <c r="FU484">
        <f>IF($EY484="row",INDEX($EO$5:$EO$1003,$EX484),0)</f>
        <v/>
      </c>
      <c r="FV484">
        <f>IF($FS484="S1 Count Change",1,0)</f>
        <v/>
      </c>
    </row>
    <row r="485">
      <c r="DA485" t="n">
        <v>481</v>
      </c>
      <c r="DB485">
        <f>IF($B$37=0,"",IFERROR(TRIM(SUBSTITUTE(SUBSTITUTE(SUBSTITUTE(SUBSTITUTE(INDEX(PASTE_ALL,481,$B$37)," "," "),CHAR(9)," "),CHAR(10)," "),CHAR(13)," ")),""))</f>
        <v/>
      </c>
      <c r="DC485">
        <f>IF(AND(481&gt;HEADER_ROW,UPPER(DB485)="LEGEND"),1,0)</f>
        <v/>
      </c>
      <c r="DE485" t="n">
        <v>481</v>
      </c>
      <c r="DF485">
        <f>HEADER_ROW+$DE485</f>
        <v/>
      </c>
      <c r="DG485">
        <f>IF(AND($DF485&lt;=1000,$DF485&lt;$B$8),1,0)</f>
        <v/>
      </c>
      <c r="DH485">
        <f>IF($DG485=1,IFERROR(INDEX($DB$5:$DB$1004,$DF485),""),"")</f>
        <v/>
      </c>
      <c r="DI485">
        <f>IF(AND($DG485=1,$DH485&lt;&gt;""),IFERROR(SUBSTITUTE(SUBSTITUTE(TRIM(SUBSTITUTE(SUBSTITUTE(SUBSTITUTE(SUBSTITUTE(IFERROR(INDEX(PASTE_ALL,$DF485,1)&amp;"","")&amp;"␟"&amp;IFERROR(INDEX(PASTE_ALL,$DF485,2)&amp;"","")&amp;"␟"&amp;IFERROR(INDEX(PASTE_ALL,$DF485,3)&amp;"","")&amp;"␟"&amp;IFERROR(INDEX(PASTE_ALL,$DF485,4)&amp;"","")&amp;"␟"&amp;IFERROR(INDEX(PASTE_ALL,$DF485,5)&amp;"","")&amp;"␟"&amp;IFERROR(INDEX(PASTE_ALL,$DF485,6)&amp;"","")&amp;"␟"&amp;IFERROR(INDEX(PASTE_ALL,$DF485,7)&amp;"","")&amp;"␟"&amp;IFERROR(INDEX(PASTE_ALL,$DF485,8)&amp;"","")&amp;"␟"&amp;IFERROR(INDEX(PASTE_ALL,$DF485,9)&amp;"","")&amp;"␟"&amp;IFERROR(INDEX(PASTE_ALL,$DF485,10)&amp;"","")&amp;"␟"&amp;IFERROR(INDEX(PASTE_ALL,$DF485,11)&amp;"","")&amp;"␟"&amp;IFERROR(INDEX(PASTE_ALL,$DF485,12)&amp;"","")&amp;"␟"&amp;IFERROR(INDEX(PASTE_ALL,$DF485,13)&amp;"","")&amp;"␟"&amp;IFERROR(INDEX(PASTE_ALL,$DF485,14)&amp;"","")&amp;"␟"&amp;IFERROR(INDEX(PASTE_ALL,$DF485,15)&amp;"","")&amp;"␟"&amp;IFERROR(INDEX(PASTE_ALL,$DF485,16)&amp;"","")&amp;"␟"&amp;IFERROR(INDEX(PASTE_ALL,$DF485,17)&amp;"","")&amp;"␟"&amp;IFERROR(INDEX(PASTE_ALL,$DF485,18)&amp;"","")&amp;"␟"&amp;IFERROR(INDEX(PASTE_ALL,$DF485,19)&amp;"","")&amp;"␟"&amp;IFERROR(INDEX(PASTE_ALL,$DF485,20)&amp;"","")&amp;"␟"&amp;IFERROR(INDEX(PASTE_ALL,$DF485,21)&amp;"","")&amp;"␟"&amp;IFERROR(INDEX(PASTE_ALL,$DF485,22)&amp;"","")&amp;"␟"&amp;IFERROR(INDEX(PASTE_ALL,$DF485,23)&amp;"","")&amp;"␟"&amp;IFERROR(INDEX(PASTE_ALL,$DF485,24)&amp;"","")&amp;"␟"&amp;IFERROR(INDEX(PASTE_ALL,$DF485,25)&amp;"","")&amp;"␟"&amp;IFERROR(INDEX(PASTE_ALL,$DF485,26)&amp;"","")&amp;"␟"&amp;IFERROR(INDEX(PASTE_ALL,$DF485,27)&amp;"","")&amp;"␟"&amp;IFERROR(INDEX(PASTE_ALL,$DF485,28)&amp;"","")&amp;"␟"&amp;IFERROR(INDEX(PASTE_ALL,$DF485,29)&amp;"","")&amp;"␟"&amp;IFERROR(INDEX(PASTE_ALL,$DF485,30)&amp;"","")&amp;"␟"&amp;IFERROR(INDEX(PASTE_ALL,$DF485,31)&amp;"","")&amp;"␟"&amp;IFERROR(INDEX(PASTE_ALL,$DF485,32)&amp;"","")&amp;"␟"&amp;IFERROR(INDEX(PASTE_ALL,$DF485,33)&amp;"","")&amp;"␟"&amp;IFERROR(INDEX(PASTE_ALL,$DF485,34)&amp;"","")&amp;"␟"&amp;IFERROR(INDEX(PASTE_ALL,$DF485,35)&amp;"","")&amp;"␟"&amp;IFERROR(INDEX(PASTE_ALL,$DF485,36)&amp;"","")&amp;"␟"&amp;IFERROR(INDEX(PASTE_ALL,$DF485,37)&amp;"","")&amp;"␟"&amp;IFERROR(INDEX(PASTE_ALL,$DF485,38)&amp;"","")&amp;"␟"&amp;IFERROR(INDEX(PASTE_ALL,$DF485,39)&amp;"","")&amp;"␟"&amp;IFERROR(INDEX(PASTE_ALL,$DF485,40)&amp;"","")&amp;"␟"&amp;IFERROR(INDEX(PASTE_ALL,$DF485,41)&amp;"","")&amp;"␟"&amp;IFERROR(INDEX(PASTE_ALL,$DF485,42)&amp;"","")&amp;"␟"&amp;IFERROR(INDEX(PASTE_ALL,$DF485,43)&amp;"","")&amp;"␟"&amp;IFERROR(INDEX(PASTE_ALL,$DF485,44)&amp;"","")&amp;"␟"&amp;IFERROR(INDEX(PASTE_ALL,$DF485,45)&amp;"","")&amp;"␟"&amp;IFERROR(INDEX(PASTE_ALL,$DF485,46)&amp;"","")&amp;"␟"&amp;IFERROR(INDEX(PASTE_ALL,$DF485,47)&amp;"","")&amp;"␟"&amp;IFERROR(INDEX(PASTE_ALL,$DF485,48)&amp;"","")&amp;"␟"&amp;IFERROR(INDEX(PASTE_ALL,$DF485,49)&amp;"","")&amp;"␟"&amp;IFERROR(INDEX(PASTE_ALL,$DF485,50)&amp;"","")&amp;"␟"&amp;IFERROR(INDEX(PASTE_ALL,$DF485,51)&amp;"","")&amp;"␟"&amp;IFERROR(INDEX(PASTE_ALL,$DF485,52)&amp;"","")&amp;"␟"&amp;IFERROR(INDEX(PASTE_ALL,$DF485,53)&amp;"","")&amp;"␟"&amp;IFERROR(INDEX(PASTE_ALL,$DF485,54)&amp;"","")&amp;"␟"&amp;IFERROR(INDEX(PASTE_ALL,$DF485,55)&amp;"","")&amp;"␟"&amp;IFERROR(INDEX(PASTE_ALL,$DF485,56)&amp;"","")&amp;"␟"&amp;IFERROR(INDEX(PASTE_ALL,$DF485,57)&amp;"","")&amp;"␟"&amp;IFERROR(INDEX(PASTE_ALL,$DF485,58)&amp;"","")&amp;"␟"&amp;IFERROR(INDEX(PASTE_ALL,$DF485,59)&amp;"","")&amp;"␟"&amp;IFERROR(INDEX(PASTE_ALL,$DF485,60)&amp;"","")," "," "),CHAR(9)," "),CHAR(10)," "),CHAR(13)," "))," ␟","␟"),"␟ ","␟"),"#"&amp;$DE485),"")</f>
        <v/>
      </c>
      <c r="DJ485">
        <f>IF($DI485="",0,IF(SUMPRODUCT(--EXACT($DI$4:DI484,$DI485))&gt;0,1,0))</f>
        <v/>
      </c>
      <c r="DK485">
        <f>IF(AND($DI485&lt;&gt;"",$DJ485=0),1,0)</f>
        <v/>
      </c>
      <c r="DL485">
        <f>DL484+$DK485</f>
        <v/>
      </c>
      <c r="DM485">
        <f>IF(AND($DK485=1,$DL485&lt;=600),1,0)</f>
        <v/>
      </c>
      <c r="DN485">
        <f>IF($DM485=0,"",IF($L$6=0,"",IFERROR(IF(ISNUMBER(INDEX(PASTE_ALL,$DF485,$L$6)),INDEX(PASTE_ALL,$DF485,$L$6),TRIM(SUBSTITUTE(SUBSTITUTE(SUBSTITUTE(SUBSTITUTE(INDEX(PASTE_ALL,$DF485,$L$6)," "," "),CHAR(9)," "),CHAR(10)," "),CHAR(13)," "))),"")))</f>
        <v/>
      </c>
      <c r="DO485">
        <f>IF($DM485=0,"",IF($L$7=0,"",IFERROR(IF(ISNUMBER(INDEX(PASTE_ALL,$DF485,$L$7)),INDEX(PASTE_ALL,$DF485,$L$7),TRIM(SUBSTITUTE(SUBSTITUTE(SUBSTITUTE(SUBSTITUTE(INDEX(PASTE_ALL,$DF485,$L$7)," "," "),CHAR(9)," "),CHAR(10)," "),CHAR(13)," "))),"")))</f>
        <v/>
      </c>
      <c r="DP485">
        <f>IF($DM485=0,"",IF($L$8=0,"",IFERROR(IF(ISNUMBER(INDEX(PASTE_ALL,$DF485,$L$8)),INDEX(PASTE_ALL,$DF485,$L$8),TRIM(SUBSTITUTE(SUBSTITUTE(SUBSTITUTE(SUBSTITUTE(INDEX(PASTE_ALL,$DF485,$L$8)," "," "),CHAR(9)," "),CHAR(10)," "),CHAR(13)," "))),"")))</f>
        <v/>
      </c>
      <c r="DQ485">
        <f>IF($DM485=0,"",IF($L$9=0,"",IFERROR(IF(ISNUMBER(INDEX(PASTE_ALL,$DF485,$L$9)),INDEX(PASTE_ALL,$DF485,$L$9),TRIM(SUBSTITUTE(SUBSTITUTE(SUBSTITUTE(SUBSTITUTE(INDEX(PASTE_ALL,$DF485,$L$9)," "," "),CHAR(9)," "),CHAR(10)," "),CHAR(13)," "))),"")))</f>
        <v/>
      </c>
      <c r="DR485">
        <f>IF($DM485=0,"",IF($L$10=0,"",IFERROR(IF(ISNUMBER(INDEX(PASTE_ALL,$DF485,$L$10)),INDEX(PASTE_ALL,$DF485,$L$10),TRIM(SUBSTITUTE(SUBSTITUTE(SUBSTITUTE(SUBSTITUTE(INDEX(PASTE_ALL,$DF485,$L$10)," "," "),CHAR(9)," "),CHAR(10)," "),CHAR(13)," "))),"")))</f>
        <v/>
      </c>
      <c r="DS485">
        <f>IF($DM485=0,"",IF($L$11=0,"",IFERROR(IF(ISNUMBER(INDEX(PASTE_ALL,$DF485,$L$11)),INDEX(PASTE_ALL,$DF485,$L$11),TRIM(SUBSTITUTE(SUBSTITUTE(SUBSTITUTE(SUBSTITUTE(INDEX(PASTE_ALL,$DF485,$L$11)," "," "),CHAR(9)," "),CHAR(10)," "),CHAR(13)," "))),"")))</f>
        <v/>
      </c>
      <c r="DT485">
        <f>IF($DM485=0,"",IF($L$12=0,"",IFERROR(IF(ISNUMBER(INDEX(PASTE_ALL,$DF485,$L$12)),INDEX(PASTE_ALL,$DF485,$L$12),TRIM(SUBSTITUTE(SUBSTITUTE(SUBSTITUTE(SUBSTITUTE(INDEX(PASTE_ALL,$DF485,$L$12)," "," "),CHAR(9)," "),CHAR(10)," "),CHAR(13)," "))),"")))</f>
        <v/>
      </c>
      <c r="DU485">
        <f>IF($DM485=0,"",IF($L$13=0,"",IFERROR(IF(ISNUMBER(INDEX(PASTE_ALL,$DF485,$L$13)),INDEX(PASTE_ALL,$DF485,$L$13),TRIM(SUBSTITUTE(SUBSTITUTE(SUBSTITUTE(SUBSTITUTE(INDEX(PASTE_ALL,$DF485,$L$13)," "," "),CHAR(9)," "),CHAR(10)," "),CHAR(13)," "))),"")))</f>
        <v/>
      </c>
      <c r="DV485">
        <f>IF($DM485=0,"",IF($L$14=0,"",IFERROR(IF(ISNUMBER(INDEX(PASTE_ALL,$DF485,$L$14)),INDEX(PASTE_ALL,$DF485,$L$14),TRIM(SUBSTITUTE(SUBSTITUTE(SUBSTITUTE(SUBSTITUTE(INDEX(PASTE_ALL,$DF485,$L$14)," "," "),CHAR(9)," "),CHAR(10)," "),CHAR(13)," "))),"")))</f>
        <v/>
      </c>
      <c r="DW485">
        <f>IF($DM485=0,"",IF($L$15=0,"",IFERROR(IF(ISNUMBER(INDEX(PASTE_ALL,$DF485,$L$15)),INDEX(PASTE_ALL,$DF485,$L$15),IF(SUMPRODUCT(--ISNUMBER(FIND({"A","B","C","D","E","F","G","H","I","J","K","L","M","N","O","P","Q","R","S","T","U","V","W","X","Y","Z","0","1","2","3","4","5","6","7","8","9"},UPPER(TRIM(SUBSTITUTE(SUBSTITUTE(SUBSTITUTE(SUBSTITUTE(INDEX(PASTE_ALL,$DF485,$L$15)," "," "),CHAR(9)," "),CHAR(10)," "),CHAR(13)," "))))))&gt;0,TRIM(SUBSTITUTE(SUBSTITUTE(SUBSTITUTE(SUBSTITUTE(INDEX(PASTE_ALL,$DF485,$L$15)," "," "),CHAR(9)," "),CHAR(10)," "),CHAR(13)," ")),"")),"")))</f>
        <v/>
      </c>
      <c r="DX485">
        <f>IF($DM485=0,"",IF($L$16=0,"",IFERROR(IF(ISNUMBER(INDEX(PASTE_ALL,$DF485,$L$16)),INDEX(PASTE_ALL,$DF485,$L$16),SUBSTITUTE(SUBSTITUTE(TRIM(SUBSTITUTE(SUBSTITUTE(SUBSTITUTE(SUBSTITUTE(INDEX(PASTE_ALL,$DF485,$L$16)," "," "),CHAR(9)," "),CHAR(10)," "),CHAR(13)," ")),",",""),"%","")),"")))</f>
        <v/>
      </c>
      <c r="DY485">
        <f>IF($DM485=0,"",IFERROR(IF(ISNUMBER($DX485),$DX485,IF($DX485="","",IF(TRIM($DX485)="",0,IF(AND(AND(SUBSTITUTE(SUBSTITUTE(SUBSTITUTE(SUBSTITUTE(SUBSTITUTE(SUBSTITUTE(SUBSTITUTE(SUBSTITUTE(SUBSTITUTE(SUBSTITUTE(SUBSTITUTE(SUBSTITUTE(SUBSTITUTE(SUBSTITUTE(UPPER(TRIM($DX485)),"0",""),"1",""),"2",""),"3",""),"4",""),"5",""),"6",""),"7",""),"8",""),"9",""),".",""),"+",""),"-",""),"E","")="",LEN(SUBSTITUTE(SUBSTITUTE(MID(UPPER(TRIM($DX485)),1+OR(LEFT(UPPER(TRIM($DX485)),1)="+",LEFT(UPPER(TRIM($DX485)),1)="-"),999),"E+","E"),"E-","E"))=LEN(SUBSTITUTE(SUBSTITUTE(SUBSTITUTE(SUBSTITUTE(MID(UPPER(TRIM($DX485)),1+OR(LEFT(UPPER(TRIM($DX485)),1)="+",LEFT(UPPER(TRIM($DX485)),1)="-"),999),"E+","E"),"E-","E"),"+",""),"-","")),LEN(UPPER(TRIM($DX485)))-LEN(SUBSTITUTE(UPPER(TRIM($DX485)),"E",""))&lt;2,LEN(UPPER(TRIM($DX485)))-LEN(SUBSTITUTE(UPPER(TRIM($DX485)),".",""))&lt;2,IFERROR(FIND(".",UPPER(TRIM($DX485))),0)&lt;IFERROR(FIND("E",UPPER(TRIM($DX485))),999)),ISNUMBER(VALUE(TRIM($DX485)))),VALUE(TRIM($DX485)),"")))),""))</f>
        <v/>
      </c>
      <c r="DZ485">
        <f>IF($DM485=0,"",IF($L$17=0,"",IFERROR(IF(ISNUMBER(INDEX(PASTE_ALL,$DF485,$L$17)),INDEX(PASTE_ALL,$DF485,$L$17),SUBSTITUTE(SUBSTITUTE(TRIM(SUBSTITUTE(SUBSTITUTE(SUBSTITUTE(SUBSTITUTE(INDEX(PASTE_ALL,$DF485,$L$17)," "," "),CHAR(9)," "),CHAR(10)," "),CHAR(13)," ")),",",""),"%","")),"")))</f>
        <v/>
      </c>
      <c r="EA485">
        <f>IF($DM485=0,"",IFERROR(IF(ISNUMBER($DZ485),$DZ485,IF($DZ485="","",IF(TRIM($DZ485)="",0,IF(AND(AND(SUBSTITUTE(SUBSTITUTE(SUBSTITUTE(SUBSTITUTE(SUBSTITUTE(SUBSTITUTE(SUBSTITUTE(SUBSTITUTE(SUBSTITUTE(SUBSTITUTE(SUBSTITUTE(SUBSTITUTE(SUBSTITUTE(SUBSTITUTE(UPPER(TRIM($DZ485)),"0",""),"1",""),"2",""),"3",""),"4",""),"5",""),"6",""),"7",""),"8",""),"9",""),".",""),"+",""),"-",""),"E","")="",LEN(SUBSTITUTE(SUBSTITUTE(MID(UPPER(TRIM($DZ485)),1+OR(LEFT(UPPER(TRIM($DZ485)),1)="+",LEFT(UPPER(TRIM($DZ485)),1)="-"),999),"E+","E"),"E-","E"))=LEN(SUBSTITUTE(SUBSTITUTE(SUBSTITUTE(SUBSTITUTE(MID(UPPER(TRIM($DZ485)),1+OR(LEFT(UPPER(TRIM($DZ485)),1)="+",LEFT(UPPER(TRIM($DZ485)),1)="-"),999),"E+","E"),"E-","E"),"+",""),"-","")),LEN(UPPER(TRIM($DZ485)))-LEN(SUBSTITUTE(UPPER(TRIM($DZ485)),"E",""))&lt;2,LEN(UPPER(TRIM($DZ485)))-LEN(SUBSTITUTE(UPPER(TRIM($DZ485)),".",""))&lt;2,IFERROR(FIND(".",UPPER(TRIM($DZ485))),0)&lt;IFERROR(FIND("E",UPPER(TRIM($DZ485))),999)),ISNUMBER(VALUE(TRIM($DZ485)))),VALUE(TRIM($DZ485)),"")))),""))</f>
        <v/>
      </c>
      <c r="EB485">
        <f>IF($DM485=0,"",IF($L$18=0,"",IFERROR(IF(UPPER(TRIM(SUBSTITUTE(SUBSTITUTE(SUBSTITUTE(SUBSTITUTE(INDEX(PASTE_ALL,$DF485,$L$18)," "," "),CHAR(9)," "),CHAR(10)," "),CHAR(13)," ")))="READY","Ready",IF(UPPER(TRIM(SUBSTITUTE(SUBSTITUTE(SUBSTITUTE(SUBSTITUTE(INDEX(PASTE_ALL,$DF485,$L$18)," "," "),CHAR(9)," "),CHAR(10)," "),CHAR(13)," ")))="PM","PM",IF(OR(UPPER(TRIM(SUBSTITUTE(SUBSTITUTE(SUBSTITUTE(SUBSTITUTE(INDEX(PASTE_ALL,$DF485,$L$18)," "," "),CHAR(9)," "),CHAR(10)," "),CHAR(13)," ")))="OT",UPPER(TRIM(SUBSTITUTE(SUBSTITUTE(SUBSTITUTE(SUBSTITUTE(INDEX(PASTE_ALL,$DF485,$L$18)," "," "),CHAR(9)," "),CHAR(10)," "),CHAR(13)," ")))="OVERTIME",UPPER(TRIM(SUBSTITUTE(SUBSTITUTE(SUBSTITUTE(SUBSTITUTE(INDEX(PASTE_ALL,$DF485,$L$18)," "," "),CHAR(9)," "),CHAR(10)," "),CHAR(13)," ")))="TRIAL"),"OT",TRIM(SUBSTITUTE(SUBSTITUTE(SUBSTITUTE(SUBSTITUTE(INDEX(PASTE_ALL,$DF485,$L$18)," "," "),CHAR(9)," "),CHAR(10)," "),CHAR(13)," "))))),"")))</f>
        <v/>
      </c>
      <c r="EC485">
        <f>IF($DM485=0,"",IF($L$19=0,"",IFERROR(IF(ISNUMBER(INDEX(PASTE_ALL,$DF485,$L$19)),INDEX(PASTE_ALL,$DF485,$L$19),TRIM(SUBSTITUTE(SUBSTITUTE(SUBSTITUTE(SUBSTITUTE(INDEX(PASTE_ALL,$DF485,$L$19)," "," "),CHAR(9)," "),CHAR(10)," "),CHAR(13)," "))),"")))</f>
        <v/>
      </c>
      <c r="ED485">
        <f>IF($DM485=0,"",MATCH(1,INDEX(EXACT($DH$5:DH485,$DH485)*$DM$5:DM485,0),0))</f>
        <v/>
      </c>
      <c r="EE485">
        <f>IF($DM485=0,0,IF($ED485=$DE485,1,0))</f>
        <v/>
      </c>
      <c r="EF485">
        <f>EF484+$EE485</f>
        <v/>
      </c>
      <c r="EG485">
        <f>IF($DM485=0,"",INDEX($EF$5:$EF$1003,$ED485))</f>
        <v/>
      </c>
      <c r="EH485">
        <f>IF($DM485=0,"",IF($DO485&lt;&gt;"","",IFERROR(LOOKUP(2,1/(($EG$4:EG484=$EG485)*($DO$4:DO484&lt;&gt;"")),$DO$4:DO484),"")))</f>
        <v/>
      </c>
      <c r="EI485">
        <f>IF($DM485=0,"",IF($DO485&lt;&gt;"",$DO485,$EH485))</f>
        <v/>
      </c>
      <c r="EJ485">
        <f>IF($DM485=0,"",IF($EI485="",0,IF(OR(ISNUMBER($EI485),AND(AND(SUBSTITUTE(SUBSTITUTE(SUBSTITUTE(SUBSTITUTE(SUBSTITUTE(SUBSTITUTE(SUBSTITUTE(SUBSTITUTE(SUBSTITUTE(SUBSTITUTE(SUBSTITUTE(SUBSTITUTE(SUBSTITUTE(SUBSTITUTE(UPPER($EI485),"0",""),"1",""),"2",""),"3",""),"4",""),"5",""),"6",""),"7",""),"8",""),"9",""),".",""),"+",""),"-",""),"E","")="",LEN(SUBSTITUTE(SUBSTITUTE(MID(UPPER($EI485),1+OR(LEFT(UPPER($EI485),1)="+",LEFT(UPPER($EI485),1)="-"),999),"E+","E"),"E-","E"))=LEN(SUBSTITUTE(SUBSTITUTE(SUBSTITUTE(SUBSTITUTE(MID(UPPER($EI485),1+OR(LEFT(UPPER($EI485),1)="+",LEFT(UPPER($EI485),1)="-"),999),"E+","E"),"E-","E"),"+",""),"-","")),LEN(UPPER($EI485))-LEN(SUBSTITUTE(UPPER($EI485),"E",""))&lt;2,LEN(UPPER($EI485))-LEN(SUBSTITUTE(UPPER($EI485),".",""))&lt;2,IFERROR(FIND(".",UPPER($EI485)),0)&lt;IFERROR(FIND("E",UPPER($EI485)),999)),ISNUMBER(VALUE($EI485)))),1,2)))</f>
        <v/>
      </c>
      <c r="EK485">
        <f>IF($DM485=0,"",IF($EJ485=1,IF(ISNUMBER($EI485),$EI485,VALUE($EI485)),IF($EJ485=2,$DE485,0)))</f>
        <v/>
      </c>
      <c r="EL485">
        <f>IF($DM485=0,"",COUNTIF($EG$5:$EG$1003,"&lt;"&amp;$EG485)+SUMPRODUCT(($EG$5:$EG$1003=$EG485)*(($EJ$5:$EJ$1003&lt;$EJ485)+($EJ$5:$EJ$1003=$EJ485)*(($EK$5:$EK$1003&lt;$EK485)+($EK$5:$EK$1003=$EK485)*($DE$5:$DE$1003&lt;$DE485))))+1)</f>
        <v/>
      </c>
      <c r="EM485">
        <f>IF($DM485=0,"",$EL485+$EG485-1)</f>
        <v/>
      </c>
      <c r="EN485">
        <f>IF($DM485=0,0,IFERROR(MATCH(1,INDEX(--(TRIM(SUBSTITUTE(SUBSTITUTE(SUBSTITUTE(SUBSTITUTE(LINES_NAME&amp;""," "," "),CHAR(9)," "),CHAR(10)," "),CHAR(13)," "))=$DH485),0),0),0))</f>
        <v/>
      </c>
      <c r="EO485">
        <f>IF($EN485=0,0,IF(OR(UPPER(TRIM(INDEX(LINES_SCHEDULED,$EN485)&amp;""))="YES",UPPER(TRIM(INDEX(LINES_SCHEDULED,$EN485)&amp;""))="Y",UPPER(TRIM(INDEX(LINES_SCHEDULED,$EN485)&amp;""))="X"),1,0))</f>
        <v/>
      </c>
      <c r="EP485">
        <f>IF($DM485=0,"",IF(COUNTIFS($EG$5:$EG$1003,$EG485,$EB$5:$EB$1003,"Ready")&gt;0,"READY",IF(COUNTIFS($EG$5:$EG$1003,$EG485,$EB$5:$EB$1003,"PM")&gt;0,"PM",IF(COUNTIFS($EG$5:$EG$1003,$EG485,$EB$5:$EB$1003,"OT")&gt;0,"OT",""))))</f>
        <v/>
      </c>
      <c r="EQ485">
        <f>IF($EN485=0,"",UPPER(TRIM(INDEX(LINES_STATUS,$EN485)&amp;"")))</f>
        <v/>
      </c>
      <c r="ER485">
        <f>IF($DM485=0,"",IF(OR($EQ485="READY",$EQ485="PM",$EQ485="OT"),$EQ485,$EP485))</f>
        <v/>
      </c>
      <c r="ES485">
        <f>IF($DM485=0,"",IF(AND($DV485&lt;&gt;"",UPPER($DV485)&lt;&gt;"N"),"allergen",IF(ISNUMBER(SEARCH("oil",$DQ485)),"oil",IF(OR(EXACT($DS485,"A662"),EXACT($DS485,"A624")),"bulk",""))))</f>
        <v/>
      </c>
      <c r="ET485">
        <f>IF($DM485=0,"",IF(OR($EA485="",$EA485=0),"",$EA485/100))</f>
        <v/>
      </c>
      <c r="EU485">
        <f>IF(OR($ET485="",$DY485=""),"",INT($DY485*(1-$ET485)+0.5))</f>
        <v/>
      </c>
      <c r="EW485" t="n">
        <v>481</v>
      </c>
      <c r="EX485">
        <f>IFERROR(MATCH($EW485,$EM$5:$EM$1003,0),0)</f>
        <v/>
      </c>
      <c r="EY485">
        <f>IF($EW485&gt;$B$12,"",IF($EX485&gt;0,"row","spacer"))</f>
        <v/>
      </c>
      <c r="EZ485">
        <f>IF(AND($EY485="row",$EY484&lt;&gt;"row"),1,0)</f>
        <v/>
      </c>
      <c r="FA485">
        <f>IF(AND($EY485="row",$EY486&lt;&gt;"row"),1,0)</f>
        <v/>
      </c>
      <c r="FB485">
        <f>IF($EZ485=1,IFERROR(IF(ISNUMBER(INDEX(PASTE_ALL,INDEX($DF$5:$DF$1003,$EX485),$B$37)),INDEX(PASTE_ALL,INDEX($DF$5:$DF$1003,$EX485),$B$37),INDEX($DH$5:$DH$1003,$EX485)),INDEX($DH$5:$DH$1003,$EX485)),"")</f>
        <v/>
      </c>
      <c r="FC485">
        <f>IF($EY485="row",INDEX($ER$5:$ER$1003,$EX485),"")</f>
        <v/>
      </c>
      <c r="FD485">
        <f>IF($EY485="row",INDEX($DN$5:$DN$1003,$EX485),"")</f>
        <v/>
      </c>
      <c r="FE485">
        <f>IF($EY485="row",INDEX($DO$5:$DO$1003,$EX485),"")</f>
        <v/>
      </c>
      <c r="FF485">
        <f>IF($EY485="row",INDEX($DP$5:$DP$1003,$EX485),"")</f>
        <v/>
      </c>
      <c r="FG485">
        <f>IF($EY485="row",INDEX($DQ$5:$DQ$1003,$EX485),"")</f>
        <v/>
      </c>
      <c r="FH485">
        <f>IF($EY485="row",INDEX($DR$5:$DR$1003,$EX485),"")</f>
        <v/>
      </c>
      <c r="FI485">
        <f>IF($EY485="row",INDEX($DS$5:$DS$1003,$EX485),"")</f>
        <v/>
      </c>
      <c r="FJ485">
        <f>IF($EY485="row",INDEX($DT$5:$DT$1003,$EX485),"")</f>
        <v/>
      </c>
      <c r="FK485">
        <f>IF($EY485="row",INDEX($DU$5:$DU$1003,$EX485),"")</f>
        <v/>
      </c>
      <c r="FL485">
        <f>IF($EY485="row",INDEX($DV$5:$DV$1003,$EX485),"")</f>
        <v/>
      </c>
      <c r="FM485">
        <f>IF($EY485="row",INDEX($DW$5:$DW$1003,$EX485),"")</f>
        <v/>
      </c>
      <c r="FN485">
        <f>IF($EY485="row",INDEX($DY$5:$DY$1003,$EX485),"")</f>
        <v/>
      </c>
      <c r="FO485">
        <f>IF($EY485="row",INDEX($EA$5:$EA$1003,$EX485),"")</f>
        <v/>
      </c>
      <c r="FP485">
        <f>IF($EY485="row",INDEX($EC$5:$EC$1003,$EX485),"")</f>
        <v/>
      </c>
      <c r="FQ485">
        <f>IF($EY485="row",INDEX($ET$5:$ET$1003,$EX485),"")</f>
        <v/>
      </c>
      <c r="FR485">
        <f>IF($EY485="row",INDEX($EU$5:$EU$1003,$EX485),"")</f>
        <v/>
      </c>
      <c r="FS485">
        <f>IF(AND($EY485="row",$EY484="row"),IF(OR(INDEX($DT$5:$DT$1003,$EX484)="",INDEX($DT$5:$DT$1003,$EX485)=""),"",IF(NOT(EXACT(INDEX($DT$5:$DT$1003,$EX484),INDEX($DT$5:$DT$1003,$EX485))),"S4",IF(NOT(EXACT(INDEX($DS$5:$DS$1003,$EX484),INDEX($DS$5:$DS$1003,$EX485))),"S3",IF(NOT(EXACT(INDEX($DR$5:$DR$1003,$EX484),INDEX($DR$5:$DR$1003,$EX485))),"S1 Count Change","S1")))),"")</f>
        <v/>
      </c>
      <c r="FT485">
        <f>IF($EY485="row",INDEX($ES$5:$ES$1003,$EX485),"")</f>
        <v/>
      </c>
      <c r="FU485">
        <f>IF($EY485="row",INDEX($EO$5:$EO$1003,$EX485),0)</f>
        <v/>
      </c>
      <c r="FV485">
        <f>IF($FS485="S1 Count Change",1,0)</f>
        <v/>
      </c>
    </row>
    <row r="486">
      <c r="DA486" t="n">
        <v>482</v>
      </c>
      <c r="DB486">
        <f>IF($B$37=0,"",IFERROR(TRIM(SUBSTITUTE(SUBSTITUTE(SUBSTITUTE(SUBSTITUTE(INDEX(PASTE_ALL,482,$B$37)," "," "),CHAR(9)," "),CHAR(10)," "),CHAR(13)," ")),""))</f>
        <v/>
      </c>
      <c r="DC486">
        <f>IF(AND(482&gt;HEADER_ROW,UPPER(DB486)="LEGEND"),1,0)</f>
        <v/>
      </c>
      <c r="DE486" t="n">
        <v>482</v>
      </c>
      <c r="DF486">
        <f>HEADER_ROW+$DE486</f>
        <v/>
      </c>
      <c r="DG486">
        <f>IF(AND($DF486&lt;=1000,$DF486&lt;$B$8),1,0)</f>
        <v/>
      </c>
      <c r="DH486">
        <f>IF($DG486=1,IFERROR(INDEX($DB$5:$DB$1004,$DF486),""),"")</f>
        <v/>
      </c>
      <c r="DI486">
        <f>IF(AND($DG486=1,$DH486&lt;&gt;""),IFERROR(SUBSTITUTE(SUBSTITUTE(TRIM(SUBSTITUTE(SUBSTITUTE(SUBSTITUTE(SUBSTITUTE(IFERROR(INDEX(PASTE_ALL,$DF486,1)&amp;"","")&amp;"␟"&amp;IFERROR(INDEX(PASTE_ALL,$DF486,2)&amp;"","")&amp;"␟"&amp;IFERROR(INDEX(PASTE_ALL,$DF486,3)&amp;"","")&amp;"␟"&amp;IFERROR(INDEX(PASTE_ALL,$DF486,4)&amp;"","")&amp;"␟"&amp;IFERROR(INDEX(PASTE_ALL,$DF486,5)&amp;"","")&amp;"␟"&amp;IFERROR(INDEX(PASTE_ALL,$DF486,6)&amp;"","")&amp;"␟"&amp;IFERROR(INDEX(PASTE_ALL,$DF486,7)&amp;"","")&amp;"␟"&amp;IFERROR(INDEX(PASTE_ALL,$DF486,8)&amp;"","")&amp;"␟"&amp;IFERROR(INDEX(PASTE_ALL,$DF486,9)&amp;"","")&amp;"␟"&amp;IFERROR(INDEX(PASTE_ALL,$DF486,10)&amp;"","")&amp;"␟"&amp;IFERROR(INDEX(PASTE_ALL,$DF486,11)&amp;"","")&amp;"␟"&amp;IFERROR(INDEX(PASTE_ALL,$DF486,12)&amp;"","")&amp;"␟"&amp;IFERROR(INDEX(PASTE_ALL,$DF486,13)&amp;"","")&amp;"␟"&amp;IFERROR(INDEX(PASTE_ALL,$DF486,14)&amp;"","")&amp;"␟"&amp;IFERROR(INDEX(PASTE_ALL,$DF486,15)&amp;"","")&amp;"␟"&amp;IFERROR(INDEX(PASTE_ALL,$DF486,16)&amp;"","")&amp;"␟"&amp;IFERROR(INDEX(PASTE_ALL,$DF486,17)&amp;"","")&amp;"␟"&amp;IFERROR(INDEX(PASTE_ALL,$DF486,18)&amp;"","")&amp;"␟"&amp;IFERROR(INDEX(PASTE_ALL,$DF486,19)&amp;"","")&amp;"␟"&amp;IFERROR(INDEX(PASTE_ALL,$DF486,20)&amp;"","")&amp;"␟"&amp;IFERROR(INDEX(PASTE_ALL,$DF486,21)&amp;"","")&amp;"␟"&amp;IFERROR(INDEX(PASTE_ALL,$DF486,22)&amp;"","")&amp;"␟"&amp;IFERROR(INDEX(PASTE_ALL,$DF486,23)&amp;"","")&amp;"␟"&amp;IFERROR(INDEX(PASTE_ALL,$DF486,24)&amp;"","")&amp;"␟"&amp;IFERROR(INDEX(PASTE_ALL,$DF486,25)&amp;"","")&amp;"␟"&amp;IFERROR(INDEX(PASTE_ALL,$DF486,26)&amp;"","")&amp;"␟"&amp;IFERROR(INDEX(PASTE_ALL,$DF486,27)&amp;"","")&amp;"␟"&amp;IFERROR(INDEX(PASTE_ALL,$DF486,28)&amp;"","")&amp;"␟"&amp;IFERROR(INDEX(PASTE_ALL,$DF486,29)&amp;"","")&amp;"␟"&amp;IFERROR(INDEX(PASTE_ALL,$DF486,30)&amp;"","")&amp;"␟"&amp;IFERROR(INDEX(PASTE_ALL,$DF486,31)&amp;"","")&amp;"␟"&amp;IFERROR(INDEX(PASTE_ALL,$DF486,32)&amp;"","")&amp;"␟"&amp;IFERROR(INDEX(PASTE_ALL,$DF486,33)&amp;"","")&amp;"␟"&amp;IFERROR(INDEX(PASTE_ALL,$DF486,34)&amp;"","")&amp;"␟"&amp;IFERROR(INDEX(PASTE_ALL,$DF486,35)&amp;"","")&amp;"␟"&amp;IFERROR(INDEX(PASTE_ALL,$DF486,36)&amp;"","")&amp;"␟"&amp;IFERROR(INDEX(PASTE_ALL,$DF486,37)&amp;"","")&amp;"␟"&amp;IFERROR(INDEX(PASTE_ALL,$DF486,38)&amp;"","")&amp;"␟"&amp;IFERROR(INDEX(PASTE_ALL,$DF486,39)&amp;"","")&amp;"␟"&amp;IFERROR(INDEX(PASTE_ALL,$DF486,40)&amp;"","")&amp;"␟"&amp;IFERROR(INDEX(PASTE_ALL,$DF486,41)&amp;"","")&amp;"␟"&amp;IFERROR(INDEX(PASTE_ALL,$DF486,42)&amp;"","")&amp;"␟"&amp;IFERROR(INDEX(PASTE_ALL,$DF486,43)&amp;"","")&amp;"␟"&amp;IFERROR(INDEX(PASTE_ALL,$DF486,44)&amp;"","")&amp;"␟"&amp;IFERROR(INDEX(PASTE_ALL,$DF486,45)&amp;"","")&amp;"␟"&amp;IFERROR(INDEX(PASTE_ALL,$DF486,46)&amp;"","")&amp;"␟"&amp;IFERROR(INDEX(PASTE_ALL,$DF486,47)&amp;"","")&amp;"␟"&amp;IFERROR(INDEX(PASTE_ALL,$DF486,48)&amp;"","")&amp;"␟"&amp;IFERROR(INDEX(PASTE_ALL,$DF486,49)&amp;"","")&amp;"␟"&amp;IFERROR(INDEX(PASTE_ALL,$DF486,50)&amp;"","")&amp;"␟"&amp;IFERROR(INDEX(PASTE_ALL,$DF486,51)&amp;"","")&amp;"␟"&amp;IFERROR(INDEX(PASTE_ALL,$DF486,52)&amp;"","")&amp;"␟"&amp;IFERROR(INDEX(PASTE_ALL,$DF486,53)&amp;"","")&amp;"␟"&amp;IFERROR(INDEX(PASTE_ALL,$DF486,54)&amp;"","")&amp;"␟"&amp;IFERROR(INDEX(PASTE_ALL,$DF486,55)&amp;"","")&amp;"␟"&amp;IFERROR(INDEX(PASTE_ALL,$DF486,56)&amp;"","")&amp;"␟"&amp;IFERROR(INDEX(PASTE_ALL,$DF486,57)&amp;"","")&amp;"␟"&amp;IFERROR(INDEX(PASTE_ALL,$DF486,58)&amp;"","")&amp;"␟"&amp;IFERROR(INDEX(PASTE_ALL,$DF486,59)&amp;"","")&amp;"␟"&amp;IFERROR(INDEX(PASTE_ALL,$DF486,60)&amp;"","")," "," "),CHAR(9)," "),CHAR(10)," "),CHAR(13)," "))," ␟","␟"),"␟ ","␟"),"#"&amp;$DE486),"")</f>
        <v/>
      </c>
      <c r="DJ486">
        <f>IF($DI486="",0,IF(SUMPRODUCT(--EXACT($DI$4:DI485,$DI486))&gt;0,1,0))</f>
        <v/>
      </c>
      <c r="DK486">
        <f>IF(AND($DI486&lt;&gt;"",$DJ486=0),1,0)</f>
        <v/>
      </c>
      <c r="DL486">
        <f>DL485+$DK486</f>
        <v/>
      </c>
      <c r="DM486">
        <f>IF(AND($DK486=1,$DL486&lt;=600),1,0)</f>
        <v/>
      </c>
      <c r="DN486">
        <f>IF($DM486=0,"",IF($L$6=0,"",IFERROR(IF(ISNUMBER(INDEX(PASTE_ALL,$DF486,$L$6)),INDEX(PASTE_ALL,$DF486,$L$6),TRIM(SUBSTITUTE(SUBSTITUTE(SUBSTITUTE(SUBSTITUTE(INDEX(PASTE_ALL,$DF486,$L$6)," "," "),CHAR(9)," "),CHAR(10)," "),CHAR(13)," "))),"")))</f>
        <v/>
      </c>
      <c r="DO486">
        <f>IF($DM486=0,"",IF($L$7=0,"",IFERROR(IF(ISNUMBER(INDEX(PASTE_ALL,$DF486,$L$7)),INDEX(PASTE_ALL,$DF486,$L$7),TRIM(SUBSTITUTE(SUBSTITUTE(SUBSTITUTE(SUBSTITUTE(INDEX(PASTE_ALL,$DF486,$L$7)," "," "),CHAR(9)," "),CHAR(10)," "),CHAR(13)," "))),"")))</f>
        <v/>
      </c>
      <c r="DP486">
        <f>IF($DM486=0,"",IF($L$8=0,"",IFERROR(IF(ISNUMBER(INDEX(PASTE_ALL,$DF486,$L$8)),INDEX(PASTE_ALL,$DF486,$L$8),TRIM(SUBSTITUTE(SUBSTITUTE(SUBSTITUTE(SUBSTITUTE(INDEX(PASTE_ALL,$DF486,$L$8)," "," "),CHAR(9)," "),CHAR(10)," "),CHAR(13)," "))),"")))</f>
        <v/>
      </c>
      <c r="DQ486">
        <f>IF($DM486=0,"",IF($L$9=0,"",IFERROR(IF(ISNUMBER(INDEX(PASTE_ALL,$DF486,$L$9)),INDEX(PASTE_ALL,$DF486,$L$9),TRIM(SUBSTITUTE(SUBSTITUTE(SUBSTITUTE(SUBSTITUTE(INDEX(PASTE_ALL,$DF486,$L$9)," "," "),CHAR(9)," "),CHAR(10)," "),CHAR(13)," "))),"")))</f>
        <v/>
      </c>
      <c r="DR486">
        <f>IF($DM486=0,"",IF($L$10=0,"",IFERROR(IF(ISNUMBER(INDEX(PASTE_ALL,$DF486,$L$10)),INDEX(PASTE_ALL,$DF486,$L$10),TRIM(SUBSTITUTE(SUBSTITUTE(SUBSTITUTE(SUBSTITUTE(INDEX(PASTE_ALL,$DF486,$L$10)," "," "),CHAR(9)," "),CHAR(10)," "),CHAR(13)," "))),"")))</f>
        <v/>
      </c>
      <c r="DS486">
        <f>IF($DM486=0,"",IF($L$11=0,"",IFERROR(IF(ISNUMBER(INDEX(PASTE_ALL,$DF486,$L$11)),INDEX(PASTE_ALL,$DF486,$L$11),TRIM(SUBSTITUTE(SUBSTITUTE(SUBSTITUTE(SUBSTITUTE(INDEX(PASTE_ALL,$DF486,$L$11)," "," "),CHAR(9)," "),CHAR(10)," "),CHAR(13)," "))),"")))</f>
        <v/>
      </c>
      <c r="DT486">
        <f>IF($DM486=0,"",IF($L$12=0,"",IFERROR(IF(ISNUMBER(INDEX(PASTE_ALL,$DF486,$L$12)),INDEX(PASTE_ALL,$DF486,$L$12),TRIM(SUBSTITUTE(SUBSTITUTE(SUBSTITUTE(SUBSTITUTE(INDEX(PASTE_ALL,$DF486,$L$12)," "," "),CHAR(9)," "),CHAR(10)," "),CHAR(13)," "))),"")))</f>
        <v/>
      </c>
      <c r="DU486">
        <f>IF($DM486=0,"",IF($L$13=0,"",IFERROR(IF(ISNUMBER(INDEX(PASTE_ALL,$DF486,$L$13)),INDEX(PASTE_ALL,$DF486,$L$13),TRIM(SUBSTITUTE(SUBSTITUTE(SUBSTITUTE(SUBSTITUTE(INDEX(PASTE_ALL,$DF486,$L$13)," "," "),CHAR(9)," "),CHAR(10)," "),CHAR(13)," "))),"")))</f>
        <v/>
      </c>
      <c r="DV486">
        <f>IF($DM486=0,"",IF($L$14=0,"",IFERROR(IF(ISNUMBER(INDEX(PASTE_ALL,$DF486,$L$14)),INDEX(PASTE_ALL,$DF486,$L$14),TRIM(SUBSTITUTE(SUBSTITUTE(SUBSTITUTE(SUBSTITUTE(INDEX(PASTE_ALL,$DF486,$L$14)," "," "),CHAR(9)," "),CHAR(10)," "),CHAR(13)," "))),"")))</f>
        <v/>
      </c>
      <c r="DW486">
        <f>IF($DM486=0,"",IF($L$15=0,"",IFERROR(IF(ISNUMBER(INDEX(PASTE_ALL,$DF486,$L$15)),INDEX(PASTE_ALL,$DF486,$L$15),IF(SUMPRODUCT(--ISNUMBER(FIND({"A","B","C","D","E","F","G","H","I","J","K","L","M","N","O","P","Q","R","S","T","U","V","W","X","Y","Z","0","1","2","3","4","5","6","7","8","9"},UPPER(TRIM(SUBSTITUTE(SUBSTITUTE(SUBSTITUTE(SUBSTITUTE(INDEX(PASTE_ALL,$DF486,$L$15)," "," "),CHAR(9)," "),CHAR(10)," "),CHAR(13)," "))))))&gt;0,TRIM(SUBSTITUTE(SUBSTITUTE(SUBSTITUTE(SUBSTITUTE(INDEX(PASTE_ALL,$DF486,$L$15)," "," "),CHAR(9)," "),CHAR(10)," "),CHAR(13)," ")),"")),"")))</f>
        <v/>
      </c>
      <c r="DX486">
        <f>IF($DM486=0,"",IF($L$16=0,"",IFERROR(IF(ISNUMBER(INDEX(PASTE_ALL,$DF486,$L$16)),INDEX(PASTE_ALL,$DF486,$L$16),SUBSTITUTE(SUBSTITUTE(TRIM(SUBSTITUTE(SUBSTITUTE(SUBSTITUTE(SUBSTITUTE(INDEX(PASTE_ALL,$DF486,$L$16)," "," "),CHAR(9)," "),CHAR(10)," "),CHAR(13)," ")),",",""),"%","")),"")))</f>
        <v/>
      </c>
      <c r="DY486">
        <f>IF($DM486=0,"",IFERROR(IF(ISNUMBER($DX486),$DX486,IF($DX486="","",IF(TRIM($DX486)="",0,IF(AND(AND(SUBSTITUTE(SUBSTITUTE(SUBSTITUTE(SUBSTITUTE(SUBSTITUTE(SUBSTITUTE(SUBSTITUTE(SUBSTITUTE(SUBSTITUTE(SUBSTITUTE(SUBSTITUTE(SUBSTITUTE(SUBSTITUTE(SUBSTITUTE(UPPER(TRIM($DX486)),"0",""),"1",""),"2",""),"3",""),"4",""),"5",""),"6",""),"7",""),"8",""),"9",""),".",""),"+",""),"-",""),"E","")="",LEN(SUBSTITUTE(SUBSTITUTE(MID(UPPER(TRIM($DX486)),1+OR(LEFT(UPPER(TRIM($DX486)),1)="+",LEFT(UPPER(TRIM($DX486)),1)="-"),999),"E+","E"),"E-","E"))=LEN(SUBSTITUTE(SUBSTITUTE(SUBSTITUTE(SUBSTITUTE(MID(UPPER(TRIM($DX486)),1+OR(LEFT(UPPER(TRIM($DX486)),1)="+",LEFT(UPPER(TRIM($DX486)),1)="-"),999),"E+","E"),"E-","E"),"+",""),"-","")),LEN(UPPER(TRIM($DX486)))-LEN(SUBSTITUTE(UPPER(TRIM($DX486)),"E",""))&lt;2,LEN(UPPER(TRIM($DX486)))-LEN(SUBSTITUTE(UPPER(TRIM($DX486)),".",""))&lt;2,IFERROR(FIND(".",UPPER(TRIM($DX486))),0)&lt;IFERROR(FIND("E",UPPER(TRIM($DX486))),999)),ISNUMBER(VALUE(TRIM($DX486)))),VALUE(TRIM($DX486)),"")))),""))</f>
        <v/>
      </c>
      <c r="DZ486">
        <f>IF($DM486=0,"",IF($L$17=0,"",IFERROR(IF(ISNUMBER(INDEX(PASTE_ALL,$DF486,$L$17)),INDEX(PASTE_ALL,$DF486,$L$17),SUBSTITUTE(SUBSTITUTE(TRIM(SUBSTITUTE(SUBSTITUTE(SUBSTITUTE(SUBSTITUTE(INDEX(PASTE_ALL,$DF486,$L$17)," "," "),CHAR(9)," "),CHAR(10)," "),CHAR(13)," ")),",",""),"%","")),"")))</f>
        <v/>
      </c>
      <c r="EA486">
        <f>IF($DM486=0,"",IFERROR(IF(ISNUMBER($DZ486),$DZ486,IF($DZ486="","",IF(TRIM($DZ486)="",0,IF(AND(AND(SUBSTITUTE(SUBSTITUTE(SUBSTITUTE(SUBSTITUTE(SUBSTITUTE(SUBSTITUTE(SUBSTITUTE(SUBSTITUTE(SUBSTITUTE(SUBSTITUTE(SUBSTITUTE(SUBSTITUTE(SUBSTITUTE(SUBSTITUTE(UPPER(TRIM($DZ486)),"0",""),"1",""),"2",""),"3",""),"4",""),"5",""),"6",""),"7",""),"8",""),"9",""),".",""),"+",""),"-",""),"E","")="",LEN(SUBSTITUTE(SUBSTITUTE(MID(UPPER(TRIM($DZ486)),1+OR(LEFT(UPPER(TRIM($DZ486)),1)="+",LEFT(UPPER(TRIM($DZ486)),1)="-"),999),"E+","E"),"E-","E"))=LEN(SUBSTITUTE(SUBSTITUTE(SUBSTITUTE(SUBSTITUTE(MID(UPPER(TRIM($DZ486)),1+OR(LEFT(UPPER(TRIM($DZ486)),1)="+",LEFT(UPPER(TRIM($DZ486)),1)="-"),999),"E+","E"),"E-","E"),"+",""),"-","")),LEN(UPPER(TRIM($DZ486)))-LEN(SUBSTITUTE(UPPER(TRIM($DZ486)),"E",""))&lt;2,LEN(UPPER(TRIM($DZ486)))-LEN(SUBSTITUTE(UPPER(TRIM($DZ486)),".",""))&lt;2,IFERROR(FIND(".",UPPER(TRIM($DZ486))),0)&lt;IFERROR(FIND("E",UPPER(TRIM($DZ486))),999)),ISNUMBER(VALUE(TRIM($DZ486)))),VALUE(TRIM($DZ486)),"")))),""))</f>
        <v/>
      </c>
      <c r="EB486">
        <f>IF($DM486=0,"",IF($L$18=0,"",IFERROR(IF(UPPER(TRIM(SUBSTITUTE(SUBSTITUTE(SUBSTITUTE(SUBSTITUTE(INDEX(PASTE_ALL,$DF486,$L$18)," "," "),CHAR(9)," "),CHAR(10)," "),CHAR(13)," ")))="READY","Ready",IF(UPPER(TRIM(SUBSTITUTE(SUBSTITUTE(SUBSTITUTE(SUBSTITUTE(INDEX(PASTE_ALL,$DF486,$L$18)," "," "),CHAR(9)," "),CHAR(10)," "),CHAR(13)," ")))="PM","PM",IF(OR(UPPER(TRIM(SUBSTITUTE(SUBSTITUTE(SUBSTITUTE(SUBSTITUTE(INDEX(PASTE_ALL,$DF486,$L$18)," "," "),CHAR(9)," "),CHAR(10)," "),CHAR(13)," ")))="OT",UPPER(TRIM(SUBSTITUTE(SUBSTITUTE(SUBSTITUTE(SUBSTITUTE(INDEX(PASTE_ALL,$DF486,$L$18)," "," "),CHAR(9)," "),CHAR(10)," "),CHAR(13)," ")))="OVERTIME",UPPER(TRIM(SUBSTITUTE(SUBSTITUTE(SUBSTITUTE(SUBSTITUTE(INDEX(PASTE_ALL,$DF486,$L$18)," "," "),CHAR(9)," "),CHAR(10)," "),CHAR(13)," ")))="TRIAL"),"OT",TRIM(SUBSTITUTE(SUBSTITUTE(SUBSTITUTE(SUBSTITUTE(INDEX(PASTE_ALL,$DF486,$L$18)," "," "),CHAR(9)," "),CHAR(10)," "),CHAR(13)," "))))),"")))</f>
        <v/>
      </c>
      <c r="EC486">
        <f>IF($DM486=0,"",IF($L$19=0,"",IFERROR(IF(ISNUMBER(INDEX(PASTE_ALL,$DF486,$L$19)),INDEX(PASTE_ALL,$DF486,$L$19),TRIM(SUBSTITUTE(SUBSTITUTE(SUBSTITUTE(SUBSTITUTE(INDEX(PASTE_ALL,$DF486,$L$19)," "," "),CHAR(9)," "),CHAR(10)," "),CHAR(13)," "))),"")))</f>
        <v/>
      </c>
      <c r="ED486">
        <f>IF($DM486=0,"",MATCH(1,INDEX(EXACT($DH$5:DH486,$DH486)*$DM$5:DM486,0),0))</f>
        <v/>
      </c>
      <c r="EE486">
        <f>IF($DM486=0,0,IF($ED486=$DE486,1,0))</f>
        <v/>
      </c>
      <c r="EF486">
        <f>EF485+$EE486</f>
        <v/>
      </c>
      <c r="EG486">
        <f>IF($DM486=0,"",INDEX($EF$5:$EF$1003,$ED486))</f>
        <v/>
      </c>
      <c r="EH486">
        <f>IF($DM486=0,"",IF($DO486&lt;&gt;"","",IFERROR(LOOKUP(2,1/(($EG$4:EG485=$EG486)*($DO$4:DO485&lt;&gt;"")),$DO$4:DO485),"")))</f>
        <v/>
      </c>
      <c r="EI486">
        <f>IF($DM486=0,"",IF($DO486&lt;&gt;"",$DO486,$EH486))</f>
        <v/>
      </c>
      <c r="EJ486">
        <f>IF($DM486=0,"",IF($EI486="",0,IF(OR(ISNUMBER($EI486),AND(AND(SUBSTITUTE(SUBSTITUTE(SUBSTITUTE(SUBSTITUTE(SUBSTITUTE(SUBSTITUTE(SUBSTITUTE(SUBSTITUTE(SUBSTITUTE(SUBSTITUTE(SUBSTITUTE(SUBSTITUTE(SUBSTITUTE(SUBSTITUTE(UPPER($EI486),"0",""),"1",""),"2",""),"3",""),"4",""),"5",""),"6",""),"7",""),"8",""),"9",""),".",""),"+",""),"-",""),"E","")="",LEN(SUBSTITUTE(SUBSTITUTE(MID(UPPER($EI486),1+OR(LEFT(UPPER($EI486),1)="+",LEFT(UPPER($EI486),1)="-"),999),"E+","E"),"E-","E"))=LEN(SUBSTITUTE(SUBSTITUTE(SUBSTITUTE(SUBSTITUTE(MID(UPPER($EI486),1+OR(LEFT(UPPER($EI486),1)="+",LEFT(UPPER($EI486),1)="-"),999),"E+","E"),"E-","E"),"+",""),"-","")),LEN(UPPER($EI486))-LEN(SUBSTITUTE(UPPER($EI486),"E",""))&lt;2,LEN(UPPER($EI486))-LEN(SUBSTITUTE(UPPER($EI486),".",""))&lt;2,IFERROR(FIND(".",UPPER($EI486)),0)&lt;IFERROR(FIND("E",UPPER($EI486)),999)),ISNUMBER(VALUE($EI486)))),1,2)))</f>
        <v/>
      </c>
      <c r="EK486">
        <f>IF($DM486=0,"",IF($EJ486=1,IF(ISNUMBER($EI486),$EI486,VALUE($EI486)),IF($EJ486=2,$DE486,0)))</f>
        <v/>
      </c>
      <c r="EL486">
        <f>IF($DM486=0,"",COUNTIF($EG$5:$EG$1003,"&lt;"&amp;$EG486)+SUMPRODUCT(($EG$5:$EG$1003=$EG486)*(($EJ$5:$EJ$1003&lt;$EJ486)+($EJ$5:$EJ$1003=$EJ486)*(($EK$5:$EK$1003&lt;$EK486)+($EK$5:$EK$1003=$EK486)*($DE$5:$DE$1003&lt;$DE486))))+1)</f>
        <v/>
      </c>
      <c r="EM486">
        <f>IF($DM486=0,"",$EL486+$EG486-1)</f>
        <v/>
      </c>
      <c r="EN486">
        <f>IF($DM486=0,0,IFERROR(MATCH(1,INDEX(--(TRIM(SUBSTITUTE(SUBSTITUTE(SUBSTITUTE(SUBSTITUTE(LINES_NAME&amp;""," "," "),CHAR(9)," "),CHAR(10)," "),CHAR(13)," "))=$DH486),0),0),0))</f>
        <v/>
      </c>
      <c r="EO486">
        <f>IF($EN486=0,0,IF(OR(UPPER(TRIM(INDEX(LINES_SCHEDULED,$EN486)&amp;""))="YES",UPPER(TRIM(INDEX(LINES_SCHEDULED,$EN486)&amp;""))="Y",UPPER(TRIM(INDEX(LINES_SCHEDULED,$EN486)&amp;""))="X"),1,0))</f>
        <v/>
      </c>
      <c r="EP486">
        <f>IF($DM486=0,"",IF(COUNTIFS($EG$5:$EG$1003,$EG486,$EB$5:$EB$1003,"Ready")&gt;0,"READY",IF(COUNTIFS($EG$5:$EG$1003,$EG486,$EB$5:$EB$1003,"PM")&gt;0,"PM",IF(COUNTIFS($EG$5:$EG$1003,$EG486,$EB$5:$EB$1003,"OT")&gt;0,"OT",""))))</f>
        <v/>
      </c>
      <c r="EQ486">
        <f>IF($EN486=0,"",UPPER(TRIM(INDEX(LINES_STATUS,$EN486)&amp;"")))</f>
        <v/>
      </c>
      <c r="ER486">
        <f>IF($DM486=0,"",IF(OR($EQ486="READY",$EQ486="PM",$EQ486="OT"),$EQ486,$EP486))</f>
        <v/>
      </c>
      <c r="ES486">
        <f>IF($DM486=0,"",IF(AND($DV486&lt;&gt;"",UPPER($DV486)&lt;&gt;"N"),"allergen",IF(ISNUMBER(SEARCH("oil",$DQ486)),"oil",IF(OR(EXACT($DS486,"A662"),EXACT($DS486,"A624")),"bulk",""))))</f>
        <v/>
      </c>
      <c r="ET486">
        <f>IF($DM486=0,"",IF(OR($EA486="",$EA486=0),"",$EA486/100))</f>
        <v/>
      </c>
      <c r="EU486">
        <f>IF(OR($ET486="",$DY486=""),"",INT($DY486*(1-$ET486)+0.5))</f>
        <v/>
      </c>
      <c r="EW486" t="n">
        <v>482</v>
      </c>
      <c r="EX486">
        <f>IFERROR(MATCH($EW486,$EM$5:$EM$1003,0),0)</f>
        <v/>
      </c>
      <c r="EY486">
        <f>IF($EW486&gt;$B$12,"",IF($EX486&gt;0,"row","spacer"))</f>
        <v/>
      </c>
      <c r="EZ486">
        <f>IF(AND($EY486="row",$EY485&lt;&gt;"row"),1,0)</f>
        <v/>
      </c>
      <c r="FA486">
        <f>IF(AND($EY486="row",$EY487&lt;&gt;"row"),1,0)</f>
        <v/>
      </c>
      <c r="FB486">
        <f>IF($EZ486=1,IFERROR(IF(ISNUMBER(INDEX(PASTE_ALL,INDEX($DF$5:$DF$1003,$EX486),$B$37)),INDEX(PASTE_ALL,INDEX($DF$5:$DF$1003,$EX486),$B$37),INDEX($DH$5:$DH$1003,$EX486)),INDEX($DH$5:$DH$1003,$EX486)),"")</f>
        <v/>
      </c>
      <c r="FC486">
        <f>IF($EY486="row",INDEX($ER$5:$ER$1003,$EX486),"")</f>
        <v/>
      </c>
      <c r="FD486">
        <f>IF($EY486="row",INDEX($DN$5:$DN$1003,$EX486),"")</f>
        <v/>
      </c>
      <c r="FE486">
        <f>IF($EY486="row",INDEX($DO$5:$DO$1003,$EX486),"")</f>
        <v/>
      </c>
      <c r="FF486">
        <f>IF($EY486="row",INDEX($DP$5:$DP$1003,$EX486),"")</f>
        <v/>
      </c>
      <c r="FG486">
        <f>IF($EY486="row",INDEX($DQ$5:$DQ$1003,$EX486),"")</f>
        <v/>
      </c>
      <c r="FH486">
        <f>IF($EY486="row",INDEX($DR$5:$DR$1003,$EX486),"")</f>
        <v/>
      </c>
      <c r="FI486">
        <f>IF($EY486="row",INDEX($DS$5:$DS$1003,$EX486),"")</f>
        <v/>
      </c>
      <c r="FJ486">
        <f>IF($EY486="row",INDEX($DT$5:$DT$1003,$EX486),"")</f>
        <v/>
      </c>
      <c r="FK486">
        <f>IF($EY486="row",INDEX($DU$5:$DU$1003,$EX486),"")</f>
        <v/>
      </c>
      <c r="FL486">
        <f>IF($EY486="row",INDEX($DV$5:$DV$1003,$EX486),"")</f>
        <v/>
      </c>
      <c r="FM486">
        <f>IF($EY486="row",INDEX($DW$5:$DW$1003,$EX486),"")</f>
        <v/>
      </c>
      <c r="FN486">
        <f>IF($EY486="row",INDEX($DY$5:$DY$1003,$EX486),"")</f>
        <v/>
      </c>
      <c r="FO486">
        <f>IF($EY486="row",INDEX($EA$5:$EA$1003,$EX486),"")</f>
        <v/>
      </c>
      <c r="FP486">
        <f>IF($EY486="row",INDEX($EC$5:$EC$1003,$EX486),"")</f>
        <v/>
      </c>
      <c r="FQ486">
        <f>IF($EY486="row",INDEX($ET$5:$ET$1003,$EX486),"")</f>
        <v/>
      </c>
      <c r="FR486">
        <f>IF($EY486="row",INDEX($EU$5:$EU$1003,$EX486),"")</f>
        <v/>
      </c>
      <c r="FS486">
        <f>IF(AND($EY486="row",$EY485="row"),IF(OR(INDEX($DT$5:$DT$1003,$EX485)="",INDEX($DT$5:$DT$1003,$EX486)=""),"",IF(NOT(EXACT(INDEX($DT$5:$DT$1003,$EX485),INDEX($DT$5:$DT$1003,$EX486))),"S4",IF(NOT(EXACT(INDEX($DS$5:$DS$1003,$EX485),INDEX($DS$5:$DS$1003,$EX486))),"S3",IF(NOT(EXACT(INDEX($DR$5:$DR$1003,$EX485),INDEX($DR$5:$DR$1003,$EX486))),"S1 Count Change","S1")))),"")</f>
        <v/>
      </c>
      <c r="FT486">
        <f>IF($EY486="row",INDEX($ES$5:$ES$1003,$EX486),"")</f>
        <v/>
      </c>
      <c r="FU486">
        <f>IF($EY486="row",INDEX($EO$5:$EO$1003,$EX486),0)</f>
        <v/>
      </c>
      <c r="FV486">
        <f>IF($FS486="S1 Count Change",1,0)</f>
        <v/>
      </c>
    </row>
    <row r="487">
      <c r="DA487" t="n">
        <v>483</v>
      </c>
      <c r="DB487">
        <f>IF($B$37=0,"",IFERROR(TRIM(SUBSTITUTE(SUBSTITUTE(SUBSTITUTE(SUBSTITUTE(INDEX(PASTE_ALL,483,$B$37)," "," "),CHAR(9)," "),CHAR(10)," "),CHAR(13)," ")),""))</f>
        <v/>
      </c>
      <c r="DC487">
        <f>IF(AND(483&gt;HEADER_ROW,UPPER(DB487)="LEGEND"),1,0)</f>
        <v/>
      </c>
      <c r="DE487" t="n">
        <v>483</v>
      </c>
      <c r="DF487">
        <f>HEADER_ROW+$DE487</f>
        <v/>
      </c>
      <c r="DG487">
        <f>IF(AND($DF487&lt;=1000,$DF487&lt;$B$8),1,0)</f>
        <v/>
      </c>
      <c r="DH487">
        <f>IF($DG487=1,IFERROR(INDEX($DB$5:$DB$1004,$DF487),""),"")</f>
        <v/>
      </c>
      <c r="DI487">
        <f>IF(AND($DG487=1,$DH487&lt;&gt;""),IFERROR(SUBSTITUTE(SUBSTITUTE(TRIM(SUBSTITUTE(SUBSTITUTE(SUBSTITUTE(SUBSTITUTE(IFERROR(INDEX(PASTE_ALL,$DF487,1)&amp;"","")&amp;"␟"&amp;IFERROR(INDEX(PASTE_ALL,$DF487,2)&amp;"","")&amp;"␟"&amp;IFERROR(INDEX(PASTE_ALL,$DF487,3)&amp;"","")&amp;"␟"&amp;IFERROR(INDEX(PASTE_ALL,$DF487,4)&amp;"","")&amp;"␟"&amp;IFERROR(INDEX(PASTE_ALL,$DF487,5)&amp;"","")&amp;"␟"&amp;IFERROR(INDEX(PASTE_ALL,$DF487,6)&amp;"","")&amp;"␟"&amp;IFERROR(INDEX(PASTE_ALL,$DF487,7)&amp;"","")&amp;"␟"&amp;IFERROR(INDEX(PASTE_ALL,$DF487,8)&amp;"","")&amp;"␟"&amp;IFERROR(INDEX(PASTE_ALL,$DF487,9)&amp;"","")&amp;"␟"&amp;IFERROR(INDEX(PASTE_ALL,$DF487,10)&amp;"","")&amp;"␟"&amp;IFERROR(INDEX(PASTE_ALL,$DF487,11)&amp;"","")&amp;"␟"&amp;IFERROR(INDEX(PASTE_ALL,$DF487,12)&amp;"","")&amp;"␟"&amp;IFERROR(INDEX(PASTE_ALL,$DF487,13)&amp;"","")&amp;"␟"&amp;IFERROR(INDEX(PASTE_ALL,$DF487,14)&amp;"","")&amp;"␟"&amp;IFERROR(INDEX(PASTE_ALL,$DF487,15)&amp;"","")&amp;"␟"&amp;IFERROR(INDEX(PASTE_ALL,$DF487,16)&amp;"","")&amp;"␟"&amp;IFERROR(INDEX(PASTE_ALL,$DF487,17)&amp;"","")&amp;"␟"&amp;IFERROR(INDEX(PASTE_ALL,$DF487,18)&amp;"","")&amp;"␟"&amp;IFERROR(INDEX(PASTE_ALL,$DF487,19)&amp;"","")&amp;"␟"&amp;IFERROR(INDEX(PASTE_ALL,$DF487,20)&amp;"","")&amp;"␟"&amp;IFERROR(INDEX(PASTE_ALL,$DF487,21)&amp;"","")&amp;"␟"&amp;IFERROR(INDEX(PASTE_ALL,$DF487,22)&amp;"","")&amp;"␟"&amp;IFERROR(INDEX(PASTE_ALL,$DF487,23)&amp;"","")&amp;"␟"&amp;IFERROR(INDEX(PASTE_ALL,$DF487,24)&amp;"","")&amp;"␟"&amp;IFERROR(INDEX(PASTE_ALL,$DF487,25)&amp;"","")&amp;"␟"&amp;IFERROR(INDEX(PASTE_ALL,$DF487,26)&amp;"","")&amp;"␟"&amp;IFERROR(INDEX(PASTE_ALL,$DF487,27)&amp;"","")&amp;"␟"&amp;IFERROR(INDEX(PASTE_ALL,$DF487,28)&amp;"","")&amp;"␟"&amp;IFERROR(INDEX(PASTE_ALL,$DF487,29)&amp;"","")&amp;"␟"&amp;IFERROR(INDEX(PASTE_ALL,$DF487,30)&amp;"","")&amp;"␟"&amp;IFERROR(INDEX(PASTE_ALL,$DF487,31)&amp;"","")&amp;"␟"&amp;IFERROR(INDEX(PASTE_ALL,$DF487,32)&amp;"","")&amp;"␟"&amp;IFERROR(INDEX(PASTE_ALL,$DF487,33)&amp;"","")&amp;"␟"&amp;IFERROR(INDEX(PASTE_ALL,$DF487,34)&amp;"","")&amp;"␟"&amp;IFERROR(INDEX(PASTE_ALL,$DF487,35)&amp;"","")&amp;"␟"&amp;IFERROR(INDEX(PASTE_ALL,$DF487,36)&amp;"","")&amp;"␟"&amp;IFERROR(INDEX(PASTE_ALL,$DF487,37)&amp;"","")&amp;"␟"&amp;IFERROR(INDEX(PASTE_ALL,$DF487,38)&amp;"","")&amp;"␟"&amp;IFERROR(INDEX(PASTE_ALL,$DF487,39)&amp;"","")&amp;"␟"&amp;IFERROR(INDEX(PASTE_ALL,$DF487,40)&amp;"","")&amp;"␟"&amp;IFERROR(INDEX(PASTE_ALL,$DF487,41)&amp;"","")&amp;"␟"&amp;IFERROR(INDEX(PASTE_ALL,$DF487,42)&amp;"","")&amp;"␟"&amp;IFERROR(INDEX(PASTE_ALL,$DF487,43)&amp;"","")&amp;"␟"&amp;IFERROR(INDEX(PASTE_ALL,$DF487,44)&amp;"","")&amp;"␟"&amp;IFERROR(INDEX(PASTE_ALL,$DF487,45)&amp;"","")&amp;"␟"&amp;IFERROR(INDEX(PASTE_ALL,$DF487,46)&amp;"","")&amp;"␟"&amp;IFERROR(INDEX(PASTE_ALL,$DF487,47)&amp;"","")&amp;"␟"&amp;IFERROR(INDEX(PASTE_ALL,$DF487,48)&amp;"","")&amp;"␟"&amp;IFERROR(INDEX(PASTE_ALL,$DF487,49)&amp;"","")&amp;"␟"&amp;IFERROR(INDEX(PASTE_ALL,$DF487,50)&amp;"","")&amp;"␟"&amp;IFERROR(INDEX(PASTE_ALL,$DF487,51)&amp;"","")&amp;"␟"&amp;IFERROR(INDEX(PASTE_ALL,$DF487,52)&amp;"","")&amp;"␟"&amp;IFERROR(INDEX(PASTE_ALL,$DF487,53)&amp;"","")&amp;"␟"&amp;IFERROR(INDEX(PASTE_ALL,$DF487,54)&amp;"","")&amp;"␟"&amp;IFERROR(INDEX(PASTE_ALL,$DF487,55)&amp;"","")&amp;"␟"&amp;IFERROR(INDEX(PASTE_ALL,$DF487,56)&amp;"","")&amp;"␟"&amp;IFERROR(INDEX(PASTE_ALL,$DF487,57)&amp;"","")&amp;"␟"&amp;IFERROR(INDEX(PASTE_ALL,$DF487,58)&amp;"","")&amp;"␟"&amp;IFERROR(INDEX(PASTE_ALL,$DF487,59)&amp;"","")&amp;"␟"&amp;IFERROR(INDEX(PASTE_ALL,$DF487,60)&amp;"","")," "," "),CHAR(9)," "),CHAR(10)," "),CHAR(13)," "))," ␟","␟"),"␟ ","␟"),"#"&amp;$DE487),"")</f>
        <v/>
      </c>
      <c r="DJ487">
        <f>IF($DI487="",0,IF(SUMPRODUCT(--EXACT($DI$4:DI486,$DI487))&gt;0,1,0))</f>
        <v/>
      </c>
      <c r="DK487">
        <f>IF(AND($DI487&lt;&gt;"",$DJ487=0),1,0)</f>
        <v/>
      </c>
      <c r="DL487">
        <f>DL486+$DK487</f>
        <v/>
      </c>
      <c r="DM487">
        <f>IF(AND($DK487=1,$DL487&lt;=600),1,0)</f>
        <v/>
      </c>
      <c r="DN487">
        <f>IF($DM487=0,"",IF($L$6=0,"",IFERROR(IF(ISNUMBER(INDEX(PASTE_ALL,$DF487,$L$6)),INDEX(PASTE_ALL,$DF487,$L$6),TRIM(SUBSTITUTE(SUBSTITUTE(SUBSTITUTE(SUBSTITUTE(INDEX(PASTE_ALL,$DF487,$L$6)," "," "),CHAR(9)," "),CHAR(10)," "),CHAR(13)," "))),"")))</f>
        <v/>
      </c>
      <c r="DO487">
        <f>IF($DM487=0,"",IF($L$7=0,"",IFERROR(IF(ISNUMBER(INDEX(PASTE_ALL,$DF487,$L$7)),INDEX(PASTE_ALL,$DF487,$L$7),TRIM(SUBSTITUTE(SUBSTITUTE(SUBSTITUTE(SUBSTITUTE(INDEX(PASTE_ALL,$DF487,$L$7)," "," "),CHAR(9)," "),CHAR(10)," "),CHAR(13)," "))),"")))</f>
        <v/>
      </c>
      <c r="DP487">
        <f>IF($DM487=0,"",IF($L$8=0,"",IFERROR(IF(ISNUMBER(INDEX(PASTE_ALL,$DF487,$L$8)),INDEX(PASTE_ALL,$DF487,$L$8),TRIM(SUBSTITUTE(SUBSTITUTE(SUBSTITUTE(SUBSTITUTE(INDEX(PASTE_ALL,$DF487,$L$8)," "," "),CHAR(9)," "),CHAR(10)," "),CHAR(13)," "))),"")))</f>
        <v/>
      </c>
      <c r="DQ487">
        <f>IF($DM487=0,"",IF($L$9=0,"",IFERROR(IF(ISNUMBER(INDEX(PASTE_ALL,$DF487,$L$9)),INDEX(PASTE_ALL,$DF487,$L$9),TRIM(SUBSTITUTE(SUBSTITUTE(SUBSTITUTE(SUBSTITUTE(INDEX(PASTE_ALL,$DF487,$L$9)," "," "),CHAR(9)," "),CHAR(10)," "),CHAR(13)," "))),"")))</f>
        <v/>
      </c>
      <c r="DR487">
        <f>IF($DM487=0,"",IF($L$10=0,"",IFERROR(IF(ISNUMBER(INDEX(PASTE_ALL,$DF487,$L$10)),INDEX(PASTE_ALL,$DF487,$L$10),TRIM(SUBSTITUTE(SUBSTITUTE(SUBSTITUTE(SUBSTITUTE(INDEX(PASTE_ALL,$DF487,$L$10)," "," "),CHAR(9)," "),CHAR(10)," "),CHAR(13)," "))),"")))</f>
        <v/>
      </c>
      <c r="DS487">
        <f>IF($DM487=0,"",IF($L$11=0,"",IFERROR(IF(ISNUMBER(INDEX(PASTE_ALL,$DF487,$L$11)),INDEX(PASTE_ALL,$DF487,$L$11),TRIM(SUBSTITUTE(SUBSTITUTE(SUBSTITUTE(SUBSTITUTE(INDEX(PASTE_ALL,$DF487,$L$11)," "," "),CHAR(9)," "),CHAR(10)," "),CHAR(13)," "))),"")))</f>
        <v/>
      </c>
      <c r="DT487">
        <f>IF($DM487=0,"",IF($L$12=0,"",IFERROR(IF(ISNUMBER(INDEX(PASTE_ALL,$DF487,$L$12)),INDEX(PASTE_ALL,$DF487,$L$12),TRIM(SUBSTITUTE(SUBSTITUTE(SUBSTITUTE(SUBSTITUTE(INDEX(PASTE_ALL,$DF487,$L$12)," "," "),CHAR(9)," "),CHAR(10)," "),CHAR(13)," "))),"")))</f>
        <v/>
      </c>
      <c r="DU487">
        <f>IF($DM487=0,"",IF($L$13=0,"",IFERROR(IF(ISNUMBER(INDEX(PASTE_ALL,$DF487,$L$13)),INDEX(PASTE_ALL,$DF487,$L$13),TRIM(SUBSTITUTE(SUBSTITUTE(SUBSTITUTE(SUBSTITUTE(INDEX(PASTE_ALL,$DF487,$L$13)," "," "),CHAR(9)," "),CHAR(10)," "),CHAR(13)," "))),"")))</f>
        <v/>
      </c>
      <c r="DV487">
        <f>IF($DM487=0,"",IF($L$14=0,"",IFERROR(IF(ISNUMBER(INDEX(PASTE_ALL,$DF487,$L$14)),INDEX(PASTE_ALL,$DF487,$L$14),TRIM(SUBSTITUTE(SUBSTITUTE(SUBSTITUTE(SUBSTITUTE(INDEX(PASTE_ALL,$DF487,$L$14)," "," "),CHAR(9)," "),CHAR(10)," "),CHAR(13)," "))),"")))</f>
        <v/>
      </c>
      <c r="DW487">
        <f>IF($DM487=0,"",IF($L$15=0,"",IFERROR(IF(ISNUMBER(INDEX(PASTE_ALL,$DF487,$L$15)),INDEX(PASTE_ALL,$DF487,$L$15),IF(SUMPRODUCT(--ISNUMBER(FIND({"A","B","C","D","E","F","G","H","I","J","K","L","M","N","O","P","Q","R","S","T","U","V","W","X","Y","Z","0","1","2","3","4","5","6","7","8","9"},UPPER(TRIM(SUBSTITUTE(SUBSTITUTE(SUBSTITUTE(SUBSTITUTE(INDEX(PASTE_ALL,$DF487,$L$15)," "," "),CHAR(9)," "),CHAR(10)," "),CHAR(13)," "))))))&gt;0,TRIM(SUBSTITUTE(SUBSTITUTE(SUBSTITUTE(SUBSTITUTE(INDEX(PASTE_ALL,$DF487,$L$15)," "," "),CHAR(9)," "),CHAR(10)," "),CHAR(13)," ")),"")),"")))</f>
        <v/>
      </c>
      <c r="DX487">
        <f>IF($DM487=0,"",IF($L$16=0,"",IFERROR(IF(ISNUMBER(INDEX(PASTE_ALL,$DF487,$L$16)),INDEX(PASTE_ALL,$DF487,$L$16),SUBSTITUTE(SUBSTITUTE(TRIM(SUBSTITUTE(SUBSTITUTE(SUBSTITUTE(SUBSTITUTE(INDEX(PASTE_ALL,$DF487,$L$16)," "," "),CHAR(9)," "),CHAR(10)," "),CHAR(13)," ")),",",""),"%","")),"")))</f>
        <v/>
      </c>
      <c r="DY487">
        <f>IF($DM487=0,"",IFERROR(IF(ISNUMBER($DX487),$DX487,IF($DX487="","",IF(TRIM($DX487)="",0,IF(AND(AND(SUBSTITUTE(SUBSTITUTE(SUBSTITUTE(SUBSTITUTE(SUBSTITUTE(SUBSTITUTE(SUBSTITUTE(SUBSTITUTE(SUBSTITUTE(SUBSTITUTE(SUBSTITUTE(SUBSTITUTE(SUBSTITUTE(SUBSTITUTE(UPPER(TRIM($DX487)),"0",""),"1",""),"2",""),"3",""),"4",""),"5",""),"6",""),"7",""),"8",""),"9",""),".",""),"+",""),"-",""),"E","")="",LEN(SUBSTITUTE(SUBSTITUTE(MID(UPPER(TRIM($DX487)),1+OR(LEFT(UPPER(TRIM($DX487)),1)="+",LEFT(UPPER(TRIM($DX487)),1)="-"),999),"E+","E"),"E-","E"))=LEN(SUBSTITUTE(SUBSTITUTE(SUBSTITUTE(SUBSTITUTE(MID(UPPER(TRIM($DX487)),1+OR(LEFT(UPPER(TRIM($DX487)),1)="+",LEFT(UPPER(TRIM($DX487)),1)="-"),999),"E+","E"),"E-","E"),"+",""),"-","")),LEN(UPPER(TRIM($DX487)))-LEN(SUBSTITUTE(UPPER(TRIM($DX487)),"E",""))&lt;2,LEN(UPPER(TRIM($DX487)))-LEN(SUBSTITUTE(UPPER(TRIM($DX487)),".",""))&lt;2,IFERROR(FIND(".",UPPER(TRIM($DX487))),0)&lt;IFERROR(FIND("E",UPPER(TRIM($DX487))),999)),ISNUMBER(VALUE(TRIM($DX487)))),VALUE(TRIM($DX487)),"")))),""))</f>
        <v/>
      </c>
      <c r="DZ487">
        <f>IF($DM487=0,"",IF($L$17=0,"",IFERROR(IF(ISNUMBER(INDEX(PASTE_ALL,$DF487,$L$17)),INDEX(PASTE_ALL,$DF487,$L$17),SUBSTITUTE(SUBSTITUTE(TRIM(SUBSTITUTE(SUBSTITUTE(SUBSTITUTE(SUBSTITUTE(INDEX(PASTE_ALL,$DF487,$L$17)," "," "),CHAR(9)," "),CHAR(10)," "),CHAR(13)," ")),",",""),"%","")),"")))</f>
        <v/>
      </c>
      <c r="EA487">
        <f>IF($DM487=0,"",IFERROR(IF(ISNUMBER($DZ487),$DZ487,IF($DZ487="","",IF(TRIM($DZ487)="",0,IF(AND(AND(SUBSTITUTE(SUBSTITUTE(SUBSTITUTE(SUBSTITUTE(SUBSTITUTE(SUBSTITUTE(SUBSTITUTE(SUBSTITUTE(SUBSTITUTE(SUBSTITUTE(SUBSTITUTE(SUBSTITUTE(SUBSTITUTE(SUBSTITUTE(UPPER(TRIM($DZ487)),"0",""),"1",""),"2",""),"3",""),"4",""),"5",""),"6",""),"7",""),"8",""),"9",""),".",""),"+",""),"-",""),"E","")="",LEN(SUBSTITUTE(SUBSTITUTE(MID(UPPER(TRIM($DZ487)),1+OR(LEFT(UPPER(TRIM($DZ487)),1)="+",LEFT(UPPER(TRIM($DZ487)),1)="-"),999),"E+","E"),"E-","E"))=LEN(SUBSTITUTE(SUBSTITUTE(SUBSTITUTE(SUBSTITUTE(MID(UPPER(TRIM($DZ487)),1+OR(LEFT(UPPER(TRIM($DZ487)),1)="+",LEFT(UPPER(TRIM($DZ487)),1)="-"),999),"E+","E"),"E-","E"),"+",""),"-","")),LEN(UPPER(TRIM($DZ487)))-LEN(SUBSTITUTE(UPPER(TRIM($DZ487)),"E",""))&lt;2,LEN(UPPER(TRIM($DZ487)))-LEN(SUBSTITUTE(UPPER(TRIM($DZ487)),".",""))&lt;2,IFERROR(FIND(".",UPPER(TRIM($DZ487))),0)&lt;IFERROR(FIND("E",UPPER(TRIM($DZ487))),999)),ISNUMBER(VALUE(TRIM($DZ487)))),VALUE(TRIM($DZ487)),"")))),""))</f>
        <v/>
      </c>
      <c r="EB487">
        <f>IF($DM487=0,"",IF($L$18=0,"",IFERROR(IF(UPPER(TRIM(SUBSTITUTE(SUBSTITUTE(SUBSTITUTE(SUBSTITUTE(INDEX(PASTE_ALL,$DF487,$L$18)," "," "),CHAR(9)," "),CHAR(10)," "),CHAR(13)," ")))="READY","Ready",IF(UPPER(TRIM(SUBSTITUTE(SUBSTITUTE(SUBSTITUTE(SUBSTITUTE(INDEX(PASTE_ALL,$DF487,$L$18)," "," "),CHAR(9)," "),CHAR(10)," "),CHAR(13)," ")))="PM","PM",IF(OR(UPPER(TRIM(SUBSTITUTE(SUBSTITUTE(SUBSTITUTE(SUBSTITUTE(INDEX(PASTE_ALL,$DF487,$L$18)," "," "),CHAR(9)," "),CHAR(10)," "),CHAR(13)," ")))="OT",UPPER(TRIM(SUBSTITUTE(SUBSTITUTE(SUBSTITUTE(SUBSTITUTE(INDEX(PASTE_ALL,$DF487,$L$18)," "," "),CHAR(9)," "),CHAR(10)," "),CHAR(13)," ")))="OVERTIME",UPPER(TRIM(SUBSTITUTE(SUBSTITUTE(SUBSTITUTE(SUBSTITUTE(INDEX(PASTE_ALL,$DF487,$L$18)," "," "),CHAR(9)," "),CHAR(10)," "),CHAR(13)," ")))="TRIAL"),"OT",TRIM(SUBSTITUTE(SUBSTITUTE(SUBSTITUTE(SUBSTITUTE(INDEX(PASTE_ALL,$DF487,$L$18)," "," "),CHAR(9)," "),CHAR(10)," "),CHAR(13)," "))))),"")))</f>
        <v/>
      </c>
      <c r="EC487">
        <f>IF($DM487=0,"",IF($L$19=0,"",IFERROR(IF(ISNUMBER(INDEX(PASTE_ALL,$DF487,$L$19)),INDEX(PASTE_ALL,$DF487,$L$19),TRIM(SUBSTITUTE(SUBSTITUTE(SUBSTITUTE(SUBSTITUTE(INDEX(PASTE_ALL,$DF487,$L$19)," "," "),CHAR(9)," "),CHAR(10)," "),CHAR(13)," "))),"")))</f>
        <v/>
      </c>
      <c r="ED487">
        <f>IF($DM487=0,"",MATCH(1,INDEX(EXACT($DH$5:DH487,$DH487)*$DM$5:DM487,0),0))</f>
        <v/>
      </c>
      <c r="EE487">
        <f>IF($DM487=0,0,IF($ED487=$DE487,1,0))</f>
        <v/>
      </c>
      <c r="EF487">
        <f>EF486+$EE487</f>
        <v/>
      </c>
      <c r="EG487">
        <f>IF($DM487=0,"",INDEX($EF$5:$EF$1003,$ED487))</f>
        <v/>
      </c>
      <c r="EH487">
        <f>IF($DM487=0,"",IF($DO487&lt;&gt;"","",IFERROR(LOOKUP(2,1/(($EG$4:EG486=$EG487)*($DO$4:DO486&lt;&gt;"")),$DO$4:DO486),"")))</f>
        <v/>
      </c>
      <c r="EI487">
        <f>IF($DM487=0,"",IF($DO487&lt;&gt;"",$DO487,$EH487))</f>
        <v/>
      </c>
      <c r="EJ487">
        <f>IF($DM487=0,"",IF($EI487="",0,IF(OR(ISNUMBER($EI487),AND(AND(SUBSTITUTE(SUBSTITUTE(SUBSTITUTE(SUBSTITUTE(SUBSTITUTE(SUBSTITUTE(SUBSTITUTE(SUBSTITUTE(SUBSTITUTE(SUBSTITUTE(SUBSTITUTE(SUBSTITUTE(SUBSTITUTE(SUBSTITUTE(UPPER($EI487),"0",""),"1",""),"2",""),"3",""),"4",""),"5",""),"6",""),"7",""),"8",""),"9",""),".",""),"+",""),"-",""),"E","")="",LEN(SUBSTITUTE(SUBSTITUTE(MID(UPPER($EI487),1+OR(LEFT(UPPER($EI487),1)="+",LEFT(UPPER($EI487),1)="-"),999),"E+","E"),"E-","E"))=LEN(SUBSTITUTE(SUBSTITUTE(SUBSTITUTE(SUBSTITUTE(MID(UPPER($EI487),1+OR(LEFT(UPPER($EI487),1)="+",LEFT(UPPER($EI487),1)="-"),999),"E+","E"),"E-","E"),"+",""),"-","")),LEN(UPPER($EI487))-LEN(SUBSTITUTE(UPPER($EI487),"E",""))&lt;2,LEN(UPPER($EI487))-LEN(SUBSTITUTE(UPPER($EI487),".",""))&lt;2,IFERROR(FIND(".",UPPER($EI487)),0)&lt;IFERROR(FIND("E",UPPER($EI487)),999)),ISNUMBER(VALUE($EI487)))),1,2)))</f>
        <v/>
      </c>
      <c r="EK487">
        <f>IF($DM487=0,"",IF($EJ487=1,IF(ISNUMBER($EI487),$EI487,VALUE($EI487)),IF($EJ487=2,$DE487,0)))</f>
        <v/>
      </c>
      <c r="EL487">
        <f>IF($DM487=0,"",COUNTIF($EG$5:$EG$1003,"&lt;"&amp;$EG487)+SUMPRODUCT(($EG$5:$EG$1003=$EG487)*(($EJ$5:$EJ$1003&lt;$EJ487)+($EJ$5:$EJ$1003=$EJ487)*(($EK$5:$EK$1003&lt;$EK487)+($EK$5:$EK$1003=$EK487)*($DE$5:$DE$1003&lt;$DE487))))+1)</f>
        <v/>
      </c>
      <c r="EM487">
        <f>IF($DM487=0,"",$EL487+$EG487-1)</f>
        <v/>
      </c>
      <c r="EN487">
        <f>IF($DM487=0,0,IFERROR(MATCH(1,INDEX(--(TRIM(SUBSTITUTE(SUBSTITUTE(SUBSTITUTE(SUBSTITUTE(LINES_NAME&amp;""," "," "),CHAR(9)," "),CHAR(10)," "),CHAR(13)," "))=$DH487),0),0),0))</f>
        <v/>
      </c>
      <c r="EO487">
        <f>IF($EN487=0,0,IF(OR(UPPER(TRIM(INDEX(LINES_SCHEDULED,$EN487)&amp;""))="YES",UPPER(TRIM(INDEX(LINES_SCHEDULED,$EN487)&amp;""))="Y",UPPER(TRIM(INDEX(LINES_SCHEDULED,$EN487)&amp;""))="X"),1,0))</f>
        <v/>
      </c>
      <c r="EP487">
        <f>IF($DM487=0,"",IF(COUNTIFS($EG$5:$EG$1003,$EG487,$EB$5:$EB$1003,"Ready")&gt;0,"READY",IF(COUNTIFS($EG$5:$EG$1003,$EG487,$EB$5:$EB$1003,"PM")&gt;0,"PM",IF(COUNTIFS($EG$5:$EG$1003,$EG487,$EB$5:$EB$1003,"OT")&gt;0,"OT",""))))</f>
        <v/>
      </c>
      <c r="EQ487">
        <f>IF($EN487=0,"",UPPER(TRIM(INDEX(LINES_STATUS,$EN487)&amp;"")))</f>
        <v/>
      </c>
      <c r="ER487">
        <f>IF($DM487=0,"",IF(OR($EQ487="READY",$EQ487="PM",$EQ487="OT"),$EQ487,$EP487))</f>
        <v/>
      </c>
      <c r="ES487">
        <f>IF($DM487=0,"",IF(AND($DV487&lt;&gt;"",UPPER($DV487)&lt;&gt;"N"),"allergen",IF(ISNUMBER(SEARCH("oil",$DQ487)),"oil",IF(OR(EXACT($DS487,"A662"),EXACT($DS487,"A624")),"bulk",""))))</f>
        <v/>
      </c>
      <c r="ET487">
        <f>IF($DM487=0,"",IF(OR($EA487="",$EA487=0),"",$EA487/100))</f>
        <v/>
      </c>
      <c r="EU487">
        <f>IF(OR($ET487="",$DY487=""),"",INT($DY487*(1-$ET487)+0.5))</f>
        <v/>
      </c>
      <c r="EW487" t="n">
        <v>483</v>
      </c>
      <c r="EX487">
        <f>IFERROR(MATCH($EW487,$EM$5:$EM$1003,0),0)</f>
        <v/>
      </c>
      <c r="EY487">
        <f>IF($EW487&gt;$B$12,"",IF($EX487&gt;0,"row","spacer"))</f>
        <v/>
      </c>
      <c r="EZ487">
        <f>IF(AND($EY487="row",$EY486&lt;&gt;"row"),1,0)</f>
        <v/>
      </c>
      <c r="FA487">
        <f>IF(AND($EY487="row",$EY488&lt;&gt;"row"),1,0)</f>
        <v/>
      </c>
      <c r="FB487">
        <f>IF($EZ487=1,IFERROR(IF(ISNUMBER(INDEX(PASTE_ALL,INDEX($DF$5:$DF$1003,$EX487),$B$37)),INDEX(PASTE_ALL,INDEX($DF$5:$DF$1003,$EX487),$B$37),INDEX($DH$5:$DH$1003,$EX487)),INDEX($DH$5:$DH$1003,$EX487)),"")</f>
        <v/>
      </c>
      <c r="FC487">
        <f>IF($EY487="row",INDEX($ER$5:$ER$1003,$EX487),"")</f>
        <v/>
      </c>
      <c r="FD487">
        <f>IF($EY487="row",INDEX($DN$5:$DN$1003,$EX487),"")</f>
        <v/>
      </c>
      <c r="FE487">
        <f>IF($EY487="row",INDEX($DO$5:$DO$1003,$EX487),"")</f>
        <v/>
      </c>
      <c r="FF487">
        <f>IF($EY487="row",INDEX($DP$5:$DP$1003,$EX487),"")</f>
        <v/>
      </c>
      <c r="FG487">
        <f>IF($EY487="row",INDEX($DQ$5:$DQ$1003,$EX487),"")</f>
        <v/>
      </c>
      <c r="FH487">
        <f>IF($EY487="row",INDEX($DR$5:$DR$1003,$EX487),"")</f>
        <v/>
      </c>
      <c r="FI487">
        <f>IF($EY487="row",INDEX($DS$5:$DS$1003,$EX487),"")</f>
        <v/>
      </c>
      <c r="FJ487">
        <f>IF($EY487="row",INDEX($DT$5:$DT$1003,$EX487),"")</f>
        <v/>
      </c>
      <c r="FK487">
        <f>IF($EY487="row",INDEX($DU$5:$DU$1003,$EX487),"")</f>
        <v/>
      </c>
      <c r="FL487">
        <f>IF($EY487="row",INDEX($DV$5:$DV$1003,$EX487),"")</f>
        <v/>
      </c>
      <c r="FM487">
        <f>IF($EY487="row",INDEX($DW$5:$DW$1003,$EX487),"")</f>
        <v/>
      </c>
      <c r="FN487">
        <f>IF($EY487="row",INDEX($DY$5:$DY$1003,$EX487),"")</f>
        <v/>
      </c>
      <c r="FO487">
        <f>IF($EY487="row",INDEX($EA$5:$EA$1003,$EX487),"")</f>
        <v/>
      </c>
      <c r="FP487">
        <f>IF($EY487="row",INDEX($EC$5:$EC$1003,$EX487),"")</f>
        <v/>
      </c>
      <c r="FQ487">
        <f>IF($EY487="row",INDEX($ET$5:$ET$1003,$EX487),"")</f>
        <v/>
      </c>
      <c r="FR487">
        <f>IF($EY487="row",INDEX($EU$5:$EU$1003,$EX487),"")</f>
        <v/>
      </c>
      <c r="FS487">
        <f>IF(AND($EY487="row",$EY486="row"),IF(OR(INDEX($DT$5:$DT$1003,$EX486)="",INDEX($DT$5:$DT$1003,$EX487)=""),"",IF(NOT(EXACT(INDEX($DT$5:$DT$1003,$EX486),INDEX($DT$5:$DT$1003,$EX487))),"S4",IF(NOT(EXACT(INDEX($DS$5:$DS$1003,$EX486),INDEX($DS$5:$DS$1003,$EX487))),"S3",IF(NOT(EXACT(INDEX($DR$5:$DR$1003,$EX486),INDEX($DR$5:$DR$1003,$EX487))),"S1 Count Change","S1")))),"")</f>
        <v/>
      </c>
      <c r="FT487">
        <f>IF($EY487="row",INDEX($ES$5:$ES$1003,$EX487),"")</f>
        <v/>
      </c>
      <c r="FU487">
        <f>IF($EY487="row",INDEX($EO$5:$EO$1003,$EX487),0)</f>
        <v/>
      </c>
      <c r="FV487">
        <f>IF($FS487="S1 Count Change",1,0)</f>
        <v/>
      </c>
    </row>
    <row r="488">
      <c r="DA488" t="n">
        <v>484</v>
      </c>
      <c r="DB488">
        <f>IF($B$37=0,"",IFERROR(TRIM(SUBSTITUTE(SUBSTITUTE(SUBSTITUTE(SUBSTITUTE(INDEX(PASTE_ALL,484,$B$37)," "," "),CHAR(9)," "),CHAR(10)," "),CHAR(13)," ")),""))</f>
        <v/>
      </c>
      <c r="DC488">
        <f>IF(AND(484&gt;HEADER_ROW,UPPER(DB488)="LEGEND"),1,0)</f>
        <v/>
      </c>
      <c r="DE488" t="n">
        <v>484</v>
      </c>
      <c r="DF488">
        <f>HEADER_ROW+$DE488</f>
        <v/>
      </c>
      <c r="DG488">
        <f>IF(AND($DF488&lt;=1000,$DF488&lt;$B$8),1,0)</f>
        <v/>
      </c>
      <c r="DH488">
        <f>IF($DG488=1,IFERROR(INDEX($DB$5:$DB$1004,$DF488),""),"")</f>
        <v/>
      </c>
      <c r="DI488">
        <f>IF(AND($DG488=1,$DH488&lt;&gt;""),IFERROR(SUBSTITUTE(SUBSTITUTE(TRIM(SUBSTITUTE(SUBSTITUTE(SUBSTITUTE(SUBSTITUTE(IFERROR(INDEX(PASTE_ALL,$DF488,1)&amp;"","")&amp;"␟"&amp;IFERROR(INDEX(PASTE_ALL,$DF488,2)&amp;"","")&amp;"␟"&amp;IFERROR(INDEX(PASTE_ALL,$DF488,3)&amp;"","")&amp;"␟"&amp;IFERROR(INDEX(PASTE_ALL,$DF488,4)&amp;"","")&amp;"␟"&amp;IFERROR(INDEX(PASTE_ALL,$DF488,5)&amp;"","")&amp;"␟"&amp;IFERROR(INDEX(PASTE_ALL,$DF488,6)&amp;"","")&amp;"␟"&amp;IFERROR(INDEX(PASTE_ALL,$DF488,7)&amp;"","")&amp;"␟"&amp;IFERROR(INDEX(PASTE_ALL,$DF488,8)&amp;"","")&amp;"␟"&amp;IFERROR(INDEX(PASTE_ALL,$DF488,9)&amp;"","")&amp;"␟"&amp;IFERROR(INDEX(PASTE_ALL,$DF488,10)&amp;"","")&amp;"␟"&amp;IFERROR(INDEX(PASTE_ALL,$DF488,11)&amp;"","")&amp;"␟"&amp;IFERROR(INDEX(PASTE_ALL,$DF488,12)&amp;"","")&amp;"␟"&amp;IFERROR(INDEX(PASTE_ALL,$DF488,13)&amp;"","")&amp;"␟"&amp;IFERROR(INDEX(PASTE_ALL,$DF488,14)&amp;"","")&amp;"␟"&amp;IFERROR(INDEX(PASTE_ALL,$DF488,15)&amp;"","")&amp;"␟"&amp;IFERROR(INDEX(PASTE_ALL,$DF488,16)&amp;"","")&amp;"␟"&amp;IFERROR(INDEX(PASTE_ALL,$DF488,17)&amp;"","")&amp;"␟"&amp;IFERROR(INDEX(PASTE_ALL,$DF488,18)&amp;"","")&amp;"␟"&amp;IFERROR(INDEX(PASTE_ALL,$DF488,19)&amp;"","")&amp;"␟"&amp;IFERROR(INDEX(PASTE_ALL,$DF488,20)&amp;"","")&amp;"␟"&amp;IFERROR(INDEX(PASTE_ALL,$DF488,21)&amp;"","")&amp;"␟"&amp;IFERROR(INDEX(PASTE_ALL,$DF488,22)&amp;"","")&amp;"␟"&amp;IFERROR(INDEX(PASTE_ALL,$DF488,23)&amp;"","")&amp;"␟"&amp;IFERROR(INDEX(PASTE_ALL,$DF488,24)&amp;"","")&amp;"␟"&amp;IFERROR(INDEX(PASTE_ALL,$DF488,25)&amp;"","")&amp;"␟"&amp;IFERROR(INDEX(PASTE_ALL,$DF488,26)&amp;"","")&amp;"␟"&amp;IFERROR(INDEX(PASTE_ALL,$DF488,27)&amp;"","")&amp;"␟"&amp;IFERROR(INDEX(PASTE_ALL,$DF488,28)&amp;"","")&amp;"␟"&amp;IFERROR(INDEX(PASTE_ALL,$DF488,29)&amp;"","")&amp;"␟"&amp;IFERROR(INDEX(PASTE_ALL,$DF488,30)&amp;"","")&amp;"␟"&amp;IFERROR(INDEX(PASTE_ALL,$DF488,31)&amp;"","")&amp;"␟"&amp;IFERROR(INDEX(PASTE_ALL,$DF488,32)&amp;"","")&amp;"␟"&amp;IFERROR(INDEX(PASTE_ALL,$DF488,33)&amp;"","")&amp;"␟"&amp;IFERROR(INDEX(PASTE_ALL,$DF488,34)&amp;"","")&amp;"␟"&amp;IFERROR(INDEX(PASTE_ALL,$DF488,35)&amp;"","")&amp;"␟"&amp;IFERROR(INDEX(PASTE_ALL,$DF488,36)&amp;"","")&amp;"␟"&amp;IFERROR(INDEX(PASTE_ALL,$DF488,37)&amp;"","")&amp;"␟"&amp;IFERROR(INDEX(PASTE_ALL,$DF488,38)&amp;"","")&amp;"␟"&amp;IFERROR(INDEX(PASTE_ALL,$DF488,39)&amp;"","")&amp;"␟"&amp;IFERROR(INDEX(PASTE_ALL,$DF488,40)&amp;"","")&amp;"␟"&amp;IFERROR(INDEX(PASTE_ALL,$DF488,41)&amp;"","")&amp;"␟"&amp;IFERROR(INDEX(PASTE_ALL,$DF488,42)&amp;"","")&amp;"␟"&amp;IFERROR(INDEX(PASTE_ALL,$DF488,43)&amp;"","")&amp;"␟"&amp;IFERROR(INDEX(PASTE_ALL,$DF488,44)&amp;"","")&amp;"␟"&amp;IFERROR(INDEX(PASTE_ALL,$DF488,45)&amp;"","")&amp;"␟"&amp;IFERROR(INDEX(PASTE_ALL,$DF488,46)&amp;"","")&amp;"␟"&amp;IFERROR(INDEX(PASTE_ALL,$DF488,47)&amp;"","")&amp;"␟"&amp;IFERROR(INDEX(PASTE_ALL,$DF488,48)&amp;"","")&amp;"␟"&amp;IFERROR(INDEX(PASTE_ALL,$DF488,49)&amp;"","")&amp;"␟"&amp;IFERROR(INDEX(PASTE_ALL,$DF488,50)&amp;"","")&amp;"␟"&amp;IFERROR(INDEX(PASTE_ALL,$DF488,51)&amp;"","")&amp;"␟"&amp;IFERROR(INDEX(PASTE_ALL,$DF488,52)&amp;"","")&amp;"␟"&amp;IFERROR(INDEX(PASTE_ALL,$DF488,53)&amp;"","")&amp;"␟"&amp;IFERROR(INDEX(PASTE_ALL,$DF488,54)&amp;"","")&amp;"␟"&amp;IFERROR(INDEX(PASTE_ALL,$DF488,55)&amp;"","")&amp;"␟"&amp;IFERROR(INDEX(PASTE_ALL,$DF488,56)&amp;"","")&amp;"␟"&amp;IFERROR(INDEX(PASTE_ALL,$DF488,57)&amp;"","")&amp;"␟"&amp;IFERROR(INDEX(PASTE_ALL,$DF488,58)&amp;"","")&amp;"␟"&amp;IFERROR(INDEX(PASTE_ALL,$DF488,59)&amp;"","")&amp;"␟"&amp;IFERROR(INDEX(PASTE_ALL,$DF488,60)&amp;"","")," "," "),CHAR(9)," "),CHAR(10)," "),CHAR(13)," "))," ␟","␟"),"␟ ","␟"),"#"&amp;$DE488),"")</f>
        <v/>
      </c>
      <c r="DJ488">
        <f>IF($DI488="",0,IF(SUMPRODUCT(--EXACT($DI$4:DI487,$DI488))&gt;0,1,0))</f>
        <v/>
      </c>
      <c r="DK488">
        <f>IF(AND($DI488&lt;&gt;"",$DJ488=0),1,0)</f>
        <v/>
      </c>
      <c r="DL488">
        <f>DL487+$DK488</f>
        <v/>
      </c>
      <c r="DM488">
        <f>IF(AND($DK488=1,$DL488&lt;=600),1,0)</f>
        <v/>
      </c>
      <c r="DN488">
        <f>IF($DM488=0,"",IF($L$6=0,"",IFERROR(IF(ISNUMBER(INDEX(PASTE_ALL,$DF488,$L$6)),INDEX(PASTE_ALL,$DF488,$L$6),TRIM(SUBSTITUTE(SUBSTITUTE(SUBSTITUTE(SUBSTITUTE(INDEX(PASTE_ALL,$DF488,$L$6)," "," "),CHAR(9)," "),CHAR(10)," "),CHAR(13)," "))),"")))</f>
        <v/>
      </c>
      <c r="DO488">
        <f>IF($DM488=0,"",IF($L$7=0,"",IFERROR(IF(ISNUMBER(INDEX(PASTE_ALL,$DF488,$L$7)),INDEX(PASTE_ALL,$DF488,$L$7),TRIM(SUBSTITUTE(SUBSTITUTE(SUBSTITUTE(SUBSTITUTE(INDEX(PASTE_ALL,$DF488,$L$7)," "," "),CHAR(9)," "),CHAR(10)," "),CHAR(13)," "))),"")))</f>
        <v/>
      </c>
      <c r="DP488">
        <f>IF($DM488=0,"",IF($L$8=0,"",IFERROR(IF(ISNUMBER(INDEX(PASTE_ALL,$DF488,$L$8)),INDEX(PASTE_ALL,$DF488,$L$8),TRIM(SUBSTITUTE(SUBSTITUTE(SUBSTITUTE(SUBSTITUTE(INDEX(PASTE_ALL,$DF488,$L$8)," "," "),CHAR(9)," "),CHAR(10)," "),CHAR(13)," "))),"")))</f>
        <v/>
      </c>
      <c r="DQ488">
        <f>IF($DM488=0,"",IF($L$9=0,"",IFERROR(IF(ISNUMBER(INDEX(PASTE_ALL,$DF488,$L$9)),INDEX(PASTE_ALL,$DF488,$L$9),TRIM(SUBSTITUTE(SUBSTITUTE(SUBSTITUTE(SUBSTITUTE(INDEX(PASTE_ALL,$DF488,$L$9)," "," "),CHAR(9)," "),CHAR(10)," "),CHAR(13)," "))),"")))</f>
        <v/>
      </c>
      <c r="DR488">
        <f>IF($DM488=0,"",IF($L$10=0,"",IFERROR(IF(ISNUMBER(INDEX(PASTE_ALL,$DF488,$L$10)),INDEX(PASTE_ALL,$DF488,$L$10),TRIM(SUBSTITUTE(SUBSTITUTE(SUBSTITUTE(SUBSTITUTE(INDEX(PASTE_ALL,$DF488,$L$10)," "," "),CHAR(9)," "),CHAR(10)," "),CHAR(13)," "))),"")))</f>
        <v/>
      </c>
      <c r="DS488">
        <f>IF($DM488=0,"",IF($L$11=0,"",IFERROR(IF(ISNUMBER(INDEX(PASTE_ALL,$DF488,$L$11)),INDEX(PASTE_ALL,$DF488,$L$11),TRIM(SUBSTITUTE(SUBSTITUTE(SUBSTITUTE(SUBSTITUTE(INDEX(PASTE_ALL,$DF488,$L$11)," "," "),CHAR(9)," "),CHAR(10)," "),CHAR(13)," "))),"")))</f>
        <v/>
      </c>
      <c r="DT488">
        <f>IF($DM488=0,"",IF($L$12=0,"",IFERROR(IF(ISNUMBER(INDEX(PASTE_ALL,$DF488,$L$12)),INDEX(PASTE_ALL,$DF488,$L$12),TRIM(SUBSTITUTE(SUBSTITUTE(SUBSTITUTE(SUBSTITUTE(INDEX(PASTE_ALL,$DF488,$L$12)," "," "),CHAR(9)," "),CHAR(10)," "),CHAR(13)," "))),"")))</f>
        <v/>
      </c>
      <c r="DU488">
        <f>IF($DM488=0,"",IF($L$13=0,"",IFERROR(IF(ISNUMBER(INDEX(PASTE_ALL,$DF488,$L$13)),INDEX(PASTE_ALL,$DF488,$L$13),TRIM(SUBSTITUTE(SUBSTITUTE(SUBSTITUTE(SUBSTITUTE(INDEX(PASTE_ALL,$DF488,$L$13)," "," "),CHAR(9)," "),CHAR(10)," "),CHAR(13)," "))),"")))</f>
        <v/>
      </c>
      <c r="DV488">
        <f>IF($DM488=0,"",IF($L$14=0,"",IFERROR(IF(ISNUMBER(INDEX(PASTE_ALL,$DF488,$L$14)),INDEX(PASTE_ALL,$DF488,$L$14),TRIM(SUBSTITUTE(SUBSTITUTE(SUBSTITUTE(SUBSTITUTE(INDEX(PASTE_ALL,$DF488,$L$14)," "," "),CHAR(9)," "),CHAR(10)," "),CHAR(13)," "))),"")))</f>
        <v/>
      </c>
      <c r="DW488">
        <f>IF($DM488=0,"",IF($L$15=0,"",IFERROR(IF(ISNUMBER(INDEX(PASTE_ALL,$DF488,$L$15)),INDEX(PASTE_ALL,$DF488,$L$15),IF(SUMPRODUCT(--ISNUMBER(FIND({"A","B","C","D","E","F","G","H","I","J","K","L","M","N","O","P","Q","R","S","T","U","V","W","X","Y","Z","0","1","2","3","4","5","6","7","8","9"},UPPER(TRIM(SUBSTITUTE(SUBSTITUTE(SUBSTITUTE(SUBSTITUTE(INDEX(PASTE_ALL,$DF488,$L$15)," "," "),CHAR(9)," "),CHAR(10)," "),CHAR(13)," "))))))&gt;0,TRIM(SUBSTITUTE(SUBSTITUTE(SUBSTITUTE(SUBSTITUTE(INDEX(PASTE_ALL,$DF488,$L$15)," "," "),CHAR(9)," "),CHAR(10)," "),CHAR(13)," ")),"")),"")))</f>
        <v/>
      </c>
      <c r="DX488">
        <f>IF($DM488=0,"",IF($L$16=0,"",IFERROR(IF(ISNUMBER(INDEX(PASTE_ALL,$DF488,$L$16)),INDEX(PASTE_ALL,$DF488,$L$16),SUBSTITUTE(SUBSTITUTE(TRIM(SUBSTITUTE(SUBSTITUTE(SUBSTITUTE(SUBSTITUTE(INDEX(PASTE_ALL,$DF488,$L$16)," "," "),CHAR(9)," "),CHAR(10)," "),CHAR(13)," ")),",",""),"%","")),"")))</f>
        <v/>
      </c>
      <c r="DY488">
        <f>IF($DM488=0,"",IFERROR(IF(ISNUMBER($DX488),$DX488,IF($DX488="","",IF(TRIM($DX488)="",0,IF(AND(AND(SUBSTITUTE(SUBSTITUTE(SUBSTITUTE(SUBSTITUTE(SUBSTITUTE(SUBSTITUTE(SUBSTITUTE(SUBSTITUTE(SUBSTITUTE(SUBSTITUTE(SUBSTITUTE(SUBSTITUTE(SUBSTITUTE(SUBSTITUTE(UPPER(TRIM($DX488)),"0",""),"1",""),"2",""),"3",""),"4",""),"5",""),"6",""),"7",""),"8",""),"9",""),".",""),"+",""),"-",""),"E","")="",LEN(SUBSTITUTE(SUBSTITUTE(MID(UPPER(TRIM($DX488)),1+OR(LEFT(UPPER(TRIM($DX488)),1)="+",LEFT(UPPER(TRIM($DX488)),1)="-"),999),"E+","E"),"E-","E"))=LEN(SUBSTITUTE(SUBSTITUTE(SUBSTITUTE(SUBSTITUTE(MID(UPPER(TRIM($DX488)),1+OR(LEFT(UPPER(TRIM($DX488)),1)="+",LEFT(UPPER(TRIM($DX488)),1)="-"),999),"E+","E"),"E-","E"),"+",""),"-","")),LEN(UPPER(TRIM($DX488)))-LEN(SUBSTITUTE(UPPER(TRIM($DX488)),"E",""))&lt;2,LEN(UPPER(TRIM($DX488)))-LEN(SUBSTITUTE(UPPER(TRIM($DX488)),".",""))&lt;2,IFERROR(FIND(".",UPPER(TRIM($DX488))),0)&lt;IFERROR(FIND("E",UPPER(TRIM($DX488))),999)),ISNUMBER(VALUE(TRIM($DX488)))),VALUE(TRIM($DX488)),"")))),""))</f>
        <v/>
      </c>
      <c r="DZ488">
        <f>IF($DM488=0,"",IF($L$17=0,"",IFERROR(IF(ISNUMBER(INDEX(PASTE_ALL,$DF488,$L$17)),INDEX(PASTE_ALL,$DF488,$L$17),SUBSTITUTE(SUBSTITUTE(TRIM(SUBSTITUTE(SUBSTITUTE(SUBSTITUTE(SUBSTITUTE(INDEX(PASTE_ALL,$DF488,$L$17)," "," "),CHAR(9)," "),CHAR(10)," "),CHAR(13)," ")),",",""),"%","")),"")))</f>
        <v/>
      </c>
      <c r="EA488">
        <f>IF($DM488=0,"",IFERROR(IF(ISNUMBER($DZ488),$DZ488,IF($DZ488="","",IF(TRIM($DZ488)="",0,IF(AND(AND(SUBSTITUTE(SUBSTITUTE(SUBSTITUTE(SUBSTITUTE(SUBSTITUTE(SUBSTITUTE(SUBSTITUTE(SUBSTITUTE(SUBSTITUTE(SUBSTITUTE(SUBSTITUTE(SUBSTITUTE(SUBSTITUTE(SUBSTITUTE(UPPER(TRIM($DZ488)),"0",""),"1",""),"2",""),"3",""),"4",""),"5",""),"6",""),"7",""),"8",""),"9",""),".",""),"+",""),"-",""),"E","")="",LEN(SUBSTITUTE(SUBSTITUTE(MID(UPPER(TRIM($DZ488)),1+OR(LEFT(UPPER(TRIM($DZ488)),1)="+",LEFT(UPPER(TRIM($DZ488)),1)="-"),999),"E+","E"),"E-","E"))=LEN(SUBSTITUTE(SUBSTITUTE(SUBSTITUTE(SUBSTITUTE(MID(UPPER(TRIM($DZ488)),1+OR(LEFT(UPPER(TRIM($DZ488)),1)="+",LEFT(UPPER(TRIM($DZ488)),1)="-"),999),"E+","E"),"E-","E"),"+",""),"-","")),LEN(UPPER(TRIM($DZ488)))-LEN(SUBSTITUTE(UPPER(TRIM($DZ488)),"E",""))&lt;2,LEN(UPPER(TRIM($DZ488)))-LEN(SUBSTITUTE(UPPER(TRIM($DZ488)),".",""))&lt;2,IFERROR(FIND(".",UPPER(TRIM($DZ488))),0)&lt;IFERROR(FIND("E",UPPER(TRIM($DZ488))),999)),ISNUMBER(VALUE(TRIM($DZ488)))),VALUE(TRIM($DZ488)),"")))),""))</f>
        <v/>
      </c>
      <c r="EB488">
        <f>IF($DM488=0,"",IF($L$18=0,"",IFERROR(IF(UPPER(TRIM(SUBSTITUTE(SUBSTITUTE(SUBSTITUTE(SUBSTITUTE(INDEX(PASTE_ALL,$DF488,$L$18)," "," "),CHAR(9)," "),CHAR(10)," "),CHAR(13)," ")))="READY","Ready",IF(UPPER(TRIM(SUBSTITUTE(SUBSTITUTE(SUBSTITUTE(SUBSTITUTE(INDEX(PASTE_ALL,$DF488,$L$18)," "," "),CHAR(9)," "),CHAR(10)," "),CHAR(13)," ")))="PM","PM",IF(OR(UPPER(TRIM(SUBSTITUTE(SUBSTITUTE(SUBSTITUTE(SUBSTITUTE(INDEX(PASTE_ALL,$DF488,$L$18)," "," "),CHAR(9)," "),CHAR(10)," "),CHAR(13)," ")))="OT",UPPER(TRIM(SUBSTITUTE(SUBSTITUTE(SUBSTITUTE(SUBSTITUTE(INDEX(PASTE_ALL,$DF488,$L$18)," "," "),CHAR(9)," "),CHAR(10)," "),CHAR(13)," ")))="OVERTIME",UPPER(TRIM(SUBSTITUTE(SUBSTITUTE(SUBSTITUTE(SUBSTITUTE(INDEX(PASTE_ALL,$DF488,$L$18)," "," "),CHAR(9)," "),CHAR(10)," "),CHAR(13)," ")))="TRIAL"),"OT",TRIM(SUBSTITUTE(SUBSTITUTE(SUBSTITUTE(SUBSTITUTE(INDEX(PASTE_ALL,$DF488,$L$18)," "," "),CHAR(9)," "),CHAR(10)," "),CHAR(13)," "))))),"")))</f>
        <v/>
      </c>
      <c r="EC488">
        <f>IF($DM488=0,"",IF($L$19=0,"",IFERROR(IF(ISNUMBER(INDEX(PASTE_ALL,$DF488,$L$19)),INDEX(PASTE_ALL,$DF488,$L$19),TRIM(SUBSTITUTE(SUBSTITUTE(SUBSTITUTE(SUBSTITUTE(INDEX(PASTE_ALL,$DF488,$L$19)," "," "),CHAR(9)," "),CHAR(10)," "),CHAR(13)," "))),"")))</f>
        <v/>
      </c>
      <c r="ED488">
        <f>IF($DM488=0,"",MATCH(1,INDEX(EXACT($DH$5:DH488,$DH488)*$DM$5:DM488,0),0))</f>
        <v/>
      </c>
      <c r="EE488">
        <f>IF($DM488=0,0,IF($ED488=$DE488,1,0))</f>
        <v/>
      </c>
      <c r="EF488">
        <f>EF487+$EE488</f>
        <v/>
      </c>
      <c r="EG488">
        <f>IF($DM488=0,"",INDEX($EF$5:$EF$1003,$ED488))</f>
        <v/>
      </c>
      <c r="EH488">
        <f>IF($DM488=0,"",IF($DO488&lt;&gt;"","",IFERROR(LOOKUP(2,1/(($EG$4:EG487=$EG488)*($DO$4:DO487&lt;&gt;"")),$DO$4:DO487),"")))</f>
        <v/>
      </c>
      <c r="EI488">
        <f>IF($DM488=0,"",IF($DO488&lt;&gt;"",$DO488,$EH488))</f>
        <v/>
      </c>
      <c r="EJ488">
        <f>IF($DM488=0,"",IF($EI488="",0,IF(OR(ISNUMBER($EI488),AND(AND(SUBSTITUTE(SUBSTITUTE(SUBSTITUTE(SUBSTITUTE(SUBSTITUTE(SUBSTITUTE(SUBSTITUTE(SUBSTITUTE(SUBSTITUTE(SUBSTITUTE(SUBSTITUTE(SUBSTITUTE(SUBSTITUTE(SUBSTITUTE(UPPER($EI488),"0",""),"1",""),"2",""),"3",""),"4",""),"5",""),"6",""),"7",""),"8",""),"9",""),".",""),"+",""),"-",""),"E","")="",LEN(SUBSTITUTE(SUBSTITUTE(MID(UPPER($EI488),1+OR(LEFT(UPPER($EI488),1)="+",LEFT(UPPER($EI488),1)="-"),999),"E+","E"),"E-","E"))=LEN(SUBSTITUTE(SUBSTITUTE(SUBSTITUTE(SUBSTITUTE(MID(UPPER($EI488),1+OR(LEFT(UPPER($EI488),1)="+",LEFT(UPPER($EI488),1)="-"),999),"E+","E"),"E-","E"),"+",""),"-","")),LEN(UPPER($EI488))-LEN(SUBSTITUTE(UPPER($EI488),"E",""))&lt;2,LEN(UPPER($EI488))-LEN(SUBSTITUTE(UPPER($EI488),".",""))&lt;2,IFERROR(FIND(".",UPPER($EI488)),0)&lt;IFERROR(FIND("E",UPPER($EI488)),999)),ISNUMBER(VALUE($EI488)))),1,2)))</f>
        <v/>
      </c>
      <c r="EK488">
        <f>IF($DM488=0,"",IF($EJ488=1,IF(ISNUMBER($EI488),$EI488,VALUE($EI488)),IF($EJ488=2,$DE488,0)))</f>
        <v/>
      </c>
      <c r="EL488">
        <f>IF($DM488=0,"",COUNTIF($EG$5:$EG$1003,"&lt;"&amp;$EG488)+SUMPRODUCT(($EG$5:$EG$1003=$EG488)*(($EJ$5:$EJ$1003&lt;$EJ488)+($EJ$5:$EJ$1003=$EJ488)*(($EK$5:$EK$1003&lt;$EK488)+($EK$5:$EK$1003=$EK488)*($DE$5:$DE$1003&lt;$DE488))))+1)</f>
        <v/>
      </c>
      <c r="EM488">
        <f>IF($DM488=0,"",$EL488+$EG488-1)</f>
        <v/>
      </c>
      <c r="EN488">
        <f>IF($DM488=0,0,IFERROR(MATCH(1,INDEX(--(TRIM(SUBSTITUTE(SUBSTITUTE(SUBSTITUTE(SUBSTITUTE(LINES_NAME&amp;""," "," "),CHAR(9)," "),CHAR(10)," "),CHAR(13)," "))=$DH488),0),0),0))</f>
        <v/>
      </c>
      <c r="EO488">
        <f>IF($EN488=0,0,IF(OR(UPPER(TRIM(INDEX(LINES_SCHEDULED,$EN488)&amp;""))="YES",UPPER(TRIM(INDEX(LINES_SCHEDULED,$EN488)&amp;""))="Y",UPPER(TRIM(INDEX(LINES_SCHEDULED,$EN488)&amp;""))="X"),1,0))</f>
        <v/>
      </c>
      <c r="EP488">
        <f>IF($DM488=0,"",IF(COUNTIFS($EG$5:$EG$1003,$EG488,$EB$5:$EB$1003,"Ready")&gt;0,"READY",IF(COUNTIFS($EG$5:$EG$1003,$EG488,$EB$5:$EB$1003,"PM")&gt;0,"PM",IF(COUNTIFS($EG$5:$EG$1003,$EG488,$EB$5:$EB$1003,"OT")&gt;0,"OT",""))))</f>
        <v/>
      </c>
      <c r="EQ488">
        <f>IF($EN488=0,"",UPPER(TRIM(INDEX(LINES_STATUS,$EN488)&amp;"")))</f>
        <v/>
      </c>
      <c r="ER488">
        <f>IF($DM488=0,"",IF(OR($EQ488="READY",$EQ488="PM",$EQ488="OT"),$EQ488,$EP488))</f>
        <v/>
      </c>
      <c r="ES488">
        <f>IF($DM488=0,"",IF(AND($DV488&lt;&gt;"",UPPER($DV488)&lt;&gt;"N"),"allergen",IF(ISNUMBER(SEARCH("oil",$DQ488)),"oil",IF(OR(EXACT($DS488,"A662"),EXACT($DS488,"A624")),"bulk",""))))</f>
        <v/>
      </c>
      <c r="ET488">
        <f>IF($DM488=0,"",IF(OR($EA488="",$EA488=0),"",$EA488/100))</f>
        <v/>
      </c>
      <c r="EU488">
        <f>IF(OR($ET488="",$DY488=""),"",INT($DY488*(1-$ET488)+0.5))</f>
        <v/>
      </c>
      <c r="EW488" t="n">
        <v>484</v>
      </c>
      <c r="EX488">
        <f>IFERROR(MATCH($EW488,$EM$5:$EM$1003,0),0)</f>
        <v/>
      </c>
      <c r="EY488">
        <f>IF($EW488&gt;$B$12,"",IF($EX488&gt;0,"row","spacer"))</f>
        <v/>
      </c>
      <c r="EZ488">
        <f>IF(AND($EY488="row",$EY487&lt;&gt;"row"),1,0)</f>
        <v/>
      </c>
      <c r="FA488">
        <f>IF(AND($EY488="row",$EY489&lt;&gt;"row"),1,0)</f>
        <v/>
      </c>
      <c r="FB488">
        <f>IF($EZ488=1,IFERROR(IF(ISNUMBER(INDEX(PASTE_ALL,INDEX($DF$5:$DF$1003,$EX488),$B$37)),INDEX(PASTE_ALL,INDEX($DF$5:$DF$1003,$EX488),$B$37),INDEX($DH$5:$DH$1003,$EX488)),INDEX($DH$5:$DH$1003,$EX488)),"")</f>
        <v/>
      </c>
      <c r="FC488">
        <f>IF($EY488="row",INDEX($ER$5:$ER$1003,$EX488),"")</f>
        <v/>
      </c>
      <c r="FD488">
        <f>IF($EY488="row",INDEX($DN$5:$DN$1003,$EX488),"")</f>
        <v/>
      </c>
      <c r="FE488">
        <f>IF($EY488="row",INDEX($DO$5:$DO$1003,$EX488),"")</f>
        <v/>
      </c>
      <c r="FF488">
        <f>IF($EY488="row",INDEX($DP$5:$DP$1003,$EX488),"")</f>
        <v/>
      </c>
      <c r="FG488">
        <f>IF($EY488="row",INDEX($DQ$5:$DQ$1003,$EX488),"")</f>
        <v/>
      </c>
      <c r="FH488">
        <f>IF($EY488="row",INDEX($DR$5:$DR$1003,$EX488),"")</f>
        <v/>
      </c>
      <c r="FI488">
        <f>IF($EY488="row",INDEX($DS$5:$DS$1003,$EX488),"")</f>
        <v/>
      </c>
      <c r="FJ488">
        <f>IF($EY488="row",INDEX($DT$5:$DT$1003,$EX488),"")</f>
        <v/>
      </c>
      <c r="FK488">
        <f>IF($EY488="row",INDEX($DU$5:$DU$1003,$EX488),"")</f>
        <v/>
      </c>
      <c r="FL488">
        <f>IF($EY488="row",INDEX($DV$5:$DV$1003,$EX488),"")</f>
        <v/>
      </c>
      <c r="FM488">
        <f>IF($EY488="row",INDEX($DW$5:$DW$1003,$EX488),"")</f>
        <v/>
      </c>
      <c r="FN488">
        <f>IF($EY488="row",INDEX($DY$5:$DY$1003,$EX488),"")</f>
        <v/>
      </c>
      <c r="FO488">
        <f>IF($EY488="row",INDEX($EA$5:$EA$1003,$EX488),"")</f>
        <v/>
      </c>
      <c r="FP488">
        <f>IF($EY488="row",INDEX($EC$5:$EC$1003,$EX488),"")</f>
        <v/>
      </c>
      <c r="FQ488">
        <f>IF($EY488="row",INDEX($ET$5:$ET$1003,$EX488),"")</f>
        <v/>
      </c>
      <c r="FR488">
        <f>IF($EY488="row",INDEX($EU$5:$EU$1003,$EX488),"")</f>
        <v/>
      </c>
      <c r="FS488">
        <f>IF(AND($EY488="row",$EY487="row"),IF(OR(INDEX($DT$5:$DT$1003,$EX487)="",INDEX($DT$5:$DT$1003,$EX488)=""),"",IF(NOT(EXACT(INDEX($DT$5:$DT$1003,$EX487),INDEX($DT$5:$DT$1003,$EX488))),"S4",IF(NOT(EXACT(INDEX($DS$5:$DS$1003,$EX487),INDEX($DS$5:$DS$1003,$EX488))),"S3",IF(NOT(EXACT(INDEX($DR$5:$DR$1003,$EX487),INDEX($DR$5:$DR$1003,$EX488))),"S1 Count Change","S1")))),"")</f>
        <v/>
      </c>
      <c r="FT488">
        <f>IF($EY488="row",INDEX($ES$5:$ES$1003,$EX488),"")</f>
        <v/>
      </c>
      <c r="FU488">
        <f>IF($EY488="row",INDEX($EO$5:$EO$1003,$EX488),0)</f>
        <v/>
      </c>
      <c r="FV488">
        <f>IF($FS488="S1 Count Change",1,0)</f>
        <v/>
      </c>
    </row>
    <row r="489">
      <c r="DA489" t="n">
        <v>485</v>
      </c>
      <c r="DB489">
        <f>IF($B$37=0,"",IFERROR(TRIM(SUBSTITUTE(SUBSTITUTE(SUBSTITUTE(SUBSTITUTE(INDEX(PASTE_ALL,485,$B$37)," "," "),CHAR(9)," "),CHAR(10)," "),CHAR(13)," ")),""))</f>
        <v/>
      </c>
      <c r="DC489">
        <f>IF(AND(485&gt;HEADER_ROW,UPPER(DB489)="LEGEND"),1,0)</f>
        <v/>
      </c>
      <c r="DE489" t="n">
        <v>485</v>
      </c>
      <c r="DF489">
        <f>HEADER_ROW+$DE489</f>
        <v/>
      </c>
      <c r="DG489">
        <f>IF(AND($DF489&lt;=1000,$DF489&lt;$B$8),1,0)</f>
        <v/>
      </c>
      <c r="DH489">
        <f>IF($DG489=1,IFERROR(INDEX($DB$5:$DB$1004,$DF489),""),"")</f>
        <v/>
      </c>
      <c r="DI489">
        <f>IF(AND($DG489=1,$DH489&lt;&gt;""),IFERROR(SUBSTITUTE(SUBSTITUTE(TRIM(SUBSTITUTE(SUBSTITUTE(SUBSTITUTE(SUBSTITUTE(IFERROR(INDEX(PASTE_ALL,$DF489,1)&amp;"","")&amp;"␟"&amp;IFERROR(INDEX(PASTE_ALL,$DF489,2)&amp;"","")&amp;"␟"&amp;IFERROR(INDEX(PASTE_ALL,$DF489,3)&amp;"","")&amp;"␟"&amp;IFERROR(INDEX(PASTE_ALL,$DF489,4)&amp;"","")&amp;"␟"&amp;IFERROR(INDEX(PASTE_ALL,$DF489,5)&amp;"","")&amp;"␟"&amp;IFERROR(INDEX(PASTE_ALL,$DF489,6)&amp;"","")&amp;"␟"&amp;IFERROR(INDEX(PASTE_ALL,$DF489,7)&amp;"","")&amp;"␟"&amp;IFERROR(INDEX(PASTE_ALL,$DF489,8)&amp;"","")&amp;"␟"&amp;IFERROR(INDEX(PASTE_ALL,$DF489,9)&amp;"","")&amp;"␟"&amp;IFERROR(INDEX(PASTE_ALL,$DF489,10)&amp;"","")&amp;"␟"&amp;IFERROR(INDEX(PASTE_ALL,$DF489,11)&amp;"","")&amp;"␟"&amp;IFERROR(INDEX(PASTE_ALL,$DF489,12)&amp;"","")&amp;"␟"&amp;IFERROR(INDEX(PASTE_ALL,$DF489,13)&amp;"","")&amp;"␟"&amp;IFERROR(INDEX(PASTE_ALL,$DF489,14)&amp;"","")&amp;"␟"&amp;IFERROR(INDEX(PASTE_ALL,$DF489,15)&amp;"","")&amp;"␟"&amp;IFERROR(INDEX(PASTE_ALL,$DF489,16)&amp;"","")&amp;"␟"&amp;IFERROR(INDEX(PASTE_ALL,$DF489,17)&amp;"","")&amp;"␟"&amp;IFERROR(INDEX(PASTE_ALL,$DF489,18)&amp;"","")&amp;"␟"&amp;IFERROR(INDEX(PASTE_ALL,$DF489,19)&amp;"","")&amp;"␟"&amp;IFERROR(INDEX(PASTE_ALL,$DF489,20)&amp;"","")&amp;"␟"&amp;IFERROR(INDEX(PASTE_ALL,$DF489,21)&amp;"","")&amp;"␟"&amp;IFERROR(INDEX(PASTE_ALL,$DF489,22)&amp;"","")&amp;"␟"&amp;IFERROR(INDEX(PASTE_ALL,$DF489,23)&amp;"","")&amp;"␟"&amp;IFERROR(INDEX(PASTE_ALL,$DF489,24)&amp;"","")&amp;"␟"&amp;IFERROR(INDEX(PASTE_ALL,$DF489,25)&amp;"","")&amp;"␟"&amp;IFERROR(INDEX(PASTE_ALL,$DF489,26)&amp;"","")&amp;"␟"&amp;IFERROR(INDEX(PASTE_ALL,$DF489,27)&amp;"","")&amp;"␟"&amp;IFERROR(INDEX(PASTE_ALL,$DF489,28)&amp;"","")&amp;"␟"&amp;IFERROR(INDEX(PASTE_ALL,$DF489,29)&amp;"","")&amp;"␟"&amp;IFERROR(INDEX(PASTE_ALL,$DF489,30)&amp;"","")&amp;"␟"&amp;IFERROR(INDEX(PASTE_ALL,$DF489,31)&amp;"","")&amp;"␟"&amp;IFERROR(INDEX(PASTE_ALL,$DF489,32)&amp;"","")&amp;"␟"&amp;IFERROR(INDEX(PASTE_ALL,$DF489,33)&amp;"","")&amp;"␟"&amp;IFERROR(INDEX(PASTE_ALL,$DF489,34)&amp;"","")&amp;"␟"&amp;IFERROR(INDEX(PASTE_ALL,$DF489,35)&amp;"","")&amp;"␟"&amp;IFERROR(INDEX(PASTE_ALL,$DF489,36)&amp;"","")&amp;"␟"&amp;IFERROR(INDEX(PASTE_ALL,$DF489,37)&amp;"","")&amp;"␟"&amp;IFERROR(INDEX(PASTE_ALL,$DF489,38)&amp;"","")&amp;"␟"&amp;IFERROR(INDEX(PASTE_ALL,$DF489,39)&amp;"","")&amp;"␟"&amp;IFERROR(INDEX(PASTE_ALL,$DF489,40)&amp;"","")&amp;"␟"&amp;IFERROR(INDEX(PASTE_ALL,$DF489,41)&amp;"","")&amp;"␟"&amp;IFERROR(INDEX(PASTE_ALL,$DF489,42)&amp;"","")&amp;"␟"&amp;IFERROR(INDEX(PASTE_ALL,$DF489,43)&amp;"","")&amp;"␟"&amp;IFERROR(INDEX(PASTE_ALL,$DF489,44)&amp;"","")&amp;"␟"&amp;IFERROR(INDEX(PASTE_ALL,$DF489,45)&amp;"","")&amp;"␟"&amp;IFERROR(INDEX(PASTE_ALL,$DF489,46)&amp;"","")&amp;"␟"&amp;IFERROR(INDEX(PASTE_ALL,$DF489,47)&amp;"","")&amp;"␟"&amp;IFERROR(INDEX(PASTE_ALL,$DF489,48)&amp;"","")&amp;"␟"&amp;IFERROR(INDEX(PASTE_ALL,$DF489,49)&amp;"","")&amp;"␟"&amp;IFERROR(INDEX(PASTE_ALL,$DF489,50)&amp;"","")&amp;"␟"&amp;IFERROR(INDEX(PASTE_ALL,$DF489,51)&amp;"","")&amp;"␟"&amp;IFERROR(INDEX(PASTE_ALL,$DF489,52)&amp;"","")&amp;"␟"&amp;IFERROR(INDEX(PASTE_ALL,$DF489,53)&amp;"","")&amp;"␟"&amp;IFERROR(INDEX(PASTE_ALL,$DF489,54)&amp;"","")&amp;"␟"&amp;IFERROR(INDEX(PASTE_ALL,$DF489,55)&amp;"","")&amp;"␟"&amp;IFERROR(INDEX(PASTE_ALL,$DF489,56)&amp;"","")&amp;"␟"&amp;IFERROR(INDEX(PASTE_ALL,$DF489,57)&amp;"","")&amp;"␟"&amp;IFERROR(INDEX(PASTE_ALL,$DF489,58)&amp;"","")&amp;"␟"&amp;IFERROR(INDEX(PASTE_ALL,$DF489,59)&amp;"","")&amp;"␟"&amp;IFERROR(INDEX(PASTE_ALL,$DF489,60)&amp;"","")," "," "),CHAR(9)," "),CHAR(10)," "),CHAR(13)," "))," ␟","␟"),"␟ ","␟"),"#"&amp;$DE489),"")</f>
        <v/>
      </c>
      <c r="DJ489">
        <f>IF($DI489="",0,IF(SUMPRODUCT(--EXACT($DI$4:DI488,$DI489))&gt;0,1,0))</f>
        <v/>
      </c>
      <c r="DK489">
        <f>IF(AND($DI489&lt;&gt;"",$DJ489=0),1,0)</f>
        <v/>
      </c>
      <c r="DL489">
        <f>DL488+$DK489</f>
        <v/>
      </c>
      <c r="DM489">
        <f>IF(AND($DK489=1,$DL489&lt;=600),1,0)</f>
        <v/>
      </c>
      <c r="DN489">
        <f>IF($DM489=0,"",IF($L$6=0,"",IFERROR(IF(ISNUMBER(INDEX(PASTE_ALL,$DF489,$L$6)),INDEX(PASTE_ALL,$DF489,$L$6),TRIM(SUBSTITUTE(SUBSTITUTE(SUBSTITUTE(SUBSTITUTE(INDEX(PASTE_ALL,$DF489,$L$6)," "," "),CHAR(9)," "),CHAR(10)," "),CHAR(13)," "))),"")))</f>
        <v/>
      </c>
      <c r="DO489">
        <f>IF($DM489=0,"",IF($L$7=0,"",IFERROR(IF(ISNUMBER(INDEX(PASTE_ALL,$DF489,$L$7)),INDEX(PASTE_ALL,$DF489,$L$7),TRIM(SUBSTITUTE(SUBSTITUTE(SUBSTITUTE(SUBSTITUTE(INDEX(PASTE_ALL,$DF489,$L$7)," "," "),CHAR(9)," "),CHAR(10)," "),CHAR(13)," "))),"")))</f>
        <v/>
      </c>
      <c r="DP489">
        <f>IF($DM489=0,"",IF($L$8=0,"",IFERROR(IF(ISNUMBER(INDEX(PASTE_ALL,$DF489,$L$8)),INDEX(PASTE_ALL,$DF489,$L$8),TRIM(SUBSTITUTE(SUBSTITUTE(SUBSTITUTE(SUBSTITUTE(INDEX(PASTE_ALL,$DF489,$L$8)," "," "),CHAR(9)," "),CHAR(10)," "),CHAR(13)," "))),"")))</f>
        <v/>
      </c>
      <c r="DQ489">
        <f>IF($DM489=0,"",IF($L$9=0,"",IFERROR(IF(ISNUMBER(INDEX(PASTE_ALL,$DF489,$L$9)),INDEX(PASTE_ALL,$DF489,$L$9),TRIM(SUBSTITUTE(SUBSTITUTE(SUBSTITUTE(SUBSTITUTE(INDEX(PASTE_ALL,$DF489,$L$9)," "," "),CHAR(9)," "),CHAR(10)," "),CHAR(13)," "))),"")))</f>
        <v/>
      </c>
      <c r="DR489">
        <f>IF($DM489=0,"",IF($L$10=0,"",IFERROR(IF(ISNUMBER(INDEX(PASTE_ALL,$DF489,$L$10)),INDEX(PASTE_ALL,$DF489,$L$10),TRIM(SUBSTITUTE(SUBSTITUTE(SUBSTITUTE(SUBSTITUTE(INDEX(PASTE_ALL,$DF489,$L$10)," "," "),CHAR(9)," "),CHAR(10)," "),CHAR(13)," "))),"")))</f>
        <v/>
      </c>
      <c r="DS489">
        <f>IF($DM489=0,"",IF($L$11=0,"",IFERROR(IF(ISNUMBER(INDEX(PASTE_ALL,$DF489,$L$11)),INDEX(PASTE_ALL,$DF489,$L$11),TRIM(SUBSTITUTE(SUBSTITUTE(SUBSTITUTE(SUBSTITUTE(INDEX(PASTE_ALL,$DF489,$L$11)," "," "),CHAR(9)," "),CHAR(10)," "),CHAR(13)," "))),"")))</f>
        <v/>
      </c>
      <c r="DT489">
        <f>IF($DM489=0,"",IF($L$12=0,"",IFERROR(IF(ISNUMBER(INDEX(PASTE_ALL,$DF489,$L$12)),INDEX(PASTE_ALL,$DF489,$L$12),TRIM(SUBSTITUTE(SUBSTITUTE(SUBSTITUTE(SUBSTITUTE(INDEX(PASTE_ALL,$DF489,$L$12)," "," "),CHAR(9)," "),CHAR(10)," "),CHAR(13)," "))),"")))</f>
        <v/>
      </c>
      <c r="DU489">
        <f>IF($DM489=0,"",IF($L$13=0,"",IFERROR(IF(ISNUMBER(INDEX(PASTE_ALL,$DF489,$L$13)),INDEX(PASTE_ALL,$DF489,$L$13),TRIM(SUBSTITUTE(SUBSTITUTE(SUBSTITUTE(SUBSTITUTE(INDEX(PASTE_ALL,$DF489,$L$13)," "," "),CHAR(9)," "),CHAR(10)," "),CHAR(13)," "))),"")))</f>
        <v/>
      </c>
      <c r="DV489">
        <f>IF($DM489=0,"",IF($L$14=0,"",IFERROR(IF(ISNUMBER(INDEX(PASTE_ALL,$DF489,$L$14)),INDEX(PASTE_ALL,$DF489,$L$14),TRIM(SUBSTITUTE(SUBSTITUTE(SUBSTITUTE(SUBSTITUTE(INDEX(PASTE_ALL,$DF489,$L$14)," "," "),CHAR(9)," "),CHAR(10)," "),CHAR(13)," "))),"")))</f>
        <v/>
      </c>
      <c r="DW489">
        <f>IF($DM489=0,"",IF($L$15=0,"",IFERROR(IF(ISNUMBER(INDEX(PASTE_ALL,$DF489,$L$15)),INDEX(PASTE_ALL,$DF489,$L$15),IF(SUMPRODUCT(--ISNUMBER(FIND({"A","B","C","D","E","F","G","H","I","J","K","L","M","N","O","P","Q","R","S","T","U","V","W","X","Y","Z","0","1","2","3","4","5","6","7","8","9"},UPPER(TRIM(SUBSTITUTE(SUBSTITUTE(SUBSTITUTE(SUBSTITUTE(INDEX(PASTE_ALL,$DF489,$L$15)," "," "),CHAR(9)," "),CHAR(10)," "),CHAR(13)," "))))))&gt;0,TRIM(SUBSTITUTE(SUBSTITUTE(SUBSTITUTE(SUBSTITUTE(INDEX(PASTE_ALL,$DF489,$L$15)," "," "),CHAR(9)," "),CHAR(10)," "),CHAR(13)," ")),"")),"")))</f>
        <v/>
      </c>
      <c r="DX489">
        <f>IF($DM489=0,"",IF($L$16=0,"",IFERROR(IF(ISNUMBER(INDEX(PASTE_ALL,$DF489,$L$16)),INDEX(PASTE_ALL,$DF489,$L$16),SUBSTITUTE(SUBSTITUTE(TRIM(SUBSTITUTE(SUBSTITUTE(SUBSTITUTE(SUBSTITUTE(INDEX(PASTE_ALL,$DF489,$L$16)," "," "),CHAR(9)," "),CHAR(10)," "),CHAR(13)," ")),",",""),"%","")),"")))</f>
        <v/>
      </c>
      <c r="DY489">
        <f>IF($DM489=0,"",IFERROR(IF(ISNUMBER($DX489),$DX489,IF($DX489="","",IF(TRIM($DX489)="",0,IF(AND(AND(SUBSTITUTE(SUBSTITUTE(SUBSTITUTE(SUBSTITUTE(SUBSTITUTE(SUBSTITUTE(SUBSTITUTE(SUBSTITUTE(SUBSTITUTE(SUBSTITUTE(SUBSTITUTE(SUBSTITUTE(SUBSTITUTE(SUBSTITUTE(UPPER(TRIM($DX489)),"0",""),"1",""),"2",""),"3",""),"4",""),"5",""),"6",""),"7",""),"8",""),"9",""),".",""),"+",""),"-",""),"E","")="",LEN(SUBSTITUTE(SUBSTITUTE(MID(UPPER(TRIM($DX489)),1+OR(LEFT(UPPER(TRIM($DX489)),1)="+",LEFT(UPPER(TRIM($DX489)),1)="-"),999),"E+","E"),"E-","E"))=LEN(SUBSTITUTE(SUBSTITUTE(SUBSTITUTE(SUBSTITUTE(MID(UPPER(TRIM($DX489)),1+OR(LEFT(UPPER(TRIM($DX489)),1)="+",LEFT(UPPER(TRIM($DX489)),1)="-"),999),"E+","E"),"E-","E"),"+",""),"-","")),LEN(UPPER(TRIM($DX489)))-LEN(SUBSTITUTE(UPPER(TRIM($DX489)),"E",""))&lt;2,LEN(UPPER(TRIM($DX489)))-LEN(SUBSTITUTE(UPPER(TRIM($DX489)),".",""))&lt;2,IFERROR(FIND(".",UPPER(TRIM($DX489))),0)&lt;IFERROR(FIND("E",UPPER(TRIM($DX489))),999)),ISNUMBER(VALUE(TRIM($DX489)))),VALUE(TRIM($DX489)),"")))),""))</f>
        <v/>
      </c>
      <c r="DZ489">
        <f>IF($DM489=0,"",IF($L$17=0,"",IFERROR(IF(ISNUMBER(INDEX(PASTE_ALL,$DF489,$L$17)),INDEX(PASTE_ALL,$DF489,$L$17),SUBSTITUTE(SUBSTITUTE(TRIM(SUBSTITUTE(SUBSTITUTE(SUBSTITUTE(SUBSTITUTE(INDEX(PASTE_ALL,$DF489,$L$17)," "," "),CHAR(9)," "),CHAR(10)," "),CHAR(13)," ")),",",""),"%","")),"")))</f>
        <v/>
      </c>
      <c r="EA489">
        <f>IF($DM489=0,"",IFERROR(IF(ISNUMBER($DZ489),$DZ489,IF($DZ489="","",IF(TRIM($DZ489)="",0,IF(AND(AND(SUBSTITUTE(SUBSTITUTE(SUBSTITUTE(SUBSTITUTE(SUBSTITUTE(SUBSTITUTE(SUBSTITUTE(SUBSTITUTE(SUBSTITUTE(SUBSTITUTE(SUBSTITUTE(SUBSTITUTE(SUBSTITUTE(SUBSTITUTE(UPPER(TRIM($DZ489)),"0",""),"1",""),"2",""),"3",""),"4",""),"5",""),"6",""),"7",""),"8",""),"9",""),".",""),"+",""),"-",""),"E","")="",LEN(SUBSTITUTE(SUBSTITUTE(MID(UPPER(TRIM($DZ489)),1+OR(LEFT(UPPER(TRIM($DZ489)),1)="+",LEFT(UPPER(TRIM($DZ489)),1)="-"),999),"E+","E"),"E-","E"))=LEN(SUBSTITUTE(SUBSTITUTE(SUBSTITUTE(SUBSTITUTE(MID(UPPER(TRIM($DZ489)),1+OR(LEFT(UPPER(TRIM($DZ489)),1)="+",LEFT(UPPER(TRIM($DZ489)),1)="-"),999),"E+","E"),"E-","E"),"+",""),"-","")),LEN(UPPER(TRIM($DZ489)))-LEN(SUBSTITUTE(UPPER(TRIM($DZ489)),"E",""))&lt;2,LEN(UPPER(TRIM($DZ489)))-LEN(SUBSTITUTE(UPPER(TRIM($DZ489)),".",""))&lt;2,IFERROR(FIND(".",UPPER(TRIM($DZ489))),0)&lt;IFERROR(FIND("E",UPPER(TRIM($DZ489))),999)),ISNUMBER(VALUE(TRIM($DZ489)))),VALUE(TRIM($DZ489)),"")))),""))</f>
        <v/>
      </c>
      <c r="EB489">
        <f>IF($DM489=0,"",IF($L$18=0,"",IFERROR(IF(UPPER(TRIM(SUBSTITUTE(SUBSTITUTE(SUBSTITUTE(SUBSTITUTE(INDEX(PASTE_ALL,$DF489,$L$18)," "," "),CHAR(9)," "),CHAR(10)," "),CHAR(13)," ")))="READY","Ready",IF(UPPER(TRIM(SUBSTITUTE(SUBSTITUTE(SUBSTITUTE(SUBSTITUTE(INDEX(PASTE_ALL,$DF489,$L$18)," "," "),CHAR(9)," "),CHAR(10)," "),CHAR(13)," ")))="PM","PM",IF(OR(UPPER(TRIM(SUBSTITUTE(SUBSTITUTE(SUBSTITUTE(SUBSTITUTE(INDEX(PASTE_ALL,$DF489,$L$18)," "," "),CHAR(9)," "),CHAR(10)," "),CHAR(13)," ")))="OT",UPPER(TRIM(SUBSTITUTE(SUBSTITUTE(SUBSTITUTE(SUBSTITUTE(INDEX(PASTE_ALL,$DF489,$L$18)," "," "),CHAR(9)," "),CHAR(10)," "),CHAR(13)," ")))="OVERTIME",UPPER(TRIM(SUBSTITUTE(SUBSTITUTE(SUBSTITUTE(SUBSTITUTE(INDEX(PASTE_ALL,$DF489,$L$18)," "," "),CHAR(9)," "),CHAR(10)," "),CHAR(13)," ")))="TRIAL"),"OT",TRIM(SUBSTITUTE(SUBSTITUTE(SUBSTITUTE(SUBSTITUTE(INDEX(PASTE_ALL,$DF489,$L$18)," "," "),CHAR(9)," "),CHAR(10)," "),CHAR(13)," "))))),"")))</f>
        <v/>
      </c>
      <c r="EC489">
        <f>IF($DM489=0,"",IF($L$19=0,"",IFERROR(IF(ISNUMBER(INDEX(PASTE_ALL,$DF489,$L$19)),INDEX(PASTE_ALL,$DF489,$L$19),TRIM(SUBSTITUTE(SUBSTITUTE(SUBSTITUTE(SUBSTITUTE(INDEX(PASTE_ALL,$DF489,$L$19)," "," "),CHAR(9)," "),CHAR(10)," "),CHAR(13)," "))),"")))</f>
        <v/>
      </c>
      <c r="ED489">
        <f>IF($DM489=0,"",MATCH(1,INDEX(EXACT($DH$5:DH489,$DH489)*$DM$5:DM489,0),0))</f>
        <v/>
      </c>
      <c r="EE489">
        <f>IF($DM489=0,0,IF($ED489=$DE489,1,0))</f>
        <v/>
      </c>
      <c r="EF489">
        <f>EF488+$EE489</f>
        <v/>
      </c>
      <c r="EG489">
        <f>IF($DM489=0,"",INDEX($EF$5:$EF$1003,$ED489))</f>
        <v/>
      </c>
      <c r="EH489">
        <f>IF($DM489=0,"",IF($DO489&lt;&gt;"","",IFERROR(LOOKUP(2,1/(($EG$4:EG488=$EG489)*($DO$4:DO488&lt;&gt;"")),$DO$4:DO488),"")))</f>
        <v/>
      </c>
      <c r="EI489">
        <f>IF($DM489=0,"",IF($DO489&lt;&gt;"",$DO489,$EH489))</f>
        <v/>
      </c>
      <c r="EJ489">
        <f>IF($DM489=0,"",IF($EI489="",0,IF(OR(ISNUMBER($EI489),AND(AND(SUBSTITUTE(SUBSTITUTE(SUBSTITUTE(SUBSTITUTE(SUBSTITUTE(SUBSTITUTE(SUBSTITUTE(SUBSTITUTE(SUBSTITUTE(SUBSTITUTE(SUBSTITUTE(SUBSTITUTE(SUBSTITUTE(SUBSTITUTE(UPPER($EI489),"0",""),"1",""),"2",""),"3",""),"4",""),"5",""),"6",""),"7",""),"8",""),"9",""),".",""),"+",""),"-",""),"E","")="",LEN(SUBSTITUTE(SUBSTITUTE(MID(UPPER($EI489),1+OR(LEFT(UPPER($EI489),1)="+",LEFT(UPPER($EI489),1)="-"),999),"E+","E"),"E-","E"))=LEN(SUBSTITUTE(SUBSTITUTE(SUBSTITUTE(SUBSTITUTE(MID(UPPER($EI489),1+OR(LEFT(UPPER($EI489),1)="+",LEFT(UPPER($EI489),1)="-"),999),"E+","E"),"E-","E"),"+",""),"-","")),LEN(UPPER($EI489))-LEN(SUBSTITUTE(UPPER($EI489),"E",""))&lt;2,LEN(UPPER($EI489))-LEN(SUBSTITUTE(UPPER($EI489),".",""))&lt;2,IFERROR(FIND(".",UPPER($EI489)),0)&lt;IFERROR(FIND("E",UPPER($EI489)),999)),ISNUMBER(VALUE($EI489)))),1,2)))</f>
        <v/>
      </c>
      <c r="EK489">
        <f>IF($DM489=0,"",IF($EJ489=1,IF(ISNUMBER($EI489),$EI489,VALUE($EI489)),IF($EJ489=2,$DE489,0)))</f>
        <v/>
      </c>
      <c r="EL489">
        <f>IF($DM489=0,"",COUNTIF($EG$5:$EG$1003,"&lt;"&amp;$EG489)+SUMPRODUCT(($EG$5:$EG$1003=$EG489)*(($EJ$5:$EJ$1003&lt;$EJ489)+($EJ$5:$EJ$1003=$EJ489)*(($EK$5:$EK$1003&lt;$EK489)+($EK$5:$EK$1003=$EK489)*($DE$5:$DE$1003&lt;$DE489))))+1)</f>
        <v/>
      </c>
      <c r="EM489">
        <f>IF($DM489=0,"",$EL489+$EG489-1)</f>
        <v/>
      </c>
      <c r="EN489">
        <f>IF($DM489=0,0,IFERROR(MATCH(1,INDEX(--(TRIM(SUBSTITUTE(SUBSTITUTE(SUBSTITUTE(SUBSTITUTE(LINES_NAME&amp;""," "," "),CHAR(9)," "),CHAR(10)," "),CHAR(13)," "))=$DH489),0),0),0))</f>
        <v/>
      </c>
      <c r="EO489">
        <f>IF($EN489=0,0,IF(OR(UPPER(TRIM(INDEX(LINES_SCHEDULED,$EN489)&amp;""))="YES",UPPER(TRIM(INDEX(LINES_SCHEDULED,$EN489)&amp;""))="Y",UPPER(TRIM(INDEX(LINES_SCHEDULED,$EN489)&amp;""))="X"),1,0))</f>
        <v/>
      </c>
      <c r="EP489">
        <f>IF($DM489=0,"",IF(COUNTIFS($EG$5:$EG$1003,$EG489,$EB$5:$EB$1003,"Ready")&gt;0,"READY",IF(COUNTIFS($EG$5:$EG$1003,$EG489,$EB$5:$EB$1003,"PM")&gt;0,"PM",IF(COUNTIFS($EG$5:$EG$1003,$EG489,$EB$5:$EB$1003,"OT")&gt;0,"OT",""))))</f>
        <v/>
      </c>
      <c r="EQ489">
        <f>IF($EN489=0,"",UPPER(TRIM(INDEX(LINES_STATUS,$EN489)&amp;"")))</f>
        <v/>
      </c>
      <c r="ER489">
        <f>IF($DM489=0,"",IF(OR($EQ489="READY",$EQ489="PM",$EQ489="OT"),$EQ489,$EP489))</f>
        <v/>
      </c>
      <c r="ES489">
        <f>IF($DM489=0,"",IF(AND($DV489&lt;&gt;"",UPPER($DV489)&lt;&gt;"N"),"allergen",IF(ISNUMBER(SEARCH("oil",$DQ489)),"oil",IF(OR(EXACT($DS489,"A662"),EXACT($DS489,"A624")),"bulk",""))))</f>
        <v/>
      </c>
      <c r="ET489">
        <f>IF($DM489=0,"",IF(OR($EA489="",$EA489=0),"",$EA489/100))</f>
        <v/>
      </c>
      <c r="EU489">
        <f>IF(OR($ET489="",$DY489=""),"",INT($DY489*(1-$ET489)+0.5))</f>
        <v/>
      </c>
      <c r="EW489" t="n">
        <v>485</v>
      </c>
      <c r="EX489">
        <f>IFERROR(MATCH($EW489,$EM$5:$EM$1003,0),0)</f>
        <v/>
      </c>
      <c r="EY489">
        <f>IF($EW489&gt;$B$12,"",IF($EX489&gt;0,"row","spacer"))</f>
        <v/>
      </c>
      <c r="EZ489">
        <f>IF(AND($EY489="row",$EY488&lt;&gt;"row"),1,0)</f>
        <v/>
      </c>
      <c r="FA489">
        <f>IF(AND($EY489="row",$EY490&lt;&gt;"row"),1,0)</f>
        <v/>
      </c>
      <c r="FB489">
        <f>IF($EZ489=1,IFERROR(IF(ISNUMBER(INDEX(PASTE_ALL,INDEX($DF$5:$DF$1003,$EX489),$B$37)),INDEX(PASTE_ALL,INDEX($DF$5:$DF$1003,$EX489),$B$37),INDEX($DH$5:$DH$1003,$EX489)),INDEX($DH$5:$DH$1003,$EX489)),"")</f>
        <v/>
      </c>
      <c r="FC489">
        <f>IF($EY489="row",INDEX($ER$5:$ER$1003,$EX489),"")</f>
        <v/>
      </c>
      <c r="FD489">
        <f>IF($EY489="row",INDEX($DN$5:$DN$1003,$EX489),"")</f>
        <v/>
      </c>
      <c r="FE489">
        <f>IF($EY489="row",INDEX($DO$5:$DO$1003,$EX489),"")</f>
        <v/>
      </c>
      <c r="FF489">
        <f>IF($EY489="row",INDEX($DP$5:$DP$1003,$EX489),"")</f>
        <v/>
      </c>
      <c r="FG489">
        <f>IF($EY489="row",INDEX($DQ$5:$DQ$1003,$EX489),"")</f>
        <v/>
      </c>
      <c r="FH489">
        <f>IF($EY489="row",INDEX($DR$5:$DR$1003,$EX489),"")</f>
        <v/>
      </c>
      <c r="FI489">
        <f>IF($EY489="row",INDEX($DS$5:$DS$1003,$EX489),"")</f>
        <v/>
      </c>
      <c r="FJ489">
        <f>IF($EY489="row",INDEX($DT$5:$DT$1003,$EX489),"")</f>
        <v/>
      </c>
      <c r="FK489">
        <f>IF($EY489="row",INDEX($DU$5:$DU$1003,$EX489),"")</f>
        <v/>
      </c>
      <c r="FL489">
        <f>IF($EY489="row",INDEX($DV$5:$DV$1003,$EX489),"")</f>
        <v/>
      </c>
      <c r="FM489">
        <f>IF($EY489="row",INDEX($DW$5:$DW$1003,$EX489),"")</f>
        <v/>
      </c>
      <c r="FN489">
        <f>IF($EY489="row",INDEX($DY$5:$DY$1003,$EX489),"")</f>
        <v/>
      </c>
      <c r="FO489">
        <f>IF($EY489="row",INDEX($EA$5:$EA$1003,$EX489),"")</f>
        <v/>
      </c>
      <c r="FP489">
        <f>IF($EY489="row",INDEX($EC$5:$EC$1003,$EX489),"")</f>
        <v/>
      </c>
      <c r="FQ489">
        <f>IF($EY489="row",INDEX($ET$5:$ET$1003,$EX489),"")</f>
        <v/>
      </c>
      <c r="FR489">
        <f>IF($EY489="row",INDEX($EU$5:$EU$1003,$EX489),"")</f>
        <v/>
      </c>
      <c r="FS489">
        <f>IF(AND($EY489="row",$EY488="row"),IF(OR(INDEX($DT$5:$DT$1003,$EX488)="",INDEX($DT$5:$DT$1003,$EX489)=""),"",IF(NOT(EXACT(INDEX($DT$5:$DT$1003,$EX488),INDEX($DT$5:$DT$1003,$EX489))),"S4",IF(NOT(EXACT(INDEX($DS$5:$DS$1003,$EX488),INDEX($DS$5:$DS$1003,$EX489))),"S3",IF(NOT(EXACT(INDEX($DR$5:$DR$1003,$EX488),INDEX($DR$5:$DR$1003,$EX489))),"S1 Count Change","S1")))),"")</f>
        <v/>
      </c>
      <c r="FT489">
        <f>IF($EY489="row",INDEX($ES$5:$ES$1003,$EX489),"")</f>
        <v/>
      </c>
      <c r="FU489">
        <f>IF($EY489="row",INDEX($EO$5:$EO$1003,$EX489),0)</f>
        <v/>
      </c>
      <c r="FV489">
        <f>IF($FS489="S1 Count Change",1,0)</f>
        <v/>
      </c>
    </row>
    <row r="490">
      <c r="DA490" t="n">
        <v>486</v>
      </c>
      <c r="DB490">
        <f>IF($B$37=0,"",IFERROR(TRIM(SUBSTITUTE(SUBSTITUTE(SUBSTITUTE(SUBSTITUTE(INDEX(PASTE_ALL,486,$B$37)," "," "),CHAR(9)," "),CHAR(10)," "),CHAR(13)," ")),""))</f>
        <v/>
      </c>
      <c r="DC490">
        <f>IF(AND(486&gt;HEADER_ROW,UPPER(DB490)="LEGEND"),1,0)</f>
        <v/>
      </c>
      <c r="DE490" t="n">
        <v>486</v>
      </c>
      <c r="DF490">
        <f>HEADER_ROW+$DE490</f>
        <v/>
      </c>
      <c r="DG490">
        <f>IF(AND($DF490&lt;=1000,$DF490&lt;$B$8),1,0)</f>
        <v/>
      </c>
      <c r="DH490">
        <f>IF($DG490=1,IFERROR(INDEX($DB$5:$DB$1004,$DF490),""),"")</f>
        <v/>
      </c>
      <c r="DI490">
        <f>IF(AND($DG490=1,$DH490&lt;&gt;""),IFERROR(SUBSTITUTE(SUBSTITUTE(TRIM(SUBSTITUTE(SUBSTITUTE(SUBSTITUTE(SUBSTITUTE(IFERROR(INDEX(PASTE_ALL,$DF490,1)&amp;"","")&amp;"␟"&amp;IFERROR(INDEX(PASTE_ALL,$DF490,2)&amp;"","")&amp;"␟"&amp;IFERROR(INDEX(PASTE_ALL,$DF490,3)&amp;"","")&amp;"␟"&amp;IFERROR(INDEX(PASTE_ALL,$DF490,4)&amp;"","")&amp;"␟"&amp;IFERROR(INDEX(PASTE_ALL,$DF490,5)&amp;"","")&amp;"␟"&amp;IFERROR(INDEX(PASTE_ALL,$DF490,6)&amp;"","")&amp;"␟"&amp;IFERROR(INDEX(PASTE_ALL,$DF490,7)&amp;"","")&amp;"␟"&amp;IFERROR(INDEX(PASTE_ALL,$DF490,8)&amp;"","")&amp;"␟"&amp;IFERROR(INDEX(PASTE_ALL,$DF490,9)&amp;"","")&amp;"␟"&amp;IFERROR(INDEX(PASTE_ALL,$DF490,10)&amp;"","")&amp;"␟"&amp;IFERROR(INDEX(PASTE_ALL,$DF490,11)&amp;"","")&amp;"␟"&amp;IFERROR(INDEX(PASTE_ALL,$DF490,12)&amp;"","")&amp;"␟"&amp;IFERROR(INDEX(PASTE_ALL,$DF490,13)&amp;"","")&amp;"␟"&amp;IFERROR(INDEX(PASTE_ALL,$DF490,14)&amp;"","")&amp;"␟"&amp;IFERROR(INDEX(PASTE_ALL,$DF490,15)&amp;"","")&amp;"␟"&amp;IFERROR(INDEX(PASTE_ALL,$DF490,16)&amp;"","")&amp;"␟"&amp;IFERROR(INDEX(PASTE_ALL,$DF490,17)&amp;"","")&amp;"␟"&amp;IFERROR(INDEX(PASTE_ALL,$DF490,18)&amp;"","")&amp;"␟"&amp;IFERROR(INDEX(PASTE_ALL,$DF490,19)&amp;"","")&amp;"␟"&amp;IFERROR(INDEX(PASTE_ALL,$DF490,20)&amp;"","")&amp;"␟"&amp;IFERROR(INDEX(PASTE_ALL,$DF490,21)&amp;"","")&amp;"␟"&amp;IFERROR(INDEX(PASTE_ALL,$DF490,22)&amp;"","")&amp;"␟"&amp;IFERROR(INDEX(PASTE_ALL,$DF490,23)&amp;"","")&amp;"␟"&amp;IFERROR(INDEX(PASTE_ALL,$DF490,24)&amp;"","")&amp;"␟"&amp;IFERROR(INDEX(PASTE_ALL,$DF490,25)&amp;"","")&amp;"␟"&amp;IFERROR(INDEX(PASTE_ALL,$DF490,26)&amp;"","")&amp;"␟"&amp;IFERROR(INDEX(PASTE_ALL,$DF490,27)&amp;"","")&amp;"␟"&amp;IFERROR(INDEX(PASTE_ALL,$DF490,28)&amp;"","")&amp;"␟"&amp;IFERROR(INDEX(PASTE_ALL,$DF490,29)&amp;"","")&amp;"␟"&amp;IFERROR(INDEX(PASTE_ALL,$DF490,30)&amp;"","")&amp;"␟"&amp;IFERROR(INDEX(PASTE_ALL,$DF490,31)&amp;"","")&amp;"␟"&amp;IFERROR(INDEX(PASTE_ALL,$DF490,32)&amp;"","")&amp;"␟"&amp;IFERROR(INDEX(PASTE_ALL,$DF490,33)&amp;"","")&amp;"␟"&amp;IFERROR(INDEX(PASTE_ALL,$DF490,34)&amp;"","")&amp;"␟"&amp;IFERROR(INDEX(PASTE_ALL,$DF490,35)&amp;"","")&amp;"␟"&amp;IFERROR(INDEX(PASTE_ALL,$DF490,36)&amp;"","")&amp;"␟"&amp;IFERROR(INDEX(PASTE_ALL,$DF490,37)&amp;"","")&amp;"␟"&amp;IFERROR(INDEX(PASTE_ALL,$DF490,38)&amp;"","")&amp;"␟"&amp;IFERROR(INDEX(PASTE_ALL,$DF490,39)&amp;"","")&amp;"␟"&amp;IFERROR(INDEX(PASTE_ALL,$DF490,40)&amp;"","")&amp;"␟"&amp;IFERROR(INDEX(PASTE_ALL,$DF490,41)&amp;"","")&amp;"␟"&amp;IFERROR(INDEX(PASTE_ALL,$DF490,42)&amp;"","")&amp;"␟"&amp;IFERROR(INDEX(PASTE_ALL,$DF490,43)&amp;"","")&amp;"␟"&amp;IFERROR(INDEX(PASTE_ALL,$DF490,44)&amp;"","")&amp;"␟"&amp;IFERROR(INDEX(PASTE_ALL,$DF490,45)&amp;"","")&amp;"␟"&amp;IFERROR(INDEX(PASTE_ALL,$DF490,46)&amp;"","")&amp;"␟"&amp;IFERROR(INDEX(PASTE_ALL,$DF490,47)&amp;"","")&amp;"␟"&amp;IFERROR(INDEX(PASTE_ALL,$DF490,48)&amp;"","")&amp;"␟"&amp;IFERROR(INDEX(PASTE_ALL,$DF490,49)&amp;"","")&amp;"␟"&amp;IFERROR(INDEX(PASTE_ALL,$DF490,50)&amp;"","")&amp;"␟"&amp;IFERROR(INDEX(PASTE_ALL,$DF490,51)&amp;"","")&amp;"␟"&amp;IFERROR(INDEX(PASTE_ALL,$DF490,52)&amp;"","")&amp;"␟"&amp;IFERROR(INDEX(PASTE_ALL,$DF490,53)&amp;"","")&amp;"␟"&amp;IFERROR(INDEX(PASTE_ALL,$DF490,54)&amp;"","")&amp;"␟"&amp;IFERROR(INDEX(PASTE_ALL,$DF490,55)&amp;"","")&amp;"␟"&amp;IFERROR(INDEX(PASTE_ALL,$DF490,56)&amp;"","")&amp;"␟"&amp;IFERROR(INDEX(PASTE_ALL,$DF490,57)&amp;"","")&amp;"␟"&amp;IFERROR(INDEX(PASTE_ALL,$DF490,58)&amp;"","")&amp;"␟"&amp;IFERROR(INDEX(PASTE_ALL,$DF490,59)&amp;"","")&amp;"␟"&amp;IFERROR(INDEX(PASTE_ALL,$DF490,60)&amp;"","")," "," "),CHAR(9)," "),CHAR(10)," "),CHAR(13)," "))," ␟","␟"),"␟ ","␟"),"#"&amp;$DE490),"")</f>
        <v/>
      </c>
      <c r="DJ490">
        <f>IF($DI490="",0,IF(SUMPRODUCT(--EXACT($DI$4:DI489,$DI490))&gt;0,1,0))</f>
        <v/>
      </c>
      <c r="DK490">
        <f>IF(AND($DI490&lt;&gt;"",$DJ490=0),1,0)</f>
        <v/>
      </c>
      <c r="DL490">
        <f>DL489+$DK490</f>
        <v/>
      </c>
      <c r="DM490">
        <f>IF(AND($DK490=1,$DL490&lt;=600),1,0)</f>
        <v/>
      </c>
      <c r="DN490">
        <f>IF($DM490=0,"",IF($L$6=0,"",IFERROR(IF(ISNUMBER(INDEX(PASTE_ALL,$DF490,$L$6)),INDEX(PASTE_ALL,$DF490,$L$6),TRIM(SUBSTITUTE(SUBSTITUTE(SUBSTITUTE(SUBSTITUTE(INDEX(PASTE_ALL,$DF490,$L$6)," "," "),CHAR(9)," "),CHAR(10)," "),CHAR(13)," "))),"")))</f>
        <v/>
      </c>
      <c r="DO490">
        <f>IF($DM490=0,"",IF($L$7=0,"",IFERROR(IF(ISNUMBER(INDEX(PASTE_ALL,$DF490,$L$7)),INDEX(PASTE_ALL,$DF490,$L$7),TRIM(SUBSTITUTE(SUBSTITUTE(SUBSTITUTE(SUBSTITUTE(INDEX(PASTE_ALL,$DF490,$L$7)," "," "),CHAR(9)," "),CHAR(10)," "),CHAR(13)," "))),"")))</f>
        <v/>
      </c>
      <c r="DP490">
        <f>IF($DM490=0,"",IF($L$8=0,"",IFERROR(IF(ISNUMBER(INDEX(PASTE_ALL,$DF490,$L$8)),INDEX(PASTE_ALL,$DF490,$L$8),TRIM(SUBSTITUTE(SUBSTITUTE(SUBSTITUTE(SUBSTITUTE(INDEX(PASTE_ALL,$DF490,$L$8)," "," "),CHAR(9)," "),CHAR(10)," "),CHAR(13)," "))),"")))</f>
        <v/>
      </c>
      <c r="DQ490">
        <f>IF($DM490=0,"",IF($L$9=0,"",IFERROR(IF(ISNUMBER(INDEX(PASTE_ALL,$DF490,$L$9)),INDEX(PASTE_ALL,$DF490,$L$9),TRIM(SUBSTITUTE(SUBSTITUTE(SUBSTITUTE(SUBSTITUTE(INDEX(PASTE_ALL,$DF490,$L$9)," "," "),CHAR(9)," "),CHAR(10)," "),CHAR(13)," "))),"")))</f>
        <v/>
      </c>
      <c r="DR490">
        <f>IF($DM490=0,"",IF($L$10=0,"",IFERROR(IF(ISNUMBER(INDEX(PASTE_ALL,$DF490,$L$10)),INDEX(PASTE_ALL,$DF490,$L$10),TRIM(SUBSTITUTE(SUBSTITUTE(SUBSTITUTE(SUBSTITUTE(INDEX(PASTE_ALL,$DF490,$L$10)," "," "),CHAR(9)," "),CHAR(10)," "),CHAR(13)," "))),"")))</f>
        <v/>
      </c>
      <c r="DS490">
        <f>IF($DM490=0,"",IF($L$11=0,"",IFERROR(IF(ISNUMBER(INDEX(PASTE_ALL,$DF490,$L$11)),INDEX(PASTE_ALL,$DF490,$L$11),TRIM(SUBSTITUTE(SUBSTITUTE(SUBSTITUTE(SUBSTITUTE(INDEX(PASTE_ALL,$DF490,$L$11)," "," "),CHAR(9)," "),CHAR(10)," "),CHAR(13)," "))),"")))</f>
        <v/>
      </c>
      <c r="DT490">
        <f>IF($DM490=0,"",IF($L$12=0,"",IFERROR(IF(ISNUMBER(INDEX(PASTE_ALL,$DF490,$L$12)),INDEX(PASTE_ALL,$DF490,$L$12),TRIM(SUBSTITUTE(SUBSTITUTE(SUBSTITUTE(SUBSTITUTE(INDEX(PASTE_ALL,$DF490,$L$12)," "," "),CHAR(9)," "),CHAR(10)," "),CHAR(13)," "))),"")))</f>
        <v/>
      </c>
      <c r="DU490">
        <f>IF($DM490=0,"",IF($L$13=0,"",IFERROR(IF(ISNUMBER(INDEX(PASTE_ALL,$DF490,$L$13)),INDEX(PASTE_ALL,$DF490,$L$13),TRIM(SUBSTITUTE(SUBSTITUTE(SUBSTITUTE(SUBSTITUTE(INDEX(PASTE_ALL,$DF490,$L$13)," "," "),CHAR(9)," "),CHAR(10)," "),CHAR(13)," "))),"")))</f>
        <v/>
      </c>
      <c r="DV490">
        <f>IF($DM490=0,"",IF($L$14=0,"",IFERROR(IF(ISNUMBER(INDEX(PASTE_ALL,$DF490,$L$14)),INDEX(PASTE_ALL,$DF490,$L$14),TRIM(SUBSTITUTE(SUBSTITUTE(SUBSTITUTE(SUBSTITUTE(INDEX(PASTE_ALL,$DF490,$L$14)," "," "),CHAR(9)," "),CHAR(10)," "),CHAR(13)," "))),"")))</f>
        <v/>
      </c>
      <c r="DW490">
        <f>IF($DM490=0,"",IF($L$15=0,"",IFERROR(IF(ISNUMBER(INDEX(PASTE_ALL,$DF490,$L$15)),INDEX(PASTE_ALL,$DF490,$L$15),IF(SUMPRODUCT(--ISNUMBER(FIND({"A","B","C","D","E","F","G","H","I","J","K","L","M","N","O","P","Q","R","S","T","U","V","W","X","Y","Z","0","1","2","3","4","5","6","7","8","9"},UPPER(TRIM(SUBSTITUTE(SUBSTITUTE(SUBSTITUTE(SUBSTITUTE(INDEX(PASTE_ALL,$DF490,$L$15)," "," "),CHAR(9)," "),CHAR(10)," "),CHAR(13)," "))))))&gt;0,TRIM(SUBSTITUTE(SUBSTITUTE(SUBSTITUTE(SUBSTITUTE(INDEX(PASTE_ALL,$DF490,$L$15)," "," "),CHAR(9)," "),CHAR(10)," "),CHAR(13)," ")),"")),"")))</f>
        <v/>
      </c>
      <c r="DX490">
        <f>IF($DM490=0,"",IF($L$16=0,"",IFERROR(IF(ISNUMBER(INDEX(PASTE_ALL,$DF490,$L$16)),INDEX(PASTE_ALL,$DF490,$L$16),SUBSTITUTE(SUBSTITUTE(TRIM(SUBSTITUTE(SUBSTITUTE(SUBSTITUTE(SUBSTITUTE(INDEX(PASTE_ALL,$DF490,$L$16)," "," "),CHAR(9)," "),CHAR(10)," "),CHAR(13)," ")),",",""),"%","")),"")))</f>
        <v/>
      </c>
      <c r="DY490">
        <f>IF($DM490=0,"",IFERROR(IF(ISNUMBER($DX490),$DX490,IF($DX490="","",IF(TRIM($DX490)="",0,IF(AND(AND(SUBSTITUTE(SUBSTITUTE(SUBSTITUTE(SUBSTITUTE(SUBSTITUTE(SUBSTITUTE(SUBSTITUTE(SUBSTITUTE(SUBSTITUTE(SUBSTITUTE(SUBSTITUTE(SUBSTITUTE(SUBSTITUTE(SUBSTITUTE(UPPER(TRIM($DX490)),"0",""),"1",""),"2",""),"3",""),"4",""),"5",""),"6",""),"7",""),"8",""),"9",""),".",""),"+",""),"-",""),"E","")="",LEN(SUBSTITUTE(SUBSTITUTE(MID(UPPER(TRIM($DX490)),1+OR(LEFT(UPPER(TRIM($DX490)),1)="+",LEFT(UPPER(TRIM($DX490)),1)="-"),999),"E+","E"),"E-","E"))=LEN(SUBSTITUTE(SUBSTITUTE(SUBSTITUTE(SUBSTITUTE(MID(UPPER(TRIM($DX490)),1+OR(LEFT(UPPER(TRIM($DX490)),1)="+",LEFT(UPPER(TRIM($DX490)),1)="-"),999),"E+","E"),"E-","E"),"+",""),"-","")),LEN(UPPER(TRIM($DX490)))-LEN(SUBSTITUTE(UPPER(TRIM($DX490)),"E",""))&lt;2,LEN(UPPER(TRIM($DX490)))-LEN(SUBSTITUTE(UPPER(TRIM($DX490)),".",""))&lt;2,IFERROR(FIND(".",UPPER(TRIM($DX490))),0)&lt;IFERROR(FIND("E",UPPER(TRIM($DX490))),999)),ISNUMBER(VALUE(TRIM($DX490)))),VALUE(TRIM($DX490)),"")))),""))</f>
        <v/>
      </c>
      <c r="DZ490">
        <f>IF($DM490=0,"",IF($L$17=0,"",IFERROR(IF(ISNUMBER(INDEX(PASTE_ALL,$DF490,$L$17)),INDEX(PASTE_ALL,$DF490,$L$17),SUBSTITUTE(SUBSTITUTE(TRIM(SUBSTITUTE(SUBSTITUTE(SUBSTITUTE(SUBSTITUTE(INDEX(PASTE_ALL,$DF490,$L$17)," "," "),CHAR(9)," "),CHAR(10)," "),CHAR(13)," ")),",",""),"%","")),"")))</f>
        <v/>
      </c>
      <c r="EA490">
        <f>IF($DM490=0,"",IFERROR(IF(ISNUMBER($DZ490),$DZ490,IF($DZ490="","",IF(TRIM($DZ490)="",0,IF(AND(AND(SUBSTITUTE(SUBSTITUTE(SUBSTITUTE(SUBSTITUTE(SUBSTITUTE(SUBSTITUTE(SUBSTITUTE(SUBSTITUTE(SUBSTITUTE(SUBSTITUTE(SUBSTITUTE(SUBSTITUTE(SUBSTITUTE(SUBSTITUTE(UPPER(TRIM($DZ490)),"0",""),"1",""),"2",""),"3",""),"4",""),"5",""),"6",""),"7",""),"8",""),"9",""),".",""),"+",""),"-",""),"E","")="",LEN(SUBSTITUTE(SUBSTITUTE(MID(UPPER(TRIM($DZ490)),1+OR(LEFT(UPPER(TRIM($DZ490)),1)="+",LEFT(UPPER(TRIM($DZ490)),1)="-"),999),"E+","E"),"E-","E"))=LEN(SUBSTITUTE(SUBSTITUTE(SUBSTITUTE(SUBSTITUTE(MID(UPPER(TRIM($DZ490)),1+OR(LEFT(UPPER(TRIM($DZ490)),1)="+",LEFT(UPPER(TRIM($DZ490)),1)="-"),999),"E+","E"),"E-","E"),"+",""),"-","")),LEN(UPPER(TRIM($DZ490)))-LEN(SUBSTITUTE(UPPER(TRIM($DZ490)),"E",""))&lt;2,LEN(UPPER(TRIM($DZ490)))-LEN(SUBSTITUTE(UPPER(TRIM($DZ490)),".",""))&lt;2,IFERROR(FIND(".",UPPER(TRIM($DZ490))),0)&lt;IFERROR(FIND("E",UPPER(TRIM($DZ490))),999)),ISNUMBER(VALUE(TRIM($DZ490)))),VALUE(TRIM($DZ490)),"")))),""))</f>
        <v/>
      </c>
      <c r="EB490">
        <f>IF($DM490=0,"",IF($L$18=0,"",IFERROR(IF(UPPER(TRIM(SUBSTITUTE(SUBSTITUTE(SUBSTITUTE(SUBSTITUTE(INDEX(PASTE_ALL,$DF490,$L$18)," "," "),CHAR(9)," "),CHAR(10)," "),CHAR(13)," ")))="READY","Ready",IF(UPPER(TRIM(SUBSTITUTE(SUBSTITUTE(SUBSTITUTE(SUBSTITUTE(INDEX(PASTE_ALL,$DF490,$L$18)," "," "),CHAR(9)," "),CHAR(10)," "),CHAR(13)," ")))="PM","PM",IF(OR(UPPER(TRIM(SUBSTITUTE(SUBSTITUTE(SUBSTITUTE(SUBSTITUTE(INDEX(PASTE_ALL,$DF490,$L$18)," "," "),CHAR(9)," "),CHAR(10)," "),CHAR(13)," ")))="OT",UPPER(TRIM(SUBSTITUTE(SUBSTITUTE(SUBSTITUTE(SUBSTITUTE(INDEX(PASTE_ALL,$DF490,$L$18)," "," "),CHAR(9)," "),CHAR(10)," "),CHAR(13)," ")))="OVERTIME",UPPER(TRIM(SUBSTITUTE(SUBSTITUTE(SUBSTITUTE(SUBSTITUTE(INDEX(PASTE_ALL,$DF490,$L$18)," "," "),CHAR(9)," "),CHAR(10)," "),CHAR(13)," ")))="TRIAL"),"OT",TRIM(SUBSTITUTE(SUBSTITUTE(SUBSTITUTE(SUBSTITUTE(INDEX(PASTE_ALL,$DF490,$L$18)," "," "),CHAR(9)," "),CHAR(10)," "),CHAR(13)," "))))),"")))</f>
        <v/>
      </c>
      <c r="EC490">
        <f>IF($DM490=0,"",IF($L$19=0,"",IFERROR(IF(ISNUMBER(INDEX(PASTE_ALL,$DF490,$L$19)),INDEX(PASTE_ALL,$DF490,$L$19),TRIM(SUBSTITUTE(SUBSTITUTE(SUBSTITUTE(SUBSTITUTE(INDEX(PASTE_ALL,$DF490,$L$19)," "," "),CHAR(9)," "),CHAR(10)," "),CHAR(13)," "))),"")))</f>
        <v/>
      </c>
      <c r="ED490">
        <f>IF($DM490=0,"",MATCH(1,INDEX(EXACT($DH$5:DH490,$DH490)*$DM$5:DM490,0),0))</f>
        <v/>
      </c>
      <c r="EE490">
        <f>IF($DM490=0,0,IF($ED490=$DE490,1,0))</f>
        <v/>
      </c>
      <c r="EF490">
        <f>EF489+$EE490</f>
        <v/>
      </c>
      <c r="EG490">
        <f>IF($DM490=0,"",INDEX($EF$5:$EF$1003,$ED490))</f>
        <v/>
      </c>
      <c r="EH490">
        <f>IF($DM490=0,"",IF($DO490&lt;&gt;"","",IFERROR(LOOKUP(2,1/(($EG$4:EG489=$EG490)*($DO$4:DO489&lt;&gt;"")),$DO$4:DO489),"")))</f>
        <v/>
      </c>
      <c r="EI490">
        <f>IF($DM490=0,"",IF($DO490&lt;&gt;"",$DO490,$EH490))</f>
        <v/>
      </c>
      <c r="EJ490">
        <f>IF($DM490=0,"",IF($EI490="",0,IF(OR(ISNUMBER($EI490),AND(AND(SUBSTITUTE(SUBSTITUTE(SUBSTITUTE(SUBSTITUTE(SUBSTITUTE(SUBSTITUTE(SUBSTITUTE(SUBSTITUTE(SUBSTITUTE(SUBSTITUTE(SUBSTITUTE(SUBSTITUTE(SUBSTITUTE(SUBSTITUTE(UPPER($EI490),"0",""),"1",""),"2",""),"3",""),"4",""),"5",""),"6",""),"7",""),"8",""),"9",""),".",""),"+",""),"-",""),"E","")="",LEN(SUBSTITUTE(SUBSTITUTE(MID(UPPER($EI490),1+OR(LEFT(UPPER($EI490),1)="+",LEFT(UPPER($EI490),1)="-"),999),"E+","E"),"E-","E"))=LEN(SUBSTITUTE(SUBSTITUTE(SUBSTITUTE(SUBSTITUTE(MID(UPPER($EI490),1+OR(LEFT(UPPER($EI490),1)="+",LEFT(UPPER($EI490),1)="-"),999),"E+","E"),"E-","E"),"+",""),"-","")),LEN(UPPER($EI490))-LEN(SUBSTITUTE(UPPER($EI490),"E",""))&lt;2,LEN(UPPER($EI490))-LEN(SUBSTITUTE(UPPER($EI490),".",""))&lt;2,IFERROR(FIND(".",UPPER($EI490)),0)&lt;IFERROR(FIND("E",UPPER($EI490)),999)),ISNUMBER(VALUE($EI490)))),1,2)))</f>
        <v/>
      </c>
      <c r="EK490">
        <f>IF($DM490=0,"",IF($EJ490=1,IF(ISNUMBER($EI490),$EI490,VALUE($EI490)),IF($EJ490=2,$DE490,0)))</f>
        <v/>
      </c>
      <c r="EL490">
        <f>IF($DM490=0,"",COUNTIF($EG$5:$EG$1003,"&lt;"&amp;$EG490)+SUMPRODUCT(($EG$5:$EG$1003=$EG490)*(($EJ$5:$EJ$1003&lt;$EJ490)+($EJ$5:$EJ$1003=$EJ490)*(($EK$5:$EK$1003&lt;$EK490)+($EK$5:$EK$1003=$EK490)*($DE$5:$DE$1003&lt;$DE490))))+1)</f>
        <v/>
      </c>
      <c r="EM490">
        <f>IF($DM490=0,"",$EL490+$EG490-1)</f>
        <v/>
      </c>
      <c r="EN490">
        <f>IF($DM490=0,0,IFERROR(MATCH(1,INDEX(--(TRIM(SUBSTITUTE(SUBSTITUTE(SUBSTITUTE(SUBSTITUTE(LINES_NAME&amp;""," "," "),CHAR(9)," "),CHAR(10)," "),CHAR(13)," "))=$DH490),0),0),0))</f>
        <v/>
      </c>
      <c r="EO490">
        <f>IF($EN490=0,0,IF(OR(UPPER(TRIM(INDEX(LINES_SCHEDULED,$EN490)&amp;""))="YES",UPPER(TRIM(INDEX(LINES_SCHEDULED,$EN490)&amp;""))="Y",UPPER(TRIM(INDEX(LINES_SCHEDULED,$EN490)&amp;""))="X"),1,0))</f>
        <v/>
      </c>
      <c r="EP490">
        <f>IF($DM490=0,"",IF(COUNTIFS($EG$5:$EG$1003,$EG490,$EB$5:$EB$1003,"Ready")&gt;0,"READY",IF(COUNTIFS($EG$5:$EG$1003,$EG490,$EB$5:$EB$1003,"PM")&gt;0,"PM",IF(COUNTIFS($EG$5:$EG$1003,$EG490,$EB$5:$EB$1003,"OT")&gt;0,"OT",""))))</f>
        <v/>
      </c>
      <c r="EQ490">
        <f>IF($EN490=0,"",UPPER(TRIM(INDEX(LINES_STATUS,$EN490)&amp;"")))</f>
        <v/>
      </c>
      <c r="ER490">
        <f>IF($DM490=0,"",IF(OR($EQ490="READY",$EQ490="PM",$EQ490="OT"),$EQ490,$EP490))</f>
        <v/>
      </c>
      <c r="ES490">
        <f>IF($DM490=0,"",IF(AND($DV490&lt;&gt;"",UPPER($DV490)&lt;&gt;"N"),"allergen",IF(ISNUMBER(SEARCH("oil",$DQ490)),"oil",IF(OR(EXACT($DS490,"A662"),EXACT($DS490,"A624")),"bulk",""))))</f>
        <v/>
      </c>
      <c r="ET490">
        <f>IF($DM490=0,"",IF(OR($EA490="",$EA490=0),"",$EA490/100))</f>
        <v/>
      </c>
      <c r="EU490">
        <f>IF(OR($ET490="",$DY490=""),"",INT($DY490*(1-$ET490)+0.5))</f>
        <v/>
      </c>
      <c r="EW490" t="n">
        <v>486</v>
      </c>
      <c r="EX490">
        <f>IFERROR(MATCH($EW490,$EM$5:$EM$1003,0),0)</f>
        <v/>
      </c>
      <c r="EY490">
        <f>IF($EW490&gt;$B$12,"",IF($EX490&gt;0,"row","spacer"))</f>
        <v/>
      </c>
      <c r="EZ490">
        <f>IF(AND($EY490="row",$EY489&lt;&gt;"row"),1,0)</f>
        <v/>
      </c>
      <c r="FA490">
        <f>IF(AND($EY490="row",$EY491&lt;&gt;"row"),1,0)</f>
        <v/>
      </c>
      <c r="FB490">
        <f>IF($EZ490=1,IFERROR(IF(ISNUMBER(INDEX(PASTE_ALL,INDEX($DF$5:$DF$1003,$EX490),$B$37)),INDEX(PASTE_ALL,INDEX($DF$5:$DF$1003,$EX490),$B$37),INDEX($DH$5:$DH$1003,$EX490)),INDEX($DH$5:$DH$1003,$EX490)),"")</f>
        <v/>
      </c>
      <c r="FC490">
        <f>IF($EY490="row",INDEX($ER$5:$ER$1003,$EX490),"")</f>
        <v/>
      </c>
      <c r="FD490">
        <f>IF($EY490="row",INDEX($DN$5:$DN$1003,$EX490),"")</f>
        <v/>
      </c>
      <c r="FE490">
        <f>IF($EY490="row",INDEX($DO$5:$DO$1003,$EX490),"")</f>
        <v/>
      </c>
      <c r="FF490">
        <f>IF($EY490="row",INDEX($DP$5:$DP$1003,$EX490),"")</f>
        <v/>
      </c>
      <c r="FG490">
        <f>IF($EY490="row",INDEX($DQ$5:$DQ$1003,$EX490),"")</f>
        <v/>
      </c>
      <c r="FH490">
        <f>IF($EY490="row",INDEX($DR$5:$DR$1003,$EX490),"")</f>
        <v/>
      </c>
      <c r="FI490">
        <f>IF($EY490="row",INDEX($DS$5:$DS$1003,$EX490),"")</f>
        <v/>
      </c>
      <c r="FJ490">
        <f>IF($EY490="row",INDEX($DT$5:$DT$1003,$EX490),"")</f>
        <v/>
      </c>
      <c r="FK490">
        <f>IF($EY490="row",INDEX($DU$5:$DU$1003,$EX490),"")</f>
        <v/>
      </c>
      <c r="FL490">
        <f>IF($EY490="row",INDEX($DV$5:$DV$1003,$EX490),"")</f>
        <v/>
      </c>
      <c r="FM490">
        <f>IF($EY490="row",INDEX($DW$5:$DW$1003,$EX490),"")</f>
        <v/>
      </c>
      <c r="FN490">
        <f>IF($EY490="row",INDEX($DY$5:$DY$1003,$EX490),"")</f>
        <v/>
      </c>
      <c r="FO490">
        <f>IF($EY490="row",INDEX($EA$5:$EA$1003,$EX490),"")</f>
        <v/>
      </c>
      <c r="FP490">
        <f>IF($EY490="row",INDEX($EC$5:$EC$1003,$EX490),"")</f>
        <v/>
      </c>
      <c r="FQ490">
        <f>IF($EY490="row",INDEX($ET$5:$ET$1003,$EX490),"")</f>
        <v/>
      </c>
      <c r="FR490">
        <f>IF($EY490="row",INDEX($EU$5:$EU$1003,$EX490),"")</f>
        <v/>
      </c>
      <c r="FS490">
        <f>IF(AND($EY490="row",$EY489="row"),IF(OR(INDEX($DT$5:$DT$1003,$EX489)="",INDEX($DT$5:$DT$1003,$EX490)=""),"",IF(NOT(EXACT(INDEX($DT$5:$DT$1003,$EX489),INDEX($DT$5:$DT$1003,$EX490))),"S4",IF(NOT(EXACT(INDEX($DS$5:$DS$1003,$EX489),INDEX($DS$5:$DS$1003,$EX490))),"S3",IF(NOT(EXACT(INDEX($DR$5:$DR$1003,$EX489),INDEX($DR$5:$DR$1003,$EX490))),"S1 Count Change","S1")))),"")</f>
        <v/>
      </c>
      <c r="FT490">
        <f>IF($EY490="row",INDEX($ES$5:$ES$1003,$EX490),"")</f>
        <v/>
      </c>
      <c r="FU490">
        <f>IF($EY490="row",INDEX($EO$5:$EO$1003,$EX490),0)</f>
        <v/>
      </c>
      <c r="FV490">
        <f>IF($FS490="S1 Count Change",1,0)</f>
        <v/>
      </c>
    </row>
    <row r="491">
      <c r="DA491" t="n">
        <v>487</v>
      </c>
      <c r="DB491">
        <f>IF($B$37=0,"",IFERROR(TRIM(SUBSTITUTE(SUBSTITUTE(SUBSTITUTE(SUBSTITUTE(INDEX(PASTE_ALL,487,$B$37)," "," "),CHAR(9)," "),CHAR(10)," "),CHAR(13)," ")),""))</f>
        <v/>
      </c>
      <c r="DC491">
        <f>IF(AND(487&gt;HEADER_ROW,UPPER(DB491)="LEGEND"),1,0)</f>
        <v/>
      </c>
      <c r="DE491" t="n">
        <v>487</v>
      </c>
      <c r="DF491">
        <f>HEADER_ROW+$DE491</f>
        <v/>
      </c>
      <c r="DG491">
        <f>IF(AND($DF491&lt;=1000,$DF491&lt;$B$8),1,0)</f>
        <v/>
      </c>
      <c r="DH491">
        <f>IF($DG491=1,IFERROR(INDEX($DB$5:$DB$1004,$DF491),""),"")</f>
        <v/>
      </c>
      <c r="DI491">
        <f>IF(AND($DG491=1,$DH491&lt;&gt;""),IFERROR(SUBSTITUTE(SUBSTITUTE(TRIM(SUBSTITUTE(SUBSTITUTE(SUBSTITUTE(SUBSTITUTE(IFERROR(INDEX(PASTE_ALL,$DF491,1)&amp;"","")&amp;"␟"&amp;IFERROR(INDEX(PASTE_ALL,$DF491,2)&amp;"","")&amp;"␟"&amp;IFERROR(INDEX(PASTE_ALL,$DF491,3)&amp;"","")&amp;"␟"&amp;IFERROR(INDEX(PASTE_ALL,$DF491,4)&amp;"","")&amp;"␟"&amp;IFERROR(INDEX(PASTE_ALL,$DF491,5)&amp;"","")&amp;"␟"&amp;IFERROR(INDEX(PASTE_ALL,$DF491,6)&amp;"","")&amp;"␟"&amp;IFERROR(INDEX(PASTE_ALL,$DF491,7)&amp;"","")&amp;"␟"&amp;IFERROR(INDEX(PASTE_ALL,$DF491,8)&amp;"","")&amp;"␟"&amp;IFERROR(INDEX(PASTE_ALL,$DF491,9)&amp;"","")&amp;"␟"&amp;IFERROR(INDEX(PASTE_ALL,$DF491,10)&amp;"","")&amp;"␟"&amp;IFERROR(INDEX(PASTE_ALL,$DF491,11)&amp;"","")&amp;"␟"&amp;IFERROR(INDEX(PASTE_ALL,$DF491,12)&amp;"","")&amp;"␟"&amp;IFERROR(INDEX(PASTE_ALL,$DF491,13)&amp;"","")&amp;"␟"&amp;IFERROR(INDEX(PASTE_ALL,$DF491,14)&amp;"","")&amp;"␟"&amp;IFERROR(INDEX(PASTE_ALL,$DF491,15)&amp;"","")&amp;"␟"&amp;IFERROR(INDEX(PASTE_ALL,$DF491,16)&amp;"","")&amp;"␟"&amp;IFERROR(INDEX(PASTE_ALL,$DF491,17)&amp;"","")&amp;"␟"&amp;IFERROR(INDEX(PASTE_ALL,$DF491,18)&amp;"","")&amp;"␟"&amp;IFERROR(INDEX(PASTE_ALL,$DF491,19)&amp;"","")&amp;"␟"&amp;IFERROR(INDEX(PASTE_ALL,$DF491,20)&amp;"","")&amp;"␟"&amp;IFERROR(INDEX(PASTE_ALL,$DF491,21)&amp;"","")&amp;"␟"&amp;IFERROR(INDEX(PASTE_ALL,$DF491,22)&amp;"","")&amp;"␟"&amp;IFERROR(INDEX(PASTE_ALL,$DF491,23)&amp;"","")&amp;"␟"&amp;IFERROR(INDEX(PASTE_ALL,$DF491,24)&amp;"","")&amp;"␟"&amp;IFERROR(INDEX(PASTE_ALL,$DF491,25)&amp;"","")&amp;"␟"&amp;IFERROR(INDEX(PASTE_ALL,$DF491,26)&amp;"","")&amp;"␟"&amp;IFERROR(INDEX(PASTE_ALL,$DF491,27)&amp;"","")&amp;"␟"&amp;IFERROR(INDEX(PASTE_ALL,$DF491,28)&amp;"","")&amp;"␟"&amp;IFERROR(INDEX(PASTE_ALL,$DF491,29)&amp;"","")&amp;"␟"&amp;IFERROR(INDEX(PASTE_ALL,$DF491,30)&amp;"","")&amp;"␟"&amp;IFERROR(INDEX(PASTE_ALL,$DF491,31)&amp;"","")&amp;"␟"&amp;IFERROR(INDEX(PASTE_ALL,$DF491,32)&amp;"","")&amp;"␟"&amp;IFERROR(INDEX(PASTE_ALL,$DF491,33)&amp;"","")&amp;"␟"&amp;IFERROR(INDEX(PASTE_ALL,$DF491,34)&amp;"","")&amp;"␟"&amp;IFERROR(INDEX(PASTE_ALL,$DF491,35)&amp;"","")&amp;"␟"&amp;IFERROR(INDEX(PASTE_ALL,$DF491,36)&amp;"","")&amp;"␟"&amp;IFERROR(INDEX(PASTE_ALL,$DF491,37)&amp;"","")&amp;"␟"&amp;IFERROR(INDEX(PASTE_ALL,$DF491,38)&amp;"","")&amp;"␟"&amp;IFERROR(INDEX(PASTE_ALL,$DF491,39)&amp;"","")&amp;"␟"&amp;IFERROR(INDEX(PASTE_ALL,$DF491,40)&amp;"","")&amp;"␟"&amp;IFERROR(INDEX(PASTE_ALL,$DF491,41)&amp;"","")&amp;"␟"&amp;IFERROR(INDEX(PASTE_ALL,$DF491,42)&amp;"","")&amp;"␟"&amp;IFERROR(INDEX(PASTE_ALL,$DF491,43)&amp;"","")&amp;"␟"&amp;IFERROR(INDEX(PASTE_ALL,$DF491,44)&amp;"","")&amp;"␟"&amp;IFERROR(INDEX(PASTE_ALL,$DF491,45)&amp;"","")&amp;"␟"&amp;IFERROR(INDEX(PASTE_ALL,$DF491,46)&amp;"","")&amp;"␟"&amp;IFERROR(INDEX(PASTE_ALL,$DF491,47)&amp;"","")&amp;"␟"&amp;IFERROR(INDEX(PASTE_ALL,$DF491,48)&amp;"","")&amp;"␟"&amp;IFERROR(INDEX(PASTE_ALL,$DF491,49)&amp;"","")&amp;"␟"&amp;IFERROR(INDEX(PASTE_ALL,$DF491,50)&amp;"","")&amp;"␟"&amp;IFERROR(INDEX(PASTE_ALL,$DF491,51)&amp;"","")&amp;"␟"&amp;IFERROR(INDEX(PASTE_ALL,$DF491,52)&amp;"","")&amp;"␟"&amp;IFERROR(INDEX(PASTE_ALL,$DF491,53)&amp;"","")&amp;"␟"&amp;IFERROR(INDEX(PASTE_ALL,$DF491,54)&amp;"","")&amp;"␟"&amp;IFERROR(INDEX(PASTE_ALL,$DF491,55)&amp;"","")&amp;"␟"&amp;IFERROR(INDEX(PASTE_ALL,$DF491,56)&amp;"","")&amp;"␟"&amp;IFERROR(INDEX(PASTE_ALL,$DF491,57)&amp;"","")&amp;"␟"&amp;IFERROR(INDEX(PASTE_ALL,$DF491,58)&amp;"","")&amp;"␟"&amp;IFERROR(INDEX(PASTE_ALL,$DF491,59)&amp;"","")&amp;"␟"&amp;IFERROR(INDEX(PASTE_ALL,$DF491,60)&amp;"","")," "," "),CHAR(9)," "),CHAR(10)," "),CHAR(13)," "))," ␟","␟"),"␟ ","␟"),"#"&amp;$DE491),"")</f>
        <v/>
      </c>
      <c r="DJ491">
        <f>IF($DI491="",0,IF(SUMPRODUCT(--EXACT($DI$4:DI490,$DI491))&gt;0,1,0))</f>
        <v/>
      </c>
      <c r="DK491">
        <f>IF(AND($DI491&lt;&gt;"",$DJ491=0),1,0)</f>
        <v/>
      </c>
      <c r="DL491">
        <f>DL490+$DK491</f>
        <v/>
      </c>
      <c r="DM491">
        <f>IF(AND($DK491=1,$DL491&lt;=600),1,0)</f>
        <v/>
      </c>
      <c r="DN491">
        <f>IF($DM491=0,"",IF($L$6=0,"",IFERROR(IF(ISNUMBER(INDEX(PASTE_ALL,$DF491,$L$6)),INDEX(PASTE_ALL,$DF491,$L$6),TRIM(SUBSTITUTE(SUBSTITUTE(SUBSTITUTE(SUBSTITUTE(INDEX(PASTE_ALL,$DF491,$L$6)," "," "),CHAR(9)," "),CHAR(10)," "),CHAR(13)," "))),"")))</f>
        <v/>
      </c>
      <c r="DO491">
        <f>IF($DM491=0,"",IF($L$7=0,"",IFERROR(IF(ISNUMBER(INDEX(PASTE_ALL,$DF491,$L$7)),INDEX(PASTE_ALL,$DF491,$L$7),TRIM(SUBSTITUTE(SUBSTITUTE(SUBSTITUTE(SUBSTITUTE(INDEX(PASTE_ALL,$DF491,$L$7)," "," "),CHAR(9)," "),CHAR(10)," "),CHAR(13)," "))),"")))</f>
        <v/>
      </c>
      <c r="DP491">
        <f>IF($DM491=0,"",IF($L$8=0,"",IFERROR(IF(ISNUMBER(INDEX(PASTE_ALL,$DF491,$L$8)),INDEX(PASTE_ALL,$DF491,$L$8),TRIM(SUBSTITUTE(SUBSTITUTE(SUBSTITUTE(SUBSTITUTE(INDEX(PASTE_ALL,$DF491,$L$8)," "," "),CHAR(9)," "),CHAR(10)," "),CHAR(13)," "))),"")))</f>
        <v/>
      </c>
      <c r="DQ491">
        <f>IF($DM491=0,"",IF($L$9=0,"",IFERROR(IF(ISNUMBER(INDEX(PASTE_ALL,$DF491,$L$9)),INDEX(PASTE_ALL,$DF491,$L$9),TRIM(SUBSTITUTE(SUBSTITUTE(SUBSTITUTE(SUBSTITUTE(INDEX(PASTE_ALL,$DF491,$L$9)," "," "),CHAR(9)," "),CHAR(10)," "),CHAR(13)," "))),"")))</f>
        <v/>
      </c>
      <c r="DR491">
        <f>IF($DM491=0,"",IF($L$10=0,"",IFERROR(IF(ISNUMBER(INDEX(PASTE_ALL,$DF491,$L$10)),INDEX(PASTE_ALL,$DF491,$L$10),TRIM(SUBSTITUTE(SUBSTITUTE(SUBSTITUTE(SUBSTITUTE(INDEX(PASTE_ALL,$DF491,$L$10)," "," "),CHAR(9)," "),CHAR(10)," "),CHAR(13)," "))),"")))</f>
        <v/>
      </c>
      <c r="DS491">
        <f>IF($DM491=0,"",IF($L$11=0,"",IFERROR(IF(ISNUMBER(INDEX(PASTE_ALL,$DF491,$L$11)),INDEX(PASTE_ALL,$DF491,$L$11),TRIM(SUBSTITUTE(SUBSTITUTE(SUBSTITUTE(SUBSTITUTE(INDEX(PASTE_ALL,$DF491,$L$11)," "," "),CHAR(9)," "),CHAR(10)," "),CHAR(13)," "))),"")))</f>
        <v/>
      </c>
      <c r="DT491">
        <f>IF($DM491=0,"",IF($L$12=0,"",IFERROR(IF(ISNUMBER(INDEX(PASTE_ALL,$DF491,$L$12)),INDEX(PASTE_ALL,$DF491,$L$12),TRIM(SUBSTITUTE(SUBSTITUTE(SUBSTITUTE(SUBSTITUTE(INDEX(PASTE_ALL,$DF491,$L$12)," "," "),CHAR(9)," "),CHAR(10)," "),CHAR(13)," "))),"")))</f>
        <v/>
      </c>
      <c r="DU491">
        <f>IF($DM491=0,"",IF($L$13=0,"",IFERROR(IF(ISNUMBER(INDEX(PASTE_ALL,$DF491,$L$13)),INDEX(PASTE_ALL,$DF491,$L$13),TRIM(SUBSTITUTE(SUBSTITUTE(SUBSTITUTE(SUBSTITUTE(INDEX(PASTE_ALL,$DF491,$L$13)," "," "),CHAR(9)," "),CHAR(10)," "),CHAR(13)," "))),"")))</f>
        <v/>
      </c>
      <c r="DV491">
        <f>IF($DM491=0,"",IF($L$14=0,"",IFERROR(IF(ISNUMBER(INDEX(PASTE_ALL,$DF491,$L$14)),INDEX(PASTE_ALL,$DF491,$L$14),TRIM(SUBSTITUTE(SUBSTITUTE(SUBSTITUTE(SUBSTITUTE(INDEX(PASTE_ALL,$DF491,$L$14)," "," "),CHAR(9)," "),CHAR(10)," "),CHAR(13)," "))),"")))</f>
        <v/>
      </c>
      <c r="DW491">
        <f>IF($DM491=0,"",IF($L$15=0,"",IFERROR(IF(ISNUMBER(INDEX(PASTE_ALL,$DF491,$L$15)),INDEX(PASTE_ALL,$DF491,$L$15),IF(SUMPRODUCT(--ISNUMBER(FIND({"A","B","C","D","E","F","G","H","I","J","K","L","M","N","O","P","Q","R","S","T","U","V","W","X","Y","Z","0","1","2","3","4","5","6","7","8","9"},UPPER(TRIM(SUBSTITUTE(SUBSTITUTE(SUBSTITUTE(SUBSTITUTE(INDEX(PASTE_ALL,$DF491,$L$15)," "," "),CHAR(9)," "),CHAR(10)," "),CHAR(13)," "))))))&gt;0,TRIM(SUBSTITUTE(SUBSTITUTE(SUBSTITUTE(SUBSTITUTE(INDEX(PASTE_ALL,$DF491,$L$15)," "," "),CHAR(9)," "),CHAR(10)," "),CHAR(13)," ")),"")),"")))</f>
        <v/>
      </c>
      <c r="DX491">
        <f>IF($DM491=0,"",IF($L$16=0,"",IFERROR(IF(ISNUMBER(INDEX(PASTE_ALL,$DF491,$L$16)),INDEX(PASTE_ALL,$DF491,$L$16),SUBSTITUTE(SUBSTITUTE(TRIM(SUBSTITUTE(SUBSTITUTE(SUBSTITUTE(SUBSTITUTE(INDEX(PASTE_ALL,$DF491,$L$16)," "," "),CHAR(9)," "),CHAR(10)," "),CHAR(13)," ")),",",""),"%","")),"")))</f>
        <v/>
      </c>
      <c r="DY491">
        <f>IF($DM491=0,"",IFERROR(IF(ISNUMBER($DX491),$DX491,IF($DX491="","",IF(TRIM($DX491)="",0,IF(AND(AND(SUBSTITUTE(SUBSTITUTE(SUBSTITUTE(SUBSTITUTE(SUBSTITUTE(SUBSTITUTE(SUBSTITUTE(SUBSTITUTE(SUBSTITUTE(SUBSTITUTE(SUBSTITUTE(SUBSTITUTE(SUBSTITUTE(SUBSTITUTE(UPPER(TRIM($DX491)),"0",""),"1",""),"2",""),"3",""),"4",""),"5",""),"6",""),"7",""),"8",""),"9",""),".",""),"+",""),"-",""),"E","")="",LEN(SUBSTITUTE(SUBSTITUTE(MID(UPPER(TRIM($DX491)),1+OR(LEFT(UPPER(TRIM($DX491)),1)="+",LEFT(UPPER(TRIM($DX491)),1)="-"),999),"E+","E"),"E-","E"))=LEN(SUBSTITUTE(SUBSTITUTE(SUBSTITUTE(SUBSTITUTE(MID(UPPER(TRIM($DX491)),1+OR(LEFT(UPPER(TRIM($DX491)),1)="+",LEFT(UPPER(TRIM($DX491)),1)="-"),999),"E+","E"),"E-","E"),"+",""),"-","")),LEN(UPPER(TRIM($DX491)))-LEN(SUBSTITUTE(UPPER(TRIM($DX491)),"E",""))&lt;2,LEN(UPPER(TRIM($DX491)))-LEN(SUBSTITUTE(UPPER(TRIM($DX491)),".",""))&lt;2,IFERROR(FIND(".",UPPER(TRIM($DX491))),0)&lt;IFERROR(FIND("E",UPPER(TRIM($DX491))),999)),ISNUMBER(VALUE(TRIM($DX491)))),VALUE(TRIM($DX491)),"")))),""))</f>
        <v/>
      </c>
      <c r="DZ491">
        <f>IF($DM491=0,"",IF($L$17=0,"",IFERROR(IF(ISNUMBER(INDEX(PASTE_ALL,$DF491,$L$17)),INDEX(PASTE_ALL,$DF491,$L$17),SUBSTITUTE(SUBSTITUTE(TRIM(SUBSTITUTE(SUBSTITUTE(SUBSTITUTE(SUBSTITUTE(INDEX(PASTE_ALL,$DF491,$L$17)," "," "),CHAR(9)," "),CHAR(10)," "),CHAR(13)," ")),",",""),"%","")),"")))</f>
        <v/>
      </c>
      <c r="EA491">
        <f>IF($DM491=0,"",IFERROR(IF(ISNUMBER($DZ491),$DZ491,IF($DZ491="","",IF(TRIM($DZ491)="",0,IF(AND(AND(SUBSTITUTE(SUBSTITUTE(SUBSTITUTE(SUBSTITUTE(SUBSTITUTE(SUBSTITUTE(SUBSTITUTE(SUBSTITUTE(SUBSTITUTE(SUBSTITUTE(SUBSTITUTE(SUBSTITUTE(SUBSTITUTE(SUBSTITUTE(UPPER(TRIM($DZ491)),"0",""),"1",""),"2",""),"3",""),"4",""),"5",""),"6",""),"7",""),"8",""),"9",""),".",""),"+",""),"-",""),"E","")="",LEN(SUBSTITUTE(SUBSTITUTE(MID(UPPER(TRIM($DZ491)),1+OR(LEFT(UPPER(TRIM($DZ491)),1)="+",LEFT(UPPER(TRIM($DZ491)),1)="-"),999),"E+","E"),"E-","E"))=LEN(SUBSTITUTE(SUBSTITUTE(SUBSTITUTE(SUBSTITUTE(MID(UPPER(TRIM($DZ491)),1+OR(LEFT(UPPER(TRIM($DZ491)),1)="+",LEFT(UPPER(TRIM($DZ491)),1)="-"),999),"E+","E"),"E-","E"),"+",""),"-","")),LEN(UPPER(TRIM($DZ491)))-LEN(SUBSTITUTE(UPPER(TRIM($DZ491)),"E",""))&lt;2,LEN(UPPER(TRIM($DZ491)))-LEN(SUBSTITUTE(UPPER(TRIM($DZ491)),".",""))&lt;2,IFERROR(FIND(".",UPPER(TRIM($DZ491))),0)&lt;IFERROR(FIND("E",UPPER(TRIM($DZ491))),999)),ISNUMBER(VALUE(TRIM($DZ491)))),VALUE(TRIM($DZ491)),"")))),""))</f>
        <v/>
      </c>
      <c r="EB491">
        <f>IF($DM491=0,"",IF($L$18=0,"",IFERROR(IF(UPPER(TRIM(SUBSTITUTE(SUBSTITUTE(SUBSTITUTE(SUBSTITUTE(INDEX(PASTE_ALL,$DF491,$L$18)," "," "),CHAR(9)," "),CHAR(10)," "),CHAR(13)," ")))="READY","Ready",IF(UPPER(TRIM(SUBSTITUTE(SUBSTITUTE(SUBSTITUTE(SUBSTITUTE(INDEX(PASTE_ALL,$DF491,$L$18)," "," "),CHAR(9)," "),CHAR(10)," "),CHAR(13)," ")))="PM","PM",IF(OR(UPPER(TRIM(SUBSTITUTE(SUBSTITUTE(SUBSTITUTE(SUBSTITUTE(INDEX(PASTE_ALL,$DF491,$L$18)," "," "),CHAR(9)," "),CHAR(10)," "),CHAR(13)," ")))="OT",UPPER(TRIM(SUBSTITUTE(SUBSTITUTE(SUBSTITUTE(SUBSTITUTE(INDEX(PASTE_ALL,$DF491,$L$18)," "," "),CHAR(9)," "),CHAR(10)," "),CHAR(13)," ")))="OVERTIME",UPPER(TRIM(SUBSTITUTE(SUBSTITUTE(SUBSTITUTE(SUBSTITUTE(INDEX(PASTE_ALL,$DF491,$L$18)," "," "),CHAR(9)," "),CHAR(10)," "),CHAR(13)," ")))="TRIAL"),"OT",TRIM(SUBSTITUTE(SUBSTITUTE(SUBSTITUTE(SUBSTITUTE(INDEX(PASTE_ALL,$DF491,$L$18)," "," "),CHAR(9)," "),CHAR(10)," "),CHAR(13)," "))))),"")))</f>
        <v/>
      </c>
      <c r="EC491">
        <f>IF($DM491=0,"",IF($L$19=0,"",IFERROR(IF(ISNUMBER(INDEX(PASTE_ALL,$DF491,$L$19)),INDEX(PASTE_ALL,$DF491,$L$19),TRIM(SUBSTITUTE(SUBSTITUTE(SUBSTITUTE(SUBSTITUTE(INDEX(PASTE_ALL,$DF491,$L$19)," "," "),CHAR(9)," "),CHAR(10)," "),CHAR(13)," "))),"")))</f>
        <v/>
      </c>
      <c r="ED491">
        <f>IF($DM491=0,"",MATCH(1,INDEX(EXACT($DH$5:DH491,$DH491)*$DM$5:DM491,0),0))</f>
        <v/>
      </c>
      <c r="EE491">
        <f>IF($DM491=0,0,IF($ED491=$DE491,1,0))</f>
        <v/>
      </c>
      <c r="EF491">
        <f>EF490+$EE491</f>
        <v/>
      </c>
      <c r="EG491">
        <f>IF($DM491=0,"",INDEX($EF$5:$EF$1003,$ED491))</f>
        <v/>
      </c>
      <c r="EH491">
        <f>IF($DM491=0,"",IF($DO491&lt;&gt;"","",IFERROR(LOOKUP(2,1/(($EG$4:EG490=$EG491)*($DO$4:DO490&lt;&gt;"")),$DO$4:DO490),"")))</f>
        <v/>
      </c>
      <c r="EI491">
        <f>IF($DM491=0,"",IF($DO491&lt;&gt;"",$DO491,$EH491))</f>
        <v/>
      </c>
      <c r="EJ491">
        <f>IF($DM491=0,"",IF($EI491="",0,IF(OR(ISNUMBER($EI491),AND(AND(SUBSTITUTE(SUBSTITUTE(SUBSTITUTE(SUBSTITUTE(SUBSTITUTE(SUBSTITUTE(SUBSTITUTE(SUBSTITUTE(SUBSTITUTE(SUBSTITUTE(SUBSTITUTE(SUBSTITUTE(SUBSTITUTE(SUBSTITUTE(UPPER($EI491),"0",""),"1",""),"2",""),"3",""),"4",""),"5",""),"6",""),"7",""),"8",""),"9",""),".",""),"+",""),"-",""),"E","")="",LEN(SUBSTITUTE(SUBSTITUTE(MID(UPPER($EI491),1+OR(LEFT(UPPER($EI491),1)="+",LEFT(UPPER($EI491),1)="-"),999),"E+","E"),"E-","E"))=LEN(SUBSTITUTE(SUBSTITUTE(SUBSTITUTE(SUBSTITUTE(MID(UPPER($EI491),1+OR(LEFT(UPPER($EI491),1)="+",LEFT(UPPER($EI491),1)="-"),999),"E+","E"),"E-","E"),"+",""),"-","")),LEN(UPPER($EI491))-LEN(SUBSTITUTE(UPPER($EI491),"E",""))&lt;2,LEN(UPPER($EI491))-LEN(SUBSTITUTE(UPPER($EI491),".",""))&lt;2,IFERROR(FIND(".",UPPER($EI491)),0)&lt;IFERROR(FIND("E",UPPER($EI491)),999)),ISNUMBER(VALUE($EI491)))),1,2)))</f>
        <v/>
      </c>
      <c r="EK491">
        <f>IF($DM491=0,"",IF($EJ491=1,IF(ISNUMBER($EI491),$EI491,VALUE($EI491)),IF($EJ491=2,$DE491,0)))</f>
        <v/>
      </c>
      <c r="EL491">
        <f>IF($DM491=0,"",COUNTIF($EG$5:$EG$1003,"&lt;"&amp;$EG491)+SUMPRODUCT(($EG$5:$EG$1003=$EG491)*(($EJ$5:$EJ$1003&lt;$EJ491)+($EJ$5:$EJ$1003=$EJ491)*(($EK$5:$EK$1003&lt;$EK491)+($EK$5:$EK$1003=$EK491)*($DE$5:$DE$1003&lt;$DE491))))+1)</f>
        <v/>
      </c>
      <c r="EM491">
        <f>IF($DM491=0,"",$EL491+$EG491-1)</f>
        <v/>
      </c>
      <c r="EN491">
        <f>IF($DM491=0,0,IFERROR(MATCH(1,INDEX(--(TRIM(SUBSTITUTE(SUBSTITUTE(SUBSTITUTE(SUBSTITUTE(LINES_NAME&amp;""," "," "),CHAR(9)," "),CHAR(10)," "),CHAR(13)," "))=$DH491),0),0),0))</f>
        <v/>
      </c>
      <c r="EO491">
        <f>IF($EN491=0,0,IF(OR(UPPER(TRIM(INDEX(LINES_SCHEDULED,$EN491)&amp;""))="YES",UPPER(TRIM(INDEX(LINES_SCHEDULED,$EN491)&amp;""))="Y",UPPER(TRIM(INDEX(LINES_SCHEDULED,$EN491)&amp;""))="X"),1,0))</f>
        <v/>
      </c>
      <c r="EP491">
        <f>IF($DM491=0,"",IF(COUNTIFS($EG$5:$EG$1003,$EG491,$EB$5:$EB$1003,"Ready")&gt;0,"READY",IF(COUNTIFS($EG$5:$EG$1003,$EG491,$EB$5:$EB$1003,"PM")&gt;0,"PM",IF(COUNTIFS($EG$5:$EG$1003,$EG491,$EB$5:$EB$1003,"OT")&gt;0,"OT",""))))</f>
        <v/>
      </c>
      <c r="EQ491">
        <f>IF($EN491=0,"",UPPER(TRIM(INDEX(LINES_STATUS,$EN491)&amp;"")))</f>
        <v/>
      </c>
      <c r="ER491">
        <f>IF($DM491=0,"",IF(OR($EQ491="READY",$EQ491="PM",$EQ491="OT"),$EQ491,$EP491))</f>
        <v/>
      </c>
      <c r="ES491">
        <f>IF($DM491=0,"",IF(AND($DV491&lt;&gt;"",UPPER($DV491)&lt;&gt;"N"),"allergen",IF(ISNUMBER(SEARCH("oil",$DQ491)),"oil",IF(OR(EXACT($DS491,"A662"),EXACT($DS491,"A624")),"bulk",""))))</f>
        <v/>
      </c>
      <c r="ET491">
        <f>IF($DM491=0,"",IF(OR($EA491="",$EA491=0),"",$EA491/100))</f>
        <v/>
      </c>
      <c r="EU491">
        <f>IF(OR($ET491="",$DY491=""),"",INT($DY491*(1-$ET491)+0.5))</f>
        <v/>
      </c>
      <c r="EW491" t="n">
        <v>487</v>
      </c>
      <c r="EX491">
        <f>IFERROR(MATCH($EW491,$EM$5:$EM$1003,0),0)</f>
        <v/>
      </c>
      <c r="EY491">
        <f>IF($EW491&gt;$B$12,"",IF($EX491&gt;0,"row","spacer"))</f>
        <v/>
      </c>
      <c r="EZ491">
        <f>IF(AND($EY491="row",$EY490&lt;&gt;"row"),1,0)</f>
        <v/>
      </c>
      <c r="FA491">
        <f>IF(AND($EY491="row",$EY492&lt;&gt;"row"),1,0)</f>
        <v/>
      </c>
      <c r="FB491">
        <f>IF($EZ491=1,IFERROR(IF(ISNUMBER(INDEX(PASTE_ALL,INDEX($DF$5:$DF$1003,$EX491),$B$37)),INDEX(PASTE_ALL,INDEX($DF$5:$DF$1003,$EX491),$B$37),INDEX($DH$5:$DH$1003,$EX491)),INDEX($DH$5:$DH$1003,$EX491)),"")</f>
        <v/>
      </c>
      <c r="FC491">
        <f>IF($EY491="row",INDEX($ER$5:$ER$1003,$EX491),"")</f>
        <v/>
      </c>
      <c r="FD491">
        <f>IF($EY491="row",INDEX($DN$5:$DN$1003,$EX491),"")</f>
        <v/>
      </c>
      <c r="FE491">
        <f>IF($EY491="row",INDEX($DO$5:$DO$1003,$EX491),"")</f>
        <v/>
      </c>
      <c r="FF491">
        <f>IF($EY491="row",INDEX($DP$5:$DP$1003,$EX491),"")</f>
        <v/>
      </c>
      <c r="FG491">
        <f>IF($EY491="row",INDEX($DQ$5:$DQ$1003,$EX491),"")</f>
        <v/>
      </c>
      <c r="FH491">
        <f>IF($EY491="row",INDEX($DR$5:$DR$1003,$EX491),"")</f>
        <v/>
      </c>
      <c r="FI491">
        <f>IF($EY491="row",INDEX($DS$5:$DS$1003,$EX491),"")</f>
        <v/>
      </c>
      <c r="FJ491">
        <f>IF($EY491="row",INDEX($DT$5:$DT$1003,$EX491),"")</f>
        <v/>
      </c>
      <c r="FK491">
        <f>IF($EY491="row",INDEX($DU$5:$DU$1003,$EX491),"")</f>
        <v/>
      </c>
      <c r="FL491">
        <f>IF($EY491="row",INDEX($DV$5:$DV$1003,$EX491),"")</f>
        <v/>
      </c>
      <c r="FM491">
        <f>IF($EY491="row",INDEX($DW$5:$DW$1003,$EX491),"")</f>
        <v/>
      </c>
      <c r="FN491">
        <f>IF($EY491="row",INDEX($DY$5:$DY$1003,$EX491),"")</f>
        <v/>
      </c>
      <c r="FO491">
        <f>IF($EY491="row",INDEX($EA$5:$EA$1003,$EX491),"")</f>
        <v/>
      </c>
      <c r="FP491">
        <f>IF($EY491="row",INDEX($EC$5:$EC$1003,$EX491),"")</f>
        <v/>
      </c>
      <c r="FQ491">
        <f>IF($EY491="row",INDEX($ET$5:$ET$1003,$EX491),"")</f>
        <v/>
      </c>
      <c r="FR491">
        <f>IF($EY491="row",INDEX($EU$5:$EU$1003,$EX491),"")</f>
        <v/>
      </c>
      <c r="FS491">
        <f>IF(AND($EY491="row",$EY490="row"),IF(OR(INDEX($DT$5:$DT$1003,$EX490)="",INDEX($DT$5:$DT$1003,$EX491)=""),"",IF(NOT(EXACT(INDEX($DT$5:$DT$1003,$EX490),INDEX($DT$5:$DT$1003,$EX491))),"S4",IF(NOT(EXACT(INDEX($DS$5:$DS$1003,$EX490),INDEX($DS$5:$DS$1003,$EX491))),"S3",IF(NOT(EXACT(INDEX($DR$5:$DR$1003,$EX490),INDEX($DR$5:$DR$1003,$EX491))),"S1 Count Change","S1")))),"")</f>
        <v/>
      </c>
      <c r="FT491">
        <f>IF($EY491="row",INDEX($ES$5:$ES$1003,$EX491),"")</f>
        <v/>
      </c>
      <c r="FU491">
        <f>IF($EY491="row",INDEX($EO$5:$EO$1003,$EX491),0)</f>
        <v/>
      </c>
      <c r="FV491">
        <f>IF($FS491="S1 Count Change",1,0)</f>
        <v/>
      </c>
    </row>
    <row r="492">
      <c r="DA492" t="n">
        <v>488</v>
      </c>
      <c r="DB492">
        <f>IF($B$37=0,"",IFERROR(TRIM(SUBSTITUTE(SUBSTITUTE(SUBSTITUTE(SUBSTITUTE(INDEX(PASTE_ALL,488,$B$37)," "," "),CHAR(9)," "),CHAR(10)," "),CHAR(13)," ")),""))</f>
        <v/>
      </c>
      <c r="DC492">
        <f>IF(AND(488&gt;HEADER_ROW,UPPER(DB492)="LEGEND"),1,0)</f>
        <v/>
      </c>
      <c r="DE492" t="n">
        <v>488</v>
      </c>
      <c r="DF492">
        <f>HEADER_ROW+$DE492</f>
        <v/>
      </c>
      <c r="DG492">
        <f>IF(AND($DF492&lt;=1000,$DF492&lt;$B$8),1,0)</f>
        <v/>
      </c>
      <c r="DH492">
        <f>IF($DG492=1,IFERROR(INDEX($DB$5:$DB$1004,$DF492),""),"")</f>
        <v/>
      </c>
      <c r="DI492">
        <f>IF(AND($DG492=1,$DH492&lt;&gt;""),IFERROR(SUBSTITUTE(SUBSTITUTE(TRIM(SUBSTITUTE(SUBSTITUTE(SUBSTITUTE(SUBSTITUTE(IFERROR(INDEX(PASTE_ALL,$DF492,1)&amp;"","")&amp;"␟"&amp;IFERROR(INDEX(PASTE_ALL,$DF492,2)&amp;"","")&amp;"␟"&amp;IFERROR(INDEX(PASTE_ALL,$DF492,3)&amp;"","")&amp;"␟"&amp;IFERROR(INDEX(PASTE_ALL,$DF492,4)&amp;"","")&amp;"␟"&amp;IFERROR(INDEX(PASTE_ALL,$DF492,5)&amp;"","")&amp;"␟"&amp;IFERROR(INDEX(PASTE_ALL,$DF492,6)&amp;"","")&amp;"␟"&amp;IFERROR(INDEX(PASTE_ALL,$DF492,7)&amp;"","")&amp;"␟"&amp;IFERROR(INDEX(PASTE_ALL,$DF492,8)&amp;"","")&amp;"␟"&amp;IFERROR(INDEX(PASTE_ALL,$DF492,9)&amp;"","")&amp;"␟"&amp;IFERROR(INDEX(PASTE_ALL,$DF492,10)&amp;"","")&amp;"␟"&amp;IFERROR(INDEX(PASTE_ALL,$DF492,11)&amp;"","")&amp;"␟"&amp;IFERROR(INDEX(PASTE_ALL,$DF492,12)&amp;"","")&amp;"␟"&amp;IFERROR(INDEX(PASTE_ALL,$DF492,13)&amp;"","")&amp;"␟"&amp;IFERROR(INDEX(PASTE_ALL,$DF492,14)&amp;"","")&amp;"␟"&amp;IFERROR(INDEX(PASTE_ALL,$DF492,15)&amp;"","")&amp;"␟"&amp;IFERROR(INDEX(PASTE_ALL,$DF492,16)&amp;"","")&amp;"␟"&amp;IFERROR(INDEX(PASTE_ALL,$DF492,17)&amp;"","")&amp;"␟"&amp;IFERROR(INDEX(PASTE_ALL,$DF492,18)&amp;"","")&amp;"␟"&amp;IFERROR(INDEX(PASTE_ALL,$DF492,19)&amp;"","")&amp;"␟"&amp;IFERROR(INDEX(PASTE_ALL,$DF492,20)&amp;"","")&amp;"␟"&amp;IFERROR(INDEX(PASTE_ALL,$DF492,21)&amp;"","")&amp;"␟"&amp;IFERROR(INDEX(PASTE_ALL,$DF492,22)&amp;"","")&amp;"␟"&amp;IFERROR(INDEX(PASTE_ALL,$DF492,23)&amp;"","")&amp;"␟"&amp;IFERROR(INDEX(PASTE_ALL,$DF492,24)&amp;"","")&amp;"␟"&amp;IFERROR(INDEX(PASTE_ALL,$DF492,25)&amp;"","")&amp;"␟"&amp;IFERROR(INDEX(PASTE_ALL,$DF492,26)&amp;"","")&amp;"␟"&amp;IFERROR(INDEX(PASTE_ALL,$DF492,27)&amp;"","")&amp;"␟"&amp;IFERROR(INDEX(PASTE_ALL,$DF492,28)&amp;"","")&amp;"␟"&amp;IFERROR(INDEX(PASTE_ALL,$DF492,29)&amp;"","")&amp;"␟"&amp;IFERROR(INDEX(PASTE_ALL,$DF492,30)&amp;"","")&amp;"␟"&amp;IFERROR(INDEX(PASTE_ALL,$DF492,31)&amp;"","")&amp;"␟"&amp;IFERROR(INDEX(PASTE_ALL,$DF492,32)&amp;"","")&amp;"␟"&amp;IFERROR(INDEX(PASTE_ALL,$DF492,33)&amp;"","")&amp;"␟"&amp;IFERROR(INDEX(PASTE_ALL,$DF492,34)&amp;"","")&amp;"␟"&amp;IFERROR(INDEX(PASTE_ALL,$DF492,35)&amp;"","")&amp;"␟"&amp;IFERROR(INDEX(PASTE_ALL,$DF492,36)&amp;"","")&amp;"␟"&amp;IFERROR(INDEX(PASTE_ALL,$DF492,37)&amp;"","")&amp;"␟"&amp;IFERROR(INDEX(PASTE_ALL,$DF492,38)&amp;"","")&amp;"␟"&amp;IFERROR(INDEX(PASTE_ALL,$DF492,39)&amp;"","")&amp;"␟"&amp;IFERROR(INDEX(PASTE_ALL,$DF492,40)&amp;"","")&amp;"␟"&amp;IFERROR(INDEX(PASTE_ALL,$DF492,41)&amp;"","")&amp;"␟"&amp;IFERROR(INDEX(PASTE_ALL,$DF492,42)&amp;"","")&amp;"␟"&amp;IFERROR(INDEX(PASTE_ALL,$DF492,43)&amp;"","")&amp;"␟"&amp;IFERROR(INDEX(PASTE_ALL,$DF492,44)&amp;"","")&amp;"␟"&amp;IFERROR(INDEX(PASTE_ALL,$DF492,45)&amp;"","")&amp;"␟"&amp;IFERROR(INDEX(PASTE_ALL,$DF492,46)&amp;"","")&amp;"␟"&amp;IFERROR(INDEX(PASTE_ALL,$DF492,47)&amp;"","")&amp;"␟"&amp;IFERROR(INDEX(PASTE_ALL,$DF492,48)&amp;"","")&amp;"␟"&amp;IFERROR(INDEX(PASTE_ALL,$DF492,49)&amp;"","")&amp;"␟"&amp;IFERROR(INDEX(PASTE_ALL,$DF492,50)&amp;"","")&amp;"␟"&amp;IFERROR(INDEX(PASTE_ALL,$DF492,51)&amp;"","")&amp;"␟"&amp;IFERROR(INDEX(PASTE_ALL,$DF492,52)&amp;"","")&amp;"␟"&amp;IFERROR(INDEX(PASTE_ALL,$DF492,53)&amp;"","")&amp;"␟"&amp;IFERROR(INDEX(PASTE_ALL,$DF492,54)&amp;"","")&amp;"␟"&amp;IFERROR(INDEX(PASTE_ALL,$DF492,55)&amp;"","")&amp;"␟"&amp;IFERROR(INDEX(PASTE_ALL,$DF492,56)&amp;"","")&amp;"␟"&amp;IFERROR(INDEX(PASTE_ALL,$DF492,57)&amp;"","")&amp;"␟"&amp;IFERROR(INDEX(PASTE_ALL,$DF492,58)&amp;"","")&amp;"␟"&amp;IFERROR(INDEX(PASTE_ALL,$DF492,59)&amp;"","")&amp;"␟"&amp;IFERROR(INDEX(PASTE_ALL,$DF492,60)&amp;"","")," "," "),CHAR(9)," "),CHAR(10)," "),CHAR(13)," "))," ␟","␟"),"␟ ","␟"),"#"&amp;$DE492),"")</f>
        <v/>
      </c>
      <c r="DJ492">
        <f>IF($DI492="",0,IF(SUMPRODUCT(--EXACT($DI$4:DI491,$DI492))&gt;0,1,0))</f>
        <v/>
      </c>
      <c r="DK492">
        <f>IF(AND($DI492&lt;&gt;"",$DJ492=0),1,0)</f>
        <v/>
      </c>
      <c r="DL492">
        <f>DL491+$DK492</f>
        <v/>
      </c>
      <c r="DM492">
        <f>IF(AND($DK492=1,$DL492&lt;=600),1,0)</f>
        <v/>
      </c>
      <c r="DN492">
        <f>IF($DM492=0,"",IF($L$6=0,"",IFERROR(IF(ISNUMBER(INDEX(PASTE_ALL,$DF492,$L$6)),INDEX(PASTE_ALL,$DF492,$L$6),TRIM(SUBSTITUTE(SUBSTITUTE(SUBSTITUTE(SUBSTITUTE(INDEX(PASTE_ALL,$DF492,$L$6)," "," "),CHAR(9)," "),CHAR(10)," "),CHAR(13)," "))),"")))</f>
        <v/>
      </c>
      <c r="DO492">
        <f>IF($DM492=0,"",IF($L$7=0,"",IFERROR(IF(ISNUMBER(INDEX(PASTE_ALL,$DF492,$L$7)),INDEX(PASTE_ALL,$DF492,$L$7),TRIM(SUBSTITUTE(SUBSTITUTE(SUBSTITUTE(SUBSTITUTE(INDEX(PASTE_ALL,$DF492,$L$7)," "," "),CHAR(9)," "),CHAR(10)," "),CHAR(13)," "))),"")))</f>
        <v/>
      </c>
      <c r="DP492">
        <f>IF($DM492=0,"",IF($L$8=0,"",IFERROR(IF(ISNUMBER(INDEX(PASTE_ALL,$DF492,$L$8)),INDEX(PASTE_ALL,$DF492,$L$8),TRIM(SUBSTITUTE(SUBSTITUTE(SUBSTITUTE(SUBSTITUTE(INDEX(PASTE_ALL,$DF492,$L$8)," "," "),CHAR(9)," "),CHAR(10)," "),CHAR(13)," "))),"")))</f>
        <v/>
      </c>
      <c r="DQ492">
        <f>IF($DM492=0,"",IF($L$9=0,"",IFERROR(IF(ISNUMBER(INDEX(PASTE_ALL,$DF492,$L$9)),INDEX(PASTE_ALL,$DF492,$L$9),TRIM(SUBSTITUTE(SUBSTITUTE(SUBSTITUTE(SUBSTITUTE(INDEX(PASTE_ALL,$DF492,$L$9)," "," "),CHAR(9)," "),CHAR(10)," "),CHAR(13)," "))),"")))</f>
        <v/>
      </c>
      <c r="DR492">
        <f>IF($DM492=0,"",IF($L$10=0,"",IFERROR(IF(ISNUMBER(INDEX(PASTE_ALL,$DF492,$L$10)),INDEX(PASTE_ALL,$DF492,$L$10),TRIM(SUBSTITUTE(SUBSTITUTE(SUBSTITUTE(SUBSTITUTE(INDEX(PASTE_ALL,$DF492,$L$10)," "," "),CHAR(9)," "),CHAR(10)," "),CHAR(13)," "))),"")))</f>
        <v/>
      </c>
      <c r="DS492">
        <f>IF($DM492=0,"",IF($L$11=0,"",IFERROR(IF(ISNUMBER(INDEX(PASTE_ALL,$DF492,$L$11)),INDEX(PASTE_ALL,$DF492,$L$11),TRIM(SUBSTITUTE(SUBSTITUTE(SUBSTITUTE(SUBSTITUTE(INDEX(PASTE_ALL,$DF492,$L$11)," "," "),CHAR(9)," "),CHAR(10)," "),CHAR(13)," "))),"")))</f>
        <v/>
      </c>
      <c r="DT492">
        <f>IF($DM492=0,"",IF($L$12=0,"",IFERROR(IF(ISNUMBER(INDEX(PASTE_ALL,$DF492,$L$12)),INDEX(PASTE_ALL,$DF492,$L$12),TRIM(SUBSTITUTE(SUBSTITUTE(SUBSTITUTE(SUBSTITUTE(INDEX(PASTE_ALL,$DF492,$L$12)," "," "),CHAR(9)," "),CHAR(10)," "),CHAR(13)," "))),"")))</f>
        <v/>
      </c>
      <c r="DU492">
        <f>IF($DM492=0,"",IF($L$13=0,"",IFERROR(IF(ISNUMBER(INDEX(PASTE_ALL,$DF492,$L$13)),INDEX(PASTE_ALL,$DF492,$L$13),TRIM(SUBSTITUTE(SUBSTITUTE(SUBSTITUTE(SUBSTITUTE(INDEX(PASTE_ALL,$DF492,$L$13)," "," "),CHAR(9)," "),CHAR(10)," "),CHAR(13)," "))),"")))</f>
        <v/>
      </c>
      <c r="DV492">
        <f>IF($DM492=0,"",IF($L$14=0,"",IFERROR(IF(ISNUMBER(INDEX(PASTE_ALL,$DF492,$L$14)),INDEX(PASTE_ALL,$DF492,$L$14),TRIM(SUBSTITUTE(SUBSTITUTE(SUBSTITUTE(SUBSTITUTE(INDEX(PASTE_ALL,$DF492,$L$14)," "," "),CHAR(9)," "),CHAR(10)," "),CHAR(13)," "))),"")))</f>
        <v/>
      </c>
      <c r="DW492">
        <f>IF($DM492=0,"",IF($L$15=0,"",IFERROR(IF(ISNUMBER(INDEX(PASTE_ALL,$DF492,$L$15)),INDEX(PASTE_ALL,$DF492,$L$15),IF(SUMPRODUCT(--ISNUMBER(FIND({"A","B","C","D","E","F","G","H","I","J","K","L","M","N","O","P","Q","R","S","T","U","V","W","X","Y","Z","0","1","2","3","4","5","6","7","8","9"},UPPER(TRIM(SUBSTITUTE(SUBSTITUTE(SUBSTITUTE(SUBSTITUTE(INDEX(PASTE_ALL,$DF492,$L$15)," "," "),CHAR(9)," "),CHAR(10)," "),CHAR(13)," "))))))&gt;0,TRIM(SUBSTITUTE(SUBSTITUTE(SUBSTITUTE(SUBSTITUTE(INDEX(PASTE_ALL,$DF492,$L$15)," "," "),CHAR(9)," "),CHAR(10)," "),CHAR(13)," ")),"")),"")))</f>
        <v/>
      </c>
      <c r="DX492">
        <f>IF($DM492=0,"",IF($L$16=0,"",IFERROR(IF(ISNUMBER(INDEX(PASTE_ALL,$DF492,$L$16)),INDEX(PASTE_ALL,$DF492,$L$16),SUBSTITUTE(SUBSTITUTE(TRIM(SUBSTITUTE(SUBSTITUTE(SUBSTITUTE(SUBSTITUTE(INDEX(PASTE_ALL,$DF492,$L$16)," "," "),CHAR(9)," "),CHAR(10)," "),CHAR(13)," ")),",",""),"%","")),"")))</f>
        <v/>
      </c>
      <c r="DY492">
        <f>IF($DM492=0,"",IFERROR(IF(ISNUMBER($DX492),$DX492,IF($DX492="","",IF(TRIM($DX492)="",0,IF(AND(AND(SUBSTITUTE(SUBSTITUTE(SUBSTITUTE(SUBSTITUTE(SUBSTITUTE(SUBSTITUTE(SUBSTITUTE(SUBSTITUTE(SUBSTITUTE(SUBSTITUTE(SUBSTITUTE(SUBSTITUTE(SUBSTITUTE(SUBSTITUTE(UPPER(TRIM($DX492)),"0",""),"1",""),"2",""),"3",""),"4",""),"5",""),"6",""),"7",""),"8",""),"9",""),".",""),"+",""),"-",""),"E","")="",LEN(SUBSTITUTE(SUBSTITUTE(MID(UPPER(TRIM($DX492)),1+OR(LEFT(UPPER(TRIM($DX492)),1)="+",LEFT(UPPER(TRIM($DX492)),1)="-"),999),"E+","E"),"E-","E"))=LEN(SUBSTITUTE(SUBSTITUTE(SUBSTITUTE(SUBSTITUTE(MID(UPPER(TRIM($DX492)),1+OR(LEFT(UPPER(TRIM($DX492)),1)="+",LEFT(UPPER(TRIM($DX492)),1)="-"),999),"E+","E"),"E-","E"),"+",""),"-","")),LEN(UPPER(TRIM($DX492)))-LEN(SUBSTITUTE(UPPER(TRIM($DX492)),"E",""))&lt;2,LEN(UPPER(TRIM($DX492)))-LEN(SUBSTITUTE(UPPER(TRIM($DX492)),".",""))&lt;2,IFERROR(FIND(".",UPPER(TRIM($DX492))),0)&lt;IFERROR(FIND("E",UPPER(TRIM($DX492))),999)),ISNUMBER(VALUE(TRIM($DX492)))),VALUE(TRIM($DX492)),"")))),""))</f>
        <v/>
      </c>
      <c r="DZ492">
        <f>IF($DM492=0,"",IF($L$17=0,"",IFERROR(IF(ISNUMBER(INDEX(PASTE_ALL,$DF492,$L$17)),INDEX(PASTE_ALL,$DF492,$L$17),SUBSTITUTE(SUBSTITUTE(TRIM(SUBSTITUTE(SUBSTITUTE(SUBSTITUTE(SUBSTITUTE(INDEX(PASTE_ALL,$DF492,$L$17)," "," "),CHAR(9)," "),CHAR(10)," "),CHAR(13)," ")),",",""),"%","")),"")))</f>
        <v/>
      </c>
      <c r="EA492">
        <f>IF($DM492=0,"",IFERROR(IF(ISNUMBER($DZ492),$DZ492,IF($DZ492="","",IF(TRIM($DZ492)="",0,IF(AND(AND(SUBSTITUTE(SUBSTITUTE(SUBSTITUTE(SUBSTITUTE(SUBSTITUTE(SUBSTITUTE(SUBSTITUTE(SUBSTITUTE(SUBSTITUTE(SUBSTITUTE(SUBSTITUTE(SUBSTITUTE(SUBSTITUTE(SUBSTITUTE(UPPER(TRIM($DZ492)),"0",""),"1",""),"2",""),"3",""),"4",""),"5",""),"6",""),"7",""),"8",""),"9",""),".",""),"+",""),"-",""),"E","")="",LEN(SUBSTITUTE(SUBSTITUTE(MID(UPPER(TRIM($DZ492)),1+OR(LEFT(UPPER(TRIM($DZ492)),1)="+",LEFT(UPPER(TRIM($DZ492)),1)="-"),999),"E+","E"),"E-","E"))=LEN(SUBSTITUTE(SUBSTITUTE(SUBSTITUTE(SUBSTITUTE(MID(UPPER(TRIM($DZ492)),1+OR(LEFT(UPPER(TRIM($DZ492)),1)="+",LEFT(UPPER(TRIM($DZ492)),1)="-"),999),"E+","E"),"E-","E"),"+",""),"-","")),LEN(UPPER(TRIM($DZ492)))-LEN(SUBSTITUTE(UPPER(TRIM($DZ492)),"E",""))&lt;2,LEN(UPPER(TRIM($DZ492)))-LEN(SUBSTITUTE(UPPER(TRIM($DZ492)),".",""))&lt;2,IFERROR(FIND(".",UPPER(TRIM($DZ492))),0)&lt;IFERROR(FIND("E",UPPER(TRIM($DZ492))),999)),ISNUMBER(VALUE(TRIM($DZ492)))),VALUE(TRIM($DZ492)),"")))),""))</f>
        <v/>
      </c>
      <c r="EB492">
        <f>IF($DM492=0,"",IF($L$18=0,"",IFERROR(IF(UPPER(TRIM(SUBSTITUTE(SUBSTITUTE(SUBSTITUTE(SUBSTITUTE(INDEX(PASTE_ALL,$DF492,$L$18)," "," "),CHAR(9)," "),CHAR(10)," "),CHAR(13)," ")))="READY","Ready",IF(UPPER(TRIM(SUBSTITUTE(SUBSTITUTE(SUBSTITUTE(SUBSTITUTE(INDEX(PASTE_ALL,$DF492,$L$18)," "," "),CHAR(9)," "),CHAR(10)," "),CHAR(13)," ")))="PM","PM",IF(OR(UPPER(TRIM(SUBSTITUTE(SUBSTITUTE(SUBSTITUTE(SUBSTITUTE(INDEX(PASTE_ALL,$DF492,$L$18)," "," "),CHAR(9)," "),CHAR(10)," "),CHAR(13)," ")))="OT",UPPER(TRIM(SUBSTITUTE(SUBSTITUTE(SUBSTITUTE(SUBSTITUTE(INDEX(PASTE_ALL,$DF492,$L$18)," "," "),CHAR(9)," "),CHAR(10)," "),CHAR(13)," ")))="OVERTIME",UPPER(TRIM(SUBSTITUTE(SUBSTITUTE(SUBSTITUTE(SUBSTITUTE(INDEX(PASTE_ALL,$DF492,$L$18)," "," "),CHAR(9)," "),CHAR(10)," "),CHAR(13)," ")))="TRIAL"),"OT",TRIM(SUBSTITUTE(SUBSTITUTE(SUBSTITUTE(SUBSTITUTE(INDEX(PASTE_ALL,$DF492,$L$18)," "," "),CHAR(9)," "),CHAR(10)," "),CHAR(13)," "))))),"")))</f>
        <v/>
      </c>
      <c r="EC492">
        <f>IF($DM492=0,"",IF($L$19=0,"",IFERROR(IF(ISNUMBER(INDEX(PASTE_ALL,$DF492,$L$19)),INDEX(PASTE_ALL,$DF492,$L$19),TRIM(SUBSTITUTE(SUBSTITUTE(SUBSTITUTE(SUBSTITUTE(INDEX(PASTE_ALL,$DF492,$L$19)," "," "),CHAR(9)," "),CHAR(10)," "),CHAR(13)," "))),"")))</f>
        <v/>
      </c>
      <c r="ED492">
        <f>IF($DM492=0,"",MATCH(1,INDEX(EXACT($DH$5:DH492,$DH492)*$DM$5:DM492,0),0))</f>
        <v/>
      </c>
      <c r="EE492">
        <f>IF($DM492=0,0,IF($ED492=$DE492,1,0))</f>
        <v/>
      </c>
      <c r="EF492">
        <f>EF491+$EE492</f>
        <v/>
      </c>
      <c r="EG492">
        <f>IF($DM492=0,"",INDEX($EF$5:$EF$1003,$ED492))</f>
        <v/>
      </c>
      <c r="EH492">
        <f>IF($DM492=0,"",IF($DO492&lt;&gt;"","",IFERROR(LOOKUP(2,1/(($EG$4:EG491=$EG492)*($DO$4:DO491&lt;&gt;"")),$DO$4:DO491),"")))</f>
        <v/>
      </c>
      <c r="EI492">
        <f>IF($DM492=0,"",IF($DO492&lt;&gt;"",$DO492,$EH492))</f>
        <v/>
      </c>
      <c r="EJ492">
        <f>IF($DM492=0,"",IF($EI492="",0,IF(OR(ISNUMBER($EI492),AND(AND(SUBSTITUTE(SUBSTITUTE(SUBSTITUTE(SUBSTITUTE(SUBSTITUTE(SUBSTITUTE(SUBSTITUTE(SUBSTITUTE(SUBSTITUTE(SUBSTITUTE(SUBSTITUTE(SUBSTITUTE(SUBSTITUTE(SUBSTITUTE(UPPER($EI492),"0",""),"1",""),"2",""),"3",""),"4",""),"5",""),"6",""),"7",""),"8",""),"9",""),".",""),"+",""),"-",""),"E","")="",LEN(SUBSTITUTE(SUBSTITUTE(MID(UPPER($EI492),1+OR(LEFT(UPPER($EI492),1)="+",LEFT(UPPER($EI492),1)="-"),999),"E+","E"),"E-","E"))=LEN(SUBSTITUTE(SUBSTITUTE(SUBSTITUTE(SUBSTITUTE(MID(UPPER($EI492),1+OR(LEFT(UPPER($EI492),1)="+",LEFT(UPPER($EI492),1)="-"),999),"E+","E"),"E-","E"),"+",""),"-","")),LEN(UPPER($EI492))-LEN(SUBSTITUTE(UPPER($EI492),"E",""))&lt;2,LEN(UPPER($EI492))-LEN(SUBSTITUTE(UPPER($EI492),".",""))&lt;2,IFERROR(FIND(".",UPPER($EI492)),0)&lt;IFERROR(FIND("E",UPPER($EI492)),999)),ISNUMBER(VALUE($EI492)))),1,2)))</f>
        <v/>
      </c>
      <c r="EK492">
        <f>IF($DM492=0,"",IF($EJ492=1,IF(ISNUMBER($EI492),$EI492,VALUE($EI492)),IF($EJ492=2,$DE492,0)))</f>
        <v/>
      </c>
      <c r="EL492">
        <f>IF($DM492=0,"",COUNTIF($EG$5:$EG$1003,"&lt;"&amp;$EG492)+SUMPRODUCT(($EG$5:$EG$1003=$EG492)*(($EJ$5:$EJ$1003&lt;$EJ492)+($EJ$5:$EJ$1003=$EJ492)*(($EK$5:$EK$1003&lt;$EK492)+($EK$5:$EK$1003=$EK492)*($DE$5:$DE$1003&lt;$DE492))))+1)</f>
        <v/>
      </c>
      <c r="EM492">
        <f>IF($DM492=0,"",$EL492+$EG492-1)</f>
        <v/>
      </c>
      <c r="EN492">
        <f>IF($DM492=0,0,IFERROR(MATCH(1,INDEX(--(TRIM(SUBSTITUTE(SUBSTITUTE(SUBSTITUTE(SUBSTITUTE(LINES_NAME&amp;""," "," "),CHAR(9)," "),CHAR(10)," "),CHAR(13)," "))=$DH492),0),0),0))</f>
        <v/>
      </c>
      <c r="EO492">
        <f>IF($EN492=0,0,IF(OR(UPPER(TRIM(INDEX(LINES_SCHEDULED,$EN492)&amp;""))="YES",UPPER(TRIM(INDEX(LINES_SCHEDULED,$EN492)&amp;""))="Y",UPPER(TRIM(INDEX(LINES_SCHEDULED,$EN492)&amp;""))="X"),1,0))</f>
        <v/>
      </c>
      <c r="EP492">
        <f>IF($DM492=0,"",IF(COUNTIFS($EG$5:$EG$1003,$EG492,$EB$5:$EB$1003,"Ready")&gt;0,"READY",IF(COUNTIFS($EG$5:$EG$1003,$EG492,$EB$5:$EB$1003,"PM")&gt;0,"PM",IF(COUNTIFS($EG$5:$EG$1003,$EG492,$EB$5:$EB$1003,"OT")&gt;0,"OT",""))))</f>
        <v/>
      </c>
      <c r="EQ492">
        <f>IF($EN492=0,"",UPPER(TRIM(INDEX(LINES_STATUS,$EN492)&amp;"")))</f>
        <v/>
      </c>
      <c r="ER492">
        <f>IF($DM492=0,"",IF(OR($EQ492="READY",$EQ492="PM",$EQ492="OT"),$EQ492,$EP492))</f>
        <v/>
      </c>
      <c r="ES492">
        <f>IF($DM492=0,"",IF(AND($DV492&lt;&gt;"",UPPER($DV492)&lt;&gt;"N"),"allergen",IF(ISNUMBER(SEARCH("oil",$DQ492)),"oil",IF(OR(EXACT($DS492,"A662"),EXACT($DS492,"A624")),"bulk",""))))</f>
        <v/>
      </c>
      <c r="ET492">
        <f>IF($DM492=0,"",IF(OR($EA492="",$EA492=0),"",$EA492/100))</f>
        <v/>
      </c>
      <c r="EU492">
        <f>IF(OR($ET492="",$DY492=""),"",INT($DY492*(1-$ET492)+0.5))</f>
        <v/>
      </c>
      <c r="EW492" t="n">
        <v>488</v>
      </c>
      <c r="EX492">
        <f>IFERROR(MATCH($EW492,$EM$5:$EM$1003,0),0)</f>
        <v/>
      </c>
      <c r="EY492">
        <f>IF($EW492&gt;$B$12,"",IF($EX492&gt;0,"row","spacer"))</f>
        <v/>
      </c>
      <c r="EZ492">
        <f>IF(AND($EY492="row",$EY491&lt;&gt;"row"),1,0)</f>
        <v/>
      </c>
      <c r="FA492">
        <f>IF(AND($EY492="row",$EY493&lt;&gt;"row"),1,0)</f>
        <v/>
      </c>
      <c r="FB492">
        <f>IF($EZ492=1,IFERROR(IF(ISNUMBER(INDEX(PASTE_ALL,INDEX($DF$5:$DF$1003,$EX492),$B$37)),INDEX(PASTE_ALL,INDEX($DF$5:$DF$1003,$EX492),$B$37),INDEX($DH$5:$DH$1003,$EX492)),INDEX($DH$5:$DH$1003,$EX492)),"")</f>
        <v/>
      </c>
      <c r="FC492">
        <f>IF($EY492="row",INDEX($ER$5:$ER$1003,$EX492),"")</f>
        <v/>
      </c>
      <c r="FD492">
        <f>IF($EY492="row",INDEX($DN$5:$DN$1003,$EX492),"")</f>
        <v/>
      </c>
      <c r="FE492">
        <f>IF($EY492="row",INDEX($DO$5:$DO$1003,$EX492),"")</f>
        <v/>
      </c>
      <c r="FF492">
        <f>IF($EY492="row",INDEX($DP$5:$DP$1003,$EX492),"")</f>
        <v/>
      </c>
      <c r="FG492">
        <f>IF($EY492="row",INDEX($DQ$5:$DQ$1003,$EX492),"")</f>
        <v/>
      </c>
      <c r="FH492">
        <f>IF($EY492="row",INDEX($DR$5:$DR$1003,$EX492),"")</f>
        <v/>
      </c>
      <c r="FI492">
        <f>IF($EY492="row",INDEX($DS$5:$DS$1003,$EX492),"")</f>
        <v/>
      </c>
      <c r="FJ492">
        <f>IF($EY492="row",INDEX($DT$5:$DT$1003,$EX492),"")</f>
        <v/>
      </c>
      <c r="FK492">
        <f>IF($EY492="row",INDEX($DU$5:$DU$1003,$EX492),"")</f>
        <v/>
      </c>
      <c r="FL492">
        <f>IF($EY492="row",INDEX($DV$5:$DV$1003,$EX492),"")</f>
        <v/>
      </c>
      <c r="FM492">
        <f>IF($EY492="row",INDEX($DW$5:$DW$1003,$EX492),"")</f>
        <v/>
      </c>
      <c r="FN492">
        <f>IF($EY492="row",INDEX($DY$5:$DY$1003,$EX492),"")</f>
        <v/>
      </c>
      <c r="FO492">
        <f>IF($EY492="row",INDEX($EA$5:$EA$1003,$EX492),"")</f>
        <v/>
      </c>
      <c r="FP492">
        <f>IF($EY492="row",INDEX($EC$5:$EC$1003,$EX492),"")</f>
        <v/>
      </c>
      <c r="FQ492">
        <f>IF($EY492="row",INDEX($ET$5:$ET$1003,$EX492),"")</f>
        <v/>
      </c>
      <c r="FR492">
        <f>IF($EY492="row",INDEX($EU$5:$EU$1003,$EX492),"")</f>
        <v/>
      </c>
      <c r="FS492">
        <f>IF(AND($EY492="row",$EY491="row"),IF(OR(INDEX($DT$5:$DT$1003,$EX491)="",INDEX($DT$5:$DT$1003,$EX492)=""),"",IF(NOT(EXACT(INDEX($DT$5:$DT$1003,$EX491),INDEX($DT$5:$DT$1003,$EX492))),"S4",IF(NOT(EXACT(INDEX($DS$5:$DS$1003,$EX491),INDEX($DS$5:$DS$1003,$EX492))),"S3",IF(NOT(EXACT(INDEX($DR$5:$DR$1003,$EX491),INDEX($DR$5:$DR$1003,$EX492))),"S1 Count Change","S1")))),"")</f>
        <v/>
      </c>
      <c r="FT492">
        <f>IF($EY492="row",INDEX($ES$5:$ES$1003,$EX492),"")</f>
        <v/>
      </c>
      <c r="FU492">
        <f>IF($EY492="row",INDEX($EO$5:$EO$1003,$EX492),0)</f>
        <v/>
      </c>
      <c r="FV492">
        <f>IF($FS492="S1 Count Change",1,0)</f>
        <v/>
      </c>
    </row>
    <row r="493">
      <c r="DA493" t="n">
        <v>489</v>
      </c>
      <c r="DB493">
        <f>IF($B$37=0,"",IFERROR(TRIM(SUBSTITUTE(SUBSTITUTE(SUBSTITUTE(SUBSTITUTE(INDEX(PASTE_ALL,489,$B$37)," "," "),CHAR(9)," "),CHAR(10)," "),CHAR(13)," ")),""))</f>
        <v/>
      </c>
      <c r="DC493">
        <f>IF(AND(489&gt;HEADER_ROW,UPPER(DB493)="LEGEND"),1,0)</f>
        <v/>
      </c>
      <c r="DE493" t="n">
        <v>489</v>
      </c>
      <c r="DF493">
        <f>HEADER_ROW+$DE493</f>
        <v/>
      </c>
      <c r="DG493">
        <f>IF(AND($DF493&lt;=1000,$DF493&lt;$B$8),1,0)</f>
        <v/>
      </c>
      <c r="DH493">
        <f>IF($DG493=1,IFERROR(INDEX($DB$5:$DB$1004,$DF493),""),"")</f>
        <v/>
      </c>
      <c r="DI493">
        <f>IF(AND($DG493=1,$DH493&lt;&gt;""),IFERROR(SUBSTITUTE(SUBSTITUTE(TRIM(SUBSTITUTE(SUBSTITUTE(SUBSTITUTE(SUBSTITUTE(IFERROR(INDEX(PASTE_ALL,$DF493,1)&amp;"","")&amp;"␟"&amp;IFERROR(INDEX(PASTE_ALL,$DF493,2)&amp;"","")&amp;"␟"&amp;IFERROR(INDEX(PASTE_ALL,$DF493,3)&amp;"","")&amp;"␟"&amp;IFERROR(INDEX(PASTE_ALL,$DF493,4)&amp;"","")&amp;"␟"&amp;IFERROR(INDEX(PASTE_ALL,$DF493,5)&amp;"","")&amp;"␟"&amp;IFERROR(INDEX(PASTE_ALL,$DF493,6)&amp;"","")&amp;"␟"&amp;IFERROR(INDEX(PASTE_ALL,$DF493,7)&amp;"","")&amp;"␟"&amp;IFERROR(INDEX(PASTE_ALL,$DF493,8)&amp;"","")&amp;"␟"&amp;IFERROR(INDEX(PASTE_ALL,$DF493,9)&amp;"","")&amp;"␟"&amp;IFERROR(INDEX(PASTE_ALL,$DF493,10)&amp;"","")&amp;"␟"&amp;IFERROR(INDEX(PASTE_ALL,$DF493,11)&amp;"","")&amp;"␟"&amp;IFERROR(INDEX(PASTE_ALL,$DF493,12)&amp;"","")&amp;"␟"&amp;IFERROR(INDEX(PASTE_ALL,$DF493,13)&amp;"","")&amp;"␟"&amp;IFERROR(INDEX(PASTE_ALL,$DF493,14)&amp;"","")&amp;"␟"&amp;IFERROR(INDEX(PASTE_ALL,$DF493,15)&amp;"","")&amp;"␟"&amp;IFERROR(INDEX(PASTE_ALL,$DF493,16)&amp;"","")&amp;"␟"&amp;IFERROR(INDEX(PASTE_ALL,$DF493,17)&amp;"","")&amp;"␟"&amp;IFERROR(INDEX(PASTE_ALL,$DF493,18)&amp;"","")&amp;"␟"&amp;IFERROR(INDEX(PASTE_ALL,$DF493,19)&amp;"","")&amp;"␟"&amp;IFERROR(INDEX(PASTE_ALL,$DF493,20)&amp;"","")&amp;"␟"&amp;IFERROR(INDEX(PASTE_ALL,$DF493,21)&amp;"","")&amp;"␟"&amp;IFERROR(INDEX(PASTE_ALL,$DF493,22)&amp;"","")&amp;"␟"&amp;IFERROR(INDEX(PASTE_ALL,$DF493,23)&amp;"","")&amp;"␟"&amp;IFERROR(INDEX(PASTE_ALL,$DF493,24)&amp;"","")&amp;"␟"&amp;IFERROR(INDEX(PASTE_ALL,$DF493,25)&amp;"","")&amp;"␟"&amp;IFERROR(INDEX(PASTE_ALL,$DF493,26)&amp;"","")&amp;"␟"&amp;IFERROR(INDEX(PASTE_ALL,$DF493,27)&amp;"","")&amp;"␟"&amp;IFERROR(INDEX(PASTE_ALL,$DF493,28)&amp;"","")&amp;"␟"&amp;IFERROR(INDEX(PASTE_ALL,$DF493,29)&amp;"","")&amp;"␟"&amp;IFERROR(INDEX(PASTE_ALL,$DF493,30)&amp;"","")&amp;"␟"&amp;IFERROR(INDEX(PASTE_ALL,$DF493,31)&amp;"","")&amp;"␟"&amp;IFERROR(INDEX(PASTE_ALL,$DF493,32)&amp;"","")&amp;"␟"&amp;IFERROR(INDEX(PASTE_ALL,$DF493,33)&amp;"","")&amp;"␟"&amp;IFERROR(INDEX(PASTE_ALL,$DF493,34)&amp;"","")&amp;"␟"&amp;IFERROR(INDEX(PASTE_ALL,$DF493,35)&amp;"","")&amp;"␟"&amp;IFERROR(INDEX(PASTE_ALL,$DF493,36)&amp;"","")&amp;"␟"&amp;IFERROR(INDEX(PASTE_ALL,$DF493,37)&amp;"","")&amp;"␟"&amp;IFERROR(INDEX(PASTE_ALL,$DF493,38)&amp;"","")&amp;"␟"&amp;IFERROR(INDEX(PASTE_ALL,$DF493,39)&amp;"","")&amp;"␟"&amp;IFERROR(INDEX(PASTE_ALL,$DF493,40)&amp;"","")&amp;"␟"&amp;IFERROR(INDEX(PASTE_ALL,$DF493,41)&amp;"","")&amp;"␟"&amp;IFERROR(INDEX(PASTE_ALL,$DF493,42)&amp;"","")&amp;"␟"&amp;IFERROR(INDEX(PASTE_ALL,$DF493,43)&amp;"","")&amp;"␟"&amp;IFERROR(INDEX(PASTE_ALL,$DF493,44)&amp;"","")&amp;"␟"&amp;IFERROR(INDEX(PASTE_ALL,$DF493,45)&amp;"","")&amp;"␟"&amp;IFERROR(INDEX(PASTE_ALL,$DF493,46)&amp;"","")&amp;"␟"&amp;IFERROR(INDEX(PASTE_ALL,$DF493,47)&amp;"","")&amp;"␟"&amp;IFERROR(INDEX(PASTE_ALL,$DF493,48)&amp;"","")&amp;"␟"&amp;IFERROR(INDEX(PASTE_ALL,$DF493,49)&amp;"","")&amp;"␟"&amp;IFERROR(INDEX(PASTE_ALL,$DF493,50)&amp;"","")&amp;"␟"&amp;IFERROR(INDEX(PASTE_ALL,$DF493,51)&amp;"","")&amp;"␟"&amp;IFERROR(INDEX(PASTE_ALL,$DF493,52)&amp;"","")&amp;"␟"&amp;IFERROR(INDEX(PASTE_ALL,$DF493,53)&amp;"","")&amp;"␟"&amp;IFERROR(INDEX(PASTE_ALL,$DF493,54)&amp;"","")&amp;"␟"&amp;IFERROR(INDEX(PASTE_ALL,$DF493,55)&amp;"","")&amp;"␟"&amp;IFERROR(INDEX(PASTE_ALL,$DF493,56)&amp;"","")&amp;"␟"&amp;IFERROR(INDEX(PASTE_ALL,$DF493,57)&amp;"","")&amp;"␟"&amp;IFERROR(INDEX(PASTE_ALL,$DF493,58)&amp;"","")&amp;"␟"&amp;IFERROR(INDEX(PASTE_ALL,$DF493,59)&amp;"","")&amp;"␟"&amp;IFERROR(INDEX(PASTE_ALL,$DF493,60)&amp;"","")," "," "),CHAR(9)," "),CHAR(10)," "),CHAR(13)," "))," ␟","␟"),"␟ ","␟"),"#"&amp;$DE493),"")</f>
        <v/>
      </c>
      <c r="DJ493">
        <f>IF($DI493="",0,IF(SUMPRODUCT(--EXACT($DI$4:DI492,$DI493))&gt;0,1,0))</f>
        <v/>
      </c>
      <c r="DK493">
        <f>IF(AND($DI493&lt;&gt;"",$DJ493=0),1,0)</f>
        <v/>
      </c>
      <c r="DL493">
        <f>DL492+$DK493</f>
        <v/>
      </c>
      <c r="DM493">
        <f>IF(AND($DK493=1,$DL493&lt;=600),1,0)</f>
        <v/>
      </c>
      <c r="DN493">
        <f>IF($DM493=0,"",IF($L$6=0,"",IFERROR(IF(ISNUMBER(INDEX(PASTE_ALL,$DF493,$L$6)),INDEX(PASTE_ALL,$DF493,$L$6),TRIM(SUBSTITUTE(SUBSTITUTE(SUBSTITUTE(SUBSTITUTE(INDEX(PASTE_ALL,$DF493,$L$6)," "," "),CHAR(9)," "),CHAR(10)," "),CHAR(13)," "))),"")))</f>
        <v/>
      </c>
      <c r="DO493">
        <f>IF($DM493=0,"",IF($L$7=0,"",IFERROR(IF(ISNUMBER(INDEX(PASTE_ALL,$DF493,$L$7)),INDEX(PASTE_ALL,$DF493,$L$7),TRIM(SUBSTITUTE(SUBSTITUTE(SUBSTITUTE(SUBSTITUTE(INDEX(PASTE_ALL,$DF493,$L$7)," "," "),CHAR(9)," "),CHAR(10)," "),CHAR(13)," "))),"")))</f>
        <v/>
      </c>
      <c r="DP493">
        <f>IF($DM493=0,"",IF($L$8=0,"",IFERROR(IF(ISNUMBER(INDEX(PASTE_ALL,$DF493,$L$8)),INDEX(PASTE_ALL,$DF493,$L$8),TRIM(SUBSTITUTE(SUBSTITUTE(SUBSTITUTE(SUBSTITUTE(INDEX(PASTE_ALL,$DF493,$L$8)," "," "),CHAR(9)," "),CHAR(10)," "),CHAR(13)," "))),"")))</f>
        <v/>
      </c>
      <c r="DQ493">
        <f>IF($DM493=0,"",IF($L$9=0,"",IFERROR(IF(ISNUMBER(INDEX(PASTE_ALL,$DF493,$L$9)),INDEX(PASTE_ALL,$DF493,$L$9),TRIM(SUBSTITUTE(SUBSTITUTE(SUBSTITUTE(SUBSTITUTE(INDEX(PASTE_ALL,$DF493,$L$9)," "," "),CHAR(9)," "),CHAR(10)," "),CHAR(13)," "))),"")))</f>
        <v/>
      </c>
      <c r="DR493">
        <f>IF($DM493=0,"",IF($L$10=0,"",IFERROR(IF(ISNUMBER(INDEX(PASTE_ALL,$DF493,$L$10)),INDEX(PASTE_ALL,$DF493,$L$10),TRIM(SUBSTITUTE(SUBSTITUTE(SUBSTITUTE(SUBSTITUTE(INDEX(PASTE_ALL,$DF493,$L$10)," "," "),CHAR(9)," "),CHAR(10)," "),CHAR(13)," "))),"")))</f>
        <v/>
      </c>
      <c r="DS493">
        <f>IF($DM493=0,"",IF($L$11=0,"",IFERROR(IF(ISNUMBER(INDEX(PASTE_ALL,$DF493,$L$11)),INDEX(PASTE_ALL,$DF493,$L$11),TRIM(SUBSTITUTE(SUBSTITUTE(SUBSTITUTE(SUBSTITUTE(INDEX(PASTE_ALL,$DF493,$L$11)," "," "),CHAR(9)," "),CHAR(10)," "),CHAR(13)," "))),"")))</f>
        <v/>
      </c>
      <c r="DT493">
        <f>IF($DM493=0,"",IF($L$12=0,"",IFERROR(IF(ISNUMBER(INDEX(PASTE_ALL,$DF493,$L$12)),INDEX(PASTE_ALL,$DF493,$L$12),TRIM(SUBSTITUTE(SUBSTITUTE(SUBSTITUTE(SUBSTITUTE(INDEX(PASTE_ALL,$DF493,$L$12)," "," "),CHAR(9)," "),CHAR(10)," "),CHAR(13)," "))),"")))</f>
        <v/>
      </c>
      <c r="DU493">
        <f>IF($DM493=0,"",IF($L$13=0,"",IFERROR(IF(ISNUMBER(INDEX(PASTE_ALL,$DF493,$L$13)),INDEX(PASTE_ALL,$DF493,$L$13),TRIM(SUBSTITUTE(SUBSTITUTE(SUBSTITUTE(SUBSTITUTE(INDEX(PASTE_ALL,$DF493,$L$13)," "," "),CHAR(9)," "),CHAR(10)," "),CHAR(13)," "))),"")))</f>
        <v/>
      </c>
      <c r="DV493">
        <f>IF($DM493=0,"",IF($L$14=0,"",IFERROR(IF(ISNUMBER(INDEX(PASTE_ALL,$DF493,$L$14)),INDEX(PASTE_ALL,$DF493,$L$14),TRIM(SUBSTITUTE(SUBSTITUTE(SUBSTITUTE(SUBSTITUTE(INDEX(PASTE_ALL,$DF493,$L$14)," "," "),CHAR(9)," "),CHAR(10)," "),CHAR(13)," "))),"")))</f>
        <v/>
      </c>
      <c r="DW493">
        <f>IF($DM493=0,"",IF($L$15=0,"",IFERROR(IF(ISNUMBER(INDEX(PASTE_ALL,$DF493,$L$15)),INDEX(PASTE_ALL,$DF493,$L$15),IF(SUMPRODUCT(--ISNUMBER(FIND({"A","B","C","D","E","F","G","H","I","J","K","L","M","N","O","P","Q","R","S","T","U","V","W","X","Y","Z","0","1","2","3","4","5","6","7","8","9"},UPPER(TRIM(SUBSTITUTE(SUBSTITUTE(SUBSTITUTE(SUBSTITUTE(INDEX(PASTE_ALL,$DF493,$L$15)," "," "),CHAR(9)," "),CHAR(10)," "),CHAR(13)," "))))))&gt;0,TRIM(SUBSTITUTE(SUBSTITUTE(SUBSTITUTE(SUBSTITUTE(INDEX(PASTE_ALL,$DF493,$L$15)," "," "),CHAR(9)," "),CHAR(10)," "),CHAR(13)," ")),"")),"")))</f>
        <v/>
      </c>
      <c r="DX493">
        <f>IF($DM493=0,"",IF($L$16=0,"",IFERROR(IF(ISNUMBER(INDEX(PASTE_ALL,$DF493,$L$16)),INDEX(PASTE_ALL,$DF493,$L$16),SUBSTITUTE(SUBSTITUTE(TRIM(SUBSTITUTE(SUBSTITUTE(SUBSTITUTE(SUBSTITUTE(INDEX(PASTE_ALL,$DF493,$L$16)," "," "),CHAR(9)," "),CHAR(10)," "),CHAR(13)," ")),",",""),"%","")),"")))</f>
        <v/>
      </c>
      <c r="DY493">
        <f>IF($DM493=0,"",IFERROR(IF(ISNUMBER($DX493),$DX493,IF($DX493="","",IF(TRIM($DX493)="",0,IF(AND(AND(SUBSTITUTE(SUBSTITUTE(SUBSTITUTE(SUBSTITUTE(SUBSTITUTE(SUBSTITUTE(SUBSTITUTE(SUBSTITUTE(SUBSTITUTE(SUBSTITUTE(SUBSTITUTE(SUBSTITUTE(SUBSTITUTE(SUBSTITUTE(UPPER(TRIM($DX493)),"0",""),"1",""),"2",""),"3",""),"4",""),"5",""),"6",""),"7",""),"8",""),"9",""),".",""),"+",""),"-",""),"E","")="",LEN(SUBSTITUTE(SUBSTITUTE(MID(UPPER(TRIM($DX493)),1+OR(LEFT(UPPER(TRIM($DX493)),1)="+",LEFT(UPPER(TRIM($DX493)),1)="-"),999),"E+","E"),"E-","E"))=LEN(SUBSTITUTE(SUBSTITUTE(SUBSTITUTE(SUBSTITUTE(MID(UPPER(TRIM($DX493)),1+OR(LEFT(UPPER(TRIM($DX493)),1)="+",LEFT(UPPER(TRIM($DX493)),1)="-"),999),"E+","E"),"E-","E"),"+",""),"-","")),LEN(UPPER(TRIM($DX493)))-LEN(SUBSTITUTE(UPPER(TRIM($DX493)),"E",""))&lt;2,LEN(UPPER(TRIM($DX493)))-LEN(SUBSTITUTE(UPPER(TRIM($DX493)),".",""))&lt;2,IFERROR(FIND(".",UPPER(TRIM($DX493))),0)&lt;IFERROR(FIND("E",UPPER(TRIM($DX493))),999)),ISNUMBER(VALUE(TRIM($DX493)))),VALUE(TRIM($DX493)),"")))),""))</f>
        <v/>
      </c>
      <c r="DZ493">
        <f>IF($DM493=0,"",IF($L$17=0,"",IFERROR(IF(ISNUMBER(INDEX(PASTE_ALL,$DF493,$L$17)),INDEX(PASTE_ALL,$DF493,$L$17),SUBSTITUTE(SUBSTITUTE(TRIM(SUBSTITUTE(SUBSTITUTE(SUBSTITUTE(SUBSTITUTE(INDEX(PASTE_ALL,$DF493,$L$17)," "," "),CHAR(9)," "),CHAR(10)," "),CHAR(13)," ")),",",""),"%","")),"")))</f>
        <v/>
      </c>
      <c r="EA493">
        <f>IF($DM493=0,"",IFERROR(IF(ISNUMBER($DZ493),$DZ493,IF($DZ493="","",IF(TRIM($DZ493)="",0,IF(AND(AND(SUBSTITUTE(SUBSTITUTE(SUBSTITUTE(SUBSTITUTE(SUBSTITUTE(SUBSTITUTE(SUBSTITUTE(SUBSTITUTE(SUBSTITUTE(SUBSTITUTE(SUBSTITUTE(SUBSTITUTE(SUBSTITUTE(SUBSTITUTE(UPPER(TRIM($DZ493)),"0",""),"1",""),"2",""),"3",""),"4",""),"5",""),"6",""),"7",""),"8",""),"9",""),".",""),"+",""),"-",""),"E","")="",LEN(SUBSTITUTE(SUBSTITUTE(MID(UPPER(TRIM($DZ493)),1+OR(LEFT(UPPER(TRIM($DZ493)),1)="+",LEFT(UPPER(TRIM($DZ493)),1)="-"),999),"E+","E"),"E-","E"))=LEN(SUBSTITUTE(SUBSTITUTE(SUBSTITUTE(SUBSTITUTE(MID(UPPER(TRIM($DZ493)),1+OR(LEFT(UPPER(TRIM($DZ493)),1)="+",LEFT(UPPER(TRIM($DZ493)),1)="-"),999),"E+","E"),"E-","E"),"+",""),"-","")),LEN(UPPER(TRIM($DZ493)))-LEN(SUBSTITUTE(UPPER(TRIM($DZ493)),"E",""))&lt;2,LEN(UPPER(TRIM($DZ493)))-LEN(SUBSTITUTE(UPPER(TRIM($DZ493)),".",""))&lt;2,IFERROR(FIND(".",UPPER(TRIM($DZ493))),0)&lt;IFERROR(FIND("E",UPPER(TRIM($DZ493))),999)),ISNUMBER(VALUE(TRIM($DZ493)))),VALUE(TRIM($DZ493)),"")))),""))</f>
        <v/>
      </c>
      <c r="EB493">
        <f>IF($DM493=0,"",IF($L$18=0,"",IFERROR(IF(UPPER(TRIM(SUBSTITUTE(SUBSTITUTE(SUBSTITUTE(SUBSTITUTE(INDEX(PASTE_ALL,$DF493,$L$18)," "," "),CHAR(9)," "),CHAR(10)," "),CHAR(13)," ")))="READY","Ready",IF(UPPER(TRIM(SUBSTITUTE(SUBSTITUTE(SUBSTITUTE(SUBSTITUTE(INDEX(PASTE_ALL,$DF493,$L$18)," "," "),CHAR(9)," "),CHAR(10)," "),CHAR(13)," ")))="PM","PM",IF(OR(UPPER(TRIM(SUBSTITUTE(SUBSTITUTE(SUBSTITUTE(SUBSTITUTE(INDEX(PASTE_ALL,$DF493,$L$18)," "," "),CHAR(9)," "),CHAR(10)," "),CHAR(13)," ")))="OT",UPPER(TRIM(SUBSTITUTE(SUBSTITUTE(SUBSTITUTE(SUBSTITUTE(INDEX(PASTE_ALL,$DF493,$L$18)," "," "),CHAR(9)," "),CHAR(10)," "),CHAR(13)," ")))="OVERTIME",UPPER(TRIM(SUBSTITUTE(SUBSTITUTE(SUBSTITUTE(SUBSTITUTE(INDEX(PASTE_ALL,$DF493,$L$18)," "," "),CHAR(9)," "),CHAR(10)," "),CHAR(13)," ")))="TRIAL"),"OT",TRIM(SUBSTITUTE(SUBSTITUTE(SUBSTITUTE(SUBSTITUTE(INDEX(PASTE_ALL,$DF493,$L$18)," "," "),CHAR(9)," "),CHAR(10)," "),CHAR(13)," "))))),"")))</f>
        <v/>
      </c>
      <c r="EC493">
        <f>IF($DM493=0,"",IF($L$19=0,"",IFERROR(IF(ISNUMBER(INDEX(PASTE_ALL,$DF493,$L$19)),INDEX(PASTE_ALL,$DF493,$L$19),TRIM(SUBSTITUTE(SUBSTITUTE(SUBSTITUTE(SUBSTITUTE(INDEX(PASTE_ALL,$DF493,$L$19)," "," "),CHAR(9)," "),CHAR(10)," "),CHAR(13)," "))),"")))</f>
        <v/>
      </c>
      <c r="ED493">
        <f>IF($DM493=0,"",MATCH(1,INDEX(EXACT($DH$5:DH493,$DH493)*$DM$5:DM493,0),0))</f>
        <v/>
      </c>
      <c r="EE493">
        <f>IF($DM493=0,0,IF($ED493=$DE493,1,0))</f>
        <v/>
      </c>
      <c r="EF493">
        <f>EF492+$EE493</f>
        <v/>
      </c>
      <c r="EG493">
        <f>IF($DM493=0,"",INDEX($EF$5:$EF$1003,$ED493))</f>
        <v/>
      </c>
      <c r="EH493">
        <f>IF($DM493=0,"",IF($DO493&lt;&gt;"","",IFERROR(LOOKUP(2,1/(($EG$4:EG492=$EG493)*($DO$4:DO492&lt;&gt;"")),$DO$4:DO492),"")))</f>
        <v/>
      </c>
      <c r="EI493">
        <f>IF($DM493=0,"",IF($DO493&lt;&gt;"",$DO493,$EH493))</f>
        <v/>
      </c>
      <c r="EJ493">
        <f>IF($DM493=0,"",IF($EI493="",0,IF(OR(ISNUMBER($EI493),AND(AND(SUBSTITUTE(SUBSTITUTE(SUBSTITUTE(SUBSTITUTE(SUBSTITUTE(SUBSTITUTE(SUBSTITUTE(SUBSTITUTE(SUBSTITUTE(SUBSTITUTE(SUBSTITUTE(SUBSTITUTE(SUBSTITUTE(SUBSTITUTE(UPPER($EI493),"0",""),"1",""),"2",""),"3",""),"4",""),"5",""),"6",""),"7",""),"8",""),"9",""),".",""),"+",""),"-",""),"E","")="",LEN(SUBSTITUTE(SUBSTITUTE(MID(UPPER($EI493),1+OR(LEFT(UPPER($EI493),1)="+",LEFT(UPPER($EI493),1)="-"),999),"E+","E"),"E-","E"))=LEN(SUBSTITUTE(SUBSTITUTE(SUBSTITUTE(SUBSTITUTE(MID(UPPER($EI493),1+OR(LEFT(UPPER($EI493),1)="+",LEFT(UPPER($EI493),1)="-"),999),"E+","E"),"E-","E"),"+",""),"-","")),LEN(UPPER($EI493))-LEN(SUBSTITUTE(UPPER($EI493),"E",""))&lt;2,LEN(UPPER($EI493))-LEN(SUBSTITUTE(UPPER($EI493),".",""))&lt;2,IFERROR(FIND(".",UPPER($EI493)),0)&lt;IFERROR(FIND("E",UPPER($EI493)),999)),ISNUMBER(VALUE($EI493)))),1,2)))</f>
        <v/>
      </c>
      <c r="EK493">
        <f>IF($DM493=0,"",IF($EJ493=1,IF(ISNUMBER($EI493),$EI493,VALUE($EI493)),IF($EJ493=2,$DE493,0)))</f>
        <v/>
      </c>
      <c r="EL493">
        <f>IF($DM493=0,"",COUNTIF($EG$5:$EG$1003,"&lt;"&amp;$EG493)+SUMPRODUCT(($EG$5:$EG$1003=$EG493)*(($EJ$5:$EJ$1003&lt;$EJ493)+($EJ$5:$EJ$1003=$EJ493)*(($EK$5:$EK$1003&lt;$EK493)+($EK$5:$EK$1003=$EK493)*($DE$5:$DE$1003&lt;$DE493))))+1)</f>
        <v/>
      </c>
      <c r="EM493">
        <f>IF($DM493=0,"",$EL493+$EG493-1)</f>
        <v/>
      </c>
      <c r="EN493">
        <f>IF($DM493=0,0,IFERROR(MATCH(1,INDEX(--(TRIM(SUBSTITUTE(SUBSTITUTE(SUBSTITUTE(SUBSTITUTE(LINES_NAME&amp;""," "," "),CHAR(9)," "),CHAR(10)," "),CHAR(13)," "))=$DH493),0),0),0))</f>
        <v/>
      </c>
      <c r="EO493">
        <f>IF($EN493=0,0,IF(OR(UPPER(TRIM(INDEX(LINES_SCHEDULED,$EN493)&amp;""))="YES",UPPER(TRIM(INDEX(LINES_SCHEDULED,$EN493)&amp;""))="Y",UPPER(TRIM(INDEX(LINES_SCHEDULED,$EN493)&amp;""))="X"),1,0))</f>
        <v/>
      </c>
      <c r="EP493">
        <f>IF($DM493=0,"",IF(COUNTIFS($EG$5:$EG$1003,$EG493,$EB$5:$EB$1003,"Ready")&gt;0,"READY",IF(COUNTIFS($EG$5:$EG$1003,$EG493,$EB$5:$EB$1003,"PM")&gt;0,"PM",IF(COUNTIFS($EG$5:$EG$1003,$EG493,$EB$5:$EB$1003,"OT")&gt;0,"OT",""))))</f>
        <v/>
      </c>
      <c r="EQ493">
        <f>IF($EN493=0,"",UPPER(TRIM(INDEX(LINES_STATUS,$EN493)&amp;"")))</f>
        <v/>
      </c>
      <c r="ER493">
        <f>IF($DM493=0,"",IF(OR($EQ493="READY",$EQ493="PM",$EQ493="OT"),$EQ493,$EP493))</f>
        <v/>
      </c>
      <c r="ES493">
        <f>IF($DM493=0,"",IF(AND($DV493&lt;&gt;"",UPPER($DV493)&lt;&gt;"N"),"allergen",IF(ISNUMBER(SEARCH("oil",$DQ493)),"oil",IF(OR(EXACT($DS493,"A662"),EXACT($DS493,"A624")),"bulk",""))))</f>
        <v/>
      </c>
      <c r="ET493">
        <f>IF($DM493=0,"",IF(OR($EA493="",$EA493=0),"",$EA493/100))</f>
        <v/>
      </c>
      <c r="EU493">
        <f>IF(OR($ET493="",$DY493=""),"",INT($DY493*(1-$ET493)+0.5))</f>
        <v/>
      </c>
      <c r="EW493" t="n">
        <v>489</v>
      </c>
      <c r="EX493">
        <f>IFERROR(MATCH($EW493,$EM$5:$EM$1003,0),0)</f>
        <v/>
      </c>
      <c r="EY493">
        <f>IF($EW493&gt;$B$12,"",IF($EX493&gt;0,"row","spacer"))</f>
        <v/>
      </c>
      <c r="EZ493">
        <f>IF(AND($EY493="row",$EY492&lt;&gt;"row"),1,0)</f>
        <v/>
      </c>
      <c r="FA493">
        <f>IF(AND($EY493="row",$EY494&lt;&gt;"row"),1,0)</f>
        <v/>
      </c>
      <c r="FB493">
        <f>IF($EZ493=1,IFERROR(IF(ISNUMBER(INDEX(PASTE_ALL,INDEX($DF$5:$DF$1003,$EX493),$B$37)),INDEX(PASTE_ALL,INDEX($DF$5:$DF$1003,$EX493),$B$37),INDEX($DH$5:$DH$1003,$EX493)),INDEX($DH$5:$DH$1003,$EX493)),"")</f>
        <v/>
      </c>
      <c r="FC493">
        <f>IF($EY493="row",INDEX($ER$5:$ER$1003,$EX493),"")</f>
        <v/>
      </c>
      <c r="FD493">
        <f>IF($EY493="row",INDEX($DN$5:$DN$1003,$EX493),"")</f>
        <v/>
      </c>
      <c r="FE493">
        <f>IF($EY493="row",INDEX($DO$5:$DO$1003,$EX493),"")</f>
        <v/>
      </c>
      <c r="FF493">
        <f>IF($EY493="row",INDEX($DP$5:$DP$1003,$EX493),"")</f>
        <v/>
      </c>
      <c r="FG493">
        <f>IF($EY493="row",INDEX($DQ$5:$DQ$1003,$EX493),"")</f>
        <v/>
      </c>
      <c r="FH493">
        <f>IF($EY493="row",INDEX($DR$5:$DR$1003,$EX493),"")</f>
        <v/>
      </c>
      <c r="FI493">
        <f>IF($EY493="row",INDEX($DS$5:$DS$1003,$EX493),"")</f>
        <v/>
      </c>
      <c r="FJ493">
        <f>IF($EY493="row",INDEX($DT$5:$DT$1003,$EX493),"")</f>
        <v/>
      </c>
      <c r="FK493">
        <f>IF($EY493="row",INDEX($DU$5:$DU$1003,$EX493),"")</f>
        <v/>
      </c>
      <c r="FL493">
        <f>IF($EY493="row",INDEX($DV$5:$DV$1003,$EX493),"")</f>
        <v/>
      </c>
      <c r="FM493">
        <f>IF($EY493="row",INDEX($DW$5:$DW$1003,$EX493),"")</f>
        <v/>
      </c>
      <c r="FN493">
        <f>IF($EY493="row",INDEX($DY$5:$DY$1003,$EX493),"")</f>
        <v/>
      </c>
      <c r="FO493">
        <f>IF($EY493="row",INDEX($EA$5:$EA$1003,$EX493),"")</f>
        <v/>
      </c>
      <c r="FP493">
        <f>IF($EY493="row",INDEX($EC$5:$EC$1003,$EX493),"")</f>
        <v/>
      </c>
      <c r="FQ493">
        <f>IF($EY493="row",INDEX($ET$5:$ET$1003,$EX493),"")</f>
        <v/>
      </c>
      <c r="FR493">
        <f>IF($EY493="row",INDEX($EU$5:$EU$1003,$EX493),"")</f>
        <v/>
      </c>
      <c r="FS493">
        <f>IF(AND($EY493="row",$EY492="row"),IF(OR(INDEX($DT$5:$DT$1003,$EX492)="",INDEX($DT$5:$DT$1003,$EX493)=""),"",IF(NOT(EXACT(INDEX($DT$5:$DT$1003,$EX492),INDEX($DT$5:$DT$1003,$EX493))),"S4",IF(NOT(EXACT(INDEX($DS$5:$DS$1003,$EX492),INDEX($DS$5:$DS$1003,$EX493))),"S3",IF(NOT(EXACT(INDEX($DR$5:$DR$1003,$EX492),INDEX($DR$5:$DR$1003,$EX493))),"S1 Count Change","S1")))),"")</f>
        <v/>
      </c>
      <c r="FT493">
        <f>IF($EY493="row",INDEX($ES$5:$ES$1003,$EX493),"")</f>
        <v/>
      </c>
      <c r="FU493">
        <f>IF($EY493="row",INDEX($EO$5:$EO$1003,$EX493),0)</f>
        <v/>
      </c>
      <c r="FV493">
        <f>IF($FS493="S1 Count Change",1,0)</f>
        <v/>
      </c>
    </row>
    <row r="494">
      <c r="DA494" t="n">
        <v>490</v>
      </c>
      <c r="DB494">
        <f>IF($B$37=0,"",IFERROR(TRIM(SUBSTITUTE(SUBSTITUTE(SUBSTITUTE(SUBSTITUTE(INDEX(PASTE_ALL,490,$B$37)," "," "),CHAR(9)," "),CHAR(10)," "),CHAR(13)," ")),""))</f>
        <v/>
      </c>
      <c r="DC494">
        <f>IF(AND(490&gt;HEADER_ROW,UPPER(DB494)="LEGEND"),1,0)</f>
        <v/>
      </c>
      <c r="DE494" t="n">
        <v>490</v>
      </c>
      <c r="DF494">
        <f>HEADER_ROW+$DE494</f>
        <v/>
      </c>
      <c r="DG494">
        <f>IF(AND($DF494&lt;=1000,$DF494&lt;$B$8),1,0)</f>
        <v/>
      </c>
      <c r="DH494">
        <f>IF($DG494=1,IFERROR(INDEX($DB$5:$DB$1004,$DF494),""),"")</f>
        <v/>
      </c>
      <c r="DI494">
        <f>IF(AND($DG494=1,$DH494&lt;&gt;""),IFERROR(SUBSTITUTE(SUBSTITUTE(TRIM(SUBSTITUTE(SUBSTITUTE(SUBSTITUTE(SUBSTITUTE(IFERROR(INDEX(PASTE_ALL,$DF494,1)&amp;"","")&amp;"␟"&amp;IFERROR(INDEX(PASTE_ALL,$DF494,2)&amp;"","")&amp;"␟"&amp;IFERROR(INDEX(PASTE_ALL,$DF494,3)&amp;"","")&amp;"␟"&amp;IFERROR(INDEX(PASTE_ALL,$DF494,4)&amp;"","")&amp;"␟"&amp;IFERROR(INDEX(PASTE_ALL,$DF494,5)&amp;"","")&amp;"␟"&amp;IFERROR(INDEX(PASTE_ALL,$DF494,6)&amp;"","")&amp;"␟"&amp;IFERROR(INDEX(PASTE_ALL,$DF494,7)&amp;"","")&amp;"␟"&amp;IFERROR(INDEX(PASTE_ALL,$DF494,8)&amp;"","")&amp;"␟"&amp;IFERROR(INDEX(PASTE_ALL,$DF494,9)&amp;"","")&amp;"␟"&amp;IFERROR(INDEX(PASTE_ALL,$DF494,10)&amp;"","")&amp;"␟"&amp;IFERROR(INDEX(PASTE_ALL,$DF494,11)&amp;"","")&amp;"␟"&amp;IFERROR(INDEX(PASTE_ALL,$DF494,12)&amp;"","")&amp;"␟"&amp;IFERROR(INDEX(PASTE_ALL,$DF494,13)&amp;"","")&amp;"␟"&amp;IFERROR(INDEX(PASTE_ALL,$DF494,14)&amp;"","")&amp;"␟"&amp;IFERROR(INDEX(PASTE_ALL,$DF494,15)&amp;"","")&amp;"␟"&amp;IFERROR(INDEX(PASTE_ALL,$DF494,16)&amp;"","")&amp;"␟"&amp;IFERROR(INDEX(PASTE_ALL,$DF494,17)&amp;"","")&amp;"␟"&amp;IFERROR(INDEX(PASTE_ALL,$DF494,18)&amp;"","")&amp;"␟"&amp;IFERROR(INDEX(PASTE_ALL,$DF494,19)&amp;"","")&amp;"␟"&amp;IFERROR(INDEX(PASTE_ALL,$DF494,20)&amp;"","")&amp;"␟"&amp;IFERROR(INDEX(PASTE_ALL,$DF494,21)&amp;"","")&amp;"␟"&amp;IFERROR(INDEX(PASTE_ALL,$DF494,22)&amp;"","")&amp;"␟"&amp;IFERROR(INDEX(PASTE_ALL,$DF494,23)&amp;"","")&amp;"␟"&amp;IFERROR(INDEX(PASTE_ALL,$DF494,24)&amp;"","")&amp;"␟"&amp;IFERROR(INDEX(PASTE_ALL,$DF494,25)&amp;"","")&amp;"␟"&amp;IFERROR(INDEX(PASTE_ALL,$DF494,26)&amp;"","")&amp;"␟"&amp;IFERROR(INDEX(PASTE_ALL,$DF494,27)&amp;"","")&amp;"␟"&amp;IFERROR(INDEX(PASTE_ALL,$DF494,28)&amp;"","")&amp;"␟"&amp;IFERROR(INDEX(PASTE_ALL,$DF494,29)&amp;"","")&amp;"␟"&amp;IFERROR(INDEX(PASTE_ALL,$DF494,30)&amp;"","")&amp;"␟"&amp;IFERROR(INDEX(PASTE_ALL,$DF494,31)&amp;"","")&amp;"␟"&amp;IFERROR(INDEX(PASTE_ALL,$DF494,32)&amp;"","")&amp;"␟"&amp;IFERROR(INDEX(PASTE_ALL,$DF494,33)&amp;"","")&amp;"␟"&amp;IFERROR(INDEX(PASTE_ALL,$DF494,34)&amp;"","")&amp;"␟"&amp;IFERROR(INDEX(PASTE_ALL,$DF494,35)&amp;"","")&amp;"␟"&amp;IFERROR(INDEX(PASTE_ALL,$DF494,36)&amp;"","")&amp;"␟"&amp;IFERROR(INDEX(PASTE_ALL,$DF494,37)&amp;"","")&amp;"␟"&amp;IFERROR(INDEX(PASTE_ALL,$DF494,38)&amp;"","")&amp;"␟"&amp;IFERROR(INDEX(PASTE_ALL,$DF494,39)&amp;"","")&amp;"␟"&amp;IFERROR(INDEX(PASTE_ALL,$DF494,40)&amp;"","")&amp;"␟"&amp;IFERROR(INDEX(PASTE_ALL,$DF494,41)&amp;"","")&amp;"␟"&amp;IFERROR(INDEX(PASTE_ALL,$DF494,42)&amp;"","")&amp;"␟"&amp;IFERROR(INDEX(PASTE_ALL,$DF494,43)&amp;"","")&amp;"␟"&amp;IFERROR(INDEX(PASTE_ALL,$DF494,44)&amp;"","")&amp;"␟"&amp;IFERROR(INDEX(PASTE_ALL,$DF494,45)&amp;"","")&amp;"␟"&amp;IFERROR(INDEX(PASTE_ALL,$DF494,46)&amp;"","")&amp;"␟"&amp;IFERROR(INDEX(PASTE_ALL,$DF494,47)&amp;"","")&amp;"␟"&amp;IFERROR(INDEX(PASTE_ALL,$DF494,48)&amp;"","")&amp;"␟"&amp;IFERROR(INDEX(PASTE_ALL,$DF494,49)&amp;"","")&amp;"␟"&amp;IFERROR(INDEX(PASTE_ALL,$DF494,50)&amp;"","")&amp;"␟"&amp;IFERROR(INDEX(PASTE_ALL,$DF494,51)&amp;"","")&amp;"␟"&amp;IFERROR(INDEX(PASTE_ALL,$DF494,52)&amp;"","")&amp;"␟"&amp;IFERROR(INDEX(PASTE_ALL,$DF494,53)&amp;"","")&amp;"␟"&amp;IFERROR(INDEX(PASTE_ALL,$DF494,54)&amp;"","")&amp;"␟"&amp;IFERROR(INDEX(PASTE_ALL,$DF494,55)&amp;"","")&amp;"␟"&amp;IFERROR(INDEX(PASTE_ALL,$DF494,56)&amp;"","")&amp;"␟"&amp;IFERROR(INDEX(PASTE_ALL,$DF494,57)&amp;"","")&amp;"␟"&amp;IFERROR(INDEX(PASTE_ALL,$DF494,58)&amp;"","")&amp;"␟"&amp;IFERROR(INDEX(PASTE_ALL,$DF494,59)&amp;"","")&amp;"␟"&amp;IFERROR(INDEX(PASTE_ALL,$DF494,60)&amp;"","")," "," "),CHAR(9)," "),CHAR(10)," "),CHAR(13)," "))," ␟","␟"),"␟ ","␟"),"#"&amp;$DE494),"")</f>
        <v/>
      </c>
      <c r="DJ494">
        <f>IF($DI494="",0,IF(SUMPRODUCT(--EXACT($DI$4:DI493,$DI494))&gt;0,1,0))</f>
        <v/>
      </c>
      <c r="DK494">
        <f>IF(AND($DI494&lt;&gt;"",$DJ494=0),1,0)</f>
        <v/>
      </c>
      <c r="DL494">
        <f>DL493+$DK494</f>
        <v/>
      </c>
      <c r="DM494">
        <f>IF(AND($DK494=1,$DL494&lt;=600),1,0)</f>
        <v/>
      </c>
      <c r="DN494">
        <f>IF($DM494=0,"",IF($L$6=0,"",IFERROR(IF(ISNUMBER(INDEX(PASTE_ALL,$DF494,$L$6)),INDEX(PASTE_ALL,$DF494,$L$6),TRIM(SUBSTITUTE(SUBSTITUTE(SUBSTITUTE(SUBSTITUTE(INDEX(PASTE_ALL,$DF494,$L$6)," "," "),CHAR(9)," "),CHAR(10)," "),CHAR(13)," "))),"")))</f>
        <v/>
      </c>
      <c r="DO494">
        <f>IF($DM494=0,"",IF($L$7=0,"",IFERROR(IF(ISNUMBER(INDEX(PASTE_ALL,$DF494,$L$7)),INDEX(PASTE_ALL,$DF494,$L$7),TRIM(SUBSTITUTE(SUBSTITUTE(SUBSTITUTE(SUBSTITUTE(INDEX(PASTE_ALL,$DF494,$L$7)," "," "),CHAR(9)," "),CHAR(10)," "),CHAR(13)," "))),"")))</f>
        <v/>
      </c>
      <c r="DP494">
        <f>IF($DM494=0,"",IF($L$8=0,"",IFERROR(IF(ISNUMBER(INDEX(PASTE_ALL,$DF494,$L$8)),INDEX(PASTE_ALL,$DF494,$L$8),TRIM(SUBSTITUTE(SUBSTITUTE(SUBSTITUTE(SUBSTITUTE(INDEX(PASTE_ALL,$DF494,$L$8)," "," "),CHAR(9)," "),CHAR(10)," "),CHAR(13)," "))),"")))</f>
        <v/>
      </c>
      <c r="DQ494">
        <f>IF($DM494=0,"",IF($L$9=0,"",IFERROR(IF(ISNUMBER(INDEX(PASTE_ALL,$DF494,$L$9)),INDEX(PASTE_ALL,$DF494,$L$9),TRIM(SUBSTITUTE(SUBSTITUTE(SUBSTITUTE(SUBSTITUTE(INDEX(PASTE_ALL,$DF494,$L$9)," "," "),CHAR(9)," "),CHAR(10)," "),CHAR(13)," "))),"")))</f>
        <v/>
      </c>
      <c r="DR494">
        <f>IF($DM494=0,"",IF($L$10=0,"",IFERROR(IF(ISNUMBER(INDEX(PASTE_ALL,$DF494,$L$10)),INDEX(PASTE_ALL,$DF494,$L$10),TRIM(SUBSTITUTE(SUBSTITUTE(SUBSTITUTE(SUBSTITUTE(INDEX(PASTE_ALL,$DF494,$L$10)," "," "),CHAR(9)," "),CHAR(10)," "),CHAR(13)," "))),"")))</f>
        <v/>
      </c>
      <c r="DS494">
        <f>IF($DM494=0,"",IF($L$11=0,"",IFERROR(IF(ISNUMBER(INDEX(PASTE_ALL,$DF494,$L$11)),INDEX(PASTE_ALL,$DF494,$L$11),TRIM(SUBSTITUTE(SUBSTITUTE(SUBSTITUTE(SUBSTITUTE(INDEX(PASTE_ALL,$DF494,$L$11)," "," "),CHAR(9)," "),CHAR(10)," "),CHAR(13)," "))),"")))</f>
        <v/>
      </c>
      <c r="DT494">
        <f>IF($DM494=0,"",IF($L$12=0,"",IFERROR(IF(ISNUMBER(INDEX(PASTE_ALL,$DF494,$L$12)),INDEX(PASTE_ALL,$DF494,$L$12),TRIM(SUBSTITUTE(SUBSTITUTE(SUBSTITUTE(SUBSTITUTE(INDEX(PASTE_ALL,$DF494,$L$12)," "," "),CHAR(9)," "),CHAR(10)," "),CHAR(13)," "))),"")))</f>
        <v/>
      </c>
      <c r="DU494">
        <f>IF($DM494=0,"",IF($L$13=0,"",IFERROR(IF(ISNUMBER(INDEX(PASTE_ALL,$DF494,$L$13)),INDEX(PASTE_ALL,$DF494,$L$13),TRIM(SUBSTITUTE(SUBSTITUTE(SUBSTITUTE(SUBSTITUTE(INDEX(PASTE_ALL,$DF494,$L$13)," "," "),CHAR(9)," "),CHAR(10)," "),CHAR(13)," "))),"")))</f>
        <v/>
      </c>
      <c r="DV494">
        <f>IF($DM494=0,"",IF($L$14=0,"",IFERROR(IF(ISNUMBER(INDEX(PASTE_ALL,$DF494,$L$14)),INDEX(PASTE_ALL,$DF494,$L$14),TRIM(SUBSTITUTE(SUBSTITUTE(SUBSTITUTE(SUBSTITUTE(INDEX(PASTE_ALL,$DF494,$L$14)," "," "),CHAR(9)," "),CHAR(10)," "),CHAR(13)," "))),"")))</f>
        <v/>
      </c>
      <c r="DW494">
        <f>IF($DM494=0,"",IF($L$15=0,"",IFERROR(IF(ISNUMBER(INDEX(PASTE_ALL,$DF494,$L$15)),INDEX(PASTE_ALL,$DF494,$L$15),IF(SUMPRODUCT(--ISNUMBER(FIND({"A","B","C","D","E","F","G","H","I","J","K","L","M","N","O","P","Q","R","S","T","U","V","W","X","Y","Z","0","1","2","3","4","5","6","7","8","9"},UPPER(TRIM(SUBSTITUTE(SUBSTITUTE(SUBSTITUTE(SUBSTITUTE(INDEX(PASTE_ALL,$DF494,$L$15)," "," "),CHAR(9)," "),CHAR(10)," "),CHAR(13)," "))))))&gt;0,TRIM(SUBSTITUTE(SUBSTITUTE(SUBSTITUTE(SUBSTITUTE(INDEX(PASTE_ALL,$DF494,$L$15)," "," "),CHAR(9)," "),CHAR(10)," "),CHAR(13)," ")),"")),"")))</f>
        <v/>
      </c>
      <c r="DX494">
        <f>IF($DM494=0,"",IF($L$16=0,"",IFERROR(IF(ISNUMBER(INDEX(PASTE_ALL,$DF494,$L$16)),INDEX(PASTE_ALL,$DF494,$L$16),SUBSTITUTE(SUBSTITUTE(TRIM(SUBSTITUTE(SUBSTITUTE(SUBSTITUTE(SUBSTITUTE(INDEX(PASTE_ALL,$DF494,$L$16)," "," "),CHAR(9)," "),CHAR(10)," "),CHAR(13)," ")),",",""),"%","")),"")))</f>
        <v/>
      </c>
      <c r="DY494">
        <f>IF($DM494=0,"",IFERROR(IF(ISNUMBER($DX494),$DX494,IF($DX494="","",IF(TRIM($DX494)="",0,IF(AND(AND(SUBSTITUTE(SUBSTITUTE(SUBSTITUTE(SUBSTITUTE(SUBSTITUTE(SUBSTITUTE(SUBSTITUTE(SUBSTITUTE(SUBSTITUTE(SUBSTITUTE(SUBSTITUTE(SUBSTITUTE(SUBSTITUTE(SUBSTITUTE(UPPER(TRIM($DX494)),"0",""),"1",""),"2",""),"3",""),"4",""),"5",""),"6",""),"7",""),"8",""),"9",""),".",""),"+",""),"-",""),"E","")="",LEN(SUBSTITUTE(SUBSTITUTE(MID(UPPER(TRIM($DX494)),1+OR(LEFT(UPPER(TRIM($DX494)),1)="+",LEFT(UPPER(TRIM($DX494)),1)="-"),999),"E+","E"),"E-","E"))=LEN(SUBSTITUTE(SUBSTITUTE(SUBSTITUTE(SUBSTITUTE(MID(UPPER(TRIM($DX494)),1+OR(LEFT(UPPER(TRIM($DX494)),1)="+",LEFT(UPPER(TRIM($DX494)),1)="-"),999),"E+","E"),"E-","E"),"+",""),"-","")),LEN(UPPER(TRIM($DX494)))-LEN(SUBSTITUTE(UPPER(TRIM($DX494)),"E",""))&lt;2,LEN(UPPER(TRIM($DX494)))-LEN(SUBSTITUTE(UPPER(TRIM($DX494)),".",""))&lt;2,IFERROR(FIND(".",UPPER(TRIM($DX494))),0)&lt;IFERROR(FIND("E",UPPER(TRIM($DX494))),999)),ISNUMBER(VALUE(TRIM($DX494)))),VALUE(TRIM($DX494)),"")))),""))</f>
        <v/>
      </c>
      <c r="DZ494">
        <f>IF($DM494=0,"",IF($L$17=0,"",IFERROR(IF(ISNUMBER(INDEX(PASTE_ALL,$DF494,$L$17)),INDEX(PASTE_ALL,$DF494,$L$17),SUBSTITUTE(SUBSTITUTE(TRIM(SUBSTITUTE(SUBSTITUTE(SUBSTITUTE(SUBSTITUTE(INDEX(PASTE_ALL,$DF494,$L$17)," "," "),CHAR(9)," "),CHAR(10)," "),CHAR(13)," ")),",",""),"%","")),"")))</f>
        <v/>
      </c>
      <c r="EA494">
        <f>IF($DM494=0,"",IFERROR(IF(ISNUMBER($DZ494),$DZ494,IF($DZ494="","",IF(TRIM($DZ494)="",0,IF(AND(AND(SUBSTITUTE(SUBSTITUTE(SUBSTITUTE(SUBSTITUTE(SUBSTITUTE(SUBSTITUTE(SUBSTITUTE(SUBSTITUTE(SUBSTITUTE(SUBSTITUTE(SUBSTITUTE(SUBSTITUTE(SUBSTITUTE(SUBSTITUTE(UPPER(TRIM($DZ494)),"0",""),"1",""),"2",""),"3",""),"4",""),"5",""),"6",""),"7",""),"8",""),"9",""),".",""),"+",""),"-",""),"E","")="",LEN(SUBSTITUTE(SUBSTITUTE(MID(UPPER(TRIM($DZ494)),1+OR(LEFT(UPPER(TRIM($DZ494)),1)="+",LEFT(UPPER(TRIM($DZ494)),1)="-"),999),"E+","E"),"E-","E"))=LEN(SUBSTITUTE(SUBSTITUTE(SUBSTITUTE(SUBSTITUTE(MID(UPPER(TRIM($DZ494)),1+OR(LEFT(UPPER(TRIM($DZ494)),1)="+",LEFT(UPPER(TRIM($DZ494)),1)="-"),999),"E+","E"),"E-","E"),"+",""),"-","")),LEN(UPPER(TRIM($DZ494)))-LEN(SUBSTITUTE(UPPER(TRIM($DZ494)),"E",""))&lt;2,LEN(UPPER(TRIM($DZ494)))-LEN(SUBSTITUTE(UPPER(TRIM($DZ494)),".",""))&lt;2,IFERROR(FIND(".",UPPER(TRIM($DZ494))),0)&lt;IFERROR(FIND("E",UPPER(TRIM($DZ494))),999)),ISNUMBER(VALUE(TRIM($DZ494)))),VALUE(TRIM($DZ494)),"")))),""))</f>
        <v/>
      </c>
      <c r="EB494">
        <f>IF($DM494=0,"",IF($L$18=0,"",IFERROR(IF(UPPER(TRIM(SUBSTITUTE(SUBSTITUTE(SUBSTITUTE(SUBSTITUTE(INDEX(PASTE_ALL,$DF494,$L$18)," "," "),CHAR(9)," "),CHAR(10)," "),CHAR(13)," ")))="READY","Ready",IF(UPPER(TRIM(SUBSTITUTE(SUBSTITUTE(SUBSTITUTE(SUBSTITUTE(INDEX(PASTE_ALL,$DF494,$L$18)," "," "),CHAR(9)," "),CHAR(10)," "),CHAR(13)," ")))="PM","PM",IF(OR(UPPER(TRIM(SUBSTITUTE(SUBSTITUTE(SUBSTITUTE(SUBSTITUTE(INDEX(PASTE_ALL,$DF494,$L$18)," "," "),CHAR(9)," "),CHAR(10)," "),CHAR(13)," ")))="OT",UPPER(TRIM(SUBSTITUTE(SUBSTITUTE(SUBSTITUTE(SUBSTITUTE(INDEX(PASTE_ALL,$DF494,$L$18)," "," "),CHAR(9)," "),CHAR(10)," "),CHAR(13)," ")))="OVERTIME",UPPER(TRIM(SUBSTITUTE(SUBSTITUTE(SUBSTITUTE(SUBSTITUTE(INDEX(PASTE_ALL,$DF494,$L$18)," "," "),CHAR(9)," "),CHAR(10)," "),CHAR(13)," ")))="TRIAL"),"OT",TRIM(SUBSTITUTE(SUBSTITUTE(SUBSTITUTE(SUBSTITUTE(INDEX(PASTE_ALL,$DF494,$L$18)," "," "),CHAR(9)," "),CHAR(10)," "),CHAR(13)," "))))),"")))</f>
        <v/>
      </c>
      <c r="EC494">
        <f>IF($DM494=0,"",IF($L$19=0,"",IFERROR(IF(ISNUMBER(INDEX(PASTE_ALL,$DF494,$L$19)),INDEX(PASTE_ALL,$DF494,$L$19),TRIM(SUBSTITUTE(SUBSTITUTE(SUBSTITUTE(SUBSTITUTE(INDEX(PASTE_ALL,$DF494,$L$19)," "," "),CHAR(9)," "),CHAR(10)," "),CHAR(13)," "))),"")))</f>
        <v/>
      </c>
      <c r="ED494">
        <f>IF($DM494=0,"",MATCH(1,INDEX(EXACT($DH$5:DH494,$DH494)*$DM$5:DM494,0),0))</f>
        <v/>
      </c>
      <c r="EE494">
        <f>IF($DM494=0,0,IF($ED494=$DE494,1,0))</f>
        <v/>
      </c>
      <c r="EF494">
        <f>EF493+$EE494</f>
        <v/>
      </c>
      <c r="EG494">
        <f>IF($DM494=0,"",INDEX($EF$5:$EF$1003,$ED494))</f>
        <v/>
      </c>
      <c r="EH494">
        <f>IF($DM494=0,"",IF($DO494&lt;&gt;"","",IFERROR(LOOKUP(2,1/(($EG$4:EG493=$EG494)*($DO$4:DO493&lt;&gt;"")),$DO$4:DO493),"")))</f>
        <v/>
      </c>
      <c r="EI494">
        <f>IF($DM494=0,"",IF($DO494&lt;&gt;"",$DO494,$EH494))</f>
        <v/>
      </c>
      <c r="EJ494">
        <f>IF($DM494=0,"",IF($EI494="",0,IF(OR(ISNUMBER($EI494),AND(AND(SUBSTITUTE(SUBSTITUTE(SUBSTITUTE(SUBSTITUTE(SUBSTITUTE(SUBSTITUTE(SUBSTITUTE(SUBSTITUTE(SUBSTITUTE(SUBSTITUTE(SUBSTITUTE(SUBSTITUTE(SUBSTITUTE(SUBSTITUTE(UPPER($EI494),"0",""),"1",""),"2",""),"3",""),"4",""),"5",""),"6",""),"7",""),"8",""),"9",""),".",""),"+",""),"-",""),"E","")="",LEN(SUBSTITUTE(SUBSTITUTE(MID(UPPER($EI494),1+OR(LEFT(UPPER($EI494),1)="+",LEFT(UPPER($EI494),1)="-"),999),"E+","E"),"E-","E"))=LEN(SUBSTITUTE(SUBSTITUTE(SUBSTITUTE(SUBSTITUTE(MID(UPPER($EI494),1+OR(LEFT(UPPER($EI494),1)="+",LEFT(UPPER($EI494),1)="-"),999),"E+","E"),"E-","E"),"+",""),"-","")),LEN(UPPER($EI494))-LEN(SUBSTITUTE(UPPER($EI494),"E",""))&lt;2,LEN(UPPER($EI494))-LEN(SUBSTITUTE(UPPER($EI494),".",""))&lt;2,IFERROR(FIND(".",UPPER($EI494)),0)&lt;IFERROR(FIND("E",UPPER($EI494)),999)),ISNUMBER(VALUE($EI494)))),1,2)))</f>
        <v/>
      </c>
      <c r="EK494">
        <f>IF($DM494=0,"",IF($EJ494=1,IF(ISNUMBER($EI494),$EI494,VALUE($EI494)),IF($EJ494=2,$DE494,0)))</f>
        <v/>
      </c>
      <c r="EL494">
        <f>IF($DM494=0,"",COUNTIF($EG$5:$EG$1003,"&lt;"&amp;$EG494)+SUMPRODUCT(($EG$5:$EG$1003=$EG494)*(($EJ$5:$EJ$1003&lt;$EJ494)+($EJ$5:$EJ$1003=$EJ494)*(($EK$5:$EK$1003&lt;$EK494)+($EK$5:$EK$1003=$EK494)*($DE$5:$DE$1003&lt;$DE494))))+1)</f>
        <v/>
      </c>
      <c r="EM494">
        <f>IF($DM494=0,"",$EL494+$EG494-1)</f>
        <v/>
      </c>
      <c r="EN494">
        <f>IF($DM494=0,0,IFERROR(MATCH(1,INDEX(--(TRIM(SUBSTITUTE(SUBSTITUTE(SUBSTITUTE(SUBSTITUTE(LINES_NAME&amp;""," "," "),CHAR(9)," "),CHAR(10)," "),CHAR(13)," "))=$DH494),0),0),0))</f>
        <v/>
      </c>
      <c r="EO494">
        <f>IF($EN494=0,0,IF(OR(UPPER(TRIM(INDEX(LINES_SCHEDULED,$EN494)&amp;""))="YES",UPPER(TRIM(INDEX(LINES_SCHEDULED,$EN494)&amp;""))="Y",UPPER(TRIM(INDEX(LINES_SCHEDULED,$EN494)&amp;""))="X"),1,0))</f>
        <v/>
      </c>
      <c r="EP494">
        <f>IF($DM494=0,"",IF(COUNTIFS($EG$5:$EG$1003,$EG494,$EB$5:$EB$1003,"Ready")&gt;0,"READY",IF(COUNTIFS($EG$5:$EG$1003,$EG494,$EB$5:$EB$1003,"PM")&gt;0,"PM",IF(COUNTIFS($EG$5:$EG$1003,$EG494,$EB$5:$EB$1003,"OT")&gt;0,"OT",""))))</f>
        <v/>
      </c>
      <c r="EQ494">
        <f>IF($EN494=0,"",UPPER(TRIM(INDEX(LINES_STATUS,$EN494)&amp;"")))</f>
        <v/>
      </c>
      <c r="ER494">
        <f>IF($DM494=0,"",IF(OR($EQ494="READY",$EQ494="PM",$EQ494="OT"),$EQ494,$EP494))</f>
        <v/>
      </c>
      <c r="ES494">
        <f>IF($DM494=0,"",IF(AND($DV494&lt;&gt;"",UPPER($DV494)&lt;&gt;"N"),"allergen",IF(ISNUMBER(SEARCH("oil",$DQ494)),"oil",IF(OR(EXACT($DS494,"A662"),EXACT($DS494,"A624")),"bulk",""))))</f>
        <v/>
      </c>
      <c r="ET494">
        <f>IF($DM494=0,"",IF(OR($EA494="",$EA494=0),"",$EA494/100))</f>
        <v/>
      </c>
      <c r="EU494">
        <f>IF(OR($ET494="",$DY494=""),"",INT($DY494*(1-$ET494)+0.5))</f>
        <v/>
      </c>
      <c r="EW494" t="n">
        <v>490</v>
      </c>
      <c r="EX494">
        <f>IFERROR(MATCH($EW494,$EM$5:$EM$1003,0),0)</f>
        <v/>
      </c>
      <c r="EY494">
        <f>IF($EW494&gt;$B$12,"",IF($EX494&gt;0,"row","spacer"))</f>
        <v/>
      </c>
      <c r="EZ494">
        <f>IF(AND($EY494="row",$EY493&lt;&gt;"row"),1,0)</f>
        <v/>
      </c>
      <c r="FA494">
        <f>IF(AND($EY494="row",$EY495&lt;&gt;"row"),1,0)</f>
        <v/>
      </c>
      <c r="FB494">
        <f>IF($EZ494=1,IFERROR(IF(ISNUMBER(INDEX(PASTE_ALL,INDEX($DF$5:$DF$1003,$EX494),$B$37)),INDEX(PASTE_ALL,INDEX($DF$5:$DF$1003,$EX494),$B$37),INDEX($DH$5:$DH$1003,$EX494)),INDEX($DH$5:$DH$1003,$EX494)),"")</f>
        <v/>
      </c>
      <c r="FC494">
        <f>IF($EY494="row",INDEX($ER$5:$ER$1003,$EX494),"")</f>
        <v/>
      </c>
      <c r="FD494">
        <f>IF($EY494="row",INDEX($DN$5:$DN$1003,$EX494),"")</f>
        <v/>
      </c>
      <c r="FE494">
        <f>IF($EY494="row",INDEX($DO$5:$DO$1003,$EX494),"")</f>
        <v/>
      </c>
      <c r="FF494">
        <f>IF($EY494="row",INDEX($DP$5:$DP$1003,$EX494),"")</f>
        <v/>
      </c>
      <c r="FG494">
        <f>IF($EY494="row",INDEX($DQ$5:$DQ$1003,$EX494),"")</f>
        <v/>
      </c>
      <c r="FH494">
        <f>IF($EY494="row",INDEX($DR$5:$DR$1003,$EX494),"")</f>
        <v/>
      </c>
      <c r="FI494">
        <f>IF($EY494="row",INDEX($DS$5:$DS$1003,$EX494),"")</f>
        <v/>
      </c>
      <c r="FJ494">
        <f>IF($EY494="row",INDEX($DT$5:$DT$1003,$EX494),"")</f>
        <v/>
      </c>
      <c r="FK494">
        <f>IF($EY494="row",INDEX($DU$5:$DU$1003,$EX494),"")</f>
        <v/>
      </c>
      <c r="FL494">
        <f>IF($EY494="row",INDEX($DV$5:$DV$1003,$EX494),"")</f>
        <v/>
      </c>
      <c r="FM494">
        <f>IF($EY494="row",INDEX($DW$5:$DW$1003,$EX494),"")</f>
        <v/>
      </c>
      <c r="FN494">
        <f>IF($EY494="row",INDEX($DY$5:$DY$1003,$EX494),"")</f>
        <v/>
      </c>
      <c r="FO494">
        <f>IF($EY494="row",INDEX($EA$5:$EA$1003,$EX494),"")</f>
        <v/>
      </c>
      <c r="FP494">
        <f>IF($EY494="row",INDEX($EC$5:$EC$1003,$EX494),"")</f>
        <v/>
      </c>
      <c r="FQ494">
        <f>IF($EY494="row",INDEX($ET$5:$ET$1003,$EX494),"")</f>
        <v/>
      </c>
      <c r="FR494">
        <f>IF($EY494="row",INDEX($EU$5:$EU$1003,$EX494),"")</f>
        <v/>
      </c>
      <c r="FS494">
        <f>IF(AND($EY494="row",$EY493="row"),IF(OR(INDEX($DT$5:$DT$1003,$EX493)="",INDEX($DT$5:$DT$1003,$EX494)=""),"",IF(NOT(EXACT(INDEX($DT$5:$DT$1003,$EX493),INDEX($DT$5:$DT$1003,$EX494))),"S4",IF(NOT(EXACT(INDEX($DS$5:$DS$1003,$EX493),INDEX($DS$5:$DS$1003,$EX494))),"S3",IF(NOT(EXACT(INDEX($DR$5:$DR$1003,$EX493),INDEX($DR$5:$DR$1003,$EX494))),"S1 Count Change","S1")))),"")</f>
        <v/>
      </c>
      <c r="FT494">
        <f>IF($EY494="row",INDEX($ES$5:$ES$1003,$EX494),"")</f>
        <v/>
      </c>
      <c r="FU494">
        <f>IF($EY494="row",INDEX($EO$5:$EO$1003,$EX494),0)</f>
        <v/>
      </c>
      <c r="FV494">
        <f>IF($FS494="S1 Count Change",1,0)</f>
        <v/>
      </c>
    </row>
    <row r="495">
      <c r="DA495" t="n">
        <v>491</v>
      </c>
      <c r="DB495">
        <f>IF($B$37=0,"",IFERROR(TRIM(SUBSTITUTE(SUBSTITUTE(SUBSTITUTE(SUBSTITUTE(INDEX(PASTE_ALL,491,$B$37)," "," "),CHAR(9)," "),CHAR(10)," "),CHAR(13)," ")),""))</f>
        <v/>
      </c>
      <c r="DC495">
        <f>IF(AND(491&gt;HEADER_ROW,UPPER(DB495)="LEGEND"),1,0)</f>
        <v/>
      </c>
      <c r="DE495" t="n">
        <v>491</v>
      </c>
      <c r="DF495">
        <f>HEADER_ROW+$DE495</f>
        <v/>
      </c>
      <c r="DG495">
        <f>IF(AND($DF495&lt;=1000,$DF495&lt;$B$8),1,0)</f>
        <v/>
      </c>
      <c r="DH495">
        <f>IF($DG495=1,IFERROR(INDEX($DB$5:$DB$1004,$DF495),""),"")</f>
        <v/>
      </c>
      <c r="DI495">
        <f>IF(AND($DG495=1,$DH495&lt;&gt;""),IFERROR(SUBSTITUTE(SUBSTITUTE(TRIM(SUBSTITUTE(SUBSTITUTE(SUBSTITUTE(SUBSTITUTE(IFERROR(INDEX(PASTE_ALL,$DF495,1)&amp;"","")&amp;"␟"&amp;IFERROR(INDEX(PASTE_ALL,$DF495,2)&amp;"","")&amp;"␟"&amp;IFERROR(INDEX(PASTE_ALL,$DF495,3)&amp;"","")&amp;"␟"&amp;IFERROR(INDEX(PASTE_ALL,$DF495,4)&amp;"","")&amp;"␟"&amp;IFERROR(INDEX(PASTE_ALL,$DF495,5)&amp;"","")&amp;"␟"&amp;IFERROR(INDEX(PASTE_ALL,$DF495,6)&amp;"","")&amp;"␟"&amp;IFERROR(INDEX(PASTE_ALL,$DF495,7)&amp;"","")&amp;"␟"&amp;IFERROR(INDEX(PASTE_ALL,$DF495,8)&amp;"","")&amp;"␟"&amp;IFERROR(INDEX(PASTE_ALL,$DF495,9)&amp;"","")&amp;"␟"&amp;IFERROR(INDEX(PASTE_ALL,$DF495,10)&amp;"","")&amp;"␟"&amp;IFERROR(INDEX(PASTE_ALL,$DF495,11)&amp;"","")&amp;"␟"&amp;IFERROR(INDEX(PASTE_ALL,$DF495,12)&amp;"","")&amp;"␟"&amp;IFERROR(INDEX(PASTE_ALL,$DF495,13)&amp;"","")&amp;"␟"&amp;IFERROR(INDEX(PASTE_ALL,$DF495,14)&amp;"","")&amp;"␟"&amp;IFERROR(INDEX(PASTE_ALL,$DF495,15)&amp;"","")&amp;"␟"&amp;IFERROR(INDEX(PASTE_ALL,$DF495,16)&amp;"","")&amp;"␟"&amp;IFERROR(INDEX(PASTE_ALL,$DF495,17)&amp;"","")&amp;"␟"&amp;IFERROR(INDEX(PASTE_ALL,$DF495,18)&amp;"","")&amp;"␟"&amp;IFERROR(INDEX(PASTE_ALL,$DF495,19)&amp;"","")&amp;"␟"&amp;IFERROR(INDEX(PASTE_ALL,$DF495,20)&amp;"","")&amp;"␟"&amp;IFERROR(INDEX(PASTE_ALL,$DF495,21)&amp;"","")&amp;"␟"&amp;IFERROR(INDEX(PASTE_ALL,$DF495,22)&amp;"","")&amp;"␟"&amp;IFERROR(INDEX(PASTE_ALL,$DF495,23)&amp;"","")&amp;"␟"&amp;IFERROR(INDEX(PASTE_ALL,$DF495,24)&amp;"","")&amp;"␟"&amp;IFERROR(INDEX(PASTE_ALL,$DF495,25)&amp;"","")&amp;"␟"&amp;IFERROR(INDEX(PASTE_ALL,$DF495,26)&amp;"","")&amp;"␟"&amp;IFERROR(INDEX(PASTE_ALL,$DF495,27)&amp;"","")&amp;"␟"&amp;IFERROR(INDEX(PASTE_ALL,$DF495,28)&amp;"","")&amp;"␟"&amp;IFERROR(INDEX(PASTE_ALL,$DF495,29)&amp;"","")&amp;"␟"&amp;IFERROR(INDEX(PASTE_ALL,$DF495,30)&amp;"","")&amp;"␟"&amp;IFERROR(INDEX(PASTE_ALL,$DF495,31)&amp;"","")&amp;"␟"&amp;IFERROR(INDEX(PASTE_ALL,$DF495,32)&amp;"","")&amp;"␟"&amp;IFERROR(INDEX(PASTE_ALL,$DF495,33)&amp;"","")&amp;"␟"&amp;IFERROR(INDEX(PASTE_ALL,$DF495,34)&amp;"","")&amp;"␟"&amp;IFERROR(INDEX(PASTE_ALL,$DF495,35)&amp;"","")&amp;"␟"&amp;IFERROR(INDEX(PASTE_ALL,$DF495,36)&amp;"","")&amp;"␟"&amp;IFERROR(INDEX(PASTE_ALL,$DF495,37)&amp;"","")&amp;"␟"&amp;IFERROR(INDEX(PASTE_ALL,$DF495,38)&amp;"","")&amp;"␟"&amp;IFERROR(INDEX(PASTE_ALL,$DF495,39)&amp;"","")&amp;"␟"&amp;IFERROR(INDEX(PASTE_ALL,$DF495,40)&amp;"","")&amp;"␟"&amp;IFERROR(INDEX(PASTE_ALL,$DF495,41)&amp;"","")&amp;"␟"&amp;IFERROR(INDEX(PASTE_ALL,$DF495,42)&amp;"","")&amp;"␟"&amp;IFERROR(INDEX(PASTE_ALL,$DF495,43)&amp;"","")&amp;"␟"&amp;IFERROR(INDEX(PASTE_ALL,$DF495,44)&amp;"","")&amp;"␟"&amp;IFERROR(INDEX(PASTE_ALL,$DF495,45)&amp;"","")&amp;"␟"&amp;IFERROR(INDEX(PASTE_ALL,$DF495,46)&amp;"","")&amp;"␟"&amp;IFERROR(INDEX(PASTE_ALL,$DF495,47)&amp;"","")&amp;"␟"&amp;IFERROR(INDEX(PASTE_ALL,$DF495,48)&amp;"","")&amp;"␟"&amp;IFERROR(INDEX(PASTE_ALL,$DF495,49)&amp;"","")&amp;"␟"&amp;IFERROR(INDEX(PASTE_ALL,$DF495,50)&amp;"","")&amp;"␟"&amp;IFERROR(INDEX(PASTE_ALL,$DF495,51)&amp;"","")&amp;"␟"&amp;IFERROR(INDEX(PASTE_ALL,$DF495,52)&amp;"","")&amp;"␟"&amp;IFERROR(INDEX(PASTE_ALL,$DF495,53)&amp;"","")&amp;"␟"&amp;IFERROR(INDEX(PASTE_ALL,$DF495,54)&amp;"","")&amp;"␟"&amp;IFERROR(INDEX(PASTE_ALL,$DF495,55)&amp;"","")&amp;"␟"&amp;IFERROR(INDEX(PASTE_ALL,$DF495,56)&amp;"","")&amp;"␟"&amp;IFERROR(INDEX(PASTE_ALL,$DF495,57)&amp;"","")&amp;"␟"&amp;IFERROR(INDEX(PASTE_ALL,$DF495,58)&amp;"","")&amp;"␟"&amp;IFERROR(INDEX(PASTE_ALL,$DF495,59)&amp;"","")&amp;"␟"&amp;IFERROR(INDEX(PASTE_ALL,$DF495,60)&amp;"","")," "," "),CHAR(9)," "),CHAR(10)," "),CHAR(13)," "))," ␟","␟"),"␟ ","␟"),"#"&amp;$DE495),"")</f>
        <v/>
      </c>
      <c r="DJ495">
        <f>IF($DI495="",0,IF(SUMPRODUCT(--EXACT($DI$4:DI494,$DI495))&gt;0,1,0))</f>
        <v/>
      </c>
      <c r="DK495">
        <f>IF(AND($DI495&lt;&gt;"",$DJ495=0),1,0)</f>
        <v/>
      </c>
      <c r="DL495">
        <f>DL494+$DK495</f>
        <v/>
      </c>
      <c r="DM495">
        <f>IF(AND($DK495=1,$DL495&lt;=600),1,0)</f>
        <v/>
      </c>
      <c r="DN495">
        <f>IF($DM495=0,"",IF($L$6=0,"",IFERROR(IF(ISNUMBER(INDEX(PASTE_ALL,$DF495,$L$6)),INDEX(PASTE_ALL,$DF495,$L$6),TRIM(SUBSTITUTE(SUBSTITUTE(SUBSTITUTE(SUBSTITUTE(INDEX(PASTE_ALL,$DF495,$L$6)," "," "),CHAR(9)," "),CHAR(10)," "),CHAR(13)," "))),"")))</f>
        <v/>
      </c>
      <c r="DO495">
        <f>IF($DM495=0,"",IF($L$7=0,"",IFERROR(IF(ISNUMBER(INDEX(PASTE_ALL,$DF495,$L$7)),INDEX(PASTE_ALL,$DF495,$L$7),TRIM(SUBSTITUTE(SUBSTITUTE(SUBSTITUTE(SUBSTITUTE(INDEX(PASTE_ALL,$DF495,$L$7)," "," "),CHAR(9)," "),CHAR(10)," "),CHAR(13)," "))),"")))</f>
        <v/>
      </c>
      <c r="DP495">
        <f>IF($DM495=0,"",IF($L$8=0,"",IFERROR(IF(ISNUMBER(INDEX(PASTE_ALL,$DF495,$L$8)),INDEX(PASTE_ALL,$DF495,$L$8),TRIM(SUBSTITUTE(SUBSTITUTE(SUBSTITUTE(SUBSTITUTE(INDEX(PASTE_ALL,$DF495,$L$8)," "," "),CHAR(9)," "),CHAR(10)," "),CHAR(13)," "))),"")))</f>
        <v/>
      </c>
      <c r="DQ495">
        <f>IF($DM495=0,"",IF($L$9=0,"",IFERROR(IF(ISNUMBER(INDEX(PASTE_ALL,$DF495,$L$9)),INDEX(PASTE_ALL,$DF495,$L$9),TRIM(SUBSTITUTE(SUBSTITUTE(SUBSTITUTE(SUBSTITUTE(INDEX(PASTE_ALL,$DF495,$L$9)," "," "),CHAR(9)," "),CHAR(10)," "),CHAR(13)," "))),"")))</f>
        <v/>
      </c>
      <c r="DR495">
        <f>IF($DM495=0,"",IF($L$10=0,"",IFERROR(IF(ISNUMBER(INDEX(PASTE_ALL,$DF495,$L$10)),INDEX(PASTE_ALL,$DF495,$L$10),TRIM(SUBSTITUTE(SUBSTITUTE(SUBSTITUTE(SUBSTITUTE(INDEX(PASTE_ALL,$DF495,$L$10)," "," "),CHAR(9)," "),CHAR(10)," "),CHAR(13)," "))),"")))</f>
        <v/>
      </c>
      <c r="DS495">
        <f>IF($DM495=0,"",IF($L$11=0,"",IFERROR(IF(ISNUMBER(INDEX(PASTE_ALL,$DF495,$L$11)),INDEX(PASTE_ALL,$DF495,$L$11),TRIM(SUBSTITUTE(SUBSTITUTE(SUBSTITUTE(SUBSTITUTE(INDEX(PASTE_ALL,$DF495,$L$11)," "," "),CHAR(9)," "),CHAR(10)," "),CHAR(13)," "))),"")))</f>
        <v/>
      </c>
      <c r="DT495">
        <f>IF($DM495=0,"",IF($L$12=0,"",IFERROR(IF(ISNUMBER(INDEX(PASTE_ALL,$DF495,$L$12)),INDEX(PASTE_ALL,$DF495,$L$12),TRIM(SUBSTITUTE(SUBSTITUTE(SUBSTITUTE(SUBSTITUTE(INDEX(PASTE_ALL,$DF495,$L$12)," "," "),CHAR(9)," "),CHAR(10)," "),CHAR(13)," "))),"")))</f>
        <v/>
      </c>
      <c r="DU495">
        <f>IF($DM495=0,"",IF($L$13=0,"",IFERROR(IF(ISNUMBER(INDEX(PASTE_ALL,$DF495,$L$13)),INDEX(PASTE_ALL,$DF495,$L$13),TRIM(SUBSTITUTE(SUBSTITUTE(SUBSTITUTE(SUBSTITUTE(INDEX(PASTE_ALL,$DF495,$L$13)," "," "),CHAR(9)," "),CHAR(10)," "),CHAR(13)," "))),"")))</f>
        <v/>
      </c>
      <c r="DV495">
        <f>IF($DM495=0,"",IF($L$14=0,"",IFERROR(IF(ISNUMBER(INDEX(PASTE_ALL,$DF495,$L$14)),INDEX(PASTE_ALL,$DF495,$L$14),TRIM(SUBSTITUTE(SUBSTITUTE(SUBSTITUTE(SUBSTITUTE(INDEX(PASTE_ALL,$DF495,$L$14)," "," "),CHAR(9)," "),CHAR(10)," "),CHAR(13)," "))),"")))</f>
        <v/>
      </c>
      <c r="DW495">
        <f>IF($DM495=0,"",IF($L$15=0,"",IFERROR(IF(ISNUMBER(INDEX(PASTE_ALL,$DF495,$L$15)),INDEX(PASTE_ALL,$DF495,$L$15),IF(SUMPRODUCT(--ISNUMBER(FIND({"A","B","C","D","E","F","G","H","I","J","K","L","M","N","O","P","Q","R","S","T","U","V","W","X","Y","Z","0","1","2","3","4","5","6","7","8","9"},UPPER(TRIM(SUBSTITUTE(SUBSTITUTE(SUBSTITUTE(SUBSTITUTE(INDEX(PASTE_ALL,$DF495,$L$15)," "," "),CHAR(9)," "),CHAR(10)," "),CHAR(13)," "))))))&gt;0,TRIM(SUBSTITUTE(SUBSTITUTE(SUBSTITUTE(SUBSTITUTE(INDEX(PASTE_ALL,$DF495,$L$15)," "," "),CHAR(9)," "),CHAR(10)," "),CHAR(13)," ")),"")),"")))</f>
        <v/>
      </c>
      <c r="DX495">
        <f>IF($DM495=0,"",IF($L$16=0,"",IFERROR(IF(ISNUMBER(INDEX(PASTE_ALL,$DF495,$L$16)),INDEX(PASTE_ALL,$DF495,$L$16),SUBSTITUTE(SUBSTITUTE(TRIM(SUBSTITUTE(SUBSTITUTE(SUBSTITUTE(SUBSTITUTE(INDEX(PASTE_ALL,$DF495,$L$16)," "," "),CHAR(9)," "),CHAR(10)," "),CHAR(13)," ")),",",""),"%","")),"")))</f>
        <v/>
      </c>
      <c r="DY495">
        <f>IF($DM495=0,"",IFERROR(IF(ISNUMBER($DX495),$DX495,IF($DX495="","",IF(TRIM($DX495)="",0,IF(AND(AND(SUBSTITUTE(SUBSTITUTE(SUBSTITUTE(SUBSTITUTE(SUBSTITUTE(SUBSTITUTE(SUBSTITUTE(SUBSTITUTE(SUBSTITUTE(SUBSTITUTE(SUBSTITUTE(SUBSTITUTE(SUBSTITUTE(SUBSTITUTE(UPPER(TRIM($DX495)),"0",""),"1",""),"2",""),"3",""),"4",""),"5",""),"6",""),"7",""),"8",""),"9",""),".",""),"+",""),"-",""),"E","")="",LEN(SUBSTITUTE(SUBSTITUTE(MID(UPPER(TRIM($DX495)),1+OR(LEFT(UPPER(TRIM($DX495)),1)="+",LEFT(UPPER(TRIM($DX495)),1)="-"),999),"E+","E"),"E-","E"))=LEN(SUBSTITUTE(SUBSTITUTE(SUBSTITUTE(SUBSTITUTE(MID(UPPER(TRIM($DX495)),1+OR(LEFT(UPPER(TRIM($DX495)),1)="+",LEFT(UPPER(TRIM($DX495)),1)="-"),999),"E+","E"),"E-","E"),"+",""),"-","")),LEN(UPPER(TRIM($DX495)))-LEN(SUBSTITUTE(UPPER(TRIM($DX495)),"E",""))&lt;2,LEN(UPPER(TRIM($DX495)))-LEN(SUBSTITUTE(UPPER(TRIM($DX495)),".",""))&lt;2,IFERROR(FIND(".",UPPER(TRIM($DX495))),0)&lt;IFERROR(FIND("E",UPPER(TRIM($DX495))),999)),ISNUMBER(VALUE(TRIM($DX495)))),VALUE(TRIM($DX495)),"")))),""))</f>
        <v/>
      </c>
      <c r="DZ495">
        <f>IF($DM495=0,"",IF($L$17=0,"",IFERROR(IF(ISNUMBER(INDEX(PASTE_ALL,$DF495,$L$17)),INDEX(PASTE_ALL,$DF495,$L$17),SUBSTITUTE(SUBSTITUTE(TRIM(SUBSTITUTE(SUBSTITUTE(SUBSTITUTE(SUBSTITUTE(INDEX(PASTE_ALL,$DF495,$L$17)," "," "),CHAR(9)," "),CHAR(10)," "),CHAR(13)," ")),",",""),"%","")),"")))</f>
        <v/>
      </c>
      <c r="EA495">
        <f>IF($DM495=0,"",IFERROR(IF(ISNUMBER($DZ495),$DZ495,IF($DZ495="","",IF(TRIM($DZ495)="",0,IF(AND(AND(SUBSTITUTE(SUBSTITUTE(SUBSTITUTE(SUBSTITUTE(SUBSTITUTE(SUBSTITUTE(SUBSTITUTE(SUBSTITUTE(SUBSTITUTE(SUBSTITUTE(SUBSTITUTE(SUBSTITUTE(SUBSTITUTE(SUBSTITUTE(UPPER(TRIM($DZ495)),"0",""),"1",""),"2",""),"3",""),"4",""),"5",""),"6",""),"7",""),"8",""),"9",""),".",""),"+",""),"-",""),"E","")="",LEN(SUBSTITUTE(SUBSTITUTE(MID(UPPER(TRIM($DZ495)),1+OR(LEFT(UPPER(TRIM($DZ495)),1)="+",LEFT(UPPER(TRIM($DZ495)),1)="-"),999),"E+","E"),"E-","E"))=LEN(SUBSTITUTE(SUBSTITUTE(SUBSTITUTE(SUBSTITUTE(MID(UPPER(TRIM($DZ495)),1+OR(LEFT(UPPER(TRIM($DZ495)),1)="+",LEFT(UPPER(TRIM($DZ495)),1)="-"),999),"E+","E"),"E-","E"),"+",""),"-","")),LEN(UPPER(TRIM($DZ495)))-LEN(SUBSTITUTE(UPPER(TRIM($DZ495)),"E",""))&lt;2,LEN(UPPER(TRIM($DZ495)))-LEN(SUBSTITUTE(UPPER(TRIM($DZ495)),".",""))&lt;2,IFERROR(FIND(".",UPPER(TRIM($DZ495))),0)&lt;IFERROR(FIND("E",UPPER(TRIM($DZ495))),999)),ISNUMBER(VALUE(TRIM($DZ495)))),VALUE(TRIM($DZ495)),"")))),""))</f>
        <v/>
      </c>
      <c r="EB495">
        <f>IF($DM495=0,"",IF($L$18=0,"",IFERROR(IF(UPPER(TRIM(SUBSTITUTE(SUBSTITUTE(SUBSTITUTE(SUBSTITUTE(INDEX(PASTE_ALL,$DF495,$L$18)," "," "),CHAR(9)," "),CHAR(10)," "),CHAR(13)," ")))="READY","Ready",IF(UPPER(TRIM(SUBSTITUTE(SUBSTITUTE(SUBSTITUTE(SUBSTITUTE(INDEX(PASTE_ALL,$DF495,$L$18)," "," "),CHAR(9)," "),CHAR(10)," "),CHAR(13)," ")))="PM","PM",IF(OR(UPPER(TRIM(SUBSTITUTE(SUBSTITUTE(SUBSTITUTE(SUBSTITUTE(INDEX(PASTE_ALL,$DF495,$L$18)," "," "),CHAR(9)," "),CHAR(10)," "),CHAR(13)," ")))="OT",UPPER(TRIM(SUBSTITUTE(SUBSTITUTE(SUBSTITUTE(SUBSTITUTE(INDEX(PASTE_ALL,$DF495,$L$18)," "," "),CHAR(9)," "),CHAR(10)," "),CHAR(13)," ")))="OVERTIME",UPPER(TRIM(SUBSTITUTE(SUBSTITUTE(SUBSTITUTE(SUBSTITUTE(INDEX(PASTE_ALL,$DF495,$L$18)," "," "),CHAR(9)," "),CHAR(10)," "),CHAR(13)," ")))="TRIAL"),"OT",TRIM(SUBSTITUTE(SUBSTITUTE(SUBSTITUTE(SUBSTITUTE(INDEX(PASTE_ALL,$DF495,$L$18)," "," "),CHAR(9)," "),CHAR(10)," "),CHAR(13)," "))))),"")))</f>
        <v/>
      </c>
      <c r="EC495">
        <f>IF($DM495=0,"",IF($L$19=0,"",IFERROR(IF(ISNUMBER(INDEX(PASTE_ALL,$DF495,$L$19)),INDEX(PASTE_ALL,$DF495,$L$19),TRIM(SUBSTITUTE(SUBSTITUTE(SUBSTITUTE(SUBSTITUTE(INDEX(PASTE_ALL,$DF495,$L$19)," "," "),CHAR(9)," "),CHAR(10)," "),CHAR(13)," "))),"")))</f>
        <v/>
      </c>
      <c r="ED495">
        <f>IF($DM495=0,"",MATCH(1,INDEX(EXACT($DH$5:DH495,$DH495)*$DM$5:DM495,0),0))</f>
        <v/>
      </c>
      <c r="EE495">
        <f>IF($DM495=0,0,IF($ED495=$DE495,1,0))</f>
        <v/>
      </c>
      <c r="EF495">
        <f>EF494+$EE495</f>
        <v/>
      </c>
      <c r="EG495">
        <f>IF($DM495=0,"",INDEX($EF$5:$EF$1003,$ED495))</f>
        <v/>
      </c>
      <c r="EH495">
        <f>IF($DM495=0,"",IF($DO495&lt;&gt;"","",IFERROR(LOOKUP(2,1/(($EG$4:EG494=$EG495)*($DO$4:DO494&lt;&gt;"")),$DO$4:DO494),"")))</f>
        <v/>
      </c>
      <c r="EI495">
        <f>IF($DM495=0,"",IF($DO495&lt;&gt;"",$DO495,$EH495))</f>
        <v/>
      </c>
      <c r="EJ495">
        <f>IF($DM495=0,"",IF($EI495="",0,IF(OR(ISNUMBER($EI495),AND(AND(SUBSTITUTE(SUBSTITUTE(SUBSTITUTE(SUBSTITUTE(SUBSTITUTE(SUBSTITUTE(SUBSTITUTE(SUBSTITUTE(SUBSTITUTE(SUBSTITUTE(SUBSTITUTE(SUBSTITUTE(SUBSTITUTE(SUBSTITUTE(UPPER($EI495),"0",""),"1",""),"2",""),"3",""),"4",""),"5",""),"6",""),"7",""),"8",""),"9",""),".",""),"+",""),"-",""),"E","")="",LEN(SUBSTITUTE(SUBSTITUTE(MID(UPPER($EI495),1+OR(LEFT(UPPER($EI495),1)="+",LEFT(UPPER($EI495),1)="-"),999),"E+","E"),"E-","E"))=LEN(SUBSTITUTE(SUBSTITUTE(SUBSTITUTE(SUBSTITUTE(MID(UPPER($EI495),1+OR(LEFT(UPPER($EI495),1)="+",LEFT(UPPER($EI495),1)="-"),999),"E+","E"),"E-","E"),"+",""),"-","")),LEN(UPPER($EI495))-LEN(SUBSTITUTE(UPPER($EI495),"E",""))&lt;2,LEN(UPPER($EI495))-LEN(SUBSTITUTE(UPPER($EI495),".",""))&lt;2,IFERROR(FIND(".",UPPER($EI495)),0)&lt;IFERROR(FIND("E",UPPER($EI495)),999)),ISNUMBER(VALUE($EI495)))),1,2)))</f>
        <v/>
      </c>
      <c r="EK495">
        <f>IF($DM495=0,"",IF($EJ495=1,IF(ISNUMBER($EI495),$EI495,VALUE($EI495)),IF($EJ495=2,$DE495,0)))</f>
        <v/>
      </c>
      <c r="EL495">
        <f>IF($DM495=0,"",COUNTIF($EG$5:$EG$1003,"&lt;"&amp;$EG495)+SUMPRODUCT(($EG$5:$EG$1003=$EG495)*(($EJ$5:$EJ$1003&lt;$EJ495)+($EJ$5:$EJ$1003=$EJ495)*(($EK$5:$EK$1003&lt;$EK495)+($EK$5:$EK$1003=$EK495)*($DE$5:$DE$1003&lt;$DE495))))+1)</f>
        <v/>
      </c>
      <c r="EM495">
        <f>IF($DM495=0,"",$EL495+$EG495-1)</f>
        <v/>
      </c>
      <c r="EN495">
        <f>IF($DM495=0,0,IFERROR(MATCH(1,INDEX(--(TRIM(SUBSTITUTE(SUBSTITUTE(SUBSTITUTE(SUBSTITUTE(LINES_NAME&amp;""," "," "),CHAR(9)," "),CHAR(10)," "),CHAR(13)," "))=$DH495),0),0),0))</f>
        <v/>
      </c>
      <c r="EO495">
        <f>IF($EN495=0,0,IF(OR(UPPER(TRIM(INDEX(LINES_SCHEDULED,$EN495)&amp;""))="YES",UPPER(TRIM(INDEX(LINES_SCHEDULED,$EN495)&amp;""))="Y",UPPER(TRIM(INDEX(LINES_SCHEDULED,$EN495)&amp;""))="X"),1,0))</f>
        <v/>
      </c>
      <c r="EP495">
        <f>IF($DM495=0,"",IF(COUNTIFS($EG$5:$EG$1003,$EG495,$EB$5:$EB$1003,"Ready")&gt;0,"READY",IF(COUNTIFS($EG$5:$EG$1003,$EG495,$EB$5:$EB$1003,"PM")&gt;0,"PM",IF(COUNTIFS($EG$5:$EG$1003,$EG495,$EB$5:$EB$1003,"OT")&gt;0,"OT",""))))</f>
        <v/>
      </c>
      <c r="EQ495">
        <f>IF($EN495=0,"",UPPER(TRIM(INDEX(LINES_STATUS,$EN495)&amp;"")))</f>
        <v/>
      </c>
      <c r="ER495">
        <f>IF($DM495=0,"",IF(OR($EQ495="READY",$EQ495="PM",$EQ495="OT"),$EQ495,$EP495))</f>
        <v/>
      </c>
      <c r="ES495">
        <f>IF($DM495=0,"",IF(AND($DV495&lt;&gt;"",UPPER($DV495)&lt;&gt;"N"),"allergen",IF(ISNUMBER(SEARCH("oil",$DQ495)),"oil",IF(OR(EXACT($DS495,"A662"),EXACT($DS495,"A624")),"bulk",""))))</f>
        <v/>
      </c>
      <c r="ET495">
        <f>IF($DM495=0,"",IF(OR($EA495="",$EA495=0),"",$EA495/100))</f>
        <v/>
      </c>
      <c r="EU495">
        <f>IF(OR($ET495="",$DY495=""),"",INT($DY495*(1-$ET495)+0.5))</f>
        <v/>
      </c>
      <c r="EW495" t="n">
        <v>491</v>
      </c>
      <c r="EX495">
        <f>IFERROR(MATCH($EW495,$EM$5:$EM$1003,0),0)</f>
        <v/>
      </c>
      <c r="EY495">
        <f>IF($EW495&gt;$B$12,"",IF($EX495&gt;0,"row","spacer"))</f>
        <v/>
      </c>
      <c r="EZ495">
        <f>IF(AND($EY495="row",$EY494&lt;&gt;"row"),1,0)</f>
        <v/>
      </c>
      <c r="FA495">
        <f>IF(AND($EY495="row",$EY496&lt;&gt;"row"),1,0)</f>
        <v/>
      </c>
      <c r="FB495">
        <f>IF($EZ495=1,IFERROR(IF(ISNUMBER(INDEX(PASTE_ALL,INDEX($DF$5:$DF$1003,$EX495),$B$37)),INDEX(PASTE_ALL,INDEX($DF$5:$DF$1003,$EX495),$B$37),INDEX($DH$5:$DH$1003,$EX495)),INDEX($DH$5:$DH$1003,$EX495)),"")</f>
        <v/>
      </c>
      <c r="FC495">
        <f>IF($EY495="row",INDEX($ER$5:$ER$1003,$EX495),"")</f>
        <v/>
      </c>
      <c r="FD495">
        <f>IF($EY495="row",INDEX($DN$5:$DN$1003,$EX495),"")</f>
        <v/>
      </c>
      <c r="FE495">
        <f>IF($EY495="row",INDEX($DO$5:$DO$1003,$EX495),"")</f>
        <v/>
      </c>
      <c r="FF495">
        <f>IF($EY495="row",INDEX($DP$5:$DP$1003,$EX495),"")</f>
        <v/>
      </c>
      <c r="FG495">
        <f>IF($EY495="row",INDEX($DQ$5:$DQ$1003,$EX495),"")</f>
        <v/>
      </c>
      <c r="FH495">
        <f>IF($EY495="row",INDEX($DR$5:$DR$1003,$EX495),"")</f>
        <v/>
      </c>
      <c r="FI495">
        <f>IF($EY495="row",INDEX($DS$5:$DS$1003,$EX495),"")</f>
        <v/>
      </c>
      <c r="FJ495">
        <f>IF($EY495="row",INDEX($DT$5:$DT$1003,$EX495),"")</f>
        <v/>
      </c>
      <c r="FK495">
        <f>IF($EY495="row",INDEX($DU$5:$DU$1003,$EX495),"")</f>
        <v/>
      </c>
      <c r="FL495">
        <f>IF($EY495="row",INDEX($DV$5:$DV$1003,$EX495),"")</f>
        <v/>
      </c>
      <c r="FM495">
        <f>IF($EY495="row",INDEX($DW$5:$DW$1003,$EX495),"")</f>
        <v/>
      </c>
      <c r="FN495">
        <f>IF($EY495="row",INDEX($DY$5:$DY$1003,$EX495),"")</f>
        <v/>
      </c>
      <c r="FO495">
        <f>IF($EY495="row",INDEX($EA$5:$EA$1003,$EX495),"")</f>
        <v/>
      </c>
      <c r="FP495">
        <f>IF($EY495="row",INDEX($EC$5:$EC$1003,$EX495),"")</f>
        <v/>
      </c>
      <c r="FQ495">
        <f>IF($EY495="row",INDEX($ET$5:$ET$1003,$EX495),"")</f>
        <v/>
      </c>
      <c r="FR495">
        <f>IF($EY495="row",INDEX($EU$5:$EU$1003,$EX495),"")</f>
        <v/>
      </c>
      <c r="FS495">
        <f>IF(AND($EY495="row",$EY494="row"),IF(OR(INDEX($DT$5:$DT$1003,$EX494)="",INDEX($DT$5:$DT$1003,$EX495)=""),"",IF(NOT(EXACT(INDEX($DT$5:$DT$1003,$EX494),INDEX($DT$5:$DT$1003,$EX495))),"S4",IF(NOT(EXACT(INDEX($DS$5:$DS$1003,$EX494),INDEX($DS$5:$DS$1003,$EX495))),"S3",IF(NOT(EXACT(INDEX($DR$5:$DR$1003,$EX494),INDEX($DR$5:$DR$1003,$EX495))),"S1 Count Change","S1")))),"")</f>
        <v/>
      </c>
      <c r="FT495">
        <f>IF($EY495="row",INDEX($ES$5:$ES$1003,$EX495),"")</f>
        <v/>
      </c>
      <c r="FU495">
        <f>IF($EY495="row",INDEX($EO$5:$EO$1003,$EX495),0)</f>
        <v/>
      </c>
      <c r="FV495">
        <f>IF($FS495="S1 Count Change",1,0)</f>
        <v/>
      </c>
    </row>
    <row r="496">
      <c r="DA496" t="n">
        <v>492</v>
      </c>
      <c r="DB496">
        <f>IF($B$37=0,"",IFERROR(TRIM(SUBSTITUTE(SUBSTITUTE(SUBSTITUTE(SUBSTITUTE(INDEX(PASTE_ALL,492,$B$37)," "," "),CHAR(9)," "),CHAR(10)," "),CHAR(13)," ")),""))</f>
        <v/>
      </c>
      <c r="DC496">
        <f>IF(AND(492&gt;HEADER_ROW,UPPER(DB496)="LEGEND"),1,0)</f>
        <v/>
      </c>
      <c r="DE496" t="n">
        <v>492</v>
      </c>
      <c r="DF496">
        <f>HEADER_ROW+$DE496</f>
        <v/>
      </c>
      <c r="DG496">
        <f>IF(AND($DF496&lt;=1000,$DF496&lt;$B$8),1,0)</f>
        <v/>
      </c>
      <c r="DH496">
        <f>IF($DG496=1,IFERROR(INDEX($DB$5:$DB$1004,$DF496),""),"")</f>
        <v/>
      </c>
      <c r="DI496">
        <f>IF(AND($DG496=1,$DH496&lt;&gt;""),IFERROR(SUBSTITUTE(SUBSTITUTE(TRIM(SUBSTITUTE(SUBSTITUTE(SUBSTITUTE(SUBSTITUTE(IFERROR(INDEX(PASTE_ALL,$DF496,1)&amp;"","")&amp;"␟"&amp;IFERROR(INDEX(PASTE_ALL,$DF496,2)&amp;"","")&amp;"␟"&amp;IFERROR(INDEX(PASTE_ALL,$DF496,3)&amp;"","")&amp;"␟"&amp;IFERROR(INDEX(PASTE_ALL,$DF496,4)&amp;"","")&amp;"␟"&amp;IFERROR(INDEX(PASTE_ALL,$DF496,5)&amp;"","")&amp;"␟"&amp;IFERROR(INDEX(PASTE_ALL,$DF496,6)&amp;"","")&amp;"␟"&amp;IFERROR(INDEX(PASTE_ALL,$DF496,7)&amp;"","")&amp;"␟"&amp;IFERROR(INDEX(PASTE_ALL,$DF496,8)&amp;"","")&amp;"␟"&amp;IFERROR(INDEX(PASTE_ALL,$DF496,9)&amp;"","")&amp;"␟"&amp;IFERROR(INDEX(PASTE_ALL,$DF496,10)&amp;"","")&amp;"␟"&amp;IFERROR(INDEX(PASTE_ALL,$DF496,11)&amp;"","")&amp;"␟"&amp;IFERROR(INDEX(PASTE_ALL,$DF496,12)&amp;"","")&amp;"␟"&amp;IFERROR(INDEX(PASTE_ALL,$DF496,13)&amp;"","")&amp;"␟"&amp;IFERROR(INDEX(PASTE_ALL,$DF496,14)&amp;"","")&amp;"␟"&amp;IFERROR(INDEX(PASTE_ALL,$DF496,15)&amp;"","")&amp;"␟"&amp;IFERROR(INDEX(PASTE_ALL,$DF496,16)&amp;"","")&amp;"␟"&amp;IFERROR(INDEX(PASTE_ALL,$DF496,17)&amp;"","")&amp;"␟"&amp;IFERROR(INDEX(PASTE_ALL,$DF496,18)&amp;"","")&amp;"␟"&amp;IFERROR(INDEX(PASTE_ALL,$DF496,19)&amp;"","")&amp;"␟"&amp;IFERROR(INDEX(PASTE_ALL,$DF496,20)&amp;"","")&amp;"␟"&amp;IFERROR(INDEX(PASTE_ALL,$DF496,21)&amp;"","")&amp;"␟"&amp;IFERROR(INDEX(PASTE_ALL,$DF496,22)&amp;"","")&amp;"␟"&amp;IFERROR(INDEX(PASTE_ALL,$DF496,23)&amp;"","")&amp;"␟"&amp;IFERROR(INDEX(PASTE_ALL,$DF496,24)&amp;"","")&amp;"␟"&amp;IFERROR(INDEX(PASTE_ALL,$DF496,25)&amp;"","")&amp;"␟"&amp;IFERROR(INDEX(PASTE_ALL,$DF496,26)&amp;"","")&amp;"␟"&amp;IFERROR(INDEX(PASTE_ALL,$DF496,27)&amp;"","")&amp;"␟"&amp;IFERROR(INDEX(PASTE_ALL,$DF496,28)&amp;"","")&amp;"␟"&amp;IFERROR(INDEX(PASTE_ALL,$DF496,29)&amp;"","")&amp;"␟"&amp;IFERROR(INDEX(PASTE_ALL,$DF496,30)&amp;"","")&amp;"␟"&amp;IFERROR(INDEX(PASTE_ALL,$DF496,31)&amp;"","")&amp;"␟"&amp;IFERROR(INDEX(PASTE_ALL,$DF496,32)&amp;"","")&amp;"␟"&amp;IFERROR(INDEX(PASTE_ALL,$DF496,33)&amp;"","")&amp;"␟"&amp;IFERROR(INDEX(PASTE_ALL,$DF496,34)&amp;"","")&amp;"␟"&amp;IFERROR(INDEX(PASTE_ALL,$DF496,35)&amp;"","")&amp;"␟"&amp;IFERROR(INDEX(PASTE_ALL,$DF496,36)&amp;"","")&amp;"␟"&amp;IFERROR(INDEX(PASTE_ALL,$DF496,37)&amp;"","")&amp;"␟"&amp;IFERROR(INDEX(PASTE_ALL,$DF496,38)&amp;"","")&amp;"␟"&amp;IFERROR(INDEX(PASTE_ALL,$DF496,39)&amp;"","")&amp;"␟"&amp;IFERROR(INDEX(PASTE_ALL,$DF496,40)&amp;"","")&amp;"␟"&amp;IFERROR(INDEX(PASTE_ALL,$DF496,41)&amp;"","")&amp;"␟"&amp;IFERROR(INDEX(PASTE_ALL,$DF496,42)&amp;"","")&amp;"␟"&amp;IFERROR(INDEX(PASTE_ALL,$DF496,43)&amp;"","")&amp;"␟"&amp;IFERROR(INDEX(PASTE_ALL,$DF496,44)&amp;"","")&amp;"␟"&amp;IFERROR(INDEX(PASTE_ALL,$DF496,45)&amp;"","")&amp;"␟"&amp;IFERROR(INDEX(PASTE_ALL,$DF496,46)&amp;"","")&amp;"␟"&amp;IFERROR(INDEX(PASTE_ALL,$DF496,47)&amp;"","")&amp;"␟"&amp;IFERROR(INDEX(PASTE_ALL,$DF496,48)&amp;"","")&amp;"␟"&amp;IFERROR(INDEX(PASTE_ALL,$DF496,49)&amp;"","")&amp;"␟"&amp;IFERROR(INDEX(PASTE_ALL,$DF496,50)&amp;"","")&amp;"␟"&amp;IFERROR(INDEX(PASTE_ALL,$DF496,51)&amp;"","")&amp;"␟"&amp;IFERROR(INDEX(PASTE_ALL,$DF496,52)&amp;"","")&amp;"␟"&amp;IFERROR(INDEX(PASTE_ALL,$DF496,53)&amp;"","")&amp;"␟"&amp;IFERROR(INDEX(PASTE_ALL,$DF496,54)&amp;"","")&amp;"␟"&amp;IFERROR(INDEX(PASTE_ALL,$DF496,55)&amp;"","")&amp;"␟"&amp;IFERROR(INDEX(PASTE_ALL,$DF496,56)&amp;"","")&amp;"␟"&amp;IFERROR(INDEX(PASTE_ALL,$DF496,57)&amp;"","")&amp;"␟"&amp;IFERROR(INDEX(PASTE_ALL,$DF496,58)&amp;"","")&amp;"␟"&amp;IFERROR(INDEX(PASTE_ALL,$DF496,59)&amp;"","")&amp;"␟"&amp;IFERROR(INDEX(PASTE_ALL,$DF496,60)&amp;"","")," "," "),CHAR(9)," "),CHAR(10)," "),CHAR(13)," "))," ␟","␟"),"␟ ","␟"),"#"&amp;$DE496),"")</f>
        <v/>
      </c>
      <c r="DJ496">
        <f>IF($DI496="",0,IF(SUMPRODUCT(--EXACT($DI$4:DI495,$DI496))&gt;0,1,0))</f>
        <v/>
      </c>
      <c r="DK496">
        <f>IF(AND($DI496&lt;&gt;"",$DJ496=0),1,0)</f>
        <v/>
      </c>
      <c r="DL496">
        <f>DL495+$DK496</f>
        <v/>
      </c>
      <c r="DM496">
        <f>IF(AND($DK496=1,$DL496&lt;=600),1,0)</f>
        <v/>
      </c>
      <c r="DN496">
        <f>IF($DM496=0,"",IF($L$6=0,"",IFERROR(IF(ISNUMBER(INDEX(PASTE_ALL,$DF496,$L$6)),INDEX(PASTE_ALL,$DF496,$L$6),TRIM(SUBSTITUTE(SUBSTITUTE(SUBSTITUTE(SUBSTITUTE(INDEX(PASTE_ALL,$DF496,$L$6)," "," "),CHAR(9)," "),CHAR(10)," "),CHAR(13)," "))),"")))</f>
        <v/>
      </c>
      <c r="DO496">
        <f>IF($DM496=0,"",IF($L$7=0,"",IFERROR(IF(ISNUMBER(INDEX(PASTE_ALL,$DF496,$L$7)),INDEX(PASTE_ALL,$DF496,$L$7),TRIM(SUBSTITUTE(SUBSTITUTE(SUBSTITUTE(SUBSTITUTE(INDEX(PASTE_ALL,$DF496,$L$7)," "," "),CHAR(9)," "),CHAR(10)," "),CHAR(13)," "))),"")))</f>
        <v/>
      </c>
      <c r="DP496">
        <f>IF($DM496=0,"",IF($L$8=0,"",IFERROR(IF(ISNUMBER(INDEX(PASTE_ALL,$DF496,$L$8)),INDEX(PASTE_ALL,$DF496,$L$8),TRIM(SUBSTITUTE(SUBSTITUTE(SUBSTITUTE(SUBSTITUTE(INDEX(PASTE_ALL,$DF496,$L$8)," "," "),CHAR(9)," "),CHAR(10)," "),CHAR(13)," "))),"")))</f>
        <v/>
      </c>
      <c r="DQ496">
        <f>IF($DM496=0,"",IF($L$9=0,"",IFERROR(IF(ISNUMBER(INDEX(PASTE_ALL,$DF496,$L$9)),INDEX(PASTE_ALL,$DF496,$L$9),TRIM(SUBSTITUTE(SUBSTITUTE(SUBSTITUTE(SUBSTITUTE(INDEX(PASTE_ALL,$DF496,$L$9)," "," "),CHAR(9)," "),CHAR(10)," "),CHAR(13)," "))),"")))</f>
        <v/>
      </c>
      <c r="DR496">
        <f>IF($DM496=0,"",IF($L$10=0,"",IFERROR(IF(ISNUMBER(INDEX(PASTE_ALL,$DF496,$L$10)),INDEX(PASTE_ALL,$DF496,$L$10),TRIM(SUBSTITUTE(SUBSTITUTE(SUBSTITUTE(SUBSTITUTE(INDEX(PASTE_ALL,$DF496,$L$10)," "," "),CHAR(9)," "),CHAR(10)," "),CHAR(13)," "))),"")))</f>
        <v/>
      </c>
      <c r="DS496">
        <f>IF($DM496=0,"",IF($L$11=0,"",IFERROR(IF(ISNUMBER(INDEX(PASTE_ALL,$DF496,$L$11)),INDEX(PASTE_ALL,$DF496,$L$11),TRIM(SUBSTITUTE(SUBSTITUTE(SUBSTITUTE(SUBSTITUTE(INDEX(PASTE_ALL,$DF496,$L$11)," "," "),CHAR(9)," "),CHAR(10)," "),CHAR(13)," "))),"")))</f>
        <v/>
      </c>
      <c r="DT496">
        <f>IF($DM496=0,"",IF($L$12=0,"",IFERROR(IF(ISNUMBER(INDEX(PASTE_ALL,$DF496,$L$12)),INDEX(PASTE_ALL,$DF496,$L$12),TRIM(SUBSTITUTE(SUBSTITUTE(SUBSTITUTE(SUBSTITUTE(INDEX(PASTE_ALL,$DF496,$L$12)," "," "),CHAR(9)," "),CHAR(10)," "),CHAR(13)," "))),"")))</f>
        <v/>
      </c>
      <c r="DU496">
        <f>IF($DM496=0,"",IF($L$13=0,"",IFERROR(IF(ISNUMBER(INDEX(PASTE_ALL,$DF496,$L$13)),INDEX(PASTE_ALL,$DF496,$L$13),TRIM(SUBSTITUTE(SUBSTITUTE(SUBSTITUTE(SUBSTITUTE(INDEX(PASTE_ALL,$DF496,$L$13)," "," "),CHAR(9)," "),CHAR(10)," "),CHAR(13)," "))),"")))</f>
        <v/>
      </c>
      <c r="DV496">
        <f>IF($DM496=0,"",IF($L$14=0,"",IFERROR(IF(ISNUMBER(INDEX(PASTE_ALL,$DF496,$L$14)),INDEX(PASTE_ALL,$DF496,$L$14),TRIM(SUBSTITUTE(SUBSTITUTE(SUBSTITUTE(SUBSTITUTE(INDEX(PASTE_ALL,$DF496,$L$14)," "," "),CHAR(9)," "),CHAR(10)," "),CHAR(13)," "))),"")))</f>
        <v/>
      </c>
      <c r="DW496">
        <f>IF($DM496=0,"",IF($L$15=0,"",IFERROR(IF(ISNUMBER(INDEX(PASTE_ALL,$DF496,$L$15)),INDEX(PASTE_ALL,$DF496,$L$15),IF(SUMPRODUCT(--ISNUMBER(FIND({"A","B","C","D","E","F","G","H","I","J","K","L","M","N","O","P","Q","R","S","T","U","V","W","X","Y","Z","0","1","2","3","4","5","6","7","8","9"},UPPER(TRIM(SUBSTITUTE(SUBSTITUTE(SUBSTITUTE(SUBSTITUTE(INDEX(PASTE_ALL,$DF496,$L$15)," "," "),CHAR(9)," "),CHAR(10)," "),CHAR(13)," "))))))&gt;0,TRIM(SUBSTITUTE(SUBSTITUTE(SUBSTITUTE(SUBSTITUTE(INDEX(PASTE_ALL,$DF496,$L$15)," "," "),CHAR(9)," "),CHAR(10)," "),CHAR(13)," ")),"")),"")))</f>
        <v/>
      </c>
      <c r="DX496">
        <f>IF($DM496=0,"",IF($L$16=0,"",IFERROR(IF(ISNUMBER(INDEX(PASTE_ALL,$DF496,$L$16)),INDEX(PASTE_ALL,$DF496,$L$16),SUBSTITUTE(SUBSTITUTE(TRIM(SUBSTITUTE(SUBSTITUTE(SUBSTITUTE(SUBSTITUTE(INDEX(PASTE_ALL,$DF496,$L$16)," "," "),CHAR(9)," "),CHAR(10)," "),CHAR(13)," ")),",",""),"%","")),"")))</f>
        <v/>
      </c>
      <c r="DY496">
        <f>IF($DM496=0,"",IFERROR(IF(ISNUMBER($DX496),$DX496,IF($DX496="","",IF(TRIM($DX496)="",0,IF(AND(AND(SUBSTITUTE(SUBSTITUTE(SUBSTITUTE(SUBSTITUTE(SUBSTITUTE(SUBSTITUTE(SUBSTITUTE(SUBSTITUTE(SUBSTITUTE(SUBSTITUTE(SUBSTITUTE(SUBSTITUTE(SUBSTITUTE(SUBSTITUTE(UPPER(TRIM($DX496)),"0",""),"1",""),"2",""),"3",""),"4",""),"5",""),"6",""),"7",""),"8",""),"9",""),".",""),"+",""),"-",""),"E","")="",LEN(SUBSTITUTE(SUBSTITUTE(MID(UPPER(TRIM($DX496)),1+OR(LEFT(UPPER(TRIM($DX496)),1)="+",LEFT(UPPER(TRIM($DX496)),1)="-"),999),"E+","E"),"E-","E"))=LEN(SUBSTITUTE(SUBSTITUTE(SUBSTITUTE(SUBSTITUTE(MID(UPPER(TRIM($DX496)),1+OR(LEFT(UPPER(TRIM($DX496)),1)="+",LEFT(UPPER(TRIM($DX496)),1)="-"),999),"E+","E"),"E-","E"),"+",""),"-","")),LEN(UPPER(TRIM($DX496)))-LEN(SUBSTITUTE(UPPER(TRIM($DX496)),"E",""))&lt;2,LEN(UPPER(TRIM($DX496)))-LEN(SUBSTITUTE(UPPER(TRIM($DX496)),".",""))&lt;2,IFERROR(FIND(".",UPPER(TRIM($DX496))),0)&lt;IFERROR(FIND("E",UPPER(TRIM($DX496))),999)),ISNUMBER(VALUE(TRIM($DX496)))),VALUE(TRIM($DX496)),"")))),""))</f>
        <v/>
      </c>
      <c r="DZ496">
        <f>IF($DM496=0,"",IF($L$17=0,"",IFERROR(IF(ISNUMBER(INDEX(PASTE_ALL,$DF496,$L$17)),INDEX(PASTE_ALL,$DF496,$L$17),SUBSTITUTE(SUBSTITUTE(TRIM(SUBSTITUTE(SUBSTITUTE(SUBSTITUTE(SUBSTITUTE(INDEX(PASTE_ALL,$DF496,$L$17)," "," "),CHAR(9)," "),CHAR(10)," "),CHAR(13)," ")),",",""),"%","")),"")))</f>
        <v/>
      </c>
      <c r="EA496">
        <f>IF($DM496=0,"",IFERROR(IF(ISNUMBER($DZ496),$DZ496,IF($DZ496="","",IF(TRIM($DZ496)="",0,IF(AND(AND(SUBSTITUTE(SUBSTITUTE(SUBSTITUTE(SUBSTITUTE(SUBSTITUTE(SUBSTITUTE(SUBSTITUTE(SUBSTITUTE(SUBSTITUTE(SUBSTITUTE(SUBSTITUTE(SUBSTITUTE(SUBSTITUTE(SUBSTITUTE(UPPER(TRIM($DZ496)),"0",""),"1",""),"2",""),"3",""),"4",""),"5",""),"6",""),"7",""),"8",""),"9",""),".",""),"+",""),"-",""),"E","")="",LEN(SUBSTITUTE(SUBSTITUTE(MID(UPPER(TRIM($DZ496)),1+OR(LEFT(UPPER(TRIM($DZ496)),1)="+",LEFT(UPPER(TRIM($DZ496)),1)="-"),999),"E+","E"),"E-","E"))=LEN(SUBSTITUTE(SUBSTITUTE(SUBSTITUTE(SUBSTITUTE(MID(UPPER(TRIM($DZ496)),1+OR(LEFT(UPPER(TRIM($DZ496)),1)="+",LEFT(UPPER(TRIM($DZ496)),1)="-"),999),"E+","E"),"E-","E"),"+",""),"-","")),LEN(UPPER(TRIM($DZ496)))-LEN(SUBSTITUTE(UPPER(TRIM($DZ496)),"E",""))&lt;2,LEN(UPPER(TRIM($DZ496)))-LEN(SUBSTITUTE(UPPER(TRIM($DZ496)),".",""))&lt;2,IFERROR(FIND(".",UPPER(TRIM($DZ496))),0)&lt;IFERROR(FIND("E",UPPER(TRIM($DZ496))),999)),ISNUMBER(VALUE(TRIM($DZ496)))),VALUE(TRIM($DZ496)),"")))),""))</f>
        <v/>
      </c>
      <c r="EB496">
        <f>IF($DM496=0,"",IF($L$18=0,"",IFERROR(IF(UPPER(TRIM(SUBSTITUTE(SUBSTITUTE(SUBSTITUTE(SUBSTITUTE(INDEX(PASTE_ALL,$DF496,$L$18)," "," "),CHAR(9)," "),CHAR(10)," "),CHAR(13)," ")))="READY","Ready",IF(UPPER(TRIM(SUBSTITUTE(SUBSTITUTE(SUBSTITUTE(SUBSTITUTE(INDEX(PASTE_ALL,$DF496,$L$18)," "," "),CHAR(9)," "),CHAR(10)," "),CHAR(13)," ")))="PM","PM",IF(OR(UPPER(TRIM(SUBSTITUTE(SUBSTITUTE(SUBSTITUTE(SUBSTITUTE(INDEX(PASTE_ALL,$DF496,$L$18)," "," "),CHAR(9)," "),CHAR(10)," "),CHAR(13)," ")))="OT",UPPER(TRIM(SUBSTITUTE(SUBSTITUTE(SUBSTITUTE(SUBSTITUTE(INDEX(PASTE_ALL,$DF496,$L$18)," "," "),CHAR(9)," "),CHAR(10)," "),CHAR(13)," ")))="OVERTIME",UPPER(TRIM(SUBSTITUTE(SUBSTITUTE(SUBSTITUTE(SUBSTITUTE(INDEX(PASTE_ALL,$DF496,$L$18)," "," "),CHAR(9)," "),CHAR(10)," "),CHAR(13)," ")))="TRIAL"),"OT",TRIM(SUBSTITUTE(SUBSTITUTE(SUBSTITUTE(SUBSTITUTE(INDEX(PASTE_ALL,$DF496,$L$18)," "," "),CHAR(9)," "),CHAR(10)," "),CHAR(13)," "))))),"")))</f>
        <v/>
      </c>
      <c r="EC496">
        <f>IF($DM496=0,"",IF($L$19=0,"",IFERROR(IF(ISNUMBER(INDEX(PASTE_ALL,$DF496,$L$19)),INDEX(PASTE_ALL,$DF496,$L$19),TRIM(SUBSTITUTE(SUBSTITUTE(SUBSTITUTE(SUBSTITUTE(INDEX(PASTE_ALL,$DF496,$L$19)," "," "),CHAR(9)," "),CHAR(10)," "),CHAR(13)," "))),"")))</f>
        <v/>
      </c>
      <c r="ED496">
        <f>IF($DM496=0,"",MATCH(1,INDEX(EXACT($DH$5:DH496,$DH496)*$DM$5:DM496,0),0))</f>
        <v/>
      </c>
      <c r="EE496">
        <f>IF($DM496=0,0,IF($ED496=$DE496,1,0))</f>
        <v/>
      </c>
      <c r="EF496">
        <f>EF495+$EE496</f>
        <v/>
      </c>
      <c r="EG496">
        <f>IF($DM496=0,"",INDEX($EF$5:$EF$1003,$ED496))</f>
        <v/>
      </c>
      <c r="EH496">
        <f>IF($DM496=0,"",IF($DO496&lt;&gt;"","",IFERROR(LOOKUP(2,1/(($EG$4:EG495=$EG496)*($DO$4:DO495&lt;&gt;"")),$DO$4:DO495),"")))</f>
        <v/>
      </c>
      <c r="EI496">
        <f>IF($DM496=0,"",IF($DO496&lt;&gt;"",$DO496,$EH496))</f>
        <v/>
      </c>
      <c r="EJ496">
        <f>IF($DM496=0,"",IF($EI496="",0,IF(OR(ISNUMBER($EI496),AND(AND(SUBSTITUTE(SUBSTITUTE(SUBSTITUTE(SUBSTITUTE(SUBSTITUTE(SUBSTITUTE(SUBSTITUTE(SUBSTITUTE(SUBSTITUTE(SUBSTITUTE(SUBSTITUTE(SUBSTITUTE(SUBSTITUTE(SUBSTITUTE(UPPER($EI496),"0",""),"1",""),"2",""),"3",""),"4",""),"5",""),"6",""),"7",""),"8",""),"9",""),".",""),"+",""),"-",""),"E","")="",LEN(SUBSTITUTE(SUBSTITUTE(MID(UPPER($EI496),1+OR(LEFT(UPPER($EI496),1)="+",LEFT(UPPER($EI496),1)="-"),999),"E+","E"),"E-","E"))=LEN(SUBSTITUTE(SUBSTITUTE(SUBSTITUTE(SUBSTITUTE(MID(UPPER($EI496),1+OR(LEFT(UPPER($EI496),1)="+",LEFT(UPPER($EI496),1)="-"),999),"E+","E"),"E-","E"),"+",""),"-","")),LEN(UPPER($EI496))-LEN(SUBSTITUTE(UPPER($EI496),"E",""))&lt;2,LEN(UPPER($EI496))-LEN(SUBSTITUTE(UPPER($EI496),".",""))&lt;2,IFERROR(FIND(".",UPPER($EI496)),0)&lt;IFERROR(FIND("E",UPPER($EI496)),999)),ISNUMBER(VALUE($EI496)))),1,2)))</f>
        <v/>
      </c>
      <c r="EK496">
        <f>IF($DM496=0,"",IF($EJ496=1,IF(ISNUMBER($EI496),$EI496,VALUE($EI496)),IF($EJ496=2,$DE496,0)))</f>
        <v/>
      </c>
      <c r="EL496">
        <f>IF($DM496=0,"",COUNTIF($EG$5:$EG$1003,"&lt;"&amp;$EG496)+SUMPRODUCT(($EG$5:$EG$1003=$EG496)*(($EJ$5:$EJ$1003&lt;$EJ496)+($EJ$5:$EJ$1003=$EJ496)*(($EK$5:$EK$1003&lt;$EK496)+($EK$5:$EK$1003=$EK496)*($DE$5:$DE$1003&lt;$DE496))))+1)</f>
        <v/>
      </c>
      <c r="EM496">
        <f>IF($DM496=0,"",$EL496+$EG496-1)</f>
        <v/>
      </c>
      <c r="EN496">
        <f>IF($DM496=0,0,IFERROR(MATCH(1,INDEX(--(TRIM(SUBSTITUTE(SUBSTITUTE(SUBSTITUTE(SUBSTITUTE(LINES_NAME&amp;""," "," "),CHAR(9)," "),CHAR(10)," "),CHAR(13)," "))=$DH496),0),0),0))</f>
        <v/>
      </c>
      <c r="EO496">
        <f>IF($EN496=0,0,IF(OR(UPPER(TRIM(INDEX(LINES_SCHEDULED,$EN496)&amp;""))="YES",UPPER(TRIM(INDEX(LINES_SCHEDULED,$EN496)&amp;""))="Y",UPPER(TRIM(INDEX(LINES_SCHEDULED,$EN496)&amp;""))="X"),1,0))</f>
        <v/>
      </c>
      <c r="EP496">
        <f>IF($DM496=0,"",IF(COUNTIFS($EG$5:$EG$1003,$EG496,$EB$5:$EB$1003,"Ready")&gt;0,"READY",IF(COUNTIFS($EG$5:$EG$1003,$EG496,$EB$5:$EB$1003,"PM")&gt;0,"PM",IF(COUNTIFS($EG$5:$EG$1003,$EG496,$EB$5:$EB$1003,"OT")&gt;0,"OT",""))))</f>
        <v/>
      </c>
      <c r="EQ496">
        <f>IF($EN496=0,"",UPPER(TRIM(INDEX(LINES_STATUS,$EN496)&amp;"")))</f>
        <v/>
      </c>
      <c r="ER496">
        <f>IF($DM496=0,"",IF(OR($EQ496="READY",$EQ496="PM",$EQ496="OT"),$EQ496,$EP496))</f>
        <v/>
      </c>
      <c r="ES496">
        <f>IF($DM496=0,"",IF(AND($DV496&lt;&gt;"",UPPER($DV496)&lt;&gt;"N"),"allergen",IF(ISNUMBER(SEARCH("oil",$DQ496)),"oil",IF(OR(EXACT($DS496,"A662"),EXACT($DS496,"A624")),"bulk",""))))</f>
        <v/>
      </c>
      <c r="ET496">
        <f>IF($DM496=0,"",IF(OR($EA496="",$EA496=0),"",$EA496/100))</f>
        <v/>
      </c>
      <c r="EU496">
        <f>IF(OR($ET496="",$DY496=""),"",INT($DY496*(1-$ET496)+0.5))</f>
        <v/>
      </c>
      <c r="EW496" t="n">
        <v>492</v>
      </c>
      <c r="EX496">
        <f>IFERROR(MATCH($EW496,$EM$5:$EM$1003,0),0)</f>
        <v/>
      </c>
      <c r="EY496">
        <f>IF($EW496&gt;$B$12,"",IF($EX496&gt;0,"row","spacer"))</f>
        <v/>
      </c>
      <c r="EZ496">
        <f>IF(AND($EY496="row",$EY495&lt;&gt;"row"),1,0)</f>
        <v/>
      </c>
      <c r="FA496">
        <f>IF(AND($EY496="row",$EY497&lt;&gt;"row"),1,0)</f>
        <v/>
      </c>
      <c r="FB496">
        <f>IF($EZ496=1,IFERROR(IF(ISNUMBER(INDEX(PASTE_ALL,INDEX($DF$5:$DF$1003,$EX496),$B$37)),INDEX(PASTE_ALL,INDEX($DF$5:$DF$1003,$EX496),$B$37),INDEX($DH$5:$DH$1003,$EX496)),INDEX($DH$5:$DH$1003,$EX496)),"")</f>
        <v/>
      </c>
      <c r="FC496">
        <f>IF($EY496="row",INDEX($ER$5:$ER$1003,$EX496),"")</f>
        <v/>
      </c>
      <c r="FD496">
        <f>IF($EY496="row",INDEX($DN$5:$DN$1003,$EX496),"")</f>
        <v/>
      </c>
      <c r="FE496">
        <f>IF($EY496="row",INDEX($DO$5:$DO$1003,$EX496),"")</f>
        <v/>
      </c>
      <c r="FF496">
        <f>IF($EY496="row",INDEX($DP$5:$DP$1003,$EX496),"")</f>
        <v/>
      </c>
      <c r="FG496">
        <f>IF($EY496="row",INDEX($DQ$5:$DQ$1003,$EX496),"")</f>
        <v/>
      </c>
      <c r="FH496">
        <f>IF($EY496="row",INDEX($DR$5:$DR$1003,$EX496),"")</f>
        <v/>
      </c>
      <c r="FI496">
        <f>IF($EY496="row",INDEX($DS$5:$DS$1003,$EX496),"")</f>
        <v/>
      </c>
      <c r="FJ496">
        <f>IF($EY496="row",INDEX($DT$5:$DT$1003,$EX496),"")</f>
        <v/>
      </c>
      <c r="FK496">
        <f>IF($EY496="row",INDEX($DU$5:$DU$1003,$EX496),"")</f>
        <v/>
      </c>
      <c r="FL496">
        <f>IF($EY496="row",INDEX($DV$5:$DV$1003,$EX496),"")</f>
        <v/>
      </c>
      <c r="FM496">
        <f>IF($EY496="row",INDEX($DW$5:$DW$1003,$EX496),"")</f>
        <v/>
      </c>
      <c r="FN496">
        <f>IF($EY496="row",INDEX($DY$5:$DY$1003,$EX496),"")</f>
        <v/>
      </c>
      <c r="FO496">
        <f>IF($EY496="row",INDEX($EA$5:$EA$1003,$EX496),"")</f>
        <v/>
      </c>
      <c r="FP496">
        <f>IF($EY496="row",INDEX($EC$5:$EC$1003,$EX496),"")</f>
        <v/>
      </c>
      <c r="FQ496">
        <f>IF($EY496="row",INDEX($ET$5:$ET$1003,$EX496),"")</f>
        <v/>
      </c>
      <c r="FR496">
        <f>IF($EY496="row",INDEX($EU$5:$EU$1003,$EX496),"")</f>
        <v/>
      </c>
      <c r="FS496">
        <f>IF(AND($EY496="row",$EY495="row"),IF(OR(INDEX($DT$5:$DT$1003,$EX495)="",INDEX($DT$5:$DT$1003,$EX496)=""),"",IF(NOT(EXACT(INDEX($DT$5:$DT$1003,$EX495),INDEX($DT$5:$DT$1003,$EX496))),"S4",IF(NOT(EXACT(INDEX($DS$5:$DS$1003,$EX495),INDEX($DS$5:$DS$1003,$EX496))),"S3",IF(NOT(EXACT(INDEX($DR$5:$DR$1003,$EX495),INDEX($DR$5:$DR$1003,$EX496))),"S1 Count Change","S1")))),"")</f>
        <v/>
      </c>
      <c r="FT496">
        <f>IF($EY496="row",INDEX($ES$5:$ES$1003,$EX496),"")</f>
        <v/>
      </c>
      <c r="FU496">
        <f>IF($EY496="row",INDEX($EO$5:$EO$1003,$EX496),0)</f>
        <v/>
      </c>
      <c r="FV496">
        <f>IF($FS496="S1 Count Change",1,0)</f>
        <v/>
      </c>
    </row>
    <row r="497">
      <c r="DA497" t="n">
        <v>493</v>
      </c>
      <c r="DB497">
        <f>IF($B$37=0,"",IFERROR(TRIM(SUBSTITUTE(SUBSTITUTE(SUBSTITUTE(SUBSTITUTE(INDEX(PASTE_ALL,493,$B$37)," "," "),CHAR(9)," "),CHAR(10)," "),CHAR(13)," ")),""))</f>
        <v/>
      </c>
      <c r="DC497">
        <f>IF(AND(493&gt;HEADER_ROW,UPPER(DB497)="LEGEND"),1,0)</f>
        <v/>
      </c>
      <c r="DE497" t="n">
        <v>493</v>
      </c>
      <c r="DF497">
        <f>HEADER_ROW+$DE497</f>
        <v/>
      </c>
      <c r="DG497">
        <f>IF(AND($DF497&lt;=1000,$DF497&lt;$B$8),1,0)</f>
        <v/>
      </c>
      <c r="DH497">
        <f>IF($DG497=1,IFERROR(INDEX($DB$5:$DB$1004,$DF497),""),"")</f>
        <v/>
      </c>
      <c r="DI497">
        <f>IF(AND($DG497=1,$DH497&lt;&gt;""),IFERROR(SUBSTITUTE(SUBSTITUTE(TRIM(SUBSTITUTE(SUBSTITUTE(SUBSTITUTE(SUBSTITUTE(IFERROR(INDEX(PASTE_ALL,$DF497,1)&amp;"","")&amp;"␟"&amp;IFERROR(INDEX(PASTE_ALL,$DF497,2)&amp;"","")&amp;"␟"&amp;IFERROR(INDEX(PASTE_ALL,$DF497,3)&amp;"","")&amp;"␟"&amp;IFERROR(INDEX(PASTE_ALL,$DF497,4)&amp;"","")&amp;"␟"&amp;IFERROR(INDEX(PASTE_ALL,$DF497,5)&amp;"","")&amp;"␟"&amp;IFERROR(INDEX(PASTE_ALL,$DF497,6)&amp;"","")&amp;"␟"&amp;IFERROR(INDEX(PASTE_ALL,$DF497,7)&amp;"","")&amp;"␟"&amp;IFERROR(INDEX(PASTE_ALL,$DF497,8)&amp;"","")&amp;"␟"&amp;IFERROR(INDEX(PASTE_ALL,$DF497,9)&amp;"","")&amp;"␟"&amp;IFERROR(INDEX(PASTE_ALL,$DF497,10)&amp;"","")&amp;"␟"&amp;IFERROR(INDEX(PASTE_ALL,$DF497,11)&amp;"","")&amp;"␟"&amp;IFERROR(INDEX(PASTE_ALL,$DF497,12)&amp;"","")&amp;"␟"&amp;IFERROR(INDEX(PASTE_ALL,$DF497,13)&amp;"","")&amp;"␟"&amp;IFERROR(INDEX(PASTE_ALL,$DF497,14)&amp;"","")&amp;"␟"&amp;IFERROR(INDEX(PASTE_ALL,$DF497,15)&amp;"","")&amp;"␟"&amp;IFERROR(INDEX(PASTE_ALL,$DF497,16)&amp;"","")&amp;"␟"&amp;IFERROR(INDEX(PASTE_ALL,$DF497,17)&amp;"","")&amp;"␟"&amp;IFERROR(INDEX(PASTE_ALL,$DF497,18)&amp;"","")&amp;"␟"&amp;IFERROR(INDEX(PASTE_ALL,$DF497,19)&amp;"","")&amp;"␟"&amp;IFERROR(INDEX(PASTE_ALL,$DF497,20)&amp;"","")&amp;"␟"&amp;IFERROR(INDEX(PASTE_ALL,$DF497,21)&amp;"","")&amp;"␟"&amp;IFERROR(INDEX(PASTE_ALL,$DF497,22)&amp;"","")&amp;"␟"&amp;IFERROR(INDEX(PASTE_ALL,$DF497,23)&amp;"","")&amp;"␟"&amp;IFERROR(INDEX(PASTE_ALL,$DF497,24)&amp;"","")&amp;"␟"&amp;IFERROR(INDEX(PASTE_ALL,$DF497,25)&amp;"","")&amp;"␟"&amp;IFERROR(INDEX(PASTE_ALL,$DF497,26)&amp;"","")&amp;"␟"&amp;IFERROR(INDEX(PASTE_ALL,$DF497,27)&amp;"","")&amp;"␟"&amp;IFERROR(INDEX(PASTE_ALL,$DF497,28)&amp;"","")&amp;"␟"&amp;IFERROR(INDEX(PASTE_ALL,$DF497,29)&amp;"","")&amp;"␟"&amp;IFERROR(INDEX(PASTE_ALL,$DF497,30)&amp;"","")&amp;"␟"&amp;IFERROR(INDEX(PASTE_ALL,$DF497,31)&amp;"","")&amp;"␟"&amp;IFERROR(INDEX(PASTE_ALL,$DF497,32)&amp;"","")&amp;"␟"&amp;IFERROR(INDEX(PASTE_ALL,$DF497,33)&amp;"","")&amp;"␟"&amp;IFERROR(INDEX(PASTE_ALL,$DF497,34)&amp;"","")&amp;"␟"&amp;IFERROR(INDEX(PASTE_ALL,$DF497,35)&amp;"","")&amp;"␟"&amp;IFERROR(INDEX(PASTE_ALL,$DF497,36)&amp;"","")&amp;"␟"&amp;IFERROR(INDEX(PASTE_ALL,$DF497,37)&amp;"","")&amp;"␟"&amp;IFERROR(INDEX(PASTE_ALL,$DF497,38)&amp;"","")&amp;"␟"&amp;IFERROR(INDEX(PASTE_ALL,$DF497,39)&amp;"","")&amp;"␟"&amp;IFERROR(INDEX(PASTE_ALL,$DF497,40)&amp;"","")&amp;"␟"&amp;IFERROR(INDEX(PASTE_ALL,$DF497,41)&amp;"","")&amp;"␟"&amp;IFERROR(INDEX(PASTE_ALL,$DF497,42)&amp;"","")&amp;"␟"&amp;IFERROR(INDEX(PASTE_ALL,$DF497,43)&amp;"","")&amp;"␟"&amp;IFERROR(INDEX(PASTE_ALL,$DF497,44)&amp;"","")&amp;"␟"&amp;IFERROR(INDEX(PASTE_ALL,$DF497,45)&amp;"","")&amp;"␟"&amp;IFERROR(INDEX(PASTE_ALL,$DF497,46)&amp;"","")&amp;"␟"&amp;IFERROR(INDEX(PASTE_ALL,$DF497,47)&amp;"","")&amp;"␟"&amp;IFERROR(INDEX(PASTE_ALL,$DF497,48)&amp;"","")&amp;"␟"&amp;IFERROR(INDEX(PASTE_ALL,$DF497,49)&amp;"","")&amp;"␟"&amp;IFERROR(INDEX(PASTE_ALL,$DF497,50)&amp;"","")&amp;"␟"&amp;IFERROR(INDEX(PASTE_ALL,$DF497,51)&amp;"","")&amp;"␟"&amp;IFERROR(INDEX(PASTE_ALL,$DF497,52)&amp;"","")&amp;"␟"&amp;IFERROR(INDEX(PASTE_ALL,$DF497,53)&amp;"","")&amp;"␟"&amp;IFERROR(INDEX(PASTE_ALL,$DF497,54)&amp;"","")&amp;"␟"&amp;IFERROR(INDEX(PASTE_ALL,$DF497,55)&amp;"","")&amp;"␟"&amp;IFERROR(INDEX(PASTE_ALL,$DF497,56)&amp;"","")&amp;"␟"&amp;IFERROR(INDEX(PASTE_ALL,$DF497,57)&amp;"","")&amp;"␟"&amp;IFERROR(INDEX(PASTE_ALL,$DF497,58)&amp;"","")&amp;"␟"&amp;IFERROR(INDEX(PASTE_ALL,$DF497,59)&amp;"","")&amp;"␟"&amp;IFERROR(INDEX(PASTE_ALL,$DF497,60)&amp;"","")," "," "),CHAR(9)," "),CHAR(10)," "),CHAR(13)," "))," ␟","␟"),"␟ ","␟"),"#"&amp;$DE497),"")</f>
        <v/>
      </c>
      <c r="DJ497">
        <f>IF($DI497="",0,IF(SUMPRODUCT(--EXACT($DI$4:DI496,$DI497))&gt;0,1,0))</f>
        <v/>
      </c>
      <c r="DK497">
        <f>IF(AND($DI497&lt;&gt;"",$DJ497=0),1,0)</f>
        <v/>
      </c>
      <c r="DL497">
        <f>DL496+$DK497</f>
        <v/>
      </c>
      <c r="DM497">
        <f>IF(AND($DK497=1,$DL497&lt;=600),1,0)</f>
        <v/>
      </c>
      <c r="DN497">
        <f>IF($DM497=0,"",IF($L$6=0,"",IFERROR(IF(ISNUMBER(INDEX(PASTE_ALL,$DF497,$L$6)),INDEX(PASTE_ALL,$DF497,$L$6),TRIM(SUBSTITUTE(SUBSTITUTE(SUBSTITUTE(SUBSTITUTE(INDEX(PASTE_ALL,$DF497,$L$6)," "," "),CHAR(9)," "),CHAR(10)," "),CHAR(13)," "))),"")))</f>
        <v/>
      </c>
      <c r="DO497">
        <f>IF($DM497=0,"",IF($L$7=0,"",IFERROR(IF(ISNUMBER(INDEX(PASTE_ALL,$DF497,$L$7)),INDEX(PASTE_ALL,$DF497,$L$7),TRIM(SUBSTITUTE(SUBSTITUTE(SUBSTITUTE(SUBSTITUTE(INDEX(PASTE_ALL,$DF497,$L$7)," "," "),CHAR(9)," "),CHAR(10)," "),CHAR(13)," "))),"")))</f>
        <v/>
      </c>
      <c r="DP497">
        <f>IF($DM497=0,"",IF($L$8=0,"",IFERROR(IF(ISNUMBER(INDEX(PASTE_ALL,$DF497,$L$8)),INDEX(PASTE_ALL,$DF497,$L$8),TRIM(SUBSTITUTE(SUBSTITUTE(SUBSTITUTE(SUBSTITUTE(INDEX(PASTE_ALL,$DF497,$L$8)," "," "),CHAR(9)," "),CHAR(10)," "),CHAR(13)," "))),"")))</f>
        <v/>
      </c>
      <c r="DQ497">
        <f>IF($DM497=0,"",IF($L$9=0,"",IFERROR(IF(ISNUMBER(INDEX(PASTE_ALL,$DF497,$L$9)),INDEX(PASTE_ALL,$DF497,$L$9),TRIM(SUBSTITUTE(SUBSTITUTE(SUBSTITUTE(SUBSTITUTE(INDEX(PASTE_ALL,$DF497,$L$9)," "," "),CHAR(9)," "),CHAR(10)," "),CHAR(13)," "))),"")))</f>
        <v/>
      </c>
      <c r="DR497">
        <f>IF($DM497=0,"",IF($L$10=0,"",IFERROR(IF(ISNUMBER(INDEX(PASTE_ALL,$DF497,$L$10)),INDEX(PASTE_ALL,$DF497,$L$10),TRIM(SUBSTITUTE(SUBSTITUTE(SUBSTITUTE(SUBSTITUTE(INDEX(PASTE_ALL,$DF497,$L$10)," "," "),CHAR(9)," "),CHAR(10)," "),CHAR(13)," "))),"")))</f>
        <v/>
      </c>
      <c r="DS497">
        <f>IF($DM497=0,"",IF($L$11=0,"",IFERROR(IF(ISNUMBER(INDEX(PASTE_ALL,$DF497,$L$11)),INDEX(PASTE_ALL,$DF497,$L$11),TRIM(SUBSTITUTE(SUBSTITUTE(SUBSTITUTE(SUBSTITUTE(INDEX(PASTE_ALL,$DF497,$L$11)," "," "),CHAR(9)," "),CHAR(10)," "),CHAR(13)," "))),"")))</f>
        <v/>
      </c>
      <c r="DT497">
        <f>IF($DM497=0,"",IF($L$12=0,"",IFERROR(IF(ISNUMBER(INDEX(PASTE_ALL,$DF497,$L$12)),INDEX(PASTE_ALL,$DF497,$L$12),TRIM(SUBSTITUTE(SUBSTITUTE(SUBSTITUTE(SUBSTITUTE(INDEX(PASTE_ALL,$DF497,$L$12)," "," "),CHAR(9)," "),CHAR(10)," "),CHAR(13)," "))),"")))</f>
        <v/>
      </c>
      <c r="DU497">
        <f>IF($DM497=0,"",IF($L$13=0,"",IFERROR(IF(ISNUMBER(INDEX(PASTE_ALL,$DF497,$L$13)),INDEX(PASTE_ALL,$DF497,$L$13),TRIM(SUBSTITUTE(SUBSTITUTE(SUBSTITUTE(SUBSTITUTE(INDEX(PASTE_ALL,$DF497,$L$13)," "," "),CHAR(9)," "),CHAR(10)," "),CHAR(13)," "))),"")))</f>
        <v/>
      </c>
      <c r="DV497">
        <f>IF($DM497=0,"",IF($L$14=0,"",IFERROR(IF(ISNUMBER(INDEX(PASTE_ALL,$DF497,$L$14)),INDEX(PASTE_ALL,$DF497,$L$14),TRIM(SUBSTITUTE(SUBSTITUTE(SUBSTITUTE(SUBSTITUTE(INDEX(PASTE_ALL,$DF497,$L$14)," "," "),CHAR(9)," "),CHAR(10)," "),CHAR(13)," "))),"")))</f>
        <v/>
      </c>
      <c r="DW497">
        <f>IF($DM497=0,"",IF($L$15=0,"",IFERROR(IF(ISNUMBER(INDEX(PASTE_ALL,$DF497,$L$15)),INDEX(PASTE_ALL,$DF497,$L$15),IF(SUMPRODUCT(--ISNUMBER(FIND({"A","B","C","D","E","F","G","H","I","J","K","L","M","N","O","P","Q","R","S","T","U","V","W","X","Y","Z","0","1","2","3","4","5","6","7","8","9"},UPPER(TRIM(SUBSTITUTE(SUBSTITUTE(SUBSTITUTE(SUBSTITUTE(INDEX(PASTE_ALL,$DF497,$L$15)," "," "),CHAR(9)," "),CHAR(10)," "),CHAR(13)," "))))))&gt;0,TRIM(SUBSTITUTE(SUBSTITUTE(SUBSTITUTE(SUBSTITUTE(INDEX(PASTE_ALL,$DF497,$L$15)," "," "),CHAR(9)," "),CHAR(10)," "),CHAR(13)," ")),"")),"")))</f>
        <v/>
      </c>
      <c r="DX497">
        <f>IF($DM497=0,"",IF($L$16=0,"",IFERROR(IF(ISNUMBER(INDEX(PASTE_ALL,$DF497,$L$16)),INDEX(PASTE_ALL,$DF497,$L$16),SUBSTITUTE(SUBSTITUTE(TRIM(SUBSTITUTE(SUBSTITUTE(SUBSTITUTE(SUBSTITUTE(INDEX(PASTE_ALL,$DF497,$L$16)," "," "),CHAR(9)," "),CHAR(10)," "),CHAR(13)," ")),",",""),"%","")),"")))</f>
        <v/>
      </c>
      <c r="DY497">
        <f>IF($DM497=0,"",IFERROR(IF(ISNUMBER($DX497),$DX497,IF($DX497="","",IF(TRIM($DX497)="",0,IF(AND(AND(SUBSTITUTE(SUBSTITUTE(SUBSTITUTE(SUBSTITUTE(SUBSTITUTE(SUBSTITUTE(SUBSTITUTE(SUBSTITUTE(SUBSTITUTE(SUBSTITUTE(SUBSTITUTE(SUBSTITUTE(SUBSTITUTE(SUBSTITUTE(UPPER(TRIM($DX497)),"0",""),"1",""),"2",""),"3",""),"4",""),"5",""),"6",""),"7",""),"8",""),"9",""),".",""),"+",""),"-",""),"E","")="",LEN(SUBSTITUTE(SUBSTITUTE(MID(UPPER(TRIM($DX497)),1+OR(LEFT(UPPER(TRIM($DX497)),1)="+",LEFT(UPPER(TRIM($DX497)),1)="-"),999),"E+","E"),"E-","E"))=LEN(SUBSTITUTE(SUBSTITUTE(SUBSTITUTE(SUBSTITUTE(MID(UPPER(TRIM($DX497)),1+OR(LEFT(UPPER(TRIM($DX497)),1)="+",LEFT(UPPER(TRIM($DX497)),1)="-"),999),"E+","E"),"E-","E"),"+",""),"-","")),LEN(UPPER(TRIM($DX497)))-LEN(SUBSTITUTE(UPPER(TRIM($DX497)),"E",""))&lt;2,LEN(UPPER(TRIM($DX497)))-LEN(SUBSTITUTE(UPPER(TRIM($DX497)),".",""))&lt;2,IFERROR(FIND(".",UPPER(TRIM($DX497))),0)&lt;IFERROR(FIND("E",UPPER(TRIM($DX497))),999)),ISNUMBER(VALUE(TRIM($DX497)))),VALUE(TRIM($DX497)),"")))),""))</f>
        <v/>
      </c>
      <c r="DZ497">
        <f>IF($DM497=0,"",IF($L$17=0,"",IFERROR(IF(ISNUMBER(INDEX(PASTE_ALL,$DF497,$L$17)),INDEX(PASTE_ALL,$DF497,$L$17),SUBSTITUTE(SUBSTITUTE(TRIM(SUBSTITUTE(SUBSTITUTE(SUBSTITUTE(SUBSTITUTE(INDEX(PASTE_ALL,$DF497,$L$17)," "," "),CHAR(9)," "),CHAR(10)," "),CHAR(13)," ")),",",""),"%","")),"")))</f>
        <v/>
      </c>
      <c r="EA497">
        <f>IF($DM497=0,"",IFERROR(IF(ISNUMBER($DZ497),$DZ497,IF($DZ497="","",IF(TRIM($DZ497)="",0,IF(AND(AND(SUBSTITUTE(SUBSTITUTE(SUBSTITUTE(SUBSTITUTE(SUBSTITUTE(SUBSTITUTE(SUBSTITUTE(SUBSTITUTE(SUBSTITUTE(SUBSTITUTE(SUBSTITUTE(SUBSTITUTE(SUBSTITUTE(SUBSTITUTE(UPPER(TRIM($DZ497)),"0",""),"1",""),"2",""),"3",""),"4",""),"5",""),"6",""),"7",""),"8",""),"9",""),".",""),"+",""),"-",""),"E","")="",LEN(SUBSTITUTE(SUBSTITUTE(MID(UPPER(TRIM($DZ497)),1+OR(LEFT(UPPER(TRIM($DZ497)),1)="+",LEFT(UPPER(TRIM($DZ497)),1)="-"),999),"E+","E"),"E-","E"))=LEN(SUBSTITUTE(SUBSTITUTE(SUBSTITUTE(SUBSTITUTE(MID(UPPER(TRIM($DZ497)),1+OR(LEFT(UPPER(TRIM($DZ497)),1)="+",LEFT(UPPER(TRIM($DZ497)),1)="-"),999),"E+","E"),"E-","E"),"+",""),"-","")),LEN(UPPER(TRIM($DZ497)))-LEN(SUBSTITUTE(UPPER(TRIM($DZ497)),"E",""))&lt;2,LEN(UPPER(TRIM($DZ497)))-LEN(SUBSTITUTE(UPPER(TRIM($DZ497)),".",""))&lt;2,IFERROR(FIND(".",UPPER(TRIM($DZ497))),0)&lt;IFERROR(FIND("E",UPPER(TRIM($DZ497))),999)),ISNUMBER(VALUE(TRIM($DZ497)))),VALUE(TRIM($DZ497)),"")))),""))</f>
        <v/>
      </c>
      <c r="EB497">
        <f>IF($DM497=0,"",IF($L$18=0,"",IFERROR(IF(UPPER(TRIM(SUBSTITUTE(SUBSTITUTE(SUBSTITUTE(SUBSTITUTE(INDEX(PASTE_ALL,$DF497,$L$18)," "," "),CHAR(9)," "),CHAR(10)," "),CHAR(13)," ")))="READY","Ready",IF(UPPER(TRIM(SUBSTITUTE(SUBSTITUTE(SUBSTITUTE(SUBSTITUTE(INDEX(PASTE_ALL,$DF497,$L$18)," "," "),CHAR(9)," "),CHAR(10)," "),CHAR(13)," ")))="PM","PM",IF(OR(UPPER(TRIM(SUBSTITUTE(SUBSTITUTE(SUBSTITUTE(SUBSTITUTE(INDEX(PASTE_ALL,$DF497,$L$18)," "," "),CHAR(9)," "),CHAR(10)," "),CHAR(13)," ")))="OT",UPPER(TRIM(SUBSTITUTE(SUBSTITUTE(SUBSTITUTE(SUBSTITUTE(INDEX(PASTE_ALL,$DF497,$L$18)," "," "),CHAR(9)," "),CHAR(10)," "),CHAR(13)," ")))="OVERTIME",UPPER(TRIM(SUBSTITUTE(SUBSTITUTE(SUBSTITUTE(SUBSTITUTE(INDEX(PASTE_ALL,$DF497,$L$18)," "," "),CHAR(9)," "),CHAR(10)," "),CHAR(13)," ")))="TRIAL"),"OT",TRIM(SUBSTITUTE(SUBSTITUTE(SUBSTITUTE(SUBSTITUTE(INDEX(PASTE_ALL,$DF497,$L$18)," "," "),CHAR(9)," "),CHAR(10)," "),CHAR(13)," "))))),"")))</f>
        <v/>
      </c>
      <c r="EC497">
        <f>IF($DM497=0,"",IF($L$19=0,"",IFERROR(IF(ISNUMBER(INDEX(PASTE_ALL,$DF497,$L$19)),INDEX(PASTE_ALL,$DF497,$L$19),TRIM(SUBSTITUTE(SUBSTITUTE(SUBSTITUTE(SUBSTITUTE(INDEX(PASTE_ALL,$DF497,$L$19)," "," "),CHAR(9)," "),CHAR(10)," "),CHAR(13)," "))),"")))</f>
        <v/>
      </c>
      <c r="ED497">
        <f>IF($DM497=0,"",MATCH(1,INDEX(EXACT($DH$5:DH497,$DH497)*$DM$5:DM497,0),0))</f>
        <v/>
      </c>
      <c r="EE497">
        <f>IF($DM497=0,0,IF($ED497=$DE497,1,0))</f>
        <v/>
      </c>
      <c r="EF497">
        <f>EF496+$EE497</f>
        <v/>
      </c>
      <c r="EG497">
        <f>IF($DM497=0,"",INDEX($EF$5:$EF$1003,$ED497))</f>
        <v/>
      </c>
      <c r="EH497">
        <f>IF($DM497=0,"",IF($DO497&lt;&gt;"","",IFERROR(LOOKUP(2,1/(($EG$4:EG496=$EG497)*($DO$4:DO496&lt;&gt;"")),$DO$4:DO496),"")))</f>
        <v/>
      </c>
      <c r="EI497">
        <f>IF($DM497=0,"",IF($DO497&lt;&gt;"",$DO497,$EH497))</f>
        <v/>
      </c>
      <c r="EJ497">
        <f>IF($DM497=0,"",IF($EI497="",0,IF(OR(ISNUMBER($EI497),AND(AND(SUBSTITUTE(SUBSTITUTE(SUBSTITUTE(SUBSTITUTE(SUBSTITUTE(SUBSTITUTE(SUBSTITUTE(SUBSTITUTE(SUBSTITUTE(SUBSTITUTE(SUBSTITUTE(SUBSTITUTE(SUBSTITUTE(SUBSTITUTE(UPPER($EI497),"0",""),"1",""),"2",""),"3",""),"4",""),"5",""),"6",""),"7",""),"8",""),"9",""),".",""),"+",""),"-",""),"E","")="",LEN(SUBSTITUTE(SUBSTITUTE(MID(UPPER($EI497),1+OR(LEFT(UPPER($EI497),1)="+",LEFT(UPPER($EI497),1)="-"),999),"E+","E"),"E-","E"))=LEN(SUBSTITUTE(SUBSTITUTE(SUBSTITUTE(SUBSTITUTE(MID(UPPER($EI497),1+OR(LEFT(UPPER($EI497),1)="+",LEFT(UPPER($EI497),1)="-"),999),"E+","E"),"E-","E"),"+",""),"-","")),LEN(UPPER($EI497))-LEN(SUBSTITUTE(UPPER($EI497),"E",""))&lt;2,LEN(UPPER($EI497))-LEN(SUBSTITUTE(UPPER($EI497),".",""))&lt;2,IFERROR(FIND(".",UPPER($EI497)),0)&lt;IFERROR(FIND("E",UPPER($EI497)),999)),ISNUMBER(VALUE($EI497)))),1,2)))</f>
        <v/>
      </c>
      <c r="EK497">
        <f>IF($DM497=0,"",IF($EJ497=1,IF(ISNUMBER($EI497),$EI497,VALUE($EI497)),IF($EJ497=2,$DE497,0)))</f>
        <v/>
      </c>
      <c r="EL497">
        <f>IF($DM497=0,"",COUNTIF($EG$5:$EG$1003,"&lt;"&amp;$EG497)+SUMPRODUCT(($EG$5:$EG$1003=$EG497)*(($EJ$5:$EJ$1003&lt;$EJ497)+($EJ$5:$EJ$1003=$EJ497)*(($EK$5:$EK$1003&lt;$EK497)+($EK$5:$EK$1003=$EK497)*($DE$5:$DE$1003&lt;$DE497))))+1)</f>
        <v/>
      </c>
      <c r="EM497">
        <f>IF($DM497=0,"",$EL497+$EG497-1)</f>
        <v/>
      </c>
      <c r="EN497">
        <f>IF($DM497=0,0,IFERROR(MATCH(1,INDEX(--(TRIM(SUBSTITUTE(SUBSTITUTE(SUBSTITUTE(SUBSTITUTE(LINES_NAME&amp;""," "," "),CHAR(9)," "),CHAR(10)," "),CHAR(13)," "))=$DH497),0),0),0))</f>
        <v/>
      </c>
      <c r="EO497">
        <f>IF($EN497=0,0,IF(OR(UPPER(TRIM(INDEX(LINES_SCHEDULED,$EN497)&amp;""))="YES",UPPER(TRIM(INDEX(LINES_SCHEDULED,$EN497)&amp;""))="Y",UPPER(TRIM(INDEX(LINES_SCHEDULED,$EN497)&amp;""))="X"),1,0))</f>
        <v/>
      </c>
      <c r="EP497">
        <f>IF($DM497=0,"",IF(COUNTIFS($EG$5:$EG$1003,$EG497,$EB$5:$EB$1003,"Ready")&gt;0,"READY",IF(COUNTIFS($EG$5:$EG$1003,$EG497,$EB$5:$EB$1003,"PM")&gt;0,"PM",IF(COUNTIFS($EG$5:$EG$1003,$EG497,$EB$5:$EB$1003,"OT")&gt;0,"OT",""))))</f>
        <v/>
      </c>
      <c r="EQ497">
        <f>IF($EN497=0,"",UPPER(TRIM(INDEX(LINES_STATUS,$EN497)&amp;"")))</f>
        <v/>
      </c>
      <c r="ER497">
        <f>IF($DM497=0,"",IF(OR($EQ497="READY",$EQ497="PM",$EQ497="OT"),$EQ497,$EP497))</f>
        <v/>
      </c>
      <c r="ES497">
        <f>IF($DM497=0,"",IF(AND($DV497&lt;&gt;"",UPPER($DV497)&lt;&gt;"N"),"allergen",IF(ISNUMBER(SEARCH("oil",$DQ497)),"oil",IF(OR(EXACT($DS497,"A662"),EXACT($DS497,"A624")),"bulk",""))))</f>
        <v/>
      </c>
      <c r="ET497">
        <f>IF($DM497=0,"",IF(OR($EA497="",$EA497=0),"",$EA497/100))</f>
        <v/>
      </c>
      <c r="EU497">
        <f>IF(OR($ET497="",$DY497=""),"",INT($DY497*(1-$ET497)+0.5))</f>
        <v/>
      </c>
      <c r="EW497" t="n">
        <v>493</v>
      </c>
      <c r="EX497">
        <f>IFERROR(MATCH($EW497,$EM$5:$EM$1003,0),0)</f>
        <v/>
      </c>
      <c r="EY497">
        <f>IF($EW497&gt;$B$12,"",IF($EX497&gt;0,"row","spacer"))</f>
        <v/>
      </c>
      <c r="EZ497">
        <f>IF(AND($EY497="row",$EY496&lt;&gt;"row"),1,0)</f>
        <v/>
      </c>
      <c r="FA497">
        <f>IF(AND($EY497="row",$EY498&lt;&gt;"row"),1,0)</f>
        <v/>
      </c>
      <c r="FB497">
        <f>IF($EZ497=1,IFERROR(IF(ISNUMBER(INDEX(PASTE_ALL,INDEX($DF$5:$DF$1003,$EX497),$B$37)),INDEX(PASTE_ALL,INDEX($DF$5:$DF$1003,$EX497),$B$37),INDEX($DH$5:$DH$1003,$EX497)),INDEX($DH$5:$DH$1003,$EX497)),"")</f>
        <v/>
      </c>
      <c r="FC497">
        <f>IF($EY497="row",INDEX($ER$5:$ER$1003,$EX497),"")</f>
        <v/>
      </c>
      <c r="FD497">
        <f>IF($EY497="row",INDEX($DN$5:$DN$1003,$EX497),"")</f>
        <v/>
      </c>
      <c r="FE497">
        <f>IF($EY497="row",INDEX($DO$5:$DO$1003,$EX497),"")</f>
        <v/>
      </c>
      <c r="FF497">
        <f>IF($EY497="row",INDEX($DP$5:$DP$1003,$EX497),"")</f>
        <v/>
      </c>
      <c r="FG497">
        <f>IF($EY497="row",INDEX($DQ$5:$DQ$1003,$EX497),"")</f>
        <v/>
      </c>
      <c r="FH497">
        <f>IF($EY497="row",INDEX($DR$5:$DR$1003,$EX497),"")</f>
        <v/>
      </c>
      <c r="FI497">
        <f>IF($EY497="row",INDEX($DS$5:$DS$1003,$EX497),"")</f>
        <v/>
      </c>
      <c r="FJ497">
        <f>IF($EY497="row",INDEX($DT$5:$DT$1003,$EX497),"")</f>
        <v/>
      </c>
      <c r="FK497">
        <f>IF($EY497="row",INDEX($DU$5:$DU$1003,$EX497),"")</f>
        <v/>
      </c>
      <c r="FL497">
        <f>IF($EY497="row",INDEX($DV$5:$DV$1003,$EX497),"")</f>
        <v/>
      </c>
      <c r="FM497">
        <f>IF($EY497="row",INDEX($DW$5:$DW$1003,$EX497),"")</f>
        <v/>
      </c>
      <c r="FN497">
        <f>IF($EY497="row",INDEX($DY$5:$DY$1003,$EX497),"")</f>
        <v/>
      </c>
      <c r="FO497">
        <f>IF($EY497="row",INDEX($EA$5:$EA$1003,$EX497),"")</f>
        <v/>
      </c>
      <c r="FP497">
        <f>IF($EY497="row",INDEX($EC$5:$EC$1003,$EX497),"")</f>
        <v/>
      </c>
      <c r="FQ497">
        <f>IF($EY497="row",INDEX($ET$5:$ET$1003,$EX497),"")</f>
        <v/>
      </c>
      <c r="FR497">
        <f>IF($EY497="row",INDEX($EU$5:$EU$1003,$EX497),"")</f>
        <v/>
      </c>
      <c r="FS497">
        <f>IF(AND($EY497="row",$EY496="row"),IF(OR(INDEX($DT$5:$DT$1003,$EX496)="",INDEX($DT$5:$DT$1003,$EX497)=""),"",IF(NOT(EXACT(INDEX($DT$5:$DT$1003,$EX496),INDEX($DT$5:$DT$1003,$EX497))),"S4",IF(NOT(EXACT(INDEX($DS$5:$DS$1003,$EX496),INDEX($DS$5:$DS$1003,$EX497))),"S3",IF(NOT(EXACT(INDEX($DR$5:$DR$1003,$EX496),INDEX($DR$5:$DR$1003,$EX497))),"S1 Count Change","S1")))),"")</f>
        <v/>
      </c>
      <c r="FT497">
        <f>IF($EY497="row",INDEX($ES$5:$ES$1003,$EX497),"")</f>
        <v/>
      </c>
      <c r="FU497">
        <f>IF($EY497="row",INDEX($EO$5:$EO$1003,$EX497),0)</f>
        <v/>
      </c>
      <c r="FV497">
        <f>IF($FS497="S1 Count Change",1,0)</f>
        <v/>
      </c>
    </row>
    <row r="498">
      <c r="DA498" t="n">
        <v>494</v>
      </c>
      <c r="DB498">
        <f>IF($B$37=0,"",IFERROR(TRIM(SUBSTITUTE(SUBSTITUTE(SUBSTITUTE(SUBSTITUTE(INDEX(PASTE_ALL,494,$B$37)," "," "),CHAR(9)," "),CHAR(10)," "),CHAR(13)," ")),""))</f>
        <v/>
      </c>
      <c r="DC498">
        <f>IF(AND(494&gt;HEADER_ROW,UPPER(DB498)="LEGEND"),1,0)</f>
        <v/>
      </c>
      <c r="DE498" t="n">
        <v>494</v>
      </c>
      <c r="DF498">
        <f>HEADER_ROW+$DE498</f>
        <v/>
      </c>
      <c r="DG498">
        <f>IF(AND($DF498&lt;=1000,$DF498&lt;$B$8),1,0)</f>
        <v/>
      </c>
      <c r="DH498">
        <f>IF($DG498=1,IFERROR(INDEX($DB$5:$DB$1004,$DF498),""),"")</f>
        <v/>
      </c>
      <c r="DI498">
        <f>IF(AND($DG498=1,$DH498&lt;&gt;""),IFERROR(SUBSTITUTE(SUBSTITUTE(TRIM(SUBSTITUTE(SUBSTITUTE(SUBSTITUTE(SUBSTITUTE(IFERROR(INDEX(PASTE_ALL,$DF498,1)&amp;"","")&amp;"␟"&amp;IFERROR(INDEX(PASTE_ALL,$DF498,2)&amp;"","")&amp;"␟"&amp;IFERROR(INDEX(PASTE_ALL,$DF498,3)&amp;"","")&amp;"␟"&amp;IFERROR(INDEX(PASTE_ALL,$DF498,4)&amp;"","")&amp;"␟"&amp;IFERROR(INDEX(PASTE_ALL,$DF498,5)&amp;"","")&amp;"␟"&amp;IFERROR(INDEX(PASTE_ALL,$DF498,6)&amp;"","")&amp;"␟"&amp;IFERROR(INDEX(PASTE_ALL,$DF498,7)&amp;"","")&amp;"␟"&amp;IFERROR(INDEX(PASTE_ALL,$DF498,8)&amp;"","")&amp;"␟"&amp;IFERROR(INDEX(PASTE_ALL,$DF498,9)&amp;"","")&amp;"␟"&amp;IFERROR(INDEX(PASTE_ALL,$DF498,10)&amp;"","")&amp;"␟"&amp;IFERROR(INDEX(PASTE_ALL,$DF498,11)&amp;"","")&amp;"␟"&amp;IFERROR(INDEX(PASTE_ALL,$DF498,12)&amp;"","")&amp;"␟"&amp;IFERROR(INDEX(PASTE_ALL,$DF498,13)&amp;"","")&amp;"␟"&amp;IFERROR(INDEX(PASTE_ALL,$DF498,14)&amp;"","")&amp;"␟"&amp;IFERROR(INDEX(PASTE_ALL,$DF498,15)&amp;"","")&amp;"␟"&amp;IFERROR(INDEX(PASTE_ALL,$DF498,16)&amp;"","")&amp;"␟"&amp;IFERROR(INDEX(PASTE_ALL,$DF498,17)&amp;"","")&amp;"␟"&amp;IFERROR(INDEX(PASTE_ALL,$DF498,18)&amp;"","")&amp;"␟"&amp;IFERROR(INDEX(PASTE_ALL,$DF498,19)&amp;"","")&amp;"␟"&amp;IFERROR(INDEX(PASTE_ALL,$DF498,20)&amp;"","")&amp;"␟"&amp;IFERROR(INDEX(PASTE_ALL,$DF498,21)&amp;"","")&amp;"␟"&amp;IFERROR(INDEX(PASTE_ALL,$DF498,22)&amp;"","")&amp;"␟"&amp;IFERROR(INDEX(PASTE_ALL,$DF498,23)&amp;"","")&amp;"␟"&amp;IFERROR(INDEX(PASTE_ALL,$DF498,24)&amp;"","")&amp;"␟"&amp;IFERROR(INDEX(PASTE_ALL,$DF498,25)&amp;"","")&amp;"␟"&amp;IFERROR(INDEX(PASTE_ALL,$DF498,26)&amp;"","")&amp;"␟"&amp;IFERROR(INDEX(PASTE_ALL,$DF498,27)&amp;"","")&amp;"␟"&amp;IFERROR(INDEX(PASTE_ALL,$DF498,28)&amp;"","")&amp;"␟"&amp;IFERROR(INDEX(PASTE_ALL,$DF498,29)&amp;"","")&amp;"␟"&amp;IFERROR(INDEX(PASTE_ALL,$DF498,30)&amp;"","")&amp;"␟"&amp;IFERROR(INDEX(PASTE_ALL,$DF498,31)&amp;"","")&amp;"␟"&amp;IFERROR(INDEX(PASTE_ALL,$DF498,32)&amp;"","")&amp;"␟"&amp;IFERROR(INDEX(PASTE_ALL,$DF498,33)&amp;"","")&amp;"␟"&amp;IFERROR(INDEX(PASTE_ALL,$DF498,34)&amp;"","")&amp;"␟"&amp;IFERROR(INDEX(PASTE_ALL,$DF498,35)&amp;"","")&amp;"␟"&amp;IFERROR(INDEX(PASTE_ALL,$DF498,36)&amp;"","")&amp;"␟"&amp;IFERROR(INDEX(PASTE_ALL,$DF498,37)&amp;"","")&amp;"␟"&amp;IFERROR(INDEX(PASTE_ALL,$DF498,38)&amp;"","")&amp;"␟"&amp;IFERROR(INDEX(PASTE_ALL,$DF498,39)&amp;"","")&amp;"␟"&amp;IFERROR(INDEX(PASTE_ALL,$DF498,40)&amp;"","")&amp;"␟"&amp;IFERROR(INDEX(PASTE_ALL,$DF498,41)&amp;"","")&amp;"␟"&amp;IFERROR(INDEX(PASTE_ALL,$DF498,42)&amp;"","")&amp;"␟"&amp;IFERROR(INDEX(PASTE_ALL,$DF498,43)&amp;"","")&amp;"␟"&amp;IFERROR(INDEX(PASTE_ALL,$DF498,44)&amp;"","")&amp;"␟"&amp;IFERROR(INDEX(PASTE_ALL,$DF498,45)&amp;"","")&amp;"␟"&amp;IFERROR(INDEX(PASTE_ALL,$DF498,46)&amp;"","")&amp;"␟"&amp;IFERROR(INDEX(PASTE_ALL,$DF498,47)&amp;"","")&amp;"␟"&amp;IFERROR(INDEX(PASTE_ALL,$DF498,48)&amp;"","")&amp;"␟"&amp;IFERROR(INDEX(PASTE_ALL,$DF498,49)&amp;"","")&amp;"␟"&amp;IFERROR(INDEX(PASTE_ALL,$DF498,50)&amp;"","")&amp;"␟"&amp;IFERROR(INDEX(PASTE_ALL,$DF498,51)&amp;"","")&amp;"␟"&amp;IFERROR(INDEX(PASTE_ALL,$DF498,52)&amp;"","")&amp;"␟"&amp;IFERROR(INDEX(PASTE_ALL,$DF498,53)&amp;"","")&amp;"␟"&amp;IFERROR(INDEX(PASTE_ALL,$DF498,54)&amp;"","")&amp;"␟"&amp;IFERROR(INDEX(PASTE_ALL,$DF498,55)&amp;"","")&amp;"␟"&amp;IFERROR(INDEX(PASTE_ALL,$DF498,56)&amp;"","")&amp;"␟"&amp;IFERROR(INDEX(PASTE_ALL,$DF498,57)&amp;"","")&amp;"␟"&amp;IFERROR(INDEX(PASTE_ALL,$DF498,58)&amp;"","")&amp;"␟"&amp;IFERROR(INDEX(PASTE_ALL,$DF498,59)&amp;"","")&amp;"␟"&amp;IFERROR(INDEX(PASTE_ALL,$DF498,60)&amp;"","")," "," "),CHAR(9)," "),CHAR(10)," "),CHAR(13)," "))," ␟","␟"),"␟ ","␟"),"#"&amp;$DE498),"")</f>
        <v/>
      </c>
      <c r="DJ498">
        <f>IF($DI498="",0,IF(SUMPRODUCT(--EXACT($DI$4:DI497,$DI498))&gt;0,1,0))</f>
        <v/>
      </c>
      <c r="DK498">
        <f>IF(AND($DI498&lt;&gt;"",$DJ498=0),1,0)</f>
        <v/>
      </c>
      <c r="DL498">
        <f>DL497+$DK498</f>
        <v/>
      </c>
      <c r="DM498">
        <f>IF(AND($DK498=1,$DL498&lt;=600),1,0)</f>
        <v/>
      </c>
      <c r="DN498">
        <f>IF($DM498=0,"",IF($L$6=0,"",IFERROR(IF(ISNUMBER(INDEX(PASTE_ALL,$DF498,$L$6)),INDEX(PASTE_ALL,$DF498,$L$6),TRIM(SUBSTITUTE(SUBSTITUTE(SUBSTITUTE(SUBSTITUTE(INDEX(PASTE_ALL,$DF498,$L$6)," "," "),CHAR(9)," "),CHAR(10)," "),CHAR(13)," "))),"")))</f>
        <v/>
      </c>
      <c r="DO498">
        <f>IF($DM498=0,"",IF($L$7=0,"",IFERROR(IF(ISNUMBER(INDEX(PASTE_ALL,$DF498,$L$7)),INDEX(PASTE_ALL,$DF498,$L$7),TRIM(SUBSTITUTE(SUBSTITUTE(SUBSTITUTE(SUBSTITUTE(INDEX(PASTE_ALL,$DF498,$L$7)," "," "),CHAR(9)," "),CHAR(10)," "),CHAR(13)," "))),"")))</f>
        <v/>
      </c>
      <c r="DP498">
        <f>IF($DM498=0,"",IF($L$8=0,"",IFERROR(IF(ISNUMBER(INDEX(PASTE_ALL,$DF498,$L$8)),INDEX(PASTE_ALL,$DF498,$L$8),TRIM(SUBSTITUTE(SUBSTITUTE(SUBSTITUTE(SUBSTITUTE(INDEX(PASTE_ALL,$DF498,$L$8)," "," "),CHAR(9)," "),CHAR(10)," "),CHAR(13)," "))),"")))</f>
        <v/>
      </c>
      <c r="DQ498">
        <f>IF($DM498=0,"",IF($L$9=0,"",IFERROR(IF(ISNUMBER(INDEX(PASTE_ALL,$DF498,$L$9)),INDEX(PASTE_ALL,$DF498,$L$9),TRIM(SUBSTITUTE(SUBSTITUTE(SUBSTITUTE(SUBSTITUTE(INDEX(PASTE_ALL,$DF498,$L$9)," "," "),CHAR(9)," "),CHAR(10)," "),CHAR(13)," "))),"")))</f>
        <v/>
      </c>
      <c r="DR498">
        <f>IF($DM498=0,"",IF($L$10=0,"",IFERROR(IF(ISNUMBER(INDEX(PASTE_ALL,$DF498,$L$10)),INDEX(PASTE_ALL,$DF498,$L$10),TRIM(SUBSTITUTE(SUBSTITUTE(SUBSTITUTE(SUBSTITUTE(INDEX(PASTE_ALL,$DF498,$L$10)," "," "),CHAR(9)," "),CHAR(10)," "),CHAR(13)," "))),"")))</f>
        <v/>
      </c>
      <c r="DS498">
        <f>IF($DM498=0,"",IF($L$11=0,"",IFERROR(IF(ISNUMBER(INDEX(PASTE_ALL,$DF498,$L$11)),INDEX(PASTE_ALL,$DF498,$L$11),TRIM(SUBSTITUTE(SUBSTITUTE(SUBSTITUTE(SUBSTITUTE(INDEX(PASTE_ALL,$DF498,$L$11)," "," "),CHAR(9)," "),CHAR(10)," "),CHAR(13)," "))),"")))</f>
        <v/>
      </c>
      <c r="DT498">
        <f>IF($DM498=0,"",IF($L$12=0,"",IFERROR(IF(ISNUMBER(INDEX(PASTE_ALL,$DF498,$L$12)),INDEX(PASTE_ALL,$DF498,$L$12),TRIM(SUBSTITUTE(SUBSTITUTE(SUBSTITUTE(SUBSTITUTE(INDEX(PASTE_ALL,$DF498,$L$12)," "," "),CHAR(9)," "),CHAR(10)," "),CHAR(13)," "))),"")))</f>
        <v/>
      </c>
      <c r="DU498">
        <f>IF($DM498=0,"",IF($L$13=0,"",IFERROR(IF(ISNUMBER(INDEX(PASTE_ALL,$DF498,$L$13)),INDEX(PASTE_ALL,$DF498,$L$13),TRIM(SUBSTITUTE(SUBSTITUTE(SUBSTITUTE(SUBSTITUTE(INDEX(PASTE_ALL,$DF498,$L$13)," "," "),CHAR(9)," "),CHAR(10)," "),CHAR(13)," "))),"")))</f>
        <v/>
      </c>
      <c r="DV498">
        <f>IF($DM498=0,"",IF($L$14=0,"",IFERROR(IF(ISNUMBER(INDEX(PASTE_ALL,$DF498,$L$14)),INDEX(PASTE_ALL,$DF498,$L$14),TRIM(SUBSTITUTE(SUBSTITUTE(SUBSTITUTE(SUBSTITUTE(INDEX(PASTE_ALL,$DF498,$L$14)," "," "),CHAR(9)," "),CHAR(10)," "),CHAR(13)," "))),"")))</f>
        <v/>
      </c>
      <c r="DW498">
        <f>IF($DM498=0,"",IF($L$15=0,"",IFERROR(IF(ISNUMBER(INDEX(PASTE_ALL,$DF498,$L$15)),INDEX(PASTE_ALL,$DF498,$L$15),IF(SUMPRODUCT(--ISNUMBER(FIND({"A","B","C","D","E","F","G","H","I","J","K","L","M","N","O","P","Q","R","S","T","U","V","W","X","Y","Z","0","1","2","3","4","5","6","7","8","9"},UPPER(TRIM(SUBSTITUTE(SUBSTITUTE(SUBSTITUTE(SUBSTITUTE(INDEX(PASTE_ALL,$DF498,$L$15)," "," "),CHAR(9)," "),CHAR(10)," "),CHAR(13)," "))))))&gt;0,TRIM(SUBSTITUTE(SUBSTITUTE(SUBSTITUTE(SUBSTITUTE(INDEX(PASTE_ALL,$DF498,$L$15)," "," "),CHAR(9)," "),CHAR(10)," "),CHAR(13)," ")),"")),"")))</f>
        <v/>
      </c>
      <c r="DX498">
        <f>IF($DM498=0,"",IF($L$16=0,"",IFERROR(IF(ISNUMBER(INDEX(PASTE_ALL,$DF498,$L$16)),INDEX(PASTE_ALL,$DF498,$L$16),SUBSTITUTE(SUBSTITUTE(TRIM(SUBSTITUTE(SUBSTITUTE(SUBSTITUTE(SUBSTITUTE(INDEX(PASTE_ALL,$DF498,$L$16)," "," "),CHAR(9)," "),CHAR(10)," "),CHAR(13)," ")),",",""),"%","")),"")))</f>
        <v/>
      </c>
      <c r="DY498">
        <f>IF($DM498=0,"",IFERROR(IF(ISNUMBER($DX498),$DX498,IF($DX498="","",IF(TRIM($DX498)="",0,IF(AND(AND(SUBSTITUTE(SUBSTITUTE(SUBSTITUTE(SUBSTITUTE(SUBSTITUTE(SUBSTITUTE(SUBSTITUTE(SUBSTITUTE(SUBSTITUTE(SUBSTITUTE(SUBSTITUTE(SUBSTITUTE(SUBSTITUTE(SUBSTITUTE(UPPER(TRIM($DX498)),"0",""),"1",""),"2",""),"3",""),"4",""),"5",""),"6",""),"7",""),"8",""),"9",""),".",""),"+",""),"-",""),"E","")="",LEN(SUBSTITUTE(SUBSTITUTE(MID(UPPER(TRIM($DX498)),1+OR(LEFT(UPPER(TRIM($DX498)),1)="+",LEFT(UPPER(TRIM($DX498)),1)="-"),999),"E+","E"),"E-","E"))=LEN(SUBSTITUTE(SUBSTITUTE(SUBSTITUTE(SUBSTITUTE(MID(UPPER(TRIM($DX498)),1+OR(LEFT(UPPER(TRIM($DX498)),1)="+",LEFT(UPPER(TRIM($DX498)),1)="-"),999),"E+","E"),"E-","E"),"+",""),"-","")),LEN(UPPER(TRIM($DX498)))-LEN(SUBSTITUTE(UPPER(TRIM($DX498)),"E",""))&lt;2,LEN(UPPER(TRIM($DX498)))-LEN(SUBSTITUTE(UPPER(TRIM($DX498)),".",""))&lt;2,IFERROR(FIND(".",UPPER(TRIM($DX498))),0)&lt;IFERROR(FIND("E",UPPER(TRIM($DX498))),999)),ISNUMBER(VALUE(TRIM($DX498)))),VALUE(TRIM($DX498)),"")))),""))</f>
        <v/>
      </c>
      <c r="DZ498">
        <f>IF($DM498=0,"",IF($L$17=0,"",IFERROR(IF(ISNUMBER(INDEX(PASTE_ALL,$DF498,$L$17)),INDEX(PASTE_ALL,$DF498,$L$17),SUBSTITUTE(SUBSTITUTE(TRIM(SUBSTITUTE(SUBSTITUTE(SUBSTITUTE(SUBSTITUTE(INDEX(PASTE_ALL,$DF498,$L$17)," "," "),CHAR(9)," "),CHAR(10)," "),CHAR(13)," ")),",",""),"%","")),"")))</f>
        <v/>
      </c>
      <c r="EA498">
        <f>IF($DM498=0,"",IFERROR(IF(ISNUMBER($DZ498),$DZ498,IF($DZ498="","",IF(TRIM($DZ498)="",0,IF(AND(AND(SUBSTITUTE(SUBSTITUTE(SUBSTITUTE(SUBSTITUTE(SUBSTITUTE(SUBSTITUTE(SUBSTITUTE(SUBSTITUTE(SUBSTITUTE(SUBSTITUTE(SUBSTITUTE(SUBSTITUTE(SUBSTITUTE(SUBSTITUTE(UPPER(TRIM($DZ498)),"0",""),"1",""),"2",""),"3",""),"4",""),"5",""),"6",""),"7",""),"8",""),"9",""),".",""),"+",""),"-",""),"E","")="",LEN(SUBSTITUTE(SUBSTITUTE(MID(UPPER(TRIM($DZ498)),1+OR(LEFT(UPPER(TRIM($DZ498)),1)="+",LEFT(UPPER(TRIM($DZ498)),1)="-"),999),"E+","E"),"E-","E"))=LEN(SUBSTITUTE(SUBSTITUTE(SUBSTITUTE(SUBSTITUTE(MID(UPPER(TRIM($DZ498)),1+OR(LEFT(UPPER(TRIM($DZ498)),1)="+",LEFT(UPPER(TRIM($DZ498)),1)="-"),999),"E+","E"),"E-","E"),"+",""),"-","")),LEN(UPPER(TRIM($DZ498)))-LEN(SUBSTITUTE(UPPER(TRIM($DZ498)),"E",""))&lt;2,LEN(UPPER(TRIM($DZ498)))-LEN(SUBSTITUTE(UPPER(TRIM($DZ498)),".",""))&lt;2,IFERROR(FIND(".",UPPER(TRIM($DZ498))),0)&lt;IFERROR(FIND("E",UPPER(TRIM($DZ498))),999)),ISNUMBER(VALUE(TRIM($DZ498)))),VALUE(TRIM($DZ498)),"")))),""))</f>
        <v/>
      </c>
      <c r="EB498">
        <f>IF($DM498=0,"",IF($L$18=0,"",IFERROR(IF(UPPER(TRIM(SUBSTITUTE(SUBSTITUTE(SUBSTITUTE(SUBSTITUTE(INDEX(PASTE_ALL,$DF498,$L$18)," "," "),CHAR(9)," "),CHAR(10)," "),CHAR(13)," ")))="READY","Ready",IF(UPPER(TRIM(SUBSTITUTE(SUBSTITUTE(SUBSTITUTE(SUBSTITUTE(INDEX(PASTE_ALL,$DF498,$L$18)," "," "),CHAR(9)," "),CHAR(10)," "),CHAR(13)," ")))="PM","PM",IF(OR(UPPER(TRIM(SUBSTITUTE(SUBSTITUTE(SUBSTITUTE(SUBSTITUTE(INDEX(PASTE_ALL,$DF498,$L$18)," "," "),CHAR(9)," "),CHAR(10)," "),CHAR(13)," ")))="OT",UPPER(TRIM(SUBSTITUTE(SUBSTITUTE(SUBSTITUTE(SUBSTITUTE(INDEX(PASTE_ALL,$DF498,$L$18)," "," "),CHAR(9)," "),CHAR(10)," "),CHAR(13)," ")))="OVERTIME",UPPER(TRIM(SUBSTITUTE(SUBSTITUTE(SUBSTITUTE(SUBSTITUTE(INDEX(PASTE_ALL,$DF498,$L$18)," "," "),CHAR(9)," "),CHAR(10)," "),CHAR(13)," ")))="TRIAL"),"OT",TRIM(SUBSTITUTE(SUBSTITUTE(SUBSTITUTE(SUBSTITUTE(INDEX(PASTE_ALL,$DF498,$L$18)," "," "),CHAR(9)," "),CHAR(10)," "),CHAR(13)," "))))),"")))</f>
        <v/>
      </c>
      <c r="EC498">
        <f>IF($DM498=0,"",IF($L$19=0,"",IFERROR(IF(ISNUMBER(INDEX(PASTE_ALL,$DF498,$L$19)),INDEX(PASTE_ALL,$DF498,$L$19),TRIM(SUBSTITUTE(SUBSTITUTE(SUBSTITUTE(SUBSTITUTE(INDEX(PASTE_ALL,$DF498,$L$19)," "," "),CHAR(9)," "),CHAR(10)," "),CHAR(13)," "))),"")))</f>
        <v/>
      </c>
      <c r="ED498">
        <f>IF($DM498=0,"",MATCH(1,INDEX(EXACT($DH$5:DH498,$DH498)*$DM$5:DM498,0),0))</f>
        <v/>
      </c>
      <c r="EE498">
        <f>IF($DM498=0,0,IF($ED498=$DE498,1,0))</f>
        <v/>
      </c>
      <c r="EF498">
        <f>EF497+$EE498</f>
        <v/>
      </c>
      <c r="EG498">
        <f>IF($DM498=0,"",INDEX($EF$5:$EF$1003,$ED498))</f>
        <v/>
      </c>
      <c r="EH498">
        <f>IF($DM498=0,"",IF($DO498&lt;&gt;"","",IFERROR(LOOKUP(2,1/(($EG$4:EG497=$EG498)*($DO$4:DO497&lt;&gt;"")),$DO$4:DO497),"")))</f>
        <v/>
      </c>
      <c r="EI498">
        <f>IF($DM498=0,"",IF($DO498&lt;&gt;"",$DO498,$EH498))</f>
        <v/>
      </c>
      <c r="EJ498">
        <f>IF($DM498=0,"",IF($EI498="",0,IF(OR(ISNUMBER($EI498),AND(AND(SUBSTITUTE(SUBSTITUTE(SUBSTITUTE(SUBSTITUTE(SUBSTITUTE(SUBSTITUTE(SUBSTITUTE(SUBSTITUTE(SUBSTITUTE(SUBSTITUTE(SUBSTITUTE(SUBSTITUTE(SUBSTITUTE(SUBSTITUTE(UPPER($EI498),"0",""),"1",""),"2",""),"3",""),"4",""),"5",""),"6",""),"7",""),"8",""),"9",""),".",""),"+",""),"-",""),"E","")="",LEN(SUBSTITUTE(SUBSTITUTE(MID(UPPER($EI498),1+OR(LEFT(UPPER($EI498),1)="+",LEFT(UPPER($EI498),1)="-"),999),"E+","E"),"E-","E"))=LEN(SUBSTITUTE(SUBSTITUTE(SUBSTITUTE(SUBSTITUTE(MID(UPPER($EI498),1+OR(LEFT(UPPER($EI498),1)="+",LEFT(UPPER($EI498),1)="-"),999),"E+","E"),"E-","E"),"+",""),"-","")),LEN(UPPER($EI498))-LEN(SUBSTITUTE(UPPER($EI498),"E",""))&lt;2,LEN(UPPER($EI498))-LEN(SUBSTITUTE(UPPER($EI498),".",""))&lt;2,IFERROR(FIND(".",UPPER($EI498)),0)&lt;IFERROR(FIND("E",UPPER($EI498)),999)),ISNUMBER(VALUE($EI498)))),1,2)))</f>
        <v/>
      </c>
      <c r="EK498">
        <f>IF($DM498=0,"",IF($EJ498=1,IF(ISNUMBER($EI498),$EI498,VALUE($EI498)),IF($EJ498=2,$DE498,0)))</f>
        <v/>
      </c>
      <c r="EL498">
        <f>IF($DM498=0,"",COUNTIF($EG$5:$EG$1003,"&lt;"&amp;$EG498)+SUMPRODUCT(($EG$5:$EG$1003=$EG498)*(($EJ$5:$EJ$1003&lt;$EJ498)+($EJ$5:$EJ$1003=$EJ498)*(($EK$5:$EK$1003&lt;$EK498)+($EK$5:$EK$1003=$EK498)*($DE$5:$DE$1003&lt;$DE498))))+1)</f>
        <v/>
      </c>
      <c r="EM498">
        <f>IF($DM498=0,"",$EL498+$EG498-1)</f>
        <v/>
      </c>
      <c r="EN498">
        <f>IF($DM498=0,0,IFERROR(MATCH(1,INDEX(--(TRIM(SUBSTITUTE(SUBSTITUTE(SUBSTITUTE(SUBSTITUTE(LINES_NAME&amp;""," "," "),CHAR(9)," "),CHAR(10)," "),CHAR(13)," "))=$DH498),0),0),0))</f>
        <v/>
      </c>
      <c r="EO498">
        <f>IF($EN498=0,0,IF(OR(UPPER(TRIM(INDEX(LINES_SCHEDULED,$EN498)&amp;""))="YES",UPPER(TRIM(INDEX(LINES_SCHEDULED,$EN498)&amp;""))="Y",UPPER(TRIM(INDEX(LINES_SCHEDULED,$EN498)&amp;""))="X"),1,0))</f>
        <v/>
      </c>
      <c r="EP498">
        <f>IF($DM498=0,"",IF(COUNTIFS($EG$5:$EG$1003,$EG498,$EB$5:$EB$1003,"Ready")&gt;0,"READY",IF(COUNTIFS($EG$5:$EG$1003,$EG498,$EB$5:$EB$1003,"PM")&gt;0,"PM",IF(COUNTIFS($EG$5:$EG$1003,$EG498,$EB$5:$EB$1003,"OT")&gt;0,"OT",""))))</f>
        <v/>
      </c>
      <c r="EQ498">
        <f>IF($EN498=0,"",UPPER(TRIM(INDEX(LINES_STATUS,$EN498)&amp;"")))</f>
        <v/>
      </c>
      <c r="ER498">
        <f>IF($DM498=0,"",IF(OR($EQ498="READY",$EQ498="PM",$EQ498="OT"),$EQ498,$EP498))</f>
        <v/>
      </c>
      <c r="ES498">
        <f>IF($DM498=0,"",IF(AND($DV498&lt;&gt;"",UPPER($DV498)&lt;&gt;"N"),"allergen",IF(ISNUMBER(SEARCH("oil",$DQ498)),"oil",IF(OR(EXACT($DS498,"A662"),EXACT($DS498,"A624")),"bulk",""))))</f>
        <v/>
      </c>
      <c r="ET498">
        <f>IF($DM498=0,"",IF(OR($EA498="",$EA498=0),"",$EA498/100))</f>
        <v/>
      </c>
      <c r="EU498">
        <f>IF(OR($ET498="",$DY498=""),"",INT($DY498*(1-$ET498)+0.5))</f>
        <v/>
      </c>
      <c r="EW498" t="n">
        <v>494</v>
      </c>
      <c r="EX498">
        <f>IFERROR(MATCH($EW498,$EM$5:$EM$1003,0),0)</f>
        <v/>
      </c>
      <c r="EY498">
        <f>IF($EW498&gt;$B$12,"",IF($EX498&gt;0,"row","spacer"))</f>
        <v/>
      </c>
      <c r="EZ498">
        <f>IF(AND($EY498="row",$EY497&lt;&gt;"row"),1,0)</f>
        <v/>
      </c>
      <c r="FA498">
        <f>IF(AND($EY498="row",$EY499&lt;&gt;"row"),1,0)</f>
        <v/>
      </c>
      <c r="FB498">
        <f>IF($EZ498=1,IFERROR(IF(ISNUMBER(INDEX(PASTE_ALL,INDEX($DF$5:$DF$1003,$EX498),$B$37)),INDEX(PASTE_ALL,INDEX($DF$5:$DF$1003,$EX498),$B$37),INDEX($DH$5:$DH$1003,$EX498)),INDEX($DH$5:$DH$1003,$EX498)),"")</f>
        <v/>
      </c>
      <c r="FC498">
        <f>IF($EY498="row",INDEX($ER$5:$ER$1003,$EX498),"")</f>
        <v/>
      </c>
      <c r="FD498">
        <f>IF($EY498="row",INDEX($DN$5:$DN$1003,$EX498),"")</f>
        <v/>
      </c>
      <c r="FE498">
        <f>IF($EY498="row",INDEX($DO$5:$DO$1003,$EX498),"")</f>
        <v/>
      </c>
      <c r="FF498">
        <f>IF($EY498="row",INDEX($DP$5:$DP$1003,$EX498),"")</f>
        <v/>
      </c>
      <c r="FG498">
        <f>IF($EY498="row",INDEX($DQ$5:$DQ$1003,$EX498),"")</f>
        <v/>
      </c>
      <c r="FH498">
        <f>IF($EY498="row",INDEX($DR$5:$DR$1003,$EX498),"")</f>
        <v/>
      </c>
      <c r="FI498">
        <f>IF($EY498="row",INDEX($DS$5:$DS$1003,$EX498),"")</f>
        <v/>
      </c>
      <c r="FJ498">
        <f>IF($EY498="row",INDEX($DT$5:$DT$1003,$EX498),"")</f>
        <v/>
      </c>
      <c r="FK498">
        <f>IF($EY498="row",INDEX($DU$5:$DU$1003,$EX498),"")</f>
        <v/>
      </c>
      <c r="FL498">
        <f>IF($EY498="row",INDEX($DV$5:$DV$1003,$EX498),"")</f>
        <v/>
      </c>
      <c r="FM498">
        <f>IF($EY498="row",INDEX($DW$5:$DW$1003,$EX498),"")</f>
        <v/>
      </c>
      <c r="FN498">
        <f>IF($EY498="row",INDEX($DY$5:$DY$1003,$EX498),"")</f>
        <v/>
      </c>
      <c r="FO498">
        <f>IF($EY498="row",INDEX($EA$5:$EA$1003,$EX498),"")</f>
        <v/>
      </c>
      <c r="FP498">
        <f>IF($EY498="row",INDEX($EC$5:$EC$1003,$EX498),"")</f>
        <v/>
      </c>
      <c r="FQ498">
        <f>IF($EY498="row",INDEX($ET$5:$ET$1003,$EX498),"")</f>
        <v/>
      </c>
      <c r="FR498">
        <f>IF($EY498="row",INDEX($EU$5:$EU$1003,$EX498),"")</f>
        <v/>
      </c>
      <c r="FS498">
        <f>IF(AND($EY498="row",$EY497="row"),IF(OR(INDEX($DT$5:$DT$1003,$EX497)="",INDEX($DT$5:$DT$1003,$EX498)=""),"",IF(NOT(EXACT(INDEX($DT$5:$DT$1003,$EX497),INDEX($DT$5:$DT$1003,$EX498))),"S4",IF(NOT(EXACT(INDEX($DS$5:$DS$1003,$EX497),INDEX($DS$5:$DS$1003,$EX498))),"S3",IF(NOT(EXACT(INDEX($DR$5:$DR$1003,$EX497),INDEX($DR$5:$DR$1003,$EX498))),"S1 Count Change","S1")))),"")</f>
        <v/>
      </c>
      <c r="FT498">
        <f>IF($EY498="row",INDEX($ES$5:$ES$1003,$EX498),"")</f>
        <v/>
      </c>
      <c r="FU498">
        <f>IF($EY498="row",INDEX($EO$5:$EO$1003,$EX498),0)</f>
        <v/>
      </c>
      <c r="FV498">
        <f>IF($FS498="S1 Count Change",1,0)</f>
        <v/>
      </c>
    </row>
    <row r="499">
      <c r="DA499" t="n">
        <v>495</v>
      </c>
      <c r="DB499">
        <f>IF($B$37=0,"",IFERROR(TRIM(SUBSTITUTE(SUBSTITUTE(SUBSTITUTE(SUBSTITUTE(INDEX(PASTE_ALL,495,$B$37)," "," "),CHAR(9)," "),CHAR(10)," "),CHAR(13)," ")),""))</f>
        <v/>
      </c>
      <c r="DC499">
        <f>IF(AND(495&gt;HEADER_ROW,UPPER(DB499)="LEGEND"),1,0)</f>
        <v/>
      </c>
      <c r="DE499" t="n">
        <v>495</v>
      </c>
      <c r="DF499">
        <f>HEADER_ROW+$DE499</f>
        <v/>
      </c>
      <c r="DG499">
        <f>IF(AND($DF499&lt;=1000,$DF499&lt;$B$8),1,0)</f>
        <v/>
      </c>
      <c r="DH499">
        <f>IF($DG499=1,IFERROR(INDEX($DB$5:$DB$1004,$DF499),""),"")</f>
        <v/>
      </c>
      <c r="DI499">
        <f>IF(AND($DG499=1,$DH499&lt;&gt;""),IFERROR(SUBSTITUTE(SUBSTITUTE(TRIM(SUBSTITUTE(SUBSTITUTE(SUBSTITUTE(SUBSTITUTE(IFERROR(INDEX(PASTE_ALL,$DF499,1)&amp;"","")&amp;"␟"&amp;IFERROR(INDEX(PASTE_ALL,$DF499,2)&amp;"","")&amp;"␟"&amp;IFERROR(INDEX(PASTE_ALL,$DF499,3)&amp;"","")&amp;"␟"&amp;IFERROR(INDEX(PASTE_ALL,$DF499,4)&amp;"","")&amp;"␟"&amp;IFERROR(INDEX(PASTE_ALL,$DF499,5)&amp;"","")&amp;"␟"&amp;IFERROR(INDEX(PASTE_ALL,$DF499,6)&amp;"","")&amp;"␟"&amp;IFERROR(INDEX(PASTE_ALL,$DF499,7)&amp;"","")&amp;"␟"&amp;IFERROR(INDEX(PASTE_ALL,$DF499,8)&amp;"","")&amp;"␟"&amp;IFERROR(INDEX(PASTE_ALL,$DF499,9)&amp;"","")&amp;"␟"&amp;IFERROR(INDEX(PASTE_ALL,$DF499,10)&amp;"","")&amp;"␟"&amp;IFERROR(INDEX(PASTE_ALL,$DF499,11)&amp;"","")&amp;"␟"&amp;IFERROR(INDEX(PASTE_ALL,$DF499,12)&amp;"","")&amp;"␟"&amp;IFERROR(INDEX(PASTE_ALL,$DF499,13)&amp;"","")&amp;"␟"&amp;IFERROR(INDEX(PASTE_ALL,$DF499,14)&amp;"","")&amp;"␟"&amp;IFERROR(INDEX(PASTE_ALL,$DF499,15)&amp;"","")&amp;"␟"&amp;IFERROR(INDEX(PASTE_ALL,$DF499,16)&amp;"","")&amp;"␟"&amp;IFERROR(INDEX(PASTE_ALL,$DF499,17)&amp;"","")&amp;"␟"&amp;IFERROR(INDEX(PASTE_ALL,$DF499,18)&amp;"","")&amp;"␟"&amp;IFERROR(INDEX(PASTE_ALL,$DF499,19)&amp;"","")&amp;"␟"&amp;IFERROR(INDEX(PASTE_ALL,$DF499,20)&amp;"","")&amp;"␟"&amp;IFERROR(INDEX(PASTE_ALL,$DF499,21)&amp;"","")&amp;"␟"&amp;IFERROR(INDEX(PASTE_ALL,$DF499,22)&amp;"","")&amp;"␟"&amp;IFERROR(INDEX(PASTE_ALL,$DF499,23)&amp;"","")&amp;"␟"&amp;IFERROR(INDEX(PASTE_ALL,$DF499,24)&amp;"","")&amp;"␟"&amp;IFERROR(INDEX(PASTE_ALL,$DF499,25)&amp;"","")&amp;"␟"&amp;IFERROR(INDEX(PASTE_ALL,$DF499,26)&amp;"","")&amp;"␟"&amp;IFERROR(INDEX(PASTE_ALL,$DF499,27)&amp;"","")&amp;"␟"&amp;IFERROR(INDEX(PASTE_ALL,$DF499,28)&amp;"","")&amp;"␟"&amp;IFERROR(INDEX(PASTE_ALL,$DF499,29)&amp;"","")&amp;"␟"&amp;IFERROR(INDEX(PASTE_ALL,$DF499,30)&amp;"","")&amp;"␟"&amp;IFERROR(INDEX(PASTE_ALL,$DF499,31)&amp;"","")&amp;"␟"&amp;IFERROR(INDEX(PASTE_ALL,$DF499,32)&amp;"","")&amp;"␟"&amp;IFERROR(INDEX(PASTE_ALL,$DF499,33)&amp;"","")&amp;"␟"&amp;IFERROR(INDEX(PASTE_ALL,$DF499,34)&amp;"","")&amp;"␟"&amp;IFERROR(INDEX(PASTE_ALL,$DF499,35)&amp;"","")&amp;"␟"&amp;IFERROR(INDEX(PASTE_ALL,$DF499,36)&amp;"","")&amp;"␟"&amp;IFERROR(INDEX(PASTE_ALL,$DF499,37)&amp;"","")&amp;"␟"&amp;IFERROR(INDEX(PASTE_ALL,$DF499,38)&amp;"","")&amp;"␟"&amp;IFERROR(INDEX(PASTE_ALL,$DF499,39)&amp;"","")&amp;"␟"&amp;IFERROR(INDEX(PASTE_ALL,$DF499,40)&amp;"","")&amp;"␟"&amp;IFERROR(INDEX(PASTE_ALL,$DF499,41)&amp;"","")&amp;"␟"&amp;IFERROR(INDEX(PASTE_ALL,$DF499,42)&amp;"","")&amp;"␟"&amp;IFERROR(INDEX(PASTE_ALL,$DF499,43)&amp;"","")&amp;"␟"&amp;IFERROR(INDEX(PASTE_ALL,$DF499,44)&amp;"","")&amp;"␟"&amp;IFERROR(INDEX(PASTE_ALL,$DF499,45)&amp;"","")&amp;"␟"&amp;IFERROR(INDEX(PASTE_ALL,$DF499,46)&amp;"","")&amp;"␟"&amp;IFERROR(INDEX(PASTE_ALL,$DF499,47)&amp;"","")&amp;"␟"&amp;IFERROR(INDEX(PASTE_ALL,$DF499,48)&amp;"","")&amp;"␟"&amp;IFERROR(INDEX(PASTE_ALL,$DF499,49)&amp;"","")&amp;"␟"&amp;IFERROR(INDEX(PASTE_ALL,$DF499,50)&amp;"","")&amp;"␟"&amp;IFERROR(INDEX(PASTE_ALL,$DF499,51)&amp;"","")&amp;"␟"&amp;IFERROR(INDEX(PASTE_ALL,$DF499,52)&amp;"","")&amp;"␟"&amp;IFERROR(INDEX(PASTE_ALL,$DF499,53)&amp;"","")&amp;"␟"&amp;IFERROR(INDEX(PASTE_ALL,$DF499,54)&amp;"","")&amp;"␟"&amp;IFERROR(INDEX(PASTE_ALL,$DF499,55)&amp;"","")&amp;"␟"&amp;IFERROR(INDEX(PASTE_ALL,$DF499,56)&amp;"","")&amp;"␟"&amp;IFERROR(INDEX(PASTE_ALL,$DF499,57)&amp;"","")&amp;"␟"&amp;IFERROR(INDEX(PASTE_ALL,$DF499,58)&amp;"","")&amp;"␟"&amp;IFERROR(INDEX(PASTE_ALL,$DF499,59)&amp;"","")&amp;"␟"&amp;IFERROR(INDEX(PASTE_ALL,$DF499,60)&amp;"","")," "," "),CHAR(9)," "),CHAR(10)," "),CHAR(13)," "))," ␟","␟"),"␟ ","␟"),"#"&amp;$DE499),"")</f>
        <v/>
      </c>
      <c r="DJ499">
        <f>IF($DI499="",0,IF(SUMPRODUCT(--EXACT($DI$4:DI498,$DI499))&gt;0,1,0))</f>
        <v/>
      </c>
      <c r="DK499">
        <f>IF(AND($DI499&lt;&gt;"",$DJ499=0),1,0)</f>
        <v/>
      </c>
      <c r="DL499">
        <f>DL498+$DK499</f>
        <v/>
      </c>
      <c r="DM499">
        <f>IF(AND($DK499=1,$DL499&lt;=600),1,0)</f>
        <v/>
      </c>
      <c r="DN499">
        <f>IF($DM499=0,"",IF($L$6=0,"",IFERROR(IF(ISNUMBER(INDEX(PASTE_ALL,$DF499,$L$6)),INDEX(PASTE_ALL,$DF499,$L$6),TRIM(SUBSTITUTE(SUBSTITUTE(SUBSTITUTE(SUBSTITUTE(INDEX(PASTE_ALL,$DF499,$L$6)," "," "),CHAR(9)," "),CHAR(10)," "),CHAR(13)," "))),"")))</f>
        <v/>
      </c>
      <c r="DO499">
        <f>IF($DM499=0,"",IF($L$7=0,"",IFERROR(IF(ISNUMBER(INDEX(PASTE_ALL,$DF499,$L$7)),INDEX(PASTE_ALL,$DF499,$L$7),TRIM(SUBSTITUTE(SUBSTITUTE(SUBSTITUTE(SUBSTITUTE(INDEX(PASTE_ALL,$DF499,$L$7)," "," "),CHAR(9)," "),CHAR(10)," "),CHAR(13)," "))),"")))</f>
        <v/>
      </c>
      <c r="DP499">
        <f>IF($DM499=0,"",IF($L$8=0,"",IFERROR(IF(ISNUMBER(INDEX(PASTE_ALL,$DF499,$L$8)),INDEX(PASTE_ALL,$DF499,$L$8),TRIM(SUBSTITUTE(SUBSTITUTE(SUBSTITUTE(SUBSTITUTE(INDEX(PASTE_ALL,$DF499,$L$8)," "," "),CHAR(9)," "),CHAR(10)," "),CHAR(13)," "))),"")))</f>
        <v/>
      </c>
      <c r="DQ499">
        <f>IF($DM499=0,"",IF($L$9=0,"",IFERROR(IF(ISNUMBER(INDEX(PASTE_ALL,$DF499,$L$9)),INDEX(PASTE_ALL,$DF499,$L$9),TRIM(SUBSTITUTE(SUBSTITUTE(SUBSTITUTE(SUBSTITUTE(INDEX(PASTE_ALL,$DF499,$L$9)," "," "),CHAR(9)," "),CHAR(10)," "),CHAR(13)," "))),"")))</f>
        <v/>
      </c>
      <c r="DR499">
        <f>IF($DM499=0,"",IF($L$10=0,"",IFERROR(IF(ISNUMBER(INDEX(PASTE_ALL,$DF499,$L$10)),INDEX(PASTE_ALL,$DF499,$L$10),TRIM(SUBSTITUTE(SUBSTITUTE(SUBSTITUTE(SUBSTITUTE(INDEX(PASTE_ALL,$DF499,$L$10)," "," "),CHAR(9)," "),CHAR(10)," "),CHAR(13)," "))),"")))</f>
        <v/>
      </c>
      <c r="DS499">
        <f>IF($DM499=0,"",IF($L$11=0,"",IFERROR(IF(ISNUMBER(INDEX(PASTE_ALL,$DF499,$L$11)),INDEX(PASTE_ALL,$DF499,$L$11),TRIM(SUBSTITUTE(SUBSTITUTE(SUBSTITUTE(SUBSTITUTE(INDEX(PASTE_ALL,$DF499,$L$11)," "," "),CHAR(9)," "),CHAR(10)," "),CHAR(13)," "))),"")))</f>
        <v/>
      </c>
      <c r="DT499">
        <f>IF($DM499=0,"",IF($L$12=0,"",IFERROR(IF(ISNUMBER(INDEX(PASTE_ALL,$DF499,$L$12)),INDEX(PASTE_ALL,$DF499,$L$12),TRIM(SUBSTITUTE(SUBSTITUTE(SUBSTITUTE(SUBSTITUTE(INDEX(PASTE_ALL,$DF499,$L$12)," "," "),CHAR(9)," "),CHAR(10)," "),CHAR(13)," "))),"")))</f>
        <v/>
      </c>
      <c r="DU499">
        <f>IF($DM499=0,"",IF($L$13=0,"",IFERROR(IF(ISNUMBER(INDEX(PASTE_ALL,$DF499,$L$13)),INDEX(PASTE_ALL,$DF499,$L$13),TRIM(SUBSTITUTE(SUBSTITUTE(SUBSTITUTE(SUBSTITUTE(INDEX(PASTE_ALL,$DF499,$L$13)," "," "),CHAR(9)," "),CHAR(10)," "),CHAR(13)," "))),"")))</f>
        <v/>
      </c>
      <c r="DV499">
        <f>IF($DM499=0,"",IF($L$14=0,"",IFERROR(IF(ISNUMBER(INDEX(PASTE_ALL,$DF499,$L$14)),INDEX(PASTE_ALL,$DF499,$L$14),TRIM(SUBSTITUTE(SUBSTITUTE(SUBSTITUTE(SUBSTITUTE(INDEX(PASTE_ALL,$DF499,$L$14)," "," "),CHAR(9)," "),CHAR(10)," "),CHAR(13)," "))),"")))</f>
        <v/>
      </c>
      <c r="DW499">
        <f>IF($DM499=0,"",IF($L$15=0,"",IFERROR(IF(ISNUMBER(INDEX(PASTE_ALL,$DF499,$L$15)),INDEX(PASTE_ALL,$DF499,$L$15),IF(SUMPRODUCT(--ISNUMBER(FIND({"A","B","C","D","E","F","G","H","I","J","K","L","M","N","O","P","Q","R","S","T","U","V","W","X","Y","Z","0","1","2","3","4","5","6","7","8","9"},UPPER(TRIM(SUBSTITUTE(SUBSTITUTE(SUBSTITUTE(SUBSTITUTE(INDEX(PASTE_ALL,$DF499,$L$15)," "," "),CHAR(9)," "),CHAR(10)," "),CHAR(13)," "))))))&gt;0,TRIM(SUBSTITUTE(SUBSTITUTE(SUBSTITUTE(SUBSTITUTE(INDEX(PASTE_ALL,$DF499,$L$15)," "," "),CHAR(9)," "),CHAR(10)," "),CHAR(13)," ")),"")),"")))</f>
        <v/>
      </c>
      <c r="DX499">
        <f>IF($DM499=0,"",IF($L$16=0,"",IFERROR(IF(ISNUMBER(INDEX(PASTE_ALL,$DF499,$L$16)),INDEX(PASTE_ALL,$DF499,$L$16),SUBSTITUTE(SUBSTITUTE(TRIM(SUBSTITUTE(SUBSTITUTE(SUBSTITUTE(SUBSTITUTE(INDEX(PASTE_ALL,$DF499,$L$16)," "," "),CHAR(9)," "),CHAR(10)," "),CHAR(13)," ")),",",""),"%","")),"")))</f>
        <v/>
      </c>
      <c r="DY499">
        <f>IF($DM499=0,"",IFERROR(IF(ISNUMBER($DX499),$DX499,IF($DX499="","",IF(TRIM($DX499)="",0,IF(AND(AND(SUBSTITUTE(SUBSTITUTE(SUBSTITUTE(SUBSTITUTE(SUBSTITUTE(SUBSTITUTE(SUBSTITUTE(SUBSTITUTE(SUBSTITUTE(SUBSTITUTE(SUBSTITUTE(SUBSTITUTE(SUBSTITUTE(SUBSTITUTE(UPPER(TRIM($DX499)),"0",""),"1",""),"2",""),"3",""),"4",""),"5",""),"6",""),"7",""),"8",""),"9",""),".",""),"+",""),"-",""),"E","")="",LEN(SUBSTITUTE(SUBSTITUTE(MID(UPPER(TRIM($DX499)),1+OR(LEFT(UPPER(TRIM($DX499)),1)="+",LEFT(UPPER(TRIM($DX499)),1)="-"),999),"E+","E"),"E-","E"))=LEN(SUBSTITUTE(SUBSTITUTE(SUBSTITUTE(SUBSTITUTE(MID(UPPER(TRIM($DX499)),1+OR(LEFT(UPPER(TRIM($DX499)),1)="+",LEFT(UPPER(TRIM($DX499)),1)="-"),999),"E+","E"),"E-","E"),"+",""),"-","")),LEN(UPPER(TRIM($DX499)))-LEN(SUBSTITUTE(UPPER(TRIM($DX499)),"E",""))&lt;2,LEN(UPPER(TRIM($DX499)))-LEN(SUBSTITUTE(UPPER(TRIM($DX499)),".",""))&lt;2,IFERROR(FIND(".",UPPER(TRIM($DX499))),0)&lt;IFERROR(FIND("E",UPPER(TRIM($DX499))),999)),ISNUMBER(VALUE(TRIM($DX499)))),VALUE(TRIM($DX499)),"")))),""))</f>
        <v/>
      </c>
      <c r="DZ499">
        <f>IF($DM499=0,"",IF($L$17=0,"",IFERROR(IF(ISNUMBER(INDEX(PASTE_ALL,$DF499,$L$17)),INDEX(PASTE_ALL,$DF499,$L$17),SUBSTITUTE(SUBSTITUTE(TRIM(SUBSTITUTE(SUBSTITUTE(SUBSTITUTE(SUBSTITUTE(INDEX(PASTE_ALL,$DF499,$L$17)," "," "),CHAR(9)," "),CHAR(10)," "),CHAR(13)," ")),",",""),"%","")),"")))</f>
        <v/>
      </c>
      <c r="EA499">
        <f>IF($DM499=0,"",IFERROR(IF(ISNUMBER($DZ499),$DZ499,IF($DZ499="","",IF(TRIM($DZ499)="",0,IF(AND(AND(SUBSTITUTE(SUBSTITUTE(SUBSTITUTE(SUBSTITUTE(SUBSTITUTE(SUBSTITUTE(SUBSTITUTE(SUBSTITUTE(SUBSTITUTE(SUBSTITUTE(SUBSTITUTE(SUBSTITUTE(SUBSTITUTE(SUBSTITUTE(UPPER(TRIM($DZ499)),"0",""),"1",""),"2",""),"3",""),"4",""),"5",""),"6",""),"7",""),"8",""),"9",""),".",""),"+",""),"-",""),"E","")="",LEN(SUBSTITUTE(SUBSTITUTE(MID(UPPER(TRIM($DZ499)),1+OR(LEFT(UPPER(TRIM($DZ499)),1)="+",LEFT(UPPER(TRIM($DZ499)),1)="-"),999),"E+","E"),"E-","E"))=LEN(SUBSTITUTE(SUBSTITUTE(SUBSTITUTE(SUBSTITUTE(MID(UPPER(TRIM($DZ499)),1+OR(LEFT(UPPER(TRIM($DZ499)),1)="+",LEFT(UPPER(TRIM($DZ499)),1)="-"),999),"E+","E"),"E-","E"),"+",""),"-","")),LEN(UPPER(TRIM($DZ499)))-LEN(SUBSTITUTE(UPPER(TRIM($DZ499)),"E",""))&lt;2,LEN(UPPER(TRIM($DZ499)))-LEN(SUBSTITUTE(UPPER(TRIM($DZ499)),".",""))&lt;2,IFERROR(FIND(".",UPPER(TRIM($DZ499))),0)&lt;IFERROR(FIND("E",UPPER(TRIM($DZ499))),999)),ISNUMBER(VALUE(TRIM($DZ499)))),VALUE(TRIM($DZ499)),"")))),""))</f>
        <v/>
      </c>
      <c r="EB499">
        <f>IF($DM499=0,"",IF($L$18=0,"",IFERROR(IF(UPPER(TRIM(SUBSTITUTE(SUBSTITUTE(SUBSTITUTE(SUBSTITUTE(INDEX(PASTE_ALL,$DF499,$L$18)," "," "),CHAR(9)," "),CHAR(10)," "),CHAR(13)," ")))="READY","Ready",IF(UPPER(TRIM(SUBSTITUTE(SUBSTITUTE(SUBSTITUTE(SUBSTITUTE(INDEX(PASTE_ALL,$DF499,$L$18)," "," "),CHAR(9)," "),CHAR(10)," "),CHAR(13)," ")))="PM","PM",IF(OR(UPPER(TRIM(SUBSTITUTE(SUBSTITUTE(SUBSTITUTE(SUBSTITUTE(INDEX(PASTE_ALL,$DF499,$L$18)," "," "),CHAR(9)," "),CHAR(10)," "),CHAR(13)," ")))="OT",UPPER(TRIM(SUBSTITUTE(SUBSTITUTE(SUBSTITUTE(SUBSTITUTE(INDEX(PASTE_ALL,$DF499,$L$18)," "," "),CHAR(9)," "),CHAR(10)," "),CHAR(13)," ")))="OVERTIME",UPPER(TRIM(SUBSTITUTE(SUBSTITUTE(SUBSTITUTE(SUBSTITUTE(INDEX(PASTE_ALL,$DF499,$L$18)," "," "),CHAR(9)," "),CHAR(10)," "),CHAR(13)," ")))="TRIAL"),"OT",TRIM(SUBSTITUTE(SUBSTITUTE(SUBSTITUTE(SUBSTITUTE(INDEX(PASTE_ALL,$DF499,$L$18)," "," "),CHAR(9)," "),CHAR(10)," "),CHAR(13)," "))))),"")))</f>
        <v/>
      </c>
      <c r="EC499">
        <f>IF($DM499=0,"",IF($L$19=0,"",IFERROR(IF(ISNUMBER(INDEX(PASTE_ALL,$DF499,$L$19)),INDEX(PASTE_ALL,$DF499,$L$19),TRIM(SUBSTITUTE(SUBSTITUTE(SUBSTITUTE(SUBSTITUTE(INDEX(PASTE_ALL,$DF499,$L$19)," "," "),CHAR(9)," "),CHAR(10)," "),CHAR(13)," "))),"")))</f>
        <v/>
      </c>
      <c r="ED499">
        <f>IF($DM499=0,"",MATCH(1,INDEX(EXACT($DH$5:DH499,$DH499)*$DM$5:DM499,0),0))</f>
        <v/>
      </c>
      <c r="EE499">
        <f>IF($DM499=0,0,IF($ED499=$DE499,1,0))</f>
        <v/>
      </c>
      <c r="EF499">
        <f>EF498+$EE499</f>
        <v/>
      </c>
      <c r="EG499">
        <f>IF($DM499=0,"",INDEX($EF$5:$EF$1003,$ED499))</f>
        <v/>
      </c>
      <c r="EH499">
        <f>IF($DM499=0,"",IF($DO499&lt;&gt;"","",IFERROR(LOOKUP(2,1/(($EG$4:EG498=$EG499)*($DO$4:DO498&lt;&gt;"")),$DO$4:DO498),"")))</f>
        <v/>
      </c>
      <c r="EI499">
        <f>IF($DM499=0,"",IF($DO499&lt;&gt;"",$DO499,$EH499))</f>
        <v/>
      </c>
      <c r="EJ499">
        <f>IF($DM499=0,"",IF($EI499="",0,IF(OR(ISNUMBER($EI499),AND(AND(SUBSTITUTE(SUBSTITUTE(SUBSTITUTE(SUBSTITUTE(SUBSTITUTE(SUBSTITUTE(SUBSTITUTE(SUBSTITUTE(SUBSTITUTE(SUBSTITUTE(SUBSTITUTE(SUBSTITUTE(SUBSTITUTE(SUBSTITUTE(UPPER($EI499),"0",""),"1",""),"2",""),"3",""),"4",""),"5",""),"6",""),"7",""),"8",""),"9",""),".",""),"+",""),"-",""),"E","")="",LEN(SUBSTITUTE(SUBSTITUTE(MID(UPPER($EI499),1+OR(LEFT(UPPER($EI499),1)="+",LEFT(UPPER($EI499),1)="-"),999),"E+","E"),"E-","E"))=LEN(SUBSTITUTE(SUBSTITUTE(SUBSTITUTE(SUBSTITUTE(MID(UPPER($EI499),1+OR(LEFT(UPPER($EI499),1)="+",LEFT(UPPER($EI499),1)="-"),999),"E+","E"),"E-","E"),"+",""),"-","")),LEN(UPPER($EI499))-LEN(SUBSTITUTE(UPPER($EI499),"E",""))&lt;2,LEN(UPPER($EI499))-LEN(SUBSTITUTE(UPPER($EI499),".",""))&lt;2,IFERROR(FIND(".",UPPER($EI499)),0)&lt;IFERROR(FIND("E",UPPER($EI499)),999)),ISNUMBER(VALUE($EI499)))),1,2)))</f>
        <v/>
      </c>
      <c r="EK499">
        <f>IF($DM499=0,"",IF($EJ499=1,IF(ISNUMBER($EI499),$EI499,VALUE($EI499)),IF($EJ499=2,$DE499,0)))</f>
        <v/>
      </c>
      <c r="EL499">
        <f>IF($DM499=0,"",COUNTIF($EG$5:$EG$1003,"&lt;"&amp;$EG499)+SUMPRODUCT(($EG$5:$EG$1003=$EG499)*(($EJ$5:$EJ$1003&lt;$EJ499)+($EJ$5:$EJ$1003=$EJ499)*(($EK$5:$EK$1003&lt;$EK499)+($EK$5:$EK$1003=$EK499)*($DE$5:$DE$1003&lt;$DE499))))+1)</f>
        <v/>
      </c>
      <c r="EM499">
        <f>IF($DM499=0,"",$EL499+$EG499-1)</f>
        <v/>
      </c>
      <c r="EN499">
        <f>IF($DM499=0,0,IFERROR(MATCH(1,INDEX(--(TRIM(SUBSTITUTE(SUBSTITUTE(SUBSTITUTE(SUBSTITUTE(LINES_NAME&amp;""," "," "),CHAR(9)," "),CHAR(10)," "),CHAR(13)," "))=$DH499),0),0),0))</f>
        <v/>
      </c>
      <c r="EO499">
        <f>IF($EN499=0,0,IF(OR(UPPER(TRIM(INDEX(LINES_SCHEDULED,$EN499)&amp;""))="YES",UPPER(TRIM(INDEX(LINES_SCHEDULED,$EN499)&amp;""))="Y",UPPER(TRIM(INDEX(LINES_SCHEDULED,$EN499)&amp;""))="X"),1,0))</f>
        <v/>
      </c>
      <c r="EP499">
        <f>IF($DM499=0,"",IF(COUNTIFS($EG$5:$EG$1003,$EG499,$EB$5:$EB$1003,"Ready")&gt;0,"READY",IF(COUNTIFS($EG$5:$EG$1003,$EG499,$EB$5:$EB$1003,"PM")&gt;0,"PM",IF(COUNTIFS($EG$5:$EG$1003,$EG499,$EB$5:$EB$1003,"OT")&gt;0,"OT",""))))</f>
        <v/>
      </c>
      <c r="EQ499">
        <f>IF($EN499=0,"",UPPER(TRIM(INDEX(LINES_STATUS,$EN499)&amp;"")))</f>
        <v/>
      </c>
      <c r="ER499">
        <f>IF($DM499=0,"",IF(OR($EQ499="READY",$EQ499="PM",$EQ499="OT"),$EQ499,$EP499))</f>
        <v/>
      </c>
      <c r="ES499">
        <f>IF($DM499=0,"",IF(AND($DV499&lt;&gt;"",UPPER($DV499)&lt;&gt;"N"),"allergen",IF(ISNUMBER(SEARCH("oil",$DQ499)),"oil",IF(OR(EXACT($DS499,"A662"),EXACT($DS499,"A624")),"bulk",""))))</f>
        <v/>
      </c>
      <c r="ET499">
        <f>IF($DM499=0,"",IF(OR($EA499="",$EA499=0),"",$EA499/100))</f>
        <v/>
      </c>
      <c r="EU499">
        <f>IF(OR($ET499="",$DY499=""),"",INT($DY499*(1-$ET499)+0.5))</f>
        <v/>
      </c>
      <c r="EW499" t="n">
        <v>495</v>
      </c>
      <c r="EX499">
        <f>IFERROR(MATCH($EW499,$EM$5:$EM$1003,0),0)</f>
        <v/>
      </c>
      <c r="EY499">
        <f>IF($EW499&gt;$B$12,"",IF($EX499&gt;0,"row","spacer"))</f>
        <v/>
      </c>
      <c r="EZ499">
        <f>IF(AND($EY499="row",$EY498&lt;&gt;"row"),1,0)</f>
        <v/>
      </c>
      <c r="FA499">
        <f>IF(AND($EY499="row",$EY500&lt;&gt;"row"),1,0)</f>
        <v/>
      </c>
      <c r="FB499">
        <f>IF($EZ499=1,IFERROR(IF(ISNUMBER(INDEX(PASTE_ALL,INDEX($DF$5:$DF$1003,$EX499),$B$37)),INDEX(PASTE_ALL,INDEX($DF$5:$DF$1003,$EX499),$B$37),INDEX($DH$5:$DH$1003,$EX499)),INDEX($DH$5:$DH$1003,$EX499)),"")</f>
        <v/>
      </c>
      <c r="FC499">
        <f>IF($EY499="row",INDEX($ER$5:$ER$1003,$EX499),"")</f>
        <v/>
      </c>
      <c r="FD499">
        <f>IF($EY499="row",INDEX($DN$5:$DN$1003,$EX499),"")</f>
        <v/>
      </c>
      <c r="FE499">
        <f>IF($EY499="row",INDEX($DO$5:$DO$1003,$EX499),"")</f>
        <v/>
      </c>
      <c r="FF499">
        <f>IF($EY499="row",INDEX($DP$5:$DP$1003,$EX499),"")</f>
        <v/>
      </c>
      <c r="FG499">
        <f>IF($EY499="row",INDEX($DQ$5:$DQ$1003,$EX499),"")</f>
        <v/>
      </c>
      <c r="FH499">
        <f>IF($EY499="row",INDEX($DR$5:$DR$1003,$EX499),"")</f>
        <v/>
      </c>
      <c r="FI499">
        <f>IF($EY499="row",INDEX($DS$5:$DS$1003,$EX499),"")</f>
        <v/>
      </c>
      <c r="FJ499">
        <f>IF($EY499="row",INDEX($DT$5:$DT$1003,$EX499),"")</f>
        <v/>
      </c>
      <c r="FK499">
        <f>IF($EY499="row",INDEX($DU$5:$DU$1003,$EX499),"")</f>
        <v/>
      </c>
      <c r="FL499">
        <f>IF($EY499="row",INDEX($DV$5:$DV$1003,$EX499),"")</f>
        <v/>
      </c>
      <c r="FM499">
        <f>IF($EY499="row",INDEX($DW$5:$DW$1003,$EX499),"")</f>
        <v/>
      </c>
      <c r="FN499">
        <f>IF($EY499="row",INDEX($DY$5:$DY$1003,$EX499),"")</f>
        <v/>
      </c>
      <c r="FO499">
        <f>IF($EY499="row",INDEX($EA$5:$EA$1003,$EX499),"")</f>
        <v/>
      </c>
      <c r="FP499">
        <f>IF($EY499="row",INDEX($EC$5:$EC$1003,$EX499),"")</f>
        <v/>
      </c>
      <c r="FQ499">
        <f>IF($EY499="row",INDEX($ET$5:$ET$1003,$EX499),"")</f>
        <v/>
      </c>
      <c r="FR499">
        <f>IF($EY499="row",INDEX($EU$5:$EU$1003,$EX499),"")</f>
        <v/>
      </c>
      <c r="FS499">
        <f>IF(AND($EY499="row",$EY498="row"),IF(OR(INDEX($DT$5:$DT$1003,$EX498)="",INDEX($DT$5:$DT$1003,$EX499)=""),"",IF(NOT(EXACT(INDEX($DT$5:$DT$1003,$EX498),INDEX($DT$5:$DT$1003,$EX499))),"S4",IF(NOT(EXACT(INDEX($DS$5:$DS$1003,$EX498),INDEX($DS$5:$DS$1003,$EX499))),"S3",IF(NOT(EXACT(INDEX($DR$5:$DR$1003,$EX498),INDEX($DR$5:$DR$1003,$EX499))),"S1 Count Change","S1")))),"")</f>
        <v/>
      </c>
      <c r="FT499">
        <f>IF($EY499="row",INDEX($ES$5:$ES$1003,$EX499),"")</f>
        <v/>
      </c>
      <c r="FU499">
        <f>IF($EY499="row",INDEX($EO$5:$EO$1003,$EX499),0)</f>
        <v/>
      </c>
      <c r="FV499">
        <f>IF($FS499="S1 Count Change",1,0)</f>
        <v/>
      </c>
    </row>
    <row r="500">
      <c r="DA500" t="n">
        <v>496</v>
      </c>
      <c r="DB500">
        <f>IF($B$37=0,"",IFERROR(TRIM(SUBSTITUTE(SUBSTITUTE(SUBSTITUTE(SUBSTITUTE(INDEX(PASTE_ALL,496,$B$37)," "," "),CHAR(9)," "),CHAR(10)," "),CHAR(13)," ")),""))</f>
        <v/>
      </c>
      <c r="DC500">
        <f>IF(AND(496&gt;HEADER_ROW,UPPER(DB500)="LEGEND"),1,0)</f>
        <v/>
      </c>
      <c r="DE500" t="n">
        <v>496</v>
      </c>
      <c r="DF500">
        <f>HEADER_ROW+$DE500</f>
        <v/>
      </c>
      <c r="DG500">
        <f>IF(AND($DF500&lt;=1000,$DF500&lt;$B$8),1,0)</f>
        <v/>
      </c>
      <c r="DH500">
        <f>IF($DG500=1,IFERROR(INDEX($DB$5:$DB$1004,$DF500),""),"")</f>
        <v/>
      </c>
      <c r="DI500">
        <f>IF(AND($DG500=1,$DH500&lt;&gt;""),IFERROR(SUBSTITUTE(SUBSTITUTE(TRIM(SUBSTITUTE(SUBSTITUTE(SUBSTITUTE(SUBSTITUTE(IFERROR(INDEX(PASTE_ALL,$DF500,1)&amp;"","")&amp;"␟"&amp;IFERROR(INDEX(PASTE_ALL,$DF500,2)&amp;"","")&amp;"␟"&amp;IFERROR(INDEX(PASTE_ALL,$DF500,3)&amp;"","")&amp;"␟"&amp;IFERROR(INDEX(PASTE_ALL,$DF500,4)&amp;"","")&amp;"␟"&amp;IFERROR(INDEX(PASTE_ALL,$DF500,5)&amp;"","")&amp;"␟"&amp;IFERROR(INDEX(PASTE_ALL,$DF500,6)&amp;"","")&amp;"␟"&amp;IFERROR(INDEX(PASTE_ALL,$DF500,7)&amp;"","")&amp;"␟"&amp;IFERROR(INDEX(PASTE_ALL,$DF500,8)&amp;"","")&amp;"␟"&amp;IFERROR(INDEX(PASTE_ALL,$DF500,9)&amp;"","")&amp;"␟"&amp;IFERROR(INDEX(PASTE_ALL,$DF500,10)&amp;"","")&amp;"␟"&amp;IFERROR(INDEX(PASTE_ALL,$DF500,11)&amp;"","")&amp;"␟"&amp;IFERROR(INDEX(PASTE_ALL,$DF500,12)&amp;"","")&amp;"␟"&amp;IFERROR(INDEX(PASTE_ALL,$DF500,13)&amp;"","")&amp;"␟"&amp;IFERROR(INDEX(PASTE_ALL,$DF500,14)&amp;"","")&amp;"␟"&amp;IFERROR(INDEX(PASTE_ALL,$DF500,15)&amp;"","")&amp;"␟"&amp;IFERROR(INDEX(PASTE_ALL,$DF500,16)&amp;"","")&amp;"␟"&amp;IFERROR(INDEX(PASTE_ALL,$DF500,17)&amp;"","")&amp;"␟"&amp;IFERROR(INDEX(PASTE_ALL,$DF500,18)&amp;"","")&amp;"␟"&amp;IFERROR(INDEX(PASTE_ALL,$DF500,19)&amp;"","")&amp;"␟"&amp;IFERROR(INDEX(PASTE_ALL,$DF500,20)&amp;"","")&amp;"␟"&amp;IFERROR(INDEX(PASTE_ALL,$DF500,21)&amp;"","")&amp;"␟"&amp;IFERROR(INDEX(PASTE_ALL,$DF500,22)&amp;"","")&amp;"␟"&amp;IFERROR(INDEX(PASTE_ALL,$DF500,23)&amp;"","")&amp;"␟"&amp;IFERROR(INDEX(PASTE_ALL,$DF500,24)&amp;"","")&amp;"␟"&amp;IFERROR(INDEX(PASTE_ALL,$DF500,25)&amp;"","")&amp;"␟"&amp;IFERROR(INDEX(PASTE_ALL,$DF500,26)&amp;"","")&amp;"␟"&amp;IFERROR(INDEX(PASTE_ALL,$DF500,27)&amp;"","")&amp;"␟"&amp;IFERROR(INDEX(PASTE_ALL,$DF500,28)&amp;"","")&amp;"␟"&amp;IFERROR(INDEX(PASTE_ALL,$DF500,29)&amp;"","")&amp;"␟"&amp;IFERROR(INDEX(PASTE_ALL,$DF500,30)&amp;"","")&amp;"␟"&amp;IFERROR(INDEX(PASTE_ALL,$DF500,31)&amp;"","")&amp;"␟"&amp;IFERROR(INDEX(PASTE_ALL,$DF500,32)&amp;"","")&amp;"␟"&amp;IFERROR(INDEX(PASTE_ALL,$DF500,33)&amp;"","")&amp;"␟"&amp;IFERROR(INDEX(PASTE_ALL,$DF500,34)&amp;"","")&amp;"␟"&amp;IFERROR(INDEX(PASTE_ALL,$DF500,35)&amp;"","")&amp;"␟"&amp;IFERROR(INDEX(PASTE_ALL,$DF500,36)&amp;"","")&amp;"␟"&amp;IFERROR(INDEX(PASTE_ALL,$DF500,37)&amp;"","")&amp;"␟"&amp;IFERROR(INDEX(PASTE_ALL,$DF500,38)&amp;"","")&amp;"␟"&amp;IFERROR(INDEX(PASTE_ALL,$DF500,39)&amp;"","")&amp;"␟"&amp;IFERROR(INDEX(PASTE_ALL,$DF500,40)&amp;"","")&amp;"␟"&amp;IFERROR(INDEX(PASTE_ALL,$DF500,41)&amp;"","")&amp;"␟"&amp;IFERROR(INDEX(PASTE_ALL,$DF500,42)&amp;"","")&amp;"␟"&amp;IFERROR(INDEX(PASTE_ALL,$DF500,43)&amp;"","")&amp;"␟"&amp;IFERROR(INDEX(PASTE_ALL,$DF500,44)&amp;"","")&amp;"␟"&amp;IFERROR(INDEX(PASTE_ALL,$DF500,45)&amp;"","")&amp;"␟"&amp;IFERROR(INDEX(PASTE_ALL,$DF500,46)&amp;"","")&amp;"␟"&amp;IFERROR(INDEX(PASTE_ALL,$DF500,47)&amp;"","")&amp;"␟"&amp;IFERROR(INDEX(PASTE_ALL,$DF500,48)&amp;"","")&amp;"␟"&amp;IFERROR(INDEX(PASTE_ALL,$DF500,49)&amp;"","")&amp;"␟"&amp;IFERROR(INDEX(PASTE_ALL,$DF500,50)&amp;"","")&amp;"␟"&amp;IFERROR(INDEX(PASTE_ALL,$DF500,51)&amp;"","")&amp;"␟"&amp;IFERROR(INDEX(PASTE_ALL,$DF500,52)&amp;"","")&amp;"␟"&amp;IFERROR(INDEX(PASTE_ALL,$DF500,53)&amp;"","")&amp;"␟"&amp;IFERROR(INDEX(PASTE_ALL,$DF500,54)&amp;"","")&amp;"␟"&amp;IFERROR(INDEX(PASTE_ALL,$DF500,55)&amp;"","")&amp;"␟"&amp;IFERROR(INDEX(PASTE_ALL,$DF500,56)&amp;"","")&amp;"␟"&amp;IFERROR(INDEX(PASTE_ALL,$DF500,57)&amp;"","")&amp;"␟"&amp;IFERROR(INDEX(PASTE_ALL,$DF500,58)&amp;"","")&amp;"␟"&amp;IFERROR(INDEX(PASTE_ALL,$DF500,59)&amp;"","")&amp;"␟"&amp;IFERROR(INDEX(PASTE_ALL,$DF500,60)&amp;"","")," "," "),CHAR(9)," "),CHAR(10)," "),CHAR(13)," "))," ␟","␟"),"␟ ","␟"),"#"&amp;$DE500),"")</f>
        <v/>
      </c>
      <c r="DJ500">
        <f>IF($DI500="",0,IF(SUMPRODUCT(--EXACT($DI$4:DI499,$DI500))&gt;0,1,0))</f>
        <v/>
      </c>
      <c r="DK500">
        <f>IF(AND($DI500&lt;&gt;"",$DJ500=0),1,0)</f>
        <v/>
      </c>
      <c r="DL500">
        <f>DL499+$DK500</f>
        <v/>
      </c>
      <c r="DM500">
        <f>IF(AND($DK500=1,$DL500&lt;=600),1,0)</f>
        <v/>
      </c>
      <c r="DN500">
        <f>IF($DM500=0,"",IF($L$6=0,"",IFERROR(IF(ISNUMBER(INDEX(PASTE_ALL,$DF500,$L$6)),INDEX(PASTE_ALL,$DF500,$L$6),TRIM(SUBSTITUTE(SUBSTITUTE(SUBSTITUTE(SUBSTITUTE(INDEX(PASTE_ALL,$DF500,$L$6)," "," "),CHAR(9)," "),CHAR(10)," "),CHAR(13)," "))),"")))</f>
        <v/>
      </c>
      <c r="DO500">
        <f>IF($DM500=0,"",IF($L$7=0,"",IFERROR(IF(ISNUMBER(INDEX(PASTE_ALL,$DF500,$L$7)),INDEX(PASTE_ALL,$DF500,$L$7),TRIM(SUBSTITUTE(SUBSTITUTE(SUBSTITUTE(SUBSTITUTE(INDEX(PASTE_ALL,$DF500,$L$7)," "," "),CHAR(9)," "),CHAR(10)," "),CHAR(13)," "))),"")))</f>
        <v/>
      </c>
      <c r="DP500">
        <f>IF($DM500=0,"",IF($L$8=0,"",IFERROR(IF(ISNUMBER(INDEX(PASTE_ALL,$DF500,$L$8)),INDEX(PASTE_ALL,$DF500,$L$8),TRIM(SUBSTITUTE(SUBSTITUTE(SUBSTITUTE(SUBSTITUTE(INDEX(PASTE_ALL,$DF500,$L$8)," "," "),CHAR(9)," "),CHAR(10)," "),CHAR(13)," "))),"")))</f>
        <v/>
      </c>
      <c r="DQ500">
        <f>IF($DM500=0,"",IF($L$9=0,"",IFERROR(IF(ISNUMBER(INDEX(PASTE_ALL,$DF500,$L$9)),INDEX(PASTE_ALL,$DF500,$L$9),TRIM(SUBSTITUTE(SUBSTITUTE(SUBSTITUTE(SUBSTITUTE(INDEX(PASTE_ALL,$DF500,$L$9)," "," "),CHAR(9)," "),CHAR(10)," "),CHAR(13)," "))),"")))</f>
        <v/>
      </c>
      <c r="DR500">
        <f>IF($DM500=0,"",IF($L$10=0,"",IFERROR(IF(ISNUMBER(INDEX(PASTE_ALL,$DF500,$L$10)),INDEX(PASTE_ALL,$DF500,$L$10),TRIM(SUBSTITUTE(SUBSTITUTE(SUBSTITUTE(SUBSTITUTE(INDEX(PASTE_ALL,$DF500,$L$10)," "," "),CHAR(9)," "),CHAR(10)," "),CHAR(13)," "))),"")))</f>
        <v/>
      </c>
      <c r="DS500">
        <f>IF($DM500=0,"",IF($L$11=0,"",IFERROR(IF(ISNUMBER(INDEX(PASTE_ALL,$DF500,$L$11)),INDEX(PASTE_ALL,$DF500,$L$11),TRIM(SUBSTITUTE(SUBSTITUTE(SUBSTITUTE(SUBSTITUTE(INDEX(PASTE_ALL,$DF500,$L$11)," "," "),CHAR(9)," "),CHAR(10)," "),CHAR(13)," "))),"")))</f>
        <v/>
      </c>
      <c r="DT500">
        <f>IF($DM500=0,"",IF($L$12=0,"",IFERROR(IF(ISNUMBER(INDEX(PASTE_ALL,$DF500,$L$12)),INDEX(PASTE_ALL,$DF500,$L$12),TRIM(SUBSTITUTE(SUBSTITUTE(SUBSTITUTE(SUBSTITUTE(INDEX(PASTE_ALL,$DF500,$L$12)," "," "),CHAR(9)," "),CHAR(10)," "),CHAR(13)," "))),"")))</f>
        <v/>
      </c>
      <c r="DU500">
        <f>IF($DM500=0,"",IF($L$13=0,"",IFERROR(IF(ISNUMBER(INDEX(PASTE_ALL,$DF500,$L$13)),INDEX(PASTE_ALL,$DF500,$L$13),TRIM(SUBSTITUTE(SUBSTITUTE(SUBSTITUTE(SUBSTITUTE(INDEX(PASTE_ALL,$DF500,$L$13)," "," "),CHAR(9)," "),CHAR(10)," "),CHAR(13)," "))),"")))</f>
        <v/>
      </c>
      <c r="DV500">
        <f>IF($DM500=0,"",IF($L$14=0,"",IFERROR(IF(ISNUMBER(INDEX(PASTE_ALL,$DF500,$L$14)),INDEX(PASTE_ALL,$DF500,$L$14),TRIM(SUBSTITUTE(SUBSTITUTE(SUBSTITUTE(SUBSTITUTE(INDEX(PASTE_ALL,$DF500,$L$14)," "," "),CHAR(9)," "),CHAR(10)," "),CHAR(13)," "))),"")))</f>
        <v/>
      </c>
      <c r="DW500">
        <f>IF($DM500=0,"",IF($L$15=0,"",IFERROR(IF(ISNUMBER(INDEX(PASTE_ALL,$DF500,$L$15)),INDEX(PASTE_ALL,$DF500,$L$15),IF(SUMPRODUCT(--ISNUMBER(FIND({"A","B","C","D","E","F","G","H","I","J","K","L","M","N","O","P","Q","R","S","T","U","V","W","X","Y","Z","0","1","2","3","4","5","6","7","8","9"},UPPER(TRIM(SUBSTITUTE(SUBSTITUTE(SUBSTITUTE(SUBSTITUTE(INDEX(PASTE_ALL,$DF500,$L$15)," "," "),CHAR(9)," "),CHAR(10)," "),CHAR(13)," "))))))&gt;0,TRIM(SUBSTITUTE(SUBSTITUTE(SUBSTITUTE(SUBSTITUTE(INDEX(PASTE_ALL,$DF500,$L$15)," "," "),CHAR(9)," "),CHAR(10)," "),CHAR(13)," ")),"")),"")))</f>
        <v/>
      </c>
      <c r="DX500">
        <f>IF($DM500=0,"",IF($L$16=0,"",IFERROR(IF(ISNUMBER(INDEX(PASTE_ALL,$DF500,$L$16)),INDEX(PASTE_ALL,$DF500,$L$16),SUBSTITUTE(SUBSTITUTE(TRIM(SUBSTITUTE(SUBSTITUTE(SUBSTITUTE(SUBSTITUTE(INDEX(PASTE_ALL,$DF500,$L$16)," "," "),CHAR(9)," "),CHAR(10)," "),CHAR(13)," ")),",",""),"%","")),"")))</f>
        <v/>
      </c>
      <c r="DY500">
        <f>IF($DM500=0,"",IFERROR(IF(ISNUMBER($DX500),$DX500,IF($DX500="","",IF(TRIM($DX500)="",0,IF(AND(AND(SUBSTITUTE(SUBSTITUTE(SUBSTITUTE(SUBSTITUTE(SUBSTITUTE(SUBSTITUTE(SUBSTITUTE(SUBSTITUTE(SUBSTITUTE(SUBSTITUTE(SUBSTITUTE(SUBSTITUTE(SUBSTITUTE(SUBSTITUTE(UPPER(TRIM($DX500)),"0",""),"1",""),"2",""),"3",""),"4",""),"5",""),"6",""),"7",""),"8",""),"9",""),".",""),"+",""),"-",""),"E","")="",LEN(SUBSTITUTE(SUBSTITUTE(MID(UPPER(TRIM($DX500)),1+OR(LEFT(UPPER(TRIM($DX500)),1)="+",LEFT(UPPER(TRIM($DX500)),1)="-"),999),"E+","E"),"E-","E"))=LEN(SUBSTITUTE(SUBSTITUTE(SUBSTITUTE(SUBSTITUTE(MID(UPPER(TRIM($DX500)),1+OR(LEFT(UPPER(TRIM($DX500)),1)="+",LEFT(UPPER(TRIM($DX500)),1)="-"),999),"E+","E"),"E-","E"),"+",""),"-","")),LEN(UPPER(TRIM($DX500)))-LEN(SUBSTITUTE(UPPER(TRIM($DX500)),"E",""))&lt;2,LEN(UPPER(TRIM($DX500)))-LEN(SUBSTITUTE(UPPER(TRIM($DX500)),".",""))&lt;2,IFERROR(FIND(".",UPPER(TRIM($DX500))),0)&lt;IFERROR(FIND("E",UPPER(TRIM($DX500))),999)),ISNUMBER(VALUE(TRIM($DX500)))),VALUE(TRIM($DX500)),"")))),""))</f>
        <v/>
      </c>
      <c r="DZ500">
        <f>IF($DM500=0,"",IF($L$17=0,"",IFERROR(IF(ISNUMBER(INDEX(PASTE_ALL,$DF500,$L$17)),INDEX(PASTE_ALL,$DF500,$L$17),SUBSTITUTE(SUBSTITUTE(TRIM(SUBSTITUTE(SUBSTITUTE(SUBSTITUTE(SUBSTITUTE(INDEX(PASTE_ALL,$DF500,$L$17)," "," "),CHAR(9)," "),CHAR(10)," "),CHAR(13)," ")),",",""),"%","")),"")))</f>
        <v/>
      </c>
      <c r="EA500">
        <f>IF($DM500=0,"",IFERROR(IF(ISNUMBER($DZ500),$DZ500,IF($DZ500="","",IF(TRIM($DZ500)="",0,IF(AND(AND(SUBSTITUTE(SUBSTITUTE(SUBSTITUTE(SUBSTITUTE(SUBSTITUTE(SUBSTITUTE(SUBSTITUTE(SUBSTITUTE(SUBSTITUTE(SUBSTITUTE(SUBSTITUTE(SUBSTITUTE(SUBSTITUTE(SUBSTITUTE(UPPER(TRIM($DZ500)),"0",""),"1",""),"2",""),"3",""),"4",""),"5",""),"6",""),"7",""),"8",""),"9",""),".",""),"+",""),"-",""),"E","")="",LEN(SUBSTITUTE(SUBSTITUTE(MID(UPPER(TRIM($DZ500)),1+OR(LEFT(UPPER(TRIM($DZ500)),1)="+",LEFT(UPPER(TRIM($DZ500)),1)="-"),999),"E+","E"),"E-","E"))=LEN(SUBSTITUTE(SUBSTITUTE(SUBSTITUTE(SUBSTITUTE(MID(UPPER(TRIM($DZ500)),1+OR(LEFT(UPPER(TRIM($DZ500)),1)="+",LEFT(UPPER(TRIM($DZ500)),1)="-"),999),"E+","E"),"E-","E"),"+",""),"-","")),LEN(UPPER(TRIM($DZ500)))-LEN(SUBSTITUTE(UPPER(TRIM($DZ500)),"E",""))&lt;2,LEN(UPPER(TRIM($DZ500)))-LEN(SUBSTITUTE(UPPER(TRIM($DZ500)),".",""))&lt;2,IFERROR(FIND(".",UPPER(TRIM($DZ500))),0)&lt;IFERROR(FIND("E",UPPER(TRIM($DZ500))),999)),ISNUMBER(VALUE(TRIM($DZ500)))),VALUE(TRIM($DZ500)),"")))),""))</f>
        <v/>
      </c>
      <c r="EB500">
        <f>IF($DM500=0,"",IF($L$18=0,"",IFERROR(IF(UPPER(TRIM(SUBSTITUTE(SUBSTITUTE(SUBSTITUTE(SUBSTITUTE(INDEX(PASTE_ALL,$DF500,$L$18)," "," "),CHAR(9)," "),CHAR(10)," "),CHAR(13)," ")))="READY","Ready",IF(UPPER(TRIM(SUBSTITUTE(SUBSTITUTE(SUBSTITUTE(SUBSTITUTE(INDEX(PASTE_ALL,$DF500,$L$18)," "," "),CHAR(9)," "),CHAR(10)," "),CHAR(13)," ")))="PM","PM",IF(OR(UPPER(TRIM(SUBSTITUTE(SUBSTITUTE(SUBSTITUTE(SUBSTITUTE(INDEX(PASTE_ALL,$DF500,$L$18)," "," "),CHAR(9)," "),CHAR(10)," "),CHAR(13)," ")))="OT",UPPER(TRIM(SUBSTITUTE(SUBSTITUTE(SUBSTITUTE(SUBSTITUTE(INDEX(PASTE_ALL,$DF500,$L$18)," "," "),CHAR(9)," "),CHAR(10)," "),CHAR(13)," ")))="OVERTIME",UPPER(TRIM(SUBSTITUTE(SUBSTITUTE(SUBSTITUTE(SUBSTITUTE(INDEX(PASTE_ALL,$DF500,$L$18)," "," "),CHAR(9)," "),CHAR(10)," "),CHAR(13)," ")))="TRIAL"),"OT",TRIM(SUBSTITUTE(SUBSTITUTE(SUBSTITUTE(SUBSTITUTE(INDEX(PASTE_ALL,$DF500,$L$18)," "," "),CHAR(9)," "),CHAR(10)," "),CHAR(13)," "))))),"")))</f>
        <v/>
      </c>
      <c r="EC500">
        <f>IF($DM500=0,"",IF($L$19=0,"",IFERROR(IF(ISNUMBER(INDEX(PASTE_ALL,$DF500,$L$19)),INDEX(PASTE_ALL,$DF500,$L$19),TRIM(SUBSTITUTE(SUBSTITUTE(SUBSTITUTE(SUBSTITUTE(INDEX(PASTE_ALL,$DF500,$L$19)," "," "),CHAR(9)," "),CHAR(10)," "),CHAR(13)," "))),"")))</f>
        <v/>
      </c>
      <c r="ED500">
        <f>IF($DM500=0,"",MATCH(1,INDEX(EXACT($DH$5:DH500,$DH500)*$DM$5:DM500,0),0))</f>
        <v/>
      </c>
      <c r="EE500">
        <f>IF($DM500=0,0,IF($ED500=$DE500,1,0))</f>
        <v/>
      </c>
      <c r="EF500">
        <f>EF499+$EE500</f>
        <v/>
      </c>
      <c r="EG500">
        <f>IF($DM500=0,"",INDEX($EF$5:$EF$1003,$ED500))</f>
        <v/>
      </c>
      <c r="EH500">
        <f>IF($DM500=0,"",IF($DO500&lt;&gt;"","",IFERROR(LOOKUP(2,1/(($EG$4:EG499=$EG500)*($DO$4:DO499&lt;&gt;"")),$DO$4:DO499),"")))</f>
        <v/>
      </c>
      <c r="EI500">
        <f>IF($DM500=0,"",IF($DO500&lt;&gt;"",$DO500,$EH500))</f>
        <v/>
      </c>
      <c r="EJ500">
        <f>IF($DM500=0,"",IF($EI500="",0,IF(OR(ISNUMBER($EI500),AND(AND(SUBSTITUTE(SUBSTITUTE(SUBSTITUTE(SUBSTITUTE(SUBSTITUTE(SUBSTITUTE(SUBSTITUTE(SUBSTITUTE(SUBSTITUTE(SUBSTITUTE(SUBSTITUTE(SUBSTITUTE(SUBSTITUTE(SUBSTITUTE(UPPER($EI500),"0",""),"1",""),"2",""),"3",""),"4",""),"5",""),"6",""),"7",""),"8",""),"9",""),".",""),"+",""),"-",""),"E","")="",LEN(SUBSTITUTE(SUBSTITUTE(MID(UPPER($EI500),1+OR(LEFT(UPPER($EI500),1)="+",LEFT(UPPER($EI500),1)="-"),999),"E+","E"),"E-","E"))=LEN(SUBSTITUTE(SUBSTITUTE(SUBSTITUTE(SUBSTITUTE(MID(UPPER($EI500),1+OR(LEFT(UPPER($EI500),1)="+",LEFT(UPPER($EI500),1)="-"),999),"E+","E"),"E-","E"),"+",""),"-","")),LEN(UPPER($EI500))-LEN(SUBSTITUTE(UPPER($EI500),"E",""))&lt;2,LEN(UPPER($EI500))-LEN(SUBSTITUTE(UPPER($EI500),".",""))&lt;2,IFERROR(FIND(".",UPPER($EI500)),0)&lt;IFERROR(FIND("E",UPPER($EI500)),999)),ISNUMBER(VALUE($EI500)))),1,2)))</f>
        <v/>
      </c>
      <c r="EK500">
        <f>IF($DM500=0,"",IF($EJ500=1,IF(ISNUMBER($EI500),$EI500,VALUE($EI500)),IF($EJ500=2,$DE500,0)))</f>
        <v/>
      </c>
      <c r="EL500">
        <f>IF($DM500=0,"",COUNTIF($EG$5:$EG$1003,"&lt;"&amp;$EG500)+SUMPRODUCT(($EG$5:$EG$1003=$EG500)*(($EJ$5:$EJ$1003&lt;$EJ500)+($EJ$5:$EJ$1003=$EJ500)*(($EK$5:$EK$1003&lt;$EK500)+($EK$5:$EK$1003=$EK500)*($DE$5:$DE$1003&lt;$DE500))))+1)</f>
        <v/>
      </c>
      <c r="EM500">
        <f>IF($DM500=0,"",$EL500+$EG500-1)</f>
        <v/>
      </c>
      <c r="EN500">
        <f>IF($DM500=0,0,IFERROR(MATCH(1,INDEX(--(TRIM(SUBSTITUTE(SUBSTITUTE(SUBSTITUTE(SUBSTITUTE(LINES_NAME&amp;""," "," "),CHAR(9)," "),CHAR(10)," "),CHAR(13)," "))=$DH500),0),0),0))</f>
        <v/>
      </c>
      <c r="EO500">
        <f>IF($EN500=0,0,IF(OR(UPPER(TRIM(INDEX(LINES_SCHEDULED,$EN500)&amp;""))="YES",UPPER(TRIM(INDEX(LINES_SCHEDULED,$EN500)&amp;""))="Y",UPPER(TRIM(INDEX(LINES_SCHEDULED,$EN500)&amp;""))="X"),1,0))</f>
        <v/>
      </c>
      <c r="EP500">
        <f>IF($DM500=0,"",IF(COUNTIFS($EG$5:$EG$1003,$EG500,$EB$5:$EB$1003,"Ready")&gt;0,"READY",IF(COUNTIFS($EG$5:$EG$1003,$EG500,$EB$5:$EB$1003,"PM")&gt;0,"PM",IF(COUNTIFS($EG$5:$EG$1003,$EG500,$EB$5:$EB$1003,"OT")&gt;0,"OT",""))))</f>
        <v/>
      </c>
      <c r="EQ500">
        <f>IF($EN500=0,"",UPPER(TRIM(INDEX(LINES_STATUS,$EN500)&amp;"")))</f>
        <v/>
      </c>
      <c r="ER500">
        <f>IF($DM500=0,"",IF(OR($EQ500="READY",$EQ500="PM",$EQ500="OT"),$EQ500,$EP500))</f>
        <v/>
      </c>
      <c r="ES500">
        <f>IF($DM500=0,"",IF(AND($DV500&lt;&gt;"",UPPER($DV500)&lt;&gt;"N"),"allergen",IF(ISNUMBER(SEARCH("oil",$DQ500)),"oil",IF(OR(EXACT($DS500,"A662"),EXACT($DS500,"A624")),"bulk",""))))</f>
        <v/>
      </c>
      <c r="ET500">
        <f>IF($DM500=0,"",IF(OR($EA500="",$EA500=0),"",$EA500/100))</f>
        <v/>
      </c>
      <c r="EU500">
        <f>IF(OR($ET500="",$DY500=""),"",INT($DY500*(1-$ET500)+0.5))</f>
        <v/>
      </c>
      <c r="EW500" t="n">
        <v>496</v>
      </c>
      <c r="EX500">
        <f>IFERROR(MATCH($EW500,$EM$5:$EM$1003,0),0)</f>
        <v/>
      </c>
      <c r="EY500">
        <f>IF($EW500&gt;$B$12,"",IF($EX500&gt;0,"row","spacer"))</f>
        <v/>
      </c>
      <c r="EZ500">
        <f>IF(AND($EY500="row",$EY499&lt;&gt;"row"),1,0)</f>
        <v/>
      </c>
      <c r="FA500">
        <f>IF(AND($EY500="row",$EY501&lt;&gt;"row"),1,0)</f>
        <v/>
      </c>
      <c r="FB500">
        <f>IF($EZ500=1,IFERROR(IF(ISNUMBER(INDEX(PASTE_ALL,INDEX($DF$5:$DF$1003,$EX500),$B$37)),INDEX(PASTE_ALL,INDEX($DF$5:$DF$1003,$EX500),$B$37),INDEX($DH$5:$DH$1003,$EX500)),INDEX($DH$5:$DH$1003,$EX500)),"")</f>
        <v/>
      </c>
      <c r="FC500">
        <f>IF($EY500="row",INDEX($ER$5:$ER$1003,$EX500),"")</f>
        <v/>
      </c>
      <c r="FD500">
        <f>IF($EY500="row",INDEX($DN$5:$DN$1003,$EX500),"")</f>
        <v/>
      </c>
      <c r="FE500">
        <f>IF($EY500="row",INDEX($DO$5:$DO$1003,$EX500),"")</f>
        <v/>
      </c>
      <c r="FF500">
        <f>IF($EY500="row",INDEX($DP$5:$DP$1003,$EX500),"")</f>
        <v/>
      </c>
      <c r="FG500">
        <f>IF($EY500="row",INDEX($DQ$5:$DQ$1003,$EX500),"")</f>
        <v/>
      </c>
      <c r="FH500">
        <f>IF($EY500="row",INDEX($DR$5:$DR$1003,$EX500),"")</f>
        <v/>
      </c>
      <c r="FI500">
        <f>IF($EY500="row",INDEX($DS$5:$DS$1003,$EX500),"")</f>
        <v/>
      </c>
      <c r="FJ500">
        <f>IF($EY500="row",INDEX($DT$5:$DT$1003,$EX500),"")</f>
        <v/>
      </c>
      <c r="FK500">
        <f>IF($EY500="row",INDEX($DU$5:$DU$1003,$EX500),"")</f>
        <v/>
      </c>
      <c r="FL500">
        <f>IF($EY500="row",INDEX($DV$5:$DV$1003,$EX500),"")</f>
        <v/>
      </c>
      <c r="FM500">
        <f>IF($EY500="row",INDEX($DW$5:$DW$1003,$EX500),"")</f>
        <v/>
      </c>
      <c r="FN500">
        <f>IF($EY500="row",INDEX($DY$5:$DY$1003,$EX500),"")</f>
        <v/>
      </c>
      <c r="FO500">
        <f>IF($EY500="row",INDEX($EA$5:$EA$1003,$EX500),"")</f>
        <v/>
      </c>
      <c r="FP500">
        <f>IF($EY500="row",INDEX($EC$5:$EC$1003,$EX500),"")</f>
        <v/>
      </c>
      <c r="FQ500">
        <f>IF($EY500="row",INDEX($ET$5:$ET$1003,$EX500),"")</f>
        <v/>
      </c>
      <c r="FR500">
        <f>IF($EY500="row",INDEX($EU$5:$EU$1003,$EX500),"")</f>
        <v/>
      </c>
      <c r="FS500">
        <f>IF(AND($EY500="row",$EY499="row"),IF(OR(INDEX($DT$5:$DT$1003,$EX499)="",INDEX($DT$5:$DT$1003,$EX500)=""),"",IF(NOT(EXACT(INDEX($DT$5:$DT$1003,$EX499),INDEX($DT$5:$DT$1003,$EX500))),"S4",IF(NOT(EXACT(INDEX($DS$5:$DS$1003,$EX499),INDEX($DS$5:$DS$1003,$EX500))),"S3",IF(NOT(EXACT(INDEX($DR$5:$DR$1003,$EX499),INDEX($DR$5:$DR$1003,$EX500))),"S1 Count Change","S1")))),"")</f>
        <v/>
      </c>
      <c r="FT500">
        <f>IF($EY500="row",INDEX($ES$5:$ES$1003,$EX500),"")</f>
        <v/>
      </c>
      <c r="FU500">
        <f>IF($EY500="row",INDEX($EO$5:$EO$1003,$EX500),0)</f>
        <v/>
      </c>
      <c r="FV500">
        <f>IF($FS500="S1 Count Change",1,0)</f>
        <v/>
      </c>
    </row>
    <row r="501">
      <c r="DA501" t="n">
        <v>497</v>
      </c>
      <c r="DB501">
        <f>IF($B$37=0,"",IFERROR(TRIM(SUBSTITUTE(SUBSTITUTE(SUBSTITUTE(SUBSTITUTE(INDEX(PASTE_ALL,497,$B$37)," "," "),CHAR(9)," "),CHAR(10)," "),CHAR(13)," ")),""))</f>
        <v/>
      </c>
      <c r="DC501">
        <f>IF(AND(497&gt;HEADER_ROW,UPPER(DB501)="LEGEND"),1,0)</f>
        <v/>
      </c>
      <c r="DE501" t="n">
        <v>497</v>
      </c>
      <c r="DF501">
        <f>HEADER_ROW+$DE501</f>
        <v/>
      </c>
      <c r="DG501">
        <f>IF(AND($DF501&lt;=1000,$DF501&lt;$B$8),1,0)</f>
        <v/>
      </c>
      <c r="DH501">
        <f>IF($DG501=1,IFERROR(INDEX($DB$5:$DB$1004,$DF501),""),"")</f>
        <v/>
      </c>
      <c r="DI501">
        <f>IF(AND($DG501=1,$DH501&lt;&gt;""),IFERROR(SUBSTITUTE(SUBSTITUTE(TRIM(SUBSTITUTE(SUBSTITUTE(SUBSTITUTE(SUBSTITUTE(IFERROR(INDEX(PASTE_ALL,$DF501,1)&amp;"","")&amp;"␟"&amp;IFERROR(INDEX(PASTE_ALL,$DF501,2)&amp;"","")&amp;"␟"&amp;IFERROR(INDEX(PASTE_ALL,$DF501,3)&amp;"","")&amp;"␟"&amp;IFERROR(INDEX(PASTE_ALL,$DF501,4)&amp;"","")&amp;"␟"&amp;IFERROR(INDEX(PASTE_ALL,$DF501,5)&amp;"","")&amp;"␟"&amp;IFERROR(INDEX(PASTE_ALL,$DF501,6)&amp;"","")&amp;"␟"&amp;IFERROR(INDEX(PASTE_ALL,$DF501,7)&amp;"","")&amp;"␟"&amp;IFERROR(INDEX(PASTE_ALL,$DF501,8)&amp;"","")&amp;"␟"&amp;IFERROR(INDEX(PASTE_ALL,$DF501,9)&amp;"","")&amp;"␟"&amp;IFERROR(INDEX(PASTE_ALL,$DF501,10)&amp;"","")&amp;"␟"&amp;IFERROR(INDEX(PASTE_ALL,$DF501,11)&amp;"","")&amp;"␟"&amp;IFERROR(INDEX(PASTE_ALL,$DF501,12)&amp;"","")&amp;"␟"&amp;IFERROR(INDEX(PASTE_ALL,$DF501,13)&amp;"","")&amp;"␟"&amp;IFERROR(INDEX(PASTE_ALL,$DF501,14)&amp;"","")&amp;"␟"&amp;IFERROR(INDEX(PASTE_ALL,$DF501,15)&amp;"","")&amp;"␟"&amp;IFERROR(INDEX(PASTE_ALL,$DF501,16)&amp;"","")&amp;"␟"&amp;IFERROR(INDEX(PASTE_ALL,$DF501,17)&amp;"","")&amp;"␟"&amp;IFERROR(INDEX(PASTE_ALL,$DF501,18)&amp;"","")&amp;"␟"&amp;IFERROR(INDEX(PASTE_ALL,$DF501,19)&amp;"","")&amp;"␟"&amp;IFERROR(INDEX(PASTE_ALL,$DF501,20)&amp;"","")&amp;"␟"&amp;IFERROR(INDEX(PASTE_ALL,$DF501,21)&amp;"","")&amp;"␟"&amp;IFERROR(INDEX(PASTE_ALL,$DF501,22)&amp;"","")&amp;"␟"&amp;IFERROR(INDEX(PASTE_ALL,$DF501,23)&amp;"","")&amp;"␟"&amp;IFERROR(INDEX(PASTE_ALL,$DF501,24)&amp;"","")&amp;"␟"&amp;IFERROR(INDEX(PASTE_ALL,$DF501,25)&amp;"","")&amp;"␟"&amp;IFERROR(INDEX(PASTE_ALL,$DF501,26)&amp;"","")&amp;"␟"&amp;IFERROR(INDEX(PASTE_ALL,$DF501,27)&amp;"","")&amp;"␟"&amp;IFERROR(INDEX(PASTE_ALL,$DF501,28)&amp;"","")&amp;"␟"&amp;IFERROR(INDEX(PASTE_ALL,$DF501,29)&amp;"","")&amp;"␟"&amp;IFERROR(INDEX(PASTE_ALL,$DF501,30)&amp;"","")&amp;"␟"&amp;IFERROR(INDEX(PASTE_ALL,$DF501,31)&amp;"","")&amp;"␟"&amp;IFERROR(INDEX(PASTE_ALL,$DF501,32)&amp;"","")&amp;"␟"&amp;IFERROR(INDEX(PASTE_ALL,$DF501,33)&amp;"","")&amp;"␟"&amp;IFERROR(INDEX(PASTE_ALL,$DF501,34)&amp;"","")&amp;"␟"&amp;IFERROR(INDEX(PASTE_ALL,$DF501,35)&amp;"","")&amp;"␟"&amp;IFERROR(INDEX(PASTE_ALL,$DF501,36)&amp;"","")&amp;"␟"&amp;IFERROR(INDEX(PASTE_ALL,$DF501,37)&amp;"","")&amp;"␟"&amp;IFERROR(INDEX(PASTE_ALL,$DF501,38)&amp;"","")&amp;"␟"&amp;IFERROR(INDEX(PASTE_ALL,$DF501,39)&amp;"","")&amp;"␟"&amp;IFERROR(INDEX(PASTE_ALL,$DF501,40)&amp;"","")&amp;"␟"&amp;IFERROR(INDEX(PASTE_ALL,$DF501,41)&amp;"","")&amp;"␟"&amp;IFERROR(INDEX(PASTE_ALL,$DF501,42)&amp;"","")&amp;"␟"&amp;IFERROR(INDEX(PASTE_ALL,$DF501,43)&amp;"","")&amp;"␟"&amp;IFERROR(INDEX(PASTE_ALL,$DF501,44)&amp;"","")&amp;"␟"&amp;IFERROR(INDEX(PASTE_ALL,$DF501,45)&amp;"","")&amp;"␟"&amp;IFERROR(INDEX(PASTE_ALL,$DF501,46)&amp;"","")&amp;"␟"&amp;IFERROR(INDEX(PASTE_ALL,$DF501,47)&amp;"","")&amp;"␟"&amp;IFERROR(INDEX(PASTE_ALL,$DF501,48)&amp;"","")&amp;"␟"&amp;IFERROR(INDEX(PASTE_ALL,$DF501,49)&amp;"","")&amp;"␟"&amp;IFERROR(INDEX(PASTE_ALL,$DF501,50)&amp;"","")&amp;"␟"&amp;IFERROR(INDEX(PASTE_ALL,$DF501,51)&amp;"","")&amp;"␟"&amp;IFERROR(INDEX(PASTE_ALL,$DF501,52)&amp;"","")&amp;"␟"&amp;IFERROR(INDEX(PASTE_ALL,$DF501,53)&amp;"","")&amp;"␟"&amp;IFERROR(INDEX(PASTE_ALL,$DF501,54)&amp;"","")&amp;"␟"&amp;IFERROR(INDEX(PASTE_ALL,$DF501,55)&amp;"","")&amp;"␟"&amp;IFERROR(INDEX(PASTE_ALL,$DF501,56)&amp;"","")&amp;"␟"&amp;IFERROR(INDEX(PASTE_ALL,$DF501,57)&amp;"","")&amp;"␟"&amp;IFERROR(INDEX(PASTE_ALL,$DF501,58)&amp;"","")&amp;"␟"&amp;IFERROR(INDEX(PASTE_ALL,$DF501,59)&amp;"","")&amp;"␟"&amp;IFERROR(INDEX(PASTE_ALL,$DF501,60)&amp;"","")," "," "),CHAR(9)," "),CHAR(10)," "),CHAR(13)," "))," ␟","␟"),"␟ ","␟"),"#"&amp;$DE501),"")</f>
        <v/>
      </c>
      <c r="DJ501">
        <f>IF($DI501="",0,IF(SUMPRODUCT(--EXACT($DI$4:DI500,$DI501))&gt;0,1,0))</f>
        <v/>
      </c>
      <c r="DK501">
        <f>IF(AND($DI501&lt;&gt;"",$DJ501=0),1,0)</f>
        <v/>
      </c>
      <c r="DL501">
        <f>DL500+$DK501</f>
        <v/>
      </c>
      <c r="DM501">
        <f>IF(AND($DK501=1,$DL501&lt;=600),1,0)</f>
        <v/>
      </c>
      <c r="DN501">
        <f>IF($DM501=0,"",IF($L$6=0,"",IFERROR(IF(ISNUMBER(INDEX(PASTE_ALL,$DF501,$L$6)),INDEX(PASTE_ALL,$DF501,$L$6),TRIM(SUBSTITUTE(SUBSTITUTE(SUBSTITUTE(SUBSTITUTE(INDEX(PASTE_ALL,$DF501,$L$6)," "," "),CHAR(9)," "),CHAR(10)," "),CHAR(13)," "))),"")))</f>
        <v/>
      </c>
      <c r="DO501">
        <f>IF($DM501=0,"",IF($L$7=0,"",IFERROR(IF(ISNUMBER(INDEX(PASTE_ALL,$DF501,$L$7)),INDEX(PASTE_ALL,$DF501,$L$7),TRIM(SUBSTITUTE(SUBSTITUTE(SUBSTITUTE(SUBSTITUTE(INDEX(PASTE_ALL,$DF501,$L$7)," "," "),CHAR(9)," "),CHAR(10)," "),CHAR(13)," "))),"")))</f>
        <v/>
      </c>
      <c r="DP501">
        <f>IF($DM501=0,"",IF($L$8=0,"",IFERROR(IF(ISNUMBER(INDEX(PASTE_ALL,$DF501,$L$8)),INDEX(PASTE_ALL,$DF501,$L$8),TRIM(SUBSTITUTE(SUBSTITUTE(SUBSTITUTE(SUBSTITUTE(INDEX(PASTE_ALL,$DF501,$L$8)," "," "),CHAR(9)," "),CHAR(10)," "),CHAR(13)," "))),"")))</f>
        <v/>
      </c>
      <c r="DQ501">
        <f>IF($DM501=0,"",IF($L$9=0,"",IFERROR(IF(ISNUMBER(INDEX(PASTE_ALL,$DF501,$L$9)),INDEX(PASTE_ALL,$DF501,$L$9),TRIM(SUBSTITUTE(SUBSTITUTE(SUBSTITUTE(SUBSTITUTE(INDEX(PASTE_ALL,$DF501,$L$9)," "," "),CHAR(9)," "),CHAR(10)," "),CHAR(13)," "))),"")))</f>
        <v/>
      </c>
      <c r="DR501">
        <f>IF($DM501=0,"",IF($L$10=0,"",IFERROR(IF(ISNUMBER(INDEX(PASTE_ALL,$DF501,$L$10)),INDEX(PASTE_ALL,$DF501,$L$10),TRIM(SUBSTITUTE(SUBSTITUTE(SUBSTITUTE(SUBSTITUTE(INDEX(PASTE_ALL,$DF501,$L$10)," "," "),CHAR(9)," "),CHAR(10)," "),CHAR(13)," "))),"")))</f>
        <v/>
      </c>
      <c r="DS501">
        <f>IF($DM501=0,"",IF($L$11=0,"",IFERROR(IF(ISNUMBER(INDEX(PASTE_ALL,$DF501,$L$11)),INDEX(PASTE_ALL,$DF501,$L$11),TRIM(SUBSTITUTE(SUBSTITUTE(SUBSTITUTE(SUBSTITUTE(INDEX(PASTE_ALL,$DF501,$L$11)," "," "),CHAR(9)," "),CHAR(10)," "),CHAR(13)," "))),"")))</f>
        <v/>
      </c>
      <c r="DT501">
        <f>IF($DM501=0,"",IF($L$12=0,"",IFERROR(IF(ISNUMBER(INDEX(PASTE_ALL,$DF501,$L$12)),INDEX(PASTE_ALL,$DF501,$L$12),TRIM(SUBSTITUTE(SUBSTITUTE(SUBSTITUTE(SUBSTITUTE(INDEX(PASTE_ALL,$DF501,$L$12)," "," "),CHAR(9)," "),CHAR(10)," "),CHAR(13)," "))),"")))</f>
        <v/>
      </c>
      <c r="DU501">
        <f>IF($DM501=0,"",IF($L$13=0,"",IFERROR(IF(ISNUMBER(INDEX(PASTE_ALL,$DF501,$L$13)),INDEX(PASTE_ALL,$DF501,$L$13),TRIM(SUBSTITUTE(SUBSTITUTE(SUBSTITUTE(SUBSTITUTE(INDEX(PASTE_ALL,$DF501,$L$13)," "," "),CHAR(9)," "),CHAR(10)," "),CHAR(13)," "))),"")))</f>
        <v/>
      </c>
      <c r="DV501">
        <f>IF($DM501=0,"",IF($L$14=0,"",IFERROR(IF(ISNUMBER(INDEX(PASTE_ALL,$DF501,$L$14)),INDEX(PASTE_ALL,$DF501,$L$14),TRIM(SUBSTITUTE(SUBSTITUTE(SUBSTITUTE(SUBSTITUTE(INDEX(PASTE_ALL,$DF501,$L$14)," "," "),CHAR(9)," "),CHAR(10)," "),CHAR(13)," "))),"")))</f>
        <v/>
      </c>
      <c r="DW501">
        <f>IF($DM501=0,"",IF($L$15=0,"",IFERROR(IF(ISNUMBER(INDEX(PASTE_ALL,$DF501,$L$15)),INDEX(PASTE_ALL,$DF501,$L$15),IF(SUMPRODUCT(--ISNUMBER(FIND({"A","B","C","D","E","F","G","H","I","J","K","L","M","N","O","P","Q","R","S","T","U","V","W","X","Y","Z","0","1","2","3","4","5","6","7","8","9"},UPPER(TRIM(SUBSTITUTE(SUBSTITUTE(SUBSTITUTE(SUBSTITUTE(INDEX(PASTE_ALL,$DF501,$L$15)," "," "),CHAR(9)," "),CHAR(10)," "),CHAR(13)," "))))))&gt;0,TRIM(SUBSTITUTE(SUBSTITUTE(SUBSTITUTE(SUBSTITUTE(INDEX(PASTE_ALL,$DF501,$L$15)," "," "),CHAR(9)," "),CHAR(10)," "),CHAR(13)," ")),"")),"")))</f>
        <v/>
      </c>
      <c r="DX501">
        <f>IF($DM501=0,"",IF($L$16=0,"",IFERROR(IF(ISNUMBER(INDEX(PASTE_ALL,$DF501,$L$16)),INDEX(PASTE_ALL,$DF501,$L$16),SUBSTITUTE(SUBSTITUTE(TRIM(SUBSTITUTE(SUBSTITUTE(SUBSTITUTE(SUBSTITUTE(INDEX(PASTE_ALL,$DF501,$L$16)," "," "),CHAR(9)," "),CHAR(10)," "),CHAR(13)," ")),",",""),"%","")),"")))</f>
        <v/>
      </c>
      <c r="DY501">
        <f>IF($DM501=0,"",IFERROR(IF(ISNUMBER($DX501),$DX501,IF($DX501="","",IF(TRIM($DX501)="",0,IF(AND(AND(SUBSTITUTE(SUBSTITUTE(SUBSTITUTE(SUBSTITUTE(SUBSTITUTE(SUBSTITUTE(SUBSTITUTE(SUBSTITUTE(SUBSTITUTE(SUBSTITUTE(SUBSTITUTE(SUBSTITUTE(SUBSTITUTE(SUBSTITUTE(UPPER(TRIM($DX501)),"0",""),"1",""),"2",""),"3",""),"4",""),"5",""),"6",""),"7",""),"8",""),"9",""),".",""),"+",""),"-",""),"E","")="",LEN(SUBSTITUTE(SUBSTITUTE(MID(UPPER(TRIM($DX501)),1+OR(LEFT(UPPER(TRIM($DX501)),1)="+",LEFT(UPPER(TRIM($DX501)),1)="-"),999),"E+","E"),"E-","E"))=LEN(SUBSTITUTE(SUBSTITUTE(SUBSTITUTE(SUBSTITUTE(MID(UPPER(TRIM($DX501)),1+OR(LEFT(UPPER(TRIM($DX501)),1)="+",LEFT(UPPER(TRIM($DX501)),1)="-"),999),"E+","E"),"E-","E"),"+",""),"-","")),LEN(UPPER(TRIM($DX501)))-LEN(SUBSTITUTE(UPPER(TRIM($DX501)),"E",""))&lt;2,LEN(UPPER(TRIM($DX501)))-LEN(SUBSTITUTE(UPPER(TRIM($DX501)),".",""))&lt;2,IFERROR(FIND(".",UPPER(TRIM($DX501))),0)&lt;IFERROR(FIND("E",UPPER(TRIM($DX501))),999)),ISNUMBER(VALUE(TRIM($DX501)))),VALUE(TRIM($DX501)),"")))),""))</f>
        <v/>
      </c>
      <c r="DZ501">
        <f>IF($DM501=0,"",IF($L$17=0,"",IFERROR(IF(ISNUMBER(INDEX(PASTE_ALL,$DF501,$L$17)),INDEX(PASTE_ALL,$DF501,$L$17),SUBSTITUTE(SUBSTITUTE(TRIM(SUBSTITUTE(SUBSTITUTE(SUBSTITUTE(SUBSTITUTE(INDEX(PASTE_ALL,$DF501,$L$17)," "," "),CHAR(9)," "),CHAR(10)," "),CHAR(13)," ")),",",""),"%","")),"")))</f>
        <v/>
      </c>
      <c r="EA501">
        <f>IF($DM501=0,"",IFERROR(IF(ISNUMBER($DZ501),$DZ501,IF($DZ501="","",IF(TRIM($DZ501)="",0,IF(AND(AND(SUBSTITUTE(SUBSTITUTE(SUBSTITUTE(SUBSTITUTE(SUBSTITUTE(SUBSTITUTE(SUBSTITUTE(SUBSTITUTE(SUBSTITUTE(SUBSTITUTE(SUBSTITUTE(SUBSTITUTE(SUBSTITUTE(SUBSTITUTE(UPPER(TRIM($DZ501)),"0",""),"1",""),"2",""),"3",""),"4",""),"5",""),"6",""),"7",""),"8",""),"9",""),".",""),"+",""),"-",""),"E","")="",LEN(SUBSTITUTE(SUBSTITUTE(MID(UPPER(TRIM($DZ501)),1+OR(LEFT(UPPER(TRIM($DZ501)),1)="+",LEFT(UPPER(TRIM($DZ501)),1)="-"),999),"E+","E"),"E-","E"))=LEN(SUBSTITUTE(SUBSTITUTE(SUBSTITUTE(SUBSTITUTE(MID(UPPER(TRIM($DZ501)),1+OR(LEFT(UPPER(TRIM($DZ501)),1)="+",LEFT(UPPER(TRIM($DZ501)),1)="-"),999),"E+","E"),"E-","E"),"+",""),"-","")),LEN(UPPER(TRIM($DZ501)))-LEN(SUBSTITUTE(UPPER(TRIM($DZ501)),"E",""))&lt;2,LEN(UPPER(TRIM($DZ501)))-LEN(SUBSTITUTE(UPPER(TRIM($DZ501)),".",""))&lt;2,IFERROR(FIND(".",UPPER(TRIM($DZ501))),0)&lt;IFERROR(FIND("E",UPPER(TRIM($DZ501))),999)),ISNUMBER(VALUE(TRIM($DZ501)))),VALUE(TRIM($DZ501)),"")))),""))</f>
        <v/>
      </c>
      <c r="EB501">
        <f>IF($DM501=0,"",IF($L$18=0,"",IFERROR(IF(UPPER(TRIM(SUBSTITUTE(SUBSTITUTE(SUBSTITUTE(SUBSTITUTE(INDEX(PASTE_ALL,$DF501,$L$18)," "," "),CHAR(9)," "),CHAR(10)," "),CHAR(13)," ")))="READY","Ready",IF(UPPER(TRIM(SUBSTITUTE(SUBSTITUTE(SUBSTITUTE(SUBSTITUTE(INDEX(PASTE_ALL,$DF501,$L$18)," "," "),CHAR(9)," "),CHAR(10)," "),CHAR(13)," ")))="PM","PM",IF(OR(UPPER(TRIM(SUBSTITUTE(SUBSTITUTE(SUBSTITUTE(SUBSTITUTE(INDEX(PASTE_ALL,$DF501,$L$18)," "," "),CHAR(9)," "),CHAR(10)," "),CHAR(13)," ")))="OT",UPPER(TRIM(SUBSTITUTE(SUBSTITUTE(SUBSTITUTE(SUBSTITUTE(INDEX(PASTE_ALL,$DF501,$L$18)," "," "),CHAR(9)," "),CHAR(10)," "),CHAR(13)," ")))="OVERTIME",UPPER(TRIM(SUBSTITUTE(SUBSTITUTE(SUBSTITUTE(SUBSTITUTE(INDEX(PASTE_ALL,$DF501,$L$18)," "," "),CHAR(9)," "),CHAR(10)," "),CHAR(13)," ")))="TRIAL"),"OT",TRIM(SUBSTITUTE(SUBSTITUTE(SUBSTITUTE(SUBSTITUTE(INDEX(PASTE_ALL,$DF501,$L$18)," "," "),CHAR(9)," "),CHAR(10)," "),CHAR(13)," "))))),"")))</f>
        <v/>
      </c>
      <c r="EC501">
        <f>IF($DM501=0,"",IF($L$19=0,"",IFERROR(IF(ISNUMBER(INDEX(PASTE_ALL,$DF501,$L$19)),INDEX(PASTE_ALL,$DF501,$L$19),TRIM(SUBSTITUTE(SUBSTITUTE(SUBSTITUTE(SUBSTITUTE(INDEX(PASTE_ALL,$DF501,$L$19)," "," "),CHAR(9)," "),CHAR(10)," "),CHAR(13)," "))),"")))</f>
        <v/>
      </c>
      <c r="ED501">
        <f>IF($DM501=0,"",MATCH(1,INDEX(EXACT($DH$5:DH501,$DH501)*$DM$5:DM501,0),0))</f>
        <v/>
      </c>
      <c r="EE501">
        <f>IF($DM501=0,0,IF($ED501=$DE501,1,0))</f>
        <v/>
      </c>
      <c r="EF501">
        <f>EF500+$EE501</f>
        <v/>
      </c>
      <c r="EG501">
        <f>IF($DM501=0,"",INDEX($EF$5:$EF$1003,$ED501))</f>
        <v/>
      </c>
      <c r="EH501">
        <f>IF($DM501=0,"",IF($DO501&lt;&gt;"","",IFERROR(LOOKUP(2,1/(($EG$4:EG500=$EG501)*($DO$4:DO500&lt;&gt;"")),$DO$4:DO500),"")))</f>
        <v/>
      </c>
      <c r="EI501">
        <f>IF($DM501=0,"",IF($DO501&lt;&gt;"",$DO501,$EH501))</f>
        <v/>
      </c>
      <c r="EJ501">
        <f>IF($DM501=0,"",IF($EI501="",0,IF(OR(ISNUMBER($EI501),AND(AND(SUBSTITUTE(SUBSTITUTE(SUBSTITUTE(SUBSTITUTE(SUBSTITUTE(SUBSTITUTE(SUBSTITUTE(SUBSTITUTE(SUBSTITUTE(SUBSTITUTE(SUBSTITUTE(SUBSTITUTE(SUBSTITUTE(SUBSTITUTE(UPPER($EI501),"0",""),"1",""),"2",""),"3",""),"4",""),"5",""),"6",""),"7",""),"8",""),"9",""),".",""),"+",""),"-",""),"E","")="",LEN(SUBSTITUTE(SUBSTITUTE(MID(UPPER($EI501),1+OR(LEFT(UPPER($EI501),1)="+",LEFT(UPPER($EI501),1)="-"),999),"E+","E"),"E-","E"))=LEN(SUBSTITUTE(SUBSTITUTE(SUBSTITUTE(SUBSTITUTE(MID(UPPER($EI501),1+OR(LEFT(UPPER($EI501),1)="+",LEFT(UPPER($EI501),1)="-"),999),"E+","E"),"E-","E"),"+",""),"-","")),LEN(UPPER($EI501))-LEN(SUBSTITUTE(UPPER($EI501),"E",""))&lt;2,LEN(UPPER($EI501))-LEN(SUBSTITUTE(UPPER($EI501),".",""))&lt;2,IFERROR(FIND(".",UPPER($EI501)),0)&lt;IFERROR(FIND("E",UPPER($EI501)),999)),ISNUMBER(VALUE($EI501)))),1,2)))</f>
        <v/>
      </c>
      <c r="EK501">
        <f>IF($DM501=0,"",IF($EJ501=1,IF(ISNUMBER($EI501),$EI501,VALUE($EI501)),IF($EJ501=2,$DE501,0)))</f>
        <v/>
      </c>
      <c r="EL501">
        <f>IF($DM501=0,"",COUNTIF($EG$5:$EG$1003,"&lt;"&amp;$EG501)+SUMPRODUCT(($EG$5:$EG$1003=$EG501)*(($EJ$5:$EJ$1003&lt;$EJ501)+($EJ$5:$EJ$1003=$EJ501)*(($EK$5:$EK$1003&lt;$EK501)+($EK$5:$EK$1003=$EK501)*($DE$5:$DE$1003&lt;$DE501))))+1)</f>
        <v/>
      </c>
      <c r="EM501">
        <f>IF($DM501=0,"",$EL501+$EG501-1)</f>
        <v/>
      </c>
      <c r="EN501">
        <f>IF($DM501=0,0,IFERROR(MATCH(1,INDEX(--(TRIM(SUBSTITUTE(SUBSTITUTE(SUBSTITUTE(SUBSTITUTE(LINES_NAME&amp;""," "," "),CHAR(9)," "),CHAR(10)," "),CHAR(13)," "))=$DH501),0),0),0))</f>
        <v/>
      </c>
      <c r="EO501">
        <f>IF($EN501=0,0,IF(OR(UPPER(TRIM(INDEX(LINES_SCHEDULED,$EN501)&amp;""))="YES",UPPER(TRIM(INDEX(LINES_SCHEDULED,$EN501)&amp;""))="Y",UPPER(TRIM(INDEX(LINES_SCHEDULED,$EN501)&amp;""))="X"),1,0))</f>
        <v/>
      </c>
      <c r="EP501">
        <f>IF($DM501=0,"",IF(COUNTIFS($EG$5:$EG$1003,$EG501,$EB$5:$EB$1003,"Ready")&gt;0,"READY",IF(COUNTIFS($EG$5:$EG$1003,$EG501,$EB$5:$EB$1003,"PM")&gt;0,"PM",IF(COUNTIFS($EG$5:$EG$1003,$EG501,$EB$5:$EB$1003,"OT")&gt;0,"OT",""))))</f>
        <v/>
      </c>
      <c r="EQ501">
        <f>IF($EN501=0,"",UPPER(TRIM(INDEX(LINES_STATUS,$EN501)&amp;"")))</f>
        <v/>
      </c>
      <c r="ER501">
        <f>IF($DM501=0,"",IF(OR($EQ501="READY",$EQ501="PM",$EQ501="OT"),$EQ501,$EP501))</f>
        <v/>
      </c>
      <c r="ES501">
        <f>IF($DM501=0,"",IF(AND($DV501&lt;&gt;"",UPPER($DV501)&lt;&gt;"N"),"allergen",IF(ISNUMBER(SEARCH("oil",$DQ501)),"oil",IF(OR(EXACT($DS501,"A662"),EXACT($DS501,"A624")),"bulk",""))))</f>
        <v/>
      </c>
      <c r="ET501">
        <f>IF($DM501=0,"",IF(OR($EA501="",$EA501=0),"",$EA501/100))</f>
        <v/>
      </c>
      <c r="EU501">
        <f>IF(OR($ET501="",$DY501=""),"",INT($DY501*(1-$ET501)+0.5))</f>
        <v/>
      </c>
      <c r="EW501" t="n">
        <v>497</v>
      </c>
      <c r="EX501">
        <f>IFERROR(MATCH($EW501,$EM$5:$EM$1003,0),0)</f>
        <v/>
      </c>
      <c r="EY501">
        <f>IF($EW501&gt;$B$12,"",IF($EX501&gt;0,"row","spacer"))</f>
        <v/>
      </c>
      <c r="EZ501">
        <f>IF(AND($EY501="row",$EY500&lt;&gt;"row"),1,0)</f>
        <v/>
      </c>
      <c r="FA501">
        <f>IF(AND($EY501="row",$EY502&lt;&gt;"row"),1,0)</f>
        <v/>
      </c>
      <c r="FB501">
        <f>IF($EZ501=1,IFERROR(IF(ISNUMBER(INDEX(PASTE_ALL,INDEX($DF$5:$DF$1003,$EX501),$B$37)),INDEX(PASTE_ALL,INDEX($DF$5:$DF$1003,$EX501),$B$37),INDEX($DH$5:$DH$1003,$EX501)),INDEX($DH$5:$DH$1003,$EX501)),"")</f>
        <v/>
      </c>
      <c r="FC501">
        <f>IF($EY501="row",INDEX($ER$5:$ER$1003,$EX501),"")</f>
        <v/>
      </c>
      <c r="FD501">
        <f>IF($EY501="row",INDEX($DN$5:$DN$1003,$EX501),"")</f>
        <v/>
      </c>
      <c r="FE501">
        <f>IF($EY501="row",INDEX($DO$5:$DO$1003,$EX501),"")</f>
        <v/>
      </c>
      <c r="FF501">
        <f>IF($EY501="row",INDEX($DP$5:$DP$1003,$EX501),"")</f>
        <v/>
      </c>
      <c r="FG501">
        <f>IF($EY501="row",INDEX($DQ$5:$DQ$1003,$EX501),"")</f>
        <v/>
      </c>
      <c r="FH501">
        <f>IF($EY501="row",INDEX($DR$5:$DR$1003,$EX501),"")</f>
        <v/>
      </c>
      <c r="FI501">
        <f>IF($EY501="row",INDEX($DS$5:$DS$1003,$EX501),"")</f>
        <v/>
      </c>
      <c r="FJ501">
        <f>IF($EY501="row",INDEX($DT$5:$DT$1003,$EX501),"")</f>
        <v/>
      </c>
      <c r="FK501">
        <f>IF($EY501="row",INDEX($DU$5:$DU$1003,$EX501),"")</f>
        <v/>
      </c>
      <c r="FL501">
        <f>IF($EY501="row",INDEX($DV$5:$DV$1003,$EX501),"")</f>
        <v/>
      </c>
      <c r="FM501">
        <f>IF($EY501="row",INDEX($DW$5:$DW$1003,$EX501),"")</f>
        <v/>
      </c>
      <c r="FN501">
        <f>IF($EY501="row",INDEX($DY$5:$DY$1003,$EX501),"")</f>
        <v/>
      </c>
      <c r="FO501">
        <f>IF($EY501="row",INDEX($EA$5:$EA$1003,$EX501),"")</f>
        <v/>
      </c>
      <c r="FP501">
        <f>IF($EY501="row",INDEX($EC$5:$EC$1003,$EX501),"")</f>
        <v/>
      </c>
      <c r="FQ501">
        <f>IF($EY501="row",INDEX($ET$5:$ET$1003,$EX501),"")</f>
        <v/>
      </c>
      <c r="FR501">
        <f>IF($EY501="row",INDEX($EU$5:$EU$1003,$EX501),"")</f>
        <v/>
      </c>
      <c r="FS501">
        <f>IF(AND($EY501="row",$EY500="row"),IF(OR(INDEX($DT$5:$DT$1003,$EX500)="",INDEX($DT$5:$DT$1003,$EX501)=""),"",IF(NOT(EXACT(INDEX($DT$5:$DT$1003,$EX500),INDEX($DT$5:$DT$1003,$EX501))),"S4",IF(NOT(EXACT(INDEX($DS$5:$DS$1003,$EX500),INDEX($DS$5:$DS$1003,$EX501))),"S3",IF(NOT(EXACT(INDEX($DR$5:$DR$1003,$EX500),INDEX($DR$5:$DR$1003,$EX501))),"S1 Count Change","S1")))),"")</f>
        <v/>
      </c>
      <c r="FT501">
        <f>IF($EY501="row",INDEX($ES$5:$ES$1003,$EX501),"")</f>
        <v/>
      </c>
      <c r="FU501">
        <f>IF($EY501="row",INDEX($EO$5:$EO$1003,$EX501),0)</f>
        <v/>
      </c>
      <c r="FV501">
        <f>IF($FS501="S1 Count Change",1,0)</f>
        <v/>
      </c>
    </row>
    <row r="502">
      <c r="DA502" t="n">
        <v>498</v>
      </c>
      <c r="DB502">
        <f>IF($B$37=0,"",IFERROR(TRIM(SUBSTITUTE(SUBSTITUTE(SUBSTITUTE(SUBSTITUTE(INDEX(PASTE_ALL,498,$B$37)," "," "),CHAR(9)," "),CHAR(10)," "),CHAR(13)," ")),""))</f>
        <v/>
      </c>
      <c r="DC502">
        <f>IF(AND(498&gt;HEADER_ROW,UPPER(DB502)="LEGEND"),1,0)</f>
        <v/>
      </c>
      <c r="DE502" t="n">
        <v>498</v>
      </c>
      <c r="DF502">
        <f>HEADER_ROW+$DE502</f>
        <v/>
      </c>
      <c r="DG502">
        <f>IF(AND($DF502&lt;=1000,$DF502&lt;$B$8),1,0)</f>
        <v/>
      </c>
      <c r="DH502">
        <f>IF($DG502=1,IFERROR(INDEX($DB$5:$DB$1004,$DF502),""),"")</f>
        <v/>
      </c>
      <c r="DI502">
        <f>IF(AND($DG502=1,$DH502&lt;&gt;""),IFERROR(SUBSTITUTE(SUBSTITUTE(TRIM(SUBSTITUTE(SUBSTITUTE(SUBSTITUTE(SUBSTITUTE(IFERROR(INDEX(PASTE_ALL,$DF502,1)&amp;"","")&amp;"␟"&amp;IFERROR(INDEX(PASTE_ALL,$DF502,2)&amp;"","")&amp;"␟"&amp;IFERROR(INDEX(PASTE_ALL,$DF502,3)&amp;"","")&amp;"␟"&amp;IFERROR(INDEX(PASTE_ALL,$DF502,4)&amp;"","")&amp;"␟"&amp;IFERROR(INDEX(PASTE_ALL,$DF502,5)&amp;"","")&amp;"␟"&amp;IFERROR(INDEX(PASTE_ALL,$DF502,6)&amp;"","")&amp;"␟"&amp;IFERROR(INDEX(PASTE_ALL,$DF502,7)&amp;"","")&amp;"␟"&amp;IFERROR(INDEX(PASTE_ALL,$DF502,8)&amp;"","")&amp;"␟"&amp;IFERROR(INDEX(PASTE_ALL,$DF502,9)&amp;"","")&amp;"␟"&amp;IFERROR(INDEX(PASTE_ALL,$DF502,10)&amp;"","")&amp;"␟"&amp;IFERROR(INDEX(PASTE_ALL,$DF502,11)&amp;"","")&amp;"␟"&amp;IFERROR(INDEX(PASTE_ALL,$DF502,12)&amp;"","")&amp;"␟"&amp;IFERROR(INDEX(PASTE_ALL,$DF502,13)&amp;"","")&amp;"␟"&amp;IFERROR(INDEX(PASTE_ALL,$DF502,14)&amp;"","")&amp;"␟"&amp;IFERROR(INDEX(PASTE_ALL,$DF502,15)&amp;"","")&amp;"␟"&amp;IFERROR(INDEX(PASTE_ALL,$DF502,16)&amp;"","")&amp;"␟"&amp;IFERROR(INDEX(PASTE_ALL,$DF502,17)&amp;"","")&amp;"␟"&amp;IFERROR(INDEX(PASTE_ALL,$DF502,18)&amp;"","")&amp;"␟"&amp;IFERROR(INDEX(PASTE_ALL,$DF502,19)&amp;"","")&amp;"␟"&amp;IFERROR(INDEX(PASTE_ALL,$DF502,20)&amp;"","")&amp;"␟"&amp;IFERROR(INDEX(PASTE_ALL,$DF502,21)&amp;"","")&amp;"␟"&amp;IFERROR(INDEX(PASTE_ALL,$DF502,22)&amp;"","")&amp;"␟"&amp;IFERROR(INDEX(PASTE_ALL,$DF502,23)&amp;"","")&amp;"␟"&amp;IFERROR(INDEX(PASTE_ALL,$DF502,24)&amp;"","")&amp;"␟"&amp;IFERROR(INDEX(PASTE_ALL,$DF502,25)&amp;"","")&amp;"␟"&amp;IFERROR(INDEX(PASTE_ALL,$DF502,26)&amp;"","")&amp;"␟"&amp;IFERROR(INDEX(PASTE_ALL,$DF502,27)&amp;"","")&amp;"␟"&amp;IFERROR(INDEX(PASTE_ALL,$DF502,28)&amp;"","")&amp;"␟"&amp;IFERROR(INDEX(PASTE_ALL,$DF502,29)&amp;"","")&amp;"␟"&amp;IFERROR(INDEX(PASTE_ALL,$DF502,30)&amp;"","")&amp;"␟"&amp;IFERROR(INDEX(PASTE_ALL,$DF502,31)&amp;"","")&amp;"␟"&amp;IFERROR(INDEX(PASTE_ALL,$DF502,32)&amp;"","")&amp;"␟"&amp;IFERROR(INDEX(PASTE_ALL,$DF502,33)&amp;"","")&amp;"␟"&amp;IFERROR(INDEX(PASTE_ALL,$DF502,34)&amp;"","")&amp;"␟"&amp;IFERROR(INDEX(PASTE_ALL,$DF502,35)&amp;"","")&amp;"␟"&amp;IFERROR(INDEX(PASTE_ALL,$DF502,36)&amp;"","")&amp;"␟"&amp;IFERROR(INDEX(PASTE_ALL,$DF502,37)&amp;"","")&amp;"␟"&amp;IFERROR(INDEX(PASTE_ALL,$DF502,38)&amp;"","")&amp;"␟"&amp;IFERROR(INDEX(PASTE_ALL,$DF502,39)&amp;"","")&amp;"␟"&amp;IFERROR(INDEX(PASTE_ALL,$DF502,40)&amp;"","")&amp;"␟"&amp;IFERROR(INDEX(PASTE_ALL,$DF502,41)&amp;"","")&amp;"␟"&amp;IFERROR(INDEX(PASTE_ALL,$DF502,42)&amp;"","")&amp;"␟"&amp;IFERROR(INDEX(PASTE_ALL,$DF502,43)&amp;"","")&amp;"␟"&amp;IFERROR(INDEX(PASTE_ALL,$DF502,44)&amp;"","")&amp;"␟"&amp;IFERROR(INDEX(PASTE_ALL,$DF502,45)&amp;"","")&amp;"␟"&amp;IFERROR(INDEX(PASTE_ALL,$DF502,46)&amp;"","")&amp;"␟"&amp;IFERROR(INDEX(PASTE_ALL,$DF502,47)&amp;"","")&amp;"␟"&amp;IFERROR(INDEX(PASTE_ALL,$DF502,48)&amp;"","")&amp;"␟"&amp;IFERROR(INDEX(PASTE_ALL,$DF502,49)&amp;"","")&amp;"␟"&amp;IFERROR(INDEX(PASTE_ALL,$DF502,50)&amp;"","")&amp;"␟"&amp;IFERROR(INDEX(PASTE_ALL,$DF502,51)&amp;"","")&amp;"␟"&amp;IFERROR(INDEX(PASTE_ALL,$DF502,52)&amp;"","")&amp;"␟"&amp;IFERROR(INDEX(PASTE_ALL,$DF502,53)&amp;"","")&amp;"␟"&amp;IFERROR(INDEX(PASTE_ALL,$DF502,54)&amp;"","")&amp;"␟"&amp;IFERROR(INDEX(PASTE_ALL,$DF502,55)&amp;"","")&amp;"␟"&amp;IFERROR(INDEX(PASTE_ALL,$DF502,56)&amp;"","")&amp;"␟"&amp;IFERROR(INDEX(PASTE_ALL,$DF502,57)&amp;"","")&amp;"␟"&amp;IFERROR(INDEX(PASTE_ALL,$DF502,58)&amp;"","")&amp;"␟"&amp;IFERROR(INDEX(PASTE_ALL,$DF502,59)&amp;"","")&amp;"␟"&amp;IFERROR(INDEX(PASTE_ALL,$DF502,60)&amp;"","")," "," "),CHAR(9)," "),CHAR(10)," "),CHAR(13)," "))," ␟","␟"),"␟ ","␟"),"#"&amp;$DE502),"")</f>
        <v/>
      </c>
      <c r="DJ502">
        <f>IF($DI502="",0,IF(SUMPRODUCT(--EXACT($DI$4:DI501,$DI502))&gt;0,1,0))</f>
        <v/>
      </c>
      <c r="DK502">
        <f>IF(AND($DI502&lt;&gt;"",$DJ502=0),1,0)</f>
        <v/>
      </c>
      <c r="DL502">
        <f>DL501+$DK502</f>
        <v/>
      </c>
      <c r="DM502">
        <f>IF(AND($DK502=1,$DL502&lt;=600),1,0)</f>
        <v/>
      </c>
      <c r="DN502">
        <f>IF($DM502=0,"",IF($L$6=0,"",IFERROR(IF(ISNUMBER(INDEX(PASTE_ALL,$DF502,$L$6)),INDEX(PASTE_ALL,$DF502,$L$6),TRIM(SUBSTITUTE(SUBSTITUTE(SUBSTITUTE(SUBSTITUTE(INDEX(PASTE_ALL,$DF502,$L$6)," "," "),CHAR(9)," "),CHAR(10)," "),CHAR(13)," "))),"")))</f>
        <v/>
      </c>
      <c r="DO502">
        <f>IF($DM502=0,"",IF($L$7=0,"",IFERROR(IF(ISNUMBER(INDEX(PASTE_ALL,$DF502,$L$7)),INDEX(PASTE_ALL,$DF502,$L$7),TRIM(SUBSTITUTE(SUBSTITUTE(SUBSTITUTE(SUBSTITUTE(INDEX(PASTE_ALL,$DF502,$L$7)," "," "),CHAR(9)," "),CHAR(10)," "),CHAR(13)," "))),"")))</f>
        <v/>
      </c>
      <c r="DP502">
        <f>IF($DM502=0,"",IF($L$8=0,"",IFERROR(IF(ISNUMBER(INDEX(PASTE_ALL,$DF502,$L$8)),INDEX(PASTE_ALL,$DF502,$L$8),TRIM(SUBSTITUTE(SUBSTITUTE(SUBSTITUTE(SUBSTITUTE(INDEX(PASTE_ALL,$DF502,$L$8)," "," "),CHAR(9)," "),CHAR(10)," "),CHAR(13)," "))),"")))</f>
        <v/>
      </c>
      <c r="DQ502">
        <f>IF($DM502=0,"",IF($L$9=0,"",IFERROR(IF(ISNUMBER(INDEX(PASTE_ALL,$DF502,$L$9)),INDEX(PASTE_ALL,$DF502,$L$9),TRIM(SUBSTITUTE(SUBSTITUTE(SUBSTITUTE(SUBSTITUTE(INDEX(PASTE_ALL,$DF502,$L$9)," "," "),CHAR(9)," "),CHAR(10)," "),CHAR(13)," "))),"")))</f>
        <v/>
      </c>
      <c r="DR502">
        <f>IF($DM502=0,"",IF($L$10=0,"",IFERROR(IF(ISNUMBER(INDEX(PASTE_ALL,$DF502,$L$10)),INDEX(PASTE_ALL,$DF502,$L$10),TRIM(SUBSTITUTE(SUBSTITUTE(SUBSTITUTE(SUBSTITUTE(INDEX(PASTE_ALL,$DF502,$L$10)," "," "),CHAR(9)," "),CHAR(10)," "),CHAR(13)," "))),"")))</f>
        <v/>
      </c>
      <c r="DS502">
        <f>IF($DM502=0,"",IF($L$11=0,"",IFERROR(IF(ISNUMBER(INDEX(PASTE_ALL,$DF502,$L$11)),INDEX(PASTE_ALL,$DF502,$L$11),TRIM(SUBSTITUTE(SUBSTITUTE(SUBSTITUTE(SUBSTITUTE(INDEX(PASTE_ALL,$DF502,$L$11)," "," "),CHAR(9)," "),CHAR(10)," "),CHAR(13)," "))),"")))</f>
        <v/>
      </c>
      <c r="DT502">
        <f>IF($DM502=0,"",IF($L$12=0,"",IFERROR(IF(ISNUMBER(INDEX(PASTE_ALL,$DF502,$L$12)),INDEX(PASTE_ALL,$DF502,$L$12),TRIM(SUBSTITUTE(SUBSTITUTE(SUBSTITUTE(SUBSTITUTE(INDEX(PASTE_ALL,$DF502,$L$12)," "," "),CHAR(9)," "),CHAR(10)," "),CHAR(13)," "))),"")))</f>
        <v/>
      </c>
      <c r="DU502">
        <f>IF($DM502=0,"",IF($L$13=0,"",IFERROR(IF(ISNUMBER(INDEX(PASTE_ALL,$DF502,$L$13)),INDEX(PASTE_ALL,$DF502,$L$13),TRIM(SUBSTITUTE(SUBSTITUTE(SUBSTITUTE(SUBSTITUTE(INDEX(PASTE_ALL,$DF502,$L$13)," "," "),CHAR(9)," "),CHAR(10)," "),CHAR(13)," "))),"")))</f>
        <v/>
      </c>
      <c r="DV502">
        <f>IF($DM502=0,"",IF($L$14=0,"",IFERROR(IF(ISNUMBER(INDEX(PASTE_ALL,$DF502,$L$14)),INDEX(PASTE_ALL,$DF502,$L$14),TRIM(SUBSTITUTE(SUBSTITUTE(SUBSTITUTE(SUBSTITUTE(INDEX(PASTE_ALL,$DF502,$L$14)," "," "),CHAR(9)," "),CHAR(10)," "),CHAR(13)," "))),"")))</f>
        <v/>
      </c>
      <c r="DW502">
        <f>IF($DM502=0,"",IF($L$15=0,"",IFERROR(IF(ISNUMBER(INDEX(PASTE_ALL,$DF502,$L$15)),INDEX(PASTE_ALL,$DF502,$L$15),IF(SUMPRODUCT(--ISNUMBER(FIND({"A","B","C","D","E","F","G","H","I","J","K","L","M","N","O","P","Q","R","S","T","U","V","W","X","Y","Z","0","1","2","3","4","5","6","7","8","9"},UPPER(TRIM(SUBSTITUTE(SUBSTITUTE(SUBSTITUTE(SUBSTITUTE(INDEX(PASTE_ALL,$DF502,$L$15)," "," "),CHAR(9)," "),CHAR(10)," "),CHAR(13)," "))))))&gt;0,TRIM(SUBSTITUTE(SUBSTITUTE(SUBSTITUTE(SUBSTITUTE(INDEX(PASTE_ALL,$DF502,$L$15)," "," "),CHAR(9)," "),CHAR(10)," "),CHAR(13)," ")),"")),"")))</f>
        <v/>
      </c>
      <c r="DX502">
        <f>IF($DM502=0,"",IF($L$16=0,"",IFERROR(IF(ISNUMBER(INDEX(PASTE_ALL,$DF502,$L$16)),INDEX(PASTE_ALL,$DF502,$L$16),SUBSTITUTE(SUBSTITUTE(TRIM(SUBSTITUTE(SUBSTITUTE(SUBSTITUTE(SUBSTITUTE(INDEX(PASTE_ALL,$DF502,$L$16)," "," "),CHAR(9)," "),CHAR(10)," "),CHAR(13)," ")),",",""),"%","")),"")))</f>
        <v/>
      </c>
      <c r="DY502">
        <f>IF($DM502=0,"",IFERROR(IF(ISNUMBER($DX502),$DX502,IF($DX502="","",IF(TRIM($DX502)="",0,IF(AND(AND(SUBSTITUTE(SUBSTITUTE(SUBSTITUTE(SUBSTITUTE(SUBSTITUTE(SUBSTITUTE(SUBSTITUTE(SUBSTITUTE(SUBSTITUTE(SUBSTITUTE(SUBSTITUTE(SUBSTITUTE(SUBSTITUTE(SUBSTITUTE(UPPER(TRIM($DX502)),"0",""),"1",""),"2",""),"3",""),"4",""),"5",""),"6",""),"7",""),"8",""),"9",""),".",""),"+",""),"-",""),"E","")="",LEN(SUBSTITUTE(SUBSTITUTE(MID(UPPER(TRIM($DX502)),1+OR(LEFT(UPPER(TRIM($DX502)),1)="+",LEFT(UPPER(TRIM($DX502)),1)="-"),999),"E+","E"),"E-","E"))=LEN(SUBSTITUTE(SUBSTITUTE(SUBSTITUTE(SUBSTITUTE(MID(UPPER(TRIM($DX502)),1+OR(LEFT(UPPER(TRIM($DX502)),1)="+",LEFT(UPPER(TRIM($DX502)),1)="-"),999),"E+","E"),"E-","E"),"+",""),"-","")),LEN(UPPER(TRIM($DX502)))-LEN(SUBSTITUTE(UPPER(TRIM($DX502)),"E",""))&lt;2,LEN(UPPER(TRIM($DX502)))-LEN(SUBSTITUTE(UPPER(TRIM($DX502)),".",""))&lt;2,IFERROR(FIND(".",UPPER(TRIM($DX502))),0)&lt;IFERROR(FIND("E",UPPER(TRIM($DX502))),999)),ISNUMBER(VALUE(TRIM($DX502)))),VALUE(TRIM($DX502)),"")))),""))</f>
        <v/>
      </c>
      <c r="DZ502">
        <f>IF($DM502=0,"",IF($L$17=0,"",IFERROR(IF(ISNUMBER(INDEX(PASTE_ALL,$DF502,$L$17)),INDEX(PASTE_ALL,$DF502,$L$17),SUBSTITUTE(SUBSTITUTE(TRIM(SUBSTITUTE(SUBSTITUTE(SUBSTITUTE(SUBSTITUTE(INDEX(PASTE_ALL,$DF502,$L$17)," "," "),CHAR(9)," "),CHAR(10)," "),CHAR(13)," ")),",",""),"%","")),"")))</f>
        <v/>
      </c>
      <c r="EA502">
        <f>IF($DM502=0,"",IFERROR(IF(ISNUMBER($DZ502),$DZ502,IF($DZ502="","",IF(TRIM($DZ502)="",0,IF(AND(AND(SUBSTITUTE(SUBSTITUTE(SUBSTITUTE(SUBSTITUTE(SUBSTITUTE(SUBSTITUTE(SUBSTITUTE(SUBSTITUTE(SUBSTITUTE(SUBSTITUTE(SUBSTITUTE(SUBSTITUTE(SUBSTITUTE(SUBSTITUTE(UPPER(TRIM($DZ502)),"0",""),"1",""),"2",""),"3",""),"4",""),"5",""),"6",""),"7",""),"8",""),"9",""),".",""),"+",""),"-",""),"E","")="",LEN(SUBSTITUTE(SUBSTITUTE(MID(UPPER(TRIM($DZ502)),1+OR(LEFT(UPPER(TRIM($DZ502)),1)="+",LEFT(UPPER(TRIM($DZ502)),1)="-"),999),"E+","E"),"E-","E"))=LEN(SUBSTITUTE(SUBSTITUTE(SUBSTITUTE(SUBSTITUTE(MID(UPPER(TRIM($DZ502)),1+OR(LEFT(UPPER(TRIM($DZ502)),1)="+",LEFT(UPPER(TRIM($DZ502)),1)="-"),999),"E+","E"),"E-","E"),"+",""),"-","")),LEN(UPPER(TRIM($DZ502)))-LEN(SUBSTITUTE(UPPER(TRIM($DZ502)),"E",""))&lt;2,LEN(UPPER(TRIM($DZ502)))-LEN(SUBSTITUTE(UPPER(TRIM($DZ502)),".",""))&lt;2,IFERROR(FIND(".",UPPER(TRIM($DZ502))),0)&lt;IFERROR(FIND("E",UPPER(TRIM($DZ502))),999)),ISNUMBER(VALUE(TRIM($DZ502)))),VALUE(TRIM($DZ502)),"")))),""))</f>
        <v/>
      </c>
      <c r="EB502">
        <f>IF($DM502=0,"",IF($L$18=0,"",IFERROR(IF(UPPER(TRIM(SUBSTITUTE(SUBSTITUTE(SUBSTITUTE(SUBSTITUTE(INDEX(PASTE_ALL,$DF502,$L$18)," "," "),CHAR(9)," "),CHAR(10)," "),CHAR(13)," ")))="READY","Ready",IF(UPPER(TRIM(SUBSTITUTE(SUBSTITUTE(SUBSTITUTE(SUBSTITUTE(INDEX(PASTE_ALL,$DF502,$L$18)," "," "),CHAR(9)," "),CHAR(10)," "),CHAR(13)," ")))="PM","PM",IF(OR(UPPER(TRIM(SUBSTITUTE(SUBSTITUTE(SUBSTITUTE(SUBSTITUTE(INDEX(PASTE_ALL,$DF502,$L$18)," "," "),CHAR(9)," "),CHAR(10)," "),CHAR(13)," ")))="OT",UPPER(TRIM(SUBSTITUTE(SUBSTITUTE(SUBSTITUTE(SUBSTITUTE(INDEX(PASTE_ALL,$DF502,$L$18)," "," "),CHAR(9)," "),CHAR(10)," "),CHAR(13)," ")))="OVERTIME",UPPER(TRIM(SUBSTITUTE(SUBSTITUTE(SUBSTITUTE(SUBSTITUTE(INDEX(PASTE_ALL,$DF502,$L$18)," "," "),CHAR(9)," "),CHAR(10)," "),CHAR(13)," ")))="TRIAL"),"OT",TRIM(SUBSTITUTE(SUBSTITUTE(SUBSTITUTE(SUBSTITUTE(INDEX(PASTE_ALL,$DF502,$L$18)," "," "),CHAR(9)," "),CHAR(10)," "),CHAR(13)," "))))),"")))</f>
        <v/>
      </c>
      <c r="EC502">
        <f>IF($DM502=0,"",IF($L$19=0,"",IFERROR(IF(ISNUMBER(INDEX(PASTE_ALL,$DF502,$L$19)),INDEX(PASTE_ALL,$DF502,$L$19),TRIM(SUBSTITUTE(SUBSTITUTE(SUBSTITUTE(SUBSTITUTE(INDEX(PASTE_ALL,$DF502,$L$19)," "," "),CHAR(9)," "),CHAR(10)," "),CHAR(13)," "))),"")))</f>
        <v/>
      </c>
      <c r="ED502">
        <f>IF($DM502=0,"",MATCH(1,INDEX(EXACT($DH$5:DH502,$DH502)*$DM$5:DM502,0),0))</f>
        <v/>
      </c>
      <c r="EE502">
        <f>IF($DM502=0,0,IF($ED502=$DE502,1,0))</f>
        <v/>
      </c>
      <c r="EF502">
        <f>EF501+$EE502</f>
        <v/>
      </c>
      <c r="EG502">
        <f>IF($DM502=0,"",INDEX($EF$5:$EF$1003,$ED502))</f>
        <v/>
      </c>
      <c r="EH502">
        <f>IF($DM502=0,"",IF($DO502&lt;&gt;"","",IFERROR(LOOKUP(2,1/(($EG$4:EG501=$EG502)*($DO$4:DO501&lt;&gt;"")),$DO$4:DO501),"")))</f>
        <v/>
      </c>
      <c r="EI502">
        <f>IF($DM502=0,"",IF($DO502&lt;&gt;"",$DO502,$EH502))</f>
        <v/>
      </c>
      <c r="EJ502">
        <f>IF($DM502=0,"",IF($EI502="",0,IF(OR(ISNUMBER($EI502),AND(AND(SUBSTITUTE(SUBSTITUTE(SUBSTITUTE(SUBSTITUTE(SUBSTITUTE(SUBSTITUTE(SUBSTITUTE(SUBSTITUTE(SUBSTITUTE(SUBSTITUTE(SUBSTITUTE(SUBSTITUTE(SUBSTITUTE(SUBSTITUTE(UPPER($EI502),"0",""),"1",""),"2",""),"3",""),"4",""),"5",""),"6",""),"7",""),"8",""),"9",""),".",""),"+",""),"-",""),"E","")="",LEN(SUBSTITUTE(SUBSTITUTE(MID(UPPER($EI502),1+OR(LEFT(UPPER($EI502),1)="+",LEFT(UPPER($EI502),1)="-"),999),"E+","E"),"E-","E"))=LEN(SUBSTITUTE(SUBSTITUTE(SUBSTITUTE(SUBSTITUTE(MID(UPPER($EI502),1+OR(LEFT(UPPER($EI502),1)="+",LEFT(UPPER($EI502),1)="-"),999),"E+","E"),"E-","E"),"+",""),"-","")),LEN(UPPER($EI502))-LEN(SUBSTITUTE(UPPER($EI502),"E",""))&lt;2,LEN(UPPER($EI502))-LEN(SUBSTITUTE(UPPER($EI502),".",""))&lt;2,IFERROR(FIND(".",UPPER($EI502)),0)&lt;IFERROR(FIND("E",UPPER($EI502)),999)),ISNUMBER(VALUE($EI502)))),1,2)))</f>
        <v/>
      </c>
      <c r="EK502">
        <f>IF($DM502=0,"",IF($EJ502=1,IF(ISNUMBER($EI502),$EI502,VALUE($EI502)),IF($EJ502=2,$DE502,0)))</f>
        <v/>
      </c>
      <c r="EL502">
        <f>IF($DM502=0,"",COUNTIF($EG$5:$EG$1003,"&lt;"&amp;$EG502)+SUMPRODUCT(($EG$5:$EG$1003=$EG502)*(($EJ$5:$EJ$1003&lt;$EJ502)+($EJ$5:$EJ$1003=$EJ502)*(($EK$5:$EK$1003&lt;$EK502)+($EK$5:$EK$1003=$EK502)*($DE$5:$DE$1003&lt;$DE502))))+1)</f>
        <v/>
      </c>
      <c r="EM502">
        <f>IF($DM502=0,"",$EL502+$EG502-1)</f>
        <v/>
      </c>
      <c r="EN502">
        <f>IF($DM502=0,0,IFERROR(MATCH(1,INDEX(--(TRIM(SUBSTITUTE(SUBSTITUTE(SUBSTITUTE(SUBSTITUTE(LINES_NAME&amp;""," "," "),CHAR(9)," "),CHAR(10)," "),CHAR(13)," "))=$DH502),0),0),0))</f>
        <v/>
      </c>
      <c r="EO502">
        <f>IF($EN502=0,0,IF(OR(UPPER(TRIM(INDEX(LINES_SCHEDULED,$EN502)&amp;""))="YES",UPPER(TRIM(INDEX(LINES_SCHEDULED,$EN502)&amp;""))="Y",UPPER(TRIM(INDEX(LINES_SCHEDULED,$EN502)&amp;""))="X"),1,0))</f>
        <v/>
      </c>
      <c r="EP502">
        <f>IF($DM502=0,"",IF(COUNTIFS($EG$5:$EG$1003,$EG502,$EB$5:$EB$1003,"Ready")&gt;0,"READY",IF(COUNTIFS($EG$5:$EG$1003,$EG502,$EB$5:$EB$1003,"PM")&gt;0,"PM",IF(COUNTIFS($EG$5:$EG$1003,$EG502,$EB$5:$EB$1003,"OT")&gt;0,"OT",""))))</f>
        <v/>
      </c>
      <c r="EQ502">
        <f>IF($EN502=0,"",UPPER(TRIM(INDEX(LINES_STATUS,$EN502)&amp;"")))</f>
        <v/>
      </c>
      <c r="ER502">
        <f>IF($DM502=0,"",IF(OR($EQ502="READY",$EQ502="PM",$EQ502="OT"),$EQ502,$EP502))</f>
        <v/>
      </c>
      <c r="ES502">
        <f>IF($DM502=0,"",IF(AND($DV502&lt;&gt;"",UPPER($DV502)&lt;&gt;"N"),"allergen",IF(ISNUMBER(SEARCH("oil",$DQ502)),"oil",IF(OR(EXACT($DS502,"A662"),EXACT($DS502,"A624")),"bulk",""))))</f>
        <v/>
      </c>
      <c r="ET502">
        <f>IF($DM502=0,"",IF(OR($EA502="",$EA502=0),"",$EA502/100))</f>
        <v/>
      </c>
      <c r="EU502">
        <f>IF(OR($ET502="",$DY502=""),"",INT($DY502*(1-$ET502)+0.5))</f>
        <v/>
      </c>
      <c r="EW502" t="n">
        <v>498</v>
      </c>
      <c r="EX502">
        <f>IFERROR(MATCH($EW502,$EM$5:$EM$1003,0),0)</f>
        <v/>
      </c>
      <c r="EY502">
        <f>IF($EW502&gt;$B$12,"",IF($EX502&gt;0,"row","spacer"))</f>
        <v/>
      </c>
      <c r="EZ502">
        <f>IF(AND($EY502="row",$EY501&lt;&gt;"row"),1,0)</f>
        <v/>
      </c>
      <c r="FA502">
        <f>IF(AND($EY502="row",$EY503&lt;&gt;"row"),1,0)</f>
        <v/>
      </c>
      <c r="FB502">
        <f>IF($EZ502=1,IFERROR(IF(ISNUMBER(INDEX(PASTE_ALL,INDEX($DF$5:$DF$1003,$EX502),$B$37)),INDEX(PASTE_ALL,INDEX($DF$5:$DF$1003,$EX502),$B$37),INDEX($DH$5:$DH$1003,$EX502)),INDEX($DH$5:$DH$1003,$EX502)),"")</f>
        <v/>
      </c>
      <c r="FC502">
        <f>IF($EY502="row",INDEX($ER$5:$ER$1003,$EX502),"")</f>
        <v/>
      </c>
      <c r="FD502">
        <f>IF($EY502="row",INDEX($DN$5:$DN$1003,$EX502),"")</f>
        <v/>
      </c>
      <c r="FE502">
        <f>IF($EY502="row",INDEX($DO$5:$DO$1003,$EX502),"")</f>
        <v/>
      </c>
      <c r="FF502">
        <f>IF($EY502="row",INDEX($DP$5:$DP$1003,$EX502),"")</f>
        <v/>
      </c>
      <c r="FG502">
        <f>IF($EY502="row",INDEX($DQ$5:$DQ$1003,$EX502),"")</f>
        <v/>
      </c>
      <c r="FH502">
        <f>IF($EY502="row",INDEX($DR$5:$DR$1003,$EX502),"")</f>
        <v/>
      </c>
      <c r="FI502">
        <f>IF($EY502="row",INDEX($DS$5:$DS$1003,$EX502),"")</f>
        <v/>
      </c>
      <c r="FJ502">
        <f>IF($EY502="row",INDEX($DT$5:$DT$1003,$EX502),"")</f>
        <v/>
      </c>
      <c r="FK502">
        <f>IF($EY502="row",INDEX($DU$5:$DU$1003,$EX502),"")</f>
        <v/>
      </c>
      <c r="FL502">
        <f>IF($EY502="row",INDEX($DV$5:$DV$1003,$EX502),"")</f>
        <v/>
      </c>
      <c r="FM502">
        <f>IF($EY502="row",INDEX($DW$5:$DW$1003,$EX502),"")</f>
        <v/>
      </c>
      <c r="FN502">
        <f>IF($EY502="row",INDEX($DY$5:$DY$1003,$EX502),"")</f>
        <v/>
      </c>
      <c r="FO502">
        <f>IF($EY502="row",INDEX($EA$5:$EA$1003,$EX502),"")</f>
        <v/>
      </c>
      <c r="FP502">
        <f>IF($EY502="row",INDEX($EC$5:$EC$1003,$EX502),"")</f>
        <v/>
      </c>
      <c r="FQ502">
        <f>IF($EY502="row",INDEX($ET$5:$ET$1003,$EX502),"")</f>
        <v/>
      </c>
      <c r="FR502">
        <f>IF($EY502="row",INDEX($EU$5:$EU$1003,$EX502),"")</f>
        <v/>
      </c>
      <c r="FS502">
        <f>IF(AND($EY502="row",$EY501="row"),IF(OR(INDEX($DT$5:$DT$1003,$EX501)="",INDEX($DT$5:$DT$1003,$EX502)=""),"",IF(NOT(EXACT(INDEX($DT$5:$DT$1003,$EX501),INDEX($DT$5:$DT$1003,$EX502))),"S4",IF(NOT(EXACT(INDEX($DS$5:$DS$1003,$EX501),INDEX($DS$5:$DS$1003,$EX502))),"S3",IF(NOT(EXACT(INDEX($DR$5:$DR$1003,$EX501),INDEX($DR$5:$DR$1003,$EX502))),"S1 Count Change","S1")))),"")</f>
        <v/>
      </c>
      <c r="FT502">
        <f>IF($EY502="row",INDEX($ES$5:$ES$1003,$EX502),"")</f>
        <v/>
      </c>
      <c r="FU502">
        <f>IF($EY502="row",INDEX($EO$5:$EO$1003,$EX502),0)</f>
        <v/>
      </c>
      <c r="FV502">
        <f>IF($FS502="S1 Count Change",1,0)</f>
        <v/>
      </c>
    </row>
    <row r="503">
      <c r="DA503" t="n">
        <v>499</v>
      </c>
      <c r="DB503">
        <f>IF($B$37=0,"",IFERROR(TRIM(SUBSTITUTE(SUBSTITUTE(SUBSTITUTE(SUBSTITUTE(INDEX(PASTE_ALL,499,$B$37)," "," "),CHAR(9)," "),CHAR(10)," "),CHAR(13)," ")),""))</f>
        <v/>
      </c>
      <c r="DC503">
        <f>IF(AND(499&gt;HEADER_ROW,UPPER(DB503)="LEGEND"),1,0)</f>
        <v/>
      </c>
      <c r="DE503" t="n">
        <v>499</v>
      </c>
      <c r="DF503">
        <f>HEADER_ROW+$DE503</f>
        <v/>
      </c>
      <c r="DG503">
        <f>IF(AND($DF503&lt;=1000,$DF503&lt;$B$8),1,0)</f>
        <v/>
      </c>
      <c r="DH503">
        <f>IF($DG503=1,IFERROR(INDEX($DB$5:$DB$1004,$DF503),""),"")</f>
        <v/>
      </c>
      <c r="DI503">
        <f>IF(AND($DG503=1,$DH503&lt;&gt;""),IFERROR(SUBSTITUTE(SUBSTITUTE(TRIM(SUBSTITUTE(SUBSTITUTE(SUBSTITUTE(SUBSTITUTE(IFERROR(INDEX(PASTE_ALL,$DF503,1)&amp;"","")&amp;"␟"&amp;IFERROR(INDEX(PASTE_ALL,$DF503,2)&amp;"","")&amp;"␟"&amp;IFERROR(INDEX(PASTE_ALL,$DF503,3)&amp;"","")&amp;"␟"&amp;IFERROR(INDEX(PASTE_ALL,$DF503,4)&amp;"","")&amp;"␟"&amp;IFERROR(INDEX(PASTE_ALL,$DF503,5)&amp;"","")&amp;"␟"&amp;IFERROR(INDEX(PASTE_ALL,$DF503,6)&amp;"","")&amp;"␟"&amp;IFERROR(INDEX(PASTE_ALL,$DF503,7)&amp;"","")&amp;"␟"&amp;IFERROR(INDEX(PASTE_ALL,$DF503,8)&amp;"","")&amp;"␟"&amp;IFERROR(INDEX(PASTE_ALL,$DF503,9)&amp;"","")&amp;"␟"&amp;IFERROR(INDEX(PASTE_ALL,$DF503,10)&amp;"","")&amp;"␟"&amp;IFERROR(INDEX(PASTE_ALL,$DF503,11)&amp;"","")&amp;"␟"&amp;IFERROR(INDEX(PASTE_ALL,$DF503,12)&amp;"","")&amp;"␟"&amp;IFERROR(INDEX(PASTE_ALL,$DF503,13)&amp;"","")&amp;"␟"&amp;IFERROR(INDEX(PASTE_ALL,$DF503,14)&amp;"","")&amp;"␟"&amp;IFERROR(INDEX(PASTE_ALL,$DF503,15)&amp;"","")&amp;"␟"&amp;IFERROR(INDEX(PASTE_ALL,$DF503,16)&amp;"","")&amp;"␟"&amp;IFERROR(INDEX(PASTE_ALL,$DF503,17)&amp;"","")&amp;"␟"&amp;IFERROR(INDEX(PASTE_ALL,$DF503,18)&amp;"","")&amp;"␟"&amp;IFERROR(INDEX(PASTE_ALL,$DF503,19)&amp;"","")&amp;"␟"&amp;IFERROR(INDEX(PASTE_ALL,$DF503,20)&amp;"","")&amp;"␟"&amp;IFERROR(INDEX(PASTE_ALL,$DF503,21)&amp;"","")&amp;"␟"&amp;IFERROR(INDEX(PASTE_ALL,$DF503,22)&amp;"","")&amp;"␟"&amp;IFERROR(INDEX(PASTE_ALL,$DF503,23)&amp;"","")&amp;"␟"&amp;IFERROR(INDEX(PASTE_ALL,$DF503,24)&amp;"","")&amp;"␟"&amp;IFERROR(INDEX(PASTE_ALL,$DF503,25)&amp;"","")&amp;"␟"&amp;IFERROR(INDEX(PASTE_ALL,$DF503,26)&amp;"","")&amp;"␟"&amp;IFERROR(INDEX(PASTE_ALL,$DF503,27)&amp;"","")&amp;"␟"&amp;IFERROR(INDEX(PASTE_ALL,$DF503,28)&amp;"","")&amp;"␟"&amp;IFERROR(INDEX(PASTE_ALL,$DF503,29)&amp;"","")&amp;"␟"&amp;IFERROR(INDEX(PASTE_ALL,$DF503,30)&amp;"","")&amp;"␟"&amp;IFERROR(INDEX(PASTE_ALL,$DF503,31)&amp;"","")&amp;"␟"&amp;IFERROR(INDEX(PASTE_ALL,$DF503,32)&amp;"","")&amp;"␟"&amp;IFERROR(INDEX(PASTE_ALL,$DF503,33)&amp;"","")&amp;"␟"&amp;IFERROR(INDEX(PASTE_ALL,$DF503,34)&amp;"","")&amp;"␟"&amp;IFERROR(INDEX(PASTE_ALL,$DF503,35)&amp;"","")&amp;"␟"&amp;IFERROR(INDEX(PASTE_ALL,$DF503,36)&amp;"","")&amp;"␟"&amp;IFERROR(INDEX(PASTE_ALL,$DF503,37)&amp;"","")&amp;"␟"&amp;IFERROR(INDEX(PASTE_ALL,$DF503,38)&amp;"","")&amp;"␟"&amp;IFERROR(INDEX(PASTE_ALL,$DF503,39)&amp;"","")&amp;"␟"&amp;IFERROR(INDEX(PASTE_ALL,$DF503,40)&amp;"","")&amp;"␟"&amp;IFERROR(INDEX(PASTE_ALL,$DF503,41)&amp;"","")&amp;"␟"&amp;IFERROR(INDEX(PASTE_ALL,$DF503,42)&amp;"","")&amp;"␟"&amp;IFERROR(INDEX(PASTE_ALL,$DF503,43)&amp;"","")&amp;"␟"&amp;IFERROR(INDEX(PASTE_ALL,$DF503,44)&amp;"","")&amp;"␟"&amp;IFERROR(INDEX(PASTE_ALL,$DF503,45)&amp;"","")&amp;"␟"&amp;IFERROR(INDEX(PASTE_ALL,$DF503,46)&amp;"","")&amp;"␟"&amp;IFERROR(INDEX(PASTE_ALL,$DF503,47)&amp;"","")&amp;"␟"&amp;IFERROR(INDEX(PASTE_ALL,$DF503,48)&amp;"","")&amp;"␟"&amp;IFERROR(INDEX(PASTE_ALL,$DF503,49)&amp;"","")&amp;"␟"&amp;IFERROR(INDEX(PASTE_ALL,$DF503,50)&amp;"","")&amp;"␟"&amp;IFERROR(INDEX(PASTE_ALL,$DF503,51)&amp;"","")&amp;"␟"&amp;IFERROR(INDEX(PASTE_ALL,$DF503,52)&amp;"","")&amp;"␟"&amp;IFERROR(INDEX(PASTE_ALL,$DF503,53)&amp;"","")&amp;"␟"&amp;IFERROR(INDEX(PASTE_ALL,$DF503,54)&amp;"","")&amp;"␟"&amp;IFERROR(INDEX(PASTE_ALL,$DF503,55)&amp;"","")&amp;"␟"&amp;IFERROR(INDEX(PASTE_ALL,$DF503,56)&amp;"","")&amp;"␟"&amp;IFERROR(INDEX(PASTE_ALL,$DF503,57)&amp;"","")&amp;"␟"&amp;IFERROR(INDEX(PASTE_ALL,$DF503,58)&amp;"","")&amp;"␟"&amp;IFERROR(INDEX(PASTE_ALL,$DF503,59)&amp;"","")&amp;"␟"&amp;IFERROR(INDEX(PASTE_ALL,$DF503,60)&amp;"","")," "," "),CHAR(9)," "),CHAR(10)," "),CHAR(13)," "))," ␟","␟"),"␟ ","␟"),"#"&amp;$DE503),"")</f>
        <v/>
      </c>
      <c r="DJ503">
        <f>IF($DI503="",0,IF(SUMPRODUCT(--EXACT($DI$4:DI502,$DI503))&gt;0,1,0))</f>
        <v/>
      </c>
      <c r="DK503">
        <f>IF(AND($DI503&lt;&gt;"",$DJ503=0),1,0)</f>
        <v/>
      </c>
      <c r="DL503">
        <f>DL502+$DK503</f>
        <v/>
      </c>
      <c r="DM503">
        <f>IF(AND($DK503=1,$DL503&lt;=600),1,0)</f>
        <v/>
      </c>
      <c r="DN503">
        <f>IF($DM503=0,"",IF($L$6=0,"",IFERROR(IF(ISNUMBER(INDEX(PASTE_ALL,$DF503,$L$6)),INDEX(PASTE_ALL,$DF503,$L$6),TRIM(SUBSTITUTE(SUBSTITUTE(SUBSTITUTE(SUBSTITUTE(INDEX(PASTE_ALL,$DF503,$L$6)," "," "),CHAR(9)," "),CHAR(10)," "),CHAR(13)," "))),"")))</f>
        <v/>
      </c>
      <c r="DO503">
        <f>IF($DM503=0,"",IF($L$7=0,"",IFERROR(IF(ISNUMBER(INDEX(PASTE_ALL,$DF503,$L$7)),INDEX(PASTE_ALL,$DF503,$L$7),TRIM(SUBSTITUTE(SUBSTITUTE(SUBSTITUTE(SUBSTITUTE(INDEX(PASTE_ALL,$DF503,$L$7)," "," "),CHAR(9)," "),CHAR(10)," "),CHAR(13)," "))),"")))</f>
        <v/>
      </c>
      <c r="DP503">
        <f>IF($DM503=0,"",IF($L$8=0,"",IFERROR(IF(ISNUMBER(INDEX(PASTE_ALL,$DF503,$L$8)),INDEX(PASTE_ALL,$DF503,$L$8),TRIM(SUBSTITUTE(SUBSTITUTE(SUBSTITUTE(SUBSTITUTE(INDEX(PASTE_ALL,$DF503,$L$8)," "," "),CHAR(9)," "),CHAR(10)," "),CHAR(13)," "))),"")))</f>
        <v/>
      </c>
      <c r="DQ503">
        <f>IF($DM503=0,"",IF($L$9=0,"",IFERROR(IF(ISNUMBER(INDEX(PASTE_ALL,$DF503,$L$9)),INDEX(PASTE_ALL,$DF503,$L$9),TRIM(SUBSTITUTE(SUBSTITUTE(SUBSTITUTE(SUBSTITUTE(INDEX(PASTE_ALL,$DF503,$L$9)," "," "),CHAR(9)," "),CHAR(10)," "),CHAR(13)," "))),"")))</f>
        <v/>
      </c>
      <c r="DR503">
        <f>IF($DM503=0,"",IF($L$10=0,"",IFERROR(IF(ISNUMBER(INDEX(PASTE_ALL,$DF503,$L$10)),INDEX(PASTE_ALL,$DF503,$L$10),TRIM(SUBSTITUTE(SUBSTITUTE(SUBSTITUTE(SUBSTITUTE(INDEX(PASTE_ALL,$DF503,$L$10)," "," "),CHAR(9)," "),CHAR(10)," "),CHAR(13)," "))),"")))</f>
        <v/>
      </c>
      <c r="DS503">
        <f>IF($DM503=0,"",IF($L$11=0,"",IFERROR(IF(ISNUMBER(INDEX(PASTE_ALL,$DF503,$L$11)),INDEX(PASTE_ALL,$DF503,$L$11),TRIM(SUBSTITUTE(SUBSTITUTE(SUBSTITUTE(SUBSTITUTE(INDEX(PASTE_ALL,$DF503,$L$11)," "," "),CHAR(9)," "),CHAR(10)," "),CHAR(13)," "))),"")))</f>
        <v/>
      </c>
      <c r="DT503">
        <f>IF($DM503=0,"",IF($L$12=0,"",IFERROR(IF(ISNUMBER(INDEX(PASTE_ALL,$DF503,$L$12)),INDEX(PASTE_ALL,$DF503,$L$12),TRIM(SUBSTITUTE(SUBSTITUTE(SUBSTITUTE(SUBSTITUTE(INDEX(PASTE_ALL,$DF503,$L$12)," "," "),CHAR(9)," "),CHAR(10)," "),CHAR(13)," "))),"")))</f>
        <v/>
      </c>
      <c r="DU503">
        <f>IF($DM503=0,"",IF($L$13=0,"",IFERROR(IF(ISNUMBER(INDEX(PASTE_ALL,$DF503,$L$13)),INDEX(PASTE_ALL,$DF503,$L$13),TRIM(SUBSTITUTE(SUBSTITUTE(SUBSTITUTE(SUBSTITUTE(INDEX(PASTE_ALL,$DF503,$L$13)," "," "),CHAR(9)," "),CHAR(10)," "),CHAR(13)," "))),"")))</f>
        <v/>
      </c>
      <c r="DV503">
        <f>IF($DM503=0,"",IF($L$14=0,"",IFERROR(IF(ISNUMBER(INDEX(PASTE_ALL,$DF503,$L$14)),INDEX(PASTE_ALL,$DF503,$L$14),TRIM(SUBSTITUTE(SUBSTITUTE(SUBSTITUTE(SUBSTITUTE(INDEX(PASTE_ALL,$DF503,$L$14)," "," "),CHAR(9)," "),CHAR(10)," "),CHAR(13)," "))),"")))</f>
        <v/>
      </c>
      <c r="DW503">
        <f>IF($DM503=0,"",IF($L$15=0,"",IFERROR(IF(ISNUMBER(INDEX(PASTE_ALL,$DF503,$L$15)),INDEX(PASTE_ALL,$DF503,$L$15),IF(SUMPRODUCT(--ISNUMBER(FIND({"A","B","C","D","E","F","G","H","I","J","K","L","M","N","O","P","Q","R","S","T","U","V","W","X","Y","Z","0","1","2","3","4","5","6","7","8","9"},UPPER(TRIM(SUBSTITUTE(SUBSTITUTE(SUBSTITUTE(SUBSTITUTE(INDEX(PASTE_ALL,$DF503,$L$15)," "," "),CHAR(9)," "),CHAR(10)," "),CHAR(13)," "))))))&gt;0,TRIM(SUBSTITUTE(SUBSTITUTE(SUBSTITUTE(SUBSTITUTE(INDEX(PASTE_ALL,$DF503,$L$15)," "," "),CHAR(9)," "),CHAR(10)," "),CHAR(13)," ")),"")),"")))</f>
        <v/>
      </c>
      <c r="DX503">
        <f>IF($DM503=0,"",IF($L$16=0,"",IFERROR(IF(ISNUMBER(INDEX(PASTE_ALL,$DF503,$L$16)),INDEX(PASTE_ALL,$DF503,$L$16),SUBSTITUTE(SUBSTITUTE(TRIM(SUBSTITUTE(SUBSTITUTE(SUBSTITUTE(SUBSTITUTE(INDEX(PASTE_ALL,$DF503,$L$16)," "," "),CHAR(9)," "),CHAR(10)," "),CHAR(13)," ")),",",""),"%","")),"")))</f>
        <v/>
      </c>
      <c r="DY503">
        <f>IF($DM503=0,"",IFERROR(IF(ISNUMBER($DX503),$DX503,IF($DX503="","",IF(TRIM($DX503)="",0,IF(AND(AND(SUBSTITUTE(SUBSTITUTE(SUBSTITUTE(SUBSTITUTE(SUBSTITUTE(SUBSTITUTE(SUBSTITUTE(SUBSTITUTE(SUBSTITUTE(SUBSTITUTE(SUBSTITUTE(SUBSTITUTE(SUBSTITUTE(SUBSTITUTE(UPPER(TRIM($DX503)),"0",""),"1",""),"2",""),"3",""),"4",""),"5",""),"6",""),"7",""),"8",""),"9",""),".",""),"+",""),"-",""),"E","")="",LEN(SUBSTITUTE(SUBSTITUTE(MID(UPPER(TRIM($DX503)),1+OR(LEFT(UPPER(TRIM($DX503)),1)="+",LEFT(UPPER(TRIM($DX503)),1)="-"),999),"E+","E"),"E-","E"))=LEN(SUBSTITUTE(SUBSTITUTE(SUBSTITUTE(SUBSTITUTE(MID(UPPER(TRIM($DX503)),1+OR(LEFT(UPPER(TRIM($DX503)),1)="+",LEFT(UPPER(TRIM($DX503)),1)="-"),999),"E+","E"),"E-","E"),"+",""),"-","")),LEN(UPPER(TRIM($DX503)))-LEN(SUBSTITUTE(UPPER(TRIM($DX503)),"E",""))&lt;2,LEN(UPPER(TRIM($DX503)))-LEN(SUBSTITUTE(UPPER(TRIM($DX503)),".",""))&lt;2,IFERROR(FIND(".",UPPER(TRIM($DX503))),0)&lt;IFERROR(FIND("E",UPPER(TRIM($DX503))),999)),ISNUMBER(VALUE(TRIM($DX503)))),VALUE(TRIM($DX503)),"")))),""))</f>
        <v/>
      </c>
      <c r="DZ503">
        <f>IF($DM503=0,"",IF($L$17=0,"",IFERROR(IF(ISNUMBER(INDEX(PASTE_ALL,$DF503,$L$17)),INDEX(PASTE_ALL,$DF503,$L$17),SUBSTITUTE(SUBSTITUTE(TRIM(SUBSTITUTE(SUBSTITUTE(SUBSTITUTE(SUBSTITUTE(INDEX(PASTE_ALL,$DF503,$L$17)," "," "),CHAR(9)," "),CHAR(10)," "),CHAR(13)," ")),",",""),"%","")),"")))</f>
        <v/>
      </c>
      <c r="EA503">
        <f>IF($DM503=0,"",IFERROR(IF(ISNUMBER($DZ503),$DZ503,IF($DZ503="","",IF(TRIM($DZ503)="",0,IF(AND(AND(SUBSTITUTE(SUBSTITUTE(SUBSTITUTE(SUBSTITUTE(SUBSTITUTE(SUBSTITUTE(SUBSTITUTE(SUBSTITUTE(SUBSTITUTE(SUBSTITUTE(SUBSTITUTE(SUBSTITUTE(SUBSTITUTE(SUBSTITUTE(UPPER(TRIM($DZ503)),"0",""),"1",""),"2",""),"3",""),"4",""),"5",""),"6",""),"7",""),"8",""),"9",""),".",""),"+",""),"-",""),"E","")="",LEN(SUBSTITUTE(SUBSTITUTE(MID(UPPER(TRIM($DZ503)),1+OR(LEFT(UPPER(TRIM($DZ503)),1)="+",LEFT(UPPER(TRIM($DZ503)),1)="-"),999),"E+","E"),"E-","E"))=LEN(SUBSTITUTE(SUBSTITUTE(SUBSTITUTE(SUBSTITUTE(MID(UPPER(TRIM($DZ503)),1+OR(LEFT(UPPER(TRIM($DZ503)),1)="+",LEFT(UPPER(TRIM($DZ503)),1)="-"),999),"E+","E"),"E-","E"),"+",""),"-","")),LEN(UPPER(TRIM($DZ503)))-LEN(SUBSTITUTE(UPPER(TRIM($DZ503)),"E",""))&lt;2,LEN(UPPER(TRIM($DZ503)))-LEN(SUBSTITUTE(UPPER(TRIM($DZ503)),".",""))&lt;2,IFERROR(FIND(".",UPPER(TRIM($DZ503))),0)&lt;IFERROR(FIND("E",UPPER(TRIM($DZ503))),999)),ISNUMBER(VALUE(TRIM($DZ503)))),VALUE(TRIM($DZ503)),"")))),""))</f>
        <v/>
      </c>
      <c r="EB503">
        <f>IF($DM503=0,"",IF($L$18=0,"",IFERROR(IF(UPPER(TRIM(SUBSTITUTE(SUBSTITUTE(SUBSTITUTE(SUBSTITUTE(INDEX(PASTE_ALL,$DF503,$L$18)," "," "),CHAR(9)," "),CHAR(10)," "),CHAR(13)," ")))="READY","Ready",IF(UPPER(TRIM(SUBSTITUTE(SUBSTITUTE(SUBSTITUTE(SUBSTITUTE(INDEX(PASTE_ALL,$DF503,$L$18)," "," "),CHAR(9)," "),CHAR(10)," "),CHAR(13)," ")))="PM","PM",IF(OR(UPPER(TRIM(SUBSTITUTE(SUBSTITUTE(SUBSTITUTE(SUBSTITUTE(INDEX(PASTE_ALL,$DF503,$L$18)," "," "),CHAR(9)," "),CHAR(10)," "),CHAR(13)," ")))="OT",UPPER(TRIM(SUBSTITUTE(SUBSTITUTE(SUBSTITUTE(SUBSTITUTE(INDEX(PASTE_ALL,$DF503,$L$18)," "," "),CHAR(9)," "),CHAR(10)," "),CHAR(13)," ")))="OVERTIME",UPPER(TRIM(SUBSTITUTE(SUBSTITUTE(SUBSTITUTE(SUBSTITUTE(INDEX(PASTE_ALL,$DF503,$L$18)," "," "),CHAR(9)," "),CHAR(10)," "),CHAR(13)," ")))="TRIAL"),"OT",TRIM(SUBSTITUTE(SUBSTITUTE(SUBSTITUTE(SUBSTITUTE(INDEX(PASTE_ALL,$DF503,$L$18)," "," "),CHAR(9)," "),CHAR(10)," "),CHAR(13)," "))))),"")))</f>
        <v/>
      </c>
      <c r="EC503">
        <f>IF($DM503=0,"",IF($L$19=0,"",IFERROR(IF(ISNUMBER(INDEX(PASTE_ALL,$DF503,$L$19)),INDEX(PASTE_ALL,$DF503,$L$19),TRIM(SUBSTITUTE(SUBSTITUTE(SUBSTITUTE(SUBSTITUTE(INDEX(PASTE_ALL,$DF503,$L$19)," "," "),CHAR(9)," "),CHAR(10)," "),CHAR(13)," "))),"")))</f>
        <v/>
      </c>
      <c r="ED503">
        <f>IF($DM503=0,"",MATCH(1,INDEX(EXACT($DH$5:DH503,$DH503)*$DM$5:DM503,0),0))</f>
        <v/>
      </c>
      <c r="EE503">
        <f>IF($DM503=0,0,IF($ED503=$DE503,1,0))</f>
        <v/>
      </c>
      <c r="EF503">
        <f>EF502+$EE503</f>
        <v/>
      </c>
      <c r="EG503">
        <f>IF($DM503=0,"",INDEX($EF$5:$EF$1003,$ED503))</f>
        <v/>
      </c>
      <c r="EH503">
        <f>IF($DM503=0,"",IF($DO503&lt;&gt;"","",IFERROR(LOOKUP(2,1/(($EG$4:EG502=$EG503)*($DO$4:DO502&lt;&gt;"")),$DO$4:DO502),"")))</f>
        <v/>
      </c>
      <c r="EI503">
        <f>IF($DM503=0,"",IF($DO503&lt;&gt;"",$DO503,$EH503))</f>
        <v/>
      </c>
      <c r="EJ503">
        <f>IF($DM503=0,"",IF($EI503="",0,IF(OR(ISNUMBER($EI503),AND(AND(SUBSTITUTE(SUBSTITUTE(SUBSTITUTE(SUBSTITUTE(SUBSTITUTE(SUBSTITUTE(SUBSTITUTE(SUBSTITUTE(SUBSTITUTE(SUBSTITUTE(SUBSTITUTE(SUBSTITUTE(SUBSTITUTE(SUBSTITUTE(UPPER($EI503),"0",""),"1",""),"2",""),"3",""),"4",""),"5",""),"6",""),"7",""),"8",""),"9",""),".",""),"+",""),"-",""),"E","")="",LEN(SUBSTITUTE(SUBSTITUTE(MID(UPPER($EI503),1+OR(LEFT(UPPER($EI503),1)="+",LEFT(UPPER($EI503),1)="-"),999),"E+","E"),"E-","E"))=LEN(SUBSTITUTE(SUBSTITUTE(SUBSTITUTE(SUBSTITUTE(MID(UPPER($EI503),1+OR(LEFT(UPPER($EI503),1)="+",LEFT(UPPER($EI503),1)="-"),999),"E+","E"),"E-","E"),"+",""),"-","")),LEN(UPPER($EI503))-LEN(SUBSTITUTE(UPPER($EI503),"E",""))&lt;2,LEN(UPPER($EI503))-LEN(SUBSTITUTE(UPPER($EI503),".",""))&lt;2,IFERROR(FIND(".",UPPER($EI503)),0)&lt;IFERROR(FIND("E",UPPER($EI503)),999)),ISNUMBER(VALUE($EI503)))),1,2)))</f>
        <v/>
      </c>
      <c r="EK503">
        <f>IF($DM503=0,"",IF($EJ503=1,IF(ISNUMBER($EI503),$EI503,VALUE($EI503)),IF($EJ503=2,$DE503,0)))</f>
        <v/>
      </c>
      <c r="EL503">
        <f>IF($DM503=0,"",COUNTIF($EG$5:$EG$1003,"&lt;"&amp;$EG503)+SUMPRODUCT(($EG$5:$EG$1003=$EG503)*(($EJ$5:$EJ$1003&lt;$EJ503)+($EJ$5:$EJ$1003=$EJ503)*(($EK$5:$EK$1003&lt;$EK503)+($EK$5:$EK$1003=$EK503)*($DE$5:$DE$1003&lt;$DE503))))+1)</f>
        <v/>
      </c>
      <c r="EM503">
        <f>IF($DM503=0,"",$EL503+$EG503-1)</f>
        <v/>
      </c>
      <c r="EN503">
        <f>IF($DM503=0,0,IFERROR(MATCH(1,INDEX(--(TRIM(SUBSTITUTE(SUBSTITUTE(SUBSTITUTE(SUBSTITUTE(LINES_NAME&amp;""," "," "),CHAR(9)," "),CHAR(10)," "),CHAR(13)," "))=$DH503),0),0),0))</f>
        <v/>
      </c>
      <c r="EO503">
        <f>IF($EN503=0,0,IF(OR(UPPER(TRIM(INDEX(LINES_SCHEDULED,$EN503)&amp;""))="YES",UPPER(TRIM(INDEX(LINES_SCHEDULED,$EN503)&amp;""))="Y",UPPER(TRIM(INDEX(LINES_SCHEDULED,$EN503)&amp;""))="X"),1,0))</f>
        <v/>
      </c>
      <c r="EP503">
        <f>IF($DM503=0,"",IF(COUNTIFS($EG$5:$EG$1003,$EG503,$EB$5:$EB$1003,"Ready")&gt;0,"READY",IF(COUNTIFS($EG$5:$EG$1003,$EG503,$EB$5:$EB$1003,"PM")&gt;0,"PM",IF(COUNTIFS($EG$5:$EG$1003,$EG503,$EB$5:$EB$1003,"OT")&gt;0,"OT",""))))</f>
        <v/>
      </c>
      <c r="EQ503">
        <f>IF($EN503=0,"",UPPER(TRIM(INDEX(LINES_STATUS,$EN503)&amp;"")))</f>
        <v/>
      </c>
      <c r="ER503">
        <f>IF($DM503=0,"",IF(OR($EQ503="READY",$EQ503="PM",$EQ503="OT"),$EQ503,$EP503))</f>
        <v/>
      </c>
      <c r="ES503">
        <f>IF($DM503=0,"",IF(AND($DV503&lt;&gt;"",UPPER($DV503)&lt;&gt;"N"),"allergen",IF(ISNUMBER(SEARCH("oil",$DQ503)),"oil",IF(OR(EXACT($DS503,"A662"),EXACT($DS503,"A624")),"bulk",""))))</f>
        <v/>
      </c>
      <c r="ET503">
        <f>IF($DM503=0,"",IF(OR($EA503="",$EA503=0),"",$EA503/100))</f>
        <v/>
      </c>
      <c r="EU503">
        <f>IF(OR($ET503="",$DY503=""),"",INT($DY503*(1-$ET503)+0.5))</f>
        <v/>
      </c>
      <c r="EW503" t="n">
        <v>499</v>
      </c>
      <c r="EX503">
        <f>IFERROR(MATCH($EW503,$EM$5:$EM$1003,0),0)</f>
        <v/>
      </c>
      <c r="EY503">
        <f>IF($EW503&gt;$B$12,"",IF($EX503&gt;0,"row","spacer"))</f>
        <v/>
      </c>
      <c r="EZ503">
        <f>IF(AND($EY503="row",$EY502&lt;&gt;"row"),1,0)</f>
        <v/>
      </c>
      <c r="FA503">
        <f>IF(AND($EY503="row",$EY504&lt;&gt;"row"),1,0)</f>
        <v/>
      </c>
      <c r="FB503">
        <f>IF($EZ503=1,IFERROR(IF(ISNUMBER(INDEX(PASTE_ALL,INDEX($DF$5:$DF$1003,$EX503),$B$37)),INDEX(PASTE_ALL,INDEX($DF$5:$DF$1003,$EX503),$B$37),INDEX($DH$5:$DH$1003,$EX503)),INDEX($DH$5:$DH$1003,$EX503)),"")</f>
        <v/>
      </c>
      <c r="FC503">
        <f>IF($EY503="row",INDEX($ER$5:$ER$1003,$EX503),"")</f>
        <v/>
      </c>
      <c r="FD503">
        <f>IF($EY503="row",INDEX($DN$5:$DN$1003,$EX503),"")</f>
        <v/>
      </c>
      <c r="FE503">
        <f>IF($EY503="row",INDEX($DO$5:$DO$1003,$EX503),"")</f>
        <v/>
      </c>
      <c r="FF503">
        <f>IF($EY503="row",INDEX($DP$5:$DP$1003,$EX503),"")</f>
        <v/>
      </c>
      <c r="FG503">
        <f>IF($EY503="row",INDEX($DQ$5:$DQ$1003,$EX503),"")</f>
        <v/>
      </c>
      <c r="FH503">
        <f>IF($EY503="row",INDEX($DR$5:$DR$1003,$EX503),"")</f>
        <v/>
      </c>
      <c r="FI503">
        <f>IF($EY503="row",INDEX($DS$5:$DS$1003,$EX503),"")</f>
        <v/>
      </c>
      <c r="FJ503">
        <f>IF($EY503="row",INDEX($DT$5:$DT$1003,$EX503),"")</f>
        <v/>
      </c>
      <c r="FK503">
        <f>IF($EY503="row",INDEX($DU$5:$DU$1003,$EX503),"")</f>
        <v/>
      </c>
      <c r="FL503">
        <f>IF($EY503="row",INDEX($DV$5:$DV$1003,$EX503),"")</f>
        <v/>
      </c>
      <c r="FM503">
        <f>IF($EY503="row",INDEX($DW$5:$DW$1003,$EX503),"")</f>
        <v/>
      </c>
      <c r="FN503">
        <f>IF($EY503="row",INDEX($DY$5:$DY$1003,$EX503),"")</f>
        <v/>
      </c>
      <c r="FO503">
        <f>IF($EY503="row",INDEX($EA$5:$EA$1003,$EX503),"")</f>
        <v/>
      </c>
      <c r="FP503">
        <f>IF($EY503="row",INDEX($EC$5:$EC$1003,$EX503),"")</f>
        <v/>
      </c>
      <c r="FQ503">
        <f>IF($EY503="row",INDEX($ET$5:$ET$1003,$EX503),"")</f>
        <v/>
      </c>
      <c r="FR503">
        <f>IF($EY503="row",INDEX($EU$5:$EU$1003,$EX503),"")</f>
        <v/>
      </c>
      <c r="FS503">
        <f>IF(AND($EY503="row",$EY502="row"),IF(OR(INDEX($DT$5:$DT$1003,$EX502)="",INDEX($DT$5:$DT$1003,$EX503)=""),"",IF(NOT(EXACT(INDEX($DT$5:$DT$1003,$EX502),INDEX($DT$5:$DT$1003,$EX503))),"S4",IF(NOT(EXACT(INDEX($DS$5:$DS$1003,$EX502),INDEX($DS$5:$DS$1003,$EX503))),"S3",IF(NOT(EXACT(INDEX($DR$5:$DR$1003,$EX502),INDEX($DR$5:$DR$1003,$EX503))),"S1 Count Change","S1")))),"")</f>
        <v/>
      </c>
      <c r="FT503">
        <f>IF($EY503="row",INDEX($ES$5:$ES$1003,$EX503),"")</f>
        <v/>
      </c>
      <c r="FU503">
        <f>IF($EY503="row",INDEX($EO$5:$EO$1003,$EX503),0)</f>
        <v/>
      </c>
      <c r="FV503">
        <f>IF($FS503="S1 Count Change",1,0)</f>
        <v/>
      </c>
    </row>
    <row r="504">
      <c r="DA504" t="n">
        <v>500</v>
      </c>
      <c r="DB504">
        <f>IF($B$37=0,"",IFERROR(TRIM(SUBSTITUTE(SUBSTITUTE(SUBSTITUTE(SUBSTITUTE(INDEX(PASTE_ALL,500,$B$37)," "," "),CHAR(9)," "),CHAR(10)," "),CHAR(13)," ")),""))</f>
        <v/>
      </c>
      <c r="DC504">
        <f>IF(AND(500&gt;HEADER_ROW,UPPER(DB504)="LEGEND"),1,0)</f>
        <v/>
      </c>
      <c r="DE504" t="n">
        <v>500</v>
      </c>
      <c r="DF504">
        <f>HEADER_ROW+$DE504</f>
        <v/>
      </c>
      <c r="DG504">
        <f>IF(AND($DF504&lt;=1000,$DF504&lt;$B$8),1,0)</f>
        <v/>
      </c>
      <c r="DH504">
        <f>IF($DG504=1,IFERROR(INDEX($DB$5:$DB$1004,$DF504),""),"")</f>
        <v/>
      </c>
      <c r="DI504">
        <f>IF(AND($DG504=1,$DH504&lt;&gt;""),IFERROR(SUBSTITUTE(SUBSTITUTE(TRIM(SUBSTITUTE(SUBSTITUTE(SUBSTITUTE(SUBSTITUTE(IFERROR(INDEX(PASTE_ALL,$DF504,1)&amp;"","")&amp;"␟"&amp;IFERROR(INDEX(PASTE_ALL,$DF504,2)&amp;"","")&amp;"␟"&amp;IFERROR(INDEX(PASTE_ALL,$DF504,3)&amp;"","")&amp;"␟"&amp;IFERROR(INDEX(PASTE_ALL,$DF504,4)&amp;"","")&amp;"␟"&amp;IFERROR(INDEX(PASTE_ALL,$DF504,5)&amp;"","")&amp;"␟"&amp;IFERROR(INDEX(PASTE_ALL,$DF504,6)&amp;"","")&amp;"␟"&amp;IFERROR(INDEX(PASTE_ALL,$DF504,7)&amp;"","")&amp;"␟"&amp;IFERROR(INDEX(PASTE_ALL,$DF504,8)&amp;"","")&amp;"␟"&amp;IFERROR(INDEX(PASTE_ALL,$DF504,9)&amp;"","")&amp;"␟"&amp;IFERROR(INDEX(PASTE_ALL,$DF504,10)&amp;"","")&amp;"␟"&amp;IFERROR(INDEX(PASTE_ALL,$DF504,11)&amp;"","")&amp;"␟"&amp;IFERROR(INDEX(PASTE_ALL,$DF504,12)&amp;"","")&amp;"␟"&amp;IFERROR(INDEX(PASTE_ALL,$DF504,13)&amp;"","")&amp;"␟"&amp;IFERROR(INDEX(PASTE_ALL,$DF504,14)&amp;"","")&amp;"␟"&amp;IFERROR(INDEX(PASTE_ALL,$DF504,15)&amp;"","")&amp;"␟"&amp;IFERROR(INDEX(PASTE_ALL,$DF504,16)&amp;"","")&amp;"␟"&amp;IFERROR(INDEX(PASTE_ALL,$DF504,17)&amp;"","")&amp;"␟"&amp;IFERROR(INDEX(PASTE_ALL,$DF504,18)&amp;"","")&amp;"␟"&amp;IFERROR(INDEX(PASTE_ALL,$DF504,19)&amp;"","")&amp;"␟"&amp;IFERROR(INDEX(PASTE_ALL,$DF504,20)&amp;"","")&amp;"␟"&amp;IFERROR(INDEX(PASTE_ALL,$DF504,21)&amp;"","")&amp;"␟"&amp;IFERROR(INDEX(PASTE_ALL,$DF504,22)&amp;"","")&amp;"␟"&amp;IFERROR(INDEX(PASTE_ALL,$DF504,23)&amp;"","")&amp;"␟"&amp;IFERROR(INDEX(PASTE_ALL,$DF504,24)&amp;"","")&amp;"␟"&amp;IFERROR(INDEX(PASTE_ALL,$DF504,25)&amp;"","")&amp;"␟"&amp;IFERROR(INDEX(PASTE_ALL,$DF504,26)&amp;"","")&amp;"␟"&amp;IFERROR(INDEX(PASTE_ALL,$DF504,27)&amp;"","")&amp;"␟"&amp;IFERROR(INDEX(PASTE_ALL,$DF504,28)&amp;"","")&amp;"␟"&amp;IFERROR(INDEX(PASTE_ALL,$DF504,29)&amp;"","")&amp;"␟"&amp;IFERROR(INDEX(PASTE_ALL,$DF504,30)&amp;"","")&amp;"␟"&amp;IFERROR(INDEX(PASTE_ALL,$DF504,31)&amp;"","")&amp;"␟"&amp;IFERROR(INDEX(PASTE_ALL,$DF504,32)&amp;"","")&amp;"␟"&amp;IFERROR(INDEX(PASTE_ALL,$DF504,33)&amp;"","")&amp;"␟"&amp;IFERROR(INDEX(PASTE_ALL,$DF504,34)&amp;"","")&amp;"␟"&amp;IFERROR(INDEX(PASTE_ALL,$DF504,35)&amp;"","")&amp;"␟"&amp;IFERROR(INDEX(PASTE_ALL,$DF504,36)&amp;"","")&amp;"␟"&amp;IFERROR(INDEX(PASTE_ALL,$DF504,37)&amp;"","")&amp;"␟"&amp;IFERROR(INDEX(PASTE_ALL,$DF504,38)&amp;"","")&amp;"␟"&amp;IFERROR(INDEX(PASTE_ALL,$DF504,39)&amp;"","")&amp;"␟"&amp;IFERROR(INDEX(PASTE_ALL,$DF504,40)&amp;"","")&amp;"␟"&amp;IFERROR(INDEX(PASTE_ALL,$DF504,41)&amp;"","")&amp;"␟"&amp;IFERROR(INDEX(PASTE_ALL,$DF504,42)&amp;"","")&amp;"␟"&amp;IFERROR(INDEX(PASTE_ALL,$DF504,43)&amp;"","")&amp;"␟"&amp;IFERROR(INDEX(PASTE_ALL,$DF504,44)&amp;"","")&amp;"␟"&amp;IFERROR(INDEX(PASTE_ALL,$DF504,45)&amp;"","")&amp;"␟"&amp;IFERROR(INDEX(PASTE_ALL,$DF504,46)&amp;"","")&amp;"␟"&amp;IFERROR(INDEX(PASTE_ALL,$DF504,47)&amp;"","")&amp;"␟"&amp;IFERROR(INDEX(PASTE_ALL,$DF504,48)&amp;"","")&amp;"␟"&amp;IFERROR(INDEX(PASTE_ALL,$DF504,49)&amp;"","")&amp;"␟"&amp;IFERROR(INDEX(PASTE_ALL,$DF504,50)&amp;"","")&amp;"␟"&amp;IFERROR(INDEX(PASTE_ALL,$DF504,51)&amp;"","")&amp;"␟"&amp;IFERROR(INDEX(PASTE_ALL,$DF504,52)&amp;"","")&amp;"␟"&amp;IFERROR(INDEX(PASTE_ALL,$DF504,53)&amp;"","")&amp;"␟"&amp;IFERROR(INDEX(PASTE_ALL,$DF504,54)&amp;"","")&amp;"␟"&amp;IFERROR(INDEX(PASTE_ALL,$DF504,55)&amp;"","")&amp;"␟"&amp;IFERROR(INDEX(PASTE_ALL,$DF504,56)&amp;"","")&amp;"␟"&amp;IFERROR(INDEX(PASTE_ALL,$DF504,57)&amp;"","")&amp;"␟"&amp;IFERROR(INDEX(PASTE_ALL,$DF504,58)&amp;"","")&amp;"␟"&amp;IFERROR(INDEX(PASTE_ALL,$DF504,59)&amp;"","")&amp;"␟"&amp;IFERROR(INDEX(PASTE_ALL,$DF504,60)&amp;"","")," "," "),CHAR(9)," "),CHAR(10)," "),CHAR(13)," "))," ␟","␟"),"␟ ","␟"),"#"&amp;$DE504),"")</f>
        <v/>
      </c>
      <c r="DJ504">
        <f>IF($DI504="",0,IF(SUMPRODUCT(--EXACT($DI$4:DI503,$DI504))&gt;0,1,0))</f>
        <v/>
      </c>
      <c r="DK504">
        <f>IF(AND($DI504&lt;&gt;"",$DJ504=0),1,0)</f>
        <v/>
      </c>
      <c r="DL504">
        <f>DL503+$DK504</f>
        <v/>
      </c>
      <c r="DM504">
        <f>IF(AND($DK504=1,$DL504&lt;=600),1,0)</f>
        <v/>
      </c>
      <c r="DN504">
        <f>IF($DM504=0,"",IF($L$6=0,"",IFERROR(IF(ISNUMBER(INDEX(PASTE_ALL,$DF504,$L$6)),INDEX(PASTE_ALL,$DF504,$L$6),TRIM(SUBSTITUTE(SUBSTITUTE(SUBSTITUTE(SUBSTITUTE(INDEX(PASTE_ALL,$DF504,$L$6)," "," "),CHAR(9)," "),CHAR(10)," "),CHAR(13)," "))),"")))</f>
        <v/>
      </c>
      <c r="DO504">
        <f>IF($DM504=0,"",IF($L$7=0,"",IFERROR(IF(ISNUMBER(INDEX(PASTE_ALL,$DF504,$L$7)),INDEX(PASTE_ALL,$DF504,$L$7),TRIM(SUBSTITUTE(SUBSTITUTE(SUBSTITUTE(SUBSTITUTE(INDEX(PASTE_ALL,$DF504,$L$7)," "," "),CHAR(9)," "),CHAR(10)," "),CHAR(13)," "))),"")))</f>
        <v/>
      </c>
      <c r="DP504">
        <f>IF($DM504=0,"",IF($L$8=0,"",IFERROR(IF(ISNUMBER(INDEX(PASTE_ALL,$DF504,$L$8)),INDEX(PASTE_ALL,$DF504,$L$8),TRIM(SUBSTITUTE(SUBSTITUTE(SUBSTITUTE(SUBSTITUTE(INDEX(PASTE_ALL,$DF504,$L$8)," "," "),CHAR(9)," "),CHAR(10)," "),CHAR(13)," "))),"")))</f>
        <v/>
      </c>
      <c r="DQ504">
        <f>IF($DM504=0,"",IF($L$9=0,"",IFERROR(IF(ISNUMBER(INDEX(PASTE_ALL,$DF504,$L$9)),INDEX(PASTE_ALL,$DF504,$L$9),TRIM(SUBSTITUTE(SUBSTITUTE(SUBSTITUTE(SUBSTITUTE(INDEX(PASTE_ALL,$DF504,$L$9)," "," "),CHAR(9)," "),CHAR(10)," "),CHAR(13)," "))),"")))</f>
        <v/>
      </c>
      <c r="DR504">
        <f>IF($DM504=0,"",IF($L$10=0,"",IFERROR(IF(ISNUMBER(INDEX(PASTE_ALL,$DF504,$L$10)),INDEX(PASTE_ALL,$DF504,$L$10),TRIM(SUBSTITUTE(SUBSTITUTE(SUBSTITUTE(SUBSTITUTE(INDEX(PASTE_ALL,$DF504,$L$10)," "," "),CHAR(9)," "),CHAR(10)," "),CHAR(13)," "))),"")))</f>
        <v/>
      </c>
      <c r="DS504">
        <f>IF($DM504=0,"",IF($L$11=0,"",IFERROR(IF(ISNUMBER(INDEX(PASTE_ALL,$DF504,$L$11)),INDEX(PASTE_ALL,$DF504,$L$11),TRIM(SUBSTITUTE(SUBSTITUTE(SUBSTITUTE(SUBSTITUTE(INDEX(PASTE_ALL,$DF504,$L$11)," "," "),CHAR(9)," "),CHAR(10)," "),CHAR(13)," "))),"")))</f>
        <v/>
      </c>
      <c r="DT504">
        <f>IF($DM504=0,"",IF($L$12=0,"",IFERROR(IF(ISNUMBER(INDEX(PASTE_ALL,$DF504,$L$12)),INDEX(PASTE_ALL,$DF504,$L$12),TRIM(SUBSTITUTE(SUBSTITUTE(SUBSTITUTE(SUBSTITUTE(INDEX(PASTE_ALL,$DF504,$L$12)," "," "),CHAR(9)," "),CHAR(10)," "),CHAR(13)," "))),"")))</f>
        <v/>
      </c>
      <c r="DU504">
        <f>IF($DM504=0,"",IF($L$13=0,"",IFERROR(IF(ISNUMBER(INDEX(PASTE_ALL,$DF504,$L$13)),INDEX(PASTE_ALL,$DF504,$L$13),TRIM(SUBSTITUTE(SUBSTITUTE(SUBSTITUTE(SUBSTITUTE(INDEX(PASTE_ALL,$DF504,$L$13)," "," "),CHAR(9)," "),CHAR(10)," "),CHAR(13)," "))),"")))</f>
        <v/>
      </c>
      <c r="DV504">
        <f>IF($DM504=0,"",IF($L$14=0,"",IFERROR(IF(ISNUMBER(INDEX(PASTE_ALL,$DF504,$L$14)),INDEX(PASTE_ALL,$DF504,$L$14),TRIM(SUBSTITUTE(SUBSTITUTE(SUBSTITUTE(SUBSTITUTE(INDEX(PASTE_ALL,$DF504,$L$14)," "," "),CHAR(9)," "),CHAR(10)," "),CHAR(13)," "))),"")))</f>
        <v/>
      </c>
      <c r="DW504">
        <f>IF($DM504=0,"",IF($L$15=0,"",IFERROR(IF(ISNUMBER(INDEX(PASTE_ALL,$DF504,$L$15)),INDEX(PASTE_ALL,$DF504,$L$15),IF(SUMPRODUCT(--ISNUMBER(FIND({"A","B","C","D","E","F","G","H","I","J","K","L","M","N","O","P","Q","R","S","T","U","V","W","X","Y","Z","0","1","2","3","4","5","6","7","8","9"},UPPER(TRIM(SUBSTITUTE(SUBSTITUTE(SUBSTITUTE(SUBSTITUTE(INDEX(PASTE_ALL,$DF504,$L$15)," "," "),CHAR(9)," "),CHAR(10)," "),CHAR(13)," "))))))&gt;0,TRIM(SUBSTITUTE(SUBSTITUTE(SUBSTITUTE(SUBSTITUTE(INDEX(PASTE_ALL,$DF504,$L$15)," "," "),CHAR(9)," "),CHAR(10)," "),CHAR(13)," ")),"")),"")))</f>
        <v/>
      </c>
      <c r="DX504">
        <f>IF($DM504=0,"",IF($L$16=0,"",IFERROR(IF(ISNUMBER(INDEX(PASTE_ALL,$DF504,$L$16)),INDEX(PASTE_ALL,$DF504,$L$16),SUBSTITUTE(SUBSTITUTE(TRIM(SUBSTITUTE(SUBSTITUTE(SUBSTITUTE(SUBSTITUTE(INDEX(PASTE_ALL,$DF504,$L$16)," "," "),CHAR(9)," "),CHAR(10)," "),CHAR(13)," ")),",",""),"%","")),"")))</f>
        <v/>
      </c>
      <c r="DY504">
        <f>IF($DM504=0,"",IFERROR(IF(ISNUMBER($DX504),$DX504,IF($DX504="","",IF(TRIM($DX504)="",0,IF(AND(AND(SUBSTITUTE(SUBSTITUTE(SUBSTITUTE(SUBSTITUTE(SUBSTITUTE(SUBSTITUTE(SUBSTITUTE(SUBSTITUTE(SUBSTITUTE(SUBSTITUTE(SUBSTITUTE(SUBSTITUTE(SUBSTITUTE(SUBSTITUTE(UPPER(TRIM($DX504)),"0",""),"1",""),"2",""),"3",""),"4",""),"5",""),"6",""),"7",""),"8",""),"9",""),".",""),"+",""),"-",""),"E","")="",LEN(SUBSTITUTE(SUBSTITUTE(MID(UPPER(TRIM($DX504)),1+OR(LEFT(UPPER(TRIM($DX504)),1)="+",LEFT(UPPER(TRIM($DX504)),1)="-"),999),"E+","E"),"E-","E"))=LEN(SUBSTITUTE(SUBSTITUTE(SUBSTITUTE(SUBSTITUTE(MID(UPPER(TRIM($DX504)),1+OR(LEFT(UPPER(TRIM($DX504)),1)="+",LEFT(UPPER(TRIM($DX504)),1)="-"),999),"E+","E"),"E-","E"),"+",""),"-","")),LEN(UPPER(TRIM($DX504)))-LEN(SUBSTITUTE(UPPER(TRIM($DX504)),"E",""))&lt;2,LEN(UPPER(TRIM($DX504)))-LEN(SUBSTITUTE(UPPER(TRIM($DX504)),".",""))&lt;2,IFERROR(FIND(".",UPPER(TRIM($DX504))),0)&lt;IFERROR(FIND("E",UPPER(TRIM($DX504))),999)),ISNUMBER(VALUE(TRIM($DX504)))),VALUE(TRIM($DX504)),"")))),""))</f>
        <v/>
      </c>
      <c r="DZ504">
        <f>IF($DM504=0,"",IF($L$17=0,"",IFERROR(IF(ISNUMBER(INDEX(PASTE_ALL,$DF504,$L$17)),INDEX(PASTE_ALL,$DF504,$L$17),SUBSTITUTE(SUBSTITUTE(TRIM(SUBSTITUTE(SUBSTITUTE(SUBSTITUTE(SUBSTITUTE(INDEX(PASTE_ALL,$DF504,$L$17)," "," "),CHAR(9)," "),CHAR(10)," "),CHAR(13)," ")),",",""),"%","")),"")))</f>
        <v/>
      </c>
      <c r="EA504">
        <f>IF($DM504=0,"",IFERROR(IF(ISNUMBER($DZ504),$DZ504,IF($DZ504="","",IF(TRIM($DZ504)="",0,IF(AND(AND(SUBSTITUTE(SUBSTITUTE(SUBSTITUTE(SUBSTITUTE(SUBSTITUTE(SUBSTITUTE(SUBSTITUTE(SUBSTITUTE(SUBSTITUTE(SUBSTITUTE(SUBSTITUTE(SUBSTITUTE(SUBSTITUTE(SUBSTITUTE(UPPER(TRIM($DZ504)),"0",""),"1",""),"2",""),"3",""),"4",""),"5",""),"6",""),"7",""),"8",""),"9",""),".",""),"+",""),"-",""),"E","")="",LEN(SUBSTITUTE(SUBSTITUTE(MID(UPPER(TRIM($DZ504)),1+OR(LEFT(UPPER(TRIM($DZ504)),1)="+",LEFT(UPPER(TRIM($DZ504)),1)="-"),999),"E+","E"),"E-","E"))=LEN(SUBSTITUTE(SUBSTITUTE(SUBSTITUTE(SUBSTITUTE(MID(UPPER(TRIM($DZ504)),1+OR(LEFT(UPPER(TRIM($DZ504)),1)="+",LEFT(UPPER(TRIM($DZ504)),1)="-"),999),"E+","E"),"E-","E"),"+",""),"-","")),LEN(UPPER(TRIM($DZ504)))-LEN(SUBSTITUTE(UPPER(TRIM($DZ504)),"E",""))&lt;2,LEN(UPPER(TRIM($DZ504)))-LEN(SUBSTITUTE(UPPER(TRIM($DZ504)),".",""))&lt;2,IFERROR(FIND(".",UPPER(TRIM($DZ504))),0)&lt;IFERROR(FIND("E",UPPER(TRIM($DZ504))),999)),ISNUMBER(VALUE(TRIM($DZ504)))),VALUE(TRIM($DZ504)),"")))),""))</f>
        <v/>
      </c>
      <c r="EB504">
        <f>IF($DM504=0,"",IF($L$18=0,"",IFERROR(IF(UPPER(TRIM(SUBSTITUTE(SUBSTITUTE(SUBSTITUTE(SUBSTITUTE(INDEX(PASTE_ALL,$DF504,$L$18)," "," "),CHAR(9)," "),CHAR(10)," "),CHAR(13)," ")))="READY","Ready",IF(UPPER(TRIM(SUBSTITUTE(SUBSTITUTE(SUBSTITUTE(SUBSTITUTE(INDEX(PASTE_ALL,$DF504,$L$18)," "," "),CHAR(9)," "),CHAR(10)," "),CHAR(13)," ")))="PM","PM",IF(OR(UPPER(TRIM(SUBSTITUTE(SUBSTITUTE(SUBSTITUTE(SUBSTITUTE(INDEX(PASTE_ALL,$DF504,$L$18)," "," "),CHAR(9)," "),CHAR(10)," "),CHAR(13)," ")))="OT",UPPER(TRIM(SUBSTITUTE(SUBSTITUTE(SUBSTITUTE(SUBSTITUTE(INDEX(PASTE_ALL,$DF504,$L$18)," "," "),CHAR(9)," "),CHAR(10)," "),CHAR(13)," ")))="OVERTIME",UPPER(TRIM(SUBSTITUTE(SUBSTITUTE(SUBSTITUTE(SUBSTITUTE(INDEX(PASTE_ALL,$DF504,$L$18)," "," "),CHAR(9)," "),CHAR(10)," "),CHAR(13)," ")))="TRIAL"),"OT",TRIM(SUBSTITUTE(SUBSTITUTE(SUBSTITUTE(SUBSTITUTE(INDEX(PASTE_ALL,$DF504,$L$18)," "," "),CHAR(9)," "),CHAR(10)," "),CHAR(13)," "))))),"")))</f>
        <v/>
      </c>
      <c r="EC504">
        <f>IF($DM504=0,"",IF($L$19=0,"",IFERROR(IF(ISNUMBER(INDEX(PASTE_ALL,$DF504,$L$19)),INDEX(PASTE_ALL,$DF504,$L$19),TRIM(SUBSTITUTE(SUBSTITUTE(SUBSTITUTE(SUBSTITUTE(INDEX(PASTE_ALL,$DF504,$L$19)," "," "),CHAR(9)," "),CHAR(10)," "),CHAR(13)," "))),"")))</f>
        <v/>
      </c>
      <c r="ED504">
        <f>IF($DM504=0,"",MATCH(1,INDEX(EXACT($DH$5:DH504,$DH504)*$DM$5:DM504,0),0))</f>
        <v/>
      </c>
      <c r="EE504">
        <f>IF($DM504=0,0,IF($ED504=$DE504,1,0))</f>
        <v/>
      </c>
      <c r="EF504">
        <f>EF503+$EE504</f>
        <v/>
      </c>
      <c r="EG504">
        <f>IF($DM504=0,"",INDEX($EF$5:$EF$1003,$ED504))</f>
        <v/>
      </c>
      <c r="EH504">
        <f>IF($DM504=0,"",IF($DO504&lt;&gt;"","",IFERROR(LOOKUP(2,1/(($EG$4:EG503=$EG504)*($DO$4:DO503&lt;&gt;"")),$DO$4:DO503),"")))</f>
        <v/>
      </c>
      <c r="EI504">
        <f>IF($DM504=0,"",IF($DO504&lt;&gt;"",$DO504,$EH504))</f>
        <v/>
      </c>
      <c r="EJ504">
        <f>IF($DM504=0,"",IF($EI504="",0,IF(OR(ISNUMBER($EI504),AND(AND(SUBSTITUTE(SUBSTITUTE(SUBSTITUTE(SUBSTITUTE(SUBSTITUTE(SUBSTITUTE(SUBSTITUTE(SUBSTITUTE(SUBSTITUTE(SUBSTITUTE(SUBSTITUTE(SUBSTITUTE(SUBSTITUTE(SUBSTITUTE(UPPER($EI504),"0",""),"1",""),"2",""),"3",""),"4",""),"5",""),"6",""),"7",""),"8",""),"9",""),".",""),"+",""),"-",""),"E","")="",LEN(SUBSTITUTE(SUBSTITUTE(MID(UPPER($EI504),1+OR(LEFT(UPPER($EI504),1)="+",LEFT(UPPER($EI504),1)="-"),999),"E+","E"),"E-","E"))=LEN(SUBSTITUTE(SUBSTITUTE(SUBSTITUTE(SUBSTITUTE(MID(UPPER($EI504),1+OR(LEFT(UPPER($EI504),1)="+",LEFT(UPPER($EI504),1)="-"),999),"E+","E"),"E-","E"),"+",""),"-","")),LEN(UPPER($EI504))-LEN(SUBSTITUTE(UPPER($EI504),"E",""))&lt;2,LEN(UPPER($EI504))-LEN(SUBSTITUTE(UPPER($EI504),".",""))&lt;2,IFERROR(FIND(".",UPPER($EI504)),0)&lt;IFERROR(FIND("E",UPPER($EI504)),999)),ISNUMBER(VALUE($EI504)))),1,2)))</f>
        <v/>
      </c>
      <c r="EK504">
        <f>IF($DM504=0,"",IF($EJ504=1,IF(ISNUMBER($EI504),$EI504,VALUE($EI504)),IF($EJ504=2,$DE504,0)))</f>
        <v/>
      </c>
      <c r="EL504">
        <f>IF($DM504=0,"",COUNTIF($EG$5:$EG$1003,"&lt;"&amp;$EG504)+SUMPRODUCT(($EG$5:$EG$1003=$EG504)*(($EJ$5:$EJ$1003&lt;$EJ504)+($EJ$5:$EJ$1003=$EJ504)*(($EK$5:$EK$1003&lt;$EK504)+($EK$5:$EK$1003=$EK504)*($DE$5:$DE$1003&lt;$DE504))))+1)</f>
        <v/>
      </c>
      <c r="EM504">
        <f>IF($DM504=0,"",$EL504+$EG504-1)</f>
        <v/>
      </c>
      <c r="EN504">
        <f>IF($DM504=0,0,IFERROR(MATCH(1,INDEX(--(TRIM(SUBSTITUTE(SUBSTITUTE(SUBSTITUTE(SUBSTITUTE(LINES_NAME&amp;""," "," "),CHAR(9)," "),CHAR(10)," "),CHAR(13)," "))=$DH504),0),0),0))</f>
        <v/>
      </c>
      <c r="EO504">
        <f>IF($EN504=0,0,IF(OR(UPPER(TRIM(INDEX(LINES_SCHEDULED,$EN504)&amp;""))="YES",UPPER(TRIM(INDEX(LINES_SCHEDULED,$EN504)&amp;""))="Y",UPPER(TRIM(INDEX(LINES_SCHEDULED,$EN504)&amp;""))="X"),1,0))</f>
        <v/>
      </c>
      <c r="EP504">
        <f>IF($DM504=0,"",IF(COUNTIFS($EG$5:$EG$1003,$EG504,$EB$5:$EB$1003,"Ready")&gt;0,"READY",IF(COUNTIFS($EG$5:$EG$1003,$EG504,$EB$5:$EB$1003,"PM")&gt;0,"PM",IF(COUNTIFS($EG$5:$EG$1003,$EG504,$EB$5:$EB$1003,"OT")&gt;0,"OT",""))))</f>
        <v/>
      </c>
      <c r="EQ504">
        <f>IF($EN504=0,"",UPPER(TRIM(INDEX(LINES_STATUS,$EN504)&amp;"")))</f>
        <v/>
      </c>
      <c r="ER504">
        <f>IF($DM504=0,"",IF(OR($EQ504="READY",$EQ504="PM",$EQ504="OT"),$EQ504,$EP504))</f>
        <v/>
      </c>
      <c r="ES504">
        <f>IF($DM504=0,"",IF(AND($DV504&lt;&gt;"",UPPER($DV504)&lt;&gt;"N"),"allergen",IF(ISNUMBER(SEARCH("oil",$DQ504)),"oil",IF(OR(EXACT($DS504,"A662"),EXACT($DS504,"A624")),"bulk",""))))</f>
        <v/>
      </c>
      <c r="ET504">
        <f>IF($DM504=0,"",IF(OR($EA504="",$EA504=0),"",$EA504/100))</f>
        <v/>
      </c>
      <c r="EU504">
        <f>IF(OR($ET504="",$DY504=""),"",INT($DY504*(1-$ET504)+0.5))</f>
        <v/>
      </c>
      <c r="EW504" t="n">
        <v>500</v>
      </c>
      <c r="EX504">
        <f>IFERROR(MATCH($EW504,$EM$5:$EM$1003,0),0)</f>
        <v/>
      </c>
      <c r="EY504">
        <f>IF($EW504&gt;$B$12,"",IF($EX504&gt;0,"row","spacer"))</f>
        <v/>
      </c>
      <c r="EZ504">
        <f>IF(AND($EY504="row",$EY503&lt;&gt;"row"),1,0)</f>
        <v/>
      </c>
      <c r="FA504">
        <f>IF(AND($EY504="row",$EY505&lt;&gt;"row"),1,0)</f>
        <v/>
      </c>
      <c r="FB504">
        <f>IF($EZ504=1,IFERROR(IF(ISNUMBER(INDEX(PASTE_ALL,INDEX($DF$5:$DF$1003,$EX504),$B$37)),INDEX(PASTE_ALL,INDEX($DF$5:$DF$1003,$EX504),$B$37),INDEX($DH$5:$DH$1003,$EX504)),INDEX($DH$5:$DH$1003,$EX504)),"")</f>
        <v/>
      </c>
      <c r="FC504">
        <f>IF($EY504="row",INDEX($ER$5:$ER$1003,$EX504),"")</f>
        <v/>
      </c>
      <c r="FD504">
        <f>IF($EY504="row",INDEX($DN$5:$DN$1003,$EX504),"")</f>
        <v/>
      </c>
      <c r="FE504">
        <f>IF($EY504="row",INDEX($DO$5:$DO$1003,$EX504),"")</f>
        <v/>
      </c>
      <c r="FF504">
        <f>IF($EY504="row",INDEX($DP$5:$DP$1003,$EX504),"")</f>
        <v/>
      </c>
      <c r="FG504">
        <f>IF($EY504="row",INDEX($DQ$5:$DQ$1003,$EX504),"")</f>
        <v/>
      </c>
      <c r="FH504">
        <f>IF($EY504="row",INDEX($DR$5:$DR$1003,$EX504),"")</f>
        <v/>
      </c>
      <c r="FI504">
        <f>IF($EY504="row",INDEX($DS$5:$DS$1003,$EX504),"")</f>
        <v/>
      </c>
      <c r="FJ504">
        <f>IF($EY504="row",INDEX($DT$5:$DT$1003,$EX504),"")</f>
        <v/>
      </c>
      <c r="FK504">
        <f>IF($EY504="row",INDEX($DU$5:$DU$1003,$EX504),"")</f>
        <v/>
      </c>
      <c r="FL504">
        <f>IF($EY504="row",INDEX($DV$5:$DV$1003,$EX504),"")</f>
        <v/>
      </c>
      <c r="FM504">
        <f>IF($EY504="row",INDEX($DW$5:$DW$1003,$EX504),"")</f>
        <v/>
      </c>
      <c r="FN504">
        <f>IF($EY504="row",INDEX($DY$5:$DY$1003,$EX504),"")</f>
        <v/>
      </c>
      <c r="FO504">
        <f>IF($EY504="row",INDEX($EA$5:$EA$1003,$EX504),"")</f>
        <v/>
      </c>
      <c r="FP504">
        <f>IF($EY504="row",INDEX($EC$5:$EC$1003,$EX504),"")</f>
        <v/>
      </c>
      <c r="FQ504">
        <f>IF($EY504="row",INDEX($ET$5:$ET$1003,$EX504),"")</f>
        <v/>
      </c>
      <c r="FR504">
        <f>IF($EY504="row",INDEX($EU$5:$EU$1003,$EX504),"")</f>
        <v/>
      </c>
      <c r="FS504">
        <f>IF(AND($EY504="row",$EY503="row"),IF(OR(INDEX($DT$5:$DT$1003,$EX503)="",INDEX($DT$5:$DT$1003,$EX504)=""),"",IF(NOT(EXACT(INDEX($DT$5:$DT$1003,$EX503),INDEX($DT$5:$DT$1003,$EX504))),"S4",IF(NOT(EXACT(INDEX($DS$5:$DS$1003,$EX503),INDEX($DS$5:$DS$1003,$EX504))),"S3",IF(NOT(EXACT(INDEX($DR$5:$DR$1003,$EX503),INDEX($DR$5:$DR$1003,$EX504))),"S1 Count Change","S1")))),"")</f>
        <v/>
      </c>
      <c r="FT504">
        <f>IF($EY504="row",INDEX($ES$5:$ES$1003,$EX504),"")</f>
        <v/>
      </c>
      <c r="FU504">
        <f>IF($EY504="row",INDEX($EO$5:$EO$1003,$EX504),0)</f>
        <v/>
      </c>
      <c r="FV504">
        <f>IF($FS504="S1 Count Change",1,0)</f>
        <v/>
      </c>
    </row>
    <row r="505">
      <c r="DA505" t="n">
        <v>501</v>
      </c>
      <c r="DB505">
        <f>IF($B$37=0,"",IFERROR(TRIM(SUBSTITUTE(SUBSTITUTE(SUBSTITUTE(SUBSTITUTE(INDEX(PASTE_ALL,501,$B$37)," "," "),CHAR(9)," "),CHAR(10)," "),CHAR(13)," ")),""))</f>
        <v/>
      </c>
      <c r="DC505">
        <f>IF(AND(501&gt;HEADER_ROW,UPPER(DB505)="LEGEND"),1,0)</f>
        <v/>
      </c>
      <c r="DE505" t="n">
        <v>501</v>
      </c>
      <c r="DF505">
        <f>HEADER_ROW+$DE505</f>
        <v/>
      </c>
      <c r="DG505">
        <f>IF(AND($DF505&lt;=1000,$DF505&lt;$B$8),1,0)</f>
        <v/>
      </c>
      <c r="DH505">
        <f>IF($DG505=1,IFERROR(INDEX($DB$5:$DB$1004,$DF505),""),"")</f>
        <v/>
      </c>
      <c r="DI505">
        <f>IF(AND($DG505=1,$DH505&lt;&gt;""),IFERROR(SUBSTITUTE(SUBSTITUTE(TRIM(SUBSTITUTE(SUBSTITUTE(SUBSTITUTE(SUBSTITUTE(IFERROR(INDEX(PASTE_ALL,$DF505,1)&amp;"","")&amp;"␟"&amp;IFERROR(INDEX(PASTE_ALL,$DF505,2)&amp;"","")&amp;"␟"&amp;IFERROR(INDEX(PASTE_ALL,$DF505,3)&amp;"","")&amp;"␟"&amp;IFERROR(INDEX(PASTE_ALL,$DF505,4)&amp;"","")&amp;"␟"&amp;IFERROR(INDEX(PASTE_ALL,$DF505,5)&amp;"","")&amp;"␟"&amp;IFERROR(INDEX(PASTE_ALL,$DF505,6)&amp;"","")&amp;"␟"&amp;IFERROR(INDEX(PASTE_ALL,$DF505,7)&amp;"","")&amp;"␟"&amp;IFERROR(INDEX(PASTE_ALL,$DF505,8)&amp;"","")&amp;"␟"&amp;IFERROR(INDEX(PASTE_ALL,$DF505,9)&amp;"","")&amp;"␟"&amp;IFERROR(INDEX(PASTE_ALL,$DF505,10)&amp;"","")&amp;"␟"&amp;IFERROR(INDEX(PASTE_ALL,$DF505,11)&amp;"","")&amp;"␟"&amp;IFERROR(INDEX(PASTE_ALL,$DF505,12)&amp;"","")&amp;"␟"&amp;IFERROR(INDEX(PASTE_ALL,$DF505,13)&amp;"","")&amp;"␟"&amp;IFERROR(INDEX(PASTE_ALL,$DF505,14)&amp;"","")&amp;"␟"&amp;IFERROR(INDEX(PASTE_ALL,$DF505,15)&amp;"","")&amp;"␟"&amp;IFERROR(INDEX(PASTE_ALL,$DF505,16)&amp;"","")&amp;"␟"&amp;IFERROR(INDEX(PASTE_ALL,$DF505,17)&amp;"","")&amp;"␟"&amp;IFERROR(INDEX(PASTE_ALL,$DF505,18)&amp;"","")&amp;"␟"&amp;IFERROR(INDEX(PASTE_ALL,$DF505,19)&amp;"","")&amp;"␟"&amp;IFERROR(INDEX(PASTE_ALL,$DF505,20)&amp;"","")&amp;"␟"&amp;IFERROR(INDEX(PASTE_ALL,$DF505,21)&amp;"","")&amp;"␟"&amp;IFERROR(INDEX(PASTE_ALL,$DF505,22)&amp;"","")&amp;"␟"&amp;IFERROR(INDEX(PASTE_ALL,$DF505,23)&amp;"","")&amp;"␟"&amp;IFERROR(INDEX(PASTE_ALL,$DF505,24)&amp;"","")&amp;"␟"&amp;IFERROR(INDEX(PASTE_ALL,$DF505,25)&amp;"","")&amp;"␟"&amp;IFERROR(INDEX(PASTE_ALL,$DF505,26)&amp;"","")&amp;"␟"&amp;IFERROR(INDEX(PASTE_ALL,$DF505,27)&amp;"","")&amp;"␟"&amp;IFERROR(INDEX(PASTE_ALL,$DF505,28)&amp;"","")&amp;"␟"&amp;IFERROR(INDEX(PASTE_ALL,$DF505,29)&amp;"","")&amp;"␟"&amp;IFERROR(INDEX(PASTE_ALL,$DF505,30)&amp;"","")&amp;"␟"&amp;IFERROR(INDEX(PASTE_ALL,$DF505,31)&amp;"","")&amp;"␟"&amp;IFERROR(INDEX(PASTE_ALL,$DF505,32)&amp;"","")&amp;"␟"&amp;IFERROR(INDEX(PASTE_ALL,$DF505,33)&amp;"","")&amp;"␟"&amp;IFERROR(INDEX(PASTE_ALL,$DF505,34)&amp;"","")&amp;"␟"&amp;IFERROR(INDEX(PASTE_ALL,$DF505,35)&amp;"","")&amp;"␟"&amp;IFERROR(INDEX(PASTE_ALL,$DF505,36)&amp;"","")&amp;"␟"&amp;IFERROR(INDEX(PASTE_ALL,$DF505,37)&amp;"","")&amp;"␟"&amp;IFERROR(INDEX(PASTE_ALL,$DF505,38)&amp;"","")&amp;"␟"&amp;IFERROR(INDEX(PASTE_ALL,$DF505,39)&amp;"","")&amp;"␟"&amp;IFERROR(INDEX(PASTE_ALL,$DF505,40)&amp;"","")&amp;"␟"&amp;IFERROR(INDEX(PASTE_ALL,$DF505,41)&amp;"","")&amp;"␟"&amp;IFERROR(INDEX(PASTE_ALL,$DF505,42)&amp;"","")&amp;"␟"&amp;IFERROR(INDEX(PASTE_ALL,$DF505,43)&amp;"","")&amp;"␟"&amp;IFERROR(INDEX(PASTE_ALL,$DF505,44)&amp;"","")&amp;"␟"&amp;IFERROR(INDEX(PASTE_ALL,$DF505,45)&amp;"","")&amp;"␟"&amp;IFERROR(INDEX(PASTE_ALL,$DF505,46)&amp;"","")&amp;"␟"&amp;IFERROR(INDEX(PASTE_ALL,$DF505,47)&amp;"","")&amp;"␟"&amp;IFERROR(INDEX(PASTE_ALL,$DF505,48)&amp;"","")&amp;"␟"&amp;IFERROR(INDEX(PASTE_ALL,$DF505,49)&amp;"","")&amp;"␟"&amp;IFERROR(INDEX(PASTE_ALL,$DF505,50)&amp;"","")&amp;"␟"&amp;IFERROR(INDEX(PASTE_ALL,$DF505,51)&amp;"","")&amp;"␟"&amp;IFERROR(INDEX(PASTE_ALL,$DF505,52)&amp;"","")&amp;"␟"&amp;IFERROR(INDEX(PASTE_ALL,$DF505,53)&amp;"","")&amp;"␟"&amp;IFERROR(INDEX(PASTE_ALL,$DF505,54)&amp;"","")&amp;"␟"&amp;IFERROR(INDEX(PASTE_ALL,$DF505,55)&amp;"","")&amp;"␟"&amp;IFERROR(INDEX(PASTE_ALL,$DF505,56)&amp;"","")&amp;"␟"&amp;IFERROR(INDEX(PASTE_ALL,$DF505,57)&amp;"","")&amp;"␟"&amp;IFERROR(INDEX(PASTE_ALL,$DF505,58)&amp;"","")&amp;"␟"&amp;IFERROR(INDEX(PASTE_ALL,$DF505,59)&amp;"","")&amp;"␟"&amp;IFERROR(INDEX(PASTE_ALL,$DF505,60)&amp;"","")," "," "),CHAR(9)," "),CHAR(10)," "),CHAR(13)," "))," ␟","␟"),"␟ ","␟"),"#"&amp;$DE505),"")</f>
        <v/>
      </c>
      <c r="DJ505">
        <f>IF($DI505="",0,IF(SUMPRODUCT(--EXACT($DI$4:DI504,$DI505))&gt;0,1,0))</f>
        <v/>
      </c>
      <c r="DK505">
        <f>IF(AND($DI505&lt;&gt;"",$DJ505=0),1,0)</f>
        <v/>
      </c>
      <c r="DL505">
        <f>DL504+$DK505</f>
        <v/>
      </c>
      <c r="DM505">
        <f>IF(AND($DK505=1,$DL505&lt;=600),1,0)</f>
        <v/>
      </c>
      <c r="DN505">
        <f>IF($DM505=0,"",IF($L$6=0,"",IFERROR(IF(ISNUMBER(INDEX(PASTE_ALL,$DF505,$L$6)),INDEX(PASTE_ALL,$DF505,$L$6),TRIM(SUBSTITUTE(SUBSTITUTE(SUBSTITUTE(SUBSTITUTE(INDEX(PASTE_ALL,$DF505,$L$6)," "," "),CHAR(9)," "),CHAR(10)," "),CHAR(13)," "))),"")))</f>
        <v/>
      </c>
      <c r="DO505">
        <f>IF($DM505=0,"",IF($L$7=0,"",IFERROR(IF(ISNUMBER(INDEX(PASTE_ALL,$DF505,$L$7)),INDEX(PASTE_ALL,$DF505,$L$7),TRIM(SUBSTITUTE(SUBSTITUTE(SUBSTITUTE(SUBSTITUTE(INDEX(PASTE_ALL,$DF505,$L$7)," "," "),CHAR(9)," "),CHAR(10)," "),CHAR(13)," "))),"")))</f>
        <v/>
      </c>
      <c r="DP505">
        <f>IF($DM505=0,"",IF($L$8=0,"",IFERROR(IF(ISNUMBER(INDEX(PASTE_ALL,$DF505,$L$8)),INDEX(PASTE_ALL,$DF505,$L$8),TRIM(SUBSTITUTE(SUBSTITUTE(SUBSTITUTE(SUBSTITUTE(INDEX(PASTE_ALL,$DF505,$L$8)," "," "),CHAR(9)," "),CHAR(10)," "),CHAR(13)," "))),"")))</f>
        <v/>
      </c>
      <c r="DQ505">
        <f>IF($DM505=0,"",IF($L$9=0,"",IFERROR(IF(ISNUMBER(INDEX(PASTE_ALL,$DF505,$L$9)),INDEX(PASTE_ALL,$DF505,$L$9),TRIM(SUBSTITUTE(SUBSTITUTE(SUBSTITUTE(SUBSTITUTE(INDEX(PASTE_ALL,$DF505,$L$9)," "," "),CHAR(9)," "),CHAR(10)," "),CHAR(13)," "))),"")))</f>
        <v/>
      </c>
      <c r="DR505">
        <f>IF($DM505=0,"",IF($L$10=0,"",IFERROR(IF(ISNUMBER(INDEX(PASTE_ALL,$DF505,$L$10)),INDEX(PASTE_ALL,$DF505,$L$10),TRIM(SUBSTITUTE(SUBSTITUTE(SUBSTITUTE(SUBSTITUTE(INDEX(PASTE_ALL,$DF505,$L$10)," "," "),CHAR(9)," "),CHAR(10)," "),CHAR(13)," "))),"")))</f>
        <v/>
      </c>
      <c r="DS505">
        <f>IF($DM505=0,"",IF($L$11=0,"",IFERROR(IF(ISNUMBER(INDEX(PASTE_ALL,$DF505,$L$11)),INDEX(PASTE_ALL,$DF505,$L$11),TRIM(SUBSTITUTE(SUBSTITUTE(SUBSTITUTE(SUBSTITUTE(INDEX(PASTE_ALL,$DF505,$L$11)," "," "),CHAR(9)," "),CHAR(10)," "),CHAR(13)," "))),"")))</f>
        <v/>
      </c>
      <c r="DT505">
        <f>IF($DM505=0,"",IF($L$12=0,"",IFERROR(IF(ISNUMBER(INDEX(PASTE_ALL,$DF505,$L$12)),INDEX(PASTE_ALL,$DF505,$L$12),TRIM(SUBSTITUTE(SUBSTITUTE(SUBSTITUTE(SUBSTITUTE(INDEX(PASTE_ALL,$DF505,$L$12)," "," "),CHAR(9)," "),CHAR(10)," "),CHAR(13)," "))),"")))</f>
        <v/>
      </c>
      <c r="DU505">
        <f>IF($DM505=0,"",IF($L$13=0,"",IFERROR(IF(ISNUMBER(INDEX(PASTE_ALL,$DF505,$L$13)),INDEX(PASTE_ALL,$DF505,$L$13),TRIM(SUBSTITUTE(SUBSTITUTE(SUBSTITUTE(SUBSTITUTE(INDEX(PASTE_ALL,$DF505,$L$13)," "," "),CHAR(9)," "),CHAR(10)," "),CHAR(13)," "))),"")))</f>
        <v/>
      </c>
      <c r="DV505">
        <f>IF($DM505=0,"",IF($L$14=0,"",IFERROR(IF(ISNUMBER(INDEX(PASTE_ALL,$DF505,$L$14)),INDEX(PASTE_ALL,$DF505,$L$14),TRIM(SUBSTITUTE(SUBSTITUTE(SUBSTITUTE(SUBSTITUTE(INDEX(PASTE_ALL,$DF505,$L$14)," "," "),CHAR(9)," "),CHAR(10)," "),CHAR(13)," "))),"")))</f>
        <v/>
      </c>
      <c r="DW505">
        <f>IF($DM505=0,"",IF($L$15=0,"",IFERROR(IF(ISNUMBER(INDEX(PASTE_ALL,$DF505,$L$15)),INDEX(PASTE_ALL,$DF505,$L$15),IF(SUMPRODUCT(--ISNUMBER(FIND({"A","B","C","D","E","F","G","H","I","J","K","L","M","N","O","P","Q","R","S","T","U","V","W","X","Y","Z","0","1","2","3","4","5","6","7","8","9"},UPPER(TRIM(SUBSTITUTE(SUBSTITUTE(SUBSTITUTE(SUBSTITUTE(INDEX(PASTE_ALL,$DF505,$L$15)," "," "),CHAR(9)," "),CHAR(10)," "),CHAR(13)," "))))))&gt;0,TRIM(SUBSTITUTE(SUBSTITUTE(SUBSTITUTE(SUBSTITUTE(INDEX(PASTE_ALL,$DF505,$L$15)," "," "),CHAR(9)," "),CHAR(10)," "),CHAR(13)," ")),"")),"")))</f>
        <v/>
      </c>
      <c r="DX505">
        <f>IF($DM505=0,"",IF($L$16=0,"",IFERROR(IF(ISNUMBER(INDEX(PASTE_ALL,$DF505,$L$16)),INDEX(PASTE_ALL,$DF505,$L$16),SUBSTITUTE(SUBSTITUTE(TRIM(SUBSTITUTE(SUBSTITUTE(SUBSTITUTE(SUBSTITUTE(INDEX(PASTE_ALL,$DF505,$L$16)," "," "),CHAR(9)," "),CHAR(10)," "),CHAR(13)," ")),",",""),"%","")),"")))</f>
        <v/>
      </c>
      <c r="DY505">
        <f>IF($DM505=0,"",IFERROR(IF(ISNUMBER($DX505),$DX505,IF($DX505="","",IF(TRIM($DX505)="",0,IF(AND(AND(SUBSTITUTE(SUBSTITUTE(SUBSTITUTE(SUBSTITUTE(SUBSTITUTE(SUBSTITUTE(SUBSTITUTE(SUBSTITUTE(SUBSTITUTE(SUBSTITUTE(SUBSTITUTE(SUBSTITUTE(SUBSTITUTE(SUBSTITUTE(UPPER(TRIM($DX505)),"0",""),"1",""),"2",""),"3",""),"4",""),"5",""),"6",""),"7",""),"8",""),"9",""),".",""),"+",""),"-",""),"E","")="",LEN(SUBSTITUTE(SUBSTITUTE(MID(UPPER(TRIM($DX505)),1+OR(LEFT(UPPER(TRIM($DX505)),1)="+",LEFT(UPPER(TRIM($DX505)),1)="-"),999),"E+","E"),"E-","E"))=LEN(SUBSTITUTE(SUBSTITUTE(SUBSTITUTE(SUBSTITUTE(MID(UPPER(TRIM($DX505)),1+OR(LEFT(UPPER(TRIM($DX505)),1)="+",LEFT(UPPER(TRIM($DX505)),1)="-"),999),"E+","E"),"E-","E"),"+",""),"-","")),LEN(UPPER(TRIM($DX505)))-LEN(SUBSTITUTE(UPPER(TRIM($DX505)),"E",""))&lt;2,LEN(UPPER(TRIM($DX505)))-LEN(SUBSTITUTE(UPPER(TRIM($DX505)),".",""))&lt;2,IFERROR(FIND(".",UPPER(TRIM($DX505))),0)&lt;IFERROR(FIND("E",UPPER(TRIM($DX505))),999)),ISNUMBER(VALUE(TRIM($DX505)))),VALUE(TRIM($DX505)),"")))),""))</f>
        <v/>
      </c>
      <c r="DZ505">
        <f>IF($DM505=0,"",IF($L$17=0,"",IFERROR(IF(ISNUMBER(INDEX(PASTE_ALL,$DF505,$L$17)),INDEX(PASTE_ALL,$DF505,$L$17),SUBSTITUTE(SUBSTITUTE(TRIM(SUBSTITUTE(SUBSTITUTE(SUBSTITUTE(SUBSTITUTE(INDEX(PASTE_ALL,$DF505,$L$17)," "," "),CHAR(9)," "),CHAR(10)," "),CHAR(13)," ")),",",""),"%","")),"")))</f>
        <v/>
      </c>
      <c r="EA505">
        <f>IF($DM505=0,"",IFERROR(IF(ISNUMBER($DZ505),$DZ505,IF($DZ505="","",IF(TRIM($DZ505)="",0,IF(AND(AND(SUBSTITUTE(SUBSTITUTE(SUBSTITUTE(SUBSTITUTE(SUBSTITUTE(SUBSTITUTE(SUBSTITUTE(SUBSTITUTE(SUBSTITUTE(SUBSTITUTE(SUBSTITUTE(SUBSTITUTE(SUBSTITUTE(SUBSTITUTE(UPPER(TRIM($DZ505)),"0",""),"1",""),"2",""),"3",""),"4",""),"5",""),"6",""),"7",""),"8",""),"9",""),".",""),"+",""),"-",""),"E","")="",LEN(SUBSTITUTE(SUBSTITUTE(MID(UPPER(TRIM($DZ505)),1+OR(LEFT(UPPER(TRIM($DZ505)),1)="+",LEFT(UPPER(TRIM($DZ505)),1)="-"),999),"E+","E"),"E-","E"))=LEN(SUBSTITUTE(SUBSTITUTE(SUBSTITUTE(SUBSTITUTE(MID(UPPER(TRIM($DZ505)),1+OR(LEFT(UPPER(TRIM($DZ505)),1)="+",LEFT(UPPER(TRIM($DZ505)),1)="-"),999),"E+","E"),"E-","E"),"+",""),"-","")),LEN(UPPER(TRIM($DZ505)))-LEN(SUBSTITUTE(UPPER(TRIM($DZ505)),"E",""))&lt;2,LEN(UPPER(TRIM($DZ505)))-LEN(SUBSTITUTE(UPPER(TRIM($DZ505)),".",""))&lt;2,IFERROR(FIND(".",UPPER(TRIM($DZ505))),0)&lt;IFERROR(FIND("E",UPPER(TRIM($DZ505))),999)),ISNUMBER(VALUE(TRIM($DZ505)))),VALUE(TRIM($DZ505)),"")))),""))</f>
        <v/>
      </c>
      <c r="EB505">
        <f>IF($DM505=0,"",IF($L$18=0,"",IFERROR(IF(UPPER(TRIM(SUBSTITUTE(SUBSTITUTE(SUBSTITUTE(SUBSTITUTE(INDEX(PASTE_ALL,$DF505,$L$18)," "," "),CHAR(9)," "),CHAR(10)," "),CHAR(13)," ")))="READY","Ready",IF(UPPER(TRIM(SUBSTITUTE(SUBSTITUTE(SUBSTITUTE(SUBSTITUTE(INDEX(PASTE_ALL,$DF505,$L$18)," "," "),CHAR(9)," "),CHAR(10)," "),CHAR(13)," ")))="PM","PM",IF(OR(UPPER(TRIM(SUBSTITUTE(SUBSTITUTE(SUBSTITUTE(SUBSTITUTE(INDEX(PASTE_ALL,$DF505,$L$18)," "," "),CHAR(9)," "),CHAR(10)," "),CHAR(13)," ")))="OT",UPPER(TRIM(SUBSTITUTE(SUBSTITUTE(SUBSTITUTE(SUBSTITUTE(INDEX(PASTE_ALL,$DF505,$L$18)," "," "),CHAR(9)," "),CHAR(10)," "),CHAR(13)," ")))="OVERTIME",UPPER(TRIM(SUBSTITUTE(SUBSTITUTE(SUBSTITUTE(SUBSTITUTE(INDEX(PASTE_ALL,$DF505,$L$18)," "," "),CHAR(9)," "),CHAR(10)," "),CHAR(13)," ")))="TRIAL"),"OT",TRIM(SUBSTITUTE(SUBSTITUTE(SUBSTITUTE(SUBSTITUTE(INDEX(PASTE_ALL,$DF505,$L$18)," "," "),CHAR(9)," "),CHAR(10)," "),CHAR(13)," "))))),"")))</f>
        <v/>
      </c>
      <c r="EC505">
        <f>IF($DM505=0,"",IF($L$19=0,"",IFERROR(IF(ISNUMBER(INDEX(PASTE_ALL,$DF505,$L$19)),INDEX(PASTE_ALL,$DF505,$L$19),TRIM(SUBSTITUTE(SUBSTITUTE(SUBSTITUTE(SUBSTITUTE(INDEX(PASTE_ALL,$DF505,$L$19)," "," "),CHAR(9)," "),CHAR(10)," "),CHAR(13)," "))),"")))</f>
        <v/>
      </c>
      <c r="ED505">
        <f>IF($DM505=0,"",MATCH(1,INDEX(EXACT($DH$5:DH505,$DH505)*$DM$5:DM505,0),0))</f>
        <v/>
      </c>
      <c r="EE505">
        <f>IF($DM505=0,0,IF($ED505=$DE505,1,0))</f>
        <v/>
      </c>
      <c r="EF505">
        <f>EF504+$EE505</f>
        <v/>
      </c>
      <c r="EG505">
        <f>IF($DM505=0,"",INDEX($EF$5:$EF$1003,$ED505))</f>
        <v/>
      </c>
      <c r="EH505">
        <f>IF($DM505=0,"",IF($DO505&lt;&gt;"","",IFERROR(LOOKUP(2,1/(($EG$4:EG504=$EG505)*($DO$4:DO504&lt;&gt;"")),$DO$4:DO504),"")))</f>
        <v/>
      </c>
      <c r="EI505">
        <f>IF($DM505=0,"",IF($DO505&lt;&gt;"",$DO505,$EH505))</f>
        <v/>
      </c>
      <c r="EJ505">
        <f>IF($DM505=0,"",IF($EI505="",0,IF(OR(ISNUMBER($EI505),AND(AND(SUBSTITUTE(SUBSTITUTE(SUBSTITUTE(SUBSTITUTE(SUBSTITUTE(SUBSTITUTE(SUBSTITUTE(SUBSTITUTE(SUBSTITUTE(SUBSTITUTE(SUBSTITUTE(SUBSTITUTE(SUBSTITUTE(SUBSTITUTE(UPPER($EI505),"0",""),"1",""),"2",""),"3",""),"4",""),"5",""),"6",""),"7",""),"8",""),"9",""),".",""),"+",""),"-",""),"E","")="",LEN(SUBSTITUTE(SUBSTITUTE(MID(UPPER($EI505),1+OR(LEFT(UPPER($EI505),1)="+",LEFT(UPPER($EI505),1)="-"),999),"E+","E"),"E-","E"))=LEN(SUBSTITUTE(SUBSTITUTE(SUBSTITUTE(SUBSTITUTE(MID(UPPER($EI505),1+OR(LEFT(UPPER($EI505),1)="+",LEFT(UPPER($EI505),1)="-"),999),"E+","E"),"E-","E"),"+",""),"-","")),LEN(UPPER($EI505))-LEN(SUBSTITUTE(UPPER($EI505),"E",""))&lt;2,LEN(UPPER($EI505))-LEN(SUBSTITUTE(UPPER($EI505),".",""))&lt;2,IFERROR(FIND(".",UPPER($EI505)),0)&lt;IFERROR(FIND("E",UPPER($EI505)),999)),ISNUMBER(VALUE($EI505)))),1,2)))</f>
        <v/>
      </c>
      <c r="EK505">
        <f>IF($DM505=0,"",IF($EJ505=1,IF(ISNUMBER($EI505),$EI505,VALUE($EI505)),IF($EJ505=2,$DE505,0)))</f>
        <v/>
      </c>
      <c r="EL505">
        <f>IF($DM505=0,"",COUNTIF($EG$5:$EG$1003,"&lt;"&amp;$EG505)+SUMPRODUCT(($EG$5:$EG$1003=$EG505)*(($EJ$5:$EJ$1003&lt;$EJ505)+($EJ$5:$EJ$1003=$EJ505)*(($EK$5:$EK$1003&lt;$EK505)+($EK$5:$EK$1003=$EK505)*($DE$5:$DE$1003&lt;$DE505))))+1)</f>
        <v/>
      </c>
      <c r="EM505">
        <f>IF($DM505=0,"",$EL505+$EG505-1)</f>
        <v/>
      </c>
      <c r="EN505">
        <f>IF($DM505=0,0,IFERROR(MATCH(1,INDEX(--(TRIM(SUBSTITUTE(SUBSTITUTE(SUBSTITUTE(SUBSTITUTE(LINES_NAME&amp;""," "," "),CHAR(9)," "),CHAR(10)," "),CHAR(13)," "))=$DH505),0),0),0))</f>
        <v/>
      </c>
      <c r="EO505">
        <f>IF($EN505=0,0,IF(OR(UPPER(TRIM(INDEX(LINES_SCHEDULED,$EN505)&amp;""))="YES",UPPER(TRIM(INDEX(LINES_SCHEDULED,$EN505)&amp;""))="Y",UPPER(TRIM(INDEX(LINES_SCHEDULED,$EN505)&amp;""))="X"),1,0))</f>
        <v/>
      </c>
      <c r="EP505">
        <f>IF($DM505=0,"",IF(COUNTIFS($EG$5:$EG$1003,$EG505,$EB$5:$EB$1003,"Ready")&gt;0,"READY",IF(COUNTIFS($EG$5:$EG$1003,$EG505,$EB$5:$EB$1003,"PM")&gt;0,"PM",IF(COUNTIFS($EG$5:$EG$1003,$EG505,$EB$5:$EB$1003,"OT")&gt;0,"OT",""))))</f>
        <v/>
      </c>
      <c r="EQ505">
        <f>IF($EN505=0,"",UPPER(TRIM(INDEX(LINES_STATUS,$EN505)&amp;"")))</f>
        <v/>
      </c>
      <c r="ER505">
        <f>IF($DM505=0,"",IF(OR($EQ505="READY",$EQ505="PM",$EQ505="OT"),$EQ505,$EP505))</f>
        <v/>
      </c>
      <c r="ES505">
        <f>IF($DM505=0,"",IF(AND($DV505&lt;&gt;"",UPPER($DV505)&lt;&gt;"N"),"allergen",IF(ISNUMBER(SEARCH("oil",$DQ505)),"oil",IF(OR(EXACT($DS505,"A662"),EXACT($DS505,"A624")),"bulk",""))))</f>
        <v/>
      </c>
      <c r="ET505">
        <f>IF($DM505=0,"",IF(OR($EA505="",$EA505=0),"",$EA505/100))</f>
        <v/>
      </c>
      <c r="EU505">
        <f>IF(OR($ET505="",$DY505=""),"",INT($DY505*(1-$ET505)+0.5))</f>
        <v/>
      </c>
      <c r="EW505" t="n">
        <v>501</v>
      </c>
      <c r="EX505">
        <f>IFERROR(MATCH($EW505,$EM$5:$EM$1003,0),0)</f>
        <v/>
      </c>
      <c r="EY505">
        <f>IF($EW505&gt;$B$12,"",IF($EX505&gt;0,"row","spacer"))</f>
        <v/>
      </c>
      <c r="EZ505">
        <f>IF(AND($EY505="row",$EY504&lt;&gt;"row"),1,0)</f>
        <v/>
      </c>
      <c r="FA505">
        <f>IF(AND($EY505="row",$EY506&lt;&gt;"row"),1,0)</f>
        <v/>
      </c>
      <c r="FB505">
        <f>IF($EZ505=1,IFERROR(IF(ISNUMBER(INDEX(PASTE_ALL,INDEX($DF$5:$DF$1003,$EX505),$B$37)),INDEX(PASTE_ALL,INDEX($DF$5:$DF$1003,$EX505),$B$37),INDEX($DH$5:$DH$1003,$EX505)),INDEX($DH$5:$DH$1003,$EX505)),"")</f>
        <v/>
      </c>
      <c r="FC505">
        <f>IF($EY505="row",INDEX($ER$5:$ER$1003,$EX505),"")</f>
        <v/>
      </c>
      <c r="FD505">
        <f>IF($EY505="row",INDEX($DN$5:$DN$1003,$EX505),"")</f>
        <v/>
      </c>
      <c r="FE505">
        <f>IF($EY505="row",INDEX($DO$5:$DO$1003,$EX505),"")</f>
        <v/>
      </c>
      <c r="FF505">
        <f>IF($EY505="row",INDEX($DP$5:$DP$1003,$EX505),"")</f>
        <v/>
      </c>
      <c r="FG505">
        <f>IF($EY505="row",INDEX($DQ$5:$DQ$1003,$EX505),"")</f>
        <v/>
      </c>
      <c r="FH505">
        <f>IF($EY505="row",INDEX($DR$5:$DR$1003,$EX505),"")</f>
        <v/>
      </c>
      <c r="FI505">
        <f>IF($EY505="row",INDEX($DS$5:$DS$1003,$EX505),"")</f>
        <v/>
      </c>
      <c r="FJ505">
        <f>IF($EY505="row",INDEX($DT$5:$DT$1003,$EX505),"")</f>
        <v/>
      </c>
      <c r="FK505">
        <f>IF($EY505="row",INDEX($DU$5:$DU$1003,$EX505),"")</f>
        <v/>
      </c>
      <c r="FL505">
        <f>IF($EY505="row",INDEX($DV$5:$DV$1003,$EX505),"")</f>
        <v/>
      </c>
      <c r="FM505">
        <f>IF($EY505="row",INDEX($DW$5:$DW$1003,$EX505),"")</f>
        <v/>
      </c>
      <c r="FN505">
        <f>IF($EY505="row",INDEX($DY$5:$DY$1003,$EX505),"")</f>
        <v/>
      </c>
      <c r="FO505">
        <f>IF($EY505="row",INDEX($EA$5:$EA$1003,$EX505),"")</f>
        <v/>
      </c>
      <c r="FP505">
        <f>IF($EY505="row",INDEX($EC$5:$EC$1003,$EX505),"")</f>
        <v/>
      </c>
      <c r="FQ505">
        <f>IF($EY505="row",INDEX($ET$5:$ET$1003,$EX505),"")</f>
        <v/>
      </c>
      <c r="FR505">
        <f>IF($EY505="row",INDEX($EU$5:$EU$1003,$EX505),"")</f>
        <v/>
      </c>
      <c r="FS505">
        <f>IF(AND($EY505="row",$EY504="row"),IF(OR(INDEX($DT$5:$DT$1003,$EX504)="",INDEX($DT$5:$DT$1003,$EX505)=""),"",IF(NOT(EXACT(INDEX($DT$5:$DT$1003,$EX504),INDEX($DT$5:$DT$1003,$EX505))),"S4",IF(NOT(EXACT(INDEX($DS$5:$DS$1003,$EX504),INDEX($DS$5:$DS$1003,$EX505))),"S3",IF(NOT(EXACT(INDEX($DR$5:$DR$1003,$EX504),INDEX($DR$5:$DR$1003,$EX505))),"S1 Count Change","S1")))),"")</f>
        <v/>
      </c>
      <c r="FT505">
        <f>IF($EY505="row",INDEX($ES$5:$ES$1003,$EX505),"")</f>
        <v/>
      </c>
      <c r="FU505">
        <f>IF($EY505="row",INDEX($EO$5:$EO$1003,$EX505),0)</f>
        <v/>
      </c>
      <c r="FV505">
        <f>IF($FS505="S1 Count Change",1,0)</f>
        <v/>
      </c>
    </row>
    <row r="506">
      <c r="DA506" t="n">
        <v>502</v>
      </c>
      <c r="DB506">
        <f>IF($B$37=0,"",IFERROR(TRIM(SUBSTITUTE(SUBSTITUTE(SUBSTITUTE(SUBSTITUTE(INDEX(PASTE_ALL,502,$B$37)," "," "),CHAR(9)," "),CHAR(10)," "),CHAR(13)," ")),""))</f>
        <v/>
      </c>
      <c r="DC506">
        <f>IF(AND(502&gt;HEADER_ROW,UPPER(DB506)="LEGEND"),1,0)</f>
        <v/>
      </c>
      <c r="DE506" t="n">
        <v>502</v>
      </c>
      <c r="DF506">
        <f>HEADER_ROW+$DE506</f>
        <v/>
      </c>
      <c r="DG506">
        <f>IF(AND($DF506&lt;=1000,$DF506&lt;$B$8),1,0)</f>
        <v/>
      </c>
      <c r="DH506">
        <f>IF($DG506=1,IFERROR(INDEX($DB$5:$DB$1004,$DF506),""),"")</f>
        <v/>
      </c>
      <c r="DI506">
        <f>IF(AND($DG506=1,$DH506&lt;&gt;""),IFERROR(SUBSTITUTE(SUBSTITUTE(TRIM(SUBSTITUTE(SUBSTITUTE(SUBSTITUTE(SUBSTITUTE(IFERROR(INDEX(PASTE_ALL,$DF506,1)&amp;"","")&amp;"␟"&amp;IFERROR(INDEX(PASTE_ALL,$DF506,2)&amp;"","")&amp;"␟"&amp;IFERROR(INDEX(PASTE_ALL,$DF506,3)&amp;"","")&amp;"␟"&amp;IFERROR(INDEX(PASTE_ALL,$DF506,4)&amp;"","")&amp;"␟"&amp;IFERROR(INDEX(PASTE_ALL,$DF506,5)&amp;"","")&amp;"␟"&amp;IFERROR(INDEX(PASTE_ALL,$DF506,6)&amp;"","")&amp;"␟"&amp;IFERROR(INDEX(PASTE_ALL,$DF506,7)&amp;"","")&amp;"␟"&amp;IFERROR(INDEX(PASTE_ALL,$DF506,8)&amp;"","")&amp;"␟"&amp;IFERROR(INDEX(PASTE_ALL,$DF506,9)&amp;"","")&amp;"␟"&amp;IFERROR(INDEX(PASTE_ALL,$DF506,10)&amp;"","")&amp;"␟"&amp;IFERROR(INDEX(PASTE_ALL,$DF506,11)&amp;"","")&amp;"␟"&amp;IFERROR(INDEX(PASTE_ALL,$DF506,12)&amp;"","")&amp;"␟"&amp;IFERROR(INDEX(PASTE_ALL,$DF506,13)&amp;"","")&amp;"␟"&amp;IFERROR(INDEX(PASTE_ALL,$DF506,14)&amp;"","")&amp;"␟"&amp;IFERROR(INDEX(PASTE_ALL,$DF506,15)&amp;"","")&amp;"␟"&amp;IFERROR(INDEX(PASTE_ALL,$DF506,16)&amp;"","")&amp;"␟"&amp;IFERROR(INDEX(PASTE_ALL,$DF506,17)&amp;"","")&amp;"␟"&amp;IFERROR(INDEX(PASTE_ALL,$DF506,18)&amp;"","")&amp;"␟"&amp;IFERROR(INDEX(PASTE_ALL,$DF506,19)&amp;"","")&amp;"␟"&amp;IFERROR(INDEX(PASTE_ALL,$DF506,20)&amp;"","")&amp;"␟"&amp;IFERROR(INDEX(PASTE_ALL,$DF506,21)&amp;"","")&amp;"␟"&amp;IFERROR(INDEX(PASTE_ALL,$DF506,22)&amp;"","")&amp;"␟"&amp;IFERROR(INDEX(PASTE_ALL,$DF506,23)&amp;"","")&amp;"␟"&amp;IFERROR(INDEX(PASTE_ALL,$DF506,24)&amp;"","")&amp;"␟"&amp;IFERROR(INDEX(PASTE_ALL,$DF506,25)&amp;"","")&amp;"␟"&amp;IFERROR(INDEX(PASTE_ALL,$DF506,26)&amp;"","")&amp;"␟"&amp;IFERROR(INDEX(PASTE_ALL,$DF506,27)&amp;"","")&amp;"␟"&amp;IFERROR(INDEX(PASTE_ALL,$DF506,28)&amp;"","")&amp;"␟"&amp;IFERROR(INDEX(PASTE_ALL,$DF506,29)&amp;"","")&amp;"␟"&amp;IFERROR(INDEX(PASTE_ALL,$DF506,30)&amp;"","")&amp;"␟"&amp;IFERROR(INDEX(PASTE_ALL,$DF506,31)&amp;"","")&amp;"␟"&amp;IFERROR(INDEX(PASTE_ALL,$DF506,32)&amp;"","")&amp;"␟"&amp;IFERROR(INDEX(PASTE_ALL,$DF506,33)&amp;"","")&amp;"␟"&amp;IFERROR(INDEX(PASTE_ALL,$DF506,34)&amp;"","")&amp;"␟"&amp;IFERROR(INDEX(PASTE_ALL,$DF506,35)&amp;"","")&amp;"␟"&amp;IFERROR(INDEX(PASTE_ALL,$DF506,36)&amp;"","")&amp;"␟"&amp;IFERROR(INDEX(PASTE_ALL,$DF506,37)&amp;"","")&amp;"␟"&amp;IFERROR(INDEX(PASTE_ALL,$DF506,38)&amp;"","")&amp;"␟"&amp;IFERROR(INDEX(PASTE_ALL,$DF506,39)&amp;"","")&amp;"␟"&amp;IFERROR(INDEX(PASTE_ALL,$DF506,40)&amp;"","")&amp;"␟"&amp;IFERROR(INDEX(PASTE_ALL,$DF506,41)&amp;"","")&amp;"␟"&amp;IFERROR(INDEX(PASTE_ALL,$DF506,42)&amp;"","")&amp;"␟"&amp;IFERROR(INDEX(PASTE_ALL,$DF506,43)&amp;"","")&amp;"␟"&amp;IFERROR(INDEX(PASTE_ALL,$DF506,44)&amp;"","")&amp;"␟"&amp;IFERROR(INDEX(PASTE_ALL,$DF506,45)&amp;"","")&amp;"␟"&amp;IFERROR(INDEX(PASTE_ALL,$DF506,46)&amp;"","")&amp;"␟"&amp;IFERROR(INDEX(PASTE_ALL,$DF506,47)&amp;"","")&amp;"␟"&amp;IFERROR(INDEX(PASTE_ALL,$DF506,48)&amp;"","")&amp;"␟"&amp;IFERROR(INDEX(PASTE_ALL,$DF506,49)&amp;"","")&amp;"␟"&amp;IFERROR(INDEX(PASTE_ALL,$DF506,50)&amp;"","")&amp;"␟"&amp;IFERROR(INDEX(PASTE_ALL,$DF506,51)&amp;"","")&amp;"␟"&amp;IFERROR(INDEX(PASTE_ALL,$DF506,52)&amp;"","")&amp;"␟"&amp;IFERROR(INDEX(PASTE_ALL,$DF506,53)&amp;"","")&amp;"␟"&amp;IFERROR(INDEX(PASTE_ALL,$DF506,54)&amp;"","")&amp;"␟"&amp;IFERROR(INDEX(PASTE_ALL,$DF506,55)&amp;"","")&amp;"␟"&amp;IFERROR(INDEX(PASTE_ALL,$DF506,56)&amp;"","")&amp;"␟"&amp;IFERROR(INDEX(PASTE_ALL,$DF506,57)&amp;"","")&amp;"␟"&amp;IFERROR(INDEX(PASTE_ALL,$DF506,58)&amp;"","")&amp;"␟"&amp;IFERROR(INDEX(PASTE_ALL,$DF506,59)&amp;"","")&amp;"␟"&amp;IFERROR(INDEX(PASTE_ALL,$DF506,60)&amp;"","")," "," "),CHAR(9)," "),CHAR(10)," "),CHAR(13)," "))," ␟","␟"),"␟ ","␟"),"#"&amp;$DE506),"")</f>
        <v/>
      </c>
      <c r="DJ506">
        <f>IF($DI506="",0,IF(SUMPRODUCT(--EXACT($DI$4:DI505,$DI506))&gt;0,1,0))</f>
        <v/>
      </c>
      <c r="DK506">
        <f>IF(AND($DI506&lt;&gt;"",$DJ506=0),1,0)</f>
        <v/>
      </c>
      <c r="DL506">
        <f>DL505+$DK506</f>
        <v/>
      </c>
      <c r="DM506">
        <f>IF(AND($DK506=1,$DL506&lt;=600),1,0)</f>
        <v/>
      </c>
      <c r="DN506">
        <f>IF($DM506=0,"",IF($L$6=0,"",IFERROR(IF(ISNUMBER(INDEX(PASTE_ALL,$DF506,$L$6)),INDEX(PASTE_ALL,$DF506,$L$6),TRIM(SUBSTITUTE(SUBSTITUTE(SUBSTITUTE(SUBSTITUTE(INDEX(PASTE_ALL,$DF506,$L$6)," "," "),CHAR(9)," "),CHAR(10)," "),CHAR(13)," "))),"")))</f>
        <v/>
      </c>
      <c r="DO506">
        <f>IF($DM506=0,"",IF($L$7=0,"",IFERROR(IF(ISNUMBER(INDEX(PASTE_ALL,$DF506,$L$7)),INDEX(PASTE_ALL,$DF506,$L$7),TRIM(SUBSTITUTE(SUBSTITUTE(SUBSTITUTE(SUBSTITUTE(INDEX(PASTE_ALL,$DF506,$L$7)," "," "),CHAR(9)," "),CHAR(10)," "),CHAR(13)," "))),"")))</f>
        <v/>
      </c>
      <c r="DP506">
        <f>IF($DM506=0,"",IF($L$8=0,"",IFERROR(IF(ISNUMBER(INDEX(PASTE_ALL,$DF506,$L$8)),INDEX(PASTE_ALL,$DF506,$L$8),TRIM(SUBSTITUTE(SUBSTITUTE(SUBSTITUTE(SUBSTITUTE(INDEX(PASTE_ALL,$DF506,$L$8)," "," "),CHAR(9)," "),CHAR(10)," "),CHAR(13)," "))),"")))</f>
        <v/>
      </c>
      <c r="DQ506">
        <f>IF($DM506=0,"",IF($L$9=0,"",IFERROR(IF(ISNUMBER(INDEX(PASTE_ALL,$DF506,$L$9)),INDEX(PASTE_ALL,$DF506,$L$9),TRIM(SUBSTITUTE(SUBSTITUTE(SUBSTITUTE(SUBSTITUTE(INDEX(PASTE_ALL,$DF506,$L$9)," "," "),CHAR(9)," "),CHAR(10)," "),CHAR(13)," "))),"")))</f>
        <v/>
      </c>
      <c r="DR506">
        <f>IF($DM506=0,"",IF($L$10=0,"",IFERROR(IF(ISNUMBER(INDEX(PASTE_ALL,$DF506,$L$10)),INDEX(PASTE_ALL,$DF506,$L$10),TRIM(SUBSTITUTE(SUBSTITUTE(SUBSTITUTE(SUBSTITUTE(INDEX(PASTE_ALL,$DF506,$L$10)," "," "),CHAR(9)," "),CHAR(10)," "),CHAR(13)," "))),"")))</f>
        <v/>
      </c>
      <c r="DS506">
        <f>IF($DM506=0,"",IF($L$11=0,"",IFERROR(IF(ISNUMBER(INDEX(PASTE_ALL,$DF506,$L$11)),INDEX(PASTE_ALL,$DF506,$L$11),TRIM(SUBSTITUTE(SUBSTITUTE(SUBSTITUTE(SUBSTITUTE(INDEX(PASTE_ALL,$DF506,$L$11)," "," "),CHAR(9)," "),CHAR(10)," "),CHAR(13)," "))),"")))</f>
        <v/>
      </c>
      <c r="DT506">
        <f>IF($DM506=0,"",IF($L$12=0,"",IFERROR(IF(ISNUMBER(INDEX(PASTE_ALL,$DF506,$L$12)),INDEX(PASTE_ALL,$DF506,$L$12),TRIM(SUBSTITUTE(SUBSTITUTE(SUBSTITUTE(SUBSTITUTE(INDEX(PASTE_ALL,$DF506,$L$12)," "," "),CHAR(9)," "),CHAR(10)," "),CHAR(13)," "))),"")))</f>
        <v/>
      </c>
      <c r="DU506">
        <f>IF($DM506=0,"",IF($L$13=0,"",IFERROR(IF(ISNUMBER(INDEX(PASTE_ALL,$DF506,$L$13)),INDEX(PASTE_ALL,$DF506,$L$13),TRIM(SUBSTITUTE(SUBSTITUTE(SUBSTITUTE(SUBSTITUTE(INDEX(PASTE_ALL,$DF506,$L$13)," "," "),CHAR(9)," "),CHAR(10)," "),CHAR(13)," "))),"")))</f>
        <v/>
      </c>
      <c r="DV506">
        <f>IF($DM506=0,"",IF($L$14=0,"",IFERROR(IF(ISNUMBER(INDEX(PASTE_ALL,$DF506,$L$14)),INDEX(PASTE_ALL,$DF506,$L$14),TRIM(SUBSTITUTE(SUBSTITUTE(SUBSTITUTE(SUBSTITUTE(INDEX(PASTE_ALL,$DF506,$L$14)," "," "),CHAR(9)," "),CHAR(10)," "),CHAR(13)," "))),"")))</f>
        <v/>
      </c>
      <c r="DW506">
        <f>IF($DM506=0,"",IF($L$15=0,"",IFERROR(IF(ISNUMBER(INDEX(PASTE_ALL,$DF506,$L$15)),INDEX(PASTE_ALL,$DF506,$L$15),IF(SUMPRODUCT(--ISNUMBER(FIND({"A","B","C","D","E","F","G","H","I","J","K","L","M","N","O","P","Q","R","S","T","U","V","W","X","Y","Z","0","1","2","3","4","5","6","7","8","9"},UPPER(TRIM(SUBSTITUTE(SUBSTITUTE(SUBSTITUTE(SUBSTITUTE(INDEX(PASTE_ALL,$DF506,$L$15)," "," "),CHAR(9)," "),CHAR(10)," "),CHAR(13)," "))))))&gt;0,TRIM(SUBSTITUTE(SUBSTITUTE(SUBSTITUTE(SUBSTITUTE(INDEX(PASTE_ALL,$DF506,$L$15)," "," "),CHAR(9)," "),CHAR(10)," "),CHAR(13)," ")),"")),"")))</f>
        <v/>
      </c>
      <c r="DX506">
        <f>IF($DM506=0,"",IF($L$16=0,"",IFERROR(IF(ISNUMBER(INDEX(PASTE_ALL,$DF506,$L$16)),INDEX(PASTE_ALL,$DF506,$L$16),SUBSTITUTE(SUBSTITUTE(TRIM(SUBSTITUTE(SUBSTITUTE(SUBSTITUTE(SUBSTITUTE(INDEX(PASTE_ALL,$DF506,$L$16)," "," "),CHAR(9)," "),CHAR(10)," "),CHAR(13)," ")),",",""),"%","")),"")))</f>
        <v/>
      </c>
      <c r="DY506">
        <f>IF($DM506=0,"",IFERROR(IF(ISNUMBER($DX506),$DX506,IF($DX506="","",IF(TRIM($DX506)="",0,IF(AND(AND(SUBSTITUTE(SUBSTITUTE(SUBSTITUTE(SUBSTITUTE(SUBSTITUTE(SUBSTITUTE(SUBSTITUTE(SUBSTITUTE(SUBSTITUTE(SUBSTITUTE(SUBSTITUTE(SUBSTITUTE(SUBSTITUTE(SUBSTITUTE(UPPER(TRIM($DX506)),"0",""),"1",""),"2",""),"3",""),"4",""),"5",""),"6",""),"7",""),"8",""),"9",""),".",""),"+",""),"-",""),"E","")="",LEN(SUBSTITUTE(SUBSTITUTE(MID(UPPER(TRIM($DX506)),1+OR(LEFT(UPPER(TRIM($DX506)),1)="+",LEFT(UPPER(TRIM($DX506)),1)="-"),999),"E+","E"),"E-","E"))=LEN(SUBSTITUTE(SUBSTITUTE(SUBSTITUTE(SUBSTITUTE(MID(UPPER(TRIM($DX506)),1+OR(LEFT(UPPER(TRIM($DX506)),1)="+",LEFT(UPPER(TRIM($DX506)),1)="-"),999),"E+","E"),"E-","E"),"+",""),"-","")),LEN(UPPER(TRIM($DX506)))-LEN(SUBSTITUTE(UPPER(TRIM($DX506)),"E",""))&lt;2,LEN(UPPER(TRIM($DX506)))-LEN(SUBSTITUTE(UPPER(TRIM($DX506)),".",""))&lt;2,IFERROR(FIND(".",UPPER(TRIM($DX506))),0)&lt;IFERROR(FIND("E",UPPER(TRIM($DX506))),999)),ISNUMBER(VALUE(TRIM($DX506)))),VALUE(TRIM($DX506)),"")))),""))</f>
        <v/>
      </c>
      <c r="DZ506">
        <f>IF($DM506=0,"",IF($L$17=0,"",IFERROR(IF(ISNUMBER(INDEX(PASTE_ALL,$DF506,$L$17)),INDEX(PASTE_ALL,$DF506,$L$17),SUBSTITUTE(SUBSTITUTE(TRIM(SUBSTITUTE(SUBSTITUTE(SUBSTITUTE(SUBSTITUTE(INDEX(PASTE_ALL,$DF506,$L$17)," "," "),CHAR(9)," "),CHAR(10)," "),CHAR(13)," ")),",",""),"%","")),"")))</f>
        <v/>
      </c>
      <c r="EA506">
        <f>IF($DM506=0,"",IFERROR(IF(ISNUMBER($DZ506),$DZ506,IF($DZ506="","",IF(TRIM($DZ506)="",0,IF(AND(AND(SUBSTITUTE(SUBSTITUTE(SUBSTITUTE(SUBSTITUTE(SUBSTITUTE(SUBSTITUTE(SUBSTITUTE(SUBSTITUTE(SUBSTITUTE(SUBSTITUTE(SUBSTITUTE(SUBSTITUTE(SUBSTITUTE(SUBSTITUTE(UPPER(TRIM($DZ506)),"0",""),"1",""),"2",""),"3",""),"4",""),"5",""),"6",""),"7",""),"8",""),"9",""),".",""),"+",""),"-",""),"E","")="",LEN(SUBSTITUTE(SUBSTITUTE(MID(UPPER(TRIM($DZ506)),1+OR(LEFT(UPPER(TRIM($DZ506)),1)="+",LEFT(UPPER(TRIM($DZ506)),1)="-"),999),"E+","E"),"E-","E"))=LEN(SUBSTITUTE(SUBSTITUTE(SUBSTITUTE(SUBSTITUTE(MID(UPPER(TRIM($DZ506)),1+OR(LEFT(UPPER(TRIM($DZ506)),1)="+",LEFT(UPPER(TRIM($DZ506)),1)="-"),999),"E+","E"),"E-","E"),"+",""),"-","")),LEN(UPPER(TRIM($DZ506)))-LEN(SUBSTITUTE(UPPER(TRIM($DZ506)),"E",""))&lt;2,LEN(UPPER(TRIM($DZ506)))-LEN(SUBSTITUTE(UPPER(TRIM($DZ506)),".",""))&lt;2,IFERROR(FIND(".",UPPER(TRIM($DZ506))),0)&lt;IFERROR(FIND("E",UPPER(TRIM($DZ506))),999)),ISNUMBER(VALUE(TRIM($DZ506)))),VALUE(TRIM($DZ506)),"")))),""))</f>
        <v/>
      </c>
      <c r="EB506">
        <f>IF($DM506=0,"",IF($L$18=0,"",IFERROR(IF(UPPER(TRIM(SUBSTITUTE(SUBSTITUTE(SUBSTITUTE(SUBSTITUTE(INDEX(PASTE_ALL,$DF506,$L$18)," "," "),CHAR(9)," "),CHAR(10)," "),CHAR(13)," ")))="READY","Ready",IF(UPPER(TRIM(SUBSTITUTE(SUBSTITUTE(SUBSTITUTE(SUBSTITUTE(INDEX(PASTE_ALL,$DF506,$L$18)," "," "),CHAR(9)," "),CHAR(10)," "),CHAR(13)," ")))="PM","PM",IF(OR(UPPER(TRIM(SUBSTITUTE(SUBSTITUTE(SUBSTITUTE(SUBSTITUTE(INDEX(PASTE_ALL,$DF506,$L$18)," "," "),CHAR(9)," "),CHAR(10)," "),CHAR(13)," ")))="OT",UPPER(TRIM(SUBSTITUTE(SUBSTITUTE(SUBSTITUTE(SUBSTITUTE(INDEX(PASTE_ALL,$DF506,$L$18)," "," "),CHAR(9)," "),CHAR(10)," "),CHAR(13)," ")))="OVERTIME",UPPER(TRIM(SUBSTITUTE(SUBSTITUTE(SUBSTITUTE(SUBSTITUTE(INDEX(PASTE_ALL,$DF506,$L$18)," "," "),CHAR(9)," "),CHAR(10)," "),CHAR(13)," ")))="TRIAL"),"OT",TRIM(SUBSTITUTE(SUBSTITUTE(SUBSTITUTE(SUBSTITUTE(INDEX(PASTE_ALL,$DF506,$L$18)," "," "),CHAR(9)," "),CHAR(10)," "),CHAR(13)," "))))),"")))</f>
        <v/>
      </c>
      <c r="EC506">
        <f>IF($DM506=0,"",IF($L$19=0,"",IFERROR(IF(ISNUMBER(INDEX(PASTE_ALL,$DF506,$L$19)),INDEX(PASTE_ALL,$DF506,$L$19),TRIM(SUBSTITUTE(SUBSTITUTE(SUBSTITUTE(SUBSTITUTE(INDEX(PASTE_ALL,$DF506,$L$19)," "," "),CHAR(9)," "),CHAR(10)," "),CHAR(13)," "))),"")))</f>
        <v/>
      </c>
      <c r="ED506">
        <f>IF($DM506=0,"",MATCH(1,INDEX(EXACT($DH$5:DH506,$DH506)*$DM$5:DM506,0),0))</f>
        <v/>
      </c>
      <c r="EE506">
        <f>IF($DM506=0,0,IF($ED506=$DE506,1,0))</f>
        <v/>
      </c>
      <c r="EF506">
        <f>EF505+$EE506</f>
        <v/>
      </c>
      <c r="EG506">
        <f>IF($DM506=0,"",INDEX($EF$5:$EF$1003,$ED506))</f>
        <v/>
      </c>
      <c r="EH506">
        <f>IF($DM506=0,"",IF($DO506&lt;&gt;"","",IFERROR(LOOKUP(2,1/(($EG$4:EG505=$EG506)*($DO$4:DO505&lt;&gt;"")),$DO$4:DO505),"")))</f>
        <v/>
      </c>
      <c r="EI506">
        <f>IF($DM506=0,"",IF($DO506&lt;&gt;"",$DO506,$EH506))</f>
        <v/>
      </c>
      <c r="EJ506">
        <f>IF($DM506=0,"",IF($EI506="",0,IF(OR(ISNUMBER($EI506),AND(AND(SUBSTITUTE(SUBSTITUTE(SUBSTITUTE(SUBSTITUTE(SUBSTITUTE(SUBSTITUTE(SUBSTITUTE(SUBSTITUTE(SUBSTITUTE(SUBSTITUTE(SUBSTITUTE(SUBSTITUTE(SUBSTITUTE(SUBSTITUTE(UPPER($EI506),"0",""),"1",""),"2",""),"3",""),"4",""),"5",""),"6",""),"7",""),"8",""),"9",""),".",""),"+",""),"-",""),"E","")="",LEN(SUBSTITUTE(SUBSTITUTE(MID(UPPER($EI506),1+OR(LEFT(UPPER($EI506),1)="+",LEFT(UPPER($EI506),1)="-"),999),"E+","E"),"E-","E"))=LEN(SUBSTITUTE(SUBSTITUTE(SUBSTITUTE(SUBSTITUTE(MID(UPPER($EI506),1+OR(LEFT(UPPER($EI506),1)="+",LEFT(UPPER($EI506),1)="-"),999),"E+","E"),"E-","E"),"+",""),"-","")),LEN(UPPER($EI506))-LEN(SUBSTITUTE(UPPER($EI506),"E",""))&lt;2,LEN(UPPER($EI506))-LEN(SUBSTITUTE(UPPER($EI506),".",""))&lt;2,IFERROR(FIND(".",UPPER($EI506)),0)&lt;IFERROR(FIND("E",UPPER($EI506)),999)),ISNUMBER(VALUE($EI506)))),1,2)))</f>
        <v/>
      </c>
      <c r="EK506">
        <f>IF($DM506=0,"",IF($EJ506=1,IF(ISNUMBER($EI506),$EI506,VALUE($EI506)),IF($EJ506=2,$DE506,0)))</f>
        <v/>
      </c>
      <c r="EL506">
        <f>IF($DM506=0,"",COUNTIF($EG$5:$EG$1003,"&lt;"&amp;$EG506)+SUMPRODUCT(($EG$5:$EG$1003=$EG506)*(($EJ$5:$EJ$1003&lt;$EJ506)+($EJ$5:$EJ$1003=$EJ506)*(($EK$5:$EK$1003&lt;$EK506)+($EK$5:$EK$1003=$EK506)*($DE$5:$DE$1003&lt;$DE506))))+1)</f>
        <v/>
      </c>
      <c r="EM506">
        <f>IF($DM506=0,"",$EL506+$EG506-1)</f>
        <v/>
      </c>
      <c r="EN506">
        <f>IF($DM506=0,0,IFERROR(MATCH(1,INDEX(--(TRIM(SUBSTITUTE(SUBSTITUTE(SUBSTITUTE(SUBSTITUTE(LINES_NAME&amp;""," "," "),CHAR(9)," "),CHAR(10)," "),CHAR(13)," "))=$DH506),0),0),0))</f>
        <v/>
      </c>
      <c r="EO506">
        <f>IF($EN506=0,0,IF(OR(UPPER(TRIM(INDEX(LINES_SCHEDULED,$EN506)&amp;""))="YES",UPPER(TRIM(INDEX(LINES_SCHEDULED,$EN506)&amp;""))="Y",UPPER(TRIM(INDEX(LINES_SCHEDULED,$EN506)&amp;""))="X"),1,0))</f>
        <v/>
      </c>
      <c r="EP506">
        <f>IF($DM506=0,"",IF(COUNTIFS($EG$5:$EG$1003,$EG506,$EB$5:$EB$1003,"Ready")&gt;0,"READY",IF(COUNTIFS($EG$5:$EG$1003,$EG506,$EB$5:$EB$1003,"PM")&gt;0,"PM",IF(COUNTIFS($EG$5:$EG$1003,$EG506,$EB$5:$EB$1003,"OT")&gt;0,"OT",""))))</f>
        <v/>
      </c>
      <c r="EQ506">
        <f>IF($EN506=0,"",UPPER(TRIM(INDEX(LINES_STATUS,$EN506)&amp;"")))</f>
        <v/>
      </c>
      <c r="ER506">
        <f>IF($DM506=0,"",IF(OR($EQ506="READY",$EQ506="PM",$EQ506="OT"),$EQ506,$EP506))</f>
        <v/>
      </c>
      <c r="ES506">
        <f>IF($DM506=0,"",IF(AND($DV506&lt;&gt;"",UPPER($DV506)&lt;&gt;"N"),"allergen",IF(ISNUMBER(SEARCH("oil",$DQ506)),"oil",IF(OR(EXACT($DS506,"A662"),EXACT($DS506,"A624")),"bulk",""))))</f>
        <v/>
      </c>
      <c r="ET506">
        <f>IF($DM506=0,"",IF(OR($EA506="",$EA506=0),"",$EA506/100))</f>
        <v/>
      </c>
      <c r="EU506">
        <f>IF(OR($ET506="",$DY506=""),"",INT($DY506*(1-$ET506)+0.5))</f>
        <v/>
      </c>
      <c r="EW506" t="n">
        <v>502</v>
      </c>
      <c r="EX506">
        <f>IFERROR(MATCH($EW506,$EM$5:$EM$1003,0),0)</f>
        <v/>
      </c>
      <c r="EY506">
        <f>IF($EW506&gt;$B$12,"",IF($EX506&gt;0,"row","spacer"))</f>
        <v/>
      </c>
      <c r="EZ506">
        <f>IF(AND($EY506="row",$EY505&lt;&gt;"row"),1,0)</f>
        <v/>
      </c>
      <c r="FA506">
        <f>IF(AND($EY506="row",$EY507&lt;&gt;"row"),1,0)</f>
        <v/>
      </c>
      <c r="FB506">
        <f>IF($EZ506=1,IFERROR(IF(ISNUMBER(INDEX(PASTE_ALL,INDEX($DF$5:$DF$1003,$EX506),$B$37)),INDEX(PASTE_ALL,INDEX($DF$5:$DF$1003,$EX506),$B$37),INDEX($DH$5:$DH$1003,$EX506)),INDEX($DH$5:$DH$1003,$EX506)),"")</f>
        <v/>
      </c>
      <c r="FC506">
        <f>IF($EY506="row",INDEX($ER$5:$ER$1003,$EX506),"")</f>
        <v/>
      </c>
      <c r="FD506">
        <f>IF($EY506="row",INDEX($DN$5:$DN$1003,$EX506),"")</f>
        <v/>
      </c>
      <c r="FE506">
        <f>IF($EY506="row",INDEX($DO$5:$DO$1003,$EX506),"")</f>
        <v/>
      </c>
      <c r="FF506">
        <f>IF($EY506="row",INDEX($DP$5:$DP$1003,$EX506),"")</f>
        <v/>
      </c>
      <c r="FG506">
        <f>IF($EY506="row",INDEX($DQ$5:$DQ$1003,$EX506),"")</f>
        <v/>
      </c>
      <c r="FH506">
        <f>IF($EY506="row",INDEX($DR$5:$DR$1003,$EX506),"")</f>
        <v/>
      </c>
      <c r="FI506">
        <f>IF($EY506="row",INDEX($DS$5:$DS$1003,$EX506),"")</f>
        <v/>
      </c>
      <c r="FJ506">
        <f>IF($EY506="row",INDEX($DT$5:$DT$1003,$EX506),"")</f>
        <v/>
      </c>
      <c r="FK506">
        <f>IF($EY506="row",INDEX($DU$5:$DU$1003,$EX506),"")</f>
        <v/>
      </c>
      <c r="FL506">
        <f>IF($EY506="row",INDEX($DV$5:$DV$1003,$EX506),"")</f>
        <v/>
      </c>
      <c r="FM506">
        <f>IF($EY506="row",INDEX($DW$5:$DW$1003,$EX506),"")</f>
        <v/>
      </c>
      <c r="FN506">
        <f>IF($EY506="row",INDEX($DY$5:$DY$1003,$EX506),"")</f>
        <v/>
      </c>
      <c r="FO506">
        <f>IF($EY506="row",INDEX($EA$5:$EA$1003,$EX506),"")</f>
        <v/>
      </c>
      <c r="FP506">
        <f>IF($EY506="row",INDEX($EC$5:$EC$1003,$EX506),"")</f>
        <v/>
      </c>
      <c r="FQ506">
        <f>IF($EY506="row",INDEX($ET$5:$ET$1003,$EX506),"")</f>
        <v/>
      </c>
      <c r="FR506">
        <f>IF($EY506="row",INDEX($EU$5:$EU$1003,$EX506),"")</f>
        <v/>
      </c>
      <c r="FS506">
        <f>IF(AND($EY506="row",$EY505="row"),IF(OR(INDEX($DT$5:$DT$1003,$EX505)="",INDEX($DT$5:$DT$1003,$EX506)=""),"",IF(NOT(EXACT(INDEX($DT$5:$DT$1003,$EX505),INDEX($DT$5:$DT$1003,$EX506))),"S4",IF(NOT(EXACT(INDEX($DS$5:$DS$1003,$EX505),INDEX($DS$5:$DS$1003,$EX506))),"S3",IF(NOT(EXACT(INDEX($DR$5:$DR$1003,$EX505),INDEX($DR$5:$DR$1003,$EX506))),"S1 Count Change","S1")))),"")</f>
        <v/>
      </c>
      <c r="FT506">
        <f>IF($EY506="row",INDEX($ES$5:$ES$1003,$EX506),"")</f>
        <v/>
      </c>
      <c r="FU506">
        <f>IF($EY506="row",INDEX($EO$5:$EO$1003,$EX506),0)</f>
        <v/>
      </c>
      <c r="FV506">
        <f>IF($FS506="S1 Count Change",1,0)</f>
        <v/>
      </c>
    </row>
    <row r="507">
      <c r="DA507" t="n">
        <v>503</v>
      </c>
      <c r="DB507">
        <f>IF($B$37=0,"",IFERROR(TRIM(SUBSTITUTE(SUBSTITUTE(SUBSTITUTE(SUBSTITUTE(INDEX(PASTE_ALL,503,$B$37)," "," "),CHAR(9)," "),CHAR(10)," "),CHAR(13)," ")),""))</f>
        <v/>
      </c>
      <c r="DC507">
        <f>IF(AND(503&gt;HEADER_ROW,UPPER(DB507)="LEGEND"),1,0)</f>
        <v/>
      </c>
      <c r="DE507" t="n">
        <v>503</v>
      </c>
      <c r="DF507">
        <f>HEADER_ROW+$DE507</f>
        <v/>
      </c>
      <c r="DG507">
        <f>IF(AND($DF507&lt;=1000,$DF507&lt;$B$8),1,0)</f>
        <v/>
      </c>
      <c r="DH507">
        <f>IF($DG507=1,IFERROR(INDEX($DB$5:$DB$1004,$DF507),""),"")</f>
        <v/>
      </c>
      <c r="DI507">
        <f>IF(AND($DG507=1,$DH507&lt;&gt;""),IFERROR(SUBSTITUTE(SUBSTITUTE(TRIM(SUBSTITUTE(SUBSTITUTE(SUBSTITUTE(SUBSTITUTE(IFERROR(INDEX(PASTE_ALL,$DF507,1)&amp;"","")&amp;"␟"&amp;IFERROR(INDEX(PASTE_ALL,$DF507,2)&amp;"","")&amp;"␟"&amp;IFERROR(INDEX(PASTE_ALL,$DF507,3)&amp;"","")&amp;"␟"&amp;IFERROR(INDEX(PASTE_ALL,$DF507,4)&amp;"","")&amp;"␟"&amp;IFERROR(INDEX(PASTE_ALL,$DF507,5)&amp;"","")&amp;"␟"&amp;IFERROR(INDEX(PASTE_ALL,$DF507,6)&amp;"","")&amp;"␟"&amp;IFERROR(INDEX(PASTE_ALL,$DF507,7)&amp;"","")&amp;"␟"&amp;IFERROR(INDEX(PASTE_ALL,$DF507,8)&amp;"","")&amp;"␟"&amp;IFERROR(INDEX(PASTE_ALL,$DF507,9)&amp;"","")&amp;"␟"&amp;IFERROR(INDEX(PASTE_ALL,$DF507,10)&amp;"","")&amp;"␟"&amp;IFERROR(INDEX(PASTE_ALL,$DF507,11)&amp;"","")&amp;"␟"&amp;IFERROR(INDEX(PASTE_ALL,$DF507,12)&amp;"","")&amp;"␟"&amp;IFERROR(INDEX(PASTE_ALL,$DF507,13)&amp;"","")&amp;"␟"&amp;IFERROR(INDEX(PASTE_ALL,$DF507,14)&amp;"","")&amp;"␟"&amp;IFERROR(INDEX(PASTE_ALL,$DF507,15)&amp;"","")&amp;"␟"&amp;IFERROR(INDEX(PASTE_ALL,$DF507,16)&amp;"","")&amp;"␟"&amp;IFERROR(INDEX(PASTE_ALL,$DF507,17)&amp;"","")&amp;"␟"&amp;IFERROR(INDEX(PASTE_ALL,$DF507,18)&amp;"","")&amp;"␟"&amp;IFERROR(INDEX(PASTE_ALL,$DF507,19)&amp;"","")&amp;"␟"&amp;IFERROR(INDEX(PASTE_ALL,$DF507,20)&amp;"","")&amp;"␟"&amp;IFERROR(INDEX(PASTE_ALL,$DF507,21)&amp;"","")&amp;"␟"&amp;IFERROR(INDEX(PASTE_ALL,$DF507,22)&amp;"","")&amp;"␟"&amp;IFERROR(INDEX(PASTE_ALL,$DF507,23)&amp;"","")&amp;"␟"&amp;IFERROR(INDEX(PASTE_ALL,$DF507,24)&amp;"","")&amp;"␟"&amp;IFERROR(INDEX(PASTE_ALL,$DF507,25)&amp;"","")&amp;"␟"&amp;IFERROR(INDEX(PASTE_ALL,$DF507,26)&amp;"","")&amp;"␟"&amp;IFERROR(INDEX(PASTE_ALL,$DF507,27)&amp;"","")&amp;"␟"&amp;IFERROR(INDEX(PASTE_ALL,$DF507,28)&amp;"","")&amp;"␟"&amp;IFERROR(INDEX(PASTE_ALL,$DF507,29)&amp;"","")&amp;"␟"&amp;IFERROR(INDEX(PASTE_ALL,$DF507,30)&amp;"","")&amp;"␟"&amp;IFERROR(INDEX(PASTE_ALL,$DF507,31)&amp;"","")&amp;"␟"&amp;IFERROR(INDEX(PASTE_ALL,$DF507,32)&amp;"","")&amp;"␟"&amp;IFERROR(INDEX(PASTE_ALL,$DF507,33)&amp;"","")&amp;"␟"&amp;IFERROR(INDEX(PASTE_ALL,$DF507,34)&amp;"","")&amp;"␟"&amp;IFERROR(INDEX(PASTE_ALL,$DF507,35)&amp;"","")&amp;"␟"&amp;IFERROR(INDEX(PASTE_ALL,$DF507,36)&amp;"","")&amp;"␟"&amp;IFERROR(INDEX(PASTE_ALL,$DF507,37)&amp;"","")&amp;"␟"&amp;IFERROR(INDEX(PASTE_ALL,$DF507,38)&amp;"","")&amp;"␟"&amp;IFERROR(INDEX(PASTE_ALL,$DF507,39)&amp;"","")&amp;"␟"&amp;IFERROR(INDEX(PASTE_ALL,$DF507,40)&amp;"","")&amp;"␟"&amp;IFERROR(INDEX(PASTE_ALL,$DF507,41)&amp;"","")&amp;"␟"&amp;IFERROR(INDEX(PASTE_ALL,$DF507,42)&amp;"","")&amp;"␟"&amp;IFERROR(INDEX(PASTE_ALL,$DF507,43)&amp;"","")&amp;"␟"&amp;IFERROR(INDEX(PASTE_ALL,$DF507,44)&amp;"","")&amp;"␟"&amp;IFERROR(INDEX(PASTE_ALL,$DF507,45)&amp;"","")&amp;"␟"&amp;IFERROR(INDEX(PASTE_ALL,$DF507,46)&amp;"","")&amp;"␟"&amp;IFERROR(INDEX(PASTE_ALL,$DF507,47)&amp;"","")&amp;"␟"&amp;IFERROR(INDEX(PASTE_ALL,$DF507,48)&amp;"","")&amp;"␟"&amp;IFERROR(INDEX(PASTE_ALL,$DF507,49)&amp;"","")&amp;"␟"&amp;IFERROR(INDEX(PASTE_ALL,$DF507,50)&amp;"","")&amp;"␟"&amp;IFERROR(INDEX(PASTE_ALL,$DF507,51)&amp;"","")&amp;"␟"&amp;IFERROR(INDEX(PASTE_ALL,$DF507,52)&amp;"","")&amp;"␟"&amp;IFERROR(INDEX(PASTE_ALL,$DF507,53)&amp;"","")&amp;"␟"&amp;IFERROR(INDEX(PASTE_ALL,$DF507,54)&amp;"","")&amp;"␟"&amp;IFERROR(INDEX(PASTE_ALL,$DF507,55)&amp;"","")&amp;"␟"&amp;IFERROR(INDEX(PASTE_ALL,$DF507,56)&amp;"","")&amp;"␟"&amp;IFERROR(INDEX(PASTE_ALL,$DF507,57)&amp;"","")&amp;"␟"&amp;IFERROR(INDEX(PASTE_ALL,$DF507,58)&amp;"","")&amp;"␟"&amp;IFERROR(INDEX(PASTE_ALL,$DF507,59)&amp;"","")&amp;"␟"&amp;IFERROR(INDEX(PASTE_ALL,$DF507,60)&amp;"","")," "," "),CHAR(9)," "),CHAR(10)," "),CHAR(13)," "))," ␟","␟"),"␟ ","␟"),"#"&amp;$DE507),"")</f>
        <v/>
      </c>
      <c r="DJ507">
        <f>IF($DI507="",0,IF(SUMPRODUCT(--EXACT($DI$4:DI506,$DI507))&gt;0,1,0))</f>
        <v/>
      </c>
      <c r="DK507">
        <f>IF(AND($DI507&lt;&gt;"",$DJ507=0),1,0)</f>
        <v/>
      </c>
      <c r="DL507">
        <f>DL506+$DK507</f>
        <v/>
      </c>
      <c r="DM507">
        <f>IF(AND($DK507=1,$DL507&lt;=600),1,0)</f>
        <v/>
      </c>
      <c r="DN507">
        <f>IF($DM507=0,"",IF($L$6=0,"",IFERROR(IF(ISNUMBER(INDEX(PASTE_ALL,$DF507,$L$6)),INDEX(PASTE_ALL,$DF507,$L$6),TRIM(SUBSTITUTE(SUBSTITUTE(SUBSTITUTE(SUBSTITUTE(INDEX(PASTE_ALL,$DF507,$L$6)," "," "),CHAR(9)," "),CHAR(10)," "),CHAR(13)," "))),"")))</f>
        <v/>
      </c>
      <c r="DO507">
        <f>IF($DM507=0,"",IF($L$7=0,"",IFERROR(IF(ISNUMBER(INDEX(PASTE_ALL,$DF507,$L$7)),INDEX(PASTE_ALL,$DF507,$L$7),TRIM(SUBSTITUTE(SUBSTITUTE(SUBSTITUTE(SUBSTITUTE(INDEX(PASTE_ALL,$DF507,$L$7)," "," "),CHAR(9)," "),CHAR(10)," "),CHAR(13)," "))),"")))</f>
        <v/>
      </c>
      <c r="DP507">
        <f>IF($DM507=0,"",IF($L$8=0,"",IFERROR(IF(ISNUMBER(INDEX(PASTE_ALL,$DF507,$L$8)),INDEX(PASTE_ALL,$DF507,$L$8),TRIM(SUBSTITUTE(SUBSTITUTE(SUBSTITUTE(SUBSTITUTE(INDEX(PASTE_ALL,$DF507,$L$8)," "," "),CHAR(9)," "),CHAR(10)," "),CHAR(13)," "))),"")))</f>
        <v/>
      </c>
      <c r="DQ507">
        <f>IF($DM507=0,"",IF($L$9=0,"",IFERROR(IF(ISNUMBER(INDEX(PASTE_ALL,$DF507,$L$9)),INDEX(PASTE_ALL,$DF507,$L$9),TRIM(SUBSTITUTE(SUBSTITUTE(SUBSTITUTE(SUBSTITUTE(INDEX(PASTE_ALL,$DF507,$L$9)," "," "),CHAR(9)," "),CHAR(10)," "),CHAR(13)," "))),"")))</f>
        <v/>
      </c>
      <c r="DR507">
        <f>IF($DM507=0,"",IF($L$10=0,"",IFERROR(IF(ISNUMBER(INDEX(PASTE_ALL,$DF507,$L$10)),INDEX(PASTE_ALL,$DF507,$L$10),TRIM(SUBSTITUTE(SUBSTITUTE(SUBSTITUTE(SUBSTITUTE(INDEX(PASTE_ALL,$DF507,$L$10)," "," "),CHAR(9)," "),CHAR(10)," "),CHAR(13)," "))),"")))</f>
        <v/>
      </c>
      <c r="DS507">
        <f>IF($DM507=0,"",IF($L$11=0,"",IFERROR(IF(ISNUMBER(INDEX(PASTE_ALL,$DF507,$L$11)),INDEX(PASTE_ALL,$DF507,$L$11),TRIM(SUBSTITUTE(SUBSTITUTE(SUBSTITUTE(SUBSTITUTE(INDEX(PASTE_ALL,$DF507,$L$11)," "," "),CHAR(9)," "),CHAR(10)," "),CHAR(13)," "))),"")))</f>
        <v/>
      </c>
      <c r="DT507">
        <f>IF($DM507=0,"",IF($L$12=0,"",IFERROR(IF(ISNUMBER(INDEX(PASTE_ALL,$DF507,$L$12)),INDEX(PASTE_ALL,$DF507,$L$12),TRIM(SUBSTITUTE(SUBSTITUTE(SUBSTITUTE(SUBSTITUTE(INDEX(PASTE_ALL,$DF507,$L$12)," "," "),CHAR(9)," "),CHAR(10)," "),CHAR(13)," "))),"")))</f>
        <v/>
      </c>
      <c r="DU507">
        <f>IF($DM507=0,"",IF($L$13=0,"",IFERROR(IF(ISNUMBER(INDEX(PASTE_ALL,$DF507,$L$13)),INDEX(PASTE_ALL,$DF507,$L$13),TRIM(SUBSTITUTE(SUBSTITUTE(SUBSTITUTE(SUBSTITUTE(INDEX(PASTE_ALL,$DF507,$L$13)," "," "),CHAR(9)," "),CHAR(10)," "),CHAR(13)," "))),"")))</f>
        <v/>
      </c>
      <c r="DV507">
        <f>IF($DM507=0,"",IF($L$14=0,"",IFERROR(IF(ISNUMBER(INDEX(PASTE_ALL,$DF507,$L$14)),INDEX(PASTE_ALL,$DF507,$L$14),TRIM(SUBSTITUTE(SUBSTITUTE(SUBSTITUTE(SUBSTITUTE(INDEX(PASTE_ALL,$DF507,$L$14)," "," "),CHAR(9)," "),CHAR(10)," "),CHAR(13)," "))),"")))</f>
        <v/>
      </c>
      <c r="DW507">
        <f>IF($DM507=0,"",IF($L$15=0,"",IFERROR(IF(ISNUMBER(INDEX(PASTE_ALL,$DF507,$L$15)),INDEX(PASTE_ALL,$DF507,$L$15),IF(SUMPRODUCT(--ISNUMBER(FIND({"A","B","C","D","E","F","G","H","I","J","K","L","M","N","O","P","Q","R","S","T","U","V","W","X","Y","Z","0","1","2","3","4","5","6","7","8","9"},UPPER(TRIM(SUBSTITUTE(SUBSTITUTE(SUBSTITUTE(SUBSTITUTE(INDEX(PASTE_ALL,$DF507,$L$15)," "," "),CHAR(9)," "),CHAR(10)," "),CHAR(13)," "))))))&gt;0,TRIM(SUBSTITUTE(SUBSTITUTE(SUBSTITUTE(SUBSTITUTE(INDEX(PASTE_ALL,$DF507,$L$15)," "," "),CHAR(9)," "),CHAR(10)," "),CHAR(13)," ")),"")),"")))</f>
        <v/>
      </c>
      <c r="DX507">
        <f>IF($DM507=0,"",IF($L$16=0,"",IFERROR(IF(ISNUMBER(INDEX(PASTE_ALL,$DF507,$L$16)),INDEX(PASTE_ALL,$DF507,$L$16),SUBSTITUTE(SUBSTITUTE(TRIM(SUBSTITUTE(SUBSTITUTE(SUBSTITUTE(SUBSTITUTE(INDEX(PASTE_ALL,$DF507,$L$16)," "," "),CHAR(9)," "),CHAR(10)," "),CHAR(13)," ")),",",""),"%","")),"")))</f>
        <v/>
      </c>
      <c r="DY507">
        <f>IF($DM507=0,"",IFERROR(IF(ISNUMBER($DX507),$DX507,IF($DX507="","",IF(TRIM($DX507)="",0,IF(AND(AND(SUBSTITUTE(SUBSTITUTE(SUBSTITUTE(SUBSTITUTE(SUBSTITUTE(SUBSTITUTE(SUBSTITUTE(SUBSTITUTE(SUBSTITUTE(SUBSTITUTE(SUBSTITUTE(SUBSTITUTE(SUBSTITUTE(SUBSTITUTE(UPPER(TRIM($DX507)),"0",""),"1",""),"2",""),"3",""),"4",""),"5",""),"6",""),"7",""),"8",""),"9",""),".",""),"+",""),"-",""),"E","")="",LEN(SUBSTITUTE(SUBSTITUTE(MID(UPPER(TRIM($DX507)),1+OR(LEFT(UPPER(TRIM($DX507)),1)="+",LEFT(UPPER(TRIM($DX507)),1)="-"),999),"E+","E"),"E-","E"))=LEN(SUBSTITUTE(SUBSTITUTE(SUBSTITUTE(SUBSTITUTE(MID(UPPER(TRIM($DX507)),1+OR(LEFT(UPPER(TRIM($DX507)),1)="+",LEFT(UPPER(TRIM($DX507)),1)="-"),999),"E+","E"),"E-","E"),"+",""),"-","")),LEN(UPPER(TRIM($DX507)))-LEN(SUBSTITUTE(UPPER(TRIM($DX507)),"E",""))&lt;2,LEN(UPPER(TRIM($DX507)))-LEN(SUBSTITUTE(UPPER(TRIM($DX507)),".",""))&lt;2,IFERROR(FIND(".",UPPER(TRIM($DX507))),0)&lt;IFERROR(FIND("E",UPPER(TRIM($DX507))),999)),ISNUMBER(VALUE(TRIM($DX507)))),VALUE(TRIM($DX507)),"")))),""))</f>
        <v/>
      </c>
      <c r="DZ507">
        <f>IF($DM507=0,"",IF($L$17=0,"",IFERROR(IF(ISNUMBER(INDEX(PASTE_ALL,$DF507,$L$17)),INDEX(PASTE_ALL,$DF507,$L$17),SUBSTITUTE(SUBSTITUTE(TRIM(SUBSTITUTE(SUBSTITUTE(SUBSTITUTE(SUBSTITUTE(INDEX(PASTE_ALL,$DF507,$L$17)," "," "),CHAR(9)," "),CHAR(10)," "),CHAR(13)," ")),",",""),"%","")),"")))</f>
        <v/>
      </c>
      <c r="EA507">
        <f>IF($DM507=0,"",IFERROR(IF(ISNUMBER($DZ507),$DZ507,IF($DZ507="","",IF(TRIM($DZ507)="",0,IF(AND(AND(SUBSTITUTE(SUBSTITUTE(SUBSTITUTE(SUBSTITUTE(SUBSTITUTE(SUBSTITUTE(SUBSTITUTE(SUBSTITUTE(SUBSTITUTE(SUBSTITUTE(SUBSTITUTE(SUBSTITUTE(SUBSTITUTE(SUBSTITUTE(UPPER(TRIM($DZ507)),"0",""),"1",""),"2",""),"3",""),"4",""),"5",""),"6",""),"7",""),"8",""),"9",""),".",""),"+",""),"-",""),"E","")="",LEN(SUBSTITUTE(SUBSTITUTE(MID(UPPER(TRIM($DZ507)),1+OR(LEFT(UPPER(TRIM($DZ507)),1)="+",LEFT(UPPER(TRIM($DZ507)),1)="-"),999),"E+","E"),"E-","E"))=LEN(SUBSTITUTE(SUBSTITUTE(SUBSTITUTE(SUBSTITUTE(MID(UPPER(TRIM($DZ507)),1+OR(LEFT(UPPER(TRIM($DZ507)),1)="+",LEFT(UPPER(TRIM($DZ507)),1)="-"),999),"E+","E"),"E-","E"),"+",""),"-","")),LEN(UPPER(TRIM($DZ507)))-LEN(SUBSTITUTE(UPPER(TRIM($DZ507)),"E",""))&lt;2,LEN(UPPER(TRIM($DZ507)))-LEN(SUBSTITUTE(UPPER(TRIM($DZ507)),".",""))&lt;2,IFERROR(FIND(".",UPPER(TRIM($DZ507))),0)&lt;IFERROR(FIND("E",UPPER(TRIM($DZ507))),999)),ISNUMBER(VALUE(TRIM($DZ507)))),VALUE(TRIM($DZ507)),"")))),""))</f>
        <v/>
      </c>
      <c r="EB507">
        <f>IF($DM507=0,"",IF($L$18=0,"",IFERROR(IF(UPPER(TRIM(SUBSTITUTE(SUBSTITUTE(SUBSTITUTE(SUBSTITUTE(INDEX(PASTE_ALL,$DF507,$L$18)," "," "),CHAR(9)," "),CHAR(10)," "),CHAR(13)," ")))="READY","Ready",IF(UPPER(TRIM(SUBSTITUTE(SUBSTITUTE(SUBSTITUTE(SUBSTITUTE(INDEX(PASTE_ALL,$DF507,$L$18)," "," "),CHAR(9)," "),CHAR(10)," "),CHAR(13)," ")))="PM","PM",IF(OR(UPPER(TRIM(SUBSTITUTE(SUBSTITUTE(SUBSTITUTE(SUBSTITUTE(INDEX(PASTE_ALL,$DF507,$L$18)," "," "),CHAR(9)," "),CHAR(10)," "),CHAR(13)," ")))="OT",UPPER(TRIM(SUBSTITUTE(SUBSTITUTE(SUBSTITUTE(SUBSTITUTE(INDEX(PASTE_ALL,$DF507,$L$18)," "," "),CHAR(9)," "),CHAR(10)," "),CHAR(13)," ")))="OVERTIME",UPPER(TRIM(SUBSTITUTE(SUBSTITUTE(SUBSTITUTE(SUBSTITUTE(INDEX(PASTE_ALL,$DF507,$L$18)," "," "),CHAR(9)," "),CHAR(10)," "),CHAR(13)," ")))="TRIAL"),"OT",TRIM(SUBSTITUTE(SUBSTITUTE(SUBSTITUTE(SUBSTITUTE(INDEX(PASTE_ALL,$DF507,$L$18)," "," "),CHAR(9)," "),CHAR(10)," "),CHAR(13)," "))))),"")))</f>
        <v/>
      </c>
      <c r="EC507">
        <f>IF($DM507=0,"",IF($L$19=0,"",IFERROR(IF(ISNUMBER(INDEX(PASTE_ALL,$DF507,$L$19)),INDEX(PASTE_ALL,$DF507,$L$19),TRIM(SUBSTITUTE(SUBSTITUTE(SUBSTITUTE(SUBSTITUTE(INDEX(PASTE_ALL,$DF507,$L$19)," "," "),CHAR(9)," "),CHAR(10)," "),CHAR(13)," "))),"")))</f>
        <v/>
      </c>
      <c r="ED507">
        <f>IF($DM507=0,"",MATCH(1,INDEX(EXACT($DH$5:DH507,$DH507)*$DM$5:DM507,0),0))</f>
        <v/>
      </c>
      <c r="EE507">
        <f>IF($DM507=0,0,IF($ED507=$DE507,1,0))</f>
        <v/>
      </c>
      <c r="EF507">
        <f>EF506+$EE507</f>
        <v/>
      </c>
      <c r="EG507">
        <f>IF($DM507=0,"",INDEX($EF$5:$EF$1003,$ED507))</f>
        <v/>
      </c>
      <c r="EH507">
        <f>IF($DM507=0,"",IF($DO507&lt;&gt;"","",IFERROR(LOOKUP(2,1/(($EG$4:EG506=$EG507)*($DO$4:DO506&lt;&gt;"")),$DO$4:DO506),"")))</f>
        <v/>
      </c>
      <c r="EI507">
        <f>IF($DM507=0,"",IF($DO507&lt;&gt;"",$DO507,$EH507))</f>
        <v/>
      </c>
      <c r="EJ507">
        <f>IF($DM507=0,"",IF($EI507="",0,IF(OR(ISNUMBER($EI507),AND(AND(SUBSTITUTE(SUBSTITUTE(SUBSTITUTE(SUBSTITUTE(SUBSTITUTE(SUBSTITUTE(SUBSTITUTE(SUBSTITUTE(SUBSTITUTE(SUBSTITUTE(SUBSTITUTE(SUBSTITUTE(SUBSTITUTE(SUBSTITUTE(UPPER($EI507),"0",""),"1",""),"2",""),"3",""),"4",""),"5",""),"6",""),"7",""),"8",""),"9",""),".",""),"+",""),"-",""),"E","")="",LEN(SUBSTITUTE(SUBSTITUTE(MID(UPPER($EI507),1+OR(LEFT(UPPER($EI507),1)="+",LEFT(UPPER($EI507),1)="-"),999),"E+","E"),"E-","E"))=LEN(SUBSTITUTE(SUBSTITUTE(SUBSTITUTE(SUBSTITUTE(MID(UPPER($EI507),1+OR(LEFT(UPPER($EI507),1)="+",LEFT(UPPER($EI507),1)="-"),999),"E+","E"),"E-","E"),"+",""),"-","")),LEN(UPPER($EI507))-LEN(SUBSTITUTE(UPPER($EI507),"E",""))&lt;2,LEN(UPPER($EI507))-LEN(SUBSTITUTE(UPPER($EI507),".",""))&lt;2,IFERROR(FIND(".",UPPER($EI507)),0)&lt;IFERROR(FIND("E",UPPER($EI507)),999)),ISNUMBER(VALUE($EI507)))),1,2)))</f>
        <v/>
      </c>
      <c r="EK507">
        <f>IF($DM507=0,"",IF($EJ507=1,IF(ISNUMBER($EI507),$EI507,VALUE($EI507)),IF($EJ507=2,$DE507,0)))</f>
        <v/>
      </c>
      <c r="EL507">
        <f>IF($DM507=0,"",COUNTIF($EG$5:$EG$1003,"&lt;"&amp;$EG507)+SUMPRODUCT(($EG$5:$EG$1003=$EG507)*(($EJ$5:$EJ$1003&lt;$EJ507)+($EJ$5:$EJ$1003=$EJ507)*(($EK$5:$EK$1003&lt;$EK507)+($EK$5:$EK$1003=$EK507)*($DE$5:$DE$1003&lt;$DE507))))+1)</f>
        <v/>
      </c>
      <c r="EM507">
        <f>IF($DM507=0,"",$EL507+$EG507-1)</f>
        <v/>
      </c>
      <c r="EN507">
        <f>IF($DM507=0,0,IFERROR(MATCH(1,INDEX(--(TRIM(SUBSTITUTE(SUBSTITUTE(SUBSTITUTE(SUBSTITUTE(LINES_NAME&amp;""," "," "),CHAR(9)," "),CHAR(10)," "),CHAR(13)," "))=$DH507),0),0),0))</f>
        <v/>
      </c>
      <c r="EO507">
        <f>IF($EN507=0,0,IF(OR(UPPER(TRIM(INDEX(LINES_SCHEDULED,$EN507)&amp;""))="YES",UPPER(TRIM(INDEX(LINES_SCHEDULED,$EN507)&amp;""))="Y",UPPER(TRIM(INDEX(LINES_SCHEDULED,$EN507)&amp;""))="X"),1,0))</f>
        <v/>
      </c>
      <c r="EP507">
        <f>IF($DM507=0,"",IF(COUNTIFS($EG$5:$EG$1003,$EG507,$EB$5:$EB$1003,"Ready")&gt;0,"READY",IF(COUNTIFS($EG$5:$EG$1003,$EG507,$EB$5:$EB$1003,"PM")&gt;0,"PM",IF(COUNTIFS($EG$5:$EG$1003,$EG507,$EB$5:$EB$1003,"OT")&gt;0,"OT",""))))</f>
        <v/>
      </c>
      <c r="EQ507">
        <f>IF($EN507=0,"",UPPER(TRIM(INDEX(LINES_STATUS,$EN507)&amp;"")))</f>
        <v/>
      </c>
      <c r="ER507">
        <f>IF($DM507=0,"",IF(OR($EQ507="READY",$EQ507="PM",$EQ507="OT"),$EQ507,$EP507))</f>
        <v/>
      </c>
      <c r="ES507">
        <f>IF($DM507=0,"",IF(AND($DV507&lt;&gt;"",UPPER($DV507)&lt;&gt;"N"),"allergen",IF(ISNUMBER(SEARCH("oil",$DQ507)),"oil",IF(OR(EXACT($DS507,"A662"),EXACT($DS507,"A624")),"bulk",""))))</f>
        <v/>
      </c>
      <c r="ET507">
        <f>IF($DM507=0,"",IF(OR($EA507="",$EA507=0),"",$EA507/100))</f>
        <v/>
      </c>
      <c r="EU507">
        <f>IF(OR($ET507="",$DY507=""),"",INT($DY507*(1-$ET507)+0.5))</f>
        <v/>
      </c>
      <c r="EW507" t="n">
        <v>503</v>
      </c>
      <c r="EX507">
        <f>IFERROR(MATCH($EW507,$EM$5:$EM$1003,0),0)</f>
        <v/>
      </c>
      <c r="EY507">
        <f>IF($EW507&gt;$B$12,"",IF($EX507&gt;0,"row","spacer"))</f>
        <v/>
      </c>
      <c r="EZ507">
        <f>IF(AND($EY507="row",$EY506&lt;&gt;"row"),1,0)</f>
        <v/>
      </c>
      <c r="FA507">
        <f>IF(AND($EY507="row",$EY508&lt;&gt;"row"),1,0)</f>
        <v/>
      </c>
      <c r="FB507">
        <f>IF($EZ507=1,IFERROR(IF(ISNUMBER(INDEX(PASTE_ALL,INDEX($DF$5:$DF$1003,$EX507),$B$37)),INDEX(PASTE_ALL,INDEX($DF$5:$DF$1003,$EX507),$B$37),INDEX($DH$5:$DH$1003,$EX507)),INDEX($DH$5:$DH$1003,$EX507)),"")</f>
        <v/>
      </c>
      <c r="FC507">
        <f>IF($EY507="row",INDEX($ER$5:$ER$1003,$EX507),"")</f>
        <v/>
      </c>
      <c r="FD507">
        <f>IF($EY507="row",INDEX($DN$5:$DN$1003,$EX507),"")</f>
        <v/>
      </c>
      <c r="FE507">
        <f>IF($EY507="row",INDEX($DO$5:$DO$1003,$EX507),"")</f>
        <v/>
      </c>
      <c r="FF507">
        <f>IF($EY507="row",INDEX($DP$5:$DP$1003,$EX507),"")</f>
        <v/>
      </c>
      <c r="FG507">
        <f>IF($EY507="row",INDEX($DQ$5:$DQ$1003,$EX507),"")</f>
        <v/>
      </c>
      <c r="FH507">
        <f>IF($EY507="row",INDEX($DR$5:$DR$1003,$EX507),"")</f>
        <v/>
      </c>
      <c r="FI507">
        <f>IF($EY507="row",INDEX($DS$5:$DS$1003,$EX507),"")</f>
        <v/>
      </c>
      <c r="FJ507">
        <f>IF($EY507="row",INDEX($DT$5:$DT$1003,$EX507),"")</f>
        <v/>
      </c>
      <c r="FK507">
        <f>IF($EY507="row",INDEX($DU$5:$DU$1003,$EX507),"")</f>
        <v/>
      </c>
      <c r="FL507">
        <f>IF($EY507="row",INDEX($DV$5:$DV$1003,$EX507),"")</f>
        <v/>
      </c>
      <c r="FM507">
        <f>IF($EY507="row",INDEX($DW$5:$DW$1003,$EX507),"")</f>
        <v/>
      </c>
      <c r="FN507">
        <f>IF($EY507="row",INDEX($DY$5:$DY$1003,$EX507),"")</f>
        <v/>
      </c>
      <c r="FO507">
        <f>IF($EY507="row",INDEX($EA$5:$EA$1003,$EX507),"")</f>
        <v/>
      </c>
      <c r="FP507">
        <f>IF($EY507="row",INDEX($EC$5:$EC$1003,$EX507),"")</f>
        <v/>
      </c>
      <c r="FQ507">
        <f>IF($EY507="row",INDEX($ET$5:$ET$1003,$EX507),"")</f>
        <v/>
      </c>
      <c r="FR507">
        <f>IF($EY507="row",INDEX($EU$5:$EU$1003,$EX507),"")</f>
        <v/>
      </c>
      <c r="FS507">
        <f>IF(AND($EY507="row",$EY506="row"),IF(OR(INDEX($DT$5:$DT$1003,$EX506)="",INDEX($DT$5:$DT$1003,$EX507)=""),"",IF(NOT(EXACT(INDEX($DT$5:$DT$1003,$EX506),INDEX($DT$5:$DT$1003,$EX507))),"S4",IF(NOT(EXACT(INDEX($DS$5:$DS$1003,$EX506),INDEX($DS$5:$DS$1003,$EX507))),"S3",IF(NOT(EXACT(INDEX($DR$5:$DR$1003,$EX506),INDEX($DR$5:$DR$1003,$EX507))),"S1 Count Change","S1")))),"")</f>
        <v/>
      </c>
      <c r="FT507">
        <f>IF($EY507="row",INDEX($ES$5:$ES$1003,$EX507),"")</f>
        <v/>
      </c>
      <c r="FU507">
        <f>IF($EY507="row",INDEX($EO$5:$EO$1003,$EX507),0)</f>
        <v/>
      </c>
      <c r="FV507">
        <f>IF($FS507="S1 Count Change",1,0)</f>
        <v/>
      </c>
    </row>
    <row r="508">
      <c r="DA508" t="n">
        <v>504</v>
      </c>
      <c r="DB508">
        <f>IF($B$37=0,"",IFERROR(TRIM(SUBSTITUTE(SUBSTITUTE(SUBSTITUTE(SUBSTITUTE(INDEX(PASTE_ALL,504,$B$37)," "," "),CHAR(9)," "),CHAR(10)," "),CHAR(13)," ")),""))</f>
        <v/>
      </c>
      <c r="DC508">
        <f>IF(AND(504&gt;HEADER_ROW,UPPER(DB508)="LEGEND"),1,0)</f>
        <v/>
      </c>
      <c r="DE508" t="n">
        <v>504</v>
      </c>
      <c r="DF508">
        <f>HEADER_ROW+$DE508</f>
        <v/>
      </c>
      <c r="DG508">
        <f>IF(AND($DF508&lt;=1000,$DF508&lt;$B$8),1,0)</f>
        <v/>
      </c>
      <c r="DH508">
        <f>IF($DG508=1,IFERROR(INDEX($DB$5:$DB$1004,$DF508),""),"")</f>
        <v/>
      </c>
      <c r="DI508">
        <f>IF(AND($DG508=1,$DH508&lt;&gt;""),IFERROR(SUBSTITUTE(SUBSTITUTE(TRIM(SUBSTITUTE(SUBSTITUTE(SUBSTITUTE(SUBSTITUTE(IFERROR(INDEX(PASTE_ALL,$DF508,1)&amp;"","")&amp;"␟"&amp;IFERROR(INDEX(PASTE_ALL,$DF508,2)&amp;"","")&amp;"␟"&amp;IFERROR(INDEX(PASTE_ALL,$DF508,3)&amp;"","")&amp;"␟"&amp;IFERROR(INDEX(PASTE_ALL,$DF508,4)&amp;"","")&amp;"␟"&amp;IFERROR(INDEX(PASTE_ALL,$DF508,5)&amp;"","")&amp;"␟"&amp;IFERROR(INDEX(PASTE_ALL,$DF508,6)&amp;"","")&amp;"␟"&amp;IFERROR(INDEX(PASTE_ALL,$DF508,7)&amp;"","")&amp;"␟"&amp;IFERROR(INDEX(PASTE_ALL,$DF508,8)&amp;"","")&amp;"␟"&amp;IFERROR(INDEX(PASTE_ALL,$DF508,9)&amp;"","")&amp;"␟"&amp;IFERROR(INDEX(PASTE_ALL,$DF508,10)&amp;"","")&amp;"␟"&amp;IFERROR(INDEX(PASTE_ALL,$DF508,11)&amp;"","")&amp;"␟"&amp;IFERROR(INDEX(PASTE_ALL,$DF508,12)&amp;"","")&amp;"␟"&amp;IFERROR(INDEX(PASTE_ALL,$DF508,13)&amp;"","")&amp;"␟"&amp;IFERROR(INDEX(PASTE_ALL,$DF508,14)&amp;"","")&amp;"␟"&amp;IFERROR(INDEX(PASTE_ALL,$DF508,15)&amp;"","")&amp;"␟"&amp;IFERROR(INDEX(PASTE_ALL,$DF508,16)&amp;"","")&amp;"␟"&amp;IFERROR(INDEX(PASTE_ALL,$DF508,17)&amp;"","")&amp;"␟"&amp;IFERROR(INDEX(PASTE_ALL,$DF508,18)&amp;"","")&amp;"␟"&amp;IFERROR(INDEX(PASTE_ALL,$DF508,19)&amp;"","")&amp;"␟"&amp;IFERROR(INDEX(PASTE_ALL,$DF508,20)&amp;"","")&amp;"␟"&amp;IFERROR(INDEX(PASTE_ALL,$DF508,21)&amp;"","")&amp;"␟"&amp;IFERROR(INDEX(PASTE_ALL,$DF508,22)&amp;"","")&amp;"␟"&amp;IFERROR(INDEX(PASTE_ALL,$DF508,23)&amp;"","")&amp;"␟"&amp;IFERROR(INDEX(PASTE_ALL,$DF508,24)&amp;"","")&amp;"␟"&amp;IFERROR(INDEX(PASTE_ALL,$DF508,25)&amp;"","")&amp;"␟"&amp;IFERROR(INDEX(PASTE_ALL,$DF508,26)&amp;"","")&amp;"␟"&amp;IFERROR(INDEX(PASTE_ALL,$DF508,27)&amp;"","")&amp;"␟"&amp;IFERROR(INDEX(PASTE_ALL,$DF508,28)&amp;"","")&amp;"␟"&amp;IFERROR(INDEX(PASTE_ALL,$DF508,29)&amp;"","")&amp;"␟"&amp;IFERROR(INDEX(PASTE_ALL,$DF508,30)&amp;"","")&amp;"␟"&amp;IFERROR(INDEX(PASTE_ALL,$DF508,31)&amp;"","")&amp;"␟"&amp;IFERROR(INDEX(PASTE_ALL,$DF508,32)&amp;"","")&amp;"␟"&amp;IFERROR(INDEX(PASTE_ALL,$DF508,33)&amp;"","")&amp;"␟"&amp;IFERROR(INDEX(PASTE_ALL,$DF508,34)&amp;"","")&amp;"␟"&amp;IFERROR(INDEX(PASTE_ALL,$DF508,35)&amp;"","")&amp;"␟"&amp;IFERROR(INDEX(PASTE_ALL,$DF508,36)&amp;"","")&amp;"␟"&amp;IFERROR(INDEX(PASTE_ALL,$DF508,37)&amp;"","")&amp;"␟"&amp;IFERROR(INDEX(PASTE_ALL,$DF508,38)&amp;"","")&amp;"␟"&amp;IFERROR(INDEX(PASTE_ALL,$DF508,39)&amp;"","")&amp;"␟"&amp;IFERROR(INDEX(PASTE_ALL,$DF508,40)&amp;"","")&amp;"␟"&amp;IFERROR(INDEX(PASTE_ALL,$DF508,41)&amp;"","")&amp;"␟"&amp;IFERROR(INDEX(PASTE_ALL,$DF508,42)&amp;"","")&amp;"␟"&amp;IFERROR(INDEX(PASTE_ALL,$DF508,43)&amp;"","")&amp;"␟"&amp;IFERROR(INDEX(PASTE_ALL,$DF508,44)&amp;"","")&amp;"␟"&amp;IFERROR(INDEX(PASTE_ALL,$DF508,45)&amp;"","")&amp;"␟"&amp;IFERROR(INDEX(PASTE_ALL,$DF508,46)&amp;"","")&amp;"␟"&amp;IFERROR(INDEX(PASTE_ALL,$DF508,47)&amp;"","")&amp;"␟"&amp;IFERROR(INDEX(PASTE_ALL,$DF508,48)&amp;"","")&amp;"␟"&amp;IFERROR(INDEX(PASTE_ALL,$DF508,49)&amp;"","")&amp;"␟"&amp;IFERROR(INDEX(PASTE_ALL,$DF508,50)&amp;"","")&amp;"␟"&amp;IFERROR(INDEX(PASTE_ALL,$DF508,51)&amp;"","")&amp;"␟"&amp;IFERROR(INDEX(PASTE_ALL,$DF508,52)&amp;"","")&amp;"␟"&amp;IFERROR(INDEX(PASTE_ALL,$DF508,53)&amp;"","")&amp;"␟"&amp;IFERROR(INDEX(PASTE_ALL,$DF508,54)&amp;"","")&amp;"␟"&amp;IFERROR(INDEX(PASTE_ALL,$DF508,55)&amp;"","")&amp;"␟"&amp;IFERROR(INDEX(PASTE_ALL,$DF508,56)&amp;"","")&amp;"␟"&amp;IFERROR(INDEX(PASTE_ALL,$DF508,57)&amp;"","")&amp;"␟"&amp;IFERROR(INDEX(PASTE_ALL,$DF508,58)&amp;"","")&amp;"␟"&amp;IFERROR(INDEX(PASTE_ALL,$DF508,59)&amp;"","")&amp;"␟"&amp;IFERROR(INDEX(PASTE_ALL,$DF508,60)&amp;"","")," "," "),CHAR(9)," "),CHAR(10)," "),CHAR(13)," "))," ␟","␟"),"␟ ","␟"),"#"&amp;$DE508),"")</f>
        <v/>
      </c>
      <c r="DJ508">
        <f>IF($DI508="",0,IF(SUMPRODUCT(--EXACT($DI$4:DI507,$DI508))&gt;0,1,0))</f>
        <v/>
      </c>
      <c r="DK508">
        <f>IF(AND($DI508&lt;&gt;"",$DJ508=0),1,0)</f>
        <v/>
      </c>
      <c r="DL508">
        <f>DL507+$DK508</f>
        <v/>
      </c>
      <c r="DM508">
        <f>IF(AND($DK508=1,$DL508&lt;=600),1,0)</f>
        <v/>
      </c>
      <c r="DN508">
        <f>IF($DM508=0,"",IF($L$6=0,"",IFERROR(IF(ISNUMBER(INDEX(PASTE_ALL,$DF508,$L$6)),INDEX(PASTE_ALL,$DF508,$L$6),TRIM(SUBSTITUTE(SUBSTITUTE(SUBSTITUTE(SUBSTITUTE(INDEX(PASTE_ALL,$DF508,$L$6)," "," "),CHAR(9)," "),CHAR(10)," "),CHAR(13)," "))),"")))</f>
        <v/>
      </c>
      <c r="DO508">
        <f>IF($DM508=0,"",IF($L$7=0,"",IFERROR(IF(ISNUMBER(INDEX(PASTE_ALL,$DF508,$L$7)),INDEX(PASTE_ALL,$DF508,$L$7),TRIM(SUBSTITUTE(SUBSTITUTE(SUBSTITUTE(SUBSTITUTE(INDEX(PASTE_ALL,$DF508,$L$7)," "," "),CHAR(9)," "),CHAR(10)," "),CHAR(13)," "))),"")))</f>
        <v/>
      </c>
      <c r="DP508">
        <f>IF($DM508=0,"",IF($L$8=0,"",IFERROR(IF(ISNUMBER(INDEX(PASTE_ALL,$DF508,$L$8)),INDEX(PASTE_ALL,$DF508,$L$8),TRIM(SUBSTITUTE(SUBSTITUTE(SUBSTITUTE(SUBSTITUTE(INDEX(PASTE_ALL,$DF508,$L$8)," "," "),CHAR(9)," "),CHAR(10)," "),CHAR(13)," "))),"")))</f>
        <v/>
      </c>
      <c r="DQ508">
        <f>IF($DM508=0,"",IF($L$9=0,"",IFERROR(IF(ISNUMBER(INDEX(PASTE_ALL,$DF508,$L$9)),INDEX(PASTE_ALL,$DF508,$L$9),TRIM(SUBSTITUTE(SUBSTITUTE(SUBSTITUTE(SUBSTITUTE(INDEX(PASTE_ALL,$DF508,$L$9)," "," "),CHAR(9)," "),CHAR(10)," "),CHAR(13)," "))),"")))</f>
        <v/>
      </c>
      <c r="DR508">
        <f>IF($DM508=0,"",IF($L$10=0,"",IFERROR(IF(ISNUMBER(INDEX(PASTE_ALL,$DF508,$L$10)),INDEX(PASTE_ALL,$DF508,$L$10),TRIM(SUBSTITUTE(SUBSTITUTE(SUBSTITUTE(SUBSTITUTE(INDEX(PASTE_ALL,$DF508,$L$10)," "," "),CHAR(9)," "),CHAR(10)," "),CHAR(13)," "))),"")))</f>
        <v/>
      </c>
      <c r="DS508">
        <f>IF($DM508=0,"",IF($L$11=0,"",IFERROR(IF(ISNUMBER(INDEX(PASTE_ALL,$DF508,$L$11)),INDEX(PASTE_ALL,$DF508,$L$11),TRIM(SUBSTITUTE(SUBSTITUTE(SUBSTITUTE(SUBSTITUTE(INDEX(PASTE_ALL,$DF508,$L$11)," "," "),CHAR(9)," "),CHAR(10)," "),CHAR(13)," "))),"")))</f>
        <v/>
      </c>
      <c r="DT508">
        <f>IF($DM508=0,"",IF($L$12=0,"",IFERROR(IF(ISNUMBER(INDEX(PASTE_ALL,$DF508,$L$12)),INDEX(PASTE_ALL,$DF508,$L$12),TRIM(SUBSTITUTE(SUBSTITUTE(SUBSTITUTE(SUBSTITUTE(INDEX(PASTE_ALL,$DF508,$L$12)," "," "),CHAR(9)," "),CHAR(10)," "),CHAR(13)," "))),"")))</f>
        <v/>
      </c>
      <c r="DU508">
        <f>IF($DM508=0,"",IF($L$13=0,"",IFERROR(IF(ISNUMBER(INDEX(PASTE_ALL,$DF508,$L$13)),INDEX(PASTE_ALL,$DF508,$L$13),TRIM(SUBSTITUTE(SUBSTITUTE(SUBSTITUTE(SUBSTITUTE(INDEX(PASTE_ALL,$DF508,$L$13)," "," "),CHAR(9)," "),CHAR(10)," "),CHAR(13)," "))),"")))</f>
        <v/>
      </c>
      <c r="DV508">
        <f>IF($DM508=0,"",IF($L$14=0,"",IFERROR(IF(ISNUMBER(INDEX(PASTE_ALL,$DF508,$L$14)),INDEX(PASTE_ALL,$DF508,$L$14),TRIM(SUBSTITUTE(SUBSTITUTE(SUBSTITUTE(SUBSTITUTE(INDEX(PASTE_ALL,$DF508,$L$14)," "," "),CHAR(9)," "),CHAR(10)," "),CHAR(13)," "))),"")))</f>
        <v/>
      </c>
      <c r="DW508">
        <f>IF($DM508=0,"",IF($L$15=0,"",IFERROR(IF(ISNUMBER(INDEX(PASTE_ALL,$DF508,$L$15)),INDEX(PASTE_ALL,$DF508,$L$15),IF(SUMPRODUCT(--ISNUMBER(FIND({"A","B","C","D","E","F","G","H","I","J","K","L","M","N","O","P","Q","R","S","T","U","V","W","X","Y","Z","0","1","2","3","4","5","6","7","8","9"},UPPER(TRIM(SUBSTITUTE(SUBSTITUTE(SUBSTITUTE(SUBSTITUTE(INDEX(PASTE_ALL,$DF508,$L$15)," "," "),CHAR(9)," "),CHAR(10)," "),CHAR(13)," "))))))&gt;0,TRIM(SUBSTITUTE(SUBSTITUTE(SUBSTITUTE(SUBSTITUTE(INDEX(PASTE_ALL,$DF508,$L$15)," "," "),CHAR(9)," "),CHAR(10)," "),CHAR(13)," ")),"")),"")))</f>
        <v/>
      </c>
      <c r="DX508">
        <f>IF($DM508=0,"",IF($L$16=0,"",IFERROR(IF(ISNUMBER(INDEX(PASTE_ALL,$DF508,$L$16)),INDEX(PASTE_ALL,$DF508,$L$16),SUBSTITUTE(SUBSTITUTE(TRIM(SUBSTITUTE(SUBSTITUTE(SUBSTITUTE(SUBSTITUTE(INDEX(PASTE_ALL,$DF508,$L$16)," "," "),CHAR(9)," "),CHAR(10)," "),CHAR(13)," ")),",",""),"%","")),"")))</f>
        <v/>
      </c>
      <c r="DY508">
        <f>IF($DM508=0,"",IFERROR(IF(ISNUMBER($DX508),$DX508,IF($DX508="","",IF(TRIM($DX508)="",0,IF(AND(AND(SUBSTITUTE(SUBSTITUTE(SUBSTITUTE(SUBSTITUTE(SUBSTITUTE(SUBSTITUTE(SUBSTITUTE(SUBSTITUTE(SUBSTITUTE(SUBSTITUTE(SUBSTITUTE(SUBSTITUTE(SUBSTITUTE(SUBSTITUTE(UPPER(TRIM($DX508)),"0",""),"1",""),"2",""),"3",""),"4",""),"5",""),"6",""),"7",""),"8",""),"9",""),".",""),"+",""),"-",""),"E","")="",LEN(SUBSTITUTE(SUBSTITUTE(MID(UPPER(TRIM($DX508)),1+OR(LEFT(UPPER(TRIM($DX508)),1)="+",LEFT(UPPER(TRIM($DX508)),1)="-"),999),"E+","E"),"E-","E"))=LEN(SUBSTITUTE(SUBSTITUTE(SUBSTITUTE(SUBSTITUTE(MID(UPPER(TRIM($DX508)),1+OR(LEFT(UPPER(TRIM($DX508)),1)="+",LEFT(UPPER(TRIM($DX508)),1)="-"),999),"E+","E"),"E-","E"),"+",""),"-","")),LEN(UPPER(TRIM($DX508)))-LEN(SUBSTITUTE(UPPER(TRIM($DX508)),"E",""))&lt;2,LEN(UPPER(TRIM($DX508)))-LEN(SUBSTITUTE(UPPER(TRIM($DX508)),".",""))&lt;2,IFERROR(FIND(".",UPPER(TRIM($DX508))),0)&lt;IFERROR(FIND("E",UPPER(TRIM($DX508))),999)),ISNUMBER(VALUE(TRIM($DX508)))),VALUE(TRIM($DX508)),"")))),""))</f>
        <v/>
      </c>
      <c r="DZ508">
        <f>IF($DM508=0,"",IF($L$17=0,"",IFERROR(IF(ISNUMBER(INDEX(PASTE_ALL,$DF508,$L$17)),INDEX(PASTE_ALL,$DF508,$L$17),SUBSTITUTE(SUBSTITUTE(TRIM(SUBSTITUTE(SUBSTITUTE(SUBSTITUTE(SUBSTITUTE(INDEX(PASTE_ALL,$DF508,$L$17)," "," "),CHAR(9)," "),CHAR(10)," "),CHAR(13)," ")),",",""),"%","")),"")))</f>
        <v/>
      </c>
      <c r="EA508">
        <f>IF($DM508=0,"",IFERROR(IF(ISNUMBER($DZ508),$DZ508,IF($DZ508="","",IF(TRIM($DZ508)="",0,IF(AND(AND(SUBSTITUTE(SUBSTITUTE(SUBSTITUTE(SUBSTITUTE(SUBSTITUTE(SUBSTITUTE(SUBSTITUTE(SUBSTITUTE(SUBSTITUTE(SUBSTITUTE(SUBSTITUTE(SUBSTITUTE(SUBSTITUTE(SUBSTITUTE(UPPER(TRIM($DZ508)),"0",""),"1",""),"2",""),"3",""),"4",""),"5",""),"6",""),"7",""),"8",""),"9",""),".",""),"+",""),"-",""),"E","")="",LEN(SUBSTITUTE(SUBSTITUTE(MID(UPPER(TRIM($DZ508)),1+OR(LEFT(UPPER(TRIM($DZ508)),1)="+",LEFT(UPPER(TRIM($DZ508)),1)="-"),999),"E+","E"),"E-","E"))=LEN(SUBSTITUTE(SUBSTITUTE(SUBSTITUTE(SUBSTITUTE(MID(UPPER(TRIM($DZ508)),1+OR(LEFT(UPPER(TRIM($DZ508)),1)="+",LEFT(UPPER(TRIM($DZ508)),1)="-"),999),"E+","E"),"E-","E"),"+",""),"-","")),LEN(UPPER(TRIM($DZ508)))-LEN(SUBSTITUTE(UPPER(TRIM($DZ508)),"E",""))&lt;2,LEN(UPPER(TRIM($DZ508)))-LEN(SUBSTITUTE(UPPER(TRIM($DZ508)),".",""))&lt;2,IFERROR(FIND(".",UPPER(TRIM($DZ508))),0)&lt;IFERROR(FIND("E",UPPER(TRIM($DZ508))),999)),ISNUMBER(VALUE(TRIM($DZ508)))),VALUE(TRIM($DZ508)),"")))),""))</f>
        <v/>
      </c>
      <c r="EB508">
        <f>IF($DM508=0,"",IF($L$18=0,"",IFERROR(IF(UPPER(TRIM(SUBSTITUTE(SUBSTITUTE(SUBSTITUTE(SUBSTITUTE(INDEX(PASTE_ALL,$DF508,$L$18)," "," "),CHAR(9)," "),CHAR(10)," "),CHAR(13)," ")))="READY","Ready",IF(UPPER(TRIM(SUBSTITUTE(SUBSTITUTE(SUBSTITUTE(SUBSTITUTE(INDEX(PASTE_ALL,$DF508,$L$18)," "," "),CHAR(9)," "),CHAR(10)," "),CHAR(13)," ")))="PM","PM",IF(OR(UPPER(TRIM(SUBSTITUTE(SUBSTITUTE(SUBSTITUTE(SUBSTITUTE(INDEX(PASTE_ALL,$DF508,$L$18)," "," "),CHAR(9)," "),CHAR(10)," "),CHAR(13)," ")))="OT",UPPER(TRIM(SUBSTITUTE(SUBSTITUTE(SUBSTITUTE(SUBSTITUTE(INDEX(PASTE_ALL,$DF508,$L$18)," "," "),CHAR(9)," "),CHAR(10)," "),CHAR(13)," ")))="OVERTIME",UPPER(TRIM(SUBSTITUTE(SUBSTITUTE(SUBSTITUTE(SUBSTITUTE(INDEX(PASTE_ALL,$DF508,$L$18)," "," "),CHAR(9)," "),CHAR(10)," "),CHAR(13)," ")))="TRIAL"),"OT",TRIM(SUBSTITUTE(SUBSTITUTE(SUBSTITUTE(SUBSTITUTE(INDEX(PASTE_ALL,$DF508,$L$18)," "," "),CHAR(9)," "),CHAR(10)," "),CHAR(13)," "))))),"")))</f>
        <v/>
      </c>
      <c r="EC508">
        <f>IF($DM508=0,"",IF($L$19=0,"",IFERROR(IF(ISNUMBER(INDEX(PASTE_ALL,$DF508,$L$19)),INDEX(PASTE_ALL,$DF508,$L$19),TRIM(SUBSTITUTE(SUBSTITUTE(SUBSTITUTE(SUBSTITUTE(INDEX(PASTE_ALL,$DF508,$L$19)," "," "),CHAR(9)," "),CHAR(10)," "),CHAR(13)," "))),"")))</f>
        <v/>
      </c>
      <c r="ED508">
        <f>IF($DM508=0,"",MATCH(1,INDEX(EXACT($DH$5:DH508,$DH508)*$DM$5:DM508,0),0))</f>
        <v/>
      </c>
      <c r="EE508">
        <f>IF($DM508=0,0,IF($ED508=$DE508,1,0))</f>
        <v/>
      </c>
      <c r="EF508">
        <f>EF507+$EE508</f>
        <v/>
      </c>
      <c r="EG508">
        <f>IF($DM508=0,"",INDEX($EF$5:$EF$1003,$ED508))</f>
        <v/>
      </c>
      <c r="EH508">
        <f>IF($DM508=0,"",IF($DO508&lt;&gt;"","",IFERROR(LOOKUP(2,1/(($EG$4:EG507=$EG508)*($DO$4:DO507&lt;&gt;"")),$DO$4:DO507),"")))</f>
        <v/>
      </c>
      <c r="EI508">
        <f>IF($DM508=0,"",IF($DO508&lt;&gt;"",$DO508,$EH508))</f>
        <v/>
      </c>
      <c r="EJ508">
        <f>IF($DM508=0,"",IF($EI508="",0,IF(OR(ISNUMBER($EI508),AND(AND(SUBSTITUTE(SUBSTITUTE(SUBSTITUTE(SUBSTITUTE(SUBSTITUTE(SUBSTITUTE(SUBSTITUTE(SUBSTITUTE(SUBSTITUTE(SUBSTITUTE(SUBSTITUTE(SUBSTITUTE(SUBSTITUTE(SUBSTITUTE(UPPER($EI508),"0",""),"1",""),"2",""),"3",""),"4",""),"5",""),"6",""),"7",""),"8",""),"9",""),".",""),"+",""),"-",""),"E","")="",LEN(SUBSTITUTE(SUBSTITUTE(MID(UPPER($EI508),1+OR(LEFT(UPPER($EI508),1)="+",LEFT(UPPER($EI508),1)="-"),999),"E+","E"),"E-","E"))=LEN(SUBSTITUTE(SUBSTITUTE(SUBSTITUTE(SUBSTITUTE(MID(UPPER($EI508),1+OR(LEFT(UPPER($EI508),1)="+",LEFT(UPPER($EI508),1)="-"),999),"E+","E"),"E-","E"),"+",""),"-","")),LEN(UPPER($EI508))-LEN(SUBSTITUTE(UPPER($EI508),"E",""))&lt;2,LEN(UPPER($EI508))-LEN(SUBSTITUTE(UPPER($EI508),".",""))&lt;2,IFERROR(FIND(".",UPPER($EI508)),0)&lt;IFERROR(FIND("E",UPPER($EI508)),999)),ISNUMBER(VALUE($EI508)))),1,2)))</f>
        <v/>
      </c>
      <c r="EK508">
        <f>IF($DM508=0,"",IF($EJ508=1,IF(ISNUMBER($EI508),$EI508,VALUE($EI508)),IF($EJ508=2,$DE508,0)))</f>
        <v/>
      </c>
      <c r="EL508">
        <f>IF($DM508=0,"",COUNTIF($EG$5:$EG$1003,"&lt;"&amp;$EG508)+SUMPRODUCT(($EG$5:$EG$1003=$EG508)*(($EJ$5:$EJ$1003&lt;$EJ508)+($EJ$5:$EJ$1003=$EJ508)*(($EK$5:$EK$1003&lt;$EK508)+($EK$5:$EK$1003=$EK508)*($DE$5:$DE$1003&lt;$DE508))))+1)</f>
        <v/>
      </c>
      <c r="EM508">
        <f>IF($DM508=0,"",$EL508+$EG508-1)</f>
        <v/>
      </c>
      <c r="EN508">
        <f>IF($DM508=0,0,IFERROR(MATCH(1,INDEX(--(TRIM(SUBSTITUTE(SUBSTITUTE(SUBSTITUTE(SUBSTITUTE(LINES_NAME&amp;""," "," "),CHAR(9)," "),CHAR(10)," "),CHAR(13)," "))=$DH508),0),0),0))</f>
        <v/>
      </c>
      <c r="EO508">
        <f>IF($EN508=0,0,IF(OR(UPPER(TRIM(INDEX(LINES_SCHEDULED,$EN508)&amp;""))="YES",UPPER(TRIM(INDEX(LINES_SCHEDULED,$EN508)&amp;""))="Y",UPPER(TRIM(INDEX(LINES_SCHEDULED,$EN508)&amp;""))="X"),1,0))</f>
        <v/>
      </c>
      <c r="EP508">
        <f>IF($DM508=0,"",IF(COUNTIFS($EG$5:$EG$1003,$EG508,$EB$5:$EB$1003,"Ready")&gt;0,"READY",IF(COUNTIFS($EG$5:$EG$1003,$EG508,$EB$5:$EB$1003,"PM")&gt;0,"PM",IF(COUNTIFS($EG$5:$EG$1003,$EG508,$EB$5:$EB$1003,"OT")&gt;0,"OT",""))))</f>
        <v/>
      </c>
      <c r="EQ508">
        <f>IF($EN508=0,"",UPPER(TRIM(INDEX(LINES_STATUS,$EN508)&amp;"")))</f>
        <v/>
      </c>
      <c r="ER508">
        <f>IF($DM508=0,"",IF(OR($EQ508="READY",$EQ508="PM",$EQ508="OT"),$EQ508,$EP508))</f>
        <v/>
      </c>
      <c r="ES508">
        <f>IF($DM508=0,"",IF(AND($DV508&lt;&gt;"",UPPER($DV508)&lt;&gt;"N"),"allergen",IF(ISNUMBER(SEARCH("oil",$DQ508)),"oil",IF(OR(EXACT($DS508,"A662"),EXACT($DS508,"A624")),"bulk",""))))</f>
        <v/>
      </c>
      <c r="ET508">
        <f>IF($DM508=0,"",IF(OR($EA508="",$EA508=0),"",$EA508/100))</f>
        <v/>
      </c>
      <c r="EU508">
        <f>IF(OR($ET508="",$DY508=""),"",INT($DY508*(1-$ET508)+0.5))</f>
        <v/>
      </c>
      <c r="EW508" t="n">
        <v>504</v>
      </c>
      <c r="EX508">
        <f>IFERROR(MATCH($EW508,$EM$5:$EM$1003,0),0)</f>
        <v/>
      </c>
      <c r="EY508">
        <f>IF($EW508&gt;$B$12,"",IF($EX508&gt;0,"row","spacer"))</f>
        <v/>
      </c>
      <c r="EZ508">
        <f>IF(AND($EY508="row",$EY507&lt;&gt;"row"),1,0)</f>
        <v/>
      </c>
      <c r="FA508">
        <f>IF(AND($EY508="row",$EY509&lt;&gt;"row"),1,0)</f>
        <v/>
      </c>
      <c r="FB508">
        <f>IF($EZ508=1,IFERROR(IF(ISNUMBER(INDEX(PASTE_ALL,INDEX($DF$5:$DF$1003,$EX508),$B$37)),INDEX(PASTE_ALL,INDEX($DF$5:$DF$1003,$EX508),$B$37),INDEX($DH$5:$DH$1003,$EX508)),INDEX($DH$5:$DH$1003,$EX508)),"")</f>
        <v/>
      </c>
      <c r="FC508">
        <f>IF($EY508="row",INDEX($ER$5:$ER$1003,$EX508),"")</f>
        <v/>
      </c>
      <c r="FD508">
        <f>IF($EY508="row",INDEX($DN$5:$DN$1003,$EX508),"")</f>
        <v/>
      </c>
      <c r="FE508">
        <f>IF($EY508="row",INDEX($DO$5:$DO$1003,$EX508),"")</f>
        <v/>
      </c>
      <c r="FF508">
        <f>IF($EY508="row",INDEX($DP$5:$DP$1003,$EX508),"")</f>
        <v/>
      </c>
      <c r="FG508">
        <f>IF($EY508="row",INDEX($DQ$5:$DQ$1003,$EX508),"")</f>
        <v/>
      </c>
      <c r="FH508">
        <f>IF($EY508="row",INDEX($DR$5:$DR$1003,$EX508),"")</f>
        <v/>
      </c>
      <c r="FI508">
        <f>IF($EY508="row",INDEX($DS$5:$DS$1003,$EX508),"")</f>
        <v/>
      </c>
      <c r="FJ508">
        <f>IF($EY508="row",INDEX($DT$5:$DT$1003,$EX508),"")</f>
        <v/>
      </c>
      <c r="FK508">
        <f>IF($EY508="row",INDEX($DU$5:$DU$1003,$EX508),"")</f>
        <v/>
      </c>
      <c r="FL508">
        <f>IF($EY508="row",INDEX($DV$5:$DV$1003,$EX508),"")</f>
        <v/>
      </c>
      <c r="FM508">
        <f>IF($EY508="row",INDEX($DW$5:$DW$1003,$EX508),"")</f>
        <v/>
      </c>
      <c r="FN508">
        <f>IF($EY508="row",INDEX($DY$5:$DY$1003,$EX508),"")</f>
        <v/>
      </c>
      <c r="FO508">
        <f>IF($EY508="row",INDEX($EA$5:$EA$1003,$EX508),"")</f>
        <v/>
      </c>
      <c r="FP508">
        <f>IF($EY508="row",INDEX($EC$5:$EC$1003,$EX508),"")</f>
        <v/>
      </c>
      <c r="FQ508">
        <f>IF($EY508="row",INDEX($ET$5:$ET$1003,$EX508),"")</f>
        <v/>
      </c>
      <c r="FR508">
        <f>IF($EY508="row",INDEX($EU$5:$EU$1003,$EX508),"")</f>
        <v/>
      </c>
      <c r="FS508">
        <f>IF(AND($EY508="row",$EY507="row"),IF(OR(INDEX($DT$5:$DT$1003,$EX507)="",INDEX($DT$5:$DT$1003,$EX508)=""),"",IF(NOT(EXACT(INDEX($DT$5:$DT$1003,$EX507),INDEX($DT$5:$DT$1003,$EX508))),"S4",IF(NOT(EXACT(INDEX($DS$5:$DS$1003,$EX507),INDEX($DS$5:$DS$1003,$EX508))),"S3",IF(NOT(EXACT(INDEX($DR$5:$DR$1003,$EX507),INDEX($DR$5:$DR$1003,$EX508))),"S1 Count Change","S1")))),"")</f>
        <v/>
      </c>
      <c r="FT508">
        <f>IF($EY508="row",INDEX($ES$5:$ES$1003,$EX508),"")</f>
        <v/>
      </c>
      <c r="FU508">
        <f>IF($EY508="row",INDEX($EO$5:$EO$1003,$EX508),0)</f>
        <v/>
      </c>
      <c r="FV508">
        <f>IF($FS508="S1 Count Change",1,0)</f>
        <v/>
      </c>
    </row>
    <row r="509">
      <c r="DA509" t="n">
        <v>505</v>
      </c>
      <c r="DB509">
        <f>IF($B$37=0,"",IFERROR(TRIM(SUBSTITUTE(SUBSTITUTE(SUBSTITUTE(SUBSTITUTE(INDEX(PASTE_ALL,505,$B$37)," "," "),CHAR(9)," "),CHAR(10)," "),CHAR(13)," ")),""))</f>
        <v/>
      </c>
      <c r="DC509">
        <f>IF(AND(505&gt;HEADER_ROW,UPPER(DB509)="LEGEND"),1,0)</f>
        <v/>
      </c>
      <c r="DE509" t="n">
        <v>505</v>
      </c>
      <c r="DF509">
        <f>HEADER_ROW+$DE509</f>
        <v/>
      </c>
      <c r="DG509">
        <f>IF(AND($DF509&lt;=1000,$DF509&lt;$B$8),1,0)</f>
        <v/>
      </c>
      <c r="DH509">
        <f>IF($DG509=1,IFERROR(INDEX($DB$5:$DB$1004,$DF509),""),"")</f>
        <v/>
      </c>
      <c r="DI509">
        <f>IF(AND($DG509=1,$DH509&lt;&gt;""),IFERROR(SUBSTITUTE(SUBSTITUTE(TRIM(SUBSTITUTE(SUBSTITUTE(SUBSTITUTE(SUBSTITUTE(IFERROR(INDEX(PASTE_ALL,$DF509,1)&amp;"","")&amp;"␟"&amp;IFERROR(INDEX(PASTE_ALL,$DF509,2)&amp;"","")&amp;"␟"&amp;IFERROR(INDEX(PASTE_ALL,$DF509,3)&amp;"","")&amp;"␟"&amp;IFERROR(INDEX(PASTE_ALL,$DF509,4)&amp;"","")&amp;"␟"&amp;IFERROR(INDEX(PASTE_ALL,$DF509,5)&amp;"","")&amp;"␟"&amp;IFERROR(INDEX(PASTE_ALL,$DF509,6)&amp;"","")&amp;"␟"&amp;IFERROR(INDEX(PASTE_ALL,$DF509,7)&amp;"","")&amp;"␟"&amp;IFERROR(INDEX(PASTE_ALL,$DF509,8)&amp;"","")&amp;"␟"&amp;IFERROR(INDEX(PASTE_ALL,$DF509,9)&amp;"","")&amp;"␟"&amp;IFERROR(INDEX(PASTE_ALL,$DF509,10)&amp;"","")&amp;"␟"&amp;IFERROR(INDEX(PASTE_ALL,$DF509,11)&amp;"","")&amp;"␟"&amp;IFERROR(INDEX(PASTE_ALL,$DF509,12)&amp;"","")&amp;"␟"&amp;IFERROR(INDEX(PASTE_ALL,$DF509,13)&amp;"","")&amp;"␟"&amp;IFERROR(INDEX(PASTE_ALL,$DF509,14)&amp;"","")&amp;"␟"&amp;IFERROR(INDEX(PASTE_ALL,$DF509,15)&amp;"","")&amp;"␟"&amp;IFERROR(INDEX(PASTE_ALL,$DF509,16)&amp;"","")&amp;"␟"&amp;IFERROR(INDEX(PASTE_ALL,$DF509,17)&amp;"","")&amp;"␟"&amp;IFERROR(INDEX(PASTE_ALL,$DF509,18)&amp;"","")&amp;"␟"&amp;IFERROR(INDEX(PASTE_ALL,$DF509,19)&amp;"","")&amp;"␟"&amp;IFERROR(INDEX(PASTE_ALL,$DF509,20)&amp;"","")&amp;"␟"&amp;IFERROR(INDEX(PASTE_ALL,$DF509,21)&amp;"","")&amp;"␟"&amp;IFERROR(INDEX(PASTE_ALL,$DF509,22)&amp;"","")&amp;"␟"&amp;IFERROR(INDEX(PASTE_ALL,$DF509,23)&amp;"","")&amp;"␟"&amp;IFERROR(INDEX(PASTE_ALL,$DF509,24)&amp;"","")&amp;"␟"&amp;IFERROR(INDEX(PASTE_ALL,$DF509,25)&amp;"","")&amp;"␟"&amp;IFERROR(INDEX(PASTE_ALL,$DF509,26)&amp;"","")&amp;"␟"&amp;IFERROR(INDEX(PASTE_ALL,$DF509,27)&amp;"","")&amp;"␟"&amp;IFERROR(INDEX(PASTE_ALL,$DF509,28)&amp;"","")&amp;"␟"&amp;IFERROR(INDEX(PASTE_ALL,$DF509,29)&amp;"","")&amp;"␟"&amp;IFERROR(INDEX(PASTE_ALL,$DF509,30)&amp;"","")&amp;"␟"&amp;IFERROR(INDEX(PASTE_ALL,$DF509,31)&amp;"","")&amp;"␟"&amp;IFERROR(INDEX(PASTE_ALL,$DF509,32)&amp;"","")&amp;"␟"&amp;IFERROR(INDEX(PASTE_ALL,$DF509,33)&amp;"","")&amp;"␟"&amp;IFERROR(INDEX(PASTE_ALL,$DF509,34)&amp;"","")&amp;"␟"&amp;IFERROR(INDEX(PASTE_ALL,$DF509,35)&amp;"","")&amp;"␟"&amp;IFERROR(INDEX(PASTE_ALL,$DF509,36)&amp;"","")&amp;"␟"&amp;IFERROR(INDEX(PASTE_ALL,$DF509,37)&amp;"","")&amp;"␟"&amp;IFERROR(INDEX(PASTE_ALL,$DF509,38)&amp;"","")&amp;"␟"&amp;IFERROR(INDEX(PASTE_ALL,$DF509,39)&amp;"","")&amp;"␟"&amp;IFERROR(INDEX(PASTE_ALL,$DF509,40)&amp;"","")&amp;"␟"&amp;IFERROR(INDEX(PASTE_ALL,$DF509,41)&amp;"","")&amp;"␟"&amp;IFERROR(INDEX(PASTE_ALL,$DF509,42)&amp;"","")&amp;"␟"&amp;IFERROR(INDEX(PASTE_ALL,$DF509,43)&amp;"","")&amp;"␟"&amp;IFERROR(INDEX(PASTE_ALL,$DF509,44)&amp;"","")&amp;"␟"&amp;IFERROR(INDEX(PASTE_ALL,$DF509,45)&amp;"","")&amp;"␟"&amp;IFERROR(INDEX(PASTE_ALL,$DF509,46)&amp;"","")&amp;"␟"&amp;IFERROR(INDEX(PASTE_ALL,$DF509,47)&amp;"","")&amp;"␟"&amp;IFERROR(INDEX(PASTE_ALL,$DF509,48)&amp;"","")&amp;"␟"&amp;IFERROR(INDEX(PASTE_ALL,$DF509,49)&amp;"","")&amp;"␟"&amp;IFERROR(INDEX(PASTE_ALL,$DF509,50)&amp;"","")&amp;"␟"&amp;IFERROR(INDEX(PASTE_ALL,$DF509,51)&amp;"","")&amp;"␟"&amp;IFERROR(INDEX(PASTE_ALL,$DF509,52)&amp;"","")&amp;"␟"&amp;IFERROR(INDEX(PASTE_ALL,$DF509,53)&amp;"","")&amp;"␟"&amp;IFERROR(INDEX(PASTE_ALL,$DF509,54)&amp;"","")&amp;"␟"&amp;IFERROR(INDEX(PASTE_ALL,$DF509,55)&amp;"","")&amp;"␟"&amp;IFERROR(INDEX(PASTE_ALL,$DF509,56)&amp;"","")&amp;"␟"&amp;IFERROR(INDEX(PASTE_ALL,$DF509,57)&amp;"","")&amp;"␟"&amp;IFERROR(INDEX(PASTE_ALL,$DF509,58)&amp;"","")&amp;"␟"&amp;IFERROR(INDEX(PASTE_ALL,$DF509,59)&amp;"","")&amp;"␟"&amp;IFERROR(INDEX(PASTE_ALL,$DF509,60)&amp;"","")," "," "),CHAR(9)," "),CHAR(10)," "),CHAR(13)," "))," ␟","␟"),"␟ ","␟"),"#"&amp;$DE509),"")</f>
        <v/>
      </c>
      <c r="DJ509">
        <f>IF($DI509="",0,IF(SUMPRODUCT(--EXACT($DI$4:DI508,$DI509))&gt;0,1,0))</f>
        <v/>
      </c>
      <c r="DK509">
        <f>IF(AND($DI509&lt;&gt;"",$DJ509=0),1,0)</f>
        <v/>
      </c>
      <c r="DL509">
        <f>DL508+$DK509</f>
        <v/>
      </c>
      <c r="DM509">
        <f>IF(AND($DK509=1,$DL509&lt;=600),1,0)</f>
        <v/>
      </c>
      <c r="DN509">
        <f>IF($DM509=0,"",IF($L$6=0,"",IFERROR(IF(ISNUMBER(INDEX(PASTE_ALL,$DF509,$L$6)),INDEX(PASTE_ALL,$DF509,$L$6),TRIM(SUBSTITUTE(SUBSTITUTE(SUBSTITUTE(SUBSTITUTE(INDEX(PASTE_ALL,$DF509,$L$6)," "," "),CHAR(9)," "),CHAR(10)," "),CHAR(13)," "))),"")))</f>
        <v/>
      </c>
      <c r="DO509">
        <f>IF($DM509=0,"",IF($L$7=0,"",IFERROR(IF(ISNUMBER(INDEX(PASTE_ALL,$DF509,$L$7)),INDEX(PASTE_ALL,$DF509,$L$7),TRIM(SUBSTITUTE(SUBSTITUTE(SUBSTITUTE(SUBSTITUTE(INDEX(PASTE_ALL,$DF509,$L$7)," "," "),CHAR(9)," "),CHAR(10)," "),CHAR(13)," "))),"")))</f>
        <v/>
      </c>
      <c r="DP509">
        <f>IF($DM509=0,"",IF($L$8=0,"",IFERROR(IF(ISNUMBER(INDEX(PASTE_ALL,$DF509,$L$8)),INDEX(PASTE_ALL,$DF509,$L$8),TRIM(SUBSTITUTE(SUBSTITUTE(SUBSTITUTE(SUBSTITUTE(INDEX(PASTE_ALL,$DF509,$L$8)," "," "),CHAR(9)," "),CHAR(10)," "),CHAR(13)," "))),"")))</f>
        <v/>
      </c>
      <c r="DQ509">
        <f>IF($DM509=0,"",IF($L$9=0,"",IFERROR(IF(ISNUMBER(INDEX(PASTE_ALL,$DF509,$L$9)),INDEX(PASTE_ALL,$DF509,$L$9),TRIM(SUBSTITUTE(SUBSTITUTE(SUBSTITUTE(SUBSTITUTE(INDEX(PASTE_ALL,$DF509,$L$9)," "," "),CHAR(9)," "),CHAR(10)," "),CHAR(13)," "))),"")))</f>
        <v/>
      </c>
      <c r="DR509">
        <f>IF($DM509=0,"",IF($L$10=0,"",IFERROR(IF(ISNUMBER(INDEX(PASTE_ALL,$DF509,$L$10)),INDEX(PASTE_ALL,$DF509,$L$10),TRIM(SUBSTITUTE(SUBSTITUTE(SUBSTITUTE(SUBSTITUTE(INDEX(PASTE_ALL,$DF509,$L$10)," "," "),CHAR(9)," "),CHAR(10)," "),CHAR(13)," "))),"")))</f>
        <v/>
      </c>
      <c r="DS509">
        <f>IF($DM509=0,"",IF($L$11=0,"",IFERROR(IF(ISNUMBER(INDEX(PASTE_ALL,$DF509,$L$11)),INDEX(PASTE_ALL,$DF509,$L$11),TRIM(SUBSTITUTE(SUBSTITUTE(SUBSTITUTE(SUBSTITUTE(INDEX(PASTE_ALL,$DF509,$L$11)," "," "),CHAR(9)," "),CHAR(10)," "),CHAR(13)," "))),"")))</f>
        <v/>
      </c>
      <c r="DT509">
        <f>IF($DM509=0,"",IF($L$12=0,"",IFERROR(IF(ISNUMBER(INDEX(PASTE_ALL,$DF509,$L$12)),INDEX(PASTE_ALL,$DF509,$L$12),TRIM(SUBSTITUTE(SUBSTITUTE(SUBSTITUTE(SUBSTITUTE(INDEX(PASTE_ALL,$DF509,$L$12)," "," "),CHAR(9)," "),CHAR(10)," "),CHAR(13)," "))),"")))</f>
        <v/>
      </c>
      <c r="DU509">
        <f>IF($DM509=0,"",IF($L$13=0,"",IFERROR(IF(ISNUMBER(INDEX(PASTE_ALL,$DF509,$L$13)),INDEX(PASTE_ALL,$DF509,$L$13),TRIM(SUBSTITUTE(SUBSTITUTE(SUBSTITUTE(SUBSTITUTE(INDEX(PASTE_ALL,$DF509,$L$13)," "," "),CHAR(9)," "),CHAR(10)," "),CHAR(13)," "))),"")))</f>
        <v/>
      </c>
      <c r="DV509">
        <f>IF($DM509=0,"",IF($L$14=0,"",IFERROR(IF(ISNUMBER(INDEX(PASTE_ALL,$DF509,$L$14)),INDEX(PASTE_ALL,$DF509,$L$14),TRIM(SUBSTITUTE(SUBSTITUTE(SUBSTITUTE(SUBSTITUTE(INDEX(PASTE_ALL,$DF509,$L$14)," "," "),CHAR(9)," "),CHAR(10)," "),CHAR(13)," "))),"")))</f>
        <v/>
      </c>
      <c r="DW509">
        <f>IF($DM509=0,"",IF($L$15=0,"",IFERROR(IF(ISNUMBER(INDEX(PASTE_ALL,$DF509,$L$15)),INDEX(PASTE_ALL,$DF509,$L$15),IF(SUMPRODUCT(--ISNUMBER(FIND({"A","B","C","D","E","F","G","H","I","J","K","L","M","N","O","P","Q","R","S","T","U","V","W","X","Y","Z","0","1","2","3","4","5","6","7","8","9"},UPPER(TRIM(SUBSTITUTE(SUBSTITUTE(SUBSTITUTE(SUBSTITUTE(INDEX(PASTE_ALL,$DF509,$L$15)," "," "),CHAR(9)," "),CHAR(10)," "),CHAR(13)," "))))))&gt;0,TRIM(SUBSTITUTE(SUBSTITUTE(SUBSTITUTE(SUBSTITUTE(INDEX(PASTE_ALL,$DF509,$L$15)," "," "),CHAR(9)," "),CHAR(10)," "),CHAR(13)," ")),"")),"")))</f>
        <v/>
      </c>
      <c r="DX509">
        <f>IF($DM509=0,"",IF($L$16=0,"",IFERROR(IF(ISNUMBER(INDEX(PASTE_ALL,$DF509,$L$16)),INDEX(PASTE_ALL,$DF509,$L$16),SUBSTITUTE(SUBSTITUTE(TRIM(SUBSTITUTE(SUBSTITUTE(SUBSTITUTE(SUBSTITUTE(INDEX(PASTE_ALL,$DF509,$L$16)," "," "),CHAR(9)," "),CHAR(10)," "),CHAR(13)," ")),",",""),"%","")),"")))</f>
        <v/>
      </c>
      <c r="DY509">
        <f>IF($DM509=0,"",IFERROR(IF(ISNUMBER($DX509),$DX509,IF($DX509="","",IF(TRIM($DX509)="",0,IF(AND(AND(SUBSTITUTE(SUBSTITUTE(SUBSTITUTE(SUBSTITUTE(SUBSTITUTE(SUBSTITUTE(SUBSTITUTE(SUBSTITUTE(SUBSTITUTE(SUBSTITUTE(SUBSTITUTE(SUBSTITUTE(SUBSTITUTE(SUBSTITUTE(UPPER(TRIM($DX509)),"0",""),"1",""),"2",""),"3",""),"4",""),"5",""),"6",""),"7",""),"8",""),"9",""),".",""),"+",""),"-",""),"E","")="",LEN(SUBSTITUTE(SUBSTITUTE(MID(UPPER(TRIM($DX509)),1+OR(LEFT(UPPER(TRIM($DX509)),1)="+",LEFT(UPPER(TRIM($DX509)),1)="-"),999),"E+","E"),"E-","E"))=LEN(SUBSTITUTE(SUBSTITUTE(SUBSTITUTE(SUBSTITUTE(MID(UPPER(TRIM($DX509)),1+OR(LEFT(UPPER(TRIM($DX509)),1)="+",LEFT(UPPER(TRIM($DX509)),1)="-"),999),"E+","E"),"E-","E"),"+",""),"-","")),LEN(UPPER(TRIM($DX509)))-LEN(SUBSTITUTE(UPPER(TRIM($DX509)),"E",""))&lt;2,LEN(UPPER(TRIM($DX509)))-LEN(SUBSTITUTE(UPPER(TRIM($DX509)),".",""))&lt;2,IFERROR(FIND(".",UPPER(TRIM($DX509))),0)&lt;IFERROR(FIND("E",UPPER(TRIM($DX509))),999)),ISNUMBER(VALUE(TRIM($DX509)))),VALUE(TRIM($DX509)),"")))),""))</f>
        <v/>
      </c>
      <c r="DZ509">
        <f>IF($DM509=0,"",IF($L$17=0,"",IFERROR(IF(ISNUMBER(INDEX(PASTE_ALL,$DF509,$L$17)),INDEX(PASTE_ALL,$DF509,$L$17),SUBSTITUTE(SUBSTITUTE(TRIM(SUBSTITUTE(SUBSTITUTE(SUBSTITUTE(SUBSTITUTE(INDEX(PASTE_ALL,$DF509,$L$17)," "," "),CHAR(9)," "),CHAR(10)," "),CHAR(13)," ")),",",""),"%","")),"")))</f>
        <v/>
      </c>
      <c r="EA509">
        <f>IF($DM509=0,"",IFERROR(IF(ISNUMBER($DZ509),$DZ509,IF($DZ509="","",IF(TRIM($DZ509)="",0,IF(AND(AND(SUBSTITUTE(SUBSTITUTE(SUBSTITUTE(SUBSTITUTE(SUBSTITUTE(SUBSTITUTE(SUBSTITUTE(SUBSTITUTE(SUBSTITUTE(SUBSTITUTE(SUBSTITUTE(SUBSTITUTE(SUBSTITUTE(SUBSTITUTE(UPPER(TRIM($DZ509)),"0",""),"1",""),"2",""),"3",""),"4",""),"5",""),"6",""),"7",""),"8",""),"9",""),".",""),"+",""),"-",""),"E","")="",LEN(SUBSTITUTE(SUBSTITUTE(MID(UPPER(TRIM($DZ509)),1+OR(LEFT(UPPER(TRIM($DZ509)),1)="+",LEFT(UPPER(TRIM($DZ509)),1)="-"),999),"E+","E"),"E-","E"))=LEN(SUBSTITUTE(SUBSTITUTE(SUBSTITUTE(SUBSTITUTE(MID(UPPER(TRIM($DZ509)),1+OR(LEFT(UPPER(TRIM($DZ509)),1)="+",LEFT(UPPER(TRIM($DZ509)),1)="-"),999),"E+","E"),"E-","E"),"+",""),"-","")),LEN(UPPER(TRIM($DZ509)))-LEN(SUBSTITUTE(UPPER(TRIM($DZ509)),"E",""))&lt;2,LEN(UPPER(TRIM($DZ509)))-LEN(SUBSTITUTE(UPPER(TRIM($DZ509)),".",""))&lt;2,IFERROR(FIND(".",UPPER(TRIM($DZ509))),0)&lt;IFERROR(FIND("E",UPPER(TRIM($DZ509))),999)),ISNUMBER(VALUE(TRIM($DZ509)))),VALUE(TRIM($DZ509)),"")))),""))</f>
        <v/>
      </c>
      <c r="EB509">
        <f>IF($DM509=0,"",IF($L$18=0,"",IFERROR(IF(UPPER(TRIM(SUBSTITUTE(SUBSTITUTE(SUBSTITUTE(SUBSTITUTE(INDEX(PASTE_ALL,$DF509,$L$18)," "," "),CHAR(9)," "),CHAR(10)," "),CHAR(13)," ")))="READY","Ready",IF(UPPER(TRIM(SUBSTITUTE(SUBSTITUTE(SUBSTITUTE(SUBSTITUTE(INDEX(PASTE_ALL,$DF509,$L$18)," "," "),CHAR(9)," "),CHAR(10)," "),CHAR(13)," ")))="PM","PM",IF(OR(UPPER(TRIM(SUBSTITUTE(SUBSTITUTE(SUBSTITUTE(SUBSTITUTE(INDEX(PASTE_ALL,$DF509,$L$18)," "," "),CHAR(9)," "),CHAR(10)," "),CHAR(13)," ")))="OT",UPPER(TRIM(SUBSTITUTE(SUBSTITUTE(SUBSTITUTE(SUBSTITUTE(INDEX(PASTE_ALL,$DF509,$L$18)," "," "),CHAR(9)," "),CHAR(10)," "),CHAR(13)," ")))="OVERTIME",UPPER(TRIM(SUBSTITUTE(SUBSTITUTE(SUBSTITUTE(SUBSTITUTE(INDEX(PASTE_ALL,$DF509,$L$18)," "," "),CHAR(9)," "),CHAR(10)," "),CHAR(13)," ")))="TRIAL"),"OT",TRIM(SUBSTITUTE(SUBSTITUTE(SUBSTITUTE(SUBSTITUTE(INDEX(PASTE_ALL,$DF509,$L$18)," "," "),CHAR(9)," "),CHAR(10)," "),CHAR(13)," "))))),"")))</f>
        <v/>
      </c>
      <c r="EC509">
        <f>IF($DM509=0,"",IF($L$19=0,"",IFERROR(IF(ISNUMBER(INDEX(PASTE_ALL,$DF509,$L$19)),INDEX(PASTE_ALL,$DF509,$L$19),TRIM(SUBSTITUTE(SUBSTITUTE(SUBSTITUTE(SUBSTITUTE(INDEX(PASTE_ALL,$DF509,$L$19)," "," "),CHAR(9)," "),CHAR(10)," "),CHAR(13)," "))),"")))</f>
        <v/>
      </c>
      <c r="ED509">
        <f>IF($DM509=0,"",MATCH(1,INDEX(EXACT($DH$5:DH509,$DH509)*$DM$5:DM509,0),0))</f>
        <v/>
      </c>
      <c r="EE509">
        <f>IF($DM509=0,0,IF($ED509=$DE509,1,0))</f>
        <v/>
      </c>
      <c r="EF509">
        <f>EF508+$EE509</f>
        <v/>
      </c>
      <c r="EG509">
        <f>IF($DM509=0,"",INDEX($EF$5:$EF$1003,$ED509))</f>
        <v/>
      </c>
      <c r="EH509">
        <f>IF($DM509=0,"",IF($DO509&lt;&gt;"","",IFERROR(LOOKUP(2,1/(($EG$4:EG508=$EG509)*($DO$4:DO508&lt;&gt;"")),$DO$4:DO508),"")))</f>
        <v/>
      </c>
      <c r="EI509">
        <f>IF($DM509=0,"",IF($DO509&lt;&gt;"",$DO509,$EH509))</f>
        <v/>
      </c>
      <c r="EJ509">
        <f>IF($DM509=0,"",IF($EI509="",0,IF(OR(ISNUMBER($EI509),AND(AND(SUBSTITUTE(SUBSTITUTE(SUBSTITUTE(SUBSTITUTE(SUBSTITUTE(SUBSTITUTE(SUBSTITUTE(SUBSTITUTE(SUBSTITUTE(SUBSTITUTE(SUBSTITUTE(SUBSTITUTE(SUBSTITUTE(SUBSTITUTE(UPPER($EI509),"0",""),"1",""),"2",""),"3",""),"4",""),"5",""),"6",""),"7",""),"8",""),"9",""),".",""),"+",""),"-",""),"E","")="",LEN(SUBSTITUTE(SUBSTITUTE(MID(UPPER($EI509),1+OR(LEFT(UPPER($EI509),1)="+",LEFT(UPPER($EI509),1)="-"),999),"E+","E"),"E-","E"))=LEN(SUBSTITUTE(SUBSTITUTE(SUBSTITUTE(SUBSTITUTE(MID(UPPER($EI509),1+OR(LEFT(UPPER($EI509),1)="+",LEFT(UPPER($EI509),1)="-"),999),"E+","E"),"E-","E"),"+",""),"-","")),LEN(UPPER($EI509))-LEN(SUBSTITUTE(UPPER($EI509),"E",""))&lt;2,LEN(UPPER($EI509))-LEN(SUBSTITUTE(UPPER($EI509),".",""))&lt;2,IFERROR(FIND(".",UPPER($EI509)),0)&lt;IFERROR(FIND("E",UPPER($EI509)),999)),ISNUMBER(VALUE($EI509)))),1,2)))</f>
        <v/>
      </c>
      <c r="EK509">
        <f>IF($DM509=0,"",IF($EJ509=1,IF(ISNUMBER($EI509),$EI509,VALUE($EI509)),IF($EJ509=2,$DE509,0)))</f>
        <v/>
      </c>
      <c r="EL509">
        <f>IF($DM509=0,"",COUNTIF($EG$5:$EG$1003,"&lt;"&amp;$EG509)+SUMPRODUCT(($EG$5:$EG$1003=$EG509)*(($EJ$5:$EJ$1003&lt;$EJ509)+($EJ$5:$EJ$1003=$EJ509)*(($EK$5:$EK$1003&lt;$EK509)+($EK$5:$EK$1003=$EK509)*($DE$5:$DE$1003&lt;$DE509))))+1)</f>
        <v/>
      </c>
      <c r="EM509">
        <f>IF($DM509=0,"",$EL509+$EG509-1)</f>
        <v/>
      </c>
      <c r="EN509">
        <f>IF($DM509=0,0,IFERROR(MATCH(1,INDEX(--(TRIM(SUBSTITUTE(SUBSTITUTE(SUBSTITUTE(SUBSTITUTE(LINES_NAME&amp;""," "," "),CHAR(9)," "),CHAR(10)," "),CHAR(13)," "))=$DH509),0),0),0))</f>
        <v/>
      </c>
      <c r="EO509">
        <f>IF($EN509=0,0,IF(OR(UPPER(TRIM(INDEX(LINES_SCHEDULED,$EN509)&amp;""))="YES",UPPER(TRIM(INDEX(LINES_SCHEDULED,$EN509)&amp;""))="Y",UPPER(TRIM(INDEX(LINES_SCHEDULED,$EN509)&amp;""))="X"),1,0))</f>
        <v/>
      </c>
      <c r="EP509">
        <f>IF($DM509=0,"",IF(COUNTIFS($EG$5:$EG$1003,$EG509,$EB$5:$EB$1003,"Ready")&gt;0,"READY",IF(COUNTIFS($EG$5:$EG$1003,$EG509,$EB$5:$EB$1003,"PM")&gt;0,"PM",IF(COUNTIFS($EG$5:$EG$1003,$EG509,$EB$5:$EB$1003,"OT")&gt;0,"OT",""))))</f>
        <v/>
      </c>
      <c r="EQ509">
        <f>IF($EN509=0,"",UPPER(TRIM(INDEX(LINES_STATUS,$EN509)&amp;"")))</f>
        <v/>
      </c>
      <c r="ER509">
        <f>IF($DM509=0,"",IF(OR($EQ509="READY",$EQ509="PM",$EQ509="OT"),$EQ509,$EP509))</f>
        <v/>
      </c>
      <c r="ES509">
        <f>IF($DM509=0,"",IF(AND($DV509&lt;&gt;"",UPPER($DV509)&lt;&gt;"N"),"allergen",IF(ISNUMBER(SEARCH("oil",$DQ509)),"oil",IF(OR(EXACT($DS509,"A662"),EXACT($DS509,"A624")),"bulk",""))))</f>
        <v/>
      </c>
      <c r="ET509">
        <f>IF($DM509=0,"",IF(OR($EA509="",$EA509=0),"",$EA509/100))</f>
        <v/>
      </c>
      <c r="EU509">
        <f>IF(OR($ET509="",$DY509=""),"",INT($DY509*(1-$ET509)+0.5))</f>
        <v/>
      </c>
      <c r="EW509" t="n">
        <v>505</v>
      </c>
      <c r="EX509">
        <f>IFERROR(MATCH($EW509,$EM$5:$EM$1003,0),0)</f>
        <v/>
      </c>
      <c r="EY509">
        <f>IF($EW509&gt;$B$12,"",IF($EX509&gt;0,"row","spacer"))</f>
        <v/>
      </c>
      <c r="EZ509">
        <f>IF(AND($EY509="row",$EY508&lt;&gt;"row"),1,0)</f>
        <v/>
      </c>
      <c r="FA509">
        <f>IF(AND($EY509="row",$EY510&lt;&gt;"row"),1,0)</f>
        <v/>
      </c>
      <c r="FB509">
        <f>IF($EZ509=1,IFERROR(IF(ISNUMBER(INDEX(PASTE_ALL,INDEX($DF$5:$DF$1003,$EX509),$B$37)),INDEX(PASTE_ALL,INDEX($DF$5:$DF$1003,$EX509),$B$37),INDEX($DH$5:$DH$1003,$EX509)),INDEX($DH$5:$DH$1003,$EX509)),"")</f>
        <v/>
      </c>
      <c r="FC509">
        <f>IF($EY509="row",INDEX($ER$5:$ER$1003,$EX509),"")</f>
        <v/>
      </c>
      <c r="FD509">
        <f>IF($EY509="row",INDEX($DN$5:$DN$1003,$EX509),"")</f>
        <v/>
      </c>
      <c r="FE509">
        <f>IF($EY509="row",INDEX($DO$5:$DO$1003,$EX509),"")</f>
        <v/>
      </c>
      <c r="FF509">
        <f>IF($EY509="row",INDEX($DP$5:$DP$1003,$EX509),"")</f>
        <v/>
      </c>
      <c r="FG509">
        <f>IF($EY509="row",INDEX($DQ$5:$DQ$1003,$EX509),"")</f>
        <v/>
      </c>
      <c r="FH509">
        <f>IF($EY509="row",INDEX($DR$5:$DR$1003,$EX509),"")</f>
        <v/>
      </c>
      <c r="FI509">
        <f>IF($EY509="row",INDEX($DS$5:$DS$1003,$EX509),"")</f>
        <v/>
      </c>
      <c r="FJ509">
        <f>IF($EY509="row",INDEX($DT$5:$DT$1003,$EX509),"")</f>
        <v/>
      </c>
      <c r="FK509">
        <f>IF($EY509="row",INDEX($DU$5:$DU$1003,$EX509),"")</f>
        <v/>
      </c>
      <c r="FL509">
        <f>IF($EY509="row",INDEX($DV$5:$DV$1003,$EX509),"")</f>
        <v/>
      </c>
      <c r="FM509">
        <f>IF($EY509="row",INDEX($DW$5:$DW$1003,$EX509),"")</f>
        <v/>
      </c>
      <c r="FN509">
        <f>IF($EY509="row",INDEX($DY$5:$DY$1003,$EX509),"")</f>
        <v/>
      </c>
      <c r="FO509">
        <f>IF($EY509="row",INDEX($EA$5:$EA$1003,$EX509),"")</f>
        <v/>
      </c>
      <c r="FP509">
        <f>IF($EY509="row",INDEX($EC$5:$EC$1003,$EX509),"")</f>
        <v/>
      </c>
      <c r="FQ509">
        <f>IF($EY509="row",INDEX($ET$5:$ET$1003,$EX509),"")</f>
        <v/>
      </c>
      <c r="FR509">
        <f>IF($EY509="row",INDEX($EU$5:$EU$1003,$EX509),"")</f>
        <v/>
      </c>
      <c r="FS509">
        <f>IF(AND($EY509="row",$EY508="row"),IF(OR(INDEX($DT$5:$DT$1003,$EX508)="",INDEX($DT$5:$DT$1003,$EX509)=""),"",IF(NOT(EXACT(INDEX($DT$5:$DT$1003,$EX508),INDEX($DT$5:$DT$1003,$EX509))),"S4",IF(NOT(EXACT(INDEX($DS$5:$DS$1003,$EX508),INDEX($DS$5:$DS$1003,$EX509))),"S3",IF(NOT(EXACT(INDEX($DR$5:$DR$1003,$EX508),INDEX($DR$5:$DR$1003,$EX509))),"S1 Count Change","S1")))),"")</f>
        <v/>
      </c>
      <c r="FT509">
        <f>IF($EY509="row",INDEX($ES$5:$ES$1003,$EX509),"")</f>
        <v/>
      </c>
      <c r="FU509">
        <f>IF($EY509="row",INDEX($EO$5:$EO$1003,$EX509),0)</f>
        <v/>
      </c>
      <c r="FV509">
        <f>IF($FS509="S1 Count Change",1,0)</f>
        <v/>
      </c>
    </row>
    <row r="510">
      <c r="DA510" t="n">
        <v>506</v>
      </c>
      <c r="DB510">
        <f>IF($B$37=0,"",IFERROR(TRIM(SUBSTITUTE(SUBSTITUTE(SUBSTITUTE(SUBSTITUTE(INDEX(PASTE_ALL,506,$B$37)," "," "),CHAR(9)," "),CHAR(10)," "),CHAR(13)," ")),""))</f>
        <v/>
      </c>
      <c r="DC510">
        <f>IF(AND(506&gt;HEADER_ROW,UPPER(DB510)="LEGEND"),1,0)</f>
        <v/>
      </c>
      <c r="DE510" t="n">
        <v>506</v>
      </c>
      <c r="DF510">
        <f>HEADER_ROW+$DE510</f>
        <v/>
      </c>
      <c r="DG510">
        <f>IF(AND($DF510&lt;=1000,$DF510&lt;$B$8),1,0)</f>
        <v/>
      </c>
      <c r="DH510">
        <f>IF($DG510=1,IFERROR(INDEX($DB$5:$DB$1004,$DF510),""),"")</f>
        <v/>
      </c>
      <c r="DI510">
        <f>IF(AND($DG510=1,$DH510&lt;&gt;""),IFERROR(SUBSTITUTE(SUBSTITUTE(TRIM(SUBSTITUTE(SUBSTITUTE(SUBSTITUTE(SUBSTITUTE(IFERROR(INDEX(PASTE_ALL,$DF510,1)&amp;"","")&amp;"␟"&amp;IFERROR(INDEX(PASTE_ALL,$DF510,2)&amp;"","")&amp;"␟"&amp;IFERROR(INDEX(PASTE_ALL,$DF510,3)&amp;"","")&amp;"␟"&amp;IFERROR(INDEX(PASTE_ALL,$DF510,4)&amp;"","")&amp;"␟"&amp;IFERROR(INDEX(PASTE_ALL,$DF510,5)&amp;"","")&amp;"␟"&amp;IFERROR(INDEX(PASTE_ALL,$DF510,6)&amp;"","")&amp;"␟"&amp;IFERROR(INDEX(PASTE_ALL,$DF510,7)&amp;"","")&amp;"␟"&amp;IFERROR(INDEX(PASTE_ALL,$DF510,8)&amp;"","")&amp;"␟"&amp;IFERROR(INDEX(PASTE_ALL,$DF510,9)&amp;"","")&amp;"␟"&amp;IFERROR(INDEX(PASTE_ALL,$DF510,10)&amp;"","")&amp;"␟"&amp;IFERROR(INDEX(PASTE_ALL,$DF510,11)&amp;"","")&amp;"␟"&amp;IFERROR(INDEX(PASTE_ALL,$DF510,12)&amp;"","")&amp;"␟"&amp;IFERROR(INDEX(PASTE_ALL,$DF510,13)&amp;"","")&amp;"␟"&amp;IFERROR(INDEX(PASTE_ALL,$DF510,14)&amp;"","")&amp;"␟"&amp;IFERROR(INDEX(PASTE_ALL,$DF510,15)&amp;"","")&amp;"␟"&amp;IFERROR(INDEX(PASTE_ALL,$DF510,16)&amp;"","")&amp;"␟"&amp;IFERROR(INDEX(PASTE_ALL,$DF510,17)&amp;"","")&amp;"␟"&amp;IFERROR(INDEX(PASTE_ALL,$DF510,18)&amp;"","")&amp;"␟"&amp;IFERROR(INDEX(PASTE_ALL,$DF510,19)&amp;"","")&amp;"␟"&amp;IFERROR(INDEX(PASTE_ALL,$DF510,20)&amp;"","")&amp;"␟"&amp;IFERROR(INDEX(PASTE_ALL,$DF510,21)&amp;"","")&amp;"␟"&amp;IFERROR(INDEX(PASTE_ALL,$DF510,22)&amp;"","")&amp;"␟"&amp;IFERROR(INDEX(PASTE_ALL,$DF510,23)&amp;"","")&amp;"␟"&amp;IFERROR(INDEX(PASTE_ALL,$DF510,24)&amp;"","")&amp;"␟"&amp;IFERROR(INDEX(PASTE_ALL,$DF510,25)&amp;"","")&amp;"␟"&amp;IFERROR(INDEX(PASTE_ALL,$DF510,26)&amp;"","")&amp;"␟"&amp;IFERROR(INDEX(PASTE_ALL,$DF510,27)&amp;"","")&amp;"␟"&amp;IFERROR(INDEX(PASTE_ALL,$DF510,28)&amp;"","")&amp;"␟"&amp;IFERROR(INDEX(PASTE_ALL,$DF510,29)&amp;"","")&amp;"␟"&amp;IFERROR(INDEX(PASTE_ALL,$DF510,30)&amp;"","")&amp;"␟"&amp;IFERROR(INDEX(PASTE_ALL,$DF510,31)&amp;"","")&amp;"␟"&amp;IFERROR(INDEX(PASTE_ALL,$DF510,32)&amp;"","")&amp;"␟"&amp;IFERROR(INDEX(PASTE_ALL,$DF510,33)&amp;"","")&amp;"␟"&amp;IFERROR(INDEX(PASTE_ALL,$DF510,34)&amp;"","")&amp;"␟"&amp;IFERROR(INDEX(PASTE_ALL,$DF510,35)&amp;"","")&amp;"␟"&amp;IFERROR(INDEX(PASTE_ALL,$DF510,36)&amp;"","")&amp;"␟"&amp;IFERROR(INDEX(PASTE_ALL,$DF510,37)&amp;"","")&amp;"␟"&amp;IFERROR(INDEX(PASTE_ALL,$DF510,38)&amp;"","")&amp;"␟"&amp;IFERROR(INDEX(PASTE_ALL,$DF510,39)&amp;"","")&amp;"␟"&amp;IFERROR(INDEX(PASTE_ALL,$DF510,40)&amp;"","")&amp;"␟"&amp;IFERROR(INDEX(PASTE_ALL,$DF510,41)&amp;"","")&amp;"␟"&amp;IFERROR(INDEX(PASTE_ALL,$DF510,42)&amp;"","")&amp;"␟"&amp;IFERROR(INDEX(PASTE_ALL,$DF510,43)&amp;"","")&amp;"␟"&amp;IFERROR(INDEX(PASTE_ALL,$DF510,44)&amp;"","")&amp;"␟"&amp;IFERROR(INDEX(PASTE_ALL,$DF510,45)&amp;"","")&amp;"␟"&amp;IFERROR(INDEX(PASTE_ALL,$DF510,46)&amp;"","")&amp;"␟"&amp;IFERROR(INDEX(PASTE_ALL,$DF510,47)&amp;"","")&amp;"␟"&amp;IFERROR(INDEX(PASTE_ALL,$DF510,48)&amp;"","")&amp;"␟"&amp;IFERROR(INDEX(PASTE_ALL,$DF510,49)&amp;"","")&amp;"␟"&amp;IFERROR(INDEX(PASTE_ALL,$DF510,50)&amp;"","")&amp;"␟"&amp;IFERROR(INDEX(PASTE_ALL,$DF510,51)&amp;"","")&amp;"␟"&amp;IFERROR(INDEX(PASTE_ALL,$DF510,52)&amp;"","")&amp;"␟"&amp;IFERROR(INDEX(PASTE_ALL,$DF510,53)&amp;"","")&amp;"␟"&amp;IFERROR(INDEX(PASTE_ALL,$DF510,54)&amp;"","")&amp;"␟"&amp;IFERROR(INDEX(PASTE_ALL,$DF510,55)&amp;"","")&amp;"␟"&amp;IFERROR(INDEX(PASTE_ALL,$DF510,56)&amp;"","")&amp;"␟"&amp;IFERROR(INDEX(PASTE_ALL,$DF510,57)&amp;"","")&amp;"␟"&amp;IFERROR(INDEX(PASTE_ALL,$DF510,58)&amp;"","")&amp;"␟"&amp;IFERROR(INDEX(PASTE_ALL,$DF510,59)&amp;"","")&amp;"␟"&amp;IFERROR(INDEX(PASTE_ALL,$DF510,60)&amp;"","")," "," "),CHAR(9)," "),CHAR(10)," "),CHAR(13)," "))," ␟","␟"),"␟ ","␟"),"#"&amp;$DE510),"")</f>
        <v/>
      </c>
      <c r="DJ510">
        <f>IF($DI510="",0,IF(SUMPRODUCT(--EXACT($DI$4:DI509,$DI510))&gt;0,1,0))</f>
        <v/>
      </c>
      <c r="DK510">
        <f>IF(AND($DI510&lt;&gt;"",$DJ510=0),1,0)</f>
        <v/>
      </c>
      <c r="DL510">
        <f>DL509+$DK510</f>
        <v/>
      </c>
      <c r="DM510">
        <f>IF(AND($DK510=1,$DL510&lt;=600),1,0)</f>
        <v/>
      </c>
      <c r="DN510">
        <f>IF($DM510=0,"",IF($L$6=0,"",IFERROR(IF(ISNUMBER(INDEX(PASTE_ALL,$DF510,$L$6)),INDEX(PASTE_ALL,$DF510,$L$6),TRIM(SUBSTITUTE(SUBSTITUTE(SUBSTITUTE(SUBSTITUTE(INDEX(PASTE_ALL,$DF510,$L$6)," "," "),CHAR(9)," "),CHAR(10)," "),CHAR(13)," "))),"")))</f>
        <v/>
      </c>
      <c r="DO510">
        <f>IF($DM510=0,"",IF($L$7=0,"",IFERROR(IF(ISNUMBER(INDEX(PASTE_ALL,$DF510,$L$7)),INDEX(PASTE_ALL,$DF510,$L$7),TRIM(SUBSTITUTE(SUBSTITUTE(SUBSTITUTE(SUBSTITUTE(INDEX(PASTE_ALL,$DF510,$L$7)," "," "),CHAR(9)," "),CHAR(10)," "),CHAR(13)," "))),"")))</f>
        <v/>
      </c>
      <c r="DP510">
        <f>IF($DM510=0,"",IF($L$8=0,"",IFERROR(IF(ISNUMBER(INDEX(PASTE_ALL,$DF510,$L$8)),INDEX(PASTE_ALL,$DF510,$L$8),TRIM(SUBSTITUTE(SUBSTITUTE(SUBSTITUTE(SUBSTITUTE(INDEX(PASTE_ALL,$DF510,$L$8)," "," "),CHAR(9)," "),CHAR(10)," "),CHAR(13)," "))),"")))</f>
        <v/>
      </c>
      <c r="DQ510">
        <f>IF($DM510=0,"",IF($L$9=0,"",IFERROR(IF(ISNUMBER(INDEX(PASTE_ALL,$DF510,$L$9)),INDEX(PASTE_ALL,$DF510,$L$9),TRIM(SUBSTITUTE(SUBSTITUTE(SUBSTITUTE(SUBSTITUTE(INDEX(PASTE_ALL,$DF510,$L$9)," "," "),CHAR(9)," "),CHAR(10)," "),CHAR(13)," "))),"")))</f>
        <v/>
      </c>
      <c r="DR510">
        <f>IF($DM510=0,"",IF($L$10=0,"",IFERROR(IF(ISNUMBER(INDEX(PASTE_ALL,$DF510,$L$10)),INDEX(PASTE_ALL,$DF510,$L$10),TRIM(SUBSTITUTE(SUBSTITUTE(SUBSTITUTE(SUBSTITUTE(INDEX(PASTE_ALL,$DF510,$L$10)," "," "),CHAR(9)," "),CHAR(10)," "),CHAR(13)," "))),"")))</f>
        <v/>
      </c>
      <c r="DS510">
        <f>IF($DM510=0,"",IF($L$11=0,"",IFERROR(IF(ISNUMBER(INDEX(PASTE_ALL,$DF510,$L$11)),INDEX(PASTE_ALL,$DF510,$L$11),TRIM(SUBSTITUTE(SUBSTITUTE(SUBSTITUTE(SUBSTITUTE(INDEX(PASTE_ALL,$DF510,$L$11)," "," "),CHAR(9)," "),CHAR(10)," "),CHAR(13)," "))),"")))</f>
        <v/>
      </c>
      <c r="DT510">
        <f>IF($DM510=0,"",IF($L$12=0,"",IFERROR(IF(ISNUMBER(INDEX(PASTE_ALL,$DF510,$L$12)),INDEX(PASTE_ALL,$DF510,$L$12),TRIM(SUBSTITUTE(SUBSTITUTE(SUBSTITUTE(SUBSTITUTE(INDEX(PASTE_ALL,$DF510,$L$12)," "," "),CHAR(9)," "),CHAR(10)," "),CHAR(13)," "))),"")))</f>
        <v/>
      </c>
      <c r="DU510">
        <f>IF($DM510=0,"",IF($L$13=0,"",IFERROR(IF(ISNUMBER(INDEX(PASTE_ALL,$DF510,$L$13)),INDEX(PASTE_ALL,$DF510,$L$13),TRIM(SUBSTITUTE(SUBSTITUTE(SUBSTITUTE(SUBSTITUTE(INDEX(PASTE_ALL,$DF510,$L$13)," "," "),CHAR(9)," "),CHAR(10)," "),CHAR(13)," "))),"")))</f>
        <v/>
      </c>
      <c r="DV510">
        <f>IF($DM510=0,"",IF($L$14=0,"",IFERROR(IF(ISNUMBER(INDEX(PASTE_ALL,$DF510,$L$14)),INDEX(PASTE_ALL,$DF510,$L$14),TRIM(SUBSTITUTE(SUBSTITUTE(SUBSTITUTE(SUBSTITUTE(INDEX(PASTE_ALL,$DF510,$L$14)," "," "),CHAR(9)," "),CHAR(10)," "),CHAR(13)," "))),"")))</f>
        <v/>
      </c>
      <c r="DW510">
        <f>IF($DM510=0,"",IF($L$15=0,"",IFERROR(IF(ISNUMBER(INDEX(PASTE_ALL,$DF510,$L$15)),INDEX(PASTE_ALL,$DF510,$L$15),IF(SUMPRODUCT(--ISNUMBER(FIND({"A","B","C","D","E","F","G","H","I","J","K","L","M","N","O","P","Q","R","S","T","U","V","W","X","Y","Z","0","1","2","3","4","5","6","7","8","9"},UPPER(TRIM(SUBSTITUTE(SUBSTITUTE(SUBSTITUTE(SUBSTITUTE(INDEX(PASTE_ALL,$DF510,$L$15)," "," "),CHAR(9)," "),CHAR(10)," "),CHAR(13)," "))))))&gt;0,TRIM(SUBSTITUTE(SUBSTITUTE(SUBSTITUTE(SUBSTITUTE(INDEX(PASTE_ALL,$DF510,$L$15)," "," "),CHAR(9)," "),CHAR(10)," "),CHAR(13)," ")),"")),"")))</f>
        <v/>
      </c>
      <c r="DX510">
        <f>IF($DM510=0,"",IF($L$16=0,"",IFERROR(IF(ISNUMBER(INDEX(PASTE_ALL,$DF510,$L$16)),INDEX(PASTE_ALL,$DF510,$L$16),SUBSTITUTE(SUBSTITUTE(TRIM(SUBSTITUTE(SUBSTITUTE(SUBSTITUTE(SUBSTITUTE(INDEX(PASTE_ALL,$DF510,$L$16)," "," "),CHAR(9)," "),CHAR(10)," "),CHAR(13)," ")),",",""),"%","")),"")))</f>
        <v/>
      </c>
      <c r="DY510">
        <f>IF($DM510=0,"",IFERROR(IF(ISNUMBER($DX510),$DX510,IF($DX510="","",IF(TRIM($DX510)="",0,IF(AND(AND(SUBSTITUTE(SUBSTITUTE(SUBSTITUTE(SUBSTITUTE(SUBSTITUTE(SUBSTITUTE(SUBSTITUTE(SUBSTITUTE(SUBSTITUTE(SUBSTITUTE(SUBSTITUTE(SUBSTITUTE(SUBSTITUTE(SUBSTITUTE(UPPER(TRIM($DX510)),"0",""),"1",""),"2",""),"3",""),"4",""),"5",""),"6",""),"7",""),"8",""),"9",""),".",""),"+",""),"-",""),"E","")="",LEN(SUBSTITUTE(SUBSTITUTE(MID(UPPER(TRIM($DX510)),1+OR(LEFT(UPPER(TRIM($DX510)),1)="+",LEFT(UPPER(TRIM($DX510)),1)="-"),999),"E+","E"),"E-","E"))=LEN(SUBSTITUTE(SUBSTITUTE(SUBSTITUTE(SUBSTITUTE(MID(UPPER(TRIM($DX510)),1+OR(LEFT(UPPER(TRIM($DX510)),1)="+",LEFT(UPPER(TRIM($DX510)),1)="-"),999),"E+","E"),"E-","E"),"+",""),"-","")),LEN(UPPER(TRIM($DX510)))-LEN(SUBSTITUTE(UPPER(TRIM($DX510)),"E",""))&lt;2,LEN(UPPER(TRIM($DX510)))-LEN(SUBSTITUTE(UPPER(TRIM($DX510)),".",""))&lt;2,IFERROR(FIND(".",UPPER(TRIM($DX510))),0)&lt;IFERROR(FIND("E",UPPER(TRIM($DX510))),999)),ISNUMBER(VALUE(TRIM($DX510)))),VALUE(TRIM($DX510)),"")))),""))</f>
        <v/>
      </c>
      <c r="DZ510">
        <f>IF($DM510=0,"",IF($L$17=0,"",IFERROR(IF(ISNUMBER(INDEX(PASTE_ALL,$DF510,$L$17)),INDEX(PASTE_ALL,$DF510,$L$17),SUBSTITUTE(SUBSTITUTE(TRIM(SUBSTITUTE(SUBSTITUTE(SUBSTITUTE(SUBSTITUTE(INDEX(PASTE_ALL,$DF510,$L$17)," "," "),CHAR(9)," "),CHAR(10)," "),CHAR(13)," ")),",",""),"%","")),"")))</f>
        <v/>
      </c>
      <c r="EA510">
        <f>IF($DM510=0,"",IFERROR(IF(ISNUMBER($DZ510),$DZ510,IF($DZ510="","",IF(TRIM($DZ510)="",0,IF(AND(AND(SUBSTITUTE(SUBSTITUTE(SUBSTITUTE(SUBSTITUTE(SUBSTITUTE(SUBSTITUTE(SUBSTITUTE(SUBSTITUTE(SUBSTITUTE(SUBSTITUTE(SUBSTITUTE(SUBSTITUTE(SUBSTITUTE(SUBSTITUTE(UPPER(TRIM($DZ510)),"0",""),"1",""),"2",""),"3",""),"4",""),"5",""),"6",""),"7",""),"8",""),"9",""),".",""),"+",""),"-",""),"E","")="",LEN(SUBSTITUTE(SUBSTITUTE(MID(UPPER(TRIM($DZ510)),1+OR(LEFT(UPPER(TRIM($DZ510)),1)="+",LEFT(UPPER(TRIM($DZ510)),1)="-"),999),"E+","E"),"E-","E"))=LEN(SUBSTITUTE(SUBSTITUTE(SUBSTITUTE(SUBSTITUTE(MID(UPPER(TRIM($DZ510)),1+OR(LEFT(UPPER(TRIM($DZ510)),1)="+",LEFT(UPPER(TRIM($DZ510)),1)="-"),999),"E+","E"),"E-","E"),"+",""),"-","")),LEN(UPPER(TRIM($DZ510)))-LEN(SUBSTITUTE(UPPER(TRIM($DZ510)),"E",""))&lt;2,LEN(UPPER(TRIM($DZ510)))-LEN(SUBSTITUTE(UPPER(TRIM($DZ510)),".",""))&lt;2,IFERROR(FIND(".",UPPER(TRIM($DZ510))),0)&lt;IFERROR(FIND("E",UPPER(TRIM($DZ510))),999)),ISNUMBER(VALUE(TRIM($DZ510)))),VALUE(TRIM($DZ510)),"")))),""))</f>
        <v/>
      </c>
      <c r="EB510">
        <f>IF($DM510=0,"",IF($L$18=0,"",IFERROR(IF(UPPER(TRIM(SUBSTITUTE(SUBSTITUTE(SUBSTITUTE(SUBSTITUTE(INDEX(PASTE_ALL,$DF510,$L$18)," "," "),CHAR(9)," "),CHAR(10)," "),CHAR(13)," ")))="READY","Ready",IF(UPPER(TRIM(SUBSTITUTE(SUBSTITUTE(SUBSTITUTE(SUBSTITUTE(INDEX(PASTE_ALL,$DF510,$L$18)," "," "),CHAR(9)," "),CHAR(10)," "),CHAR(13)," ")))="PM","PM",IF(OR(UPPER(TRIM(SUBSTITUTE(SUBSTITUTE(SUBSTITUTE(SUBSTITUTE(INDEX(PASTE_ALL,$DF510,$L$18)," "," "),CHAR(9)," "),CHAR(10)," "),CHAR(13)," ")))="OT",UPPER(TRIM(SUBSTITUTE(SUBSTITUTE(SUBSTITUTE(SUBSTITUTE(INDEX(PASTE_ALL,$DF510,$L$18)," "," "),CHAR(9)," "),CHAR(10)," "),CHAR(13)," ")))="OVERTIME",UPPER(TRIM(SUBSTITUTE(SUBSTITUTE(SUBSTITUTE(SUBSTITUTE(INDEX(PASTE_ALL,$DF510,$L$18)," "," "),CHAR(9)," "),CHAR(10)," "),CHAR(13)," ")))="TRIAL"),"OT",TRIM(SUBSTITUTE(SUBSTITUTE(SUBSTITUTE(SUBSTITUTE(INDEX(PASTE_ALL,$DF510,$L$18)," "," "),CHAR(9)," "),CHAR(10)," "),CHAR(13)," "))))),"")))</f>
        <v/>
      </c>
      <c r="EC510">
        <f>IF($DM510=0,"",IF($L$19=0,"",IFERROR(IF(ISNUMBER(INDEX(PASTE_ALL,$DF510,$L$19)),INDEX(PASTE_ALL,$DF510,$L$19),TRIM(SUBSTITUTE(SUBSTITUTE(SUBSTITUTE(SUBSTITUTE(INDEX(PASTE_ALL,$DF510,$L$19)," "," "),CHAR(9)," "),CHAR(10)," "),CHAR(13)," "))),"")))</f>
        <v/>
      </c>
      <c r="ED510">
        <f>IF($DM510=0,"",MATCH(1,INDEX(EXACT($DH$5:DH510,$DH510)*$DM$5:DM510,0),0))</f>
        <v/>
      </c>
      <c r="EE510">
        <f>IF($DM510=0,0,IF($ED510=$DE510,1,0))</f>
        <v/>
      </c>
      <c r="EF510">
        <f>EF509+$EE510</f>
        <v/>
      </c>
      <c r="EG510">
        <f>IF($DM510=0,"",INDEX($EF$5:$EF$1003,$ED510))</f>
        <v/>
      </c>
      <c r="EH510">
        <f>IF($DM510=0,"",IF($DO510&lt;&gt;"","",IFERROR(LOOKUP(2,1/(($EG$4:EG509=$EG510)*($DO$4:DO509&lt;&gt;"")),$DO$4:DO509),"")))</f>
        <v/>
      </c>
      <c r="EI510">
        <f>IF($DM510=0,"",IF($DO510&lt;&gt;"",$DO510,$EH510))</f>
        <v/>
      </c>
      <c r="EJ510">
        <f>IF($DM510=0,"",IF($EI510="",0,IF(OR(ISNUMBER($EI510),AND(AND(SUBSTITUTE(SUBSTITUTE(SUBSTITUTE(SUBSTITUTE(SUBSTITUTE(SUBSTITUTE(SUBSTITUTE(SUBSTITUTE(SUBSTITUTE(SUBSTITUTE(SUBSTITUTE(SUBSTITUTE(SUBSTITUTE(SUBSTITUTE(UPPER($EI510),"0",""),"1",""),"2",""),"3",""),"4",""),"5",""),"6",""),"7",""),"8",""),"9",""),".",""),"+",""),"-",""),"E","")="",LEN(SUBSTITUTE(SUBSTITUTE(MID(UPPER($EI510),1+OR(LEFT(UPPER($EI510),1)="+",LEFT(UPPER($EI510),1)="-"),999),"E+","E"),"E-","E"))=LEN(SUBSTITUTE(SUBSTITUTE(SUBSTITUTE(SUBSTITUTE(MID(UPPER($EI510),1+OR(LEFT(UPPER($EI510),1)="+",LEFT(UPPER($EI510),1)="-"),999),"E+","E"),"E-","E"),"+",""),"-","")),LEN(UPPER($EI510))-LEN(SUBSTITUTE(UPPER($EI510),"E",""))&lt;2,LEN(UPPER($EI510))-LEN(SUBSTITUTE(UPPER($EI510),".",""))&lt;2,IFERROR(FIND(".",UPPER($EI510)),0)&lt;IFERROR(FIND("E",UPPER($EI510)),999)),ISNUMBER(VALUE($EI510)))),1,2)))</f>
        <v/>
      </c>
      <c r="EK510">
        <f>IF($DM510=0,"",IF($EJ510=1,IF(ISNUMBER($EI510),$EI510,VALUE($EI510)),IF($EJ510=2,$DE510,0)))</f>
        <v/>
      </c>
      <c r="EL510">
        <f>IF($DM510=0,"",COUNTIF($EG$5:$EG$1003,"&lt;"&amp;$EG510)+SUMPRODUCT(($EG$5:$EG$1003=$EG510)*(($EJ$5:$EJ$1003&lt;$EJ510)+($EJ$5:$EJ$1003=$EJ510)*(($EK$5:$EK$1003&lt;$EK510)+($EK$5:$EK$1003=$EK510)*($DE$5:$DE$1003&lt;$DE510))))+1)</f>
        <v/>
      </c>
      <c r="EM510">
        <f>IF($DM510=0,"",$EL510+$EG510-1)</f>
        <v/>
      </c>
      <c r="EN510">
        <f>IF($DM510=0,0,IFERROR(MATCH(1,INDEX(--(TRIM(SUBSTITUTE(SUBSTITUTE(SUBSTITUTE(SUBSTITUTE(LINES_NAME&amp;""," "," "),CHAR(9)," "),CHAR(10)," "),CHAR(13)," "))=$DH510),0),0),0))</f>
        <v/>
      </c>
      <c r="EO510">
        <f>IF($EN510=0,0,IF(OR(UPPER(TRIM(INDEX(LINES_SCHEDULED,$EN510)&amp;""))="YES",UPPER(TRIM(INDEX(LINES_SCHEDULED,$EN510)&amp;""))="Y",UPPER(TRIM(INDEX(LINES_SCHEDULED,$EN510)&amp;""))="X"),1,0))</f>
        <v/>
      </c>
      <c r="EP510">
        <f>IF($DM510=0,"",IF(COUNTIFS($EG$5:$EG$1003,$EG510,$EB$5:$EB$1003,"Ready")&gt;0,"READY",IF(COUNTIFS($EG$5:$EG$1003,$EG510,$EB$5:$EB$1003,"PM")&gt;0,"PM",IF(COUNTIFS($EG$5:$EG$1003,$EG510,$EB$5:$EB$1003,"OT")&gt;0,"OT",""))))</f>
        <v/>
      </c>
      <c r="EQ510">
        <f>IF($EN510=0,"",UPPER(TRIM(INDEX(LINES_STATUS,$EN510)&amp;"")))</f>
        <v/>
      </c>
      <c r="ER510">
        <f>IF($DM510=0,"",IF(OR($EQ510="READY",$EQ510="PM",$EQ510="OT"),$EQ510,$EP510))</f>
        <v/>
      </c>
      <c r="ES510">
        <f>IF($DM510=0,"",IF(AND($DV510&lt;&gt;"",UPPER($DV510)&lt;&gt;"N"),"allergen",IF(ISNUMBER(SEARCH("oil",$DQ510)),"oil",IF(OR(EXACT($DS510,"A662"),EXACT($DS510,"A624")),"bulk",""))))</f>
        <v/>
      </c>
      <c r="ET510">
        <f>IF($DM510=0,"",IF(OR($EA510="",$EA510=0),"",$EA510/100))</f>
        <v/>
      </c>
      <c r="EU510">
        <f>IF(OR($ET510="",$DY510=""),"",INT($DY510*(1-$ET510)+0.5))</f>
        <v/>
      </c>
      <c r="EW510" t="n">
        <v>506</v>
      </c>
      <c r="EX510">
        <f>IFERROR(MATCH($EW510,$EM$5:$EM$1003,0),0)</f>
        <v/>
      </c>
      <c r="EY510">
        <f>IF($EW510&gt;$B$12,"",IF($EX510&gt;0,"row","spacer"))</f>
        <v/>
      </c>
      <c r="EZ510">
        <f>IF(AND($EY510="row",$EY509&lt;&gt;"row"),1,0)</f>
        <v/>
      </c>
      <c r="FA510">
        <f>IF(AND($EY510="row",$EY511&lt;&gt;"row"),1,0)</f>
        <v/>
      </c>
      <c r="FB510">
        <f>IF($EZ510=1,IFERROR(IF(ISNUMBER(INDEX(PASTE_ALL,INDEX($DF$5:$DF$1003,$EX510),$B$37)),INDEX(PASTE_ALL,INDEX($DF$5:$DF$1003,$EX510),$B$37),INDEX($DH$5:$DH$1003,$EX510)),INDEX($DH$5:$DH$1003,$EX510)),"")</f>
        <v/>
      </c>
      <c r="FC510">
        <f>IF($EY510="row",INDEX($ER$5:$ER$1003,$EX510),"")</f>
        <v/>
      </c>
      <c r="FD510">
        <f>IF($EY510="row",INDEX($DN$5:$DN$1003,$EX510),"")</f>
        <v/>
      </c>
      <c r="FE510">
        <f>IF($EY510="row",INDEX($DO$5:$DO$1003,$EX510),"")</f>
        <v/>
      </c>
      <c r="FF510">
        <f>IF($EY510="row",INDEX($DP$5:$DP$1003,$EX510),"")</f>
        <v/>
      </c>
      <c r="FG510">
        <f>IF($EY510="row",INDEX($DQ$5:$DQ$1003,$EX510),"")</f>
        <v/>
      </c>
      <c r="FH510">
        <f>IF($EY510="row",INDEX($DR$5:$DR$1003,$EX510),"")</f>
        <v/>
      </c>
      <c r="FI510">
        <f>IF($EY510="row",INDEX($DS$5:$DS$1003,$EX510),"")</f>
        <v/>
      </c>
      <c r="FJ510">
        <f>IF($EY510="row",INDEX($DT$5:$DT$1003,$EX510),"")</f>
        <v/>
      </c>
      <c r="FK510">
        <f>IF($EY510="row",INDEX($DU$5:$DU$1003,$EX510),"")</f>
        <v/>
      </c>
      <c r="FL510">
        <f>IF($EY510="row",INDEX($DV$5:$DV$1003,$EX510),"")</f>
        <v/>
      </c>
      <c r="FM510">
        <f>IF($EY510="row",INDEX($DW$5:$DW$1003,$EX510),"")</f>
        <v/>
      </c>
      <c r="FN510">
        <f>IF($EY510="row",INDEX($DY$5:$DY$1003,$EX510),"")</f>
        <v/>
      </c>
      <c r="FO510">
        <f>IF($EY510="row",INDEX($EA$5:$EA$1003,$EX510),"")</f>
        <v/>
      </c>
      <c r="FP510">
        <f>IF($EY510="row",INDEX($EC$5:$EC$1003,$EX510),"")</f>
        <v/>
      </c>
      <c r="FQ510">
        <f>IF($EY510="row",INDEX($ET$5:$ET$1003,$EX510),"")</f>
        <v/>
      </c>
      <c r="FR510">
        <f>IF($EY510="row",INDEX($EU$5:$EU$1003,$EX510),"")</f>
        <v/>
      </c>
      <c r="FS510">
        <f>IF(AND($EY510="row",$EY509="row"),IF(OR(INDEX($DT$5:$DT$1003,$EX509)="",INDEX($DT$5:$DT$1003,$EX510)=""),"",IF(NOT(EXACT(INDEX($DT$5:$DT$1003,$EX509),INDEX($DT$5:$DT$1003,$EX510))),"S4",IF(NOT(EXACT(INDEX($DS$5:$DS$1003,$EX509),INDEX($DS$5:$DS$1003,$EX510))),"S3",IF(NOT(EXACT(INDEX($DR$5:$DR$1003,$EX509),INDEX($DR$5:$DR$1003,$EX510))),"S1 Count Change","S1")))),"")</f>
        <v/>
      </c>
      <c r="FT510">
        <f>IF($EY510="row",INDEX($ES$5:$ES$1003,$EX510),"")</f>
        <v/>
      </c>
      <c r="FU510">
        <f>IF($EY510="row",INDEX($EO$5:$EO$1003,$EX510),0)</f>
        <v/>
      </c>
      <c r="FV510">
        <f>IF($FS510="S1 Count Change",1,0)</f>
        <v/>
      </c>
    </row>
    <row r="511">
      <c r="DA511" t="n">
        <v>507</v>
      </c>
      <c r="DB511">
        <f>IF($B$37=0,"",IFERROR(TRIM(SUBSTITUTE(SUBSTITUTE(SUBSTITUTE(SUBSTITUTE(INDEX(PASTE_ALL,507,$B$37)," "," "),CHAR(9)," "),CHAR(10)," "),CHAR(13)," ")),""))</f>
        <v/>
      </c>
      <c r="DC511">
        <f>IF(AND(507&gt;HEADER_ROW,UPPER(DB511)="LEGEND"),1,0)</f>
        <v/>
      </c>
      <c r="DE511" t="n">
        <v>507</v>
      </c>
      <c r="DF511">
        <f>HEADER_ROW+$DE511</f>
        <v/>
      </c>
      <c r="DG511">
        <f>IF(AND($DF511&lt;=1000,$DF511&lt;$B$8),1,0)</f>
        <v/>
      </c>
      <c r="DH511">
        <f>IF($DG511=1,IFERROR(INDEX($DB$5:$DB$1004,$DF511),""),"")</f>
        <v/>
      </c>
      <c r="DI511">
        <f>IF(AND($DG511=1,$DH511&lt;&gt;""),IFERROR(SUBSTITUTE(SUBSTITUTE(TRIM(SUBSTITUTE(SUBSTITUTE(SUBSTITUTE(SUBSTITUTE(IFERROR(INDEX(PASTE_ALL,$DF511,1)&amp;"","")&amp;"␟"&amp;IFERROR(INDEX(PASTE_ALL,$DF511,2)&amp;"","")&amp;"␟"&amp;IFERROR(INDEX(PASTE_ALL,$DF511,3)&amp;"","")&amp;"␟"&amp;IFERROR(INDEX(PASTE_ALL,$DF511,4)&amp;"","")&amp;"␟"&amp;IFERROR(INDEX(PASTE_ALL,$DF511,5)&amp;"","")&amp;"␟"&amp;IFERROR(INDEX(PASTE_ALL,$DF511,6)&amp;"","")&amp;"␟"&amp;IFERROR(INDEX(PASTE_ALL,$DF511,7)&amp;"","")&amp;"␟"&amp;IFERROR(INDEX(PASTE_ALL,$DF511,8)&amp;"","")&amp;"␟"&amp;IFERROR(INDEX(PASTE_ALL,$DF511,9)&amp;"","")&amp;"␟"&amp;IFERROR(INDEX(PASTE_ALL,$DF511,10)&amp;"","")&amp;"␟"&amp;IFERROR(INDEX(PASTE_ALL,$DF511,11)&amp;"","")&amp;"␟"&amp;IFERROR(INDEX(PASTE_ALL,$DF511,12)&amp;"","")&amp;"␟"&amp;IFERROR(INDEX(PASTE_ALL,$DF511,13)&amp;"","")&amp;"␟"&amp;IFERROR(INDEX(PASTE_ALL,$DF511,14)&amp;"","")&amp;"␟"&amp;IFERROR(INDEX(PASTE_ALL,$DF511,15)&amp;"","")&amp;"␟"&amp;IFERROR(INDEX(PASTE_ALL,$DF511,16)&amp;"","")&amp;"␟"&amp;IFERROR(INDEX(PASTE_ALL,$DF511,17)&amp;"","")&amp;"␟"&amp;IFERROR(INDEX(PASTE_ALL,$DF511,18)&amp;"","")&amp;"␟"&amp;IFERROR(INDEX(PASTE_ALL,$DF511,19)&amp;"","")&amp;"␟"&amp;IFERROR(INDEX(PASTE_ALL,$DF511,20)&amp;"","")&amp;"␟"&amp;IFERROR(INDEX(PASTE_ALL,$DF511,21)&amp;"","")&amp;"␟"&amp;IFERROR(INDEX(PASTE_ALL,$DF511,22)&amp;"","")&amp;"␟"&amp;IFERROR(INDEX(PASTE_ALL,$DF511,23)&amp;"","")&amp;"␟"&amp;IFERROR(INDEX(PASTE_ALL,$DF511,24)&amp;"","")&amp;"␟"&amp;IFERROR(INDEX(PASTE_ALL,$DF511,25)&amp;"","")&amp;"␟"&amp;IFERROR(INDEX(PASTE_ALL,$DF511,26)&amp;"","")&amp;"␟"&amp;IFERROR(INDEX(PASTE_ALL,$DF511,27)&amp;"","")&amp;"␟"&amp;IFERROR(INDEX(PASTE_ALL,$DF511,28)&amp;"","")&amp;"␟"&amp;IFERROR(INDEX(PASTE_ALL,$DF511,29)&amp;"","")&amp;"␟"&amp;IFERROR(INDEX(PASTE_ALL,$DF511,30)&amp;"","")&amp;"␟"&amp;IFERROR(INDEX(PASTE_ALL,$DF511,31)&amp;"","")&amp;"␟"&amp;IFERROR(INDEX(PASTE_ALL,$DF511,32)&amp;"","")&amp;"␟"&amp;IFERROR(INDEX(PASTE_ALL,$DF511,33)&amp;"","")&amp;"␟"&amp;IFERROR(INDEX(PASTE_ALL,$DF511,34)&amp;"","")&amp;"␟"&amp;IFERROR(INDEX(PASTE_ALL,$DF511,35)&amp;"","")&amp;"␟"&amp;IFERROR(INDEX(PASTE_ALL,$DF511,36)&amp;"","")&amp;"␟"&amp;IFERROR(INDEX(PASTE_ALL,$DF511,37)&amp;"","")&amp;"␟"&amp;IFERROR(INDEX(PASTE_ALL,$DF511,38)&amp;"","")&amp;"␟"&amp;IFERROR(INDEX(PASTE_ALL,$DF511,39)&amp;"","")&amp;"␟"&amp;IFERROR(INDEX(PASTE_ALL,$DF511,40)&amp;"","")&amp;"␟"&amp;IFERROR(INDEX(PASTE_ALL,$DF511,41)&amp;"","")&amp;"␟"&amp;IFERROR(INDEX(PASTE_ALL,$DF511,42)&amp;"","")&amp;"␟"&amp;IFERROR(INDEX(PASTE_ALL,$DF511,43)&amp;"","")&amp;"␟"&amp;IFERROR(INDEX(PASTE_ALL,$DF511,44)&amp;"","")&amp;"␟"&amp;IFERROR(INDEX(PASTE_ALL,$DF511,45)&amp;"","")&amp;"␟"&amp;IFERROR(INDEX(PASTE_ALL,$DF511,46)&amp;"","")&amp;"␟"&amp;IFERROR(INDEX(PASTE_ALL,$DF511,47)&amp;"","")&amp;"␟"&amp;IFERROR(INDEX(PASTE_ALL,$DF511,48)&amp;"","")&amp;"␟"&amp;IFERROR(INDEX(PASTE_ALL,$DF511,49)&amp;"","")&amp;"␟"&amp;IFERROR(INDEX(PASTE_ALL,$DF511,50)&amp;"","")&amp;"␟"&amp;IFERROR(INDEX(PASTE_ALL,$DF511,51)&amp;"","")&amp;"␟"&amp;IFERROR(INDEX(PASTE_ALL,$DF511,52)&amp;"","")&amp;"␟"&amp;IFERROR(INDEX(PASTE_ALL,$DF511,53)&amp;"","")&amp;"␟"&amp;IFERROR(INDEX(PASTE_ALL,$DF511,54)&amp;"","")&amp;"␟"&amp;IFERROR(INDEX(PASTE_ALL,$DF511,55)&amp;"","")&amp;"␟"&amp;IFERROR(INDEX(PASTE_ALL,$DF511,56)&amp;"","")&amp;"␟"&amp;IFERROR(INDEX(PASTE_ALL,$DF511,57)&amp;"","")&amp;"␟"&amp;IFERROR(INDEX(PASTE_ALL,$DF511,58)&amp;"","")&amp;"␟"&amp;IFERROR(INDEX(PASTE_ALL,$DF511,59)&amp;"","")&amp;"␟"&amp;IFERROR(INDEX(PASTE_ALL,$DF511,60)&amp;"","")," "," "),CHAR(9)," "),CHAR(10)," "),CHAR(13)," "))," ␟","␟"),"␟ ","␟"),"#"&amp;$DE511),"")</f>
        <v/>
      </c>
      <c r="DJ511">
        <f>IF($DI511="",0,IF(SUMPRODUCT(--EXACT($DI$4:DI510,$DI511))&gt;0,1,0))</f>
        <v/>
      </c>
      <c r="DK511">
        <f>IF(AND($DI511&lt;&gt;"",$DJ511=0),1,0)</f>
        <v/>
      </c>
      <c r="DL511">
        <f>DL510+$DK511</f>
        <v/>
      </c>
      <c r="DM511">
        <f>IF(AND($DK511=1,$DL511&lt;=600),1,0)</f>
        <v/>
      </c>
      <c r="DN511">
        <f>IF($DM511=0,"",IF($L$6=0,"",IFERROR(IF(ISNUMBER(INDEX(PASTE_ALL,$DF511,$L$6)),INDEX(PASTE_ALL,$DF511,$L$6),TRIM(SUBSTITUTE(SUBSTITUTE(SUBSTITUTE(SUBSTITUTE(INDEX(PASTE_ALL,$DF511,$L$6)," "," "),CHAR(9)," "),CHAR(10)," "),CHAR(13)," "))),"")))</f>
        <v/>
      </c>
      <c r="DO511">
        <f>IF($DM511=0,"",IF($L$7=0,"",IFERROR(IF(ISNUMBER(INDEX(PASTE_ALL,$DF511,$L$7)),INDEX(PASTE_ALL,$DF511,$L$7),TRIM(SUBSTITUTE(SUBSTITUTE(SUBSTITUTE(SUBSTITUTE(INDEX(PASTE_ALL,$DF511,$L$7)," "," "),CHAR(9)," "),CHAR(10)," "),CHAR(13)," "))),"")))</f>
        <v/>
      </c>
      <c r="DP511">
        <f>IF($DM511=0,"",IF($L$8=0,"",IFERROR(IF(ISNUMBER(INDEX(PASTE_ALL,$DF511,$L$8)),INDEX(PASTE_ALL,$DF511,$L$8),TRIM(SUBSTITUTE(SUBSTITUTE(SUBSTITUTE(SUBSTITUTE(INDEX(PASTE_ALL,$DF511,$L$8)," "," "),CHAR(9)," "),CHAR(10)," "),CHAR(13)," "))),"")))</f>
        <v/>
      </c>
      <c r="DQ511">
        <f>IF($DM511=0,"",IF($L$9=0,"",IFERROR(IF(ISNUMBER(INDEX(PASTE_ALL,$DF511,$L$9)),INDEX(PASTE_ALL,$DF511,$L$9),TRIM(SUBSTITUTE(SUBSTITUTE(SUBSTITUTE(SUBSTITUTE(INDEX(PASTE_ALL,$DF511,$L$9)," "," "),CHAR(9)," "),CHAR(10)," "),CHAR(13)," "))),"")))</f>
        <v/>
      </c>
      <c r="DR511">
        <f>IF($DM511=0,"",IF($L$10=0,"",IFERROR(IF(ISNUMBER(INDEX(PASTE_ALL,$DF511,$L$10)),INDEX(PASTE_ALL,$DF511,$L$10),TRIM(SUBSTITUTE(SUBSTITUTE(SUBSTITUTE(SUBSTITUTE(INDEX(PASTE_ALL,$DF511,$L$10)," "," "),CHAR(9)," "),CHAR(10)," "),CHAR(13)," "))),"")))</f>
        <v/>
      </c>
      <c r="DS511">
        <f>IF($DM511=0,"",IF($L$11=0,"",IFERROR(IF(ISNUMBER(INDEX(PASTE_ALL,$DF511,$L$11)),INDEX(PASTE_ALL,$DF511,$L$11),TRIM(SUBSTITUTE(SUBSTITUTE(SUBSTITUTE(SUBSTITUTE(INDEX(PASTE_ALL,$DF511,$L$11)," "," "),CHAR(9)," "),CHAR(10)," "),CHAR(13)," "))),"")))</f>
        <v/>
      </c>
      <c r="DT511">
        <f>IF($DM511=0,"",IF($L$12=0,"",IFERROR(IF(ISNUMBER(INDEX(PASTE_ALL,$DF511,$L$12)),INDEX(PASTE_ALL,$DF511,$L$12),TRIM(SUBSTITUTE(SUBSTITUTE(SUBSTITUTE(SUBSTITUTE(INDEX(PASTE_ALL,$DF511,$L$12)," "," "),CHAR(9)," "),CHAR(10)," "),CHAR(13)," "))),"")))</f>
        <v/>
      </c>
      <c r="DU511">
        <f>IF($DM511=0,"",IF($L$13=0,"",IFERROR(IF(ISNUMBER(INDEX(PASTE_ALL,$DF511,$L$13)),INDEX(PASTE_ALL,$DF511,$L$13),TRIM(SUBSTITUTE(SUBSTITUTE(SUBSTITUTE(SUBSTITUTE(INDEX(PASTE_ALL,$DF511,$L$13)," "," "),CHAR(9)," "),CHAR(10)," "),CHAR(13)," "))),"")))</f>
        <v/>
      </c>
      <c r="DV511">
        <f>IF($DM511=0,"",IF($L$14=0,"",IFERROR(IF(ISNUMBER(INDEX(PASTE_ALL,$DF511,$L$14)),INDEX(PASTE_ALL,$DF511,$L$14),TRIM(SUBSTITUTE(SUBSTITUTE(SUBSTITUTE(SUBSTITUTE(INDEX(PASTE_ALL,$DF511,$L$14)," "," "),CHAR(9)," "),CHAR(10)," "),CHAR(13)," "))),"")))</f>
        <v/>
      </c>
      <c r="DW511">
        <f>IF($DM511=0,"",IF($L$15=0,"",IFERROR(IF(ISNUMBER(INDEX(PASTE_ALL,$DF511,$L$15)),INDEX(PASTE_ALL,$DF511,$L$15),IF(SUMPRODUCT(--ISNUMBER(FIND({"A","B","C","D","E","F","G","H","I","J","K","L","M","N","O","P","Q","R","S","T","U","V","W","X","Y","Z","0","1","2","3","4","5","6","7","8","9"},UPPER(TRIM(SUBSTITUTE(SUBSTITUTE(SUBSTITUTE(SUBSTITUTE(INDEX(PASTE_ALL,$DF511,$L$15)," "," "),CHAR(9)," "),CHAR(10)," "),CHAR(13)," "))))))&gt;0,TRIM(SUBSTITUTE(SUBSTITUTE(SUBSTITUTE(SUBSTITUTE(INDEX(PASTE_ALL,$DF511,$L$15)," "," "),CHAR(9)," "),CHAR(10)," "),CHAR(13)," ")),"")),"")))</f>
        <v/>
      </c>
      <c r="DX511">
        <f>IF($DM511=0,"",IF($L$16=0,"",IFERROR(IF(ISNUMBER(INDEX(PASTE_ALL,$DF511,$L$16)),INDEX(PASTE_ALL,$DF511,$L$16),SUBSTITUTE(SUBSTITUTE(TRIM(SUBSTITUTE(SUBSTITUTE(SUBSTITUTE(SUBSTITUTE(INDEX(PASTE_ALL,$DF511,$L$16)," "," "),CHAR(9)," "),CHAR(10)," "),CHAR(13)," ")),",",""),"%","")),"")))</f>
        <v/>
      </c>
      <c r="DY511">
        <f>IF($DM511=0,"",IFERROR(IF(ISNUMBER($DX511),$DX511,IF($DX511="","",IF(TRIM($DX511)="",0,IF(AND(AND(SUBSTITUTE(SUBSTITUTE(SUBSTITUTE(SUBSTITUTE(SUBSTITUTE(SUBSTITUTE(SUBSTITUTE(SUBSTITUTE(SUBSTITUTE(SUBSTITUTE(SUBSTITUTE(SUBSTITUTE(SUBSTITUTE(SUBSTITUTE(UPPER(TRIM($DX511)),"0",""),"1",""),"2",""),"3",""),"4",""),"5",""),"6",""),"7",""),"8",""),"9",""),".",""),"+",""),"-",""),"E","")="",LEN(SUBSTITUTE(SUBSTITUTE(MID(UPPER(TRIM($DX511)),1+OR(LEFT(UPPER(TRIM($DX511)),1)="+",LEFT(UPPER(TRIM($DX511)),1)="-"),999),"E+","E"),"E-","E"))=LEN(SUBSTITUTE(SUBSTITUTE(SUBSTITUTE(SUBSTITUTE(MID(UPPER(TRIM($DX511)),1+OR(LEFT(UPPER(TRIM($DX511)),1)="+",LEFT(UPPER(TRIM($DX511)),1)="-"),999),"E+","E"),"E-","E"),"+",""),"-","")),LEN(UPPER(TRIM($DX511)))-LEN(SUBSTITUTE(UPPER(TRIM($DX511)),"E",""))&lt;2,LEN(UPPER(TRIM($DX511)))-LEN(SUBSTITUTE(UPPER(TRIM($DX511)),".",""))&lt;2,IFERROR(FIND(".",UPPER(TRIM($DX511))),0)&lt;IFERROR(FIND("E",UPPER(TRIM($DX511))),999)),ISNUMBER(VALUE(TRIM($DX511)))),VALUE(TRIM($DX511)),"")))),""))</f>
        <v/>
      </c>
      <c r="DZ511">
        <f>IF($DM511=0,"",IF($L$17=0,"",IFERROR(IF(ISNUMBER(INDEX(PASTE_ALL,$DF511,$L$17)),INDEX(PASTE_ALL,$DF511,$L$17),SUBSTITUTE(SUBSTITUTE(TRIM(SUBSTITUTE(SUBSTITUTE(SUBSTITUTE(SUBSTITUTE(INDEX(PASTE_ALL,$DF511,$L$17)," "," "),CHAR(9)," "),CHAR(10)," "),CHAR(13)," ")),",",""),"%","")),"")))</f>
        <v/>
      </c>
      <c r="EA511">
        <f>IF($DM511=0,"",IFERROR(IF(ISNUMBER($DZ511),$DZ511,IF($DZ511="","",IF(TRIM($DZ511)="",0,IF(AND(AND(SUBSTITUTE(SUBSTITUTE(SUBSTITUTE(SUBSTITUTE(SUBSTITUTE(SUBSTITUTE(SUBSTITUTE(SUBSTITUTE(SUBSTITUTE(SUBSTITUTE(SUBSTITUTE(SUBSTITUTE(SUBSTITUTE(SUBSTITUTE(UPPER(TRIM($DZ511)),"0",""),"1",""),"2",""),"3",""),"4",""),"5",""),"6",""),"7",""),"8",""),"9",""),".",""),"+",""),"-",""),"E","")="",LEN(SUBSTITUTE(SUBSTITUTE(MID(UPPER(TRIM($DZ511)),1+OR(LEFT(UPPER(TRIM($DZ511)),1)="+",LEFT(UPPER(TRIM($DZ511)),1)="-"),999),"E+","E"),"E-","E"))=LEN(SUBSTITUTE(SUBSTITUTE(SUBSTITUTE(SUBSTITUTE(MID(UPPER(TRIM($DZ511)),1+OR(LEFT(UPPER(TRIM($DZ511)),1)="+",LEFT(UPPER(TRIM($DZ511)),1)="-"),999),"E+","E"),"E-","E"),"+",""),"-","")),LEN(UPPER(TRIM($DZ511)))-LEN(SUBSTITUTE(UPPER(TRIM($DZ511)),"E",""))&lt;2,LEN(UPPER(TRIM($DZ511)))-LEN(SUBSTITUTE(UPPER(TRIM($DZ511)),".",""))&lt;2,IFERROR(FIND(".",UPPER(TRIM($DZ511))),0)&lt;IFERROR(FIND("E",UPPER(TRIM($DZ511))),999)),ISNUMBER(VALUE(TRIM($DZ511)))),VALUE(TRIM($DZ511)),"")))),""))</f>
        <v/>
      </c>
      <c r="EB511">
        <f>IF($DM511=0,"",IF($L$18=0,"",IFERROR(IF(UPPER(TRIM(SUBSTITUTE(SUBSTITUTE(SUBSTITUTE(SUBSTITUTE(INDEX(PASTE_ALL,$DF511,$L$18)," "," "),CHAR(9)," "),CHAR(10)," "),CHAR(13)," ")))="READY","Ready",IF(UPPER(TRIM(SUBSTITUTE(SUBSTITUTE(SUBSTITUTE(SUBSTITUTE(INDEX(PASTE_ALL,$DF511,$L$18)," "," "),CHAR(9)," "),CHAR(10)," "),CHAR(13)," ")))="PM","PM",IF(OR(UPPER(TRIM(SUBSTITUTE(SUBSTITUTE(SUBSTITUTE(SUBSTITUTE(INDEX(PASTE_ALL,$DF511,$L$18)," "," "),CHAR(9)," "),CHAR(10)," "),CHAR(13)," ")))="OT",UPPER(TRIM(SUBSTITUTE(SUBSTITUTE(SUBSTITUTE(SUBSTITUTE(INDEX(PASTE_ALL,$DF511,$L$18)," "," "),CHAR(9)," "),CHAR(10)," "),CHAR(13)," ")))="OVERTIME",UPPER(TRIM(SUBSTITUTE(SUBSTITUTE(SUBSTITUTE(SUBSTITUTE(INDEX(PASTE_ALL,$DF511,$L$18)," "," "),CHAR(9)," "),CHAR(10)," "),CHAR(13)," ")))="TRIAL"),"OT",TRIM(SUBSTITUTE(SUBSTITUTE(SUBSTITUTE(SUBSTITUTE(INDEX(PASTE_ALL,$DF511,$L$18)," "," "),CHAR(9)," "),CHAR(10)," "),CHAR(13)," "))))),"")))</f>
        <v/>
      </c>
      <c r="EC511">
        <f>IF($DM511=0,"",IF($L$19=0,"",IFERROR(IF(ISNUMBER(INDEX(PASTE_ALL,$DF511,$L$19)),INDEX(PASTE_ALL,$DF511,$L$19),TRIM(SUBSTITUTE(SUBSTITUTE(SUBSTITUTE(SUBSTITUTE(INDEX(PASTE_ALL,$DF511,$L$19)," "," "),CHAR(9)," "),CHAR(10)," "),CHAR(13)," "))),"")))</f>
        <v/>
      </c>
      <c r="ED511">
        <f>IF($DM511=0,"",MATCH(1,INDEX(EXACT($DH$5:DH511,$DH511)*$DM$5:DM511,0),0))</f>
        <v/>
      </c>
      <c r="EE511">
        <f>IF($DM511=0,0,IF($ED511=$DE511,1,0))</f>
        <v/>
      </c>
      <c r="EF511">
        <f>EF510+$EE511</f>
        <v/>
      </c>
      <c r="EG511">
        <f>IF($DM511=0,"",INDEX($EF$5:$EF$1003,$ED511))</f>
        <v/>
      </c>
      <c r="EH511">
        <f>IF($DM511=0,"",IF($DO511&lt;&gt;"","",IFERROR(LOOKUP(2,1/(($EG$4:EG510=$EG511)*($DO$4:DO510&lt;&gt;"")),$DO$4:DO510),"")))</f>
        <v/>
      </c>
      <c r="EI511">
        <f>IF($DM511=0,"",IF($DO511&lt;&gt;"",$DO511,$EH511))</f>
        <v/>
      </c>
      <c r="EJ511">
        <f>IF($DM511=0,"",IF($EI511="",0,IF(OR(ISNUMBER($EI511),AND(AND(SUBSTITUTE(SUBSTITUTE(SUBSTITUTE(SUBSTITUTE(SUBSTITUTE(SUBSTITUTE(SUBSTITUTE(SUBSTITUTE(SUBSTITUTE(SUBSTITUTE(SUBSTITUTE(SUBSTITUTE(SUBSTITUTE(SUBSTITUTE(UPPER($EI511),"0",""),"1",""),"2",""),"3",""),"4",""),"5",""),"6",""),"7",""),"8",""),"9",""),".",""),"+",""),"-",""),"E","")="",LEN(SUBSTITUTE(SUBSTITUTE(MID(UPPER($EI511),1+OR(LEFT(UPPER($EI511),1)="+",LEFT(UPPER($EI511),1)="-"),999),"E+","E"),"E-","E"))=LEN(SUBSTITUTE(SUBSTITUTE(SUBSTITUTE(SUBSTITUTE(MID(UPPER($EI511),1+OR(LEFT(UPPER($EI511),1)="+",LEFT(UPPER($EI511),1)="-"),999),"E+","E"),"E-","E"),"+",""),"-","")),LEN(UPPER($EI511))-LEN(SUBSTITUTE(UPPER($EI511),"E",""))&lt;2,LEN(UPPER($EI511))-LEN(SUBSTITUTE(UPPER($EI511),".",""))&lt;2,IFERROR(FIND(".",UPPER($EI511)),0)&lt;IFERROR(FIND("E",UPPER($EI511)),999)),ISNUMBER(VALUE($EI511)))),1,2)))</f>
        <v/>
      </c>
      <c r="EK511">
        <f>IF($DM511=0,"",IF($EJ511=1,IF(ISNUMBER($EI511),$EI511,VALUE($EI511)),IF($EJ511=2,$DE511,0)))</f>
        <v/>
      </c>
      <c r="EL511">
        <f>IF($DM511=0,"",COUNTIF($EG$5:$EG$1003,"&lt;"&amp;$EG511)+SUMPRODUCT(($EG$5:$EG$1003=$EG511)*(($EJ$5:$EJ$1003&lt;$EJ511)+($EJ$5:$EJ$1003=$EJ511)*(($EK$5:$EK$1003&lt;$EK511)+($EK$5:$EK$1003=$EK511)*($DE$5:$DE$1003&lt;$DE511))))+1)</f>
        <v/>
      </c>
      <c r="EM511">
        <f>IF($DM511=0,"",$EL511+$EG511-1)</f>
        <v/>
      </c>
      <c r="EN511">
        <f>IF($DM511=0,0,IFERROR(MATCH(1,INDEX(--(TRIM(SUBSTITUTE(SUBSTITUTE(SUBSTITUTE(SUBSTITUTE(LINES_NAME&amp;""," "," "),CHAR(9)," "),CHAR(10)," "),CHAR(13)," "))=$DH511),0),0),0))</f>
        <v/>
      </c>
      <c r="EO511">
        <f>IF($EN511=0,0,IF(OR(UPPER(TRIM(INDEX(LINES_SCHEDULED,$EN511)&amp;""))="YES",UPPER(TRIM(INDEX(LINES_SCHEDULED,$EN511)&amp;""))="Y",UPPER(TRIM(INDEX(LINES_SCHEDULED,$EN511)&amp;""))="X"),1,0))</f>
        <v/>
      </c>
      <c r="EP511">
        <f>IF($DM511=0,"",IF(COUNTIFS($EG$5:$EG$1003,$EG511,$EB$5:$EB$1003,"Ready")&gt;0,"READY",IF(COUNTIFS($EG$5:$EG$1003,$EG511,$EB$5:$EB$1003,"PM")&gt;0,"PM",IF(COUNTIFS($EG$5:$EG$1003,$EG511,$EB$5:$EB$1003,"OT")&gt;0,"OT",""))))</f>
        <v/>
      </c>
      <c r="EQ511">
        <f>IF($EN511=0,"",UPPER(TRIM(INDEX(LINES_STATUS,$EN511)&amp;"")))</f>
        <v/>
      </c>
      <c r="ER511">
        <f>IF($DM511=0,"",IF(OR($EQ511="READY",$EQ511="PM",$EQ511="OT"),$EQ511,$EP511))</f>
        <v/>
      </c>
      <c r="ES511">
        <f>IF($DM511=0,"",IF(AND($DV511&lt;&gt;"",UPPER($DV511)&lt;&gt;"N"),"allergen",IF(ISNUMBER(SEARCH("oil",$DQ511)),"oil",IF(OR(EXACT($DS511,"A662"),EXACT($DS511,"A624")),"bulk",""))))</f>
        <v/>
      </c>
      <c r="ET511">
        <f>IF($DM511=0,"",IF(OR($EA511="",$EA511=0),"",$EA511/100))</f>
        <v/>
      </c>
      <c r="EU511">
        <f>IF(OR($ET511="",$DY511=""),"",INT($DY511*(1-$ET511)+0.5))</f>
        <v/>
      </c>
      <c r="EW511" t="n">
        <v>507</v>
      </c>
      <c r="EX511">
        <f>IFERROR(MATCH($EW511,$EM$5:$EM$1003,0),0)</f>
        <v/>
      </c>
      <c r="EY511">
        <f>IF($EW511&gt;$B$12,"",IF($EX511&gt;0,"row","spacer"))</f>
        <v/>
      </c>
      <c r="EZ511">
        <f>IF(AND($EY511="row",$EY510&lt;&gt;"row"),1,0)</f>
        <v/>
      </c>
      <c r="FA511">
        <f>IF(AND($EY511="row",$EY512&lt;&gt;"row"),1,0)</f>
        <v/>
      </c>
      <c r="FB511">
        <f>IF($EZ511=1,IFERROR(IF(ISNUMBER(INDEX(PASTE_ALL,INDEX($DF$5:$DF$1003,$EX511),$B$37)),INDEX(PASTE_ALL,INDEX($DF$5:$DF$1003,$EX511),$B$37),INDEX($DH$5:$DH$1003,$EX511)),INDEX($DH$5:$DH$1003,$EX511)),"")</f>
        <v/>
      </c>
      <c r="FC511">
        <f>IF($EY511="row",INDEX($ER$5:$ER$1003,$EX511),"")</f>
        <v/>
      </c>
      <c r="FD511">
        <f>IF($EY511="row",INDEX($DN$5:$DN$1003,$EX511),"")</f>
        <v/>
      </c>
      <c r="FE511">
        <f>IF($EY511="row",INDEX($DO$5:$DO$1003,$EX511),"")</f>
        <v/>
      </c>
      <c r="FF511">
        <f>IF($EY511="row",INDEX($DP$5:$DP$1003,$EX511),"")</f>
        <v/>
      </c>
      <c r="FG511">
        <f>IF($EY511="row",INDEX($DQ$5:$DQ$1003,$EX511),"")</f>
        <v/>
      </c>
      <c r="FH511">
        <f>IF($EY511="row",INDEX($DR$5:$DR$1003,$EX511),"")</f>
        <v/>
      </c>
      <c r="FI511">
        <f>IF($EY511="row",INDEX($DS$5:$DS$1003,$EX511),"")</f>
        <v/>
      </c>
      <c r="FJ511">
        <f>IF($EY511="row",INDEX($DT$5:$DT$1003,$EX511),"")</f>
        <v/>
      </c>
      <c r="FK511">
        <f>IF($EY511="row",INDEX($DU$5:$DU$1003,$EX511),"")</f>
        <v/>
      </c>
      <c r="FL511">
        <f>IF($EY511="row",INDEX($DV$5:$DV$1003,$EX511),"")</f>
        <v/>
      </c>
      <c r="FM511">
        <f>IF($EY511="row",INDEX($DW$5:$DW$1003,$EX511),"")</f>
        <v/>
      </c>
      <c r="FN511">
        <f>IF($EY511="row",INDEX($DY$5:$DY$1003,$EX511),"")</f>
        <v/>
      </c>
      <c r="FO511">
        <f>IF($EY511="row",INDEX($EA$5:$EA$1003,$EX511),"")</f>
        <v/>
      </c>
      <c r="FP511">
        <f>IF($EY511="row",INDEX($EC$5:$EC$1003,$EX511),"")</f>
        <v/>
      </c>
      <c r="FQ511">
        <f>IF($EY511="row",INDEX($ET$5:$ET$1003,$EX511),"")</f>
        <v/>
      </c>
      <c r="FR511">
        <f>IF($EY511="row",INDEX($EU$5:$EU$1003,$EX511),"")</f>
        <v/>
      </c>
      <c r="FS511">
        <f>IF(AND($EY511="row",$EY510="row"),IF(OR(INDEX($DT$5:$DT$1003,$EX510)="",INDEX($DT$5:$DT$1003,$EX511)=""),"",IF(NOT(EXACT(INDEX($DT$5:$DT$1003,$EX510),INDEX($DT$5:$DT$1003,$EX511))),"S4",IF(NOT(EXACT(INDEX($DS$5:$DS$1003,$EX510),INDEX($DS$5:$DS$1003,$EX511))),"S3",IF(NOT(EXACT(INDEX($DR$5:$DR$1003,$EX510),INDEX($DR$5:$DR$1003,$EX511))),"S1 Count Change","S1")))),"")</f>
        <v/>
      </c>
      <c r="FT511">
        <f>IF($EY511="row",INDEX($ES$5:$ES$1003,$EX511),"")</f>
        <v/>
      </c>
      <c r="FU511">
        <f>IF($EY511="row",INDEX($EO$5:$EO$1003,$EX511),0)</f>
        <v/>
      </c>
      <c r="FV511">
        <f>IF($FS511="S1 Count Change",1,0)</f>
        <v/>
      </c>
    </row>
    <row r="512">
      <c r="DA512" t="n">
        <v>508</v>
      </c>
      <c r="DB512">
        <f>IF($B$37=0,"",IFERROR(TRIM(SUBSTITUTE(SUBSTITUTE(SUBSTITUTE(SUBSTITUTE(INDEX(PASTE_ALL,508,$B$37)," "," "),CHAR(9)," "),CHAR(10)," "),CHAR(13)," ")),""))</f>
        <v/>
      </c>
      <c r="DC512">
        <f>IF(AND(508&gt;HEADER_ROW,UPPER(DB512)="LEGEND"),1,0)</f>
        <v/>
      </c>
      <c r="DE512" t="n">
        <v>508</v>
      </c>
      <c r="DF512">
        <f>HEADER_ROW+$DE512</f>
        <v/>
      </c>
      <c r="DG512">
        <f>IF(AND($DF512&lt;=1000,$DF512&lt;$B$8),1,0)</f>
        <v/>
      </c>
      <c r="DH512">
        <f>IF($DG512=1,IFERROR(INDEX($DB$5:$DB$1004,$DF512),""),"")</f>
        <v/>
      </c>
      <c r="DI512">
        <f>IF(AND($DG512=1,$DH512&lt;&gt;""),IFERROR(SUBSTITUTE(SUBSTITUTE(TRIM(SUBSTITUTE(SUBSTITUTE(SUBSTITUTE(SUBSTITUTE(IFERROR(INDEX(PASTE_ALL,$DF512,1)&amp;"","")&amp;"␟"&amp;IFERROR(INDEX(PASTE_ALL,$DF512,2)&amp;"","")&amp;"␟"&amp;IFERROR(INDEX(PASTE_ALL,$DF512,3)&amp;"","")&amp;"␟"&amp;IFERROR(INDEX(PASTE_ALL,$DF512,4)&amp;"","")&amp;"␟"&amp;IFERROR(INDEX(PASTE_ALL,$DF512,5)&amp;"","")&amp;"␟"&amp;IFERROR(INDEX(PASTE_ALL,$DF512,6)&amp;"","")&amp;"␟"&amp;IFERROR(INDEX(PASTE_ALL,$DF512,7)&amp;"","")&amp;"␟"&amp;IFERROR(INDEX(PASTE_ALL,$DF512,8)&amp;"","")&amp;"␟"&amp;IFERROR(INDEX(PASTE_ALL,$DF512,9)&amp;"","")&amp;"␟"&amp;IFERROR(INDEX(PASTE_ALL,$DF512,10)&amp;"","")&amp;"␟"&amp;IFERROR(INDEX(PASTE_ALL,$DF512,11)&amp;"","")&amp;"␟"&amp;IFERROR(INDEX(PASTE_ALL,$DF512,12)&amp;"","")&amp;"␟"&amp;IFERROR(INDEX(PASTE_ALL,$DF512,13)&amp;"","")&amp;"␟"&amp;IFERROR(INDEX(PASTE_ALL,$DF512,14)&amp;"","")&amp;"␟"&amp;IFERROR(INDEX(PASTE_ALL,$DF512,15)&amp;"","")&amp;"␟"&amp;IFERROR(INDEX(PASTE_ALL,$DF512,16)&amp;"","")&amp;"␟"&amp;IFERROR(INDEX(PASTE_ALL,$DF512,17)&amp;"","")&amp;"␟"&amp;IFERROR(INDEX(PASTE_ALL,$DF512,18)&amp;"","")&amp;"␟"&amp;IFERROR(INDEX(PASTE_ALL,$DF512,19)&amp;"","")&amp;"␟"&amp;IFERROR(INDEX(PASTE_ALL,$DF512,20)&amp;"","")&amp;"␟"&amp;IFERROR(INDEX(PASTE_ALL,$DF512,21)&amp;"","")&amp;"␟"&amp;IFERROR(INDEX(PASTE_ALL,$DF512,22)&amp;"","")&amp;"␟"&amp;IFERROR(INDEX(PASTE_ALL,$DF512,23)&amp;"","")&amp;"␟"&amp;IFERROR(INDEX(PASTE_ALL,$DF512,24)&amp;"","")&amp;"␟"&amp;IFERROR(INDEX(PASTE_ALL,$DF512,25)&amp;"","")&amp;"␟"&amp;IFERROR(INDEX(PASTE_ALL,$DF512,26)&amp;"","")&amp;"␟"&amp;IFERROR(INDEX(PASTE_ALL,$DF512,27)&amp;"","")&amp;"␟"&amp;IFERROR(INDEX(PASTE_ALL,$DF512,28)&amp;"","")&amp;"␟"&amp;IFERROR(INDEX(PASTE_ALL,$DF512,29)&amp;"","")&amp;"␟"&amp;IFERROR(INDEX(PASTE_ALL,$DF512,30)&amp;"","")&amp;"␟"&amp;IFERROR(INDEX(PASTE_ALL,$DF512,31)&amp;"","")&amp;"␟"&amp;IFERROR(INDEX(PASTE_ALL,$DF512,32)&amp;"","")&amp;"␟"&amp;IFERROR(INDEX(PASTE_ALL,$DF512,33)&amp;"","")&amp;"␟"&amp;IFERROR(INDEX(PASTE_ALL,$DF512,34)&amp;"","")&amp;"␟"&amp;IFERROR(INDEX(PASTE_ALL,$DF512,35)&amp;"","")&amp;"␟"&amp;IFERROR(INDEX(PASTE_ALL,$DF512,36)&amp;"","")&amp;"␟"&amp;IFERROR(INDEX(PASTE_ALL,$DF512,37)&amp;"","")&amp;"␟"&amp;IFERROR(INDEX(PASTE_ALL,$DF512,38)&amp;"","")&amp;"␟"&amp;IFERROR(INDEX(PASTE_ALL,$DF512,39)&amp;"","")&amp;"␟"&amp;IFERROR(INDEX(PASTE_ALL,$DF512,40)&amp;"","")&amp;"␟"&amp;IFERROR(INDEX(PASTE_ALL,$DF512,41)&amp;"","")&amp;"␟"&amp;IFERROR(INDEX(PASTE_ALL,$DF512,42)&amp;"","")&amp;"␟"&amp;IFERROR(INDEX(PASTE_ALL,$DF512,43)&amp;"","")&amp;"␟"&amp;IFERROR(INDEX(PASTE_ALL,$DF512,44)&amp;"","")&amp;"␟"&amp;IFERROR(INDEX(PASTE_ALL,$DF512,45)&amp;"","")&amp;"␟"&amp;IFERROR(INDEX(PASTE_ALL,$DF512,46)&amp;"","")&amp;"␟"&amp;IFERROR(INDEX(PASTE_ALL,$DF512,47)&amp;"","")&amp;"␟"&amp;IFERROR(INDEX(PASTE_ALL,$DF512,48)&amp;"","")&amp;"␟"&amp;IFERROR(INDEX(PASTE_ALL,$DF512,49)&amp;"","")&amp;"␟"&amp;IFERROR(INDEX(PASTE_ALL,$DF512,50)&amp;"","")&amp;"␟"&amp;IFERROR(INDEX(PASTE_ALL,$DF512,51)&amp;"","")&amp;"␟"&amp;IFERROR(INDEX(PASTE_ALL,$DF512,52)&amp;"","")&amp;"␟"&amp;IFERROR(INDEX(PASTE_ALL,$DF512,53)&amp;"","")&amp;"␟"&amp;IFERROR(INDEX(PASTE_ALL,$DF512,54)&amp;"","")&amp;"␟"&amp;IFERROR(INDEX(PASTE_ALL,$DF512,55)&amp;"","")&amp;"␟"&amp;IFERROR(INDEX(PASTE_ALL,$DF512,56)&amp;"","")&amp;"␟"&amp;IFERROR(INDEX(PASTE_ALL,$DF512,57)&amp;"","")&amp;"␟"&amp;IFERROR(INDEX(PASTE_ALL,$DF512,58)&amp;"","")&amp;"␟"&amp;IFERROR(INDEX(PASTE_ALL,$DF512,59)&amp;"","")&amp;"␟"&amp;IFERROR(INDEX(PASTE_ALL,$DF512,60)&amp;"","")," "," "),CHAR(9)," "),CHAR(10)," "),CHAR(13)," "))," ␟","␟"),"␟ ","␟"),"#"&amp;$DE512),"")</f>
        <v/>
      </c>
      <c r="DJ512">
        <f>IF($DI512="",0,IF(SUMPRODUCT(--EXACT($DI$4:DI511,$DI512))&gt;0,1,0))</f>
        <v/>
      </c>
      <c r="DK512">
        <f>IF(AND($DI512&lt;&gt;"",$DJ512=0),1,0)</f>
        <v/>
      </c>
      <c r="DL512">
        <f>DL511+$DK512</f>
        <v/>
      </c>
      <c r="DM512">
        <f>IF(AND($DK512=1,$DL512&lt;=600),1,0)</f>
        <v/>
      </c>
      <c r="DN512">
        <f>IF($DM512=0,"",IF($L$6=0,"",IFERROR(IF(ISNUMBER(INDEX(PASTE_ALL,$DF512,$L$6)),INDEX(PASTE_ALL,$DF512,$L$6),TRIM(SUBSTITUTE(SUBSTITUTE(SUBSTITUTE(SUBSTITUTE(INDEX(PASTE_ALL,$DF512,$L$6)," "," "),CHAR(9)," "),CHAR(10)," "),CHAR(13)," "))),"")))</f>
        <v/>
      </c>
      <c r="DO512">
        <f>IF($DM512=0,"",IF($L$7=0,"",IFERROR(IF(ISNUMBER(INDEX(PASTE_ALL,$DF512,$L$7)),INDEX(PASTE_ALL,$DF512,$L$7),TRIM(SUBSTITUTE(SUBSTITUTE(SUBSTITUTE(SUBSTITUTE(INDEX(PASTE_ALL,$DF512,$L$7)," "," "),CHAR(9)," "),CHAR(10)," "),CHAR(13)," "))),"")))</f>
        <v/>
      </c>
      <c r="DP512">
        <f>IF($DM512=0,"",IF($L$8=0,"",IFERROR(IF(ISNUMBER(INDEX(PASTE_ALL,$DF512,$L$8)),INDEX(PASTE_ALL,$DF512,$L$8),TRIM(SUBSTITUTE(SUBSTITUTE(SUBSTITUTE(SUBSTITUTE(INDEX(PASTE_ALL,$DF512,$L$8)," "," "),CHAR(9)," "),CHAR(10)," "),CHAR(13)," "))),"")))</f>
        <v/>
      </c>
      <c r="DQ512">
        <f>IF($DM512=0,"",IF($L$9=0,"",IFERROR(IF(ISNUMBER(INDEX(PASTE_ALL,$DF512,$L$9)),INDEX(PASTE_ALL,$DF512,$L$9),TRIM(SUBSTITUTE(SUBSTITUTE(SUBSTITUTE(SUBSTITUTE(INDEX(PASTE_ALL,$DF512,$L$9)," "," "),CHAR(9)," "),CHAR(10)," "),CHAR(13)," "))),"")))</f>
        <v/>
      </c>
      <c r="DR512">
        <f>IF($DM512=0,"",IF($L$10=0,"",IFERROR(IF(ISNUMBER(INDEX(PASTE_ALL,$DF512,$L$10)),INDEX(PASTE_ALL,$DF512,$L$10),TRIM(SUBSTITUTE(SUBSTITUTE(SUBSTITUTE(SUBSTITUTE(INDEX(PASTE_ALL,$DF512,$L$10)," "," "),CHAR(9)," "),CHAR(10)," "),CHAR(13)," "))),"")))</f>
        <v/>
      </c>
      <c r="DS512">
        <f>IF($DM512=0,"",IF($L$11=0,"",IFERROR(IF(ISNUMBER(INDEX(PASTE_ALL,$DF512,$L$11)),INDEX(PASTE_ALL,$DF512,$L$11),TRIM(SUBSTITUTE(SUBSTITUTE(SUBSTITUTE(SUBSTITUTE(INDEX(PASTE_ALL,$DF512,$L$11)," "," "),CHAR(9)," "),CHAR(10)," "),CHAR(13)," "))),"")))</f>
        <v/>
      </c>
      <c r="DT512">
        <f>IF($DM512=0,"",IF($L$12=0,"",IFERROR(IF(ISNUMBER(INDEX(PASTE_ALL,$DF512,$L$12)),INDEX(PASTE_ALL,$DF512,$L$12),TRIM(SUBSTITUTE(SUBSTITUTE(SUBSTITUTE(SUBSTITUTE(INDEX(PASTE_ALL,$DF512,$L$12)," "," "),CHAR(9)," "),CHAR(10)," "),CHAR(13)," "))),"")))</f>
        <v/>
      </c>
      <c r="DU512">
        <f>IF($DM512=0,"",IF($L$13=0,"",IFERROR(IF(ISNUMBER(INDEX(PASTE_ALL,$DF512,$L$13)),INDEX(PASTE_ALL,$DF512,$L$13),TRIM(SUBSTITUTE(SUBSTITUTE(SUBSTITUTE(SUBSTITUTE(INDEX(PASTE_ALL,$DF512,$L$13)," "," "),CHAR(9)," "),CHAR(10)," "),CHAR(13)," "))),"")))</f>
        <v/>
      </c>
      <c r="DV512">
        <f>IF($DM512=0,"",IF($L$14=0,"",IFERROR(IF(ISNUMBER(INDEX(PASTE_ALL,$DF512,$L$14)),INDEX(PASTE_ALL,$DF512,$L$14),TRIM(SUBSTITUTE(SUBSTITUTE(SUBSTITUTE(SUBSTITUTE(INDEX(PASTE_ALL,$DF512,$L$14)," "," "),CHAR(9)," "),CHAR(10)," "),CHAR(13)," "))),"")))</f>
        <v/>
      </c>
      <c r="DW512">
        <f>IF($DM512=0,"",IF($L$15=0,"",IFERROR(IF(ISNUMBER(INDEX(PASTE_ALL,$DF512,$L$15)),INDEX(PASTE_ALL,$DF512,$L$15),IF(SUMPRODUCT(--ISNUMBER(FIND({"A","B","C","D","E","F","G","H","I","J","K","L","M","N","O","P","Q","R","S","T","U","V","W","X","Y","Z","0","1","2","3","4","5","6","7","8","9"},UPPER(TRIM(SUBSTITUTE(SUBSTITUTE(SUBSTITUTE(SUBSTITUTE(INDEX(PASTE_ALL,$DF512,$L$15)," "," "),CHAR(9)," "),CHAR(10)," "),CHAR(13)," "))))))&gt;0,TRIM(SUBSTITUTE(SUBSTITUTE(SUBSTITUTE(SUBSTITUTE(INDEX(PASTE_ALL,$DF512,$L$15)," "," "),CHAR(9)," "),CHAR(10)," "),CHAR(13)," ")),"")),"")))</f>
        <v/>
      </c>
      <c r="DX512">
        <f>IF($DM512=0,"",IF($L$16=0,"",IFERROR(IF(ISNUMBER(INDEX(PASTE_ALL,$DF512,$L$16)),INDEX(PASTE_ALL,$DF512,$L$16),SUBSTITUTE(SUBSTITUTE(TRIM(SUBSTITUTE(SUBSTITUTE(SUBSTITUTE(SUBSTITUTE(INDEX(PASTE_ALL,$DF512,$L$16)," "," "),CHAR(9)," "),CHAR(10)," "),CHAR(13)," ")),",",""),"%","")),"")))</f>
        <v/>
      </c>
      <c r="DY512">
        <f>IF($DM512=0,"",IFERROR(IF(ISNUMBER($DX512),$DX512,IF($DX512="","",IF(TRIM($DX512)="",0,IF(AND(AND(SUBSTITUTE(SUBSTITUTE(SUBSTITUTE(SUBSTITUTE(SUBSTITUTE(SUBSTITUTE(SUBSTITUTE(SUBSTITUTE(SUBSTITUTE(SUBSTITUTE(SUBSTITUTE(SUBSTITUTE(SUBSTITUTE(SUBSTITUTE(UPPER(TRIM($DX512)),"0",""),"1",""),"2",""),"3",""),"4",""),"5",""),"6",""),"7",""),"8",""),"9",""),".",""),"+",""),"-",""),"E","")="",LEN(SUBSTITUTE(SUBSTITUTE(MID(UPPER(TRIM($DX512)),1+OR(LEFT(UPPER(TRIM($DX512)),1)="+",LEFT(UPPER(TRIM($DX512)),1)="-"),999),"E+","E"),"E-","E"))=LEN(SUBSTITUTE(SUBSTITUTE(SUBSTITUTE(SUBSTITUTE(MID(UPPER(TRIM($DX512)),1+OR(LEFT(UPPER(TRIM($DX512)),1)="+",LEFT(UPPER(TRIM($DX512)),1)="-"),999),"E+","E"),"E-","E"),"+",""),"-","")),LEN(UPPER(TRIM($DX512)))-LEN(SUBSTITUTE(UPPER(TRIM($DX512)),"E",""))&lt;2,LEN(UPPER(TRIM($DX512)))-LEN(SUBSTITUTE(UPPER(TRIM($DX512)),".",""))&lt;2,IFERROR(FIND(".",UPPER(TRIM($DX512))),0)&lt;IFERROR(FIND("E",UPPER(TRIM($DX512))),999)),ISNUMBER(VALUE(TRIM($DX512)))),VALUE(TRIM($DX512)),"")))),""))</f>
        <v/>
      </c>
      <c r="DZ512">
        <f>IF($DM512=0,"",IF($L$17=0,"",IFERROR(IF(ISNUMBER(INDEX(PASTE_ALL,$DF512,$L$17)),INDEX(PASTE_ALL,$DF512,$L$17),SUBSTITUTE(SUBSTITUTE(TRIM(SUBSTITUTE(SUBSTITUTE(SUBSTITUTE(SUBSTITUTE(INDEX(PASTE_ALL,$DF512,$L$17)," "," "),CHAR(9)," "),CHAR(10)," "),CHAR(13)," ")),",",""),"%","")),"")))</f>
        <v/>
      </c>
      <c r="EA512">
        <f>IF($DM512=0,"",IFERROR(IF(ISNUMBER($DZ512),$DZ512,IF($DZ512="","",IF(TRIM($DZ512)="",0,IF(AND(AND(SUBSTITUTE(SUBSTITUTE(SUBSTITUTE(SUBSTITUTE(SUBSTITUTE(SUBSTITUTE(SUBSTITUTE(SUBSTITUTE(SUBSTITUTE(SUBSTITUTE(SUBSTITUTE(SUBSTITUTE(SUBSTITUTE(SUBSTITUTE(UPPER(TRIM($DZ512)),"0",""),"1",""),"2",""),"3",""),"4",""),"5",""),"6",""),"7",""),"8",""),"9",""),".",""),"+",""),"-",""),"E","")="",LEN(SUBSTITUTE(SUBSTITUTE(MID(UPPER(TRIM($DZ512)),1+OR(LEFT(UPPER(TRIM($DZ512)),1)="+",LEFT(UPPER(TRIM($DZ512)),1)="-"),999),"E+","E"),"E-","E"))=LEN(SUBSTITUTE(SUBSTITUTE(SUBSTITUTE(SUBSTITUTE(MID(UPPER(TRIM($DZ512)),1+OR(LEFT(UPPER(TRIM($DZ512)),1)="+",LEFT(UPPER(TRIM($DZ512)),1)="-"),999),"E+","E"),"E-","E"),"+",""),"-","")),LEN(UPPER(TRIM($DZ512)))-LEN(SUBSTITUTE(UPPER(TRIM($DZ512)),"E",""))&lt;2,LEN(UPPER(TRIM($DZ512)))-LEN(SUBSTITUTE(UPPER(TRIM($DZ512)),".",""))&lt;2,IFERROR(FIND(".",UPPER(TRIM($DZ512))),0)&lt;IFERROR(FIND("E",UPPER(TRIM($DZ512))),999)),ISNUMBER(VALUE(TRIM($DZ512)))),VALUE(TRIM($DZ512)),"")))),""))</f>
        <v/>
      </c>
      <c r="EB512">
        <f>IF($DM512=0,"",IF($L$18=0,"",IFERROR(IF(UPPER(TRIM(SUBSTITUTE(SUBSTITUTE(SUBSTITUTE(SUBSTITUTE(INDEX(PASTE_ALL,$DF512,$L$18)," "," "),CHAR(9)," "),CHAR(10)," "),CHAR(13)," ")))="READY","Ready",IF(UPPER(TRIM(SUBSTITUTE(SUBSTITUTE(SUBSTITUTE(SUBSTITUTE(INDEX(PASTE_ALL,$DF512,$L$18)," "," "),CHAR(9)," "),CHAR(10)," "),CHAR(13)," ")))="PM","PM",IF(OR(UPPER(TRIM(SUBSTITUTE(SUBSTITUTE(SUBSTITUTE(SUBSTITUTE(INDEX(PASTE_ALL,$DF512,$L$18)," "," "),CHAR(9)," "),CHAR(10)," "),CHAR(13)," ")))="OT",UPPER(TRIM(SUBSTITUTE(SUBSTITUTE(SUBSTITUTE(SUBSTITUTE(INDEX(PASTE_ALL,$DF512,$L$18)," "," "),CHAR(9)," "),CHAR(10)," "),CHAR(13)," ")))="OVERTIME",UPPER(TRIM(SUBSTITUTE(SUBSTITUTE(SUBSTITUTE(SUBSTITUTE(INDEX(PASTE_ALL,$DF512,$L$18)," "," "),CHAR(9)," "),CHAR(10)," "),CHAR(13)," ")))="TRIAL"),"OT",TRIM(SUBSTITUTE(SUBSTITUTE(SUBSTITUTE(SUBSTITUTE(INDEX(PASTE_ALL,$DF512,$L$18)," "," "),CHAR(9)," "),CHAR(10)," "),CHAR(13)," "))))),"")))</f>
        <v/>
      </c>
      <c r="EC512">
        <f>IF($DM512=0,"",IF($L$19=0,"",IFERROR(IF(ISNUMBER(INDEX(PASTE_ALL,$DF512,$L$19)),INDEX(PASTE_ALL,$DF512,$L$19),TRIM(SUBSTITUTE(SUBSTITUTE(SUBSTITUTE(SUBSTITUTE(INDEX(PASTE_ALL,$DF512,$L$19)," "," "),CHAR(9)," "),CHAR(10)," "),CHAR(13)," "))),"")))</f>
        <v/>
      </c>
      <c r="ED512">
        <f>IF($DM512=0,"",MATCH(1,INDEX(EXACT($DH$5:DH512,$DH512)*$DM$5:DM512,0),0))</f>
        <v/>
      </c>
      <c r="EE512">
        <f>IF($DM512=0,0,IF($ED512=$DE512,1,0))</f>
        <v/>
      </c>
      <c r="EF512">
        <f>EF511+$EE512</f>
        <v/>
      </c>
      <c r="EG512">
        <f>IF($DM512=0,"",INDEX($EF$5:$EF$1003,$ED512))</f>
        <v/>
      </c>
      <c r="EH512">
        <f>IF($DM512=0,"",IF($DO512&lt;&gt;"","",IFERROR(LOOKUP(2,1/(($EG$4:EG511=$EG512)*($DO$4:DO511&lt;&gt;"")),$DO$4:DO511),"")))</f>
        <v/>
      </c>
      <c r="EI512">
        <f>IF($DM512=0,"",IF($DO512&lt;&gt;"",$DO512,$EH512))</f>
        <v/>
      </c>
      <c r="EJ512">
        <f>IF($DM512=0,"",IF($EI512="",0,IF(OR(ISNUMBER($EI512),AND(AND(SUBSTITUTE(SUBSTITUTE(SUBSTITUTE(SUBSTITUTE(SUBSTITUTE(SUBSTITUTE(SUBSTITUTE(SUBSTITUTE(SUBSTITUTE(SUBSTITUTE(SUBSTITUTE(SUBSTITUTE(SUBSTITUTE(SUBSTITUTE(UPPER($EI512),"0",""),"1",""),"2",""),"3",""),"4",""),"5",""),"6",""),"7",""),"8",""),"9",""),".",""),"+",""),"-",""),"E","")="",LEN(SUBSTITUTE(SUBSTITUTE(MID(UPPER($EI512),1+OR(LEFT(UPPER($EI512),1)="+",LEFT(UPPER($EI512),1)="-"),999),"E+","E"),"E-","E"))=LEN(SUBSTITUTE(SUBSTITUTE(SUBSTITUTE(SUBSTITUTE(MID(UPPER($EI512),1+OR(LEFT(UPPER($EI512),1)="+",LEFT(UPPER($EI512),1)="-"),999),"E+","E"),"E-","E"),"+",""),"-","")),LEN(UPPER($EI512))-LEN(SUBSTITUTE(UPPER($EI512),"E",""))&lt;2,LEN(UPPER($EI512))-LEN(SUBSTITUTE(UPPER($EI512),".",""))&lt;2,IFERROR(FIND(".",UPPER($EI512)),0)&lt;IFERROR(FIND("E",UPPER($EI512)),999)),ISNUMBER(VALUE($EI512)))),1,2)))</f>
        <v/>
      </c>
      <c r="EK512">
        <f>IF($DM512=0,"",IF($EJ512=1,IF(ISNUMBER($EI512),$EI512,VALUE($EI512)),IF($EJ512=2,$DE512,0)))</f>
        <v/>
      </c>
      <c r="EL512">
        <f>IF($DM512=0,"",COUNTIF($EG$5:$EG$1003,"&lt;"&amp;$EG512)+SUMPRODUCT(($EG$5:$EG$1003=$EG512)*(($EJ$5:$EJ$1003&lt;$EJ512)+($EJ$5:$EJ$1003=$EJ512)*(($EK$5:$EK$1003&lt;$EK512)+($EK$5:$EK$1003=$EK512)*($DE$5:$DE$1003&lt;$DE512))))+1)</f>
        <v/>
      </c>
      <c r="EM512">
        <f>IF($DM512=0,"",$EL512+$EG512-1)</f>
        <v/>
      </c>
      <c r="EN512">
        <f>IF($DM512=0,0,IFERROR(MATCH(1,INDEX(--(TRIM(SUBSTITUTE(SUBSTITUTE(SUBSTITUTE(SUBSTITUTE(LINES_NAME&amp;""," "," "),CHAR(9)," "),CHAR(10)," "),CHAR(13)," "))=$DH512),0),0),0))</f>
        <v/>
      </c>
      <c r="EO512">
        <f>IF($EN512=0,0,IF(OR(UPPER(TRIM(INDEX(LINES_SCHEDULED,$EN512)&amp;""))="YES",UPPER(TRIM(INDEX(LINES_SCHEDULED,$EN512)&amp;""))="Y",UPPER(TRIM(INDEX(LINES_SCHEDULED,$EN512)&amp;""))="X"),1,0))</f>
        <v/>
      </c>
      <c r="EP512">
        <f>IF($DM512=0,"",IF(COUNTIFS($EG$5:$EG$1003,$EG512,$EB$5:$EB$1003,"Ready")&gt;0,"READY",IF(COUNTIFS($EG$5:$EG$1003,$EG512,$EB$5:$EB$1003,"PM")&gt;0,"PM",IF(COUNTIFS($EG$5:$EG$1003,$EG512,$EB$5:$EB$1003,"OT")&gt;0,"OT",""))))</f>
        <v/>
      </c>
      <c r="EQ512">
        <f>IF($EN512=0,"",UPPER(TRIM(INDEX(LINES_STATUS,$EN512)&amp;"")))</f>
        <v/>
      </c>
      <c r="ER512">
        <f>IF($DM512=0,"",IF(OR($EQ512="READY",$EQ512="PM",$EQ512="OT"),$EQ512,$EP512))</f>
        <v/>
      </c>
      <c r="ES512">
        <f>IF($DM512=0,"",IF(AND($DV512&lt;&gt;"",UPPER($DV512)&lt;&gt;"N"),"allergen",IF(ISNUMBER(SEARCH("oil",$DQ512)),"oil",IF(OR(EXACT($DS512,"A662"),EXACT($DS512,"A624")),"bulk",""))))</f>
        <v/>
      </c>
      <c r="ET512">
        <f>IF($DM512=0,"",IF(OR($EA512="",$EA512=0),"",$EA512/100))</f>
        <v/>
      </c>
      <c r="EU512">
        <f>IF(OR($ET512="",$DY512=""),"",INT($DY512*(1-$ET512)+0.5))</f>
        <v/>
      </c>
      <c r="EW512" t="n">
        <v>508</v>
      </c>
      <c r="EX512">
        <f>IFERROR(MATCH($EW512,$EM$5:$EM$1003,0),0)</f>
        <v/>
      </c>
      <c r="EY512">
        <f>IF($EW512&gt;$B$12,"",IF($EX512&gt;0,"row","spacer"))</f>
        <v/>
      </c>
      <c r="EZ512">
        <f>IF(AND($EY512="row",$EY511&lt;&gt;"row"),1,0)</f>
        <v/>
      </c>
      <c r="FA512">
        <f>IF(AND($EY512="row",$EY513&lt;&gt;"row"),1,0)</f>
        <v/>
      </c>
      <c r="FB512">
        <f>IF($EZ512=1,IFERROR(IF(ISNUMBER(INDEX(PASTE_ALL,INDEX($DF$5:$DF$1003,$EX512),$B$37)),INDEX(PASTE_ALL,INDEX($DF$5:$DF$1003,$EX512),$B$37),INDEX($DH$5:$DH$1003,$EX512)),INDEX($DH$5:$DH$1003,$EX512)),"")</f>
        <v/>
      </c>
      <c r="FC512">
        <f>IF($EY512="row",INDEX($ER$5:$ER$1003,$EX512),"")</f>
        <v/>
      </c>
      <c r="FD512">
        <f>IF($EY512="row",INDEX($DN$5:$DN$1003,$EX512),"")</f>
        <v/>
      </c>
      <c r="FE512">
        <f>IF($EY512="row",INDEX($DO$5:$DO$1003,$EX512),"")</f>
        <v/>
      </c>
      <c r="FF512">
        <f>IF($EY512="row",INDEX($DP$5:$DP$1003,$EX512),"")</f>
        <v/>
      </c>
      <c r="FG512">
        <f>IF($EY512="row",INDEX($DQ$5:$DQ$1003,$EX512),"")</f>
        <v/>
      </c>
      <c r="FH512">
        <f>IF($EY512="row",INDEX($DR$5:$DR$1003,$EX512),"")</f>
        <v/>
      </c>
      <c r="FI512">
        <f>IF($EY512="row",INDEX($DS$5:$DS$1003,$EX512),"")</f>
        <v/>
      </c>
      <c r="FJ512">
        <f>IF($EY512="row",INDEX($DT$5:$DT$1003,$EX512),"")</f>
        <v/>
      </c>
      <c r="FK512">
        <f>IF($EY512="row",INDEX($DU$5:$DU$1003,$EX512),"")</f>
        <v/>
      </c>
      <c r="FL512">
        <f>IF($EY512="row",INDEX($DV$5:$DV$1003,$EX512),"")</f>
        <v/>
      </c>
      <c r="FM512">
        <f>IF($EY512="row",INDEX($DW$5:$DW$1003,$EX512),"")</f>
        <v/>
      </c>
      <c r="FN512">
        <f>IF($EY512="row",INDEX($DY$5:$DY$1003,$EX512),"")</f>
        <v/>
      </c>
      <c r="FO512">
        <f>IF($EY512="row",INDEX($EA$5:$EA$1003,$EX512),"")</f>
        <v/>
      </c>
      <c r="FP512">
        <f>IF($EY512="row",INDEX($EC$5:$EC$1003,$EX512),"")</f>
        <v/>
      </c>
      <c r="FQ512">
        <f>IF($EY512="row",INDEX($ET$5:$ET$1003,$EX512),"")</f>
        <v/>
      </c>
      <c r="FR512">
        <f>IF($EY512="row",INDEX($EU$5:$EU$1003,$EX512),"")</f>
        <v/>
      </c>
      <c r="FS512">
        <f>IF(AND($EY512="row",$EY511="row"),IF(OR(INDEX($DT$5:$DT$1003,$EX511)="",INDEX($DT$5:$DT$1003,$EX512)=""),"",IF(NOT(EXACT(INDEX($DT$5:$DT$1003,$EX511),INDEX($DT$5:$DT$1003,$EX512))),"S4",IF(NOT(EXACT(INDEX($DS$5:$DS$1003,$EX511),INDEX($DS$5:$DS$1003,$EX512))),"S3",IF(NOT(EXACT(INDEX($DR$5:$DR$1003,$EX511),INDEX($DR$5:$DR$1003,$EX512))),"S1 Count Change","S1")))),"")</f>
        <v/>
      </c>
      <c r="FT512">
        <f>IF($EY512="row",INDEX($ES$5:$ES$1003,$EX512),"")</f>
        <v/>
      </c>
      <c r="FU512">
        <f>IF($EY512="row",INDEX($EO$5:$EO$1003,$EX512),0)</f>
        <v/>
      </c>
      <c r="FV512">
        <f>IF($FS512="S1 Count Change",1,0)</f>
        <v/>
      </c>
    </row>
    <row r="513">
      <c r="DA513" t="n">
        <v>509</v>
      </c>
      <c r="DB513">
        <f>IF($B$37=0,"",IFERROR(TRIM(SUBSTITUTE(SUBSTITUTE(SUBSTITUTE(SUBSTITUTE(INDEX(PASTE_ALL,509,$B$37)," "," "),CHAR(9)," "),CHAR(10)," "),CHAR(13)," ")),""))</f>
        <v/>
      </c>
      <c r="DC513">
        <f>IF(AND(509&gt;HEADER_ROW,UPPER(DB513)="LEGEND"),1,0)</f>
        <v/>
      </c>
      <c r="DE513" t="n">
        <v>509</v>
      </c>
      <c r="DF513">
        <f>HEADER_ROW+$DE513</f>
        <v/>
      </c>
      <c r="DG513">
        <f>IF(AND($DF513&lt;=1000,$DF513&lt;$B$8),1,0)</f>
        <v/>
      </c>
      <c r="DH513">
        <f>IF($DG513=1,IFERROR(INDEX($DB$5:$DB$1004,$DF513),""),"")</f>
        <v/>
      </c>
      <c r="DI513">
        <f>IF(AND($DG513=1,$DH513&lt;&gt;""),IFERROR(SUBSTITUTE(SUBSTITUTE(TRIM(SUBSTITUTE(SUBSTITUTE(SUBSTITUTE(SUBSTITUTE(IFERROR(INDEX(PASTE_ALL,$DF513,1)&amp;"","")&amp;"␟"&amp;IFERROR(INDEX(PASTE_ALL,$DF513,2)&amp;"","")&amp;"␟"&amp;IFERROR(INDEX(PASTE_ALL,$DF513,3)&amp;"","")&amp;"␟"&amp;IFERROR(INDEX(PASTE_ALL,$DF513,4)&amp;"","")&amp;"␟"&amp;IFERROR(INDEX(PASTE_ALL,$DF513,5)&amp;"","")&amp;"␟"&amp;IFERROR(INDEX(PASTE_ALL,$DF513,6)&amp;"","")&amp;"␟"&amp;IFERROR(INDEX(PASTE_ALL,$DF513,7)&amp;"","")&amp;"␟"&amp;IFERROR(INDEX(PASTE_ALL,$DF513,8)&amp;"","")&amp;"␟"&amp;IFERROR(INDEX(PASTE_ALL,$DF513,9)&amp;"","")&amp;"␟"&amp;IFERROR(INDEX(PASTE_ALL,$DF513,10)&amp;"","")&amp;"␟"&amp;IFERROR(INDEX(PASTE_ALL,$DF513,11)&amp;"","")&amp;"␟"&amp;IFERROR(INDEX(PASTE_ALL,$DF513,12)&amp;"","")&amp;"␟"&amp;IFERROR(INDEX(PASTE_ALL,$DF513,13)&amp;"","")&amp;"␟"&amp;IFERROR(INDEX(PASTE_ALL,$DF513,14)&amp;"","")&amp;"␟"&amp;IFERROR(INDEX(PASTE_ALL,$DF513,15)&amp;"","")&amp;"␟"&amp;IFERROR(INDEX(PASTE_ALL,$DF513,16)&amp;"","")&amp;"␟"&amp;IFERROR(INDEX(PASTE_ALL,$DF513,17)&amp;"","")&amp;"␟"&amp;IFERROR(INDEX(PASTE_ALL,$DF513,18)&amp;"","")&amp;"␟"&amp;IFERROR(INDEX(PASTE_ALL,$DF513,19)&amp;"","")&amp;"␟"&amp;IFERROR(INDEX(PASTE_ALL,$DF513,20)&amp;"","")&amp;"␟"&amp;IFERROR(INDEX(PASTE_ALL,$DF513,21)&amp;"","")&amp;"␟"&amp;IFERROR(INDEX(PASTE_ALL,$DF513,22)&amp;"","")&amp;"␟"&amp;IFERROR(INDEX(PASTE_ALL,$DF513,23)&amp;"","")&amp;"␟"&amp;IFERROR(INDEX(PASTE_ALL,$DF513,24)&amp;"","")&amp;"␟"&amp;IFERROR(INDEX(PASTE_ALL,$DF513,25)&amp;"","")&amp;"␟"&amp;IFERROR(INDEX(PASTE_ALL,$DF513,26)&amp;"","")&amp;"␟"&amp;IFERROR(INDEX(PASTE_ALL,$DF513,27)&amp;"","")&amp;"␟"&amp;IFERROR(INDEX(PASTE_ALL,$DF513,28)&amp;"","")&amp;"␟"&amp;IFERROR(INDEX(PASTE_ALL,$DF513,29)&amp;"","")&amp;"␟"&amp;IFERROR(INDEX(PASTE_ALL,$DF513,30)&amp;"","")&amp;"␟"&amp;IFERROR(INDEX(PASTE_ALL,$DF513,31)&amp;"","")&amp;"␟"&amp;IFERROR(INDEX(PASTE_ALL,$DF513,32)&amp;"","")&amp;"␟"&amp;IFERROR(INDEX(PASTE_ALL,$DF513,33)&amp;"","")&amp;"␟"&amp;IFERROR(INDEX(PASTE_ALL,$DF513,34)&amp;"","")&amp;"␟"&amp;IFERROR(INDEX(PASTE_ALL,$DF513,35)&amp;"","")&amp;"␟"&amp;IFERROR(INDEX(PASTE_ALL,$DF513,36)&amp;"","")&amp;"␟"&amp;IFERROR(INDEX(PASTE_ALL,$DF513,37)&amp;"","")&amp;"␟"&amp;IFERROR(INDEX(PASTE_ALL,$DF513,38)&amp;"","")&amp;"␟"&amp;IFERROR(INDEX(PASTE_ALL,$DF513,39)&amp;"","")&amp;"␟"&amp;IFERROR(INDEX(PASTE_ALL,$DF513,40)&amp;"","")&amp;"␟"&amp;IFERROR(INDEX(PASTE_ALL,$DF513,41)&amp;"","")&amp;"␟"&amp;IFERROR(INDEX(PASTE_ALL,$DF513,42)&amp;"","")&amp;"␟"&amp;IFERROR(INDEX(PASTE_ALL,$DF513,43)&amp;"","")&amp;"␟"&amp;IFERROR(INDEX(PASTE_ALL,$DF513,44)&amp;"","")&amp;"␟"&amp;IFERROR(INDEX(PASTE_ALL,$DF513,45)&amp;"","")&amp;"␟"&amp;IFERROR(INDEX(PASTE_ALL,$DF513,46)&amp;"","")&amp;"␟"&amp;IFERROR(INDEX(PASTE_ALL,$DF513,47)&amp;"","")&amp;"␟"&amp;IFERROR(INDEX(PASTE_ALL,$DF513,48)&amp;"","")&amp;"␟"&amp;IFERROR(INDEX(PASTE_ALL,$DF513,49)&amp;"","")&amp;"␟"&amp;IFERROR(INDEX(PASTE_ALL,$DF513,50)&amp;"","")&amp;"␟"&amp;IFERROR(INDEX(PASTE_ALL,$DF513,51)&amp;"","")&amp;"␟"&amp;IFERROR(INDEX(PASTE_ALL,$DF513,52)&amp;"","")&amp;"␟"&amp;IFERROR(INDEX(PASTE_ALL,$DF513,53)&amp;"","")&amp;"␟"&amp;IFERROR(INDEX(PASTE_ALL,$DF513,54)&amp;"","")&amp;"␟"&amp;IFERROR(INDEX(PASTE_ALL,$DF513,55)&amp;"","")&amp;"␟"&amp;IFERROR(INDEX(PASTE_ALL,$DF513,56)&amp;"","")&amp;"␟"&amp;IFERROR(INDEX(PASTE_ALL,$DF513,57)&amp;"","")&amp;"␟"&amp;IFERROR(INDEX(PASTE_ALL,$DF513,58)&amp;"","")&amp;"␟"&amp;IFERROR(INDEX(PASTE_ALL,$DF513,59)&amp;"","")&amp;"␟"&amp;IFERROR(INDEX(PASTE_ALL,$DF513,60)&amp;"","")," "," "),CHAR(9)," "),CHAR(10)," "),CHAR(13)," "))," ␟","␟"),"␟ ","␟"),"#"&amp;$DE513),"")</f>
        <v/>
      </c>
      <c r="DJ513">
        <f>IF($DI513="",0,IF(SUMPRODUCT(--EXACT($DI$4:DI512,$DI513))&gt;0,1,0))</f>
        <v/>
      </c>
      <c r="DK513">
        <f>IF(AND($DI513&lt;&gt;"",$DJ513=0),1,0)</f>
        <v/>
      </c>
      <c r="DL513">
        <f>DL512+$DK513</f>
        <v/>
      </c>
      <c r="DM513">
        <f>IF(AND($DK513=1,$DL513&lt;=600),1,0)</f>
        <v/>
      </c>
      <c r="DN513">
        <f>IF($DM513=0,"",IF($L$6=0,"",IFERROR(IF(ISNUMBER(INDEX(PASTE_ALL,$DF513,$L$6)),INDEX(PASTE_ALL,$DF513,$L$6),TRIM(SUBSTITUTE(SUBSTITUTE(SUBSTITUTE(SUBSTITUTE(INDEX(PASTE_ALL,$DF513,$L$6)," "," "),CHAR(9)," "),CHAR(10)," "),CHAR(13)," "))),"")))</f>
        <v/>
      </c>
      <c r="DO513">
        <f>IF($DM513=0,"",IF($L$7=0,"",IFERROR(IF(ISNUMBER(INDEX(PASTE_ALL,$DF513,$L$7)),INDEX(PASTE_ALL,$DF513,$L$7),TRIM(SUBSTITUTE(SUBSTITUTE(SUBSTITUTE(SUBSTITUTE(INDEX(PASTE_ALL,$DF513,$L$7)," "," "),CHAR(9)," "),CHAR(10)," "),CHAR(13)," "))),"")))</f>
        <v/>
      </c>
      <c r="DP513">
        <f>IF($DM513=0,"",IF($L$8=0,"",IFERROR(IF(ISNUMBER(INDEX(PASTE_ALL,$DF513,$L$8)),INDEX(PASTE_ALL,$DF513,$L$8),TRIM(SUBSTITUTE(SUBSTITUTE(SUBSTITUTE(SUBSTITUTE(INDEX(PASTE_ALL,$DF513,$L$8)," "," "),CHAR(9)," "),CHAR(10)," "),CHAR(13)," "))),"")))</f>
        <v/>
      </c>
      <c r="DQ513">
        <f>IF($DM513=0,"",IF($L$9=0,"",IFERROR(IF(ISNUMBER(INDEX(PASTE_ALL,$DF513,$L$9)),INDEX(PASTE_ALL,$DF513,$L$9),TRIM(SUBSTITUTE(SUBSTITUTE(SUBSTITUTE(SUBSTITUTE(INDEX(PASTE_ALL,$DF513,$L$9)," "," "),CHAR(9)," "),CHAR(10)," "),CHAR(13)," "))),"")))</f>
        <v/>
      </c>
      <c r="DR513">
        <f>IF($DM513=0,"",IF($L$10=0,"",IFERROR(IF(ISNUMBER(INDEX(PASTE_ALL,$DF513,$L$10)),INDEX(PASTE_ALL,$DF513,$L$10),TRIM(SUBSTITUTE(SUBSTITUTE(SUBSTITUTE(SUBSTITUTE(INDEX(PASTE_ALL,$DF513,$L$10)," "," "),CHAR(9)," "),CHAR(10)," "),CHAR(13)," "))),"")))</f>
        <v/>
      </c>
      <c r="DS513">
        <f>IF($DM513=0,"",IF($L$11=0,"",IFERROR(IF(ISNUMBER(INDEX(PASTE_ALL,$DF513,$L$11)),INDEX(PASTE_ALL,$DF513,$L$11),TRIM(SUBSTITUTE(SUBSTITUTE(SUBSTITUTE(SUBSTITUTE(INDEX(PASTE_ALL,$DF513,$L$11)," "," "),CHAR(9)," "),CHAR(10)," "),CHAR(13)," "))),"")))</f>
        <v/>
      </c>
      <c r="DT513">
        <f>IF($DM513=0,"",IF($L$12=0,"",IFERROR(IF(ISNUMBER(INDEX(PASTE_ALL,$DF513,$L$12)),INDEX(PASTE_ALL,$DF513,$L$12),TRIM(SUBSTITUTE(SUBSTITUTE(SUBSTITUTE(SUBSTITUTE(INDEX(PASTE_ALL,$DF513,$L$12)," "," "),CHAR(9)," "),CHAR(10)," "),CHAR(13)," "))),"")))</f>
        <v/>
      </c>
      <c r="DU513">
        <f>IF($DM513=0,"",IF($L$13=0,"",IFERROR(IF(ISNUMBER(INDEX(PASTE_ALL,$DF513,$L$13)),INDEX(PASTE_ALL,$DF513,$L$13),TRIM(SUBSTITUTE(SUBSTITUTE(SUBSTITUTE(SUBSTITUTE(INDEX(PASTE_ALL,$DF513,$L$13)," "," "),CHAR(9)," "),CHAR(10)," "),CHAR(13)," "))),"")))</f>
        <v/>
      </c>
      <c r="DV513">
        <f>IF($DM513=0,"",IF($L$14=0,"",IFERROR(IF(ISNUMBER(INDEX(PASTE_ALL,$DF513,$L$14)),INDEX(PASTE_ALL,$DF513,$L$14),TRIM(SUBSTITUTE(SUBSTITUTE(SUBSTITUTE(SUBSTITUTE(INDEX(PASTE_ALL,$DF513,$L$14)," "," "),CHAR(9)," "),CHAR(10)," "),CHAR(13)," "))),"")))</f>
        <v/>
      </c>
      <c r="DW513">
        <f>IF($DM513=0,"",IF($L$15=0,"",IFERROR(IF(ISNUMBER(INDEX(PASTE_ALL,$DF513,$L$15)),INDEX(PASTE_ALL,$DF513,$L$15),IF(SUMPRODUCT(--ISNUMBER(FIND({"A","B","C","D","E","F","G","H","I","J","K","L","M","N","O","P","Q","R","S","T","U","V","W","X","Y","Z","0","1","2","3","4","5","6","7","8","9"},UPPER(TRIM(SUBSTITUTE(SUBSTITUTE(SUBSTITUTE(SUBSTITUTE(INDEX(PASTE_ALL,$DF513,$L$15)," "," "),CHAR(9)," "),CHAR(10)," "),CHAR(13)," "))))))&gt;0,TRIM(SUBSTITUTE(SUBSTITUTE(SUBSTITUTE(SUBSTITUTE(INDEX(PASTE_ALL,$DF513,$L$15)," "," "),CHAR(9)," "),CHAR(10)," "),CHAR(13)," ")),"")),"")))</f>
        <v/>
      </c>
      <c r="DX513">
        <f>IF($DM513=0,"",IF($L$16=0,"",IFERROR(IF(ISNUMBER(INDEX(PASTE_ALL,$DF513,$L$16)),INDEX(PASTE_ALL,$DF513,$L$16),SUBSTITUTE(SUBSTITUTE(TRIM(SUBSTITUTE(SUBSTITUTE(SUBSTITUTE(SUBSTITUTE(INDEX(PASTE_ALL,$DF513,$L$16)," "," "),CHAR(9)," "),CHAR(10)," "),CHAR(13)," ")),",",""),"%","")),"")))</f>
        <v/>
      </c>
      <c r="DY513">
        <f>IF($DM513=0,"",IFERROR(IF(ISNUMBER($DX513),$DX513,IF($DX513="","",IF(TRIM($DX513)="",0,IF(AND(AND(SUBSTITUTE(SUBSTITUTE(SUBSTITUTE(SUBSTITUTE(SUBSTITUTE(SUBSTITUTE(SUBSTITUTE(SUBSTITUTE(SUBSTITUTE(SUBSTITUTE(SUBSTITUTE(SUBSTITUTE(SUBSTITUTE(SUBSTITUTE(UPPER(TRIM($DX513)),"0",""),"1",""),"2",""),"3",""),"4",""),"5",""),"6",""),"7",""),"8",""),"9",""),".",""),"+",""),"-",""),"E","")="",LEN(SUBSTITUTE(SUBSTITUTE(MID(UPPER(TRIM($DX513)),1+OR(LEFT(UPPER(TRIM($DX513)),1)="+",LEFT(UPPER(TRIM($DX513)),1)="-"),999),"E+","E"),"E-","E"))=LEN(SUBSTITUTE(SUBSTITUTE(SUBSTITUTE(SUBSTITUTE(MID(UPPER(TRIM($DX513)),1+OR(LEFT(UPPER(TRIM($DX513)),1)="+",LEFT(UPPER(TRIM($DX513)),1)="-"),999),"E+","E"),"E-","E"),"+",""),"-","")),LEN(UPPER(TRIM($DX513)))-LEN(SUBSTITUTE(UPPER(TRIM($DX513)),"E",""))&lt;2,LEN(UPPER(TRIM($DX513)))-LEN(SUBSTITUTE(UPPER(TRIM($DX513)),".",""))&lt;2,IFERROR(FIND(".",UPPER(TRIM($DX513))),0)&lt;IFERROR(FIND("E",UPPER(TRIM($DX513))),999)),ISNUMBER(VALUE(TRIM($DX513)))),VALUE(TRIM($DX513)),"")))),""))</f>
        <v/>
      </c>
      <c r="DZ513">
        <f>IF($DM513=0,"",IF($L$17=0,"",IFERROR(IF(ISNUMBER(INDEX(PASTE_ALL,$DF513,$L$17)),INDEX(PASTE_ALL,$DF513,$L$17),SUBSTITUTE(SUBSTITUTE(TRIM(SUBSTITUTE(SUBSTITUTE(SUBSTITUTE(SUBSTITUTE(INDEX(PASTE_ALL,$DF513,$L$17)," "," "),CHAR(9)," "),CHAR(10)," "),CHAR(13)," ")),",",""),"%","")),"")))</f>
        <v/>
      </c>
      <c r="EA513">
        <f>IF($DM513=0,"",IFERROR(IF(ISNUMBER($DZ513),$DZ513,IF($DZ513="","",IF(TRIM($DZ513)="",0,IF(AND(AND(SUBSTITUTE(SUBSTITUTE(SUBSTITUTE(SUBSTITUTE(SUBSTITUTE(SUBSTITUTE(SUBSTITUTE(SUBSTITUTE(SUBSTITUTE(SUBSTITUTE(SUBSTITUTE(SUBSTITUTE(SUBSTITUTE(SUBSTITUTE(UPPER(TRIM($DZ513)),"0",""),"1",""),"2",""),"3",""),"4",""),"5",""),"6",""),"7",""),"8",""),"9",""),".",""),"+",""),"-",""),"E","")="",LEN(SUBSTITUTE(SUBSTITUTE(MID(UPPER(TRIM($DZ513)),1+OR(LEFT(UPPER(TRIM($DZ513)),1)="+",LEFT(UPPER(TRIM($DZ513)),1)="-"),999),"E+","E"),"E-","E"))=LEN(SUBSTITUTE(SUBSTITUTE(SUBSTITUTE(SUBSTITUTE(MID(UPPER(TRIM($DZ513)),1+OR(LEFT(UPPER(TRIM($DZ513)),1)="+",LEFT(UPPER(TRIM($DZ513)),1)="-"),999),"E+","E"),"E-","E"),"+",""),"-","")),LEN(UPPER(TRIM($DZ513)))-LEN(SUBSTITUTE(UPPER(TRIM($DZ513)),"E",""))&lt;2,LEN(UPPER(TRIM($DZ513)))-LEN(SUBSTITUTE(UPPER(TRIM($DZ513)),".",""))&lt;2,IFERROR(FIND(".",UPPER(TRIM($DZ513))),0)&lt;IFERROR(FIND("E",UPPER(TRIM($DZ513))),999)),ISNUMBER(VALUE(TRIM($DZ513)))),VALUE(TRIM($DZ513)),"")))),""))</f>
        <v/>
      </c>
      <c r="EB513">
        <f>IF($DM513=0,"",IF($L$18=0,"",IFERROR(IF(UPPER(TRIM(SUBSTITUTE(SUBSTITUTE(SUBSTITUTE(SUBSTITUTE(INDEX(PASTE_ALL,$DF513,$L$18)," "," "),CHAR(9)," "),CHAR(10)," "),CHAR(13)," ")))="READY","Ready",IF(UPPER(TRIM(SUBSTITUTE(SUBSTITUTE(SUBSTITUTE(SUBSTITUTE(INDEX(PASTE_ALL,$DF513,$L$18)," "," "),CHAR(9)," "),CHAR(10)," "),CHAR(13)," ")))="PM","PM",IF(OR(UPPER(TRIM(SUBSTITUTE(SUBSTITUTE(SUBSTITUTE(SUBSTITUTE(INDEX(PASTE_ALL,$DF513,$L$18)," "," "),CHAR(9)," "),CHAR(10)," "),CHAR(13)," ")))="OT",UPPER(TRIM(SUBSTITUTE(SUBSTITUTE(SUBSTITUTE(SUBSTITUTE(INDEX(PASTE_ALL,$DF513,$L$18)," "," "),CHAR(9)," "),CHAR(10)," "),CHAR(13)," ")))="OVERTIME",UPPER(TRIM(SUBSTITUTE(SUBSTITUTE(SUBSTITUTE(SUBSTITUTE(INDEX(PASTE_ALL,$DF513,$L$18)," "," "),CHAR(9)," "),CHAR(10)," "),CHAR(13)," ")))="TRIAL"),"OT",TRIM(SUBSTITUTE(SUBSTITUTE(SUBSTITUTE(SUBSTITUTE(INDEX(PASTE_ALL,$DF513,$L$18)," "," "),CHAR(9)," "),CHAR(10)," "),CHAR(13)," "))))),"")))</f>
        <v/>
      </c>
      <c r="EC513">
        <f>IF($DM513=0,"",IF($L$19=0,"",IFERROR(IF(ISNUMBER(INDEX(PASTE_ALL,$DF513,$L$19)),INDEX(PASTE_ALL,$DF513,$L$19),TRIM(SUBSTITUTE(SUBSTITUTE(SUBSTITUTE(SUBSTITUTE(INDEX(PASTE_ALL,$DF513,$L$19)," "," "),CHAR(9)," "),CHAR(10)," "),CHAR(13)," "))),"")))</f>
        <v/>
      </c>
      <c r="ED513">
        <f>IF($DM513=0,"",MATCH(1,INDEX(EXACT($DH$5:DH513,$DH513)*$DM$5:DM513,0),0))</f>
        <v/>
      </c>
      <c r="EE513">
        <f>IF($DM513=0,0,IF($ED513=$DE513,1,0))</f>
        <v/>
      </c>
      <c r="EF513">
        <f>EF512+$EE513</f>
        <v/>
      </c>
      <c r="EG513">
        <f>IF($DM513=0,"",INDEX($EF$5:$EF$1003,$ED513))</f>
        <v/>
      </c>
      <c r="EH513">
        <f>IF($DM513=0,"",IF($DO513&lt;&gt;"","",IFERROR(LOOKUP(2,1/(($EG$4:EG512=$EG513)*($DO$4:DO512&lt;&gt;"")),$DO$4:DO512),"")))</f>
        <v/>
      </c>
      <c r="EI513">
        <f>IF($DM513=0,"",IF($DO513&lt;&gt;"",$DO513,$EH513))</f>
        <v/>
      </c>
      <c r="EJ513">
        <f>IF($DM513=0,"",IF($EI513="",0,IF(OR(ISNUMBER($EI513),AND(AND(SUBSTITUTE(SUBSTITUTE(SUBSTITUTE(SUBSTITUTE(SUBSTITUTE(SUBSTITUTE(SUBSTITUTE(SUBSTITUTE(SUBSTITUTE(SUBSTITUTE(SUBSTITUTE(SUBSTITUTE(SUBSTITUTE(SUBSTITUTE(UPPER($EI513),"0",""),"1",""),"2",""),"3",""),"4",""),"5",""),"6",""),"7",""),"8",""),"9",""),".",""),"+",""),"-",""),"E","")="",LEN(SUBSTITUTE(SUBSTITUTE(MID(UPPER($EI513),1+OR(LEFT(UPPER($EI513),1)="+",LEFT(UPPER($EI513),1)="-"),999),"E+","E"),"E-","E"))=LEN(SUBSTITUTE(SUBSTITUTE(SUBSTITUTE(SUBSTITUTE(MID(UPPER($EI513),1+OR(LEFT(UPPER($EI513),1)="+",LEFT(UPPER($EI513),1)="-"),999),"E+","E"),"E-","E"),"+",""),"-","")),LEN(UPPER($EI513))-LEN(SUBSTITUTE(UPPER($EI513),"E",""))&lt;2,LEN(UPPER($EI513))-LEN(SUBSTITUTE(UPPER($EI513),".",""))&lt;2,IFERROR(FIND(".",UPPER($EI513)),0)&lt;IFERROR(FIND("E",UPPER($EI513)),999)),ISNUMBER(VALUE($EI513)))),1,2)))</f>
        <v/>
      </c>
      <c r="EK513">
        <f>IF($DM513=0,"",IF($EJ513=1,IF(ISNUMBER($EI513),$EI513,VALUE($EI513)),IF($EJ513=2,$DE513,0)))</f>
        <v/>
      </c>
      <c r="EL513">
        <f>IF($DM513=0,"",COUNTIF($EG$5:$EG$1003,"&lt;"&amp;$EG513)+SUMPRODUCT(($EG$5:$EG$1003=$EG513)*(($EJ$5:$EJ$1003&lt;$EJ513)+($EJ$5:$EJ$1003=$EJ513)*(($EK$5:$EK$1003&lt;$EK513)+($EK$5:$EK$1003=$EK513)*($DE$5:$DE$1003&lt;$DE513))))+1)</f>
        <v/>
      </c>
      <c r="EM513">
        <f>IF($DM513=0,"",$EL513+$EG513-1)</f>
        <v/>
      </c>
      <c r="EN513">
        <f>IF($DM513=0,0,IFERROR(MATCH(1,INDEX(--(TRIM(SUBSTITUTE(SUBSTITUTE(SUBSTITUTE(SUBSTITUTE(LINES_NAME&amp;""," "," "),CHAR(9)," "),CHAR(10)," "),CHAR(13)," "))=$DH513),0),0),0))</f>
        <v/>
      </c>
      <c r="EO513">
        <f>IF($EN513=0,0,IF(OR(UPPER(TRIM(INDEX(LINES_SCHEDULED,$EN513)&amp;""))="YES",UPPER(TRIM(INDEX(LINES_SCHEDULED,$EN513)&amp;""))="Y",UPPER(TRIM(INDEX(LINES_SCHEDULED,$EN513)&amp;""))="X"),1,0))</f>
        <v/>
      </c>
      <c r="EP513">
        <f>IF($DM513=0,"",IF(COUNTIFS($EG$5:$EG$1003,$EG513,$EB$5:$EB$1003,"Ready")&gt;0,"READY",IF(COUNTIFS($EG$5:$EG$1003,$EG513,$EB$5:$EB$1003,"PM")&gt;0,"PM",IF(COUNTIFS($EG$5:$EG$1003,$EG513,$EB$5:$EB$1003,"OT")&gt;0,"OT",""))))</f>
        <v/>
      </c>
      <c r="EQ513">
        <f>IF($EN513=0,"",UPPER(TRIM(INDEX(LINES_STATUS,$EN513)&amp;"")))</f>
        <v/>
      </c>
      <c r="ER513">
        <f>IF($DM513=0,"",IF(OR($EQ513="READY",$EQ513="PM",$EQ513="OT"),$EQ513,$EP513))</f>
        <v/>
      </c>
      <c r="ES513">
        <f>IF($DM513=0,"",IF(AND($DV513&lt;&gt;"",UPPER($DV513)&lt;&gt;"N"),"allergen",IF(ISNUMBER(SEARCH("oil",$DQ513)),"oil",IF(OR(EXACT($DS513,"A662"),EXACT($DS513,"A624")),"bulk",""))))</f>
        <v/>
      </c>
      <c r="ET513">
        <f>IF($DM513=0,"",IF(OR($EA513="",$EA513=0),"",$EA513/100))</f>
        <v/>
      </c>
      <c r="EU513">
        <f>IF(OR($ET513="",$DY513=""),"",INT($DY513*(1-$ET513)+0.5))</f>
        <v/>
      </c>
      <c r="EW513" t="n">
        <v>509</v>
      </c>
      <c r="EX513">
        <f>IFERROR(MATCH($EW513,$EM$5:$EM$1003,0),0)</f>
        <v/>
      </c>
      <c r="EY513">
        <f>IF($EW513&gt;$B$12,"",IF($EX513&gt;0,"row","spacer"))</f>
        <v/>
      </c>
      <c r="EZ513">
        <f>IF(AND($EY513="row",$EY512&lt;&gt;"row"),1,0)</f>
        <v/>
      </c>
      <c r="FA513">
        <f>IF(AND($EY513="row",$EY514&lt;&gt;"row"),1,0)</f>
        <v/>
      </c>
      <c r="FB513">
        <f>IF($EZ513=1,IFERROR(IF(ISNUMBER(INDEX(PASTE_ALL,INDEX($DF$5:$DF$1003,$EX513),$B$37)),INDEX(PASTE_ALL,INDEX($DF$5:$DF$1003,$EX513),$B$37),INDEX($DH$5:$DH$1003,$EX513)),INDEX($DH$5:$DH$1003,$EX513)),"")</f>
        <v/>
      </c>
      <c r="FC513">
        <f>IF($EY513="row",INDEX($ER$5:$ER$1003,$EX513),"")</f>
        <v/>
      </c>
      <c r="FD513">
        <f>IF($EY513="row",INDEX($DN$5:$DN$1003,$EX513),"")</f>
        <v/>
      </c>
      <c r="FE513">
        <f>IF($EY513="row",INDEX($DO$5:$DO$1003,$EX513),"")</f>
        <v/>
      </c>
      <c r="FF513">
        <f>IF($EY513="row",INDEX($DP$5:$DP$1003,$EX513),"")</f>
        <v/>
      </c>
      <c r="FG513">
        <f>IF($EY513="row",INDEX($DQ$5:$DQ$1003,$EX513),"")</f>
        <v/>
      </c>
      <c r="FH513">
        <f>IF($EY513="row",INDEX($DR$5:$DR$1003,$EX513),"")</f>
        <v/>
      </c>
      <c r="FI513">
        <f>IF($EY513="row",INDEX($DS$5:$DS$1003,$EX513),"")</f>
        <v/>
      </c>
      <c r="FJ513">
        <f>IF($EY513="row",INDEX($DT$5:$DT$1003,$EX513),"")</f>
        <v/>
      </c>
      <c r="FK513">
        <f>IF($EY513="row",INDEX($DU$5:$DU$1003,$EX513),"")</f>
        <v/>
      </c>
      <c r="FL513">
        <f>IF($EY513="row",INDEX($DV$5:$DV$1003,$EX513),"")</f>
        <v/>
      </c>
      <c r="FM513">
        <f>IF($EY513="row",INDEX($DW$5:$DW$1003,$EX513),"")</f>
        <v/>
      </c>
      <c r="FN513">
        <f>IF($EY513="row",INDEX($DY$5:$DY$1003,$EX513),"")</f>
        <v/>
      </c>
      <c r="FO513">
        <f>IF($EY513="row",INDEX($EA$5:$EA$1003,$EX513),"")</f>
        <v/>
      </c>
      <c r="FP513">
        <f>IF($EY513="row",INDEX($EC$5:$EC$1003,$EX513),"")</f>
        <v/>
      </c>
      <c r="FQ513">
        <f>IF($EY513="row",INDEX($ET$5:$ET$1003,$EX513),"")</f>
        <v/>
      </c>
      <c r="FR513">
        <f>IF($EY513="row",INDEX($EU$5:$EU$1003,$EX513),"")</f>
        <v/>
      </c>
      <c r="FS513">
        <f>IF(AND($EY513="row",$EY512="row"),IF(OR(INDEX($DT$5:$DT$1003,$EX512)="",INDEX($DT$5:$DT$1003,$EX513)=""),"",IF(NOT(EXACT(INDEX($DT$5:$DT$1003,$EX512),INDEX($DT$5:$DT$1003,$EX513))),"S4",IF(NOT(EXACT(INDEX($DS$5:$DS$1003,$EX512),INDEX($DS$5:$DS$1003,$EX513))),"S3",IF(NOT(EXACT(INDEX($DR$5:$DR$1003,$EX512),INDEX($DR$5:$DR$1003,$EX513))),"S1 Count Change","S1")))),"")</f>
        <v/>
      </c>
      <c r="FT513">
        <f>IF($EY513="row",INDEX($ES$5:$ES$1003,$EX513),"")</f>
        <v/>
      </c>
      <c r="FU513">
        <f>IF($EY513="row",INDEX($EO$5:$EO$1003,$EX513),0)</f>
        <v/>
      </c>
      <c r="FV513">
        <f>IF($FS513="S1 Count Change",1,0)</f>
        <v/>
      </c>
    </row>
    <row r="514">
      <c r="DA514" t="n">
        <v>510</v>
      </c>
      <c r="DB514">
        <f>IF($B$37=0,"",IFERROR(TRIM(SUBSTITUTE(SUBSTITUTE(SUBSTITUTE(SUBSTITUTE(INDEX(PASTE_ALL,510,$B$37)," "," "),CHAR(9)," "),CHAR(10)," "),CHAR(13)," ")),""))</f>
        <v/>
      </c>
      <c r="DC514">
        <f>IF(AND(510&gt;HEADER_ROW,UPPER(DB514)="LEGEND"),1,0)</f>
        <v/>
      </c>
      <c r="DE514" t="n">
        <v>510</v>
      </c>
      <c r="DF514">
        <f>HEADER_ROW+$DE514</f>
        <v/>
      </c>
      <c r="DG514">
        <f>IF(AND($DF514&lt;=1000,$DF514&lt;$B$8),1,0)</f>
        <v/>
      </c>
      <c r="DH514">
        <f>IF($DG514=1,IFERROR(INDEX($DB$5:$DB$1004,$DF514),""),"")</f>
        <v/>
      </c>
      <c r="DI514">
        <f>IF(AND($DG514=1,$DH514&lt;&gt;""),IFERROR(SUBSTITUTE(SUBSTITUTE(TRIM(SUBSTITUTE(SUBSTITUTE(SUBSTITUTE(SUBSTITUTE(IFERROR(INDEX(PASTE_ALL,$DF514,1)&amp;"","")&amp;"␟"&amp;IFERROR(INDEX(PASTE_ALL,$DF514,2)&amp;"","")&amp;"␟"&amp;IFERROR(INDEX(PASTE_ALL,$DF514,3)&amp;"","")&amp;"␟"&amp;IFERROR(INDEX(PASTE_ALL,$DF514,4)&amp;"","")&amp;"␟"&amp;IFERROR(INDEX(PASTE_ALL,$DF514,5)&amp;"","")&amp;"␟"&amp;IFERROR(INDEX(PASTE_ALL,$DF514,6)&amp;"","")&amp;"␟"&amp;IFERROR(INDEX(PASTE_ALL,$DF514,7)&amp;"","")&amp;"␟"&amp;IFERROR(INDEX(PASTE_ALL,$DF514,8)&amp;"","")&amp;"␟"&amp;IFERROR(INDEX(PASTE_ALL,$DF514,9)&amp;"","")&amp;"␟"&amp;IFERROR(INDEX(PASTE_ALL,$DF514,10)&amp;"","")&amp;"␟"&amp;IFERROR(INDEX(PASTE_ALL,$DF514,11)&amp;"","")&amp;"␟"&amp;IFERROR(INDEX(PASTE_ALL,$DF514,12)&amp;"","")&amp;"␟"&amp;IFERROR(INDEX(PASTE_ALL,$DF514,13)&amp;"","")&amp;"␟"&amp;IFERROR(INDEX(PASTE_ALL,$DF514,14)&amp;"","")&amp;"␟"&amp;IFERROR(INDEX(PASTE_ALL,$DF514,15)&amp;"","")&amp;"␟"&amp;IFERROR(INDEX(PASTE_ALL,$DF514,16)&amp;"","")&amp;"␟"&amp;IFERROR(INDEX(PASTE_ALL,$DF514,17)&amp;"","")&amp;"␟"&amp;IFERROR(INDEX(PASTE_ALL,$DF514,18)&amp;"","")&amp;"␟"&amp;IFERROR(INDEX(PASTE_ALL,$DF514,19)&amp;"","")&amp;"␟"&amp;IFERROR(INDEX(PASTE_ALL,$DF514,20)&amp;"","")&amp;"␟"&amp;IFERROR(INDEX(PASTE_ALL,$DF514,21)&amp;"","")&amp;"␟"&amp;IFERROR(INDEX(PASTE_ALL,$DF514,22)&amp;"","")&amp;"␟"&amp;IFERROR(INDEX(PASTE_ALL,$DF514,23)&amp;"","")&amp;"␟"&amp;IFERROR(INDEX(PASTE_ALL,$DF514,24)&amp;"","")&amp;"␟"&amp;IFERROR(INDEX(PASTE_ALL,$DF514,25)&amp;"","")&amp;"␟"&amp;IFERROR(INDEX(PASTE_ALL,$DF514,26)&amp;"","")&amp;"␟"&amp;IFERROR(INDEX(PASTE_ALL,$DF514,27)&amp;"","")&amp;"␟"&amp;IFERROR(INDEX(PASTE_ALL,$DF514,28)&amp;"","")&amp;"␟"&amp;IFERROR(INDEX(PASTE_ALL,$DF514,29)&amp;"","")&amp;"␟"&amp;IFERROR(INDEX(PASTE_ALL,$DF514,30)&amp;"","")&amp;"␟"&amp;IFERROR(INDEX(PASTE_ALL,$DF514,31)&amp;"","")&amp;"␟"&amp;IFERROR(INDEX(PASTE_ALL,$DF514,32)&amp;"","")&amp;"␟"&amp;IFERROR(INDEX(PASTE_ALL,$DF514,33)&amp;"","")&amp;"␟"&amp;IFERROR(INDEX(PASTE_ALL,$DF514,34)&amp;"","")&amp;"␟"&amp;IFERROR(INDEX(PASTE_ALL,$DF514,35)&amp;"","")&amp;"␟"&amp;IFERROR(INDEX(PASTE_ALL,$DF514,36)&amp;"","")&amp;"␟"&amp;IFERROR(INDEX(PASTE_ALL,$DF514,37)&amp;"","")&amp;"␟"&amp;IFERROR(INDEX(PASTE_ALL,$DF514,38)&amp;"","")&amp;"␟"&amp;IFERROR(INDEX(PASTE_ALL,$DF514,39)&amp;"","")&amp;"␟"&amp;IFERROR(INDEX(PASTE_ALL,$DF514,40)&amp;"","")&amp;"␟"&amp;IFERROR(INDEX(PASTE_ALL,$DF514,41)&amp;"","")&amp;"␟"&amp;IFERROR(INDEX(PASTE_ALL,$DF514,42)&amp;"","")&amp;"␟"&amp;IFERROR(INDEX(PASTE_ALL,$DF514,43)&amp;"","")&amp;"␟"&amp;IFERROR(INDEX(PASTE_ALL,$DF514,44)&amp;"","")&amp;"␟"&amp;IFERROR(INDEX(PASTE_ALL,$DF514,45)&amp;"","")&amp;"␟"&amp;IFERROR(INDEX(PASTE_ALL,$DF514,46)&amp;"","")&amp;"␟"&amp;IFERROR(INDEX(PASTE_ALL,$DF514,47)&amp;"","")&amp;"␟"&amp;IFERROR(INDEX(PASTE_ALL,$DF514,48)&amp;"","")&amp;"␟"&amp;IFERROR(INDEX(PASTE_ALL,$DF514,49)&amp;"","")&amp;"␟"&amp;IFERROR(INDEX(PASTE_ALL,$DF514,50)&amp;"","")&amp;"␟"&amp;IFERROR(INDEX(PASTE_ALL,$DF514,51)&amp;"","")&amp;"␟"&amp;IFERROR(INDEX(PASTE_ALL,$DF514,52)&amp;"","")&amp;"␟"&amp;IFERROR(INDEX(PASTE_ALL,$DF514,53)&amp;"","")&amp;"␟"&amp;IFERROR(INDEX(PASTE_ALL,$DF514,54)&amp;"","")&amp;"␟"&amp;IFERROR(INDEX(PASTE_ALL,$DF514,55)&amp;"","")&amp;"␟"&amp;IFERROR(INDEX(PASTE_ALL,$DF514,56)&amp;"","")&amp;"␟"&amp;IFERROR(INDEX(PASTE_ALL,$DF514,57)&amp;"","")&amp;"␟"&amp;IFERROR(INDEX(PASTE_ALL,$DF514,58)&amp;"","")&amp;"␟"&amp;IFERROR(INDEX(PASTE_ALL,$DF514,59)&amp;"","")&amp;"␟"&amp;IFERROR(INDEX(PASTE_ALL,$DF514,60)&amp;"","")," "," "),CHAR(9)," "),CHAR(10)," "),CHAR(13)," "))," ␟","␟"),"␟ ","␟"),"#"&amp;$DE514),"")</f>
        <v/>
      </c>
      <c r="DJ514">
        <f>IF($DI514="",0,IF(SUMPRODUCT(--EXACT($DI$4:DI513,$DI514))&gt;0,1,0))</f>
        <v/>
      </c>
      <c r="DK514">
        <f>IF(AND($DI514&lt;&gt;"",$DJ514=0),1,0)</f>
        <v/>
      </c>
      <c r="DL514">
        <f>DL513+$DK514</f>
        <v/>
      </c>
      <c r="DM514">
        <f>IF(AND($DK514=1,$DL514&lt;=600),1,0)</f>
        <v/>
      </c>
      <c r="DN514">
        <f>IF($DM514=0,"",IF($L$6=0,"",IFERROR(IF(ISNUMBER(INDEX(PASTE_ALL,$DF514,$L$6)),INDEX(PASTE_ALL,$DF514,$L$6),TRIM(SUBSTITUTE(SUBSTITUTE(SUBSTITUTE(SUBSTITUTE(INDEX(PASTE_ALL,$DF514,$L$6)," "," "),CHAR(9)," "),CHAR(10)," "),CHAR(13)," "))),"")))</f>
        <v/>
      </c>
      <c r="DO514">
        <f>IF($DM514=0,"",IF($L$7=0,"",IFERROR(IF(ISNUMBER(INDEX(PASTE_ALL,$DF514,$L$7)),INDEX(PASTE_ALL,$DF514,$L$7),TRIM(SUBSTITUTE(SUBSTITUTE(SUBSTITUTE(SUBSTITUTE(INDEX(PASTE_ALL,$DF514,$L$7)," "," "),CHAR(9)," "),CHAR(10)," "),CHAR(13)," "))),"")))</f>
        <v/>
      </c>
      <c r="DP514">
        <f>IF($DM514=0,"",IF($L$8=0,"",IFERROR(IF(ISNUMBER(INDEX(PASTE_ALL,$DF514,$L$8)),INDEX(PASTE_ALL,$DF514,$L$8),TRIM(SUBSTITUTE(SUBSTITUTE(SUBSTITUTE(SUBSTITUTE(INDEX(PASTE_ALL,$DF514,$L$8)," "," "),CHAR(9)," "),CHAR(10)," "),CHAR(13)," "))),"")))</f>
        <v/>
      </c>
      <c r="DQ514">
        <f>IF($DM514=0,"",IF($L$9=0,"",IFERROR(IF(ISNUMBER(INDEX(PASTE_ALL,$DF514,$L$9)),INDEX(PASTE_ALL,$DF514,$L$9),TRIM(SUBSTITUTE(SUBSTITUTE(SUBSTITUTE(SUBSTITUTE(INDEX(PASTE_ALL,$DF514,$L$9)," "," "),CHAR(9)," "),CHAR(10)," "),CHAR(13)," "))),"")))</f>
        <v/>
      </c>
      <c r="DR514">
        <f>IF($DM514=0,"",IF($L$10=0,"",IFERROR(IF(ISNUMBER(INDEX(PASTE_ALL,$DF514,$L$10)),INDEX(PASTE_ALL,$DF514,$L$10),TRIM(SUBSTITUTE(SUBSTITUTE(SUBSTITUTE(SUBSTITUTE(INDEX(PASTE_ALL,$DF514,$L$10)," "," "),CHAR(9)," "),CHAR(10)," "),CHAR(13)," "))),"")))</f>
        <v/>
      </c>
      <c r="DS514">
        <f>IF($DM514=0,"",IF($L$11=0,"",IFERROR(IF(ISNUMBER(INDEX(PASTE_ALL,$DF514,$L$11)),INDEX(PASTE_ALL,$DF514,$L$11),TRIM(SUBSTITUTE(SUBSTITUTE(SUBSTITUTE(SUBSTITUTE(INDEX(PASTE_ALL,$DF514,$L$11)," "," "),CHAR(9)," "),CHAR(10)," "),CHAR(13)," "))),"")))</f>
        <v/>
      </c>
      <c r="DT514">
        <f>IF($DM514=0,"",IF($L$12=0,"",IFERROR(IF(ISNUMBER(INDEX(PASTE_ALL,$DF514,$L$12)),INDEX(PASTE_ALL,$DF514,$L$12),TRIM(SUBSTITUTE(SUBSTITUTE(SUBSTITUTE(SUBSTITUTE(INDEX(PASTE_ALL,$DF514,$L$12)," "," "),CHAR(9)," "),CHAR(10)," "),CHAR(13)," "))),"")))</f>
        <v/>
      </c>
      <c r="DU514">
        <f>IF($DM514=0,"",IF($L$13=0,"",IFERROR(IF(ISNUMBER(INDEX(PASTE_ALL,$DF514,$L$13)),INDEX(PASTE_ALL,$DF514,$L$13),TRIM(SUBSTITUTE(SUBSTITUTE(SUBSTITUTE(SUBSTITUTE(INDEX(PASTE_ALL,$DF514,$L$13)," "," "),CHAR(9)," "),CHAR(10)," "),CHAR(13)," "))),"")))</f>
        <v/>
      </c>
      <c r="DV514">
        <f>IF($DM514=0,"",IF($L$14=0,"",IFERROR(IF(ISNUMBER(INDEX(PASTE_ALL,$DF514,$L$14)),INDEX(PASTE_ALL,$DF514,$L$14),TRIM(SUBSTITUTE(SUBSTITUTE(SUBSTITUTE(SUBSTITUTE(INDEX(PASTE_ALL,$DF514,$L$14)," "," "),CHAR(9)," "),CHAR(10)," "),CHAR(13)," "))),"")))</f>
        <v/>
      </c>
      <c r="DW514">
        <f>IF($DM514=0,"",IF($L$15=0,"",IFERROR(IF(ISNUMBER(INDEX(PASTE_ALL,$DF514,$L$15)),INDEX(PASTE_ALL,$DF514,$L$15),IF(SUMPRODUCT(--ISNUMBER(FIND({"A","B","C","D","E","F","G","H","I","J","K","L","M","N","O","P","Q","R","S","T","U","V","W","X","Y","Z","0","1","2","3","4","5","6","7","8","9"},UPPER(TRIM(SUBSTITUTE(SUBSTITUTE(SUBSTITUTE(SUBSTITUTE(INDEX(PASTE_ALL,$DF514,$L$15)," "," "),CHAR(9)," "),CHAR(10)," "),CHAR(13)," "))))))&gt;0,TRIM(SUBSTITUTE(SUBSTITUTE(SUBSTITUTE(SUBSTITUTE(INDEX(PASTE_ALL,$DF514,$L$15)," "," "),CHAR(9)," "),CHAR(10)," "),CHAR(13)," ")),"")),"")))</f>
        <v/>
      </c>
      <c r="DX514">
        <f>IF($DM514=0,"",IF($L$16=0,"",IFERROR(IF(ISNUMBER(INDEX(PASTE_ALL,$DF514,$L$16)),INDEX(PASTE_ALL,$DF514,$L$16),SUBSTITUTE(SUBSTITUTE(TRIM(SUBSTITUTE(SUBSTITUTE(SUBSTITUTE(SUBSTITUTE(INDEX(PASTE_ALL,$DF514,$L$16)," "," "),CHAR(9)," "),CHAR(10)," "),CHAR(13)," ")),",",""),"%","")),"")))</f>
        <v/>
      </c>
      <c r="DY514">
        <f>IF($DM514=0,"",IFERROR(IF(ISNUMBER($DX514),$DX514,IF($DX514="","",IF(TRIM($DX514)="",0,IF(AND(AND(SUBSTITUTE(SUBSTITUTE(SUBSTITUTE(SUBSTITUTE(SUBSTITUTE(SUBSTITUTE(SUBSTITUTE(SUBSTITUTE(SUBSTITUTE(SUBSTITUTE(SUBSTITUTE(SUBSTITUTE(SUBSTITUTE(SUBSTITUTE(UPPER(TRIM($DX514)),"0",""),"1",""),"2",""),"3",""),"4",""),"5",""),"6",""),"7",""),"8",""),"9",""),".",""),"+",""),"-",""),"E","")="",LEN(SUBSTITUTE(SUBSTITUTE(MID(UPPER(TRIM($DX514)),1+OR(LEFT(UPPER(TRIM($DX514)),1)="+",LEFT(UPPER(TRIM($DX514)),1)="-"),999),"E+","E"),"E-","E"))=LEN(SUBSTITUTE(SUBSTITUTE(SUBSTITUTE(SUBSTITUTE(MID(UPPER(TRIM($DX514)),1+OR(LEFT(UPPER(TRIM($DX514)),1)="+",LEFT(UPPER(TRIM($DX514)),1)="-"),999),"E+","E"),"E-","E"),"+",""),"-","")),LEN(UPPER(TRIM($DX514)))-LEN(SUBSTITUTE(UPPER(TRIM($DX514)),"E",""))&lt;2,LEN(UPPER(TRIM($DX514)))-LEN(SUBSTITUTE(UPPER(TRIM($DX514)),".",""))&lt;2,IFERROR(FIND(".",UPPER(TRIM($DX514))),0)&lt;IFERROR(FIND("E",UPPER(TRIM($DX514))),999)),ISNUMBER(VALUE(TRIM($DX514)))),VALUE(TRIM($DX514)),"")))),""))</f>
        <v/>
      </c>
      <c r="DZ514">
        <f>IF($DM514=0,"",IF($L$17=0,"",IFERROR(IF(ISNUMBER(INDEX(PASTE_ALL,$DF514,$L$17)),INDEX(PASTE_ALL,$DF514,$L$17),SUBSTITUTE(SUBSTITUTE(TRIM(SUBSTITUTE(SUBSTITUTE(SUBSTITUTE(SUBSTITUTE(INDEX(PASTE_ALL,$DF514,$L$17)," "," "),CHAR(9)," "),CHAR(10)," "),CHAR(13)," ")),",",""),"%","")),"")))</f>
        <v/>
      </c>
      <c r="EA514">
        <f>IF($DM514=0,"",IFERROR(IF(ISNUMBER($DZ514),$DZ514,IF($DZ514="","",IF(TRIM($DZ514)="",0,IF(AND(AND(SUBSTITUTE(SUBSTITUTE(SUBSTITUTE(SUBSTITUTE(SUBSTITUTE(SUBSTITUTE(SUBSTITUTE(SUBSTITUTE(SUBSTITUTE(SUBSTITUTE(SUBSTITUTE(SUBSTITUTE(SUBSTITUTE(SUBSTITUTE(UPPER(TRIM($DZ514)),"0",""),"1",""),"2",""),"3",""),"4",""),"5",""),"6",""),"7",""),"8",""),"9",""),".",""),"+",""),"-",""),"E","")="",LEN(SUBSTITUTE(SUBSTITUTE(MID(UPPER(TRIM($DZ514)),1+OR(LEFT(UPPER(TRIM($DZ514)),1)="+",LEFT(UPPER(TRIM($DZ514)),1)="-"),999),"E+","E"),"E-","E"))=LEN(SUBSTITUTE(SUBSTITUTE(SUBSTITUTE(SUBSTITUTE(MID(UPPER(TRIM($DZ514)),1+OR(LEFT(UPPER(TRIM($DZ514)),1)="+",LEFT(UPPER(TRIM($DZ514)),1)="-"),999),"E+","E"),"E-","E"),"+",""),"-","")),LEN(UPPER(TRIM($DZ514)))-LEN(SUBSTITUTE(UPPER(TRIM($DZ514)),"E",""))&lt;2,LEN(UPPER(TRIM($DZ514)))-LEN(SUBSTITUTE(UPPER(TRIM($DZ514)),".",""))&lt;2,IFERROR(FIND(".",UPPER(TRIM($DZ514))),0)&lt;IFERROR(FIND("E",UPPER(TRIM($DZ514))),999)),ISNUMBER(VALUE(TRIM($DZ514)))),VALUE(TRIM($DZ514)),"")))),""))</f>
        <v/>
      </c>
      <c r="EB514">
        <f>IF($DM514=0,"",IF($L$18=0,"",IFERROR(IF(UPPER(TRIM(SUBSTITUTE(SUBSTITUTE(SUBSTITUTE(SUBSTITUTE(INDEX(PASTE_ALL,$DF514,$L$18)," "," "),CHAR(9)," "),CHAR(10)," "),CHAR(13)," ")))="READY","Ready",IF(UPPER(TRIM(SUBSTITUTE(SUBSTITUTE(SUBSTITUTE(SUBSTITUTE(INDEX(PASTE_ALL,$DF514,$L$18)," "," "),CHAR(9)," "),CHAR(10)," "),CHAR(13)," ")))="PM","PM",IF(OR(UPPER(TRIM(SUBSTITUTE(SUBSTITUTE(SUBSTITUTE(SUBSTITUTE(INDEX(PASTE_ALL,$DF514,$L$18)," "," "),CHAR(9)," "),CHAR(10)," "),CHAR(13)," ")))="OT",UPPER(TRIM(SUBSTITUTE(SUBSTITUTE(SUBSTITUTE(SUBSTITUTE(INDEX(PASTE_ALL,$DF514,$L$18)," "," "),CHAR(9)," "),CHAR(10)," "),CHAR(13)," ")))="OVERTIME",UPPER(TRIM(SUBSTITUTE(SUBSTITUTE(SUBSTITUTE(SUBSTITUTE(INDEX(PASTE_ALL,$DF514,$L$18)," "," "),CHAR(9)," "),CHAR(10)," "),CHAR(13)," ")))="TRIAL"),"OT",TRIM(SUBSTITUTE(SUBSTITUTE(SUBSTITUTE(SUBSTITUTE(INDEX(PASTE_ALL,$DF514,$L$18)," "," "),CHAR(9)," "),CHAR(10)," "),CHAR(13)," "))))),"")))</f>
        <v/>
      </c>
      <c r="EC514">
        <f>IF($DM514=0,"",IF($L$19=0,"",IFERROR(IF(ISNUMBER(INDEX(PASTE_ALL,$DF514,$L$19)),INDEX(PASTE_ALL,$DF514,$L$19),TRIM(SUBSTITUTE(SUBSTITUTE(SUBSTITUTE(SUBSTITUTE(INDEX(PASTE_ALL,$DF514,$L$19)," "," "),CHAR(9)," "),CHAR(10)," "),CHAR(13)," "))),"")))</f>
        <v/>
      </c>
      <c r="ED514">
        <f>IF($DM514=0,"",MATCH(1,INDEX(EXACT($DH$5:DH514,$DH514)*$DM$5:DM514,0),0))</f>
        <v/>
      </c>
      <c r="EE514">
        <f>IF($DM514=0,0,IF($ED514=$DE514,1,0))</f>
        <v/>
      </c>
      <c r="EF514">
        <f>EF513+$EE514</f>
        <v/>
      </c>
      <c r="EG514">
        <f>IF($DM514=0,"",INDEX($EF$5:$EF$1003,$ED514))</f>
        <v/>
      </c>
      <c r="EH514">
        <f>IF($DM514=0,"",IF($DO514&lt;&gt;"","",IFERROR(LOOKUP(2,1/(($EG$4:EG513=$EG514)*($DO$4:DO513&lt;&gt;"")),$DO$4:DO513),"")))</f>
        <v/>
      </c>
      <c r="EI514">
        <f>IF($DM514=0,"",IF($DO514&lt;&gt;"",$DO514,$EH514))</f>
        <v/>
      </c>
      <c r="EJ514">
        <f>IF($DM514=0,"",IF($EI514="",0,IF(OR(ISNUMBER($EI514),AND(AND(SUBSTITUTE(SUBSTITUTE(SUBSTITUTE(SUBSTITUTE(SUBSTITUTE(SUBSTITUTE(SUBSTITUTE(SUBSTITUTE(SUBSTITUTE(SUBSTITUTE(SUBSTITUTE(SUBSTITUTE(SUBSTITUTE(SUBSTITUTE(UPPER($EI514),"0",""),"1",""),"2",""),"3",""),"4",""),"5",""),"6",""),"7",""),"8",""),"9",""),".",""),"+",""),"-",""),"E","")="",LEN(SUBSTITUTE(SUBSTITUTE(MID(UPPER($EI514),1+OR(LEFT(UPPER($EI514),1)="+",LEFT(UPPER($EI514),1)="-"),999),"E+","E"),"E-","E"))=LEN(SUBSTITUTE(SUBSTITUTE(SUBSTITUTE(SUBSTITUTE(MID(UPPER($EI514),1+OR(LEFT(UPPER($EI514),1)="+",LEFT(UPPER($EI514),1)="-"),999),"E+","E"),"E-","E"),"+",""),"-","")),LEN(UPPER($EI514))-LEN(SUBSTITUTE(UPPER($EI514),"E",""))&lt;2,LEN(UPPER($EI514))-LEN(SUBSTITUTE(UPPER($EI514),".",""))&lt;2,IFERROR(FIND(".",UPPER($EI514)),0)&lt;IFERROR(FIND("E",UPPER($EI514)),999)),ISNUMBER(VALUE($EI514)))),1,2)))</f>
        <v/>
      </c>
      <c r="EK514">
        <f>IF($DM514=0,"",IF($EJ514=1,IF(ISNUMBER($EI514),$EI514,VALUE($EI514)),IF($EJ514=2,$DE514,0)))</f>
        <v/>
      </c>
      <c r="EL514">
        <f>IF($DM514=0,"",COUNTIF($EG$5:$EG$1003,"&lt;"&amp;$EG514)+SUMPRODUCT(($EG$5:$EG$1003=$EG514)*(($EJ$5:$EJ$1003&lt;$EJ514)+($EJ$5:$EJ$1003=$EJ514)*(($EK$5:$EK$1003&lt;$EK514)+($EK$5:$EK$1003=$EK514)*($DE$5:$DE$1003&lt;$DE514))))+1)</f>
        <v/>
      </c>
      <c r="EM514">
        <f>IF($DM514=0,"",$EL514+$EG514-1)</f>
        <v/>
      </c>
      <c r="EN514">
        <f>IF($DM514=0,0,IFERROR(MATCH(1,INDEX(--(TRIM(SUBSTITUTE(SUBSTITUTE(SUBSTITUTE(SUBSTITUTE(LINES_NAME&amp;""," "," "),CHAR(9)," "),CHAR(10)," "),CHAR(13)," "))=$DH514),0),0),0))</f>
        <v/>
      </c>
      <c r="EO514">
        <f>IF($EN514=0,0,IF(OR(UPPER(TRIM(INDEX(LINES_SCHEDULED,$EN514)&amp;""))="YES",UPPER(TRIM(INDEX(LINES_SCHEDULED,$EN514)&amp;""))="Y",UPPER(TRIM(INDEX(LINES_SCHEDULED,$EN514)&amp;""))="X"),1,0))</f>
        <v/>
      </c>
      <c r="EP514">
        <f>IF($DM514=0,"",IF(COUNTIFS($EG$5:$EG$1003,$EG514,$EB$5:$EB$1003,"Ready")&gt;0,"READY",IF(COUNTIFS($EG$5:$EG$1003,$EG514,$EB$5:$EB$1003,"PM")&gt;0,"PM",IF(COUNTIFS($EG$5:$EG$1003,$EG514,$EB$5:$EB$1003,"OT")&gt;0,"OT",""))))</f>
        <v/>
      </c>
      <c r="EQ514">
        <f>IF($EN514=0,"",UPPER(TRIM(INDEX(LINES_STATUS,$EN514)&amp;"")))</f>
        <v/>
      </c>
      <c r="ER514">
        <f>IF($DM514=0,"",IF(OR($EQ514="READY",$EQ514="PM",$EQ514="OT"),$EQ514,$EP514))</f>
        <v/>
      </c>
      <c r="ES514">
        <f>IF($DM514=0,"",IF(AND($DV514&lt;&gt;"",UPPER($DV514)&lt;&gt;"N"),"allergen",IF(ISNUMBER(SEARCH("oil",$DQ514)),"oil",IF(OR(EXACT($DS514,"A662"),EXACT($DS514,"A624")),"bulk",""))))</f>
        <v/>
      </c>
      <c r="ET514">
        <f>IF($DM514=0,"",IF(OR($EA514="",$EA514=0),"",$EA514/100))</f>
        <v/>
      </c>
      <c r="EU514">
        <f>IF(OR($ET514="",$DY514=""),"",INT($DY514*(1-$ET514)+0.5))</f>
        <v/>
      </c>
      <c r="EW514" t="n">
        <v>510</v>
      </c>
      <c r="EX514">
        <f>IFERROR(MATCH($EW514,$EM$5:$EM$1003,0),0)</f>
        <v/>
      </c>
      <c r="EY514">
        <f>IF($EW514&gt;$B$12,"",IF($EX514&gt;0,"row","spacer"))</f>
        <v/>
      </c>
      <c r="EZ514">
        <f>IF(AND($EY514="row",$EY513&lt;&gt;"row"),1,0)</f>
        <v/>
      </c>
      <c r="FA514">
        <f>IF(AND($EY514="row",$EY515&lt;&gt;"row"),1,0)</f>
        <v/>
      </c>
      <c r="FB514">
        <f>IF($EZ514=1,IFERROR(IF(ISNUMBER(INDEX(PASTE_ALL,INDEX($DF$5:$DF$1003,$EX514),$B$37)),INDEX(PASTE_ALL,INDEX($DF$5:$DF$1003,$EX514),$B$37),INDEX($DH$5:$DH$1003,$EX514)),INDEX($DH$5:$DH$1003,$EX514)),"")</f>
        <v/>
      </c>
      <c r="FC514">
        <f>IF($EY514="row",INDEX($ER$5:$ER$1003,$EX514),"")</f>
        <v/>
      </c>
      <c r="FD514">
        <f>IF($EY514="row",INDEX($DN$5:$DN$1003,$EX514),"")</f>
        <v/>
      </c>
      <c r="FE514">
        <f>IF($EY514="row",INDEX($DO$5:$DO$1003,$EX514),"")</f>
        <v/>
      </c>
      <c r="FF514">
        <f>IF($EY514="row",INDEX($DP$5:$DP$1003,$EX514),"")</f>
        <v/>
      </c>
      <c r="FG514">
        <f>IF($EY514="row",INDEX($DQ$5:$DQ$1003,$EX514),"")</f>
        <v/>
      </c>
      <c r="FH514">
        <f>IF($EY514="row",INDEX($DR$5:$DR$1003,$EX514),"")</f>
        <v/>
      </c>
      <c r="FI514">
        <f>IF($EY514="row",INDEX($DS$5:$DS$1003,$EX514),"")</f>
        <v/>
      </c>
      <c r="FJ514">
        <f>IF($EY514="row",INDEX($DT$5:$DT$1003,$EX514),"")</f>
        <v/>
      </c>
      <c r="FK514">
        <f>IF($EY514="row",INDEX($DU$5:$DU$1003,$EX514),"")</f>
        <v/>
      </c>
      <c r="FL514">
        <f>IF($EY514="row",INDEX($DV$5:$DV$1003,$EX514),"")</f>
        <v/>
      </c>
      <c r="FM514">
        <f>IF($EY514="row",INDEX($DW$5:$DW$1003,$EX514),"")</f>
        <v/>
      </c>
      <c r="FN514">
        <f>IF($EY514="row",INDEX($DY$5:$DY$1003,$EX514),"")</f>
        <v/>
      </c>
      <c r="FO514">
        <f>IF($EY514="row",INDEX($EA$5:$EA$1003,$EX514),"")</f>
        <v/>
      </c>
      <c r="FP514">
        <f>IF($EY514="row",INDEX($EC$5:$EC$1003,$EX514),"")</f>
        <v/>
      </c>
      <c r="FQ514">
        <f>IF($EY514="row",INDEX($ET$5:$ET$1003,$EX514),"")</f>
        <v/>
      </c>
      <c r="FR514">
        <f>IF($EY514="row",INDEX($EU$5:$EU$1003,$EX514),"")</f>
        <v/>
      </c>
      <c r="FS514">
        <f>IF(AND($EY514="row",$EY513="row"),IF(OR(INDEX($DT$5:$DT$1003,$EX513)="",INDEX($DT$5:$DT$1003,$EX514)=""),"",IF(NOT(EXACT(INDEX($DT$5:$DT$1003,$EX513),INDEX($DT$5:$DT$1003,$EX514))),"S4",IF(NOT(EXACT(INDEX($DS$5:$DS$1003,$EX513),INDEX($DS$5:$DS$1003,$EX514))),"S3",IF(NOT(EXACT(INDEX($DR$5:$DR$1003,$EX513),INDEX($DR$5:$DR$1003,$EX514))),"S1 Count Change","S1")))),"")</f>
        <v/>
      </c>
      <c r="FT514">
        <f>IF($EY514="row",INDEX($ES$5:$ES$1003,$EX514),"")</f>
        <v/>
      </c>
      <c r="FU514">
        <f>IF($EY514="row",INDEX($EO$5:$EO$1003,$EX514),0)</f>
        <v/>
      </c>
      <c r="FV514">
        <f>IF($FS514="S1 Count Change",1,0)</f>
        <v/>
      </c>
    </row>
    <row r="515">
      <c r="DA515" t="n">
        <v>511</v>
      </c>
      <c r="DB515">
        <f>IF($B$37=0,"",IFERROR(TRIM(SUBSTITUTE(SUBSTITUTE(SUBSTITUTE(SUBSTITUTE(INDEX(PASTE_ALL,511,$B$37)," "," "),CHAR(9)," "),CHAR(10)," "),CHAR(13)," ")),""))</f>
        <v/>
      </c>
      <c r="DC515">
        <f>IF(AND(511&gt;HEADER_ROW,UPPER(DB515)="LEGEND"),1,0)</f>
        <v/>
      </c>
      <c r="DE515" t="n">
        <v>511</v>
      </c>
      <c r="DF515">
        <f>HEADER_ROW+$DE515</f>
        <v/>
      </c>
      <c r="DG515">
        <f>IF(AND($DF515&lt;=1000,$DF515&lt;$B$8),1,0)</f>
        <v/>
      </c>
      <c r="DH515">
        <f>IF($DG515=1,IFERROR(INDEX($DB$5:$DB$1004,$DF515),""),"")</f>
        <v/>
      </c>
      <c r="DI515">
        <f>IF(AND($DG515=1,$DH515&lt;&gt;""),IFERROR(SUBSTITUTE(SUBSTITUTE(TRIM(SUBSTITUTE(SUBSTITUTE(SUBSTITUTE(SUBSTITUTE(IFERROR(INDEX(PASTE_ALL,$DF515,1)&amp;"","")&amp;"␟"&amp;IFERROR(INDEX(PASTE_ALL,$DF515,2)&amp;"","")&amp;"␟"&amp;IFERROR(INDEX(PASTE_ALL,$DF515,3)&amp;"","")&amp;"␟"&amp;IFERROR(INDEX(PASTE_ALL,$DF515,4)&amp;"","")&amp;"␟"&amp;IFERROR(INDEX(PASTE_ALL,$DF515,5)&amp;"","")&amp;"␟"&amp;IFERROR(INDEX(PASTE_ALL,$DF515,6)&amp;"","")&amp;"␟"&amp;IFERROR(INDEX(PASTE_ALL,$DF515,7)&amp;"","")&amp;"␟"&amp;IFERROR(INDEX(PASTE_ALL,$DF515,8)&amp;"","")&amp;"␟"&amp;IFERROR(INDEX(PASTE_ALL,$DF515,9)&amp;"","")&amp;"␟"&amp;IFERROR(INDEX(PASTE_ALL,$DF515,10)&amp;"","")&amp;"␟"&amp;IFERROR(INDEX(PASTE_ALL,$DF515,11)&amp;"","")&amp;"␟"&amp;IFERROR(INDEX(PASTE_ALL,$DF515,12)&amp;"","")&amp;"␟"&amp;IFERROR(INDEX(PASTE_ALL,$DF515,13)&amp;"","")&amp;"␟"&amp;IFERROR(INDEX(PASTE_ALL,$DF515,14)&amp;"","")&amp;"␟"&amp;IFERROR(INDEX(PASTE_ALL,$DF515,15)&amp;"","")&amp;"␟"&amp;IFERROR(INDEX(PASTE_ALL,$DF515,16)&amp;"","")&amp;"␟"&amp;IFERROR(INDEX(PASTE_ALL,$DF515,17)&amp;"","")&amp;"␟"&amp;IFERROR(INDEX(PASTE_ALL,$DF515,18)&amp;"","")&amp;"␟"&amp;IFERROR(INDEX(PASTE_ALL,$DF515,19)&amp;"","")&amp;"␟"&amp;IFERROR(INDEX(PASTE_ALL,$DF515,20)&amp;"","")&amp;"␟"&amp;IFERROR(INDEX(PASTE_ALL,$DF515,21)&amp;"","")&amp;"␟"&amp;IFERROR(INDEX(PASTE_ALL,$DF515,22)&amp;"","")&amp;"␟"&amp;IFERROR(INDEX(PASTE_ALL,$DF515,23)&amp;"","")&amp;"␟"&amp;IFERROR(INDEX(PASTE_ALL,$DF515,24)&amp;"","")&amp;"␟"&amp;IFERROR(INDEX(PASTE_ALL,$DF515,25)&amp;"","")&amp;"␟"&amp;IFERROR(INDEX(PASTE_ALL,$DF515,26)&amp;"","")&amp;"␟"&amp;IFERROR(INDEX(PASTE_ALL,$DF515,27)&amp;"","")&amp;"␟"&amp;IFERROR(INDEX(PASTE_ALL,$DF515,28)&amp;"","")&amp;"␟"&amp;IFERROR(INDEX(PASTE_ALL,$DF515,29)&amp;"","")&amp;"␟"&amp;IFERROR(INDEX(PASTE_ALL,$DF515,30)&amp;"","")&amp;"␟"&amp;IFERROR(INDEX(PASTE_ALL,$DF515,31)&amp;"","")&amp;"␟"&amp;IFERROR(INDEX(PASTE_ALL,$DF515,32)&amp;"","")&amp;"␟"&amp;IFERROR(INDEX(PASTE_ALL,$DF515,33)&amp;"","")&amp;"␟"&amp;IFERROR(INDEX(PASTE_ALL,$DF515,34)&amp;"","")&amp;"␟"&amp;IFERROR(INDEX(PASTE_ALL,$DF515,35)&amp;"","")&amp;"␟"&amp;IFERROR(INDEX(PASTE_ALL,$DF515,36)&amp;"","")&amp;"␟"&amp;IFERROR(INDEX(PASTE_ALL,$DF515,37)&amp;"","")&amp;"␟"&amp;IFERROR(INDEX(PASTE_ALL,$DF515,38)&amp;"","")&amp;"␟"&amp;IFERROR(INDEX(PASTE_ALL,$DF515,39)&amp;"","")&amp;"␟"&amp;IFERROR(INDEX(PASTE_ALL,$DF515,40)&amp;"","")&amp;"␟"&amp;IFERROR(INDEX(PASTE_ALL,$DF515,41)&amp;"","")&amp;"␟"&amp;IFERROR(INDEX(PASTE_ALL,$DF515,42)&amp;"","")&amp;"␟"&amp;IFERROR(INDEX(PASTE_ALL,$DF515,43)&amp;"","")&amp;"␟"&amp;IFERROR(INDEX(PASTE_ALL,$DF515,44)&amp;"","")&amp;"␟"&amp;IFERROR(INDEX(PASTE_ALL,$DF515,45)&amp;"","")&amp;"␟"&amp;IFERROR(INDEX(PASTE_ALL,$DF515,46)&amp;"","")&amp;"␟"&amp;IFERROR(INDEX(PASTE_ALL,$DF515,47)&amp;"","")&amp;"␟"&amp;IFERROR(INDEX(PASTE_ALL,$DF515,48)&amp;"","")&amp;"␟"&amp;IFERROR(INDEX(PASTE_ALL,$DF515,49)&amp;"","")&amp;"␟"&amp;IFERROR(INDEX(PASTE_ALL,$DF515,50)&amp;"","")&amp;"␟"&amp;IFERROR(INDEX(PASTE_ALL,$DF515,51)&amp;"","")&amp;"␟"&amp;IFERROR(INDEX(PASTE_ALL,$DF515,52)&amp;"","")&amp;"␟"&amp;IFERROR(INDEX(PASTE_ALL,$DF515,53)&amp;"","")&amp;"␟"&amp;IFERROR(INDEX(PASTE_ALL,$DF515,54)&amp;"","")&amp;"␟"&amp;IFERROR(INDEX(PASTE_ALL,$DF515,55)&amp;"","")&amp;"␟"&amp;IFERROR(INDEX(PASTE_ALL,$DF515,56)&amp;"","")&amp;"␟"&amp;IFERROR(INDEX(PASTE_ALL,$DF515,57)&amp;"","")&amp;"␟"&amp;IFERROR(INDEX(PASTE_ALL,$DF515,58)&amp;"","")&amp;"␟"&amp;IFERROR(INDEX(PASTE_ALL,$DF515,59)&amp;"","")&amp;"␟"&amp;IFERROR(INDEX(PASTE_ALL,$DF515,60)&amp;"","")," "," "),CHAR(9)," "),CHAR(10)," "),CHAR(13)," "))," ␟","␟"),"␟ ","␟"),"#"&amp;$DE515),"")</f>
        <v/>
      </c>
      <c r="DJ515">
        <f>IF($DI515="",0,IF(SUMPRODUCT(--EXACT($DI$4:DI514,$DI515))&gt;0,1,0))</f>
        <v/>
      </c>
      <c r="DK515">
        <f>IF(AND($DI515&lt;&gt;"",$DJ515=0),1,0)</f>
        <v/>
      </c>
      <c r="DL515">
        <f>DL514+$DK515</f>
        <v/>
      </c>
      <c r="DM515">
        <f>IF(AND($DK515=1,$DL515&lt;=600),1,0)</f>
        <v/>
      </c>
      <c r="DN515">
        <f>IF($DM515=0,"",IF($L$6=0,"",IFERROR(IF(ISNUMBER(INDEX(PASTE_ALL,$DF515,$L$6)),INDEX(PASTE_ALL,$DF515,$L$6),TRIM(SUBSTITUTE(SUBSTITUTE(SUBSTITUTE(SUBSTITUTE(INDEX(PASTE_ALL,$DF515,$L$6)," "," "),CHAR(9)," "),CHAR(10)," "),CHAR(13)," "))),"")))</f>
        <v/>
      </c>
      <c r="DO515">
        <f>IF($DM515=0,"",IF($L$7=0,"",IFERROR(IF(ISNUMBER(INDEX(PASTE_ALL,$DF515,$L$7)),INDEX(PASTE_ALL,$DF515,$L$7),TRIM(SUBSTITUTE(SUBSTITUTE(SUBSTITUTE(SUBSTITUTE(INDEX(PASTE_ALL,$DF515,$L$7)," "," "),CHAR(9)," "),CHAR(10)," "),CHAR(13)," "))),"")))</f>
        <v/>
      </c>
      <c r="DP515">
        <f>IF($DM515=0,"",IF($L$8=0,"",IFERROR(IF(ISNUMBER(INDEX(PASTE_ALL,$DF515,$L$8)),INDEX(PASTE_ALL,$DF515,$L$8),TRIM(SUBSTITUTE(SUBSTITUTE(SUBSTITUTE(SUBSTITUTE(INDEX(PASTE_ALL,$DF515,$L$8)," "," "),CHAR(9)," "),CHAR(10)," "),CHAR(13)," "))),"")))</f>
        <v/>
      </c>
      <c r="DQ515">
        <f>IF($DM515=0,"",IF($L$9=0,"",IFERROR(IF(ISNUMBER(INDEX(PASTE_ALL,$DF515,$L$9)),INDEX(PASTE_ALL,$DF515,$L$9),TRIM(SUBSTITUTE(SUBSTITUTE(SUBSTITUTE(SUBSTITUTE(INDEX(PASTE_ALL,$DF515,$L$9)," "," "),CHAR(9)," "),CHAR(10)," "),CHAR(13)," "))),"")))</f>
        <v/>
      </c>
      <c r="DR515">
        <f>IF($DM515=0,"",IF($L$10=0,"",IFERROR(IF(ISNUMBER(INDEX(PASTE_ALL,$DF515,$L$10)),INDEX(PASTE_ALL,$DF515,$L$10),TRIM(SUBSTITUTE(SUBSTITUTE(SUBSTITUTE(SUBSTITUTE(INDEX(PASTE_ALL,$DF515,$L$10)," "," "),CHAR(9)," "),CHAR(10)," "),CHAR(13)," "))),"")))</f>
        <v/>
      </c>
      <c r="DS515">
        <f>IF($DM515=0,"",IF($L$11=0,"",IFERROR(IF(ISNUMBER(INDEX(PASTE_ALL,$DF515,$L$11)),INDEX(PASTE_ALL,$DF515,$L$11),TRIM(SUBSTITUTE(SUBSTITUTE(SUBSTITUTE(SUBSTITUTE(INDEX(PASTE_ALL,$DF515,$L$11)," "," "),CHAR(9)," "),CHAR(10)," "),CHAR(13)," "))),"")))</f>
        <v/>
      </c>
      <c r="DT515">
        <f>IF($DM515=0,"",IF($L$12=0,"",IFERROR(IF(ISNUMBER(INDEX(PASTE_ALL,$DF515,$L$12)),INDEX(PASTE_ALL,$DF515,$L$12),TRIM(SUBSTITUTE(SUBSTITUTE(SUBSTITUTE(SUBSTITUTE(INDEX(PASTE_ALL,$DF515,$L$12)," "," "),CHAR(9)," "),CHAR(10)," "),CHAR(13)," "))),"")))</f>
        <v/>
      </c>
      <c r="DU515">
        <f>IF($DM515=0,"",IF($L$13=0,"",IFERROR(IF(ISNUMBER(INDEX(PASTE_ALL,$DF515,$L$13)),INDEX(PASTE_ALL,$DF515,$L$13),TRIM(SUBSTITUTE(SUBSTITUTE(SUBSTITUTE(SUBSTITUTE(INDEX(PASTE_ALL,$DF515,$L$13)," "," "),CHAR(9)," "),CHAR(10)," "),CHAR(13)," "))),"")))</f>
        <v/>
      </c>
      <c r="DV515">
        <f>IF($DM515=0,"",IF($L$14=0,"",IFERROR(IF(ISNUMBER(INDEX(PASTE_ALL,$DF515,$L$14)),INDEX(PASTE_ALL,$DF515,$L$14),TRIM(SUBSTITUTE(SUBSTITUTE(SUBSTITUTE(SUBSTITUTE(INDEX(PASTE_ALL,$DF515,$L$14)," "," "),CHAR(9)," "),CHAR(10)," "),CHAR(13)," "))),"")))</f>
        <v/>
      </c>
      <c r="DW515">
        <f>IF($DM515=0,"",IF($L$15=0,"",IFERROR(IF(ISNUMBER(INDEX(PASTE_ALL,$DF515,$L$15)),INDEX(PASTE_ALL,$DF515,$L$15),IF(SUMPRODUCT(--ISNUMBER(FIND({"A","B","C","D","E","F","G","H","I","J","K","L","M","N","O","P","Q","R","S","T","U","V","W","X","Y","Z","0","1","2","3","4","5","6","7","8","9"},UPPER(TRIM(SUBSTITUTE(SUBSTITUTE(SUBSTITUTE(SUBSTITUTE(INDEX(PASTE_ALL,$DF515,$L$15)," "," "),CHAR(9)," "),CHAR(10)," "),CHAR(13)," "))))))&gt;0,TRIM(SUBSTITUTE(SUBSTITUTE(SUBSTITUTE(SUBSTITUTE(INDEX(PASTE_ALL,$DF515,$L$15)," "," "),CHAR(9)," "),CHAR(10)," "),CHAR(13)," ")),"")),"")))</f>
        <v/>
      </c>
      <c r="DX515">
        <f>IF($DM515=0,"",IF($L$16=0,"",IFERROR(IF(ISNUMBER(INDEX(PASTE_ALL,$DF515,$L$16)),INDEX(PASTE_ALL,$DF515,$L$16),SUBSTITUTE(SUBSTITUTE(TRIM(SUBSTITUTE(SUBSTITUTE(SUBSTITUTE(SUBSTITUTE(INDEX(PASTE_ALL,$DF515,$L$16)," "," "),CHAR(9)," "),CHAR(10)," "),CHAR(13)," ")),",",""),"%","")),"")))</f>
        <v/>
      </c>
      <c r="DY515">
        <f>IF($DM515=0,"",IFERROR(IF(ISNUMBER($DX515),$DX515,IF($DX515="","",IF(TRIM($DX515)="",0,IF(AND(AND(SUBSTITUTE(SUBSTITUTE(SUBSTITUTE(SUBSTITUTE(SUBSTITUTE(SUBSTITUTE(SUBSTITUTE(SUBSTITUTE(SUBSTITUTE(SUBSTITUTE(SUBSTITUTE(SUBSTITUTE(SUBSTITUTE(SUBSTITUTE(UPPER(TRIM($DX515)),"0",""),"1",""),"2",""),"3",""),"4",""),"5",""),"6",""),"7",""),"8",""),"9",""),".",""),"+",""),"-",""),"E","")="",LEN(SUBSTITUTE(SUBSTITUTE(MID(UPPER(TRIM($DX515)),1+OR(LEFT(UPPER(TRIM($DX515)),1)="+",LEFT(UPPER(TRIM($DX515)),1)="-"),999),"E+","E"),"E-","E"))=LEN(SUBSTITUTE(SUBSTITUTE(SUBSTITUTE(SUBSTITUTE(MID(UPPER(TRIM($DX515)),1+OR(LEFT(UPPER(TRIM($DX515)),1)="+",LEFT(UPPER(TRIM($DX515)),1)="-"),999),"E+","E"),"E-","E"),"+",""),"-","")),LEN(UPPER(TRIM($DX515)))-LEN(SUBSTITUTE(UPPER(TRIM($DX515)),"E",""))&lt;2,LEN(UPPER(TRIM($DX515)))-LEN(SUBSTITUTE(UPPER(TRIM($DX515)),".",""))&lt;2,IFERROR(FIND(".",UPPER(TRIM($DX515))),0)&lt;IFERROR(FIND("E",UPPER(TRIM($DX515))),999)),ISNUMBER(VALUE(TRIM($DX515)))),VALUE(TRIM($DX515)),"")))),""))</f>
        <v/>
      </c>
      <c r="DZ515">
        <f>IF($DM515=0,"",IF($L$17=0,"",IFERROR(IF(ISNUMBER(INDEX(PASTE_ALL,$DF515,$L$17)),INDEX(PASTE_ALL,$DF515,$L$17),SUBSTITUTE(SUBSTITUTE(TRIM(SUBSTITUTE(SUBSTITUTE(SUBSTITUTE(SUBSTITUTE(INDEX(PASTE_ALL,$DF515,$L$17)," "," "),CHAR(9)," "),CHAR(10)," "),CHAR(13)," ")),",",""),"%","")),"")))</f>
        <v/>
      </c>
      <c r="EA515">
        <f>IF($DM515=0,"",IFERROR(IF(ISNUMBER($DZ515),$DZ515,IF($DZ515="","",IF(TRIM($DZ515)="",0,IF(AND(AND(SUBSTITUTE(SUBSTITUTE(SUBSTITUTE(SUBSTITUTE(SUBSTITUTE(SUBSTITUTE(SUBSTITUTE(SUBSTITUTE(SUBSTITUTE(SUBSTITUTE(SUBSTITUTE(SUBSTITUTE(SUBSTITUTE(SUBSTITUTE(UPPER(TRIM($DZ515)),"0",""),"1",""),"2",""),"3",""),"4",""),"5",""),"6",""),"7",""),"8",""),"9",""),".",""),"+",""),"-",""),"E","")="",LEN(SUBSTITUTE(SUBSTITUTE(MID(UPPER(TRIM($DZ515)),1+OR(LEFT(UPPER(TRIM($DZ515)),1)="+",LEFT(UPPER(TRIM($DZ515)),1)="-"),999),"E+","E"),"E-","E"))=LEN(SUBSTITUTE(SUBSTITUTE(SUBSTITUTE(SUBSTITUTE(MID(UPPER(TRIM($DZ515)),1+OR(LEFT(UPPER(TRIM($DZ515)),1)="+",LEFT(UPPER(TRIM($DZ515)),1)="-"),999),"E+","E"),"E-","E"),"+",""),"-","")),LEN(UPPER(TRIM($DZ515)))-LEN(SUBSTITUTE(UPPER(TRIM($DZ515)),"E",""))&lt;2,LEN(UPPER(TRIM($DZ515)))-LEN(SUBSTITUTE(UPPER(TRIM($DZ515)),".",""))&lt;2,IFERROR(FIND(".",UPPER(TRIM($DZ515))),0)&lt;IFERROR(FIND("E",UPPER(TRIM($DZ515))),999)),ISNUMBER(VALUE(TRIM($DZ515)))),VALUE(TRIM($DZ515)),"")))),""))</f>
        <v/>
      </c>
      <c r="EB515">
        <f>IF($DM515=0,"",IF($L$18=0,"",IFERROR(IF(UPPER(TRIM(SUBSTITUTE(SUBSTITUTE(SUBSTITUTE(SUBSTITUTE(INDEX(PASTE_ALL,$DF515,$L$18)," "," "),CHAR(9)," "),CHAR(10)," "),CHAR(13)," ")))="READY","Ready",IF(UPPER(TRIM(SUBSTITUTE(SUBSTITUTE(SUBSTITUTE(SUBSTITUTE(INDEX(PASTE_ALL,$DF515,$L$18)," "," "),CHAR(9)," "),CHAR(10)," "),CHAR(13)," ")))="PM","PM",IF(OR(UPPER(TRIM(SUBSTITUTE(SUBSTITUTE(SUBSTITUTE(SUBSTITUTE(INDEX(PASTE_ALL,$DF515,$L$18)," "," "),CHAR(9)," "),CHAR(10)," "),CHAR(13)," ")))="OT",UPPER(TRIM(SUBSTITUTE(SUBSTITUTE(SUBSTITUTE(SUBSTITUTE(INDEX(PASTE_ALL,$DF515,$L$18)," "," "),CHAR(9)," "),CHAR(10)," "),CHAR(13)," ")))="OVERTIME",UPPER(TRIM(SUBSTITUTE(SUBSTITUTE(SUBSTITUTE(SUBSTITUTE(INDEX(PASTE_ALL,$DF515,$L$18)," "," "),CHAR(9)," "),CHAR(10)," "),CHAR(13)," ")))="TRIAL"),"OT",TRIM(SUBSTITUTE(SUBSTITUTE(SUBSTITUTE(SUBSTITUTE(INDEX(PASTE_ALL,$DF515,$L$18)," "," "),CHAR(9)," "),CHAR(10)," "),CHAR(13)," "))))),"")))</f>
        <v/>
      </c>
      <c r="EC515">
        <f>IF($DM515=0,"",IF($L$19=0,"",IFERROR(IF(ISNUMBER(INDEX(PASTE_ALL,$DF515,$L$19)),INDEX(PASTE_ALL,$DF515,$L$19),TRIM(SUBSTITUTE(SUBSTITUTE(SUBSTITUTE(SUBSTITUTE(INDEX(PASTE_ALL,$DF515,$L$19)," "," "),CHAR(9)," "),CHAR(10)," "),CHAR(13)," "))),"")))</f>
        <v/>
      </c>
      <c r="ED515">
        <f>IF($DM515=0,"",MATCH(1,INDEX(EXACT($DH$5:DH515,$DH515)*$DM$5:DM515,0),0))</f>
        <v/>
      </c>
      <c r="EE515">
        <f>IF($DM515=0,0,IF($ED515=$DE515,1,0))</f>
        <v/>
      </c>
      <c r="EF515">
        <f>EF514+$EE515</f>
        <v/>
      </c>
      <c r="EG515">
        <f>IF($DM515=0,"",INDEX($EF$5:$EF$1003,$ED515))</f>
        <v/>
      </c>
      <c r="EH515">
        <f>IF($DM515=0,"",IF($DO515&lt;&gt;"","",IFERROR(LOOKUP(2,1/(($EG$4:EG514=$EG515)*($DO$4:DO514&lt;&gt;"")),$DO$4:DO514),"")))</f>
        <v/>
      </c>
      <c r="EI515">
        <f>IF($DM515=0,"",IF($DO515&lt;&gt;"",$DO515,$EH515))</f>
        <v/>
      </c>
      <c r="EJ515">
        <f>IF($DM515=0,"",IF($EI515="",0,IF(OR(ISNUMBER($EI515),AND(AND(SUBSTITUTE(SUBSTITUTE(SUBSTITUTE(SUBSTITUTE(SUBSTITUTE(SUBSTITUTE(SUBSTITUTE(SUBSTITUTE(SUBSTITUTE(SUBSTITUTE(SUBSTITUTE(SUBSTITUTE(SUBSTITUTE(SUBSTITUTE(UPPER($EI515),"0",""),"1",""),"2",""),"3",""),"4",""),"5",""),"6",""),"7",""),"8",""),"9",""),".",""),"+",""),"-",""),"E","")="",LEN(SUBSTITUTE(SUBSTITUTE(MID(UPPER($EI515),1+OR(LEFT(UPPER($EI515),1)="+",LEFT(UPPER($EI515),1)="-"),999),"E+","E"),"E-","E"))=LEN(SUBSTITUTE(SUBSTITUTE(SUBSTITUTE(SUBSTITUTE(MID(UPPER($EI515),1+OR(LEFT(UPPER($EI515),1)="+",LEFT(UPPER($EI515),1)="-"),999),"E+","E"),"E-","E"),"+",""),"-","")),LEN(UPPER($EI515))-LEN(SUBSTITUTE(UPPER($EI515),"E",""))&lt;2,LEN(UPPER($EI515))-LEN(SUBSTITUTE(UPPER($EI515),".",""))&lt;2,IFERROR(FIND(".",UPPER($EI515)),0)&lt;IFERROR(FIND("E",UPPER($EI515)),999)),ISNUMBER(VALUE($EI515)))),1,2)))</f>
        <v/>
      </c>
      <c r="EK515">
        <f>IF($DM515=0,"",IF($EJ515=1,IF(ISNUMBER($EI515),$EI515,VALUE($EI515)),IF($EJ515=2,$DE515,0)))</f>
        <v/>
      </c>
      <c r="EL515">
        <f>IF($DM515=0,"",COUNTIF($EG$5:$EG$1003,"&lt;"&amp;$EG515)+SUMPRODUCT(($EG$5:$EG$1003=$EG515)*(($EJ$5:$EJ$1003&lt;$EJ515)+($EJ$5:$EJ$1003=$EJ515)*(($EK$5:$EK$1003&lt;$EK515)+($EK$5:$EK$1003=$EK515)*($DE$5:$DE$1003&lt;$DE515))))+1)</f>
        <v/>
      </c>
      <c r="EM515">
        <f>IF($DM515=0,"",$EL515+$EG515-1)</f>
        <v/>
      </c>
      <c r="EN515">
        <f>IF($DM515=0,0,IFERROR(MATCH(1,INDEX(--(TRIM(SUBSTITUTE(SUBSTITUTE(SUBSTITUTE(SUBSTITUTE(LINES_NAME&amp;""," "," "),CHAR(9)," "),CHAR(10)," "),CHAR(13)," "))=$DH515),0),0),0))</f>
        <v/>
      </c>
      <c r="EO515">
        <f>IF($EN515=0,0,IF(OR(UPPER(TRIM(INDEX(LINES_SCHEDULED,$EN515)&amp;""))="YES",UPPER(TRIM(INDEX(LINES_SCHEDULED,$EN515)&amp;""))="Y",UPPER(TRIM(INDEX(LINES_SCHEDULED,$EN515)&amp;""))="X"),1,0))</f>
        <v/>
      </c>
      <c r="EP515">
        <f>IF($DM515=0,"",IF(COUNTIFS($EG$5:$EG$1003,$EG515,$EB$5:$EB$1003,"Ready")&gt;0,"READY",IF(COUNTIFS($EG$5:$EG$1003,$EG515,$EB$5:$EB$1003,"PM")&gt;0,"PM",IF(COUNTIFS($EG$5:$EG$1003,$EG515,$EB$5:$EB$1003,"OT")&gt;0,"OT",""))))</f>
        <v/>
      </c>
      <c r="EQ515">
        <f>IF($EN515=0,"",UPPER(TRIM(INDEX(LINES_STATUS,$EN515)&amp;"")))</f>
        <v/>
      </c>
      <c r="ER515">
        <f>IF($DM515=0,"",IF(OR($EQ515="READY",$EQ515="PM",$EQ515="OT"),$EQ515,$EP515))</f>
        <v/>
      </c>
      <c r="ES515">
        <f>IF($DM515=0,"",IF(AND($DV515&lt;&gt;"",UPPER($DV515)&lt;&gt;"N"),"allergen",IF(ISNUMBER(SEARCH("oil",$DQ515)),"oil",IF(OR(EXACT($DS515,"A662"),EXACT($DS515,"A624")),"bulk",""))))</f>
        <v/>
      </c>
      <c r="ET515">
        <f>IF($DM515=0,"",IF(OR($EA515="",$EA515=0),"",$EA515/100))</f>
        <v/>
      </c>
      <c r="EU515">
        <f>IF(OR($ET515="",$DY515=""),"",INT($DY515*(1-$ET515)+0.5))</f>
        <v/>
      </c>
      <c r="EW515" t="n">
        <v>511</v>
      </c>
      <c r="EX515">
        <f>IFERROR(MATCH($EW515,$EM$5:$EM$1003,0),0)</f>
        <v/>
      </c>
      <c r="EY515">
        <f>IF($EW515&gt;$B$12,"",IF($EX515&gt;0,"row","spacer"))</f>
        <v/>
      </c>
      <c r="EZ515">
        <f>IF(AND($EY515="row",$EY514&lt;&gt;"row"),1,0)</f>
        <v/>
      </c>
      <c r="FA515">
        <f>IF(AND($EY515="row",$EY516&lt;&gt;"row"),1,0)</f>
        <v/>
      </c>
      <c r="FB515">
        <f>IF($EZ515=1,IFERROR(IF(ISNUMBER(INDEX(PASTE_ALL,INDEX($DF$5:$DF$1003,$EX515),$B$37)),INDEX(PASTE_ALL,INDEX($DF$5:$DF$1003,$EX515),$B$37),INDEX($DH$5:$DH$1003,$EX515)),INDEX($DH$5:$DH$1003,$EX515)),"")</f>
        <v/>
      </c>
      <c r="FC515">
        <f>IF($EY515="row",INDEX($ER$5:$ER$1003,$EX515),"")</f>
        <v/>
      </c>
      <c r="FD515">
        <f>IF($EY515="row",INDEX($DN$5:$DN$1003,$EX515),"")</f>
        <v/>
      </c>
      <c r="FE515">
        <f>IF($EY515="row",INDEX($DO$5:$DO$1003,$EX515),"")</f>
        <v/>
      </c>
      <c r="FF515">
        <f>IF($EY515="row",INDEX($DP$5:$DP$1003,$EX515),"")</f>
        <v/>
      </c>
      <c r="FG515">
        <f>IF($EY515="row",INDEX($DQ$5:$DQ$1003,$EX515),"")</f>
        <v/>
      </c>
      <c r="FH515">
        <f>IF($EY515="row",INDEX($DR$5:$DR$1003,$EX515),"")</f>
        <v/>
      </c>
      <c r="FI515">
        <f>IF($EY515="row",INDEX($DS$5:$DS$1003,$EX515),"")</f>
        <v/>
      </c>
      <c r="FJ515">
        <f>IF($EY515="row",INDEX($DT$5:$DT$1003,$EX515),"")</f>
        <v/>
      </c>
      <c r="FK515">
        <f>IF($EY515="row",INDEX($DU$5:$DU$1003,$EX515),"")</f>
        <v/>
      </c>
      <c r="FL515">
        <f>IF($EY515="row",INDEX($DV$5:$DV$1003,$EX515),"")</f>
        <v/>
      </c>
      <c r="FM515">
        <f>IF($EY515="row",INDEX($DW$5:$DW$1003,$EX515),"")</f>
        <v/>
      </c>
      <c r="FN515">
        <f>IF($EY515="row",INDEX($DY$5:$DY$1003,$EX515),"")</f>
        <v/>
      </c>
      <c r="FO515">
        <f>IF($EY515="row",INDEX($EA$5:$EA$1003,$EX515),"")</f>
        <v/>
      </c>
      <c r="FP515">
        <f>IF($EY515="row",INDEX($EC$5:$EC$1003,$EX515),"")</f>
        <v/>
      </c>
      <c r="FQ515">
        <f>IF($EY515="row",INDEX($ET$5:$ET$1003,$EX515),"")</f>
        <v/>
      </c>
      <c r="FR515">
        <f>IF($EY515="row",INDEX($EU$5:$EU$1003,$EX515),"")</f>
        <v/>
      </c>
      <c r="FS515">
        <f>IF(AND($EY515="row",$EY514="row"),IF(OR(INDEX($DT$5:$DT$1003,$EX514)="",INDEX($DT$5:$DT$1003,$EX515)=""),"",IF(NOT(EXACT(INDEX($DT$5:$DT$1003,$EX514),INDEX($DT$5:$DT$1003,$EX515))),"S4",IF(NOT(EXACT(INDEX($DS$5:$DS$1003,$EX514),INDEX($DS$5:$DS$1003,$EX515))),"S3",IF(NOT(EXACT(INDEX($DR$5:$DR$1003,$EX514),INDEX($DR$5:$DR$1003,$EX515))),"S1 Count Change","S1")))),"")</f>
        <v/>
      </c>
      <c r="FT515">
        <f>IF($EY515="row",INDEX($ES$5:$ES$1003,$EX515),"")</f>
        <v/>
      </c>
      <c r="FU515">
        <f>IF($EY515="row",INDEX($EO$5:$EO$1003,$EX515),0)</f>
        <v/>
      </c>
      <c r="FV515">
        <f>IF($FS515="S1 Count Change",1,0)</f>
        <v/>
      </c>
    </row>
    <row r="516">
      <c r="DA516" t="n">
        <v>512</v>
      </c>
      <c r="DB516">
        <f>IF($B$37=0,"",IFERROR(TRIM(SUBSTITUTE(SUBSTITUTE(SUBSTITUTE(SUBSTITUTE(INDEX(PASTE_ALL,512,$B$37)," "," "),CHAR(9)," "),CHAR(10)," "),CHAR(13)," ")),""))</f>
        <v/>
      </c>
      <c r="DC516">
        <f>IF(AND(512&gt;HEADER_ROW,UPPER(DB516)="LEGEND"),1,0)</f>
        <v/>
      </c>
      <c r="DE516" t="n">
        <v>512</v>
      </c>
      <c r="DF516">
        <f>HEADER_ROW+$DE516</f>
        <v/>
      </c>
      <c r="DG516">
        <f>IF(AND($DF516&lt;=1000,$DF516&lt;$B$8),1,0)</f>
        <v/>
      </c>
      <c r="DH516">
        <f>IF($DG516=1,IFERROR(INDEX($DB$5:$DB$1004,$DF516),""),"")</f>
        <v/>
      </c>
      <c r="DI516">
        <f>IF(AND($DG516=1,$DH516&lt;&gt;""),IFERROR(SUBSTITUTE(SUBSTITUTE(TRIM(SUBSTITUTE(SUBSTITUTE(SUBSTITUTE(SUBSTITUTE(IFERROR(INDEX(PASTE_ALL,$DF516,1)&amp;"","")&amp;"␟"&amp;IFERROR(INDEX(PASTE_ALL,$DF516,2)&amp;"","")&amp;"␟"&amp;IFERROR(INDEX(PASTE_ALL,$DF516,3)&amp;"","")&amp;"␟"&amp;IFERROR(INDEX(PASTE_ALL,$DF516,4)&amp;"","")&amp;"␟"&amp;IFERROR(INDEX(PASTE_ALL,$DF516,5)&amp;"","")&amp;"␟"&amp;IFERROR(INDEX(PASTE_ALL,$DF516,6)&amp;"","")&amp;"␟"&amp;IFERROR(INDEX(PASTE_ALL,$DF516,7)&amp;"","")&amp;"␟"&amp;IFERROR(INDEX(PASTE_ALL,$DF516,8)&amp;"","")&amp;"␟"&amp;IFERROR(INDEX(PASTE_ALL,$DF516,9)&amp;"","")&amp;"␟"&amp;IFERROR(INDEX(PASTE_ALL,$DF516,10)&amp;"","")&amp;"␟"&amp;IFERROR(INDEX(PASTE_ALL,$DF516,11)&amp;"","")&amp;"␟"&amp;IFERROR(INDEX(PASTE_ALL,$DF516,12)&amp;"","")&amp;"␟"&amp;IFERROR(INDEX(PASTE_ALL,$DF516,13)&amp;"","")&amp;"␟"&amp;IFERROR(INDEX(PASTE_ALL,$DF516,14)&amp;"","")&amp;"␟"&amp;IFERROR(INDEX(PASTE_ALL,$DF516,15)&amp;"","")&amp;"␟"&amp;IFERROR(INDEX(PASTE_ALL,$DF516,16)&amp;"","")&amp;"␟"&amp;IFERROR(INDEX(PASTE_ALL,$DF516,17)&amp;"","")&amp;"␟"&amp;IFERROR(INDEX(PASTE_ALL,$DF516,18)&amp;"","")&amp;"␟"&amp;IFERROR(INDEX(PASTE_ALL,$DF516,19)&amp;"","")&amp;"␟"&amp;IFERROR(INDEX(PASTE_ALL,$DF516,20)&amp;"","")&amp;"␟"&amp;IFERROR(INDEX(PASTE_ALL,$DF516,21)&amp;"","")&amp;"␟"&amp;IFERROR(INDEX(PASTE_ALL,$DF516,22)&amp;"","")&amp;"␟"&amp;IFERROR(INDEX(PASTE_ALL,$DF516,23)&amp;"","")&amp;"␟"&amp;IFERROR(INDEX(PASTE_ALL,$DF516,24)&amp;"","")&amp;"␟"&amp;IFERROR(INDEX(PASTE_ALL,$DF516,25)&amp;"","")&amp;"␟"&amp;IFERROR(INDEX(PASTE_ALL,$DF516,26)&amp;"","")&amp;"␟"&amp;IFERROR(INDEX(PASTE_ALL,$DF516,27)&amp;"","")&amp;"␟"&amp;IFERROR(INDEX(PASTE_ALL,$DF516,28)&amp;"","")&amp;"␟"&amp;IFERROR(INDEX(PASTE_ALL,$DF516,29)&amp;"","")&amp;"␟"&amp;IFERROR(INDEX(PASTE_ALL,$DF516,30)&amp;"","")&amp;"␟"&amp;IFERROR(INDEX(PASTE_ALL,$DF516,31)&amp;"","")&amp;"␟"&amp;IFERROR(INDEX(PASTE_ALL,$DF516,32)&amp;"","")&amp;"␟"&amp;IFERROR(INDEX(PASTE_ALL,$DF516,33)&amp;"","")&amp;"␟"&amp;IFERROR(INDEX(PASTE_ALL,$DF516,34)&amp;"","")&amp;"␟"&amp;IFERROR(INDEX(PASTE_ALL,$DF516,35)&amp;"","")&amp;"␟"&amp;IFERROR(INDEX(PASTE_ALL,$DF516,36)&amp;"","")&amp;"␟"&amp;IFERROR(INDEX(PASTE_ALL,$DF516,37)&amp;"","")&amp;"␟"&amp;IFERROR(INDEX(PASTE_ALL,$DF516,38)&amp;"","")&amp;"␟"&amp;IFERROR(INDEX(PASTE_ALL,$DF516,39)&amp;"","")&amp;"␟"&amp;IFERROR(INDEX(PASTE_ALL,$DF516,40)&amp;"","")&amp;"␟"&amp;IFERROR(INDEX(PASTE_ALL,$DF516,41)&amp;"","")&amp;"␟"&amp;IFERROR(INDEX(PASTE_ALL,$DF516,42)&amp;"","")&amp;"␟"&amp;IFERROR(INDEX(PASTE_ALL,$DF516,43)&amp;"","")&amp;"␟"&amp;IFERROR(INDEX(PASTE_ALL,$DF516,44)&amp;"","")&amp;"␟"&amp;IFERROR(INDEX(PASTE_ALL,$DF516,45)&amp;"","")&amp;"␟"&amp;IFERROR(INDEX(PASTE_ALL,$DF516,46)&amp;"","")&amp;"␟"&amp;IFERROR(INDEX(PASTE_ALL,$DF516,47)&amp;"","")&amp;"␟"&amp;IFERROR(INDEX(PASTE_ALL,$DF516,48)&amp;"","")&amp;"␟"&amp;IFERROR(INDEX(PASTE_ALL,$DF516,49)&amp;"","")&amp;"␟"&amp;IFERROR(INDEX(PASTE_ALL,$DF516,50)&amp;"","")&amp;"␟"&amp;IFERROR(INDEX(PASTE_ALL,$DF516,51)&amp;"","")&amp;"␟"&amp;IFERROR(INDEX(PASTE_ALL,$DF516,52)&amp;"","")&amp;"␟"&amp;IFERROR(INDEX(PASTE_ALL,$DF516,53)&amp;"","")&amp;"␟"&amp;IFERROR(INDEX(PASTE_ALL,$DF516,54)&amp;"","")&amp;"␟"&amp;IFERROR(INDEX(PASTE_ALL,$DF516,55)&amp;"","")&amp;"␟"&amp;IFERROR(INDEX(PASTE_ALL,$DF516,56)&amp;"","")&amp;"␟"&amp;IFERROR(INDEX(PASTE_ALL,$DF516,57)&amp;"","")&amp;"␟"&amp;IFERROR(INDEX(PASTE_ALL,$DF516,58)&amp;"","")&amp;"␟"&amp;IFERROR(INDEX(PASTE_ALL,$DF516,59)&amp;"","")&amp;"␟"&amp;IFERROR(INDEX(PASTE_ALL,$DF516,60)&amp;"","")," "," "),CHAR(9)," "),CHAR(10)," "),CHAR(13)," "))," ␟","␟"),"␟ ","␟"),"#"&amp;$DE516),"")</f>
        <v/>
      </c>
      <c r="DJ516">
        <f>IF($DI516="",0,IF(SUMPRODUCT(--EXACT($DI$4:DI515,$DI516))&gt;0,1,0))</f>
        <v/>
      </c>
      <c r="DK516">
        <f>IF(AND($DI516&lt;&gt;"",$DJ516=0),1,0)</f>
        <v/>
      </c>
      <c r="DL516">
        <f>DL515+$DK516</f>
        <v/>
      </c>
      <c r="DM516">
        <f>IF(AND($DK516=1,$DL516&lt;=600),1,0)</f>
        <v/>
      </c>
      <c r="DN516">
        <f>IF($DM516=0,"",IF($L$6=0,"",IFERROR(IF(ISNUMBER(INDEX(PASTE_ALL,$DF516,$L$6)),INDEX(PASTE_ALL,$DF516,$L$6),TRIM(SUBSTITUTE(SUBSTITUTE(SUBSTITUTE(SUBSTITUTE(INDEX(PASTE_ALL,$DF516,$L$6)," "," "),CHAR(9)," "),CHAR(10)," "),CHAR(13)," "))),"")))</f>
        <v/>
      </c>
      <c r="DO516">
        <f>IF($DM516=0,"",IF($L$7=0,"",IFERROR(IF(ISNUMBER(INDEX(PASTE_ALL,$DF516,$L$7)),INDEX(PASTE_ALL,$DF516,$L$7),TRIM(SUBSTITUTE(SUBSTITUTE(SUBSTITUTE(SUBSTITUTE(INDEX(PASTE_ALL,$DF516,$L$7)," "," "),CHAR(9)," "),CHAR(10)," "),CHAR(13)," "))),"")))</f>
        <v/>
      </c>
      <c r="DP516">
        <f>IF($DM516=0,"",IF($L$8=0,"",IFERROR(IF(ISNUMBER(INDEX(PASTE_ALL,$DF516,$L$8)),INDEX(PASTE_ALL,$DF516,$L$8),TRIM(SUBSTITUTE(SUBSTITUTE(SUBSTITUTE(SUBSTITUTE(INDEX(PASTE_ALL,$DF516,$L$8)," "," "),CHAR(9)," "),CHAR(10)," "),CHAR(13)," "))),"")))</f>
        <v/>
      </c>
      <c r="DQ516">
        <f>IF($DM516=0,"",IF($L$9=0,"",IFERROR(IF(ISNUMBER(INDEX(PASTE_ALL,$DF516,$L$9)),INDEX(PASTE_ALL,$DF516,$L$9),TRIM(SUBSTITUTE(SUBSTITUTE(SUBSTITUTE(SUBSTITUTE(INDEX(PASTE_ALL,$DF516,$L$9)," "," "),CHAR(9)," "),CHAR(10)," "),CHAR(13)," "))),"")))</f>
        <v/>
      </c>
      <c r="DR516">
        <f>IF($DM516=0,"",IF($L$10=0,"",IFERROR(IF(ISNUMBER(INDEX(PASTE_ALL,$DF516,$L$10)),INDEX(PASTE_ALL,$DF516,$L$10),TRIM(SUBSTITUTE(SUBSTITUTE(SUBSTITUTE(SUBSTITUTE(INDEX(PASTE_ALL,$DF516,$L$10)," "," "),CHAR(9)," "),CHAR(10)," "),CHAR(13)," "))),"")))</f>
        <v/>
      </c>
      <c r="DS516">
        <f>IF($DM516=0,"",IF($L$11=0,"",IFERROR(IF(ISNUMBER(INDEX(PASTE_ALL,$DF516,$L$11)),INDEX(PASTE_ALL,$DF516,$L$11),TRIM(SUBSTITUTE(SUBSTITUTE(SUBSTITUTE(SUBSTITUTE(INDEX(PASTE_ALL,$DF516,$L$11)," "," "),CHAR(9)," "),CHAR(10)," "),CHAR(13)," "))),"")))</f>
        <v/>
      </c>
      <c r="DT516">
        <f>IF($DM516=0,"",IF($L$12=0,"",IFERROR(IF(ISNUMBER(INDEX(PASTE_ALL,$DF516,$L$12)),INDEX(PASTE_ALL,$DF516,$L$12),TRIM(SUBSTITUTE(SUBSTITUTE(SUBSTITUTE(SUBSTITUTE(INDEX(PASTE_ALL,$DF516,$L$12)," "," "),CHAR(9)," "),CHAR(10)," "),CHAR(13)," "))),"")))</f>
        <v/>
      </c>
      <c r="DU516">
        <f>IF($DM516=0,"",IF($L$13=0,"",IFERROR(IF(ISNUMBER(INDEX(PASTE_ALL,$DF516,$L$13)),INDEX(PASTE_ALL,$DF516,$L$13),TRIM(SUBSTITUTE(SUBSTITUTE(SUBSTITUTE(SUBSTITUTE(INDEX(PASTE_ALL,$DF516,$L$13)," "," "),CHAR(9)," "),CHAR(10)," "),CHAR(13)," "))),"")))</f>
        <v/>
      </c>
      <c r="DV516">
        <f>IF($DM516=0,"",IF($L$14=0,"",IFERROR(IF(ISNUMBER(INDEX(PASTE_ALL,$DF516,$L$14)),INDEX(PASTE_ALL,$DF516,$L$14),TRIM(SUBSTITUTE(SUBSTITUTE(SUBSTITUTE(SUBSTITUTE(INDEX(PASTE_ALL,$DF516,$L$14)," "," "),CHAR(9)," "),CHAR(10)," "),CHAR(13)," "))),"")))</f>
        <v/>
      </c>
      <c r="DW516">
        <f>IF($DM516=0,"",IF($L$15=0,"",IFERROR(IF(ISNUMBER(INDEX(PASTE_ALL,$DF516,$L$15)),INDEX(PASTE_ALL,$DF516,$L$15),IF(SUMPRODUCT(--ISNUMBER(FIND({"A","B","C","D","E","F","G","H","I","J","K","L","M","N","O","P","Q","R","S","T","U","V","W","X","Y","Z","0","1","2","3","4","5","6","7","8","9"},UPPER(TRIM(SUBSTITUTE(SUBSTITUTE(SUBSTITUTE(SUBSTITUTE(INDEX(PASTE_ALL,$DF516,$L$15)," "," "),CHAR(9)," "),CHAR(10)," "),CHAR(13)," "))))))&gt;0,TRIM(SUBSTITUTE(SUBSTITUTE(SUBSTITUTE(SUBSTITUTE(INDEX(PASTE_ALL,$DF516,$L$15)," "," "),CHAR(9)," "),CHAR(10)," "),CHAR(13)," ")),"")),"")))</f>
        <v/>
      </c>
      <c r="DX516">
        <f>IF($DM516=0,"",IF($L$16=0,"",IFERROR(IF(ISNUMBER(INDEX(PASTE_ALL,$DF516,$L$16)),INDEX(PASTE_ALL,$DF516,$L$16),SUBSTITUTE(SUBSTITUTE(TRIM(SUBSTITUTE(SUBSTITUTE(SUBSTITUTE(SUBSTITUTE(INDEX(PASTE_ALL,$DF516,$L$16)," "," "),CHAR(9)," "),CHAR(10)," "),CHAR(13)," ")),",",""),"%","")),"")))</f>
        <v/>
      </c>
      <c r="DY516">
        <f>IF($DM516=0,"",IFERROR(IF(ISNUMBER($DX516),$DX516,IF($DX516="","",IF(TRIM($DX516)="",0,IF(AND(AND(SUBSTITUTE(SUBSTITUTE(SUBSTITUTE(SUBSTITUTE(SUBSTITUTE(SUBSTITUTE(SUBSTITUTE(SUBSTITUTE(SUBSTITUTE(SUBSTITUTE(SUBSTITUTE(SUBSTITUTE(SUBSTITUTE(SUBSTITUTE(UPPER(TRIM($DX516)),"0",""),"1",""),"2",""),"3",""),"4",""),"5",""),"6",""),"7",""),"8",""),"9",""),".",""),"+",""),"-",""),"E","")="",LEN(SUBSTITUTE(SUBSTITUTE(MID(UPPER(TRIM($DX516)),1+OR(LEFT(UPPER(TRIM($DX516)),1)="+",LEFT(UPPER(TRIM($DX516)),1)="-"),999),"E+","E"),"E-","E"))=LEN(SUBSTITUTE(SUBSTITUTE(SUBSTITUTE(SUBSTITUTE(MID(UPPER(TRIM($DX516)),1+OR(LEFT(UPPER(TRIM($DX516)),1)="+",LEFT(UPPER(TRIM($DX516)),1)="-"),999),"E+","E"),"E-","E"),"+",""),"-","")),LEN(UPPER(TRIM($DX516)))-LEN(SUBSTITUTE(UPPER(TRIM($DX516)),"E",""))&lt;2,LEN(UPPER(TRIM($DX516)))-LEN(SUBSTITUTE(UPPER(TRIM($DX516)),".",""))&lt;2,IFERROR(FIND(".",UPPER(TRIM($DX516))),0)&lt;IFERROR(FIND("E",UPPER(TRIM($DX516))),999)),ISNUMBER(VALUE(TRIM($DX516)))),VALUE(TRIM($DX516)),"")))),""))</f>
        <v/>
      </c>
      <c r="DZ516">
        <f>IF($DM516=0,"",IF($L$17=0,"",IFERROR(IF(ISNUMBER(INDEX(PASTE_ALL,$DF516,$L$17)),INDEX(PASTE_ALL,$DF516,$L$17),SUBSTITUTE(SUBSTITUTE(TRIM(SUBSTITUTE(SUBSTITUTE(SUBSTITUTE(SUBSTITUTE(INDEX(PASTE_ALL,$DF516,$L$17)," "," "),CHAR(9)," "),CHAR(10)," "),CHAR(13)," ")),",",""),"%","")),"")))</f>
        <v/>
      </c>
      <c r="EA516">
        <f>IF($DM516=0,"",IFERROR(IF(ISNUMBER($DZ516),$DZ516,IF($DZ516="","",IF(TRIM($DZ516)="",0,IF(AND(AND(SUBSTITUTE(SUBSTITUTE(SUBSTITUTE(SUBSTITUTE(SUBSTITUTE(SUBSTITUTE(SUBSTITUTE(SUBSTITUTE(SUBSTITUTE(SUBSTITUTE(SUBSTITUTE(SUBSTITUTE(SUBSTITUTE(SUBSTITUTE(UPPER(TRIM($DZ516)),"0",""),"1",""),"2",""),"3",""),"4",""),"5",""),"6",""),"7",""),"8",""),"9",""),".",""),"+",""),"-",""),"E","")="",LEN(SUBSTITUTE(SUBSTITUTE(MID(UPPER(TRIM($DZ516)),1+OR(LEFT(UPPER(TRIM($DZ516)),1)="+",LEFT(UPPER(TRIM($DZ516)),1)="-"),999),"E+","E"),"E-","E"))=LEN(SUBSTITUTE(SUBSTITUTE(SUBSTITUTE(SUBSTITUTE(MID(UPPER(TRIM($DZ516)),1+OR(LEFT(UPPER(TRIM($DZ516)),1)="+",LEFT(UPPER(TRIM($DZ516)),1)="-"),999),"E+","E"),"E-","E"),"+",""),"-","")),LEN(UPPER(TRIM($DZ516)))-LEN(SUBSTITUTE(UPPER(TRIM($DZ516)),"E",""))&lt;2,LEN(UPPER(TRIM($DZ516)))-LEN(SUBSTITUTE(UPPER(TRIM($DZ516)),".",""))&lt;2,IFERROR(FIND(".",UPPER(TRIM($DZ516))),0)&lt;IFERROR(FIND("E",UPPER(TRIM($DZ516))),999)),ISNUMBER(VALUE(TRIM($DZ516)))),VALUE(TRIM($DZ516)),"")))),""))</f>
        <v/>
      </c>
      <c r="EB516">
        <f>IF($DM516=0,"",IF($L$18=0,"",IFERROR(IF(UPPER(TRIM(SUBSTITUTE(SUBSTITUTE(SUBSTITUTE(SUBSTITUTE(INDEX(PASTE_ALL,$DF516,$L$18)," "," "),CHAR(9)," "),CHAR(10)," "),CHAR(13)," ")))="READY","Ready",IF(UPPER(TRIM(SUBSTITUTE(SUBSTITUTE(SUBSTITUTE(SUBSTITUTE(INDEX(PASTE_ALL,$DF516,$L$18)," "," "),CHAR(9)," "),CHAR(10)," "),CHAR(13)," ")))="PM","PM",IF(OR(UPPER(TRIM(SUBSTITUTE(SUBSTITUTE(SUBSTITUTE(SUBSTITUTE(INDEX(PASTE_ALL,$DF516,$L$18)," "," "),CHAR(9)," "),CHAR(10)," "),CHAR(13)," ")))="OT",UPPER(TRIM(SUBSTITUTE(SUBSTITUTE(SUBSTITUTE(SUBSTITUTE(INDEX(PASTE_ALL,$DF516,$L$18)," "," "),CHAR(9)," "),CHAR(10)," "),CHAR(13)," ")))="OVERTIME",UPPER(TRIM(SUBSTITUTE(SUBSTITUTE(SUBSTITUTE(SUBSTITUTE(INDEX(PASTE_ALL,$DF516,$L$18)," "," "),CHAR(9)," "),CHAR(10)," "),CHAR(13)," ")))="TRIAL"),"OT",TRIM(SUBSTITUTE(SUBSTITUTE(SUBSTITUTE(SUBSTITUTE(INDEX(PASTE_ALL,$DF516,$L$18)," "," "),CHAR(9)," "),CHAR(10)," "),CHAR(13)," "))))),"")))</f>
        <v/>
      </c>
      <c r="EC516">
        <f>IF($DM516=0,"",IF($L$19=0,"",IFERROR(IF(ISNUMBER(INDEX(PASTE_ALL,$DF516,$L$19)),INDEX(PASTE_ALL,$DF516,$L$19),TRIM(SUBSTITUTE(SUBSTITUTE(SUBSTITUTE(SUBSTITUTE(INDEX(PASTE_ALL,$DF516,$L$19)," "," "),CHAR(9)," "),CHAR(10)," "),CHAR(13)," "))),"")))</f>
        <v/>
      </c>
      <c r="ED516">
        <f>IF($DM516=0,"",MATCH(1,INDEX(EXACT($DH$5:DH516,$DH516)*$DM$5:DM516,0),0))</f>
        <v/>
      </c>
      <c r="EE516">
        <f>IF($DM516=0,0,IF($ED516=$DE516,1,0))</f>
        <v/>
      </c>
      <c r="EF516">
        <f>EF515+$EE516</f>
        <v/>
      </c>
      <c r="EG516">
        <f>IF($DM516=0,"",INDEX($EF$5:$EF$1003,$ED516))</f>
        <v/>
      </c>
      <c r="EH516">
        <f>IF($DM516=0,"",IF($DO516&lt;&gt;"","",IFERROR(LOOKUP(2,1/(($EG$4:EG515=$EG516)*($DO$4:DO515&lt;&gt;"")),$DO$4:DO515),"")))</f>
        <v/>
      </c>
      <c r="EI516">
        <f>IF($DM516=0,"",IF($DO516&lt;&gt;"",$DO516,$EH516))</f>
        <v/>
      </c>
      <c r="EJ516">
        <f>IF($DM516=0,"",IF($EI516="",0,IF(OR(ISNUMBER($EI516),AND(AND(SUBSTITUTE(SUBSTITUTE(SUBSTITUTE(SUBSTITUTE(SUBSTITUTE(SUBSTITUTE(SUBSTITUTE(SUBSTITUTE(SUBSTITUTE(SUBSTITUTE(SUBSTITUTE(SUBSTITUTE(SUBSTITUTE(SUBSTITUTE(UPPER($EI516),"0",""),"1",""),"2",""),"3",""),"4",""),"5",""),"6",""),"7",""),"8",""),"9",""),".",""),"+",""),"-",""),"E","")="",LEN(SUBSTITUTE(SUBSTITUTE(MID(UPPER($EI516),1+OR(LEFT(UPPER($EI516),1)="+",LEFT(UPPER($EI516),1)="-"),999),"E+","E"),"E-","E"))=LEN(SUBSTITUTE(SUBSTITUTE(SUBSTITUTE(SUBSTITUTE(MID(UPPER($EI516),1+OR(LEFT(UPPER($EI516),1)="+",LEFT(UPPER($EI516),1)="-"),999),"E+","E"),"E-","E"),"+",""),"-","")),LEN(UPPER($EI516))-LEN(SUBSTITUTE(UPPER($EI516),"E",""))&lt;2,LEN(UPPER($EI516))-LEN(SUBSTITUTE(UPPER($EI516),".",""))&lt;2,IFERROR(FIND(".",UPPER($EI516)),0)&lt;IFERROR(FIND("E",UPPER($EI516)),999)),ISNUMBER(VALUE($EI516)))),1,2)))</f>
        <v/>
      </c>
      <c r="EK516">
        <f>IF($DM516=0,"",IF($EJ516=1,IF(ISNUMBER($EI516),$EI516,VALUE($EI516)),IF($EJ516=2,$DE516,0)))</f>
        <v/>
      </c>
      <c r="EL516">
        <f>IF($DM516=0,"",COUNTIF($EG$5:$EG$1003,"&lt;"&amp;$EG516)+SUMPRODUCT(($EG$5:$EG$1003=$EG516)*(($EJ$5:$EJ$1003&lt;$EJ516)+($EJ$5:$EJ$1003=$EJ516)*(($EK$5:$EK$1003&lt;$EK516)+($EK$5:$EK$1003=$EK516)*($DE$5:$DE$1003&lt;$DE516))))+1)</f>
        <v/>
      </c>
      <c r="EM516">
        <f>IF($DM516=0,"",$EL516+$EG516-1)</f>
        <v/>
      </c>
      <c r="EN516">
        <f>IF($DM516=0,0,IFERROR(MATCH(1,INDEX(--(TRIM(SUBSTITUTE(SUBSTITUTE(SUBSTITUTE(SUBSTITUTE(LINES_NAME&amp;""," "," "),CHAR(9)," "),CHAR(10)," "),CHAR(13)," "))=$DH516),0),0),0))</f>
        <v/>
      </c>
      <c r="EO516">
        <f>IF($EN516=0,0,IF(OR(UPPER(TRIM(INDEX(LINES_SCHEDULED,$EN516)&amp;""))="YES",UPPER(TRIM(INDEX(LINES_SCHEDULED,$EN516)&amp;""))="Y",UPPER(TRIM(INDEX(LINES_SCHEDULED,$EN516)&amp;""))="X"),1,0))</f>
        <v/>
      </c>
      <c r="EP516">
        <f>IF($DM516=0,"",IF(COUNTIFS($EG$5:$EG$1003,$EG516,$EB$5:$EB$1003,"Ready")&gt;0,"READY",IF(COUNTIFS($EG$5:$EG$1003,$EG516,$EB$5:$EB$1003,"PM")&gt;0,"PM",IF(COUNTIFS($EG$5:$EG$1003,$EG516,$EB$5:$EB$1003,"OT")&gt;0,"OT",""))))</f>
        <v/>
      </c>
      <c r="EQ516">
        <f>IF($EN516=0,"",UPPER(TRIM(INDEX(LINES_STATUS,$EN516)&amp;"")))</f>
        <v/>
      </c>
      <c r="ER516">
        <f>IF($DM516=0,"",IF(OR($EQ516="READY",$EQ516="PM",$EQ516="OT"),$EQ516,$EP516))</f>
        <v/>
      </c>
      <c r="ES516">
        <f>IF($DM516=0,"",IF(AND($DV516&lt;&gt;"",UPPER($DV516)&lt;&gt;"N"),"allergen",IF(ISNUMBER(SEARCH("oil",$DQ516)),"oil",IF(OR(EXACT($DS516,"A662"),EXACT($DS516,"A624")),"bulk",""))))</f>
        <v/>
      </c>
      <c r="ET516">
        <f>IF($DM516=0,"",IF(OR($EA516="",$EA516=0),"",$EA516/100))</f>
        <v/>
      </c>
      <c r="EU516">
        <f>IF(OR($ET516="",$DY516=""),"",INT($DY516*(1-$ET516)+0.5))</f>
        <v/>
      </c>
      <c r="EW516" t="n">
        <v>512</v>
      </c>
      <c r="EX516">
        <f>IFERROR(MATCH($EW516,$EM$5:$EM$1003,0),0)</f>
        <v/>
      </c>
      <c r="EY516">
        <f>IF($EW516&gt;$B$12,"",IF($EX516&gt;0,"row","spacer"))</f>
        <v/>
      </c>
      <c r="EZ516">
        <f>IF(AND($EY516="row",$EY515&lt;&gt;"row"),1,0)</f>
        <v/>
      </c>
      <c r="FA516">
        <f>IF(AND($EY516="row",$EY517&lt;&gt;"row"),1,0)</f>
        <v/>
      </c>
      <c r="FB516">
        <f>IF($EZ516=1,IFERROR(IF(ISNUMBER(INDEX(PASTE_ALL,INDEX($DF$5:$DF$1003,$EX516),$B$37)),INDEX(PASTE_ALL,INDEX($DF$5:$DF$1003,$EX516),$B$37),INDEX($DH$5:$DH$1003,$EX516)),INDEX($DH$5:$DH$1003,$EX516)),"")</f>
        <v/>
      </c>
      <c r="FC516">
        <f>IF($EY516="row",INDEX($ER$5:$ER$1003,$EX516),"")</f>
        <v/>
      </c>
      <c r="FD516">
        <f>IF($EY516="row",INDEX($DN$5:$DN$1003,$EX516),"")</f>
        <v/>
      </c>
      <c r="FE516">
        <f>IF($EY516="row",INDEX($DO$5:$DO$1003,$EX516),"")</f>
        <v/>
      </c>
      <c r="FF516">
        <f>IF($EY516="row",INDEX($DP$5:$DP$1003,$EX516),"")</f>
        <v/>
      </c>
      <c r="FG516">
        <f>IF($EY516="row",INDEX($DQ$5:$DQ$1003,$EX516),"")</f>
        <v/>
      </c>
      <c r="FH516">
        <f>IF($EY516="row",INDEX($DR$5:$DR$1003,$EX516),"")</f>
        <v/>
      </c>
      <c r="FI516">
        <f>IF($EY516="row",INDEX($DS$5:$DS$1003,$EX516),"")</f>
        <v/>
      </c>
      <c r="FJ516">
        <f>IF($EY516="row",INDEX($DT$5:$DT$1003,$EX516),"")</f>
        <v/>
      </c>
      <c r="FK516">
        <f>IF($EY516="row",INDEX($DU$5:$DU$1003,$EX516),"")</f>
        <v/>
      </c>
      <c r="FL516">
        <f>IF($EY516="row",INDEX($DV$5:$DV$1003,$EX516),"")</f>
        <v/>
      </c>
      <c r="FM516">
        <f>IF($EY516="row",INDEX($DW$5:$DW$1003,$EX516),"")</f>
        <v/>
      </c>
      <c r="FN516">
        <f>IF($EY516="row",INDEX($DY$5:$DY$1003,$EX516),"")</f>
        <v/>
      </c>
      <c r="FO516">
        <f>IF($EY516="row",INDEX($EA$5:$EA$1003,$EX516),"")</f>
        <v/>
      </c>
      <c r="FP516">
        <f>IF($EY516="row",INDEX($EC$5:$EC$1003,$EX516),"")</f>
        <v/>
      </c>
      <c r="FQ516">
        <f>IF($EY516="row",INDEX($ET$5:$ET$1003,$EX516),"")</f>
        <v/>
      </c>
      <c r="FR516">
        <f>IF($EY516="row",INDEX($EU$5:$EU$1003,$EX516),"")</f>
        <v/>
      </c>
      <c r="FS516">
        <f>IF(AND($EY516="row",$EY515="row"),IF(OR(INDEX($DT$5:$DT$1003,$EX515)="",INDEX($DT$5:$DT$1003,$EX516)=""),"",IF(NOT(EXACT(INDEX($DT$5:$DT$1003,$EX515),INDEX($DT$5:$DT$1003,$EX516))),"S4",IF(NOT(EXACT(INDEX($DS$5:$DS$1003,$EX515),INDEX($DS$5:$DS$1003,$EX516))),"S3",IF(NOT(EXACT(INDEX($DR$5:$DR$1003,$EX515),INDEX($DR$5:$DR$1003,$EX516))),"S1 Count Change","S1")))),"")</f>
        <v/>
      </c>
      <c r="FT516">
        <f>IF($EY516="row",INDEX($ES$5:$ES$1003,$EX516),"")</f>
        <v/>
      </c>
      <c r="FU516">
        <f>IF($EY516="row",INDEX($EO$5:$EO$1003,$EX516),0)</f>
        <v/>
      </c>
      <c r="FV516">
        <f>IF($FS516="S1 Count Change",1,0)</f>
        <v/>
      </c>
    </row>
    <row r="517">
      <c r="DA517" t="n">
        <v>513</v>
      </c>
      <c r="DB517">
        <f>IF($B$37=0,"",IFERROR(TRIM(SUBSTITUTE(SUBSTITUTE(SUBSTITUTE(SUBSTITUTE(INDEX(PASTE_ALL,513,$B$37)," "," "),CHAR(9)," "),CHAR(10)," "),CHAR(13)," ")),""))</f>
        <v/>
      </c>
      <c r="DC517">
        <f>IF(AND(513&gt;HEADER_ROW,UPPER(DB517)="LEGEND"),1,0)</f>
        <v/>
      </c>
      <c r="DE517" t="n">
        <v>513</v>
      </c>
      <c r="DF517">
        <f>HEADER_ROW+$DE517</f>
        <v/>
      </c>
      <c r="DG517">
        <f>IF(AND($DF517&lt;=1000,$DF517&lt;$B$8),1,0)</f>
        <v/>
      </c>
      <c r="DH517">
        <f>IF($DG517=1,IFERROR(INDEX($DB$5:$DB$1004,$DF517),""),"")</f>
        <v/>
      </c>
      <c r="DI517">
        <f>IF(AND($DG517=1,$DH517&lt;&gt;""),IFERROR(SUBSTITUTE(SUBSTITUTE(TRIM(SUBSTITUTE(SUBSTITUTE(SUBSTITUTE(SUBSTITUTE(IFERROR(INDEX(PASTE_ALL,$DF517,1)&amp;"","")&amp;"␟"&amp;IFERROR(INDEX(PASTE_ALL,$DF517,2)&amp;"","")&amp;"␟"&amp;IFERROR(INDEX(PASTE_ALL,$DF517,3)&amp;"","")&amp;"␟"&amp;IFERROR(INDEX(PASTE_ALL,$DF517,4)&amp;"","")&amp;"␟"&amp;IFERROR(INDEX(PASTE_ALL,$DF517,5)&amp;"","")&amp;"␟"&amp;IFERROR(INDEX(PASTE_ALL,$DF517,6)&amp;"","")&amp;"␟"&amp;IFERROR(INDEX(PASTE_ALL,$DF517,7)&amp;"","")&amp;"␟"&amp;IFERROR(INDEX(PASTE_ALL,$DF517,8)&amp;"","")&amp;"␟"&amp;IFERROR(INDEX(PASTE_ALL,$DF517,9)&amp;"","")&amp;"␟"&amp;IFERROR(INDEX(PASTE_ALL,$DF517,10)&amp;"","")&amp;"␟"&amp;IFERROR(INDEX(PASTE_ALL,$DF517,11)&amp;"","")&amp;"␟"&amp;IFERROR(INDEX(PASTE_ALL,$DF517,12)&amp;"","")&amp;"␟"&amp;IFERROR(INDEX(PASTE_ALL,$DF517,13)&amp;"","")&amp;"␟"&amp;IFERROR(INDEX(PASTE_ALL,$DF517,14)&amp;"","")&amp;"␟"&amp;IFERROR(INDEX(PASTE_ALL,$DF517,15)&amp;"","")&amp;"␟"&amp;IFERROR(INDEX(PASTE_ALL,$DF517,16)&amp;"","")&amp;"␟"&amp;IFERROR(INDEX(PASTE_ALL,$DF517,17)&amp;"","")&amp;"␟"&amp;IFERROR(INDEX(PASTE_ALL,$DF517,18)&amp;"","")&amp;"␟"&amp;IFERROR(INDEX(PASTE_ALL,$DF517,19)&amp;"","")&amp;"␟"&amp;IFERROR(INDEX(PASTE_ALL,$DF517,20)&amp;"","")&amp;"␟"&amp;IFERROR(INDEX(PASTE_ALL,$DF517,21)&amp;"","")&amp;"␟"&amp;IFERROR(INDEX(PASTE_ALL,$DF517,22)&amp;"","")&amp;"␟"&amp;IFERROR(INDEX(PASTE_ALL,$DF517,23)&amp;"","")&amp;"␟"&amp;IFERROR(INDEX(PASTE_ALL,$DF517,24)&amp;"","")&amp;"␟"&amp;IFERROR(INDEX(PASTE_ALL,$DF517,25)&amp;"","")&amp;"␟"&amp;IFERROR(INDEX(PASTE_ALL,$DF517,26)&amp;"","")&amp;"␟"&amp;IFERROR(INDEX(PASTE_ALL,$DF517,27)&amp;"","")&amp;"␟"&amp;IFERROR(INDEX(PASTE_ALL,$DF517,28)&amp;"","")&amp;"␟"&amp;IFERROR(INDEX(PASTE_ALL,$DF517,29)&amp;"","")&amp;"␟"&amp;IFERROR(INDEX(PASTE_ALL,$DF517,30)&amp;"","")&amp;"␟"&amp;IFERROR(INDEX(PASTE_ALL,$DF517,31)&amp;"","")&amp;"␟"&amp;IFERROR(INDEX(PASTE_ALL,$DF517,32)&amp;"","")&amp;"␟"&amp;IFERROR(INDEX(PASTE_ALL,$DF517,33)&amp;"","")&amp;"␟"&amp;IFERROR(INDEX(PASTE_ALL,$DF517,34)&amp;"","")&amp;"␟"&amp;IFERROR(INDEX(PASTE_ALL,$DF517,35)&amp;"","")&amp;"␟"&amp;IFERROR(INDEX(PASTE_ALL,$DF517,36)&amp;"","")&amp;"␟"&amp;IFERROR(INDEX(PASTE_ALL,$DF517,37)&amp;"","")&amp;"␟"&amp;IFERROR(INDEX(PASTE_ALL,$DF517,38)&amp;"","")&amp;"␟"&amp;IFERROR(INDEX(PASTE_ALL,$DF517,39)&amp;"","")&amp;"␟"&amp;IFERROR(INDEX(PASTE_ALL,$DF517,40)&amp;"","")&amp;"␟"&amp;IFERROR(INDEX(PASTE_ALL,$DF517,41)&amp;"","")&amp;"␟"&amp;IFERROR(INDEX(PASTE_ALL,$DF517,42)&amp;"","")&amp;"␟"&amp;IFERROR(INDEX(PASTE_ALL,$DF517,43)&amp;"","")&amp;"␟"&amp;IFERROR(INDEX(PASTE_ALL,$DF517,44)&amp;"","")&amp;"␟"&amp;IFERROR(INDEX(PASTE_ALL,$DF517,45)&amp;"","")&amp;"␟"&amp;IFERROR(INDEX(PASTE_ALL,$DF517,46)&amp;"","")&amp;"␟"&amp;IFERROR(INDEX(PASTE_ALL,$DF517,47)&amp;"","")&amp;"␟"&amp;IFERROR(INDEX(PASTE_ALL,$DF517,48)&amp;"","")&amp;"␟"&amp;IFERROR(INDEX(PASTE_ALL,$DF517,49)&amp;"","")&amp;"␟"&amp;IFERROR(INDEX(PASTE_ALL,$DF517,50)&amp;"","")&amp;"␟"&amp;IFERROR(INDEX(PASTE_ALL,$DF517,51)&amp;"","")&amp;"␟"&amp;IFERROR(INDEX(PASTE_ALL,$DF517,52)&amp;"","")&amp;"␟"&amp;IFERROR(INDEX(PASTE_ALL,$DF517,53)&amp;"","")&amp;"␟"&amp;IFERROR(INDEX(PASTE_ALL,$DF517,54)&amp;"","")&amp;"␟"&amp;IFERROR(INDEX(PASTE_ALL,$DF517,55)&amp;"","")&amp;"␟"&amp;IFERROR(INDEX(PASTE_ALL,$DF517,56)&amp;"","")&amp;"␟"&amp;IFERROR(INDEX(PASTE_ALL,$DF517,57)&amp;"","")&amp;"␟"&amp;IFERROR(INDEX(PASTE_ALL,$DF517,58)&amp;"","")&amp;"␟"&amp;IFERROR(INDEX(PASTE_ALL,$DF517,59)&amp;"","")&amp;"␟"&amp;IFERROR(INDEX(PASTE_ALL,$DF517,60)&amp;"","")," "," "),CHAR(9)," "),CHAR(10)," "),CHAR(13)," "))," ␟","␟"),"␟ ","␟"),"#"&amp;$DE517),"")</f>
        <v/>
      </c>
      <c r="DJ517">
        <f>IF($DI517="",0,IF(SUMPRODUCT(--EXACT($DI$4:DI516,$DI517))&gt;0,1,0))</f>
        <v/>
      </c>
      <c r="DK517">
        <f>IF(AND($DI517&lt;&gt;"",$DJ517=0),1,0)</f>
        <v/>
      </c>
      <c r="DL517">
        <f>DL516+$DK517</f>
        <v/>
      </c>
      <c r="DM517">
        <f>IF(AND($DK517=1,$DL517&lt;=600),1,0)</f>
        <v/>
      </c>
      <c r="DN517">
        <f>IF($DM517=0,"",IF($L$6=0,"",IFERROR(IF(ISNUMBER(INDEX(PASTE_ALL,$DF517,$L$6)),INDEX(PASTE_ALL,$DF517,$L$6),TRIM(SUBSTITUTE(SUBSTITUTE(SUBSTITUTE(SUBSTITUTE(INDEX(PASTE_ALL,$DF517,$L$6)," "," "),CHAR(9)," "),CHAR(10)," "),CHAR(13)," "))),"")))</f>
        <v/>
      </c>
      <c r="DO517">
        <f>IF($DM517=0,"",IF($L$7=0,"",IFERROR(IF(ISNUMBER(INDEX(PASTE_ALL,$DF517,$L$7)),INDEX(PASTE_ALL,$DF517,$L$7),TRIM(SUBSTITUTE(SUBSTITUTE(SUBSTITUTE(SUBSTITUTE(INDEX(PASTE_ALL,$DF517,$L$7)," "," "),CHAR(9)," "),CHAR(10)," "),CHAR(13)," "))),"")))</f>
        <v/>
      </c>
      <c r="DP517">
        <f>IF($DM517=0,"",IF($L$8=0,"",IFERROR(IF(ISNUMBER(INDEX(PASTE_ALL,$DF517,$L$8)),INDEX(PASTE_ALL,$DF517,$L$8),TRIM(SUBSTITUTE(SUBSTITUTE(SUBSTITUTE(SUBSTITUTE(INDEX(PASTE_ALL,$DF517,$L$8)," "," "),CHAR(9)," "),CHAR(10)," "),CHAR(13)," "))),"")))</f>
        <v/>
      </c>
      <c r="DQ517">
        <f>IF($DM517=0,"",IF($L$9=0,"",IFERROR(IF(ISNUMBER(INDEX(PASTE_ALL,$DF517,$L$9)),INDEX(PASTE_ALL,$DF517,$L$9),TRIM(SUBSTITUTE(SUBSTITUTE(SUBSTITUTE(SUBSTITUTE(INDEX(PASTE_ALL,$DF517,$L$9)," "," "),CHAR(9)," "),CHAR(10)," "),CHAR(13)," "))),"")))</f>
        <v/>
      </c>
      <c r="DR517">
        <f>IF($DM517=0,"",IF($L$10=0,"",IFERROR(IF(ISNUMBER(INDEX(PASTE_ALL,$DF517,$L$10)),INDEX(PASTE_ALL,$DF517,$L$10),TRIM(SUBSTITUTE(SUBSTITUTE(SUBSTITUTE(SUBSTITUTE(INDEX(PASTE_ALL,$DF517,$L$10)," "," "),CHAR(9)," "),CHAR(10)," "),CHAR(13)," "))),"")))</f>
        <v/>
      </c>
      <c r="DS517">
        <f>IF($DM517=0,"",IF($L$11=0,"",IFERROR(IF(ISNUMBER(INDEX(PASTE_ALL,$DF517,$L$11)),INDEX(PASTE_ALL,$DF517,$L$11),TRIM(SUBSTITUTE(SUBSTITUTE(SUBSTITUTE(SUBSTITUTE(INDEX(PASTE_ALL,$DF517,$L$11)," "," "),CHAR(9)," "),CHAR(10)," "),CHAR(13)," "))),"")))</f>
        <v/>
      </c>
      <c r="DT517">
        <f>IF($DM517=0,"",IF($L$12=0,"",IFERROR(IF(ISNUMBER(INDEX(PASTE_ALL,$DF517,$L$12)),INDEX(PASTE_ALL,$DF517,$L$12),TRIM(SUBSTITUTE(SUBSTITUTE(SUBSTITUTE(SUBSTITUTE(INDEX(PASTE_ALL,$DF517,$L$12)," "," "),CHAR(9)," "),CHAR(10)," "),CHAR(13)," "))),"")))</f>
        <v/>
      </c>
      <c r="DU517">
        <f>IF($DM517=0,"",IF($L$13=0,"",IFERROR(IF(ISNUMBER(INDEX(PASTE_ALL,$DF517,$L$13)),INDEX(PASTE_ALL,$DF517,$L$13),TRIM(SUBSTITUTE(SUBSTITUTE(SUBSTITUTE(SUBSTITUTE(INDEX(PASTE_ALL,$DF517,$L$13)," "," "),CHAR(9)," "),CHAR(10)," "),CHAR(13)," "))),"")))</f>
        <v/>
      </c>
      <c r="DV517">
        <f>IF($DM517=0,"",IF($L$14=0,"",IFERROR(IF(ISNUMBER(INDEX(PASTE_ALL,$DF517,$L$14)),INDEX(PASTE_ALL,$DF517,$L$14),TRIM(SUBSTITUTE(SUBSTITUTE(SUBSTITUTE(SUBSTITUTE(INDEX(PASTE_ALL,$DF517,$L$14)," "," "),CHAR(9)," "),CHAR(10)," "),CHAR(13)," "))),"")))</f>
        <v/>
      </c>
      <c r="DW517">
        <f>IF($DM517=0,"",IF($L$15=0,"",IFERROR(IF(ISNUMBER(INDEX(PASTE_ALL,$DF517,$L$15)),INDEX(PASTE_ALL,$DF517,$L$15),IF(SUMPRODUCT(--ISNUMBER(FIND({"A","B","C","D","E","F","G","H","I","J","K","L","M","N","O","P","Q","R","S","T","U","V","W","X","Y","Z","0","1","2","3","4","5","6","7","8","9"},UPPER(TRIM(SUBSTITUTE(SUBSTITUTE(SUBSTITUTE(SUBSTITUTE(INDEX(PASTE_ALL,$DF517,$L$15)," "," "),CHAR(9)," "),CHAR(10)," "),CHAR(13)," "))))))&gt;0,TRIM(SUBSTITUTE(SUBSTITUTE(SUBSTITUTE(SUBSTITUTE(INDEX(PASTE_ALL,$DF517,$L$15)," "," "),CHAR(9)," "),CHAR(10)," "),CHAR(13)," ")),"")),"")))</f>
        <v/>
      </c>
      <c r="DX517">
        <f>IF($DM517=0,"",IF($L$16=0,"",IFERROR(IF(ISNUMBER(INDEX(PASTE_ALL,$DF517,$L$16)),INDEX(PASTE_ALL,$DF517,$L$16),SUBSTITUTE(SUBSTITUTE(TRIM(SUBSTITUTE(SUBSTITUTE(SUBSTITUTE(SUBSTITUTE(INDEX(PASTE_ALL,$DF517,$L$16)," "," "),CHAR(9)," "),CHAR(10)," "),CHAR(13)," ")),",",""),"%","")),"")))</f>
        <v/>
      </c>
      <c r="DY517">
        <f>IF($DM517=0,"",IFERROR(IF(ISNUMBER($DX517),$DX517,IF($DX517="","",IF(TRIM($DX517)="",0,IF(AND(AND(SUBSTITUTE(SUBSTITUTE(SUBSTITUTE(SUBSTITUTE(SUBSTITUTE(SUBSTITUTE(SUBSTITUTE(SUBSTITUTE(SUBSTITUTE(SUBSTITUTE(SUBSTITUTE(SUBSTITUTE(SUBSTITUTE(SUBSTITUTE(UPPER(TRIM($DX517)),"0",""),"1",""),"2",""),"3",""),"4",""),"5",""),"6",""),"7",""),"8",""),"9",""),".",""),"+",""),"-",""),"E","")="",LEN(SUBSTITUTE(SUBSTITUTE(MID(UPPER(TRIM($DX517)),1+OR(LEFT(UPPER(TRIM($DX517)),1)="+",LEFT(UPPER(TRIM($DX517)),1)="-"),999),"E+","E"),"E-","E"))=LEN(SUBSTITUTE(SUBSTITUTE(SUBSTITUTE(SUBSTITUTE(MID(UPPER(TRIM($DX517)),1+OR(LEFT(UPPER(TRIM($DX517)),1)="+",LEFT(UPPER(TRIM($DX517)),1)="-"),999),"E+","E"),"E-","E"),"+",""),"-","")),LEN(UPPER(TRIM($DX517)))-LEN(SUBSTITUTE(UPPER(TRIM($DX517)),"E",""))&lt;2,LEN(UPPER(TRIM($DX517)))-LEN(SUBSTITUTE(UPPER(TRIM($DX517)),".",""))&lt;2,IFERROR(FIND(".",UPPER(TRIM($DX517))),0)&lt;IFERROR(FIND("E",UPPER(TRIM($DX517))),999)),ISNUMBER(VALUE(TRIM($DX517)))),VALUE(TRIM($DX517)),"")))),""))</f>
        <v/>
      </c>
      <c r="DZ517">
        <f>IF($DM517=0,"",IF($L$17=0,"",IFERROR(IF(ISNUMBER(INDEX(PASTE_ALL,$DF517,$L$17)),INDEX(PASTE_ALL,$DF517,$L$17),SUBSTITUTE(SUBSTITUTE(TRIM(SUBSTITUTE(SUBSTITUTE(SUBSTITUTE(SUBSTITUTE(INDEX(PASTE_ALL,$DF517,$L$17)," "," "),CHAR(9)," "),CHAR(10)," "),CHAR(13)," ")),",",""),"%","")),"")))</f>
        <v/>
      </c>
      <c r="EA517">
        <f>IF($DM517=0,"",IFERROR(IF(ISNUMBER($DZ517),$DZ517,IF($DZ517="","",IF(TRIM($DZ517)="",0,IF(AND(AND(SUBSTITUTE(SUBSTITUTE(SUBSTITUTE(SUBSTITUTE(SUBSTITUTE(SUBSTITUTE(SUBSTITUTE(SUBSTITUTE(SUBSTITUTE(SUBSTITUTE(SUBSTITUTE(SUBSTITUTE(SUBSTITUTE(SUBSTITUTE(UPPER(TRIM($DZ517)),"0",""),"1",""),"2",""),"3",""),"4",""),"5",""),"6",""),"7",""),"8",""),"9",""),".",""),"+",""),"-",""),"E","")="",LEN(SUBSTITUTE(SUBSTITUTE(MID(UPPER(TRIM($DZ517)),1+OR(LEFT(UPPER(TRIM($DZ517)),1)="+",LEFT(UPPER(TRIM($DZ517)),1)="-"),999),"E+","E"),"E-","E"))=LEN(SUBSTITUTE(SUBSTITUTE(SUBSTITUTE(SUBSTITUTE(MID(UPPER(TRIM($DZ517)),1+OR(LEFT(UPPER(TRIM($DZ517)),1)="+",LEFT(UPPER(TRIM($DZ517)),1)="-"),999),"E+","E"),"E-","E"),"+",""),"-","")),LEN(UPPER(TRIM($DZ517)))-LEN(SUBSTITUTE(UPPER(TRIM($DZ517)),"E",""))&lt;2,LEN(UPPER(TRIM($DZ517)))-LEN(SUBSTITUTE(UPPER(TRIM($DZ517)),".",""))&lt;2,IFERROR(FIND(".",UPPER(TRIM($DZ517))),0)&lt;IFERROR(FIND("E",UPPER(TRIM($DZ517))),999)),ISNUMBER(VALUE(TRIM($DZ517)))),VALUE(TRIM($DZ517)),"")))),""))</f>
        <v/>
      </c>
      <c r="EB517">
        <f>IF($DM517=0,"",IF($L$18=0,"",IFERROR(IF(UPPER(TRIM(SUBSTITUTE(SUBSTITUTE(SUBSTITUTE(SUBSTITUTE(INDEX(PASTE_ALL,$DF517,$L$18)," "," "),CHAR(9)," "),CHAR(10)," "),CHAR(13)," ")))="READY","Ready",IF(UPPER(TRIM(SUBSTITUTE(SUBSTITUTE(SUBSTITUTE(SUBSTITUTE(INDEX(PASTE_ALL,$DF517,$L$18)," "," "),CHAR(9)," "),CHAR(10)," "),CHAR(13)," ")))="PM","PM",IF(OR(UPPER(TRIM(SUBSTITUTE(SUBSTITUTE(SUBSTITUTE(SUBSTITUTE(INDEX(PASTE_ALL,$DF517,$L$18)," "," "),CHAR(9)," "),CHAR(10)," "),CHAR(13)," ")))="OT",UPPER(TRIM(SUBSTITUTE(SUBSTITUTE(SUBSTITUTE(SUBSTITUTE(INDEX(PASTE_ALL,$DF517,$L$18)," "," "),CHAR(9)," "),CHAR(10)," "),CHAR(13)," ")))="OVERTIME",UPPER(TRIM(SUBSTITUTE(SUBSTITUTE(SUBSTITUTE(SUBSTITUTE(INDEX(PASTE_ALL,$DF517,$L$18)," "," "),CHAR(9)," "),CHAR(10)," "),CHAR(13)," ")))="TRIAL"),"OT",TRIM(SUBSTITUTE(SUBSTITUTE(SUBSTITUTE(SUBSTITUTE(INDEX(PASTE_ALL,$DF517,$L$18)," "," "),CHAR(9)," "),CHAR(10)," "),CHAR(13)," "))))),"")))</f>
        <v/>
      </c>
      <c r="EC517">
        <f>IF($DM517=0,"",IF($L$19=0,"",IFERROR(IF(ISNUMBER(INDEX(PASTE_ALL,$DF517,$L$19)),INDEX(PASTE_ALL,$DF517,$L$19),TRIM(SUBSTITUTE(SUBSTITUTE(SUBSTITUTE(SUBSTITUTE(INDEX(PASTE_ALL,$DF517,$L$19)," "," "),CHAR(9)," "),CHAR(10)," "),CHAR(13)," "))),"")))</f>
        <v/>
      </c>
      <c r="ED517">
        <f>IF($DM517=0,"",MATCH(1,INDEX(EXACT($DH$5:DH517,$DH517)*$DM$5:DM517,0),0))</f>
        <v/>
      </c>
      <c r="EE517">
        <f>IF($DM517=0,0,IF($ED517=$DE517,1,0))</f>
        <v/>
      </c>
      <c r="EF517">
        <f>EF516+$EE517</f>
        <v/>
      </c>
      <c r="EG517">
        <f>IF($DM517=0,"",INDEX($EF$5:$EF$1003,$ED517))</f>
        <v/>
      </c>
      <c r="EH517">
        <f>IF($DM517=0,"",IF($DO517&lt;&gt;"","",IFERROR(LOOKUP(2,1/(($EG$4:EG516=$EG517)*($DO$4:DO516&lt;&gt;"")),$DO$4:DO516),"")))</f>
        <v/>
      </c>
      <c r="EI517">
        <f>IF($DM517=0,"",IF($DO517&lt;&gt;"",$DO517,$EH517))</f>
        <v/>
      </c>
      <c r="EJ517">
        <f>IF($DM517=0,"",IF($EI517="",0,IF(OR(ISNUMBER($EI517),AND(AND(SUBSTITUTE(SUBSTITUTE(SUBSTITUTE(SUBSTITUTE(SUBSTITUTE(SUBSTITUTE(SUBSTITUTE(SUBSTITUTE(SUBSTITUTE(SUBSTITUTE(SUBSTITUTE(SUBSTITUTE(SUBSTITUTE(SUBSTITUTE(UPPER($EI517),"0",""),"1",""),"2",""),"3",""),"4",""),"5",""),"6",""),"7",""),"8",""),"9",""),".",""),"+",""),"-",""),"E","")="",LEN(SUBSTITUTE(SUBSTITUTE(MID(UPPER($EI517),1+OR(LEFT(UPPER($EI517),1)="+",LEFT(UPPER($EI517),1)="-"),999),"E+","E"),"E-","E"))=LEN(SUBSTITUTE(SUBSTITUTE(SUBSTITUTE(SUBSTITUTE(MID(UPPER($EI517),1+OR(LEFT(UPPER($EI517),1)="+",LEFT(UPPER($EI517),1)="-"),999),"E+","E"),"E-","E"),"+",""),"-","")),LEN(UPPER($EI517))-LEN(SUBSTITUTE(UPPER($EI517),"E",""))&lt;2,LEN(UPPER($EI517))-LEN(SUBSTITUTE(UPPER($EI517),".",""))&lt;2,IFERROR(FIND(".",UPPER($EI517)),0)&lt;IFERROR(FIND("E",UPPER($EI517)),999)),ISNUMBER(VALUE($EI517)))),1,2)))</f>
        <v/>
      </c>
      <c r="EK517">
        <f>IF($DM517=0,"",IF($EJ517=1,IF(ISNUMBER($EI517),$EI517,VALUE($EI517)),IF($EJ517=2,$DE517,0)))</f>
        <v/>
      </c>
      <c r="EL517">
        <f>IF($DM517=0,"",COUNTIF($EG$5:$EG$1003,"&lt;"&amp;$EG517)+SUMPRODUCT(($EG$5:$EG$1003=$EG517)*(($EJ$5:$EJ$1003&lt;$EJ517)+($EJ$5:$EJ$1003=$EJ517)*(($EK$5:$EK$1003&lt;$EK517)+($EK$5:$EK$1003=$EK517)*($DE$5:$DE$1003&lt;$DE517))))+1)</f>
        <v/>
      </c>
      <c r="EM517">
        <f>IF($DM517=0,"",$EL517+$EG517-1)</f>
        <v/>
      </c>
      <c r="EN517">
        <f>IF($DM517=0,0,IFERROR(MATCH(1,INDEX(--(TRIM(SUBSTITUTE(SUBSTITUTE(SUBSTITUTE(SUBSTITUTE(LINES_NAME&amp;""," "," "),CHAR(9)," "),CHAR(10)," "),CHAR(13)," "))=$DH517),0),0),0))</f>
        <v/>
      </c>
      <c r="EO517">
        <f>IF($EN517=0,0,IF(OR(UPPER(TRIM(INDEX(LINES_SCHEDULED,$EN517)&amp;""))="YES",UPPER(TRIM(INDEX(LINES_SCHEDULED,$EN517)&amp;""))="Y",UPPER(TRIM(INDEX(LINES_SCHEDULED,$EN517)&amp;""))="X"),1,0))</f>
        <v/>
      </c>
      <c r="EP517">
        <f>IF($DM517=0,"",IF(COUNTIFS($EG$5:$EG$1003,$EG517,$EB$5:$EB$1003,"Ready")&gt;0,"READY",IF(COUNTIFS($EG$5:$EG$1003,$EG517,$EB$5:$EB$1003,"PM")&gt;0,"PM",IF(COUNTIFS($EG$5:$EG$1003,$EG517,$EB$5:$EB$1003,"OT")&gt;0,"OT",""))))</f>
        <v/>
      </c>
      <c r="EQ517">
        <f>IF($EN517=0,"",UPPER(TRIM(INDEX(LINES_STATUS,$EN517)&amp;"")))</f>
        <v/>
      </c>
      <c r="ER517">
        <f>IF($DM517=0,"",IF(OR($EQ517="READY",$EQ517="PM",$EQ517="OT"),$EQ517,$EP517))</f>
        <v/>
      </c>
      <c r="ES517">
        <f>IF($DM517=0,"",IF(AND($DV517&lt;&gt;"",UPPER($DV517)&lt;&gt;"N"),"allergen",IF(ISNUMBER(SEARCH("oil",$DQ517)),"oil",IF(OR(EXACT($DS517,"A662"),EXACT($DS517,"A624")),"bulk",""))))</f>
        <v/>
      </c>
      <c r="ET517">
        <f>IF($DM517=0,"",IF(OR($EA517="",$EA517=0),"",$EA517/100))</f>
        <v/>
      </c>
      <c r="EU517">
        <f>IF(OR($ET517="",$DY517=""),"",INT($DY517*(1-$ET517)+0.5))</f>
        <v/>
      </c>
      <c r="EW517" t="n">
        <v>513</v>
      </c>
      <c r="EX517">
        <f>IFERROR(MATCH($EW517,$EM$5:$EM$1003,0),0)</f>
        <v/>
      </c>
      <c r="EY517">
        <f>IF($EW517&gt;$B$12,"",IF($EX517&gt;0,"row","spacer"))</f>
        <v/>
      </c>
      <c r="EZ517">
        <f>IF(AND($EY517="row",$EY516&lt;&gt;"row"),1,0)</f>
        <v/>
      </c>
      <c r="FA517">
        <f>IF(AND($EY517="row",$EY518&lt;&gt;"row"),1,0)</f>
        <v/>
      </c>
      <c r="FB517">
        <f>IF($EZ517=1,IFERROR(IF(ISNUMBER(INDEX(PASTE_ALL,INDEX($DF$5:$DF$1003,$EX517),$B$37)),INDEX(PASTE_ALL,INDEX($DF$5:$DF$1003,$EX517),$B$37),INDEX($DH$5:$DH$1003,$EX517)),INDEX($DH$5:$DH$1003,$EX517)),"")</f>
        <v/>
      </c>
      <c r="FC517">
        <f>IF($EY517="row",INDEX($ER$5:$ER$1003,$EX517),"")</f>
        <v/>
      </c>
      <c r="FD517">
        <f>IF($EY517="row",INDEX($DN$5:$DN$1003,$EX517),"")</f>
        <v/>
      </c>
      <c r="FE517">
        <f>IF($EY517="row",INDEX($DO$5:$DO$1003,$EX517),"")</f>
        <v/>
      </c>
      <c r="FF517">
        <f>IF($EY517="row",INDEX($DP$5:$DP$1003,$EX517),"")</f>
        <v/>
      </c>
      <c r="FG517">
        <f>IF($EY517="row",INDEX($DQ$5:$DQ$1003,$EX517),"")</f>
        <v/>
      </c>
      <c r="FH517">
        <f>IF($EY517="row",INDEX($DR$5:$DR$1003,$EX517),"")</f>
        <v/>
      </c>
      <c r="FI517">
        <f>IF($EY517="row",INDEX($DS$5:$DS$1003,$EX517),"")</f>
        <v/>
      </c>
      <c r="FJ517">
        <f>IF($EY517="row",INDEX($DT$5:$DT$1003,$EX517),"")</f>
        <v/>
      </c>
      <c r="FK517">
        <f>IF($EY517="row",INDEX($DU$5:$DU$1003,$EX517),"")</f>
        <v/>
      </c>
      <c r="FL517">
        <f>IF($EY517="row",INDEX($DV$5:$DV$1003,$EX517),"")</f>
        <v/>
      </c>
      <c r="FM517">
        <f>IF($EY517="row",INDEX($DW$5:$DW$1003,$EX517),"")</f>
        <v/>
      </c>
      <c r="FN517">
        <f>IF($EY517="row",INDEX($DY$5:$DY$1003,$EX517),"")</f>
        <v/>
      </c>
      <c r="FO517">
        <f>IF($EY517="row",INDEX($EA$5:$EA$1003,$EX517),"")</f>
        <v/>
      </c>
      <c r="FP517">
        <f>IF($EY517="row",INDEX($EC$5:$EC$1003,$EX517),"")</f>
        <v/>
      </c>
      <c r="FQ517">
        <f>IF($EY517="row",INDEX($ET$5:$ET$1003,$EX517),"")</f>
        <v/>
      </c>
      <c r="FR517">
        <f>IF($EY517="row",INDEX($EU$5:$EU$1003,$EX517),"")</f>
        <v/>
      </c>
      <c r="FS517">
        <f>IF(AND($EY517="row",$EY516="row"),IF(OR(INDEX($DT$5:$DT$1003,$EX516)="",INDEX($DT$5:$DT$1003,$EX517)=""),"",IF(NOT(EXACT(INDEX($DT$5:$DT$1003,$EX516),INDEX($DT$5:$DT$1003,$EX517))),"S4",IF(NOT(EXACT(INDEX($DS$5:$DS$1003,$EX516),INDEX($DS$5:$DS$1003,$EX517))),"S3",IF(NOT(EXACT(INDEX($DR$5:$DR$1003,$EX516),INDEX($DR$5:$DR$1003,$EX517))),"S1 Count Change","S1")))),"")</f>
        <v/>
      </c>
      <c r="FT517">
        <f>IF($EY517="row",INDEX($ES$5:$ES$1003,$EX517),"")</f>
        <v/>
      </c>
      <c r="FU517">
        <f>IF($EY517="row",INDEX($EO$5:$EO$1003,$EX517),0)</f>
        <v/>
      </c>
      <c r="FV517">
        <f>IF($FS517="S1 Count Change",1,0)</f>
        <v/>
      </c>
    </row>
    <row r="518">
      <c r="DA518" t="n">
        <v>514</v>
      </c>
      <c r="DB518">
        <f>IF($B$37=0,"",IFERROR(TRIM(SUBSTITUTE(SUBSTITUTE(SUBSTITUTE(SUBSTITUTE(INDEX(PASTE_ALL,514,$B$37)," "," "),CHAR(9)," "),CHAR(10)," "),CHAR(13)," ")),""))</f>
        <v/>
      </c>
      <c r="DC518">
        <f>IF(AND(514&gt;HEADER_ROW,UPPER(DB518)="LEGEND"),1,0)</f>
        <v/>
      </c>
      <c r="DE518" t="n">
        <v>514</v>
      </c>
      <c r="DF518">
        <f>HEADER_ROW+$DE518</f>
        <v/>
      </c>
      <c r="DG518">
        <f>IF(AND($DF518&lt;=1000,$DF518&lt;$B$8),1,0)</f>
        <v/>
      </c>
      <c r="DH518">
        <f>IF($DG518=1,IFERROR(INDEX($DB$5:$DB$1004,$DF518),""),"")</f>
        <v/>
      </c>
      <c r="DI518">
        <f>IF(AND($DG518=1,$DH518&lt;&gt;""),IFERROR(SUBSTITUTE(SUBSTITUTE(TRIM(SUBSTITUTE(SUBSTITUTE(SUBSTITUTE(SUBSTITUTE(IFERROR(INDEX(PASTE_ALL,$DF518,1)&amp;"","")&amp;"␟"&amp;IFERROR(INDEX(PASTE_ALL,$DF518,2)&amp;"","")&amp;"␟"&amp;IFERROR(INDEX(PASTE_ALL,$DF518,3)&amp;"","")&amp;"␟"&amp;IFERROR(INDEX(PASTE_ALL,$DF518,4)&amp;"","")&amp;"␟"&amp;IFERROR(INDEX(PASTE_ALL,$DF518,5)&amp;"","")&amp;"␟"&amp;IFERROR(INDEX(PASTE_ALL,$DF518,6)&amp;"","")&amp;"␟"&amp;IFERROR(INDEX(PASTE_ALL,$DF518,7)&amp;"","")&amp;"␟"&amp;IFERROR(INDEX(PASTE_ALL,$DF518,8)&amp;"","")&amp;"␟"&amp;IFERROR(INDEX(PASTE_ALL,$DF518,9)&amp;"","")&amp;"␟"&amp;IFERROR(INDEX(PASTE_ALL,$DF518,10)&amp;"","")&amp;"␟"&amp;IFERROR(INDEX(PASTE_ALL,$DF518,11)&amp;"","")&amp;"␟"&amp;IFERROR(INDEX(PASTE_ALL,$DF518,12)&amp;"","")&amp;"␟"&amp;IFERROR(INDEX(PASTE_ALL,$DF518,13)&amp;"","")&amp;"␟"&amp;IFERROR(INDEX(PASTE_ALL,$DF518,14)&amp;"","")&amp;"␟"&amp;IFERROR(INDEX(PASTE_ALL,$DF518,15)&amp;"","")&amp;"␟"&amp;IFERROR(INDEX(PASTE_ALL,$DF518,16)&amp;"","")&amp;"␟"&amp;IFERROR(INDEX(PASTE_ALL,$DF518,17)&amp;"","")&amp;"␟"&amp;IFERROR(INDEX(PASTE_ALL,$DF518,18)&amp;"","")&amp;"␟"&amp;IFERROR(INDEX(PASTE_ALL,$DF518,19)&amp;"","")&amp;"␟"&amp;IFERROR(INDEX(PASTE_ALL,$DF518,20)&amp;"","")&amp;"␟"&amp;IFERROR(INDEX(PASTE_ALL,$DF518,21)&amp;"","")&amp;"␟"&amp;IFERROR(INDEX(PASTE_ALL,$DF518,22)&amp;"","")&amp;"␟"&amp;IFERROR(INDEX(PASTE_ALL,$DF518,23)&amp;"","")&amp;"␟"&amp;IFERROR(INDEX(PASTE_ALL,$DF518,24)&amp;"","")&amp;"␟"&amp;IFERROR(INDEX(PASTE_ALL,$DF518,25)&amp;"","")&amp;"␟"&amp;IFERROR(INDEX(PASTE_ALL,$DF518,26)&amp;"","")&amp;"␟"&amp;IFERROR(INDEX(PASTE_ALL,$DF518,27)&amp;"","")&amp;"␟"&amp;IFERROR(INDEX(PASTE_ALL,$DF518,28)&amp;"","")&amp;"␟"&amp;IFERROR(INDEX(PASTE_ALL,$DF518,29)&amp;"","")&amp;"␟"&amp;IFERROR(INDEX(PASTE_ALL,$DF518,30)&amp;"","")&amp;"␟"&amp;IFERROR(INDEX(PASTE_ALL,$DF518,31)&amp;"","")&amp;"␟"&amp;IFERROR(INDEX(PASTE_ALL,$DF518,32)&amp;"","")&amp;"␟"&amp;IFERROR(INDEX(PASTE_ALL,$DF518,33)&amp;"","")&amp;"␟"&amp;IFERROR(INDEX(PASTE_ALL,$DF518,34)&amp;"","")&amp;"␟"&amp;IFERROR(INDEX(PASTE_ALL,$DF518,35)&amp;"","")&amp;"␟"&amp;IFERROR(INDEX(PASTE_ALL,$DF518,36)&amp;"","")&amp;"␟"&amp;IFERROR(INDEX(PASTE_ALL,$DF518,37)&amp;"","")&amp;"␟"&amp;IFERROR(INDEX(PASTE_ALL,$DF518,38)&amp;"","")&amp;"␟"&amp;IFERROR(INDEX(PASTE_ALL,$DF518,39)&amp;"","")&amp;"␟"&amp;IFERROR(INDEX(PASTE_ALL,$DF518,40)&amp;"","")&amp;"␟"&amp;IFERROR(INDEX(PASTE_ALL,$DF518,41)&amp;"","")&amp;"␟"&amp;IFERROR(INDEX(PASTE_ALL,$DF518,42)&amp;"","")&amp;"␟"&amp;IFERROR(INDEX(PASTE_ALL,$DF518,43)&amp;"","")&amp;"␟"&amp;IFERROR(INDEX(PASTE_ALL,$DF518,44)&amp;"","")&amp;"␟"&amp;IFERROR(INDEX(PASTE_ALL,$DF518,45)&amp;"","")&amp;"␟"&amp;IFERROR(INDEX(PASTE_ALL,$DF518,46)&amp;"","")&amp;"␟"&amp;IFERROR(INDEX(PASTE_ALL,$DF518,47)&amp;"","")&amp;"␟"&amp;IFERROR(INDEX(PASTE_ALL,$DF518,48)&amp;"","")&amp;"␟"&amp;IFERROR(INDEX(PASTE_ALL,$DF518,49)&amp;"","")&amp;"␟"&amp;IFERROR(INDEX(PASTE_ALL,$DF518,50)&amp;"","")&amp;"␟"&amp;IFERROR(INDEX(PASTE_ALL,$DF518,51)&amp;"","")&amp;"␟"&amp;IFERROR(INDEX(PASTE_ALL,$DF518,52)&amp;"","")&amp;"␟"&amp;IFERROR(INDEX(PASTE_ALL,$DF518,53)&amp;"","")&amp;"␟"&amp;IFERROR(INDEX(PASTE_ALL,$DF518,54)&amp;"","")&amp;"␟"&amp;IFERROR(INDEX(PASTE_ALL,$DF518,55)&amp;"","")&amp;"␟"&amp;IFERROR(INDEX(PASTE_ALL,$DF518,56)&amp;"","")&amp;"␟"&amp;IFERROR(INDEX(PASTE_ALL,$DF518,57)&amp;"","")&amp;"␟"&amp;IFERROR(INDEX(PASTE_ALL,$DF518,58)&amp;"","")&amp;"␟"&amp;IFERROR(INDEX(PASTE_ALL,$DF518,59)&amp;"","")&amp;"␟"&amp;IFERROR(INDEX(PASTE_ALL,$DF518,60)&amp;"","")," "," "),CHAR(9)," "),CHAR(10)," "),CHAR(13)," "))," ␟","␟"),"␟ ","␟"),"#"&amp;$DE518),"")</f>
        <v/>
      </c>
      <c r="DJ518">
        <f>IF($DI518="",0,IF(SUMPRODUCT(--EXACT($DI$4:DI517,$DI518))&gt;0,1,0))</f>
        <v/>
      </c>
      <c r="DK518">
        <f>IF(AND($DI518&lt;&gt;"",$DJ518=0),1,0)</f>
        <v/>
      </c>
      <c r="DL518">
        <f>DL517+$DK518</f>
        <v/>
      </c>
      <c r="DM518">
        <f>IF(AND($DK518=1,$DL518&lt;=600),1,0)</f>
        <v/>
      </c>
      <c r="DN518">
        <f>IF($DM518=0,"",IF($L$6=0,"",IFERROR(IF(ISNUMBER(INDEX(PASTE_ALL,$DF518,$L$6)),INDEX(PASTE_ALL,$DF518,$L$6),TRIM(SUBSTITUTE(SUBSTITUTE(SUBSTITUTE(SUBSTITUTE(INDEX(PASTE_ALL,$DF518,$L$6)," "," "),CHAR(9)," "),CHAR(10)," "),CHAR(13)," "))),"")))</f>
        <v/>
      </c>
      <c r="DO518">
        <f>IF($DM518=0,"",IF($L$7=0,"",IFERROR(IF(ISNUMBER(INDEX(PASTE_ALL,$DF518,$L$7)),INDEX(PASTE_ALL,$DF518,$L$7),TRIM(SUBSTITUTE(SUBSTITUTE(SUBSTITUTE(SUBSTITUTE(INDEX(PASTE_ALL,$DF518,$L$7)," "," "),CHAR(9)," "),CHAR(10)," "),CHAR(13)," "))),"")))</f>
        <v/>
      </c>
      <c r="DP518">
        <f>IF($DM518=0,"",IF($L$8=0,"",IFERROR(IF(ISNUMBER(INDEX(PASTE_ALL,$DF518,$L$8)),INDEX(PASTE_ALL,$DF518,$L$8),TRIM(SUBSTITUTE(SUBSTITUTE(SUBSTITUTE(SUBSTITUTE(INDEX(PASTE_ALL,$DF518,$L$8)," "," "),CHAR(9)," "),CHAR(10)," "),CHAR(13)," "))),"")))</f>
        <v/>
      </c>
      <c r="DQ518">
        <f>IF($DM518=0,"",IF($L$9=0,"",IFERROR(IF(ISNUMBER(INDEX(PASTE_ALL,$DF518,$L$9)),INDEX(PASTE_ALL,$DF518,$L$9),TRIM(SUBSTITUTE(SUBSTITUTE(SUBSTITUTE(SUBSTITUTE(INDEX(PASTE_ALL,$DF518,$L$9)," "," "),CHAR(9)," "),CHAR(10)," "),CHAR(13)," "))),"")))</f>
        <v/>
      </c>
      <c r="DR518">
        <f>IF($DM518=0,"",IF($L$10=0,"",IFERROR(IF(ISNUMBER(INDEX(PASTE_ALL,$DF518,$L$10)),INDEX(PASTE_ALL,$DF518,$L$10),TRIM(SUBSTITUTE(SUBSTITUTE(SUBSTITUTE(SUBSTITUTE(INDEX(PASTE_ALL,$DF518,$L$10)," "," "),CHAR(9)," "),CHAR(10)," "),CHAR(13)," "))),"")))</f>
        <v/>
      </c>
      <c r="DS518">
        <f>IF($DM518=0,"",IF($L$11=0,"",IFERROR(IF(ISNUMBER(INDEX(PASTE_ALL,$DF518,$L$11)),INDEX(PASTE_ALL,$DF518,$L$11),TRIM(SUBSTITUTE(SUBSTITUTE(SUBSTITUTE(SUBSTITUTE(INDEX(PASTE_ALL,$DF518,$L$11)," "," "),CHAR(9)," "),CHAR(10)," "),CHAR(13)," "))),"")))</f>
        <v/>
      </c>
      <c r="DT518">
        <f>IF($DM518=0,"",IF($L$12=0,"",IFERROR(IF(ISNUMBER(INDEX(PASTE_ALL,$DF518,$L$12)),INDEX(PASTE_ALL,$DF518,$L$12),TRIM(SUBSTITUTE(SUBSTITUTE(SUBSTITUTE(SUBSTITUTE(INDEX(PASTE_ALL,$DF518,$L$12)," "," "),CHAR(9)," "),CHAR(10)," "),CHAR(13)," "))),"")))</f>
        <v/>
      </c>
      <c r="DU518">
        <f>IF($DM518=0,"",IF($L$13=0,"",IFERROR(IF(ISNUMBER(INDEX(PASTE_ALL,$DF518,$L$13)),INDEX(PASTE_ALL,$DF518,$L$13),TRIM(SUBSTITUTE(SUBSTITUTE(SUBSTITUTE(SUBSTITUTE(INDEX(PASTE_ALL,$DF518,$L$13)," "," "),CHAR(9)," "),CHAR(10)," "),CHAR(13)," "))),"")))</f>
        <v/>
      </c>
      <c r="DV518">
        <f>IF($DM518=0,"",IF($L$14=0,"",IFERROR(IF(ISNUMBER(INDEX(PASTE_ALL,$DF518,$L$14)),INDEX(PASTE_ALL,$DF518,$L$14),TRIM(SUBSTITUTE(SUBSTITUTE(SUBSTITUTE(SUBSTITUTE(INDEX(PASTE_ALL,$DF518,$L$14)," "," "),CHAR(9)," "),CHAR(10)," "),CHAR(13)," "))),"")))</f>
        <v/>
      </c>
      <c r="DW518">
        <f>IF($DM518=0,"",IF($L$15=0,"",IFERROR(IF(ISNUMBER(INDEX(PASTE_ALL,$DF518,$L$15)),INDEX(PASTE_ALL,$DF518,$L$15),IF(SUMPRODUCT(--ISNUMBER(FIND({"A","B","C","D","E","F","G","H","I","J","K","L","M","N","O","P","Q","R","S","T","U","V","W","X","Y","Z","0","1","2","3","4","5","6","7","8","9"},UPPER(TRIM(SUBSTITUTE(SUBSTITUTE(SUBSTITUTE(SUBSTITUTE(INDEX(PASTE_ALL,$DF518,$L$15)," "," "),CHAR(9)," "),CHAR(10)," "),CHAR(13)," "))))))&gt;0,TRIM(SUBSTITUTE(SUBSTITUTE(SUBSTITUTE(SUBSTITUTE(INDEX(PASTE_ALL,$DF518,$L$15)," "," "),CHAR(9)," "),CHAR(10)," "),CHAR(13)," ")),"")),"")))</f>
        <v/>
      </c>
      <c r="DX518">
        <f>IF($DM518=0,"",IF($L$16=0,"",IFERROR(IF(ISNUMBER(INDEX(PASTE_ALL,$DF518,$L$16)),INDEX(PASTE_ALL,$DF518,$L$16),SUBSTITUTE(SUBSTITUTE(TRIM(SUBSTITUTE(SUBSTITUTE(SUBSTITUTE(SUBSTITUTE(INDEX(PASTE_ALL,$DF518,$L$16)," "," "),CHAR(9)," "),CHAR(10)," "),CHAR(13)," ")),",",""),"%","")),"")))</f>
        <v/>
      </c>
      <c r="DY518">
        <f>IF($DM518=0,"",IFERROR(IF(ISNUMBER($DX518),$DX518,IF($DX518="","",IF(TRIM($DX518)="",0,IF(AND(AND(SUBSTITUTE(SUBSTITUTE(SUBSTITUTE(SUBSTITUTE(SUBSTITUTE(SUBSTITUTE(SUBSTITUTE(SUBSTITUTE(SUBSTITUTE(SUBSTITUTE(SUBSTITUTE(SUBSTITUTE(SUBSTITUTE(SUBSTITUTE(UPPER(TRIM($DX518)),"0",""),"1",""),"2",""),"3",""),"4",""),"5",""),"6",""),"7",""),"8",""),"9",""),".",""),"+",""),"-",""),"E","")="",LEN(SUBSTITUTE(SUBSTITUTE(MID(UPPER(TRIM($DX518)),1+OR(LEFT(UPPER(TRIM($DX518)),1)="+",LEFT(UPPER(TRIM($DX518)),1)="-"),999),"E+","E"),"E-","E"))=LEN(SUBSTITUTE(SUBSTITUTE(SUBSTITUTE(SUBSTITUTE(MID(UPPER(TRIM($DX518)),1+OR(LEFT(UPPER(TRIM($DX518)),1)="+",LEFT(UPPER(TRIM($DX518)),1)="-"),999),"E+","E"),"E-","E"),"+",""),"-","")),LEN(UPPER(TRIM($DX518)))-LEN(SUBSTITUTE(UPPER(TRIM($DX518)),"E",""))&lt;2,LEN(UPPER(TRIM($DX518)))-LEN(SUBSTITUTE(UPPER(TRIM($DX518)),".",""))&lt;2,IFERROR(FIND(".",UPPER(TRIM($DX518))),0)&lt;IFERROR(FIND("E",UPPER(TRIM($DX518))),999)),ISNUMBER(VALUE(TRIM($DX518)))),VALUE(TRIM($DX518)),"")))),""))</f>
        <v/>
      </c>
      <c r="DZ518">
        <f>IF($DM518=0,"",IF($L$17=0,"",IFERROR(IF(ISNUMBER(INDEX(PASTE_ALL,$DF518,$L$17)),INDEX(PASTE_ALL,$DF518,$L$17),SUBSTITUTE(SUBSTITUTE(TRIM(SUBSTITUTE(SUBSTITUTE(SUBSTITUTE(SUBSTITUTE(INDEX(PASTE_ALL,$DF518,$L$17)," "," "),CHAR(9)," "),CHAR(10)," "),CHAR(13)," ")),",",""),"%","")),"")))</f>
        <v/>
      </c>
      <c r="EA518">
        <f>IF($DM518=0,"",IFERROR(IF(ISNUMBER($DZ518),$DZ518,IF($DZ518="","",IF(TRIM($DZ518)="",0,IF(AND(AND(SUBSTITUTE(SUBSTITUTE(SUBSTITUTE(SUBSTITUTE(SUBSTITUTE(SUBSTITUTE(SUBSTITUTE(SUBSTITUTE(SUBSTITUTE(SUBSTITUTE(SUBSTITUTE(SUBSTITUTE(SUBSTITUTE(SUBSTITUTE(UPPER(TRIM($DZ518)),"0",""),"1",""),"2",""),"3",""),"4",""),"5",""),"6",""),"7",""),"8",""),"9",""),".",""),"+",""),"-",""),"E","")="",LEN(SUBSTITUTE(SUBSTITUTE(MID(UPPER(TRIM($DZ518)),1+OR(LEFT(UPPER(TRIM($DZ518)),1)="+",LEFT(UPPER(TRIM($DZ518)),1)="-"),999),"E+","E"),"E-","E"))=LEN(SUBSTITUTE(SUBSTITUTE(SUBSTITUTE(SUBSTITUTE(MID(UPPER(TRIM($DZ518)),1+OR(LEFT(UPPER(TRIM($DZ518)),1)="+",LEFT(UPPER(TRIM($DZ518)),1)="-"),999),"E+","E"),"E-","E"),"+",""),"-","")),LEN(UPPER(TRIM($DZ518)))-LEN(SUBSTITUTE(UPPER(TRIM($DZ518)),"E",""))&lt;2,LEN(UPPER(TRIM($DZ518)))-LEN(SUBSTITUTE(UPPER(TRIM($DZ518)),".",""))&lt;2,IFERROR(FIND(".",UPPER(TRIM($DZ518))),0)&lt;IFERROR(FIND("E",UPPER(TRIM($DZ518))),999)),ISNUMBER(VALUE(TRIM($DZ518)))),VALUE(TRIM($DZ518)),"")))),""))</f>
        <v/>
      </c>
      <c r="EB518">
        <f>IF($DM518=0,"",IF($L$18=0,"",IFERROR(IF(UPPER(TRIM(SUBSTITUTE(SUBSTITUTE(SUBSTITUTE(SUBSTITUTE(INDEX(PASTE_ALL,$DF518,$L$18)," "," "),CHAR(9)," "),CHAR(10)," "),CHAR(13)," ")))="READY","Ready",IF(UPPER(TRIM(SUBSTITUTE(SUBSTITUTE(SUBSTITUTE(SUBSTITUTE(INDEX(PASTE_ALL,$DF518,$L$18)," "," "),CHAR(9)," "),CHAR(10)," "),CHAR(13)," ")))="PM","PM",IF(OR(UPPER(TRIM(SUBSTITUTE(SUBSTITUTE(SUBSTITUTE(SUBSTITUTE(INDEX(PASTE_ALL,$DF518,$L$18)," "," "),CHAR(9)," "),CHAR(10)," "),CHAR(13)," ")))="OT",UPPER(TRIM(SUBSTITUTE(SUBSTITUTE(SUBSTITUTE(SUBSTITUTE(INDEX(PASTE_ALL,$DF518,$L$18)," "," "),CHAR(9)," "),CHAR(10)," "),CHAR(13)," ")))="OVERTIME",UPPER(TRIM(SUBSTITUTE(SUBSTITUTE(SUBSTITUTE(SUBSTITUTE(INDEX(PASTE_ALL,$DF518,$L$18)," "," "),CHAR(9)," "),CHAR(10)," "),CHAR(13)," ")))="TRIAL"),"OT",TRIM(SUBSTITUTE(SUBSTITUTE(SUBSTITUTE(SUBSTITUTE(INDEX(PASTE_ALL,$DF518,$L$18)," "," "),CHAR(9)," "),CHAR(10)," "),CHAR(13)," "))))),"")))</f>
        <v/>
      </c>
      <c r="EC518">
        <f>IF($DM518=0,"",IF($L$19=0,"",IFERROR(IF(ISNUMBER(INDEX(PASTE_ALL,$DF518,$L$19)),INDEX(PASTE_ALL,$DF518,$L$19),TRIM(SUBSTITUTE(SUBSTITUTE(SUBSTITUTE(SUBSTITUTE(INDEX(PASTE_ALL,$DF518,$L$19)," "," "),CHAR(9)," "),CHAR(10)," "),CHAR(13)," "))),"")))</f>
        <v/>
      </c>
      <c r="ED518">
        <f>IF($DM518=0,"",MATCH(1,INDEX(EXACT($DH$5:DH518,$DH518)*$DM$5:DM518,0),0))</f>
        <v/>
      </c>
      <c r="EE518">
        <f>IF($DM518=0,0,IF($ED518=$DE518,1,0))</f>
        <v/>
      </c>
      <c r="EF518">
        <f>EF517+$EE518</f>
        <v/>
      </c>
      <c r="EG518">
        <f>IF($DM518=0,"",INDEX($EF$5:$EF$1003,$ED518))</f>
        <v/>
      </c>
      <c r="EH518">
        <f>IF($DM518=0,"",IF($DO518&lt;&gt;"","",IFERROR(LOOKUP(2,1/(($EG$4:EG517=$EG518)*($DO$4:DO517&lt;&gt;"")),$DO$4:DO517),"")))</f>
        <v/>
      </c>
      <c r="EI518">
        <f>IF($DM518=0,"",IF($DO518&lt;&gt;"",$DO518,$EH518))</f>
        <v/>
      </c>
      <c r="EJ518">
        <f>IF($DM518=0,"",IF($EI518="",0,IF(OR(ISNUMBER($EI518),AND(AND(SUBSTITUTE(SUBSTITUTE(SUBSTITUTE(SUBSTITUTE(SUBSTITUTE(SUBSTITUTE(SUBSTITUTE(SUBSTITUTE(SUBSTITUTE(SUBSTITUTE(SUBSTITUTE(SUBSTITUTE(SUBSTITUTE(SUBSTITUTE(UPPER($EI518),"0",""),"1",""),"2",""),"3",""),"4",""),"5",""),"6",""),"7",""),"8",""),"9",""),".",""),"+",""),"-",""),"E","")="",LEN(SUBSTITUTE(SUBSTITUTE(MID(UPPER($EI518),1+OR(LEFT(UPPER($EI518),1)="+",LEFT(UPPER($EI518),1)="-"),999),"E+","E"),"E-","E"))=LEN(SUBSTITUTE(SUBSTITUTE(SUBSTITUTE(SUBSTITUTE(MID(UPPER($EI518),1+OR(LEFT(UPPER($EI518),1)="+",LEFT(UPPER($EI518),1)="-"),999),"E+","E"),"E-","E"),"+",""),"-","")),LEN(UPPER($EI518))-LEN(SUBSTITUTE(UPPER($EI518),"E",""))&lt;2,LEN(UPPER($EI518))-LEN(SUBSTITUTE(UPPER($EI518),".",""))&lt;2,IFERROR(FIND(".",UPPER($EI518)),0)&lt;IFERROR(FIND("E",UPPER($EI518)),999)),ISNUMBER(VALUE($EI518)))),1,2)))</f>
        <v/>
      </c>
      <c r="EK518">
        <f>IF($DM518=0,"",IF($EJ518=1,IF(ISNUMBER($EI518),$EI518,VALUE($EI518)),IF($EJ518=2,$DE518,0)))</f>
        <v/>
      </c>
      <c r="EL518">
        <f>IF($DM518=0,"",COUNTIF($EG$5:$EG$1003,"&lt;"&amp;$EG518)+SUMPRODUCT(($EG$5:$EG$1003=$EG518)*(($EJ$5:$EJ$1003&lt;$EJ518)+($EJ$5:$EJ$1003=$EJ518)*(($EK$5:$EK$1003&lt;$EK518)+($EK$5:$EK$1003=$EK518)*($DE$5:$DE$1003&lt;$DE518))))+1)</f>
        <v/>
      </c>
      <c r="EM518">
        <f>IF($DM518=0,"",$EL518+$EG518-1)</f>
        <v/>
      </c>
      <c r="EN518">
        <f>IF($DM518=0,0,IFERROR(MATCH(1,INDEX(--(TRIM(SUBSTITUTE(SUBSTITUTE(SUBSTITUTE(SUBSTITUTE(LINES_NAME&amp;""," "," "),CHAR(9)," "),CHAR(10)," "),CHAR(13)," "))=$DH518),0),0),0))</f>
        <v/>
      </c>
      <c r="EO518">
        <f>IF($EN518=0,0,IF(OR(UPPER(TRIM(INDEX(LINES_SCHEDULED,$EN518)&amp;""))="YES",UPPER(TRIM(INDEX(LINES_SCHEDULED,$EN518)&amp;""))="Y",UPPER(TRIM(INDEX(LINES_SCHEDULED,$EN518)&amp;""))="X"),1,0))</f>
        <v/>
      </c>
      <c r="EP518">
        <f>IF($DM518=0,"",IF(COUNTIFS($EG$5:$EG$1003,$EG518,$EB$5:$EB$1003,"Ready")&gt;0,"READY",IF(COUNTIFS($EG$5:$EG$1003,$EG518,$EB$5:$EB$1003,"PM")&gt;0,"PM",IF(COUNTIFS($EG$5:$EG$1003,$EG518,$EB$5:$EB$1003,"OT")&gt;0,"OT",""))))</f>
        <v/>
      </c>
      <c r="EQ518">
        <f>IF($EN518=0,"",UPPER(TRIM(INDEX(LINES_STATUS,$EN518)&amp;"")))</f>
        <v/>
      </c>
      <c r="ER518">
        <f>IF($DM518=0,"",IF(OR($EQ518="READY",$EQ518="PM",$EQ518="OT"),$EQ518,$EP518))</f>
        <v/>
      </c>
      <c r="ES518">
        <f>IF($DM518=0,"",IF(AND($DV518&lt;&gt;"",UPPER($DV518)&lt;&gt;"N"),"allergen",IF(ISNUMBER(SEARCH("oil",$DQ518)),"oil",IF(OR(EXACT($DS518,"A662"),EXACT($DS518,"A624")),"bulk",""))))</f>
        <v/>
      </c>
      <c r="ET518">
        <f>IF($DM518=0,"",IF(OR($EA518="",$EA518=0),"",$EA518/100))</f>
        <v/>
      </c>
      <c r="EU518">
        <f>IF(OR($ET518="",$DY518=""),"",INT($DY518*(1-$ET518)+0.5))</f>
        <v/>
      </c>
      <c r="EW518" t="n">
        <v>514</v>
      </c>
      <c r="EX518">
        <f>IFERROR(MATCH($EW518,$EM$5:$EM$1003,0),0)</f>
        <v/>
      </c>
      <c r="EY518">
        <f>IF($EW518&gt;$B$12,"",IF($EX518&gt;0,"row","spacer"))</f>
        <v/>
      </c>
      <c r="EZ518">
        <f>IF(AND($EY518="row",$EY517&lt;&gt;"row"),1,0)</f>
        <v/>
      </c>
      <c r="FA518">
        <f>IF(AND($EY518="row",$EY519&lt;&gt;"row"),1,0)</f>
        <v/>
      </c>
      <c r="FB518">
        <f>IF($EZ518=1,IFERROR(IF(ISNUMBER(INDEX(PASTE_ALL,INDEX($DF$5:$DF$1003,$EX518),$B$37)),INDEX(PASTE_ALL,INDEX($DF$5:$DF$1003,$EX518),$B$37),INDEX($DH$5:$DH$1003,$EX518)),INDEX($DH$5:$DH$1003,$EX518)),"")</f>
        <v/>
      </c>
      <c r="FC518">
        <f>IF($EY518="row",INDEX($ER$5:$ER$1003,$EX518),"")</f>
        <v/>
      </c>
      <c r="FD518">
        <f>IF($EY518="row",INDEX($DN$5:$DN$1003,$EX518),"")</f>
        <v/>
      </c>
      <c r="FE518">
        <f>IF($EY518="row",INDEX($DO$5:$DO$1003,$EX518),"")</f>
        <v/>
      </c>
      <c r="FF518">
        <f>IF($EY518="row",INDEX($DP$5:$DP$1003,$EX518),"")</f>
        <v/>
      </c>
      <c r="FG518">
        <f>IF($EY518="row",INDEX($DQ$5:$DQ$1003,$EX518),"")</f>
        <v/>
      </c>
      <c r="FH518">
        <f>IF($EY518="row",INDEX($DR$5:$DR$1003,$EX518),"")</f>
        <v/>
      </c>
      <c r="FI518">
        <f>IF($EY518="row",INDEX($DS$5:$DS$1003,$EX518),"")</f>
        <v/>
      </c>
      <c r="FJ518">
        <f>IF($EY518="row",INDEX($DT$5:$DT$1003,$EX518),"")</f>
        <v/>
      </c>
      <c r="FK518">
        <f>IF($EY518="row",INDEX($DU$5:$DU$1003,$EX518),"")</f>
        <v/>
      </c>
      <c r="FL518">
        <f>IF($EY518="row",INDEX($DV$5:$DV$1003,$EX518),"")</f>
        <v/>
      </c>
      <c r="FM518">
        <f>IF($EY518="row",INDEX($DW$5:$DW$1003,$EX518),"")</f>
        <v/>
      </c>
      <c r="FN518">
        <f>IF($EY518="row",INDEX($DY$5:$DY$1003,$EX518),"")</f>
        <v/>
      </c>
      <c r="FO518">
        <f>IF($EY518="row",INDEX($EA$5:$EA$1003,$EX518),"")</f>
        <v/>
      </c>
      <c r="FP518">
        <f>IF($EY518="row",INDEX($EC$5:$EC$1003,$EX518),"")</f>
        <v/>
      </c>
      <c r="FQ518">
        <f>IF($EY518="row",INDEX($ET$5:$ET$1003,$EX518),"")</f>
        <v/>
      </c>
      <c r="FR518">
        <f>IF($EY518="row",INDEX($EU$5:$EU$1003,$EX518),"")</f>
        <v/>
      </c>
      <c r="FS518">
        <f>IF(AND($EY518="row",$EY517="row"),IF(OR(INDEX($DT$5:$DT$1003,$EX517)="",INDEX($DT$5:$DT$1003,$EX518)=""),"",IF(NOT(EXACT(INDEX($DT$5:$DT$1003,$EX517),INDEX($DT$5:$DT$1003,$EX518))),"S4",IF(NOT(EXACT(INDEX($DS$5:$DS$1003,$EX517),INDEX($DS$5:$DS$1003,$EX518))),"S3",IF(NOT(EXACT(INDEX($DR$5:$DR$1003,$EX517),INDEX($DR$5:$DR$1003,$EX518))),"S1 Count Change","S1")))),"")</f>
        <v/>
      </c>
      <c r="FT518">
        <f>IF($EY518="row",INDEX($ES$5:$ES$1003,$EX518),"")</f>
        <v/>
      </c>
      <c r="FU518">
        <f>IF($EY518="row",INDEX($EO$5:$EO$1003,$EX518),0)</f>
        <v/>
      </c>
      <c r="FV518">
        <f>IF($FS518="S1 Count Change",1,0)</f>
        <v/>
      </c>
    </row>
    <row r="519">
      <c r="DA519" t="n">
        <v>515</v>
      </c>
      <c r="DB519">
        <f>IF($B$37=0,"",IFERROR(TRIM(SUBSTITUTE(SUBSTITUTE(SUBSTITUTE(SUBSTITUTE(INDEX(PASTE_ALL,515,$B$37)," "," "),CHAR(9)," "),CHAR(10)," "),CHAR(13)," ")),""))</f>
        <v/>
      </c>
      <c r="DC519">
        <f>IF(AND(515&gt;HEADER_ROW,UPPER(DB519)="LEGEND"),1,0)</f>
        <v/>
      </c>
      <c r="DE519" t="n">
        <v>515</v>
      </c>
      <c r="DF519">
        <f>HEADER_ROW+$DE519</f>
        <v/>
      </c>
      <c r="DG519">
        <f>IF(AND($DF519&lt;=1000,$DF519&lt;$B$8),1,0)</f>
        <v/>
      </c>
      <c r="DH519">
        <f>IF($DG519=1,IFERROR(INDEX($DB$5:$DB$1004,$DF519),""),"")</f>
        <v/>
      </c>
      <c r="DI519">
        <f>IF(AND($DG519=1,$DH519&lt;&gt;""),IFERROR(SUBSTITUTE(SUBSTITUTE(TRIM(SUBSTITUTE(SUBSTITUTE(SUBSTITUTE(SUBSTITUTE(IFERROR(INDEX(PASTE_ALL,$DF519,1)&amp;"","")&amp;"␟"&amp;IFERROR(INDEX(PASTE_ALL,$DF519,2)&amp;"","")&amp;"␟"&amp;IFERROR(INDEX(PASTE_ALL,$DF519,3)&amp;"","")&amp;"␟"&amp;IFERROR(INDEX(PASTE_ALL,$DF519,4)&amp;"","")&amp;"␟"&amp;IFERROR(INDEX(PASTE_ALL,$DF519,5)&amp;"","")&amp;"␟"&amp;IFERROR(INDEX(PASTE_ALL,$DF519,6)&amp;"","")&amp;"␟"&amp;IFERROR(INDEX(PASTE_ALL,$DF519,7)&amp;"","")&amp;"␟"&amp;IFERROR(INDEX(PASTE_ALL,$DF519,8)&amp;"","")&amp;"␟"&amp;IFERROR(INDEX(PASTE_ALL,$DF519,9)&amp;"","")&amp;"␟"&amp;IFERROR(INDEX(PASTE_ALL,$DF519,10)&amp;"","")&amp;"␟"&amp;IFERROR(INDEX(PASTE_ALL,$DF519,11)&amp;"","")&amp;"␟"&amp;IFERROR(INDEX(PASTE_ALL,$DF519,12)&amp;"","")&amp;"␟"&amp;IFERROR(INDEX(PASTE_ALL,$DF519,13)&amp;"","")&amp;"␟"&amp;IFERROR(INDEX(PASTE_ALL,$DF519,14)&amp;"","")&amp;"␟"&amp;IFERROR(INDEX(PASTE_ALL,$DF519,15)&amp;"","")&amp;"␟"&amp;IFERROR(INDEX(PASTE_ALL,$DF519,16)&amp;"","")&amp;"␟"&amp;IFERROR(INDEX(PASTE_ALL,$DF519,17)&amp;"","")&amp;"␟"&amp;IFERROR(INDEX(PASTE_ALL,$DF519,18)&amp;"","")&amp;"␟"&amp;IFERROR(INDEX(PASTE_ALL,$DF519,19)&amp;"","")&amp;"␟"&amp;IFERROR(INDEX(PASTE_ALL,$DF519,20)&amp;"","")&amp;"␟"&amp;IFERROR(INDEX(PASTE_ALL,$DF519,21)&amp;"","")&amp;"␟"&amp;IFERROR(INDEX(PASTE_ALL,$DF519,22)&amp;"","")&amp;"␟"&amp;IFERROR(INDEX(PASTE_ALL,$DF519,23)&amp;"","")&amp;"␟"&amp;IFERROR(INDEX(PASTE_ALL,$DF519,24)&amp;"","")&amp;"␟"&amp;IFERROR(INDEX(PASTE_ALL,$DF519,25)&amp;"","")&amp;"␟"&amp;IFERROR(INDEX(PASTE_ALL,$DF519,26)&amp;"","")&amp;"␟"&amp;IFERROR(INDEX(PASTE_ALL,$DF519,27)&amp;"","")&amp;"␟"&amp;IFERROR(INDEX(PASTE_ALL,$DF519,28)&amp;"","")&amp;"␟"&amp;IFERROR(INDEX(PASTE_ALL,$DF519,29)&amp;"","")&amp;"␟"&amp;IFERROR(INDEX(PASTE_ALL,$DF519,30)&amp;"","")&amp;"␟"&amp;IFERROR(INDEX(PASTE_ALL,$DF519,31)&amp;"","")&amp;"␟"&amp;IFERROR(INDEX(PASTE_ALL,$DF519,32)&amp;"","")&amp;"␟"&amp;IFERROR(INDEX(PASTE_ALL,$DF519,33)&amp;"","")&amp;"␟"&amp;IFERROR(INDEX(PASTE_ALL,$DF519,34)&amp;"","")&amp;"␟"&amp;IFERROR(INDEX(PASTE_ALL,$DF519,35)&amp;"","")&amp;"␟"&amp;IFERROR(INDEX(PASTE_ALL,$DF519,36)&amp;"","")&amp;"␟"&amp;IFERROR(INDEX(PASTE_ALL,$DF519,37)&amp;"","")&amp;"␟"&amp;IFERROR(INDEX(PASTE_ALL,$DF519,38)&amp;"","")&amp;"␟"&amp;IFERROR(INDEX(PASTE_ALL,$DF519,39)&amp;"","")&amp;"␟"&amp;IFERROR(INDEX(PASTE_ALL,$DF519,40)&amp;"","")&amp;"␟"&amp;IFERROR(INDEX(PASTE_ALL,$DF519,41)&amp;"","")&amp;"␟"&amp;IFERROR(INDEX(PASTE_ALL,$DF519,42)&amp;"","")&amp;"␟"&amp;IFERROR(INDEX(PASTE_ALL,$DF519,43)&amp;"","")&amp;"␟"&amp;IFERROR(INDEX(PASTE_ALL,$DF519,44)&amp;"","")&amp;"␟"&amp;IFERROR(INDEX(PASTE_ALL,$DF519,45)&amp;"","")&amp;"␟"&amp;IFERROR(INDEX(PASTE_ALL,$DF519,46)&amp;"","")&amp;"␟"&amp;IFERROR(INDEX(PASTE_ALL,$DF519,47)&amp;"","")&amp;"␟"&amp;IFERROR(INDEX(PASTE_ALL,$DF519,48)&amp;"","")&amp;"␟"&amp;IFERROR(INDEX(PASTE_ALL,$DF519,49)&amp;"","")&amp;"␟"&amp;IFERROR(INDEX(PASTE_ALL,$DF519,50)&amp;"","")&amp;"␟"&amp;IFERROR(INDEX(PASTE_ALL,$DF519,51)&amp;"","")&amp;"␟"&amp;IFERROR(INDEX(PASTE_ALL,$DF519,52)&amp;"","")&amp;"␟"&amp;IFERROR(INDEX(PASTE_ALL,$DF519,53)&amp;"","")&amp;"␟"&amp;IFERROR(INDEX(PASTE_ALL,$DF519,54)&amp;"","")&amp;"␟"&amp;IFERROR(INDEX(PASTE_ALL,$DF519,55)&amp;"","")&amp;"␟"&amp;IFERROR(INDEX(PASTE_ALL,$DF519,56)&amp;"","")&amp;"␟"&amp;IFERROR(INDEX(PASTE_ALL,$DF519,57)&amp;"","")&amp;"␟"&amp;IFERROR(INDEX(PASTE_ALL,$DF519,58)&amp;"","")&amp;"␟"&amp;IFERROR(INDEX(PASTE_ALL,$DF519,59)&amp;"","")&amp;"␟"&amp;IFERROR(INDEX(PASTE_ALL,$DF519,60)&amp;"","")," "," "),CHAR(9)," "),CHAR(10)," "),CHAR(13)," "))," ␟","␟"),"␟ ","␟"),"#"&amp;$DE519),"")</f>
        <v/>
      </c>
      <c r="DJ519">
        <f>IF($DI519="",0,IF(SUMPRODUCT(--EXACT($DI$4:DI518,$DI519))&gt;0,1,0))</f>
        <v/>
      </c>
      <c r="DK519">
        <f>IF(AND($DI519&lt;&gt;"",$DJ519=0),1,0)</f>
        <v/>
      </c>
      <c r="DL519">
        <f>DL518+$DK519</f>
        <v/>
      </c>
      <c r="DM519">
        <f>IF(AND($DK519=1,$DL519&lt;=600),1,0)</f>
        <v/>
      </c>
      <c r="DN519">
        <f>IF($DM519=0,"",IF($L$6=0,"",IFERROR(IF(ISNUMBER(INDEX(PASTE_ALL,$DF519,$L$6)),INDEX(PASTE_ALL,$DF519,$L$6),TRIM(SUBSTITUTE(SUBSTITUTE(SUBSTITUTE(SUBSTITUTE(INDEX(PASTE_ALL,$DF519,$L$6)," "," "),CHAR(9)," "),CHAR(10)," "),CHAR(13)," "))),"")))</f>
        <v/>
      </c>
      <c r="DO519">
        <f>IF($DM519=0,"",IF($L$7=0,"",IFERROR(IF(ISNUMBER(INDEX(PASTE_ALL,$DF519,$L$7)),INDEX(PASTE_ALL,$DF519,$L$7),TRIM(SUBSTITUTE(SUBSTITUTE(SUBSTITUTE(SUBSTITUTE(INDEX(PASTE_ALL,$DF519,$L$7)," "," "),CHAR(9)," "),CHAR(10)," "),CHAR(13)," "))),"")))</f>
        <v/>
      </c>
      <c r="DP519">
        <f>IF($DM519=0,"",IF($L$8=0,"",IFERROR(IF(ISNUMBER(INDEX(PASTE_ALL,$DF519,$L$8)),INDEX(PASTE_ALL,$DF519,$L$8),TRIM(SUBSTITUTE(SUBSTITUTE(SUBSTITUTE(SUBSTITUTE(INDEX(PASTE_ALL,$DF519,$L$8)," "," "),CHAR(9)," "),CHAR(10)," "),CHAR(13)," "))),"")))</f>
        <v/>
      </c>
      <c r="DQ519">
        <f>IF($DM519=0,"",IF($L$9=0,"",IFERROR(IF(ISNUMBER(INDEX(PASTE_ALL,$DF519,$L$9)),INDEX(PASTE_ALL,$DF519,$L$9),TRIM(SUBSTITUTE(SUBSTITUTE(SUBSTITUTE(SUBSTITUTE(INDEX(PASTE_ALL,$DF519,$L$9)," "," "),CHAR(9)," "),CHAR(10)," "),CHAR(13)," "))),"")))</f>
        <v/>
      </c>
      <c r="DR519">
        <f>IF($DM519=0,"",IF($L$10=0,"",IFERROR(IF(ISNUMBER(INDEX(PASTE_ALL,$DF519,$L$10)),INDEX(PASTE_ALL,$DF519,$L$10),TRIM(SUBSTITUTE(SUBSTITUTE(SUBSTITUTE(SUBSTITUTE(INDEX(PASTE_ALL,$DF519,$L$10)," "," "),CHAR(9)," "),CHAR(10)," "),CHAR(13)," "))),"")))</f>
        <v/>
      </c>
      <c r="DS519">
        <f>IF($DM519=0,"",IF($L$11=0,"",IFERROR(IF(ISNUMBER(INDEX(PASTE_ALL,$DF519,$L$11)),INDEX(PASTE_ALL,$DF519,$L$11),TRIM(SUBSTITUTE(SUBSTITUTE(SUBSTITUTE(SUBSTITUTE(INDEX(PASTE_ALL,$DF519,$L$11)," "," "),CHAR(9)," "),CHAR(10)," "),CHAR(13)," "))),"")))</f>
        <v/>
      </c>
      <c r="DT519">
        <f>IF($DM519=0,"",IF($L$12=0,"",IFERROR(IF(ISNUMBER(INDEX(PASTE_ALL,$DF519,$L$12)),INDEX(PASTE_ALL,$DF519,$L$12),TRIM(SUBSTITUTE(SUBSTITUTE(SUBSTITUTE(SUBSTITUTE(INDEX(PASTE_ALL,$DF519,$L$12)," "," "),CHAR(9)," "),CHAR(10)," "),CHAR(13)," "))),"")))</f>
        <v/>
      </c>
      <c r="DU519">
        <f>IF($DM519=0,"",IF($L$13=0,"",IFERROR(IF(ISNUMBER(INDEX(PASTE_ALL,$DF519,$L$13)),INDEX(PASTE_ALL,$DF519,$L$13),TRIM(SUBSTITUTE(SUBSTITUTE(SUBSTITUTE(SUBSTITUTE(INDEX(PASTE_ALL,$DF519,$L$13)," "," "),CHAR(9)," "),CHAR(10)," "),CHAR(13)," "))),"")))</f>
        <v/>
      </c>
      <c r="DV519">
        <f>IF($DM519=0,"",IF($L$14=0,"",IFERROR(IF(ISNUMBER(INDEX(PASTE_ALL,$DF519,$L$14)),INDEX(PASTE_ALL,$DF519,$L$14),TRIM(SUBSTITUTE(SUBSTITUTE(SUBSTITUTE(SUBSTITUTE(INDEX(PASTE_ALL,$DF519,$L$14)," "," "),CHAR(9)," "),CHAR(10)," "),CHAR(13)," "))),"")))</f>
        <v/>
      </c>
      <c r="DW519">
        <f>IF($DM519=0,"",IF($L$15=0,"",IFERROR(IF(ISNUMBER(INDEX(PASTE_ALL,$DF519,$L$15)),INDEX(PASTE_ALL,$DF519,$L$15),IF(SUMPRODUCT(--ISNUMBER(FIND({"A","B","C","D","E","F","G","H","I","J","K","L","M","N","O","P","Q","R","S","T","U","V","W","X","Y","Z","0","1","2","3","4","5","6","7","8","9"},UPPER(TRIM(SUBSTITUTE(SUBSTITUTE(SUBSTITUTE(SUBSTITUTE(INDEX(PASTE_ALL,$DF519,$L$15)," "," "),CHAR(9)," "),CHAR(10)," "),CHAR(13)," "))))))&gt;0,TRIM(SUBSTITUTE(SUBSTITUTE(SUBSTITUTE(SUBSTITUTE(INDEX(PASTE_ALL,$DF519,$L$15)," "," "),CHAR(9)," "),CHAR(10)," "),CHAR(13)," ")),"")),"")))</f>
        <v/>
      </c>
      <c r="DX519">
        <f>IF($DM519=0,"",IF($L$16=0,"",IFERROR(IF(ISNUMBER(INDEX(PASTE_ALL,$DF519,$L$16)),INDEX(PASTE_ALL,$DF519,$L$16),SUBSTITUTE(SUBSTITUTE(TRIM(SUBSTITUTE(SUBSTITUTE(SUBSTITUTE(SUBSTITUTE(INDEX(PASTE_ALL,$DF519,$L$16)," "," "),CHAR(9)," "),CHAR(10)," "),CHAR(13)," ")),",",""),"%","")),"")))</f>
        <v/>
      </c>
      <c r="DY519">
        <f>IF($DM519=0,"",IFERROR(IF(ISNUMBER($DX519),$DX519,IF($DX519="","",IF(TRIM($DX519)="",0,IF(AND(AND(SUBSTITUTE(SUBSTITUTE(SUBSTITUTE(SUBSTITUTE(SUBSTITUTE(SUBSTITUTE(SUBSTITUTE(SUBSTITUTE(SUBSTITUTE(SUBSTITUTE(SUBSTITUTE(SUBSTITUTE(SUBSTITUTE(SUBSTITUTE(UPPER(TRIM($DX519)),"0",""),"1",""),"2",""),"3",""),"4",""),"5",""),"6",""),"7",""),"8",""),"9",""),".",""),"+",""),"-",""),"E","")="",LEN(SUBSTITUTE(SUBSTITUTE(MID(UPPER(TRIM($DX519)),1+OR(LEFT(UPPER(TRIM($DX519)),1)="+",LEFT(UPPER(TRIM($DX519)),1)="-"),999),"E+","E"),"E-","E"))=LEN(SUBSTITUTE(SUBSTITUTE(SUBSTITUTE(SUBSTITUTE(MID(UPPER(TRIM($DX519)),1+OR(LEFT(UPPER(TRIM($DX519)),1)="+",LEFT(UPPER(TRIM($DX519)),1)="-"),999),"E+","E"),"E-","E"),"+",""),"-","")),LEN(UPPER(TRIM($DX519)))-LEN(SUBSTITUTE(UPPER(TRIM($DX519)),"E",""))&lt;2,LEN(UPPER(TRIM($DX519)))-LEN(SUBSTITUTE(UPPER(TRIM($DX519)),".",""))&lt;2,IFERROR(FIND(".",UPPER(TRIM($DX519))),0)&lt;IFERROR(FIND("E",UPPER(TRIM($DX519))),999)),ISNUMBER(VALUE(TRIM($DX519)))),VALUE(TRIM($DX519)),"")))),""))</f>
        <v/>
      </c>
      <c r="DZ519">
        <f>IF($DM519=0,"",IF($L$17=0,"",IFERROR(IF(ISNUMBER(INDEX(PASTE_ALL,$DF519,$L$17)),INDEX(PASTE_ALL,$DF519,$L$17),SUBSTITUTE(SUBSTITUTE(TRIM(SUBSTITUTE(SUBSTITUTE(SUBSTITUTE(SUBSTITUTE(INDEX(PASTE_ALL,$DF519,$L$17)," "," "),CHAR(9)," "),CHAR(10)," "),CHAR(13)," ")),",",""),"%","")),"")))</f>
        <v/>
      </c>
      <c r="EA519">
        <f>IF($DM519=0,"",IFERROR(IF(ISNUMBER($DZ519),$DZ519,IF($DZ519="","",IF(TRIM($DZ519)="",0,IF(AND(AND(SUBSTITUTE(SUBSTITUTE(SUBSTITUTE(SUBSTITUTE(SUBSTITUTE(SUBSTITUTE(SUBSTITUTE(SUBSTITUTE(SUBSTITUTE(SUBSTITUTE(SUBSTITUTE(SUBSTITUTE(SUBSTITUTE(SUBSTITUTE(UPPER(TRIM($DZ519)),"0",""),"1",""),"2",""),"3",""),"4",""),"5",""),"6",""),"7",""),"8",""),"9",""),".",""),"+",""),"-",""),"E","")="",LEN(SUBSTITUTE(SUBSTITUTE(MID(UPPER(TRIM($DZ519)),1+OR(LEFT(UPPER(TRIM($DZ519)),1)="+",LEFT(UPPER(TRIM($DZ519)),1)="-"),999),"E+","E"),"E-","E"))=LEN(SUBSTITUTE(SUBSTITUTE(SUBSTITUTE(SUBSTITUTE(MID(UPPER(TRIM($DZ519)),1+OR(LEFT(UPPER(TRIM($DZ519)),1)="+",LEFT(UPPER(TRIM($DZ519)),1)="-"),999),"E+","E"),"E-","E"),"+",""),"-","")),LEN(UPPER(TRIM($DZ519)))-LEN(SUBSTITUTE(UPPER(TRIM($DZ519)),"E",""))&lt;2,LEN(UPPER(TRIM($DZ519)))-LEN(SUBSTITUTE(UPPER(TRIM($DZ519)),".",""))&lt;2,IFERROR(FIND(".",UPPER(TRIM($DZ519))),0)&lt;IFERROR(FIND("E",UPPER(TRIM($DZ519))),999)),ISNUMBER(VALUE(TRIM($DZ519)))),VALUE(TRIM($DZ519)),"")))),""))</f>
        <v/>
      </c>
      <c r="EB519">
        <f>IF($DM519=0,"",IF($L$18=0,"",IFERROR(IF(UPPER(TRIM(SUBSTITUTE(SUBSTITUTE(SUBSTITUTE(SUBSTITUTE(INDEX(PASTE_ALL,$DF519,$L$18)," "," "),CHAR(9)," "),CHAR(10)," "),CHAR(13)," ")))="READY","Ready",IF(UPPER(TRIM(SUBSTITUTE(SUBSTITUTE(SUBSTITUTE(SUBSTITUTE(INDEX(PASTE_ALL,$DF519,$L$18)," "," "),CHAR(9)," "),CHAR(10)," "),CHAR(13)," ")))="PM","PM",IF(OR(UPPER(TRIM(SUBSTITUTE(SUBSTITUTE(SUBSTITUTE(SUBSTITUTE(INDEX(PASTE_ALL,$DF519,$L$18)," "," "),CHAR(9)," "),CHAR(10)," "),CHAR(13)," ")))="OT",UPPER(TRIM(SUBSTITUTE(SUBSTITUTE(SUBSTITUTE(SUBSTITUTE(INDEX(PASTE_ALL,$DF519,$L$18)," "," "),CHAR(9)," "),CHAR(10)," "),CHAR(13)," ")))="OVERTIME",UPPER(TRIM(SUBSTITUTE(SUBSTITUTE(SUBSTITUTE(SUBSTITUTE(INDEX(PASTE_ALL,$DF519,$L$18)," "," "),CHAR(9)," "),CHAR(10)," "),CHAR(13)," ")))="TRIAL"),"OT",TRIM(SUBSTITUTE(SUBSTITUTE(SUBSTITUTE(SUBSTITUTE(INDEX(PASTE_ALL,$DF519,$L$18)," "," "),CHAR(9)," "),CHAR(10)," "),CHAR(13)," "))))),"")))</f>
        <v/>
      </c>
      <c r="EC519">
        <f>IF($DM519=0,"",IF($L$19=0,"",IFERROR(IF(ISNUMBER(INDEX(PASTE_ALL,$DF519,$L$19)),INDEX(PASTE_ALL,$DF519,$L$19),TRIM(SUBSTITUTE(SUBSTITUTE(SUBSTITUTE(SUBSTITUTE(INDEX(PASTE_ALL,$DF519,$L$19)," "," "),CHAR(9)," "),CHAR(10)," "),CHAR(13)," "))),"")))</f>
        <v/>
      </c>
      <c r="ED519">
        <f>IF($DM519=0,"",MATCH(1,INDEX(EXACT($DH$5:DH519,$DH519)*$DM$5:DM519,0),0))</f>
        <v/>
      </c>
      <c r="EE519">
        <f>IF($DM519=0,0,IF($ED519=$DE519,1,0))</f>
        <v/>
      </c>
      <c r="EF519">
        <f>EF518+$EE519</f>
        <v/>
      </c>
      <c r="EG519">
        <f>IF($DM519=0,"",INDEX($EF$5:$EF$1003,$ED519))</f>
        <v/>
      </c>
      <c r="EH519">
        <f>IF($DM519=0,"",IF($DO519&lt;&gt;"","",IFERROR(LOOKUP(2,1/(($EG$4:EG518=$EG519)*($DO$4:DO518&lt;&gt;"")),$DO$4:DO518),"")))</f>
        <v/>
      </c>
      <c r="EI519">
        <f>IF($DM519=0,"",IF($DO519&lt;&gt;"",$DO519,$EH519))</f>
        <v/>
      </c>
      <c r="EJ519">
        <f>IF($DM519=0,"",IF($EI519="",0,IF(OR(ISNUMBER($EI519),AND(AND(SUBSTITUTE(SUBSTITUTE(SUBSTITUTE(SUBSTITUTE(SUBSTITUTE(SUBSTITUTE(SUBSTITUTE(SUBSTITUTE(SUBSTITUTE(SUBSTITUTE(SUBSTITUTE(SUBSTITUTE(SUBSTITUTE(SUBSTITUTE(UPPER($EI519),"0",""),"1",""),"2",""),"3",""),"4",""),"5",""),"6",""),"7",""),"8",""),"9",""),".",""),"+",""),"-",""),"E","")="",LEN(SUBSTITUTE(SUBSTITUTE(MID(UPPER($EI519),1+OR(LEFT(UPPER($EI519),1)="+",LEFT(UPPER($EI519),1)="-"),999),"E+","E"),"E-","E"))=LEN(SUBSTITUTE(SUBSTITUTE(SUBSTITUTE(SUBSTITUTE(MID(UPPER($EI519),1+OR(LEFT(UPPER($EI519),1)="+",LEFT(UPPER($EI519),1)="-"),999),"E+","E"),"E-","E"),"+",""),"-","")),LEN(UPPER($EI519))-LEN(SUBSTITUTE(UPPER($EI519),"E",""))&lt;2,LEN(UPPER($EI519))-LEN(SUBSTITUTE(UPPER($EI519),".",""))&lt;2,IFERROR(FIND(".",UPPER($EI519)),0)&lt;IFERROR(FIND("E",UPPER($EI519)),999)),ISNUMBER(VALUE($EI519)))),1,2)))</f>
        <v/>
      </c>
      <c r="EK519">
        <f>IF($DM519=0,"",IF($EJ519=1,IF(ISNUMBER($EI519),$EI519,VALUE($EI519)),IF($EJ519=2,$DE519,0)))</f>
        <v/>
      </c>
      <c r="EL519">
        <f>IF($DM519=0,"",COUNTIF($EG$5:$EG$1003,"&lt;"&amp;$EG519)+SUMPRODUCT(($EG$5:$EG$1003=$EG519)*(($EJ$5:$EJ$1003&lt;$EJ519)+($EJ$5:$EJ$1003=$EJ519)*(($EK$5:$EK$1003&lt;$EK519)+($EK$5:$EK$1003=$EK519)*($DE$5:$DE$1003&lt;$DE519))))+1)</f>
        <v/>
      </c>
      <c r="EM519">
        <f>IF($DM519=0,"",$EL519+$EG519-1)</f>
        <v/>
      </c>
      <c r="EN519">
        <f>IF($DM519=0,0,IFERROR(MATCH(1,INDEX(--(TRIM(SUBSTITUTE(SUBSTITUTE(SUBSTITUTE(SUBSTITUTE(LINES_NAME&amp;""," "," "),CHAR(9)," "),CHAR(10)," "),CHAR(13)," "))=$DH519),0),0),0))</f>
        <v/>
      </c>
      <c r="EO519">
        <f>IF($EN519=0,0,IF(OR(UPPER(TRIM(INDEX(LINES_SCHEDULED,$EN519)&amp;""))="YES",UPPER(TRIM(INDEX(LINES_SCHEDULED,$EN519)&amp;""))="Y",UPPER(TRIM(INDEX(LINES_SCHEDULED,$EN519)&amp;""))="X"),1,0))</f>
        <v/>
      </c>
      <c r="EP519">
        <f>IF($DM519=0,"",IF(COUNTIFS($EG$5:$EG$1003,$EG519,$EB$5:$EB$1003,"Ready")&gt;0,"READY",IF(COUNTIFS($EG$5:$EG$1003,$EG519,$EB$5:$EB$1003,"PM")&gt;0,"PM",IF(COUNTIFS($EG$5:$EG$1003,$EG519,$EB$5:$EB$1003,"OT")&gt;0,"OT",""))))</f>
        <v/>
      </c>
      <c r="EQ519">
        <f>IF($EN519=0,"",UPPER(TRIM(INDEX(LINES_STATUS,$EN519)&amp;"")))</f>
        <v/>
      </c>
      <c r="ER519">
        <f>IF($DM519=0,"",IF(OR($EQ519="READY",$EQ519="PM",$EQ519="OT"),$EQ519,$EP519))</f>
        <v/>
      </c>
      <c r="ES519">
        <f>IF($DM519=0,"",IF(AND($DV519&lt;&gt;"",UPPER($DV519)&lt;&gt;"N"),"allergen",IF(ISNUMBER(SEARCH("oil",$DQ519)),"oil",IF(OR(EXACT($DS519,"A662"),EXACT($DS519,"A624")),"bulk",""))))</f>
        <v/>
      </c>
      <c r="ET519">
        <f>IF($DM519=0,"",IF(OR($EA519="",$EA519=0),"",$EA519/100))</f>
        <v/>
      </c>
      <c r="EU519">
        <f>IF(OR($ET519="",$DY519=""),"",INT($DY519*(1-$ET519)+0.5))</f>
        <v/>
      </c>
      <c r="EW519" t="n">
        <v>515</v>
      </c>
      <c r="EX519">
        <f>IFERROR(MATCH($EW519,$EM$5:$EM$1003,0),0)</f>
        <v/>
      </c>
      <c r="EY519">
        <f>IF($EW519&gt;$B$12,"",IF($EX519&gt;0,"row","spacer"))</f>
        <v/>
      </c>
      <c r="EZ519">
        <f>IF(AND($EY519="row",$EY518&lt;&gt;"row"),1,0)</f>
        <v/>
      </c>
      <c r="FA519">
        <f>IF(AND($EY519="row",$EY520&lt;&gt;"row"),1,0)</f>
        <v/>
      </c>
      <c r="FB519">
        <f>IF($EZ519=1,IFERROR(IF(ISNUMBER(INDEX(PASTE_ALL,INDEX($DF$5:$DF$1003,$EX519),$B$37)),INDEX(PASTE_ALL,INDEX($DF$5:$DF$1003,$EX519),$B$37),INDEX($DH$5:$DH$1003,$EX519)),INDEX($DH$5:$DH$1003,$EX519)),"")</f>
        <v/>
      </c>
      <c r="FC519">
        <f>IF($EY519="row",INDEX($ER$5:$ER$1003,$EX519),"")</f>
        <v/>
      </c>
      <c r="FD519">
        <f>IF($EY519="row",INDEX($DN$5:$DN$1003,$EX519),"")</f>
        <v/>
      </c>
      <c r="FE519">
        <f>IF($EY519="row",INDEX($DO$5:$DO$1003,$EX519),"")</f>
        <v/>
      </c>
      <c r="FF519">
        <f>IF($EY519="row",INDEX($DP$5:$DP$1003,$EX519),"")</f>
        <v/>
      </c>
      <c r="FG519">
        <f>IF($EY519="row",INDEX($DQ$5:$DQ$1003,$EX519),"")</f>
        <v/>
      </c>
      <c r="FH519">
        <f>IF($EY519="row",INDEX($DR$5:$DR$1003,$EX519),"")</f>
        <v/>
      </c>
      <c r="FI519">
        <f>IF($EY519="row",INDEX($DS$5:$DS$1003,$EX519),"")</f>
        <v/>
      </c>
      <c r="FJ519">
        <f>IF($EY519="row",INDEX($DT$5:$DT$1003,$EX519),"")</f>
        <v/>
      </c>
      <c r="FK519">
        <f>IF($EY519="row",INDEX($DU$5:$DU$1003,$EX519),"")</f>
        <v/>
      </c>
      <c r="FL519">
        <f>IF($EY519="row",INDEX($DV$5:$DV$1003,$EX519),"")</f>
        <v/>
      </c>
      <c r="FM519">
        <f>IF($EY519="row",INDEX($DW$5:$DW$1003,$EX519),"")</f>
        <v/>
      </c>
      <c r="FN519">
        <f>IF($EY519="row",INDEX($DY$5:$DY$1003,$EX519),"")</f>
        <v/>
      </c>
      <c r="FO519">
        <f>IF($EY519="row",INDEX($EA$5:$EA$1003,$EX519),"")</f>
        <v/>
      </c>
      <c r="FP519">
        <f>IF($EY519="row",INDEX($EC$5:$EC$1003,$EX519),"")</f>
        <v/>
      </c>
      <c r="FQ519">
        <f>IF($EY519="row",INDEX($ET$5:$ET$1003,$EX519),"")</f>
        <v/>
      </c>
      <c r="FR519">
        <f>IF($EY519="row",INDEX($EU$5:$EU$1003,$EX519),"")</f>
        <v/>
      </c>
      <c r="FS519">
        <f>IF(AND($EY519="row",$EY518="row"),IF(OR(INDEX($DT$5:$DT$1003,$EX518)="",INDEX($DT$5:$DT$1003,$EX519)=""),"",IF(NOT(EXACT(INDEX($DT$5:$DT$1003,$EX518),INDEX($DT$5:$DT$1003,$EX519))),"S4",IF(NOT(EXACT(INDEX($DS$5:$DS$1003,$EX518),INDEX($DS$5:$DS$1003,$EX519))),"S3",IF(NOT(EXACT(INDEX($DR$5:$DR$1003,$EX518),INDEX($DR$5:$DR$1003,$EX519))),"S1 Count Change","S1")))),"")</f>
        <v/>
      </c>
      <c r="FT519">
        <f>IF($EY519="row",INDEX($ES$5:$ES$1003,$EX519),"")</f>
        <v/>
      </c>
      <c r="FU519">
        <f>IF($EY519="row",INDEX($EO$5:$EO$1003,$EX519),0)</f>
        <v/>
      </c>
      <c r="FV519">
        <f>IF($FS519="S1 Count Change",1,0)</f>
        <v/>
      </c>
    </row>
    <row r="520">
      <c r="DA520" t="n">
        <v>516</v>
      </c>
      <c r="DB520">
        <f>IF($B$37=0,"",IFERROR(TRIM(SUBSTITUTE(SUBSTITUTE(SUBSTITUTE(SUBSTITUTE(INDEX(PASTE_ALL,516,$B$37)," "," "),CHAR(9)," "),CHAR(10)," "),CHAR(13)," ")),""))</f>
        <v/>
      </c>
      <c r="DC520">
        <f>IF(AND(516&gt;HEADER_ROW,UPPER(DB520)="LEGEND"),1,0)</f>
        <v/>
      </c>
      <c r="DE520" t="n">
        <v>516</v>
      </c>
      <c r="DF520">
        <f>HEADER_ROW+$DE520</f>
        <v/>
      </c>
      <c r="DG520">
        <f>IF(AND($DF520&lt;=1000,$DF520&lt;$B$8),1,0)</f>
        <v/>
      </c>
      <c r="DH520">
        <f>IF($DG520=1,IFERROR(INDEX($DB$5:$DB$1004,$DF520),""),"")</f>
        <v/>
      </c>
      <c r="DI520">
        <f>IF(AND($DG520=1,$DH520&lt;&gt;""),IFERROR(SUBSTITUTE(SUBSTITUTE(TRIM(SUBSTITUTE(SUBSTITUTE(SUBSTITUTE(SUBSTITUTE(IFERROR(INDEX(PASTE_ALL,$DF520,1)&amp;"","")&amp;"␟"&amp;IFERROR(INDEX(PASTE_ALL,$DF520,2)&amp;"","")&amp;"␟"&amp;IFERROR(INDEX(PASTE_ALL,$DF520,3)&amp;"","")&amp;"␟"&amp;IFERROR(INDEX(PASTE_ALL,$DF520,4)&amp;"","")&amp;"␟"&amp;IFERROR(INDEX(PASTE_ALL,$DF520,5)&amp;"","")&amp;"␟"&amp;IFERROR(INDEX(PASTE_ALL,$DF520,6)&amp;"","")&amp;"␟"&amp;IFERROR(INDEX(PASTE_ALL,$DF520,7)&amp;"","")&amp;"␟"&amp;IFERROR(INDEX(PASTE_ALL,$DF520,8)&amp;"","")&amp;"␟"&amp;IFERROR(INDEX(PASTE_ALL,$DF520,9)&amp;"","")&amp;"␟"&amp;IFERROR(INDEX(PASTE_ALL,$DF520,10)&amp;"","")&amp;"␟"&amp;IFERROR(INDEX(PASTE_ALL,$DF520,11)&amp;"","")&amp;"␟"&amp;IFERROR(INDEX(PASTE_ALL,$DF520,12)&amp;"","")&amp;"␟"&amp;IFERROR(INDEX(PASTE_ALL,$DF520,13)&amp;"","")&amp;"␟"&amp;IFERROR(INDEX(PASTE_ALL,$DF520,14)&amp;"","")&amp;"␟"&amp;IFERROR(INDEX(PASTE_ALL,$DF520,15)&amp;"","")&amp;"␟"&amp;IFERROR(INDEX(PASTE_ALL,$DF520,16)&amp;"","")&amp;"␟"&amp;IFERROR(INDEX(PASTE_ALL,$DF520,17)&amp;"","")&amp;"␟"&amp;IFERROR(INDEX(PASTE_ALL,$DF520,18)&amp;"","")&amp;"␟"&amp;IFERROR(INDEX(PASTE_ALL,$DF520,19)&amp;"","")&amp;"␟"&amp;IFERROR(INDEX(PASTE_ALL,$DF520,20)&amp;"","")&amp;"␟"&amp;IFERROR(INDEX(PASTE_ALL,$DF520,21)&amp;"","")&amp;"␟"&amp;IFERROR(INDEX(PASTE_ALL,$DF520,22)&amp;"","")&amp;"␟"&amp;IFERROR(INDEX(PASTE_ALL,$DF520,23)&amp;"","")&amp;"␟"&amp;IFERROR(INDEX(PASTE_ALL,$DF520,24)&amp;"","")&amp;"␟"&amp;IFERROR(INDEX(PASTE_ALL,$DF520,25)&amp;"","")&amp;"␟"&amp;IFERROR(INDEX(PASTE_ALL,$DF520,26)&amp;"","")&amp;"␟"&amp;IFERROR(INDEX(PASTE_ALL,$DF520,27)&amp;"","")&amp;"␟"&amp;IFERROR(INDEX(PASTE_ALL,$DF520,28)&amp;"","")&amp;"␟"&amp;IFERROR(INDEX(PASTE_ALL,$DF520,29)&amp;"","")&amp;"␟"&amp;IFERROR(INDEX(PASTE_ALL,$DF520,30)&amp;"","")&amp;"␟"&amp;IFERROR(INDEX(PASTE_ALL,$DF520,31)&amp;"","")&amp;"␟"&amp;IFERROR(INDEX(PASTE_ALL,$DF520,32)&amp;"","")&amp;"␟"&amp;IFERROR(INDEX(PASTE_ALL,$DF520,33)&amp;"","")&amp;"␟"&amp;IFERROR(INDEX(PASTE_ALL,$DF520,34)&amp;"","")&amp;"␟"&amp;IFERROR(INDEX(PASTE_ALL,$DF520,35)&amp;"","")&amp;"␟"&amp;IFERROR(INDEX(PASTE_ALL,$DF520,36)&amp;"","")&amp;"␟"&amp;IFERROR(INDEX(PASTE_ALL,$DF520,37)&amp;"","")&amp;"␟"&amp;IFERROR(INDEX(PASTE_ALL,$DF520,38)&amp;"","")&amp;"␟"&amp;IFERROR(INDEX(PASTE_ALL,$DF520,39)&amp;"","")&amp;"␟"&amp;IFERROR(INDEX(PASTE_ALL,$DF520,40)&amp;"","")&amp;"␟"&amp;IFERROR(INDEX(PASTE_ALL,$DF520,41)&amp;"","")&amp;"␟"&amp;IFERROR(INDEX(PASTE_ALL,$DF520,42)&amp;"","")&amp;"␟"&amp;IFERROR(INDEX(PASTE_ALL,$DF520,43)&amp;"","")&amp;"␟"&amp;IFERROR(INDEX(PASTE_ALL,$DF520,44)&amp;"","")&amp;"␟"&amp;IFERROR(INDEX(PASTE_ALL,$DF520,45)&amp;"","")&amp;"␟"&amp;IFERROR(INDEX(PASTE_ALL,$DF520,46)&amp;"","")&amp;"␟"&amp;IFERROR(INDEX(PASTE_ALL,$DF520,47)&amp;"","")&amp;"␟"&amp;IFERROR(INDEX(PASTE_ALL,$DF520,48)&amp;"","")&amp;"␟"&amp;IFERROR(INDEX(PASTE_ALL,$DF520,49)&amp;"","")&amp;"␟"&amp;IFERROR(INDEX(PASTE_ALL,$DF520,50)&amp;"","")&amp;"␟"&amp;IFERROR(INDEX(PASTE_ALL,$DF520,51)&amp;"","")&amp;"␟"&amp;IFERROR(INDEX(PASTE_ALL,$DF520,52)&amp;"","")&amp;"␟"&amp;IFERROR(INDEX(PASTE_ALL,$DF520,53)&amp;"","")&amp;"␟"&amp;IFERROR(INDEX(PASTE_ALL,$DF520,54)&amp;"","")&amp;"␟"&amp;IFERROR(INDEX(PASTE_ALL,$DF520,55)&amp;"","")&amp;"␟"&amp;IFERROR(INDEX(PASTE_ALL,$DF520,56)&amp;"","")&amp;"␟"&amp;IFERROR(INDEX(PASTE_ALL,$DF520,57)&amp;"","")&amp;"␟"&amp;IFERROR(INDEX(PASTE_ALL,$DF520,58)&amp;"","")&amp;"␟"&amp;IFERROR(INDEX(PASTE_ALL,$DF520,59)&amp;"","")&amp;"␟"&amp;IFERROR(INDEX(PASTE_ALL,$DF520,60)&amp;"","")," "," "),CHAR(9)," "),CHAR(10)," "),CHAR(13)," "))," ␟","␟"),"␟ ","␟"),"#"&amp;$DE520),"")</f>
        <v/>
      </c>
      <c r="DJ520">
        <f>IF($DI520="",0,IF(SUMPRODUCT(--EXACT($DI$4:DI519,$DI520))&gt;0,1,0))</f>
        <v/>
      </c>
      <c r="DK520">
        <f>IF(AND($DI520&lt;&gt;"",$DJ520=0),1,0)</f>
        <v/>
      </c>
      <c r="DL520">
        <f>DL519+$DK520</f>
        <v/>
      </c>
      <c r="DM520">
        <f>IF(AND($DK520=1,$DL520&lt;=600),1,0)</f>
        <v/>
      </c>
      <c r="DN520">
        <f>IF($DM520=0,"",IF($L$6=0,"",IFERROR(IF(ISNUMBER(INDEX(PASTE_ALL,$DF520,$L$6)),INDEX(PASTE_ALL,$DF520,$L$6),TRIM(SUBSTITUTE(SUBSTITUTE(SUBSTITUTE(SUBSTITUTE(INDEX(PASTE_ALL,$DF520,$L$6)," "," "),CHAR(9)," "),CHAR(10)," "),CHAR(13)," "))),"")))</f>
        <v/>
      </c>
      <c r="DO520">
        <f>IF($DM520=0,"",IF($L$7=0,"",IFERROR(IF(ISNUMBER(INDEX(PASTE_ALL,$DF520,$L$7)),INDEX(PASTE_ALL,$DF520,$L$7),TRIM(SUBSTITUTE(SUBSTITUTE(SUBSTITUTE(SUBSTITUTE(INDEX(PASTE_ALL,$DF520,$L$7)," "," "),CHAR(9)," "),CHAR(10)," "),CHAR(13)," "))),"")))</f>
        <v/>
      </c>
      <c r="DP520">
        <f>IF($DM520=0,"",IF($L$8=0,"",IFERROR(IF(ISNUMBER(INDEX(PASTE_ALL,$DF520,$L$8)),INDEX(PASTE_ALL,$DF520,$L$8),TRIM(SUBSTITUTE(SUBSTITUTE(SUBSTITUTE(SUBSTITUTE(INDEX(PASTE_ALL,$DF520,$L$8)," "," "),CHAR(9)," "),CHAR(10)," "),CHAR(13)," "))),"")))</f>
        <v/>
      </c>
      <c r="DQ520">
        <f>IF($DM520=0,"",IF($L$9=0,"",IFERROR(IF(ISNUMBER(INDEX(PASTE_ALL,$DF520,$L$9)),INDEX(PASTE_ALL,$DF520,$L$9),TRIM(SUBSTITUTE(SUBSTITUTE(SUBSTITUTE(SUBSTITUTE(INDEX(PASTE_ALL,$DF520,$L$9)," "," "),CHAR(9)," "),CHAR(10)," "),CHAR(13)," "))),"")))</f>
        <v/>
      </c>
      <c r="DR520">
        <f>IF($DM520=0,"",IF($L$10=0,"",IFERROR(IF(ISNUMBER(INDEX(PASTE_ALL,$DF520,$L$10)),INDEX(PASTE_ALL,$DF520,$L$10),TRIM(SUBSTITUTE(SUBSTITUTE(SUBSTITUTE(SUBSTITUTE(INDEX(PASTE_ALL,$DF520,$L$10)," "," "),CHAR(9)," "),CHAR(10)," "),CHAR(13)," "))),"")))</f>
        <v/>
      </c>
      <c r="DS520">
        <f>IF($DM520=0,"",IF($L$11=0,"",IFERROR(IF(ISNUMBER(INDEX(PASTE_ALL,$DF520,$L$11)),INDEX(PASTE_ALL,$DF520,$L$11),TRIM(SUBSTITUTE(SUBSTITUTE(SUBSTITUTE(SUBSTITUTE(INDEX(PASTE_ALL,$DF520,$L$11)," "," "),CHAR(9)," "),CHAR(10)," "),CHAR(13)," "))),"")))</f>
        <v/>
      </c>
      <c r="DT520">
        <f>IF($DM520=0,"",IF($L$12=0,"",IFERROR(IF(ISNUMBER(INDEX(PASTE_ALL,$DF520,$L$12)),INDEX(PASTE_ALL,$DF520,$L$12),TRIM(SUBSTITUTE(SUBSTITUTE(SUBSTITUTE(SUBSTITUTE(INDEX(PASTE_ALL,$DF520,$L$12)," "," "),CHAR(9)," "),CHAR(10)," "),CHAR(13)," "))),"")))</f>
        <v/>
      </c>
      <c r="DU520">
        <f>IF($DM520=0,"",IF($L$13=0,"",IFERROR(IF(ISNUMBER(INDEX(PASTE_ALL,$DF520,$L$13)),INDEX(PASTE_ALL,$DF520,$L$13),TRIM(SUBSTITUTE(SUBSTITUTE(SUBSTITUTE(SUBSTITUTE(INDEX(PASTE_ALL,$DF520,$L$13)," "," "),CHAR(9)," "),CHAR(10)," "),CHAR(13)," "))),"")))</f>
        <v/>
      </c>
      <c r="DV520">
        <f>IF($DM520=0,"",IF($L$14=0,"",IFERROR(IF(ISNUMBER(INDEX(PASTE_ALL,$DF520,$L$14)),INDEX(PASTE_ALL,$DF520,$L$14),TRIM(SUBSTITUTE(SUBSTITUTE(SUBSTITUTE(SUBSTITUTE(INDEX(PASTE_ALL,$DF520,$L$14)," "," "),CHAR(9)," "),CHAR(10)," "),CHAR(13)," "))),"")))</f>
        <v/>
      </c>
      <c r="DW520">
        <f>IF($DM520=0,"",IF($L$15=0,"",IFERROR(IF(ISNUMBER(INDEX(PASTE_ALL,$DF520,$L$15)),INDEX(PASTE_ALL,$DF520,$L$15),IF(SUMPRODUCT(--ISNUMBER(FIND({"A","B","C","D","E","F","G","H","I","J","K","L","M","N","O","P","Q","R","S","T","U","V","W","X","Y","Z","0","1","2","3","4","5","6","7","8","9"},UPPER(TRIM(SUBSTITUTE(SUBSTITUTE(SUBSTITUTE(SUBSTITUTE(INDEX(PASTE_ALL,$DF520,$L$15)," "," "),CHAR(9)," "),CHAR(10)," "),CHAR(13)," "))))))&gt;0,TRIM(SUBSTITUTE(SUBSTITUTE(SUBSTITUTE(SUBSTITUTE(INDEX(PASTE_ALL,$DF520,$L$15)," "," "),CHAR(9)," "),CHAR(10)," "),CHAR(13)," ")),"")),"")))</f>
        <v/>
      </c>
      <c r="DX520">
        <f>IF($DM520=0,"",IF($L$16=0,"",IFERROR(IF(ISNUMBER(INDEX(PASTE_ALL,$DF520,$L$16)),INDEX(PASTE_ALL,$DF520,$L$16),SUBSTITUTE(SUBSTITUTE(TRIM(SUBSTITUTE(SUBSTITUTE(SUBSTITUTE(SUBSTITUTE(INDEX(PASTE_ALL,$DF520,$L$16)," "," "),CHAR(9)," "),CHAR(10)," "),CHAR(13)," ")),",",""),"%","")),"")))</f>
        <v/>
      </c>
      <c r="DY520">
        <f>IF($DM520=0,"",IFERROR(IF(ISNUMBER($DX520),$DX520,IF($DX520="","",IF(TRIM($DX520)="",0,IF(AND(AND(SUBSTITUTE(SUBSTITUTE(SUBSTITUTE(SUBSTITUTE(SUBSTITUTE(SUBSTITUTE(SUBSTITUTE(SUBSTITUTE(SUBSTITUTE(SUBSTITUTE(SUBSTITUTE(SUBSTITUTE(SUBSTITUTE(SUBSTITUTE(UPPER(TRIM($DX520)),"0",""),"1",""),"2",""),"3",""),"4",""),"5",""),"6",""),"7",""),"8",""),"9",""),".",""),"+",""),"-",""),"E","")="",LEN(SUBSTITUTE(SUBSTITUTE(MID(UPPER(TRIM($DX520)),1+OR(LEFT(UPPER(TRIM($DX520)),1)="+",LEFT(UPPER(TRIM($DX520)),1)="-"),999),"E+","E"),"E-","E"))=LEN(SUBSTITUTE(SUBSTITUTE(SUBSTITUTE(SUBSTITUTE(MID(UPPER(TRIM($DX520)),1+OR(LEFT(UPPER(TRIM($DX520)),1)="+",LEFT(UPPER(TRIM($DX520)),1)="-"),999),"E+","E"),"E-","E"),"+",""),"-","")),LEN(UPPER(TRIM($DX520)))-LEN(SUBSTITUTE(UPPER(TRIM($DX520)),"E",""))&lt;2,LEN(UPPER(TRIM($DX520)))-LEN(SUBSTITUTE(UPPER(TRIM($DX520)),".",""))&lt;2,IFERROR(FIND(".",UPPER(TRIM($DX520))),0)&lt;IFERROR(FIND("E",UPPER(TRIM($DX520))),999)),ISNUMBER(VALUE(TRIM($DX520)))),VALUE(TRIM($DX520)),"")))),""))</f>
        <v/>
      </c>
      <c r="DZ520">
        <f>IF($DM520=0,"",IF($L$17=0,"",IFERROR(IF(ISNUMBER(INDEX(PASTE_ALL,$DF520,$L$17)),INDEX(PASTE_ALL,$DF520,$L$17),SUBSTITUTE(SUBSTITUTE(TRIM(SUBSTITUTE(SUBSTITUTE(SUBSTITUTE(SUBSTITUTE(INDEX(PASTE_ALL,$DF520,$L$17)," "," "),CHAR(9)," "),CHAR(10)," "),CHAR(13)," ")),",",""),"%","")),"")))</f>
        <v/>
      </c>
      <c r="EA520">
        <f>IF($DM520=0,"",IFERROR(IF(ISNUMBER($DZ520),$DZ520,IF($DZ520="","",IF(TRIM($DZ520)="",0,IF(AND(AND(SUBSTITUTE(SUBSTITUTE(SUBSTITUTE(SUBSTITUTE(SUBSTITUTE(SUBSTITUTE(SUBSTITUTE(SUBSTITUTE(SUBSTITUTE(SUBSTITUTE(SUBSTITUTE(SUBSTITUTE(SUBSTITUTE(SUBSTITUTE(UPPER(TRIM($DZ520)),"0",""),"1",""),"2",""),"3",""),"4",""),"5",""),"6",""),"7",""),"8",""),"9",""),".",""),"+",""),"-",""),"E","")="",LEN(SUBSTITUTE(SUBSTITUTE(MID(UPPER(TRIM($DZ520)),1+OR(LEFT(UPPER(TRIM($DZ520)),1)="+",LEFT(UPPER(TRIM($DZ520)),1)="-"),999),"E+","E"),"E-","E"))=LEN(SUBSTITUTE(SUBSTITUTE(SUBSTITUTE(SUBSTITUTE(MID(UPPER(TRIM($DZ520)),1+OR(LEFT(UPPER(TRIM($DZ520)),1)="+",LEFT(UPPER(TRIM($DZ520)),1)="-"),999),"E+","E"),"E-","E"),"+",""),"-","")),LEN(UPPER(TRIM($DZ520)))-LEN(SUBSTITUTE(UPPER(TRIM($DZ520)),"E",""))&lt;2,LEN(UPPER(TRIM($DZ520)))-LEN(SUBSTITUTE(UPPER(TRIM($DZ520)),".",""))&lt;2,IFERROR(FIND(".",UPPER(TRIM($DZ520))),0)&lt;IFERROR(FIND("E",UPPER(TRIM($DZ520))),999)),ISNUMBER(VALUE(TRIM($DZ520)))),VALUE(TRIM($DZ520)),"")))),""))</f>
        <v/>
      </c>
      <c r="EB520">
        <f>IF($DM520=0,"",IF($L$18=0,"",IFERROR(IF(UPPER(TRIM(SUBSTITUTE(SUBSTITUTE(SUBSTITUTE(SUBSTITUTE(INDEX(PASTE_ALL,$DF520,$L$18)," "," "),CHAR(9)," "),CHAR(10)," "),CHAR(13)," ")))="READY","Ready",IF(UPPER(TRIM(SUBSTITUTE(SUBSTITUTE(SUBSTITUTE(SUBSTITUTE(INDEX(PASTE_ALL,$DF520,$L$18)," "," "),CHAR(9)," "),CHAR(10)," "),CHAR(13)," ")))="PM","PM",IF(OR(UPPER(TRIM(SUBSTITUTE(SUBSTITUTE(SUBSTITUTE(SUBSTITUTE(INDEX(PASTE_ALL,$DF520,$L$18)," "," "),CHAR(9)," "),CHAR(10)," "),CHAR(13)," ")))="OT",UPPER(TRIM(SUBSTITUTE(SUBSTITUTE(SUBSTITUTE(SUBSTITUTE(INDEX(PASTE_ALL,$DF520,$L$18)," "," "),CHAR(9)," "),CHAR(10)," "),CHAR(13)," ")))="OVERTIME",UPPER(TRIM(SUBSTITUTE(SUBSTITUTE(SUBSTITUTE(SUBSTITUTE(INDEX(PASTE_ALL,$DF520,$L$18)," "," "),CHAR(9)," "),CHAR(10)," "),CHAR(13)," ")))="TRIAL"),"OT",TRIM(SUBSTITUTE(SUBSTITUTE(SUBSTITUTE(SUBSTITUTE(INDEX(PASTE_ALL,$DF520,$L$18)," "," "),CHAR(9)," "),CHAR(10)," "),CHAR(13)," "))))),"")))</f>
        <v/>
      </c>
      <c r="EC520">
        <f>IF($DM520=0,"",IF($L$19=0,"",IFERROR(IF(ISNUMBER(INDEX(PASTE_ALL,$DF520,$L$19)),INDEX(PASTE_ALL,$DF520,$L$19),TRIM(SUBSTITUTE(SUBSTITUTE(SUBSTITUTE(SUBSTITUTE(INDEX(PASTE_ALL,$DF520,$L$19)," "," "),CHAR(9)," "),CHAR(10)," "),CHAR(13)," "))),"")))</f>
        <v/>
      </c>
      <c r="ED520">
        <f>IF($DM520=0,"",MATCH(1,INDEX(EXACT($DH$5:DH520,$DH520)*$DM$5:DM520,0),0))</f>
        <v/>
      </c>
      <c r="EE520">
        <f>IF($DM520=0,0,IF($ED520=$DE520,1,0))</f>
        <v/>
      </c>
      <c r="EF520">
        <f>EF519+$EE520</f>
        <v/>
      </c>
      <c r="EG520">
        <f>IF($DM520=0,"",INDEX($EF$5:$EF$1003,$ED520))</f>
        <v/>
      </c>
      <c r="EH520">
        <f>IF($DM520=0,"",IF($DO520&lt;&gt;"","",IFERROR(LOOKUP(2,1/(($EG$4:EG519=$EG520)*($DO$4:DO519&lt;&gt;"")),$DO$4:DO519),"")))</f>
        <v/>
      </c>
      <c r="EI520">
        <f>IF($DM520=0,"",IF($DO520&lt;&gt;"",$DO520,$EH520))</f>
        <v/>
      </c>
      <c r="EJ520">
        <f>IF($DM520=0,"",IF($EI520="",0,IF(OR(ISNUMBER($EI520),AND(AND(SUBSTITUTE(SUBSTITUTE(SUBSTITUTE(SUBSTITUTE(SUBSTITUTE(SUBSTITUTE(SUBSTITUTE(SUBSTITUTE(SUBSTITUTE(SUBSTITUTE(SUBSTITUTE(SUBSTITUTE(SUBSTITUTE(SUBSTITUTE(UPPER($EI520),"0",""),"1",""),"2",""),"3",""),"4",""),"5",""),"6",""),"7",""),"8",""),"9",""),".",""),"+",""),"-",""),"E","")="",LEN(SUBSTITUTE(SUBSTITUTE(MID(UPPER($EI520),1+OR(LEFT(UPPER($EI520),1)="+",LEFT(UPPER($EI520),1)="-"),999),"E+","E"),"E-","E"))=LEN(SUBSTITUTE(SUBSTITUTE(SUBSTITUTE(SUBSTITUTE(MID(UPPER($EI520),1+OR(LEFT(UPPER($EI520),1)="+",LEFT(UPPER($EI520),1)="-"),999),"E+","E"),"E-","E"),"+",""),"-","")),LEN(UPPER($EI520))-LEN(SUBSTITUTE(UPPER($EI520),"E",""))&lt;2,LEN(UPPER($EI520))-LEN(SUBSTITUTE(UPPER($EI520),".",""))&lt;2,IFERROR(FIND(".",UPPER($EI520)),0)&lt;IFERROR(FIND("E",UPPER($EI520)),999)),ISNUMBER(VALUE($EI520)))),1,2)))</f>
        <v/>
      </c>
      <c r="EK520">
        <f>IF($DM520=0,"",IF($EJ520=1,IF(ISNUMBER($EI520),$EI520,VALUE($EI520)),IF($EJ520=2,$DE520,0)))</f>
        <v/>
      </c>
      <c r="EL520">
        <f>IF($DM520=0,"",COUNTIF($EG$5:$EG$1003,"&lt;"&amp;$EG520)+SUMPRODUCT(($EG$5:$EG$1003=$EG520)*(($EJ$5:$EJ$1003&lt;$EJ520)+($EJ$5:$EJ$1003=$EJ520)*(($EK$5:$EK$1003&lt;$EK520)+($EK$5:$EK$1003=$EK520)*($DE$5:$DE$1003&lt;$DE520))))+1)</f>
        <v/>
      </c>
      <c r="EM520">
        <f>IF($DM520=0,"",$EL520+$EG520-1)</f>
        <v/>
      </c>
      <c r="EN520">
        <f>IF($DM520=0,0,IFERROR(MATCH(1,INDEX(--(TRIM(SUBSTITUTE(SUBSTITUTE(SUBSTITUTE(SUBSTITUTE(LINES_NAME&amp;""," "," "),CHAR(9)," "),CHAR(10)," "),CHAR(13)," "))=$DH520),0),0),0))</f>
        <v/>
      </c>
      <c r="EO520">
        <f>IF($EN520=0,0,IF(OR(UPPER(TRIM(INDEX(LINES_SCHEDULED,$EN520)&amp;""))="YES",UPPER(TRIM(INDEX(LINES_SCHEDULED,$EN520)&amp;""))="Y",UPPER(TRIM(INDEX(LINES_SCHEDULED,$EN520)&amp;""))="X"),1,0))</f>
        <v/>
      </c>
      <c r="EP520">
        <f>IF($DM520=0,"",IF(COUNTIFS($EG$5:$EG$1003,$EG520,$EB$5:$EB$1003,"Ready")&gt;0,"READY",IF(COUNTIFS($EG$5:$EG$1003,$EG520,$EB$5:$EB$1003,"PM")&gt;0,"PM",IF(COUNTIFS($EG$5:$EG$1003,$EG520,$EB$5:$EB$1003,"OT")&gt;0,"OT",""))))</f>
        <v/>
      </c>
      <c r="EQ520">
        <f>IF($EN520=0,"",UPPER(TRIM(INDEX(LINES_STATUS,$EN520)&amp;"")))</f>
        <v/>
      </c>
      <c r="ER520">
        <f>IF($DM520=0,"",IF(OR($EQ520="READY",$EQ520="PM",$EQ520="OT"),$EQ520,$EP520))</f>
        <v/>
      </c>
      <c r="ES520">
        <f>IF($DM520=0,"",IF(AND($DV520&lt;&gt;"",UPPER($DV520)&lt;&gt;"N"),"allergen",IF(ISNUMBER(SEARCH("oil",$DQ520)),"oil",IF(OR(EXACT($DS520,"A662"),EXACT($DS520,"A624")),"bulk",""))))</f>
        <v/>
      </c>
      <c r="ET520">
        <f>IF($DM520=0,"",IF(OR($EA520="",$EA520=0),"",$EA520/100))</f>
        <v/>
      </c>
      <c r="EU520">
        <f>IF(OR($ET520="",$DY520=""),"",INT($DY520*(1-$ET520)+0.5))</f>
        <v/>
      </c>
      <c r="EW520" t="n">
        <v>516</v>
      </c>
      <c r="EX520">
        <f>IFERROR(MATCH($EW520,$EM$5:$EM$1003,0),0)</f>
        <v/>
      </c>
      <c r="EY520">
        <f>IF($EW520&gt;$B$12,"",IF($EX520&gt;0,"row","spacer"))</f>
        <v/>
      </c>
      <c r="EZ520">
        <f>IF(AND($EY520="row",$EY519&lt;&gt;"row"),1,0)</f>
        <v/>
      </c>
      <c r="FA520">
        <f>IF(AND($EY520="row",$EY521&lt;&gt;"row"),1,0)</f>
        <v/>
      </c>
      <c r="FB520">
        <f>IF($EZ520=1,IFERROR(IF(ISNUMBER(INDEX(PASTE_ALL,INDEX($DF$5:$DF$1003,$EX520),$B$37)),INDEX(PASTE_ALL,INDEX($DF$5:$DF$1003,$EX520),$B$37),INDEX($DH$5:$DH$1003,$EX520)),INDEX($DH$5:$DH$1003,$EX520)),"")</f>
        <v/>
      </c>
      <c r="FC520">
        <f>IF($EY520="row",INDEX($ER$5:$ER$1003,$EX520),"")</f>
        <v/>
      </c>
      <c r="FD520">
        <f>IF($EY520="row",INDEX($DN$5:$DN$1003,$EX520),"")</f>
        <v/>
      </c>
      <c r="FE520">
        <f>IF($EY520="row",INDEX($DO$5:$DO$1003,$EX520),"")</f>
        <v/>
      </c>
      <c r="FF520">
        <f>IF($EY520="row",INDEX($DP$5:$DP$1003,$EX520),"")</f>
        <v/>
      </c>
      <c r="FG520">
        <f>IF($EY520="row",INDEX($DQ$5:$DQ$1003,$EX520),"")</f>
        <v/>
      </c>
      <c r="FH520">
        <f>IF($EY520="row",INDEX($DR$5:$DR$1003,$EX520),"")</f>
        <v/>
      </c>
      <c r="FI520">
        <f>IF($EY520="row",INDEX($DS$5:$DS$1003,$EX520),"")</f>
        <v/>
      </c>
      <c r="FJ520">
        <f>IF($EY520="row",INDEX($DT$5:$DT$1003,$EX520),"")</f>
        <v/>
      </c>
      <c r="FK520">
        <f>IF($EY520="row",INDEX($DU$5:$DU$1003,$EX520),"")</f>
        <v/>
      </c>
      <c r="FL520">
        <f>IF($EY520="row",INDEX($DV$5:$DV$1003,$EX520),"")</f>
        <v/>
      </c>
      <c r="FM520">
        <f>IF($EY520="row",INDEX($DW$5:$DW$1003,$EX520),"")</f>
        <v/>
      </c>
      <c r="FN520">
        <f>IF($EY520="row",INDEX($DY$5:$DY$1003,$EX520),"")</f>
        <v/>
      </c>
      <c r="FO520">
        <f>IF($EY520="row",INDEX($EA$5:$EA$1003,$EX520),"")</f>
        <v/>
      </c>
      <c r="FP520">
        <f>IF($EY520="row",INDEX($EC$5:$EC$1003,$EX520),"")</f>
        <v/>
      </c>
      <c r="FQ520">
        <f>IF($EY520="row",INDEX($ET$5:$ET$1003,$EX520),"")</f>
        <v/>
      </c>
      <c r="FR520">
        <f>IF($EY520="row",INDEX($EU$5:$EU$1003,$EX520),"")</f>
        <v/>
      </c>
      <c r="FS520">
        <f>IF(AND($EY520="row",$EY519="row"),IF(OR(INDEX($DT$5:$DT$1003,$EX519)="",INDEX($DT$5:$DT$1003,$EX520)=""),"",IF(NOT(EXACT(INDEX($DT$5:$DT$1003,$EX519),INDEX($DT$5:$DT$1003,$EX520))),"S4",IF(NOT(EXACT(INDEX($DS$5:$DS$1003,$EX519),INDEX($DS$5:$DS$1003,$EX520))),"S3",IF(NOT(EXACT(INDEX($DR$5:$DR$1003,$EX519),INDEX($DR$5:$DR$1003,$EX520))),"S1 Count Change","S1")))),"")</f>
        <v/>
      </c>
      <c r="FT520">
        <f>IF($EY520="row",INDEX($ES$5:$ES$1003,$EX520),"")</f>
        <v/>
      </c>
      <c r="FU520">
        <f>IF($EY520="row",INDEX($EO$5:$EO$1003,$EX520),0)</f>
        <v/>
      </c>
      <c r="FV520">
        <f>IF($FS520="S1 Count Change",1,0)</f>
        <v/>
      </c>
    </row>
    <row r="521">
      <c r="DA521" t="n">
        <v>517</v>
      </c>
      <c r="DB521">
        <f>IF($B$37=0,"",IFERROR(TRIM(SUBSTITUTE(SUBSTITUTE(SUBSTITUTE(SUBSTITUTE(INDEX(PASTE_ALL,517,$B$37)," "," "),CHAR(9)," "),CHAR(10)," "),CHAR(13)," ")),""))</f>
        <v/>
      </c>
      <c r="DC521">
        <f>IF(AND(517&gt;HEADER_ROW,UPPER(DB521)="LEGEND"),1,0)</f>
        <v/>
      </c>
      <c r="DE521" t="n">
        <v>517</v>
      </c>
      <c r="DF521">
        <f>HEADER_ROW+$DE521</f>
        <v/>
      </c>
      <c r="DG521">
        <f>IF(AND($DF521&lt;=1000,$DF521&lt;$B$8),1,0)</f>
        <v/>
      </c>
      <c r="DH521">
        <f>IF($DG521=1,IFERROR(INDEX($DB$5:$DB$1004,$DF521),""),"")</f>
        <v/>
      </c>
      <c r="DI521">
        <f>IF(AND($DG521=1,$DH521&lt;&gt;""),IFERROR(SUBSTITUTE(SUBSTITUTE(TRIM(SUBSTITUTE(SUBSTITUTE(SUBSTITUTE(SUBSTITUTE(IFERROR(INDEX(PASTE_ALL,$DF521,1)&amp;"","")&amp;"␟"&amp;IFERROR(INDEX(PASTE_ALL,$DF521,2)&amp;"","")&amp;"␟"&amp;IFERROR(INDEX(PASTE_ALL,$DF521,3)&amp;"","")&amp;"␟"&amp;IFERROR(INDEX(PASTE_ALL,$DF521,4)&amp;"","")&amp;"␟"&amp;IFERROR(INDEX(PASTE_ALL,$DF521,5)&amp;"","")&amp;"␟"&amp;IFERROR(INDEX(PASTE_ALL,$DF521,6)&amp;"","")&amp;"␟"&amp;IFERROR(INDEX(PASTE_ALL,$DF521,7)&amp;"","")&amp;"␟"&amp;IFERROR(INDEX(PASTE_ALL,$DF521,8)&amp;"","")&amp;"␟"&amp;IFERROR(INDEX(PASTE_ALL,$DF521,9)&amp;"","")&amp;"␟"&amp;IFERROR(INDEX(PASTE_ALL,$DF521,10)&amp;"","")&amp;"␟"&amp;IFERROR(INDEX(PASTE_ALL,$DF521,11)&amp;"","")&amp;"␟"&amp;IFERROR(INDEX(PASTE_ALL,$DF521,12)&amp;"","")&amp;"␟"&amp;IFERROR(INDEX(PASTE_ALL,$DF521,13)&amp;"","")&amp;"␟"&amp;IFERROR(INDEX(PASTE_ALL,$DF521,14)&amp;"","")&amp;"␟"&amp;IFERROR(INDEX(PASTE_ALL,$DF521,15)&amp;"","")&amp;"␟"&amp;IFERROR(INDEX(PASTE_ALL,$DF521,16)&amp;"","")&amp;"␟"&amp;IFERROR(INDEX(PASTE_ALL,$DF521,17)&amp;"","")&amp;"␟"&amp;IFERROR(INDEX(PASTE_ALL,$DF521,18)&amp;"","")&amp;"␟"&amp;IFERROR(INDEX(PASTE_ALL,$DF521,19)&amp;"","")&amp;"␟"&amp;IFERROR(INDEX(PASTE_ALL,$DF521,20)&amp;"","")&amp;"␟"&amp;IFERROR(INDEX(PASTE_ALL,$DF521,21)&amp;"","")&amp;"␟"&amp;IFERROR(INDEX(PASTE_ALL,$DF521,22)&amp;"","")&amp;"␟"&amp;IFERROR(INDEX(PASTE_ALL,$DF521,23)&amp;"","")&amp;"␟"&amp;IFERROR(INDEX(PASTE_ALL,$DF521,24)&amp;"","")&amp;"␟"&amp;IFERROR(INDEX(PASTE_ALL,$DF521,25)&amp;"","")&amp;"␟"&amp;IFERROR(INDEX(PASTE_ALL,$DF521,26)&amp;"","")&amp;"␟"&amp;IFERROR(INDEX(PASTE_ALL,$DF521,27)&amp;"","")&amp;"␟"&amp;IFERROR(INDEX(PASTE_ALL,$DF521,28)&amp;"","")&amp;"␟"&amp;IFERROR(INDEX(PASTE_ALL,$DF521,29)&amp;"","")&amp;"␟"&amp;IFERROR(INDEX(PASTE_ALL,$DF521,30)&amp;"","")&amp;"␟"&amp;IFERROR(INDEX(PASTE_ALL,$DF521,31)&amp;"","")&amp;"␟"&amp;IFERROR(INDEX(PASTE_ALL,$DF521,32)&amp;"","")&amp;"␟"&amp;IFERROR(INDEX(PASTE_ALL,$DF521,33)&amp;"","")&amp;"␟"&amp;IFERROR(INDEX(PASTE_ALL,$DF521,34)&amp;"","")&amp;"␟"&amp;IFERROR(INDEX(PASTE_ALL,$DF521,35)&amp;"","")&amp;"␟"&amp;IFERROR(INDEX(PASTE_ALL,$DF521,36)&amp;"","")&amp;"␟"&amp;IFERROR(INDEX(PASTE_ALL,$DF521,37)&amp;"","")&amp;"␟"&amp;IFERROR(INDEX(PASTE_ALL,$DF521,38)&amp;"","")&amp;"␟"&amp;IFERROR(INDEX(PASTE_ALL,$DF521,39)&amp;"","")&amp;"␟"&amp;IFERROR(INDEX(PASTE_ALL,$DF521,40)&amp;"","")&amp;"␟"&amp;IFERROR(INDEX(PASTE_ALL,$DF521,41)&amp;"","")&amp;"␟"&amp;IFERROR(INDEX(PASTE_ALL,$DF521,42)&amp;"","")&amp;"␟"&amp;IFERROR(INDEX(PASTE_ALL,$DF521,43)&amp;"","")&amp;"␟"&amp;IFERROR(INDEX(PASTE_ALL,$DF521,44)&amp;"","")&amp;"␟"&amp;IFERROR(INDEX(PASTE_ALL,$DF521,45)&amp;"","")&amp;"␟"&amp;IFERROR(INDEX(PASTE_ALL,$DF521,46)&amp;"","")&amp;"␟"&amp;IFERROR(INDEX(PASTE_ALL,$DF521,47)&amp;"","")&amp;"␟"&amp;IFERROR(INDEX(PASTE_ALL,$DF521,48)&amp;"","")&amp;"␟"&amp;IFERROR(INDEX(PASTE_ALL,$DF521,49)&amp;"","")&amp;"␟"&amp;IFERROR(INDEX(PASTE_ALL,$DF521,50)&amp;"","")&amp;"␟"&amp;IFERROR(INDEX(PASTE_ALL,$DF521,51)&amp;"","")&amp;"␟"&amp;IFERROR(INDEX(PASTE_ALL,$DF521,52)&amp;"","")&amp;"␟"&amp;IFERROR(INDEX(PASTE_ALL,$DF521,53)&amp;"","")&amp;"␟"&amp;IFERROR(INDEX(PASTE_ALL,$DF521,54)&amp;"","")&amp;"␟"&amp;IFERROR(INDEX(PASTE_ALL,$DF521,55)&amp;"","")&amp;"␟"&amp;IFERROR(INDEX(PASTE_ALL,$DF521,56)&amp;"","")&amp;"␟"&amp;IFERROR(INDEX(PASTE_ALL,$DF521,57)&amp;"","")&amp;"␟"&amp;IFERROR(INDEX(PASTE_ALL,$DF521,58)&amp;"","")&amp;"␟"&amp;IFERROR(INDEX(PASTE_ALL,$DF521,59)&amp;"","")&amp;"␟"&amp;IFERROR(INDEX(PASTE_ALL,$DF521,60)&amp;"","")," "," "),CHAR(9)," "),CHAR(10)," "),CHAR(13)," "))," ␟","␟"),"␟ ","␟"),"#"&amp;$DE521),"")</f>
        <v/>
      </c>
      <c r="DJ521">
        <f>IF($DI521="",0,IF(SUMPRODUCT(--EXACT($DI$4:DI520,$DI521))&gt;0,1,0))</f>
        <v/>
      </c>
      <c r="DK521">
        <f>IF(AND($DI521&lt;&gt;"",$DJ521=0),1,0)</f>
        <v/>
      </c>
      <c r="DL521">
        <f>DL520+$DK521</f>
        <v/>
      </c>
      <c r="DM521">
        <f>IF(AND($DK521=1,$DL521&lt;=600),1,0)</f>
        <v/>
      </c>
      <c r="DN521">
        <f>IF($DM521=0,"",IF($L$6=0,"",IFERROR(IF(ISNUMBER(INDEX(PASTE_ALL,$DF521,$L$6)),INDEX(PASTE_ALL,$DF521,$L$6),TRIM(SUBSTITUTE(SUBSTITUTE(SUBSTITUTE(SUBSTITUTE(INDEX(PASTE_ALL,$DF521,$L$6)," "," "),CHAR(9)," "),CHAR(10)," "),CHAR(13)," "))),"")))</f>
        <v/>
      </c>
      <c r="DO521">
        <f>IF($DM521=0,"",IF($L$7=0,"",IFERROR(IF(ISNUMBER(INDEX(PASTE_ALL,$DF521,$L$7)),INDEX(PASTE_ALL,$DF521,$L$7),TRIM(SUBSTITUTE(SUBSTITUTE(SUBSTITUTE(SUBSTITUTE(INDEX(PASTE_ALL,$DF521,$L$7)," "," "),CHAR(9)," "),CHAR(10)," "),CHAR(13)," "))),"")))</f>
        <v/>
      </c>
      <c r="DP521">
        <f>IF($DM521=0,"",IF($L$8=0,"",IFERROR(IF(ISNUMBER(INDEX(PASTE_ALL,$DF521,$L$8)),INDEX(PASTE_ALL,$DF521,$L$8),TRIM(SUBSTITUTE(SUBSTITUTE(SUBSTITUTE(SUBSTITUTE(INDEX(PASTE_ALL,$DF521,$L$8)," "," "),CHAR(9)," "),CHAR(10)," "),CHAR(13)," "))),"")))</f>
        <v/>
      </c>
      <c r="DQ521">
        <f>IF($DM521=0,"",IF($L$9=0,"",IFERROR(IF(ISNUMBER(INDEX(PASTE_ALL,$DF521,$L$9)),INDEX(PASTE_ALL,$DF521,$L$9),TRIM(SUBSTITUTE(SUBSTITUTE(SUBSTITUTE(SUBSTITUTE(INDEX(PASTE_ALL,$DF521,$L$9)," "," "),CHAR(9)," "),CHAR(10)," "),CHAR(13)," "))),"")))</f>
        <v/>
      </c>
      <c r="DR521">
        <f>IF($DM521=0,"",IF($L$10=0,"",IFERROR(IF(ISNUMBER(INDEX(PASTE_ALL,$DF521,$L$10)),INDEX(PASTE_ALL,$DF521,$L$10),TRIM(SUBSTITUTE(SUBSTITUTE(SUBSTITUTE(SUBSTITUTE(INDEX(PASTE_ALL,$DF521,$L$10)," "," "),CHAR(9)," "),CHAR(10)," "),CHAR(13)," "))),"")))</f>
        <v/>
      </c>
      <c r="DS521">
        <f>IF($DM521=0,"",IF($L$11=0,"",IFERROR(IF(ISNUMBER(INDEX(PASTE_ALL,$DF521,$L$11)),INDEX(PASTE_ALL,$DF521,$L$11),TRIM(SUBSTITUTE(SUBSTITUTE(SUBSTITUTE(SUBSTITUTE(INDEX(PASTE_ALL,$DF521,$L$11)," "," "),CHAR(9)," "),CHAR(10)," "),CHAR(13)," "))),"")))</f>
        <v/>
      </c>
      <c r="DT521">
        <f>IF($DM521=0,"",IF($L$12=0,"",IFERROR(IF(ISNUMBER(INDEX(PASTE_ALL,$DF521,$L$12)),INDEX(PASTE_ALL,$DF521,$L$12),TRIM(SUBSTITUTE(SUBSTITUTE(SUBSTITUTE(SUBSTITUTE(INDEX(PASTE_ALL,$DF521,$L$12)," "," "),CHAR(9)," "),CHAR(10)," "),CHAR(13)," "))),"")))</f>
        <v/>
      </c>
      <c r="DU521">
        <f>IF($DM521=0,"",IF($L$13=0,"",IFERROR(IF(ISNUMBER(INDEX(PASTE_ALL,$DF521,$L$13)),INDEX(PASTE_ALL,$DF521,$L$13),TRIM(SUBSTITUTE(SUBSTITUTE(SUBSTITUTE(SUBSTITUTE(INDEX(PASTE_ALL,$DF521,$L$13)," "," "),CHAR(9)," "),CHAR(10)," "),CHAR(13)," "))),"")))</f>
        <v/>
      </c>
      <c r="DV521">
        <f>IF($DM521=0,"",IF($L$14=0,"",IFERROR(IF(ISNUMBER(INDEX(PASTE_ALL,$DF521,$L$14)),INDEX(PASTE_ALL,$DF521,$L$14),TRIM(SUBSTITUTE(SUBSTITUTE(SUBSTITUTE(SUBSTITUTE(INDEX(PASTE_ALL,$DF521,$L$14)," "," "),CHAR(9)," "),CHAR(10)," "),CHAR(13)," "))),"")))</f>
        <v/>
      </c>
      <c r="DW521">
        <f>IF($DM521=0,"",IF($L$15=0,"",IFERROR(IF(ISNUMBER(INDEX(PASTE_ALL,$DF521,$L$15)),INDEX(PASTE_ALL,$DF521,$L$15),IF(SUMPRODUCT(--ISNUMBER(FIND({"A","B","C","D","E","F","G","H","I","J","K","L","M","N","O","P","Q","R","S","T","U","V","W","X","Y","Z","0","1","2","3","4","5","6","7","8","9"},UPPER(TRIM(SUBSTITUTE(SUBSTITUTE(SUBSTITUTE(SUBSTITUTE(INDEX(PASTE_ALL,$DF521,$L$15)," "," "),CHAR(9)," "),CHAR(10)," "),CHAR(13)," "))))))&gt;0,TRIM(SUBSTITUTE(SUBSTITUTE(SUBSTITUTE(SUBSTITUTE(INDEX(PASTE_ALL,$DF521,$L$15)," "," "),CHAR(9)," "),CHAR(10)," "),CHAR(13)," ")),"")),"")))</f>
        <v/>
      </c>
      <c r="DX521">
        <f>IF($DM521=0,"",IF($L$16=0,"",IFERROR(IF(ISNUMBER(INDEX(PASTE_ALL,$DF521,$L$16)),INDEX(PASTE_ALL,$DF521,$L$16),SUBSTITUTE(SUBSTITUTE(TRIM(SUBSTITUTE(SUBSTITUTE(SUBSTITUTE(SUBSTITUTE(INDEX(PASTE_ALL,$DF521,$L$16)," "," "),CHAR(9)," "),CHAR(10)," "),CHAR(13)," ")),",",""),"%","")),"")))</f>
        <v/>
      </c>
      <c r="DY521">
        <f>IF($DM521=0,"",IFERROR(IF(ISNUMBER($DX521),$DX521,IF($DX521="","",IF(TRIM($DX521)="",0,IF(AND(AND(SUBSTITUTE(SUBSTITUTE(SUBSTITUTE(SUBSTITUTE(SUBSTITUTE(SUBSTITUTE(SUBSTITUTE(SUBSTITUTE(SUBSTITUTE(SUBSTITUTE(SUBSTITUTE(SUBSTITUTE(SUBSTITUTE(SUBSTITUTE(UPPER(TRIM($DX521)),"0",""),"1",""),"2",""),"3",""),"4",""),"5",""),"6",""),"7",""),"8",""),"9",""),".",""),"+",""),"-",""),"E","")="",LEN(SUBSTITUTE(SUBSTITUTE(MID(UPPER(TRIM($DX521)),1+OR(LEFT(UPPER(TRIM($DX521)),1)="+",LEFT(UPPER(TRIM($DX521)),1)="-"),999),"E+","E"),"E-","E"))=LEN(SUBSTITUTE(SUBSTITUTE(SUBSTITUTE(SUBSTITUTE(MID(UPPER(TRIM($DX521)),1+OR(LEFT(UPPER(TRIM($DX521)),1)="+",LEFT(UPPER(TRIM($DX521)),1)="-"),999),"E+","E"),"E-","E"),"+",""),"-","")),LEN(UPPER(TRIM($DX521)))-LEN(SUBSTITUTE(UPPER(TRIM($DX521)),"E",""))&lt;2,LEN(UPPER(TRIM($DX521)))-LEN(SUBSTITUTE(UPPER(TRIM($DX521)),".",""))&lt;2,IFERROR(FIND(".",UPPER(TRIM($DX521))),0)&lt;IFERROR(FIND("E",UPPER(TRIM($DX521))),999)),ISNUMBER(VALUE(TRIM($DX521)))),VALUE(TRIM($DX521)),"")))),""))</f>
        <v/>
      </c>
      <c r="DZ521">
        <f>IF($DM521=0,"",IF($L$17=0,"",IFERROR(IF(ISNUMBER(INDEX(PASTE_ALL,$DF521,$L$17)),INDEX(PASTE_ALL,$DF521,$L$17),SUBSTITUTE(SUBSTITUTE(TRIM(SUBSTITUTE(SUBSTITUTE(SUBSTITUTE(SUBSTITUTE(INDEX(PASTE_ALL,$DF521,$L$17)," "," "),CHAR(9)," "),CHAR(10)," "),CHAR(13)," ")),",",""),"%","")),"")))</f>
        <v/>
      </c>
      <c r="EA521">
        <f>IF($DM521=0,"",IFERROR(IF(ISNUMBER($DZ521),$DZ521,IF($DZ521="","",IF(TRIM($DZ521)="",0,IF(AND(AND(SUBSTITUTE(SUBSTITUTE(SUBSTITUTE(SUBSTITUTE(SUBSTITUTE(SUBSTITUTE(SUBSTITUTE(SUBSTITUTE(SUBSTITUTE(SUBSTITUTE(SUBSTITUTE(SUBSTITUTE(SUBSTITUTE(SUBSTITUTE(UPPER(TRIM($DZ521)),"0",""),"1",""),"2",""),"3",""),"4",""),"5",""),"6",""),"7",""),"8",""),"9",""),".",""),"+",""),"-",""),"E","")="",LEN(SUBSTITUTE(SUBSTITUTE(MID(UPPER(TRIM($DZ521)),1+OR(LEFT(UPPER(TRIM($DZ521)),1)="+",LEFT(UPPER(TRIM($DZ521)),1)="-"),999),"E+","E"),"E-","E"))=LEN(SUBSTITUTE(SUBSTITUTE(SUBSTITUTE(SUBSTITUTE(MID(UPPER(TRIM($DZ521)),1+OR(LEFT(UPPER(TRIM($DZ521)),1)="+",LEFT(UPPER(TRIM($DZ521)),1)="-"),999),"E+","E"),"E-","E"),"+",""),"-","")),LEN(UPPER(TRIM($DZ521)))-LEN(SUBSTITUTE(UPPER(TRIM($DZ521)),"E",""))&lt;2,LEN(UPPER(TRIM($DZ521)))-LEN(SUBSTITUTE(UPPER(TRIM($DZ521)),".",""))&lt;2,IFERROR(FIND(".",UPPER(TRIM($DZ521))),0)&lt;IFERROR(FIND("E",UPPER(TRIM($DZ521))),999)),ISNUMBER(VALUE(TRIM($DZ521)))),VALUE(TRIM($DZ521)),"")))),""))</f>
        <v/>
      </c>
      <c r="EB521">
        <f>IF($DM521=0,"",IF($L$18=0,"",IFERROR(IF(UPPER(TRIM(SUBSTITUTE(SUBSTITUTE(SUBSTITUTE(SUBSTITUTE(INDEX(PASTE_ALL,$DF521,$L$18)," "," "),CHAR(9)," "),CHAR(10)," "),CHAR(13)," ")))="READY","Ready",IF(UPPER(TRIM(SUBSTITUTE(SUBSTITUTE(SUBSTITUTE(SUBSTITUTE(INDEX(PASTE_ALL,$DF521,$L$18)," "," "),CHAR(9)," "),CHAR(10)," "),CHAR(13)," ")))="PM","PM",IF(OR(UPPER(TRIM(SUBSTITUTE(SUBSTITUTE(SUBSTITUTE(SUBSTITUTE(INDEX(PASTE_ALL,$DF521,$L$18)," "," "),CHAR(9)," "),CHAR(10)," "),CHAR(13)," ")))="OT",UPPER(TRIM(SUBSTITUTE(SUBSTITUTE(SUBSTITUTE(SUBSTITUTE(INDEX(PASTE_ALL,$DF521,$L$18)," "," "),CHAR(9)," "),CHAR(10)," "),CHAR(13)," ")))="OVERTIME",UPPER(TRIM(SUBSTITUTE(SUBSTITUTE(SUBSTITUTE(SUBSTITUTE(INDEX(PASTE_ALL,$DF521,$L$18)," "," "),CHAR(9)," "),CHAR(10)," "),CHAR(13)," ")))="TRIAL"),"OT",TRIM(SUBSTITUTE(SUBSTITUTE(SUBSTITUTE(SUBSTITUTE(INDEX(PASTE_ALL,$DF521,$L$18)," "," "),CHAR(9)," "),CHAR(10)," "),CHAR(13)," "))))),"")))</f>
        <v/>
      </c>
      <c r="EC521">
        <f>IF($DM521=0,"",IF($L$19=0,"",IFERROR(IF(ISNUMBER(INDEX(PASTE_ALL,$DF521,$L$19)),INDEX(PASTE_ALL,$DF521,$L$19),TRIM(SUBSTITUTE(SUBSTITUTE(SUBSTITUTE(SUBSTITUTE(INDEX(PASTE_ALL,$DF521,$L$19)," "," "),CHAR(9)," "),CHAR(10)," "),CHAR(13)," "))),"")))</f>
        <v/>
      </c>
      <c r="ED521">
        <f>IF($DM521=0,"",MATCH(1,INDEX(EXACT($DH$5:DH521,$DH521)*$DM$5:DM521,0),0))</f>
        <v/>
      </c>
      <c r="EE521">
        <f>IF($DM521=0,0,IF($ED521=$DE521,1,0))</f>
        <v/>
      </c>
      <c r="EF521">
        <f>EF520+$EE521</f>
        <v/>
      </c>
      <c r="EG521">
        <f>IF($DM521=0,"",INDEX($EF$5:$EF$1003,$ED521))</f>
        <v/>
      </c>
      <c r="EH521">
        <f>IF($DM521=0,"",IF($DO521&lt;&gt;"","",IFERROR(LOOKUP(2,1/(($EG$4:EG520=$EG521)*($DO$4:DO520&lt;&gt;"")),$DO$4:DO520),"")))</f>
        <v/>
      </c>
      <c r="EI521">
        <f>IF($DM521=0,"",IF($DO521&lt;&gt;"",$DO521,$EH521))</f>
        <v/>
      </c>
      <c r="EJ521">
        <f>IF($DM521=0,"",IF($EI521="",0,IF(OR(ISNUMBER($EI521),AND(AND(SUBSTITUTE(SUBSTITUTE(SUBSTITUTE(SUBSTITUTE(SUBSTITUTE(SUBSTITUTE(SUBSTITUTE(SUBSTITUTE(SUBSTITUTE(SUBSTITUTE(SUBSTITUTE(SUBSTITUTE(SUBSTITUTE(SUBSTITUTE(UPPER($EI521),"0",""),"1",""),"2",""),"3",""),"4",""),"5",""),"6",""),"7",""),"8",""),"9",""),".",""),"+",""),"-",""),"E","")="",LEN(SUBSTITUTE(SUBSTITUTE(MID(UPPER($EI521),1+OR(LEFT(UPPER($EI521),1)="+",LEFT(UPPER($EI521),1)="-"),999),"E+","E"),"E-","E"))=LEN(SUBSTITUTE(SUBSTITUTE(SUBSTITUTE(SUBSTITUTE(MID(UPPER($EI521),1+OR(LEFT(UPPER($EI521),1)="+",LEFT(UPPER($EI521),1)="-"),999),"E+","E"),"E-","E"),"+",""),"-","")),LEN(UPPER($EI521))-LEN(SUBSTITUTE(UPPER($EI521),"E",""))&lt;2,LEN(UPPER($EI521))-LEN(SUBSTITUTE(UPPER($EI521),".",""))&lt;2,IFERROR(FIND(".",UPPER($EI521)),0)&lt;IFERROR(FIND("E",UPPER($EI521)),999)),ISNUMBER(VALUE($EI521)))),1,2)))</f>
        <v/>
      </c>
      <c r="EK521">
        <f>IF($DM521=0,"",IF($EJ521=1,IF(ISNUMBER($EI521),$EI521,VALUE($EI521)),IF($EJ521=2,$DE521,0)))</f>
        <v/>
      </c>
      <c r="EL521">
        <f>IF($DM521=0,"",COUNTIF($EG$5:$EG$1003,"&lt;"&amp;$EG521)+SUMPRODUCT(($EG$5:$EG$1003=$EG521)*(($EJ$5:$EJ$1003&lt;$EJ521)+($EJ$5:$EJ$1003=$EJ521)*(($EK$5:$EK$1003&lt;$EK521)+($EK$5:$EK$1003=$EK521)*($DE$5:$DE$1003&lt;$DE521))))+1)</f>
        <v/>
      </c>
      <c r="EM521">
        <f>IF($DM521=0,"",$EL521+$EG521-1)</f>
        <v/>
      </c>
      <c r="EN521">
        <f>IF($DM521=0,0,IFERROR(MATCH(1,INDEX(--(TRIM(SUBSTITUTE(SUBSTITUTE(SUBSTITUTE(SUBSTITUTE(LINES_NAME&amp;""," "," "),CHAR(9)," "),CHAR(10)," "),CHAR(13)," "))=$DH521),0),0),0))</f>
        <v/>
      </c>
      <c r="EO521">
        <f>IF($EN521=0,0,IF(OR(UPPER(TRIM(INDEX(LINES_SCHEDULED,$EN521)&amp;""))="YES",UPPER(TRIM(INDEX(LINES_SCHEDULED,$EN521)&amp;""))="Y",UPPER(TRIM(INDEX(LINES_SCHEDULED,$EN521)&amp;""))="X"),1,0))</f>
        <v/>
      </c>
      <c r="EP521">
        <f>IF($DM521=0,"",IF(COUNTIFS($EG$5:$EG$1003,$EG521,$EB$5:$EB$1003,"Ready")&gt;0,"READY",IF(COUNTIFS($EG$5:$EG$1003,$EG521,$EB$5:$EB$1003,"PM")&gt;0,"PM",IF(COUNTIFS($EG$5:$EG$1003,$EG521,$EB$5:$EB$1003,"OT")&gt;0,"OT",""))))</f>
        <v/>
      </c>
      <c r="EQ521">
        <f>IF($EN521=0,"",UPPER(TRIM(INDEX(LINES_STATUS,$EN521)&amp;"")))</f>
        <v/>
      </c>
      <c r="ER521">
        <f>IF($DM521=0,"",IF(OR($EQ521="READY",$EQ521="PM",$EQ521="OT"),$EQ521,$EP521))</f>
        <v/>
      </c>
      <c r="ES521">
        <f>IF($DM521=0,"",IF(AND($DV521&lt;&gt;"",UPPER($DV521)&lt;&gt;"N"),"allergen",IF(ISNUMBER(SEARCH("oil",$DQ521)),"oil",IF(OR(EXACT($DS521,"A662"),EXACT($DS521,"A624")),"bulk",""))))</f>
        <v/>
      </c>
      <c r="ET521">
        <f>IF($DM521=0,"",IF(OR($EA521="",$EA521=0),"",$EA521/100))</f>
        <v/>
      </c>
      <c r="EU521">
        <f>IF(OR($ET521="",$DY521=""),"",INT($DY521*(1-$ET521)+0.5))</f>
        <v/>
      </c>
      <c r="EW521" t="n">
        <v>517</v>
      </c>
      <c r="EX521">
        <f>IFERROR(MATCH($EW521,$EM$5:$EM$1003,0),0)</f>
        <v/>
      </c>
      <c r="EY521">
        <f>IF($EW521&gt;$B$12,"",IF($EX521&gt;0,"row","spacer"))</f>
        <v/>
      </c>
      <c r="EZ521">
        <f>IF(AND($EY521="row",$EY520&lt;&gt;"row"),1,0)</f>
        <v/>
      </c>
      <c r="FA521">
        <f>IF(AND($EY521="row",$EY522&lt;&gt;"row"),1,0)</f>
        <v/>
      </c>
      <c r="FB521">
        <f>IF($EZ521=1,IFERROR(IF(ISNUMBER(INDEX(PASTE_ALL,INDEX($DF$5:$DF$1003,$EX521),$B$37)),INDEX(PASTE_ALL,INDEX($DF$5:$DF$1003,$EX521),$B$37),INDEX($DH$5:$DH$1003,$EX521)),INDEX($DH$5:$DH$1003,$EX521)),"")</f>
        <v/>
      </c>
      <c r="FC521">
        <f>IF($EY521="row",INDEX($ER$5:$ER$1003,$EX521),"")</f>
        <v/>
      </c>
      <c r="FD521">
        <f>IF($EY521="row",INDEX($DN$5:$DN$1003,$EX521),"")</f>
        <v/>
      </c>
      <c r="FE521">
        <f>IF($EY521="row",INDEX($DO$5:$DO$1003,$EX521),"")</f>
        <v/>
      </c>
      <c r="FF521">
        <f>IF($EY521="row",INDEX($DP$5:$DP$1003,$EX521),"")</f>
        <v/>
      </c>
      <c r="FG521">
        <f>IF($EY521="row",INDEX($DQ$5:$DQ$1003,$EX521),"")</f>
        <v/>
      </c>
      <c r="FH521">
        <f>IF($EY521="row",INDEX($DR$5:$DR$1003,$EX521),"")</f>
        <v/>
      </c>
      <c r="FI521">
        <f>IF($EY521="row",INDEX($DS$5:$DS$1003,$EX521),"")</f>
        <v/>
      </c>
      <c r="FJ521">
        <f>IF($EY521="row",INDEX($DT$5:$DT$1003,$EX521),"")</f>
        <v/>
      </c>
      <c r="FK521">
        <f>IF($EY521="row",INDEX($DU$5:$DU$1003,$EX521),"")</f>
        <v/>
      </c>
      <c r="FL521">
        <f>IF($EY521="row",INDEX($DV$5:$DV$1003,$EX521),"")</f>
        <v/>
      </c>
      <c r="FM521">
        <f>IF($EY521="row",INDEX($DW$5:$DW$1003,$EX521),"")</f>
        <v/>
      </c>
      <c r="FN521">
        <f>IF($EY521="row",INDEX($DY$5:$DY$1003,$EX521),"")</f>
        <v/>
      </c>
      <c r="FO521">
        <f>IF($EY521="row",INDEX($EA$5:$EA$1003,$EX521),"")</f>
        <v/>
      </c>
      <c r="FP521">
        <f>IF($EY521="row",INDEX($EC$5:$EC$1003,$EX521),"")</f>
        <v/>
      </c>
      <c r="FQ521">
        <f>IF($EY521="row",INDEX($ET$5:$ET$1003,$EX521),"")</f>
        <v/>
      </c>
      <c r="FR521">
        <f>IF($EY521="row",INDEX($EU$5:$EU$1003,$EX521),"")</f>
        <v/>
      </c>
      <c r="FS521">
        <f>IF(AND($EY521="row",$EY520="row"),IF(OR(INDEX($DT$5:$DT$1003,$EX520)="",INDEX($DT$5:$DT$1003,$EX521)=""),"",IF(NOT(EXACT(INDEX($DT$5:$DT$1003,$EX520),INDEX($DT$5:$DT$1003,$EX521))),"S4",IF(NOT(EXACT(INDEX($DS$5:$DS$1003,$EX520),INDEX($DS$5:$DS$1003,$EX521))),"S3",IF(NOT(EXACT(INDEX($DR$5:$DR$1003,$EX520),INDEX($DR$5:$DR$1003,$EX521))),"S1 Count Change","S1")))),"")</f>
        <v/>
      </c>
      <c r="FT521">
        <f>IF($EY521="row",INDEX($ES$5:$ES$1003,$EX521),"")</f>
        <v/>
      </c>
      <c r="FU521">
        <f>IF($EY521="row",INDEX($EO$5:$EO$1003,$EX521),0)</f>
        <v/>
      </c>
      <c r="FV521">
        <f>IF($FS521="S1 Count Change",1,0)</f>
        <v/>
      </c>
    </row>
    <row r="522">
      <c r="DA522" t="n">
        <v>518</v>
      </c>
      <c r="DB522">
        <f>IF($B$37=0,"",IFERROR(TRIM(SUBSTITUTE(SUBSTITUTE(SUBSTITUTE(SUBSTITUTE(INDEX(PASTE_ALL,518,$B$37)," "," "),CHAR(9)," "),CHAR(10)," "),CHAR(13)," ")),""))</f>
        <v/>
      </c>
      <c r="DC522">
        <f>IF(AND(518&gt;HEADER_ROW,UPPER(DB522)="LEGEND"),1,0)</f>
        <v/>
      </c>
      <c r="DE522" t="n">
        <v>518</v>
      </c>
      <c r="DF522">
        <f>HEADER_ROW+$DE522</f>
        <v/>
      </c>
      <c r="DG522">
        <f>IF(AND($DF522&lt;=1000,$DF522&lt;$B$8),1,0)</f>
        <v/>
      </c>
      <c r="DH522">
        <f>IF($DG522=1,IFERROR(INDEX($DB$5:$DB$1004,$DF522),""),"")</f>
        <v/>
      </c>
      <c r="DI522">
        <f>IF(AND($DG522=1,$DH522&lt;&gt;""),IFERROR(SUBSTITUTE(SUBSTITUTE(TRIM(SUBSTITUTE(SUBSTITUTE(SUBSTITUTE(SUBSTITUTE(IFERROR(INDEX(PASTE_ALL,$DF522,1)&amp;"","")&amp;"␟"&amp;IFERROR(INDEX(PASTE_ALL,$DF522,2)&amp;"","")&amp;"␟"&amp;IFERROR(INDEX(PASTE_ALL,$DF522,3)&amp;"","")&amp;"␟"&amp;IFERROR(INDEX(PASTE_ALL,$DF522,4)&amp;"","")&amp;"␟"&amp;IFERROR(INDEX(PASTE_ALL,$DF522,5)&amp;"","")&amp;"␟"&amp;IFERROR(INDEX(PASTE_ALL,$DF522,6)&amp;"","")&amp;"␟"&amp;IFERROR(INDEX(PASTE_ALL,$DF522,7)&amp;"","")&amp;"␟"&amp;IFERROR(INDEX(PASTE_ALL,$DF522,8)&amp;"","")&amp;"␟"&amp;IFERROR(INDEX(PASTE_ALL,$DF522,9)&amp;"","")&amp;"␟"&amp;IFERROR(INDEX(PASTE_ALL,$DF522,10)&amp;"","")&amp;"␟"&amp;IFERROR(INDEX(PASTE_ALL,$DF522,11)&amp;"","")&amp;"␟"&amp;IFERROR(INDEX(PASTE_ALL,$DF522,12)&amp;"","")&amp;"␟"&amp;IFERROR(INDEX(PASTE_ALL,$DF522,13)&amp;"","")&amp;"␟"&amp;IFERROR(INDEX(PASTE_ALL,$DF522,14)&amp;"","")&amp;"␟"&amp;IFERROR(INDEX(PASTE_ALL,$DF522,15)&amp;"","")&amp;"␟"&amp;IFERROR(INDEX(PASTE_ALL,$DF522,16)&amp;"","")&amp;"␟"&amp;IFERROR(INDEX(PASTE_ALL,$DF522,17)&amp;"","")&amp;"␟"&amp;IFERROR(INDEX(PASTE_ALL,$DF522,18)&amp;"","")&amp;"␟"&amp;IFERROR(INDEX(PASTE_ALL,$DF522,19)&amp;"","")&amp;"␟"&amp;IFERROR(INDEX(PASTE_ALL,$DF522,20)&amp;"","")&amp;"␟"&amp;IFERROR(INDEX(PASTE_ALL,$DF522,21)&amp;"","")&amp;"␟"&amp;IFERROR(INDEX(PASTE_ALL,$DF522,22)&amp;"","")&amp;"␟"&amp;IFERROR(INDEX(PASTE_ALL,$DF522,23)&amp;"","")&amp;"␟"&amp;IFERROR(INDEX(PASTE_ALL,$DF522,24)&amp;"","")&amp;"␟"&amp;IFERROR(INDEX(PASTE_ALL,$DF522,25)&amp;"","")&amp;"␟"&amp;IFERROR(INDEX(PASTE_ALL,$DF522,26)&amp;"","")&amp;"␟"&amp;IFERROR(INDEX(PASTE_ALL,$DF522,27)&amp;"","")&amp;"␟"&amp;IFERROR(INDEX(PASTE_ALL,$DF522,28)&amp;"","")&amp;"␟"&amp;IFERROR(INDEX(PASTE_ALL,$DF522,29)&amp;"","")&amp;"␟"&amp;IFERROR(INDEX(PASTE_ALL,$DF522,30)&amp;"","")&amp;"␟"&amp;IFERROR(INDEX(PASTE_ALL,$DF522,31)&amp;"","")&amp;"␟"&amp;IFERROR(INDEX(PASTE_ALL,$DF522,32)&amp;"","")&amp;"␟"&amp;IFERROR(INDEX(PASTE_ALL,$DF522,33)&amp;"","")&amp;"␟"&amp;IFERROR(INDEX(PASTE_ALL,$DF522,34)&amp;"","")&amp;"␟"&amp;IFERROR(INDEX(PASTE_ALL,$DF522,35)&amp;"","")&amp;"␟"&amp;IFERROR(INDEX(PASTE_ALL,$DF522,36)&amp;"","")&amp;"␟"&amp;IFERROR(INDEX(PASTE_ALL,$DF522,37)&amp;"","")&amp;"␟"&amp;IFERROR(INDEX(PASTE_ALL,$DF522,38)&amp;"","")&amp;"␟"&amp;IFERROR(INDEX(PASTE_ALL,$DF522,39)&amp;"","")&amp;"␟"&amp;IFERROR(INDEX(PASTE_ALL,$DF522,40)&amp;"","")&amp;"␟"&amp;IFERROR(INDEX(PASTE_ALL,$DF522,41)&amp;"","")&amp;"␟"&amp;IFERROR(INDEX(PASTE_ALL,$DF522,42)&amp;"","")&amp;"␟"&amp;IFERROR(INDEX(PASTE_ALL,$DF522,43)&amp;"","")&amp;"␟"&amp;IFERROR(INDEX(PASTE_ALL,$DF522,44)&amp;"","")&amp;"␟"&amp;IFERROR(INDEX(PASTE_ALL,$DF522,45)&amp;"","")&amp;"␟"&amp;IFERROR(INDEX(PASTE_ALL,$DF522,46)&amp;"","")&amp;"␟"&amp;IFERROR(INDEX(PASTE_ALL,$DF522,47)&amp;"","")&amp;"␟"&amp;IFERROR(INDEX(PASTE_ALL,$DF522,48)&amp;"","")&amp;"␟"&amp;IFERROR(INDEX(PASTE_ALL,$DF522,49)&amp;"","")&amp;"␟"&amp;IFERROR(INDEX(PASTE_ALL,$DF522,50)&amp;"","")&amp;"␟"&amp;IFERROR(INDEX(PASTE_ALL,$DF522,51)&amp;"","")&amp;"␟"&amp;IFERROR(INDEX(PASTE_ALL,$DF522,52)&amp;"","")&amp;"␟"&amp;IFERROR(INDEX(PASTE_ALL,$DF522,53)&amp;"","")&amp;"␟"&amp;IFERROR(INDEX(PASTE_ALL,$DF522,54)&amp;"","")&amp;"␟"&amp;IFERROR(INDEX(PASTE_ALL,$DF522,55)&amp;"","")&amp;"␟"&amp;IFERROR(INDEX(PASTE_ALL,$DF522,56)&amp;"","")&amp;"␟"&amp;IFERROR(INDEX(PASTE_ALL,$DF522,57)&amp;"","")&amp;"␟"&amp;IFERROR(INDEX(PASTE_ALL,$DF522,58)&amp;"","")&amp;"␟"&amp;IFERROR(INDEX(PASTE_ALL,$DF522,59)&amp;"","")&amp;"␟"&amp;IFERROR(INDEX(PASTE_ALL,$DF522,60)&amp;"","")," "," "),CHAR(9)," "),CHAR(10)," "),CHAR(13)," "))," ␟","␟"),"␟ ","␟"),"#"&amp;$DE522),"")</f>
        <v/>
      </c>
      <c r="DJ522">
        <f>IF($DI522="",0,IF(SUMPRODUCT(--EXACT($DI$4:DI521,$DI522))&gt;0,1,0))</f>
        <v/>
      </c>
      <c r="DK522">
        <f>IF(AND($DI522&lt;&gt;"",$DJ522=0),1,0)</f>
        <v/>
      </c>
      <c r="DL522">
        <f>DL521+$DK522</f>
        <v/>
      </c>
      <c r="DM522">
        <f>IF(AND($DK522=1,$DL522&lt;=600),1,0)</f>
        <v/>
      </c>
      <c r="DN522">
        <f>IF($DM522=0,"",IF($L$6=0,"",IFERROR(IF(ISNUMBER(INDEX(PASTE_ALL,$DF522,$L$6)),INDEX(PASTE_ALL,$DF522,$L$6),TRIM(SUBSTITUTE(SUBSTITUTE(SUBSTITUTE(SUBSTITUTE(INDEX(PASTE_ALL,$DF522,$L$6)," "," "),CHAR(9)," "),CHAR(10)," "),CHAR(13)," "))),"")))</f>
        <v/>
      </c>
      <c r="DO522">
        <f>IF($DM522=0,"",IF($L$7=0,"",IFERROR(IF(ISNUMBER(INDEX(PASTE_ALL,$DF522,$L$7)),INDEX(PASTE_ALL,$DF522,$L$7),TRIM(SUBSTITUTE(SUBSTITUTE(SUBSTITUTE(SUBSTITUTE(INDEX(PASTE_ALL,$DF522,$L$7)," "," "),CHAR(9)," "),CHAR(10)," "),CHAR(13)," "))),"")))</f>
        <v/>
      </c>
      <c r="DP522">
        <f>IF($DM522=0,"",IF($L$8=0,"",IFERROR(IF(ISNUMBER(INDEX(PASTE_ALL,$DF522,$L$8)),INDEX(PASTE_ALL,$DF522,$L$8),TRIM(SUBSTITUTE(SUBSTITUTE(SUBSTITUTE(SUBSTITUTE(INDEX(PASTE_ALL,$DF522,$L$8)," "," "),CHAR(9)," "),CHAR(10)," "),CHAR(13)," "))),"")))</f>
        <v/>
      </c>
      <c r="DQ522">
        <f>IF($DM522=0,"",IF($L$9=0,"",IFERROR(IF(ISNUMBER(INDEX(PASTE_ALL,$DF522,$L$9)),INDEX(PASTE_ALL,$DF522,$L$9),TRIM(SUBSTITUTE(SUBSTITUTE(SUBSTITUTE(SUBSTITUTE(INDEX(PASTE_ALL,$DF522,$L$9)," "," "),CHAR(9)," "),CHAR(10)," "),CHAR(13)," "))),"")))</f>
        <v/>
      </c>
      <c r="DR522">
        <f>IF($DM522=0,"",IF($L$10=0,"",IFERROR(IF(ISNUMBER(INDEX(PASTE_ALL,$DF522,$L$10)),INDEX(PASTE_ALL,$DF522,$L$10),TRIM(SUBSTITUTE(SUBSTITUTE(SUBSTITUTE(SUBSTITUTE(INDEX(PASTE_ALL,$DF522,$L$10)," "," "),CHAR(9)," "),CHAR(10)," "),CHAR(13)," "))),"")))</f>
        <v/>
      </c>
      <c r="DS522">
        <f>IF($DM522=0,"",IF($L$11=0,"",IFERROR(IF(ISNUMBER(INDEX(PASTE_ALL,$DF522,$L$11)),INDEX(PASTE_ALL,$DF522,$L$11),TRIM(SUBSTITUTE(SUBSTITUTE(SUBSTITUTE(SUBSTITUTE(INDEX(PASTE_ALL,$DF522,$L$11)," "," "),CHAR(9)," "),CHAR(10)," "),CHAR(13)," "))),"")))</f>
        <v/>
      </c>
      <c r="DT522">
        <f>IF($DM522=0,"",IF($L$12=0,"",IFERROR(IF(ISNUMBER(INDEX(PASTE_ALL,$DF522,$L$12)),INDEX(PASTE_ALL,$DF522,$L$12),TRIM(SUBSTITUTE(SUBSTITUTE(SUBSTITUTE(SUBSTITUTE(INDEX(PASTE_ALL,$DF522,$L$12)," "," "),CHAR(9)," "),CHAR(10)," "),CHAR(13)," "))),"")))</f>
        <v/>
      </c>
      <c r="DU522">
        <f>IF($DM522=0,"",IF($L$13=0,"",IFERROR(IF(ISNUMBER(INDEX(PASTE_ALL,$DF522,$L$13)),INDEX(PASTE_ALL,$DF522,$L$13),TRIM(SUBSTITUTE(SUBSTITUTE(SUBSTITUTE(SUBSTITUTE(INDEX(PASTE_ALL,$DF522,$L$13)," "," "),CHAR(9)," "),CHAR(10)," "),CHAR(13)," "))),"")))</f>
        <v/>
      </c>
      <c r="DV522">
        <f>IF($DM522=0,"",IF($L$14=0,"",IFERROR(IF(ISNUMBER(INDEX(PASTE_ALL,$DF522,$L$14)),INDEX(PASTE_ALL,$DF522,$L$14),TRIM(SUBSTITUTE(SUBSTITUTE(SUBSTITUTE(SUBSTITUTE(INDEX(PASTE_ALL,$DF522,$L$14)," "," "),CHAR(9)," "),CHAR(10)," "),CHAR(13)," "))),"")))</f>
        <v/>
      </c>
      <c r="DW522">
        <f>IF($DM522=0,"",IF($L$15=0,"",IFERROR(IF(ISNUMBER(INDEX(PASTE_ALL,$DF522,$L$15)),INDEX(PASTE_ALL,$DF522,$L$15),IF(SUMPRODUCT(--ISNUMBER(FIND({"A","B","C","D","E","F","G","H","I","J","K","L","M","N","O","P","Q","R","S","T","U","V","W","X","Y","Z","0","1","2","3","4","5","6","7","8","9"},UPPER(TRIM(SUBSTITUTE(SUBSTITUTE(SUBSTITUTE(SUBSTITUTE(INDEX(PASTE_ALL,$DF522,$L$15)," "," "),CHAR(9)," "),CHAR(10)," "),CHAR(13)," "))))))&gt;0,TRIM(SUBSTITUTE(SUBSTITUTE(SUBSTITUTE(SUBSTITUTE(INDEX(PASTE_ALL,$DF522,$L$15)," "," "),CHAR(9)," "),CHAR(10)," "),CHAR(13)," ")),"")),"")))</f>
        <v/>
      </c>
      <c r="DX522">
        <f>IF($DM522=0,"",IF($L$16=0,"",IFERROR(IF(ISNUMBER(INDEX(PASTE_ALL,$DF522,$L$16)),INDEX(PASTE_ALL,$DF522,$L$16),SUBSTITUTE(SUBSTITUTE(TRIM(SUBSTITUTE(SUBSTITUTE(SUBSTITUTE(SUBSTITUTE(INDEX(PASTE_ALL,$DF522,$L$16)," "," "),CHAR(9)," "),CHAR(10)," "),CHAR(13)," ")),",",""),"%","")),"")))</f>
        <v/>
      </c>
      <c r="DY522">
        <f>IF($DM522=0,"",IFERROR(IF(ISNUMBER($DX522),$DX522,IF($DX522="","",IF(TRIM($DX522)="",0,IF(AND(AND(SUBSTITUTE(SUBSTITUTE(SUBSTITUTE(SUBSTITUTE(SUBSTITUTE(SUBSTITUTE(SUBSTITUTE(SUBSTITUTE(SUBSTITUTE(SUBSTITUTE(SUBSTITUTE(SUBSTITUTE(SUBSTITUTE(SUBSTITUTE(UPPER(TRIM($DX522)),"0",""),"1",""),"2",""),"3",""),"4",""),"5",""),"6",""),"7",""),"8",""),"9",""),".",""),"+",""),"-",""),"E","")="",LEN(SUBSTITUTE(SUBSTITUTE(MID(UPPER(TRIM($DX522)),1+OR(LEFT(UPPER(TRIM($DX522)),1)="+",LEFT(UPPER(TRIM($DX522)),1)="-"),999),"E+","E"),"E-","E"))=LEN(SUBSTITUTE(SUBSTITUTE(SUBSTITUTE(SUBSTITUTE(MID(UPPER(TRIM($DX522)),1+OR(LEFT(UPPER(TRIM($DX522)),1)="+",LEFT(UPPER(TRIM($DX522)),1)="-"),999),"E+","E"),"E-","E"),"+",""),"-","")),LEN(UPPER(TRIM($DX522)))-LEN(SUBSTITUTE(UPPER(TRIM($DX522)),"E",""))&lt;2,LEN(UPPER(TRIM($DX522)))-LEN(SUBSTITUTE(UPPER(TRIM($DX522)),".",""))&lt;2,IFERROR(FIND(".",UPPER(TRIM($DX522))),0)&lt;IFERROR(FIND("E",UPPER(TRIM($DX522))),999)),ISNUMBER(VALUE(TRIM($DX522)))),VALUE(TRIM($DX522)),"")))),""))</f>
        <v/>
      </c>
      <c r="DZ522">
        <f>IF($DM522=0,"",IF($L$17=0,"",IFERROR(IF(ISNUMBER(INDEX(PASTE_ALL,$DF522,$L$17)),INDEX(PASTE_ALL,$DF522,$L$17),SUBSTITUTE(SUBSTITUTE(TRIM(SUBSTITUTE(SUBSTITUTE(SUBSTITUTE(SUBSTITUTE(INDEX(PASTE_ALL,$DF522,$L$17)," "," "),CHAR(9)," "),CHAR(10)," "),CHAR(13)," ")),",",""),"%","")),"")))</f>
        <v/>
      </c>
      <c r="EA522">
        <f>IF($DM522=0,"",IFERROR(IF(ISNUMBER($DZ522),$DZ522,IF($DZ522="","",IF(TRIM($DZ522)="",0,IF(AND(AND(SUBSTITUTE(SUBSTITUTE(SUBSTITUTE(SUBSTITUTE(SUBSTITUTE(SUBSTITUTE(SUBSTITUTE(SUBSTITUTE(SUBSTITUTE(SUBSTITUTE(SUBSTITUTE(SUBSTITUTE(SUBSTITUTE(SUBSTITUTE(UPPER(TRIM($DZ522)),"0",""),"1",""),"2",""),"3",""),"4",""),"5",""),"6",""),"7",""),"8",""),"9",""),".",""),"+",""),"-",""),"E","")="",LEN(SUBSTITUTE(SUBSTITUTE(MID(UPPER(TRIM($DZ522)),1+OR(LEFT(UPPER(TRIM($DZ522)),1)="+",LEFT(UPPER(TRIM($DZ522)),1)="-"),999),"E+","E"),"E-","E"))=LEN(SUBSTITUTE(SUBSTITUTE(SUBSTITUTE(SUBSTITUTE(MID(UPPER(TRIM($DZ522)),1+OR(LEFT(UPPER(TRIM($DZ522)),1)="+",LEFT(UPPER(TRIM($DZ522)),1)="-"),999),"E+","E"),"E-","E"),"+",""),"-","")),LEN(UPPER(TRIM($DZ522)))-LEN(SUBSTITUTE(UPPER(TRIM($DZ522)),"E",""))&lt;2,LEN(UPPER(TRIM($DZ522)))-LEN(SUBSTITUTE(UPPER(TRIM($DZ522)),".",""))&lt;2,IFERROR(FIND(".",UPPER(TRIM($DZ522))),0)&lt;IFERROR(FIND("E",UPPER(TRIM($DZ522))),999)),ISNUMBER(VALUE(TRIM($DZ522)))),VALUE(TRIM($DZ522)),"")))),""))</f>
        <v/>
      </c>
      <c r="EB522">
        <f>IF($DM522=0,"",IF($L$18=0,"",IFERROR(IF(UPPER(TRIM(SUBSTITUTE(SUBSTITUTE(SUBSTITUTE(SUBSTITUTE(INDEX(PASTE_ALL,$DF522,$L$18)," "," "),CHAR(9)," "),CHAR(10)," "),CHAR(13)," ")))="READY","Ready",IF(UPPER(TRIM(SUBSTITUTE(SUBSTITUTE(SUBSTITUTE(SUBSTITUTE(INDEX(PASTE_ALL,$DF522,$L$18)," "," "),CHAR(9)," "),CHAR(10)," "),CHAR(13)," ")))="PM","PM",IF(OR(UPPER(TRIM(SUBSTITUTE(SUBSTITUTE(SUBSTITUTE(SUBSTITUTE(INDEX(PASTE_ALL,$DF522,$L$18)," "," "),CHAR(9)," "),CHAR(10)," "),CHAR(13)," ")))="OT",UPPER(TRIM(SUBSTITUTE(SUBSTITUTE(SUBSTITUTE(SUBSTITUTE(INDEX(PASTE_ALL,$DF522,$L$18)," "," "),CHAR(9)," "),CHAR(10)," "),CHAR(13)," ")))="OVERTIME",UPPER(TRIM(SUBSTITUTE(SUBSTITUTE(SUBSTITUTE(SUBSTITUTE(INDEX(PASTE_ALL,$DF522,$L$18)," "," "),CHAR(9)," "),CHAR(10)," "),CHAR(13)," ")))="TRIAL"),"OT",TRIM(SUBSTITUTE(SUBSTITUTE(SUBSTITUTE(SUBSTITUTE(INDEX(PASTE_ALL,$DF522,$L$18)," "," "),CHAR(9)," "),CHAR(10)," "),CHAR(13)," "))))),"")))</f>
        <v/>
      </c>
      <c r="EC522">
        <f>IF($DM522=0,"",IF($L$19=0,"",IFERROR(IF(ISNUMBER(INDEX(PASTE_ALL,$DF522,$L$19)),INDEX(PASTE_ALL,$DF522,$L$19),TRIM(SUBSTITUTE(SUBSTITUTE(SUBSTITUTE(SUBSTITUTE(INDEX(PASTE_ALL,$DF522,$L$19)," "," "),CHAR(9)," "),CHAR(10)," "),CHAR(13)," "))),"")))</f>
        <v/>
      </c>
      <c r="ED522">
        <f>IF($DM522=0,"",MATCH(1,INDEX(EXACT($DH$5:DH522,$DH522)*$DM$5:DM522,0),0))</f>
        <v/>
      </c>
      <c r="EE522">
        <f>IF($DM522=0,0,IF($ED522=$DE522,1,0))</f>
        <v/>
      </c>
      <c r="EF522">
        <f>EF521+$EE522</f>
        <v/>
      </c>
      <c r="EG522">
        <f>IF($DM522=0,"",INDEX($EF$5:$EF$1003,$ED522))</f>
        <v/>
      </c>
      <c r="EH522">
        <f>IF($DM522=0,"",IF($DO522&lt;&gt;"","",IFERROR(LOOKUP(2,1/(($EG$4:EG521=$EG522)*($DO$4:DO521&lt;&gt;"")),$DO$4:DO521),"")))</f>
        <v/>
      </c>
      <c r="EI522">
        <f>IF($DM522=0,"",IF($DO522&lt;&gt;"",$DO522,$EH522))</f>
        <v/>
      </c>
      <c r="EJ522">
        <f>IF($DM522=0,"",IF($EI522="",0,IF(OR(ISNUMBER($EI522),AND(AND(SUBSTITUTE(SUBSTITUTE(SUBSTITUTE(SUBSTITUTE(SUBSTITUTE(SUBSTITUTE(SUBSTITUTE(SUBSTITUTE(SUBSTITUTE(SUBSTITUTE(SUBSTITUTE(SUBSTITUTE(SUBSTITUTE(SUBSTITUTE(UPPER($EI522),"0",""),"1",""),"2",""),"3",""),"4",""),"5",""),"6",""),"7",""),"8",""),"9",""),".",""),"+",""),"-",""),"E","")="",LEN(SUBSTITUTE(SUBSTITUTE(MID(UPPER($EI522),1+OR(LEFT(UPPER($EI522),1)="+",LEFT(UPPER($EI522),1)="-"),999),"E+","E"),"E-","E"))=LEN(SUBSTITUTE(SUBSTITUTE(SUBSTITUTE(SUBSTITUTE(MID(UPPER($EI522),1+OR(LEFT(UPPER($EI522),1)="+",LEFT(UPPER($EI522),1)="-"),999),"E+","E"),"E-","E"),"+",""),"-","")),LEN(UPPER($EI522))-LEN(SUBSTITUTE(UPPER($EI522),"E",""))&lt;2,LEN(UPPER($EI522))-LEN(SUBSTITUTE(UPPER($EI522),".",""))&lt;2,IFERROR(FIND(".",UPPER($EI522)),0)&lt;IFERROR(FIND("E",UPPER($EI522)),999)),ISNUMBER(VALUE($EI522)))),1,2)))</f>
        <v/>
      </c>
      <c r="EK522">
        <f>IF($DM522=0,"",IF($EJ522=1,IF(ISNUMBER($EI522),$EI522,VALUE($EI522)),IF($EJ522=2,$DE522,0)))</f>
        <v/>
      </c>
      <c r="EL522">
        <f>IF($DM522=0,"",COUNTIF($EG$5:$EG$1003,"&lt;"&amp;$EG522)+SUMPRODUCT(($EG$5:$EG$1003=$EG522)*(($EJ$5:$EJ$1003&lt;$EJ522)+($EJ$5:$EJ$1003=$EJ522)*(($EK$5:$EK$1003&lt;$EK522)+($EK$5:$EK$1003=$EK522)*($DE$5:$DE$1003&lt;$DE522))))+1)</f>
        <v/>
      </c>
      <c r="EM522">
        <f>IF($DM522=0,"",$EL522+$EG522-1)</f>
        <v/>
      </c>
      <c r="EN522">
        <f>IF($DM522=0,0,IFERROR(MATCH(1,INDEX(--(TRIM(SUBSTITUTE(SUBSTITUTE(SUBSTITUTE(SUBSTITUTE(LINES_NAME&amp;""," "," "),CHAR(9)," "),CHAR(10)," "),CHAR(13)," "))=$DH522),0),0),0))</f>
        <v/>
      </c>
      <c r="EO522">
        <f>IF($EN522=0,0,IF(OR(UPPER(TRIM(INDEX(LINES_SCHEDULED,$EN522)&amp;""))="YES",UPPER(TRIM(INDEX(LINES_SCHEDULED,$EN522)&amp;""))="Y",UPPER(TRIM(INDEX(LINES_SCHEDULED,$EN522)&amp;""))="X"),1,0))</f>
        <v/>
      </c>
      <c r="EP522">
        <f>IF($DM522=0,"",IF(COUNTIFS($EG$5:$EG$1003,$EG522,$EB$5:$EB$1003,"Ready")&gt;0,"READY",IF(COUNTIFS($EG$5:$EG$1003,$EG522,$EB$5:$EB$1003,"PM")&gt;0,"PM",IF(COUNTIFS($EG$5:$EG$1003,$EG522,$EB$5:$EB$1003,"OT")&gt;0,"OT",""))))</f>
        <v/>
      </c>
      <c r="EQ522">
        <f>IF($EN522=0,"",UPPER(TRIM(INDEX(LINES_STATUS,$EN522)&amp;"")))</f>
        <v/>
      </c>
      <c r="ER522">
        <f>IF($DM522=0,"",IF(OR($EQ522="READY",$EQ522="PM",$EQ522="OT"),$EQ522,$EP522))</f>
        <v/>
      </c>
      <c r="ES522">
        <f>IF($DM522=0,"",IF(AND($DV522&lt;&gt;"",UPPER($DV522)&lt;&gt;"N"),"allergen",IF(ISNUMBER(SEARCH("oil",$DQ522)),"oil",IF(OR(EXACT($DS522,"A662"),EXACT($DS522,"A624")),"bulk",""))))</f>
        <v/>
      </c>
      <c r="ET522">
        <f>IF($DM522=0,"",IF(OR($EA522="",$EA522=0),"",$EA522/100))</f>
        <v/>
      </c>
      <c r="EU522">
        <f>IF(OR($ET522="",$DY522=""),"",INT($DY522*(1-$ET522)+0.5))</f>
        <v/>
      </c>
      <c r="EW522" t="n">
        <v>518</v>
      </c>
      <c r="EX522">
        <f>IFERROR(MATCH($EW522,$EM$5:$EM$1003,0),0)</f>
        <v/>
      </c>
      <c r="EY522">
        <f>IF($EW522&gt;$B$12,"",IF($EX522&gt;0,"row","spacer"))</f>
        <v/>
      </c>
      <c r="EZ522">
        <f>IF(AND($EY522="row",$EY521&lt;&gt;"row"),1,0)</f>
        <v/>
      </c>
      <c r="FA522">
        <f>IF(AND($EY522="row",$EY523&lt;&gt;"row"),1,0)</f>
        <v/>
      </c>
      <c r="FB522">
        <f>IF($EZ522=1,IFERROR(IF(ISNUMBER(INDEX(PASTE_ALL,INDEX($DF$5:$DF$1003,$EX522),$B$37)),INDEX(PASTE_ALL,INDEX($DF$5:$DF$1003,$EX522),$B$37),INDEX($DH$5:$DH$1003,$EX522)),INDEX($DH$5:$DH$1003,$EX522)),"")</f>
        <v/>
      </c>
      <c r="FC522">
        <f>IF($EY522="row",INDEX($ER$5:$ER$1003,$EX522),"")</f>
        <v/>
      </c>
      <c r="FD522">
        <f>IF($EY522="row",INDEX($DN$5:$DN$1003,$EX522),"")</f>
        <v/>
      </c>
      <c r="FE522">
        <f>IF($EY522="row",INDEX($DO$5:$DO$1003,$EX522),"")</f>
        <v/>
      </c>
      <c r="FF522">
        <f>IF($EY522="row",INDEX($DP$5:$DP$1003,$EX522),"")</f>
        <v/>
      </c>
      <c r="FG522">
        <f>IF($EY522="row",INDEX($DQ$5:$DQ$1003,$EX522),"")</f>
        <v/>
      </c>
      <c r="FH522">
        <f>IF($EY522="row",INDEX($DR$5:$DR$1003,$EX522),"")</f>
        <v/>
      </c>
      <c r="FI522">
        <f>IF($EY522="row",INDEX($DS$5:$DS$1003,$EX522),"")</f>
        <v/>
      </c>
      <c r="FJ522">
        <f>IF($EY522="row",INDEX($DT$5:$DT$1003,$EX522),"")</f>
        <v/>
      </c>
      <c r="FK522">
        <f>IF($EY522="row",INDEX($DU$5:$DU$1003,$EX522),"")</f>
        <v/>
      </c>
      <c r="FL522">
        <f>IF($EY522="row",INDEX($DV$5:$DV$1003,$EX522),"")</f>
        <v/>
      </c>
      <c r="FM522">
        <f>IF($EY522="row",INDEX($DW$5:$DW$1003,$EX522),"")</f>
        <v/>
      </c>
      <c r="FN522">
        <f>IF($EY522="row",INDEX($DY$5:$DY$1003,$EX522),"")</f>
        <v/>
      </c>
      <c r="FO522">
        <f>IF($EY522="row",INDEX($EA$5:$EA$1003,$EX522),"")</f>
        <v/>
      </c>
      <c r="FP522">
        <f>IF($EY522="row",INDEX($EC$5:$EC$1003,$EX522),"")</f>
        <v/>
      </c>
      <c r="FQ522">
        <f>IF($EY522="row",INDEX($ET$5:$ET$1003,$EX522),"")</f>
        <v/>
      </c>
      <c r="FR522">
        <f>IF($EY522="row",INDEX($EU$5:$EU$1003,$EX522),"")</f>
        <v/>
      </c>
      <c r="FS522">
        <f>IF(AND($EY522="row",$EY521="row"),IF(OR(INDEX($DT$5:$DT$1003,$EX521)="",INDEX($DT$5:$DT$1003,$EX522)=""),"",IF(NOT(EXACT(INDEX($DT$5:$DT$1003,$EX521),INDEX($DT$5:$DT$1003,$EX522))),"S4",IF(NOT(EXACT(INDEX($DS$5:$DS$1003,$EX521),INDEX($DS$5:$DS$1003,$EX522))),"S3",IF(NOT(EXACT(INDEX($DR$5:$DR$1003,$EX521),INDEX($DR$5:$DR$1003,$EX522))),"S1 Count Change","S1")))),"")</f>
        <v/>
      </c>
      <c r="FT522">
        <f>IF($EY522="row",INDEX($ES$5:$ES$1003,$EX522),"")</f>
        <v/>
      </c>
      <c r="FU522">
        <f>IF($EY522="row",INDEX($EO$5:$EO$1003,$EX522),0)</f>
        <v/>
      </c>
      <c r="FV522">
        <f>IF($FS522="S1 Count Change",1,0)</f>
        <v/>
      </c>
    </row>
    <row r="523">
      <c r="DA523" t="n">
        <v>519</v>
      </c>
      <c r="DB523">
        <f>IF($B$37=0,"",IFERROR(TRIM(SUBSTITUTE(SUBSTITUTE(SUBSTITUTE(SUBSTITUTE(INDEX(PASTE_ALL,519,$B$37)," "," "),CHAR(9)," "),CHAR(10)," "),CHAR(13)," ")),""))</f>
        <v/>
      </c>
      <c r="DC523">
        <f>IF(AND(519&gt;HEADER_ROW,UPPER(DB523)="LEGEND"),1,0)</f>
        <v/>
      </c>
      <c r="DE523" t="n">
        <v>519</v>
      </c>
      <c r="DF523">
        <f>HEADER_ROW+$DE523</f>
        <v/>
      </c>
      <c r="DG523">
        <f>IF(AND($DF523&lt;=1000,$DF523&lt;$B$8),1,0)</f>
        <v/>
      </c>
      <c r="DH523">
        <f>IF($DG523=1,IFERROR(INDEX($DB$5:$DB$1004,$DF523),""),"")</f>
        <v/>
      </c>
      <c r="DI523">
        <f>IF(AND($DG523=1,$DH523&lt;&gt;""),IFERROR(SUBSTITUTE(SUBSTITUTE(TRIM(SUBSTITUTE(SUBSTITUTE(SUBSTITUTE(SUBSTITUTE(IFERROR(INDEX(PASTE_ALL,$DF523,1)&amp;"","")&amp;"␟"&amp;IFERROR(INDEX(PASTE_ALL,$DF523,2)&amp;"","")&amp;"␟"&amp;IFERROR(INDEX(PASTE_ALL,$DF523,3)&amp;"","")&amp;"␟"&amp;IFERROR(INDEX(PASTE_ALL,$DF523,4)&amp;"","")&amp;"␟"&amp;IFERROR(INDEX(PASTE_ALL,$DF523,5)&amp;"","")&amp;"␟"&amp;IFERROR(INDEX(PASTE_ALL,$DF523,6)&amp;"","")&amp;"␟"&amp;IFERROR(INDEX(PASTE_ALL,$DF523,7)&amp;"","")&amp;"␟"&amp;IFERROR(INDEX(PASTE_ALL,$DF523,8)&amp;"","")&amp;"␟"&amp;IFERROR(INDEX(PASTE_ALL,$DF523,9)&amp;"","")&amp;"␟"&amp;IFERROR(INDEX(PASTE_ALL,$DF523,10)&amp;"","")&amp;"␟"&amp;IFERROR(INDEX(PASTE_ALL,$DF523,11)&amp;"","")&amp;"␟"&amp;IFERROR(INDEX(PASTE_ALL,$DF523,12)&amp;"","")&amp;"␟"&amp;IFERROR(INDEX(PASTE_ALL,$DF523,13)&amp;"","")&amp;"␟"&amp;IFERROR(INDEX(PASTE_ALL,$DF523,14)&amp;"","")&amp;"␟"&amp;IFERROR(INDEX(PASTE_ALL,$DF523,15)&amp;"","")&amp;"␟"&amp;IFERROR(INDEX(PASTE_ALL,$DF523,16)&amp;"","")&amp;"␟"&amp;IFERROR(INDEX(PASTE_ALL,$DF523,17)&amp;"","")&amp;"␟"&amp;IFERROR(INDEX(PASTE_ALL,$DF523,18)&amp;"","")&amp;"␟"&amp;IFERROR(INDEX(PASTE_ALL,$DF523,19)&amp;"","")&amp;"␟"&amp;IFERROR(INDEX(PASTE_ALL,$DF523,20)&amp;"","")&amp;"␟"&amp;IFERROR(INDEX(PASTE_ALL,$DF523,21)&amp;"","")&amp;"␟"&amp;IFERROR(INDEX(PASTE_ALL,$DF523,22)&amp;"","")&amp;"␟"&amp;IFERROR(INDEX(PASTE_ALL,$DF523,23)&amp;"","")&amp;"␟"&amp;IFERROR(INDEX(PASTE_ALL,$DF523,24)&amp;"","")&amp;"␟"&amp;IFERROR(INDEX(PASTE_ALL,$DF523,25)&amp;"","")&amp;"␟"&amp;IFERROR(INDEX(PASTE_ALL,$DF523,26)&amp;"","")&amp;"␟"&amp;IFERROR(INDEX(PASTE_ALL,$DF523,27)&amp;"","")&amp;"␟"&amp;IFERROR(INDEX(PASTE_ALL,$DF523,28)&amp;"","")&amp;"␟"&amp;IFERROR(INDEX(PASTE_ALL,$DF523,29)&amp;"","")&amp;"␟"&amp;IFERROR(INDEX(PASTE_ALL,$DF523,30)&amp;"","")&amp;"␟"&amp;IFERROR(INDEX(PASTE_ALL,$DF523,31)&amp;"","")&amp;"␟"&amp;IFERROR(INDEX(PASTE_ALL,$DF523,32)&amp;"","")&amp;"␟"&amp;IFERROR(INDEX(PASTE_ALL,$DF523,33)&amp;"","")&amp;"␟"&amp;IFERROR(INDEX(PASTE_ALL,$DF523,34)&amp;"","")&amp;"␟"&amp;IFERROR(INDEX(PASTE_ALL,$DF523,35)&amp;"","")&amp;"␟"&amp;IFERROR(INDEX(PASTE_ALL,$DF523,36)&amp;"","")&amp;"␟"&amp;IFERROR(INDEX(PASTE_ALL,$DF523,37)&amp;"","")&amp;"␟"&amp;IFERROR(INDEX(PASTE_ALL,$DF523,38)&amp;"","")&amp;"␟"&amp;IFERROR(INDEX(PASTE_ALL,$DF523,39)&amp;"","")&amp;"␟"&amp;IFERROR(INDEX(PASTE_ALL,$DF523,40)&amp;"","")&amp;"␟"&amp;IFERROR(INDEX(PASTE_ALL,$DF523,41)&amp;"","")&amp;"␟"&amp;IFERROR(INDEX(PASTE_ALL,$DF523,42)&amp;"","")&amp;"␟"&amp;IFERROR(INDEX(PASTE_ALL,$DF523,43)&amp;"","")&amp;"␟"&amp;IFERROR(INDEX(PASTE_ALL,$DF523,44)&amp;"","")&amp;"␟"&amp;IFERROR(INDEX(PASTE_ALL,$DF523,45)&amp;"","")&amp;"␟"&amp;IFERROR(INDEX(PASTE_ALL,$DF523,46)&amp;"","")&amp;"␟"&amp;IFERROR(INDEX(PASTE_ALL,$DF523,47)&amp;"","")&amp;"␟"&amp;IFERROR(INDEX(PASTE_ALL,$DF523,48)&amp;"","")&amp;"␟"&amp;IFERROR(INDEX(PASTE_ALL,$DF523,49)&amp;"","")&amp;"␟"&amp;IFERROR(INDEX(PASTE_ALL,$DF523,50)&amp;"","")&amp;"␟"&amp;IFERROR(INDEX(PASTE_ALL,$DF523,51)&amp;"","")&amp;"␟"&amp;IFERROR(INDEX(PASTE_ALL,$DF523,52)&amp;"","")&amp;"␟"&amp;IFERROR(INDEX(PASTE_ALL,$DF523,53)&amp;"","")&amp;"␟"&amp;IFERROR(INDEX(PASTE_ALL,$DF523,54)&amp;"","")&amp;"␟"&amp;IFERROR(INDEX(PASTE_ALL,$DF523,55)&amp;"","")&amp;"␟"&amp;IFERROR(INDEX(PASTE_ALL,$DF523,56)&amp;"","")&amp;"␟"&amp;IFERROR(INDEX(PASTE_ALL,$DF523,57)&amp;"","")&amp;"␟"&amp;IFERROR(INDEX(PASTE_ALL,$DF523,58)&amp;"","")&amp;"␟"&amp;IFERROR(INDEX(PASTE_ALL,$DF523,59)&amp;"","")&amp;"␟"&amp;IFERROR(INDEX(PASTE_ALL,$DF523,60)&amp;"","")," "," "),CHAR(9)," "),CHAR(10)," "),CHAR(13)," "))," ␟","␟"),"␟ ","␟"),"#"&amp;$DE523),"")</f>
        <v/>
      </c>
      <c r="DJ523">
        <f>IF($DI523="",0,IF(SUMPRODUCT(--EXACT($DI$4:DI522,$DI523))&gt;0,1,0))</f>
        <v/>
      </c>
      <c r="DK523">
        <f>IF(AND($DI523&lt;&gt;"",$DJ523=0),1,0)</f>
        <v/>
      </c>
      <c r="DL523">
        <f>DL522+$DK523</f>
        <v/>
      </c>
      <c r="DM523">
        <f>IF(AND($DK523=1,$DL523&lt;=600),1,0)</f>
        <v/>
      </c>
      <c r="DN523">
        <f>IF($DM523=0,"",IF($L$6=0,"",IFERROR(IF(ISNUMBER(INDEX(PASTE_ALL,$DF523,$L$6)),INDEX(PASTE_ALL,$DF523,$L$6),TRIM(SUBSTITUTE(SUBSTITUTE(SUBSTITUTE(SUBSTITUTE(INDEX(PASTE_ALL,$DF523,$L$6)," "," "),CHAR(9)," "),CHAR(10)," "),CHAR(13)," "))),"")))</f>
        <v/>
      </c>
      <c r="DO523">
        <f>IF($DM523=0,"",IF($L$7=0,"",IFERROR(IF(ISNUMBER(INDEX(PASTE_ALL,$DF523,$L$7)),INDEX(PASTE_ALL,$DF523,$L$7),TRIM(SUBSTITUTE(SUBSTITUTE(SUBSTITUTE(SUBSTITUTE(INDEX(PASTE_ALL,$DF523,$L$7)," "," "),CHAR(9)," "),CHAR(10)," "),CHAR(13)," "))),"")))</f>
        <v/>
      </c>
      <c r="DP523">
        <f>IF($DM523=0,"",IF($L$8=0,"",IFERROR(IF(ISNUMBER(INDEX(PASTE_ALL,$DF523,$L$8)),INDEX(PASTE_ALL,$DF523,$L$8),TRIM(SUBSTITUTE(SUBSTITUTE(SUBSTITUTE(SUBSTITUTE(INDEX(PASTE_ALL,$DF523,$L$8)," "," "),CHAR(9)," "),CHAR(10)," "),CHAR(13)," "))),"")))</f>
        <v/>
      </c>
      <c r="DQ523">
        <f>IF($DM523=0,"",IF($L$9=0,"",IFERROR(IF(ISNUMBER(INDEX(PASTE_ALL,$DF523,$L$9)),INDEX(PASTE_ALL,$DF523,$L$9),TRIM(SUBSTITUTE(SUBSTITUTE(SUBSTITUTE(SUBSTITUTE(INDEX(PASTE_ALL,$DF523,$L$9)," "," "),CHAR(9)," "),CHAR(10)," "),CHAR(13)," "))),"")))</f>
        <v/>
      </c>
      <c r="DR523">
        <f>IF($DM523=0,"",IF($L$10=0,"",IFERROR(IF(ISNUMBER(INDEX(PASTE_ALL,$DF523,$L$10)),INDEX(PASTE_ALL,$DF523,$L$10),TRIM(SUBSTITUTE(SUBSTITUTE(SUBSTITUTE(SUBSTITUTE(INDEX(PASTE_ALL,$DF523,$L$10)," "," "),CHAR(9)," "),CHAR(10)," "),CHAR(13)," "))),"")))</f>
        <v/>
      </c>
      <c r="DS523">
        <f>IF($DM523=0,"",IF($L$11=0,"",IFERROR(IF(ISNUMBER(INDEX(PASTE_ALL,$DF523,$L$11)),INDEX(PASTE_ALL,$DF523,$L$11),TRIM(SUBSTITUTE(SUBSTITUTE(SUBSTITUTE(SUBSTITUTE(INDEX(PASTE_ALL,$DF523,$L$11)," "," "),CHAR(9)," "),CHAR(10)," "),CHAR(13)," "))),"")))</f>
        <v/>
      </c>
      <c r="DT523">
        <f>IF($DM523=0,"",IF($L$12=0,"",IFERROR(IF(ISNUMBER(INDEX(PASTE_ALL,$DF523,$L$12)),INDEX(PASTE_ALL,$DF523,$L$12),TRIM(SUBSTITUTE(SUBSTITUTE(SUBSTITUTE(SUBSTITUTE(INDEX(PASTE_ALL,$DF523,$L$12)," "," "),CHAR(9)," "),CHAR(10)," "),CHAR(13)," "))),"")))</f>
        <v/>
      </c>
      <c r="DU523">
        <f>IF($DM523=0,"",IF($L$13=0,"",IFERROR(IF(ISNUMBER(INDEX(PASTE_ALL,$DF523,$L$13)),INDEX(PASTE_ALL,$DF523,$L$13),TRIM(SUBSTITUTE(SUBSTITUTE(SUBSTITUTE(SUBSTITUTE(INDEX(PASTE_ALL,$DF523,$L$13)," "," "),CHAR(9)," "),CHAR(10)," "),CHAR(13)," "))),"")))</f>
        <v/>
      </c>
      <c r="DV523">
        <f>IF($DM523=0,"",IF($L$14=0,"",IFERROR(IF(ISNUMBER(INDEX(PASTE_ALL,$DF523,$L$14)),INDEX(PASTE_ALL,$DF523,$L$14),TRIM(SUBSTITUTE(SUBSTITUTE(SUBSTITUTE(SUBSTITUTE(INDEX(PASTE_ALL,$DF523,$L$14)," "," "),CHAR(9)," "),CHAR(10)," "),CHAR(13)," "))),"")))</f>
        <v/>
      </c>
      <c r="DW523">
        <f>IF($DM523=0,"",IF($L$15=0,"",IFERROR(IF(ISNUMBER(INDEX(PASTE_ALL,$DF523,$L$15)),INDEX(PASTE_ALL,$DF523,$L$15),IF(SUMPRODUCT(--ISNUMBER(FIND({"A","B","C","D","E","F","G","H","I","J","K","L","M","N","O","P","Q","R","S","T","U","V","W","X","Y","Z","0","1","2","3","4","5","6","7","8","9"},UPPER(TRIM(SUBSTITUTE(SUBSTITUTE(SUBSTITUTE(SUBSTITUTE(INDEX(PASTE_ALL,$DF523,$L$15)," "," "),CHAR(9)," "),CHAR(10)," "),CHAR(13)," "))))))&gt;0,TRIM(SUBSTITUTE(SUBSTITUTE(SUBSTITUTE(SUBSTITUTE(INDEX(PASTE_ALL,$DF523,$L$15)," "," "),CHAR(9)," "),CHAR(10)," "),CHAR(13)," ")),"")),"")))</f>
        <v/>
      </c>
      <c r="DX523">
        <f>IF($DM523=0,"",IF($L$16=0,"",IFERROR(IF(ISNUMBER(INDEX(PASTE_ALL,$DF523,$L$16)),INDEX(PASTE_ALL,$DF523,$L$16),SUBSTITUTE(SUBSTITUTE(TRIM(SUBSTITUTE(SUBSTITUTE(SUBSTITUTE(SUBSTITUTE(INDEX(PASTE_ALL,$DF523,$L$16)," "," "),CHAR(9)," "),CHAR(10)," "),CHAR(13)," ")),",",""),"%","")),"")))</f>
        <v/>
      </c>
      <c r="DY523">
        <f>IF($DM523=0,"",IFERROR(IF(ISNUMBER($DX523),$DX523,IF($DX523="","",IF(TRIM($DX523)="",0,IF(AND(AND(SUBSTITUTE(SUBSTITUTE(SUBSTITUTE(SUBSTITUTE(SUBSTITUTE(SUBSTITUTE(SUBSTITUTE(SUBSTITUTE(SUBSTITUTE(SUBSTITUTE(SUBSTITUTE(SUBSTITUTE(SUBSTITUTE(SUBSTITUTE(UPPER(TRIM($DX523)),"0",""),"1",""),"2",""),"3",""),"4",""),"5",""),"6",""),"7",""),"8",""),"9",""),".",""),"+",""),"-",""),"E","")="",LEN(SUBSTITUTE(SUBSTITUTE(MID(UPPER(TRIM($DX523)),1+OR(LEFT(UPPER(TRIM($DX523)),1)="+",LEFT(UPPER(TRIM($DX523)),1)="-"),999),"E+","E"),"E-","E"))=LEN(SUBSTITUTE(SUBSTITUTE(SUBSTITUTE(SUBSTITUTE(MID(UPPER(TRIM($DX523)),1+OR(LEFT(UPPER(TRIM($DX523)),1)="+",LEFT(UPPER(TRIM($DX523)),1)="-"),999),"E+","E"),"E-","E"),"+",""),"-","")),LEN(UPPER(TRIM($DX523)))-LEN(SUBSTITUTE(UPPER(TRIM($DX523)),"E",""))&lt;2,LEN(UPPER(TRIM($DX523)))-LEN(SUBSTITUTE(UPPER(TRIM($DX523)),".",""))&lt;2,IFERROR(FIND(".",UPPER(TRIM($DX523))),0)&lt;IFERROR(FIND("E",UPPER(TRIM($DX523))),999)),ISNUMBER(VALUE(TRIM($DX523)))),VALUE(TRIM($DX523)),"")))),""))</f>
        <v/>
      </c>
      <c r="DZ523">
        <f>IF($DM523=0,"",IF($L$17=0,"",IFERROR(IF(ISNUMBER(INDEX(PASTE_ALL,$DF523,$L$17)),INDEX(PASTE_ALL,$DF523,$L$17),SUBSTITUTE(SUBSTITUTE(TRIM(SUBSTITUTE(SUBSTITUTE(SUBSTITUTE(SUBSTITUTE(INDEX(PASTE_ALL,$DF523,$L$17)," "," "),CHAR(9)," "),CHAR(10)," "),CHAR(13)," ")),",",""),"%","")),"")))</f>
        <v/>
      </c>
      <c r="EA523">
        <f>IF($DM523=0,"",IFERROR(IF(ISNUMBER($DZ523),$DZ523,IF($DZ523="","",IF(TRIM($DZ523)="",0,IF(AND(AND(SUBSTITUTE(SUBSTITUTE(SUBSTITUTE(SUBSTITUTE(SUBSTITUTE(SUBSTITUTE(SUBSTITUTE(SUBSTITUTE(SUBSTITUTE(SUBSTITUTE(SUBSTITUTE(SUBSTITUTE(SUBSTITUTE(SUBSTITUTE(UPPER(TRIM($DZ523)),"0",""),"1",""),"2",""),"3",""),"4",""),"5",""),"6",""),"7",""),"8",""),"9",""),".",""),"+",""),"-",""),"E","")="",LEN(SUBSTITUTE(SUBSTITUTE(MID(UPPER(TRIM($DZ523)),1+OR(LEFT(UPPER(TRIM($DZ523)),1)="+",LEFT(UPPER(TRIM($DZ523)),1)="-"),999),"E+","E"),"E-","E"))=LEN(SUBSTITUTE(SUBSTITUTE(SUBSTITUTE(SUBSTITUTE(MID(UPPER(TRIM($DZ523)),1+OR(LEFT(UPPER(TRIM($DZ523)),1)="+",LEFT(UPPER(TRIM($DZ523)),1)="-"),999),"E+","E"),"E-","E"),"+",""),"-","")),LEN(UPPER(TRIM($DZ523)))-LEN(SUBSTITUTE(UPPER(TRIM($DZ523)),"E",""))&lt;2,LEN(UPPER(TRIM($DZ523)))-LEN(SUBSTITUTE(UPPER(TRIM($DZ523)),".",""))&lt;2,IFERROR(FIND(".",UPPER(TRIM($DZ523))),0)&lt;IFERROR(FIND("E",UPPER(TRIM($DZ523))),999)),ISNUMBER(VALUE(TRIM($DZ523)))),VALUE(TRIM($DZ523)),"")))),""))</f>
        <v/>
      </c>
      <c r="EB523">
        <f>IF($DM523=0,"",IF($L$18=0,"",IFERROR(IF(UPPER(TRIM(SUBSTITUTE(SUBSTITUTE(SUBSTITUTE(SUBSTITUTE(INDEX(PASTE_ALL,$DF523,$L$18)," "," "),CHAR(9)," "),CHAR(10)," "),CHAR(13)," ")))="READY","Ready",IF(UPPER(TRIM(SUBSTITUTE(SUBSTITUTE(SUBSTITUTE(SUBSTITUTE(INDEX(PASTE_ALL,$DF523,$L$18)," "," "),CHAR(9)," "),CHAR(10)," "),CHAR(13)," ")))="PM","PM",IF(OR(UPPER(TRIM(SUBSTITUTE(SUBSTITUTE(SUBSTITUTE(SUBSTITUTE(INDEX(PASTE_ALL,$DF523,$L$18)," "," "),CHAR(9)," "),CHAR(10)," "),CHAR(13)," ")))="OT",UPPER(TRIM(SUBSTITUTE(SUBSTITUTE(SUBSTITUTE(SUBSTITUTE(INDEX(PASTE_ALL,$DF523,$L$18)," "," "),CHAR(9)," "),CHAR(10)," "),CHAR(13)," ")))="OVERTIME",UPPER(TRIM(SUBSTITUTE(SUBSTITUTE(SUBSTITUTE(SUBSTITUTE(INDEX(PASTE_ALL,$DF523,$L$18)," "," "),CHAR(9)," "),CHAR(10)," "),CHAR(13)," ")))="TRIAL"),"OT",TRIM(SUBSTITUTE(SUBSTITUTE(SUBSTITUTE(SUBSTITUTE(INDEX(PASTE_ALL,$DF523,$L$18)," "," "),CHAR(9)," "),CHAR(10)," "),CHAR(13)," "))))),"")))</f>
        <v/>
      </c>
      <c r="EC523">
        <f>IF($DM523=0,"",IF($L$19=0,"",IFERROR(IF(ISNUMBER(INDEX(PASTE_ALL,$DF523,$L$19)),INDEX(PASTE_ALL,$DF523,$L$19),TRIM(SUBSTITUTE(SUBSTITUTE(SUBSTITUTE(SUBSTITUTE(INDEX(PASTE_ALL,$DF523,$L$19)," "," "),CHAR(9)," "),CHAR(10)," "),CHAR(13)," "))),"")))</f>
        <v/>
      </c>
      <c r="ED523">
        <f>IF($DM523=0,"",MATCH(1,INDEX(EXACT($DH$5:DH523,$DH523)*$DM$5:DM523,0),0))</f>
        <v/>
      </c>
      <c r="EE523">
        <f>IF($DM523=0,0,IF($ED523=$DE523,1,0))</f>
        <v/>
      </c>
      <c r="EF523">
        <f>EF522+$EE523</f>
        <v/>
      </c>
      <c r="EG523">
        <f>IF($DM523=0,"",INDEX($EF$5:$EF$1003,$ED523))</f>
        <v/>
      </c>
      <c r="EH523">
        <f>IF($DM523=0,"",IF($DO523&lt;&gt;"","",IFERROR(LOOKUP(2,1/(($EG$4:EG522=$EG523)*($DO$4:DO522&lt;&gt;"")),$DO$4:DO522),"")))</f>
        <v/>
      </c>
      <c r="EI523">
        <f>IF($DM523=0,"",IF($DO523&lt;&gt;"",$DO523,$EH523))</f>
        <v/>
      </c>
      <c r="EJ523">
        <f>IF($DM523=0,"",IF($EI523="",0,IF(OR(ISNUMBER($EI523),AND(AND(SUBSTITUTE(SUBSTITUTE(SUBSTITUTE(SUBSTITUTE(SUBSTITUTE(SUBSTITUTE(SUBSTITUTE(SUBSTITUTE(SUBSTITUTE(SUBSTITUTE(SUBSTITUTE(SUBSTITUTE(SUBSTITUTE(SUBSTITUTE(UPPER($EI523),"0",""),"1",""),"2",""),"3",""),"4",""),"5",""),"6",""),"7",""),"8",""),"9",""),".",""),"+",""),"-",""),"E","")="",LEN(SUBSTITUTE(SUBSTITUTE(MID(UPPER($EI523),1+OR(LEFT(UPPER($EI523),1)="+",LEFT(UPPER($EI523),1)="-"),999),"E+","E"),"E-","E"))=LEN(SUBSTITUTE(SUBSTITUTE(SUBSTITUTE(SUBSTITUTE(MID(UPPER($EI523),1+OR(LEFT(UPPER($EI523),1)="+",LEFT(UPPER($EI523),1)="-"),999),"E+","E"),"E-","E"),"+",""),"-","")),LEN(UPPER($EI523))-LEN(SUBSTITUTE(UPPER($EI523),"E",""))&lt;2,LEN(UPPER($EI523))-LEN(SUBSTITUTE(UPPER($EI523),".",""))&lt;2,IFERROR(FIND(".",UPPER($EI523)),0)&lt;IFERROR(FIND("E",UPPER($EI523)),999)),ISNUMBER(VALUE($EI523)))),1,2)))</f>
        <v/>
      </c>
      <c r="EK523">
        <f>IF($DM523=0,"",IF($EJ523=1,IF(ISNUMBER($EI523),$EI523,VALUE($EI523)),IF($EJ523=2,$DE523,0)))</f>
        <v/>
      </c>
      <c r="EL523">
        <f>IF($DM523=0,"",COUNTIF($EG$5:$EG$1003,"&lt;"&amp;$EG523)+SUMPRODUCT(($EG$5:$EG$1003=$EG523)*(($EJ$5:$EJ$1003&lt;$EJ523)+($EJ$5:$EJ$1003=$EJ523)*(($EK$5:$EK$1003&lt;$EK523)+($EK$5:$EK$1003=$EK523)*($DE$5:$DE$1003&lt;$DE523))))+1)</f>
        <v/>
      </c>
      <c r="EM523">
        <f>IF($DM523=0,"",$EL523+$EG523-1)</f>
        <v/>
      </c>
      <c r="EN523">
        <f>IF($DM523=0,0,IFERROR(MATCH(1,INDEX(--(TRIM(SUBSTITUTE(SUBSTITUTE(SUBSTITUTE(SUBSTITUTE(LINES_NAME&amp;""," "," "),CHAR(9)," "),CHAR(10)," "),CHAR(13)," "))=$DH523),0),0),0))</f>
        <v/>
      </c>
      <c r="EO523">
        <f>IF($EN523=0,0,IF(OR(UPPER(TRIM(INDEX(LINES_SCHEDULED,$EN523)&amp;""))="YES",UPPER(TRIM(INDEX(LINES_SCHEDULED,$EN523)&amp;""))="Y",UPPER(TRIM(INDEX(LINES_SCHEDULED,$EN523)&amp;""))="X"),1,0))</f>
        <v/>
      </c>
      <c r="EP523">
        <f>IF($DM523=0,"",IF(COUNTIFS($EG$5:$EG$1003,$EG523,$EB$5:$EB$1003,"Ready")&gt;0,"READY",IF(COUNTIFS($EG$5:$EG$1003,$EG523,$EB$5:$EB$1003,"PM")&gt;0,"PM",IF(COUNTIFS($EG$5:$EG$1003,$EG523,$EB$5:$EB$1003,"OT")&gt;0,"OT",""))))</f>
        <v/>
      </c>
      <c r="EQ523">
        <f>IF($EN523=0,"",UPPER(TRIM(INDEX(LINES_STATUS,$EN523)&amp;"")))</f>
        <v/>
      </c>
      <c r="ER523">
        <f>IF($DM523=0,"",IF(OR($EQ523="READY",$EQ523="PM",$EQ523="OT"),$EQ523,$EP523))</f>
        <v/>
      </c>
      <c r="ES523">
        <f>IF($DM523=0,"",IF(AND($DV523&lt;&gt;"",UPPER($DV523)&lt;&gt;"N"),"allergen",IF(ISNUMBER(SEARCH("oil",$DQ523)),"oil",IF(OR(EXACT($DS523,"A662"),EXACT($DS523,"A624")),"bulk",""))))</f>
        <v/>
      </c>
      <c r="ET523">
        <f>IF($DM523=0,"",IF(OR($EA523="",$EA523=0),"",$EA523/100))</f>
        <v/>
      </c>
      <c r="EU523">
        <f>IF(OR($ET523="",$DY523=""),"",INT($DY523*(1-$ET523)+0.5))</f>
        <v/>
      </c>
      <c r="EW523" t="n">
        <v>519</v>
      </c>
      <c r="EX523">
        <f>IFERROR(MATCH($EW523,$EM$5:$EM$1003,0),0)</f>
        <v/>
      </c>
      <c r="EY523">
        <f>IF($EW523&gt;$B$12,"",IF($EX523&gt;0,"row","spacer"))</f>
        <v/>
      </c>
      <c r="EZ523">
        <f>IF(AND($EY523="row",$EY522&lt;&gt;"row"),1,0)</f>
        <v/>
      </c>
      <c r="FA523">
        <f>IF(AND($EY523="row",$EY524&lt;&gt;"row"),1,0)</f>
        <v/>
      </c>
      <c r="FB523">
        <f>IF($EZ523=1,IFERROR(IF(ISNUMBER(INDEX(PASTE_ALL,INDEX($DF$5:$DF$1003,$EX523),$B$37)),INDEX(PASTE_ALL,INDEX($DF$5:$DF$1003,$EX523),$B$37),INDEX($DH$5:$DH$1003,$EX523)),INDEX($DH$5:$DH$1003,$EX523)),"")</f>
        <v/>
      </c>
      <c r="FC523">
        <f>IF($EY523="row",INDEX($ER$5:$ER$1003,$EX523),"")</f>
        <v/>
      </c>
      <c r="FD523">
        <f>IF($EY523="row",INDEX($DN$5:$DN$1003,$EX523),"")</f>
        <v/>
      </c>
      <c r="FE523">
        <f>IF($EY523="row",INDEX($DO$5:$DO$1003,$EX523),"")</f>
        <v/>
      </c>
      <c r="FF523">
        <f>IF($EY523="row",INDEX($DP$5:$DP$1003,$EX523),"")</f>
        <v/>
      </c>
      <c r="FG523">
        <f>IF($EY523="row",INDEX($DQ$5:$DQ$1003,$EX523),"")</f>
        <v/>
      </c>
      <c r="FH523">
        <f>IF($EY523="row",INDEX($DR$5:$DR$1003,$EX523),"")</f>
        <v/>
      </c>
      <c r="FI523">
        <f>IF($EY523="row",INDEX($DS$5:$DS$1003,$EX523),"")</f>
        <v/>
      </c>
      <c r="FJ523">
        <f>IF($EY523="row",INDEX($DT$5:$DT$1003,$EX523),"")</f>
        <v/>
      </c>
      <c r="FK523">
        <f>IF($EY523="row",INDEX($DU$5:$DU$1003,$EX523),"")</f>
        <v/>
      </c>
      <c r="FL523">
        <f>IF($EY523="row",INDEX($DV$5:$DV$1003,$EX523),"")</f>
        <v/>
      </c>
      <c r="FM523">
        <f>IF($EY523="row",INDEX($DW$5:$DW$1003,$EX523),"")</f>
        <v/>
      </c>
      <c r="FN523">
        <f>IF($EY523="row",INDEX($DY$5:$DY$1003,$EX523),"")</f>
        <v/>
      </c>
      <c r="FO523">
        <f>IF($EY523="row",INDEX($EA$5:$EA$1003,$EX523),"")</f>
        <v/>
      </c>
      <c r="FP523">
        <f>IF($EY523="row",INDEX($EC$5:$EC$1003,$EX523),"")</f>
        <v/>
      </c>
      <c r="FQ523">
        <f>IF($EY523="row",INDEX($ET$5:$ET$1003,$EX523),"")</f>
        <v/>
      </c>
      <c r="FR523">
        <f>IF($EY523="row",INDEX($EU$5:$EU$1003,$EX523),"")</f>
        <v/>
      </c>
      <c r="FS523">
        <f>IF(AND($EY523="row",$EY522="row"),IF(OR(INDEX($DT$5:$DT$1003,$EX522)="",INDEX($DT$5:$DT$1003,$EX523)=""),"",IF(NOT(EXACT(INDEX($DT$5:$DT$1003,$EX522),INDEX($DT$5:$DT$1003,$EX523))),"S4",IF(NOT(EXACT(INDEX($DS$5:$DS$1003,$EX522),INDEX($DS$5:$DS$1003,$EX523))),"S3",IF(NOT(EXACT(INDEX($DR$5:$DR$1003,$EX522),INDEX($DR$5:$DR$1003,$EX523))),"S1 Count Change","S1")))),"")</f>
        <v/>
      </c>
      <c r="FT523">
        <f>IF($EY523="row",INDEX($ES$5:$ES$1003,$EX523),"")</f>
        <v/>
      </c>
      <c r="FU523">
        <f>IF($EY523="row",INDEX($EO$5:$EO$1003,$EX523),0)</f>
        <v/>
      </c>
      <c r="FV523">
        <f>IF($FS523="S1 Count Change",1,0)</f>
        <v/>
      </c>
    </row>
    <row r="524">
      <c r="DA524" t="n">
        <v>520</v>
      </c>
      <c r="DB524">
        <f>IF($B$37=0,"",IFERROR(TRIM(SUBSTITUTE(SUBSTITUTE(SUBSTITUTE(SUBSTITUTE(INDEX(PASTE_ALL,520,$B$37)," "," "),CHAR(9)," "),CHAR(10)," "),CHAR(13)," ")),""))</f>
        <v/>
      </c>
      <c r="DC524">
        <f>IF(AND(520&gt;HEADER_ROW,UPPER(DB524)="LEGEND"),1,0)</f>
        <v/>
      </c>
      <c r="DE524" t="n">
        <v>520</v>
      </c>
      <c r="DF524">
        <f>HEADER_ROW+$DE524</f>
        <v/>
      </c>
      <c r="DG524">
        <f>IF(AND($DF524&lt;=1000,$DF524&lt;$B$8),1,0)</f>
        <v/>
      </c>
      <c r="DH524">
        <f>IF($DG524=1,IFERROR(INDEX($DB$5:$DB$1004,$DF524),""),"")</f>
        <v/>
      </c>
      <c r="DI524">
        <f>IF(AND($DG524=1,$DH524&lt;&gt;""),IFERROR(SUBSTITUTE(SUBSTITUTE(TRIM(SUBSTITUTE(SUBSTITUTE(SUBSTITUTE(SUBSTITUTE(IFERROR(INDEX(PASTE_ALL,$DF524,1)&amp;"","")&amp;"␟"&amp;IFERROR(INDEX(PASTE_ALL,$DF524,2)&amp;"","")&amp;"␟"&amp;IFERROR(INDEX(PASTE_ALL,$DF524,3)&amp;"","")&amp;"␟"&amp;IFERROR(INDEX(PASTE_ALL,$DF524,4)&amp;"","")&amp;"␟"&amp;IFERROR(INDEX(PASTE_ALL,$DF524,5)&amp;"","")&amp;"␟"&amp;IFERROR(INDEX(PASTE_ALL,$DF524,6)&amp;"","")&amp;"␟"&amp;IFERROR(INDEX(PASTE_ALL,$DF524,7)&amp;"","")&amp;"␟"&amp;IFERROR(INDEX(PASTE_ALL,$DF524,8)&amp;"","")&amp;"␟"&amp;IFERROR(INDEX(PASTE_ALL,$DF524,9)&amp;"","")&amp;"␟"&amp;IFERROR(INDEX(PASTE_ALL,$DF524,10)&amp;"","")&amp;"␟"&amp;IFERROR(INDEX(PASTE_ALL,$DF524,11)&amp;"","")&amp;"␟"&amp;IFERROR(INDEX(PASTE_ALL,$DF524,12)&amp;"","")&amp;"␟"&amp;IFERROR(INDEX(PASTE_ALL,$DF524,13)&amp;"","")&amp;"␟"&amp;IFERROR(INDEX(PASTE_ALL,$DF524,14)&amp;"","")&amp;"␟"&amp;IFERROR(INDEX(PASTE_ALL,$DF524,15)&amp;"","")&amp;"␟"&amp;IFERROR(INDEX(PASTE_ALL,$DF524,16)&amp;"","")&amp;"␟"&amp;IFERROR(INDEX(PASTE_ALL,$DF524,17)&amp;"","")&amp;"␟"&amp;IFERROR(INDEX(PASTE_ALL,$DF524,18)&amp;"","")&amp;"␟"&amp;IFERROR(INDEX(PASTE_ALL,$DF524,19)&amp;"","")&amp;"␟"&amp;IFERROR(INDEX(PASTE_ALL,$DF524,20)&amp;"","")&amp;"␟"&amp;IFERROR(INDEX(PASTE_ALL,$DF524,21)&amp;"","")&amp;"␟"&amp;IFERROR(INDEX(PASTE_ALL,$DF524,22)&amp;"","")&amp;"␟"&amp;IFERROR(INDEX(PASTE_ALL,$DF524,23)&amp;"","")&amp;"␟"&amp;IFERROR(INDEX(PASTE_ALL,$DF524,24)&amp;"","")&amp;"␟"&amp;IFERROR(INDEX(PASTE_ALL,$DF524,25)&amp;"","")&amp;"␟"&amp;IFERROR(INDEX(PASTE_ALL,$DF524,26)&amp;"","")&amp;"␟"&amp;IFERROR(INDEX(PASTE_ALL,$DF524,27)&amp;"","")&amp;"␟"&amp;IFERROR(INDEX(PASTE_ALL,$DF524,28)&amp;"","")&amp;"␟"&amp;IFERROR(INDEX(PASTE_ALL,$DF524,29)&amp;"","")&amp;"␟"&amp;IFERROR(INDEX(PASTE_ALL,$DF524,30)&amp;"","")&amp;"␟"&amp;IFERROR(INDEX(PASTE_ALL,$DF524,31)&amp;"","")&amp;"␟"&amp;IFERROR(INDEX(PASTE_ALL,$DF524,32)&amp;"","")&amp;"␟"&amp;IFERROR(INDEX(PASTE_ALL,$DF524,33)&amp;"","")&amp;"␟"&amp;IFERROR(INDEX(PASTE_ALL,$DF524,34)&amp;"","")&amp;"␟"&amp;IFERROR(INDEX(PASTE_ALL,$DF524,35)&amp;"","")&amp;"␟"&amp;IFERROR(INDEX(PASTE_ALL,$DF524,36)&amp;"","")&amp;"␟"&amp;IFERROR(INDEX(PASTE_ALL,$DF524,37)&amp;"","")&amp;"␟"&amp;IFERROR(INDEX(PASTE_ALL,$DF524,38)&amp;"","")&amp;"␟"&amp;IFERROR(INDEX(PASTE_ALL,$DF524,39)&amp;"","")&amp;"␟"&amp;IFERROR(INDEX(PASTE_ALL,$DF524,40)&amp;"","")&amp;"␟"&amp;IFERROR(INDEX(PASTE_ALL,$DF524,41)&amp;"","")&amp;"␟"&amp;IFERROR(INDEX(PASTE_ALL,$DF524,42)&amp;"","")&amp;"␟"&amp;IFERROR(INDEX(PASTE_ALL,$DF524,43)&amp;"","")&amp;"␟"&amp;IFERROR(INDEX(PASTE_ALL,$DF524,44)&amp;"","")&amp;"␟"&amp;IFERROR(INDEX(PASTE_ALL,$DF524,45)&amp;"","")&amp;"␟"&amp;IFERROR(INDEX(PASTE_ALL,$DF524,46)&amp;"","")&amp;"␟"&amp;IFERROR(INDEX(PASTE_ALL,$DF524,47)&amp;"","")&amp;"␟"&amp;IFERROR(INDEX(PASTE_ALL,$DF524,48)&amp;"","")&amp;"␟"&amp;IFERROR(INDEX(PASTE_ALL,$DF524,49)&amp;"","")&amp;"␟"&amp;IFERROR(INDEX(PASTE_ALL,$DF524,50)&amp;"","")&amp;"␟"&amp;IFERROR(INDEX(PASTE_ALL,$DF524,51)&amp;"","")&amp;"␟"&amp;IFERROR(INDEX(PASTE_ALL,$DF524,52)&amp;"","")&amp;"␟"&amp;IFERROR(INDEX(PASTE_ALL,$DF524,53)&amp;"","")&amp;"␟"&amp;IFERROR(INDEX(PASTE_ALL,$DF524,54)&amp;"","")&amp;"␟"&amp;IFERROR(INDEX(PASTE_ALL,$DF524,55)&amp;"","")&amp;"␟"&amp;IFERROR(INDEX(PASTE_ALL,$DF524,56)&amp;"","")&amp;"␟"&amp;IFERROR(INDEX(PASTE_ALL,$DF524,57)&amp;"","")&amp;"␟"&amp;IFERROR(INDEX(PASTE_ALL,$DF524,58)&amp;"","")&amp;"␟"&amp;IFERROR(INDEX(PASTE_ALL,$DF524,59)&amp;"","")&amp;"␟"&amp;IFERROR(INDEX(PASTE_ALL,$DF524,60)&amp;"","")," "," "),CHAR(9)," "),CHAR(10)," "),CHAR(13)," "))," ␟","␟"),"␟ ","␟"),"#"&amp;$DE524),"")</f>
        <v/>
      </c>
      <c r="DJ524">
        <f>IF($DI524="",0,IF(SUMPRODUCT(--EXACT($DI$4:DI523,$DI524))&gt;0,1,0))</f>
        <v/>
      </c>
      <c r="DK524">
        <f>IF(AND($DI524&lt;&gt;"",$DJ524=0),1,0)</f>
        <v/>
      </c>
      <c r="DL524">
        <f>DL523+$DK524</f>
        <v/>
      </c>
      <c r="DM524">
        <f>IF(AND($DK524=1,$DL524&lt;=600),1,0)</f>
        <v/>
      </c>
      <c r="DN524">
        <f>IF($DM524=0,"",IF($L$6=0,"",IFERROR(IF(ISNUMBER(INDEX(PASTE_ALL,$DF524,$L$6)),INDEX(PASTE_ALL,$DF524,$L$6),TRIM(SUBSTITUTE(SUBSTITUTE(SUBSTITUTE(SUBSTITUTE(INDEX(PASTE_ALL,$DF524,$L$6)," "," "),CHAR(9)," "),CHAR(10)," "),CHAR(13)," "))),"")))</f>
        <v/>
      </c>
      <c r="DO524">
        <f>IF($DM524=0,"",IF($L$7=0,"",IFERROR(IF(ISNUMBER(INDEX(PASTE_ALL,$DF524,$L$7)),INDEX(PASTE_ALL,$DF524,$L$7),TRIM(SUBSTITUTE(SUBSTITUTE(SUBSTITUTE(SUBSTITUTE(INDEX(PASTE_ALL,$DF524,$L$7)," "," "),CHAR(9)," "),CHAR(10)," "),CHAR(13)," "))),"")))</f>
        <v/>
      </c>
      <c r="DP524">
        <f>IF($DM524=0,"",IF($L$8=0,"",IFERROR(IF(ISNUMBER(INDEX(PASTE_ALL,$DF524,$L$8)),INDEX(PASTE_ALL,$DF524,$L$8),TRIM(SUBSTITUTE(SUBSTITUTE(SUBSTITUTE(SUBSTITUTE(INDEX(PASTE_ALL,$DF524,$L$8)," "," "),CHAR(9)," "),CHAR(10)," "),CHAR(13)," "))),"")))</f>
        <v/>
      </c>
      <c r="DQ524">
        <f>IF($DM524=0,"",IF($L$9=0,"",IFERROR(IF(ISNUMBER(INDEX(PASTE_ALL,$DF524,$L$9)),INDEX(PASTE_ALL,$DF524,$L$9),TRIM(SUBSTITUTE(SUBSTITUTE(SUBSTITUTE(SUBSTITUTE(INDEX(PASTE_ALL,$DF524,$L$9)," "," "),CHAR(9)," "),CHAR(10)," "),CHAR(13)," "))),"")))</f>
        <v/>
      </c>
      <c r="DR524">
        <f>IF($DM524=0,"",IF($L$10=0,"",IFERROR(IF(ISNUMBER(INDEX(PASTE_ALL,$DF524,$L$10)),INDEX(PASTE_ALL,$DF524,$L$10),TRIM(SUBSTITUTE(SUBSTITUTE(SUBSTITUTE(SUBSTITUTE(INDEX(PASTE_ALL,$DF524,$L$10)," "," "),CHAR(9)," "),CHAR(10)," "),CHAR(13)," "))),"")))</f>
        <v/>
      </c>
      <c r="DS524">
        <f>IF($DM524=0,"",IF($L$11=0,"",IFERROR(IF(ISNUMBER(INDEX(PASTE_ALL,$DF524,$L$11)),INDEX(PASTE_ALL,$DF524,$L$11),TRIM(SUBSTITUTE(SUBSTITUTE(SUBSTITUTE(SUBSTITUTE(INDEX(PASTE_ALL,$DF524,$L$11)," "," "),CHAR(9)," "),CHAR(10)," "),CHAR(13)," "))),"")))</f>
        <v/>
      </c>
      <c r="DT524">
        <f>IF($DM524=0,"",IF($L$12=0,"",IFERROR(IF(ISNUMBER(INDEX(PASTE_ALL,$DF524,$L$12)),INDEX(PASTE_ALL,$DF524,$L$12),TRIM(SUBSTITUTE(SUBSTITUTE(SUBSTITUTE(SUBSTITUTE(INDEX(PASTE_ALL,$DF524,$L$12)," "," "),CHAR(9)," "),CHAR(10)," "),CHAR(13)," "))),"")))</f>
        <v/>
      </c>
      <c r="DU524">
        <f>IF($DM524=0,"",IF($L$13=0,"",IFERROR(IF(ISNUMBER(INDEX(PASTE_ALL,$DF524,$L$13)),INDEX(PASTE_ALL,$DF524,$L$13),TRIM(SUBSTITUTE(SUBSTITUTE(SUBSTITUTE(SUBSTITUTE(INDEX(PASTE_ALL,$DF524,$L$13)," "," "),CHAR(9)," "),CHAR(10)," "),CHAR(13)," "))),"")))</f>
        <v/>
      </c>
      <c r="DV524">
        <f>IF($DM524=0,"",IF($L$14=0,"",IFERROR(IF(ISNUMBER(INDEX(PASTE_ALL,$DF524,$L$14)),INDEX(PASTE_ALL,$DF524,$L$14),TRIM(SUBSTITUTE(SUBSTITUTE(SUBSTITUTE(SUBSTITUTE(INDEX(PASTE_ALL,$DF524,$L$14)," "," "),CHAR(9)," "),CHAR(10)," "),CHAR(13)," "))),"")))</f>
        <v/>
      </c>
      <c r="DW524">
        <f>IF($DM524=0,"",IF($L$15=0,"",IFERROR(IF(ISNUMBER(INDEX(PASTE_ALL,$DF524,$L$15)),INDEX(PASTE_ALL,$DF524,$L$15),IF(SUMPRODUCT(--ISNUMBER(FIND({"A","B","C","D","E","F","G","H","I","J","K","L","M","N","O","P","Q","R","S","T","U","V","W","X","Y","Z","0","1","2","3","4","5","6","7","8","9"},UPPER(TRIM(SUBSTITUTE(SUBSTITUTE(SUBSTITUTE(SUBSTITUTE(INDEX(PASTE_ALL,$DF524,$L$15)," "," "),CHAR(9)," "),CHAR(10)," "),CHAR(13)," "))))))&gt;0,TRIM(SUBSTITUTE(SUBSTITUTE(SUBSTITUTE(SUBSTITUTE(INDEX(PASTE_ALL,$DF524,$L$15)," "," "),CHAR(9)," "),CHAR(10)," "),CHAR(13)," ")),"")),"")))</f>
        <v/>
      </c>
      <c r="DX524">
        <f>IF($DM524=0,"",IF($L$16=0,"",IFERROR(IF(ISNUMBER(INDEX(PASTE_ALL,$DF524,$L$16)),INDEX(PASTE_ALL,$DF524,$L$16),SUBSTITUTE(SUBSTITUTE(TRIM(SUBSTITUTE(SUBSTITUTE(SUBSTITUTE(SUBSTITUTE(INDEX(PASTE_ALL,$DF524,$L$16)," "," "),CHAR(9)," "),CHAR(10)," "),CHAR(13)," ")),",",""),"%","")),"")))</f>
        <v/>
      </c>
      <c r="DY524">
        <f>IF($DM524=0,"",IFERROR(IF(ISNUMBER($DX524),$DX524,IF($DX524="","",IF(TRIM($DX524)="",0,IF(AND(AND(SUBSTITUTE(SUBSTITUTE(SUBSTITUTE(SUBSTITUTE(SUBSTITUTE(SUBSTITUTE(SUBSTITUTE(SUBSTITUTE(SUBSTITUTE(SUBSTITUTE(SUBSTITUTE(SUBSTITUTE(SUBSTITUTE(SUBSTITUTE(UPPER(TRIM($DX524)),"0",""),"1",""),"2",""),"3",""),"4",""),"5",""),"6",""),"7",""),"8",""),"9",""),".",""),"+",""),"-",""),"E","")="",LEN(SUBSTITUTE(SUBSTITUTE(MID(UPPER(TRIM($DX524)),1+OR(LEFT(UPPER(TRIM($DX524)),1)="+",LEFT(UPPER(TRIM($DX524)),1)="-"),999),"E+","E"),"E-","E"))=LEN(SUBSTITUTE(SUBSTITUTE(SUBSTITUTE(SUBSTITUTE(MID(UPPER(TRIM($DX524)),1+OR(LEFT(UPPER(TRIM($DX524)),1)="+",LEFT(UPPER(TRIM($DX524)),1)="-"),999),"E+","E"),"E-","E"),"+",""),"-","")),LEN(UPPER(TRIM($DX524)))-LEN(SUBSTITUTE(UPPER(TRIM($DX524)),"E",""))&lt;2,LEN(UPPER(TRIM($DX524)))-LEN(SUBSTITUTE(UPPER(TRIM($DX524)),".",""))&lt;2,IFERROR(FIND(".",UPPER(TRIM($DX524))),0)&lt;IFERROR(FIND("E",UPPER(TRIM($DX524))),999)),ISNUMBER(VALUE(TRIM($DX524)))),VALUE(TRIM($DX524)),"")))),""))</f>
        <v/>
      </c>
      <c r="DZ524">
        <f>IF($DM524=0,"",IF($L$17=0,"",IFERROR(IF(ISNUMBER(INDEX(PASTE_ALL,$DF524,$L$17)),INDEX(PASTE_ALL,$DF524,$L$17),SUBSTITUTE(SUBSTITUTE(TRIM(SUBSTITUTE(SUBSTITUTE(SUBSTITUTE(SUBSTITUTE(INDEX(PASTE_ALL,$DF524,$L$17)," "," "),CHAR(9)," "),CHAR(10)," "),CHAR(13)," ")),",",""),"%","")),"")))</f>
        <v/>
      </c>
      <c r="EA524">
        <f>IF($DM524=0,"",IFERROR(IF(ISNUMBER($DZ524),$DZ524,IF($DZ524="","",IF(TRIM($DZ524)="",0,IF(AND(AND(SUBSTITUTE(SUBSTITUTE(SUBSTITUTE(SUBSTITUTE(SUBSTITUTE(SUBSTITUTE(SUBSTITUTE(SUBSTITUTE(SUBSTITUTE(SUBSTITUTE(SUBSTITUTE(SUBSTITUTE(SUBSTITUTE(SUBSTITUTE(UPPER(TRIM($DZ524)),"0",""),"1",""),"2",""),"3",""),"4",""),"5",""),"6",""),"7",""),"8",""),"9",""),".",""),"+",""),"-",""),"E","")="",LEN(SUBSTITUTE(SUBSTITUTE(MID(UPPER(TRIM($DZ524)),1+OR(LEFT(UPPER(TRIM($DZ524)),1)="+",LEFT(UPPER(TRIM($DZ524)),1)="-"),999),"E+","E"),"E-","E"))=LEN(SUBSTITUTE(SUBSTITUTE(SUBSTITUTE(SUBSTITUTE(MID(UPPER(TRIM($DZ524)),1+OR(LEFT(UPPER(TRIM($DZ524)),1)="+",LEFT(UPPER(TRIM($DZ524)),1)="-"),999),"E+","E"),"E-","E"),"+",""),"-","")),LEN(UPPER(TRIM($DZ524)))-LEN(SUBSTITUTE(UPPER(TRIM($DZ524)),"E",""))&lt;2,LEN(UPPER(TRIM($DZ524)))-LEN(SUBSTITUTE(UPPER(TRIM($DZ524)),".",""))&lt;2,IFERROR(FIND(".",UPPER(TRIM($DZ524))),0)&lt;IFERROR(FIND("E",UPPER(TRIM($DZ524))),999)),ISNUMBER(VALUE(TRIM($DZ524)))),VALUE(TRIM($DZ524)),"")))),""))</f>
        <v/>
      </c>
      <c r="EB524">
        <f>IF($DM524=0,"",IF($L$18=0,"",IFERROR(IF(UPPER(TRIM(SUBSTITUTE(SUBSTITUTE(SUBSTITUTE(SUBSTITUTE(INDEX(PASTE_ALL,$DF524,$L$18)," "," "),CHAR(9)," "),CHAR(10)," "),CHAR(13)," ")))="READY","Ready",IF(UPPER(TRIM(SUBSTITUTE(SUBSTITUTE(SUBSTITUTE(SUBSTITUTE(INDEX(PASTE_ALL,$DF524,$L$18)," "," "),CHAR(9)," "),CHAR(10)," "),CHAR(13)," ")))="PM","PM",IF(OR(UPPER(TRIM(SUBSTITUTE(SUBSTITUTE(SUBSTITUTE(SUBSTITUTE(INDEX(PASTE_ALL,$DF524,$L$18)," "," "),CHAR(9)," "),CHAR(10)," "),CHAR(13)," ")))="OT",UPPER(TRIM(SUBSTITUTE(SUBSTITUTE(SUBSTITUTE(SUBSTITUTE(INDEX(PASTE_ALL,$DF524,$L$18)," "," "),CHAR(9)," "),CHAR(10)," "),CHAR(13)," ")))="OVERTIME",UPPER(TRIM(SUBSTITUTE(SUBSTITUTE(SUBSTITUTE(SUBSTITUTE(INDEX(PASTE_ALL,$DF524,$L$18)," "," "),CHAR(9)," "),CHAR(10)," "),CHAR(13)," ")))="TRIAL"),"OT",TRIM(SUBSTITUTE(SUBSTITUTE(SUBSTITUTE(SUBSTITUTE(INDEX(PASTE_ALL,$DF524,$L$18)," "," "),CHAR(9)," "),CHAR(10)," "),CHAR(13)," "))))),"")))</f>
        <v/>
      </c>
      <c r="EC524">
        <f>IF($DM524=0,"",IF($L$19=0,"",IFERROR(IF(ISNUMBER(INDEX(PASTE_ALL,$DF524,$L$19)),INDEX(PASTE_ALL,$DF524,$L$19),TRIM(SUBSTITUTE(SUBSTITUTE(SUBSTITUTE(SUBSTITUTE(INDEX(PASTE_ALL,$DF524,$L$19)," "," "),CHAR(9)," "),CHAR(10)," "),CHAR(13)," "))),"")))</f>
        <v/>
      </c>
      <c r="ED524">
        <f>IF($DM524=0,"",MATCH(1,INDEX(EXACT($DH$5:DH524,$DH524)*$DM$5:DM524,0),0))</f>
        <v/>
      </c>
      <c r="EE524">
        <f>IF($DM524=0,0,IF($ED524=$DE524,1,0))</f>
        <v/>
      </c>
      <c r="EF524">
        <f>EF523+$EE524</f>
        <v/>
      </c>
      <c r="EG524">
        <f>IF($DM524=0,"",INDEX($EF$5:$EF$1003,$ED524))</f>
        <v/>
      </c>
      <c r="EH524">
        <f>IF($DM524=0,"",IF($DO524&lt;&gt;"","",IFERROR(LOOKUP(2,1/(($EG$4:EG523=$EG524)*($DO$4:DO523&lt;&gt;"")),$DO$4:DO523),"")))</f>
        <v/>
      </c>
      <c r="EI524">
        <f>IF($DM524=0,"",IF($DO524&lt;&gt;"",$DO524,$EH524))</f>
        <v/>
      </c>
      <c r="EJ524">
        <f>IF($DM524=0,"",IF($EI524="",0,IF(OR(ISNUMBER($EI524),AND(AND(SUBSTITUTE(SUBSTITUTE(SUBSTITUTE(SUBSTITUTE(SUBSTITUTE(SUBSTITUTE(SUBSTITUTE(SUBSTITUTE(SUBSTITUTE(SUBSTITUTE(SUBSTITUTE(SUBSTITUTE(SUBSTITUTE(SUBSTITUTE(UPPER($EI524),"0",""),"1",""),"2",""),"3",""),"4",""),"5",""),"6",""),"7",""),"8",""),"9",""),".",""),"+",""),"-",""),"E","")="",LEN(SUBSTITUTE(SUBSTITUTE(MID(UPPER($EI524),1+OR(LEFT(UPPER($EI524),1)="+",LEFT(UPPER($EI524),1)="-"),999),"E+","E"),"E-","E"))=LEN(SUBSTITUTE(SUBSTITUTE(SUBSTITUTE(SUBSTITUTE(MID(UPPER($EI524),1+OR(LEFT(UPPER($EI524),1)="+",LEFT(UPPER($EI524),1)="-"),999),"E+","E"),"E-","E"),"+",""),"-","")),LEN(UPPER($EI524))-LEN(SUBSTITUTE(UPPER($EI524),"E",""))&lt;2,LEN(UPPER($EI524))-LEN(SUBSTITUTE(UPPER($EI524),".",""))&lt;2,IFERROR(FIND(".",UPPER($EI524)),0)&lt;IFERROR(FIND("E",UPPER($EI524)),999)),ISNUMBER(VALUE($EI524)))),1,2)))</f>
        <v/>
      </c>
      <c r="EK524">
        <f>IF($DM524=0,"",IF($EJ524=1,IF(ISNUMBER($EI524),$EI524,VALUE($EI524)),IF($EJ524=2,$DE524,0)))</f>
        <v/>
      </c>
      <c r="EL524">
        <f>IF($DM524=0,"",COUNTIF($EG$5:$EG$1003,"&lt;"&amp;$EG524)+SUMPRODUCT(($EG$5:$EG$1003=$EG524)*(($EJ$5:$EJ$1003&lt;$EJ524)+($EJ$5:$EJ$1003=$EJ524)*(($EK$5:$EK$1003&lt;$EK524)+($EK$5:$EK$1003=$EK524)*($DE$5:$DE$1003&lt;$DE524))))+1)</f>
        <v/>
      </c>
      <c r="EM524">
        <f>IF($DM524=0,"",$EL524+$EG524-1)</f>
        <v/>
      </c>
      <c r="EN524">
        <f>IF($DM524=0,0,IFERROR(MATCH(1,INDEX(--(TRIM(SUBSTITUTE(SUBSTITUTE(SUBSTITUTE(SUBSTITUTE(LINES_NAME&amp;""," "," "),CHAR(9)," "),CHAR(10)," "),CHAR(13)," "))=$DH524),0),0),0))</f>
        <v/>
      </c>
      <c r="EO524">
        <f>IF($EN524=0,0,IF(OR(UPPER(TRIM(INDEX(LINES_SCHEDULED,$EN524)&amp;""))="YES",UPPER(TRIM(INDEX(LINES_SCHEDULED,$EN524)&amp;""))="Y",UPPER(TRIM(INDEX(LINES_SCHEDULED,$EN524)&amp;""))="X"),1,0))</f>
        <v/>
      </c>
      <c r="EP524">
        <f>IF($DM524=0,"",IF(COUNTIFS($EG$5:$EG$1003,$EG524,$EB$5:$EB$1003,"Ready")&gt;0,"READY",IF(COUNTIFS($EG$5:$EG$1003,$EG524,$EB$5:$EB$1003,"PM")&gt;0,"PM",IF(COUNTIFS($EG$5:$EG$1003,$EG524,$EB$5:$EB$1003,"OT")&gt;0,"OT",""))))</f>
        <v/>
      </c>
      <c r="EQ524">
        <f>IF($EN524=0,"",UPPER(TRIM(INDEX(LINES_STATUS,$EN524)&amp;"")))</f>
        <v/>
      </c>
      <c r="ER524">
        <f>IF($DM524=0,"",IF(OR($EQ524="READY",$EQ524="PM",$EQ524="OT"),$EQ524,$EP524))</f>
        <v/>
      </c>
      <c r="ES524">
        <f>IF($DM524=0,"",IF(AND($DV524&lt;&gt;"",UPPER($DV524)&lt;&gt;"N"),"allergen",IF(ISNUMBER(SEARCH("oil",$DQ524)),"oil",IF(OR(EXACT($DS524,"A662"),EXACT($DS524,"A624")),"bulk",""))))</f>
        <v/>
      </c>
      <c r="ET524">
        <f>IF($DM524=0,"",IF(OR($EA524="",$EA524=0),"",$EA524/100))</f>
        <v/>
      </c>
      <c r="EU524">
        <f>IF(OR($ET524="",$DY524=""),"",INT($DY524*(1-$ET524)+0.5))</f>
        <v/>
      </c>
      <c r="EW524" t="n">
        <v>520</v>
      </c>
      <c r="EX524">
        <f>IFERROR(MATCH($EW524,$EM$5:$EM$1003,0),0)</f>
        <v/>
      </c>
      <c r="EY524">
        <f>IF($EW524&gt;$B$12,"",IF($EX524&gt;0,"row","spacer"))</f>
        <v/>
      </c>
      <c r="EZ524">
        <f>IF(AND($EY524="row",$EY523&lt;&gt;"row"),1,0)</f>
        <v/>
      </c>
      <c r="FA524">
        <f>IF(AND($EY524="row",$EY525&lt;&gt;"row"),1,0)</f>
        <v/>
      </c>
      <c r="FB524">
        <f>IF($EZ524=1,IFERROR(IF(ISNUMBER(INDEX(PASTE_ALL,INDEX($DF$5:$DF$1003,$EX524),$B$37)),INDEX(PASTE_ALL,INDEX($DF$5:$DF$1003,$EX524),$B$37),INDEX($DH$5:$DH$1003,$EX524)),INDEX($DH$5:$DH$1003,$EX524)),"")</f>
        <v/>
      </c>
      <c r="FC524">
        <f>IF($EY524="row",INDEX($ER$5:$ER$1003,$EX524),"")</f>
        <v/>
      </c>
      <c r="FD524">
        <f>IF($EY524="row",INDEX($DN$5:$DN$1003,$EX524),"")</f>
        <v/>
      </c>
      <c r="FE524">
        <f>IF($EY524="row",INDEX($DO$5:$DO$1003,$EX524),"")</f>
        <v/>
      </c>
      <c r="FF524">
        <f>IF($EY524="row",INDEX($DP$5:$DP$1003,$EX524),"")</f>
        <v/>
      </c>
      <c r="FG524">
        <f>IF($EY524="row",INDEX($DQ$5:$DQ$1003,$EX524),"")</f>
        <v/>
      </c>
      <c r="FH524">
        <f>IF($EY524="row",INDEX($DR$5:$DR$1003,$EX524),"")</f>
        <v/>
      </c>
      <c r="FI524">
        <f>IF($EY524="row",INDEX($DS$5:$DS$1003,$EX524),"")</f>
        <v/>
      </c>
      <c r="FJ524">
        <f>IF($EY524="row",INDEX($DT$5:$DT$1003,$EX524),"")</f>
        <v/>
      </c>
      <c r="FK524">
        <f>IF($EY524="row",INDEX($DU$5:$DU$1003,$EX524),"")</f>
        <v/>
      </c>
      <c r="FL524">
        <f>IF($EY524="row",INDEX($DV$5:$DV$1003,$EX524),"")</f>
        <v/>
      </c>
      <c r="FM524">
        <f>IF($EY524="row",INDEX($DW$5:$DW$1003,$EX524),"")</f>
        <v/>
      </c>
      <c r="FN524">
        <f>IF($EY524="row",INDEX($DY$5:$DY$1003,$EX524),"")</f>
        <v/>
      </c>
      <c r="FO524">
        <f>IF($EY524="row",INDEX($EA$5:$EA$1003,$EX524),"")</f>
        <v/>
      </c>
      <c r="FP524">
        <f>IF($EY524="row",INDEX($EC$5:$EC$1003,$EX524),"")</f>
        <v/>
      </c>
      <c r="FQ524">
        <f>IF($EY524="row",INDEX($ET$5:$ET$1003,$EX524),"")</f>
        <v/>
      </c>
      <c r="FR524">
        <f>IF($EY524="row",INDEX($EU$5:$EU$1003,$EX524),"")</f>
        <v/>
      </c>
      <c r="FS524">
        <f>IF(AND($EY524="row",$EY523="row"),IF(OR(INDEX($DT$5:$DT$1003,$EX523)="",INDEX($DT$5:$DT$1003,$EX524)=""),"",IF(NOT(EXACT(INDEX($DT$5:$DT$1003,$EX523),INDEX($DT$5:$DT$1003,$EX524))),"S4",IF(NOT(EXACT(INDEX($DS$5:$DS$1003,$EX523),INDEX($DS$5:$DS$1003,$EX524))),"S3",IF(NOT(EXACT(INDEX($DR$5:$DR$1003,$EX523),INDEX($DR$5:$DR$1003,$EX524))),"S1 Count Change","S1")))),"")</f>
        <v/>
      </c>
      <c r="FT524">
        <f>IF($EY524="row",INDEX($ES$5:$ES$1003,$EX524),"")</f>
        <v/>
      </c>
      <c r="FU524">
        <f>IF($EY524="row",INDEX($EO$5:$EO$1003,$EX524),0)</f>
        <v/>
      </c>
      <c r="FV524">
        <f>IF($FS524="S1 Count Change",1,0)</f>
        <v/>
      </c>
    </row>
    <row r="525">
      <c r="DA525" t="n">
        <v>521</v>
      </c>
      <c r="DB525">
        <f>IF($B$37=0,"",IFERROR(TRIM(SUBSTITUTE(SUBSTITUTE(SUBSTITUTE(SUBSTITUTE(INDEX(PASTE_ALL,521,$B$37)," "," "),CHAR(9)," "),CHAR(10)," "),CHAR(13)," ")),""))</f>
        <v/>
      </c>
      <c r="DC525">
        <f>IF(AND(521&gt;HEADER_ROW,UPPER(DB525)="LEGEND"),1,0)</f>
        <v/>
      </c>
      <c r="DE525" t="n">
        <v>521</v>
      </c>
      <c r="DF525">
        <f>HEADER_ROW+$DE525</f>
        <v/>
      </c>
      <c r="DG525">
        <f>IF(AND($DF525&lt;=1000,$DF525&lt;$B$8),1,0)</f>
        <v/>
      </c>
      <c r="DH525">
        <f>IF($DG525=1,IFERROR(INDEX($DB$5:$DB$1004,$DF525),""),"")</f>
        <v/>
      </c>
      <c r="DI525">
        <f>IF(AND($DG525=1,$DH525&lt;&gt;""),IFERROR(SUBSTITUTE(SUBSTITUTE(TRIM(SUBSTITUTE(SUBSTITUTE(SUBSTITUTE(SUBSTITUTE(IFERROR(INDEX(PASTE_ALL,$DF525,1)&amp;"","")&amp;"␟"&amp;IFERROR(INDEX(PASTE_ALL,$DF525,2)&amp;"","")&amp;"␟"&amp;IFERROR(INDEX(PASTE_ALL,$DF525,3)&amp;"","")&amp;"␟"&amp;IFERROR(INDEX(PASTE_ALL,$DF525,4)&amp;"","")&amp;"␟"&amp;IFERROR(INDEX(PASTE_ALL,$DF525,5)&amp;"","")&amp;"␟"&amp;IFERROR(INDEX(PASTE_ALL,$DF525,6)&amp;"","")&amp;"␟"&amp;IFERROR(INDEX(PASTE_ALL,$DF525,7)&amp;"","")&amp;"␟"&amp;IFERROR(INDEX(PASTE_ALL,$DF525,8)&amp;"","")&amp;"␟"&amp;IFERROR(INDEX(PASTE_ALL,$DF525,9)&amp;"","")&amp;"␟"&amp;IFERROR(INDEX(PASTE_ALL,$DF525,10)&amp;"","")&amp;"␟"&amp;IFERROR(INDEX(PASTE_ALL,$DF525,11)&amp;"","")&amp;"␟"&amp;IFERROR(INDEX(PASTE_ALL,$DF525,12)&amp;"","")&amp;"␟"&amp;IFERROR(INDEX(PASTE_ALL,$DF525,13)&amp;"","")&amp;"␟"&amp;IFERROR(INDEX(PASTE_ALL,$DF525,14)&amp;"","")&amp;"␟"&amp;IFERROR(INDEX(PASTE_ALL,$DF525,15)&amp;"","")&amp;"␟"&amp;IFERROR(INDEX(PASTE_ALL,$DF525,16)&amp;"","")&amp;"␟"&amp;IFERROR(INDEX(PASTE_ALL,$DF525,17)&amp;"","")&amp;"␟"&amp;IFERROR(INDEX(PASTE_ALL,$DF525,18)&amp;"","")&amp;"␟"&amp;IFERROR(INDEX(PASTE_ALL,$DF525,19)&amp;"","")&amp;"␟"&amp;IFERROR(INDEX(PASTE_ALL,$DF525,20)&amp;"","")&amp;"␟"&amp;IFERROR(INDEX(PASTE_ALL,$DF525,21)&amp;"","")&amp;"␟"&amp;IFERROR(INDEX(PASTE_ALL,$DF525,22)&amp;"","")&amp;"␟"&amp;IFERROR(INDEX(PASTE_ALL,$DF525,23)&amp;"","")&amp;"␟"&amp;IFERROR(INDEX(PASTE_ALL,$DF525,24)&amp;"","")&amp;"␟"&amp;IFERROR(INDEX(PASTE_ALL,$DF525,25)&amp;"","")&amp;"␟"&amp;IFERROR(INDEX(PASTE_ALL,$DF525,26)&amp;"","")&amp;"␟"&amp;IFERROR(INDEX(PASTE_ALL,$DF525,27)&amp;"","")&amp;"␟"&amp;IFERROR(INDEX(PASTE_ALL,$DF525,28)&amp;"","")&amp;"␟"&amp;IFERROR(INDEX(PASTE_ALL,$DF525,29)&amp;"","")&amp;"␟"&amp;IFERROR(INDEX(PASTE_ALL,$DF525,30)&amp;"","")&amp;"␟"&amp;IFERROR(INDEX(PASTE_ALL,$DF525,31)&amp;"","")&amp;"␟"&amp;IFERROR(INDEX(PASTE_ALL,$DF525,32)&amp;"","")&amp;"␟"&amp;IFERROR(INDEX(PASTE_ALL,$DF525,33)&amp;"","")&amp;"␟"&amp;IFERROR(INDEX(PASTE_ALL,$DF525,34)&amp;"","")&amp;"␟"&amp;IFERROR(INDEX(PASTE_ALL,$DF525,35)&amp;"","")&amp;"␟"&amp;IFERROR(INDEX(PASTE_ALL,$DF525,36)&amp;"","")&amp;"␟"&amp;IFERROR(INDEX(PASTE_ALL,$DF525,37)&amp;"","")&amp;"␟"&amp;IFERROR(INDEX(PASTE_ALL,$DF525,38)&amp;"","")&amp;"␟"&amp;IFERROR(INDEX(PASTE_ALL,$DF525,39)&amp;"","")&amp;"␟"&amp;IFERROR(INDEX(PASTE_ALL,$DF525,40)&amp;"","")&amp;"␟"&amp;IFERROR(INDEX(PASTE_ALL,$DF525,41)&amp;"","")&amp;"␟"&amp;IFERROR(INDEX(PASTE_ALL,$DF525,42)&amp;"","")&amp;"␟"&amp;IFERROR(INDEX(PASTE_ALL,$DF525,43)&amp;"","")&amp;"␟"&amp;IFERROR(INDEX(PASTE_ALL,$DF525,44)&amp;"","")&amp;"␟"&amp;IFERROR(INDEX(PASTE_ALL,$DF525,45)&amp;"","")&amp;"␟"&amp;IFERROR(INDEX(PASTE_ALL,$DF525,46)&amp;"","")&amp;"␟"&amp;IFERROR(INDEX(PASTE_ALL,$DF525,47)&amp;"","")&amp;"␟"&amp;IFERROR(INDEX(PASTE_ALL,$DF525,48)&amp;"","")&amp;"␟"&amp;IFERROR(INDEX(PASTE_ALL,$DF525,49)&amp;"","")&amp;"␟"&amp;IFERROR(INDEX(PASTE_ALL,$DF525,50)&amp;"","")&amp;"␟"&amp;IFERROR(INDEX(PASTE_ALL,$DF525,51)&amp;"","")&amp;"␟"&amp;IFERROR(INDEX(PASTE_ALL,$DF525,52)&amp;"","")&amp;"␟"&amp;IFERROR(INDEX(PASTE_ALL,$DF525,53)&amp;"","")&amp;"␟"&amp;IFERROR(INDEX(PASTE_ALL,$DF525,54)&amp;"","")&amp;"␟"&amp;IFERROR(INDEX(PASTE_ALL,$DF525,55)&amp;"","")&amp;"␟"&amp;IFERROR(INDEX(PASTE_ALL,$DF525,56)&amp;"","")&amp;"␟"&amp;IFERROR(INDEX(PASTE_ALL,$DF525,57)&amp;"","")&amp;"␟"&amp;IFERROR(INDEX(PASTE_ALL,$DF525,58)&amp;"","")&amp;"␟"&amp;IFERROR(INDEX(PASTE_ALL,$DF525,59)&amp;"","")&amp;"␟"&amp;IFERROR(INDEX(PASTE_ALL,$DF525,60)&amp;"","")," "," "),CHAR(9)," "),CHAR(10)," "),CHAR(13)," "))," ␟","␟"),"␟ ","␟"),"#"&amp;$DE525),"")</f>
        <v/>
      </c>
      <c r="DJ525">
        <f>IF($DI525="",0,IF(SUMPRODUCT(--EXACT($DI$4:DI524,$DI525))&gt;0,1,0))</f>
        <v/>
      </c>
      <c r="DK525">
        <f>IF(AND($DI525&lt;&gt;"",$DJ525=0),1,0)</f>
        <v/>
      </c>
      <c r="DL525">
        <f>DL524+$DK525</f>
        <v/>
      </c>
      <c r="DM525">
        <f>IF(AND($DK525=1,$DL525&lt;=600),1,0)</f>
        <v/>
      </c>
      <c r="DN525">
        <f>IF($DM525=0,"",IF($L$6=0,"",IFERROR(IF(ISNUMBER(INDEX(PASTE_ALL,$DF525,$L$6)),INDEX(PASTE_ALL,$DF525,$L$6),TRIM(SUBSTITUTE(SUBSTITUTE(SUBSTITUTE(SUBSTITUTE(INDEX(PASTE_ALL,$DF525,$L$6)," "," "),CHAR(9)," "),CHAR(10)," "),CHAR(13)," "))),"")))</f>
        <v/>
      </c>
      <c r="DO525">
        <f>IF($DM525=0,"",IF($L$7=0,"",IFERROR(IF(ISNUMBER(INDEX(PASTE_ALL,$DF525,$L$7)),INDEX(PASTE_ALL,$DF525,$L$7),TRIM(SUBSTITUTE(SUBSTITUTE(SUBSTITUTE(SUBSTITUTE(INDEX(PASTE_ALL,$DF525,$L$7)," "," "),CHAR(9)," "),CHAR(10)," "),CHAR(13)," "))),"")))</f>
        <v/>
      </c>
      <c r="DP525">
        <f>IF($DM525=0,"",IF($L$8=0,"",IFERROR(IF(ISNUMBER(INDEX(PASTE_ALL,$DF525,$L$8)),INDEX(PASTE_ALL,$DF525,$L$8),TRIM(SUBSTITUTE(SUBSTITUTE(SUBSTITUTE(SUBSTITUTE(INDEX(PASTE_ALL,$DF525,$L$8)," "," "),CHAR(9)," "),CHAR(10)," "),CHAR(13)," "))),"")))</f>
        <v/>
      </c>
      <c r="DQ525">
        <f>IF($DM525=0,"",IF($L$9=0,"",IFERROR(IF(ISNUMBER(INDEX(PASTE_ALL,$DF525,$L$9)),INDEX(PASTE_ALL,$DF525,$L$9),TRIM(SUBSTITUTE(SUBSTITUTE(SUBSTITUTE(SUBSTITUTE(INDEX(PASTE_ALL,$DF525,$L$9)," "," "),CHAR(9)," "),CHAR(10)," "),CHAR(13)," "))),"")))</f>
        <v/>
      </c>
      <c r="DR525">
        <f>IF($DM525=0,"",IF($L$10=0,"",IFERROR(IF(ISNUMBER(INDEX(PASTE_ALL,$DF525,$L$10)),INDEX(PASTE_ALL,$DF525,$L$10),TRIM(SUBSTITUTE(SUBSTITUTE(SUBSTITUTE(SUBSTITUTE(INDEX(PASTE_ALL,$DF525,$L$10)," "," "),CHAR(9)," "),CHAR(10)," "),CHAR(13)," "))),"")))</f>
        <v/>
      </c>
      <c r="DS525">
        <f>IF($DM525=0,"",IF($L$11=0,"",IFERROR(IF(ISNUMBER(INDEX(PASTE_ALL,$DF525,$L$11)),INDEX(PASTE_ALL,$DF525,$L$11),TRIM(SUBSTITUTE(SUBSTITUTE(SUBSTITUTE(SUBSTITUTE(INDEX(PASTE_ALL,$DF525,$L$11)," "," "),CHAR(9)," "),CHAR(10)," "),CHAR(13)," "))),"")))</f>
        <v/>
      </c>
      <c r="DT525">
        <f>IF($DM525=0,"",IF($L$12=0,"",IFERROR(IF(ISNUMBER(INDEX(PASTE_ALL,$DF525,$L$12)),INDEX(PASTE_ALL,$DF525,$L$12),TRIM(SUBSTITUTE(SUBSTITUTE(SUBSTITUTE(SUBSTITUTE(INDEX(PASTE_ALL,$DF525,$L$12)," "," "),CHAR(9)," "),CHAR(10)," "),CHAR(13)," "))),"")))</f>
        <v/>
      </c>
      <c r="DU525">
        <f>IF($DM525=0,"",IF($L$13=0,"",IFERROR(IF(ISNUMBER(INDEX(PASTE_ALL,$DF525,$L$13)),INDEX(PASTE_ALL,$DF525,$L$13),TRIM(SUBSTITUTE(SUBSTITUTE(SUBSTITUTE(SUBSTITUTE(INDEX(PASTE_ALL,$DF525,$L$13)," "," "),CHAR(9)," "),CHAR(10)," "),CHAR(13)," "))),"")))</f>
        <v/>
      </c>
      <c r="DV525">
        <f>IF($DM525=0,"",IF($L$14=0,"",IFERROR(IF(ISNUMBER(INDEX(PASTE_ALL,$DF525,$L$14)),INDEX(PASTE_ALL,$DF525,$L$14),TRIM(SUBSTITUTE(SUBSTITUTE(SUBSTITUTE(SUBSTITUTE(INDEX(PASTE_ALL,$DF525,$L$14)," "," "),CHAR(9)," "),CHAR(10)," "),CHAR(13)," "))),"")))</f>
        <v/>
      </c>
      <c r="DW525">
        <f>IF($DM525=0,"",IF($L$15=0,"",IFERROR(IF(ISNUMBER(INDEX(PASTE_ALL,$DF525,$L$15)),INDEX(PASTE_ALL,$DF525,$L$15),IF(SUMPRODUCT(--ISNUMBER(FIND({"A","B","C","D","E","F","G","H","I","J","K","L","M","N","O","P","Q","R","S","T","U","V","W","X","Y","Z","0","1","2","3","4","5","6","7","8","9"},UPPER(TRIM(SUBSTITUTE(SUBSTITUTE(SUBSTITUTE(SUBSTITUTE(INDEX(PASTE_ALL,$DF525,$L$15)," "," "),CHAR(9)," "),CHAR(10)," "),CHAR(13)," "))))))&gt;0,TRIM(SUBSTITUTE(SUBSTITUTE(SUBSTITUTE(SUBSTITUTE(INDEX(PASTE_ALL,$DF525,$L$15)," "," "),CHAR(9)," "),CHAR(10)," "),CHAR(13)," ")),"")),"")))</f>
        <v/>
      </c>
      <c r="DX525">
        <f>IF($DM525=0,"",IF($L$16=0,"",IFERROR(IF(ISNUMBER(INDEX(PASTE_ALL,$DF525,$L$16)),INDEX(PASTE_ALL,$DF525,$L$16),SUBSTITUTE(SUBSTITUTE(TRIM(SUBSTITUTE(SUBSTITUTE(SUBSTITUTE(SUBSTITUTE(INDEX(PASTE_ALL,$DF525,$L$16)," "," "),CHAR(9)," "),CHAR(10)," "),CHAR(13)," ")),",",""),"%","")),"")))</f>
        <v/>
      </c>
      <c r="DY525">
        <f>IF($DM525=0,"",IFERROR(IF(ISNUMBER($DX525),$DX525,IF($DX525="","",IF(TRIM($DX525)="",0,IF(AND(AND(SUBSTITUTE(SUBSTITUTE(SUBSTITUTE(SUBSTITUTE(SUBSTITUTE(SUBSTITUTE(SUBSTITUTE(SUBSTITUTE(SUBSTITUTE(SUBSTITUTE(SUBSTITUTE(SUBSTITUTE(SUBSTITUTE(SUBSTITUTE(UPPER(TRIM($DX525)),"0",""),"1",""),"2",""),"3",""),"4",""),"5",""),"6",""),"7",""),"8",""),"9",""),".",""),"+",""),"-",""),"E","")="",LEN(SUBSTITUTE(SUBSTITUTE(MID(UPPER(TRIM($DX525)),1+OR(LEFT(UPPER(TRIM($DX525)),1)="+",LEFT(UPPER(TRIM($DX525)),1)="-"),999),"E+","E"),"E-","E"))=LEN(SUBSTITUTE(SUBSTITUTE(SUBSTITUTE(SUBSTITUTE(MID(UPPER(TRIM($DX525)),1+OR(LEFT(UPPER(TRIM($DX525)),1)="+",LEFT(UPPER(TRIM($DX525)),1)="-"),999),"E+","E"),"E-","E"),"+",""),"-","")),LEN(UPPER(TRIM($DX525)))-LEN(SUBSTITUTE(UPPER(TRIM($DX525)),"E",""))&lt;2,LEN(UPPER(TRIM($DX525)))-LEN(SUBSTITUTE(UPPER(TRIM($DX525)),".",""))&lt;2,IFERROR(FIND(".",UPPER(TRIM($DX525))),0)&lt;IFERROR(FIND("E",UPPER(TRIM($DX525))),999)),ISNUMBER(VALUE(TRIM($DX525)))),VALUE(TRIM($DX525)),"")))),""))</f>
        <v/>
      </c>
      <c r="DZ525">
        <f>IF($DM525=0,"",IF($L$17=0,"",IFERROR(IF(ISNUMBER(INDEX(PASTE_ALL,$DF525,$L$17)),INDEX(PASTE_ALL,$DF525,$L$17),SUBSTITUTE(SUBSTITUTE(TRIM(SUBSTITUTE(SUBSTITUTE(SUBSTITUTE(SUBSTITUTE(INDEX(PASTE_ALL,$DF525,$L$17)," "," "),CHAR(9)," "),CHAR(10)," "),CHAR(13)," ")),",",""),"%","")),"")))</f>
        <v/>
      </c>
      <c r="EA525">
        <f>IF($DM525=0,"",IFERROR(IF(ISNUMBER($DZ525),$DZ525,IF($DZ525="","",IF(TRIM($DZ525)="",0,IF(AND(AND(SUBSTITUTE(SUBSTITUTE(SUBSTITUTE(SUBSTITUTE(SUBSTITUTE(SUBSTITUTE(SUBSTITUTE(SUBSTITUTE(SUBSTITUTE(SUBSTITUTE(SUBSTITUTE(SUBSTITUTE(SUBSTITUTE(SUBSTITUTE(UPPER(TRIM($DZ525)),"0",""),"1",""),"2",""),"3",""),"4",""),"5",""),"6",""),"7",""),"8",""),"9",""),".",""),"+",""),"-",""),"E","")="",LEN(SUBSTITUTE(SUBSTITUTE(MID(UPPER(TRIM($DZ525)),1+OR(LEFT(UPPER(TRIM($DZ525)),1)="+",LEFT(UPPER(TRIM($DZ525)),1)="-"),999),"E+","E"),"E-","E"))=LEN(SUBSTITUTE(SUBSTITUTE(SUBSTITUTE(SUBSTITUTE(MID(UPPER(TRIM($DZ525)),1+OR(LEFT(UPPER(TRIM($DZ525)),1)="+",LEFT(UPPER(TRIM($DZ525)),1)="-"),999),"E+","E"),"E-","E"),"+",""),"-","")),LEN(UPPER(TRIM($DZ525)))-LEN(SUBSTITUTE(UPPER(TRIM($DZ525)),"E",""))&lt;2,LEN(UPPER(TRIM($DZ525)))-LEN(SUBSTITUTE(UPPER(TRIM($DZ525)),".",""))&lt;2,IFERROR(FIND(".",UPPER(TRIM($DZ525))),0)&lt;IFERROR(FIND("E",UPPER(TRIM($DZ525))),999)),ISNUMBER(VALUE(TRIM($DZ525)))),VALUE(TRIM($DZ525)),"")))),""))</f>
        <v/>
      </c>
      <c r="EB525">
        <f>IF($DM525=0,"",IF($L$18=0,"",IFERROR(IF(UPPER(TRIM(SUBSTITUTE(SUBSTITUTE(SUBSTITUTE(SUBSTITUTE(INDEX(PASTE_ALL,$DF525,$L$18)," "," "),CHAR(9)," "),CHAR(10)," "),CHAR(13)," ")))="READY","Ready",IF(UPPER(TRIM(SUBSTITUTE(SUBSTITUTE(SUBSTITUTE(SUBSTITUTE(INDEX(PASTE_ALL,$DF525,$L$18)," "," "),CHAR(9)," "),CHAR(10)," "),CHAR(13)," ")))="PM","PM",IF(OR(UPPER(TRIM(SUBSTITUTE(SUBSTITUTE(SUBSTITUTE(SUBSTITUTE(INDEX(PASTE_ALL,$DF525,$L$18)," "," "),CHAR(9)," "),CHAR(10)," "),CHAR(13)," ")))="OT",UPPER(TRIM(SUBSTITUTE(SUBSTITUTE(SUBSTITUTE(SUBSTITUTE(INDEX(PASTE_ALL,$DF525,$L$18)," "," "),CHAR(9)," "),CHAR(10)," "),CHAR(13)," ")))="OVERTIME",UPPER(TRIM(SUBSTITUTE(SUBSTITUTE(SUBSTITUTE(SUBSTITUTE(INDEX(PASTE_ALL,$DF525,$L$18)," "," "),CHAR(9)," "),CHAR(10)," "),CHAR(13)," ")))="TRIAL"),"OT",TRIM(SUBSTITUTE(SUBSTITUTE(SUBSTITUTE(SUBSTITUTE(INDEX(PASTE_ALL,$DF525,$L$18)," "," "),CHAR(9)," "),CHAR(10)," "),CHAR(13)," "))))),"")))</f>
        <v/>
      </c>
      <c r="EC525">
        <f>IF($DM525=0,"",IF($L$19=0,"",IFERROR(IF(ISNUMBER(INDEX(PASTE_ALL,$DF525,$L$19)),INDEX(PASTE_ALL,$DF525,$L$19),TRIM(SUBSTITUTE(SUBSTITUTE(SUBSTITUTE(SUBSTITUTE(INDEX(PASTE_ALL,$DF525,$L$19)," "," "),CHAR(9)," "),CHAR(10)," "),CHAR(13)," "))),"")))</f>
        <v/>
      </c>
      <c r="ED525">
        <f>IF($DM525=0,"",MATCH(1,INDEX(EXACT($DH$5:DH525,$DH525)*$DM$5:DM525,0),0))</f>
        <v/>
      </c>
      <c r="EE525">
        <f>IF($DM525=0,0,IF($ED525=$DE525,1,0))</f>
        <v/>
      </c>
      <c r="EF525">
        <f>EF524+$EE525</f>
        <v/>
      </c>
      <c r="EG525">
        <f>IF($DM525=0,"",INDEX($EF$5:$EF$1003,$ED525))</f>
        <v/>
      </c>
      <c r="EH525">
        <f>IF($DM525=0,"",IF($DO525&lt;&gt;"","",IFERROR(LOOKUP(2,1/(($EG$4:EG524=$EG525)*($DO$4:DO524&lt;&gt;"")),$DO$4:DO524),"")))</f>
        <v/>
      </c>
      <c r="EI525">
        <f>IF($DM525=0,"",IF($DO525&lt;&gt;"",$DO525,$EH525))</f>
        <v/>
      </c>
      <c r="EJ525">
        <f>IF($DM525=0,"",IF($EI525="",0,IF(OR(ISNUMBER($EI525),AND(AND(SUBSTITUTE(SUBSTITUTE(SUBSTITUTE(SUBSTITUTE(SUBSTITUTE(SUBSTITUTE(SUBSTITUTE(SUBSTITUTE(SUBSTITUTE(SUBSTITUTE(SUBSTITUTE(SUBSTITUTE(SUBSTITUTE(SUBSTITUTE(UPPER($EI525),"0",""),"1",""),"2",""),"3",""),"4",""),"5",""),"6",""),"7",""),"8",""),"9",""),".",""),"+",""),"-",""),"E","")="",LEN(SUBSTITUTE(SUBSTITUTE(MID(UPPER($EI525),1+OR(LEFT(UPPER($EI525),1)="+",LEFT(UPPER($EI525),1)="-"),999),"E+","E"),"E-","E"))=LEN(SUBSTITUTE(SUBSTITUTE(SUBSTITUTE(SUBSTITUTE(MID(UPPER($EI525),1+OR(LEFT(UPPER($EI525),1)="+",LEFT(UPPER($EI525),1)="-"),999),"E+","E"),"E-","E"),"+",""),"-","")),LEN(UPPER($EI525))-LEN(SUBSTITUTE(UPPER($EI525),"E",""))&lt;2,LEN(UPPER($EI525))-LEN(SUBSTITUTE(UPPER($EI525),".",""))&lt;2,IFERROR(FIND(".",UPPER($EI525)),0)&lt;IFERROR(FIND("E",UPPER($EI525)),999)),ISNUMBER(VALUE($EI525)))),1,2)))</f>
        <v/>
      </c>
      <c r="EK525">
        <f>IF($DM525=0,"",IF($EJ525=1,IF(ISNUMBER($EI525),$EI525,VALUE($EI525)),IF($EJ525=2,$DE525,0)))</f>
        <v/>
      </c>
      <c r="EL525">
        <f>IF($DM525=0,"",COUNTIF($EG$5:$EG$1003,"&lt;"&amp;$EG525)+SUMPRODUCT(($EG$5:$EG$1003=$EG525)*(($EJ$5:$EJ$1003&lt;$EJ525)+($EJ$5:$EJ$1003=$EJ525)*(($EK$5:$EK$1003&lt;$EK525)+($EK$5:$EK$1003=$EK525)*($DE$5:$DE$1003&lt;$DE525))))+1)</f>
        <v/>
      </c>
      <c r="EM525">
        <f>IF($DM525=0,"",$EL525+$EG525-1)</f>
        <v/>
      </c>
      <c r="EN525">
        <f>IF($DM525=0,0,IFERROR(MATCH(1,INDEX(--(TRIM(SUBSTITUTE(SUBSTITUTE(SUBSTITUTE(SUBSTITUTE(LINES_NAME&amp;""," "," "),CHAR(9)," "),CHAR(10)," "),CHAR(13)," "))=$DH525),0),0),0))</f>
        <v/>
      </c>
      <c r="EO525">
        <f>IF($EN525=0,0,IF(OR(UPPER(TRIM(INDEX(LINES_SCHEDULED,$EN525)&amp;""))="YES",UPPER(TRIM(INDEX(LINES_SCHEDULED,$EN525)&amp;""))="Y",UPPER(TRIM(INDEX(LINES_SCHEDULED,$EN525)&amp;""))="X"),1,0))</f>
        <v/>
      </c>
      <c r="EP525">
        <f>IF($DM525=0,"",IF(COUNTIFS($EG$5:$EG$1003,$EG525,$EB$5:$EB$1003,"Ready")&gt;0,"READY",IF(COUNTIFS($EG$5:$EG$1003,$EG525,$EB$5:$EB$1003,"PM")&gt;0,"PM",IF(COUNTIFS($EG$5:$EG$1003,$EG525,$EB$5:$EB$1003,"OT")&gt;0,"OT",""))))</f>
        <v/>
      </c>
      <c r="EQ525">
        <f>IF($EN525=0,"",UPPER(TRIM(INDEX(LINES_STATUS,$EN525)&amp;"")))</f>
        <v/>
      </c>
      <c r="ER525">
        <f>IF($DM525=0,"",IF(OR($EQ525="READY",$EQ525="PM",$EQ525="OT"),$EQ525,$EP525))</f>
        <v/>
      </c>
      <c r="ES525">
        <f>IF($DM525=0,"",IF(AND($DV525&lt;&gt;"",UPPER($DV525)&lt;&gt;"N"),"allergen",IF(ISNUMBER(SEARCH("oil",$DQ525)),"oil",IF(OR(EXACT($DS525,"A662"),EXACT($DS525,"A624")),"bulk",""))))</f>
        <v/>
      </c>
      <c r="ET525">
        <f>IF($DM525=0,"",IF(OR($EA525="",$EA525=0),"",$EA525/100))</f>
        <v/>
      </c>
      <c r="EU525">
        <f>IF(OR($ET525="",$DY525=""),"",INT($DY525*(1-$ET525)+0.5))</f>
        <v/>
      </c>
      <c r="EW525" t="n">
        <v>521</v>
      </c>
      <c r="EX525">
        <f>IFERROR(MATCH($EW525,$EM$5:$EM$1003,0),0)</f>
        <v/>
      </c>
      <c r="EY525">
        <f>IF($EW525&gt;$B$12,"",IF($EX525&gt;0,"row","spacer"))</f>
        <v/>
      </c>
      <c r="EZ525">
        <f>IF(AND($EY525="row",$EY524&lt;&gt;"row"),1,0)</f>
        <v/>
      </c>
      <c r="FA525">
        <f>IF(AND($EY525="row",$EY526&lt;&gt;"row"),1,0)</f>
        <v/>
      </c>
      <c r="FB525">
        <f>IF($EZ525=1,IFERROR(IF(ISNUMBER(INDEX(PASTE_ALL,INDEX($DF$5:$DF$1003,$EX525),$B$37)),INDEX(PASTE_ALL,INDEX($DF$5:$DF$1003,$EX525),$B$37),INDEX($DH$5:$DH$1003,$EX525)),INDEX($DH$5:$DH$1003,$EX525)),"")</f>
        <v/>
      </c>
      <c r="FC525">
        <f>IF($EY525="row",INDEX($ER$5:$ER$1003,$EX525),"")</f>
        <v/>
      </c>
      <c r="FD525">
        <f>IF($EY525="row",INDEX($DN$5:$DN$1003,$EX525),"")</f>
        <v/>
      </c>
      <c r="FE525">
        <f>IF($EY525="row",INDEX($DO$5:$DO$1003,$EX525),"")</f>
        <v/>
      </c>
      <c r="FF525">
        <f>IF($EY525="row",INDEX($DP$5:$DP$1003,$EX525),"")</f>
        <v/>
      </c>
      <c r="FG525">
        <f>IF($EY525="row",INDEX($DQ$5:$DQ$1003,$EX525),"")</f>
        <v/>
      </c>
      <c r="FH525">
        <f>IF($EY525="row",INDEX($DR$5:$DR$1003,$EX525),"")</f>
        <v/>
      </c>
      <c r="FI525">
        <f>IF($EY525="row",INDEX($DS$5:$DS$1003,$EX525),"")</f>
        <v/>
      </c>
      <c r="FJ525">
        <f>IF($EY525="row",INDEX($DT$5:$DT$1003,$EX525),"")</f>
        <v/>
      </c>
      <c r="FK525">
        <f>IF($EY525="row",INDEX($DU$5:$DU$1003,$EX525),"")</f>
        <v/>
      </c>
      <c r="FL525">
        <f>IF($EY525="row",INDEX($DV$5:$DV$1003,$EX525),"")</f>
        <v/>
      </c>
      <c r="FM525">
        <f>IF($EY525="row",INDEX($DW$5:$DW$1003,$EX525),"")</f>
        <v/>
      </c>
      <c r="FN525">
        <f>IF($EY525="row",INDEX($DY$5:$DY$1003,$EX525),"")</f>
        <v/>
      </c>
      <c r="FO525">
        <f>IF($EY525="row",INDEX($EA$5:$EA$1003,$EX525),"")</f>
        <v/>
      </c>
      <c r="FP525">
        <f>IF($EY525="row",INDEX($EC$5:$EC$1003,$EX525),"")</f>
        <v/>
      </c>
      <c r="FQ525">
        <f>IF($EY525="row",INDEX($ET$5:$ET$1003,$EX525),"")</f>
        <v/>
      </c>
      <c r="FR525">
        <f>IF($EY525="row",INDEX($EU$5:$EU$1003,$EX525),"")</f>
        <v/>
      </c>
      <c r="FS525">
        <f>IF(AND($EY525="row",$EY524="row"),IF(OR(INDEX($DT$5:$DT$1003,$EX524)="",INDEX($DT$5:$DT$1003,$EX525)=""),"",IF(NOT(EXACT(INDEX($DT$5:$DT$1003,$EX524),INDEX($DT$5:$DT$1003,$EX525))),"S4",IF(NOT(EXACT(INDEX($DS$5:$DS$1003,$EX524),INDEX($DS$5:$DS$1003,$EX525))),"S3",IF(NOT(EXACT(INDEX($DR$5:$DR$1003,$EX524),INDEX($DR$5:$DR$1003,$EX525))),"S1 Count Change","S1")))),"")</f>
        <v/>
      </c>
      <c r="FT525">
        <f>IF($EY525="row",INDEX($ES$5:$ES$1003,$EX525),"")</f>
        <v/>
      </c>
      <c r="FU525">
        <f>IF($EY525="row",INDEX($EO$5:$EO$1003,$EX525),0)</f>
        <v/>
      </c>
      <c r="FV525">
        <f>IF($FS525="S1 Count Change",1,0)</f>
        <v/>
      </c>
    </row>
    <row r="526">
      <c r="DA526" t="n">
        <v>522</v>
      </c>
      <c r="DB526">
        <f>IF($B$37=0,"",IFERROR(TRIM(SUBSTITUTE(SUBSTITUTE(SUBSTITUTE(SUBSTITUTE(INDEX(PASTE_ALL,522,$B$37)," "," "),CHAR(9)," "),CHAR(10)," "),CHAR(13)," ")),""))</f>
        <v/>
      </c>
      <c r="DC526">
        <f>IF(AND(522&gt;HEADER_ROW,UPPER(DB526)="LEGEND"),1,0)</f>
        <v/>
      </c>
      <c r="DE526" t="n">
        <v>522</v>
      </c>
      <c r="DF526">
        <f>HEADER_ROW+$DE526</f>
        <v/>
      </c>
      <c r="DG526">
        <f>IF(AND($DF526&lt;=1000,$DF526&lt;$B$8),1,0)</f>
        <v/>
      </c>
      <c r="DH526">
        <f>IF($DG526=1,IFERROR(INDEX($DB$5:$DB$1004,$DF526),""),"")</f>
        <v/>
      </c>
      <c r="DI526">
        <f>IF(AND($DG526=1,$DH526&lt;&gt;""),IFERROR(SUBSTITUTE(SUBSTITUTE(TRIM(SUBSTITUTE(SUBSTITUTE(SUBSTITUTE(SUBSTITUTE(IFERROR(INDEX(PASTE_ALL,$DF526,1)&amp;"","")&amp;"␟"&amp;IFERROR(INDEX(PASTE_ALL,$DF526,2)&amp;"","")&amp;"␟"&amp;IFERROR(INDEX(PASTE_ALL,$DF526,3)&amp;"","")&amp;"␟"&amp;IFERROR(INDEX(PASTE_ALL,$DF526,4)&amp;"","")&amp;"␟"&amp;IFERROR(INDEX(PASTE_ALL,$DF526,5)&amp;"","")&amp;"␟"&amp;IFERROR(INDEX(PASTE_ALL,$DF526,6)&amp;"","")&amp;"␟"&amp;IFERROR(INDEX(PASTE_ALL,$DF526,7)&amp;"","")&amp;"␟"&amp;IFERROR(INDEX(PASTE_ALL,$DF526,8)&amp;"","")&amp;"␟"&amp;IFERROR(INDEX(PASTE_ALL,$DF526,9)&amp;"","")&amp;"␟"&amp;IFERROR(INDEX(PASTE_ALL,$DF526,10)&amp;"","")&amp;"␟"&amp;IFERROR(INDEX(PASTE_ALL,$DF526,11)&amp;"","")&amp;"␟"&amp;IFERROR(INDEX(PASTE_ALL,$DF526,12)&amp;"","")&amp;"␟"&amp;IFERROR(INDEX(PASTE_ALL,$DF526,13)&amp;"","")&amp;"␟"&amp;IFERROR(INDEX(PASTE_ALL,$DF526,14)&amp;"","")&amp;"␟"&amp;IFERROR(INDEX(PASTE_ALL,$DF526,15)&amp;"","")&amp;"␟"&amp;IFERROR(INDEX(PASTE_ALL,$DF526,16)&amp;"","")&amp;"␟"&amp;IFERROR(INDEX(PASTE_ALL,$DF526,17)&amp;"","")&amp;"␟"&amp;IFERROR(INDEX(PASTE_ALL,$DF526,18)&amp;"","")&amp;"␟"&amp;IFERROR(INDEX(PASTE_ALL,$DF526,19)&amp;"","")&amp;"␟"&amp;IFERROR(INDEX(PASTE_ALL,$DF526,20)&amp;"","")&amp;"␟"&amp;IFERROR(INDEX(PASTE_ALL,$DF526,21)&amp;"","")&amp;"␟"&amp;IFERROR(INDEX(PASTE_ALL,$DF526,22)&amp;"","")&amp;"␟"&amp;IFERROR(INDEX(PASTE_ALL,$DF526,23)&amp;"","")&amp;"␟"&amp;IFERROR(INDEX(PASTE_ALL,$DF526,24)&amp;"","")&amp;"␟"&amp;IFERROR(INDEX(PASTE_ALL,$DF526,25)&amp;"","")&amp;"␟"&amp;IFERROR(INDEX(PASTE_ALL,$DF526,26)&amp;"","")&amp;"␟"&amp;IFERROR(INDEX(PASTE_ALL,$DF526,27)&amp;"","")&amp;"␟"&amp;IFERROR(INDEX(PASTE_ALL,$DF526,28)&amp;"","")&amp;"␟"&amp;IFERROR(INDEX(PASTE_ALL,$DF526,29)&amp;"","")&amp;"␟"&amp;IFERROR(INDEX(PASTE_ALL,$DF526,30)&amp;"","")&amp;"␟"&amp;IFERROR(INDEX(PASTE_ALL,$DF526,31)&amp;"","")&amp;"␟"&amp;IFERROR(INDEX(PASTE_ALL,$DF526,32)&amp;"","")&amp;"␟"&amp;IFERROR(INDEX(PASTE_ALL,$DF526,33)&amp;"","")&amp;"␟"&amp;IFERROR(INDEX(PASTE_ALL,$DF526,34)&amp;"","")&amp;"␟"&amp;IFERROR(INDEX(PASTE_ALL,$DF526,35)&amp;"","")&amp;"␟"&amp;IFERROR(INDEX(PASTE_ALL,$DF526,36)&amp;"","")&amp;"␟"&amp;IFERROR(INDEX(PASTE_ALL,$DF526,37)&amp;"","")&amp;"␟"&amp;IFERROR(INDEX(PASTE_ALL,$DF526,38)&amp;"","")&amp;"␟"&amp;IFERROR(INDEX(PASTE_ALL,$DF526,39)&amp;"","")&amp;"␟"&amp;IFERROR(INDEX(PASTE_ALL,$DF526,40)&amp;"","")&amp;"␟"&amp;IFERROR(INDEX(PASTE_ALL,$DF526,41)&amp;"","")&amp;"␟"&amp;IFERROR(INDEX(PASTE_ALL,$DF526,42)&amp;"","")&amp;"␟"&amp;IFERROR(INDEX(PASTE_ALL,$DF526,43)&amp;"","")&amp;"␟"&amp;IFERROR(INDEX(PASTE_ALL,$DF526,44)&amp;"","")&amp;"␟"&amp;IFERROR(INDEX(PASTE_ALL,$DF526,45)&amp;"","")&amp;"␟"&amp;IFERROR(INDEX(PASTE_ALL,$DF526,46)&amp;"","")&amp;"␟"&amp;IFERROR(INDEX(PASTE_ALL,$DF526,47)&amp;"","")&amp;"␟"&amp;IFERROR(INDEX(PASTE_ALL,$DF526,48)&amp;"","")&amp;"␟"&amp;IFERROR(INDEX(PASTE_ALL,$DF526,49)&amp;"","")&amp;"␟"&amp;IFERROR(INDEX(PASTE_ALL,$DF526,50)&amp;"","")&amp;"␟"&amp;IFERROR(INDEX(PASTE_ALL,$DF526,51)&amp;"","")&amp;"␟"&amp;IFERROR(INDEX(PASTE_ALL,$DF526,52)&amp;"","")&amp;"␟"&amp;IFERROR(INDEX(PASTE_ALL,$DF526,53)&amp;"","")&amp;"␟"&amp;IFERROR(INDEX(PASTE_ALL,$DF526,54)&amp;"","")&amp;"␟"&amp;IFERROR(INDEX(PASTE_ALL,$DF526,55)&amp;"","")&amp;"␟"&amp;IFERROR(INDEX(PASTE_ALL,$DF526,56)&amp;"","")&amp;"␟"&amp;IFERROR(INDEX(PASTE_ALL,$DF526,57)&amp;"","")&amp;"␟"&amp;IFERROR(INDEX(PASTE_ALL,$DF526,58)&amp;"","")&amp;"␟"&amp;IFERROR(INDEX(PASTE_ALL,$DF526,59)&amp;"","")&amp;"␟"&amp;IFERROR(INDEX(PASTE_ALL,$DF526,60)&amp;"","")," "," "),CHAR(9)," "),CHAR(10)," "),CHAR(13)," "))," ␟","␟"),"␟ ","␟"),"#"&amp;$DE526),"")</f>
        <v/>
      </c>
      <c r="DJ526">
        <f>IF($DI526="",0,IF(SUMPRODUCT(--EXACT($DI$4:DI525,$DI526))&gt;0,1,0))</f>
        <v/>
      </c>
      <c r="DK526">
        <f>IF(AND($DI526&lt;&gt;"",$DJ526=0),1,0)</f>
        <v/>
      </c>
      <c r="DL526">
        <f>DL525+$DK526</f>
        <v/>
      </c>
      <c r="DM526">
        <f>IF(AND($DK526=1,$DL526&lt;=600),1,0)</f>
        <v/>
      </c>
      <c r="DN526">
        <f>IF($DM526=0,"",IF($L$6=0,"",IFERROR(IF(ISNUMBER(INDEX(PASTE_ALL,$DF526,$L$6)),INDEX(PASTE_ALL,$DF526,$L$6),TRIM(SUBSTITUTE(SUBSTITUTE(SUBSTITUTE(SUBSTITUTE(INDEX(PASTE_ALL,$DF526,$L$6)," "," "),CHAR(9)," "),CHAR(10)," "),CHAR(13)," "))),"")))</f>
        <v/>
      </c>
      <c r="DO526">
        <f>IF($DM526=0,"",IF($L$7=0,"",IFERROR(IF(ISNUMBER(INDEX(PASTE_ALL,$DF526,$L$7)),INDEX(PASTE_ALL,$DF526,$L$7),TRIM(SUBSTITUTE(SUBSTITUTE(SUBSTITUTE(SUBSTITUTE(INDEX(PASTE_ALL,$DF526,$L$7)," "," "),CHAR(9)," "),CHAR(10)," "),CHAR(13)," "))),"")))</f>
        <v/>
      </c>
      <c r="DP526">
        <f>IF($DM526=0,"",IF($L$8=0,"",IFERROR(IF(ISNUMBER(INDEX(PASTE_ALL,$DF526,$L$8)),INDEX(PASTE_ALL,$DF526,$L$8),TRIM(SUBSTITUTE(SUBSTITUTE(SUBSTITUTE(SUBSTITUTE(INDEX(PASTE_ALL,$DF526,$L$8)," "," "),CHAR(9)," "),CHAR(10)," "),CHAR(13)," "))),"")))</f>
        <v/>
      </c>
      <c r="DQ526">
        <f>IF($DM526=0,"",IF($L$9=0,"",IFERROR(IF(ISNUMBER(INDEX(PASTE_ALL,$DF526,$L$9)),INDEX(PASTE_ALL,$DF526,$L$9),TRIM(SUBSTITUTE(SUBSTITUTE(SUBSTITUTE(SUBSTITUTE(INDEX(PASTE_ALL,$DF526,$L$9)," "," "),CHAR(9)," "),CHAR(10)," "),CHAR(13)," "))),"")))</f>
        <v/>
      </c>
      <c r="DR526">
        <f>IF($DM526=0,"",IF($L$10=0,"",IFERROR(IF(ISNUMBER(INDEX(PASTE_ALL,$DF526,$L$10)),INDEX(PASTE_ALL,$DF526,$L$10),TRIM(SUBSTITUTE(SUBSTITUTE(SUBSTITUTE(SUBSTITUTE(INDEX(PASTE_ALL,$DF526,$L$10)," "," "),CHAR(9)," "),CHAR(10)," "),CHAR(13)," "))),"")))</f>
        <v/>
      </c>
      <c r="DS526">
        <f>IF($DM526=0,"",IF($L$11=0,"",IFERROR(IF(ISNUMBER(INDEX(PASTE_ALL,$DF526,$L$11)),INDEX(PASTE_ALL,$DF526,$L$11),TRIM(SUBSTITUTE(SUBSTITUTE(SUBSTITUTE(SUBSTITUTE(INDEX(PASTE_ALL,$DF526,$L$11)," "," "),CHAR(9)," "),CHAR(10)," "),CHAR(13)," "))),"")))</f>
        <v/>
      </c>
      <c r="DT526">
        <f>IF($DM526=0,"",IF($L$12=0,"",IFERROR(IF(ISNUMBER(INDEX(PASTE_ALL,$DF526,$L$12)),INDEX(PASTE_ALL,$DF526,$L$12),TRIM(SUBSTITUTE(SUBSTITUTE(SUBSTITUTE(SUBSTITUTE(INDEX(PASTE_ALL,$DF526,$L$12)," "," "),CHAR(9)," "),CHAR(10)," "),CHAR(13)," "))),"")))</f>
        <v/>
      </c>
      <c r="DU526">
        <f>IF($DM526=0,"",IF($L$13=0,"",IFERROR(IF(ISNUMBER(INDEX(PASTE_ALL,$DF526,$L$13)),INDEX(PASTE_ALL,$DF526,$L$13),TRIM(SUBSTITUTE(SUBSTITUTE(SUBSTITUTE(SUBSTITUTE(INDEX(PASTE_ALL,$DF526,$L$13)," "," "),CHAR(9)," "),CHAR(10)," "),CHAR(13)," "))),"")))</f>
        <v/>
      </c>
      <c r="DV526">
        <f>IF($DM526=0,"",IF($L$14=0,"",IFERROR(IF(ISNUMBER(INDEX(PASTE_ALL,$DF526,$L$14)),INDEX(PASTE_ALL,$DF526,$L$14),TRIM(SUBSTITUTE(SUBSTITUTE(SUBSTITUTE(SUBSTITUTE(INDEX(PASTE_ALL,$DF526,$L$14)," "," "),CHAR(9)," "),CHAR(10)," "),CHAR(13)," "))),"")))</f>
        <v/>
      </c>
      <c r="DW526">
        <f>IF($DM526=0,"",IF($L$15=0,"",IFERROR(IF(ISNUMBER(INDEX(PASTE_ALL,$DF526,$L$15)),INDEX(PASTE_ALL,$DF526,$L$15),IF(SUMPRODUCT(--ISNUMBER(FIND({"A","B","C","D","E","F","G","H","I","J","K","L","M","N","O","P","Q","R","S","T","U","V","W","X","Y","Z","0","1","2","3","4","5","6","7","8","9"},UPPER(TRIM(SUBSTITUTE(SUBSTITUTE(SUBSTITUTE(SUBSTITUTE(INDEX(PASTE_ALL,$DF526,$L$15)," "," "),CHAR(9)," "),CHAR(10)," "),CHAR(13)," "))))))&gt;0,TRIM(SUBSTITUTE(SUBSTITUTE(SUBSTITUTE(SUBSTITUTE(INDEX(PASTE_ALL,$DF526,$L$15)," "," "),CHAR(9)," "),CHAR(10)," "),CHAR(13)," ")),"")),"")))</f>
        <v/>
      </c>
      <c r="DX526">
        <f>IF($DM526=0,"",IF($L$16=0,"",IFERROR(IF(ISNUMBER(INDEX(PASTE_ALL,$DF526,$L$16)),INDEX(PASTE_ALL,$DF526,$L$16),SUBSTITUTE(SUBSTITUTE(TRIM(SUBSTITUTE(SUBSTITUTE(SUBSTITUTE(SUBSTITUTE(INDEX(PASTE_ALL,$DF526,$L$16)," "," "),CHAR(9)," "),CHAR(10)," "),CHAR(13)," ")),",",""),"%","")),"")))</f>
        <v/>
      </c>
      <c r="DY526">
        <f>IF($DM526=0,"",IFERROR(IF(ISNUMBER($DX526),$DX526,IF($DX526="","",IF(TRIM($DX526)="",0,IF(AND(AND(SUBSTITUTE(SUBSTITUTE(SUBSTITUTE(SUBSTITUTE(SUBSTITUTE(SUBSTITUTE(SUBSTITUTE(SUBSTITUTE(SUBSTITUTE(SUBSTITUTE(SUBSTITUTE(SUBSTITUTE(SUBSTITUTE(SUBSTITUTE(UPPER(TRIM($DX526)),"0",""),"1",""),"2",""),"3",""),"4",""),"5",""),"6",""),"7",""),"8",""),"9",""),".",""),"+",""),"-",""),"E","")="",LEN(SUBSTITUTE(SUBSTITUTE(MID(UPPER(TRIM($DX526)),1+OR(LEFT(UPPER(TRIM($DX526)),1)="+",LEFT(UPPER(TRIM($DX526)),1)="-"),999),"E+","E"),"E-","E"))=LEN(SUBSTITUTE(SUBSTITUTE(SUBSTITUTE(SUBSTITUTE(MID(UPPER(TRIM($DX526)),1+OR(LEFT(UPPER(TRIM($DX526)),1)="+",LEFT(UPPER(TRIM($DX526)),1)="-"),999),"E+","E"),"E-","E"),"+",""),"-","")),LEN(UPPER(TRIM($DX526)))-LEN(SUBSTITUTE(UPPER(TRIM($DX526)),"E",""))&lt;2,LEN(UPPER(TRIM($DX526)))-LEN(SUBSTITUTE(UPPER(TRIM($DX526)),".",""))&lt;2,IFERROR(FIND(".",UPPER(TRIM($DX526))),0)&lt;IFERROR(FIND("E",UPPER(TRIM($DX526))),999)),ISNUMBER(VALUE(TRIM($DX526)))),VALUE(TRIM($DX526)),"")))),""))</f>
        <v/>
      </c>
      <c r="DZ526">
        <f>IF($DM526=0,"",IF($L$17=0,"",IFERROR(IF(ISNUMBER(INDEX(PASTE_ALL,$DF526,$L$17)),INDEX(PASTE_ALL,$DF526,$L$17),SUBSTITUTE(SUBSTITUTE(TRIM(SUBSTITUTE(SUBSTITUTE(SUBSTITUTE(SUBSTITUTE(INDEX(PASTE_ALL,$DF526,$L$17)," "," "),CHAR(9)," "),CHAR(10)," "),CHAR(13)," ")),",",""),"%","")),"")))</f>
        <v/>
      </c>
      <c r="EA526">
        <f>IF($DM526=0,"",IFERROR(IF(ISNUMBER($DZ526),$DZ526,IF($DZ526="","",IF(TRIM($DZ526)="",0,IF(AND(AND(SUBSTITUTE(SUBSTITUTE(SUBSTITUTE(SUBSTITUTE(SUBSTITUTE(SUBSTITUTE(SUBSTITUTE(SUBSTITUTE(SUBSTITUTE(SUBSTITUTE(SUBSTITUTE(SUBSTITUTE(SUBSTITUTE(SUBSTITUTE(UPPER(TRIM($DZ526)),"0",""),"1",""),"2",""),"3",""),"4",""),"5",""),"6",""),"7",""),"8",""),"9",""),".",""),"+",""),"-",""),"E","")="",LEN(SUBSTITUTE(SUBSTITUTE(MID(UPPER(TRIM($DZ526)),1+OR(LEFT(UPPER(TRIM($DZ526)),1)="+",LEFT(UPPER(TRIM($DZ526)),1)="-"),999),"E+","E"),"E-","E"))=LEN(SUBSTITUTE(SUBSTITUTE(SUBSTITUTE(SUBSTITUTE(MID(UPPER(TRIM($DZ526)),1+OR(LEFT(UPPER(TRIM($DZ526)),1)="+",LEFT(UPPER(TRIM($DZ526)),1)="-"),999),"E+","E"),"E-","E"),"+",""),"-","")),LEN(UPPER(TRIM($DZ526)))-LEN(SUBSTITUTE(UPPER(TRIM($DZ526)),"E",""))&lt;2,LEN(UPPER(TRIM($DZ526)))-LEN(SUBSTITUTE(UPPER(TRIM($DZ526)),".",""))&lt;2,IFERROR(FIND(".",UPPER(TRIM($DZ526))),0)&lt;IFERROR(FIND("E",UPPER(TRIM($DZ526))),999)),ISNUMBER(VALUE(TRIM($DZ526)))),VALUE(TRIM($DZ526)),"")))),""))</f>
        <v/>
      </c>
      <c r="EB526">
        <f>IF($DM526=0,"",IF($L$18=0,"",IFERROR(IF(UPPER(TRIM(SUBSTITUTE(SUBSTITUTE(SUBSTITUTE(SUBSTITUTE(INDEX(PASTE_ALL,$DF526,$L$18)," "," "),CHAR(9)," "),CHAR(10)," "),CHAR(13)," ")))="READY","Ready",IF(UPPER(TRIM(SUBSTITUTE(SUBSTITUTE(SUBSTITUTE(SUBSTITUTE(INDEX(PASTE_ALL,$DF526,$L$18)," "," "),CHAR(9)," "),CHAR(10)," "),CHAR(13)," ")))="PM","PM",IF(OR(UPPER(TRIM(SUBSTITUTE(SUBSTITUTE(SUBSTITUTE(SUBSTITUTE(INDEX(PASTE_ALL,$DF526,$L$18)," "," "),CHAR(9)," "),CHAR(10)," "),CHAR(13)," ")))="OT",UPPER(TRIM(SUBSTITUTE(SUBSTITUTE(SUBSTITUTE(SUBSTITUTE(INDEX(PASTE_ALL,$DF526,$L$18)," "," "),CHAR(9)," "),CHAR(10)," "),CHAR(13)," ")))="OVERTIME",UPPER(TRIM(SUBSTITUTE(SUBSTITUTE(SUBSTITUTE(SUBSTITUTE(INDEX(PASTE_ALL,$DF526,$L$18)," "," "),CHAR(9)," "),CHAR(10)," "),CHAR(13)," ")))="TRIAL"),"OT",TRIM(SUBSTITUTE(SUBSTITUTE(SUBSTITUTE(SUBSTITUTE(INDEX(PASTE_ALL,$DF526,$L$18)," "," "),CHAR(9)," "),CHAR(10)," "),CHAR(13)," "))))),"")))</f>
        <v/>
      </c>
      <c r="EC526">
        <f>IF($DM526=0,"",IF($L$19=0,"",IFERROR(IF(ISNUMBER(INDEX(PASTE_ALL,$DF526,$L$19)),INDEX(PASTE_ALL,$DF526,$L$19),TRIM(SUBSTITUTE(SUBSTITUTE(SUBSTITUTE(SUBSTITUTE(INDEX(PASTE_ALL,$DF526,$L$19)," "," "),CHAR(9)," "),CHAR(10)," "),CHAR(13)," "))),"")))</f>
        <v/>
      </c>
      <c r="ED526">
        <f>IF($DM526=0,"",MATCH(1,INDEX(EXACT($DH$5:DH526,$DH526)*$DM$5:DM526,0),0))</f>
        <v/>
      </c>
      <c r="EE526">
        <f>IF($DM526=0,0,IF($ED526=$DE526,1,0))</f>
        <v/>
      </c>
      <c r="EF526">
        <f>EF525+$EE526</f>
        <v/>
      </c>
      <c r="EG526">
        <f>IF($DM526=0,"",INDEX($EF$5:$EF$1003,$ED526))</f>
        <v/>
      </c>
      <c r="EH526">
        <f>IF($DM526=0,"",IF($DO526&lt;&gt;"","",IFERROR(LOOKUP(2,1/(($EG$4:EG525=$EG526)*($DO$4:DO525&lt;&gt;"")),$DO$4:DO525),"")))</f>
        <v/>
      </c>
      <c r="EI526">
        <f>IF($DM526=0,"",IF($DO526&lt;&gt;"",$DO526,$EH526))</f>
        <v/>
      </c>
      <c r="EJ526">
        <f>IF($DM526=0,"",IF($EI526="",0,IF(OR(ISNUMBER($EI526),AND(AND(SUBSTITUTE(SUBSTITUTE(SUBSTITUTE(SUBSTITUTE(SUBSTITUTE(SUBSTITUTE(SUBSTITUTE(SUBSTITUTE(SUBSTITUTE(SUBSTITUTE(SUBSTITUTE(SUBSTITUTE(SUBSTITUTE(SUBSTITUTE(UPPER($EI526),"0",""),"1",""),"2",""),"3",""),"4",""),"5",""),"6",""),"7",""),"8",""),"9",""),".",""),"+",""),"-",""),"E","")="",LEN(SUBSTITUTE(SUBSTITUTE(MID(UPPER($EI526),1+OR(LEFT(UPPER($EI526),1)="+",LEFT(UPPER($EI526),1)="-"),999),"E+","E"),"E-","E"))=LEN(SUBSTITUTE(SUBSTITUTE(SUBSTITUTE(SUBSTITUTE(MID(UPPER($EI526),1+OR(LEFT(UPPER($EI526),1)="+",LEFT(UPPER($EI526),1)="-"),999),"E+","E"),"E-","E"),"+",""),"-","")),LEN(UPPER($EI526))-LEN(SUBSTITUTE(UPPER($EI526),"E",""))&lt;2,LEN(UPPER($EI526))-LEN(SUBSTITUTE(UPPER($EI526),".",""))&lt;2,IFERROR(FIND(".",UPPER($EI526)),0)&lt;IFERROR(FIND("E",UPPER($EI526)),999)),ISNUMBER(VALUE($EI526)))),1,2)))</f>
        <v/>
      </c>
      <c r="EK526">
        <f>IF($DM526=0,"",IF($EJ526=1,IF(ISNUMBER($EI526),$EI526,VALUE($EI526)),IF($EJ526=2,$DE526,0)))</f>
        <v/>
      </c>
      <c r="EL526">
        <f>IF($DM526=0,"",COUNTIF($EG$5:$EG$1003,"&lt;"&amp;$EG526)+SUMPRODUCT(($EG$5:$EG$1003=$EG526)*(($EJ$5:$EJ$1003&lt;$EJ526)+($EJ$5:$EJ$1003=$EJ526)*(($EK$5:$EK$1003&lt;$EK526)+($EK$5:$EK$1003=$EK526)*($DE$5:$DE$1003&lt;$DE526))))+1)</f>
        <v/>
      </c>
      <c r="EM526">
        <f>IF($DM526=0,"",$EL526+$EG526-1)</f>
        <v/>
      </c>
      <c r="EN526">
        <f>IF($DM526=0,0,IFERROR(MATCH(1,INDEX(--(TRIM(SUBSTITUTE(SUBSTITUTE(SUBSTITUTE(SUBSTITUTE(LINES_NAME&amp;""," "," "),CHAR(9)," "),CHAR(10)," "),CHAR(13)," "))=$DH526),0),0),0))</f>
        <v/>
      </c>
      <c r="EO526">
        <f>IF($EN526=0,0,IF(OR(UPPER(TRIM(INDEX(LINES_SCHEDULED,$EN526)&amp;""))="YES",UPPER(TRIM(INDEX(LINES_SCHEDULED,$EN526)&amp;""))="Y",UPPER(TRIM(INDEX(LINES_SCHEDULED,$EN526)&amp;""))="X"),1,0))</f>
        <v/>
      </c>
      <c r="EP526">
        <f>IF($DM526=0,"",IF(COUNTIFS($EG$5:$EG$1003,$EG526,$EB$5:$EB$1003,"Ready")&gt;0,"READY",IF(COUNTIFS($EG$5:$EG$1003,$EG526,$EB$5:$EB$1003,"PM")&gt;0,"PM",IF(COUNTIFS($EG$5:$EG$1003,$EG526,$EB$5:$EB$1003,"OT")&gt;0,"OT",""))))</f>
        <v/>
      </c>
      <c r="EQ526">
        <f>IF($EN526=0,"",UPPER(TRIM(INDEX(LINES_STATUS,$EN526)&amp;"")))</f>
        <v/>
      </c>
      <c r="ER526">
        <f>IF($DM526=0,"",IF(OR($EQ526="READY",$EQ526="PM",$EQ526="OT"),$EQ526,$EP526))</f>
        <v/>
      </c>
      <c r="ES526">
        <f>IF($DM526=0,"",IF(AND($DV526&lt;&gt;"",UPPER($DV526)&lt;&gt;"N"),"allergen",IF(ISNUMBER(SEARCH("oil",$DQ526)),"oil",IF(OR(EXACT($DS526,"A662"),EXACT($DS526,"A624")),"bulk",""))))</f>
        <v/>
      </c>
      <c r="ET526">
        <f>IF($DM526=0,"",IF(OR($EA526="",$EA526=0),"",$EA526/100))</f>
        <v/>
      </c>
      <c r="EU526">
        <f>IF(OR($ET526="",$DY526=""),"",INT($DY526*(1-$ET526)+0.5))</f>
        <v/>
      </c>
      <c r="EW526" t="n">
        <v>522</v>
      </c>
      <c r="EX526">
        <f>IFERROR(MATCH($EW526,$EM$5:$EM$1003,0),0)</f>
        <v/>
      </c>
      <c r="EY526">
        <f>IF($EW526&gt;$B$12,"",IF($EX526&gt;0,"row","spacer"))</f>
        <v/>
      </c>
      <c r="EZ526">
        <f>IF(AND($EY526="row",$EY525&lt;&gt;"row"),1,0)</f>
        <v/>
      </c>
      <c r="FA526">
        <f>IF(AND($EY526="row",$EY527&lt;&gt;"row"),1,0)</f>
        <v/>
      </c>
      <c r="FB526">
        <f>IF($EZ526=1,IFERROR(IF(ISNUMBER(INDEX(PASTE_ALL,INDEX($DF$5:$DF$1003,$EX526),$B$37)),INDEX(PASTE_ALL,INDEX($DF$5:$DF$1003,$EX526),$B$37),INDEX($DH$5:$DH$1003,$EX526)),INDEX($DH$5:$DH$1003,$EX526)),"")</f>
        <v/>
      </c>
      <c r="FC526">
        <f>IF($EY526="row",INDEX($ER$5:$ER$1003,$EX526),"")</f>
        <v/>
      </c>
      <c r="FD526">
        <f>IF($EY526="row",INDEX($DN$5:$DN$1003,$EX526),"")</f>
        <v/>
      </c>
      <c r="FE526">
        <f>IF($EY526="row",INDEX($DO$5:$DO$1003,$EX526),"")</f>
        <v/>
      </c>
      <c r="FF526">
        <f>IF($EY526="row",INDEX($DP$5:$DP$1003,$EX526),"")</f>
        <v/>
      </c>
      <c r="FG526">
        <f>IF($EY526="row",INDEX($DQ$5:$DQ$1003,$EX526),"")</f>
        <v/>
      </c>
      <c r="FH526">
        <f>IF($EY526="row",INDEX($DR$5:$DR$1003,$EX526),"")</f>
        <v/>
      </c>
      <c r="FI526">
        <f>IF($EY526="row",INDEX($DS$5:$DS$1003,$EX526),"")</f>
        <v/>
      </c>
      <c r="FJ526">
        <f>IF($EY526="row",INDEX($DT$5:$DT$1003,$EX526),"")</f>
        <v/>
      </c>
      <c r="FK526">
        <f>IF($EY526="row",INDEX($DU$5:$DU$1003,$EX526),"")</f>
        <v/>
      </c>
      <c r="FL526">
        <f>IF($EY526="row",INDEX($DV$5:$DV$1003,$EX526),"")</f>
        <v/>
      </c>
      <c r="FM526">
        <f>IF($EY526="row",INDEX($DW$5:$DW$1003,$EX526),"")</f>
        <v/>
      </c>
      <c r="FN526">
        <f>IF($EY526="row",INDEX($DY$5:$DY$1003,$EX526),"")</f>
        <v/>
      </c>
      <c r="FO526">
        <f>IF($EY526="row",INDEX($EA$5:$EA$1003,$EX526),"")</f>
        <v/>
      </c>
      <c r="FP526">
        <f>IF($EY526="row",INDEX($EC$5:$EC$1003,$EX526),"")</f>
        <v/>
      </c>
      <c r="FQ526">
        <f>IF($EY526="row",INDEX($ET$5:$ET$1003,$EX526),"")</f>
        <v/>
      </c>
      <c r="FR526">
        <f>IF($EY526="row",INDEX($EU$5:$EU$1003,$EX526),"")</f>
        <v/>
      </c>
      <c r="FS526">
        <f>IF(AND($EY526="row",$EY525="row"),IF(OR(INDEX($DT$5:$DT$1003,$EX525)="",INDEX($DT$5:$DT$1003,$EX526)=""),"",IF(NOT(EXACT(INDEX($DT$5:$DT$1003,$EX525),INDEX($DT$5:$DT$1003,$EX526))),"S4",IF(NOT(EXACT(INDEX($DS$5:$DS$1003,$EX525),INDEX($DS$5:$DS$1003,$EX526))),"S3",IF(NOT(EXACT(INDEX($DR$5:$DR$1003,$EX525),INDEX($DR$5:$DR$1003,$EX526))),"S1 Count Change","S1")))),"")</f>
        <v/>
      </c>
      <c r="FT526">
        <f>IF($EY526="row",INDEX($ES$5:$ES$1003,$EX526),"")</f>
        <v/>
      </c>
      <c r="FU526">
        <f>IF($EY526="row",INDEX($EO$5:$EO$1003,$EX526),0)</f>
        <v/>
      </c>
      <c r="FV526">
        <f>IF($FS526="S1 Count Change",1,0)</f>
        <v/>
      </c>
    </row>
    <row r="527">
      <c r="DA527" t="n">
        <v>523</v>
      </c>
      <c r="DB527">
        <f>IF($B$37=0,"",IFERROR(TRIM(SUBSTITUTE(SUBSTITUTE(SUBSTITUTE(SUBSTITUTE(INDEX(PASTE_ALL,523,$B$37)," "," "),CHAR(9)," "),CHAR(10)," "),CHAR(13)," ")),""))</f>
        <v/>
      </c>
      <c r="DC527">
        <f>IF(AND(523&gt;HEADER_ROW,UPPER(DB527)="LEGEND"),1,0)</f>
        <v/>
      </c>
      <c r="DE527" t="n">
        <v>523</v>
      </c>
      <c r="DF527">
        <f>HEADER_ROW+$DE527</f>
        <v/>
      </c>
      <c r="DG527">
        <f>IF(AND($DF527&lt;=1000,$DF527&lt;$B$8),1,0)</f>
        <v/>
      </c>
      <c r="DH527">
        <f>IF($DG527=1,IFERROR(INDEX($DB$5:$DB$1004,$DF527),""),"")</f>
        <v/>
      </c>
      <c r="DI527">
        <f>IF(AND($DG527=1,$DH527&lt;&gt;""),IFERROR(SUBSTITUTE(SUBSTITUTE(TRIM(SUBSTITUTE(SUBSTITUTE(SUBSTITUTE(SUBSTITUTE(IFERROR(INDEX(PASTE_ALL,$DF527,1)&amp;"","")&amp;"␟"&amp;IFERROR(INDEX(PASTE_ALL,$DF527,2)&amp;"","")&amp;"␟"&amp;IFERROR(INDEX(PASTE_ALL,$DF527,3)&amp;"","")&amp;"␟"&amp;IFERROR(INDEX(PASTE_ALL,$DF527,4)&amp;"","")&amp;"␟"&amp;IFERROR(INDEX(PASTE_ALL,$DF527,5)&amp;"","")&amp;"␟"&amp;IFERROR(INDEX(PASTE_ALL,$DF527,6)&amp;"","")&amp;"␟"&amp;IFERROR(INDEX(PASTE_ALL,$DF527,7)&amp;"","")&amp;"␟"&amp;IFERROR(INDEX(PASTE_ALL,$DF527,8)&amp;"","")&amp;"␟"&amp;IFERROR(INDEX(PASTE_ALL,$DF527,9)&amp;"","")&amp;"␟"&amp;IFERROR(INDEX(PASTE_ALL,$DF527,10)&amp;"","")&amp;"␟"&amp;IFERROR(INDEX(PASTE_ALL,$DF527,11)&amp;"","")&amp;"␟"&amp;IFERROR(INDEX(PASTE_ALL,$DF527,12)&amp;"","")&amp;"␟"&amp;IFERROR(INDEX(PASTE_ALL,$DF527,13)&amp;"","")&amp;"␟"&amp;IFERROR(INDEX(PASTE_ALL,$DF527,14)&amp;"","")&amp;"␟"&amp;IFERROR(INDEX(PASTE_ALL,$DF527,15)&amp;"","")&amp;"␟"&amp;IFERROR(INDEX(PASTE_ALL,$DF527,16)&amp;"","")&amp;"␟"&amp;IFERROR(INDEX(PASTE_ALL,$DF527,17)&amp;"","")&amp;"␟"&amp;IFERROR(INDEX(PASTE_ALL,$DF527,18)&amp;"","")&amp;"␟"&amp;IFERROR(INDEX(PASTE_ALL,$DF527,19)&amp;"","")&amp;"␟"&amp;IFERROR(INDEX(PASTE_ALL,$DF527,20)&amp;"","")&amp;"␟"&amp;IFERROR(INDEX(PASTE_ALL,$DF527,21)&amp;"","")&amp;"␟"&amp;IFERROR(INDEX(PASTE_ALL,$DF527,22)&amp;"","")&amp;"␟"&amp;IFERROR(INDEX(PASTE_ALL,$DF527,23)&amp;"","")&amp;"␟"&amp;IFERROR(INDEX(PASTE_ALL,$DF527,24)&amp;"","")&amp;"␟"&amp;IFERROR(INDEX(PASTE_ALL,$DF527,25)&amp;"","")&amp;"␟"&amp;IFERROR(INDEX(PASTE_ALL,$DF527,26)&amp;"","")&amp;"␟"&amp;IFERROR(INDEX(PASTE_ALL,$DF527,27)&amp;"","")&amp;"␟"&amp;IFERROR(INDEX(PASTE_ALL,$DF527,28)&amp;"","")&amp;"␟"&amp;IFERROR(INDEX(PASTE_ALL,$DF527,29)&amp;"","")&amp;"␟"&amp;IFERROR(INDEX(PASTE_ALL,$DF527,30)&amp;"","")&amp;"␟"&amp;IFERROR(INDEX(PASTE_ALL,$DF527,31)&amp;"","")&amp;"␟"&amp;IFERROR(INDEX(PASTE_ALL,$DF527,32)&amp;"","")&amp;"␟"&amp;IFERROR(INDEX(PASTE_ALL,$DF527,33)&amp;"","")&amp;"␟"&amp;IFERROR(INDEX(PASTE_ALL,$DF527,34)&amp;"","")&amp;"␟"&amp;IFERROR(INDEX(PASTE_ALL,$DF527,35)&amp;"","")&amp;"␟"&amp;IFERROR(INDEX(PASTE_ALL,$DF527,36)&amp;"","")&amp;"␟"&amp;IFERROR(INDEX(PASTE_ALL,$DF527,37)&amp;"","")&amp;"␟"&amp;IFERROR(INDEX(PASTE_ALL,$DF527,38)&amp;"","")&amp;"␟"&amp;IFERROR(INDEX(PASTE_ALL,$DF527,39)&amp;"","")&amp;"␟"&amp;IFERROR(INDEX(PASTE_ALL,$DF527,40)&amp;"","")&amp;"␟"&amp;IFERROR(INDEX(PASTE_ALL,$DF527,41)&amp;"","")&amp;"␟"&amp;IFERROR(INDEX(PASTE_ALL,$DF527,42)&amp;"","")&amp;"␟"&amp;IFERROR(INDEX(PASTE_ALL,$DF527,43)&amp;"","")&amp;"␟"&amp;IFERROR(INDEX(PASTE_ALL,$DF527,44)&amp;"","")&amp;"␟"&amp;IFERROR(INDEX(PASTE_ALL,$DF527,45)&amp;"","")&amp;"␟"&amp;IFERROR(INDEX(PASTE_ALL,$DF527,46)&amp;"","")&amp;"␟"&amp;IFERROR(INDEX(PASTE_ALL,$DF527,47)&amp;"","")&amp;"␟"&amp;IFERROR(INDEX(PASTE_ALL,$DF527,48)&amp;"","")&amp;"␟"&amp;IFERROR(INDEX(PASTE_ALL,$DF527,49)&amp;"","")&amp;"␟"&amp;IFERROR(INDEX(PASTE_ALL,$DF527,50)&amp;"","")&amp;"␟"&amp;IFERROR(INDEX(PASTE_ALL,$DF527,51)&amp;"","")&amp;"␟"&amp;IFERROR(INDEX(PASTE_ALL,$DF527,52)&amp;"","")&amp;"␟"&amp;IFERROR(INDEX(PASTE_ALL,$DF527,53)&amp;"","")&amp;"␟"&amp;IFERROR(INDEX(PASTE_ALL,$DF527,54)&amp;"","")&amp;"␟"&amp;IFERROR(INDEX(PASTE_ALL,$DF527,55)&amp;"","")&amp;"␟"&amp;IFERROR(INDEX(PASTE_ALL,$DF527,56)&amp;"","")&amp;"␟"&amp;IFERROR(INDEX(PASTE_ALL,$DF527,57)&amp;"","")&amp;"␟"&amp;IFERROR(INDEX(PASTE_ALL,$DF527,58)&amp;"","")&amp;"␟"&amp;IFERROR(INDEX(PASTE_ALL,$DF527,59)&amp;"","")&amp;"␟"&amp;IFERROR(INDEX(PASTE_ALL,$DF527,60)&amp;"","")," "," "),CHAR(9)," "),CHAR(10)," "),CHAR(13)," "))," ␟","␟"),"␟ ","␟"),"#"&amp;$DE527),"")</f>
        <v/>
      </c>
      <c r="DJ527">
        <f>IF($DI527="",0,IF(SUMPRODUCT(--EXACT($DI$4:DI526,$DI527))&gt;0,1,0))</f>
        <v/>
      </c>
      <c r="DK527">
        <f>IF(AND($DI527&lt;&gt;"",$DJ527=0),1,0)</f>
        <v/>
      </c>
      <c r="DL527">
        <f>DL526+$DK527</f>
        <v/>
      </c>
      <c r="DM527">
        <f>IF(AND($DK527=1,$DL527&lt;=600),1,0)</f>
        <v/>
      </c>
      <c r="DN527">
        <f>IF($DM527=0,"",IF($L$6=0,"",IFERROR(IF(ISNUMBER(INDEX(PASTE_ALL,$DF527,$L$6)),INDEX(PASTE_ALL,$DF527,$L$6),TRIM(SUBSTITUTE(SUBSTITUTE(SUBSTITUTE(SUBSTITUTE(INDEX(PASTE_ALL,$DF527,$L$6)," "," "),CHAR(9)," "),CHAR(10)," "),CHAR(13)," "))),"")))</f>
        <v/>
      </c>
      <c r="DO527">
        <f>IF($DM527=0,"",IF($L$7=0,"",IFERROR(IF(ISNUMBER(INDEX(PASTE_ALL,$DF527,$L$7)),INDEX(PASTE_ALL,$DF527,$L$7),TRIM(SUBSTITUTE(SUBSTITUTE(SUBSTITUTE(SUBSTITUTE(INDEX(PASTE_ALL,$DF527,$L$7)," "," "),CHAR(9)," "),CHAR(10)," "),CHAR(13)," "))),"")))</f>
        <v/>
      </c>
      <c r="DP527">
        <f>IF($DM527=0,"",IF($L$8=0,"",IFERROR(IF(ISNUMBER(INDEX(PASTE_ALL,$DF527,$L$8)),INDEX(PASTE_ALL,$DF527,$L$8),TRIM(SUBSTITUTE(SUBSTITUTE(SUBSTITUTE(SUBSTITUTE(INDEX(PASTE_ALL,$DF527,$L$8)," "," "),CHAR(9)," "),CHAR(10)," "),CHAR(13)," "))),"")))</f>
        <v/>
      </c>
      <c r="DQ527">
        <f>IF($DM527=0,"",IF($L$9=0,"",IFERROR(IF(ISNUMBER(INDEX(PASTE_ALL,$DF527,$L$9)),INDEX(PASTE_ALL,$DF527,$L$9),TRIM(SUBSTITUTE(SUBSTITUTE(SUBSTITUTE(SUBSTITUTE(INDEX(PASTE_ALL,$DF527,$L$9)," "," "),CHAR(9)," "),CHAR(10)," "),CHAR(13)," "))),"")))</f>
        <v/>
      </c>
      <c r="DR527">
        <f>IF($DM527=0,"",IF($L$10=0,"",IFERROR(IF(ISNUMBER(INDEX(PASTE_ALL,$DF527,$L$10)),INDEX(PASTE_ALL,$DF527,$L$10),TRIM(SUBSTITUTE(SUBSTITUTE(SUBSTITUTE(SUBSTITUTE(INDEX(PASTE_ALL,$DF527,$L$10)," "," "),CHAR(9)," "),CHAR(10)," "),CHAR(13)," "))),"")))</f>
        <v/>
      </c>
      <c r="DS527">
        <f>IF($DM527=0,"",IF($L$11=0,"",IFERROR(IF(ISNUMBER(INDEX(PASTE_ALL,$DF527,$L$11)),INDEX(PASTE_ALL,$DF527,$L$11),TRIM(SUBSTITUTE(SUBSTITUTE(SUBSTITUTE(SUBSTITUTE(INDEX(PASTE_ALL,$DF527,$L$11)," "," "),CHAR(9)," "),CHAR(10)," "),CHAR(13)," "))),"")))</f>
        <v/>
      </c>
      <c r="DT527">
        <f>IF($DM527=0,"",IF($L$12=0,"",IFERROR(IF(ISNUMBER(INDEX(PASTE_ALL,$DF527,$L$12)),INDEX(PASTE_ALL,$DF527,$L$12),TRIM(SUBSTITUTE(SUBSTITUTE(SUBSTITUTE(SUBSTITUTE(INDEX(PASTE_ALL,$DF527,$L$12)," "," "),CHAR(9)," "),CHAR(10)," "),CHAR(13)," "))),"")))</f>
        <v/>
      </c>
      <c r="DU527">
        <f>IF($DM527=0,"",IF($L$13=0,"",IFERROR(IF(ISNUMBER(INDEX(PASTE_ALL,$DF527,$L$13)),INDEX(PASTE_ALL,$DF527,$L$13),TRIM(SUBSTITUTE(SUBSTITUTE(SUBSTITUTE(SUBSTITUTE(INDEX(PASTE_ALL,$DF527,$L$13)," "," "),CHAR(9)," "),CHAR(10)," "),CHAR(13)," "))),"")))</f>
        <v/>
      </c>
      <c r="DV527">
        <f>IF($DM527=0,"",IF($L$14=0,"",IFERROR(IF(ISNUMBER(INDEX(PASTE_ALL,$DF527,$L$14)),INDEX(PASTE_ALL,$DF527,$L$14),TRIM(SUBSTITUTE(SUBSTITUTE(SUBSTITUTE(SUBSTITUTE(INDEX(PASTE_ALL,$DF527,$L$14)," "," "),CHAR(9)," "),CHAR(10)," "),CHAR(13)," "))),"")))</f>
        <v/>
      </c>
      <c r="DW527">
        <f>IF($DM527=0,"",IF($L$15=0,"",IFERROR(IF(ISNUMBER(INDEX(PASTE_ALL,$DF527,$L$15)),INDEX(PASTE_ALL,$DF527,$L$15),IF(SUMPRODUCT(--ISNUMBER(FIND({"A","B","C","D","E","F","G","H","I","J","K","L","M","N","O","P","Q","R","S","T","U","V","W","X","Y","Z","0","1","2","3","4","5","6","7","8","9"},UPPER(TRIM(SUBSTITUTE(SUBSTITUTE(SUBSTITUTE(SUBSTITUTE(INDEX(PASTE_ALL,$DF527,$L$15)," "," "),CHAR(9)," "),CHAR(10)," "),CHAR(13)," "))))))&gt;0,TRIM(SUBSTITUTE(SUBSTITUTE(SUBSTITUTE(SUBSTITUTE(INDEX(PASTE_ALL,$DF527,$L$15)," "," "),CHAR(9)," "),CHAR(10)," "),CHAR(13)," ")),"")),"")))</f>
        <v/>
      </c>
      <c r="DX527">
        <f>IF($DM527=0,"",IF($L$16=0,"",IFERROR(IF(ISNUMBER(INDEX(PASTE_ALL,$DF527,$L$16)),INDEX(PASTE_ALL,$DF527,$L$16),SUBSTITUTE(SUBSTITUTE(TRIM(SUBSTITUTE(SUBSTITUTE(SUBSTITUTE(SUBSTITUTE(INDEX(PASTE_ALL,$DF527,$L$16)," "," "),CHAR(9)," "),CHAR(10)," "),CHAR(13)," ")),",",""),"%","")),"")))</f>
        <v/>
      </c>
      <c r="DY527">
        <f>IF($DM527=0,"",IFERROR(IF(ISNUMBER($DX527),$DX527,IF($DX527="","",IF(TRIM($DX527)="",0,IF(AND(AND(SUBSTITUTE(SUBSTITUTE(SUBSTITUTE(SUBSTITUTE(SUBSTITUTE(SUBSTITUTE(SUBSTITUTE(SUBSTITUTE(SUBSTITUTE(SUBSTITUTE(SUBSTITUTE(SUBSTITUTE(SUBSTITUTE(SUBSTITUTE(UPPER(TRIM($DX527)),"0",""),"1",""),"2",""),"3",""),"4",""),"5",""),"6",""),"7",""),"8",""),"9",""),".",""),"+",""),"-",""),"E","")="",LEN(SUBSTITUTE(SUBSTITUTE(MID(UPPER(TRIM($DX527)),1+OR(LEFT(UPPER(TRIM($DX527)),1)="+",LEFT(UPPER(TRIM($DX527)),1)="-"),999),"E+","E"),"E-","E"))=LEN(SUBSTITUTE(SUBSTITUTE(SUBSTITUTE(SUBSTITUTE(MID(UPPER(TRIM($DX527)),1+OR(LEFT(UPPER(TRIM($DX527)),1)="+",LEFT(UPPER(TRIM($DX527)),1)="-"),999),"E+","E"),"E-","E"),"+",""),"-","")),LEN(UPPER(TRIM($DX527)))-LEN(SUBSTITUTE(UPPER(TRIM($DX527)),"E",""))&lt;2,LEN(UPPER(TRIM($DX527)))-LEN(SUBSTITUTE(UPPER(TRIM($DX527)),".",""))&lt;2,IFERROR(FIND(".",UPPER(TRIM($DX527))),0)&lt;IFERROR(FIND("E",UPPER(TRIM($DX527))),999)),ISNUMBER(VALUE(TRIM($DX527)))),VALUE(TRIM($DX527)),"")))),""))</f>
        <v/>
      </c>
      <c r="DZ527">
        <f>IF($DM527=0,"",IF($L$17=0,"",IFERROR(IF(ISNUMBER(INDEX(PASTE_ALL,$DF527,$L$17)),INDEX(PASTE_ALL,$DF527,$L$17),SUBSTITUTE(SUBSTITUTE(TRIM(SUBSTITUTE(SUBSTITUTE(SUBSTITUTE(SUBSTITUTE(INDEX(PASTE_ALL,$DF527,$L$17)," "," "),CHAR(9)," "),CHAR(10)," "),CHAR(13)," ")),",",""),"%","")),"")))</f>
        <v/>
      </c>
      <c r="EA527">
        <f>IF($DM527=0,"",IFERROR(IF(ISNUMBER($DZ527),$DZ527,IF($DZ527="","",IF(TRIM($DZ527)="",0,IF(AND(AND(SUBSTITUTE(SUBSTITUTE(SUBSTITUTE(SUBSTITUTE(SUBSTITUTE(SUBSTITUTE(SUBSTITUTE(SUBSTITUTE(SUBSTITUTE(SUBSTITUTE(SUBSTITUTE(SUBSTITUTE(SUBSTITUTE(SUBSTITUTE(UPPER(TRIM($DZ527)),"0",""),"1",""),"2",""),"3",""),"4",""),"5",""),"6",""),"7",""),"8",""),"9",""),".",""),"+",""),"-",""),"E","")="",LEN(SUBSTITUTE(SUBSTITUTE(MID(UPPER(TRIM($DZ527)),1+OR(LEFT(UPPER(TRIM($DZ527)),1)="+",LEFT(UPPER(TRIM($DZ527)),1)="-"),999),"E+","E"),"E-","E"))=LEN(SUBSTITUTE(SUBSTITUTE(SUBSTITUTE(SUBSTITUTE(MID(UPPER(TRIM($DZ527)),1+OR(LEFT(UPPER(TRIM($DZ527)),1)="+",LEFT(UPPER(TRIM($DZ527)),1)="-"),999),"E+","E"),"E-","E"),"+",""),"-","")),LEN(UPPER(TRIM($DZ527)))-LEN(SUBSTITUTE(UPPER(TRIM($DZ527)),"E",""))&lt;2,LEN(UPPER(TRIM($DZ527)))-LEN(SUBSTITUTE(UPPER(TRIM($DZ527)),".",""))&lt;2,IFERROR(FIND(".",UPPER(TRIM($DZ527))),0)&lt;IFERROR(FIND("E",UPPER(TRIM($DZ527))),999)),ISNUMBER(VALUE(TRIM($DZ527)))),VALUE(TRIM($DZ527)),"")))),""))</f>
        <v/>
      </c>
      <c r="EB527">
        <f>IF($DM527=0,"",IF($L$18=0,"",IFERROR(IF(UPPER(TRIM(SUBSTITUTE(SUBSTITUTE(SUBSTITUTE(SUBSTITUTE(INDEX(PASTE_ALL,$DF527,$L$18)," "," "),CHAR(9)," "),CHAR(10)," "),CHAR(13)," ")))="READY","Ready",IF(UPPER(TRIM(SUBSTITUTE(SUBSTITUTE(SUBSTITUTE(SUBSTITUTE(INDEX(PASTE_ALL,$DF527,$L$18)," "," "),CHAR(9)," "),CHAR(10)," "),CHAR(13)," ")))="PM","PM",IF(OR(UPPER(TRIM(SUBSTITUTE(SUBSTITUTE(SUBSTITUTE(SUBSTITUTE(INDEX(PASTE_ALL,$DF527,$L$18)," "," "),CHAR(9)," "),CHAR(10)," "),CHAR(13)," ")))="OT",UPPER(TRIM(SUBSTITUTE(SUBSTITUTE(SUBSTITUTE(SUBSTITUTE(INDEX(PASTE_ALL,$DF527,$L$18)," "," "),CHAR(9)," "),CHAR(10)," "),CHAR(13)," ")))="OVERTIME",UPPER(TRIM(SUBSTITUTE(SUBSTITUTE(SUBSTITUTE(SUBSTITUTE(INDEX(PASTE_ALL,$DF527,$L$18)," "," "),CHAR(9)," "),CHAR(10)," "),CHAR(13)," ")))="TRIAL"),"OT",TRIM(SUBSTITUTE(SUBSTITUTE(SUBSTITUTE(SUBSTITUTE(INDEX(PASTE_ALL,$DF527,$L$18)," "," "),CHAR(9)," "),CHAR(10)," "),CHAR(13)," "))))),"")))</f>
        <v/>
      </c>
      <c r="EC527">
        <f>IF($DM527=0,"",IF($L$19=0,"",IFERROR(IF(ISNUMBER(INDEX(PASTE_ALL,$DF527,$L$19)),INDEX(PASTE_ALL,$DF527,$L$19),TRIM(SUBSTITUTE(SUBSTITUTE(SUBSTITUTE(SUBSTITUTE(INDEX(PASTE_ALL,$DF527,$L$19)," "," "),CHAR(9)," "),CHAR(10)," "),CHAR(13)," "))),"")))</f>
        <v/>
      </c>
      <c r="ED527">
        <f>IF($DM527=0,"",MATCH(1,INDEX(EXACT($DH$5:DH527,$DH527)*$DM$5:DM527,0),0))</f>
        <v/>
      </c>
      <c r="EE527">
        <f>IF($DM527=0,0,IF($ED527=$DE527,1,0))</f>
        <v/>
      </c>
      <c r="EF527">
        <f>EF526+$EE527</f>
        <v/>
      </c>
      <c r="EG527">
        <f>IF($DM527=0,"",INDEX($EF$5:$EF$1003,$ED527))</f>
        <v/>
      </c>
      <c r="EH527">
        <f>IF($DM527=0,"",IF($DO527&lt;&gt;"","",IFERROR(LOOKUP(2,1/(($EG$4:EG526=$EG527)*($DO$4:DO526&lt;&gt;"")),$DO$4:DO526),"")))</f>
        <v/>
      </c>
      <c r="EI527">
        <f>IF($DM527=0,"",IF($DO527&lt;&gt;"",$DO527,$EH527))</f>
        <v/>
      </c>
      <c r="EJ527">
        <f>IF($DM527=0,"",IF($EI527="",0,IF(OR(ISNUMBER($EI527),AND(AND(SUBSTITUTE(SUBSTITUTE(SUBSTITUTE(SUBSTITUTE(SUBSTITUTE(SUBSTITUTE(SUBSTITUTE(SUBSTITUTE(SUBSTITUTE(SUBSTITUTE(SUBSTITUTE(SUBSTITUTE(SUBSTITUTE(SUBSTITUTE(UPPER($EI527),"0",""),"1",""),"2",""),"3",""),"4",""),"5",""),"6",""),"7",""),"8",""),"9",""),".",""),"+",""),"-",""),"E","")="",LEN(SUBSTITUTE(SUBSTITUTE(MID(UPPER($EI527),1+OR(LEFT(UPPER($EI527),1)="+",LEFT(UPPER($EI527),1)="-"),999),"E+","E"),"E-","E"))=LEN(SUBSTITUTE(SUBSTITUTE(SUBSTITUTE(SUBSTITUTE(MID(UPPER($EI527),1+OR(LEFT(UPPER($EI527),1)="+",LEFT(UPPER($EI527),1)="-"),999),"E+","E"),"E-","E"),"+",""),"-","")),LEN(UPPER($EI527))-LEN(SUBSTITUTE(UPPER($EI527),"E",""))&lt;2,LEN(UPPER($EI527))-LEN(SUBSTITUTE(UPPER($EI527),".",""))&lt;2,IFERROR(FIND(".",UPPER($EI527)),0)&lt;IFERROR(FIND("E",UPPER($EI527)),999)),ISNUMBER(VALUE($EI527)))),1,2)))</f>
        <v/>
      </c>
      <c r="EK527">
        <f>IF($DM527=0,"",IF($EJ527=1,IF(ISNUMBER($EI527),$EI527,VALUE($EI527)),IF($EJ527=2,$DE527,0)))</f>
        <v/>
      </c>
      <c r="EL527">
        <f>IF($DM527=0,"",COUNTIF($EG$5:$EG$1003,"&lt;"&amp;$EG527)+SUMPRODUCT(($EG$5:$EG$1003=$EG527)*(($EJ$5:$EJ$1003&lt;$EJ527)+($EJ$5:$EJ$1003=$EJ527)*(($EK$5:$EK$1003&lt;$EK527)+($EK$5:$EK$1003=$EK527)*($DE$5:$DE$1003&lt;$DE527))))+1)</f>
        <v/>
      </c>
      <c r="EM527">
        <f>IF($DM527=0,"",$EL527+$EG527-1)</f>
        <v/>
      </c>
      <c r="EN527">
        <f>IF($DM527=0,0,IFERROR(MATCH(1,INDEX(--(TRIM(SUBSTITUTE(SUBSTITUTE(SUBSTITUTE(SUBSTITUTE(LINES_NAME&amp;""," "," "),CHAR(9)," "),CHAR(10)," "),CHAR(13)," "))=$DH527),0),0),0))</f>
        <v/>
      </c>
      <c r="EO527">
        <f>IF($EN527=0,0,IF(OR(UPPER(TRIM(INDEX(LINES_SCHEDULED,$EN527)&amp;""))="YES",UPPER(TRIM(INDEX(LINES_SCHEDULED,$EN527)&amp;""))="Y",UPPER(TRIM(INDEX(LINES_SCHEDULED,$EN527)&amp;""))="X"),1,0))</f>
        <v/>
      </c>
      <c r="EP527">
        <f>IF($DM527=0,"",IF(COUNTIFS($EG$5:$EG$1003,$EG527,$EB$5:$EB$1003,"Ready")&gt;0,"READY",IF(COUNTIFS($EG$5:$EG$1003,$EG527,$EB$5:$EB$1003,"PM")&gt;0,"PM",IF(COUNTIFS($EG$5:$EG$1003,$EG527,$EB$5:$EB$1003,"OT")&gt;0,"OT",""))))</f>
        <v/>
      </c>
      <c r="EQ527">
        <f>IF($EN527=0,"",UPPER(TRIM(INDEX(LINES_STATUS,$EN527)&amp;"")))</f>
        <v/>
      </c>
      <c r="ER527">
        <f>IF($DM527=0,"",IF(OR($EQ527="READY",$EQ527="PM",$EQ527="OT"),$EQ527,$EP527))</f>
        <v/>
      </c>
      <c r="ES527">
        <f>IF($DM527=0,"",IF(AND($DV527&lt;&gt;"",UPPER($DV527)&lt;&gt;"N"),"allergen",IF(ISNUMBER(SEARCH("oil",$DQ527)),"oil",IF(OR(EXACT($DS527,"A662"),EXACT($DS527,"A624")),"bulk",""))))</f>
        <v/>
      </c>
      <c r="ET527">
        <f>IF($DM527=0,"",IF(OR($EA527="",$EA527=0),"",$EA527/100))</f>
        <v/>
      </c>
      <c r="EU527">
        <f>IF(OR($ET527="",$DY527=""),"",INT($DY527*(1-$ET527)+0.5))</f>
        <v/>
      </c>
      <c r="EW527" t="n">
        <v>523</v>
      </c>
      <c r="EX527">
        <f>IFERROR(MATCH($EW527,$EM$5:$EM$1003,0),0)</f>
        <v/>
      </c>
      <c r="EY527">
        <f>IF($EW527&gt;$B$12,"",IF($EX527&gt;0,"row","spacer"))</f>
        <v/>
      </c>
      <c r="EZ527">
        <f>IF(AND($EY527="row",$EY526&lt;&gt;"row"),1,0)</f>
        <v/>
      </c>
      <c r="FA527">
        <f>IF(AND($EY527="row",$EY528&lt;&gt;"row"),1,0)</f>
        <v/>
      </c>
      <c r="FB527">
        <f>IF($EZ527=1,IFERROR(IF(ISNUMBER(INDEX(PASTE_ALL,INDEX($DF$5:$DF$1003,$EX527),$B$37)),INDEX(PASTE_ALL,INDEX($DF$5:$DF$1003,$EX527),$B$37),INDEX($DH$5:$DH$1003,$EX527)),INDEX($DH$5:$DH$1003,$EX527)),"")</f>
        <v/>
      </c>
      <c r="FC527">
        <f>IF($EY527="row",INDEX($ER$5:$ER$1003,$EX527),"")</f>
        <v/>
      </c>
      <c r="FD527">
        <f>IF($EY527="row",INDEX($DN$5:$DN$1003,$EX527),"")</f>
        <v/>
      </c>
      <c r="FE527">
        <f>IF($EY527="row",INDEX($DO$5:$DO$1003,$EX527),"")</f>
        <v/>
      </c>
      <c r="FF527">
        <f>IF($EY527="row",INDEX($DP$5:$DP$1003,$EX527),"")</f>
        <v/>
      </c>
      <c r="FG527">
        <f>IF($EY527="row",INDEX($DQ$5:$DQ$1003,$EX527),"")</f>
        <v/>
      </c>
      <c r="FH527">
        <f>IF($EY527="row",INDEX($DR$5:$DR$1003,$EX527),"")</f>
        <v/>
      </c>
      <c r="FI527">
        <f>IF($EY527="row",INDEX($DS$5:$DS$1003,$EX527),"")</f>
        <v/>
      </c>
      <c r="FJ527">
        <f>IF($EY527="row",INDEX($DT$5:$DT$1003,$EX527),"")</f>
        <v/>
      </c>
      <c r="FK527">
        <f>IF($EY527="row",INDEX($DU$5:$DU$1003,$EX527),"")</f>
        <v/>
      </c>
      <c r="FL527">
        <f>IF($EY527="row",INDEX($DV$5:$DV$1003,$EX527),"")</f>
        <v/>
      </c>
      <c r="FM527">
        <f>IF($EY527="row",INDEX($DW$5:$DW$1003,$EX527),"")</f>
        <v/>
      </c>
      <c r="FN527">
        <f>IF($EY527="row",INDEX($DY$5:$DY$1003,$EX527),"")</f>
        <v/>
      </c>
      <c r="FO527">
        <f>IF($EY527="row",INDEX($EA$5:$EA$1003,$EX527),"")</f>
        <v/>
      </c>
      <c r="FP527">
        <f>IF($EY527="row",INDEX($EC$5:$EC$1003,$EX527),"")</f>
        <v/>
      </c>
      <c r="FQ527">
        <f>IF($EY527="row",INDEX($ET$5:$ET$1003,$EX527),"")</f>
        <v/>
      </c>
      <c r="FR527">
        <f>IF($EY527="row",INDEX($EU$5:$EU$1003,$EX527),"")</f>
        <v/>
      </c>
      <c r="FS527">
        <f>IF(AND($EY527="row",$EY526="row"),IF(OR(INDEX($DT$5:$DT$1003,$EX526)="",INDEX($DT$5:$DT$1003,$EX527)=""),"",IF(NOT(EXACT(INDEX($DT$5:$DT$1003,$EX526),INDEX($DT$5:$DT$1003,$EX527))),"S4",IF(NOT(EXACT(INDEX($DS$5:$DS$1003,$EX526),INDEX($DS$5:$DS$1003,$EX527))),"S3",IF(NOT(EXACT(INDEX($DR$5:$DR$1003,$EX526),INDEX($DR$5:$DR$1003,$EX527))),"S1 Count Change","S1")))),"")</f>
        <v/>
      </c>
      <c r="FT527">
        <f>IF($EY527="row",INDEX($ES$5:$ES$1003,$EX527),"")</f>
        <v/>
      </c>
      <c r="FU527">
        <f>IF($EY527="row",INDEX($EO$5:$EO$1003,$EX527),0)</f>
        <v/>
      </c>
      <c r="FV527">
        <f>IF($FS527="S1 Count Change",1,0)</f>
        <v/>
      </c>
    </row>
    <row r="528">
      <c r="DA528" t="n">
        <v>524</v>
      </c>
      <c r="DB528">
        <f>IF($B$37=0,"",IFERROR(TRIM(SUBSTITUTE(SUBSTITUTE(SUBSTITUTE(SUBSTITUTE(INDEX(PASTE_ALL,524,$B$37)," "," "),CHAR(9)," "),CHAR(10)," "),CHAR(13)," ")),""))</f>
        <v/>
      </c>
      <c r="DC528">
        <f>IF(AND(524&gt;HEADER_ROW,UPPER(DB528)="LEGEND"),1,0)</f>
        <v/>
      </c>
      <c r="DE528" t="n">
        <v>524</v>
      </c>
      <c r="DF528">
        <f>HEADER_ROW+$DE528</f>
        <v/>
      </c>
      <c r="DG528">
        <f>IF(AND($DF528&lt;=1000,$DF528&lt;$B$8),1,0)</f>
        <v/>
      </c>
      <c r="DH528">
        <f>IF($DG528=1,IFERROR(INDEX($DB$5:$DB$1004,$DF528),""),"")</f>
        <v/>
      </c>
      <c r="DI528">
        <f>IF(AND($DG528=1,$DH528&lt;&gt;""),IFERROR(SUBSTITUTE(SUBSTITUTE(TRIM(SUBSTITUTE(SUBSTITUTE(SUBSTITUTE(SUBSTITUTE(IFERROR(INDEX(PASTE_ALL,$DF528,1)&amp;"","")&amp;"␟"&amp;IFERROR(INDEX(PASTE_ALL,$DF528,2)&amp;"","")&amp;"␟"&amp;IFERROR(INDEX(PASTE_ALL,$DF528,3)&amp;"","")&amp;"␟"&amp;IFERROR(INDEX(PASTE_ALL,$DF528,4)&amp;"","")&amp;"␟"&amp;IFERROR(INDEX(PASTE_ALL,$DF528,5)&amp;"","")&amp;"␟"&amp;IFERROR(INDEX(PASTE_ALL,$DF528,6)&amp;"","")&amp;"␟"&amp;IFERROR(INDEX(PASTE_ALL,$DF528,7)&amp;"","")&amp;"␟"&amp;IFERROR(INDEX(PASTE_ALL,$DF528,8)&amp;"","")&amp;"␟"&amp;IFERROR(INDEX(PASTE_ALL,$DF528,9)&amp;"","")&amp;"␟"&amp;IFERROR(INDEX(PASTE_ALL,$DF528,10)&amp;"","")&amp;"␟"&amp;IFERROR(INDEX(PASTE_ALL,$DF528,11)&amp;"","")&amp;"␟"&amp;IFERROR(INDEX(PASTE_ALL,$DF528,12)&amp;"","")&amp;"␟"&amp;IFERROR(INDEX(PASTE_ALL,$DF528,13)&amp;"","")&amp;"␟"&amp;IFERROR(INDEX(PASTE_ALL,$DF528,14)&amp;"","")&amp;"␟"&amp;IFERROR(INDEX(PASTE_ALL,$DF528,15)&amp;"","")&amp;"␟"&amp;IFERROR(INDEX(PASTE_ALL,$DF528,16)&amp;"","")&amp;"␟"&amp;IFERROR(INDEX(PASTE_ALL,$DF528,17)&amp;"","")&amp;"␟"&amp;IFERROR(INDEX(PASTE_ALL,$DF528,18)&amp;"","")&amp;"␟"&amp;IFERROR(INDEX(PASTE_ALL,$DF528,19)&amp;"","")&amp;"␟"&amp;IFERROR(INDEX(PASTE_ALL,$DF528,20)&amp;"","")&amp;"␟"&amp;IFERROR(INDEX(PASTE_ALL,$DF528,21)&amp;"","")&amp;"␟"&amp;IFERROR(INDEX(PASTE_ALL,$DF528,22)&amp;"","")&amp;"␟"&amp;IFERROR(INDEX(PASTE_ALL,$DF528,23)&amp;"","")&amp;"␟"&amp;IFERROR(INDEX(PASTE_ALL,$DF528,24)&amp;"","")&amp;"␟"&amp;IFERROR(INDEX(PASTE_ALL,$DF528,25)&amp;"","")&amp;"␟"&amp;IFERROR(INDEX(PASTE_ALL,$DF528,26)&amp;"","")&amp;"␟"&amp;IFERROR(INDEX(PASTE_ALL,$DF528,27)&amp;"","")&amp;"␟"&amp;IFERROR(INDEX(PASTE_ALL,$DF528,28)&amp;"","")&amp;"␟"&amp;IFERROR(INDEX(PASTE_ALL,$DF528,29)&amp;"","")&amp;"␟"&amp;IFERROR(INDEX(PASTE_ALL,$DF528,30)&amp;"","")&amp;"␟"&amp;IFERROR(INDEX(PASTE_ALL,$DF528,31)&amp;"","")&amp;"␟"&amp;IFERROR(INDEX(PASTE_ALL,$DF528,32)&amp;"","")&amp;"␟"&amp;IFERROR(INDEX(PASTE_ALL,$DF528,33)&amp;"","")&amp;"␟"&amp;IFERROR(INDEX(PASTE_ALL,$DF528,34)&amp;"","")&amp;"␟"&amp;IFERROR(INDEX(PASTE_ALL,$DF528,35)&amp;"","")&amp;"␟"&amp;IFERROR(INDEX(PASTE_ALL,$DF528,36)&amp;"","")&amp;"␟"&amp;IFERROR(INDEX(PASTE_ALL,$DF528,37)&amp;"","")&amp;"␟"&amp;IFERROR(INDEX(PASTE_ALL,$DF528,38)&amp;"","")&amp;"␟"&amp;IFERROR(INDEX(PASTE_ALL,$DF528,39)&amp;"","")&amp;"␟"&amp;IFERROR(INDEX(PASTE_ALL,$DF528,40)&amp;"","")&amp;"␟"&amp;IFERROR(INDEX(PASTE_ALL,$DF528,41)&amp;"","")&amp;"␟"&amp;IFERROR(INDEX(PASTE_ALL,$DF528,42)&amp;"","")&amp;"␟"&amp;IFERROR(INDEX(PASTE_ALL,$DF528,43)&amp;"","")&amp;"␟"&amp;IFERROR(INDEX(PASTE_ALL,$DF528,44)&amp;"","")&amp;"␟"&amp;IFERROR(INDEX(PASTE_ALL,$DF528,45)&amp;"","")&amp;"␟"&amp;IFERROR(INDEX(PASTE_ALL,$DF528,46)&amp;"","")&amp;"␟"&amp;IFERROR(INDEX(PASTE_ALL,$DF528,47)&amp;"","")&amp;"␟"&amp;IFERROR(INDEX(PASTE_ALL,$DF528,48)&amp;"","")&amp;"␟"&amp;IFERROR(INDEX(PASTE_ALL,$DF528,49)&amp;"","")&amp;"␟"&amp;IFERROR(INDEX(PASTE_ALL,$DF528,50)&amp;"","")&amp;"␟"&amp;IFERROR(INDEX(PASTE_ALL,$DF528,51)&amp;"","")&amp;"␟"&amp;IFERROR(INDEX(PASTE_ALL,$DF528,52)&amp;"","")&amp;"␟"&amp;IFERROR(INDEX(PASTE_ALL,$DF528,53)&amp;"","")&amp;"␟"&amp;IFERROR(INDEX(PASTE_ALL,$DF528,54)&amp;"","")&amp;"␟"&amp;IFERROR(INDEX(PASTE_ALL,$DF528,55)&amp;"","")&amp;"␟"&amp;IFERROR(INDEX(PASTE_ALL,$DF528,56)&amp;"","")&amp;"␟"&amp;IFERROR(INDEX(PASTE_ALL,$DF528,57)&amp;"","")&amp;"␟"&amp;IFERROR(INDEX(PASTE_ALL,$DF528,58)&amp;"","")&amp;"␟"&amp;IFERROR(INDEX(PASTE_ALL,$DF528,59)&amp;"","")&amp;"␟"&amp;IFERROR(INDEX(PASTE_ALL,$DF528,60)&amp;"","")," "," "),CHAR(9)," "),CHAR(10)," "),CHAR(13)," "))," ␟","␟"),"␟ ","␟"),"#"&amp;$DE528),"")</f>
        <v/>
      </c>
      <c r="DJ528">
        <f>IF($DI528="",0,IF(SUMPRODUCT(--EXACT($DI$4:DI527,$DI528))&gt;0,1,0))</f>
        <v/>
      </c>
      <c r="DK528">
        <f>IF(AND($DI528&lt;&gt;"",$DJ528=0),1,0)</f>
        <v/>
      </c>
      <c r="DL528">
        <f>DL527+$DK528</f>
        <v/>
      </c>
      <c r="DM528">
        <f>IF(AND($DK528=1,$DL528&lt;=600),1,0)</f>
        <v/>
      </c>
      <c r="DN528">
        <f>IF($DM528=0,"",IF($L$6=0,"",IFERROR(IF(ISNUMBER(INDEX(PASTE_ALL,$DF528,$L$6)),INDEX(PASTE_ALL,$DF528,$L$6),TRIM(SUBSTITUTE(SUBSTITUTE(SUBSTITUTE(SUBSTITUTE(INDEX(PASTE_ALL,$DF528,$L$6)," "," "),CHAR(9)," "),CHAR(10)," "),CHAR(13)," "))),"")))</f>
        <v/>
      </c>
      <c r="DO528">
        <f>IF($DM528=0,"",IF($L$7=0,"",IFERROR(IF(ISNUMBER(INDEX(PASTE_ALL,$DF528,$L$7)),INDEX(PASTE_ALL,$DF528,$L$7),TRIM(SUBSTITUTE(SUBSTITUTE(SUBSTITUTE(SUBSTITUTE(INDEX(PASTE_ALL,$DF528,$L$7)," "," "),CHAR(9)," "),CHAR(10)," "),CHAR(13)," "))),"")))</f>
        <v/>
      </c>
      <c r="DP528">
        <f>IF($DM528=0,"",IF($L$8=0,"",IFERROR(IF(ISNUMBER(INDEX(PASTE_ALL,$DF528,$L$8)),INDEX(PASTE_ALL,$DF528,$L$8),TRIM(SUBSTITUTE(SUBSTITUTE(SUBSTITUTE(SUBSTITUTE(INDEX(PASTE_ALL,$DF528,$L$8)," "," "),CHAR(9)," "),CHAR(10)," "),CHAR(13)," "))),"")))</f>
        <v/>
      </c>
      <c r="DQ528">
        <f>IF($DM528=0,"",IF($L$9=0,"",IFERROR(IF(ISNUMBER(INDEX(PASTE_ALL,$DF528,$L$9)),INDEX(PASTE_ALL,$DF528,$L$9),TRIM(SUBSTITUTE(SUBSTITUTE(SUBSTITUTE(SUBSTITUTE(INDEX(PASTE_ALL,$DF528,$L$9)," "," "),CHAR(9)," "),CHAR(10)," "),CHAR(13)," "))),"")))</f>
        <v/>
      </c>
      <c r="DR528">
        <f>IF($DM528=0,"",IF($L$10=0,"",IFERROR(IF(ISNUMBER(INDEX(PASTE_ALL,$DF528,$L$10)),INDEX(PASTE_ALL,$DF528,$L$10),TRIM(SUBSTITUTE(SUBSTITUTE(SUBSTITUTE(SUBSTITUTE(INDEX(PASTE_ALL,$DF528,$L$10)," "," "),CHAR(9)," "),CHAR(10)," "),CHAR(13)," "))),"")))</f>
        <v/>
      </c>
      <c r="DS528">
        <f>IF($DM528=0,"",IF($L$11=0,"",IFERROR(IF(ISNUMBER(INDEX(PASTE_ALL,$DF528,$L$11)),INDEX(PASTE_ALL,$DF528,$L$11),TRIM(SUBSTITUTE(SUBSTITUTE(SUBSTITUTE(SUBSTITUTE(INDEX(PASTE_ALL,$DF528,$L$11)," "," "),CHAR(9)," "),CHAR(10)," "),CHAR(13)," "))),"")))</f>
        <v/>
      </c>
      <c r="DT528">
        <f>IF($DM528=0,"",IF($L$12=0,"",IFERROR(IF(ISNUMBER(INDEX(PASTE_ALL,$DF528,$L$12)),INDEX(PASTE_ALL,$DF528,$L$12),TRIM(SUBSTITUTE(SUBSTITUTE(SUBSTITUTE(SUBSTITUTE(INDEX(PASTE_ALL,$DF528,$L$12)," "," "),CHAR(9)," "),CHAR(10)," "),CHAR(13)," "))),"")))</f>
        <v/>
      </c>
      <c r="DU528">
        <f>IF($DM528=0,"",IF($L$13=0,"",IFERROR(IF(ISNUMBER(INDEX(PASTE_ALL,$DF528,$L$13)),INDEX(PASTE_ALL,$DF528,$L$13),TRIM(SUBSTITUTE(SUBSTITUTE(SUBSTITUTE(SUBSTITUTE(INDEX(PASTE_ALL,$DF528,$L$13)," "," "),CHAR(9)," "),CHAR(10)," "),CHAR(13)," "))),"")))</f>
        <v/>
      </c>
      <c r="DV528">
        <f>IF($DM528=0,"",IF($L$14=0,"",IFERROR(IF(ISNUMBER(INDEX(PASTE_ALL,$DF528,$L$14)),INDEX(PASTE_ALL,$DF528,$L$14),TRIM(SUBSTITUTE(SUBSTITUTE(SUBSTITUTE(SUBSTITUTE(INDEX(PASTE_ALL,$DF528,$L$14)," "," "),CHAR(9)," "),CHAR(10)," "),CHAR(13)," "))),"")))</f>
        <v/>
      </c>
      <c r="DW528">
        <f>IF($DM528=0,"",IF($L$15=0,"",IFERROR(IF(ISNUMBER(INDEX(PASTE_ALL,$DF528,$L$15)),INDEX(PASTE_ALL,$DF528,$L$15),IF(SUMPRODUCT(--ISNUMBER(FIND({"A","B","C","D","E","F","G","H","I","J","K","L","M","N","O","P","Q","R","S","T","U","V","W","X","Y","Z","0","1","2","3","4","5","6","7","8","9"},UPPER(TRIM(SUBSTITUTE(SUBSTITUTE(SUBSTITUTE(SUBSTITUTE(INDEX(PASTE_ALL,$DF528,$L$15)," "," "),CHAR(9)," "),CHAR(10)," "),CHAR(13)," "))))))&gt;0,TRIM(SUBSTITUTE(SUBSTITUTE(SUBSTITUTE(SUBSTITUTE(INDEX(PASTE_ALL,$DF528,$L$15)," "," "),CHAR(9)," "),CHAR(10)," "),CHAR(13)," ")),"")),"")))</f>
        <v/>
      </c>
      <c r="DX528">
        <f>IF($DM528=0,"",IF($L$16=0,"",IFERROR(IF(ISNUMBER(INDEX(PASTE_ALL,$DF528,$L$16)),INDEX(PASTE_ALL,$DF528,$L$16),SUBSTITUTE(SUBSTITUTE(TRIM(SUBSTITUTE(SUBSTITUTE(SUBSTITUTE(SUBSTITUTE(INDEX(PASTE_ALL,$DF528,$L$16)," "," "),CHAR(9)," "),CHAR(10)," "),CHAR(13)," ")),",",""),"%","")),"")))</f>
        <v/>
      </c>
      <c r="DY528">
        <f>IF($DM528=0,"",IFERROR(IF(ISNUMBER($DX528),$DX528,IF($DX528="","",IF(TRIM($DX528)="",0,IF(AND(AND(SUBSTITUTE(SUBSTITUTE(SUBSTITUTE(SUBSTITUTE(SUBSTITUTE(SUBSTITUTE(SUBSTITUTE(SUBSTITUTE(SUBSTITUTE(SUBSTITUTE(SUBSTITUTE(SUBSTITUTE(SUBSTITUTE(SUBSTITUTE(UPPER(TRIM($DX528)),"0",""),"1",""),"2",""),"3",""),"4",""),"5",""),"6",""),"7",""),"8",""),"9",""),".",""),"+",""),"-",""),"E","")="",LEN(SUBSTITUTE(SUBSTITUTE(MID(UPPER(TRIM($DX528)),1+OR(LEFT(UPPER(TRIM($DX528)),1)="+",LEFT(UPPER(TRIM($DX528)),1)="-"),999),"E+","E"),"E-","E"))=LEN(SUBSTITUTE(SUBSTITUTE(SUBSTITUTE(SUBSTITUTE(MID(UPPER(TRIM($DX528)),1+OR(LEFT(UPPER(TRIM($DX528)),1)="+",LEFT(UPPER(TRIM($DX528)),1)="-"),999),"E+","E"),"E-","E"),"+",""),"-","")),LEN(UPPER(TRIM($DX528)))-LEN(SUBSTITUTE(UPPER(TRIM($DX528)),"E",""))&lt;2,LEN(UPPER(TRIM($DX528)))-LEN(SUBSTITUTE(UPPER(TRIM($DX528)),".",""))&lt;2,IFERROR(FIND(".",UPPER(TRIM($DX528))),0)&lt;IFERROR(FIND("E",UPPER(TRIM($DX528))),999)),ISNUMBER(VALUE(TRIM($DX528)))),VALUE(TRIM($DX528)),"")))),""))</f>
        <v/>
      </c>
      <c r="DZ528">
        <f>IF($DM528=0,"",IF($L$17=0,"",IFERROR(IF(ISNUMBER(INDEX(PASTE_ALL,$DF528,$L$17)),INDEX(PASTE_ALL,$DF528,$L$17),SUBSTITUTE(SUBSTITUTE(TRIM(SUBSTITUTE(SUBSTITUTE(SUBSTITUTE(SUBSTITUTE(INDEX(PASTE_ALL,$DF528,$L$17)," "," "),CHAR(9)," "),CHAR(10)," "),CHAR(13)," ")),",",""),"%","")),"")))</f>
        <v/>
      </c>
      <c r="EA528">
        <f>IF($DM528=0,"",IFERROR(IF(ISNUMBER($DZ528),$DZ528,IF($DZ528="","",IF(TRIM($DZ528)="",0,IF(AND(AND(SUBSTITUTE(SUBSTITUTE(SUBSTITUTE(SUBSTITUTE(SUBSTITUTE(SUBSTITUTE(SUBSTITUTE(SUBSTITUTE(SUBSTITUTE(SUBSTITUTE(SUBSTITUTE(SUBSTITUTE(SUBSTITUTE(SUBSTITUTE(UPPER(TRIM($DZ528)),"0",""),"1",""),"2",""),"3",""),"4",""),"5",""),"6",""),"7",""),"8",""),"9",""),".",""),"+",""),"-",""),"E","")="",LEN(SUBSTITUTE(SUBSTITUTE(MID(UPPER(TRIM($DZ528)),1+OR(LEFT(UPPER(TRIM($DZ528)),1)="+",LEFT(UPPER(TRIM($DZ528)),1)="-"),999),"E+","E"),"E-","E"))=LEN(SUBSTITUTE(SUBSTITUTE(SUBSTITUTE(SUBSTITUTE(MID(UPPER(TRIM($DZ528)),1+OR(LEFT(UPPER(TRIM($DZ528)),1)="+",LEFT(UPPER(TRIM($DZ528)),1)="-"),999),"E+","E"),"E-","E"),"+",""),"-","")),LEN(UPPER(TRIM($DZ528)))-LEN(SUBSTITUTE(UPPER(TRIM($DZ528)),"E",""))&lt;2,LEN(UPPER(TRIM($DZ528)))-LEN(SUBSTITUTE(UPPER(TRIM($DZ528)),".",""))&lt;2,IFERROR(FIND(".",UPPER(TRIM($DZ528))),0)&lt;IFERROR(FIND("E",UPPER(TRIM($DZ528))),999)),ISNUMBER(VALUE(TRIM($DZ528)))),VALUE(TRIM($DZ528)),"")))),""))</f>
        <v/>
      </c>
      <c r="EB528">
        <f>IF($DM528=0,"",IF($L$18=0,"",IFERROR(IF(UPPER(TRIM(SUBSTITUTE(SUBSTITUTE(SUBSTITUTE(SUBSTITUTE(INDEX(PASTE_ALL,$DF528,$L$18)," "," "),CHAR(9)," "),CHAR(10)," "),CHAR(13)," ")))="READY","Ready",IF(UPPER(TRIM(SUBSTITUTE(SUBSTITUTE(SUBSTITUTE(SUBSTITUTE(INDEX(PASTE_ALL,$DF528,$L$18)," "," "),CHAR(9)," "),CHAR(10)," "),CHAR(13)," ")))="PM","PM",IF(OR(UPPER(TRIM(SUBSTITUTE(SUBSTITUTE(SUBSTITUTE(SUBSTITUTE(INDEX(PASTE_ALL,$DF528,$L$18)," "," "),CHAR(9)," "),CHAR(10)," "),CHAR(13)," ")))="OT",UPPER(TRIM(SUBSTITUTE(SUBSTITUTE(SUBSTITUTE(SUBSTITUTE(INDEX(PASTE_ALL,$DF528,$L$18)," "," "),CHAR(9)," "),CHAR(10)," "),CHAR(13)," ")))="OVERTIME",UPPER(TRIM(SUBSTITUTE(SUBSTITUTE(SUBSTITUTE(SUBSTITUTE(INDEX(PASTE_ALL,$DF528,$L$18)," "," "),CHAR(9)," "),CHAR(10)," "),CHAR(13)," ")))="TRIAL"),"OT",TRIM(SUBSTITUTE(SUBSTITUTE(SUBSTITUTE(SUBSTITUTE(INDEX(PASTE_ALL,$DF528,$L$18)," "," "),CHAR(9)," "),CHAR(10)," "),CHAR(13)," "))))),"")))</f>
        <v/>
      </c>
      <c r="EC528">
        <f>IF($DM528=0,"",IF($L$19=0,"",IFERROR(IF(ISNUMBER(INDEX(PASTE_ALL,$DF528,$L$19)),INDEX(PASTE_ALL,$DF528,$L$19),TRIM(SUBSTITUTE(SUBSTITUTE(SUBSTITUTE(SUBSTITUTE(INDEX(PASTE_ALL,$DF528,$L$19)," "," "),CHAR(9)," "),CHAR(10)," "),CHAR(13)," "))),"")))</f>
        <v/>
      </c>
      <c r="ED528">
        <f>IF($DM528=0,"",MATCH(1,INDEX(EXACT($DH$5:DH528,$DH528)*$DM$5:DM528,0),0))</f>
        <v/>
      </c>
      <c r="EE528">
        <f>IF($DM528=0,0,IF($ED528=$DE528,1,0))</f>
        <v/>
      </c>
      <c r="EF528">
        <f>EF527+$EE528</f>
        <v/>
      </c>
      <c r="EG528">
        <f>IF($DM528=0,"",INDEX($EF$5:$EF$1003,$ED528))</f>
        <v/>
      </c>
      <c r="EH528">
        <f>IF($DM528=0,"",IF($DO528&lt;&gt;"","",IFERROR(LOOKUP(2,1/(($EG$4:EG527=$EG528)*($DO$4:DO527&lt;&gt;"")),$DO$4:DO527),"")))</f>
        <v/>
      </c>
      <c r="EI528">
        <f>IF($DM528=0,"",IF($DO528&lt;&gt;"",$DO528,$EH528))</f>
        <v/>
      </c>
      <c r="EJ528">
        <f>IF($DM528=0,"",IF($EI528="",0,IF(OR(ISNUMBER($EI528),AND(AND(SUBSTITUTE(SUBSTITUTE(SUBSTITUTE(SUBSTITUTE(SUBSTITUTE(SUBSTITUTE(SUBSTITUTE(SUBSTITUTE(SUBSTITUTE(SUBSTITUTE(SUBSTITUTE(SUBSTITUTE(SUBSTITUTE(SUBSTITUTE(UPPER($EI528),"0",""),"1",""),"2",""),"3",""),"4",""),"5",""),"6",""),"7",""),"8",""),"9",""),".",""),"+",""),"-",""),"E","")="",LEN(SUBSTITUTE(SUBSTITUTE(MID(UPPER($EI528),1+OR(LEFT(UPPER($EI528),1)="+",LEFT(UPPER($EI528),1)="-"),999),"E+","E"),"E-","E"))=LEN(SUBSTITUTE(SUBSTITUTE(SUBSTITUTE(SUBSTITUTE(MID(UPPER($EI528),1+OR(LEFT(UPPER($EI528),1)="+",LEFT(UPPER($EI528),1)="-"),999),"E+","E"),"E-","E"),"+",""),"-","")),LEN(UPPER($EI528))-LEN(SUBSTITUTE(UPPER($EI528),"E",""))&lt;2,LEN(UPPER($EI528))-LEN(SUBSTITUTE(UPPER($EI528),".",""))&lt;2,IFERROR(FIND(".",UPPER($EI528)),0)&lt;IFERROR(FIND("E",UPPER($EI528)),999)),ISNUMBER(VALUE($EI528)))),1,2)))</f>
        <v/>
      </c>
      <c r="EK528">
        <f>IF($DM528=0,"",IF($EJ528=1,IF(ISNUMBER($EI528),$EI528,VALUE($EI528)),IF($EJ528=2,$DE528,0)))</f>
        <v/>
      </c>
      <c r="EL528">
        <f>IF($DM528=0,"",COUNTIF($EG$5:$EG$1003,"&lt;"&amp;$EG528)+SUMPRODUCT(($EG$5:$EG$1003=$EG528)*(($EJ$5:$EJ$1003&lt;$EJ528)+($EJ$5:$EJ$1003=$EJ528)*(($EK$5:$EK$1003&lt;$EK528)+($EK$5:$EK$1003=$EK528)*($DE$5:$DE$1003&lt;$DE528))))+1)</f>
        <v/>
      </c>
      <c r="EM528">
        <f>IF($DM528=0,"",$EL528+$EG528-1)</f>
        <v/>
      </c>
      <c r="EN528">
        <f>IF($DM528=0,0,IFERROR(MATCH(1,INDEX(--(TRIM(SUBSTITUTE(SUBSTITUTE(SUBSTITUTE(SUBSTITUTE(LINES_NAME&amp;""," "," "),CHAR(9)," "),CHAR(10)," "),CHAR(13)," "))=$DH528),0),0),0))</f>
        <v/>
      </c>
      <c r="EO528">
        <f>IF($EN528=0,0,IF(OR(UPPER(TRIM(INDEX(LINES_SCHEDULED,$EN528)&amp;""))="YES",UPPER(TRIM(INDEX(LINES_SCHEDULED,$EN528)&amp;""))="Y",UPPER(TRIM(INDEX(LINES_SCHEDULED,$EN528)&amp;""))="X"),1,0))</f>
        <v/>
      </c>
      <c r="EP528">
        <f>IF($DM528=0,"",IF(COUNTIFS($EG$5:$EG$1003,$EG528,$EB$5:$EB$1003,"Ready")&gt;0,"READY",IF(COUNTIFS($EG$5:$EG$1003,$EG528,$EB$5:$EB$1003,"PM")&gt;0,"PM",IF(COUNTIFS($EG$5:$EG$1003,$EG528,$EB$5:$EB$1003,"OT")&gt;0,"OT",""))))</f>
        <v/>
      </c>
      <c r="EQ528">
        <f>IF($EN528=0,"",UPPER(TRIM(INDEX(LINES_STATUS,$EN528)&amp;"")))</f>
        <v/>
      </c>
      <c r="ER528">
        <f>IF($DM528=0,"",IF(OR($EQ528="READY",$EQ528="PM",$EQ528="OT"),$EQ528,$EP528))</f>
        <v/>
      </c>
      <c r="ES528">
        <f>IF($DM528=0,"",IF(AND($DV528&lt;&gt;"",UPPER($DV528)&lt;&gt;"N"),"allergen",IF(ISNUMBER(SEARCH("oil",$DQ528)),"oil",IF(OR(EXACT($DS528,"A662"),EXACT($DS528,"A624")),"bulk",""))))</f>
        <v/>
      </c>
      <c r="ET528">
        <f>IF($DM528=0,"",IF(OR($EA528="",$EA528=0),"",$EA528/100))</f>
        <v/>
      </c>
      <c r="EU528">
        <f>IF(OR($ET528="",$DY528=""),"",INT($DY528*(1-$ET528)+0.5))</f>
        <v/>
      </c>
      <c r="EW528" t="n">
        <v>524</v>
      </c>
      <c r="EX528">
        <f>IFERROR(MATCH($EW528,$EM$5:$EM$1003,0),0)</f>
        <v/>
      </c>
      <c r="EY528">
        <f>IF($EW528&gt;$B$12,"",IF($EX528&gt;0,"row","spacer"))</f>
        <v/>
      </c>
      <c r="EZ528">
        <f>IF(AND($EY528="row",$EY527&lt;&gt;"row"),1,0)</f>
        <v/>
      </c>
      <c r="FA528">
        <f>IF(AND($EY528="row",$EY529&lt;&gt;"row"),1,0)</f>
        <v/>
      </c>
      <c r="FB528">
        <f>IF($EZ528=1,IFERROR(IF(ISNUMBER(INDEX(PASTE_ALL,INDEX($DF$5:$DF$1003,$EX528),$B$37)),INDEX(PASTE_ALL,INDEX($DF$5:$DF$1003,$EX528),$B$37),INDEX($DH$5:$DH$1003,$EX528)),INDEX($DH$5:$DH$1003,$EX528)),"")</f>
        <v/>
      </c>
      <c r="FC528">
        <f>IF($EY528="row",INDEX($ER$5:$ER$1003,$EX528),"")</f>
        <v/>
      </c>
      <c r="FD528">
        <f>IF($EY528="row",INDEX($DN$5:$DN$1003,$EX528),"")</f>
        <v/>
      </c>
      <c r="FE528">
        <f>IF($EY528="row",INDEX($DO$5:$DO$1003,$EX528),"")</f>
        <v/>
      </c>
      <c r="FF528">
        <f>IF($EY528="row",INDEX($DP$5:$DP$1003,$EX528),"")</f>
        <v/>
      </c>
      <c r="FG528">
        <f>IF($EY528="row",INDEX($DQ$5:$DQ$1003,$EX528),"")</f>
        <v/>
      </c>
      <c r="FH528">
        <f>IF($EY528="row",INDEX($DR$5:$DR$1003,$EX528),"")</f>
        <v/>
      </c>
      <c r="FI528">
        <f>IF($EY528="row",INDEX($DS$5:$DS$1003,$EX528),"")</f>
        <v/>
      </c>
      <c r="FJ528">
        <f>IF($EY528="row",INDEX($DT$5:$DT$1003,$EX528),"")</f>
        <v/>
      </c>
      <c r="FK528">
        <f>IF($EY528="row",INDEX($DU$5:$DU$1003,$EX528),"")</f>
        <v/>
      </c>
      <c r="FL528">
        <f>IF($EY528="row",INDEX($DV$5:$DV$1003,$EX528),"")</f>
        <v/>
      </c>
      <c r="FM528">
        <f>IF($EY528="row",INDEX($DW$5:$DW$1003,$EX528),"")</f>
        <v/>
      </c>
      <c r="FN528">
        <f>IF($EY528="row",INDEX($DY$5:$DY$1003,$EX528),"")</f>
        <v/>
      </c>
      <c r="FO528">
        <f>IF($EY528="row",INDEX($EA$5:$EA$1003,$EX528),"")</f>
        <v/>
      </c>
      <c r="FP528">
        <f>IF($EY528="row",INDEX($EC$5:$EC$1003,$EX528),"")</f>
        <v/>
      </c>
      <c r="FQ528">
        <f>IF($EY528="row",INDEX($ET$5:$ET$1003,$EX528),"")</f>
        <v/>
      </c>
      <c r="FR528">
        <f>IF($EY528="row",INDEX($EU$5:$EU$1003,$EX528),"")</f>
        <v/>
      </c>
      <c r="FS528">
        <f>IF(AND($EY528="row",$EY527="row"),IF(OR(INDEX($DT$5:$DT$1003,$EX527)="",INDEX($DT$5:$DT$1003,$EX528)=""),"",IF(NOT(EXACT(INDEX($DT$5:$DT$1003,$EX527),INDEX($DT$5:$DT$1003,$EX528))),"S4",IF(NOT(EXACT(INDEX($DS$5:$DS$1003,$EX527),INDEX($DS$5:$DS$1003,$EX528))),"S3",IF(NOT(EXACT(INDEX($DR$5:$DR$1003,$EX527),INDEX($DR$5:$DR$1003,$EX528))),"S1 Count Change","S1")))),"")</f>
        <v/>
      </c>
      <c r="FT528">
        <f>IF($EY528="row",INDEX($ES$5:$ES$1003,$EX528),"")</f>
        <v/>
      </c>
      <c r="FU528">
        <f>IF($EY528="row",INDEX($EO$5:$EO$1003,$EX528),0)</f>
        <v/>
      </c>
      <c r="FV528">
        <f>IF($FS528="S1 Count Change",1,0)</f>
        <v/>
      </c>
    </row>
    <row r="529">
      <c r="DA529" t="n">
        <v>525</v>
      </c>
      <c r="DB529">
        <f>IF($B$37=0,"",IFERROR(TRIM(SUBSTITUTE(SUBSTITUTE(SUBSTITUTE(SUBSTITUTE(INDEX(PASTE_ALL,525,$B$37)," "," "),CHAR(9)," "),CHAR(10)," "),CHAR(13)," ")),""))</f>
        <v/>
      </c>
      <c r="DC529">
        <f>IF(AND(525&gt;HEADER_ROW,UPPER(DB529)="LEGEND"),1,0)</f>
        <v/>
      </c>
      <c r="DE529" t="n">
        <v>525</v>
      </c>
      <c r="DF529">
        <f>HEADER_ROW+$DE529</f>
        <v/>
      </c>
      <c r="DG529">
        <f>IF(AND($DF529&lt;=1000,$DF529&lt;$B$8),1,0)</f>
        <v/>
      </c>
      <c r="DH529">
        <f>IF($DG529=1,IFERROR(INDEX($DB$5:$DB$1004,$DF529),""),"")</f>
        <v/>
      </c>
      <c r="DI529">
        <f>IF(AND($DG529=1,$DH529&lt;&gt;""),IFERROR(SUBSTITUTE(SUBSTITUTE(TRIM(SUBSTITUTE(SUBSTITUTE(SUBSTITUTE(SUBSTITUTE(IFERROR(INDEX(PASTE_ALL,$DF529,1)&amp;"","")&amp;"␟"&amp;IFERROR(INDEX(PASTE_ALL,$DF529,2)&amp;"","")&amp;"␟"&amp;IFERROR(INDEX(PASTE_ALL,$DF529,3)&amp;"","")&amp;"␟"&amp;IFERROR(INDEX(PASTE_ALL,$DF529,4)&amp;"","")&amp;"␟"&amp;IFERROR(INDEX(PASTE_ALL,$DF529,5)&amp;"","")&amp;"␟"&amp;IFERROR(INDEX(PASTE_ALL,$DF529,6)&amp;"","")&amp;"␟"&amp;IFERROR(INDEX(PASTE_ALL,$DF529,7)&amp;"","")&amp;"␟"&amp;IFERROR(INDEX(PASTE_ALL,$DF529,8)&amp;"","")&amp;"␟"&amp;IFERROR(INDEX(PASTE_ALL,$DF529,9)&amp;"","")&amp;"␟"&amp;IFERROR(INDEX(PASTE_ALL,$DF529,10)&amp;"","")&amp;"␟"&amp;IFERROR(INDEX(PASTE_ALL,$DF529,11)&amp;"","")&amp;"␟"&amp;IFERROR(INDEX(PASTE_ALL,$DF529,12)&amp;"","")&amp;"␟"&amp;IFERROR(INDEX(PASTE_ALL,$DF529,13)&amp;"","")&amp;"␟"&amp;IFERROR(INDEX(PASTE_ALL,$DF529,14)&amp;"","")&amp;"␟"&amp;IFERROR(INDEX(PASTE_ALL,$DF529,15)&amp;"","")&amp;"␟"&amp;IFERROR(INDEX(PASTE_ALL,$DF529,16)&amp;"","")&amp;"␟"&amp;IFERROR(INDEX(PASTE_ALL,$DF529,17)&amp;"","")&amp;"␟"&amp;IFERROR(INDEX(PASTE_ALL,$DF529,18)&amp;"","")&amp;"␟"&amp;IFERROR(INDEX(PASTE_ALL,$DF529,19)&amp;"","")&amp;"␟"&amp;IFERROR(INDEX(PASTE_ALL,$DF529,20)&amp;"","")&amp;"␟"&amp;IFERROR(INDEX(PASTE_ALL,$DF529,21)&amp;"","")&amp;"␟"&amp;IFERROR(INDEX(PASTE_ALL,$DF529,22)&amp;"","")&amp;"␟"&amp;IFERROR(INDEX(PASTE_ALL,$DF529,23)&amp;"","")&amp;"␟"&amp;IFERROR(INDEX(PASTE_ALL,$DF529,24)&amp;"","")&amp;"␟"&amp;IFERROR(INDEX(PASTE_ALL,$DF529,25)&amp;"","")&amp;"␟"&amp;IFERROR(INDEX(PASTE_ALL,$DF529,26)&amp;"","")&amp;"␟"&amp;IFERROR(INDEX(PASTE_ALL,$DF529,27)&amp;"","")&amp;"␟"&amp;IFERROR(INDEX(PASTE_ALL,$DF529,28)&amp;"","")&amp;"␟"&amp;IFERROR(INDEX(PASTE_ALL,$DF529,29)&amp;"","")&amp;"␟"&amp;IFERROR(INDEX(PASTE_ALL,$DF529,30)&amp;"","")&amp;"␟"&amp;IFERROR(INDEX(PASTE_ALL,$DF529,31)&amp;"","")&amp;"␟"&amp;IFERROR(INDEX(PASTE_ALL,$DF529,32)&amp;"","")&amp;"␟"&amp;IFERROR(INDEX(PASTE_ALL,$DF529,33)&amp;"","")&amp;"␟"&amp;IFERROR(INDEX(PASTE_ALL,$DF529,34)&amp;"","")&amp;"␟"&amp;IFERROR(INDEX(PASTE_ALL,$DF529,35)&amp;"","")&amp;"␟"&amp;IFERROR(INDEX(PASTE_ALL,$DF529,36)&amp;"","")&amp;"␟"&amp;IFERROR(INDEX(PASTE_ALL,$DF529,37)&amp;"","")&amp;"␟"&amp;IFERROR(INDEX(PASTE_ALL,$DF529,38)&amp;"","")&amp;"␟"&amp;IFERROR(INDEX(PASTE_ALL,$DF529,39)&amp;"","")&amp;"␟"&amp;IFERROR(INDEX(PASTE_ALL,$DF529,40)&amp;"","")&amp;"␟"&amp;IFERROR(INDEX(PASTE_ALL,$DF529,41)&amp;"","")&amp;"␟"&amp;IFERROR(INDEX(PASTE_ALL,$DF529,42)&amp;"","")&amp;"␟"&amp;IFERROR(INDEX(PASTE_ALL,$DF529,43)&amp;"","")&amp;"␟"&amp;IFERROR(INDEX(PASTE_ALL,$DF529,44)&amp;"","")&amp;"␟"&amp;IFERROR(INDEX(PASTE_ALL,$DF529,45)&amp;"","")&amp;"␟"&amp;IFERROR(INDEX(PASTE_ALL,$DF529,46)&amp;"","")&amp;"␟"&amp;IFERROR(INDEX(PASTE_ALL,$DF529,47)&amp;"","")&amp;"␟"&amp;IFERROR(INDEX(PASTE_ALL,$DF529,48)&amp;"","")&amp;"␟"&amp;IFERROR(INDEX(PASTE_ALL,$DF529,49)&amp;"","")&amp;"␟"&amp;IFERROR(INDEX(PASTE_ALL,$DF529,50)&amp;"","")&amp;"␟"&amp;IFERROR(INDEX(PASTE_ALL,$DF529,51)&amp;"","")&amp;"␟"&amp;IFERROR(INDEX(PASTE_ALL,$DF529,52)&amp;"","")&amp;"␟"&amp;IFERROR(INDEX(PASTE_ALL,$DF529,53)&amp;"","")&amp;"␟"&amp;IFERROR(INDEX(PASTE_ALL,$DF529,54)&amp;"","")&amp;"␟"&amp;IFERROR(INDEX(PASTE_ALL,$DF529,55)&amp;"","")&amp;"␟"&amp;IFERROR(INDEX(PASTE_ALL,$DF529,56)&amp;"","")&amp;"␟"&amp;IFERROR(INDEX(PASTE_ALL,$DF529,57)&amp;"","")&amp;"␟"&amp;IFERROR(INDEX(PASTE_ALL,$DF529,58)&amp;"","")&amp;"␟"&amp;IFERROR(INDEX(PASTE_ALL,$DF529,59)&amp;"","")&amp;"␟"&amp;IFERROR(INDEX(PASTE_ALL,$DF529,60)&amp;"","")," "," "),CHAR(9)," "),CHAR(10)," "),CHAR(13)," "))," ␟","␟"),"␟ ","␟"),"#"&amp;$DE529),"")</f>
        <v/>
      </c>
      <c r="DJ529">
        <f>IF($DI529="",0,IF(SUMPRODUCT(--EXACT($DI$4:DI528,$DI529))&gt;0,1,0))</f>
        <v/>
      </c>
      <c r="DK529">
        <f>IF(AND($DI529&lt;&gt;"",$DJ529=0),1,0)</f>
        <v/>
      </c>
      <c r="DL529">
        <f>DL528+$DK529</f>
        <v/>
      </c>
      <c r="DM529">
        <f>IF(AND($DK529=1,$DL529&lt;=600),1,0)</f>
        <v/>
      </c>
      <c r="DN529">
        <f>IF($DM529=0,"",IF($L$6=0,"",IFERROR(IF(ISNUMBER(INDEX(PASTE_ALL,$DF529,$L$6)),INDEX(PASTE_ALL,$DF529,$L$6),TRIM(SUBSTITUTE(SUBSTITUTE(SUBSTITUTE(SUBSTITUTE(INDEX(PASTE_ALL,$DF529,$L$6)," "," "),CHAR(9)," "),CHAR(10)," "),CHAR(13)," "))),"")))</f>
        <v/>
      </c>
      <c r="DO529">
        <f>IF($DM529=0,"",IF($L$7=0,"",IFERROR(IF(ISNUMBER(INDEX(PASTE_ALL,$DF529,$L$7)),INDEX(PASTE_ALL,$DF529,$L$7),TRIM(SUBSTITUTE(SUBSTITUTE(SUBSTITUTE(SUBSTITUTE(INDEX(PASTE_ALL,$DF529,$L$7)," "," "),CHAR(9)," "),CHAR(10)," "),CHAR(13)," "))),"")))</f>
        <v/>
      </c>
      <c r="DP529">
        <f>IF($DM529=0,"",IF($L$8=0,"",IFERROR(IF(ISNUMBER(INDEX(PASTE_ALL,$DF529,$L$8)),INDEX(PASTE_ALL,$DF529,$L$8),TRIM(SUBSTITUTE(SUBSTITUTE(SUBSTITUTE(SUBSTITUTE(INDEX(PASTE_ALL,$DF529,$L$8)," "," "),CHAR(9)," "),CHAR(10)," "),CHAR(13)," "))),"")))</f>
        <v/>
      </c>
      <c r="DQ529">
        <f>IF($DM529=0,"",IF($L$9=0,"",IFERROR(IF(ISNUMBER(INDEX(PASTE_ALL,$DF529,$L$9)),INDEX(PASTE_ALL,$DF529,$L$9),TRIM(SUBSTITUTE(SUBSTITUTE(SUBSTITUTE(SUBSTITUTE(INDEX(PASTE_ALL,$DF529,$L$9)," "," "),CHAR(9)," "),CHAR(10)," "),CHAR(13)," "))),"")))</f>
        <v/>
      </c>
      <c r="DR529">
        <f>IF($DM529=0,"",IF($L$10=0,"",IFERROR(IF(ISNUMBER(INDEX(PASTE_ALL,$DF529,$L$10)),INDEX(PASTE_ALL,$DF529,$L$10),TRIM(SUBSTITUTE(SUBSTITUTE(SUBSTITUTE(SUBSTITUTE(INDEX(PASTE_ALL,$DF529,$L$10)," "," "),CHAR(9)," "),CHAR(10)," "),CHAR(13)," "))),"")))</f>
        <v/>
      </c>
      <c r="DS529">
        <f>IF($DM529=0,"",IF($L$11=0,"",IFERROR(IF(ISNUMBER(INDEX(PASTE_ALL,$DF529,$L$11)),INDEX(PASTE_ALL,$DF529,$L$11),TRIM(SUBSTITUTE(SUBSTITUTE(SUBSTITUTE(SUBSTITUTE(INDEX(PASTE_ALL,$DF529,$L$11)," "," "),CHAR(9)," "),CHAR(10)," "),CHAR(13)," "))),"")))</f>
        <v/>
      </c>
      <c r="DT529">
        <f>IF($DM529=0,"",IF($L$12=0,"",IFERROR(IF(ISNUMBER(INDEX(PASTE_ALL,$DF529,$L$12)),INDEX(PASTE_ALL,$DF529,$L$12),TRIM(SUBSTITUTE(SUBSTITUTE(SUBSTITUTE(SUBSTITUTE(INDEX(PASTE_ALL,$DF529,$L$12)," "," "),CHAR(9)," "),CHAR(10)," "),CHAR(13)," "))),"")))</f>
        <v/>
      </c>
      <c r="DU529">
        <f>IF($DM529=0,"",IF($L$13=0,"",IFERROR(IF(ISNUMBER(INDEX(PASTE_ALL,$DF529,$L$13)),INDEX(PASTE_ALL,$DF529,$L$13),TRIM(SUBSTITUTE(SUBSTITUTE(SUBSTITUTE(SUBSTITUTE(INDEX(PASTE_ALL,$DF529,$L$13)," "," "),CHAR(9)," "),CHAR(10)," "),CHAR(13)," "))),"")))</f>
        <v/>
      </c>
      <c r="DV529">
        <f>IF($DM529=0,"",IF($L$14=0,"",IFERROR(IF(ISNUMBER(INDEX(PASTE_ALL,$DF529,$L$14)),INDEX(PASTE_ALL,$DF529,$L$14),TRIM(SUBSTITUTE(SUBSTITUTE(SUBSTITUTE(SUBSTITUTE(INDEX(PASTE_ALL,$DF529,$L$14)," "," "),CHAR(9)," "),CHAR(10)," "),CHAR(13)," "))),"")))</f>
        <v/>
      </c>
      <c r="DW529">
        <f>IF($DM529=0,"",IF($L$15=0,"",IFERROR(IF(ISNUMBER(INDEX(PASTE_ALL,$DF529,$L$15)),INDEX(PASTE_ALL,$DF529,$L$15),IF(SUMPRODUCT(--ISNUMBER(FIND({"A","B","C","D","E","F","G","H","I","J","K","L","M","N","O","P","Q","R","S","T","U","V","W","X","Y","Z","0","1","2","3","4","5","6","7","8","9"},UPPER(TRIM(SUBSTITUTE(SUBSTITUTE(SUBSTITUTE(SUBSTITUTE(INDEX(PASTE_ALL,$DF529,$L$15)," "," "),CHAR(9)," "),CHAR(10)," "),CHAR(13)," "))))))&gt;0,TRIM(SUBSTITUTE(SUBSTITUTE(SUBSTITUTE(SUBSTITUTE(INDEX(PASTE_ALL,$DF529,$L$15)," "," "),CHAR(9)," "),CHAR(10)," "),CHAR(13)," ")),"")),"")))</f>
        <v/>
      </c>
      <c r="DX529">
        <f>IF($DM529=0,"",IF($L$16=0,"",IFERROR(IF(ISNUMBER(INDEX(PASTE_ALL,$DF529,$L$16)),INDEX(PASTE_ALL,$DF529,$L$16),SUBSTITUTE(SUBSTITUTE(TRIM(SUBSTITUTE(SUBSTITUTE(SUBSTITUTE(SUBSTITUTE(INDEX(PASTE_ALL,$DF529,$L$16)," "," "),CHAR(9)," "),CHAR(10)," "),CHAR(13)," ")),",",""),"%","")),"")))</f>
        <v/>
      </c>
      <c r="DY529">
        <f>IF($DM529=0,"",IFERROR(IF(ISNUMBER($DX529),$DX529,IF($DX529="","",IF(TRIM($DX529)="",0,IF(AND(AND(SUBSTITUTE(SUBSTITUTE(SUBSTITUTE(SUBSTITUTE(SUBSTITUTE(SUBSTITUTE(SUBSTITUTE(SUBSTITUTE(SUBSTITUTE(SUBSTITUTE(SUBSTITUTE(SUBSTITUTE(SUBSTITUTE(SUBSTITUTE(UPPER(TRIM($DX529)),"0",""),"1",""),"2",""),"3",""),"4",""),"5",""),"6",""),"7",""),"8",""),"9",""),".",""),"+",""),"-",""),"E","")="",LEN(SUBSTITUTE(SUBSTITUTE(MID(UPPER(TRIM($DX529)),1+OR(LEFT(UPPER(TRIM($DX529)),1)="+",LEFT(UPPER(TRIM($DX529)),1)="-"),999),"E+","E"),"E-","E"))=LEN(SUBSTITUTE(SUBSTITUTE(SUBSTITUTE(SUBSTITUTE(MID(UPPER(TRIM($DX529)),1+OR(LEFT(UPPER(TRIM($DX529)),1)="+",LEFT(UPPER(TRIM($DX529)),1)="-"),999),"E+","E"),"E-","E"),"+",""),"-","")),LEN(UPPER(TRIM($DX529)))-LEN(SUBSTITUTE(UPPER(TRIM($DX529)),"E",""))&lt;2,LEN(UPPER(TRIM($DX529)))-LEN(SUBSTITUTE(UPPER(TRIM($DX529)),".",""))&lt;2,IFERROR(FIND(".",UPPER(TRIM($DX529))),0)&lt;IFERROR(FIND("E",UPPER(TRIM($DX529))),999)),ISNUMBER(VALUE(TRIM($DX529)))),VALUE(TRIM($DX529)),"")))),""))</f>
        <v/>
      </c>
      <c r="DZ529">
        <f>IF($DM529=0,"",IF($L$17=0,"",IFERROR(IF(ISNUMBER(INDEX(PASTE_ALL,$DF529,$L$17)),INDEX(PASTE_ALL,$DF529,$L$17),SUBSTITUTE(SUBSTITUTE(TRIM(SUBSTITUTE(SUBSTITUTE(SUBSTITUTE(SUBSTITUTE(INDEX(PASTE_ALL,$DF529,$L$17)," "," "),CHAR(9)," "),CHAR(10)," "),CHAR(13)," ")),",",""),"%","")),"")))</f>
        <v/>
      </c>
      <c r="EA529">
        <f>IF($DM529=0,"",IFERROR(IF(ISNUMBER($DZ529),$DZ529,IF($DZ529="","",IF(TRIM($DZ529)="",0,IF(AND(AND(SUBSTITUTE(SUBSTITUTE(SUBSTITUTE(SUBSTITUTE(SUBSTITUTE(SUBSTITUTE(SUBSTITUTE(SUBSTITUTE(SUBSTITUTE(SUBSTITUTE(SUBSTITUTE(SUBSTITUTE(SUBSTITUTE(SUBSTITUTE(UPPER(TRIM($DZ529)),"0",""),"1",""),"2",""),"3",""),"4",""),"5",""),"6",""),"7",""),"8",""),"9",""),".",""),"+",""),"-",""),"E","")="",LEN(SUBSTITUTE(SUBSTITUTE(MID(UPPER(TRIM($DZ529)),1+OR(LEFT(UPPER(TRIM($DZ529)),1)="+",LEFT(UPPER(TRIM($DZ529)),1)="-"),999),"E+","E"),"E-","E"))=LEN(SUBSTITUTE(SUBSTITUTE(SUBSTITUTE(SUBSTITUTE(MID(UPPER(TRIM($DZ529)),1+OR(LEFT(UPPER(TRIM($DZ529)),1)="+",LEFT(UPPER(TRIM($DZ529)),1)="-"),999),"E+","E"),"E-","E"),"+",""),"-","")),LEN(UPPER(TRIM($DZ529)))-LEN(SUBSTITUTE(UPPER(TRIM($DZ529)),"E",""))&lt;2,LEN(UPPER(TRIM($DZ529)))-LEN(SUBSTITUTE(UPPER(TRIM($DZ529)),".",""))&lt;2,IFERROR(FIND(".",UPPER(TRIM($DZ529))),0)&lt;IFERROR(FIND("E",UPPER(TRIM($DZ529))),999)),ISNUMBER(VALUE(TRIM($DZ529)))),VALUE(TRIM($DZ529)),"")))),""))</f>
        <v/>
      </c>
      <c r="EB529">
        <f>IF($DM529=0,"",IF($L$18=0,"",IFERROR(IF(UPPER(TRIM(SUBSTITUTE(SUBSTITUTE(SUBSTITUTE(SUBSTITUTE(INDEX(PASTE_ALL,$DF529,$L$18)," "," "),CHAR(9)," "),CHAR(10)," "),CHAR(13)," ")))="READY","Ready",IF(UPPER(TRIM(SUBSTITUTE(SUBSTITUTE(SUBSTITUTE(SUBSTITUTE(INDEX(PASTE_ALL,$DF529,$L$18)," "," "),CHAR(9)," "),CHAR(10)," "),CHAR(13)," ")))="PM","PM",IF(OR(UPPER(TRIM(SUBSTITUTE(SUBSTITUTE(SUBSTITUTE(SUBSTITUTE(INDEX(PASTE_ALL,$DF529,$L$18)," "," "),CHAR(9)," "),CHAR(10)," "),CHAR(13)," ")))="OT",UPPER(TRIM(SUBSTITUTE(SUBSTITUTE(SUBSTITUTE(SUBSTITUTE(INDEX(PASTE_ALL,$DF529,$L$18)," "," "),CHAR(9)," "),CHAR(10)," "),CHAR(13)," ")))="OVERTIME",UPPER(TRIM(SUBSTITUTE(SUBSTITUTE(SUBSTITUTE(SUBSTITUTE(INDEX(PASTE_ALL,$DF529,$L$18)," "," "),CHAR(9)," "),CHAR(10)," "),CHAR(13)," ")))="TRIAL"),"OT",TRIM(SUBSTITUTE(SUBSTITUTE(SUBSTITUTE(SUBSTITUTE(INDEX(PASTE_ALL,$DF529,$L$18)," "," "),CHAR(9)," "),CHAR(10)," "),CHAR(13)," "))))),"")))</f>
        <v/>
      </c>
      <c r="EC529">
        <f>IF($DM529=0,"",IF($L$19=0,"",IFERROR(IF(ISNUMBER(INDEX(PASTE_ALL,$DF529,$L$19)),INDEX(PASTE_ALL,$DF529,$L$19),TRIM(SUBSTITUTE(SUBSTITUTE(SUBSTITUTE(SUBSTITUTE(INDEX(PASTE_ALL,$DF529,$L$19)," "," "),CHAR(9)," "),CHAR(10)," "),CHAR(13)," "))),"")))</f>
        <v/>
      </c>
      <c r="ED529">
        <f>IF($DM529=0,"",MATCH(1,INDEX(EXACT($DH$5:DH529,$DH529)*$DM$5:DM529,0),0))</f>
        <v/>
      </c>
      <c r="EE529">
        <f>IF($DM529=0,0,IF($ED529=$DE529,1,0))</f>
        <v/>
      </c>
      <c r="EF529">
        <f>EF528+$EE529</f>
        <v/>
      </c>
      <c r="EG529">
        <f>IF($DM529=0,"",INDEX($EF$5:$EF$1003,$ED529))</f>
        <v/>
      </c>
      <c r="EH529">
        <f>IF($DM529=0,"",IF($DO529&lt;&gt;"","",IFERROR(LOOKUP(2,1/(($EG$4:EG528=$EG529)*($DO$4:DO528&lt;&gt;"")),$DO$4:DO528),"")))</f>
        <v/>
      </c>
      <c r="EI529">
        <f>IF($DM529=0,"",IF($DO529&lt;&gt;"",$DO529,$EH529))</f>
        <v/>
      </c>
      <c r="EJ529">
        <f>IF($DM529=0,"",IF($EI529="",0,IF(OR(ISNUMBER($EI529),AND(AND(SUBSTITUTE(SUBSTITUTE(SUBSTITUTE(SUBSTITUTE(SUBSTITUTE(SUBSTITUTE(SUBSTITUTE(SUBSTITUTE(SUBSTITUTE(SUBSTITUTE(SUBSTITUTE(SUBSTITUTE(SUBSTITUTE(SUBSTITUTE(UPPER($EI529),"0",""),"1",""),"2",""),"3",""),"4",""),"5",""),"6",""),"7",""),"8",""),"9",""),".",""),"+",""),"-",""),"E","")="",LEN(SUBSTITUTE(SUBSTITUTE(MID(UPPER($EI529),1+OR(LEFT(UPPER($EI529),1)="+",LEFT(UPPER($EI529),1)="-"),999),"E+","E"),"E-","E"))=LEN(SUBSTITUTE(SUBSTITUTE(SUBSTITUTE(SUBSTITUTE(MID(UPPER($EI529),1+OR(LEFT(UPPER($EI529),1)="+",LEFT(UPPER($EI529),1)="-"),999),"E+","E"),"E-","E"),"+",""),"-","")),LEN(UPPER($EI529))-LEN(SUBSTITUTE(UPPER($EI529),"E",""))&lt;2,LEN(UPPER($EI529))-LEN(SUBSTITUTE(UPPER($EI529),".",""))&lt;2,IFERROR(FIND(".",UPPER($EI529)),0)&lt;IFERROR(FIND("E",UPPER($EI529)),999)),ISNUMBER(VALUE($EI529)))),1,2)))</f>
        <v/>
      </c>
      <c r="EK529">
        <f>IF($DM529=0,"",IF($EJ529=1,IF(ISNUMBER($EI529),$EI529,VALUE($EI529)),IF($EJ529=2,$DE529,0)))</f>
        <v/>
      </c>
      <c r="EL529">
        <f>IF($DM529=0,"",COUNTIF($EG$5:$EG$1003,"&lt;"&amp;$EG529)+SUMPRODUCT(($EG$5:$EG$1003=$EG529)*(($EJ$5:$EJ$1003&lt;$EJ529)+($EJ$5:$EJ$1003=$EJ529)*(($EK$5:$EK$1003&lt;$EK529)+($EK$5:$EK$1003=$EK529)*($DE$5:$DE$1003&lt;$DE529))))+1)</f>
        <v/>
      </c>
      <c r="EM529">
        <f>IF($DM529=0,"",$EL529+$EG529-1)</f>
        <v/>
      </c>
      <c r="EN529">
        <f>IF($DM529=0,0,IFERROR(MATCH(1,INDEX(--(TRIM(SUBSTITUTE(SUBSTITUTE(SUBSTITUTE(SUBSTITUTE(LINES_NAME&amp;""," "," "),CHAR(9)," "),CHAR(10)," "),CHAR(13)," "))=$DH529),0),0),0))</f>
        <v/>
      </c>
      <c r="EO529">
        <f>IF($EN529=0,0,IF(OR(UPPER(TRIM(INDEX(LINES_SCHEDULED,$EN529)&amp;""))="YES",UPPER(TRIM(INDEX(LINES_SCHEDULED,$EN529)&amp;""))="Y",UPPER(TRIM(INDEX(LINES_SCHEDULED,$EN529)&amp;""))="X"),1,0))</f>
        <v/>
      </c>
      <c r="EP529">
        <f>IF($DM529=0,"",IF(COUNTIFS($EG$5:$EG$1003,$EG529,$EB$5:$EB$1003,"Ready")&gt;0,"READY",IF(COUNTIFS($EG$5:$EG$1003,$EG529,$EB$5:$EB$1003,"PM")&gt;0,"PM",IF(COUNTIFS($EG$5:$EG$1003,$EG529,$EB$5:$EB$1003,"OT")&gt;0,"OT",""))))</f>
        <v/>
      </c>
      <c r="EQ529">
        <f>IF($EN529=0,"",UPPER(TRIM(INDEX(LINES_STATUS,$EN529)&amp;"")))</f>
        <v/>
      </c>
      <c r="ER529">
        <f>IF($DM529=0,"",IF(OR($EQ529="READY",$EQ529="PM",$EQ529="OT"),$EQ529,$EP529))</f>
        <v/>
      </c>
      <c r="ES529">
        <f>IF($DM529=0,"",IF(AND($DV529&lt;&gt;"",UPPER($DV529)&lt;&gt;"N"),"allergen",IF(ISNUMBER(SEARCH("oil",$DQ529)),"oil",IF(OR(EXACT($DS529,"A662"),EXACT($DS529,"A624")),"bulk",""))))</f>
        <v/>
      </c>
      <c r="ET529">
        <f>IF($DM529=0,"",IF(OR($EA529="",$EA529=0),"",$EA529/100))</f>
        <v/>
      </c>
      <c r="EU529">
        <f>IF(OR($ET529="",$DY529=""),"",INT($DY529*(1-$ET529)+0.5))</f>
        <v/>
      </c>
      <c r="EW529" t="n">
        <v>525</v>
      </c>
      <c r="EX529">
        <f>IFERROR(MATCH($EW529,$EM$5:$EM$1003,0),0)</f>
        <v/>
      </c>
      <c r="EY529">
        <f>IF($EW529&gt;$B$12,"",IF($EX529&gt;0,"row","spacer"))</f>
        <v/>
      </c>
      <c r="EZ529">
        <f>IF(AND($EY529="row",$EY528&lt;&gt;"row"),1,0)</f>
        <v/>
      </c>
      <c r="FA529">
        <f>IF(AND($EY529="row",$EY530&lt;&gt;"row"),1,0)</f>
        <v/>
      </c>
      <c r="FB529">
        <f>IF($EZ529=1,IFERROR(IF(ISNUMBER(INDEX(PASTE_ALL,INDEX($DF$5:$DF$1003,$EX529),$B$37)),INDEX(PASTE_ALL,INDEX($DF$5:$DF$1003,$EX529),$B$37),INDEX($DH$5:$DH$1003,$EX529)),INDEX($DH$5:$DH$1003,$EX529)),"")</f>
        <v/>
      </c>
      <c r="FC529">
        <f>IF($EY529="row",INDEX($ER$5:$ER$1003,$EX529),"")</f>
        <v/>
      </c>
      <c r="FD529">
        <f>IF($EY529="row",INDEX($DN$5:$DN$1003,$EX529),"")</f>
        <v/>
      </c>
      <c r="FE529">
        <f>IF($EY529="row",INDEX($DO$5:$DO$1003,$EX529),"")</f>
        <v/>
      </c>
      <c r="FF529">
        <f>IF($EY529="row",INDEX($DP$5:$DP$1003,$EX529),"")</f>
        <v/>
      </c>
      <c r="FG529">
        <f>IF($EY529="row",INDEX($DQ$5:$DQ$1003,$EX529),"")</f>
        <v/>
      </c>
      <c r="FH529">
        <f>IF($EY529="row",INDEX($DR$5:$DR$1003,$EX529),"")</f>
        <v/>
      </c>
      <c r="FI529">
        <f>IF($EY529="row",INDEX($DS$5:$DS$1003,$EX529),"")</f>
        <v/>
      </c>
      <c r="FJ529">
        <f>IF($EY529="row",INDEX($DT$5:$DT$1003,$EX529),"")</f>
        <v/>
      </c>
      <c r="FK529">
        <f>IF($EY529="row",INDEX($DU$5:$DU$1003,$EX529),"")</f>
        <v/>
      </c>
      <c r="FL529">
        <f>IF($EY529="row",INDEX($DV$5:$DV$1003,$EX529),"")</f>
        <v/>
      </c>
      <c r="FM529">
        <f>IF($EY529="row",INDEX($DW$5:$DW$1003,$EX529),"")</f>
        <v/>
      </c>
      <c r="FN529">
        <f>IF($EY529="row",INDEX($DY$5:$DY$1003,$EX529),"")</f>
        <v/>
      </c>
      <c r="FO529">
        <f>IF($EY529="row",INDEX($EA$5:$EA$1003,$EX529),"")</f>
        <v/>
      </c>
      <c r="FP529">
        <f>IF($EY529="row",INDEX($EC$5:$EC$1003,$EX529),"")</f>
        <v/>
      </c>
      <c r="FQ529">
        <f>IF($EY529="row",INDEX($ET$5:$ET$1003,$EX529),"")</f>
        <v/>
      </c>
      <c r="FR529">
        <f>IF($EY529="row",INDEX($EU$5:$EU$1003,$EX529),"")</f>
        <v/>
      </c>
      <c r="FS529">
        <f>IF(AND($EY529="row",$EY528="row"),IF(OR(INDEX($DT$5:$DT$1003,$EX528)="",INDEX($DT$5:$DT$1003,$EX529)=""),"",IF(NOT(EXACT(INDEX($DT$5:$DT$1003,$EX528),INDEX($DT$5:$DT$1003,$EX529))),"S4",IF(NOT(EXACT(INDEX($DS$5:$DS$1003,$EX528),INDEX($DS$5:$DS$1003,$EX529))),"S3",IF(NOT(EXACT(INDEX($DR$5:$DR$1003,$EX528),INDEX($DR$5:$DR$1003,$EX529))),"S1 Count Change","S1")))),"")</f>
        <v/>
      </c>
      <c r="FT529">
        <f>IF($EY529="row",INDEX($ES$5:$ES$1003,$EX529),"")</f>
        <v/>
      </c>
      <c r="FU529">
        <f>IF($EY529="row",INDEX($EO$5:$EO$1003,$EX529),0)</f>
        <v/>
      </c>
      <c r="FV529">
        <f>IF($FS529="S1 Count Change",1,0)</f>
        <v/>
      </c>
    </row>
    <row r="530">
      <c r="DA530" t="n">
        <v>526</v>
      </c>
      <c r="DB530">
        <f>IF($B$37=0,"",IFERROR(TRIM(SUBSTITUTE(SUBSTITUTE(SUBSTITUTE(SUBSTITUTE(INDEX(PASTE_ALL,526,$B$37)," "," "),CHAR(9)," "),CHAR(10)," "),CHAR(13)," ")),""))</f>
        <v/>
      </c>
      <c r="DC530">
        <f>IF(AND(526&gt;HEADER_ROW,UPPER(DB530)="LEGEND"),1,0)</f>
        <v/>
      </c>
      <c r="DE530" t="n">
        <v>526</v>
      </c>
      <c r="DF530">
        <f>HEADER_ROW+$DE530</f>
        <v/>
      </c>
      <c r="DG530">
        <f>IF(AND($DF530&lt;=1000,$DF530&lt;$B$8),1,0)</f>
        <v/>
      </c>
      <c r="DH530">
        <f>IF($DG530=1,IFERROR(INDEX($DB$5:$DB$1004,$DF530),""),"")</f>
        <v/>
      </c>
      <c r="DI530">
        <f>IF(AND($DG530=1,$DH530&lt;&gt;""),IFERROR(SUBSTITUTE(SUBSTITUTE(TRIM(SUBSTITUTE(SUBSTITUTE(SUBSTITUTE(SUBSTITUTE(IFERROR(INDEX(PASTE_ALL,$DF530,1)&amp;"","")&amp;"␟"&amp;IFERROR(INDEX(PASTE_ALL,$DF530,2)&amp;"","")&amp;"␟"&amp;IFERROR(INDEX(PASTE_ALL,$DF530,3)&amp;"","")&amp;"␟"&amp;IFERROR(INDEX(PASTE_ALL,$DF530,4)&amp;"","")&amp;"␟"&amp;IFERROR(INDEX(PASTE_ALL,$DF530,5)&amp;"","")&amp;"␟"&amp;IFERROR(INDEX(PASTE_ALL,$DF530,6)&amp;"","")&amp;"␟"&amp;IFERROR(INDEX(PASTE_ALL,$DF530,7)&amp;"","")&amp;"␟"&amp;IFERROR(INDEX(PASTE_ALL,$DF530,8)&amp;"","")&amp;"␟"&amp;IFERROR(INDEX(PASTE_ALL,$DF530,9)&amp;"","")&amp;"␟"&amp;IFERROR(INDEX(PASTE_ALL,$DF530,10)&amp;"","")&amp;"␟"&amp;IFERROR(INDEX(PASTE_ALL,$DF530,11)&amp;"","")&amp;"␟"&amp;IFERROR(INDEX(PASTE_ALL,$DF530,12)&amp;"","")&amp;"␟"&amp;IFERROR(INDEX(PASTE_ALL,$DF530,13)&amp;"","")&amp;"␟"&amp;IFERROR(INDEX(PASTE_ALL,$DF530,14)&amp;"","")&amp;"␟"&amp;IFERROR(INDEX(PASTE_ALL,$DF530,15)&amp;"","")&amp;"␟"&amp;IFERROR(INDEX(PASTE_ALL,$DF530,16)&amp;"","")&amp;"␟"&amp;IFERROR(INDEX(PASTE_ALL,$DF530,17)&amp;"","")&amp;"␟"&amp;IFERROR(INDEX(PASTE_ALL,$DF530,18)&amp;"","")&amp;"␟"&amp;IFERROR(INDEX(PASTE_ALL,$DF530,19)&amp;"","")&amp;"␟"&amp;IFERROR(INDEX(PASTE_ALL,$DF530,20)&amp;"","")&amp;"␟"&amp;IFERROR(INDEX(PASTE_ALL,$DF530,21)&amp;"","")&amp;"␟"&amp;IFERROR(INDEX(PASTE_ALL,$DF530,22)&amp;"","")&amp;"␟"&amp;IFERROR(INDEX(PASTE_ALL,$DF530,23)&amp;"","")&amp;"␟"&amp;IFERROR(INDEX(PASTE_ALL,$DF530,24)&amp;"","")&amp;"␟"&amp;IFERROR(INDEX(PASTE_ALL,$DF530,25)&amp;"","")&amp;"␟"&amp;IFERROR(INDEX(PASTE_ALL,$DF530,26)&amp;"","")&amp;"␟"&amp;IFERROR(INDEX(PASTE_ALL,$DF530,27)&amp;"","")&amp;"␟"&amp;IFERROR(INDEX(PASTE_ALL,$DF530,28)&amp;"","")&amp;"␟"&amp;IFERROR(INDEX(PASTE_ALL,$DF530,29)&amp;"","")&amp;"␟"&amp;IFERROR(INDEX(PASTE_ALL,$DF530,30)&amp;"","")&amp;"␟"&amp;IFERROR(INDEX(PASTE_ALL,$DF530,31)&amp;"","")&amp;"␟"&amp;IFERROR(INDEX(PASTE_ALL,$DF530,32)&amp;"","")&amp;"␟"&amp;IFERROR(INDEX(PASTE_ALL,$DF530,33)&amp;"","")&amp;"␟"&amp;IFERROR(INDEX(PASTE_ALL,$DF530,34)&amp;"","")&amp;"␟"&amp;IFERROR(INDEX(PASTE_ALL,$DF530,35)&amp;"","")&amp;"␟"&amp;IFERROR(INDEX(PASTE_ALL,$DF530,36)&amp;"","")&amp;"␟"&amp;IFERROR(INDEX(PASTE_ALL,$DF530,37)&amp;"","")&amp;"␟"&amp;IFERROR(INDEX(PASTE_ALL,$DF530,38)&amp;"","")&amp;"␟"&amp;IFERROR(INDEX(PASTE_ALL,$DF530,39)&amp;"","")&amp;"␟"&amp;IFERROR(INDEX(PASTE_ALL,$DF530,40)&amp;"","")&amp;"␟"&amp;IFERROR(INDEX(PASTE_ALL,$DF530,41)&amp;"","")&amp;"␟"&amp;IFERROR(INDEX(PASTE_ALL,$DF530,42)&amp;"","")&amp;"␟"&amp;IFERROR(INDEX(PASTE_ALL,$DF530,43)&amp;"","")&amp;"␟"&amp;IFERROR(INDEX(PASTE_ALL,$DF530,44)&amp;"","")&amp;"␟"&amp;IFERROR(INDEX(PASTE_ALL,$DF530,45)&amp;"","")&amp;"␟"&amp;IFERROR(INDEX(PASTE_ALL,$DF530,46)&amp;"","")&amp;"␟"&amp;IFERROR(INDEX(PASTE_ALL,$DF530,47)&amp;"","")&amp;"␟"&amp;IFERROR(INDEX(PASTE_ALL,$DF530,48)&amp;"","")&amp;"␟"&amp;IFERROR(INDEX(PASTE_ALL,$DF530,49)&amp;"","")&amp;"␟"&amp;IFERROR(INDEX(PASTE_ALL,$DF530,50)&amp;"","")&amp;"␟"&amp;IFERROR(INDEX(PASTE_ALL,$DF530,51)&amp;"","")&amp;"␟"&amp;IFERROR(INDEX(PASTE_ALL,$DF530,52)&amp;"","")&amp;"␟"&amp;IFERROR(INDEX(PASTE_ALL,$DF530,53)&amp;"","")&amp;"␟"&amp;IFERROR(INDEX(PASTE_ALL,$DF530,54)&amp;"","")&amp;"␟"&amp;IFERROR(INDEX(PASTE_ALL,$DF530,55)&amp;"","")&amp;"␟"&amp;IFERROR(INDEX(PASTE_ALL,$DF530,56)&amp;"","")&amp;"␟"&amp;IFERROR(INDEX(PASTE_ALL,$DF530,57)&amp;"","")&amp;"␟"&amp;IFERROR(INDEX(PASTE_ALL,$DF530,58)&amp;"","")&amp;"␟"&amp;IFERROR(INDEX(PASTE_ALL,$DF530,59)&amp;"","")&amp;"␟"&amp;IFERROR(INDEX(PASTE_ALL,$DF530,60)&amp;"","")," "," "),CHAR(9)," "),CHAR(10)," "),CHAR(13)," "))," ␟","␟"),"␟ ","␟"),"#"&amp;$DE530),"")</f>
        <v/>
      </c>
      <c r="DJ530">
        <f>IF($DI530="",0,IF(SUMPRODUCT(--EXACT($DI$4:DI529,$DI530))&gt;0,1,0))</f>
        <v/>
      </c>
      <c r="DK530">
        <f>IF(AND($DI530&lt;&gt;"",$DJ530=0),1,0)</f>
        <v/>
      </c>
      <c r="DL530">
        <f>DL529+$DK530</f>
        <v/>
      </c>
      <c r="DM530">
        <f>IF(AND($DK530=1,$DL530&lt;=600),1,0)</f>
        <v/>
      </c>
      <c r="DN530">
        <f>IF($DM530=0,"",IF($L$6=0,"",IFERROR(IF(ISNUMBER(INDEX(PASTE_ALL,$DF530,$L$6)),INDEX(PASTE_ALL,$DF530,$L$6),TRIM(SUBSTITUTE(SUBSTITUTE(SUBSTITUTE(SUBSTITUTE(INDEX(PASTE_ALL,$DF530,$L$6)," "," "),CHAR(9)," "),CHAR(10)," "),CHAR(13)," "))),"")))</f>
        <v/>
      </c>
      <c r="DO530">
        <f>IF($DM530=0,"",IF($L$7=0,"",IFERROR(IF(ISNUMBER(INDEX(PASTE_ALL,$DF530,$L$7)),INDEX(PASTE_ALL,$DF530,$L$7),TRIM(SUBSTITUTE(SUBSTITUTE(SUBSTITUTE(SUBSTITUTE(INDEX(PASTE_ALL,$DF530,$L$7)," "," "),CHAR(9)," "),CHAR(10)," "),CHAR(13)," "))),"")))</f>
        <v/>
      </c>
      <c r="DP530">
        <f>IF($DM530=0,"",IF($L$8=0,"",IFERROR(IF(ISNUMBER(INDEX(PASTE_ALL,$DF530,$L$8)),INDEX(PASTE_ALL,$DF530,$L$8),TRIM(SUBSTITUTE(SUBSTITUTE(SUBSTITUTE(SUBSTITUTE(INDEX(PASTE_ALL,$DF530,$L$8)," "," "),CHAR(9)," "),CHAR(10)," "),CHAR(13)," "))),"")))</f>
        <v/>
      </c>
      <c r="DQ530">
        <f>IF($DM530=0,"",IF($L$9=0,"",IFERROR(IF(ISNUMBER(INDEX(PASTE_ALL,$DF530,$L$9)),INDEX(PASTE_ALL,$DF530,$L$9),TRIM(SUBSTITUTE(SUBSTITUTE(SUBSTITUTE(SUBSTITUTE(INDEX(PASTE_ALL,$DF530,$L$9)," "," "),CHAR(9)," "),CHAR(10)," "),CHAR(13)," "))),"")))</f>
        <v/>
      </c>
      <c r="DR530">
        <f>IF($DM530=0,"",IF($L$10=0,"",IFERROR(IF(ISNUMBER(INDEX(PASTE_ALL,$DF530,$L$10)),INDEX(PASTE_ALL,$DF530,$L$10),TRIM(SUBSTITUTE(SUBSTITUTE(SUBSTITUTE(SUBSTITUTE(INDEX(PASTE_ALL,$DF530,$L$10)," "," "),CHAR(9)," "),CHAR(10)," "),CHAR(13)," "))),"")))</f>
        <v/>
      </c>
      <c r="DS530">
        <f>IF($DM530=0,"",IF($L$11=0,"",IFERROR(IF(ISNUMBER(INDEX(PASTE_ALL,$DF530,$L$11)),INDEX(PASTE_ALL,$DF530,$L$11),TRIM(SUBSTITUTE(SUBSTITUTE(SUBSTITUTE(SUBSTITUTE(INDEX(PASTE_ALL,$DF530,$L$11)," "," "),CHAR(9)," "),CHAR(10)," "),CHAR(13)," "))),"")))</f>
        <v/>
      </c>
      <c r="DT530">
        <f>IF($DM530=0,"",IF($L$12=0,"",IFERROR(IF(ISNUMBER(INDEX(PASTE_ALL,$DF530,$L$12)),INDEX(PASTE_ALL,$DF530,$L$12),TRIM(SUBSTITUTE(SUBSTITUTE(SUBSTITUTE(SUBSTITUTE(INDEX(PASTE_ALL,$DF530,$L$12)," "," "),CHAR(9)," "),CHAR(10)," "),CHAR(13)," "))),"")))</f>
        <v/>
      </c>
      <c r="DU530">
        <f>IF($DM530=0,"",IF($L$13=0,"",IFERROR(IF(ISNUMBER(INDEX(PASTE_ALL,$DF530,$L$13)),INDEX(PASTE_ALL,$DF530,$L$13),TRIM(SUBSTITUTE(SUBSTITUTE(SUBSTITUTE(SUBSTITUTE(INDEX(PASTE_ALL,$DF530,$L$13)," "," "),CHAR(9)," "),CHAR(10)," "),CHAR(13)," "))),"")))</f>
        <v/>
      </c>
      <c r="DV530">
        <f>IF($DM530=0,"",IF($L$14=0,"",IFERROR(IF(ISNUMBER(INDEX(PASTE_ALL,$DF530,$L$14)),INDEX(PASTE_ALL,$DF530,$L$14),TRIM(SUBSTITUTE(SUBSTITUTE(SUBSTITUTE(SUBSTITUTE(INDEX(PASTE_ALL,$DF530,$L$14)," "," "),CHAR(9)," "),CHAR(10)," "),CHAR(13)," "))),"")))</f>
        <v/>
      </c>
      <c r="DW530">
        <f>IF($DM530=0,"",IF($L$15=0,"",IFERROR(IF(ISNUMBER(INDEX(PASTE_ALL,$DF530,$L$15)),INDEX(PASTE_ALL,$DF530,$L$15),IF(SUMPRODUCT(--ISNUMBER(FIND({"A","B","C","D","E","F","G","H","I","J","K","L","M","N","O","P","Q","R","S","T","U","V","W","X","Y","Z","0","1","2","3","4","5","6","7","8","9"},UPPER(TRIM(SUBSTITUTE(SUBSTITUTE(SUBSTITUTE(SUBSTITUTE(INDEX(PASTE_ALL,$DF530,$L$15)," "," "),CHAR(9)," "),CHAR(10)," "),CHAR(13)," "))))))&gt;0,TRIM(SUBSTITUTE(SUBSTITUTE(SUBSTITUTE(SUBSTITUTE(INDEX(PASTE_ALL,$DF530,$L$15)," "," "),CHAR(9)," "),CHAR(10)," "),CHAR(13)," ")),"")),"")))</f>
        <v/>
      </c>
      <c r="DX530">
        <f>IF($DM530=0,"",IF($L$16=0,"",IFERROR(IF(ISNUMBER(INDEX(PASTE_ALL,$DF530,$L$16)),INDEX(PASTE_ALL,$DF530,$L$16),SUBSTITUTE(SUBSTITUTE(TRIM(SUBSTITUTE(SUBSTITUTE(SUBSTITUTE(SUBSTITUTE(INDEX(PASTE_ALL,$DF530,$L$16)," "," "),CHAR(9)," "),CHAR(10)," "),CHAR(13)," ")),",",""),"%","")),"")))</f>
        <v/>
      </c>
      <c r="DY530">
        <f>IF($DM530=0,"",IFERROR(IF(ISNUMBER($DX530),$DX530,IF($DX530="","",IF(TRIM($DX530)="",0,IF(AND(AND(SUBSTITUTE(SUBSTITUTE(SUBSTITUTE(SUBSTITUTE(SUBSTITUTE(SUBSTITUTE(SUBSTITUTE(SUBSTITUTE(SUBSTITUTE(SUBSTITUTE(SUBSTITUTE(SUBSTITUTE(SUBSTITUTE(SUBSTITUTE(UPPER(TRIM($DX530)),"0",""),"1",""),"2",""),"3",""),"4",""),"5",""),"6",""),"7",""),"8",""),"9",""),".",""),"+",""),"-",""),"E","")="",LEN(SUBSTITUTE(SUBSTITUTE(MID(UPPER(TRIM($DX530)),1+OR(LEFT(UPPER(TRIM($DX530)),1)="+",LEFT(UPPER(TRIM($DX530)),1)="-"),999),"E+","E"),"E-","E"))=LEN(SUBSTITUTE(SUBSTITUTE(SUBSTITUTE(SUBSTITUTE(MID(UPPER(TRIM($DX530)),1+OR(LEFT(UPPER(TRIM($DX530)),1)="+",LEFT(UPPER(TRIM($DX530)),1)="-"),999),"E+","E"),"E-","E"),"+",""),"-","")),LEN(UPPER(TRIM($DX530)))-LEN(SUBSTITUTE(UPPER(TRIM($DX530)),"E",""))&lt;2,LEN(UPPER(TRIM($DX530)))-LEN(SUBSTITUTE(UPPER(TRIM($DX530)),".",""))&lt;2,IFERROR(FIND(".",UPPER(TRIM($DX530))),0)&lt;IFERROR(FIND("E",UPPER(TRIM($DX530))),999)),ISNUMBER(VALUE(TRIM($DX530)))),VALUE(TRIM($DX530)),"")))),""))</f>
        <v/>
      </c>
      <c r="DZ530">
        <f>IF($DM530=0,"",IF($L$17=0,"",IFERROR(IF(ISNUMBER(INDEX(PASTE_ALL,$DF530,$L$17)),INDEX(PASTE_ALL,$DF530,$L$17),SUBSTITUTE(SUBSTITUTE(TRIM(SUBSTITUTE(SUBSTITUTE(SUBSTITUTE(SUBSTITUTE(INDEX(PASTE_ALL,$DF530,$L$17)," "," "),CHAR(9)," "),CHAR(10)," "),CHAR(13)," ")),",",""),"%","")),"")))</f>
        <v/>
      </c>
      <c r="EA530">
        <f>IF($DM530=0,"",IFERROR(IF(ISNUMBER($DZ530),$DZ530,IF($DZ530="","",IF(TRIM($DZ530)="",0,IF(AND(AND(SUBSTITUTE(SUBSTITUTE(SUBSTITUTE(SUBSTITUTE(SUBSTITUTE(SUBSTITUTE(SUBSTITUTE(SUBSTITUTE(SUBSTITUTE(SUBSTITUTE(SUBSTITUTE(SUBSTITUTE(SUBSTITUTE(SUBSTITUTE(UPPER(TRIM($DZ530)),"0",""),"1",""),"2",""),"3",""),"4",""),"5",""),"6",""),"7",""),"8",""),"9",""),".",""),"+",""),"-",""),"E","")="",LEN(SUBSTITUTE(SUBSTITUTE(MID(UPPER(TRIM($DZ530)),1+OR(LEFT(UPPER(TRIM($DZ530)),1)="+",LEFT(UPPER(TRIM($DZ530)),1)="-"),999),"E+","E"),"E-","E"))=LEN(SUBSTITUTE(SUBSTITUTE(SUBSTITUTE(SUBSTITUTE(MID(UPPER(TRIM($DZ530)),1+OR(LEFT(UPPER(TRIM($DZ530)),1)="+",LEFT(UPPER(TRIM($DZ530)),1)="-"),999),"E+","E"),"E-","E"),"+",""),"-","")),LEN(UPPER(TRIM($DZ530)))-LEN(SUBSTITUTE(UPPER(TRIM($DZ530)),"E",""))&lt;2,LEN(UPPER(TRIM($DZ530)))-LEN(SUBSTITUTE(UPPER(TRIM($DZ530)),".",""))&lt;2,IFERROR(FIND(".",UPPER(TRIM($DZ530))),0)&lt;IFERROR(FIND("E",UPPER(TRIM($DZ530))),999)),ISNUMBER(VALUE(TRIM($DZ530)))),VALUE(TRIM($DZ530)),"")))),""))</f>
        <v/>
      </c>
      <c r="EB530">
        <f>IF($DM530=0,"",IF($L$18=0,"",IFERROR(IF(UPPER(TRIM(SUBSTITUTE(SUBSTITUTE(SUBSTITUTE(SUBSTITUTE(INDEX(PASTE_ALL,$DF530,$L$18)," "," "),CHAR(9)," "),CHAR(10)," "),CHAR(13)," ")))="READY","Ready",IF(UPPER(TRIM(SUBSTITUTE(SUBSTITUTE(SUBSTITUTE(SUBSTITUTE(INDEX(PASTE_ALL,$DF530,$L$18)," "," "),CHAR(9)," "),CHAR(10)," "),CHAR(13)," ")))="PM","PM",IF(OR(UPPER(TRIM(SUBSTITUTE(SUBSTITUTE(SUBSTITUTE(SUBSTITUTE(INDEX(PASTE_ALL,$DF530,$L$18)," "," "),CHAR(9)," "),CHAR(10)," "),CHAR(13)," ")))="OT",UPPER(TRIM(SUBSTITUTE(SUBSTITUTE(SUBSTITUTE(SUBSTITUTE(INDEX(PASTE_ALL,$DF530,$L$18)," "," "),CHAR(9)," "),CHAR(10)," "),CHAR(13)," ")))="OVERTIME",UPPER(TRIM(SUBSTITUTE(SUBSTITUTE(SUBSTITUTE(SUBSTITUTE(INDEX(PASTE_ALL,$DF530,$L$18)," "," "),CHAR(9)," "),CHAR(10)," "),CHAR(13)," ")))="TRIAL"),"OT",TRIM(SUBSTITUTE(SUBSTITUTE(SUBSTITUTE(SUBSTITUTE(INDEX(PASTE_ALL,$DF530,$L$18)," "," "),CHAR(9)," "),CHAR(10)," "),CHAR(13)," "))))),"")))</f>
        <v/>
      </c>
      <c r="EC530">
        <f>IF($DM530=0,"",IF($L$19=0,"",IFERROR(IF(ISNUMBER(INDEX(PASTE_ALL,$DF530,$L$19)),INDEX(PASTE_ALL,$DF530,$L$19),TRIM(SUBSTITUTE(SUBSTITUTE(SUBSTITUTE(SUBSTITUTE(INDEX(PASTE_ALL,$DF530,$L$19)," "," "),CHAR(9)," "),CHAR(10)," "),CHAR(13)," "))),"")))</f>
        <v/>
      </c>
      <c r="ED530">
        <f>IF($DM530=0,"",MATCH(1,INDEX(EXACT($DH$5:DH530,$DH530)*$DM$5:DM530,0),0))</f>
        <v/>
      </c>
      <c r="EE530">
        <f>IF($DM530=0,0,IF($ED530=$DE530,1,0))</f>
        <v/>
      </c>
      <c r="EF530">
        <f>EF529+$EE530</f>
        <v/>
      </c>
      <c r="EG530">
        <f>IF($DM530=0,"",INDEX($EF$5:$EF$1003,$ED530))</f>
        <v/>
      </c>
      <c r="EH530">
        <f>IF($DM530=0,"",IF($DO530&lt;&gt;"","",IFERROR(LOOKUP(2,1/(($EG$4:EG529=$EG530)*($DO$4:DO529&lt;&gt;"")),$DO$4:DO529),"")))</f>
        <v/>
      </c>
      <c r="EI530">
        <f>IF($DM530=0,"",IF($DO530&lt;&gt;"",$DO530,$EH530))</f>
        <v/>
      </c>
      <c r="EJ530">
        <f>IF($DM530=0,"",IF($EI530="",0,IF(OR(ISNUMBER($EI530),AND(AND(SUBSTITUTE(SUBSTITUTE(SUBSTITUTE(SUBSTITUTE(SUBSTITUTE(SUBSTITUTE(SUBSTITUTE(SUBSTITUTE(SUBSTITUTE(SUBSTITUTE(SUBSTITUTE(SUBSTITUTE(SUBSTITUTE(SUBSTITUTE(UPPER($EI530),"0",""),"1",""),"2",""),"3",""),"4",""),"5",""),"6",""),"7",""),"8",""),"9",""),".",""),"+",""),"-",""),"E","")="",LEN(SUBSTITUTE(SUBSTITUTE(MID(UPPER($EI530),1+OR(LEFT(UPPER($EI530),1)="+",LEFT(UPPER($EI530),1)="-"),999),"E+","E"),"E-","E"))=LEN(SUBSTITUTE(SUBSTITUTE(SUBSTITUTE(SUBSTITUTE(MID(UPPER($EI530),1+OR(LEFT(UPPER($EI530),1)="+",LEFT(UPPER($EI530),1)="-"),999),"E+","E"),"E-","E"),"+",""),"-","")),LEN(UPPER($EI530))-LEN(SUBSTITUTE(UPPER($EI530),"E",""))&lt;2,LEN(UPPER($EI530))-LEN(SUBSTITUTE(UPPER($EI530),".",""))&lt;2,IFERROR(FIND(".",UPPER($EI530)),0)&lt;IFERROR(FIND("E",UPPER($EI530)),999)),ISNUMBER(VALUE($EI530)))),1,2)))</f>
        <v/>
      </c>
      <c r="EK530">
        <f>IF($DM530=0,"",IF($EJ530=1,IF(ISNUMBER($EI530),$EI530,VALUE($EI530)),IF($EJ530=2,$DE530,0)))</f>
        <v/>
      </c>
      <c r="EL530">
        <f>IF($DM530=0,"",COUNTIF($EG$5:$EG$1003,"&lt;"&amp;$EG530)+SUMPRODUCT(($EG$5:$EG$1003=$EG530)*(($EJ$5:$EJ$1003&lt;$EJ530)+($EJ$5:$EJ$1003=$EJ530)*(($EK$5:$EK$1003&lt;$EK530)+($EK$5:$EK$1003=$EK530)*($DE$5:$DE$1003&lt;$DE530))))+1)</f>
        <v/>
      </c>
      <c r="EM530">
        <f>IF($DM530=0,"",$EL530+$EG530-1)</f>
        <v/>
      </c>
      <c r="EN530">
        <f>IF($DM530=0,0,IFERROR(MATCH(1,INDEX(--(TRIM(SUBSTITUTE(SUBSTITUTE(SUBSTITUTE(SUBSTITUTE(LINES_NAME&amp;""," "," "),CHAR(9)," "),CHAR(10)," "),CHAR(13)," "))=$DH530),0),0),0))</f>
        <v/>
      </c>
      <c r="EO530">
        <f>IF($EN530=0,0,IF(OR(UPPER(TRIM(INDEX(LINES_SCHEDULED,$EN530)&amp;""))="YES",UPPER(TRIM(INDEX(LINES_SCHEDULED,$EN530)&amp;""))="Y",UPPER(TRIM(INDEX(LINES_SCHEDULED,$EN530)&amp;""))="X"),1,0))</f>
        <v/>
      </c>
      <c r="EP530">
        <f>IF($DM530=0,"",IF(COUNTIFS($EG$5:$EG$1003,$EG530,$EB$5:$EB$1003,"Ready")&gt;0,"READY",IF(COUNTIFS($EG$5:$EG$1003,$EG530,$EB$5:$EB$1003,"PM")&gt;0,"PM",IF(COUNTIFS($EG$5:$EG$1003,$EG530,$EB$5:$EB$1003,"OT")&gt;0,"OT",""))))</f>
        <v/>
      </c>
      <c r="EQ530">
        <f>IF($EN530=0,"",UPPER(TRIM(INDEX(LINES_STATUS,$EN530)&amp;"")))</f>
        <v/>
      </c>
      <c r="ER530">
        <f>IF($DM530=0,"",IF(OR($EQ530="READY",$EQ530="PM",$EQ530="OT"),$EQ530,$EP530))</f>
        <v/>
      </c>
      <c r="ES530">
        <f>IF($DM530=0,"",IF(AND($DV530&lt;&gt;"",UPPER($DV530)&lt;&gt;"N"),"allergen",IF(ISNUMBER(SEARCH("oil",$DQ530)),"oil",IF(OR(EXACT($DS530,"A662"),EXACT($DS530,"A624")),"bulk",""))))</f>
        <v/>
      </c>
      <c r="ET530">
        <f>IF($DM530=0,"",IF(OR($EA530="",$EA530=0),"",$EA530/100))</f>
        <v/>
      </c>
      <c r="EU530">
        <f>IF(OR($ET530="",$DY530=""),"",INT($DY530*(1-$ET530)+0.5))</f>
        <v/>
      </c>
      <c r="EW530" t="n">
        <v>526</v>
      </c>
      <c r="EX530">
        <f>IFERROR(MATCH($EW530,$EM$5:$EM$1003,0),0)</f>
        <v/>
      </c>
      <c r="EY530">
        <f>IF($EW530&gt;$B$12,"",IF($EX530&gt;0,"row","spacer"))</f>
        <v/>
      </c>
      <c r="EZ530">
        <f>IF(AND($EY530="row",$EY529&lt;&gt;"row"),1,0)</f>
        <v/>
      </c>
      <c r="FA530">
        <f>IF(AND($EY530="row",$EY531&lt;&gt;"row"),1,0)</f>
        <v/>
      </c>
      <c r="FB530">
        <f>IF($EZ530=1,IFERROR(IF(ISNUMBER(INDEX(PASTE_ALL,INDEX($DF$5:$DF$1003,$EX530),$B$37)),INDEX(PASTE_ALL,INDEX($DF$5:$DF$1003,$EX530),$B$37),INDEX($DH$5:$DH$1003,$EX530)),INDEX($DH$5:$DH$1003,$EX530)),"")</f>
        <v/>
      </c>
      <c r="FC530">
        <f>IF($EY530="row",INDEX($ER$5:$ER$1003,$EX530),"")</f>
        <v/>
      </c>
      <c r="FD530">
        <f>IF($EY530="row",INDEX($DN$5:$DN$1003,$EX530),"")</f>
        <v/>
      </c>
      <c r="FE530">
        <f>IF($EY530="row",INDEX($DO$5:$DO$1003,$EX530),"")</f>
        <v/>
      </c>
      <c r="FF530">
        <f>IF($EY530="row",INDEX($DP$5:$DP$1003,$EX530),"")</f>
        <v/>
      </c>
      <c r="FG530">
        <f>IF($EY530="row",INDEX($DQ$5:$DQ$1003,$EX530),"")</f>
        <v/>
      </c>
      <c r="FH530">
        <f>IF($EY530="row",INDEX($DR$5:$DR$1003,$EX530),"")</f>
        <v/>
      </c>
      <c r="FI530">
        <f>IF($EY530="row",INDEX($DS$5:$DS$1003,$EX530),"")</f>
        <v/>
      </c>
      <c r="FJ530">
        <f>IF($EY530="row",INDEX($DT$5:$DT$1003,$EX530),"")</f>
        <v/>
      </c>
      <c r="FK530">
        <f>IF($EY530="row",INDEX($DU$5:$DU$1003,$EX530),"")</f>
        <v/>
      </c>
      <c r="FL530">
        <f>IF($EY530="row",INDEX($DV$5:$DV$1003,$EX530),"")</f>
        <v/>
      </c>
      <c r="FM530">
        <f>IF($EY530="row",INDEX($DW$5:$DW$1003,$EX530),"")</f>
        <v/>
      </c>
      <c r="FN530">
        <f>IF($EY530="row",INDEX($DY$5:$DY$1003,$EX530),"")</f>
        <v/>
      </c>
      <c r="FO530">
        <f>IF($EY530="row",INDEX($EA$5:$EA$1003,$EX530),"")</f>
        <v/>
      </c>
      <c r="FP530">
        <f>IF($EY530="row",INDEX($EC$5:$EC$1003,$EX530),"")</f>
        <v/>
      </c>
      <c r="FQ530">
        <f>IF($EY530="row",INDEX($ET$5:$ET$1003,$EX530),"")</f>
        <v/>
      </c>
      <c r="FR530">
        <f>IF($EY530="row",INDEX($EU$5:$EU$1003,$EX530),"")</f>
        <v/>
      </c>
      <c r="FS530">
        <f>IF(AND($EY530="row",$EY529="row"),IF(OR(INDEX($DT$5:$DT$1003,$EX529)="",INDEX($DT$5:$DT$1003,$EX530)=""),"",IF(NOT(EXACT(INDEX($DT$5:$DT$1003,$EX529),INDEX($DT$5:$DT$1003,$EX530))),"S4",IF(NOT(EXACT(INDEX($DS$5:$DS$1003,$EX529),INDEX($DS$5:$DS$1003,$EX530))),"S3",IF(NOT(EXACT(INDEX($DR$5:$DR$1003,$EX529),INDEX($DR$5:$DR$1003,$EX530))),"S1 Count Change","S1")))),"")</f>
        <v/>
      </c>
      <c r="FT530">
        <f>IF($EY530="row",INDEX($ES$5:$ES$1003,$EX530),"")</f>
        <v/>
      </c>
      <c r="FU530">
        <f>IF($EY530="row",INDEX($EO$5:$EO$1003,$EX530),0)</f>
        <v/>
      </c>
      <c r="FV530">
        <f>IF($FS530="S1 Count Change",1,0)</f>
        <v/>
      </c>
    </row>
    <row r="531">
      <c r="DA531" t="n">
        <v>527</v>
      </c>
      <c r="DB531">
        <f>IF($B$37=0,"",IFERROR(TRIM(SUBSTITUTE(SUBSTITUTE(SUBSTITUTE(SUBSTITUTE(INDEX(PASTE_ALL,527,$B$37)," "," "),CHAR(9)," "),CHAR(10)," "),CHAR(13)," ")),""))</f>
        <v/>
      </c>
      <c r="DC531">
        <f>IF(AND(527&gt;HEADER_ROW,UPPER(DB531)="LEGEND"),1,0)</f>
        <v/>
      </c>
      <c r="DE531" t="n">
        <v>527</v>
      </c>
      <c r="DF531">
        <f>HEADER_ROW+$DE531</f>
        <v/>
      </c>
      <c r="DG531">
        <f>IF(AND($DF531&lt;=1000,$DF531&lt;$B$8),1,0)</f>
        <v/>
      </c>
      <c r="DH531">
        <f>IF($DG531=1,IFERROR(INDEX($DB$5:$DB$1004,$DF531),""),"")</f>
        <v/>
      </c>
      <c r="DI531">
        <f>IF(AND($DG531=1,$DH531&lt;&gt;""),IFERROR(SUBSTITUTE(SUBSTITUTE(TRIM(SUBSTITUTE(SUBSTITUTE(SUBSTITUTE(SUBSTITUTE(IFERROR(INDEX(PASTE_ALL,$DF531,1)&amp;"","")&amp;"␟"&amp;IFERROR(INDEX(PASTE_ALL,$DF531,2)&amp;"","")&amp;"␟"&amp;IFERROR(INDEX(PASTE_ALL,$DF531,3)&amp;"","")&amp;"␟"&amp;IFERROR(INDEX(PASTE_ALL,$DF531,4)&amp;"","")&amp;"␟"&amp;IFERROR(INDEX(PASTE_ALL,$DF531,5)&amp;"","")&amp;"␟"&amp;IFERROR(INDEX(PASTE_ALL,$DF531,6)&amp;"","")&amp;"␟"&amp;IFERROR(INDEX(PASTE_ALL,$DF531,7)&amp;"","")&amp;"␟"&amp;IFERROR(INDEX(PASTE_ALL,$DF531,8)&amp;"","")&amp;"␟"&amp;IFERROR(INDEX(PASTE_ALL,$DF531,9)&amp;"","")&amp;"␟"&amp;IFERROR(INDEX(PASTE_ALL,$DF531,10)&amp;"","")&amp;"␟"&amp;IFERROR(INDEX(PASTE_ALL,$DF531,11)&amp;"","")&amp;"␟"&amp;IFERROR(INDEX(PASTE_ALL,$DF531,12)&amp;"","")&amp;"␟"&amp;IFERROR(INDEX(PASTE_ALL,$DF531,13)&amp;"","")&amp;"␟"&amp;IFERROR(INDEX(PASTE_ALL,$DF531,14)&amp;"","")&amp;"␟"&amp;IFERROR(INDEX(PASTE_ALL,$DF531,15)&amp;"","")&amp;"␟"&amp;IFERROR(INDEX(PASTE_ALL,$DF531,16)&amp;"","")&amp;"␟"&amp;IFERROR(INDEX(PASTE_ALL,$DF531,17)&amp;"","")&amp;"␟"&amp;IFERROR(INDEX(PASTE_ALL,$DF531,18)&amp;"","")&amp;"␟"&amp;IFERROR(INDEX(PASTE_ALL,$DF531,19)&amp;"","")&amp;"␟"&amp;IFERROR(INDEX(PASTE_ALL,$DF531,20)&amp;"","")&amp;"␟"&amp;IFERROR(INDEX(PASTE_ALL,$DF531,21)&amp;"","")&amp;"␟"&amp;IFERROR(INDEX(PASTE_ALL,$DF531,22)&amp;"","")&amp;"␟"&amp;IFERROR(INDEX(PASTE_ALL,$DF531,23)&amp;"","")&amp;"␟"&amp;IFERROR(INDEX(PASTE_ALL,$DF531,24)&amp;"","")&amp;"␟"&amp;IFERROR(INDEX(PASTE_ALL,$DF531,25)&amp;"","")&amp;"␟"&amp;IFERROR(INDEX(PASTE_ALL,$DF531,26)&amp;"","")&amp;"␟"&amp;IFERROR(INDEX(PASTE_ALL,$DF531,27)&amp;"","")&amp;"␟"&amp;IFERROR(INDEX(PASTE_ALL,$DF531,28)&amp;"","")&amp;"␟"&amp;IFERROR(INDEX(PASTE_ALL,$DF531,29)&amp;"","")&amp;"␟"&amp;IFERROR(INDEX(PASTE_ALL,$DF531,30)&amp;"","")&amp;"␟"&amp;IFERROR(INDEX(PASTE_ALL,$DF531,31)&amp;"","")&amp;"␟"&amp;IFERROR(INDEX(PASTE_ALL,$DF531,32)&amp;"","")&amp;"␟"&amp;IFERROR(INDEX(PASTE_ALL,$DF531,33)&amp;"","")&amp;"␟"&amp;IFERROR(INDEX(PASTE_ALL,$DF531,34)&amp;"","")&amp;"␟"&amp;IFERROR(INDEX(PASTE_ALL,$DF531,35)&amp;"","")&amp;"␟"&amp;IFERROR(INDEX(PASTE_ALL,$DF531,36)&amp;"","")&amp;"␟"&amp;IFERROR(INDEX(PASTE_ALL,$DF531,37)&amp;"","")&amp;"␟"&amp;IFERROR(INDEX(PASTE_ALL,$DF531,38)&amp;"","")&amp;"␟"&amp;IFERROR(INDEX(PASTE_ALL,$DF531,39)&amp;"","")&amp;"␟"&amp;IFERROR(INDEX(PASTE_ALL,$DF531,40)&amp;"","")&amp;"␟"&amp;IFERROR(INDEX(PASTE_ALL,$DF531,41)&amp;"","")&amp;"␟"&amp;IFERROR(INDEX(PASTE_ALL,$DF531,42)&amp;"","")&amp;"␟"&amp;IFERROR(INDEX(PASTE_ALL,$DF531,43)&amp;"","")&amp;"␟"&amp;IFERROR(INDEX(PASTE_ALL,$DF531,44)&amp;"","")&amp;"␟"&amp;IFERROR(INDEX(PASTE_ALL,$DF531,45)&amp;"","")&amp;"␟"&amp;IFERROR(INDEX(PASTE_ALL,$DF531,46)&amp;"","")&amp;"␟"&amp;IFERROR(INDEX(PASTE_ALL,$DF531,47)&amp;"","")&amp;"␟"&amp;IFERROR(INDEX(PASTE_ALL,$DF531,48)&amp;"","")&amp;"␟"&amp;IFERROR(INDEX(PASTE_ALL,$DF531,49)&amp;"","")&amp;"␟"&amp;IFERROR(INDEX(PASTE_ALL,$DF531,50)&amp;"","")&amp;"␟"&amp;IFERROR(INDEX(PASTE_ALL,$DF531,51)&amp;"","")&amp;"␟"&amp;IFERROR(INDEX(PASTE_ALL,$DF531,52)&amp;"","")&amp;"␟"&amp;IFERROR(INDEX(PASTE_ALL,$DF531,53)&amp;"","")&amp;"␟"&amp;IFERROR(INDEX(PASTE_ALL,$DF531,54)&amp;"","")&amp;"␟"&amp;IFERROR(INDEX(PASTE_ALL,$DF531,55)&amp;"","")&amp;"␟"&amp;IFERROR(INDEX(PASTE_ALL,$DF531,56)&amp;"","")&amp;"␟"&amp;IFERROR(INDEX(PASTE_ALL,$DF531,57)&amp;"","")&amp;"␟"&amp;IFERROR(INDEX(PASTE_ALL,$DF531,58)&amp;"","")&amp;"␟"&amp;IFERROR(INDEX(PASTE_ALL,$DF531,59)&amp;"","")&amp;"␟"&amp;IFERROR(INDEX(PASTE_ALL,$DF531,60)&amp;"","")," "," "),CHAR(9)," "),CHAR(10)," "),CHAR(13)," "))," ␟","␟"),"␟ ","␟"),"#"&amp;$DE531),"")</f>
        <v/>
      </c>
      <c r="DJ531">
        <f>IF($DI531="",0,IF(SUMPRODUCT(--EXACT($DI$4:DI530,$DI531))&gt;0,1,0))</f>
        <v/>
      </c>
      <c r="DK531">
        <f>IF(AND($DI531&lt;&gt;"",$DJ531=0),1,0)</f>
        <v/>
      </c>
      <c r="DL531">
        <f>DL530+$DK531</f>
        <v/>
      </c>
      <c r="DM531">
        <f>IF(AND($DK531=1,$DL531&lt;=600),1,0)</f>
        <v/>
      </c>
      <c r="DN531">
        <f>IF($DM531=0,"",IF($L$6=0,"",IFERROR(IF(ISNUMBER(INDEX(PASTE_ALL,$DF531,$L$6)),INDEX(PASTE_ALL,$DF531,$L$6),TRIM(SUBSTITUTE(SUBSTITUTE(SUBSTITUTE(SUBSTITUTE(INDEX(PASTE_ALL,$DF531,$L$6)," "," "),CHAR(9)," "),CHAR(10)," "),CHAR(13)," "))),"")))</f>
        <v/>
      </c>
      <c r="DO531">
        <f>IF($DM531=0,"",IF($L$7=0,"",IFERROR(IF(ISNUMBER(INDEX(PASTE_ALL,$DF531,$L$7)),INDEX(PASTE_ALL,$DF531,$L$7),TRIM(SUBSTITUTE(SUBSTITUTE(SUBSTITUTE(SUBSTITUTE(INDEX(PASTE_ALL,$DF531,$L$7)," "," "),CHAR(9)," "),CHAR(10)," "),CHAR(13)," "))),"")))</f>
        <v/>
      </c>
      <c r="DP531">
        <f>IF($DM531=0,"",IF($L$8=0,"",IFERROR(IF(ISNUMBER(INDEX(PASTE_ALL,$DF531,$L$8)),INDEX(PASTE_ALL,$DF531,$L$8),TRIM(SUBSTITUTE(SUBSTITUTE(SUBSTITUTE(SUBSTITUTE(INDEX(PASTE_ALL,$DF531,$L$8)," "," "),CHAR(9)," "),CHAR(10)," "),CHAR(13)," "))),"")))</f>
        <v/>
      </c>
      <c r="DQ531">
        <f>IF($DM531=0,"",IF($L$9=0,"",IFERROR(IF(ISNUMBER(INDEX(PASTE_ALL,$DF531,$L$9)),INDEX(PASTE_ALL,$DF531,$L$9),TRIM(SUBSTITUTE(SUBSTITUTE(SUBSTITUTE(SUBSTITUTE(INDEX(PASTE_ALL,$DF531,$L$9)," "," "),CHAR(9)," "),CHAR(10)," "),CHAR(13)," "))),"")))</f>
        <v/>
      </c>
      <c r="DR531">
        <f>IF($DM531=0,"",IF($L$10=0,"",IFERROR(IF(ISNUMBER(INDEX(PASTE_ALL,$DF531,$L$10)),INDEX(PASTE_ALL,$DF531,$L$10),TRIM(SUBSTITUTE(SUBSTITUTE(SUBSTITUTE(SUBSTITUTE(INDEX(PASTE_ALL,$DF531,$L$10)," "," "),CHAR(9)," "),CHAR(10)," "),CHAR(13)," "))),"")))</f>
        <v/>
      </c>
      <c r="DS531">
        <f>IF($DM531=0,"",IF($L$11=0,"",IFERROR(IF(ISNUMBER(INDEX(PASTE_ALL,$DF531,$L$11)),INDEX(PASTE_ALL,$DF531,$L$11),TRIM(SUBSTITUTE(SUBSTITUTE(SUBSTITUTE(SUBSTITUTE(INDEX(PASTE_ALL,$DF531,$L$11)," "," "),CHAR(9)," "),CHAR(10)," "),CHAR(13)," "))),"")))</f>
        <v/>
      </c>
      <c r="DT531">
        <f>IF($DM531=0,"",IF($L$12=0,"",IFERROR(IF(ISNUMBER(INDEX(PASTE_ALL,$DF531,$L$12)),INDEX(PASTE_ALL,$DF531,$L$12),TRIM(SUBSTITUTE(SUBSTITUTE(SUBSTITUTE(SUBSTITUTE(INDEX(PASTE_ALL,$DF531,$L$12)," "," "),CHAR(9)," "),CHAR(10)," "),CHAR(13)," "))),"")))</f>
        <v/>
      </c>
      <c r="DU531">
        <f>IF($DM531=0,"",IF($L$13=0,"",IFERROR(IF(ISNUMBER(INDEX(PASTE_ALL,$DF531,$L$13)),INDEX(PASTE_ALL,$DF531,$L$13),TRIM(SUBSTITUTE(SUBSTITUTE(SUBSTITUTE(SUBSTITUTE(INDEX(PASTE_ALL,$DF531,$L$13)," "," "),CHAR(9)," "),CHAR(10)," "),CHAR(13)," "))),"")))</f>
        <v/>
      </c>
      <c r="DV531">
        <f>IF($DM531=0,"",IF($L$14=0,"",IFERROR(IF(ISNUMBER(INDEX(PASTE_ALL,$DF531,$L$14)),INDEX(PASTE_ALL,$DF531,$L$14),TRIM(SUBSTITUTE(SUBSTITUTE(SUBSTITUTE(SUBSTITUTE(INDEX(PASTE_ALL,$DF531,$L$14)," "," "),CHAR(9)," "),CHAR(10)," "),CHAR(13)," "))),"")))</f>
        <v/>
      </c>
      <c r="DW531">
        <f>IF($DM531=0,"",IF($L$15=0,"",IFERROR(IF(ISNUMBER(INDEX(PASTE_ALL,$DF531,$L$15)),INDEX(PASTE_ALL,$DF531,$L$15),IF(SUMPRODUCT(--ISNUMBER(FIND({"A","B","C","D","E","F","G","H","I","J","K","L","M","N","O","P","Q","R","S","T","U","V","W","X","Y","Z","0","1","2","3","4","5","6","7","8","9"},UPPER(TRIM(SUBSTITUTE(SUBSTITUTE(SUBSTITUTE(SUBSTITUTE(INDEX(PASTE_ALL,$DF531,$L$15)," "," "),CHAR(9)," "),CHAR(10)," "),CHAR(13)," "))))))&gt;0,TRIM(SUBSTITUTE(SUBSTITUTE(SUBSTITUTE(SUBSTITUTE(INDEX(PASTE_ALL,$DF531,$L$15)," "," "),CHAR(9)," "),CHAR(10)," "),CHAR(13)," ")),"")),"")))</f>
        <v/>
      </c>
      <c r="DX531">
        <f>IF($DM531=0,"",IF($L$16=0,"",IFERROR(IF(ISNUMBER(INDEX(PASTE_ALL,$DF531,$L$16)),INDEX(PASTE_ALL,$DF531,$L$16),SUBSTITUTE(SUBSTITUTE(TRIM(SUBSTITUTE(SUBSTITUTE(SUBSTITUTE(SUBSTITUTE(INDEX(PASTE_ALL,$DF531,$L$16)," "," "),CHAR(9)," "),CHAR(10)," "),CHAR(13)," ")),",",""),"%","")),"")))</f>
        <v/>
      </c>
      <c r="DY531">
        <f>IF($DM531=0,"",IFERROR(IF(ISNUMBER($DX531),$DX531,IF($DX531="","",IF(TRIM($DX531)="",0,IF(AND(AND(SUBSTITUTE(SUBSTITUTE(SUBSTITUTE(SUBSTITUTE(SUBSTITUTE(SUBSTITUTE(SUBSTITUTE(SUBSTITUTE(SUBSTITUTE(SUBSTITUTE(SUBSTITUTE(SUBSTITUTE(SUBSTITUTE(SUBSTITUTE(UPPER(TRIM($DX531)),"0",""),"1",""),"2",""),"3",""),"4",""),"5",""),"6",""),"7",""),"8",""),"9",""),".",""),"+",""),"-",""),"E","")="",LEN(SUBSTITUTE(SUBSTITUTE(MID(UPPER(TRIM($DX531)),1+OR(LEFT(UPPER(TRIM($DX531)),1)="+",LEFT(UPPER(TRIM($DX531)),1)="-"),999),"E+","E"),"E-","E"))=LEN(SUBSTITUTE(SUBSTITUTE(SUBSTITUTE(SUBSTITUTE(MID(UPPER(TRIM($DX531)),1+OR(LEFT(UPPER(TRIM($DX531)),1)="+",LEFT(UPPER(TRIM($DX531)),1)="-"),999),"E+","E"),"E-","E"),"+",""),"-","")),LEN(UPPER(TRIM($DX531)))-LEN(SUBSTITUTE(UPPER(TRIM($DX531)),"E",""))&lt;2,LEN(UPPER(TRIM($DX531)))-LEN(SUBSTITUTE(UPPER(TRIM($DX531)),".",""))&lt;2,IFERROR(FIND(".",UPPER(TRIM($DX531))),0)&lt;IFERROR(FIND("E",UPPER(TRIM($DX531))),999)),ISNUMBER(VALUE(TRIM($DX531)))),VALUE(TRIM($DX531)),"")))),""))</f>
        <v/>
      </c>
      <c r="DZ531">
        <f>IF($DM531=0,"",IF($L$17=0,"",IFERROR(IF(ISNUMBER(INDEX(PASTE_ALL,$DF531,$L$17)),INDEX(PASTE_ALL,$DF531,$L$17),SUBSTITUTE(SUBSTITUTE(TRIM(SUBSTITUTE(SUBSTITUTE(SUBSTITUTE(SUBSTITUTE(INDEX(PASTE_ALL,$DF531,$L$17)," "," "),CHAR(9)," "),CHAR(10)," "),CHAR(13)," ")),",",""),"%","")),"")))</f>
        <v/>
      </c>
      <c r="EA531">
        <f>IF($DM531=0,"",IFERROR(IF(ISNUMBER($DZ531),$DZ531,IF($DZ531="","",IF(TRIM($DZ531)="",0,IF(AND(AND(SUBSTITUTE(SUBSTITUTE(SUBSTITUTE(SUBSTITUTE(SUBSTITUTE(SUBSTITUTE(SUBSTITUTE(SUBSTITUTE(SUBSTITUTE(SUBSTITUTE(SUBSTITUTE(SUBSTITUTE(SUBSTITUTE(SUBSTITUTE(UPPER(TRIM($DZ531)),"0",""),"1",""),"2",""),"3",""),"4",""),"5",""),"6",""),"7",""),"8",""),"9",""),".",""),"+",""),"-",""),"E","")="",LEN(SUBSTITUTE(SUBSTITUTE(MID(UPPER(TRIM($DZ531)),1+OR(LEFT(UPPER(TRIM($DZ531)),1)="+",LEFT(UPPER(TRIM($DZ531)),1)="-"),999),"E+","E"),"E-","E"))=LEN(SUBSTITUTE(SUBSTITUTE(SUBSTITUTE(SUBSTITUTE(MID(UPPER(TRIM($DZ531)),1+OR(LEFT(UPPER(TRIM($DZ531)),1)="+",LEFT(UPPER(TRIM($DZ531)),1)="-"),999),"E+","E"),"E-","E"),"+",""),"-","")),LEN(UPPER(TRIM($DZ531)))-LEN(SUBSTITUTE(UPPER(TRIM($DZ531)),"E",""))&lt;2,LEN(UPPER(TRIM($DZ531)))-LEN(SUBSTITUTE(UPPER(TRIM($DZ531)),".",""))&lt;2,IFERROR(FIND(".",UPPER(TRIM($DZ531))),0)&lt;IFERROR(FIND("E",UPPER(TRIM($DZ531))),999)),ISNUMBER(VALUE(TRIM($DZ531)))),VALUE(TRIM($DZ531)),"")))),""))</f>
        <v/>
      </c>
      <c r="EB531">
        <f>IF($DM531=0,"",IF($L$18=0,"",IFERROR(IF(UPPER(TRIM(SUBSTITUTE(SUBSTITUTE(SUBSTITUTE(SUBSTITUTE(INDEX(PASTE_ALL,$DF531,$L$18)," "," "),CHAR(9)," "),CHAR(10)," "),CHAR(13)," ")))="READY","Ready",IF(UPPER(TRIM(SUBSTITUTE(SUBSTITUTE(SUBSTITUTE(SUBSTITUTE(INDEX(PASTE_ALL,$DF531,$L$18)," "," "),CHAR(9)," "),CHAR(10)," "),CHAR(13)," ")))="PM","PM",IF(OR(UPPER(TRIM(SUBSTITUTE(SUBSTITUTE(SUBSTITUTE(SUBSTITUTE(INDEX(PASTE_ALL,$DF531,$L$18)," "," "),CHAR(9)," "),CHAR(10)," "),CHAR(13)," ")))="OT",UPPER(TRIM(SUBSTITUTE(SUBSTITUTE(SUBSTITUTE(SUBSTITUTE(INDEX(PASTE_ALL,$DF531,$L$18)," "," "),CHAR(9)," "),CHAR(10)," "),CHAR(13)," ")))="OVERTIME",UPPER(TRIM(SUBSTITUTE(SUBSTITUTE(SUBSTITUTE(SUBSTITUTE(INDEX(PASTE_ALL,$DF531,$L$18)," "," "),CHAR(9)," "),CHAR(10)," "),CHAR(13)," ")))="TRIAL"),"OT",TRIM(SUBSTITUTE(SUBSTITUTE(SUBSTITUTE(SUBSTITUTE(INDEX(PASTE_ALL,$DF531,$L$18)," "," "),CHAR(9)," "),CHAR(10)," "),CHAR(13)," "))))),"")))</f>
        <v/>
      </c>
      <c r="EC531">
        <f>IF($DM531=0,"",IF($L$19=0,"",IFERROR(IF(ISNUMBER(INDEX(PASTE_ALL,$DF531,$L$19)),INDEX(PASTE_ALL,$DF531,$L$19),TRIM(SUBSTITUTE(SUBSTITUTE(SUBSTITUTE(SUBSTITUTE(INDEX(PASTE_ALL,$DF531,$L$19)," "," "),CHAR(9)," "),CHAR(10)," "),CHAR(13)," "))),"")))</f>
        <v/>
      </c>
      <c r="ED531">
        <f>IF($DM531=0,"",MATCH(1,INDEX(EXACT($DH$5:DH531,$DH531)*$DM$5:DM531,0),0))</f>
        <v/>
      </c>
      <c r="EE531">
        <f>IF($DM531=0,0,IF($ED531=$DE531,1,0))</f>
        <v/>
      </c>
      <c r="EF531">
        <f>EF530+$EE531</f>
        <v/>
      </c>
      <c r="EG531">
        <f>IF($DM531=0,"",INDEX($EF$5:$EF$1003,$ED531))</f>
        <v/>
      </c>
      <c r="EH531">
        <f>IF($DM531=0,"",IF($DO531&lt;&gt;"","",IFERROR(LOOKUP(2,1/(($EG$4:EG530=$EG531)*($DO$4:DO530&lt;&gt;"")),$DO$4:DO530),"")))</f>
        <v/>
      </c>
      <c r="EI531">
        <f>IF($DM531=0,"",IF($DO531&lt;&gt;"",$DO531,$EH531))</f>
        <v/>
      </c>
      <c r="EJ531">
        <f>IF($DM531=0,"",IF($EI531="",0,IF(OR(ISNUMBER($EI531),AND(AND(SUBSTITUTE(SUBSTITUTE(SUBSTITUTE(SUBSTITUTE(SUBSTITUTE(SUBSTITUTE(SUBSTITUTE(SUBSTITUTE(SUBSTITUTE(SUBSTITUTE(SUBSTITUTE(SUBSTITUTE(SUBSTITUTE(SUBSTITUTE(UPPER($EI531),"0",""),"1",""),"2",""),"3",""),"4",""),"5",""),"6",""),"7",""),"8",""),"9",""),".",""),"+",""),"-",""),"E","")="",LEN(SUBSTITUTE(SUBSTITUTE(MID(UPPER($EI531),1+OR(LEFT(UPPER($EI531),1)="+",LEFT(UPPER($EI531),1)="-"),999),"E+","E"),"E-","E"))=LEN(SUBSTITUTE(SUBSTITUTE(SUBSTITUTE(SUBSTITUTE(MID(UPPER($EI531),1+OR(LEFT(UPPER($EI531),1)="+",LEFT(UPPER($EI531),1)="-"),999),"E+","E"),"E-","E"),"+",""),"-","")),LEN(UPPER($EI531))-LEN(SUBSTITUTE(UPPER($EI531),"E",""))&lt;2,LEN(UPPER($EI531))-LEN(SUBSTITUTE(UPPER($EI531),".",""))&lt;2,IFERROR(FIND(".",UPPER($EI531)),0)&lt;IFERROR(FIND("E",UPPER($EI531)),999)),ISNUMBER(VALUE($EI531)))),1,2)))</f>
        <v/>
      </c>
      <c r="EK531">
        <f>IF($DM531=0,"",IF($EJ531=1,IF(ISNUMBER($EI531),$EI531,VALUE($EI531)),IF($EJ531=2,$DE531,0)))</f>
        <v/>
      </c>
      <c r="EL531">
        <f>IF($DM531=0,"",COUNTIF($EG$5:$EG$1003,"&lt;"&amp;$EG531)+SUMPRODUCT(($EG$5:$EG$1003=$EG531)*(($EJ$5:$EJ$1003&lt;$EJ531)+($EJ$5:$EJ$1003=$EJ531)*(($EK$5:$EK$1003&lt;$EK531)+($EK$5:$EK$1003=$EK531)*($DE$5:$DE$1003&lt;$DE531))))+1)</f>
        <v/>
      </c>
      <c r="EM531">
        <f>IF($DM531=0,"",$EL531+$EG531-1)</f>
        <v/>
      </c>
      <c r="EN531">
        <f>IF($DM531=0,0,IFERROR(MATCH(1,INDEX(--(TRIM(SUBSTITUTE(SUBSTITUTE(SUBSTITUTE(SUBSTITUTE(LINES_NAME&amp;""," "," "),CHAR(9)," "),CHAR(10)," "),CHAR(13)," "))=$DH531),0),0),0))</f>
        <v/>
      </c>
      <c r="EO531">
        <f>IF($EN531=0,0,IF(OR(UPPER(TRIM(INDEX(LINES_SCHEDULED,$EN531)&amp;""))="YES",UPPER(TRIM(INDEX(LINES_SCHEDULED,$EN531)&amp;""))="Y",UPPER(TRIM(INDEX(LINES_SCHEDULED,$EN531)&amp;""))="X"),1,0))</f>
        <v/>
      </c>
      <c r="EP531">
        <f>IF($DM531=0,"",IF(COUNTIFS($EG$5:$EG$1003,$EG531,$EB$5:$EB$1003,"Ready")&gt;0,"READY",IF(COUNTIFS($EG$5:$EG$1003,$EG531,$EB$5:$EB$1003,"PM")&gt;0,"PM",IF(COUNTIFS($EG$5:$EG$1003,$EG531,$EB$5:$EB$1003,"OT")&gt;0,"OT",""))))</f>
        <v/>
      </c>
      <c r="EQ531">
        <f>IF($EN531=0,"",UPPER(TRIM(INDEX(LINES_STATUS,$EN531)&amp;"")))</f>
        <v/>
      </c>
      <c r="ER531">
        <f>IF($DM531=0,"",IF(OR($EQ531="READY",$EQ531="PM",$EQ531="OT"),$EQ531,$EP531))</f>
        <v/>
      </c>
      <c r="ES531">
        <f>IF($DM531=0,"",IF(AND($DV531&lt;&gt;"",UPPER($DV531)&lt;&gt;"N"),"allergen",IF(ISNUMBER(SEARCH("oil",$DQ531)),"oil",IF(OR(EXACT($DS531,"A662"),EXACT($DS531,"A624")),"bulk",""))))</f>
        <v/>
      </c>
      <c r="ET531">
        <f>IF($DM531=0,"",IF(OR($EA531="",$EA531=0),"",$EA531/100))</f>
        <v/>
      </c>
      <c r="EU531">
        <f>IF(OR($ET531="",$DY531=""),"",INT($DY531*(1-$ET531)+0.5))</f>
        <v/>
      </c>
      <c r="EW531" t="n">
        <v>527</v>
      </c>
      <c r="EX531">
        <f>IFERROR(MATCH($EW531,$EM$5:$EM$1003,0),0)</f>
        <v/>
      </c>
      <c r="EY531">
        <f>IF($EW531&gt;$B$12,"",IF($EX531&gt;0,"row","spacer"))</f>
        <v/>
      </c>
      <c r="EZ531">
        <f>IF(AND($EY531="row",$EY530&lt;&gt;"row"),1,0)</f>
        <v/>
      </c>
      <c r="FA531">
        <f>IF(AND($EY531="row",$EY532&lt;&gt;"row"),1,0)</f>
        <v/>
      </c>
      <c r="FB531">
        <f>IF($EZ531=1,IFERROR(IF(ISNUMBER(INDEX(PASTE_ALL,INDEX($DF$5:$DF$1003,$EX531),$B$37)),INDEX(PASTE_ALL,INDEX($DF$5:$DF$1003,$EX531),$B$37),INDEX($DH$5:$DH$1003,$EX531)),INDEX($DH$5:$DH$1003,$EX531)),"")</f>
        <v/>
      </c>
      <c r="FC531">
        <f>IF($EY531="row",INDEX($ER$5:$ER$1003,$EX531),"")</f>
        <v/>
      </c>
      <c r="FD531">
        <f>IF($EY531="row",INDEX($DN$5:$DN$1003,$EX531),"")</f>
        <v/>
      </c>
      <c r="FE531">
        <f>IF($EY531="row",INDEX($DO$5:$DO$1003,$EX531),"")</f>
        <v/>
      </c>
      <c r="FF531">
        <f>IF($EY531="row",INDEX($DP$5:$DP$1003,$EX531),"")</f>
        <v/>
      </c>
      <c r="FG531">
        <f>IF($EY531="row",INDEX($DQ$5:$DQ$1003,$EX531),"")</f>
        <v/>
      </c>
      <c r="FH531">
        <f>IF($EY531="row",INDEX($DR$5:$DR$1003,$EX531),"")</f>
        <v/>
      </c>
      <c r="FI531">
        <f>IF($EY531="row",INDEX($DS$5:$DS$1003,$EX531),"")</f>
        <v/>
      </c>
      <c r="FJ531">
        <f>IF($EY531="row",INDEX($DT$5:$DT$1003,$EX531),"")</f>
        <v/>
      </c>
      <c r="FK531">
        <f>IF($EY531="row",INDEX($DU$5:$DU$1003,$EX531),"")</f>
        <v/>
      </c>
      <c r="FL531">
        <f>IF($EY531="row",INDEX($DV$5:$DV$1003,$EX531),"")</f>
        <v/>
      </c>
      <c r="FM531">
        <f>IF($EY531="row",INDEX($DW$5:$DW$1003,$EX531),"")</f>
        <v/>
      </c>
      <c r="FN531">
        <f>IF($EY531="row",INDEX($DY$5:$DY$1003,$EX531),"")</f>
        <v/>
      </c>
      <c r="FO531">
        <f>IF($EY531="row",INDEX($EA$5:$EA$1003,$EX531),"")</f>
        <v/>
      </c>
      <c r="FP531">
        <f>IF($EY531="row",INDEX($EC$5:$EC$1003,$EX531),"")</f>
        <v/>
      </c>
      <c r="FQ531">
        <f>IF($EY531="row",INDEX($ET$5:$ET$1003,$EX531),"")</f>
        <v/>
      </c>
      <c r="FR531">
        <f>IF($EY531="row",INDEX($EU$5:$EU$1003,$EX531),"")</f>
        <v/>
      </c>
      <c r="FS531">
        <f>IF(AND($EY531="row",$EY530="row"),IF(OR(INDEX($DT$5:$DT$1003,$EX530)="",INDEX($DT$5:$DT$1003,$EX531)=""),"",IF(NOT(EXACT(INDEX($DT$5:$DT$1003,$EX530),INDEX($DT$5:$DT$1003,$EX531))),"S4",IF(NOT(EXACT(INDEX($DS$5:$DS$1003,$EX530),INDEX($DS$5:$DS$1003,$EX531))),"S3",IF(NOT(EXACT(INDEX($DR$5:$DR$1003,$EX530),INDEX($DR$5:$DR$1003,$EX531))),"S1 Count Change","S1")))),"")</f>
        <v/>
      </c>
      <c r="FT531">
        <f>IF($EY531="row",INDEX($ES$5:$ES$1003,$EX531),"")</f>
        <v/>
      </c>
      <c r="FU531">
        <f>IF($EY531="row",INDEX($EO$5:$EO$1003,$EX531),0)</f>
        <v/>
      </c>
      <c r="FV531">
        <f>IF($FS531="S1 Count Change",1,0)</f>
        <v/>
      </c>
    </row>
    <row r="532">
      <c r="DA532" t="n">
        <v>528</v>
      </c>
      <c r="DB532">
        <f>IF($B$37=0,"",IFERROR(TRIM(SUBSTITUTE(SUBSTITUTE(SUBSTITUTE(SUBSTITUTE(INDEX(PASTE_ALL,528,$B$37)," "," "),CHAR(9)," "),CHAR(10)," "),CHAR(13)," ")),""))</f>
        <v/>
      </c>
      <c r="DC532">
        <f>IF(AND(528&gt;HEADER_ROW,UPPER(DB532)="LEGEND"),1,0)</f>
        <v/>
      </c>
      <c r="DE532" t="n">
        <v>528</v>
      </c>
      <c r="DF532">
        <f>HEADER_ROW+$DE532</f>
        <v/>
      </c>
      <c r="DG532">
        <f>IF(AND($DF532&lt;=1000,$DF532&lt;$B$8),1,0)</f>
        <v/>
      </c>
      <c r="DH532">
        <f>IF($DG532=1,IFERROR(INDEX($DB$5:$DB$1004,$DF532),""),"")</f>
        <v/>
      </c>
      <c r="DI532">
        <f>IF(AND($DG532=1,$DH532&lt;&gt;""),IFERROR(SUBSTITUTE(SUBSTITUTE(TRIM(SUBSTITUTE(SUBSTITUTE(SUBSTITUTE(SUBSTITUTE(IFERROR(INDEX(PASTE_ALL,$DF532,1)&amp;"","")&amp;"␟"&amp;IFERROR(INDEX(PASTE_ALL,$DF532,2)&amp;"","")&amp;"␟"&amp;IFERROR(INDEX(PASTE_ALL,$DF532,3)&amp;"","")&amp;"␟"&amp;IFERROR(INDEX(PASTE_ALL,$DF532,4)&amp;"","")&amp;"␟"&amp;IFERROR(INDEX(PASTE_ALL,$DF532,5)&amp;"","")&amp;"␟"&amp;IFERROR(INDEX(PASTE_ALL,$DF532,6)&amp;"","")&amp;"␟"&amp;IFERROR(INDEX(PASTE_ALL,$DF532,7)&amp;"","")&amp;"␟"&amp;IFERROR(INDEX(PASTE_ALL,$DF532,8)&amp;"","")&amp;"␟"&amp;IFERROR(INDEX(PASTE_ALL,$DF532,9)&amp;"","")&amp;"␟"&amp;IFERROR(INDEX(PASTE_ALL,$DF532,10)&amp;"","")&amp;"␟"&amp;IFERROR(INDEX(PASTE_ALL,$DF532,11)&amp;"","")&amp;"␟"&amp;IFERROR(INDEX(PASTE_ALL,$DF532,12)&amp;"","")&amp;"␟"&amp;IFERROR(INDEX(PASTE_ALL,$DF532,13)&amp;"","")&amp;"␟"&amp;IFERROR(INDEX(PASTE_ALL,$DF532,14)&amp;"","")&amp;"␟"&amp;IFERROR(INDEX(PASTE_ALL,$DF532,15)&amp;"","")&amp;"␟"&amp;IFERROR(INDEX(PASTE_ALL,$DF532,16)&amp;"","")&amp;"␟"&amp;IFERROR(INDEX(PASTE_ALL,$DF532,17)&amp;"","")&amp;"␟"&amp;IFERROR(INDEX(PASTE_ALL,$DF532,18)&amp;"","")&amp;"␟"&amp;IFERROR(INDEX(PASTE_ALL,$DF532,19)&amp;"","")&amp;"␟"&amp;IFERROR(INDEX(PASTE_ALL,$DF532,20)&amp;"","")&amp;"␟"&amp;IFERROR(INDEX(PASTE_ALL,$DF532,21)&amp;"","")&amp;"␟"&amp;IFERROR(INDEX(PASTE_ALL,$DF532,22)&amp;"","")&amp;"␟"&amp;IFERROR(INDEX(PASTE_ALL,$DF532,23)&amp;"","")&amp;"␟"&amp;IFERROR(INDEX(PASTE_ALL,$DF532,24)&amp;"","")&amp;"␟"&amp;IFERROR(INDEX(PASTE_ALL,$DF532,25)&amp;"","")&amp;"␟"&amp;IFERROR(INDEX(PASTE_ALL,$DF532,26)&amp;"","")&amp;"␟"&amp;IFERROR(INDEX(PASTE_ALL,$DF532,27)&amp;"","")&amp;"␟"&amp;IFERROR(INDEX(PASTE_ALL,$DF532,28)&amp;"","")&amp;"␟"&amp;IFERROR(INDEX(PASTE_ALL,$DF532,29)&amp;"","")&amp;"␟"&amp;IFERROR(INDEX(PASTE_ALL,$DF532,30)&amp;"","")&amp;"␟"&amp;IFERROR(INDEX(PASTE_ALL,$DF532,31)&amp;"","")&amp;"␟"&amp;IFERROR(INDEX(PASTE_ALL,$DF532,32)&amp;"","")&amp;"␟"&amp;IFERROR(INDEX(PASTE_ALL,$DF532,33)&amp;"","")&amp;"␟"&amp;IFERROR(INDEX(PASTE_ALL,$DF532,34)&amp;"","")&amp;"␟"&amp;IFERROR(INDEX(PASTE_ALL,$DF532,35)&amp;"","")&amp;"␟"&amp;IFERROR(INDEX(PASTE_ALL,$DF532,36)&amp;"","")&amp;"␟"&amp;IFERROR(INDEX(PASTE_ALL,$DF532,37)&amp;"","")&amp;"␟"&amp;IFERROR(INDEX(PASTE_ALL,$DF532,38)&amp;"","")&amp;"␟"&amp;IFERROR(INDEX(PASTE_ALL,$DF532,39)&amp;"","")&amp;"␟"&amp;IFERROR(INDEX(PASTE_ALL,$DF532,40)&amp;"","")&amp;"␟"&amp;IFERROR(INDEX(PASTE_ALL,$DF532,41)&amp;"","")&amp;"␟"&amp;IFERROR(INDEX(PASTE_ALL,$DF532,42)&amp;"","")&amp;"␟"&amp;IFERROR(INDEX(PASTE_ALL,$DF532,43)&amp;"","")&amp;"␟"&amp;IFERROR(INDEX(PASTE_ALL,$DF532,44)&amp;"","")&amp;"␟"&amp;IFERROR(INDEX(PASTE_ALL,$DF532,45)&amp;"","")&amp;"␟"&amp;IFERROR(INDEX(PASTE_ALL,$DF532,46)&amp;"","")&amp;"␟"&amp;IFERROR(INDEX(PASTE_ALL,$DF532,47)&amp;"","")&amp;"␟"&amp;IFERROR(INDEX(PASTE_ALL,$DF532,48)&amp;"","")&amp;"␟"&amp;IFERROR(INDEX(PASTE_ALL,$DF532,49)&amp;"","")&amp;"␟"&amp;IFERROR(INDEX(PASTE_ALL,$DF532,50)&amp;"","")&amp;"␟"&amp;IFERROR(INDEX(PASTE_ALL,$DF532,51)&amp;"","")&amp;"␟"&amp;IFERROR(INDEX(PASTE_ALL,$DF532,52)&amp;"","")&amp;"␟"&amp;IFERROR(INDEX(PASTE_ALL,$DF532,53)&amp;"","")&amp;"␟"&amp;IFERROR(INDEX(PASTE_ALL,$DF532,54)&amp;"","")&amp;"␟"&amp;IFERROR(INDEX(PASTE_ALL,$DF532,55)&amp;"","")&amp;"␟"&amp;IFERROR(INDEX(PASTE_ALL,$DF532,56)&amp;"","")&amp;"␟"&amp;IFERROR(INDEX(PASTE_ALL,$DF532,57)&amp;"","")&amp;"␟"&amp;IFERROR(INDEX(PASTE_ALL,$DF532,58)&amp;"","")&amp;"␟"&amp;IFERROR(INDEX(PASTE_ALL,$DF532,59)&amp;"","")&amp;"␟"&amp;IFERROR(INDEX(PASTE_ALL,$DF532,60)&amp;"","")," "," "),CHAR(9)," "),CHAR(10)," "),CHAR(13)," "))," ␟","␟"),"␟ ","␟"),"#"&amp;$DE532),"")</f>
        <v/>
      </c>
      <c r="DJ532">
        <f>IF($DI532="",0,IF(SUMPRODUCT(--EXACT($DI$4:DI531,$DI532))&gt;0,1,0))</f>
        <v/>
      </c>
      <c r="DK532">
        <f>IF(AND($DI532&lt;&gt;"",$DJ532=0),1,0)</f>
        <v/>
      </c>
      <c r="DL532">
        <f>DL531+$DK532</f>
        <v/>
      </c>
      <c r="DM532">
        <f>IF(AND($DK532=1,$DL532&lt;=600),1,0)</f>
        <v/>
      </c>
      <c r="DN532">
        <f>IF($DM532=0,"",IF($L$6=0,"",IFERROR(IF(ISNUMBER(INDEX(PASTE_ALL,$DF532,$L$6)),INDEX(PASTE_ALL,$DF532,$L$6),TRIM(SUBSTITUTE(SUBSTITUTE(SUBSTITUTE(SUBSTITUTE(INDEX(PASTE_ALL,$DF532,$L$6)," "," "),CHAR(9)," "),CHAR(10)," "),CHAR(13)," "))),"")))</f>
        <v/>
      </c>
      <c r="DO532">
        <f>IF($DM532=0,"",IF($L$7=0,"",IFERROR(IF(ISNUMBER(INDEX(PASTE_ALL,$DF532,$L$7)),INDEX(PASTE_ALL,$DF532,$L$7),TRIM(SUBSTITUTE(SUBSTITUTE(SUBSTITUTE(SUBSTITUTE(INDEX(PASTE_ALL,$DF532,$L$7)," "," "),CHAR(9)," "),CHAR(10)," "),CHAR(13)," "))),"")))</f>
        <v/>
      </c>
      <c r="DP532">
        <f>IF($DM532=0,"",IF($L$8=0,"",IFERROR(IF(ISNUMBER(INDEX(PASTE_ALL,$DF532,$L$8)),INDEX(PASTE_ALL,$DF532,$L$8),TRIM(SUBSTITUTE(SUBSTITUTE(SUBSTITUTE(SUBSTITUTE(INDEX(PASTE_ALL,$DF532,$L$8)," "," "),CHAR(9)," "),CHAR(10)," "),CHAR(13)," "))),"")))</f>
        <v/>
      </c>
      <c r="DQ532">
        <f>IF($DM532=0,"",IF($L$9=0,"",IFERROR(IF(ISNUMBER(INDEX(PASTE_ALL,$DF532,$L$9)),INDEX(PASTE_ALL,$DF532,$L$9),TRIM(SUBSTITUTE(SUBSTITUTE(SUBSTITUTE(SUBSTITUTE(INDEX(PASTE_ALL,$DF532,$L$9)," "," "),CHAR(9)," "),CHAR(10)," "),CHAR(13)," "))),"")))</f>
        <v/>
      </c>
      <c r="DR532">
        <f>IF($DM532=0,"",IF($L$10=0,"",IFERROR(IF(ISNUMBER(INDEX(PASTE_ALL,$DF532,$L$10)),INDEX(PASTE_ALL,$DF532,$L$10),TRIM(SUBSTITUTE(SUBSTITUTE(SUBSTITUTE(SUBSTITUTE(INDEX(PASTE_ALL,$DF532,$L$10)," "," "),CHAR(9)," "),CHAR(10)," "),CHAR(13)," "))),"")))</f>
        <v/>
      </c>
      <c r="DS532">
        <f>IF($DM532=0,"",IF($L$11=0,"",IFERROR(IF(ISNUMBER(INDEX(PASTE_ALL,$DF532,$L$11)),INDEX(PASTE_ALL,$DF532,$L$11),TRIM(SUBSTITUTE(SUBSTITUTE(SUBSTITUTE(SUBSTITUTE(INDEX(PASTE_ALL,$DF532,$L$11)," "," "),CHAR(9)," "),CHAR(10)," "),CHAR(13)," "))),"")))</f>
        <v/>
      </c>
      <c r="DT532">
        <f>IF($DM532=0,"",IF($L$12=0,"",IFERROR(IF(ISNUMBER(INDEX(PASTE_ALL,$DF532,$L$12)),INDEX(PASTE_ALL,$DF532,$L$12),TRIM(SUBSTITUTE(SUBSTITUTE(SUBSTITUTE(SUBSTITUTE(INDEX(PASTE_ALL,$DF532,$L$12)," "," "),CHAR(9)," "),CHAR(10)," "),CHAR(13)," "))),"")))</f>
        <v/>
      </c>
      <c r="DU532">
        <f>IF($DM532=0,"",IF($L$13=0,"",IFERROR(IF(ISNUMBER(INDEX(PASTE_ALL,$DF532,$L$13)),INDEX(PASTE_ALL,$DF532,$L$13),TRIM(SUBSTITUTE(SUBSTITUTE(SUBSTITUTE(SUBSTITUTE(INDEX(PASTE_ALL,$DF532,$L$13)," "," "),CHAR(9)," "),CHAR(10)," "),CHAR(13)," "))),"")))</f>
        <v/>
      </c>
      <c r="DV532">
        <f>IF($DM532=0,"",IF($L$14=0,"",IFERROR(IF(ISNUMBER(INDEX(PASTE_ALL,$DF532,$L$14)),INDEX(PASTE_ALL,$DF532,$L$14),TRIM(SUBSTITUTE(SUBSTITUTE(SUBSTITUTE(SUBSTITUTE(INDEX(PASTE_ALL,$DF532,$L$14)," "," "),CHAR(9)," "),CHAR(10)," "),CHAR(13)," "))),"")))</f>
        <v/>
      </c>
      <c r="DW532">
        <f>IF($DM532=0,"",IF($L$15=0,"",IFERROR(IF(ISNUMBER(INDEX(PASTE_ALL,$DF532,$L$15)),INDEX(PASTE_ALL,$DF532,$L$15),IF(SUMPRODUCT(--ISNUMBER(FIND({"A","B","C","D","E","F","G","H","I","J","K","L","M","N","O","P","Q","R","S","T","U","V","W","X","Y","Z","0","1","2","3","4","5","6","7","8","9"},UPPER(TRIM(SUBSTITUTE(SUBSTITUTE(SUBSTITUTE(SUBSTITUTE(INDEX(PASTE_ALL,$DF532,$L$15)," "," "),CHAR(9)," "),CHAR(10)," "),CHAR(13)," "))))))&gt;0,TRIM(SUBSTITUTE(SUBSTITUTE(SUBSTITUTE(SUBSTITUTE(INDEX(PASTE_ALL,$DF532,$L$15)," "," "),CHAR(9)," "),CHAR(10)," "),CHAR(13)," ")),"")),"")))</f>
        <v/>
      </c>
      <c r="DX532">
        <f>IF($DM532=0,"",IF($L$16=0,"",IFERROR(IF(ISNUMBER(INDEX(PASTE_ALL,$DF532,$L$16)),INDEX(PASTE_ALL,$DF532,$L$16),SUBSTITUTE(SUBSTITUTE(TRIM(SUBSTITUTE(SUBSTITUTE(SUBSTITUTE(SUBSTITUTE(INDEX(PASTE_ALL,$DF532,$L$16)," "," "),CHAR(9)," "),CHAR(10)," "),CHAR(13)," ")),",",""),"%","")),"")))</f>
        <v/>
      </c>
      <c r="DY532">
        <f>IF($DM532=0,"",IFERROR(IF(ISNUMBER($DX532),$DX532,IF($DX532="","",IF(TRIM($DX532)="",0,IF(AND(AND(SUBSTITUTE(SUBSTITUTE(SUBSTITUTE(SUBSTITUTE(SUBSTITUTE(SUBSTITUTE(SUBSTITUTE(SUBSTITUTE(SUBSTITUTE(SUBSTITUTE(SUBSTITUTE(SUBSTITUTE(SUBSTITUTE(SUBSTITUTE(UPPER(TRIM($DX532)),"0",""),"1",""),"2",""),"3",""),"4",""),"5",""),"6",""),"7",""),"8",""),"9",""),".",""),"+",""),"-",""),"E","")="",LEN(SUBSTITUTE(SUBSTITUTE(MID(UPPER(TRIM($DX532)),1+OR(LEFT(UPPER(TRIM($DX532)),1)="+",LEFT(UPPER(TRIM($DX532)),1)="-"),999),"E+","E"),"E-","E"))=LEN(SUBSTITUTE(SUBSTITUTE(SUBSTITUTE(SUBSTITUTE(MID(UPPER(TRIM($DX532)),1+OR(LEFT(UPPER(TRIM($DX532)),1)="+",LEFT(UPPER(TRIM($DX532)),1)="-"),999),"E+","E"),"E-","E"),"+",""),"-","")),LEN(UPPER(TRIM($DX532)))-LEN(SUBSTITUTE(UPPER(TRIM($DX532)),"E",""))&lt;2,LEN(UPPER(TRIM($DX532)))-LEN(SUBSTITUTE(UPPER(TRIM($DX532)),".",""))&lt;2,IFERROR(FIND(".",UPPER(TRIM($DX532))),0)&lt;IFERROR(FIND("E",UPPER(TRIM($DX532))),999)),ISNUMBER(VALUE(TRIM($DX532)))),VALUE(TRIM($DX532)),"")))),""))</f>
        <v/>
      </c>
      <c r="DZ532">
        <f>IF($DM532=0,"",IF($L$17=0,"",IFERROR(IF(ISNUMBER(INDEX(PASTE_ALL,$DF532,$L$17)),INDEX(PASTE_ALL,$DF532,$L$17),SUBSTITUTE(SUBSTITUTE(TRIM(SUBSTITUTE(SUBSTITUTE(SUBSTITUTE(SUBSTITUTE(INDEX(PASTE_ALL,$DF532,$L$17)," "," "),CHAR(9)," "),CHAR(10)," "),CHAR(13)," ")),",",""),"%","")),"")))</f>
        <v/>
      </c>
      <c r="EA532">
        <f>IF($DM532=0,"",IFERROR(IF(ISNUMBER($DZ532),$DZ532,IF($DZ532="","",IF(TRIM($DZ532)="",0,IF(AND(AND(SUBSTITUTE(SUBSTITUTE(SUBSTITUTE(SUBSTITUTE(SUBSTITUTE(SUBSTITUTE(SUBSTITUTE(SUBSTITUTE(SUBSTITUTE(SUBSTITUTE(SUBSTITUTE(SUBSTITUTE(SUBSTITUTE(SUBSTITUTE(UPPER(TRIM($DZ532)),"0",""),"1",""),"2",""),"3",""),"4",""),"5",""),"6",""),"7",""),"8",""),"9",""),".",""),"+",""),"-",""),"E","")="",LEN(SUBSTITUTE(SUBSTITUTE(MID(UPPER(TRIM($DZ532)),1+OR(LEFT(UPPER(TRIM($DZ532)),1)="+",LEFT(UPPER(TRIM($DZ532)),1)="-"),999),"E+","E"),"E-","E"))=LEN(SUBSTITUTE(SUBSTITUTE(SUBSTITUTE(SUBSTITUTE(MID(UPPER(TRIM($DZ532)),1+OR(LEFT(UPPER(TRIM($DZ532)),1)="+",LEFT(UPPER(TRIM($DZ532)),1)="-"),999),"E+","E"),"E-","E"),"+",""),"-","")),LEN(UPPER(TRIM($DZ532)))-LEN(SUBSTITUTE(UPPER(TRIM($DZ532)),"E",""))&lt;2,LEN(UPPER(TRIM($DZ532)))-LEN(SUBSTITUTE(UPPER(TRIM($DZ532)),".",""))&lt;2,IFERROR(FIND(".",UPPER(TRIM($DZ532))),0)&lt;IFERROR(FIND("E",UPPER(TRIM($DZ532))),999)),ISNUMBER(VALUE(TRIM($DZ532)))),VALUE(TRIM($DZ532)),"")))),""))</f>
        <v/>
      </c>
      <c r="EB532">
        <f>IF($DM532=0,"",IF($L$18=0,"",IFERROR(IF(UPPER(TRIM(SUBSTITUTE(SUBSTITUTE(SUBSTITUTE(SUBSTITUTE(INDEX(PASTE_ALL,$DF532,$L$18)," "," "),CHAR(9)," "),CHAR(10)," "),CHAR(13)," ")))="READY","Ready",IF(UPPER(TRIM(SUBSTITUTE(SUBSTITUTE(SUBSTITUTE(SUBSTITUTE(INDEX(PASTE_ALL,$DF532,$L$18)," "," "),CHAR(9)," "),CHAR(10)," "),CHAR(13)," ")))="PM","PM",IF(OR(UPPER(TRIM(SUBSTITUTE(SUBSTITUTE(SUBSTITUTE(SUBSTITUTE(INDEX(PASTE_ALL,$DF532,$L$18)," "," "),CHAR(9)," "),CHAR(10)," "),CHAR(13)," ")))="OT",UPPER(TRIM(SUBSTITUTE(SUBSTITUTE(SUBSTITUTE(SUBSTITUTE(INDEX(PASTE_ALL,$DF532,$L$18)," "," "),CHAR(9)," "),CHAR(10)," "),CHAR(13)," ")))="OVERTIME",UPPER(TRIM(SUBSTITUTE(SUBSTITUTE(SUBSTITUTE(SUBSTITUTE(INDEX(PASTE_ALL,$DF532,$L$18)," "," "),CHAR(9)," "),CHAR(10)," "),CHAR(13)," ")))="TRIAL"),"OT",TRIM(SUBSTITUTE(SUBSTITUTE(SUBSTITUTE(SUBSTITUTE(INDEX(PASTE_ALL,$DF532,$L$18)," "," "),CHAR(9)," "),CHAR(10)," "),CHAR(13)," "))))),"")))</f>
        <v/>
      </c>
      <c r="EC532">
        <f>IF($DM532=0,"",IF($L$19=0,"",IFERROR(IF(ISNUMBER(INDEX(PASTE_ALL,$DF532,$L$19)),INDEX(PASTE_ALL,$DF532,$L$19),TRIM(SUBSTITUTE(SUBSTITUTE(SUBSTITUTE(SUBSTITUTE(INDEX(PASTE_ALL,$DF532,$L$19)," "," "),CHAR(9)," "),CHAR(10)," "),CHAR(13)," "))),"")))</f>
        <v/>
      </c>
      <c r="ED532">
        <f>IF($DM532=0,"",MATCH(1,INDEX(EXACT($DH$5:DH532,$DH532)*$DM$5:DM532,0),0))</f>
        <v/>
      </c>
      <c r="EE532">
        <f>IF($DM532=0,0,IF($ED532=$DE532,1,0))</f>
        <v/>
      </c>
      <c r="EF532">
        <f>EF531+$EE532</f>
        <v/>
      </c>
      <c r="EG532">
        <f>IF($DM532=0,"",INDEX($EF$5:$EF$1003,$ED532))</f>
        <v/>
      </c>
      <c r="EH532">
        <f>IF($DM532=0,"",IF($DO532&lt;&gt;"","",IFERROR(LOOKUP(2,1/(($EG$4:EG531=$EG532)*($DO$4:DO531&lt;&gt;"")),$DO$4:DO531),"")))</f>
        <v/>
      </c>
      <c r="EI532">
        <f>IF($DM532=0,"",IF($DO532&lt;&gt;"",$DO532,$EH532))</f>
        <v/>
      </c>
      <c r="EJ532">
        <f>IF($DM532=0,"",IF($EI532="",0,IF(OR(ISNUMBER($EI532),AND(AND(SUBSTITUTE(SUBSTITUTE(SUBSTITUTE(SUBSTITUTE(SUBSTITUTE(SUBSTITUTE(SUBSTITUTE(SUBSTITUTE(SUBSTITUTE(SUBSTITUTE(SUBSTITUTE(SUBSTITUTE(SUBSTITUTE(SUBSTITUTE(UPPER($EI532),"0",""),"1",""),"2",""),"3",""),"4",""),"5",""),"6",""),"7",""),"8",""),"9",""),".",""),"+",""),"-",""),"E","")="",LEN(SUBSTITUTE(SUBSTITUTE(MID(UPPER($EI532),1+OR(LEFT(UPPER($EI532),1)="+",LEFT(UPPER($EI532),1)="-"),999),"E+","E"),"E-","E"))=LEN(SUBSTITUTE(SUBSTITUTE(SUBSTITUTE(SUBSTITUTE(MID(UPPER($EI532),1+OR(LEFT(UPPER($EI532),1)="+",LEFT(UPPER($EI532),1)="-"),999),"E+","E"),"E-","E"),"+",""),"-","")),LEN(UPPER($EI532))-LEN(SUBSTITUTE(UPPER($EI532),"E",""))&lt;2,LEN(UPPER($EI532))-LEN(SUBSTITUTE(UPPER($EI532),".",""))&lt;2,IFERROR(FIND(".",UPPER($EI532)),0)&lt;IFERROR(FIND("E",UPPER($EI532)),999)),ISNUMBER(VALUE($EI532)))),1,2)))</f>
        <v/>
      </c>
      <c r="EK532">
        <f>IF($DM532=0,"",IF($EJ532=1,IF(ISNUMBER($EI532),$EI532,VALUE($EI532)),IF($EJ532=2,$DE532,0)))</f>
        <v/>
      </c>
      <c r="EL532">
        <f>IF($DM532=0,"",COUNTIF($EG$5:$EG$1003,"&lt;"&amp;$EG532)+SUMPRODUCT(($EG$5:$EG$1003=$EG532)*(($EJ$5:$EJ$1003&lt;$EJ532)+($EJ$5:$EJ$1003=$EJ532)*(($EK$5:$EK$1003&lt;$EK532)+($EK$5:$EK$1003=$EK532)*($DE$5:$DE$1003&lt;$DE532))))+1)</f>
        <v/>
      </c>
      <c r="EM532">
        <f>IF($DM532=0,"",$EL532+$EG532-1)</f>
        <v/>
      </c>
      <c r="EN532">
        <f>IF($DM532=0,0,IFERROR(MATCH(1,INDEX(--(TRIM(SUBSTITUTE(SUBSTITUTE(SUBSTITUTE(SUBSTITUTE(LINES_NAME&amp;""," "," "),CHAR(9)," "),CHAR(10)," "),CHAR(13)," "))=$DH532),0),0),0))</f>
        <v/>
      </c>
      <c r="EO532">
        <f>IF($EN532=0,0,IF(OR(UPPER(TRIM(INDEX(LINES_SCHEDULED,$EN532)&amp;""))="YES",UPPER(TRIM(INDEX(LINES_SCHEDULED,$EN532)&amp;""))="Y",UPPER(TRIM(INDEX(LINES_SCHEDULED,$EN532)&amp;""))="X"),1,0))</f>
        <v/>
      </c>
      <c r="EP532">
        <f>IF($DM532=0,"",IF(COUNTIFS($EG$5:$EG$1003,$EG532,$EB$5:$EB$1003,"Ready")&gt;0,"READY",IF(COUNTIFS($EG$5:$EG$1003,$EG532,$EB$5:$EB$1003,"PM")&gt;0,"PM",IF(COUNTIFS($EG$5:$EG$1003,$EG532,$EB$5:$EB$1003,"OT")&gt;0,"OT",""))))</f>
        <v/>
      </c>
      <c r="EQ532">
        <f>IF($EN532=0,"",UPPER(TRIM(INDEX(LINES_STATUS,$EN532)&amp;"")))</f>
        <v/>
      </c>
      <c r="ER532">
        <f>IF($DM532=0,"",IF(OR($EQ532="READY",$EQ532="PM",$EQ532="OT"),$EQ532,$EP532))</f>
        <v/>
      </c>
      <c r="ES532">
        <f>IF($DM532=0,"",IF(AND($DV532&lt;&gt;"",UPPER($DV532)&lt;&gt;"N"),"allergen",IF(ISNUMBER(SEARCH("oil",$DQ532)),"oil",IF(OR(EXACT($DS532,"A662"),EXACT($DS532,"A624")),"bulk",""))))</f>
        <v/>
      </c>
      <c r="ET532">
        <f>IF($DM532=0,"",IF(OR($EA532="",$EA532=0),"",$EA532/100))</f>
        <v/>
      </c>
      <c r="EU532">
        <f>IF(OR($ET532="",$DY532=""),"",INT($DY532*(1-$ET532)+0.5))</f>
        <v/>
      </c>
      <c r="EW532" t="n">
        <v>528</v>
      </c>
      <c r="EX532">
        <f>IFERROR(MATCH($EW532,$EM$5:$EM$1003,0),0)</f>
        <v/>
      </c>
      <c r="EY532">
        <f>IF($EW532&gt;$B$12,"",IF($EX532&gt;0,"row","spacer"))</f>
        <v/>
      </c>
      <c r="EZ532">
        <f>IF(AND($EY532="row",$EY531&lt;&gt;"row"),1,0)</f>
        <v/>
      </c>
      <c r="FA532">
        <f>IF(AND($EY532="row",$EY533&lt;&gt;"row"),1,0)</f>
        <v/>
      </c>
      <c r="FB532">
        <f>IF($EZ532=1,IFERROR(IF(ISNUMBER(INDEX(PASTE_ALL,INDEX($DF$5:$DF$1003,$EX532),$B$37)),INDEX(PASTE_ALL,INDEX($DF$5:$DF$1003,$EX532),$B$37),INDEX($DH$5:$DH$1003,$EX532)),INDEX($DH$5:$DH$1003,$EX532)),"")</f>
        <v/>
      </c>
      <c r="FC532">
        <f>IF($EY532="row",INDEX($ER$5:$ER$1003,$EX532),"")</f>
        <v/>
      </c>
      <c r="FD532">
        <f>IF($EY532="row",INDEX($DN$5:$DN$1003,$EX532),"")</f>
        <v/>
      </c>
      <c r="FE532">
        <f>IF($EY532="row",INDEX($DO$5:$DO$1003,$EX532),"")</f>
        <v/>
      </c>
      <c r="FF532">
        <f>IF($EY532="row",INDEX($DP$5:$DP$1003,$EX532),"")</f>
        <v/>
      </c>
      <c r="FG532">
        <f>IF($EY532="row",INDEX($DQ$5:$DQ$1003,$EX532),"")</f>
        <v/>
      </c>
      <c r="FH532">
        <f>IF($EY532="row",INDEX($DR$5:$DR$1003,$EX532),"")</f>
        <v/>
      </c>
      <c r="FI532">
        <f>IF($EY532="row",INDEX($DS$5:$DS$1003,$EX532),"")</f>
        <v/>
      </c>
      <c r="FJ532">
        <f>IF($EY532="row",INDEX($DT$5:$DT$1003,$EX532),"")</f>
        <v/>
      </c>
      <c r="FK532">
        <f>IF($EY532="row",INDEX($DU$5:$DU$1003,$EX532),"")</f>
        <v/>
      </c>
      <c r="FL532">
        <f>IF($EY532="row",INDEX($DV$5:$DV$1003,$EX532),"")</f>
        <v/>
      </c>
      <c r="FM532">
        <f>IF($EY532="row",INDEX($DW$5:$DW$1003,$EX532),"")</f>
        <v/>
      </c>
      <c r="FN532">
        <f>IF($EY532="row",INDEX($DY$5:$DY$1003,$EX532),"")</f>
        <v/>
      </c>
      <c r="FO532">
        <f>IF($EY532="row",INDEX($EA$5:$EA$1003,$EX532),"")</f>
        <v/>
      </c>
      <c r="FP532">
        <f>IF($EY532="row",INDEX($EC$5:$EC$1003,$EX532),"")</f>
        <v/>
      </c>
      <c r="FQ532">
        <f>IF($EY532="row",INDEX($ET$5:$ET$1003,$EX532),"")</f>
        <v/>
      </c>
      <c r="FR532">
        <f>IF($EY532="row",INDEX($EU$5:$EU$1003,$EX532),"")</f>
        <v/>
      </c>
      <c r="FS532">
        <f>IF(AND($EY532="row",$EY531="row"),IF(OR(INDEX($DT$5:$DT$1003,$EX531)="",INDEX($DT$5:$DT$1003,$EX532)=""),"",IF(NOT(EXACT(INDEX($DT$5:$DT$1003,$EX531),INDEX($DT$5:$DT$1003,$EX532))),"S4",IF(NOT(EXACT(INDEX($DS$5:$DS$1003,$EX531),INDEX($DS$5:$DS$1003,$EX532))),"S3",IF(NOT(EXACT(INDEX($DR$5:$DR$1003,$EX531),INDEX($DR$5:$DR$1003,$EX532))),"S1 Count Change","S1")))),"")</f>
        <v/>
      </c>
      <c r="FT532">
        <f>IF($EY532="row",INDEX($ES$5:$ES$1003,$EX532),"")</f>
        <v/>
      </c>
      <c r="FU532">
        <f>IF($EY532="row",INDEX($EO$5:$EO$1003,$EX532),0)</f>
        <v/>
      </c>
      <c r="FV532">
        <f>IF($FS532="S1 Count Change",1,0)</f>
        <v/>
      </c>
    </row>
    <row r="533">
      <c r="DA533" t="n">
        <v>529</v>
      </c>
      <c r="DB533">
        <f>IF($B$37=0,"",IFERROR(TRIM(SUBSTITUTE(SUBSTITUTE(SUBSTITUTE(SUBSTITUTE(INDEX(PASTE_ALL,529,$B$37)," "," "),CHAR(9)," "),CHAR(10)," "),CHAR(13)," ")),""))</f>
        <v/>
      </c>
      <c r="DC533">
        <f>IF(AND(529&gt;HEADER_ROW,UPPER(DB533)="LEGEND"),1,0)</f>
        <v/>
      </c>
      <c r="DE533" t="n">
        <v>529</v>
      </c>
      <c r="DF533">
        <f>HEADER_ROW+$DE533</f>
        <v/>
      </c>
      <c r="DG533">
        <f>IF(AND($DF533&lt;=1000,$DF533&lt;$B$8),1,0)</f>
        <v/>
      </c>
      <c r="DH533">
        <f>IF($DG533=1,IFERROR(INDEX($DB$5:$DB$1004,$DF533),""),"")</f>
        <v/>
      </c>
      <c r="DI533">
        <f>IF(AND($DG533=1,$DH533&lt;&gt;""),IFERROR(SUBSTITUTE(SUBSTITUTE(TRIM(SUBSTITUTE(SUBSTITUTE(SUBSTITUTE(SUBSTITUTE(IFERROR(INDEX(PASTE_ALL,$DF533,1)&amp;"","")&amp;"␟"&amp;IFERROR(INDEX(PASTE_ALL,$DF533,2)&amp;"","")&amp;"␟"&amp;IFERROR(INDEX(PASTE_ALL,$DF533,3)&amp;"","")&amp;"␟"&amp;IFERROR(INDEX(PASTE_ALL,$DF533,4)&amp;"","")&amp;"␟"&amp;IFERROR(INDEX(PASTE_ALL,$DF533,5)&amp;"","")&amp;"␟"&amp;IFERROR(INDEX(PASTE_ALL,$DF533,6)&amp;"","")&amp;"␟"&amp;IFERROR(INDEX(PASTE_ALL,$DF533,7)&amp;"","")&amp;"␟"&amp;IFERROR(INDEX(PASTE_ALL,$DF533,8)&amp;"","")&amp;"␟"&amp;IFERROR(INDEX(PASTE_ALL,$DF533,9)&amp;"","")&amp;"␟"&amp;IFERROR(INDEX(PASTE_ALL,$DF533,10)&amp;"","")&amp;"␟"&amp;IFERROR(INDEX(PASTE_ALL,$DF533,11)&amp;"","")&amp;"␟"&amp;IFERROR(INDEX(PASTE_ALL,$DF533,12)&amp;"","")&amp;"␟"&amp;IFERROR(INDEX(PASTE_ALL,$DF533,13)&amp;"","")&amp;"␟"&amp;IFERROR(INDEX(PASTE_ALL,$DF533,14)&amp;"","")&amp;"␟"&amp;IFERROR(INDEX(PASTE_ALL,$DF533,15)&amp;"","")&amp;"␟"&amp;IFERROR(INDEX(PASTE_ALL,$DF533,16)&amp;"","")&amp;"␟"&amp;IFERROR(INDEX(PASTE_ALL,$DF533,17)&amp;"","")&amp;"␟"&amp;IFERROR(INDEX(PASTE_ALL,$DF533,18)&amp;"","")&amp;"␟"&amp;IFERROR(INDEX(PASTE_ALL,$DF533,19)&amp;"","")&amp;"␟"&amp;IFERROR(INDEX(PASTE_ALL,$DF533,20)&amp;"","")&amp;"␟"&amp;IFERROR(INDEX(PASTE_ALL,$DF533,21)&amp;"","")&amp;"␟"&amp;IFERROR(INDEX(PASTE_ALL,$DF533,22)&amp;"","")&amp;"␟"&amp;IFERROR(INDEX(PASTE_ALL,$DF533,23)&amp;"","")&amp;"␟"&amp;IFERROR(INDEX(PASTE_ALL,$DF533,24)&amp;"","")&amp;"␟"&amp;IFERROR(INDEX(PASTE_ALL,$DF533,25)&amp;"","")&amp;"␟"&amp;IFERROR(INDEX(PASTE_ALL,$DF533,26)&amp;"","")&amp;"␟"&amp;IFERROR(INDEX(PASTE_ALL,$DF533,27)&amp;"","")&amp;"␟"&amp;IFERROR(INDEX(PASTE_ALL,$DF533,28)&amp;"","")&amp;"␟"&amp;IFERROR(INDEX(PASTE_ALL,$DF533,29)&amp;"","")&amp;"␟"&amp;IFERROR(INDEX(PASTE_ALL,$DF533,30)&amp;"","")&amp;"␟"&amp;IFERROR(INDEX(PASTE_ALL,$DF533,31)&amp;"","")&amp;"␟"&amp;IFERROR(INDEX(PASTE_ALL,$DF533,32)&amp;"","")&amp;"␟"&amp;IFERROR(INDEX(PASTE_ALL,$DF533,33)&amp;"","")&amp;"␟"&amp;IFERROR(INDEX(PASTE_ALL,$DF533,34)&amp;"","")&amp;"␟"&amp;IFERROR(INDEX(PASTE_ALL,$DF533,35)&amp;"","")&amp;"␟"&amp;IFERROR(INDEX(PASTE_ALL,$DF533,36)&amp;"","")&amp;"␟"&amp;IFERROR(INDEX(PASTE_ALL,$DF533,37)&amp;"","")&amp;"␟"&amp;IFERROR(INDEX(PASTE_ALL,$DF533,38)&amp;"","")&amp;"␟"&amp;IFERROR(INDEX(PASTE_ALL,$DF533,39)&amp;"","")&amp;"␟"&amp;IFERROR(INDEX(PASTE_ALL,$DF533,40)&amp;"","")&amp;"␟"&amp;IFERROR(INDEX(PASTE_ALL,$DF533,41)&amp;"","")&amp;"␟"&amp;IFERROR(INDEX(PASTE_ALL,$DF533,42)&amp;"","")&amp;"␟"&amp;IFERROR(INDEX(PASTE_ALL,$DF533,43)&amp;"","")&amp;"␟"&amp;IFERROR(INDEX(PASTE_ALL,$DF533,44)&amp;"","")&amp;"␟"&amp;IFERROR(INDEX(PASTE_ALL,$DF533,45)&amp;"","")&amp;"␟"&amp;IFERROR(INDEX(PASTE_ALL,$DF533,46)&amp;"","")&amp;"␟"&amp;IFERROR(INDEX(PASTE_ALL,$DF533,47)&amp;"","")&amp;"␟"&amp;IFERROR(INDEX(PASTE_ALL,$DF533,48)&amp;"","")&amp;"␟"&amp;IFERROR(INDEX(PASTE_ALL,$DF533,49)&amp;"","")&amp;"␟"&amp;IFERROR(INDEX(PASTE_ALL,$DF533,50)&amp;"","")&amp;"␟"&amp;IFERROR(INDEX(PASTE_ALL,$DF533,51)&amp;"","")&amp;"␟"&amp;IFERROR(INDEX(PASTE_ALL,$DF533,52)&amp;"","")&amp;"␟"&amp;IFERROR(INDEX(PASTE_ALL,$DF533,53)&amp;"","")&amp;"␟"&amp;IFERROR(INDEX(PASTE_ALL,$DF533,54)&amp;"","")&amp;"␟"&amp;IFERROR(INDEX(PASTE_ALL,$DF533,55)&amp;"","")&amp;"␟"&amp;IFERROR(INDEX(PASTE_ALL,$DF533,56)&amp;"","")&amp;"␟"&amp;IFERROR(INDEX(PASTE_ALL,$DF533,57)&amp;"","")&amp;"␟"&amp;IFERROR(INDEX(PASTE_ALL,$DF533,58)&amp;"","")&amp;"␟"&amp;IFERROR(INDEX(PASTE_ALL,$DF533,59)&amp;"","")&amp;"␟"&amp;IFERROR(INDEX(PASTE_ALL,$DF533,60)&amp;"","")," "," "),CHAR(9)," "),CHAR(10)," "),CHAR(13)," "))," ␟","␟"),"␟ ","␟"),"#"&amp;$DE533),"")</f>
        <v/>
      </c>
      <c r="DJ533">
        <f>IF($DI533="",0,IF(SUMPRODUCT(--EXACT($DI$4:DI532,$DI533))&gt;0,1,0))</f>
        <v/>
      </c>
      <c r="DK533">
        <f>IF(AND($DI533&lt;&gt;"",$DJ533=0),1,0)</f>
        <v/>
      </c>
      <c r="DL533">
        <f>DL532+$DK533</f>
        <v/>
      </c>
      <c r="DM533">
        <f>IF(AND($DK533=1,$DL533&lt;=600),1,0)</f>
        <v/>
      </c>
      <c r="DN533">
        <f>IF($DM533=0,"",IF($L$6=0,"",IFERROR(IF(ISNUMBER(INDEX(PASTE_ALL,$DF533,$L$6)),INDEX(PASTE_ALL,$DF533,$L$6),TRIM(SUBSTITUTE(SUBSTITUTE(SUBSTITUTE(SUBSTITUTE(INDEX(PASTE_ALL,$DF533,$L$6)," "," "),CHAR(9)," "),CHAR(10)," "),CHAR(13)," "))),"")))</f>
        <v/>
      </c>
      <c r="DO533">
        <f>IF($DM533=0,"",IF($L$7=0,"",IFERROR(IF(ISNUMBER(INDEX(PASTE_ALL,$DF533,$L$7)),INDEX(PASTE_ALL,$DF533,$L$7),TRIM(SUBSTITUTE(SUBSTITUTE(SUBSTITUTE(SUBSTITUTE(INDEX(PASTE_ALL,$DF533,$L$7)," "," "),CHAR(9)," "),CHAR(10)," "),CHAR(13)," "))),"")))</f>
        <v/>
      </c>
      <c r="DP533">
        <f>IF($DM533=0,"",IF($L$8=0,"",IFERROR(IF(ISNUMBER(INDEX(PASTE_ALL,$DF533,$L$8)),INDEX(PASTE_ALL,$DF533,$L$8),TRIM(SUBSTITUTE(SUBSTITUTE(SUBSTITUTE(SUBSTITUTE(INDEX(PASTE_ALL,$DF533,$L$8)," "," "),CHAR(9)," "),CHAR(10)," "),CHAR(13)," "))),"")))</f>
        <v/>
      </c>
      <c r="DQ533">
        <f>IF($DM533=0,"",IF($L$9=0,"",IFERROR(IF(ISNUMBER(INDEX(PASTE_ALL,$DF533,$L$9)),INDEX(PASTE_ALL,$DF533,$L$9),TRIM(SUBSTITUTE(SUBSTITUTE(SUBSTITUTE(SUBSTITUTE(INDEX(PASTE_ALL,$DF533,$L$9)," "," "),CHAR(9)," "),CHAR(10)," "),CHAR(13)," "))),"")))</f>
        <v/>
      </c>
      <c r="DR533">
        <f>IF($DM533=0,"",IF($L$10=0,"",IFERROR(IF(ISNUMBER(INDEX(PASTE_ALL,$DF533,$L$10)),INDEX(PASTE_ALL,$DF533,$L$10),TRIM(SUBSTITUTE(SUBSTITUTE(SUBSTITUTE(SUBSTITUTE(INDEX(PASTE_ALL,$DF533,$L$10)," "," "),CHAR(9)," "),CHAR(10)," "),CHAR(13)," "))),"")))</f>
        <v/>
      </c>
      <c r="DS533">
        <f>IF($DM533=0,"",IF($L$11=0,"",IFERROR(IF(ISNUMBER(INDEX(PASTE_ALL,$DF533,$L$11)),INDEX(PASTE_ALL,$DF533,$L$11),TRIM(SUBSTITUTE(SUBSTITUTE(SUBSTITUTE(SUBSTITUTE(INDEX(PASTE_ALL,$DF533,$L$11)," "," "),CHAR(9)," "),CHAR(10)," "),CHAR(13)," "))),"")))</f>
        <v/>
      </c>
      <c r="DT533">
        <f>IF($DM533=0,"",IF($L$12=0,"",IFERROR(IF(ISNUMBER(INDEX(PASTE_ALL,$DF533,$L$12)),INDEX(PASTE_ALL,$DF533,$L$12),TRIM(SUBSTITUTE(SUBSTITUTE(SUBSTITUTE(SUBSTITUTE(INDEX(PASTE_ALL,$DF533,$L$12)," "," "),CHAR(9)," "),CHAR(10)," "),CHAR(13)," "))),"")))</f>
        <v/>
      </c>
      <c r="DU533">
        <f>IF($DM533=0,"",IF($L$13=0,"",IFERROR(IF(ISNUMBER(INDEX(PASTE_ALL,$DF533,$L$13)),INDEX(PASTE_ALL,$DF533,$L$13),TRIM(SUBSTITUTE(SUBSTITUTE(SUBSTITUTE(SUBSTITUTE(INDEX(PASTE_ALL,$DF533,$L$13)," "," "),CHAR(9)," "),CHAR(10)," "),CHAR(13)," "))),"")))</f>
        <v/>
      </c>
      <c r="DV533">
        <f>IF($DM533=0,"",IF($L$14=0,"",IFERROR(IF(ISNUMBER(INDEX(PASTE_ALL,$DF533,$L$14)),INDEX(PASTE_ALL,$DF533,$L$14),TRIM(SUBSTITUTE(SUBSTITUTE(SUBSTITUTE(SUBSTITUTE(INDEX(PASTE_ALL,$DF533,$L$14)," "," "),CHAR(9)," "),CHAR(10)," "),CHAR(13)," "))),"")))</f>
        <v/>
      </c>
      <c r="DW533">
        <f>IF($DM533=0,"",IF($L$15=0,"",IFERROR(IF(ISNUMBER(INDEX(PASTE_ALL,$DF533,$L$15)),INDEX(PASTE_ALL,$DF533,$L$15),IF(SUMPRODUCT(--ISNUMBER(FIND({"A","B","C","D","E","F","G","H","I","J","K","L","M","N","O","P","Q","R","S","T","U","V","W","X","Y","Z","0","1","2","3","4","5","6","7","8","9"},UPPER(TRIM(SUBSTITUTE(SUBSTITUTE(SUBSTITUTE(SUBSTITUTE(INDEX(PASTE_ALL,$DF533,$L$15)," "," "),CHAR(9)," "),CHAR(10)," "),CHAR(13)," "))))))&gt;0,TRIM(SUBSTITUTE(SUBSTITUTE(SUBSTITUTE(SUBSTITUTE(INDEX(PASTE_ALL,$DF533,$L$15)," "," "),CHAR(9)," "),CHAR(10)," "),CHAR(13)," ")),"")),"")))</f>
        <v/>
      </c>
      <c r="DX533">
        <f>IF($DM533=0,"",IF($L$16=0,"",IFERROR(IF(ISNUMBER(INDEX(PASTE_ALL,$DF533,$L$16)),INDEX(PASTE_ALL,$DF533,$L$16),SUBSTITUTE(SUBSTITUTE(TRIM(SUBSTITUTE(SUBSTITUTE(SUBSTITUTE(SUBSTITUTE(INDEX(PASTE_ALL,$DF533,$L$16)," "," "),CHAR(9)," "),CHAR(10)," "),CHAR(13)," ")),",",""),"%","")),"")))</f>
        <v/>
      </c>
      <c r="DY533">
        <f>IF($DM533=0,"",IFERROR(IF(ISNUMBER($DX533),$DX533,IF($DX533="","",IF(TRIM($DX533)="",0,IF(AND(AND(SUBSTITUTE(SUBSTITUTE(SUBSTITUTE(SUBSTITUTE(SUBSTITUTE(SUBSTITUTE(SUBSTITUTE(SUBSTITUTE(SUBSTITUTE(SUBSTITUTE(SUBSTITUTE(SUBSTITUTE(SUBSTITUTE(SUBSTITUTE(UPPER(TRIM($DX533)),"0",""),"1",""),"2",""),"3",""),"4",""),"5",""),"6",""),"7",""),"8",""),"9",""),".",""),"+",""),"-",""),"E","")="",LEN(SUBSTITUTE(SUBSTITUTE(MID(UPPER(TRIM($DX533)),1+OR(LEFT(UPPER(TRIM($DX533)),1)="+",LEFT(UPPER(TRIM($DX533)),1)="-"),999),"E+","E"),"E-","E"))=LEN(SUBSTITUTE(SUBSTITUTE(SUBSTITUTE(SUBSTITUTE(MID(UPPER(TRIM($DX533)),1+OR(LEFT(UPPER(TRIM($DX533)),1)="+",LEFT(UPPER(TRIM($DX533)),1)="-"),999),"E+","E"),"E-","E"),"+",""),"-","")),LEN(UPPER(TRIM($DX533)))-LEN(SUBSTITUTE(UPPER(TRIM($DX533)),"E",""))&lt;2,LEN(UPPER(TRIM($DX533)))-LEN(SUBSTITUTE(UPPER(TRIM($DX533)),".",""))&lt;2,IFERROR(FIND(".",UPPER(TRIM($DX533))),0)&lt;IFERROR(FIND("E",UPPER(TRIM($DX533))),999)),ISNUMBER(VALUE(TRIM($DX533)))),VALUE(TRIM($DX533)),"")))),""))</f>
        <v/>
      </c>
      <c r="DZ533">
        <f>IF($DM533=0,"",IF($L$17=0,"",IFERROR(IF(ISNUMBER(INDEX(PASTE_ALL,$DF533,$L$17)),INDEX(PASTE_ALL,$DF533,$L$17),SUBSTITUTE(SUBSTITUTE(TRIM(SUBSTITUTE(SUBSTITUTE(SUBSTITUTE(SUBSTITUTE(INDEX(PASTE_ALL,$DF533,$L$17)," "," "),CHAR(9)," "),CHAR(10)," "),CHAR(13)," ")),",",""),"%","")),"")))</f>
        <v/>
      </c>
      <c r="EA533">
        <f>IF($DM533=0,"",IFERROR(IF(ISNUMBER($DZ533),$DZ533,IF($DZ533="","",IF(TRIM($DZ533)="",0,IF(AND(AND(SUBSTITUTE(SUBSTITUTE(SUBSTITUTE(SUBSTITUTE(SUBSTITUTE(SUBSTITUTE(SUBSTITUTE(SUBSTITUTE(SUBSTITUTE(SUBSTITUTE(SUBSTITUTE(SUBSTITUTE(SUBSTITUTE(SUBSTITUTE(UPPER(TRIM($DZ533)),"0",""),"1",""),"2",""),"3",""),"4",""),"5",""),"6",""),"7",""),"8",""),"9",""),".",""),"+",""),"-",""),"E","")="",LEN(SUBSTITUTE(SUBSTITUTE(MID(UPPER(TRIM($DZ533)),1+OR(LEFT(UPPER(TRIM($DZ533)),1)="+",LEFT(UPPER(TRIM($DZ533)),1)="-"),999),"E+","E"),"E-","E"))=LEN(SUBSTITUTE(SUBSTITUTE(SUBSTITUTE(SUBSTITUTE(MID(UPPER(TRIM($DZ533)),1+OR(LEFT(UPPER(TRIM($DZ533)),1)="+",LEFT(UPPER(TRIM($DZ533)),1)="-"),999),"E+","E"),"E-","E"),"+",""),"-","")),LEN(UPPER(TRIM($DZ533)))-LEN(SUBSTITUTE(UPPER(TRIM($DZ533)),"E",""))&lt;2,LEN(UPPER(TRIM($DZ533)))-LEN(SUBSTITUTE(UPPER(TRIM($DZ533)),".",""))&lt;2,IFERROR(FIND(".",UPPER(TRIM($DZ533))),0)&lt;IFERROR(FIND("E",UPPER(TRIM($DZ533))),999)),ISNUMBER(VALUE(TRIM($DZ533)))),VALUE(TRIM($DZ533)),"")))),""))</f>
        <v/>
      </c>
      <c r="EB533">
        <f>IF($DM533=0,"",IF($L$18=0,"",IFERROR(IF(UPPER(TRIM(SUBSTITUTE(SUBSTITUTE(SUBSTITUTE(SUBSTITUTE(INDEX(PASTE_ALL,$DF533,$L$18)," "," "),CHAR(9)," "),CHAR(10)," "),CHAR(13)," ")))="READY","Ready",IF(UPPER(TRIM(SUBSTITUTE(SUBSTITUTE(SUBSTITUTE(SUBSTITUTE(INDEX(PASTE_ALL,$DF533,$L$18)," "," "),CHAR(9)," "),CHAR(10)," "),CHAR(13)," ")))="PM","PM",IF(OR(UPPER(TRIM(SUBSTITUTE(SUBSTITUTE(SUBSTITUTE(SUBSTITUTE(INDEX(PASTE_ALL,$DF533,$L$18)," "," "),CHAR(9)," "),CHAR(10)," "),CHAR(13)," ")))="OT",UPPER(TRIM(SUBSTITUTE(SUBSTITUTE(SUBSTITUTE(SUBSTITUTE(INDEX(PASTE_ALL,$DF533,$L$18)," "," "),CHAR(9)," "),CHAR(10)," "),CHAR(13)," ")))="OVERTIME",UPPER(TRIM(SUBSTITUTE(SUBSTITUTE(SUBSTITUTE(SUBSTITUTE(INDEX(PASTE_ALL,$DF533,$L$18)," "," "),CHAR(9)," "),CHAR(10)," "),CHAR(13)," ")))="TRIAL"),"OT",TRIM(SUBSTITUTE(SUBSTITUTE(SUBSTITUTE(SUBSTITUTE(INDEX(PASTE_ALL,$DF533,$L$18)," "," "),CHAR(9)," "),CHAR(10)," "),CHAR(13)," "))))),"")))</f>
        <v/>
      </c>
      <c r="EC533">
        <f>IF($DM533=0,"",IF($L$19=0,"",IFERROR(IF(ISNUMBER(INDEX(PASTE_ALL,$DF533,$L$19)),INDEX(PASTE_ALL,$DF533,$L$19),TRIM(SUBSTITUTE(SUBSTITUTE(SUBSTITUTE(SUBSTITUTE(INDEX(PASTE_ALL,$DF533,$L$19)," "," "),CHAR(9)," "),CHAR(10)," "),CHAR(13)," "))),"")))</f>
        <v/>
      </c>
      <c r="ED533">
        <f>IF($DM533=0,"",MATCH(1,INDEX(EXACT($DH$5:DH533,$DH533)*$DM$5:DM533,0),0))</f>
        <v/>
      </c>
      <c r="EE533">
        <f>IF($DM533=0,0,IF($ED533=$DE533,1,0))</f>
        <v/>
      </c>
      <c r="EF533">
        <f>EF532+$EE533</f>
        <v/>
      </c>
      <c r="EG533">
        <f>IF($DM533=0,"",INDEX($EF$5:$EF$1003,$ED533))</f>
        <v/>
      </c>
      <c r="EH533">
        <f>IF($DM533=0,"",IF($DO533&lt;&gt;"","",IFERROR(LOOKUP(2,1/(($EG$4:EG532=$EG533)*($DO$4:DO532&lt;&gt;"")),$DO$4:DO532),"")))</f>
        <v/>
      </c>
      <c r="EI533">
        <f>IF($DM533=0,"",IF($DO533&lt;&gt;"",$DO533,$EH533))</f>
        <v/>
      </c>
      <c r="EJ533">
        <f>IF($DM533=0,"",IF($EI533="",0,IF(OR(ISNUMBER($EI533),AND(AND(SUBSTITUTE(SUBSTITUTE(SUBSTITUTE(SUBSTITUTE(SUBSTITUTE(SUBSTITUTE(SUBSTITUTE(SUBSTITUTE(SUBSTITUTE(SUBSTITUTE(SUBSTITUTE(SUBSTITUTE(SUBSTITUTE(SUBSTITUTE(UPPER($EI533),"0",""),"1",""),"2",""),"3",""),"4",""),"5",""),"6",""),"7",""),"8",""),"9",""),".",""),"+",""),"-",""),"E","")="",LEN(SUBSTITUTE(SUBSTITUTE(MID(UPPER($EI533),1+OR(LEFT(UPPER($EI533),1)="+",LEFT(UPPER($EI533),1)="-"),999),"E+","E"),"E-","E"))=LEN(SUBSTITUTE(SUBSTITUTE(SUBSTITUTE(SUBSTITUTE(MID(UPPER($EI533),1+OR(LEFT(UPPER($EI533),1)="+",LEFT(UPPER($EI533),1)="-"),999),"E+","E"),"E-","E"),"+",""),"-","")),LEN(UPPER($EI533))-LEN(SUBSTITUTE(UPPER($EI533),"E",""))&lt;2,LEN(UPPER($EI533))-LEN(SUBSTITUTE(UPPER($EI533),".",""))&lt;2,IFERROR(FIND(".",UPPER($EI533)),0)&lt;IFERROR(FIND("E",UPPER($EI533)),999)),ISNUMBER(VALUE($EI533)))),1,2)))</f>
        <v/>
      </c>
      <c r="EK533">
        <f>IF($DM533=0,"",IF($EJ533=1,IF(ISNUMBER($EI533),$EI533,VALUE($EI533)),IF($EJ533=2,$DE533,0)))</f>
        <v/>
      </c>
      <c r="EL533">
        <f>IF($DM533=0,"",COUNTIF($EG$5:$EG$1003,"&lt;"&amp;$EG533)+SUMPRODUCT(($EG$5:$EG$1003=$EG533)*(($EJ$5:$EJ$1003&lt;$EJ533)+($EJ$5:$EJ$1003=$EJ533)*(($EK$5:$EK$1003&lt;$EK533)+($EK$5:$EK$1003=$EK533)*($DE$5:$DE$1003&lt;$DE533))))+1)</f>
        <v/>
      </c>
      <c r="EM533">
        <f>IF($DM533=0,"",$EL533+$EG533-1)</f>
        <v/>
      </c>
      <c r="EN533">
        <f>IF($DM533=0,0,IFERROR(MATCH(1,INDEX(--(TRIM(SUBSTITUTE(SUBSTITUTE(SUBSTITUTE(SUBSTITUTE(LINES_NAME&amp;""," "," "),CHAR(9)," "),CHAR(10)," "),CHAR(13)," "))=$DH533),0),0),0))</f>
        <v/>
      </c>
      <c r="EO533">
        <f>IF($EN533=0,0,IF(OR(UPPER(TRIM(INDEX(LINES_SCHEDULED,$EN533)&amp;""))="YES",UPPER(TRIM(INDEX(LINES_SCHEDULED,$EN533)&amp;""))="Y",UPPER(TRIM(INDEX(LINES_SCHEDULED,$EN533)&amp;""))="X"),1,0))</f>
        <v/>
      </c>
      <c r="EP533">
        <f>IF($DM533=0,"",IF(COUNTIFS($EG$5:$EG$1003,$EG533,$EB$5:$EB$1003,"Ready")&gt;0,"READY",IF(COUNTIFS($EG$5:$EG$1003,$EG533,$EB$5:$EB$1003,"PM")&gt;0,"PM",IF(COUNTIFS($EG$5:$EG$1003,$EG533,$EB$5:$EB$1003,"OT")&gt;0,"OT",""))))</f>
        <v/>
      </c>
      <c r="EQ533">
        <f>IF($EN533=0,"",UPPER(TRIM(INDEX(LINES_STATUS,$EN533)&amp;"")))</f>
        <v/>
      </c>
      <c r="ER533">
        <f>IF($DM533=0,"",IF(OR($EQ533="READY",$EQ533="PM",$EQ533="OT"),$EQ533,$EP533))</f>
        <v/>
      </c>
      <c r="ES533">
        <f>IF($DM533=0,"",IF(AND($DV533&lt;&gt;"",UPPER($DV533)&lt;&gt;"N"),"allergen",IF(ISNUMBER(SEARCH("oil",$DQ533)),"oil",IF(OR(EXACT($DS533,"A662"),EXACT($DS533,"A624")),"bulk",""))))</f>
        <v/>
      </c>
      <c r="ET533">
        <f>IF($DM533=0,"",IF(OR($EA533="",$EA533=0),"",$EA533/100))</f>
        <v/>
      </c>
      <c r="EU533">
        <f>IF(OR($ET533="",$DY533=""),"",INT($DY533*(1-$ET533)+0.5))</f>
        <v/>
      </c>
      <c r="EW533" t="n">
        <v>529</v>
      </c>
      <c r="EX533">
        <f>IFERROR(MATCH($EW533,$EM$5:$EM$1003,0),0)</f>
        <v/>
      </c>
      <c r="EY533">
        <f>IF($EW533&gt;$B$12,"",IF($EX533&gt;0,"row","spacer"))</f>
        <v/>
      </c>
      <c r="EZ533">
        <f>IF(AND($EY533="row",$EY532&lt;&gt;"row"),1,0)</f>
        <v/>
      </c>
      <c r="FA533">
        <f>IF(AND($EY533="row",$EY534&lt;&gt;"row"),1,0)</f>
        <v/>
      </c>
      <c r="FB533">
        <f>IF($EZ533=1,IFERROR(IF(ISNUMBER(INDEX(PASTE_ALL,INDEX($DF$5:$DF$1003,$EX533),$B$37)),INDEX(PASTE_ALL,INDEX($DF$5:$DF$1003,$EX533),$B$37),INDEX($DH$5:$DH$1003,$EX533)),INDEX($DH$5:$DH$1003,$EX533)),"")</f>
        <v/>
      </c>
      <c r="FC533">
        <f>IF($EY533="row",INDEX($ER$5:$ER$1003,$EX533),"")</f>
        <v/>
      </c>
      <c r="FD533">
        <f>IF($EY533="row",INDEX($DN$5:$DN$1003,$EX533),"")</f>
        <v/>
      </c>
      <c r="FE533">
        <f>IF($EY533="row",INDEX($DO$5:$DO$1003,$EX533),"")</f>
        <v/>
      </c>
      <c r="FF533">
        <f>IF($EY533="row",INDEX($DP$5:$DP$1003,$EX533),"")</f>
        <v/>
      </c>
      <c r="FG533">
        <f>IF($EY533="row",INDEX($DQ$5:$DQ$1003,$EX533),"")</f>
        <v/>
      </c>
      <c r="FH533">
        <f>IF($EY533="row",INDEX($DR$5:$DR$1003,$EX533),"")</f>
        <v/>
      </c>
      <c r="FI533">
        <f>IF($EY533="row",INDEX($DS$5:$DS$1003,$EX533),"")</f>
        <v/>
      </c>
      <c r="FJ533">
        <f>IF($EY533="row",INDEX($DT$5:$DT$1003,$EX533),"")</f>
        <v/>
      </c>
      <c r="FK533">
        <f>IF($EY533="row",INDEX($DU$5:$DU$1003,$EX533),"")</f>
        <v/>
      </c>
      <c r="FL533">
        <f>IF($EY533="row",INDEX($DV$5:$DV$1003,$EX533),"")</f>
        <v/>
      </c>
      <c r="FM533">
        <f>IF($EY533="row",INDEX($DW$5:$DW$1003,$EX533),"")</f>
        <v/>
      </c>
      <c r="FN533">
        <f>IF($EY533="row",INDEX($DY$5:$DY$1003,$EX533),"")</f>
        <v/>
      </c>
      <c r="FO533">
        <f>IF($EY533="row",INDEX($EA$5:$EA$1003,$EX533),"")</f>
        <v/>
      </c>
      <c r="FP533">
        <f>IF($EY533="row",INDEX($EC$5:$EC$1003,$EX533),"")</f>
        <v/>
      </c>
      <c r="FQ533">
        <f>IF($EY533="row",INDEX($ET$5:$ET$1003,$EX533),"")</f>
        <v/>
      </c>
      <c r="FR533">
        <f>IF($EY533="row",INDEX($EU$5:$EU$1003,$EX533),"")</f>
        <v/>
      </c>
      <c r="FS533">
        <f>IF(AND($EY533="row",$EY532="row"),IF(OR(INDEX($DT$5:$DT$1003,$EX532)="",INDEX($DT$5:$DT$1003,$EX533)=""),"",IF(NOT(EXACT(INDEX($DT$5:$DT$1003,$EX532),INDEX($DT$5:$DT$1003,$EX533))),"S4",IF(NOT(EXACT(INDEX($DS$5:$DS$1003,$EX532),INDEX($DS$5:$DS$1003,$EX533))),"S3",IF(NOT(EXACT(INDEX($DR$5:$DR$1003,$EX532),INDEX($DR$5:$DR$1003,$EX533))),"S1 Count Change","S1")))),"")</f>
        <v/>
      </c>
      <c r="FT533">
        <f>IF($EY533="row",INDEX($ES$5:$ES$1003,$EX533),"")</f>
        <v/>
      </c>
      <c r="FU533">
        <f>IF($EY533="row",INDEX($EO$5:$EO$1003,$EX533),0)</f>
        <v/>
      </c>
      <c r="FV533">
        <f>IF($FS533="S1 Count Change",1,0)</f>
        <v/>
      </c>
    </row>
    <row r="534">
      <c r="DA534" t="n">
        <v>530</v>
      </c>
      <c r="DB534">
        <f>IF($B$37=0,"",IFERROR(TRIM(SUBSTITUTE(SUBSTITUTE(SUBSTITUTE(SUBSTITUTE(INDEX(PASTE_ALL,530,$B$37)," "," "),CHAR(9)," "),CHAR(10)," "),CHAR(13)," ")),""))</f>
        <v/>
      </c>
      <c r="DC534">
        <f>IF(AND(530&gt;HEADER_ROW,UPPER(DB534)="LEGEND"),1,0)</f>
        <v/>
      </c>
      <c r="DE534" t="n">
        <v>530</v>
      </c>
      <c r="DF534">
        <f>HEADER_ROW+$DE534</f>
        <v/>
      </c>
      <c r="DG534">
        <f>IF(AND($DF534&lt;=1000,$DF534&lt;$B$8),1,0)</f>
        <v/>
      </c>
      <c r="DH534">
        <f>IF($DG534=1,IFERROR(INDEX($DB$5:$DB$1004,$DF534),""),"")</f>
        <v/>
      </c>
      <c r="DI534">
        <f>IF(AND($DG534=1,$DH534&lt;&gt;""),IFERROR(SUBSTITUTE(SUBSTITUTE(TRIM(SUBSTITUTE(SUBSTITUTE(SUBSTITUTE(SUBSTITUTE(IFERROR(INDEX(PASTE_ALL,$DF534,1)&amp;"","")&amp;"␟"&amp;IFERROR(INDEX(PASTE_ALL,$DF534,2)&amp;"","")&amp;"␟"&amp;IFERROR(INDEX(PASTE_ALL,$DF534,3)&amp;"","")&amp;"␟"&amp;IFERROR(INDEX(PASTE_ALL,$DF534,4)&amp;"","")&amp;"␟"&amp;IFERROR(INDEX(PASTE_ALL,$DF534,5)&amp;"","")&amp;"␟"&amp;IFERROR(INDEX(PASTE_ALL,$DF534,6)&amp;"","")&amp;"␟"&amp;IFERROR(INDEX(PASTE_ALL,$DF534,7)&amp;"","")&amp;"␟"&amp;IFERROR(INDEX(PASTE_ALL,$DF534,8)&amp;"","")&amp;"␟"&amp;IFERROR(INDEX(PASTE_ALL,$DF534,9)&amp;"","")&amp;"␟"&amp;IFERROR(INDEX(PASTE_ALL,$DF534,10)&amp;"","")&amp;"␟"&amp;IFERROR(INDEX(PASTE_ALL,$DF534,11)&amp;"","")&amp;"␟"&amp;IFERROR(INDEX(PASTE_ALL,$DF534,12)&amp;"","")&amp;"␟"&amp;IFERROR(INDEX(PASTE_ALL,$DF534,13)&amp;"","")&amp;"␟"&amp;IFERROR(INDEX(PASTE_ALL,$DF534,14)&amp;"","")&amp;"␟"&amp;IFERROR(INDEX(PASTE_ALL,$DF534,15)&amp;"","")&amp;"␟"&amp;IFERROR(INDEX(PASTE_ALL,$DF534,16)&amp;"","")&amp;"␟"&amp;IFERROR(INDEX(PASTE_ALL,$DF534,17)&amp;"","")&amp;"␟"&amp;IFERROR(INDEX(PASTE_ALL,$DF534,18)&amp;"","")&amp;"␟"&amp;IFERROR(INDEX(PASTE_ALL,$DF534,19)&amp;"","")&amp;"␟"&amp;IFERROR(INDEX(PASTE_ALL,$DF534,20)&amp;"","")&amp;"␟"&amp;IFERROR(INDEX(PASTE_ALL,$DF534,21)&amp;"","")&amp;"␟"&amp;IFERROR(INDEX(PASTE_ALL,$DF534,22)&amp;"","")&amp;"␟"&amp;IFERROR(INDEX(PASTE_ALL,$DF534,23)&amp;"","")&amp;"␟"&amp;IFERROR(INDEX(PASTE_ALL,$DF534,24)&amp;"","")&amp;"␟"&amp;IFERROR(INDEX(PASTE_ALL,$DF534,25)&amp;"","")&amp;"␟"&amp;IFERROR(INDEX(PASTE_ALL,$DF534,26)&amp;"","")&amp;"␟"&amp;IFERROR(INDEX(PASTE_ALL,$DF534,27)&amp;"","")&amp;"␟"&amp;IFERROR(INDEX(PASTE_ALL,$DF534,28)&amp;"","")&amp;"␟"&amp;IFERROR(INDEX(PASTE_ALL,$DF534,29)&amp;"","")&amp;"␟"&amp;IFERROR(INDEX(PASTE_ALL,$DF534,30)&amp;"","")&amp;"␟"&amp;IFERROR(INDEX(PASTE_ALL,$DF534,31)&amp;"","")&amp;"␟"&amp;IFERROR(INDEX(PASTE_ALL,$DF534,32)&amp;"","")&amp;"␟"&amp;IFERROR(INDEX(PASTE_ALL,$DF534,33)&amp;"","")&amp;"␟"&amp;IFERROR(INDEX(PASTE_ALL,$DF534,34)&amp;"","")&amp;"␟"&amp;IFERROR(INDEX(PASTE_ALL,$DF534,35)&amp;"","")&amp;"␟"&amp;IFERROR(INDEX(PASTE_ALL,$DF534,36)&amp;"","")&amp;"␟"&amp;IFERROR(INDEX(PASTE_ALL,$DF534,37)&amp;"","")&amp;"␟"&amp;IFERROR(INDEX(PASTE_ALL,$DF534,38)&amp;"","")&amp;"␟"&amp;IFERROR(INDEX(PASTE_ALL,$DF534,39)&amp;"","")&amp;"␟"&amp;IFERROR(INDEX(PASTE_ALL,$DF534,40)&amp;"","")&amp;"␟"&amp;IFERROR(INDEX(PASTE_ALL,$DF534,41)&amp;"","")&amp;"␟"&amp;IFERROR(INDEX(PASTE_ALL,$DF534,42)&amp;"","")&amp;"␟"&amp;IFERROR(INDEX(PASTE_ALL,$DF534,43)&amp;"","")&amp;"␟"&amp;IFERROR(INDEX(PASTE_ALL,$DF534,44)&amp;"","")&amp;"␟"&amp;IFERROR(INDEX(PASTE_ALL,$DF534,45)&amp;"","")&amp;"␟"&amp;IFERROR(INDEX(PASTE_ALL,$DF534,46)&amp;"","")&amp;"␟"&amp;IFERROR(INDEX(PASTE_ALL,$DF534,47)&amp;"","")&amp;"␟"&amp;IFERROR(INDEX(PASTE_ALL,$DF534,48)&amp;"","")&amp;"␟"&amp;IFERROR(INDEX(PASTE_ALL,$DF534,49)&amp;"","")&amp;"␟"&amp;IFERROR(INDEX(PASTE_ALL,$DF534,50)&amp;"","")&amp;"␟"&amp;IFERROR(INDEX(PASTE_ALL,$DF534,51)&amp;"","")&amp;"␟"&amp;IFERROR(INDEX(PASTE_ALL,$DF534,52)&amp;"","")&amp;"␟"&amp;IFERROR(INDEX(PASTE_ALL,$DF534,53)&amp;"","")&amp;"␟"&amp;IFERROR(INDEX(PASTE_ALL,$DF534,54)&amp;"","")&amp;"␟"&amp;IFERROR(INDEX(PASTE_ALL,$DF534,55)&amp;"","")&amp;"␟"&amp;IFERROR(INDEX(PASTE_ALL,$DF534,56)&amp;"","")&amp;"␟"&amp;IFERROR(INDEX(PASTE_ALL,$DF534,57)&amp;"","")&amp;"␟"&amp;IFERROR(INDEX(PASTE_ALL,$DF534,58)&amp;"","")&amp;"␟"&amp;IFERROR(INDEX(PASTE_ALL,$DF534,59)&amp;"","")&amp;"␟"&amp;IFERROR(INDEX(PASTE_ALL,$DF534,60)&amp;"","")," "," "),CHAR(9)," "),CHAR(10)," "),CHAR(13)," "))," ␟","␟"),"␟ ","␟"),"#"&amp;$DE534),"")</f>
        <v/>
      </c>
      <c r="DJ534">
        <f>IF($DI534="",0,IF(SUMPRODUCT(--EXACT($DI$4:DI533,$DI534))&gt;0,1,0))</f>
        <v/>
      </c>
      <c r="DK534">
        <f>IF(AND($DI534&lt;&gt;"",$DJ534=0),1,0)</f>
        <v/>
      </c>
      <c r="DL534">
        <f>DL533+$DK534</f>
        <v/>
      </c>
      <c r="DM534">
        <f>IF(AND($DK534=1,$DL534&lt;=600),1,0)</f>
        <v/>
      </c>
      <c r="DN534">
        <f>IF($DM534=0,"",IF($L$6=0,"",IFERROR(IF(ISNUMBER(INDEX(PASTE_ALL,$DF534,$L$6)),INDEX(PASTE_ALL,$DF534,$L$6),TRIM(SUBSTITUTE(SUBSTITUTE(SUBSTITUTE(SUBSTITUTE(INDEX(PASTE_ALL,$DF534,$L$6)," "," "),CHAR(9)," "),CHAR(10)," "),CHAR(13)," "))),"")))</f>
        <v/>
      </c>
      <c r="DO534">
        <f>IF($DM534=0,"",IF($L$7=0,"",IFERROR(IF(ISNUMBER(INDEX(PASTE_ALL,$DF534,$L$7)),INDEX(PASTE_ALL,$DF534,$L$7),TRIM(SUBSTITUTE(SUBSTITUTE(SUBSTITUTE(SUBSTITUTE(INDEX(PASTE_ALL,$DF534,$L$7)," "," "),CHAR(9)," "),CHAR(10)," "),CHAR(13)," "))),"")))</f>
        <v/>
      </c>
      <c r="DP534">
        <f>IF($DM534=0,"",IF($L$8=0,"",IFERROR(IF(ISNUMBER(INDEX(PASTE_ALL,$DF534,$L$8)),INDEX(PASTE_ALL,$DF534,$L$8),TRIM(SUBSTITUTE(SUBSTITUTE(SUBSTITUTE(SUBSTITUTE(INDEX(PASTE_ALL,$DF534,$L$8)," "," "),CHAR(9)," "),CHAR(10)," "),CHAR(13)," "))),"")))</f>
        <v/>
      </c>
      <c r="DQ534">
        <f>IF($DM534=0,"",IF($L$9=0,"",IFERROR(IF(ISNUMBER(INDEX(PASTE_ALL,$DF534,$L$9)),INDEX(PASTE_ALL,$DF534,$L$9),TRIM(SUBSTITUTE(SUBSTITUTE(SUBSTITUTE(SUBSTITUTE(INDEX(PASTE_ALL,$DF534,$L$9)," "," "),CHAR(9)," "),CHAR(10)," "),CHAR(13)," "))),"")))</f>
        <v/>
      </c>
      <c r="DR534">
        <f>IF($DM534=0,"",IF($L$10=0,"",IFERROR(IF(ISNUMBER(INDEX(PASTE_ALL,$DF534,$L$10)),INDEX(PASTE_ALL,$DF534,$L$10),TRIM(SUBSTITUTE(SUBSTITUTE(SUBSTITUTE(SUBSTITUTE(INDEX(PASTE_ALL,$DF534,$L$10)," "," "),CHAR(9)," "),CHAR(10)," "),CHAR(13)," "))),"")))</f>
        <v/>
      </c>
      <c r="DS534">
        <f>IF($DM534=0,"",IF($L$11=0,"",IFERROR(IF(ISNUMBER(INDEX(PASTE_ALL,$DF534,$L$11)),INDEX(PASTE_ALL,$DF534,$L$11),TRIM(SUBSTITUTE(SUBSTITUTE(SUBSTITUTE(SUBSTITUTE(INDEX(PASTE_ALL,$DF534,$L$11)," "," "),CHAR(9)," "),CHAR(10)," "),CHAR(13)," "))),"")))</f>
        <v/>
      </c>
      <c r="DT534">
        <f>IF($DM534=0,"",IF($L$12=0,"",IFERROR(IF(ISNUMBER(INDEX(PASTE_ALL,$DF534,$L$12)),INDEX(PASTE_ALL,$DF534,$L$12),TRIM(SUBSTITUTE(SUBSTITUTE(SUBSTITUTE(SUBSTITUTE(INDEX(PASTE_ALL,$DF534,$L$12)," "," "),CHAR(9)," "),CHAR(10)," "),CHAR(13)," "))),"")))</f>
        <v/>
      </c>
      <c r="DU534">
        <f>IF($DM534=0,"",IF($L$13=0,"",IFERROR(IF(ISNUMBER(INDEX(PASTE_ALL,$DF534,$L$13)),INDEX(PASTE_ALL,$DF534,$L$13),TRIM(SUBSTITUTE(SUBSTITUTE(SUBSTITUTE(SUBSTITUTE(INDEX(PASTE_ALL,$DF534,$L$13)," "," "),CHAR(9)," "),CHAR(10)," "),CHAR(13)," "))),"")))</f>
        <v/>
      </c>
      <c r="DV534">
        <f>IF($DM534=0,"",IF($L$14=0,"",IFERROR(IF(ISNUMBER(INDEX(PASTE_ALL,$DF534,$L$14)),INDEX(PASTE_ALL,$DF534,$L$14),TRIM(SUBSTITUTE(SUBSTITUTE(SUBSTITUTE(SUBSTITUTE(INDEX(PASTE_ALL,$DF534,$L$14)," "," "),CHAR(9)," "),CHAR(10)," "),CHAR(13)," "))),"")))</f>
        <v/>
      </c>
      <c r="DW534">
        <f>IF($DM534=0,"",IF($L$15=0,"",IFERROR(IF(ISNUMBER(INDEX(PASTE_ALL,$DF534,$L$15)),INDEX(PASTE_ALL,$DF534,$L$15),IF(SUMPRODUCT(--ISNUMBER(FIND({"A","B","C","D","E","F","G","H","I","J","K","L","M","N","O","P","Q","R","S","T","U","V","W","X","Y","Z","0","1","2","3","4","5","6","7","8","9"},UPPER(TRIM(SUBSTITUTE(SUBSTITUTE(SUBSTITUTE(SUBSTITUTE(INDEX(PASTE_ALL,$DF534,$L$15)," "," "),CHAR(9)," "),CHAR(10)," "),CHAR(13)," "))))))&gt;0,TRIM(SUBSTITUTE(SUBSTITUTE(SUBSTITUTE(SUBSTITUTE(INDEX(PASTE_ALL,$DF534,$L$15)," "," "),CHAR(9)," "),CHAR(10)," "),CHAR(13)," ")),"")),"")))</f>
        <v/>
      </c>
      <c r="DX534">
        <f>IF($DM534=0,"",IF($L$16=0,"",IFERROR(IF(ISNUMBER(INDEX(PASTE_ALL,$DF534,$L$16)),INDEX(PASTE_ALL,$DF534,$L$16),SUBSTITUTE(SUBSTITUTE(TRIM(SUBSTITUTE(SUBSTITUTE(SUBSTITUTE(SUBSTITUTE(INDEX(PASTE_ALL,$DF534,$L$16)," "," "),CHAR(9)," "),CHAR(10)," "),CHAR(13)," ")),",",""),"%","")),"")))</f>
        <v/>
      </c>
      <c r="DY534">
        <f>IF($DM534=0,"",IFERROR(IF(ISNUMBER($DX534),$DX534,IF($DX534="","",IF(TRIM($DX534)="",0,IF(AND(AND(SUBSTITUTE(SUBSTITUTE(SUBSTITUTE(SUBSTITUTE(SUBSTITUTE(SUBSTITUTE(SUBSTITUTE(SUBSTITUTE(SUBSTITUTE(SUBSTITUTE(SUBSTITUTE(SUBSTITUTE(SUBSTITUTE(SUBSTITUTE(UPPER(TRIM($DX534)),"0",""),"1",""),"2",""),"3",""),"4",""),"5",""),"6",""),"7",""),"8",""),"9",""),".",""),"+",""),"-",""),"E","")="",LEN(SUBSTITUTE(SUBSTITUTE(MID(UPPER(TRIM($DX534)),1+OR(LEFT(UPPER(TRIM($DX534)),1)="+",LEFT(UPPER(TRIM($DX534)),1)="-"),999),"E+","E"),"E-","E"))=LEN(SUBSTITUTE(SUBSTITUTE(SUBSTITUTE(SUBSTITUTE(MID(UPPER(TRIM($DX534)),1+OR(LEFT(UPPER(TRIM($DX534)),1)="+",LEFT(UPPER(TRIM($DX534)),1)="-"),999),"E+","E"),"E-","E"),"+",""),"-","")),LEN(UPPER(TRIM($DX534)))-LEN(SUBSTITUTE(UPPER(TRIM($DX534)),"E",""))&lt;2,LEN(UPPER(TRIM($DX534)))-LEN(SUBSTITUTE(UPPER(TRIM($DX534)),".",""))&lt;2,IFERROR(FIND(".",UPPER(TRIM($DX534))),0)&lt;IFERROR(FIND("E",UPPER(TRIM($DX534))),999)),ISNUMBER(VALUE(TRIM($DX534)))),VALUE(TRIM($DX534)),"")))),""))</f>
        <v/>
      </c>
      <c r="DZ534">
        <f>IF($DM534=0,"",IF($L$17=0,"",IFERROR(IF(ISNUMBER(INDEX(PASTE_ALL,$DF534,$L$17)),INDEX(PASTE_ALL,$DF534,$L$17),SUBSTITUTE(SUBSTITUTE(TRIM(SUBSTITUTE(SUBSTITUTE(SUBSTITUTE(SUBSTITUTE(INDEX(PASTE_ALL,$DF534,$L$17)," "," "),CHAR(9)," "),CHAR(10)," "),CHAR(13)," ")),",",""),"%","")),"")))</f>
        <v/>
      </c>
      <c r="EA534">
        <f>IF($DM534=0,"",IFERROR(IF(ISNUMBER($DZ534),$DZ534,IF($DZ534="","",IF(TRIM($DZ534)="",0,IF(AND(AND(SUBSTITUTE(SUBSTITUTE(SUBSTITUTE(SUBSTITUTE(SUBSTITUTE(SUBSTITUTE(SUBSTITUTE(SUBSTITUTE(SUBSTITUTE(SUBSTITUTE(SUBSTITUTE(SUBSTITUTE(SUBSTITUTE(SUBSTITUTE(UPPER(TRIM($DZ534)),"0",""),"1",""),"2",""),"3",""),"4",""),"5",""),"6",""),"7",""),"8",""),"9",""),".",""),"+",""),"-",""),"E","")="",LEN(SUBSTITUTE(SUBSTITUTE(MID(UPPER(TRIM($DZ534)),1+OR(LEFT(UPPER(TRIM($DZ534)),1)="+",LEFT(UPPER(TRIM($DZ534)),1)="-"),999),"E+","E"),"E-","E"))=LEN(SUBSTITUTE(SUBSTITUTE(SUBSTITUTE(SUBSTITUTE(MID(UPPER(TRIM($DZ534)),1+OR(LEFT(UPPER(TRIM($DZ534)),1)="+",LEFT(UPPER(TRIM($DZ534)),1)="-"),999),"E+","E"),"E-","E"),"+",""),"-","")),LEN(UPPER(TRIM($DZ534)))-LEN(SUBSTITUTE(UPPER(TRIM($DZ534)),"E",""))&lt;2,LEN(UPPER(TRIM($DZ534)))-LEN(SUBSTITUTE(UPPER(TRIM($DZ534)),".",""))&lt;2,IFERROR(FIND(".",UPPER(TRIM($DZ534))),0)&lt;IFERROR(FIND("E",UPPER(TRIM($DZ534))),999)),ISNUMBER(VALUE(TRIM($DZ534)))),VALUE(TRIM($DZ534)),"")))),""))</f>
        <v/>
      </c>
      <c r="EB534">
        <f>IF($DM534=0,"",IF($L$18=0,"",IFERROR(IF(UPPER(TRIM(SUBSTITUTE(SUBSTITUTE(SUBSTITUTE(SUBSTITUTE(INDEX(PASTE_ALL,$DF534,$L$18)," "," "),CHAR(9)," "),CHAR(10)," "),CHAR(13)," ")))="READY","Ready",IF(UPPER(TRIM(SUBSTITUTE(SUBSTITUTE(SUBSTITUTE(SUBSTITUTE(INDEX(PASTE_ALL,$DF534,$L$18)," "," "),CHAR(9)," "),CHAR(10)," "),CHAR(13)," ")))="PM","PM",IF(OR(UPPER(TRIM(SUBSTITUTE(SUBSTITUTE(SUBSTITUTE(SUBSTITUTE(INDEX(PASTE_ALL,$DF534,$L$18)," "," "),CHAR(9)," "),CHAR(10)," "),CHAR(13)," ")))="OT",UPPER(TRIM(SUBSTITUTE(SUBSTITUTE(SUBSTITUTE(SUBSTITUTE(INDEX(PASTE_ALL,$DF534,$L$18)," "," "),CHAR(9)," "),CHAR(10)," "),CHAR(13)," ")))="OVERTIME",UPPER(TRIM(SUBSTITUTE(SUBSTITUTE(SUBSTITUTE(SUBSTITUTE(INDEX(PASTE_ALL,$DF534,$L$18)," "," "),CHAR(9)," "),CHAR(10)," "),CHAR(13)," ")))="TRIAL"),"OT",TRIM(SUBSTITUTE(SUBSTITUTE(SUBSTITUTE(SUBSTITUTE(INDEX(PASTE_ALL,$DF534,$L$18)," "," "),CHAR(9)," "),CHAR(10)," "),CHAR(13)," "))))),"")))</f>
        <v/>
      </c>
      <c r="EC534">
        <f>IF($DM534=0,"",IF($L$19=0,"",IFERROR(IF(ISNUMBER(INDEX(PASTE_ALL,$DF534,$L$19)),INDEX(PASTE_ALL,$DF534,$L$19),TRIM(SUBSTITUTE(SUBSTITUTE(SUBSTITUTE(SUBSTITUTE(INDEX(PASTE_ALL,$DF534,$L$19)," "," "),CHAR(9)," "),CHAR(10)," "),CHAR(13)," "))),"")))</f>
        <v/>
      </c>
      <c r="ED534">
        <f>IF($DM534=0,"",MATCH(1,INDEX(EXACT($DH$5:DH534,$DH534)*$DM$5:DM534,0),0))</f>
        <v/>
      </c>
      <c r="EE534">
        <f>IF($DM534=0,0,IF($ED534=$DE534,1,0))</f>
        <v/>
      </c>
      <c r="EF534">
        <f>EF533+$EE534</f>
        <v/>
      </c>
      <c r="EG534">
        <f>IF($DM534=0,"",INDEX($EF$5:$EF$1003,$ED534))</f>
        <v/>
      </c>
      <c r="EH534">
        <f>IF($DM534=0,"",IF($DO534&lt;&gt;"","",IFERROR(LOOKUP(2,1/(($EG$4:EG533=$EG534)*($DO$4:DO533&lt;&gt;"")),$DO$4:DO533),"")))</f>
        <v/>
      </c>
      <c r="EI534">
        <f>IF($DM534=0,"",IF($DO534&lt;&gt;"",$DO534,$EH534))</f>
        <v/>
      </c>
      <c r="EJ534">
        <f>IF($DM534=0,"",IF($EI534="",0,IF(OR(ISNUMBER($EI534),AND(AND(SUBSTITUTE(SUBSTITUTE(SUBSTITUTE(SUBSTITUTE(SUBSTITUTE(SUBSTITUTE(SUBSTITUTE(SUBSTITUTE(SUBSTITUTE(SUBSTITUTE(SUBSTITUTE(SUBSTITUTE(SUBSTITUTE(SUBSTITUTE(UPPER($EI534),"0",""),"1",""),"2",""),"3",""),"4",""),"5",""),"6",""),"7",""),"8",""),"9",""),".",""),"+",""),"-",""),"E","")="",LEN(SUBSTITUTE(SUBSTITUTE(MID(UPPER($EI534),1+OR(LEFT(UPPER($EI534),1)="+",LEFT(UPPER($EI534),1)="-"),999),"E+","E"),"E-","E"))=LEN(SUBSTITUTE(SUBSTITUTE(SUBSTITUTE(SUBSTITUTE(MID(UPPER($EI534),1+OR(LEFT(UPPER($EI534),1)="+",LEFT(UPPER($EI534),1)="-"),999),"E+","E"),"E-","E"),"+",""),"-","")),LEN(UPPER($EI534))-LEN(SUBSTITUTE(UPPER($EI534),"E",""))&lt;2,LEN(UPPER($EI534))-LEN(SUBSTITUTE(UPPER($EI534),".",""))&lt;2,IFERROR(FIND(".",UPPER($EI534)),0)&lt;IFERROR(FIND("E",UPPER($EI534)),999)),ISNUMBER(VALUE($EI534)))),1,2)))</f>
        <v/>
      </c>
      <c r="EK534">
        <f>IF($DM534=0,"",IF($EJ534=1,IF(ISNUMBER($EI534),$EI534,VALUE($EI534)),IF($EJ534=2,$DE534,0)))</f>
        <v/>
      </c>
      <c r="EL534">
        <f>IF($DM534=0,"",COUNTIF($EG$5:$EG$1003,"&lt;"&amp;$EG534)+SUMPRODUCT(($EG$5:$EG$1003=$EG534)*(($EJ$5:$EJ$1003&lt;$EJ534)+($EJ$5:$EJ$1003=$EJ534)*(($EK$5:$EK$1003&lt;$EK534)+($EK$5:$EK$1003=$EK534)*($DE$5:$DE$1003&lt;$DE534))))+1)</f>
        <v/>
      </c>
      <c r="EM534">
        <f>IF($DM534=0,"",$EL534+$EG534-1)</f>
        <v/>
      </c>
      <c r="EN534">
        <f>IF($DM534=0,0,IFERROR(MATCH(1,INDEX(--(TRIM(SUBSTITUTE(SUBSTITUTE(SUBSTITUTE(SUBSTITUTE(LINES_NAME&amp;""," "," "),CHAR(9)," "),CHAR(10)," "),CHAR(13)," "))=$DH534),0),0),0))</f>
        <v/>
      </c>
      <c r="EO534">
        <f>IF($EN534=0,0,IF(OR(UPPER(TRIM(INDEX(LINES_SCHEDULED,$EN534)&amp;""))="YES",UPPER(TRIM(INDEX(LINES_SCHEDULED,$EN534)&amp;""))="Y",UPPER(TRIM(INDEX(LINES_SCHEDULED,$EN534)&amp;""))="X"),1,0))</f>
        <v/>
      </c>
      <c r="EP534">
        <f>IF($DM534=0,"",IF(COUNTIFS($EG$5:$EG$1003,$EG534,$EB$5:$EB$1003,"Ready")&gt;0,"READY",IF(COUNTIFS($EG$5:$EG$1003,$EG534,$EB$5:$EB$1003,"PM")&gt;0,"PM",IF(COUNTIFS($EG$5:$EG$1003,$EG534,$EB$5:$EB$1003,"OT")&gt;0,"OT",""))))</f>
        <v/>
      </c>
      <c r="EQ534">
        <f>IF($EN534=0,"",UPPER(TRIM(INDEX(LINES_STATUS,$EN534)&amp;"")))</f>
        <v/>
      </c>
      <c r="ER534">
        <f>IF($DM534=0,"",IF(OR($EQ534="READY",$EQ534="PM",$EQ534="OT"),$EQ534,$EP534))</f>
        <v/>
      </c>
      <c r="ES534">
        <f>IF($DM534=0,"",IF(AND($DV534&lt;&gt;"",UPPER($DV534)&lt;&gt;"N"),"allergen",IF(ISNUMBER(SEARCH("oil",$DQ534)),"oil",IF(OR(EXACT($DS534,"A662"),EXACT($DS534,"A624")),"bulk",""))))</f>
        <v/>
      </c>
      <c r="ET534">
        <f>IF($DM534=0,"",IF(OR($EA534="",$EA534=0),"",$EA534/100))</f>
        <v/>
      </c>
      <c r="EU534">
        <f>IF(OR($ET534="",$DY534=""),"",INT($DY534*(1-$ET534)+0.5))</f>
        <v/>
      </c>
      <c r="EW534" t="n">
        <v>530</v>
      </c>
      <c r="EX534">
        <f>IFERROR(MATCH($EW534,$EM$5:$EM$1003,0),0)</f>
        <v/>
      </c>
      <c r="EY534">
        <f>IF($EW534&gt;$B$12,"",IF($EX534&gt;0,"row","spacer"))</f>
        <v/>
      </c>
      <c r="EZ534">
        <f>IF(AND($EY534="row",$EY533&lt;&gt;"row"),1,0)</f>
        <v/>
      </c>
      <c r="FA534">
        <f>IF(AND($EY534="row",$EY535&lt;&gt;"row"),1,0)</f>
        <v/>
      </c>
      <c r="FB534">
        <f>IF($EZ534=1,IFERROR(IF(ISNUMBER(INDEX(PASTE_ALL,INDEX($DF$5:$DF$1003,$EX534),$B$37)),INDEX(PASTE_ALL,INDEX($DF$5:$DF$1003,$EX534),$B$37),INDEX($DH$5:$DH$1003,$EX534)),INDEX($DH$5:$DH$1003,$EX534)),"")</f>
        <v/>
      </c>
      <c r="FC534">
        <f>IF($EY534="row",INDEX($ER$5:$ER$1003,$EX534),"")</f>
        <v/>
      </c>
      <c r="FD534">
        <f>IF($EY534="row",INDEX($DN$5:$DN$1003,$EX534),"")</f>
        <v/>
      </c>
      <c r="FE534">
        <f>IF($EY534="row",INDEX($DO$5:$DO$1003,$EX534),"")</f>
        <v/>
      </c>
      <c r="FF534">
        <f>IF($EY534="row",INDEX($DP$5:$DP$1003,$EX534),"")</f>
        <v/>
      </c>
      <c r="FG534">
        <f>IF($EY534="row",INDEX($DQ$5:$DQ$1003,$EX534),"")</f>
        <v/>
      </c>
      <c r="FH534">
        <f>IF($EY534="row",INDEX($DR$5:$DR$1003,$EX534),"")</f>
        <v/>
      </c>
      <c r="FI534">
        <f>IF($EY534="row",INDEX($DS$5:$DS$1003,$EX534),"")</f>
        <v/>
      </c>
      <c r="FJ534">
        <f>IF($EY534="row",INDEX($DT$5:$DT$1003,$EX534),"")</f>
        <v/>
      </c>
      <c r="FK534">
        <f>IF($EY534="row",INDEX($DU$5:$DU$1003,$EX534),"")</f>
        <v/>
      </c>
      <c r="FL534">
        <f>IF($EY534="row",INDEX($DV$5:$DV$1003,$EX534),"")</f>
        <v/>
      </c>
      <c r="FM534">
        <f>IF($EY534="row",INDEX($DW$5:$DW$1003,$EX534),"")</f>
        <v/>
      </c>
      <c r="FN534">
        <f>IF($EY534="row",INDEX($DY$5:$DY$1003,$EX534),"")</f>
        <v/>
      </c>
      <c r="FO534">
        <f>IF($EY534="row",INDEX($EA$5:$EA$1003,$EX534),"")</f>
        <v/>
      </c>
      <c r="FP534">
        <f>IF($EY534="row",INDEX($EC$5:$EC$1003,$EX534),"")</f>
        <v/>
      </c>
      <c r="FQ534">
        <f>IF($EY534="row",INDEX($ET$5:$ET$1003,$EX534),"")</f>
        <v/>
      </c>
      <c r="FR534">
        <f>IF($EY534="row",INDEX($EU$5:$EU$1003,$EX534),"")</f>
        <v/>
      </c>
      <c r="FS534">
        <f>IF(AND($EY534="row",$EY533="row"),IF(OR(INDEX($DT$5:$DT$1003,$EX533)="",INDEX($DT$5:$DT$1003,$EX534)=""),"",IF(NOT(EXACT(INDEX($DT$5:$DT$1003,$EX533),INDEX($DT$5:$DT$1003,$EX534))),"S4",IF(NOT(EXACT(INDEX($DS$5:$DS$1003,$EX533),INDEX($DS$5:$DS$1003,$EX534))),"S3",IF(NOT(EXACT(INDEX($DR$5:$DR$1003,$EX533),INDEX($DR$5:$DR$1003,$EX534))),"S1 Count Change","S1")))),"")</f>
        <v/>
      </c>
      <c r="FT534">
        <f>IF($EY534="row",INDEX($ES$5:$ES$1003,$EX534),"")</f>
        <v/>
      </c>
      <c r="FU534">
        <f>IF($EY534="row",INDEX($EO$5:$EO$1003,$EX534),0)</f>
        <v/>
      </c>
      <c r="FV534">
        <f>IF($FS534="S1 Count Change",1,0)</f>
        <v/>
      </c>
    </row>
    <row r="535">
      <c r="DA535" t="n">
        <v>531</v>
      </c>
      <c r="DB535">
        <f>IF($B$37=0,"",IFERROR(TRIM(SUBSTITUTE(SUBSTITUTE(SUBSTITUTE(SUBSTITUTE(INDEX(PASTE_ALL,531,$B$37)," "," "),CHAR(9)," "),CHAR(10)," "),CHAR(13)," ")),""))</f>
        <v/>
      </c>
      <c r="DC535">
        <f>IF(AND(531&gt;HEADER_ROW,UPPER(DB535)="LEGEND"),1,0)</f>
        <v/>
      </c>
      <c r="DE535" t="n">
        <v>531</v>
      </c>
      <c r="DF535">
        <f>HEADER_ROW+$DE535</f>
        <v/>
      </c>
      <c r="DG535">
        <f>IF(AND($DF535&lt;=1000,$DF535&lt;$B$8),1,0)</f>
        <v/>
      </c>
      <c r="DH535">
        <f>IF($DG535=1,IFERROR(INDEX($DB$5:$DB$1004,$DF535),""),"")</f>
        <v/>
      </c>
      <c r="DI535">
        <f>IF(AND($DG535=1,$DH535&lt;&gt;""),IFERROR(SUBSTITUTE(SUBSTITUTE(TRIM(SUBSTITUTE(SUBSTITUTE(SUBSTITUTE(SUBSTITUTE(IFERROR(INDEX(PASTE_ALL,$DF535,1)&amp;"","")&amp;"␟"&amp;IFERROR(INDEX(PASTE_ALL,$DF535,2)&amp;"","")&amp;"␟"&amp;IFERROR(INDEX(PASTE_ALL,$DF535,3)&amp;"","")&amp;"␟"&amp;IFERROR(INDEX(PASTE_ALL,$DF535,4)&amp;"","")&amp;"␟"&amp;IFERROR(INDEX(PASTE_ALL,$DF535,5)&amp;"","")&amp;"␟"&amp;IFERROR(INDEX(PASTE_ALL,$DF535,6)&amp;"","")&amp;"␟"&amp;IFERROR(INDEX(PASTE_ALL,$DF535,7)&amp;"","")&amp;"␟"&amp;IFERROR(INDEX(PASTE_ALL,$DF535,8)&amp;"","")&amp;"␟"&amp;IFERROR(INDEX(PASTE_ALL,$DF535,9)&amp;"","")&amp;"␟"&amp;IFERROR(INDEX(PASTE_ALL,$DF535,10)&amp;"","")&amp;"␟"&amp;IFERROR(INDEX(PASTE_ALL,$DF535,11)&amp;"","")&amp;"␟"&amp;IFERROR(INDEX(PASTE_ALL,$DF535,12)&amp;"","")&amp;"␟"&amp;IFERROR(INDEX(PASTE_ALL,$DF535,13)&amp;"","")&amp;"␟"&amp;IFERROR(INDEX(PASTE_ALL,$DF535,14)&amp;"","")&amp;"␟"&amp;IFERROR(INDEX(PASTE_ALL,$DF535,15)&amp;"","")&amp;"␟"&amp;IFERROR(INDEX(PASTE_ALL,$DF535,16)&amp;"","")&amp;"␟"&amp;IFERROR(INDEX(PASTE_ALL,$DF535,17)&amp;"","")&amp;"␟"&amp;IFERROR(INDEX(PASTE_ALL,$DF535,18)&amp;"","")&amp;"␟"&amp;IFERROR(INDEX(PASTE_ALL,$DF535,19)&amp;"","")&amp;"␟"&amp;IFERROR(INDEX(PASTE_ALL,$DF535,20)&amp;"","")&amp;"␟"&amp;IFERROR(INDEX(PASTE_ALL,$DF535,21)&amp;"","")&amp;"␟"&amp;IFERROR(INDEX(PASTE_ALL,$DF535,22)&amp;"","")&amp;"␟"&amp;IFERROR(INDEX(PASTE_ALL,$DF535,23)&amp;"","")&amp;"␟"&amp;IFERROR(INDEX(PASTE_ALL,$DF535,24)&amp;"","")&amp;"␟"&amp;IFERROR(INDEX(PASTE_ALL,$DF535,25)&amp;"","")&amp;"␟"&amp;IFERROR(INDEX(PASTE_ALL,$DF535,26)&amp;"","")&amp;"␟"&amp;IFERROR(INDEX(PASTE_ALL,$DF535,27)&amp;"","")&amp;"␟"&amp;IFERROR(INDEX(PASTE_ALL,$DF535,28)&amp;"","")&amp;"␟"&amp;IFERROR(INDEX(PASTE_ALL,$DF535,29)&amp;"","")&amp;"␟"&amp;IFERROR(INDEX(PASTE_ALL,$DF535,30)&amp;"","")&amp;"␟"&amp;IFERROR(INDEX(PASTE_ALL,$DF535,31)&amp;"","")&amp;"␟"&amp;IFERROR(INDEX(PASTE_ALL,$DF535,32)&amp;"","")&amp;"␟"&amp;IFERROR(INDEX(PASTE_ALL,$DF535,33)&amp;"","")&amp;"␟"&amp;IFERROR(INDEX(PASTE_ALL,$DF535,34)&amp;"","")&amp;"␟"&amp;IFERROR(INDEX(PASTE_ALL,$DF535,35)&amp;"","")&amp;"␟"&amp;IFERROR(INDEX(PASTE_ALL,$DF535,36)&amp;"","")&amp;"␟"&amp;IFERROR(INDEX(PASTE_ALL,$DF535,37)&amp;"","")&amp;"␟"&amp;IFERROR(INDEX(PASTE_ALL,$DF535,38)&amp;"","")&amp;"␟"&amp;IFERROR(INDEX(PASTE_ALL,$DF535,39)&amp;"","")&amp;"␟"&amp;IFERROR(INDEX(PASTE_ALL,$DF535,40)&amp;"","")&amp;"␟"&amp;IFERROR(INDEX(PASTE_ALL,$DF535,41)&amp;"","")&amp;"␟"&amp;IFERROR(INDEX(PASTE_ALL,$DF535,42)&amp;"","")&amp;"␟"&amp;IFERROR(INDEX(PASTE_ALL,$DF535,43)&amp;"","")&amp;"␟"&amp;IFERROR(INDEX(PASTE_ALL,$DF535,44)&amp;"","")&amp;"␟"&amp;IFERROR(INDEX(PASTE_ALL,$DF535,45)&amp;"","")&amp;"␟"&amp;IFERROR(INDEX(PASTE_ALL,$DF535,46)&amp;"","")&amp;"␟"&amp;IFERROR(INDEX(PASTE_ALL,$DF535,47)&amp;"","")&amp;"␟"&amp;IFERROR(INDEX(PASTE_ALL,$DF535,48)&amp;"","")&amp;"␟"&amp;IFERROR(INDEX(PASTE_ALL,$DF535,49)&amp;"","")&amp;"␟"&amp;IFERROR(INDEX(PASTE_ALL,$DF535,50)&amp;"","")&amp;"␟"&amp;IFERROR(INDEX(PASTE_ALL,$DF535,51)&amp;"","")&amp;"␟"&amp;IFERROR(INDEX(PASTE_ALL,$DF535,52)&amp;"","")&amp;"␟"&amp;IFERROR(INDEX(PASTE_ALL,$DF535,53)&amp;"","")&amp;"␟"&amp;IFERROR(INDEX(PASTE_ALL,$DF535,54)&amp;"","")&amp;"␟"&amp;IFERROR(INDEX(PASTE_ALL,$DF535,55)&amp;"","")&amp;"␟"&amp;IFERROR(INDEX(PASTE_ALL,$DF535,56)&amp;"","")&amp;"␟"&amp;IFERROR(INDEX(PASTE_ALL,$DF535,57)&amp;"","")&amp;"␟"&amp;IFERROR(INDEX(PASTE_ALL,$DF535,58)&amp;"","")&amp;"␟"&amp;IFERROR(INDEX(PASTE_ALL,$DF535,59)&amp;"","")&amp;"␟"&amp;IFERROR(INDEX(PASTE_ALL,$DF535,60)&amp;"","")," "," "),CHAR(9)," "),CHAR(10)," "),CHAR(13)," "))," ␟","␟"),"␟ ","␟"),"#"&amp;$DE535),"")</f>
        <v/>
      </c>
      <c r="DJ535">
        <f>IF($DI535="",0,IF(SUMPRODUCT(--EXACT($DI$4:DI534,$DI535))&gt;0,1,0))</f>
        <v/>
      </c>
      <c r="DK535">
        <f>IF(AND($DI535&lt;&gt;"",$DJ535=0),1,0)</f>
        <v/>
      </c>
      <c r="DL535">
        <f>DL534+$DK535</f>
        <v/>
      </c>
      <c r="DM535">
        <f>IF(AND($DK535=1,$DL535&lt;=600),1,0)</f>
        <v/>
      </c>
      <c r="DN535">
        <f>IF($DM535=0,"",IF($L$6=0,"",IFERROR(IF(ISNUMBER(INDEX(PASTE_ALL,$DF535,$L$6)),INDEX(PASTE_ALL,$DF535,$L$6),TRIM(SUBSTITUTE(SUBSTITUTE(SUBSTITUTE(SUBSTITUTE(INDEX(PASTE_ALL,$DF535,$L$6)," "," "),CHAR(9)," "),CHAR(10)," "),CHAR(13)," "))),"")))</f>
        <v/>
      </c>
      <c r="DO535">
        <f>IF($DM535=0,"",IF($L$7=0,"",IFERROR(IF(ISNUMBER(INDEX(PASTE_ALL,$DF535,$L$7)),INDEX(PASTE_ALL,$DF535,$L$7),TRIM(SUBSTITUTE(SUBSTITUTE(SUBSTITUTE(SUBSTITUTE(INDEX(PASTE_ALL,$DF535,$L$7)," "," "),CHAR(9)," "),CHAR(10)," "),CHAR(13)," "))),"")))</f>
        <v/>
      </c>
      <c r="DP535">
        <f>IF($DM535=0,"",IF($L$8=0,"",IFERROR(IF(ISNUMBER(INDEX(PASTE_ALL,$DF535,$L$8)),INDEX(PASTE_ALL,$DF535,$L$8),TRIM(SUBSTITUTE(SUBSTITUTE(SUBSTITUTE(SUBSTITUTE(INDEX(PASTE_ALL,$DF535,$L$8)," "," "),CHAR(9)," "),CHAR(10)," "),CHAR(13)," "))),"")))</f>
        <v/>
      </c>
      <c r="DQ535">
        <f>IF($DM535=0,"",IF($L$9=0,"",IFERROR(IF(ISNUMBER(INDEX(PASTE_ALL,$DF535,$L$9)),INDEX(PASTE_ALL,$DF535,$L$9),TRIM(SUBSTITUTE(SUBSTITUTE(SUBSTITUTE(SUBSTITUTE(INDEX(PASTE_ALL,$DF535,$L$9)," "," "),CHAR(9)," "),CHAR(10)," "),CHAR(13)," "))),"")))</f>
        <v/>
      </c>
      <c r="DR535">
        <f>IF($DM535=0,"",IF($L$10=0,"",IFERROR(IF(ISNUMBER(INDEX(PASTE_ALL,$DF535,$L$10)),INDEX(PASTE_ALL,$DF535,$L$10),TRIM(SUBSTITUTE(SUBSTITUTE(SUBSTITUTE(SUBSTITUTE(INDEX(PASTE_ALL,$DF535,$L$10)," "," "),CHAR(9)," "),CHAR(10)," "),CHAR(13)," "))),"")))</f>
        <v/>
      </c>
      <c r="DS535">
        <f>IF($DM535=0,"",IF($L$11=0,"",IFERROR(IF(ISNUMBER(INDEX(PASTE_ALL,$DF535,$L$11)),INDEX(PASTE_ALL,$DF535,$L$11),TRIM(SUBSTITUTE(SUBSTITUTE(SUBSTITUTE(SUBSTITUTE(INDEX(PASTE_ALL,$DF535,$L$11)," "," "),CHAR(9)," "),CHAR(10)," "),CHAR(13)," "))),"")))</f>
        <v/>
      </c>
      <c r="DT535">
        <f>IF($DM535=0,"",IF($L$12=0,"",IFERROR(IF(ISNUMBER(INDEX(PASTE_ALL,$DF535,$L$12)),INDEX(PASTE_ALL,$DF535,$L$12),TRIM(SUBSTITUTE(SUBSTITUTE(SUBSTITUTE(SUBSTITUTE(INDEX(PASTE_ALL,$DF535,$L$12)," "," "),CHAR(9)," "),CHAR(10)," "),CHAR(13)," "))),"")))</f>
        <v/>
      </c>
      <c r="DU535">
        <f>IF($DM535=0,"",IF($L$13=0,"",IFERROR(IF(ISNUMBER(INDEX(PASTE_ALL,$DF535,$L$13)),INDEX(PASTE_ALL,$DF535,$L$13),TRIM(SUBSTITUTE(SUBSTITUTE(SUBSTITUTE(SUBSTITUTE(INDEX(PASTE_ALL,$DF535,$L$13)," "," "),CHAR(9)," "),CHAR(10)," "),CHAR(13)," "))),"")))</f>
        <v/>
      </c>
      <c r="DV535">
        <f>IF($DM535=0,"",IF($L$14=0,"",IFERROR(IF(ISNUMBER(INDEX(PASTE_ALL,$DF535,$L$14)),INDEX(PASTE_ALL,$DF535,$L$14),TRIM(SUBSTITUTE(SUBSTITUTE(SUBSTITUTE(SUBSTITUTE(INDEX(PASTE_ALL,$DF535,$L$14)," "," "),CHAR(9)," "),CHAR(10)," "),CHAR(13)," "))),"")))</f>
        <v/>
      </c>
      <c r="DW535">
        <f>IF($DM535=0,"",IF($L$15=0,"",IFERROR(IF(ISNUMBER(INDEX(PASTE_ALL,$DF535,$L$15)),INDEX(PASTE_ALL,$DF535,$L$15),IF(SUMPRODUCT(--ISNUMBER(FIND({"A","B","C","D","E","F","G","H","I","J","K","L","M","N","O","P","Q","R","S","T","U","V","W","X","Y","Z","0","1","2","3","4","5","6","7","8","9"},UPPER(TRIM(SUBSTITUTE(SUBSTITUTE(SUBSTITUTE(SUBSTITUTE(INDEX(PASTE_ALL,$DF535,$L$15)," "," "),CHAR(9)," "),CHAR(10)," "),CHAR(13)," "))))))&gt;0,TRIM(SUBSTITUTE(SUBSTITUTE(SUBSTITUTE(SUBSTITUTE(INDEX(PASTE_ALL,$DF535,$L$15)," "," "),CHAR(9)," "),CHAR(10)," "),CHAR(13)," ")),"")),"")))</f>
        <v/>
      </c>
      <c r="DX535">
        <f>IF($DM535=0,"",IF($L$16=0,"",IFERROR(IF(ISNUMBER(INDEX(PASTE_ALL,$DF535,$L$16)),INDEX(PASTE_ALL,$DF535,$L$16),SUBSTITUTE(SUBSTITUTE(TRIM(SUBSTITUTE(SUBSTITUTE(SUBSTITUTE(SUBSTITUTE(INDEX(PASTE_ALL,$DF535,$L$16)," "," "),CHAR(9)," "),CHAR(10)," "),CHAR(13)," ")),",",""),"%","")),"")))</f>
        <v/>
      </c>
      <c r="DY535">
        <f>IF($DM535=0,"",IFERROR(IF(ISNUMBER($DX535),$DX535,IF($DX535="","",IF(TRIM($DX535)="",0,IF(AND(AND(SUBSTITUTE(SUBSTITUTE(SUBSTITUTE(SUBSTITUTE(SUBSTITUTE(SUBSTITUTE(SUBSTITUTE(SUBSTITUTE(SUBSTITUTE(SUBSTITUTE(SUBSTITUTE(SUBSTITUTE(SUBSTITUTE(SUBSTITUTE(UPPER(TRIM($DX535)),"0",""),"1",""),"2",""),"3",""),"4",""),"5",""),"6",""),"7",""),"8",""),"9",""),".",""),"+",""),"-",""),"E","")="",LEN(SUBSTITUTE(SUBSTITUTE(MID(UPPER(TRIM($DX535)),1+OR(LEFT(UPPER(TRIM($DX535)),1)="+",LEFT(UPPER(TRIM($DX535)),1)="-"),999),"E+","E"),"E-","E"))=LEN(SUBSTITUTE(SUBSTITUTE(SUBSTITUTE(SUBSTITUTE(MID(UPPER(TRIM($DX535)),1+OR(LEFT(UPPER(TRIM($DX535)),1)="+",LEFT(UPPER(TRIM($DX535)),1)="-"),999),"E+","E"),"E-","E"),"+",""),"-","")),LEN(UPPER(TRIM($DX535)))-LEN(SUBSTITUTE(UPPER(TRIM($DX535)),"E",""))&lt;2,LEN(UPPER(TRIM($DX535)))-LEN(SUBSTITUTE(UPPER(TRIM($DX535)),".",""))&lt;2,IFERROR(FIND(".",UPPER(TRIM($DX535))),0)&lt;IFERROR(FIND("E",UPPER(TRIM($DX535))),999)),ISNUMBER(VALUE(TRIM($DX535)))),VALUE(TRIM($DX535)),"")))),""))</f>
        <v/>
      </c>
      <c r="DZ535">
        <f>IF($DM535=0,"",IF($L$17=0,"",IFERROR(IF(ISNUMBER(INDEX(PASTE_ALL,$DF535,$L$17)),INDEX(PASTE_ALL,$DF535,$L$17),SUBSTITUTE(SUBSTITUTE(TRIM(SUBSTITUTE(SUBSTITUTE(SUBSTITUTE(SUBSTITUTE(INDEX(PASTE_ALL,$DF535,$L$17)," "," "),CHAR(9)," "),CHAR(10)," "),CHAR(13)," ")),",",""),"%","")),"")))</f>
        <v/>
      </c>
      <c r="EA535">
        <f>IF($DM535=0,"",IFERROR(IF(ISNUMBER($DZ535),$DZ535,IF($DZ535="","",IF(TRIM($DZ535)="",0,IF(AND(AND(SUBSTITUTE(SUBSTITUTE(SUBSTITUTE(SUBSTITUTE(SUBSTITUTE(SUBSTITUTE(SUBSTITUTE(SUBSTITUTE(SUBSTITUTE(SUBSTITUTE(SUBSTITUTE(SUBSTITUTE(SUBSTITUTE(SUBSTITUTE(UPPER(TRIM($DZ535)),"0",""),"1",""),"2",""),"3",""),"4",""),"5",""),"6",""),"7",""),"8",""),"9",""),".",""),"+",""),"-",""),"E","")="",LEN(SUBSTITUTE(SUBSTITUTE(MID(UPPER(TRIM($DZ535)),1+OR(LEFT(UPPER(TRIM($DZ535)),1)="+",LEFT(UPPER(TRIM($DZ535)),1)="-"),999),"E+","E"),"E-","E"))=LEN(SUBSTITUTE(SUBSTITUTE(SUBSTITUTE(SUBSTITUTE(MID(UPPER(TRIM($DZ535)),1+OR(LEFT(UPPER(TRIM($DZ535)),1)="+",LEFT(UPPER(TRIM($DZ535)),1)="-"),999),"E+","E"),"E-","E"),"+",""),"-","")),LEN(UPPER(TRIM($DZ535)))-LEN(SUBSTITUTE(UPPER(TRIM($DZ535)),"E",""))&lt;2,LEN(UPPER(TRIM($DZ535)))-LEN(SUBSTITUTE(UPPER(TRIM($DZ535)),".",""))&lt;2,IFERROR(FIND(".",UPPER(TRIM($DZ535))),0)&lt;IFERROR(FIND("E",UPPER(TRIM($DZ535))),999)),ISNUMBER(VALUE(TRIM($DZ535)))),VALUE(TRIM($DZ535)),"")))),""))</f>
        <v/>
      </c>
      <c r="EB535">
        <f>IF($DM535=0,"",IF($L$18=0,"",IFERROR(IF(UPPER(TRIM(SUBSTITUTE(SUBSTITUTE(SUBSTITUTE(SUBSTITUTE(INDEX(PASTE_ALL,$DF535,$L$18)," "," "),CHAR(9)," "),CHAR(10)," "),CHAR(13)," ")))="READY","Ready",IF(UPPER(TRIM(SUBSTITUTE(SUBSTITUTE(SUBSTITUTE(SUBSTITUTE(INDEX(PASTE_ALL,$DF535,$L$18)," "," "),CHAR(9)," "),CHAR(10)," "),CHAR(13)," ")))="PM","PM",IF(OR(UPPER(TRIM(SUBSTITUTE(SUBSTITUTE(SUBSTITUTE(SUBSTITUTE(INDEX(PASTE_ALL,$DF535,$L$18)," "," "),CHAR(9)," "),CHAR(10)," "),CHAR(13)," ")))="OT",UPPER(TRIM(SUBSTITUTE(SUBSTITUTE(SUBSTITUTE(SUBSTITUTE(INDEX(PASTE_ALL,$DF535,$L$18)," "," "),CHAR(9)," "),CHAR(10)," "),CHAR(13)," ")))="OVERTIME",UPPER(TRIM(SUBSTITUTE(SUBSTITUTE(SUBSTITUTE(SUBSTITUTE(INDEX(PASTE_ALL,$DF535,$L$18)," "," "),CHAR(9)," "),CHAR(10)," "),CHAR(13)," ")))="TRIAL"),"OT",TRIM(SUBSTITUTE(SUBSTITUTE(SUBSTITUTE(SUBSTITUTE(INDEX(PASTE_ALL,$DF535,$L$18)," "," "),CHAR(9)," "),CHAR(10)," "),CHAR(13)," "))))),"")))</f>
        <v/>
      </c>
      <c r="EC535">
        <f>IF($DM535=0,"",IF($L$19=0,"",IFERROR(IF(ISNUMBER(INDEX(PASTE_ALL,$DF535,$L$19)),INDEX(PASTE_ALL,$DF535,$L$19),TRIM(SUBSTITUTE(SUBSTITUTE(SUBSTITUTE(SUBSTITUTE(INDEX(PASTE_ALL,$DF535,$L$19)," "," "),CHAR(9)," "),CHAR(10)," "),CHAR(13)," "))),"")))</f>
        <v/>
      </c>
      <c r="ED535">
        <f>IF($DM535=0,"",MATCH(1,INDEX(EXACT($DH$5:DH535,$DH535)*$DM$5:DM535,0),0))</f>
        <v/>
      </c>
      <c r="EE535">
        <f>IF($DM535=0,0,IF($ED535=$DE535,1,0))</f>
        <v/>
      </c>
      <c r="EF535">
        <f>EF534+$EE535</f>
        <v/>
      </c>
      <c r="EG535">
        <f>IF($DM535=0,"",INDEX($EF$5:$EF$1003,$ED535))</f>
        <v/>
      </c>
      <c r="EH535">
        <f>IF($DM535=0,"",IF($DO535&lt;&gt;"","",IFERROR(LOOKUP(2,1/(($EG$4:EG534=$EG535)*($DO$4:DO534&lt;&gt;"")),$DO$4:DO534),"")))</f>
        <v/>
      </c>
      <c r="EI535">
        <f>IF($DM535=0,"",IF($DO535&lt;&gt;"",$DO535,$EH535))</f>
        <v/>
      </c>
      <c r="EJ535">
        <f>IF($DM535=0,"",IF($EI535="",0,IF(OR(ISNUMBER($EI535),AND(AND(SUBSTITUTE(SUBSTITUTE(SUBSTITUTE(SUBSTITUTE(SUBSTITUTE(SUBSTITUTE(SUBSTITUTE(SUBSTITUTE(SUBSTITUTE(SUBSTITUTE(SUBSTITUTE(SUBSTITUTE(SUBSTITUTE(SUBSTITUTE(UPPER($EI535),"0",""),"1",""),"2",""),"3",""),"4",""),"5",""),"6",""),"7",""),"8",""),"9",""),".",""),"+",""),"-",""),"E","")="",LEN(SUBSTITUTE(SUBSTITUTE(MID(UPPER($EI535),1+OR(LEFT(UPPER($EI535),1)="+",LEFT(UPPER($EI535),1)="-"),999),"E+","E"),"E-","E"))=LEN(SUBSTITUTE(SUBSTITUTE(SUBSTITUTE(SUBSTITUTE(MID(UPPER($EI535),1+OR(LEFT(UPPER($EI535),1)="+",LEFT(UPPER($EI535),1)="-"),999),"E+","E"),"E-","E"),"+",""),"-","")),LEN(UPPER($EI535))-LEN(SUBSTITUTE(UPPER($EI535),"E",""))&lt;2,LEN(UPPER($EI535))-LEN(SUBSTITUTE(UPPER($EI535),".",""))&lt;2,IFERROR(FIND(".",UPPER($EI535)),0)&lt;IFERROR(FIND("E",UPPER($EI535)),999)),ISNUMBER(VALUE($EI535)))),1,2)))</f>
        <v/>
      </c>
      <c r="EK535">
        <f>IF($DM535=0,"",IF($EJ535=1,IF(ISNUMBER($EI535),$EI535,VALUE($EI535)),IF($EJ535=2,$DE535,0)))</f>
        <v/>
      </c>
      <c r="EL535">
        <f>IF($DM535=0,"",COUNTIF($EG$5:$EG$1003,"&lt;"&amp;$EG535)+SUMPRODUCT(($EG$5:$EG$1003=$EG535)*(($EJ$5:$EJ$1003&lt;$EJ535)+($EJ$5:$EJ$1003=$EJ535)*(($EK$5:$EK$1003&lt;$EK535)+($EK$5:$EK$1003=$EK535)*($DE$5:$DE$1003&lt;$DE535))))+1)</f>
        <v/>
      </c>
      <c r="EM535">
        <f>IF($DM535=0,"",$EL535+$EG535-1)</f>
        <v/>
      </c>
      <c r="EN535">
        <f>IF($DM535=0,0,IFERROR(MATCH(1,INDEX(--(TRIM(SUBSTITUTE(SUBSTITUTE(SUBSTITUTE(SUBSTITUTE(LINES_NAME&amp;""," "," "),CHAR(9)," "),CHAR(10)," "),CHAR(13)," "))=$DH535),0),0),0))</f>
        <v/>
      </c>
      <c r="EO535">
        <f>IF($EN535=0,0,IF(OR(UPPER(TRIM(INDEX(LINES_SCHEDULED,$EN535)&amp;""))="YES",UPPER(TRIM(INDEX(LINES_SCHEDULED,$EN535)&amp;""))="Y",UPPER(TRIM(INDEX(LINES_SCHEDULED,$EN535)&amp;""))="X"),1,0))</f>
        <v/>
      </c>
      <c r="EP535">
        <f>IF($DM535=0,"",IF(COUNTIFS($EG$5:$EG$1003,$EG535,$EB$5:$EB$1003,"Ready")&gt;0,"READY",IF(COUNTIFS($EG$5:$EG$1003,$EG535,$EB$5:$EB$1003,"PM")&gt;0,"PM",IF(COUNTIFS($EG$5:$EG$1003,$EG535,$EB$5:$EB$1003,"OT")&gt;0,"OT",""))))</f>
        <v/>
      </c>
      <c r="EQ535">
        <f>IF($EN535=0,"",UPPER(TRIM(INDEX(LINES_STATUS,$EN535)&amp;"")))</f>
        <v/>
      </c>
      <c r="ER535">
        <f>IF($DM535=0,"",IF(OR($EQ535="READY",$EQ535="PM",$EQ535="OT"),$EQ535,$EP535))</f>
        <v/>
      </c>
      <c r="ES535">
        <f>IF($DM535=0,"",IF(AND($DV535&lt;&gt;"",UPPER($DV535)&lt;&gt;"N"),"allergen",IF(ISNUMBER(SEARCH("oil",$DQ535)),"oil",IF(OR(EXACT($DS535,"A662"),EXACT($DS535,"A624")),"bulk",""))))</f>
        <v/>
      </c>
      <c r="ET535">
        <f>IF($DM535=0,"",IF(OR($EA535="",$EA535=0),"",$EA535/100))</f>
        <v/>
      </c>
      <c r="EU535">
        <f>IF(OR($ET535="",$DY535=""),"",INT($DY535*(1-$ET535)+0.5))</f>
        <v/>
      </c>
      <c r="EW535" t="n">
        <v>531</v>
      </c>
      <c r="EX535">
        <f>IFERROR(MATCH($EW535,$EM$5:$EM$1003,0),0)</f>
        <v/>
      </c>
      <c r="EY535">
        <f>IF($EW535&gt;$B$12,"",IF($EX535&gt;0,"row","spacer"))</f>
        <v/>
      </c>
      <c r="EZ535">
        <f>IF(AND($EY535="row",$EY534&lt;&gt;"row"),1,0)</f>
        <v/>
      </c>
      <c r="FA535">
        <f>IF(AND($EY535="row",$EY536&lt;&gt;"row"),1,0)</f>
        <v/>
      </c>
      <c r="FB535">
        <f>IF($EZ535=1,IFERROR(IF(ISNUMBER(INDEX(PASTE_ALL,INDEX($DF$5:$DF$1003,$EX535),$B$37)),INDEX(PASTE_ALL,INDEX($DF$5:$DF$1003,$EX535),$B$37),INDEX($DH$5:$DH$1003,$EX535)),INDEX($DH$5:$DH$1003,$EX535)),"")</f>
        <v/>
      </c>
      <c r="FC535">
        <f>IF($EY535="row",INDEX($ER$5:$ER$1003,$EX535),"")</f>
        <v/>
      </c>
      <c r="FD535">
        <f>IF($EY535="row",INDEX($DN$5:$DN$1003,$EX535),"")</f>
        <v/>
      </c>
      <c r="FE535">
        <f>IF($EY535="row",INDEX($DO$5:$DO$1003,$EX535),"")</f>
        <v/>
      </c>
      <c r="FF535">
        <f>IF($EY535="row",INDEX($DP$5:$DP$1003,$EX535),"")</f>
        <v/>
      </c>
      <c r="FG535">
        <f>IF($EY535="row",INDEX($DQ$5:$DQ$1003,$EX535),"")</f>
        <v/>
      </c>
      <c r="FH535">
        <f>IF($EY535="row",INDEX($DR$5:$DR$1003,$EX535),"")</f>
        <v/>
      </c>
      <c r="FI535">
        <f>IF($EY535="row",INDEX($DS$5:$DS$1003,$EX535),"")</f>
        <v/>
      </c>
      <c r="FJ535">
        <f>IF($EY535="row",INDEX($DT$5:$DT$1003,$EX535),"")</f>
        <v/>
      </c>
      <c r="FK535">
        <f>IF($EY535="row",INDEX($DU$5:$DU$1003,$EX535),"")</f>
        <v/>
      </c>
      <c r="FL535">
        <f>IF($EY535="row",INDEX($DV$5:$DV$1003,$EX535),"")</f>
        <v/>
      </c>
      <c r="FM535">
        <f>IF($EY535="row",INDEX($DW$5:$DW$1003,$EX535),"")</f>
        <v/>
      </c>
      <c r="FN535">
        <f>IF($EY535="row",INDEX($DY$5:$DY$1003,$EX535),"")</f>
        <v/>
      </c>
      <c r="FO535">
        <f>IF($EY535="row",INDEX($EA$5:$EA$1003,$EX535),"")</f>
        <v/>
      </c>
      <c r="FP535">
        <f>IF($EY535="row",INDEX($EC$5:$EC$1003,$EX535),"")</f>
        <v/>
      </c>
      <c r="FQ535">
        <f>IF($EY535="row",INDEX($ET$5:$ET$1003,$EX535),"")</f>
        <v/>
      </c>
      <c r="FR535">
        <f>IF($EY535="row",INDEX($EU$5:$EU$1003,$EX535),"")</f>
        <v/>
      </c>
      <c r="FS535">
        <f>IF(AND($EY535="row",$EY534="row"),IF(OR(INDEX($DT$5:$DT$1003,$EX534)="",INDEX($DT$5:$DT$1003,$EX535)=""),"",IF(NOT(EXACT(INDEX($DT$5:$DT$1003,$EX534),INDEX($DT$5:$DT$1003,$EX535))),"S4",IF(NOT(EXACT(INDEX($DS$5:$DS$1003,$EX534),INDEX($DS$5:$DS$1003,$EX535))),"S3",IF(NOT(EXACT(INDEX($DR$5:$DR$1003,$EX534),INDEX($DR$5:$DR$1003,$EX535))),"S1 Count Change","S1")))),"")</f>
        <v/>
      </c>
      <c r="FT535">
        <f>IF($EY535="row",INDEX($ES$5:$ES$1003,$EX535),"")</f>
        <v/>
      </c>
      <c r="FU535">
        <f>IF($EY535="row",INDEX($EO$5:$EO$1003,$EX535),0)</f>
        <v/>
      </c>
      <c r="FV535">
        <f>IF($FS535="S1 Count Change",1,0)</f>
        <v/>
      </c>
    </row>
    <row r="536">
      <c r="DA536" t="n">
        <v>532</v>
      </c>
      <c r="DB536">
        <f>IF($B$37=0,"",IFERROR(TRIM(SUBSTITUTE(SUBSTITUTE(SUBSTITUTE(SUBSTITUTE(INDEX(PASTE_ALL,532,$B$37)," "," "),CHAR(9)," "),CHAR(10)," "),CHAR(13)," ")),""))</f>
        <v/>
      </c>
      <c r="DC536">
        <f>IF(AND(532&gt;HEADER_ROW,UPPER(DB536)="LEGEND"),1,0)</f>
        <v/>
      </c>
      <c r="DE536" t="n">
        <v>532</v>
      </c>
      <c r="DF536">
        <f>HEADER_ROW+$DE536</f>
        <v/>
      </c>
      <c r="DG536">
        <f>IF(AND($DF536&lt;=1000,$DF536&lt;$B$8),1,0)</f>
        <v/>
      </c>
      <c r="DH536">
        <f>IF($DG536=1,IFERROR(INDEX($DB$5:$DB$1004,$DF536),""),"")</f>
        <v/>
      </c>
      <c r="DI536">
        <f>IF(AND($DG536=1,$DH536&lt;&gt;""),IFERROR(SUBSTITUTE(SUBSTITUTE(TRIM(SUBSTITUTE(SUBSTITUTE(SUBSTITUTE(SUBSTITUTE(IFERROR(INDEX(PASTE_ALL,$DF536,1)&amp;"","")&amp;"␟"&amp;IFERROR(INDEX(PASTE_ALL,$DF536,2)&amp;"","")&amp;"␟"&amp;IFERROR(INDEX(PASTE_ALL,$DF536,3)&amp;"","")&amp;"␟"&amp;IFERROR(INDEX(PASTE_ALL,$DF536,4)&amp;"","")&amp;"␟"&amp;IFERROR(INDEX(PASTE_ALL,$DF536,5)&amp;"","")&amp;"␟"&amp;IFERROR(INDEX(PASTE_ALL,$DF536,6)&amp;"","")&amp;"␟"&amp;IFERROR(INDEX(PASTE_ALL,$DF536,7)&amp;"","")&amp;"␟"&amp;IFERROR(INDEX(PASTE_ALL,$DF536,8)&amp;"","")&amp;"␟"&amp;IFERROR(INDEX(PASTE_ALL,$DF536,9)&amp;"","")&amp;"␟"&amp;IFERROR(INDEX(PASTE_ALL,$DF536,10)&amp;"","")&amp;"␟"&amp;IFERROR(INDEX(PASTE_ALL,$DF536,11)&amp;"","")&amp;"␟"&amp;IFERROR(INDEX(PASTE_ALL,$DF536,12)&amp;"","")&amp;"␟"&amp;IFERROR(INDEX(PASTE_ALL,$DF536,13)&amp;"","")&amp;"␟"&amp;IFERROR(INDEX(PASTE_ALL,$DF536,14)&amp;"","")&amp;"␟"&amp;IFERROR(INDEX(PASTE_ALL,$DF536,15)&amp;"","")&amp;"␟"&amp;IFERROR(INDEX(PASTE_ALL,$DF536,16)&amp;"","")&amp;"␟"&amp;IFERROR(INDEX(PASTE_ALL,$DF536,17)&amp;"","")&amp;"␟"&amp;IFERROR(INDEX(PASTE_ALL,$DF536,18)&amp;"","")&amp;"␟"&amp;IFERROR(INDEX(PASTE_ALL,$DF536,19)&amp;"","")&amp;"␟"&amp;IFERROR(INDEX(PASTE_ALL,$DF536,20)&amp;"","")&amp;"␟"&amp;IFERROR(INDEX(PASTE_ALL,$DF536,21)&amp;"","")&amp;"␟"&amp;IFERROR(INDEX(PASTE_ALL,$DF536,22)&amp;"","")&amp;"␟"&amp;IFERROR(INDEX(PASTE_ALL,$DF536,23)&amp;"","")&amp;"␟"&amp;IFERROR(INDEX(PASTE_ALL,$DF536,24)&amp;"","")&amp;"␟"&amp;IFERROR(INDEX(PASTE_ALL,$DF536,25)&amp;"","")&amp;"␟"&amp;IFERROR(INDEX(PASTE_ALL,$DF536,26)&amp;"","")&amp;"␟"&amp;IFERROR(INDEX(PASTE_ALL,$DF536,27)&amp;"","")&amp;"␟"&amp;IFERROR(INDEX(PASTE_ALL,$DF536,28)&amp;"","")&amp;"␟"&amp;IFERROR(INDEX(PASTE_ALL,$DF536,29)&amp;"","")&amp;"␟"&amp;IFERROR(INDEX(PASTE_ALL,$DF536,30)&amp;"","")&amp;"␟"&amp;IFERROR(INDEX(PASTE_ALL,$DF536,31)&amp;"","")&amp;"␟"&amp;IFERROR(INDEX(PASTE_ALL,$DF536,32)&amp;"","")&amp;"␟"&amp;IFERROR(INDEX(PASTE_ALL,$DF536,33)&amp;"","")&amp;"␟"&amp;IFERROR(INDEX(PASTE_ALL,$DF536,34)&amp;"","")&amp;"␟"&amp;IFERROR(INDEX(PASTE_ALL,$DF536,35)&amp;"","")&amp;"␟"&amp;IFERROR(INDEX(PASTE_ALL,$DF536,36)&amp;"","")&amp;"␟"&amp;IFERROR(INDEX(PASTE_ALL,$DF536,37)&amp;"","")&amp;"␟"&amp;IFERROR(INDEX(PASTE_ALL,$DF536,38)&amp;"","")&amp;"␟"&amp;IFERROR(INDEX(PASTE_ALL,$DF536,39)&amp;"","")&amp;"␟"&amp;IFERROR(INDEX(PASTE_ALL,$DF536,40)&amp;"","")&amp;"␟"&amp;IFERROR(INDEX(PASTE_ALL,$DF536,41)&amp;"","")&amp;"␟"&amp;IFERROR(INDEX(PASTE_ALL,$DF536,42)&amp;"","")&amp;"␟"&amp;IFERROR(INDEX(PASTE_ALL,$DF536,43)&amp;"","")&amp;"␟"&amp;IFERROR(INDEX(PASTE_ALL,$DF536,44)&amp;"","")&amp;"␟"&amp;IFERROR(INDEX(PASTE_ALL,$DF536,45)&amp;"","")&amp;"␟"&amp;IFERROR(INDEX(PASTE_ALL,$DF536,46)&amp;"","")&amp;"␟"&amp;IFERROR(INDEX(PASTE_ALL,$DF536,47)&amp;"","")&amp;"␟"&amp;IFERROR(INDEX(PASTE_ALL,$DF536,48)&amp;"","")&amp;"␟"&amp;IFERROR(INDEX(PASTE_ALL,$DF536,49)&amp;"","")&amp;"␟"&amp;IFERROR(INDEX(PASTE_ALL,$DF536,50)&amp;"","")&amp;"␟"&amp;IFERROR(INDEX(PASTE_ALL,$DF536,51)&amp;"","")&amp;"␟"&amp;IFERROR(INDEX(PASTE_ALL,$DF536,52)&amp;"","")&amp;"␟"&amp;IFERROR(INDEX(PASTE_ALL,$DF536,53)&amp;"","")&amp;"␟"&amp;IFERROR(INDEX(PASTE_ALL,$DF536,54)&amp;"","")&amp;"␟"&amp;IFERROR(INDEX(PASTE_ALL,$DF536,55)&amp;"","")&amp;"␟"&amp;IFERROR(INDEX(PASTE_ALL,$DF536,56)&amp;"","")&amp;"␟"&amp;IFERROR(INDEX(PASTE_ALL,$DF536,57)&amp;"","")&amp;"␟"&amp;IFERROR(INDEX(PASTE_ALL,$DF536,58)&amp;"","")&amp;"␟"&amp;IFERROR(INDEX(PASTE_ALL,$DF536,59)&amp;"","")&amp;"␟"&amp;IFERROR(INDEX(PASTE_ALL,$DF536,60)&amp;"","")," "," "),CHAR(9)," "),CHAR(10)," "),CHAR(13)," "))," ␟","␟"),"␟ ","␟"),"#"&amp;$DE536),"")</f>
        <v/>
      </c>
      <c r="DJ536">
        <f>IF($DI536="",0,IF(SUMPRODUCT(--EXACT($DI$4:DI535,$DI536))&gt;0,1,0))</f>
        <v/>
      </c>
      <c r="DK536">
        <f>IF(AND($DI536&lt;&gt;"",$DJ536=0),1,0)</f>
        <v/>
      </c>
      <c r="DL536">
        <f>DL535+$DK536</f>
        <v/>
      </c>
      <c r="DM536">
        <f>IF(AND($DK536=1,$DL536&lt;=600),1,0)</f>
        <v/>
      </c>
      <c r="DN536">
        <f>IF($DM536=0,"",IF($L$6=0,"",IFERROR(IF(ISNUMBER(INDEX(PASTE_ALL,$DF536,$L$6)),INDEX(PASTE_ALL,$DF536,$L$6),TRIM(SUBSTITUTE(SUBSTITUTE(SUBSTITUTE(SUBSTITUTE(INDEX(PASTE_ALL,$DF536,$L$6)," "," "),CHAR(9)," "),CHAR(10)," "),CHAR(13)," "))),"")))</f>
        <v/>
      </c>
      <c r="DO536">
        <f>IF($DM536=0,"",IF($L$7=0,"",IFERROR(IF(ISNUMBER(INDEX(PASTE_ALL,$DF536,$L$7)),INDEX(PASTE_ALL,$DF536,$L$7),TRIM(SUBSTITUTE(SUBSTITUTE(SUBSTITUTE(SUBSTITUTE(INDEX(PASTE_ALL,$DF536,$L$7)," "," "),CHAR(9)," "),CHAR(10)," "),CHAR(13)," "))),"")))</f>
        <v/>
      </c>
      <c r="DP536">
        <f>IF($DM536=0,"",IF($L$8=0,"",IFERROR(IF(ISNUMBER(INDEX(PASTE_ALL,$DF536,$L$8)),INDEX(PASTE_ALL,$DF536,$L$8),TRIM(SUBSTITUTE(SUBSTITUTE(SUBSTITUTE(SUBSTITUTE(INDEX(PASTE_ALL,$DF536,$L$8)," "," "),CHAR(9)," "),CHAR(10)," "),CHAR(13)," "))),"")))</f>
        <v/>
      </c>
      <c r="DQ536">
        <f>IF($DM536=0,"",IF($L$9=0,"",IFERROR(IF(ISNUMBER(INDEX(PASTE_ALL,$DF536,$L$9)),INDEX(PASTE_ALL,$DF536,$L$9),TRIM(SUBSTITUTE(SUBSTITUTE(SUBSTITUTE(SUBSTITUTE(INDEX(PASTE_ALL,$DF536,$L$9)," "," "),CHAR(9)," "),CHAR(10)," "),CHAR(13)," "))),"")))</f>
        <v/>
      </c>
      <c r="DR536">
        <f>IF($DM536=0,"",IF($L$10=0,"",IFERROR(IF(ISNUMBER(INDEX(PASTE_ALL,$DF536,$L$10)),INDEX(PASTE_ALL,$DF536,$L$10),TRIM(SUBSTITUTE(SUBSTITUTE(SUBSTITUTE(SUBSTITUTE(INDEX(PASTE_ALL,$DF536,$L$10)," "," "),CHAR(9)," "),CHAR(10)," "),CHAR(13)," "))),"")))</f>
        <v/>
      </c>
      <c r="DS536">
        <f>IF($DM536=0,"",IF($L$11=0,"",IFERROR(IF(ISNUMBER(INDEX(PASTE_ALL,$DF536,$L$11)),INDEX(PASTE_ALL,$DF536,$L$11),TRIM(SUBSTITUTE(SUBSTITUTE(SUBSTITUTE(SUBSTITUTE(INDEX(PASTE_ALL,$DF536,$L$11)," "," "),CHAR(9)," "),CHAR(10)," "),CHAR(13)," "))),"")))</f>
        <v/>
      </c>
      <c r="DT536">
        <f>IF($DM536=0,"",IF($L$12=0,"",IFERROR(IF(ISNUMBER(INDEX(PASTE_ALL,$DF536,$L$12)),INDEX(PASTE_ALL,$DF536,$L$12),TRIM(SUBSTITUTE(SUBSTITUTE(SUBSTITUTE(SUBSTITUTE(INDEX(PASTE_ALL,$DF536,$L$12)," "," "),CHAR(9)," "),CHAR(10)," "),CHAR(13)," "))),"")))</f>
        <v/>
      </c>
      <c r="DU536">
        <f>IF($DM536=0,"",IF($L$13=0,"",IFERROR(IF(ISNUMBER(INDEX(PASTE_ALL,$DF536,$L$13)),INDEX(PASTE_ALL,$DF536,$L$13),TRIM(SUBSTITUTE(SUBSTITUTE(SUBSTITUTE(SUBSTITUTE(INDEX(PASTE_ALL,$DF536,$L$13)," "," "),CHAR(9)," "),CHAR(10)," "),CHAR(13)," "))),"")))</f>
        <v/>
      </c>
      <c r="DV536">
        <f>IF($DM536=0,"",IF($L$14=0,"",IFERROR(IF(ISNUMBER(INDEX(PASTE_ALL,$DF536,$L$14)),INDEX(PASTE_ALL,$DF536,$L$14),TRIM(SUBSTITUTE(SUBSTITUTE(SUBSTITUTE(SUBSTITUTE(INDEX(PASTE_ALL,$DF536,$L$14)," "," "),CHAR(9)," "),CHAR(10)," "),CHAR(13)," "))),"")))</f>
        <v/>
      </c>
      <c r="DW536">
        <f>IF($DM536=0,"",IF($L$15=0,"",IFERROR(IF(ISNUMBER(INDEX(PASTE_ALL,$DF536,$L$15)),INDEX(PASTE_ALL,$DF536,$L$15),IF(SUMPRODUCT(--ISNUMBER(FIND({"A","B","C","D","E","F","G","H","I","J","K","L","M","N","O","P","Q","R","S","T","U","V","W","X","Y","Z","0","1","2","3","4","5","6","7","8","9"},UPPER(TRIM(SUBSTITUTE(SUBSTITUTE(SUBSTITUTE(SUBSTITUTE(INDEX(PASTE_ALL,$DF536,$L$15)," "," "),CHAR(9)," "),CHAR(10)," "),CHAR(13)," "))))))&gt;0,TRIM(SUBSTITUTE(SUBSTITUTE(SUBSTITUTE(SUBSTITUTE(INDEX(PASTE_ALL,$DF536,$L$15)," "," "),CHAR(9)," "),CHAR(10)," "),CHAR(13)," ")),"")),"")))</f>
        <v/>
      </c>
      <c r="DX536">
        <f>IF($DM536=0,"",IF($L$16=0,"",IFERROR(IF(ISNUMBER(INDEX(PASTE_ALL,$DF536,$L$16)),INDEX(PASTE_ALL,$DF536,$L$16),SUBSTITUTE(SUBSTITUTE(TRIM(SUBSTITUTE(SUBSTITUTE(SUBSTITUTE(SUBSTITUTE(INDEX(PASTE_ALL,$DF536,$L$16)," "," "),CHAR(9)," "),CHAR(10)," "),CHAR(13)," ")),",",""),"%","")),"")))</f>
        <v/>
      </c>
      <c r="DY536">
        <f>IF($DM536=0,"",IFERROR(IF(ISNUMBER($DX536),$DX536,IF($DX536="","",IF(TRIM($DX536)="",0,IF(AND(AND(SUBSTITUTE(SUBSTITUTE(SUBSTITUTE(SUBSTITUTE(SUBSTITUTE(SUBSTITUTE(SUBSTITUTE(SUBSTITUTE(SUBSTITUTE(SUBSTITUTE(SUBSTITUTE(SUBSTITUTE(SUBSTITUTE(SUBSTITUTE(UPPER(TRIM($DX536)),"0",""),"1",""),"2",""),"3",""),"4",""),"5",""),"6",""),"7",""),"8",""),"9",""),".",""),"+",""),"-",""),"E","")="",LEN(SUBSTITUTE(SUBSTITUTE(MID(UPPER(TRIM($DX536)),1+OR(LEFT(UPPER(TRIM($DX536)),1)="+",LEFT(UPPER(TRIM($DX536)),1)="-"),999),"E+","E"),"E-","E"))=LEN(SUBSTITUTE(SUBSTITUTE(SUBSTITUTE(SUBSTITUTE(MID(UPPER(TRIM($DX536)),1+OR(LEFT(UPPER(TRIM($DX536)),1)="+",LEFT(UPPER(TRIM($DX536)),1)="-"),999),"E+","E"),"E-","E"),"+",""),"-","")),LEN(UPPER(TRIM($DX536)))-LEN(SUBSTITUTE(UPPER(TRIM($DX536)),"E",""))&lt;2,LEN(UPPER(TRIM($DX536)))-LEN(SUBSTITUTE(UPPER(TRIM($DX536)),".",""))&lt;2,IFERROR(FIND(".",UPPER(TRIM($DX536))),0)&lt;IFERROR(FIND("E",UPPER(TRIM($DX536))),999)),ISNUMBER(VALUE(TRIM($DX536)))),VALUE(TRIM($DX536)),"")))),""))</f>
        <v/>
      </c>
      <c r="DZ536">
        <f>IF($DM536=0,"",IF($L$17=0,"",IFERROR(IF(ISNUMBER(INDEX(PASTE_ALL,$DF536,$L$17)),INDEX(PASTE_ALL,$DF536,$L$17),SUBSTITUTE(SUBSTITUTE(TRIM(SUBSTITUTE(SUBSTITUTE(SUBSTITUTE(SUBSTITUTE(INDEX(PASTE_ALL,$DF536,$L$17)," "," "),CHAR(9)," "),CHAR(10)," "),CHAR(13)," ")),",",""),"%","")),"")))</f>
        <v/>
      </c>
      <c r="EA536">
        <f>IF($DM536=0,"",IFERROR(IF(ISNUMBER($DZ536),$DZ536,IF($DZ536="","",IF(TRIM($DZ536)="",0,IF(AND(AND(SUBSTITUTE(SUBSTITUTE(SUBSTITUTE(SUBSTITUTE(SUBSTITUTE(SUBSTITUTE(SUBSTITUTE(SUBSTITUTE(SUBSTITUTE(SUBSTITUTE(SUBSTITUTE(SUBSTITUTE(SUBSTITUTE(SUBSTITUTE(UPPER(TRIM($DZ536)),"0",""),"1",""),"2",""),"3",""),"4",""),"5",""),"6",""),"7",""),"8",""),"9",""),".",""),"+",""),"-",""),"E","")="",LEN(SUBSTITUTE(SUBSTITUTE(MID(UPPER(TRIM($DZ536)),1+OR(LEFT(UPPER(TRIM($DZ536)),1)="+",LEFT(UPPER(TRIM($DZ536)),1)="-"),999),"E+","E"),"E-","E"))=LEN(SUBSTITUTE(SUBSTITUTE(SUBSTITUTE(SUBSTITUTE(MID(UPPER(TRIM($DZ536)),1+OR(LEFT(UPPER(TRIM($DZ536)),1)="+",LEFT(UPPER(TRIM($DZ536)),1)="-"),999),"E+","E"),"E-","E"),"+",""),"-","")),LEN(UPPER(TRIM($DZ536)))-LEN(SUBSTITUTE(UPPER(TRIM($DZ536)),"E",""))&lt;2,LEN(UPPER(TRIM($DZ536)))-LEN(SUBSTITUTE(UPPER(TRIM($DZ536)),".",""))&lt;2,IFERROR(FIND(".",UPPER(TRIM($DZ536))),0)&lt;IFERROR(FIND("E",UPPER(TRIM($DZ536))),999)),ISNUMBER(VALUE(TRIM($DZ536)))),VALUE(TRIM($DZ536)),"")))),""))</f>
        <v/>
      </c>
      <c r="EB536">
        <f>IF($DM536=0,"",IF($L$18=0,"",IFERROR(IF(UPPER(TRIM(SUBSTITUTE(SUBSTITUTE(SUBSTITUTE(SUBSTITUTE(INDEX(PASTE_ALL,$DF536,$L$18)," "," "),CHAR(9)," "),CHAR(10)," "),CHAR(13)," ")))="READY","Ready",IF(UPPER(TRIM(SUBSTITUTE(SUBSTITUTE(SUBSTITUTE(SUBSTITUTE(INDEX(PASTE_ALL,$DF536,$L$18)," "," "),CHAR(9)," "),CHAR(10)," "),CHAR(13)," ")))="PM","PM",IF(OR(UPPER(TRIM(SUBSTITUTE(SUBSTITUTE(SUBSTITUTE(SUBSTITUTE(INDEX(PASTE_ALL,$DF536,$L$18)," "," "),CHAR(9)," "),CHAR(10)," "),CHAR(13)," ")))="OT",UPPER(TRIM(SUBSTITUTE(SUBSTITUTE(SUBSTITUTE(SUBSTITUTE(INDEX(PASTE_ALL,$DF536,$L$18)," "," "),CHAR(9)," "),CHAR(10)," "),CHAR(13)," ")))="OVERTIME",UPPER(TRIM(SUBSTITUTE(SUBSTITUTE(SUBSTITUTE(SUBSTITUTE(INDEX(PASTE_ALL,$DF536,$L$18)," "," "),CHAR(9)," "),CHAR(10)," "),CHAR(13)," ")))="TRIAL"),"OT",TRIM(SUBSTITUTE(SUBSTITUTE(SUBSTITUTE(SUBSTITUTE(INDEX(PASTE_ALL,$DF536,$L$18)," "," "),CHAR(9)," "),CHAR(10)," "),CHAR(13)," "))))),"")))</f>
        <v/>
      </c>
      <c r="EC536">
        <f>IF($DM536=0,"",IF($L$19=0,"",IFERROR(IF(ISNUMBER(INDEX(PASTE_ALL,$DF536,$L$19)),INDEX(PASTE_ALL,$DF536,$L$19),TRIM(SUBSTITUTE(SUBSTITUTE(SUBSTITUTE(SUBSTITUTE(INDEX(PASTE_ALL,$DF536,$L$19)," "," "),CHAR(9)," "),CHAR(10)," "),CHAR(13)," "))),"")))</f>
        <v/>
      </c>
      <c r="ED536">
        <f>IF($DM536=0,"",MATCH(1,INDEX(EXACT($DH$5:DH536,$DH536)*$DM$5:DM536,0),0))</f>
        <v/>
      </c>
      <c r="EE536">
        <f>IF($DM536=0,0,IF($ED536=$DE536,1,0))</f>
        <v/>
      </c>
      <c r="EF536">
        <f>EF535+$EE536</f>
        <v/>
      </c>
      <c r="EG536">
        <f>IF($DM536=0,"",INDEX($EF$5:$EF$1003,$ED536))</f>
        <v/>
      </c>
      <c r="EH536">
        <f>IF($DM536=0,"",IF($DO536&lt;&gt;"","",IFERROR(LOOKUP(2,1/(($EG$4:EG535=$EG536)*($DO$4:DO535&lt;&gt;"")),$DO$4:DO535),"")))</f>
        <v/>
      </c>
      <c r="EI536">
        <f>IF($DM536=0,"",IF($DO536&lt;&gt;"",$DO536,$EH536))</f>
        <v/>
      </c>
      <c r="EJ536">
        <f>IF($DM536=0,"",IF($EI536="",0,IF(OR(ISNUMBER($EI536),AND(AND(SUBSTITUTE(SUBSTITUTE(SUBSTITUTE(SUBSTITUTE(SUBSTITUTE(SUBSTITUTE(SUBSTITUTE(SUBSTITUTE(SUBSTITUTE(SUBSTITUTE(SUBSTITUTE(SUBSTITUTE(SUBSTITUTE(SUBSTITUTE(UPPER($EI536),"0",""),"1",""),"2",""),"3",""),"4",""),"5",""),"6",""),"7",""),"8",""),"9",""),".",""),"+",""),"-",""),"E","")="",LEN(SUBSTITUTE(SUBSTITUTE(MID(UPPER($EI536),1+OR(LEFT(UPPER($EI536),1)="+",LEFT(UPPER($EI536),1)="-"),999),"E+","E"),"E-","E"))=LEN(SUBSTITUTE(SUBSTITUTE(SUBSTITUTE(SUBSTITUTE(MID(UPPER($EI536),1+OR(LEFT(UPPER($EI536),1)="+",LEFT(UPPER($EI536),1)="-"),999),"E+","E"),"E-","E"),"+",""),"-","")),LEN(UPPER($EI536))-LEN(SUBSTITUTE(UPPER($EI536),"E",""))&lt;2,LEN(UPPER($EI536))-LEN(SUBSTITUTE(UPPER($EI536),".",""))&lt;2,IFERROR(FIND(".",UPPER($EI536)),0)&lt;IFERROR(FIND("E",UPPER($EI536)),999)),ISNUMBER(VALUE($EI536)))),1,2)))</f>
        <v/>
      </c>
      <c r="EK536">
        <f>IF($DM536=0,"",IF($EJ536=1,IF(ISNUMBER($EI536),$EI536,VALUE($EI536)),IF($EJ536=2,$DE536,0)))</f>
        <v/>
      </c>
      <c r="EL536">
        <f>IF($DM536=0,"",COUNTIF($EG$5:$EG$1003,"&lt;"&amp;$EG536)+SUMPRODUCT(($EG$5:$EG$1003=$EG536)*(($EJ$5:$EJ$1003&lt;$EJ536)+($EJ$5:$EJ$1003=$EJ536)*(($EK$5:$EK$1003&lt;$EK536)+($EK$5:$EK$1003=$EK536)*($DE$5:$DE$1003&lt;$DE536))))+1)</f>
        <v/>
      </c>
      <c r="EM536">
        <f>IF($DM536=0,"",$EL536+$EG536-1)</f>
        <v/>
      </c>
      <c r="EN536">
        <f>IF($DM536=0,0,IFERROR(MATCH(1,INDEX(--(TRIM(SUBSTITUTE(SUBSTITUTE(SUBSTITUTE(SUBSTITUTE(LINES_NAME&amp;""," "," "),CHAR(9)," "),CHAR(10)," "),CHAR(13)," "))=$DH536),0),0),0))</f>
        <v/>
      </c>
      <c r="EO536">
        <f>IF($EN536=0,0,IF(OR(UPPER(TRIM(INDEX(LINES_SCHEDULED,$EN536)&amp;""))="YES",UPPER(TRIM(INDEX(LINES_SCHEDULED,$EN536)&amp;""))="Y",UPPER(TRIM(INDEX(LINES_SCHEDULED,$EN536)&amp;""))="X"),1,0))</f>
        <v/>
      </c>
      <c r="EP536">
        <f>IF($DM536=0,"",IF(COUNTIFS($EG$5:$EG$1003,$EG536,$EB$5:$EB$1003,"Ready")&gt;0,"READY",IF(COUNTIFS($EG$5:$EG$1003,$EG536,$EB$5:$EB$1003,"PM")&gt;0,"PM",IF(COUNTIFS($EG$5:$EG$1003,$EG536,$EB$5:$EB$1003,"OT")&gt;0,"OT",""))))</f>
        <v/>
      </c>
      <c r="EQ536">
        <f>IF($EN536=0,"",UPPER(TRIM(INDEX(LINES_STATUS,$EN536)&amp;"")))</f>
        <v/>
      </c>
      <c r="ER536">
        <f>IF($DM536=0,"",IF(OR($EQ536="READY",$EQ536="PM",$EQ536="OT"),$EQ536,$EP536))</f>
        <v/>
      </c>
      <c r="ES536">
        <f>IF($DM536=0,"",IF(AND($DV536&lt;&gt;"",UPPER($DV536)&lt;&gt;"N"),"allergen",IF(ISNUMBER(SEARCH("oil",$DQ536)),"oil",IF(OR(EXACT($DS536,"A662"),EXACT($DS536,"A624")),"bulk",""))))</f>
        <v/>
      </c>
      <c r="ET536">
        <f>IF($DM536=0,"",IF(OR($EA536="",$EA536=0),"",$EA536/100))</f>
        <v/>
      </c>
      <c r="EU536">
        <f>IF(OR($ET536="",$DY536=""),"",INT($DY536*(1-$ET536)+0.5))</f>
        <v/>
      </c>
      <c r="EW536" t="n">
        <v>532</v>
      </c>
      <c r="EX536">
        <f>IFERROR(MATCH($EW536,$EM$5:$EM$1003,0),0)</f>
        <v/>
      </c>
      <c r="EY536">
        <f>IF($EW536&gt;$B$12,"",IF($EX536&gt;0,"row","spacer"))</f>
        <v/>
      </c>
      <c r="EZ536">
        <f>IF(AND($EY536="row",$EY535&lt;&gt;"row"),1,0)</f>
        <v/>
      </c>
      <c r="FA536">
        <f>IF(AND($EY536="row",$EY537&lt;&gt;"row"),1,0)</f>
        <v/>
      </c>
      <c r="FB536">
        <f>IF($EZ536=1,IFERROR(IF(ISNUMBER(INDEX(PASTE_ALL,INDEX($DF$5:$DF$1003,$EX536),$B$37)),INDEX(PASTE_ALL,INDEX($DF$5:$DF$1003,$EX536),$B$37),INDEX($DH$5:$DH$1003,$EX536)),INDEX($DH$5:$DH$1003,$EX536)),"")</f>
        <v/>
      </c>
      <c r="FC536">
        <f>IF($EY536="row",INDEX($ER$5:$ER$1003,$EX536),"")</f>
        <v/>
      </c>
      <c r="FD536">
        <f>IF($EY536="row",INDEX($DN$5:$DN$1003,$EX536),"")</f>
        <v/>
      </c>
      <c r="FE536">
        <f>IF($EY536="row",INDEX($DO$5:$DO$1003,$EX536),"")</f>
        <v/>
      </c>
      <c r="FF536">
        <f>IF($EY536="row",INDEX($DP$5:$DP$1003,$EX536),"")</f>
        <v/>
      </c>
      <c r="FG536">
        <f>IF($EY536="row",INDEX($DQ$5:$DQ$1003,$EX536),"")</f>
        <v/>
      </c>
      <c r="FH536">
        <f>IF($EY536="row",INDEX($DR$5:$DR$1003,$EX536),"")</f>
        <v/>
      </c>
      <c r="FI536">
        <f>IF($EY536="row",INDEX($DS$5:$DS$1003,$EX536),"")</f>
        <v/>
      </c>
      <c r="FJ536">
        <f>IF($EY536="row",INDEX($DT$5:$DT$1003,$EX536),"")</f>
        <v/>
      </c>
      <c r="FK536">
        <f>IF($EY536="row",INDEX($DU$5:$DU$1003,$EX536),"")</f>
        <v/>
      </c>
      <c r="FL536">
        <f>IF($EY536="row",INDEX($DV$5:$DV$1003,$EX536),"")</f>
        <v/>
      </c>
      <c r="FM536">
        <f>IF($EY536="row",INDEX($DW$5:$DW$1003,$EX536),"")</f>
        <v/>
      </c>
      <c r="FN536">
        <f>IF($EY536="row",INDEX($DY$5:$DY$1003,$EX536),"")</f>
        <v/>
      </c>
      <c r="FO536">
        <f>IF($EY536="row",INDEX($EA$5:$EA$1003,$EX536),"")</f>
        <v/>
      </c>
      <c r="FP536">
        <f>IF($EY536="row",INDEX($EC$5:$EC$1003,$EX536),"")</f>
        <v/>
      </c>
      <c r="FQ536">
        <f>IF($EY536="row",INDEX($ET$5:$ET$1003,$EX536),"")</f>
        <v/>
      </c>
      <c r="FR536">
        <f>IF($EY536="row",INDEX($EU$5:$EU$1003,$EX536),"")</f>
        <v/>
      </c>
      <c r="FS536">
        <f>IF(AND($EY536="row",$EY535="row"),IF(OR(INDEX($DT$5:$DT$1003,$EX535)="",INDEX($DT$5:$DT$1003,$EX536)=""),"",IF(NOT(EXACT(INDEX($DT$5:$DT$1003,$EX535),INDEX($DT$5:$DT$1003,$EX536))),"S4",IF(NOT(EXACT(INDEX($DS$5:$DS$1003,$EX535),INDEX($DS$5:$DS$1003,$EX536))),"S3",IF(NOT(EXACT(INDEX($DR$5:$DR$1003,$EX535),INDEX($DR$5:$DR$1003,$EX536))),"S1 Count Change","S1")))),"")</f>
        <v/>
      </c>
      <c r="FT536">
        <f>IF($EY536="row",INDEX($ES$5:$ES$1003,$EX536),"")</f>
        <v/>
      </c>
      <c r="FU536">
        <f>IF($EY536="row",INDEX($EO$5:$EO$1003,$EX536),0)</f>
        <v/>
      </c>
      <c r="FV536">
        <f>IF($FS536="S1 Count Change",1,0)</f>
        <v/>
      </c>
    </row>
    <row r="537">
      <c r="DA537" t="n">
        <v>533</v>
      </c>
      <c r="DB537">
        <f>IF($B$37=0,"",IFERROR(TRIM(SUBSTITUTE(SUBSTITUTE(SUBSTITUTE(SUBSTITUTE(INDEX(PASTE_ALL,533,$B$37)," "," "),CHAR(9)," "),CHAR(10)," "),CHAR(13)," ")),""))</f>
        <v/>
      </c>
      <c r="DC537">
        <f>IF(AND(533&gt;HEADER_ROW,UPPER(DB537)="LEGEND"),1,0)</f>
        <v/>
      </c>
      <c r="DE537" t="n">
        <v>533</v>
      </c>
      <c r="DF537">
        <f>HEADER_ROW+$DE537</f>
        <v/>
      </c>
      <c r="DG537">
        <f>IF(AND($DF537&lt;=1000,$DF537&lt;$B$8),1,0)</f>
        <v/>
      </c>
      <c r="DH537">
        <f>IF($DG537=1,IFERROR(INDEX($DB$5:$DB$1004,$DF537),""),"")</f>
        <v/>
      </c>
      <c r="DI537">
        <f>IF(AND($DG537=1,$DH537&lt;&gt;""),IFERROR(SUBSTITUTE(SUBSTITUTE(TRIM(SUBSTITUTE(SUBSTITUTE(SUBSTITUTE(SUBSTITUTE(IFERROR(INDEX(PASTE_ALL,$DF537,1)&amp;"","")&amp;"␟"&amp;IFERROR(INDEX(PASTE_ALL,$DF537,2)&amp;"","")&amp;"␟"&amp;IFERROR(INDEX(PASTE_ALL,$DF537,3)&amp;"","")&amp;"␟"&amp;IFERROR(INDEX(PASTE_ALL,$DF537,4)&amp;"","")&amp;"␟"&amp;IFERROR(INDEX(PASTE_ALL,$DF537,5)&amp;"","")&amp;"␟"&amp;IFERROR(INDEX(PASTE_ALL,$DF537,6)&amp;"","")&amp;"␟"&amp;IFERROR(INDEX(PASTE_ALL,$DF537,7)&amp;"","")&amp;"␟"&amp;IFERROR(INDEX(PASTE_ALL,$DF537,8)&amp;"","")&amp;"␟"&amp;IFERROR(INDEX(PASTE_ALL,$DF537,9)&amp;"","")&amp;"␟"&amp;IFERROR(INDEX(PASTE_ALL,$DF537,10)&amp;"","")&amp;"␟"&amp;IFERROR(INDEX(PASTE_ALL,$DF537,11)&amp;"","")&amp;"␟"&amp;IFERROR(INDEX(PASTE_ALL,$DF537,12)&amp;"","")&amp;"␟"&amp;IFERROR(INDEX(PASTE_ALL,$DF537,13)&amp;"","")&amp;"␟"&amp;IFERROR(INDEX(PASTE_ALL,$DF537,14)&amp;"","")&amp;"␟"&amp;IFERROR(INDEX(PASTE_ALL,$DF537,15)&amp;"","")&amp;"␟"&amp;IFERROR(INDEX(PASTE_ALL,$DF537,16)&amp;"","")&amp;"␟"&amp;IFERROR(INDEX(PASTE_ALL,$DF537,17)&amp;"","")&amp;"␟"&amp;IFERROR(INDEX(PASTE_ALL,$DF537,18)&amp;"","")&amp;"␟"&amp;IFERROR(INDEX(PASTE_ALL,$DF537,19)&amp;"","")&amp;"␟"&amp;IFERROR(INDEX(PASTE_ALL,$DF537,20)&amp;"","")&amp;"␟"&amp;IFERROR(INDEX(PASTE_ALL,$DF537,21)&amp;"","")&amp;"␟"&amp;IFERROR(INDEX(PASTE_ALL,$DF537,22)&amp;"","")&amp;"␟"&amp;IFERROR(INDEX(PASTE_ALL,$DF537,23)&amp;"","")&amp;"␟"&amp;IFERROR(INDEX(PASTE_ALL,$DF537,24)&amp;"","")&amp;"␟"&amp;IFERROR(INDEX(PASTE_ALL,$DF537,25)&amp;"","")&amp;"␟"&amp;IFERROR(INDEX(PASTE_ALL,$DF537,26)&amp;"","")&amp;"␟"&amp;IFERROR(INDEX(PASTE_ALL,$DF537,27)&amp;"","")&amp;"␟"&amp;IFERROR(INDEX(PASTE_ALL,$DF537,28)&amp;"","")&amp;"␟"&amp;IFERROR(INDEX(PASTE_ALL,$DF537,29)&amp;"","")&amp;"␟"&amp;IFERROR(INDEX(PASTE_ALL,$DF537,30)&amp;"","")&amp;"␟"&amp;IFERROR(INDEX(PASTE_ALL,$DF537,31)&amp;"","")&amp;"␟"&amp;IFERROR(INDEX(PASTE_ALL,$DF537,32)&amp;"","")&amp;"␟"&amp;IFERROR(INDEX(PASTE_ALL,$DF537,33)&amp;"","")&amp;"␟"&amp;IFERROR(INDEX(PASTE_ALL,$DF537,34)&amp;"","")&amp;"␟"&amp;IFERROR(INDEX(PASTE_ALL,$DF537,35)&amp;"","")&amp;"␟"&amp;IFERROR(INDEX(PASTE_ALL,$DF537,36)&amp;"","")&amp;"␟"&amp;IFERROR(INDEX(PASTE_ALL,$DF537,37)&amp;"","")&amp;"␟"&amp;IFERROR(INDEX(PASTE_ALL,$DF537,38)&amp;"","")&amp;"␟"&amp;IFERROR(INDEX(PASTE_ALL,$DF537,39)&amp;"","")&amp;"␟"&amp;IFERROR(INDEX(PASTE_ALL,$DF537,40)&amp;"","")&amp;"␟"&amp;IFERROR(INDEX(PASTE_ALL,$DF537,41)&amp;"","")&amp;"␟"&amp;IFERROR(INDEX(PASTE_ALL,$DF537,42)&amp;"","")&amp;"␟"&amp;IFERROR(INDEX(PASTE_ALL,$DF537,43)&amp;"","")&amp;"␟"&amp;IFERROR(INDEX(PASTE_ALL,$DF537,44)&amp;"","")&amp;"␟"&amp;IFERROR(INDEX(PASTE_ALL,$DF537,45)&amp;"","")&amp;"␟"&amp;IFERROR(INDEX(PASTE_ALL,$DF537,46)&amp;"","")&amp;"␟"&amp;IFERROR(INDEX(PASTE_ALL,$DF537,47)&amp;"","")&amp;"␟"&amp;IFERROR(INDEX(PASTE_ALL,$DF537,48)&amp;"","")&amp;"␟"&amp;IFERROR(INDEX(PASTE_ALL,$DF537,49)&amp;"","")&amp;"␟"&amp;IFERROR(INDEX(PASTE_ALL,$DF537,50)&amp;"","")&amp;"␟"&amp;IFERROR(INDEX(PASTE_ALL,$DF537,51)&amp;"","")&amp;"␟"&amp;IFERROR(INDEX(PASTE_ALL,$DF537,52)&amp;"","")&amp;"␟"&amp;IFERROR(INDEX(PASTE_ALL,$DF537,53)&amp;"","")&amp;"␟"&amp;IFERROR(INDEX(PASTE_ALL,$DF537,54)&amp;"","")&amp;"␟"&amp;IFERROR(INDEX(PASTE_ALL,$DF537,55)&amp;"","")&amp;"␟"&amp;IFERROR(INDEX(PASTE_ALL,$DF537,56)&amp;"","")&amp;"␟"&amp;IFERROR(INDEX(PASTE_ALL,$DF537,57)&amp;"","")&amp;"␟"&amp;IFERROR(INDEX(PASTE_ALL,$DF537,58)&amp;"","")&amp;"␟"&amp;IFERROR(INDEX(PASTE_ALL,$DF537,59)&amp;"","")&amp;"␟"&amp;IFERROR(INDEX(PASTE_ALL,$DF537,60)&amp;"","")," "," "),CHAR(9)," "),CHAR(10)," "),CHAR(13)," "))," ␟","␟"),"␟ ","␟"),"#"&amp;$DE537),"")</f>
        <v/>
      </c>
      <c r="DJ537">
        <f>IF($DI537="",0,IF(SUMPRODUCT(--EXACT($DI$4:DI536,$DI537))&gt;0,1,0))</f>
        <v/>
      </c>
      <c r="DK537">
        <f>IF(AND($DI537&lt;&gt;"",$DJ537=0),1,0)</f>
        <v/>
      </c>
      <c r="DL537">
        <f>DL536+$DK537</f>
        <v/>
      </c>
      <c r="DM537">
        <f>IF(AND($DK537=1,$DL537&lt;=600),1,0)</f>
        <v/>
      </c>
      <c r="DN537">
        <f>IF($DM537=0,"",IF($L$6=0,"",IFERROR(IF(ISNUMBER(INDEX(PASTE_ALL,$DF537,$L$6)),INDEX(PASTE_ALL,$DF537,$L$6),TRIM(SUBSTITUTE(SUBSTITUTE(SUBSTITUTE(SUBSTITUTE(INDEX(PASTE_ALL,$DF537,$L$6)," "," "),CHAR(9)," "),CHAR(10)," "),CHAR(13)," "))),"")))</f>
        <v/>
      </c>
      <c r="DO537">
        <f>IF($DM537=0,"",IF($L$7=0,"",IFERROR(IF(ISNUMBER(INDEX(PASTE_ALL,$DF537,$L$7)),INDEX(PASTE_ALL,$DF537,$L$7),TRIM(SUBSTITUTE(SUBSTITUTE(SUBSTITUTE(SUBSTITUTE(INDEX(PASTE_ALL,$DF537,$L$7)," "," "),CHAR(9)," "),CHAR(10)," "),CHAR(13)," "))),"")))</f>
        <v/>
      </c>
      <c r="DP537">
        <f>IF($DM537=0,"",IF($L$8=0,"",IFERROR(IF(ISNUMBER(INDEX(PASTE_ALL,$DF537,$L$8)),INDEX(PASTE_ALL,$DF537,$L$8),TRIM(SUBSTITUTE(SUBSTITUTE(SUBSTITUTE(SUBSTITUTE(INDEX(PASTE_ALL,$DF537,$L$8)," "," "),CHAR(9)," "),CHAR(10)," "),CHAR(13)," "))),"")))</f>
        <v/>
      </c>
      <c r="DQ537">
        <f>IF($DM537=0,"",IF($L$9=0,"",IFERROR(IF(ISNUMBER(INDEX(PASTE_ALL,$DF537,$L$9)),INDEX(PASTE_ALL,$DF537,$L$9),TRIM(SUBSTITUTE(SUBSTITUTE(SUBSTITUTE(SUBSTITUTE(INDEX(PASTE_ALL,$DF537,$L$9)," "," "),CHAR(9)," "),CHAR(10)," "),CHAR(13)," "))),"")))</f>
        <v/>
      </c>
      <c r="DR537">
        <f>IF($DM537=0,"",IF($L$10=0,"",IFERROR(IF(ISNUMBER(INDEX(PASTE_ALL,$DF537,$L$10)),INDEX(PASTE_ALL,$DF537,$L$10),TRIM(SUBSTITUTE(SUBSTITUTE(SUBSTITUTE(SUBSTITUTE(INDEX(PASTE_ALL,$DF537,$L$10)," "," "),CHAR(9)," "),CHAR(10)," "),CHAR(13)," "))),"")))</f>
        <v/>
      </c>
      <c r="DS537">
        <f>IF($DM537=0,"",IF($L$11=0,"",IFERROR(IF(ISNUMBER(INDEX(PASTE_ALL,$DF537,$L$11)),INDEX(PASTE_ALL,$DF537,$L$11),TRIM(SUBSTITUTE(SUBSTITUTE(SUBSTITUTE(SUBSTITUTE(INDEX(PASTE_ALL,$DF537,$L$11)," "," "),CHAR(9)," "),CHAR(10)," "),CHAR(13)," "))),"")))</f>
        <v/>
      </c>
      <c r="DT537">
        <f>IF($DM537=0,"",IF($L$12=0,"",IFERROR(IF(ISNUMBER(INDEX(PASTE_ALL,$DF537,$L$12)),INDEX(PASTE_ALL,$DF537,$L$12),TRIM(SUBSTITUTE(SUBSTITUTE(SUBSTITUTE(SUBSTITUTE(INDEX(PASTE_ALL,$DF537,$L$12)," "," "),CHAR(9)," "),CHAR(10)," "),CHAR(13)," "))),"")))</f>
        <v/>
      </c>
      <c r="DU537">
        <f>IF($DM537=0,"",IF($L$13=0,"",IFERROR(IF(ISNUMBER(INDEX(PASTE_ALL,$DF537,$L$13)),INDEX(PASTE_ALL,$DF537,$L$13),TRIM(SUBSTITUTE(SUBSTITUTE(SUBSTITUTE(SUBSTITUTE(INDEX(PASTE_ALL,$DF537,$L$13)," "," "),CHAR(9)," "),CHAR(10)," "),CHAR(13)," "))),"")))</f>
        <v/>
      </c>
      <c r="DV537">
        <f>IF($DM537=0,"",IF($L$14=0,"",IFERROR(IF(ISNUMBER(INDEX(PASTE_ALL,$DF537,$L$14)),INDEX(PASTE_ALL,$DF537,$L$14),TRIM(SUBSTITUTE(SUBSTITUTE(SUBSTITUTE(SUBSTITUTE(INDEX(PASTE_ALL,$DF537,$L$14)," "," "),CHAR(9)," "),CHAR(10)," "),CHAR(13)," "))),"")))</f>
        <v/>
      </c>
      <c r="DW537">
        <f>IF($DM537=0,"",IF($L$15=0,"",IFERROR(IF(ISNUMBER(INDEX(PASTE_ALL,$DF537,$L$15)),INDEX(PASTE_ALL,$DF537,$L$15),IF(SUMPRODUCT(--ISNUMBER(FIND({"A","B","C","D","E","F","G","H","I","J","K","L","M","N","O","P","Q","R","S","T","U","V","W","X","Y","Z","0","1","2","3","4","5","6","7","8","9"},UPPER(TRIM(SUBSTITUTE(SUBSTITUTE(SUBSTITUTE(SUBSTITUTE(INDEX(PASTE_ALL,$DF537,$L$15)," "," "),CHAR(9)," "),CHAR(10)," "),CHAR(13)," "))))))&gt;0,TRIM(SUBSTITUTE(SUBSTITUTE(SUBSTITUTE(SUBSTITUTE(INDEX(PASTE_ALL,$DF537,$L$15)," "," "),CHAR(9)," "),CHAR(10)," "),CHAR(13)," ")),"")),"")))</f>
        <v/>
      </c>
      <c r="DX537">
        <f>IF($DM537=0,"",IF($L$16=0,"",IFERROR(IF(ISNUMBER(INDEX(PASTE_ALL,$DF537,$L$16)),INDEX(PASTE_ALL,$DF537,$L$16),SUBSTITUTE(SUBSTITUTE(TRIM(SUBSTITUTE(SUBSTITUTE(SUBSTITUTE(SUBSTITUTE(INDEX(PASTE_ALL,$DF537,$L$16)," "," "),CHAR(9)," "),CHAR(10)," "),CHAR(13)," ")),",",""),"%","")),"")))</f>
        <v/>
      </c>
      <c r="DY537">
        <f>IF($DM537=0,"",IFERROR(IF(ISNUMBER($DX537),$DX537,IF($DX537="","",IF(TRIM($DX537)="",0,IF(AND(AND(SUBSTITUTE(SUBSTITUTE(SUBSTITUTE(SUBSTITUTE(SUBSTITUTE(SUBSTITUTE(SUBSTITUTE(SUBSTITUTE(SUBSTITUTE(SUBSTITUTE(SUBSTITUTE(SUBSTITUTE(SUBSTITUTE(SUBSTITUTE(UPPER(TRIM($DX537)),"0",""),"1",""),"2",""),"3",""),"4",""),"5",""),"6",""),"7",""),"8",""),"9",""),".",""),"+",""),"-",""),"E","")="",LEN(SUBSTITUTE(SUBSTITUTE(MID(UPPER(TRIM($DX537)),1+OR(LEFT(UPPER(TRIM($DX537)),1)="+",LEFT(UPPER(TRIM($DX537)),1)="-"),999),"E+","E"),"E-","E"))=LEN(SUBSTITUTE(SUBSTITUTE(SUBSTITUTE(SUBSTITUTE(MID(UPPER(TRIM($DX537)),1+OR(LEFT(UPPER(TRIM($DX537)),1)="+",LEFT(UPPER(TRIM($DX537)),1)="-"),999),"E+","E"),"E-","E"),"+",""),"-","")),LEN(UPPER(TRIM($DX537)))-LEN(SUBSTITUTE(UPPER(TRIM($DX537)),"E",""))&lt;2,LEN(UPPER(TRIM($DX537)))-LEN(SUBSTITUTE(UPPER(TRIM($DX537)),".",""))&lt;2,IFERROR(FIND(".",UPPER(TRIM($DX537))),0)&lt;IFERROR(FIND("E",UPPER(TRIM($DX537))),999)),ISNUMBER(VALUE(TRIM($DX537)))),VALUE(TRIM($DX537)),"")))),""))</f>
        <v/>
      </c>
      <c r="DZ537">
        <f>IF($DM537=0,"",IF($L$17=0,"",IFERROR(IF(ISNUMBER(INDEX(PASTE_ALL,$DF537,$L$17)),INDEX(PASTE_ALL,$DF537,$L$17),SUBSTITUTE(SUBSTITUTE(TRIM(SUBSTITUTE(SUBSTITUTE(SUBSTITUTE(SUBSTITUTE(INDEX(PASTE_ALL,$DF537,$L$17)," "," "),CHAR(9)," "),CHAR(10)," "),CHAR(13)," ")),",",""),"%","")),"")))</f>
        <v/>
      </c>
      <c r="EA537">
        <f>IF($DM537=0,"",IFERROR(IF(ISNUMBER($DZ537),$DZ537,IF($DZ537="","",IF(TRIM($DZ537)="",0,IF(AND(AND(SUBSTITUTE(SUBSTITUTE(SUBSTITUTE(SUBSTITUTE(SUBSTITUTE(SUBSTITUTE(SUBSTITUTE(SUBSTITUTE(SUBSTITUTE(SUBSTITUTE(SUBSTITUTE(SUBSTITUTE(SUBSTITUTE(SUBSTITUTE(UPPER(TRIM($DZ537)),"0",""),"1",""),"2",""),"3",""),"4",""),"5",""),"6",""),"7",""),"8",""),"9",""),".",""),"+",""),"-",""),"E","")="",LEN(SUBSTITUTE(SUBSTITUTE(MID(UPPER(TRIM($DZ537)),1+OR(LEFT(UPPER(TRIM($DZ537)),1)="+",LEFT(UPPER(TRIM($DZ537)),1)="-"),999),"E+","E"),"E-","E"))=LEN(SUBSTITUTE(SUBSTITUTE(SUBSTITUTE(SUBSTITUTE(MID(UPPER(TRIM($DZ537)),1+OR(LEFT(UPPER(TRIM($DZ537)),1)="+",LEFT(UPPER(TRIM($DZ537)),1)="-"),999),"E+","E"),"E-","E"),"+",""),"-","")),LEN(UPPER(TRIM($DZ537)))-LEN(SUBSTITUTE(UPPER(TRIM($DZ537)),"E",""))&lt;2,LEN(UPPER(TRIM($DZ537)))-LEN(SUBSTITUTE(UPPER(TRIM($DZ537)),".",""))&lt;2,IFERROR(FIND(".",UPPER(TRIM($DZ537))),0)&lt;IFERROR(FIND("E",UPPER(TRIM($DZ537))),999)),ISNUMBER(VALUE(TRIM($DZ537)))),VALUE(TRIM($DZ537)),"")))),""))</f>
        <v/>
      </c>
      <c r="EB537">
        <f>IF($DM537=0,"",IF($L$18=0,"",IFERROR(IF(UPPER(TRIM(SUBSTITUTE(SUBSTITUTE(SUBSTITUTE(SUBSTITUTE(INDEX(PASTE_ALL,$DF537,$L$18)," "," "),CHAR(9)," "),CHAR(10)," "),CHAR(13)," ")))="READY","Ready",IF(UPPER(TRIM(SUBSTITUTE(SUBSTITUTE(SUBSTITUTE(SUBSTITUTE(INDEX(PASTE_ALL,$DF537,$L$18)," "," "),CHAR(9)," "),CHAR(10)," "),CHAR(13)," ")))="PM","PM",IF(OR(UPPER(TRIM(SUBSTITUTE(SUBSTITUTE(SUBSTITUTE(SUBSTITUTE(INDEX(PASTE_ALL,$DF537,$L$18)," "," "),CHAR(9)," "),CHAR(10)," "),CHAR(13)," ")))="OT",UPPER(TRIM(SUBSTITUTE(SUBSTITUTE(SUBSTITUTE(SUBSTITUTE(INDEX(PASTE_ALL,$DF537,$L$18)," "," "),CHAR(9)," "),CHAR(10)," "),CHAR(13)," ")))="OVERTIME",UPPER(TRIM(SUBSTITUTE(SUBSTITUTE(SUBSTITUTE(SUBSTITUTE(INDEX(PASTE_ALL,$DF537,$L$18)," "," "),CHAR(9)," "),CHAR(10)," "),CHAR(13)," ")))="TRIAL"),"OT",TRIM(SUBSTITUTE(SUBSTITUTE(SUBSTITUTE(SUBSTITUTE(INDEX(PASTE_ALL,$DF537,$L$18)," "," "),CHAR(9)," "),CHAR(10)," "),CHAR(13)," "))))),"")))</f>
        <v/>
      </c>
      <c r="EC537">
        <f>IF($DM537=0,"",IF($L$19=0,"",IFERROR(IF(ISNUMBER(INDEX(PASTE_ALL,$DF537,$L$19)),INDEX(PASTE_ALL,$DF537,$L$19),TRIM(SUBSTITUTE(SUBSTITUTE(SUBSTITUTE(SUBSTITUTE(INDEX(PASTE_ALL,$DF537,$L$19)," "," "),CHAR(9)," "),CHAR(10)," "),CHAR(13)," "))),"")))</f>
        <v/>
      </c>
      <c r="ED537">
        <f>IF($DM537=0,"",MATCH(1,INDEX(EXACT($DH$5:DH537,$DH537)*$DM$5:DM537,0),0))</f>
        <v/>
      </c>
      <c r="EE537">
        <f>IF($DM537=0,0,IF($ED537=$DE537,1,0))</f>
        <v/>
      </c>
      <c r="EF537">
        <f>EF536+$EE537</f>
        <v/>
      </c>
      <c r="EG537">
        <f>IF($DM537=0,"",INDEX($EF$5:$EF$1003,$ED537))</f>
        <v/>
      </c>
      <c r="EH537">
        <f>IF($DM537=0,"",IF($DO537&lt;&gt;"","",IFERROR(LOOKUP(2,1/(($EG$4:EG536=$EG537)*($DO$4:DO536&lt;&gt;"")),$DO$4:DO536),"")))</f>
        <v/>
      </c>
      <c r="EI537">
        <f>IF($DM537=0,"",IF($DO537&lt;&gt;"",$DO537,$EH537))</f>
        <v/>
      </c>
      <c r="EJ537">
        <f>IF($DM537=0,"",IF($EI537="",0,IF(OR(ISNUMBER($EI537),AND(AND(SUBSTITUTE(SUBSTITUTE(SUBSTITUTE(SUBSTITUTE(SUBSTITUTE(SUBSTITUTE(SUBSTITUTE(SUBSTITUTE(SUBSTITUTE(SUBSTITUTE(SUBSTITUTE(SUBSTITUTE(SUBSTITUTE(SUBSTITUTE(UPPER($EI537),"0",""),"1",""),"2",""),"3",""),"4",""),"5",""),"6",""),"7",""),"8",""),"9",""),".",""),"+",""),"-",""),"E","")="",LEN(SUBSTITUTE(SUBSTITUTE(MID(UPPER($EI537),1+OR(LEFT(UPPER($EI537),1)="+",LEFT(UPPER($EI537),1)="-"),999),"E+","E"),"E-","E"))=LEN(SUBSTITUTE(SUBSTITUTE(SUBSTITUTE(SUBSTITUTE(MID(UPPER($EI537),1+OR(LEFT(UPPER($EI537),1)="+",LEFT(UPPER($EI537),1)="-"),999),"E+","E"),"E-","E"),"+",""),"-","")),LEN(UPPER($EI537))-LEN(SUBSTITUTE(UPPER($EI537),"E",""))&lt;2,LEN(UPPER($EI537))-LEN(SUBSTITUTE(UPPER($EI537),".",""))&lt;2,IFERROR(FIND(".",UPPER($EI537)),0)&lt;IFERROR(FIND("E",UPPER($EI537)),999)),ISNUMBER(VALUE($EI537)))),1,2)))</f>
        <v/>
      </c>
      <c r="EK537">
        <f>IF($DM537=0,"",IF($EJ537=1,IF(ISNUMBER($EI537),$EI537,VALUE($EI537)),IF($EJ537=2,$DE537,0)))</f>
        <v/>
      </c>
      <c r="EL537">
        <f>IF($DM537=0,"",COUNTIF($EG$5:$EG$1003,"&lt;"&amp;$EG537)+SUMPRODUCT(($EG$5:$EG$1003=$EG537)*(($EJ$5:$EJ$1003&lt;$EJ537)+($EJ$5:$EJ$1003=$EJ537)*(($EK$5:$EK$1003&lt;$EK537)+($EK$5:$EK$1003=$EK537)*($DE$5:$DE$1003&lt;$DE537))))+1)</f>
        <v/>
      </c>
      <c r="EM537">
        <f>IF($DM537=0,"",$EL537+$EG537-1)</f>
        <v/>
      </c>
      <c r="EN537">
        <f>IF($DM537=0,0,IFERROR(MATCH(1,INDEX(--(TRIM(SUBSTITUTE(SUBSTITUTE(SUBSTITUTE(SUBSTITUTE(LINES_NAME&amp;""," "," "),CHAR(9)," "),CHAR(10)," "),CHAR(13)," "))=$DH537),0),0),0))</f>
        <v/>
      </c>
      <c r="EO537">
        <f>IF($EN537=0,0,IF(OR(UPPER(TRIM(INDEX(LINES_SCHEDULED,$EN537)&amp;""))="YES",UPPER(TRIM(INDEX(LINES_SCHEDULED,$EN537)&amp;""))="Y",UPPER(TRIM(INDEX(LINES_SCHEDULED,$EN537)&amp;""))="X"),1,0))</f>
        <v/>
      </c>
      <c r="EP537">
        <f>IF($DM537=0,"",IF(COUNTIFS($EG$5:$EG$1003,$EG537,$EB$5:$EB$1003,"Ready")&gt;0,"READY",IF(COUNTIFS($EG$5:$EG$1003,$EG537,$EB$5:$EB$1003,"PM")&gt;0,"PM",IF(COUNTIFS($EG$5:$EG$1003,$EG537,$EB$5:$EB$1003,"OT")&gt;0,"OT",""))))</f>
        <v/>
      </c>
      <c r="EQ537">
        <f>IF($EN537=0,"",UPPER(TRIM(INDEX(LINES_STATUS,$EN537)&amp;"")))</f>
        <v/>
      </c>
      <c r="ER537">
        <f>IF($DM537=0,"",IF(OR($EQ537="READY",$EQ537="PM",$EQ537="OT"),$EQ537,$EP537))</f>
        <v/>
      </c>
      <c r="ES537">
        <f>IF($DM537=0,"",IF(AND($DV537&lt;&gt;"",UPPER($DV537)&lt;&gt;"N"),"allergen",IF(ISNUMBER(SEARCH("oil",$DQ537)),"oil",IF(OR(EXACT($DS537,"A662"),EXACT($DS537,"A624")),"bulk",""))))</f>
        <v/>
      </c>
      <c r="ET537">
        <f>IF($DM537=0,"",IF(OR($EA537="",$EA537=0),"",$EA537/100))</f>
        <v/>
      </c>
      <c r="EU537">
        <f>IF(OR($ET537="",$DY537=""),"",INT($DY537*(1-$ET537)+0.5))</f>
        <v/>
      </c>
      <c r="EW537" t="n">
        <v>533</v>
      </c>
      <c r="EX537">
        <f>IFERROR(MATCH($EW537,$EM$5:$EM$1003,0),0)</f>
        <v/>
      </c>
      <c r="EY537">
        <f>IF($EW537&gt;$B$12,"",IF($EX537&gt;0,"row","spacer"))</f>
        <v/>
      </c>
      <c r="EZ537">
        <f>IF(AND($EY537="row",$EY536&lt;&gt;"row"),1,0)</f>
        <v/>
      </c>
      <c r="FA537">
        <f>IF(AND($EY537="row",$EY538&lt;&gt;"row"),1,0)</f>
        <v/>
      </c>
      <c r="FB537">
        <f>IF($EZ537=1,IFERROR(IF(ISNUMBER(INDEX(PASTE_ALL,INDEX($DF$5:$DF$1003,$EX537),$B$37)),INDEX(PASTE_ALL,INDEX($DF$5:$DF$1003,$EX537),$B$37),INDEX($DH$5:$DH$1003,$EX537)),INDEX($DH$5:$DH$1003,$EX537)),"")</f>
        <v/>
      </c>
      <c r="FC537">
        <f>IF($EY537="row",INDEX($ER$5:$ER$1003,$EX537),"")</f>
        <v/>
      </c>
      <c r="FD537">
        <f>IF($EY537="row",INDEX($DN$5:$DN$1003,$EX537),"")</f>
        <v/>
      </c>
      <c r="FE537">
        <f>IF($EY537="row",INDEX($DO$5:$DO$1003,$EX537),"")</f>
        <v/>
      </c>
      <c r="FF537">
        <f>IF($EY537="row",INDEX($DP$5:$DP$1003,$EX537),"")</f>
        <v/>
      </c>
      <c r="FG537">
        <f>IF($EY537="row",INDEX($DQ$5:$DQ$1003,$EX537),"")</f>
        <v/>
      </c>
      <c r="FH537">
        <f>IF($EY537="row",INDEX($DR$5:$DR$1003,$EX537),"")</f>
        <v/>
      </c>
      <c r="FI537">
        <f>IF($EY537="row",INDEX($DS$5:$DS$1003,$EX537),"")</f>
        <v/>
      </c>
      <c r="FJ537">
        <f>IF($EY537="row",INDEX($DT$5:$DT$1003,$EX537),"")</f>
        <v/>
      </c>
      <c r="FK537">
        <f>IF($EY537="row",INDEX($DU$5:$DU$1003,$EX537),"")</f>
        <v/>
      </c>
      <c r="FL537">
        <f>IF($EY537="row",INDEX($DV$5:$DV$1003,$EX537),"")</f>
        <v/>
      </c>
      <c r="FM537">
        <f>IF($EY537="row",INDEX($DW$5:$DW$1003,$EX537),"")</f>
        <v/>
      </c>
      <c r="FN537">
        <f>IF($EY537="row",INDEX($DY$5:$DY$1003,$EX537),"")</f>
        <v/>
      </c>
      <c r="FO537">
        <f>IF($EY537="row",INDEX($EA$5:$EA$1003,$EX537),"")</f>
        <v/>
      </c>
      <c r="FP537">
        <f>IF($EY537="row",INDEX($EC$5:$EC$1003,$EX537),"")</f>
        <v/>
      </c>
      <c r="FQ537">
        <f>IF($EY537="row",INDEX($ET$5:$ET$1003,$EX537),"")</f>
        <v/>
      </c>
      <c r="FR537">
        <f>IF($EY537="row",INDEX($EU$5:$EU$1003,$EX537),"")</f>
        <v/>
      </c>
      <c r="FS537">
        <f>IF(AND($EY537="row",$EY536="row"),IF(OR(INDEX($DT$5:$DT$1003,$EX536)="",INDEX($DT$5:$DT$1003,$EX537)=""),"",IF(NOT(EXACT(INDEX($DT$5:$DT$1003,$EX536),INDEX($DT$5:$DT$1003,$EX537))),"S4",IF(NOT(EXACT(INDEX($DS$5:$DS$1003,$EX536),INDEX($DS$5:$DS$1003,$EX537))),"S3",IF(NOT(EXACT(INDEX($DR$5:$DR$1003,$EX536),INDEX($DR$5:$DR$1003,$EX537))),"S1 Count Change","S1")))),"")</f>
        <v/>
      </c>
      <c r="FT537">
        <f>IF($EY537="row",INDEX($ES$5:$ES$1003,$EX537),"")</f>
        <v/>
      </c>
      <c r="FU537">
        <f>IF($EY537="row",INDEX($EO$5:$EO$1003,$EX537),0)</f>
        <v/>
      </c>
      <c r="FV537">
        <f>IF($FS537="S1 Count Change",1,0)</f>
        <v/>
      </c>
    </row>
    <row r="538">
      <c r="DA538" t="n">
        <v>534</v>
      </c>
      <c r="DB538">
        <f>IF($B$37=0,"",IFERROR(TRIM(SUBSTITUTE(SUBSTITUTE(SUBSTITUTE(SUBSTITUTE(INDEX(PASTE_ALL,534,$B$37)," "," "),CHAR(9)," "),CHAR(10)," "),CHAR(13)," ")),""))</f>
        <v/>
      </c>
      <c r="DC538">
        <f>IF(AND(534&gt;HEADER_ROW,UPPER(DB538)="LEGEND"),1,0)</f>
        <v/>
      </c>
      <c r="DE538" t="n">
        <v>534</v>
      </c>
      <c r="DF538">
        <f>HEADER_ROW+$DE538</f>
        <v/>
      </c>
      <c r="DG538">
        <f>IF(AND($DF538&lt;=1000,$DF538&lt;$B$8),1,0)</f>
        <v/>
      </c>
      <c r="DH538">
        <f>IF($DG538=1,IFERROR(INDEX($DB$5:$DB$1004,$DF538),""),"")</f>
        <v/>
      </c>
      <c r="DI538">
        <f>IF(AND($DG538=1,$DH538&lt;&gt;""),IFERROR(SUBSTITUTE(SUBSTITUTE(TRIM(SUBSTITUTE(SUBSTITUTE(SUBSTITUTE(SUBSTITUTE(IFERROR(INDEX(PASTE_ALL,$DF538,1)&amp;"","")&amp;"␟"&amp;IFERROR(INDEX(PASTE_ALL,$DF538,2)&amp;"","")&amp;"␟"&amp;IFERROR(INDEX(PASTE_ALL,$DF538,3)&amp;"","")&amp;"␟"&amp;IFERROR(INDEX(PASTE_ALL,$DF538,4)&amp;"","")&amp;"␟"&amp;IFERROR(INDEX(PASTE_ALL,$DF538,5)&amp;"","")&amp;"␟"&amp;IFERROR(INDEX(PASTE_ALL,$DF538,6)&amp;"","")&amp;"␟"&amp;IFERROR(INDEX(PASTE_ALL,$DF538,7)&amp;"","")&amp;"␟"&amp;IFERROR(INDEX(PASTE_ALL,$DF538,8)&amp;"","")&amp;"␟"&amp;IFERROR(INDEX(PASTE_ALL,$DF538,9)&amp;"","")&amp;"␟"&amp;IFERROR(INDEX(PASTE_ALL,$DF538,10)&amp;"","")&amp;"␟"&amp;IFERROR(INDEX(PASTE_ALL,$DF538,11)&amp;"","")&amp;"␟"&amp;IFERROR(INDEX(PASTE_ALL,$DF538,12)&amp;"","")&amp;"␟"&amp;IFERROR(INDEX(PASTE_ALL,$DF538,13)&amp;"","")&amp;"␟"&amp;IFERROR(INDEX(PASTE_ALL,$DF538,14)&amp;"","")&amp;"␟"&amp;IFERROR(INDEX(PASTE_ALL,$DF538,15)&amp;"","")&amp;"␟"&amp;IFERROR(INDEX(PASTE_ALL,$DF538,16)&amp;"","")&amp;"␟"&amp;IFERROR(INDEX(PASTE_ALL,$DF538,17)&amp;"","")&amp;"␟"&amp;IFERROR(INDEX(PASTE_ALL,$DF538,18)&amp;"","")&amp;"␟"&amp;IFERROR(INDEX(PASTE_ALL,$DF538,19)&amp;"","")&amp;"␟"&amp;IFERROR(INDEX(PASTE_ALL,$DF538,20)&amp;"","")&amp;"␟"&amp;IFERROR(INDEX(PASTE_ALL,$DF538,21)&amp;"","")&amp;"␟"&amp;IFERROR(INDEX(PASTE_ALL,$DF538,22)&amp;"","")&amp;"␟"&amp;IFERROR(INDEX(PASTE_ALL,$DF538,23)&amp;"","")&amp;"␟"&amp;IFERROR(INDEX(PASTE_ALL,$DF538,24)&amp;"","")&amp;"␟"&amp;IFERROR(INDEX(PASTE_ALL,$DF538,25)&amp;"","")&amp;"␟"&amp;IFERROR(INDEX(PASTE_ALL,$DF538,26)&amp;"","")&amp;"␟"&amp;IFERROR(INDEX(PASTE_ALL,$DF538,27)&amp;"","")&amp;"␟"&amp;IFERROR(INDEX(PASTE_ALL,$DF538,28)&amp;"","")&amp;"␟"&amp;IFERROR(INDEX(PASTE_ALL,$DF538,29)&amp;"","")&amp;"␟"&amp;IFERROR(INDEX(PASTE_ALL,$DF538,30)&amp;"","")&amp;"␟"&amp;IFERROR(INDEX(PASTE_ALL,$DF538,31)&amp;"","")&amp;"␟"&amp;IFERROR(INDEX(PASTE_ALL,$DF538,32)&amp;"","")&amp;"␟"&amp;IFERROR(INDEX(PASTE_ALL,$DF538,33)&amp;"","")&amp;"␟"&amp;IFERROR(INDEX(PASTE_ALL,$DF538,34)&amp;"","")&amp;"␟"&amp;IFERROR(INDEX(PASTE_ALL,$DF538,35)&amp;"","")&amp;"␟"&amp;IFERROR(INDEX(PASTE_ALL,$DF538,36)&amp;"","")&amp;"␟"&amp;IFERROR(INDEX(PASTE_ALL,$DF538,37)&amp;"","")&amp;"␟"&amp;IFERROR(INDEX(PASTE_ALL,$DF538,38)&amp;"","")&amp;"␟"&amp;IFERROR(INDEX(PASTE_ALL,$DF538,39)&amp;"","")&amp;"␟"&amp;IFERROR(INDEX(PASTE_ALL,$DF538,40)&amp;"","")&amp;"␟"&amp;IFERROR(INDEX(PASTE_ALL,$DF538,41)&amp;"","")&amp;"␟"&amp;IFERROR(INDEX(PASTE_ALL,$DF538,42)&amp;"","")&amp;"␟"&amp;IFERROR(INDEX(PASTE_ALL,$DF538,43)&amp;"","")&amp;"␟"&amp;IFERROR(INDEX(PASTE_ALL,$DF538,44)&amp;"","")&amp;"␟"&amp;IFERROR(INDEX(PASTE_ALL,$DF538,45)&amp;"","")&amp;"␟"&amp;IFERROR(INDEX(PASTE_ALL,$DF538,46)&amp;"","")&amp;"␟"&amp;IFERROR(INDEX(PASTE_ALL,$DF538,47)&amp;"","")&amp;"␟"&amp;IFERROR(INDEX(PASTE_ALL,$DF538,48)&amp;"","")&amp;"␟"&amp;IFERROR(INDEX(PASTE_ALL,$DF538,49)&amp;"","")&amp;"␟"&amp;IFERROR(INDEX(PASTE_ALL,$DF538,50)&amp;"","")&amp;"␟"&amp;IFERROR(INDEX(PASTE_ALL,$DF538,51)&amp;"","")&amp;"␟"&amp;IFERROR(INDEX(PASTE_ALL,$DF538,52)&amp;"","")&amp;"␟"&amp;IFERROR(INDEX(PASTE_ALL,$DF538,53)&amp;"","")&amp;"␟"&amp;IFERROR(INDEX(PASTE_ALL,$DF538,54)&amp;"","")&amp;"␟"&amp;IFERROR(INDEX(PASTE_ALL,$DF538,55)&amp;"","")&amp;"␟"&amp;IFERROR(INDEX(PASTE_ALL,$DF538,56)&amp;"","")&amp;"␟"&amp;IFERROR(INDEX(PASTE_ALL,$DF538,57)&amp;"","")&amp;"␟"&amp;IFERROR(INDEX(PASTE_ALL,$DF538,58)&amp;"","")&amp;"␟"&amp;IFERROR(INDEX(PASTE_ALL,$DF538,59)&amp;"","")&amp;"␟"&amp;IFERROR(INDEX(PASTE_ALL,$DF538,60)&amp;"","")," "," "),CHAR(9)," "),CHAR(10)," "),CHAR(13)," "))," ␟","␟"),"␟ ","␟"),"#"&amp;$DE538),"")</f>
        <v/>
      </c>
      <c r="DJ538">
        <f>IF($DI538="",0,IF(SUMPRODUCT(--EXACT($DI$4:DI537,$DI538))&gt;0,1,0))</f>
        <v/>
      </c>
      <c r="DK538">
        <f>IF(AND($DI538&lt;&gt;"",$DJ538=0),1,0)</f>
        <v/>
      </c>
      <c r="DL538">
        <f>DL537+$DK538</f>
        <v/>
      </c>
      <c r="DM538">
        <f>IF(AND($DK538=1,$DL538&lt;=600),1,0)</f>
        <v/>
      </c>
      <c r="DN538">
        <f>IF($DM538=0,"",IF($L$6=0,"",IFERROR(IF(ISNUMBER(INDEX(PASTE_ALL,$DF538,$L$6)),INDEX(PASTE_ALL,$DF538,$L$6),TRIM(SUBSTITUTE(SUBSTITUTE(SUBSTITUTE(SUBSTITUTE(INDEX(PASTE_ALL,$DF538,$L$6)," "," "),CHAR(9)," "),CHAR(10)," "),CHAR(13)," "))),"")))</f>
        <v/>
      </c>
      <c r="DO538">
        <f>IF($DM538=0,"",IF($L$7=0,"",IFERROR(IF(ISNUMBER(INDEX(PASTE_ALL,$DF538,$L$7)),INDEX(PASTE_ALL,$DF538,$L$7),TRIM(SUBSTITUTE(SUBSTITUTE(SUBSTITUTE(SUBSTITUTE(INDEX(PASTE_ALL,$DF538,$L$7)," "," "),CHAR(9)," "),CHAR(10)," "),CHAR(13)," "))),"")))</f>
        <v/>
      </c>
      <c r="DP538">
        <f>IF($DM538=0,"",IF($L$8=0,"",IFERROR(IF(ISNUMBER(INDEX(PASTE_ALL,$DF538,$L$8)),INDEX(PASTE_ALL,$DF538,$L$8),TRIM(SUBSTITUTE(SUBSTITUTE(SUBSTITUTE(SUBSTITUTE(INDEX(PASTE_ALL,$DF538,$L$8)," "," "),CHAR(9)," "),CHAR(10)," "),CHAR(13)," "))),"")))</f>
        <v/>
      </c>
      <c r="DQ538">
        <f>IF($DM538=0,"",IF($L$9=0,"",IFERROR(IF(ISNUMBER(INDEX(PASTE_ALL,$DF538,$L$9)),INDEX(PASTE_ALL,$DF538,$L$9),TRIM(SUBSTITUTE(SUBSTITUTE(SUBSTITUTE(SUBSTITUTE(INDEX(PASTE_ALL,$DF538,$L$9)," "," "),CHAR(9)," "),CHAR(10)," "),CHAR(13)," "))),"")))</f>
        <v/>
      </c>
      <c r="DR538">
        <f>IF($DM538=0,"",IF($L$10=0,"",IFERROR(IF(ISNUMBER(INDEX(PASTE_ALL,$DF538,$L$10)),INDEX(PASTE_ALL,$DF538,$L$10),TRIM(SUBSTITUTE(SUBSTITUTE(SUBSTITUTE(SUBSTITUTE(INDEX(PASTE_ALL,$DF538,$L$10)," "," "),CHAR(9)," "),CHAR(10)," "),CHAR(13)," "))),"")))</f>
        <v/>
      </c>
      <c r="DS538">
        <f>IF($DM538=0,"",IF($L$11=0,"",IFERROR(IF(ISNUMBER(INDEX(PASTE_ALL,$DF538,$L$11)),INDEX(PASTE_ALL,$DF538,$L$11),TRIM(SUBSTITUTE(SUBSTITUTE(SUBSTITUTE(SUBSTITUTE(INDEX(PASTE_ALL,$DF538,$L$11)," "," "),CHAR(9)," "),CHAR(10)," "),CHAR(13)," "))),"")))</f>
        <v/>
      </c>
      <c r="DT538">
        <f>IF($DM538=0,"",IF($L$12=0,"",IFERROR(IF(ISNUMBER(INDEX(PASTE_ALL,$DF538,$L$12)),INDEX(PASTE_ALL,$DF538,$L$12),TRIM(SUBSTITUTE(SUBSTITUTE(SUBSTITUTE(SUBSTITUTE(INDEX(PASTE_ALL,$DF538,$L$12)," "," "),CHAR(9)," "),CHAR(10)," "),CHAR(13)," "))),"")))</f>
        <v/>
      </c>
      <c r="DU538">
        <f>IF($DM538=0,"",IF($L$13=0,"",IFERROR(IF(ISNUMBER(INDEX(PASTE_ALL,$DF538,$L$13)),INDEX(PASTE_ALL,$DF538,$L$13),TRIM(SUBSTITUTE(SUBSTITUTE(SUBSTITUTE(SUBSTITUTE(INDEX(PASTE_ALL,$DF538,$L$13)," "," "),CHAR(9)," "),CHAR(10)," "),CHAR(13)," "))),"")))</f>
        <v/>
      </c>
      <c r="DV538">
        <f>IF($DM538=0,"",IF($L$14=0,"",IFERROR(IF(ISNUMBER(INDEX(PASTE_ALL,$DF538,$L$14)),INDEX(PASTE_ALL,$DF538,$L$14),TRIM(SUBSTITUTE(SUBSTITUTE(SUBSTITUTE(SUBSTITUTE(INDEX(PASTE_ALL,$DF538,$L$14)," "," "),CHAR(9)," "),CHAR(10)," "),CHAR(13)," "))),"")))</f>
        <v/>
      </c>
      <c r="DW538">
        <f>IF($DM538=0,"",IF($L$15=0,"",IFERROR(IF(ISNUMBER(INDEX(PASTE_ALL,$DF538,$L$15)),INDEX(PASTE_ALL,$DF538,$L$15),IF(SUMPRODUCT(--ISNUMBER(FIND({"A","B","C","D","E","F","G","H","I","J","K","L","M","N","O","P","Q","R","S","T","U","V","W","X","Y","Z","0","1","2","3","4","5","6","7","8","9"},UPPER(TRIM(SUBSTITUTE(SUBSTITUTE(SUBSTITUTE(SUBSTITUTE(INDEX(PASTE_ALL,$DF538,$L$15)," "," "),CHAR(9)," "),CHAR(10)," "),CHAR(13)," "))))))&gt;0,TRIM(SUBSTITUTE(SUBSTITUTE(SUBSTITUTE(SUBSTITUTE(INDEX(PASTE_ALL,$DF538,$L$15)," "," "),CHAR(9)," "),CHAR(10)," "),CHAR(13)," ")),"")),"")))</f>
        <v/>
      </c>
      <c r="DX538">
        <f>IF($DM538=0,"",IF($L$16=0,"",IFERROR(IF(ISNUMBER(INDEX(PASTE_ALL,$DF538,$L$16)),INDEX(PASTE_ALL,$DF538,$L$16),SUBSTITUTE(SUBSTITUTE(TRIM(SUBSTITUTE(SUBSTITUTE(SUBSTITUTE(SUBSTITUTE(INDEX(PASTE_ALL,$DF538,$L$16)," "," "),CHAR(9)," "),CHAR(10)," "),CHAR(13)," ")),",",""),"%","")),"")))</f>
        <v/>
      </c>
      <c r="DY538">
        <f>IF($DM538=0,"",IFERROR(IF(ISNUMBER($DX538),$DX538,IF($DX538="","",IF(TRIM($DX538)="",0,IF(AND(AND(SUBSTITUTE(SUBSTITUTE(SUBSTITUTE(SUBSTITUTE(SUBSTITUTE(SUBSTITUTE(SUBSTITUTE(SUBSTITUTE(SUBSTITUTE(SUBSTITUTE(SUBSTITUTE(SUBSTITUTE(SUBSTITUTE(SUBSTITUTE(UPPER(TRIM($DX538)),"0",""),"1",""),"2",""),"3",""),"4",""),"5",""),"6",""),"7",""),"8",""),"9",""),".",""),"+",""),"-",""),"E","")="",LEN(SUBSTITUTE(SUBSTITUTE(MID(UPPER(TRIM($DX538)),1+OR(LEFT(UPPER(TRIM($DX538)),1)="+",LEFT(UPPER(TRIM($DX538)),1)="-"),999),"E+","E"),"E-","E"))=LEN(SUBSTITUTE(SUBSTITUTE(SUBSTITUTE(SUBSTITUTE(MID(UPPER(TRIM($DX538)),1+OR(LEFT(UPPER(TRIM($DX538)),1)="+",LEFT(UPPER(TRIM($DX538)),1)="-"),999),"E+","E"),"E-","E"),"+",""),"-","")),LEN(UPPER(TRIM($DX538)))-LEN(SUBSTITUTE(UPPER(TRIM($DX538)),"E",""))&lt;2,LEN(UPPER(TRIM($DX538)))-LEN(SUBSTITUTE(UPPER(TRIM($DX538)),".",""))&lt;2,IFERROR(FIND(".",UPPER(TRIM($DX538))),0)&lt;IFERROR(FIND("E",UPPER(TRIM($DX538))),999)),ISNUMBER(VALUE(TRIM($DX538)))),VALUE(TRIM($DX538)),"")))),""))</f>
        <v/>
      </c>
      <c r="DZ538">
        <f>IF($DM538=0,"",IF($L$17=0,"",IFERROR(IF(ISNUMBER(INDEX(PASTE_ALL,$DF538,$L$17)),INDEX(PASTE_ALL,$DF538,$L$17),SUBSTITUTE(SUBSTITUTE(TRIM(SUBSTITUTE(SUBSTITUTE(SUBSTITUTE(SUBSTITUTE(INDEX(PASTE_ALL,$DF538,$L$17)," "," "),CHAR(9)," "),CHAR(10)," "),CHAR(13)," ")),",",""),"%","")),"")))</f>
        <v/>
      </c>
      <c r="EA538">
        <f>IF($DM538=0,"",IFERROR(IF(ISNUMBER($DZ538),$DZ538,IF($DZ538="","",IF(TRIM($DZ538)="",0,IF(AND(AND(SUBSTITUTE(SUBSTITUTE(SUBSTITUTE(SUBSTITUTE(SUBSTITUTE(SUBSTITUTE(SUBSTITUTE(SUBSTITUTE(SUBSTITUTE(SUBSTITUTE(SUBSTITUTE(SUBSTITUTE(SUBSTITUTE(SUBSTITUTE(UPPER(TRIM($DZ538)),"0",""),"1",""),"2",""),"3",""),"4",""),"5",""),"6",""),"7",""),"8",""),"9",""),".",""),"+",""),"-",""),"E","")="",LEN(SUBSTITUTE(SUBSTITUTE(MID(UPPER(TRIM($DZ538)),1+OR(LEFT(UPPER(TRIM($DZ538)),1)="+",LEFT(UPPER(TRIM($DZ538)),1)="-"),999),"E+","E"),"E-","E"))=LEN(SUBSTITUTE(SUBSTITUTE(SUBSTITUTE(SUBSTITUTE(MID(UPPER(TRIM($DZ538)),1+OR(LEFT(UPPER(TRIM($DZ538)),1)="+",LEFT(UPPER(TRIM($DZ538)),1)="-"),999),"E+","E"),"E-","E"),"+",""),"-","")),LEN(UPPER(TRIM($DZ538)))-LEN(SUBSTITUTE(UPPER(TRIM($DZ538)),"E",""))&lt;2,LEN(UPPER(TRIM($DZ538)))-LEN(SUBSTITUTE(UPPER(TRIM($DZ538)),".",""))&lt;2,IFERROR(FIND(".",UPPER(TRIM($DZ538))),0)&lt;IFERROR(FIND("E",UPPER(TRIM($DZ538))),999)),ISNUMBER(VALUE(TRIM($DZ538)))),VALUE(TRIM($DZ538)),"")))),""))</f>
        <v/>
      </c>
      <c r="EB538">
        <f>IF($DM538=0,"",IF($L$18=0,"",IFERROR(IF(UPPER(TRIM(SUBSTITUTE(SUBSTITUTE(SUBSTITUTE(SUBSTITUTE(INDEX(PASTE_ALL,$DF538,$L$18)," "," "),CHAR(9)," "),CHAR(10)," "),CHAR(13)," ")))="READY","Ready",IF(UPPER(TRIM(SUBSTITUTE(SUBSTITUTE(SUBSTITUTE(SUBSTITUTE(INDEX(PASTE_ALL,$DF538,$L$18)," "," "),CHAR(9)," "),CHAR(10)," "),CHAR(13)," ")))="PM","PM",IF(OR(UPPER(TRIM(SUBSTITUTE(SUBSTITUTE(SUBSTITUTE(SUBSTITUTE(INDEX(PASTE_ALL,$DF538,$L$18)," "," "),CHAR(9)," "),CHAR(10)," "),CHAR(13)," ")))="OT",UPPER(TRIM(SUBSTITUTE(SUBSTITUTE(SUBSTITUTE(SUBSTITUTE(INDEX(PASTE_ALL,$DF538,$L$18)," "," "),CHAR(9)," "),CHAR(10)," "),CHAR(13)," ")))="OVERTIME",UPPER(TRIM(SUBSTITUTE(SUBSTITUTE(SUBSTITUTE(SUBSTITUTE(INDEX(PASTE_ALL,$DF538,$L$18)," "," "),CHAR(9)," "),CHAR(10)," "),CHAR(13)," ")))="TRIAL"),"OT",TRIM(SUBSTITUTE(SUBSTITUTE(SUBSTITUTE(SUBSTITUTE(INDEX(PASTE_ALL,$DF538,$L$18)," "," "),CHAR(9)," "),CHAR(10)," "),CHAR(13)," "))))),"")))</f>
        <v/>
      </c>
      <c r="EC538">
        <f>IF($DM538=0,"",IF($L$19=0,"",IFERROR(IF(ISNUMBER(INDEX(PASTE_ALL,$DF538,$L$19)),INDEX(PASTE_ALL,$DF538,$L$19),TRIM(SUBSTITUTE(SUBSTITUTE(SUBSTITUTE(SUBSTITUTE(INDEX(PASTE_ALL,$DF538,$L$19)," "," "),CHAR(9)," "),CHAR(10)," "),CHAR(13)," "))),"")))</f>
        <v/>
      </c>
      <c r="ED538">
        <f>IF($DM538=0,"",MATCH(1,INDEX(EXACT($DH$5:DH538,$DH538)*$DM$5:DM538,0),0))</f>
        <v/>
      </c>
      <c r="EE538">
        <f>IF($DM538=0,0,IF($ED538=$DE538,1,0))</f>
        <v/>
      </c>
      <c r="EF538">
        <f>EF537+$EE538</f>
        <v/>
      </c>
      <c r="EG538">
        <f>IF($DM538=0,"",INDEX($EF$5:$EF$1003,$ED538))</f>
        <v/>
      </c>
      <c r="EH538">
        <f>IF($DM538=0,"",IF($DO538&lt;&gt;"","",IFERROR(LOOKUP(2,1/(($EG$4:EG537=$EG538)*($DO$4:DO537&lt;&gt;"")),$DO$4:DO537),"")))</f>
        <v/>
      </c>
      <c r="EI538">
        <f>IF($DM538=0,"",IF($DO538&lt;&gt;"",$DO538,$EH538))</f>
        <v/>
      </c>
      <c r="EJ538">
        <f>IF($DM538=0,"",IF($EI538="",0,IF(OR(ISNUMBER($EI538),AND(AND(SUBSTITUTE(SUBSTITUTE(SUBSTITUTE(SUBSTITUTE(SUBSTITUTE(SUBSTITUTE(SUBSTITUTE(SUBSTITUTE(SUBSTITUTE(SUBSTITUTE(SUBSTITUTE(SUBSTITUTE(SUBSTITUTE(SUBSTITUTE(UPPER($EI538),"0",""),"1",""),"2",""),"3",""),"4",""),"5",""),"6",""),"7",""),"8",""),"9",""),".",""),"+",""),"-",""),"E","")="",LEN(SUBSTITUTE(SUBSTITUTE(MID(UPPER($EI538),1+OR(LEFT(UPPER($EI538),1)="+",LEFT(UPPER($EI538),1)="-"),999),"E+","E"),"E-","E"))=LEN(SUBSTITUTE(SUBSTITUTE(SUBSTITUTE(SUBSTITUTE(MID(UPPER($EI538),1+OR(LEFT(UPPER($EI538),1)="+",LEFT(UPPER($EI538),1)="-"),999),"E+","E"),"E-","E"),"+",""),"-","")),LEN(UPPER($EI538))-LEN(SUBSTITUTE(UPPER($EI538),"E",""))&lt;2,LEN(UPPER($EI538))-LEN(SUBSTITUTE(UPPER($EI538),".",""))&lt;2,IFERROR(FIND(".",UPPER($EI538)),0)&lt;IFERROR(FIND("E",UPPER($EI538)),999)),ISNUMBER(VALUE($EI538)))),1,2)))</f>
        <v/>
      </c>
      <c r="EK538">
        <f>IF($DM538=0,"",IF($EJ538=1,IF(ISNUMBER($EI538),$EI538,VALUE($EI538)),IF($EJ538=2,$DE538,0)))</f>
        <v/>
      </c>
      <c r="EL538">
        <f>IF($DM538=0,"",COUNTIF($EG$5:$EG$1003,"&lt;"&amp;$EG538)+SUMPRODUCT(($EG$5:$EG$1003=$EG538)*(($EJ$5:$EJ$1003&lt;$EJ538)+($EJ$5:$EJ$1003=$EJ538)*(($EK$5:$EK$1003&lt;$EK538)+($EK$5:$EK$1003=$EK538)*($DE$5:$DE$1003&lt;$DE538))))+1)</f>
        <v/>
      </c>
      <c r="EM538">
        <f>IF($DM538=0,"",$EL538+$EG538-1)</f>
        <v/>
      </c>
      <c r="EN538">
        <f>IF($DM538=0,0,IFERROR(MATCH(1,INDEX(--(TRIM(SUBSTITUTE(SUBSTITUTE(SUBSTITUTE(SUBSTITUTE(LINES_NAME&amp;""," "," "),CHAR(9)," "),CHAR(10)," "),CHAR(13)," "))=$DH538),0),0),0))</f>
        <v/>
      </c>
      <c r="EO538">
        <f>IF($EN538=0,0,IF(OR(UPPER(TRIM(INDEX(LINES_SCHEDULED,$EN538)&amp;""))="YES",UPPER(TRIM(INDEX(LINES_SCHEDULED,$EN538)&amp;""))="Y",UPPER(TRIM(INDEX(LINES_SCHEDULED,$EN538)&amp;""))="X"),1,0))</f>
        <v/>
      </c>
      <c r="EP538">
        <f>IF($DM538=0,"",IF(COUNTIFS($EG$5:$EG$1003,$EG538,$EB$5:$EB$1003,"Ready")&gt;0,"READY",IF(COUNTIFS($EG$5:$EG$1003,$EG538,$EB$5:$EB$1003,"PM")&gt;0,"PM",IF(COUNTIFS($EG$5:$EG$1003,$EG538,$EB$5:$EB$1003,"OT")&gt;0,"OT",""))))</f>
        <v/>
      </c>
      <c r="EQ538">
        <f>IF($EN538=0,"",UPPER(TRIM(INDEX(LINES_STATUS,$EN538)&amp;"")))</f>
        <v/>
      </c>
      <c r="ER538">
        <f>IF($DM538=0,"",IF(OR($EQ538="READY",$EQ538="PM",$EQ538="OT"),$EQ538,$EP538))</f>
        <v/>
      </c>
      <c r="ES538">
        <f>IF($DM538=0,"",IF(AND($DV538&lt;&gt;"",UPPER($DV538)&lt;&gt;"N"),"allergen",IF(ISNUMBER(SEARCH("oil",$DQ538)),"oil",IF(OR(EXACT($DS538,"A662"),EXACT($DS538,"A624")),"bulk",""))))</f>
        <v/>
      </c>
      <c r="ET538">
        <f>IF($DM538=0,"",IF(OR($EA538="",$EA538=0),"",$EA538/100))</f>
        <v/>
      </c>
      <c r="EU538">
        <f>IF(OR($ET538="",$DY538=""),"",INT($DY538*(1-$ET538)+0.5))</f>
        <v/>
      </c>
      <c r="EW538" t="n">
        <v>534</v>
      </c>
      <c r="EX538">
        <f>IFERROR(MATCH($EW538,$EM$5:$EM$1003,0),0)</f>
        <v/>
      </c>
      <c r="EY538">
        <f>IF($EW538&gt;$B$12,"",IF($EX538&gt;0,"row","spacer"))</f>
        <v/>
      </c>
      <c r="EZ538">
        <f>IF(AND($EY538="row",$EY537&lt;&gt;"row"),1,0)</f>
        <v/>
      </c>
      <c r="FA538">
        <f>IF(AND($EY538="row",$EY539&lt;&gt;"row"),1,0)</f>
        <v/>
      </c>
      <c r="FB538">
        <f>IF($EZ538=1,IFERROR(IF(ISNUMBER(INDEX(PASTE_ALL,INDEX($DF$5:$DF$1003,$EX538),$B$37)),INDEX(PASTE_ALL,INDEX($DF$5:$DF$1003,$EX538),$B$37),INDEX($DH$5:$DH$1003,$EX538)),INDEX($DH$5:$DH$1003,$EX538)),"")</f>
        <v/>
      </c>
      <c r="FC538">
        <f>IF($EY538="row",INDEX($ER$5:$ER$1003,$EX538),"")</f>
        <v/>
      </c>
      <c r="FD538">
        <f>IF($EY538="row",INDEX($DN$5:$DN$1003,$EX538),"")</f>
        <v/>
      </c>
      <c r="FE538">
        <f>IF($EY538="row",INDEX($DO$5:$DO$1003,$EX538),"")</f>
        <v/>
      </c>
      <c r="FF538">
        <f>IF($EY538="row",INDEX($DP$5:$DP$1003,$EX538),"")</f>
        <v/>
      </c>
      <c r="FG538">
        <f>IF($EY538="row",INDEX($DQ$5:$DQ$1003,$EX538),"")</f>
        <v/>
      </c>
      <c r="FH538">
        <f>IF($EY538="row",INDEX($DR$5:$DR$1003,$EX538),"")</f>
        <v/>
      </c>
      <c r="FI538">
        <f>IF($EY538="row",INDEX($DS$5:$DS$1003,$EX538),"")</f>
        <v/>
      </c>
      <c r="FJ538">
        <f>IF($EY538="row",INDEX($DT$5:$DT$1003,$EX538),"")</f>
        <v/>
      </c>
      <c r="FK538">
        <f>IF($EY538="row",INDEX($DU$5:$DU$1003,$EX538),"")</f>
        <v/>
      </c>
      <c r="FL538">
        <f>IF($EY538="row",INDEX($DV$5:$DV$1003,$EX538),"")</f>
        <v/>
      </c>
      <c r="FM538">
        <f>IF($EY538="row",INDEX($DW$5:$DW$1003,$EX538),"")</f>
        <v/>
      </c>
      <c r="FN538">
        <f>IF($EY538="row",INDEX($DY$5:$DY$1003,$EX538),"")</f>
        <v/>
      </c>
      <c r="FO538">
        <f>IF($EY538="row",INDEX($EA$5:$EA$1003,$EX538),"")</f>
        <v/>
      </c>
      <c r="FP538">
        <f>IF($EY538="row",INDEX($EC$5:$EC$1003,$EX538),"")</f>
        <v/>
      </c>
      <c r="FQ538">
        <f>IF($EY538="row",INDEX($ET$5:$ET$1003,$EX538),"")</f>
        <v/>
      </c>
      <c r="FR538">
        <f>IF($EY538="row",INDEX($EU$5:$EU$1003,$EX538),"")</f>
        <v/>
      </c>
      <c r="FS538">
        <f>IF(AND($EY538="row",$EY537="row"),IF(OR(INDEX($DT$5:$DT$1003,$EX537)="",INDEX($DT$5:$DT$1003,$EX538)=""),"",IF(NOT(EXACT(INDEX($DT$5:$DT$1003,$EX537),INDEX($DT$5:$DT$1003,$EX538))),"S4",IF(NOT(EXACT(INDEX($DS$5:$DS$1003,$EX537),INDEX($DS$5:$DS$1003,$EX538))),"S3",IF(NOT(EXACT(INDEX($DR$5:$DR$1003,$EX537),INDEX($DR$5:$DR$1003,$EX538))),"S1 Count Change","S1")))),"")</f>
        <v/>
      </c>
      <c r="FT538">
        <f>IF($EY538="row",INDEX($ES$5:$ES$1003,$EX538),"")</f>
        <v/>
      </c>
      <c r="FU538">
        <f>IF($EY538="row",INDEX($EO$5:$EO$1003,$EX538),0)</f>
        <v/>
      </c>
      <c r="FV538">
        <f>IF($FS538="S1 Count Change",1,0)</f>
        <v/>
      </c>
    </row>
    <row r="539">
      <c r="DA539" t="n">
        <v>535</v>
      </c>
      <c r="DB539">
        <f>IF($B$37=0,"",IFERROR(TRIM(SUBSTITUTE(SUBSTITUTE(SUBSTITUTE(SUBSTITUTE(INDEX(PASTE_ALL,535,$B$37)," "," "),CHAR(9)," "),CHAR(10)," "),CHAR(13)," ")),""))</f>
        <v/>
      </c>
      <c r="DC539">
        <f>IF(AND(535&gt;HEADER_ROW,UPPER(DB539)="LEGEND"),1,0)</f>
        <v/>
      </c>
      <c r="DE539" t="n">
        <v>535</v>
      </c>
      <c r="DF539">
        <f>HEADER_ROW+$DE539</f>
        <v/>
      </c>
      <c r="DG539">
        <f>IF(AND($DF539&lt;=1000,$DF539&lt;$B$8),1,0)</f>
        <v/>
      </c>
      <c r="DH539">
        <f>IF($DG539=1,IFERROR(INDEX($DB$5:$DB$1004,$DF539),""),"")</f>
        <v/>
      </c>
      <c r="DI539">
        <f>IF(AND($DG539=1,$DH539&lt;&gt;""),IFERROR(SUBSTITUTE(SUBSTITUTE(TRIM(SUBSTITUTE(SUBSTITUTE(SUBSTITUTE(SUBSTITUTE(IFERROR(INDEX(PASTE_ALL,$DF539,1)&amp;"","")&amp;"␟"&amp;IFERROR(INDEX(PASTE_ALL,$DF539,2)&amp;"","")&amp;"␟"&amp;IFERROR(INDEX(PASTE_ALL,$DF539,3)&amp;"","")&amp;"␟"&amp;IFERROR(INDEX(PASTE_ALL,$DF539,4)&amp;"","")&amp;"␟"&amp;IFERROR(INDEX(PASTE_ALL,$DF539,5)&amp;"","")&amp;"␟"&amp;IFERROR(INDEX(PASTE_ALL,$DF539,6)&amp;"","")&amp;"␟"&amp;IFERROR(INDEX(PASTE_ALL,$DF539,7)&amp;"","")&amp;"␟"&amp;IFERROR(INDEX(PASTE_ALL,$DF539,8)&amp;"","")&amp;"␟"&amp;IFERROR(INDEX(PASTE_ALL,$DF539,9)&amp;"","")&amp;"␟"&amp;IFERROR(INDEX(PASTE_ALL,$DF539,10)&amp;"","")&amp;"␟"&amp;IFERROR(INDEX(PASTE_ALL,$DF539,11)&amp;"","")&amp;"␟"&amp;IFERROR(INDEX(PASTE_ALL,$DF539,12)&amp;"","")&amp;"␟"&amp;IFERROR(INDEX(PASTE_ALL,$DF539,13)&amp;"","")&amp;"␟"&amp;IFERROR(INDEX(PASTE_ALL,$DF539,14)&amp;"","")&amp;"␟"&amp;IFERROR(INDEX(PASTE_ALL,$DF539,15)&amp;"","")&amp;"␟"&amp;IFERROR(INDEX(PASTE_ALL,$DF539,16)&amp;"","")&amp;"␟"&amp;IFERROR(INDEX(PASTE_ALL,$DF539,17)&amp;"","")&amp;"␟"&amp;IFERROR(INDEX(PASTE_ALL,$DF539,18)&amp;"","")&amp;"␟"&amp;IFERROR(INDEX(PASTE_ALL,$DF539,19)&amp;"","")&amp;"␟"&amp;IFERROR(INDEX(PASTE_ALL,$DF539,20)&amp;"","")&amp;"␟"&amp;IFERROR(INDEX(PASTE_ALL,$DF539,21)&amp;"","")&amp;"␟"&amp;IFERROR(INDEX(PASTE_ALL,$DF539,22)&amp;"","")&amp;"␟"&amp;IFERROR(INDEX(PASTE_ALL,$DF539,23)&amp;"","")&amp;"␟"&amp;IFERROR(INDEX(PASTE_ALL,$DF539,24)&amp;"","")&amp;"␟"&amp;IFERROR(INDEX(PASTE_ALL,$DF539,25)&amp;"","")&amp;"␟"&amp;IFERROR(INDEX(PASTE_ALL,$DF539,26)&amp;"","")&amp;"␟"&amp;IFERROR(INDEX(PASTE_ALL,$DF539,27)&amp;"","")&amp;"␟"&amp;IFERROR(INDEX(PASTE_ALL,$DF539,28)&amp;"","")&amp;"␟"&amp;IFERROR(INDEX(PASTE_ALL,$DF539,29)&amp;"","")&amp;"␟"&amp;IFERROR(INDEX(PASTE_ALL,$DF539,30)&amp;"","")&amp;"␟"&amp;IFERROR(INDEX(PASTE_ALL,$DF539,31)&amp;"","")&amp;"␟"&amp;IFERROR(INDEX(PASTE_ALL,$DF539,32)&amp;"","")&amp;"␟"&amp;IFERROR(INDEX(PASTE_ALL,$DF539,33)&amp;"","")&amp;"␟"&amp;IFERROR(INDEX(PASTE_ALL,$DF539,34)&amp;"","")&amp;"␟"&amp;IFERROR(INDEX(PASTE_ALL,$DF539,35)&amp;"","")&amp;"␟"&amp;IFERROR(INDEX(PASTE_ALL,$DF539,36)&amp;"","")&amp;"␟"&amp;IFERROR(INDEX(PASTE_ALL,$DF539,37)&amp;"","")&amp;"␟"&amp;IFERROR(INDEX(PASTE_ALL,$DF539,38)&amp;"","")&amp;"␟"&amp;IFERROR(INDEX(PASTE_ALL,$DF539,39)&amp;"","")&amp;"␟"&amp;IFERROR(INDEX(PASTE_ALL,$DF539,40)&amp;"","")&amp;"␟"&amp;IFERROR(INDEX(PASTE_ALL,$DF539,41)&amp;"","")&amp;"␟"&amp;IFERROR(INDEX(PASTE_ALL,$DF539,42)&amp;"","")&amp;"␟"&amp;IFERROR(INDEX(PASTE_ALL,$DF539,43)&amp;"","")&amp;"␟"&amp;IFERROR(INDEX(PASTE_ALL,$DF539,44)&amp;"","")&amp;"␟"&amp;IFERROR(INDEX(PASTE_ALL,$DF539,45)&amp;"","")&amp;"␟"&amp;IFERROR(INDEX(PASTE_ALL,$DF539,46)&amp;"","")&amp;"␟"&amp;IFERROR(INDEX(PASTE_ALL,$DF539,47)&amp;"","")&amp;"␟"&amp;IFERROR(INDEX(PASTE_ALL,$DF539,48)&amp;"","")&amp;"␟"&amp;IFERROR(INDEX(PASTE_ALL,$DF539,49)&amp;"","")&amp;"␟"&amp;IFERROR(INDEX(PASTE_ALL,$DF539,50)&amp;"","")&amp;"␟"&amp;IFERROR(INDEX(PASTE_ALL,$DF539,51)&amp;"","")&amp;"␟"&amp;IFERROR(INDEX(PASTE_ALL,$DF539,52)&amp;"","")&amp;"␟"&amp;IFERROR(INDEX(PASTE_ALL,$DF539,53)&amp;"","")&amp;"␟"&amp;IFERROR(INDEX(PASTE_ALL,$DF539,54)&amp;"","")&amp;"␟"&amp;IFERROR(INDEX(PASTE_ALL,$DF539,55)&amp;"","")&amp;"␟"&amp;IFERROR(INDEX(PASTE_ALL,$DF539,56)&amp;"","")&amp;"␟"&amp;IFERROR(INDEX(PASTE_ALL,$DF539,57)&amp;"","")&amp;"␟"&amp;IFERROR(INDEX(PASTE_ALL,$DF539,58)&amp;"","")&amp;"␟"&amp;IFERROR(INDEX(PASTE_ALL,$DF539,59)&amp;"","")&amp;"␟"&amp;IFERROR(INDEX(PASTE_ALL,$DF539,60)&amp;"","")," "," "),CHAR(9)," "),CHAR(10)," "),CHAR(13)," "))," ␟","␟"),"␟ ","␟"),"#"&amp;$DE539),"")</f>
        <v/>
      </c>
      <c r="DJ539">
        <f>IF($DI539="",0,IF(SUMPRODUCT(--EXACT($DI$4:DI538,$DI539))&gt;0,1,0))</f>
        <v/>
      </c>
      <c r="DK539">
        <f>IF(AND($DI539&lt;&gt;"",$DJ539=0),1,0)</f>
        <v/>
      </c>
      <c r="DL539">
        <f>DL538+$DK539</f>
        <v/>
      </c>
      <c r="DM539">
        <f>IF(AND($DK539=1,$DL539&lt;=600),1,0)</f>
        <v/>
      </c>
      <c r="DN539">
        <f>IF($DM539=0,"",IF($L$6=0,"",IFERROR(IF(ISNUMBER(INDEX(PASTE_ALL,$DF539,$L$6)),INDEX(PASTE_ALL,$DF539,$L$6),TRIM(SUBSTITUTE(SUBSTITUTE(SUBSTITUTE(SUBSTITUTE(INDEX(PASTE_ALL,$DF539,$L$6)," "," "),CHAR(9)," "),CHAR(10)," "),CHAR(13)," "))),"")))</f>
        <v/>
      </c>
      <c r="DO539">
        <f>IF($DM539=0,"",IF($L$7=0,"",IFERROR(IF(ISNUMBER(INDEX(PASTE_ALL,$DF539,$L$7)),INDEX(PASTE_ALL,$DF539,$L$7),TRIM(SUBSTITUTE(SUBSTITUTE(SUBSTITUTE(SUBSTITUTE(INDEX(PASTE_ALL,$DF539,$L$7)," "," "),CHAR(9)," "),CHAR(10)," "),CHAR(13)," "))),"")))</f>
        <v/>
      </c>
      <c r="DP539">
        <f>IF($DM539=0,"",IF($L$8=0,"",IFERROR(IF(ISNUMBER(INDEX(PASTE_ALL,$DF539,$L$8)),INDEX(PASTE_ALL,$DF539,$L$8),TRIM(SUBSTITUTE(SUBSTITUTE(SUBSTITUTE(SUBSTITUTE(INDEX(PASTE_ALL,$DF539,$L$8)," "," "),CHAR(9)," "),CHAR(10)," "),CHAR(13)," "))),"")))</f>
        <v/>
      </c>
      <c r="DQ539">
        <f>IF($DM539=0,"",IF($L$9=0,"",IFERROR(IF(ISNUMBER(INDEX(PASTE_ALL,$DF539,$L$9)),INDEX(PASTE_ALL,$DF539,$L$9),TRIM(SUBSTITUTE(SUBSTITUTE(SUBSTITUTE(SUBSTITUTE(INDEX(PASTE_ALL,$DF539,$L$9)," "," "),CHAR(9)," "),CHAR(10)," "),CHAR(13)," "))),"")))</f>
        <v/>
      </c>
      <c r="DR539">
        <f>IF($DM539=0,"",IF($L$10=0,"",IFERROR(IF(ISNUMBER(INDEX(PASTE_ALL,$DF539,$L$10)),INDEX(PASTE_ALL,$DF539,$L$10),TRIM(SUBSTITUTE(SUBSTITUTE(SUBSTITUTE(SUBSTITUTE(INDEX(PASTE_ALL,$DF539,$L$10)," "," "),CHAR(9)," "),CHAR(10)," "),CHAR(13)," "))),"")))</f>
        <v/>
      </c>
      <c r="DS539">
        <f>IF($DM539=0,"",IF($L$11=0,"",IFERROR(IF(ISNUMBER(INDEX(PASTE_ALL,$DF539,$L$11)),INDEX(PASTE_ALL,$DF539,$L$11),TRIM(SUBSTITUTE(SUBSTITUTE(SUBSTITUTE(SUBSTITUTE(INDEX(PASTE_ALL,$DF539,$L$11)," "," "),CHAR(9)," "),CHAR(10)," "),CHAR(13)," "))),"")))</f>
        <v/>
      </c>
      <c r="DT539">
        <f>IF($DM539=0,"",IF($L$12=0,"",IFERROR(IF(ISNUMBER(INDEX(PASTE_ALL,$DF539,$L$12)),INDEX(PASTE_ALL,$DF539,$L$12),TRIM(SUBSTITUTE(SUBSTITUTE(SUBSTITUTE(SUBSTITUTE(INDEX(PASTE_ALL,$DF539,$L$12)," "," "),CHAR(9)," "),CHAR(10)," "),CHAR(13)," "))),"")))</f>
        <v/>
      </c>
      <c r="DU539">
        <f>IF($DM539=0,"",IF($L$13=0,"",IFERROR(IF(ISNUMBER(INDEX(PASTE_ALL,$DF539,$L$13)),INDEX(PASTE_ALL,$DF539,$L$13),TRIM(SUBSTITUTE(SUBSTITUTE(SUBSTITUTE(SUBSTITUTE(INDEX(PASTE_ALL,$DF539,$L$13)," "," "),CHAR(9)," "),CHAR(10)," "),CHAR(13)," "))),"")))</f>
        <v/>
      </c>
      <c r="DV539">
        <f>IF($DM539=0,"",IF($L$14=0,"",IFERROR(IF(ISNUMBER(INDEX(PASTE_ALL,$DF539,$L$14)),INDEX(PASTE_ALL,$DF539,$L$14),TRIM(SUBSTITUTE(SUBSTITUTE(SUBSTITUTE(SUBSTITUTE(INDEX(PASTE_ALL,$DF539,$L$14)," "," "),CHAR(9)," "),CHAR(10)," "),CHAR(13)," "))),"")))</f>
        <v/>
      </c>
      <c r="DW539">
        <f>IF($DM539=0,"",IF($L$15=0,"",IFERROR(IF(ISNUMBER(INDEX(PASTE_ALL,$DF539,$L$15)),INDEX(PASTE_ALL,$DF539,$L$15),IF(SUMPRODUCT(--ISNUMBER(FIND({"A","B","C","D","E","F","G","H","I","J","K","L","M","N","O","P","Q","R","S","T","U","V","W","X","Y","Z","0","1","2","3","4","5","6","7","8","9"},UPPER(TRIM(SUBSTITUTE(SUBSTITUTE(SUBSTITUTE(SUBSTITUTE(INDEX(PASTE_ALL,$DF539,$L$15)," "," "),CHAR(9)," "),CHAR(10)," "),CHAR(13)," "))))))&gt;0,TRIM(SUBSTITUTE(SUBSTITUTE(SUBSTITUTE(SUBSTITUTE(INDEX(PASTE_ALL,$DF539,$L$15)," "," "),CHAR(9)," "),CHAR(10)," "),CHAR(13)," ")),"")),"")))</f>
        <v/>
      </c>
      <c r="DX539">
        <f>IF($DM539=0,"",IF($L$16=0,"",IFERROR(IF(ISNUMBER(INDEX(PASTE_ALL,$DF539,$L$16)),INDEX(PASTE_ALL,$DF539,$L$16),SUBSTITUTE(SUBSTITUTE(TRIM(SUBSTITUTE(SUBSTITUTE(SUBSTITUTE(SUBSTITUTE(INDEX(PASTE_ALL,$DF539,$L$16)," "," "),CHAR(9)," "),CHAR(10)," "),CHAR(13)," ")),",",""),"%","")),"")))</f>
        <v/>
      </c>
      <c r="DY539">
        <f>IF($DM539=0,"",IFERROR(IF(ISNUMBER($DX539),$DX539,IF($DX539="","",IF(TRIM($DX539)="",0,IF(AND(AND(SUBSTITUTE(SUBSTITUTE(SUBSTITUTE(SUBSTITUTE(SUBSTITUTE(SUBSTITUTE(SUBSTITUTE(SUBSTITUTE(SUBSTITUTE(SUBSTITUTE(SUBSTITUTE(SUBSTITUTE(SUBSTITUTE(SUBSTITUTE(UPPER(TRIM($DX539)),"0",""),"1",""),"2",""),"3",""),"4",""),"5",""),"6",""),"7",""),"8",""),"9",""),".",""),"+",""),"-",""),"E","")="",LEN(SUBSTITUTE(SUBSTITUTE(MID(UPPER(TRIM($DX539)),1+OR(LEFT(UPPER(TRIM($DX539)),1)="+",LEFT(UPPER(TRIM($DX539)),1)="-"),999),"E+","E"),"E-","E"))=LEN(SUBSTITUTE(SUBSTITUTE(SUBSTITUTE(SUBSTITUTE(MID(UPPER(TRIM($DX539)),1+OR(LEFT(UPPER(TRIM($DX539)),1)="+",LEFT(UPPER(TRIM($DX539)),1)="-"),999),"E+","E"),"E-","E"),"+",""),"-","")),LEN(UPPER(TRIM($DX539)))-LEN(SUBSTITUTE(UPPER(TRIM($DX539)),"E",""))&lt;2,LEN(UPPER(TRIM($DX539)))-LEN(SUBSTITUTE(UPPER(TRIM($DX539)),".",""))&lt;2,IFERROR(FIND(".",UPPER(TRIM($DX539))),0)&lt;IFERROR(FIND("E",UPPER(TRIM($DX539))),999)),ISNUMBER(VALUE(TRIM($DX539)))),VALUE(TRIM($DX539)),"")))),""))</f>
        <v/>
      </c>
      <c r="DZ539">
        <f>IF($DM539=0,"",IF($L$17=0,"",IFERROR(IF(ISNUMBER(INDEX(PASTE_ALL,$DF539,$L$17)),INDEX(PASTE_ALL,$DF539,$L$17),SUBSTITUTE(SUBSTITUTE(TRIM(SUBSTITUTE(SUBSTITUTE(SUBSTITUTE(SUBSTITUTE(INDEX(PASTE_ALL,$DF539,$L$17)," "," "),CHAR(9)," "),CHAR(10)," "),CHAR(13)," ")),",",""),"%","")),"")))</f>
        <v/>
      </c>
      <c r="EA539">
        <f>IF($DM539=0,"",IFERROR(IF(ISNUMBER($DZ539),$DZ539,IF($DZ539="","",IF(TRIM($DZ539)="",0,IF(AND(AND(SUBSTITUTE(SUBSTITUTE(SUBSTITUTE(SUBSTITUTE(SUBSTITUTE(SUBSTITUTE(SUBSTITUTE(SUBSTITUTE(SUBSTITUTE(SUBSTITUTE(SUBSTITUTE(SUBSTITUTE(SUBSTITUTE(SUBSTITUTE(UPPER(TRIM($DZ539)),"0",""),"1",""),"2",""),"3",""),"4",""),"5",""),"6",""),"7",""),"8",""),"9",""),".",""),"+",""),"-",""),"E","")="",LEN(SUBSTITUTE(SUBSTITUTE(MID(UPPER(TRIM($DZ539)),1+OR(LEFT(UPPER(TRIM($DZ539)),1)="+",LEFT(UPPER(TRIM($DZ539)),1)="-"),999),"E+","E"),"E-","E"))=LEN(SUBSTITUTE(SUBSTITUTE(SUBSTITUTE(SUBSTITUTE(MID(UPPER(TRIM($DZ539)),1+OR(LEFT(UPPER(TRIM($DZ539)),1)="+",LEFT(UPPER(TRIM($DZ539)),1)="-"),999),"E+","E"),"E-","E"),"+",""),"-","")),LEN(UPPER(TRIM($DZ539)))-LEN(SUBSTITUTE(UPPER(TRIM($DZ539)),"E",""))&lt;2,LEN(UPPER(TRIM($DZ539)))-LEN(SUBSTITUTE(UPPER(TRIM($DZ539)),".",""))&lt;2,IFERROR(FIND(".",UPPER(TRIM($DZ539))),0)&lt;IFERROR(FIND("E",UPPER(TRIM($DZ539))),999)),ISNUMBER(VALUE(TRIM($DZ539)))),VALUE(TRIM($DZ539)),"")))),""))</f>
        <v/>
      </c>
      <c r="EB539">
        <f>IF($DM539=0,"",IF($L$18=0,"",IFERROR(IF(UPPER(TRIM(SUBSTITUTE(SUBSTITUTE(SUBSTITUTE(SUBSTITUTE(INDEX(PASTE_ALL,$DF539,$L$18)," "," "),CHAR(9)," "),CHAR(10)," "),CHAR(13)," ")))="READY","Ready",IF(UPPER(TRIM(SUBSTITUTE(SUBSTITUTE(SUBSTITUTE(SUBSTITUTE(INDEX(PASTE_ALL,$DF539,$L$18)," "," "),CHAR(9)," "),CHAR(10)," "),CHAR(13)," ")))="PM","PM",IF(OR(UPPER(TRIM(SUBSTITUTE(SUBSTITUTE(SUBSTITUTE(SUBSTITUTE(INDEX(PASTE_ALL,$DF539,$L$18)," "," "),CHAR(9)," "),CHAR(10)," "),CHAR(13)," ")))="OT",UPPER(TRIM(SUBSTITUTE(SUBSTITUTE(SUBSTITUTE(SUBSTITUTE(INDEX(PASTE_ALL,$DF539,$L$18)," "," "),CHAR(9)," "),CHAR(10)," "),CHAR(13)," ")))="OVERTIME",UPPER(TRIM(SUBSTITUTE(SUBSTITUTE(SUBSTITUTE(SUBSTITUTE(INDEX(PASTE_ALL,$DF539,$L$18)," "," "),CHAR(9)," "),CHAR(10)," "),CHAR(13)," ")))="TRIAL"),"OT",TRIM(SUBSTITUTE(SUBSTITUTE(SUBSTITUTE(SUBSTITUTE(INDEX(PASTE_ALL,$DF539,$L$18)," "," "),CHAR(9)," "),CHAR(10)," "),CHAR(13)," "))))),"")))</f>
        <v/>
      </c>
      <c r="EC539">
        <f>IF($DM539=0,"",IF($L$19=0,"",IFERROR(IF(ISNUMBER(INDEX(PASTE_ALL,$DF539,$L$19)),INDEX(PASTE_ALL,$DF539,$L$19),TRIM(SUBSTITUTE(SUBSTITUTE(SUBSTITUTE(SUBSTITUTE(INDEX(PASTE_ALL,$DF539,$L$19)," "," "),CHAR(9)," "),CHAR(10)," "),CHAR(13)," "))),"")))</f>
        <v/>
      </c>
      <c r="ED539">
        <f>IF($DM539=0,"",MATCH(1,INDEX(EXACT($DH$5:DH539,$DH539)*$DM$5:DM539,0),0))</f>
        <v/>
      </c>
      <c r="EE539">
        <f>IF($DM539=0,0,IF($ED539=$DE539,1,0))</f>
        <v/>
      </c>
      <c r="EF539">
        <f>EF538+$EE539</f>
        <v/>
      </c>
      <c r="EG539">
        <f>IF($DM539=0,"",INDEX($EF$5:$EF$1003,$ED539))</f>
        <v/>
      </c>
      <c r="EH539">
        <f>IF($DM539=0,"",IF($DO539&lt;&gt;"","",IFERROR(LOOKUP(2,1/(($EG$4:EG538=$EG539)*($DO$4:DO538&lt;&gt;"")),$DO$4:DO538),"")))</f>
        <v/>
      </c>
      <c r="EI539">
        <f>IF($DM539=0,"",IF($DO539&lt;&gt;"",$DO539,$EH539))</f>
        <v/>
      </c>
      <c r="EJ539">
        <f>IF($DM539=0,"",IF($EI539="",0,IF(OR(ISNUMBER($EI539),AND(AND(SUBSTITUTE(SUBSTITUTE(SUBSTITUTE(SUBSTITUTE(SUBSTITUTE(SUBSTITUTE(SUBSTITUTE(SUBSTITUTE(SUBSTITUTE(SUBSTITUTE(SUBSTITUTE(SUBSTITUTE(SUBSTITUTE(SUBSTITUTE(UPPER($EI539),"0",""),"1",""),"2",""),"3",""),"4",""),"5",""),"6",""),"7",""),"8",""),"9",""),".",""),"+",""),"-",""),"E","")="",LEN(SUBSTITUTE(SUBSTITUTE(MID(UPPER($EI539),1+OR(LEFT(UPPER($EI539),1)="+",LEFT(UPPER($EI539),1)="-"),999),"E+","E"),"E-","E"))=LEN(SUBSTITUTE(SUBSTITUTE(SUBSTITUTE(SUBSTITUTE(MID(UPPER($EI539),1+OR(LEFT(UPPER($EI539),1)="+",LEFT(UPPER($EI539),1)="-"),999),"E+","E"),"E-","E"),"+",""),"-","")),LEN(UPPER($EI539))-LEN(SUBSTITUTE(UPPER($EI539),"E",""))&lt;2,LEN(UPPER($EI539))-LEN(SUBSTITUTE(UPPER($EI539),".",""))&lt;2,IFERROR(FIND(".",UPPER($EI539)),0)&lt;IFERROR(FIND("E",UPPER($EI539)),999)),ISNUMBER(VALUE($EI539)))),1,2)))</f>
        <v/>
      </c>
      <c r="EK539">
        <f>IF($DM539=0,"",IF($EJ539=1,IF(ISNUMBER($EI539),$EI539,VALUE($EI539)),IF($EJ539=2,$DE539,0)))</f>
        <v/>
      </c>
      <c r="EL539">
        <f>IF($DM539=0,"",COUNTIF($EG$5:$EG$1003,"&lt;"&amp;$EG539)+SUMPRODUCT(($EG$5:$EG$1003=$EG539)*(($EJ$5:$EJ$1003&lt;$EJ539)+($EJ$5:$EJ$1003=$EJ539)*(($EK$5:$EK$1003&lt;$EK539)+($EK$5:$EK$1003=$EK539)*($DE$5:$DE$1003&lt;$DE539))))+1)</f>
        <v/>
      </c>
      <c r="EM539">
        <f>IF($DM539=0,"",$EL539+$EG539-1)</f>
        <v/>
      </c>
      <c r="EN539">
        <f>IF($DM539=0,0,IFERROR(MATCH(1,INDEX(--(TRIM(SUBSTITUTE(SUBSTITUTE(SUBSTITUTE(SUBSTITUTE(LINES_NAME&amp;""," "," "),CHAR(9)," "),CHAR(10)," "),CHAR(13)," "))=$DH539),0),0),0))</f>
        <v/>
      </c>
      <c r="EO539">
        <f>IF($EN539=0,0,IF(OR(UPPER(TRIM(INDEX(LINES_SCHEDULED,$EN539)&amp;""))="YES",UPPER(TRIM(INDEX(LINES_SCHEDULED,$EN539)&amp;""))="Y",UPPER(TRIM(INDEX(LINES_SCHEDULED,$EN539)&amp;""))="X"),1,0))</f>
        <v/>
      </c>
      <c r="EP539">
        <f>IF($DM539=0,"",IF(COUNTIFS($EG$5:$EG$1003,$EG539,$EB$5:$EB$1003,"Ready")&gt;0,"READY",IF(COUNTIFS($EG$5:$EG$1003,$EG539,$EB$5:$EB$1003,"PM")&gt;0,"PM",IF(COUNTIFS($EG$5:$EG$1003,$EG539,$EB$5:$EB$1003,"OT")&gt;0,"OT",""))))</f>
        <v/>
      </c>
      <c r="EQ539">
        <f>IF($EN539=0,"",UPPER(TRIM(INDEX(LINES_STATUS,$EN539)&amp;"")))</f>
        <v/>
      </c>
      <c r="ER539">
        <f>IF($DM539=0,"",IF(OR($EQ539="READY",$EQ539="PM",$EQ539="OT"),$EQ539,$EP539))</f>
        <v/>
      </c>
      <c r="ES539">
        <f>IF($DM539=0,"",IF(AND($DV539&lt;&gt;"",UPPER($DV539)&lt;&gt;"N"),"allergen",IF(ISNUMBER(SEARCH("oil",$DQ539)),"oil",IF(OR(EXACT($DS539,"A662"),EXACT($DS539,"A624")),"bulk",""))))</f>
        <v/>
      </c>
      <c r="ET539">
        <f>IF($DM539=0,"",IF(OR($EA539="",$EA539=0),"",$EA539/100))</f>
        <v/>
      </c>
      <c r="EU539">
        <f>IF(OR($ET539="",$DY539=""),"",INT($DY539*(1-$ET539)+0.5))</f>
        <v/>
      </c>
      <c r="EW539" t="n">
        <v>535</v>
      </c>
      <c r="EX539">
        <f>IFERROR(MATCH($EW539,$EM$5:$EM$1003,0),0)</f>
        <v/>
      </c>
      <c r="EY539">
        <f>IF($EW539&gt;$B$12,"",IF($EX539&gt;0,"row","spacer"))</f>
        <v/>
      </c>
      <c r="EZ539">
        <f>IF(AND($EY539="row",$EY538&lt;&gt;"row"),1,0)</f>
        <v/>
      </c>
      <c r="FA539">
        <f>IF(AND($EY539="row",$EY540&lt;&gt;"row"),1,0)</f>
        <v/>
      </c>
      <c r="FB539">
        <f>IF($EZ539=1,IFERROR(IF(ISNUMBER(INDEX(PASTE_ALL,INDEX($DF$5:$DF$1003,$EX539),$B$37)),INDEX(PASTE_ALL,INDEX($DF$5:$DF$1003,$EX539),$B$37),INDEX($DH$5:$DH$1003,$EX539)),INDEX($DH$5:$DH$1003,$EX539)),"")</f>
        <v/>
      </c>
      <c r="FC539">
        <f>IF($EY539="row",INDEX($ER$5:$ER$1003,$EX539),"")</f>
        <v/>
      </c>
      <c r="FD539">
        <f>IF($EY539="row",INDEX($DN$5:$DN$1003,$EX539),"")</f>
        <v/>
      </c>
      <c r="FE539">
        <f>IF($EY539="row",INDEX($DO$5:$DO$1003,$EX539),"")</f>
        <v/>
      </c>
      <c r="FF539">
        <f>IF($EY539="row",INDEX($DP$5:$DP$1003,$EX539),"")</f>
        <v/>
      </c>
      <c r="FG539">
        <f>IF($EY539="row",INDEX($DQ$5:$DQ$1003,$EX539),"")</f>
        <v/>
      </c>
      <c r="FH539">
        <f>IF($EY539="row",INDEX($DR$5:$DR$1003,$EX539),"")</f>
        <v/>
      </c>
      <c r="FI539">
        <f>IF($EY539="row",INDEX($DS$5:$DS$1003,$EX539),"")</f>
        <v/>
      </c>
      <c r="FJ539">
        <f>IF($EY539="row",INDEX($DT$5:$DT$1003,$EX539),"")</f>
        <v/>
      </c>
      <c r="FK539">
        <f>IF($EY539="row",INDEX($DU$5:$DU$1003,$EX539),"")</f>
        <v/>
      </c>
      <c r="FL539">
        <f>IF($EY539="row",INDEX($DV$5:$DV$1003,$EX539),"")</f>
        <v/>
      </c>
      <c r="FM539">
        <f>IF($EY539="row",INDEX($DW$5:$DW$1003,$EX539),"")</f>
        <v/>
      </c>
      <c r="FN539">
        <f>IF($EY539="row",INDEX($DY$5:$DY$1003,$EX539),"")</f>
        <v/>
      </c>
      <c r="FO539">
        <f>IF($EY539="row",INDEX($EA$5:$EA$1003,$EX539),"")</f>
        <v/>
      </c>
      <c r="FP539">
        <f>IF($EY539="row",INDEX($EC$5:$EC$1003,$EX539),"")</f>
        <v/>
      </c>
      <c r="FQ539">
        <f>IF($EY539="row",INDEX($ET$5:$ET$1003,$EX539),"")</f>
        <v/>
      </c>
      <c r="FR539">
        <f>IF($EY539="row",INDEX($EU$5:$EU$1003,$EX539),"")</f>
        <v/>
      </c>
      <c r="FS539">
        <f>IF(AND($EY539="row",$EY538="row"),IF(OR(INDEX($DT$5:$DT$1003,$EX538)="",INDEX($DT$5:$DT$1003,$EX539)=""),"",IF(NOT(EXACT(INDEX($DT$5:$DT$1003,$EX538),INDEX($DT$5:$DT$1003,$EX539))),"S4",IF(NOT(EXACT(INDEX($DS$5:$DS$1003,$EX538),INDEX($DS$5:$DS$1003,$EX539))),"S3",IF(NOT(EXACT(INDEX($DR$5:$DR$1003,$EX538),INDEX($DR$5:$DR$1003,$EX539))),"S1 Count Change","S1")))),"")</f>
        <v/>
      </c>
      <c r="FT539">
        <f>IF($EY539="row",INDEX($ES$5:$ES$1003,$EX539),"")</f>
        <v/>
      </c>
      <c r="FU539">
        <f>IF($EY539="row",INDEX($EO$5:$EO$1003,$EX539),0)</f>
        <v/>
      </c>
      <c r="FV539">
        <f>IF($FS539="S1 Count Change",1,0)</f>
        <v/>
      </c>
    </row>
    <row r="540">
      <c r="DA540" t="n">
        <v>536</v>
      </c>
      <c r="DB540">
        <f>IF($B$37=0,"",IFERROR(TRIM(SUBSTITUTE(SUBSTITUTE(SUBSTITUTE(SUBSTITUTE(INDEX(PASTE_ALL,536,$B$37)," "," "),CHAR(9)," "),CHAR(10)," "),CHAR(13)," ")),""))</f>
        <v/>
      </c>
      <c r="DC540">
        <f>IF(AND(536&gt;HEADER_ROW,UPPER(DB540)="LEGEND"),1,0)</f>
        <v/>
      </c>
      <c r="DE540" t="n">
        <v>536</v>
      </c>
      <c r="DF540">
        <f>HEADER_ROW+$DE540</f>
        <v/>
      </c>
      <c r="DG540">
        <f>IF(AND($DF540&lt;=1000,$DF540&lt;$B$8),1,0)</f>
        <v/>
      </c>
      <c r="DH540">
        <f>IF($DG540=1,IFERROR(INDEX($DB$5:$DB$1004,$DF540),""),"")</f>
        <v/>
      </c>
      <c r="DI540">
        <f>IF(AND($DG540=1,$DH540&lt;&gt;""),IFERROR(SUBSTITUTE(SUBSTITUTE(TRIM(SUBSTITUTE(SUBSTITUTE(SUBSTITUTE(SUBSTITUTE(IFERROR(INDEX(PASTE_ALL,$DF540,1)&amp;"","")&amp;"␟"&amp;IFERROR(INDEX(PASTE_ALL,$DF540,2)&amp;"","")&amp;"␟"&amp;IFERROR(INDEX(PASTE_ALL,$DF540,3)&amp;"","")&amp;"␟"&amp;IFERROR(INDEX(PASTE_ALL,$DF540,4)&amp;"","")&amp;"␟"&amp;IFERROR(INDEX(PASTE_ALL,$DF540,5)&amp;"","")&amp;"␟"&amp;IFERROR(INDEX(PASTE_ALL,$DF540,6)&amp;"","")&amp;"␟"&amp;IFERROR(INDEX(PASTE_ALL,$DF540,7)&amp;"","")&amp;"␟"&amp;IFERROR(INDEX(PASTE_ALL,$DF540,8)&amp;"","")&amp;"␟"&amp;IFERROR(INDEX(PASTE_ALL,$DF540,9)&amp;"","")&amp;"␟"&amp;IFERROR(INDEX(PASTE_ALL,$DF540,10)&amp;"","")&amp;"␟"&amp;IFERROR(INDEX(PASTE_ALL,$DF540,11)&amp;"","")&amp;"␟"&amp;IFERROR(INDEX(PASTE_ALL,$DF540,12)&amp;"","")&amp;"␟"&amp;IFERROR(INDEX(PASTE_ALL,$DF540,13)&amp;"","")&amp;"␟"&amp;IFERROR(INDEX(PASTE_ALL,$DF540,14)&amp;"","")&amp;"␟"&amp;IFERROR(INDEX(PASTE_ALL,$DF540,15)&amp;"","")&amp;"␟"&amp;IFERROR(INDEX(PASTE_ALL,$DF540,16)&amp;"","")&amp;"␟"&amp;IFERROR(INDEX(PASTE_ALL,$DF540,17)&amp;"","")&amp;"␟"&amp;IFERROR(INDEX(PASTE_ALL,$DF540,18)&amp;"","")&amp;"␟"&amp;IFERROR(INDEX(PASTE_ALL,$DF540,19)&amp;"","")&amp;"␟"&amp;IFERROR(INDEX(PASTE_ALL,$DF540,20)&amp;"","")&amp;"␟"&amp;IFERROR(INDEX(PASTE_ALL,$DF540,21)&amp;"","")&amp;"␟"&amp;IFERROR(INDEX(PASTE_ALL,$DF540,22)&amp;"","")&amp;"␟"&amp;IFERROR(INDEX(PASTE_ALL,$DF540,23)&amp;"","")&amp;"␟"&amp;IFERROR(INDEX(PASTE_ALL,$DF540,24)&amp;"","")&amp;"␟"&amp;IFERROR(INDEX(PASTE_ALL,$DF540,25)&amp;"","")&amp;"␟"&amp;IFERROR(INDEX(PASTE_ALL,$DF540,26)&amp;"","")&amp;"␟"&amp;IFERROR(INDEX(PASTE_ALL,$DF540,27)&amp;"","")&amp;"␟"&amp;IFERROR(INDEX(PASTE_ALL,$DF540,28)&amp;"","")&amp;"␟"&amp;IFERROR(INDEX(PASTE_ALL,$DF540,29)&amp;"","")&amp;"␟"&amp;IFERROR(INDEX(PASTE_ALL,$DF540,30)&amp;"","")&amp;"␟"&amp;IFERROR(INDEX(PASTE_ALL,$DF540,31)&amp;"","")&amp;"␟"&amp;IFERROR(INDEX(PASTE_ALL,$DF540,32)&amp;"","")&amp;"␟"&amp;IFERROR(INDEX(PASTE_ALL,$DF540,33)&amp;"","")&amp;"␟"&amp;IFERROR(INDEX(PASTE_ALL,$DF540,34)&amp;"","")&amp;"␟"&amp;IFERROR(INDEX(PASTE_ALL,$DF540,35)&amp;"","")&amp;"␟"&amp;IFERROR(INDEX(PASTE_ALL,$DF540,36)&amp;"","")&amp;"␟"&amp;IFERROR(INDEX(PASTE_ALL,$DF540,37)&amp;"","")&amp;"␟"&amp;IFERROR(INDEX(PASTE_ALL,$DF540,38)&amp;"","")&amp;"␟"&amp;IFERROR(INDEX(PASTE_ALL,$DF540,39)&amp;"","")&amp;"␟"&amp;IFERROR(INDEX(PASTE_ALL,$DF540,40)&amp;"","")&amp;"␟"&amp;IFERROR(INDEX(PASTE_ALL,$DF540,41)&amp;"","")&amp;"␟"&amp;IFERROR(INDEX(PASTE_ALL,$DF540,42)&amp;"","")&amp;"␟"&amp;IFERROR(INDEX(PASTE_ALL,$DF540,43)&amp;"","")&amp;"␟"&amp;IFERROR(INDEX(PASTE_ALL,$DF540,44)&amp;"","")&amp;"␟"&amp;IFERROR(INDEX(PASTE_ALL,$DF540,45)&amp;"","")&amp;"␟"&amp;IFERROR(INDEX(PASTE_ALL,$DF540,46)&amp;"","")&amp;"␟"&amp;IFERROR(INDEX(PASTE_ALL,$DF540,47)&amp;"","")&amp;"␟"&amp;IFERROR(INDEX(PASTE_ALL,$DF540,48)&amp;"","")&amp;"␟"&amp;IFERROR(INDEX(PASTE_ALL,$DF540,49)&amp;"","")&amp;"␟"&amp;IFERROR(INDEX(PASTE_ALL,$DF540,50)&amp;"","")&amp;"␟"&amp;IFERROR(INDEX(PASTE_ALL,$DF540,51)&amp;"","")&amp;"␟"&amp;IFERROR(INDEX(PASTE_ALL,$DF540,52)&amp;"","")&amp;"␟"&amp;IFERROR(INDEX(PASTE_ALL,$DF540,53)&amp;"","")&amp;"␟"&amp;IFERROR(INDEX(PASTE_ALL,$DF540,54)&amp;"","")&amp;"␟"&amp;IFERROR(INDEX(PASTE_ALL,$DF540,55)&amp;"","")&amp;"␟"&amp;IFERROR(INDEX(PASTE_ALL,$DF540,56)&amp;"","")&amp;"␟"&amp;IFERROR(INDEX(PASTE_ALL,$DF540,57)&amp;"","")&amp;"␟"&amp;IFERROR(INDEX(PASTE_ALL,$DF540,58)&amp;"","")&amp;"␟"&amp;IFERROR(INDEX(PASTE_ALL,$DF540,59)&amp;"","")&amp;"␟"&amp;IFERROR(INDEX(PASTE_ALL,$DF540,60)&amp;"","")," "," "),CHAR(9)," "),CHAR(10)," "),CHAR(13)," "))," ␟","␟"),"␟ ","␟"),"#"&amp;$DE540),"")</f>
        <v/>
      </c>
      <c r="DJ540">
        <f>IF($DI540="",0,IF(SUMPRODUCT(--EXACT($DI$4:DI539,$DI540))&gt;0,1,0))</f>
        <v/>
      </c>
      <c r="DK540">
        <f>IF(AND($DI540&lt;&gt;"",$DJ540=0),1,0)</f>
        <v/>
      </c>
      <c r="DL540">
        <f>DL539+$DK540</f>
        <v/>
      </c>
      <c r="DM540">
        <f>IF(AND($DK540=1,$DL540&lt;=600),1,0)</f>
        <v/>
      </c>
      <c r="DN540">
        <f>IF($DM540=0,"",IF($L$6=0,"",IFERROR(IF(ISNUMBER(INDEX(PASTE_ALL,$DF540,$L$6)),INDEX(PASTE_ALL,$DF540,$L$6),TRIM(SUBSTITUTE(SUBSTITUTE(SUBSTITUTE(SUBSTITUTE(INDEX(PASTE_ALL,$DF540,$L$6)," "," "),CHAR(9)," "),CHAR(10)," "),CHAR(13)," "))),"")))</f>
        <v/>
      </c>
      <c r="DO540">
        <f>IF($DM540=0,"",IF($L$7=0,"",IFERROR(IF(ISNUMBER(INDEX(PASTE_ALL,$DF540,$L$7)),INDEX(PASTE_ALL,$DF540,$L$7),TRIM(SUBSTITUTE(SUBSTITUTE(SUBSTITUTE(SUBSTITUTE(INDEX(PASTE_ALL,$DF540,$L$7)," "," "),CHAR(9)," "),CHAR(10)," "),CHAR(13)," "))),"")))</f>
        <v/>
      </c>
      <c r="DP540">
        <f>IF($DM540=0,"",IF($L$8=0,"",IFERROR(IF(ISNUMBER(INDEX(PASTE_ALL,$DF540,$L$8)),INDEX(PASTE_ALL,$DF540,$L$8),TRIM(SUBSTITUTE(SUBSTITUTE(SUBSTITUTE(SUBSTITUTE(INDEX(PASTE_ALL,$DF540,$L$8)," "," "),CHAR(9)," "),CHAR(10)," "),CHAR(13)," "))),"")))</f>
        <v/>
      </c>
      <c r="DQ540">
        <f>IF($DM540=0,"",IF($L$9=0,"",IFERROR(IF(ISNUMBER(INDEX(PASTE_ALL,$DF540,$L$9)),INDEX(PASTE_ALL,$DF540,$L$9),TRIM(SUBSTITUTE(SUBSTITUTE(SUBSTITUTE(SUBSTITUTE(INDEX(PASTE_ALL,$DF540,$L$9)," "," "),CHAR(9)," "),CHAR(10)," "),CHAR(13)," "))),"")))</f>
        <v/>
      </c>
      <c r="DR540">
        <f>IF($DM540=0,"",IF($L$10=0,"",IFERROR(IF(ISNUMBER(INDEX(PASTE_ALL,$DF540,$L$10)),INDEX(PASTE_ALL,$DF540,$L$10),TRIM(SUBSTITUTE(SUBSTITUTE(SUBSTITUTE(SUBSTITUTE(INDEX(PASTE_ALL,$DF540,$L$10)," "," "),CHAR(9)," "),CHAR(10)," "),CHAR(13)," "))),"")))</f>
        <v/>
      </c>
      <c r="DS540">
        <f>IF($DM540=0,"",IF($L$11=0,"",IFERROR(IF(ISNUMBER(INDEX(PASTE_ALL,$DF540,$L$11)),INDEX(PASTE_ALL,$DF540,$L$11),TRIM(SUBSTITUTE(SUBSTITUTE(SUBSTITUTE(SUBSTITUTE(INDEX(PASTE_ALL,$DF540,$L$11)," "," "),CHAR(9)," "),CHAR(10)," "),CHAR(13)," "))),"")))</f>
        <v/>
      </c>
      <c r="DT540">
        <f>IF($DM540=0,"",IF($L$12=0,"",IFERROR(IF(ISNUMBER(INDEX(PASTE_ALL,$DF540,$L$12)),INDEX(PASTE_ALL,$DF540,$L$12),TRIM(SUBSTITUTE(SUBSTITUTE(SUBSTITUTE(SUBSTITUTE(INDEX(PASTE_ALL,$DF540,$L$12)," "," "),CHAR(9)," "),CHAR(10)," "),CHAR(13)," "))),"")))</f>
        <v/>
      </c>
      <c r="DU540">
        <f>IF($DM540=0,"",IF($L$13=0,"",IFERROR(IF(ISNUMBER(INDEX(PASTE_ALL,$DF540,$L$13)),INDEX(PASTE_ALL,$DF540,$L$13),TRIM(SUBSTITUTE(SUBSTITUTE(SUBSTITUTE(SUBSTITUTE(INDEX(PASTE_ALL,$DF540,$L$13)," "," "),CHAR(9)," "),CHAR(10)," "),CHAR(13)," "))),"")))</f>
        <v/>
      </c>
      <c r="DV540">
        <f>IF($DM540=0,"",IF($L$14=0,"",IFERROR(IF(ISNUMBER(INDEX(PASTE_ALL,$DF540,$L$14)),INDEX(PASTE_ALL,$DF540,$L$14),TRIM(SUBSTITUTE(SUBSTITUTE(SUBSTITUTE(SUBSTITUTE(INDEX(PASTE_ALL,$DF540,$L$14)," "," "),CHAR(9)," "),CHAR(10)," "),CHAR(13)," "))),"")))</f>
        <v/>
      </c>
      <c r="DW540">
        <f>IF($DM540=0,"",IF($L$15=0,"",IFERROR(IF(ISNUMBER(INDEX(PASTE_ALL,$DF540,$L$15)),INDEX(PASTE_ALL,$DF540,$L$15),IF(SUMPRODUCT(--ISNUMBER(FIND({"A","B","C","D","E","F","G","H","I","J","K","L","M","N","O","P","Q","R","S","T","U","V","W","X","Y","Z","0","1","2","3","4","5","6","7","8","9"},UPPER(TRIM(SUBSTITUTE(SUBSTITUTE(SUBSTITUTE(SUBSTITUTE(INDEX(PASTE_ALL,$DF540,$L$15)," "," "),CHAR(9)," "),CHAR(10)," "),CHAR(13)," "))))))&gt;0,TRIM(SUBSTITUTE(SUBSTITUTE(SUBSTITUTE(SUBSTITUTE(INDEX(PASTE_ALL,$DF540,$L$15)," "," "),CHAR(9)," "),CHAR(10)," "),CHAR(13)," ")),"")),"")))</f>
        <v/>
      </c>
      <c r="DX540">
        <f>IF($DM540=0,"",IF($L$16=0,"",IFERROR(IF(ISNUMBER(INDEX(PASTE_ALL,$DF540,$L$16)),INDEX(PASTE_ALL,$DF540,$L$16),SUBSTITUTE(SUBSTITUTE(TRIM(SUBSTITUTE(SUBSTITUTE(SUBSTITUTE(SUBSTITUTE(INDEX(PASTE_ALL,$DF540,$L$16)," "," "),CHAR(9)," "),CHAR(10)," "),CHAR(13)," ")),",",""),"%","")),"")))</f>
        <v/>
      </c>
      <c r="DY540">
        <f>IF($DM540=0,"",IFERROR(IF(ISNUMBER($DX540),$DX540,IF($DX540="","",IF(TRIM($DX540)="",0,IF(AND(AND(SUBSTITUTE(SUBSTITUTE(SUBSTITUTE(SUBSTITUTE(SUBSTITUTE(SUBSTITUTE(SUBSTITUTE(SUBSTITUTE(SUBSTITUTE(SUBSTITUTE(SUBSTITUTE(SUBSTITUTE(SUBSTITUTE(SUBSTITUTE(UPPER(TRIM($DX540)),"0",""),"1",""),"2",""),"3",""),"4",""),"5",""),"6",""),"7",""),"8",""),"9",""),".",""),"+",""),"-",""),"E","")="",LEN(SUBSTITUTE(SUBSTITUTE(MID(UPPER(TRIM($DX540)),1+OR(LEFT(UPPER(TRIM($DX540)),1)="+",LEFT(UPPER(TRIM($DX540)),1)="-"),999),"E+","E"),"E-","E"))=LEN(SUBSTITUTE(SUBSTITUTE(SUBSTITUTE(SUBSTITUTE(MID(UPPER(TRIM($DX540)),1+OR(LEFT(UPPER(TRIM($DX540)),1)="+",LEFT(UPPER(TRIM($DX540)),1)="-"),999),"E+","E"),"E-","E"),"+",""),"-","")),LEN(UPPER(TRIM($DX540)))-LEN(SUBSTITUTE(UPPER(TRIM($DX540)),"E",""))&lt;2,LEN(UPPER(TRIM($DX540)))-LEN(SUBSTITUTE(UPPER(TRIM($DX540)),".",""))&lt;2,IFERROR(FIND(".",UPPER(TRIM($DX540))),0)&lt;IFERROR(FIND("E",UPPER(TRIM($DX540))),999)),ISNUMBER(VALUE(TRIM($DX540)))),VALUE(TRIM($DX540)),"")))),""))</f>
        <v/>
      </c>
      <c r="DZ540">
        <f>IF($DM540=0,"",IF($L$17=0,"",IFERROR(IF(ISNUMBER(INDEX(PASTE_ALL,$DF540,$L$17)),INDEX(PASTE_ALL,$DF540,$L$17),SUBSTITUTE(SUBSTITUTE(TRIM(SUBSTITUTE(SUBSTITUTE(SUBSTITUTE(SUBSTITUTE(INDEX(PASTE_ALL,$DF540,$L$17)," "," "),CHAR(9)," "),CHAR(10)," "),CHAR(13)," ")),",",""),"%","")),"")))</f>
        <v/>
      </c>
      <c r="EA540">
        <f>IF($DM540=0,"",IFERROR(IF(ISNUMBER($DZ540),$DZ540,IF($DZ540="","",IF(TRIM($DZ540)="",0,IF(AND(AND(SUBSTITUTE(SUBSTITUTE(SUBSTITUTE(SUBSTITUTE(SUBSTITUTE(SUBSTITUTE(SUBSTITUTE(SUBSTITUTE(SUBSTITUTE(SUBSTITUTE(SUBSTITUTE(SUBSTITUTE(SUBSTITUTE(SUBSTITUTE(UPPER(TRIM($DZ540)),"0",""),"1",""),"2",""),"3",""),"4",""),"5",""),"6",""),"7",""),"8",""),"9",""),".",""),"+",""),"-",""),"E","")="",LEN(SUBSTITUTE(SUBSTITUTE(MID(UPPER(TRIM($DZ540)),1+OR(LEFT(UPPER(TRIM($DZ540)),1)="+",LEFT(UPPER(TRIM($DZ540)),1)="-"),999),"E+","E"),"E-","E"))=LEN(SUBSTITUTE(SUBSTITUTE(SUBSTITUTE(SUBSTITUTE(MID(UPPER(TRIM($DZ540)),1+OR(LEFT(UPPER(TRIM($DZ540)),1)="+",LEFT(UPPER(TRIM($DZ540)),1)="-"),999),"E+","E"),"E-","E"),"+",""),"-","")),LEN(UPPER(TRIM($DZ540)))-LEN(SUBSTITUTE(UPPER(TRIM($DZ540)),"E",""))&lt;2,LEN(UPPER(TRIM($DZ540)))-LEN(SUBSTITUTE(UPPER(TRIM($DZ540)),".",""))&lt;2,IFERROR(FIND(".",UPPER(TRIM($DZ540))),0)&lt;IFERROR(FIND("E",UPPER(TRIM($DZ540))),999)),ISNUMBER(VALUE(TRIM($DZ540)))),VALUE(TRIM($DZ540)),"")))),""))</f>
        <v/>
      </c>
      <c r="EB540">
        <f>IF($DM540=0,"",IF($L$18=0,"",IFERROR(IF(UPPER(TRIM(SUBSTITUTE(SUBSTITUTE(SUBSTITUTE(SUBSTITUTE(INDEX(PASTE_ALL,$DF540,$L$18)," "," "),CHAR(9)," "),CHAR(10)," "),CHAR(13)," ")))="READY","Ready",IF(UPPER(TRIM(SUBSTITUTE(SUBSTITUTE(SUBSTITUTE(SUBSTITUTE(INDEX(PASTE_ALL,$DF540,$L$18)," "," "),CHAR(9)," "),CHAR(10)," "),CHAR(13)," ")))="PM","PM",IF(OR(UPPER(TRIM(SUBSTITUTE(SUBSTITUTE(SUBSTITUTE(SUBSTITUTE(INDEX(PASTE_ALL,$DF540,$L$18)," "," "),CHAR(9)," "),CHAR(10)," "),CHAR(13)," ")))="OT",UPPER(TRIM(SUBSTITUTE(SUBSTITUTE(SUBSTITUTE(SUBSTITUTE(INDEX(PASTE_ALL,$DF540,$L$18)," "," "),CHAR(9)," "),CHAR(10)," "),CHAR(13)," ")))="OVERTIME",UPPER(TRIM(SUBSTITUTE(SUBSTITUTE(SUBSTITUTE(SUBSTITUTE(INDEX(PASTE_ALL,$DF540,$L$18)," "," "),CHAR(9)," "),CHAR(10)," "),CHAR(13)," ")))="TRIAL"),"OT",TRIM(SUBSTITUTE(SUBSTITUTE(SUBSTITUTE(SUBSTITUTE(INDEX(PASTE_ALL,$DF540,$L$18)," "," "),CHAR(9)," "),CHAR(10)," "),CHAR(13)," "))))),"")))</f>
        <v/>
      </c>
      <c r="EC540">
        <f>IF($DM540=0,"",IF($L$19=0,"",IFERROR(IF(ISNUMBER(INDEX(PASTE_ALL,$DF540,$L$19)),INDEX(PASTE_ALL,$DF540,$L$19),TRIM(SUBSTITUTE(SUBSTITUTE(SUBSTITUTE(SUBSTITUTE(INDEX(PASTE_ALL,$DF540,$L$19)," "," "),CHAR(9)," "),CHAR(10)," "),CHAR(13)," "))),"")))</f>
        <v/>
      </c>
      <c r="ED540">
        <f>IF($DM540=0,"",MATCH(1,INDEX(EXACT($DH$5:DH540,$DH540)*$DM$5:DM540,0),0))</f>
        <v/>
      </c>
      <c r="EE540">
        <f>IF($DM540=0,0,IF($ED540=$DE540,1,0))</f>
        <v/>
      </c>
      <c r="EF540">
        <f>EF539+$EE540</f>
        <v/>
      </c>
      <c r="EG540">
        <f>IF($DM540=0,"",INDEX($EF$5:$EF$1003,$ED540))</f>
        <v/>
      </c>
      <c r="EH540">
        <f>IF($DM540=0,"",IF($DO540&lt;&gt;"","",IFERROR(LOOKUP(2,1/(($EG$4:EG539=$EG540)*($DO$4:DO539&lt;&gt;"")),$DO$4:DO539),"")))</f>
        <v/>
      </c>
      <c r="EI540">
        <f>IF($DM540=0,"",IF($DO540&lt;&gt;"",$DO540,$EH540))</f>
        <v/>
      </c>
      <c r="EJ540">
        <f>IF($DM540=0,"",IF($EI540="",0,IF(OR(ISNUMBER($EI540),AND(AND(SUBSTITUTE(SUBSTITUTE(SUBSTITUTE(SUBSTITUTE(SUBSTITUTE(SUBSTITUTE(SUBSTITUTE(SUBSTITUTE(SUBSTITUTE(SUBSTITUTE(SUBSTITUTE(SUBSTITUTE(SUBSTITUTE(SUBSTITUTE(UPPER($EI540),"0",""),"1",""),"2",""),"3",""),"4",""),"5",""),"6",""),"7",""),"8",""),"9",""),".",""),"+",""),"-",""),"E","")="",LEN(SUBSTITUTE(SUBSTITUTE(MID(UPPER($EI540),1+OR(LEFT(UPPER($EI540),1)="+",LEFT(UPPER($EI540),1)="-"),999),"E+","E"),"E-","E"))=LEN(SUBSTITUTE(SUBSTITUTE(SUBSTITUTE(SUBSTITUTE(MID(UPPER($EI540),1+OR(LEFT(UPPER($EI540),1)="+",LEFT(UPPER($EI540),1)="-"),999),"E+","E"),"E-","E"),"+",""),"-","")),LEN(UPPER($EI540))-LEN(SUBSTITUTE(UPPER($EI540),"E",""))&lt;2,LEN(UPPER($EI540))-LEN(SUBSTITUTE(UPPER($EI540),".",""))&lt;2,IFERROR(FIND(".",UPPER($EI540)),0)&lt;IFERROR(FIND("E",UPPER($EI540)),999)),ISNUMBER(VALUE($EI540)))),1,2)))</f>
        <v/>
      </c>
      <c r="EK540">
        <f>IF($DM540=0,"",IF($EJ540=1,IF(ISNUMBER($EI540),$EI540,VALUE($EI540)),IF($EJ540=2,$DE540,0)))</f>
        <v/>
      </c>
      <c r="EL540">
        <f>IF($DM540=0,"",COUNTIF($EG$5:$EG$1003,"&lt;"&amp;$EG540)+SUMPRODUCT(($EG$5:$EG$1003=$EG540)*(($EJ$5:$EJ$1003&lt;$EJ540)+($EJ$5:$EJ$1003=$EJ540)*(($EK$5:$EK$1003&lt;$EK540)+($EK$5:$EK$1003=$EK540)*($DE$5:$DE$1003&lt;$DE540))))+1)</f>
        <v/>
      </c>
      <c r="EM540">
        <f>IF($DM540=0,"",$EL540+$EG540-1)</f>
        <v/>
      </c>
      <c r="EN540">
        <f>IF($DM540=0,0,IFERROR(MATCH(1,INDEX(--(TRIM(SUBSTITUTE(SUBSTITUTE(SUBSTITUTE(SUBSTITUTE(LINES_NAME&amp;""," "," "),CHAR(9)," "),CHAR(10)," "),CHAR(13)," "))=$DH540),0),0),0))</f>
        <v/>
      </c>
      <c r="EO540">
        <f>IF($EN540=0,0,IF(OR(UPPER(TRIM(INDEX(LINES_SCHEDULED,$EN540)&amp;""))="YES",UPPER(TRIM(INDEX(LINES_SCHEDULED,$EN540)&amp;""))="Y",UPPER(TRIM(INDEX(LINES_SCHEDULED,$EN540)&amp;""))="X"),1,0))</f>
        <v/>
      </c>
      <c r="EP540">
        <f>IF($DM540=0,"",IF(COUNTIFS($EG$5:$EG$1003,$EG540,$EB$5:$EB$1003,"Ready")&gt;0,"READY",IF(COUNTIFS($EG$5:$EG$1003,$EG540,$EB$5:$EB$1003,"PM")&gt;0,"PM",IF(COUNTIFS($EG$5:$EG$1003,$EG540,$EB$5:$EB$1003,"OT")&gt;0,"OT",""))))</f>
        <v/>
      </c>
      <c r="EQ540">
        <f>IF($EN540=0,"",UPPER(TRIM(INDEX(LINES_STATUS,$EN540)&amp;"")))</f>
        <v/>
      </c>
      <c r="ER540">
        <f>IF($DM540=0,"",IF(OR($EQ540="READY",$EQ540="PM",$EQ540="OT"),$EQ540,$EP540))</f>
        <v/>
      </c>
      <c r="ES540">
        <f>IF($DM540=0,"",IF(AND($DV540&lt;&gt;"",UPPER($DV540)&lt;&gt;"N"),"allergen",IF(ISNUMBER(SEARCH("oil",$DQ540)),"oil",IF(OR(EXACT($DS540,"A662"),EXACT($DS540,"A624")),"bulk",""))))</f>
        <v/>
      </c>
      <c r="ET540">
        <f>IF($DM540=0,"",IF(OR($EA540="",$EA540=0),"",$EA540/100))</f>
        <v/>
      </c>
      <c r="EU540">
        <f>IF(OR($ET540="",$DY540=""),"",INT($DY540*(1-$ET540)+0.5))</f>
        <v/>
      </c>
      <c r="EW540" t="n">
        <v>536</v>
      </c>
      <c r="EX540">
        <f>IFERROR(MATCH($EW540,$EM$5:$EM$1003,0),0)</f>
        <v/>
      </c>
      <c r="EY540">
        <f>IF($EW540&gt;$B$12,"",IF($EX540&gt;0,"row","spacer"))</f>
        <v/>
      </c>
      <c r="EZ540">
        <f>IF(AND($EY540="row",$EY539&lt;&gt;"row"),1,0)</f>
        <v/>
      </c>
      <c r="FA540">
        <f>IF(AND($EY540="row",$EY541&lt;&gt;"row"),1,0)</f>
        <v/>
      </c>
      <c r="FB540">
        <f>IF($EZ540=1,IFERROR(IF(ISNUMBER(INDEX(PASTE_ALL,INDEX($DF$5:$DF$1003,$EX540),$B$37)),INDEX(PASTE_ALL,INDEX($DF$5:$DF$1003,$EX540),$B$37),INDEX($DH$5:$DH$1003,$EX540)),INDEX($DH$5:$DH$1003,$EX540)),"")</f>
        <v/>
      </c>
      <c r="FC540">
        <f>IF($EY540="row",INDEX($ER$5:$ER$1003,$EX540),"")</f>
        <v/>
      </c>
      <c r="FD540">
        <f>IF($EY540="row",INDEX($DN$5:$DN$1003,$EX540),"")</f>
        <v/>
      </c>
      <c r="FE540">
        <f>IF($EY540="row",INDEX($DO$5:$DO$1003,$EX540),"")</f>
        <v/>
      </c>
      <c r="FF540">
        <f>IF($EY540="row",INDEX($DP$5:$DP$1003,$EX540),"")</f>
        <v/>
      </c>
      <c r="FG540">
        <f>IF($EY540="row",INDEX($DQ$5:$DQ$1003,$EX540),"")</f>
        <v/>
      </c>
      <c r="FH540">
        <f>IF($EY540="row",INDEX($DR$5:$DR$1003,$EX540),"")</f>
        <v/>
      </c>
      <c r="FI540">
        <f>IF($EY540="row",INDEX($DS$5:$DS$1003,$EX540),"")</f>
        <v/>
      </c>
      <c r="FJ540">
        <f>IF($EY540="row",INDEX($DT$5:$DT$1003,$EX540),"")</f>
        <v/>
      </c>
      <c r="FK540">
        <f>IF($EY540="row",INDEX($DU$5:$DU$1003,$EX540),"")</f>
        <v/>
      </c>
      <c r="FL540">
        <f>IF($EY540="row",INDEX($DV$5:$DV$1003,$EX540),"")</f>
        <v/>
      </c>
      <c r="FM540">
        <f>IF($EY540="row",INDEX($DW$5:$DW$1003,$EX540),"")</f>
        <v/>
      </c>
      <c r="FN540">
        <f>IF($EY540="row",INDEX($DY$5:$DY$1003,$EX540),"")</f>
        <v/>
      </c>
      <c r="FO540">
        <f>IF($EY540="row",INDEX($EA$5:$EA$1003,$EX540),"")</f>
        <v/>
      </c>
      <c r="FP540">
        <f>IF($EY540="row",INDEX($EC$5:$EC$1003,$EX540),"")</f>
        <v/>
      </c>
      <c r="FQ540">
        <f>IF($EY540="row",INDEX($ET$5:$ET$1003,$EX540),"")</f>
        <v/>
      </c>
      <c r="FR540">
        <f>IF($EY540="row",INDEX($EU$5:$EU$1003,$EX540),"")</f>
        <v/>
      </c>
      <c r="FS540">
        <f>IF(AND($EY540="row",$EY539="row"),IF(OR(INDEX($DT$5:$DT$1003,$EX539)="",INDEX($DT$5:$DT$1003,$EX540)=""),"",IF(NOT(EXACT(INDEX($DT$5:$DT$1003,$EX539),INDEX($DT$5:$DT$1003,$EX540))),"S4",IF(NOT(EXACT(INDEX($DS$5:$DS$1003,$EX539),INDEX($DS$5:$DS$1003,$EX540))),"S3",IF(NOT(EXACT(INDEX($DR$5:$DR$1003,$EX539),INDEX($DR$5:$DR$1003,$EX540))),"S1 Count Change","S1")))),"")</f>
        <v/>
      </c>
      <c r="FT540">
        <f>IF($EY540="row",INDEX($ES$5:$ES$1003,$EX540),"")</f>
        <v/>
      </c>
      <c r="FU540">
        <f>IF($EY540="row",INDEX($EO$5:$EO$1003,$EX540),0)</f>
        <v/>
      </c>
      <c r="FV540">
        <f>IF($FS540="S1 Count Change",1,0)</f>
        <v/>
      </c>
    </row>
    <row r="541">
      <c r="DA541" t="n">
        <v>537</v>
      </c>
      <c r="DB541">
        <f>IF($B$37=0,"",IFERROR(TRIM(SUBSTITUTE(SUBSTITUTE(SUBSTITUTE(SUBSTITUTE(INDEX(PASTE_ALL,537,$B$37)," "," "),CHAR(9)," "),CHAR(10)," "),CHAR(13)," ")),""))</f>
        <v/>
      </c>
      <c r="DC541">
        <f>IF(AND(537&gt;HEADER_ROW,UPPER(DB541)="LEGEND"),1,0)</f>
        <v/>
      </c>
      <c r="DE541" t="n">
        <v>537</v>
      </c>
      <c r="DF541">
        <f>HEADER_ROW+$DE541</f>
        <v/>
      </c>
      <c r="DG541">
        <f>IF(AND($DF541&lt;=1000,$DF541&lt;$B$8),1,0)</f>
        <v/>
      </c>
      <c r="DH541">
        <f>IF($DG541=1,IFERROR(INDEX($DB$5:$DB$1004,$DF541),""),"")</f>
        <v/>
      </c>
      <c r="DI541">
        <f>IF(AND($DG541=1,$DH541&lt;&gt;""),IFERROR(SUBSTITUTE(SUBSTITUTE(TRIM(SUBSTITUTE(SUBSTITUTE(SUBSTITUTE(SUBSTITUTE(IFERROR(INDEX(PASTE_ALL,$DF541,1)&amp;"","")&amp;"␟"&amp;IFERROR(INDEX(PASTE_ALL,$DF541,2)&amp;"","")&amp;"␟"&amp;IFERROR(INDEX(PASTE_ALL,$DF541,3)&amp;"","")&amp;"␟"&amp;IFERROR(INDEX(PASTE_ALL,$DF541,4)&amp;"","")&amp;"␟"&amp;IFERROR(INDEX(PASTE_ALL,$DF541,5)&amp;"","")&amp;"␟"&amp;IFERROR(INDEX(PASTE_ALL,$DF541,6)&amp;"","")&amp;"␟"&amp;IFERROR(INDEX(PASTE_ALL,$DF541,7)&amp;"","")&amp;"␟"&amp;IFERROR(INDEX(PASTE_ALL,$DF541,8)&amp;"","")&amp;"␟"&amp;IFERROR(INDEX(PASTE_ALL,$DF541,9)&amp;"","")&amp;"␟"&amp;IFERROR(INDEX(PASTE_ALL,$DF541,10)&amp;"","")&amp;"␟"&amp;IFERROR(INDEX(PASTE_ALL,$DF541,11)&amp;"","")&amp;"␟"&amp;IFERROR(INDEX(PASTE_ALL,$DF541,12)&amp;"","")&amp;"␟"&amp;IFERROR(INDEX(PASTE_ALL,$DF541,13)&amp;"","")&amp;"␟"&amp;IFERROR(INDEX(PASTE_ALL,$DF541,14)&amp;"","")&amp;"␟"&amp;IFERROR(INDEX(PASTE_ALL,$DF541,15)&amp;"","")&amp;"␟"&amp;IFERROR(INDEX(PASTE_ALL,$DF541,16)&amp;"","")&amp;"␟"&amp;IFERROR(INDEX(PASTE_ALL,$DF541,17)&amp;"","")&amp;"␟"&amp;IFERROR(INDEX(PASTE_ALL,$DF541,18)&amp;"","")&amp;"␟"&amp;IFERROR(INDEX(PASTE_ALL,$DF541,19)&amp;"","")&amp;"␟"&amp;IFERROR(INDEX(PASTE_ALL,$DF541,20)&amp;"","")&amp;"␟"&amp;IFERROR(INDEX(PASTE_ALL,$DF541,21)&amp;"","")&amp;"␟"&amp;IFERROR(INDEX(PASTE_ALL,$DF541,22)&amp;"","")&amp;"␟"&amp;IFERROR(INDEX(PASTE_ALL,$DF541,23)&amp;"","")&amp;"␟"&amp;IFERROR(INDEX(PASTE_ALL,$DF541,24)&amp;"","")&amp;"␟"&amp;IFERROR(INDEX(PASTE_ALL,$DF541,25)&amp;"","")&amp;"␟"&amp;IFERROR(INDEX(PASTE_ALL,$DF541,26)&amp;"","")&amp;"␟"&amp;IFERROR(INDEX(PASTE_ALL,$DF541,27)&amp;"","")&amp;"␟"&amp;IFERROR(INDEX(PASTE_ALL,$DF541,28)&amp;"","")&amp;"␟"&amp;IFERROR(INDEX(PASTE_ALL,$DF541,29)&amp;"","")&amp;"␟"&amp;IFERROR(INDEX(PASTE_ALL,$DF541,30)&amp;"","")&amp;"␟"&amp;IFERROR(INDEX(PASTE_ALL,$DF541,31)&amp;"","")&amp;"␟"&amp;IFERROR(INDEX(PASTE_ALL,$DF541,32)&amp;"","")&amp;"␟"&amp;IFERROR(INDEX(PASTE_ALL,$DF541,33)&amp;"","")&amp;"␟"&amp;IFERROR(INDEX(PASTE_ALL,$DF541,34)&amp;"","")&amp;"␟"&amp;IFERROR(INDEX(PASTE_ALL,$DF541,35)&amp;"","")&amp;"␟"&amp;IFERROR(INDEX(PASTE_ALL,$DF541,36)&amp;"","")&amp;"␟"&amp;IFERROR(INDEX(PASTE_ALL,$DF541,37)&amp;"","")&amp;"␟"&amp;IFERROR(INDEX(PASTE_ALL,$DF541,38)&amp;"","")&amp;"␟"&amp;IFERROR(INDEX(PASTE_ALL,$DF541,39)&amp;"","")&amp;"␟"&amp;IFERROR(INDEX(PASTE_ALL,$DF541,40)&amp;"","")&amp;"␟"&amp;IFERROR(INDEX(PASTE_ALL,$DF541,41)&amp;"","")&amp;"␟"&amp;IFERROR(INDEX(PASTE_ALL,$DF541,42)&amp;"","")&amp;"␟"&amp;IFERROR(INDEX(PASTE_ALL,$DF541,43)&amp;"","")&amp;"␟"&amp;IFERROR(INDEX(PASTE_ALL,$DF541,44)&amp;"","")&amp;"␟"&amp;IFERROR(INDEX(PASTE_ALL,$DF541,45)&amp;"","")&amp;"␟"&amp;IFERROR(INDEX(PASTE_ALL,$DF541,46)&amp;"","")&amp;"␟"&amp;IFERROR(INDEX(PASTE_ALL,$DF541,47)&amp;"","")&amp;"␟"&amp;IFERROR(INDEX(PASTE_ALL,$DF541,48)&amp;"","")&amp;"␟"&amp;IFERROR(INDEX(PASTE_ALL,$DF541,49)&amp;"","")&amp;"␟"&amp;IFERROR(INDEX(PASTE_ALL,$DF541,50)&amp;"","")&amp;"␟"&amp;IFERROR(INDEX(PASTE_ALL,$DF541,51)&amp;"","")&amp;"␟"&amp;IFERROR(INDEX(PASTE_ALL,$DF541,52)&amp;"","")&amp;"␟"&amp;IFERROR(INDEX(PASTE_ALL,$DF541,53)&amp;"","")&amp;"␟"&amp;IFERROR(INDEX(PASTE_ALL,$DF541,54)&amp;"","")&amp;"␟"&amp;IFERROR(INDEX(PASTE_ALL,$DF541,55)&amp;"","")&amp;"␟"&amp;IFERROR(INDEX(PASTE_ALL,$DF541,56)&amp;"","")&amp;"␟"&amp;IFERROR(INDEX(PASTE_ALL,$DF541,57)&amp;"","")&amp;"␟"&amp;IFERROR(INDEX(PASTE_ALL,$DF541,58)&amp;"","")&amp;"␟"&amp;IFERROR(INDEX(PASTE_ALL,$DF541,59)&amp;"","")&amp;"␟"&amp;IFERROR(INDEX(PASTE_ALL,$DF541,60)&amp;"","")," "," "),CHAR(9)," "),CHAR(10)," "),CHAR(13)," "))," ␟","␟"),"␟ ","␟"),"#"&amp;$DE541),"")</f>
        <v/>
      </c>
      <c r="DJ541">
        <f>IF($DI541="",0,IF(SUMPRODUCT(--EXACT($DI$4:DI540,$DI541))&gt;0,1,0))</f>
        <v/>
      </c>
      <c r="DK541">
        <f>IF(AND($DI541&lt;&gt;"",$DJ541=0),1,0)</f>
        <v/>
      </c>
      <c r="DL541">
        <f>DL540+$DK541</f>
        <v/>
      </c>
      <c r="DM541">
        <f>IF(AND($DK541=1,$DL541&lt;=600),1,0)</f>
        <v/>
      </c>
      <c r="DN541">
        <f>IF($DM541=0,"",IF($L$6=0,"",IFERROR(IF(ISNUMBER(INDEX(PASTE_ALL,$DF541,$L$6)),INDEX(PASTE_ALL,$DF541,$L$6),TRIM(SUBSTITUTE(SUBSTITUTE(SUBSTITUTE(SUBSTITUTE(INDEX(PASTE_ALL,$DF541,$L$6)," "," "),CHAR(9)," "),CHAR(10)," "),CHAR(13)," "))),"")))</f>
        <v/>
      </c>
      <c r="DO541">
        <f>IF($DM541=0,"",IF($L$7=0,"",IFERROR(IF(ISNUMBER(INDEX(PASTE_ALL,$DF541,$L$7)),INDEX(PASTE_ALL,$DF541,$L$7),TRIM(SUBSTITUTE(SUBSTITUTE(SUBSTITUTE(SUBSTITUTE(INDEX(PASTE_ALL,$DF541,$L$7)," "," "),CHAR(9)," "),CHAR(10)," "),CHAR(13)," "))),"")))</f>
        <v/>
      </c>
      <c r="DP541">
        <f>IF($DM541=0,"",IF($L$8=0,"",IFERROR(IF(ISNUMBER(INDEX(PASTE_ALL,$DF541,$L$8)),INDEX(PASTE_ALL,$DF541,$L$8),TRIM(SUBSTITUTE(SUBSTITUTE(SUBSTITUTE(SUBSTITUTE(INDEX(PASTE_ALL,$DF541,$L$8)," "," "),CHAR(9)," "),CHAR(10)," "),CHAR(13)," "))),"")))</f>
        <v/>
      </c>
      <c r="DQ541">
        <f>IF($DM541=0,"",IF($L$9=0,"",IFERROR(IF(ISNUMBER(INDEX(PASTE_ALL,$DF541,$L$9)),INDEX(PASTE_ALL,$DF541,$L$9),TRIM(SUBSTITUTE(SUBSTITUTE(SUBSTITUTE(SUBSTITUTE(INDEX(PASTE_ALL,$DF541,$L$9)," "," "),CHAR(9)," "),CHAR(10)," "),CHAR(13)," "))),"")))</f>
        <v/>
      </c>
      <c r="DR541">
        <f>IF($DM541=0,"",IF($L$10=0,"",IFERROR(IF(ISNUMBER(INDEX(PASTE_ALL,$DF541,$L$10)),INDEX(PASTE_ALL,$DF541,$L$10),TRIM(SUBSTITUTE(SUBSTITUTE(SUBSTITUTE(SUBSTITUTE(INDEX(PASTE_ALL,$DF541,$L$10)," "," "),CHAR(9)," "),CHAR(10)," "),CHAR(13)," "))),"")))</f>
        <v/>
      </c>
      <c r="DS541">
        <f>IF($DM541=0,"",IF($L$11=0,"",IFERROR(IF(ISNUMBER(INDEX(PASTE_ALL,$DF541,$L$11)),INDEX(PASTE_ALL,$DF541,$L$11),TRIM(SUBSTITUTE(SUBSTITUTE(SUBSTITUTE(SUBSTITUTE(INDEX(PASTE_ALL,$DF541,$L$11)," "," "),CHAR(9)," "),CHAR(10)," "),CHAR(13)," "))),"")))</f>
        <v/>
      </c>
      <c r="DT541">
        <f>IF($DM541=0,"",IF($L$12=0,"",IFERROR(IF(ISNUMBER(INDEX(PASTE_ALL,$DF541,$L$12)),INDEX(PASTE_ALL,$DF541,$L$12),TRIM(SUBSTITUTE(SUBSTITUTE(SUBSTITUTE(SUBSTITUTE(INDEX(PASTE_ALL,$DF541,$L$12)," "," "),CHAR(9)," "),CHAR(10)," "),CHAR(13)," "))),"")))</f>
        <v/>
      </c>
      <c r="DU541">
        <f>IF($DM541=0,"",IF($L$13=0,"",IFERROR(IF(ISNUMBER(INDEX(PASTE_ALL,$DF541,$L$13)),INDEX(PASTE_ALL,$DF541,$L$13),TRIM(SUBSTITUTE(SUBSTITUTE(SUBSTITUTE(SUBSTITUTE(INDEX(PASTE_ALL,$DF541,$L$13)," "," "),CHAR(9)," "),CHAR(10)," "),CHAR(13)," "))),"")))</f>
        <v/>
      </c>
      <c r="DV541">
        <f>IF($DM541=0,"",IF($L$14=0,"",IFERROR(IF(ISNUMBER(INDEX(PASTE_ALL,$DF541,$L$14)),INDEX(PASTE_ALL,$DF541,$L$14),TRIM(SUBSTITUTE(SUBSTITUTE(SUBSTITUTE(SUBSTITUTE(INDEX(PASTE_ALL,$DF541,$L$14)," "," "),CHAR(9)," "),CHAR(10)," "),CHAR(13)," "))),"")))</f>
        <v/>
      </c>
      <c r="DW541">
        <f>IF($DM541=0,"",IF($L$15=0,"",IFERROR(IF(ISNUMBER(INDEX(PASTE_ALL,$DF541,$L$15)),INDEX(PASTE_ALL,$DF541,$L$15),IF(SUMPRODUCT(--ISNUMBER(FIND({"A","B","C","D","E","F","G","H","I","J","K","L","M","N","O","P","Q","R","S","T","U","V","W","X","Y","Z","0","1","2","3","4","5","6","7","8","9"},UPPER(TRIM(SUBSTITUTE(SUBSTITUTE(SUBSTITUTE(SUBSTITUTE(INDEX(PASTE_ALL,$DF541,$L$15)," "," "),CHAR(9)," "),CHAR(10)," "),CHAR(13)," "))))))&gt;0,TRIM(SUBSTITUTE(SUBSTITUTE(SUBSTITUTE(SUBSTITUTE(INDEX(PASTE_ALL,$DF541,$L$15)," "," "),CHAR(9)," "),CHAR(10)," "),CHAR(13)," ")),"")),"")))</f>
        <v/>
      </c>
      <c r="DX541">
        <f>IF($DM541=0,"",IF($L$16=0,"",IFERROR(IF(ISNUMBER(INDEX(PASTE_ALL,$DF541,$L$16)),INDEX(PASTE_ALL,$DF541,$L$16),SUBSTITUTE(SUBSTITUTE(TRIM(SUBSTITUTE(SUBSTITUTE(SUBSTITUTE(SUBSTITUTE(INDEX(PASTE_ALL,$DF541,$L$16)," "," "),CHAR(9)," "),CHAR(10)," "),CHAR(13)," ")),",",""),"%","")),"")))</f>
        <v/>
      </c>
      <c r="DY541">
        <f>IF($DM541=0,"",IFERROR(IF(ISNUMBER($DX541),$DX541,IF($DX541="","",IF(TRIM($DX541)="",0,IF(AND(AND(SUBSTITUTE(SUBSTITUTE(SUBSTITUTE(SUBSTITUTE(SUBSTITUTE(SUBSTITUTE(SUBSTITUTE(SUBSTITUTE(SUBSTITUTE(SUBSTITUTE(SUBSTITUTE(SUBSTITUTE(SUBSTITUTE(SUBSTITUTE(UPPER(TRIM($DX541)),"0",""),"1",""),"2",""),"3",""),"4",""),"5",""),"6",""),"7",""),"8",""),"9",""),".",""),"+",""),"-",""),"E","")="",LEN(SUBSTITUTE(SUBSTITUTE(MID(UPPER(TRIM($DX541)),1+OR(LEFT(UPPER(TRIM($DX541)),1)="+",LEFT(UPPER(TRIM($DX541)),1)="-"),999),"E+","E"),"E-","E"))=LEN(SUBSTITUTE(SUBSTITUTE(SUBSTITUTE(SUBSTITUTE(MID(UPPER(TRIM($DX541)),1+OR(LEFT(UPPER(TRIM($DX541)),1)="+",LEFT(UPPER(TRIM($DX541)),1)="-"),999),"E+","E"),"E-","E"),"+",""),"-","")),LEN(UPPER(TRIM($DX541)))-LEN(SUBSTITUTE(UPPER(TRIM($DX541)),"E",""))&lt;2,LEN(UPPER(TRIM($DX541)))-LEN(SUBSTITUTE(UPPER(TRIM($DX541)),".",""))&lt;2,IFERROR(FIND(".",UPPER(TRIM($DX541))),0)&lt;IFERROR(FIND("E",UPPER(TRIM($DX541))),999)),ISNUMBER(VALUE(TRIM($DX541)))),VALUE(TRIM($DX541)),"")))),""))</f>
        <v/>
      </c>
      <c r="DZ541">
        <f>IF($DM541=0,"",IF($L$17=0,"",IFERROR(IF(ISNUMBER(INDEX(PASTE_ALL,$DF541,$L$17)),INDEX(PASTE_ALL,$DF541,$L$17),SUBSTITUTE(SUBSTITUTE(TRIM(SUBSTITUTE(SUBSTITUTE(SUBSTITUTE(SUBSTITUTE(INDEX(PASTE_ALL,$DF541,$L$17)," "," "),CHAR(9)," "),CHAR(10)," "),CHAR(13)," ")),",",""),"%","")),"")))</f>
        <v/>
      </c>
      <c r="EA541">
        <f>IF($DM541=0,"",IFERROR(IF(ISNUMBER($DZ541),$DZ541,IF($DZ541="","",IF(TRIM($DZ541)="",0,IF(AND(AND(SUBSTITUTE(SUBSTITUTE(SUBSTITUTE(SUBSTITUTE(SUBSTITUTE(SUBSTITUTE(SUBSTITUTE(SUBSTITUTE(SUBSTITUTE(SUBSTITUTE(SUBSTITUTE(SUBSTITUTE(SUBSTITUTE(SUBSTITUTE(UPPER(TRIM($DZ541)),"0",""),"1",""),"2",""),"3",""),"4",""),"5",""),"6",""),"7",""),"8",""),"9",""),".",""),"+",""),"-",""),"E","")="",LEN(SUBSTITUTE(SUBSTITUTE(MID(UPPER(TRIM($DZ541)),1+OR(LEFT(UPPER(TRIM($DZ541)),1)="+",LEFT(UPPER(TRIM($DZ541)),1)="-"),999),"E+","E"),"E-","E"))=LEN(SUBSTITUTE(SUBSTITUTE(SUBSTITUTE(SUBSTITUTE(MID(UPPER(TRIM($DZ541)),1+OR(LEFT(UPPER(TRIM($DZ541)),1)="+",LEFT(UPPER(TRIM($DZ541)),1)="-"),999),"E+","E"),"E-","E"),"+",""),"-","")),LEN(UPPER(TRIM($DZ541)))-LEN(SUBSTITUTE(UPPER(TRIM($DZ541)),"E",""))&lt;2,LEN(UPPER(TRIM($DZ541)))-LEN(SUBSTITUTE(UPPER(TRIM($DZ541)),".",""))&lt;2,IFERROR(FIND(".",UPPER(TRIM($DZ541))),0)&lt;IFERROR(FIND("E",UPPER(TRIM($DZ541))),999)),ISNUMBER(VALUE(TRIM($DZ541)))),VALUE(TRIM($DZ541)),"")))),""))</f>
        <v/>
      </c>
      <c r="EB541">
        <f>IF($DM541=0,"",IF($L$18=0,"",IFERROR(IF(UPPER(TRIM(SUBSTITUTE(SUBSTITUTE(SUBSTITUTE(SUBSTITUTE(INDEX(PASTE_ALL,$DF541,$L$18)," "," "),CHAR(9)," "),CHAR(10)," "),CHAR(13)," ")))="READY","Ready",IF(UPPER(TRIM(SUBSTITUTE(SUBSTITUTE(SUBSTITUTE(SUBSTITUTE(INDEX(PASTE_ALL,$DF541,$L$18)," "," "),CHAR(9)," "),CHAR(10)," "),CHAR(13)," ")))="PM","PM",IF(OR(UPPER(TRIM(SUBSTITUTE(SUBSTITUTE(SUBSTITUTE(SUBSTITUTE(INDEX(PASTE_ALL,$DF541,$L$18)," "," "),CHAR(9)," "),CHAR(10)," "),CHAR(13)," ")))="OT",UPPER(TRIM(SUBSTITUTE(SUBSTITUTE(SUBSTITUTE(SUBSTITUTE(INDEX(PASTE_ALL,$DF541,$L$18)," "," "),CHAR(9)," "),CHAR(10)," "),CHAR(13)," ")))="OVERTIME",UPPER(TRIM(SUBSTITUTE(SUBSTITUTE(SUBSTITUTE(SUBSTITUTE(INDEX(PASTE_ALL,$DF541,$L$18)," "," "),CHAR(9)," "),CHAR(10)," "),CHAR(13)," ")))="TRIAL"),"OT",TRIM(SUBSTITUTE(SUBSTITUTE(SUBSTITUTE(SUBSTITUTE(INDEX(PASTE_ALL,$DF541,$L$18)," "," "),CHAR(9)," "),CHAR(10)," "),CHAR(13)," "))))),"")))</f>
        <v/>
      </c>
      <c r="EC541">
        <f>IF($DM541=0,"",IF($L$19=0,"",IFERROR(IF(ISNUMBER(INDEX(PASTE_ALL,$DF541,$L$19)),INDEX(PASTE_ALL,$DF541,$L$19),TRIM(SUBSTITUTE(SUBSTITUTE(SUBSTITUTE(SUBSTITUTE(INDEX(PASTE_ALL,$DF541,$L$19)," "," "),CHAR(9)," "),CHAR(10)," "),CHAR(13)," "))),"")))</f>
        <v/>
      </c>
      <c r="ED541">
        <f>IF($DM541=0,"",MATCH(1,INDEX(EXACT($DH$5:DH541,$DH541)*$DM$5:DM541,0),0))</f>
        <v/>
      </c>
      <c r="EE541">
        <f>IF($DM541=0,0,IF($ED541=$DE541,1,0))</f>
        <v/>
      </c>
      <c r="EF541">
        <f>EF540+$EE541</f>
        <v/>
      </c>
      <c r="EG541">
        <f>IF($DM541=0,"",INDEX($EF$5:$EF$1003,$ED541))</f>
        <v/>
      </c>
      <c r="EH541">
        <f>IF($DM541=0,"",IF($DO541&lt;&gt;"","",IFERROR(LOOKUP(2,1/(($EG$4:EG540=$EG541)*($DO$4:DO540&lt;&gt;"")),$DO$4:DO540),"")))</f>
        <v/>
      </c>
      <c r="EI541">
        <f>IF($DM541=0,"",IF($DO541&lt;&gt;"",$DO541,$EH541))</f>
        <v/>
      </c>
      <c r="EJ541">
        <f>IF($DM541=0,"",IF($EI541="",0,IF(OR(ISNUMBER($EI541),AND(AND(SUBSTITUTE(SUBSTITUTE(SUBSTITUTE(SUBSTITUTE(SUBSTITUTE(SUBSTITUTE(SUBSTITUTE(SUBSTITUTE(SUBSTITUTE(SUBSTITUTE(SUBSTITUTE(SUBSTITUTE(SUBSTITUTE(SUBSTITUTE(UPPER($EI541),"0",""),"1",""),"2",""),"3",""),"4",""),"5",""),"6",""),"7",""),"8",""),"9",""),".",""),"+",""),"-",""),"E","")="",LEN(SUBSTITUTE(SUBSTITUTE(MID(UPPER($EI541),1+OR(LEFT(UPPER($EI541),1)="+",LEFT(UPPER($EI541),1)="-"),999),"E+","E"),"E-","E"))=LEN(SUBSTITUTE(SUBSTITUTE(SUBSTITUTE(SUBSTITUTE(MID(UPPER($EI541),1+OR(LEFT(UPPER($EI541),1)="+",LEFT(UPPER($EI541),1)="-"),999),"E+","E"),"E-","E"),"+",""),"-","")),LEN(UPPER($EI541))-LEN(SUBSTITUTE(UPPER($EI541),"E",""))&lt;2,LEN(UPPER($EI541))-LEN(SUBSTITUTE(UPPER($EI541),".",""))&lt;2,IFERROR(FIND(".",UPPER($EI541)),0)&lt;IFERROR(FIND("E",UPPER($EI541)),999)),ISNUMBER(VALUE($EI541)))),1,2)))</f>
        <v/>
      </c>
      <c r="EK541">
        <f>IF($DM541=0,"",IF($EJ541=1,IF(ISNUMBER($EI541),$EI541,VALUE($EI541)),IF($EJ541=2,$DE541,0)))</f>
        <v/>
      </c>
      <c r="EL541">
        <f>IF($DM541=0,"",COUNTIF($EG$5:$EG$1003,"&lt;"&amp;$EG541)+SUMPRODUCT(($EG$5:$EG$1003=$EG541)*(($EJ$5:$EJ$1003&lt;$EJ541)+($EJ$5:$EJ$1003=$EJ541)*(($EK$5:$EK$1003&lt;$EK541)+($EK$5:$EK$1003=$EK541)*($DE$5:$DE$1003&lt;$DE541))))+1)</f>
        <v/>
      </c>
      <c r="EM541">
        <f>IF($DM541=0,"",$EL541+$EG541-1)</f>
        <v/>
      </c>
      <c r="EN541">
        <f>IF($DM541=0,0,IFERROR(MATCH(1,INDEX(--(TRIM(SUBSTITUTE(SUBSTITUTE(SUBSTITUTE(SUBSTITUTE(LINES_NAME&amp;""," "," "),CHAR(9)," "),CHAR(10)," "),CHAR(13)," "))=$DH541),0),0),0))</f>
        <v/>
      </c>
      <c r="EO541">
        <f>IF($EN541=0,0,IF(OR(UPPER(TRIM(INDEX(LINES_SCHEDULED,$EN541)&amp;""))="YES",UPPER(TRIM(INDEX(LINES_SCHEDULED,$EN541)&amp;""))="Y",UPPER(TRIM(INDEX(LINES_SCHEDULED,$EN541)&amp;""))="X"),1,0))</f>
        <v/>
      </c>
      <c r="EP541">
        <f>IF($DM541=0,"",IF(COUNTIFS($EG$5:$EG$1003,$EG541,$EB$5:$EB$1003,"Ready")&gt;0,"READY",IF(COUNTIFS($EG$5:$EG$1003,$EG541,$EB$5:$EB$1003,"PM")&gt;0,"PM",IF(COUNTIFS($EG$5:$EG$1003,$EG541,$EB$5:$EB$1003,"OT")&gt;0,"OT",""))))</f>
        <v/>
      </c>
      <c r="EQ541">
        <f>IF($EN541=0,"",UPPER(TRIM(INDEX(LINES_STATUS,$EN541)&amp;"")))</f>
        <v/>
      </c>
      <c r="ER541">
        <f>IF($DM541=0,"",IF(OR($EQ541="READY",$EQ541="PM",$EQ541="OT"),$EQ541,$EP541))</f>
        <v/>
      </c>
      <c r="ES541">
        <f>IF($DM541=0,"",IF(AND($DV541&lt;&gt;"",UPPER($DV541)&lt;&gt;"N"),"allergen",IF(ISNUMBER(SEARCH("oil",$DQ541)),"oil",IF(OR(EXACT($DS541,"A662"),EXACT($DS541,"A624")),"bulk",""))))</f>
        <v/>
      </c>
      <c r="ET541">
        <f>IF($DM541=0,"",IF(OR($EA541="",$EA541=0),"",$EA541/100))</f>
        <v/>
      </c>
      <c r="EU541">
        <f>IF(OR($ET541="",$DY541=""),"",INT($DY541*(1-$ET541)+0.5))</f>
        <v/>
      </c>
      <c r="EW541" t="n">
        <v>537</v>
      </c>
      <c r="EX541">
        <f>IFERROR(MATCH($EW541,$EM$5:$EM$1003,0),0)</f>
        <v/>
      </c>
      <c r="EY541">
        <f>IF($EW541&gt;$B$12,"",IF($EX541&gt;0,"row","spacer"))</f>
        <v/>
      </c>
      <c r="EZ541">
        <f>IF(AND($EY541="row",$EY540&lt;&gt;"row"),1,0)</f>
        <v/>
      </c>
      <c r="FA541">
        <f>IF(AND($EY541="row",$EY542&lt;&gt;"row"),1,0)</f>
        <v/>
      </c>
      <c r="FB541">
        <f>IF($EZ541=1,IFERROR(IF(ISNUMBER(INDEX(PASTE_ALL,INDEX($DF$5:$DF$1003,$EX541),$B$37)),INDEX(PASTE_ALL,INDEX($DF$5:$DF$1003,$EX541),$B$37),INDEX($DH$5:$DH$1003,$EX541)),INDEX($DH$5:$DH$1003,$EX541)),"")</f>
        <v/>
      </c>
      <c r="FC541">
        <f>IF($EY541="row",INDEX($ER$5:$ER$1003,$EX541),"")</f>
        <v/>
      </c>
      <c r="FD541">
        <f>IF($EY541="row",INDEX($DN$5:$DN$1003,$EX541),"")</f>
        <v/>
      </c>
      <c r="FE541">
        <f>IF($EY541="row",INDEX($DO$5:$DO$1003,$EX541),"")</f>
        <v/>
      </c>
      <c r="FF541">
        <f>IF($EY541="row",INDEX($DP$5:$DP$1003,$EX541),"")</f>
        <v/>
      </c>
      <c r="FG541">
        <f>IF($EY541="row",INDEX($DQ$5:$DQ$1003,$EX541),"")</f>
        <v/>
      </c>
      <c r="FH541">
        <f>IF($EY541="row",INDEX($DR$5:$DR$1003,$EX541),"")</f>
        <v/>
      </c>
      <c r="FI541">
        <f>IF($EY541="row",INDEX($DS$5:$DS$1003,$EX541),"")</f>
        <v/>
      </c>
      <c r="FJ541">
        <f>IF($EY541="row",INDEX($DT$5:$DT$1003,$EX541),"")</f>
        <v/>
      </c>
      <c r="FK541">
        <f>IF($EY541="row",INDEX($DU$5:$DU$1003,$EX541),"")</f>
        <v/>
      </c>
      <c r="FL541">
        <f>IF($EY541="row",INDEX($DV$5:$DV$1003,$EX541),"")</f>
        <v/>
      </c>
      <c r="FM541">
        <f>IF($EY541="row",INDEX($DW$5:$DW$1003,$EX541),"")</f>
        <v/>
      </c>
      <c r="FN541">
        <f>IF($EY541="row",INDEX($DY$5:$DY$1003,$EX541),"")</f>
        <v/>
      </c>
      <c r="FO541">
        <f>IF($EY541="row",INDEX($EA$5:$EA$1003,$EX541),"")</f>
        <v/>
      </c>
      <c r="FP541">
        <f>IF($EY541="row",INDEX($EC$5:$EC$1003,$EX541),"")</f>
        <v/>
      </c>
      <c r="FQ541">
        <f>IF($EY541="row",INDEX($ET$5:$ET$1003,$EX541),"")</f>
        <v/>
      </c>
      <c r="FR541">
        <f>IF($EY541="row",INDEX($EU$5:$EU$1003,$EX541),"")</f>
        <v/>
      </c>
      <c r="FS541">
        <f>IF(AND($EY541="row",$EY540="row"),IF(OR(INDEX($DT$5:$DT$1003,$EX540)="",INDEX($DT$5:$DT$1003,$EX541)=""),"",IF(NOT(EXACT(INDEX($DT$5:$DT$1003,$EX540),INDEX($DT$5:$DT$1003,$EX541))),"S4",IF(NOT(EXACT(INDEX($DS$5:$DS$1003,$EX540),INDEX($DS$5:$DS$1003,$EX541))),"S3",IF(NOT(EXACT(INDEX($DR$5:$DR$1003,$EX540),INDEX($DR$5:$DR$1003,$EX541))),"S1 Count Change","S1")))),"")</f>
        <v/>
      </c>
      <c r="FT541">
        <f>IF($EY541="row",INDEX($ES$5:$ES$1003,$EX541),"")</f>
        <v/>
      </c>
      <c r="FU541">
        <f>IF($EY541="row",INDEX($EO$5:$EO$1003,$EX541),0)</f>
        <v/>
      </c>
      <c r="FV541">
        <f>IF($FS541="S1 Count Change",1,0)</f>
        <v/>
      </c>
    </row>
    <row r="542">
      <c r="DA542" t="n">
        <v>538</v>
      </c>
      <c r="DB542">
        <f>IF($B$37=0,"",IFERROR(TRIM(SUBSTITUTE(SUBSTITUTE(SUBSTITUTE(SUBSTITUTE(INDEX(PASTE_ALL,538,$B$37)," "," "),CHAR(9)," "),CHAR(10)," "),CHAR(13)," ")),""))</f>
        <v/>
      </c>
      <c r="DC542">
        <f>IF(AND(538&gt;HEADER_ROW,UPPER(DB542)="LEGEND"),1,0)</f>
        <v/>
      </c>
      <c r="DE542" t="n">
        <v>538</v>
      </c>
      <c r="DF542">
        <f>HEADER_ROW+$DE542</f>
        <v/>
      </c>
      <c r="DG542">
        <f>IF(AND($DF542&lt;=1000,$DF542&lt;$B$8),1,0)</f>
        <v/>
      </c>
      <c r="DH542">
        <f>IF($DG542=1,IFERROR(INDEX($DB$5:$DB$1004,$DF542),""),"")</f>
        <v/>
      </c>
      <c r="DI542">
        <f>IF(AND($DG542=1,$DH542&lt;&gt;""),IFERROR(SUBSTITUTE(SUBSTITUTE(TRIM(SUBSTITUTE(SUBSTITUTE(SUBSTITUTE(SUBSTITUTE(IFERROR(INDEX(PASTE_ALL,$DF542,1)&amp;"","")&amp;"␟"&amp;IFERROR(INDEX(PASTE_ALL,$DF542,2)&amp;"","")&amp;"␟"&amp;IFERROR(INDEX(PASTE_ALL,$DF542,3)&amp;"","")&amp;"␟"&amp;IFERROR(INDEX(PASTE_ALL,$DF542,4)&amp;"","")&amp;"␟"&amp;IFERROR(INDEX(PASTE_ALL,$DF542,5)&amp;"","")&amp;"␟"&amp;IFERROR(INDEX(PASTE_ALL,$DF542,6)&amp;"","")&amp;"␟"&amp;IFERROR(INDEX(PASTE_ALL,$DF542,7)&amp;"","")&amp;"␟"&amp;IFERROR(INDEX(PASTE_ALL,$DF542,8)&amp;"","")&amp;"␟"&amp;IFERROR(INDEX(PASTE_ALL,$DF542,9)&amp;"","")&amp;"␟"&amp;IFERROR(INDEX(PASTE_ALL,$DF542,10)&amp;"","")&amp;"␟"&amp;IFERROR(INDEX(PASTE_ALL,$DF542,11)&amp;"","")&amp;"␟"&amp;IFERROR(INDEX(PASTE_ALL,$DF542,12)&amp;"","")&amp;"␟"&amp;IFERROR(INDEX(PASTE_ALL,$DF542,13)&amp;"","")&amp;"␟"&amp;IFERROR(INDEX(PASTE_ALL,$DF542,14)&amp;"","")&amp;"␟"&amp;IFERROR(INDEX(PASTE_ALL,$DF542,15)&amp;"","")&amp;"␟"&amp;IFERROR(INDEX(PASTE_ALL,$DF542,16)&amp;"","")&amp;"␟"&amp;IFERROR(INDEX(PASTE_ALL,$DF542,17)&amp;"","")&amp;"␟"&amp;IFERROR(INDEX(PASTE_ALL,$DF542,18)&amp;"","")&amp;"␟"&amp;IFERROR(INDEX(PASTE_ALL,$DF542,19)&amp;"","")&amp;"␟"&amp;IFERROR(INDEX(PASTE_ALL,$DF542,20)&amp;"","")&amp;"␟"&amp;IFERROR(INDEX(PASTE_ALL,$DF542,21)&amp;"","")&amp;"␟"&amp;IFERROR(INDEX(PASTE_ALL,$DF542,22)&amp;"","")&amp;"␟"&amp;IFERROR(INDEX(PASTE_ALL,$DF542,23)&amp;"","")&amp;"␟"&amp;IFERROR(INDEX(PASTE_ALL,$DF542,24)&amp;"","")&amp;"␟"&amp;IFERROR(INDEX(PASTE_ALL,$DF542,25)&amp;"","")&amp;"␟"&amp;IFERROR(INDEX(PASTE_ALL,$DF542,26)&amp;"","")&amp;"␟"&amp;IFERROR(INDEX(PASTE_ALL,$DF542,27)&amp;"","")&amp;"␟"&amp;IFERROR(INDEX(PASTE_ALL,$DF542,28)&amp;"","")&amp;"␟"&amp;IFERROR(INDEX(PASTE_ALL,$DF542,29)&amp;"","")&amp;"␟"&amp;IFERROR(INDEX(PASTE_ALL,$DF542,30)&amp;"","")&amp;"␟"&amp;IFERROR(INDEX(PASTE_ALL,$DF542,31)&amp;"","")&amp;"␟"&amp;IFERROR(INDEX(PASTE_ALL,$DF542,32)&amp;"","")&amp;"␟"&amp;IFERROR(INDEX(PASTE_ALL,$DF542,33)&amp;"","")&amp;"␟"&amp;IFERROR(INDEX(PASTE_ALL,$DF542,34)&amp;"","")&amp;"␟"&amp;IFERROR(INDEX(PASTE_ALL,$DF542,35)&amp;"","")&amp;"␟"&amp;IFERROR(INDEX(PASTE_ALL,$DF542,36)&amp;"","")&amp;"␟"&amp;IFERROR(INDEX(PASTE_ALL,$DF542,37)&amp;"","")&amp;"␟"&amp;IFERROR(INDEX(PASTE_ALL,$DF542,38)&amp;"","")&amp;"␟"&amp;IFERROR(INDEX(PASTE_ALL,$DF542,39)&amp;"","")&amp;"␟"&amp;IFERROR(INDEX(PASTE_ALL,$DF542,40)&amp;"","")&amp;"␟"&amp;IFERROR(INDEX(PASTE_ALL,$DF542,41)&amp;"","")&amp;"␟"&amp;IFERROR(INDEX(PASTE_ALL,$DF542,42)&amp;"","")&amp;"␟"&amp;IFERROR(INDEX(PASTE_ALL,$DF542,43)&amp;"","")&amp;"␟"&amp;IFERROR(INDEX(PASTE_ALL,$DF542,44)&amp;"","")&amp;"␟"&amp;IFERROR(INDEX(PASTE_ALL,$DF542,45)&amp;"","")&amp;"␟"&amp;IFERROR(INDEX(PASTE_ALL,$DF542,46)&amp;"","")&amp;"␟"&amp;IFERROR(INDEX(PASTE_ALL,$DF542,47)&amp;"","")&amp;"␟"&amp;IFERROR(INDEX(PASTE_ALL,$DF542,48)&amp;"","")&amp;"␟"&amp;IFERROR(INDEX(PASTE_ALL,$DF542,49)&amp;"","")&amp;"␟"&amp;IFERROR(INDEX(PASTE_ALL,$DF542,50)&amp;"","")&amp;"␟"&amp;IFERROR(INDEX(PASTE_ALL,$DF542,51)&amp;"","")&amp;"␟"&amp;IFERROR(INDEX(PASTE_ALL,$DF542,52)&amp;"","")&amp;"␟"&amp;IFERROR(INDEX(PASTE_ALL,$DF542,53)&amp;"","")&amp;"␟"&amp;IFERROR(INDEX(PASTE_ALL,$DF542,54)&amp;"","")&amp;"␟"&amp;IFERROR(INDEX(PASTE_ALL,$DF542,55)&amp;"","")&amp;"␟"&amp;IFERROR(INDEX(PASTE_ALL,$DF542,56)&amp;"","")&amp;"␟"&amp;IFERROR(INDEX(PASTE_ALL,$DF542,57)&amp;"","")&amp;"␟"&amp;IFERROR(INDEX(PASTE_ALL,$DF542,58)&amp;"","")&amp;"␟"&amp;IFERROR(INDEX(PASTE_ALL,$DF542,59)&amp;"","")&amp;"␟"&amp;IFERROR(INDEX(PASTE_ALL,$DF542,60)&amp;"","")," "," "),CHAR(9)," "),CHAR(10)," "),CHAR(13)," "))," ␟","␟"),"␟ ","␟"),"#"&amp;$DE542),"")</f>
        <v/>
      </c>
      <c r="DJ542">
        <f>IF($DI542="",0,IF(SUMPRODUCT(--EXACT($DI$4:DI541,$DI542))&gt;0,1,0))</f>
        <v/>
      </c>
      <c r="DK542">
        <f>IF(AND($DI542&lt;&gt;"",$DJ542=0),1,0)</f>
        <v/>
      </c>
      <c r="DL542">
        <f>DL541+$DK542</f>
        <v/>
      </c>
      <c r="DM542">
        <f>IF(AND($DK542=1,$DL542&lt;=600),1,0)</f>
        <v/>
      </c>
      <c r="DN542">
        <f>IF($DM542=0,"",IF($L$6=0,"",IFERROR(IF(ISNUMBER(INDEX(PASTE_ALL,$DF542,$L$6)),INDEX(PASTE_ALL,$DF542,$L$6),TRIM(SUBSTITUTE(SUBSTITUTE(SUBSTITUTE(SUBSTITUTE(INDEX(PASTE_ALL,$DF542,$L$6)," "," "),CHAR(9)," "),CHAR(10)," "),CHAR(13)," "))),"")))</f>
        <v/>
      </c>
      <c r="DO542">
        <f>IF($DM542=0,"",IF($L$7=0,"",IFERROR(IF(ISNUMBER(INDEX(PASTE_ALL,$DF542,$L$7)),INDEX(PASTE_ALL,$DF542,$L$7),TRIM(SUBSTITUTE(SUBSTITUTE(SUBSTITUTE(SUBSTITUTE(INDEX(PASTE_ALL,$DF542,$L$7)," "," "),CHAR(9)," "),CHAR(10)," "),CHAR(13)," "))),"")))</f>
        <v/>
      </c>
      <c r="DP542">
        <f>IF($DM542=0,"",IF($L$8=0,"",IFERROR(IF(ISNUMBER(INDEX(PASTE_ALL,$DF542,$L$8)),INDEX(PASTE_ALL,$DF542,$L$8),TRIM(SUBSTITUTE(SUBSTITUTE(SUBSTITUTE(SUBSTITUTE(INDEX(PASTE_ALL,$DF542,$L$8)," "," "),CHAR(9)," "),CHAR(10)," "),CHAR(13)," "))),"")))</f>
        <v/>
      </c>
      <c r="DQ542">
        <f>IF($DM542=0,"",IF($L$9=0,"",IFERROR(IF(ISNUMBER(INDEX(PASTE_ALL,$DF542,$L$9)),INDEX(PASTE_ALL,$DF542,$L$9),TRIM(SUBSTITUTE(SUBSTITUTE(SUBSTITUTE(SUBSTITUTE(INDEX(PASTE_ALL,$DF542,$L$9)," "," "),CHAR(9)," "),CHAR(10)," "),CHAR(13)," "))),"")))</f>
        <v/>
      </c>
      <c r="DR542">
        <f>IF($DM542=0,"",IF($L$10=0,"",IFERROR(IF(ISNUMBER(INDEX(PASTE_ALL,$DF542,$L$10)),INDEX(PASTE_ALL,$DF542,$L$10),TRIM(SUBSTITUTE(SUBSTITUTE(SUBSTITUTE(SUBSTITUTE(INDEX(PASTE_ALL,$DF542,$L$10)," "," "),CHAR(9)," "),CHAR(10)," "),CHAR(13)," "))),"")))</f>
        <v/>
      </c>
      <c r="DS542">
        <f>IF($DM542=0,"",IF($L$11=0,"",IFERROR(IF(ISNUMBER(INDEX(PASTE_ALL,$DF542,$L$11)),INDEX(PASTE_ALL,$DF542,$L$11),TRIM(SUBSTITUTE(SUBSTITUTE(SUBSTITUTE(SUBSTITUTE(INDEX(PASTE_ALL,$DF542,$L$11)," "," "),CHAR(9)," "),CHAR(10)," "),CHAR(13)," "))),"")))</f>
        <v/>
      </c>
      <c r="DT542">
        <f>IF($DM542=0,"",IF($L$12=0,"",IFERROR(IF(ISNUMBER(INDEX(PASTE_ALL,$DF542,$L$12)),INDEX(PASTE_ALL,$DF542,$L$12),TRIM(SUBSTITUTE(SUBSTITUTE(SUBSTITUTE(SUBSTITUTE(INDEX(PASTE_ALL,$DF542,$L$12)," "," "),CHAR(9)," "),CHAR(10)," "),CHAR(13)," "))),"")))</f>
        <v/>
      </c>
      <c r="DU542">
        <f>IF($DM542=0,"",IF($L$13=0,"",IFERROR(IF(ISNUMBER(INDEX(PASTE_ALL,$DF542,$L$13)),INDEX(PASTE_ALL,$DF542,$L$13),TRIM(SUBSTITUTE(SUBSTITUTE(SUBSTITUTE(SUBSTITUTE(INDEX(PASTE_ALL,$DF542,$L$13)," "," "),CHAR(9)," "),CHAR(10)," "),CHAR(13)," "))),"")))</f>
        <v/>
      </c>
      <c r="DV542">
        <f>IF($DM542=0,"",IF($L$14=0,"",IFERROR(IF(ISNUMBER(INDEX(PASTE_ALL,$DF542,$L$14)),INDEX(PASTE_ALL,$DF542,$L$14),TRIM(SUBSTITUTE(SUBSTITUTE(SUBSTITUTE(SUBSTITUTE(INDEX(PASTE_ALL,$DF542,$L$14)," "," "),CHAR(9)," "),CHAR(10)," "),CHAR(13)," "))),"")))</f>
        <v/>
      </c>
      <c r="DW542">
        <f>IF($DM542=0,"",IF($L$15=0,"",IFERROR(IF(ISNUMBER(INDEX(PASTE_ALL,$DF542,$L$15)),INDEX(PASTE_ALL,$DF542,$L$15),IF(SUMPRODUCT(--ISNUMBER(FIND({"A","B","C","D","E","F","G","H","I","J","K","L","M","N","O","P","Q","R","S","T","U","V","W","X","Y","Z","0","1","2","3","4","5","6","7","8","9"},UPPER(TRIM(SUBSTITUTE(SUBSTITUTE(SUBSTITUTE(SUBSTITUTE(INDEX(PASTE_ALL,$DF542,$L$15)," "," "),CHAR(9)," "),CHAR(10)," "),CHAR(13)," "))))))&gt;0,TRIM(SUBSTITUTE(SUBSTITUTE(SUBSTITUTE(SUBSTITUTE(INDEX(PASTE_ALL,$DF542,$L$15)," "," "),CHAR(9)," "),CHAR(10)," "),CHAR(13)," ")),"")),"")))</f>
        <v/>
      </c>
      <c r="DX542">
        <f>IF($DM542=0,"",IF($L$16=0,"",IFERROR(IF(ISNUMBER(INDEX(PASTE_ALL,$DF542,$L$16)),INDEX(PASTE_ALL,$DF542,$L$16),SUBSTITUTE(SUBSTITUTE(TRIM(SUBSTITUTE(SUBSTITUTE(SUBSTITUTE(SUBSTITUTE(INDEX(PASTE_ALL,$DF542,$L$16)," "," "),CHAR(9)," "),CHAR(10)," "),CHAR(13)," ")),",",""),"%","")),"")))</f>
        <v/>
      </c>
      <c r="DY542">
        <f>IF($DM542=0,"",IFERROR(IF(ISNUMBER($DX542),$DX542,IF($DX542="","",IF(TRIM($DX542)="",0,IF(AND(AND(SUBSTITUTE(SUBSTITUTE(SUBSTITUTE(SUBSTITUTE(SUBSTITUTE(SUBSTITUTE(SUBSTITUTE(SUBSTITUTE(SUBSTITUTE(SUBSTITUTE(SUBSTITUTE(SUBSTITUTE(SUBSTITUTE(SUBSTITUTE(UPPER(TRIM($DX542)),"0",""),"1",""),"2",""),"3",""),"4",""),"5",""),"6",""),"7",""),"8",""),"9",""),".",""),"+",""),"-",""),"E","")="",LEN(SUBSTITUTE(SUBSTITUTE(MID(UPPER(TRIM($DX542)),1+OR(LEFT(UPPER(TRIM($DX542)),1)="+",LEFT(UPPER(TRIM($DX542)),1)="-"),999),"E+","E"),"E-","E"))=LEN(SUBSTITUTE(SUBSTITUTE(SUBSTITUTE(SUBSTITUTE(MID(UPPER(TRIM($DX542)),1+OR(LEFT(UPPER(TRIM($DX542)),1)="+",LEFT(UPPER(TRIM($DX542)),1)="-"),999),"E+","E"),"E-","E"),"+",""),"-","")),LEN(UPPER(TRIM($DX542)))-LEN(SUBSTITUTE(UPPER(TRIM($DX542)),"E",""))&lt;2,LEN(UPPER(TRIM($DX542)))-LEN(SUBSTITUTE(UPPER(TRIM($DX542)),".",""))&lt;2,IFERROR(FIND(".",UPPER(TRIM($DX542))),0)&lt;IFERROR(FIND("E",UPPER(TRIM($DX542))),999)),ISNUMBER(VALUE(TRIM($DX542)))),VALUE(TRIM($DX542)),"")))),""))</f>
        <v/>
      </c>
      <c r="DZ542">
        <f>IF($DM542=0,"",IF($L$17=0,"",IFERROR(IF(ISNUMBER(INDEX(PASTE_ALL,$DF542,$L$17)),INDEX(PASTE_ALL,$DF542,$L$17),SUBSTITUTE(SUBSTITUTE(TRIM(SUBSTITUTE(SUBSTITUTE(SUBSTITUTE(SUBSTITUTE(INDEX(PASTE_ALL,$DF542,$L$17)," "," "),CHAR(9)," "),CHAR(10)," "),CHAR(13)," ")),",",""),"%","")),"")))</f>
        <v/>
      </c>
      <c r="EA542">
        <f>IF($DM542=0,"",IFERROR(IF(ISNUMBER($DZ542),$DZ542,IF($DZ542="","",IF(TRIM($DZ542)="",0,IF(AND(AND(SUBSTITUTE(SUBSTITUTE(SUBSTITUTE(SUBSTITUTE(SUBSTITUTE(SUBSTITUTE(SUBSTITUTE(SUBSTITUTE(SUBSTITUTE(SUBSTITUTE(SUBSTITUTE(SUBSTITUTE(SUBSTITUTE(SUBSTITUTE(UPPER(TRIM($DZ542)),"0",""),"1",""),"2",""),"3",""),"4",""),"5",""),"6",""),"7",""),"8",""),"9",""),".",""),"+",""),"-",""),"E","")="",LEN(SUBSTITUTE(SUBSTITUTE(MID(UPPER(TRIM($DZ542)),1+OR(LEFT(UPPER(TRIM($DZ542)),1)="+",LEFT(UPPER(TRIM($DZ542)),1)="-"),999),"E+","E"),"E-","E"))=LEN(SUBSTITUTE(SUBSTITUTE(SUBSTITUTE(SUBSTITUTE(MID(UPPER(TRIM($DZ542)),1+OR(LEFT(UPPER(TRIM($DZ542)),1)="+",LEFT(UPPER(TRIM($DZ542)),1)="-"),999),"E+","E"),"E-","E"),"+",""),"-","")),LEN(UPPER(TRIM($DZ542)))-LEN(SUBSTITUTE(UPPER(TRIM($DZ542)),"E",""))&lt;2,LEN(UPPER(TRIM($DZ542)))-LEN(SUBSTITUTE(UPPER(TRIM($DZ542)),".",""))&lt;2,IFERROR(FIND(".",UPPER(TRIM($DZ542))),0)&lt;IFERROR(FIND("E",UPPER(TRIM($DZ542))),999)),ISNUMBER(VALUE(TRIM($DZ542)))),VALUE(TRIM($DZ542)),"")))),""))</f>
        <v/>
      </c>
      <c r="EB542">
        <f>IF($DM542=0,"",IF($L$18=0,"",IFERROR(IF(UPPER(TRIM(SUBSTITUTE(SUBSTITUTE(SUBSTITUTE(SUBSTITUTE(INDEX(PASTE_ALL,$DF542,$L$18)," "," "),CHAR(9)," "),CHAR(10)," "),CHAR(13)," ")))="READY","Ready",IF(UPPER(TRIM(SUBSTITUTE(SUBSTITUTE(SUBSTITUTE(SUBSTITUTE(INDEX(PASTE_ALL,$DF542,$L$18)," "," "),CHAR(9)," "),CHAR(10)," "),CHAR(13)," ")))="PM","PM",IF(OR(UPPER(TRIM(SUBSTITUTE(SUBSTITUTE(SUBSTITUTE(SUBSTITUTE(INDEX(PASTE_ALL,$DF542,$L$18)," "," "),CHAR(9)," "),CHAR(10)," "),CHAR(13)," ")))="OT",UPPER(TRIM(SUBSTITUTE(SUBSTITUTE(SUBSTITUTE(SUBSTITUTE(INDEX(PASTE_ALL,$DF542,$L$18)," "," "),CHAR(9)," "),CHAR(10)," "),CHAR(13)," ")))="OVERTIME",UPPER(TRIM(SUBSTITUTE(SUBSTITUTE(SUBSTITUTE(SUBSTITUTE(INDEX(PASTE_ALL,$DF542,$L$18)," "," "),CHAR(9)," "),CHAR(10)," "),CHAR(13)," ")))="TRIAL"),"OT",TRIM(SUBSTITUTE(SUBSTITUTE(SUBSTITUTE(SUBSTITUTE(INDEX(PASTE_ALL,$DF542,$L$18)," "," "),CHAR(9)," "),CHAR(10)," "),CHAR(13)," "))))),"")))</f>
        <v/>
      </c>
      <c r="EC542">
        <f>IF($DM542=0,"",IF($L$19=0,"",IFERROR(IF(ISNUMBER(INDEX(PASTE_ALL,$DF542,$L$19)),INDEX(PASTE_ALL,$DF542,$L$19),TRIM(SUBSTITUTE(SUBSTITUTE(SUBSTITUTE(SUBSTITUTE(INDEX(PASTE_ALL,$DF542,$L$19)," "," "),CHAR(9)," "),CHAR(10)," "),CHAR(13)," "))),"")))</f>
        <v/>
      </c>
      <c r="ED542">
        <f>IF($DM542=0,"",MATCH(1,INDEX(EXACT($DH$5:DH542,$DH542)*$DM$5:DM542,0),0))</f>
        <v/>
      </c>
      <c r="EE542">
        <f>IF($DM542=0,0,IF($ED542=$DE542,1,0))</f>
        <v/>
      </c>
      <c r="EF542">
        <f>EF541+$EE542</f>
        <v/>
      </c>
      <c r="EG542">
        <f>IF($DM542=0,"",INDEX($EF$5:$EF$1003,$ED542))</f>
        <v/>
      </c>
      <c r="EH542">
        <f>IF($DM542=0,"",IF($DO542&lt;&gt;"","",IFERROR(LOOKUP(2,1/(($EG$4:EG541=$EG542)*($DO$4:DO541&lt;&gt;"")),$DO$4:DO541),"")))</f>
        <v/>
      </c>
      <c r="EI542">
        <f>IF($DM542=0,"",IF($DO542&lt;&gt;"",$DO542,$EH542))</f>
        <v/>
      </c>
      <c r="EJ542">
        <f>IF($DM542=0,"",IF($EI542="",0,IF(OR(ISNUMBER($EI542),AND(AND(SUBSTITUTE(SUBSTITUTE(SUBSTITUTE(SUBSTITUTE(SUBSTITUTE(SUBSTITUTE(SUBSTITUTE(SUBSTITUTE(SUBSTITUTE(SUBSTITUTE(SUBSTITUTE(SUBSTITUTE(SUBSTITUTE(SUBSTITUTE(UPPER($EI542),"0",""),"1",""),"2",""),"3",""),"4",""),"5",""),"6",""),"7",""),"8",""),"9",""),".",""),"+",""),"-",""),"E","")="",LEN(SUBSTITUTE(SUBSTITUTE(MID(UPPER($EI542),1+OR(LEFT(UPPER($EI542),1)="+",LEFT(UPPER($EI542),1)="-"),999),"E+","E"),"E-","E"))=LEN(SUBSTITUTE(SUBSTITUTE(SUBSTITUTE(SUBSTITUTE(MID(UPPER($EI542),1+OR(LEFT(UPPER($EI542),1)="+",LEFT(UPPER($EI542),1)="-"),999),"E+","E"),"E-","E"),"+",""),"-","")),LEN(UPPER($EI542))-LEN(SUBSTITUTE(UPPER($EI542),"E",""))&lt;2,LEN(UPPER($EI542))-LEN(SUBSTITUTE(UPPER($EI542),".",""))&lt;2,IFERROR(FIND(".",UPPER($EI542)),0)&lt;IFERROR(FIND("E",UPPER($EI542)),999)),ISNUMBER(VALUE($EI542)))),1,2)))</f>
        <v/>
      </c>
      <c r="EK542">
        <f>IF($DM542=0,"",IF($EJ542=1,IF(ISNUMBER($EI542),$EI542,VALUE($EI542)),IF($EJ542=2,$DE542,0)))</f>
        <v/>
      </c>
      <c r="EL542">
        <f>IF($DM542=0,"",COUNTIF($EG$5:$EG$1003,"&lt;"&amp;$EG542)+SUMPRODUCT(($EG$5:$EG$1003=$EG542)*(($EJ$5:$EJ$1003&lt;$EJ542)+($EJ$5:$EJ$1003=$EJ542)*(($EK$5:$EK$1003&lt;$EK542)+($EK$5:$EK$1003=$EK542)*($DE$5:$DE$1003&lt;$DE542))))+1)</f>
        <v/>
      </c>
      <c r="EM542">
        <f>IF($DM542=0,"",$EL542+$EG542-1)</f>
        <v/>
      </c>
      <c r="EN542">
        <f>IF($DM542=0,0,IFERROR(MATCH(1,INDEX(--(TRIM(SUBSTITUTE(SUBSTITUTE(SUBSTITUTE(SUBSTITUTE(LINES_NAME&amp;""," "," "),CHAR(9)," "),CHAR(10)," "),CHAR(13)," "))=$DH542),0),0),0))</f>
        <v/>
      </c>
      <c r="EO542">
        <f>IF($EN542=0,0,IF(OR(UPPER(TRIM(INDEX(LINES_SCHEDULED,$EN542)&amp;""))="YES",UPPER(TRIM(INDEX(LINES_SCHEDULED,$EN542)&amp;""))="Y",UPPER(TRIM(INDEX(LINES_SCHEDULED,$EN542)&amp;""))="X"),1,0))</f>
        <v/>
      </c>
      <c r="EP542">
        <f>IF($DM542=0,"",IF(COUNTIFS($EG$5:$EG$1003,$EG542,$EB$5:$EB$1003,"Ready")&gt;0,"READY",IF(COUNTIFS($EG$5:$EG$1003,$EG542,$EB$5:$EB$1003,"PM")&gt;0,"PM",IF(COUNTIFS($EG$5:$EG$1003,$EG542,$EB$5:$EB$1003,"OT")&gt;0,"OT",""))))</f>
        <v/>
      </c>
      <c r="EQ542">
        <f>IF($EN542=0,"",UPPER(TRIM(INDEX(LINES_STATUS,$EN542)&amp;"")))</f>
        <v/>
      </c>
      <c r="ER542">
        <f>IF($DM542=0,"",IF(OR($EQ542="READY",$EQ542="PM",$EQ542="OT"),$EQ542,$EP542))</f>
        <v/>
      </c>
      <c r="ES542">
        <f>IF($DM542=0,"",IF(AND($DV542&lt;&gt;"",UPPER($DV542)&lt;&gt;"N"),"allergen",IF(ISNUMBER(SEARCH("oil",$DQ542)),"oil",IF(OR(EXACT($DS542,"A662"),EXACT($DS542,"A624")),"bulk",""))))</f>
        <v/>
      </c>
      <c r="ET542">
        <f>IF($DM542=0,"",IF(OR($EA542="",$EA542=0),"",$EA542/100))</f>
        <v/>
      </c>
      <c r="EU542">
        <f>IF(OR($ET542="",$DY542=""),"",INT($DY542*(1-$ET542)+0.5))</f>
        <v/>
      </c>
      <c r="EW542" t="n">
        <v>538</v>
      </c>
      <c r="EX542">
        <f>IFERROR(MATCH($EW542,$EM$5:$EM$1003,0),0)</f>
        <v/>
      </c>
      <c r="EY542">
        <f>IF($EW542&gt;$B$12,"",IF($EX542&gt;0,"row","spacer"))</f>
        <v/>
      </c>
      <c r="EZ542">
        <f>IF(AND($EY542="row",$EY541&lt;&gt;"row"),1,0)</f>
        <v/>
      </c>
      <c r="FA542">
        <f>IF(AND($EY542="row",$EY543&lt;&gt;"row"),1,0)</f>
        <v/>
      </c>
      <c r="FB542">
        <f>IF($EZ542=1,IFERROR(IF(ISNUMBER(INDEX(PASTE_ALL,INDEX($DF$5:$DF$1003,$EX542),$B$37)),INDEX(PASTE_ALL,INDEX($DF$5:$DF$1003,$EX542),$B$37),INDEX($DH$5:$DH$1003,$EX542)),INDEX($DH$5:$DH$1003,$EX542)),"")</f>
        <v/>
      </c>
      <c r="FC542">
        <f>IF($EY542="row",INDEX($ER$5:$ER$1003,$EX542),"")</f>
        <v/>
      </c>
      <c r="FD542">
        <f>IF($EY542="row",INDEX($DN$5:$DN$1003,$EX542),"")</f>
        <v/>
      </c>
      <c r="FE542">
        <f>IF($EY542="row",INDEX($DO$5:$DO$1003,$EX542),"")</f>
        <v/>
      </c>
      <c r="FF542">
        <f>IF($EY542="row",INDEX($DP$5:$DP$1003,$EX542),"")</f>
        <v/>
      </c>
      <c r="FG542">
        <f>IF($EY542="row",INDEX($DQ$5:$DQ$1003,$EX542),"")</f>
        <v/>
      </c>
      <c r="FH542">
        <f>IF($EY542="row",INDEX($DR$5:$DR$1003,$EX542),"")</f>
        <v/>
      </c>
      <c r="FI542">
        <f>IF($EY542="row",INDEX($DS$5:$DS$1003,$EX542),"")</f>
        <v/>
      </c>
      <c r="FJ542">
        <f>IF($EY542="row",INDEX($DT$5:$DT$1003,$EX542),"")</f>
        <v/>
      </c>
      <c r="FK542">
        <f>IF($EY542="row",INDEX($DU$5:$DU$1003,$EX542),"")</f>
        <v/>
      </c>
      <c r="FL542">
        <f>IF($EY542="row",INDEX($DV$5:$DV$1003,$EX542),"")</f>
        <v/>
      </c>
      <c r="FM542">
        <f>IF($EY542="row",INDEX($DW$5:$DW$1003,$EX542),"")</f>
        <v/>
      </c>
      <c r="FN542">
        <f>IF($EY542="row",INDEX($DY$5:$DY$1003,$EX542),"")</f>
        <v/>
      </c>
      <c r="FO542">
        <f>IF($EY542="row",INDEX($EA$5:$EA$1003,$EX542),"")</f>
        <v/>
      </c>
      <c r="FP542">
        <f>IF($EY542="row",INDEX($EC$5:$EC$1003,$EX542),"")</f>
        <v/>
      </c>
      <c r="FQ542">
        <f>IF($EY542="row",INDEX($ET$5:$ET$1003,$EX542),"")</f>
        <v/>
      </c>
      <c r="FR542">
        <f>IF($EY542="row",INDEX($EU$5:$EU$1003,$EX542),"")</f>
        <v/>
      </c>
      <c r="FS542">
        <f>IF(AND($EY542="row",$EY541="row"),IF(OR(INDEX($DT$5:$DT$1003,$EX541)="",INDEX($DT$5:$DT$1003,$EX542)=""),"",IF(NOT(EXACT(INDEX($DT$5:$DT$1003,$EX541),INDEX($DT$5:$DT$1003,$EX542))),"S4",IF(NOT(EXACT(INDEX($DS$5:$DS$1003,$EX541),INDEX($DS$5:$DS$1003,$EX542))),"S3",IF(NOT(EXACT(INDEX($DR$5:$DR$1003,$EX541),INDEX($DR$5:$DR$1003,$EX542))),"S1 Count Change","S1")))),"")</f>
        <v/>
      </c>
      <c r="FT542">
        <f>IF($EY542="row",INDEX($ES$5:$ES$1003,$EX542),"")</f>
        <v/>
      </c>
      <c r="FU542">
        <f>IF($EY542="row",INDEX($EO$5:$EO$1003,$EX542),0)</f>
        <v/>
      </c>
      <c r="FV542">
        <f>IF($FS542="S1 Count Change",1,0)</f>
        <v/>
      </c>
    </row>
    <row r="543">
      <c r="DA543" t="n">
        <v>539</v>
      </c>
      <c r="DB543">
        <f>IF($B$37=0,"",IFERROR(TRIM(SUBSTITUTE(SUBSTITUTE(SUBSTITUTE(SUBSTITUTE(INDEX(PASTE_ALL,539,$B$37)," "," "),CHAR(9)," "),CHAR(10)," "),CHAR(13)," ")),""))</f>
        <v/>
      </c>
      <c r="DC543">
        <f>IF(AND(539&gt;HEADER_ROW,UPPER(DB543)="LEGEND"),1,0)</f>
        <v/>
      </c>
      <c r="DE543" t="n">
        <v>539</v>
      </c>
      <c r="DF543">
        <f>HEADER_ROW+$DE543</f>
        <v/>
      </c>
      <c r="DG543">
        <f>IF(AND($DF543&lt;=1000,$DF543&lt;$B$8),1,0)</f>
        <v/>
      </c>
      <c r="DH543">
        <f>IF($DG543=1,IFERROR(INDEX($DB$5:$DB$1004,$DF543),""),"")</f>
        <v/>
      </c>
      <c r="DI543">
        <f>IF(AND($DG543=1,$DH543&lt;&gt;""),IFERROR(SUBSTITUTE(SUBSTITUTE(TRIM(SUBSTITUTE(SUBSTITUTE(SUBSTITUTE(SUBSTITUTE(IFERROR(INDEX(PASTE_ALL,$DF543,1)&amp;"","")&amp;"␟"&amp;IFERROR(INDEX(PASTE_ALL,$DF543,2)&amp;"","")&amp;"␟"&amp;IFERROR(INDEX(PASTE_ALL,$DF543,3)&amp;"","")&amp;"␟"&amp;IFERROR(INDEX(PASTE_ALL,$DF543,4)&amp;"","")&amp;"␟"&amp;IFERROR(INDEX(PASTE_ALL,$DF543,5)&amp;"","")&amp;"␟"&amp;IFERROR(INDEX(PASTE_ALL,$DF543,6)&amp;"","")&amp;"␟"&amp;IFERROR(INDEX(PASTE_ALL,$DF543,7)&amp;"","")&amp;"␟"&amp;IFERROR(INDEX(PASTE_ALL,$DF543,8)&amp;"","")&amp;"␟"&amp;IFERROR(INDEX(PASTE_ALL,$DF543,9)&amp;"","")&amp;"␟"&amp;IFERROR(INDEX(PASTE_ALL,$DF543,10)&amp;"","")&amp;"␟"&amp;IFERROR(INDEX(PASTE_ALL,$DF543,11)&amp;"","")&amp;"␟"&amp;IFERROR(INDEX(PASTE_ALL,$DF543,12)&amp;"","")&amp;"␟"&amp;IFERROR(INDEX(PASTE_ALL,$DF543,13)&amp;"","")&amp;"␟"&amp;IFERROR(INDEX(PASTE_ALL,$DF543,14)&amp;"","")&amp;"␟"&amp;IFERROR(INDEX(PASTE_ALL,$DF543,15)&amp;"","")&amp;"␟"&amp;IFERROR(INDEX(PASTE_ALL,$DF543,16)&amp;"","")&amp;"␟"&amp;IFERROR(INDEX(PASTE_ALL,$DF543,17)&amp;"","")&amp;"␟"&amp;IFERROR(INDEX(PASTE_ALL,$DF543,18)&amp;"","")&amp;"␟"&amp;IFERROR(INDEX(PASTE_ALL,$DF543,19)&amp;"","")&amp;"␟"&amp;IFERROR(INDEX(PASTE_ALL,$DF543,20)&amp;"","")&amp;"␟"&amp;IFERROR(INDEX(PASTE_ALL,$DF543,21)&amp;"","")&amp;"␟"&amp;IFERROR(INDEX(PASTE_ALL,$DF543,22)&amp;"","")&amp;"␟"&amp;IFERROR(INDEX(PASTE_ALL,$DF543,23)&amp;"","")&amp;"␟"&amp;IFERROR(INDEX(PASTE_ALL,$DF543,24)&amp;"","")&amp;"␟"&amp;IFERROR(INDEX(PASTE_ALL,$DF543,25)&amp;"","")&amp;"␟"&amp;IFERROR(INDEX(PASTE_ALL,$DF543,26)&amp;"","")&amp;"␟"&amp;IFERROR(INDEX(PASTE_ALL,$DF543,27)&amp;"","")&amp;"␟"&amp;IFERROR(INDEX(PASTE_ALL,$DF543,28)&amp;"","")&amp;"␟"&amp;IFERROR(INDEX(PASTE_ALL,$DF543,29)&amp;"","")&amp;"␟"&amp;IFERROR(INDEX(PASTE_ALL,$DF543,30)&amp;"","")&amp;"␟"&amp;IFERROR(INDEX(PASTE_ALL,$DF543,31)&amp;"","")&amp;"␟"&amp;IFERROR(INDEX(PASTE_ALL,$DF543,32)&amp;"","")&amp;"␟"&amp;IFERROR(INDEX(PASTE_ALL,$DF543,33)&amp;"","")&amp;"␟"&amp;IFERROR(INDEX(PASTE_ALL,$DF543,34)&amp;"","")&amp;"␟"&amp;IFERROR(INDEX(PASTE_ALL,$DF543,35)&amp;"","")&amp;"␟"&amp;IFERROR(INDEX(PASTE_ALL,$DF543,36)&amp;"","")&amp;"␟"&amp;IFERROR(INDEX(PASTE_ALL,$DF543,37)&amp;"","")&amp;"␟"&amp;IFERROR(INDEX(PASTE_ALL,$DF543,38)&amp;"","")&amp;"␟"&amp;IFERROR(INDEX(PASTE_ALL,$DF543,39)&amp;"","")&amp;"␟"&amp;IFERROR(INDEX(PASTE_ALL,$DF543,40)&amp;"","")&amp;"␟"&amp;IFERROR(INDEX(PASTE_ALL,$DF543,41)&amp;"","")&amp;"␟"&amp;IFERROR(INDEX(PASTE_ALL,$DF543,42)&amp;"","")&amp;"␟"&amp;IFERROR(INDEX(PASTE_ALL,$DF543,43)&amp;"","")&amp;"␟"&amp;IFERROR(INDEX(PASTE_ALL,$DF543,44)&amp;"","")&amp;"␟"&amp;IFERROR(INDEX(PASTE_ALL,$DF543,45)&amp;"","")&amp;"␟"&amp;IFERROR(INDEX(PASTE_ALL,$DF543,46)&amp;"","")&amp;"␟"&amp;IFERROR(INDEX(PASTE_ALL,$DF543,47)&amp;"","")&amp;"␟"&amp;IFERROR(INDEX(PASTE_ALL,$DF543,48)&amp;"","")&amp;"␟"&amp;IFERROR(INDEX(PASTE_ALL,$DF543,49)&amp;"","")&amp;"␟"&amp;IFERROR(INDEX(PASTE_ALL,$DF543,50)&amp;"","")&amp;"␟"&amp;IFERROR(INDEX(PASTE_ALL,$DF543,51)&amp;"","")&amp;"␟"&amp;IFERROR(INDEX(PASTE_ALL,$DF543,52)&amp;"","")&amp;"␟"&amp;IFERROR(INDEX(PASTE_ALL,$DF543,53)&amp;"","")&amp;"␟"&amp;IFERROR(INDEX(PASTE_ALL,$DF543,54)&amp;"","")&amp;"␟"&amp;IFERROR(INDEX(PASTE_ALL,$DF543,55)&amp;"","")&amp;"␟"&amp;IFERROR(INDEX(PASTE_ALL,$DF543,56)&amp;"","")&amp;"␟"&amp;IFERROR(INDEX(PASTE_ALL,$DF543,57)&amp;"","")&amp;"␟"&amp;IFERROR(INDEX(PASTE_ALL,$DF543,58)&amp;"","")&amp;"␟"&amp;IFERROR(INDEX(PASTE_ALL,$DF543,59)&amp;"","")&amp;"␟"&amp;IFERROR(INDEX(PASTE_ALL,$DF543,60)&amp;"","")," "," "),CHAR(9)," "),CHAR(10)," "),CHAR(13)," "))," ␟","␟"),"␟ ","␟"),"#"&amp;$DE543),"")</f>
        <v/>
      </c>
      <c r="DJ543">
        <f>IF($DI543="",0,IF(SUMPRODUCT(--EXACT($DI$4:DI542,$DI543))&gt;0,1,0))</f>
        <v/>
      </c>
      <c r="DK543">
        <f>IF(AND($DI543&lt;&gt;"",$DJ543=0),1,0)</f>
        <v/>
      </c>
      <c r="DL543">
        <f>DL542+$DK543</f>
        <v/>
      </c>
      <c r="DM543">
        <f>IF(AND($DK543=1,$DL543&lt;=600),1,0)</f>
        <v/>
      </c>
      <c r="DN543">
        <f>IF($DM543=0,"",IF($L$6=0,"",IFERROR(IF(ISNUMBER(INDEX(PASTE_ALL,$DF543,$L$6)),INDEX(PASTE_ALL,$DF543,$L$6),TRIM(SUBSTITUTE(SUBSTITUTE(SUBSTITUTE(SUBSTITUTE(INDEX(PASTE_ALL,$DF543,$L$6)," "," "),CHAR(9)," "),CHAR(10)," "),CHAR(13)," "))),"")))</f>
        <v/>
      </c>
      <c r="DO543">
        <f>IF($DM543=0,"",IF($L$7=0,"",IFERROR(IF(ISNUMBER(INDEX(PASTE_ALL,$DF543,$L$7)),INDEX(PASTE_ALL,$DF543,$L$7),TRIM(SUBSTITUTE(SUBSTITUTE(SUBSTITUTE(SUBSTITUTE(INDEX(PASTE_ALL,$DF543,$L$7)," "," "),CHAR(9)," "),CHAR(10)," "),CHAR(13)," "))),"")))</f>
        <v/>
      </c>
      <c r="DP543">
        <f>IF($DM543=0,"",IF($L$8=0,"",IFERROR(IF(ISNUMBER(INDEX(PASTE_ALL,$DF543,$L$8)),INDEX(PASTE_ALL,$DF543,$L$8),TRIM(SUBSTITUTE(SUBSTITUTE(SUBSTITUTE(SUBSTITUTE(INDEX(PASTE_ALL,$DF543,$L$8)," "," "),CHAR(9)," "),CHAR(10)," "),CHAR(13)," "))),"")))</f>
        <v/>
      </c>
      <c r="DQ543">
        <f>IF($DM543=0,"",IF($L$9=0,"",IFERROR(IF(ISNUMBER(INDEX(PASTE_ALL,$DF543,$L$9)),INDEX(PASTE_ALL,$DF543,$L$9),TRIM(SUBSTITUTE(SUBSTITUTE(SUBSTITUTE(SUBSTITUTE(INDEX(PASTE_ALL,$DF543,$L$9)," "," "),CHAR(9)," "),CHAR(10)," "),CHAR(13)," "))),"")))</f>
        <v/>
      </c>
      <c r="DR543">
        <f>IF($DM543=0,"",IF($L$10=0,"",IFERROR(IF(ISNUMBER(INDEX(PASTE_ALL,$DF543,$L$10)),INDEX(PASTE_ALL,$DF543,$L$10),TRIM(SUBSTITUTE(SUBSTITUTE(SUBSTITUTE(SUBSTITUTE(INDEX(PASTE_ALL,$DF543,$L$10)," "," "),CHAR(9)," "),CHAR(10)," "),CHAR(13)," "))),"")))</f>
        <v/>
      </c>
      <c r="DS543">
        <f>IF($DM543=0,"",IF($L$11=0,"",IFERROR(IF(ISNUMBER(INDEX(PASTE_ALL,$DF543,$L$11)),INDEX(PASTE_ALL,$DF543,$L$11),TRIM(SUBSTITUTE(SUBSTITUTE(SUBSTITUTE(SUBSTITUTE(INDEX(PASTE_ALL,$DF543,$L$11)," "," "),CHAR(9)," "),CHAR(10)," "),CHAR(13)," "))),"")))</f>
        <v/>
      </c>
      <c r="DT543">
        <f>IF($DM543=0,"",IF($L$12=0,"",IFERROR(IF(ISNUMBER(INDEX(PASTE_ALL,$DF543,$L$12)),INDEX(PASTE_ALL,$DF543,$L$12),TRIM(SUBSTITUTE(SUBSTITUTE(SUBSTITUTE(SUBSTITUTE(INDEX(PASTE_ALL,$DF543,$L$12)," "," "),CHAR(9)," "),CHAR(10)," "),CHAR(13)," "))),"")))</f>
        <v/>
      </c>
      <c r="DU543">
        <f>IF($DM543=0,"",IF($L$13=0,"",IFERROR(IF(ISNUMBER(INDEX(PASTE_ALL,$DF543,$L$13)),INDEX(PASTE_ALL,$DF543,$L$13),TRIM(SUBSTITUTE(SUBSTITUTE(SUBSTITUTE(SUBSTITUTE(INDEX(PASTE_ALL,$DF543,$L$13)," "," "),CHAR(9)," "),CHAR(10)," "),CHAR(13)," "))),"")))</f>
        <v/>
      </c>
      <c r="DV543">
        <f>IF($DM543=0,"",IF($L$14=0,"",IFERROR(IF(ISNUMBER(INDEX(PASTE_ALL,$DF543,$L$14)),INDEX(PASTE_ALL,$DF543,$L$14),TRIM(SUBSTITUTE(SUBSTITUTE(SUBSTITUTE(SUBSTITUTE(INDEX(PASTE_ALL,$DF543,$L$14)," "," "),CHAR(9)," "),CHAR(10)," "),CHAR(13)," "))),"")))</f>
        <v/>
      </c>
      <c r="DW543">
        <f>IF($DM543=0,"",IF($L$15=0,"",IFERROR(IF(ISNUMBER(INDEX(PASTE_ALL,$DF543,$L$15)),INDEX(PASTE_ALL,$DF543,$L$15),IF(SUMPRODUCT(--ISNUMBER(FIND({"A","B","C","D","E","F","G","H","I","J","K","L","M","N","O","P","Q","R","S","T","U","V","W","X","Y","Z","0","1","2","3","4","5","6","7","8","9"},UPPER(TRIM(SUBSTITUTE(SUBSTITUTE(SUBSTITUTE(SUBSTITUTE(INDEX(PASTE_ALL,$DF543,$L$15)," "," "),CHAR(9)," "),CHAR(10)," "),CHAR(13)," "))))))&gt;0,TRIM(SUBSTITUTE(SUBSTITUTE(SUBSTITUTE(SUBSTITUTE(INDEX(PASTE_ALL,$DF543,$L$15)," "," "),CHAR(9)," "),CHAR(10)," "),CHAR(13)," ")),"")),"")))</f>
        <v/>
      </c>
      <c r="DX543">
        <f>IF($DM543=0,"",IF($L$16=0,"",IFERROR(IF(ISNUMBER(INDEX(PASTE_ALL,$DF543,$L$16)),INDEX(PASTE_ALL,$DF543,$L$16),SUBSTITUTE(SUBSTITUTE(TRIM(SUBSTITUTE(SUBSTITUTE(SUBSTITUTE(SUBSTITUTE(INDEX(PASTE_ALL,$DF543,$L$16)," "," "),CHAR(9)," "),CHAR(10)," "),CHAR(13)," ")),",",""),"%","")),"")))</f>
        <v/>
      </c>
      <c r="DY543">
        <f>IF($DM543=0,"",IFERROR(IF(ISNUMBER($DX543),$DX543,IF($DX543="","",IF(TRIM($DX543)="",0,IF(AND(AND(SUBSTITUTE(SUBSTITUTE(SUBSTITUTE(SUBSTITUTE(SUBSTITUTE(SUBSTITUTE(SUBSTITUTE(SUBSTITUTE(SUBSTITUTE(SUBSTITUTE(SUBSTITUTE(SUBSTITUTE(SUBSTITUTE(SUBSTITUTE(UPPER(TRIM($DX543)),"0",""),"1",""),"2",""),"3",""),"4",""),"5",""),"6",""),"7",""),"8",""),"9",""),".",""),"+",""),"-",""),"E","")="",LEN(SUBSTITUTE(SUBSTITUTE(MID(UPPER(TRIM($DX543)),1+OR(LEFT(UPPER(TRIM($DX543)),1)="+",LEFT(UPPER(TRIM($DX543)),1)="-"),999),"E+","E"),"E-","E"))=LEN(SUBSTITUTE(SUBSTITUTE(SUBSTITUTE(SUBSTITUTE(MID(UPPER(TRIM($DX543)),1+OR(LEFT(UPPER(TRIM($DX543)),1)="+",LEFT(UPPER(TRIM($DX543)),1)="-"),999),"E+","E"),"E-","E"),"+",""),"-","")),LEN(UPPER(TRIM($DX543)))-LEN(SUBSTITUTE(UPPER(TRIM($DX543)),"E",""))&lt;2,LEN(UPPER(TRIM($DX543)))-LEN(SUBSTITUTE(UPPER(TRIM($DX543)),".",""))&lt;2,IFERROR(FIND(".",UPPER(TRIM($DX543))),0)&lt;IFERROR(FIND("E",UPPER(TRIM($DX543))),999)),ISNUMBER(VALUE(TRIM($DX543)))),VALUE(TRIM($DX543)),"")))),""))</f>
        <v/>
      </c>
      <c r="DZ543">
        <f>IF($DM543=0,"",IF($L$17=0,"",IFERROR(IF(ISNUMBER(INDEX(PASTE_ALL,$DF543,$L$17)),INDEX(PASTE_ALL,$DF543,$L$17),SUBSTITUTE(SUBSTITUTE(TRIM(SUBSTITUTE(SUBSTITUTE(SUBSTITUTE(SUBSTITUTE(INDEX(PASTE_ALL,$DF543,$L$17)," "," "),CHAR(9)," "),CHAR(10)," "),CHAR(13)," ")),",",""),"%","")),"")))</f>
        <v/>
      </c>
      <c r="EA543">
        <f>IF($DM543=0,"",IFERROR(IF(ISNUMBER($DZ543),$DZ543,IF($DZ543="","",IF(TRIM($DZ543)="",0,IF(AND(AND(SUBSTITUTE(SUBSTITUTE(SUBSTITUTE(SUBSTITUTE(SUBSTITUTE(SUBSTITUTE(SUBSTITUTE(SUBSTITUTE(SUBSTITUTE(SUBSTITUTE(SUBSTITUTE(SUBSTITUTE(SUBSTITUTE(SUBSTITUTE(UPPER(TRIM($DZ543)),"0",""),"1",""),"2",""),"3",""),"4",""),"5",""),"6",""),"7",""),"8",""),"9",""),".",""),"+",""),"-",""),"E","")="",LEN(SUBSTITUTE(SUBSTITUTE(MID(UPPER(TRIM($DZ543)),1+OR(LEFT(UPPER(TRIM($DZ543)),1)="+",LEFT(UPPER(TRIM($DZ543)),1)="-"),999),"E+","E"),"E-","E"))=LEN(SUBSTITUTE(SUBSTITUTE(SUBSTITUTE(SUBSTITUTE(MID(UPPER(TRIM($DZ543)),1+OR(LEFT(UPPER(TRIM($DZ543)),1)="+",LEFT(UPPER(TRIM($DZ543)),1)="-"),999),"E+","E"),"E-","E"),"+",""),"-","")),LEN(UPPER(TRIM($DZ543)))-LEN(SUBSTITUTE(UPPER(TRIM($DZ543)),"E",""))&lt;2,LEN(UPPER(TRIM($DZ543)))-LEN(SUBSTITUTE(UPPER(TRIM($DZ543)),".",""))&lt;2,IFERROR(FIND(".",UPPER(TRIM($DZ543))),0)&lt;IFERROR(FIND("E",UPPER(TRIM($DZ543))),999)),ISNUMBER(VALUE(TRIM($DZ543)))),VALUE(TRIM($DZ543)),"")))),""))</f>
        <v/>
      </c>
      <c r="EB543">
        <f>IF($DM543=0,"",IF($L$18=0,"",IFERROR(IF(UPPER(TRIM(SUBSTITUTE(SUBSTITUTE(SUBSTITUTE(SUBSTITUTE(INDEX(PASTE_ALL,$DF543,$L$18)," "," "),CHAR(9)," "),CHAR(10)," "),CHAR(13)," ")))="READY","Ready",IF(UPPER(TRIM(SUBSTITUTE(SUBSTITUTE(SUBSTITUTE(SUBSTITUTE(INDEX(PASTE_ALL,$DF543,$L$18)," "," "),CHAR(9)," "),CHAR(10)," "),CHAR(13)," ")))="PM","PM",IF(OR(UPPER(TRIM(SUBSTITUTE(SUBSTITUTE(SUBSTITUTE(SUBSTITUTE(INDEX(PASTE_ALL,$DF543,$L$18)," "," "),CHAR(9)," "),CHAR(10)," "),CHAR(13)," ")))="OT",UPPER(TRIM(SUBSTITUTE(SUBSTITUTE(SUBSTITUTE(SUBSTITUTE(INDEX(PASTE_ALL,$DF543,$L$18)," "," "),CHAR(9)," "),CHAR(10)," "),CHAR(13)," ")))="OVERTIME",UPPER(TRIM(SUBSTITUTE(SUBSTITUTE(SUBSTITUTE(SUBSTITUTE(INDEX(PASTE_ALL,$DF543,$L$18)," "," "),CHAR(9)," "),CHAR(10)," "),CHAR(13)," ")))="TRIAL"),"OT",TRIM(SUBSTITUTE(SUBSTITUTE(SUBSTITUTE(SUBSTITUTE(INDEX(PASTE_ALL,$DF543,$L$18)," "," "),CHAR(9)," "),CHAR(10)," "),CHAR(13)," "))))),"")))</f>
        <v/>
      </c>
      <c r="EC543">
        <f>IF($DM543=0,"",IF($L$19=0,"",IFERROR(IF(ISNUMBER(INDEX(PASTE_ALL,$DF543,$L$19)),INDEX(PASTE_ALL,$DF543,$L$19),TRIM(SUBSTITUTE(SUBSTITUTE(SUBSTITUTE(SUBSTITUTE(INDEX(PASTE_ALL,$DF543,$L$19)," "," "),CHAR(9)," "),CHAR(10)," "),CHAR(13)," "))),"")))</f>
        <v/>
      </c>
      <c r="ED543">
        <f>IF($DM543=0,"",MATCH(1,INDEX(EXACT($DH$5:DH543,$DH543)*$DM$5:DM543,0),0))</f>
        <v/>
      </c>
      <c r="EE543">
        <f>IF($DM543=0,0,IF($ED543=$DE543,1,0))</f>
        <v/>
      </c>
      <c r="EF543">
        <f>EF542+$EE543</f>
        <v/>
      </c>
      <c r="EG543">
        <f>IF($DM543=0,"",INDEX($EF$5:$EF$1003,$ED543))</f>
        <v/>
      </c>
      <c r="EH543">
        <f>IF($DM543=0,"",IF($DO543&lt;&gt;"","",IFERROR(LOOKUP(2,1/(($EG$4:EG542=$EG543)*($DO$4:DO542&lt;&gt;"")),$DO$4:DO542),"")))</f>
        <v/>
      </c>
      <c r="EI543">
        <f>IF($DM543=0,"",IF($DO543&lt;&gt;"",$DO543,$EH543))</f>
        <v/>
      </c>
      <c r="EJ543">
        <f>IF($DM543=0,"",IF($EI543="",0,IF(OR(ISNUMBER($EI543),AND(AND(SUBSTITUTE(SUBSTITUTE(SUBSTITUTE(SUBSTITUTE(SUBSTITUTE(SUBSTITUTE(SUBSTITUTE(SUBSTITUTE(SUBSTITUTE(SUBSTITUTE(SUBSTITUTE(SUBSTITUTE(SUBSTITUTE(SUBSTITUTE(UPPER($EI543),"0",""),"1",""),"2",""),"3",""),"4",""),"5",""),"6",""),"7",""),"8",""),"9",""),".",""),"+",""),"-",""),"E","")="",LEN(SUBSTITUTE(SUBSTITUTE(MID(UPPER($EI543),1+OR(LEFT(UPPER($EI543),1)="+",LEFT(UPPER($EI543),1)="-"),999),"E+","E"),"E-","E"))=LEN(SUBSTITUTE(SUBSTITUTE(SUBSTITUTE(SUBSTITUTE(MID(UPPER($EI543),1+OR(LEFT(UPPER($EI543),1)="+",LEFT(UPPER($EI543),1)="-"),999),"E+","E"),"E-","E"),"+",""),"-","")),LEN(UPPER($EI543))-LEN(SUBSTITUTE(UPPER($EI543),"E",""))&lt;2,LEN(UPPER($EI543))-LEN(SUBSTITUTE(UPPER($EI543),".",""))&lt;2,IFERROR(FIND(".",UPPER($EI543)),0)&lt;IFERROR(FIND("E",UPPER($EI543)),999)),ISNUMBER(VALUE($EI543)))),1,2)))</f>
        <v/>
      </c>
      <c r="EK543">
        <f>IF($DM543=0,"",IF($EJ543=1,IF(ISNUMBER($EI543),$EI543,VALUE($EI543)),IF($EJ543=2,$DE543,0)))</f>
        <v/>
      </c>
      <c r="EL543">
        <f>IF($DM543=0,"",COUNTIF($EG$5:$EG$1003,"&lt;"&amp;$EG543)+SUMPRODUCT(($EG$5:$EG$1003=$EG543)*(($EJ$5:$EJ$1003&lt;$EJ543)+($EJ$5:$EJ$1003=$EJ543)*(($EK$5:$EK$1003&lt;$EK543)+($EK$5:$EK$1003=$EK543)*($DE$5:$DE$1003&lt;$DE543))))+1)</f>
        <v/>
      </c>
      <c r="EM543">
        <f>IF($DM543=0,"",$EL543+$EG543-1)</f>
        <v/>
      </c>
      <c r="EN543">
        <f>IF($DM543=0,0,IFERROR(MATCH(1,INDEX(--(TRIM(SUBSTITUTE(SUBSTITUTE(SUBSTITUTE(SUBSTITUTE(LINES_NAME&amp;""," "," "),CHAR(9)," "),CHAR(10)," "),CHAR(13)," "))=$DH543),0),0),0))</f>
        <v/>
      </c>
      <c r="EO543">
        <f>IF($EN543=0,0,IF(OR(UPPER(TRIM(INDEX(LINES_SCHEDULED,$EN543)&amp;""))="YES",UPPER(TRIM(INDEX(LINES_SCHEDULED,$EN543)&amp;""))="Y",UPPER(TRIM(INDEX(LINES_SCHEDULED,$EN543)&amp;""))="X"),1,0))</f>
        <v/>
      </c>
      <c r="EP543">
        <f>IF($DM543=0,"",IF(COUNTIFS($EG$5:$EG$1003,$EG543,$EB$5:$EB$1003,"Ready")&gt;0,"READY",IF(COUNTIFS($EG$5:$EG$1003,$EG543,$EB$5:$EB$1003,"PM")&gt;0,"PM",IF(COUNTIFS($EG$5:$EG$1003,$EG543,$EB$5:$EB$1003,"OT")&gt;0,"OT",""))))</f>
        <v/>
      </c>
      <c r="EQ543">
        <f>IF($EN543=0,"",UPPER(TRIM(INDEX(LINES_STATUS,$EN543)&amp;"")))</f>
        <v/>
      </c>
      <c r="ER543">
        <f>IF($DM543=0,"",IF(OR($EQ543="READY",$EQ543="PM",$EQ543="OT"),$EQ543,$EP543))</f>
        <v/>
      </c>
      <c r="ES543">
        <f>IF($DM543=0,"",IF(AND($DV543&lt;&gt;"",UPPER($DV543)&lt;&gt;"N"),"allergen",IF(ISNUMBER(SEARCH("oil",$DQ543)),"oil",IF(OR(EXACT($DS543,"A662"),EXACT($DS543,"A624")),"bulk",""))))</f>
        <v/>
      </c>
      <c r="ET543">
        <f>IF($DM543=0,"",IF(OR($EA543="",$EA543=0),"",$EA543/100))</f>
        <v/>
      </c>
      <c r="EU543">
        <f>IF(OR($ET543="",$DY543=""),"",INT($DY543*(1-$ET543)+0.5))</f>
        <v/>
      </c>
      <c r="EW543" t="n">
        <v>539</v>
      </c>
      <c r="EX543">
        <f>IFERROR(MATCH($EW543,$EM$5:$EM$1003,0),0)</f>
        <v/>
      </c>
      <c r="EY543">
        <f>IF($EW543&gt;$B$12,"",IF($EX543&gt;0,"row","spacer"))</f>
        <v/>
      </c>
      <c r="EZ543">
        <f>IF(AND($EY543="row",$EY542&lt;&gt;"row"),1,0)</f>
        <v/>
      </c>
      <c r="FA543">
        <f>IF(AND($EY543="row",$EY544&lt;&gt;"row"),1,0)</f>
        <v/>
      </c>
      <c r="FB543">
        <f>IF($EZ543=1,IFERROR(IF(ISNUMBER(INDEX(PASTE_ALL,INDEX($DF$5:$DF$1003,$EX543),$B$37)),INDEX(PASTE_ALL,INDEX($DF$5:$DF$1003,$EX543),$B$37),INDEX($DH$5:$DH$1003,$EX543)),INDEX($DH$5:$DH$1003,$EX543)),"")</f>
        <v/>
      </c>
      <c r="FC543">
        <f>IF($EY543="row",INDEX($ER$5:$ER$1003,$EX543),"")</f>
        <v/>
      </c>
      <c r="FD543">
        <f>IF($EY543="row",INDEX($DN$5:$DN$1003,$EX543),"")</f>
        <v/>
      </c>
      <c r="FE543">
        <f>IF($EY543="row",INDEX($DO$5:$DO$1003,$EX543),"")</f>
        <v/>
      </c>
      <c r="FF543">
        <f>IF($EY543="row",INDEX($DP$5:$DP$1003,$EX543),"")</f>
        <v/>
      </c>
      <c r="FG543">
        <f>IF($EY543="row",INDEX($DQ$5:$DQ$1003,$EX543),"")</f>
        <v/>
      </c>
      <c r="FH543">
        <f>IF($EY543="row",INDEX($DR$5:$DR$1003,$EX543),"")</f>
        <v/>
      </c>
      <c r="FI543">
        <f>IF($EY543="row",INDEX($DS$5:$DS$1003,$EX543),"")</f>
        <v/>
      </c>
      <c r="FJ543">
        <f>IF($EY543="row",INDEX($DT$5:$DT$1003,$EX543),"")</f>
        <v/>
      </c>
      <c r="FK543">
        <f>IF($EY543="row",INDEX($DU$5:$DU$1003,$EX543),"")</f>
        <v/>
      </c>
      <c r="FL543">
        <f>IF($EY543="row",INDEX($DV$5:$DV$1003,$EX543),"")</f>
        <v/>
      </c>
      <c r="FM543">
        <f>IF($EY543="row",INDEX($DW$5:$DW$1003,$EX543),"")</f>
        <v/>
      </c>
      <c r="FN543">
        <f>IF($EY543="row",INDEX($DY$5:$DY$1003,$EX543),"")</f>
        <v/>
      </c>
      <c r="FO543">
        <f>IF($EY543="row",INDEX($EA$5:$EA$1003,$EX543),"")</f>
        <v/>
      </c>
      <c r="FP543">
        <f>IF($EY543="row",INDEX($EC$5:$EC$1003,$EX543),"")</f>
        <v/>
      </c>
      <c r="FQ543">
        <f>IF($EY543="row",INDEX($ET$5:$ET$1003,$EX543),"")</f>
        <v/>
      </c>
      <c r="FR543">
        <f>IF($EY543="row",INDEX($EU$5:$EU$1003,$EX543),"")</f>
        <v/>
      </c>
      <c r="FS543">
        <f>IF(AND($EY543="row",$EY542="row"),IF(OR(INDEX($DT$5:$DT$1003,$EX542)="",INDEX($DT$5:$DT$1003,$EX543)=""),"",IF(NOT(EXACT(INDEX($DT$5:$DT$1003,$EX542),INDEX($DT$5:$DT$1003,$EX543))),"S4",IF(NOT(EXACT(INDEX($DS$5:$DS$1003,$EX542),INDEX($DS$5:$DS$1003,$EX543))),"S3",IF(NOT(EXACT(INDEX($DR$5:$DR$1003,$EX542),INDEX($DR$5:$DR$1003,$EX543))),"S1 Count Change","S1")))),"")</f>
        <v/>
      </c>
      <c r="FT543">
        <f>IF($EY543="row",INDEX($ES$5:$ES$1003,$EX543),"")</f>
        <v/>
      </c>
      <c r="FU543">
        <f>IF($EY543="row",INDEX($EO$5:$EO$1003,$EX543),0)</f>
        <v/>
      </c>
      <c r="FV543">
        <f>IF($FS543="S1 Count Change",1,0)</f>
        <v/>
      </c>
    </row>
    <row r="544">
      <c r="DA544" t="n">
        <v>540</v>
      </c>
      <c r="DB544">
        <f>IF($B$37=0,"",IFERROR(TRIM(SUBSTITUTE(SUBSTITUTE(SUBSTITUTE(SUBSTITUTE(INDEX(PASTE_ALL,540,$B$37)," "," "),CHAR(9)," "),CHAR(10)," "),CHAR(13)," ")),""))</f>
        <v/>
      </c>
      <c r="DC544">
        <f>IF(AND(540&gt;HEADER_ROW,UPPER(DB544)="LEGEND"),1,0)</f>
        <v/>
      </c>
      <c r="DE544" t="n">
        <v>540</v>
      </c>
      <c r="DF544">
        <f>HEADER_ROW+$DE544</f>
        <v/>
      </c>
      <c r="DG544">
        <f>IF(AND($DF544&lt;=1000,$DF544&lt;$B$8),1,0)</f>
        <v/>
      </c>
      <c r="DH544">
        <f>IF($DG544=1,IFERROR(INDEX($DB$5:$DB$1004,$DF544),""),"")</f>
        <v/>
      </c>
      <c r="DI544">
        <f>IF(AND($DG544=1,$DH544&lt;&gt;""),IFERROR(SUBSTITUTE(SUBSTITUTE(TRIM(SUBSTITUTE(SUBSTITUTE(SUBSTITUTE(SUBSTITUTE(IFERROR(INDEX(PASTE_ALL,$DF544,1)&amp;"","")&amp;"␟"&amp;IFERROR(INDEX(PASTE_ALL,$DF544,2)&amp;"","")&amp;"␟"&amp;IFERROR(INDEX(PASTE_ALL,$DF544,3)&amp;"","")&amp;"␟"&amp;IFERROR(INDEX(PASTE_ALL,$DF544,4)&amp;"","")&amp;"␟"&amp;IFERROR(INDEX(PASTE_ALL,$DF544,5)&amp;"","")&amp;"␟"&amp;IFERROR(INDEX(PASTE_ALL,$DF544,6)&amp;"","")&amp;"␟"&amp;IFERROR(INDEX(PASTE_ALL,$DF544,7)&amp;"","")&amp;"␟"&amp;IFERROR(INDEX(PASTE_ALL,$DF544,8)&amp;"","")&amp;"␟"&amp;IFERROR(INDEX(PASTE_ALL,$DF544,9)&amp;"","")&amp;"␟"&amp;IFERROR(INDEX(PASTE_ALL,$DF544,10)&amp;"","")&amp;"␟"&amp;IFERROR(INDEX(PASTE_ALL,$DF544,11)&amp;"","")&amp;"␟"&amp;IFERROR(INDEX(PASTE_ALL,$DF544,12)&amp;"","")&amp;"␟"&amp;IFERROR(INDEX(PASTE_ALL,$DF544,13)&amp;"","")&amp;"␟"&amp;IFERROR(INDEX(PASTE_ALL,$DF544,14)&amp;"","")&amp;"␟"&amp;IFERROR(INDEX(PASTE_ALL,$DF544,15)&amp;"","")&amp;"␟"&amp;IFERROR(INDEX(PASTE_ALL,$DF544,16)&amp;"","")&amp;"␟"&amp;IFERROR(INDEX(PASTE_ALL,$DF544,17)&amp;"","")&amp;"␟"&amp;IFERROR(INDEX(PASTE_ALL,$DF544,18)&amp;"","")&amp;"␟"&amp;IFERROR(INDEX(PASTE_ALL,$DF544,19)&amp;"","")&amp;"␟"&amp;IFERROR(INDEX(PASTE_ALL,$DF544,20)&amp;"","")&amp;"␟"&amp;IFERROR(INDEX(PASTE_ALL,$DF544,21)&amp;"","")&amp;"␟"&amp;IFERROR(INDEX(PASTE_ALL,$DF544,22)&amp;"","")&amp;"␟"&amp;IFERROR(INDEX(PASTE_ALL,$DF544,23)&amp;"","")&amp;"␟"&amp;IFERROR(INDEX(PASTE_ALL,$DF544,24)&amp;"","")&amp;"␟"&amp;IFERROR(INDEX(PASTE_ALL,$DF544,25)&amp;"","")&amp;"␟"&amp;IFERROR(INDEX(PASTE_ALL,$DF544,26)&amp;"","")&amp;"␟"&amp;IFERROR(INDEX(PASTE_ALL,$DF544,27)&amp;"","")&amp;"␟"&amp;IFERROR(INDEX(PASTE_ALL,$DF544,28)&amp;"","")&amp;"␟"&amp;IFERROR(INDEX(PASTE_ALL,$DF544,29)&amp;"","")&amp;"␟"&amp;IFERROR(INDEX(PASTE_ALL,$DF544,30)&amp;"","")&amp;"␟"&amp;IFERROR(INDEX(PASTE_ALL,$DF544,31)&amp;"","")&amp;"␟"&amp;IFERROR(INDEX(PASTE_ALL,$DF544,32)&amp;"","")&amp;"␟"&amp;IFERROR(INDEX(PASTE_ALL,$DF544,33)&amp;"","")&amp;"␟"&amp;IFERROR(INDEX(PASTE_ALL,$DF544,34)&amp;"","")&amp;"␟"&amp;IFERROR(INDEX(PASTE_ALL,$DF544,35)&amp;"","")&amp;"␟"&amp;IFERROR(INDEX(PASTE_ALL,$DF544,36)&amp;"","")&amp;"␟"&amp;IFERROR(INDEX(PASTE_ALL,$DF544,37)&amp;"","")&amp;"␟"&amp;IFERROR(INDEX(PASTE_ALL,$DF544,38)&amp;"","")&amp;"␟"&amp;IFERROR(INDEX(PASTE_ALL,$DF544,39)&amp;"","")&amp;"␟"&amp;IFERROR(INDEX(PASTE_ALL,$DF544,40)&amp;"","")&amp;"␟"&amp;IFERROR(INDEX(PASTE_ALL,$DF544,41)&amp;"","")&amp;"␟"&amp;IFERROR(INDEX(PASTE_ALL,$DF544,42)&amp;"","")&amp;"␟"&amp;IFERROR(INDEX(PASTE_ALL,$DF544,43)&amp;"","")&amp;"␟"&amp;IFERROR(INDEX(PASTE_ALL,$DF544,44)&amp;"","")&amp;"␟"&amp;IFERROR(INDEX(PASTE_ALL,$DF544,45)&amp;"","")&amp;"␟"&amp;IFERROR(INDEX(PASTE_ALL,$DF544,46)&amp;"","")&amp;"␟"&amp;IFERROR(INDEX(PASTE_ALL,$DF544,47)&amp;"","")&amp;"␟"&amp;IFERROR(INDEX(PASTE_ALL,$DF544,48)&amp;"","")&amp;"␟"&amp;IFERROR(INDEX(PASTE_ALL,$DF544,49)&amp;"","")&amp;"␟"&amp;IFERROR(INDEX(PASTE_ALL,$DF544,50)&amp;"","")&amp;"␟"&amp;IFERROR(INDEX(PASTE_ALL,$DF544,51)&amp;"","")&amp;"␟"&amp;IFERROR(INDEX(PASTE_ALL,$DF544,52)&amp;"","")&amp;"␟"&amp;IFERROR(INDEX(PASTE_ALL,$DF544,53)&amp;"","")&amp;"␟"&amp;IFERROR(INDEX(PASTE_ALL,$DF544,54)&amp;"","")&amp;"␟"&amp;IFERROR(INDEX(PASTE_ALL,$DF544,55)&amp;"","")&amp;"␟"&amp;IFERROR(INDEX(PASTE_ALL,$DF544,56)&amp;"","")&amp;"␟"&amp;IFERROR(INDEX(PASTE_ALL,$DF544,57)&amp;"","")&amp;"␟"&amp;IFERROR(INDEX(PASTE_ALL,$DF544,58)&amp;"","")&amp;"␟"&amp;IFERROR(INDEX(PASTE_ALL,$DF544,59)&amp;"","")&amp;"␟"&amp;IFERROR(INDEX(PASTE_ALL,$DF544,60)&amp;"","")," "," "),CHAR(9)," "),CHAR(10)," "),CHAR(13)," "))," ␟","␟"),"␟ ","␟"),"#"&amp;$DE544),"")</f>
        <v/>
      </c>
      <c r="DJ544">
        <f>IF($DI544="",0,IF(SUMPRODUCT(--EXACT($DI$4:DI543,$DI544))&gt;0,1,0))</f>
        <v/>
      </c>
      <c r="DK544">
        <f>IF(AND($DI544&lt;&gt;"",$DJ544=0),1,0)</f>
        <v/>
      </c>
      <c r="DL544">
        <f>DL543+$DK544</f>
        <v/>
      </c>
      <c r="DM544">
        <f>IF(AND($DK544=1,$DL544&lt;=600),1,0)</f>
        <v/>
      </c>
      <c r="DN544">
        <f>IF($DM544=0,"",IF($L$6=0,"",IFERROR(IF(ISNUMBER(INDEX(PASTE_ALL,$DF544,$L$6)),INDEX(PASTE_ALL,$DF544,$L$6),TRIM(SUBSTITUTE(SUBSTITUTE(SUBSTITUTE(SUBSTITUTE(INDEX(PASTE_ALL,$DF544,$L$6)," "," "),CHAR(9)," "),CHAR(10)," "),CHAR(13)," "))),"")))</f>
        <v/>
      </c>
      <c r="DO544">
        <f>IF($DM544=0,"",IF($L$7=0,"",IFERROR(IF(ISNUMBER(INDEX(PASTE_ALL,$DF544,$L$7)),INDEX(PASTE_ALL,$DF544,$L$7),TRIM(SUBSTITUTE(SUBSTITUTE(SUBSTITUTE(SUBSTITUTE(INDEX(PASTE_ALL,$DF544,$L$7)," "," "),CHAR(9)," "),CHAR(10)," "),CHAR(13)," "))),"")))</f>
        <v/>
      </c>
      <c r="DP544">
        <f>IF($DM544=0,"",IF($L$8=0,"",IFERROR(IF(ISNUMBER(INDEX(PASTE_ALL,$DF544,$L$8)),INDEX(PASTE_ALL,$DF544,$L$8),TRIM(SUBSTITUTE(SUBSTITUTE(SUBSTITUTE(SUBSTITUTE(INDEX(PASTE_ALL,$DF544,$L$8)," "," "),CHAR(9)," "),CHAR(10)," "),CHAR(13)," "))),"")))</f>
        <v/>
      </c>
      <c r="DQ544">
        <f>IF($DM544=0,"",IF($L$9=0,"",IFERROR(IF(ISNUMBER(INDEX(PASTE_ALL,$DF544,$L$9)),INDEX(PASTE_ALL,$DF544,$L$9),TRIM(SUBSTITUTE(SUBSTITUTE(SUBSTITUTE(SUBSTITUTE(INDEX(PASTE_ALL,$DF544,$L$9)," "," "),CHAR(9)," "),CHAR(10)," "),CHAR(13)," "))),"")))</f>
        <v/>
      </c>
      <c r="DR544">
        <f>IF($DM544=0,"",IF($L$10=0,"",IFERROR(IF(ISNUMBER(INDEX(PASTE_ALL,$DF544,$L$10)),INDEX(PASTE_ALL,$DF544,$L$10),TRIM(SUBSTITUTE(SUBSTITUTE(SUBSTITUTE(SUBSTITUTE(INDEX(PASTE_ALL,$DF544,$L$10)," "," "),CHAR(9)," "),CHAR(10)," "),CHAR(13)," "))),"")))</f>
        <v/>
      </c>
      <c r="DS544">
        <f>IF($DM544=0,"",IF($L$11=0,"",IFERROR(IF(ISNUMBER(INDEX(PASTE_ALL,$DF544,$L$11)),INDEX(PASTE_ALL,$DF544,$L$11),TRIM(SUBSTITUTE(SUBSTITUTE(SUBSTITUTE(SUBSTITUTE(INDEX(PASTE_ALL,$DF544,$L$11)," "," "),CHAR(9)," "),CHAR(10)," "),CHAR(13)," "))),"")))</f>
        <v/>
      </c>
      <c r="DT544">
        <f>IF($DM544=0,"",IF($L$12=0,"",IFERROR(IF(ISNUMBER(INDEX(PASTE_ALL,$DF544,$L$12)),INDEX(PASTE_ALL,$DF544,$L$12),TRIM(SUBSTITUTE(SUBSTITUTE(SUBSTITUTE(SUBSTITUTE(INDEX(PASTE_ALL,$DF544,$L$12)," "," "),CHAR(9)," "),CHAR(10)," "),CHAR(13)," "))),"")))</f>
        <v/>
      </c>
      <c r="DU544">
        <f>IF($DM544=0,"",IF($L$13=0,"",IFERROR(IF(ISNUMBER(INDEX(PASTE_ALL,$DF544,$L$13)),INDEX(PASTE_ALL,$DF544,$L$13),TRIM(SUBSTITUTE(SUBSTITUTE(SUBSTITUTE(SUBSTITUTE(INDEX(PASTE_ALL,$DF544,$L$13)," "," "),CHAR(9)," "),CHAR(10)," "),CHAR(13)," "))),"")))</f>
        <v/>
      </c>
      <c r="DV544">
        <f>IF($DM544=0,"",IF($L$14=0,"",IFERROR(IF(ISNUMBER(INDEX(PASTE_ALL,$DF544,$L$14)),INDEX(PASTE_ALL,$DF544,$L$14),TRIM(SUBSTITUTE(SUBSTITUTE(SUBSTITUTE(SUBSTITUTE(INDEX(PASTE_ALL,$DF544,$L$14)," "," "),CHAR(9)," "),CHAR(10)," "),CHAR(13)," "))),"")))</f>
        <v/>
      </c>
      <c r="DW544">
        <f>IF($DM544=0,"",IF($L$15=0,"",IFERROR(IF(ISNUMBER(INDEX(PASTE_ALL,$DF544,$L$15)),INDEX(PASTE_ALL,$DF544,$L$15),IF(SUMPRODUCT(--ISNUMBER(FIND({"A","B","C","D","E","F","G","H","I","J","K","L","M","N","O","P","Q","R","S","T","U","V","W","X","Y","Z","0","1","2","3","4","5","6","7","8","9"},UPPER(TRIM(SUBSTITUTE(SUBSTITUTE(SUBSTITUTE(SUBSTITUTE(INDEX(PASTE_ALL,$DF544,$L$15)," "," "),CHAR(9)," "),CHAR(10)," "),CHAR(13)," "))))))&gt;0,TRIM(SUBSTITUTE(SUBSTITUTE(SUBSTITUTE(SUBSTITUTE(INDEX(PASTE_ALL,$DF544,$L$15)," "," "),CHAR(9)," "),CHAR(10)," "),CHAR(13)," ")),"")),"")))</f>
        <v/>
      </c>
      <c r="DX544">
        <f>IF($DM544=0,"",IF($L$16=0,"",IFERROR(IF(ISNUMBER(INDEX(PASTE_ALL,$DF544,$L$16)),INDEX(PASTE_ALL,$DF544,$L$16),SUBSTITUTE(SUBSTITUTE(TRIM(SUBSTITUTE(SUBSTITUTE(SUBSTITUTE(SUBSTITUTE(INDEX(PASTE_ALL,$DF544,$L$16)," "," "),CHAR(9)," "),CHAR(10)," "),CHAR(13)," ")),",",""),"%","")),"")))</f>
        <v/>
      </c>
      <c r="DY544">
        <f>IF($DM544=0,"",IFERROR(IF(ISNUMBER($DX544),$DX544,IF($DX544="","",IF(TRIM($DX544)="",0,IF(AND(AND(SUBSTITUTE(SUBSTITUTE(SUBSTITUTE(SUBSTITUTE(SUBSTITUTE(SUBSTITUTE(SUBSTITUTE(SUBSTITUTE(SUBSTITUTE(SUBSTITUTE(SUBSTITUTE(SUBSTITUTE(SUBSTITUTE(SUBSTITUTE(UPPER(TRIM($DX544)),"0",""),"1",""),"2",""),"3",""),"4",""),"5",""),"6",""),"7",""),"8",""),"9",""),".",""),"+",""),"-",""),"E","")="",LEN(SUBSTITUTE(SUBSTITUTE(MID(UPPER(TRIM($DX544)),1+OR(LEFT(UPPER(TRIM($DX544)),1)="+",LEFT(UPPER(TRIM($DX544)),1)="-"),999),"E+","E"),"E-","E"))=LEN(SUBSTITUTE(SUBSTITUTE(SUBSTITUTE(SUBSTITUTE(MID(UPPER(TRIM($DX544)),1+OR(LEFT(UPPER(TRIM($DX544)),1)="+",LEFT(UPPER(TRIM($DX544)),1)="-"),999),"E+","E"),"E-","E"),"+",""),"-","")),LEN(UPPER(TRIM($DX544)))-LEN(SUBSTITUTE(UPPER(TRIM($DX544)),"E",""))&lt;2,LEN(UPPER(TRIM($DX544)))-LEN(SUBSTITUTE(UPPER(TRIM($DX544)),".",""))&lt;2,IFERROR(FIND(".",UPPER(TRIM($DX544))),0)&lt;IFERROR(FIND("E",UPPER(TRIM($DX544))),999)),ISNUMBER(VALUE(TRIM($DX544)))),VALUE(TRIM($DX544)),"")))),""))</f>
        <v/>
      </c>
      <c r="DZ544">
        <f>IF($DM544=0,"",IF($L$17=0,"",IFERROR(IF(ISNUMBER(INDEX(PASTE_ALL,$DF544,$L$17)),INDEX(PASTE_ALL,$DF544,$L$17),SUBSTITUTE(SUBSTITUTE(TRIM(SUBSTITUTE(SUBSTITUTE(SUBSTITUTE(SUBSTITUTE(INDEX(PASTE_ALL,$DF544,$L$17)," "," "),CHAR(9)," "),CHAR(10)," "),CHAR(13)," ")),",",""),"%","")),"")))</f>
        <v/>
      </c>
      <c r="EA544">
        <f>IF($DM544=0,"",IFERROR(IF(ISNUMBER($DZ544),$DZ544,IF($DZ544="","",IF(TRIM($DZ544)="",0,IF(AND(AND(SUBSTITUTE(SUBSTITUTE(SUBSTITUTE(SUBSTITUTE(SUBSTITUTE(SUBSTITUTE(SUBSTITUTE(SUBSTITUTE(SUBSTITUTE(SUBSTITUTE(SUBSTITUTE(SUBSTITUTE(SUBSTITUTE(SUBSTITUTE(UPPER(TRIM($DZ544)),"0",""),"1",""),"2",""),"3",""),"4",""),"5",""),"6",""),"7",""),"8",""),"9",""),".",""),"+",""),"-",""),"E","")="",LEN(SUBSTITUTE(SUBSTITUTE(MID(UPPER(TRIM($DZ544)),1+OR(LEFT(UPPER(TRIM($DZ544)),1)="+",LEFT(UPPER(TRIM($DZ544)),1)="-"),999),"E+","E"),"E-","E"))=LEN(SUBSTITUTE(SUBSTITUTE(SUBSTITUTE(SUBSTITUTE(MID(UPPER(TRIM($DZ544)),1+OR(LEFT(UPPER(TRIM($DZ544)),1)="+",LEFT(UPPER(TRIM($DZ544)),1)="-"),999),"E+","E"),"E-","E"),"+",""),"-","")),LEN(UPPER(TRIM($DZ544)))-LEN(SUBSTITUTE(UPPER(TRIM($DZ544)),"E",""))&lt;2,LEN(UPPER(TRIM($DZ544)))-LEN(SUBSTITUTE(UPPER(TRIM($DZ544)),".",""))&lt;2,IFERROR(FIND(".",UPPER(TRIM($DZ544))),0)&lt;IFERROR(FIND("E",UPPER(TRIM($DZ544))),999)),ISNUMBER(VALUE(TRIM($DZ544)))),VALUE(TRIM($DZ544)),"")))),""))</f>
        <v/>
      </c>
      <c r="EB544">
        <f>IF($DM544=0,"",IF($L$18=0,"",IFERROR(IF(UPPER(TRIM(SUBSTITUTE(SUBSTITUTE(SUBSTITUTE(SUBSTITUTE(INDEX(PASTE_ALL,$DF544,$L$18)," "," "),CHAR(9)," "),CHAR(10)," "),CHAR(13)," ")))="READY","Ready",IF(UPPER(TRIM(SUBSTITUTE(SUBSTITUTE(SUBSTITUTE(SUBSTITUTE(INDEX(PASTE_ALL,$DF544,$L$18)," "," "),CHAR(9)," "),CHAR(10)," "),CHAR(13)," ")))="PM","PM",IF(OR(UPPER(TRIM(SUBSTITUTE(SUBSTITUTE(SUBSTITUTE(SUBSTITUTE(INDEX(PASTE_ALL,$DF544,$L$18)," "," "),CHAR(9)," "),CHAR(10)," "),CHAR(13)," ")))="OT",UPPER(TRIM(SUBSTITUTE(SUBSTITUTE(SUBSTITUTE(SUBSTITUTE(INDEX(PASTE_ALL,$DF544,$L$18)," "," "),CHAR(9)," "),CHAR(10)," "),CHAR(13)," ")))="OVERTIME",UPPER(TRIM(SUBSTITUTE(SUBSTITUTE(SUBSTITUTE(SUBSTITUTE(INDEX(PASTE_ALL,$DF544,$L$18)," "," "),CHAR(9)," "),CHAR(10)," "),CHAR(13)," ")))="TRIAL"),"OT",TRIM(SUBSTITUTE(SUBSTITUTE(SUBSTITUTE(SUBSTITUTE(INDEX(PASTE_ALL,$DF544,$L$18)," "," "),CHAR(9)," "),CHAR(10)," "),CHAR(13)," "))))),"")))</f>
        <v/>
      </c>
      <c r="EC544">
        <f>IF($DM544=0,"",IF($L$19=0,"",IFERROR(IF(ISNUMBER(INDEX(PASTE_ALL,$DF544,$L$19)),INDEX(PASTE_ALL,$DF544,$L$19),TRIM(SUBSTITUTE(SUBSTITUTE(SUBSTITUTE(SUBSTITUTE(INDEX(PASTE_ALL,$DF544,$L$19)," "," "),CHAR(9)," "),CHAR(10)," "),CHAR(13)," "))),"")))</f>
        <v/>
      </c>
      <c r="ED544">
        <f>IF($DM544=0,"",MATCH(1,INDEX(EXACT($DH$5:DH544,$DH544)*$DM$5:DM544,0),0))</f>
        <v/>
      </c>
      <c r="EE544">
        <f>IF($DM544=0,0,IF($ED544=$DE544,1,0))</f>
        <v/>
      </c>
      <c r="EF544">
        <f>EF543+$EE544</f>
        <v/>
      </c>
      <c r="EG544">
        <f>IF($DM544=0,"",INDEX($EF$5:$EF$1003,$ED544))</f>
        <v/>
      </c>
      <c r="EH544">
        <f>IF($DM544=0,"",IF($DO544&lt;&gt;"","",IFERROR(LOOKUP(2,1/(($EG$4:EG543=$EG544)*($DO$4:DO543&lt;&gt;"")),$DO$4:DO543),"")))</f>
        <v/>
      </c>
      <c r="EI544">
        <f>IF($DM544=0,"",IF($DO544&lt;&gt;"",$DO544,$EH544))</f>
        <v/>
      </c>
      <c r="EJ544">
        <f>IF($DM544=0,"",IF($EI544="",0,IF(OR(ISNUMBER($EI544),AND(AND(SUBSTITUTE(SUBSTITUTE(SUBSTITUTE(SUBSTITUTE(SUBSTITUTE(SUBSTITUTE(SUBSTITUTE(SUBSTITUTE(SUBSTITUTE(SUBSTITUTE(SUBSTITUTE(SUBSTITUTE(SUBSTITUTE(SUBSTITUTE(UPPER($EI544),"0",""),"1",""),"2",""),"3",""),"4",""),"5",""),"6",""),"7",""),"8",""),"9",""),".",""),"+",""),"-",""),"E","")="",LEN(SUBSTITUTE(SUBSTITUTE(MID(UPPER($EI544),1+OR(LEFT(UPPER($EI544),1)="+",LEFT(UPPER($EI544),1)="-"),999),"E+","E"),"E-","E"))=LEN(SUBSTITUTE(SUBSTITUTE(SUBSTITUTE(SUBSTITUTE(MID(UPPER($EI544),1+OR(LEFT(UPPER($EI544),1)="+",LEFT(UPPER($EI544),1)="-"),999),"E+","E"),"E-","E"),"+",""),"-","")),LEN(UPPER($EI544))-LEN(SUBSTITUTE(UPPER($EI544),"E",""))&lt;2,LEN(UPPER($EI544))-LEN(SUBSTITUTE(UPPER($EI544),".",""))&lt;2,IFERROR(FIND(".",UPPER($EI544)),0)&lt;IFERROR(FIND("E",UPPER($EI544)),999)),ISNUMBER(VALUE($EI544)))),1,2)))</f>
        <v/>
      </c>
      <c r="EK544">
        <f>IF($DM544=0,"",IF($EJ544=1,IF(ISNUMBER($EI544),$EI544,VALUE($EI544)),IF($EJ544=2,$DE544,0)))</f>
        <v/>
      </c>
      <c r="EL544">
        <f>IF($DM544=0,"",COUNTIF($EG$5:$EG$1003,"&lt;"&amp;$EG544)+SUMPRODUCT(($EG$5:$EG$1003=$EG544)*(($EJ$5:$EJ$1003&lt;$EJ544)+($EJ$5:$EJ$1003=$EJ544)*(($EK$5:$EK$1003&lt;$EK544)+($EK$5:$EK$1003=$EK544)*($DE$5:$DE$1003&lt;$DE544))))+1)</f>
        <v/>
      </c>
      <c r="EM544">
        <f>IF($DM544=0,"",$EL544+$EG544-1)</f>
        <v/>
      </c>
      <c r="EN544">
        <f>IF($DM544=0,0,IFERROR(MATCH(1,INDEX(--(TRIM(SUBSTITUTE(SUBSTITUTE(SUBSTITUTE(SUBSTITUTE(LINES_NAME&amp;""," "," "),CHAR(9)," "),CHAR(10)," "),CHAR(13)," "))=$DH544),0),0),0))</f>
        <v/>
      </c>
      <c r="EO544">
        <f>IF($EN544=0,0,IF(OR(UPPER(TRIM(INDEX(LINES_SCHEDULED,$EN544)&amp;""))="YES",UPPER(TRIM(INDEX(LINES_SCHEDULED,$EN544)&amp;""))="Y",UPPER(TRIM(INDEX(LINES_SCHEDULED,$EN544)&amp;""))="X"),1,0))</f>
        <v/>
      </c>
      <c r="EP544">
        <f>IF($DM544=0,"",IF(COUNTIFS($EG$5:$EG$1003,$EG544,$EB$5:$EB$1003,"Ready")&gt;0,"READY",IF(COUNTIFS($EG$5:$EG$1003,$EG544,$EB$5:$EB$1003,"PM")&gt;0,"PM",IF(COUNTIFS($EG$5:$EG$1003,$EG544,$EB$5:$EB$1003,"OT")&gt;0,"OT",""))))</f>
        <v/>
      </c>
      <c r="EQ544">
        <f>IF($EN544=0,"",UPPER(TRIM(INDEX(LINES_STATUS,$EN544)&amp;"")))</f>
        <v/>
      </c>
      <c r="ER544">
        <f>IF($DM544=0,"",IF(OR($EQ544="READY",$EQ544="PM",$EQ544="OT"),$EQ544,$EP544))</f>
        <v/>
      </c>
      <c r="ES544">
        <f>IF($DM544=0,"",IF(AND($DV544&lt;&gt;"",UPPER($DV544)&lt;&gt;"N"),"allergen",IF(ISNUMBER(SEARCH("oil",$DQ544)),"oil",IF(OR(EXACT($DS544,"A662"),EXACT($DS544,"A624")),"bulk",""))))</f>
        <v/>
      </c>
      <c r="ET544">
        <f>IF($DM544=0,"",IF(OR($EA544="",$EA544=0),"",$EA544/100))</f>
        <v/>
      </c>
      <c r="EU544">
        <f>IF(OR($ET544="",$DY544=""),"",INT($DY544*(1-$ET544)+0.5))</f>
        <v/>
      </c>
      <c r="EW544" t="n">
        <v>540</v>
      </c>
      <c r="EX544">
        <f>IFERROR(MATCH($EW544,$EM$5:$EM$1003,0),0)</f>
        <v/>
      </c>
      <c r="EY544">
        <f>IF($EW544&gt;$B$12,"",IF($EX544&gt;0,"row","spacer"))</f>
        <v/>
      </c>
      <c r="EZ544">
        <f>IF(AND($EY544="row",$EY543&lt;&gt;"row"),1,0)</f>
        <v/>
      </c>
      <c r="FA544">
        <f>IF(AND($EY544="row",$EY545&lt;&gt;"row"),1,0)</f>
        <v/>
      </c>
      <c r="FB544">
        <f>IF($EZ544=1,IFERROR(IF(ISNUMBER(INDEX(PASTE_ALL,INDEX($DF$5:$DF$1003,$EX544),$B$37)),INDEX(PASTE_ALL,INDEX($DF$5:$DF$1003,$EX544),$B$37),INDEX($DH$5:$DH$1003,$EX544)),INDEX($DH$5:$DH$1003,$EX544)),"")</f>
        <v/>
      </c>
      <c r="FC544">
        <f>IF($EY544="row",INDEX($ER$5:$ER$1003,$EX544),"")</f>
        <v/>
      </c>
      <c r="FD544">
        <f>IF($EY544="row",INDEX($DN$5:$DN$1003,$EX544),"")</f>
        <v/>
      </c>
      <c r="FE544">
        <f>IF($EY544="row",INDEX($DO$5:$DO$1003,$EX544),"")</f>
        <v/>
      </c>
      <c r="FF544">
        <f>IF($EY544="row",INDEX($DP$5:$DP$1003,$EX544),"")</f>
        <v/>
      </c>
      <c r="FG544">
        <f>IF($EY544="row",INDEX($DQ$5:$DQ$1003,$EX544),"")</f>
        <v/>
      </c>
      <c r="FH544">
        <f>IF($EY544="row",INDEX($DR$5:$DR$1003,$EX544),"")</f>
        <v/>
      </c>
      <c r="FI544">
        <f>IF($EY544="row",INDEX($DS$5:$DS$1003,$EX544),"")</f>
        <v/>
      </c>
      <c r="FJ544">
        <f>IF($EY544="row",INDEX($DT$5:$DT$1003,$EX544),"")</f>
        <v/>
      </c>
      <c r="FK544">
        <f>IF($EY544="row",INDEX($DU$5:$DU$1003,$EX544),"")</f>
        <v/>
      </c>
      <c r="FL544">
        <f>IF($EY544="row",INDEX($DV$5:$DV$1003,$EX544),"")</f>
        <v/>
      </c>
      <c r="FM544">
        <f>IF($EY544="row",INDEX($DW$5:$DW$1003,$EX544),"")</f>
        <v/>
      </c>
      <c r="FN544">
        <f>IF($EY544="row",INDEX($DY$5:$DY$1003,$EX544),"")</f>
        <v/>
      </c>
      <c r="FO544">
        <f>IF($EY544="row",INDEX($EA$5:$EA$1003,$EX544),"")</f>
        <v/>
      </c>
      <c r="FP544">
        <f>IF($EY544="row",INDEX($EC$5:$EC$1003,$EX544),"")</f>
        <v/>
      </c>
      <c r="FQ544">
        <f>IF($EY544="row",INDEX($ET$5:$ET$1003,$EX544),"")</f>
        <v/>
      </c>
      <c r="FR544">
        <f>IF($EY544="row",INDEX($EU$5:$EU$1003,$EX544),"")</f>
        <v/>
      </c>
      <c r="FS544">
        <f>IF(AND($EY544="row",$EY543="row"),IF(OR(INDEX($DT$5:$DT$1003,$EX543)="",INDEX($DT$5:$DT$1003,$EX544)=""),"",IF(NOT(EXACT(INDEX($DT$5:$DT$1003,$EX543),INDEX($DT$5:$DT$1003,$EX544))),"S4",IF(NOT(EXACT(INDEX($DS$5:$DS$1003,$EX543),INDEX($DS$5:$DS$1003,$EX544))),"S3",IF(NOT(EXACT(INDEX($DR$5:$DR$1003,$EX543),INDEX($DR$5:$DR$1003,$EX544))),"S1 Count Change","S1")))),"")</f>
        <v/>
      </c>
      <c r="FT544">
        <f>IF($EY544="row",INDEX($ES$5:$ES$1003,$EX544),"")</f>
        <v/>
      </c>
      <c r="FU544">
        <f>IF($EY544="row",INDEX($EO$5:$EO$1003,$EX544),0)</f>
        <v/>
      </c>
      <c r="FV544">
        <f>IF($FS544="S1 Count Change",1,0)</f>
        <v/>
      </c>
    </row>
    <row r="545">
      <c r="DA545" t="n">
        <v>541</v>
      </c>
      <c r="DB545">
        <f>IF($B$37=0,"",IFERROR(TRIM(SUBSTITUTE(SUBSTITUTE(SUBSTITUTE(SUBSTITUTE(INDEX(PASTE_ALL,541,$B$37)," "," "),CHAR(9)," "),CHAR(10)," "),CHAR(13)," ")),""))</f>
        <v/>
      </c>
      <c r="DC545">
        <f>IF(AND(541&gt;HEADER_ROW,UPPER(DB545)="LEGEND"),1,0)</f>
        <v/>
      </c>
      <c r="DE545" t="n">
        <v>541</v>
      </c>
      <c r="DF545">
        <f>HEADER_ROW+$DE545</f>
        <v/>
      </c>
      <c r="DG545">
        <f>IF(AND($DF545&lt;=1000,$DF545&lt;$B$8),1,0)</f>
        <v/>
      </c>
      <c r="DH545">
        <f>IF($DG545=1,IFERROR(INDEX($DB$5:$DB$1004,$DF545),""),"")</f>
        <v/>
      </c>
      <c r="DI545">
        <f>IF(AND($DG545=1,$DH545&lt;&gt;""),IFERROR(SUBSTITUTE(SUBSTITUTE(TRIM(SUBSTITUTE(SUBSTITUTE(SUBSTITUTE(SUBSTITUTE(IFERROR(INDEX(PASTE_ALL,$DF545,1)&amp;"","")&amp;"␟"&amp;IFERROR(INDEX(PASTE_ALL,$DF545,2)&amp;"","")&amp;"␟"&amp;IFERROR(INDEX(PASTE_ALL,$DF545,3)&amp;"","")&amp;"␟"&amp;IFERROR(INDEX(PASTE_ALL,$DF545,4)&amp;"","")&amp;"␟"&amp;IFERROR(INDEX(PASTE_ALL,$DF545,5)&amp;"","")&amp;"␟"&amp;IFERROR(INDEX(PASTE_ALL,$DF545,6)&amp;"","")&amp;"␟"&amp;IFERROR(INDEX(PASTE_ALL,$DF545,7)&amp;"","")&amp;"␟"&amp;IFERROR(INDEX(PASTE_ALL,$DF545,8)&amp;"","")&amp;"␟"&amp;IFERROR(INDEX(PASTE_ALL,$DF545,9)&amp;"","")&amp;"␟"&amp;IFERROR(INDEX(PASTE_ALL,$DF545,10)&amp;"","")&amp;"␟"&amp;IFERROR(INDEX(PASTE_ALL,$DF545,11)&amp;"","")&amp;"␟"&amp;IFERROR(INDEX(PASTE_ALL,$DF545,12)&amp;"","")&amp;"␟"&amp;IFERROR(INDEX(PASTE_ALL,$DF545,13)&amp;"","")&amp;"␟"&amp;IFERROR(INDEX(PASTE_ALL,$DF545,14)&amp;"","")&amp;"␟"&amp;IFERROR(INDEX(PASTE_ALL,$DF545,15)&amp;"","")&amp;"␟"&amp;IFERROR(INDEX(PASTE_ALL,$DF545,16)&amp;"","")&amp;"␟"&amp;IFERROR(INDEX(PASTE_ALL,$DF545,17)&amp;"","")&amp;"␟"&amp;IFERROR(INDEX(PASTE_ALL,$DF545,18)&amp;"","")&amp;"␟"&amp;IFERROR(INDEX(PASTE_ALL,$DF545,19)&amp;"","")&amp;"␟"&amp;IFERROR(INDEX(PASTE_ALL,$DF545,20)&amp;"","")&amp;"␟"&amp;IFERROR(INDEX(PASTE_ALL,$DF545,21)&amp;"","")&amp;"␟"&amp;IFERROR(INDEX(PASTE_ALL,$DF545,22)&amp;"","")&amp;"␟"&amp;IFERROR(INDEX(PASTE_ALL,$DF545,23)&amp;"","")&amp;"␟"&amp;IFERROR(INDEX(PASTE_ALL,$DF545,24)&amp;"","")&amp;"␟"&amp;IFERROR(INDEX(PASTE_ALL,$DF545,25)&amp;"","")&amp;"␟"&amp;IFERROR(INDEX(PASTE_ALL,$DF545,26)&amp;"","")&amp;"␟"&amp;IFERROR(INDEX(PASTE_ALL,$DF545,27)&amp;"","")&amp;"␟"&amp;IFERROR(INDEX(PASTE_ALL,$DF545,28)&amp;"","")&amp;"␟"&amp;IFERROR(INDEX(PASTE_ALL,$DF545,29)&amp;"","")&amp;"␟"&amp;IFERROR(INDEX(PASTE_ALL,$DF545,30)&amp;"","")&amp;"␟"&amp;IFERROR(INDEX(PASTE_ALL,$DF545,31)&amp;"","")&amp;"␟"&amp;IFERROR(INDEX(PASTE_ALL,$DF545,32)&amp;"","")&amp;"␟"&amp;IFERROR(INDEX(PASTE_ALL,$DF545,33)&amp;"","")&amp;"␟"&amp;IFERROR(INDEX(PASTE_ALL,$DF545,34)&amp;"","")&amp;"␟"&amp;IFERROR(INDEX(PASTE_ALL,$DF545,35)&amp;"","")&amp;"␟"&amp;IFERROR(INDEX(PASTE_ALL,$DF545,36)&amp;"","")&amp;"␟"&amp;IFERROR(INDEX(PASTE_ALL,$DF545,37)&amp;"","")&amp;"␟"&amp;IFERROR(INDEX(PASTE_ALL,$DF545,38)&amp;"","")&amp;"␟"&amp;IFERROR(INDEX(PASTE_ALL,$DF545,39)&amp;"","")&amp;"␟"&amp;IFERROR(INDEX(PASTE_ALL,$DF545,40)&amp;"","")&amp;"␟"&amp;IFERROR(INDEX(PASTE_ALL,$DF545,41)&amp;"","")&amp;"␟"&amp;IFERROR(INDEX(PASTE_ALL,$DF545,42)&amp;"","")&amp;"␟"&amp;IFERROR(INDEX(PASTE_ALL,$DF545,43)&amp;"","")&amp;"␟"&amp;IFERROR(INDEX(PASTE_ALL,$DF545,44)&amp;"","")&amp;"␟"&amp;IFERROR(INDEX(PASTE_ALL,$DF545,45)&amp;"","")&amp;"␟"&amp;IFERROR(INDEX(PASTE_ALL,$DF545,46)&amp;"","")&amp;"␟"&amp;IFERROR(INDEX(PASTE_ALL,$DF545,47)&amp;"","")&amp;"␟"&amp;IFERROR(INDEX(PASTE_ALL,$DF545,48)&amp;"","")&amp;"␟"&amp;IFERROR(INDEX(PASTE_ALL,$DF545,49)&amp;"","")&amp;"␟"&amp;IFERROR(INDEX(PASTE_ALL,$DF545,50)&amp;"","")&amp;"␟"&amp;IFERROR(INDEX(PASTE_ALL,$DF545,51)&amp;"","")&amp;"␟"&amp;IFERROR(INDEX(PASTE_ALL,$DF545,52)&amp;"","")&amp;"␟"&amp;IFERROR(INDEX(PASTE_ALL,$DF545,53)&amp;"","")&amp;"␟"&amp;IFERROR(INDEX(PASTE_ALL,$DF545,54)&amp;"","")&amp;"␟"&amp;IFERROR(INDEX(PASTE_ALL,$DF545,55)&amp;"","")&amp;"␟"&amp;IFERROR(INDEX(PASTE_ALL,$DF545,56)&amp;"","")&amp;"␟"&amp;IFERROR(INDEX(PASTE_ALL,$DF545,57)&amp;"","")&amp;"␟"&amp;IFERROR(INDEX(PASTE_ALL,$DF545,58)&amp;"","")&amp;"␟"&amp;IFERROR(INDEX(PASTE_ALL,$DF545,59)&amp;"","")&amp;"␟"&amp;IFERROR(INDEX(PASTE_ALL,$DF545,60)&amp;"","")," "," "),CHAR(9)," "),CHAR(10)," "),CHAR(13)," "))," ␟","␟"),"␟ ","␟"),"#"&amp;$DE545),"")</f>
        <v/>
      </c>
      <c r="DJ545">
        <f>IF($DI545="",0,IF(SUMPRODUCT(--EXACT($DI$4:DI544,$DI545))&gt;0,1,0))</f>
        <v/>
      </c>
      <c r="DK545">
        <f>IF(AND($DI545&lt;&gt;"",$DJ545=0),1,0)</f>
        <v/>
      </c>
      <c r="DL545">
        <f>DL544+$DK545</f>
        <v/>
      </c>
      <c r="DM545">
        <f>IF(AND($DK545=1,$DL545&lt;=600),1,0)</f>
        <v/>
      </c>
      <c r="DN545">
        <f>IF($DM545=0,"",IF($L$6=0,"",IFERROR(IF(ISNUMBER(INDEX(PASTE_ALL,$DF545,$L$6)),INDEX(PASTE_ALL,$DF545,$L$6),TRIM(SUBSTITUTE(SUBSTITUTE(SUBSTITUTE(SUBSTITUTE(INDEX(PASTE_ALL,$DF545,$L$6)," "," "),CHAR(9)," "),CHAR(10)," "),CHAR(13)," "))),"")))</f>
        <v/>
      </c>
      <c r="DO545">
        <f>IF($DM545=0,"",IF($L$7=0,"",IFERROR(IF(ISNUMBER(INDEX(PASTE_ALL,$DF545,$L$7)),INDEX(PASTE_ALL,$DF545,$L$7),TRIM(SUBSTITUTE(SUBSTITUTE(SUBSTITUTE(SUBSTITUTE(INDEX(PASTE_ALL,$DF545,$L$7)," "," "),CHAR(9)," "),CHAR(10)," "),CHAR(13)," "))),"")))</f>
        <v/>
      </c>
      <c r="DP545">
        <f>IF($DM545=0,"",IF($L$8=0,"",IFERROR(IF(ISNUMBER(INDEX(PASTE_ALL,$DF545,$L$8)),INDEX(PASTE_ALL,$DF545,$L$8),TRIM(SUBSTITUTE(SUBSTITUTE(SUBSTITUTE(SUBSTITUTE(INDEX(PASTE_ALL,$DF545,$L$8)," "," "),CHAR(9)," "),CHAR(10)," "),CHAR(13)," "))),"")))</f>
        <v/>
      </c>
      <c r="DQ545">
        <f>IF($DM545=0,"",IF($L$9=0,"",IFERROR(IF(ISNUMBER(INDEX(PASTE_ALL,$DF545,$L$9)),INDEX(PASTE_ALL,$DF545,$L$9),TRIM(SUBSTITUTE(SUBSTITUTE(SUBSTITUTE(SUBSTITUTE(INDEX(PASTE_ALL,$DF545,$L$9)," "," "),CHAR(9)," "),CHAR(10)," "),CHAR(13)," "))),"")))</f>
        <v/>
      </c>
      <c r="DR545">
        <f>IF($DM545=0,"",IF($L$10=0,"",IFERROR(IF(ISNUMBER(INDEX(PASTE_ALL,$DF545,$L$10)),INDEX(PASTE_ALL,$DF545,$L$10),TRIM(SUBSTITUTE(SUBSTITUTE(SUBSTITUTE(SUBSTITUTE(INDEX(PASTE_ALL,$DF545,$L$10)," "," "),CHAR(9)," "),CHAR(10)," "),CHAR(13)," "))),"")))</f>
        <v/>
      </c>
      <c r="DS545">
        <f>IF($DM545=0,"",IF($L$11=0,"",IFERROR(IF(ISNUMBER(INDEX(PASTE_ALL,$DF545,$L$11)),INDEX(PASTE_ALL,$DF545,$L$11),TRIM(SUBSTITUTE(SUBSTITUTE(SUBSTITUTE(SUBSTITUTE(INDEX(PASTE_ALL,$DF545,$L$11)," "," "),CHAR(9)," "),CHAR(10)," "),CHAR(13)," "))),"")))</f>
        <v/>
      </c>
      <c r="DT545">
        <f>IF($DM545=0,"",IF($L$12=0,"",IFERROR(IF(ISNUMBER(INDEX(PASTE_ALL,$DF545,$L$12)),INDEX(PASTE_ALL,$DF545,$L$12),TRIM(SUBSTITUTE(SUBSTITUTE(SUBSTITUTE(SUBSTITUTE(INDEX(PASTE_ALL,$DF545,$L$12)," "," "),CHAR(9)," "),CHAR(10)," "),CHAR(13)," "))),"")))</f>
        <v/>
      </c>
      <c r="DU545">
        <f>IF($DM545=0,"",IF($L$13=0,"",IFERROR(IF(ISNUMBER(INDEX(PASTE_ALL,$DF545,$L$13)),INDEX(PASTE_ALL,$DF545,$L$13),TRIM(SUBSTITUTE(SUBSTITUTE(SUBSTITUTE(SUBSTITUTE(INDEX(PASTE_ALL,$DF545,$L$13)," "," "),CHAR(9)," "),CHAR(10)," "),CHAR(13)," "))),"")))</f>
        <v/>
      </c>
      <c r="DV545">
        <f>IF($DM545=0,"",IF($L$14=0,"",IFERROR(IF(ISNUMBER(INDEX(PASTE_ALL,$DF545,$L$14)),INDEX(PASTE_ALL,$DF545,$L$14),TRIM(SUBSTITUTE(SUBSTITUTE(SUBSTITUTE(SUBSTITUTE(INDEX(PASTE_ALL,$DF545,$L$14)," "," "),CHAR(9)," "),CHAR(10)," "),CHAR(13)," "))),"")))</f>
        <v/>
      </c>
      <c r="DW545">
        <f>IF($DM545=0,"",IF($L$15=0,"",IFERROR(IF(ISNUMBER(INDEX(PASTE_ALL,$DF545,$L$15)),INDEX(PASTE_ALL,$DF545,$L$15),IF(SUMPRODUCT(--ISNUMBER(FIND({"A","B","C","D","E","F","G","H","I","J","K","L","M","N","O","P","Q","R","S","T","U","V","W","X","Y","Z","0","1","2","3","4","5","6","7","8","9"},UPPER(TRIM(SUBSTITUTE(SUBSTITUTE(SUBSTITUTE(SUBSTITUTE(INDEX(PASTE_ALL,$DF545,$L$15)," "," "),CHAR(9)," "),CHAR(10)," "),CHAR(13)," "))))))&gt;0,TRIM(SUBSTITUTE(SUBSTITUTE(SUBSTITUTE(SUBSTITUTE(INDEX(PASTE_ALL,$DF545,$L$15)," "," "),CHAR(9)," "),CHAR(10)," "),CHAR(13)," ")),"")),"")))</f>
        <v/>
      </c>
      <c r="DX545">
        <f>IF($DM545=0,"",IF($L$16=0,"",IFERROR(IF(ISNUMBER(INDEX(PASTE_ALL,$DF545,$L$16)),INDEX(PASTE_ALL,$DF545,$L$16),SUBSTITUTE(SUBSTITUTE(TRIM(SUBSTITUTE(SUBSTITUTE(SUBSTITUTE(SUBSTITUTE(INDEX(PASTE_ALL,$DF545,$L$16)," "," "),CHAR(9)," "),CHAR(10)," "),CHAR(13)," ")),",",""),"%","")),"")))</f>
        <v/>
      </c>
      <c r="DY545">
        <f>IF($DM545=0,"",IFERROR(IF(ISNUMBER($DX545),$DX545,IF($DX545="","",IF(TRIM($DX545)="",0,IF(AND(AND(SUBSTITUTE(SUBSTITUTE(SUBSTITUTE(SUBSTITUTE(SUBSTITUTE(SUBSTITUTE(SUBSTITUTE(SUBSTITUTE(SUBSTITUTE(SUBSTITUTE(SUBSTITUTE(SUBSTITUTE(SUBSTITUTE(SUBSTITUTE(UPPER(TRIM($DX545)),"0",""),"1",""),"2",""),"3",""),"4",""),"5",""),"6",""),"7",""),"8",""),"9",""),".",""),"+",""),"-",""),"E","")="",LEN(SUBSTITUTE(SUBSTITUTE(MID(UPPER(TRIM($DX545)),1+OR(LEFT(UPPER(TRIM($DX545)),1)="+",LEFT(UPPER(TRIM($DX545)),1)="-"),999),"E+","E"),"E-","E"))=LEN(SUBSTITUTE(SUBSTITUTE(SUBSTITUTE(SUBSTITUTE(MID(UPPER(TRIM($DX545)),1+OR(LEFT(UPPER(TRIM($DX545)),1)="+",LEFT(UPPER(TRIM($DX545)),1)="-"),999),"E+","E"),"E-","E"),"+",""),"-","")),LEN(UPPER(TRIM($DX545)))-LEN(SUBSTITUTE(UPPER(TRIM($DX545)),"E",""))&lt;2,LEN(UPPER(TRIM($DX545)))-LEN(SUBSTITUTE(UPPER(TRIM($DX545)),".",""))&lt;2,IFERROR(FIND(".",UPPER(TRIM($DX545))),0)&lt;IFERROR(FIND("E",UPPER(TRIM($DX545))),999)),ISNUMBER(VALUE(TRIM($DX545)))),VALUE(TRIM($DX545)),"")))),""))</f>
        <v/>
      </c>
      <c r="DZ545">
        <f>IF($DM545=0,"",IF($L$17=0,"",IFERROR(IF(ISNUMBER(INDEX(PASTE_ALL,$DF545,$L$17)),INDEX(PASTE_ALL,$DF545,$L$17),SUBSTITUTE(SUBSTITUTE(TRIM(SUBSTITUTE(SUBSTITUTE(SUBSTITUTE(SUBSTITUTE(INDEX(PASTE_ALL,$DF545,$L$17)," "," "),CHAR(9)," "),CHAR(10)," "),CHAR(13)," ")),",",""),"%","")),"")))</f>
        <v/>
      </c>
      <c r="EA545">
        <f>IF($DM545=0,"",IFERROR(IF(ISNUMBER($DZ545),$DZ545,IF($DZ545="","",IF(TRIM($DZ545)="",0,IF(AND(AND(SUBSTITUTE(SUBSTITUTE(SUBSTITUTE(SUBSTITUTE(SUBSTITUTE(SUBSTITUTE(SUBSTITUTE(SUBSTITUTE(SUBSTITUTE(SUBSTITUTE(SUBSTITUTE(SUBSTITUTE(SUBSTITUTE(SUBSTITUTE(UPPER(TRIM($DZ545)),"0",""),"1",""),"2",""),"3",""),"4",""),"5",""),"6",""),"7",""),"8",""),"9",""),".",""),"+",""),"-",""),"E","")="",LEN(SUBSTITUTE(SUBSTITUTE(MID(UPPER(TRIM($DZ545)),1+OR(LEFT(UPPER(TRIM($DZ545)),1)="+",LEFT(UPPER(TRIM($DZ545)),1)="-"),999),"E+","E"),"E-","E"))=LEN(SUBSTITUTE(SUBSTITUTE(SUBSTITUTE(SUBSTITUTE(MID(UPPER(TRIM($DZ545)),1+OR(LEFT(UPPER(TRIM($DZ545)),1)="+",LEFT(UPPER(TRIM($DZ545)),1)="-"),999),"E+","E"),"E-","E"),"+",""),"-","")),LEN(UPPER(TRIM($DZ545)))-LEN(SUBSTITUTE(UPPER(TRIM($DZ545)),"E",""))&lt;2,LEN(UPPER(TRIM($DZ545)))-LEN(SUBSTITUTE(UPPER(TRIM($DZ545)),".",""))&lt;2,IFERROR(FIND(".",UPPER(TRIM($DZ545))),0)&lt;IFERROR(FIND("E",UPPER(TRIM($DZ545))),999)),ISNUMBER(VALUE(TRIM($DZ545)))),VALUE(TRIM($DZ545)),"")))),""))</f>
        <v/>
      </c>
      <c r="EB545">
        <f>IF($DM545=0,"",IF($L$18=0,"",IFERROR(IF(UPPER(TRIM(SUBSTITUTE(SUBSTITUTE(SUBSTITUTE(SUBSTITUTE(INDEX(PASTE_ALL,$DF545,$L$18)," "," "),CHAR(9)," "),CHAR(10)," "),CHAR(13)," ")))="READY","Ready",IF(UPPER(TRIM(SUBSTITUTE(SUBSTITUTE(SUBSTITUTE(SUBSTITUTE(INDEX(PASTE_ALL,$DF545,$L$18)," "," "),CHAR(9)," "),CHAR(10)," "),CHAR(13)," ")))="PM","PM",IF(OR(UPPER(TRIM(SUBSTITUTE(SUBSTITUTE(SUBSTITUTE(SUBSTITUTE(INDEX(PASTE_ALL,$DF545,$L$18)," "," "),CHAR(9)," "),CHAR(10)," "),CHAR(13)," ")))="OT",UPPER(TRIM(SUBSTITUTE(SUBSTITUTE(SUBSTITUTE(SUBSTITUTE(INDEX(PASTE_ALL,$DF545,$L$18)," "," "),CHAR(9)," "),CHAR(10)," "),CHAR(13)," ")))="OVERTIME",UPPER(TRIM(SUBSTITUTE(SUBSTITUTE(SUBSTITUTE(SUBSTITUTE(INDEX(PASTE_ALL,$DF545,$L$18)," "," "),CHAR(9)," "),CHAR(10)," "),CHAR(13)," ")))="TRIAL"),"OT",TRIM(SUBSTITUTE(SUBSTITUTE(SUBSTITUTE(SUBSTITUTE(INDEX(PASTE_ALL,$DF545,$L$18)," "," "),CHAR(9)," "),CHAR(10)," "),CHAR(13)," "))))),"")))</f>
        <v/>
      </c>
      <c r="EC545">
        <f>IF($DM545=0,"",IF($L$19=0,"",IFERROR(IF(ISNUMBER(INDEX(PASTE_ALL,$DF545,$L$19)),INDEX(PASTE_ALL,$DF545,$L$19),TRIM(SUBSTITUTE(SUBSTITUTE(SUBSTITUTE(SUBSTITUTE(INDEX(PASTE_ALL,$DF545,$L$19)," "," "),CHAR(9)," "),CHAR(10)," "),CHAR(13)," "))),"")))</f>
        <v/>
      </c>
      <c r="ED545">
        <f>IF($DM545=0,"",MATCH(1,INDEX(EXACT($DH$5:DH545,$DH545)*$DM$5:DM545,0),0))</f>
        <v/>
      </c>
      <c r="EE545">
        <f>IF($DM545=0,0,IF($ED545=$DE545,1,0))</f>
        <v/>
      </c>
      <c r="EF545">
        <f>EF544+$EE545</f>
        <v/>
      </c>
      <c r="EG545">
        <f>IF($DM545=0,"",INDEX($EF$5:$EF$1003,$ED545))</f>
        <v/>
      </c>
      <c r="EH545">
        <f>IF($DM545=0,"",IF($DO545&lt;&gt;"","",IFERROR(LOOKUP(2,1/(($EG$4:EG544=$EG545)*($DO$4:DO544&lt;&gt;"")),$DO$4:DO544),"")))</f>
        <v/>
      </c>
      <c r="EI545">
        <f>IF($DM545=0,"",IF($DO545&lt;&gt;"",$DO545,$EH545))</f>
        <v/>
      </c>
      <c r="EJ545">
        <f>IF($DM545=0,"",IF($EI545="",0,IF(OR(ISNUMBER($EI545),AND(AND(SUBSTITUTE(SUBSTITUTE(SUBSTITUTE(SUBSTITUTE(SUBSTITUTE(SUBSTITUTE(SUBSTITUTE(SUBSTITUTE(SUBSTITUTE(SUBSTITUTE(SUBSTITUTE(SUBSTITUTE(SUBSTITUTE(SUBSTITUTE(UPPER($EI545),"0",""),"1",""),"2",""),"3",""),"4",""),"5",""),"6",""),"7",""),"8",""),"9",""),".",""),"+",""),"-",""),"E","")="",LEN(SUBSTITUTE(SUBSTITUTE(MID(UPPER($EI545),1+OR(LEFT(UPPER($EI545),1)="+",LEFT(UPPER($EI545),1)="-"),999),"E+","E"),"E-","E"))=LEN(SUBSTITUTE(SUBSTITUTE(SUBSTITUTE(SUBSTITUTE(MID(UPPER($EI545),1+OR(LEFT(UPPER($EI545),1)="+",LEFT(UPPER($EI545),1)="-"),999),"E+","E"),"E-","E"),"+",""),"-","")),LEN(UPPER($EI545))-LEN(SUBSTITUTE(UPPER($EI545),"E",""))&lt;2,LEN(UPPER($EI545))-LEN(SUBSTITUTE(UPPER($EI545),".",""))&lt;2,IFERROR(FIND(".",UPPER($EI545)),0)&lt;IFERROR(FIND("E",UPPER($EI545)),999)),ISNUMBER(VALUE($EI545)))),1,2)))</f>
        <v/>
      </c>
      <c r="EK545">
        <f>IF($DM545=0,"",IF($EJ545=1,IF(ISNUMBER($EI545),$EI545,VALUE($EI545)),IF($EJ545=2,$DE545,0)))</f>
        <v/>
      </c>
      <c r="EL545">
        <f>IF($DM545=0,"",COUNTIF($EG$5:$EG$1003,"&lt;"&amp;$EG545)+SUMPRODUCT(($EG$5:$EG$1003=$EG545)*(($EJ$5:$EJ$1003&lt;$EJ545)+($EJ$5:$EJ$1003=$EJ545)*(($EK$5:$EK$1003&lt;$EK545)+($EK$5:$EK$1003=$EK545)*($DE$5:$DE$1003&lt;$DE545))))+1)</f>
        <v/>
      </c>
      <c r="EM545">
        <f>IF($DM545=0,"",$EL545+$EG545-1)</f>
        <v/>
      </c>
      <c r="EN545">
        <f>IF($DM545=0,0,IFERROR(MATCH(1,INDEX(--(TRIM(SUBSTITUTE(SUBSTITUTE(SUBSTITUTE(SUBSTITUTE(LINES_NAME&amp;""," "," "),CHAR(9)," "),CHAR(10)," "),CHAR(13)," "))=$DH545),0),0),0))</f>
        <v/>
      </c>
      <c r="EO545">
        <f>IF($EN545=0,0,IF(OR(UPPER(TRIM(INDEX(LINES_SCHEDULED,$EN545)&amp;""))="YES",UPPER(TRIM(INDEX(LINES_SCHEDULED,$EN545)&amp;""))="Y",UPPER(TRIM(INDEX(LINES_SCHEDULED,$EN545)&amp;""))="X"),1,0))</f>
        <v/>
      </c>
      <c r="EP545">
        <f>IF($DM545=0,"",IF(COUNTIFS($EG$5:$EG$1003,$EG545,$EB$5:$EB$1003,"Ready")&gt;0,"READY",IF(COUNTIFS($EG$5:$EG$1003,$EG545,$EB$5:$EB$1003,"PM")&gt;0,"PM",IF(COUNTIFS($EG$5:$EG$1003,$EG545,$EB$5:$EB$1003,"OT")&gt;0,"OT",""))))</f>
        <v/>
      </c>
      <c r="EQ545">
        <f>IF($EN545=0,"",UPPER(TRIM(INDEX(LINES_STATUS,$EN545)&amp;"")))</f>
        <v/>
      </c>
      <c r="ER545">
        <f>IF($DM545=0,"",IF(OR($EQ545="READY",$EQ545="PM",$EQ545="OT"),$EQ545,$EP545))</f>
        <v/>
      </c>
      <c r="ES545">
        <f>IF($DM545=0,"",IF(AND($DV545&lt;&gt;"",UPPER($DV545)&lt;&gt;"N"),"allergen",IF(ISNUMBER(SEARCH("oil",$DQ545)),"oil",IF(OR(EXACT($DS545,"A662"),EXACT($DS545,"A624")),"bulk",""))))</f>
        <v/>
      </c>
      <c r="ET545">
        <f>IF($DM545=0,"",IF(OR($EA545="",$EA545=0),"",$EA545/100))</f>
        <v/>
      </c>
      <c r="EU545">
        <f>IF(OR($ET545="",$DY545=""),"",INT($DY545*(1-$ET545)+0.5))</f>
        <v/>
      </c>
      <c r="EW545" t="n">
        <v>541</v>
      </c>
      <c r="EX545">
        <f>IFERROR(MATCH($EW545,$EM$5:$EM$1003,0),0)</f>
        <v/>
      </c>
      <c r="EY545">
        <f>IF($EW545&gt;$B$12,"",IF($EX545&gt;0,"row","spacer"))</f>
        <v/>
      </c>
      <c r="EZ545">
        <f>IF(AND($EY545="row",$EY544&lt;&gt;"row"),1,0)</f>
        <v/>
      </c>
      <c r="FA545">
        <f>IF(AND($EY545="row",$EY546&lt;&gt;"row"),1,0)</f>
        <v/>
      </c>
      <c r="FB545">
        <f>IF($EZ545=1,IFERROR(IF(ISNUMBER(INDEX(PASTE_ALL,INDEX($DF$5:$DF$1003,$EX545),$B$37)),INDEX(PASTE_ALL,INDEX($DF$5:$DF$1003,$EX545),$B$37),INDEX($DH$5:$DH$1003,$EX545)),INDEX($DH$5:$DH$1003,$EX545)),"")</f>
        <v/>
      </c>
      <c r="FC545">
        <f>IF($EY545="row",INDEX($ER$5:$ER$1003,$EX545),"")</f>
        <v/>
      </c>
      <c r="FD545">
        <f>IF($EY545="row",INDEX($DN$5:$DN$1003,$EX545),"")</f>
        <v/>
      </c>
      <c r="FE545">
        <f>IF($EY545="row",INDEX($DO$5:$DO$1003,$EX545),"")</f>
        <v/>
      </c>
      <c r="FF545">
        <f>IF($EY545="row",INDEX($DP$5:$DP$1003,$EX545),"")</f>
        <v/>
      </c>
      <c r="FG545">
        <f>IF($EY545="row",INDEX($DQ$5:$DQ$1003,$EX545),"")</f>
        <v/>
      </c>
      <c r="FH545">
        <f>IF($EY545="row",INDEX($DR$5:$DR$1003,$EX545),"")</f>
        <v/>
      </c>
      <c r="FI545">
        <f>IF($EY545="row",INDEX($DS$5:$DS$1003,$EX545),"")</f>
        <v/>
      </c>
      <c r="FJ545">
        <f>IF($EY545="row",INDEX($DT$5:$DT$1003,$EX545),"")</f>
        <v/>
      </c>
      <c r="FK545">
        <f>IF($EY545="row",INDEX($DU$5:$DU$1003,$EX545),"")</f>
        <v/>
      </c>
      <c r="FL545">
        <f>IF($EY545="row",INDEX($DV$5:$DV$1003,$EX545),"")</f>
        <v/>
      </c>
      <c r="FM545">
        <f>IF($EY545="row",INDEX($DW$5:$DW$1003,$EX545),"")</f>
        <v/>
      </c>
      <c r="FN545">
        <f>IF($EY545="row",INDEX($DY$5:$DY$1003,$EX545),"")</f>
        <v/>
      </c>
      <c r="FO545">
        <f>IF($EY545="row",INDEX($EA$5:$EA$1003,$EX545),"")</f>
        <v/>
      </c>
      <c r="FP545">
        <f>IF($EY545="row",INDEX($EC$5:$EC$1003,$EX545),"")</f>
        <v/>
      </c>
      <c r="FQ545">
        <f>IF($EY545="row",INDEX($ET$5:$ET$1003,$EX545),"")</f>
        <v/>
      </c>
      <c r="FR545">
        <f>IF($EY545="row",INDEX($EU$5:$EU$1003,$EX545),"")</f>
        <v/>
      </c>
      <c r="FS545">
        <f>IF(AND($EY545="row",$EY544="row"),IF(OR(INDEX($DT$5:$DT$1003,$EX544)="",INDEX($DT$5:$DT$1003,$EX545)=""),"",IF(NOT(EXACT(INDEX($DT$5:$DT$1003,$EX544),INDEX($DT$5:$DT$1003,$EX545))),"S4",IF(NOT(EXACT(INDEX($DS$5:$DS$1003,$EX544),INDEX($DS$5:$DS$1003,$EX545))),"S3",IF(NOT(EXACT(INDEX($DR$5:$DR$1003,$EX544),INDEX($DR$5:$DR$1003,$EX545))),"S1 Count Change","S1")))),"")</f>
        <v/>
      </c>
      <c r="FT545">
        <f>IF($EY545="row",INDEX($ES$5:$ES$1003,$EX545),"")</f>
        <v/>
      </c>
      <c r="FU545">
        <f>IF($EY545="row",INDEX($EO$5:$EO$1003,$EX545),0)</f>
        <v/>
      </c>
      <c r="FV545">
        <f>IF($FS545="S1 Count Change",1,0)</f>
        <v/>
      </c>
    </row>
    <row r="546">
      <c r="DA546" t="n">
        <v>542</v>
      </c>
      <c r="DB546">
        <f>IF($B$37=0,"",IFERROR(TRIM(SUBSTITUTE(SUBSTITUTE(SUBSTITUTE(SUBSTITUTE(INDEX(PASTE_ALL,542,$B$37)," "," "),CHAR(9)," "),CHAR(10)," "),CHAR(13)," ")),""))</f>
        <v/>
      </c>
      <c r="DC546">
        <f>IF(AND(542&gt;HEADER_ROW,UPPER(DB546)="LEGEND"),1,0)</f>
        <v/>
      </c>
      <c r="DE546" t="n">
        <v>542</v>
      </c>
      <c r="DF546">
        <f>HEADER_ROW+$DE546</f>
        <v/>
      </c>
      <c r="DG546">
        <f>IF(AND($DF546&lt;=1000,$DF546&lt;$B$8),1,0)</f>
        <v/>
      </c>
      <c r="DH546">
        <f>IF($DG546=1,IFERROR(INDEX($DB$5:$DB$1004,$DF546),""),"")</f>
        <v/>
      </c>
      <c r="DI546">
        <f>IF(AND($DG546=1,$DH546&lt;&gt;""),IFERROR(SUBSTITUTE(SUBSTITUTE(TRIM(SUBSTITUTE(SUBSTITUTE(SUBSTITUTE(SUBSTITUTE(IFERROR(INDEX(PASTE_ALL,$DF546,1)&amp;"","")&amp;"␟"&amp;IFERROR(INDEX(PASTE_ALL,$DF546,2)&amp;"","")&amp;"␟"&amp;IFERROR(INDEX(PASTE_ALL,$DF546,3)&amp;"","")&amp;"␟"&amp;IFERROR(INDEX(PASTE_ALL,$DF546,4)&amp;"","")&amp;"␟"&amp;IFERROR(INDEX(PASTE_ALL,$DF546,5)&amp;"","")&amp;"␟"&amp;IFERROR(INDEX(PASTE_ALL,$DF546,6)&amp;"","")&amp;"␟"&amp;IFERROR(INDEX(PASTE_ALL,$DF546,7)&amp;"","")&amp;"␟"&amp;IFERROR(INDEX(PASTE_ALL,$DF546,8)&amp;"","")&amp;"␟"&amp;IFERROR(INDEX(PASTE_ALL,$DF546,9)&amp;"","")&amp;"␟"&amp;IFERROR(INDEX(PASTE_ALL,$DF546,10)&amp;"","")&amp;"␟"&amp;IFERROR(INDEX(PASTE_ALL,$DF546,11)&amp;"","")&amp;"␟"&amp;IFERROR(INDEX(PASTE_ALL,$DF546,12)&amp;"","")&amp;"␟"&amp;IFERROR(INDEX(PASTE_ALL,$DF546,13)&amp;"","")&amp;"␟"&amp;IFERROR(INDEX(PASTE_ALL,$DF546,14)&amp;"","")&amp;"␟"&amp;IFERROR(INDEX(PASTE_ALL,$DF546,15)&amp;"","")&amp;"␟"&amp;IFERROR(INDEX(PASTE_ALL,$DF546,16)&amp;"","")&amp;"␟"&amp;IFERROR(INDEX(PASTE_ALL,$DF546,17)&amp;"","")&amp;"␟"&amp;IFERROR(INDEX(PASTE_ALL,$DF546,18)&amp;"","")&amp;"␟"&amp;IFERROR(INDEX(PASTE_ALL,$DF546,19)&amp;"","")&amp;"␟"&amp;IFERROR(INDEX(PASTE_ALL,$DF546,20)&amp;"","")&amp;"␟"&amp;IFERROR(INDEX(PASTE_ALL,$DF546,21)&amp;"","")&amp;"␟"&amp;IFERROR(INDEX(PASTE_ALL,$DF546,22)&amp;"","")&amp;"␟"&amp;IFERROR(INDEX(PASTE_ALL,$DF546,23)&amp;"","")&amp;"␟"&amp;IFERROR(INDEX(PASTE_ALL,$DF546,24)&amp;"","")&amp;"␟"&amp;IFERROR(INDEX(PASTE_ALL,$DF546,25)&amp;"","")&amp;"␟"&amp;IFERROR(INDEX(PASTE_ALL,$DF546,26)&amp;"","")&amp;"␟"&amp;IFERROR(INDEX(PASTE_ALL,$DF546,27)&amp;"","")&amp;"␟"&amp;IFERROR(INDEX(PASTE_ALL,$DF546,28)&amp;"","")&amp;"␟"&amp;IFERROR(INDEX(PASTE_ALL,$DF546,29)&amp;"","")&amp;"␟"&amp;IFERROR(INDEX(PASTE_ALL,$DF546,30)&amp;"","")&amp;"␟"&amp;IFERROR(INDEX(PASTE_ALL,$DF546,31)&amp;"","")&amp;"␟"&amp;IFERROR(INDEX(PASTE_ALL,$DF546,32)&amp;"","")&amp;"␟"&amp;IFERROR(INDEX(PASTE_ALL,$DF546,33)&amp;"","")&amp;"␟"&amp;IFERROR(INDEX(PASTE_ALL,$DF546,34)&amp;"","")&amp;"␟"&amp;IFERROR(INDEX(PASTE_ALL,$DF546,35)&amp;"","")&amp;"␟"&amp;IFERROR(INDEX(PASTE_ALL,$DF546,36)&amp;"","")&amp;"␟"&amp;IFERROR(INDEX(PASTE_ALL,$DF546,37)&amp;"","")&amp;"␟"&amp;IFERROR(INDEX(PASTE_ALL,$DF546,38)&amp;"","")&amp;"␟"&amp;IFERROR(INDEX(PASTE_ALL,$DF546,39)&amp;"","")&amp;"␟"&amp;IFERROR(INDEX(PASTE_ALL,$DF546,40)&amp;"","")&amp;"␟"&amp;IFERROR(INDEX(PASTE_ALL,$DF546,41)&amp;"","")&amp;"␟"&amp;IFERROR(INDEX(PASTE_ALL,$DF546,42)&amp;"","")&amp;"␟"&amp;IFERROR(INDEX(PASTE_ALL,$DF546,43)&amp;"","")&amp;"␟"&amp;IFERROR(INDEX(PASTE_ALL,$DF546,44)&amp;"","")&amp;"␟"&amp;IFERROR(INDEX(PASTE_ALL,$DF546,45)&amp;"","")&amp;"␟"&amp;IFERROR(INDEX(PASTE_ALL,$DF546,46)&amp;"","")&amp;"␟"&amp;IFERROR(INDEX(PASTE_ALL,$DF546,47)&amp;"","")&amp;"␟"&amp;IFERROR(INDEX(PASTE_ALL,$DF546,48)&amp;"","")&amp;"␟"&amp;IFERROR(INDEX(PASTE_ALL,$DF546,49)&amp;"","")&amp;"␟"&amp;IFERROR(INDEX(PASTE_ALL,$DF546,50)&amp;"","")&amp;"␟"&amp;IFERROR(INDEX(PASTE_ALL,$DF546,51)&amp;"","")&amp;"␟"&amp;IFERROR(INDEX(PASTE_ALL,$DF546,52)&amp;"","")&amp;"␟"&amp;IFERROR(INDEX(PASTE_ALL,$DF546,53)&amp;"","")&amp;"␟"&amp;IFERROR(INDEX(PASTE_ALL,$DF546,54)&amp;"","")&amp;"␟"&amp;IFERROR(INDEX(PASTE_ALL,$DF546,55)&amp;"","")&amp;"␟"&amp;IFERROR(INDEX(PASTE_ALL,$DF546,56)&amp;"","")&amp;"␟"&amp;IFERROR(INDEX(PASTE_ALL,$DF546,57)&amp;"","")&amp;"␟"&amp;IFERROR(INDEX(PASTE_ALL,$DF546,58)&amp;"","")&amp;"␟"&amp;IFERROR(INDEX(PASTE_ALL,$DF546,59)&amp;"","")&amp;"␟"&amp;IFERROR(INDEX(PASTE_ALL,$DF546,60)&amp;"","")," "," "),CHAR(9)," "),CHAR(10)," "),CHAR(13)," "))," ␟","␟"),"␟ ","␟"),"#"&amp;$DE546),"")</f>
        <v/>
      </c>
      <c r="DJ546">
        <f>IF($DI546="",0,IF(SUMPRODUCT(--EXACT($DI$4:DI545,$DI546))&gt;0,1,0))</f>
        <v/>
      </c>
      <c r="DK546">
        <f>IF(AND($DI546&lt;&gt;"",$DJ546=0),1,0)</f>
        <v/>
      </c>
      <c r="DL546">
        <f>DL545+$DK546</f>
        <v/>
      </c>
      <c r="DM546">
        <f>IF(AND($DK546=1,$DL546&lt;=600),1,0)</f>
        <v/>
      </c>
      <c r="DN546">
        <f>IF($DM546=0,"",IF($L$6=0,"",IFERROR(IF(ISNUMBER(INDEX(PASTE_ALL,$DF546,$L$6)),INDEX(PASTE_ALL,$DF546,$L$6),TRIM(SUBSTITUTE(SUBSTITUTE(SUBSTITUTE(SUBSTITUTE(INDEX(PASTE_ALL,$DF546,$L$6)," "," "),CHAR(9)," "),CHAR(10)," "),CHAR(13)," "))),"")))</f>
        <v/>
      </c>
      <c r="DO546">
        <f>IF($DM546=0,"",IF($L$7=0,"",IFERROR(IF(ISNUMBER(INDEX(PASTE_ALL,$DF546,$L$7)),INDEX(PASTE_ALL,$DF546,$L$7),TRIM(SUBSTITUTE(SUBSTITUTE(SUBSTITUTE(SUBSTITUTE(INDEX(PASTE_ALL,$DF546,$L$7)," "," "),CHAR(9)," "),CHAR(10)," "),CHAR(13)," "))),"")))</f>
        <v/>
      </c>
      <c r="DP546">
        <f>IF($DM546=0,"",IF($L$8=0,"",IFERROR(IF(ISNUMBER(INDEX(PASTE_ALL,$DF546,$L$8)),INDEX(PASTE_ALL,$DF546,$L$8),TRIM(SUBSTITUTE(SUBSTITUTE(SUBSTITUTE(SUBSTITUTE(INDEX(PASTE_ALL,$DF546,$L$8)," "," "),CHAR(9)," "),CHAR(10)," "),CHAR(13)," "))),"")))</f>
        <v/>
      </c>
      <c r="DQ546">
        <f>IF($DM546=0,"",IF($L$9=0,"",IFERROR(IF(ISNUMBER(INDEX(PASTE_ALL,$DF546,$L$9)),INDEX(PASTE_ALL,$DF546,$L$9),TRIM(SUBSTITUTE(SUBSTITUTE(SUBSTITUTE(SUBSTITUTE(INDEX(PASTE_ALL,$DF546,$L$9)," "," "),CHAR(9)," "),CHAR(10)," "),CHAR(13)," "))),"")))</f>
        <v/>
      </c>
      <c r="DR546">
        <f>IF($DM546=0,"",IF($L$10=0,"",IFERROR(IF(ISNUMBER(INDEX(PASTE_ALL,$DF546,$L$10)),INDEX(PASTE_ALL,$DF546,$L$10),TRIM(SUBSTITUTE(SUBSTITUTE(SUBSTITUTE(SUBSTITUTE(INDEX(PASTE_ALL,$DF546,$L$10)," "," "),CHAR(9)," "),CHAR(10)," "),CHAR(13)," "))),"")))</f>
        <v/>
      </c>
      <c r="DS546">
        <f>IF($DM546=0,"",IF($L$11=0,"",IFERROR(IF(ISNUMBER(INDEX(PASTE_ALL,$DF546,$L$11)),INDEX(PASTE_ALL,$DF546,$L$11),TRIM(SUBSTITUTE(SUBSTITUTE(SUBSTITUTE(SUBSTITUTE(INDEX(PASTE_ALL,$DF546,$L$11)," "," "),CHAR(9)," "),CHAR(10)," "),CHAR(13)," "))),"")))</f>
        <v/>
      </c>
      <c r="DT546">
        <f>IF($DM546=0,"",IF($L$12=0,"",IFERROR(IF(ISNUMBER(INDEX(PASTE_ALL,$DF546,$L$12)),INDEX(PASTE_ALL,$DF546,$L$12),TRIM(SUBSTITUTE(SUBSTITUTE(SUBSTITUTE(SUBSTITUTE(INDEX(PASTE_ALL,$DF546,$L$12)," "," "),CHAR(9)," "),CHAR(10)," "),CHAR(13)," "))),"")))</f>
        <v/>
      </c>
      <c r="DU546">
        <f>IF($DM546=0,"",IF($L$13=0,"",IFERROR(IF(ISNUMBER(INDEX(PASTE_ALL,$DF546,$L$13)),INDEX(PASTE_ALL,$DF546,$L$13),TRIM(SUBSTITUTE(SUBSTITUTE(SUBSTITUTE(SUBSTITUTE(INDEX(PASTE_ALL,$DF546,$L$13)," "," "),CHAR(9)," "),CHAR(10)," "),CHAR(13)," "))),"")))</f>
        <v/>
      </c>
      <c r="DV546">
        <f>IF($DM546=0,"",IF($L$14=0,"",IFERROR(IF(ISNUMBER(INDEX(PASTE_ALL,$DF546,$L$14)),INDEX(PASTE_ALL,$DF546,$L$14),TRIM(SUBSTITUTE(SUBSTITUTE(SUBSTITUTE(SUBSTITUTE(INDEX(PASTE_ALL,$DF546,$L$14)," "," "),CHAR(9)," "),CHAR(10)," "),CHAR(13)," "))),"")))</f>
        <v/>
      </c>
      <c r="DW546">
        <f>IF($DM546=0,"",IF($L$15=0,"",IFERROR(IF(ISNUMBER(INDEX(PASTE_ALL,$DF546,$L$15)),INDEX(PASTE_ALL,$DF546,$L$15),IF(SUMPRODUCT(--ISNUMBER(FIND({"A","B","C","D","E","F","G","H","I","J","K","L","M","N","O","P","Q","R","S","T","U","V","W","X","Y","Z","0","1","2","3","4","5","6","7","8","9"},UPPER(TRIM(SUBSTITUTE(SUBSTITUTE(SUBSTITUTE(SUBSTITUTE(INDEX(PASTE_ALL,$DF546,$L$15)," "," "),CHAR(9)," "),CHAR(10)," "),CHAR(13)," "))))))&gt;0,TRIM(SUBSTITUTE(SUBSTITUTE(SUBSTITUTE(SUBSTITUTE(INDEX(PASTE_ALL,$DF546,$L$15)," "," "),CHAR(9)," "),CHAR(10)," "),CHAR(13)," ")),"")),"")))</f>
        <v/>
      </c>
      <c r="DX546">
        <f>IF($DM546=0,"",IF($L$16=0,"",IFERROR(IF(ISNUMBER(INDEX(PASTE_ALL,$DF546,$L$16)),INDEX(PASTE_ALL,$DF546,$L$16),SUBSTITUTE(SUBSTITUTE(TRIM(SUBSTITUTE(SUBSTITUTE(SUBSTITUTE(SUBSTITUTE(INDEX(PASTE_ALL,$DF546,$L$16)," "," "),CHAR(9)," "),CHAR(10)," "),CHAR(13)," ")),",",""),"%","")),"")))</f>
        <v/>
      </c>
      <c r="DY546">
        <f>IF($DM546=0,"",IFERROR(IF(ISNUMBER($DX546),$DX546,IF($DX546="","",IF(TRIM($DX546)="",0,IF(AND(AND(SUBSTITUTE(SUBSTITUTE(SUBSTITUTE(SUBSTITUTE(SUBSTITUTE(SUBSTITUTE(SUBSTITUTE(SUBSTITUTE(SUBSTITUTE(SUBSTITUTE(SUBSTITUTE(SUBSTITUTE(SUBSTITUTE(SUBSTITUTE(UPPER(TRIM($DX546)),"0",""),"1",""),"2",""),"3",""),"4",""),"5",""),"6",""),"7",""),"8",""),"9",""),".",""),"+",""),"-",""),"E","")="",LEN(SUBSTITUTE(SUBSTITUTE(MID(UPPER(TRIM($DX546)),1+OR(LEFT(UPPER(TRIM($DX546)),1)="+",LEFT(UPPER(TRIM($DX546)),1)="-"),999),"E+","E"),"E-","E"))=LEN(SUBSTITUTE(SUBSTITUTE(SUBSTITUTE(SUBSTITUTE(MID(UPPER(TRIM($DX546)),1+OR(LEFT(UPPER(TRIM($DX546)),1)="+",LEFT(UPPER(TRIM($DX546)),1)="-"),999),"E+","E"),"E-","E"),"+",""),"-","")),LEN(UPPER(TRIM($DX546)))-LEN(SUBSTITUTE(UPPER(TRIM($DX546)),"E",""))&lt;2,LEN(UPPER(TRIM($DX546)))-LEN(SUBSTITUTE(UPPER(TRIM($DX546)),".",""))&lt;2,IFERROR(FIND(".",UPPER(TRIM($DX546))),0)&lt;IFERROR(FIND("E",UPPER(TRIM($DX546))),999)),ISNUMBER(VALUE(TRIM($DX546)))),VALUE(TRIM($DX546)),"")))),""))</f>
        <v/>
      </c>
      <c r="DZ546">
        <f>IF($DM546=0,"",IF($L$17=0,"",IFERROR(IF(ISNUMBER(INDEX(PASTE_ALL,$DF546,$L$17)),INDEX(PASTE_ALL,$DF546,$L$17),SUBSTITUTE(SUBSTITUTE(TRIM(SUBSTITUTE(SUBSTITUTE(SUBSTITUTE(SUBSTITUTE(INDEX(PASTE_ALL,$DF546,$L$17)," "," "),CHAR(9)," "),CHAR(10)," "),CHAR(13)," ")),",",""),"%","")),"")))</f>
        <v/>
      </c>
      <c r="EA546">
        <f>IF($DM546=0,"",IFERROR(IF(ISNUMBER($DZ546),$DZ546,IF($DZ546="","",IF(TRIM($DZ546)="",0,IF(AND(AND(SUBSTITUTE(SUBSTITUTE(SUBSTITUTE(SUBSTITUTE(SUBSTITUTE(SUBSTITUTE(SUBSTITUTE(SUBSTITUTE(SUBSTITUTE(SUBSTITUTE(SUBSTITUTE(SUBSTITUTE(SUBSTITUTE(SUBSTITUTE(UPPER(TRIM($DZ546)),"0",""),"1",""),"2",""),"3",""),"4",""),"5",""),"6",""),"7",""),"8",""),"9",""),".",""),"+",""),"-",""),"E","")="",LEN(SUBSTITUTE(SUBSTITUTE(MID(UPPER(TRIM($DZ546)),1+OR(LEFT(UPPER(TRIM($DZ546)),1)="+",LEFT(UPPER(TRIM($DZ546)),1)="-"),999),"E+","E"),"E-","E"))=LEN(SUBSTITUTE(SUBSTITUTE(SUBSTITUTE(SUBSTITUTE(MID(UPPER(TRIM($DZ546)),1+OR(LEFT(UPPER(TRIM($DZ546)),1)="+",LEFT(UPPER(TRIM($DZ546)),1)="-"),999),"E+","E"),"E-","E"),"+",""),"-","")),LEN(UPPER(TRIM($DZ546)))-LEN(SUBSTITUTE(UPPER(TRIM($DZ546)),"E",""))&lt;2,LEN(UPPER(TRIM($DZ546)))-LEN(SUBSTITUTE(UPPER(TRIM($DZ546)),".",""))&lt;2,IFERROR(FIND(".",UPPER(TRIM($DZ546))),0)&lt;IFERROR(FIND("E",UPPER(TRIM($DZ546))),999)),ISNUMBER(VALUE(TRIM($DZ546)))),VALUE(TRIM($DZ546)),"")))),""))</f>
        <v/>
      </c>
      <c r="EB546">
        <f>IF($DM546=0,"",IF($L$18=0,"",IFERROR(IF(UPPER(TRIM(SUBSTITUTE(SUBSTITUTE(SUBSTITUTE(SUBSTITUTE(INDEX(PASTE_ALL,$DF546,$L$18)," "," "),CHAR(9)," "),CHAR(10)," "),CHAR(13)," ")))="READY","Ready",IF(UPPER(TRIM(SUBSTITUTE(SUBSTITUTE(SUBSTITUTE(SUBSTITUTE(INDEX(PASTE_ALL,$DF546,$L$18)," "," "),CHAR(9)," "),CHAR(10)," "),CHAR(13)," ")))="PM","PM",IF(OR(UPPER(TRIM(SUBSTITUTE(SUBSTITUTE(SUBSTITUTE(SUBSTITUTE(INDEX(PASTE_ALL,$DF546,$L$18)," "," "),CHAR(9)," "),CHAR(10)," "),CHAR(13)," ")))="OT",UPPER(TRIM(SUBSTITUTE(SUBSTITUTE(SUBSTITUTE(SUBSTITUTE(INDEX(PASTE_ALL,$DF546,$L$18)," "," "),CHAR(9)," "),CHAR(10)," "),CHAR(13)," ")))="OVERTIME",UPPER(TRIM(SUBSTITUTE(SUBSTITUTE(SUBSTITUTE(SUBSTITUTE(INDEX(PASTE_ALL,$DF546,$L$18)," "," "),CHAR(9)," "),CHAR(10)," "),CHAR(13)," ")))="TRIAL"),"OT",TRIM(SUBSTITUTE(SUBSTITUTE(SUBSTITUTE(SUBSTITUTE(INDEX(PASTE_ALL,$DF546,$L$18)," "," "),CHAR(9)," "),CHAR(10)," "),CHAR(13)," "))))),"")))</f>
        <v/>
      </c>
      <c r="EC546">
        <f>IF($DM546=0,"",IF($L$19=0,"",IFERROR(IF(ISNUMBER(INDEX(PASTE_ALL,$DF546,$L$19)),INDEX(PASTE_ALL,$DF546,$L$19),TRIM(SUBSTITUTE(SUBSTITUTE(SUBSTITUTE(SUBSTITUTE(INDEX(PASTE_ALL,$DF546,$L$19)," "," "),CHAR(9)," "),CHAR(10)," "),CHAR(13)," "))),"")))</f>
        <v/>
      </c>
      <c r="ED546">
        <f>IF($DM546=0,"",MATCH(1,INDEX(EXACT($DH$5:DH546,$DH546)*$DM$5:DM546,0),0))</f>
        <v/>
      </c>
      <c r="EE546">
        <f>IF($DM546=0,0,IF($ED546=$DE546,1,0))</f>
        <v/>
      </c>
      <c r="EF546">
        <f>EF545+$EE546</f>
        <v/>
      </c>
      <c r="EG546">
        <f>IF($DM546=0,"",INDEX($EF$5:$EF$1003,$ED546))</f>
        <v/>
      </c>
      <c r="EH546">
        <f>IF($DM546=0,"",IF($DO546&lt;&gt;"","",IFERROR(LOOKUP(2,1/(($EG$4:EG545=$EG546)*($DO$4:DO545&lt;&gt;"")),$DO$4:DO545),"")))</f>
        <v/>
      </c>
      <c r="EI546">
        <f>IF($DM546=0,"",IF($DO546&lt;&gt;"",$DO546,$EH546))</f>
        <v/>
      </c>
      <c r="EJ546">
        <f>IF($DM546=0,"",IF($EI546="",0,IF(OR(ISNUMBER($EI546),AND(AND(SUBSTITUTE(SUBSTITUTE(SUBSTITUTE(SUBSTITUTE(SUBSTITUTE(SUBSTITUTE(SUBSTITUTE(SUBSTITUTE(SUBSTITUTE(SUBSTITUTE(SUBSTITUTE(SUBSTITUTE(SUBSTITUTE(SUBSTITUTE(UPPER($EI546),"0",""),"1",""),"2",""),"3",""),"4",""),"5",""),"6",""),"7",""),"8",""),"9",""),".",""),"+",""),"-",""),"E","")="",LEN(SUBSTITUTE(SUBSTITUTE(MID(UPPER($EI546),1+OR(LEFT(UPPER($EI546),1)="+",LEFT(UPPER($EI546),1)="-"),999),"E+","E"),"E-","E"))=LEN(SUBSTITUTE(SUBSTITUTE(SUBSTITUTE(SUBSTITUTE(MID(UPPER($EI546),1+OR(LEFT(UPPER($EI546),1)="+",LEFT(UPPER($EI546),1)="-"),999),"E+","E"),"E-","E"),"+",""),"-","")),LEN(UPPER($EI546))-LEN(SUBSTITUTE(UPPER($EI546),"E",""))&lt;2,LEN(UPPER($EI546))-LEN(SUBSTITUTE(UPPER($EI546),".",""))&lt;2,IFERROR(FIND(".",UPPER($EI546)),0)&lt;IFERROR(FIND("E",UPPER($EI546)),999)),ISNUMBER(VALUE($EI546)))),1,2)))</f>
        <v/>
      </c>
      <c r="EK546">
        <f>IF($DM546=0,"",IF($EJ546=1,IF(ISNUMBER($EI546),$EI546,VALUE($EI546)),IF($EJ546=2,$DE546,0)))</f>
        <v/>
      </c>
      <c r="EL546">
        <f>IF($DM546=0,"",COUNTIF($EG$5:$EG$1003,"&lt;"&amp;$EG546)+SUMPRODUCT(($EG$5:$EG$1003=$EG546)*(($EJ$5:$EJ$1003&lt;$EJ546)+($EJ$5:$EJ$1003=$EJ546)*(($EK$5:$EK$1003&lt;$EK546)+($EK$5:$EK$1003=$EK546)*($DE$5:$DE$1003&lt;$DE546))))+1)</f>
        <v/>
      </c>
      <c r="EM546">
        <f>IF($DM546=0,"",$EL546+$EG546-1)</f>
        <v/>
      </c>
      <c r="EN546">
        <f>IF($DM546=0,0,IFERROR(MATCH(1,INDEX(--(TRIM(SUBSTITUTE(SUBSTITUTE(SUBSTITUTE(SUBSTITUTE(LINES_NAME&amp;""," "," "),CHAR(9)," "),CHAR(10)," "),CHAR(13)," "))=$DH546),0),0),0))</f>
        <v/>
      </c>
      <c r="EO546">
        <f>IF($EN546=0,0,IF(OR(UPPER(TRIM(INDEX(LINES_SCHEDULED,$EN546)&amp;""))="YES",UPPER(TRIM(INDEX(LINES_SCHEDULED,$EN546)&amp;""))="Y",UPPER(TRIM(INDEX(LINES_SCHEDULED,$EN546)&amp;""))="X"),1,0))</f>
        <v/>
      </c>
      <c r="EP546">
        <f>IF($DM546=0,"",IF(COUNTIFS($EG$5:$EG$1003,$EG546,$EB$5:$EB$1003,"Ready")&gt;0,"READY",IF(COUNTIFS($EG$5:$EG$1003,$EG546,$EB$5:$EB$1003,"PM")&gt;0,"PM",IF(COUNTIFS($EG$5:$EG$1003,$EG546,$EB$5:$EB$1003,"OT")&gt;0,"OT",""))))</f>
        <v/>
      </c>
      <c r="EQ546">
        <f>IF($EN546=0,"",UPPER(TRIM(INDEX(LINES_STATUS,$EN546)&amp;"")))</f>
        <v/>
      </c>
      <c r="ER546">
        <f>IF($DM546=0,"",IF(OR($EQ546="READY",$EQ546="PM",$EQ546="OT"),$EQ546,$EP546))</f>
        <v/>
      </c>
      <c r="ES546">
        <f>IF($DM546=0,"",IF(AND($DV546&lt;&gt;"",UPPER($DV546)&lt;&gt;"N"),"allergen",IF(ISNUMBER(SEARCH("oil",$DQ546)),"oil",IF(OR(EXACT($DS546,"A662"),EXACT($DS546,"A624")),"bulk",""))))</f>
        <v/>
      </c>
      <c r="ET546">
        <f>IF($DM546=0,"",IF(OR($EA546="",$EA546=0),"",$EA546/100))</f>
        <v/>
      </c>
      <c r="EU546">
        <f>IF(OR($ET546="",$DY546=""),"",INT($DY546*(1-$ET546)+0.5))</f>
        <v/>
      </c>
      <c r="EW546" t="n">
        <v>542</v>
      </c>
      <c r="EX546">
        <f>IFERROR(MATCH($EW546,$EM$5:$EM$1003,0),0)</f>
        <v/>
      </c>
      <c r="EY546">
        <f>IF($EW546&gt;$B$12,"",IF($EX546&gt;0,"row","spacer"))</f>
        <v/>
      </c>
      <c r="EZ546">
        <f>IF(AND($EY546="row",$EY545&lt;&gt;"row"),1,0)</f>
        <v/>
      </c>
      <c r="FA546">
        <f>IF(AND($EY546="row",$EY547&lt;&gt;"row"),1,0)</f>
        <v/>
      </c>
      <c r="FB546">
        <f>IF($EZ546=1,IFERROR(IF(ISNUMBER(INDEX(PASTE_ALL,INDEX($DF$5:$DF$1003,$EX546),$B$37)),INDEX(PASTE_ALL,INDEX($DF$5:$DF$1003,$EX546),$B$37),INDEX($DH$5:$DH$1003,$EX546)),INDEX($DH$5:$DH$1003,$EX546)),"")</f>
        <v/>
      </c>
      <c r="FC546">
        <f>IF($EY546="row",INDEX($ER$5:$ER$1003,$EX546),"")</f>
        <v/>
      </c>
      <c r="FD546">
        <f>IF($EY546="row",INDEX($DN$5:$DN$1003,$EX546),"")</f>
        <v/>
      </c>
      <c r="FE546">
        <f>IF($EY546="row",INDEX($DO$5:$DO$1003,$EX546),"")</f>
        <v/>
      </c>
      <c r="FF546">
        <f>IF($EY546="row",INDEX($DP$5:$DP$1003,$EX546),"")</f>
        <v/>
      </c>
      <c r="FG546">
        <f>IF($EY546="row",INDEX($DQ$5:$DQ$1003,$EX546),"")</f>
        <v/>
      </c>
      <c r="FH546">
        <f>IF($EY546="row",INDEX($DR$5:$DR$1003,$EX546),"")</f>
        <v/>
      </c>
      <c r="FI546">
        <f>IF($EY546="row",INDEX($DS$5:$DS$1003,$EX546),"")</f>
        <v/>
      </c>
      <c r="FJ546">
        <f>IF($EY546="row",INDEX($DT$5:$DT$1003,$EX546),"")</f>
        <v/>
      </c>
      <c r="FK546">
        <f>IF($EY546="row",INDEX($DU$5:$DU$1003,$EX546),"")</f>
        <v/>
      </c>
      <c r="FL546">
        <f>IF($EY546="row",INDEX($DV$5:$DV$1003,$EX546),"")</f>
        <v/>
      </c>
      <c r="FM546">
        <f>IF($EY546="row",INDEX($DW$5:$DW$1003,$EX546),"")</f>
        <v/>
      </c>
      <c r="FN546">
        <f>IF($EY546="row",INDEX($DY$5:$DY$1003,$EX546),"")</f>
        <v/>
      </c>
      <c r="FO546">
        <f>IF($EY546="row",INDEX($EA$5:$EA$1003,$EX546),"")</f>
        <v/>
      </c>
      <c r="FP546">
        <f>IF($EY546="row",INDEX($EC$5:$EC$1003,$EX546),"")</f>
        <v/>
      </c>
      <c r="FQ546">
        <f>IF($EY546="row",INDEX($ET$5:$ET$1003,$EX546),"")</f>
        <v/>
      </c>
      <c r="FR546">
        <f>IF($EY546="row",INDEX($EU$5:$EU$1003,$EX546),"")</f>
        <v/>
      </c>
      <c r="FS546">
        <f>IF(AND($EY546="row",$EY545="row"),IF(OR(INDEX($DT$5:$DT$1003,$EX545)="",INDEX($DT$5:$DT$1003,$EX546)=""),"",IF(NOT(EXACT(INDEX($DT$5:$DT$1003,$EX545),INDEX($DT$5:$DT$1003,$EX546))),"S4",IF(NOT(EXACT(INDEX($DS$5:$DS$1003,$EX545),INDEX($DS$5:$DS$1003,$EX546))),"S3",IF(NOT(EXACT(INDEX($DR$5:$DR$1003,$EX545),INDEX($DR$5:$DR$1003,$EX546))),"S1 Count Change","S1")))),"")</f>
        <v/>
      </c>
      <c r="FT546">
        <f>IF($EY546="row",INDEX($ES$5:$ES$1003,$EX546),"")</f>
        <v/>
      </c>
      <c r="FU546">
        <f>IF($EY546="row",INDEX($EO$5:$EO$1003,$EX546),0)</f>
        <v/>
      </c>
      <c r="FV546">
        <f>IF($FS546="S1 Count Change",1,0)</f>
        <v/>
      </c>
    </row>
    <row r="547">
      <c r="DA547" t="n">
        <v>543</v>
      </c>
      <c r="DB547">
        <f>IF($B$37=0,"",IFERROR(TRIM(SUBSTITUTE(SUBSTITUTE(SUBSTITUTE(SUBSTITUTE(INDEX(PASTE_ALL,543,$B$37)," "," "),CHAR(9)," "),CHAR(10)," "),CHAR(13)," ")),""))</f>
        <v/>
      </c>
      <c r="DC547">
        <f>IF(AND(543&gt;HEADER_ROW,UPPER(DB547)="LEGEND"),1,0)</f>
        <v/>
      </c>
      <c r="DE547" t="n">
        <v>543</v>
      </c>
      <c r="DF547">
        <f>HEADER_ROW+$DE547</f>
        <v/>
      </c>
      <c r="DG547">
        <f>IF(AND($DF547&lt;=1000,$DF547&lt;$B$8),1,0)</f>
        <v/>
      </c>
      <c r="DH547">
        <f>IF($DG547=1,IFERROR(INDEX($DB$5:$DB$1004,$DF547),""),"")</f>
        <v/>
      </c>
      <c r="DI547">
        <f>IF(AND($DG547=1,$DH547&lt;&gt;""),IFERROR(SUBSTITUTE(SUBSTITUTE(TRIM(SUBSTITUTE(SUBSTITUTE(SUBSTITUTE(SUBSTITUTE(IFERROR(INDEX(PASTE_ALL,$DF547,1)&amp;"","")&amp;"␟"&amp;IFERROR(INDEX(PASTE_ALL,$DF547,2)&amp;"","")&amp;"␟"&amp;IFERROR(INDEX(PASTE_ALL,$DF547,3)&amp;"","")&amp;"␟"&amp;IFERROR(INDEX(PASTE_ALL,$DF547,4)&amp;"","")&amp;"␟"&amp;IFERROR(INDEX(PASTE_ALL,$DF547,5)&amp;"","")&amp;"␟"&amp;IFERROR(INDEX(PASTE_ALL,$DF547,6)&amp;"","")&amp;"␟"&amp;IFERROR(INDEX(PASTE_ALL,$DF547,7)&amp;"","")&amp;"␟"&amp;IFERROR(INDEX(PASTE_ALL,$DF547,8)&amp;"","")&amp;"␟"&amp;IFERROR(INDEX(PASTE_ALL,$DF547,9)&amp;"","")&amp;"␟"&amp;IFERROR(INDEX(PASTE_ALL,$DF547,10)&amp;"","")&amp;"␟"&amp;IFERROR(INDEX(PASTE_ALL,$DF547,11)&amp;"","")&amp;"␟"&amp;IFERROR(INDEX(PASTE_ALL,$DF547,12)&amp;"","")&amp;"␟"&amp;IFERROR(INDEX(PASTE_ALL,$DF547,13)&amp;"","")&amp;"␟"&amp;IFERROR(INDEX(PASTE_ALL,$DF547,14)&amp;"","")&amp;"␟"&amp;IFERROR(INDEX(PASTE_ALL,$DF547,15)&amp;"","")&amp;"␟"&amp;IFERROR(INDEX(PASTE_ALL,$DF547,16)&amp;"","")&amp;"␟"&amp;IFERROR(INDEX(PASTE_ALL,$DF547,17)&amp;"","")&amp;"␟"&amp;IFERROR(INDEX(PASTE_ALL,$DF547,18)&amp;"","")&amp;"␟"&amp;IFERROR(INDEX(PASTE_ALL,$DF547,19)&amp;"","")&amp;"␟"&amp;IFERROR(INDEX(PASTE_ALL,$DF547,20)&amp;"","")&amp;"␟"&amp;IFERROR(INDEX(PASTE_ALL,$DF547,21)&amp;"","")&amp;"␟"&amp;IFERROR(INDEX(PASTE_ALL,$DF547,22)&amp;"","")&amp;"␟"&amp;IFERROR(INDEX(PASTE_ALL,$DF547,23)&amp;"","")&amp;"␟"&amp;IFERROR(INDEX(PASTE_ALL,$DF547,24)&amp;"","")&amp;"␟"&amp;IFERROR(INDEX(PASTE_ALL,$DF547,25)&amp;"","")&amp;"␟"&amp;IFERROR(INDEX(PASTE_ALL,$DF547,26)&amp;"","")&amp;"␟"&amp;IFERROR(INDEX(PASTE_ALL,$DF547,27)&amp;"","")&amp;"␟"&amp;IFERROR(INDEX(PASTE_ALL,$DF547,28)&amp;"","")&amp;"␟"&amp;IFERROR(INDEX(PASTE_ALL,$DF547,29)&amp;"","")&amp;"␟"&amp;IFERROR(INDEX(PASTE_ALL,$DF547,30)&amp;"","")&amp;"␟"&amp;IFERROR(INDEX(PASTE_ALL,$DF547,31)&amp;"","")&amp;"␟"&amp;IFERROR(INDEX(PASTE_ALL,$DF547,32)&amp;"","")&amp;"␟"&amp;IFERROR(INDEX(PASTE_ALL,$DF547,33)&amp;"","")&amp;"␟"&amp;IFERROR(INDEX(PASTE_ALL,$DF547,34)&amp;"","")&amp;"␟"&amp;IFERROR(INDEX(PASTE_ALL,$DF547,35)&amp;"","")&amp;"␟"&amp;IFERROR(INDEX(PASTE_ALL,$DF547,36)&amp;"","")&amp;"␟"&amp;IFERROR(INDEX(PASTE_ALL,$DF547,37)&amp;"","")&amp;"␟"&amp;IFERROR(INDEX(PASTE_ALL,$DF547,38)&amp;"","")&amp;"␟"&amp;IFERROR(INDEX(PASTE_ALL,$DF547,39)&amp;"","")&amp;"␟"&amp;IFERROR(INDEX(PASTE_ALL,$DF547,40)&amp;"","")&amp;"␟"&amp;IFERROR(INDEX(PASTE_ALL,$DF547,41)&amp;"","")&amp;"␟"&amp;IFERROR(INDEX(PASTE_ALL,$DF547,42)&amp;"","")&amp;"␟"&amp;IFERROR(INDEX(PASTE_ALL,$DF547,43)&amp;"","")&amp;"␟"&amp;IFERROR(INDEX(PASTE_ALL,$DF547,44)&amp;"","")&amp;"␟"&amp;IFERROR(INDEX(PASTE_ALL,$DF547,45)&amp;"","")&amp;"␟"&amp;IFERROR(INDEX(PASTE_ALL,$DF547,46)&amp;"","")&amp;"␟"&amp;IFERROR(INDEX(PASTE_ALL,$DF547,47)&amp;"","")&amp;"␟"&amp;IFERROR(INDEX(PASTE_ALL,$DF547,48)&amp;"","")&amp;"␟"&amp;IFERROR(INDEX(PASTE_ALL,$DF547,49)&amp;"","")&amp;"␟"&amp;IFERROR(INDEX(PASTE_ALL,$DF547,50)&amp;"","")&amp;"␟"&amp;IFERROR(INDEX(PASTE_ALL,$DF547,51)&amp;"","")&amp;"␟"&amp;IFERROR(INDEX(PASTE_ALL,$DF547,52)&amp;"","")&amp;"␟"&amp;IFERROR(INDEX(PASTE_ALL,$DF547,53)&amp;"","")&amp;"␟"&amp;IFERROR(INDEX(PASTE_ALL,$DF547,54)&amp;"","")&amp;"␟"&amp;IFERROR(INDEX(PASTE_ALL,$DF547,55)&amp;"","")&amp;"␟"&amp;IFERROR(INDEX(PASTE_ALL,$DF547,56)&amp;"","")&amp;"␟"&amp;IFERROR(INDEX(PASTE_ALL,$DF547,57)&amp;"","")&amp;"␟"&amp;IFERROR(INDEX(PASTE_ALL,$DF547,58)&amp;"","")&amp;"␟"&amp;IFERROR(INDEX(PASTE_ALL,$DF547,59)&amp;"","")&amp;"␟"&amp;IFERROR(INDEX(PASTE_ALL,$DF547,60)&amp;"","")," "," "),CHAR(9)," "),CHAR(10)," "),CHAR(13)," "))," ␟","␟"),"␟ ","␟"),"#"&amp;$DE547),"")</f>
        <v/>
      </c>
      <c r="DJ547">
        <f>IF($DI547="",0,IF(SUMPRODUCT(--EXACT($DI$4:DI546,$DI547))&gt;0,1,0))</f>
        <v/>
      </c>
      <c r="DK547">
        <f>IF(AND($DI547&lt;&gt;"",$DJ547=0),1,0)</f>
        <v/>
      </c>
      <c r="DL547">
        <f>DL546+$DK547</f>
        <v/>
      </c>
      <c r="DM547">
        <f>IF(AND($DK547=1,$DL547&lt;=600),1,0)</f>
        <v/>
      </c>
      <c r="DN547">
        <f>IF($DM547=0,"",IF($L$6=0,"",IFERROR(IF(ISNUMBER(INDEX(PASTE_ALL,$DF547,$L$6)),INDEX(PASTE_ALL,$DF547,$L$6),TRIM(SUBSTITUTE(SUBSTITUTE(SUBSTITUTE(SUBSTITUTE(INDEX(PASTE_ALL,$DF547,$L$6)," "," "),CHAR(9)," "),CHAR(10)," "),CHAR(13)," "))),"")))</f>
        <v/>
      </c>
      <c r="DO547">
        <f>IF($DM547=0,"",IF($L$7=0,"",IFERROR(IF(ISNUMBER(INDEX(PASTE_ALL,$DF547,$L$7)),INDEX(PASTE_ALL,$DF547,$L$7),TRIM(SUBSTITUTE(SUBSTITUTE(SUBSTITUTE(SUBSTITUTE(INDEX(PASTE_ALL,$DF547,$L$7)," "," "),CHAR(9)," "),CHAR(10)," "),CHAR(13)," "))),"")))</f>
        <v/>
      </c>
      <c r="DP547">
        <f>IF($DM547=0,"",IF($L$8=0,"",IFERROR(IF(ISNUMBER(INDEX(PASTE_ALL,$DF547,$L$8)),INDEX(PASTE_ALL,$DF547,$L$8),TRIM(SUBSTITUTE(SUBSTITUTE(SUBSTITUTE(SUBSTITUTE(INDEX(PASTE_ALL,$DF547,$L$8)," "," "),CHAR(9)," "),CHAR(10)," "),CHAR(13)," "))),"")))</f>
        <v/>
      </c>
      <c r="DQ547">
        <f>IF($DM547=0,"",IF($L$9=0,"",IFERROR(IF(ISNUMBER(INDEX(PASTE_ALL,$DF547,$L$9)),INDEX(PASTE_ALL,$DF547,$L$9),TRIM(SUBSTITUTE(SUBSTITUTE(SUBSTITUTE(SUBSTITUTE(INDEX(PASTE_ALL,$DF547,$L$9)," "," "),CHAR(9)," "),CHAR(10)," "),CHAR(13)," "))),"")))</f>
        <v/>
      </c>
      <c r="DR547">
        <f>IF($DM547=0,"",IF($L$10=0,"",IFERROR(IF(ISNUMBER(INDEX(PASTE_ALL,$DF547,$L$10)),INDEX(PASTE_ALL,$DF547,$L$10),TRIM(SUBSTITUTE(SUBSTITUTE(SUBSTITUTE(SUBSTITUTE(INDEX(PASTE_ALL,$DF547,$L$10)," "," "),CHAR(9)," "),CHAR(10)," "),CHAR(13)," "))),"")))</f>
        <v/>
      </c>
      <c r="DS547">
        <f>IF($DM547=0,"",IF($L$11=0,"",IFERROR(IF(ISNUMBER(INDEX(PASTE_ALL,$DF547,$L$11)),INDEX(PASTE_ALL,$DF547,$L$11),TRIM(SUBSTITUTE(SUBSTITUTE(SUBSTITUTE(SUBSTITUTE(INDEX(PASTE_ALL,$DF547,$L$11)," "," "),CHAR(9)," "),CHAR(10)," "),CHAR(13)," "))),"")))</f>
        <v/>
      </c>
      <c r="DT547">
        <f>IF($DM547=0,"",IF($L$12=0,"",IFERROR(IF(ISNUMBER(INDEX(PASTE_ALL,$DF547,$L$12)),INDEX(PASTE_ALL,$DF547,$L$12),TRIM(SUBSTITUTE(SUBSTITUTE(SUBSTITUTE(SUBSTITUTE(INDEX(PASTE_ALL,$DF547,$L$12)," "," "),CHAR(9)," "),CHAR(10)," "),CHAR(13)," "))),"")))</f>
        <v/>
      </c>
      <c r="DU547">
        <f>IF($DM547=0,"",IF($L$13=0,"",IFERROR(IF(ISNUMBER(INDEX(PASTE_ALL,$DF547,$L$13)),INDEX(PASTE_ALL,$DF547,$L$13),TRIM(SUBSTITUTE(SUBSTITUTE(SUBSTITUTE(SUBSTITUTE(INDEX(PASTE_ALL,$DF547,$L$13)," "," "),CHAR(9)," "),CHAR(10)," "),CHAR(13)," "))),"")))</f>
        <v/>
      </c>
      <c r="DV547">
        <f>IF($DM547=0,"",IF($L$14=0,"",IFERROR(IF(ISNUMBER(INDEX(PASTE_ALL,$DF547,$L$14)),INDEX(PASTE_ALL,$DF547,$L$14),TRIM(SUBSTITUTE(SUBSTITUTE(SUBSTITUTE(SUBSTITUTE(INDEX(PASTE_ALL,$DF547,$L$14)," "," "),CHAR(9)," "),CHAR(10)," "),CHAR(13)," "))),"")))</f>
        <v/>
      </c>
      <c r="DW547">
        <f>IF($DM547=0,"",IF($L$15=0,"",IFERROR(IF(ISNUMBER(INDEX(PASTE_ALL,$DF547,$L$15)),INDEX(PASTE_ALL,$DF547,$L$15),IF(SUMPRODUCT(--ISNUMBER(FIND({"A","B","C","D","E","F","G","H","I","J","K","L","M","N","O","P","Q","R","S","T","U","V","W","X","Y","Z","0","1","2","3","4","5","6","7","8","9"},UPPER(TRIM(SUBSTITUTE(SUBSTITUTE(SUBSTITUTE(SUBSTITUTE(INDEX(PASTE_ALL,$DF547,$L$15)," "," "),CHAR(9)," "),CHAR(10)," "),CHAR(13)," "))))))&gt;0,TRIM(SUBSTITUTE(SUBSTITUTE(SUBSTITUTE(SUBSTITUTE(INDEX(PASTE_ALL,$DF547,$L$15)," "," "),CHAR(9)," "),CHAR(10)," "),CHAR(13)," ")),"")),"")))</f>
        <v/>
      </c>
      <c r="DX547">
        <f>IF($DM547=0,"",IF($L$16=0,"",IFERROR(IF(ISNUMBER(INDEX(PASTE_ALL,$DF547,$L$16)),INDEX(PASTE_ALL,$DF547,$L$16),SUBSTITUTE(SUBSTITUTE(TRIM(SUBSTITUTE(SUBSTITUTE(SUBSTITUTE(SUBSTITUTE(INDEX(PASTE_ALL,$DF547,$L$16)," "," "),CHAR(9)," "),CHAR(10)," "),CHAR(13)," ")),",",""),"%","")),"")))</f>
        <v/>
      </c>
      <c r="DY547">
        <f>IF($DM547=0,"",IFERROR(IF(ISNUMBER($DX547),$DX547,IF($DX547="","",IF(TRIM($DX547)="",0,IF(AND(AND(SUBSTITUTE(SUBSTITUTE(SUBSTITUTE(SUBSTITUTE(SUBSTITUTE(SUBSTITUTE(SUBSTITUTE(SUBSTITUTE(SUBSTITUTE(SUBSTITUTE(SUBSTITUTE(SUBSTITUTE(SUBSTITUTE(SUBSTITUTE(UPPER(TRIM($DX547)),"0",""),"1",""),"2",""),"3",""),"4",""),"5",""),"6",""),"7",""),"8",""),"9",""),".",""),"+",""),"-",""),"E","")="",LEN(SUBSTITUTE(SUBSTITUTE(MID(UPPER(TRIM($DX547)),1+OR(LEFT(UPPER(TRIM($DX547)),1)="+",LEFT(UPPER(TRIM($DX547)),1)="-"),999),"E+","E"),"E-","E"))=LEN(SUBSTITUTE(SUBSTITUTE(SUBSTITUTE(SUBSTITUTE(MID(UPPER(TRIM($DX547)),1+OR(LEFT(UPPER(TRIM($DX547)),1)="+",LEFT(UPPER(TRIM($DX547)),1)="-"),999),"E+","E"),"E-","E"),"+",""),"-","")),LEN(UPPER(TRIM($DX547)))-LEN(SUBSTITUTE(UPPER(TRIM($DX547)),"E",""))&lt;2,LEN(UPPER(TRIM($DX547)))-LEN(SUBSTITUTE(UPPER(TRIM($DX547)),".",""))&lt;2,IFERROR(FIND(".",UPPER(TRIM($DX547))),0)&lt;IFERROR(FIND("E",UPPER(TRIM($DX547))),999)),ISNUMBER(VALUE(TRIM($DX547)))),VALUE(TRIM($DX547)),"")))),""))</f>
        <v/>
      </c>
      <c r="DZ547">
        <f>IF($DM547=0,"",IF($L$17=0,"",IFERROR(IF(ISNUMBER(INDEX(PASTE_ALL,$DF547,$L$17)),INDEX(PASTE_ALL,$DF547,$L$17),SUBSTITUTE(SUBSTITUTE(TRIM(SUBSTITUTE(SUBSTITUTE(SUBSTITUTE(SUBSTITUTE(INDEX(PASTE_ALL,$DF547,$L$17)," "," "),CHAR(9)," "),CHAR(10)," "),CHAR(13)," ")),",",""),"%","")),"")))</f>
        <v/>
      </c>
      <c r="EA547">
        <f>IF($DM547=0,"",IFERROR(IF(ISNUMBER($DZ547),$DZ547,IF($DZ547="","",IF(TRIM($DZ547)="",0,IF(AND(AND(SUBSTITUTE(SUBSTITUTE(SUBSTITUTE(SUBSTITUTE(SUBSTITUTE(SUBSTITUTE(SUBSTITUTE(SUBSTITUTE(SUBSTITUTE(SUBSTITUTE(SUBSTITUTE(SUBSTITUTE(SUBSTITUTE(SUBSTITUTE(UPPER(TRIM($DZ547)),"0",""),"1",""),"2",""),"3",""),"4",""),"5",""),"6",""),"7",""),"8",""),"9",""),".",""),"+",""),"-",""),"E","")="",LEN(SUBSTITUTE(SUBSTITUTE(MID(UPPER(TRIM($DZ547)),1+OR(LEFT(UPPER(TRIM($DZ547)),1)="+",LEFT(UPPER(TRIM($DZ547)),1)="-"),999),"E+","E"),"E-","E"))=LEN(SUBSTITUTE(SUBSTITUTE(SUBSTITUTE(SUBSTITUTE(MID(UPPER(TRIM($DZ547)),1+OR(LEFT(UPPER(TRIM($DZ547)),1)="+",LEFT(UPPER(TRIM($DZ547)),1)="-"),999),"E+","E"),"E-","E"),"+",""),"-","")),LEN(UPPER(TRIM($DZ547)))-LEN(SUBSTITUTE(UPPER(TRIM($DZ547)),"E",""))&lt;2,LEN(UPPER(TRIM($DZ547)))-LEN(SUBSTITUTE(UPPER(TRIM($DZ547)),".",""))&lt;2,IFERROR(FIND(".",UPPER(TRIM($DZ547))),0)&lt;IFERROR(FIND("E",UPPER(TRIM($DZ547))),999)),ISNUMBER(VALUE(TRIM($DZ547)))),VALUE(TRIM($DZ547)),"")))),""))</f>
        <v/>
      </c>
      <c r="EB547">
        <f>IF($DM547=0,"",IF($L$18=0,"",IFERROR(IF(UPPER(TRIM(SUBSTITUTE(SUBSTITUTE(SUBSTITUTE(SUBSTITUTE(INDEX(PASTE_ALL,$DF547,$L$18)," "," "),CHAR(9)," "),CHAR(10)," "),CHAR(13)," ")))="READY","Ready",IF(UPPER(TRIM(SUBSTITUTE(SUBSTITUTE(SUBSTITUTE(SUBSTITUTE(INDEX(PASTE_ALL,$DF547,$L$18)," "," "),CHAR(9)," "),CHAR(10)," "),CHAR(13)," ")))="PM","PM",IF(OR(UPPER(TRIM(SUBSTITUTE(SUBSTITUTE(SUBSTITUTE(SUBSTITUTE(INDEX(PASTE_ALL,$DF547,$L$18)," "," "),CHAR(9)," "),CHAR(10)," "),CHAR(13)," ")))="OT",UPPER(TRIM(SUBSTITUTE(SUBSTITUTE(SUBSTITUTE(SUBSTITUTE(INDEX(PASTE_ALL,$DF547,$L$18)," "," "),CHAR(9)," "),CHAR(10)," "),CHAR(13)," ")))="OVERTIME",UPPER(TRIM(SUBSTITUTE(SUBSTITUTE(SUBSTITUTE(SUBSTITUTE(INDEX(PASTE_ALL,$DF547,$L$18)," "," "),CHAR(9)," "),CHAR(10)," "),CHAR(13)," ")))="TRIAL"),"OT",TRIM(SUBSTITUTE(SUBSTITUTE(SUBSTITUTE(SUBSTITUTE(INDEX(PASTE_ALL,$DF547,$L$18)," "," "),CHAR(9)," "),CHAR(10)," "),CHAR(13)," "))))),"")))</f>
        <v/>
      </c>
      <c r="EC547">
        <f>IF($DM547=0,"",IF($L$19=0,"",IFERROR(IF(ISNUMBER(INDEX(PASTE_ALL,$DF547,$L$19)),INDEX(PASTE_ALL,$DF547,$L$19),TRIM(SUBSTITUTE(SUBSTITUTE(SUBSTITUTE(SUBSTITUTE(INDEX(PASTE_ALL,$DF547,$L$19)," "," "),CHAR(9)," "),CHAR(10)," "),CHAR(13)," "))),"")))</f>
        <v/>
      </c>
      <c r="ED547">
        <f>IF($DM547=0,"",MATCH(1,INDEX(EXACT($DH$5:DH547,$DH547)*$DM$5:DM547,0),0))</f>
        <v/>
      </c>
      <c r="EE547">
        <f>IF($DM547=0,0,IF($ED547=$DE547,1,0))</f>
        <v/>
      </c>
      <c r="EF547">
        <f>EF546+$EE547</f>
        <v/>
      </c>
      <c r="EG547">
        <f>IF($DM547=0,"",INDEX($EF$5:$EF$1003,$ED547))</f>
        <v/>
      </c>
      <c r="EH547">
        <f>IF($DM547=0,"",IF($DO547&lt;&gt;"","",IFERROR(LOOKUP(2,1/(($EG$4:EG546=$EG547)*($DO$4:DO546&lt;&gt;"")),$DO$4:DO546),"")))</f>
        <v/>
      </c>
      <c r="EI547">
        <f>IF($DM547=0,"",IF($DO547&lt;&gt;"",$DO547,$EH547))</f>
        <v/>
      </c>
      <c r="EJ547">
        <f>IF($DM547=0,"",IF($EI547="",0,IF(OR(ISNUMBER($EI547),AND(AND(SUBSTITUTE(SUBSTITUTE(SUBSTITUTE(SUBSTITUTE(SUBSTITUTE(SUBSTITUTE(SUBSTITUTE(SUBSTITUTE(SUBSTITUTE(SUBSTITUTE(SUBSTITUTE(SUBSTITUTE(SUBSTITUTE(SUBSTITUTE(UPPER($EI547),"0",""),"1",""),"2",""),"3",""),"4",""),"5",""),"6",""),"7",""),"8",""),"9",""),".",""),"+",""),"-",""),"E","")="",LEN(SUBSTITUTE(SUBSTITUTE(MID(UPPER($EI547),1+OR(LEFT(UPPER($EI547),1)="+",LEFT(UPPER($EI547),1)="-"),999),"E+","E"),"E-","E"))=LEN(SUBSTITUTE(SUBSTITUTE(SUBSTITUTE(SUBSTITUTE(MID(UPPER($EI547),1+OR(LEFT(UPPER($EI547),1)="+",LEFT(UPPER($EI547),1)="-"),999),"E+","E"),"E-","E"),"+",""),"-","")),LEN(UPPER($EI547))-LEN(SUBSTITUTE(UPPER($EI547),"E",""))&lt;2,LEN(UPPER($EI547))-LEN(SUBSTITUTE(UPPER($EI547),".",""))&lt;2,IFERROR(FIND(".",UPPER($EI547)),0)&lt;IFERROR(FIND("E",UPPER($EI547)),999)),ISNUMBER(VALUE($EI547)))),1,2)))</f>
        <v/>
      </c>
      <c r="EK547">
        <f>IF($DM547=0,"",IF($EJ547=1,IF(ISNUMBER($EI547),$EI547,VALUE($EI547)),IF($EJ547=2,$DE547,0)))</f>
        <v/>
      </c>
      <c r="EL547">
        <f>IF($DM547=0,"",COUNTIF($EG$5:$EG$1003,"&lt;"&amp;$EG547)+SUMPRODUCT(($EG$5:$EG$1003=$EG547)*(($EJ$5:$EJ$1003&lt;$EJ547)+($EJ$5:$EJ$1003=$EJ547)*(($EK$5:$EK$1003&lt;$EK547)+($EK$5:$EK$1003=$EK547)*($DE$5:$DE$1003&lt;$DE547))))+1)</f>
        <v/>
      </c>
      <c r="EM547">
        <f>IF($DM547=0,"",$EL547+$EG547-1)</f>
        <v/>
      </c>
      <c r="EN547">
        <f>IF($DM547=0,0,IFERROR(MATCH(1,INDEX(--(TRIM(SUBSTITUTE(SUBSTITUTE(SUBSTITUTE(SUBSTITUTE(LINES_NAME&amp;""," "," "),CHAR(9)," "),CHAR(10)," "),CHAR(13)," "))=$DH547),0),0),0))</f>
        <v/>
      </c>
      <c r="EO547">
        <f>IF($EN547=0,0,IF(OR(UPPER(TRIM(INDEX(LINES_SCHEDULED,$EN547)&amp;""))="YES",UPPER(TRIM(INDEX(LINES_SCHEDULED,$EN547)&amp;""))="Y",UPPER(TRIM(INDEX(LINES_SCHEDULED,$EN547)&amp;""))="X"),1,0))</f>
        <v/>
      </c>
      <c r="EP547">
        <f>IF($DM547=0,"",IF(COUNTIFS($EG$5:$EG$1003,$EG547,$EB$5:$EB$1003,"Ready")&gt;0,"READY",IF(COUNTIFS($EG$5:$EG$1003,$EG547,$EB$5:$EB$1003,"PM")&gt;0,"PM",IF(COUNTIFS($EG$5:$EG$1003,$EG547,$EB$5:$EB$1003,"OT")&gt;0,"OT",""))))</f>
        <v/>
      </c>
      <c r="EQ547">
        <f>IF($EN547=0,"",UPPER(TRIM(INDEX(LINES_STATUS,$EN547)&amp;"")))</f>
        <v/>
      </c>
      <c r="ER547">
        <f>IF($DM547=0,"",IF(OR($EQ547="READY",$EQ547="PM",$EQ547="OT"),$EQ547,$EP547))</f>
        <v/>
      </c>
      <c r="ES547">
        <f>IF($DM547=0,"",IF(AND($DV547&lt;&gt;"",UPPER($DV547)&lt;&gt;"N"),"allergen",IF(ISNUMBER(SEARCH("oil",$DQ547)),"oil",IF(OR(EXACT($DS547,"A662"),EXACT($DS547,"A624")),"bulk",""))))</f>
        <v/>
      </c>
      <c r="ET547">
        <f>IF($DM547=0,"",IF(OR($EA547="",$EA547=0),"",$EA547/100))</f>
        <v/>
      </c>
      <c r="EU547">
        <f>IF(OR($ET547="",$DY547=""),"",INT($DY547*(1-$ET547)+0.5))</f>
        <v/>
      </c>
      <c r="EW547" t="n">
        <v>543</v>
      </c>
      <c r="EX547">
        <f>IFERROR(MATCH($EW547,$EM$5:$EM$1003,0),0)</f>
        <v/>
      </c>
      <c r="EY547">
        <f>IF($EW547&gt;$B$12,"",IF($EX547&gt;0,"row","spacer"))</f>
        <v/>
      </c>
      <c r="EZ547">
        <f>IF(AND($EY547="row",$EY546&lt;&gt;"row"),1,0)</f>
        <v/>
      </c>
      <c r="FA547">
        <f>IF(AND($EY547="row",$EY548&lt;&gt;"row"),1,0)</f>
        <v/>
      </c>
      <c r="FB547">
        <f>IF($EZ547=1,IFERROR(IF(ISNUMBER(INDEX(PASTE_ALL,INDEX($DF$5:$DF$1003,$EX547),$B$37)),INDEX(PASTE_ALL,INDEX($DF$5:$DF$1003,$EX547),$B$37),INDEX($DH$5:$DH$1003,$EX547)),INDEX($DH$5:$DH$1003,$EX547)),"")</f>
        <v/>
      </c>
      <c r="FC547">
        <f>IF($EY547="row",INDEX($ER$5:$ER$1003,$EX547),"")</f>
        <v/>
      </c>
      <c r="FD547">
        <f>IF($EY547="row",INDEX($DN$5:$DN$1003,$EX547),"")</f>
        <v/>
      </c>
      <c r="FE547">
        <f>IF($EY547="row",INDEX($DO$5:$DO$1003,$EX547),"")</f>
        <v/>
      </c>
      <c r="FF547">
        <f>IF($EY547="row",INDEX($DP$5:$DP$1003,$EX547),"")</f>
        <v/>
      </c>
      <c r="FG547">
        <f>IF($EY547="row",INDEX($DQ$5:$DQ$1003,$EX547),"")</f>
        <v/>
      </c>
      <c r="FH547">
        <f>IF($EY547="row",INDEX($DR$5:$DR$1003,$EX547),"")</f>
        <v/>
      </c>
      <c r="FI547">
        <f>IF($EY547="row",INDEX($DS$5:$DS$1003,$EX547),"")</f>
        <v/>
      </c>
      <c r="FJ547">
        <f>IF($EY547="row",INDEX($DT$5:$DT$1003,$EX547),"")</f>
        <v/>
      </c>
      <c r="FK547">
        <f>IF($EY547="row",INDEX($DU$5:$DU$1003,$EX547),"")</f>
        <v/>
      </c>
      <c r="FL547">
        <f>IF($EY547="row",INDEX($DV$5:$DV$1003,$EX547),"")</f>
        <v/>
      </c>
      <c r="FM547">
        <f>IF($EY547="row",INDEX($DW$5:$DW$1003,$EX547),"")</f>
        <v/>
      </c>
      <c r="FN547">
        <f>IF($EY547="row",INDEX($DY$5:$DY$1003,$EX547),"")</f>
        <v/>
      </c>
      <c r="FO547">
        <f>IF($EY547="row",INDEX($EA$5:$EA$1003,$EX547),"")</f>
        <v/>
      </c>
      <c r="FP547">
        <f>IF($EY547="row",INDEX($EC$5:$EC$1003,$EX547),"")</f>
        <v/>
      </c>
      <c r="FQ547">
        <f>IF($EY547="row",INDEX($ET$5:$ET$1003,$EX547),"")</f>
        <v/>
      </c>
      <c r="FR547">
        <f>IF($EY547="row",INDEX($EU$5:$EU$1003,$EX547),"")</f>
        <v/>
      </c>
      <c r="FS547">
        <f>IF(AND($EY547="row",$EY546="row"),IF(OR(INDEX($DT$5:$DT$1003,$EX546)="",INDEX($DT$5:$DT$1003,$EX547)=""),"",IF(NOT(EXACT(INDEX($DT$5:$DT$1003,$EX546),INDEX($DT$5:$DT$1003,$EX547))),"S4",IF(NOT(EXACT(INDEX($DS$5:$DS$1003,$EX546),INDEX($DS$5:$DS$1003,$EX547))),"S3",IF(NOT(EXACT(INDEX($DR$5:$DR$1003,$EX546),INDEX($DR$5:$DR$1003,$EX547))),"S1 Count Change","S1")))),"")</f>
        <v/>
      </c>
      <c r="FT547">
        <f>IF($EY547="row",INDEX($ES$5:$ES$1003,$EX547),"")</f>
        <v/>
      </c>
      <c r="FU547">
        <f>IF($EY547="row",INDEX($EO$5:$EO$1003,$EX547),0)</f>
        <v/>
      </c>
      <c r="FV547">
        <f>IF($FS547="S1 Count Change",1,0)</f>
        <v/>
      </c>
    </row>
    <row r="548">
      <c r="DA548" t="n">
        <v>544</v>
      </c>
      <c r="DB548">
        <f>IF($B$37=0,"",IFERROR(TRIM(SUBSTITUTE(SUBSTITUTE(SUBSTITUTE(SUBSTITUTE(INDEX(PASTE_ALL,544,$B$37)," "," "),CHAR(9)," "),CHAR(10)," "),CHAR(13)," ")),""))</f>
        <v/>
      </c>
      <c r="DC548">
        <f>IF(AND(544&gt;HEADER_ROW,UPPER(DB548)="LEGEND"),1,0)</f>
        <v/>
      </c>
      <c r="DE548" t="n">
        <v>544</v>
      </c>
      <c r="DF548">
        <f>HEADER_ROW+$DE548</f>
        <v/>
      </c>
      <c r="DG548">
        <f>IF(AND($DF548&lt;=1000,$DF548&lt;$B$8),1,0)</f>
        <v/>
      </c>
      <c r="DH548">
        <f>IF($DG548=1,IFERROR(INDEX($DB$5:$DB$1004,$DF548),""),"")</f>
        <v/>
      </c>
      <c r="DI548">
        <f>IF(AND($DG548=1,$DH548&lt;&gt;""),IFERROR(SUBSTITUTE(SUBSTITUTE(TRIM(SUBSTITUTE(SUBSTITUTE(SUBSTITUTE(SUBSTITUTE(IFERROR(INDEX(PASTE_ALL,$DF548,1)&amp;"","")&amp;"␟"&amp;IFERROR(INDEX(PASTE_ALL,$DF548,2)&amp;"","")&amp;"␟"&amp;IFERROR(INDEX(PASTE_ALL,$DF548,3)&amp;"","")&amp;"␟"&amp;IFERROR(INDEX(PASTE_ALL,$DF548,4)&amp;"","")&amp;"␟"&amp;IFERROR(INDEX(PASTE_ALL,$DF548,5)&amp;"","")&amp;"␟"&amp;IFERROR(INDEX(PASTE_ALL,$DF548,6)&amp;"","")&amp;"␟"&amp;IFERROR(INDEX(PASTE_ALL,$DF548,7)&amp;"","")&amp;"␟"&amp;IFERROR(INDEX(PASTE_ALL,$DF548,8)&amp;"","")&amp;"␟"&amp;IFERROR(INDEX(PASTE_ALL,$DF548,9)&amp;"","")&amp;"␟"&amp;IFERROR(INDEX(PASTE_ALL,$DF548,10)&amp;"","")&amp;"␟"&amp;IFERROR(INDEX(PASTE_ALL,$DF548,11)&amp;"","")&amp;"␟"&amp;IFERROR(INDEX(PASTE_ALL,$DF548,12)&amp;"","")&amp;"␟"&amp;IFERROR(INDEX(PASTE_ALL,$DF548,13)&amp;"","")&amp;"␟"&amp;IFERROR(INDEX(PASTE_ALL,$DF548,14)&amp;"","")&amp;"␟"&amp;IFERROR(INDEX(PASTE_ALL,$DF548,15)&amp;"","")&amp;"␟"&amp;IFERROR(INDEX(PASTE_ALL,$DF548,16)&amp;"","")&amp;"␟"&amp;IFERROR(INDEX(PASTE_ALL,$DF548,17)&amp;"","")&amp;"␟"&amp;IFERROR(INDEX(PASTE_ALL,$DF548,18)&amp;"","")&amp;"␟"&amp;IFERROR(INDEX(PASTE_ALL,$DF548,19)&amp;"","")&amp;"␟"&amp;IFERROR(INDEX(PASTE_ALL,$DF548,20)&amp;"","")&amp;"␟"&amp;IFERROR(INDEX(PASTE_ALL,$DF548,21)&amp;"","")&amp;"␟"&amp;IFERROR(INDEX(PASTE_ALL,$DF548,22)&amp;"","")&amp;"␟"&amp;IFERROR(INDEX(PASTE_ALL,$DF548,23)&amp;"","")&amp;"␟"&amp;IFERROR(INDEX(PASTE_ALL,$DF548,24)&amp;"","")&amp;"␟"&amp;IFERROR(INDEX(PASTE_ALL,$DF548,25)&amp;"","")&amp;"␟"&amp;IFERROR(INDEX(PASTE_ALL,$DF548,26)&amp;"","")&amp;"␟"&amp;IFERROR(INDEX(PASTE_ALL,$DF548,27)&amp;"","")&amp;"␟"&amp;IFERROR(INDEX(PASTE_ALL,$DF548,28)&amp;"","")&amp;"␟"&amp;IFERROR(INDEX(PASTE_ALL,$DF548,29)&amp;"","")&amp;"␟"&amp;IFERROR(INDEX(PASTE_ALL,$DF548,30)&amp;"","")&amp;"␟"&amp;IFERROR(INDEX(PASTE_ALL,$DF548,31)&amp;"","")&amp;"␟"&amp;IFERROR(INDEX(PASTE_ALL,$DF548,32)&amp;"","")&amp;"␟"&amp;IFERROR(INDEX(PASTE_ALL,$DF548,33)&amp;"","")&amp;"␟"&amp;IFERROR(INDEX(PASTE_ALL,$DF548,34)&amp;"","")&amp;"␟"&amp;IFERROR(INDEX(PASTE_ALL,$DF548,35)&amp;"","")&amp;"␟"&amp;IFERROR(INDEX(PASTE_ALL,$DF548,36)&amp;"","")&amp;"␟"&amp;IFERROR(INDEX(PASTE_ALL,$DF548,37)&amp;"","")&amp;"␟"&amp;IFERROR(INDEX(PASTE_ALL,$DF548,38)&amp;"","")&amp;"␟"&amp;IFERROR(INDEX(PASTE_ALL,$DF548,39)&amp;"","")&amp;"␟"&amp;IFERROR(INDEX(PASTE_ALL,$DF548,40)&amp;"","")&amp;"␟"&amp;IFERROR(INDEX(PASTE_ALL,$DF548,41)&amp;"","")&amp;"␟"&amp;IFERROR(INDEX(PASTE_ALL,$DF548,42)&amp;"","")&amp;"␟"&amp;IFERROR(INDEX(PASTE_ALL,$DF548,43)&amp;"","")&amp;"␟"&amp;IFERROR(INDEX(PASTE_ALL,$DF548,44)&amp;"","")&amp;"␟"&amp;IFERROR(INDEX(PASTE_ALL,$DF548,45)&amp;"","")&amp;"␟"&amp;IFERROR(INDEX(PASTE_ALL,$DF548,46)&amp;"","")&amp;"␟"&amp;IFERROR(INDEX(PASTE_ALL,$DF548,47)&amp;"","")&amp;"␟"&amp;IFERROR(INDEX(PASTE_ALL,$DF548,48)&amp;"","")&amp;"␟"&amp;IFERROR(INDEX(PASTE_ALL,$DF548,49)&amp;"","")&amp;"␟"&amp;IFERROR(INDEX(PASTE_ALL,$DF548,50)&amp;"","")&amp;"␟"&amp;IFERROR(INDEX(PASTE_ALL,$DF548,51)&amp;"","")&amp;"␟"&amp;IFERROR(INDEX(PASTE_ALL,$DF548,52)&amp;"","")&amp;"␟"&amp;IFERROR(INDEX(PASTE_ALL,$DF548,53)&amp;"","")&amp;"␟"&amp;IFERROR(INDEX(PASTE_ALL,$DF548,54)&amp;"","")&amp;"␟"&amp;IFERROR(INDEX(PASTE_ALL,$DF548,55)&amp;"","")&amp;"␟"&amp;IFERROR(INDEX(PASTE_ALL,$DF548,56)&amp;"","")&amp;"␟"&amp;IFERROR(INDEX(PASTE_ALL,$DF548,57)&amp;"","")&amp;"␟"&amp;IFERROR(INDEX(PASTE_ALL,$DF548,58)&amp;"","")&amp;"␟"&amp;IFERROR(INDEX(PASTE_ALL,$DF548,59)&amp;"","")&amp;"␟"&amp;IFERROR(INDEX(PASTE_ALL,$DF548,60)&amp;"","")," "," "),CHAR(9)," "),CHAR(10)," "),CHAR(13)," "))," ␟","␟"),"␟ ","␟"),"#"&amp;$DE548),"")</f>
        <v/>
      </c>
      <c r="DJ548">
        <f>IF($DI548="",0,IF(SUMPRODUCT(--EXACT($DI$4:DI547,$DI548))&gt;0,1,0))</f>
        <v/>
      </c>
      <c r="DK548">
        <f>IF(AND($DI548&lt;&gt;"",$DJ548=0),1,0)</f>
        <v/>
      </c>
      <c r="DL548">
        <f>DL547+$DK548</f>
        <v/>
      </c>
      <c r="DM548">
        <f>IF(AND($DK548=1,$DL548&lt;=600),1,0)</f>
        <v/>
      </c>
      <c r="DN548">
        <f>IF($DM548=0,"",IF($L$6=0,"",IFERROR(IF(ISNUMBER(INDEX(PASTE_ALL,$DF548,$L$6)),INDEX(PASTE_ALL,$DF548,$L$6),TRIM(SUBSTITUTE(SUBSTITUTE(SUBSTITUTE(SUBSTITUTE(INDEX(PASTE_ALL,$DF548,$L$6)," "," "),CHAR(9)," "),CHAR(10)," "),CHAR(13)," "))),"")))</f>
        <v/>
      </c>
      <c r="DO548">
        <f>IF($DM548=0,"",IF($L$7=0,"",IFERROR(IF(ISNUMBER(INDEX(PASTE_ALL,$DF548,$L$7)),INDEX(PASTE_ALL,$DF548,$L$7),TRIM(SUBSTITUTE(SUBSTITUTE(SUBSTITUTE(SUBSTITUTE(INDEX(PASTE_ALL,$DF548,$L$7)," "," "),CHAR(9)," "),CHAR(10)," "),CHAR(13)," "))),"")))</f>
        <v/>
      </c>
      <c r="DP548">
        <f>IF($DM548=0,"",IF($L$8=0,"",IFERROR(IF(ISNUMBER(INDEX(PASTE_ALL,$DF548,$L$8)),INDEX(PASTE_ALL,$DF548,$L$8),TRIM(SUBSTITUTE(SUBSTITUTE(SUBSTITUTE(SUBSTITUTE(INDEX(PASTE_ALL,$DF548,$L$8)," "," "),CHAR(9)," "),CHAR(10)," "),CHAR(13)," "))),"")))</f>
        <v/>
      </c>
      <c r="DQ548">
        <f>IF($DM548=0,"",IF($L$9=0,"",IFERROR(IF(ISNUMBER(INDEX(PASTE_ALL,$DF548,$L$9)),INDEX(PASTE_ALL,$DF548,$L$9),TRIM(SUBSTITUTE(SUBSTITUTE(SUBSTITUTE(SUBSTITUTE(INDEX(PASTE_ALL,$DF548,$L$9)," "," "),CHAR(9)," "),CHAR(10)," "),CHAR(13)," "))),"")))</f>
        <v/>
      </c>
      <c r="DR548">
        <f>IF($DM548=0,"",IF($L$10=0,"",IFERROR(IF(ISNUMBER(INDEX(PASTE_ALL,$DF548,$L$10)),INDEX(PASTE_ALL,$DF548,$L$10),TRIM(SUBSTITUTE(SUBSTITUTE(SUBSTITUTE(SUBSTITUTE(INDEX(PASTE_ALL,$DF548,$L$10)," "," "),CHAR(9)," "),CHAR(10)," "),CHAR(13)," "))),"")))</f>
        <v/>
      </c>
      <c r="DS548">
        <f>IF($DM548=0,"",IF($L$11=0,"",IFERROR(IF(ISNUMBER(INDEX(PASTE_ALL,$DF548,$L$11)),INDEX(PASTE_ALL,$DF548,$L$11),TRIM(SUBSTITUTE(SUBSTITUTE(SUBSTITUTE(SUBSTITUTE(INDEX(PASTE_ALL,$DF548,$L$11)," "," "),CHAR(9)," "),CHAR(10)," "),CHAR(13)," "))),"")))</f>
        <v/>
      </c>
      <c r="DT548">
        <f>IF($DM548=0,"",IF($L$12=0,"",IFERROR(IF(ISNUMBER(INDEX(PASTE_ALL,$DF548,$L$12)),INDEX(PASTE_ALL,$DF548,$L$12),TRIM(SUBSTITUTE(SUBSTITUTE(SUBSTITUTE(SUBSTITUTE(INDEX(PASTE_ALL,$DF548,$L$12)," "," "),CHAR(9)," "),CHAR(10)," "),CHAR(13)," "))),"")))</f>
        <v/>
      </c>
      <c r="DU548">
        <f>IF($DM548=0,"",IF($L$13=0,"",IFERROR(IF(ISNUMBER(INDEX(PASTE_ALL,$DF548,$L$13)),INDEX(PASTE_ALL,$DF548,$L$13),TRIM(SUBSTITUTE(SUBSTITUTE(SUBSTITUTE(SUBSTITUTE(INDEX(PASTE_ALL,$DF548,$L$13)," "," "),CHAR(9)," "),CHAR(10)," "),CHAR(13)," "))),"")))</f>
        <v/>
      </c>
      <c r="DV548">
        <f>IF($DM548=0,"",IF($L$14=0,"",IFERROR(IF(ISNUMBER(INDEX(PASTE_ALL,$DF548,$L$14)),INDEX(PASTE_ALL,$DF548,$L$14),TRIM(SUBSTITUTE(SUBSTITUTE(SUBSTITUTE(SUBSTITUTE(INDEX(PASTE_ALL,$DF548,$L$14)," "," "),CHAR(9)," "),CHAR(10)," "),CHAR(13)," "))),"")))</f>
        <v/>
      </c>
      <c r="DW548">
        <f>IF($DM548=0,"",IF($L$15=0,"",IFERROR(IF(ISNUMBER(INDEX(PASTE_ALL,$DF548,$L$15)),INDEX(PASTE_ALL,$DF548,$L$15),IF(SUMPRODUCT(--ISNUMBER(FIND({"A","B","C","D","E","F","G","H","I","J","K","L","M","N","O","P","Q","R","S","T","U","V","W","X","Y","Z","0","1","2","3","4","5","6","7","8","9"},UPPER(TRIM(SUBSTITUTE(SUBSTITUTE(SUBSTITUTE(SUBSTITUTE(INDEX(PASTE_ALL,$DF548,$L$15)," "," "),CHAR(9)," "),CHAR(10)," "),CHAR(13)," "))))))&gt;0,TRIM(SUBSTITUTE(SUBSTITUTE(SUBSTITUTE(SUBSTITUTE(INDEX(PASTE_ALL,$DF548,$L$15)," "," "),CHAR(9)," "),CHAR(10)," "),CHAR(13)," ")),"")),"")))</f>
        <v/>
      </c>
      <c r="DX548">
        <f>IF($DM548=0,"",IF($L$16=0,"",IFERROR(IF(ISNUMBER(INDEX(PASTE_ALL,$DF548,$L$16)),INDEX(PASTE_ALL,$DF548,$L$16),SUBSTITUTE(SUBSTITUTE(TRIM(SUBSTITUTE(SUBSTITUTE(SUBSTITUTE(SUBSTITUTE(INDEX(PASTE_ALL,$DF548,$L$16)," "," "),CHAR(9)," "),CHAR(10)," "),CHAR(13)," ")),",",""),"%","")),"")))</f>
        <v/>
      </c>
      <c r="DY548">
        <f>IF($DM548=0,"",IFERROR(IF(ISNUMBER($DX548),$DX548,IF($DX548="","",IF(TRIM($DX548)="",0,IF(AND(AND(SUBSTITUTE(SUBSTITUTE(SUBSTITUTE(SUBSTITUTE(SUBSTITUTE(SUBSTITUTE(SUBSTITUTE(SUBSTITUTE(SUBSTITUTE(SUBSTITUTE(SUBSTITUTE(SUBSTITUTE(SUBSTITUTE(SUBSTITUTE(UPPER(TRIM($DX548)),"0",""),"1",""),"2",""),"3",""),"4",""),"5",""),"6",""),"7",""),"8",""),"9",""),".",""),"+",""),"-",""),"E","")="",LEN(SUBSTITUTE(SUBSTITUTE(MID(UPPER(TRIM($DX548)),1+OR(LEFT(UPPER(TRIM($DX548)),1)="+",LEFT(UPPER(TRIM($DX548)),1)="-"),999),"E+","E"),"E-","E"))=LEN(SUBSTITUTE(SUBSTITUTE(SUBSTITUTE(SUBSTITUTE(MID(UPPER(TRIM($DX548)),1+OR(LEFT(UPPER(TRIM($DX548)),1)="+",LEFT(UPPER(TRIM($DX548)),1)="-"),999),"E+","E"),"E-","E"),"+",""),"-","")),LEN(UPPER(TRIM($DX548)))-LEN(SUBSTITUTE(UPPER(TRIM($DX548)),"E",""))&lt;2,LEN(UPPER(TRIM($DX548)))-LEN(SUBSTITUTE(UPPER(TRIM($DX548)),".",""))&lt;2,IFERROR(FIND(".",UPPER(TRIM($DX548))),0)&lt;IFERROR(FIND("E",UPPER(TRIM($DX548))),999)),ISNUMBER(VALUE(TRIM($DX548)))),VALUE(TRIM($DX548)),"")))),""))</f>
        <v/>
      </c>
      <c r="DZ548">
        <f>IF($DM548=0,"",IF($L$17=0,"",IFERROR(IF(ISNUMBER(INDEX(PASTE_ALL,$DF548,$L$17)),INDEX(PASTE_ALL,$DF548,$L$17),SUBSTITUTE(SUBSTITUTE(TRIM(SUBSTITUTE(SUBSTITUTE(SUBSTITUTE(SUBSTITUTE(INDEX(PASTE_ALL,$DF548,$L$17)," "," "),CHAR(9)," "),CHAR(10)," "),CHAR(13)," ")),",",""),"%","")),"")))</f>
        <v/>
      </c>
      <c r="EA548">
        <f>IF($DM548=0,"",IFERROR(IF(ISNUMBER($DZ548),$DZ548,IF($DZ548="","",IF(TRIM($DZ548)="",0,IF(AND(AND(SUBSTITUTE(SUBSTITUTE(SUBSTITUTE(SUBSTITUTE(SUBSTITUTE(SUBSTITUTE(SUBSTITUTE(SUBSTITUTE(SUBSTITUTE(SUBSTITUTE(SUBSTITUTE(SUBSTITUTE(SUBSTITUTE(SUBSTITUTE(UPPER(TRIM($DZ548)),"0",""),"1",""),"2",""),"3",""),"4",""),"5",""),"6",""),"7",""),"8",""),"9",""),".",""),"+",""),"-",""),"E","")="",LEN(SUBSTITUTE(SUBSTITUTE(MID(UPPER(TRIM($DZ548)),1+OR(LEFT(UPPER(TRIM($DZ548)),1)="+",LEFT(UPPER(TRIM($DZ548)),1)="-"),999),"E+","E"),"E-","E"))=LEN(SUBSTITUTE(SUBSTITUTE(SUBSTITUTE(SUBSTITUTE(MID(UPPER(TRIM($DZ548)),1+OR(LEFT(UPPER(TRIM($DZ548)),1)="+",LEFT(UPPER(TRIM($DZ548)),1)="-"),999),"E+","E"),"E-","E"),"+",""),"-","")),LEN(UPPER(TRIM($DZ548)))-LEN(SUBSTITUTE(UPPER(TRIM($DZ548)),"E",""))&lt;2,LEN(UPPER(TRIM($DZ548)))-LEN(SUBSTITUTE(UPPER(TRIM($DZ548)),".",""))&lt;2,IFERROR(FIND(".",UPPER(TRIM($DZ548))),0)&lt;IFERROR(FIND("E",UPPER(TRIM($DZ548))),999)),ISNUMBER(VALUE(TRIM($DZ548)))),VALUE(TRIM($DZ548)),"")))),""))</f>
        <v/>
      </c>
      <c r="EB548">
        <f>IF($DM548=0,"",IF($L$18=0,"",IFERROR(IF(UPPER(TRIM(SUBSTITUTE(SUBSTITUTE(SUBSTITUTE(SUBSTITUTE(INDEX(PASTE_ALL,$DF548,$L$18)," "," "),CHAR(9)," "),CHAR(10)," "),CHAR(13)," ")))="READY","Ready",IF(UPPER(TRIM(SUBSTITUTE(SUBSTITUTE(SUBSTITUTE(SUBSTITUTE(INDEX(PASTE_ALL,$DF548,$L$18)," "," "),CHAR(9)," "),CHAR(10)," "),CHAR(13)," ")))="PM","PM",IF(OR(UPPER(TRIM(SUBSTITUTE(SUBSTITUTE(SUBSTITUTE(SUBSTITUTE(INDEX(PASTE_ALL,$DF548,$L$18)," "," "),CHAR(9)," "),CHAR(10)," "),CHAR(13)," ")))="OT",UPPER(TRIM(SUBSTITUTE(SUBSTITUTE(SUBSTITUTE(SUBSTITUTE(INDEX(PASTE_ALL,$DF548,$L$18)," "," "),CHAR(9)," "),CHAR(10)," "),CHAR(13)," ")))="OVERTIME",UPPER(TRIM(SUBSTITUTE(SUBSTITUTE(SUBSTITUTE(SUBSTITUTE(INDEX(PASTE_ALL,$DF548,$L$18)," "," "),CHAR(9)," "),CHAR(10)," "),CHAR(13)," ")))="TRIAL"),"OT",TRIM(SUBSTITUTE(SUBSTITUTE(SUBSTITUTE(SUBSTITUTE(INDEX(PASTE_ALL,$DF548,$L$18)," "," "),CHAR(9)," "),CHAR(10)," "),CHAR(13)," "))))),"")))</f>
        <v/>
      </c>
      <c r="EC548">
        <f>IF($DM548=0,"",IF($L$19=0,"",IFERROR(IF(ISNUMBER(INDEX(PASTE_ALL,$DF548,$L$19)),INDEX(PASTE_ALL,$DF548,$L$19),TRIM(SUBSTITUTE(SUBSTITUTE(SUBSTITUTE(SUBSTITUTE(INDEX(PASTE_ALL,$DF548,$L$19)," "," "),CHAR(9)," "),CHAR(10)," "),CHAR(13)," "))),"")))</f>
        <v/>
      </c>
      <c r="ED548">
        <f>IF($DM548=0,"",MATCH(1,INDEX(EXACT($DH$5:DH548,$DH548)*$DM$5:DM548,0),0))</f>
        <v/>
      </c>
      <c r="EE548">
        <f>IF($DM548=0,0,IF($ED548=$DE548,1,0))</f>
        <v/>
      </c>
      <c r="EF548">
        <f>EF547+$EE548</f>
        <v/>
      </c>
      <c r="EG548">
        <f>IF($DM548=0,"",INDEX($EF$5:$EF$1003,$ED548))</f>
        <v/>
      </c>
      <c r="EH548">
        <f>IF($DM548=0,"",IF($DO548&lt;&gt;"","",IFERROR(LOOKUP(2,1/(($EG$4:EG547=$EG548)*($DO$4:DO547&lt;&gt;"")),$DO$4:DO547),"")))</f>
        <v/>
      </c>
      <c r="EI548">
        <f>IF($DM548=0,"",IF($DO548&lt;&gt;"",$DO548,$EH548))</f>
        <v/>
      </c>
      <c r="EJ548">
        <f>IF($DM548=0,"",IF($EI548="",0,IF(OR(ISNUMBER($EI548),AND(AND(SUBSTITUTE(SUBSTITUTE(SUBSTITUTE(SUBSTITUTE(SUBSTITUTE(SUBSTITUTE(SUBSTITUTE(SUBSTITUTE(SUBSTITUTE(SUBSTITUTE(SUBSTITUTE(SUBSTITUTE(SUBSTITUTE(SUBSTITUTE(UPPER($EI548),"0",""),"1",""),"2",""),"3",""),"4",""),"5",""),"6",""),"7",""),"8",""),"9",""),".",""),"+",""),"-",""),"E","")="",LEN(SUBSTITUTE(SUBSTITUTE(MID(UPPER($EI548),1+OR(LEFT(UPPER($EI548),1)="+",LEFT(UPPER($EI548),1)="-"),999),"E+","E"),"E-","E"))=LEN(SUBSTITUTE(SUBSTITUTE(SUBSTITUTE(SUBSTITUTE(MID(UPPER($EI548),1+OR(LEFT(UPPER($EI548),1)="+",LEFT(UPPER($EI548),1)="-"),999),"E+","E"),"E-","E"),"+",""),"-","")),LEN(UPPER($EI548))-LEN(SUBSTITUTE(UPPER($EI548),"E",""))&lt;2,LEN(UPPER($EI548))-LEN(SUBSTITUTE(UPPER($EI548),".",""))&lt;2,IFERROR(FIND(".",UPPER($EI548)),0)&lt;IFERROR(FIND("E",UPPER($EI548)),999)),ISNUMBER(VALUE($EI548)))),1,2)))</f>
        <v/>
      </c>
      <c r="EK548">
        <f>IF($DM548=0,"",IF($EJ548=1,IF(ISNUMBER($EI548),$EI548,VALUE($EI548)),IF($EJ548=2,$DE548,0)))</f>
        <v/>
      </c>
      <c r="EL548">
        <f>IF($DM548=0,"",COUNTIF($EG$5:$EG$1003,"&lt;"&amp;$EG548)+SUMPRODUCT(($EG$5:$EG$1003=$EG548)*(($EJ$5:$EJ$1003&lt;$EJ548)+($EJ$5:$EJ$1003=$EJ548)*(($EK$5:$EK$1003&lt;$EK548)+($EK$5:$EK$1003=$EK548)*($DE$5:$DE$1003&lt;$DE548))))+1)</f>
        <v/>
      </c>
      <c r="EM548">
        <f>IF($DM548=0,"",$EL548+$EG548-1)</f>
        <v/>
      </c>
      <c r="EN548">
        <f>IF($DM548=0,0,IFERROR(MATCH(1,INDEX(--(TRIM(SUBSTITUTE(SUBSTITUTE(SUBSTITUTE(SUBSTITUTE(LINES_NAME&amp;""," "," "),CHAR(9)," "),CHAR(10)," "),CHAR(13)," "))=$DH548),0),0),0))</f>
        <v/>
      </c>
      <c r="EO548">
        <f>IF($EN548=0,0,IF(OR(UPPER(TRIM(INDEX(LINES_SCHEDULED,$EN548)&amp;""))="YES",UPPER(TRIM(INDEX(LINES_SCHEDULED,$EN548)&amp;""))="Y",UPPER(TRIM(INDEX(LINES_SCHEDULED,$EN548)&amp;""))="X"),1,0))</f>
        <v/>
      </c>
      <c r="EP548">
        <f>IF($DM548=0,"",IF(COUNTIFS($EG$5:$EG$1003,$EG548,$EB$5:$EB$1003,"Ready")&gt;0,"READY",IF(COUNTIFS($EG$5:$EG$1003,$EG548,$EB$5:$EB$1003,"PM")&gt;0,"PM",IF(COUNTIFS($EG$5:$EG$1003,$EG548,$EB$5:$EB$1003,"OT")&gt;0,"OT",""))))</f>
        <v/>
      </c>
      <c r="EQ548">
        <f>IF($EN548=0,"",UPPER(TRIM(INDEX(LINES_STATUS,$EN548)&amp;"")))</f>
        <v/>
      </c>
      <c r="ER548">
        <f>IF($DM548=0,"",IF(OR($EQ548="READY",$EQ548="PM",$EQ548="OT"),$EQ548,$EP548))</f>
        <v/>
      </c>
      <c r="ES548">
        <f>IF($DM548=0,"",IF(AND($DV548&lt;&gt;"",UPPER($DV548)&lt;&gt;"N"),"allergen",IF(ISNUMBER(SEARCH("oil",$DQ548)),"oil",IF(OR(EXACT($DS548,"A662"),EXACT($DS548,"A624")),"bulk",""))))</f>
        <v/>
      </c>
      <c r="ET548">
        <f>IF($DM548=0,"",IF(OR($EA548="",$EA548=0),"",$EA548/100))</f>
        <v/>
      </c>
      <c r="EU548">
        <f>IF(OR($ET548="",$DY548=""),"",INT($DY548*(1-$ET548)+0.5))</f>
        <v/>
      </c>
      <c r="EW548" t="n">
        <v>544</v>
      </c>
      <c r="EX548">
        <f>IFERROR(MATCH($EW548,$EM$5:$EM$1003,0),0)</f>
        <v/>
      </c>
      <c r="EY548">
        <f>IF($EW548&gt;$B$12,"",IF($EX548&gt;0,"row","spacer"))</f>
        <v/>
      </c>
      <c r="EZ548">
        <f>IF(AND($EY548="row",$EY547&lt;&gt;"row"),1,0)</f>
        <v/>
      </c>
      <c r="FA548">
        <f>IF(AND($EY548="row",$EY549&lt;&gt;"row"),1,0)</f>
        <v/>
      </c>
      <c r="FB548">
        <f>IF($EZ548=1,IFERROR(IF(ISNUMBER(INDEX(PASTE_ALL,INDEX($DF$5:$DF$1003,$EX548),$B$37)),INDEX(PASTE_ALL,INDEX($DF$5:$DF$1003,$EX548),$B$37),INDEX($DH$5:$DH$1003,$EX548)),INDEX($DH$5:$DH$1003,$EX548)),"")</f>
        <v/>
      </c>
      <c r="FC548">
        <f>IF($EY548="row",INDEX($ER$5:$ER$1003,$EX548),"")</f>
        <v/>
      </c>
      <c r="FD548">
        <f>IF($EY548="row",INDEX($DN$5:$DN$1003,$EX548),"")</f>
        <v/>
      </c>
      <c r="FE548">
        <f>IF($EY548="row",INDEX($DO$5:$DO$1003,$EX548),"")</f>
        <v/>
      </c>
      <c r="FF548">
        <f>IF($EY548="row",INDEX($DP$5:$DP$1003,$EX548),"")</f>
        <v/>
      </c>
      <c r="FG548">
        <f>IF($EY548="row",INDEX($DQ$5:$DQ$1003,$EX548),"")</f>
        <v/>
      </c>
      <c r="FH548">
        <f>IF($EY548="row",INDEX($DR$5:$DR$1003,$EX548),"")</f>
        <v/>
      </c>
      <c r="FI548">
        <f>IF($EY548="row",INDEX($DS$5:$DS$1003,$EX548),"")</f>
        <v/>
      </c>
      <c r="FJ548">
        <f>IF($EY548="row",INDEX($DT$5:$DT$1003,$EX548),"")</f>
        <v/>
      </c>
      <c r="FK548">
        <f>IF($EY548="row",INDEX($DU$5:$DU$1003,$EX548),"")</f>
        <v/>
      </c>
      <c r="FL548">
        <f>IF($EY548="row",INDEX($DV$5:$DV$1003,$EX548),"")</f>
        <v/>
      </c>
      <c r="FM548">
        <f>IF($EY548="row",INDEX($DW$5:$DW$1003,$EX548),"")</f>
        <v/>
      </c>
      <c r="FN548">
        <f>IF($EY548="row",INDEX($DY$5:$DY$1003,$EX548),"")</f>
        <v/>
      </c>
      <c r="FO548">
        <f>IF($EY548="row",INDEX($EA$5:$EA$1003,$EX548),"")</f>
        <v/>
      </c>
      <c r="FP548">
        <f>IF($EY548="row",INDEX($EC$5:$EC$1003,$EX548),"")</f>
        <v/>
      </c>
      <c r="FQ548">
        <f>IF($EY548="row",INDEX($ET$5:$ET$1003,$EX548),"")</f>
        <v/>
      </c>
      <c r="FR548">
        <f>IF($EY548="row",INDEX($EU$5:$EU$1003,$EX548),"")</f>
        <v/>
      </c>
      <c r="FS548">
        <f>IF(AND($EY548="row",$EY547="row"),IF(OR(INDEX($DT$5:$DT$1003,$EX547)="",INDEX($DT$5:$DT$1003,$EX548)=""),"",IF(NOT(EXACT(INDEX($DT$5:$DT$1003,$EX547),INDEX($DT$5:$DT$1003,$EX548))),"S4",IF(NOT(EXACT(INDEX($DS$5:$DS$1003,$EX547),INDEX($DS$5:$DS$1003,$EX548))),"S3",IF(NOT(EXACT(INDEX($DR$5:$DR$1003,$EX547),INDEX($DR$5:$DR$1003,$EX548))),"S1 Count Change","S1")))),"")</f>
        <v/>
      </c>
      <c r="FT548">
        <f>IF($EY548="row",INDEX($ES$5:$ES$1003,$EX548),"")</f>
        <v/>
      </c>
      <c r="FU548">
        <f>IF($EY548="row",INDEX($EO$5:$EO$1003,$EX548),0)</f>
        <v/>
      </c>
      <c r="FV548">
        <f>IF($FS548="S1 Count Change",1,0)</f>
        <v/>
      </c>
    </row>
    <row r="549">
      <c r="DA549" t="n">
        <v>545</v>
      </c>
      <c r="DB549">
        <f>IF($B$37=0,"",IFERROR(TRIM(SUBSTITUTE(SUBSTITUTE(SUBSTITUTE(SUBSTITUTE(INDEX(PASTE_ALL,545,$B$37)," "," "),CHAR(9)," "),CHAR(10)," "),CHAR(13)," ")),""))</f>
        <v/>
      </c>
      <c r="DC549">
        <f>IF(AND(545&gt;HEADER_ROW,UPPER(DB549)="LEGEND"),1,0)</f>
        <v/>
      </c>
      <c r="DE549" t="n">
        <v>545</v>
      </c>
      <c r="DF549">
        <f>HEADER_ROW+$DE549</f>
        <v/>
      </c>
      <c r="DG549">
        <f>IF(AND($DF549&lt;=1000,$DF549&lt;$B$8),1,0)</f>
        <v/>
      </c>
      <c r="DH549">
        <f>IF($DG549=1,IFERROR(INDEX($DB$5:$DB$1004,$DF549),""),"")</f>
        <v/>
      </c>
      <c r="DI549">
        <f>IF(AND($DG549=1,$DH549&lt;&gt;""),IFERROR(SUBSTITUTE(SUBSTITUTE(TRIM(SUBSTITUTE(SUBSTITUTE(SUBSTITUTE(SUBSTITUTE(IFERROR(INDEX(PASTE_ALL,$DF549,1)&amp;"","")&amp;"␟"&amp;IFERROR(INDEX(PASTE_ALL,$DF549,2)&amp;"","")&amp;"␟"&amp;IFERROR(INDEX(PASTE_ALL,$DF549,3)&amp;"","")&amp;"␟"&amp;IFERROR(INDEX(PASTE_ALL,$DF549,4)&amp;"","")&amp;"␟"&amp;IFERROR(INDEX(PASTE_ALL,$DF549,5)&amp;"","")&amp;"␟"&amp;IFERROR(INDEX(PASTE_ALL,$DF549,6)&amp;"","")&amp;"␟"&amp;IFERROR(INDEX(PASTE_ALL,$DF549,7)&amp;"","")&amp;"␟"&amp;IFERROR(INDEX(PASTE_ALL,$DF549,8)&amp;"","")&amp;"␟"&amp;IFERROR(INDEX(PASTE_ALL,$DF549,9)&amp;"","")&amp;"␟"&amp;IFERROR(INDEX(PASTE_ALL,$DF549,10)&amp;"","")&amp;"␟"&amp;IFERROR(INDEX(PASTE_ALL,$DF549,11)&amp;"","")&amp;"␟"&amp;IFERROR(INDEX(PASTE_ALL,$DF549,12)&amp;"","")&amp;"␟"&amp;IFERROR(INDEX(PASTE_ALL,$DF549,13)&amp;"","")&amp;"␟"&amp;IFERROR(INDEX(PASTE_ALL,$DF549,14)&amp;"","")&amp;"␟"&amp;IFERROR(INDEX(PASTE_ALL,$DF549,15)&amp;"","")&amp;"␟"&amp;IFERROR(INDEX(PASTE_ALL,$DF549,16)&amp;"","")&amp;"␟"&amp;IFERROR(INDEX(PASTE_ALL,$DF549,17)&amp;"","")&amp;"␟"&amp;IFERROR(INDEX(PASTE_ALL,$DF549,18)&amp;"","")&amp;"␟"&amp;IFERROR(INDEX(PASTE_ALL,$DF549,19)&amp;"","")&amp;"␟"&amp;IFERROR(INDEX(PASTE_ALL,$DF549,20)&amp;"","")&amp;"␟"&amp;IFERROR(INDEX(PASTE_ALL,$DF549,21)&amp;"","")&amp;"␟"&amp;IFERROR(INDEX(PASTE_ALL,$DF549,22)&amp;"","")&amp;"␟"&amp;IFERROR(INDEX(PASTE_ALL,$DF549,23)&amp;"","")&amp;"␟"&amp;IFERROR(INDEX(PASTE_ALL,$DF549,24)&amp;"","")&amp;"␟"&amp;IFERROR(INDEX(PASTE_ALL,$DF549,25)&amp;"","")&amp;"␟"&amp;IFERROR(INDEX(PASTE_ALL,$DF549,26)&amp;"","")&amp;"␟"&amp;IFERROR(INDEX(PASTE_ALL,$DF549,27)&amp;"","")&amp;"␟"&amp;IFERROR(INDEX(PASTE_ALL,$DF549,28)&amp;"","")&amp;"␟"&amp;IFERROR(INDEX(PASTE_ALL,$DF549,29)&amp;"","")&amp;"␟"&amp;IFERROR(INDEX(PASTE_ALL,$DF549,30)&amp;"","")&amp;"␟"&amp;IFERROR(INDEX(PASTE_ALL,$DF549,31)&amp;"","")&amp;"␟"&amp;IFERROR(INDEX(PASTE_ALL,$DF549,32)&amp;"","")&amp;"␟"&amp;IFERROR(INDEX(PASTE_ALL,$DF549,33)&amp;"","")&amp;"␟"&amp;IFERROR(INDEX(PASTE_ALL,$DF549,34)&amp;"","")&amp;"␟"&amp;IFERROR(INDEX(PASTE_ALL,$DF549,35)&amp;"","")&amp;"␟"&amp;IFERROR(INDEX(PASTE_ALL,$DF549,36)&amp;"","")&amp;"␟"&amp;IFERROR(INDEX(PASTE_ALL,$DF549,37)&amp;"","")&amp;"␟"&amp;IFERROR(INDEX(PASTE_ALL,$DF549,38)&amp;"","")&amp;"␟"&amp;IFERROR(INDEX(PASTE_ALL,$DF549,39)&amp;"","")&amp;"␟"&amp;IFERROR(INDEX(PASTE_ALL,$DF549,40)&amp;"","")&amp;"␟"&amp;IFERROR(INDEX(PASTE_ALL,$DF549,41)&amp;"","")&amp;"␟"&amp;IFERROR(INDEX(PASTE_ALL,$DF549,42)&amp;"","")&amp;"␟"&amp;IFERROR(INDEX(PASTE_ALL,$DF549,43)&amp;"","")&amp;"␟"&amp;IFERROR(INDEX(PASTE_ALL,$DF549,44)&amp;"","")&amp;"␟"&amp;IFERROR(INDEX(PASTE_ALL,$DF549,45)&amp;"","")&amp;"␟"&amp;IFERROR(INDEX(PASTE_ALL,$DF549,46)&amp;"","")&amp;"␟"&amp;IFERROR(INDEX(PASTE_ALL,$DF549,47)&amp;"","")&amp;"␟"&amp;IFERROR(INDEX(PASTE_ALL,$DF549,48)&amp;"","")&amp;"␟"&amp;IFERROR(INDEX(PASTE_ALL,$DF549,49)&amp;"","")&amp;"␟"&amp;IFERROR(INDEX(PASTE_ALL,$DF549,50)&amp;"","")&amp;"␟"&amp;IFERROR(INDEX(PASTE_ALL,$DF549,51)&amp;"","")&amp;"␟"&amp;IFERROR(INDEX(PASTE_ALL,$DF549,52)&amp;"","")&amp;"␟"&amp;IFERROR(INDEX(PASTE_ALL,$DF549,53)&amp;"","")&amp;"␟"&amp;IFERROR(INDEX(PASTE_ALL,$DF549,54)&amp;"","")&amp;"␟"&amp;IFERROR(INDEX(PASTE_ALL,$DF549,55)&amp;"","")&amp;"␟"&amp;IFERROR(INDEX(PASTE_ALL,$DF549,56)&amp;"","")&amp;"␟"&amp;IFERROR(INDEX(PASTE_ALL,$DF549,57)&amp;"","")&amp;"␟"&amp;IFERROR(INDEX(PASTE_ALL,$DF549,58)&amp;"","")&amp;"␟"&amp;IFERROR(INDEX(PASTE_ALL,$DF549,59)&amp;"","")&amp;"␟"&amp;IFERROR(INDEX(PASTE_ALL,$DF549,60)&amp;"","")," "," "),CHAR(9)," "),CHAR(10)," "),CHAR(13)," "))," ␟","␟"),"␟ ","␟"),"#"&amp;$DE549),"")</f>
        <v/>
      </c>
      <c r="DJ549">
        <f>IF($DI549="",0,IF(SUMPRODUCT(--EXACT($DI$4:DI548,$DI549))&gt;0,1,0))</f>
        <v/>
      </c>
      <c r="DK549">
        <f>IF(AND($DI549&lt;&gt;"",$DJ549=0),1,0)</f>
        <v/>
      </c>
      <c r="DL549">
        <f>DL548+$DK549</f>
        <v/>
      </c>
      <c r="DM549">
        <f>IF(AND($DK549=1,$DL549&lt;=600),1,0)</f>
        <v/>
      </c>
      <c r="DN549">
        <f>IF($DM549=0,"",IF($L$6=0,"",IFERROR(IF(ISNUMBER(INDEX(PASTE_ALL,$DF549,$L$6)),INDEX(PASTE_ALL,$DF549,$L$6),TRIM(SUBSTITUTE(SUBSTITUTE(SUBSTITUTE(SUBSTITUTE(INDEX(PASTE_ALL,$DF549,$L$6)," "," "),CHAR(9)," "),CHAR(10)," "),CHAR(13)," "))),"")))</f>
        <v/>
      </c>
      <c r="DO549">
        <f>IF($DM549=0,"",IF($L$7=0,"",IFERROR(IF(ISNUMBER(INDEX(PASTE_ALL,$DF549,$L$7)),INDEX(PASTE_ALL,$DF549,$L$7),TRIM(SUBSTITUTE(SUBSTITUTE(SUBSTITUTE(SUBSTITUTE(INDEX(PASTE_ALL,$DF549,$L$7)," "," "),CHAR(9)," "),CHAR(10)," "),CHAR(13)," "))),"")))</f>
        <v/>
      </c>
      <c r="DP549">
        <f>IF($DM549=0,"",IF($L$8=0,"",IFERROR(IF(ISNUMBER(INDEX(PASTE_ALL,$DF549,$L$8)),INDEX(PASTE_ALL,$DF549,$L$8),TRIM(SUBSTITUTE(SUBSTITUTE(SUBSTITUTE(SUBSTITUTE(INDEX(PASTE_ALL,$DF549,$L$8)," "," "),CHAR(9)," "),CHAR(10)," "),CHAR(13)," "))),"")))</f>
        <v/>
      </c>
      <c r="DQ549">
        <f>IF($DM549=0,"",IF($L$9=0,"",IFERROR(IF(ISNUMBER(INDEX(PASTE_ALL,$DF549,$L$9)),INDEX(PASTE_ALL,$DF549,$L$9),TRIM(SUBSTITUTE(SUBSTITUTE(SUBSTITUTE(SUBSTITUTE(INDEX(PASTE_ALL,$DF549,$L$9)," "," "),CHAR(9)," "),CHAR(10)," "),CHAR(13)," "))),"")))</f>
        <v/>
      </c>
      <c r="DR549">
        <f>IF($DM549=0,"",IF($L$10=0,"",IFERROR(IF(ISNUMBER(INDEX(PASTE_ALL,$DF549,$L$10)),INDEX(PASTE_ALL,$DF549,$L$10),TRIM(SUBSTITUTE(SUBSTITUTE(SUBSTITUTE(SUBSTITUTE(INDEX(PASTE_ALL,$DF549,$L$10)," "," "),CHAR(9)," "),CHAR(10)," "),CHAR(13)," "))),"")))</f>
        <v/>
      </c>
      <c r="DS549">
        <f>IF($DM549=0,"",IF($L$11=0,"",IFERROR(IF(ISNUMBER(INDEX(PASTE_ALL,$DF549,$L$11)),INDEX(PASTE_ALL,$DF549,$L$11),TRIM(SUBSTITUTE(SUBSTITUTE(SUBSTITUTE(SUBSTITUTE(INDEX(PASTE_ALL,$DF549,$L$11)," "," "),CHAR(9)," "),CHAR(10)," "),CHAR(13)," "))),"")))</f>
        <v/>
      </c>
      <c r="DT549">
        <f>IF($DM549=0,"",IF($L$12=0,"",IFERROR(IF(ISNUMBER(INDEX(PASTE_ALL,$DF549,$L$12)),INDEX(PASTE_ALL,$DF549,$L$12),TRIM(SUBSTITUTE(SUBSTITUTE(SUBSTITUTE(SUBSTITUTE(INDEX(PASTE_ALL,$DF549,$L$12)," "," "),CHAR(9)," "),CHAR(10)," "),CHAR(13)," "))),"")))</f>
        <v/>
      </c>
      <c r="DU549">
        <f>IF($DM549=0,"",IF($L$13=0,"",IFERROR(IF(ISNUMBER(INDEX(PASTE_ALL,$DF549,$L$13)),INDEX(PASTE_ALL,$DF549,$L$13),TRIM(SUBSTITUTE(SUBSTITUTE(SUBSTITUTE(SUBSTITUTE(INDEX(PASTE_ALL,$DF549,$L$13)," "," "),CHAR(9)," "),CHAR(10)," "),CHAR(13)," "))),"")))</f>
        <v/>
      </c>
      <c r="DV549">
        <f>IF($DM549=0,"",IF($L$14=0,"",IFERROR(IF(ISNUMBER(INDEX(PASTE_ALL,$DF549,$L$14)),INDEX(PASTE_ALL,$DF549,$L$14),TRIM(SUBSTITUTE(SUBSTITUTE(SUBSTITUTE(SUBSTITUTE(INDEX(PASTE_ALL,$DF549,$L$14)," "," "),CHAR(9)," "),CHAR(10)," "),CHAR(13)," "))),"")))</f>
        <v/>
      </c>
      <c r="DW549">
        <f>IF($DM549=0,"",IF($L$15=0,"",IFERROR(IF(ISNUMBER(INDEX(PASTE_ALL,$DF549,$L$15)),INDEX(PASTE_ALL,$DF549,$L$15),IF(SUMPRODUCT(--ISNUMBER(FIND({"A","B","C","D","E","F","G","H","I","J","K","L","M","N","O","P","Q","R","S","T","U","V","W","X","Y","Z","0","1","2","3","4","5","6","7","8","9"},UPPER(TRIM(SUBSTITUTE(SUBSTITUTE(SUBSTITUTE(SUBSTITUTE(INDEX(PASTE_ALL,$DF549,$L$15)," "," "),CHAR(9)," "),CHAR(10)," "),CHAR(13)," "))))))&gt;0,TRIM(SUBSTITUTE(SUBSTITUTE(SUBSTITUTE(SUBSTITUTE(INDEX(PASTE_ALL,$DF549,$L$15)," "," "),CHAR(9)," "),CHAR(10)," "),CHAR(13)," ")),"")),"")))</f>
        <v/>
      </c>
      <c r="DX549">
        <f>IF($DM549=0,"",IF($L$16=0,"",IFERROR(IF(ISNUMBER(INDEX(PASTE_ALL,$DF549,$L$16)),INDEX(PASTE_ALL,$DF549,$L$16),SUBSTITUTE(SUBSTITUTE(TRIM(SUBSTITUTE(SUBSTITUTE(SUBSTITUTE(SUBSTITUTE(INDEX(PASTE_ALL,$DF549,$L$16)," "," "),CHAR(9)," "),CHAR(10)," "),CHAR(13)," ")),",",""),"%","")),"")))</f>
        <v/>
      </c>
      <c r="DY549">
        <f>IF($DM549=0,"",IFERROR(IF(ISNUMBER($DX549),$DX549,IF($DX549="","",IF(TRIM($DX549)="",0,IF(AND(AND(SUBSTITUTE(SUBSTITUTE(SUBSTITUTE(SUBSTITUTE(SUBSTITUTE(SUBSTITUTE(SUBSTITUTE(SUBSTITUTE(SUBSTITUTE(SUBSTITUTE(SUBSTITUTE(SUBSTITUTE(SUBSTITUTE(SUBSTITUTE(UPPER(TRIM($DX549)),"0",""),"1",""),"2",""),"3",""),"4",""),"5",""),"6",""),"7",""),"8",""),"9",""),".",""),"+",""),"-",""),"E","")="",LEN(SUBSTITUTE(SUBSTITUTE(MID(UPPER(TRIM($DX549)),1+OR(LEFT(UPPER(TRIM($DX549)),1)="+",LEFT(UPPER(TRIM($DX549)),1)="-"),999),"E+","E"),"E-","E"))=LEN(SUBSTITUTE(SUBSTITUTE(SUBSTITUTE(SUBSTITUTE(MID(UPPER(TRIM($DX549)),1+OR(LEFT(UPPER(TRIM($DX549)),1)="+",LEFT(UPPER(TRIM($DX549)),1)="-"),999),"E+","E"),"E-","E"),"+",""),"-","")),LEN(UPPER(TRIM($DX549)))-LEN(SUBSTITUTE(UPPER(TRIM($DX549)),"E",""))&lt;2,LEN(UPPER(TRIM($DX549)))-LEN(SUBSTITUTE(UPPER(TRIM($DX549)),".",""))&lt;2,IFERROR(FIND(".",UPPER(TRIM($DX549))),0)&lt;IFERROR(FIND("E",UPPER(TRIM($DX549))),999)),ISNUMBER(VALUE(TRIM($DX549)))),VALUE(TRIM($DX549)),"")))),""))</f>
        <v/>
      </c>
      <c r="DZ549">
        <f>IF($DM549=0,"",IF($L$17=0,"",IFERROR(IF(ISNUMBER(INDEX(PASTE_ALL,$DF549,$L$17)),INDEX(PASTE_ALL,$DF549,$L$17),SUBSTITUTE(SUBSTITUTE(TRIM(SUBSTITUTE(SUBSTITUTE(SUBSTITUTE(SUBSTITUTE(INDEX(PASTE_ALL,$DF549,$L$17)," "," "),CHAR(9)," "),CHAR(10)," "),CHAR(13)," ")),",",""),"%","")),"")))</f>
        <v/>
      </c>
      <c r="EA549">
        <f>IF($DM549=0,"",IFERROR(IF(ISNUMBER($DZ549),$DZ549,IF($DZ549="","",IF(TRIM($DZ549)="",0,IF(AND(AND(SUBSTITUTE(SUBSTITUTE(SUBSTITUTE(SUBSTITUTE(SUBSTITUTE(SUBSTITUTE(SUBSTITUTE(SUBSTITUTE(SUBSTITUTE(SUBSTITUTE(SUBSTITUTE(SUBSTITUTE(SUBSTITUTE(SUBSTITUTE(UPPER(TRIM($DZ549)),"0",""),"1",""),"2",""),"3",""),"4",""),"5",""),"6",""),"7",""),"8",""),"9",""),".",""),"+",""),"-",""),"E","")="",LEN(SUBSTITUTE(SUBSTITUTE(MID(UPPER(TRIM($DZ549)),1+OR(LEFT(UPPER(TRIM($DZ549)),1)="+",LEFT(UPPER(TRIM($DZ549)),1)="-"),999),"E+","E"),"E-","E"))=LEN(SUBSTITUTE(SUBSTITUTE(SUBSTITUTE(SUBSTITUTE(MID(UPPER(TRIM($DZ549)),1+OR(LEFT(UPPER(TRIM($DZ549)),1)="+",LEFT(UPPER(TRIM($DZ549)),1)="-"),999),"E+","E"),"E-","E"),"+",""),"-","")),LEN(UPPER(TRIM($DZ549)))-LEN(SUBSTITUTE(UPPER(TRIM($DZ549)),"E",""))&lt;2,LEN(UPPER(TRIM($DZ549)))-LEN(SUBSTITUTE(UPPER(TRIM($DZ549)),".",""))&lt;2,IFERROR(FIND(".",UPPER(TRIM($DZ549))),0)&lt;IFERROR(FIND("E",UPPER(TRIM($DZ549))),999)),ISNUMBER(VALUE(TRIM($DZ549)))),VALUE(TRIM($DZ549)),"")))),""))</f>
        <v/>
      </c>
      <c r="EB549">
        <f>IF($DM549=0,"",IF($L$18=0,"",IFERROR(IF(UPPER(TRIM(SUBSTITUTE(SUBSTITUTE(SUBSTITUTE(SUBSTITUTE(INDEX(PASTE_ALL,$DF549,$L$18)," "," "),CHAR(9)," "),CHAR(10)," "),CHAR(13)," ")))="READY","Ready",IF(UPPER(TRIM(SUBSTITUTE(SUBSTITUTE(SUBSTITUTE(SUBSTITUTE(INDEX(PASTE_ALL,$DF549,$L$18)," "," "),CHAR(9)," "),CHAR(10)," "),CHAR(13)," ")))="PM","PM",IF(OR(UPPER(TRIM(SUBSTITUTE(SUBSTITUTE(SUBSTITUTE(SUBSTITUTE(INDEX(PASTE_ALL,$DF549,$L$18)," "," "),CHAR(9)," "),CHAR(10)," "),CHAR(13)," ")))="OT",UPPER(TRIM(SUBSTITUTE(SUBSTITUTE(SUBSTITUTE(SUBSTITUTE(INDEX(PASTE_ALL,$DF549,$L$18)," "," "),CHAR(9)," "),CHAR(10)," "),CHAR(13)," ")))="OVERTIME",UPPER(TRIM(SUBSTITUTE(SUBSTITUTE(SUBSTITUTE(SUBSTITUTE(INDEX(PASTE_ALL,$DF549,$L$18)," "," "),CHAR(9)," "),CHAR(10)," "),CHAR(13)," ")))="TRIAL"),"OT",TRIM(SUBSTITUTE(SUBSTITUTE(SUBSTITUTE(SUBSTITUTE(INDEX(PASTE_ALL,$DF549,$L$18)," "," "),CHAR(9)," "),CHAR(10)," "),CHAR(13)," "))))),"")))</f>
        <v/>
      </c>
      <c r="EC549">
        <f>IF($DM549=0,"",IF($L$19=0,"",IFERROR(IF(ISNUMBER(INDEX(PASTE_ALL,$DF549,$L$19)),INDEX(PASTE_ALL,$DF549,$L$19),TRIM(SUBSTITUTE(SUBSTITUTE(SUBSTITUTE(SUBSTITUTE(INDEX(PASTE_ALL,$DF549,$L$19)," "," "),CHAR(9)," "),CHAR(10)," "),CHAR(13)," "))),"")))</f>
        <v/>
      </c>
      <c r="ED549">
        <f>IF($DM549=0,"",MATCH(1,INDEX(EXACT($DH$5:DH549,$DH549)*$DM$5:DM549,0),0))</f>
        <v/>
      </c>
      <c r="EE549">
        <f>IF($DM549=0,0,IF($ED549=$DE549,1,0))</f>
        <v/>
      </c>
      <c r="EF549">
        <f>EF548+$EE549</f>
        <v/>
      </c>
      <c r="EG549">
        <f>IF($DM549=0,"",INDEX($EF$5:$EF$1003,$ED549))</f>
        <v/>
      </c>
      <c r="EH549">
        <f>IF($DM549=0,"",IF($DO549&lt;&gt;"","",IFERROR(LOOKUP(2,1/(($EG$4:EG548=$EG549)*($DO$4:DO548&lt;&gt;"")),$DO$4:DO548),"")))</f>
        <v/>
      </c>
      <c r="EI549">
        <f>IF($DM549=0,"",IF($DO549&lt;&gt;"",$DO549,$EH549))</f>
        <v/>
      </c>
      <c r="EJ549">
        <f>IF($DM549=0,"",IF($EI549="",0,IF(OR(ISNUMBER($EI549),AND(AND(SUBSTITUTE(SUBSTITUTE(SUBSTITUTE(SUBSTITUTE(SUBSTITUTE(SUBSTITUTE(SUBSTITUTE(SUBSTITUTE(SUBSTITUTE(SUBSTITUTE(SUBSTITUTE(SUBSTITUTE(SUBSTITUTE(SUBSTITUTE(UPPER($EI549),"0",""),"1",""),"2",""),"3",""),"4",""),"5",""),"6",""),"7",""),"8",""),"9",""),".",""),"+",""),"-",""),"E","")="",LEN(SUBSTITUTE(SUBSTITUTE(MID(UPPER($EI549),1+OR(LEFT(UPPER($EI549),1)="+",LEFT(UPPER($EI549),1)="-"),999),"E+","E"),"E-","E"))=LEN(SUBSTITUTE(SUBSTITUTE(SUBSTITUTE(SUBSTITUTE(MID(UPPER($EI549),1+OR(LEFT(UPPER($EI549),1)="+",LEFT(UPPER($EI549),1)="-"),999),"E+","E"),"E-","E"),"+",""),"-","")),LEN(UPPER($EI549))-LEN(SUBSTITUTE(UPPER($EI549),"E",""))&lt;2,LEN(UPPER($EI549))-LEN(SUBSTITUTE(UPPER($EI549),".",""))&lt;2,IFERROR(FIND(".",UPPER($EI549)),0)&lt;IFERROR(FIND("E",UPPER($EI549)),999)),ISNUMBER(VALUE($EI549)))),1,2)))</f>
        <v/>
      </c>
      <c r="EK549">
        <f>IF($DM549=0,"",IF($EJ549=1,IF(ISNUMBER($EI549),$EI549,VALUE($EI549)),IF($EJ549=2,$DE549,0)))</f>
        <v/>
      </c>
      <c r="EL549">
        <f>IF($DM549=0,"",COUNTIF($EG$5:$EG$1003,"&lt;"&amp;$EG549)+SUMPRODUCT(($EG$5:$EG$1003=$EG549)*(($EJ$5:$EJ$1003&lt;$EJ549)+($EJ$5:$EJ$1003=$EJ549)*(($EK$5:$EK$1003&lt;$EK549)+($EK$5:$EK$1003=$EK549)*($DE$5:$DE$1003&lt;$DE549))))+1)</f>
        <v/>
      </c>
      <c r="EM549">
        <f>IF($DM549=0,"",$EL549+$EG549-1)</f>
        <v/>
      </c>
      <c r="EN549">
        <f>IF($DM549=0,0,IFERROR(MATCH(1,INDEX(--(TRIM(SUBSTITUTE(SUBSTITUTE(SUBSTITUTE(SUBSTITUTE(LINES_NAME&amp;""," "," "),CHAR(9)," "),CHAR(10)," "),CHAR(13)," "))=$DH549),0),0),0))</f>
        <v/>
      </c>
      <c r="EO549">
        <f>IF($EN549=0,0,IF(OR(UPPER(TRIM(INDEX(LINES_SCHEDULED,$EN549)&amp;""))="YES",UPPER(TRIM(INDEX(LINES_SCHEDULED,$EN549)&amp;""))="Y",UPPER(TRIM(INDEX(LINES_SCHEDULED,$EN549)&amp;""))="X"),1,0))</f>
        <v/>
      </c>
      <c r="EP549">
        <f>IF($DM549=0,"",IF(COUNTIFS($EG$5:$EG$1003,$EG549,$EB$5:$EB$1003,"Ready")&gt;0,"READY",IF(COUNTIFS($EG$5:$EG$1003,$EG549,$EB$5:$EB$1003,"PM")&gt;0,"PM",IF(COUNTIFS($EG$5:$EG$1003,$EG549,$EB$5:$EB$1003,"OT")&gt;0,"OT",""))))</f>
        <v/>
      </c>
      <c r="EQ549">
        <f>IF($EN549=0,"",UPPER(TRIM(INDEX(LINES_STATUS,$EN549)&amp;"")))</f>
        <v/>
      </c>
      <c r="ER549">
        <f>IF($DM549=0,"",IF(OR($EQ549="READY",$EQ549="PM",$EQ549="OT"),$EQ549,$EP549))</f>
        <v/>
      </c>
      <c r="ES549">
        <f>IF($DM549=0,"",IF(AND($DV549&lt;&gt;"",UPPER($DV549)&lt;&gt;"N"),"allergen",IF(ISNUMBER(SEARCH("oil",$DQ549)),"oil",IF(OR(EXACT($DS549,"A662"),EXACT($DS549,"A624")),"bulk",""))))</f>
        <v/>
      </c>
      <c r="ET549">
        <f>IF($DM549=0,"",IF(OR($EA549="",$EA549=0),"",$EA549/100))</f>
        <v/>
      </c>
      <c r="EU549">
        <f>IF(OR($ET549="",$DY549=""),"",INT($DY549*(1-$ET549)+0.5))</f>
        <v/>
      </c>
      <c r="EW549" t="n">
        <v>545</v>
      </c>
      <c r="EX549">
        <f>IFERROR(MATCH($EW549,$EM$5:$EM$1003,0),0)</f>
        <v/>
      </c>
      <c r="EY549">
        <f>IF($EW549&gt;$B$12,"",IF($EX549&gt;0,"row","spacer"))</f>
        <v/>
      </c>
      <c r="EZ549">
        <f>IF(AND($EY549="row",$EY548&lt;&gt;"row"),1,0)</f>
        <v/>
      </c>
      <c r="FA549">
        <f>IF(AND($EY549="row",$EY550&lt;&gt;"row"),1,0)</f>
        <v/>
      </c>
      <c r="FB549">
        <f>IF($EZ549=1,IFERROR(IF(ISNUMBER(INDEX(PASTE_ALL,INDEX($DF$5:$DF$1003,$EX549),$B$37)),INDEX(PASTE_ALL,INDEX($DF$5:$DF$1003,$EX549),$B$37),INDEX($DH$5:$DH$1003,$EX549)),INDEX($DH$5:$DH$1003,$EX549)),"")</f>
        <v/>
      </c>
      <c r="FC549">
        <f>IF($EY549="row",INDEX($ER$5:$ER$1003,$EX549),"")</f>
        <v/>
      </c>
      <c r="FD549">
        <f>IF($EY549="row",INDEX($DN$5:$DN$1003,$EX549),"")</f>
        <v/>
      </c>
      <c r="FE549">
        <f>IF($EY549="row",INDEX($DO$5:$DO$1003,$EX549),"")</f>
        <v/>
      </c>
      <c r="FF549">
        <f>IF($EY549="row",INDEX($DP$5:$DP$1003,$EX549),"")</f>
        <v/>
      </c>
      <c r="FG549">
        <f>IF($EY549="row",INDEX($DQ$5:$DQ$1003,$EX549),"")</f>
        <v/>
      </c>
      <c r="FH549">
        <f>IF($EY549="row",INDEX($DR$5:$DR$1003,$EX549),"")</f>
        <v/>
      </c>
      <c r="FI549">
        <f>IF($EY549="row",INDEX($DS$5:$DS$1003,$EX549),"")</f>
        <v/>
      </c>
      <c r="FJ549">
        <f>IF($EY549="row",INDEX($DT$5:$DT$1003,$EX549),"")</f>
        <v/>
      </c>
      <c r="FK549">
        <f>IF($EY549="row",INDEX($DU$5:$DU$1003,$EX549),"")</f>
        <v/>
      </c>
      <c r="FL549">
        <f>IF($EY549="row",INDEX($DV$5:$DV$1003,$EX549),"")</f>
        <v/>
      </c>
      <c r="FM549">
        <f>IF($EY549="row",INDEX($DW$5:$DW$1003,$EX549),"")</f>
        <v/>
      </c>
      <c r="FN549">
        <f>IF($EY549="row",INDEX($DY$5:$DY$1003,$EX549),"")</f>
        <v/>
      </c>
      <c r="FO549">
        <f>IF($EY549="row",INDEX($EA$5:$EA$1003,$EX549),"")</f>
        <v/>
      </c>
      <c r="FP549">
        <f>IF($EY549="row",INDEX($EC$5:$EC$1003,$EX549),"")</f>
        <v/>
      </c>
      <c r="FQ549">
        <f>IF($EY549="row",INDEX($ET$5:$ET$1003,$EX549),"")</f>
        <v/>
      </c>
      <c r="FR549">
        <f>IF($EY549="row",INDEX($EU$5:$EU$1003,$EX549),"")</f>
        <v/>
      </c>
      <c r="FS549">
        <f>IF(AND($EY549="row",$EY548="row"),IF(OR(INDEX($DT$5:$DT$1003,$EX548)="",INDEX($DT$5:$DT$1003,$EX549)=""),"",IF(NOT(EXACT(INDEX($DT$5:$DT$1003,$EX548),INDEX($DT$5:$DT$1003,$EX549))),"S4",IF(NOT(EXACT(INDEX($DS$5:$DS$1003,$EX548),INDEX($DS$5:$DS$1003,$EX549))),"S3",IF(NOT(EXACT(INDEX($DR$5:$DR$1003,$EX548),INDEX($DR$5:$DR$1003,$EX549))),"S1 Count Change","S1")))),"")</f>
        <v/>
      </c>
      <c r="FT549">
        <f>IF($EY549="row",INDEX($ES$5:$ES$1003,$EX549),"")</f>
        <v/>
      </c>
      <c r="FU549">
        <f>IF($EY549="row",INDEX($EO$5:$EO$1003,$EX549),0)</f>
        <v/>
      </c>
      <c r="FV549">
        <f>IF($FS549="S1 Count Change",1,0)</f>
        <v/>
      </c>
    </row>
    <row r="550">
      <c r="DA550" t="n">
        <v>546</v>
      </c>
      <c r="DB550">
        <f>IF($B$37=0,"",IFERROR(TRIM(SUBSTITUTE(SUBSTITUTE(SUBSTITUTE(SUBSTITUTE(INDEX(PASTE_ALL,546,$B$37)," "," "),CHAR(9)," "),CHAR(10)," "),CHAR(13)," ")),""))</f>
        <v/>
      </c>
      <c r="DC550">
        <f>IF(AND(546&gt;HEADER_ROW,UPPER(DB550)="LEGEND"),1,0)</f>
        <v/>
      </c>
      <c r="DE550" t="n">
        <v>546</v>
      </c>
      <c r="DF550">
        <f>HEADER_ROW+$DE550</f>
        <v/>
      </c>
      <c r="DG550">
        <f>IF(AND($DF550&lt;=1000,$DF550&lt;$B$8),1,0)</f>
        <v/>
      </c>
      <c r="DH550">
        <f>IF($DG550=1,IFERROR(INDEX($DB$5:$DB$1004,$DF550),""),"")</f>
        <v/>
      </c>
      <c r="DI550">
        <f>IF(AND($DG550=1,$DH550&lt;&gt;""),IFERROR(SUBSTITUTE(SUBSTITUTE(TRIM(SUBSTITUTE(SUBSTITUTE(SUBSTITUTE(SUBSTITUTE(IFERROR(INDEX(PASTE_ALL,$DF550,1)&amp;"","")&amp;"␟"&amp;IFERROR(INDEX(PASTE_ALL,$DF550,2)&amp;"","")&amp;"␟"&amp;IFERROR(INDEX(PASTE_ALL,$DF550,3)&amp;"","")&amp;"␟"&amp;IFERROR(INDEX(PASTE_ALL,$DF550,4)&amp;"","")&amp;"␟"&amp;IFERROR(INDEX(PASTE_ALL,$DF550,5)&amp;"","")&amp;"␟"&amp;IFERROR(INDEX(PASTE_ALL,$DF550,6)&amp;"","")&amp;"␟"&amp;IFERROR(INDEX(PASTE_ALL,$DF550,7)&amp;"","")&amp;"␟"&amp;IFERROR(INDEX(PASTE_ALL,$DF550,8)&amp;"","")&amp;"␟"&amp;IFERROR(INDEX(PASTE_ALL,$DF550,9)&amp;"","")&amp;"␟"&amp;IFERROR(INDEX(PASTE_ALL,$DF550,10)&amp;"","")&amp;"␟"&amp;IFERROR(INDEX(PASTE_ALL,$DF550,11)&amp;"","")&amp;"␟"&amp;IFERROR(INDEX(PASTE_ALL,$DF550,12)&amp;"","")&amp;"␟"&amp;IFERROR(INDEX(PASTE_ALL,$DF550,13)&amp;"","")&amp;"␟"&amp;IFERROR(INDEX(PASTE_ALL,$DF550,14)&amp;"","")&amp;"␟"&amp;IFERROR(INDEX(PASTE_ALL,$DF550,15)&amp;"","")&amp;"␟"&amp;IFERROR(INDEX(PASTE_ALL,$DF550,16)&amp;"","")&amp;"␟"&amp;IFERROR(INDEX(PASTE_ALL,$DF550,17)&amp;"","")&amp;"␟"&amp;IFERROR(INDEX(PASTE_ALL,$DF550,18)&amp;"","")&amp;"␟"&amp;IFERROR(INDEX(PASTE_ALL,$DF550,19)&amp;"","")&amp;"␟"&amp;IFERROR(INDEX(PASTE_ALL,$DF550,20)&amp;"","")&amp;"␟"&amp;IFERROR(INDEX(PASTE_ALL,$DF550,21)&amp;"","")&amp;"␟"&amp;IFERROR(INDEX(PASTE_ALL,$DF550,22)&amp;"","")&amp;"␟"&amp;IFERROR(INDEX(PASTE_ALL,$DF550,23)&amp;"","")&amp;"␟"&amp;IFERROR(INDEX(PASTE_ALL,$DF550,24)&amp;"","")&amp;"␟"&amp;IFERROR(INDEX(PASTE_ALL,$DF550,25)&amp;"","")&amp;"␟"&amp;IFERROR(INDEX(PASTE_ALL,$DF550,26)&amp;"","")&amp;"␟"&amp;IFERROR(INDEX(PASTE_ALL,$DF550,27)&amp;"","")&amp;"␟"&amp;IFERROR(INDEX(PASTE_ALL,$DF550,28)&amp;"","")&amp;"␟"&amp;IFERROR(INDEX(PASTE_ALL,$DF550,29)&amp;"","")&amp;"␟"&amp;IFERROR(INDEX(PASTE_ALL,$DF550,30)&amp;"","")&amp;"␟"&amp;IFERROR(INDEX(PASTE_ALL,$DF550,31)&amp;"","")&amp;"␟"&amp;IFERROR(INDEX(PASTE_ALL,$DF550,32)&amp;"","")&amp;"␟"&amp;IFERROR(INDEX(PASTE_ALL,$DF550,33)&amp;"","")&amp;"␟"&amp;IFERROR(INDEX(PASTE_ALL,$DF550,34)&amp;"","")&amp;"␟"&amp;IFERROR(INDEX(PASTE_ALL,$DF550,35)&amp;"","")&amp;"␟"&amp;IFERROR(INDEX(PASTE_ALL,$DF550,36)&amp;"","")&amp;"␟"&amp;IFERROR(INDEX(PASTE_ALL,$DF550,37)&amp;"","")&amp;"␟"&amp;IFERROR(INDEX(PASTE_ALL,$DF550,38)&amp;"","")&amp;"␟"&amp;IFERROR(INDEX(PASTE_ALL,$DF550,39)&amp;"","")&amp;"␟"&amp;IFERROR(INDEX(PASTE_ALL,$DF550,40)&amp;"","")&amp;"␟"&amp;IFERROR(INDEX(PASTE_ALL,$DF550,41)&amp;"","")&amp;"␟"&amp;IFERROR(INDEX(PASTE_ALL,$DF550,42)&amp;"","")&amp;"␟"&amp;IFERROR(INDEX(PASTE_ALL,$DF550,43)&amp;"","")&amp;"␟"&amp;IFERROR(INDEX(PASTE_ALL,$DF550,44)&amp;"","")&amp;"␟"&amp;IFERROR(INDEX(PASTE_ALL,$DF550,45)&amp;"","")&amp;"␟"&amp;IFERROR(INDEX(PASTE_ALL,$DF550,46)&amp;"","")&amp;"␟"&amp;IFERROR(INDEX(PASTE_ALL,$DF550,47)&amp;"","")&amp;"␟"&amp;IFERROR(INDEX(PASTE_ALL,$DF550,48)&amp;"","")&amp;"␟"&amp;IFERROR(INDEX(PASTE_ALL,$DF550,49)&amp;"","")&amp;"␟"&amp;IFERROR(INDEX(PASTE_ALL,$DF550,50)&amp;"","")&amp;"␟"&amp;IFERROR(INDEX(PASTE_ALL,$DF550,51)&amp;"","")&amp;"␟"&amp;IFERROR(INDEX(PASTE_ALL,$DF550,52)&amp;"","")&amp;"␟"&amp;IFERROR(INDEX(PASTE_ALL,$DF550,53)&amp;"","")&amp;"␟"&amp;IFERROR(INDEX(PASTE_ALL,$DF550,54)&amp;"","")&amp;"␟"&amp;IFERROR(INDEX(PASTE_ALL,$DF550,55)&amp;"","")&amp;"␟"&amp;IFERROR(INDEX(PASTE_ALL,$DF550,56)&amp;"","")&amp;"␟"&amp;IFERROR(INDEX(PASTE_ALL,$DF550,57)&amp;"","")&amp;"␟"&amp;IFERROR(INDEX(PASTE_ALL,$DF550,58)&amp;"","")&amp;"␟"&amp;IFERROR(INDEX(PASTE_ALL,$DF550,59)&amp;"","")&amp;"␟"&amp;IFERROR(INDEX(PASTE_ALL,$DF550,60)&amp;"","")," "," "),CHAR(9)," "),CHAR(10)," "),CHAR(13)," "))," ␟","␟"),"␟ ","␟"),"#"&amp;$DE550),"")</f>
        <v/>
      </c>
      <c r="DJ550">
        <f>IF($DI550="",0,IF(SUMPRODUCT(--EXACT($DI$4:DI549,$DI550))&gt;0,1,0))</f>
        <v/>
      </c>
      <c r="DK550">
        <f>IF(AND($DI550&lt;&gt;"",$DJ550=0),1,0)</f>
        <v/>
      </c>
      <c r="DL550">
        <f>DL549+$DK550</f>
        <v/>
      </c>
      <c r="DM550">
        <f>IF(AND($DK550=1,$DL550&lt;=600),1,0)</f>
        <v/>
      </c>
      <c r="DN550">
        <f>IF($DM550=0,"",IF($L$6=0,"",IFERROR(IF(ISNUMBER(INDEX(PASTE_ALL,$DF550,$L$6)),INDEX(PASTE_ALL,$DF550,$L$6),TRIM(SUBSTITUTE(SUBSTITUTE(SUBSTITUTE(SUBSTITUTE(INDEX(PASTE_ALL,$DF550,$L$6)," "," "),CHAR(9)," "),CHAR(10)," "),CHAR(13)," "))),"")))</f>
        <v/>
      </c>
      <c r="DO550">
        <f>IF($DM550=0,"",IF($L$7=0,"",IFERROR(IF(ISNUMBER(INDEX(PASTE_ALL,$DF550,$L$7)),INDEX(PASTE_ALL,$DF550,$L$7),TRIM(SUBSTITUTE(SUBSTITUTE(SUBSTITUTE(SUBSTITUTE(INDEX(PASTE_ALL,$DF550,$L$7)," "," "),CHAR(9)," "),CHAR(10)," "),CHAR(13)," "))),"")))</f>
        <v/>
      </c>
      <c r="DP550">
        <f>IF($DM550=0,"",IF($L$8=0,"",IFERROR(IF(ISNUMBER(INDEX(PASTE_ALL,$DF550,$L$8)),INDEX(PASTE_ALL,$DF550,$L$8),TRIM(SUBSTITUTE(SUBSTITUTE(SUBSTITUTE(SUBSTITUTE(INDEX(PASTE_ALL,$DF550,$L$8)," "," "),CHAR(9)," "),CHAR(10)," "),CHAR(13)," "))),"")))</f>
        <v/>
      </c>
      <c r="DQ550">
        <f>IF($DM550=0,"",IF($L$9=0,"",IFERROR(IF(ISNUMBER(INDEX(PASTE_ALL,$DF550,$L$9)),INDEX(PASTE_ALL,$DF550,$L$9),TRIM(SUBSTITUTE(SUBSTITUTE(SUBSTITUTE(SUBSTITUTE(INDEX(PASTE_ALL,$DF550,$L$9)," "," "),CHAR(9)," "),CHAR(10)," "),CHAR(13)," "))),"")))</f>
        <v/>
      </c>
      <c r="DR550">
        <f>IF($DM550=0,"",IF($L$10=0,"",IFERROR(IF(ISNUMBER(INDEX(PASTE_ALL,$DF550,$L$10)),INDEX(PASTE_ALL,$DF550,$L$10),TRIM(SUBSTITUTE(SUBSTITUTE(SUBSTITUTE(SUBSTITUTE(INDEX(PASTE_ALL,$DF550,$L$10)," "," "),CHAR(9)," "),CHAR(10)," "),CHAR(13)," "))),"")))</f>
        <v/>
      </c>
      <c r="DS550">
        <f>IF($DM550=0,"",IF($L$11=0,"",IFERROR(IF(ISNUMBER(INDEX(PASTE_ALL,$DF550,$L$11)),INDEX(PASTE_ALL,$DF550,$L$11),TRIM(SUBSTITUTE(SUBSTITUTE(SUBSTITUTE(SUBSTITUTE(INDEX(PASTE_ALL,$DF550,$L$11)," "," "),CHAR(9)," "),CHAR(10)," "),CHAR(13)," "))),"")))</f>
        <v/>
      </c>
      <c r="DT550">
        <f>IF($DM550=0,"",IF($L$12=0,"",IFERROR(IF(ISNUMBER(INDEX(PASTE_ALL,$DF550,$L$12)),INDEX(PASTE_ALL,$DF550,$L$12),TRIM(SUBSTITUTE(SUBSTITUTE(SUBSTITUTE(SUBSTITUTE(INDEX(PASTE_ALL,$DF550,$L$12)," "," "),CHAR(9)," "),CHAR(10)," "),CHAR(13)," "))),"")))</f>
        <v/>
      </c>
      <c r="DU550">
        <f>IF($DM550=0,"",IF($L$13=0,"",IFERROR(IF(ISNUMBER(INDEX(PASTE_ALL,$DF550,$L$13)),INDEX(PASTE_ALL,$DF550,$L$13),TRIM(SUBSTITUTE(SUBSTITUTE(SUBSTITUTE(SUBSTITUTE(INDEX(PASTE_ALL,$DF550,$L$13)," "," "),CHAR(9)," "),CHAR(10)," "),CHAR(13)," "))),"")))</f>
        <v/>
      </c>
      <c r="DV550">
        <f>IF($DM550=0,"",IF($L$14=0,"",IFERROR(IF(ISNUMBER(INDEX(PASTE_ALL,$DF550,$L$14)),INDEX(PASTE_ALL,$DF550,$L$14),TRIM(SUBSTITUTE(SUBSTITUTE(SUBSTITUTE(SUBSTITUTE(INDEX(PASTE_ALL,$DF550,$L$14)," "," "),CHAR(9)," "),CHAR(10)," "),CHAR(13)," "))),"")))</f>
        <v/>
      </c>
      <c r="DW550">
        <f>IF($DM550=0,"",IF($L$15=0,"",IFERROR(IF(ISNUMBER(INDEX(PASTE_ALL,$DF550,$L$15)),INDEX(PASTE_ALL,$DF550,$L$15),IF(SUMPRODUCT(--ISNUMBER(FIND({"A","B","C","D","E","F","G","H","I","J","K","L","M","N","O","P","Q","R","S","T","U","V","W","X","Y","Z","0","1","2","3","4","5","6","7","8","9"},UPPER(TRIM(SUBSTITUTE(SUBSTITUTE(SUBSTITUTE(SUBSTITUTE(INDEX(PASTE_ALL,$DF550,$L$15)," "," "),CHAR(9)," "),CHAR(10)," "),CHAR(13)," "))))))&gt;0,TRIM(SUBSTITUTE(SUBSTITUTE(SUBSTITUTE(SUBSTITUTE(INDEX(PASTE_ALL,$DF550,$L$15)," "," "),CHAR(9)," "),CHAR(10)," "),CHAR(13)," ")),"")),"")))</f>
        <v/>
      </c>
      <c r="DX550">
        <f>IF($DM550=0,"",IF($L$16=0,"",IFERROR(IF(ISNUMBER(INDEX(PASTE_ALL,$DF550,$L$16)),INDEX(PASTE_ALL,$DF550,$L$16),SUBSTITUTE(SUBSTITUTE(TRIM(SUBSTITUTE(SUBSTITUTE(SUBSTITUTE(SUBSTITUTE(INDEX(PASTE_ALL,$DF550,$L$16)," "," "),CHAR(9)," "),CHAR(10)," "),CHAR(13)," ")),",",""),"%","")),"")))</f>
        <v/>
      </c>
      <c r="DY550">
        <f>IF($DM550=0,"",IFERROR(IF(ISNUMBER($DX550),$DX550,IF($DX550="","",IF(TRIM($DX550)="",0,IF(AND(AND(SUBSTITUTE(SUBSTITUTE(SUBSTITUTE(SUBSTITUTE(SUBSTITUTE(SUBSTITUTE(SUBSTITUTE(SUBSTITUTE(SUBSTITUTE(SUBSTITUTE(SUBSTITUTE(SUBSTITUTE(SUBSTITUTE(SUBSTITUTE(UPPER(TRIM($DX550)),"0",""),"1",""),"2",""),"3",""),"4",""),"5",""),"6",""),"7",""),"8",""),"9",""),".",""),"+",""),"-",""),"E","")="",LEN(SUBSTITUTE(SUBSTITUTE(MID(UPPER(TRIM($DX550)),1+OR(LEFT(UPPER(TRIM($DX550)),1)="+",LEFT(UPPER(TRIM($DX550)),1)="-"),999),"E+","E"),"E-","E"))=LEN(SUBSTITUTE(SUBSTITUTE(SUBSTITUTE(SUBSTITUTE(MID(UPPER(TRIM($DX550)),1+OR(LEFT(UPPER(TRIM($DX550)),1)="+",LEFT(UPPER(TRIM($DX550)),1)="-"),999),"E+","E"),"E-","E"),"+",""),"-","")),LEN(UPPER(TRIM($DX550)))-LEN(SUBSTITUTE(UPPER(TRIM($DX550)),"E",""))&lt;2,LEN(UPPER(TRIM($DX550)))-LEN(SUBSTITUTE(UPPER(TRIM($DX550)),".",""))&lt;2,IFERROR(FIND(".",UPPER(TRIM($DX550))),0)&lt;IFERROR(FIND("E",UPPER(TRIM($DX550))),999)),ISNUMBER(VALUE(TRIM($DX550)))),VALUE(TRIM($DX550)),"")))),""))</f>
        <v/>
      </c>
      <c r="DZ550">
        <f>IF($DM550=0,"",IF($L$17=0,"",IFERROR(IF(ISNUMBER(INDEX(PASTE_ALL,$DF550,$L$17)),INDEX(PASTE_ALL,$DF550,$L$17),SUBSTITUTE(SUBSTITUTE(TRIM(SUBSTITUTE(SUBSTITUTE(SUBSTITUTE(SUBSTITUTE(INDEX(PASTE_ALL,$DF550,$L$17)," "," "),CHAR(9)," "),CHAR(10)," "),CHAR(13)," ")),",",""),"%","")),"")))</f>
        <v/>
      </c>
      <c r="EA550">
        <f>IF($DM550=0,"",IFERROR(IF(ISNUMBER($DZ550),$DZ550,IF($DZ550="","",IF(TRIM($DZ550)="",0,IF(AND(AND(SUBSTITUTE(SUBSTITUTE(SUBSTITUTE(SUBSTITUTE(SUBSTITUTE(SUBSTITUTE(SUBSTITUTE(SUBSTITUTE(SUBSTITUTE(SUBSTITUTE(SUBSTITUTE(SUBSTITUTE(SUBSTITUTE(SUBSTITUTE(UPPER(TRIM($DZ550)),"0",""),"1",""),"2",""),"3",""),"4",""),"5",""),"6",""),"7",""),"8",""),"9",""),".",""),"+",""),"-",""),"E","")="",LEN(SUBSTITUTE(SUBSTITUTE(MID(UPPER(TRIM($DZ550)),1+OR(LEFT(UPPER(TRIM($DZ550)),1)="+",LEFT(UPPER(TRIM($DZ550)),1)="-"),999),"E+","E"),"E-","E"))=LEN(SUBSTITUTE(SUBSTITUTE(SUBSTITUTE(SUBSTITUTE(MID(UPPER(TRIM($DZ550)),1+OR(LEFT(UPPER(TRIM($DZ550)),1)="+",LEFT(UPPER(TRIM($DZ550)),1)="-"),999),"E+","E"),"E-","E"),"+",""),"-","")),LEN(UPPER(TRIM($DZ550)))-LEN(SUBSTITUTE(UPPER(TRIM($DZ550)),"E",""))&lt;2,LEN(UPPER(TRIM($DZ550)))-LEN(SUBSTITUTE(UPPER(TRIM($DZ550)),".",""))&lt;2,IFERROR(FIND(".",UPPER(TRIM($DZ550))),0)&lt;IFERROR(FIND("E",UPPER(TRIM($DZ550))),999)),ISNUMBER(VALUE(TRIM($DZ550)))),VALUE(TRIM($DZ550)),"")))),""))</f>
        <v/>
      </c>
      <c r="EB550">
        <f>IF($DM550=0,"",IF($L$18=0,"",IFERROR(IF(UPPER(TRIM(SUBSTITUTE(SUBSTITUTE(SUBSTITUTE(SUBSTITUTE(INDEX(PASTE_ALL,$DF550,$L$18)," "," "),CHAR(9)," "),CHAR(10)," "),CHAR(13)," ")))="READY","Ready",IF(UPPER(TRIM(SUBSTITUTE(SUBSTITUTE(SUBSTITUTE(SUBSTITUTE(INDEX(PASTE_ALL,$DF550,$L$18)," "," "),CHAR(9)," "),CHAR(10)," "),CHAR(13)," ")))="PM","PM",IF(OR(UPPER(TRIM(SUBSTITUTE(SUBSTITUTE(SUBSTITUTE(SUBSTITUTE(INDEX(PASTE_ALL,$DF550,$L$18)," "," "),CHAR(9)," "),CHAR(10)," "),CHAR(13)," ")))="OT",UPPER(TRIM(SUBSTITUTE(SUBSTITUTE(SUBSTITUTE(SUBSTITUTE(INDEX(PASTE_ALL,$DF550,$L$18)," "," "),CHAR(9)," "),CHAR(10)," "),CHAR(13)," ")))="OVERTIME",UPPER(TRIM(SUBSTITUTE(SUBSTITUTE(SUBSTITUTE(SUBSTITUTE(INDEX(PASTE_ALL,$DF550,$L$18)," "," "),CHAR(9)," "),CHAR(10)," "),CHAR(13)," ")))="TRIAL"),"OT",TRIM(SUBSTITUTE(SUBSTITUTE(SUBSTITUTE(SUBSTITUTE(INDEX(PASTE_ALL,$DF550,$L$18)," "," "),CHAR(9)," "),CHAR(10)," "),CHAR(13)," "))))),"")))</f>
        <v/>
      </c>
      <c r="EC550">
        <f>IF($DM550=0,"",IF($L$19=0,"",IFERROR(IF(ISNUMBER(INDEX(PASTE_ALL,$DF550,$L$19)),INDEX(PASTE_ALL,$DF550,$L$19),TRIM(SUBSTITUTE(SUBSTITUTE(SUBSTITUTE(SUBSTITUTE(INDEX(PASTE_ALL,$DF550,$L$19)," "," "),CHAR(9)," "),CHAR(10)," "),CHAR(13)," "))),"")))</f>
        <v/>
      </c>
      <c r="ED550">
        <f>IF($DM550=0,"",MATCH(1,INDEX(EXACT($DH$5:DH550,$DH550)*$DM$5:DM550,0),0))</f>
        <v/>
      </c>
      <c r="EE550">
        <f>IF($DM550=0,0,IF($ED550=$DE550,1,0))</f>
        <v/>
      </c>
      <c r="EF550">
        <f>EF549+$EE550</f>
        <v/>
      </c>
      <c r="EG550">
        <f>IF($DM550=0,"",INDEX($EF$5:$EF$1003,$ED550))</f>
        <v/>
      </c>
      <c r="EH550">
        <f>IF($DM550=0,"",IF($DO550&lt;&gt;"","",IFERROR(LOOKUP(2,1/(($EG$4:EG549=$EG550)*($DO$4:DO549&lt;&gt;"")),$DO$4:DO549),"")))</f>
        <v/>
      </c>
      <c r="EI550">
        <f>IF($DM550=0,"",IF($DO550&lt;&gt;"",$DO550,$EH550))</f>
        <v/>
      </c>
      <c r="EJ550">
        <f>IF($DM550=0,"",IF($EI550="",0,IF(OR(ISNUMBER($EI550),AND(AND(SUBSTITUTE(SUBSTITUTE(SUBSTITUTE(SUBSTITUTE(SUBSTITUTE(SUBSTITUTE(SUBSTITUTE(SUBSTITUTE(SUBSTITUTE(SUBSTITUTE(SUBSTITUTE(SUBSTITUTE(SUBSTITUTE(SUBSTITUTE(UPPER($EI550),"0",""),"1",""),"2",""),"3",""),"4",""),"5",""),"6",""),"7",""),"8",""),"9",""),".",""),"+",""),"-",""),"E","")="",LEN(SUBSTITUTE(SUBSTITUTE(MID(UPPER($EI550),1+OR(LEFT(UPPER($EI550),1)="+",LEFT(UPPER($EI550),1)="-"),999),"E+","E"),"E-","E"))=LEN(SUBSTITUTE(SUBSTITUTE(SUBSTITUTE(SUBSTITUTE(MID(UPPER($EI550),1+OR(LEFT(UPPER($EI550),1)="+",LEFT(UPPER($EI550),1)="-"),999),"E+","E"),"E-","E"),"+",""),"-","")),LEN(UPPER($EI550))-LEN(SUBSTITUTE(UPPER($EI550),"E",""))&lt;2,LEN(UPPER($EI550))-LEN(SUBSTITUTE(UPPER($EI550),".",""))&lt;2,IFERROR(FIND(".",UPPER($EI550)),0)&lt;IFERROR(FIND("E",UPPER($EI550)),999)),ISNUMBER(VALUE($EI550)))),1,2)))</f>
        <v/>
      </c>
      <c r="EK550">
        <f>IF($DM550=0,"",IF($EJ550=1,IF(ISNUMBER($EI550),$EI550,VALUE($EI550)),IF($EJ550=2,$DE550,0)))</f>
        <v/>
      </c>
      <c r="EL550">
        <f>IF($DM550=0,"",COUNTIF($EG$5:$EG$1003,"&lt;"&amp;$EG550)+SUMPRODUCT(($EG$5:$EG$1003=$EG550)*(($EJ$5:$EJ$1003&lt;$EJ550)+($EJ$5:$EJ$1003=$EJ550)*(($EK$5:$EK$1003&lt;$EK550)+($EK$5:$EK$1003=$EK550)*($DE$5:$DE$1003&lt;$DE550))))+1)</f>
        <v/>
      </c>
      <c r="EM550">
        <f>IF($DM550=0,"",$EL550+$EG550-1)</f>
        <v/>
      </c>
      <c r="EN550">
        <f>IF($DM550=0,0,IFERROR(MATCH(1,INDEX(--(TRIM(SUBSTITUTE(SUBSTITUTE(SUBSTITUTE(SUBSTITUTE(LINES_NAME&amp;""," "," "),CHAR(9)," "),CHAR(10)," "),CHAR(13)," "))=$DH550),0),0),0))</f>
        <v/>
      </c>
      <c r="EO550">
        <f>IF($EN550=0,0,IF(OR(UPPER(TRIM(INDEX(LINES_SCHEDULED,$EN550)&amp;""))="YES",UPPER(TRIM(INDEX(LINES_SCHEDULED,$EN550)&amp;""))="Y",UPPER(TRIM(INDEX(LINES_SCHEDULED,$EN550)&amp;""))="X"),1,0))</f>
        <v/>
      </c>
      <c r="EP550">
        <f>IF($DM550=0,"",IF(COUNTIFS($EG$5:$EG$1003,$EG550,$EB$5:$EB$1003,"Ready")&gt;0,"READY",IF(COUNTIFS($EG$5:$EG$1003,$EG550,$EB$5:$EB$1003,"PM")&gt;0,"PM",IF(COUNTIFS($EG$5:$EG$1003,$EG550,$EB$5:$EB$1003,"OT")&gt;0,"OT",""))))</f>
        <v/>
      </c>
      <c r="EQ550">
        <f>IF($EN550=0,"",UPPER(TRIM(INDEX(LINES_STATUS,$EN550)&amp;"")))</f>
        <v/>
      </c>
      <c r="ER550">
        <f>IF($DM550=0,"",IF(OR($EQ550="READY",$EQ550="PM",$EQ550="OT"),$EQ550,$EP550))</f>
        <v/>
      </c>
      <c r="ES550">
        <f>IF($DM550=0,"",IF(AND($DV550&lt;&gt;"",UPPER($DV550)&lt;&gt;"N"),"allergen",IF(ISNUMBER(SEARCH("oil",$DQ550)),"oil",IF(OR(EXACT($DS550,"A662"),EXACT($DS550,"A624")),"bulk",""))))</f>
        <v/>
      </c>
      <c r="ET550">
        <f>IF($DM550=0,"",IF(OR($EA550="",$EA550=0),"",$EA550/100))</f>
        <v/>
      </c>
      <c r="EU550">
        <f>IF(OR($ET550="",$DY550=""),"",INT($DY550*(1-$ET550)+0.5))</f>
        <v/>
      </c>
      <c r="EW550" t="n">
        <v>546</v>
      </c>
      <c r="EX550">
        <f>IFERROR(MATCH($EW550,$EM$5:$EM$1003,0),0)</f>
        <v/>
      </c>
      <c r="EY550">
        <f>IF($EW550&gt;$B$12,"",IF($EX550&gt;0,"row","spacer"))</f>
        <v/>
      </c>
      <c r="EZ550">
        <f>IF(AND($EY550="row",$EY549&lt;&gt;"row"),1,0)</f>
        <v/>
      </c>
      <c r="FA550">
        <f>IF(AND($EY550="row",$EY551&lt;&gt;"row"),1,0)</f>
        <v/>
      </c>
      <c r="FB550">
        <f>IF($EZ550=1,IFERROR(IF(ISNUMBER(INDEX(PASTE_ALL,INDEX($DF$5:$DF$1003,$EX550),$B$37)),INDEX(PASTE_ALL,INDEX($DF$5:$DF$1003,$EX550),$B$37),INDEX($DH$5:$DH$1003,$EX550)),INDEX($DH$5:$DH$1003,$EX550)),"")</f>
        <v/>
      </c>
      <c r="FC550">
        <f>IF($EY550="row",INDEX($ER$5:$ER$1003,$EX550),"")</f>
        <v/>
      </c>
      <c r="FD550">
        <f>IF($EY550="row",INDEX($DN$5:$DN$1003,$EX550),"")</f>
        <v/>
      </c>
      <c r="FE550">
        <f>IF($EY550="row",INDEX($DO$5:$DO$1003,$EX550),"")</f>
        <v/>
      </c>
      <c r="FF550">
        <f>IF($EY550="row",INDEX($DP$5:$DP$1003,$EX550),"")</f>
        <v/>
      </c>
      <c r="FG550">
        <f>IF($EY550="row",INDEX($DQ$5:$DQ$1003,$EX550),"")</f>
        <v/>
      </c>
      <c r="FH550">
        <f>IF($EY550="row",INDEX($DR$5:$DR$1003,$EX550),"")</f>
        <v/>
      </c>
      <c r="FI550">
        <f>IF($EY550="row",INDEX($DS$5:$DS$1003,$EX550),"")</f>
        <v/>
      </c>
      <c r="FJ550">
        <f>IF($EY550="row",INDEX($DT$5:$DT$1003,$EX550),"")</f>
        <v/>
      </c>
      <c r="FK550">
        <f>IF($EY550="row",INDEX($DU$5:$DU$1003,$EX550),"")</f>
        <v/>
      </c>
      <c r="FL550">
        <f>IF($EY550="row",INDEX($DV$5:$DV$1003,$EX550),"")</f>
        <v/>
      </c>
      <c r="FM550">
        <f>IF($EY550="row",INDEX($DW$5:$DW$1003,$EX550),"")</f>
        <v/>
      </c>
      <c r="FN550">
        <f>IF($EY550="row",INDEX($DY$5:$DY$1003,$EX550),"")</f>
        <v/>
      </c>
      <c r="FO550">
        <f>IF($EY550="row",INDEX($EA$5:$EA$1003,$EX550),"")</f>
        <v/>
      </c>
      <c r="FP550">
        <f>IF($EY550="row",INDEX($EC$5:$EC$1003,$EX550),"")</f>
        <v/>
      </c>
      <c r="FQ550">
        <f>IF($EY550="row",INDEX($ET$5:$ET$1003,$EX550),"")</f>
        <v/>
      </c>
      <c r="FR550">
        <f>IF($EY550="row",INDEX($EU$5:$EU$1003,$EX550),"")</f>
        <v/>
      </c>
      <c r="FS550">
        <f>IF(AND($EY550="row",$EY549="row"),IF(OR(INDEX($DT$5:$DT$1003,$EX549)="",INDEX($DT$5:$DT$1003,$EX550)=""),"",IF(NOT(EXACT(INDEX($DT$5:$DT$1003,$EX549),INDEX($DT$5:$DT$1003,$EX550))),"S4",IF(NOT(EXACT(INDEX($DS$5:$DS$1003,$EX549),INDEX($DS$5:$DS$1003,$EX550))),"S3",IF(NOT(EXACT(INDEX($DR$5:$DR$1003,$EX549),INDEX($DR$5:$DR$1003,$EX550))),"S1 Count Change","S1")))),"")</f>
        <v/>
      </c>
      <c r="FT550">
        <f>IF($EY550="row",INDEX($ES$5:$ES$1003,$EX550),"")</f>
        <v/>
      </c>
      <c r="FU550">
        <f>IF($EY550="row",INDEX($EO$5:$EO$1003,$EX550),0)</f>
        <v/>
      </c>
      <c r="FV550">
        <f>IF($FS550="S1 Count Change",1,0)</f>
        <v/>
      </c>
    </row>
    <row r="551">
      <c r="DA551" t="n">
        <v>547</v>
      </c>
      <c r="DB551">
        <f>IF($B$37=0,"",IFERROR(TRIM(SUBSTITUTE(SUBSTITUTE(SUBSTITUTE(SUBSTITUTE(INDEX(PASTE_ALL,547,$B$37)," "," "),CHAR(9)," "),CHAR(10)," "),CHAR(13)," ")),""))</f>
        <v/>
      </c>
      <c r="DC551">
        <f>IF(AND(547&gt;HEADER_ROW,UPPER(DB551)="LEGEND"),1,0)</f>
        <v/>
      </c>
      <c r="DE551" t="n">
        <v>547</v>
      </c>
      <c r="DF551">
        <f>HEADER_ROW+$DE551</f>
        <v/>
      </c>
      <c r="DG551">
        <f>IF(AND($DF551&lt;=1000,$DF551&lt;$B$8),1,0)</f>
        <v/>
      </c>
      <c r="DH551">
        <f>IF($DG551=1,IFERROR(INDEX($DB$5:$DB$1004,$DF551),""),"")</f>
        <v/>
      </c>
      <c r="DI551">
        <f>IF(AND($DG551=1,$DH551&lt;&gt;""),IFERROR(SUBSTITUTE(SUBSTITUTE(TRIM(SUBSTITUTE(SUBSTITUTE(SUBSTITUTE(SUBSTITUTE(IFERROR(INDEX(PASTE_ALL,$DF551,1)&amp;"","")&amp;"␟"&amp;IFERROR(INDEX(PASTE_ALL,$DF551,2)&amp;"","")&amp;"␟"&amp;IFERROR(INDEX(PASTE_ALL,$DF551,3)&amp;"","")&amp;"␟"&amp;IFERROR(INDEX(PASTE_ALL,$DF551,4)&amp;"","")&amp;"␟"&amp;IFERROR(INDEX(PASTE_ALL,$DF551,5)&amp;"","")&amp;"␟"&amp;IFERROR(INDEX(PASTE_ALL,$DF551,6)&amp;"","")&amp;"␟"&amp;IFERROR(INDEX(PASTE_ALL,$DF551,7)&amp;"","")&amp;"␟"&amp;IFERROR(INDEX(PASTE_ALL,$DF551,8)&amp;"","")&amp;"␟"&amp;IFERROR(INDEX(PASTE_ALL,$DF551,9)&amp;"","")&amp;"␟"&amp;IFERROR(INDEX(PASTE_ALL,$DF551,10)&amp;"","")&amp;"␟"&amp;IFERROR(INDEX(PASTE_ALL,$DF551,11)&amp;"","")&amp;"␟"&amp;IFERROR(INDEX(PASTE_ALL,$DF551,12)&amp;"","")&amp;"␟"&amp;IFERROR(INDEX(PASTE_ALL,$DF551,13)&amp;"","")&amp;"␟"&amp;IFERROR(INDEX(PASTE_ALL,$DF551,14)&amp;"","")&amp;"␟"&amp;IFERROR(INDEX(PASTE_ALL,$DF551,15)&amp;"","")&amp;"␟"&amp;IFERROR(INDEX(PASTE_ALL,$DF551,16)&amp;"","")&amp;"␟"&amp;IFERROR(INDEX(PASTE_ALL,$DF551,17)&amp;"","")&amp;"␟"&amp;IFERROR(INDEX(PASTE_ALL,$DF551,18)&amp;"","")&amp;"␟"&amp;IFERROR(INDEX(PASTE_ALL,$DF551,19)&amp;"","")&amp;"␟"&amp;IFERROR(INDEX(PASTE_ALL,$DF551,20)&amp;"","")&amp;"␟"&amp;IFERROR(INDEX(PASTE_ALL,$DF551,21)&amp;"","")&amp;"␟"&amp;IFERROR(INDEX(PASTE_ALL,$DF551,22)&amp;"","")&amp;"␟"&amp;IFERROR(INDEX(PASTE_ALL,$DF551,23)&amp;"","")&amp;"␟"&amp;IFERROR(INDEX(PASTE_ALL,$DF551,24)&amp;"","")&amp;"␟"&amp;IFERROR(INDEX(PASTE_ALL,$DF551,25)&amp;"","")&amp;"␟"&amp;IFERROR(INDEX(PASTE_ALL,$DF551,26)&amp;"","")&amp;"␟"&amp;IFERROR(INDEX(PASTE_ALL,$DF551,27)&amp;"","")&amp;"␟"&amp;IFERROR(INDEX(PASTE_ALL,$DF551,28)&amp;"","")&amp;"␟"&amp;IFERROR(INDEX(PASTE_ALL,$DF551,29)&amp;"","")&amp;"␟"&amp;IFERROR(INDEX(PASTE_ALL,$DF551,30)&amp;"","")&amp;"␟"&amp;IFERROR(INDEX(PASTE_ALL,$DF551,31)&amp;"","")&amp;"␟"&amp;IFERROR(INDEX(PASTE_ALL,$DF551,32)&amp;"","")&amp;"␟"&amp;IFERROR(INDEX(PASTE_ALL,$DF551,33)&amp;"","")&amp;"␟"&amp;IFERROR(INDEX(PASTE_ALL,$DF551,34)&amp;"","")&amp;"␟"&amp;IFERROR(INDEX(PASTE_ALL,$DF551,35)&amp;"","")&amp;"␟"&amp;IFERROR(INDEX(PASTE_ALL,$DF551,36)&amp;"","")&amp;"␟"&amp;IFERROR(INDEX(PASTE_ALL,$DF551,37)&amp;"","")&amp;"␟"&amp;IFERROR(INDEX(PASTE_ALL,$DF551,38)&amp;"","")&amp;"␟"&amp;IFERROR(INDEX(PASTE_ALL,$DF551,39)&amp;"","")&amp;"␟"&amp;IFERROR(INDEX(PASTE_ALL,$DF551,40)&amp;"","")&amp;"␟"&amp;IFERROR(INDEX(PASTE_ALL,$DF551,41)&amp;"","")&amp;"␟"&amp;IFERROR(INDEX(PASTE_ALL,$DF551,42)&amp;"","")&amp;"␟"&amp;IFERROR(INDEX(PASTE_ALL,$DF551,43)&amp;"","")&amp;"␟"&amp;IFERROR(INDEX(PASTE_ALL,$DF551,44)&amp;"","")&amp;"␟"&amp;IFERROR(INDEX(PASTE_ALL,$DF551,45)&amp;"","")&amp;"␟"&amp;IFERROR(INDEX(PASTE_ALL,$DF551,46)&amp;"","")&amp;"␟"&amp;IFERROR(INDEX(PASTE_ALL,$DF551,47)&amp;"","")&amp;"␟"&amp;IFERROR(INDEX(PASTE_ALL,$DF551,48)&amp;"","")&amp;"␟"&amp;IFERROR(INDEX(PASTE_ALL,$DF551,49)&amp;"","")&amp;"␟"&amp;IFERROR(INDEX(PASTE_ALL,$DF551,50)&amp;"","")&amp;"␟"&amp;IFERROR(INDEX(PASTE_ALL,$DF551,51)&amp;"","")&amp;"␟"&amp;IFERROR(INDEX(PASTE_ALL,$DF551,52)&amp;"","")&amp;"␟"&amp;IFERROR(INDEX(PASTE_ALL,$DF551,53)&amp;"","")&amp;"␟"&amp;IFERROR(INDEX(PASTE_ALL,$DF551,54)&amp;"","")&amp;"␟"&amp;IFERROR(INDEX(PASTE_ALL,$DF551,55)&amp;"","")&amp;"␟"&amp;IFERROR(INDEX(PASTE_ALL,$DF551,56)&amp;"","")&amp;"␟"&amp;IFERROR(INDEX(PASTE_ALL,$DF551,57)&amp;"","")&amp;"␟"&amp;IFERROR(INDEX(PASTE_ALL,$DF551,58)&amp;"","")&amp;"␟"&amp;IFERROR(INDEX(PASTE_ALL,$DF551,59)&amp;"","")&amp;"␟"&amp;IFERROR(INDEX(PASTE_ALL,$DF551,60)&amp;"","")," "," "),CHAR(9)," "),CHAR(10)," "),CHAR(13)," "))," ␟","␟"),"␟ ","␟"),"#"&amp;$DE551),"")</f>
        <v/>
      </c>
      <c r="DJ551">
        <f>IF($DI551="",0,IF(SUMPRODUCT(--EXACT($DI$4:DI550,$DI551))&gt;0,1,0))</f>
        <v/>
      </c>
      <c r="DK551">
        <f>IF(AND($DI551&lt;&gt;"",$DJ551=0),1,0)</f>
        <v/>
      </c>
      <c r="DL551">
        <f>DL550+$DK551</f>
        <v/>
      </c>
      <c r="DM551">
        <f>IF(AND($DK551=1,$DL551&lt;=600),1,0)</f>
        <v/>
      </c>
      <c r="DN551">
        <f>IF($DM551=0,"",IF($L$6=0,"",IFERROR(IF(ISNUMBER(INDEX(PASTE_ALL,$DF551,$L$6)),INDEX(PASTE_ALL,$DF551,$L$6),TRIM(SUBSTITUTE(SUBSTITUTE(SUBSTITUTE(SUBSTITUTE(INDEX(PASTE_ALL,$DF551,$L$6)," "," "),CHAR(9)," "),CHAR(10)," "),CHAR(13)," "))),"")))</f>
        <v/>
      </c>
      <c r="DO551">
        <f>IF($DM551=0,"",IF($L$7=0,"",IFERROR(IF(ISNUMBER(INDEX(PASTE_ALL,$DF551,$L$7)),INDEX(PASTE_ALL,$DF551,$L$7),TRIM(SUBSTITUTE(SUBSTITUTE(SUBSTITUTE(SUBSTITUTE(INDEX(PASTE_ALL,$DF551,$L$7)," "," "),CHAR(9)," "),CHAR(10)," "),CHAR(13)," "))),"")))</f>
        <v/>
      </c>
      <c r="DP551">
        <f>IF($DM551=0,"",IF($L$8=0,"",IFERROR(IF(ISNUMBER(INDEX(PASTE_ALL,$DF551,$L$8)),INDEX(PASTE_ALL,$DF551,$L$8),TRIM(SUBSTITUTE(SUBSTITUTE(SUBSTITUTE(SUBSTITUTE(INDEX(PASTE_ALL,$DF551,$L$8)," "," "),CHAR(9)," "),CHAR(10)," "),CHAR(13)," "))),"")))</f>
        <v/>
      </c>
      <c r="DQ551">
        <f>IF($DM551=0,"",IF($L$9=0,"",IFERROR(IF(ISNUMBER(INDEX(PASTE_ALL,$DF551,$L$9)),INDEX(PASTE_ALL,$DF551,$L$9),TRIM(SUBSTITUTE(SUBSTITUTE(SUBSTITUTE(SUBSTITUTE(INDEX(PASTE_ALL,$DF551,$L$9)," "," "),CHAR(9)," "),CHAR(10)," "),CHAR(13)," "))),"")))</f>
        <v/>
      </c>
      <c r="DR551">
        <f>IF($DM551=0,"",IF($L$10=0,"",IFERROR(IF(ISNUMBER(INDEX(PASTE_ALL,$DF551,$L$10)),INDEX(PASTE_ALL,$DF551,$L$10),TRIM(SUBSTITUTE(SUBSTITUTE(SUBSTITUTE(SUBSTITUTE(INDEX(PASTE_ALL,$DF551,$L$10)," "," "),CHAR(9)," "),CHAR(10)," "),CHAR(13)," "))),"")))</f>
        <v/>
      </c>
      <c r="DS551">
        <f>IF($DM551=0,"",IF($L$11=0,"",IFERROR(IF(ISNUMBER(INDEX(PASTE_ALL,$DF551,$L$11)),INDEX(PASTE_ALL,$DF551,$L$11),TRIM(SUBSTITUTE(SUBSTITUTE(SUBSTITUTE(SUBSTITUTE(INDEX(PASTE_ALL,$DF551,$L$11)," "," "),CHAR(9)," "),CHAR(10)," "),CHAR(13)," "))),"")))</f>
        <v/>
      </c>
      <c r="DT551">
        <f>IF($DM551=0,"",IF($L$12=0,"",IFERROR(IF(ISNUMBER(INDEX(PASTE_ALL,$DF551,$L$12)),INDEX(PASTE_ALL,$DF551,$L$12),TRIM(SUBSTITUTE(SUBSTITUTE(SUBSTITUTE(SUBSTITUTE(INDEX(PASTE_ALL,$DF551,$L$12)," "," "),CHAR(9)," "),CHAR(10)," "),CHAR(13)," "))),"")))</f>
        <v/>
      </c>
      <c r="DU551">
        <f>IF($DM551=0,"",IF($L$13=0,"",IFERROR(IF(ISNUMBER(INDEX(PASTE_ALL,$DF551,$L$13)),INDEX(PASTE_ALL,$DF551,$L$13),TRIM(SUBSTITUTE(SUBSTITUTE(SUBSTITUTE(SUBSTITUTE(INDEX(PASTE_ALL,$DF551,$L$13)," "," "),CHAR(9)," "),CHAR(10)," "),CHAR(13)," "))),"")))</f>
        <v/>
      </c>
      <c r="DV551">
        <f>IF($DM551=0,"",IF($L$14=0,"",IFERROR(IF(ISNUMBER(INDEX(PASTE_ALL,$DF551,$L$14)),INDEX(PASTE_ALL,$DF551,$L$14),TRIM(SUBSTITUTE(SUBSTITUTE(SUBSTITUTE(SUBSTITUTE(INDEX(PASTE_ALL,$DF551,$L$14)," "," "),CHAR(9)," "),CHAR(10)," "),CHAR(13)," "))),"")))</f>
        <v/>
      </c>
      <c r="DW551">
        <f>IF($DM551=0,"",IF($L$15=0,"",IFERROR(IF(ISNUMBER(INDEX(PASTE_ALL,$DF551,$L$15)),INDEX(PASTE_ALL,$DF551,$L$15),IF(SUMPRODUCT(--ISNUMBER(FIND({"A","B","C","D","E","F","G","H","I","J","K","L","M","N","O","P","Q","R","S","T","U","V","W","X","Y","Z","0","1","2","3","4","5","6","7","8","9"},UPPER(TRIM(SUBSTITUTE(SUBSTITUTE(SUBSTITUTE(SUBSTITUTE(INDEX(PASTE_ALL,$DF551,$L$15)," "," "),CHAR(9)," "),CHAR(10)," "),CHAR(13)," "))))))&gt;0,TRIM(SUBSTITUTE(SUBSTITUTE(SUBSTITUTE(SUBSTITUTE(INDEX(PASTE_ALL,$DF551,$L$15)," "," "),CHAR(9)," "),CHAR(10)," "),CHAR(13)," ")),"")),"")))</f>
        <v/>
      </c>
      <c r="DX551">
        <f>IF($DM551=0,"",IF($L$16=0,"",IFERROR(IF(ISNUMBER(INDEX(PASTE_ALL,$DF551,$L$16)),INDEX(PASTE_ALL,$DF551,$L$16),SUBSTITUTE(SUBSTITUTE(TRIM(SUBSTITUTE(SUBSTITUTE(SUBSTITUTE(SUBSTITUTE(INDEX(PASTE_ALL,$DF551,$L$16)," "," "),CHAR(9)," "),CHAR(10)," "),CHAR(13)," ")),",",""),"%","")),"")))</f>
        <v/>
      </c>
      <c r="DY551">
        <f>IF($DM551=0,"",IFERROR(IF(ISNUMBER($DX551),$DX551,IF($DX551="","",IF(TRIM($DX551)="",0,IF(AND(AND(SUBSTITUTE(SUBSTITUTE(SUBSTITUTE(SUBSTITUTE(SUBSTITUTE(SUBSTITUTE(SUBSTITUTE(SUBSTITUTE(SUBSTITUTE(SUBSTITUTE(SUBSTITUTE(SUBSTITUTE(SUBSTITUTE(SUBSTITUTE(UPPER(TRIM($DX551)),"0",""),"1",""),"2",""),"3",""),"4",""),"5",""),"6",""),"7",""),"8",""),"9",""),".",""),"+",""),"-",""),"E","")="",LEN(SUBSTITUTE(SUBSTITUTE(MID(UPPER(TRIM($DX551)),1+OR(LEFT(UPPER(TRIM($DX551)),1)="+",LEFT(UPPER(TRIM($DX551)),1)="-"),999),"E+","E"),"E-","E"))=LEN(SUBSTITUTE(SUBSTITUTE(SUBSTITUTE(SUBSTITUTE(MID(UPPER(TRIM($DX551)),1+OR(LEFT(UPPER(TRIM($DX551)),1)="+",LEFT(UPPER(TRIM($DX551)),1)="-"),999),"E+","E"),"E-","E"),"+",""),"-","")),LEN(UPPER(TRIM($DX551)))-LEN(SUBSTITUTE(UPPER(TRIM($DX551)),"E",""))&lt;2,LEN(UPPER(TRIM($DX551)))-LEN(SUBSTITUTE(UPPER(TRIM($DX551)),".",""))&lt;2,IFERROR(FIND(".",UPPER(TRIM($DX551))),0)&lt;IFERROR(FIND("E",UPPER(TRIM($DX551))),999)),ISNUMBER(VALUE(TRIM($DX551)))),VALUE(TRIM($DX551)),"")))),""))</f>
        <v/>
      </c>
      <c r="DZ551">
        <f>IF($DM551=0,"",IF($L$17=0,"",IFERROR(IF(ISNUMBER(INDEX(PASTE_ALL,$DF551,$L$17)),INDEX(PASTE_ALL,$DF551,$L$17),SUBSTITUTE(SUBSTITUTE(TRIM(SUBSTITUTE(SUBSTITUTE(SUBSTITUTE(SUBSTITUTE(INDEX(PASTE_ALL,$DF551,$L$17)," "," "),CHAR(9)," "),CHAR(10)," "),CHAR(13)," ")),",",""),"%","")),"")))</f>
        <v/>
      </c>
      <c r="EA551">
        <f>IF($DM551=0,"",IFERROR(IF(ISNUMBER($DZ551),$DZ551,IF($DZ551="","",IF(TRIM($DZ551)="",0,IF(AND(AND(SUBSTITUTE(SUBSTITUTE(SUBSTITUTE(SUBSTITUTE(SUBSTITUTE(SUBSTITUTE(SUBSTITUTE(SUBSTITUTE(SUBSTITUTE(SUBSTITUTE(SUBSTITUTE(SUBSTITUTE(SUBSTITUTE(SUBSTITUTE(UPPER(TRIM($DZ551)),"0",""),"1",""),"2",""),"3",""),"4",""),"5",""),"6",""),"7",""),"8",""),"9",""),".",""),"+",""),"-",""),"E","")="",LEN(SUBSTITUTE(SUBSTITUTE(MID(UPPER(TRIM($DZ551)),1+OR(LEFT(UPPER(TRIM($DZ551)),1)="+",LEFT(UPPER(TRIM($DZ551)),1)="-"),999),"E+","E"),"E-","E"))=LEN(SUBSTITUTE(SUBSTITUTE(SUBSTITUTE(SUBSTITUTE(MID(UPPER(TRIM($DZ551)),1+OR(LEFT(UPPER(TRIM($DZ551)),1)="+",LEFT(UPPER(TRIM($DZ551)),1)="-"),999),"E+","E"),"E-","E"),"+",""),"-","")),LEN(UPPER(TRIM($DZ551)))-LEN(SUBSTITUTE(UPPER(TRIM($DZ551)),"E",""))&lt;2,LEN(UPPER(TRIM($DZ551)))-LEN(SUBSTITUTE(UPPER(TRIM($DZ551)),".",""))&lt;2,IFERROR(FIND(".",UPPER(TRIM($DZ551))),0)&lt;IFERROR(FIND("E",UPPER(TRIM($DZ551))),999)),ISNUMBER(VALUE(TRIM($DZ551)))),VALUE(TRIM($DZ551)),"")))),""))</f>
        <v/>
      </c>
      <c r="EB551">
        <f>IF($DM551=0,"",IF($L$18=0,"",IFERROR(IF(UPPER(TRIM(SUBSTITUTE(SUBSTITUTE(SUBSTITUTE(SUBSTITUTE(INDEX(PASTE_ALL,$DF551,$L$18)," "," "),CHAR(9)," "),CHAR(10)," "),CHAR(13)," ")))="READY","Ready",IF(UPPER(TRIM(SUBSTITUTE(SUBSTITUTE(SUBSTITUTE(SUBSTITUTE(INDEX(PASTE_ALL,$DF551,$L$18)," "," "),CHAR(9)," "),CHAR(10)," "),CHAR(13)," ")))="PM","PM",IF(OR(UPPER(TRIM(SUBSTITUTE(SUBSTITUTE(SUBSTITUTE(SUBSTITUTE(INDEX(PASTE_ALL,$DF551,$L$18)," "," "),CHAR(9)," "),CHAR(10)," "),CHAR(13)," ")))="OT",UPPER(TRIM(SUBSTITUTE(SUBSTITUTE(SUBSTITUTE(SUBSTITUTE(INDEX(PASTE_ALL,$DF551,$L$18)," "," "),CHAR(9)," "),CHAR(10)," "),CHAR(13)," ")))="OVERTIME",UPPER(TRIM(SUBSTITUTE(SUBSTITUTE(SUBSTITUTE(SUBSTITUTE(INDEX(PASTE_ALL,$DF551,$L$18)," "," "),CHAR(9)," "),CHAR(10)," "),CHAR(13)," ")))="TRIAL"),"OT",TRIM(SUBSTITUTE(SUBSTITUTE(SUBSTITUTE(SUBSTITUTE(INDEX(PASTE_ALL,$DF551,$L$18)," "," "),CHAR(9)," "),CHAR(10)," "),CHAR(13)," "))))),"")))</f>
        <v/>
      </c>
      <c r="EC551">
        <f>IF($DM551=0,"",IF($L$19=0,"",IFERROR(IF(ISNUMBER(INDEX(PASTE_ALL,$DF551,$L$19)),INDEX(PASTE_ALL,$DF551,$L$19),TRIM(SUBSTITUTE(SUBSTITUTE(SUBSTITUTE(SUBSTITUTE(INDEX(PASTE_ALL,$DF551,$L$19)," "," "),CHAR(9)," "),CHAR(10)," "),CHAR(13)," "))),"")))</f>
        <v/>
      </c>
      <c r="ED551">
        <f>IF($DM551=0,"",MATCH(1,INDEX(EXACT($DH$5:DH551,$DH551)*$DM$5:DM551,0),0))</f>
        <v/>
      </c>
      <c r="EE551">
        <f>IF($DM551=0,0,IF($ED551=$DE551,1,0))</f>
        <v/>
      </c>
      <c r="EF551">
        <f>EF550+$EE551</f>
        <v/>
      </c>
      <c r="EG551">
        <f>IF($DM551=0,"",INDEX($EF$5:$EF$1003,$ED551))</f>
        <v/>
      </c>
      <c r="EH551">
        <f>IF($DM551=0,"",IF($DO551&lt;&gt;"","",IFERROR(LOOKUP(2,1/(($EG$4:EG550=$EG551)*($DO$4:DO550&lt;&gt;"")),$DO$4:DO550),"")))</f>
        <v/>
      </c>
      <c r="EI551">
        <f>IF($DM551=0,"",IF($DO551&lt;&gt;"",$DO551,$EH551))</f>
        <v/>
      </c>
      <c r="EJ551">
        <f>IF($DM551=0,"",IF($EI551="",0,IF(OR(ISNUMBER($EI551),AND(AND(SUBSTITUTE(SUBSTITUTE(SUBSTITUTE(SUBSTITUTE(SUBSTITUTE(SUBSTITUTE(SUBSTITUTE(SUBSTITUTE(SUBSTITUTE(SUBSTITUTE(SUBSTITUTE(SUBSTITUTE(SUBSTITUTE(SUBSTITUTE(UPPER($EI551),"0",""),"1",""),"2",""),"3",""),"4",""),"5",""),"6",""),"7",""),"8",""),"9",""),".",""),"+",""),"-",""),"E","")="",LEN(SUBSTITUTE(SUBSTITUTE(MID(UPPER($EI551),1+OR(LEFT(UPPER($EI551),1)="+",LEFT(UPPER($EI551),1)="-"),999),"E+","E"),"E-","E"))=LEN(SUBSTITUTE(SUBSTITUTE(SUBSTITUTE(SUBSTITUTE(MID(UPPER($EI551),1+OR(LEFT(UPPER($EI551),1)="+",LEFT(UPPER($EI551),1)="-"),999),"E+","E"),"E-","E"),"+",""),"-","")),LEN(UPPER($EI551))-LEN(SUBSTITUTE(UPPER($EI551),"E",""))&lt;2,LEN(UPPER($EI551))-LEN(SUBSTITUTE(UPPER($EI551),".",""))&lt;2,IFERROR(FIND(".",UPPER($EI551)),0)&lt;IFERROR(FIND("E",UPPER($EI551)),999)),ISNUMBER(VALUE($EI551)))),1,2)))</f>
        <v/>
      </c>
      <c r="EK551">
        <f>IF($DM551=0,"",IF($EJ551=1,IF(ISNUMBER($EI551),$EI551,VALUE($EI551)),IF($EJ551=2,$DE551,0)))</f>
        <v/>
      </c>
      <c r="EL551">
        <f>IF($DM551=0,"",COUNTIF($EG$5:$EG$1003,"&lt;"&amp;$EG551)+SUMPRODUCT(($EG$5:$EG$1003=$EG551)*(($EJ$5:$EJ$1003&lt;$EJ551)+($EJ$5:$EJ$1003=$EJ551)*(($EK$5:$EK$1003&lt;$EK551)+($EK$5:$EK$1003=$EK551)*($DE$5:$DE$1003&lt;$DE551))))+1)</f>
        <v/>
      </c>
      <c r="EM551">
        <f>IF($DM551=0,"",$EL551+$EG551-1)</f>
        <v/>
      </c>
      <c r="EN551">
        <f>IF($DM551=0,0,IFERROR(MATCH(1,INDEX(--(TRIM(SUBSTITUTE(SUBSTITUTE(SUBSTITUTE(SUBSTITUTE(LINES_NAME&amp;""," "," "),CHAR(9)," "),CHAR(10)," "),CHAR(13)," "))=$DH551),0),0),0))</f>
        <v/>
      </c>
      <c r="EO551">
        <f>IF($EN551=0,0,IF(OR(UPPER(TRIM(INDEX(LINES_SCHEDULED,$EN551)&amp;""))="YES",UPPER(TRIM(INDEX(LINES_SCHEDULED,$EN551)&amp;""))="Y",UPPER(TRIM(INDEX(LINES_SCHEDULED,$EN551)&amp;""))="X"),1,0))</f>
        <v/>
      </c>
      <c r="EP551">
        <f>IF($DM551=0,"",IF(COUNTIFS($EG$5:$EG$1003,$EG551,$EB$5:$EB$1003,"Ready")&gt;0,"READY",IF(COUNTIFS($EG$5:$EG$1003,$EG551,$EB$5:$EB$1003,"PM")&gt;0,"PM",IF(COUNTIFS($EG$5:$EG$1003,$EG551,$EB$5:$EB$1003,"OT")&gt;0,"OT",""))))</f>
        <v/>
      </c>
      <c r="EQ551">
        <f>IF($EN551=0,"",UPPER(TRIM(INDEX(LINES_STATUS,$EN551)&amp;"")))</f>
        <v/>
      </c>
      <c r="ER551">
        <f>IF($DM551=0,"",IF(OR($EQ551="READY",$EQ551="PM",$EQ551="OT"),$EQ551,$EP551))</f>
        <v/>
      </c>
      <c r="ES551">
        <f>IF($DM551=0,"",IF(AND($DV551&lt;&gt;"",UPPER($DV551)&lt;&gt;"N"),"allergen",IF(ISNUMBER(SEARCH("oil",$DQ551)),"oil",IF(OR(EXACT($DS551,"A662"),EXACT($DS551,"A624")),"bulk",""))))</f>
        <v/>
      </c>
      <c r="ET551">
        <f>IF($DM551=0,"",IF(OR($EA551="",$EA551=0),"",$EA551/100))</f>
        <v/>
      </c>
      <c r="EU551">
        <f>IF(OR($ET551="",$DY551=""),"",INT($DY551*(1-$ET551)+0.5))</f>
        <v/>
      </c>
      <c r="EW551" t="n">
        <v>547</v>
      </c>
      <c r="EX551">
        <f>IFERROR(MATCH($EW551,$EM$5:$EM$1003,0),0)</f>
        <v/>
      </c>
      <c r="EY551">
        <f>IF($EW551&gt;$B$12,"",IF($EX551&gt;0,"row","spacer"))</f>
        <v/>
      </c>
      <c r="EZ551">
        <f>IF(AND($EY551="row",$EY550&lt;&gt;"row"),1,0)</f>
        <v/>
      </c>
      <c r="FA551">
        <f>IF(AND($EY551="row",$EY552&lt;&gt;"row"),1,0)</f>
        <v/>
      </c>
      <c r="FB551">
        <f>IF($EZ551=1,IFERROR(IF(ISNUMBER(INDEX(PASTE_ALL,INDEX($DF$5:$DF$1003,$EX551),$B$37)),INDEX(PASTE_ALL,INDEX($DF$5:$DF$1003,$EX551),$B$37),INDEX($DH$5:$DH$1003,$EX551)),INDEX($DH$5:$DH$1003,$EX551)),"")</f>
        <v/>
      </c>
      <c r="FC551">
        <f>IF($EY551="row",INDEX($ER$5:$ER$1003,$EX551),"")</f>
        <v/>
      </c>
      <c r="FD551">
        <f>IF($EY551="row",INDEX($DN$5:$DN$1003,$EX551),"")</f>
        <v/>
      </c>
      <c r="FE551">
        <f>IF($EY551="row",INDEX($DO$5:$DO$1003,$EX551),"")</f>
        <v/>
      </c>
      <c r="FF551">
        <f>IF($EY551="row",INDEX($DP$5:$DP$1003,$EX551),"")</f>
        <v/>
      </c>
      <c r="FG551">
        <f>IF($EY551="row",INDEX($DQ$5:$DQ$1003,$EX551),"")</f>
        <v/>
      </c>
      <c r="FH551">
        <f>IF($EY551="row",INDEX($DR$5:$DR$1003,$EX551),"")</f>
        <v/>
      </c>
      <c r="FI551">
        <f>IF($EY551="row",INDEX($DS$5:$DS$1003,$EX551),"")</f>
        <v/>
      </c>
      <c r="FJ551">
        <f>IF($EY551="row",INDEX($DT$5:$DT$1003,$EX551),"")</f>
        <v/>
      </c>
      <c r="FK551">
        <f>IF($EY551="row",INDEX($DU$5:$DU$1003,$EX551),"")</f>
        <v/>
      </c>
      <c r="FL551">
        <f>IF($EY551="row",INDEX($DV$5:$DV$1003,$EX551),"")</f>
        <v/>
      </c>
      <c r="FM551">
        <f>IF($EY551="row",INDEX($DW$5:$DW$1003,$EX551),"")</f>
        <v/>
      </c>
      <c r="FN551">
        <f>IF($EY551="row",INDEX($DY$5:$DY$1003,$EX551),"")</f>
        <v/>
      </c>
      <c r="FO551">
        <f>IF($EY551="row",INDEX($EA$5:$EA$1003,$EX551),"")</f>
        <v/>
      </c>
      <c r="FP551">
        <f>IF($EY551="row",INDEX($EC$5:$EC$1003,$EX551),"")</f>
        <v/>
      </c>
      <c r="FQ551">
        <f>IF($EY551="row",INDEX($ET$5:$ET$1003,$EX551),"")</f>
        <v/>
      </c>
      <c r="FR551">
        <f>IF($EY551="row",INDEX($EU$5:$EU$1003,$EX551),"")</f>
        <v/>
      </c>
      <c r="FS551">
        <f>IF(AND($EY551="row",$EY550="row"),IF(OR(INDEX($DT$5:$DT$1003,$EX550)="",INDEX($DT$5:$DT$1003,$EX551)=""),"",IF(NOT(EXACT(INDEX($DT$5:$DT$1003,$EX550),INDEX($DT$5:$DT$1003,$EX551))),"S4",IF(NOT(EXACT(INDEX($DS$5:$DS$1003,$EX550),INDEX($DS$5:$DS$1003,$EX551))),"S3",IF(NOT(EXACT(INDEX($DR$5:$DR$1003,$EX550),INDEX($DR$5:$DR$1003,$EX551))),"S1 Count Change","S1")))),"")</f>
        <v/>
      </c>
      <c r="FT551">
        <f>IF($EY551="row",INDEX($ES$5:$ES$1003,$EX551),"")</f>
        <v/>
      </c>
      <c r="FU551">
        <f>IF($EY551="row",INDEX($EO$5:$EO$1003,$EX551),0)</f>
        <v/>
      </c>
      <c r="FV551">
        <f>IF($FS551="S1 Count Change",1,0)</f>
        <v/>
      </c>
    </row>
    <row r="552">
      <c r="DA552" t="n">
        <v>548</v>
      </c>
      <c r="DB552">
        <f>IF($B$37=0,"",IFERROR(TRIM(SUBSTITUTE(SUBSTITUTE(SUBSTITUTE(SUBSTITUTE(INDEX(PASTE_ALL,548,$B$37)," "," "),CHAR(9)," "),CHAR(10)," "),CHAR(13)," ")),""))</f>
        <v/>
      </c>
      <c r="DC552">
        <f>IF(AND(548&gt;HEADER_ROW,UPPER(DB552)="LEGEND"),1,0)</f>
        <v/>
      </c>
      <c r="DE552" t="n">
        <v>548</v>
      </c>
      <c r="DF552">
        <f>HEADER_ROW+$DE552</f>
        <v/>
      </c>
      <c r="DG552">
        <f>IF(AND($DF552&lt;=1000,$DF552&lt;$B$8),1,0)</f>
        <v/>
      </c>
      <c r="DH552">
        <f>IF($DG552=1,IFERROR(INDEX($DB$5:$DB$1004,$DF552),""),"")</f>
        <v/>
      </c>
      <c r="DI552">
        <f>IF(AND($DG552=1,$DH552&lt;&gt;""),IFERROR(SUBSTITUTE(SUBSTITUTE(TRIM(SUBSTITUTE(SUBSTITUTE(SUBSTITUTE(SUBSTITUTE(IFERROR(INDEX(PASTE_ALL,$DF552,1)&amp;"","")&amp;"␟"&amp;IFERROR(INDEX(PASTE_ALL,$DF552,2)&amp;"","")&amp;"␟"&amp;IFERROR(INDEX(PASTE_ALL,$DF552,3)&amp;"","")&amp;"␟"&amp;IFERROR(INDEX(PASTE_ALL,$DF552,4)&amp;"","")&amp;"␟"&amp;IFERROR(INDEX(PASTE_ALL,$DF552,5)&amp;"","")&amp;"␟"&amp;IFERROR(INDEX(PASTE_ALL,$DF552,6)&amp;"","")&amp;"␟"&amp;IFERROR(INDEX(PASTE_ALL,$DF552,7)&amp;"","")&amp;"␟"&amp;IFERROR(INDEX(PASTE_ALL,$DF552,8)&amp;"","")&amp;"␟"&amp;IFERROR(INDEX(PASTE_ALL,$DF552,9)&amp;"","")&amp;"␟"&amp;IFERROR(INDEX(PASTE_ALL,$DF552,10)&amp;"","")&amp;"␟"&amp;IFERROR(INDEX(PASTE_ALL,$DF552,11)&amp;"","")&amp;"␟"&amp;IFERROR(INDEX(PASTE_ALL,$DF552,12)&amp;"","")&amp;"␟"&amp;IFERROR(INDEX(PASTE_ALL,$DF552,13)&amp;"","")&amp;"␟"&amp;IFERROR(INDEX(PASTE_ALL,$DF552,14)&amp;"","")&amp;"␟"&amp;IFERROR(INDEX(PASTE_ALL,$DF552,15)&amp;"","")&amp;"␟"&amp;IFERROR(INDEX(PASTE_ALL,$DF552,16)&amp;"","")&amp;"␟"&amp;IFERROR(INDEX(PASTE_ALL,$DF552,17)&amp;"","")&amp;"␟"&amp;IFERROR(INDEX(PASTE_ALL,$DF552,18)&amp;"","")&amp;"␟"&amp;IFERROR(INDEX(PASTE_ALL,$DF552,19)&amp;"","")&amp;"␟"&amp;IFERROR(INDEX(PASTE_ALL,$DF552,20)&amp;"","")&amp;"␟"&amp;IFERROR(INDEX(PASTE_ALL,$DF552,21)&amp;"","")&amp;"␟"&amp;IFERROR(INDEX(PASTE_ALL,$DF552,22)&amp;"","")&amp;"␟"&amp;IFERROR(INDEX(PASTE_ALL,$DF552,23)&amp;"","")&amp;"␟"&amp;IFERROR(INDEX(PASTE_ALL,$DF552,24)&amp;"","")&amp;"␟"&amp;IFERROR(INDEX(PASTE_ALL,$DF552,25)&amp;"","")&amp;"␟"&amp;IFERROR(INDEX(PASTE_ALL,$DF552,26)&amp;"","")&amp;"␟"&amp;IFERROR(INDEX(PASTE_ALL,$DF552,27)&amp;"","")&amp;"␟"&amp;IFERROR(INDEX(PASTE_ALL,$DF552,28)&amp;"","")&amp;"␟"&amp;IFERROR(INDEX(PASTE_ALL,$DF552,29)&amp;"","")&amp;"␟"&amp;IFERROR(INDEX(PASTE_ALL,$DF552,30)&amp;"","")&amp;"␟"&amp;IFERROR(INDEX(PASTE_ALL,$DF552,31)&amp;"","")&amp;"␟"&amp;IFERROR(INDEX(PASTE_ALL,$DF552,32)&amp;"","")&amp;"␟"&amp;IFERROR(INDEX(PASTE_ALL,$DF552,33)&amp;"","")&amp;"␟"&amp;IFERROR(INDEX(PASTE_ALL,$DF552,34)&amp;"","")&amp;"␟"&amp;IFERROR(INDEX(PASTE_ALL,$DF552,35)&amp;"","")&amp;"␟"&amp;IFERROR(INDEX(PASTE_ALL,$DF552,36)&amp;"","")&amp;"␟"&amp;IFERROR(INDEX(PASTE_ALL,$DF552,37)&amp;"","")&amp;"␟"&amp;IFERROR(INDEX(PASTE_ALL,$DF552,38)&amp;"","")&amp;"␟"&amp;IFERROR(INDEX(PASTE_ALL,$DF552,39)&amp;"","")&amp;"␟"&amp;IFERROR(INDEX(PASTE_ALL,$DF552,40)&amp;"","")&amp;"␟"&amp;IFERROR(INDEX(PASTE_ALL,$DF552,41)&amp;"","")&amp;"␟"&amp;IFERROR(INDEX(PASTE_ALL,$DF552,42)&amp;"","")&amp;"␟"&amp;IFERROR(INDEX(PASTE_ALL,$DF552,43)&amp;"","")&amp;"␟"&amp;IFERROR(INDEX(PASTE_ALL,$DF552,44)&amp;"","")&amp;"␟"&amp;IFERROR(INDEX(PASTE_ALL,$DF552,45)&amp;"","")&amp;"␟"&amp;IFERROR(INDEX(PASTE_ALL,$DF552,46)&amp;"","")&amp;"␟"&amp;IFERROR(INDEX(PASTE_ALL,$DF552,47)&amp;"","")&amp;"␟"&amp;IFERROR(INDEX(PASTE_ALL,$DF552,48)&amp;"","")&amp;"␟"&amp;IFERROR(INDEX(PASTE_ALL,$DF552,49)&amp;"","")&amp;"␟"&amp;IFERROR(INDEX(PASTE_ALL,$DF552,50)&amp;"","")&amp;"␟"&amp;IFERROR(INDEX(PASTE_ALL,$DF552,51)&amp;"","")&amp;"␟"&amp;IFERROR(INDEX(PASTE_ALL,$DF552,52)&amp;"","")&amp;"␟"&amp;IFERROR(INDEX(PASTE_ALL,$DF552,53)&amp;"","")&amp;"␟"&amp;IFERROR(INDEX(PASTE_ALL,$DF552,54)&amp;"","")&amp;"␟"&amp;IFERROR(INDEX(PASTE_ALL,$DF552,55)&amp;"","")&amp;"␟"&amp;IFERROR(INDEX(PASTE_ALL,$DF552,56)&amp;"","")&amp;"␟"&amp;IFERROR(INDEX(PASTE_ALL,$DF552,57)&amp;"","")&amp;"␟"&amp;IFERROR(INDEX(PASTE_ALL,$DF552,58)&amp;"","")&amp;"␟"&amp;IFERROR(INDEX(PASTE_ALL,$DF552,59)&amp;"","")&amp;"␟"&amp;IFERROR(INDEX(PASTE_ALL,$DF552,60)&amp;"","")," "," "),CHAR(9)," "),CHAR(10)," "),CHAR(13)," "))," ␟","␟"),"␟ ","␟"),"#"&amp;$DE552),"")</f>
        <v/>
      </c>
      <c r="DJ552">
        <f>IF($DI552="",0,IF(SUMPRODUCT(--EXACT($DI$4:DI551,$DI552))&gt;0,1,0))</f>
        <v/>
      </c>
      <c r="DK552">
        <f>IF(AND($DI552&lt;&gt;"",$DJ552=0),1,0)</f>
        <v/>
      </c>
      <c r="DL552">
        <f>DL551+$DK552</f>
        <v/>
      </c>
      <c r="DM552">
        <f>IF(AND($DK552=1,$DL552&lt;=600),1,0)</f>
        <v/>
      </c>
      <c r="DN552">
        <f>IF($DM552=0,"",IF($L$6=0,"",IFERROR(IF(ISNUMBER(INDEX(PASTE_ALL,$DF552,$L$6)),INDEX(PASTE_ALL,$DF552,$L$6),TRIM(SUBSTITUTE(SUBSTITUTE(SUBSTITUTE(SUBSTITUTE(INDEX(PASTE_ALL,$DF552,$L$6)," "," "),CHAR(9)," "),CHAR(10)," "),CHAR(13)," "))),"")))</f>
        <v/>
      </c>
      <c r="DO552">
        <f>IF($DM552=0,"",IF($L$7=0,"",IFERROR(IF(ISNUMBER(INDEX(PASTE_ALL,$DF552,$L$7)),INDEX(PASTE_ALL,$DF552,$L$7),TRIM(SUBSTITUTE(SUBSTITUTE(SUBSTITUTE(SUBSTITUTE(INDEX(PASTE_ALL,$DF552,$L$7)," "," "),CHAR(9)," "),CHAR(10)," "),CHAR(13)," "))),"")))</f>
        <v/>
      </c>
      <c r="DP552">
        <f>IF($DM552=0,"",IF($L$8=0,"",IFERROR(IF(ISNUMBER(INDEX(PASTE_ALL,$DF552,$L$8)),INDEX(PASTE_ALL,$DF552,$L$8),TRIM(SUBSTITUTE(SUBSTITUTE(SUBSTITUTE(SUBSTITUTE(INDEX(PASTE_ALL,$DF552,$L$8)," "," "),CHAR(9)," "),CHAR(10)," "),CHAR(13)," "))),"")))</f>
        <v/>
      </c>
      <c r="DQ552">
        <f>IF($DM552=0,"",IF($L$9=0,"",IFERROR(IF(ISNUMBER(INDEX(PASTE_ALL,$DF552,$L$9)),INDEX(PASTE_ALL,$DF552,$L$9),TRIM(SUBSTITUTE(SUBSTITUTE(SUBSTITUTE(SUBSTITUTE(INDEX(PASTE_ALL,$DF552,$L$9)," "," "),CHAR(9)," "),CHAR(10)," "),CHAR(13)," "))),"")))</f>
        <v/>
      </c>
      <c r="DR552">
        <f>IF($DM552=0,"",IF($L$10=0,"",IFERROR(IF(ISNUMBER(INDEX(PASTE_ALL,$DF552,$L$10)),INDEX(PASTE_ALL,$DF552,$L$10),TRIM(SUBSTITUTE(SUBSTITUTE(SUBSTITUTE(SUBSTITUTE(INDEX(PASTE_ALL,$DF552,$L$10)," "," "),CHAR(9)," "),CHAR(10)," "),CHAR(13)," "))),"")))</f>
        <v/>
      </c>
      <c r="DS552">
        <f>IF($DM552=0,"",IF($L$11=0,"",IFERROR(IF(ISNUMBER(INDEX(PASTE_ALL,$DF552,$L$11)),INDEX(PASTE_ALL,$DF552,$L$11),TRIM(SUBSTITUTE(SUBSTITUTE(SUBSTITUTE(SUBSTITUTE(INDEX(PASTE_ALL,$DF552,$L$11)," "," "),CHAR(9)," "),CHAR(10)," "),CHAR(13)," "))),"")))</f>
        <v/>
      </c>
      <c r="DT552">
        <f>IF($DM552=0,"",IF($L$12=0,"",IFERROR(IF(ISNUMBER(INDEX(PASTE_ALL,$DF552,$L$12)),INDEX(PASTE_ALL,$DF552,$L$12),TRIM(SUBSTITUTE(SUBSTITUTE(SUBSTITUTE(SUBSTITUTE(INDEX(PASTE_ALL,$DF552,$L$12)," "," "),CHAR(9)," "),CHAR(10)," "),CHAR(13)," "))),"")))</f>
        <v/>
      </c>
      <c r="DU552">
        <f>IF($DM552=0,"",IF($L$13=0,"",IFERROR(IF(ISNUMBER(INDEX(PASTE_ALL,$DF552,$L$13)),INDEX(PASTE_ALL,$DF552,$L$13),TRIM(SUBSTITUTE(SUBSTITUTE(SUBSTITUTE(SUBSTITUTE(INDEX(PASTE_ALL,$DF552,$L$13)," "," "),CHAR(9)," "),CHAR(10)," "),CHAR(13)," "))),"")))</f>
        <v/>
      </c>
      <c r="DV552">
        <f>IF($DM552=0,"",IF($L$14=0,"",IFERROR(IF(ISNUMBER(INDEX(PASTE_ALL,$DF552,$L$14)),INDEX(PASTE_ALL,$DF552,$L$14),TRIM(SUBSTITUTE(SUBSTITUTE(SUBSTITUTE(SUBSTITUTE(INDEX(PASTE_ALL,$DF552,$L$14)," "," "),CHAR(9)," "),CHAR(10)," "),CHAR(13)," "))),"")))</f>
        <v/>
      </c>
      <c r="DW552">
        <f>IF($DM552=0,"",IF($L$15=0,"",IFERROR(IF(ISNUMBER(INDEX(PASTE_ALL,$DF552,$L$15)),INDEX(PASTE_ALL,$DF552,$L$15),IF(SUMPRODUCT(--ISNUMBER(FIND({"A","B","C","D","E","F","G","H","I","J","K","L","M","N","O","P","Q","R","S","T","U","V","W","X","Y","Z","0","1","2","3","4","5","6","7","8","9"},UPPER(TRIM(SUBSTITUTE(SUBSTITUTE(SUBSTITUTE(SUBSTITUTE(INDEX(PASTE_ALL,$DF552,$L$15)," "," "),CHAR(9)," "),CHAR(10)," "),CHAR(13)," "))))))&gt;0,TRIM(SUBSTITUTE(SUBSTITUTE(SUBSTITUTE(SUBSTITUTE(INDEX(PASTE_ALL,$DF552,$L$15)," "," "),CHAR(9)," "),CHAR(10)," "),CHAR(13)," ")),"")),"")))</f>
        <v/>
      </c>
      <c r="DX552">
        <f>IF($DM552=0,"",IF($L$16=0,"",IFERROR(IF(ISNUMBER(INDEX(PASTE_ALL,$DF552,$L$16)),INDEX(PASTE_ALL,$DF552,$L$16),SUBSTITUTE(SUBSTITUTE(TRIM(SUBSTITUTE(SUBSTITUTE(SUBSTITUTE(SUBSTITUTE(INDEX(PASTE_ALL,$DF552,$L$16)," "," "),CHAR(9)," "),CHAR(10)," "),CHAR(13)," ")),",",""),"%","")),"")))</f>
        <v/>
      </c>
      <c r="DY552">
        <f>IF($DM552=0,"",IFERROR(IF(ISNUMBER($DX552),$DX552,IF($DX552="","",IF(TRIM($DX552)="",0,IF(AND(AND(SUBSTITUTE(SUBSTITUTE(SUBSTITUTE(SUBSTITUTE(SUBSTITUTE(SUBSTITUTE(SUBSTITUTE(SUBSTITUTE(SUBSTITUTE(SUBSTITUTE(SUBSTITUTE(SUBSTITUTE(SUBSTITUTE(SUBSTITUTE(UPPER(TRIM($DX552)),"0",""),"1",""),"2",""),"3",""),"4",""),"5",""),"6",""),"7",""),"8",""),"9",""),".",""),"+",""),"-",""),"E","")="",LEN(SUBSTITUTE(SUBSTITUTE(MID(UPPER(TRIM($DX552)),1+OR(LEFT(UPPER(TRIM($DX552)),1)="+",LEFT(UPPER(TRIM($DX552)),1)="-"),999),"E+","E"),"E-","E"))=LEN(SUBSTITUTE(SUBSTITUTE(SUBSTITUTE(SUBSTITUTE(MID(UPPER(TRIM($DX552)),1+OR(LEFT(UPPER(TRIM($DX552)),1)="+",LEFT(UPPER(TRIM($DX552)),1)="-"),999),"E+","E"),"E-","E"),"+",""),"-","")),LEN(UPPER(TRIM($DX552)))-LEN(SUBSTITUTE(UPPER(TRIM($DX552)),"E",""))&lt;2,LEN(UPPER(TRIM($DX552)))-LEN(SUBSTITUTE(UPPER(TRIM($DX552)),".",""))&lt;2,IFERROR(FIND(".",UPPER(TRIM($DX552))),0)&lt;IFERROR(FIND("E",UPPER(TRIM($DX552))),999)),ISNUMBER(VALUE(TRIM($DX552)))),VALUE(TRIM($DX552)),"")))),""))</f>
        <v/>
      </c>
      <c r="DZ552">
        <f>IF($DM552=0,"",IF($L$17=0,"",IFERROR(IF(ISNUMBER(INDEX(PASTE_ALL,$DF552,$L$17)),INDEX(PASTE_ALL,$DF552,$L$17),SUBSTITUTE(SUBSTITUTE(TRIM(SUBSTITUTE(SUBSTITUTE(SUBSTITUTE(SUBSTITUTE(INDEX(PASTE_ALL,$DF552,$L$17)," "," "),CHAR(9)," "),CHAR(10)," "),CHAR(13)," ")),",",""),"%","")),"")))</f>
        <v/>
      </c>
      <c r="EA552">
        <f>IF($DM552=0,"",IFERROR(IF(ISNUMBER($DZ552),$DZ552,IF($DZ552="","",IF(TRIM($DZ552)="",0,IF(AND(AND(SUBSTITUTE(SUBSTITUTE(SUBSTITUTE(SUBSTITUTE(SUBSTITUTE(SUBSTITUTE(SUBSTITUTE(SUBSTITUTE(SUBSTITUTE(SUBSTITUTE(SUBSTITUTE(SUBSTITUTE(SUBSTITUTE(SUBSTITUTE(UPPER(TRIM($DZ552)),"0",""),"1",""),"2",""),"3",""),"4",""),"5",""),"6",""),"7",""),"8",""),"9",""),".",""),"+",""),"-",""),"E","")="",LEN(SUBSTITUTE(SUBSTITUTE(MID(UPPER(TRIM($DZ552)),1+OR(LEFT(UPPER(TRIM($DZ552)),1)="+",LEFT(UPPER(TRIM($DZ552)),1)="-"),999),"E+","E"),"E-","E"))=LEN(SUBSTITUTE(SUBSTITUTE(SUBSTITUTE(SUBSTITUTE(MID(UPPER(TRIM($DZ552)),1+OR(LEFT(UPPER(TRIM($DZ552)),1)="+",LEFT(UPPER(TRIM($DZ552)),1)="-"),999),"E+","E"),"E-","E"),"+",""),"-","")),LEN(UPPER(TRIM($DZ552)))-LEN(SUBSTITUTE(UPPER(TRIM($DZ552)),"E",""))&lt;2,LEN(UPPER(TRIM($DZ552)))-LEN(SUBSTITUTE(UPPER(TRIM($DZ552)),".",""))&lt;2,IFERROR(FIND(".",UPPER(TRIM($DZ552))),0)&lt;IFERROR(FIND("E",UPPER(TRIM($DZ552))),999)),ISNUMBER(VALUE(TRIM($DZ552)))),VALUE(TRIM($DZ552)),"")))),""))</f>
        <v/>
      </c>
      <c r="EB552">
        <f>IF($DM552=0,"",IF($L$18=0,"",IFERROR(IF(UPPER(TRIM(SUBSTITUTE(SUBSTITUTE(SUBSTITUTE(SUBSTITUTE(INDEX(PASTE_ALL,$DF552,$L$18)," "," "),CHAR(9)," "),CHAR(10)," "),CHAR(13)," ")))="READY","Ready",IF(UPPER(TRIM(SUBSTITUTE(SUBSTITUTE(SUBSTITUTE(SUBSTITUTE(INDEX(PASTE_ALL,$DF552,$L$18)," "," "),CHAR(9)," "),CHAR(10)," "),CHAR(13)," ")))="PM","PM",IF(OR(UPPER(TRIM(SUBSTITUTE(SUBSTITUTE(SUBSTITUTE(SUBSTITUTE(INDEX(PASTE_ALL,$DF552,$L$18)," "," "),CHAR(9)," "),CHAR(10)," "),CHAR(13)," ")))="OT",UPPER(TRIM(SUBSTITUTE(SUBSTITUTE(SUBSTITUTE(SUBSTITUTE(INDEX(PASTE_ALL,$DF552,$L$18)," "," "),CHAR(9)," "),CHAR(10)," "),CHAR(13)," ")))="OVERTIME",UPPER(TRIM(SUBSTITUTE(SUBSTITUTE(SUBSTITUTE(SUBSTITUTE(INDEX(PASTE_ALL,$DF552,$L$18)," "," "),CHAR(9)," "),CHAR(10)," "),CHAR(13)," ")))="TRIAL"),"OT",TRIM(SUBSTITUTE(SUBSTITUTE(SUBSTITUTE(SUBSTITUTE(INDEX(PASTE_ALL,$DF552,$L$18)," "," "),CHAR(9)," "),CHAR(10)," "),CHAR(13)," "))))),"")))</f>
        <v/>
      </c>
      <c r="EC552">
        <f>IF($DM552=0,"",IF($L$19=0,"",IFERROR(IF(ISNUMBER(INDEX(PASTE_ALL,$DF552,$L$19)),INDEX(PASTE_ALL,$DF552,$L$19),TRIM(SUBSTITUTE(SUBSTITUTE(SUBSTITUTE(SUBSTITUTE(INDEX(PASTE_ALL,$DF552,$L$19)," "," "),CHAR(9)," "),CHAR(10)," "),CHAR(13)," "))),"")))</f>
        <v/>
      </c>
      <c r="ED552">
        <f>IF($DM552=0,"",MATCH(1,INDEX(EXACT($DH$5:DH552,$DH552)*$DM$5:DM552,0),0))</f>
        <v/>
      </c>
      <c r="EE552">
        <f>IF($DM552=0,0,IF($ED552=$DE552,1,0))</f>
        <v/>
      </c>
      <c r="EF552">
        <f>EF551+$EE552</f>
        <v/>
      </c>
      <c r="EG552">
        <f>IF($DM552=0,"",INDEX($EF$5:$EF$1003,$ED552))</f>
        <v/>
      </c>
      <c r="EH552">
        <f>IF($DM552=0,"",IF($DO552&lt;&gt;"","",IFERROR(LOOKUP(2,1/(($EG$4:EG551=$EG552)*($DO$4:DO551&lt;&gt;"")),$DO$4:DO551),"")))</f>
        <v/>
      </c>
      <c r="EI552">
        <f>IF($DM552=0,"",IF($DO552&lt;&gt;"",$DO552,$EH552))</f>
        <v/>
      </c>
      <c r="EJ552">
        <f>IF($DM552=0,"",IF($EI552="",0,IF(OR(ISNUMBER($EI552),AND(AND(SUBSTITUTE(SUBSTITUTE(SUBSTITUTE(SUBSTITUTE(SUBSTITUTE(SUBSTITUTE(SUBSTITUTE(SUBSTITUTE(SUBSTITUTE(SUBSTITUTE(SUBSTITUTE(SUBSTITUTE(SUBSTITUTE(SUBSTITUTE(UPPER($EI552),"0",""),"1",""),"2",""),"3",""),"4",""),"5",""),"6",""),"7",""),"8",""),"9",""),".",""),"+",""),"-",""),"E","")="",LEN(SUBSTITUTE(SUBSTITUTE(MID(UPPER($EI552),1+OR(LEFT(UPPER($EI552),1)="+",LEFT(UPPER($EI552),1)="-"),999),"E+","E"),"E-","E"))=LEN(SUBSTITUTE(SUBSTITUTE(SUBSTITUTE(SUBSTITUTE(MID(UPPER($EI552),1+OR(LEFT(UPPER($EI552),1)="+",LEFT(UPPER($EI552),1)="-"),999),"E+","E"),"E-","E"),"+",""),"-","")),LEN(UPPER($EI552))-LEN(SUBSTITUTE(UPPER($EI552),"E",""))&lt;2,LEN(UPPER($EI552))-LEN(SUBSTITUTE(UPPER($EI552),".",""))&lt;2,IFERROR(FIND(".",UPPER($EI552)),0)&lt;IFERROR(FIND("E",UPPER($EI552)),999)),ISNUMBER(VALUE($EI552)))),1,2)))</f>
        <v/>
      </c>
      <c r="EK552">
        <f>IF($DM552=0,"",IF($EJ552=1,IF(ISNUMBER($EI552),$EI552,VALUE($EI552)),IF($EJ552=2,$DE552,0)))</f>
        <v/>
      </c>
      <c r="EL552">
        <f>IF($DM552=0,"",COUNTIF($EG$5:$EG$1003,"&lt;"&amp;$EG552)+SUMPRODUCT(($EG$5:$EG$1003=$EG552)*(($EJ$5:$EJ$1003&lt;$EJ552)+($EJ$5:$EJ$1003=$EJ552)*(($EK$5:$EK$1003&lt;$EK552)+($EK$5:$EK$1003=$EK552)*($DE$5:$DE$1003&lt;$DE552))))+1)</f>
        <v/>
      </c>
      <c r="EM552">
        <f>IF($DM552=0,"",$EL552+$EG552-1)</f>
        <v/>
      </c>
      <c r="EN552">
        <f>IF($DM552=0,0,IFERROR(MATCH(1,INDEX(--(TRIM(SUBSTITUTE(SUBSTITUTE(SUBSTITUTE(SUBSTITUTE(LINES_NAME&amp;""," "," "),CHAR(9)," "),CHAR(10)," "),CHAR(13)," "))=$DH552),0),0),0))</f>
        <v/>
      </c>
      <c r="EO552">
        <f>IF($EN552=0,0,IF(OR(UPPER(TRIM(INDEX(LINES_SCHEDULED,$EN552)&amp;""))="YES",UPPER(TRIM(INDEX(LINES_SCHEDULED,$EN552)&amp;""))="Y",UPPER(TRIM(INDEX(LINES_SCHEDULED,$EN552)&amp;""))="X"),1,0))</f>
        <v/>
      </c>
      <c r="EP552">
        <f>IF($DM552=0,"",IF(COUNTIFS($EG$5:$EG$1003,$EG552,$EB$5:$EB$1003,"Ready")&gt;0,"READY",IF(COUNTIFS($EG$5:$EG$1003,$EG552,$EB$5:$EB$1003,"PM")&gt;0,"PM",IF(COUNTIFS($EG$5:$EG$1003,$EG552,$EB$5:$EB$1003,"OT")&gt;0,"OT",""))))</f>
        <v/>
      </c>
      <c r="EQ552">
        <f>IF($EN552=0,"",UPPER(TRIM(INDEX(LINES_STATUS,$EN552)&amp;"")))</f>
        <v/>
      </c>
      <c r="ER552">
        <f>IF($DM552=0,"",IF(OR($EQ552="READY",$EQ552="PM",$EQ552="OT"),$EQ552,$EP552))</f>
        <v/>
      </c>
      <c r="ES552">
        <f>IF($DM552=0,"",IF(AND($DV552&lt;&gt;"",UPPER($DV552)&lt;&gt;"N"),"allergen",IF(ISNUMBER(SEARCH("oil",$DQ552)),"oil",IF(OR(EXACT($DS552,"A662"),EXACT($DS552,"A624")),"bulk",""))))</f>
        <v/>
      </c>
      <c r="ET552">
        <f>IF($DM552=0,"",IF(OR($EA552="",$EA552=0),"",$EA552/100))</f>
        <v/>
      </c>
      <c r="EU552">
        <f>IF(OR($ET552="",$DY552=""),"",INT($DY552*(1-$ET552)+0.5))</f>
        <v/>
      </c>
      <c r="EW552" t="n">
        <v>548</v>
      </c>
      <c r="EX552">
        <f>IFERROR(MATCH($EW552,$EM$5:$EM$1003,0),0)</f>
        <v/>
      </c>
      <c r="EY552">
        <f>IF($EW552&gt;$B$12,"",IF($EX552&gt;0,"row","spacer"))</f>
        <v/>
      </c>
      <c r="EZ552">
        <f>IF(AND($EY552="row",$EY551&lt;&gt;"row"),1,0)</f>
        <v/>
      </c>
      <c r="FA552">
        <f>IF(AND($EY552="row",$EY553&lt;&gt;"row"),1,0)</f>
        <v/>
      </c>
      <c r="FB552">
        <f>IF($EZ552=1,IFERROR(IF(ISNUMBER(INDEX(PASTE_ALL,INDEX($DF$5:$DF$1003,$EX552),$B$37)),INDEX(PASTE_ALL,INDEX($DF$5:$DF$1003,$EX552),$B$37),INDEX($DH$5:$DH$1003,$EX552)),INDEX($DH$5:$DH$1003,$EX552)),"")</f>
        <v/>
      </c>
      <c r="FC552">
        <f>IF($EY552="row",INDEX($ER$5:$ER$1003,$EX552),"")</f>
        <v/>
      </c>
      <c r="FD552">
        <f>IF($EY552="row",INDEX($DN$5:$DN$1003,$EX552),"")</f>
        <v/>
      </c>
      <c r="FE552">
        <f>IF($EY552="row",INDEX($DO$5:$DO$1003,$EX552),"")</f>
        <v/>
      </c>
      <c r="FF552">
        <f>IF($EY552="row",INDEX($DP$5:$DP$1003,$EX552),"")</f>
        <v/>
      </c>
      <c r="FG552">
        <f>IF($EY552="row",INDEX($DQ$5:$DQ$1003,$EX552),"")</f>
        <v/>
      </c>
      <c r="FH552">
        <f>IF($EY552="row",INDEX($DR$5:$DR$1003,$EX552),"")</f>
        <v/>
      </c>
      <c r="FI552">
        <f>IF($EY552="row",INDEX($DS$5:$DS$1003,$EX552),"")</f>
        <v/>
      </c>
      <c r="FJ552">
        <f>IF($EY552="row",INDEX($DT$5:$DT$1003,$EX552),"")</f>
        <v/>
      </c>
      <c r="FK552">
        <f>IF($EY552="row",INDEX($DU$5:$DU$1003,$EX552),"")</f>
        <v/>
      </c>
      <c r="FL552">
        <f>IF($EY552="row",INDEX($DV$5:$DV$1003,$EX552),"")</f>
        <v/>
      </c>
      <c r="FM552">
        <f>IF($EY552="row",INDEX($DW$5:$DW$1003,$EX552),"")</f>
        <v/>
      </c>
      <c r="FN552">
        <f>IF($EY552="row",INDEX($DY$5:$DY$1003,$EX552),"")</f>
        <v/>
      </c>
      <c r="FO552">
        <f>IF($EY552="row",INDEX($EA$5:$EA$1003,$EX552),"")</f>
        <v/>
      </c>
      <c r="FP552">
        <f>IF($EY552="row",INDEX($EC$5:$EC$1003,$EX552),"")</f>
        <v/>
      </c>
      <c r="FQ552">
        <f>IF($EY552="row",INDEX($ET$5:$ET$1003,$EX552),"")</f>
        <v/>
      </c>
      <c r="FR552">
        <f>IF($EY552="row",INDEX($EU$5:$EU$1003,$EX552),"")</f>
        <v/>
      </c>
      <c r="FS552">
        <f>IF(AND($EY552="row",$EY551="row"),IF(OR(INDEX($DT$5:$DT$1003,$EX551)="",INDEX($DT$5:$DT$1003,$EX552)=""),"",IF(NOT(EXACT(INDEX($DT$5:$DT$1003,$EX551),INDEX($DT$5:$DT$1003,$EX552))),"S4",IF(NOT(EXACT(INDEX($DS$5:$DS$1003,$EX551),INDEX($DS$5:$DS$1003,$EX552))),"S3",IF(NOT(EXACT(INDEX($DR$5:$DR$1003,$EX551),INDEX($DR$5:$DR$1003,$EX552))),"S1 Count Change","S1")))),"")</f>
        <v/>
      </c>
      <c r="FT552">
        <f>IF($EY552="row",INDEX($ES$5:$ES$1003,$EX552),"")</f>
        <v/>
      </c>
      <c r="FU552">
        <f>IF($EY552="row",INDEX($EO$5:$EO$1003,$EX552),0)</f>
        <v/>
      </c>
      <c r="FV552">
        <f>IF($FS552="S1 Count Change",1,0)</f>
        <v/>
      </c>
    </row>
    <row r="553">
      <c r="DA553" t="n">
        <v>549</v>
      </c>
      <c r="DB553">
        <f>IF($B$37=0,"",IFERROR(TRIM(SUBSTITUTE(SUBSTITUTE(SUBSTITUTE(SUBSTITUTE(INDEX(PASTE_ALL,549,$B$37)," "," "),CHAR(9)," "),CHAR(10)," "),CHAR(13)," ")),""))</f>
        <v/>
      </c>
      <c r="DC553">
        <f>IF(AND(549&gt;HEADER_ROW,UPPER(DB553)="LEGEND"),1,0)</f>
        <v/>
      </c>
      <c r="DE553" t="n">
        <v>549</v>
      </c>
      <c r="DF553">
        <f>HEADER_ROW+$DE553</f>
        <v/>
      </c>
      <c r="DG553">
        <f>IF(AND($DF553&lt;=1000,$DF553&lt;$B$8),1,0)</f>
        <v/>
      </c>
      <c r="DH553">
        <f>IF($DG553=1,IFERROR(INDEX($DB$5:$DB$1004,$DF553),""),"")</f>
        <v/>
      </c>
      <c r="DI553">
        <f>IF(AND($DG553=1,$DH553&lt;&gt;""),IFERROR(SUBSTITUTE(SUBSTITUTE(TRIM(SUBSTITUTE(SUBSTITUTE(SUBSTITUTE(SUBSTITUTE(IFERROR(INDEX(PASTE_ALL,$DF553,1)&amp;"","")&amp;"␟"&amp;IFERROR(INDEX(PASTE_ALL,$DF553,2)&amp;"","")&amp;"␟"&amp;IFERROR(INDEX(PASTE_ALL,$DF553,3)&amp;"","")&amp;"␟"&amp;IFERROR(INDEX(PASTE_ALL,$DF553,4)&amp;"","")&amp;"␟"&amp;IFERROR(INDEX(PASTE_ALL,$DF553,5)&amp;"","")&amp;"␟"&amp;IFERROR(INDEX(PASTE_ALL,$DF553,6)&amp;"","")&amp;"␟"&amp;IFERROR(INDEX(PASTE_ALL,$DF553,7)&amp;"","")&amp;"␟"&amp;IFERROR(INDEX(PASTE_ALL,$DF553,8)&amp;"","")&amp;"␟"&amp;IFERROR(INDEX(PASTE_ALL,$DF553,9)&amp;"","")&amp;"␟"&amp;IFERROR(INDEX(PASTE_ALL,$DF553,10)&amp;"","")&amp;"␟"&amp;IFERROR(INDEX(PASTE_ALL,$DF553,11)&amp;"","")&amp;"␟"&amp;IFERROR(INDEX(PASTE_ALL,$DF553,12)&amp;"","")&amp;"␟"&amp;IFERROR(INDEX(PASTE_ALL,$DF553,13)&amp;"","")&amp;"␟"&amp;IFERROR(INDEX(PASTE_ALL,$DF553,14)&amp;"","")&amp;"␟"&amp;IFERROR(INDEX(PASTE_ALL,$DF553,15)&amp;"","")&amp;"␟"&amp;IFERROR(INDEX(PASTE_ALL,$DF553,16)&amp;"","")&amp;"␟"&amp;IFERROR(INDEX(PASTE_ALL,$DF553,17)&amp;"","")&amp;"␟"&amp;IFERROR(INDEX(PASTE_ALL,$DF553,18)&amp;"","")&amp;"␟"&amp;IFERROR(INDEX(PASTE_ALL,$DF553,19)&amp;"","")&amp;"␟"&amp;IFERROR(INDEX(PASTE_ALL,$DF553,20)&amp;"","")&amp;"␟"&amp;IFERROR(INDEX(PASTE_ALL,$DF553,21)&amp;"","")&amp;"␟"&amp;IFERROR(INDEX(PASTE_ALL,$DF553,22)&amp;"","")&amp;"␟"&amp;IFERROR(INDEX(PASTE_ALL,$DF553,23)&amp;"","")&amp;"␟"&amp;IFERROR(INDEX(PASTE_ALL,$DF553,24)&amp;"","")&amp;"␟"&amp;IFERROR(INDEX(PASTE_ALL,$DF553,25)&amp;"","")&amp;"␟"&amp;IFERROR(INDEX(PASTE_ALL,$DF553,26)&amp;"","")&amp;"␟"&amp;IFERROR(INDEX(PASTE_ALL,$DF553,27)&amp;"","")&amp;"␟"&amp;IFERROR(INDEX(PASTE_ALL,$DF553,28)&amp;"","")&amp;"␟"&amp;IFERROR(INDEX(PASTE_ALL,$DF553,29)&amp;"","")&amp;"␟"&amp;IFERROR(INDEX(PASTE_ALL,$DF553,30)&amp;"","")&amp;"␟"&amp;IFERROR(INDEX(PASTE_ALL,$DF553,31)&amp;"","")&amp;"␟"&amp;IFERROR(INDEX(PASTE_ALL,$DF553,32)&amp;"","")&amp;"␟"&amp;IFERROR(INDEX(PASTE_ALL,$DF553,33)&amp;"","")&amp;"␟"&amp;IFERROR(INDEX(PASTE_ALL,$DF553,34)&amp;"","")&amp;"␟"&amp;IFERROR(INDEX(PASTE_ALL,$DF553,35)&amp;"","")&amp;"␟"&amp;IFERROR(INDEX(PASTE_ALL,$DF553,36)&amp;"","")&amp;"␟"&amp;IFERROR(INDEX(PASTE_ALL,$DF553,37)&amp;"","")&amp;"␟"&amp;IFERROR(INDEX(PASTE_ALL,$DF553,38)&amp;"","")&amp;"␟"&amp;IFERROR(INDEX(PASTE_ALL,$DF553,39)&amp;"","")&amp;"␟"&amp;IFERROR(INDEX(PASTE_ALL,$DF553,40)&amp;"","")&amp;"␟"&amp;IFERROR(INDEX(PASTE_ALL,$DF553,41)&amp;"","")&amp;"␟"&amp;IFERROR(INDEX(PASTE_ALL,$DF553,42)&amp;"","")&amp;"␟"&amp;IFERROR(INDEX(PASTE_ALL,$DF553,43)&amp;"","")&amp;"␟"&amp;IFERROR(INDEX(PASTE_ALL,$DF553,44)&amp;"","")&amp;"␟"&amp;IFERROR(INDEX(PASTE_ALL,$DF553,45)&amp;"","")&amp;"␟"&amp;IFERROR(INDEX(PASTE_ALL,$DF553,46)&amp;"","")&amp;"␟"&amp;IFERROR(INDEX(PASTE_ALL,$DF553,47)&amp;"","")&amp;"␟"&amp;IFERROR(INDEX(PASTE_ALL,$DF553,48)&amp;"","")&amp;"␟"&amp;IFERROR(INDEX(PASTE_ALL,$DF553,49)&amp;"","")&amp;"␟"&amp;IFERROR(INDEX(PASTE_ALL,$DF553,50)&amp;"","")&amp;"␟"&amp;IFERROR(INDEX(PASTE_ALL,$DF553,51)&amp;"","")&amp;"␟"&amp;IFERROR(INDEX(PASTE_ALL,$DF553,52)&amp;"","")&amp;"␟"&amp;IFERROR(INDEX(PASTE_ALL,$DF553,53)&amp;"","")&amp;"␟"&amp;IFERROR(INDEX(PASTE_ALL,$DF553,54)&amp;"","")&amp;"␟"&amp;IFERROR(INDEX(PASTE_ALL,$DF553,55)&amp;"","")&amp;"␟"&amp;IFERROR(INDEX(PASTE_ALL,$DF553,56)&amp;"","")&amp;"␟"&amp;IFERROR(INDEX(PASTE_ALL,$DF553,57)&amp;"","")&amp;"␟"&amp;IFERROR(INDEX(PASTE_ALL,$DF553,58)&amp;"","")&amp;"␟"&amp;IFERROR(INDEX(PASTE_ALL,$DF553,59)&amp;"","")&amp;"␟"&amp;IFERROR(INDEX(PASTE_ALL,$DF553,60)&amp;"","")," "," "),CHAR(9)," "),CHAR(10)," "),CHAR(13)," "))," ␟","␟"),"␟ ","␟"),"#"&amp;$DE553),"")</f>
        <v/>
      </c>
      <c r="DJ553">
        <f>IF($DI553="",0,IF(SUMPRODUCT(--EXACT($DI$4:DI552,$DI553))&gt;0,1,0))</f>
        <v/>
      </c>
      <c r="DK553">
        <f>IF(AND($DI553&lt;&gt;"",$DJ553=0),1,0)</f>
        <v/>
      </c>
      <c r="DL553">
        <f>DL552+$DK553</f>
        <v/>
      </c>
      <c r="DM553">
        <f>IF(AND($DK553=1,$DL553&lt;=600),1,0)</f>
        <v/>
      </c>
      <c r="DN553">
        <f>IF($DM553=0,"",IF($L$6=0,"",IFERROR(IF(ISNUMBER(INDEX(PASTE_ALL,$DF553,$L$6)),INDEX(PASTE_ALL,$DF553,$L$6),TRIM(SUBSTITUTE(SUBSTITUTE(SUBSTITUTE(SUBSTITUTE(INDEX(PASTE_ALL,$DF553,$L$6)," "," "),CHAR(9)," "),CHAR(10)," "),CHAR(13)," "))),"")))</f>
        <v/>
      </c>
      <c r="DO553">
        <f>IF($DM553=0,"",IF($L$7=0,"",IFERROR(IF(ISNUMBER(INDEX(PASTE_ALL,$DF553,$L$7)),INDEX(PASTE_ALL,$DF553,$L$7),TRIM(SUBSTITUTE(SUBSTITUTE(SUBSTITUTE(SUBSTITUTE(INDEX(PASTE_ALL,$DF553,$L$7)," "," "),CHAR(9)," "),CHAR(10)," "),CHAR(13)," "))),"")))</f>
        <v/>
      </c>
      <c r="DP553">
        <f>IF($DM553=0,"",IF($L$8=0,"",IFERROR(IF(ISNUMBER(INDEX(PASTE_ALL,$DF553,$L$8)),INDEX(PASTE_ALL,$DF553,$L$8),TRIM(SUBSTITUTE(SUBSTITUTE(SUBSTITUTE(SUBSTITUTE(INDEX(PASTE_ALL,$DF553,$L$8)," "," "),CHAR(9)," "),CHAR(10)," "),CHAR(13)," "))),"")))</f>
        <v/>
      </c>
      <c r="DQ553">
        <f>IF($DM553=0,"",IF($L$9=0,"",IFERROR(IF(ISNUMBER(INDEX(PASTE_ALL,$DF553,$L$9)),INDEX(PASTE_ALL,$DF553,$L$9),TRIM(SUBSTITUTE(SUBSTITUTE(SUBSTITUTE(SUBSTITUTE(INDEX(PASTE_ALL,$DF553,$L$9)," "," "),CHAR(9)," "),CHAR(10)," "),CHAR(13)," "))),"")))</f>
        <v/>
      </c>
      <c r="DR553">
        <f>IF($DM553=0,"",IF($L$10=0,"",IFERROR(IF(ISNUMBER(INDEX(PASTE_ALL,$DF553,$L$10)),INDEX(PASTE_ALL,$DF553,$L$10),TRIM(SUBSTITUTE(SUBSTITUTE(SUBSTITUTE(SUBSTITUTE(INDEX(PASTE_ALL,$DF553,$L$10)," "," "),CHAR(9)," "),CHAR(10)," "),CHAR(13)," "))),"")))</f>
        <v/>
      </c>
      <c r="DS553">
        <f>IF($DM553=0,"",IF($L$11=0,"",IFERROR(IF(ISNUMBER(INDEX(PASTE_ALL,$DF553,$L$11)),INDEX(PASTE_ALL,$DF553,$L$11),TRIM(SUBSTITUTE(SUBSTITUTE(SUBSTITUTE(SUBSTITUTE(INDEX(PASTE_ALL,$DF553,$L$11)," "," "),CHAR(9)," "),CHAR(10)," "),CHAR(13)," "))),"")))</f>
        <v/>
      </c>
      <c r="DT553">
        <f>IF($DM553=0,"",IF($L$12=0,"",IFERROR(IF(ISNUMBER(INDEX(PASTE_ALL,$DF553,$L$12)),INDEX(PASTE_ALL,$DF553,$L$12),TRIM(SUBSTITUTE(SUBSTITUTE(SUBSTITUTE(SUBSTITUTE(INDEX(PASTE_ALL,$DF553,$L$12)," "," "),CHAR(9)," "),CHAR(10)," "),CHAR(13)," "))),"")))</f>
        <v/>
      </c>
      <c r="DU553">
        <f>IF($DM553=0,"",IF($L$13=0,"",IFERROR(IF(ISNUMBER(INDEX(PASTE_ALL,$DF553,$L$13)),INDEX(PASTE_ALL,$DF553,$L$13),TRIM(SUBSTITUTE(SUBSTITUTE(SUBSTITUTE(SUBSTITUTE(INDEX(PASTE_ALL,$DF553,$L$13)," "," "),CHAR(9)," "),CHAR(10)," "),CHAR(13)," "))),"")))</f>
        <v/>
      </c>
      <c r="DV553">
        <f>IF($DM553=0,"",IF($L$14=0,"",IFERROR(IF(ISNUMBER(INDEX(PASTE_ALL,$DF553,$L$14)),INDEX(PASTE_ALL,$DF553,$L$14),TRIM(SUBSTITUTE(SUBSTITUTE(SUBSTITUTE(SUBSTITUTE(INDEX(PASTE_ALL,$DF553,$L$14)," "," "),CHAR(9)," "),CHAR(10)," "),CHAR(13)," "))),"")))</f>
        <v/>
      </c>
      <c r="DW553">
        <f>IF($DM553=0,"",IF($L$15=0,"",IFERROR(IF(ISNUMBER(INDEX(PASTE_ALL,$DF553,$L$15)),INDEX(PASTE_ALL,$DF553,$L$15),IF(SUMPRODUCT(--ISNUMBER(FIND({"A","B","C","D","E","F","G","H","I","J","K","L","M","N","O","P","Q","R","S","T","U","V","W","X","Y","Z","0","1","2","3","4","5","6","7","8","9"},UPPER(TRIM(SUBSTITUTE(SUBSTITUTE(SUBSTITUTE(SUBSTITUTE(INDEX(PASTE_ALL,$DF553,$L$15)," "," "),CHAR(9)," "),CHAR(10)," "),CHAR(13)," "))))))&gt;0,TRIM(SUBSTITUTE(SUBSTITUTE(SUBSTITUTE(SUBSTITUTE(INDEX(PASTE_ALL,$DF553,$L$15)," "," "),CHAR(9)," "),CHAR(10)," "),CHAR(13)," ")),"")),"")))</f>
        <v/>
      </c>
      <c r="DX553">
        <f>IF($DM553=0,"",IF($L$16=0,"",IFERROR(IF(ISNUMBER(INDEX(PASTE_ALL,$DF553,$L$16)),INDEX(PASTE_ALL,$DF553,$L$16),SUBSTITUTE(SUBSTITUTE(TRIM(SUBSTITUTE(SUBSTITUTE(SUBSTITUTE(SUBSTITUTE(INDEX(PASTE_ALL,$DF553,$L$16)," "," "),CHAR(9)," "),CHAR(10)," "),CHAR(13)," ")),",",""),"%","")),"")))</f>
        <v/>
      </c>
      <c r="DY553">
        <f>IF($DM553=0,"",IFERROR(IF(ISNUMBER($DX553),$DX553,IF($DX553="","",IF(TRIM($DX553)="",0,IF(AND(AND(SUBSTITUTE(SUBSTITUTE(SUBSTITUTE(SUBSTITUTE(SUBSTITUTE(SUBSTITUTE(SUBSTITUTE(SUBSTITUTE(SUBSTITUTE(SUBSTITUTE(SUBSTITUTE(SUBSTITUTE(SUBSTITUTE(SUBSTITUTE(UPPER(TRIM($DX553)),"0",""),"1",""),"2",""),"3",""),"4",""),"5",""),"6",""),"7",""),"8",""),"9",""),".",""),"+",""),"-",""),"E","")="",LEN(SUBSTITUTE(SUBSTITUTE(MID(UPPER(TRIM($DX553)),1+OR(LEFT(UPPER(TRIM($DX553)),1)="+",LEFT(UPPER(TRIM($DX553)),1)="-"),999),"E+","E"),"E-","E"))=LEN(SUBSTITUTE(SUBSTITUTE(SUBSTITUTE(SUBSTITUTE(MID(UPPER(TRIM($DX553)),1+OR(LEFT(UPPER(TRIM($DX553)),1)="+",LEFT(UPPER(TRIM($DX553)),1)="-"),999),"E+","E"),"E-","E"),"+",""),"-","")),LEN(UPPER(TRIM($DX553)))-LEN(SUBSTITUTE(UPPER(TRIM($DX553)),"E",""))&lt;2,LEN(UPPER(TRIM($DX553)))-LEN(SUBSTITUTE(UPPER(TRIM($DX553)),".",""))&lt;2,IFERROR(FIND(".",UPPER(TRIM($DX553))),0)&lt;IFERROR(FIND("E",UPPER(TRIM($DX553))),999)),ISNUMBER(VALUE(TRIM($DX553)))),VALUE(TRIM($DX553)),"")))),""))</f>
        <v/>
      </c>
      <c r="DZ553">
        <f>IF($DM553=0,"",IF($L$17=0,"",IFERROR(IF(ISNUMBER(INDEX(PASTE_ALL,$DF553,$L$17)),INDEX(PASTE_ALL,$DF553,$L$17),SUBSTITUTE(SUBSTITUTE(TRIM(SUBSTITUTE(SUBSTITUTE(SUBSTITUTE(SUBSTITUTE(INDEX(PASTE_ALL,$DF553,$L$17)," "," "),CHAR(9)," "),CHAR(10)," "),CHAR(13)," ")),",",""),"%","")),"")))</f>
        <v/>
      </c>
      <c r="EA553">
        <f>IF($DM553=0,"",IFERROR(IF(ISNUMBER($DZ553),$DZ553,IF($DZ553="","",IF(TRIM($DZ553)="",0,IF(AND(AND(SUBSTITUTE(SUBSTITUTE(SUBSTITUTE(SUBSTITUTE(SUBSTITUTE(SUBSTITUTE(SUBSTITUTE(SUBSTITUTE(SUBSTITUTE(SUBSTITUTE(SUBSTITUTE(SUBSTITUTE(SUBSTITUTE(SUBSTITUTE(UPPER(TRIM($DZ553)),"0",""),"1",""),"2",""),"3",""),"4",""),"5",""),"6",""),"7",""),"8",""),"9",""),".",""),"+",""),"-",""),"E","")="",LEN(SUBSTITUTE(SUBSTITUTE(MID(UPPER(TRIM($DZ553)),1+OR(LEFT(UPPER(TRIM($DZ553)),1)="+",LEFT(UPPER(TRIM($DZ553)),1)="-"),999),"E+","E"),"E-","E"))=LEN(SUBSTITUTE(SUBSTITUTE(SUBSTITUTE(SUBSTITUTE(MID(UPPER(TRIM($DZ553)),1+OR(LEFT(UPPER(TRIM($DZ553)),1)="+",LEFT(UPPER(TRIM($DZ553)),1)="-"),999),"E+","E"),"E-","E"),"+",""),"-","")),LEN(UPPER(TRIM($DZ553)))-LEN(SUBSTITUTE(UPPER(TRIM($DZ553)),"E",""))&lt;2,LEN(UPPER(TRIM($DZ553)))-LEN(SUBSTITUTE(UPPER(TRIM($DZ553)),".",""))&lt;2,IFERROR(FIND(".",UPPER(TRIM($DZ553))),0)&lt;IFERROR(FIND("E",UPPER(TRIM($DZ553))),999)),ISNUMBER(VALUE(TRIM($DZ553)))),VALUE(TRIM($DZ553)),"")))),""))</f>
        <v/>
      </c>
      <c r="EB553">
        <f>IF($DM553=0,"",IF($L$18=0,"",IFERROR(IF(UPPER(TRIM(SUBSTITUTE(SUBSTITUTE(SUBSTITUTE(SUBSTITUTE(INDEX(PASTE_ALL,$DF553,$L$18)," "," "),CHAR(9)," "),CHAR(10)," "),CHAR(13)," ")))="READY","Ready",IF(UPPER(TRIM(SUBSTITUTE(SUBSTITUTE(SUBSTITUTE(SUBSTITUTE(INDEX(PASTE_ALL,$DF553,$L$18)," "," "),CHAR(9)," "),CHAR(10)," "),CHAR(13)," ")))="PM","PM",IF(OR(UPPER(TRIM(SUBSTITUTE(SUBSTITUTE(SUBSTITUTE(SUBSTITUTE(INDEX(PASTE_ALL,$DF553,$L$18)," "," "),CHAR(9)," "),CHAR(10)," "),CHAR(13)," ")))="OT",UPPER(TRIM(SUBSTITUTE(SUBSTITUTE(SUBSTITUTE(SUBSTITUTE(INDEX(PASTE_ALL,$DF553,$L$18)," "," "),CHAR(9)," "),CHAR(10)," "),CHAR(13)," ")))="OVERTIME",UPPER(TRIM(SUBSTITUTE(SUBSTITUTE(SUBSTITUTE(SUBSTITUTE(INDEX(PASTE_ALL,$DF553,$L$18)," "," "),CHAR(9)," "),CHAR(10)," "),CHAR(13)," ")))="TRIAL"),"OT",TRIM(SUBSTITUTE(SUBSTITUTE(SUBSTITUTE(SUBSTITUTE(INDEX(PASTE_ALL,$DF553,$L$18)," "," "),CHAR(9)," "),CHAR(10)," "),CHAR(13)," "))))),"")))</f>
        <v/>
      </c>
      <c r="EC553">
        <f>IF($DM553=0,"",IF($L$19=0,"",IFERROR(IF(ISNUMBER(INDEX(PASTE_ALL,$DF553,$L$19)),INDEX(PASTE_ALL,$DF553,$L$19),TRIM(SUBSTITUTE(SUBSTITUTE(SUBSTITUTE(SUBSTITUTE(INDEX(PASTE_ALL,$DF553,$L$19)," "," "),CHAR(9)," "),CHAR(10)," "),CHAR(13)," "))),"")))</f>
        <v/>
      </c>
      <c r="ED553">
        <f>IF($DM553=0,"",MATCH(1,INDEX(EXACT($DH$5:DH553,$DH553)*$DM$5:DM553,0),0))</f>
        <v/>
      </c>
      <c r="EE553">
        <f>IF($DM553=0,0,IF($ED553=$DE553,1,0))</f>
        <v/>
      </c>
      <c r="EF553">
        <f>EF552+$EE553</f>
        <v/>
      </c>
      <c r="EG553">
        <f>IF($DM553=0,"",INDEX($EF$5:$EF$1003,$ED553))</f>
        <v/>
      </c>
      <c r="EH553">
        <f>IF($DM553=0,"",IF($DO553&lt;&gt;"","",IFERROR(LOOKUP(2,1/(($EG$4:EG552=$EG553)*($DO$4:DO552&lt;&gt;"")),$DO$4:DO552),"")))</f>
        <v/>
      </c>
      <c r="EI553">
        <f>IF($DM553=0,"",IF($DO553&lt;&gt;"",$DO553,$EH553))</f>
        <v/>
      </c>
      <c r="EJ553">
        <f>IF($DM553=0,"",IF($EI553="",0,IF(OR(ISNUMBER($EI553),AND(AND(SUBSTITUTE(SUBSTITUTE(SUBSTITUTE(SUBSTITUTE(SUBSTITUTE(SUBSTITUTE(SUBSTITUTE(SUBSTITUTE(SUBSTITUTE(SUBSTITUTE(SUBSTITUTE(SUBSTITUTE(SUBSTITUTE(SUBSTITUTE(UPPER($EI553),"0",""),"1",""),"2",""),"3",""),"4",""),"5",""),"6",""),"7",""),"8",""),"9",""),".",""),"+",""),"-",""),"E","")="",LEN(SUBSTITUTE(SUBSTITUTE(MID(UPPER($EI553),1+OR(LEFT(UPPER($EI553),1)="+",LEFT(UPPER($EI553),1)="-"),999),"E+","E"),"E-","E"))=LEN(SUBSTITUTE(SUBSTITUTE(SUBSTITUTE(SUBSTITUTE(MID(UPPER($EI553),1+OR(LEFT(UPPER($EI553),1)="+",LEFT(UPPER($EI553),1)="-"),999),"E+","E"),"E-","E"),"+",""),"-","")),LEN(UPPER($EI553))-LEN(SUBSTITUTE(UPPER($EI553),"E",""))&lt;2,LEN(UPPER($EI553))-LEN(SUBSTITUTE(UPPER($EI553),".",""))&lt;2,IFERROR(FIND(".",UPPER($EI553)),0)&lt;IFERROR(FIND("E",UPPER($EI553)),999)),ISNUMBER(VALUE($EI553)))),1,2)))</f>
        <v/>
      </c>
      <c r="EK553">
        <f>IF($DM553=0,"",IF($EJ553=1,IF(ISNUMBER($EI553),$EI553,VALUE($EI553)),IF($EJ553=2,$DE553,0)))</f>
        <v/>
      </c>
      <c r="EL553">
        <f>IF($DM553=0,"",COUNTIF($EG$5:$EG$1003,"&lt;"&amp;$EG553)+SUMPRODUCT(($EG$5:$EG$1003=$EG553)*(($EJ$5:$EJ$1003&lt;$EJ553)+($EJ$5:$EJ$1003=$EJ553)*(($EK$5:$EK$1003&lt;$EK553)+($EK$5:$EK$1003=$EK553)*($DE$5:$DE$1003&lt;$DE553))))+1)</f>
        <v/>
      </c>
      <c r="EM553">
        <f>IF($DM553=0,"",$EL553+$EG553-1)</f>
        <v/>
      </c>
      <c r="EN553">
        <f>IF($DM553=0,0,IFERROR(MATCH(1,INDEX(--(TRIM(SUBSTITUTE(SUBSTITUTE(SUBSTITUTE(SUBSTITUTE(LINES_NAME&amp;""," "," "),CHAR(9)," "),CHAR(10)," "),CHAR(13)," "))=$DH553),0),0),0))</f>
        <v/>
      </c>
      <c r="EO553">
        <f>IF($EN553=0,0,IF(OR(UPPER(TRIM(INDEX(LINES_SCHEDULED,$EN553)&amp;""))="YES",UPPER(TRIM(INDEX(LINES_SCHEDULED,$EN553)&amp;""))="Y",UPPER(TRIM(INDEX(LINES_SCHEDULED,$EN553)&amp;""))="X"),1,0))</f>
        <v/>
      </c>
      <c r="EP553">
        <f>IF($DM553=0,"",IF(COUNTIFS($EG$5:$EG$1003,$EG553,$EB$5:$EB$1003,"Ready")&gt;0,"READY",IF(COUNTIFS($EG$5:$EG$1003,$EG553,$EB$5:$EB$1003,"PM")&gt;0,"PM",IF(COUNTIFS($EG$5:$EG$1003,$EG553,$EB$5:$EB$1003,"OT")&gt;0,"OT",""))))</f>
        <v/>
      </c>
      <c r="EQ553">
        <f>IF($EN553=0,"",UPPER(TRIM(INDEX(LINES_STATUS,$EN553)&amp;"")))</f>
        <v/>
      </c>
      <c r="ER553">
        <f>IF($DM553=0,"",IF(OR($EQ553="READY",$EQ553="PM",$EQ553="OT"),$EQ553,$EP553))</f>
        <v/>
      </c>
      <c r="ES553">
        <f>IF($DM553=0,"",IF(AND($DV553&lt;&gt;"",UPPER($DV553)&lt;&gt;"N"),"allergen",IF(ISNUMBER(SEARCH("oil",$DQ553)),"oil",IF(OR(EXACT($DS553,"A662"),EXACT($DS553,"A624")),"bulk",""))))</f>
        <v/>
      </c>
      <c r="ET553">
        <f>IF($DM553=0,"",IF(OR($EA553="",$EA553=0),"",$EA553/100))</f>
        <v/>
      </c>
      <c r="EU553">
        <f>IF(OR($ET553="",$DY553=""),"",INT($DY553*(1-$ET553)+0.5))</f>
        <v/>
      </c>
      <c r="EW553" t="n">
        <v>549</v>
      </c>
      <c r="EX553">
        <f>IFERROR(MATCH($EW553,$EM$5:$EM$1003,0),0)</f>
        <v/>
      </c>
      <c r="EY553">
        <f>IF($EW553&gt;$B$12,"",IF($EX553&gt;0,"row","spacer"))</f>
        <v/>
      </c>
      <c r="EZ553">
        <f>IF(AND($EY553="row",$EY552&lt;&gt;"row"),1,0)</f>
        <v/>
      </c>
      <c r="FA553">
        <f>IF(AND($EY553="row",$EY554&lt;&gt;"row"),1,0)</f>
        <v/>
      </c>
      <c r="FB553">
        <f>IF($EZ553=1,IFERROR(IF(ISNUMBER(INDEX(PASTE_ALL,INDEX($DF$5:$DF$1003,$EX553),$B$37)),INDEX(PASTE_ALL,INDEX($DF$5:$DF$1003,$EX553),$B$37),INDEX($DH$5:$DH$1003,$EX553)),INDEX($DH$5:$DH$1003,$EX553)),"")</f>
        <v/>
      </c>
      <c r="FC553">
        <f>IF($EY553="row",INDEX($ER$5:$ER$1003,$EX553),"")</f>
        <v/>
      </c>
      <c r="FD553">
        <f>IF($EY553="row",INDEX($DN$5:$DN$1003,$EX553),"")</f>
        <v/>
      </c>
      <c r="FE553">
        <f>IF($EY553="row",INDEX($DO$5:$DO$1003,$EX553),"")</f>
        <v/>
      </c>
      <c r="FF553">
        <f>IF($EY553="row",INDEX($DP$5:$DP$1003,$EX553),"")</f>
        <v/>
      </c>
      <c r="FG553">
        <f>IF($EY553="row",INDEX($DQ$5:$DQ$1003,$EX553),"")</f>
        <v/>
      </c>
      <c r="FH553">
        <f>IF($EY553="row",INDEX($DR$5:$DR$1003,$EX553),"")</f>
        <v/>
      </c>
      <c r="FI553">
        <f>IF($EY553="row",INDEX($DS$5:$DS$1003,$EX553),"")</f>
        <v/>
      </c>
      <c r="FJ553">
        <f>IF($EY553="row",INDEX($DT$5:$DT$1003,$EX553),"")</f>
        <v/>
      </c>
      <c r="FK553">
        <f>IF($EY553="row",INDEX($DU$5:$DU$1003,$EX553),"")</f>
        <v/>
      </c>
      <c r="FL553">
        <f>IF($EY553="row",INDEX($DV$5:$DV$1003,$EX553),"")</f>
        <v/>
      </c>
      <c r="FM553">
        <f>IF($EY553="row",INDEX($DW$5:$DW$1003,$EX553),"")</f>
        <v/>
      </c>
      <c r="FN553">
        <f>IF($EY553="row",INDEX($DY$5:$DY$1003,$EX553),"")</f>
        <v/>
      </c>
      <c r="FO553">
        <f>IF($EY553="row",INDEX($EA$5:$EA$1003,$EX553),"")</f>
        <v/>
      </c>
      <c r="FP553">
        <f>IF($EY553="row",INDEX($EC$5:$EC$1003,$EX553),"")</f>
        <v/>
      </c>
      <c r="FQ553">
        <f>IF($EY553="row",INDEX($ET$5:$ET$1003,$EX553),"")</f>
        <v/>
      </c>
      <c r="FR553">
        <f>IF($EY553="row",INDEX($EU$5:$EU$1003,$EX553),"")</f>
        <v/>
      </c>
      <c r="FS553">
        <f>IF(AND($EY553="row",$EY552="row"),IF(OR(INDEX($DT$5:$DT$1003,$EX552)="",INDEX($DT$5:$DT$1003,$EX553)=""),"",IF(NOT(EXACT(INDEX($DT$5:$DT$1003,$EX552),INDEX($DT$5:$DT$1003,$EX553))),"S4",IF(NOT(EXACT(INDEX($DS$5:$DS$1003,$EX552),INDEX($DS$5:$DS$1003,$EX553))),"S3",IF(NOT(EXACT(INDEX($DR$5:$DR$1003,$EX552),INDEX($DR$5:$DR$1003,$EX553))),"S1 Count Change","S1")))),"")</f>
        <v/>
      </c>
      <c r="FT553">
        <f>IF($EY553="row",INDEX($ES$5:$ES$1003,$EX553),"")</f>
        <v/>
      </c>
      <c r="FU553">
        <f>IF($EY553="row",INDEX($EO$5:$EO$1003,$EX553),0)</f>
        <v/>
      </c>
      <c r="FV553">
        <f>IF($FS553="S1 Count Change",1,0)</f>
        <v/>
      </c>
    </row>
    <row r="554">
      <c r="DA554" t="n">
        <v>550</v>
      </c>
      <c r="DB554">
        <f>IF($B$37=0,"",IFERROR(TRIM(SUBSTITUTE(SUBSTITUTE(SUBSTITUTE(SUBSTITUTE(INDEX(PASTE_ALL,550,$B$37)," "," "),CHAR(9)," "),CHAR(10)," "),CHAR(13)," ")),""))</f>
        <v/>
      </c>
      <c r="DC554">
        <f>IF(AND(550&gt;HEADER_ROW,UPPER(DB554)="LEGEND"),1,0)</f>
        <v/>
      </c>
      <c r="DE554" t="n">
        <v>550</v>
      </c>
      <c r="DF554">
        <f>HEADER_ROW+$DE554</f>
        <v/>
      </c>
      <c r="DG554">
        <f>IF(AND($DF554&lt;=1000,$DF554&lt;$B$8),1,0)</f>
        <v/>
      </c>
      <c r="DH554">
        <f>IF($DG554=1,IFERROR(INDEX($DB$5:$DB$1004,$DF554),""),"")</f>
        <v/>
      </c>
      <c r="DI554">
        <f>IF(AND($DG554=1,$DH554&lt;&gt;""),IFERROR(SUBSTITUTE(SUBSTITUTE(TRIM(SUBSTITUTE(SUBSTITUTE(SUBSTITUTE(SUBSTITUTE(IFERROR(INDEX(PASTE_ALL,$DF554,1)&amp;"","")&amp;"␟"&amp;IFERROR(INDEX(PASTE_ALL,$DF554,2)&amp;"","")&amp;"␟"&amp;IFERROR(INDEX(PASTE_ALL,$DF554,3)&amp;"","")&amp;"␟"&amp;IFERROR(INDEX(PASTE_ALL,$DF554,4)&amp;"","")&amp;"␟"&amp;IFERROR(INDEX(PASTE_ALL,$DF554,5)&amp;"","")&amp;"␟"&amp;IFERROR(INDEX(PASTE_ALL,$DF554,6)&amp;"","")&amp;"␟"&amp;IFERROR(INDEX(PASTE_ALL,$DF554,7)&amp;"","")&amp;"␟"&amp;IFERROR(INDEX(PASTE_ALL,$DF554,8)&amp;"","")&amp;"␟"&amp;IFERROR(INDEX(PASTE_ALL,$DF554,9)&amp;"","")&amp;"␟"&amp;IFERROR(INDEX(PASTE_ALL,$DF554,10)&amp;"","")&amp;"␟"&amp;IFERROR(INDEX(PASTE_ALL,$DF554,11)&amp;"","")&amp;"␟"&amp;IFERROR(INDEX(PASTE_ALL,$DF554,12)&amp;"","")&amp;"␟"&amp;IFERROR(INDEX(PASTE_ALL,$DF554,13)&amp;"","")&amp;"␟"&amp;IFERROR(INDEX(PASTE_ALL,$DF554,14)&amp;"","")&amp;"␟"&amp;IFERROR(INDEX(PASTE_ALL,$DF554,15)&amp;"","")&amp;"␟"&amp;IFERROR(INDEX(PASTE_ALL,$DF554,16)&amp;"","")&amp;"␟"&amp;IFERROR(INDEX(PASTE_ALL,$DF554,17)&amp;"","")&amp;"␟"&amp;IFERROR(INDEX(PASTE_ALL,$DF554,18)&amp;"","")&amp;"␟"&amp;IFERROR(INDEX(PASTE_ALL,$DF554,19)&amp;"","")&amp;"␟"&amp;IFERROR(INDEX(PASTE_ALL,$DF554,20)&amp;"","")&amp;"␟"&amp;IFERROR(INDEX(PASTE_ALL,$DF554,21)&amp;"","")&amp;"␟"&amp;IFERROR(INDEX(PASTE_ALL,$DF554,22)&amp;"","")&amp;"␟"&amp;IFERROR(INDEX(PASTE_ALL,$DF554,23)&amp;"","")&amp;"␟"&amp;IFERROR(INDEX(PASTE_ALL,$DF554,24)&amp;"","")&amp;"␟"&amp;IFERROR(INDEX(PASTE_ALL,$DF554,25)&amp;"","")&amp;"␟"&amp;IFERROR(INDEX(PASTE_ALL,$DF554,26)&amp;"","")&amp;"␟"&amp;IFERROR(INDEX(PASTE_ALL,$DF554,27)&amp;"","")&amp;"␟"&amp;IFERROR(INDEX(PASTE_ALL,$DF554,28)&amp;"","")&amp;"␟"&amp;IFERROR(INDEX(PASTE_ALL,$DF554,29)&amp;"","")&amp;"␟"&amp;IFERROR(INDEX(PASTE_ALL,$DF554,30)&amp;"","")&amp;"␟"&amp;IFERROR(INDEX(PASTE_ALL,$DF554,31)&amp;"","")&amp;"␟"&amp;IFERROR(INDEX(PASTE_ALL,$DF554,32)&amp;"","")&amp;"␟"&amp;IFERROR(INDEX(PASTE_ALL,$DF554,33)&amp;"","")&amp;"␟"&amp;IFERROR(INDEX(PASTE_ALL,$DF554,34)&amp;"","")&amp;"␟"&amp;IFERROR(INDEX(PASTE_ALL,$DF554,35)&amp;"","")&amp;"␟"&amp;IFERROR(INDEX(PASTE_ALL,$DF554,36)&amp;"","")&amp;"␟"&amp;IFERROR(INDEX(PASTE_ALL,$DF554,37)&amp;"","")&amp;"␟"&amp;IFERROR(INDEX(PASTE_ALL,$DF554,38)&amp;"","")&amp;"␟"&amp;IFERROR(INDEX(PASTE_ALL,$DF554,39)&amp;"","")&amp;"␟"&amp;IFERROR(INDEX(PASTE_ALL,$DF554,40)&amp;"","")&amp;"␟"&amp;IFERROR(INDEX(PASTE_ALL,$DF554,41)&amp;"","")&amp;"␟"&amp;IFERROR(INDEX(PASTE_ALL,$DF554,42)&amp;"","")&amp;"␟"&amp;IFERROR(INDEX(PASTE_ALL,$DF554,43)&amp;"","")&amp;"␟"&amp;IFERROR(INDEX(PASTE_ALL,$DF554,44)&amp;"","")&amp;"␟"&amp;IFERROR(INDEX(PASTE_ALL,$DF554,45)&amp;"","")&amp;"␟"&amp;IFERROR(INDEX(PASTE_ALL,$DF554,46)&amp;"","")&amp;"␟"&amp;IFERROR(INDEX(PASTE_ALL,$DF554,47)&amp;"","")&amp;"␟"&amp;IFERROR(INDEX(PASTE_ALL,$DF554,48)&amp;"","")&amp;"␟"&amp;IFERROR(INDEX(PASTE_ALL,$DF554,49)&amp;"","")&amp;"␟"&amp;IFERROR(INDEX(PASTE_ALL,$DF554,50)&amp;"","")&amp;"␟"&amp;IFERROR(INDEX(PASTE_ALL,$DF554,51)&amp;"","")&amp;"␟"&amp;IFERROR(INDEX(PASTE_ALL,$DF554,52)&amp;"","")&amp;"␟"&amp;IFERROR(INDEX(PASTE_ALL,$DF554,53)&amp;"","")&amp;"␟"&amp;IFERROR(INDEX(PASTE_ALL,$DF554,54)&amp;"","")&amp;"␟"&amp;IFERROR(INDEX(PASTE_ALL,$DF554,55)&amp;"","")&amp;"␟"&amp;IFERROR(INDEX(PASTE_ALL,$DF554,56)&amp;"","")&amp;"␟"&amp;IFERROR(INDEX(PASTE_ALL,$DF554,57)&amp;"","")&amp;"␟"&amp;IFERROR(INDEX(PASTE_ALL,$DF554,58)&amp;"","")&amp;"␟"&amp;IFERROR(INDEX(PASTE_ALL,$DF554,59)&amp;"","")&amp;"␟"&amp;IFERROR(INDEX(PASTE_ALL,$DF554,60)&amp;"","")," "," "),CHAR(9)," "),CHAR(10)," "),CHAR(13)," "))," ␟","␟"),"␟ ","␟"),"#"&amp;$DE554),"")</f>
        <v/>
      </c>
      <c r="DJ554">
        <f>IF($DI554="",0,IF(SUMPRODUCT(--EXACT($DI$4:DI553,$DI554))&gt;0,1,0))</f>
        <v/>
      </c>
      <c r="DK554">
        <f>IF(AND($DI554&lt;&gt;"",$DJ554=0),1,0)</f>
        <v/>
      </c>
      <c r="DL554">
        <f>DL553+$DK554</f>
        <v/>
      </c>
      <c r="DM554">
        <f>IF(AND($DK554=1,$DL554&lt;=600),1,0)</f>
        <v/>
      </c>
      <c r="DN554">
        <f>IF($DM554=0,"",IF($L$6=0,"",IFERROR(IF(ISNUMBER(INDEX(PASTE_ALL,$DF554,$L$6)),INDEX(PASTE_ALL,$DF554,$L$6),TRIM(SUBSTITUTE(SUBSTITUTE(SUBSTITUTE(SUBSTITUTE(INDEX(PASTE_ALL,$DF554,$L$6)," "," "),CHAR(9)," "),CHAR(10)," "),CHAR(13)," "))),"")))</f>
        <v/>
      </c>
      <c r="DO554">
        <f>IF($DM554=0,"",IF($L$7=0,"",IFERROR(IF(ISNUMBER(INDEX(PASTE_ALL,$DF554,$L$7)),INDEX(PASTE_ALL,$DF554,$L$7),TRIM(SUBSTITUTE(SUBSTITUTE(SUBSTITUTE(SUBSTITUTE(INDEX(PASTE_ALL,$DF554,$L$7)," "," "),CHAR(9)," "),CHAR(10)," "),CHAR(13)," "))),"")))</f>
        <v/>
      </c>
      <c r="DP554">
        <f>IF($DM554=0,"",IF($L$8=0,"",IFERROR(IF(ISNUMBER(INDEX(PASTE_ALL,$DF554,$L$8)),INDEX(PASTE_ALL,$DF554,$L$8),TRIM(SUBSTITUTE(SUBSTITUTE(SUBSTITUTE(SUBSTITUTE(INDEX(PASTE_ALL,$DF554,$L$8)," "," "),CHAR(9)," "),CHAR(10)," "),CHAR(13)," "))),"")))</f>
        <v/>
      </c>
      <c r="DQ554">
        <f>IF($DM554=0,"",IF($L$9=0,"",IFERROR(IF(ISNUMBER(INDEX(PASTE_ALL,$DF554,$L$9)),INDEX(PASTE_ALL,$DF554,$L$9),TRIM(SUBSTITUTE(SUBSTITUTE(SUBSTITUTE(SUBSTITUTE(INDEX(PASTE_ALL,$DF554,$L$9)," "," "),CHAR(9)," "),CHAR(10)," "),CHAR(13)," "))),"")))</f>
        <v/>
      </c>
      <c r="DR554">
        <f>IF($DM554=0,"",IF($L$10=0,"",IFERROR(IF(ISNUMBER(INDEX(PASTE_ALL,$DF554,$L$10)),INDEX(PASTE_ALL,$DF554,$L$10),TRIM(SUBSTITUTE(SUBSTITUTE(SUBSTITUTE(SUBSTITUTE(INDEX(PASTE_ALL,$DF554,$L$10)," "," "),CHAR(9)," "),CHAR(10)," "),CHAR(13)," "))),"")))</f>
        <v/>
      </c>
      <c r="DS554">
        <f>IF($DM554=0,"",IF($L$11=0,"",IFERROR(IF(ISNUMBER(INDEX(PASTE_ALL,$DF554,$L$11)),INDEX(PASTE_ALL,$DF554,$L$11),TRIM(SUBSTITUTE(SUBSTITUTE(SUBSTITUTE(SUBSTITUTE(INDEX(PASTE_ALL,$DF554,$L$11)," "," "),CHAR(9)," "),CHAR(10)," "),CHAR(13)," "))),"")))</f>
        <v/>
      </c>
      <c r="DT554">
        <f>IF($DM554=0,"",IF($L$12=0,"",IFERROR(IF(ISNUMBER(INDEX(PASTE_ALL,$DF554,$L$12)),INDEX(PASTE_ALL,$DF554,$L$12),TRIM(SUBSTITUTE(SUBSTITUTE(SUBSTITUTE(SUBSTITUTE(INDEX(PASTE_ALL,$DF554,$L$12)," "," "),CHAR(9)," "),CHAR(10)," "),CHAR(13)," "))),"")))</f>
        <v/>
      </c>
      <c r="DU554">
        <f>IF($DM554=0,"",IF($L$13=0,"",IFERROR(IF(ISNUMBER(INDEX(PASTE_ALL,$DF554,$L$13)),INDEX(PASTE_ALL,$DF554,$L$13),TRIM(SUBSTITUTE(SUBSTITUTE(SUBSTITUTE(SUBSTITUTE(INDEX(PASTE_ALL,$DF554,$L$13)," "," "),CHAR(9)," "),CHAR(10)," "),CHAR(13)," "))),"")))</f>
        <v/>
      </c>
      <c r="DV554">
        <f>IF($DM554=0,"",IF($L$14=0,"",IFERROR(IF(ISNUMBER(INDEX(PASTE_ALL,$DF554,$L$14)),INDEX(PASTE_ALL,$DF554,$L$14),TRIM(SUBSTITUTE(SUBSTITUTE(SUBSTITUTE(SUBSTITUTE(INDEX(PASTE_ALL,$DF554,$L$14)," "," "),CHAR(9)," "),CHAR(10)," "),CHAR(13)," "))),"")))</f>
        <v/>
      </c>
      <c r="DW554">
        <f>IF($DM554=0,"",IF($L$15=0,"",IFERROR(IF(ISNUMBER(INDEX(PASTE_ALL,$DF554,$L$15)),INDEX(PASTE_ALL,$DF554,$L$15),IF(SUMPRODUCT(--ISNUMBER(FIND({"A","B","C","D","E","F","G","H","I","J","K","L","M","N","O","P","Q","R","S","T","U","V","W","X","Y","Z","0","1","2","3","4","5","6","7","8","9"},UPPER(TRIM(SUBSTITUTE(SUBSTITUTE(SUBSTITUTE(SUBSTITUTE(INDEX(PASTE_ALL,$DF554,$L$15)," "," "),CHAR(9)," "),CHAR(10)," "),CHAR(13)," "))))))&gt;0,TRIM(SUBSTITUTE(SUBSTITUTE(SUBSTITUTE(SUBSTITUTE(INDEX(PASTE_ALL,$DF554,$L$15)," "," "),CHAR(9)," "),CHAR(10)," "),CHAR(13)," ")),"")),"")))</f>
        <v/>
      </c>
      <c r="DX554">
        <f>IF($DM554=0,"",IF($L$16=0,"",IFERROR(IF(ISNUMBER(INDEX(PASTE_ALL,$DF554,$L$16)),INDEX(PASTE_ALL,$DF554,$L$16),SUBSTITUTE(SUBSTITUTE(TRIM(SUBSTITUTE(SUBSTITUTE(SUBSTITUTE(SUBSTITUTE(INDEX(PASTE_ALL,$DF554,$L$16)," "," "),CHAR(9)," "),CHAR(10)," "),CHAR(13)," ")),",",""),"%","")),"")))</f>
        <v/>
      </c>
      <c r="DY554">
        <f>IF($DM554=0,"",IFERROR(IF(ISNUMBER($DX554),$DX554,IF($DX554="","",IF(TRIM($DX554)="",0,IF(AND(AND(SUBSTITUTE(SUBSTITUTE(SUBSTITUTE(SUBSTITUTE(SUBSTITUTE(SUBSTITUTE(SUBSTITUTE(SUBSTITUTE(SUBSTITUTE(SUBSTITUTE(SUBSTITUTE(SUBSTITUTE(SUBSTITUTE(SUBSTITUTE(UPPER(TRIM($DX554)),"0",""),"1",""),"2",""),"3",""),"4",""),"5",""),"6",""),"7",""),"8",""),"9",""),".",""),"+",""),"-",""),"E","")="",LEN(SUBSTITUTE(SUBSTITUTE(MID(UPPER(TRIM($DX554)),1+OR(LEFT(UPPER(TRIM($DX554)),1)="+",LEFT(UPPER(TRIM($DX554)),1)="-"),999),"E+","E"),"E-","E"))=LEN(SUBSTITUTE(SUBSTITUTE(SUBSTITUTE(SUBSTITUTE(MID(UPPER(TRIM($DX554)),1+OR(LEFT(UPPER(TRIM($DX554)),1)="+",LEFT(UPPER(TRIM($DX554)),1)="-"),999),"E+","E"),"E-","E"),"+",""),"-","")),LEN(UPPER(TRIM($DX554)))-LEN(SUBSTITUTE(UPPER(TRIM($DX554)),"E",""))&lt;2,LEN(UPPER(TRIM($DX554)))-LEN(SUBSTITUTE(UPPER(TRIM($DX554)),".",""))&lt;2,IFERROR(FIND(".",UPPER(TRIM($DX554))),0)&lt;IFERROR(FIND("E",UPPER(TRIM($DX554))),999)),ISNUMBER(VALUE(TRIM($DX554)))),VALUE(TRIM($DX554)),"")))),""))</f>
        <v/>
      </c>
      <c r="DZ554">
        <f>IF($DM554=0,"",IF($L$17=0,"",IFERROR(IF(ISNUMBER(INDEX(PASTE_ALL,$DF554,$L$17)),INDEX(PASTE_ALL,$DF554,$L$17),SUBSTITUTE(SUBSTITUTE(TRIM(SUBSTITUTE(SUBSTITUTE(SUBSTITUTE(SUBSTITUTE(INDEX(PASTE_ALL,$DF554,$L$17)," "," "),CHAR(9)," "),CHAR(10)," "),CHAR(13)," ")),",",""),"%","")),"")))</f>
        <v/>
      </c>
      <c r="EA554">
        <f>IF($DM554=0,"",IFERROR(IF(ISNUMBER($DZ554),$DZ554,IF($DZ554="","",IF(TRIM($DZ554)="",0,IF(AND(AND(SUBSTITUTE(SUBSTITUTE(SUBSTITUTE(SUBSTITUTE(SUBSTITUTE(SUBSTITUTE(SUBSTITUTE(SUBSTITUTE(SUBSTITUTE(SUBSTITUTE(SUBSTITUTE(SUBSTITUTE(SUBSTITUTE(SUBSTITUTE(UPPER(TRIM($DZ554)),"0",""),"1",""),"2",""),"3",""),"4",""),"5",""),"6",""),"7",""),"8",""),"9",""),".",""),"+",""),"-",""),"E","")="",LEN(SUBSTITUTE(SUBSTITUTE(MID(UPPER(TRIM($DZ554)),1+OR(LEFT(UPPER(TRIM($DZ554)),1)="+",LEFT(UPPER(TRIM($DZ554)),1)="-"),999),"E+","E"),"E-","E"))=LEN(SUBSTITUTE(SUBSTITUTE(SUBSTITUTE(SUBSTITUTE(MID(UPPER(TRIM($DZ554)),1+OR(LEFT(UPPER(TRIM($DZ554)),1)="+",LEFT(UPPER(TRIM($DZ554)),1)="-"),999),"E+","E"),"E-","E"),"+",""),"-","")),LEN(UPPER(TRIM($DZ554)))-LEN(SUBSTITUTE(UPPER(TRIM($DZ554)),"E",""))&lt;2,LEN(UPPER(TRIM($DZ554)))-LEN(SUBSTITUTE(UPPER(TRIM($DZ554)),".",""))&lt;2,IFERROR(FIND(".",UPPER(TRIM($DZ554))),0)&lt;IFERROR(FIND("E",UPPER(TRIM($DZ554))),999)),ISNUMBER(VALUE(TRIM($DZ554)))),VALUE(TRIM($DZ554)),"")))),""))</f>
        <v/>
      </c>
      <c r="EB554">
        <f>IF($DM554=0,"",IF($L$18=0,"",IFERROR(IF(UPPER(TRIM(SUBSTITUTE(SUBSTITUTE(SUBSTITUTE(SUBSTITUTE(INDEX(PASTE_ALL,$DF554,$L$18)," "," "),CHAR(9)," "),CHAR(10)," "),CHAR(13)," ")))="READY","Ready",IF(UPPER(TRIM(SUBSTITUTE(SUBSTITUTE(SUBSTITUTE(SUBSTITUTE(INDEX(PASTE_ALL,$DF554,$L$18)," "," "),CHAR(9)," "),CHAR(10)," "),CHAR(13)," ")))="PM","PM",IF(OR(UPPER(TRIM(SUBSTITUTE(SUBSTITUTE(SUBSTITUTE(SUBSTITUTE(INDEX(PASTE_ALL,$DF554,$L$18)," "," "),CHAR(9)," "),CHAR(10)," "),CHAR(13)," ")))="OT",UPPER(TRIM(SUBSTITUTE(SUBSTITUTE(SUBSTITUTE(SUBSTITUTE(INDEX(PASTE_ALL,$DF554,$L$18)," "," "),CHAR(9)," "),CHAR(10)," "),CHAR(13)," ")))="OVERTIME",UPPER(TRIM(SUBSTITUTE(SUBSTITUTE(SUBSTITUTE(SUBSTITUTE(INDEX(PASTE_ALL,$DF554,$L$18)," "," "),CHAR(9)," "),CHAR(10)," "),CHAR(13)," ")))="TRIAL"),"OT",TRIM(SUBSTITUTE(SUBSTITUTE(SUBSTITUTE(SUBSTITUTE(INDEX(PASTE_ALL,$DF554,$L$18)," "," "),CHAR(9)," "),CHAR(10)," "),CHAR(13)," "))))),"")))</f>
        <v/>
      </c>
      <c r="EC554">
        <f>IF($DM554=0,"",IF($L$19=0,"",IFERROR(IF(ISNUMBER(INDEX(PASTE_ALL,$DF554,$L$19)),INDEX(PASTE_ALL,$DF554,$L$19),TRIM(SUBSTITUTE(SUBSTITUTE(SUBSTITUTE(SUBSTITUTE(INDEX(PASTE_ALL,$DF554,$L$19)," "," "),CHAR(9)," "),CHAR(10)," "),CHAR(13)," "))),"")))</f>
        <v/>
      </c>
      <c r="ED554">
        <f>IF($DM554=0,"",MATCH(1,INDEX(EXACT($DH$5:DH554,$DH554)*$DM$5:DM554,0),0))</f>
        <v/>
      </c>
      <c r="EE554">
        <f>IF($DM554=0,0,IF($ED554=$DE554,1,0))</f>
        <v/>
      </c>
      <c r="EF554">
        <f>EF553+$EE554</f>
        <v/>
      </c>
      <c r="EG554">
        <f>IF($DM554=0,"",INDEX($EF$5:$EF$1003,$ED554))</f>
        <v/>
      </c>
      <c r="EH554">
        <f>IF($DM554=0,"",IF($DO554&lt;&gt;"","",IFERROR(LOOKUP(2,1/(($EG$4:EG553=$EG554)*($DO$4:DO553&lt;&gt;"")),$DO$4:DO553),"")))</f>
        <v/>
      </c>
      <c r="EI554">
        <f>IF($DM554=0,"",IF($DO554&lt;&gt;"",$DO554,$EH554))</f>
        <v/>
      </c>
      <c r="EJ554">
        <f>IF($DM554=0,"",IF($EI554="",0,IF(OR(ISNUMBER($EI554),AND(AND(SUBSTITUTE(SUBSTITUTE(SUBSTITUTE(SUBSTITUTE(SUBSTITUTE(SUBSTITUTE(SUBSTITUTE(SUBSTITUTE(SUBSTITUTE(SUBSTITUTE(SUBSTITUTE(SUBSTITUTE(SUBSTITUTE(SUBSTITUTE(UPPER($EI554),"0",""),"1",""),"2",""),"3",""),"4",""),"5",""),"6",""),"7",""),"8",""),"9",""),".",""),"+",""),"-",""),"E","")="",LEN(SUBSTITUTE(SUBSTITUTE(MID(UPPER($EI554),1+OR(LEFT(UPPER($EI554),1)="+",LEFT(UPPER($EI554),1)="-"),999),"E+","E"),"E-","E"))=LEN(SUBSTITUTE(SUBSTITUTE(SUBSTITUTE(SUBSTITUTE(MID(UPPER($EI554),1+OR(LEFT(UPPER($EI554),1)="+",LEFT(UPPER($EI554),1)="-"),999),"E+","E"),"E-","E"),"+",""),"-","")),LEN(UPPER($EI554))-LEN(SUBSTITUTE(UPPER($EI554),"E",""))&lt;2,LEN(UPPER($EI554))-LEN(SUBSTITUTE(UPPER($EI554),".",""))&lt;2,IFERROR(FIND(".",UPPER($EI554)),0)&lt;IFERROR(FIND("E",UPPER($EI554)),999)),ISNUMBER(VALUE($EI554)))),1,2)))</f>
        <v/>
      </c>
      <c r="EK554">
        <f>IF($DM554=0,"",IF($EJ554=1,IF(ISNUMBER($EI554),$EI554,VALUE($EI554)),IF($EJ554=2,$DE554,0)))</f>
        <v/>
      </c>
      <c r="EL554">
        <f>IF($DM554=0,"",COUNTIF($EG$5:$EG$1003,"&lt;"&amp;$EG554)+SUMPRODUCT(($EG$5:$EG$1003=$EG554)*(($EJ$5:$EJ$1003&lt;$EJ554)+($EJ$5:$EJ$1003=$EJ554)*(($EK$5:$EK$1003&lt;$EK554)+($EK$5:$EK$1003=$EK554)*($DE$5:$DE$1003&lt;$DE554))))+1)</f>
        <v/>
      </c>
      <c r="EM554">
        <f>IF($DM554=0,"",$EL554+$EG554-1)</f>
        <v/>
      </c>
      <c r="EN554">
        <f>IF($DM554=0,0,IFERROR(MATCH(1,INDEX(--(TRIM(SUBSTITUTE(SUBSTITUTE(SUBSTITUTE(SUBSTITUTE(LINES_NAME&amp;""," "," "),CHAR(9)," "),CHAR(10)," "),CHAR(13)," "))=$DH554),0),0),0))</f>
        <v/>
      </c>
      <c r="EO554">
        <f>IF($EN554=0,0,IF(OR(UPPER(TRIM(INDEX(LINES_SCHEDULED,$EN554)&amp;""))="YES",UPPER(TRIM(INDEX(LINES_SCHEDULED,$EN554)&amp;""))="Y",UPPER(TRIM(INDEX(LINES_SCHEDULED,$EN554)&amp;""))="X"),1,0))</f>
        <v/>
      </c>
      <c r="EP554">
        <f>IF($DM554=0,"",IF(COUNTIFS($EG$5:$EG$1003,$EG554,$EB$5:$EB$1003,"Ready")&gt;0,"READY",IF(COUNTIFS($EG$5:$EG$1003,$EG554,$EB$5:$EB$1003,"PM")&gt;0,"PM",IF(COUNTIFS($EG$5:$EG$1003,$EG554,$EB$5:$EB$1003,"OT")&gt;0,"OT",""))))</f>
        <v/>
      </c>
      <c r="EQ554">
        <f>IF($EN554=0,"",UPPER(TRIM(INDEX(LINES_STATUS,$EN554)&amp;"")))</f>
        <v/>
      </c>
      <c r="ER554">
        <f>IF($DM554=0,"",IF(OR($EQ554="READY",$EQ554="PM",$EQ554="OT"),$EQ554,$EP554))</f>
        <v/>
      </c>
      <c r="ES554">
        <f>IF($DM554=0,"",IF(AND($DV554&lt;&gt;"",UPPER($DV554)&lt;&gt;"N"),"allergen",IF(ISNUMBER(SEARCH("oil",$DQ554)),"oil",IF(OR(EXACT($DS554,"A662"),EXACT($DS554,"A624")),"bulk",""))))</f>
        <v/>
      </c>
      <c r="ET554">
        <f>IF($DM554=0,"",IF(OR($EA554="",$EA554=0),"",$EA554/100))</f>
        <v/>
      </c>
      <c r="EU554">
        <f>IF(OR($ET554="",$DY554=""),"",INT($DY554*(1-$ET554)+0.5))</f>
        <v/>
      </c>
      <c r="EW554" t="n">
        <v>550</v>
      </c>
      <c r="EX554">
        <f>IFERROR(MATCH($EW554,$EM$5:$EM$1003,0),0)</f>
        <v/>
      </c>
      <c r="EY554">
        <f>IF($EW554&gt;$B$12,"",IF($EX554&gt;0,"row","spacer"))</f>
        <v/>
      </c>
      <c r="EZ554">
        <f>IF(AND($EY554="row",$EY553&lt;&gt;"row"),1,0)</f>
        <v/>
      </c>
      <c r="FA554">
        <f>IF(AND($EY554="row",$EY555&lt;&gt;"row"),1,0)</f>
        <v/>
      </c>
      <c r="FB554">
        <f>IF($EZ554=1,IFERROR(IF(ISNUMBER(INDEX(PASTE_ALL,INDEX($DF$5:$DF$1003,$EX554),$B$37)),INDEX(PASTE_ALL,INDEX($DF$5:$DF$1003,$EX554),$B$37),INDEX($DH$5:$DH$1003,$EX554)),INDEX($DH$5:$DH$1003,$EX554)),"")</f>
        <v/>
      </c>
      <c r="FC554">
        <f>IF($EY554="row",INDEX($ER$5:$ER$1003,$EX554),"")</f>
        <v/>
      </c>
      <c r="FD554">
        <f>IF($EY554="row",INDEX($DN$5:$DN$1003,$EX554),"")</f>
        <v/>
      </c>
      <c r="FE554">
        <f>IF($EY554="row",INDEX($DO$5:$DO$1003,$EX554),"")</f>
        <v/>
      </c>
      <c r="FF554">
        <f>IF($EY554="row",INDEX($DP$5:$DP$1003,$EX554),"")</f>
        <v/>
      </c>
      <c r="FG554">
        <f>IF($EY554="row",INDEX($DQ$5:$DQ$1003,$EX554),"")</f>
        <v/>
      </c>
      <c r="FH554">
        <f>IF($EY554="row",INDEX($DR$5:$DR$1003,$EX554),"")</f>
        <v/>
      </c>
      <c r="FI554">
        <f>IF($EY554="row",INDEX($DS$5:$DS$1003,$EX554),"")</f>
        <v/>
      </c>
      <c r="FJ554">
        <f>IF($EY554="row",INDEX($DT$5:$DT$1003,$EX554),"")</f>
        <v/>
      </c>
      <c r="FK554">
        <f>IF($EY554="row",INDEX($DU$5:$DU$1003,$EX554),"")</f>
        <v/>
      </c>
      <c r="FL554">
        <f>IF($EY554="row",INDEX($DV$5:$DV$1003,$EX554),"")</f>
        <v/>
      </c>
      <c r="FM554">
        <f>IF($EY554="row",INDEX($DW$5:$DW$1003,$EX554),"")</f>
        <v/>
      </c>
      <c r="FN554">
        <f>IF($EY554="row",INDEX($DY$5:$DY$1003,$EX554),"")</f>
        <v/>
      </c>
      <c r="FO554">
        <f>IF($EY554="row",INDEX($EA$5:$EA$1003,$EX554),"")</f>
        <v/>
      </c>
      <c r="FP554">
        <f>IF($EY554="row",INDEX($EC$5:$EC$1003,$EX554),"")</f>
        <v/>
      </c>
      <c r="FQ554">
        <f>IF($EY554="row",INDEX($ET$5:$ET$1003,$EX554),"")</f>
        <v/>
      </c>
      <c r="FR554">
        <f>IF($EY554="row",INDEX($EU$5:$EU$1003,$EX554),"")</f>
        <v/>
      </c>
      <c r="FS554">
        <f>IF(AND($EY554="row",$EY553="row"),IF(OR(INDEX($DT$5:$DT$1003,$EX553)="",INDEX($DT$5:$DT$1003,$EX554)=""),"",IF(NOT(EXACT(INDEX($DT$5:$DT$1003,$EX553),INDEX($DT$5:$DT$1003,$EX554))),"S4",IF(NOT(EXACT(INDEX($DS$5:$DS$1003,$EX553),INDEX($DS$5:$DS$1003,$EX554))),"S3",IF(NOT(EXACT(INDEX($DR$5:$DR$1003,$EX553),INDEX($DR$5:$DR$1003,$EX554))),"S1 Count Change","S1")))),"")</f>
        <v/>
      </c>
      <c r="FT554">
        <f>IF($EY554="row",INDEX($ES$5:$ES$1003,$EX554),"")</f>
        <v/>
      </c>
      <c r="FU554">
        <f>IF($EY554="row",INDEX($EO$5:$EO$1003,$EX554),0)</f>
        <v/>
      </c>
      <c r="FV554">
        <f>IF($FS554="S1 Count Change",1,0)</f>
        <v/>
      </c>
    </row>
    <row r="555">
      <c r="DA555" t="n">
        <v>551</v>
      </c>
      <c r="DB555">
        <f>IF($B$37=0,"",IFERROR(TRIM(SUBSTITUTE(SUBSTITUTE(SUBSTITUTE(SUBSTITUTE(INDEX(PASTE_ALL,551,$B$37)," "," "),CHAR(9)," "),CHAR(10)," "),CHAR(13)," ")),""))</f>
        <v/>
      </c>
      <c r="DC555">
        <f>IF(AND(551&gt;HEADER_ROW,UPPER(DB555)="LEGEND"),1,0)</f>
        <v/>
      </c>
      <c r="DE555" t="n">
        <v>551</v>
      </c>
      <c r="DF555">
        <f>HEADER_ROW+$DE555</f>
        <v/>
      </c>
      <c r="DG555">
        <f>IF(AND($DF555&lt;=1000,$DF555&lt;$B$8),1,0)</f>
        <v/>
      </c>
      <c r="DH555">
        <f>IF($DG555=1,IFERROR(INDEX($DB$5:$DB$1004,$DF555),""),"")</f>
        <v/>
      </c>
      <c r="DI555">
        <f>IF(AND($DG555=1,$DH555&lt;&gt;""),IFERROR(SUBSTITUTE(SUBSTITUTE(TRIM(SUBSTITUTE(SUBSTITUTE(SUBSTITUTE(SUBSTITUTE(IFERROR(INDEX(PASTE_ALL,$DF555,1)&amp;"","")&amp;"␟"&amp;IFERROR(INDEX(PASTE_ALL,$DF555,2)&amp;"","")&amp;"␟"&amp;IFERROR(INDEX(PASTE_ALL,$DF555,3)&amp;"","")&amp;"␟"&amp;IFERROR(INDEX(PASTE_ALL,$DF555,4)&amp;"","")&amp;"␟"&amp;IFERROR(INDEX(PASTE_ALL,$DF555,5)&amp;"","")&amp;"␟"&amp;IFERROR(INDEX(PASTE_ALL,$DF555,6)&amp;"","")&amp;"␟"&amp;IFERROR(INDEX(PASTE_ALL,$DF555,7)&amp;"","")&amp;"␟"&amp;IFERROR(INDEX(PASTE_ALL,$DF555,8)&amp;"","")&amp;"␟"&amp;IFERROR(INDEX(PASTE_ALL,$DF555,9)&amp;"","")&amp;"␟"&amp;IFERROR(INDEX(PASTE_ALL,$DF555,10)&amp;"","")&amp;"␟"&amp;IFERROR(INDEX(PASTE_ALL,$DF555,11)&amp;"","")&amp;"␟"&amp;IFERROR(INDEX(PASTE_ALL,$DF555,12)&amp;"","")&amp;"␟"&amp;IFERROR(INDEX(PASTE_ALL,$DF555,13)&amp;"","")&amp;"␟"&amp;IFERROR(INDEX(PASTE_ALL,$DF555,14)&amp;"","")&amp;"␟"&amp;IFERROR(INDEX(PASTE_ALL,$DF555,15)&amp;"","")&amp;"␟"&amp;IFERROR(INDEX(PASTE_ALL,$DF555,16)&amp;"","")&amp;"␟"&amp;IFERROR(INDEX(PASTE_ALL,$DF555,17)&amp;"","")&amp;"␟"&amp;IFERROR(INDEX(PASTE_ALL,$DF555,18)&amp;"","")&amp;"␟"&amp;IFERROR(INDEX(PASTE_ALL,$DF555,19)&amp;"","")&amp;"␟"&amp;IFERROR(INDEX(PASTE_ALL,$DF555,20)&amp;"","")&amp;"␟"&amp;IFERROR(INDEX(PASTE_ALL,$DF555,21)&amp;"","")&amp;"␟"&amp;IFERROR(INDEX(PASTE_ALL,$DF555,22)&amp;"","")&amp;"␟"&amp;IFERROR(INDEX(PASTE_ALL,$DF555,23)&amp;"","")&amp;"␟"&amp;IFERROR(INDEX(PASTE_ALL,$DF555,24)&amp;"","")&amp;"␟"&amp;IFERROR(INDEX(PASTE_ALL,$DF555,25)&amp;"","")&amp;"␟"&amp;IFERROR(INDEX(PASTE_ALL,$DF555,26)&amp;"","")&amp;"␟"&amp;IFERROR(INDEX(PASTE_ALL,$DF555,27)&amp;"","")&amp;"␟"&amp;IFERROR(INDEX(PASTE_ALL,$DF555,28)&amp;"","")&amp;"␟"&amp;IFERROR(INDEX(PASTE_ALL,$DF555,29)&amp;"","")&amp;"␟"&amp;IFERROR(INDEX(PASTE_ALL,$DF555,30)&amp;"","")&amp;"␟"&amp;IFERROR(INDEX(PASTE_ALL,$DF555,31)&amp;"","")&amp;"␟"&amp;IFERROR(INDEX(PASTE_ALL,$DF555,32)&amp;"","")&amp;"␟"&amp;IFERROR(INDEX(PASTE_ALL,$DF555,33)&amp;"","")&amp;"␟"&amp;IFERROR(INDEX(PASTE_ALL,$DF555,34)&amp;"","")&amp;"␟"&amp;IFERROR(INDEX(PASTE_ALL,$DF555,35)&amp;"","")&amp;"␟"&amp;IFERROR(INDEX(PASTE_ALL,$DF555,36)&amp;"","")&amp;"␟"&amp;IFERROR(INDEX(PASTE_ALL,$DF555,37)&amp;"","")&amp;"␟"&amp;IFERROR(INDEX(PASTE_ALL,$DF555,38)&amp;"","")&amp;"␟"&amp;IFERROR(INDEX(PASTE_ALL,$DF555,39)&amp;"","")&amp;"␟"&amp;IFERROR(INDEX(PASTE_ALL,$DF555,40)&amp;"","")&amp;"␟"&amp;IFERROR(INDEX(PASTE_ALL,$DF555,41)&amp;"","")&amp;"␟"&amp;IFERROR(INDEX(PASTE_ALL,$DF555,42)&amp;"","")&amp;"␟"&amp;IFERROR(INDEX(PASTE_ALL,$DF555,43)&amp;"","")&amp;"␟"&amp;IFERROR(INDEX(PASTE_ALL,$DF555,44)&amp;"","")&amp;"␟"&amp;IFERROR(INDEX(PASTE_ALL,$DF555,45)&amp;"","")&amp;"␟"&amp;IFERROR(INDEX(PASTE_ALL,$DF555,46)&amp;"","")&amp;"␟"&amp;IFERROR(INDEX(PASTE_ALL,$DF555,47)&amp;"","")&amp;"␟"&amp;IFERROR(INDEX(PASTE_ALL,$DF555,48)&amp;"","")&amp;"␟"&amp;IFERROR(INDEX(PASTE_ALL,$DF555,49)&amp;"","")&amp;"␟"&amp;IFERROR(INDEX(PASTE_ALL,$DF555,50)&amp;"","")&amp;"␟"&amp;IFERROR(INDEX(PASTE_ALL,$DF555,51)&amp;"","")&amp;"␟"&amp;IFERROR(INDEX(PASTE_ALL,$DF555,52)&amp;"","")&amp;"␟"&amp;IFERROR(INDEX(PASTE_ALL,$DF555,53)&amp;"","")&amp;"␟"&amp;IFERROR(INDEX(PASTE_ALL,$DF555,54)&amp;"","")&amp;"␟"&amp;IFERROR(INDEX(PASTE_ALL,$DF555,55)&amp;"","")&amp;"␟"&amp;IFERROR(INDEX(PASTE_ALL,$DF555,56)&amp;"","")&amp;"␟"&amp;IFERROR(INDEX(PASTE_ALL,$DF555,57)&amp;"","")&amp;"␟"&amp;IFERROR(INDEX(PASTE_ALL,$DF555,58)&amp;"","")&amp;"␟"&amp;IFERROR(INDEX(PASTE_ALL,$DF555,59)&amp;"","")&amp;"␟"&amp;IFERROR(INDEX(PASTE_ALL,$DF555,60)&amp;"","")," "," "),CHAR(9)," "),CHAR(10)," "),CHAR(13)," "))," ␟","␟"),"␟ ","␟"),"#"&amp;$DE555),"")</f>
        <v/>
      </c>
      <c r="DJ555">
        <f>IF($DI555="",0,IF(SUMPRODUCT(--EXACT($DI$4:DI554,$DI555))&gt;0,1,0))</f>
        <v/>
      </c>
      <c r="DK555">
        <f>IF(AND($DI555&lt;&gt;"",$DJ555=0),1,0)</f>
        <v/>
      </c>
      <c r="DL555">
        <f>DL554+$DK555</f>
        <v/>
      </c>
      <c r="DM555">
        <f>IF(AND($DK555=1,$DL555&lt;=600),1,0)</f>
        <v/>
      </c>
      <c r="DN555">
        <f>IF($DM555=0,"",IF($L$6=0,"",IFERROR(IF(ISNUMBER(INDEX(PASTE_ALL,$DF555,$L$6)),INDEX(PASTE_ALL,$DF555,$L$6),TRIM(SUBSTITUTE(SUBSTITUTE(SUBSTITUTE(SUBSTITUTE(INDEX(PASTE_ALL,$DF555,$L$6)," "," "),CHAR(9)," "),CHAR(10)," "),CHAR(13)," "))),"")))</f>
        <v/>
      </c>
      <c r="DO555">
        <f>IF($DM555=0,"",IF($L$7=0,"",IFERROR(IF(ISNUMBER(INDEX(PASTE_ALL,$DF555,$L$7)),INDEX(PASTE_ALL,$DF555,$L$7),TRIM(SUBSTITUTE(SUBSTITUTE(SUBSTITUTE(SUBSTITUTE(INDEX(PASTE_ALL,$DF555,$L$7)," "," "),CHAR(9)," "),CHAR(10)," "),CHAR(13)," "))),"")))</f>
        <v/>
      </c>
      <c r="DP555">
        <f>IF($DM555=0,"",IF($L$8=0,"",IFERROR(IF(ISNUMBER(INDEX(PASTE_ALL,$DF555,$L$8)),INDEX(PASTE_ALL,$DF555,$L$8),TRIM(SUBSTITUTE(SUBSTITUTE(SUBSTITUTE(SUBSTITUTE(INDEX(PASTE_ALL,$DF555,$L$8)," "," "),CHAR(9)," "),CHAR(10)," "),CHAR(13)," "))),"")))</f>
        <v/>
      </c>
      <c r="DQ555">
        <f>IF($DM555=0,"",IF($L$9=0,"",IFERROR(IF(ISNUMBER(INDEX(PASTE_ALL,$DF555,$L$9)),INDEX(PASTE_ALL,$DF555,$L$9),TRIM(SUBSTITUTE(SUBSTITUTE(SUBSTITUTE(SUBSTITUTE(INDEX(PASTE_ALL,$DF555,$L$9)," "," "),CHAR(9)," "),CHAR(10)," "),CHAR(13)," "))),"")))</f>
        <v/>
      </c>
      <c r="DR555">
        <f>IF($DM555=0,"",IF($L$10=0,"",IFERROR(IF(ISNUMBER(INDEX(PASTE_ALL,$DF555,$L$10)),INDEX(PASTE_ALL,$DF555,$L$10),TRIM(SUBSTITUTE(SUBSTITUTE(SUBSTITUTE(SUBSTITUTE(INDEX(PASTE_ALL,$DF555,$L$10)," "," "),CHAR(9)," "),CHAR(10)," "),CHAR(13)," "))),"")))</f>
        <v/>
      </c>
      <c r="DS555">
        <f>IF($DM555=0,"",IF($L$11=0,"",IFERROR(IF(ISNUMBER(INDEX(PASTE_ALL,$DF555,$L$11)),INDEX(PASTE_ALL,$DF555,$L$11),TRIM(SUBSTITUTE(SUBSTITUTE(SUBSTITUTE(SUBSTITUTE(INDEX(PASTE_ALL,$DF555,$L$11)," "," "),CHAR(9)," "),CHAR(10)," "),CHAR(13)," "))),"")))</f>
        <v/>
      </c>
      <c r="DT555">
        <f>IF($DM555=0,"",IF($L$12=0,"",IFERROR(IF(ISNUMBER(INDEX(PASTE_ALL,$DF555,$L$12)),INDEX(PASTE_ALL,$DF555,$L$12),TRIM(SUBSTITUTE(SUBSTITUTE(SUBSTITUTE(SUBSTITUTE(INDEX(PASTE_ALL,$DF555,$L$12)," "," "),CHAR(9)," "),CHAR(10)," "),CHAR(13)," "))),"")))</f>
        <v/>
      </c>
      <c r="DU555">
        <f>IF($DM555=0,"",IF($L$13=0,"",IFERROR(IF(ISNUMBER(INDEX(PASTE_ALL,$DF555,$L$13)),INDEX(PASTE_ALL,$DF555,$L$13),TRIM(SUBSTITUTE(SUBSTITUTE(SUBSTITUTE(SUBSTITUTE(INDEX(PASTE_ALL,$DF555,$L$13)," "," "),CHAR(9)," "),CHAR(10)," "),CHAR(13)," "))),"")))</f>
        <v/>
      </c>
      <c r="DV555">
        <f>IF($DM555=0,"",IF($L$14=0,"",IFERROR(IF(ISNUMBER(INDEX(PASTE_ALL,$DF555,$L$14)),INDEX(PASTE_ALL,$DF555,$L$14),TRIM(SUBSTITUTE(SUBSTITUTE(SUBSTITUTE(SUBSTITUTE(INDEX(PASTE_ALL,$DF555,$L$14)," "," "),CHAR(9)," "),CHAR(10)," "),CHAR(13)," "))),"")))</f>
        <v/>
      </c>
      <c r="DW555">
        <f>IF($DM555=0,"",IF($L$15=0,"",IFERROR(IF(ISNUMBER(INDEX(PASTE_ALL,$DF555,$L$15)),INDEX(PASTE_ALL,$DF555,$L$15),IF(SUMPRODUCT(--ISNUMBER(FIND({"A","B","C","D","E","F","G","H","I","J","K","L","M","N","O","P","Q","R","S","T","U","V","W","X","Y","Z","0","1","2","3","4","5","6","7","8","9"},UPPER(TRIM(SUBSTITUTE(SUBSTITUTE(SUBSTITUTE(SUBSTITUTE(INDEX(PASTE_ALL,$DF555,$L$15)," "," "),CHAR(9)," "),CHAR(10)," "),CHAR(13)," "))))))&gt;0,TRIM(SUBSTITUTE(SUBSTITUTE(SUBSTITUTE(SUBSTITUTE(INDEX(PASTE_ALL,$DF555,$L$15)," "," "),CHAR(9)," "),CHAR(10)," "),CHAR(13)," ")),"")),"")))</f>
        <v/>
      </c>
      <c r="DX555">
        <f>IF($DM555=0,"",IF($L$16=0,"",IFERROR(IF(ISNUMBER(INDEX(PASTE_ALL,$DF555,$L$16)),INDEX(PASTE_ALL,$DF555,$L$16),SUBSTITUTE(SUBSTITUTE(TRIM(SUBSTITUTE(SUBSTITUTE(SUBSTITUTE(SUBSTITUTE(INDEX(PASTE_ALL,$DF555,$L$16)," "," "),CHAR(9)," "),CHAR(10)," "),CHAR(13)," ")),",",""),"%","")),"")))</f>
        <v/>
      </c>
      <c r="DY555">
        <f>IF($DM555=0,"",IFERROR(IF(ISNUMBER($DX555),$DX555,IF($DX555="","",IF(TRIM($DX555)="",0,IF(AND(AND(SUBSTITUTE(SUBSTITUTE(SUBSTITUTE(SUBSTITUTE(SUBSTITUTE(SUBSTITUTE(SUBSTITUTE(SUBSTITUTE(SUBSTITUTE(SUBSTITUTE(SUBSTITUTE(SUBSTITUTE(SUBSTITUTE(SUBSTITUTE(UPPER(TRIM($DX555)),"0",""),"1",""),"2",""),"3",""),"4",""),"5",""),"6",""),"7",""),"8",""),"9",""),".",""),"+",""),"-",""),"E","")="",LEN(SUBSTITUTE(SUBSTITUTE(MID(UPPER(TRIM($DX555)),1+OR(LEFT(UPPER(TRIM($DX555)),1)="+",LEFT(UPPER(TRIM($DX555)),1)="-"),999),"E+","E"),"E-","E"))=LEN(SUBSTITUTE(SUBSTITUTE(SUBSTITUTE(SUBSTITUTE(MID(UPPER(TRIM($DX555)),1+OR(LEFT(UPPER(TRIM($DX555)),1)="+",LEFT(UPPER(TRIM($DX555)),1)="-"),999),"E+","E"),"E-","E"),"+",""),"-","")),LEN(UPPER(TRIM($DX555)))-LEN(SUBSTITUTE(UPPER(TRIM($DX555)),"E",""))&lt;2,LEN(UPPER(TRIM($DX555)))-LEN(SUBSTITUTE(UPPER(TRIM($DX555)),".",""))&lt;2,IFERROR(FIND(".",UPPER(TRIM($DX555))),0)&lt;IFERROR(FIND("E",UPPER(TRIM($DX555))),999)),ISNUMBER(VALUE(TRIM($DX555)))),VALUE(TRIM($DX555)),"")))),""))</f>
        <v/>
      </c>
      <c r="DZ555">
        <f>IF($DM555=0,"",IF($L$17=0,"",IFERROR(IF(ISNUMBER(INDEX(PASTE_ALL,$DF555,$L$17)),INDEX(PASTE_ALL,$DF555,$L$17),SUBSTITUTE(SUBSTITUTE(TRIM(SUBSTITUTE(SUBSTITUTE(SUBSTITUTE(SUBSTITUTE(INDEX(PASTE_ALL,$DF555,$L$17)," "," "),CHAR(9)," "),CHAR(10)," "),CHAR(13)," ")),",",""),"%","")),"")))</f>
        <v/>
      </c>
      <c r="EA555">
        <f>IF($DM555=0,"",IFERROR(IF(ISNUMBER($DZ555),$DZ555,IF($DZ555="","",IF(TRIM($DZ555)="",0,IF(AND(AND(SUBSTITUTE(SUBSTITUTE(SUBSTITUTE(SUBSTITUTE(SUBSTITUTE(SUBSTITUTE(SUBSTITUTE(SUBSTITUTE(SUBSTITUTE(SUBSTITUTE(SUBSTITUTE(SUBSTITUTE(SUBSTITUTE(SUBSTITUTE(UPPER(TRIM($DZ555)),"0",""),"1",""),"2",""),"3",""),"4",""),"5",""),"6",""),"7",""),"8",""),"9",""),".",""),"+",""),"-",""),"E","")="",LEN(SUBSTITUTE(SUBSTITUTE(MID(UPPER(TRIM($DZ555)),1+OR(LEFT(UPPER(TRIM($DZ555)),1)="+",LEFT(UPPER(TRIM($DZ555)),1)="-"),999),"E+","E"),"E-","E"))=LEN(SUBSTITUTE(SUBSTITUTE(SUBSTITUTE(SUBSTITUTE(MID(UPPER(TRIM($DZ555)),1+OR(LEFT(UPPER(TRIM($DZ555)),1)="+",LEFT(UPPER(TRIM($DZ555)),1)="-"),999),"E+","E"),"E-","E"),"+",""),"-","")),LEN(UPPER(TRIM($DZ555)))-LEN(SUBSTITUTE(UPPER(TRIM($DZ555)),"E",""))&lt;2,LEN(UPPER(TRIM($DZ555)))-LEN(SUBSTITUTE(UPPER(TRIM($DZ555)),".",""))&lt;2,IFERROR(FIND(".",UPPER(TRIM($DZ555))),0)&lt;IFERROR(FIND("E",UPPER(TRIM($DZ555))),999)),ISNUMBER(VALUE(TRIM($DZ555)))),VALUE(TRIM($DZ555)),"")))),""))</f>
        <v/>
      </c>
      <c r="EB555">
        <f>IF($DM555=0,"",IF($L$18=0,"",IFERROR(IF(UPPER(TRIM(SUBSTITUTE(SUBSTITUTE(SUBSTITUTE(SUBSTITUTE(INDEX(PASTE_ALL,$DF555,$L$18)," "," "),CHAR(9)," "),CHAR(10)," "),CHAR(13)," ")))="READY","Ready",IF(UPPER(TRIM(SUBSTITUTE(SUBSTITUTE(SUBSTITUTE(SUBSTITUTE(INDEX(PASTE_ALL,$DF555,$L$18)," "," "),CHAR(9)," "),CHAR(10)," "),CHAR(13)," ")))="PM","PM",IF(OR(UPPER(TRIM(SUBSTITUTE(SUBSTITUTE(SUBSTITUTE(SUBSTITUTE(INDEX(PASTE_ALL,$DF555,$L$18)," "," "),CHAR(9)," "),CHAR(10)," "),CHAR(13)," ")))="OT",UPPER(TRIM(SUBSTITUTE(SUBSTITUTE(SUBSTITUTE(SUBSTITUTE(INDEX(PASTE_ALL,$DF555,$L$18)," "," "),CHAR(9)," "),CHAR(10)," "),CHAR(13)," ")))="OVERTIME",UPPER(TRIM(SUBSTITUTE(SUBSTITUTE(SUBSTITUTE(SUBSTITUTE(INDEX(PASTE_ALL,$DF555,$L$18)," "," "),CHAR(9)," "),CHAR(10)," "),CHAR(13)," ")))="TRIAL"),"OT",TRIM(SUBSTITUTE(SUBSTITUTE(SUBSTITUTE(SUBSTITUTE(INDEX(PASTE_ALL,$DF555,$L$18)," "," "),CHAR(9)," "),CHAR(10)," "),CHAR(13)," "))))),"")))</f>
        <v/>
      </c>
      <c r="EC555">
        <f>IF($DM555=0,"",IF($L$19=0,"",IFERROR(IF(ISNUMBER(INDEX(PASTE_ALL,$DF555,$L$19)),INDEX(PASTE_ALL,$DF555,$L$19),TRIM(SUBSTITUTE(SUBSTITUTE(SUBSTITUTE(SUBSTITUTE(INDEX(PASTE_ALL,$DF555,$L$19)," "," "),CHAR(9)," "),CHAR(10)," "),CHAR(13)," "))),"")))</f>
        <v/>
      </c>
      <c r="ED555">
        <f>IF($DM555=0,"",MATCH(1,INDEX(EXACT($DH$5:DH555,$DH555)*$DM$5:DM555,0),0))</f>
        <v/>
      </c>
      <c r="EE555">
        <f>IF($DM555=0,0,IF($ED555=$DE555,1,0))</f>
        <v/>
      </c>
      <c r="EF555">
        <f>EF554+$EE555</f>
        <v/>
      </c>
      <c r="EG555">
        <f>IF($DM555=0,"",INDEX($EF$5:$EF$1003,$ED555))</f>
        <v/>
      </c>
      <c r="EH555">
        <f>IF($DM555=0,"",IF($DO555&lt;&gt;"","",IFERROR(LOOKUP(2,1/(($EG$4:EG554=$EG555)*($DO$4:DO554&lt;&gt;"")),$DO$4:DO554),"")))</f>
        <v/>
      </c>
      <c r="EI555">
        <f>IF($DM555=0,"",IF($DO555&lt;&gt;"",$DO555,$EH555))</f>
        <v/>
      </c>
      <c r="EJ555">
        <f>IF($DM555=0,"",IF($EI555="",0,IF(OR(ISNUMBER($EI555),AND(AND(SUBSTITUTE(SUBSTITUTE(SUBSTITUTE(SUBSTITUTE(SUBSTITUTE(SUBSTITUTE(SUBSTITUTE(SUBSTITUTE(SUBSTITUTE(SUBSTITUTE(SUBSTITUTE(SUBSTITUTE(SUBSTITUTE(SUBSTITUTE(UPPER($EI555),"0",""),"1",""),"2",""),"3",""),"4",""),"5",""),"6",""),"7",""),"8",""),"9",""),".",""),"+",""),"-",""),"E","")="",LEN(SUBSTITUTE(SUBSTITUTE(MID(UPPER($EI555),1+OR(LEFT(UPPER($EI555),1)="+",LEFT(UPPER($EI555),1)="-"),999),"E+","E"),"E-","E"))=LEN(SUBSTITUTE(SUBSTITUTE(SUBSTITUTE(SUBSTITUTE(MID(UPPER($EI555),1+OR(LEFT(UPPER($EI555),1)="+",LEFT(UPPER($EI555),1)="-"),999),"E+","E"),"E-","E"),"+",""),"-","")),LEN(UPPER($EI555))-LEN(SUBSTITUTE(UPPER($EI555),"E",""))&lt;2,LEN(UPPER($EI555))-LEN(SUBSTITUTE(UPPER($EI555),".",""))&lt;2,IFERROR(FIND(".",UPPER($EI555)),0)&lt;IFERROR(FIND("E",UPPER($EI555)),999)),ISNUMBER(VALUE($EI555)))),1,2)))</f>
        <v/>
      </c>
      <c r="EK555">
        <f>IF($DM555=0,"",IF($EJ555=1,IF(ISNUMBER($EI555),$EI555,VALUE($EI555)),IF($EJ555=2,$DE555,0)))</f>
        <v/>
      </c>
      <c r="EL555">
        <f>IF($DM555=0,"",COUNTIF($EG$5:$EG$1003,"&lt;"&amp;$EG555)+SUMPRODUCT(($EG$5:$EG$1003=$EG555)*(($EJ$5:$EJ$1003&lt;$EJ555)+($EJ$5:$EJ$1003=$EJ555)*(($EK$5:$EK$1003&lt;$EK555)+($EK$5:$EK$1003=$EK555)*($DE$5:$DE$1003&lt;$DE555))))+1)</f>
        <v/>
      </c>
      <c r="EM555">
        <f>IF($DM555=0,"",$EL555+$EG555-1)</f>
        <v/>
      </c>
      <c r="EN555">
        <f>IF($DM555=0,0,IFERROR(MATCH(1,INDEX(--(TRIM(SUBSTITUTE(SUBSTITUTE(SUBSTITUTE(SUBSTITUTE(LINES_NAME&amp;""," "," "),CHAR(9)," "),CHAR(10)," "),CHAR(13)," "))=$DH555),0),0),0))</f>
        <v/>
      </c>
      <c r="EO555">
        <f>IF($EN555=0,0,IF(OR(UPPER(TRIM(INDEX(LINES_SCHEDULED,$EN555)&amp;""))="YES",UPPER(TRIM(INDEX(LINES_SCHEDULED,$EN555)&amp;""))="Y",UPPER(TRIM(INDEX(LINES_SCHEDULED,$EN555)&amp;""))="X"),1,0))</f>
        <v/>
      </c>
      <c r="EP555">
        <f>IF($DM555=0,"",IF(COUNTIFS($EG$5:$EG$1003,$EG555,$EB$5:$EB$1003,"Ready")&gt;0,"READY",IF(COUNTIFS($EG$5:$EG$1003,$EG555,$EB$5:$EB$1003,"PM")&gt;0,"PM",IF(COUNTIFS($EG$5:$EG$1003,$EG555,$EB$5:$EB$1003,"OT")&gt;0,"OT",""))))</f>
        <v/>
      </c>
      <c r="EQ555">
        <f>IF($EN555=0,"",UPPER(TRIM(INDEX(LINES_STATUS,$EN555)&amp;"")))</f>
        <v/>
      </c>
      <c r="ER555">
        <f>IF($DM555=0,"",IF(OR($EQ555="READY",$EQ555="PM",$EQ555="OT"),$EQ555,$EP555))</f>
        <v/>
      </c>
      <c r="ES555">
        <f>IF($DM555=0,"",IF(AND($DV555&lt;&gt;"",UPPER($DV555)&lt;&gt;"N"),"allergen",IF(ISNUMBER(SEARCH("oil",$DQ555)),"oil",IF(OR(EXACT($DS555,"A662"),EXACT($DS555,"A624")),"bulk",""))))</f>
        <v/>
      </c>
      <c r="ET555">
        <f>IF($DM555=0,"",IF(OR($EA555="",$EA555=0),"",$EA555/100))</f>
        <v/>
      </c>
      <c r="EU555">
        <f>IF(OR($ET555="",$DY555=""),"",INT($DY555*(1-$ET555)+0.5))</f>
        <v/>
      </c>
      <c r="EW555" t="n">
        <v>551</v>
      </c>
      <c r="EX555">
        <f>IFERROR(MATCH($EW555,$EM$5:$EM$1003,0),0)</f>
        <v/>
      </c>
      <c r="EY555">
        <f>IF($EW555&gt;$B$12,"",IF($EX555&gt;0,"row","spacer"))</f>
        <v/>
      </c>
      <c r="EZ555">
        <f>IF(AND($EY555="row",$EY554&lt;&gt;"row"),1,0)</f>
        <v/>
      </c>
      <c r="FA555">
        <f>IF(AND($EY555="row",$EY556&lt;&gt;"row"),1,0)</f>
        <v/>
      </c>
      <c r="FB555">
        <f>IF($EZ555=1,IFERROR(IF(ISNUMBER(INDEX(PASTE_ALL,INDEX($DF$5:$DF$1003,$EX555),$B$37)),INDEX(PASTE_ALL,INDEX($DF$5:$DF$1003,$EX555),$B$37),INDEX($DH$5:$DH$1003,$EX555)),INDEX($DH$5:$DH$1003,$EX555)),"")</f>
        <v/>
      </c>
      <c r="FC555">
        <f>IF($EY555="row",INDEX($ER$5:$ER$1003,$EX555),"")</f>
        <v/>
      </c>
      <c r="FD555">
        <f>IF($EY555="row",INDEX($DN$5:$DN$1003,$EX555),"")</f>
        <v/>
      </c>
      <c r="FE555">
        <f>IF($EY555="row",INDEX($DO$5:$DO$1003,$EX555),"")</f>
        <v/>
      </c>
      <c r="FF555">
        <f>IF($EY555="row",INDEX($DP$5:$DP$1003,$EX555),"")</f>
        <v/>
      </c>
      <c r="FG555">
        <f>IF($EY555="row",INDEX($DQ$5:$DQ$1003,$EX555),"")</f>
        <v/>
      </c>
      <c r="FH555">
        <f>IF($EY555="row",INDEX($DR$5:$DR$1003,$EX555),"")</f>
        <v/>
      </c>
      <c r="FI555">
        <f>IF($EY555="row",INDEX($DS$5:$DS$1003,$EX555),"")</f>
        <v/>
      </c>
      <c r="FJ555">
        <f>IF($EY555="row",INDEX($DT$5:$DT$1003,$EX555),"")</f>
        <v/>
      </c>
      <c r="FK555">
        <f>IF($EY555="row",INDEX($DU$5:$DU$1003,$EX555),"")</f>
        <v/>
      </c>
      <c r="FL555">
        <f>IF($EY555="row",INDEX($DV$5:$DV$1003,$EX555),"")</f>
        <v/>
      </c>
      <c r="FM555">
        <f>IF($EY555="row",INDEX($DW$5:$DW$1003,$EX555),"")</f>
        <v/>
      </c>
      <c r="FN555">
        <f>IF($EY555="row",INDEX($DY$5:$DY$1003,$EX555),"")</f>
        <v/>
      </c>
      <c r="FO555">
        <f>IF($EY555="row",INDEX($EA$5:$EA$1003,$EX555),"")</f>
        <v/>
      </c>
      <c r="FP555">
        <f>IF($EY555="row",INDEX($EC$5:$EC$1003,$EX555),"")</f>
        <v/>
      </c>
      <c r="FQ555">
        <f>IF($EY555="row",INDEX($ET$5:$ET$1003,$EX555),"")</f>
        <v/>
      </c>
      <c r="FR555">
        <f>IF($EY555="row",INDEX($EU$5:$EU$1003,$EX555),"")</f>
        <v/>
      </c>
      <c r="FS555">
        <f>IF(AND($EY555="row",$EY554="row"),IF(OR(INDEX($DT$5:$DT$1003,$EX554)="",INDEX($DT$5:$DT$1003,$EX555)=""),"",IF(NOT(EXACT(INDEX($DT$5:$DT$1003,$EX554),INDEX($DT$5:$DT$1003,$EX555))),"S4",IF(NOT(EXACT(INDEX($DS$5:$DS$1003,$EX554),INDEX($DS$5:$DS$1003,$EX555))),"S3",IF(NOT(EXACT(INDEX($DR$5:$DR$1003,$EX554),INDEX($DR$5:$DR$1003,$EX555))),"S1 Count Change","S1")))),"")</f>
        <v/>
      </c>
      <c r="FT555">
        <f>IF($EY555="row",INDEX($ES$5:$ES$1003,$EX555),"")</f>
        <v/>
      </c>
      <c r="FU555">
        <f>IF($EY555="row",INDEX($EO$5:$EO$1003,$EX555),0)</f>
        <v/>
      </c>
      <c r="FV555">
        <f>IF($FS555="S1 Count Change",1,0)</f>
        <v/>
      </c>
    </row>
    <row r="556">
      <c r="DA556" t="n">
        <v>552</v>
      </c>
      <c r="DB556">
        <f>IF($B$37=0,"",IFERROR(TRIM(SUBSTITUTE(SUBSTITUTE(SUBSTITUTE(SUBSTITUTE(INDEX(PASTE_ALL,552,$B$37)," "," "),CHAR(9)," "),CHAR(10)," "),CHAR(13)," ")),""))</f>
        <v/>
      </c>
      <c r="DC556">
        <f>IF(AND(552&gt;HEADER_ROW,UPPER(DB556)="LEGEND"),1,0)</f>
        <v/>
      </c>
      <c r="DE556" t="n">
        <v>552</v>
      </c>
      <c r="DF556">
        <f>HEADER_ROW+$DE556</f>
        <v/>
      </c>
      <c r="DG556">
        <f>IF(AND($DF556&lt;=1000,$DF556&lt;$B$8),1,0)</f>
        <v/>
      </c>
      <c r="DH556">
        <f>IF($DG556=1,IFERROR(INDEX($DB$5:$DB$1004,$DF556),""),"")</f>
        <v/>
      </c>
      <c r="DI556">
        <f>IF(AND($DG556=1,$DH556&lt;&gt;""),IFERROR(SUBSTITUTE(SUBSTITUTE(TRIM(SUBSTITUTE(SUBSTITUTE(SUBSTITUTE(SUBSTITUTE(IFERROR(INDEX(PASTE_ALL,$DF556,1)&amp;"","")&amp;"␟"&amp;IFERROR(INDEX(PASTE_ALL,$DF556,2)&amp;"","")&amp;"␟"&amp;IFERROR(INDEX(PASTE_ALL,$DF556,3)&amp;"","")&amp;"␟"&amp;IFERROR(INDEX(PASTE_ALL,$DF556,4)&amp;"","")&amp;"␟"&amp;IFERROR(INDEX(PASTE_ALL,$DF556,5)&amp;"","")&amp;"␟"&amp;IFERROR(INDEX(PASTE_ALL,$DF556,6)&amp;"","")&amp;"␟"&amp;IFERROR(INDEX(PASTE_ALL,$DF556,7)&amp;"","")&amp;"␟"&amp;IFERROR(INDEX(PASTE_ALL,$DF556,8)&amp;"","")&amp;"␟"&amp;IFERROR(INDEX(PASTE_ALL,$DF556,9)&amp;"","")&amp;"␟"&amp;IFERROR(INDEX(PASTE_ALL,$DF556,10)&amp;"","")&amp;"␟"&amp;IFERROR(INDEX(PASTE_ALL,$DF556,11)&amp;"","")&amp;"␟"&amp;IFERROR(INDEX(PASTE_ALL,$DF556,12)&amp;"","")&amp;"␟"&amp;IFERROR(INDEX(PASTE_ALL,$DF556,13)&amp;"","")&amp;"␟"&amp;IFERROR(INDEX(PASTE_ALL,$DF556,14)&amp;"","")&amp;"␟"&amp;IFERROR(INDEX(PASTE_ALL,$DF556,15)&amp;"","")&amp;"␟"&amp;IFERROR(INDEX(PASTE_ALL,$DF556,16)&amp;"","")&amp;"␟"&amp;IFERROR(INDEX(PASTE_ALL,$DF556,17)&amp;"","")&amp;"␟"&amp;IFERROR(INDEX(PASTE_ALL,$DF556,18)&amp;"","")&amp;"␟"&amp;IFERROR(INDEX(PASTE_ALL,$DF556,19)&amp;"","")&amp;"␟"&amp;IFERROR(INDEX(PASTE_ALL,$DF556,20)&amp;"","")&amp;"␟"&amp;IFERROR(INDEX(PASTE_ALL,$DF556,21)&amp;"","")&amp;"␟"&amp;IFERROR(INDEX(PASTE_ALL,$DF556,22)&amp;"","")&amp;"␟"&amp;IFERROR(INDEX(PASTE_ALL,$DF556,23)&amp;"","")&amp;"␟"&amp;IFERROR(INDEX(PASTE_ALL,$DF556,24)&amp;"","")&amp;"␟"&amp;IFERROR(INDEX(PASTE_ALL,$DF556,25)&amp;"","")&amp;"␟"&amp;IFERROR(INDEX(PASTE_ALL,$DF556,26)&amp;"","")&amp;"␟"&amp;IFERROR(INDEX(PASTE_ALL,$DF556,27)&amp;"","")&amp;"␟"&amp;IFERROR(INDEX(PASTE_ALL,$DF556,28)&amp;"","")&amp;"␟"&amp;IFERROR(INDEX(PASTE_ALL,$DF556,29)&amp;"","")&amp;"␟"&amp;IFERROR(INDEX(PASTE_ALL,$DF556,30)&amp;"","")&amp;"␟"&amp;IFERROR(INDEX(PASTE_ALL,$DF556,31)&amp;"","")&amp;"␟"&amp;IFERROR(INDEX(PASTE_ALL,$DF556,32)&amp;"","")&amp;"␟"&amp;IFERROR(INDEX(PASTE_ALL,$DF556,33)&amp;"","")&amp;"␟"&amp;IFERROR(INDEX(PASTE_ALL,$DF556,34)&amp;"","")&amp;"␟"&amp;IFERROR(INDEX(PASTE_ALL,$DF556,35)&amp;"","")&amp;"␟"&amp;IFERROR(INDEX(PASTE_ALL,$DF556,36)&amp;"","")&amp;"␟"&amp;IFERROR(INDEX(PASTE_ALL,$DF556,37)&amp;"","")&amp;"␟"&amp;IFERROR(INDEX(PASTE_ALL,$DF556,38)&amp;"","")&amp;"␟"&amp;IFERROR(INDEX(PASTE_ALL,$DF556,39)&amp;"","")&amp;"␟"&amp;IFERROR(INDEX(PASTE_ALL,$DF556,40)&amp;"","")&amp;"␟"&amp;IFERROR(INDEX(PASTE_ALL,$DF556,41)&amp;"","")&amp;"␟"&amp;IFERROR(INDEX(PASTE_ALL,$DF556,42)&amp;"","")&amp;"␟"&amp;IFERROR(INDEX(PASTE_ALL,$DF556,43)&amp;"","")&amp;"␟"&amp;IFERROR(INDEX(PASTE_ALL,$DF556,44)&amp;"","")&amp;"␟"&amp;IFERROR(INDEX(PASTE_ALL,$DF556,45)&amp;"","")&amp;"␟"&amp;IFERROR(INDEX(PASTE_ALL,$DF556,46)&amp;"","")&amp;"␟"&amp;IFERROR(INDEX(PASTE_ALL,$DF556,47)&amp;"","")&amp;"␟"&amp;IFERROR(INDEX(PASTE_ALL,$DF556,48)&amp;"","")&amp;"␟"&amp;IFERROR(INDEX(PASTE_ALL,$DF556,49)&amp;"","")&amp;"␟"&amp;IFERROR(INDEX(PASTE_ALL,$DF556,50)&amp;"","")&amp;"␟"&amp;IFERROR(INDEX(PASTE_ALL,$DF556,51)&amp;"","")&amp;"␟"&amp;IFERROR(INDEX(PASTE_ALL,$DF556,52)&amp;"","")&amp;"␟"&amp;IFERROR(INDEX(PASTE_ALL,$DF556,53)&amp;"","")&amp;"␟"&amp;IFERROR(INDEX(PASTE_ALL,$DF556,54)&amp;"","")&amp;"␟"&amp;IFERROR(INDEX(PASTE_ALL,$DF556,55)&amp;"","")&amp;"␟"&amp;IFERROR(INDEX(PASTE_ALL,$DF556,56)&amp;"","")&amp;"␟"&amp;IFERROR(INDEX(PASTE_ALL,$DF556,57)&amp;"","")&amp;"␟"&amp;IFERROR(INDEX(PASTE_ALL,$DF556,58)&amp;"","")&amp;"␟"&amp;IFERROR(INDEX(PASTE_ALL,$DF556,59)&amp;"","")&amp;"␟"&amp;IFERROR(INDEX(PASTE_ALL,$DF556,60)&amp;"","")," "," "),CHAR(9)," "),CHAR(10)," "),CHAR(13)," "))," ␟","␟"),"␟ ","␟"),"#"&amp;$DE556),"")</f>
        <v/>
      </c>
      <c r="DJ556">
        <f>IF($DI556="",0,IF(SUMPRODUCT(--EXACT($DI$4:DI555,$DI556))&gt;0,1,0))</f>
        <v/>
      </c>
      <c r="DK556">
        <f>IF(AND($DI556&lt;&gt;"",$DJ556=0),1,0)</f>
        <v/>
      </c>
      <c r="DL556">
        <f>DL555+$DK556</f>
        <v/>
      </c>
      <c r="DM556">
        <f>IF(AND($DK556=1,$DL556&lt;=600),1,0)</f>
        <v/>
      </c>
      <c r="DN556">
        <f>IF($DM556=0,"",IF($L$6=0,"",IFERROR(IF(ISNUMBER(INDEX(PASTE_ALL,$DF556,$L$6)),INDEX(PASTE_ALL,$DF556,$L$6),TRIM(SUBSTITUTE(SUBSTITUTE(SUBSTITUTE(SUBSTITUTE(INDEX(PASTE_ALL,$DF556,$L$6)," "," "),CHAR(9)," "),CHAR(10)," "),CHAR(13)," "))),"")))</f>
        <v/>
      </c>
      <c r="DO556">
        <f>IF($DM556=0,"",IF($L$7=0,"",IFERROR(IF(ISNUMBER(INDEX(PASTE_ALL,$DF556,$L$7)),INDEX(PASTE_ALL,$DF556,$L$7),TRIM(SUBSTITUTE(SUBSTITUTE(SUBSTITUTE(SUBSTITUTE(INDEX(PASTE_ALL,$DF556,$L$7)," "," "),CHAR(9)," "),CHAR(10)," "),CHAR(13)," "))),"")))</f>
        <v/>
      </c>
      <c r="DP556">
        <f>IF($DM556=0,"",IF($L$8=0,"",IFERROR(IF(ISNUMBER(INDEX(PASTE_ALL,$DF556,$L$8)),INDEX(PASTE_ALL,$DF556,$L$8),TRIM(SUBSTITUTE(SUBSTITUTE(SUBSTITUTE(SUBSTITUTE(INDEX(PASTE_ALL,$DF556,$L$8)," "," "),CHAR(9)," "),CHAR(10)," "),CHAR(13)," "))),"")))</f>
        <v/>
      </c>
      <c r="DQ556">
        <f>IF($DM556=0,"",IF($L$9=0,"",IFERROR(IF(ISNUMBER(INDEX(PASTE_ALL,$DF556,$L$9)),INDEX(PASTE_ALL,$DF556,$L$9),TRIM(SUBSTITUTE(SUBSTITUTE(SUBSTITUTE(SUBSTITUTE(INDEX(PASTE_ALL,$DF556,$L$9)," "," "),CHAR(9)," "),CHAR(10)," "),CHAR(13)," "))),"")))</f>
        <v/>
      </c>
      <c r="DR556">
        <f>IF($DM556=0,"",IF($L$10=0,"",IFERROR(IF(ISNUMBER(INDEX(PASTE_ALL,$DF556,$L$10)),INDEX(PASTE_ALL,$DF556,$L$10),TRIM(SUBSTITUTE(SUBSTITUTE(SUBSTITUTE(SUBSTITUTE(INDEX(PASTE_ALL,$DF556,$L$10)," "," "),CHAR(9)," "),CHAR(10)," "),CHAR(13)," "))),"")))</f>
        <v/>
      </c>
      <c r="DS556">
        <f>IF($DM556=0,"",IF($L$11=0,"",IFERROR(IF(ISNUMBER(INDEX(PASTE_ALL,$DF556,$L$11)),INDEX(PASTE_ALL,$DF556,$L$11),TRIM(SUBSTITUTE(SUBSTITUTE(SUBSTITUTE(SUBSTITUTE(INDEX(PASTE_ALL,$DF556,$L$11)," "," "),CHAR(9)," "),CHAR(10)," "),CHAR(13)," "))),"")))</f>
        <v/>
      </c>
      <c r="DT556">
        <f>IF($DM556=0,"",IF($L$12=0,"",IFERROR(IF(ISNUMBER(INDEX(PASTE_ALL,$DF556,$L$12)),INDEX(PASTE_ALL,$DF556,$L$12),TRIM(SUBSTITUTE(SUBSTITUTE(SUBSTITUTE(SUBSTITUTE(INDEX(PASTE_ALL,$DF556,$L$12)," "," "),CHAR(9)," "),CHAR(10)," "),CHAR(13)," "))),"")))</f>
        <v/>
      </c>
      <c r="DU556">
        <f>IF($DM556=0,"",IF($L$13=0,"",IFERROR(IF(ISNUMBER(INDEX(PASTE_ALL,$DF556,$L$13)),INDEX(PASTE_ALL,$DF556,$L$13),TRIM(SUBSTITUTE(SUBSTITUTE(SUBSTITUTE(SUBSTITUTE(INDEX(PASTE_ALL,$DF556,$L$13)," "," "),CHAR(9)," "),CHAR(10)," "),CHAR(13)," "))),"")))</f>
        <v/>
      </c>
      <c r="DV556">
        <f>IF($DM556=0,"",IF($L$14=0,"",IFERROR(IF(ISNUMBER(INDEX(PASTE_ALL,$DF556,$L$14)),INDEX(PASTE_ALL,$DF556,$L$14),TRIM(SUBSTITUTE(SUBSTITUTE(SUBSTITUTE(SUBSTITUTE(INDEX(PASTE_ALL,$DF556,$L$14)," "," "),CHAR(9)," "),CHAR(10)," "),CHAR(13)," "))),"")))</f>
        <v/>
      </c>
      <c r="DW556">
        <f>IF($DM556=0,"",IF($L$15=0,"",IFERROR(IF(ISNUMBER(INDEX(PASTE_ALL,$DF556,$L$15)),INDEX(PASTE_ALL,$DF556,$L$15),IF(SUMPRODUCT(--ISNUMBER(FIND({"A","B","C","D","E","F","G","H","I","J","K","L","M","N","O","P","Q","R","S","T","U","V","W","X","Y","Z","0","1","2","3","4","5","6","7","8","9"},UPPER(TRIM(SUBSTITUTE(SUBSTITUTE(SUBSTITUTE(SUBSTITUTE(INDEX(PASTE_ALL,$DF556,$L$15)," "," "),CHAR(9)," "),CHAR(10)," "),CHAR(13)," "))))))&gt;0,TRIM(SUBSTITUTE(SUBSTITUTE(SUBSTITUTE(SUBSTITUTE(INDEX(PASTE_ALL,$DF556,$L$15)," "," "),CHAR(9)," "),CHAR(10)," "),CHAR(13)," ")),"")),"")))</f>
        <v/>
      </c>
      <c r="DX556">
        <f>IF($DM556=0,"",IF($L$16=0,"",IFERROR(IF(ISNUMBER(INDEX(PASTE_ALL,$DF556,$L$16)),INDEX(PASTE_ALL,$DF556,$L$16),SUBSTITUTE(SUBSTITUTE(TRIM(SUBSTITUTE(SUBSTITUTE(SUBSTITUTE(SUBSTITUTE(INDEX(PASTE_ALL,$DF556,$L$16)," "," "),CHAR(9)," "),CHAR(10)," "),CHAR(13)," ")),",",""),"%","")),"")))</f>
        <v/>
      </c>
      <c r="DY556">
        <f>IF($DM556=0,"",IFERROR(IF(ISNUMBER($DX556),$DX556,IF($DX556="","",IF(TRIM($DX556)="",0,IF(AND(AND(SUBSTITUTE(SUBSTITUTE(SUBSTITUTE(SUBSTITUTE(SUBSTITUTE(SUBSTITUTE(SUBSTITUTE(SUBSTITUTE(SUBSTITUTE(SUBSTITUTE(SUBSTITUTE(SUBSTITUTE(SUBSTITUTE(SUBSTITUTE(UPPER(TRIM($DX556)),"0",""),"1",""),"2",""),"3",""),"4",""),"5",""),"6",""),"7",""),"8",""),"9",""),".",""),"+",""),"-",""),"E","")="",LEN(SUBSTITUTE(SUBSTITUTE(MID(UPPER(TRIM($DX556)),1+OR(LEFT(UPPER(TRIM($DX556)),1)="+",LEFT(UPPER(TRIM($DX556)),1)="-"),999),"E+","E"),"E-","E"))=LEN(SUBSTITUTE(SUBSTITUTE(SUBSTITUTE(SUBSTITUTE(MID(UPPER(TRIM($DX556)),1+OR(LEFT(UPPER(TRIM($DX556)),1)="+",LEFT(UPPER(TRIM($DX556)),1)="-"),999),"E+","E"),"E-","E"),"+",""),"-","")),LEN(UPPER(TRIM($DX556)))-LEN(SUBSTITUTE(UPPER(TRIM($DX556)),"E",""))&lt;2,LEN(UPPER(TRIM($DX556)))-LEN(SUBSTITUTE(UPPER(TRIM($DX556)),".",""))&lt;2,IFERROR(FIND(".",UPPER(TRIM($DX556))),0)&lt;IFERROR(FIND("E",UPPER(TRIM($DX556))),999)),ISNUMBER(VALUE(TRIM($DX556)))),VALUE(TRIM($DX556)),"")))),""))</f>
        <v/>
      </c>
      <c r="DZ556">
        <f>IF($DM556=0,"",IF($L$17=0,"",IFERROR(IF(ISNUMBER(INDEX(PASTE_ALL,$DF556,$L$17)),INDEX(PASTE_ALL,$DF556,$L$17),SUBSTITUTE(SUBSTITUTE(TRIM(SUBSTITUTE(SUBSTITUTE(SUBSTITUTE(SUBSTITUTE(INDEX(PASTE_ALL,$DF556,$L$17)," "," "),CHAR(9)," "),CHAR(10)," "),CHAR(13)," ")),",",""),"%","")),"")))</f>
        <v/>
      </c>
      <c r="EA556">
        <f>IF($DM556=0,"",IFERROR(IF(ISNUMBER($DZ556),$DZ556,IF($DZ556="","",IF(TRIM($DZ556)="",0,IF(AND(AND(SUBSTITUTE(SUBSTITUTE(SUBSTITUTE(SUBSTITUTE(SUBSTITUTE(SUBSTITUTE(SUBSTITUTE(SUBSTITUTE(SUBSTITUTE(SUBSTITUTE(SUBSTITUTE(SUBSTITUTE(SUBSTITUTE(SUBSTITUTE(UPPER(TRIM($DZ556)),"0",""),"1",""),"2",""),"3",""),"4",""),"5",""),"6",""),"7",""),"8",""),"9",""),".",""),"+",""),"-",""),"E","")="",LEN(SUBSTITUTE(SUBSTITUTE(MID(UPPER(TRIM($DZ556)),1+OR(LEFT(UPPER(TRIM($DZ556)),1)="+",LEFT(UPPER(TRIM($DZ556)),1)="-"),999),"E+","E"),"E-","E"))=LEN(SUBSTITUTE(SUBSTITUTE(SUBSTITUTE(SUBSTITUTE(MID(UPPER(TRIM($DZ556)),1+OR(LEFT(UPPER(TRIM($DZ556)),1)="+",LEFT(UPPER(TRIM($DZ556)),1)="-"),999),"E+","E"),"E-","E"),"+",""),"-","")),LEN(UPPER(TRIM($DZ556)))-LEN(SUBSTITUTE(UPPER(TRIM($DZ556)),"E",""))&lt;2,LEN(UPPER(TRIM($DZ556)))-LEN(SUBSTITUTE(UPPER(TRIM($DZ556)),".",""))&lt;2,IFERROR(FIND(".",UPPER(TRIM($DZ556))),0)&lt;IFERROR(FIND("E",UPPER(TRIM($DZ556))),999)),ISNUMBER(VALUE(TRIM($DZ556)))),VALUE(TRIM($DZ556)),"")))),""))</f>
        <v/>
      </c>
      <c r="EB556">
        <f>IF($DM556=0,"",IF($L$18=0,"",IFERROR(IF(UPPER(TRIM(SUBSTITUTE(SUBSTITUTE(SUBSTITUTE(SUBSTITUTE(INDEX(PASTE_ALL,$DF556,$L$18)," "," "),CHAR(9)," "),CHAR(10)," "),CHAR(13)," ")))="READY","Ready",IF(UPPER(TRIM(SUBSTITUTE(SUBSTITUTE(SUBSTITUTE(SUBSTITUTE(INDEX(PASTE_ALL,$DF556,$L$18)," "," "),CHAR(9)," "),CHAR(10)," "),CHAR(13)," ")))="PM","PM",IF(OR(UPPER(TRIM(SUBSTITUTE(SUBSTITUTE(SUBSTITUTE(SUBSTITUTE(INDEX(PASTE_ALL,$DF556,$L$18)," "," "),CHAR(9)," "),CHAR(10)," "),CHAR(13)," ")))="OT",UPPER(TRIM(SUBSTITUTE(SUBSTITUTE(SUBSTITUTE(SUBSTITUTE(INDEX(PASTE_ALL,$DF556,$L$18)," "," "),CHAR(9)," "),CHAR(10)," "),CHAR(13)," ")))="OVERTIME",UPPER(TRIM(SUBSTITUTE(SUBSTITUTE(SUBSTITUTE(SUBSTITUTE(INDEX(PASTE_ALL,$DF556,$L$18)," "," "),CHAR(9)," "),CHAR(10)," "),CHAR(13)," ")))="TRIAL"),"OT",TRIM(SUBSTITUTE(SUBSTITUTE(SUBSTITUTE(SUBSTITUTE(INDEX(PASTE_ALL,$DF556,$L$18)," "," "),CHAR(9)," "),CHAR(10)," "),CHAR(13)," "))))),"")))</f>
        <v/>
      </c>
      <c r="EC556">
        <f>IF($DM556=0,"",IF($L$19=0,"",IFERROR(IF(ISNUMBER(INDEX(PASTE_ALL,$DF556,$L$19)),INDEX(PASTE_ALL,$DF556,$L$19),TRIM(SUBSTITUTE(SUBSTITUTE(SUBSTITUTE(SUBSTITUTE(INDEX(PASTE_ALL,$DF556,$L$19)," "," "),CHAR(9)," "),CHAR(10)," "),CHAR(13)," "))),"")))</f>
        <v/>
      </c>
      <c r="ED556">
        <f>IF($DM556=0,"",MATCH(1,INDEX(EXACT($DH$5:DH556,$DH556)*$DM$5:DM556,0),0))</f>
        <v/>
      </c>
      <c r="EE556">
        <f>IF($DM556=0,0,IF($ED556=$DE556,1,0))</f>
        <v/>
      </c>
      <c r="EF556">
        <f>EF555+$EE556</f>
        <v/>
      </c>
      <c r="EG556">
        <f>IF($DM556=0,"",INDEX($EF$5:$EF$1003,$ED556))</f>
        <v/>
      </c>
      <c r="EH556">
        <f>IF($DM556=0,"",IF($DO556&lt;&gt;"","",IFERROR(LOOKUP(2,1/(($EG$4:EG555=$EG556)*($DO$4:DO555&lt;&gt;"")),$DO$4:DO555),"")))</f>
        <v/>
      </c>
      <c r="EI556">
        <f>IF($DM556=0,"",IF($DO556&lt;&gt;"",$DO556,$EH556))</f>
        <v/>
      </c>
      <c r="EJ556">
        <f>IF($DM556=0,"",IF($EI556="",0,IF(OR(ISNUMBER($EI556),AND(AND(SUBSTITUTE(SUBSTITUTE(SUBSTITUTE(SUBSTITUTE(SUBSTITUTE(SUBSTITUTE(SUBSTITUTE(SUBSTITUTE(SUBSTITUTE(SUBSTITUTE(SUBSTITUTE(SUBSTITUTE(SUBSTITUTE(SUBSTITUTE(UPPER($EI556),"0",""),"1",""),"2",""),"3",""),"4",""),"5",""),"6",""),"7",""),"8",""),"9",""),".",""),"+",""),"-",""),"E","")="",LEN(SUBSTITUTE(SUBSTITUTE(MID(UPPER($EI556),1+OR(LEFT(UPPER($EI556),1)="+",LEFT(UPPER($EI556),1)="-"),999),"E+","E"),"E-","E"))=LEN(SUBSTITUTE(SUBSTITUTE(SUBSTITUTE(SUBSTITUTE(MID(UPPER($EI556),1+OR(LEFT(UPPER($EI556),1)="+",LEFT(UPPER($EI556),1)="-"),999),"E+","E"),"E-","E"),"+",""),"-","")),LEN(UPPER($EI556))-LEN(SUBSTITUTE(UPPER($EI556),"E",""))&lt;2,LEN(UPPER($EI556))-LEN(SUBSTITUTE(UPPER($EI556),".",""))&lt;2,IFERROR(FIND(".",UPPER($EI556)),0)&lt;IFERROR(FIND("E",UPPER($EI556)),999)),ISNUMBER(VALUE($EI556)))),1,2)))</f>
        <v/>
      </c>
      <c r="EK556">
        <f>IF($DM556=0,"",IF($EJ556=1,IF(ISNUMBER($EI556),$EI556,VALUE($EI556)),IF($EJ556=2,$DE556,0)))</f>
        <v/>
      </c>
      <c r="EL556">
        <f>IF($DM556=0,"",COUNTIF($EG$5:$EG$1003,"&lt;"&amp;$EG556)+SUMPRODUCT(($EG$5:$EG$1003=$EG556)*(($EJ$5:$EJ$1003&lt;$EJ556)+($EJ$5:$EJ$1003=$EJ556)*(($EK$5:$EK$1003&lt;$EK556)+($EK$5:$EK$1003=$EK556)*($DE$5:$DE$1003&lt;$DE556))))+1)</f>
        <v/>
      </c>
      <c r="EM556">
        <f>IF($DM556=0,"",$EL556+$EG556-1)</f>
        <v/>
      </c>
      <c r="EN556">
        <f>IF($DM556=0,0,IFERROR(MATCH(1,INDEX(--(TRIM(SUBSTITUTE(SUBSTITUTE(SUBSTITUTE(SUBSTITUTE(LINES_NAME&amp;""," "," "),CHAR(9)," "),CHAR(10)," "),CHAR(13)," "))=$DH556),0),0),0))</f>
        <v/>
      </c>
      <c r="EO556">
        <f>IF($EN556=0,0,IF(OR(UPPER(TRIM(INDEX(LINES_SCHEDULED,$EN556)&amp;""))="YES",UPPER(TRIM(INDEX(LINES_SCHEDULED,$EN556)&amp;""))="Y",UPPER(TRIM(INDEX(LINES_SCHEDULED,$EN556)&amp;""))="X"),1,0))</f>
        <v/>
      </c>
      <c r="EP556">
        <f>IF($DM556=0,"",IF(COUNTIFS($EG$5:$EG$1003,$EG556,$EB$5:$EB$1003,"Ready")&gt;0,"READY",IF(COUNTIFS($EG$5:$EG$1003,$EG556,$EB$5:$EB$1003,"PM")&gt;0,"PM",IF(COUNTIFS($EG$5:$EG$1003,$EG556,$EB$5:$EB$1003,"OT")&gt;0,"OT",""))))</f>
        <v/>
      </c>
      <c r="EQ556">
        <f>IF($EN556=0,"",UPPER(TRIM(INDEX(LINES_STATUS,$EN556)&amp;"")))</f>
        <v/>
      </c>
      <c r="ER556">
        <f>IF($DM556=0,"",IF(OR($EQ556="READY",$EQ556="PM",$EQ556="OT"),$EQ556,$EP556))</f>
        <v/>
      </c>
      <c r="ES556">
        <f>IF($DM556=0,"",IF(AND($DV556&lt;&gt;"",UPPER($DV556)&lt;&gt;"N"),"allergen",IF(ISNUMBER(SEARCH("oil",$DQ556)),"oil",IF(OR(EXACT($DS556,"A662"),EXACT($DS556,"A624")),"bulk",""))))</f>
        <v/>
      </c>
      <c r="ET556">
        <f>IF($DM556=0,"",IF(OR($EA556="",$EA556=0),"",$EA556/100))</f>
        <v/>
      </c>
      <c r="EU556">
        <f>IF(OR($ET556="",$DY556=""),"",INT($DY556*(1-$ET556)+0.5))</f>
        <v/>
      </c>
      <c r="EW556" t="n">
        <v>552</v>
      </c>
      <c r="EX556">
        <f>IFERROR(MATCH($EW556,$EM$5:$EM$1003,0),0)</f>
        <v/>
      </c>
      <c r="EY556">
        <f>IF($EW556&gt;$B$12,"",IF($EX556&gt;0,"row","spacer"))</f>
        <v/>
      </c>
      <c r="EZ556">
        <f>IF(AND($EY556="row",$EY555&lt;&gt;"row"),1,0)</f>
        <v/>
      </c>
      <c r="FA556">
        <f>IF(AND($EY556="row",$EY557&lt;&gt;"row"),1,0)</f>
        <v/>
      </c>
      <c r="FB556">
        <f>IF($EZ556=1,IFERROR(IF(ISNUMBER(INDEX(PASTE_ALL,INDEX($DF$5:$DF$1003,$EX556),$B$37)),INDEX(PASTE_ALL,INDEX($DF$5:$DF$1003,$EX556),$B$37),INDEX($DH$5:$DH$1003,$EX556)),INDEX($DH$5:$DH$1003,$EX556)),"")</f>
        <v/>
      </c>
      <c r="FC556">
        <f>IF($EY556="row",INDEX($ER$5:$ER$1003,$EX556),"")</f>
        <v/>
      </c>
      <c r="FD556">
        <f>IF($EY556="row",INDEX($DN$5:$DN$1003,$EX556),"")</f>
        <v/>
      </c>
      <c r="FE556">
        <f>IF($EY556="row",INDEX($DO$5:$DO$1003,$EX556),"")</f>
        <v/>
      </c>
      <c r="FF556">
        <f>IF($EY556="row",INDEX($DP$5:$DP$1003,$EX556),"")</f>
        <v/>
      </c>
      <c r="FG556">
        <f>IF($EY556="row",INDEX($DQ$5:$DQ$1003,$EX556),"")</f>
        <v/>
      </c>
      <c r="FH556">
        <f>IF($EY556="row",INDEX($DR$5:$DR$1003,$EX556),"")</f>
        <v/>
      </c>
      <c r="FI556">
        <f>IF($EY556="row",INDEX($DS$5:$DS$1003,$EX556),"")</f>
        <v/>
      </c>
      <c r="FJ556">
        <f>IF($EY556="row",INDEX($DT$5:$DT$1003,$EX556),"")</f>
        <v/>
      </c>
      <c r="FK556">
        <f>IF($EY556="row",INDEX($DU$5:$DU$1003,$EX556),"")</f>
        <v/>
      </c>
      <c r="FL556">
        <f>IF($EY556="row",INDEX($DV$5:$DV$1003,$EX556),"")</f>
        <v/>
      </c>
      <c r="FM556">
        <f>IF($EY556="row",INDEX($DW$5:$DW$1003,$EX556),"")</f>
        <v/>
      </c>
      <c r="FN556">
        <f>IF($EY556="row",INDEX($DY$5:$DY$1003,$EX556),"")</f>
        <v/>
      </c>
      <c r="FO556">
        <f>IF($EY556="row",INDEX($EA$5:$EA$1003,$EX556),"")</f>
        <v/>
      </c>
      <c r="FP556">
        <f>IF($EY556="row",INDEX($EC$5:$EC$1003,$EX556),"")</f>
        <v/>
      </c>
      <c r="FQ556">
        <f>IF($EY556="row",INDEX($ET$5:$ET$1003,$EX556),"")</f>
        <v/>
      </c>
      <c r="FR556">
        <f>IF($EY556="row",INDEX($EU$5:$EU$1003,$EX556),"")</f>
        <v/>
      </c>
      <c r="FS556">
        <f>IF(AND($EY556="row",$EY555="row"),IF(OR(INDEX($DT$5:$DT$1003,$EX555)="",INDEX($DT$5:$DT$1003,$EX556)=""),"",IF(NOT(EXACT(INDEX($DT$5:$DT$1003,$EX555),INDEX($DT$5:$DT$1003,$EX556))),"S4",IF(NOT(EXACT(INDEX($DS$5:$DS$1003,$EX555),INDEX($DS$5:$DS$1003,$EX556))),"S3",IF(NOT(EXACT(INDEX($DR$5:$DR$1003,$EX555),INDEX($DR$5:$DR$1003,$EX556))),"S1 Count Change","S1")))),"")</f>
        <v/>
      </c>
      <c r="FT556">
        <f>IF($EY556="row",INDEX($ES$5:$ES$1003,$EX556),"")</f>
        <v/>
      </c>
      <c r="FU556">
        <f>IF($EY556="row",INDEX($EO$5:$EO$1003,$EX556),0)</f>
        <v/>
      </c>
      <c r="FV556">
        <f>IF($FS556="S1 Count Change",1,0)</f>
        <v/>
      </c>
    </row>
    <row r="557">
      <c r="DA557" t="n">
        <v>553</v>
      </c>
      <c r="DB557">
        <f>IF($B$37=0,"",IFERROR(TRIM(SUBSTITUTE(SUBSTITUTE(SUBSTITUTE(SUBSTITUTE(INDEX(PASTE_ALL,553,$B$37)," "," "),CHAR(9)," "),CHAR(10)," "),CHAR(13)," ")),""))</f>
        <v/>
      </c>
      <c r="DC557">
        <f>IF(AND(553&gt;HEADER_ROW,UPPER(DB557)="LEGEND"),1,0)</f>
        <v/>
      </c>
      <c r="DE557" t="n">
        <v>553</v>
      </c>
      <c r="DF557">
        <f>HEADER_ROW+$DE557</f>
        <v/>
      </c>
      <c r="DG557">
        <f>IF(AND($DF557&lt;=1000,$DF557&lt;$B$8),1,0)</f>
        <v/>
      </c>
      <c r="DH557">
        <f>IF($DG557=1,IFERROR(INDEX($DB$5:$DB$1004,$DF557),""),"")</f>
        <v/>
      </c>
      <c r="DI557">
        <f>IF(AND($DG557=1,$DH557&lt;&gt;""),IFERROR(SUBSTITUTE(SUBSTITUTE(TRIM(SUBSTITUTE(SUBSTITUTE(SUBSTITUTE(SUBSTITUTE(IFERROR(INDEX(PASTE_ALL,$DF557,1)&amp;"","")&amp;"␟"&amp;IFERROR(INDEX(PASTE_ALL,$DF557,2)&amp;"","")&amp;"␟"&amp;IFERROR(INDEX(PASTE_ALL,$DF557,3)&amp;"","")&amp;"␟"&amp;IFERROR(INDEX(PASTE_ALL,$DF557,4)&amp;"","")&amp;"␟"&amp;IFERROR(INDEX(PASTE_ALL,$DF557,5)&amp;"","")&amp;"␟"&amp;IFERROR(INDEX(PASTE_ALL,$DF557,6)&amp;"","")&amp;"␟"&amp;IFERROR(INDEX(PASTE_ALL,$DF557,7)&amp;"","")&amp;"␟"&amp;IFERROR(INDEX(PASTE_ALL,$DF557,8)&amp;"","")&amp;"␟"&amp;IFERROR(INDEX(PASTE_ALL,$DF557,9)&amp;"","")&amp;"␟"&amp;IFERROR(INDEX(PASTE_ALL,$DF557,10)&amp;"","")&amp;"␟"&amp;IFERROR(INDEX(PASTE_ALL,$DF557,11)&amp;"","")&amp;"␟"&amp;IFERROR(INDEX(PASTE_ALL,$DF557,12)&amp;"","")&amp;"␟"&amp;IFERROR(INDEX(PASTE_ALL,$DF557,13)&amp;"","")&amp;"␟"&amp;IFERROR(INDEX(PASTE_ALL,$DF557,14)&amp;"","")&amp;"␟"&amp;IFERROR(INDEX(PASTE_ALL,$DF557,15)&amp;"","")&amp;"␟"&amp;IFERROR(INDEX(PASTE_ALL,$DF557,16)&amp;"","")&amp;"␟"&amp;IFERROR(INDEX(PASTE_ALL,$DF557,17)&amp;"","")&amp;"␟"&amp;IFERROR(INDEX(PASTE_ALL,$DF557,18)&amp;"","")&amp;"␟"&amp;IFERROR(INDEX(PASTE_ALL,$DF557,19)&amp;"","")&amp;"␟"&amp;IFERROR(INDEX(PASTE_ALL,$DF557,20)&amp;"","")&amp;"␟"&amp;IFERROR(INDEX(PASTE_ALL,$DF557,21)&amp;"","")&amp;"␟"&amp;IFERROR(INDEX(PASTE_ALL,$DF557,22)&amp;"","")&amp;"␟"&amp;IFERROR(INDEX(PASTE_ALL,$DF557,23)&amp;"","")&amp;"␟"&amp;IFERROR(INDEX(PASTE_ALL,$DF557,24)&amp;"","")&amp;"␟"&amp;IFERROR(INDEX(PASTE_ALL,$DF557,25)&amp;"","")&amp;"␟"&amp;IFERROR(INDEX(PASTE_ALL,$DF557,26)&amp;"","")&amp;"␟"&amp;IFERROR(INDEX(PASTE_ALL,$DF557,27)&amp;"","")&amp;"␟"&amp;IFERROR(INDEX(PASTE_ALL,$DF557,28)&amp;"","")&amp;"␟"&amp;IFERROR(INDEX(PASTE_ALL,$DF557,29)&amp;"","")&amp;"␟"&amp;IFERROR(INDEX(PASTE_ALL,$DF557,30)&amp;"","")&amp;"␟"&amp;IFERROR(INDEX(PASTE_ALL,$DF557,31)&amp;"","")&amp;"␟"&amp;IFERROR(INDEX(PASTE_ALL,$DF557,32)&amp;"","")&amp;"␟"&amp;IFERROR(INDEX(PASTE_ALL,$DF557,33)&amp;"","")&amp;"␟"&amp;IFERROR(INDEX(PASTE_ALL,$DF557,34)&amp;"","")&amp;"␟"&amp;IFERROR(INDEX(PASTE_ALL,$DF557,35)&amp;"","")&amp;"␟"&amp;IFERROR(INDEX(PASTE_ALL,$DF557,36)&amp;"","")&amp;"␟"&amp;IFERROR(INDEX(PASTE_ALL,$DF557,37)&amp;"","")&amp;"␟"&amp;IFERROR(INDEX(PASTE_ALL,$DF557,38)&amp;"","")&amp;"␟"&amp;IFERROR(INDEX(PASTE_ALL,$DF557,39)&amp;"","")&amp;"␟"&amp;IFERROR(INDEX(PASTE_ALL,$DF557,40)&amp;"","")&amp;"␟"&amp;IFERROR(INDEX(PASTE_ALL,$DF557,41)&amp;"","")&amp;"␟"&amp;IFERROR(INDEX(PASTE_ALL,$DF557,42)&amp;"","")&amp;"␟"&amp;IFERROR(INDEX(PASTE_ALL,$DF557,43)&amp;"","")&amp;"␟"&amp;IFERROR(INDEX(PASTE_ALL,$DF557,44)&amp;"","")&amp;"␟"&amp;IFERROR(INDEX(PASTE_ALL,$DF557,45)&amp;"","")&amp;"␟"&amp;IFERROR(INDEX(PASTE_ALL,$DF557,46)&amp;"","")&amp;"␟"&amp;IFERROR(INDEX(PASTE_ALL,$DF557,47)&amp;"","")&amp;"␟"&amp;IFERROR(INDEX(PASTE_ALL,$DF557,48)&amp;"","")&amp;"␟"&amp;IFERROR(INDEX(PASTE_ALL,$DF557,49)&amp;"","")&amp;"␟"&amp;IFERROR(INDEX(PASTE_ALL,$DF557,50)&amp;"","")&amp;"␟"&amp;IFERROR(INDEX(PASTE_ALL,$DF557,51)&amp;"","")&amp;"␟"&amp;IFERROR(INDEX(PASTE_ALL,$DF557,52)&amp;"","")&amp;"␟"&amp;IFERROR(INDEX(PASTE_ALL,$DF557,53)&amp;"","")&amp;"␟"&amp;IFERROR(INDEX(PASTE_ALL,$DF557,54)&amp;"","")&amp;"␟"&amp;IFERROR(INDEX(PASTE_ALL,$DF557,55)&amp;"","")&amp;"␟"&amp;IFERROR(INDEX(PASTE_ALL,$DF557,56)&amp;"","")&amp;"␟"&amp;IFERROR(INDEX(PASTE_ALL,$DF557,57)&amp;"","")&amp;"␟"&amp;IFERROR(INDEX(PASTE_ALL,$DF557,58)&amp;"","")&amp;"␟"&amp;IFERROR(INDEX(PASTE_ALL,$DF557,59)&amp;"","")&amp;"␟"&amp;IFERROR(INDEX(PASTE_ALL,$DF557,60)&amp;"","")," "," "),CHAR(9)," "),CHAR(10)," "),CHAR(13)," "))," ␟","␟"),"␟ ","␟"),"#"&amp;$DE557),"")</f>
        <v/>
      </c>
      <c r="DJ557">
        <f>IF($DI557="",0,IF(SUMPRODUCT(--EXACT($DI$4:DI556,$DI557))&gt;0,1,0))</f>
        <v/>
      </c>
      <c r="DK557">
        <f>IF(AND($DI557&lt;&gt;"",$DJ557=0),1,0)</f>
        <v/>
      </c>
      <c r="DL557">
        <f>DL556+$DK557</f>
        <v/>
      </c>
      <c r="DM557">
        <f>IF(AND($DK557=1,$DL557&lt;=600),1,0)</f>
        <v/>
      </c>
      <c r="DN557">
        <f>IF($DM557=0,"",IF($L$6=0,"",IFERROR(IF(ISNUMBER(INDEX(PASTE_ALL,$DF557,$L$6)),INDEX(PASTE_ALL,$DF557,$L$6),TRIM(SUBSTITUTE(SUBSTITUTE(SUBSTITUTE(SUBSTITUTE(INDEX(PASTE_ALL,$DF557,$L$6)," "," "),CHAR(9)," "),CHAR(10)," "),CHAR(13)," "))),"")))</f>
        <v/>
      </c>
      <c r="DO557">
        <f>IF($DM557=0,"",IF($L$7=0,"",IFERROR(IF(ISNUMBER(INDEX(PASTE_ALL,$DF557,$L$7)),INDEX(PASTE_ALL,$DF557,$L$7),TRIM(SUBSTITUTE(SUBSTITUTE(SUBSTITUTE(SUBSTITUTE(INDEX(PASTE_ALL,$DF557,$L$7)," "," "),CHAR(9)," "),CHAR(10)," "),CHAR(13)," "))),"")))</f>
        <v/>
      </c>
      <c r="DP557">
        <f>IF($DM557=0,"",IF($L$8=0,"",IFERROR(IF(ISNUMBER(INDEX(PASTE_ALL,$DF557,$L$8)),INDEX(PASTE_ALL,$DF557,$L$8),TRIM(SUBSTITUTE(SUBSTITUTE(SUBSTITUTE(SUBSTITUTE(INDEX(PASTE_ALL,$DF557,$L$8)," "," "),CHAR(9)," "),CHAR(10)," "),CHAR(13)," "))),"")))</f>
        <v/>
      </c>
      <c r="DQ557">
        <f>IF($DM557=0,"",IF($L$9=0,"",IFERROR(IF(ISNUMBER(INDEX(PASTE_ALL,$DF557,$L$9)),INDEX(PASTE_ALL,$DF557,$L$9),TRIM(SUBSTITUTE(SUBSTITUTE(SUBSTITUTE(SUBSTITUTE(INDEX(PASTE_ALL,$DF557,$L$9)," "," "),CHAR(9)," "),CHAR(10)," "),CHAR(13)," "))),"")))</f>
        <v/>
      </c>
      <c r="DR557">
        <f>IF($DM557=0,"",IF($L$10=0,"",IFERROR(IF(ISNUMBER(INDEX(PASTE_ALL,$DF557,$L$10)),INDEX(PASTE_ALL,$DF557,$L$10),TRIM(SUBSTITUTE(SUBSTITUTE(SUBSTITUTE(SUBSTITUTE(INDEX(PASTE_ALL,$DF557,$L$10)," "," "),CHAR(9)," "),CHAR(10)," "),CHAR(13)," "))),"")))</f>
        <v/>
      </c>
      <c r="DS557">
        <f>IF($DM557=0,"",IF($L$11=0,"",IFERROR(IF(ISNUMBER(INDEX(PASTE_ALL,$DF557,$L$11)),INDEX(PASTE_ALL,$DF557,$L$11),TRIM(SUBSTITUTE(SUBSTITUTE(SUBSTITUTE(SUBSTITUTE(INDEX(PASTE_ALL,$DF557,$L$11)," "," "),CHAR(9)," "),CHAR(10)," "),CHAR(13)," "))),"")))</f>
        <v/>
      </c>
      <c r="DT557">
        <f>IF($DM557=0,"",IF($L$12=0,"",IFERROR(IF(ISNUMBER(INDEX(PASTE_ALL,$DF557,$L$12)),INDEX(PASTE_ALL,$DF557,$L$12),TRIM(SUBSTITUTE(SUBSTITUTE(SUBSTITUTE(SUBSTITUTE(INDEX(PASTE_ALL,$DF557,$L$12)," "," "),CHAR(9)," "),CHAR(10)," "),CHAR(13)," "))),"")))</f>
        <v/>
      </c>
      <c r="DU557">
        <f>IF($DM557=0,"",IF($L$13=0,"",IFERROR(IF(ISNUMBER(INDEX(PASTE_ALL,$DF557,$L$13)),INDEX(PASTE_ALL,$DF557,$L$13),TRIM(SUBSTITUTE(SUBSTITUTE(SUBSTITUTE(SUBSTITUTE(INDEX(PASTE_ALL,$DF557,$L$13)," "," "),CHAR(9)," "),CHAR(10)," "),CHAR(13)," "))),"")))</f>
        <v/>
      </c>
      <c r="DV557">
        <f>IF($DM557=0,"",IF($L$14=0,"",IFERROR(IF(ISNUMBER(INDEX(PASTE_ALL,$DF557,$L$14)),INDEX(PASTE_ALL,$DF557,$L$14),TRIM(SUBSTITUTE(SUBSTITUTE(SUBSTITUTE(SUBSTITUTE(INDEX(PASTE_ALL,$DF557,$L$14)," "," "),CHAR(9)," "),CHAR(10)," "),CHAR(13)," "))),"")))</f>
        <v/>
      </c>
      <c r="DW557">
        <f>IF($DM557=0,"",IF($L$15=0,"",IFERROR(IF(ISNUMBER(INDEX(PASTE_ALL,$DF557,$L$15)),INDEX(PASTE_ALL,$DF557,$L$15),IF(SUMPRODUCT(--ISNUMBER(FIND({"A","B","C","D","E","F","G","H","I","J","K","L","M","N","O","P","Q","R","S","T","U","V","W","X","Y","Z","0","1","2","3","4","5","6","7","8","9"},UPPER(TRIM(SUBSTITUTE(SUBSTITUTE(SUBSTITUTE(SUBSTITUTE(INDEX(PASTE_ALL,$DF557,$L$15)," "," "),CHAR(9)," "),CHAR(10)," "),CHAR(13)," "))))))&gt;0,TRIM(SUBSTITUTE(SUBSTITUTE(SUBSTITUTE(SUBSTITUTE(INDEX(PASTE_ALL,$DF557,$L$15)," "," "),CHAR(9)," "),CHAR(10)," "),CHAR(13)," ")),"")),"")))</f>
        <v/>
      </c>
      <c r="DX557">
        <f>IF($DM557=0,"",IF($L$16=0,"",IFERROR(IF(ISNUMBER(INDEX(PASTE_ALL,$DF557,$L$16)),INDEX(PASTE_ALL,$DF557,$L$16),SUBSTITUTE(SUBSTITUTE(TRIM(SUBSTITUTE(SUBSTITUTE(SUBSTITUTE(SUBSTITUTE(INDEX(PASTE_ALL,$DF557,$L$16)," "," "),CHAR(9)," "),CHAR(10)," "),CHAR(13)," ")),",",""),"%","")),"")))</f>
        <v/>
      </c>
      <c r="DY557">
        <f>IF($DM557=0,"",IFERROR(IF(ISNUMBER($DX557),$DX557,IF($DX557="","",IF(TRIM($DX557)="",0,IF(AND(AND(SUBSTITUTE(SUBSTITUTE(SUBSTITUTE(SUBSTITUTE(SUBSTITUTE(SUBSTITUTE(SUBSTITUTE(SUBSTITUTE(SUBSTITUTE(SUBSTITUTE(SUBSTITUTE(SUBSTITUTE(SUBSTITUTE(SUBSTITUTE(UPPER(TRIM($DX557)),"0",""),"1",""),"2",""),"3",""),"4",""),"5",""),"6",""),"7",""),"8",""),"9",""),".",""),"+",""),"-",""),"E","")="",LEN(SUBSTITUTE(SUBSTITUTE(MID(UPPER(TRIM($DX557)),1+OR(LEFT(UPPER(TRIM($DX557)),1)="+",LEFT(UPPER(TRIM($DX557)),1)="-"),999),"E+","E"),"E-","E"))=LEN(SUBSTITUTE(SUBSTITUTE(SUBSTITUTE(SUBSTITUTE(MID(UPPER(TRIM($DX557)),1+OR(LEFT(UPPER(TRIM($DX557)),1)="+",LEFT(UPPER(TRIM($DX557)),1)="-"),999),"E+","E"),"E-","E"),"+",""),"-","")),LEN(UPPER(TRIM($DX557)))-LEN(SUBSTITUTE(UPPER(TRIM($DX557)),"E",""))&lt;2,LEN(UPPER(TRIM($DX557)))-LEN(SUBSTITUTE(UPPER(TRIM($DX557)),".",""))&lt;2,IFERROR(FIND(".",UPPER(TRIM($DX557))),0)&lt;IFERROR(FIND("E",UPPER(TRIM($DX557))),999)),ISNUMBER(VALUE(TRIM($DX557)))),VALUE(TRIM($DX557)),"")))),""))</f>
        <v/>
      </c>
      <c r="DZ557">
        <f>IF($DM557=0,"",IF($L$17=0,"",IFERROR(IF(ISNUMBER(INDEX(PASTE_ALL,$DF557,$L$17)),INDEX(PASTE_ALL,$DF557,$L$17),SUBSTITUTE(SUBSTITUTE(TRIM(SUBSTITUTE(SUBSTITUTE(SUBSTITUTE(SUBSTITUTE(INDEX(PASTE_ALL,$DF557,$L$17)," "," "),CHAR(9)," "),CHAR(10)," "),CHAR(13)," ")),",",""),"%","")),"")))</f>
        <v/>
      </c>
      <c r="EA557">
        <f>IF($DM557=0,"",IFERROR(IF(ISNUMBER($DZ557),$DZ557,IF($DZ557="","",IF(TRIM($DZ557)="",0,IF(AND(AND(SUBSTITUTE(SUBSTITUTE(SUBSTITUTE(SUBSTITUTE(SUBSTITUTE(SUBSTITUTE(SUBSTITUTE(SUBSTITUTE(SUBSTITUTE(SUBSTITUTE(SUBSTITUTE(SUBSTITUTE(SUBSTITUTE(SUBSTITUTE(UPPER(TRIM($DZ557)),"0",""),"1",""),"2",""),"3",""),"4",""),"5",""),"6",""),"7",""),"8",""),"9",""),".",""),"+",""),"-",""),"E","")="",LEN(SUBSTITUTE(SUBSTITUTE(MID(UPPER(TRIM($DZ557)),1+OR(LEFT(UPPER(TRIM($DZ557)),1)="+",LEFT(UPPER(TRIM($DZ557)),1)="-"),999),"E+","E"),"E-","E"))=LEN(SUBSTITUTE(SUBSTITUTE(SUBSTITUTE(SUBSTITUTE(MID(UPPER(TRIM($DZ557)),1+OR(LEFT(UPPER(TRIM($DZ557)),1)="+",LEFT(UPPER(TRIM($DZ557)),1)="-"),999),"E+","E"),"E-","E"),"+",""),"-","")),LEN(UPPER(TRIM($DZ557)))-LEN(SUBSTITUTE(UPPER(TRIM($DZ557)),"E",""))&lt;2,LEN(UPPER(TRIM($DZ557)))-LEN(SUBSTITUTE(UPPER(TRIM($DZ557)),".",""))&lt;2,IFERROR(FIND(".",UPPER(TRIM($DZ557))),0)&lt;IFERROR(FIND("E",UPPER(TRIM($DZ557))),999)),ISNUMBER(VALUE(TRIM($DZ557)))),VALUE(TRIM($DZ557)),"")))),""))</f>
        <v/>
      </c>
      <c r="EB557">
        <f>IF($DM557=0,"",IF($L$18=0,"",IFERROR(IF(UPPER(TRIM(SUBSTITUTE(SUBSTITUTE(SUBSTITUTE(SUBSTITUTE(INDEX(PASTE_ALL,$DF557,$L$18)," "," "),CHAR(9)," "),CHAR(10)," "),CHAR(13)," ")))="READY","Ready",IF(UPPER(TRIM(SUBSTITUTE(SUBSTITUTE(SUBSTITUTE(SUBSTITUTE(INDEX(PASTE_ALL,$DF557,$L$18)," "," "),CHAR(9)," "),CHAR(10)," "),CHAR(13)," ")))="PM","PM",IF(OR(UPPER(TRIM(SUBSTITUTE(SUBSTITUTE(SUBSTITUTE(SUBSTITUTE(INDEX(PASTE_ALL,$DF557,$L$18)," "," "),CHAR(9)," "),CHAR(10)," "),CHAR(13)," ")))="OT",UPPER(TRIM(SUBSTITUTE(SUBSTITUTE(SUBSTITUTE(SUBSTITUTE(INDEX(PASTE_ALL,$DF557,$L$18)," "," "),CHAR(9)," "),CHAR(10)," "),CHAR(13)," ")))="OVERTIME",UPPER(TRIM(SUBSTITUTE(SUBSTITUTE(SUBSTITUTE(SUBSTITUTE(INDEX(PASTE_ALL,$DF557,$L$18)," "," "),CHAR(9)," "),CHAR(10)," "),CHAR(13)," ")))="TRIAL"),"OT",TRIM(SUBSTITUTE(SUBSTITUTE(SUBSTITUTE(SUBSTITUTE(INDEX(PASTE_ALL,$DF557,$L$18)," "," "),CHAR(9)," "),CHAR(10)," "),CHAR(13)," "))))),"")))</f>
        <v/>
      </c>
      <c r="EC557">
        <f>IF($DM557=0,"",IF($L$19=0,"",IFERROR(IF(ISNUMBER(INDEX(PASTE_ALL,$DF557,$L$19)),INDEX(PASTE_ALL,$DF557,$L$19),TRIM(SUBSTITUTE(SUBSTITUTE(SUBSTITUTE(SUBSTITUTE(INDEX(PASTE_ALL,$DF557,$L$19)," "," "),CHAR(9)," "),CHAR(10)," "),CHAR(13)," "))),"")))</f>
        <v/>
      </c>
      <c r="ED557">
        <f>IF($DM557=0,"",MATCH(1,INDEX(EXACT($DH$5:DH557,$DH557)*$DM$5:DM557,0),0))</f>
        <v/>
      </c>
      <c r="EE557">
        <f>IF($DM557=0,0,IF($ED557=$DE557,1,0))</f>
        <v/>
      </c>
      <c r="EF557">
        <f>EF556+$EE557</f>
        <v/>
      </c>
      <c r="EG557">
        <f>IF($DM557=0,"",INDEX($EF$5:$EF$1003,$ED557))</f>
        <v/>
      </c>
      <c r="EH557">
        <f>IF($DM557=0,"",IF($DO557&lt;&gt;"","",IFERROR(LOOKUP(2,1/(($EG$4:EG556=$EG557)*($DO$4:DO556&lt;&gt;"")),$DO$4:DO556),"")))</f>
        <v/>
      </c>
      <c r="EI557">
        <f>IF($DM557=0,"",IF($DO557&lt;&gt;"",$DO557,$EH557))</f>
        <v/>
      </c>
      <c r="EJ557">
        <f>IF($DM557=0,"",IF($EI557="",0,IF(OR(ISNUMBER($EI557),AND(AND(SUBSTITUTE(SUBSTITUTE(SUBSTITUTE(SUBSTITUTE(SUBSTITUTE(SUBSTITUTE(SUBSTITUTE(SUBSTITUTE(SUBSTITUTE(SUBSTITUTE(SUBSTITUTE(SUBSTITUTE(SUBSTITUTE(SUBSTITUTE(UPPER($EI557),"0",""),"1",""),"2",""),"3",""),"4",""),"5",""),"6",""),"7",""),"8",""),"9",""),".",""),"+",""),"-",""),"E","")="",LEN(SUBSTITUTE(SUBSTITUTE(MID(UPPER($EI557),1+OR(LEFT(UPPER($EI557),1)="+",LEFT(UPPER($EI557),1)="-"),999),"E+","E"),"E-","E"))=LEN(SUBSTITUTE(SUBSTITUTE(SUBSTITUTE(SUBSTITUTE(MID(UPPER($EI557),1+OR(LEFT(UPPER($EI557),1)="+",LEFT(UPPER($EI557),1)="-"),999),"E+","E"),"E-","E"),"+",""),"-","")),LEN(UPPER($EI557))-LEN(SUBSTITUTE(UPPER($EI557),"E",""))&lt;2,LEN(UPPER($EI557))-LEN(SUBSTITUTE(UPPER($EI557),".",""))&lt;2,IFERROR(FIND(".",UPPER($EI557)),0)&lt;IFERROR(FIND("E",UPPER($EI557)),999)),ISNUMBER(VALUE($EI557)))),1,2)))</f>
        <v/>
      </c>
      <c r="EK557">
        <f>IF($DM557=0,"",IF($EJ557=1,IF(ISNUMBER($EI557),$EI557,VALUE($EI557)),IF($EJ557=2,$DE557,0)))</f>
        <v/>
      </c>
      <c r="EL557">
        <f>IF($DM557=0,"",COUNTIF($EG$5:$EG$1003,"&lt;"&amp;$EG557)+SUMPRODUCT(($EG$5:$EG$1003=$EG557)*(($EJ$5:$EJ$1003&lt;$EJ557)+($EJ$5:$EJ$1003=$EJ557)*(($EK$5:$EK$1003&lt;$EK557)+($EK$5:$EK$1003=$EK557)*($DE$5:$DE$1003&lt;$DE557))))+1)</f>
        <v/>
      </c>
      <c r="EM557">
        <f>IF($DM557=0,"",$EL557+$EG557-1)</f>
        <v/>
      </c>
      <c r="EN557">
        <f>IF($DM557=0,0,IFERROR(MATCH(1,INDEX(--(TRIM(SUBSTITUTE(SUBSTITUTE(SUBSTITUTE(SUBSTITUTE(LINES_NAME&amp;""," "," "),CHAR(9)," "),CHAR(10)," "),CHAR(13)," "))=$DH557),0),0),0))</f>
        <v/>
      </c>
      <c r="EO557">
        <f>IF($EN557=0,0,IF(OR(UPPER(TRIM(INDEX(LINES_SCHEDULED,$EN557)&amp;""))="YES",UPPER(TRIM(INDEX(LINES_SCHEDULED,$EN557)&amp;""))="Y",UPPER(TRIM(INDEX(LINES_SCHEDULED,$EN557)&amp;""))="X"),1,0))</f>
        <v/>
      </c>
      <c r="EP557">
        <f>IF($DM557=0,"",IF(COUNTIFS($EG$5:$EG$1003,$EG557,$EB$5:$EB$1003,"Ready")&gt;0,"READY",IF(COUNTIFS($EG$5:$EG$1003,$EG557,$EB$5:$EB$1003,"PM")&gt;0,"PM",IF(COUNTIFS($EG$5:$EG$1003,$EG557,$EB$5:$EB$1003,"OT")&gt;0,"OT",""))))</f>
        <v/>
      </c>
      <c r="EQ557">
        <f>IF($EN557=0,"",UPPER(TRIM(INDEX(LINES_STATUS,$EN557)&amp;"")))</f>
        <v/>
      </c>
      <c r="ER557">
        <f>IF($DM557=0,"",IF(OR($EQ557="READY",$EQ557="PM",$EQ557="OT"),$EQ557,$EP557))</f>
        <v/>
      </c>
      <c r="ES557">
        <f>IF($DM557=0,"",IF(AND($DV557&lt;&gt;"",UPPER($DV557)&lt;&gt;"N"),"allergen",IF(ISNUMBER(SEARCH("oil",$DQ557)),"oil",IF(OR(EXACT($DS557,"A662"),EXACT($DS557,"A624")),"bulk",""))))</f>
        <v/>
      </c>
      <c r="ET557">
        <f>IF($DM557=0,"",IF(OR($EA557="",$EA557=0),"",$EA557/100))</f>
        <v/>
      </c>
      <c r="EU557">
        <f>IF(OR($ET557="",$DY557=""),"",INT($DY557*(1-$ET557)+0.5))</f>
        <v/>
      </c>
      <c r="EW557" t="n">
        <v>553</v>
      </c>
      <c r="EX557">
        <f>IFERROR(MATCH($EW557,$EM$5:$EM$1003,0),0)</f>
        <v/>
      </c>
      <c r="EY557">
        <f>IF($EW557&gt;$B$12,"",IF($EX557&gt;0,"row","spacer"))</f>
        <v/>
      </c>
      <c r="EZ557">
        <f>IF(AND($EY557="row",$EY556&lt;&gt;"row"),1,0)</f>
        <v/>
      </c>
      <c r="FA557">
        <f>IF(AND($EY557="row",$EY558&lt;&gt;"row"),1,0)</f>
        <v/>
      </c>
      <c r="FB557">
        <f>IF($EZ557=1,IFERROR(IF(ISNUMBER(INDEX(PASTE_ALL,INDEX($DF$5:$DF$1003,$EX557),$B$37)),INDEX(PASTE_ALL,INDEX($DF$5:$DF$1003,$EX557),$B$37),INDEX($DH$5:$DH$1003,$EX557)),INDEX($DH$5:$DH$1003,$EX557)),"")</f>
        <v/>
      </c>
      <c r="FC557">
        <f>IF($EY557="row",INDEX($ER$5:$ER$1003,$EX557),"")</f>
        <v/>
      </c>
      <c r="FD557">
        <f>IF($EY557="row",INDEX($DN$5:$DN$1003,$EX557),"")</f>
        <v/>
      </c>
      <c r="FE557">
        <f>IF($EY557="row",INDEX($DO$5:$DO$1003,$EX557),"")</f>
        <v/>
      </c>
      <c r="FF557">
        <f>IF($EY557="row",INDEX($DP$5:$DP$1003,$EX557),"")</f>
        <v/>
      </c>
      <c r="FG557">
        <f>IF($EY557="row",INDEX($DQ$5:$DQ$1003,$EX557),"")</f>
        <v/>
      </c>
      <c r="FH557">
        <f>IF($EY557="row",INDEX($DR$5:$DR$1003,$EX557),"")</f>
        <v/>
      </c>
      <c r="FI557">
        <f>IF($EY557="row",INDEX($DS$5:$DS$1003,$EX557),"")</f>
        <v/>
      </c>
      <c r="FJ557">
        <f>IF($EY557="row",INDEX($DT$5:$DT$1003,$EX557),"")</f>
        <v/>
      </c>
      <c r="FK557">
        <f>IF($EY557="row",INDEX($DU$5:$DU$1003,$EX557),"")</f>
        <v/>
      </c>
      <c r="FL557">
        <f>IF($EY557="row",INDEX($DV$5:$DV$1003,$EX557),"")</f>
        <v/>
      </c>
      <c r="FM557">
        <f>IF($EY557="row",INDEX($DW$5:$DW$1003,$EX557),"")</f>
        <v/>
      </c>
      <c r="FN557">
        <f>IF($EY557="row",INDEX($DY$5:$DY$1003,$EX557),"")</f>
        <v/>
      </c>
      <c r="FO557">
        <f>IF($EY557="row",INDEX($EA$5:$EA$1003,$EX557),"")</f>
        <v/>
      </c>
      <c r="FP557">
        <f>IF($EY557="row",INDEX($EC$5:$EC$1003,$EX557),"")</f>
        <v/>
      </c>
      <c r="FQ557">
        <f>IF($EY557="row",INDEX($ET$5:$ET$1003,$EX557),"")</f>
        <v/>
      </c>
      <c r="FR557">
        <f>IF($EY557="row",INDEX($EU$5:$EU$1003,$EX557),"")</f>
        <v/>
      </c>
      <c r="FS557">
        <f>IF(AND($EY557="row",$EY556="row"),IF(OR(INDEX($DT$5:$DT$1003,$EX556)="",INDEX($DT$5:$DT$1003,$EX557)=""),"",IF(NOT(EXACT(INDEX($DT$5:$DT$1003,$EX556),INDEX($DT$5:$DT$1003,$EX557))),"S4",IF(NOT(EXACT(INDEX($DS$5:$DS$1003,$EX556),INDEX($DS$5:$DS$1003,$EX557))),"S3",IF(NOT(EXACT(INDEX($DR$5:$DR$1003,$EX556),INDEX($DR$5:$DR$1003,$EX557))),"S1 Count Change","S1")))),"")</f>
        <v/>
      </c>
      <c r="FT557">
        <f>IF($EY557="row",INDEX($ES$5:$ES$1003,$EX557),"")</f>
        <v/>
      </c>
      <c r="FU557">
        <f>IF($EY557="row",INDEX($EO$5:$EO$1003,$EX557),0)</f>
        <v/>
      </c>
      <c r="FV557">
        <f>IF($FS557="S1 Count Change",1,0)</f>
        <v/>
      </c>
    </row>
    <row r="558">
      <c r="DA558" t="n">
        <v>554</v>
      </c>
      <c r="DB558">
        <f>IF($B$37=0,"",IFERROR(TRIM(SUBSTITUTE(SUBSTITUTE(SUBSTITUTE(SUBSTITUTE(INDEX(PASTE_ALL,554,$B$37)," "," "),CHAR(9)," "),CHAR(10)," "),CHAR(13)," ")),""))</f>
        <v/>
      </c>
      <c r="DC558">
        <f>IF(AND(554&gt;HEADER_ROW,UPPER(DB558)="LEGEND"),1,0)</f>
        <v/>
      </c>
      <c r="DE558" t="n">
        <v>554</v>
      </c>
      <c r="DF558">
        <f>HEADER_ROW+$DE558</f>
        <v/>
      </c>
      <c r="DG558">
        <f>IF(AND($DF558&lt;=1000,$DF558&lt;$B$8),1,0)</f>
        <v/>
      </c>
      <c r="DH558">
        <f>IF($DG558=1,IFERROR(INDEX($DB$5:$DB$1004,$DF558),""),"")</f>
        <v/>
      </c>
      <c r="DI558">
        <f>IF(AND($DG558=1,$DH558&lt;&gt;""),IFERROR(SUBSTITUTE(SUBSTITUTE(TRIM(SUBSTITUTE(SUBSTITUTE(SUBSTITUTE(SUBSTITUTE(IFERROR(INDEX(PASTE_ALL,$DF558,1)&amp;"","")&amp;"␟"&amp;IFERROR(INDEX(PASTE_ALL,$DF558,2)&amp;"","")&amp;"␟"&amp;IFERROR(INDEX(PASTE_ALL,$DF558,3)&amp;"","")&amp;"␟"&amp;IFERROR(INDEX(PASTE_ALL,$DF558,4)&amp;"","")&amp;"␟"&amp;IFERROR(INDEX(PASTE_ALL,$DF558,5)&amp;"","")&amp;"␟"&amp;IFERROR(INDEX(PASTE_ALL,$DF558,6)&amp;"","")&amp;"␟"&amp;IFERROR(INDEX(PASTE_ALL,$DF558,7)&amp;"","")&amp;"␟"&amp;IFERROR(INDEX(PASTE_ALL,$DF558,8)&amp;"","")&amp;"␟"&amp;IFERROR(INDEX(PASTE_ALL,$DF558,9)&amp;"","")&amp;"␟"&amp;IFERROR(INDEX(PASTE_ALL,$DF558,10)&amp;"","")&amp;"␟"&amp;IFERROR(INDEX(PASTE_ALL,$DF558,11)&amp;"","")&amp;"␟"&amp;IFERROR(INDEX(PASTE_ALL,$DF558,12)&amp;"","")&amp;"␟"&amp;IFERROR(INDEX(PASTE_ALL,$DF558,13)&amp;"","")&amp;"␟"&amp;IFERROR(INDEX(PASTE_ALL,$DF558,14)&amp;"","")&amp;"␟"&amp;IFERROR(INDEX(PASTE_ALL,$DF558,15)&amp;"","")&amp;"␟"&amp;IFERROR(INDEX(PASTE_ALL,$DF558,16)&amp;"","")&amp;"␟"&amp;IFERROR(INDEX(PASTE_ALL,$DF558,17)&amp;"","")&amp;"␟"&amp;IFERROR(INDEX(PASTE_ALL,$DF558,18)&amp;"","")&amp;"␟"&amp;IFERROR(INDEX(PASTE_ALL,$DF558,19)&amp;"","")&amp;"␟"&amp;IFERROR(INDEX(PASTE_ALL,$DF558,20)&amp;"","")&amp;"␟"&amp;IFERROR(INDEX(PASTE_ALL,$DF558,21)&amp;"","")&amp;"␟"&amp;IFERROR(INDEX(PASTE_ALL,$DF558,22)&amp;"","")&amp;"␟"&amp;IFERROR(INDEX(PASTE_ALL,$DF558,23)&amp;"","")&amp;"␟"&amp;IFERROR(INDEX(PASTE_ALL,$DF558,24)&amp;"","")&amp;"␟"&amp;IFERROR(INDEX(PASTE_ALL,$DF558,25)&amp;"","")&amp;"␟"&amp;IFERROR(INDEX(PASTE_ALL,$DF558,26)&amp;"","")&amp;"␟"&amp;IFERROR(INDEX(PASTE_ALL,$DF558,27)&amp;"","")&amp;"␟"&amp;IFERROR(INDEX(PASTE_ALL,$DF558,28)&amp;"","")&amp;"␟"&amp;IFERROR(INDEX(PASTE_ALL,$DF558,29)&amp;"","")&amp;"␟"&amp;IFERROR(INDEX(PASTE_ALL,$DF558,30)&amp;"","")&amp;"␟"&amp;IFERROR(INDEX(PASTE_ALL,$DF558,31)&amp;"","")&amp;"␟"&amp;IFERROR(INDEX(PASTE_ALL,$DF558,32)&amp;"","")&amp;"␟"&amp;IFERROR(INDEX(PASTE_ALL,$DF558,33)&amp;"","")&amp;"␟"&amp;IFERROR(INDEX(PASTE_ALL,$DF558,34)&amp;"","")&amp;"␟"&amp;IFERROR(INDEX(PASTE_ALL,$DF558,35)&amp;"","")&amp;"␟"&amp;IFERROR(INDEX(PASTE_ALL,$DF558,36)&amp;"","")&amp;"␟"&amp;IFERROR(INDEX(PASTE_ALL,$DF558,37)&amp;"","")&amp;"␟"&amp;IFERROR(INDEX(PASTE_ALL,$DF558,38)&amp;"","")&amp;"␟"&amp;IFERROR(INDEX(PASTE_ALL,$DF558,39)&amp;"","")&amp;"␟"&amp;IFERROR(INDEX(PASTE_ALL,$DF558,40)&amp;"","")&amp;"␟"&amp;IFERROR(INDEX(PASTE_ALL,$DF558,41)&amp;"","")&amp;"␟"&amp;IFERROR(INDEX(PASTE_ALL,$DF558,42)&amp;"","")&amp;"␟"&amp;IFERROR(INDEX(PASTE_ALL,$DF558,43)&amp;"","")&amp;"␟"&amp;IFERROR(INDEX(PASTE_ALL,$DF558,44)&amp;"","")&amp;"␟"&amp;IFERROR(INDEX(PASTE_ALL,$DF558,45)&amp;"","")&amp;"␟"&amp;IFERROR(INDEX(PASTE_ALL,$DF558,46)&amp;"","")&amp;"␟"&amp;IFERROR(INDEX(PASTE_ALL,$DF558,47)&amp;"","")&amp;"␟"&amp;IFERROR(INDEX(PASTE_ALL,$DF558,48)&amp;"","")&amp;"␟"&amp;IFERROR(INDEX(PASTE_ALL,$DF558,49)&amp;"","")&amp;"␟"&amp;IFERROR(INDEX(PASTE_ALL,$DF558,50)&amp;"","")&amp;"␟"&amp;IFERROR(INDEX(PASTE_ALL,$DF558,51)&amp;"","")&amp;"␟"&amp;IFERROR(INDEX(PASTE_ALL,$DF558,52)&amp;"","")&amp;"␟"&amp;IFERROR(INDEX(PASTE_ALL,$DF558,53)&amp;"","")&amp;"␟"&amp;IFERROR(INDEX(PASTE_ALL,$DF558,54)&amp;"","")&amp;"␟"&amp;IFERROR(INDEX(PASTE_ALL,$DF558,55)&amp;"","")&amp;"␟"&amp;IFERROR(INDEX(PASTE_ALL,$DF558,56)&amp;"","")&amp;"␟"&amp;IFERROR(INDEX(PASTE_ALL,$DF558,57)&amp;"","")&amp;"␟"&amp;IFERROR(INDEX(PASTE_ALL,$DF558,58)&amp;"","")&amp;"␟"&amp;IFERROR(INDEX(PASTE_ALL,$DF558,59)&amp;"","")&amp;"␟"&amp;IFERROR(INDEX(PASTE_ALL,$DF558,60)&amp;"","")," "," "),CHAR(9)," "),CHAR(10)," "),CHAR(13)," "))," ␟","␟"),"␟ ","␟"),"#"&amp;$DE558),"")</f>
        <v/>
      </c>
      <c r="DJ558">
        <f>IF($DI558="",0,IF(SUMPRODUCT(--EXACT($DI$4:DI557,$DI558))&gt;0,1,0))</f>
        <v/>
      </c>
      <c r="DK558">
        <f>IF(AND($DI558&lt;&gt;"",$DJ558=0),1,0)</f>
        <v/>
      </c>
      <c r="DL558">
        <f>DL557+$DK558</f>
        <v/>
      </c>
      <c r="DM558">
        <f>IF(AND($DK558=1,$DL558&lt;=600),1,0)</f>
        <v/>
      </c>
      <c r="DN558">
        <f>IF($DM558=0,"",IF($L$6=0,"",IFERROR(IF(ISNUMBER(INDEX(PASTE_ALL,$DF558,$L$6)),INDEX(PASTE_ALL,$DF558,$L$6),TRIM(SUBSTITUTE(SUBSTITUTE(SUBSTITUTE(SUBSTITUTE(INDEX(PASTE_ALL,$DF558,$L$6)," "," "),CHAR(9)," "),CHAR(10)," "),CHAR(13)," "))),"")))</f>
        <v/>
      </c>
      <c r="DO558">
        <f>IF($DM558=0,"",IF($L$7=0,"",IFERROR(IF(ISNUMBER(INDEX(PASTE_ALL,$DF558,$L$7)),INDEX(PASTE_ALL,$DF558,$L$7),TRIM(SUBSTITUTE(SUBSTITUTE(SUBSTITUTE(SUBSTITUTE(INDEX(PASTE_ALL,$DF558,$L$7)," "," "),CHAR(9)," "),CHAR(10)," "),CHAR(13)," "))),"")))</f>
        <v/>
      </c>
      <c r="DP558">
        <f>IF($DM558=0,"",IF($L$8=0,"",IFERROR(IF(ISNUMBER(INDEX(PASTE_ALL,$DF558,$L$8)),INDEX(PASTE_ALL,$DF558,$L$8),TRIM(SUBSTITUTE(SUBSTITUTE(SUBSTITUTE(SUBSTITUTE(INDEX(PASTE_ALL,$DF558,$L$8)," "," "),CHAR(9)," "),CHAR(10)," "),CHAR(13)," "))),"")))</f>
        <v/>
      </c>
      <c r="DQ558">
        <f>IF($DM558=0,"",IF($L$9=0,"",IFERROR(IF(ISNUMBER(INDEX(PASTE_ALL,$DF558,$L$9)),INDEX(PASTE_ALL,$DF558,$L$9),TRIM(SUBSTITUTE(SUBSTITUTE(SUBSTITUTE(SUBSTITUTE(INDEX(PASTE_ALL,$DF558,$L$9)," "," "),CHAR(9)," "),CHAR(10)," "),CHAR(13)," "))),"")))</f>
        <v/>
      </c>
      <c r="DR558">
        <f>IF($DM558=0,"",IF($L$10=0,"",IFERROR(IF(ISNUMBER(INDEX(PASTE_ALL,$DF558,$L$10)),INDEX(PASTE_ALL,$DF558,$L$10),TRIM(SUBSTITUTE(SUBSTITUTE(SUBSTITUTE(SUBSTITUTE(INDEX(PASTE_ALL,$DF558,$L$10)," "," "),CHAR(9)," "),CHAR(10)," "),CHAR(13)," "))),"")))</f>
        <v/>
      </c>
      <c r="DS558">
        <f>IF($DM558=0,"",IF($L$11=0,"",IFERROR(IF(ISNUMBER(INDEX(PASTE_ALL,$DF558,$L$11)),INDEX(PASTE_ALL,$DF558,$L$11),TRIM(SUBSTITUTE(SUBSTITUTE(SUBSTITUTE(SUBSTITUTE(INDEX(PASTE_ALL,$DF558,$L$11)," "," "),CHAR(9)," "),CHAR(10)," "),CHAR(13)," "))),"")))</f>
        <v/>
      </c>
      <c r="DT558">
        <f>IF($DM558=0,"",IF($L$12=0,"",IFERROR(IF(ISNUMBER(INDEX(PASTE_ALL,$DF558,$L$12)),INDEX(PASTE_ALL,$DF558,$L$12),TRIM(SUBSTITUTE(SUBSTITUTE(SUBSTITUTE(SUBSTITUTE(INDEX(PASTE_ALL,$DF558,$L$12)," "," "),CHAR(9)," "),CHAR(10)," "),CHAR(13)," "))),"")))</f>
        <v/>
      </c>
      <c r="DU558">
        <f>IF($DM558=0,"",IF($L$13=0,"",IFERROR(IF(ISNUMBER(INDEX(PASTE_ALL,$DF558,$L$13)),INDEX(PASTE_ALL,$DF558,$L$13),TRIM(SUBSTITUTE(SUBSTITUTE(SUBSTITUTE(SUBSTITUTE(INDEX(PASTE_ALL,$DF558,$L$13)," "," "),CHAR(9)," "),CHAR(10)," "),CHAR(13)," "))),"")))</f>
        <v/>
      </c>
      <c r="DV558">
        <f>IF($DM558=0,"",IF($L$14=0,"",IFERROR(IF(ISNUMBER(INDEX(PASTE_ALL,$DF558,$L$14)),INDEX(PASTE_ALL,$DF558,$L$14),TRIM(SUBSTITUTE(SUBSTITUTE(SUBSTITUTE(SUBSTITUTE(INDEX(PASTE_ALL,$DF558,$L$14)," "," "),CHAR(9)," "),CHAR(10)," "),CHAR(13)," "))),"")))</f>
        <v/>
      </c>
      <c r="DW558">
        <f>IF($DM558=0,"",IF($L$15=0,"",IFERROR(IF(ISNUMBER(INDEX(PASTE_ALL,$DF558,$L$15)),INDEX(PASTE_ALL,$DF558,$L$15),IF(SUMPRODUCT(--ISNUMBER(FIND({"A","B","C","D","E","F","G","H","I","J","K","L","M","N","O","P","Q","R","S","T","U","V","W","X","Y","Z","0","1","2","3","4","5","6","7","8","9"},UPPER(TRIM(SUBSTITUTE(SUBSTITUTE(SUBSTITUTE(SUBSTITUTE(INDEX(PASTE_ALL,$DF558,$L$15)," "," "),CHAR(9)," "),CHAR(10)," "),CHAR(13)," "))))))&gt;0,TRIM(SUBSTITUTE(SUBSTITUTE(SUBSTITUTE(SUBSTITUTE(INDEX(PASTE_ALL,$DF558,$L$15)," "," "),CHAR(9)," "),CHAR(10)," "),CHAR(13)," ")),"")),"")))</f>
        <v/>
      </c>
      <c r="DX558">
        <f>IF($DM558=0,"",IF($L$16=0,"",IFERROR(IF(ISNUMBER(INDEX(PASTE_ALL,$DF558,$L$16)),INDEX(PASTE_ALL,$DF558,$L$16),SUBSTITUTE(SUBSTITUTE(TRIM(SUBSTITUTE(SUBSTITUTE(SUBSTITUTE(SUBSTITUTE(INDEX(PASTE_ALL,$DF558,$L$16)," "," "),CHAR(9)," "),CHAR(10)," "),CHAR(13)," ")),",",""),"%","")),"")))</f>
        <v/>
      </c>
      <c r="DY558">
        <f>IF($DM558=0,"",IFERROR(IF(ISNUMBER($DX558),$DX558,IF($DX558="","",IF(TRIM($DX558)="",0,IF(AND(AND(SUBSTITUTE(SUBSTITUTE(SUBSTITUTE(SUBSTITUTE(SUBSTITUTE(SUBSTITUTE(SUBSTITUTE(SUBSTITUTE(SUBSTITUTE(SUBSTITUTE(SUBSTITUTE(SUBSTITUTE(SUBSTITUTE(SUBSTITUTE(UPPER(TRIM($DX558)),"0",""),"1",""),"2",""),"3",""),"4",""),"5",""),"6",""),"7",""),"8",""),"9",""),".",""),"+",""),"-",""),"E","")="",LEN(SUBSTITUTE(SUBSTITUTE(MID(UPPER(TRIM($DX558)),1+OR(LEFT(UPPER(TRIM($DX558)),1)="+",LEFT(UPPER(TRIM($DX558)),1)="-"),999),"E+","E"),"E-","E"))=LEN(SUBSTITUTE(SUBSTITUTE(SUBSTITUTE(SUBSTITUTE(MID(UPPER(TRIM($DX558)),1+OR(LEFT(UPPER(TRIM($DX558)),1)="+",LEFT(UPPER(TRIM($DX558)),1)="-"),999),"E+","E"),"E-","E"),"+",""),"-","")),LEN(UPPER(TRIM($DX558)))-LEN(SUBSTITUTE(UPPER(TRIM($DX558)),"E",""))&lt;2,LEN(UPPER(TRIM($DX558)))-LEN(SUBSTITUTE(UPPER(TRIM($DX558)),".",""))&lt;2,IFERROR(FIND(".",UPPER(TRIM($DX558))),0)&lt;IFERROR(FIND("E",UPPER(TRIM($DX558))),999)),ISNUMBER(VALUE(TRIM($DX558)))),VALUE(TRIM($DX558)),"")))),""))</f>
        <v/>
      </c>
      <c r="DZ558">
        <f>IF($DM558=0,"",IF($L$17=0,"",IFERROR(IF(ISNUMBER(INDEX(PASTE_ALL,$DF558,$L$17)),INDEX(PASTE_ALL,$DF558,$L$17),SUBSTITUTE(SUBSTITUTE(TRIM(SUBSTITUTE(SUBSTITUTE(SUBSTITUTE(SUBSTITUTE(INDEX(PASTE_ALL,$DF558,$L$17)," "," "),CHAR(9)," "),CHAR(10)," "),CHAR(13)," ")),",",""),"%","")),"")))</f>
        <v/>
      </c>
      <c r="EA558">
        <f>IF($DM558=0,"",IFERROR(IF(ISNUMBER($DZ558),$DZ558,IF($DZ558="","",IF(TRIM($DZ558)="",0,IF(AND(AND(SUBSTITUTE(SUBSTITUTE(SUBSTITUTE(SUBSTITUTE(SUBSTITUTE(SUBSTITUTE(SUBSTITUTE(SUBSTITUTE(SUBSTITUTE(SUBSTITUTE(SUBSTITUTE(SUBSTITUTE(SUBSTITUTE(SUBSTITUTE(UPPER(TRIM($DZ558)),"0",""),"1",""),"2",""),"3",""),"4",""),"5",""),"6",""),"7",""),"8",""),"9",""),".",""),"+",""),"-",""),"E","")="",LEN(SUBSTITUTE(SUBSTITUTE(MID(UPPER(TRIM($DZ558)),1+OR(LEFT(UPPER(TRIM($DZ558)),1)="+",LEFT(UPPER(TRIM($DZ558)),1)="-"),999),"E+","E"),"E-","E"))=LEN(SUBSTITUTE(SUBSTITUTE(SUBSTITUTE(SUBSTITUTE(MID(UPPER(TRIM($DZ558)),1+OR(LEFT(UPPER(TRIM($DZ558)),1)="+",LEFT(UPPER(TRIM($DZ558)),1)="-"),999),"E+","E"),"E-","E"),"+",""),"-","")),LEN(UPPER(TRIM($DZ558)))-LEN(SUBSTITUTE(UPPER(TRIM($DZ558)),"E",""))&lt;2,LEN(UPPER(TRIM($DZ558)))-LEN(SUBSTITUTE(UPPER(TRIM($DZ558)),".",""))&lt;2,IFERROR(FIND(".",UPPER(TRIM($DZ558))),0)&lt;IFERROR(FIND("E",UPPER(TRIM($DZ558))),999)),ISNUMBER(VALUE(TRIM($DZ558)))),VALUE(TRIM($DZ558)),"")))),""))</f>
        <v/>
      </c>
      <c r="EB558">
        <f>IF($DM558=0,"",IF($L$18=0,"",IFERROR(IF(UPPER(TRIM(SUBSTITUTE(SUBSTITUTE(SUBSTITUTE(SUBSTITUTE(INDEX(PASTE_ALL,$DF558,$L$18)," "," "),CHAR(9)," "),CHAR(10)," "),CHAR(13)," ")))="READY","Ready",IF(UPPER(TRIM(SUBSTITUTE(SUBSTITUTE(SUBSTITUTE(SUBSTITUTE(INDEX(PASTE_ALL,$DF558,$L$18)," "," "),CHAR(9)," "),CHAR(10)," "),CHAR(13)," ")))="PM","PM",IF(OR(UPPER(TRIM(SUBSTITUTE(SUBSTITUTE(SUBSTITUTE(SUBSTITUTE(INDEX(PASTE_ALL,$DF558,$L$18)," "," "),CHAR(9)," "),CHAR(10)," "),CHAR(13)," ")))="OT",UPPER(TRIM(SUBSTITUTE(SUBSTITUTE(SUBSTITUTE(SUBSTITUTE(INDEX(PASTE_ALL,$DF558,$L$18)," "," "),CHAR(9)," "),CHAR(10)," "),CHAR(13)," ")))="OVERTIME",UPPER(TRIM(SUBSTITUTE(SUBSTITUTE(SUBSTITUTE(SUBSTITUTE(INDEX(PASTE_ALL,$DF558,$L$18)," "," "),CHAR(9)," "),CHAR(10)," "),CHAR(13)," ")))="TRIAL"),"OT",TRIM(SUBSTITUTE(SUBSTITUTE(SUBSTITUTE(SUBSTITUTE(INDEX(PASTE_ALL,$DF558,$L$18)," "," "),CHAR(9)," "),CHAR(10)," "),CHAR(13)," "))))),"")))</f>
        <v/>
      </c>
      <c r="EC558">
        <f>IF($DM558=0,"",IF($L$19=0,"",IFERROR(IF(ISNUMBER(INDEX(PASTE_ALL,$DF558,$L$19)),INDEX(PASTE_ALL,$DF558,$L$19),TRIM(SUBSTITUTE(SUBSTITUTE(SUBSTITUTE(SUBSTITUTE(INDEX(PASTE_ALL,$DF558,$L$19)," "," "),CHAR(9)," "),CHAR(10)," "),CHAR(13)," "))),"")))</f>
        <v/>
      </c>
      <c r="ED558">
        <f>IF($DM558=0,"",MATCH(1,INDEX(EXACT($DH$5:DH558,$DH558)*$DM$5:DM558,0),0))</f>
        <v/>
      </c>
      <c r="EE558">
        <f>IF($DM558=0,0,IF($ED558=$DE558,1,0))</f>
        <v/>
      </c>
      <c r="EF558">
        <f>EF557+$EE558</f>
        <v/>
      </c>
      <c r="EG558">
        <f>IF($DM558=0,"",INDEX($EF$5:$EF$1003,$ED558))</f>
        <v/>
      </c>
      <c r="EH558">
        <f>IF($DM558=0,"",IF($DO558&lt;&gt;"","",IFERROR(LOOKUP(2,1/(($EG$4:EG557=$EG558)*($DO$4:DO557&lt;&gt;"")),$DO$4:DO557),"")))</f>
        <v/>
      </c>
      <c r="EI558">
        <f>IF($DM558=0,"",IF($DO558&lt;&gt;"",$DO558,$EH558))</f>
        <v/>
      </c>
      <c r="EJ558">
        <f>IF($DM558=0,"",IF($EI558="",0,IF(OR(ISNUMBER($EI558),AND(AND(SUBSTITUTE(SUBSTITUTE(SUBSTITUTE(SUBSTITUTE(SUBSTITUTE(SUBSTITUTE(SUBSTITUTE(SUBSTITUTE(SUBSTITUTE(SUBSTITUTE(SUBSTITUTE(SUBSTITUTE(SUBSTITUTE(SUBSTITUTE(UPPER($EI558),"0",""),"1",""),"2",""),"3",""),"4",""),"5",""),"6",""),"7",""),"8",""),"9",""),".",""),"+",""),"-",""),"E","")="",LEN(SUBSTITUTE(SUBSTITUTE(MID(UPPER($EI558),1+OR(LEFT(UPPER($EI558),1)="+",LEFT(UPPER($EI558),1)="-"),999),"E+","E"),"E-","E"))=LEN(SUBSTITUTE(SUBSTITUTE(SUBSTITUTE(SUBSTITUTE(MID(UPPER($EI558),1+OR(LEFT(UPPER($EI558),1)="+",LEFT(UPPER($EI558),1)="-"),999),"E+","E"),"E-","E"),"+",""),"-","")),LEN(UPPER($EI558))-LEN(SUBSTITUTE(UPPER($EI558),"E",""))&lt;2,LEN(UPPER($EI558))-LEN(SUBSTITUTE(UPPER($EI558),".",""))&lt;2,IFERROR(FIND(".",UPPER($EI558)),0)&lt;IFERROR(FIND("E",UPPER($EI558)),999)),ISNUMBER(VALUE($EI558)))),1,2)))</f>
        <v/>
      </c>
      <c r="EK558">
        <f>IF($DM558=0,"",IF($EJ558=1,IF(ISNUMBER($EI558),$EI558,VALUE($EI558)),IF($EJ558=2,$DE558,0)))</f>
        <v/>
      </c>
      <c r="EL558">
        <f>IF($DM558=0,"",COUNTIF($EG$5:$EG$1003,"&lt;"&amp;$EG558)+SUMPRODUCT(($EG$5:$EG$1003=$EG558)*(($EJ$5:$EJ$1003&lt;$EJ558)+($EJ$5:$EJ$1003=$EJ558)*(($EK$5:$EK$1003&lt;$EK558)+($EK$5:$EK$1003=$EK558)*($DE$5:$DE$1003&lt;$DE558))))+1)</f>
        <v/>
      </c>
      <c r="EM558">
        <f>IF($DM558=0,"",$EL558+$EG558-1)</f>
        <v/>
      </c>
      <c r="EN558">
        <f>IF($DM558=0,0,IFERROR(MATCH(1,INDEX(--(TRIM(SUBSTITUTE(SUBSTITUTE(SUBSTITUTE(SUBSTITUTE(LINES_NAME&amp;""," "," "),CHAR(9)," "),CHAR(10)," "),CHAR(13)," "))=$DH558),0),0),0))</f>
        <v/>
      </c>
      <c r="EO558">
        <f>IF($EN558=0,0,IF(OR(UPPER(TRIM(INDEX(LINES_SCHEDULED,$EN558)&amp;""))="YES",UPPER(TRIM(INDEX(LINES_SCHEDULED,$EN558)&amp;""))="Y",UPPER(TRIM(INDEX(LINES_SCHEDULED,$EN558)&amp;""))="X"),1,0))</f>
        <v/>
      </c>
      <c r="EP558">
        <f>IF($DM558=0,"",IF(COUNTIFS($EG$5:$EG$1003,$EG558,$EB$5:$EB$1003,"Ready")&gt;0,"READY",IF(COUNTIFS($EG$5:$EG$1003,$EG558,$EB$5:$EB$1003,"PM")&gt;0,"PM",IF(COUNTIFS($EG$5:$EG$1003,$EG558,$EB$5:$EB$1003,"OT")&gt;0,"OT",""))))</f>
        <v/>
      </c>
      <c r="EQ558">
        <f>IF($EN558=0,"",UPPER(TRIM(INDEX(LINES_STATUS,$EN558)&amp;"")))</f>
        <v/>
      </c>
      <c r="ER558">
        <f>IF($DM558=0,"",IF(OR($EQ558="READY",$EQ558="PM",$EQ558="OT"),$EQ558,$EP558))</f>
        <v/>
      </c>
      <c r="ES558">
        <f>IF($DM558=0,"",IF(AND($DV558&lt;&gt;"",UPPER($DV558)&lt;&gt;"N"),"allergen",IF(ISNUMBER(SEARCH("oil",$DQ558)),"oil",IF(OR(EXACT($DS558,"A662"),EXACT($DS558,"A624")),"bulk",""))))</f>
        <v/>
      </c>
      <c r="ET558">
        <f>IF($DM558=0,"",IF(OR($EA558="",$EA558=0),"",$EA558/100))</f>
        <v/>
      </c>
      <c r="EU558">
        <f>IF(OR($ET558="",$DY558=""),"",INT($DY558*(1-$ET558)+0.5))</f>
        <v/>
      </c>
      <c r="EW558" t="n">
        <v>554</v>
      </c>
      <c r="EX558">
        <f>IFERROR(MATCH($EW558,$EM$5:$EM$1003,0),0)</f>
        <v/>
      </c>
      <c r="EY558">
        <f>IF($EW558&gt;$B$12,"",IF($EX558&gt;0,"row","spacer"))</f>
        <v/>
      </c>
      <c r="EZ558">
        <f>IF(AND($EY558="row",$EY557&lt;&gt;"row"),1,0)</f>
        <v/>
      </c>
      <c r="FA558">
        <f>IF(AND($EY558="row",$EY559&lt;&gt;"row"),1,0)</f>
        <v/>
      </c>
      <c r="FB558">
        <f>IF($EZ558=1,IFERROR(IF(ISNUMBER(INDEX(PASTE_ALL,INDEX($DF$5:$DF$1003,$EX558),$B$37)),INDEX(PASTE_ALL,INDEX($DF$5:$DF$1003,$EX558),$B$37),INDEX($DH$5:$DH$1003,$EX558)),INDEX($DH$5:$DH$1003,$EX558)),"")</f>
        <v/>
      </c>
      <c r="FC558">
        <f>IF($EY558="row",INDEX($ER$5:$ER$1003,$EX558),"")</f>
        <v/>
      </c>
      <c r="FD558">
        <f>IF($EY558="row",INDEX($DN$5:$DN$1003,$EX558),"")</f>
        <v/>
      </c>
      <c r="FE558">
        <f>IF($EY558="row",INDEX($DO$5:$DO$1003,$EX558),"")</f>
        <v/>
      </c>
      <c r="FF558">
        <f>IF($EY558="row",INDEX($DP$5:$DP$1003,$EX558),"")</f>
        <v/>
      </c>
      <c r="FG558">
        <f>IF($EY558="row",INDEX($DQ$5:$DQ$1003,$EX558),"")</f>
        <v/>
      </c>
      <c r="FH558">
        <f>IF($EY558="row",INDEX($DR$5:$DR$1003,$EX558),"")</f>
        <v/>
      </c>
      <c r="FI558">
        <f>IF($EY558="row",INDEX($DS$5:$DS$1003,$EX558),"")</f>
        <v/>
      </c>
      <c r="FJ558">
        <f>IF($EY558="row",INDEX($DT$5:$DT$1003,$EX558),"")</f>
        <v/>
      </c>
      <c r="FK558">
        <f>IF($EY558="row",INDEX($DU$5:$DU$1003,$EX558),"")</f>
        <v/>
      </c>
      <c r="FL558">
        <f>IF($EY558="row",INDEX($DV$5:$DV$1003,$EX558),"")</f>
        <v/>
      </c>
      <c r="FM558">
        <f>IF($EY558="row",INDEX($DW$5:$DW$1003,$EX558),"")</f>
        <v/>
      </c>
      <c r="FN558">
        <f>IF($EY558="row",INDEX($DY$5:$DY$1003,$EX558),"")</f>
        <v/>
      </c>
      <c r="FO558">
        <f>IF($EY558="row",INDEX($EA$5:$EA$1003,$EX558),"")</f>
        <v/>
      </c>
      <c r="FP558">
        <f>IF($EY558="row",INDEX($EC$5:$EC$1003,$EX558),"")</f>
        <v/>
      </c>
      <c r="FQ558">
        <f>IF($EY558="row",INDEX($ET$5:$ET$1003,$EX558),"")</f>
        <v/>
      </c>
      <c r="FR558">
        <f>IF($EY558="row",INDEX($EU$5:$EU$1003,$EX558),"")</f>
        <v/>
      </c>
      <c r="FS558">
        <f>IF(AND($EY558="row",$EY557="row"),IF(OR(INDEX($DT$5:$DT$1003,$EX557)="",INDEX($DT$5:$DT$1003,$EX558)=""),"",IF(NOT(EXACT(INDEX($DT$5:$DT$1003,$EX557),INDEX($DT$5:$DT$1003,$EX558))),"S4",IF(NOT(EXACT(INDEX($DS$5:$DS$1003,$EX557),INDEX($DS$5:$DS$1003,$EX558))),"S3",IF(NOT(EXACT(INDEX($DR$5:$DR$1003,$EX557),INDEX($DR$5:$DR$1003,$EX558))),"S1 Count Change","S1")))),"")</f>
        <v/>
      </c>
      <c r="FT558">
        <f>IF($EY558="row",INDEX($ES$5:$ES$1003,$EX558),"")</f>
        <v/>
      </c>
      <c r="FU558">
        <f>IF($EY558="row",INDEX($EO$5:$EO$1003,$EX558),0)</f>
        <v/>
      </c>
      <c r="FV558">
        <f>IF($FS558="S1 Count Change",1,0)</f>
        <v/>
      </c>
    </row>
    <row r="559">
      <c r="DA559" t="n">
        <v>555</v>
      </c>
      <c r="DB559">
        <f>IF($B$37=0,"",IFERROR(TRIM(SUBSTITUTE(SUBSTITUTE(SUBSTITUTE(SUBSTITUTE(INDEX(PASTE_ALL,555,$B$37)," "," "),CHAR(9)," "),CHAR(10)," "),CHAR(13)," ")),""))</f>
        <v/>
      </c>
      <c r="DC559">
        <f>IF(AND(555&gt;HEADER_ROW,UPPER(DB559)="LEGEND"),1,0)</f>
        <v/>
      </c>
      <c r="DE559" t="n">
        <v>555</v>
      </c>
      <c r="DF559">
        <f>HEADER_ROW+$DE559</f>
        <v/>
      </c>
      <c r="DG559">
        <f>IF(AND($DF559&lt;=1000,$DF559&lt;$B$8),1,0)</f>
        <v/>
      </c>
      <c r="DH559">
        <f>IF($DG559=1,IFERROR(INDEX($DB$5:$DB$1004,$DF559),""),"")</f>
        <v/>
      </c>
      <c r="DI559">
        <f>IF(AND($DG559=1,$DH559&lt;&gt;""),IFERROR(SUBSTITUTE(SUBSTITUTE(TRIM(SUBSTITUTE(SUBSTITUTE(SUBSTITUTE(SUBSTITUTE(IFERROR(INDEX(PASTE_ALL,$DF559,1)&amp;"","")&amp;"␟"&amp;IFERROR(INDEX(PASTE_ALL,$DF559,2)&amp;"","")&amp;"␟"&amp;IFERROR(INDEX(PASTE_ALL,$DF559,3)&amp;"","")&amp;"␟"&amp;IFERROR(INDEX(PASTE_ALL,$DF559,4)&amp;"","")&amp;"␟"&amp;IFERROR(INDEX(PASTE_ALL,$DF559,5)&amp;"","")&amp;"␟"&amp;IFERROR(INDEX(PASTE_ALL,$DF559,6)&amp;"","")&amp;"␟"&amp;IFERROR(INDEX(PASTE_ALL,$DF559,7)&amp;"","")&amp;"␟"&amp;IFERROR(INDEX(PASTE_ALL,$DF559,8)&amp;"","")&amp;"␟"&amp;IFERROR(INDEX(PASTE_ALL,$DF559,9)&amp;"","")&amp;"␟"&amp;IFERROR(INDEX(PASTE_ALL,$DF559,10)&amp;"","")&amp;"␟"&amp;IFERROR(INDEX(PASTE_ALL,$DF559,11)&amp;"","")&amp;"␟"&amp;IFERROR(INDEX(PASTE_ALL,$DF559,12)&amp;"","")&amp;"␟"&amp;IFERROR(INDEX(PASTE_ALL,$DF559,13)&amp;"","")&amp;"␟"&amp;IFERROR(INDEX(PASTE_ALL,$DF559,14)&amp;"","")&amp;"␟"&amp;IFERROR(INDEX(PASTE_ALL,$DF559,15)&amp;"","")&amp;"␟"&amp;IFERROR(INDEX(PASTE_ALL,$DF559,16)&amp;"","")&amp;"␟"&amp;IFERROR(INDEX(PASTE_ALL,$DF559,17)&amp;"","")&amp;"␟"&amp;IFERROR(INDEX(PASTE_ALL,$DF559,18)&amp;"","")&amp;"␟"&amp;IFERROR(INDEX(PASTE_ALL,$DF559,19)&amp;"","")&amp;"␟"&amp;IFERROR(INDEX(PASTE_ALL,$DF559,20)&amp;"","")&amp;"␟"&amp;IFERROR(INDEX(PASTE_ALL,$DF559,21)&amp;"","")&amp;"␟"&amp;IFERROR(INDEX(PASTE_ALL,$DF559,22)&amp;"","")&amp;"␟"&amp;IFERROR(INDEX(PASTE_ALL,$DF559,23)&amp;"","")&amp;"␟"&amp;IFERROR(INDEX(PASTE_ALL,$DF559,24)&amp;"","")&amp;"␟"&amp;IFERROR(INDEX(PASTE_ALL,$DF559,25)&amp;"","")&amp;"␟"&amp;IFERROR(INDEX(PASTE_ALL,$DF559,26)&amp;"","")&amp;"␟"&amp;IFERROR(INDEX(PASTE_ALL,$DF559,27)&amp;"","")&amp;"␟"&amp;IFERROR(INDEX(PASTE_ALL,$DF559,28)&amp;"","")&amp;"␟"&amp;IFERROR(INDEX(PASTE_ALL,$DF559,29)&amp;"","")&amp;"␟"&amp;IFERROR(INDEX(PASTE_ALL,$DF559,30)&amp;"","")&amp;"␟"&amp;IFERROR(INDEX(PASTE_ALL,$DF559,31)&amp;"","")&amp;"␟"&amp;IFERROR(INDEX(PASTE_ALL,$DF559,32)&amp;"","")&amp;"␟"&amp;IFERROR(INDEX(PASTE_ALL,$DF559,33)&amp;"","")&amp;"␟"&amp;IFERROR(INDEX(PASTE_ALL,$DF559,34)&amp;"","")&amp;"␟"&amp;IFERROR(INDEX(PASTE_ALL,$DF559,35)&amp;"","")&amp;"␟"&amp;IFERROR(INDEX(PASTE_ALL,$DF559,36)&amp;"","")&amp;"␟"&amp;IFERROR(INDEX(PASTE_ALL,$DF559,37)&amp;"","")&amp;"␟"&amp;IFERROR(INDEX(PASTE_ALL,$DF559,38)&amp;"","")&amp;"␟"&amp;IFERROR(INDEX(PASTE_ALL,$DF559,39)&amp;"","")&amp;"␟"&amp;IFERROR(INDEX(PASTE_ALL,$DF559,40)&amp;"","")&amp;"␟"&amp;IFERROR(INDEX(PASTE_ALL,$DF559,41)&amp;"","")&amp;"␟"&amp;IFERROR(INDEX(PASTE_ALL,$DF559,42)&amp;"","")&amp;"␟"&amp;IFERROR(INDEX(PASTE_ALL,$DF559,43)&amp;"","")&amp;"␟"&amp;IFERROR(INDEX(PASTE_ALL,$DF559,44)&amp;"","")&amp;"␟"&amp;IFERROR(INDEX(PASTE_ALL,$DF559,45)&amp;"","")&amp;"␟"&amp;IFERROR(INDEX(PASTE_ALL,$DF559,46)&amp;"","")&amp;"␟"&amp;IFERROR(INDEX(PASTE_ALL,$DF559,47)&amp;"","")&amp;"␟"&amp;IFERROR(INDEX(PASTE_ALL,$DF559,48)&amp;"","")&amp;"␟"&amp;IFERROR(INDEX(PASTE_ALL,$DF559,49)&amp;"","")&amp;"␟"&amp;IFERROR(INDEX(PASTE_ALL,$DF559,50)&amp;"","")&amp;"␟"&amp;IFERROR(INDEX(PASTE_ALL,$DF559,51)&amp;"","")&amp;"␟"&amp;IFERROR(INDEX(PASTE_ALL,$DF559,52)&amp;"","")&amp;"␟"&amp;IFERROR(INDEX(PASTE_ALL,$DF559,53)&amp;"","")&amp;"␟"&amp;IFERROR(INDEX(PASTE_ALL,$DF559,54)&amp;"","")&amp;"␟"&amp;IFERROR(INDEX(PASTE_ALL,$DF559,55)&amp;"","")&amp;"␟"&amp;IFERROR(INDEX(PASTE_ALL,$DF559,56)&amp;"","")&amp;"␟"&amp;IFERROR(INDEX(PASTE_ALL,$DF559,57)&amp;"","")&amp;"␟"&amp;IFERROR(INDEX(PASTE_ALL,$DF559,58)&amp;"","")&amp;"␟"&amp;IFERROR(INDEX(PASTE_ALL,$DF559,59)&amp;"","")&amp;"␟"&amp;IFERROR(INDEX(PASTE_ALL,$DF559,60)&amp;"","")," "," "),CHAR(9)," "),CHAR(10)," "),CHAR(13)," "))," ␟","␟"),"␟ ","␟"),"#"&amp;$DE559),"")</f>
        <v/>
      </c>
      <c r="DJ559">
        <f>IF($DI559="",0,IF(SUMPRODUCT(--EXACT($DI$4:DI558,$DI559))&gt;0,1,0))</f>
        <v/>
      </c>
      <c r="DK559">
        <f>IF(AND($DI559&lt;&gt;"",$DJ559=0),1,0)</f>
        <v/>
      </c>
      <c r="DL559">
        <f>DL558+$DK559</f>
        <v/>
      </c>
      <c r="DM559">
        <f>IF(AND($DK559=1,$DL559&lt;=600),1,0)</f>
        <v/>
      </c>
      <c r="DN559">
        <f>IF($DM559=0,"",IF($L$6=0,"",IFERROR(IF(ISNUMBER(INDEX(PASTE_ALL,$DF559,$L$6)),INDEX(PASTE_ALL,$DF559,$L$6),TRIM(SUBSTITUTE(SUBSTITUTE(SUBSTITUTE(SUBSTITUTE(INDEX(PASTE_ALL,$DF559,$L$6)," "," "),CHAR(9)," "),CHAR(10)," "),CHAR(13)," "))),"")))</f>
        <v/>
      </c>
      <c r="DO559">
        <f>IF($DM559=0,"",IF($L$7=0,"",IFERROR(IF(ISNUMBER(INDEX(PASTE_ALL,$DF559,$L$7)),INDEX(PASTE_ALL,$DF559,$L$7),TRIM(SUBSTITUTE(SUBSTITUTE(SUBSTITUTE(SUBSTITUTE(INDEX(PASTE_ALL,$DF559,$L$7)," "," "),CHAR(9)," "),CHAR(10)," "),CHAR(13)," "))),"")))</f>
        <v/>
      </c>
      <c r="DP559">
        <f>IF($DM559=0,"",IF($L$8=0,"",IFERROR(IF(ISNUMBER(INDEX(PASTE_ALL,$DF559,$L$8)),INDEX(PASTE_ALL,$DF559,$L$8),TRIM(SUBSTITUTE(SUBSTITUTE(SUBSTITUTE(SUBSTITUTE(INDEX(PASTE_ALL,$DF559,$L$8)," "," "),CHAR(9)," "),CHAR(10)," "),CHAR(13)," "))),"")))</f>
        <v/>
      </c>
      <c r="DQ559">
        <f>IF($DM559=0,"",IF($L$9=0,"",IFERROR(IF(ISNUMBER(INDEX(PASTE_ALL,$DF559,$L$9)),INDEX(PASTE_ALL,$DF559,$L$9),TRIM(SUBSTITUTE(SUBSTITUTE(SUBSTITUTE(SUBSTITUTE(INDEX(PASTE_ALL,$DF559,$L$9)," "," "),CHAR(9)," "),CHAR(10)," "),CHAR(13)," "))),"")))</f>
        <v/>
      </c>
      <c r="DR559">
        <f>IF($DM559=0,"",IF($L$10=0,"",IFERROR(IF(ISNUMBER(INDEX(PASTE_ALL,$DF559,$L$10)),INDEX(PASTE_ALL,$DF559,$L$10),TRIM(SUBSTITUTE(SUBSTITUTE(SUBSTITUTE(SUBSTITUTE(INDEX(PASTE_ALL,$DF559,$L$10)," "," "),CHAR(9)," "),CHAR(10)," "),CHAR(13)," "))),"")))</f>
        <v/>
      </c>
      <c r="DS559">
        <f>IF($DM559=0,"",IF($L$11=0,"",IFERROR(IF(ISNUMBER(INDEX(PASTE_ALL,$DF559,$L$11)),INDEX(PASTE_ALL,$DF559,$L$11),TRIM(SUBSTITUTE(SUBSTITUTE(SUBSTITUTE(SUBSTITUTE(INDEX(PASTE_ALL,$DF559,$L$11)," "," "),CHAR(9)," "),CHAR(10)," "),CHAR(13)," "))),"")))</f>
        <v/>
      </c>
      <c r="DT559">
        <f>IF($DM559=0,"",IF($L$12=0,"",IFERROR(IF(ISNUMBER(INDEX(PASTE_ALL,$DF559,$L$12)),INDEX(PASTE_ALL,$DF559,$L$12),TRIM(SUBSTITUTE(SUBSTITUTE(SUBSTITUTE(SUBSTITUTE(INDEX(PASTE_ALL,$DF559,$L$12)," "," "),CHAR(9)," "),CHAR(10)," "),CHAR(13)," "))),"")))</f>
        <v/>
      </c>
      <c r="DU559">
        <f>IF($DM559=0,"",IF($L$13=0,"",IFERROR(IF(ISNUMBER(INDEX(PASTE_ALL,$DF559,$L$13)),INDEX(PASTE_ALL,$DF559,$L$13),TRIM(SUBSTITUTE(SUBSTITUTE(SUBSTITUTE(SUBSTITUTE(INDEX(PASTE_ALL,$DF559,$L$13)," "," "),CHAR(9)," "),CHAR(10)," "),CHAR(13)," "))),"")))</f>
        <v/>
      </c>
      <c r="DV559">
        <f>IF($DM559=0,"",IF($L$14=0,"",IFERROR(IF(ISNUMBER(INDEX(PASTE_ALL,$DF559,$L$14)),INDEX(PASTE_ALL,$DF559,$L$14),TRIM(SUBSTITUTE(SUBSTITUTE(SUBSTITUTE(SUBSTITUTE(INDEX(PASTE_ALL,$DF559,$L$14)," "," "),CHAR(9)," "),CHAR(10)," "),CHAR(13)," "))),"")))</f>
        <v/>
      </c>
      <c r="DW559">
        <f>IF($DM559=0,"",IF($L$15=0,"",IFERROR(IF(ISNUMBER(INDEX(PASTE_ALL,$DF559,$L$15)),INDEX(PASTE_ALL,$DF559,$L$15),IF(SUMPRODUCT(--ISNUMBER(FIND({"A","B","C","D","E","F","G","H","I","J","K","L","M","N","O","P","Q","R","S","T","U","V","W","X","Y","Z","0","1","2","3","4","5","6","7","8","9"},UPPER(TRIM(SUBSTITUTE(SUBSTITUTE(SUBSTITUTE(SUBSTITUTE(INDEX(PASTE_ALL,$DF559,$L$15)," "," "),CHAR(9)," "),CHAR(10)," "),CHAR(13)," "))))))&gt;0,TRIM(SUBSTITUTE(SUBSTITUTE(SUBSTITUTE(SUBSTITUTE(INDEX(PASTE_ALL,$DF559,$L$15)," "," "),CHAR(9)," "),CHAR(10)," "),CHAR(13)," ")),"")),"")))</f>
        <v/>
      </c>
      <c r="DX559">
        <f>IF($DM559=0,"",IF($L$16=0,"",IFERROR(IF(ISNUMBER(INDEX(PASTE_ALL,$DF559,$L$16)),INDEX(PASTE_ALL,$DF559,$L$16),SUBSTITUTE(SUBSTITUTE(TRIM(SUBSTITUTE(SUBSTITUTE(SUBSTITUTE(SUBSTITUTE(INDEX(PASTE_ALL,$DF559,$L$16)," "," "),CHAR(9)," "),CHAR(10)," "),CHAR(13)," ")),",",""),"%","")),"")))</f>
        <v/>
      </c>
      <c r="DY559">
        <f>IF($DM559=0,"",IFERROR(IF(ISNUMBER($DX559),$DX559,IF($DX559="","",IF(TRIM($DX559)="",0,IF(AND(AND(SUBSTITUTE(SUBSTITUTE(SUBSTITUTE(SUBSTITUTE(SUBSTITUTE(SUBSTITUTE(SUBSTITUTE(SUBSTITUTE(SUBSTITUTE(SUBSTITUTE(SUBSTITUTE(SUBSTITUTE(SUBSTITUTE(SUBSTITUTE(UPPER(TRIM($DX559)),"0",""),"1",""),"2",""),"3",""),"4",""),"5",""),"6",""),"7",""),"8",""),"9",""),".",""),"+",""),"-",""),"E","")="",LEN(SUBSTITUTE(SUBSTITUTE(MID(UPPER(TRIM($DX559)),1+OR(LEFT(UPPER(TRIM($DX559)),1)="+",LEFT(UPPER(TRIM($DX559)),1)="-"),999),"E+","E"),"E-","E"))=LEN(SUBSTITUTE(SUBSTITUTE(SUBSTITUTE(SUBSTITUTE(MID(UPPER(TRIM($DX559)),1+OR(LEFT(UPPER(TRIM($DX559)),1)="+",LEFT(UPPER(TRIM($DX559)),1)="-"),999),"E+","E"),"E-","E"),"+",""),"-","")),LEN(UPPER(TRIM($DX559)))-LEN(SUBSTITUTE(UPPER(TRIM($DX559)),"E",""))&lt;2,LEN(UPPER(TRIM($DX559)))-LEN(SUBSTITUTE(UPPER(TRIM($DX559)),".",""))&lt;2,IFERROR(FIND(".",UPPER(TRIM($DX559))),0)&lt;IFERROR(FIND("E",UPPER(TRIM($DX559))),999)),ISNUMBER(VALUE(TRIM($DX559)))),VALUE(TRIM($DX559)),"")))),""))</f>
        <v/>
      </c>
      <c r="DZ559">
        <f>IF($DM559=0,"",IF($L$17=0,"",IFERROR(IF(ISNUMBER(INDEX(PASTE_ALL,$DF559,$L$17)),INDEX(PASTE_ALL,$DF559,$L$17),SUBSTITUTE(SUBSTITUTE(TRIM(SUBSTITUTE(SUBSTITUTE(SUBSTITUTE(SUBSTITUTE(INDEX(PASTE_ALL,$DF559,$L$17)," "," "),CHAR(9)," "),CHAR(10)," "),CHAR(13)," ")),",",""),"%","")),"")))</f>
        <v/>
      </c>
      <c r="EA559">
        <f>IF($DM559=0,"",IFERROR(IF(ISNUMBER($DZ559),$DZ559,IF($DZ559="","",IF(TRIM($DZ559)="",0,IF(AND(AND(SUBSTITUTE(SUBSTITUTE(SUBSTITUTE(SUBSTITUTE(SUBSTITUTE(SUBSTITUTE(SUBSTITUTE(SUBSTITUTE(SUBSTITUTE(SUBSTITUTE(SUBSTITUTE(SUBSTITUTE(SUBSTITUTE(SUBSTITUTE(UPPER(TRIM($DZ559)),"0",""),"1",""),"2",""),"3",""),"4",""),"5",""),"6",""),"7",""),"8",""),"9",""),".",""),"+",""),"-",""),"E","")="",LEN(SUBSTITUTE(SUBSTITUTE(MID(UPPER(TRIM($DZ559)),1+OR(LEFT(UPPER(TRIM($DZ559)),1)="+",LEFT(UPPER(TRIM($DZ559)),1)="-"),999),"E+","E"),"E-","E"))=LEN(SUBSTITUTE(SUBSTITUTE(SUBSTITUTE(SUBSTITUTE(MID(UPPER(TRIM($DZ559)),1+OR(LEFT(UPPER(TRIM($DZ559)),1)="+",LEFT(UPPER(TRIM($DZ559)),1)="-"),999),"E+","E"),"E-","E"),"+",""),"-","")),LEN(UPPER(TRIM($DZ559)))-LEN(SUBSTITUTE(UPPER(TRIM($DZ559)),"E",""))&lt;2,LEN(UPPER(TRIM($DZ559)))-LEN(SUBSTITUTE(UPPER(TRIM($DZ559)),".",""))&lt;2,IFERROR(FIND(".",UPPER(TRIM($DZ559))),0)&lt;IFERROR(FIND("E",UPPER(TRIM($DZ559))),999)),ISNUMBER(VALUE(TRIM($DZ559)))),VALUE(TRIM($DZ559)),"")))),""))</f>
        <v/>
      </c>
      <c r="EB559">
        <f>IF($DM559=0,"",IF($L$18=0,"",IFERROR(IF(UPPER(TRIM(SUBSTITUTE(SUBSTITUTE(SUBSTITUTE(SUBSTITUTE(INDEX(PASTE_ALL,$DF559,$L$18)," "," "),CHAR(9)," "),CHAR(10)," "),CHAR(13)," ")))="READY","Ready",IF(UPPER(TRIM(SUBSTITUTE(SUBSTITUTE(SUBSTITUTE(SUBSTITUTE(INDEX(PASTE_ALL,$DF559,$L$18)," "," "),CHAR(9)," "),CHAR(10)," "),CHAR(13)," ")))="PM","PM",IF(OR(UPPER(TRIM(SUBSTITUTE(SUBSTITUTE(SUBSTITUTE(SUBSTITUTE(INDEX(PASTE_ALL,$DF559,$L$18)," "," "),CHAR(9)," "),CHAR(10)," "),CHAR(13)," ")))="OT",UPPER(TRIM(SUBSTITUTE(SUBSTITUTE(SUBSTITUTE(SUBSTITUTE(INDEX(PASTE_ALL,$DF559,$L$18)," "," "),CHAR(9)," "),CHAR(10)," "),CHAR(13)," ")))="OVERTIME",UPPER(TRIM(SUBSTITUTE(SUBSTITUTE(SUBSTITUTE(SUBSTITUTE(INDEX(PASTE_ALL,$DF559,$L$18)," "," "),CHAR(9)," "),CHAR(10)," "),CHAR(13)," ")))="TRIAL"),"OT",TRIM(SUBSTITUTE(SUBSTITUTE(SUBSTITUTE(SUBSTITUTE(INDEX(PASTE_ALL,$DF559,$L$18)," "," "),CHAR(9)," "),CHAR(10)," "),CHAR(13)," "))))),"")))</f>
        <v/>
      </c>
      <c r="EC559">
        <f>IF($DM559=0,"",IF($L$19=0,"",IFERROR(IF(ISNUMBER(INDEX(PASTE_ALL,$DF559,$L$19)),INDEX(PASTE_ALL,$DF559,$L$19),TRIM(SUBSTITUTE(SUBSTITUTE(SUBSTITUTE(SUBSTITUTE(INDEX(PASTE_ALL,$DF559,$L$19)," "," "),CHAR(9)," "),CHAR(10)," "),CHAR(13)," "))),"")))</f>
        <v/>
      </c>
      <c r="ED559">
        <f>IF($DM559=0,"",MATCH(1,INDEX(EXACT($DH$5:DH559,$DH559)*$DM$5:DM559,0),0))</f>
        <v/>
      </c>
      <c r="EE559">
        <f>IF($DM559=0,0,IF($ED559=$DE559,1,0))</f>
        <v/>
      </c>
      <c r="EF559">
        <f>EF558+$EE559</f>
        <v/>
      </c>
      <c r="EG559">
        <f>IF($DM559=0,"",INDEX($EF$5:$EF$1003,$ED559))</f>
        <v/>
      </c>
      <c r="EH559">
        <f>IF($DM559=0,"",IF($DO559&lt;&gt;"","",IFERROR(LOOKUP(2,1/(($EG$4:EG558=$EG559)*($DO$4:DO558&lt;&gt;"")),$DO$4:DO558),"")))</f>
        <v/>
      </c>
      <c r="EI559">
        <f>IF($DM559=0,"",IF($DO559&lt;&gt;"",$DO559,$EH559))</f>
        <v/>
      </c>
      <c r="EJ559">
        <f>IF($DM559=0,"",IF($EI559="",0,IF(OR(ISNUMBER($EI559),AND(AND(SUBSTITUTE(SUBSTITUTE(SUBSTITUTE(SUBSTITUTE(SUBSTITUTE(SUBSTITUTE(SUBSTITUTE(SUBSTITUTE(SUBSTITUTE(SUBSTITUTE(SUBSTITUTE(SUBSTITUTE(SUBSTITUTE(SUBSTITUTE(UPPER($EI559),"0",""),"1",""),"2",""),"3",""),"4",""),"5",""),"6",""),"7",""),"8",""),"9",""),".",""),"+",""),"-",""),"E","")="",LEN(SUBSTITUTE(SUBSTITUTE(MID(UPPER($EI559),1+OR(LEFT(UPPER($EI559),1)="+",LEFT(UPPER($EI559),1)="-"),999),"E+","E"),"E-","E"))=LEN(SUBSTITUTE(SUBSTITUTE(SUBSTITUTE(SUBSTITUTE(MID(UPPER($EI559),1+OR(LEFT(UPPER($EI559),1)="+",LEFT(UPPER($EI559),1)="-"),999),"E+","E"),"E-","E"),"+",""),"-","")),LEN(UPPER($EI559))-LEN(SUBSTITUTE(UPPER($EI559),"E",""))&lt;2,LEN(UPPER($EI559))-LEN(SUBSTITUTE(UPPER($EI559),".",""))&lt;2,IFERROR(FIND(".",UPPER($EI559)),0)&lt;IFERROR(FIND("E",UPPER($EI559)),999)),ISNUMBER(VALUE($EI559)))),1,2)))</f>
        <v/>
      </c>
      <c r="EK559">
        <f>IF($DM559=0,"",IF($EJ559=1,IF(ISNUMBER($EI559),$EI559,VALUE($EI559)),IF($EJ559=2,$DE559,0)))</f>
        <v/>
      </c>
      <c r="EL559">
        <f>IF($DM559=0,"",COUNTIF($EG$5:$EG$1003,"&lt;"&amp;$EG559)+SUMPRODUCT(($EG$5:$EG$1003=$EG559)*(($EJ$5:$EJ$1003&lt;$EJ559)+($EJ$5:$EJ$1003=$EJ559)*(($EK$5:$EK$1003&lt;$EK559)+($EK$5:$EK$1003=$EK559)*($DE$5:$DE$1003&lt;$DE559))))+1)</f>
        <v/>
      </c>
      <c r="EM559">
        <f>IF($DM559=0,"",$EL559+$EG559-1)</f>
        <v/>
      </c>
      <c r="EN559">
        <f>IF($DM559=0,0,IFERROR(MATCH(1,INDEX(--(TRIM(SUBSTITUTE(SUBSTITUTE(SUBSTITUTE(SUBSTITUTE(LINES_NAME&amp;""," "," "),CHAR(9)," "),CHAR(10)," "),CHAR(13)," "))=$DH559),0),0),0))</f>
        <v/>
      </c>
      <c r="EO559">
        <f>IF($EN559=0,0,IF(OR(UPPER(TRIM(INDEX(LINES_SCHEDULED,$EN559)&amp;""))="YES",UPPER(TRIM(INDEX(LINES_SCHEDULED,$EN559)&amp;""))="Y",UPPER(TRIM(INDEX(LINES_SCHEDULED,$EN559)&amp;""))="X"),1,0))</f>
        <v/>
      </c>
      <c r="EP559">
        <f>IF($DM559=0,"",IF(COUNTIFS($EG$5:$EG$1003,$EG559,$EB$5:$EB$1003,"Ready")&gt;0,"READY",IF(COUNTIFS($EG$5:$EG$1003,$EG559,$EB$5:$EB$1003,"PM")&gt;0,"PM",IF(COUNTIFS($EG$5:$EG$1003,$EG559,$EB$5:$EB$1003,"OT")&gt;0,"OT",""))))</f>
        <v/>
      </c>
      <c r="EQ559">
        <f>IF($EN559=0,"",UPPER(TRIM(INDEX(LINES_STATUS,$EN559)&amp;"")))</f>
        <v/>
      </c>
      <c r="ER559">
        <f>IF($DM559=0,"",IF(OR($EQ559="READY",$EQ559="PM",$EQ559="OT"),$EQ559,$EP559))</f>
        <v/>
      </c>
      <c r="ES559">
        <f>IF($DM559=0,"",IF(AND($DV559&lt;&gt;"",UPPER($DV559)&lt;&gt;"N"),"allergen",IF(ISNUMBER(SEARCH("oil",$DQ559)),"oil",IF(OR(EXACT($DS559,"A662"),EXACT($DS559,"A624")),"bulk",""))))</f>
        <v/>
      </c>
      <c r="ET559">
        <f>IF($DM559=0,"",IF(OR($EA559="",$EA559=0),"",$EA559/100))</f>
        <v/>
      </c>
      <c r="EU559">
        <f>IF(OR($ET559="",$DY559=""),"",INT($DY559*(1-$ET559)+0.5))</f>
        <v/>
      </c>
      <c r="EW559" t="n">
        <v>555</v>
      </c>
      <c r="EX559">
        <f>IFERROR(MATCH($EW559,$EM$5:$EM$1003,0),0)</f>
        <v/>
      </c>
      <c r="EY559">
        <f>IF($EW559&gt;$B$12,"",IF($EX559&gt;0,"row","spacer"))</f>
        <v/>
      </c>
      <c r="EZ559">
        <f>IF(AND($EY559="row",$EY558&lt;&gt;"row"),1,0)</f>
        <v/>
      </c>
      <c r="FA559">
        <f>IF(AND($EY559="row",$EY560&lt;&gt;"row"),1,0)</f>
        <v/>
      </c>
      <c r="FB559">
        <f>IF($EZ559=1,IFERROR(IF(ISNUMBER(INDEX(PASTE_ALL,INDEX($DF$5:$DF$1003,$EX559),$B$37)),INDEX(PASTE_ALL,INDEX($DF$5:$DF$1003,$EX559),$B$37),INDEX($DH$5:$DH$1003,$EX559)),INDEX($DH$5:$DH$1003,$EX559)),"")</f>
        <v/>
      </c>
      <c r="FC559">
        <f>IF($EY559="row",INDEX($ER$5:$ER$1003,$EX559),"")</f>
        <v/>
      </c>
      <c r="FD559">
        <f>IF($EY559="row",INDEX($DN$5:$DN$1003,$EX559),"")</f>
        <v/>
      </c>
      <c r="FE559">
        <f>IF($EY559="row",INDEX($DO$5:$DO$1003,$EX559),"")</f>
        <v/>
      </c>
      <c r="FF559">
        <f>IF($EY559="row",INDEX($DP$5:$DP$1003,$EX559),"")</f>
        <v/>
      </c>
      <c r="FG559">
        <f>IF($EY559="row",INDEX($DQ$5:$DQ$1003,$EX559),"")</f>
        <v/>
      </c>
      <c r="FH559">
        <f>IF($EY559="row",INDEX($DR$5:$DR$1003,$EX559),"")</f>
        <v/>
      </c>
      <c r="FI559">
        <f>IF($EY559="row",INDEX($DS$5:$DS$1003,$EX559),"")</f>
        <v/>
      </c>
      <c r="FJ559">
        <f>IF($EY559="row",INDEX($DT$5:$DT$1003,$EX559),"")</f>
        <v/>
      </c>
      <c r="FK559">
        <f>IF($EY559="row",INDEX($DU$5:$DU$1003,$EX559),"")</f>
        <v/>
      </c>
      <c r="FL559">
        <f>IF($EY559="row",INDEX($DV$5:$DV$1003,$EX559),"")</f>
        <v/>
      </c>
      <c r="FM559">
        <f>IF($EY559="row",INDEX($DW$5:$DW$1003,$EX559),"")</f>
        <v/>
      </c>
      <c r="FN559">
        <f>IF($EY559="row",INDEX($DY$5:$DY$1003,$EX559),"")</f>
        <v/>
      </c>
      <c r="FO559">
        <f>IF($EY559="row",INDEX($EA$5:$EA$1003,$EX559),"")</f>
        <v/>
      </c>
      <c r="FP559">
        <f>IF($EY559="row",INDEX($EC$5:$EC$1003,$EX559),"")</f>
        <v/>
      </c>
      <c r="FQ559">
        <f>IF($EY559="row",INDEX($ET$5:$ET$1003,$EX559),"")</f>
        <v/>
      </c>
      <c r="FR559">
        <f>IF($EY559="row",INDEX($EU$5:$EU$1003,$EX559),"")</f>
        <v/>
      </c>
      <c r="FS559">
        <f>IF(AND($EY559="row",$EY558="row"),IF(OR(INDEX($DT$5:$DT$1003,$EX558)="",INDEX($DT$5:$DT$1003,$EX559)=""),"",IF(NOT(EXACT(INDEX($DT$5:$DT$1003,$EX558),INDEX($DT$5:$DT$1003,$EX559))),"S4",IF(NOT(EXACT(INDEX($DS$5:$DS$1003,$EX558),INDEX($DS$5:$DS$1003,$EX559))),"S3",IF(NOT(EXACT(INDEX($DR$5:$DR$1003,$EX558),INDEX($DR$5:$DR$1003,$EX559))),"S1 Count Change","S1")))),"")</f>
        <v/>
      </c>
      <c r="FT559">
        <f>IF($EY559="row",INDEX($ES$5:$ES$1003,$EX559),"")</f>
        <v/>
      </c>
      <c r="FU559">
        <f>IF($EY559="row",INDEX($EO$5:$EO$1003,$EX559),0)</f>
        <v/>
      </c>
      <c r="FV559">
        <f>IF($FS559="S1 Count Change",1,0)</f>
        <v/>
      </c>
    </row>
    <row r="560">
      <c r="DA560" t="n">
        <v>556</v>
      </c>
      <c r="DB560">
        <f>IF($B$37=0,"",IFERROR(TRIM(SUBSTITUTE(SUBSTITUTE(SUBSTITUTE(SUBSTITUTE(INDEX(PASTE_ALL,556,$B$37)," "," "),CHAR(9)," "),CHAR(10)," "),CHAR(13)," ")),""))</f>
        <v/>
      </c>
      <c r="DC560">
        <f>IF(AND(556&gt;HEADER_ROW,UPPER(DB560)="LEGEND"),1,0)</f>
        <v/>
      </c>
      <c r="DE560" t="n">
        <v>556</v>
      </c>
      <c r="DF560">
        <f>HEADER_ROW+$DE560</f>
        <v/>
      </c>
      <c r="DG560">
        <f>IF(AND($DF560&lt;=1000,$DF560&lt;$B$8),1,0)</f>
        <v/>
      </c>
      <c r="DH560">
        <f>IF($DG560=1,IFERROR(INDEX($DB$5:$DB$1004,$DF560),""),"")</f>
        <v/>
      </c>
      <c r="DI560">
        <f>IF(AND($DG560=1,$DH560&lt;&gt;""),IFERROR(SUBSTITUTE(SUBSTITUTE(TRIM(SUBSTITUTE(SUBSTITUTE(SUBSTITUTE(SUBSTITUTE(IFERROR(INDEX(PASTE_ALL,$DF560,1)&amp;"","")&amp;"␟"&amp;IFERROR(INDEX(PASTE_ALL,$DF560,2)&amp;"","")&amp;"␟"&amp;IFERROR(INDEX(PASTE_ALL,$DF560,3)&amp;"","")&amp;"␟"&amp;IFERROR(INDEX(PASTE_ALL,$DF560,4)&amp;"","")&amp;"␟"&amp;IFERROR(INDEX(PASTE_ALL,$DF560,5)&amp;"","")&amp;"␟"&amp;IFERROR(INDEX(PASTE_ALL,$DF560,6)&amp;"","")&amp;"␟"&amp;IFERROR(INDEX(PASTE_ALL,$DF560,7)&amp;"","")&amp;"␟"&amp;IFERROR(INDEX(PASTE_ALL,$DF560,8)&amp;"","")&amp;"␟"&amp;IFERROR(INDEX(PASTE_ALL,$DF560,9)&amp;"","")&amp;"␟"&amp;IFERROR(INDEX(PASTE_ALL,$DF560,10)&amp;"","")&amp;"␟"&amp;IFERROR(INDEX(PASTE_ALL,$DF560,11)&amp;"","")&amp;"␟"&amp;IFERROR(INDEX(PASTE_ALL,$DF560,12)&amp;"","")&amp;"␟"&amp;IFERROR(INDEX(PASTE_ALL,$DF560,13)&amp;"","")&amp;"␟"&amp;IFERROR(INDEX(PASTE_ALL,$DF560,14)&amp;"","")&amp;"␟"&amp;IFERROR(INDEX(PASTE_ALL,$DF560,15)&amp;"","")&amp;"␟"&amp;IFERROR(INDEX(PASTE_ALL,$DF560,16)&amp;"","")&amp;"␟"&amp;IFERROR(INDEX(PASTE_ALL,$DF560,17)&amp;"","")&amp;"␟"&amp;IFERROR(INDEX(PASTE_ALL,$DF560,18)&amp;"","")&amp;"␟"&amp;IFERROR(INDEX(PASTE_ALL,$DF560,19)&amp;"","")&amp;"␟"&amp;IFERROR(INDEX(PASTE_ALL,$DF560,20)&amp;"","")&amp;"␟"&amp;IFERROR(INDEX(PASTE_ALL,$DF560,21)&amp;"","")&amp;"␟"&amp;IFERROR(INDEX(PASTE_ALL,$DF560,22)&amp;"","")&amp;"␟"&amp;IFERROR(INDEX(PASTE_ALL,$DF560,23)&amp;"","")&amp;"␟"&amp;IFERROR(INDEX(PASTE_ALL,$DF560,24)&amp;"","")&amp;"␟"&amp;IFERROR(INDEX(PASTE_ALL,$DF560,25)&amp;"","")&amp;"␟"&amp;IFERROR(INDEX(PASTE_ALL,$DF560,26)&amp;"","")&amp;"␟"&amp;IFERROR(INDEX(PASTE_ALL,$DF560,27)&amp;"","")&amp;"␟"&amp;IFERROR(INDEX(PASTE_ALL,$DF560,28)&amp;"","")&amp;"␟"&amp;IFERROR(INDEX(PASTE_ALL,$DF560,29)&amp;"","")&amp;"␟"&amp;IFERROR(INDEX(PASTE_ALL,$DF560,30)&amp;"","")&amp;"␟"&amp;IFERROR(INDEX(PASTE_ALL,$DF560,31)&amp;"","")&amp;"␟"&amp;IFERROR(INDEX(PASTE_ALL,$DF560,32)&amp;"","")&amp;"␟"&amp;IFERROR(INDEX(PASTE_ALL,$DF560,33)&amp;"","")&amp;"␟"&amp;IFERROR(INDEX(PASTE_ALL,$DF560,34)&amp;"","")&amp;"␟"&amp;IFERROR(INDEX(PASTE_ALL,$DF560,35)&amp;"","")&amp;"␟"&amp;IFERROR(INDEX(PASTE_ALL,$DF560,36)&amp;"","")&amp;"␟"&amp;IFERROR(INDEX(PASTE_ALL,$DF560,37)&amp;"","")&amp;"␟"&amp;IFERROR(INDEX(PASTE_ALL,$DF560,38)&amp;"","")&amp;"␟"&amp;IFERROR(INDEX(PASTE_ALL,$DF560,39)&amp;"","")&amp;"␟"&amp;IFERROR(INDEX(PASTE_ALL,$DF560,40)&amp;"","")&amp;"␟"&amp;IFERROR(INDEX(PASTE_ALL,$DF560,41)&amp;"","")&amp;"␟"&amp;IFERROR(INDEX(PASTE_ALL,$DF560,42)&amp;"","")&amp;"␟"&amp;IFERROR(INDEX(PASTE_ALL,$DF560,43)&amp;"","")&amp;"␟"&amp;IFERROR(INDEX(PASTE_ALL,$DF560,44)&amp;"","")&amp;"␟"&amp;IFERROR(INDEX(PASTE_ALL,$DF560,45)&amp;"","")&amp;"␟"&amp;IFERROR(INDEX(PASTE_ALL,$DF560,46)&amp;"","")&amp;"␟"&amp;IFERROR(INDEX(PASTE_ALL,$DF560,47)&amp;"","")&amp;"␟"&amp;IFERROR(INDEX(PASTE_ALL,$DF560,48)&amp;"","")&amp;"␟"&amp;IFERROR(INDEX(PASTE_ALL,$DF560,49)&amp;"","")&amp;"␟"&amp;IFERROR(INDEX(PASTE_ALL,$DF560,50)&amp;"","")&amp;"␟"&amp;IFERROR(INDEX(PASTE_ALL,$DF560,51)&amp;"","")&amp;"␟"&amp;IFERROR(INDEX(PASTE_ALL,$DF560,52)&amp;"","")&amp;"␟"&amp;IFERROR(INDEX(PASTE_ALL,$DF560,53)&amp;"","")&amp;"␟"&amp;IFERROR(INDEX(PASTE_ALL,$DF560,54)&amp;"","")&amp;"␟"&amp;IFERROR(INDEX(PASTE_ALL,$DF560,55)&amp;"","")&amp;"␟"&amp;IFERROR(INDEX(PASTE_ALL,$DF560,56)&amp;"","")&amp;"␟"&amp;IFERROR(INDEX(PASTE_ALL,$DF560,57)&amp;"","")&amp;"␟"&amp;IFERROR(INDEX(PASTE_ALL,$DF560,58)&amp;"","")&amp;"␟"&amp;IFERROR(INDEX(PASTE_ALL,$DF560,59)&amp;"","")&amp;"␟"&amp;IFERROR(INDEX(PASTE_ALL,$DF560,60)&amp;"","")," "," "),CHAR(9)," "),CHAR(10)," "),CHAR(13)," "))," ␟","␟"),"␟ ","␟"),"#"&amp;$DE560),"")</f>
        <v/>
      </c>
      <c r="DJ560">
        <f>IF($DI560="",0,IF(SUMPRODUCT(--EXACT($DI$4:DI559,$DI560))&gt;0,1,0))</f>
        <v/>
      </c>
      <c r="DK560">
        <f>IF(AND($DI560&lt;&gt;"",$DJ560=0),1,0)</f>
        <v/>
      </c>
      <c r="DL560">
        <f>DL559+$DK560</f>
        <v/>
      </c>
      <c r="DM560">
        <f>IF(AND($DK560=1,$DL560&lt;=600),1,0)</f>
        <v/>
      </c>
      <c r="DN560">
        <f>IF($DM560=0,"",IF($L$6=0,"",IFERROR(IF(ISNUMBER(INDEX(PASTE_ALL,$DF560,$L$6)),INDEX(PASTE_ALL,$DF560,$L$6),TRIM(SUBSTITUTE(SUBSTITUTE(SUBSTITUTE(SUBSTITUTE(INDEX(PASTE_ALL,$DF560,$L$6)," "," "),CHAR(9)," "),CHAR(10)," "),CHAR(13)," "))),"")))</f>
        <v/>
      </c>
      <c r="DO560">
        <f>IF($DM560=0,"",IF($L$7=0,"",IFERROR(IF(ISNUMBER(INDEX(PASTE_ALL,$DF560,$L$7)),INDEX(PASTE_ALL,$DF560,$L$7),TRIM(SUBSTITUTE(SUBSTITUTE(SUBSTITUTE(SUBSTITUTE(INDEX(PASTE_ALL,$DF560,$L$7)," "," "),CHAR(9)," "),CHAR(10)," "),CHAR(13)," "))),"")))</f>
        <v/>
      </c>
      <c r="DP560">
        <f>IF($DM560=0,"",IF($L$8=0,"",IFERROR(IF(ISNUMBER(INDEX(PASTE_ALL,$DF560,$L$8)),INDEX(PASTE_ALL,$DF560,$L$8),TRIM(SUBSTITUTE(SUBSTITUTE(SUBSTITUTE(SUBSTITUTE(INDEX(PASTE_ALL,$DF560,$L$8)," "," "),CHAR(9)," "),CHAR(10)," "),CHAR(13)," "))),"")))</f>
        <v/>
      </c>
      <c r="DQ560">
        <f>IF($DM560=0,"",IF($L$9=0,"",IFERROR(IF(ISNUMBER(INDEX(PASTE_ALL,$DF560,$L$9)),INDEX(PASTE_ALL,$DF560,$L$9),TRIM(SUBSTITUTE(SUBSTITUTE(SUBSTITUTE(SUBSTITUTE(INDEX(PASTE_ALL,$DF560,$L$9)," "," "),CHAR(9)," "),CHAR(10)," "),CHAR(13)," "))),"")))</f>
        <v/>
      </c>
      <c r="DR560">
        <f>IF($DM560=0,"",IF($L$10=0,"",IFERROR(IF(ISNUMBER(INDEX(PASTE_ALL,$DF560,$L$10)),INDEX(PASTE_ALL,$DF560,$L$10),TRIM(SUBSTITUTE(SUBSTITUTE(SUBSTITUTE(SUBSTITUTE(INDEX(PASTE_ALL,$DF560,$L$10)," "," "),CHAR(9)," "),CHAR(10)," "),CHAR(13)," "))),"")))</f>
        <v/>
      </c>
      <c r="DS560">
        <f>IF($DM560=0,"",IF($L$11=0,"",IFERROR(IF(ISNUMBER(INDEX(PASTE_ALL,$DF560,$L$11)),INDEX(PASTE_ALL,$DF560,$L$11),TRIM(SUBSTITUTE(SUBSTITUTE(SUBSTITUTE(SUBSTITUTE(INDEX(PASTE_ALL,$DF560,$L$11)," "," "),CHAR(9)," "),CHAR(10)," "),CHAR(13)," "))),"")))</f>
        <v/>
      </c>
      <c r="DT560">
        <f>IF($DM560=0,"",IF($L$12=0,"",IFERROR(IF(ISNUMBER(INDEX(PASTE_ALL,$DF560,$L$12)),INDEX(PASTE_ALL,$DF560,$L$12),TRIM(SUBSTITUTE(SUBSTITUTE(SUBSTITUTE(SUBSTITUTE(INDEX(PASTE_ALL,$DF560,$L$12)," "," "),CHAR(9)," "),CHAR(10)," "),CHAR(13)," "))),"")))</f>
        <v/>
      </c>
      <c r="DU560">
        <f>IF($DM560=0,"",IF($L$13=0,"",IFERROR(IF(ISNUMBER(INDEX(PASTE_ALL,$DF560,$L$13)),INDEX(PASTE_ALL,$DF560,$L$13),TRIM(SUBSTITUTE(SUBSTITUTE(SUBSTITUTE(SUBSTITUTE(INDEX(PASTE_ALL,$DF560,$L$13)," "," "),CHAR(9)," "),CHAR(10)," "),CHAR(13)," "))),"")))</f>
        <v/>
      </c>
      <c r="DV560">
        <f>IF($DM560=0,"",IF($L$14=0,"",IFERROR(IF(ISNUMBER(INDEX(PASTE_ALL,$DF560,$L$14)),INDEX(PASTE_ALL,$DF560,$L$14),TRIM(SUBSTITUTE(SUBSTITUTE(SUBSTITUTE(SUBSTITUTE(INDEX(PASTE_ALL,$DF560,$L$14)," "," "),CHAR(9)," "),CHAR(10)," "),CHAR(13)," "))),"")))</f>
        <v/>
      </c>
      <c r="DW560">
        <f>IF($DM560=0,"",IF($L$15=0,"",IFERROR(IF(ISNUMBER(INDEX(PASTE_ALL,$DF560,$L$15)),INDEX(PASTE_ALL,$DF560,$L$15),IF(SUMPRODUCT(--ISNUMBER(FIND({"A","B","C","D","E","F","G","H","I","J","K","L","M","N","O","P","Q","R","S","T","U","V","W","X","Y","Z","0","1","2","3","4","5","6","7","8","9"},UPPER(TRIM(SUBSTITUTE(SUBSTITUTE(SUBSTITUTE(SUBSTITUTE(INDEX(PASTE_ALL,$DF560,$L$15)," "," "),CHAR(9)," "),CHAR(10)," "),CHAR(13)," "))))))&gt;0,TRIM(SUBSTITUTE(SUBSTITUTE(SUBSTITUTE(SUBSTITUTE(INDEX(PASTE_ALL,$DF560,$L$15)," "," "),CHAR(9)," "),CHAR(10)," "),CHAR(13)," ")),"")),"")))</f>
        <v/>
      </c>
      <c r="DX560">
        <f>IF($DM560=0,"",IF($L$16=0,"",IFERROR(IF(ISNUMBER(INDEX(PASTE_ALL,$DF560,$L$16)),INDEX(PASTE_ALL,$DF560,$L$16),SUBSTITUTE(SUBSTITUTE(TRIM(SUBSTITUTE(SUBSTITUTE(SUBSTITUTE(SUBSTITUTE(INDEX(PASTE_ALL,$DF560,$L$16)," "," "),CHAR(9)," "),CHAR(10)," "),CHAR(13)," ")),",",""),"%","")),"")))</f>
        <v/>
      </c>
      <c r="DY560">
        <f>IF($DM560=0,"",IFERROR(IF(ISNUMBER($DX560),$DX560,IF($DX560="","",IF(TRIM($DX560)="",0,IF(AND(AND(SUBSTITUTE(SUBSTITUTE(SUBSTITUTE(SUBSTITUTE(SUBSTITUTE(SUBSTITUTE(SUBSTITUTE(SUBSTITUTE(SUBSTITUTE(SUBSTITUTE(SUBSTITUTE(SUBSTITUTE(SUBSTITUTE(SUBSTITUTE(UPPER(TRIM($DX560)),"0",""),"1",""),"2",""),"3",""),"4",""),"5",""),"6",""),"7",""),"8",""),"9",""),".",""),"+",""),"-",""),"E","")="",LEN(SUBSTITUTE(SUBSTITUTE(MID(UPPER(TRIM($DX560)),1+OR(LEFT(UPPER(TRIM($DX560)),1)="+",LEFT(UPPER(TRIM($DX560)),1)="-"),999),"E+","E"),"E-","E"))=LEN(SUBSTITUTE(SUBSTITUTE(SUBSTITUTE(SUBSTITUTE(MID(UPPER(TRIM($DX560)),1+OR(LEFT(UPPER(TRIM($DX560)),1)="+",LEFT(UPPER(TRIM($DX560)),1)="-"),999),"E+","E"),"E-","E"),"+",""),"-","")),LEN(UPPER(TRIM($DX560)))-LEN(SUBSTITUTE(UPPER(TRIM($DX560)),"E",""))&lt;2,LEN(UPPER(TRIM($DX560)))-LEN(SUBSTITUTE(UPPER(TRIM($DX560)),".",""))&lt;2,IFERROR(FIND(".",UPPER(TRIM($DX560))),0)&lt;IFERROR(FIND("E",UPPER(TRIM($DX560))),999)),ISNUMBER(VALUE(TRIM($DX560)))),VALUE(TRIM($DX560)),"")))),""))</f>
        <v/>
      </c>
      <c r="DZ560">
        <f>IF($DM560=0,"",IF($L$17=0,"",IFERROR(IF(ISNUMBER(INDEX(PASTE_ALL,$DF560,$L$17)),INDEX(PASTE_ALL,$DF560,$L$17),SUBSTITUTE(SUBSTITUTE(TRIM(SUBSTITUTE(SUBSTITUTE(SUBSTITUTE(SUBSTITUTE(INDEX(PASTE_ALL,$DF560,$L$17)," "," "),CHAR(9)," "),CHAR(10)," "),CHAR(13)," ")),",",""),"%","")),"")))</f>
        <v/>
      </c>
      <c r="EA560">
        <f>IF($DM560=0,"",IFERROR(IF(ISNUMBER($DZ560),$DZ560,IF($DZ560="","",IF(TRIM($DZ560)="",0,IF(AND(AND(SUBSTITUTE(SUBSTITUTE(SUBSTITUTE(SUBSTITUTE(SUBSTITUTE(SUBSTITUTE(SUBSTITUTE(SUBSTITUTE(SUBSTITUTE(SUBSTITUTE(SUBSTITUTE(SUBSTITUTE(SUBSTITUTE(SUBSTITUTE(UPPER(TRIM($DZ560)),"0",""),"1",""),"2",""),"3",""),"4",""),"5",""),"6",""),"7",""),"8",""),"9",""),".",""),"+",""),"-",""),"E","")="",LEN(SUBSTITUTE(SUBSTITUTE(MID(UPPER(TRIM($DZ560)),1+OR(LEFT(UPPER(TRIM($DZ560)),1)="+",LEFT(UPPER(TRIM($DZ560)),1)="-"),999),"E+","E"),"E-","E"))=LEN(SUBSTITUTE(SUBSTITUTE(SUBSTITUTE(SUBSTITUTE(MID(UPPER(TRIM($DZ560)),1+OR(LEFT(UPPER(TRIM($DZ560)),1)="+",LEFT(UPPER(TRIM($DZ560)),1)="-"),999),"E+","E"),"E-","E"),"+",""),"-","")),LEN(UPPER(TRIM($DZ560)))-LEN(SUBSTITUTE(UPPER(TRIM($DZ560)),"E",""))&lt;2,LEN(UPPER(TRIM($DZ560)))-LEN(SUBSTITUTE(UPPER(TRIM($DZ560)),".",""))&lt;2,IFERROR(FIND(".",UPPER(TRIM($DZ560))),0)&lt;IFERROR(FIND("E",UPPER(TRIM($DZ560))),999)),ISNUMBER(VALUE(TRIM($DZ560)))),VALUE(TRIM($DZ560)),"")))),""))</f>
        <v/>
      </c>
      <c r="EB560">
        <f>IF($DM560=0,"",IF($L$18=0,"",IFERROR(IF(UPPER(TRIM(SUBSTITUTE(SUBSTITUTE(SUBSTITUTE(SUBSTITUTE(INDEX(PASTE_ALL,$DF560,$L$18)," "," "),CHAR(9)," "),CHAR(10)," "),CHAR(13)," ")))="READY","Ready",IF(UPPER(TRIM(SUBSTITUTE(SUBSTITUTE(SUBSTITUTE(SUBSTITUTE(INDEX(PASTE_ALL,$DF560,$L$18)," "," "),CHAR(9)," "),CHAR(10)," "),CHAR(13)," ")))="PM","PM",IF(OR(UPPER(TRIM(SUBSTITUTE(SUBSTITUTE(SUBSTITUTE(SUBSTITUTE(INDEX(PASTE_ALL,$DF560,$L$18)," "," "),CHAR(9)," "),CHAR(10)," "),CHAR(13)," ")))="OT",UPPER(TRIM(SUBSTITUTE(SUBSTITUTE(SUBSTITUTE(SUBSTITUTE(INDEX(PASTE_ALL,$DF560,$L$18)," "," "),CHAR(9)," "),CHAR(10)," "),CHAR(13)," ")))="OVERTIME",UPPER(TRIM(SUBSTITUTE(SUBSTITUTE(SUBSTITUTE(SUBSTITUTE(INDEX(PASTE_ALL,$DF560,$L$18)," "," "),CHAR(9)," "),CHAR(10)," "),CHAR(13)," ")))="TRIAL"),"OT",TRIM(SUBSTITUTE(SUBSTITUTE(SUBSTITUTE(SUBSTITUTE(INDEX(PASTE_ALL,$DF560,$L$18)," "," "),CHAR(9)," "),CHAR(10)," "),CHAR(13)," "))))),"")))</f>
        <v/>
      </c>
      <c r="EC560">
        <f>IF($DM560=0,"",IF($L$19=0,"",IFERROR(IF(ISNUMBER(INDEX(PASTE_ALL,$DF560,$L$19)),INDEX(PASTE_ALL,$DF560,$L$19),TRIM(SUBSTITUTE(SUBSTITUTE(SUBSTITUTE(SUBSTITUTE(INDEX(PASTE_ALL,$DF560,$L$19)," "," "),CHAR(9)," "),CHAR(10)," "),CHAR(13)," "))),"")))</f>
        <v/>
      </c>
      <c r="ED560">
        <f>IF($DM560=0,"",MATCH(1,INDEX(EXACT($DH$5:DH560,$DH560)*$DM$5:DM560,0),0))</f>
        <v/>
      </c>
      <c r="EE560">
        <f>IF($DM560=0,0,IF($ED560=$DE560,1,0))</f>
        <v/>
      </c>
      <c r="EF560">
        <f>EF559+$EE560</f>
        <v/>
      </c>
      <c r="EG560">
        <f>IF($DM560=0,"",INDEX($EF$5:$EF$1003,$ED560))</f>
        <v/>
      </c>
      <c r="EH560">
        <f>IF($DM560=0,"",IF($DO560&lt;&gt;"","",IFERROR(LOOKUP(2,1/(($EG$4:EG559=$EG560)*($DO$4:DO559&lt;&gt;"")),$DO$4:DO559),"")))</f>
        <v/>
      </c>
      <c r="EI560">
        <f>IF($DM560=0,"",IF($DO560&lt;&gt;"",$DO560,$EH560))</f>
        <v/>
      </c>
      <c r="EJ560">
        <f>IF($DM560=0,"",IF($EI560="",0,IF(OR(ISNUMBER($EI560),AND(AND(SUBSTITUTE(SUBSTITUTE(SUBSTITUTE(SUBSTITUTE(SUBSTITUTE(SUBSTITUTE(SUBSTITUTE(SUBSTITUTE(SUBSTITUTE(SUBSTITUTE(SUBSTITUTE(SUBSTITUTE(SUBSTITUTE(SUBSTITUTE(UPPER($EI560),"0",""),"1",""),"2",""),"3",""),"4",""),"5",""),"6",""),"7",""),"8",""),"9",""),".",""),"+",""),"-",""),"E","")="",LEN(SUBSTITUTE(SUBSTITUTE(MID(UPPER($EI560),1+OR(LEFT(UPPER($EI560),1)="+",LEFT(UPPER($EI560),1)="-"),999),"E+","E"),"E-","E"))=LEN(SUBSTITUTE(SUBSTITUTE(SUBSTITUTE(SUBSTITUTE(MID(UPPER($EI560),1+OR(LEFT(UPPER($EI560),1)="+",LEFT(UPPER($EI560),1)="-"),999),"E+","E"),"E-","E"),"+",""),"-","")),LEN(UPPER($EI560))-LEN(SUBSTITUTE(UPPER($EI560),"E",""))&lt;2,LEN(UPPER($EI560))-LEN(SUBSTITUTE(UPPER($EI560),".",""))&lt;2,IFERROR(FIND(".",UPPER($EI560)),0)&lt;IFERROR(FIND("E",UPPER($EI560)),999)),ISNUMBER(VALUE($EI560)))),1,2)))</f>
        <v/>
      </c>
      <c r="EK560">
        <f>IF($DM560=0,"",IF($EJ560=1,IF(ISNUMBER($EI560),$EI560,VALUE($EI560)),IF($EJ560=2,$DE560,0)))</f>
        <v/>
      </c>
      <c r="EL560">
        <f>IF($DM560=0,"",COUNTIF($EG$5:$EG$1003,"&lt;"&amp;$EG560)+SUMPRODUCT(($EG$5:$EG$1003=$EG560)*(($EJ$5:$EJ$1003&lt;$EJ560)+($EJ$5:$EJ$1003=$EJ560)*(($EK$5:$EK$1003&lt;$EK560)+($EK$5:$EK$1003=$EK560)*($DE$5:$DE$1003&lt;$DE560))))+1)</f>
        <v/>
      </c>
      <c r="EM560">
        <f>IF($DM560=0,"",$EL560+$EG560-1)</f>
        <v/>
      </c>
      <c r="EN560">
        <f>IF($DM560=0,0,IFERROR(MATCH(1,INDEX(--(TRIM(SUBSTITUTE(SUBSTITUTE(SUBSTITUTE(SUBSTITUTE(LINES_NAME&amp;""," "," "),CHAR(9)," "),CHAR(10)," "),CHAR(13)," "))=$DH560),0),0),0))</f>
        <v/>
      </c>
      <c r="EO560">
        <f>IF($EN560=0,0,IF(OR(UPPER(TRIM(INDEX(LINES_SCHEDULED,$EN560)&amp;""))="YES",UPPER(TRIM(INDEX(LINES_SCHEDULED,$EN560)&amp;""))="Y",UPPER(TRIM(INDEX(LINES_SCHEDULED,$EN560)&amp;""))="X"),1,0))</f>
        <v/>
      </c>
      <c r="EP560">
        <f>IF($DM560=0,"",IF(COUNTIFS($EG$5:$EG$1003,$EG560,$EB$5:$EB$1003,"Ready")&gt;0,"READY",IF(COUNTIFS($EG$5:$EG$1003,$EG560,$EB$5:$EB$1003,"PM")&gt;0,"PM",IF(COUNTIFS($EG$5:$EG$1003,$EG560,$EB$5:$EB$1003,"OT")&gt;0,"OT",""))))</f>
        <v/>
      </c>
      <c r="EQ560">
        <f>IF($EN560=0,"",UPPER(TRIM(INDEX(LINES_STATUS,$EN560)&amp;"")))</f>
        <v/>
      </c>
      <c r="ER560">
        <f>IF($DM560=0,"",IF(OR($EQ560="READY",$EQ560="PM",$EQ560="OT"),$EQ560,$EP560))</f>
        <v/>
      </c>
      <c r="ES560">
        <f>IF($DM560=0,"",IF(AND($DV560&lt;&gt;"",UPPER($DV560)&lt;&gt;"N"),"allergen",IF(ISNUMBER(SEARCH("oil",$DQ560)),"oil",IF(OR(EXACT($DS560,"A662"),EXACT($DS560,"A624")),"bulk",""))))</f>
        <v/>
      </c>
      <c r="ET560">
        <f>IF($DM560=0,"",IF(OR($EA560="",$EA560=0),"",$EA560/100))</f>
        <v/>
      </c>
      <c r="EU560">
        <f>IF(OR($ET560="",$DY560=""),"",INT($DY560*(1-$ET560)+0.5))</f>
        <v/>
      </c>
      <c r="EW560" t="n">
        <v>556</v>
      </c>
      <c r="EX560">
        <f>IFERROR(MATCH($EW560,$EM$5:$EM$1003,0),0)</f>
        <v/>
      </c>
      <c r="EY560">
        <f>IF($EW560&gt;$B$12,"",IF($EX560&gt;0,"row","spacer"))</f>
        <v/>
      </c>
      <c r="EZ560">
        <f>IF(AND($EY560="row",$EY559&lt;&gt;"row"),1,0)</f>
        <v/>
      </c>
      <c r="FA560">
        <f>IF(AND($EY560="row",$EY561&lt;&gt;"row"),1,0)</f>
        <v/>
      </c>
      <c r="FB560">
        <f>IF($EZ560=1,IFERROR(IF(ISNUMBER(INDEX(PASTE_ALL,INDEX($DF$5:$DF$1003,$EX560),$B$37)),INDEX(PASTE_ALL,INDEX($DF$5:$DF$1003,$EX560),$B$37),INDEX($DH$5:$DH$1003,$EX560)),INDEX($DH$5:$DH$1003,$EX560)),"")</f>
        <v/>
      </c>
      <c r="FC560">
        <f>IF($EY560="row",INDEX($ER$5:$ER$1003,$EX560),"")</f>
        <v/>
      </c>
      <c r="FD560">
        <f>IF($EY560="row",INDEX($DN$5:$DN$1003,$EX560),"")</f>
        <v/>
      </c>
      <c r="FE560">
        <f>IF($EY560="row",INDEX($DO$5:$DO$1003,$EX560),"")</f>
        <v/>
      </c>
      <c r="FF560">
        <f>IF($EY560="row",INDEX($DP$5:$DP$1003,$EX560),"")</f>
        <v/>
      </c>
      <c r="FG560">
        <f>IF($EY560="row",INDEX($DQ$5:$DQ$1003,$EX560),"")</f>
        <v/>
      </c>
      <c r="FH560">
        <f>IF($EY560="row",INDEX($DR$5:$DR$1003,$EX560),"")</f>
        <v/>
      </c>
      <c r="FI560">
        <f>IF($EY560="row",INDEX($DS$5:$DS$1003,$EX560),"")</f>
        <v/>
      </c>
      <c r="FJ560">
        <f>IF($EY560="row",INDEX($DT$5:$DT$1003,$EX560),"")</f>
        <v/>
      </c>
      <c r="FK560">
        <f>IF($EY560="row",INDEX($DU$5:$DU$1003,$EX560),"")</f>
        <v/>
      </c>
      <c r="FL560">
        <f>IF($EY560="row",INDEX($DV$5:$DV$1003,$EX560),"")</f>
        <v/>
      </c>
      <c r="FM560">
        <f>IF($EY560="row",INDEX($DW$5:$DW$1003,$EX560),"")</f>
        <v/>
      </c>
      <c r="FN560">
        <f>IF($EY560="row",INDEX($DY$5:$DY$1003,$EX560),"")</f>
        <v/>
      </c>
      <c r="FO560">
        <f>IF($EY560="row",INDEX($EA$5:$EA$1003,$EX560),"")</f>
        <v/>
      </c>
      <c r="FP560">
        <f>IF($EY560="row",INDEX($EC$5:$EC$1003,$EX560),"")</f>
        <v/>
      </c>
      <c r="FQ560">
        <f>IF($EY560="row",INDEX($ET$5:$ET$1003,$EX560),"")</f>
        <v/>
      </c>
      <c r="FR560">
        <f>IF($EY560="row",INDEX($EU$5:$EU$1003,$EX560),"")</f>
        <v/>
      </c>
      <c r="FS560">
        <f>IF(AND($EY560="row",$EY559="row"),IF(OR(INDEX($DT$5:$DT$1003,$EX559)="",INDEX($DT$5:$DT$1003,$EX560)=""),"",IF(NOT(EXACT(INDEX($DT$5:$DT$1003,$EX559),INDEX($DT$5:$DT$1003,$EX560))),"S4",IF(NOT(EXACT(INDEX($DS$5:$DS$1003,$EX559),INDEX($DS$5:$DS$1003,$EX560))),"S3",IF(NOT(EXACT(INDEX($DR$5:$DR$1003,$EX559),INDEX($DR$5:$DR$1003,$EX560))),"S1 Count Change","S1")))),"")</f>
        <v/>
      </c>
      <c r="FT560">
        <f>IF($EY560="row",INDEX($ES$5:$ES$1003,$EX560),"")</f>
        <v/>
      </c>
      <c r="FU560">
        <f>IF($EY560="row",INDEX($EO$5:$EO$1003,$EX560),0)</f>
        <v/>
      </c>
      <c r="FV560">
        <f>IF($FS560="S1 Count Change",1,0)</f>
        <v/>
      </c>
    </row>
    <row r="561">
      <c r="DA561" t="n">
        <v>557</v>
      </c>
      <c r="DB561">
        <f>IF($B$37=0,"",IFERROR(TRIM(SUBSTITUTE(SUBSTITUTE(SUBSTITUTE(SUBSTITUTE(INDEX(PASTE_ALL,557,$B$37)," "," "),CHAR(9)," "),CHAR(10)," "),CHAR(13)," ")),""))</f>
        <v/>
      </c>
      <c r="DC561">
        <f>IF(AND(557&gt;HEADER_ROW,UPPER(DB561)="LEGEND"),1,0)</f>
        <v/>
      </c>
      <c r="DE561" t="n">
        <v>557</v>
      </c>
      <c r="DF561">
        <f>HEADER_ROW+$DE561</f>
        <v/>
      </c>
      <c r="DG561">
        <f>IF(AND($DF561&lt;=1000,$DF561&lt;$B$8),1,0)</f>
        <v/>
      </c>
      <c r="DH561">
        <f>IF($DG561=1,IFERROR(INDEX($DB$5:$DB$1004,$DF561),""),"")</f>
        <v/>
      </c>
      <c r="DI561">
        <f>IF(AND($DG561=1,$DH561&lt;&gt;""),IFERROR(SUBSTITUTE(SUBSTITUTE(TRIM(SUBSTITUTE(SUBSTITUTE(SUBSTITUTE(SUBSTITUTE(IFERROR(INDEX(PASTE_ALL,$DF561,1)&amp;"","")&amp;"␟"&amp;IFERROR(INDEX(PASTE_ALL,$DF561,2)&amp;"","")&amp;"␟"&amp;IFERROR(INDEX(PASTE_ALL,$DF561,3)&amp;"","")&amp;"␟"&amp;IFERROR(INDEX(PASTE_ALL,$DF561,4)&amp;"","")&amp;"␟"&amp;IFERROR(INDEX(PASTE_ALL,$DF561,5)&amp;"","")&amp;"␟"&amp;IFERROR(INDEX(PASTE_ALL,$DF561,6)&amp;"","")&amp;"␟"&amp;IFERROR(INDEX(PASTE_ALL,$DF561,7)&amp;"","")&amp;"␟"&amp;IFERROR(INDEX(PASTE_ALL,$DF561,8)&amp;"","")&amp;"␟"&amp;IFERROR(INDEX(PASTE_ALL,$DF561,9)&amp;"","")&amp;"␟"&amp;IFERROR(INDEX(PASTE_ALL,$DF561,10)&amp;"","")&amp;"␟"&amp;IFERROR(INDEX(PASTE_ALL,$DF561,11)&amp;"","")&amp;"␟"&amp;IFERROR(INDEX(PASTE_ALL,$DF561,12)&amp;"","")&amp;"␟"&amp;IFERROR(INDEX(PASTE_ALL,$DF561,13)&amp;"","")&amp;"␟"&amp;IFERROR(INDEX(PASTE_ALL,$DF561,14)&amp;"","")&amp;"␟"&amp;IFERROR(INDEX(PASTE_ALL,$DF561,15)&amp;"","")&amp;"␟"&amp;IFERROR(INDEX(PASTE_ALL,$DF561,16)&amp;"","")&amp;"␟"&amp;IFERROR(INDEX(PASTE_ALL,$DF561,17)&amp;"","")&amp;"␟"&amp;IFERROR(INDEX(PASTE_ALL,$DF561,18)&amp;"","")&amp;"␟"&amp;IFERROR(INDEX(PASTE_ALL,$DF561,19)&amp;"","")&amp;"␟"&amp;IFERROR(INDEX(PASTE_ALL,$DF561,20)&amp;"","")&amp;"␟"&amp;IFERROR(INDEX(PASTE_ALL,$DF561,21)&amp;"","")&amp;"␟"&amp;IFERROR(INDEX(PASTE_ALL,$DF561,22)&amp;"","")&amp;"␟"&amp;IFERROR(INDEX(PASTE_ALL,$DF561,23)&amp;"","")&amp;"␟"&amp;IFERROR(INDEX(PASTE_ALL,$DF561,24)&amp;"","")&amp;"␟"&amp;IFERROR(INDEX(PASTE_ALL,$DF561,25)&amp;"","")&amp;"␟"&amp;IFERROR(INDEX(PASTE_ALL,$DF561,26)&amp;"","")&amp;"␟"&amp;IFERROR(INDEX(PASTE_ALL,$DF561,27)&amp;"","")&amp;"␟"&amp;IFERROR(INDEX(PASTE_ALL,$DF561,28)&amp;"","")&amp;"␟"&amp;IFERROR(INDEX(PASTE_ALL,$DF561,29)&amp;"","")&amp;"␟"&amp;IFERROR(INDEX(PASTE_ALL,$DF561,30)&amp;"","")&amp;"␟"&amp;IFERROR(INDEX(PASTE_ALL,$DF561,31)&amp;"","")&amp;"␟"&amp;IFERROR(INDEX(PASTE_ALL,$DF561,32)&amp;"","")&amp;"␟"&amp;IFERROR(INDEX(PASTE_ALL,$DF561,33)&amp;"","")&amp;"␟"&amp;IFERROR(INDEX(PASTE_ALL,$DF561,34)&amp;"","")&amp;"␟"&amp;IFERROR(INDEX(PASTE_ALL,$DF561,35)&amp;"","")&amp;"␟"&amp;IFERROR(INDEX(PASTE_ALL,$DF561,36)&amp;"","")&amp;"␟"&amp;IFERROR(INDEX(PASTE_ALL,$DF561,37)&amp;"","")&amp;"␟"&amp;IFERROR(INDEX(PASTE_ALL,$DF561,38)&amp;"","")&amp;"␟"&amp;IFERROR(INDEX(PASTE_ALL,$DF561,39)&amp;"","")&amp;"␟"&amp;IFERROR(INDEX(PASTE_ALL,$DF561,40)&amp;"","")&amp;"␟"&amp;IFERROR(INDEX(PASTE_ALL,$DF561,41)&amp;"","")&amp;"␟"&amp;IFERROR(INDEX(PASTE_ALL,$DF561,42)&amp;"","")&amp;"␟"&amp;IFERROR(INDEX(PASTE_ALL,$DF561,43)&amp;"","")&amp;"␟"&amp;IFERROR(INDEX(PASTE_ALL,$DF561,44)&amp;"","")&amp;"␟"&amp;IFERROR(INDEX(PASTE_ALL,$DF561,45)&amp;"","")&amp;"␟"&amp;IFERROR(INDEX(PASTE_ALL,$DF561,46)&amp;"","")&amp;"␟"&amp;IFERROR(INDEX(PASTE_ALL,$DF561,47)&amp;"","")&amp;"␟"&amp;IFERROR(INDEX(PASTE_ALL,$DF561,48)&amp;"","")&amp;"␟"&amp;IFERROR(INDEX(PASTE_ALL,$DF561,49)&amp;"","")&amp;"␟"&amp;IFERROR(INDEX(PASTE_ALL,$DF561,50)&amp;"","")&amp;"␟"&amp;IFERROR(INDEX(PASTE_ALL,$DF561,51)&amp;"","")&amp;"␟"&amp;IFERROR(INDEX(PASTE_ALL,$DF561,52)&amp;"","")&amp;"␟"&amp;IFERROR(INDEX(PASTE_ALL,$DF561,53)&amp;"","")&amp;"␟"&amp;IFERROR(INDEX(PASTE_ALL,$DF561,54)&amp;"","")&amp;"␟"&amp;IFERROR(INDEX(PASTE_ALL,$DF561,55)&amp;"","")&amp;"␟"&amp;IFERROR(INDEX(PASTE_ALL,$DF561,56)&amp;"","")&amp;"␟"&amp;IFERROR(INDEX(PASTE_ALL,$DF561,57)&amp;"","")&amp;"␟"&amp;IFERROR(INDEX(PASTE_ALL,$DF561,58)&amp;"","")&amp;"␟"&amp;IFERROR(INDEX(PASTE_ALL,$DF561,59)&amp;"","")&amp;"␟"&amp;IFERROR(INDEX(PASTE_ALL,$DF561,60)&amp;"","")," "," "),CHAR(9)," "),CHAR(10)," "),CHAR(13)," "))," ␟","␟"),"␟ ","␟"),"#"&amp;$DE561),"")</f>
        <v/>
      </c>
      <c r="DJ561">
        <f>IF($DI561="",0,IF(SUMPRODUCT(--EXACT($DI$4:DI560,$DI561))&gt;0,1,0))</f>
        <v/>
      </c>
      <c r="DK561">
        <f>IF(AND($DI561&lt;&gt;"",$DJ561=0),1,0)</f>
        <v/>
      </c>
      <c r="DL561">
        <f>DL560+$DK561</f>
        <v/>
      </c>
      <c r="DM561">
        <f>IF(AND($DK561=1,$DL561&lt;=600),1,0)</f>
        <v/>
      </c>
      <c r="DN561">
        <f>IF($DM561=0,"",IF($L$6=0,"",IFERROR(IF(ISNUMBER(INDEX(PASTE_ALL,$DF561,$L$6)),INDEX(PASTE_ALL,$DF561,$L$6),TRIM(SUBSTITUTE(SUBSTITUTE(SUBSTITUTE(SUBSTITUTE(INDEX(PASTE_ALL,$DF561,$L$6)," "," "),CHAR(9)," "),CHAR(10)," "),CHAR(13)," "))),"")))</f>
        <v/>
      </c>
      <c r="DO561">
        <f>IF($DM561=0,"",IF($L$7=0,"",IFERROR(IF(ISNUMBER(INDEX(PASTE_ALL,$DF561,$L$7)),INDEX(PASTE_ALL,$DF561,$L$7),TRIM(SUBSTITUTE(SUBSTITUTE(SUBSTITUTE(SUBSTITUTE(INDEX(PASTE_ALL,$DF561,$L$7)," "," "),CHAR(9)," "),CHAR(10)," "),CHAR(13)," "))),"")))</f>
        <v/>
      </c>
      <c r="DP561">
        <f>IF($DM561=0,"",IF($L$8=0,"",IFERROR(IF(ISNUMBER(INDEX(PASTE_ALL,$DF561,$L$8)),INDEX(PASTE_ALL,$DF561,$L$8),TRIM(SUBSTITUTE(SUBSTITUTE(SUBSTITUTE(SUBSTITUTE(INDEX(PASTE_ALL,$DF561,$L$8)," "," "),CHAR(9)," "),CHAR(10)," "),CHAR(13)," "))),"")))</f>
        <v/>
      </c>
      <c r="DQ561">
        <f>IF($DM561=0,"",IF($L$9=0,"",IFERROR(IF(ISNUMBER(INDEX(PASTE_ALL,$DF561,$L$9)),INDEX(PASTE_ALL,$DF561,$L$9),TRIM(SUBSTITUTE(SUBSTITUTE(SUBSTITUTE(SUBSTITUTE(INDEX(PASTE_ALL,$DF561,$L$9)," "," "),CHAR(9)," "),CHAR(10)," "),CHAR(13)," "))),"")))</f>
        <v/>
      </c>
      <c r="DR561">
        <f>IF($DM561=0,"",IF($L$10=0,"",IFERROR(IF(ISNUMBER(INDEX(PASTE_ALL,$DF561,$L$10)),INDEX(PASTE_ALL,$DF561,$L$10),TRIM(SUBSTITUTE(SUBSTITUTE(SUBSTITUTE(SUBSTITUTE(INDEX(PASTE_ALL,$DF561,$L$10)," "," "),CHAR(9)," "),CHAR(10)," "),CHAR(13)," "))),"")))</f>
        <v/>
      </c>
      <c r="DS561">
        <f>IF($DM561=0,"",IF($L$11=0,"",IFERROR(IF(ISNUMBER(INDEX(PASTE_ALL,$DF561,$L$11)),INDEX(PASTE_ALL,$DF561,$L$11),TRIM(SUBSTITUTE(SUBSTITUTE(SUBSTITUTE(SUBSTITUTE(INDEX(PASTE_ALL,$DF561,$L$11)," "," "),CHAR(9)," "),CHAR(10)," "),CHAR(13)," "))),"")))</f>
        <v/>
      </c>
      <c r="DT561">
        <f>IF($DM561=0,"",IF($L$12=0,"",IFERROR(IF(ISNUMBER(INDEX(PASTE_ALL,$DF561,$L$12)),INDEX(PASTE_ALL,$DF561,$L$12),TRIM(SUBSTITUTE(SUBSTITUTE(SUBSTITUTE(SUBSTITUTE(INDEX(PASTE_ALL,$DF561,$L$12)," "," "),CHAR(9)," "),CHAR(10)," "),CHAR(13)," "))),"")))</f>
        <v/>
      </c>
      <c r="DU561">
        <f>IF($DM561=0,"",IF($L$13=0,"",IFERROR(IF(ISNUMBER(INDEX(PASTE_ALL,$DF561,$L$13)),INDEX(PASTE_ALL,$DF561,$L$13),TRIM(SUBSTITUTE(SUBSTITUTE(SUBSTITUTE(SUBSTITUTE(INDEX(PASTE_ALL,$DF561,$L$13)," "," "),CHAR(9)," "),CHAR(10)," "),CHAR(13)," "))),"")))</f>
        <v/>
      </c>
      <c r="DV561">
        <f>IF($DM561=0,"",IF($L$14=0,"",IFERROR(IF(ISNUMBER(INDEX(PASTE_ALL,$DF561,$L$14)),INDEX(PASTE_ALL,$DF561,$L$14),TRIM(SUBSTITUTE(SUBSTITUTE(SUBSTITUTE(SUBSTITUTE(INDEX(PASTE_ALL,$DF561,$L$14)," "," "),CHAR(9)," "),CHAR(10)," "),CHAR(13)," "))),"")))</f>
        <v/>
      </c>
      <c r="DW561">
        <f>IF($DM561=0,"",IF($L$15=0,"",IFERROR(IF(ISNUMBER(INDEX(PASTE_ALL,$DF561,$L$15)),INDEX(PASTE_ALL,$DF561,$L$15),IF(SUMPRODUCT(--ISNUMBER(FIND({"A","B","C","D","E","F","G","H","I","J","K","L","M","N","O","P","Q","R","S","T","U","V","W","X","Y","Z","0","1","2","3","4","5","6","7","8","9"},UPPER(TRIM(SUBSTITUTE(SUBSTITUTE(SUBSTITUTE(SUBSTITUTE(INDEX(PASTE_ALL,$DF561,$L$15)," "," "),CHAR(9)," "),CHAR(10)," "),CHAR(13)," "))))))&gt;0,TRIM(SUBSTITUTE(SUBSTITUTE(SUBSTITUTE(SUBSTITUTE(INDEX(PASTE_ALL,$DF561,$L$15)," "," "),CHAR(9)," "),CHAR(10)," "),CHAR(13)," ")),"")),"")))</f>
        <v/>
      </c>
      <c r="DX561">
        <f>IF($DM561=0,"",IF($L$16=0,"",IFERROR(IF(ISNUMBER(INDEX(PASTE_ALL,$DF561,$L$16)),INDEX(PASTE_ALL,$DF561,$L$16),SUBSTITUTE(SUBSTITUTE(TRIM(SUBSTITUTE(SUBSTITUTE(SUBSTITUTE(SUBSTITUTE(INDEX(PASTE_ALL,$DF561,$L$16)," "," "),CHAR(9)," "),CHAR(10)," "),CHAR(13)," ")),",",""),"%","")),"")))</f>
        <v/>
      </c>
      <c r="DY561">
        <f>IF($DM561=0,"",IFERROR(IF(ISNUMBER($DX561),$DX561,IF($DX561="","",IF(TRIM($DX561)="",0,IF(AND(AND(SUBSTITUTE(SUBSTITUTE(SUBSTITUTE(SUBSTITUTE(SUBSTITUTE(SUBSTITUTE(SUBSTITUTE(SUBSTITUTE(SUBSTITUTE(SUBSTITUTE(SUBSTITUTE(SUBSTITUTE(SUBSTITUTE(SUBSTITUTE(UPPER(TRIM($DX561)),"0",""),"1",""),"2",""),"3",""),"4",""),"5",""),"6",""),"7",""),"8",""),"9",""),".",""),"+",""),"-",""),"E","")="",LEN(SUBSTITUTE(SUBSTITUTE(MID(UPPER(TRIM($DX561)),1+OR(LEFT(UPPER(TRIM($DX561)),1)="+",LEFT(UPPER(TRIM($DX561)),1)="-"),999),"E+","E"),"E-","E"))=LEN(SUBSTITUTE(SUBSTITUTE(SUBSTITUTE(SUBSTITUTE(MID(UPPER(TRIM($DX561)),1+OR(LEFT(UPPER(TRIM($DX561)),1)="+",LEFT(UPPER(TRIM($DX561)),1)="-"),999),"E+","E"),"E-","E"),"+",""),"-","")),LEN(UPPER(TRIM($DX561)))-LEN(SUBSTITUTE(UPPER(TRIM($DX561)),"E",""))&lt;2,LEN(UPPER(TRIM($DX561)))-LEN(SUBSTITUTE(UPPER(TRIM($DX561)),".",""))&lt;2,IFERROR(FIND(".",UPPER(TRIM($DX561))),0)&lt;IFERROR(FIND("E",UPPER(TRIM($DX561))),999)),ISNUMBER(VALUE(TRIM($DX561)))),VALUE(TRIM($DX561)),"")))),""))</f>
        <v/>
      </c>
      <c r="DZ561">
        <f>IF($DM561=0,"",IF($L$17=0,"",IFERROR(IF(ISNUMBER(INDEX(PASTE_ALL,$DF561,$L$17)),INDEX(PASTE_ALL,$DF561,$L$17),SUBSTITUTE(SUBSTITUTE(TRIM(SUBSTITUTE(SUBSTITUTE(SUBSTITUTE(SUBSTITUTE(INDEX(PASTE_ALL,$DF561,$L$17)," "," "),CHAR(9)," "),CHAR(10)," "),CHAR(13)," ")),",",""),"%","")),"")))</f>
        <v/>
      </c>
      <c r="EA561">
        <f>IF($DM561=0,"",IFERROR(IF(ISNUMBER($DZ561),$DZ561,IF($DZ561="","",IF(TRIM($DZ561)="",0,IF(AND(AND(SUBSTITUTE(SUBSTITUTE(SUBSTITUTE(SUBSTITUTE(SUBSTITUTE(SUBSTITUTE(SUBSTITUTE(SUBSTITUTE(SUBSTITUTE(SUBSTITUTE(SUBSTITUTE(SUBSTITUTE(SUBSTITUTE(SUBSTITUTE(UPPER(TRIM($DZ561)),"0",""),"1",""),"2",""),"3",""),"4",""),"5",""),"6",""),"7",""),"8",""),"9",""),".",""),"+",""),"-",""),"E","")="",LEN(SUBSTITUTE(SUBSTITUTE(MID(UPPER(TRIM($DZ561)),1+OR(LEFT(UPPER(TRIM($DZ561)),1)="+",LEFT(UPPER(TRIM($DZ561)),1)="-"),999),"E+","E"),"E-","E"))=LEN(SUBSTITUTE(SUBSTITUTE(SUBSTITUTE(SUBSTITUTE(MID(UPPER(TRIM($DZ561)),1+OR(LEFT(UPPER(TRIM($DZ561)),1)="+",LEFT(UPPER(TRIM($DZ561)),1)="-"),999),"E+","E"),"E-","E"),"+",""),"-","")),LEN(UPPER(TRIM($DZ561)))-LEN(SUBSTITUTE(UPPER(TRIM($DZ561)),"E",""))&lt;2,LEN(UPPER(TRIM($DZ561)))-LEN(SUBSTITUTE(UPPER(TRIM($DZ561)),".",""))&lt;2,IFERROR(FIND(".",UPPER(TRIM($DZ561))),0)&lt;IFERROR(FIND("E",UPPER(TRIM($DZ561))),999)),ISNUMBER(VALUE(TRIM($DZ561)))),VALUE(TRIM($DZ561)),"")))),""))</f>
        <v/>
      </c>
      <c r="EB561">
        <f>IF($DM561=0,"",IF($L$18=0,"",IFERROR(IF(UPPER(TRIM(SUBSTITUTE(SUBSTITUTE(SUBSTITUTE(SUBSTITUTE(INDEX(PASTE_ALL,$DF561,$L$18)," "," "),CHAR(9)," "),CHAR(10)," "),CHAR(13)," ")))="READY","Ready",IF(UPPER(TRIM(SUBSTITUTE(SUBSTITUTE(SUBSTITUTE(SUBSTITUTE(INDEX(PASTE_ALL,$DF561,$L$18)," "," "),CHAR(9)," "),CHAR(10)," "),CHAR(13)," ")))="PM","PM",IF(OR(UPPER(TRIM(SUBSTITUTE(SUBSTITUTE(SUBSTITUTE(SUBSTITUTE(INDEX(PASTE_ALL,$DF561,$L$18)," "," "),CHAR(9)," "),CHAR(10)," "),CHAR(13)," ")))="OT",UPPER(TRIM(SUBSTITUTE(SUBSTITUTE(SUBSTITUTE(SUBSTITUTE(INDEX(PASTE_ALL,$DF561,$L$18)," "," "),CHAR(9)," "),CHAR(10)," "),CHAR(13)," ")))="OVERTIME",UPPER(TRIM(SUBSTITUTE(SUBSTITUTE(SUBSTITUTE(SUBSTITUTE(INDEX(PASTE_ALL,$DF561,$L$18)," "," "),CHAR(9)," "),CHAR(10)," "),CHAR(13)," ")))="TRIAL"),"OT",TRIM(SUBSTITUTE(SUBSTITUTE(SUBSTITUTE(SUBSTITUTE(INDEX(PASTE_ALL,$DF561,$L$18)," "," "),CHAR(9)," "),CHAR(10)," "),CHAR(13)," "))))),"")))</f>
        <v/>
      </c>
      <c r="EC561">
        <f>IF($DM561=0,"",IF($L$19=0,"",IFERROR(IF(ISNUMBER(INDEX(PASTE_ALL,$DF561,$L$19)),INDEX(PASTE_ALL,$DF561,$L$19),TRIM(SUBSTITUTE(SUBSTITUTE(SUBSTITUTE(SUBSTITUTE(INDEX(PASTE_ALL,$DF561,$L$19)," "," "),CHAR(9)," "),CHAR(10)," "),CHAR(13)," "))),"")))</f>
        <v/>
      </c>
      <c r="ED561">
        <f>IF($DM561=0,"",MATCH(1,INDEX(EXACT($DH$5:DH561,$DH561)*$DM$5:DM561,0),0))</f>
        <v/>
      </c>
      <c r="EE561">
        <f>IF($DM561=0,0,IF($ED561=$DE561,1,0))</f>
        <v/>
      </c>
      <c r="EF561">
        <f>EF560+$EE561</f>
        <v/>
      </c>
      <c r="EG561">
        <f>IF($DM561=0,"",INDEX($EF$5:$EF$1003,$ED561))</f>
        <v/>
      </c>
      <c r="EH561">
        <f>IF($DM561=0,"",IF($DO561&lt;&gt;"","",IFERROR(LOOKUP(2,1/(($EG$4:EG560=$EG561)*($DO$4:DO560&lt;&gt;"")),$DO$4:DO560),"")))</f>
        <v/>
      </c>
      <c r="EI561">
        <f>IF($DM561=0,"",IF($DO561&lt;&gt;"",$DO561,$EH561))</f>
        <v/>
      </c>
      <c r="EJ561">
        <f>IF($DM561=0,"",IF($EI561="",0,IF(OR(ISNUMBER($EI561),AND(AND(SUBSTITUTE(SUBSTITUTE(SUBSTITUTE(SUBSTITUTE(SUBSTITUTE(SUBSTITUTE(SUBSTITUTE(SUBSTITUTE(SUBSTITUTE(SUBSTITUTE(SUBSTITUTE(SUBSTITUTE(SUBSTITUTE(SUBSTITUTE(UPPER($EI561),"0",""),"1",""),"2",""),"3",""),"4",""),"5",""),"6",""),"7",""),"8",""),"9",""),".",""),"+",""),"-",""),"E","")="",LEN(SUBSTITUTE(SUBSTITUTE(MID(UPPER($EI561),1+OR(LEFT(UPPER($EI561),1)="+",LEFT(UPPER($EI561),1)="-"),999),"E+","E"),"E-","E"))=LEN(SUBSTITUTE(SUBSTITUTE(SUBSTITUTE(SUBSTITUTE(MID(UPPER($EI561),1+OR(LEFT(UPPER($EI561),1)="+",LEFT(UPPER($EI561),1)="-"),999),"E+","E"),"E-","E"),"+",""),"-","")),LEN(UPPER($EI561))-LEN(SUBSTITUTE(UPPER($EI561),"E",""))&lt;2,LEN(UPPER($EI561))-LEN(SUBSTITUTE(UPPER($EI561),".",""))&lt;2,IFERROR(FIND(".",UPPER($EI561)),0)&lt;IFERROR(FIND("E",UPPER($EI561)),999)),ISNUMBER(VALUE($EI561)))),1,2)))</f>
        <v/>
      </c>
      <c r="EK561">
        <f>IF($DM561=0,"",IF($EJ561=1,IF(ISNUMBER($EI561),$EI561,VALUE($EI561)),IF($EJ561=2,$DE561,0)))</f>
        <v/>
      </c>
      <c r="EL561">
        <f>IF($DM561=0,"",COUNTIF($EG$5:$EG$1003,"&lt;"&amp;$EG561)+SUMPRODUCT(($EG$5:$EG$1003=$EG561)*(($EJ$5:$EJ$1003&lt;$EJ561)+($EJ$5:$EJ$1003=$EJ561)*(($EK$5:$EK$1003&lt;$EK561)+($EK$5:$EK$1003=$EK561)*($DE$5:$DE$1003&lt;$DE561))))+1)</f>
        <v/>
      </c>
      <c r="EM561">
        <f>IF($DM561=0,"",$EL561+$EG561-1)</f>
        <v/>
      </c>
      <c r="EN561">
        <f>IF($DM561=0,0,IFERROR(MATCH(1,INDEX(--(TRIM(SUBSTITUTE(SUBSTITUTE(SUBSTITUTE(SUBSTITUTE(LINES_NAME&amp;""," "," "),CHAR(9)," "),CHAR(10)," "),CHAR(13)," "))=$DH561),0),0),0))</f>
        <v/>
      </c>
      <c r="EO561">
        <f>IF($EN561=0,0,IF(OR(UPPER(TRIM(INDEX(LINES_SCHEDULED,$EN561)&amp;""))="YES",UPPER(TRIM(INDEX(LINES_SCHEDULED,$EN561)&amp;""))="Y",UPPER(TRIM(INDEX(LINES_SCHEDULED,$EN561)&amp;""))="X"),1,0))</f>
        <v/>
      </c>
      <c r="EP561">
        <f>IF($DM561=0,"",IF(COUNTIFS($EG$5:$EG$1003,$EG561,$EB$5:$EB$1003,"Ready")&gt;0,"READY",IF(COUNTIFS($EG$5:$EG$1003,$EG561,$EB$5:$EB$1003,"PM")&gt;0,"PM",IF(COUNTIFS($EG$5:$EG$1003,$EG561,$EB$5:$EB$1003,"OT")&gt;0,"OT",""))))</f>
        <v/>
      </c>
      <c r="EQ561">
        <f>IF($EN561=0,"",UPPER(TRIM(INDEX(LINES_STATUS,$EN561)&amp;"")))</f>
        <v/>
      </c>
      <c r="ER561">
        <f>IF($DM561=0,"",IF(OR($EQ561="READY",$EQ561="PM",$EQ561="OT"),$EQ561,$EP561))</f>
        <v/>
      </c>
      <c r="ES561">
        <f>IF($DM561=0,"",IF(AND($DV561&lt;&gt;"",UPPER($DV561)&lt;&gt;"N"),"allergen",IF(ISNUMBER(SEARCH("oil",$DQ561)),"oil",IF(OR(EXACT($DS561,"A662"),EXACT($DS561,"A624")),"bulk",""))))</f>
        <v/>
      </c>
      <c r="ET561">
        <f>IF($DM561=0,"",IF(OR($EA561="",$EA561=0),"",$EA561/100))</f>
        <v/>
      </c>
      <c r="EU561">
        <f>IF(OR($ET561="",$DY561=""),"",INT($DY561*(1-$ET561)+0.5))</f>
        <v/>
      </c>
      <c r="EW561" t="n">
        <v>557</v>
      </c>
      <c r="EX561">
        <f>IFERROR(MATCH($EW561,$EM$5:$EM$1003,0),0)</f>
        <v/>
      </c>
      <c r="EY561">
        <f>IF($EW561&gt;$B$12,"",IF($EX561&gt;0,"row","spacer"))</f>
        <v/>
      </c>
      <c r="EZ561">
        <f>IF(AND($EY561="row",$EY560&lt;&gt;"row"),1,0)</f>
        <v/>
      </c>
      <c r="FA561">
        <f>IF(AND($EY561="row",$EY562&lt;&gt;"row"),1,0)</f>
        <v/>
      </c>
      <c r="FB561">
        <f>IF($EZ561=1,IFERROR(IF(ISNUMBER(INDEX(PASTE_ALL,INDEX($DF$5:$DF$1003,$EX561),$B$37)),INDEX(PASTE_ALL,INDEX($DF$5:$DF$1003,$EX561),$B$37),INDEX($DH$5:$DH$1003,$EX561)),INDEX($DH$5:$DH$1003,$EX561)),"")</f>
        <v/>
      </c>
      <c r="FC561">
        <f>IF($EY561="row",INDEX($ER$5:$ER$1003,$EX561),"")</f>
        <v/>
      </c>
      <c r="FD561">
        <f>IF($EY561="row",INDEX($DN$5:$DN$1003,$EX561),"")</f>
        <v/>
      </c>
      <c r="FE561">
        <f>IF($EY561="row",INDEX($DO$5:$DO$1003,$EX561),"")</f>
        <v/>
      </c>
      <c r="FF561">
        <f>IF($EY561="row",INDEX($DP$5:$DP$1003,$EX561),"")</f>
        <v/>
      </c>
      <c r="FG561">
        <f>IF($EY561="row",INDEX($DQ$5:$DQ$1003,$EX561),"")</f>
        <v/>
      </c>
      <c r="FH561">
        <f>IF($EY561="row",INDEX($DR$5:$DR$1003,$EX561),"")</f>
        <v/>
      </c>
      <c r="FI561">
        <f>IF($EY561="row",INDEX($DS$5:$DS$1003,$EX561),"")</f>
        <v/>
      </c>
      <c r="FJ561">
        <f>IF($EY561="row",INDEX($DT$5:$DT$1003,$EX561),"")</f>
        <v/>
      </c>
      <c r="FK561">
        <f>IF($EY561="row",INDEX($DU$5:$DU$1003,$EX561),"")</f>
        <v/>
      </c>
      <c r="FL561">
        <f>IF($EY561="row",INDEX($DV$5:$DV$1003,$EX561),"")</f>
        <v/>
      </c>
      <c r="FM561">
        <f>IF($EY561="row",INDEX($DW$5:$DW$1003,$EX561),"")</f>
        <v/>
      </c>
      <c r="FN561">
        <f>IF($EY561="row",INDEX($DY$5:$DY$1003,$EX561),"")</f>
        <v/>
      </c>
      <c r="FO561">
        <f>IF($EY561="row",INDEX($EA$5:$EA$1003,$EX561),"")</f>
        <v/>
      </c>
      <c r="FP561">
        <f>IF($EY561="row",INDEX($EC$5:$EC$1003,$EX561),"")</f>
        <v/>
      </c>
      <c r="FQ561">
        <f>IF($EY561="row",INDEX($ET$5:$ET$1003,$EX561),"")</f>
        <v/>
      </c>
      <c r="FR561">
        <f>IF($EY561="row",INDEX($EU$5:$EU$1003,$EX561),"")</f>
        <v/>
      </c>
      <c r="FS561">
        <f>IF(AND($EY561="row",$EY560="row"),IF(OR(INDEX($DT$5:$DT$1003,$EX560)="",INDEX($DT$5:$DT$1003,$EX561)=""),"",IF(NOT(EXACT(INDEX($DT$5:$DT$1003,$EX560),INDEX($DT$5:$DT$1003,$EX561))),"S4",IF(NOT(EXACT(INDEX($DS$5:$DS$1003,$EX560),INDEX($DS$5:$DS$1003,$EX561))),"S3",IF(NOT(EXACT(INDEX($DR$5:$DR$1003,$EX560),INDEX($DR$5:$DR$1003,$EX561))),"S1 Count Change","S1")))),"")</f>
        <v/>
      </c>
      <c r="FT561">
        <f>IF($EY561="row",INDEX($ES$5:$ES$1003,$EX561),"")</f>
        <v/>
      </c>
      <c r="FU561">
        <f>IF($EY561="row",INDEX($EO$5:$EO$1003,$EX561),0)</f>
        <v/>
      </c>
      <c r="FV561">
        <f>IF($FS561="S1 Count Change",1,0)</f>
        <v/>
      </c>
    </row>
    <row r="562">
      <c r="DA562" t="n">
        <v>558</v>
      </c>
      <c r="DB562">
        <f>IF($B$37=0,"",IFERROR(TRIM(SUBSTITUTE(SUBSTITUTE(SUBSTITUTE(SUBSTITUTE(INDEX(PASTE_ALL,558,$B$37)," "," "),CHAR(9)," "),CHAR(10)," "),CHAR(13)," ")),""))</f>
        <v/>
      </c>
      <c r="DC562">
        <f>IF(AND(558&gt;HEADER_ROW,UPPER(DB562)="LEGEND"),1,0)</f>
        <v/>
      </c>
      <c r="DE562" t="n">
        <v>558</v>
      </c>
      <c r="DF562">
        <f>HEADER_ROW+$DE562</f>
        <v/>
      </c>
      <c r="DG562">
        <f>IF(AND($DF562&lt;=1000,$DF562&lt;$B$8),1,0)</f>
        <v/>
      </c>
      <c r="DH562">
        <f>IF($DG562=1,IFERROR(INDEX($DB$5:$DB$1004,$DF562),""),"")</f>
        <v/>
      </c>
      <c r="DI562">
        <f>IF(AND($DG562=1,$DH562&lt;&gt;""),IFERROR(SUBSTITUTE(SUBSTITUTE(TRIM(SUBSTITUTE(SUBSTITUTE(SUBSTITUTE(SUBSTITUTE(IFERROR(INDEX(PASTE_ALL,$DF562,1)&amp;"","")&amp;"␟"&amp;IFERROR(INDEX(PASTE_ALL,$DF562,2)&amp;"","")&amp;"␟"&amp;IFERROR(INDEX(PASTE_ALL,$DF562,3)&amp;"","")&amp;"␟"&amp;IFERROR(INDEX(PASTE_ALL,$DF562,4)&amp;"","")&amp;"␟"&amp;IFERROR(INDEX(PASTE_ALL,$DF562,5)&amp;"","")&amp;"␟"&amp;IFERROR(INDEX(PASTE_ALL,$DF562,6)&amp;"","")&amp;"␟"&amp;IFERROR(INDEX(PASTE_ALL,$DF562,7)&amp;"","")&amp;"␟"&amp;IFERROR(INDEX(PASTE_ALL,$DF562,8)&amp;"","")&amp;"␟"&amp;IFERROR(INDEX(PASTE_ALL,$DF562,9)&amp;"","")&amp;"␟"&amp;IFERROR(INDEX(PASTE_ALL,$DF562,10)&amp;"","")&amp;"␟"&amp;IFERROR(INDEX(PASTE_ALL,$DF562,11)&amp;"","")&amp;"␟"&amp;IFERROR(INDEX(PASTE_ALL,$DF562,12)&amp;"","")&amp;"␟"&amp;IFERROR(INDEX(PASTE_ALL,$DF562,13)&amp;"","")&amp;"␟"&amp;IFERROR(INDEX(PASTE_ALL,$DF562,14)&amp;"","")&amp;"␟"&amp;IFERROR(INDEX(PASTE_ALL,$DF562,15)&amp;"","")&amp;"␟"&amp;IFERROR(INDEX(PASTE_ALL,$DF562,16)&amp;"","")&amp;"␟"&amp;IFERROR(INDEX(PASTE_ALL,$DF562,17)&amp;"","")&amp;"␟"&amp;IFERROR(INDEX(PASTE_ALL,$DF562,18)&amp;"","")&amp;"␟"&amp;IFERROR(INDEX(PASTE_ALL,$DF562,19)&amp;"","")&amp;"␟"&amp;IFERROR(INDEX(PASTE_ALL,$DF562,20)&amp;"","")&amp;"␟"&amp;IFERROR(INDEX(PASTE_ALL,$DF562,21)&amp;"","")&amp;"␟"&amp;IFERROR(INDEX(PASTE_ALL,$DF562,22)&amp;"","")&amp;"␟"&amp;IFERROR(INDEX(PASTE_ALL,$DF562,23)&amp;"","")&amp;"␟"&amp;IFERROR(INDEX(PASTE_ALL,$DF562,24)&amp;"","")&amp;"␟"&amp;IFERROR(INDEX(PASTE_ALL,$DF562,25)&amp;"","")&amp;"␟"&amp;IFERROR(INDEX(PASTE_ALL,$DF562,26)&amp;"","")&amp;"␟"&amp;IFERROR(INDEX(PASTE_ALL,$DF562,27)&amp;"","")&amp;"␟"&amp;IFERROR(INDEX(PASTE_ALL,$DF562,28)&amp;"","")&amp;"␟"&amp;IFERROR(INDEX(PASTE_ALL,$DF562,29)&amp;"","")&amp;"␟"&amp;IFERROR(INDEX(PASTE_ALL,$DF562,30)&amp;"","")&amp;"␟"&amp;IFERROR(INDEX(PASTE_ALL,$DF562,31)&amp;"","")&amp;"␟"&amp;IFERROR(INDEX(PASTE_ALL,$DF562,32)&amp;"","")&amp;"␟"&amp;IFERROR(INDEX(PASTE_ALL,$DF562,33)&amp;"","")&amp;"␟"&amp;IFERROR(INDEX(PASTE_ALL,$DF562,34)&amp;"","")&amp;"␟"&amp;IFERROR(INDEX(PASTE_ALL,$DF562,35)&amp;"","")&amp;"␟"&amp;IFERROR(INDEX(PASTE_ALL,$DF562,36)&amp;"","")&amp;"␟"&amp;IFERROR(INDEX(PASTE_ALL,$DF562,37)&amp;"","")&amp;"␟"&amp;IFERROR(INDEX(PASTE_ALL,$DF562,38)&amp;"","")&amp;"␟"&amp;IFERROR(INDEX(PASTE_ALL,$DF562,39)&amp;"","")&amp;"␟"&amp;IFERROR(INDEX(PASTE_ALL,$DF562,40)&amp;"","")&amp;"␟"&amp;IFERROR(INDEX(PASTE_ALL,$DF562,41)&amp;"","")&amp;"␟"&amp;IFERROR(INDEX(PASTE_ALL,$DF562,42)&amp;"","")&amp;"␟"&amp;IFERROR(INDEX(PASTE_ALL,$DF562,43)&amp;"","")&amp;"␟"&amp;IFERROR(INDEX(PASTE_ALL,$DF562,44)&amp;"","")&amp;"␟"&amp;IFERROR(INDEX(PASTE_ALL,$DF562,45)&amp;"","")&amp;"␟"&amp;IFERROR(INDEX(PASTE_ALL,$DF562,46)&amp;"","")&amp;"␟"&amp;IFERROR(INDEX(PASTE_ALL,$DF562,47)&amp;"","")&amp;"␟"&amp;IFERROR(INDEX(PASTE_ALL,$DF562,48)&amp;"","")&amp;"␟"&amp;IFERROR(INDEX(PASTE_ALL,$DF562,49)&amp;"","")&amp;"␟"&amp;IFERROR(INDEX(PASTE_ALL,$DF562,50)&amp;"","")&amp;"␟"&amp;IFERROR(INDEX(PASTE_ALL,$DF562,51)&amp;"","")&amp;"␟"&amp;IFERROR(INDEX(PASTE_ALL,$DF562,52)&amp;"","")&amp;"␟"&amp;IFERROR(INDEX(PASTE_ALL,$DF562,53)&amp;"","")&amp;"␟"&amp;IFERROR(INDEX(PASTE_ALL,$DF562,54)&amp;"","")&amp;"␟"&amp;IFERROR(INDEX(PASTE_ALL,$DF562,55)&amp;"","")&amp;"␟"&amp;IFERROR(INDEX(PASTE_ALL,$DF562,56)&amp;"","")&amp;"␟"&amp;IFERROR(INDEX(PASTE_ALL,$DF562,57)&amp;"","")&amp;"␟"&amp;IFERROR(INDEX(PASTE_ALL,$DF562,58)&amp;"","")&amp;"␟"&amp;IFERROR(INDEX(PASTE_ALL,$DF562,59)&amp;"","")&amp;"␟"&amp;IFERROR(INDEX(PASTE_ALL,$DF562,60)&amp;"","")," "," "),CHAR(9)," "),CHAR(10)," "),CHAR(13)," "))," ␟","␟"),"␟ ","␟"),"#"&amp;$DE562),"")</f>
        <v/>
      </c>
      <c r="DJ562">
        <f>IF($DI562="",0,IF(SUMPRODUCT(--EXACT($DI$4:DI561,$DI562))&gt;0,1,0))</f>
        <v/>
      </c>
      <c r="DK562">
        <f>IF(AND($DI562&lt;&gt;"",$DJ562=0),1,0)</f>
        <v/>
      </c>
      <c r="DL562">
        <f>DL561+$DK562</f>
        <v/>
      </c>
      <c r="DM562">
        <f>IF(AND($DK562=1,$DL562&lt;=600),1,0)</f>
        <v/>
      </c>
      <c r="DN562">
        <f>IF($DM562=0,"",IF($L$6=0,"",IFERROR(IF(ISNUMBER(INDEX(PASTE_ALL,$DF562,$L$6)),INDEX(PASTE_ALL,$DF562,$L$6),TRIM(SUBSTITUTE(SUBSTITUTE(SUBSTITUTE(SUBSTITUTE(INDEX(PASTE_ALL,$DF562,$L$6)," "," "),CHAR(9)," "),CHAR(10)," "),CHAR(13)," "))),"")))</f>
        <v/>
      </c>
      <c r="DO562">
        <f>IF($DM562=0,"",IF($L$7=0,"",IFERROR(IF(ISNUMBER(INDEX(PASTE_ALL,$DF562,$L$7)),INDEX(PASTE_ALL,$DF562,$L$7),TRIM(SUBSTITUTE(SUBSTITUTE(SUBSTITUTE(SUBSTITUTE(INDEX(PASTE_ALL,$DF562,$L$7)," "," "),CHAR(9)," "),CHAR(10)," "),CHAR(13)," "))),"")))</f>
        <v/>
      </c>
      <c r="DP562">
        <f>IF($DM562=0,"",IF($L$8=0,"",IFERROR(IF(ISNUMBER(INDEX(PASTE_ALL,$DF562,$L$8)),INDEX(PASTE_ALL,$DF562,$L$8),TRIM(SUBSTITUTE(SUBSTITUTE(SUBSTITUTE(SUBSTITUTE(INDEX(PASTE_ALL,$DF562,$L$8)," "," "),CHAR(9)," "),CHAR(10)," "),CHAR(13)," "))),"")))</f>
        <v/>
      </c>
      <c r="DQ562">
        <f>IF($DM562=0,"",IF($L$9=0,"",IFERROR(IF(ISNUMBER(INDEX(PASTE_ALL,$DF562,$L$9)),INDEX(PASTE_ALL,$DF562,$L$9),TRIM(SUBSTITUTE(SUBSTITUTE(SUBSTITUTE(SUBSTITUTE(INDEX(PASTE_ALL,$DF562,$L$9)," "," "),CHAR(9)," "),CHAR(10)," "),CHAR(13)," "))),"")))</f>
        <v/>
      </c>
      <c r="DR562">
        <f>IF($DM562=0,"",IF($L$10=0,"",IFERROR(IF(ISNUMBER(INDEX(PASTE_ALL,$DF562,$L$10)),INDEX(PASTE_ALL,$DF562,$L$10),TRIM(SUBSTITUTE(SUBSTITUTE(SUBSTITUTE(SUBSTITUTE(INDEX(PASTE_ALL,$DF562,$L$10)," "," "),CHAR(9)," "),CHAR(10)," "),CHAR(13)," "))),"")))</f>
        <v/>
      </c>
      <c r="DS562">
        <f>IF($DM562=0,"",IF($L$11=0,"",IFERROR(IF(ISNUMBER(INDEX(PASTE_ALL,$DF562,$L$11)),INDEX(PASTE_ALL,$DF562,$L$11),TRIM(SUBSTITUTE(SUBSTITUTE(SUBSTITUTE(SUBSTITUTE(INDEX(PASTE_ALL,$DF562,$L$11)," "," "),CHAR(9)," "),CHAR(10)," "),CHAR(13)," "))),"")))</f>
        <v/>
      </c>
      <c r="DT562">
        <f>IF($DM562=0,"",IF($L$12=0,"",IFERROR(IF(ISNUMBER(INDEX(PASTE_ALL,$DF562,$L$12)),INDEX(PASTE_ALL,$DF562,$L$12),TRIM(SUBSTITUTE(SUBSTITUTE(SUBSTITUTE(SUBSTITUTE(INDEX(PASTE_ALL,$DF562,$L$12)," "," "),CHAR(9)," "),CHAR(10)," "),CHAR(13)," "))),"")))</f>
        <v/>
      </c>
      <c r="DU562">
        <f>IF($DM562=0,"",IF($L$13=0,"",IFERROR(IF(ISNUMBER(INDEX(PASTE_ALL,$DF562,$L$13)),INDEX(PASTE_ALL,$DF562,$L$13),TRIM(SUBSTITUTE(SUBSTITUTE(SUBSTITUTE(SUBSTITUTE(INDEX(PASTE_ALL,$DF562,$L$13)," "," "),CHAR(9)," "),CHAR(10)," "),CHAR(13)," "))),"")))</f>
        <v/>
      </c>
      <c r="DV562">
        <f>IF($DM562=0,"",IF($L$14=0,"",IFERROR(IF(ISNUMBER(INDEX(PASTE_ALL,$DF562,$L$14)),INDEX(PASTE_ALL,$DF562,$L$14),TRIM(SUBSTITUTE(SUBSTITUTE(SUBSTITUTE(SUBSTITUTE(INDEX(PASTE_ALL,$DF562,$L$14)," "," "),CHAR(9)," "),CHAR(10)," "),CHAR(13)," "))),"")))</f>
        <v/>
      </c>
      <c r="DW562">
        <f>IF($DM562=0,"",IF($L$15=0,"",IFERROR(IF(ISNUMBER(INDEX(PASTE_ALL,$DF562,$L$15)),INDEX(PASTE_ALL,$DF562,$L$15),IF(SUMPRODUCT(--ISNUMBER(FIND({"A","B","C","D","E","F","G","H","I","J","K","L","M","N","O","P","Q","R","S","T","U","V","W","X","Y","Z","0","1","2","3","4","5","6","7","8","9"},UPPER(TRIM(SUBSTITUTE(SUBSTITUTE(SUBSTITUTE(SUBSTITUTE(INDEX(PASTE_ALL,$DF562,$L$15)," "," "),CHAR(9)," "),CHAR(10)," "),CHAR(13)," "))))))&gt;0,TRIM(SUBSTITUTE(SUBSTITUTE(SUBSTITUTE(SUBSTITUTE(INDEX(PASTE_ALL,$DF562,$L$15)," "," "),CHAR(9)," "),CHAR(10)," "),CHAR(13)," ")),"")),"")))</f>
        <v/>
      </c>
      <c r="DX562">
        <f>IF($DM562=0,"",IF($L$16=0,"",IFERROR(IF(ISNUMBER(INDEX(PASTE_ALL,$DF562,$L$16)),INDEX(PASTE_ALL,$DF562,$L$16),SUBSTITUTE(SUBSTITUTE(TRIM(SUBSTITUTE(SUBSTITUTE(SUBSTITUTE(SUBSTITUTE(INDEX(PASTE_ALL,$DF562,$L$16)," "," "),CHAR(9)," "),CHAR(10)," "),CHAR(13)," ")),",",""),"%","")),"")))</f>
        <v/>
      </c>
      <c r="DY562">
        <f>IF($DM562=0,"",IFERROR(IF(ISNUMBER($DX562),$DX562,IF($DX562="","",IF(TRIM($DX562)="",0,IF(AND(AND(SUBSTITUTE(SUBSTITUTE(SUBSTITUTE(SUBSTITUTE(SUBSTITUTE(SUBSTITUTE(SUBSTITUTE(SUBSTITUTE(SUBSTITUTE(SUBSTITUTE(SUBSTITUTE(SUBSTITUTE(SUBSTITUTE(SUBSTITUTE(UPPER(TRIM($DX562)),"0",""),"1",""),"2",""),"3",""),"4",""),"5",""),"6",""),"7",""),"8",""),"9",""),".",""),"+",""),"-",""),"E","")="",LEN(SUBSTITUTE(SUBSTITUTE(MID(UPPER(TRIM($DX562)),1+OR(LEFT(UPPER(TRIM($DX562)),1)="+",LEFT(UPPER(TRIM($DX562)),1)="-"),999),"E+","E"),"E-","E"))=LEN(SUBSTITUTE(SUBSTITUTE(SUBSTITUTE(SUBSTITUTE(MID(UPPER(TRIM($DX562)),1+OR(LEFT(UPPER(TRIM($DX562)),1)="+",LEFT(UPPER(TRIM($DX562)),1)="-"),999),"E+","E"),"E-","E"),"+",""),"-","")),LEN(UPPER(TRIM($DX562)))-LEN(SUBSTITUTE(UPPER(TRIM($DX562)),"E",""))&lt;2,LEN(UPPER(TRIM($DX562)))-LEN(SUBSTITUTE(UPPER(TRIM($DX562)),".",""))&lt;2,IFERROR(FIND(".",UPPER(TRIM($DX562))),0)&lt;IFERROR(FIND("E",UPPER(TRIM($DX562))),999)),ISNUMBER(VALUE(TRIM($DX562)))),VALUE(TRIM($DX562)),"")))),""))</f>
        <v/>
      </c>
      <c r="DZ562">
        <f>IF($DM562=0,"",IF($L$17=0,"",IFERROR(IF(ISNUMBER(INDEX(PASTE_ALL,$DF562,$L$17)),INDEX(PASTE_ALL,$DF562,$L$17),SUBSTITUTE(SUBSTITUTE(TRIM(SUBSTITUTE(SUBSTITUTE(SUBSTITUTE(SUBSTITUTE(INDEX(PASTE_ALL,$DF562,$L$17)," "," "),CHAR(9)," "),CHAR(10)," "),CHAR(13)," ")),",",""),"%","")),"")))</f>
        <v/>
      </c>
      <c r="EA562">
        <f>IF($DM562=0,"",IFERROR(IF(ISNUMBER($DZ562),$DZ562,IF($DZ562="","",IF(TRIM($DZ562)="",0,IF(AND(AND(SUBSTITUTE(SUBSTITUTE(SUBSTITUTE(SUBSTITUTE(SUBSTITUTE(SUBSTITUTE(SUBSTITUTE(SUBSTITUTE(SUBSTITUTE(SUBSTITUTE(SUBSTITUTE(SUBSTITUTE(SUBSTITUTE(SUBSTITUTE(UPPER(TRIM($DZ562)),"0",""),"1",""),"2",""),"3",""),"4",""),"5",""),"6",""),"7",""),"8",""),"9",""),".",""),"+",""),"-",""),"E","")="",LEN(SUBSTITUTE(SUBSTITUTE(MID(UPPER(TRIM($DZ562)),1+OR(LEFT(UPPER(TRIM($DZ562)),1)="+",LEFT(UPPER(TRIM($DZ562)),1)="-"),999),"E+","E"),"E-","E"))=LEN(SUBSTITUTE(SUBSTITUTE(SUBSTITUTE(SUBSTITUTE(MID(UPPER(TRIM($DZ562)),1+OR(LEFT(UPPER(TRIM($DZ562)),1)="+",LEFT(UPPER(TRIM($DZ562)),1)="-"),999),"E+","E"),"E-","E"),"+",""),"-","")),LEN(UPPER(TRIM($DZ562)))-LEN(SUBSTITUTE(UPPER(TRIM($DZ562)),"E",""))&lt;2,LEN(UPPER(TRIM($DZ562)))-LEN(SUBSTITUTE(UPPER(TRIM($DZ562)),".",""))&lt;2,IFERROR(FIND(".",UPPER(TRIM($DZ562))),0)&lt;IFERROR(FIND("E",UPPER(TRIM($DZ562))),999)),ISNUMBER(VALUE(TRIM($DZ562)))),VALUE(TRIM($DZ562)),"")))),""))</f>
        <v/>
      </c>
      <c r="EB562">
        <f>IF($DM562=0,"",IF($L$18=0,"",IFERROR(IF(UPPER(TRIM(SUBSTITUTE(SUBSTITUTE(SUBSTITUTE(SUBSTITUTE(INDEX(PASTE_ALL,$DF562,$L$18)," "," "),CHAR(9)," "),CHAR(10)," "),CHAR(13)," ")))="READY","Ready",IF(UPPER(TRIM(SUBSTITUTE(SUBSTITUTE(SUBSTITUTE(SUBSTITUTE(INDEX(PASTE_ALL,$DF562,$L$18)," "," "),CHAR(9)," "),CHAR(10)," "),CHAR(13)," ")))="PM","PM",IF(OR(UPPER(TRIM(SUBSTITUTE(SUBSTITUTE(SUBSTITUTE(SUBSTITUTE(INDEX(PASTE_ALL,$DF562,$L$18)," "," "),CHAR(9)," "),CHAR(10)," "),CHAR(13)," ")))="OT",UPPER(TRIM(SUBSTITUTE(SUBSTITUTE(SUBSTITUTE(SUBSTITUTE(INDEX(PASTE_ALL,$DF562,$L$18)," "," "),CHAR(9)," "),CHAR(10)," "),CHAR(13)," ")))="OVERTIME",UPPER(TRIM(SUBSTITUTE(SUBSTITUTE(SUBSTITUTE(SUBSTITUTE(INDEX(PASTE_ALL,$DF562,$L$18)," "," "),CHAR(9)," "),CHAR(10)," "),CHAR(13)," ")))="TRIAL"),"OT",TRIM(SUBSTITUTE(SUBSTITUTE(SUBSTITUTE(SUBSTITUTE(INDEX(PASTE_ALL,$DF562,$L$18)," "," "),CHAR(9)," "),CHAR(10)," "),CHAR(13)," "))))),"")))</f>
        <v/>
      </c>
      <c r="EC562">
        <f>IF($DM562=0,"",IF($L$19=0,"",IFERROR(IF(ISNUMBER(INDEX(PASTE_ALL,$DF562,$L$19)),INDEX(PASTE_ALL,$DF562,$L$19),TRIM(SUBSTITUTE(SUBSTITUTE(SUBSTITUTE(SUBSTITUTE(INDEX(PASTE_ALL,$DF562,$L$19)," "," "),CHAR(9)," "),CHAR(10)," "),CHAR(13)," "))),"")))</f>
        <v/>
      </c>
      <c r="ED562">
        <f>IF($DM562=0,"",MATCH(1,INDEX(EXACT($DH$5:DH562,$DH562)*$DM$5:DM562,0),0))</f>
        <v/>
      </c>
      <c r="EE562">
        <f>IF($DM562=0,0,IF($ED562=$DE562,1,0))</f>
        <v/>
      </c>
      <c r="EF562">
        <f>EF561+$EE562</f>
        <v/>
      </c>
      <c r="EG562">
        <f>IF($DM562=0,"",INDEX($EF$5:$EF$1003,$ED562))</f>
        <v/>
      </c>
      <c r="EH562">
        <f>IF($DM562=0,"",IF($DO562&lt;&gt;"","",IFERROR(LOOKUP(2,1/(($EG$4:EG561=$EG562)*($DO$4:DO561&lt;&gt;"")),$DO$4:DO561),"")))</f>
        <v/>
      </c>
      <c r="EI562">
        <f>IF($DM562=0,"",IF($DO562&lt;&gt;"",$DO562,$EH562))</f>
        <v/>
      </c>
      <c r="EJ562">
        <f>IF($DM562=0,"",IF($EI562="",0,IF(OR(ISNUMBER($EI562),AND(AND(SUBSTITUTE(SUBSTITUTE(SUBSTITUTE(SUBSTITUTE(SUBSTITUTE(SUBSTITUTE(SUBSTITUTE(SUBSTITUTE(SUBSTITUTE(SUBSTITUTE(SUBSTITUTE(SUBSTITUTE(SUBSTITUTE(SUBSTITUTE(UPPER($EI562),"0",""),"1",""),"2",""),"3",""),"4",""),"5",""),"6",""),"7",""),"8",""),"9",""),".",""),"+",""),"-",""),"E","")="",LEN(SUBSTITUTE(SUBSTITUTE(MID(UPPER($EI562),1+OR(LEFT(UPPER($EI562),1)="+",LEFT(UPPER($EI562),1)="-"),999),"E+","E"),"E-","E"))=LEN(SUBSTITUTE(SUBSTITUTE(SUBSTITUTE(SUBSTITUTE(MID(UPPER($EI562),1+OR(LEFT(UPPER($EI562),1)="+",LEFT(UPPER($EI562),1)="-"),999),"E+","E"),"E-","E"),"+",""),"-","")),LEN(UPPER($EI562))-LEN(SUBSTITUTE(UPPER($EI562),"E",""))&lt;2,LEN(UPPER($EI562))-LEN(SUBSTITUTE(UPPER($EI562),".",""))&lt;2,IFERROR(FIND(".",UPPER($EI562)),0)&lt;IFERROR(FIND("E",UPPER($EI562)),999)),ISNUMBER(VALUE($EI562)))),1,2)))</f>
        <v/>
      </c>
      <c r="EK562">
        <f>IF($DM562=0,"",IF($EJ562=1,IF(ISNUMBER($EI562),$EI562,VALUE($EI562)),IF($EJ562=2,$DE562,0)))</f>
        <v/>
      </c>
      <c r="EL562">
        <f>IF($DM562=0,"",COUNTIF($EG$5:$EG$1003,"&lt;"&amp;$EG562)+SUMPRODUCT(($EG$5:$EG$1003=$EG562)*(($EJ$5:$EJ$1003&lt;$EJ562)+($EJ$5:$EJ$1003=$EJ562)*(($EK$5:$EK$1003&lt;$EK562)+($EK$5:$EK$1003=$EK562)*($DE$5:$DE$1003&lt;$DE562))))+1)</f>
        <v/>
      </c>
      <c r="EM562">
        <f>IF($DM562=0,"",$EL562+$EG562-1)</f>
        <v/>
      </c>
      <c r="EN562">
        <f>IF($DM562=0,0,IFERROR(MATCH(1,INDEX(--(TRIM(SUBSTITUTE(SUBSTITUTE(SUBSTITUTE(SUBSTITUTE(LINES_NAME&amp;""," "," "),CHAR(9)," "),CHAR(10)," "),CHAR(13)," "))=$DH562),0),0),0))</f>
        <v/>
      </c>
      <c r="EO562">
        <f>IF($EN562=0,0,IF(OR(UPPER(TRIM(INDEX(LINES_SCHEDULED,$EN562)&amp;""))="YES",UPPER(TRIM(INDEX(LINES_SCHEDULED,$EN562)&amp;""))="Y",UPPER(TRIM(INDEX(LINES_SCHEDULED,$EN562)&amp;""))="X"),1,0))</f>
        <v/>
      </c>
      <c r="EP562">
        <f>IF($DM562=0,"",IF(COUNTIFS($EG$5:$EG$1003,$EG562,$EB$5:$EB$1003,"Ready")&gt;0,"READY",IF(COUNTIFS($EG$5:$EG$1003,$EG562,$EB$5:$EB$1003,"PM")&gt;0,"PM",IF(COUNTIFS($EG$5:$EG$1003,$EG562,$EB$5:$EB$1003,"OT")&gt;0,"OT",""))))</f>
        <v/>
      </c>
      <c r="EQ562">
        <f>IF($EN562=0,"",UPPER(TRIM(INDEX(LINES_STATUS,$EN562)&amp;"")))</f>
        <v/>
      </c>
      <c r="ER562">
        <f>IF($DM562=0,"",IF(OR($EQ562="READY",$EQ562="PM",$EQ562="OT"),$EQ562,$EP562))</f>
        <v/>
      </c>
      <c r="ES562">
        <f>IF($DM562=0,"",IF(AND($DV562&lt;&gt;"",UPPER($DV562)&lt;&gt;"N"),"allergen",IF(ISNUMBER(SEARCH("oil",$DQ562)),"oil",IF(OR(EXACT($DS562,"A662"),EXACT($DS562,"A624")),"bulk",""))))</f>
        <v/>
      </c>
      <c r="ET562">
        <f>IF($DM562=0,"",IF(OR($EA562="",$EA562=0),"",$EA562/100))</f>
        <v/>
      </c>
      <c r="EU562">
        <f>IF(OR($ET562="",$DY562=""),"",INT($DY562*(1-$ET562)+0.5))</f>
        <v/>
      </c>
      <c r="EW562" t="n">
        <v>558</v>
      </c>
      <c r="EX562">
        <f>IFERROR(MATCH($EW562,$EM$5:$EM$1003,0),0)</f>
        <v/>
      </c>
      <c r="EY562">
        <f>IF($EW562&gt;$B$12,"",IF($EX562&gt;0,"row","spacer"))</f>
        <v/>
      </c>
      <c r="EZ562">
        <f>IF(AND($EY562="row",$EY561&lt;&gt;"row"),1,0)</f>
        <v/>
      </c>
      <c r="FA562">
        <f>IF(AND($EY562="row",$EY563&lt;&gt;"row"),1,0)</f>
        <v/>
      </c>
      <c r="FB562">
        <f>IF($EZ562=1,IFERROR(IF(ISNUMBER(INDEX(PASTE_ALL,INDEX($DF$5:$DF$1003,$EX562),$B$37)),INDEX(PASTE_ALL,INDEX($DF$5:$DF$1003,$EX562),$B$37),INDEX($DH$5:$DH$1003,$EX562)),INDEX($DH$5:$DH$1003,$EX562)),"")</f>
        <v/>
      </c>
      <c r="FC562">
        <f>IF($EY562="row",INDEX($ER$5:$ER$1003,$EX562),"")</f>
        <v/>
      </c>
      <c r="FD562">
        <f>IF($EY562="row",INDEX($DN$5:$DN$1003,$EX562),"")</f>
        <v/>
      </c>
      <c r="FE562">
        <f>IF($EY562="row",INDEX($DO$5:$DO$1003,$EX562),"")</f>
        <v/>
      </c>
      <c r="FF562">
        <f>IF($EY562="row",INDEX($DP$5:$DP$1003,$EX562),"")</f>
        <v/>
      </c>
      <c r="FG562">
        <f>IF($EY562="row",INDEX($DQ$5:$DQ$1003,$EX562),"")</f>
        <v/>
      </c>
      <c r="FH562">
        <f>IF($EY562="row",INDEX($DR$5:$DR$1003,$EX562),"")</f>
        <v/>
      </c>
      <c r="FI562">
        <f>IF($EY562="row",INDEX($DS$5:$DS$1003,$EX562),"")</f>
        <v/>
      </c>
      <c r="FJ562">
        <f>IF($EY562="row",INDEX($DT$5:$DT$1003,$EX562),"")</f>
        <v/>
      </c>
      <c r="FK562">
        <f>IF($EY562="row",INDEX($DU$5:$DU$1003,$EX562),"")</f>
        <v/>
      </c>
      <c r="FL562">
        <f>IF($EY562="row",INDEX($DV$5:$DV$1003,$EX562),"")</f>
        <v/>
      </c>
      <c r="FM562">
        <f>IF($EY562="row",INDEX($DW$5:$DW$1003,$EX562),"")</f>
        <v/>
      </c>
      <c r="FN562">
        <f>IF($EY562="row",INDEX($DY$5:$DY$1003,$EX562),"")</f>
        <v/>
      </c>
      <c r="FO562">
        <f>IF($EY562="row",INDEX($EA$5:$EA$1003,$EX562),"")</f>
        <v/>
      </c>
      <c r="FP562">
        <f>IF($EY562="row",INDEX($EC$5:$EC$1003,$EX562),"")</f>
        <v/>
      </c>
      <c r="FQ562">
        <f>IF($EY562="row",INDEX($ET$5:$ET$1003,$EX562),"")</f>
        <v/>
      </c>
      <c r="FR562">
        <f>IF($EY562="row",INDEX($EU$5:$EU$1003,$EX562),"")</f>
        <v/>
      </c>
      <c r="FS562">
        <f>IF(AND($EY562="row",$EY561="row"),IF(OR(INDEX($DT$5:$DT$1003,$EX561)="",INDEX($DT$5:$DT$1003,$EX562)=""),"",IF(NOT(EXACT(INDEX($DT$5:$DT$1003,$EX561),INDEX($DT$5:$DT$1003,$EX562))),"S4",IF(NOT(EXACT(INDEX($DS$5:$DS$1003,$EX561),INDEX($DS$5:$DS$1003,$EX562))),"S3",IF(NOT(EXACT(INDEX($DR$5:$DR$1003,$EX561),INDEX($DR$5:$DR$1003,$EX562))),"S1 Count Change","S1")))),"")</f>
        <v/>
      </c>
      <c r="FT562">
        <f>IF($EY562="row",INDEX($ES$5:$ES$1003,$EX562),"")</f>
        <v/>
      </c>
      <c r="FU562">
        <f>IF($EY562="row",INDEX($EO$5:$EO$1003,$EX562),0)</f>
        <v/>
      </c>
      <c r="FV562">
        <f>IF($FS562="S1 Count Change",1,0)</f>
        <v/>
      </c>
    </row>
    <row r="563">
      <c r="DA563" t="n">
        <v>559</v>
      </c>
      <c r="DB563">
        <f>IF($B$37=0,"",IFERROR(TRIM(SUBSTITUTE(SUBSTITUTE(SUBSTITUTE(SUBSTITUTE(INDEX(PASTE_ALL,559,$B$37)," "," "),CHAR(9)," "),CHAR(10)," "),CHAR(13)," ")),""))</f>
        <v/>
      </c>
      <c r="DC563">
        <f>IF(AND(559&gt;HEADER_ROW,UPPER(DB563)="LEGEND"),1,0)</f>
        <v/>
      </c>
      <c r="DE563" t="n">
        <v>559</v>
      </c>
      <c r="DF563">
        <f>HEADER_ROW+$DE563</f>
        <v/>
      </c>
      <c r="DG563">
        <f>IF(AND($DF563&lt;=1000,$DF563&lt;$B$8),1,0)</f>
        <v/>
      </c>
      <c r="DH563">
        <f>IF($DG563=1,IFERROR(INDEX($DB$5:$DB$1004,$DF563),""),"")</f>
        <v/>
      </c>
      <c r="DI563">
        <f>IF(AND($DG563=1,$DH563&lt;&gt;""),IFERROR(SUBSTITUTE(SUBSTITUTE(TRIM(SUBSTITUTE(SUBSTITUTE(SUBSTITUTE(SUBSTITUTE(IFERROR(INDEX(PASTE_ALL,$DF563,1)&amp;"","")&amp;"␟"&amp;IFERROR(INDEX(PASTE_ALL,$DF563,2)&amp;"","")&amp;"␟"&amp;IFERROR(INDEX(PASTE_ALL,$DF563,3)&amp;"","")&amp;"␟"&amp;IFERROR(INDEX(PASTE_ALL,$DF563,4)&amp;"","")&amp;"␟"&amp;IFERROR(INDEX(PASTE_ALL,$DF563,5)&amp;"","")&amp;"␟"&amp;IFERROR(INDEX(PASTE_ALL,$DF563,6)&amp;"","")&amp;"␟"&amp;IFERROR(INDEX(PASTE_ALL,$DF563,7)&amp;"","")&amp;"␟"&amp;IFERROR(INDEX(PASTE_ALL,$DF563,8)&amp;"","")&amp;"␟"&amp;IFERROR(INDEX(PASTE_ALL,$DF563,9)&amp;"","")&amp;"␟"&amp;IFERROR(INDEX(PASTE_ALL,$DF563,10)&amp;"","")&amp;"␟"&amp;IFERROR(INDEX(PASTE_ALL,$DF563,11)&amp;"","")&amp;"␟"&amp;IFERROR(INDEX(PASTE_ALL,$DF563,12)&amp;"","")&amp;"␟"&amp;IFERROR(INDEX(PASTE_ALL,$DF563,13)&amp;"","")&amp;"␟"&amp;IFERROR(INDEX(PASTE_ALL,$DF563,14)&amp;"","")&amp;"␟"&amp;IFERROR(INDEX(PASTE_ALL,$DF563,15)&amp;"","")&amp;"␟"&amp;IFERROR(INDEX(PASTE_ALL,$DF563,16)&amp;"","")&amp;"␟"&amp;IFERROR(INDEX(PASTE_ALL,$DF563,17)&amp;"","")&amp;"␟"&amp;IFERROR(INDEX(PASTE_ALL,$DF563,18)&amp;"","")&amp;"␟"&amp;IFERROR(INDEX(PASTE_ALL,$DF563,19)&amp;"","")&amp;"␟"&amp;IFERROR(INDEX(PASTE_ALL,$DF563,20)&amp;"","")&amp;"␟"&amp;IFERROR(INDEX(PASTE_ALL,$DF563,21)&amp;"","")&amp;"␟"&amp;IFERROR(INDEX(PASTE_ALL,$DF563,22)&amp;"","")&amp;"␟"&amp;IFERROR(INDEX(PASTE_ALL,$DF563,23)&amp;"","")&amp;"␟"&amp;IFERROR(INDEX(PASTE_ALL,$DF563,24)&amp;"","")&amp;"␟"&amp;IFERROR(INDEX(PASTE_ALL,$DF563,25)&amp;"","")&amp;"␟"&amp;IFERROR(INDEX(PASTE_ALL,$DF563,26)&amp;"","")&amp;"␟"&amp;IFERROR(INDEX(PASTE_ALL,$DF563,27)&amp;"","")&amp;"␟"&amp;IFERROR(INDEX(PASTE_ALL,$DF563,28)&amp;"","")&amp;"␟"&amp;IFERROR(INDEX(PASTE_ALL,$DF563,29)&amp;"","")&amp;"␟"&amp;IFERROR(INDEX(PASTE_ALL,$DF563,30)&amp;"","")&amp;"␟"&amp;IFERROR(INDEX(PASTE_ALL,$DF563,31)&amp;"","")&amp;"␟"&amp;IFERROR(INDEX(PASTE_ALL,$DF563,32)&amp;"","")&amp;"␟"&amp;IFERROR(INDEX(PASTE_ALL,$DF563,33)&amp;"","")&amp;"␟"&amp;IFERROR(INDEX(PASTE_ALL,$DF563,34)&amp;"","")&amp;"␟"&amp;IFERROR(INDEX(PASTE_ALL,$DF563,35)&amp;"","")&amp;"␟"&amp;IFERROR(INDEX(PASTE_ALL,$DF563,36)&amp;"","")&amp;"␟"&amp;IFERROR(INDEX(PASTE_ALL,$DF563,37)&amp;"","")&amp;"␟"&amp;IFERROR(INDEX(PASTE_ALL,$DF563,38)&amp;"","")&amp;"␟"&amp;IFERROR(INDEX(PASTE_ALL,$DF563,39)&amp;"","")&amp;"␟"&amp;IFERROR(INDEX(PASTE_ALL,$DF563,40)&amp;"","")&amp;"␟"&amp;IFERROR(INDEX(PASTE_ALL,$DF563,41)&amp;"","")&amp;"␟"&amp;IFERROR(INDEX(PASTE_ALL,$DF563,42)&amp;"","")&amp;"␟"&amp;IFERROR(INDEX(PASTE_ALL,$DF563,43)&amp;"","")&amp;"␟"&amp;IFERROR(INDEX(PASTE_ALL,$DF563,44)&amp;"","")&amp;"␟"&amp;IFERROR(INDEX(PASTE_ALL,$DF563,45)&amp;"","")&amp;"␟"&amp;IFERROR(INDEX(PASTE_ALL,$DF563,46)&amp;"","")&amp;"␟"&amp;IFERROR(INDEX(PASTE_ALL,$DF563,47)&amp;"","")&amp;"␟"&amp;IFERROR(INDEX(PASTE_ALL,$DF563,48)&amp;"","")&amp;"␟"&amp;IFERROR(INDEX(PASTE_ALL,$DF563,49)&amp;"","")&amp;"␟"&amp;IFERROR(INDEX(PASTE_ALL,$DF563,50)&amp;"","")&amp;"␟"&amp;IFERROR(INDEX(PASTE_ALL,$DF563,51)&amp;"","")&amp;"␟"&amp;IFERROR(INDEX(PASTE_ALL,$DF563,52)&amp;"","")&amp;"␟"&amp;IFERROR(INDEX(PASTE_ALL,$DF563,53)&amp;"","")&amp;"␟"&amp;IFERROR(INDEX(PASTE_ALL,$DF563,54)&amp;"","")&amp;"␟"&amp;IFERROR(INDEX(PASTE_ALL,$DF563,55)&amp;"","")&amp;"␟"&amp;IFERROR(INDEX(PASTE_ALL,$DF563,56)&amp;"","")&amp;"␟"&amp;IFERROR(INDEX(PASTE_ALL,$DF563,57)&amp;"","")&amp;"␟"&amp;IFERROR(INDEX(PASTE_ALL,$DF563,58)&amp;"","")&amp;"␟"&amp;IFERROR(INDEX(PASTE_ALL,$DF563,59)&amp;"","")&amp;"␟"&amp;IFERROR(INDEX(PASTE_ALL,$DF563,60)&amp;"","")," "," "),CHAR(9)," "),CHAR(10)," "),CHAR(13)," "))," ␟","␟"),"␟ ","␟"),"#"&amp;$DE563),"")</f>
        <v/>
      </c>
      <c r="DJ563">
        <f>IF($DI563="",0,IF(SUMPRODUCT(--EXACT($DI$4:DI562,$DI563))&gt;0,1,0))</f>
        <v/>
      </c>
      <c r="DK563">
        <f>IF(AND($DI563&lt;&gt;"",$DJ563=0),1,0)</f>
        <v/>
      </c>
      <c r="DL563">
        <f>DL562+$DK563</f>
        <v/>
      </c>
      <c r="DM563">
        <f>IF(AND($DK563=1,$DL563&lt;=600),1,0)</f>
        <v/>
      </c>
      <c r="DN563">
        <f>IF($DM563=0,"",IF($L$6=0,"",IFERROR(IF(ISNUMBER(INDEX(PASTE_ALL,$DF563,$L$6)),INDEX(PASTE_ALL,$DF563,$L$6),TRIM(SUBSTITUTE(SUBSTITUTE(SUBSTITUTE(SUBSTITUTE(INDEX(PASTE_ALL,$DF563,$L$6)," "," "),CHAR(9)," "),CHAR(10)," "),CHAR(13)," "))),"")))</f>
        <v/>
      </c>
      <c r="DO563">
        <f>IF($DM563=0,"",IF($L$7=0,"",IFERROR(IF(ISNUMBER(INDEX(PASTE_ALL,$DF563,$L$7)),INDEX(PASTE_ALL,$DF563,$L$7),TRIM(SUBSTITUTE(SUBSTITUTE(SUBSTITUTE(SUBSTITUTE(INDEX(PASTE_ALL,$DF563,$L$7)," "," "),CHAR(9)," "),CHAR(10)," "),CHAR(13)," "))),"")))</f>
        <v/>
      </c>
      <c r="DP563">
        <f>IF($DM563=0,"",IF($L$8=0,"",IFERROR(IF(ISNUMBER(INDEX(PASTE_ALL,$DF563,$L$8)),INDEX(PASTE_ALL,$DF563,$L$8),TRIM(SUBSTITUTE(SUBSTITUTE(SUBSTITUTE(SUBSTITUTE(INDEX(PASTE_ALL,$DF563,$L$8)," "," "),CHAR(9)," "),CHAR(10)," "),CHAR(13)," "))),"")))</f>
        <v/>
      </c>
      <c r="DQ563">
        <f>IF($DM563=0,"",IF($L$9=0,"",IFERROR(IF(ISNUMBER(INDEX(PASTE_ALL,$DF563,$L$9)),INDEX(PASTE_ALL,$DF563,$L$9),TRIM(SUBSTITUTE(SUBSTITUTE(SUBSTITUTE(SUBSTITUTE(INDEX(PASTE_ALL,$DF563,$L$9)," "," "),CHAR(9)," "),CHAR(10)," "),CHAR(13)," "))),"")))</f>
        <v/>
      </c>
      <c r="DR563">
        <f>IF($DM563=0,"",IF($L$10=0,"",IFERROR(IF(ISNUMBER(INDEX(PASTE_ALL,$DF563,$L$10)),INDEX(PASTE_ALL,$DF563,$L$10),TRIM(SUBSTITUTE(SUBSTITUTE(SUBSTITUTE(SUBSTITUTE(INDEX(PASTE_ALL,$DF563,$L$10)," "," "),CHAR(9)," "),CHAR(10)," "),CHAR(13)," "))),"")))</f>
        <v/>
      </c>
      <c r="DS563">
        <f>IF($DM563=0,"",IF($L$11=0,"",IFERROR(IF(ISNUMBER(INDEX(PASTE_ALL,$DF563,$L$11)),INDEX(PASTE_ALL,$DF563,$L$11),TRIM(SUBSTITUTE(SUBSTITUTE(SUBSTITUTE(SUBSTITUTE(INDEX(PASTE_ALL,$DF563,$L$11)," "," "),CHAR(9)," "),CHAR(10)," "),CHAR(13)," "))),"")))</f>
        <v/>
      </c>
      <c r="DT563">
        <f>IF($DM563=0,"",IF($L$12=0,"",IFERROR(IF(ISNUMBER(INDEX(PASTE_ALL,$DF563,$L$12)),INDEX(PASTE_ALL,$DF563,$L$12),TRIM(SUBSTITUTE(SUBSTITUTE(SUBSTITUTE(SUBSTITUTE(INDEX(PASTE_ALL,$DF563,$L$12)," "," "),CHAR(9)," "),CHAR(10)," "),CHAR(13)," "))),"")))</f>
        <v/>
      </c>
      <c r="DU563">
        <f>IF($DM563=0,"",IF($L$13=0,"",IFERROR(IF(ISNUMBER(INDEX(PASTE_ALL,$DF563,$L$13)),INDEX(PASTE_ALL,$DF563,$L$13),TRIM(SUBSTITUTE(SUBSTITUTE(SUBSTITUTE(SUBSTITUTE(INDEX(PASTE_ALL,$DF563,$L$13)," "," "),CHAR(9)," "),CHAR(10)," "),CHAR(13)," "))),"")))</f>
        <v/>
      </c>
      <c r="DV563">
        <f>IF($DM563=0,"",IF($L$14=0,"",IFERROR(IF(ISNUMBER(INDEX(PASTE_ALL,$DF563,$L$14)),INDEX(PASTE_ALL,$DF563,$L$14),TRIM(SUBSTITUTE(SUBSTITUTE(SUBSTITUTE(SUBSTITUTE(INDEX(PASTE_ALL,$DF563,$L$14)," "," "),CHAR(9)," "),CHAR(10)," "),CHAR(13)," "))),"")))</f>
        <v/>
      </c>
      <c r="DW563">
        <f>IF($DM563=0,"",IF($L$15=0,"",IFERROR(IF(ISNUMBER(INDEX(PASTE_ALL,$DF563,$L$15)),INDEX(PASTE_ALL,$DF563,$L$15),IF(SUMPRODUCT(--ISNUMBER(FIND({"A","B","C","D","E","F","G","H","I","J","K","L","M","N","O","P","Q","R","S","T","U","V","W","X","Y","Z","0","1","2","3","4","5","6","7","8","9"},UPPER(TRIM(SUBSTITUTE(SUBSTITUTE(SUBSTITUTE(SUBSTITUTE(INDEX(PASTE_ALL,$DF563,$L$15)," "," "),CHAR(9)," "),CHAR(10)," "),CHAR(13)," "))))))&gt;0,TRIM(SUBSTITUTE(SUBSTITUTE(SUBSTITUTE(SUBSTITUTE(INDEX(PASTE_ALL,$DF563,$L$15)," "," "),CHAR(9)," "),CHAR(10)," "),CHAR(13)," ")),"")),"")))</f>
        <v/>
      </c>
      <c r="DX563">
        <f>IF($DM563=0,"",IF($L$16=0,"",IFERROR(IF(ISNUMBER(INDEX(PASTE_ALL,$DF563,$L$16)),INDEX(PASTE_ALL,$DF563,$L$16),SUBSTITUTE(SUBSTITUTE(TRIM(SUBSTITUTE(SUBSTITUTE(SUBSTITUTE(SUBSTITUTE(INDEX(PASTE_ALL,$DF563,$L$16)," "," "),CHAR(9)," "),CHAR(10)," "),CHAR(13)," ")),",",""),"%","")),"")))</f>
        <v/>
      </c>
      <c r="DY563">
        <f>IF($DM563=0,"",IFERROR(IF(ISNUMBER($DX563),$DX563,IF($DX563="","",IF(TRIM($DX563)="",0,IF(AND(AND(SUBSTITUTE(SUBSTITUTE(SUBSTITUTE(SUBSTITUTE(SUBSTITUTE(SUBSTITUTE(SUBSTITUTE(SUBSTITUTE(SUBSTITUTE(SUBSTITUTE(SUBSTITUTE(SUBSTITUTE(SUBSTITUTE(SUBSTITUTE(UPPER(TRIM($DX563)),"0",""),"1",""),"2",""),"3",""),"4",""),"5",""),"6",""),"7",""),"8",""),"9",""),".",""),"+",""),"-",""),"E","")="",LEN(SUBSTITUTE(SUBSTITUTE(MID(UPPER(TRIM($DX563)),1+OR(LEFT(UPPER(TRIM($DX563)),1)="+",LEFT(UPPER(TRIM($DX563)),1)="-"),999),"E+","E"),"E-","E"))=LEN(SUBSTITUTE(SUBSTITUTE(SUBSTITUTE(SUBSTITUTE(MID(UPPER(TRIM($DX563)),1+OR(LEFT(UPPER(TRIM($DX563)),1)="+",LEFT(UPPER(TRIM($DX563)),1)="-"),999),"E+","E"),"E-","E"),"+",""),"-","")),LEN(UPPER(TRIM($DX563)))-LEN(SUBSTITUTE(UPPER(TRIM($DX563)),"E",""))&lt;2,LEN(UPPER(TRIM($DX563)))-LEN(SUBSTITUTE(UPPER(TRIM($DX563)),".",""))&lt;2,IFERROR(FIND(".",UPPER(TRIM($DX563))),0)&lt;IFERROR(FIND("E",UPPER(TRIM($DX563))),999)),ISNUMBER(VALUE(TRIM($DX563)))),VALUE(TRIM($DX563)),"")))),""))</f>
        <v/>
      </c>
      <c r="DZ563">
        <f>IF($DM563=0,"",IF($L$17=0,"",IFERROR(IF(ISNUMBER(INDEX(PASTE_ALL,$DF563,$L$17)),INDEX(PASTE_ALL,$DF563,$L$17),SUBSTITUTE(SUBSTITUTE(TRIM(SUBSTITUTE(SUBSTITUTE(SUBSTITUTE(SUBSTITUTE(INDEX(PASTE_ALL,$DF563,$L$17)," "," "),CHAR(9)," "),CHAR(10)," "),CHAR(13)," ")),",",""),"%","")),"")))</f>
        <v/>
      </c>
      <c r="EA563">
        <f>IF($DM563=0,"",IFERROR(IF(ISNUMBER($DZ563),$DZ563,IF($DZ563="","",IF(TRIM($DZ563)="",0,IF(AND(AND(SUBSTITUTE(SUBSTITUTE(SUBSTITUTE(SUBSTITUTE(SUBSTITUTE(SUBSTITUTE(SUBSTITUTE(SUBSTITUTE(SUBSTITUTE(SUBSTITUTE(SUBSTITUTE(SUBSTITUTE(SUBSTITUTE(SUBSTITUTE(UPPER(TRIM($DZ563)),"0",""),"1",""),"2",""),"3",""),"4",""),"5",""),"6",""),"7",""),"8",""),"9",""),".",""),"+",""),"-",""),"E","")="",LEN(SUBSTITUTE(SUBSTITUTE(MID(UPPER(TRIM($DZ563)),1+OR(LEFT(UPPER(TRIM($DZ563)),1)="+",LEFT(UPPER(TRIM($DZ563)),1)="-"),999),"E+","E"),"E-","E"))=LEN(SUBSTITUTE(SUBSTITUTE(SUBSTITUTE(SUBSTITUTE(MID(UPPER(TRIM($DZ563)),1+OR(LEFT(UPPER(TRIM($DZ563)),1)="+",LEFT(UPPER(TRIM($DZ563)),1)="-"),999),"E+","E"),"E-","E"),"+",""),"-","")),LEN(UPPER(TRIM($DZ563)))-LEN(SUBSTITUTE(UPPER(TRIM($DZ563)),"E",""))&lt;2,LEN(UPPER(TRIM($DZ563)))-LEN(SUBSTITUTE(UPPER(TRIM($DZ563)),".",""))&lt;2,IFERROR(FIND(".",UPPER(TRIM($DZ563))),0)&lt;IFERROR(FIND("E",UPPER(TRIM($DZ563))),999)),ISNUMBER(VALUE(TRIM($DZ563)))),VALUE(TRIM($DZ563)),"")))),""))</f>
        <v/>
      </c>
      <c r="EB563">
        <f>IF($DM563=0,"",IF($L$18=0,"",IFERROR(IF(UPPER(TRIM(SUBSTITUTE(SUBSTITUTE(SUBSTITUTE(SUBSTITUTE(INDEX(PASTE_ALL,$DF563,$L$18)," "," "),CHAR(9)," "),CHAR(10)," "),CHAR(13)," ")))="READY","Ready",IF(UPPER(TRIM(SUBSTITUTE(SUBSTITUTE(SUBSTITUTE(SUBSTITUTE(INDEX(PASTE_ALL,$DF563,$L$18)," "," "),CHAR(9)," "),CHAR(10)," "),CHAR(13)," ")))="PM","PM",IF(OR(UPPER(TRIM(SUBSTITUTE(SUBSTITUTE(SUBSTITUTE(SUBSTITUTE(INDEX(PASTE_ALL,$DF563,$L$18)," "," "),CHAR(9)," "),CHAR(10)," "),CHAR(13)," ")))="OT",UPPER(TRIM(SUBSTITUTE(SUBSTITUTE(SUBSTITUTE(SUBSTITUTE(INDEX(PASTE_ALL,$DF563,$L$18)," "," "),CHAR(9)," "),CHAR(10)," "),CHAR(13)," ")))="OVERTIME",UPPER(TRIM(SUBSTITUTE(SUBSTITUTE(SUBSTITUTE(SUBSTITUTE(INDEX(PASTE_ALL,$DF563,$L$18)," "," "),CHAR(9)," "),CHAR(10)," "),CHAR(13)," ")))="TRIAL"),"OT",TRIM(SUBSTITUTE(SUBSTITUTE(SUBSTITUTE(SUBSTITUTE(INDEX(PASTE_ALL,$DF563,$L$18)," "," "),CHAR(9)," "),CHAR(10)," "),CHAR(13)," "))))),"")))</f>
        <v/>
      </c>
      <c r="EC563">
        <f>IF($DM563=0,"",IF($L$19=0,"",IFERROR(IF(ISNUMBER(INDEX(PASTE_ALL,$DF563,$L$19)),INDEX(PASTE_ALL,$DF563,$L$19),TRIM(SUBSTITUTE(SUBSTITUTE(SUBSTITUTE(SUBSTITUTE(INDEX(PASTE_ALL,$DF563,$L$19)," "," "),CHAR(9)," "),CHAR(10)," "),CHAR(13)," "))),"")))</f>
        <v/>
      </c>
      <c r="ED563">
        <f>IF($DM563=0,"",MATCH(1,INDEX(EXACT($DH$5:DH563,$DH563)*$DM$5:DM563,0),0))</f>
        <v/>
      </c>
      <c r="EE563">
        <f>IF($DM563=0,0,IF($ED563=$DE563,1,0))</f>
        <v/>
      </c>
      <c r="EF563">
        <f>EF562+$EE563</f>
        <v/>
      </c>
      <c r="EG563">
        <f>IF($DM563=0,"",INDEX($EF$5:$EF$1003,$ED563))</f>
        <v/>
      </c>
      <c r="EH563">
        <f>IF($DM563=0,"",IF($DO563&lt;&gt;"","",IFERROR(LOOKUP(2,1/(($EG$4:EG562=$EG563)*($DO$4:DO562&lt;&gt;"")),$DO$4:DO562),"")))</f>
        <v/>
      </c>
      <c r="EI563">
        <f>IF($DM563=0,"",IF($DO563&lt;&gt;"",$DO563,$EH563))</f>
        <v/>
      </c>
      <c r="EJ563">
        <f>IF($DM563=0,"",IF($EI563="",0,IF(OR(ISNUMBER($EI563),AND(AND(SUBSTITUTE(SUBSTITUTE(SUBSTITUTE(SUBSTITUTE(SUBSTITUTE(SUBSTITUTE(SUBSTITUTE(SUBSTITUTE(SUBSTITUTE(SUBSTITUTE(SUBSTITUTE(SUBSTITUTE(SUBSTITUTE(SUBSTITUTE(UPPER($EI563),"0",""),"1",""),"2",""),"3",""),"4",""),"5",""),"6",""),"7",""),"8",""),"9",""),".",""),"+",""),"-",""),"E","")="",LEN(SUBSTITUTE(SUBSTITUTE(MID(UPPER($EI563),1+OR(LEFT(UPPER($EI563),1)="+",LEFT(UPPER($EI563),1)="-"),999),"E+","E"),"E-","E"))=LEN(SUBSTITUTE(SUBSTITUTE(SUBSTITUTE(SUBSTITUTE(MID(UPPER($EI563),1+OR(LEFT(UPPER($EI563),1)="+",LEFT(UPPER($EI563),1)="-"),999),"E+","E"),"E-","E"),"+",""),"-","")),LEN(UPPER($EI563))-LEN(SUBSTITUTE(UPPER($EI563),"E",""))&lt;2,LEN(UPPER($EI563))-LEN(SUBSTITUTE(UPPER($EI563),".",""))&lt;2,IFERROR(FIND(".",UPPER($EI563)),0)&lt;IFERROR(FIND("E",UPPER($EI563)),999)),ISNUMBER(VALUE($EI563)))),1,2)))</f>
        <v/>
      </c>
      <c r="EK563">
        <f>IF($DM563=0,"",IF($EJ563=1,IF(ISNUMBER($EI563),$EI563,VALUE($EI563)),IF($EJ563=2,$DE563,0)))</f>
        <v/>
      </c>
      <c r="EL563">
        <f>IF($DM563=0,"",COUNTIF($EG$5:$EG$1003,"&lt;"&amp;$EG563)+SUMPRODUCT(($EG$5:$EG$1003=$EG563)*(($EJ$5:$EJ$1003&lt;$EJ563)+($EJ$5:$EJ$1003=$EJ563)*(($EK$5:$EK$1003&lt;$EK563)+($EK$5:$EK$1003=$EK563)*($DE$5:$DE$1003&lt;$DE563))))+1)</f>
        <v/>
      </c>
      <c r="EM563">
        <f>IF($DM563=0,"",$EL563+$EG563-1)</f>
        <v/>
      </c>
      <c r="EN563">
        <f>IF($DM563=0,0,IFERROR(MATCH(1,INDEX(--(TRIM(SUBSTITUTE(SUBSTITUTE(SUBSTITUTE(SUBSTITUTE(LINES_NAME&amp;""," "," "),CHAR(9)," "),CHAR(10)," "),CHAR(13)," "))=$DH563),0),0),0))</f>
        <v/>
      </c>
      <c r="EO563">
        <f>IF($EN563=0,0,IF(OR(UPPER(TRIM(INDEX(LINES_SCHEDULED,$EN563)&amp;""))="YES",UPPER(TRIM(INDEX(LINES_SCHEDULED,$EN563)&amp;""))="Y",UPPER(TRIM(INDEX(LINES_SCHEDULED,$EN563)&amp;""))="X"),1,0))</f>
        <v/>
      </c>
      <c r="EP563">
        <f>IF($DM563=0,"",IF(COUNTIFS($EG$5:$EG$1003,$EG563,$EB$5:$EB$1003,"Ready")&gt;0,"READY",IF(COUNTIFS($EG$5:$EG$1003,$EG563,$EB$5:$EB$1003,"PM")&gt;0,"PM",IF(COUNTIFS($EG$5:$EG$1003,$EG563,$EB$5:$EB$1003,"OT")&gt;0,"OT",""))))</f>
        <v/>
      </c>
      <c r="EQ563">
        <f>IF($EN563=0,"",UPPER(TRIM(INDEX(LINES_STATUS,$EN563)&amp;"")))</f>
        <v/>
      </c>
      <c r="ER563">
        <f>IF($DM563=0,"",IF(OR($EQ563="READY",$EQ563="PM",$EQ563="OT"),$EQ563,$EP563))</f>
        <v/>
      </c>
      <c r="ES563">
        <f>IF($DM563=0,"",IF(AND($DV563&lt;&gt;"",UPPER($DV563)&lt;&gt;"N"),"allergen",IF(ISNUMBER(SEARCH("oil",$DQ563)),"oil",IF(OR(EXACT($DS563,"A662"),EXACT($DS563,"A624")),"bulk",""))))</f>
        <v/>
      </c>
      <c r="ET563">
        <f>IF($DM563=0,"",IF(OR($EA563="",$EA563=0),"",$EA563/100))</f>
        <v/>
      </c>
      <c r="EU563">
        <f>IF(OR($ET563="",$DY563=""),"",INT($DY563*(1-$ET563)+0.5))</f>
        <v/>
      </c>
      <c r="EW563" t="n">
        <v>559</v>
      </c>
      <c r="EX563">
        <f>IFERROR(MATCH($EW563,$EM$5:$EM$1003,0),0)</f>
        <v/>
      </c>
      <c r="EY563">
        <f>IF($EW563&gt;$B$12,"",IF($EX563&gt;0,"row","spacer"))</f>
        <v/>
      </c>
      <c r="EZ563">
        <f>IF(AND($EY563="row",$EY562&lt;&gt;"row"),1,0)</f>
        <v/>
      </c>
      <c r="FA563">
        <f>IF(AND($EY563="row",$EY564&lt;&gt;"row"),1,0)</f>
        <v/>
      </c>
      <c r="FB563">
        <f>IF($EZ563=1,IFERROR(IF(ISNUMBER(INDEX(PASTE_ALL,INDEX($DF$5:$DF$1003,$EX563),$B$37)),INDEX(PASTE_ALL,INDEX($DF$5:$DF$1003,$EX563),$B$37),INDEX($DH$5:$DH$1003,$EX563)),INDEX($DH$5:$DH$1003,$EX563)),"")</f>
        <v/>
      </c>
      <c r="FC563">
        <f>IF($EY563="row",INDEX($ER$5:$ER$1003,$EX563),"")</f>
        <v/>
      </c>
      <c r="FD563">
        <f>IF($EY563="row",INDEX($DN$5:$DN$1003,$EX563),"")</f>
        <v/>
      </c>
      <c r="FE563">
        <f>IF($EY563="row",INDEX($DO$5:$DO$1003,$EX563),"")</f>
        <v/>
      </c>
      <c r="FF563">
        <f>IF($EY563="row",INDEX($DP$5:$DP$1003,$EX563),"")</f>
        <v/>
      </c>
      <c r="FG563">
        <f>IF($EY563="row",INDEX($DQ$5:$DQ$1003,$EX563),"")</f>
        <v/>
      </c>
      <c r="FH563">
        <f>IF($EY563="row",INDEX($DR$5:$DR$1003,$EX563),"")</f>
        <v/>
      </c>
      <c r="FI563">
        <f>IF($EY563="row",INDEX($DS$5:$DS$1003,$EX563),"")</f>
        <v/>
      </c>
      <c r="FJ563">
        <f>IF($EY563="row",INDEX($DT$5:$DT$1003,$EX563),"")</f>
        <v/>
      </c>
      <c r="FK563">
        <f>IF($EY563="row",INDEX($DU$5:$DU$1003,$EX563),"")</f>
        <v/>
      </c>
      <c r="FL563">
        <f>IF($EY563="row",INDEX($DV$5:$DV$1003,$EX563),"")</f>
        <v/>
      </c>
      <c r="FM563">
        <f>IF($EY563="row",INDEX($DW$5:$DW$1003,$EX563),"")</f>
        <v/>
      </c>
      <c r="FN563">
        <f>IF($EY563="row",INDEX($DY$5:$DY$1003,$EX563),"")</f>
        <v/>
      </c>
      <c r="FO563">
        <f>IF($EY563="row",INDEX($EA$5:$EA$1003,$EX563),"")</f>
        <v/>
      </c>
      <c r="FP563">
        <f>IF($EY563="row",INDEX($EC$5:$EC$1003,$EX563),"")</f>
        <v/>
      </c>
      <c r="FQ563">
        <f>IF($EY563="row",INDEX($ET$5:$ET$1003,$EX563),"")</f>
        <v/>
      </c>
      <c r="FR563">
        <f>IF($EY563="row",INDEX($EU$5:$EU$1003,$EX563),"")</f>
        <v/>
      </c>
      <c r="FS563">
        <f>IF(AND($EY563="row",$EY562="row"),IF(OR(INDEX($DT$5:$DT$1003,$EX562)="",INDEX($DT$5:$DT$1003,$EX563)=""),"",IF(NOT(EXACT(INDEX($DT$5:$DT$1003,$EX562),INDEX($DT$5:$DT$1003,$EX563))),"S4",IF(NOT(EXACT(INDEX($DS$5:$DS$1003,$EX562),INDEX($DS$5:$DS$1003,$EX563))),"S3",IF(NOT(EXACT(INDEX($DR$5:$DR$1003,$EX562),INDEX($DR$5:$DR$1003,$EX563))),"S1 Count Change","S1")))),"")</f>
        <v/>
      </c>
      <c r="FT563">
        <f>IF($EY563="row",INDEX($ES$5:$ES$1003,$EX563),"")</f>
        <v/>
      </c>
      <c r="FU563">
        <f>IF($EY563="row",INDEX($EO$5:$EO$1003,$EX563),0)</f>
        <v/>
      </c>
      <c r="FV563">
        <f>IF($FS563="S1 Count Change",1,0)</f>
        <v/>
      </c>
    </row>
    <row r="564">
      <c r="DA564" t="n">
        <v>560</v>
      </c>
      <c r="DB564">
        <f>IF($B$37=0,"",IFERROR(TRIM(SUBSTITUTE(SUBSTITUTE(SUBSTITUTE(SUBSTITUTE(INDEX(PASTE_ALL,560,$B$37)," "," "),CHAR(9)," "),CHAR(10)," "),CHAR(13)," ")),""))</f>
        <v/>
      </c>
      <c r="DC564">
        <f>IF(AND(560&gt;HEADER_ROW,UPPER(DB564)="LEGEND"),1,0)</f>
        <v/>
      </c>
      <c r="DE564" t="n">
        <v>560</v>
      </c>
      <c r="DF564">
        <f>HEADER_ROW+$DE564</f>
        <v/>
      </c>
      <c r="DG564">
        <f>IF(AND($DF564&lt;=1000,$DF564&lt;$B$8),1,0)</f>
        <v/>
      </c>
      <c r="DH564">
        <f>IF($DG564=1,IFERROR(INDEX($DB$5:$DB$1004,$DF564),""),"")</f>
        <v/>
      </c>
      <c r="DI564">
        <f>IF(AND($DG564=1,$DH564&lt;&gt;""),IFERROR(SUBSTITUTE(SUBSTITUTE(TRIM(SUBSTITUTE(SUBSTITUTE(SUBSTITUTE(SUBSTITUTE(IFERROR(INDEX(PASTE_ALL,$DF564,1)&amp;"","")&amp;"␟"&amp;IFERROR(INDEX(PASTE_ALL,$DF564,2)&amp;"","")&amp;"␟"&amp;IFERROR(INDEX(PASTE_ALL,$DF564,3)&amp;"","")&amp;"␟"&amp;IFERROR(INDEX(PASTE_ALL,$DF564,4)&amp;"","")&amp;"␟"&amp;IFERROR(INDEX(PASTE_ALL,$DF564,5)&amp;"","")&amp;"␟"&amp;IFERROR(INDEX(PASTE_ALL,$DF564,6)&amp;"","")&amp;"␟"&amp;IFERROR(INDEX(PASTE_ALL,$DF564,7)&amp;"","")&amp;"␟"&amp;IFERROR(INDEX(PASTE_ALL,$DF564,8)&amp;"","")&amp;"␟"&amp;IFERROR(INDEX(PASTE_ALL,$DF564,9)&amp;"","")&amp;"␟"&amp;IFERROR(INDEX(PASTE_ALL,$DF564,10)&amp;"","")&amp;"␟"&amp;IFERROR(INDEX(PASTE_ALL,$DF564,11)&amp;"","")&amp;"␟"&amp;IFERROR(INDEX(PASTE_ALL,$DF564,12)&amp;"","")&amp;"␟"&amp;IFERROR(INDEX(PASTE_ALL,$DF564,13)&amp;"","")&amp;"␟"&amp;IFERROR(INDEX(PASTE_ALL,$DF564,14)&amp;"","")&amp;"␟"&amp;IFERROR(INDEX(PASTE_ALL,$DF564,15)&amp;"","")&amp;"␟"&amp;IFERROR(INDEX(PASTE_ALL,$DF564,16)&amp;"","")&amp;"␟"&amp;IFERROR(INDEX(PASTE_ALL,$DF564,17)&amp;"","")&amp;"␟"&amp;IFERROR(INDEX(PASTE_ALL,$DF564,18)&amp;"","")&amp;"␟"&amp;IFERROR(INDEX(PASTE_ALL,$DF564,19)&amp;"","")&amp;"␟"&amp;IFERROR(INDEX(PASTE_ALL,$DF564,20)&amp;"","")&amp;"␟"&amp;IFERROR(INDEX(PASTE_ALL,$DF564,21)&amp;"","")&amp;"␟"&amp;IFERROR(INDEX(PASTE_ALL,$DF564,22)&amp;"","")&amp;"␟"&amp;IFERROR(INDEX(PASTE_ALL,$DF564,23)&amp;"","")&amp;"␟"&amp;IFERROR(INDEX(PASTE_ALL,$DF564,24)&amp;"","")&amp;"␟"&amp;IFERROR(INDEX(PASTE_ALL,$DF564,25)&amp;"","")&amp;"␟"&amp;IFERROR(INDEX(PASTE_ALL,$DF564,26)&amp;"","")&amp;"␟"&amp;IFERROR(INDEX(PASTE_ALL,$DF564,27)&amp;"","")&amp;"␟"&amp;IFERROR(INDEX(PASTE_ALL,$DF564,28)&amp;"","")&amp;"␟"&amp;IFERROR(INDEX(PASTE_ALL,$DF564,29)&amp;"","")&amp;"␟"&amp;IFERROR(INDEX(PASTE_ALL,$DF564,30)&amp;"","")&amp;"␟"&amp;IFERROR(INDEX(PASTE_ALL,$DF564,31)&amp;"","")&amp;"␟"&amp;IFERROR(INDEX(PASTE_ALL,$DF564,32)&amp;"","")&amp;"␟"&amp;IFERROR(INDEX(PASTE_ALL,$DF564,33)&amp;"","")&amp;"␟"&amp;IFERROR(INDEX(PASTE_ALL,$DF564,34)&amp;"","")&amp;"␟"&amp;IFERROR(INDEX(PASTE_ALL,$DF564,35)&amp;"","")&amp;"␟"&amp;IFERROR(INDEX(PASTE_ALL,$DF564,36)&amp;"","")&amp;"␟"&amp;IFERROR(INDEX(PASTE_ALL,$DF564,37)&amp;"","")&amp;"␟"&amp;IFERROR(INDEX(PASTE_ALL,$DF564,38)&amp;"","")&amp;"␟"&amp;IFERROR(INDEX(PASTE_ALL,$DF564,39)&amp;"","")&amp;"␟"&amp;IFERROR(INDEX(PASTE_ALL,$DF564,40)&amp;"","")&amp;"␟"&amp;IFERROR(INDEX(PASTE_ALL,$DF564,41)&amp;"","")&amp;"␟"&amp;IFERROR(INDEX(PASTE_ALL,$DF564,42)&amp;"","")&amp;"␟"&amp;IFERROR(INDEX(PASTE_ALL,$DF564,43)&amp;"","")&amp;"␟"&amp;IFERROR(INDEX(PASTE_ALL,$DF564,44)&amp;"","")&amp;"␟"&amp;IFERROR(INDEX(PASTE_ALL,$DF564,45)&amp;"","")&amp;"␟"&amp;IFERROR(INDEX(PASTE_ALL,$DF564,46)&amp;"","")&amp;"␟"&amp;IFERROR(INDEX(PASTE_ALL,$DF564,47)&amp;"","")&amp;"␟"&amp;IFERROR(INDEX(PASTE_ALL,$DF564,48)&amp;"","")&amp;"␟"&amp;IFERROR(INDEX(PASTE_ALL,$DF564,49)&amp;"","")&amp;"␟"&amp;IFERROR(INDEX(PASTE_ALL,$DF564,50)&amp;"","")&amp;"␟"&amp;IFERROR(INDEX(PASTE_ALL,$DF564,51)&amp;"","")&amp;"␟"&amp;IFERROR(INDEX(PASTE_ALL,$DF564,52)&amp;"","")&amp;"␟"&amp;IFERROR(INDEX(PASTE_ALL,$DF564,53)&amp;"","")&amp;"␟"&amp;IFERROR(INDEX(PASTE_ALL,$DF564,54)&amp;"","")&amp;"␟"&amp;IFERROR(INDEX(PASTE_ALL,$DF564,55)&amp;"","")&amp;"␟"&amp;IFERROR(INDEX(PASTE_ALL,$DF564,56)&amp;"","")&amp;"␟"&amp;IFERROR(INDEX(PASTE_ALL,$DF564,57)&amp;"","")&amp;"␟"&amp;IFERROR(INDEX(PASTE_ALL,$DF564,58)&amp;"","")&amp;"␟"&amp;IFERROR(INDEX(PASTE_ALL,$DF564,59)&amp;"","")&amp;"␟"&amp;IFERROR(INDEX(PASTE_ALL,$DF564,60)&amp;"","")," "," "),CHAR(9)," "),CHAR(10)," "),CHAR(13)," "))," ␟","␟"),"␟ ","␟"),"#"&amp;$DE564),"")</f>
        <v/>
      </c>
      <c r="DJ564">
        <f>IF($DI564="",0,IF(SUMPRODUCT(--EXACT($DI$4:DI563,$DI564))&gt;0,1,0))</f>
        <v/>
      </c>
      <c r="DK564">
        <f>IF(AND($DI564&lt;&gt;"",$DJ564=0),1,0)</f>
        <v/>
      </c>
      <c r="DL564">
        <f>DL563+$DK564</f>
        <v/>
      </c>
      <c r="DM564">
        <f>IF(AND($DK564=1,$DL564&lt;=600),1,0)</f>
        <v/>
      </c>
      <c r="DN564">
        <f>IF($DM564=0,"",IF($L$6=0,"",IFERROR(IF(ISNUMBER(INDEX(PASTE_ALL,$DF564,$L$6)),INDEX(PASTE_ALL,$DF564,$L$6),TRIM(SUBSTITUTE(SUBSTITUTE(SUBSTITUTE(SUBSTITUTE(INDEX(PASTE_ALL,$DF564,$L$6)," "," "),CHAR(9)," "),CHAR(10)," "),CHAR(13)," "))),"")))</f>
        <v/>
      </c>
      <c r="DO564">
        <f>IF($DM564=0,"",IF($L$7=0,"",IFERROR(IF(ISNUMBER(INDEX(PASTE_ALL,$DF564,$L$7)),INDEX(PASTE_ALL,$DF564,$L$7),TRIM(SUBSTITUTE(SUBSTITUTE(SUBSTITUTE(SUBSTITUTE(INDEX(PASTE_ALL,$DF564,$L$7)," "," "),CHAR(9)," "),CHAR(10)," "),CHAR(13)," "))),"")))</f>
        <v/>
      </c>
      <c r="DP564">
        <f>IF($DM564=0,"",IF($L$8=0,"",IFERROR(IF(ISNUMBER(INDEX(PASTE_ALL,$DF564,$L$8)),INDEX(PASTE_ALL,$DF564,$L$8),TRIM(SUBSTITUTE(SUBSTITUTE(SUBSTITUTE(SUBSTITUTE(INDEX(PASTE_ALL,$DF564,$L$8)," "," "),CHAR(9)," "),CHAR(10)," "),CHAR(13)," "))),"")))</f>
        <v/>
      </c>
      <c r="DQ564">
        <f>IF($DM564=0,"",IF($L$9=0,"",IFERROR(IF(ISNUMBER(INDEX(PASTE_ALL,$DF564,$L$9)),INDEX(PASTE_ALL,$DF564,$L$9),TRIM(SUBSTITUTE(SUBSTITUTE(SUBSTITUTE(SUBSTITUTE(INDEX(PASTE_ALL,$DF564,$L$9)," "," "),CHAR(9)," "),CHAR(10)," "),CHAR(13)," "))),"")))</f>
        <v/>
      </c>
      <c r="DR564">
        <f>IF($DM564=0,"",IF($L$10=0,"",IFERROR(IF(ISNUMBER(INDEX(PASTE_ALL,$DF564,$L$10)),INDEX(PASTE_ALL,$DF564,$L$10),TRIM(SUBSTITUTE(SUBSTITUTE(SUBSTITUTE(SUBSTITUTE(INDEX(PASTE_ALL,$DF564,$L$10)," "," "),CHAR(9)," "),CHAR(10)," "),CHAR(13)," "))),"")))</f>
        <v/>
      </c>
      <c r="DS564">
        <f>IF($DM564=0,"",IF($L$11=0,"",IFERROR(IF(ISNUMBER(INDEX(PASTE_ALL,$DF564,$L$11)),INDEX(PASTE_ALL,$DF564,$L$11),TRIM(SUBSTITUTE(SUBSTITUTE(SUBSTITUTE(SUBSTITUTE(INDEX(PASTE_ALL,$DF564,$L$11)," "," "),CHAR(9)," "),CHAR(10)," "),CHAR(13)," "))),"")))</f>
        <v/>
      </c>
      <c r="DT564">
        <f>IF($DM564=0,"",IF($L$12=0,"",IFERROR(IF(ISNUMBER(INDEX(PASTE_ALL,$DF564,$L$12)),INDEX(PASTE_ALL,$DF564,$L$12),TRIM(SUBSTITUTE(SUBSTITUTE(SUBSTITUTE(SUBSTITUTE(INDEX(PASTE_ALL,$DF564,$L$12)," "," "),CHAR(9)," "),CHAR(10)," "),CHAR(13)," "))),"")))</f>
        <v/>
      </c>
      <c r="DU564">
        <f>IF($DM564=0,"",IF($L$13=0,"",IFERROR(IF(ISNUMBER(INDEX(PASTE_ALL,$DF564,$L$13)),INDEX(PASTE_ALL,$DF564,$L$13),TRIM(SUBSTITUTE(SUBSTITUTE(SUBSTITUTE(SUBSTITUTE(INDEX(PASTE_ALL,$DF564,$L$13)," "," "),CHAR(9)," "),CHAR(10)," "),CHAR(13)," "))),"")))</f>
        <v/>
      </c>
      <c r="DV564">
        <f>IF($DM564=0,"",IF($L$14=0,"",IFERROR(IF(ISNUMBER(INDEX(PASTE_ALL,$DF564,$L$14)),INDEX(PASTE_ALL,$DF564,$L$14),TRIM(SUBSTITUTE(SUBSTITUTE(SUBSTITUTE(SUBSTITUTE(INDEX(PASTE_ALL,$DF564,$L$14)," "," "),CHAR(9)," "),CHAR(10)," "),CHAR(13)," "))),"")))</f>
        <v/>
      </c>
      <c r="DW564">
        <f>IF($DM564=0,"",IF($L$15=0,"",IFERROR(IF(ISNUMBER(INDEX(PASTE_ALL,$DF564,$L$15)),INDEX(PASTE_ALL,$DF564,$L$15),IF(SUMPRODUCT(--ISNUMBER(FIND({"A","B","C","D","E","F","G","H","I","J","K","L","M","N","O","P","Q","R","S","T","U","V","W","X","Y","Z","0","1","2","3","4","5","6","7","8","9"},UPPER(TRIM(SUBSTITUTE(SUBSTITUTE(SUBSTITUTE(SUBSTITUTE(INDEX(PASTE_ALL,$DF564,$L$15)," "," "),CHAR(9)," "),CHAR(10)," "),CHAR(13)," "))))))&gt;0,TRIM(SUBSTITUTE(SUBSTITUTE(SUBSTITUTE(SUBSTITUTE(INDEX(PASTE_ALL,$DF564,$L$15)," "," "),CHAR(9)," "),CHAR(10)," "),CHAR(13)," ")),"")),"")))</f>
        <v/>
      </c>
      <c r="DX564">
        <f>IF($DM564=0,"",IF($L$16=0,"",IFERROR(IF(ISNUMBER(INDEX(PASTE_ALL,$DF564,$L$16)),INDEX(PASTE_ALL,$DF564,$L$16),SUBSTITUTE(SUBSTITUTE(TRIM(SUBSTITUTE(SUBSTITUTE(SUBSTITUTE(SUBSTITUTE(INDEX(PASTE_ALL,$DF564,$L$16)," "," "),CHAR(9)," "),CHAR(10)," "),CHAR(13)," ")),",",""),"%","")),"")))</f>
        <v/>
      </c>
      <c r="DY564">
        <f>IF($DM564=0,"",IFERROR(IF(ISNUMBER($DX564),$DX564,IF($DX564="","",IF(TRIM($DX564)="",0,IF(AND(AND(SUBSTITUTE(SUBSTITUTE(SUBSTITUTE(SUBSTITUTE(SUBSTITUTE(SUBSTITUTE(SUBSTITUTE(SUBSTITUTE(SUBSTITUTE(SUBSTITUTE(SUBSTITUTE(SUBSTITUTE(SUBSTITUTE(SUBSTITUTE(UPPER(TRIM($DX564)),"0",""),"1",""),"2",""),"3",""),"4",""),"5",""),"6",""),"7",""),"8",""),"9",""),".",""),"+",""),"-",""),"E","")="",LEN(SUBSTITUTE(SUBSTITUTE(MID(UPPER(TRIM($DX564)),1+OR(LEFT(UPPER(TRIM($DX564)),1)="+",LEFT(UPPER(TRIM($DX564)),1)="-"),999),"E+","E"),"E-","E"))=LEN(SUBSTITUTE(SUBSTITUTE(SUBSTITUTE(SUBSTITUTE(MID(UPPER(TRIM($DX564)),1+OR(LEFT(UPPER(TRIM($DX564)),1)="+",LEFT(UPPER(TRIM($DX564)),1)="-"),999),"E+","E"),"E-","E"),"+",""),"-","")),LEN(UPPER(TRIM($DX564)))-LEN(SUBSTITUTE(UPPER(TRIM($DX564)),"E",""))&lt;2,LEN(UPPER(TRIM($DX564)))-LEN(SUBSTITUTE(UPPER(TRIM($DX564)),".",""))&lt;2,IFERROR(FIND(".",UPPER(TRIM($DX564))),0)&lt;IFERROR(FIND("E",UPPER(TRIM($DX564))),999)),ISNUMBER(VALUE(TRIM($DX564)))),VALUE(TRIM($DX564)),"")))),""))</f>
        <v/>
      </c>
      <c r="DZ564">
        <f>IF($DM564=0,"",IF($L$17=0,"",IFERROR(IF(ISNUMBER(INDEX(PASTE_ALL,$DF564,$L$17)),INDEX(PASTE_ALL,$DF564,$L$17),SUBSTITUTE(SUBSTITUTE(TRIM(SUBSTITUTE(SUBSTITUTE(SUBSTITUTE(SUBSTITUTE(INDEX(PASTE_ALL,$DF564,$L$17)," "," "),CHAR(9)," "),CHAR(10)," "),CHAR(13)," ")),",",""),"%","")),"")))</f>
        <v/>
      </c>
      <c r="EA564">
        <f>IF($DM564=0,"",IFERROR(IF(ISNUMBER($DZ564),$DZ564,IF($DZ564="","",IF(TRIM($DZ564)="",0,IF(AND(AND(SUBSTITUTE(SUBSTITUTE(SUBSTITUTE(SUBSTITUTE(SUBSTITUTE(SUBSTITUTE(SUBSTITUTE(SUBSTITUTE(SUBSTITUTE(SUBSTITUTE(SUBSTITUTE(SUBSTITUTE(SUBSTITUTE(SUBSTITUTE(UPPER(TRIM($DZ564)),"0",""),"1",""),"2",""),"3",""),"4",""),"5",""),"6",""),"7",""),"8",""),"9",""),".",""),"+",""),"-",""),"E","")="",LEN(SUBSTITUTE(SUBSTITUTE(MID(UPPER(TRIM($DZ564)),1+OR(LEFT(UPPER(TRIM($DZ564)),1)="+",LEFT(UPPER(TRIM($DZ564)),1)="-"),999),"E+","E"),"E-","E"))=LEN(SUBSTITUTE(SUBSTITUTE(SUBSTITUTE(SUBSTITUTE(MID(UPPER(TRIM($DZ564)),1+OR(LEFT(UPPER(TRIM($DZ564)),1)="+",LEFT(UPPER(TRIM($DZ564)),1)="-"),999),"E+","E"),"E-","E"),"+",""),"-","")),LEN(UPPER(TRIM($DZ564)))-LEN(SUBSTITUTE(UPPER(TRIM($DZ564)),"E",""))&lt;2,LEN(UPPER(TRIM($DZ564)))-LEN(SUBSTITUTE(UPPER(TRIM($DZ564)),".",""))&lt;2,IFERROR(FIND(".",UPPER(TRIM($DZ564))),0)&lt;IFERROR(FIND("E",UPPER(TRIM($DZ564))),999)),ISNUMBER(VALUE(TRIM($DZ564)))),VALUE(TRIM($DZ564)),"")))),""))</f>
        <v/>
      </c>
      <c r="EB564">
        <f>IF($DM564=0,"",IF($L$18=0,"",IFERROR(IF(UPPER(TRIM(SUBSTITUTE(SUBSTITUTE(SUBSTITUTE(SUBSTITUTE(INDEX(PASTE_ALL,$DF564,$L$18)," "," "),CHAR(9)," "),CHAR(10)," "),CHAR(13)," ")))="READY","Ready",IF(UPPER(TRIM(SUBSTITUTE(SUBSTITUTE(SUBSTITUTE(SUBSTITUTE(INDEX(PASTE_ALL,$DF564,$L$18)," "," "),CHAR(9)," "),CHAR(10)," "),CHAR(13)," ")))="PM","PM",IF(OR(UPPER(TRIM(SUBSTITUTE(SUBSTITUTE(SUBSTITUTE(SUBSTITUTE(INDEX(PASTE_ALL,$DF564,$L$18)," "," "),CHAR(9)," "),CHAR(10)," "),CHAR(13)," ")))="OT",UPPER(TRIM(SUBSTITUTE(SUBSTITUTE(SUBSTITUTE(SUBSTITUTE(INDEX(PASTE_ALL,$DF564,$L$18)," "," "),CHAR(9)," "),CHAR(10)," "),CHAR(13)," ")))="OVERTIME",UPPER(TRIM(SUBSTITUTE(SUBSTITUTE(SUBSTITUTE(SUBSTITUTE(INDEX(PASTE_ALL,$DF564,$L$18)," "," "),CHAR(9)," "),CHAR(10)," "),CHAR(13)," ")))="TRIAL"),"OT",TRIM(SUBSTITUTE(SUBSTITUTE(SUBSTITUTE(SUBSTITUTE(INDEX(PASTE_ALL,$DF564,$L$18)," "," "),CHAR(9)," "),CHAR(10)," "),CHAR(13)," "))))),"")))</f>
        <v/>
      </c>
      <c r="EC564">
        <f>IF($DM564=0,"",IF($L$19=0,"",IFERROR(IF(ISNUMBER(INDEX(PASTE_ALL,$DF564,$L$19)),INDEX(PASTE_ALL,$DF564,$L$19),TRIM(SUBSTITUTE(SUBSTITUTE(SUBSTITUTE(SUBSTITUTE(INDEX(PASTE_ALL,$DF564,$L$19)," "," "),CHAR(9)," "),CHAR(10)," "),CHAR(13)," "))),"")))</f>
        <v/>
      </c>
      <c r="ED564">
        <f>IF($DM564=0,"",MATCH(1,INDEX(EXACT($DH$5:DH564,$DH564)*$DM$5:DM564,0),0))</f>
        <v/>
      </c>
      <c r="EE564">
        <f>IF($DM564=0,0,IF($ED564=$DE564,1,0))</f>
        <v/>
      </c>
      <c r="EF564">
        <f>EF563+$EE564</f>
        <v/>
      </c>
      <c r="EG564">
        <f>IF($DM564=0,"",INDEX($EF$5:$EF$1003,$ED564))</f>
        <v/>
      </c>
      <c r="EH564">
        <f>IF($DM564=0,"",IF($DO564&lt;&gt;"","",IFERROR(LOOKUP(2,1/(($EG$4:EG563=$EG564)*($DO$4:DO563&lt;&gt;"")),$DO$4:DO563),"")))</f>
        <v/>
      </c>
      <c r="EI564">
        <f>IF($DM564=0,"",IF($DO564&lt;&gt;"",$DO564,$EH564))</f>
        <v/>
      </c>
      <c r="EJ564">
        <f>IF($DM564=0,"",IF($EI564="",0,IF(OR(ISNUMBER($EI564),AND(AND(SUBSTITUTE(SUBSTITUTE(SUBSTITUTE(SUBSTITUTE(SUBSTITUTE(SUBSTITUTE(SUBSTITUTE(SUBSTITUTE(SUBSTITUTE(SUBSTITUTE(SUBSTITUTE(SUBSTITUTE(SUBSTITUTE(SUBSTITUTE(UPPER($EI564),"0",""),"1",""),"2",""),"3",""),"4",""),"5",""),"6",""),"7",""),"8",""),"9",""),".",""),"+",""),"-",""),"E","")="",LEN(SUBSTITUTE(SUBSTITUTE(MID(UPPER($EI564),1+OR(LEFT(UPPER($EI564),1)="+",LEFT(UPPER($EI564),1)="-"),999),"E+","E"),"E-","E"))=LEN(SUBSTITUTE(SUBSTITUTE(SUBSTITUTE(SUBSTITUTE(MID(UPPER($EI564),1+OR(LEFT(UPPER($EI564),1)="+",LEFT(UPPER($EI564),1)="-"),999),"E+","E"),"E-","E"),"+",""),"-","")),LEN(UPPER($EI564))-LEN(SUBSTITUTE(UPPER($EI564),"E",""))&lt;2,LEN(UPPER($EI564))-LEN(SUBSTITUTE(UPPER($EI564),".",""))&lt;2,IFERROR(FIND(".",UPPER($EI564)),0)&lt;IFERROR(FIND("E",UPPER($EI564)),999)),ISNUMBER(VALUE($EI564)))),1,2)))</f>
        <v/>
      </c>
      <c r="EK564">
        <f>IF($DM564=0,"",IF($EJ564=1,IF(ISNUMBER($EI564),$EI564,VALUE($EI564)),IF($EJ564=2,$DE564,0)))</f>
        <v/>
      </c>
      <c r="EL564">
        <f>IF($DM564=0,"",COUNTIF($EG$5:$EG$1003,"&lt;"&amp;$EG564)+SUMPRODUCT(($EG$5:$EG$1003=$EG564)*(($EJ$5:$EJ$1003&lt;$EJ564)+($EJ$5:$EJ$1003=$EJ564)*(($EK$5:$EK$1003&lt;$EK564)+($EK$5:$EK$1003=$EK564)*($DE$5:$DE$1003&lt;$DE564))))+1)</f>
        <v/>
      </c>
      <c r="EM564">
        <f>IF($DM564=0,"",$EL564+$EG564-1)</f>
        <v/>
      </c>
      <c r="EN564">
        <f>IF($DM564=0,0,IFERROR(MATCH(1,INDEX(--(TRIM(SUBSTITUTE(SUBSTITUTE(SUBSTITUTE(SUBSTITUTE(LINES_NAME&amp;""," "," "),CHAR(9)," "),CHAR(10)," "),CHAR(13)," "))=$DH564),0),0),0))</f>
        <v/>
      </c>
      <c r="EO564">
        <f>IF($EN564=0,0,IF(OR(UPPER(TRIM(INDEX(LINES_SCHEDULED,$EN564)&amp;""))="YES",UPPER(TRIM(INDEX(LINES_SCHEDULED,$EN564)&amp;""))="Y",UPPER(TRIM(INDEX(LINES_SCHEDULED,$EN564)&amp;""))="X"),1,0))</f>
        <v/>
      </c>
      <c r="EP564">
        <f>IF($DM564=0,"",IF(COUNTIFS($EG$5:$EG$1003,$EG564,$EB$5:$EB$1003,"Ready")&gt;0,"READY",IF(COUNTIFS($EG$5:$EG$1003,$EG564,$EB$5:$EB$1003,"PM")&gt;0,"PM",IF(COUNTIFS($EG$5:$EG$1003,$EG564,$EB$5:$EB$1003,"OT")&gt;0,"OT",""))))</f>
        <v/>
      </c>
      <c r="EQ564">
        <f>IF($EN564=0,"",UPPER(TRIM(INDEX(LINES_STATUS,$EN564)&amp;"")))</f>
        <v/>
      </c>
      <c r="ER564">
        <f>IF($DM564=0,"",IF(OR($EQ564="READY",$EQ564="PM",$EQ564="OT"),$EQ564,$EP564))</f>
        <v/>
      </c>
      <c r="ES564">
        <f>IF($DM564=0,"",IF(AND($DV564&lt;&gt;"",UPPER($DV564)&lt;&gt;"N"),"allergen",IF(ISNUMBER(SEARCH("oil",$DQ564)),"oil",IF(OR(EXACT($DS564,"A662"),EXACT($DS564,"A624")),"bulk",""))))</f>
        <v/>
      </c>
      <c r="ET564">
        <f>IF($DM564=0,"",IF(OR($EA564="",$EA564=0),"",$EA564/100))</f>
        <v/>
      </c>
      <c r="EU564">
        <f>IF(OR($ET564="",$DY564=""),"",INT($DY564*(1-$ET564)+0.5))</f>
        <v/>
      </c>
      <c r="EW564" t="n">
        <v>560</v>
      </c>
      <c r="EX564">
        <f>IFERROR(MATCH($EW564,$EM$5:$EM$1003,0),0)</f>
        <v/>
      </c>
      <c r="EY564">
        <f>IF($EW564&gt;$B$12,"",IF($EX564&gt;0,"row","spacer"))</f>
        <v/>
      </c>
      <c r="EZ564">
        <f>IF(AND($EY564="row",$EY563&lt;&gt;"row"),1,0)</f>
        <v/>
      </c>
      <c r="FA564">
        <f>IF(AND($EY564="row",$EY565&lt;&gt;"row"),1,0)</f>
        <v/>
      </c>
      <c r="FB564">
        <f>IF($EZ564=1,IFERROR(IF(ISNUMBER(INDEX(PASTE_ALL,INDEX($DF$5:$DF$1003,$EX564),$B$37)),INDEX(PASTE_ALL,INDEX($DF$5:$DF$1003,$EX564),$B$37),INDEX($DH$5:$DH$1003,$EX564)),INDEX($DH$5:$DH$1003,$EX564)),"")</f>
        <v/>
      </c>
      <c r="FC564">
        <f>IF($EY564="row",INDEX($ER$5:$ER$1003,$EX564),"")</f>
        <v/>
      </c>
      <c r="FD564">
        <f>IF($EY564="row",INDEX($DN$5:$DN$1003,$EX564),"")</f>
        <v/>
      </c>
      <c r="FE564">
        <f>IF($EY564="row",INDEX($DO$5:$DO$1003,$EX564),"")</f>
        <v/>
      </c>
      <c r="FF564">
        <f>IF($EY564="row",INDEX($DP$5:$DP$1003,$EX564),"")</f>
        <v/>
      </c>
      <c r="FG564">
        <f>IF($EY564="row",INDEX($DQ$5:$DQ$1003,$EX564),"")</f>
        <v/>
      </c>
      <c r="FH564">
        <f>IF($EY564="row",INDEX($DR$5:$DR$1003,$EX564),"")</f>
        <v/>
      </c>
      <c r="FI564">
        <f>IF($EY564="row",INDEX($DS$5:$DS$1003,$EX564),"")</f>
        <v/>
      </c>
      <c r="FJ564">
        <f>IF($EY564="row",INDEX($DT$5:$DT$1003,$EX564),"")</f>
        <v/>
      </c>
      <c r="FK564">
        <f>IF($EY564="row",INDEX($DU$5:$DU$1003,$EX564),"")</f>
        <v/>
      </c>
      <c r="FL564">
        <f>IF($EY564="row",INDEX($DV$5:$DV$1003,$EX564),"")</f>
        <v/>
      </c>
      <c r="FM564">
        <f>IF($EY564="row",INDEX($DW$5:$DW$1003,$EX564),"")</f>
        <v/>
      </c>
      <c r="FN564">
        <f>IF($EY564="row",INDEX($DY$5:$DY$1003,$EX564),"")</f>
        <v/>
      </c>
      <c r="FO564">
        <f>IF($EY564="row",INDEX($EA$5:$EA$1003,$EX564),"")</f>
        <v/>
      </c>
      <c r="FP564">
        <f>IF($EY564="row",INDEX($EC$5:$EC$1003,$EX564),"")</f>
        <v/>
      </c>
      <c r="FQ564">
        <f>IF($EY564="row",INDEX($ET$5:$ET$1003,$EX564),"")</f>
        <v/>
      </c>
      <c r="FR564">
        <f>IF($EY564="row",INDEX($EU$5:$EU$1003,$EX564),"")</f>
        <v/>
      </c>
      <c r="FS564">
        <f>IF(AND($EY564="row",$EY563="row"),IF(OR(INDEX($DT$5:$DT$1003,$EX563)="",INDEX($DT$5:$DT$1003,$EX564)=""),"",IF(NOT(EXACT(INDEX($DT$5:$DT$1003,$EX563),INDEX($DT$5:$DT$1003,$EX564))),"S4",IF(NOT(EXACT(INDEX($DS$5:$DS$1003,$EX563),INDEX($DS$5:$DS$1003,$EX564))),"S3",IF(NOT(EXACT(INDEX($DR$5:$DR$1003,$EX563),INDEX($DR$5:$DR$1003,$EX564))),"S1 Count Change","S1")))),"")</f>
        <v/>
      </c>
      <c r="FT564">
        <f>IF($EY564="row",INDEX($ES$5:$ES$1003,$EX564),"")</f>
        <v/>
      </c>
      <c r="FU564">
        <f>IF($EY564="row",INDEX($EO$5:$EO$1003,$EX564),0)</f>
        <v/>
      </c>
      <c r="FV564">
        <f>IF($FS564="S1 Count Change",1,0)</f>
        <v/>
      </c>
    </row>
    <row r="565">
      <c r="DA565" t="n">
        <v>561</v>
      </c>
      <c r="DB565">
        <f>IF($B$37=0,"",IFERROR(TRIM(SUBSTITUTE(SUBSTITUTE(SUBSTITUTE(SUBSTITUTE(INDEX(PASTE_ALL,561,$B$37)," "," "),CHAR(9)," "),CHAR(10)," "),CHAR(13)," ")),""))</f>
        <v/>
      </c>
      <c r="DC565">
        <f>IF(AND(561&gt;HEADER_ROW,UPPER(DB565)="LEGEND"),1,0)</f>
        <v/>
      </c>
      <c r="DE565" t="n">
        <v>561</v>
      </c>
      <c r="DF565">
        <f>HEADER_ROW+$DE565</f>
        <v/>
      </c>
      <c r="DG565">
        <f>IF(AND($DF565&lt;=1000,$DF565&lt;$B$8),1,0)</f>
        <v/>
      </c>
      <c r="DH565">
        <f>IF($DG565=1,IFERROR(INDEX($DB$5:$DB$1004,$DF565),""),"")</f>
        <v/>
      </c>
      <c r="DI565">
        <f>IF(AND($DG565=1,$DH565&lt;&gt;""),IFERROR(SUBSTITUTE(SUBSTITUTE(TRIM(SUBSTITUTE(SUBSTITUTE(SUBSTITUTE(SUBSTITUTE(IFERROR(INDEX(PASTE_ALL,$DF565,1)&amp;"","")&amp;"␟"&amp;IFERROR(INDEX(PASTE_ALL,$DF565,2)&amp;"","")&amp;"␟"&amp;IFERROR(INDEX(PASTE_ALL,$DF565,3)&amp;"","")&amp;"␟"&amp;IFERROR(INDEX(PASTE_ALL,$DF565,4)&amp;"","")&amp;"␟"&amp;IFERROR(INDEX(PASTE_ALL,$DF565,5)&amp;"","")&amp;"␟"&amp;IFERROR(INDEX(PASTE_ALL,$DF565,6)&amp;"","")&amp;"␟"&amp;IFERROR(INDEX(PASTE_ALL,$DF565,7)&amp;"","")&amp;"␟"&amp;IFERROR(INDEX(PASTE_ALL,$DF565,8)&amp;"","")&amp;"␟"&amp;IFERROR(INDEX(PASTE_ALL,$DF565,9)&amp;"","")&amp;"␟"&amp;IFERROR(INDEX(PASTE_ALL,$DF565,10)&amp;"","")&amp;"␟"&amp;IFERROR(INDEX(PASTE_ALL,$DF565,11)&amp;"","")&amp;"␟"&amp;IFERROR(INDEX(PASTE_ALL,$DF565,12)&amp;"","")&amp;"␟"&amp;IFERROR(INDEX(PASTE_ALL,$DF565,13)&amp;"","")&amp;"␟"&amp;IFERROR(INDEX(PASTE_ALL,$DF565,14)&amp;"","")&amp;"␟"&amp;IFERROR(INDEX(PASTE_ALL,$DF565,15)&amp;"","")&amp;"␟"&amp;IFERROR(INDEX(PASTE_ALL,$DF565,16)&amp;"","")&amp;"␟"&amp;IFERROR(INDEX(PASTE_ALL,$DF565,17)&amp;"","")&amp;"␟"&amp;IFERROR(INDEX(PASTE_ALL,$DF565,18)&amp;"","")&amp;"␟"&amp;IFERROR(INDEX(PASTE_ALL,$DF565,19)&amp;"","")&amp;"␟"&amp;IFERROR(INDEX(PASTE_ALL,$DF565,20)&amp;"","")&amp;"␟"&amp;IFERROR(INDEX(PASTE_ALL,$DF565,21)&amp;"","")&amp;"␟"&amp;IFERROR(INDEX(PASTE_ALL,$DF565,22)&amp;"","")&amp;"␟"&amp;IFERROR(INDEX(PASTE_ALL,$DF565,23)&amp;"","")&amp;"␟"&amp;IFERROR(INDEX(PASTE_ALL,$DF565,24)&amp;"","")&amp;"␟"&amp;IFERROR(INDEX(PASTE_ALL,$DF565,25)&amp;"","")&amp;"␟"&amp;IFERROR(INDEX(PASTE_ALL,$DF565,26)&amp;"","")&amp;"␟"&amp;IFERROR(INDEX(PASTE_ALL,$DF565,27)&amp;"","")&amp;"␟"&amp;IFERROR(INDEX(PASTE_ALL,$DF565,28)&amp;"","")&amp;"␟"&amp;IFERROR(INDEX(PASTE_ALL,$DF565,29)&amp;"","")&amp;"␟"&amp;IFERROR(INDEX(PASTE_ALL,$DF565,30)&amp;"","")&amp;"␟"&amp;IFERROR(INDEX(PASTE_ALL,$DF565,31)&amp;"","")&amp;"␟"&amp;IFERROR(INDEX(PASTE_ALL,$DF565,32)&amp;"","")&amp;"␟"&amp;IFERROR(INDEX(PASTE_ALL,$DF565,33)&amp;"","")&amp;"␟"&amp;IFERROR(INDEX(PASTE_ALL,$DF565,34)&amp;"","")&amp;"␟"&amp;IFERROR(INDEX(PASTE_ALL,$DF565,35)&amp;"","")&amp;"␟"&amp;IFERROR(INDEX(PASTE_ALL,$DF565,36)&amp;"","")&amp;"␟"&amp;IFERROR(INDEX(PASTE_ALL,$DF565,37)&amp;"","")&amp;"␟"&amp;IFERROR(INDEX(PASTE_ALL,$DF565,38)&amp;"","")&amp;"␟"&amp;IFERROR(INDEX(PASTE_ALL,$DF565,39)&amp;"","")&amp;"␟"&amp;IFERROR(INDEX(PASTE_ALL,$DF565,40)&amp;"","")&amp;"␟"&amp;IFERROR(INDEX(PASTE_ALL,$DF565,41)&amp;"","")&amp;"␟"&amp;IFERROR(INDEX(PASTE_ALL,$DF565,42)&amp;"","")&amp;"␟"&amp;IFERROR(INDEX(PASTE_ALL,$DF565,43)&amp;"","")&amp;"␟"&amp;IFERROR(INDEX(PASTE_ALL,$DF565,44)&amp;"","")&amp;"␟"&amp;IFERROR(INDEX(PASTE_ALL,$DF565,45)&amp;"","")&amp;"␟"&amp;IFERROR(INDEX(PASTE_ALL,$DF565,46)&amp;"","")&amp;"␟"&amp;IFERROR(INDEX(PASTE_ALL,$DF565,47)&amp;"","")&amp;"␟"&amp;IFERROR(INDEX(PASTE_ALL,$DF565,48)&amp;"","")&amp;"␟"&amp;IFERROR(INDEX(PASTE_ALL,$DF565,49)&amp;"","")&amp;"␟"&amp;IFERROR(INDEX(PASTE_ALL,$DF565,50)&amp;"","")&amp;"␟"&amp;IFERROR(INDEX(PASTE_ALL,$DF565,51)&amp;"","")&amp;"␟"&amp;IFERROR(INDEX(PASTE_ALL,$DF565,52)&amp;"","")&amp;"␟"&amp;IFERROR(INDEX(PASTE_ALL,$DF565,53)&amp;"","")&amp;"␟"&amp;IFERROR(INDEX(PASTE_ALL,$DF565,54)&amp;"","")&amp;"␟"&amp;IFERROR(INDEX(PASTE_ALL,$DF565,55)&amp;"","")&amp;"␟"&amp;IFERROR(INDEX(PASTE_ALL,$DF565,56)&amp;"","")&amp;"␟"&amp;IFERROR(INDEX(PASTE_ALL,$DF565,57)&amp;"","")&amp;"␟"&amp;IFERROR(INDEX(PASTE_ALL,$DF565,58)&amp;"","")&amp;"␟"&amp;IFERROR(INDEX(PASTE_ALL,$DF565,59)&amp;"","")&amp;"␟"&amp;IFERROR(INDEX(PASTE_ALL,$DF565,60)&amp;"","")," "," "),CHAR(9)," "),CHAR(10)," "),CHAR(13)," "))," ␟","␟"),"␟ ","␟"),"#"&amp;$DE565),"")</f>
        <v/>
      </c>
      <c r="DJ565">
        <f>IF($DI565="",0,IF(SUMPRODUCT(--EXACT($DI$4:DI564,$DI565))&gt;0,1,0))</f>
        <v/>
      </c>
      <c r="DK565">
        <f>IF(AND($DI565&lt;&gt;"",$DJ565=0),1,0)</f>
        <v/>
      </c>
      <c r="DL565">
        <f>DL564+$DK565</f>
        <v/>
      </c>
      <c r="DM565">
        <f>IF(AND($DK565=1,$DL565&lt;=600),1,0)</f>
        <v/>
      </c>
      <c r="DN565">
        <f>IF($DM565=0,"",IF($L$6=0,"",IFERROR(IF(ISNUMBER(INDEX(PASTE_ALL,$DF565,$L$6)),INDEX(PASTE_ALL,$DF565,$L$6),TRIM(SUBSTITUTE(SUBSTITUTE(SUBSTITUTE(SUBSTITUTE(INDEX(PASTE_ALL,$DF565,$L$6)," "," "),CHAR(9)," "),CHAR(10)," "),CHAR(13)," "))),"")))</f>
        <v/>
      </c>
      <c r="DO565">
        <f>IF($DM565=0,"",IF($L$7=0,"",IFERROR(IF(ISNUMBER(INDEX(PASTE_ALL,$DF565,$L$7)),INDEX(PASTE_ALL,$DF565,$L$7),TRIM(SUBSTITUTE(SUBSTITUTE(SUBSTITUTE(SUBSTITUTE(INDEX(PASTE_ALL,$DF565,$L$7)," "," "),CHAR(9)," "),CHAR(10)," "),CHAR(13)," "))),"")))</f>
        <v/>
      </c>
      <c r="DP565">
        <f>IF($DM565=0,"",IF($L$8=0,"",IFERROR(IF(ISNUMBER(INDEX(PASTE_ALL,$DF565,$L$8)),INDEX(PASTE_ALL,$DF565,$L$8),TRIM(SUBSTITUTE(SUBSTITUTE(SUBSTITUTE(SUBSTITUTE(INDEX(PASTE_ALL,$DF565,$L$8)," "," "),CHAR(9)," "),CHAR(10)," "),CHAR(13)," "))),"")))</f>
        <v/>
      </c>
      <c r="DQ565">
        <f>IF($DM565=0,"",IF($L$9=0,"",IFERROR(IF(ISNUMBER(INDEX(PASTE_ALL,$DF565,$L$9)),INDEX(PASTE_ALL,$DF565,$L$9),TRIM(SUBSTITUTE(SUBSTITUTE(SUBSTITUTE(SUBSTITUTE(INDEX(PASTE_ALL,$DF565,$L$9)," "," "),CHAR(9)," "),CHAR(10)," "),CHAR(13)," "))),"")))</f>
        <v/>
      </c>
      <c r="DR565">
        <f>IF($DM565=0,"",IF($L$10=0,"",IFERROR(IF(ISNUMBER(INDEX(PASTE_ALL,$DF565,$L$10)),INDEX(PASTE_ALL,$DF565,$L$10),TRIM(SUBSTITUTE(SUBSTITUTE(SUBSTITUTE(SUBSTITUTE(INDEX(PASTE_ALL,$DF565,$L$10)," "," "),CHAR(9)," "),CHAR(10)," "),CHAR(13)," "))),"")))</f>
        <v/>
      </c>
      <c r="DS565">
        <f>IF($DM565=0,"",IF($L$11=0,"",IFERROR(IF(ISNUMBER(INDEX(PASTE_ALL,$DF565,$L$11)),INDEX(PASTE_ALL,$DF565,$L$11),TRIM(SUBSTITUTE(SUBSTITUTE(SUBSTITUTE(SUBSTITUTE(INDEX(PASTE_ALL,$DF565,$L$11)," "," "),CHAR(9)," "),CHAR(10)," "),CHAR(13)," "))),"")))</f>
        <v/>
      </c>
      <c r="DT565">
        <f>IF($DM565=0,"",IF($L$12=0,"",IFERROR(IF(ISNUMBER(INDEX(PASTE_ALL,$DF565,$L$12)),INDEX(PASTE_ALL,$DF565,$L$12),TRIM(SUBSTITUTE(SUBSTITUTE(SUBSTITUTE(SUBSTITUTE(INDEX(PASTE_ALL,$DF565,$L$12)," "," "),CHAR(9)," "),CHAR(10)," "),CHAR(13)," "))),"")))</f>
        <v/>
      </c>
      <c r="DU565">
        <f>IF($DM565=0,"",IF($L$13=0,"",IFERROR(IF(ISNUMBER(INDEX(PASTE_ALL,$DF565,$L$13)),INDEX(PASTE_ALL,$DF565,$L$13),TRIM(SUBSTITUTE(SUBSTITUTE(SUBSTITUTE(SUBSTITUTE(INDEX(PASTE_ALL,$DF565,$L$13)," "," "),CHAR(9)," "),CHAR(10)," "),CHAR(13)," "))),"")))</f>
        <v/>
      </c>
      <c r="DV565">
        <f>IF($DM565=0,"",IF($L$14=0,"",IFERROR(IF(ISNUMBER(INDEX(PASTE_ALL,$DF565,$L$14)),INDEX(PASTE_ALL,$DF565,$L$14),TRIM(SUBSTITUTE(SUBSTITUTE(SUBSTITUTE(SUBSTITUTE(INDEX(PASTE_ALL,$DF565,$L$14)," "," "),CHAR(9)," "),CHAR(10)," "),CHAR(13)," "))),"")))</f>
        <v/>
      </c>
      <c r="DW565">
        <f>IF($DM565=0,"",IF($L$15=0,"",IFERROR(IF(ISNUMBER(INDEX(PASTE_ALL,$DF565,$L$15)),INDEX(PASTE_ALL,$DF565,$L$15),IF(SUMPRODUCT(--ISNUMBER(FIND({"A","B","C","D","E","F","G","H","I","J","K","L","M","N","O","P","Q","R","S","T","U","V","W","X","Y","Z","0","1","2","3","4","5","6","7","8","9"},UPPER(TRIM(SUBSTITUTE(SUBSTITUTE(SUBSTITUTE(SUBSTITUTE(INDEX(PASTE_ALL,$DF565,$L$15)," "," "),CHAR(9)," "),CHAR(10)," "),CHAR(13)," "))))))&gt;0,TRIM(SUBSTITUTE(SUBSTITUTE(SUBSTITUTE(SUBSTITUTE(INDEX(PASTE_ALL,$DF565,$L$15)," "," "),CHAR(9)," "),CHAR(10)," "),CHAR(13)," ")),"")),"")))</f>
        <v/>
      </c>
      <c r="DX565">
        <f>IF($DM565=0,"",IF($L$16=0,"",IFERROR(IF(ISNUMBER(INDEX(PASTE_ALL,$DF565,$L$16)),INDEX(PASTE_ALL,$DF565,$L$16),SUBSTITUTE(SUBSTITUTE(TRIM(SUBSTITUTE(SUBSTITUTE(SUBSTITUTE(SUBSTITUTE(INDEX(PASTE_ALL,$DF565,$L$16)," "," "),CHAR(9)," "),CHAR(10)," "),CHAR(13)," ")),",",""),"%","")),"")))</f>
        <v/>
      </c>
      <c r="DY565">
        <f>IF($DM565=0,"",IFERROR(IF(ISNUMBER($DX565),$DX565,IF($DX565="","",IF(TRIM($DX565)="",0,IF(AND(AND(SUBSTITUTE(SUBSTITUTE(SUBSTITUTE(SUBSTITUTE(SUBSTITUTE(SUBSTITUTE(SUBSTITUTE(SUBSTITUTE(SUBSTITUTE(SUBSTITUTE(SUBSTITUTE(SUBSTITUTE(SUBSTITUTE(SUBSTITUTE(UPPER(TRIM($DX565)),"0",""),"1",""),"2",""),"3",""),"4",""),"5",""),"6",""),"7",""),"8",""),"9",""),".",""),"+",""),"-",""),"E","")="",LEN(SUBSTITUTE(SUBSTITUTE(MID(UPPER(TRIM($DX565)),1+OR(LEFT(UPPER(TRIM($DX565)),1)="+",LEFT(UPPER(TRIM($DX565)),1)="-"),999),"E+","E"),"E-","E"))=LEN(SUBSTITUTE(SUBSTITUTE(SUBSTITUTE(SUBSTITUTE(MID(UPPER(TRIM($DX565)),1+OR(LEFT(UPPER(TRIM($DX565)),1)="+",LEFT(UPPER(TRIM($DX565)),1)="-"),999),"E+","E"),"E-","E"),"+",""),"-","")),LEN(UPPER(TRIM($DX565)))-LEN(SUBSTITUTE(UPPER(TRIM($DX565)),"E",""))&lt;2,LEN(UPPER(TRIM($DX565)))-LEN(SUBSTITUTE(UPPER(TRIM($DX565)),".",""))&lt;2,IFERROR(FIND(".",UPPER(TRIM($DX565))),0)&lt;IFERROR(FIND("E",UPPER(TRIM($DX565))),999)),ISNUMBER(VALUE(TRIM($DX565)))),VALUE(TRIM($DX565)),"")))),""))</f>
        <v/>
      </c>
      <c r="DZ565">
        <f>IF($DM565=0,"",IF($L$17=0,"",IFERROR(IF(ISNUMBER(INDEX(PASTE_ALL,$DF565,$L$17)),INDEX(PASTE_ALL,$DF565,$L$17),SUBSTITUTE(SUBSTITUTE(TRIM(SUBSTITUTE(SUBSTITUTE(SUBSTITUTE(SUBSTITUTE(INDEX(PASTE_ALL,$DF565,$L$17)," "," "),CHAR(9)," "),CHAR(10)," "),CHAR(13)," ")),",",""),"%","")),"")))</f>
        <v/>
      </c>
      <c r="EA565">
        <f>IF($DM565=0,"",IFERROR(IF(ISNUMBER($DZ565),$DZ565,IF($DZ565="","",IF(TRIM($DZ565)="",0,IF(AND(AND(SUBSTITUTE(SUBSTITUTE(SUBSTITUTE(SUBSTITUTE(SUBSTITUTE(SUBSTITUTE(SUBSTITUTE(SUBSTITUTE(SUBSTITUTE(SUBSTITUTE(SUBSTITUTE(SUBSTITUTE(SUBSTITUTE(SUBSTITUTE(UPPER(TRIM($DZ565)),"0",""),"1",""),"2",""),"3",""),"4",""),"5",""),"6",""),"7",""),"8",""),"9",""),".",""),"+",""),"-",""),"E","")="",LEN(SUBSTITUTE(SUBSTITUTE(MID(UPPER(TRIM($DZ565)),1+OR(LEFT(UPPER(TRIM($DZ565)),1)="+",LEFT(UPPER(TRIM($DZ565)),1)="-"),999),"E+","E"),"E-","E"))=LEN(SUBSTITUTE(SUBSTITUTE(SUBSTITUTE(SUBSTITUTE(MID(UPPER(TRIM($DZ565)),1+OR(LEFT(UPPER(TRIM($DZ565)),1)="+",LEFT(UPPER(TRIM($DZ565)),1)="-"),999),"E+","E"),"E-","E"),"+",""),"-","")),LEN(UPPER(TRIM($DZ565)))-LEN(SUBSTITUTE(UPPER(TRIM($DZ565)),"E",""))&lt;2,LEN(UPPER(TRIM($DZ565)))-LEN(SUBSTITUTE(UPPER(TRIM($DZ565)),".",""))&lt;2,IFERROR(FIND(".",UPPER(TRIM($DZ565))),0)&lt;IFERROR(FIND("E",UPPER(TRIM($DZ565))),999)),ISNUMBER(VALUE(TRIM($DZ565)))),VALUE(TRIM($DZ565)),"")))),""))</f>
        <v/>
      </c>
      <c r="EB565">
        <f>IF($DM565=0,"",IF($L$18=0,"",IFERROR(IF(UPPER(TRIM(SUBSTITUTE(SUBSTITUTE(SUBSTITUTE(SUBSTITUTE(INDEX(PASTE_ALL,$DF565,$L$18)," "," "),CHAR(9)," "),CHAR(10)," "),CHAR(13)," ")))="READY","Ready",IF(UPPER(TRIM(SUBSTITUTE(SUBSTITUTE(SUBSTITUTE(SUBSTITUTE(INDEX(PASTE_ALL,$DF565,$L$18)," "," "),CHAR(9)," "),CHAR(10)," "),CHAR(13)," ")))="PM","PM",IF(OR(UPPER(TRIM(SUBSTITUTE(SUBSTITUTE(SUBSTITUTE(SUBSTITUTE(INDEX(PASTE_ALL,$DF565,$L$18)," "," "),CHAR(9)," "),CHAR(10)," "),CHAR(13)," ")))="OT",UPPER(TRIM(SUBSTITUTE(SUBSTITUTE(SUBSTITUTE(SUBSTITUTE(INDEX(PASTE_ALL,$DF565,$L$18)," "," "),CHAR(9)," "),CHAR(10)," "),CHAR(13)," ")))="OVERTIME",UPPER(TRIM(SUBSTITUTE(SUBSTITUTE(SUBSTITUTE(SUBSTITUTE(INDEX(PASTE_ALL,$DF565,$L$18)," "," "),CHAR(9)," "),CHAR(10)," "),CHAR(13)," ")))="TRIAL"),"OT",TRIM(SUBSTITUTE(SUBSTITUTE(SUBSTITUTE(SUBSTITUTE(INDEX(PASTE_ALL,$DF565,$L$18)," "," "),CHAR(9)," "),CHAR(10)," "),CHAR(13)," "))))),"")))</f>
        <v/>
      </c>
      <c r="EC565">
        <f>IF($DM565=0,"",IF($L$19=0,"",IFERROR(IF(ISNUMBER(INDEX(PASTE_ALL,$DF565,$L$19)),INDEX(PASTE_ALL,$DF565,$L$19),TRIM(SUBSTITUTE(SUBSTITUTE(SUBSTITUTE(SUBSTITUTE(INDEX(PASTE_ALL,$DF565,$L$19)," "," "),CHAR(9)," "),CHAR(10)," "),CHAR(13)," "))),"")))</f>
        <v/>
      </c>
      <c r="ED565">
        <f>IF($DM565=0,"",MATCH(1,INDEX(EXACT($DH$5:DH565,$DH565)*$DM$5:DM565,0),0))</f>
        <v/>
      </c>
      <c r="EE565">
        <f>IF($DM565=0,0,IF($ED565=$DE565,1,0))</f>
        <v/>
      </c>
      <c r="EF565">
        <f>EF564+$EE565</f>
        <v/>
      </c>
      <c r="EG565">
        <f>IF($DM565=0,"",INDEX($EF$5:$EF$1003,$ED565))</f>
        <v/>
      </c>
      <c r="EH565">
        <f>IF($DM565=0,"",IF($DO565&lt;&gt;"","",IFERROR(LOOKUP(2,1/(($EG$4:EG564=$EG565)*($DO$4:DO564&lt;&gt;"")),$DO$4:DO564),"")))</f>
        <v/>
      </c>
      <c r="EI565">
        <f>IF($DM565=0,"",IF($DO565&lt;&gt;"",$DO565,$EH565))</f>
        <v/>
      </c>
      <c r="EJ565">
        <f>IF($DM565=0,"",IF($EI565="",0,IF(OR(ISNUMBER($EI565),AND(AND(SUBSTITUTE(SUBSTITUTE(SUBSTITUTE(SUBSTITUTE(SUBSTITUTE(SUBSTITUTE(SUBSTITUTE(SUBSTITUTE(SUBSTITUTE(SUBSTITUTE(SUBSTITUTE(SUBSTITUTE(SUBSTITUTE(SUBSTITUTE(UPPER($EI565),"0",""),"1",""),"2",""),"3",""),"4",""),"5",""),"6",""),"7",""),"8",""),"9",""),".",""),"+",""),"-",""),"E","")="",LEN(SUBSTITUTE(SUBSTITUTE(MID(UPPER($EI565),1+OR(LEFT(UPPER($EI565),1)="+",LEFT(UPPER($EI565),1)="-"),999),"E+","E"),"E-","E"))=LEN(SUBSTITUTE(SUBSTITUTE(SUBSTITUTE(SUBSTITUTE(MID(UPPER($EI565),1+OR(LEFT(UPPER($EI565),1)="+",LEFT(UPPER($EI565),1)="-"),999),"E+","E"),"E-","E"),"+",""),"-","")),LEN(UPPER($EI565))-LEN(SUBSTITUTE(UPPER($EI565),"E",""))&lt;2,LEN(UPPER($EI565))-LEN(SUBSTITUTE(UPPER($EI565),".",""))&lt;2,IFERROR(FIND(".",UPPER($EI565)),0)&lt;IFERROR(FIND("E",UPPER($EI565)),999)),ISNUMBER(VALUE($EI565)))),1,2)))</f>
        <v/>
      </c>
      <c r="EK565">
        <f>IF($DM565=0,"",IF($EJ565=1,IF(ISNUMBER($EI565),$EI565,VALUE($EI565)),IF($EJ565=2,$DE565,0)))</f>
        <v/>
      </c>
      <c r="EL565">
        <f>IF($DM565=0,"",COUNTIF($EG$5:$EG$1003,"&lt;"&amp;$EG565)+SUMPRODUCT(($EG$5:$EG$1003=$EG565)*(($EJ$5:$EJ$1003&lt;$EJ565)+($EJ$5:$EJ$1003=$EJ565)*(($EK$5:$EK$1003&lt;$EK565)+($EK$5:$EK$1003=$EK565)*($DE$5:$DE$1003&lt;$DE565))))+1)</f>
        <v/>
      </c>
      <c r="EM565">
        <f>IF($DM565=0,"",$EL565+$EG565-1)</f>
        <v/>
      </c>
      <c r="EN565">
        <f>IF($DM565=0,0,IFERROR(MATCH(1,INDEX(--(TRIM(SUBSTITUTE(SUBSTITUTE(SUBSTITUTE(SUBSTITUTE(LINES_NAME&amp;""," "," "),CHAR(9)," "),CHAR(10)," "),CHAR(13)," "))=$DH565),0),0),0))</f>
        <v/>
      </c>
      <c r="EO565">
        <f>IF($EN565=0,0,IF(OR(UPPER(TRIM(INDEX(LINES_SCHEDULED,$EN565)&amp;""))="YES",UPPER(TRIM(INDEX(LINES_SCHEDULED,$EN565)&amp;""))="Y",UPPER(TRIM(INDEX(LINES_SCHEDULED,$EN565)&amp;""))="X"),1,0))</f>
        <v/>
      </c>
      <c r="EP565">
        <f>IF($DM565=0,"",IF(COUNTIFS($EG$5:$EG$1003,$EG565,$EB$5:$EB$1003,"Ready")&gt;0,"READY",IF(COUNTIFS($EG$5:$EG$1003,$EG565,$EB$5:$EB$1003,"PM")&gt;0,"PM",IF(COUNTIFS($EG$5:$EG$1003,$EG565,$EB$5:$EB$1003,"OT")&gt;0,"OT",""))))</f>
        <v/>
      </c>
      <c r="EQ565">
        <f>IF($EN565=0,"",UPPER(TRIM(INDEX(LINES_STATUS,$EN565)&amp;"")))</f>
        <v/>
      </c>
      <c r="ER565">
        <f>IF($DM565=0,"",IF(OR($EQ565="READY",$EQ565="PM",$EQ565="OT"),$EQ565,$EP565))</f>
        <v/>
      </c>
      <c r="ES565">
        <f>IF($DM565=0,"",IF(AND($DV565&lt;&gt;"",UPPER($DV565)&lt;&gt;"N"),"allergen",IF(ISNUMBER(SEARCH("oil",$DQ565)),"oil",IF(OR(EXACT($DS565,"A662"),EXACT($DS565,"A624")),"bulk",""))))</f>
        <v/>
      </c>
      <c r="ET565">
        <f>IF($DM565=0,"",IF(OR($EA565="",$EA565=0),"",$EA565/100))</f>
        <v/>
      </c>
      <c r="EU565">
        <f>IF(OR($ET565="",$DY565=""),"",INT($DY565*(1-$ET565)+0.5))</f>
        <v/>
      </c>
      <c r="EW565" t="n">
        <v>561</v>
      </c>
      <c r="EX565">
        <f>IFERROR(MATCH($EW565,$EM$5:$EM$1003,0),0)</f>
        <v/>
      </c>
      <c r="EY565">
        <f>IF($EW565&gt;$B$12,"",IF($EX565&gt;0,"row","spacer"))</f>
        <v/>
      </c>
      <c r="EZ565">
        <f>IF(AND($EY565="row",$EY564&lt;&gt;"row"),1,0)</f>
        <v/>
      </c>
      <c r="FA565">
        <f>IF(AND($EY565="row",$EY566&lt;&gt;"row"),1,0)</f>
        <v/>
      </c>
      <c r="FB565">
        <f>IF($EZ565=1,IFERROR(IF(ISNUMBER(INDEX(PASTE_ALL,INDEX($DF$5:$DF$1003,$EX565),$B$37)),INDEX(PASTE_ALL,INDEX($DF$5:$DF$1003,$EX565),$B$37),INDEX($DH$5:$DH$1003,$EX565)),INDEX($DH$5:$DH$1003,$EX565)),"")</f>
        <v/>
      </c>
      <c r="FC565">
        <f>IF($EY565="row",INDEX($ER$5:$ER$1003,$EX565),"")</f>
        <v/>
      </c>
      <c r="FD565">
        <f>IF($EY565="row",INDEX($DN$5:$DN$1003,$EX565),"")</f>
        <v/>
      </c>
      <c r="FE565">
        <f>IF($EY565="row",INDEX($DO$5:$DO$1003,$EX565),"")</f>
        <v/>
      </c>
      <c r="FF565">
        <f>IF($EY565="row",INDEX($DP$5:$DP$1003,$EX565),"")</f>
        <v/>
      </c>
      <c r="FG565">
        <f>IF($EY565="row",INDEX($DQ$5:$DQ$1003,$EX565),"")</f>
        <v/>
      </c>
      <c r="FH565">
        <f>IF($EY565="row",INDEX($DR$5:$DR$1003,$EX565),"")</f>
        <v/>
      </c>
      <c r="FI565">
        <f>IF($EY565="row",INDEX($DS$5:$DS$1003,$EX565),"")</f>
        <v/>
      </c>
      <c r="FJ565">
        <f>IF($EY565="row",INDEX($DT$5:$DT$1003,$EX565),"")</f>
        <v/>
      </c>
      <c r="FK565">
        <f>IF($EY565="row",INDEX($DU$5:$DU$1003,$EX565),"")</f>
        <v/>
      </c>
      <c r="FL565">
        <f>IF($EY565="row",INDEX($DV$5:$DV$1003,$EX565),"")</f>
        <v/>
      </c>
      <c r="FM565">
        <f>IF($EY565="row",INDEX($DW$5:$DW$1003,$EX565),"")</f>
        <v/>
      </c>
      <c r="FN565">
        <f>IF($EY565="row",INDEX($DY$5:$DY$1003,$EX565),"")</f>
        <v/>
      </c>
      <c r="FO565">
        <f>IF($EY565="row",INDEX($EA$5:$EA$1003,$EX565),"")</f>
        <v/>
      </c>
      <c r="FP565">
        <f>IF($EY565="row",INDEX($EC$5:$EC$1003,$EX565),"")</f>
        <v/>
      </c>
      <c r="FQ565">
        <f>IF($EY565="row",INDEX($ET$5:$ET$1003,$EX565),"")</f>
        <v/>
      </c>
      <c r="FR565">
        <f>IF($EY565="row",INDEX($EU$5:$EU$1003,$EX565),"")</f>
        <v/>
      </c>
      <c r="FS565">
        <f>IF(AND($EY565="row",$EY564="row"),IF(OR(INDEX($DT$5:$DT$1003,$EX564)="",INDEX($DT$5:$DT$1003,$EX565)=""),"",IF(NOT(EXACT(INDEX($DT$5:$DT$1003,$EX564),INDEX($DT$5:$DT$1003,$EX565))),"S4",IF(NOT(EXACT(INDEX($DS$5:$DS$1003,$EX564),INDEX($DS$5:$DS$1003,$EX565))),"S3",IF(NOT(EXACT(INDEX($DR$5:$DR$1003,$EX564),INDEX($DR$5:$DR$1003,$EX565))),"S1 Count Change","S1")))),"")</f>
        <v/>
      </c>
      <c r="FT565">
        <f>IF($EY565="row",INDEX($ES$5:$ES$1003,$EX565),"")</f>
        <v/>
      </c>
      <c r="FU565">
        <f>IF($EY565="row",INDEX($EO$5:$EO$1003,$EX565),0)</f>
        <v/>
      </c>
      <c r="FV565">
        <f>IF($FS565="S1 Count Change",1,0)</f>
        <v/>
      </c>
    </row>
    <row r="566">
      <c r="DA566" t="n">
        <v>562</v>
      </c>
      <c r="DB566">
        <f>IF($B$37=0,"",IFERROR(TRIM(SUBSTITUTE(SUBSTITUTE(SUBSTITUTE(SUBSTITUTE(INDEX(PASTE_ALL,562,$B$37)," "," "),CHAR(9)," "),CHAR(10)," "),CHAR(13)," ")),""))</f>
        <v/>
      </c>
      <c r="DC566">
        <f>IF(AND(562&gt;HEADER_ROW,UPPER(DB566)="LEGEND"),1,0)</f>
        <v/>
      </c>
      <c r="DE566" t="n">
        <v>562</v>
      </c>
      <c r="DF566">
        <f>HEADER_ROW+$DE566</f>
        <v/>
      </c>
      <c r="DG566">
        <f>IF(AND($DF566&lt;=1000,$DF566&lt;$B$8),1,0)</f>
        <v/>
      </c>
      <c r="DH566">
        <f>IF($DG566=1,IFERROR(INDEX($DB$5:$DB$1004,$DF566),""),"")</f>
        <v/>
      </c>
      <c r="DI566">
        <f>IF(AND($DG566=1,$DH566&lt;&gt;""),IFERROR(SUBSTITUTE(SUBSTITUTE(TRIM(SUBSTITUTE(SUBSTITUTE(SUBSTITUTE(SUBSTITUTE(IFERROR(INDEX(PASTE_ALL,$DF566,1)&amp;"","")&amp;"␟"&amp;IFERROR(INDEX(PASTE_ALL,$DF566,2)&amp;"","")&amp;"␟"&amp;IFERROR(INDEX(PASTE_ALL,$DF566,3)&amp;"","")&amp;"␟"&amp;IFERROR(INDEX(PASTE_ALL,$DF566,4)&amp;"","")&amp;"␟"&amp;IFERROR(INDEX(PASTE_ALL,$DF566,5)&amp;"","")&amp;"␟"&amp;IFERROR(INDEX(PASTE_ALL,$DF566,6)&amp;"","")&amp;"␟"&amp;IFERROR(INDEX(PASTE_ALL,$DF566,7)&amp;"","")&amp;"␟"&amp;IFERROR(INDEX(PASTE_ALL,$DF566,8)&amp;"","")&amp;"␟"&amp;IFERROR(INDEX(PASTE_ALL,$DF566,9)&amp;"","")&amp;"␟"&amp;IFERROR(INDEX(PASTE_ALL,$DF566,10)&amp;"","")&amp;"␟"&amp;IFERROR(INDEX(PASTE_ALL,$DF566,11)&amp;"","")&amp;"␟"&amp;IFERROR(INDEX(PASTE_ALL,$DF566,12)&amp;"","")&amp;"␟"&amp;IFERROR(INDEX(PASTE_ALL,$DF566,13)&amp;"","")&amp;"␟"&amp;IFERROR(INDEX(PASTE_ALL,$DF566,14)&amp;"","")&amp;"␟"&amp;IFERROR(INDEX(PASTE_ALL,$DF566,15)&amp;"","")&amp;"␟"&amp;IFERROR(INDEX(PASTE_ALL,$DF566,16)&amp;"","")&amp;"␟"&amp;IFERROR(INDEX(PASTE_ALL,$DF566,17)&amp;"","")&amp;"␟"&amp;IFERROR(INDEX(PASTE_ALL,$DF566,18)&amp;"","")&amp;"␟"&amp;IFERROR(INDEX(PASTE_ALL,$DF566,19)&amp;"","")&amp;"␟"&amp;IFERROR(INDEX(PASTE_ALL,$DF566,20)&amp;"","")&amp;"␟"&amp;IFERROR(INDEX(PASTE_ALL,$DF566,21)&amp;"","")&amp;"␟"&amp;IFERROR(INDEX(PASTE_ALL,$DF566,22)&amp;"","")&amp;"␟"&amp;IFERROR(INDEX(PASTE_ALL,$DF566,23)&amp;"","")&amp;"␟"&amp;IFERROR(INDEX(PASTE_ALL,$DF566,24)&amp;"","")&amp;"␟"&amp;IFERROR(INDEX(PASTE_ALL,$DF566,25)&amp;"","")&amp;"␟"&amp;IFERROR(INDEX(PASTE_ALL,$DF566,26)&amp;"","")&amp;"␟"&amp;IFERROR(INDEX(PASTE_ALL,$DF566,27)&amp;"","")&amp;"␟"&amp;IFERROR(INDEX(PASTE_ALL,$DF566,28)&amp;"","")&amp;"␟"&amp;IFERROR(INDEX(PASTE_ALL,$DF566,29)&amp;"","")&amp;"␟"&amp;IFERROR(INDEX(PASTE_ALL,$DF566,30)&amp;"","")&amp;"␟"&amp;IFERROR(INDEX(PASTE_ALL,$DF566,31)&amp;"","")&amp;"␟"&amp;IFERROR(INDEX(PASTE_ALL,$DF566,32)&amp;"","")&amp;"␟"&amp;IFERROR(INDEX(PASTE_ALL,$DF566,33)&amp;"","")&amp;"␟"&amp;IFERROR(INDEX(PASTE_ALL,$DF566,34)&amp;"","")&amp;"␟"&amp;IFERROR(INDEX(PASTE_ALL,$DF566,35)&amp;"","")&amp;"␟"&amp;IFERROR(INDEX(PASTE_ALL,$DF566,36)&amp;"","")&amp;"␟"&amp;IFERROR(INDEX(PASTE_ALL,$DF566,37)&amp;"","")&amp;"␟"&amp;IFERROR(INDEX(PASTE_ALL,$DF566,38)&amp;"","")&amp;"␟"&amp;IFERROR(INDEX(PASTE_ALL,$DF566,39)&amp;"","")&amp;"␟"&amp;IFERROR(INDEX(PASTE_ALL,$DF566,40)&amp;"","")&amp;"␟"&amp;IFERROR(INDEX(PASTE_ALL,$DF566,41)&amp;"","")&amp;"␟"&amp;IFERROR(INDEX(PASTE_ALL,$DF566,42)&amp;"","")&amp;"␟"&amp;IFERROR(INDEX(PASTE_ALL,$DF566,43)&amp;"","")&amp;"␟"&amp;IFERROR(INDEX(PASTE_ALL,$DF566,44)&amp;"","")&amp;"␟"&amp;IFERROR(INDEX(PASTE_ALL,$DF566,45)&amp;"","")&amp;"␟"&amp;IFERROR(INDEX(PASTE_ALL,$DF566,46)&amp;"","")&amp;"␟"&amp;IFERROR(INDEX(PASTE_ALL,$DF566,47)&amp;"","")&amp;"␟"&amp;IFERROR(INDEX(PASTE_ALL,$DF566,48)&amp;"","")&amp;"␟"&amp;IFERROR(INDEX(PASTE_ALL,$DF566,49)&amp;"","")&amp;"␟"&amp;IFERROR(INDEX(PASTE_ALL,$DF566,50)&amp;"","")&amp;"␟"&amp;IFERROR(INDEX(PASTE_ALL,$DF566,51)&amp;"","")&amp;"␟"&amp;IFERROR(INDEX(PASTE_ALL,$DF566,52)&amp;"","")&amp;"␟"&amp;IFERROR(INDEX(PASTE_ALL,$DF566,53)&amp;"","")&amp;"␟"&amp;IFERROR(INDEX(PASTE_ALL,$DF566,54)&amp;"","")&amp;"␟"&amp;IFERROR(INDEX(PASTE_ALL,$DF566,55)&amp;"","")&amp;"␟"&amp;IFERROR(INDEX(PASTE_ALL,$DF566,56)&amp;"","")&amp;"␟"&amp;IFERROR(INDEX(PASTE_ALL,$DF566,57)&amp;"","")&amp;"␟"&amp;IFERROR(INDEX(PASTE_ALL,$DF566,58)&amp;"","")&amp;"␟"&amp;IFERROR(INDEX(PASTE_ALL,$DF566,59)&amp;"","")&amp;"␟"&amp;IFERROR(INDEX(PASTE_ALL,$DF566,60)&amp;"","")," "," "),CHAR(9)," "),CHAR(10)," "),CHAR(13)," "))," ␟","␟"),"␟ ","␟"),"#"&amp;$DE566),"")</f>
        <v/>
      </c>
      <c r="DJ566">
        <f>IF($DI566="",0,IF(SUMPRODUCT(--EXACT($DI$4:DI565,$DI566))&gt;0,1,0))</f>
        <v/>
      </c>
      <c r="DK566">
        <f>IF(AND($DI566&lt;&gt;"",$DJ566=0),1,0)</f>
        <v/>
      </c>
      <c r="DL566">
        <f>DL565+$DK566</f>
        <v/>
      </c>
      <c r="DM566">
        <f>IF(AND($DK566=1,$DL566&lt;=600),1,0)</f>
        <v/>
      </c>
      <c r="DN566">
        <f>IF($DM566=0,"",IF($L$6=0,"",IFERROR(IF(ISNUMBER(INDEX(PASTE_ALL,$DF566,$L$6)),INDEX(PASTE_ALL,$DF566,$L$6),TRIM(SUBSTITUTE(SUBSTITUTE(SUBSTITUTE(SUBSTITUTE(INDEX(PASTE_ALL,$DF566,$L$6)," "," "),CHAR(9)," "),CHAR(10)," "),CHAR(13)," "))),"")))</f>
        <v/>
      </c>
      <c r="DO566">
        <f>IF($DM566=0,"",IF($L$7=0,"",IFERROR(IF(ISNUMBER(INDEX(PASTE_ALL,$DF566,$L$7)),INDEX(PASTE_ALL,$DF566,$L$7),TRIM(SUBSTITUTE(SUBSTITUTE(SUBSTITUTE(SUBSTITUTE(INDEX(PASTE_ALL,$DF566,$L$7)," "," "),CHAR(9)," "),CHAR(10)," "),CHAR(13)," "))),"")))</f>
        <v/>
      </c>
      <c r="DP566">
        <f>IF($DM566=0,"",IF($L$8=0,"",IFERROR(IF(ISNUMBER(INDEX(PASTE_ALL,$DF566,$L$8)),INDEX(PASTE_ALL,$DF566,$L$8),TRIM(SUBSTITUTE(SUBSTITUTE(SUBSTITUTE(SUBSTITUTE(INDEX(PASTE_ALL,$DF566,$L$8)," "," "),CHAR(9)," "),CHAR(10)," "),CHAR(13)," "))),"")))</f>
        <v/>
      </c>
      <c r="DQ566">
        <f>IF($DM566=0,"",IF($L$9=0,"",IFERROR(IF(ISNUMBER(INDEX(PASTE_ALL,$DF566,$L$9)),INDEX(PASTE_ALL,$DF566,$L$9),TRIM(SUBSTITUTE(SUBSTITUTE(SUBSTITUTE(SUBSTITUTE(INDEX(PASTE_ALL,$DF566,$L$9)," "," "),CHAR(9)," "),CHAR(10)," "),CHAR(13)," "))),"")))</f>
        <v/>
      </c>
      <c r="DR566">
        <f>IF($DM566=0,"",IF($L$10=0,"",IFERROR(IF(ISNUMBER(INDEX(PASTE_ALL,$DF566,$L$10)),INDEX(PASTE_ALL,$DF566,$L$10),TRIM(SUBSTITUTE(SUBSTITUTE(SUBSTITUTE(SUBSTITUTE(INDEX(PASTE_ALL,$DF566,$L$10)," "," "),CHAR(9)," "),CHAR(10)," "),CHAR(13)," "))),"")))</f>
        <v/>
      </c>
      <c r="DS566">
        <f>IF($DM566=0,"",IF($L$11=0,"",IFERROR(IF(ISNUMBER(INDEX(PASTE_ALL,$DF566,$L$11)),INDEX(PASTE_ALL,$DF566,$L$11),TRIM(SUBSTITUTE(SUBSTITUTE(SUBSTITUTE(SUBSTITUTE(INDEX(PASTE_ALL,$DF566,$L$11)," "," "),CHAR(9)," "),CHAR(10)," "),CHAR(13)," "))),"")))</f>
        <v/>
      </c>
      <c r="DT566">
        <f>IF($DM566=0,"",IF($L$12=0,"",IFERROR(IF(ISNUMBER(INDEX(PASTE_ALL,$DF566,$L$12)),INDEX(PASTE_ALL,$DF566,$L$12),TRIM(SUBSTITUTE(SUBSTITUTE(SUBSTITUTE(SUBSTITUTE(INDEX(PASTE_ALL,$DF566,$L$12)," "," "),CHAR(9)," "),CHAR(10)," "),CHAR(13)," "))),"")))</f>
        <v/>
      </c>
      <c r="DU566">
        <f>IF($DM566=0,"",IF($L$13=0,"",IFERROR(IF(ISNUMBER(INDEX(PASTE_ALL,$DF566,$L$13)),INDEX(PASTE_ALL,$DF566,$L$13),TRIM(SUBSTITUTE(SUBSTITUTE(SUBSTITUTE(SUBSTITUTE(INDEX(PASTE_ALL,$DF566,$L$13)," "," "),CHAR(9)," "),CHAR(10)," "),CHAR(13)," "))),"")))</f>
        <v/>
      </c>
      <c r="DV566">
        <f>IF($DM566=0,"",IF($L$14=0,"",IFERROR(IF(ISNUMBER(INDEX(PASTE_ALL,$DF566,$L$14)),INDEX(PASTE_ALL,$DF566,$L$14),TRIM(SUBSTITUTE(SUBSTITUTE(SUBSTITUTE(SUBSTITUTE(INDEX(PASTE_ALL,$DF566,$L$14)," "," "),CHAR(9)," "),CHAR(10)," "),CHAR(13)," "))),"")))</f>
        <v/>
      </c>
      <c r="DW566">
        <f>IF($DM566=0,"",IF($L$15=0,"",IFERROR(IF(ISNUMBER(INDEX(PASTE_ALL,$DF566,$L$15)),INDEX(PASTE_ALL,$DF566,$L$15),IF(SUMPRODUCT(--ISNUMBER(FIND({"A","B","C","D","E","F","G","H","I","J","K","L","M","N","O","P","Q","R","S","T","U","V","W","X","Y","Z","0","1","2","3","4","5","6","7","8","9"},UPPER(TRIM(SUBSTITUTE(SUBSTITUTE(SUBSTITUTE(SUBSTITUTE(INDEX(PASTE_ALL,$DF566,$L$15)," "," "),CHAR(9)," "),CHAR(10)," "),CHAR(13)," "))))))&gt;0,TRIM(SUBSTITUTE(SUBSTITUTE(SUBSTITUTE(SUBSTITUTE(INDEX(PASTE_ALL,$DF566,$L$15)," "," "),CHAR(9)," "),CHAR(10)," "),CHAR(13)," ")),"")),"")))</f>
        <v/>
      </c>
      <c r="DX566">
        <f>IF($DM566=0,"",IF($L$16=0,"",IFERROR(IF(ISNUMBER(INDEX(PASTE_ALL,$DF566,$L$16)),INDEX(PASTE_ALL,$DF566,$L$16),SUBSTITUTE(SUBSTITUTE(TRIM(SUBSTITUTE(SUBSTITUTE(SUBSTITUTE(SUBSTITUTE(INDEX(PASTE_ALL,$DF566,$L$16)," "," "),CHAR(9)," "),CHAR(10)," "),CHAR(13)," ")),",",""),"%","")),"")))</f>
        <v/>
      </c>
      <c r="DY566">
        <f>IF($DM566=0,"",IFERROR(IF(ISNUMBER($DX566),$DX566,IF($DX566="","",IF(TRIM($DX566)="",0,IF(AND(AND(SUBSTITUTE(SUBSTITUTE(SUBSTITUTE(SUBSTITUTE(SUBSTITUTE(SUBSTITUTE(SUBSTITUTE(SUBSTITUTE(SUBSTITUTE(SUBSTITUTE(SUBSTITUTE(SUBSTITUTE(SUBSTITUTE(SUBSTITUTE(UPPER(TRIM($DX566)),"0",""),"1",""),"2",""),"3",""),"4",""),"5",""),"6",""),"7",""),"8",""),"9",""),".",""),"+",""),"-",""),"E","")="",LEN(SUBSTITUTE(SUBSTITUTE(MID(UPPER(TRIM($DX566)),1+OR(LEFT(UPPER(TRIM($DX566)),1)="+",LEFT(UPPER(TRIM($DX566)),1)="-"),999),"E+","E"),"E-","E"))=LEN(SUBSTITUTE(SUBSTITUTE(SUBSTITUTE(SUBSTITUTE(MID(UPPER(TRIM($DX566)),1+OR(LEFT(UPPER(TRIM($DX566)),1)="+",LEFT(UPPER(TRIM($DX566)),1)="-"),999),"E+","E"),"E-","E"),"+",""),"-","")),LEN(UPPER(TRIM($DX566)))-LEN(SUBSTITUTE(UPPER(TRIM($DX566)),"E",""))&lt;2,LEN(UPPER(TRIM($DX566)))-LEN(SUBSTITUTE(UPPER(TRIM($DX566)),".",""))&lt;2,IFERROR(FIND(".",UPPER(TRIM($DX566))),0)&lt;IFERROR(FIND("E",UPPER(TRIM($DX566))),999)),ISNUMBER(VALUE(TRIM($DX566)))),VALUE(TRIM($DX566)),"")))),""))</f>
        <v/>
      </c>
      <c r="DZ566">
        <f>IF($DM566=0,"",IF($L$17=0,"",IFERROR(IF(ISNUMBER(INDEX(PASTE_ALL,$DF566,$L$17)),INDEX(PASTE_ALL,$DF566,$L$17),SUBSTITUTE(SUBSTITUTE(TRIM(SUBSTITUTE(SUBSTITUTE(SUBSTITUTE(SUBSTITUTE(INDEX(PASTE_ALL,$DF566,$L$17)," "," "),CHAR(9)," "),CHAR(10)," "),CHAR(13)," ")),",",""),"%","")),"")))</f>
        <v/>
      </c>
      <c r="EA566">
        <f>IF($DM566=0,"",IFERROR(IF(ISNUMBER($DZ566),$DZ566,IF($DZ566="","",IF(TRIM($DZ566)="",0,IF(AND(AND(SUBSTITUTE(SUBSTITUTE(SUBSTITUTE(SUBSTITUTE(SUBSTITUTE(SUBSTITUTE(SUBSTITUTE(SUBSTITUTE(SUBSTITUTE(SUBSTITUTE(SUBSTITUTE(SUBSTITUTE(SUBSTITUTE(SUBSTITUTE(UPPER(TRIM($DZ566)),"0",""),"1",""),"2",""),"3",""),"4",""),"5",""),"6",""),"7",""),"8",""),"9",""),".",""),"+",""),"-",""),"E","")="",LEN(SUBSTITUTE(SUBSTITUTE(MID(UPPER(TRIM($DZ566)),1+OR(LEFT(UPPER(TRIM($DZ566)),1)="+",LEFT(UPPER(TRIM($DZ566)),1)="-"),999),"E+","E"),"E-","E"))=LEN(SUBSTITUTE(SUBSTITUTE(SUBSTITUTE(SUBSTITUTE(MID(UPPER(TRIM($DZ566)),1+OR(LEFT(UPPER(TRIM($DZ566)),1)="+",LEFT(UPPER(TRIM($DZ566)),1)="-"),999),"E+","E"),"E-","E"),"+",""),"-","")),LEN(UPPER(TRIM($DZ566)))-LEN(SUBSTITUTE(UPPER(TRIM($DZ566)),"E",""))&lt;2,LEN(UPPER(TRIM($DZ566)))-LEN(SUBSTITUTE(UPPER(TRIM($DZ566)),".",""))&lt;2,IFERROR(FIND(".",UPPER(TRIM($DZ566))),0)&lt;IFERROR(FIND("E",UPPER(TRIM($DZ566))),999)),ISNUMBER(VALUE(TRIM($DZ566)))),VALUE(TRIM($DZ566)),"")))),""))</f>
        <v/>
      </c>
      <c r="EB566">
        <f>IF($DM566=0,"",IF($L$18=0,"",IFERROR(IF(UPPER(TRIM(SUBSTITUTE(SUBSTITUTE(SUBSTITUTE(SUBSTITUTE(INDEX(PASTE_ALL,$DF566,$L$18)," "," "),CHAR(9)," "),CHAR(10)," "),CHAR(13)," ")))="READY","Ready",IF(UPPER(TRIM(SUBSTITUTE(SUBSTITUTE(SUBSTITUTE(SUBSTITUTE(INDEX(PASTE_ALL,$DF566,$L$18)," "," "),CHAR(9)," "),CHAR(10)," "),CHAR(13)," ")))="PM","PM",IF(OR(UPPER(TRIM(SUBSTITUTE(SUBSTITUTE(SUBSTITUTE(SUBSTITUTE(INDEX(PASTE_ALL,$DF566,$L$18)," "," "),CHAR(9)," "),CHAR(10)," "),CHAR(13)," ")))="OT",UPPER(TRIM(SUBSTITUTE(SUBSTITUTE(SUBSTITUTE(SUBSTITUTE(INDEX(PASTE_ALL,$DF566,$L$18)," "," "),CHAR(9)," "),CHAR(10)," "),CHAR(13)," ")))="OVERTIME",UPPER(TRIM(SUBSTITUTE(SUBSTITUTE(SUBSTITUTE(SUBSTITUTE(INDEX(PASTE_ALL,$DF566,$L$18)," "," "),CHAR(9)," "),CHAR(10)," "),CHAR(13)," ")))="TRIAL"),"OT",TRIM(SUBSTITUTE(SUBSTITUTE(SUBSTITUTE(SUBSTITUTE(INDEX(PASTE_ALL,$DF566,$L$18)," "," "),CHAR(9)," "),CHAR(10)," "),CHAR(13)," "))))),"")))</f>
        <v/>
      </c>
      <c r="EC566">
        <f>IF($DM566=0,"",IF($L$19=0,"",IFERROR(IF(ISNUMBER(INDEX(PASTE_ALL,$DF566,$L$19)),INDEX(PASTE_ALL,$DF566,$L$19),TRIM(SUBSTITUTE(SUBSTITUTE(SUBSTITUTE(SUBSTITUTE(INDEX(PASTE_ALL,$DF566,$L$19)," "," "),CHAR(9)," "),CHAR(10)," "),CHAR(13)," "))),"")))</f>
        <v/>
      </c>
      <c r="ED566">
        <f>IF($DM566=0,"",MATCH(1,INDEX(EXACT($DH$5:DH566,$DH566)*$DM$5:DM566,0),0))</f>
        <v/>
      </c>
      <c r="EE566">
        <f>IF($DM566=0,0,IF($ED566=$DE566,1,0))</f>
        <v/>
      </c>
      <c r="EF566">
        <f>EF565+$EE566</f>
        <v/>
      </c>
      <c r="EG566">
        <f>IF($DM566=0,"",INDEX($EF$5:$EF$1003,$ED566))</f>
        <v/>
      </c>
      <c r="EH566">
        <f>IF($DM566=0,"",IF($DO566&lt;&gt;"","",IFERROR(LOOKUP(2,1/(($EG$4:EG565=$EG566)*($DO$4:DO565&lt;&gt;"")),$DO$4:DO565),"")))</f>
        <v/>
      </c>
      <c r="EI566">
        <f>IF($DM566=0,"",IF($DO566&lt;&gt;"",$DO566,$EH566))</f>
        <v/>
      </c>
      <c r="EJ566">
        <f>IF($DM566=0,"",IF($EI566="",0,IF(OR(ISNUMBER($EI566),AND(AND(SUBSTITUTE(SUBSTITUTE(SUBSTITUTE(SUBSTITUTE(SUBSTITUTE(SUBSTITUTE(SUBSTITUTE(SUBSTITUTE(SUBSTITUTE(SUBSTITUTE(SUBSTITUTE(SUBSTITUTE(SUBSTITUTE(SUBSTITUTE(UPPER($EI566),"0",""),"1",""),"2",""),"3",""),"4",""),"5",""),"6",""),"7",""),"8",""),"9",""),".",""),"+",""),"-",""),"E","")="",LEN(SUBSTITUTE(SUBSTITUTE(MID(UPPER($EI566),1+OR(LEFT(UPPER($EI566),1)="+",LEFT(UPPER($EI566),1)="-"),999),"E+","E"),"E-","E"))=LEN(SUBSTITUTE(SUBSTITUTE(SUBSTITUTE(SUBSTITUTE(MID(UPPER($EI566),1+OR(LEFT(UPPER($EI566),1)="+",LEFT(UPPER($EI566),1)="-"),999),"E+","E"),"E-","E"),"+",""),"-","")),LEN(UPPER($EI566))-LEN(SUBSTITUTE(UPPER($EI566),"E",""))&lt;2,LEN(UPPER($EI566))-LEN(SUBSTITUTE(UPPER($EI566),".",""))&lt;2,IFERROR(FIND(".",UPPER($EI566)),0)&lt;IFERROR(FIND("E",UPPER($EI566)),999)),ISNUMBER(VALUE($EI566)))),1,2)))</f>
        <v/>
      </c>
      <c r="EK566">
        <f>IF($DM566=0,"",IF($EJ566=1,IF(ISNUMBER($EI566),$EI566,VALUE($EI566)),IF($EJ566=2,$DE566,0)))</f>
        <v/>
      </c>
      <c r="EL566">
        <f>IF($DM566=0,"",COUNTIF($EG$5:$EG$1003,"&lt;"&amp;$EG566)+SUMPRODUCT(($EG$5:$EG$1003=$EG566)*(($EJ$5:$EJ$1003&lt;$EJ566)+($EJ$5:$EJ$1003=$EJ566)*(($EK$5:$EK$1003&lt;$EK566)+($EK$5:$EK$1003=$EK566)*($DE$5:$DE$1003&lt;$DE566))))+1)</f>
        <v/>
      </c>
      <c r="EM566">
        <f>IF($DM566=0,"",$EL566+$EG566-1)</f>
        <v/>
      </c>
      <c r="EN566">
        <f>IF($DM566=0,0,IFERROR(MATCH(1,INDEX(--(TRIM(SUBSTITUTE(SUBSTITUTE(SUBSTITUTE(SUBSTITUTE(LINES_NAME&amp;""," "," "),CHAR(9)," "),CHAR(10)," "),CHAR(13)," "))=$DH566),0),0),0))</f>
        <v/>
      </c>
      <c r="EO566">
        <f>IF($EN566=0,0,IF(OR(UPPER(TRIM(INDEX(LINES_SCHEDULED,$EN566)&amp;""))="YES",UPPER(TRIM(INDEX(LINES_SCHEDULED,$EN566)&amp;""))="Y",UPPER(TRIM(INDEX(LINES_SCHEDULED,$EN566)&amp;""))="X"),1,0))</f>
        <v/>
      </c>
      <c r="EP566">
        <f>IF($DM566=0,"",IF(COUNTIFS($EG$5:$EG$1003,$EG566,$EB$5:$EB$1003,"Ready")&gt;0,"READY",IF(COUNTIFS($EG$5:$EG$1003,$EG566,$EB$5:$EB$1003,"PM")&gt;0,"PM",IF(COUNTIFS($EG$5:$EG$1003,$EG566,$EB$5:$EB$1003,"OT")&gt;0,"OT",""))))</f>
        <v/>
      </c>
      <c r="EQ566">
        <f>IF($EN566=0,"",UPPER(TRIM(INDEX(LINES_STATUS,$EN566)&amp;"")))</f>
        <v/>
      </c>
      <c r="ER566">
        <f>IF($DM566=0,"",IF(OR($EQ566="READY",$EQ566="PM",$EQ566="OT"),$EQ566,$EP566))</f>
        <v/>
      </c>
      <c r="ES566">
        <f>IF($DM566=0,"",IF(AND($DV566&lt;&gt;"",UPPER($DV566)&lt;&gt;"N"),"allergen",IF(ISNUMBER(SEARCH("oil",$DQ566)),"oil",IF(OR(EXACT($DS566,"A662"),EXACT($DS566,"A624")),"bulk",""))))</f>
        <v/>
      </c>
      <c r="ET566">
        <f>IF($DM566=0,"",IF(OR($EA566="",$EA566=0),"",$EA566/100))</f>
        <v/>
      </c>
      <c r="EU566">
        <f>IF(OR($ET566="",$DY566=""),"",INT($DY566*(1-$ET566)+0.5))</f>
        <v/>
      </c>
      <c r="EW566" t="n">
        <v>562</v>
      </c>
      <c r="EX566">
        <f>IFERROR(MATCH($EW566,$EM$5:$EM$1003,0),0)</f>
        <v/>
      </c>
      <c r="EY566">
        <f>IF($EW566&gt;$B$12,"",IF($EX566&gt;0,"row","spacer"))</f>
        <v/>
      </c>
      <c r="EZ566">
        <f>IF(AND($EY566="row",$EY565&lt;&gt;"row"),1,0)</f>
        <v/>
      </c>
      <c r="FA566">
        <f>IF(AND($EY566="row",$EY567&lt;&gt;"row"),1,0)</f>
        <v/>
      </c>
      <c r="FB566">
        <f>IF($EZ566=1,IFERROR(IF(ISNUMBER(INDEX(PASTE_ALL,INDEX($DF$5:$DF$1003,$EX566),$B$37)),INDEX(PASTE_ALL,INDEX($DF$5:$DF$1003,$EX566),$B$37),INDEX($DH$5:$DH$1003,$EX566)),INDEX($DH$5:$DH$1003,$EX566)),"")</f>
        <v/>
      </c>
      <c r="FC566">
        <f>IF($EY566="row",INDEX($ER$5:$ER$1003,$EX566),"")</f>
        <v/>
      </c>
      <c r="FD566">
        <f>IF($EY566="row",INDEX($DN$5:$DN$1003,$EX566),"")</f>
        <v/>
      </c>
      <c r="FE566">
        <f>IF($EY566="row",INDEX($DO$5:$DO$1003,$EX566),"")</f>
        <v/>
      </c>
      <c r="FF566">
        <f>IF($EY566="row",INDEX($DP$5:$DP$1003,$EX566),"")</f>
        <v/>
      </c>
      <c r="FG566">
        <f>IF($EY566="row",INDEX($DQ$5:$DQ$1003,$EX566),"")</f>
        <v/>
      </c>
      <c r="FH566">
        <f>IF($EY566="row",INDEX($DR$5:$DR$1003,$EX566),"")</f>
        <v/>
      </c>
      <c r="FI566">
        <f>IF($EY566="row",INDEX($DS$5:$DS$1003,$EX566),"")</f>
        <v/>
      </c>
      <c r="FJ566">
        <f>IF($EY566="row",INDEX($DT$5:$DT$1003,$EX566),"")</f>
        <v/>
      </c>
      <c r="FK566">
        <f>IF($EY566="row",INDEX($DU$5:$DU$1003,$EX566),"")</f>
        <v/>
      </c>
      <c r="FL566">
        <f>IF($EY566="row",INDEX($DV$5:$DV$1003,$EX566),"")</f>
        <v/>
      </c>
      <c r="FM566">
        <f>IF($EY566="row",INDEX($DW$5:$DW$1003,$EX566),"")</f>
        <v/>
      </c>
      <c r="FN566">
        <f>IF($EY566="row",INDEX($DY$5:$DY$1003,$EX566),"")</f>
        <v/>
      </c>
      <c r="FO566">
        <f>IF($EY566="row",INDEX($EA$5:$EA$1003,$EX566),"")</f>
        <v/>
      </c>
      <c r="FP566">
        <f>IF($EY566="row",INDEX($EC$5:$EC$1003,$EX566),"")</f>
        <v/>
      </c>
      <c r="FQ566">
        <f>IF($EY566="row",INDEX($ET$5:$ET$1003,$EX566),"")</f>
        <v/>
      </c>
      <c r="FR566">
        <f>IF($EY566="row",INDEX($EU$5:$EU$1003,$EX566),"")</f>
        <v/>
      </c>
      <c r="FS566">
        <f>IF(AND($EY566="row",$EY565="row"),IF(OR(INDEX($DT$5:$DT$1003,$EX565)="",INDEX($DT$5:$DT$1003,$EX566)=""),"",IF(NOT(EXACT(INDEX($DT$5:$DT$1003,$EX565),INDEX($DT$5:$DT$1003,$EX566))),"S4",IF(NOT(EXACT(INDEX($DS$5:$DS$1003,$EX565),INDEX($DS$5:$DS$1003,$EX566))),"S3",IF(NOT(EXACT(INDEX($DR$5:$DR$1003,$EX565),INDEX($DR$5:$DR$1003,$EX566))),"S1 Count Change","S1")))),"")</f>
        <v/>
      </c>
      <c r="FT566">
        <f>IF($EY566="row",INDEX($ES$5:$ES$1003,$EX566),"")</f>
        <v/>
      </c>
      <c r="FU566">
        <f>IF($EY566="row",INDEX($EO$5:$EO$1003,$EX566),0)</f>
        <v/>
      </c>
      <c r="FV566">
        <f>IF($FS566="S1 Count Change",1,0)</f>
        <v/>
      </c>
    </row>
    <row r="567">
      <c r="DA567" t="n">
        <v>563</v>
      </c>
      <c r="DB567">
        <f>IF($B$37=0,"",IFERROR(TRIM(SUBSTITUTE(SUBSTITUTE(SUBSTITUTE(SUBSTITUTE(INDEX(PASTE_ALL,563,$B$37)," "," "),CHAR(9)," "),CHAR(10)," "),CHAR(13)," ")),""))</f>
        <v/>
      </c>
      <c r="DC567">
        <f>IF(AND(563&gt;HEADER_ROW,UPPER(DB567)="LEGEND"),1,0)</f>
        <v/>
      </c>
      <c r="DE567" t="n">
        <v>563</v>
      </c>
      <c r="DF567">
        <f>HEADER_ROW+$DE567</f>
        <v/>
      </c>
      <c r="DG567">
        <f>IF(AND($DF567&lt;=1000,$DF567&lt;$B$8),1,0)</f>
        <v/>
      </c>
      <c r="DH567">
        <f>IF($DG567=1,IFERROR(INDEX($DB$5:$DB$1004,$DF567),""),"")</f>
        <v/>
      </c>
      <c r="DI567">
        <f>IF(AND($DG567=1,$DH567&lt;&gt;""),IFERROR(SUBSTITUTE(SUBSTITUTE(TRIM(SUBSTITUTE(SUBSTITUTE(SUBSTITUTE(SUBSTITUTE(IFERROR(INDEX(PASTE_ALL,$DF567,1)&amp;"","")&amp;"␟"&amp;IFERROR(INDEX(PASTE_ALL,$DF567,2)&amp;"","")&amp;"␟"&amp;IFERROR(INDEX(PASTE_ALL,$DF567,3)&amp;"","")&amp;"␟"&amp;IFERROR(INDEX(PASTE_ALL,$DF567,4)&amp;"","")&amp;"␟"&amp;IFERROR(INDEX(PASTE_ALL,$DF567,5)&amp;"","")&amp;"␟"&amp;IFERROR(INDEX(PASTE_ALL,$DF567,6)&amp;"","")&amp;"␟"&amp;IFERROR(INDEX(PASTE_ALL,$DF567,7)&amp;"","")&amp;"␟"&amp;IFERROR(INDEX(PASTE_ALL,$DF567,8)&amp;"","")&amp;"␟"&amp;IFERROR(INDEX(PASTE_ALL,$DF567,9)&amp;"","")&amp;"␟"&amp;IFERROR(INDEX(PASTE_ALL,$DF567,10)&amp;"","")&amp;"␟"&amp;IFERROR(INDEX(PASTE_ALL,$DF567,11)&amp;"","")&amp;"␟"&amp;IFERROR(INDEX(PASTE_ALL,$DF567,12)&amp;"","")&amp;"␟"&amp;IFERROR(INDEX(PASTE_ALL,$DF567,13)&amp;"","")&amp;"␟"&amp;IFERROR(INDEX(PASTE_ALL,$DF567,14)&amp;"","")&amp;"␟"&amp;IFERROR(INDEX(PASTE_ALL,$DF567,15)&amp;"","")&amp;"␟"&amp;IFERROR(INDEX(PASTE_ALL,$DF567,16)&amp;"","")&amp;"␟"&amp;IFERROR(INDEX(PASTE_ALL,$DF567,17)&amp;"","")&amp;"␟"&amp;IFERROR(INDEX(PASTE_ALL,$DF567,18)&amp;"","")&amp;"␟"&amp;IFERROR(INDEX(PASTE_ALL,$DF567,19)&amp;"","")&amp;"␟"&amp;IFERROR(INDEX(PASTE_ALL,$DF567,20)&amp;"","")&amp;"␟"&amp;IFERROR(INDEX(PASTE_ALL,$DF567,21)&amp;"","")&amp;"␟"&amp;IFERROR(INDEX(PASTE_ALL,$DF567,22)&amp;"","")&amp;"␟"&amp;IFERROR(INDEX(PASTE_ALL,$DF567,23)&amp;"","")&amp;"␟"&amp;IFERROR(INDEX(PASTE_ALL,$DF567,24)&amp;"","")&amp;"␟"&amp;IFERROR(INDEX(PASTE_ALL,$DF567,25)&amp;"","")&amp;"␟"&amp;IFERROR(INDEX(PASTE_ALL,$DF567,26)&amp;"","")&amp;"␟"&amp;IFERROR(INDEX(PASTE_ALL,$DF567,27)&amp;"","")&amp;"␟"&amp;IFERROR(INDEX(PASTE_ALL,$DF567,28)&amp;"","")&amp;"␟"&amp;IFERROR(INDEX(PASTE_ALL,$DF567,29)&amp;"","")&amp;"␟"&amp;IFERROR(INDEX(PASTE_ALL,$DF567,30)&amp;"","")&amp;"␟"&amp;IFERROR(INDEX(PASTE_ALL,$DF567,31)&amp;"","")&amp;"␟"&amp;IFERROR(INDEX(PASTE_ALL,$DF567,32)&amp;"","")&amp;"␟"&amp;IFERROR(INDEX(PASTE_ALL,$DF567,33)&amp;"","")&amp;"␟"&amp;IFERROR(INDEX(PASTE_ALL,$DF567,34)&amp;"","")&amp;"␟"&amp;IFERROR(INDEX(PASTE_ALL,$DF567,35)&amp;"","")&amp;"␟"&amp;IFERROR(INDEX(PASTE_ALL,$DF567,36)&amp;"","")&amp;"␟"&amp;IFERROR(INDEX(PASTE_ALL,$DF567,37)&amp;"","")&amp;"␟"&amp;IFERROR(INDEX(PASTE_ALL,$DF567,38)&amp;"","")&amp;"␟"&amp;IFERROR(INDEX(PASTE_ALL,$DF567,39)&amp;"","")&amp;"␟"&amp;IFERROR(INDEX(PASTE_ALL,$DF567,40)&amp;"","")&amp;"␟"&amp;IFERROR(INDEX(PASTE_ALL,$DF567,41)&amp;"","")&amp;"␟"&amp;IFERROR(INDEX(PASTE_ALL,$DF567,42)&amp;"","")&amp;"␟"&amp;IFERROR(INDEX(PASTE_ALL,$DF567,43)&amp;"","")&amp;"␟"&amp;IFERROR(INDEX(PASTE_ALL,$DF567,44)&amp;"","")&amp;"␟"&amp;IFERROR(INDEX(PASTE_ALL,$DF567,45)&amp;"","")&amp;"␟"&amp;IFERROR(INDEX(PASTE_ALL,$DF567,46)&amp;"","")&amp;"␟"&amp;IFERROR(INDEX(PASTE_ALL,$DF567,47)&amp;"","")&amp;"␟"&amp;IFERROR(INDEX(PASTE_ALL,$DF567,48)&amp;"","")&amp;"␟"&amp;IFERROR(INDEX(PASTE_ALL,$DF567,49)&amp;"","")&amp;"␟"&amp;IFERROR(INDEX(PASTE_ALL,$DF567,50)&amp;"","")&amp;"␟"&amp;IFERROR(INDEX(PASTE_ALL,$DF567,51)&amp;"","")&amp;"␟"&amp;IFERROR(INDEX(PASTE_ALL,$DF567,52)&amp;"","")&amp;"␟"&amp;IFERROR(INDEX(PASTE_ALL,$DF567,53)&amp;"","")&amp;"␟"&amp;IFERROR(INDEX(PASTE_ALL,$DF567,54)&amp;"","")&amp;"␟"&amp;IFERROR(INDEX(PASTE_ALL,$DF567,55)&amp;"","")&amp;"␟"&amp;IFERROR(INDEX(PASTE_ALL,$DF567,56)&amp;"","")&amp;"␟"&amp;IFERROR(INDEX(PASTE_ALL,$DF567,57)&amp;"","")&amp;"␟"&amp;IFERROR(INDEX(PASTE_ALL,$DF567,58)&amp;"","")&amp;"␟"&amp;IFERROR(INDEX(PASTE_ALL,$DF567,59)&amp;"","")&amp;"␟"&amp;IFERROR(INDEX(PASTE_ALL,$DF567,60)&amp;"","")," "," "),CHAR(9)," "),CHAR(10)," "),CHAR(13)," "))," ␟","␟"),"␟ ","␟"),"#"&amp;$DE567),"")</f>
        <v/>
      </c>
      <c r="DJ567">
        <f>IF($DI567="",0,IF(SUMPRODUCT(--EXACT($DI$4:DI566,$DI567))&gt;0,1,0))</f>
        <v/>
      </c>
      <c r="DK567">
        <f>IF(AND($DI567&lt;&gt;"",$DJ567=0),1,0)</f>
        <v/>
      </c>
      <c r="DL567">
        <f>DL566+$DK567</f>
        <v/>
      </c>
      <c r="DM567">
        <f>IF(AND($DK567=1,$DL567&lt;=600),1,0)</f>
        <v/>
      </c>
      <c r="DN567">
        <f>IF($DM567=0,"",IF($L$6=0,"",IFERROR(IF(ISNUMBER(INDEX(PASTE_ALL,$DF567,$L$6)),INDEX(PASTE_ALL,$DF567,$L$6),TRIM(SUBSTITUTE(SUBSTITUTE(SUBSTITUTE(SUBSTITUTE(INDEX(PASTE_ALL,$DF567,$L$6)," "," "),CHAR(9)," "),CHAR(10)," "),CHAR(13)," "))),"")))</f>
        <v/>
      </c>
      <c r="DO567">
        <f>IF($DM567=0,"",IF($L$7=0,"",IFERROR(IF(ISNUMBER(INDEX(PASTE_ALL,$DF567,$L$7)),INDEX(PASTE_ALL,$DF567,$L$7),TRIM(SUBSTITUTE(SUBSTITUTE(SUBSTITUTE(SUBSTITUTE(INDEX(PASTE_ALL,$DF567,$L$7)," "," "),CHAR(9)," "),CHAR(10)," "),CHAR(13)," "))),"")))</f>
        <v/>
      </c>
      <c r="DP567">
        <f>IF($DM567=0,"",IF($L$8=0,"",IFERROR(IF(ISNUMBER(INDEX(PASTE_ALL,$DF567,$L$8)),INDEX(PASTE_ALL,$DF567,$L$8),TRIM(SUBSTITUTE(SUBSTITUTE(SUBSTITUTE(SUBSTITUTE(INDEX(PASTE_ALL,$DF567,$L$8)," "," "),CHAR(9)," "),CHAR(10)," "),CHAR(13)," "))),"")))</f>
        <v/>
      </c>
      <c r="DQ567">
        <f>IF($DM567=0,"",IF($L$9=0,"",IFERROR(IF(ISNUMBER(INDEX(PASTE_ALL,$DF567,$L$9)),INDEX(PASTE_ALL,$DF567,$L$9),TRIM(SUBSTITUTE(SUBSTITUTE(SUBSTITUTE(SUBSTITUTE(INDEX(PASTE_ALL,$DF567,$L$9)," "," "),CHAR(9)," "),CHAR(10)," "),CHAR(13)," "))),"")))</f>
        <v/>
      </c>
      <c r="DR567">
        <f>IF($DM567=0,"",IF($L$10=0,"",IFERROR(IF(ISNUMBER(INDEX(PASTE_ALL,$DF567,$L$10)),INDEX(PASTE_ALL,$DF567,$L$10),TRIM(SUBSTITUTE(SUBSTITUTE(SUBSTITUTE(SUBSTITUTE(INDEX(PASTE_ALL,$DF567,$L$10)," "," "),CHAR(9)," "),CHAR(10)," "),CHAR(13)," "))),"")))</f>
        <v/>
      </c>
      <c r="DS567">
        <f>IF($DM567=0,"",IF($L$11=0,"",IFERROR(IF(ISNUMBER(INDEX(PASTE_ALL,$DF567,$L$11)),INDEX(PASTE_ALL,$DF567,$L$11),TRIM(SUBSTITUTE(SUBSTITUTE(SUBSTITUTE(SUBSTITUTE(INDEX(PASTE_ALL,$DF567,$L$11)," "," "),CHAR(9)," "),CHAR(10)," "),CHAR(13)," "))),"")))</f>
        <v/>
      </c>
      <c r="DT567">
        <f>IF($DM567=0,"",IF($L$12=0,"",IFERROR(IF(ISNUMBER(INDEX(PASTE_ALL,$DF567,$L$12)),INDEX(PASTE_ALL,$DF567,$L$12),TRIM(SUBSTITUTE(SUBSTITUTE(SUBSTITUTE(SUBSTITUTE(INDEX(PASTE_ALL,$DF567,$L$12)," "," "),CHAR(9)," "),CHAR(10)," "),CHAR(13)," "))),"")))</f>
        <v/>
      </c>
      <c r="DU567">
        <f>IF($DM567=0,"",IF($L$13=0,"",IFERROR(IF(ISNUMBER(INDEX(PASTE_ALL,$DF567,$L$13)),INDEX(PASTE_ALL,$DF567,$L$13),TRIM(SUBSTITUTE(SUBSTITUTE(SUBSTITUTE(SUBSTITUTE(INDEX(PASTE_ALL,$DF567,$L$13)," "," "),CHAR(9)," "),CHAR(10)," "),CHAR(13)," "))),"")))</f>
        <v/>
      </c>
      <c r="DV567">
        <f>IF($DM567=0,"",IF($L$14=0,"",IFERROR(IF(ISNUMBER(INDEX(PASTE_ALL,$DF567,$L$14)),INDEX(PASTE_ALL,$DF567,$L$14),TRIM(SUBSTITUTE(SUBSTITUTE(SUBSTITUTE(SUBSTITUTE(INDEX(PASTE_ALL,$DF567,$L$14)," "," "),CHAR(9)," "),CHAR(10)," "),CHAR(13)," "))),"")))</f>
        <v/>
      </c>
      <c r="DW567">
        <f>IF($DM567=0,"",IF($L$15=0,"",IFERROR(IF(ISNUMBER(INDEX(PASTE_ALL,$DF567,$L$15)),INDEX(PASTE_ALL,$DF567,$L$15),IF(SUMPRODUCT(--ISNUMBER(FIND({"A","B","C","D","E","F","G","H","I","J","K","L","M","N","O","P","Q","R","S","T","U","V","W","X","Y","Z","0","1","2","3","4","5","6","7","8","9"},UPPER(TRIM(SUBSTITUTE(SUBSTITUTE(SUBSTITUTE(SUBSTITUTE(INDEX(PASTE_ALL,$DF567,$L$15)," "," "),CHAR(9)," "),CHAR(10)," "),CHAR(13)," "))))))&gt;0,TRIM(SUBSTITUTE(SUBSTITUTE(SUBSTITUTE(SUBSTITUTE(INDEX(PASTE_ALL,$DF567,$L$15)," "," "),CHAR(9)," "),CHAR(10)," "),CHAR(13)," ")),"")),"")))</f>
        <v/>
      </c>
      <c r="DX567">
        <f>IF($DM567=0,"",IF($L$16=0,"",IFERROR(IF(ISNUMBER(INDEX(PASTE_ALL,$DF567,$L$16)),INDEX(PASTE_ALL,$DF567,$L$16),SUBSTITUTE(SUBSTITUTE(TRIM(SUBSTITUTE(SUBSTITUTE(SUBSTITUTE(SUBSTITUTE(INDEX(PASTE_ALL,$DF567,$L$16)," "," "),CHAR(9)," "),CHAR(10)," "),CHAR(13)," ")),",",""),"%","")),"")))</f>
        <v/>
      </c>
      <c r="DY567">
        <f>IF($DM567=0,"",IFERROR(IF(ISNUMBER($DX567),$DX567,IF($DX567="","",IF(TRIM($DX567)="",0,IF(AND(AND(SUBSTITUTE(SUBSTITUTE(SUBSTITUTE(SUBSTITUTE(SUBSTITUTE(SUBSTITUTE(SUBSTITUTE(SUBSTITUTE(SUBSTITUTE(SUBSTITUTE(SUBSTITUTE(SUBSTITUTE(SUBSTITUTE(SUBSTITUTE(UPPER(TRIM($DX567)),"0",""),"1",""),"2",""),"3",""),"4",""),"5",""),"6",""),"7",""),"8",""),"9",""),".",""),"+",""),"-",""),"E","")="",LEN(SUBSTITUTE(SUBSTITUTE(MID(UPPER(TRIM($DX567)),1+OR(LEFT(UPPER(TRIM($DX567)),1)="+",LEFT(UPPER(TRIM($DX567)),1)="-"),999),"E+","E"),"E-","E"))=LEN(SUBSTITUTE(SUBSTITUTE(SUBSTITUTE(SUBSTITUTE(MID(UPPER(TRIM($DX567)),1+OR(LEFT(UPPER(TRIM($DX567)),1)="+",LEFT(UPPER(TRIM($DX567)),1)="-"),999),"E+","E"),"E-","E"),"+",""),"-","")),LEN(UPPER(TRIM($DX567)))-LEN(SUBSTITUTE(UPPER(TRIM($DX567)),"E",""))&lt;2,LEN(UPPER(TRIM($DX567)))-LEN(SUBSTITUTE(UPPER(TRIM($DX567)),".",""))&lt;2,IFERROR(FIND(".",UPPER(TRIM($DX567))),0)&lt;IFERROR(FIND("E",UPPER(TRIM($DX567))),999)),ISNUMBER(VALUE(TRIM($DX567)))),VALUE(TRIM($DX567)),"")))),""))</f>
        <v/>
      </c>
      <c r="DZ567">
        <f>IF($DM567=0,"",IF($L$17=0,"",IFERROR(IF(ISNUMBER(INDEX(PASTE_ALL,$DF567,$L$17)),INDEX(PASTE_ALL,$DF567,$L$17),SUBSTITUTE(SUBSTITUTE(TRIM(SUBSTITUTE(SUBSTITUTE(SUBSTITUTE(SUBSTITUTE(INDEX(PASTE_ALL,$DF567,$L$17)," "," "),CHAR(9)," "),CHAR(10)," "),CHAR(13)," ")),",",""),"%","")),"")))</f>
        <v/>
      </c>
      <c r="EA567">
        <f>IF($DM567=0,"",IFERROR(IF(ISNUMBER($DZ567),$DZ567,IF($DZ567="","",IF(TRIM($DZ567)="",0,IF(AND(AND(SUBSTITUTE(SUBSTITUTE(SUBSTITUTE(SUBSTITUTE(SUBSTITUTE(SUBSTITUTE(SUBSTITUTE(SUBSTITUTE(SUBSTITUTE(SUBSTITUTE(SUBSTITUTE(SUBSTITUTE(SUBSTITUTE(SUBSTITUTE(UPPER(TRIM($DZ567)),"0",""),"1",""),"2",""),"3",""),"4",""),"5",""),"6",""),"7",""),"8",""),"9",""),".",""),"+",""),"-",""),"E","")="",LEN(SUBSTITUTE(SUBSTITUTE(MID(UPPER(TRIM($DZ567)),1+OR(LEFT(UPPER(TRIM($DZ567)),1)="+",LEFT(UPPER(TRIM($DZ567)),1)="-"),999),"E+","E"),"E-","E"))=LEN(SUBSTITUTE(SUBSTITUTE(SUBSTITUTE(SUBSTITUTE(MID(UPPER(TRIM($DZ567)),1+OR(LEFT(UPPER(TRIM($DZ567)),1)="+",LEFT(UPPER(TRIM($DZ567)),1)="-"),999),"E+","E"),"E-","E"),"+",""),"-","")),LEN(UPPER(TRIM($DZ567)))-LEN(SUBSTITUTE(UPPER(TRIM($DZ567)),"E",""))&lt;2,LEN(UPPER(TRIM($DZ567)))-LEN(SUBSTITUTE(UPPER(TRIM($DZ567)),".",""))&lt;2,IFERROR(FIND(".",UPPER(TRIM($DZ567))),0)&lt;IFERROR(FIND("E",UPPER(TRIM($DZ567))),999)),ISNUMBER(VALUE(TRIM($DZ567)))),VALUE(TRIM($DZ567)),"")))),""))</f>
        <v/>
      </c>
      <c r="EB567">
        <f>IF($DM567=0,"",IF($L$18=0,"",IFERROR(IF(UPPER(TRIM(SUBSTITUTE(SUBSTITUTE(SUBSTITUTE(SUBSTITUTE(INDEX(PASTE_ALL,$DF567,$L$18)," "," "),CHAR(9)," "),CHAR(10)," "),CHAR(13)," ")))="READY","Ready",IF(UPPER(TRIM(SUBSTITUTE(SUBSTITUTE(SUBSTITUTE(SUBSTITUTE(INDEX(PASTE_ALL,$DF567,$L$18)," "," "),CHAR(9)," "),CHAR(10)," "),CHAR(13)," ")))="PM","PM",IF(OR(UPPER(TRIM(SUBSTITUTE(SUBSTITUTE(SUBSTITUTE(SUBSTITUTE(INDEX(PASTE_ALL,$DF567,$L$18)," "," "),CHAR(9)," "),CHAR(10)," "),CHAR(13)," ")))="OT",UPPER(TRIM(SUBSTITUTE(SUBSTITUTE(SUBSTITUTE(SUBSTITUTE(INDEX(PASTE_ALL,$DF567,$L$18)," "," "),CHAR(9)," "),CHAR(10)," "),CHAR(13)," ")))="OVERTIME",UPPER(TRIM(SUBSTITUTE(SUBSTITUTE(SUBSTITUTE(SUBSTITUTE(INDEX(PASTE_ALL,$DF567,$L$18)," "," "),CHAR(9)," "),CHAR(10)," "),CHAR(13)," ")))="TRIAL"),"OT",TRIM(SUBSTITUTE(SUBSTITUTE(SUBSTITUTE(SUBSTITUTE(INDEX(PASTE_ALL,$DF567,$L$18)," "," "),CHAR(9)," "),CHAR(10)," "),CHAR(13)," "))))),"")))</f>
        <v/>
      </c>
      <c r="EC567">
        <f>IF($DM567=0,"",IF($L$19=0,"",IFERROR(IF(ISNUMBER(INDEX(PASTE_ALL,$DF567,$L$19)),INDEX(PASTE_ALL,$DF567,$L$19),TRIM(SUBSTITUTE(SUBSTITUTE(SUBSTITUTE(SUBSTITUTE(INDEX(PASTE_ALL,$DF567,$L$19)," "," "),CHAR(9)," "),CHAR(10)," "),CHAR(13)," "))),"")))</f>
        <v/>
      </c>
      <c r="ED567">
        <f>IF($DM567=0,"",MATCH(1,INDEX(EXACT($DH$5:DH567,$DH567)*$DM$5:DM567,0),0))</f>
        <v/>
      </c>
      <c r="EE567">
        <f>IF($DM567=0,0,IF($ED567=$DE567,1,0))</f>
        <v/>
      </c>
      <c r="EF567">
        <f>EF566+$EE567</f>
        <v/>
      </c>
      <c r="EG567">
        <f>IF($DM567=0,"",INDEX($EF$5:$EF$1003,$ED567))</f>
        <v/>
      </c>
      <c r="EH567">
        <f>IF($DM567=0,"",IF($DO567&lt;&gt;"","",IFERROR(LOOKUP(2,1/(($EG$4:EG566=$EG567)*($DO$4:DO566&lt;&gt;"")),$DO$4:DO566),"")))</f>
        <v/>
      </c>
      <c r="EI567">
        <f>IF($DM567=0,"",IF($DO567&lt;&gt;"",$DO567,$EH567))</f>
        <v/>
      </c>
      <c r="EJ567">
        <f>IF($DM567=0,"",IF($EI567="",0,IF(OR(ISNUMBER($EI567),AND(AND(SUBSTITUTE(SUBSTITUTE(SUBSTITUTE(SUBSTITUTE(SUBSTITUTE(SUBSTITUTE(SUBSTITUTE(SUBSTITUTE(SUBSTITUTE(SUBSTITUTE(SUBSTITUTE(SUBSTITUTE(SUBSTITUTE(SUBSTITUTE(UPPER($EI567),"0",""),"1",""),"2",""),"3",""),"4",""),"5",""),"6",""),"7",""),"8",""),"9",""),".",""),"+",""),"-",""),"E","")="",LEN(SUBSTITUTE(SUBSTITUTE(MID(UPPER($EI567),1+OR(LEFT(UPPER($EI567),1)="+",LEFT(UPPER($EI567),1)="-"),999),"E+","E"),"E-","E"))=LEN(SUBSTITUTE(SUBSTITUTE(SUBSTITUTE(SUBSTITUTE(MID(UPPER($EI567),1+OR(LEFT(UPPER($EI567),1)="+",LEFT(UPPER($EI567),1)="-"),999),"E+","E"),"E-","E"),"+",""),"-","")),LEN(UPPER($EI567))-LEN(SUBSTITUTE(UPPER($EI567),"E",""))&lt;2,LEN(UPPER($EI567))-LEN(SUBSTITUTE(UPPER($EI567),".",""))&lt;2,IFERROR(FIND(".",UPPER($EI567)),0)&lt;IFERROR(FIND("E",UPPER($EI567)),999)),ISNUMBER(VALUE($EI567)))),1,2)))</f>
        <v/>
      </c>
      <c r="EK567">
        <f>IF($DM567=0,"",IF($EJ567=1,IF(ISNUMBER($EI567),$EI567,VALUE($EI567)),IF($EJ567=2,$DE567,0)))</f>
        <v/>
      </c>
      <c r="EL567">
        <f>IF($DM567=0,"",COUNTIF($EG$5:$EG$1003,"&lt;"&amp;$EG567)+SUMPRODUCT(($EG$5:$EG$1003=$EG567)*(($EJ$5:$EJ$1003&lt;$EJ567)+($EJ$5:$EJ$1003=$EJ567)*(($EK$5:$EK$1003&lt;$EK567)+($EK$5:$EK$1003=$EK567)*($DE$5:$DE$1003&lt;$DE567))))+1)</f>
        <v/>
      </c>
      <c r="EM567">
        <f>IF($DM567=0,"",$EL567+$EG567-1)</f>
        <v/>
      </c>
      <c r="EN567">
        <f>IF($DM567=0,0,IFERROR(MATCH(1,INDEX(--(TRIM(SUBSTITUTE(SUBSTITUTE(SUBSTITUTE(SUBSTITUTE(LINES_NAME&amp;""," "," "),CHAR(9)," "),CHAR(10)," "),CHAR(13)," "))=$DH567),0),0),0))</f>
        <v/>
      </c>
      <c r="EO567">
        <f>IF($EN567=0,0,IF(OR(UPPER(TRIM(INDEX(LINES_SCHEDULED,$EN567)&amp;""))="YES",UPPER(TRIM(INDEX(LINES_SCHEDULED,$EN567)&amp;""))="Y",UPPER(TRIM(INDEX(LINES_SCHEDULED,$EN567)&amp;""))="X"),1,0))</f>
        <v/>
      </c>
      <c r="EP567">
        <f>IF($DM567=0,"",IF(COUNTIFS($EG$5:$EG$1003,$EG567,$EB$5:$EB$1003,"Ready")&gt;0,"READY",IF(COUNTIFS($EG$5:$EG$1003,$EG567,$EB$5:$EB$1003,"PM")&gt;0,"PM",IF(COUNTIFS($EG$5:$EG$1003,$EG567,$EB$5:$EB$1003,"OT")&gt;0,"OT",""))))</f>
        <v/>
      </c>
      <c r="EQ567">
        <f>IF($EN567=0,"",UPPER(TRIM(INDEX(LINES_STATUS,$EN567)&amp;"")))</f>
        <v/>
      </c>
      <c r="ER567">
        <f>IF($DM567=0,"",IF(OR($EQ567="READY",$EQ567="PM",$EQ567="OT"),$EQ567,$EP567))</f>
        <v/>
      </c>
      <c r="ES567">
        <f>IF($DM567=0,"",IF(AND($DV567&lt;&gt;"",UPPER($DV567)&lt;&gt;"N"),"allergen",IF(ISNUMBER(SEARCH("oil",$DQ567)),"oil",IF(OR(EXACT($DS567,"A662"),EXACT($DS567,"A624")),"bulk",""))))</f>
        <v/>
      </c>
      <c r="ET567">
        <f>IF($DM567=0,"",IF(OR($EA567="",$EA567=0),"",$EA567/100))</f>
        <v/>
      </c>
      <c r="EU567">
        <f>IF(OR($ET567="",$DY567=""),"",INT($DY567*(1-$ET567)+0.5))</f>
        <v/>
      </c>
      <c r="EW567" t="n">
        <v>563</v>
      </c>
      <c r="EX567">
        <f>IFERROR(MATCH($EW567,$EM$5:$EM$1003,0),0)</f>
        <v/>
      </c>
      <c r="EY567">
        <f>IF($EW567&gt;$B$12,"",IF($EX567&gt;0,"row","spacer"))</f>
        <v/>
      </c>
      <c r="EZ567">
        <f>IF(AND($EY567="row",$EY566&lt;&gt;"row"),1,0)</f>
        <v/>
      </c>
      <c r="FA567">
        <f>IF(AND($EY567="row",$EY568&lt;&gt;"row"),1,0)</f>
        <v/>
      </c>
      <c r="FB567">
        <f>IF($EZ567=1,IFERROR(IF(ISNUMBER(INDEX(PASTE_ALL,INDEX($DF$5:$DF$1003,$EX567),$B$37)),INDEX(PASTE_ALL,INDEX($DF$5:$DF$1003,$EX567),$B$37),INDEX($DH$5:$DH$1003,$EX567)),INDEX($DH$5:$DH$1003,$EX567)),"")</f>
        <v/>
      </c>
      <c r="FC567">
        <f>IF($EY567="row",INDEX($ER$5:$ER$1003,$EX567),"")</f>
        <v/>
      </c>
      <c r="FD567">
        <f>IF($EY567="row",INDEX($DN$5:$DN$1003,$EX567),"")</f>
        <v/>
      </c>
      <c r="FE567">
        <f>IF($EY567="row",INDEX($DO$5:$DO$1003,$EX567),"")</f>
        <v/>
      </c>
      <c r="FF567">
        <f>IF($EY567="row",INDEX($DP$5:$DP$1003,$EX567),"")</f>
        <v/>
      </c>
      <c r="FG567">
        <f>IF($EY567="row",INDEX($DQ$5:$DQ$1003,$EX567),"")</f>
        <v/>
      </c>
      <c r="FH567">
        <f>IF($EY567="row",INDEX($DR$5:$DR$1003,$EX567),"")</f>
        <v/>
      </c>
      <c r="FI567">
        <f>IF($EY567="row",INDEX($DS$5:$DS$1003,$EX567),"")</f>
        <v/>
      </c>
      <c r="FJ567">
        <f>IF($EY567="row",INDEX($DT$5:$DT$1003,$EX567),"")</f>
        <v/>
      </c>
      <c r="FK567">
        <f>IF($EY567="row",INDEX($DU$5:$DU$1003,$EX567),"")</f>
        <v/>
      </c>
      <c r="FL567">
        <f>IF($EY567="row",INDEX($DV$5:$DV$1003,$EX567),"")</f>
        <v/>
      </c>
      <c r="FM567">
        <f>IF($EY567="row",INDEX($DW$5:$DW$1003,$EX567),"")</f>
        <v/>
      </c>
      <c r="FN567">
        <f>IF($EY567="row",INDEX($DY$5:$DY$1003,$EX567),"")</f>
        <v/>
      </c>
      <c r="FO567">
        <f>IF($EY567="row",INDEX($EA$5:$EA$1003,$EX567),"")</f>
        <v/>
      </c>
      <c r="FP567">
        <f>IF($EY567="row",INDEX($EC$5:$EC$1003,$EX567),"")</f>
        <v/>
      </c>
      <c r="FQ567">
        <f>IF($EY567="row",INDEX($ET$5:$ET$1003,$EX567),"")</f>
        <v/>
      </c>
      <c r="FR567">
        <f>IF($EY567="row",INDEX($EU$5:$EU$1003,$EX567),"")</f>
        <v/>
      </c>
      <c r="FS567">
        <f>IF(AND($EY567="row",$EY566="row"),IF(OR(INDEX($DT$5:$DT$1003,$EX566)="",INDEX($DT$5:$DT$1003,$EX567)=""),"",IF(NOT(EXACT(INDEX($DT$5:$DT$1003,$EX566),INDEX($DT$5:$DT$1003,$EX567))),"S4",IF(NOT(EXACT(INDEX($DS$5:$DS$1003,$EX566),INDEX($DS$5:$DS$1003,$EX567))),"S3",IF(NOT(EXACT(INDEX($DR$5:$DR$1003,$EX566),INDEX($DR$5:$DR$1003,$EX567))),"S1 Count Change","S1")))),"")</f>
        <v/>
      </c>
      <c r="FT567">
        <f>IF($EY567="row",INDEX($ES$5:$ES$1003,$EX567),"")</f>
        <v/>
      </c>
      <c r="FU567">
        <f>IF($EY567="row",INDEX($EO$5:$EO$1003,$EX567),0)</f>
        <v/>
      </c>
      <c r="FV567">
        <f>IF($FS567="S1 Count Change",1,0)</f>
        <v/>
      </c>
    </row>
    <row r="568">
      <c r="DA568" t="n">
        <v>564</v>
      </c>
      <c r="DB568">
        <f>IF($B$37=0,"",IFERROR(TRIM(SUBSTITUTE(SUBSTITUTE(SUBSTITUTE(SUBSTITUTE(INDEX(PASTE_ALL,564,$B$37)," "," "),CHAR(9)," "),CHAR(10)," "),CHAR(13)," ")),""))</f>
        <v/>
      </c>
      <c r="DC568">
        <f>IF(AND(564&gt;HEADER_ROW,UPPER(DB568)="LEGEND"),1,0)</f>
        <v/>
      </c>
      <c r="DE568" t="n">
        <v>564</v>
      </c>
      <c r="DF568">
        <f>HEADER_ROW+$DE568</f>
        <v/>
      </c>
      <c r="DG568">
        <f>IF(AND($DF568&lt;=1000,$DF568&lt;$B$8),1,0)</f>
        <v/>
      </c>
      <c r="DH568">
        <f>IF($DG568=1,IFERROR(INDEX($DB$5:$DB$1004,$DF568),""),"")</f>
        <v/>
      </c>
      <c r="DI568">
        <f>IF(AND($DG568=1,$DH568&lt;&gt;""),IFERROR(SUBSTITUTE(SUBSTITUTE(TRIM(SUBSTITUTE(SUBSTITUTE(SUBSTITUTE(SUBSTITUTE(IFERROR(INDEX(PASTE_ALL,$DF568,1)&amp;"","")&amp;"␟"&amp;IFERROR(INDEX(PASTE_ALL,$DF568,2)&amp;"","")&amp;"␟"&amp;IFERROR(INDEX(PASTE_ALL,$DF568,3)&amp;"","")&amp;"␟"&amp;IFERROR(INDEX(PASTE_ALL,$DF568,4)&amp;"","")&amp;"␟"&amp;IFERROR(INDEX(PASTE_ALL,$DF568,5)&amp;"","")&amp;"␟"&amp;IFERROR(INDEX(PASTE_ALL,$DF568,6)&amp;"","")&amp;"␟"&amp;IFERROR(INDEX(PASTE_ALL,$DF568,7)&amp;"","")&amp;"␟"&amp;IFERROR(INDEX(PASTE_ALL,$DF568,8)&amp;"","")&amp;"␟"&amp;IFERROR(INDEX(PASTE_ALL,$DF568,9)&amp;"","")&amp;"␟"&amp;IFERROR(INDEX(PASTE_ALL,$DF568,10)&amp;"","")&amp;"␟"&amp;IFERROR(INDEX(PASTE_ALL,$DF568,11)&amp;"","")&amp;"␟"&amp;IFERROR(INDEX(PASTE_ALL,$DF568,12)&amp;"","")&amp;"␟"&amp;IFERROR(INDEX(PASTE_ALL,$DF568,13)&amp;"","")&amp;"␟"&amp;IFERROR(INDEX(PASTE_ALL,$DF568,14)&amp;"","")&amp;"␟"&amp;IFERROR(INDEX(PASTE_ALL,$DF568,15)&amp;"","")&amp;"␟"&amp;IFERROR(INDEX(PASTE_ALL,$DF568,16)&amp;"","")&amp;"␟"&amp;IFERROR(INDEX(PASTE_ALL,$DF568,17)&amp;"","")&amp;"␟"&amp;IFERROR(INDEX(PASTE_ALL,$DF568,18)&amp;"","")&amp;"␟"&amp;IFERROR(INDEX(PASTE_ALL,$DF568,19)&amp;"","")&amp;"␟"&amp;IFERROR(INDEX(PASTE_ALL,$DF568,20)&amp;"","")&amp;"␟"&amp;IFERROR(INDEX(PASTE_ALL,$DF568,21)&amp;"","")&amp;"␟"&amp;IFERROR(INDEX(PASTE_ALL,$DF568,22)&amp;"","")&amp;"␟"&amp;IFERROR(INDEX(PASTE_ALL,$DF568,23)&amp;"","")&amp;"␟"&amp;IFERROR(INDEX(PASTE_ALL,$DF568,24)&amp;"","")&amp;"␟"&amp;IFERROR(INDEX(PASTE_ALL,$DF568,25)&amp;"","")&amp;"␟"&amp;IFERROR(INDEX(PASTE_ALL,$DF568,26)&amp;"","")&amp;"␟"&amp;IFERROR(INDEX(PASTE_ALL,$DF568,27)&amp;"","")&amp;"␟"&amp;IFERROR(INDEX(PASTE_ALL,$DF568,28)&amp;"","")&amp;"␟"&amp;IFERROR(INDEX(PASTE_ALL,$DF568,29)&amp;"","")&amp;"␟"&amp;IFERROR(INDEX(PASTE_ALL,$DF568,30)&amp;"","")&amp;"␟"&amp;IFERROR(INDEX(PASTE_ALL,$DF568,31)&amp;"","")&amp;"␟"&amp;IFERROR(INDEX(PASTE_ALL,$DF568,32)&amp;"","")&amp;"␟"&amp;IFERROR(INDEX(PASTE_ALL,$DF568,33)&amp;"","")&amp;"␟"&amp;IFERROR(INDEX(PASTE_ALL,$DF568,34)&amp;"","")&amp;"␟"&amp;IFERROR(INDEX(PASTE_ALL,$DF568,35)&amp;"","")&amp;"␟"&amp;IFERROR(INDEX(PASTE_ALL,$DF568,36)&amp;"","")&amp;"␟"&amp;IFERROR(INDEX(PASTE_ALL,$DF568,37)&amp;"","")&amp;"␟"&amp;IFERROR(INDEX(PASTE_ALL,$DF568,38)&amp;"","")&amp;"␟"&amp;IFERROR(INDEX(PASTE_ALL,$DF568,39)&amp;"","")&amp;"␟"&amp;IFERROR(INDEX(PASTE_ALL,$DF568,40)&amp;"","")&amp;"␟"&amp;IFERROR(INDEX(PASTE_ALL,$DF568,41)&amp;"","")&amp;"␟"&amp;IFERROR(INDEX(PASTE_ALL,$DF568,42)&amp;"","")&amp;"␟"&amp;IFERROR(INDEX(PASTE_ALL,$DF568,43)&amp;"","")&amp;"␟"&amp;IFERROR(INDEX(PASTE_ALL,$DF568,44)&amp;"","")&amp;"␟"&amp;IFERROR(INDEX(PASTE_ALL,$DF568,45)&amp;"","")&amp;"␟"&amp;IFERROR(INDEX(PASTE_ALL,$DF568,46)&amp;"","")&amp;"␟"&amp;IFERROR(INDEX(PASTE_ALL,$DF568,47)&amp;"","")&amp;"␟"&amp;IFERROR(INDEX(PASTE_ALL,$DF568,48)&amp;"","")&amp;"␟"&amp;IFERROR(INDEX(PASTE_ALL,$DF568,49)&amp;"","")&amp;"␟"&amp;IFERROR(INDEX(PASTE_ALL,$DF568,50)&amp;"","")&amp;"␟"&amp;IFERROR(INDEX(PASTE_ALL,$DF568,51)&amp;"","")&amp;"␟"&amp;IFERROR(INDEX(PASTE_ALL,$DF568,52)&amp;"","")&amp;"␟"&amp;IFERROR(INDEX(PASTE_ALL,$DF568,53)&amp;"","")&amp;"␟"&amp;IFERROR(INDEX(PASTE_ALL,$DF568,54)&amp;"","")&amp;"␟"&amp;IFERROR(INDEX(PASTE_ALL,$DF568,55)&amp;"","")&amp;"␟"&amp;IFERROR(INDEX(PASTE_ALL,$DF568,56)&amp;"","")&amp;"␟"&amp;IFERROR(INDEX(PASTE_ALL,$DF568,57)&amp;"","")&amp;"␟"&amp;IFERROR(INDEX(PASTE_ALL,$DF568,58)&amp;"","")&amp;"␟"&amp;IFERROR(INDEX(PASTE_ALL,$DF568,59)&amp;"","")&amp;"␟"&amp;IFERROR(INDEX(PASTE_ALL,$DF568,60)&amp;"","")," "," "),CHAR(9)," "),CHAR(10)," "),CHAR(13)," "))," ␟","␟"),"␟ ","␟"),"#"&amp;$DE568),"")</f>
        <v/>
      </c>
      <c r="DJ568">
        <f>IF($DI568="",0,IF(SUMPRODUCT(--EXACT($DI$4:DI567,$DI568))&gt;0,1,0))</f>
        <v/>
      </c>
      <c r="DK568">
        <f>IF(AND($DI568&lt;&gt;"",$DJ568=0),1,0)</f>
        <v/>
      </c>
      <c r="DL568">
        <f>DL567+$DK568</f>
        <v/>
      </c>
      <c r="DM568">
        <f>IF(AND($DK568=1,$DL568&lt;=600),1,0)</f>
        <v/>
      </c>
      <c r="DN568">
        <f>IF($DM568=0,"",IF($L$6=0,"",IFERROR(IF(ISNUMBER(INDEX(PASTE_ALL,$DF568,$L$6)),INDEX(PASTE_ALL,$DF568,$L$6),TRIM(SUBSTITUTE(SUBSTITUTE(SUBSTITUTE(SUBSTITUTE(INDEX(PASTE_ALL,$DF568,$L$6)," "," "),CHAR(9)," "),CHAR(10)," "),CHAR(13)," "))),"")))</f>
        <v/>
      </c>
      <c r="DO568">
        <f>IF($DM568=0,"",IF($L$7=0,"",IFERROR(IF(ISNUMBER(INDEX(PASTE_ALL,$DF568,$L$7)),INDEX(PASTE_ALL,$DF568,$L$7),TRIM(SUBSTITUTE(SUBSTITUTE(SUBSTITUTE(SUBSTITUTE(INDEX(PASTE_ALL,$DF568,$L$7)," "," "),CHAR(9)," "),CHAR(10)," "),CHAR(13)," "))),"")))</f>
        <v/>
      </c>
      <c r="DP568">
        <f>IF($DM568=0,"",IF($L$8=0,"",IFERROR(IF(ISNUMBER(INDEX(PASTE_ALL,$DF568,$L$8)),INDEX(PASTE_ALL,$DF568,$L$8),TRIM(SUBSTITUTE(SUBSTITUTE(SUBSTITUTE(SUBSTITUTE(INDEX(PASTE_ALL,$DF568,$L$8)," "," "),CHAR(9)," "),CHAR(10)," "),CHAR(13)," "))),"")))</f>
        <v/>
      </c>
      <c r="DQ568">
        <f>IF($DM568=0,"",IF($L$9=0,"",IFERROR(IF(ISNUMBER(INDEX(PASTE_ALL,$DF568,$L$9)),INDEX(PASTE_ALL,$DF568,$L$9),TRIM(SUBSTITUTE(SUBSTITUTE(SUBSTITUTE(SUBSTITUTE(INDEX(PASTE_ALL,$DF568,$L$9)," "," "),CHAR(9)," "),CHAR(10)," "),CHAR(13)," "))),"")))</f>
        <v/>
      </c>
      <c r="DR568">
        <f>IF($DM568=0,"",IF($L$10=0,"",IFERROR(IF(ISNUMBER(INDEX(PASTE_ALL,$DF568,$L$10)),INDEX(PASTE_ALL,$DF568,$L$10),TRIM(SUBSTITUTE(SUBSTITUTE(SUBSTITUTE(SUBSTITUTE(INDEX(PASTE_ALL,$DF568,$L$10)," "," "),CHAR(9)," "),CHAR(10)," "),CHAR(13)," "))),"")))</f>
        <v/>
      </c>
      <c r="DS568">
        <f>IF($DM568=0,"",IF($L$11=0,"",IFERROR(IF(ISNUMBER(INDEX(PASTE_ALL,$DF568,$L$11)),INDEX(PASTE_ALL,$DF568,$L$11),TRIM(SUBSTITUTE(SUBSTITUTE(SUBSTITUTE(SUBSTITUTE(INDEX(PASTE_ALL,$DF568,$L$11)," "," "),CHAR(9)," "),CHAR(10)," "),CHAR(13)," "))),"")))</f>
        <v/>
      </c>
      <c r="DT568">
        <f>IF($DM568=0,"",IF($L$12=0,"",IFERROR(IF(ISNUMBER(INDEX(PASTE_ALL,$DF568,$L$12)),INDEX(PASTE_ALL,$DF568,$L$12),TRIM(SUBSTITUTE(SUBSTITUTE(SUBSTITUTE(SUBSTITUTE(INDEX(PASTE_ALL,$DF568,$L$12)," "," "),CHAR(9)," "),CHAR(10)," "),CHAR(13)," "))),"")))</f>
        <v/>
      </c>
      <c r="DU568">
        <f>IF($DM568=0,"",IF($L$13=0,"",IFERROR(IF(ISNUMBER(INDEX(PASTE_ALL,$DF568,$L$13)),INDEX(PASTE_ALL,$DF568,$L$13),TRIM(SUBSTITUTE(SUBSTITUTE(SUBSTITUTE(SUBSTITUTE(INDEX(PASTE_ALL,$DF568,$L$13)," "," "),CHAR(9)," "),CHAR(10)," "),CHAR(13)," "))),"")))</f>
        <v/>
      </c>
      <c r="DV568">
        <f>IF($DM568=0,"",IF($L$14=0,"",IFERROR(IF(ISNUMBER(INDEX(PASTE_ALL,$DF568,$L$14)),INDEX(PASTE_ALL,$DF568,$L$14),TRIM(SUBSTITUTE(SUBSTITUTE(SUBSTITUTE(SUBSTITUTE(INDEX(PASTE_ALL,$DF568,$L$14)," "," "),CHAR(9)," "),CHAR(10)," "),CHAR(13)," "))),"")))</f>
        <v/>
      </c>
      <c r="DW568">
        <f>IF($DM568=0,"",IF($L$15=0,"",IFERROR(IF(ISNUMBER(INDEX(PASTE_ALL,$DF568,$L$15)),INDEX(PASTE_ALL,$DF568,$L$15),IF(SUMPRODUCT(--ISNUMBER(FIND({"A","B","C","D","E","F","G","H","I","J","K","L","M","N","O","P","Q","R","S","T","U","V","W","X","Y","Z","0","1","2","3","4","5","6","7","8","9"},UPPER(TRIM(SUBSTITUTE(SUBSTITUTE(SUBSTITUTE(SUBSTITUTE(INDEX(PASTE_ALL,$DF568,$L$15)," "," "),CHAR(9)," "),CHAR(10)," "),CHAR(13)," "))))))&gt;0,TRIM(SUBSTITUTE(SUBSTITUTE(SUBSTITUTE(SUBSTITUTE(INDEX(PASTE_ALL,$DF568,$L$15)," "," "),CHAR(9)," "),CHAR(10)," "),CHAR(13)," ")),"")),"")))</f>
        <v/>
      </c>
      <c r="DX568">
        <f>IF($DM568=0,"",IF($L$16=0,"",IFERROR(IF(ISNUMBER(INDEX(PASTE_ALL,$DF568,$L$16)),INDEX(PASTE_ALL,$DF568,$L$16),SUBSTITUTE(SUBSTITUTE(TRIM(SUBSTITUTE(SUBSTITUTE(SUBSTITUTE(SUBSTITUTE(INDEX(PASTE_ALL,$DF568,$L$16)," "," "),CHAR(9)," "),CHAR(10)," "),CHAR(13)," ")),",",""),"%","")),"")))</f>
        <v/>
      </c>
      <c r="DY568">
        <f>IF($DM568=0,"",IFERROR(IF(ISNUMBER($DX568),$DX568,IF($DX568="","",IF(TRIM($DX568)="",0,IF(AND(AND(SUBSTITUTE(SUBSTITUTE(SUBSTITUTE(SUBSTITUTE(SUBSTITUTE(SUBSTITUTE(SUBSTITUTE(SUBSTITUTE(SUBSTITUTE(SUBSTITUTE(SUBSTITUTE(SUBSTITUTE(SUBSTITUTE(SUBSTITUTE(UPPER(TRIM($DX568)),"0",""),"1",""),"2",""),"3",""),"4",""),"5",""),"6",""),"7",""),"8",""),"9",""),".",""),"+",""),"-",""),"E","")="",LEN(SUBSTITUTE(SUBSTITUTE(MID(UPPER(TRIM($DX568)),1+OR(LEFT(UPPER(TRIM($DX568)),1)="+",LEFT(UPPER(TRIM($DX568)),1)="-"),999),"E+","E"),"E-","E"))=LEN(SUBSTITUTE(SUBSTITUTE(SUBSTITUTE(SUBSTITUTE(MID(UPPER(TRIM($DX568)),1+OR(LEFT(UPPER(TRIM($DX568)),1)="+",LEFT(UPPER(TRIM($DX568)),1)="-"),999),"E+","E"),"E-","E"),"+",""),"-","")),LEN(UPPER(TRIM($DX568)))-LEN(SUBSTITUTE(UPPER(TRIM($DX568)),"E",""))&lt;2,LEN(UPPER(TRIM($DX568)))-LEN(SUBSTITUTE(UPPER(TRIM($DX568)),".",""))&lt;2,IFERROR(FIND(".",UPPER(TRIM($DX568))),0)&lt;IFERROR(FIND("E",UPPER(TRIM($DX568))),999)),ISNUMBER(VALUE(TRIM($DX568)))),VALUE(TRIM($DX568)),"")))),""))</f>
        <v/>
      </c>
      <c r="DZ568">
        <f>IF($DM568=0,"",IF($L$17=0,"",IFERROR(IF(ISNUMBER(INDEX(PASTE_ALL,$DF568,$L$17)),INDEX(PASTE_ALL,$DF568,$L$17),SUBSTITUTE(SUBSTITUTE(TRIM(SUBSTITUTE(SUBSTITUTE(SUBSTITUTE(SUBSTITUTE(INDEX(PASTE_ALL,$DF568,$L$17)," "," "),CHAR(9)," "),CHAR(10)," "),CHAR(13)," ")),",",""),"%","")),"")))</f>
        <v/>
      </c>
      <c r="EA568">
        <f>IF($DM568=0,"",IFERROR(IF(ISNUMBER($DZ568),$DZ568,IF($DZ568="","",IF(TRIM($DZ568)="",0,IF(AND(AND(SUBSTITUTE(SUBSTITUTE(SUBSTITUTE(SUBSTITUTE(SUBSTITUTE(SUBSTITUTE(SUBSTITUTE(SUBSTITUTE(SUBSTITUTE(SUBSTITUTE(SUBSTITUTE(SUBSTITUTE(SUBSTITUTE(SUBSTITUTE(UPPER(TRIM($DZ568)),"0",""),"1",""),"2",""),"3",""),"4",""),"5",""),"6",""),"7",""),"8",""),"9",""),".",""),"+",""),"-",""),"E","")="",LEN(SUBSTITUTE(SUBSTITUTE(MID(UPPER(TRIM($DZ568)),1+OR(LEFT(UPPER(TRIM($DZ568)),1)="+",LEFT(UPPER(TRIM($DZ568)),1)="-"),999),"E+","E"),"E-","E"))=LEN(SUBSTITUTE(SUBSTITUTE(SUBSTITUTE(SUBSTITUTE(MID(UPPER(TRIM($DZ568)),1+OR(LEFT(UPPER(TRIM($DZ568)),1)="+",LEFT(UPPER(TRIM($DZ568)),1)="-"),999),"E+","E"),"E-","E"),"+",""),"-","")),LEN(UPPER(TRIM($DZ568)))-LEN(SUBSTITUTE(UPPER(TRIM($DZ568)),"E",""))&lt;2,LEN(UPPER(TRIM($DZ568)))-LEN(SUBSTITUTE(UPPER(TRIM($DZ568)),".",""))&lt;2,IFERROR(FIND(".",UPPER(TRIM($DZ568))),0)&lt;IFERROR(FIND("E",UPPER(TRIM($DZ568))),999)),ISNUMBER(VALUE(TRIM($DZ568)))),VALUE(TRIM($DZ568)),"")))),""))</f>
        <v/>
      </c>
      <c r="EB568">
        <f>IF($DM568=0,"",IF($L$18=0,"",IFERROR(IF(UPPER(TRIM(SUBSTITUTE(SUBSTITUTE(SUBSTITUTE(SUBSTITUTE(INDEX(PASTE_ALL,$DF568,$L$18)," "," "),CHAR(9)," "),CHAR(10)," "),CHAR(13)," ")))="READY","Ready",IF(UPPER(TRIM(SUBSTITUTE(SUBSTITUTE(SUBSTITUTE(SUBSTITUTE(INDEX(PASTE_ALL,$DF568,$L$18)," "," "),CHAR(9)," "),CHAR(10)," "),CHAR(13)," ")))="PM","PM",IF(OR(UPPER(TRIM(SUBSTITUTE(SUBSTITUTE(SUBSTITUTE(SUBSTITUTE(INDEX(PASTE_ALL,$DF568,$L$18)," "," "),CHAR(9)," "),CHAR(10)," "),CHAR(13)," ")))="OT",UPPER(TRIM(SUBSTITUTE(SUBSTITUTE(SUBSTITUTE(SUBSTITUTE(INDEX(PASTE_ALL,$DF568,$L$18)," "," "),CHAR(9)," "),CHAR(10)," "),CHAR(13)," ")))="OVERTIME",UPPER(TRIM(SUBSTITUTE(SUBSTITUTE(SUBSTITUTE(SUBSTITUTE(INDEX(PASTE_ALL,$DF568,$L$18)," "," "),CHAR(9)," "),CHAR(10)," "),CHAR(13)," ")))="TRIAL"),"OT",TRIM(SUBSTITUTE(SUBSTITUTE(SUBSTITUTE(SUBSTITUTE(INDEX(PASTE_ALL,$DF568,$L$18)," "," "),CHAR(9)," "),CHAR(10)," "),CHAR(13)," "))))),"")))</f>
        <v/>
      </c>
      <c r="EC568">
        <f>IF($DM568=0,"",IF($L$19=0,"",IFERROR(IF(ISNUMBER(INDEX(PASTE_ALL,$DF568,$L$19)),INDEX(PASTE_ALL,$DF568,$L$19),TRIM(SUBSTITUTE(SUBSTITUTE(SUBSTITUTE(SUBSTITUTE(INDEX(PASTE_ALL,$DF568,$L$19)," "," "),CHAR(9)," "),CHAR(10)," "),CHAR(13)," "))),"")))</f>
        <v/>
      </c>
      <c r="ED568">
        <f>IF($DM568=0,"",MATCH(1,INDEX(EXACT($DH$5:DH568,$DH568)*$DM$5:DM568,0),0))</f>
        <v/>
      </c>
      <c r="EE568">
        <f>IF($DM568=0,0,IF($ED568=$DE568,1,0))</f>
        <v/>
      </c>
      <c r="EF568">
        <f>EF567+$EE568</f>
        <v/>
      </c>
      <c r="EG568">
        <f>IF($DM568=0,"",INDEX($EF$5:$EF$1003,$ED568))</f>
        <v/>
      </c>
      <c r="EH568">
        <f>IF($DM568=0,"",IF($DO568&lt;&gt;"","",IFERROR(LOOKUP(2,1/(($EG$4:EG567=$EG568)*($DO$4:DO567&lt;&gt;"")),$DO$4:DO567),"")))</f>
        <v/>
      </c>
      <c r="EI568">
        <f>IF($DM568=0,"",IF($DO568&lt;&gt;"",$DO568,$EH568))</f>
        <v/>
      </c>
      <c r="EJ568">
        <f>IF($DM568=0,"",IF($EI568="",0,IF(OR(ISNUMBER($EI568),AND(AND(SUBSTITUTE(SUBSTITUTE(SUBSTITUTE(SUBSTITUTE(SUBSTITUTE(SUBSTITUTE(SUBSTITUTE(SUBSTITUTE(SUBSTITUTE(SUBSTITUTE(SUBSTITUTE(SUBSTITUTE(SUBSTITUTE(SUBSTITUTE(UPPER($EI568),"0",""),"1",""),"2",""),"3",""),"4",""),"5",""),"6",""),"7",""),"8",""),"9",""),".",""),"+",""),"-",""),"E","")="",LEN(SUBSTITUTE(SUBSTITUTE(MID(UPPER($EI568),1+OR(LEFT(UPPER($EI568),1)="+",LEFT(UPPER($EI568),1)="-"),999),"E+","E"),"E-","E"))=LEN(SUBSTITUTE(SUBSTITUTE(SUBSTITUTE(SUBSTITUTE(MID(UPPER($EI568),1+OR(LEFT(UPPER($EI568),1)="+",LEFT(UPPER($EI568),1)="-"),999),"E+","E"),"E-","E"),"+",""),"-","")),LEN(UPPER($EI568))-LEN(SUBSTITUTE(UPPER($EI568),"E",""))&lt;2,LEN(UPPER($EI568))-LEN(SUBSTITUTE(UPPER($EI568),".",""))&lt;2,IFERROR(FIND(".",UPPER($EI568)),0)&lt;IFERROR(FIND("E",UPPER($EI568)),999)),ISNUMBER(VALUE($EI568)))),1,2)))</f>
        <v/>
      </c>
      <c r="EK568">
        <f>IF($DM568=0,"",IF($EJ568=1,IF(ISNUMBER($EI568),$EI568,VALUE($EI568)),IF($EJ568=2,$DE568,0)))</f>
        <v/>
      </c>
      <c r="EL568">
        <f>IF($DM568=0,"",COUNTIF($EG$5:$EG$1003,"&lt;"&amp;$EG568)+SUMPRODUCT(($EG$5:$EG$1003=$EG568)*(($EJ$5:$EJ$1003&lt;$EJ568)+($EJ$5:$EJ$1003=$EJ568)*(($EK$5:$EK$1003&lt;$EK568)+($EK$5:$EK$1003=$EK568)*($DE$5:$DE$1003&lt;$DE568))))+1)</f>
        <v/>
      </c>
      <c r="EM568">
        <f>IF($DM568=0,"",$EL568+$EG568-1)</f>
        <v/>
      </c>
      <c r="EN568">
        <f>IF($DM568=0,0,IFERROR(MATCH(1,INDEX(--(TRIM(SUBSTITUTE(SUBSTITUTE(SUBSTITUTE(SUBSTITUTE(LINES_NAME&amp;""," "," "),CHAR(9)," "),CHAR(10)," "),CHAR(13)," "))=$DH568),0),0),0))</f>
        <v/>
      </c>
      <c r="EO568">
        <f>IF($EN568=0,0,IF(OR(UPPER(TRIM(INDEX(LINES_SCHEDULED,$EN568)&amp;""))="YES",UPPER(TRIM(INDEX(LINES_SCHEDULED,$EN568)&amp;""))="Y",UPPER(TRIM(INDEX(LINES_SCHEDULED,$EN568)&amp;""))="X"),1,0))</f>
        <v/>
      </c>
      <c r="EP568">
        <f>IF($DM568=0,"",IF(COUNTIFS($EG$5:$EG$1003,$EG568,$EB$5:$EB$1003,"Ready")&gt;0,"READY",IF(COUNTIFS($EG$5:$EG$1003,$EG568,$EB$5:$EB$1003,"PM")&gt;0,"PM",IF(COUNTIFS($EG$5:$EG$1003,$EG568,$EB$5:$EB$1003,"OT")&gt;0,"OT",""))))</f>
        <v/>
      </c>
      <c r="EQ568">
        <f>IF($EN568=0,"",UPPER(TRIM(INDEX(LINES_STATUS,$EN568)&amp;"")))</f>
        <v/>
      </c>
      <c r="ER568">
        <f>IF($DM568=0,"",IF(OR($EQ568="READY",$EQ568="PM",$EQ568="OT"),$EQ568,$EP568))</f>
        <v/>
      </c>
      <c r="ES568">
        <f>IF($DM568=0,"",IF(AND($DV568&lt;&gt;"",UPPER($DV568)&lt;&gt;"N"),"allergen",IF(ISNUMBER(SEARCH("oil",$DQ568)),"oil",IF(OR(EXACT($DS568,"A662"),EXACT($DS568,"A624")),"bulk",""))))</f>
        <v/>
      </c>
      <c r="ET568">
        <f>IF($DM568=0,"",IF(OR($EA568="",$EA568=0),"",$EA568/100))</f>
        <v/>
      </c>
      <c r="EU568">
        <f>IF(OR($ET568="",$DY568=""),"",INT($DY568*(1-$ET568)+0.5))</f>
        <v/>
      </c>
      <c r="EW568" t="n">
        <v>564</v>
      </c>
      <c r="EX568">
        <f>IFERROR(MATCH($EW568,$EM$5:$EM$1003,0),0)</f>
        <v/>
      </c>
      <c r="EY568">
        <f>IF($EW568&gt;$B$12,"",IF($EX568&gt;0,"row","spacer"))</f>
        <v/>
      </c>
      <c r="EZ568">
        <f>IF(AND($EY568="row",$EY567&lt;&gt;"row"),1,0)</f>
        <v/>
      </c>
      <c r="FA568">
        <f>IF(AND($EY568="row",$EY569&lt;&gt;"row"),1,0)</f>
        <v/>
      </c>
      <c r="FB568">
        <f>IF($EZ568=1,IFERROR(IF(ISNUMBER(INDEX(PASTE_ALL,INDEX($DF$5:$DF$1003,$EX568),$B$37)),INDEX(PASTE_ALL,INDEX($DF$5:$DF$1003,$EX568),$B$37),INDEX($DH$5:$DH$1003,$EX568)),INDEX($DH$5:$DH$1003,$EX568)),"")</f>
        <v/>
      </c>
      <c r="FC568">
        <f>IF($EY568="row",INDEX($ER$5:$ER$1003,$EX568),"")</f>
        <v/>
      </c>
      <c r="FD568">
        <f>IF($EY568="row",INDEX($DN$5:$DN$1003,$EX568),"")</f>
        <v/>
      </c>
      <c r="FE568">
        <f>IF($EY568="row",INDEX($DO$5:$DO$1003,$EX568),"")</f>
        <v/>
      </c>
      <c r="FF568">
        <f>IF($EY568="row",INDEX($DP$5:$DP$1003,$EX568),"")</f>
        <v/>
      </c>
      <c r="FG568">
        <f>IF($EY568="row",INDEX($DQ$5:$DQ$1003,$EX568),"")</f>
        <v/>
      </c>
      <c r="FH568">
        <f>IF($EY568="row",INDEX($DR$5:$DR$1003,$EX568),"")</f>
        <v/>
      </c>
      <c r="FI568">
        <f>IF($EY568="row",INDEX($DS$5:$DS$1003,$EX568),"")</f>
        <v/>
      </c>
      <c r="FJ568">
        <f>IF($EY568="row",INDEX($DT$5:$DT$1003,$EX568),"")</f>
        <v/>
      </c>
      <c r="FK568">
        <f>IF($EY568="row",INDEX($DU$5:$DU$1003,$EX568),"")</f>
        <v/>
      </c>
      <c r="FL568">
        <f>IF($EY568="row",INDEX($DV$5:$DV$1003,$EX568),"")</f>
        <v/>
      </c>
      <c r="FM568">
        <f>IF($EY568="row",INDEX($DW$5:$DW$1003,$EX568),"")</f>
        <v/>
      </c>
      <c r="FN568">
        <f>IF($EY568="row",INDEX($DY$5:$DY$1003,$EX568),"")</f>
        <v/>
      </c>
      <c r="FO568">
        <f>IF($EY568="row",INDEX($EA$5:$EA$1003,$EX568),"")</f>
        <v/>
      </c>
      <c r="FP568">
        <f>IF($EY568="row",INDEX($EC$5:$EC$1003,$EX568),"")</f>
        <v/>
      </c>
      <c r="FQ568">
        <f>IF($EY568="row",INDEX($ET$5:$ET$1003,$EX568),"")</f>
        <v/>
      </c>
      <c r="FR568">
        <f>IF($EY568="row",INDEX($EU$5:$EU$1003,$EX568),"")</f>
        <v/>
      </c>
      <c r="FS568">
        <f>IF(AND($EY568="row",$EY567="row"),IF(OR(INDEX($DT$5:$DT$1003,$EX567)="",INDEX($DT$5:$DT$1003,$EX568)=""),"",IF(NOT(EXACT(INDEX($DT$5:$DT$1003,$EX567),INDEX($DT$5:$DT$1003,$EX568))),"S4",IF(NOT(EXACT(INDEX($DS$5:$DS$1003,$EX567),INDEX($DS$5:$DS$1003,$EX568))),"S3",IF(NOT(EXACT(INDEX($DR$5:$DR$1003,$EX567),INDEX($DR$5:$DR$1003,$EX568))),"S1 Count Change","S1")))),"")</f>
        <v/>
      </c>
      <c r="FT568">
        <f>IF($EY568="row",INDEX($ES$5:$ES$1003,$EX568),"")</f>
        <v/>
      </c>
      <c r="FU568">
        <f>IF($EY568="row",INDEX($EO$5:$EO$1003,$EX568),0)</f>
        <v/>
      </c>
      <c r="FV568">
        <f>IF($FS568="S1 Count Change",1,0)</f>
        <v/>
      </c>
    </row>
    <row r="569">
      <c r="DA569" t="n">
        <v>565</v>
      </c>
      <c r="DB569">
        <f>IF($B$37=0,"",IFERROR(TRIM(SUBSTITUTE(SUBSTITUTE(SUBSTITUTE(SUBSTITUTE(INDEX(PASTE_ALL,565,$B$37)," "," "),CHAR(9)," "),CHAR(10)," "),CHAR(13)," ")),""))</f>
        <v/>
      </c>
      <c r="DC569">
        <f>IF(AND(565&gt;HEADER_ROW,UPPER(DB569)="LEGEND"),1,0)</f>
        <v/>
      </c>
      <c r="DE569" t="n">
        <v>565</v>
      </c>
      <c r="DF569">
        <f>HEADER_ROW+$DE569</f>
        <v/>
      </c>
      <c r="DG569">
        <f>IF(AND($DF569&lt;=1000,$DF569&lt;$B$8),1,0)</f>
        <v/>
      </c>
      <c r="DH569">
        <f>IF($DG569=1,IFERROR(INDEX($DB$5:$DB$1004,$DF569),""),"")</f>
        <v/>
      </c>
      <c r="DI569">
        <f>IF(AND($DG569=1,$DH569&lt;&gt;""),IFERROR(SUBSTITUTE(SUBSTITUTE(TRIM(SUBSTITUTE(SUBSTITUTE(SUBSTITUTE(SUBSTITUTE(IFERROR(INDEX(PASTE_ALL,$DF569,1)&amp;"","")&amp;"␟"&amp;IFERROR(INDEX(PASTE_ALL,$DF569,2)&amp;"","")&amp;"␟"&amp;IFERROR(INDEX(PASTE_ALL,$DF569,3)&amp;"","")&amp;"␟"&amp;IFERROR(INDEX(PASTE_ALL,$DF569,4)&amp;"","")&amp;"␟"&amp;IFERROR(INDEX(PASTE_ALL,$DF569,5)&amp;"","")&amp;"␟"&amp;IFERROR(INDEX(PASTE_ALL,$DF569,6)&amp;"","")&amp;"␟"&amp;IFERROR(INDEX(PASTE_ALL,$DF569,7)&amp;"","")&amp;"␟"&amp;IFERROR(INDEX(PASTE_ALL,$DF569,8)&amp;"","")&amp;"␟"&amp;IFERROR(INDEX(PASTE_ALL,$DF569,9)&amp;"","")&amp;"␟"&amp;IFERROR(INDEX(PASTE_ALL,$DF569,10)&amp;"","")&amp;"␟"&amp;IFERROR(INDEX(PASTE_ALL,$DF569,11)&amp;"","")&amp;"␟"&amp;IFERROR(INDEX(PASTE_ALL,$DF569,12)&amp;"","")&amp;"␟"&amp;IFERROR(INDEX(PASTE_ALL,$DF569,13)&amp;"","")&amp;"␟"&amp;IFERROR(INDEX(PASTE_ALL,$DF569,14)&amp;"","")&amp;"␟"&amp;IFERROR(INDEX(PASTE_ALL,$DF569,15)&amp;"","")&amp;"␟"&amp;IFERROR(INDEX(PASTE_ALL,$DF569,16)&amp;"","")&amp;"␟"&amp;IFERROR(INDEX(PASTE_ALL,$DF569,17)&amp;"","")&amp;"␟"&amp;IFERROR(INDEX(PASTE_ALL,$DF569,18)&amp;"","")&amp;"␟"&amp;IFERROR(INDEX(PASTE_ALL,$DF569,19)&amp;"","")&amp;"␟"&amp;IFERROR(INDEX(PASTE_ALL,$DF569,20)&amp;"","")&amp;"␟"&amp;IFERROR(INDEX(PASTE_ALL,$DF569,21)&amp;"","")&amp;"␟"&amp;IFERROR(INDEX(PASTE_ALL,$DF569,22)&amp;"","")&amp;"␟"&amp;IFERROR(INDEX(PASTE_ALL,$DF569,23)&amp;"","")&amp;"␟"&amp;IFERROR(INDEX(PASTE_ALL,$DF569,24)&amp;"","")&amp;"␟"&amp;IFERROR(INDEX(PASTE_ALL,$DF569,25)&amp;"","")&amp;"␟"&amp;IFERROR(INDEX(PASTE_ALL,$DF569,26)&amp;"","")&amp;"␟"&amp;IFERROR(INDEX(PASTE_ALL,$DF569,27)&amp;"","")&amp;"␟"&amp;IFERROR(INDEX(PASTE_ALL,$DF569,28)&amp;"","")&amp;"␟"&amp;IFERROR(INDEX(PASTE_ALL,$DF569,29)&amp;"","")&amp;"␟"&amp;IFERROR(INDEX(PASTE_ALL,$DF569,30)&amp;"","")&amp;"␟"&amp;IFERROR(INDEX(PASTE_ALL,$DF569,31)&amp;"","")&amp;"␟"&amp;IFERROR(INDEX(PASTE_ALL,$DF569,32)&amp;"","")&amp;"␟"&amp;IFERROR(INDEX(PASTE_ALL,$DF569,33)&amp;"","")&amp;"␟"&amp;IFERROR(INDEX(PASTE_ALL,$DF569,34)&amp;"","")&amp;"␟"&amp;IFERROR(INDEX(PASTE_ALL,$DF569,35)&amp;"","")&amp;"␟"&amp;IFERROR(INDEX(PASTE_ALL,$DF569,36)&amp;"","")&amp;"␟"&amp;IFERROR(INDEX(PASTE_ALL,$DF569,37)&amp;"","")&amp;"␟"&amp;IFERROR(INDEX(PASTE_ALL,$DF569,38)&amp;"","")&amp;"␟"&amp;IFERROR(INDEX(PASTE_ALL,$DF569,39)&amp;"","")&amp;"␟"&amp;IFERROR(INDEX(PASTE_ALL,$DF569,40)&amp;"","")&amp;"␟"&amp;IFERROR(INDEX(PASTE_ALL,$DF569,41)&amp;"","")&amp;"␟"&amp;IFERROR(INDEX(PASTE_ALL,$DF569,42)&amp;"","")&amp;"␟"&amp;IFERROR(INDEX(PASTE_ALL,$DF569,43)&amp;"","")&amp;"␟"&amp;IFERROR(INDEX(PASTE_ALL,$DF569,44)&amp;"","")&amp;"␟"&amp;IFERROR(INDEX(PASTE_ALL,$DF569,45)&amp;"","")&amp;"␟"&amp;IFERROR(INDEX(PASTE_ALL,$DF569,46)&amp;"","")&amp;"␟"&amp;IFERROR(INDEX(PASTE_ALL,$DF569,47)&amp;"","")&amp;"␟"&amp;IFERROR(INDEX(PASTE_ALL,$DF569,48)&amp;"","")&amp;"␟"&amp;IFERROR(INDEX(PASTE_ALL,$DF569,49)&amp;"","")&amp;"␟"&amp;IFERROR(INDEX(PASTE_ALL,$DF569,50)&amp;"","")&amp;"␟"&amp;IFERROR(INDEX(PASTE_ALL,$DF569,51)&amp;"","")&amp;"␟"&amp;IFERROR(INDEX(PASTE_ALL,$DF569,52)&amp;"","")&amp;"␟"&amp;IFERROR(INDEX(PASTE_ALL,$DF569,53)&amp;"","")&amp;"␟"&amp;IFERROR(INDEX(PASTE_ALL,$DF569,54)&amp;"","")&amp;"␟"&amp;IFERROR(INDEX(PASTE_ALL,$DF569,55)&amp;"","")&amp;"␟"&amp;IFERROR(INDEX(PASTE_ALL,$DF569,56)&amp;"","")&amp;"␟"&amp;IFERROR(INDEX(PASTE_ALL,$DF569,57)&amp;"","")&amp;"␟"&amp;IFERROR(INDEX(PASTE_ALL,$DF569,58)&amp;"","")&amp;"␟"&amp;IFERROR(INDEX(PASTE_ALL,$DF569,59)&amp;"","")&amp;"␟"&amp;IFERROR(INDEX(PASTE_ALL,$DF569,60)&amp;"","")," "," "),CHAR(9)," "),CHAR(10)," "),CHAR(13)," "))," ␟","␟"),"␟ ","␟"),"#"&amp;$DE569),"")</f>
        <v/>
      </c>
      <c r="DJ569">
        <f>IF($DI569="",0,IF(SUMPRODUCT(--EXACT($DI$4:DI568,$DI569))&gt;0,1,0))</f>
        <v/>
      </c>
      <c r="DK569">
        <f>IF(AND($DI569&lt;&gt;"",$DJ569=0),1,0)</f>
        <v/>
      </c>
      <c r="DL569">
        <f>DL568+$DK569</f>
        <v/>
      </c>
      <c r="DM569">
        <f>IF(AND($DK569=1,$DL569&lt;=600),1,0)</f>
        <v/>
      </c>
      <c r="DN569">
        <f>IF($DM569=0,"",IF($L$6=0,"",IFERROR(IF(ISNUMBER(INDEX(PASTE_ALL,$DF569,$L$6)),INDEX(PASTE_ALL,$DF569,$L$6),TRIM(SUBSTITUTE(SUBSTITUTE(SUBSTITUTE(SUBSTITUTE(INDEX(PASTE_ALL,$DF569,$L$6)," "," "),CHAR(9)," "),CHAR(10)," "),CHAR(13)," "))),"")))</f>
        <v/>
      </c>
      <c r="DO569">
        <f>IF($DM569=0,"",IF($L$7=0,"",IFERROR(IF(ISNUMBER(INDEX(PASTE_ALL,$DF569,$L$7)),INDEX(PASTE_ALL,$DF569,$L$7),TRIM(SUBSTITUTE(SUBSTITUTE(SUBSTITUTE(SUBSTITUTE(INDEX(PASTE_ALL,$DF569,$L$7)," "," "),CHAR(9)," "),CHAR(10)," "),CHAR(13)," "))),"")))</f>
        <v/>
      </c>
      <c r="DP569">
        <f>IF($DM569=0,"",IF($L$8=0,"",IFERROR(IF(ISNUMBER(INDEX(PASTE_ALL,$DF569,$L$8)),INDEX(PASTE_ALL,$DF569,$L$8),TRIM(SUBSTITUTE(SUBSTITUTE(SUBSTITUTE(SUBSTITUTE(INDEX(PASTE_ALL,$DF569,$L$8)," "," "),CHAR(9)," "),CHAR(10)," "),CHAR(13)," "))),"")))</f>
        <v/>
      </c>
      <c r="DQ569">
        <f>IF($DM569=0,"",IF($L$9=0,"",IFERROR(IF(ISNUMBER(INDEX(PASTE_ALL,$DF569,$L$9)),INDEX(PASTE_ALL,$DF569,$L$9),TRIM(SUBSTITUTE(SUBSTITUTE(SUBSTITUTE(SUBSTITUTE(INDEX(PASTE_ALL,$DF569,$L$9)," "," "),CHAR(9)," "),CHAR(10)," "),CHAR(13)," "))),"")))</f>
        <v/>
      </c>
      <c r="DR569">
        <f>IF($DM569=0,"",IF($L$10=0,"",IFERROR(IF(ISNUMBER(INDEX(PASTE_ALL,$DF569,$L$10)),INDEX(PASTE_ALL,$DF569,$L$10),TRIM(SUBSTITUTE(SUBSTITUTE(SUBSTITUTE(SUBSTITUTE(INDEX(PASTE_ALL,$DF569,$L$10)," "," "),CHAR(9)," "),CHAR(10)," "),CHAR(13)," "))),"")))</f>
        <v/>
      </c>
      <c r="DS569">
        <f>IF($DM569=0,"",IF($L$11=0,"",IFERROR(IF(ISNUMBER(INDEX(PASTE_ALL,$DF569,$L$11)),INDEX(PASTE_ALL,$DF569,$L$11),TRIM(SUBSTITUTE(SUBSTITUTE(SUBSTITUTE(SUBSTITUTE(INDEX(PASTE_ALL,$DF569,$L$11)," "," "),CHAR(9)," "),CHAR(10)," "),CHAR(13)," "))),"")))</f>
        <v/>
      </c>
      <c r="DT569">
        <f>IF($DM569=0,"",IF($L$12=0,"",IFERROR(IF(ISNUMBER(INDEX(PASTE_ALL,$DF569,$L$12)),INDEX(PASTE_ALL,$DF569,$L$12),TRIM(SUBSTITUTE(SUBSTITUTE(SUBSTITUTE(SUBSTITUTE(INDEX(PASTE_ALL,$DF569,$L$12)," "," "),CHAR(9)," "),CHAR(10)," "),CHAR(13)," "))),"")))</f>
        <v/>
      </c>
      <c r="DU569">
        <f>IF($DM569=0,"",IF($L$13=0,"",IFERROR(IF(ISNUMBER(INDEX(PASTE_ALL,$DF569,$L$13)),INDEX(PASTE_ALL,$DF569,$L$13),TRIM(SUBSTITUTE(SUBSTITUTE(SUBSTITUTE(SUBSTITUTE(INDEX(PASTE_ALL,$DF569,$L$13)," "," "),CHAR(9)," "),CHAR(10)," "),CHAR(13)," "))),"")))</f>
        <v/>
      </c>
      <c r="DV569">
        <f>IF($DM569=0,"",IF($L$14=0,"",IFERROR(IF(ISNUMBER(INDEX(PASTE_ALL,$DF569,$L$14)),INDEX(PASTE_ALL,$DF569,$L$14),TRIM(SUBSTITUTE(SUBSTITUTE(SUBSTITUTE(SUBSTITUTE(INDEX(PASTE_ALL,$DF569,$L$14)," "," "),CHAR(9)," "),CHAR(10)," "),CHAR(13)," "))),"")))</f>
        <v/>
      </c>
      <c r="DW569">
        <f>IF($DM569=0,"",IF($L$15=0,"",IFERROR(IF(ISNUMBER(INDEX(PASTE_ALL,$DF569,$L$15)),INDEX(PASTE_ALL,$DF569,$L$15),IF(SUMPRODUCT(--ISNUMBER(FIND({"A","B","C","D","E","F","G","H","I","J","K","L","M","N","O","P","Q","R","S","T","U","V","W","X","Y","Z","0","1","2","3","4","5","6","7","8","9"},UPPER(TRIM(SUBSTITUTE(SUBSTITUTE(SUBSTITUTE(SUBSTITUTE(INDEX(PASTE_ALL,$DF569,$L$15)," "," "),CHAR(9)," "),CHAR(10)," "),CHAR(13)," "))))))&gt;0,TRIM(SUBSTITUTE(SUBSTITUTE(SUBSTITUTE(SUBSTITUTE(INDEX(PASTE_ALL,$DF569,$L$15)," "," "),CHAR(9)," "),CHAR(10)," "),CHAR(13)," ")),"")),"")))</f>
        <v/>
      </c>
      <c r="DX569">
        <f>IF($DM569=0,"",IF($L$16=0,"",IFERROR(IF(ISNUMBER(INDEX(PASTE_ALL,$DF569,$L$16)),INDEX(PASTE_ALL,$DF569,$L$16),SUBSTITUTE(SUBSTITUTE(TRIM(SUBSTITUTE(SUBSTITUTE(SUBSTITUTE(SUBSTITUTE(INDEX(PASTE_ALL,$DF569,$L$16)," "," "),CHAR(9)," "),CHAR(10)," "),CHAR(13)," ")),",",""),"%","")),"")))</f>
        <v/>
      </c>
      <c r="DY569">
        <f>IF($DM569=0,"",IFERROR(IF(ISNUMBER($DX569),$DX569,IF($DX569="","",IF(TRIM($DX569)="",0,IF(AND(AND(SUBSTITUTE(SUBSTITUTE(SUBSTITUTE(SUBSTITUTE(SUBSTITUTE(SUBSTITUTE(SUBSTITUTE(SUBSTITUTE(SUBSTITUTE(SUBSTITUTE(SUBSTITUTE(SUBSTITUTE(SUBSTITUTE(SUBSTITUTE(UPPER(TRIM($DX569)),"0",""),"1",""),"2",""),"3",""),"4",""),"5",""),"6",""),"7",""),"8",""),"9",""),".",""),"+",""),"-",""),"E","")="",LEN(SUBSTITUTE(SUBSTITUTE(MID(UPPER(TRIM($DX569)),1+OR(LEFT(UPPER(TRIM($DX569)),1)="+",LEFT(UPPER(TRIM($DX569)),1)="-"),999),"E+","E"),"E-","E"))=LEN(SUBSTITUTE(SUBSTITUTE(SUBSTITUTE(SUBSTITUTE(MID(UPPER(TRIM($DX569)),1+OR(LEFT(UPPER(TRIM($DX569)),1)="+",LEFT(UPPER(TRIM($DX569)),1)="-"),999),"E+","E"),"E-","E"),"+",""),"-","")),LEN(UPPER(TRIM($DX569)))-LEN(SUBSTITUTE(UPPER(TRIM($DX569)),"E",""))&lt;2,LEN(UPPER(TRIM($DX569)))-LEN(SUBSTITUTE(UPPER(TRIM($DX569)),".",""))&lt;2,IFERROR(FIND(".",UPPER(TRIM($DX569))),0)&lt;IFERROR(FIND("E",UPPER(TRIM($DX569))),999)),ISNUMBER(VALUE(TRIM($DX569)))),VALUE(TRIM($DX569)),"")))),""))</f>
        <v/>
      </c>
      <c r="DZ569">
        <f>IF($DM569=0,"",IF($L$17=0,"",IFERROR(IF(ISNUMBER(INDEX(PASTE_ALL,$DF569,$L$17)),INDEX(PASTE_ALL,$DF569,$L$17),SUBSTITUTE(SUBSTITUTE(TRIM(SUBSTITUTE(SUBSTITUTE(SUBSTITUTE(SUBSTITUTE(INDEX(PASTE_ALL,$DF569,$L$17)," "," "),CHAR(9)," "),CHAR(10)," "),CHAR(13)," ")),",",""),"%","")),"")))</f>
        <v/>
      </c>
      <c r="EA569">
        <f>IF($DM569=0,"",IFERROR(IF(ISNUMBER($DZ569),$DZ569,IF($DZ569="","",IF(TRIM($DZ569)="",0,IF(AND(AND(SUBSTITUTE(SUBSTITUTE(SUBSTITUTE(SUBSTITUTE(SUBSTITUTE(SUBSTITUTE(SUBSTITUTE(SUBSTITUTE(SUBSTITUTE(SUBSTITUTE(SUBSTITUTE(SUBSTITUTE(SUBSTITUTE(SUBSTITUTE(UPPER(TRIM($DZ569)),"0",""),"1",""),"2",""),"3",""),"4",""),"5",""),"6",""),"7",""),"8",""),"9",""),".",""),"+",""),"-",""),"E","")="",LEN(SUBSTITUTE(SUBSTITUTE(MID(UPPER(TRIM($DZ569)),1+OR(LEFT(UPPER(TRIM($DZ569)),1)="+",LEFT(UPPER(TRIM($DZ569)),1)="-"),999),"E+","E"),"E-","E"))=LEN(SUBSTITUTE(SUBSTITUTE(SUBSTITUTE(SUBSTITUTE(MID(UPPER(TRIM($DZ569)),1+OR(LEFT(UPPER(TRIM($DZ569)),1)="+",LEFT(UPPER(TRIM($DZ569)),1)="-"),999),"E+","E"),"E-","E"),"+",""),"-","")),LEN(UPPER(TRIM($DZ569)))-LEN(SUBSTITUTE(UPPER(TRIM($DZ569)),"E",""))&lt;2,LEN(UPPER(TRIM($DZ569)))-LEN(SUBSTITUTE(UPPER(TRIM($DZ569)),".",""))&lt;2,IFERROR(FIND(".",UPPER(TRIM($DZ569))),0)&lt;IFERROR(FIND("E",UPPER(TRIM($DZ569))),999)),ISNUMBER(VALUE(TRIM($DZ569)))),VALUE(TRIM($DZ569)),"")))),""))</f>
        <v/>
      </c>
      <c r="EB569">
        <f>IF($DM569=0,"",IF($L$18=0,"",IFERROR(IF(UPPER(TRIM(SUBSTITUTE(SUBSTITUTE(SUBSTITUTE(SUBSTITUTE(INDEX(PASTE_ALL,$DF569,$L$18)," "," "),CHAR(9)," "),CHAR(10)," "),CHAR(13)," ")))="READY","Ready",IF(UPPER(TRIM(SUBSTITUTE(SUBSTITUTE(SUBSTITUTE(SUBSTITUTE(INDEX(PASTE_ALL,$DF569,$L$18)," "," "),CHAR(9)," "),CHAR(10)," "),CHAR(13)," ")))="PM","PM",IF(OR(UPPER(TRIM(SUBSTITUTE(SUBSTITUTE(SUBSTITUTE(SUBSTITUTE(INDEX(PASTE_ALL,$DF569,$L$18)," "," "),CHAR(9)," "),CHAR(10)," "),CHAR(13)," ")))="OT",UPPER(TRIM(SUBSTITUTE(SUBSTITUTE(SUBSTITUTE(SUBSTITUTE(INDEX(PASTE_ALL,$DF569,$L$18)," "," "),CHAR(9)," "),CHAR(10)," "),CHAR(13)," ")))="OVERTIME",UPPER(TRIM(SUBSTITUTE(SUBSTITUTE(SUBSTITUTE(SUBSTITUTE(INDEX(PASTE_ALL,$DF569,$L$18)," "," "),CHAR(9)," "),CHAR(10)," "),CHAR(13)," ")))="TRIAL"),"OT",TRIM(SUBSTITUTE(SUBSTITUTE(SUBSTITUTE(SUBSTITUTE(INDEX(PASTE_ALL,$DF569,$L$18)," "," "),CHAR(9)," "),CHAR(10)," "),CHAR(13)," "))))),"")))</f>
        <v/>
      </c>
      <c r="EC569">
        <f>IF($DM569=0,"",IF($L$19=0,"",IFERROR(IF(ISNUMBER(INDEX(PASTE_ALL,$DF569,$L$19)),INDEX(PASTE_ALL,$DF569,$L$19),TRIM(SUBSTITUTE(SUBSTITUTE(SUBSTITUTE(SUBSTITUTE(INDEX(PASTE_ALL,$DF569,$L$19)," "," "),CHAR(9)," "),CHAR(10)," "),CHAR(13)," "))),"")))</f>
        <v/>
      </c>
      <c r="ED569">
        <f>IF($DM569=0,"",MATCH(1,INDEX(EXACT($DH$5:DH569,$DH569)*$DM$5:DM569,0),0))</f>
        <v/>
      </c>
      <c r="EE569">
        <f>IF($DM569=0,0,IF($ED569=$DE569,1,0))</f>
        <v/>
      </c>
      <c r="EF569">
        <f>EF568+$EE569</f>
        <v/>
      </c>
      <c r="EG569">
        <f>IF($DM569=0,"",INDEX($EF$5:$EF$1003,$ED569))</f>
        <v/>
      </c>
      <c r="EH569">
        <f>IF($DM569=0,"",IF($DO569&lt;&gt;"","",IFERROR(LOOKUP(2,1/(($EG$4:EG568=$EG569)*($DO$4:DO568&lt;&gt;"")),$DO$4:DO568),"")))</f>
        <v/>
      </c>
      <c r="EI569">
        <f>IF($DM569=0,"",IF($DO569&lt;&gt;"",$DO569,$EH569))</f>
        <v/>
      </c>
      <c r="EJ569">
        <f>IF($DM569=0,"",IF($EI569="",0,IF(OR(ISNUMBER($EI569),AND(AND(SUBSTITUTE(SUBSTITUTE(SUBSTITUTE(SUBSTITUTE(SUBSTITUTE(SUBSTITUTE(SUBSTITUTE(SUBSTITUTE(SUBSTITUTE(SUBSTITUTE(SUBSTITUTE(SUBSTITUTE(SUBSTITUTE(SUBSTITUTE(UPPER($EI569),"0",""),"1",""),"2",""),"3",""),"4",""),"5",""),"6",""),"7",""),"8",""),"9",""),".",""),"+",""),"-",""),"E","")="",LEN(SUBSTITUTE(SUBSTITUTE(MID(UPPER($EI569),1+OR(LEFT(UPPER($EI569),1)="+",LEFT(UPPER($EI569),1)="-"),999),"E+","E"),"E-","E"))=LEN(SUBSTITUTE(SUBSTITUTE(SUBSTITUTE(SUBSTITUTE(MID(UPPER($EI569),1+OR(LEFT(UPPER($EI569),1)="+",LEFT(UPPER($EI569),1)="-"),999),"E+","E"),"E-","E"),"+",""),"-","")),LEN(UPPER($EI569))-LEN(SUBSTITUTE(UPPER($EI569),"E",""))&lt;2,LEN(UPPER($EI569))-LEN(SUBSTITUTE(UPPER($EI569),".",""))&lt;2,IFERROR(FIND(".",UPPER($EI569)),0)&lt;IFERROR(FIND("E",UPPER($EI569)),999)),ISNUMBER(VALUE($EI569)))),1,2)))</f>
        <v/>
      </c>
      <c r="EK569">
        <f>IF($DM569=0,"",IF($EJ569=1,IF(ISNUMBER($EI569),$EI569,VALUE($EI569)),IF($EJ569=2,$DE569,0)))</f>
        <v/>
      </c>
      <c r="EL569">
        <f>IF($DM569=0,"",COUNTIF($EG$5:$EG$1003,"&lt;"&amp;$EG569)+SUMPRODUCT(($EG$5:$EG$1003=$EG569)*(($EJ$5:$EJ$1003&lt;$EJ569)+($EJ$5:$EJ$1003=$EJ569)*(($EK$5:$EK$1003&lt;$EK569)+($EK$5:$EK$1003=$EK569)*($DE$5:$DE$1003&lt;$DE569))))+1)</f>
        <v/>
      </c>
      <c r="EM569">
        <f>IF($DM569=0,"",$EL569+$EG569-1)</f>
        <v/>
      </c>
      <c r="EN569">
        <f>IF($DM569=0,0,IFERROR(MATCH(1,INDEX(--(TRIM(SUBSTITUTE(SUBSTITUTE(SUBSTITUTE(SUBSTITUTE(LINES_NAME&amp;""," "," "),CHAR(9)," "),CHAR(10)," "),CHAR(13)," "))=$DH569),0),0),0))</f>
        <v/>
      </c>
      <c r="EO569">
        <f>IF($EN569=0,0,IF(OR(UPPER(TRIM(INDEX(LINES_SCHEDULED,$EN569)&amp;""))="YES",UPPER(TRIM(INDEX(LINES_SCHEDULED,$EN569)&amp;""))="Y",UPPER(TRIM(INDEX(LINES_SCHEDULED,$EN569)&amp;""))="X"),1,0))</f>
        <v/>
      </c>
      <c r="EP569">
        <f>IF($DM569=0,"",IF(COUNTIFS($EG$5:$EG$1003,$EG569,$EB$5:$EB$1003,"Ready")&gt;0,"READY",IF(COUNTIFS($EG$5:$EG$1003,$EG569,$EB$5:$EB$1003,"PM")&gt;0,"PM",IF(COUNTIFS($EG$5:$EG$1003,$EG569,$EB$5:$EB$1003,"OT")&gt;0,"OT",""))))</f>
        <v/>
      </c>
      <c r="EQ569">
        <f>IF($EN569=0,"",UPPER(TRIM(INDEX(LINES_STATUS,$EN569)&amp;"")))</f>
        <v/>
      </c>
      <c r="ER569">
        <f>IF($DM569=0,"",IF(OR($EQ569="READY",$EQ569="PM",$EQ569="OT"),$EQ569,$EP569))</f>
        <v/>
      </c>
      <c r="ES569">
        <f>IF($DM569=0,"",IF(AND($DV569&lt;&gt;"",UPPER($DV569)&lt;&gt;"N"),"allergen",IF(ISNUMBER(SEARCH("oil",$DQ569)),"oil",IF(OR(EXACT($DS569,"A662"),EXACT($DS569,"A624")),"bulk",""))))</f>
        <v/>
      </c>
      <c r="ET569">
        <f>IF($DM569=0,"",IF(OR($EA569="",$EA569=0),"",$EA569/100))</f>
        <v/>
      </c>
      <c r="EU569">
        <f>IF(OR($ET569="",$DY569=""),"",INT($DY569*(1-$ET569)+0.5))</f>
        <v/>
      </c>
      <c r="EW569" t="n">
        <v>565</v>
      </c>
      <c r="EX569">
        <f>IFERROR(MATCH($EW569,$EM$5:$EM$1003,0),0)</f>
        <v/>
      </c>
      <c r="EY569">
        <f>IF($EW569&gt;$B$12,"",IF($EX569&gt;0,"row","spacer"))</f>
        <v/>
      </c>
      <c r="EZ569">
        <f>IF(AND($EY569="row",$EY568&lt;&gt;"row"),1,0)</f>
        <v/>
      </c>
      <c r="FA569">
        <f>IF(AND($EY569="row",$EY570&lt;&gt;"row"),1,0)</f>
        <v/>
      </c>
      <c r="FB569">
        <f>IF($EZ569=1,IFERROR(IF(ISNUMBER(INDEX(PASTE_ALL,INDEX($DF$5:$DF$1003,$EX569),$B$37)),INDEX(PASTE_ALL,INDEX($DF$5:$DF$1003,$EX569),$B$37),INDEX($DH$5:$DH$1003,$EX569)),INDEX($DH$5:$DH$1003,$EX569)),"")</f>
        <v/>
      </c>
      <c r="FC569">
        <f>IF($EY569="row",INDEX($ER$5:$ER$1003,$EX569),"")</f>
        <v/>
      </c>
      <c r="FD569">
        <f>IF($EY569="row",INDEX($DN$5:$DN$1003,$EX569),"")</f>
        <v/>
      </c>
      <c r="FE569">
        <f>IF($EY569="row",INDEX($DO$5:$DO$1003,$EX569),"")</f>
        <v/>
      </c>
      <c r="FF569">
        <f>IF($EY569="row",INDEX($DP$5:$DP$1003,$EX569),"")</f>
        <v/>
      </c>
      <c r="FG569">
        <f>IF($EY569="row",INDEX($DQ$5:$DQ$1003,$EX569),"")</f>
        <v/>
      </c>
      <c r="FH569">
        <f>IF($EY569="row",INDEX($DR$5:$DR$1003,$EX569),"")</f>
        <v/>
      </c>
      <c r="FI569">
        <f>IF($EY569="row",INDEX($DS$5:$DS$1003,$EX569),"")</f>
        <v/>
      </c>
      <c r="FJ569">
        <f>IF($EY569="row",INDEX($DT$5:$DT$1003,$EX569),"")</f>
        <v/>
      </c>
      <c r="FK569">
        <f>IF($EY569="row",INDEX($DU$5:$DU$1003,$EX569),"")</f>
        <v/>
      </c>
      <c r="FL569">
        <f>IF($EY569="row",INDEX($DV$5:$DV$1003,$EX569),"")</f>
        <v/>
      </c>
      <c r="FM569">
        <f>IF($EY569="row",INDEX($DW$5:$DW$1003,$EX569),"")</f>
        <v/>
      </c>
      <c r="FN569">
        <f>IF($EY569="row",INDEX($DY$5:$DY$1003,$EX569),"")</f>
        <v/>
      </c>
      <c r="FO569">
        <f>IF($EY569="row",INDEX($EA$5:$EA$1003,$EX569),"")</f>
        <v/>
      </c>
      <c r="FP569">
        <f>IF($EY569="row",INDEX($EC$5:$EC$1003,$EX569),"")</f>
        <v/>
      </c>
      <c r="FQ569">
        <f>IF($EY569="row",INDEX($ET$5:$ET$1003,$EX569),"")</f>
        <v/>
      </c>
      <c r="FR569">
        <f>IF($EY569="row",INDEX($EU$5:$EU$1003,$EX569),"")</f>
        <v/>
      </c>
      <c r="FS569">
        <f>IF(AND($EY569="row",$EY568="row"),IF(OR(INDEX($DT$5:$DT$1003,$EX568)="",INDEX($DT$5:$DT$1003,$EX569)=""),"",IF(NOT(EXACT(INDEX($DT$5:$DT$1003,$EX568),INDEX($DT$5:$DT$1003,$EX569))),"S4",IF(NOT(EXACT(INDEX($DS$5:$DS$1003,$EX568),INDEX($DS$5:$DS$1003,$EX569))),"S3",IF(NOT(EXACT(INDEX($DR$5:$DR$1003,$EX568),INDEX($DR$5:$DR$1003,$EX569))),"S1 Count Change","S1")))),"")</f>
        <v/>
      </c>
      <c r="FT569">
        <f>IF($EY569="row",INDEX($ES$5:$ES$1003,$EX569),"")</f>
        <v/>
      </c>
      <c r="FU569">
        <f>IF($EY569="row",INDEX($EO$5:$EO$1003,$EX569),0)</f>
        <v/>
      </c>
      <c r="FV569">
        <f>IF($FS569="S1 Count Change",1,0)</f>
        <v/>
      </c>
    </row>
    <row r="570">
      <c r="DA570" t="n">
        <v>566</v>
      </c>
      <c r="DB570">
        <f>IF($B$37=0,"",IFERROR(TRIM(SUBSTITUTE(SUBSTITUTE(SUBSTITUTE(SUBSTITUTE(INDEX(PASTE_ALL,566,$B$37)," "," "),CHAR(9)," "),CHAR(10)," "),CHAR(13)," ")),""))</f>
        <v/>
      </c>
      <c r="DC570">
        <f>IF(AND(566&gt;HEADER_ROW,UPPER(DB570)="LEGEND"),1,0)</f>
        <v/>
      </c>
      <c r="DE570" t="n">
        <v>566</v>
      </c>
      <c r="DF570">
        <f>HEADER_ROW+$DE570</f>
        <v/>
      </c>
      <c r="DG570">
        <f>IF(AND($DF570&lt;=1000,$DF570&lt;$B$8),1,0)</f>
        <v/>
      </c>
      <c r="DH570">
        <f>IF($DG570=1,IFERROR(INDEX($DB$5:$DB$1004,$DF570),""),"")</f>
        <v/>
      </c>
      <c r="DI570">
        <f>IF(AND($DG570=1,$DH570&lt;&gt;""),IFERROR(SUBSTITUTE(SUBSTITUTE(TRIM(SUBSTITUTE(SUBSTITUTE(SUBSTITUTE(SUBSTITUTE(IFERROR(INDEX(PASTE_ALL,$DF570,1)&amp;"","")&amp;"␟"&amp;IFERROR(INDEX(PASTE_ALL,$DF570,2)&amp;"","")&amp;"␟"&amp;IFERROR(INDEX(PASTE_ALL,$DF570,3)&amp;"","")&amp;"␟"&amp;IFERROR(INDEX(PASTE_ALL,$DF570,4)&amp;"","")&amp;"␟"&amp;IFERROR(INDEX(PASTE_ALL,$DF570,5)&amp;"","")&amp;"␟"&amp;IFERROR(INDEX(PASTE_ALL,$DF570,6)&amp;"","")&amp;"␟"&amp;IFERROR(INDEX(PASTE_ALL,$DF570,7)&amp;"","")&amp;"␟"&amp;IFERROR(INDEX(PASTE_ALL,$DF570,8)&amp;"","")&amp;"␟"&amp;IFERROR(INDEX(PASTE_ALL,$DF570,9)&amp;"","")&amp;"␟"&amp;IFERROR(INDEX(PASTE_ALL,$DF570,10)&amp;"","")&amp;"␟"&amp;IFERROR(INDEX(PASTE_ALL,$DF570,11)&amp;"","")&amp;"␟"&amp;IFERROR(INDEX(PASTE_ALL,$DF570,12)&amp;"","")&amp;"␟"&amp;IFERROR(INDEX(PASTE_ALL,$DF570,13)&amp;"","")&amp;"␟"&amp;IFERROR(INDEX(PASTE_ALL,$DF570,14)&amp;"","")&amp;"␟"&amp;IFERROR(INDEX(PASTE_ALL,$DF570,15)&amp;"","")&amp;"␟"&amp;IFERROR(INDEX(PASTE_ALL,$DF570,16)&amp;"","")&amp;"␟"&amp;IFERROR(INDEX(PASTE_ALL,$DF570,17)&amp;"","")&amp;"␟"&amp;IFERROR(INDEX(PASTE_ALL,$DF570,18)&amp;"","")&amp;"␟"&amp;IFERROR(INDEX(PASTE_ALL,$DF570,19)&amp;"","")&amp;"␟"&amp;IFERROR(INDEX(PASTE_ALL,$DF570,20)&amp;"","")&amp;"␟"&amp;IFERROR(INDEX(PASTE_ALL,$DF570,21)&amp;"","")&amp;"␟"&amp;IFERROR(INDEX(PASTE_ALL,$DF570,22)&amp;"","")&amp;"␟"&amp;IFERROR(INDEX(PASTE_ALL,$DF570,23)&amp;"","")&amp;"␟"&amp;IFERROR(INDEX(PASTE_ALL,$DF570,24)&amp;"","")&amp;"␟"&amp;IFERROR(INDEX(PASTE_ALL,$DF570,25)&amp;"","")&amp;"␟"&amp;IFERROR(INDEX(PASTE_ALL,$DF570,26)&amp;"","")&amp;"␟"&amp;IFERROR(INDEX(PASTE_ALL,$DF570,27)&amp;"","")&amp;"␟"&amp;IFERROR(INDEX(PASTE_ALL,$DF570,28)&amp;"","")&amp;"␟"&amp;IFERROR(INDEX(PASTE_ALL,$DF570,29)&amp;"","")&amp;"␟"&amp;IFERROR(INDEX(PASTE_ALL,$DF570,30)&amp;"","")&amp;"␟"&amp;IFERROR(INDEX(PASTE_ALL,$DF570,31)&amp;"","")&amp;"␟"&amp;IFERROR(INDEX(PASTE_ALL,$DF570,32)&amp;"","")&amp;"␟"&amp;IFERROR(INDEX(PASTE_ALL,$DF570,33)&amp;"","")&amp;"␟"&amp;IFERROR(INDEX(PASTE_ALL,$DF570,34)&amp;"","")&amp;"␟"&amp;IFERROR(INDEX(PASTE_ALL,$DF570,35)&amp;"","")&amp;"␟"&amp;IFERROR(INDEX(PASTE_ALL,$DF570,36)&amp;"","")&amp;"␟"&amp;IFERROR(INDEX(PASTE_ALL,$DF570,37)&amp;"","")&amp;"␟"&amp;IFERROR(INDEX(PASTE_ALL,$DF570,38)&amp;"","")&amp;"␟"&amp;IFERROR(INDEX(PASTE_ALL,$DF570,39)&amp;"","")&amp;"␟"&amp;IFERROR(INDEX(PASTE_ALL,$DF570,40)&amp;"","")&amp;"␟"&amp;IFERROR(INDEX(PASTE_ALL,$DF570,41)&amp;"","")&amp;"␟"&amp;IFERROR(INDEX(PASTE_ALL,$DF570,42)&amp;"","")&amp;"␟"&amp;IFERROR(INDEX(PASTE_ALL,$DF570,43)&amp;"","")&amp;"␟"&amp;IFERROR(INDEX(PASTE_ALL,$DF570,44)&amp;"","")&amp;"␟"&amp;IFERROR(INDEX(PASTE_ALL,$DF570,45)&amp;"","")&amp;"␟"&amp;IFERROR(INDEX(PASTE_ALL,$DF570,46)&amp;"","")&amp;"␟"&amp;IFERROR(INDEX(PASTE_ALL,$DF570,47)&amp;"","")&amp;"␟"&amp;IFERROR(INDEX(PASTE_ALL,$DF570,48)&amp;"","")&amp;"␟"&amp;IFERROR(INDEX(PASTE_ALL,$DF570,49)&amp;"","")&amp;"␟"&amp;IFERROR(INDEX(PASTE_ALL,$DF570,50)&amp;"","")&amp;"␟"&amp;IFERROR(INDEX(PASTE_ALL,$DF570,51)&amp;"","")&amp;"␟"&amp;IFERROR(INDEX(PASTE_ALL,$DF570,52)&amp;"","")&amp;"␟"&amp;IFERROR(INDEX(PASTE_ALL,$DF570,53)&amp;"","")&amp;"␟"&amp;IFERROR(INDEX(PASTE_ALL,$DF570,54)&amp;"","")&amp;"␟"&amp;IFERROR(INDEX(PASTE_ALL,$DF570,55)&amp;"","")&amp;"␟"&amp;IFERROR(INDEX(PASTE_ALL,$DF570,56)&amp;"","")&amp;"␟"&amp;IFERROR(INDEX(PASTE_ALL,$DF570,57)&amp;"","")&amp;"␟"&amp;IFERROR(INDEX(PASTE_ALL,$DF570,58)&amp;"","")&amp;"␟"&amp;IFERROR(INDEX(PASTE_ALL,$DF570,59)&amp;"","")&amp;"␟"&amp;IFERROR(INDEX(PASTE_ALL,$DF570,60)&amp;"","")," "," "),CHAR(9)," "),CHAR(10)," "),CHAR(13)," "))," ␟","␟"),"␟ ","␟"),"#"&amp;$DE570),"")</f>
        <v/>
      </c>
      <c r="DJ570">
        <f>IF($DI570="",0,IF(SUMPRODUCT(--EXACT($DI$4:DI569,$DI570))&gt;0,1,0))</f>
        <v/>
      </c>
      <c r="DK570">
        <f>IF(AND($DI570&lt;&gt;"",$DJ570=0),1,0)</f>
        <v/>
      </c>
      <c r="DL570">
        <f>DL569+$DK570</f>
        <v/>
      </c>
      <c r="DM570">
        <f>IF(AND($DK570=1,$DL570&lt;=600),1,0)</f>
        <v/>
      </c>
      <c r="DN570">
        <f>IF($DM570=0,"",IF($L$6=0,"",IFERROR(IF(ISNUMBER(INDEX(PASTE_ALL,$DF570,$L$6)),INDEX(PASTE_ALL,$DF570,$L$6),TRIM(SUBSTITUTE(SUBSTITUTE(SUBSTITUTE(SUBSTITUTE(INDEX(PASTE_ALL,$DF570,$L$6)," "," "),CHAR(9)," "),CHAR(10)," "),CHAR(13)," "))),"")))</f>
        <v/>
      </c>
      <c r="DO570">
        <f>IF($DM570=0,"",IF($L$7=0,"",IFERROR(IF(ISNUMBER(INDEX(PASTE_ALL,$DF570,$L$7)),INDEX(PASTE_ALL,$DF570,$L$7),TRIM(SUBSTITUTE(SUBSTITUTE(SUBSTITUTE(SUBSTITUTE(INDEX(PASTE_ALL,$DF570,$L$7)," "," "),CHAR(9)," "),CHAR(10)," "),CHAR(13)," "))),"")))</f>
        <v/>
      </c>
      <c r="DP570">
        <f>IF($DM570=0,"",IF($L$8=0,"",IFERROR(IF(ISNUMBER(INDEX(PASTE_ALL,$DF570,$L$8)),INDEX(PASTE_ALL,$DF570,$L$8),TRIM(SUBSTITUTE(SUBSTITUTE(SUBSTITUTE(SUBSTITUTE(INDEX(PASTE_ALL,$DF570,$L$8)," "," "),CHAR(9)," "),CHAR(10)," "),CHAR(13)," "))),"")))</f>
        <v/>
      </c>
      <c r="DQ570">
        <f>IF($DM570=0,"",IF($L$9=0,"",IFERROR(IF(ISNUMBER(INDEX(PASTE_ALL,$DF570,$L$9)),INDEX(PASTE_ALL,$DF570,$L$9),TRIM(SUBSTITUTE(SUBSTITUTE(SUBSTITUTE(SUBSTITUTE(INDEX(PASTE_ALL,$DF570,$L$9)," "," "),CHAR(9)," "),CHAR(10)," "),CHAR(13)," "))),"")))</f>
        <v/>
      </c>
      <c r="DR570">
        <f>IF($DM570=0,"",IF($L$10=0,"",IFERROR(IF(ISNUMBER(INDEX(PASTE_ALL,$DF570,$L$10)),INDEX(PASTE_ALL,$DF570,$L$10),TRIM(SUBSTITUTE(SUBSTITUTE(SUBSTITUTE(SUBSTITUTE(INDEX(PASTE_ALL,$DF570,$L$10)," "," "),CHAR(9)," "),CHAR(10)," "),CHAR(13)," "))),"")))</f>
        <v/>
      </c>
      <c r="DS570">
        <f>IF($DM570=0,"",IF($L$11=0,"",IFERROR(IF(ISNUMBER(INDEX(PASTE_ALL,$DF570,$L$11)),INDEX(PASTE_ALL,$DF570,$L$11),TRIM(SUBSTITUTE(SUBSTITUTE(SUBSTITUTE(SUBSTITUTE(INDEX(PASTE_ALL,$DF570,$L$11)," "," "),CHAR(9)," "),CHAR(10)," "),CHAR(13)," "))),"")))</f>
        <v/>
      </c>
      <c r="DT570">
        <f>IF($DM570=0,"",IF($L$12=0,"",IFERROR(IF(ISNUMBER(INDEX(PASTE_ALL,$DF570,$L$12)),INDEX(PASTE_ALL,$DF570,$L$12),TRIM(SUBSTITUTE(SUBSTITUTE(SUBSTITUTE(SUBSTITUTE(INDEX(PASTE_ALL,$DF570,$L$12)," "," "),CHAR(9)," "),CHAR(10)," "),CHAR(13)," "))),"")))</f>
        <v/>
      </c>
      <c r="DU570">
        <f>IF($DM570=0,"",IF($L$13=0,"",IFERROR(IF(ISNUMBER(INDEX(PASTE_ALL,$DF570,$L$13)),INDEX(PASTE_ALL,$DF570,$L$13),TRIM(SUBSTITUTE(SUBSTITUTE(SUBSTITUTE(SUBSTITUTE(INDEX(PASTE_ALL,$DF570,$L$13)," "," "),CHAR(9)," "),CHAR(10)," "),CHAR(13)," "))),"")))</f>
        <v/>
      </c>
      <c r="DV570">
        <f>IF($DM570=0,"",IF($L$14=0,"",IFERROR(IF(ISNUMBER(INDEX(PASTE_ALL,$DF570,$L$14)),INDEX(PASTE_ALL,$DF570,$L$14),TRIM(SUBSTITUTE(SUBSTITUTE(SUBSTITUTE(SUBSTITUTE(INDEX(PASTE_ALL,$DF570,$L$14)," "," "),CHAR(9)," "),CHAR(10)," "),CHAR(13)," "))),"")))</f>
        <v/>
      </c>
      <c r="DW570">
        <f>IF($DM570=0,"",IF($L$15=0,"",IFERROR(IF(ISNUMBER(INDEX(PASTE_ALL,$DF570,$L$15)),INDEX(PASTE_ALL,$DF570,$L$15),IF(SUMPRODUCT(--ISNUMBER(FIND({"A","B","C","D","E","F","G","H","I","J","K","L","M","N","O","P","Q","R","S","T","U","V","W","X","Y","Z","0","1","2","3","4","5","6","7","8","9"},UPPER(TRIM(SUBSTITUTE(SUBSTITUTE(SUBSTITUTE(SUBSTITUTE(INDEX(PASTE_ALL,$DF570,$L$15)," "," "),CHAR(9)," "),CHAR(10)," "),CHAR(13)," "))))))&gt;0,TRIM(SUBSTITUTE(SUBSTITUTE(SUBSTITUTE(SUBSTITUTE(INDEX(PASTE_ALL,$DF570,$L$15)," "," "),CHAR(9)," "),CHAR(10)," "),CHAR(13)," ")),"")),"")))</f>
        <v/>
      </c>
      <c r="DX570">
        <f>IF($DM570=0,"",IF($L$16=0,"",IFERROR(IF(ISNUMBER(INDEX(PASTE_ALL,$DF570,$L$16)),INDEX(PASTE_ALL,$DF570,$L$16),SUBSTITUTE(SUBSTITUTE(TRIM(SUBSTITUTE(SUBSTITUTE(SUBSTITUTE(SUBSTITUTE(INDEX(PASTE_ALL,$DF570,$L$16)," "," "),CHAR(9)," "),CHAR(10)," "),CHAR(13)," ")),",",""),"%","")),"")))</f>
        <v/>
      </c>
      <c r="DY570">
        <f>IF($DM570=0,"",IFERROR(IF(ISNUMBER($DX570),$DX570,IF($DX570="","",IF(TRIM($DX570)="",0,IF(AND(AND(SUBSTITUTE(SUBSTITUTE(SUBSTITUTE(SUBSTITUTE(SUBSTITUTE(SUBSTITUTE(SUBSTITUTE(SUBSTITUTE(SUBSTITUTE(SUBSTITUTE(SUBSTITUTE(SUBSTITUTE(SUBSTITUTE(SUBSTITUTE(UPPER(TRIM($DX570)),"0",""),"1",""),"2",""),"3",""),"4",""),"5",""),"6",""),"7",""),"8",""),"9",""),".",""),"+",""),"-",""),"E","")="",LEN(SUBSTITUTE(SUBSTITUTE(MID(UPPER(TRIM($DX570)),1+OR(LEFT(UPPER(TRIM($DX570)),1)="+",LEFT(UPPER(TRIM($DX570)),1)="-"),999),"E+","E"),"E-","E"))=LEN(SUBSTITUTE(SUBSTITUTE(SUBSTITUTE(SUBSTITUTE(MID(UPPER(TRIM($DX570)),1+OR(LEFT(UPPER(TRIM($DX570)),1)="+",LEFT(UPPER(TRIM($DX570)),1)="-"),999),"E+","E"),"E-","E"),"+",""),"-","")),LEN(UPPER(TRIM($DX570)))-LEN(SUBSTITUTE(UPPER(TRIM($DX570)),"E",""))&lt;2,LEN(UPPER(TRIM($DX570)))-LEN(SUBSTITUTE(UPPER(TRIM($DX570)),".",""))&lt;2,IFERROR(FIND(".",UPPER(TRIM($DX570))),0)&lt;IFERROR(FIND("E",UPPER(TRIM($DX570))),999)),ISNUMBER(VALUE(TRIM($DX570)))),VALUE(TRIM($DX570)),"")))),""))</f>
        <v/>
      </c>
      <c r="DZ570">
        <f>IF($DM570=0,"",IF($L$17=0,"",IFERROR(IF(ISNUMBER(INDEX(PASTE_ALL,$DF570,$L$17)),INDEX(PASTE_ALL,$DF570,$L$17),SUBSTITUTE(SUBSTITUTE(TRIM(SUBSTITUTE(SUBSTITUTE(SUBSTITUTE(SUBSTITUTE(INDEX(PASTE_ALL,$DF570,$L$17)," "," "),CHAR(9)," "),CHAR(10)," "),CHAR(13)," ")),",",""),"%","")),"")))</f>
        <v/>
      </c>
      <c r="EA570">
        <f>IF($DM570=0,"",IFERROR(IF(ISNUMBER($DZ570),$DZ570,IF($DZ570="","",IF(TRIM($DZ570)="",0,IF(AND(AND(SUBSTITUTE(SUBSTITUTE(SUBSTITUTE(SUBSTITUTE(SUBSTITUTE(SUBSTITUTE(SUBSTITUTE(SUBSTITUTE(SUBSTITUTE(SUBSTITUTE(SUBSTITUTE(SUBSTITUTE(SUBSTITUTE(SUBSTITUTE(UPPER(TRIM($DZ570)),"0",""),"1",""),"2",""),"3",""),"4",""),"5",""),"6",""),"7",""),"8",""),"9",""),".",""),"+",""),"-",""),"E","")="",LEN(SUBSTITUTE(SUBSTITUTE(MID(UPPER(TRIM($DZ570)),1+OR(LEFT(UPPER(TRIM($DZ570)),1)="+",LEFT(UPPER(TRIM($DZ570)),1)="-"),999),"E+","E"),"E-","E"))=LEN(SUBSTITUTE(SUBSTITUTE(SUBSTITUTE(SUBSTITUTE(MID(UPPER(TRIM($DZ570)),1+OR(LEFT(UPPER(TRIM($DZ570)),1)="+",LEFT(UPPER(TRIM($DZ570)),1)="-"),999),"E+","E"),"E-","E"),"+",""),"-","")),LEN(UPPER(TRIM($DZ570)))-LEN(SUBSTITUTE(UPPER(TRIM($DZ570)),"E",""))&lt;2,LEN(UPPER(TRIM($DZ570)))-LEN(SUBSTITUTE(UPPER(TRIM($DZ570)),".",""))&lt;2,IFERROR(FIND(".",UPPER(TRIM($DZ570))),0)&lt;IFERROR(FIND("E",UPPER(TRIM($DZ570))),999)),ISNUMBER(VALUE(TRIM($DZ570)))),VALUE(TRIM($DZ570)),"")))),""))</f>
        <v/>
      </c>
      <c r="EB570">
        <f>IF($DM570=0,"",IF($L$18=0,"",IFERROR(IF(UPPER(TRIM(SUBSTITUTE(SUBSTITUTE(SUBSTITUTE(SUBSTITUTE(INDEX(PASTE_ALL,$DF570,$L$18)," "," "),CHAR(9)," "),CHAR(10)," "),CHAR(13)," ")))="READY","Ready",IF(UPPER(TRIM(SUBSTITUTE(SUBSTITUTE(SUBSTITUTE(SUBSTITUTE(INDEX(PASTE_ALL,$DF570,$L$18)," "," "),CHAR(9)," "),CHAR(10)," "),CHAR(13)," ")))="PM","PM",IF(OR(UPPER(TRIM(SUBSTITUTE(SUBSTITUTE(SUBSTITUTE(SUBSTITUTE(INDEX(PASTE_ALL,$DF570,$L$18)," "," "),CHAR(9)," "),CHAR(10)," "),CHAR(13)," ")))="OT",UPPER(TRIM(SUBSTITUTE(SUBSTITUTE(SUBSTITUTE(SUBSTITUTE(INDEX(PASTE_ALL,$DF570,$L$18)," "," "),CHAR(9)," "),CHAR(10)," "),CHAR(13)," ")))="OVERTIME",UPPER(TRIM(SUBSTITUTE(SUBSTITUTE(SUBSTITUTE(SUBSTITUTE(INDEX(PASTE_ALL,$DF570,$L$18)," "," "),CHAR(9)," "),CHAR(10)," "),CHAR(13)," ")))="TRIAL"),"OT",TRIM(SUBSTITUTE(SUBSTITUTE(SUBSTITUTE(SUBSTITUTE(INDEX(PASTE_ALL,$DF570,$L$18)," "," "),CHAR(9)," "),CHAR(10)," "),CHAR(13)," "))))),"")))</f>
        <v/>
      </c>
      <c r="EC570">
        <f>IF($DM570=0,"",IF($L$19=0,"",IFERROR(IF(ISNUMBER(INDEX(PASTE_ALL,$DF570,$L$19)),INDEX(PASTE_ALL,$DF570,$L$19),TRIM(SUBSTITUTE(SUBSTITUTE(SUBSTITUTE(SUBSTITUTE(INDEX(PASTE_ALL,$DF570,$L$19)," "," "),CHAR(9)," "),CHAR(10)," "),CHAR(13)," "))),"")))</f>
        <v/>
      </c>
      <c r="ED570">
        <f>IF($DM570=0,"",MATCH(1,INDEX(EXACT($DH$5:DH570,$DH570)*$DM$5:DM570,0),0))</f>
        <v/>
      </c>
      <c r="EE570">
        <f>IF($DM570=0,0,IF($ED570=$DE570,1,0))</f>
        <v/>
      </c>
      <c r="EF570">
        <f>EF569+$EE570</f>
        <v/>
      </c>
      <c r="EG570">
        <f>IF($DM570=0,"",INDEX($EF$5:$EF$1003,$ED570))</f>
        <v/>
      </c>
      <c r="EH570">
        <f>IF($DM570=0,"",IF($DO570&lt;&gt;"","",IFERROR(LOOKUP(2,1/(($EG$4:EG569=$EG570)*($DO$4:DO569&lt;&gt;"")),$DO$4:DO569),"")))</f>
        <v/>
      </c>
      <c r="EI570">
        <f>IF($DM570=0,"",IF($DO570&lt;&gt;"",$DO570,$EH570))</f>
        <v/>
      </c>
      <c r="EJ570">
        <f>IF($DM570=0,"",IF($EI570="",0,IF(OR(ISNUMBER($EI570),AND(AND(SUBSTITUTE(SUBSTITUTE(SUBSTITUTE(SUBSTITUTE(SUBSTITUTE(SUBSTITUTE(SUBSTITUTE(SUBSTITUTE(SUBSTITUTE(SUBSTITUTE(SUBSTITUTE(SUBSTITUTE(SUBSTITUTE(SUBSTITUTE(UPPER($EI570),"0",""),"1",""),"2",""),"3",""),"4",""),"5",""),"6",""),"7",""),"8",""),"9",""),".",""),"+",""),"-",""),"E","")="",LEN(SUBSTITUTE(SUBSTITUTE(MID(UPPER($EI570),1+OR(LEFT(UPPER($EI570),1)="+",LEFT(UPPER($EI570),1)="-"),999),"E+","E"),"E-","E"))=LEN(SUBSTITUTE(SUBSTITUTE(SUBSTITUTE(SUBSTITUTE(MID(UPPER($EI570),1+OR(LEFT(UPPER($EI570),1)="+",LEFT(UPPER($EI570),1)="-"),999),"E+","E"),"E-","E"),"+",""),"-","")),LEN(UPPER($EI570))-LEN(SUBSTITUTE(UPPER($EI570),"E",""))&lt;2,LEN(UPPER($EI570))-LEN(SUBSTITUTE(UPPER($EI570),".",""))&lt;2,IFERROR(FIND(".",UPPER($EI570)),0)&lt;IFERROR(FIND("E",UPPER($EI570)),999)),ISNUMBER(VALUE($EI570)))),1,2)))</f>
        <v/>
      </c>
      <c r="EK570">
        <f>IF($DM570=0,"",IF($EJ570=1,IF(ISNUMBER($EI570),$EI570,VALUE($EI570)),IF($EJ570=2,$DE570,0)))</f>
        <v/>
      </c>
      <c r="EL570">
        <f>IF($DM570=0,"",COUNTIF($EG$5:$EG$1003,"&lt;"&amp;$EG570)+SUMPRODUCT(($EG$5:$EG$1003=$EG570)*(($EJ$5:$EJ$1003&lt;$EJ570)+($EJ$5:$EJ$1003=$EJ570)*(($EK$5:$EK$1003&lt;$EK570)+($EK$5:$EK$1003=$EK570)*($DE$5:$DE$1003&lt;$DE570))))+1)</f>
        <v/>
      </c>
      <c r="EM570">
        <f>IF($DM570=0,"",$EL570+$EG570-1)</f>
        <v/>
      </c>
      <c r="EN570">
        <f>IF($DM570=0,0,IFERROR(MATCH(1,INDEX(--(TRIM(SUBSTITUTE(SUBSTITUTE(SUBSTITUTE(SUBSTITUTE(LINES_NAME&amp;""," "," "),CHAR(9)," "),CHAR(10)," "),CHAR(13)," "))=$DH570),0),0),0))</f>
        <v/>
      </c>
      <c r="EO570">
        <f>IF($EN570=0,0,IF(OR(UPPER(TRIM(INDEX(LINES_SCHEDULED,$EN570)&amp;""))="YES",UPPER(TRIM(INDEX(LINES_SCHEDULED,$EN570)&amp;""))="Y",UPPER(TRIM(INDEX(LINES_SCHEDULED,$EN570)&amp;""))="X"),1,0))</f>
        <v/>
      </c>
      <c r="EP570">
        <f>IF($DM570=0,"",IF(COUNTIFS($EG$5:$EG$1003,$EG570,$EB$5:$EB$1003,"Ready")&gt;0,"READY",IF(COUNTIFS($EG$5:$EG$1003,$EG570,$EB$5:$EB$1003,"PM")&gt;0,"PM",IF(COUNTIFS($EG$5:$EG$1003,$EG570,$EB$5:$EB$1003,"OT")&gt;0,"OT",""))))</f>
        <v/>
      </c>
      <c r="EQ570">
        <f>IF($EN570=0,"",UPPER(TRIM(INDEX(LINES_STATUS,$EN570)&amp;"")))</f>
        <v/>
      </c>
      <c r="ER570">
        <f>IF($DM570=0,"",IF(OR($EQ570="READY",$EQ570="PM",$EQ570="OT"),$EQ570,$EP570))</f>
        <v/>
      </c>
      <c r="ES570">
        <f>IF($DM570=0,"",IF(AND($DV570&lt;&gt;"",UPPER($DV570)&lt;&gt;"N"),"allergen",IF(ISNUMBER(SEARCH("oil",$DQ570)),"oil",IF(OR(EXACT($DS570,"A662"),EXACT($DS570,"A624")),"bulk",""))))</f>
        <v/>
      </c>
      <c r="ET570">
        <f>IF($DM570=0,"",IF(OR($EA570="",$EA570=0),"",$EA570/100))</f>
        <v/>
      </c>
      <c r="EU570">
        <f>IF(OR($ET570="",$DY570=""),"",INT($DY570*(1-$ET570)+0.5))</f>
        <v/>
      </c>
      <c r="EW570" t="n">
        <v>566</v>
      </c>
      <c r="EX570">
        <f>IFERROR(MATCH($EW570,$EM$5:$EM$1003,0),0)</f>
        <v/>
      </c>
      <c r="EY570">
        <f>IF($EW570&gt;$B$12,"",IF($EX570&gt;0,"row","spacer"))</f>
        <v/>
      </c>
      <c r="EZ570">
        <f>IF(AND($EY570="row",$EY569&lt;&gt;"row"),1,0)</f>
        <v/>
      </c>
      <c r="FA570">
        <f>IF(AND($EY570="row",$EY571&lt;&gt;"row"),1,0)</f>
        <v/>
      </c>
      <c r="FB570">
        <f>IF($EZ570=1,IFERROR(IF(ISNUMBER(INDEX(PASTE_ALL,INDEX($DF$5:$DF$1003,$EX570),$B$37)),INDEX(PASTE_ALL,INDEX($DF$5:$DF$1003,$EX570),$B$37),INDEX($DH$5:$DH$1003,$EX570)),INDEX($DH$5:$DH$1003,$EX570)),"")</f>
        <v/>
      </c>
      <c r="FC570">
        <f>IF($EY570="row",INDEX($ER$5:$ER$1003,$EX570),"")</f>
        <v/>
      </c>
      <c r="FD570">
        <f>IF($EY570="row",INDEX($DN$5:$DN$1003,$EX570),"")</f>
        <v/>
      </c>
      <c r="FE570">
        <f>IF($EY570="row",INDEX($DO$5:$DO$1003,$EX570),"")</f>
        <v/>
      </c>
      <c r="FF570">
        <f>IF($EY570="row",INDEX($DP$5:$DP$1003,$EX570),"")</f>
        <v/>
      </c>
      <c r="FG570">
        <f>IF($EY570="row",INDEX($DQ$5:$DQ$1003,$EX570),"")</f>
        <v/>
      </c>
      <c r="FH570">
        <f>IF($EY570="row",INDEX($DR$5:$DR$1003,$EX570),"")</f>
        <v/>
      </c>
      <c r="FI570">
        <f>IF($EY570="row",INDEX($DS$5:$DS$1003,$EX570),"")</f>
        <v/>
      </c>
      <c r="FJ570">
        <f>IF($EY570="row",INDEX($DT$5:$DT$1003,$EX570),"")</f>
        <v/>
      </c>
      <c r="FK570">
        <f>IF($EY570="row",INDEX($DU$5:$DU$1003,$EX570),"")</f>
        <v/>
      </c>
      <c r="FL570">
        <f>IF($EY570="row",INDEX($DV$5:$DV$1003,$EX570),"")</f>
        <v/>
      </c>
      <c r="FM570">
        <f>IF($EY570="row",INDEX($DW$5:$DW$1003,$EX570),"")</f>
        <v/>
      </c>
      <c r="FN570">
        <f>IF($EY570="row",INDEX($DY$5:$DY$1003,$EX570),"")</f>
        <v/>
      </c>
      <c r="FO570">
        <f>IF($EY570="row",INDEX($EA$5:$EA$1003,$EX570),"")</f>
        <v/>
      </c>
      <c r="FP570">
        <f>IF($EY570="row",INDEX($EC$5:$EC$1003,$EX570),"")</f>
        <v/>
      </c>
      <c r="FQ570">
        <f>IF($EY570="row",INDEX($ET$5:$ET$1003,$EX570),"")</f>
        <v/>
      </c>
      <c r="FR570">
        <f>IF($EY570="row",INDEX($EU$5:$EU$1003,$EX570),"")</f>
        <v/>
      </c>
      <c r="FS570">
        <f>IF(AND($EY570="row",$EY569="row"),IF(OR(INDEX($DT$5:$DT$1003,$EX569)="",INDEX($DT$5:$DT$1003,$EX570)=""),"",IF(NOT(EXACT(INDEX($DT$5:$DT$1003,$EX569),INDEX($DT$5:$DT$1003,$EX570))),"S4",IF(NOT(EXACT(INDEX($DS$5:$DS$1003,$EX569),INDEX($DS$5:$DS$1003,$EX570))),"S3",IF(NOT(EXACT(INDEX($DR$5:$DR$1003,$EX569),INDEX($DR$5:$DR$1003,$EX570))),"S1 Count Change","S1")))),"")</f>
        <v/>
      </c>
      <c r="FT570">
        <f>IF($EY570="row",INDEX($ES$5:$ES$1003,$EX570),"")</f>
        <v/>
      </c>
      <c r="FU570">
        <f>IF($EY570="row",INDEX($EO$5:$EO$1003,$EX570),0)</f>
        <v/>
      </c>
      <c r="FV570">
        <f>IF($FS570="S1 Count Change",1,0)</f>
        <v/>
      </c>
    </row>
    <row r="571">
      <c r="DA571" t="n">
        <v>567</v>
      </c>
      <c r="DB571">
        <f>IF($B$37=0,"",IFERROR(TRIM(SUBSTITUTE(SUBSTITUTE(SUBSTITUTE(SUBSTITUTE(INDEX(PASTE_ALL,567,$B$37)," "," "),CHAR(9)," "),CHAR(10)," "),CHAR(13)," ")),""))</f>
        <v/>
      </c>
      <c r="DC571">
        <f>IF(AND(567&gt;HEADER_ROW,UPPER(DB571)="LEGEND"),1,0)</f>
        <v/>
      </c>
      <c r="DE571" t="n">
        <v>567</v>
      </c>
      <c r="DF571">
        <f>HEADER_ROW+$DE571</f>
        <v/>
      </c>
      <c r="DG571">
        <f>IF(AND($DF571&lt;=1000,$DF571&lt;$B$8),1,0)</f>
        <v/>
      </c>
      <c r="DH571">
        <f>IF($DG571=1,IFERROR(INDEX($DB$5:$DB$1004,$DF571),""),"")</f>
        <v/>
      </c>
      <c r="DI571">
        <f>IF(AND($DG571=1,$DH571&lt;&gt;""),IFERROR(SUBSTITUTE(SUBSTITUTE(TRIM(SUBSTITUTE(SUBSTITUTE(SUBSTITUTE(SUBSTITUTE(IFERROR(INDEX(PASTE_ALL,$DF571,1)&amp;"","")&amp;"␟"&amp;IFERROR(INDEX(PASTE_ALL,$DF571,2)&amp;"","")&amp;"␟"&amp;IFERROR(INDEX(PASTE_ALL,$DF571,3)&amp;"","")&amp;"␟"&amp;IFERROR(INDEX(PASTE_ALL,$DF571,4)&amp;"","")&amp;"␟"&amp;IFERROR(INDEX(PASTE_ALL,$DF571,5)&amp;"","")&amp;"␟"&amp;IFERROR(INDEX(PASTE_ALL,$DF571,6)&amp;"","")&amp;"␟"&amp;IFERROR(INDEX(PASTE_ALL,$DF571,7)&amp;"","")&amp;"␟"&amp;IFERROR(INDEX(PASTE_ALL,$DF571,8)&amp;"","")&amp;"␟"&amp;IFERROR(INDEX(PASTE_ALL,$DF571,9)&amp;"","")&amp;"␟"&amp;IFERROR(INDEX(PASTE_ALL,$DF571,10)&amp;"","")&amp;"␟"&amp;IFERROR(INDEX(PASTE_ALL,$DF571,11)&amp;"","")&amp;"␟"&amp;IFERROR(INDEX(PASTE_ALL,$DF571,12)&amp;"","")&amp;"␟"&amp;IFERROR(INDEX(PASTE_ALL,$DF571,13)&amp;"","")&amp;"␟"&amp;IFERROR(INDEX(PASTE_ALL,$DF571,14)&amp;"","")&amp;"␟"&amp;IFERROR(INDEX(PASTE_ALL,$DF571,15)&amp;"","")&amp;"␟"&amp;IFERROR(INDEX(PASTE_ALL,$DF571,16)&amp;"","")&amp;"␟"&amp;IFERROR(INDEX(PASTE_ALL,$DF571,17)&amp;"","")&amp;"␟"&amp;IFERROR(INDEX(PASTE_ALL,$DF571,18)&amp;"","")&amp;"␟"&amp;IFERROR(INDEX(PASTE_ALL,$DF571,19)&amp;"","")&amp;"␟"&amp;IFERROR(INDEX(PASTE_ALL,$DF571,20)&amp;"","")&amp;"␟"&amp;IFERROR(INDEX(PASTE_ALL,$DF571,21)&amp;"","")&amp;"␟"&amp;IFERROR(INDEX(PASTE_ALL,$DF571,22)&amp;"","")&amp;"␟"&amp;IFERROR(INDEX(PASTE_ALL,$DF571,23)&amp;"","")&amp;"␟"&amp;IFERROR(INDEX(PASTE_ALL,$DF571,24)&amp;"","")&amp;"␟"&amp;IFERROR(INDEX(PASTE_ALL,$DF571,25)&amp;"","")&amp;"␟"&amp;IFERROR(INDEX(PASTE_ALL,$DF571,26)&amp;"","")&amp;"␟"&amp;IFERROR(INDEX(PASTE_ALL,$DF571,27)&amp;"","")&amp;"␟"&amp;IFERROR(INDEX(PASTE_ALL,$DF571,28)&amp;"","")&amp;"␟"&amp;IFERROR(INDEX(PASTE_ALL,$DF571,29)&amp;"","")&amp;"␟"&amp;IFERROR(INDEX(PASTE_ALL,$DF571,30)&amp;"","")&amp;"␟"&amp;IFERROR(INDEX(PASTE_ALL,$DF571,31)&amp;"","")&amp;"␟"&amp;IFERROR(INDEX(PASTE_ALL,$DF571,32)&amp;"","")&amp;"␟"&amp;IFERROR(INDEX(PASTE_ALL,$DF571,33)&amp;"","")&amp;"␟"&amp;IFERROR(INDEX(PASTE_ALL,$DF571,34)&amp;"","")&amp;"␟"&amp;IFERROR(INDEX(PASTE_ALL,$DF571,35)&amp;"","")&amp;"␟"&amp;IFERROR(INDEX(PASTE_ALL,$DF571,36)&amp;"","")&amp;"␟"&amp;IFERROR(INDEX(PASTE_ALL,$DF571,37)&amp;"","")&amp;"␟"&amp;IFERROR(INDEX(PASTE_ALL,$DF571,38)&amp;"","")&amp;"␟"&amp;IFERROR(INDEX(PASTE_ALL,$DF571,39)&amp;"","")&amp;"␟"&amp;IFERROR(INDEX(PASTE_ALL,$DF571,40)&amp;"","")&amp;"␟"&amp;IFERROR(INDEX(PASTE_ALL,$DF571,41)&amp;"","")&amp;"␟"&amp;IFERROR(INDEX(PASTE_ALL,$DF571,42)&amp;"","")&amp;"␟"&amp;IFERROR(INDEX(PASTE_ALL,$DF571,43)&amp;"","")&amp;"␟"&amp;IFERROR(INDEX(PASTE_ALL,$DF571,44)&amp;"","")&amp;"␟"&amp;IFERROR(INDEX(PASTE_ALL,$DF571,45)&amp;"","")&amp;"␟"&amp;IFERROR(INDEX(PASTE_ALL,$DF571,46)&amp;"","")&amp;"␟"&amp;IFERROR(INDEX(PASTE_ALL,$DF571,47)&amp;"","")&amp;"␟"&amp;IFERROR(INDEX(PASTE_ALL,$DF571,48)&amp;"","")&amp;"␟"&amp;IFERROR(INDEX(PASTE_ALL,$DF571,49)&amp;"","")&amp;"␟"&amp;IFERROR(INDEX(PASTE_ALL,$DF571,50)&amp;"","")&amp;"␟"&amp;IFERROR(INDEX(PASTE_ALL,$DF571,51)&amp;"","")&amp;"␟"&amp;IFERROR(INDEX(PASTE_ALL,$DF571,52)&amp;"","")&amp;"␟"&amp;IFERROR(INDEX(PASTE_ALL,$DF571,53)&amp;"","")&amp;"␟"&amp;IFERROR(INDEX(PASTE_ALL,$DF571,54)&amp;"","")&amp;"␟"&amp;IFERROR(INDEX(PASTE_ALL,$DF571,55)&amp;"","")&amp;"␟"&amp;IFERROR(INDEX(PASTE_ALL,$DF571,56)&amp;"","")&amp;"␟"&amp;IFERROR(INDEX(PASTE_ALL,$DF571,57)&amp;"","")&amp;"␟"&amp;IFERROR(INDEX(PASTE_ALL,$DF571,58)&amp;"","")&amp;"␟"&amp;IFERROR(INDEX(PASTE_ALL,$DF571,59)&amp;"","")&amp;"␟"&amp;IFERROR(INDEX(PASTE_ALL,$DF571,60)&amp;"","")," "," "),CHAR(9)," "),CHAR(10)," "),CHAR(13)," "))," ␟","␟"),"␟ ","␟"),"#"&amp;$DE571),"")</f>
        <v/>
      </c>
      <c r="DJ571">
        <f>IF($DI571="",0,IF(SUMPRODUCT(--EXACT($DI$4:DI570,$DI571))&gt;0,1,0))</f>
        <v/>
      </c>
      <c r="DK571">
        <f>IF(AND($DI571&lt;&gt;"",$DJ571=0),1,0)</f>
        <v/>
      </c>
      <c r="DL571">
        <f>DL570+$DK571</f>
        <v/>
      </c>
      <c r="DM571">
        <f>IF(AND($DK571=1,$DL571&lt;=600),1,0)</f>
        <v/>
      </c>
      <c r="DN571">
        <f>IF($DM571=0,"",IF($L$6=0,"",IFERROR(IF(ISNUMBER(INDEX(PASTE_ALL,$DF571,$L$6)),INDEX(PASTE_ALL,$DF571,$L$6),TRIM(SUBSTITUTE(SUBSTITUTE(SUBSTITUTE(SUBSTITUTE(INDEX(PASTE_ALL,$DF571,$L$6)," "," "),CHAR(9)," "),CHAR(10)," "),CHAR(13)," "))),"")))</f>
        <v/>
      </c>
      <c r="DO571">
        <f>IF($DM571=0,"",IF($L$7=0,"",IFERROR(IF(ISNUMBER(INDEX(PASTE_ALL,$DF571,$L$7)),INDEX(PASTE_ALL,$DF571,$L$7),TRIM(SUBSTITUTE(SUBSTITUTE(SUBSTITUTE(SUBSTITUTE(INDEX(PASTE_ALL,$DF571,$L$7)," "," "),CHAR(9)," "),CHAR(10)," "),CHAR(13)," "))),"")))</f>
        <v/>
      </c>
      <c r="DP571">
        <f>IF($DM571=0,"",IF($L$8=0,"",IFERROR(IF(ISNUMBER(INDEX(PASTE_ALL,$DF571,$L$8)),INDEX(PASTE_ALL,$DF571,$L$8),TRIM(SUBSTITUTE(SUBSTITUTE(SUBSTITUTE(SUBSTITUTE(INDEX(PASTE_ALL,$DF571,$L$8)," "," "),CHAR(9)," "),CHAR(10)," "),CHAR(13)," "))),"")))</f>
        <v/>
      </c>
      <c r="DQ571">
        <f>IF($DM571=0,"",IF($L$9=0,"",IFERROR(IF(ISNUMBER(INDEX(PASTE_ALL,$DF571,$L$9)),INDEX(PASTE_ALL,$DF571,$L$9),TRIM(SUBSTITUTE(SUBSTITUTE(SUBSTITUTE(SUBSTITUTE(INDEX(PASTE_ALL,$DF571,$L$9)," "," "),CHAR(9)," "),CHAR(10)," "),CHAR(13)," "))),"")))</f>
        <v/>
      </c>
      <c r="DR571">
        <f>IF($DM571=0,"",IF($L$10=0,"",IFERROR(IF(ISNUMBER(INDEX(PASTE_ALL,$DF571,$L$10)),INDEX(PASTE_ALL,$DF571,$L$10),TRIM(SUBSTITUTE(SUBSTITUTE(SUBSTITUTE(SUBSTITUTE(INDEX(PASTE_ALL,$DF571,$L$10)," "," "),CHAR(9)," "),CHAR(10)," "),CHAR(13)," "))),"")))</f>
        <v/>
      </c>
      <c r="DS571">
        <f>IF($DM571=0,"",IF($L$11=0,"",IFERROR(IF(ISNUMBER(INDEX(PASTE_ALL,$DF571,$L$11)),INDEX(PASTE_ALL,$DF571,$L$11),TRIM(SUBSTITUTE(SUBSTITUTE(SUBSTITUTE(SUBSTITUTE(INDEX(PASTE_ALL,$DF571,$L$11)," "," "),CHAR(9)," "),CHAR(10)," "),CHAR(13)," "))),"")))</f>
        <v/>
      </c>
      <c r="DT571">
        <f>IF($DM571=0,"",IF($L$12=0,"",IFERROR(IF(ISNUMBER(INDEX(PASTE_ALL,$DF571,$L$12)),INDEX(PASTE_ALL,$DF571,$L$12),TRIM(SUBSTITUTE(SUBSTITUTE(SUBSTITUTE(SUBSTITUTE(INDEX(PASTE_ALL,$DF571,$L$12)," "," "),CHAR(9)," "),CHAR(10)," "),CHAR(13)," "))),"")))</f>
        <v/>
      </c>
      <c r="DU571">
        <f>IF($DM571=0,"",IF($L$13=0,"",IFERROR(IF(ISNUMBER(INDEX(PASTE_ALL,$DF571,$L$13)),INDEX(PASTE_ALL,$DF571,$L$13),TRIM(SUBSTITUTE(SUBSTITUTE(SUBSTITUTE(SUBSTITUTE(INDEX(PASTE_ALL,$DF571,$L$13)," "," "),CHAR(9)," "),CHAR(10)," "),CHAR(13)," "))),"")))</f>
        <v/>
      </c>
      <c r="DV571">
        <f>IF($DM571=0,"",IF($L$14=0,"",IFERROR(IF(ISNUMBER(INDEX(PASTE_ALL,$DF571,$L$14)),INDEX(PASTE_ALL,$DF571,$L$14),TRIM(SUBSTITUTE(SUBSTITUTE(SUBSTITUTE(SUBSTITUTE(INDEX(PASTE_ALL,$DF571,$L$14)," "," "),CHAR(9)," "),CHAR(10)," "),CHAR(13)," "))),"")))</f>
        <v/>
      </c>
      <c r="DW571">
        <f>IF($DM571=0,"",IF($L$15=0,"",IFERROR(IF(ISNUMBER(INDEX(PASTE_ALL,$DF571,$L$15)),INDEX(PASTE_ALL,$DF571,$L$15),IF(SUMPRODUCT(--ISNUMBER(FIND({"A","B","C","D","E","F","G","H","I","J","K","L","M","N","O","P","Q","R","S","T","U","V","W","X","Y","Z","0","1","2","3","4","5","6","7","8","9"},UPPER(TRIM(SUBSTITUTE(SUBSTITUTE(SUBSTITUTE(SUBSTITUTE(INDEX(PASTE_ALL,$DF571,$L$15)," "," "),CHAR(9)," "),CHAR(10)," "),CHAR(13)," "))))))&gt;0,TRIM(SUBSTITUTE(SUBSTITUTE(SUBSTITUTE(SUBSTITUTE(INDEX(PASTE_ALL,$DF571,$L$15)," "," "),CHAR(9)," "),CHAR(10)," "),CHAR(13)," ")),"")),"")))</f>
        <v/>
      </c>
      <c r="DX571">
        <f>IF($DM571=0,"",IF($L$16=0,"",IFERROR(IF(ISNUMBER(INDEX(PASTE_ALL,$DF571,$L$16)),INDEX(PASTE_ALL,$DF571,$L$16),SUBSTITUTE(SUBSTITUTE(TRIM(SUBSTITUTE(SUBSTITUTE(SUBSTITUTE(SUBSTITUTE(INDEX(PASTE_ALL,$DF571,$L$16)," "," "),CHAR(9)," "),CHAR(10)," "),CHAR(13)," ")),",",""),"%","")),"")))</f>
        <v/>
      </c>
      <c r="DY571">
        <f>IF($DM571=0,"",IFERROR(IF(ISNUMBER($DX571),$DX571,IF($DX571="","",IF(TRIM($DX571)="",0,IF(AND(AND(SUBSTITUTE(SUBSTITUTE(SUBSTITUTE(SUBSTITUTE(SUBSTITUTE(SUBSTITUTE(SUBSTITUTE(SUBSTITUTE(SUBSTITUTE(SUBSTITUTE(SUBSTITUTE(SUBSTITUTE(SUBSTITUTE(SUBSTITUTE(UPPER(TRIM($DX571)),"0",""),"1",""),"2",""),"3",""),"4",""),"5",""),"6",""),"7",""),"8",""),"9",""),".",""),"+",""),"-",""),"E","")="",LEN(SUBSTITUTE(SUBSTITUTE(MID(UPPER(TRIM($DX571)),1+OR(LEFT(UPPER(TRIM($DX571)),1)="+",LEFT(UPPER(TRIM($DX571)),1)="-"),999),"E+","E"),"E-","E"))=LEN(SUBSTITUTE(SUBSTITUTE(SUBSTITUTE(SUBSTITUTE(MID(UPPER(TRIM($DX571)),1+OR(LEFT(UPPER(TRIM($DX571)),1)="+",LEFT(UPPER(TRIM($DX571)),1)="-"),999),"E+","E"),"E-","E"),"+",""),"-","")),LEN(UPPER(TRIM($DX571)))-LEN(SUBSTITUTE(UPPER(TRIM($DX571)),"E",""))&lt;2,LEN(UPPER(TRIM($DX571)))-LEN(SUBSTITUTE(UPPER(TRIM($DX571)),".",""))&lt;2,IFERROR(FIND(".",UPPER(TRIM($DX571))),0)&lt;IFERROR(FIND("E",UPPER(TRIM($DX571))),999)),ISNUMBER(VALUE(TRIM($DX571)))),VALUE(TRIM($DX571)),"")))),""))</f>
        <v/>
      </c>
      <c r="DZ571">
        <f>IF($DM571=0,"",IF($L$17=0,"",IFERROR(IF(ISNUMBER(INDEX(PASTE_ALL,$DF571,$L$17)),INDEX(PASTE_ALL,$DF571,$L$17),SUBSTITUTE(SUBSTITUTE(TRIM(SUBSTITUTE(SUBSTITUTE(SUBSTITUTE(SUBSTITUTE(INDEX(PASTE_ALL,$DF571,$L$17)," "," "),CHAR(9)," "),CHAR(10)," "),CHAR(13)," ")),",",""),"%","")),"")))</f>
        <v/>
      </c>
      <c r="EA571">
        <f>IF($DM571=0,"",IFERROR(IF(ISNUMBER($DZ571),$DZ571,IF($DZ571="","",IF(TRIM($DZ571)="",0,IF(AND(AND(SUBSTITUTE(SUBSTITUTE(SUBSTITUTE(SUBSTITUTE(SUBSTITUTE(SUBSTITUTE(SUBSTITUTE(SUBSTITUTE(SUBSTITUTE(SUBSTITUTE(SUBSTITUTE(SUBSTITUTE(SUBSTITUTE(SUBSTITUTE(UPPER(TRIM($DZ571)),"0",""),"1",""),"2",""),"3",""),"4",""),"5",""),"6",""),"7",""),"8",""),"9",""),".",""),"+",""),"-",""),"E","")="",LEN(SUBSTITUTE(SUBSTITUTE(MID(UPPER(TRIM($DZ571)),1+OR(LEFT(UPPER(TRIM($DZ571)),1)="+",LEFT(UPPER(TRIM($DZ571)),1)="-"),999),"E+","E"),"E-","E"))=LEN(SUBSTITUTE(SUBSTITUTE(SUBSTITUTE(SUBSTITUTE(MID(UPPER(TRIM($DZ571)),1+OR(LEFT(UPPER(TRIM($DZ571)),1)="+",LEFT(UPPER(TRIM($DZ571)),1)="-"),999),"E+","E"),"E-","E"),"+",""),"-","")),LEN(UPPER(TRIM($DZ571)))-LEN(SUBSTITUTE(UPPER(TRIM($DZ571)),"E",""))&lt;2,LEN(UPPER(TRIM($DZ571)))-LEN(SUBSTITUTE(UPPER(TRIM($DZ571)),".",""))&lt;2,IFERROR(FIND(".",UPPER(TRIM($DZ571))),0)&lt;IFERROR(FIND("E",UPPER(TRIM($DZ571))),999)),ISNUMBER(VALUE(TRIM($DZ571)))),VALUE(TRIM($DZ571)),"")))),""))</f>
        <v/>
      </c>
      <c r="EB571">
        <f>IF($DM571=0,"",IF($L$18=0,"",IFERROR(IF(UPPER(TRIM(SUBSTITUTE(SUBSTITUTE(SUBSTITUTE(SUBSTITUTE(INDEX(PASTE_ALL,$DF571,$L$18)," "," "),CHAR(9)," "),CHAR(10)," "),CHAR(13)," ")))="READY","Ready",IF(UPPER(TRIM(SUBSTITUTE(SUBSTITUTE(SUBSTITUTE(SUBSTITUTE(INDEX(PASTE_ALL,$DF571,$L$18)," "," "),CHAR(9)," "),CHAR(10)," "),CHAR(13)," ")))="PM","PM",IF(OR(UPPER(TRIM(SUBSTITUTE(SUBSTITUTE(SUBSTITUTE(SUBSTITUTE(INDEX(PASTE_ALL,$DF571,$L$18)," "," "),CHAR(9)," "),CHAR(10)," "),CHAR(13)," ")))="OT",UPPER(TRIM(SUBSTITUTE(SUBSTITUTE(SUBSTITUTE(SUBSTITUTE(INDEX(PASTE_ALL,$DF571,$L$18)," "," "),CHAR(9)," "),CHAR(10)," "),CHAR(13)," ")))="OVERTIME",UPPER(TRIM(SUBSTITUTE(SUBSTITUTE(SUBSTITUTE(SUBSTITUTE(INDEX(PASTE_ALL,$DF571,$L$18)," "," "),CHAR(9)," "),CHAR(10)," "),CHAR(13)," ")))="TRIAL"),"OT",TRIM(SUBSTITUTE(SUBSTITUTE(SUBSTITUTE(SUBSTITUTE(INDEX(PASTE_ALL,$DF571,$L$18)," "," "),CHAR(9)," "),CHAR(10)," "),CHAR(13)," "))))),"")))</f>
        <v/>
      </c>
      <c r="EC571">
        <f>IF($DM571=0,"",IF($L$19=0,"",IFERROR(IF(ISNUMBER(INDEX(PASTE_ALL,$DF571,$L$19)),INDEX(PASTE_ALL,$DF571,$L$19),TRIM(SUBSTITUTE(SUBSTITUTE(SUBSTITUTE(SUBSTITUTE(INDEX(PASTE_ALL,$DF571,$L$19)," "," "),CHAR(9)," "),CHAR(10)," "),CHAR(13)," "))),"")))</f>
        <v/>
      </c>
      <c r="ED571">
        <f>IF($DM571=0,"",MATCH(1,INDEX(EXACT($DH$5:DH571,$DH571)*$DM$5:DM571,0),0))</f>
        <v/>
      </c>
      <c r="EE571">
        <f>IF($DM571=0,0,IF($ED571=$DE571,1,0))</f>
        <v/>
      </c>
      <c r="EF571">
        <f>EF570+$EE571</f>
        <v/>
      </c>
      <c r="EG571">
        <f>IF($DM571=0,"",INDEX($EF$5:$EF$1003,$ED571))</f>
        <v/>
      </c>
      <c r="EH571">
        <f>IF($DM571=0,"",IF($DO571&lt;&gt;"","",IFERROR(LOOKUP(2,1/(($EG$4:EG570=$EG571)*($DO$4:DO570&lt;&gt;"")),$DO$4:DO570),"")))</f>
        <v/>
      </c>
      <c r="EI571">
        <f>IF($DM571=0,"",IF($DO571&lt;&gt;"",$DO571,$EH571))</f>
        <v/>
      </c>
      <c r="EJ571">
        <f>IF($DM571=0,"",IF($EI571="",0,IF(OR(ISNUMBER($EI571),AND(AND(SUBSTITUTE(SUBSTITUTE(SUBSTITUTE(SUBSTITUTE(SUBSTITUTE(SUBSTITUTE(SUBSTITUTE(SUBSTITUTE(SUBSTITUTE(SUBSTITUTE(SUBSTITUTE(SUBSTITUTE(SUBSTITUTE(SUBSTITUTE(UPPER($EI571),"0",""),"1",""),"2",""),"3",""),"4",""),"5",""),"6",""),"7",""),"8",""),"9",""),".",""),"+",""),"-",""),"E","")="",LEN(SUBSTITUTE(SUBSTITUTE(MID(UPPER($EI571),1+OR(LEFT(UPPER($EI571),1)="+",LEFT(UPPER($EI571),1)="-"),999),"E+","E"),"E-","E"))=LEN(SUBSTITUTE(SUBSTITUTE(SUBSTITUTE(SUBSTITUTE(MID(UPPER($EI571),1+OR(LEFT(UPPER($EI571),1)="+",LEFT(UPPER($EI571),1)="-"),999),"E+","E"),"E-","E"),"+",""),"-","")),LEN(UPPER($EI571))-LEN(SUBSTITUTE(UPPER($EI571),"E",""))&lt;2,LEN(UPPER($EI571))-LEN(SUBSTITUTE(UPPER($EI571),".",""))&lt;2,IFERROR(FIND(".",UPPER($EI571)),0)&lt;IFERROR(FIND("E",UPPER($EI571)),999)),ISNUMBER(VALUE($EI571)))),1,2)))</f>
        <v/>
      </c>
      <c r="EK571">
        <f>IF($DM571=0,"",IF($EJ571=1,IF(ISNUMBER($EI571),$EI571,VALUE($EI571)),IF($EJ571=2,$DE571,0)))</f>
        <v/>
      </c>
      <c r="EL571">
        <f>IF($DM571=0,"",COUNTIF($EG$5:$EG$1003,"&lt;"&amp;$EG571)+SUMPRODUCT(($EG$5:$EG$1003=$EG571)*(($EJ$5:$EJ$1003&lt;$EJ571)+($EJ$5:$EJ$1003=$EJ571)*(($EK$5:$EK$1003&lt;$EK571)+($EK$5:$EK$1003=$EK571)*($DE$5:$DE$1003&lt;$DE571))))+1)</f>
        <v/>
      </c>
      <c r="EM571">
        <f>IF($DM571=0,"",$EL571+$EG571-1)</f>
        <v/>
      </c>
      <c r="EN571">
        <f>IF($DM571=0,0,IFERROR(MATCH(1,INDEX(--(TRIM(SUBSTITUTE(SUBSTITUTE(SUBSTITUTE(SUBSTITUTE(LINES_NAME&amp;""," "," "),CHAR(9)," "),CHAR(10)," "),CHAR(13)," "))=$DH571),0),0),0))</f>
        <v/>
      </c>
      <c r="EO571">
        <f>IF($EN571=0,0,IF(OR(UPPER(TRIM(INDEX(LINES_SCHEDULED,$EN571)&amp;""))="YES",UPPER(TRIM(INDEX(LINES_SCHEDULED,$EN571)&amp;""))="Y",UPPER(TRIM(INDEX(LINES_SCHEDULED,$EN571)&amp;""))="X"),1,0))</f>
        <v/>
      </c>
      <c r="EP571">
        <f>IF($DM571=0,"",IF(COUNTIFS($EG$5:$EG$1003,$EG571,$EB$5:$EB$1003,"Ready")&gt;0,"READY",IF(COUNTIFS($EG$5:$EG$1003,$EG571,$EB$5:$EB$1003,"PM")&gt;0,"PM",IF(COUNTIFS($EG$5:$EG$1003,$EG571,$EB$5:$EB$1003,"OT")&gt;0,"OT",""))))</f>
        <v/>
      </c>
      <c r="EQ571">
        <f>IF($EN571=0,"",UPPER(TRIM(INDEX(LINES_STATUS,$EN571)&amp;"")))</f>
        <v/>
      </c>
      <c r="ER571">
        <f>IF($DM571=0,"",IF(OR($EQ571="READY",$EQ571="PM",$EQ571="OT"),$EQ571,$EP571))</f>
        <v/>
      </c>
      <c r="ES571">
        <f>IF($DM571=0,"",IF(AND($DV571&lt;&gt;"",UPPER($DV571)&lt;&gt;"N"),"allergen",IF(ISNUMBER(SEARCH("oil",$DQ571)),"oil",IF(OR(EXACT($DS571,"A662"),EXACT($DS571,"A624")),"bulk",""))))</f>
        <v/>
      </c>
      <c r="ET571">
        <f>IF($DM571=0,"",IF(OR($EA571="",$EA571=0),"",$EA571/100))</f>
        <v/>
      </c>
      <c r="EU571">
        <f>IF(OR($ET571="",$DY571=""),"",INT($DY571*(1-$ET571)+0.5))</f>
        <v/>
      </c>
      <c r="EW571" t="n">
        <v>567</v>
      </c>
      <c r="EX571">
        <f>IFERROR(MATCH($EW571,$EM$5:$EM$1003,0),0)</f>
        <v/>
      </c>
      <c r="EY571">
        <f>IF($EW571&gt;$B$12,"",IF($EX571&gt;0,"row","spacer"))</f>
        <v/>
      </c>
      <c r="EZ571">
        <f>IF(AND($EY571="row",$EY570&lt;&gt;"row"),1,0)</f>
        <v/>
      </c>
      <c r="FA571">
        <f>IF(AND($EY571="row",$EY572&lt;&gt;"row"),1,0)</f>
        <v/>
      </c>
      <c r="FB571">
        <f>IF($EZ571=1,IFERROR(IF(ISNUMBER(INDEX(PASTE_ALL,INDEX($DF$5:$DF$1003,$EX571),$B$37)),INDEX(PASTE_ALL,INDEX($DF$5:$DF$1003,$EX571),$B$37),INDEX($DH$5:$DH$1003,$EX571)),INDEX($DH$5:$DH$1003,$EX571)),"")</f>
        <v/>
      </c>
      <c r="FC571">
        <f>IF($EY571="row",INDEX($ER$5:$ER$1003,$EX571),"")</f>
        <v/>
      </c>
      <c r="FD571">
        <f>IF($EY571="row",INDEX($DN$5:$DN$1003,$EX571),"")</f>
        <v/>
      </c>
      <c r="FE571">
        <f>IF($EY571="row",INDEX($DO$5:$DO$1003,$EX571),"")</f>
        <v/>
      </c>
      <c r="FF571">
        <f>IF($EY571="row",INDEX($DP$5:$DP$1003,$EX571),"")</f>
        <v/>
      </c>
      <c r="FG571">
        <f>IF($EY571="row",INDEX($DQ$5:$DQ$1003,$EX571),"")</f>
        <v/>
      </c>
      <c r="FH571">
        <f>IF($EY571="row",INDEX($DR$5:$DR$1003,$EX571),"")</f>
        <v/>
      </c>
      <c r="FI571">
        <f>IF($EY571="row",INDEX($DS$5:$DS$1003,$EX571),"")</f>
        <v/>
      </c>
      <c r="FJ571">
        <f>IF($EY571="row",INDEX($DT$5:$DT$1003,$EX571),"")</f>
        <v/>
      </c>
      <c r="FK571">
        <f>IF($EY571="row",INDEX($DU$5:$DU$1003,$EX571),"")</f>
        <v/>
      </c>
      <c r="FL571">
        <f>IF($EY571="row",INDEX($DV$5:$DV$1003,$EX571),"")</f>
        <v/>
      </c>
      <c r="FM571">
        <f>IF($EY571="row",INDEX($DW$5:$DW$1003,$EX571),"")</f>
        <v/>
      </c>
      <c r="FN571">
        <f>IF($EY571="row",INDEX($DY$5:$DY$1003,$EX571),"")</f>
        <v/>
      </c>
      <c r="FO571">
        <f>IF($EY571="row",INDEX($EA$5:$EA$1003,$EX571),"")</f>
        <v/>
      </c>
      <c r="FP571">
        <f>IF($EY571="row",INDEX($EC$5:$EC$1003,$EX571),"")</f>
        <v/>
      </c>
      <c r="FQ571">
        <f>IF($EY571="row",INDEX($ET$5:$ET$1003,$EX571),"")</f>
        <v/>
      </c>
      <c r="FR571">
        <f>IF($EY571="row",INDEX($EU$5:$EU$1003,$EX571),"")</f>
        <v/>
      </c>
      <c r="FS571">
        <f>IF(AND($EY571="row",$EY570="row"),IF(OR(INDEX($DT$5:$DT$1003,$EX570)="",INDEX($DT$5:$DT$1003,$EX571)=""),"",IF(NOT(EXACT(INDEX($DT$5:$DT$1003,$EX570),INDEX($DT$5:$DT$1003,$EX571))),"S4",IF(NOT(EXACT(INDEX($DS$5:$DS$1003,$EX570),INDEX($DS$5:$DS$1003,$EX571))),"S3",IF(NOT(EXACT(INDEX($DR$5:$DR$1003,$EX570),INDEX($DR$5:$DR$1003,$EX571))),"S1 Count Change","S1")))),"")</f>
        <v/>
      </c>
      <c r="FT571">
        <f>IF($EY571="row",INDEX($ES$5:$ES$1003,$EX571),"")</f>
        <v/>
      </c>
      <c r="FU571">
        <f>IF($EY571="row",INDEX($EO$5:$EO$1003,$EX571),0)</f>
        <v/>
      </c>
      <c r="FV571">
        <f>IF($FS571="S1 Count Change",1,0)</f>
        <v/>
      </c>
    </row>
    <row r="572">
      <c r="DA572" t="n">
        <v>568</v>
      </c>
      <c r="DB572">
        <f>IF($B$37=0,"",IFERROR(TRIM(SUBSTITUTE(SUBSTITUTE(SUBSTITUTE(SUBSTITUTE(INDEX(PASTE_ALL,568,$B$37)," "," "),CHAR(9)," "),CHAR(10)," "),CHAR(13)," ")),""))</f>
        <v/>
      </c>
      <c r="DC572">
        <f>IF(AND(568&gt;HEADER_ROW,UPPER(DB572)="LEGEND"),1,0)</f>
        <v/>
      </c>
      <c r="DE572" t="n">
        <v>568</v>
      </c>
      <c r="DF572">
        <f>HEADER_ROW+$DE572</f>
        <v/>
      </c>
      <c r="DG572">
        <f>IF(AND($DF572&lt;=1000,$DF572&lt;$B$8),1,0)</f>
        <v/>
      </c>
      <c r="DH572">
        <f>IF($DG572=1,IFERROR(INDEX($DB$5:$DB$1004,$DF572),""),"")</f>
        <v/>
      </c>
      <c r="DI572">
        <f>IF(AND($DG572=1,$DH572&lt;&gt;""),IFERROR(SUBSTITUTE(SUBSTITUTE(TRIM(SUBSTITUTE(SUBSTITUTE(SUBSTITUTE(SUBSTITUTE(IFERROR(INDEX(PASTE_ALL,$DF572,1)&amp;"","")&amp;"␟"&amp;IFERROR(INDEX(PASTE_ALL,$DF572,2)&amp;"","")&amp;"␟"&amp;IFERROR(INDEX(PASTE_ALL,$DF572,3)&amp;"","")&amp;"␟"&amp;IFERROR(INDEX(PASTE_ALL,$DF572,4)&amp;"","")&amp;"␟"&amp;IFERROR(INDEX(PASTE_ALL,$DF572,5)&amp;"","")&amp;"␟"&amp;IFERROR(INDEX(PASTE_ALL,$DF572,6)&amp;"","")&amp;"␟"&amp;IFERROR(INDEX(PASTE_ALL,$DF572,7)&amp;"","")&amp;"␟"&amp;IFERROR(INDEX(PASTE_ALL,$DF572,8)&amp;"","")&amp;"␟"&amp;IFERROR(INDEX(PASTE_ALL,$DF572,9)&amp;"","")&amp;"␟"&amp;IFERROR(INDEX(PASTE_ALL,$DF572,10)&amp;"","")&amp;"␟"&amp;IFERROR(INDEX(PASTE_ALL,$DF572,11)&amp;"","")&amp;"␟"&amp;IFERROR(INDEX(PASTE_ALL,$DF572,12)&amp;"","")&amp;"␟"&amp;IFERROR(INDEX(PASTE_ALL,$DF572,13)&amp;"","")&amp;"␟"&amp;IFERROR(INDEX(PASTE_ALL,$DF572,14)&amp;"","")&amp;"␟"&amp;IFERROR(INDEX(PASTE_ALL,$DF572,15)&amp;"","")&amp;"␟"&amp;IFERROR(INDEX(PASTE_ALL,$DF572,16)&amp;"","")&amp;"␟"&amp;IFERROR(INDEX(PASTE_ALL,$DF572,17)&amp;"","")&amp;"␟"&amp;IFERROR(INDEX(PASTE_ALL,$DF572,18)&amp;"","")&amp;"␟"&amp;IFERROR(INDEX(PASTE_ALL,$DF572,19)&amp;"","")&amp;"␟"&amp;IFERROR(INDEX(PASTE_ALL,$DF572,20)&amp;"","")&amp;"␟"&amp;IFERROR(INDEX(PASTE_ALL,$DF572,21)&amp;"","")&amp;"␟"&amp;IFERROR(INDEX(PASTE_ALL,$DF572,22)&amp;"","")&amp;"␟"&amp;IFERROR(INDEX(PASTE_ALL,$DF572,23)&amp;"","")&amp;"␟"&amp;IFERROR(INDEX(PASTE_ALL,$DF572,24)&amp;"","")&amp;"␟"&amp;IFERROR(INDEX(PASTE_ALL,$DF572,25)&amp;"","")&amp;"␟"&amp;IFERROR(INDEX(PASTE_ALL,$DF572,26)&amp;"","")&amp;"␟"&amp;IFERROR(INDEX(PASTE_ALL,$DF572,27)&amp;"","")&amp;"␟"&amp;IFERROR(INDEX(PASTE_ALL,$DF572,28)&amp;"","")&amp;"␟"&amp;IFERROR(INDEX(PASTE_ALL,$DF572,29)&amp;"","")&amp;"␟"&amp;IFERROR(INDEX(PASTE_ALL,$DF572,30)&amp;"","")&amp;"␟"&amp;IFERROR(INDEX(PASTE_ALL,$DF572,31)&amp;"","")&amp;"␟"&amp;IFERROR(INDEX(PASTE_ALL,$DF572,32)&amp;"","")&amp;"␟"&amp;IFERROR(INDEX(PASTE_ALL,$DF572,33)&amp;"","")&amp;"␟"&amp;IFERROR(INDEX(PASTE_ALL,$DF572,34)&amp;"","")&amp;"␟"&amp;IFERROR(INDEX(PASTE_ALL,$DF572,35)&amp;"","")&amp;"␟"&amp;IFERROR(INDEX(PASTE_ALL,$DF572,36)&amp;"","")&amp;"␟"&amp;IFERROR(INDEX(PASTE_ALL,$DF572,37)&amp;"","")&amp;"␟"&amp;IFERROR(INDEX(PASTE_ALL,$DF572,38)&amp;"","")&amp;"␟"&amp;IFERROR(INDEX(PASTE_ALL,$DF572,39)&amp;"","")&amp;"␟"&amp;IFERROR(INDEX(PASTE_ALL,$DF572,40)&amp;"","")&amp;"␟"&amp;IFERROR(INDEX(PASTE_ALL,$DF572,41)&amp;"","")&amp;"␟"&amp;IFERROR(INDEX(PASTE_ALL,$DF572,42)&amp;"","")&amp;"␟"&amp;IFERROR(INDEX(PASTE_ALL,$DF572,43)&amp;"","")&amp;"␟"&amp;IFERROR(INDEX(PASTE_ALL,$DF572,44)&amp;"","")&amp;"␟"&amp;IFERROR(INDEX(PASTE_ALL,$DF572,45)&amp;"","")&amp;"␟"&amp;IFERROR(INDEX(PASTE_ALL,$DF572,46)&amp;"","")&amp;"␟"&amp;IFERROR(INDEX(PASTE_ALL,$DF572,47)&amp;"","")&amp;"␟"&amp;IFERROR(INDEX(PASTE_ALL,$DF572,48)&amp;"","")&amp;"␟"&amp;IFERROR(INDEX(PASTE_ALL,$DF572,49)&amp;"","")&amp;"␟"&amp;IFERROR(INDEX(PASTE_ALL,$DF572,50)&amp;"","")&amp;"␟"&amp;IFERROR(INDEX(PASTE_ALL,$DF572,51)&amp;"","")&amp;"␟"&amp;IFERROR(INDEX(PASTE_ALL,$DF572,52)&amp;"","")&amp;"␟"&amp;IFERROR(INDEX(PASTE_ALL,$DF572,53)&amp;"","")&amp;"␟"&amp;IFERROR(INDEX(PASTE_ALL,$DF572,54)&amp;"","")&amp;"␟"&amp;IFERROR(INDEX(PASTE_ALL,$DF572,55)&amp;"","")&amp;"␟"&amp;IFERROR(INDEX(PASTE_ALL,$DF572,56)&amp;"","")&amp;"␟"&amp;IFERROR(INDEX(PASTE_ALL,$DF572,57)&amp;"","")&amp;"␟"&amp;IFERROR(INDEX(PASTE_ALL,$DF572,58)&amp;"","")&amp;"␟"&amp;IFERROR(INDEX(PASTE_ALL,$DF572,59)&amp;"","")&amp;"␟"&amp;IFERROR(INDEX(PASTE_ALL,$DF572,60)&amp;"","")," "," "),CHAR(9)," "),CHAR(10)," "),CHAR(13)," "))," ␟","␟"),"␟ ","␟"),"#"&amp;$DE572),"")</f>
        <v/>
      </c>
      <c r="DJ572">
        <f>IF($DI572="",0,IF(SUMPRODUCT(--EXACT($DI$4:DI571,$DI572))&gt;0,1,0))</f>
        <v/>
      </c>
      <c r="DK572">
        <f>IF(AND($DI572&lt;&gt;"",$DJ572=0),1,0)</f>
        <v/>
      </c>
      <c r="DL572">
        <f>DL571+$DK572</f>
        <v/>
      </c>
      <c r="DM572">
        <f>IF(AND($DK572=1,$DL572&lt;=600),1,0)</f>
        <v/>
      </c>
      <c r="DN572">
        <f>IF($DM572=0,"",IF($L$6=0,"",IFERROR(IF(ISNUMBER(INDEX(PASTE_ALL,$DF572,$L$6)),INDEX(PASTE_ALL,$DF572,$L$6),TRIM(SUBSTITUTE(SUBSTITUTE(SUBSTITUTE(SUBSTITUTE(INDEX(PASTE_ALL,$DF572,$L$6)," "," "),CHAR(9)," "),CHAR(10)," "),CHAR(13)," "))),"")))</f>
        <v/>
      </c>
      <c r="DO572">
        <f>IF($DM572=0,"",IF($L$7=0,"",IFERROR(IF(ISNUMBER(INDEX(PASTE_ALL,$DF572,$L$7)),INDEX(PASTE_ALL,$DF572,$L$7),TRIM(SUBSTITUTE(SUBSTITUTE(SUBSTITUTE(SUBSTITUTE(INDEX(PASTE_ALL,$DF572,$L$7)," "," "),CHAR(9)," "),CHAR(10)," "),CHAR(13)," "))),"")))</f>
        <v/>
      </c>
      <c r="DP572">
        <f>IF($DM572=0,"",IF($L$8=0,"",IFERROR(IF(ISNUMBER(INDEX(PASTE_ALL,$DF572,$L$8)),INDEX(PASTE_ALL,$DF572,$L$8),TRIM(SUBSTITUTE(SUBSTITUTE(SUBSTITUTE(SUBSTITUTE(INDEX(PASTE_ALL,$DF572,$L$8)," "," "),CHAR(9)," "),CHAR(10)," "),CHAR(13)," "))),"")))</f>
        <v/>
      </c>
      <c r="DQ572">
        <f>IF($DM572=0,"",IF($L$9=0,"",IFERROR(IF(ISNUMBER(INDEX(PASTE_ALL,$DF572,$L$9)),INDEX(PASTE_ALL,$DF572,$L$9),TRIM(SUBSTITUTE(SUBSTITUTE(SUBSTITUTE(SUBSTITUTE(INDEX(PASTE_ALL,$DF572,$L$9)," "," "),CHAR(9)," "),CHAR(10)," "),CHAR(13)," "))),"")))</f>
        <v/>
      </c>
      <c r="DR572">
        <f>IF($DM572=0,"",IF($L$10=0,"",IFERROR(IF(ISNUMBER(INDEX(PASTE_ALL,$DF572,$L$10)),INDEX(PASTE_ALL,$DF572,$L$10),TRIM(SUBSTITUTE(SUBSTITUTE(SUBSTITUTE(SUBSTITUTE(INDEX(PASTE_ALL,$DF572,$L$10)," "," "),CHAR(9)," "),CHAR(10)," "),CHAR(13)," "))),"")))</f>
        <v/>
      </c>
      <c r="DS572">
        <f>IF($DM572=0,"",IF($L$11=0,"",IFERROR(IF(ISNUMBER(INDEX(PASTE_ALL,$DF572,$L$11)),INDEX(PASTE_ALL,$DF572,$L$11),TRIM(SUBSTITUTE(SUBSTITUTE(SUBSTITUTE(SUBSTITUTE(INDEX(PASTE_ALL,$DF572,$L$11)," "," "),CHAR(9)," "),CHAR(10)," "),CHAR(13)," "))),"")))</f>
        <v/>
      </c>
      <c r="DT572">
        <f>IF($DM572=0,"",IF($L$12=0,"",IFERROR(IF(ISNUMBER(INDEX(PASTE_ALL,$DF572,$L$12)),INDEX(PASTE_ALL,$DF572,$L$12),TRIM(SUBSTITUTE(SUBSTITUTE(SUBSTITUTE(SUBSTITUTE(INDEX(PASTE_ALL,$DF572,$L$12)," "," "),CHAR(9)," "),CHAR(10)," "),CHAR(13)," "))),"")))</f>
        <v/>
      </c>
      <c r="DU572">
        <f>IF($DM572=0,"",IF($L$13=0,"",IFERROR(IF(ISNUMBER(INDEX(PASTE_ALL,$DF572,$L$13)),INDEX(PASTE_ALL,$DF572,$L$13),TRIM(SUBSTITUTE(SUBSTITUTE(SUBSTITUTE(SUBSTITUTE(INDEX(PASTE_ALL,$DF572,$L$13)," "," "),CHAR(9)," "),CHAR(10)," "),CHAR(13)," "))),"")))</f>
        <v/>
      </c>
      <c r="DV572">
        <f>IF($DM572=0,"",IF($L$14=0,"",IFERROR(IF(ISNUMBER(INDEX(PASTE_ALL,$DF572,$L$14)),INDEX(PASTE_ALL,$DF572,$L$14),TRIM(SUBSTITUTE(SUBSTITUTE(SUBSTITUTE(SUBSTITUTE(INDEX(PASTE_ALL,$DF572,$L$14)," "," "),CHAR(9)," "),CHAR(10)," "),CHAR(13)," "))),"")))</f>
        <v/>
      </c>
      <c r="DW572">
        <f>IF($DM572=0,"",IF($L$15=0,"",IFERROR(IF(ISNUMBER(INDEX(PASTE_ALL,$DF572,$L$15)),INDEX(PASTE_ALL,$DF572,$L$15),IF(SUMPRODUCT(--ISNUMBER(FIND({"A","B","C","D","E","F","G","H","I","J","K","L","M","N","O","P","Q","R","S","T","U","V","W","X","Y","Z","0","1","2","3","4","5","6","7","8","9"},UPPER(TRIM(SUBSTITUTE(SUBSTITUTE(SUBSTITUTE(SUBSTITUTE(INDEX(PASTE_ALL,$DF572,$L$15)," "," "),CHAR(9)," "),CHAR(10)," "),CHAR(13)," "))))))&gt;0,TRIM(SUBSTITUTE(SUBSTITUTE(SUBSTITUTE(SUBSTITUTE(INDEX(PASTE_ALL,$DF572,$L$15)," "," "),CHAR(9)," "),CHAR(10)," "),CHAR(13)," ")),"")),"")))</f>
        <v/>
      </c>
      <c r="DX572">
        <f>IF($DM572=0,"",IF($L$16=0,"",IFERROR(IF(ISNUMBER(INDEX(PASTE_ALL,$DF572,$L$16)),INDEX(PASTE_ALL,$DF572,$L$16),SUBSTITUTE(SUBSTITUTE(TRIM(SUBSTITUTE(SUBSTITUTE(SUBSTITUTE(SUBSTITUTE(INDEX(PASTE_ALL,$DF572,$L$16)," "," "),CHAR(9)," "),CHAR(10)," "),CHAR(13)," ")),",",""),"%","")),"")))</f>
        <v/>
      </c>
      <c r="DY572">
        <f>IF($DM572=0,"",IFERROR(IF(ISNUMBER($DX572),$DX572,IF($DX572="","",IF(TRIM($DX572)="",0,IF(AND(AND(SUBSTITUTE(SUBSTITUTE(SUBSTITUTE(SUBSTITUTE(SUBSTITUTE(SUBSTITUTE(SUBSTITUTE(SUBSTITUTE(SUBSTITUTE(SUBSTITUTE(SUBSTITUTE(SUBSTITUTE(SUBSTITUTE(SUBSTITUTE(UPPER(TRIM($DX572)),"0",""),"1",""),"2",""),"3",""),"4",""),"5",""),"6",""),"7",""),"8",""),"9",""),".",""),"+",""),"-",""),"E","")="",LEN(SUBSTITUTE(SUBSTITUTE(MID(UPPER(TRIM($DX572)),1+OR(LEFT(UPPER(TRIM($DX572)),1)="+",LEFT(UPPER(TRIM($DX572)),1)="-"),999),"E+","E"),"E-","E"))=LEN(SUBSTITUTE(SUBSTITUTE(SUBSTITUTE(SUBSTITUTE(MID(UPPER(TRIM($DX572)),1+OR(LEFT(UPPER(TRIM($DX572)),1)="+",LEFT(UPPER(TRIM($DX572)),1)="-"),999),"E+","E"),"E-","E"),"+",""),"-","")),LEN(UPPER(TRIM($DX572)))-LEN(SUBSTITUTE(UPPER(TRIM($DX572)),"E",""))&lt;2,LEN(UPPER(TRIM($DX572)))-LEN(SUBSTITUTE(UPPER(TRIM($DX572)),".",""))&lt;2,IFERROR(FIND(".",UPPER(TRIM($DX572))),0)&lt;IFERROR(FIND("E",UPPER(TRIM($DX572))),999)),ISNUMBER(VALUE(TRIM($DX572)))),VALUE(TRIM($DX572)),"")))),""))</f>
        <v/>
      </c>
      <c r="DZ572">
        <f>IF($DM572=0,"",IF($L$17=0,"",IFERROR(IF(ISNUMBER(INDEX(PASTE_ALL,$DF572,$L$17)),INDEX(PASTE_ALL,$DF572,$L$17),SUBSTITUTE(SUBSTITUTE(TRIM(SUBSTITUTE(SUBSTITUTE(SUBSTITUTE(SUBSTITUTE(INDEX(PASTE_ALL,$DF572,$L$17)," "," "),CHAR(9)," "),CHAR(10)," "),CHAR(13)," ")),",",""),"%","")),"")))</f>
        <v/>
      </c>
      <c r="EA572">
        <f>IF($DM572=0,"",IFERROR(IF(ISNUMBER($DZ572),$DZ572,IF($DZ572="","",IF(TRIM($DZ572)="",0,IF(AND(AND(SUBSTITUTE(SUBSTITUTE(SUBSTITUTE(SUBSTITUTE(SUBSTITUTE(SUBSTITUTE(SUBSTITUTE(SUBSTITUTE(SUBSTITUTE(SUBSTITUTE(SUBSTITUTE(SUBSTITUTE(SUBSTITUTE(SUBSTITUTE(UPPER(TRIM($DZ572)),"0",""),"1",""),"2",""),"3",""),"4",""),"5",""),"6",""),"7",""),"8",""),"9",""),".",""),"+",""),"-",""),"E","")="",LEN(SUBSTITUTE(SUBSTITUTE(MID(UPPER(TRIM($DZ572)),1+OR(LEFT(UPPER(TRIM($DZ572)),1)="+",LEFT(UPPER(TRIM($DZ572)),1)="-"),999),"E+","E"),"E-","E"))=LEN(SUBSTITUTE(SUBSTITUTE(SUBSTITUTE(SUBSTITUTE(MID(UPPER(TRIM($DZ572)),1+OR(LEFT(UPPER(TRIM($DZ572)),1)="+",LEFT(UPPER(TRIM($DZ572)),1)="-"),999),"E+","E"),"E-","E"),"+",""),"-","")),LEN(UPPER(TRIM($DZ572)))-LEN(SUBSTITUTE(UPPER(TRIM($DZ572)),"E",""))&lt;2,LEN(UPPER(TRIM($DZ572)))-LEN(SUBSTITUTE(UPPER(TRIM($DZ572)),".",""))&lt;2,IFERROR(FIND(".",UPPER(TRIM($DZ572))),0)&lt;IFERROR(FIND("E",UPPER(TRIM($DZ572))),999)),ISNUMBER(VALUE(TRIM($DZ572)))),VALUE(TRIM($DZ572)),"")))),""))</f>
        <v/>
      </c>
      <c r="EB572">
        <f>IF($DM572=0,"",IF($L$18=0,"",IFERROR(IF(UPPER(TRIM(SUBSTITUTE(SUBSTITUTE(SUBSTITUTE(SUBSTITUTE(INDEX(PASTE_ALL,$DF572,$L$18)," "," "),CHAR(9)," "),CHAR(10)," "),CHAR(13)," ")))="READY","Ready",IF(UPPER(TRIM(SUBSTITUTE(SUBSTITUTE(SUBSTITUTE(SUBSTITUTE(INDEX(PASTE_ALL,$DF572,$L$18)," "," "),CHAR(9)," "),CHAR(10)," "),CHAR(13)," ")))="PM","PM",IF(OR(UPPER(TRIM(SUBSTITUTE(SUBSTITUTE(SUBSTITUTE(SUBSTITUTE(INDEX(PASTE_ALL,$DF572,$L$18)," "," "),CHAR(9)," "),CHAR(10)," "),CHAR(13)," ")))="OT",UPPER(TRIM(SUBSTITUTE(SUBSTITUTE(SUBSTITUTE(SUBSTITUTE(INDEX(PASTE_ALL,$DF572,$L$18)," "," "),CHAR(9)," "),CHAR(10)," "),CHAR(13)," ")))="OVERTIME",UPPER(TRIM(SUBSTITUTE(SUBSTITUTE(SUBSTITUTE(SUBSTITUTE(INDEX(PASTE_ALL,$DF572,$L$18)," "," "),CHAR(9)," "),CHAR(10)," "),CHAR(13)," ")))="TRIAL"),"OT",TRIM(SUBSTITUTE(SUBSTITUTE(SUBSTITUTE(SUBSTITUTE(INDEX(PASTE_ALL,$DF572,$L$18)," "," "),CHAR(9)," "),CHAR(10)," "),CHAR(13)," "))))),"")))</f>
        <v/>
      </c>
      <c r="EC572">
        <f>IF($DM572=0,"",IF($L$19=0,"",IFERROR(IF(ISNUMBER(INDEX(PASTE_ALL,$DF572,$L$19)),INDEX(PASTE_ALL,$DF572,$L$19),TRIM(SUBSTITUTE(SUBSTITUTE(SUBSTITUTE(SUBSTITUTE(INDEX(PASTE_ALL,$DF572,$L$19)," "," "),CHAR(9)," "),CHAR(10)," "),CHAR(13)," "))),"")))</f>
        <v/>
      </c>
      <c r="ED572">
        <f>IF($DM572=0,"",MATCH(1,INDEX(EXACT($DH$5:DH572,$DH572)*$DM$5:DM572,0),0))</f>
        <v/>
      </c>
      <c r="EE572">
        <f>IF($DM572=0,0,IF($ED572=$DE572,1,0))</f>
        <v/>
      </c>
      <c r="EF572">
        <f>EF571+$EE572</f>
        <v/>
      </c>
      <c r="EG572">
        <f>IF($DM572=0,"",INDEX($EF$5:$EF$1003,$ED572))</f>
        <v/>
      </c>
      <c r="EH572">
        <f>IF($DM572=0,"",IF($DO572&lt;&gt;"","",IFERROR(LOOKUP(2,1/(($EG$4:EG571=$EG572)*($DO$4:DO571&lt;&gt;"")),$DO$4:DO571),"")))</f>
        <v/>
      </c>
      <c r="EI572">
        <f>IF($DM572=0,"",IF($DO572&lt;&gt;"",$DO572,$EH572))</f>
        <v/>
      </c>
      <c r="EJ572">
        <f>IF($DM572=0,"",IF($EI572="",0,IF(OR(ISNUMBER($EI572),AND(AND(SUBSTITUTE(SUBSTITUTE(SUBSTITUTE(SUBSTITUTE(SUBSTITUTE(SUBSTITUTE(SUBSTITUTE(SUBSTITUTE(SUBSTITUTE(SUBSTITUTE(SUBSTITUTE(SUBSTITUTE(SUBSTITUTE(SUBSTITUTE(UPPER($EI572),"0",""),"1",""),"2",""),"3",""),"4",""),"5",""),"6",""),"7",""),"8",""),"9",""),".",""),"+",""),"-",""),"E","")="",LEN(SUBSTITUTE(SUBSTITUTE(MID(UPPER($EI572),1+OR(LEFT(UPPER($EI572),1)="+",LEFT(UPPER($EI572),1)="-"),999),"E+","E"),"E-","E"))=LEN(SUBSTITUTE(SUBSTITUTE(SUBSTITUTE(SUBSTITUTE(MID(UPPER($EI572),1+OR(LEFT(UPPER($EI572),1)="+",LEFT(UPPER($EI572),1)="-"),999),"E+","E"),"E-","E"),"+",""),"-","")),LEN(UPPER($EI572))-LEN(SUBSTITUTE(UPPER($EI572),"E",""))&lt;2,LEN(UPPER($EI572))-LEN(SUBSTITUTE(UPPER($EI572),".",""))&lt;2,IFERROR(FIND(".",UPPER($EI572)),0)&lt;IFERROR(FIND("E",UPPER($EI572)),999)),ISNUMBER(VALUE($EI572)))),1,2)))</f>
        <v/>
      </c>
      <c r="EK572">
        <f>IF($DM572=0,"",IF($EJ572=1,IF(ISNUMBER($EI572),$EI572,VALUE($EI572)),IF($EJ572=2,$DE572,0)))</f>
        <v/>
      </c>
      <c r="EL572">
        <f>IF($DM572=0,"",COUNTIF($EG$5:$EG$1003,"&lt;"&amp;$EG572)+SUMPRODUCT(($EG$5:$EG$1003=$EG572)*(($EJ$5:$EJ$1003&lt;$EJ572)+($EJ$5:$EJ$1003=$EJ572)*(($EK$5:$EK$1003&lt;$EK572)+($EK$5:$EK$1003=$EK572)*($DE$5:$DE$1003&lt;$DE572))))+1)</f>
        <v/>
      </c>
      <c r="EM572">
        <f>IF($DM572=0,"",$EL572+$EG572-1)</f>
        <v/>
      </c>
      <c r="EN572">
        <f>IF($DM572=0,0,IFERROR(MATCH(1,INDEX(--(TRIM(SUBSTITUTE(SUBSTITUTE(SUBSTITUTE(SUBSTITUTE(LINES_NAME&amp;""," "," "),CHAR(9)," "),CHAR(10)," "),CHAR(13)," "))=$DH572),0),0),0))</f>
        <v/>
      </c>
      <c r="EO572">
        <f>IF($EN572=0,0,IF(OR(UPPER(TRIM(INDEX(LINES_SCHEDULED,$EN572)&amp;""))="YES",UPPER(TRIM(INDEX(LINES_SCHEDULED,$EN572)&amp;""))="Y",UPPER(TRIM(INDEX(LINES_SCHEDULED,$EN572)&amp;""))="X"),1,0))</f>
        <v/>
      </c>
      <c r="EP572">
        <f>IF($DM572=0,"",IF(COUNTIFS($EG$5:$EG$1003,$EG572,$EB$5:$EB$1003,"Ready")&gt;0,"READY",IF(COUNTIFS($EG$5:$EG$1003,$EG572,$EB$5:$EB$1003,"PM")&gt;0,"PM",IF(COUNTIFS($EG$5:$EG$1003,$EG572,$EB$5:$EB$1003,"OT")&gt;0,"OT",""))))</f>
        <v/>
      </c>
      <c r="EQ572">
        <f>IF($EN572=0,"",UPPER(TRIM(INDEX(LINES_STATUS,$EN572)&amp;"")))</f>
        <v/>
      </c>
      <c r="ER572">
        <f>IF($DM572=0,"",IF(OR($EQ572="READY",$EQ572="PM",$EQ572="OT"),$EQ572,$EP572))</f>
        <v/>
      </c>
      <c r="ES572">
        <f>IF($DM572=0,"",IF(AND($DV572&lt;&gt;"",UPPER($DV572)&lt;&gt;"N"),"allergen",IF(ISNUMBER(SEARCH("oil",$DQ572)),"oil",IF(OR(EXACT($DS572,"A662"),EXACT($DS572,"A624")),"bulk",""))))</f>
        <v/>
      </c>
      <c r="ET572">
        <f>IF($DM572=0,"",IF(OR($EA572="",$EA572=0),"",$EA572/100))</f>
        <v/>
      </c>
      <c r="EU572">
        <f>IF(OR($ET572="",$DY572=""),"",INT($DY572*(1-$ET572)+0.5))</f>
        <v/>
      </c>
      <c r="EW572" t="n">
        <v>568</v>
      </c>
      <c r="EX572">
        <f>IFERROR(MATCH($EW572,$EM$5:$EM$1003,0),0)</f>
        <v/>
      </c>
      <c r="EY572">
        <f>IF($EW572&gt;$B$12,"",IF($EX572&gt;0,"row","spacer"))</f>
        <v/>
      </c>
      <c r="EZ572">
        <f>IF(AND($EY572="row",$EY571&lt;&gt;"row"),1,0)</f>
        <v/>
      </c>
      <c r="FA572">
        <f>IF(AND($EY572="row",$EY573&lt;&gt;"row"),1,0)</f>
        <v/>
      </c>
      <c r="FB572">
        <f>IF($EZ572=1,IFERROR(IF(ISNUMBER(INDEX(PASTE_ALL,INDEX($DF$5:$DF$1003,$EX572),$B$37)),INDEX(PASTE_ALL,INDEX($DF$5:$DF$1003,$EX572),$B$37),INDEX($DH$5:$DH$1003,$EX572)),INDEX($DH$5:$DH$1003,$EX572)),"")</f>
        <v/>
      </c>
      <c r="FC572">
        <f>IF($EY572="row",INDEX($ER$5:$ER$1003,$EX572),"")</f>
        <v/>
      </c>
      <c r="FD572">
        <f>IF($EY572="row",INDEX($DN$5:$DN$1003,$EX572),"")</f>
        <v/>
      </c>
      <c r="FE572">
        <f>IF($EY572="row",INDEX($DO$5:$DO$1003,$EX572),"")</f>
        <v/>
      </c>
      <c r="FF572">
        <f>IF($EY572="row",INDEX($DP$5:$DP$1003,$EX572),"")</f>
        <v/>
      </c>
      <c r="FG572">
        <f>IF($EY572="row",INDEX($DQ$5:$DQ$1003,$EX572),"")</f>
        <v/>
      </c>
      <c r="FH572">
        <f>IF($EY572="row",INDEX($DR$5:$DR$1003,$EX572),"")</f>
        <v/>
      </c>
      <c r="FI572">
        <f>IF($EY572="row",INDEX($DS$5:$DS$1003,$EX572),"")</f>
        <v/>
      </c>
      <c r="FJ572">
        <f>IF($EY572="row",INDEX($DT$5:$DT$1003,$EX572),"")</f>
        <v/>
      </c>
      <c r="FK572">
        <f>IF($EY572="row",INDEX($DU$5:$DU$1003,$EX572),"")</f>
        <v/>
      </c>
      <c r="FL572">
        <f>IF($EY572="row",INDEX($DV$5:$DV$1003,$EX572),"")</f>
        <v/>
      </c>
      <c r="FM572">
        <f>IF($EY572="row",INDEX($DW$5:$DW$1003,$EX572),"")</f>
        <v/>
      </c>
      <c r="FN572">
        <f>IF($EY572="row",INDEX($DY$5:$DY$1003,$EX572),"")</f>
        <v/>
      </c>
      <c r="FO572">
        <f>IF($EY572="row",INDEX($EA$5:$EA$1003,$EX572),"")</f>
        <v/>
      </c>
      <c r="FP572">
        <f>IF($EY572="row",INDEX($EC$5:$EC$1003,$EX572),"")</f>
        <v/>
      </c>
      <c r="FQ572">
        <f>IF($EY572="row",INDEX($ET$5:$ET$1003,$EX572),"")</f>
        <v/>
      </c>
      <c r="FR572">
        <f>IF($EY572="row",INDEX($EU$5:$EU$1003,$EX572),"")</f>
        <v/>
      </c>
      <c r="FS572">
        <f>IF(AND($EY572="row",$EY571="row"),IF(OR(INDEX($DT$5:$DT$1003,$EX571)="",INDEX($DT$5:$DT$1003,$EX572)=""),"",IF(NOT(EXACT(INDEX($DT$5:$DT$1003,$EX571),INDEX($DT$5:$DT$1003,$EX572))),"S4",IF(NOT(EXACT(INDEX($DS$5:$DS$1003,$EX571),INDEX($DS$5:$DS$1003,$EX572))),"S3",IF(NOT(EXACT(INDEX($DR$5:$DR$1003,$EX571),INDEX($DR$5:$DR$1003,$EX572))),"S1 Count Change","S1")))),"")</f>
        <v/>
      </c>
      <c r="FT572">
        <f>IF($EY572="row",INDEX($ES$5:$ES$1003,$EX572),"")</f>
        <v/>
      </c>
      <c r="FU572">
        <f>IF($EY572="row",INDEX($EO$5:$EO$1003,$EX572),0)</f>
        <v/>
      </c>
      <c r="FV572">
        <f>IF($FS572="S1 Count Change",1,0)</f>
        <v/>
      </c>
    </row>
    <row r="573">
      <c r="DA573" t="n">
        <v>569</v>
      </c>
      <c r="DB573">
        <f>IF($B$37=0,"",IFERROR(TRIM(SUBSTITUTE(SUBSTITUTE(SUBSTITUTE(SUBSTITUTE(INDEX(PASTE_ALL,569,$B$37)," "," "),CHAR(9)," "),CHAR(10)," "),CHAR(13)," ")),""))</f>
        <v/>
      </c>
      <c r="DC573">
        <f>IF(AND(569&gt;HEADER_ROW,UPPER(DB573)="LEGEND"),1,0)</f>
        <v/>
      </c>
      <c r="DE573" t="n">
        <v>569</v>
      </c>
      <c r="DF573">
        <f>HEADER_ROW+$DE573</f>
        <v/>
      </c>
      <c r="DG573">
        <f>IF(AND($DF573&lt;=1000,$DF573&lt;$B$8),1,0)</f>
        <v/>
      </c>
      <c r="DH573">
        <f>IF($DG573=1,IFERROR(INDEX($DB$5:$DB$1004,$DF573),""),"")</f>
        <v/>
      </c>
      <c r="DI573">
        <f>IF(AND($DG573=1,$DH573&lt;&gt;""),IFERROR(SUBSTITUTE(SUBSTITUTE(TRIM(SUBSTITUTE(SUBSTITUTE(SUBSTITUTE(SUBSTITUTE(IFERROR(INDEX(PASTE_ALL,$DF573,1)&amp;"","")&amp;"␟"&amp;IFERROR(INDEX(PASTE_ALL,$DF573,2)&amp;"","")&amp;"␟"&amp;IFERROR(INDEX(PASTE_ALL,$DF573,3)&amp;"","")&amp;"␟"&amp;IFERROR(INDEX(PASTE_ALL,$DF573,4)&amp;"","")&amp;"␟"&amp;IFERROR(INDEX(PASTE_ALL,$DF573,5)&amp;"","")&amp;"␟"&amp;IFERROR(INDEX(PASTE_ALL,$DF573,6)&amp;"","")&amp;"␟"&amp;IFERROR(INDEX(PASTE_ALL,$DF573,7)&amp;"","")&amp;"␟"&amp;IFERROR(INDEX(PASTE_ALL,$DF573,8)&amp;"","")&amp;"␟"&amp;IFERROR(INDEX(PASTE_ALL,$DF573,9)&amp;"","")&amp;"␟"&amp;IFERROR(INDEX(PASTE_ALL,$DF573,10)&amp;"","")&amp;"␟"&amp;IFERROR(INDEX(PASTE_ALL,$DF573,11)&amp;"","")&amp;"␟"&amp;IFERROR(INDEX(PASTE_ALL,$DF573,12)&amp;"","")&amp;"␟"&amp;IFERROR(INDEX(PASTE_ALL,$DF573,13)&amp;"","")&amp;"␟"&amp;IFERROR(INDEX(PASTE_ALL,$DF573,14)&amp;"","")&amp;"␟"&amp;IFERROR(INDEX(PASTE_ALL,$DF573,15)&amp;"","")&amp;"␟"&amp;IFERROR(INDEX(PASTE_ALL,$DF573,16)&amp;"","")&amp;"␟"&amp;IFERROR(INDEX(PASTE_ALL,$DF573,17)&amp;"","")&amp;"␟"&amp;IFERROR(INDEX(PASTE_ALL,$DF573,18)&amp;"","")&amp;"␟"&amp;IFERROR(INDEX(PASTE_ALL,$DF573,19)&amp;"","")&amp;"␟"&amp;IFERROR(INDEX(PASTE_ALL,$DF573,20)&amp;"","")&amp;"␟"&amp;IFERROR(INDEX(PASTE_ALL,$DF573,21)&amp;"","")&amp;"␟"&amp;IFERROR(INDEX(PASTE_ALL,$DF573,22)&amp;"","")&amp;"␟"&amp;IFERROR(INDEX(PASTE_ALL,$DF573,23)&amp;"","")&amp;"␟"&amp;IFERROR(INDEX(PASTE_ALL,$DF573,24)&amp;"","")&amp;"␟"&amp;IFERROR(INDEX(PASTE_ALL,$DF573,25)&amp;"","")&amp;"␟"&amp;IFERROR(INDEX(PASTE_ALL,$DF573,26)&amp;"","")&amp;"␟"&amp;IFERROR(INDEX(PASTE_ALL,$DF573,27)&amp;"","")&amp;"␟"&amp;IFERROR(INDEX(PASTE_ALL,$DF573,28)&amp;"","")&amp;"␟"&amp;IFERROR(INDEX(PASTE_ALL,$DF573,29)&amp;"","")&amp;"␟"&amp;IFERROR(INDEX(PASTE_ALL,$DF573,30)&amp;"","")&amp;"␟"&amp;IFERROR(INDEX(PASTE_ALL,$DF573,31)&amp;"","")&amp;"␟"&amp;IFERROR(INDEX(PASTE_ALL,$DF573,32)&amp;"","")&amp;"␟"&amp;IFERROR(INDEX(PASTE_ALL,$DF573,33)&amp;"","")&amp;"␟"&amp;IFERROR(INDEX(PASTE_ALL,$DF573,34)&amp;"","")&amp;"␟"&amp;IFERROR(INDEX(PASTE_ALL,$DF573,35)&amp;"","")&amp;"␟"&amp;IFERROR(INDEX(PASTE_ALL,$DF573,36)&amp;"","")&amp;"␟"&amp;IFERROR(INDEX(PASTE_ALL,$DF573,37)&amp;"","")&amp;"␟"&amp;IFERROR(INDEX(PASTE_ALL,$DF573,38)&amp;"","")&amp;"␟"&amp;IFERROR(INDEX(PASTE_ALL,$DF573,39)&amp;"","")&amp;"␟"&amp;IFERROR(INDEX(PASTE_ALL,$DF573,40)&amp;"","")&amp;"␟"&amp;IFERROR(INDEX(PASTE_ALL,$DF573,41)&amp;"","")&amp;"␟"&amp;IFERROR(INDEX(PASTE_ALL,$DF573,42)&amp;"","")&amp;"␟"&amp;IFERROR(INDEX(PASTE_ALL,$DF573,43)&amp;"","")&amp;"␟"&amp;IFERROR(INDEX(PASTE_ALL,$DF573,44)&amp;"","")&amp;"␟"&amp;IFERROR(INDEX(PASTE_ALL,$DF573,45)&amp;"","")&amp;"␟"&amp;IFERROR(INDEX(PASTE_ALL,$DF573,46)&amp;"","")&amp;"␟"&amp;IFERROR(INDEX(PASTE_ALL,$DF573,47)&amp;"","")&amp;"␟"&amp;IFERROR(INDEX(PASTE_ALL,$DF573,48)&amp;"","")&amp;"␟"&amp;IFERROR(INDEX(PASTE_ALL,$DF573,49)&amp;"","")&amp;"␟"&amp;IFERROR(INDEX(PASTE_ALL,$DF573,50)&amp;"","")&amp;"␟"&amp;IFERROR(INDEX(PASTE_ALL,$DF573,51)&amp;"","")&amp;"␟"&amp;IFERROR(INDEX(PASTE_ALL,$DF573,52)&amp;"","")&amp;"␟"&amp;IFERROR(INDEX(PASTE_ALL,$DF573,53)&amp;"","")&amp;"␟"&amp;IFERROR(INDEX(PASTE_ALL,$DF573,54)&amp;"","")&amp;"␟"&amp;IFERROR(INDEX(PASTE_ALL,$DF573,55)&amp;"","")&amp;"␟"&amp;IFERROR(INDEX(PASTE_ALL,$DF573,56)&amp;"","")&amp;"␟"&amp;IFERROR(INDEX(PASTE_ALL,$DF573,57)&amp;"","")&amp;"␟"&amp;IFERROR(INDEX(PASTE_ALL,$DF573,58)&amp;"","")&amp;"␟"&amp;IFERROR(INDEX(PASTE_ALL,$DF573,59)&amp;"","")&amp;"␟"&amp;IFERROR(INDEX(PASTE_ALL,$DF573,60)&amp;"","")," "," "),CHAR(9)," "),CHAR(10)," "),CHAR(13)," "))," ␟","␟"),"␟ ","␟"),"#"&amp;$DE573),"")</f>
        <v/>
      </c>
      <c r="DJ573">
        <f>IF($DI573="",0,IF(SUMPRODUCT(--EXACT($DI$4:DI572,$DI573))&gt;0,1,0))</f>
        <v/>
      </c>
      <c r="DK573">
        <f>IF(AND($DI573&lt;&gt;"",$DJ573=0),1,0)</f>
        <v/>
      </c>
      <c r="DL573">
        <f>DL572+$DK573</f>
        <v/>
      </c>
      <c r="DM573">
        <f>IF(AND($DK573=1,$DL573&lt;=600),1,0)</f>
        <v/>
      </c>
      <c r="DN573">
        <f>IF($DM573=0,"",IF($L$6=0,"",IFERROR(IF(ISNUMBER(INDEX(PASTE_ALL,$DF573,$L$6)),INDEX(PASTE_ALL,$DF573,$L$6),TRIM(SUBSTITUTE(SUBSTITUTE(SUBSTITUTE(SUBSTITUTE(INDEX(PASTE_ALL,$DF573,$L$6)," "," "),CHAR(9)," "),CHAR(10)," "),CHAR(13)," "))),"")))</f>
        <v/>
      </c>
      <c r="DO573">
        <f>IF($DM573=0,"",IF($L$7=0,"",IFERROR(IF(ISNUMBER(INDEX(PASTE_ALL,$DF573,$L$7)),INDEX(PASTE_ALL,$DF573,$L$7),TRIM(SUBSTITUTE(SUBSTITUTE(SUBSTITUTE(SUBSTITUTE(INDEX(PASTE_ALL,$DF573,$L$7)," "," "),CHAR(9)," "),CHAR(10)," "),CHAR(13)," "))),"")))</f>
        <v/>
      </c>
      <c r="DP573">
        <f>IF($DM573=0,"",IF($L$8=0,"",IFERROR(IF(ISNUMBER(INDEX(PASTE_ALL,$DF573,$L$8)),INDEX(PASTE_ALL,$DF573,$L$8),TRIM(SUBSTITUTE(SUBSTITUTE(SUBSTITUTE(SUBSTITUTE(INDEX(PASTE_ALL,$DF573,$L$8)," "," "),CHAR(9)," "),CHAR(10)," "),CHAR(13)," "))),"")))</f>
        <v/>
      </c>
      <c r="DQ573">
        <f>IF($DM573=0,"",IF($L$9=0,"",IFERROR(IF(ISNUMBER(INDEX(PASTE_ALL,$DF573,$L$9)),INDEX(PASTE_ALL,$DF573,$L$9),TRIM(SUBSTITUTE(SUBSTITUTE(SUBSTITUTE(SUBSTITUTE(INDEX(PASTE_ALL,$DF573,$L$9)," "," "),CHAR(9)," "),CHAR(10)," "),CHAR(13)," "))),"")))</f>
        <v/>
      </c>
      <c r="DR573">
        <f>IF($DM573=0,"",IF($L$10=0,"",IFERROR(IF(ISNUMBER(INDEX(PASTE_ALL,$DF573,$L$10)),INDEX(PASTE_ALL,$DF573,$L$10),TRIM(SUBSTITUTE(SUBSTITUTE(SUBSTITUTE(SUBSTITUTE(INDEX(PASTE_ALL,$DF573,$L$10)," "," "),CHAR(9)," "),CHAR(10)," "),CHAR(13)," "))),"")))</f>
        <v/>
      </c>
      <c r="DS573">
        <f>IF($DM573=0,"",IF($L$11=0,"",IFERROR(IF(ISNUMBER(INDEX(PASTE_ALL,$DF573,$L$11)),INDEX(PASTE_ALL,$DF573,$L$11),TRIM(SUBSTITUTE(SUBSTITUTE(SUBSTITUTE(SUBSTITUTE(INDEX(PASTE_ALL,$DF573,$L$11)," "," "),CHAR(9)," "),CHAR(10)," "),CHAR(13)," "))),"")))</f>
        <v/>
      </c>
      <c r="DT573">
        <f>IF($DM573=0,"",IF($L$12=0,"",IFERROR(IF(ISNUMBER(INDEX(PASTE_ALL,$DF573,$L$12)),INDEX(PASTE_ALL,$DF573,$L$12),TRIM(SUBSTITUTE(SUBSTITUTE(SUBSTITUTE(SUBSTITUTE(INDEX(PASTE_ALL,$DF573,$L$12)," "," "),CHAR(9)," "),CHAR(10)," "),CHAR(13)," "))),"")))</f>
        <v/>
      </c>
      <c r="DU573">
        <f>IF($DM573=0,"",IF($L$13=0,"",IFERROR(IF(ISNUMBER(INDEX(PASTE_ALL,$DF573,$L$13)),INDEX(PASTE_ALL,$DF573,$L$13),TRIM(SUBSTITUTE(SUBSTITUTE(SUBSTITUTE(SUBSTITUTE(INDEX(PASTE_ALL,$DF573,$L$13)," "," "),CHAR(9)," "),CHAR(10)," "),CHAR(13)," "))),"")))</f>
        <v/>
      </c>
      <c r="DV573">
        <f>IF($DM573=0,"",IF($L$14=0,"",IFERROR(IF(ISNUMBER(INDEX(PASTE_ALL,$DF573,$L$14)),INDEX(PASTE_ALL,$DF573,$L$14),TRIM(SUBSTITUTE(SUBSTITUTE(SUBSTITUTE(SUBSTITUTE(INDEX(PASTE_ALL,$DF573,$L$14)," "," "),CHAR(9)," "),CHAR(10)," "),CHAR(13)," "))),"")))</f>
        <v/>
      </c>
      <c r="DW573">
        <f>IF($DM573=0,"",IF($L$15=0,"",IFERROR(IF(ISNUMBER(INDEX(PASTE_ALL,$DF573,$L$15)),INDEX(PASTE_ALL,$DF573,$L$15),IF(SUMPRODUCT(--ISNUMBER(FIND({"A","B","C","D","E","F","G","H","I","J","K","L","M","N","O","P","Q","R","S","T","U","V","W","X","Y","Z","0","1","2","3","4","5","6","7","8","9"},UPPER(TRIM(SUBSTITUTE(SUBSTITUTE(SUBSTITUTE(SUBSTITUTE(INDEX(PASTE_ALL,$DF573,$L$15)," "," "),CHAR(9)," "),CHAR(10)," "),CHAR(13)," "))))))&gt;0,TRIM(SUBSTITUTE(SUBSTITUTE(SUBSTITUTE(SUBSTITUTE(INDEX(PASTE_ALL,$DF573,$L$15)," "," "),CHAR(9)," "),CHAR(10)," "),CHAR(13)," ")),"")),"")))</f>
        <v/>
      </c>
      <c r="DX573">
        <f>IF($DM573=0,"",IF($L$16=0,"",IFERROR(IF(ISNUMBER(INDEX(PASTE_ALL,$DF573,$L$16)),INDEX(PASTE_ALL,$DF573,$L$16),SUBSTITUTE(SUBSTITUTE(TRIM(SUBSTITUTE(SUBSTITUTE(SUBSTITUTE(SUBSTITUTE(INDEX(PASTE_ALL,$DF573,$L$16)," "," "),CHAR(9)," "),CHAR(10)," "),CHAR(13)," ")),",",""),"%","")),"")))</f>
        <v/>
      </c>
      <c r="DY573">
        <f>IF($DM573=0,"",IFERROR(IF(ISNUMBER($DX573),$DX573,IF($DX573="","",IF(TRIM($DX573)="",0,IF(AND(AND(SUBSTITUTE(SUBSTITUTE(SUBSTITUTE(SUBSTITUTE(SUBSTITUTE(SUBSTITUTE(SUBSTITUTE(SUBSTITUTE(SUBSTITUTE(SUBSTITUTE(SUBSTITUTE(SUBSTITUTE(SUBSTITUTE(SUBSTITUTE(UPPER(TRIM($DX573)),"0",""),"1",""),"2",""),"3",""),"4",""),"5",""),"6",""),"7",""),"8",""),"9",""),".",""),"+",""),"-",""),"E","")="",LEN(SUBSTITUTE(SUBSTITUTE(MID(UPPER(TRIM($DX573)),1+OR(LEFT(UPPER(TRIM($DX573)),1)="+",LEFT(UPPER(TRIM($DX573)),1)="-"),999),"E+","E"),"E-","E"))=LEN(SUBSTITUTE(SUBSTITUTE(SUBSTITUTE(SUBSTITUTE(MID(UPPER(TRIM($DX573)),1+OR(LEFT(UPPER(TRIM($DX573)),1)="+",LEFT(UPPER(TRIM($DX573)),1)="-"),999),"E+","E"),"E-","E"),"+",""),"-","")),LEN(UPPER(TRIM($DX573)))-LEN(SUBSTITUTE(UPPER(TRIM($DX573)),"E",""))&lt;2,LEN(UPPER(TRIM($DX573)))-LEN(SUBSTITUTE(UPPER(TRIM($DX573)),".",""))&lt;2,IFERROR(FIND(".",UPPER(TRIM($DX573))),0)&lt;IFERROR(FIND("E",UPPER(TRIM($DX573))),999)),ISNUMBER(VALUE(TRIM($DX573)))),VALUE(TRIM($DX573)),"")))),""))</f>
        <v/>
      </c>
      <c r="DZ573">
        <f>IF($DM573=0,"",IF($L$17=0,"",IFERROR(IF(ISNUMBER(INDEX(PASTE_ALL,$DF573,$L$17)),INDEX(PASTE_ALL,$DF573,$L$17),SUBSTITUTE(SUBSTITUTE(TRIM(SUBSTITUTE(SUBSTITUTE(SUBSTITUTE(SUBSTITUTE(INDEX(PASTE_ALL,$DF573,$L$17)," "," "),CHAR(9)," "),CHAR(10)," "),CHAR(13)," ")),",",""),"%","")),"")))</f>
        <v/>
      </c>
      <c r="EA573">
        <f>IF($DM573=0,"",IFERROR(IF(ISNUMBER($DZ573),$DZ573,IF($DZ573="","",IF(TRIM($DZ573)="",0,IF(AND(AND(SUBSTITUTE(SUBSTITUTE(SUBSTITUTE(SUBSTITUTE(SUBSTITUTE(SUBSTITUTE(SUBSTITUTE(SUBSTITUTE(SUBSTITUTE(SUBSTITUTE(SUBSTITUTE(SUBSTITUTE(SUBSTITUTE(SUBSTITUTE(UPPER(TRIM($DZ573)),"0",""),"1",""),"2",""),"3",""),"4",""),"5",""),"6",""),"7",""),"8",""),"9",""),".",""),"+",""),"-",""),"E","")="",LEN(SUBSTITUTE(SUBSTITUTE(MID(UPPER(TRIM($DZ573)),1+OR(LEFT(UPPER(TRIM($DZ573)),1)="+",LEFT(UPPER(TRIM($DZ573)),1)="-"),999),"E+","E"),"E-","E"))=LEN(SUBSTITUTE(SUBSTITUTE(SUBSTITUTE(SUBSTITUTE(MID(UPPER(TRIM($DZ573)),1+OR(LEFT(UPPER(TRIM($DZ573)),1)="+",LEFT(UPPER(TRIM($DZ573)),1)="-"),999),"E+","E"),"E-","E"),"+",""),"-","")),LEN(UPPER(TRIM($DZ573)))-LEN(SUBSTITUTE(UPPER(TRIM($DZ573)),"E",""))&lt;2,LEN(UPPER(TRIM($DZ573)))-LEN(SUBSTITUTE(UPPER(TRIM($DZ573)),".",""))&lt;2,IFERROR(FIND(".",UPPER(TRIM($DZ573))),0)&lt;IFERROR(FIND("E",UPPER(TRIM($DZ573))),999)),ISNUMBER(VALUE(TRIM($DZ573)))),VALUE(TRIM($DZ573)),"")))),""))</f>
        <v/>
      </c>
      <c r="EB573">
        <f>IF($DM573=0,"",IF($L$18=0,"",IFERROR(IF(UPPER(TRIM(SUBSTITUTE(SUBSTITUTE(SUBSTITUTE(SUBSTITUTE(INDEX(PASTE_ALL,$DF573,$L$18)," "," "),CHAR(9)," "),CHAR(10)," "),CHAR(13)," ")))="READY","Ready",IF(UPPER(TRIM(SUBSTITUTE(SUBSTITUTE(SUBSTITUTE(SUBSTITUTE(INDEX(PASTE_ALL,$DF573,$L$18)," "," "),CHAR(9)," "),CHAR(10)," "),CHAR(13)," ")))="PM","PM",IF(OR(UPPER(TRIM(SUBSTITUTE(SUBSTITUTE(SUBSTITUTE(SUBSTITUTE(INDEX(PASTE_ALL,$DF573,$L$18)," "," "),CHAR(9)," "),CHAR(10)," "),CHAR(13)," ")))="OT",UPPER(TRIM(SUBSTITUTE(SUBSTITUTE(SUBSTITUTE(SUBSTITUTE(INDEX(PASTE_ALL,$DF573,$L$18)," "," "),CHAR(9)," "),CHAR(10)," "),CHAR(13)," ")))="OVERTIME",UPPER(TRIM(SUBSTITUTE(SUBSTITUTE(SUBSTITUTE(SUBSTITUTE(INDEX(PASTE_ALL,$DF573,$L$18)," "," "),CHAR(9)," "),CHAR(10)," "),CHAR(13)," ")))="TRIAL"),"OT",TRIM(SUBSTITUTE(SUBSTITUTE(SUBSTITUTE(SUBSTITUTE(INDEX(PASTE_ALL,$DF573,$L$18)," "," "),CHAR(9)," "),CHAR(10)," "),CHAR(13)," "))))),"")))</f>
        <v/>
      </c>
      <c r="EC573">
        <f>IF($DM573=0,"",IF($L$19=0,"",IFERROR(IF(ISNUMBER(INDEX(PASTE_ALL,$DF573,$L$19)),INDEX(PASTE_ALL,$DF573,$L$19),TRIM(SUBSTITUTE(SUBSTITUTE(SUBSTITUTE(SUBSTITUTE(INDEX(PASTE_ALL,$DF573,$L$19)," "," "),CHAR(9)," "),CHAR(10)," "),CHAR(13)," "))),"")))</f>
        <v/>
      </c>
      <c r="ED573">
        <f>IF($DM573=0,"",MATCH(1,INDEX(EXACT($DH$5:DH573,$DH573)*$DM$5:DM573,0),0))</f>
        <v/>
      </c>
      <c r="EE573">
        <f>IF($DM573=0,0,IF($ED573=$DE573,1,0))</f>
        <v/>
      </c>
      <c r="EF573">
        <f>EF572+$EE573</f>
        <v/>
      </c>
      <c r="EG573">
        <f>IF($DM573=0,"",INDEX($EF$5:$EF$1003,$ED573))</f>
        <v/>
      </c>
      <c r="EH573">
        <f>IF($DM573=0,"",IF($DO573&lt;&gt;"","",IFERROR(LOOKUP(2,1/(($EG$4:EG572=$EG573)*($DO$4:DO572&lt;&gt;"")),$DO$4:DO572),"")))</f>
        <v/>
      </c>
      <c r="EI573">
        <f>IF($DM573=0,"",IF($DO573&lt;&gt;"",$DO573,$EH573))</f>
        <v/>
      </c>
      <c r="EJ573">
        <f>IF($DM573=0,"",IF($EI573="",0,IF(OR(ISNUMBER($EI573),AND(AND(SUBSTITUTE(SUBSTITUTE(SUBSTITUTE(SUBSTITUTE(SUBSTITUTE(SUBSTITUTE(SUBSTITUTE(SUBSTITUTE(SUBSTITUTE(SUBSTITUTE(SUBSTITUTE(SUBSTITUTE(SUBSTITUTE(SUBSTITUTE(UPPER($EI573),"0",""),"1",""),"2",""),"3",""),"4",""),"5",""),"6",""),"7",""),"8",""),"9",""),".",""),"+",""),"-",""),"E","")="",LEN(SUBSTITUTE(SUBSTITUTE(MID(UPPER($EI573),1+OR(LEFT(UPPER($EI573),1)="+",LEFT(UPPER($EI573),1)="-"),999),"E+","E"),"E-","E"))=LEN(SUBSTITUTE(SUBSTITUTE(SUBSTITUTE(SUBSTITUTE(MID(UPPER($EI573),1+OR(LEFT(UPPER($EI573),1)="+",LEFT(UPPER($EI573),1)="-"),999),"E+","E"),"E-","E"),"+",""),"-","")),LEN(UPPER($EI573))-LEN(SUBSTITUTE(UPPER($EI573),"E",""))&lt;2,LEN(UPPER($EI573))-LEN(SUBSTITUTE(UPPER($EI573),".",""))&lt;2,IFERROR(FIND(".",UPPER($EI573)),0)&lt;IFERROR(FIND("E",UPPER($EI573)),999)),ISNUMBER(VALUE($EI573)))),1,2)))</f>
        <v/>
      </c>
      <c r="EK573">
        <f>IF($DM573=0,"",IF($EJ573=1,IF(ISNUMBER($EI573),$EI573,VALUE($EI573)),IF($EJ573=2,$DE573,0)))</f>
        <v/>
      </c>
      <c r="EL573">
        <f>IF($DM573=0,"",COUNTIF($EG$5:$EG$1003,"&lt;"&amp;$EG573)+SUMPRODUCT(($EG$5:$EG$1003=$EG573)*(($EJ$5:$EJ$1003&lt;$EJ573)+($EJ$5:$EJ$1003=$EJ573)*(($EK$5:$EK$1003&lt;$EK573)+($EK$5:$EK$1003=$EK573)*($DE$5:$DE$1003&lt;$DE573))))+1)</f>
        <v/>
      </c>
      <c r="EM573">
        <f>IF($DM573=0,"",$EL573+$EG573-1)</f>
        <v/>
      </c>
      <c r="EN573">
        <f>IF($DM573=0,0,IFERROR(MATCH(1,INDEX(--(TRIM(SUBSTITUTE(SUBSTITUTE(SUBSTITUTE(SUBSTITUTE(LINES_NAME&amp;""," "," "),CHAR(9)," "),CHAR(10)," "),CHAR(13)," "))=$DH573),0),0),0))</f>
        <v/>
      </c>
      <c r="EO573">
        <f>IF($EN573=0,0,IF(OR(UPPER(TRIM(INDEX(LINES_SCHEDULED,$EN573)&amp;""))="YES",UPPER(TRIM(INDEX(LINES_SCHEDULED,$EN573)&amp;""))="Y",UPPER(TRIM(INDEX(LINES_SCHEDULED,$EN573)&amp;""))="X"),1,0))</f>
        <v/>
      </c>
      <c r="EP573">
        <f>IF($DM573=0,"",IF(COUNTIFS($EG$5:$EG$1003,$EG573,$EB$5:$EB$1003,"Ready")&gt;0,"READY",IF(COUNTIFS($EG$5:$EG$1003,$EG573,$EB$5:$EB$1003,"PM")&gt;0,"PM",IF(COUNTIFS($EG$5:$EG$1003,$EG573,$EB$5:$EB$1003,"OT")&gt;0,"OT",""))))</f>
        <v/>
      </c>
      <c r="EQ573">
        <f>IF($EN573=0,"",UPPER(TRIM(INDEX(LINES_STATUS,$EN573)&amp;"")))</f>
        <v/>
      </c>
      <c r="ER573">
        <f>IF($DM573=0,"",IF(OR($EQ573="READY",$EQ573="PM",$EQ573="OT"),$EQ573,$EP573))</f>
        <v/>
      </c>
      <c r="ES573">
        <f>IF($DM573=0,"",IF(AND($DV573&lt;&gt;"",UPPER($DV573)&lt;&gt;"N"),"allergen",IF(ISNUMBER(SEARCH("oil",$DQ573)),"oil",IF(OR(EXACT($DS573,"A662"),EXACT($DS573,"A624")),"bulk",""))))</f>
        <v/>
      </c>
      <c r="ET573">
        <f>IF($DM573=0,"",IF(OR($EA573="",$EA573=0),"",$EA573/100))</f>
        <v/>
      </c>
      <c r="EU573">
        <f>IF(OR($ET573="",$DY573=""),"",INT($DY573*(1-$ET573)+0.5))</f>
        <v/>
      </c>
      <c r="EW573" t="n">
        <v>569</v>
      </c>
      <c r="EX573">
        <f>IFERROR(MATCH($EW573,$EM$5:$EM$1003,0),0)</f>
        <v/>
      </c>
      <c r="EY573">
        <f>IF($EW573&gt;$B$12,"",IF($EX573&gt;0,"row","spacer"))</f>
        <v/>
      </c>
      <c r="EZ573">
        <f>IF(AND($EY573="row",$EY572&lt;&gt;"row"),1,0)</f>
        <v/>
      </c>
      <c r="FA573">
        <f>IF(AND($EY573="row",$EY574&lt;&gt;"row"),1,0)</f>
        <v/>
      </c>
      <c r="FB573">
        <f>IF($EZ573=1,IFERROR(IF(ISNUMBER(INDEX(PASTE_ALL,INDEX($DF$5:$DF$1003,$EX573),$B$37)),INDEX(PASTE_ALL,INDEX($DF$5:$DF$1003,$EX573),$B$37),INDEX($DH$5:$DH$1003,$EX573)),INDEX($DH$5:$DH$1003,$EX573)),"")</f>
        <v/>
      </c>
      <c r="FC573">
        <f>IF($EY573="row",INDEX($ER$5:$ER$1003,$EX573),"")</f>
        <v/>
      </c>
      <c r="FD573">
        <f>IF($EY573="row",INDEX($DN$5:$DN$1003,$EX573),"")</f>
        <v/>
      </c>
      <c r="FE573">
        <f>IF($EY573="row",INDEX($DO$5:$DO$1003,$EX573),"")</f>
        <v/>
      </c>
      <c r="FF573">
        <f>IF($EY573="row",INDEX($DP$5:$DP$1003,$EX573),"")</f>
        <v/>
      </c>
      <c r="FG573">
        <f>IF($EY573="row",INDEX($DQ$5:$DQ$1003,$EX573),"")</f>
        <v/>
      </c>
      <c r="FH573">
        <f>IF($EY573="row",INDEX($DR$5:$DR$1003,$EX573),"")</f>
        <v/>
      </c>
      <c r="FI573">
        <f>IF($EY573="row",INDEX($DS$5:$DS$1003,$EX573),"")</f>
        <v/>
      </c>
      <c r="FJ573">
        <f>IF($EY573="row",INDEX($DT$5:$DT$1003,$EX573),"")</f>
        <v/>
      </c>
      <c r="FK573">
        <f>IF($EY573="row",INDEX($DU$5:$DU$1003,$EX573),"")</f>
        <v/>
      </c>
      <c r="FL573">
        <f>IF($EY573="row",INDEX($DV$5:$DV$1003,$EX573),"")</f>
        <v/>
      </c>
      <c r="FM573">
        <f>IF($EY573="row",INDEX($DW$5:$DW$1003,$EX573),"")</f>
        <v/>
      </c>
      <c r="FN573">
        <f>IF($EY573="row",INDEX($DY$5:$DY$1003,$EX573),"")</f>
        <v/>
      </c>
      <c r="FO573">
        <f>IF($EY573="row",INDEX($EA$5:$EA$1003,$EX573),"")</f>
        <v/>
      </c>
      <c r="FP573">
        <f>IF($EY573="row",INDEX($EC$5:$EC$1003,$EX573),"")</f>
        <v/>
      </c>
      <c r="FQ573">
        <f>IF($EY573="row",INDEX($ET$5:$ET$1003,$EX573),"")</f>
        <v/>
      </c>
      <c r="FR573">
        <f>IF($EY573="row",INDEX($EU$5:$EU$1003,$EX573),"")</f>
        <v/>
      </c>
      <c r="FS573">
        <f>IF(AND($EY573="row",$EY572="row"),IF(OR(INDEX($DT$5:$DT$1003,$EX572)="",INDEX($DT$5:$DT$1003,$EX573)=""),"",IF(NOT(EXACT(INDEX($DT$5:$DT$1003,$EX572),INDEX($DT$5:$DT$1003,$EX573))),"S4",IF(NOT(EXACT(INDEX($DS$5:$DS$1003,$EX572),INDEX($DS$5:$DS$1003,$EX573))),"S3",IF(NOT(EXACT(INDEX($DR$5:$DR$1003,$EX572),INDEX($DR$5:$DR$1003,$EX573))),"S1 Count Change","S1")))),"")</f>
        <v/>
      </c>
      <c r="FT573">
        <f>IF($EY573="row",INDEX($ES$5:$ES$1003,$EX573),"")</f>
        <v/>
      </c>
      <c r="FU573">
        <f>IF($EY573="row",INDEX($EO$5:$EO$1003,$EX573),0)</f>
        <v/>
      </c>
      <c r="FV573">
        <f>IF($FS573="S1 Count Change",1,0)</f>
        <v/>
      </c>
    </row>
    <row r="574">
      <c r="DA574" t="n">
        <v>570</v>
      </c>
      <c r="DB574">
        <f>IF($B$37=0,"",IFERROR(TRIM(SUBSTITUTE(SUBSTITUTE(SUBSTITUTE(SUBSTITUTE(INDEX(PASTE_ALL,570,$B$37)," "," "),CHAR(9)," "),CHAR(10)," "),CHAR(13)," ")),""))</f>
        <v/>
      </c>
      <c r="DC574">
        <f>IF(AND(570&gt;HEADER_ROW,UPPER(DB574)="LEGEND"),1,0)</f>
        <v/>
      </c>
      <c r="DE574" t="n">
        <v>570</v>
      </c>
      <c r="DF574">
        <f>HEADER_ROW+$DE574</f>
        <v/>
      </c>
      <c r="DG574">
        <f>IF(AND($DF574&lt;=1000,$DF574&lt;$B$8),1,0)</f>
        <v/>
      </c>
      <c r="DH574">
        <f>IF($DG574=1,IFERROR(INDEX($DB$5:$DB$1004,$DF574),""),"")</f>
        <v/>
      </c>
      <c r="DI574">
        <f>IF(AND($DG574=1,$DH574&lt;&gt;""),IFERROR(SUBSTITUTE(SUBSTITUTE(TRIM(SUBSTITUTE(SUBSTITUTE(SUBSTITUTE(SUBSTITUTE(IFERROR(INDEX(PASTE_ALL,$DF574,1)&amp;"","")&amp;"␟"&amp;IFERROR(INDEX(PASTE_ALL,$DF574,2)&amp;"","")&amp;"␟"&amp;IFERROR(INDEX(PASTE_ALL,$DF574,3)&amp;"","")&amp;"␟"&amp;IFERROR(INDEX(PASTE_ALL,$DF574,4)&amp;"","")&amp;"␟"&amp;IFERROR(INDEX(PASTE_ALL,$DF574,5)&amp;"","")&amp;"␟"&amp;IFERROR(INDEX(PASTE_ALL,$DF574,6)&amp;"","")&amp;"␟"&amp;IFERROR(INDEX(PASTE_ALL,$DF574,7)&amp;"","")&amp;"␟"&amp;IFERROR(INDEX(PASTE_ALL,$DF574,8)&amp;"","")&amp;"␟"&amp;IFERROR(INDEX(PASTE_ALL,$DF574,9)&amp;"","")&amp;"␟"&amp;IFERROR(INDEX(PASTE_ALL,$DF574,10)&amp;"","")&amp;"␟"&amp;IFERROR(INDEX(PASTE_ALL,$DF574,11)&amp;"","")&amp;"␟"&amp;IFERROR(INDEX(PASTE_ALL,$DF574,12)&amp;"","")&amp;"␟"&amp;IFERROR(INDEX(PASTE_ALL,$DF574,13)&amp;"","")&amp;"␟"&amp;IFERROR(INDEX(PASTE_ALL,$DF574,14)&amp;"","")&amp;"␟"&amp;IFERROR(INDEX(PASTE_ALL,$DF574,15)&amp;"","")&amp;"␟"&amp;IFERROR(INDEX(PASTE_ALL,$DF574,16)&amp;"","")&amp;"␟"&amp;IFERROR(INDEX(PASTE_ALL,$DF574,17)&amp;"","")&amp;"␟"&amp;IFERROR(INDEX(PASTE_ALL,$DF574,18)&amp;"","")&amp;"␟"&amp;IFERROR(INDEX(PASTE_ALL,$DF574,19)&amp;"","")&amp;"␟"&amp;IFERROR(INDEX(PASTE_ALL,$DF574,20)&amp;"","")&amp;"␟"&amp;IFERROR(INDEX(PASTE_ALL,$DF574,21)&amp;"","")&amp;"␟"&amp;IFERROR(INDEX(PASTE_ALL,$DF574,22)&amp;"","")&amp;"␟"&amp;IFERROR(INDEX(PASTE_ALL,$DF574,23)&amp;"","")&amp;"␟"&amp;IFERROR(INDEX(PASTE_ALL,$DF574,24)&amp;"","")&amp;"␟"&amp;IFERROR(INDEX(PASTE_ALL,$DF574,25)&amp;"","")&amp;"␟"&amp;IFERROR(INDEX(PASTE_ALL,$DF574,26)&amp;"","")&amp;"␟"&amp;IFERROR(INDEX(PASTE_ALL,$DF574,27)&amp;"","")&amp;"␟"&amp;IFERROR(INDEX(PASTE_ALL,$DF574,28)&amp;"","")&amp;"␟"&amp;IFERROR(INDEX(PASTE_ALL,$DF574,29)&amp;"","")&amp;"␟"&amp;IFERROR(INDEX(PASTE_ALL,$DF574,30)&amp;"","")&amp;"␟"&amp;IFERROR(INDEX(PASTE_ALL,$DF574,31)&amp;"","")&amp;"␟"&amp;IFERROR(INDEX(PASTE_ALL,$DF574,32)&amp;"","")&amp;"␟"&amp;IFERROR(INDEX(PASTE_ALL,$DF574,33)&amp;"","")&amp;"␟"&amp;IFERROR(INDEX(PASTE_ALL,$DF574,34)&amp;"","")&amp;"␟"&amp;IFERROR(INDEX(PASTE_ALL,$DF574,35)&amp;"","")&amp;"␟"&amp;IFERROR(INDEX(PASTE_ALL,$DF574,36)&amp;"","")&amp;"␟"&amp;IFERROR(INDEX(PASTE_ALL,$DF574,37)&amp;"","")&amp;"␟"&amp;IFERROR(INDEX(PASTE_ALL,$DF574,38)&amp;"","")&amp;"␟"&amp;IFERROR(INDEX(PASTE_ALL,$DF574,39)&amp;"","")&amp;"␟"&amp;IFERROR(INDEX(PASTE_ALL,$DF574,40)&amp;"","")&amp;"␟"&amp;IFERROR(INDEX(PASTE_ALL,$DF574,41)&amp;"","")&amp;"␟"&amp;IFERROR(INDEX(PASTE_ALL,$DF574,42)&amp;"","")&amp;"␟"&amp;IFERROR(INDEX(PASTE_ALL,$DF574,43)&amp;"","")&amp;"␟"&amp;IFERROR(INDEX(PASTE_ALL,$DF574,44)&amp;"","")&amp;"␟"&amp;IFERROR(INDEX(PASTE_ALL,$DF574,45)&amp;"","")&amp;"␟"&amp;IFERROR(INDEX(PASTE_ALL,$DF574,46)&amp;"","")&amp;"␟"&amp;IFERROR(INDEX(PASTE_ALL,$DF574,47)&amp;"","")&amp;"␟"&amp;IFERROR(INDEX(PASTE_ALL,$DF574,48)&amp;"","")&amp;"␟"&amp;IFERROR(INDEX(PASTE_ALL,$DF574,49)&amp;"","")&amp;"␟"&amp;IFERROR(INDEX(PASTE_ALL,$DF574,50)&amp;"","")&amp;"␟"&amp;IFERROR(INDEX(PASTE_ALL,$DF574,51)&amp;"","")&amp;"␟"&amp;IFERROR(INDEX(PASTE_ALL,$DF574,52)&amp;"","")&amp;"␟"&amp;IFERROR(INDEX(PASTE_ALL,$DF574,53)&amp;"","")&amp;"␟"&amp;IFERROR(INDEX(PASTE_ALL,$DF574,54)&amp;"","")&amp;"␟"&amp;IFERROR(INDEX(PASTE_ALL,$DF574,55)&amp;"","")&amp;"␟"&amp;IFERROR(INDEX(PASTE_ALL,$DF574,56)&amp;"","")&amp;"␟"&amp;IFERROR(INDEX(PASTE_ALL,$DF574,57)&amp;"","")&amp;"␟"&amp;IFERROR(INDEX(PASTE_ALL,$DF574,58)&amp;"","")&amp;"␟"&amp;IFERROR(INDEX(PASTE_ALL,$DF574,59)&amp;"","")&amp;"␟"&amp;IFERROR(INDEX(PASTE_ALL,$DF574,60)&amp;"","")," "," "),CHAR(9)," "),CHAR(10)," "),CHAR(13)," "))," ␟","␟"),"␟ ","␟"),"#"&amp;$DE574),"")</f>
        <v/>
      </c>
      <c r="DJ574">
        <f>IF($DI574="",0,IF(SUMPRODUCT(--EXACT($DI$4:DI573,$DI574))&gt;0,1,0))</f>
        <v/>
      </c>
      <c r="DK574">
        <f>IF(AND($DI574&lt;&gt;"",$DJ574=0),1,0)</f>
        <v/>
      </c>
      <c r="DL574">
        <f>DL573+$DK574</f>
        <v/>
      </c>
      <c r="DM574">
        <f>IF(AND($DK574=1,$DL574&lt;=600),1,0)</f>
        <v/>
      </c>
      <c r="DN574">
        <f>IF($DM574=0,"",IF($L$6=0,"",IFERROR(IF(ISNUMBER(INDEX(PASTE_ALL,$DF574,$L$6)),INDEX(PASTE_ALL,$DF574,$L$6),TRIM(SUBSTITUTE(SUBSTITUTE(SUBSTITUTE(SUBSTITUTE(INDEX(PASTE_ALL,$DF574,$L$6)," "," "),CHAR(9)," "),CHAR(10)," "),CHAR(13)," "))),"")))</f>
        <v/>
      </c>
      <c r="DO574">
        <f>IF($DM574=0,"",IF($L$7=0,"",IFERROR(IF(ISNUMBER(INDEX(PASTE_ALL,$DF574,$L$7)),INDEX(PASTE_ALL,$DF574,$L$7),TRIM(SUBSTITUTE(SUBSTITUTE(SUBSTITUTE(SUBSTITUTE(INDEX(PASTE_ALL,$DF574,$L$7)," "," "),CHAR(9)," "),CHAR(10)," "),CHAR(13)," "))),"")))</f>
        <v/>
      </c>
      <c r="DP574">
        <f>IF($DM574=0,"",IF($L$8=0,"",IFERROR(IF(ISNUMBER(INDEX(PASTE_ALL,$DF574,$L$8)),INDEX(PASTE_ALL,$DF574,$L$8),TRIM(SUBSTITUTE(SUBSTITUTE(SUBSTITUTE(SUBSTITUTE(INDEX(PASTE_ALL,$DF574,$L$8)," "," "),CHAR(9)," "),CHAR(10)," "),CHAR(13)," "))),"")))</f>
        <v/>
      </c>
      <c r="DQ574">
        <f>IF($DM574=0,"",IF($L$9=0,"",IFERROR(IF(ISNUMBER(INDEX(PASTE_ALL,$DF574,$L$9)),INDEX(PASTE_ALL,$DF574,$L$9),TRIM(SUBSTITUTE(SUBSTITUTE(SUBSTITUTE(SUBSTITUTE(INDEX(PASTE_ALL,$DF574,$L$9)," "," "),CHAR(9)," "),CHAR(10)," "),CHAR(13)," "))),"")))</f>
        <v/>
      </c>
      <c r="DR574">
        <f>IF($DM574=0,"",IF($L$10=0,"",IFERROR(IF(ISNUMBER(INDEX(PASTE_ALL,$DF574,$L$10)),INDEX(PASTE_ALL,$DF574,$L$10),TRIM(SUBSTITUTE(SUBSTITUTE(SUBSTITUTE(SUBSTITUTE(INDEX(PASTE_ALL,$DF574,$L$10)," "," "),CHAR(9)," "),CHAR(10)," "),CHAR(13)," "))),"")))</f>
        <v/>
      </c>
      <c r="DS574">
        <f>IF($DM574=0,"",IF($L$11=0,"",IFERROR(IF(ISNUMBER(INDEX(PASTE_ALL,$DF574,$L$11)),INDEX(PASTE_ALL,$DF574,$L$11),TRIM(SUBSTITUTE(SUBSTITUTE(SUBSTITUTE(SUBSTITUTE(INDEX(PASTE_ALL,$DF574,$L$11)," "," "),CHAR(9)," "),CHAR(10)," "),CHAR(13)," "))),"")))</f>
        <v/>
      </c>
      <c r="DT574">
        <f>IF($DM574=0,"",IF($L$12=0,"",IFERROR(IF(ISNUMBER(INDEX(PASTE_ALL,$DF574,$L$12)),INDEX(PASTE_ALL,$DF574,$L$12),TRIM(SUBSTITUTE(SUBSTITUTE(SUBSTITUTE(SUBSTITUTE(INDEX(PASTE_ALL,$DF574,$L$12)," "," "),CHAR(9)," "),CHAR(10)," "),CHAR(13)," "))),"")))</f>
        <v/>
      </c>
      <c r="DU574">
        <f>IF($DM574=0,"",IF($L$13=0,"",IFERROR(IF(ISNUMBER(INDEX(PASTE_ALL,$DF574,$L$13)),INDEX(PASTE_ALL,$DF574,$L$13),TRIM(SUBSTITUTE(SUBSTITUTE(SUBSTITUTE(SUBSTITUTE(INDEX(PASTE_ALL,$DF574,$L$13)," "," "),CHAR(9)," "),CHAR(10)," "),CHAR(13)," "))),"")))</f>
        <v/>
      </c>
      <c r="DV574">
        <f>IF($DM574=0,"",IF($L$14=0,"",IFERROR(IF(ISNUMBER(INDEX(PASTE_ALL,$DF574,$L$14)),INDEX(PASTE_ALL,$DF574,$L$14),TRIM(SUBSTITUTE(SUBSTITUTE(SUBSTITUTE(SUBSTITUTE(INDEX(PASTE_ALL,$DF574,$L$14)," "," "),CHAR(9)," "),CHAR(10)," "),CHAR(13)," "))),"")))</f>
        <v/>
      </c>
      <c r="DW574">
        <f>IF($DM574=0,"",IF($L$15=0,"",IFERROR(IF(ISNUMBER(INDEX(PASTE_ALL,$DF574,$L$15)),INDEX(PASTE_ALL,$DF574,$L$15),IF(SUMPRODUCT(--ISNUMBER(FIND({"A","B","C","D","E","F","G","H","I","J","K","L","M","N","O","P","Q","R","S","T","U","V","W","X","Y","Z","0","1","2","3","4","5","6","7","8","9"},UPPER(TRIM(SUBSTITUTE(SUBSTITUTE(SUBSTITUTE(SUBSTITUTE(INDEX(PASTE_ALL,$DF574,$L$15)," "," "),CHAR(9)," "),CHAR(10)," "),CHAR(13)," "))))))&gt;0,TRIM(SUBSTITUTE(SUBSTITUTE(SUBSTITUTE(SUBSTITUTE(INDEX(PASTE_ALL,$DF574,$L$15)," "," "),CHAR(9)," "),CHAR(10)," "),CHAR(13)," ")),"")),"")))</f>
        <v/>
      </c>
      <c r="DX574">
        <f>IF($DM574=0,"",IF($L$16=0,"",IFERROR(IF(ISNUMBER(INDEX(PASTE_ALL,$DF574,$L$16)),INDEX(PASTE_ALL,$DF574,$L$16),SUBSTITUTE(SUBSTITUTE(TRIM(SUBSTITUTE(SUBSTITUTE(SUBSTITUTE(SUBSTITUTE(INDEX(PASTE_ALL,$DF574,$L$16)," "," "),CHAR(9)," "),CHAR(10)," "),CHAR(13)," ")),",",""),"%","")),"")))</f>
        <v/>
      </c>
      <c r="DY574">
        <f>IF($DM574=0,"",IFERROR(IF(ISNUMBER($DX574),$DX574,IF($DX574="","",IF(TRIM($DX574)="",0,IF(AND(AND(SUBSTITUTE(SUBSTITUTE(SUBSTITUTE(SUBSTITUTE(SUBSTITUTE(SUBSTITUTE(SUBSTITUTE(SUBSTITUTE(SUBSTITUTE(SUBSTITUTE(SUBSTITUTE(SUBSTITUTE(SUBSTITUTE(SUBSTITUTE(UPPER(TRIM($DX574)),"0",""),"1",""),"2",""),"3",""),"4",""),"5",""),"6",""),"7",""),"8",""),"9",""),".",""),"+",""),"-",""),"E","")="",LEN(SUBSTITUTE(SUBSTITUTE(MID(UPPER(TRIM($DX574)),1+OR(LEFT(UPPER(TRIM($DX574)),1)="+",LEFT(UPPER(TRIM($DX574)),1)="-"),999),"E+","E"),"E-","E"))=LEN(SUBSTITUTE(SUBSTITUTE(SUBSTITUTE(SUBSTITUTE(MID(UPPER(TRIM($DX574)),1+OR(LEFT(UPPER(TRIM($DX574)),1)="+",LEFT(UPPER(TRIM($DX574)),1)="-"),999),"E+","E"),"E-","E"),"+",""),"-","")),LEN(UPPER(TRIM($DX574)))-LEN(SUBSTITUTE(UPPER(TRIM($DX574)),"E",""))&lt;2,LEN(UPPER(TRIM($DX574)))-LEN(SUBSTITUTE(UPPER(TRIM($DX574)),".",""))&lt;2,IFERROR(FIND(".",UPPER(TRIM($DX574))),0)&lt;IFERROR(FIND("E",UPPER(TRIM($DX574))),999)),ISNUMBER(VALUE(TRIM($DX574)))),VALUE(TRIM($DX574)),"")))),""))</f>
        <v/>
      </c>
      <c r="DZ574">
        <f>IF($DM574=0,"",IF($L$17=0,"",IFERROR(IF(ISNUMBER(INDEX(PASTE_ALL,$DF574,$L$17)),INDEX(PASTE_ALL,$DF574,$L$17),SUBSTITUTE(SUBSTITUTE(TRIM(SUBSTITUTE(SUBSTITUTE(SUBSTITUTE(SUBSTITUTE(INDEX(PASTE_ALL,$DF574,$L$17)," "," "),CHAR(9)," "),CHAR(10)," "),CHAR(13)," ")),",",""),"%","")),"")))</f>
        <v/>
      </c>
      <c r="EA574">
        <f>IF($DM574=0,"",IFERROR(IF(ISNUMBER($DZ574),$DZ574,IF($DZ574="","",IF(TRIM($DZ574)="",0,IF(AND(AND(SUBSTITUTE(SUBSTITUTE(SUBSTITUTE(SUBSTITUTE(SUBSTITUTE(SUBSTITUTE(SUBSTITUTE(SUBSTITUTE(SUBSTITUTE(SUBSTITUTE(SUBSTITUTE(SUBSTITUTE(SUBSTITUTE(SUBSTITUTE(UPPER(TRIM($DZ574)),"0",""),"1",""),"2",""),"3",""),"4",""),"5",""),"6",""),"7",""),"8",""),"9",""),".",""),"+",""),"-",""),"E","")="",LEN(SUBSTITUTE(SUBSTITUTE(MID(UPPER(TRIM($DZ574)),1+OR(LEFT(UPPER(TRIM($DZ574)),1)="+",LEFT(UPPER(TRIM($DZ574)),1)="-"),999),"E+","E"),"E-","E"))=LEN(SUBSTITUTE(SUBSTITUTE(SUBSTITUTE(SUBSTITUTE(MID(UPPER(TRIM($DZ574)),1+OR(LEFT(UPPER(TRIM($DZ574)),1)="+",LEFT(UPPER(TRIM($DZ574)),1)="-"),999),"E+","E"),"E-","E"),"+",""),"-","")),LEN(UPPER(TRIM($DZ574)))-LEN(SUBSTITUTE(UPPER(TRIM($DZ574)),"E",""))&lt;2,LEN(UPPER(TRIM($DZ574)))-LEN(SUBSTITUTE(UPPER(TRIM($DZ574)),".",""))&lt;2,IFERROR(FIND(".",UPPER(TRIM($DZ574))),0)&lt;IFERROR(FIND("E",UPPER(TRIM($DZ574))),999)),ISNUMBER(VALUE(TRIM($DZ574)))),VALUE(TRIM($DZ574)),"")))),""))</f>
        <v/>
      </c>
      <c r="EB574">
        <f>IF($DM574=0,"",IF($L$18=0,"",IFERROR(IF(UPPER(TRIM(SUBSTITUTE(SUBSTITUTE(SUBSTITUTE(SUBSTITUTE(INDEX(PASTE_ALL,$DF574,$L$18)," "," "),CHAR(9)," "),CHAR(10)," "),CHAR(13)," ")))="READY","Ready",IF(UPPER(TRIM(SUBSTITUTE(SUBSTITUTE(SUBSTITUTE(SUBSTITUTE(INDEX(PASTE_ALL,$DF574,$L$18)," "," "),CHAR(9)," "),CHAR(10)," "),CHAR(13)," ")))="PM","PM",IF(OR(UPPER(TRIM(SUBSTITUTE(SUBSTITUTE(SUBSTITUTE(SUBSTITUTE(INDEX(PASTE_ALL,$DF574,$L$18)," "," "),CHAR(9)," "),CHAR(10)," "),CHAR(13)," ")))="OT",UPPER(TRIM(SUBSTITUTE(SUBSTITUTE(SUBSTITUTE(SUBSTITUTE(INDEX(PASTE_ALL,$DF574,$L$18)," "," "),CHAR(9)," "),CHAR(10)," "),CHAR(13)," ")))="OVERTIME",UPPER(TRIM(SUBSTITUTE(SUBSTITUTE(SUBSTITUTE(SUBSTITUTE(INDEX(PASTE_ALL,$DF574,$L$18)," "," "),CHAR(9)," "),CHAR(10)," "),CHAR(13)," ")))="TRIAL"),"OT",TRIM(SUBSTITUTE(SUBSTITUTE(SUBSTITUTE(SUBSTITUTE(INDEX(PASTE_ALL,$DF574,$L$18)," "," "),CHAR(9)," "),CHAR(10)," "),CHAR(13)," "))))),"")))</f>
        <v/>
      </c>
      <c r="EC574">
        <f>IF($DM574=0,"",IF($L$19=0,"",IFERROR(IF(ISNUMBER(INDEX(PASTE_ALL,$DF574,$L$19)),INDEX(PASTE_ALL,$DF574,$L$19),TRIM(SUBSTITUTE(SUBSTITUTE(SUBSTITUTE(SUBSTITUTE(INDEX(PASTE_ALL,$DF574,$L$19)," "," "),CHAR(9)," "),CHAR(10)," "),CHAR(13)," "))),"")))</f>
        <v/>
      </c>
      <c r="ED574">
        <f>IF($DM574=0,"",MATCH(1,INDEX(EXACT($DH$5:DH574,$DH574)*$DM$5:DM574,0),0))</f>
        <v/>
      </c>
      <c r="EE574">
        <f>IF($DM574=0,0,IF($ED574=$DE574,1,0))</f>
        <v/>
      </c>
      <c r="EF574">
        <f>EF573+$EE574</f>
        <v/>
      </c>
      <c r="EG574">
        <f>IF($DM574=0,"",INDEX($EF$5:$EF$1003,$ED574))</f>
        <v/>
      </c>
      <c r="EH574">
        <f>IF($DM574=0,"",IF($DO574&lt;&gt;"","",IFERROR(LOOKUP(2,1/(($EG$4:EG573=$EG574)*($DO$4:DO573&lt;&gt;"")),$DO$4:DO573),"")))</f>
        <v/>
      </c>
      <c r="EI574">
        <f>IF($DM574=0,"",IF($DO574&lt;&gt;"",$DO574,$EH574))</f>
        <v/>
      </c>
      <c r="EJ574">
        <f>IF($DM574=0,"",IF($EI574="",0,IF(OR(ISNUMBER($EI574),AND(AND(SUBSTITUTE(SUBSTITUTE(SUBSTITUTE(SUBSTITUTE(SUBSTITUTE(SUBSTITUTE(SUBSTITUTE(SUBSTITUTE(SUBSTITUTE(SUBSTITUTE(SUBSTITUTE(SUBSTITUTE(SUBSTITUTE(SUBSTITUTE(UPPER($EI574),"0",""),"1",""),"2",""),"3",""),"4",""),"5",""),"6",""),"7",""),"8",""),"9",""),".",""),"+",""),"-",""),"E","")="",LEN(SUBSTITUTE(SUBSTITUTE(MID(UPPER($EI574),1+OR(LEFT(UPPER($EI574),1)="+",LEFT(UPPER($EI574),1)="-"),999),"E+","E"),"E-","E"))=LEN(SUBSTITUTE(SUBSTITUTE(SUBSTITUTE(SUBSTITUTE(MID(UPPER($EI574),1+OR(LEFT(UPPER($EI574),1)="+",LEFT(UPPER($EI574),1)="-"),999),"E+","E"),"E-","E"),"+",""),"-","")),LEN(UPPER($EI574))-LEN(SUBSTITUTE(UPPER($EI574),"E",""))&lt;2,LEN(UPPER($EI574))-LEN(SUBSTITUTE(UPPER($EI574),".",""))&lt;2,IFERROR(FIND(".",UPPER($EI574)),0)&lt;IFERROR(FIND("E",UPPER($EI574)),999)),ISNUMBER(VALUE($EI574)))),1,2)))</f>
        <v/>
      </c>
      <c r="EK574">
        <f>IF($DM574=0,"",IF($EJ574=1,IF(ISNUMBER($EI574),$EI574,VALUE($EI574)),IF($EJ574=2,$DE574,0)))</f>
        <v/>
      </c>
      <c r="EL574">
        <f>IF($DM574=0,"",COUNTIF($EG$5:$EG$1003,"&lt;"&amp;$EG574)+SUMPRODUCT(($EG$5:$EG$1003=$EG574)*(($EJ$5:$EJ$1003&lt;$EJ574)+($EJ$5:$EJ$1003=$EJ574)*(($EK$5:$EK$1003&lt;$EK574)+($EK$5:$EK$1003=$EK574)*($DE$5:$DE$1003&lt;$DE574))))+1)</f>
        <v/>
      </c>
      <c r="EM574">
        <f>IF($DM574=0,"",$EL574+$EG574-1)</f>
        <v/>
      </c>
      <c r="EN574">
        <f>IF($DM574=0,0,IFERROR(MATCH(1,INDEX(--(TRIM(SUBSTITUTE(SUBSTITUTE(SUBSTITUTE(SUBSTITUTE(LINES_NAME&amp;""," "," "),CHAR(9)," "),CHAR(10)," "),CHAR(13)," "))=$DH574),0),0),0))</f>
        <v/>
      </c>
      <c r="EO574">
        <f>IF($EN574=0,0,IF(OR(UPPER(TRIM(INDEX(LINES_SCHEDULED,$EN574)&amp;""))="YES",UPPER(TRIM(INDEX(LINES_SCHEDULED,$EN574)&amp;""))="Y",UPPER(TRIM(INDEX(LINES_SCHEDULED,$EN574)&amp;""))="X"),1,0))</f>
        <v/>
      </c>
      <c r="EP574">
        <f>IF($DM574=0,"",IF(COUNTIFS($EG$5:$EG$1003,$EG574,$EB$5:$EB$1003,"Ready")&gt;0,"READY",IF(COUNTIFS($EG$5:$EG$1003,$EG574,$EB$5:$EB$1003,"PM")&gt;0,"PM",IF(COUNTIFS($EG$5:$EG$1003,$EG574,$EB$5:$EB$1003,"OT")&gt;0,"OT",""))))</f>
        <v/>
      </c>
      <c r="EQ574">
        <f>IF($EN574=0,"",UPPER(TRIM(INDEX(LINES_STATUS,$EN574)&amp;"")))</f>
        <v/>
      </c>
      <c r="ER574">
        <f>IF($DM574=0,"",IF(OR($EQ574="READY",$EQ574="PM",$EQ574="OT"),$EQ574,$EP574))</f>
        <v/>
      </c>
      <c r="ES574">
        <f>IF($DM574=0,"",IF(AND($DV574&lt;&gt;"",UPPER($DV574)&lt;&gt;"N"),"allergen",IF(ISNUMBER(SEARCH("oil",$DQ574)),"oil",IF(OR(EXACT($DS574,"A662"),EXACT($DS574,"A624")),"bulk",""))))</f>
        <v/>
      </c>
      <c r="ET574">
        <f>IF($DM574=0,"",IF(OR($EA574="",$EA574=0),"",$EA574/100))</f>
        <v/>
      </c>
      <c r="EU574">
        <f>IF(OR($ET574="",$DY574=""),"",INT($DY574*(1-$ET574)+0.5))</f>
        <v/>
      </c>
      <c r="EW574" t="n">
        <v>570</v>
      </c>
      <c r="EX574">
        <f>IFERROR(MATCH($EW574,$EM$5:$EM$1003,0),0)</f>
        <v/>
      </c>
      <c r="EY574">
        <f>IF($EW574&gt;$B$12,"",IF($EX574&gt;0,"row","spacer"))</f>
        <v/>
      </c>
      <c r="EZ574">
        <f>IF(AND($EY574="row",$EY573&lt;&gt;"row"),1,0)</f>
        <v/>
      </c>
      <c r="FA574">
        <f>IF(AND($EY574="row",$EY575&lt;&gt;"row"),1,0)</f>
        <v/>
      </c>
      <c r="FB574">
        <f>IF($EZ574=1,IFERROR(IF(ISNUMBER(INDEX(PASTE_ALL,INDEX($DF$5:$DF$1003,$EX574),$B$37)),INDEX(PASTE_ALL,INDEX($DF$5:$DF$1003,$EX574),$B$37),INDEX($DH$5:$DH$1003,$EX574)),INDEX($DH$5:$DH$1003,$EX574)),"")</f>
        <v/>
      </c>
      <c r="FC574">
        <f>IF($EY574="row",INDEX($ER$5:$ER$1003,$EX574),"")</f>
        <v/>
      </c>
      <c r="FD574">
        <f>IF($EY574="row",INDEX($DN$5:$DN$1003,$EX574),"")</f>
        <v/>
      </c>
      <c r="FE574">
        <f>IF($EY574="row",INDEX($DO$5:$DO$1003,$EX574),"")</f>
        <v/>
      </c>
      <c r="FF574">
        <f>IF($EY574="row",INDEX($DP$5:$DP$1003,$EX574),"")</f>
        <v/>
      </c>
      <c r="FG574">
        <f>IF($EY574="row",INDEX($DQ$5:$DQ$1003,$EX574),"")</f>
        <v/>
      </c>
      <c r="FH574">
        <f>IF($EY574="row",INDEX($DR$5:$DR$1003,$EX574),"")</f>
        <v/>
      </c>
      <c r="FI574">
        <f>IF($EY574="row",INDEX($DS$5:$DS$1003,$EX574),"")</f>
        <v/>
      </c>
      <c r="FJ574">
        <f>IF($EY574="row",INDEX($DT$5:$DT$1003,$EX574),"")</f>
        <v/>
      </c>
      <c r="FK574">
        <f>IF($EY574="row",INDEX($DU$5:$DU$1003,$EX574),"")</f>
        <v/>
      </c>
      <c r="FL574">
        <f>IF($EY574="row",INDEX($DV$5:$DV$1003,$EX574),"")</f>
        <v/>
      </c>
      <c r="FM574">
        <f>IF($EY574="row",INDEX($DW$5:$DW$1003,$EX574),"")</f>
        <v/>
      </c>
      <c r="FN574">
        <f>IF($EY574="row",INDEX($DY$5:$DY$1003,$EX574),"")</f>
        <v/>
      </c>
      <c r="FO574">
        <f>IF($EY574="row",INDEX($EA$5:$EA$1003,$EX574),"")</f>
        <v/>
      </c>
      <c r="FP574">
        <f>IF($EY574="row",INDEX($EC$5:$EC$1003,$EX574),"")</f>
        <v/>
      </c>
      <c r="FQ574">
        <f>IF($EY574="row",INDEX($ET$5:$ET$1003,$EX574),"")</f>
        <v/>
      </c>
      <c r="FR574">
        <f>IF($EY574="row",INDEX($EU$5:$EU$1003,$EX574),"")</f>
        <v/>
      </c>
      <c r="FS574">
        <f>IF(AND($EY574="row",$EY573="row"),IF(OR(INDEX($DT$5:$DT$1003,$EX573)="",INDEX($DT$5:$DT$1003,$EX574)=""),"",IF(NOT(EXACT(INDEX($DT$5:$DT$1003,$EX573),INDEX($DT$5:$DT$1003,$EX574))),"S4",IF(NOT(EXACT(INDEX($DS$5:$DS$1003,$EX573),INDEX($DS$5:$DS$1003,$EX574))),"S3",IF(NOT(EXACT(INDEX($DR$5:$DR$1003,$EX573),INDEX($DR$5:$DR$1003,$EX574))),"S1 Count Change","S1")))),"")</f>
        <v/>
      </c>
      <c r="FT574">
        <f>IF($EY574="row",INDEX($ES$5:$ES$1003,$EX574),"")</f>
        <v/>
      </c>
      <c r="FU574">
        <f>IF($EY574="row",INDEX($EO$5:$EO$1003,$EX574),0)</f>
        <v/>
      </c>
      <c r="FV574">
        <f>IF($FS574="S1 Count Change",1,0)</f>
        <v/>
      </c>
    </row>
    <row r="575">
      <c r="DA575" t="n">
        <v>571</v>
      </c>
      <c r="DB575">
        <f>IF($B$37=0,"",IFERROR(TRIM(SUBSTITUTE(SUBSTITUTE(SUBSTITUTE(SUBSTITUTE(INDEX(PASTE_ALL,571,$B$37)," "," "),CHAR(9)," "),CHAR(10)," "),CHAR(13)," ")),""))</f>
        <v/>
      </c>
      <c r="DC575">
        <f>IF(AND(571&gt;HEADER_ROW,UPPER(DB575)="LEGEND"),1,0)</f>
        <v/>
      </c>
      <c r="DE575" t="n">
        <v>571</v>
      </c>
      <c r="DF575">
        <f>HEADER_ROW+$DE575</f>
        <v/>
      </c>
      <c r="DG575">
        <f>IF(AND($DF575&lt;=1000,$DF575&lt;$B$8),1,0)</f>
        <v/>
      </c>
      <c r="DH575">
        <f>IF($DG575=1,IFERROR(INDEX($DB$5:$DB$1004,$DF575),""),"")</f>
        <v/>
      </c>
      <c r="DI575">
        <f>IF(AND($DG575=1,$DH575&lt;&gt;""),IFERROR(SUBSTITUTE(SUBSTITUTE(TRIM(SUBSTITUTE(SUBSTITUTE(SUBSTITUTE(SUBSTITUTE(IFERROR(INDEX(PASTE_ALL,$DF575,1)&amp;"","")&amp;"␟"&amp;IFERROR(INDEX(PASTE_ALL,$DF575,2)&amp;"","")&amp;"␟"&amp;IFERROR(INDEX(PASTE_ALL,$DF575,3)&amp;"","")&amp;"␟"&amp;IFERROR(INDEX(PASTE_ALL,$DF575,4)&amp;"","")&amp;"␟"&amp;IFERROR(INDEX(PASTE_ALL,$DF575,5)&amp;"","")&amp;"␟"&amp;IFERROR(INDEX(PASTE_ALL,$DF575,6)&amp;"","")&amp;"␟"&amp;IFERROR(INDEX(PASTE_ALL,$DF575,7)&amp;"","")&amp;"␟"&amp;IFERROR(INDEX(PASTE_ALL,$DF575,8)&amp;"","")&amp;"␟"&amp;IFERROR(INDEX(PASTE_ALL,$DF575,9)&amp;"","")&amp;"␟"&amp;IFERROR(INDEX(PASTE_ALL,$DF575,10)&amp;"","")&amp;"␟"&amp;IFERROR(INDEX(PASTE_ALL,$DF575,11)&amp;"","")&amp;"␟"&amp;IFERROR(INDEX(PASTE_ALL,$DF575,12)&amp;"","")&amp;"␟"&amp;IFERROR(INDEX(PASTE_ALL,$DF575,13)&amp;"","")&amp;"␟"&amp;IFERROR(INDEX(PASTE_ALL,$DF575,14)&amp;"","")&amp;"␟"&amp;IFERROR(INDEX(PASTE_ALL,$DF575,15)&amp;"","")&amp;"␟"&amp;IFERROR(INDEX(PASTE_ALL,$DF575,16)&amp;"","")&amp;"␟"&amp;IFERROR(INDEX(PASTE_ALL,$DF575,17)&amp;"","")&amp;"␟"&amp;IFERROR(INDEX(PASTE_ALL,$DF575,18)&amp;"","")&amp;"␟"&amp;IFERROR(INDEX(PASTE_ALL,$DF575,19)&amp;"","")&amp;"␟"&amp;IFERROR(INDEX(PASTE_ALL,$DF575,20)&amp;"","")&amp;"␟"&amp;IFERROR(INDEX(PASTE_ALL,$DF575,21)&amp;"","")&amp;"␟"&amp;IFERROR(INDEX(PASTE_ALL,$DF575,22)&amp;"","")&amp;"␟"&amp;IFERROR(INDEX(PASTE_ALL,$DF575,23)&amp;"","")&amp;"␟"&amp;IFERROR(INDEX(PASTE_ALL,$DF575,24)&amp;"","")&amp;"␟"&amp;IFERROR(INDEX(PASTE_ALL,$DF575,25)&amp;"","")&amp;"␟"&amp;IFERROR(INDEX(PASTE_ALL,$DF575,26)&amp;"","")&amp;"␟"&amp;IFERROR(INDEX(PASTE_ALL,$DF575,27)&amp;"","")&amp;"␟"&amp;IFERROR(INDEX(PASTE_ALL,$DF575,28)&amp;"","")&amp;"␟"&amp;IFERROR(INDEX(PASTE_ALL,$DF575,29)&amp;"","")&amp;"␟"&amp;IFERROR(INDEX(PASTE_ALL,$DF575,30)&amp;"","")&amp;"␟"&amp;IFERROR(INDEX(PASTE_ALL,$DF575,31)&amp;"","")&amp;"␟"&amp;IFERROR(INDEX(PASTE_ALL,$DF575,32)&amp;"","")&amp;"␟"&amp;IFERROR(INDEX(PASTE_ALL,$DF575,33)&amp;"","")&amp;"␟"&amp;IFERROR(INDEX(PASTE_ALL,$DF575,34)&amp;"","")&amp;"␟"&amp;IFERROR(INDEX(PASTE_ALL,$DF575,35)&amp;"","")&amp;"␟"&amp;IFERROR(INDEX(PASTE_ALL,$DF575,36)&amp;"","")&amp;"␟"&amp;IFERROR(INDEX(PASTE_ALL,$DF575,37)&amp;"","")&amp;"␟"&amp;IFERROR(INDEX(PASTE_ALL,$DF575,38)&amp;"","")&amp;"␟"&amp;IFERROR(INDEX(PASTE_ALL,$DF575,39)&amp;"","")&amp;"␟"&amp;IFERROR(INDEX(PASTE_ALL,$DF575,40)&amp;"","")&amp;"␟"&amp;IFERROR(INDEX(PASTE_ALL,$DF575,41)&amp;"","")&amp;"␟"&amp;IFERROR(INDEX(PASTE_ALL,$DF575,42)&amp;"","")&amp;"␟"&amp;IFERROR(INDEX(PASTE_ALL,$DF575,43)&amp;"","")&amp;"␟"&amp;IFERROR(INDEX(PASTE_ALL,$DF575,44)&amp;"","")&amp;"␟"&amp;IFERROR(INDEX(PASTE_ALL,$DF575,45)&amp;"","")&amp;"␟"&amp;IFERROR(INDEX(PASTE_ALL,$DF575,46)&amp;"","")&amp;"␟"&amp;IFERROR(INDEX(PASTE_ALL,$DF575,47)&amp;"","")&amp;"␟"&amp;IFERROR(INDEX(PASTE_ALL,$DF575,48)&amp;"","")&amp;"␟"&amp;IFERROR(INDEX(PASTE_ALL,$DF575,49)&amp;"","")&amp;"␟"&amp;IFERROR(INDEX(PASTE_ALL,$DF575,50)&amp;"","")&amp;"␟"&amp;IFERROR(INDEX(PASTE_ALL,$DF575,51)&amp;"","")&amp;"␟"&amp;IFERROR(INDEX(PASTE_ALL,$DF575,52)&amp;"","")&amp;"␟"&amp;IFERROR(INDEX(PASTE_ALL,$DF575,53)&amp;"","")&amp;"␟"&amp;IFERROR(INDEX(PASTE_ALL,$DF575,54)&amp;"","")&amp;"␟"&amp;IFERROR(INDEX(PASTE_ALL,$DF575,55)&amp;"","")&amp;"␟"&amp;IFERROR(INDEX(PASTE_ALL,$DF575,56)&amp;"","")&amp;"␟"&amp;IFERROR(INDEX(PASTE_ALL,$DF575,57)&amp;"","")&amp;"␟"&amp;IFERROR(INDEX(PASTE_ALL,$DF575,58)&amp;"","")&amp;"␟"&amp;IFERROR(INDEX(PASTE_ALL,$DF575,59)&amp;"","")&amp;"␟"&amp;IFERROR(INDEX(PASTE_ALL,$DF575,60)&amp;"","")," "," "),CHAR(9)," "),CHAR(10)," "),CHAR(13)," "))," ␟","␟"),"␟ ","␟"),"#"&amp;$DE575),"")</f>
        <v/>
      </c>
      <c r="DJ575">
        <f>IF($DI575="",0,IF(SUMPRODUCT(--EXACT($DI$4:DI574,$DI575))&gt;0,1,0))</f>
        <v/>
      </c>
      <c r="DK575">
        <f>IF(AND($DI575&lt;&gt;"",$DJ575=0),1,0)</f>
        <v/>
      </c>
      <c r="DL575">
        <f>DL574+$DK575</f>
        <v/>
      </c>
      <c r="DM575">
        <f>IF(AND($DK575=1,$DL575&lt;=600),1,0)</f>
        <v/>
      </c>
      <c r="DN575">
        <f>IF($DM575=0,"",IF($L$6=0,"",IFERROR(IF(ISNUMBER(INDEX(PASTE_ALL,$DF575,$L$6)),INDEX(PASTE_ALL,$DF575,$L$6),TRIM(SUBSTITUTE(SUBSTITUTE(SUBSTITUTE(SUBSTITUTE(INDEX(PASTE_ALL,$DF575,$L$6)," "," "),CHAR(9)," "),CHAR(10)," "),CHAR(13)," "))),"")))</f>
        <v/>
      </c>
      <c r="DO575">
        <f>IF($DM575=0,"",IF($L$7=0,"",IFERROR(IF(ISNUMBER(INDEX(PASTE_ALL,$DF575,$L$7)),INDEX(PASTE_ALL,$DF575,$L$7),TRIM(SUBSTITUTE(SUBSTITUTE(SUBSTITUTE(SUBSTITUTE(INDEX(PASTE_ALL,$DF575,$L$7)," "," "),CHAR(9)," "),CHAR(10)," "),CHAR(13)," "))),"")))</f>
        <v/>
      </c>
      <c r="DP575">
        <f>IF($DM575=0,"",IF($L$8=0,"",IFERROR(IF(ISNUMBER(INDEX(PASTE_ALL,$DF575,$L$8)),INDEX(PASTE_ALL,$DF575,$L$8),TRIM(SUBSTITUTE(SUBSTITUTE(SUBSTITUTE(SUBSTITUTE(INDEX(PASTE_ALL,$DF575,$L$8)," "," "),CHAR(9)," "),CHAR(10)," "),CHAR(13)," "))),"")))</f>
        <v/>
      </c>
      <c r="DQ575">
        <f>IF($DM575=0,"",IF($L$9=0,"",IFERROR(IF(ISNUMBER(INDEX(PASTE_ALL,$DF575,$L$9)),INDEX(PASTE_ALL,$DF575,$L$9),TRIM(SUBSTITUTE(SUBSTITUTE(SUBSTITUTE(SUBSTITUTE(INDEX(PASTE_ALL,$DF575,$L$9)," "," "),CHAR(9)," "),CHAR(10)," "),CHAR(13)," "))),"")))</f>
        <v/>
      </c>
      <c r="DR575">
        <f>IF($DM575=0,"",IF($L$10=0,"",IFERROR(IF(ISNUMBER(INDEX(PASTE_ALL,$DF575,$L$10)),INDEX(PASTE_ALL,$DF575,$L$10),TRIM(SUBSTITUTE(SUBSTITUTE(SUBSTITUTE(SUBSTITUTE(INDEX(PASTE_ALL,$DF575,$L$10)," "," "),CHAR(9)," "),CHAR(10)," "),CHAR(13)," "))),"")))</f>
        <v/>
      </c>
      <c r="DS575">
        <f>IF($DM575=0,"",IF($L$11=0,"",IFERROR(IF(ISNUMBER(INDEX(PASTE_ALL,$DF575,$L$11)),INDEX(PASTE_ALL,$DF575,$L$11),TRIM(SUBSTITUTE(SUBSTITUTE(SUBSTITUTE(SUBSTITUTE(INDEX(PASTE_ALL,$DF575,$L$11)," "," "),CHAR(9)," "),CHAR(10)," "),CHAR(13)," "))),"")))</f>
        <v/>
      </c>
      <c r="DT575">
        <f>IF($DM575=0,"",IF($L$12=0,"",IFERROR(IF(ISNUMBER(INDEX(PASTE_ALL,$DF575,$L$12)),INDEX(PASTE_ALL,$DF575,$L$12),TRIM(SUBSTITUTE(SUBSTITUTE(SUBSTITUTE(SUBSTITUTE(INDEX(PASTE_ALL,$DF575,$L$12)," "," "),CHAR(9)," "),CHAR(10)," "),CHAR(13)," "))),"")))</f>
        <v/>
      </c>
      <c r="DU575">
        <f>IF($DM575=0,"",IF($L$13=0,"",IFERROR(IF(ISNUMBER(INDEX(PASTE_ALL,$DF575,$L$13)),INDEX(PASTE_ALL,$DF575,$L$13),TRIM(SUBSTITUTE(SUBSTITUTE(SUBSTITUTE(SUBSTITUTE(INDEX(PASTE_ALL,$DF575,$L$13)," "," "),CHAR(9)," "),CHAR(10)," "),CHAR(13)," "))),"")))</f>
        <v/>
      </c>
      <c r="DV575">
        <f>IF($DM575=0,"",IF($L$14=0,"",IFERROR(IF(ISNUMBER(INDEX(PASTE_ALL,$DF575,$L$14)),INDEX(PASTE_ALL,$DF575,$L$14),TRIM(SUBSTITUTE(SUBSTITUTE(SUBSTITUTE(SUBSTITUTE(INDEX(PASTE_ALL,$DF575,$L$14)," "," "),CHAR(9)," "),CHAR(10)," "),CHAR(13)," "))),"")))</f>
        <v/>
      </c>
      <c r="DW575">
        <f>IF($DM575=0,"",IF($L$15=0,"",IFERROR(IF(ISNUMBER(INDEX(PASTE_ALL,$DF575,$L$15)),INDEX(PASTE_ALL,$DF575,$L$15),IF(SUMPRODUCT(--ISNUMBER(FIND({"A","B","C","D","E","F","G","H","I","J","K","L","M","N","O","P","Q","R","S","T","U","V","W","X","Y","Z","0","1","2","3","4","5","6","7","8","9"},UPPER(TRIM(SUBSTITUTE(SUBSTITUTE(SUBSTITUTE(SUBSTITUTE(INDEX(PASTE_ALL,$DF575,$L$15)," "," "),CHAR(9)," "),CHAR(10)," "),CHAR(13)," "))))))&gt;0,TRIM(SUBSTITUTE(SUBSTITUTE(SUBSTITUTE(SUBSTITUTE(INDEX(PASTE_ALL,$DF575,$L$15)," "," "),CHAR(9)," "),CHAR(10)," "),CHAR(13)," ")),"")),"")))</f>
        <v/>
      </c>
      <c r="DX575">
        <f>IF($DM575=0,"",IF($L$16=0,"",IFERROR(IF(ISNUMBER(INDEX(PASTE_ALL,$DF575,$L$16)),INDEX(PASTE_ALL,$DF575,$L$16),SUBSTITUTE(SUBSTITUTE(TRIM(SUBSTITUTE(SUBSTITUTE(SUBSTITUTE(SUBSTITUTE(INDEX(PASTE_ALL,$DF575,$L$16)," "," "),CHAR(9)," "),CHAR(10)," "),CHAR(13)," ")),",",""),"%","")),"")))</f>
        <v/>
      </c>
      <c r="DY575">
        <f>IF($DM575=0,"",IFERROR(IF(ISNUMBER($DX575),$DX575,IF($DX575="","",IF(TRIM($DX575)="",0,IF(AND(AND(SUBSTITUTE(SUBSTITUTE(SUBSTITUTE(SUBSTITUTE(SUBSTITUTE(SUBSTITUTE(SUBSTITUTE(SUBSTITUTE(SUBSTITUTE(SUBSTITUTE(SUBSTITUTE(SUBSTITUTE(SUBSTITUTE(SUBSTITUTE(UPPER(TRIM($DX575)),"0",""),"1",""),"2",""),"3",""),"4",""),"5",""),"6",""),"7",""),"8",""),"9",""),".",""),"+",""),"-",""),"E","")="",LEN(SUBSTITUTE(SUBSTITUTE(MID(UPPER(TRIM($DX575)),1+OR(LEFT(UPPER(TRIM($DX575)),1)="+",LEFT(UPPER(TRIM($DX575)),1)="-"),999),"E+","E"),"E-","E"))=LEN(SUBSTITUTE(SUBSTITUTE(SUBSTITUTE(SUBSTITUTE(MID(UPPER(TRIM($DX575)),1+OR(LEFT(UPPER(TRIM($DX575)),1)="+",LEFT(UPPER(TRIM($DX575)),1)="-"),999),"E+","E"),"E-","E"),"+",""),"-","")),LEN(UPPER(TRIM($DX575)))-LEN(SUBSTITUTE(UPPER(TRIM($DX575)),"E",""))&lt;2,LEN(UPPER(TRIM($DX575)))-LEN(SUBSTITUTE(UPPER(TRIM($DX575)),".",""))&lt;2,IFERROR(FIND(".",UPPER(TRIM($DX575))),0)&lt;IFERROR(FIND("E",UPPER(TRIM($DX575))),999)),ISNUMBER(VALUE(TRIM($DX575)))),VALUE(TRIM($DX575)),"")))),""))</f>
        <v/>
      </c>
      <c r="DZ575">
        <f>IF($DM575=0,"",IF($L$17=0,"",IFERROR(IF(ISNUMBER(INDEX(PASTE_ALL,$DF575,$L$17)),INDEX(PASTE_ALL,$DF575,$L$17),SUBSTITUTE(SUBSTITUTE(TRIM(SUBSTITUTE(SUBSTITUTE(SUBSTITUTE(SUBSTITUTE(INDEX(PASTE_ALL,$DF575,$L$17)," "," "),CHAR(9)," "),CHAR(10)," "),CHAR(13)," ")),",",""),"%","")),"")))</f>
        <v/>
      </c>
      <c r="EA575">
        <f>IF($DM575=0,"",IFERROR(IF(ISNUMBER($DZ575),$DZ575,IF($DZ575="","",IF(TRIM($DZ575)="",0,IF(AND(AND(SUBSTITUTE(SUBSTITUTE(SUBSTITUTE(SUBSTITUTE(SUBSTITUTE(SUBSTITUTE(SUBSTITUTE(SUBSTITUTE(SUBSTITUTE(SUBSTITUTE(SUBSTITUTE(SUBSTITUTE(SUBSTITUTE(SUBSTITUTE(UPPER(TRIM($DZ575)),"0",""),"1",""),"2",""),"3",""),"4",""),"5",""),"6",""),"7",""),"8",""),"9",""),".",""),"+",""),"-",""),"E","")="",LEN(SUBSTITUTE(SUBSTITUTE(MID(UPPER(TRIM($DZ575)),1+OR(LEFT(UPPER(TRIM($DZ575)),1)="+",LEFT(UPPER(TRIM($DZ575)),1)="-"),999),"E+","E"),"E-","E"))=LEN(SUBSTITUTE(SUBSTITUTE(SUBSTITUTE(SUBSTITUTE(MID(UPPER(TRIM($DZ575)),1+OR(LEFT(UPPER(TRIM($DZ575)),1)="+",LEFT(UPPER(TRIM($DZ575)),1)="-"),999),"E+","E"),"E-","E"),"+",""),"-","")),LEN(UPPER(TRIM($DZ575)))-LEN(SUBSTITUTE(UPPER(TRIM($DZ575)),"E",""))&lt;2,LEN(UPPER(TRIM($DZ575)))-LEN(SUBSTITUTE(UPPER(TRIM($DZ575)),".",""))&lt;2,IFERROR(FIND(".",UPPER(TRIM($DZ575))),0)&lt;IFERROR(FIND("E",UPPER(TRIM($DZ575))),999)),ISNUMBER(VALUE(TRIM($DZ575)))),VALUE(TRIM($DZ575)),"")))),""))</f>
        <v/>
      </c>
      <c r="EB575">
        <f>IF($DM575=0,"",IF($L$18=0,"",IFERROR(IF(UPPER(TRIM(SUBSTITUTE(SUBSTITUTE(SUBSTITUTE(SUBSTITUTE(INDEX(PASTE_ALL,$DF575,$L$18)," "," "),CHAR(9)," "),CHAR(10)," "),CHAR(13)," ")))="READY","Ready",IF(UPPER(TRIM(SUBSTITUTE(SUBSTITUTE(SUBSTITUTE(SUBSTITUTE(INDEX(PASTE_ALL,$DF575,$L$18)," "," "),CHAR(9)," "),CHAR(10)," "),CHAR(13)," ")))="PM","PM",IF(OR(UPPER(TRIM(SUBSTITUTE(SUBSTITUTE(SUBSTITUTE(SUBSTITUTE(INDEX(PASTE_ALL,$DF575,$L$18)," "," "),CHAR(9)," "),CHAR(10)," "),CHAR(13)," ")))="OT",UPPER(TRIM(SUBSTITUTE(SUBSTITUTE(SUBSTITUTE(SUBSTITUTE(INDEX(PASTE_ALL,$DF575,$L$18)," "," "),CHAR(9)," "),CHAR(10)," "),CHAR(13)," ")))="OVERTIME",UPPER(TRIM(SUBSTITUTE(SUBSTITUTE(SUBSTITUTE(SUBSTITUTE(INDEX(PASTE_ALL,$DF575,$L$18)," "," "),CHAR(9)," "),CHAR(10)," "),CHAR(13)," ")))="TRIAL"),"OT",TRIM(SUBSTITUTE(SUBSTITUTE(SUBSTITUTE(SUBSTITUTE(INDEX(PASTE_ALL,$DF575,$L$18)," "," "),CHAR(9)," "),CHAR(10)," "),CHAR(13)," "))))),"")))</f>
        <v/>
      </c>
      <c r="EC575">
        <f>IF($DM575=0,"",IF($L$19=0,"",IFERROR(IF(ISNUMBER(INDEX(PASTE_ALL,$DF575,$L$19)),INDEX(PASTE_ALL,$DF575,$L$19),TRIM(SUBSTITUTE(SUBSTITUTE(SUBSTITUTE(SUBSTITUTE(INDEX(PASTE_ALL,$DF575,$L$19)," "," "),CHAR(9)," "),CHAR(10)," "),CHAR(13)," "))),"")))</f>
        <v/>
      </c>
      <c r="ED575">
        <f>IF($DM575=0,"",MATCH(1,INDEX(EXACT($DH$5:DH575,$DH575)*$DM$5:DM575,0),0))</f>
        <v/>
      </c>
      <c r="EE575">
        <f>IF($DM575=0,0,IF($ED575=$DE575,1,0))</f>
        <v/>
      </c>
      <c r="EF575">
        <f>EF574+$EE575</f>
        <v/>
      </c>
      <c r="EG575">
        <f>IF($DM575=0,"",INDEX($EF$5:$EF$1003,$ED575))</f>
        <v/>
      </c>
      <c r="EH575">
        <f>IF($DM575=0,"",IF($DO575&lt;&gt;"","",IFERROR(LOOKUP(2,1/(($EG$4:EG574=$EG575)*($DO$4:DO574&lt;&gt;"")),$DO$4:DO574),"")))</f>
        <v/>
      </c>
      <c r="EI575">
        <f>IF($DM575=0,"",IF($DO575&lt;&gt;"",$DO575,$EH575))</f>
        <v/>
      </c>
      <c r="EJ575">
        <f>IF($DM575=0,"",IF($EI575="",0,IF(OR(ISNUMBER($EI575),AND(AND(SUBSTITUTE(SUBSTITUTE(SUBSTITUTE(SUBSTITUTE(SUBSTITUTE(SUBSTITUTE(SUBSTITUTE(SUBSTITUTE(SUBSTITUTE(SUBSTITUTE(SUBSTITUTE(SUBSTITUTE(SUBSTITUTE(SUBSTITUTE(UPPER($EI575),"0",""),"1",""),"2",""),"3",""),"4",""),"5",""),"6",""),"7",""),"8",""),"9",""),".",""),"+",""),"-",""),"E","")="",LEN(SUBSTITUTE(SUBSTITUTE(MID(UPPER($EI575),1+OR(LEFT(UPPER($EI575),1)="+",LEFT(UPPER($EI575),1)="-"),999),"E+","E"),"E-","E"))=LEN(SUBSTITUTE(SUBSTITUTE(SUBSTITUTE(SUBSTITUTE(MID(UPPER($EI575),1+OR(LEFT(UPPER($EI575),1)="+",LEFT(UPPER($EI575),1)="-"),999),"E+","E"),"E-","E"),"+",""),"-","")),LEN(UPPER($EI575))-LEN(SUBSTITUTE(UPPER($EI575),"E",""))&lt;2,LEN(UPPER($EI575))-LEN(SUBSTITUTE(UPPER($EI575),".",""))&lt;2,IFERROR(FIND(".",UPPER($EI575)),0)&lt;IFERROR(FIND("E",UPPER($EI575)),999)),ISNUMBER(VALUE($EI575)))),1,2)))</f>
        <v/>
      </c>
      <c r="EK575">
        <f>IF($DM575=0,"",IF($EJ575=1,IF(ISNUMBER($EI575),$EI575,VALUE($EI575)),IF($EJ575=2,$DE575,0)))</f>
        <v/>
      </c>
      <c r="EL575">
        <f>IF($DM575=0,"",COUNTIF($EG$5:$EG$1003,"&lt;"&amp;$EG575)+SUMPRODUCT(($EG$5:$EG$1003=$EG575)*(($EJ$5:$EJ$1003&lt;$EJ575)+($EJ$5:$EJ$1003=$EJ575)*(($EK$5:$EK$1003&lt;$EK575)+($EK$5:$EK$1003=$EK575)*($DE$5:$DE$1003&lt;$DE575))))+1)</f>
        <v/>
      </c>
      <c r="EM575">
        <f>IF($DM575=0,"",$EL575+$EG575-1)</f>
        <v/>
      </c>
      <c r="EN575">
        <f>IF($DM575=0,0,IFERROR(MATCH(1,INDEX(--(TRIM(SUBSTITUTE(SUBSTITUTE(SUBSTITUTE(SUBSTITUTE(LINES_NAME&amp;""," "," "),CHAR(9)," "),CHAR(10)," "),CHAR(13)," "))=$DH575),0),0),0))</f>
        <v/>
      </c>
      <c r="EO575">
        <f>IF($EN575=0,0,IF(OR(UPPER(TRIM(INDEX(LINES_SCHEDULED,$EN575)&amp;""))="YES",UPPER(TRIM(INDEX(LINES_SCHEDULED,$EN575)&amp;""))="Y",UPPER(TRIM(INDEX(LINES_SCHEDULED,$EN575)&amp;""))="X"),1,0))</f>
        <v/>
      </c>
      <c r="EP575">
        <f>IF($DM575=0,"",IF(COUNTIFS($EG$5:$EG$1003,$EG575,$EB$5:$EB$1003,"Ready")&gt;0,"READY",IF(COUNTIFS($EG$5:$EG$1003,$EG575,$EB$5:$EB$1003,"PM")&gt;0,"PM",IF(COUNTIFS($EG$5:$EG$1003,$EG575,$EB$5:$EB$1003,"OT")&gt;0,"OT",""))))</f>
        <v/>
      </c>
      <c r="EQ575">
        <f>IF($EN575=0,"",UPPER(TRIM(INDEX(LINES_STATUS,$EN575)&amp;"")))</f>
        <v/>
      </c>
      <c r="ER575">
        <f>IF($DM575=0,"",IF(OR($EQ575="READY",$EQ575="PM",$EQ575="OT"),$EQ575,$EP575))</f>
        <v/>
      </c>
      <c r="ES575">
        <f>IF($DM575=0,"",IF(AND($DV575&lt;&gt;"",UPPER($DV575)&lt;&gt;"N"),"allergen",IF(ISNUMBER(SEARCH("oil",$DQ575)),"oil",IF(OR(EXACT($DS575,"A662"),EXACT($DS575,"A624")),"bulk",""))))</f>
        <v/>
      </c>
      <c r="ET575">
        <f>IF($DM575=0,"",IF(OR($EA575="",$EA575=0),"",$EA575/100))</f>
        <v/>
      </c>
      <c r="EU575">
        <f>IF(OR($ET575="",$DY575=""),"",INT($DY575*(1-$ET575)+0.5))</f>
        <v/>
      </c>
      <c r="EW575" t="n">
        <v>571</v>
      </c>
      <c r="EX575">
        <f>IFERROR(MATCH($EW575,$EM$5:$EM$1003,0),0)</f>
        <v/>
      </c>
      <c r="EY575">
        <f>IF($EW575&gt;$B$12,"",IF($EX575&gt;0,"row","spacer"))</f>
        <v/>
      </c>
      <c r="EZ575">
        <f>IF(AND($EY575="row",$EY574&lt;&gt;"row"),1,0)</f>
        <v/>
      </c>
      <c r="FA575">
        <f>IF(AND($EY575="row",$EY576&lt;&gt;"row"),1,0)</f>
        <v/>
      </c>
      <c r="FB575">
        <f>IF($EZ575=1,IFERROR(IF(ISNUMBER(INDEX(PASTE_ALL,INDEX($DF$5:$DF$1003,$EX575),$B$37)),INDEX(PASTE_ALL,INDEX($DF$5:$DF$1003,$EX575),$B$37),INDEX($DH$5:$DH$1003,$EX575)),INDEX($DH$5:$DH$1003,$EX575)),"")</f>
        <v/>
      </c>
      <c r="FC575">
        <f>IF($EY575="row",INDEX($ER$5:$ER$1003,$EX575),"")</f>
        <v/>
      </c>
      <c r="FD575">
        <f>IF($EY575="row",INDEX($DN$5:$DN$1003,$EX575),"")</f>
        <v/>
      </c>
      <c r="FE575">
        <f>IF($EY575="row",INDEX($DO$5:$DO$1003,$EX575),"")</f>
        <v/>
      </c>
      <c r="FF575">
        <f>IF($EY575="row",INDEX($DP$5:$DP$1003,$EX575),"")</f>
        <v/>
      </c>
      <c r="FG575">
        <f>IF($EY575="row",INDEX($DQ$5:$DQ$1003,$EX575),"")</f>
        <v/>
      </c>
      <c r="FH575">
        <f>IF($EY575="row",INDEX($DR$5:$DR$1003,$EX575),"")</f>
        <v/>
      </c>
      <c r="FI575">
        <f>IF($EY575="row",INDEX($DS$5:$DS$1003,$EX575),"")</f>
        <v/>
      </c>
      <c r="FJ575">
        <f>IF($EY575="row",INDEX($DT$5:$DT$1003,$EX575),"")</f>
        <v/>
      </c>
      <c r="FK575">
        <f>IF($EY575="row",INDEX($DU$5:$DU$1003,$EX575),"")</f>
        <v/>
      </c>
      <c r="FL575">
        <f>IF($EY575="row",INDEX($DV$5:$DV$1003,$EX575),"")</f>
        <v/>
      </c>
      <c r="FM575">
        <f>IF($EY575="row",INDEX($DW$5:$DW$1003,$EX575),"")</f>
        <v/>
      </c>
      <c r="FN575">
        <f>IF($EY575="row",INDEX($DY$5:$DY$1003,$EX575),"")</f>
        <v/>
      </c>
      <c r="FO575">
        <f>IF($EY575="row",INDEX($EA$5:$EA$1003,$EX575),"")</f>
        <v/>
      </c>
      <c r="FP575">
        <f>IF($EY575="row",INDEX($EC$5:$EC$1003,$EX575),"")</f>
        <v/>
      </c>
      <c r="FQ575">
        <f>IF($EY575="row",INDEX($ET$5:$ET$1003,$EX575),"")</f>
        <v/>
      </c>
      <c r="FR575">
        <f>IF($EY575="row",INDEX($EU$5:$EU$1003,$EX575),"")</f>
        <v/>
      </c>
      <c r="FS575">
        <f>IF(AND($EY575="row",$EY574="row"),IF(OR(INDEX($DT$5:$DT$1003,$EX574)="",INDEX($DT$5:$DT$1003,$EX575)=""),"",IF(NOT(EXACT(INDEX($DT$5:$DT$1003,$EX574),INDEX($DT$5:$DT$1003,$EX575))),"S4",IF(NOT(EXACT(INDEX($DS$5:$DS$1003,$EX574),INDEX($DS$5:$DS$1003,$EX575))),"S3",IF(NOT(EXACT(INDEX($DR$5:$DR$1003,$EX574),INDEX($DR$5:$DR$1003,$EX575))),"S1 Count Change","S1")))),"")</f>
        <v/>
      </c>
      <c r="FT575">
        <f>IF($EY575="row",INDEX($ES$5:$ES$1003,$EX575),"")</f>
        <v/>
      </c>
      <c r="FU575">
        <f>IF($EY575="row",INDEX($EO$5:$EO$1003,$EX575),0)</f>
        <v/>
      </c>
      <c r="FV575">
        <f>IF($FS575="S1 Count Change",1,0)</f>
        <v/>
      </c>
    </row>
    <row r="576">
      <c r="DA576" t="n">
        <v>572</v>
      </c>
      <c r="DB576">
        <f>IF($B$37=0,"",IFERROR(TRIM(SUBSTITUTE(SUBSTITUTE(SUBSTITUTE(SUBSTITUTE(INDEX(PASTE_ALL,572,$B$37)," "," "),CHAR(9)," "),CHAR(10)," "),CHAR(13)," ")),""))</f>
        <v/>
      </c>
      <c r="DC576">
        <f>IF(AND(572&gt;HEADER_ROW,UPPER(DB576)="LEGEND"),1,0)</f>
        <v/>
      </c>
      <c r="DE576" t="n">
        <v>572</v>
      </c>
      <c r="DF576">
        <f>HEADER_ROW+$DE576</f>
        <v/>
      </c>
      <c r="DG576">
        <f>IF(AND($DF576&lt;=1000,$DF576&lt;$B$8),1,0)</f>
        <v/>
      </c>
      <c r="DH576">
        <f>IF($DG576=1,IFERROR(INDEX($DB$5:$DB$1004,$DF576),""),"")</f>
        <v/>
      </c>
      <c r="DI576">
        <f>IF(AND($DG576=1,$DH576&lt;&gt;""),IFERROR(SUBSTITUTE(SUBSTITUTE(TRIM(SUBSTITUTE(SUBSTITUTE(SUBSTITUTE(SUBSTITUTE(IFERROR(INDEX(PASTE_ALL,$DF576,1)&amp;"","")&amp;"␟"&amp;IFERROR(INDEX(PASTE_ALL,$DF576,2)&amp;"","")&amp;"␟"&amp;IFERROR(INDEX(PASTE_ALL,$DF576,3)&amp;"","")&amp;"␟"&amp;IFERROR(INDEX(PASTE_ALL,$DF576,4)&amp;"","")&amp;"␟"&amp;IFERROR(INDEX(PASTE_ALL,$DF576,5)&amp;"","")&amp;"␟"&amp;IFERROR(INDEX(PASTE_ALL,$DF576,6)&amp;"","")&amp;"␟"&amp;IFERROR(INDEX(PASTE_ALL,$DF576,7)&amp;"","")&amp;"␟"&amp;IFERROR(INDEX(PASTE_ALL,$DF576,8)&amp;"","")&amp;"␟"&amp;IFERROR(INDEX(PASTE_ALL,$DF576,9)&amp;"","")&amp;"␟"&amp;IFERROR(INDEX(PASTE_ALL,$DF576,10)&amp;"","")&amp;"␟"&amp;IFERROR(INDEX(PASTE_ALL,$DF576,11)&amp;"","")&amp;"␟"&amp;IFERROR(INDEX(PASTE_ALL,$DF576,12)&amp;"","")&amp;"␟"&amp;IFERROR(INDEX(PASTE_ALL,$DF576,13)&amp;"","")&amp;"␟"&amp;IFERROR(INDEX(PASTE_ALL,$DF576,14)&amp;"","")&amp;"␟"&amp;IFERROR(INDEX(PASTE_ALL,$DF576,15)&amp;"","")&amp;"␟"&amp;IFERROR(INDEX(PASTE_ALL,$DF576,16)&amp;"","")&amp;"␟"&amp;IFERROR(INDEX(PASTE_ALL,$DF576,17)&amp;"","")&amp;"␟"&amp;IFERROR(INDEX(PASTE_ALL,$DF576,18)&amp;"","")&amp;"␟"&amp;IFERROR(INDEX(PASTE_ALL,$DF576,19)&amp;"","")&amp;"␟"&amp;IFERROR(INDEX(PASTE_ALL,$DF576,20)&amp;"","")&amp;"␟"&amp;IFERROR(INDEX(PASTE_ALL,$DF576,21)&amp;"","")&amp;"␟"&amp;IFERROR(INDEX(PASTE_ALL,$DF576,22)&amp;"","")&amp;"␟"&amp;IFERROR(INDEX(PASTE_ALL,$DF576,23)&amp;"","")&amp;"␟"&amp;IFERROR(INDEX(PASTE_ALL,$DF576,24)&amp;"","")&amp;"␟"&amp;IFERROR(INDEX(PASTE_ALL,$DF576,25)&amp;"","")&amp;"␟"&amp;IFERROR(INDEX(PASTE_ALL,$DF576,26)&amp;"","")&amp;"␟"&amp;IFERROR(INDEX(PASTE_ALL,$DF576,27)&amp;"","")&amp;"␟"&amp;IFERROR(INDEX(PASTE_ALL,$DF576,28)&amp;"","")&amp;"␟"&amp;IFERROR(INDEX(PASTE_ALL,$DF576,29)&amp;"","")&amp;"␟"&amp;IFERROR(INDEX(PASTE_ALL,$DF576,30)&amp;"","")&amp;"␟"&amp;IFERROR(INDEX(PASTE_ALL,$DF576,31)&amp;"","")&amp;"␟"&amp;IFERROR(INDEX(PASTE_ALL,$DF576,32)&amp;"","")&amp;"␟"&amp;IFERROR(INDEX(PASTE_ALL,$DF576,33)&amp;"","")&amp;"␟"&amp;IFERROR(INDEX(PASTE_ALL,$DF576,34)&amp;"","")&amp;"␟"&amp;IFERROR(INDEX(PASTE_ALL,$DF576,35)&amp;"","")&amp;"␟"&amp;IFERROR(INDEX(PASTE_ALL,$DF576,36)&amp;"","")&amp;"␟"&amp;IFERROR(INDEX(PASTE_ALL,$DF576,37)&amp;"","")&amp;"␟"&amp;IFERROR(INDEX(PASTE_ALL,$DF576,38)&amp;"","")&amp;"␟"&amp;IFERROR(INDEX(PASTE_ALL,$DF576,39)&amp;"","")&amp;"␟"&amp;IFERROR(INDEX(PASTE_ALL,$DF576,40)&amp;"","")&amp;"␟"&amp;IFERROR(INDEX(PASTE_ALL,$DF576,41)&amp;"","")&amp;"␟"&amp;IFERROR(INDEX(PASTE_ALL,$DF576,42)&amp;"","")&amp;"␟"&amp;IFERROR(INDEX(PASTE_ALL,$DF576,43)&amp;"","")&amp;"␟"&amp;IFERROR(INDEX(PASTE_ALL,$DF576,44)&amp;"","")&amp;"␟"&amp;IFERROR(INDEX(PASTE_ALL,$DF576,45)&amp;"","")&amp;"␟"&amp;IFERROR(INDEX(PASTE_ALL,$DF576,46)&amp;"","")&amp;"␟"&amp;IFERROR(INDEX(PASTE_ALL,$DF576,47)&amp;"","")&amp;"␟"&amp;IFERROR(INDEX(PASTE_ALL,$DF576,48)&amp;"","")&amp;"␟"&amp;IFERROR(INDEX(PASTE_ALL,$DF576,49)&amp;"","")&amp;"␟"&amp;IFERROR(INDEX(PASTE_ALL,$DF576,50)&amp;"","")&amp;"␟"&amp;IFERROR(INDEX(PASTE_ALL,$DF576,51)&amp;"","")&amp;"␟"&amp;IFERROR(INDEX(PASTE_ALL,$DF576,52)&amp;"","")&amp;"␟"&amp;IFERROR(INDEX(PASTE_ALL,$DF576,53)&amp;"","")&amp;"␟"&amp;IFERROR(INDEX(PASTE_ALL,$DF576,54)&amp;"","")&amp;"␟"&amp;IFERROR(INDEX(PASTE_ALL,$DF576,55)&amp;"","")&amp;"␟"&amp;IFERROR(INDEX(PASTE_ALL,$DF576,56)&amp;"","")&amp;"␟"&amp;IFERROR(INDEX(PASTE_ALL,$DF576,57)&amp;"","")&amp;"␟"&amp;IFERROR(INDEX(PASTE_ALL,$DF576,58)&amp;"","")&amp;"␟"&amp;IFERROR(INDEX(PASTE_ALL,$DF576,59)&amp;"","")&amp;"␟"&amp;IFERROR(INDEX(PASTE_ALL,$DF576,60)&amp;"","")," "," "),CHAR(9)," "),CHAR(10)," "),CHAR(13)," "))," ␟","␟"),"␟ ","␟"),"#"&amp;$DE576),"")</f>
        <v/>
      </c>
      <c r="DJ576">
        <f>IF($DI576="",0,IF(SUMPRODUCT(--EXACT($DI$4:DI575,$DI576))&gt;0,1,0))</f>
        <v/>
      </c>
      <c r="DK576">
        <f>IF(AND($DI576&lt;&gt;"",$DJ576=0),1,0)</f>
        <v/>
      </c>
      <c r="DL576">
        <f>DL575+$DK576</f>
        <v/>
      </c>
      <c r="DM576">
        <f>IF(AND($DK576=1,$DL576&lt;=600),1,0)</f>
        <v/>
      </c>
      <c r="DN576">
        <f>IF($DM576=0,"",IF($L$6=0,"",IFERROR(IF(ISNUMBER(INDEX(PASTE_ALL,$DF576,$L$6)),INDEX(PASTE_ALL,$DF576,$L$6),TRIM(SUBSTITUTE(SUBSTITUTE(SUBSTITUTE(SUBSTITUTE(INDEX(PASTE_ALL,$DF576,$L$6)," "," "),CHAR(9)," "),CHAR(10)," "),CHAR(13)," "))),"")))</f>
        <v/>
      </c>
      <c r="DO576">
        <f>IF($DM576=0,"",IF($L$7=0,"",IFERROR(IF(ISNUMBER(INDEX(PASTE_ALL,$DF576,$L$7)),INDEX(PASTE_ALL,$DF576,$L$7),TRIM(SUBSTITUTE(SUBSTITUTE(SUBSTITUTE(SUBSTITUTE(INDEX(PASTE_ALL,$DF576,$L$7)," "," "),CHAR(9)," "),CHAR(10)," "),CHAR(13)," "))),"")))</f>
        <v/>
      </c>
      <c r="DP576">
        <f>IF($DM576=0,"",IF($L$8=0,"",IFERROR(IF(ISNUMBER(INDEX(PASTE_ALL,$DF576,$L$8)),INDEX(PASTE_ALL,$DF576,$L$8),TRIM(SUBSTITUTE(SUBSTITUTE(SUBSTITUTE(SUBSTITUTE(INDEX(PASTE_ALL,$DF576,$L$8)," "," "),CHAR(9)," "),CHAR(10)," "),CHAR(13)," "))),"")))</f>
        <v/>
      </c>
      <c r="DQ576">
        <f>IF($DM576=0,"",IF($L$9=0,"",IFERROR(IF(ISNUMBER(INDEX(PASTE_ALL,$DF576,$L$9)),INDEX(PASTE_ALL,$DF576,$L$9),TRIM(SUBSTITUTE(SUBSTITUTE(SUBSTITUTE(SUBSTITUTE(INDEX(PASTE_ALL,$DF576,$L$9)," "," "),CHAR(9)," "),CHAR(10)," "),CHAR(13)," "))),"")))</f>
        <v/>
      </c>
      <c r="DR576">
        <f>IF($DM576=0,"",IF($L$10=0,"",IFERROR(IF(ISNUMBER(INDEX(PASTE_ALL,$DF576,$L$10)),INDEX(PASTE_ALL,$DF576,$L$10),TRIM(SUBSTITUTE(SUBSTITUTE(SUBSTITUTE(SUBSTITUTE(INDEX(PASTE_ALL,$DF576,$L$10)," "," "),CHAR(9)," "),CHAR(10)," "),CHAR(13)," "))),"")))</f>
        <v/>
      </c>
      <c r="DS576">
        <f>IF($DM576=0,"",IF($L$11=0,"",IFERROR(IF(ISNUMBER(INDEX(PASTE_ALL,$DF576,$L$11)),INDEX(PASTE_ALL,$DF576,$L$11),TRIM(SUBSTITUTE(SUBSTITUTE(SUBSTITUTE(SUBSTITUTE(INDEX(PASTE_ALL,$DF576,$L$11)," "," "),CHAR(9)," "),CHAR(10)," "),CHAR(13)," "))),"")))</f>
        <v/>
      </c>
      <c r="DT576">
        <f>IF($DM576=0,"",IF($L$12=0,"",IFERROR(IF(ISNUMBER(INDEX(PASTE_ALL,$DF576,$L$12)),INDEX(PASTE_ALL,$DF576,$L$12),TRIM(SUBSTITUTE(SUBSTITUTE(SUBSTITUTE(SUBSTITUTE(INDEX(PASTE_ALL,$DF576,$L$12)," "," "),CHAR(9)," "),CHAR(10)," "),CHAR(13)," "))),"")))</f>
        <v/>
      </c>
      <c r="DU576">
        <f>IF($DM576=0,"",IF($L$13=0,"",IFERROR(IF(ISNUMBER(INDEX(PASTE_ALL,$DF576,$L$13)),INDEX(PASTE_ALL,$DF576,$L$13),TRIM(SUBSTITUTE(SUBSTITUTE(SUBSTITUTE(SUBSTITUTE(INDEX(PASTE_ALL,$DF576,$L$13)," "," "),CHAR(9)," "),CHAR(10)," "),CHAR(13)," "))),"")))</f>
        <v/>
      </c>
      <c r="DV576">
        <f>IF($DM576=0,"",IF($L$14=0,"",IFERROR(IF(ISNUMBER(INDEX(PASTE_ALL,$DF576,$L$14)),INDEX(PASTE_ALL,$DF576,$L$14),TRIM(SUBSTITUTE(SUBSTITUTE(SUBSTITUTE(SUBSTITUTE(INDEX(PASTE_ALL,$DF576,$L$14)," "," "),CHAR(9)," "),CHAR(10)," "),CHAR(13)," "))),"")))</f>
        <v/>
      </c>
      <c r="DW576">
        <f>IF($DM576=0,"",IF($L$15=0,"",IFERROR(IF(ISNUMBER(INDEX(PASTE_ALL,$DF576,$L$15)),INDEX(PASTE_ALL,$DF576,$L$15),IF(SUMPRODUCT(--ISNUMBER(FIND({"A","B","C","D","E","F","G","H","I","J","K","L","M","N","O","P","Q","R","S","T","U","V","W","X","Y","Z","0","1","2","3","4","5","6","7","8","9"},UPPER(TRIM(SUBSTITUTE(SUBSTITUTE(SUBSTITUTE(SUBSTITUTE(INDEX(PASTE_ALL,$DF576,$L$15)," "," "),CHAR(9)," "),CHAR(10)," "),CHAR(13)," "))))))&gt;0,TRIM(SUBSTITUTE(SUBSTITUTE(SUBSTITUTE(SUBSTITUTE(INDEX(PASTE_ALL,$DF576,$L$15)," "," "),CHAR(9)," "),CHAR(10)," "),CHAR(13)," ")),"")),"")))</f>
        <v/>
      </c>
      <c r="DX576">
        <f>IF($DM576=0,"",IF($L$16=0,"",IFERROR(IF(ISNUMBER(INDEX(PASTE_ALL,$DF576,$L$16)),INDEX(PASTE_ALL,$DF576,$L$16),SUBSTITUTE(SUBSTITUTE(TRIM(SUBSTITUTE(SUBSTITUTE(SUBSTITUTE(SUBSTITUTE(INDEX(PASTE_ALL,$DF576,$L$16)," "," "),CHAR(9)," "),CHAR(10)," "),CHAR(13)," ")),",",""),"%","")),"")))</f>
        <v/>
      </c>
      <c r="DY576">
        <f>IF($DM576=0,"",IFERROR(IF(ISNUMBER($DX576),$DX576,IF($DX576="","",IF(TRIM($DX576)="",0,IF(AND(AND(SUBSTITUTE(SUBSTITUTE(SUBSTITUTE(SUBSTITUTE(SUBSTITUTE(SUBSTITUTE(SUBSTITUTE(SUBSTITUTE(SUBSTITUTE(SUBSTITUTE(SUBSTITUTE(SUBSTITUTE(SUBSTITUTE(SUBSTITUTE(UPPER(TRIM($DX576)),"0",""),"1",""),"2",""),"3",""),"4",""),"5",""),"6",""),"7",""),"8",""),"9",""),".",""),"+",""),"-",""),"E","")="",LEN(SUBSTITUTE(SUBSTITUTE(MID(UPPER(TRIM($DX576)),1+OR(LEFT(UPPER(TRIM($DX576)),1)="+",LEFT(UPPER(TRIM($DX576)),1)="-"),999),"E+","E"),"E-","E"))=LEN(SUBSTITUTE(SUBSTITUTE(SUBSTITUTE(SUBSTITUTE(MID(UPPER(TRIM($DX576)),1+OR(LEFT(UPPER(TRIM($DX576)),1)="+",LEFT(UPPER(TRIM($DX576)),1)="-"),999),"E+","E"),"E-","E"),"+",""),"-","")),LEN(UPPER(TRIM($DX576)))-LEN(SUBSTITUTE(UPPER(TRIM($DX576)),"E",""))&lt;2,LEN(UPPER(TRIM($DX576)))-LEN(SUBSTITUTE(UPPER(TRIM($DX576)),".",""))&lt;2,IFERROR(FIND(".",UPPER(TRIM($DX576))),0)&lt;IFERROR(FIND("E",UPPER(TRIM($DX576))),999)),ISNUMBER(VALUE(TRIM($DX576)))),VALUE(TRIM($DX576)),"")))),""))</f>
        <v/>
      </c>
      <c r="DZ576">
        <f>IF($DM576=0,"",IF($L$17=0,"",IFERROR(IF(ISNUMBER(INDEX(PASTE_ALL,$DF576,$L$17)),INDEX(PASTE_ALL,$DF576,$L$17),SUBSTITUTE(SUBSTITUTE(TRIM(SUBSTITUTE(SUBSTITUTE(SUBSTITUTE(SUBSTITUTE(INDEX(PASTE_ALL,$DF576,$L$17)," "," "),CHAR(9)," "),CHAR(10)," "),CHAR(13)," ")),",",""),"%","")),"")))</f>
        <v/>
      </c>
      <c r="EA576">
        <f>IF($DM576=0,"",IFERROR(IF(ISNUMBER($DZ576),$DZ576,IF($DZ576="","",IF(TRIM($DZ576)="",0,IF(AND(AND(SUBSTITUTE(SUBSTITUTE(SUBSTITUTE(SUBSTITUTE(SUBSTITUTE(SUBSTITUTE(SUBSTITUTE(SUBSTITUTE(SUBSTITUTE(SUBSTITUTE(SUBSTITUTE(SUBSTITUTE(SUBSTITUTE(SUBSTITUTE(UPPER(TRIM($DZ576)),"0",""),"1",""),"2",""),"3",""),"4",""),"5",""),"6",""),"7",""),"8",""),"9",""),".",""),"+",""),"-",""),"E","")="",LEN(SUBSTITUTE(SUBSTITUTE(MID(UPPER(TRIM($DZ576)),1+OR(LEFT(UPPER(TRIM($DZ576)),1)="+",LEFT(UPPER(TRIM($DZ576)),1)="-"),999),"E+","E"),"E-","E"))=LEN(SUBSTITUTE(SUBSTITUTE(SUBSTITUTE(SUBSTITUTE(MID(UPPER(TRIM($DZ576)),1+OR(LEFT(UPPER(TRIM($DZ576)),1)="+",LEFT(UPPER(TRIM($DZ576)),1)="-"),999),"E+","E"),"E-","E"),"+",""),"-","")),LEN(UPPER(TRIM($DZ576)))-LEN(SUBSTITUTE(UPPER(TRIM($DZ576)),"E",""))&lt;2,LEN(UPPER(TRIM($DZ576)))-LEN(SUBSTITUTE(UPPER(TRIM($DZ576)),".",""))&lt;2,IFERROR(FIND(".",UPPER(TRIM($DZ576))),0)&lt;IFERROR(FIND("E",UPPER(TRIM($DZ576))),999)),ISNUMBER(VALUE(TRIM($DZ576)))),VALUE(TRIM($DZ576)),"")))),""))</f>
        <v/>
      </c>
      <c r="EB576">
        <f>IF($DM576=0,"",IF($L$18=0,"",IFERROR(IF(UPPER(TRIM(SUBSTITUTE(SUBSTITUTE(SUBSTITUTE(SUBSTITUTE(INDEX(PASTE_ALL,$DF576,$L$18)," "," "),CHAR(9)," "),CHAR(10)," "),CHAR(13)," ")))="READY","Ready",IF(UPPER(TRIM(SUBSTITUTE(SUBSTITUTE(SUBSTITUTE(SUBSTITUTE(INDEX(PASTE_ALL,$DF576,$L$18)," "," "),CHAR(9)," "),CHAR(10)," "),CHAR(13)," ")))="PM","PM",IF(OR(UPPER(TRIM(SUBSTITUTE(SUBSTITUTE(SUBSTITUTE(SUBSTITUTE(INDEX(PASTE_ALL,$DF576,$L$18)," "," "),CHAR(9)," "),CHAR(10)," "),CHAR(13)," ")))="OT",UPPER(TRIM(SUBSTITUTE(SUBSTITUTE(SUBSTITUTE(SUBSTITUTE(INDEX(PASTE_ALL,$DF576,$L$18)," "," "),CHAR(9)," "),CHAR(10)," "),CHAR(13)," ")))="OVERTIME",UPPER(TRIM(SUBSTITUTE(SUBSTITUTE(SUBSTITUTE(SUBSTITUTE(INDEX(PASTE_ALL,$DF576,$L$18)," "," "),CHAR(9)," "),CHAR(10)," "),CHAR(13)," ")))="TRIAL"),"OT",TRIM(SUBSTITUTE(SUBSTITUTE(SUBSTITUTE(SUBSTITUTE(INDEX(PASTE_ALL,$DF576,$L$18)," "," "),CHAR(9)," "),CHAR(10)," "),CHAR(13)," "))))),"")))</f>
        <v/>
      </c>
      <c r="EC576">
        <f>IF($DM576=0,"",IF($L$19=0,"",IFERROR(IF(ISNUMBER(INDEX(PASTE_ALL,$DF576,$L$19)),INDEX(PASTE_ALL,$DF576,$L$19),TRIM(SUBSTITUTE(SUBSTITUTE(SUBSTITUTE(SUBSTITUTE(INDEX(PASTE_ALL,$DF576,$L$19)," "," "),CHAR(9)," "),CHAR(10)," "),CHAR(13)," "))),"")))</f>
        <v/>
      </c>
      <c r="ED576">
        <f>IF($DM576=0,"",MATCH(1,INDEX(EXACT($DH$5:DH576,$DH576)*$DM$5:DM576,0),0))</f>
        <v/>
      </c>
      <c r="EE576">
        <f>IF($DM576=0,0,IF($ED576=$DE576,1,0))</f>
        <v/>
      </c>
      <c r="EF576">
        <f>EF575+$EE576</f>
        <v/>
      </c>
      <c r="EG576">
        <f>IF($DM576=0,"",INDEX($EF$5:$EF$1003,$ED576))</f>
        <v/>
      </c>
      <c r="EH576">
        <f>IF($DM576=0,"",IF($DO576&lt;&gt;"","",IFERROR(LOOKUP(2,1/(($EG$4:EG575=$EG576)*($DO$4:DO575&lt;&gt;"")),$DO$4:DO575),"")))</f>
        <v/>
      </c>
      <c r="EI576">
        <f>IF($DM576=0,"",IF($DO576&lt;&gt;"",$DO576,$EH576))</f>
        <v/>
      </c>
      <c r="EJ576">
        <f>IF($DM576=0,"",IF($EI576="",0,IF(OR(ISNUMBER($EI576),AND(AND(SUBSTITUTE(SUBSTITUTE(SUBSTITUTE(SUBSTITUTE(SUBSTITUTE(SUBSTITUTE(SUBSTITUTE(SUBSTITUTE(SUBSTITUTE(SUBSTITUTE(SUBSTITUTE(SUBSTITUTE(SUBSTITUTE(SUBSTITUTE(UPPER($EI576),"0",""),"1",""),"2",""),"3",""),"4",""),"5",""),"6",""),"7",""),"8",""),"9",""),".",""),"+",""),"-",""),"E","")="",LEN(SUBSTITUTE(SUBSTITUTE(MID(UPPER($EI576),1+OR(LEFT(UPPER($EI576),1)="+",LEFT(UPPER($EI576),1)="-"),999),"E+","E"),"E-","E"))=LEN(SUBSTITUTE(SUBSTITUTE(SUBSTITUTE(SUBSTITUTE(MID(UPPER($EI576),1+OR(LEFT(UPPER($EI576),1)="+",LEFT(UPPER($EI576),1)="-"),999),"E+","E"),"E-","E"),"+",""),"-","")),LEN(UPPER($EI576))-LEN(SUBSTITUTE(UPPER($EI576),"E",""))&lt;2,LEN(UPPER($EI576))-LEN(SUBSTITUTE(UPPER($EI576),".",""))&lt;2,IFERROR(FIND(".",UPPER($EI576)),0)&lt;IFERROR(FIND("E",UPPER($EI576)),999)),ISNUMBER(VALUE($EI576)))),1,2)))</f>
        <v/>
      </c>
      <c r="EK576">
        <f>IF($DM576=0,"",IF($EJ576=1,IF(ISNUMBER($EI576),$EI576,VALUE($EI576)),IF($EJ576=2,$DE576,0)))</f>
        <v/>
      </c>
      <c r="EL576">
        <f>IF($DM576=0,"",COUNTIF($EG$5:$EG$1003,"&lt;"&amp;$EG576)+SUMPRODUCT(($EG$5:$EG$1003=$EG576)*(($EJ$5:$EJ$1003&lt;$EJ576)+($EJ$5:$EJ$1003=$EJ576)*(($EK$5:$EK$1003&lt;$EK576)+($EK$5:$EK$1003=$EK576)*($DE$5:$DE$1003&lt;$DE576))))+1)</f>
        <v/>
      </c>
      <c r="EM576">
        <f>IF($DM576=0,"",$EL576+$EG576-1)</f>
        <v/>
      </c>
      <c r="EN576">
        <f>IF($DM576=0,0,IFERROR(MATCH(1,INDEX(--(TRIM(SUBSTITUTE(SUBSTITUTE(SUBSTITUTE(SUBSTITUTE(LINES_NAME&amp;""," "," "),CHAR(9)," "),CHAR(10)," "),CHAR(13)," "))=$DH576),0),0),0))</f>
        <v/>
      </c>
      <c r="EO576">
        <f>IF($EN576=0,0,IF(OR(UPPER(TRIM(INDEX(LINES_SCHEDULED,$EN576)&amp;""))="YES",UPPER(TRIM(INDEX(LINES_SCHEDULED,$EN576)&amp;""))="Y",UPPER(TRIM(INDEX(LINES_SCHEDULED,$EN576)&amp;""))="X"),1,0))</f>
        <v/>
      </c>
      <c r="EP576">
        <f>IF($DM576=0,"",IF(COUNTIFS($EG$5:$EG$1003,$EG576,$EB$5:$EB$1003,"Ready")&gt;0,"READY",IF(COUNTIFS($EG$5:$EG$1003,$EG576,$EB$5:$EB$1003,"PM")&gt;0,"PM",IF(COUNTIFS($EG$5:$EG$1003,$EG576,$EB$5:$EB$1003,"OT")&gt;0,"OT",""))))</f>
        <v/>
      </c>
      <c r="EQ576">
        <f>IF($EN576=0,"",UPPER(TRIM(INDEX(LINES_STATUS,$EN576)&amp;"")))</f>
        <v/>
      </c>
      <c r="ER576">
        <f>IF($DM576=0,"",IF(OR($EQ576="READY",$EQ576="PM",$EQ576="OT"),$EQ576,$EP576))</f>
        <v/>
      </c>
      <c r="ES576">
        <f>IF($DM576=0,"",IF(AND($DV576&lt;&gt;"",UPPER($DV576)&lt;&gt;"N"),"allergen",IF(ISNUMBER(SEARCH("oil",$DQ576)),"oil",IF(OR(EXACT($DS576,"A662"),EXACT($DS576,"A624")),"bulk",""))))</f>
        <v/>
      </c>
      <c r="ET576">
        <f>IF($DM576=0,"",IF(OR($EA576="",$EA576=0),"",$EA576/100))</f>
        <v/>
      </c>
      <c r="EU576">
        <f>IF(OR($ET576="",$DY576=""),"",INT($DY576*(1-$ET576)+0.5))</f>
        <v/>
      </c>
      <c r="EW576" t="n">
        <v>572</v>
      </c>
      <c r="EX576">
        <f>IFERROR(MATCH($EW576,$EM$5:$EM$1003,0),0)</f>
        <v/>
      </c>
      <c r="EY576">
        <f>IF($EW576&gt;$B$12,"",IF($EX576&gt;0,"row","spacer"))</f>
        <v/>
      </c>
      <c r="EZ576">
        <f>IF(AND($EY576="row",$EY575&lt;&gt;"row"),1,0)</f>
        <v/>
      </c>
      <c r="FA576">
        <f>IF(AND($EY576="row",$EY577&lt;&gt;"row"),1,0)</f>
        <v/>
      </c>
      <c r="FB576">
        <f>IF($EZ576=1,IFERROR(IF(ISNUMBER(INDEX(PASTE_ALL,INDEX($DF$5:$DF$1003,$EX576),$B$37)),INDEX(PASTE_ALL,INDEX($DF$5:$DF$1003,$EX576),$B$37),INDEX($DH$5:$DH$1003,$EX576)),INDEX($DH$5:$DH$1003,$EX576)),"")</f>
        <v/>
      </c>
      <c r="FC576">
        <f>IF($EY576="row",INDEX($ER$5:$ER$1003,$EX576),"")</f>
        <v/>
      </c>
      <c r="FD576">
        <f>IF($EY576="row",INDEX($DN$5:$DN$1003,$EX576),"")</f>
        <v/>
      </c>
      <c r="FE576">
        <f>IF($EY576="row",INDEX($DO$5:$DO$1003,$EX576),"")</f>
        <v/>
      </c>
      <c r="FF576">
        <f>IF($EY576="row",INDEX($DP$5:$DP$1003,$EX576),"")</f>
        <v/>
      </c>
      <c r="FG576">
        <f>IF($EY576="row",INDEX($DQ$5:$DQ$1003,$EX576),"")</f>
        <v/>
      </c>
      <c r="FH576">
        <f>IF($EY576="row",INDEX($DR$5:$DR$1003,$EX576),"")</f>
        <v/>
      </c>
      <c r="FI576">
        <f>IF($EY576="row",INDEX($DS$5:$DS$1003,$EX576),"")</f>
        <v/>
      </c>
      <c r="FJ576">
        <f>IF($EY576="row",INDEX($DT$5:$DT$1003,$EX576),"")</f>
        <v/>
      </c>
      <c r="FK576">
        <f>IF($EY576="row",INDEX($DU$5:$DU$1003,$EX576),"")</f>
        <v/>
      </c>
      <c r="FL576">
        <f>IF($EY576="row",INDEX($DV$5:$DV$1003,$EX576),"")</f>
        <v/>
      </c>
      <c r="FM576">
        <f>IF($EY576="row",INDEX($DW$5:$DW$1003,$EX576),"")</f>
        <v/>
      </c>
      <c r="FN576">
        <f>IF($EY576="row",INDEX($DY$5:$DY$1003,$EX576),"")</f>
        <v/>
      </c>
      <c r="FO576">
        <f>IF($EY576="row",INDEX($EA$5:$EA$1003,$EX576),"")</f>
        <v/>
      </c>
      <c r="FP576">
        <f>IF($EY576="row",INDEX($EC$5:$EC$1003,$EX576),"")</f>
        <v/>
      </c>
      <c r="FQ576">
        <f>IF($EY576="row",INDEX($ET$5:$ET$1003,$EX576),"")</f>
        <v/>
      </c>
      <c r="FR576">
        <f>IF($EY576="row",INDEX($EU$5:$EU$1003,$EX576),"")</f>
        <v/>
      </c>
      <c r="FS576">
        <f>IF(AND($EY576="row",$EY575="row"),IF(OR(INDEX($DT$5:$DT$1003,$EX575)="",INDEX($DT$5:$DT$1003,$EX576)=""),"",IF(NOT(EXACT(INDEX($DT$5:$DT$1003,$EX575),INDEX($DT$5:$DT$1003,$EX576))),"S4",IF(NOT(EXACT(INDEX($DS$5:$DS$1003,$EX575),INDEX($DS$5:$DS$1003,$EX576))),"S3",IF(NOT(EXACT(INDEX($DR$5:$DR$1003,$EX575),INDEX($DR$5:$DR$1003,$EX576))),"S1 Count Change","S1")))),"")</f>
        <v/>
      </c>
      <c r="FT576">
        <f>IF($EY576="row",INDEX($ES$5:$ES$1003,$EX576),"")</f>
        <v/>
      </c>
      <c r="FU576">
        <f>IF($EY576="row",INDEX($EO$5:$EO$1003,$EX576),0)</f>
        <v/>
      </c>
      <c r="FV576">
        <f>IF($FS576="S1 Count Change",1,0)</f>
        <v/>
      </c>
    </row>
    <row r="577">
      <c r="DA577" t="n">
        <v>573</v>
      </c>
      <c r="DB577">
        <f>IF($B$37=0,"",IFERROR(TRIM(SUBSTITUTE(SUBSTITUTE(SUBSTITUTE(SUBSTITUTE(INDEX(PASTE_ALL,573,$B$37)," "," "),CHAR(9)," "),CHAR(10)," "),CHAR(13)," ")),""))</f>
        <v/>
      </c>
      <c r="DC577">
        <f>IF(AND(573&gt;HEADER_ROW,UPPER(DB577)="LEGEND"),1,0)</f>
        <v/>
      </c>
      <c r="DE577" t="n">
        <v>573</v>
      </c>
      <c r="DF577">
        <f>HEADER_ROW+$DE577</f>
        <v/>
      </c>
      <c r="DG577">
        <f>IF(AND($DF577&lt;=1000,$DF577&lt;$B$8),1,0)</f>
        <v/>
      </c>
      <c r="DH577">
        <f>IF($DG577=1,IFERROR(INDEX($DB$5:$DB$1004,$DF577),""),"")</f>
        <v/>
      </c>
      <c r="DI577">
        <f>IF(AND($DG577=1,$DH577&lt;&gt;""),IFERROR(SUBSTITUTE(SUBSTITUTE(TRIM(SUBSTITUTE(SUBSTITUTE(SUBSTITUTE(SUBSTITUTE(IFERROR(INDEX(PASTE_ALL,$DF577,1)&amp;"","")&amp;"␟"&amp;IFERROR(INDEX(PASTE_ALL,$DF577,2)&amp;"","")&amp;"␟"&amp;IFERROR(INDEX(PASTE_ALL,$DF577,3)&amp;"","")&amp;"␟"&amp;IFERROR(INDEX(PASTE_ALL,$DF577,4)&amp;"","")&amp;"␟"&amp;IFERROR(INDEX(PASTE_ALL,$DF577,5)&amp;"","")&amp;"␟"&amp;IFERROR(INDEX(PASTE_ALL,$DF577,6)&amp;"","")&amp;"␟"&amp;IFERROR(INDEX(PASTE_ALL,$DF577,7)&amp;"","")&amp;"␟"&amp;IFERROR(INDEX(PASTE_ALL,$DF577,8)&amp;"","")&amp;"␟"&amp;IFERROR(INDEX(PASTE_ALL,$DF577,9)&amp;"","")&amp;"␟"&amp;IFERROR(INDEX(PASTE_ALL,$DF577,10)&amp;"","")&amp;"␟"&amp;IFERROR(INDEX(PASTE_ALL,$DF577,11)&amp;"","")&amp;"␟"&amp;IFERROR(INDEX(PASTE_ALL,$DF577,12)&amp;"","")&amp;"␟"&amp;IFERROR(INDEX(PASTE_ALL,$DF577,13)&amp;"","")&amp;"␟"&amp;IFERROR(INDEX(PASTE_ALL,$DF577,14)&amp;"","")&amp;"␟"&amp;IFERROR(INDEX(PASTE_ALL,$DF577,15)&amp;"","")&amp;"␟"&amp;IFERROR(INDEX(PASTE_ALL,$DF577,16)&amp;"","")&amp;"␟"&amp;IFERROR(INDEX(PASTE_ALL,$DF577,17)&amp;"","")&amp;"␟"&amp;IFERROR(INDEX(PASTE_ALL,$DF577,18)&amp;"","")&amp;"␟"&amp;IFERROR(INDEX(PASTE_ALL,$DF577,19)&amp;"","")&amp;"␟"&amp;IFERROR(INDEX(PASTE_ALL,$DF577,20)&amp;"","")&amp;"␟"&amp;IFERROR(INDEX(PASTE_ALL,$DF577,21)&amp;"","")&amp;"␟"&amp;IFERROR(INDEX(PASTE_ALL,$DF577,22)&amp;"","")&amp;"␟"&amp;IFERROR(INDEX(PASTE_ALL,$DF577,23)&amp;"","")&amp;"␟"&amp;IFERROR(INDEX(PASTE_ALL,$DF577,24)&amp;"","")&amp;"␟"&amp;IFERROR(INDEX(PASTE_ALL,$DF577,25)&amp;"","")&amp;"␟"&amp;IFERROR(INDEX(PASTE_ALL,$DF577,26)&amp;"","")&amp;"␟"&amp;IFERROR(INDEX(PASTE_ALL,$DF577,27)&amp;"","")&amp;"␟"&amp;IFERROR(INDEX(PASTE_ALL,$DF577,28)&amp;"","")&amp;"␟"&amp;IFERROR(INDEX(PASTE_ALL,$DF577,29)&amp;"","")&amp;"␟"&amp;IFERROR(INDEX(PASTE_ALL,$DF577,30)&amp;"","")&amp;"␟"&amp;IFERROR(INDEX(PASTE_ALL,$DF577,31)&amp;"","")&amp;"␟"&amp;IFERROR(INDEX(PASTE_ALL,$DF577,32)&amp;"","")&amp;"␟"&amp;IFERROR(INDEX(PASTE_ALL,$DF577,33)&amp;"","")&amp;"␟"&amp;IFERROR(INDEX(PASTE_ALL,$DF577,34)&amp;"","")&amp;"␟"&amp;IFERROR(INDEX(PASTE_ALL,$DF577,35)&amp;"","")&amp;"␟"&amp;IFERROR(INDEX(PASTE_ALL,$DF577,36)&amp;"","")&amp;"␟"&amp;IFERROR(INDEX(PASTE_ALL,$DF577,37)&amp;"","")&amp;"␟"&amp;IFERROR(INDEX(PASTE_ALL,$DF577,38)&amp;"","")&amp;"␟"&amp;IFERROR(INDEX(PASTE_ALL,$DF577,39)&amp;"","")&amp;"␟"&amp;IFERROR(INDEX(PASTE_ALL,$DF577,40)&amp;"","")&amp;"␟"&amp;IFERROR(INDEX(PASTE_ALL,$DF577,41)&amp;"","")&amp;"␟"&amp;IFERROR(INDEX(PASTE_ALL,$DF577,42)&amp;"","")&amp;"␟"&amp;IFERROR(INDEX(PASTE_ALL,$DF577,43)&amp;"","")&amp;"␟"&amp;IFERROR(INDEX(PASTE_ALL,$DF577,44)&amp;"","")&amp;"␟"&amp;IFERROR(INDEX(PASTE_ALL,$DF577,45)&amp;"","")&amp;"␟"&amp;IFERROR(INDEX(PASTE_ALL,$DF577,46)&amp;"","")&amp;"␟"&amp;IFERROR(INDEX(PASTE_ALL,$DF577,47)&amp;"","")&amp;"␟"&amp;IFERROR(INDEX(PASTE_ALL,$DF577,48)&amp;"","")&amp;"␟"&amp;IFERROR(INDEX(PASTE_ALL,$DF577,49)&amp;"","")&amp;"␟"&amp;IFERROR(INDEX(PASTE_ALL,$DF577,50)&amp;"","")&amp;"␟"&amp;IFERROR(INDEX(PASTE_ALL,$DF577,51)&amp;"","")&amp;"␟"&amp;IFERROR(INDEX(PASTE_ALL,$DF577,52)&amp;"","")&amp;"␟"&amp;IFERROR(INDEX(PASTE_ALL,$DF577,53)&amp;"","")&amp;"␟"&amp;IFERROR(INDEX(PASTE_ALL,$DF577,54)&amp;"","")&amp;"␟"&amp;IFERROR(INDEX(PASTE_ALL,$DF577,55)&amp;"","")&amp;"␟"&amp;IFERROR(INDEX(PASTE_ALL,$DF577,56)&amp;"","")&amp;"␟"&amp;IFERROR(INDEX(PASTE_ALL,$DF577,57)&amp;"","")&amp;"␟"&amp;IFERROR(INDEX(PASTE_ALL,$DF577,58)&amp;"","")&amp;"␟"&amp;IFERROR(INDEX(PASTE_ALL,$DF577,59)&amp;"","")&amp;"␟"&amp;IFERROR(INDEX(PASTE_ALL,$DF577,60)&amp;"","")," "," "),CHAR(9)," "),CHAR(10)," "),CHAR(13)," "))," ␟","␟"),"␟ ","␟"),"#"&amp;$DE577),"")</f>
        <v/>
      </c>
      <c r="DJ577">
        <f>IF($DI577="",0,IF(SUMPRODUCT(--EXACT($DI$4:DI576,$DI577))&gt;0,1,0))</f>
        <v/>
      </c>
      <c r="DK577">
        <f>IF(AND($DI577&lt;&gt;"",$DJ577=0),1,0)</f>
        <v/>
      </c>
      <c r="DL577">
        <f>DL576+$DK577</f>
        <v/>
      </c>
      <c r="DM577">
        <f>IF(AND($DK577=1,$DL577&lt;=600),1,0)</f>
        <v/>
      </c>
      <c r="DN577">
        <f>IF($DM577=0,"",IF($L$6=0,"",IFERROR(IF(ISNUMBER(INDEX(PASTE_ALL,$DF577,$L$6)),INDEX(PASTE_ALL,$DF577,$L$6),TRIM(SUBSTITUTE(SUBSTITUTE(SUBSTITUTE(SUBSTITUTE(INDEX(PASTE_ALL,$DF577,$L$6)," "," "),CHAR(9)," "),CHAR(10)," "),CHAR(13)," "))),"")))</f>
        <v/>
      </c>
      <c r="DO577">
        <f>IF($DM577=0,"",IF($L$7=0,"",IFERROR(IF(ISNUMBER(INDEX(PASTE_ALL,$DF577,$L$7)),INDEX(PASTE_ALL,$DF577,$L$7),TRIM(SUBSTITUTE(SUBSTITUTE(SUBSTITUTE(SUBSTITUTE(INDEX(PASTE_ALL,$DF577,$L$7)," "," "),CHAR(9)," "),CHAR(10)," "),CHAR(13)," "))),"")))</f>
        <v/>
      </c>
      <c r="DP577">
        <f>IF($DM577=0,"",IF($L$8=0,"",IFERROR(IF(ISNUMBER(INDEX(PASTE_ALL,$DF577,$L$8)),INDEX(PASTE_ALL,$DF577,$L$8),TRIM(SUBSTITUTE(SUBSTITUTE(SUBSTITUTE(SUBSTITUTE(INDEX(PASTE_ALL,$DF577,$L$8)," "," "),CHAR(9)," "),CHAR(10)," "),CHAR(13)," "))),"")))</f>
        <v/>
      </c>
      <c r="DQ577">
        <f>IF($DM577=0,"",IF($L$9=0,"",IFERROR(IF(ISNUMBER(INDEX(PASTE_ALL,$DF577,$L$9)),INDEX(PASTE_ALL,$DF577,$L$9),TRIM(SUBSTITUTE(SUBSTITUTE(SUBSTITUTE(SUBSTITUTE(INDEX(PASTE_ALL,$DF577,$L$9)," "," "),CHAR(9)," "),CHAR(10)," "),CHAR(13)," "))),"")))</f>
        <v/>
      </c>
      <c r="DR577">
        <f>IF($DM577=0,"",IF($L$10=0,"",IFERROR(IF(ISNUMBER(INDEX(PASTE_ALL,$DF577,$L$10)),INDEX(PASTE_ALL,$DF577,$L$10),TRIM(SUBSTITUTE(SUBSTITUTE(SUBSTITUTE(SUBSTITUTE(INDEX(PASTE_ALL,$DF577,$L$10)," "," "),CHAR(9)," "),CHAR(10)," "),CHAR(13)," "))),"")))</f>
        <v/>
      </c>
      <c r="DS577">
        <f>IF($DM577=0,"",IF($L$11=0,"",IFERROR(IF(ISNUMBER(INDEX(PASTE_ALL,$DF577,$L$11)),INDEX(PASTE_ALL,$DF577,$L$11),TRIM(SUBSTITUTE(SUBSTITUTE(SUBSTITUTE(SUBSTITUTE(INDEX(PASTE_ALL,$DF577,$L$11)," "," "),CHAR(9)," "),CHAR(10)," "),CHAR(13)," "))),"")))</f>
        <v/>
      </c>
      <c r="DT577">
        <f>IF($DM577=0,"",IF($L$12=0,"",IFERROR(IF(ISNUMBER(INDEX(PASTE_ALL,$DF577,$L$12)),INDEX(PASTE_ALL,$DF577,$L$12),TRIM(SUBSTITUTE(SUBSTITUTE(SUBSTITUTE(SUBSTITUTE(INDEX(PASTE_ALL,$DF577,$L$12)," "," "),CHAR(9)," "),CHAR(10)," "),CHAR(13)," "))),"")))</f>
        <v/>
      </c>
      <c r="DU577">
        <f>IF($DM577=0,"",IF($L$13=0,"",IFERROR(IF(ISNUMBER(INDEX(PASTE_ALL,$DF577,$L$13)),INDEX(PASTE_ALL,$DF577,$L$13),TRIM(SUBSTITUTE(SUBSTITUTE(SUBSTITUTE(SUBSTITUTE(INDEX(PASTE_ALL,$DF577,$L$13)," "," "),CHAR(9)," "),CHAR(10)," "),CHAR(13)," "))),"")))</f>
        <v/>
      </c>
      <c r="DV577">
        <f>IF($DM577=0,"",IF($L$14=0,"",IFERROR(IF(ISNUMBER(INDEX(PASTE_ALL,$DF577,$L$14)),INDEX(PASTE_ALL,$DF577,$L$14),TRIM(SUBSTITUTE(SUBSTITUTE(SUBSTITUTE(SUBSTITUTE(INDEX(PASTE_ALL,$DF577,$L$14)," "," "),CHAR(9)," "),CHAR(10)," "),CHAR(13)," "))),"")))</f>
        <v/>
      </c>
      <c r="DW577">
        <f>IF($DM577=0,"",IF($L$15=0,"",IFERROR(IF(ISNUMBER(INDEX(PASTE_ALL,$DF577,$L$15)),INDEX(PASTE_ALL,$DF577,$L$15),IF(SUMPRODUCT(--ISNUMBER(FIND({"A","B","C","D","E","F","G","H","I","J","K","L","M","N","O","P","Q","R","S","T","U","V","W","X","Y","Z","0","1","2","3","4","5","6","7","8","9"},UPPER(TRIM(SUBSTITUTE(SUBSTITUTE(SUBSTITUTE(SUBSTITUTE(INDEX(PASTE_ALL,$DF577,$L$15)," "," "),CHAR(9)," "),CHAR(10)," "),CHAR(13)," "))))))&gt;0,TRIM(SUBSTITUTE(SUBSTITUTE(SUBSTITUTE(SUBSTITUTE(INDEX(PASTE_ALL,$DF577,$L$15)," "," "),CHAR(9)," "),CHAR(10)," "),CHAR(13)," ")),"")),"")))</f>
        <v/>
      </c>
      <c r="DX577">
        <f>IF($DM577=0,"",IF($L$16=0,"",IFERROR(IF(ISNUMBER(INDEX(PASTE_ALL,$DF577,$L$16)),INDEX(PASTE_ALL,$DF577,$L$16),SUBSTITUTE(SUBSTITUTE(TRIM(SUBSTITUTE(SUBSTITUTE(SUBSTITUTE(SUBSTITUTE(INDEX(PASTE_ALL,$DF577,$L$16)," "," "),CHAR(9)," "),CHAR(10)," "),CHAR(13)," ")),",",""),"%","")),"")))</f>
        <v/>
      </c>
      <c r="DY577">
        <f>IF($DM577=0,"",IFERROR(IF(ISNUMBER($DX577),$DX577,IF($DX577="","",IF(TRIM($DX577)="",0,IF(AND(AND(SUBSTITUTE(SUBSTITUTE(SUBSTITUTE(SUBSTITUTE(SUBSTITUTE(SUBSTITUTE(SUBSTITUTE(SUBSTITUTE(SUBSTITUTE(SUBSTITUTE(SUBSTITUTE(SUBSTITUTE(SUBSTITUTE(SUBSTITUTE(UPPER(TRIM($DX577)),"0",""),"1",""),"2",""),"3",""),"4",""),"5",""),"6",""),"7",""),"8",""),"9",""),".",""),"+",""),"-",""),"E","")="",LEN(SUBSTITUTE(SUBSTITUTE(MID(UPPER(TRIM($DX577)),1+OR(LEFT(UPPER(TRIM($DX577)),1)="+",LEFT(UPPER(TRIM($DX577)),1)="-"),999),"E+","E"),"E-","E"))=LEN(SUBSTITUTE(SUBSTITUTE(SUBSTITUTE(SUBSTITUTE(MID(UPPER(TRIM($DX577)),1+OR(LEFT(UPPER(TRIM($DX577)),1)="+",LEFT(UPPER(TRIM($DX577)),1)="-"),999),"E+","E"),"E-","E"),"+",""),"-","")),LEN(UPPER(TRIM($DX577)))-LEN(SUBSTITUTE(UPPER(TRIM($DX577)),"E",""))&lt;2,LEN(UPPER(TRIM($DX577)))-LEN(SUBSTITUTE(UPPER(TRIM($DX577)),".",""))&lt;2,IFERROR(FIND(".",UPPER(TRIM($DX577))),0)&lt;IFERROR(FIND("E",UPPER(TRIM($DX577))),999)),ISNUMBER(VALUE(TRIM($DX577)))),VALUE(TRIM($DX577)),"")))),""))</f>
        <v/>
      </c>
      <c r="DZ577">
        <f>IF($DM577=0,"",IF($L$17=0,"",IFERROR(IF(ISNUMBER(INDEX(PASTE_ALL,$DF577,$L$17)),INDEX(PASTE_ALL,$DF577,$L$17),SUBSTITUTE(SUBSTITUTE(TRIM(SUBSTITUTE(SUBSTITUTE(SUBSTITUTE(SUBSTITUTE(INDEX(PASTE_ALL,$DF577,$L$17)," "," "),CHAR(9)," "),CHAR(10)," "),CHAR(13)," ")),",",""),"%","")),"")))</f>
        <v/>
      </c>
      <c r="EA577">
        <f>IF($DM577=0,"",IFERROR(IF(ISNUMBER($DZ577),$DZ577,IF($DZ577="","",IF(TRIM($DZ577)="",0,IF(AND(AND(SUBSTITUTE(SUBSTITUTE(SUBSTITUTE(SUBSTITUTE(SUBSTITUTE(SUBSTITUTE(SUBSTITUTE(SUBSTITUTE(SUBSTITUTE(SUBSTITUTE(SUBSTITUTE(SUBSTITUTE(SUBSTITUTE(SUBSTITUTE(UPPER(TRIM($DZ577)),"0",""),"1",""),"2",""),"3",""),"4",""),"5",""),"6",""),"7",""),"8",""),"9",""),".",""),"+",""),"-",""),"E","")="",LEN(SUBSTITUTE(SUBSTITUTE(MID(UPPER(TRIM($DZ577)),1+OR(LEFT(UPPER(TRIM($DZ577)),1)="+",LEFT(UPPER(TRIM($DZ577)),1)="-"),999),"E+","E"),"E-","E"))=LEN(SUBSTITUTE(SUBSTITUTE(SUBSTITUTE(SUBSTITUTE(MID(UPPER(TRIM($DZ577)),1+OR(LEFT(UPPER(TRIM($DZ577)),1)="+",LEFT(UPPER(TRIM($DZ577)),1)="-"),999),"E+","E"),"E-","E"),"+",""),"-","")),LEN(UPPER(TRIM($DZ577)))-LEN(SUBSTITUTE(UPPER(TRIM($DZ577)),"E",""))&lt;2,LEN(UPPER(TRIM($DZ577)))-LEN(SUBSTITUTE(UPPER(TRIM($DZ577)),".",""))&lt;2,IFERROR(FIND(".",UPPER(TRIM($DZ577))),0)&lt;IFERROR(FIND("E",UPPER(TRIM($DZ577))),999)),ISNUMBER(VALUE(TRIM($DZ577)))),VALUE(TRIM($DZ577)),"")))),""))</f>
        <v/>
      </c>
      <c r="EB577">
        <f>IF($DM577=0,"",IF($L$18=0,"",IFERROR(IF(UPPER(TRIM(SUBSTITUTE(SUBSTITUTE(SUBSTITUTE(SUBSTITUTE(INDEX(PASTE_ALL,$DF577,$L$18)," "," "),CHAR(9)," "),CHAR(10)," "),CHAR(13)," ")))="READY","Ready",IF(UPPER(TRIM(SUBSTITUTE(SUBSTITUTE(SUBSTITUTE(SUBSTITUTE(INDEX(PASTE_ALL,$DF577,$L$18)," "," "),CHAR(9)," "),CHAR(10)," "),CHAR(13)," ")))="PM","PM",IF(OR(UPPER(TRIM(SUBSTITUTE(SUBSTITUTE(SUBSTITUTE(SUBSTITUTE(INDEX(PASTE_ALL,$DF577,$L$18)," "," "),CHAR(9)," "),CHAR(10)," "),CHAR(13)," ")))="OT",UPPER(TRIM(SUBSTITUTE(SUBSTITUTE(SUBSTITUTE(SUBSTITUTE(INDEX(PASTE_ALL,$DF577,$L$18)," "," "),CHAR(9)," "),CHAR(10)," "),CHAR(13)," ")))="OVERTIME",UPPER(TRIM(SUBSTITUTE(SUBSTITUTE(SUBSTITUTE(SUBSTITUTE(INDEX(PASTE_ALL,$DF577,$L$18)," "," "),CHAR(9)," "),CHAR(10)," "),CHAR(13)," ")))="TRIAL"),"OT",TRIM(SUBSTITUTE(SUBSTITUTE(SUBSTITUTE(SUBSTITUTE(INDEX(PASTE_ALL,$DF577,$L$18)," "," "),CHAR(9)," "),CHAR(10)," "),CHAR(13)," "))))),"")))</f>
        <v/>
      </c>
      <c r="EC577">
        <f>IF($DM577=0,"",IF($L$19=0,"",IFERROR(IF(ISNUMBER(INDEX(PASTE_ALL,$DF577,$L$19)),INDEX(PASTE_ALL,$DF577,$L$19),TRIM(SUBSTITUTE(SUBSTITUTE(SUBSTITUTE(SUBSTITUTE(INDEX(PASTE_ALL,$DF577,$L$19)," "," "),CHAR(9)," "),CHAR(10)," "),CHAR(13)," "))),"")))</f>
        <v/>
      </c>
      <c r="ED577">
        <f>IF($DM577=0,"",MATCH(1,INDEX(EXACT($DH$5:DH577,$DH577)*$DM$5:DM577,0),0))</f>
        <v/>
      </c>
      <c r="EE577">
        <f>IF($DM577=0,0,IF($ED577=$DE577,1,0))</f>
        <v/>
      </c>
      <c r="EF577">
        <f>EF576+$EE577</f>
        <v/>
      </c>
      <c r="EG577">
        <f>IF($DM577=0,"",INDEX($EF$5:$EF$1003,$ED577))</f>
        <v/>
      </c>
      <c r="EH577">
        <f>IF($DM577=0,"",IF($DO577&lt;&gt;"","",IFERROR(LOOKUP(2,1/(($EG$4:EG576=$EG577)*($DO$4:DO576&lt;&gt;"")),$DO$4:DO576),"")))</f>
        <v/>
      </c>
      <c r="EI577">
        <f>IF($DM577=0,"",IF($DO577&lt;&gt;"",$DO577,$EH577))</f>
        <v/>
      </c>
      <c r="EJ577">
        <f>IF($DM577=0,"",IF($EI577="",0,IF(OR(ISNUMBER($EI577),AND(AND(SUBSTITUTE(SUBSTITUTE(SUBSTITUTE(SUBSTITUTE(SUBSTITUTE(SUBSTITUTE(SUBSTITUTE(SUBSTITUTE(SUBSTITUTE(SUBSTITUTE(SUBSTITUTE(SUBSTITUTE(SUBSTITUTE(SUBSTITUTE(UPPER($EI577),"0",""),"1",""),"2",""),"3",""),"4",""),"5",""),"6",""),"7",""),"8",""),"9",""),".",""),"+",""),"-",""),"E","")="",LEN(SUBSTITUTE(SUBSTITUTE(MID(UPPER($EI577),1+OR(LEFT(UPPER($EI577),1)="+",LEFT(UPPER($EI577),1)="-"),999),"E+","E"),"E-","E"))=LEN(SUBSTITUTE(SUBSTITUTE(SUBSTITUTE(SUBSTITUTE(MID(UPPER($EI577),1+OR(LEFT(UPPER($EI577),1)="+",LEFT(UPPER($EI577),1)="-"),999),"E+","E"),"E-","E"),"+",""),"-","")),LEN(UPPER($EI577))-LEN(SUBSTITUTE(UPPER($EI577),"E",""))&lt;2,LEN(UPPER($EI577))-LEN(SUBSTITUTE(UPPER($EI577),".",""))&lt;2,IFERROR(FIND(".",UPPER($EI577)),0)&lt;IFERROR(FIND("E",UPPER($EI577)),999)),ISNUMBER(VALUE($EI577)))),1,2)))</f>
        <v/>
      </c>
      <c r="EK577">
        <f>IF($DM577=0,"",IF($EJ577=1,IF(ISNUMBER($EI577),$EI577,VALUE($EI577)),IF($EJ577=2,$DE577,0)))</f>
        <v/>
      </c>
      <c r="EL577">
        <f>IF($DM577=0,"",COUNTIF($EG$5:$EG$1003,"&lt;"&amp;$EG577)+SUMPRODUCT(($EG$5:$EG$1003=$EG577)*(($EJ$5:$EJ$1003&lt;$EJ577)+($EJ$5:$EJ$1003=$EJ577)*(($EK$5:$EK$1003&lt;$EK577)+($EK$5:$EK$1003=$EK577)*($DE$5:$DE$1003&lt;$DE577))))+1)</f>
        <v/>
      </c>
      <c r="EM577">
        <f>IF($DM577=0,"",$EL577+$EG577-1)</f>
        <v/>
      </c>
      <c r="EN577">
        <f>IF($DM577=0,0,IFERROR(MATCH(1,INDEX(--(TRIM(SUBSTITUTE(SUBSTITUTE(SUBSTITUTE(SUBSTITUTE(LINES_NAME&amp;""," "," "),CHAR(9)," "),CHAR(10)," "),CHAR(13)," "))=$DH577),0),0),0))</f>
        <v/>
      </c>
      <c r="EO577">
        <f>IF($EN577=0,0,IF(OR(UPPER(TRIM(INDEX(LINES_SCHEDULED,$EN577)&amp;""))="YES",UPPER(TRIM(INDEX(LINES_SCHEDULED,$EN577)&amp;""))="Y",UPPER(TRIM(INDEX(LINES_SCHEDULED,$EN577)&amp;""))="X"),1,0))</f>
        <v/>
      </c>
      <c r="EP577">
        <f>IF($DM577=0,"",IF(COUNTIFS($EG$5:$EG$1003,$EG577,$EB$5:$EB$1003,"Ready")&gt;0,"READY",IF(COUNTIFS($EG$5:$EG$1003,$EG577,$EB$5:$EB$1003,"PM")&gt;0,"PM",IF(COUNTIFS($EG$5:$EG$1003,$EG577,$EB$5:$EB$1003,"OT")&gt;0,"OT",""))))</f>
        <v/>
      </c>
      <c r="EQ577">
        <f>IF($EN577=0,"",UPPER(TRIM(INDEX(LINES_STATUS,$EN577)&amp;"")))</f>
        <v/>
      </c>
      <c r="ER577">
        <f>IF($DM577=0,"",IF(OR($EQ577="READY",$EQ577="PM",$EQ577="OT"),$EQ577,$EP577))</f>
        <v/>
      </c>
      <c r="ES577">
        <f>IF($DM577=0,"",IF(AND($DV577&lt;&gt;"",UPPER($DV577)&lt;&gt;"N"),"allergen",IF(ISNUMBER(SEARCH("oil",$DQ577)),"oil",IF(OR(EXACT($DS577,"A662"),EXACT($DS577,"A624")),"bulk",""))))</f>
        <v/>
      </c>
      <c r="ET577">
        <f>IF($DM577=0,"",IF(OR($EA577="",$EA577=0),"",$EA577/100))</f>
        <v/>
      </c>
      <c r="EU577">
        <f>IF(OR($ET577="",$DY577=""),"",INT($DY577*(1-$ET577)+0.5))</f>
        <v/>
      </c>
      <c r="EW577" t="n">
        <v>573</v>
      </c>
      <c r="EX577">
        <f>IFERROR(MATCH($EW577,$EM$5:$EM$1003,0),0)</f>
        <v/>
      </c>
      <c r="EY577">
        <f>IF($EW577&gt;$B$12,"",IF($EX577&gt;0,"row","spacer"))</f>
        <v/>
      </c>
      <c r="EZ577">
        <f>IF(AND($EY577="row",$EY576&lt;&gt;"row"),1,0)</f>
        <v/>
      </c>
      <c r="FA577">
        <f>IF(AND($EY577="row",$EY578&lt;&gt;"row"),1,0)</f>
        <v/>
      </c>
      <c r="FB577">
        <f>IF($EZ577=1,IFERROR(IF(ISNUMBER(INDEX(PASTE_ALL,INDEX($DF$5:$DF$1003,$EX577),$B$37)),INDEX(PASTE_ALL,INDEX($DF$5:$DF$1003,$EX577),$B$37),INDEX($DH$5:$DH$1003,$EX577)),INDEX($DH$5:$DH$1003,$EX577)),"")</f>
        <v/>
      </c>
      <c r="FC577">
        <f>IF($EY577="row",INDEX($ER$5:$ER$1003,$EX577),"")</f>
        <v/>
      </c>
      <c r="FD577">
        <f>IF($EY577="row",INDEX($DN$5:$DN$1003,$EX577),"")</f>
        <v/>
      </c>
      <c r="FE577">
        <f>IF($EY577="row",INDEX($DO$5:$DO$1003,$EX577),"")</f>
        <v/>
      </c>
      <c r="FF577">
        <f>IF($EY577="row",INDEX($DP$5:$DP$1003,$EX577),"")</f>
        <v/>
      </c>
      <c r="FG577">
        <f>IF($EY577="row",INDEX($DQ$5:$DQ$1003,$EX577),"")</f>
        <v/>
      </c>
      <c r="FH577">
        <f>IF($EY577="row",INDEX($DR$5:$DR$1003,$EX577),"")</f>
        <v/>
      </c>
      <c r="FI577">
        <f>IF($EY577="row",INDEX($DS$5:$DS$1003,$EX577),"")</f>
        <v/>
      </c>
      <c r="FJ577">
        <f>IF($EY577="row",INDEX($DT$5:$DT$1003,$EX577),"")</f>
        <v/>
      </c>
      <c r="FK577">
        <f>IF($EY577="row",INDEX($DU$5:$DU$1003,$EX577),"")</f>
        <v/>
      </c>
      <c r="FL577">
        <f>IF($EY577="row",INDEX($DV$5:$DV$1003,$EX577),"")</f>
        <v/>
      </c>
      <c r="FM577">
        <f>IF($EY577="row",INDEX($DW$5:$DW$1003,$EX577),"")</f>
        <v/>
      </c>
      <c r="FN577">
        <f>IF($EY577="row",INDEX($DY$5:$DY$1003,$EX577),"")</f>
        <v/>
      </c>
      <c r="FO577">
        <f>IF($EY577="row",INDEX($EA$5:$EA$1003,$EX577),"")</f>
        <v/>
      </c>
      <c r="FP577">
        <f>IF($EY577="row",INDEX($EC$5:$EC$1003,$EX577),"")</f>
        <v/>
      </c>
      <c r="FQ577">
        <f>IF($EY577="row",INDEX($ET$5:$ET$1003,$EX577),"")</f>
        <v/>
      </c>
      <c r="FR577">
        <f>IF($EY577="row",INDEX($EU$5:$EU$1003,$EX577),"")</f>
        <v/>
      </c>
      <c r="FS577">
        <f>IF(AND($EY577="row",$EY576="row"),IF(OR(INDEX($DT$5:$DT$1003,$EX576)="",INDEX($DT$5:$DT$1003,$EX577)=""),"",IF(NOT(EXACT(INDEX($DT$5:$DT$1003,$EX576),INDEX($DT$5:$DT$1003,$EX577))),"S4",IF(NOT(EXACT(INDEX($DS$5:$DS$1003,$EX576),INDEX($DS$5:$DS$1003,$EX577))),"S3",IF(NOT(EXACT(INDEX($DR$5:$DR$1003,$EX576),INDEX($DR$5:$DR$1003,$EX577))),"S1 Count Change","S1")))),"")</f>
        <v/>
      </c>
      <c r="FT577">
        <f>IF($EY577="row",INDEX($ES$5:$ES$1003,$EX577),"")</f>
        <v/>
      </c>
      <c r="FU577">
        <f>IF($EY577="row",INDEX($EO$5:$EO$1003,$EX577),0)</f>
        <v/>
      </c>
      <c r="FV577">
        <f>IF($FS577="S1 Count Change",1,0)</f>
        <v/>
      </c>
    </row>
    <row r="578">
      <c r="DA578" t="n">
        <v>574</v>
      </c>
      <c r="DB578">
        <f>IF($B$37=0,"",IFERROR(TRIM(SUBSTITUTE(SUBSTITUTE(SUBSTITUTE(SUBSTITUTE(INDEX(PASTE_ALL,574,$B$37)," "," "),CHAR(9)," "),CHAR(10)," "),CHAR(13)," ")),""))</f>
        <v/>
      </c>
      <c r="DC578">
        <f>IF(AND(574&gt;HEADER_ROW,UPPER(DB578)="LEGEND"),1,0)</f>
        <v/>
      </c>
      <c r="DE578" t="n">
        <v>574</v>
      </c>
      <c r="DF578">
        <f>HEADER_ROW+$DE578</f>
        <v/>
      </c>
      <c r="DG578">
        <f>IF(AND($DF578&lt;=1000,$DF578&lt;$B$8),1,0)</f>
        <v/>
      </c>
      <c r="DH578">
        <f>IF($DG578=1,IFERROR(INDEX($DB$5:$DB$1004,$DF578),""),"")</f>
        <v/>
      </c>
      <c r="DI578">
        <f>IF(AND($DG578=1,$DH578&lt;&gt;""),IFERROR(SUBSTITUTE(SUBSTITUTE(TRIM(SUBSTITUTE(SUBSTITUTE(SUBSTITUTE(SUBSTITUTE(IFERROR(INDEX(PASTE_ALL,$DF578,1)&amp;"","")&amp;"␟"&amp;IFERROR(INDEX(PASTE_ALL,$DF578,2)&amp;"","")&amp;"␟"&amp;IFERROR(INDEX(PASTE_ALL,$DF578,3)&amp;"","")&amp;"␟"&amp;IFERROR(INDEX(PASTE_ALL,$DF578,4)&amp;"","")&amp;"␟"&amp;IFERROR(INDEX(PASTE_ALL,$DF578,5)&amp;"","")&amp;"␟"&amp;IFERROR(INDEX(PASTE_ALL,$DF578,6)&amp;"","")&amp;"␟"&amp;IFERROR(INDEX(PASTE_ALL,$DF578,7)&amp;"","")&amp;"␟"&amp;IFERROR(INDEX(PASTE_ALL,$DF578,8)&amp;"","")&amp;"␟"&amp;IFERROR(INDEX(PASTE_ALL,$DF578,9)&amp;"","")&amp;"␟"&amp;IFERROR(INDEX(PASTE_ALL,$DF578,10)&amp;"","")&amp;"␟"&amp;IFERROR(INDEX(PASTE_ALL,$DF578,11)&amp;"","")&amp;"␟"&amp;IFERROR(INDEX(PASTE_ALL,$DF578,12)&amp;"","")&amp;"␟"&amp;IFERROR(INDEX(PASTE_ALL,$DF578,13)&amp;"","")&amp;"␟"&amp;IFERROR(INDEX(PASTE_ALL,$DF578,14)&amp;"","")&amp;"␟"&amp;IFERROR(INDEX(PASTE_ALL,$DF578,15)&amp;"","")&amp;"␟"&amp;IFERROR(INDEX(PASTE_ALL,$DF578,16)&amp;"","")&amp;"␟"&amp;IFERROR(INDEX(PASTE_ALL,$DF578,17)&amp;"","")&amp;"␟"&amp;IFERROR(INDEX(PASTE_ALL,$DF578,18)&amp;"","")&amp;"␟"&amp;IFERROR(INDEX(PASTE_ALL,$DF578,19)&amp;"","")&amp;"␟"&amp;IFERROR(INDEX(PASTE_ALL,$DF578,20)&amp;"","")&amp;"␟"&amp;IFERROR(INDEX(PASTE_ALL,$DF578,21)&amp;"","")&amp;"␟"&amp;IFERROR(INDEX(PASTE_ALL,$DF578,22)&amp;"","")&amp;"␟"&amp;IFERROR(INDEX(PASTE_ALL,$DF578,23)&amp;"","")&amp;"␟"&amp;IFERROR(INDEX(PASTE_ALL,$DF578,24)&amp;"","")&amp;"␟"&amp;IFERROR(INDEX(PASTE_ALL,$DF578,25)&amp;"","")&amp;"␟"&amp;IFERROR(INDEX(PASTE_ALL,$DF578,26)&amp;"","")&amp;"␟"&amp;IFERROR(INDEX(PASTE_ALL,$DF578,27)&amp;"","")&amp;"␟"&amp;IFERROR(INDEX(PASTE_ALL,$DF578,28)&amp;"","")&amp;"␟"&amp;IFERROR(INDEX(PASTE_ALL,$DF578,29)&amp;"","")&amp;"␟"&amp;IFERROR(INDEX(PASTE_ALL,$DF578,30)&amp;"","")&amp;"␟"&amp;IFERROR(INDEX(PASTE_ALL,$DF578,31)&amp;"","")&amp;"␟"&amp;IFERROR(INDEX(PASTE_ALL,$DF578,32)&amp;"","")&amp;"␟"&amp;IFERROR(INDEX(PASTE_ALL,$DF578,33)&amp;"","")&amp;"␟"&amp;IFERROR(INDEX(PASTE_ALL,$DF578,34)&amp;"","")&amp;"␟"&amp;IFERROR(INDEX(PASTE_ALL,$DF578,35)&amp;"","")&amp;"␟"&amp;IFERROR(INDEX(PASTE_ALL,$DF578,36)&amp;"","")&amp;"␟"&amp;IFERROR(INDEX(PASTE_ALL,$DF578,37)&amp;"","")&amp;"␟"&amp;IFERROR(INDEX(PASTE_ALL,$DF578,38)&amp;"","")&amp;"␟"&amp;IFERROR(INDEX(PASTE_ALL,$DF578,39)&amp;"","")&amp;"␟"&amp;IFERROR(INDEX(PASTE_ALL,$DF578,40)&amp;"","")&amp;"␟"&amp;IFERROR(INDEX(PASTE_ALL,$DF578,41)&amp;"","")&amp;"␟"&amp;IFERROR(INDEX(PASTE_ALL,$DF578,42)&amp;"","")&amp;"␟"&amp;IFERROR(INDEX(PASTE_ALL,$DF578,43)&amp;"","")&amp;"␟"&amp;IFERROR(INDEX(PASTE_ALL,$DF578,44)&amp;"","")&amp;"␟"&amp;IFERROR(INDEX(PASTE_ALL,$DF578,45)&amp;"","")&amp;"␟"&amp;IFERROR(INDEX(PASTE_ALL,$DF578,46)&amp;"","")&amp;"␟"&amp;IFERROR(INDEX(PASTE_ALL,$DF578,47)&amp;"","")&amp;"␟"&amp;IFERROR(INDEX(PASTE_ALL,$DF578,48)&amp;"","")&amp;"␟"&amp;IFERROR(INDEX(PASTE_ALL,$DF578,49)&amp;"","")&amp;"␟"&amp;IFERROR(INDEX(PASTE_ALL,$DF578,50)&amp;"","")&amp;"␟"&amp;IFERROR(INDEX(PASTE_ALL,$DF578,51)&amp;"","")&amp;"␟"&amp;IFERROR(INDEX(PASTE_ALL,$DF578,52)&amp;"","")&amp;"␟"&amp;IFERROR(INDEX(PASTE_ALL,$DF578,53)&amp;"","")&amp;"␟"&amp;IFERROR(INDEX(PASTE_ALL,$DF578,54)&amp;"","")&amp;"␟"&amp;IFERROR(INDEX(PASTE_ALL,$DF578,55)&amp;"","")&amp;"␟"&amp;IFERROR(INDEX(PASTE_ALL,$DF578,56)&amp;"","")&amp;"␟"&amp;IFERROR(INDEX(PASTE_ALL,$DF578,57)&amp;"","")&amp;"␟"&amp;IFERROR(INDEX(PASTE_ALL,$DF578,58)&amp;"","")&amp;"␟"&amp;IFERROR(INDEX(PASTE_ALL,$DF578,59)&amp;"","")&amp;"␟"&amp;IFERROR(INDEX(PASTE_ALL,$DF578,60)&amp;"","")," "," "),CHAR(9)," "),CHAR(10)," "),CHAR(13)," "))," ␟","␟"),"␟ ","␟"),"#"&amp;$DE578),"")</f>
        <v/>
      </c>
      <c r="DJ578">
        <f>IF($DI578="",0,IF(SUMPRODUCT(--EXACT($DI$4:DI577,$DI578))&gt;0,1,0))</f>
        <v/>
      </c>
      <c r="DK578">
        <f>IF(AND($DI578&lt;&gt;"",$DJ578=0),1,0)</f>
        <v/>
      </c>
      <c r="DL578">
        <f>DL577+$DK578</f>
        <v/>
      </c>
      <c r="DM578">
        <f>IF(AND($DK578=1,$DL578&lt;=600),1,0)</f>
        <v/>
      </c>
      <c r="DN578">
        <f>IF($DM578=0,"",IF($L$6=0,"",IFERROR(IF(ISNUMBER(INDEX(PASTE_ALL,$DF578,$L$6)),INDEX(PASTE_ALL,$DF578,$L$6),TRIM(SUBSTITUTE(SUBSTITUTE(SUBSTITUTE(SUBSTITUTE(INDEX(PASTE_ALL,$DF578,$L$6)," "," "),CHAR(9)," "),CHAR(10)," "),CHAR(13)," "))),"")))</f>
        <v/>
      </c>
      <c r="DO578">
        <f>IF($DM578=0,"",IF($L$7=0,"",IFERROR(IF(ISNUMBER(INDEX(PASTE_ALL,$DF578,$L$7)),INDEX(PASTE_ALL,$DF578,$L$7),TRIM(SUBSTITUTE(SUBSTITUTE(SUBSTITUTE(SUBSTITUTE(INDEX(PASTE_ALL,$DF578,$L$7)," "," "),CHAR(9)," "),CHAR(10)," "),CHAR(13)," "))),"")))</f>
        <v/>
      </c>
      <c r="DP578">
        <f>IF($DM578=0,"",IF($L$8=0,"",IFERROR(IF(ISNUMBER(INDEX(PASTE_ALL,$DF578,$L$8)),INDEX(PASTE_ALL,$DF578,$L$8),TRIM(SUBSTITUTE(SUBSTITUTE(SUBSTITUTE(SUBSTITUTE(INDEX(PASTE_ALL,$DF578,$L$8)," "," "),CHAR(9)," "),CHAR(10)," "),CHAR(13)," "))),"")))</f>
        <v/>
      </c>
      <c r="DQ578">
        <f>IF($DM578=0,"",IF($L$9=0,"",IFERROR(IF(ISNUMBER(INDEX(PASTE_ALL,$DF578,$L$9)),INDEX(PASTE_ALL,$DF578,$L$9),TRIM(SUBSTITUTE(SUBSTITUTE(SUBSTITUTE(SUBSTITUTE(INDEX(PASTE_ALL,$DF578,$L$9)," "," "),CHAR(9)," "),CHAR(10)," "),CHAR(13)," "))),"")))</f>
        <v/>
      </c>
      <c r="DR578">
        <f>IF($DM578=0,"",IF($L$10=0,"",IFERROR(IF(ISNUMBER(INDEX(PASTE_ALL,$DF578,$L$10)),INDEX(PASTE_ALL,$DF578,$L$10),TRIM(SUBSTITUTE(SUBSTITUTE(SUBSTITUTE(SUBSTITUTE(INDEX(PASTE_ALL,$DF578,$L$10)," "," "),CHAR(9)," "),CHAR(10)," "),CHAR(13)," "))),"")))</f>
        <v/>
      </c>
      <c r="DS578">
        <f>IF($DM578=0,"",IF($L$11=0,"",IFERROR(IF(ISNUMBER(INDEX(PASTE_ALL,$DF578,$L$11)),INDEX(PASTE_ALL,$DF578,$L$11),TRIM(SUBSTITUTE(SUBSTITUTE(SUBSTITUTE(SUBSTITUTE(INDEX(PASTE_ALL,$DF578,$L$11)," "," "),CHAR(9)," "),CHAR(10)," "),CHAR(13)," "))),"")))</f>
        <v/>
      </c>
      <c r="DT578">
        <f>IF($DM578=0,"",IF($L$12=0,"",IFERROR(IF(ISNUMBER(INDEX(PASTE_ALL,$DF578,$L$12)),INDEX(PASTE_ALL,$DF578,$L$12),TRIM(SUBSTITUTE(SUBSTITUTE(SUBSTITUTE(SUBSTITUTE(INDEX(PASTE_ALL,$DF578,$L$12)," "," "),CHAR(9)," "),CHAR(10)," "),CHAR(13)," "))),"")))</f>
        <v/>
      </c>
      <c r="DU578">
        <f>IF($DM578=0,"",IF($L$13=0,"",IFERROR(IF(ISNUMBER(INDEX(PASTE_ALL,$DF578,$L$13)),INDEX(PASTE_ALL,$DF578,$L$13),TRIM(SUBSTITUTE(SUBSTITUTE(SUBSTITUTE(SUBSTITUTE(INDEX(PASTE_ALL,$DF578,$L$13)," "," "),CHAR(9)," "),CHAR(10)," "),CHAR(13)," "))),"")))</f>
        <v/>
      </c>
      <c r="DV578">
        <f>IF($DM578=0,"",IF($L$14=0,"",IFERROR(IF(ISNUMBER(INDEX(PASTE_ALL,$DF578,$L$14)),INDEX(PASTE_ALL,$DF578,$L$14),TRIM(SUBSTITUTE(SUBSTITUTE(SUBSTITUTE(SUBSTITUTE(INDEX(PASTE_ALL,$DF578,$L$14)," "," "),CHAR(9)," "),CHAR(10)," "),CHAR(13)," "))),"")))</f>
        <v/>
      </c>
      <c r="DW578">
        <f>IF($DM578=0,"",IF($L$15=0,"",IFERROR(IF(ISNUMBER(INDEX(PASTE_ALL,$DF578,$L$15)),INDEX(PASTE_ALL,$DF578,$L$15),IF(SUMPRODUCT(--ISNUMBER(FIND({"A","B","C","D","E","F","G","H","I","J","K","L","M","N","O","P","Q","R","S","T","U","V","W","X","Y","Z","0","1","2","3","4","5","6","7","8","9"},UPPER(TRIM(SUBSTITUTE(SUBSTITUTE(SUBSTITUTE(SUBSTITUTE(INDEX(PASTE_ALL,$DF578,$L$15)," "," "),CHAR(9)," "),CHAR(10)," "),CHAR(13)," "))))))&gt;0,TRIM(SUBSTITUTE(SUBSTITUTE(SUBSTITUTE(SUBSTITUTE(INDEX(PASTE_ALL,$DF578,$L$15)," "," "),CHAR(9)," "),CHAR(10)," "),CHAR(13)," ")),"")),"")))</f>
        <v/>
      </c>
      <c r="DX578">
        <f>IF($DM578=0,"",IF($L$16=0,"",IFERROR(IF(ISNUMBER(INDEX(PASTE_ALL,$DF578,$L$16)),INDEX(PASTE_ALL,$DF578,$L$16),SUBSTITUTE(SUBSTITUTE(TRIM(SUBSTITUTE(SUBSTITUTE(SUBSTITUTE(SUBSTITUTE(INDEX(PASTE_ALL,$DF578,$L$16)," "," "),CHAR(9)," "),CHAR(10)," "),CHAR(13)," ")),",",""),"%","")),"")))</f>
        <v/>
      </c>
      <c r="DY578">
        <f>IF($DM578=0,"",IFERROR(IF(ISNUMBER($DX578),$DX578,IF($DX578="","",IF(TRIM($DX578)="",0,IF(AND(AND(SUBSTITUTE(SUBSTITUTE(SUBSTITUTE(SUBSTITUTE(SUBSTITUTE(SUBSTITUTE(SUBSTITUTE(SUBSTITUTE(SUBSTITUTE(SUBSTITUTE(SUBSTITUTE(SUBSTITUTE(SUBSTITUTE(SUBSTITUTE(UPPER(TRIM($DX578)),"0",""),"1",""),"2",""),"3",""),"4",""),"5",""),"6",""),"7",""),"8",""),"9",""),".",""),"+",""),"-",""),"E","")="",LEN(SUBSTITUTE(SUBSTITUTE(MID(UPPER(TRIM($DX578)),1+OR(LEFT(UPPER(TRIM($DX578)),1)="+",LEFT(UPPER(TRIM($DX578)),1)="-"),999),"E+","E"),"E-","E"))=LEN(SUBSTITUTE(SUBSTITUTE(SUBSTITUTE(SUBSTITUTE(MID(UPPER(TRIM($DX578)),1+OR(LEFT(UPPER(TRIM($DX578)),1)="+",LEFT(UPPER(TRIM($DX578)),1)="-"),999),"E+","E"),"E-","E"),"+",""),"-","")),LEN(UPPER(TRIM($DX578)))-LEN(SUBSTITUTE(UPPER(TRIM($DX578)),"E",""))&lt;2,LEN(UPPER(TRIM($DX578)))-LEN(SUBSTITUTE(UPPER(TRIM($DX578)),".",""))&lt;2,IFERROR(FIND(".",UPPER(TRIM($DX578))),0)&lt;IFERROR(FIND("E",UPPER(TRIM($DX578))),999)),ISNUMBER(VALUE(TRIM($DX578)))),VALUE(TRIM($DX578)),"")))),""))</f>
        <v/>
      </c>
      <c r="DZ578">
        <f>IF($DM578=0,"",IF($L$17=0,"",IFERROR(IF(ISNUMBER(INDEX(PASTE_ALL,$DF578,$L$17)),INDEX(PASTE_ALL,$DF578,$L$17),SUBSTITUTE(SUBSTITUTE(TRIM(SUBSTITUTE(SUBSTITUTE(SUBSTITUTE(SUBSTITUTE(INDEX(PASTE_ALL,$DF578,$L$17)," "," "),CHAR(9)," "),CHAR(10)," "),CHAR(13)," ")),",",""),"%","")),"")))</f>
        <v/>
      </c>
      <c r="EA578">
        <f>IF($DM578=0,"",IFERROR(IF(ISNUMBER($DZ578),$DZ578,IF($DZ578="","",IF(TRIM($DZ578)="",0,IF(AND(AND(SUBSTITUTE(SUBSTITUTE(SUBSTITUTE(SUBSTITUTE(SUBSTITUTE(SUBSTITUTE(SUBSTITUTE(SUBSTITUTE(SUBSTITUTE(SUBSTITUTE(SUBSTITUTE(SUBSTITUTE(SUBSTITUTE(SUBSTITUTE(UPPER(TRIM($DZ578)),"0",""),"1",""),"2",""),"3",""),"4",""),"5",""),"6",""),"7",""),"8",""),"9",""),".",""),"+",""),"-",""),"E","")="",LEN(SUBSTITUTE(SUBSTITUTE(MID(UPPER(TRIM($DZ578)),1+OR(LEFT(UPPER(TRIM($DZ578)),1)="+",LEFT(UPPER(TRIM($DZ578)),1)="-"),999),"E+","E"),"E-","E"))=LEN(SUBSTITUTE(SUBSTITUTE(SUBSTITUTE(SUBSTITUTE(MID(UPPER(TRIM($DZ578)),1+OR(LEFT(UPPER(TRIM($DZ578)),1)="+",LEFT(UPPER(TRIM($DZ578)),1)="-"),999),"E+","E"),"E-","E"),"+",""),"-","")),LEN(UPPER(TRIM($DZ578)))-LEN(SUBSTITUTE(UPPER(TRIM($DZ578)),"E",""))&lt;2,LEN(UPPER(TRIM($DZ578)))-LEN(SUBSTITUTE(UPPER(TRIM($DZ578)),".",""))&lt;2,IFERROR(FIND(".",UPPER(TRIM($DZ578))),0)&lt;IFERROR(FIND("E",UPPER(TRIM($DZ578))),999)),ISNUMBER(VALUE(TRIM($DZ578)))),VALUE(TRIM($DZ578)),"")))),""))</f>
        <v/>
      </c>
      <c r="EB578">
        <f>IF($DM578=0,"",IF($L$18=0,"",IFERROR(IF(UPPER(TRIM(SUBSTITUTE(SUBSTITUTE(SUBSTITUTE(SUBSTITUTE(INDEX(PASTE_ALL,$DF578,$L$18)," "," "),CHAR(9)," "),CHAR(10)," "),CHAR(13)," ")))="READY","Ready",IF(UPPER(TRIM(SUBSTITUTE(SUBSTITUTE(SUBSTITUTE(SUBSTITUTE(INDEX(PASTE_ALL,$DF578,$L$18)," "," "),CHAR(9)," "),CHAR(10)," "),CHAR(13)," ")))="PM","PM",IF(OR(UPPER(TRIM(SUBSTITUTE(SUBSTITUTE(SUBSTITUTE(SUBSTITUTE(INDEX(PASTE_ALL,$DF578,$L$18)," "," "),CHAR(9)," "),CHAR(10)," "),CHAR(13)," ")))="OT",UPPER(TRIM(SUBSTITUTE(SUBSTITUTE(SUBSTITUTE(SUBSTITUTE(INDEX(PASTE_ALL,$DF578,$L$18)," "," "),CHAR(9)," "),CHAR(10)," "),CHAR(13)," ")))="OVERTIME",UPPER(TRIM(SUBSTITUTE(SUBSTITUTE(SUBSTITUTE(SUBSTITUTE(INDEX(PASTE_ALL,$DF578,$L$18)," "," "),CHAR(9)," "),CHAR(10)," "),CHAR(13)," ")))="TRIAL"),"OT",TRIM(SUBSTITUTE(SUBSTITUTE(SUBSTITUTE(SUBSTITUTE(INDEX(PASTE_ALL,$DF578,$L$18)," "," "),CHAR(9)," "),CHAR(10)," "),CHAR(13)," "))))),"")))</f>
        <v/>
      </c>
      <c r="EC578">
        <f>IF($DM578=0,"",IF($L$19=0,"",IFERROR(IF(ISNUMBER(INDEX(PASTE_ALL,$DF578,$L$19)),INDEX(PASTE_ALL,$DF578,$L$19),TRIM(SUBSTITUTE(SUBSTITUTE(SUBSTITUTE(SUBSTITUTE(INDEX(PASTE_ALL,$DF578,$L$19)," "," "),CHAR(9)," "),CHAR(10)," "),CHAR(13)," "))),"")))</f>
        <v/>
      </c>
      <c r="ED578">
        <f>IF($DM578=0,"",MATCH(1,INDEX(EXACT($DH$5:DH578,$DH578)*$DM$5:DM578,0),0))</f>
        <v/>
      </c>
      <c r="EE578">
        <f>IF($DM578=0,0,IF($ED578=$DE578,1,0))</f>
        <v/>
      </c>
      <c r="EF578">
        <f>EF577+$EE578</f>
        <v/>
      </c>
      <c r="EG578">
        <f>IF($DM578=0,"",INDEX($EF$5:$EF$1003,$ED578))</f>
        <v/>
      </c>
      <c r="EH578">
        <f>IF($DM578=0,"",IF($DO578&lt;&gt;"","",IFERROR(LOOKUP(2,1/(($EG$4:EG577=$EG578)*($DO$4:DO577&lt;&gt;"")),$DO$4:DO577),"")))</f>
        <v/>
      </c>
      <c r="EI578">
        <f>IF($DM578=0,"",IF($DO578&lt;&gt;"",$DO578,$EH578))</f>
        <v/>
      </c>
      <c r="EJ578">
        <f>IF($DM578=0,"",IF($EI578="",0,IF(OR(ISNUMBER($EI578),AND(AND(SUBSTITUTE(SUBSTITUTE(SUBSTITUTE(SUBSTITUTE(SUBSTITUTE(SUBSTITUTE(SUBSTITUTE(SUBSTITUTE(SUBSTITUTE(SUBSTITUTE(SUBSTITUTE(SUBSTITUTE(SUBSTITUTE(SUBSTITUTE(UPPER($EI578),"0",""),"1",""),"2",""),"3",""),"4",""),"5",""),"6",""),"7",""),"8",""),"9",""),".",""),"+",""),"-",""),"E","")="",LEN(SUBSTITUTE(SUBSTITUTE(MID(UPPER($EI578),1+OR(LEFT(UPPER($EI578),1)="+",LEFT(UPPER($EI578),1)="-"),999),"E+","E"),"E-","E"))=LEN(SUBSTITUTE(SUBSTITUTE(SUBSTITUTE(SUBSTITUTE(MID(UPPER($EI578),1+OR(LEFT(UPPER($EI578),1)="+",LEFT(UPPER($EI578),1)="-"),999),"E+","E"),"E-","E"),"+",""),"-","")),LEN(UPPER($EI578))-LEN(SUBSTITUTE(UPPER($EI578),"E",""))&lt;2,LEN(UPPER($EI578))-LEN(SUBSTITUTE(UPPER($EI578),".",""))&lt;2,IFERROR(FIND(".",UPPER($EI578)),0)&lt;IFERROR(FIND("E",UPPER($EI578)),999)),ISNUMBER(VALUE($EI578)))),1,2)))</f>
        <v/>
      </c>
      <c r="EK578">
        <f>IF($DM578=0,"",IF($EJ578=1,IF(ISNUMBER($EI578),$EI578,VALUE($EI578)),IF($EJ578=2,$DE578,0)))</f>
        <v/>
      </c>
      <c r="EL578">
        <f>IF($DM578=0,"",COUNTIF($EG$5:$EG$1003,"&lt;"&amp;$EG578)+SUMPRODUCT(($EG$5:$EG$1003=$EG578)*(($EJ$5:$EJ$1003&lt;$EJ578)+($EJ$5:$EJ$1003=$EJ578)*(($EK$5:$EK$1003&lt;$EK578)+($EK$5:$EK$1003=$EK578)*($DE$5:$DE$1003&lt;$DE578))))+1)</f>
        <v/>
      </c>
      <c r="EM578">
        <f>IF($DM578=0,"",$EL578+$EG578-1)</f>
        <v/>
      </c>
      <c r="EN578">
        <f>IF($DM578=0,0,IFERROR(MATCH(1,INDEX(--(TRIM(SUBSTITUTE(SUBSTITUTE(SUBSTITUTE(SUBSTITUTE(LINES_NAME&amp;""," "," "),CHAR(9)," "),CHAR(10)," "),CHAR(13)," "))=$DH578),0),0),0))</f>
        <v/>
      </c>
      <c r="EO578">
        <f>IF($EN578=0,0,IF(OR(UPPER(TRIM(INDEX(LINES_SCHEDULED,$EN578)&amp;""))="YES",UPPER(TRIM(INDEX(LINES_SCHEDULED,$EN578)&amp;""))="Y",UPPER(TRIM(INDEX(LINES_SCHEDULED,$EN578)&amp;""))="X"),1,0))</f>
        <v/>
      </c>
      <c r="EP578">
        <f>IF($DM578=0,"",IF(COUNTIFS($EG$5:$EG$1003,$EG578,$EB$5:$EB$1003,"Ready")&gt;0,"READY",IF(COUNTIFS($EG$5:$EG$1003,$EG578,$EB$5:$EB$1003,"PM")&gt;0,"PM",IF(COUNTIFS($EG$5:$EG$1003,$EG578,$EB$5:$EB$1003,"OT")&gt;0,"OT",""))))</f>
        <v/>
      </c>
      <c r="EQ578">
        <f>IF($EN578=0,"",UPPER(TRIM(INDEX(LINES_STATUS,$EN578)&amp;"")))</f>
        <v/>
      </c>
      <c r="ER578">
        <f>IF($DM578=0,"",IF(OR($EQ578="READY",$EQ578="PM",$EQ578="OT"),$EQ578,$EP578))</f>
        <v/>
      </c>
      <c r="ES578">
        <f>IF($DM578=0,"",IF(AND($DV578&lt;&gt;"",UPPER($DV578)&lt;&gt;"N"),"allergen",IF(ISNUMBER(SEARCH("oil",$DQ578)),"oil",IF(OR(EXACT($DS578,"A662"),EXACT($DS578,"A624")),"bulk",""))))</f>
        <v/>
      </c>
      <c r="ET578">
        <f>IF($DM578=0,"",IF(OR($EA578="",$EA578=0),"",$EA578/100))</f>
        <v/>
      </c>
      <c r="EU578">
        <f>IF(OR($ET578="",$DY578=""),"",INT($DY578*(1-$ET578)+0.5))</f>
        <v/>
      </c>
      <c r="EW578" t="n">
        <v>574</v>
      </c>
      <c r="EX578">
        <f>IFERROR(MATCH($EW578,$EM$5:$EM$1003,0),0)</f>
        <v/>
      </c>
      <c r="EY578">
        <f>IF($EW578&gt;$B$12,"",IF($EX578&gt;0,"row","spacer"))</f>
        <v/>
      </c>
      <c r="EZ578">
        <f>IF(AND($EY578="row",$EY577&lt;&gt;"row"),1,0)</f>
        <v/>
      </c>
      <c r="FA578">
        <f>IF(AND($EY578="row",$EY579&lt;&gt;"row"),1,0)</f>
        <v/>
      </c>
      <c r="FB578">
        <f>IF($EZ578=1,IFERROR(IF(ISNUMBER(INDEX(PASTE_ALL,INDEX($DF$5:$DF$1003,$EX578),$B$37)),INDEX(PASTE_ALL,INDEX($DF$5:$DF$1003,$EX578),$B$37),INDEX($DH$5:$DH$1003,$EX578)),INDEX($DH$5:$DH$1003,$EX578)),"")</f>
        <v/>
      </c>
      <c r="FC578">
        <f>IF($EY578="row",INDEX($ER$5:$ER$1003,$EX578),"")</f>
        <v/>
      </c>
      <c r="FD578">
        <f>IF($EY578="row",INDEX($DN$5:$DN$1003,$EX578),"")</f>
        <v/>
      </c>
      <c r="FE578">
        <f>IF($EY578="row",INDEX($DO$5:$DO$1003,$EX578),"")</f>
        <v/>
      </c>
      <c r="FF578">
        <f>IF($EY578="row",INDEX($DP$5:$DP$1003,$EX578),"")</f>
        <v/>
      </c>
      <c r="FG578">
        <f>IF($EY578="row",INDEX($DQ$5:$DQ$1003,$EX578),"")</f>
        <v/>
      </c>
      <c r="FH578">
        <f>IF($EY578="row",INDEX($DR$5:$DR$1003,$EX578),"")</f>
        <v/>
      </c>
      <c r="FI578">
        <f>IF($EY578="row",INDEX($DS$5:$DS$1003,$EX578),"")</f>
        <v/>
      </c>
      <c r="FJ578">
        <f>IF($EY578="row",INDEX($DT$5:$DT$1003,$EX578),"")</f>
        <v/>
      </c>
      <c r="FK578">
        <f>IF($EY578="row",INDEX($DU$5:$DU$1003,$EX578),"")</f>
        <v/>
      </c>
      <c r="FL578">
        <f>IF($EY578="row",INDEX($DV$5:$DV$1003,$EX578),"")</f>
        <v/>
      </c>
      <c r="FM578">
        <f>IF($EY578="row",INDEX($DW$5:$DW$1003,$EX578),"")</f>
        <v/>
      </c>
      <c r="FN578">
        <f>IF($EY578="row",INDEX($DY$5:$DY$1003,$EX578),"")</f>
        <v/>
      </c>
      <c r="FO578">
        <f>IF($EY578="row",INDEX($EA$5:$EA$1003,$EX578),"")</f>
        <v/>
      </c>
      <c r="FP578">
        <f>IF($EY578="row",INDEX($EC$5:$EC$1003,$EX578),"")</f>
        <v/>
      </c>
      <c r="FQ578">
        <f>IF($EY578="row",INDEX($ET$5:$ET$1003,$EX578),"")</f>
        <v/>
      </c>
      <c r="FR578">
        <f>IF($EY578="row",INDEX($EU$5:$EU$1003,$EX578),"")</f>
        <v/>
      </c>
      <c r="FS578">
        <f>IF(AND($EY578="row",$EY577="row"),IF(OR(INDEX($DT$5:$DT$1003,$EX577)="",INDEX($DT$5:$DT$1003,$EX578)=""),"",IF(NOT(EXACT(INDEX($DT$5:$DT$1003,$EX577),INDEX($DT$5:$DT$1003,$EX578))),"S4",IF(NOT(EXACT(INDEX($DS$5:$DS$1003,$EX577),INDEX($DS$5:$DS$1003,$EX578))),"S3",IF(NOT(EXACT(INDEX($DR$5:$DR$1003,$EX577),INDEX($DR$5:$DR$1003,$EX578))),"S1 Count Change","S1")))),"")</f>
        <v/>
      </c>
      <c r="FT578">
        <f>IF($EY578="row",INDEX($ES$5:$ES$1003,$EX578),"")</f>
        <v/>
      </c>
      <c r="FU578">
        <f>IF($EY578="row",INDEX($EO$5:$EO$1003,$EX578),0)</f>
        <v/>
      </c>
      <c r="FV578">
        <f>IF($FS578="S1 Count Change",1,0)</f>
        <v/>
      </c>
    </row>
    <row r="579">
      <c r="DA579" t="n">
        <v>575</v>
      </c>
      <c r="DB579">
        <f>IF($B$37=0,"",IFERROR(TRIM(SUBSTITUTE(SUBSTITUTE(SUBSTITUTE(SUBSTITUTE(INDEX(PASTE_ALL,575,$B$37)," "," "),CHAR(9)," "),CHAR(10)," "),CHAR(13)," ")),""))</f>
        <v/>
      </c>
      <c r="DC579">
        <f>IF(AND(575&gt;HEADER_ROW,UPPER(DB579)="LEGEND"),1,0)</f>
        <v/>
      </c>
      <c r="DE579" t="n">
        <v>575</v>
      </c>
      <c r="DF579">
        <f>HEADER_ROW+$DE579</f>
        <v/>
      </c>
      <c r="DG579">
        <f>IF(AND($DF579&lt;=1000,$DF579&lt;$B$8),1,0)</f>
        <v/>
      </c>
      <c r="DH579">
        <f>IF($DG579=1,IFERROR(INDEX($DB$5:$DB$1004,$DF579),""),"")</f>
        <v/>
      </c>
      <c r="DI579">
        <f>IF(AND($DG579=1,$DH579&lt;&gt;""),IFERROR(SUBSTITUTE(SUBSTITUTE(TRIM(SUBSTITUTE(SUBSTITUTE(SUBSTITUTE(SUBSTITUTE(IFERROR(INDEX(PASTE_ALL,$DF579,1)&amp;"","")&amp;"␟"&amp;IFERROR(INDEX(PASTE_ALL,$DF579,2)&amp;"","")&amp;"␟"&amp;IFERROR(INDEX(PASTE_ALL,$DF579,3)&amp;"","")&amp;"␟"&amp;IFERROR(INDEX(PASTE_ALL,$DF579,4)&amp;"","")&amp;"␟"&amp;IFERROR(INDEX(PASTE_ALL,$DF579,5)&amp;"","")&amp;"␟"&amp;IFERROR(INDEX(PASTE_ALL,$DF579,6)&amp;"","")&amp;"␟"&amp;IFERROR(INDEX(PASTE_ALL,$DF579,7)&amp;"","")&amp;"␟"&amp;IFERROR(INDEX(PASTE_ALL,$DF579,8)&amp;"","")&amp;"␟"&amp;IFERROR(INDEX(PASTE_ALL,$DF579,9)&amp;"","")&amp;"␟"&amp;IFERROR(INDEX(PASTE_ALL,$DF579,10)&amp;"","")&amp;"␟"&amp;IFERROR(INDEX(PASTE_ALL,$DF579,11)&amp;"","")&amp;"␟"&amp;IFERROR(INDEX(PASTE_ALL,$DF579,12)&amp;"","")&amp;"␟"&amp;IFERROR(INDEX(PASTE_ALL,$DF579,13)&amp;"","")&amp;"␟"&amp;IFERROR(INDEX(PASTE_ALL,$DF579,14)&amp;"","")&amp;"␟"&amp;IFERROR(INDEX(PASTE_ALL,$DF579,15)&amp;"","")&amp;"␟"&amp;IFERROR(INDEX(PASTE_ALL,$DF579,16)&amp;"","")&amp;"␟"&amp;IFERROR(INDEX(PASTE_ALL,$DF579,17)&amp;"","")&amp;"␟"&amp;IFERROR(INDEX(PASTE_ALL,$DF579,18)&amp;"","")&amp;"␟"&amp;IFERROR(INDEX(PASTE_ALL,$DF579,19)&amp;"","")&amp;"␟"&amp;IFERROR(INDEX(PASTE_ALL,$DF579,20)&amp;"","")&amp;"␟"&amp;IFERROR(INDEX(PASTE_ALL,$DF579,21)&amp;"","")&amp;"␟"&amp;IFERROR(INDEX(PASTE_ALL,$DF579,22)&amp;"","")&amp;"␟"&amp;IFERROR(INDEX(PASTE_ALL,$DF579,23)&amp;"","")&amp;"␟"&amp;IFERROR(INDEX(PASTE_ALL,$DF579,24)&amp;"","")&amp;"␟"&amp;IFERROR(INDEX(PASTE_ALL,$DF579,25)&amp;"","")&amp;"␟"&amp;IFERROR(INDEX(PASTE_ALL,$DF579,26)&amp;"","")&amp;"␟"&amp;IFERROR(INDEX(PASTE_ALL,$DF579,27)&amp;"","")&amp;"␟"&amp;IFERROR(INDEX(PASTE_ALL,$DF579,28)&amp;"","")&amp;"␟"&amp;IFERROR(INDEX(PASTE_ALL,$DF579,29)&amp;"","")&amp;"␟"&amp;IFERROR(INDEX(PASTE_ALL,$DF579,30)&amp;"","")&amp;"␟"&amp;IFERROR(INDEX(PASTE_ALL,$DF579,31)&amp;"","")&amp;"␟"&amp;IFERROR(INDEX(PASTE_ALL,$DF579,32)&amp;"","")&amp;"␟"&amp;IFERROR(INDEX(PASTE_ALL,$DF579,33)&amp;"","")&amp;"␟"&amp;IFERROR(INDEX(PASTE_ALL,$DF579,34)&amp;"","")&amp;"␟"&amp;IFERROR(INDEX(PASTE_ALL,$DF579,35)&amp;"","")&amp;"␟"&amp;IFERROR(INDEX(PASTE_ALL,$DF579,36)&amp;"","")&amp;"␟"&amp;IFERROR(INDEX(PASTE_ALL,$DF579,37)&amp;"","")&amp;"␟"&amp;IFERROR(INDEX(PASTE_ALL,$DF579,38)&amp;"","")&amp;"␟"&amp;IFERROR(INDEX(PASTE_ALL,$DF579,39)&amp;"","")&amp;"␟"&amp;IFERROR(INDEX(PASTE_ALL,$DF579,40)&amp;"","")&amp;"␟"&amp;IFERROR(INDEX(PASTE_ALL,$DF579,41)&amp;"","")&amp;"␟"&amp;IFERROR(INDEX(PASTE_ALL,$DF579,42)&amp;"","")&amp;"␟"&amp;IFERROR(INDEX(PASTE_ALL,$DF579,43)&amp;"","")&amp;"␟"&amp;IFERROR(INDEX(PASTE_ALL,$DF579,44)&amp;"","")&amp;"␟"&amp;IFERROR(INDEX(PASTE_ALL,$DF579,45)&amp;"","")&amp;"␟"&amp;IFERROR(INDEX(PASTE_ALL,$DF579,46)&amp;"","")&amp;"␟"&amp;IFERROR(INDEX(PASTE_ALL,$DF579,47)&amp;"","")&amp;"␟"&amp;IFERROR(INDEX(PASTE_ALL,$DF579,48)&amp;"","")&amp;"␟"&amp;IFERROR(INDEX(PASTE_ALL,$DF579,49)&amp;"","")&amp;"␟"&amp;IFERROR(INDEX(PASTE_ALL,$DF579,50)&amp;"","")&amp;"␟"&amp;IFERROR(INDEX(PASTE_ALL,$DF579,51)&amp;"","")&amp;"␟"&amp;IFERROR(INDEX(PASTE_ALL,$DF579,52)&amp;"","")&amp;"␟"&amp;IFERROR(INDEX(PASTE_ALL,$DF579,53)&amp;"","")&amp;"␟"&amp;IFERROR(INDEX(PASTE_ALL,$DF579,54)&amp;"","")&amp;"␟"&amp;IFERROR(INDEX(PASTE_ALL,$DF579,55)&amp;"","")&amp;"␟"&amp;IFERROR(INDEX(PASTE_ALL,$DF579,56)&amp;"","")&amp;"␟"&amp;IFERROR(INDEX(PASTE_ALL,$DF579,57)&amp;"","")&amp;"␟"&amp;IFERROR(INDEX(PASTE_ALL,$DF579,58)&amp;"","")&amp;"␟"&amp;IFERROR(INDEX(PASTE_ALL,$DF579,59)&amp;"","")&amp;"␟"&amp;IFERROR(INDEX(PASTE_ALL,$DF579,60)&amp;"","")," "," "),CHAR(9)," "),CHAR(10)," "),CHAR(13)," "))," ␟","␟"),"␟ ","␟"),"#"&amp;$DE579),"")</f>
        <v/>
      </c>
      <c r="DJ579">
        <f>IF($DI579="",0,IF(SUMPRODUCT(--EXACT($DI$4:DI578,$DI579))&gt;0,1,0))</f>
        <v/>
      </c>
      <c r="DK579">
        <f>IF(AND($DI579&lt;&gt;"",$DJ579=0),1,0)</f>
        <v/>
      </c>
      <c r="DL579">
        <f>DL578+$DK579</f>
        <v/>
      </c>
      <c r="DM579">
        <f>IF(AND($DK579=1,$DL579&lt;=600),1,0)</f>
        <v/>
      </c>
      <c r="DN579">
        <f>IF($DM579=0,"",IF($L$6=0,"",IFERROR(IF(ISNUMBER(INDEX(PASTE_ALL,$DF579,$L$6)),INDEX(PASTE_ALL,$DF579,$L$6),TRIM(SUBSTITUTE(SUBSTITUTE(SUBSTITUTE(SUBSTITUTE(INDEX(PASTE_ALL,$DF579,$L$6)," "," "),CHAR(9)," "),CHAR(10)," "),CHAR(13)," "))),"")))</f>
        <v/>
      </c>
      <c r="DO579">
        <f>IF($DM579=0,"",IF($L$7=0,"",IFERROR(IF(ISNUMBER(INDEX(PASTE_ALL,$DF579,$L$7)),INDEX(PASTE_ALL,$DF579,$L$7),TRIM(SUBSTITUTE(SUBSTITUTE(SUBSTITUTE(SUBSTITUTE(INDEX(PASTE_ALL,$DF579,$L$7)," "," "),CHAR(9)," "),CHAR(10)," "),CHAR(13)," "))),"")))</f>
        <v/>
      </c>
      <c r="DP579">
        <f>IF($DM579=0,"",IF($L$8=0,"",IFERROR(IF(ISNUMBER(INDEX(PASTE_ALL,$DF579,$L$8)),INDEX(PASTE_ALL,$DF579,$L$8),TRIM(SUBSTITUTE(SUBSTITUTE(SUBSTITUTE(SUBSTITUTE(INDEX(PASTE_ALL,$DF579,$L$8)," "," "),CHAR(9)," "),CHAR(10)," "),CHAR(13)," "))),"")))</f>
        <v/>
      </c>
      <c r="DQ579">
        <f>IF($DM579=0,"",IF($L$9=0,"",IFERROR(IF(ISNUMBER(INDEX(PASTE_ALL,$DF579,$L$9)),INDEX(PASTE_ALL,$DF579,$L$9),TRIM(SUBSTITUTE(SUBSTITUTE(SUBSTITUTE(SUBSTITUTE(INDEX(PASTE_ALL,$DF579,$L$9)," "," "),CHAR(9)," "),CHAR(10)," "),CHAR(13)," "))),"")))</f>
        <v/>
      </c>
      <c r="DR579">
        <f>IF($DM579=0,"",IF($L$10=0,"",IFERROR(IF(ISNUMBER(INDEX(PASTE_ALL,$DF579,$L$10)),INDEX(PASTE_ALL,$DF579,$L$10),TRIM(SUBSTITUTE(SUBSTITUTE(SUBSTITUTE(SUBSTITUTE(INDEX(PASTE_ALL,$DF579,$L$10)," "," "),CHAR(9)," "),CHAR(10)," "),CHAR(13)," "))),"")))</f>
        <v/>
      </c>
      <c r="DS579">
        <f>IF($DM579=0,"",IF($L$11=0,"",IFERROR(IF(ISNUMBER(INDEX(PASTE_ALL,$DF579,$L$11)),INDEX(PASTE_ALL,$DF579,$L$11),TRIM(SUBSTITUTE(SUBSTITUTE(SUBSTITUTE(SUBSTITUTE(INDEX(PASTE_ALL,$DF579,$L$11)," "," "),CHAR(9)," "),CHAR(10)," "),CHAR(13)," "))),"")))</f>
        <v/>
      </c>
      <c r="DT579">
        <f>IF($DM579=0,"",IF($L$12=0,"",IFERROR(IF(ISNUMBER(INDEX(PASTE_ALL,$DF579,$L$12)),INDEX(PASTE_ALL,$DF579,$L$12),TRIM(SUBSTITUTE(SUBSTITUTE(SUBSTITUTE(SUBSTITUTE(INDEX(PASTE_ALL,$DF579,$L$12)," "," "),CHAR(9)," "),CHAR(10)," "),CHAR(13)," "))),"")))</f>
        <v/>
      </c>
      <c r="DU579">
        <f>IF($DM579=0,"",IF($L$13=0,"",IFERROR(IF(ISNUMBER(INDEX(PASTE_ALL,$DF579,$L$13)),INDEX(PASTE_ALL,$DF579,$L$13),TRIM(SUBSTITUTE(SUBSTITUTE(SUBSTITUTE(SUBSTITUTE(INDEX(PASTE_ALL,$DF579,$L$13)," "," "),CHAR(9)," "),CHAR(10)," "),CHAR(13)," "))),"")))</f>
        <v/>
      </c>
      <c r="DV579">
        <f>IF($DM579=0,"",IF($L$14=0,"",IFERROR(IF(ISNUMBER(INDEX(PASTE_ALL,$DF579,$L$14)),INDEX(PASTE_ALL,$DF579,$L$14),TRIM(SUBSTITUTE(SUBSTITUTE(SUBSTITUTE(SUBSTITUTE(INDEX(PASTE_ALL,$DF579,$L$14)," "," "),CHAR(9)," "),CHAR(10)," "),CHAR(13)," "))),"")))</f>
        <v/>
      </c>
      <c r="DW579">
        <f>IF($DM579=0,"",IF($L$15=0,"",IFERROR(IF(ISNUMBER(INDEX(PASTE_ALL,$DF579,$L$15)),INDEX(PASTE_ALL,$DF579,$L$15),IF(SUMPRODUCT(--ISNUMBER(FIND({"A","B","C","D","E","F","G","H","I","J","K","L","M","N","O","P","Q","R","S","T","U","V","W","X","Y","Z","0","1","2","3","4","5","6","7","8","9"},UPPER(TRIM(SUBSTITUTE(SUBSTITUTE(SUBSTITUTE(SUBSTITUTE(INDEX(PASTE_ALL,$DF579,$L$15)," "," "),CHAR(9)," "),CHAR(10)," "),CHAR(13)," "))))))&gt;0,TRIM(SUBSTITUTE(SUBSTITUTE(SUBSTITUTE(SUBSTITUTE(INDEX(PASTE_ALL,$DF579,$L$15)," "," "),CHAR(9)," "),CHAR(10)," "),CHAR(13)," ")),"")),"")))</f>
        <v/>
      </c>
      <c r="DX579">
        <f>IF($DM579=0,"",IF($L$16=0,"",IFERROR(IF(ISNUMBER(INDEX(PASTE_ALL,$DF579,$L$16)),INDEX(PASTE_ALL,$DF579,$L$16),SUBSTITUTE(SUBSTITUTE(TRIM(SUBSTITUTE(SUBSTITUTE(SUBSTITUTE(SUBSTITUTE(INDEX(PASTE_ALL,$DF579,$L$16)," "," "),CHAR(9)," "),CHAR(10)," "),CHAR(13)," ")),",",""),"%","")),"")))</f>
        <v/>
      </c>
      <c r="DY579">
        <f>IF($DM579=0,"",IFERROR(IF(ISNUMBER($DX579),$DX579,IF($DX579="","",IF(TRIM($DX579)="",0,IF(AND(AND(SUBSTITUTE(SUBSTITUTE(SUBSTITUTE(SUBSTITUTE(SUBSTITUTE(SUBSTITUTE(SUBSTITUTE(SUBSTITUTE(SUBSTITUTE(SUBSTITUTE(SUBSTITUTE(SUBSTITUTE(SUBSTITUTE(SUBSTITUTE(UPPER(TRIM($DX579)),"0",""),"1",""),"2",""),"3",""),"4",""),"5",""),"6",""),"7",""),"8",""),"9",""),".",""),"+",""),"-",""),"E","")="",LEN(SUBSTITUTE(SUBSTITUTE(MID(UPPER(TRIM($DX579)),1+OR(LEFT(UPPER(TRIM($DX579)),1)="+",LEFT(UPPER(TRIM($DX579)),1)="-"),999),"E+","E"),"E-","E"))=LEN(SUBSTITUTE(SUBSTITUTE(SUBSTITUTE(SUBSTITUTE(MID(UPPER(TRIM($DX579)),1+OR(LEFT(UPPER(TRIM($DX579)),1)="+",LEFT(UPPER(TRIM($DX579)),1)="-"),999),"E+","E"),"E-","E"),"+",""),"-","")),LEN(UPPER(TRIM($DX579)))-LEN(SUBSTITUTE(UPPER(TRIM($DX579)),"E",""))&lt;2,LEN(UPPER(TRIM($DX579)))-LEN(SUBSTITUTE(UPPER(TRIM($DX579)),".",""))&lt;2,IFERROR(FIND(".",UPPER(TRIM($DX579))),0)&lt;IFERROR(FIND("E",UPPER(TRIM($DX579))),999)),ISNUMBER(VALUE(TRIM($DX579)))),VALUE(TRIM($DX579)),"")))),""))</f>
        <v/>
      </c>
      <c r="DZ579">
        <f>IF($DM579=0,"",IF($L$17=0,"",IFERROR(IF(ISNUMBER(INDEX(PASTE_ALL,$DF579,$L$17)),INDEX(PASTE_ALL,$DF579,$L$17),SUBSTITUTE(SUBSTITUTE(TRIM(SUBSTITUTE(SUBSTITUTE(SUBSTITUTE(SUBSTITUTE(INDEX(PASTE_ALL,$DF579,$L$17)," "," "),CHAR(9)," "),CHAR(10)," "),CHAR(13)," ")),",",""),"%","")),"")))</f>
        <v/>
      </c>
      <c r="EA579">
        <f>IF($DM579=0,"",IFERROR(IF(ISNUMBER($DZ579),$DZ579,IF($DZ579="","",IF(TRIM($DZ579)="",0,IF(AND(AND(SUBSTITUTE(SUBSTITUTE(SUBSTITUTE(SUBSTITUTE(SUBSTITUTE(SUBSTITUTE(SUBSTITUTE(SUBSTITUTE(SUBSTITUTE(SUBSTITUTE(SUBSTITUTE(SUBSTITUTE(SUBSTITUTE(SUBSTITUTE(UPPER(TRIM($DZ579)),"0",""),"1",""),"2",""),"3",""),"4",""),"5",""),"6",""),"7",""),"8",""),"9",""),".",""),"+",""),"-",""),"E","")="",LEN(SUBSTITUTE(SUBSTITUTE(MID(UPPER(TRIM($DZ579)),1+OR(LEFT(UPPER(TRIM($DZ579)),1)="+",LEFT(UPPER(TRIM($DZ579)),1)="-"),999),"E+","E"),"E-","E"))=LEN(SUBSTITUTE(SUBSTITUTE(SUBSTITUTE(SUBSTITUTE(MID(UPPER(TRIM($DZ579)),1+OR(LEFT(UPPER(TRIM($DZ579)),1)="+",LEFT(UPPER(TRIM($DZ579)),1)="-"),999),"E+","E"),"E-","E"),"+",""),"-","")),LEN(UPPER(TRIM($DZ579)))-LEN(SUBSTITUTE(UPPER(TRIM($DZ579)),"E",""))&lt;2,LEN(UPPER(TRIM($DZ579)))-LEN(SUBSTITUTE(UPPER(TRIM($DZ579)),".",""))&lt;2,IFERROR(FIND(".",UPPER(TRIM($DZ579))),0)&lt;IFERROR(FIND("E",UPPER(TRIM($DZ579))),999)),ISNUMBER(VALUE(TRIM($DZ579)))),VALUE(TRIM($DZ579)),"")))),""))</f>
        <v/>
      </c>
      <c r="EB579">
        <f>IF($DM579=0,"",IF($L$18=0,"",IFERROR(IF(UPPER(TRIM(SUBSTITUTE(SUBSTITUTE(SUBSTITUTE(SUBSTITUTE(INDEX(PASTE_ALL,$DF579,$L$18)," "," "),CHAR(9)," "),CHAR(10)," "),CHAR(13)," ")))="READY","Ready",IF(UPPER(TRIM(SUBSTITUTE(SUBSTITUTE(SUBSTITUTE(SUBSTITUTE(INDEX(PASTE_ALL,$DF579,$L$18)," "," "),CHAR(9)," "),CHAR(10)," "),CHAR(13)," ")))="PM","PM",IF(OR(UPPER(TRIM(SUBSTITUTE(SUBSTITUTE(SUBSTITUTE(SUBSTITUTE(INDEX(PASTE_ALL,$DF579,$L$18)," "," "),CHAR(9)," "),CHAR(10)," "),CHAR(13)," ")))="OT",UPPER(TRIM(SUBSTITUTE(SUBSTITUTE(SUBSTITUTE(SUBSTITUTE(INDEX(PASTE_ALL,$DF579,$L$18)," "," "),CHAR(9)," "),CHAR(10)," "),CHAR(13)," ")))="OVERTIME",UPPER(TRIM(SUBSTITUTE(SUBSTITUTE(SUBSTITUTE(SUBSTITUTE(INDEX(PASTE_ALL,$DF579,$L$18)," "," "),CHAR(9)," "),CHAR(10)," "),CHAR(13)," ")))="TRIAL"),"OT",TRIM(SUBSTITUTE(SUBSTITUTE(SUBSTITUTE(SUBSTITUTE(INDEX(PASTE_ALL,$DF579,$L$18)," "," "),CHAR(9)," "),CHAR(10)," "),CHAR(13)," "))))),"")))</f>
        <v/>
      </c>
      <c r="EC579">
        <f>IF($DM579=0,"",IF($L$19=0,"",IFERROR(IF(ISNUMBER(INDEX(PASTE_ALL,$DF579,$L$19)),INDEX(PASTE_ALL,$DF579,$L$19),TRIM(SUBSTITUTE(SUBSTITUTE(SUBSTITUTE(SUBSTITUTE(INDEX(PASTE_ALL,$DF579,$L$19)," "," "),CHAR(9)," "),CHAR(10)," "),CHAR(13)," "))),"")))</f>
        <v/>
      </c>
      <c r="ED579">
        <f>IF($DM579=0,"",MATCH(1,INDEX(EXACT($DH$5:DH579,$DH579)*$DM$5:DM579,0),0))</f>
        <v/>
      </c>
      <c r="EE579">
        <f>IF($DM579=0,0,IF($ED579=$DE579,1,0))</f>
        <v/>
      </c>
      <c r="EF579">
        <f>EF578+$EE579</f>
        <v/>
      </c>
      <c r="EG579">
        <f>IF($DM579=0,"",INDEX($EF$5:$EF$1003,$ED579))</f>
        <v/>
      </c>
      <c r="EH579">
        <f>IF($DM579=0,"",IF($DO579&lt;&gt;"","",IFERROR(LOOKUP(2,1/(($EG$4:EG578=$EG579)*($DO$4:DO578&lt;&gt;"")),$DO$4:DO578),"")))</f>
        <v/>
      </c>
      <c r="EI579">
        <f>IF($DM579=0,"",IF($DO579&lt;&gt;"",$DO579,$EH579))</f>
        <v/>
      </c>
      <c r="EJ579">
        <f>IF($DM579=0,"",IF($EI579="",0,IF(OR(ISNUMBER($EI579),AND(AND(SUBSTITUTE(SUBSTITUTE(SUBSTITUTE(SUBSTITUTE(SUBSTITUTE(SUBSTITUTE(SUBSTITUTE(SUBSTITUTE(SUBSTITUTE(SUBSTITUTE(SUBSTITUTE(SUBSTITUTE(SUBSTITUTE(SUBSTITUTE(UPPER($EI579),"0",""),"1",""),"2",""),"3",""),"4",""),"5",""),"6",""),"7",""),"8",""),"9",""),".",""),"+",""),"-",""),"E","")="",LEN(SUBSTITUTE(SUBSTITUTE(MID(UPPER($EI579),1+OR(LEFT(UPPER($EI579),1)="+",LEFT(UPPER($EI579),1)="-"),999),"E+","E"),"E-","E"))=LEN(SUBSTITUTE(SUBSTITUTE(SUBSTITUTE(SUBSTITUTE(MID(UPPER($EI579),1+OR(LEFT(UPPER($EI579),1)="+",LEFT(UPPER($EI579),1)="-"),999),"E+","E"),"E-","E"),"+",""),"-","")),LEN(UPPER($EI579))-LEN(SUBSTITUTE(UPPER($EI579),"E",""))&lt;2,LEN(UPPER($EI579))-LEN(SUBSTITUTE(UPPER($EI579),".",""))&lt;2,IFERROR(FIND(".",UPPER($EI579)),0)&lt;IFERROR(FIND("E",UPPER($EI579)),999)),ISNUMBER(VALUE($EI579)))),1,2)))</f>
        <v/>
      </c>
      <c r="EK579">
        <f>IF($DM579=0,"",IF($EJ579=1,IF(ISNUMBER($EI579),$EI579,VALUE($EI579)),IF($EJ579=2,$DE579,0)))</f>
        <v/>
      </c>
      <c r="EL579">
        <f>IF($DM579=0,"",COUNTIF($EG$5:$EG$1003,"&lt;"&amp;$EG579)+SUMPRODUCT(($EG$5:$EG$1003=$EG579)*(($EJ$5:$EJ$1003&lt;$EJ579)+($EJ$5:$EJ$1003=$EJ579)*(($EK$5:$EK$1003&lt;$EK579)+($EK$5:$EK$1003=$EK579)*($DE$5:$DE$1003&lt;$DE579))))+1)</f>
        <v/>
      </c>
      <c r="EM579">
        <f>IF($DM579=0,"",$EL579+$EG579-1)</f>
        <v/>
      </c>
      <c r="EN579">
        <f>IF($DM579=0,0,IFERROR(MATCH(1,INDEX(--(TRIM(SUBSTITUTE(SUBSTITUTE(SUBSTITUTE(SUBSTITUTE(LINES_NAME&amp;""," "," "),CHAR(9)," "),CHAR(10)," "),CHAR(13)," "))=$DH579),0),0),0))</f>
        <v/>
      </c>
      <c r="EO579">
        <f>IF($EN579=0,0,IF(OR(UPPER(TRIM(INDEX(LINES_SCHEDULED,$EN579)&amp;""))="YES",UPPER(TRIM(INDEX(LINES_SCHEDULED,$EN579)&amp;""))="Y",UPPER(TRIM(INDEX(LINES_SCHEDULED,$EN579)&amp;""))="X"),1,0))</f>
        <v/>
      </c>
      <c r="EP579">
        <f>IF($DM579=0,"",IF(COUNTIFS($EG$5:$EG$1003,$EG579,$EB$5:$EB$1003,"Ready")&gt;0,"READY",IF(COUNTIFS($EG$5:$EG$1003,$EG579,$EB$5:$EB$1003,"PM")&gt;0,"PM",IF(COUNTIFS($EG$5:$EG$1003,$EG579,$EB$5:$EB$1003,"OT")&gt;0,"OT",""))))</f>
        <v/>
      </c>
      <c r="EQ579">
        <f>IF($EN579=0,"",UPPER(TRIM(INDEX(LINES_STATUS,$EN579)&amp;"")))</f>
        <v/>
      </c>
      <c r="ER579">
        <f>IF($DM579=0,"",IF(OR($EQ579="READY",$EQ579="PM",$EQ579="OT"),$EQ579,$EP579))</f>
        <v/>
      </c>
      <c r="ES579">
        <f>IF($DM579=0,"",IF(AND($DV579&lt;&gt;"",UPPER($DV579)&lt;&gt;"N"),"allergen",IF(ISNUMBER(SEARCH("oil",$DQ579)),"oil",IF(OR(EXACT($DS579,"A662"),EXACT($DS579,"A624")),"bulk",""))))</f>
        <v/>
      </c>
      <c r="ET579">
        <f>IF($DM579=0,"",IF(OR($EA579="",$EA579=0),"",$EA579/100))</f>
        <v/>
      </c>
      <c r="EU579">
        <f>IF(OR($ET579="",$DY579=""),"",INT($DY579*(1-$ET579)+0.5))</f>
        <v/>
      </c>
      <c r="EW579" t="n">
        <v>575</v>
      </c>
      <c r="EX579">
        <f>IFERROR(MATCH($EW579,$EM$5:$EM$1003,0),0)</f>
        <v/>
      </c>
      <c r="EY579">
        <f>IF($EW579&gt;$B$12,"",IF($EX579&gt;0,"row","spacer"))</f>
        <v/>
      </c>
      <c r="EZ579">
        <f>IF(AND($EY579="row",$EY578&lt;&gt;"row"),1,0)</f>
        <v/>
      </c>
      <c r="FA579">
        <f>IF(AND($EY579="row",$EY580&lt;&gt;"row"),1,0)</f>
        <v/>
      </c>
      <c r="FB579">
        <f>IF($EZ579=1,IFERROR(IF(ISNUMBER(INDEX(PASTE_ALL,INDEX($DF$5:$DF$1003,$EX579),$B$37)),INDEX(PASTE_ALL,INDEX($DF$5:$DF$1003,$EX579),$B$37),INDEX($DH$5:$DH$1003,$EX579)),INDEX($DH$5:$DH$1003,$EX579)),"")</f>
        <v/>
      </c>
      <c r="FC579">
        <f>IF($EY579="row",INDEX($ER$5:$ER$1003,$EX579),"")</f>
        <v/>
      </c>
      <c r="FD579">
        <f>IF($EY579="row",INDEX($DN$5:$DN$1003,$EX579),"")</f>
        <v/>
      </c>
      <c r="FE579">
        <f>IF($EY579="row",INDEX($DO$5:$DO$1003,$EX579),"")</f>
        <v/>
      </c>
      <c r="FF579">
        <f>IF($EY579="row",INDEX($DP$5:$DP$1003,$EX579),"")</f>
        <v/>
      </c>
      <c r="FG579">
        <f>IF($EY579="row",INDEX($DQ$5:$DQ$1003,$EX579),"")</f>
        <v/>
      </c>
      <c r="FH579">
        <f>IF($EY579="row",INDEX($DR$5:$DR$1003,$EX579),"")</f>
        <v/>
      </c>
      <c r="FI579">
        <f>IF($EY579="row",INDEX($DS$5:$DS$1003,$EX579),"")</f>
        <v/>
      </c>
      <c r="FJ579">
        <f>IF($EY579="row",INDEX($DT$5:$DT$1003,$EX579),"")</f>
        <v/>
      </c>
      <c r="FK579">
        <f>IF($EY579="row",INDEX($DU$5:$DU$1003,$EX579),"")</f>
        <v/>
      </c>
      <c r="FL579">
        <f>IF($EY579="row",INDEX($DV$5:$DV$1003,$EX579),"")</f>
        <v/>
      </c>
      <c r="FM579">
        <f>IF($EY579="row",INDEX($DW$5:$DW$1003,$EX579),"")</f>
        <v/>
      </c>
      <c r="FN579">
        <f>IF($EY579="row",INDEX($DY$5:$DY$1003,$EX579),"")</f>
        <v/>
      </c>
      <c r="FO579">
        <f>IF($EY579="row",INDEX($EA$5:$EA$1003,$EX579),"")</f>
        <v/>
      </c>
      <c r="FP579">
        <f>IF($EY579="row",INDEX($EC$5:$EC$1003,$EX579),"")</f>
        <v/>
      </c>
      <c r="FQ579">
        <f>IF($EY579="row",INDEX($ET$5:$ET$1003,$EX579),"")</f>
        <v/>
      </c>
      <c r="FR579">
        <f>IF($EY579="row",INDEX($EU$5:$EU$1003,$EX579),"")</f>
        <v/>
      </c>
      <c r="FS579">
        <f>IF(AND($EY579="row",$EY578="row"),IF(OR(INDEX($DT$5:$DT$1003,$EX578)="",INDEX($DT$5:$DT$1003,$EX579)=""),"",IF(NOT(EXACT(INDEX($DT$5:$DT$1003,$EX578),INDEX($DT$5:$DT$1003,$EX579))),"S4",IF(NOT(EXACT(INDEX($DS$5:$DS$1003,$EX578),INDEX($DS$5:$DS$1003,$EX579))),"S3",IF(NOT(EXACT(INDEX($DR$5:$DR$1003,$EX578),INDEX($DR$5:$DR$1003,$EX579))),"S1 Count Change","S1")))),"")</f>
        <v/>
      </c>
      <c r="FT579">
        <f>IF($EY579="row",INDEX($ES$5:$ES$1003,$EX579),"")</f>
        <v/>
      </c>
      <c r="FU579">
        <f>IF($EY579="row",INDEX($EO$5:$EO$1003,$EX579),0)</f>
        <v/>
      </c>
      <c r="FV579">
        <f>IF($FS579="S1 Count Change",1,0)</f>
        <v/>
      </c>
    </row>
    <row r="580">
      <c r="DA580" t="n">
        <v>576</v>
      </c>
      <c r="DB580">
        <f>IF($B$37=0,"",IFERROR(TRIM(SUBSTITUTE(SUBSTITUTE(SUBSTITUTE(SUBSTITUTE(INDEX(PASTE_ALL,576,$B$37)," "," "),CHAR(9)," "),CHAR(10)," "),CHAR(13)," ")),""))</f>
        <v/>
      </c>
      <c r="DC580">
        <f>IF(AND(576&gt;HEADER_ROW,UPPER(DB580)="LEGEND"),1,0)</f>
        <v/>
      </c>
      <c r="DE580" t="n">
        <v>576</v>
      </c>
      <c r="DF580">
        <f>HEADER_ROW+$DE580</f>
        <v/>
      </c>
      <c r="DG580">
        <f>IF(AND($DF580&lt;=1000,$DF580&lt;$B$8),1,0)</f>
        <v/>
      </c>
      <c r="DH580">
        <f>IF($DG580=1,IFERROR(INDEX($DB$5:$DB$1004,$DF580),""),"")</f>
        <v/>
      </c>
      <c r="DI580">
        <f>IF(AND($DG580=1,$DH580&lt;&gt;""),IFERROR(SUBSTITUTE(SUBSTITUTE(TRIM(SUBSTITUTE(SUBSTITUTE(SUBSTITUTE(SUBSTITUTE(IFERROR(INDEX(PASTE_ALL,$DF580,1)&amp;"","")&amp;"␟"&amp;IFERROR(INDEX(PASTE_ALL,$DF580,2)&amp;"","")&amp;"␟"&amp;IFERROR(INDEX(PASTE_ALL,$DF580,3)&amp;"","")&amp;"␟"&amp;IFERROR(INDEX(PASTE_ALL,$DF580,4)&amp;"","")&amp;"␟"&amp;IFERROR(INDEX(PASTE_ALL,$DF580,5)&amp;"","")&amp;"␟"&amp;IFERROR(INDEX(PASTE_ALL,$DF580,6)&amp;"","")&amp;"␟"&amp;IFERROR(INDEX(PASTE_ALL,$DF580,7)&amp;"","")&amp;"␟"&amp;IFERROR(INDEX(PASTE_ALL,$DF580,8)&amp;"","")&amp;"␟"&amp;IFERROR(INDEX(PASTE_ALL,$DF580,9)&amp;"","")&amp;"␟"&amp;IFERROR(INDEX(PASTE_ALL,$DF580,10)&amp;"","")&amp;"␟"&amp;IFERROR(INDEX(PASTE_ALL,$DF580,11)&amp;"","")&amp;"␟"&amp;IFERROR(INDEX(PASTE_ALL,$DF580,12)&amp;"","")&amp;"␟"&amp;IFERROR(INDEX(PASTE_ALL,$DF580,13)&amp;"","")&amp;"␟"&amp;IFERROR(INDEX(PASTE_ALL,$DF580,14)&amp;"","")&amp;"␟"&amp;IFERROR(INDEX(PASTE_ALL,$DF580,15)&amp;"","")&amp;"␟"&amp;IFERROR(INDEX(PASTE_ALL,$DF580,16)&amp;"","")&amp;"␟"&amp;IFERROR(INDEX(PASTE_ALL,$DF580,17)&amp;"","")&amp;"␟"&amp;IFERROR(INDEX(PASTE_ALL,$DF580,18)&amp;"","")&amp;"␟"&amp;IFERROR(INDEX(PASTE_ALL,$DF580,19)&amp;"","")&amp;"␟"&amp;IFERROR(INDEX(PASTE_ALL,$DF580,20)&amp;"","")&amp;"␟"&amp;IFERROR(INDEX(PASTE_ALL,$DF580,21)&amp;"","")&amp;"␟"&amp;IFERROR(INDEX(PASTE_ALL,$DF580,22)&amp;"","")&amp;"␟"&amp;IFERROR(INDEX(PASTE_ALL,$DF580,23)&amp;"","")&amp;"␟"&amp;IFERROR(INDEX(PASTE_ALL,$DF580,24)&amp;"","")&amp;"␟"&amp;IFERROR(INDEX(PASTE_ALL,$DF580,25)&amp;"","")&amp;"␟"&amp;IFERROR(INDEX(PASTE_ALL,$DF580,26)&amp;"","")&amp;"␟"&amp;IFERROR(INDEX(PASTE_ALL,$DF580,27)&amp;"","")&amp;"␟"&amp;IFERROR(INDEX(PASTE_ALL,$DF580,28)&amp;"","")&amp;"␟"&amp;IFERROR(INDEX(PASTE_ALL,$DF580,29)&amp;"","")&amp;"␟"&amp;IFERROR(INDEX(PASTE_ALL,$DF580,30)&amp;"","")&amp;"␟"&amp;IFERROR(INDEX(PASTE_ALL,$DF580,31)&amp;"","")&amp;"␟"&amp;IFERROR(INDEX(PASTE_ALL,$DF580,32)&amp;"","")&amp;"␟"&amp;IFERROR(INDEX(PASTE_ALL,$DF580,33)&amp;"","")&amp;"␟"&amp;IFERROR(INDEX(PASTE_ALL,$DF580,34)&amp;"","")&amp;"␟"&amp;IFERROR(INDEX(PASTE_ALL,$DF580,35)&amp;"","")&amp;"␟"&amp;IFERROR(INDEX(PASTE_ALL,$DF580,36)&amp;"","")&amp;"␟"&amp;IFERROR(INDEX(PASTE_ALL,$DF580,37)&amp;"","")&amp;"␟"&amp;IFERROR(INDEX(PASTE_ALL,$DF580,38)&amp;"","")&amp;"␟"&amp;IFERROR(INDEX(PASTE_ALL,$DF580,39)&amp;"","")&amp;"␟"&amp;IFERROR(INDEX(PASTE_ALL,$DF580,40)&amp;"","")&amp;"␟"&amp;IFERROR(INDEX(PASTE_ALL,$DF580,41)&amp;"","")&amp;"␟"&amp;IFERROR(INDEX(PASTE_ALL,$DF580,42)&amp;"","")&amp;"␟"&amp;IFERROR(INDEX(PASTE_ALL,$DF580,43)&amp;"","")&amp;"␟"&amp;IFERROR(INDEX(PASTE_ALL,$DF580,44)&amp;"","")&amp;"␟"&amp;IFERROR(INDEX(PASTE_ALL,$DF580,45)&amp;"","")&amp;"␟"&amp;IFERROR(INDEX(PASTE_ALL,$DF580,46)&amp;"","")&amp;"␟"&amp;IFERROR(INDEX(PASTE_ALL,$DF580,47)&amp;"","")&amp;"␟"&amp;IFERROR(INDEX(PASTE_ALL,$DF580,48)&amp;"","")&amp;"␟"&amp;IFERROR(INDEX(PASTE_ALL,$DF580,49)&amp;"","")&amp;"␟"&amp;IFERROR(INDEX(PASTE_ALL,$DF580,50)&amp;"","")&amp;"␟"&amp;IFERROR(INDEX(PASTE_ALL,$DF580,51)&amp;"","")&amp;"␟"&amp;IFERROR(INDEX(PASTE_ALL,$DF580,52)&amp;"","")&amp;"␟"&amp;IFERROR(INDEX(PASTE_ALL,$DF580,53)&amp;"","")&amp;"␟"&amp;IFERROR(INDEX(PASTE_ALL,$DF580,54)&amp;"","")&amp;"␟"&amp;IFERROR(INDEX(PASTE_ALL,$DF580,55)&amp;"","")&amp;"␟"&amp;IFERROR(INDEX(PASTE_ALL,$DF580,56)&amp;"","")&amp;"␟"&amp;IFERROR(INDEX(PASTE_ALL,$DF580,57)&amp;"","")&amp;"␟"&amp;IFERROR(INDEX(PASTE_ALL,$DF580,58)&amp;"","")&amp;"␟"&amp;IFERROR(INDEX(PASTE_ALL,$DF580,59)&amp;"","")&amp;"␟"&amp;IFERROR(INDEX(PASTE_ALL,$DF580,60)&amp;"","")," "," "),CHAR(9)," "),CHAR(10)," "),CHAR(13)," "))," ␟","␟"),"␟ ","␟"),"#"&amp;$DE580),"")</f>
        <v/>
      </c>
      <c r="DJ580">
        <f>IF($DI580="",0,IF(SUMPRODUCT(--EXACT($DI$4:DI579,$DI580))&gt;0,1,0))</f>
        <v/>
      </c>
      <c r="DK580">
        <f>IF(AND($DI580&lt;&gt;"",$DJ580=0),1,0)</f>
        <v/>
      </c>
      <c r="DL580">
        <f>DL579+$DK580</f>
        <v/>
      </c>
      <c r="DM580">
        <f>IF(AND($DK580=1,$DL580&lt;=600),1,0)</f>
        <v/>
      </c>
      <c r="DN580">
        <f>IF($DM580=0,"",IF($L$6=0,"",IFERROR(IF(ISNUMBER(INDEX(PASTE_ALL,$DF580,$L$6)),INDEX(PASTE_ALL,$DF580,$L$6),TRIM(SUBSTITUTE(SUBSTITUTE(SUBSTITUTE(SUBSTITUTE(INDEX(PASTE_ALL,$DF580,$L$6)," "," "),CHAR(9)," "),CHAR(10)," "),CHAR(13)," "))),"")))</f>
        <v/>
      </c>
      <c r="DO580">
        <f>IF($DM580=0,"",IF($L$7=0,"",IFERROR(IF(ISNUMBER(INDEX(PASTE_ALL,$DF580,$L$7)),INDEX(PASTE_ALL,$DF580,$L$7),TRIM(SUBSTITUTE(SUBSTITUTE(SUBSTITUTE(SUBSTITUTE(INDEX(PASTE_ALL,$DF580,$L$7)," "," "),CHAR(9)," "),CHAR(10)," "),CHAR(13)," "))),"")))</f>
        <v/>
      </c>
      <c r="DP580">
        <f>IF($DM580=0,"",IF($L$8=0,"",IFERROR(IF(ISNUMBER(INDEX(PASTE_ALL,$DF580,$L$8)),INDEX(PASTE_ALL,$DF580,$L$8),TRIM(SUBSTITUTE(SUBSTITUTE(SUBSTITUTE(SUBSTITUTE(INDEX(PASTE_ALL,$DF580,$L$8)," "," "),CHAR(9)," "),CHAR(10)," "),CHAR(13)," "))),"")))</f>
        <v/>
      </c>
      <c r="DQ580">
        <f>IF($DM580=0,"",IF($L$9=0,"",IFERROR(IF(ISNUMBER(INDEX(PASTE_ALL,$DF580,$L$9)),INDEX(PASTE_ALL,$DF580,$L$9),TRIM(SUBSTITUTE(SUBSTITUTE(SUBSTITUTE(SUBSTITUTE(INDEX(PASTE_ALL,$DF580,$L$9)," "," "),CHAR(9)," "),CHAR(10)," "),CHAR(13)," "))),"")))</f>
        <v/>
      </c>
      <c r="DR580">
        <f>IF($DM580=0,"",IF($L$10=0,"",IFERROR(IF(ISNUMBER(INDEX(PASTE_ALL,$DF580,$L$10)),INDEX(PASTE_ALL,$DF580,$L$10),TRIM(SUBSTITUTE(SUBSTITUTE(SUBSTITUTE(SUBSTITUTE(INDEX(PASTE_ALL,$DF580,$L$10)," "," "),CHAR(9)," "),CHAR(10)," "),CHAR(13)," "))),"")))</f>
        <v/>
      </c>
      <c r="DS580">
        <f>IF($DM580=0,"",IF($L$11=0,"",IFERROR(IF(ISNUMBER(INDEX(PASTE_ALL,$DF580,$L$11)),INDEX(PASTE_ALL,$DF580,$L$11),TRIM(SUBSTITUTE(SUBSTITUTE(SUBSTITUTE(SUBSTITUTE(INDEX(PASTE_ALL,$DF580,$L$11)," "," "),CHAR(9)," "),CHAR(10)," "),CHAR(13)," "))),"")))</f>
        <v/>
      </c>
      <c r="DT580">
        <f>IF($DM580=0,"",IF($L$12=0,"",IFERROR(IF(ISNUMBER(INDEX(PASTE_ALL,$DF580,$L$12)),INDEX(PASTE_ALL,$DF580,$L$12),TRIM(SUBSTITUTE(SUBSTITUTE(SUBSTITUTE(SUBSTITUTE(INDEX(PASTE_ALL,$DF580,$L$12)," "," "),CHAR(9)," "),CHAR(10)," "),CHAR(13)," "))),"")))</f>
        <v/>
      </c>
      <c r="DU580">
        <f>IF($DM580=0,"",IF($L$13=0,"",IFERROR(IF(ISNUMBER(INDEX(PASTE_ALL,$DF580,$L$13)),INDEX(PASTE_ALL,$DF580,$L$13),TRIM(SUBSTITUTE(SUBSTITUTE(SUBSTITUTE(SUBSTITUTE(INDEX(PASTE_ALL,$DF580,$L$13)," "," "),CHAR(9)," "),CHAR(10)," "),CHAR(13)," "))),"")))</f>
        <v/>
      </c>
      <c r="DV580">
        <f>IF($DM580=0,"",IF($L$14=0,"",IFERROR(IF(ISNUMBER(INDEX(PASTE_ALL,$DF580,$L$14)),INDEX(PASTE_ALL,$DF580,$L$14),TRIM(SUBSTITUTE(SUBSTITUTE(SUBSTITUTE(SUBSTITUTE(INDEX(PASTE_ALL,$DF580,$L$14)," "," "),CHAR(9)," "),CHAR(10)," "),CHAR(13)," "))),"")))</f>
        <v/>
      </c>
      <c r="DW580">
        <f>IF($DM580=0,"",IF($L$15=0,"",IFERROR(IF(ISNUMBER(INDEX(PASTE_ALL,$DF580,$L$15)),INDEX(PASTE_ALL,$DF580,$L$15),IF(SUMPRODUCT(--ISNUMBER(FIND({"A","B","C","D","E","F","G","H","I","J","K","L","M","N","O","P","Q","R","S","T","U","V","W","X","Y","Z","0","1","2","3","4","5","6","7","8","9"},UPPER(TRIM(SUBSTITUTE(SUBSTITUTE(SUBSTITUTE(SUBSTITUTE(INDEX(PASTE_ALL,$DF580,$L$15)," "," "),CHAR(9)," "),CHAR(10)," "),CHAR(13)," "))))))&gt;0,TRIM(SUBSTITUTE(SUBSTITUTE(SUBSTITUTE(SUBSTITUTE(INDEX(PASTE_ALL,$DF580,$L$15)," "," "),CHAR(9)," "),CHAR(10)," "),CHAR(13)," ")),"")),"")))</f>
        <v/>
      </c>
      <c r="DX580">
        <f>IF($DM580=0,"",IF($L$16=0,"",IFERROR(IF(ISNUMBER(INDEX(PASTE_ALL,$DF580,$L$16)),INDEX(PASTE_ALL,$DF580,$L$16),SUBSTITUTE(SUBSTITUTE(TRIM(SUBSTITUTE(SUBSTITUTE(SUBSTITUTE(SUBSTITUTE(INDEX(PASTE_ALL,$DF580,$L$16)," "," "),CHAR(9)," "),CHAR(10)," "),CHAR(13)," ")),",",""),"%","")),"")))</f>
        <v/>
      </c>
      <c r="DY580">
        <f>IF($DM580=0,"",IFERROR(IF(ISNUMBER($DX580),$DX580,IF($DX580="","",IF(TRIM($DX580)="",0,IF(AND(AND(SUBSTITUTE(SUBSTITUTE(SUBSTITUTE(SUBSTITUTE(SUBSTITUTE(SUBSTITUTE(SUBSTITUTE(SUBSTITUTE(SUBSTITUTE(SUBSTITUTE(SUBSTITUTE(SUBSTITUTE(SUBSTITUTE(SUBSTITUTE(UPPER(TRIM($DX580)),"0",""),"1",""),"2",""),"3",""),"4",""),"5",""),"6",""),"7",""),"8",""),"9",""),".",""),"+",""),"-",""),"E","")="",LEN(SUBSTITUTE(SUBSTITUTE(MID(UPPER(TRIM($DX580)),1+OR(LEFT(UPPER(TRIM($DX580)),1)="+",LEFT(UPPER(TRIM($DX580)),1)="-"),999),"E+","E"),"E-","E"))=LEN(SUBSTITUTE(SUBSTITUTE(SUBSTITUTE(SUBSTITUTE(MID(UPPER(TRIM($DX580)),1+OR(LEFT(UPPER(TRIM($DX580)),1)="+",LEFT(UPPER(TRIM($DX580)),1)="-"),999),"E+","E"),"E-","E"),"+",""),"-","")),LEN(UPPER(TRIM($DX580)))-LEN(SUBSTITUTE(UPPER(TRIM($DX580)),"E",""))&lt;2,LEN(UPPER(TRIM($DX580)))-LEN(SUBSTITUTE(UPPER(TRIM($DX580)),".",""))&lt;2,IFERROR(FIND(".",UPPER(TRIM($DX580))),0)&lt;IFERROR(FIND("E",UPPER(TRIM($DX580))),999)),ISNUMBER(VALUE(TRIM($DX580)))),VALUE(TRIM($DX580)),"")))),""))</f>
        <v/>
      </c>
      <c r="DZ580">
        <f>IF($DM580=0,"",IF($L$17=0,"",IFERROR(IF(ISNUMBER(INDEX(PASTE_ALL,$DF580,$L$17)),INDEX(PASTE_ALL,$DF580,$L$17),SUBSTITUTE(SUBSTITUTE(TRIM(SUBSTITUTE(SUBSTITUTE(SUBSTITUTE(SUBSTITUTE(INDEX(PASTE_ALL,$DF580,$L$17)," "," "),CHAR(9)," "),CHAR(10)," "),CHAR(13)," ")),",",""),"%","")),"")))</f>
        <v/>
      </c>
      <c r="EA580">
        <f>IF($DM580=0,"",IFERROR(IF(ISNUMBER($DZ580),$DZ580,IF($DZ580="","",IF(TRIM($DZ580)="",0,IF(AND(AND(SUBSTITUTE(SUBSTITUTE(SUBSTITUTE(SUBSTITUTE(SUBSTITUTE(SUBSTITUTE(SUBSTITUTE(SUBSTITUTE(SUBSTITUTE(SUBSTITUTE(SUBSTITUTE(SUBSTITUTE(SUBSTITUTE(SUBSTITUTE(UPPER(TRIM($DZ580)),"0",""),"1",""),"2",""),"3",""),"4",""),"5",""),"6",""),"7",""),"8",""),"9",""),".",""),"+",""),"-",""),"E","")="",LEN(SUBSTITUTE(SUBSTITUTE(MID(UPPER(TRIM($DZ580)),1+OR(LEFT(UPPER(TRIM($DZ580)),1)="+",LEFT(UPPER(TRIM($DZ580)),1)="-"),999),"E+","E"),"E-","E"))=LEN(SUBSTITUTE(SUBSTITUTE(SUBSTITUTE(SUBSTITUTE(MID(UPPER(TRIM($DZ580)),1+OR(LEFT(UPPER(TRIM($DZ580)),1)="+",LEFT(UPPER(TRIM($DZ580)),1)="-"),999),"E+","E"),"E-","E"),"+",""),"-","")),LEN(UPPER(TRIM($DZ580)))-LEN(SUBSTITUTE(UPPER(TRIM($DZ580)),"E",""))&lt;2,LEN(UPPER(TRIM($DZ580)))-LEN(SUBSTITUTE(UPPER(TRIM($DZ580)),".",""))&lt;2,IFERROR(FIND(".",UPPER(TRIM($DZ580))),0)&lt;IFERROR(FIND("E",UPPER(TRIM($DZ580))),999)),ISNUMBER(VALUE(TRIM($DZ580)))),VALUE(TRIM($DZ580)),"")))),""))</f>
        <v/>
      </c>
      <c r="EB580">
        <f>IF($DM580=0,"",IF($L$18=0,"",IFERROR(IF(UPPER(TRIM(SUBSTITUTE(SUBSTITUTE(SUBSTITUTE(SUBSTITUTE(INDEX(PASTE_ALL,$DF580,$L$18)," "," "),CHAR(9)," "),CHAR(10)," "),CHAR(13)," ")))="READY","Ready",IF(UPPER(TRIM(SUBSTITUTE(SUBSTITUTE(SUBSTITUTE(SUBSTITUTE(INDEX(PASTE_ALL,$DF580,$L$18)," "," "),CHAR(9)," "),CHAR(10)," "),CHAR(13)," ")))="PM","PM",IF(OR(UPPER(TRIM(SUBSTITUTE(SUBSTITUTE(SUBSTITUTE(SUBSTITUTE(INDEX(PASTE_ALL,$DF580,$L$18)," "," "),CHAR(9)," "),CHAR(10)," "),CHAR(13)," ")))="OT",UPPER(TRIM(SUBSTITUTE(SUBSTITUTE(SUBSTITUTE(SUBSTITUTE(INDEX(PASTE_ALL,$DF580,$L$18)," "," "),CHAR(9)," "),CHAR(10)," "),CHAR(13)," ")))="OVERTIME",UPPER(TRIM(SUBSTITUTE(SUBSTITUTE(SUBSTITUTE(SUBSTITUTE(INDEX(PASTE_ALL,$DF580,$L$18)," "," "),CHAR(9)," "),CHAR(10)," "),CHAR(13)," ")))="TRIAL"),"OT",TRIM(SUBSTITUTE(SUBSTITUTE(SUBSTITUTE(SUBSTITUTE(INDEX(PASTE_ALL,$DF580,$L$18)," "," "),CHAR(9)," "),CHAR(10)," "),CHAR(13)," "))))),"")))</f>
        <v/>
      </c>
      <c r="EC580">
        <f>IF($DM580=0,"",IF($L$19=0,"",IFERROR(IF(ISNUMBER(INDEX(PASTE_ALL,$DF580,$L$19)),INDEX(PASTE_ALL,$DF580,$L$19),TRIM(SUBSTITUTE(SUBSTITUTE(SUBSTITUTE(SUBSTITUTE(INDEX(PASTE_ALL,$DF580,$L$19)," "," "),CHAR(9)," "),CHAR(10)," "),CHAR(13)," "))),"")))</f>
        <v/>
      </c>
      <c r="ED580">
        <f>IF($DM580=0,"",MATCH(1,INDEX(EXACT($DH$5:DH580,$DH580)*$DM$5:DM580,0),0))</f>
        <v/>
      </c>
      <c r="EE580">
        <f>IF($DM580=0,0,IF($ED580=$DE580,1,0))</f>
        <v/>
      </c>
      <c r="EF580">
        <f>EF579+$EE580</f>
        <v/>
      </c>
      <c r="EG580">
        <f>IF($DM580=0,"",INDEX($EF$5:$EF$1003,$ED580))</f>
        <v/>
      </c>
      <c r="EH580">
        <f>IF($DM580=0,"",IF($DO580&lt;&gt;"","",IFERROR(LOOKUP(2,1/(($EG$4:EG579=$EG580)*($DO$4:DO579&lt;&gt;"")),$DO$4:DO579),"")))</f>
        <v/>
      </c>
      <c r="EI580">
        <f>IF($DM580=0,"",IF($DO580&lt;&gt;"",$DO580,$EH580))</f>
        <v/>
      </c>
      <c r="EJ580">
        <f>IF($DM580=0,"",IF($EI580="",0,IF(OR(ISNUMBER($EI580),AND(AND(SUBSTITUTE(SUBSTITUTE(SUBSTITUTE(SUBSTITUTE(SUBSTITUTE(SUBSTITUTE(SUBSTITUTE(SUBSTITUTE(SUBSTITUTE(SUBSTITUTE(SUBSTITUTE(SUBSTITUTE(SUBSTITUTE(SUBSTITUTE(UPPER($EI580),"0",""),"1",""),"2",""),"3",""),"4",""),"5",""),"6",""),"7",""),"8",""),"9",""),".",""),"+",""),"-",""),"E","")="",LEN(SUBSTITUTE(SUBSTITUTE(MID(UPPER($EI580),1+OR(LEFT(UPPER($EI580),1)="+",LEFT(UPPER($EI580),1)="-"),999),"E+","E"),"E-","E"))=LEN(SUBSTITUTE(SUBSTITUTE(SUBSTITUTE(SUBSTITUTE(MID(UPPER($EI580),1+OR(LEFT(UPPER($EI580),1)="+",LEFT(UPPER($EI580),1)="-"),999),"E+","E"),"E-","E"),"+",""),"-","")),LEN(UPPER($EI580))-LEN(SUBSTITUTE(UPPER($EI580),"E",""))&lt;2,LEN(UPPER($EI580))-LEN(SUBSTITUTE(UPPER($EI580),".",""))&lt;2,IFERROR(FIND(".",UPPER($EI580)),0)&lt;IFERROR(FIND("E",UPPER($EI580)),999)),ISNUMBER(VALUE($EI580)))),1,2)))</f>
        <v/>
      </c>
      <c r="EK580">
        <f>IF($DM580=0,"",IF($EJ580=1,IF(ISNUMBER($EI580),$EI580,VALUE($EI580)),IF($EJ580=2,$DE580,0)))</f>
        <v/>
      </c>
      <c r="EL580">
        <f>IF($DM580=0,"",COUNTIF($EG$5:$EG$1003,"&lt;"&amp;$EG580)+SUMPRODUCT(($EG$5:$EG$1003=$EG580)*(($EJ$5:$EJ$1003&lt;$EJ580)+($EJ$5:$EJ$1003=$EJ580)*(($EK$5:$EK$1003&lt;$EK580)+($EK$5:$EK$1003=$EK580)*($DE$5:$DE$1003&lt;$DE580))))+1)</f>
        <v/>
      </c>
      <c r="EM580">
        <f>IF($DM580=0,"",$EL580+$EG580-1)</f>
        <v/>
      </c>
      <c r="EN580">
        <f>IF($DM580=0,0,IFERROR(MATCH(1,INDEX(--(TRIM(SUBSTITUTE(SUBSTITUTE(SUBSTITUTE(SUBSTITUTE(LINES_NAME&amp;""," "," "),CHAR(9)," "),CHAR(10)," "),CHAR(13)," "))=$DH580),0),0),0))</f>
        <v/>
      </c>
      <c r="EO580">
        <f>IF($EN580=0,0,IF(OR(UPPER(TRIM(INDEX(LINES_SCHEDULED,$EN580)&amp;""))="YES",UPPER(TRIM(INDEX(LINES_SCHEDULED,$EN580)&amp;""))="Y",UPPER(TRIM(INDEX(LINES_SCHEDULED,$EN580)&amp;""))="X"),1,0))</f>
        <v/>
      </c>
      <c r="EP580">
        <f>IF($DM580=0,"",IF(COUNTIFS($EG$5:$EG$1003,$EG580,$EB$5:$EB$1003,"Ready")&gt;0,"READY",IF(COUNTIFS($EG$5:$EG$1003,$EG580,$EB$5:$EB$1003,"PM")&gt;0,"PM",IF(COUNTIFS($EG$5:$EG$1003,$EG580,$EB$5:$EB$1003,"OT")&gt;0,"OT",""))))</f>
        <v/>
      </c>
      <c r="EQ580">
        <f>IF($EN580=0,"",UPPER(TRIM(INDEX(LINES_STATUS,$EN580)&amp;"")))</f>
        <v/>
      </c>
      <c r="ER580">
        <f>IF($DM580=0,"",IF(OR($EQ580="READY",$EQ580="PM",$EQ580="OT"),$EQ580,$EP580))</f>
        <v/>
      </c>
      <c r="ES580">
        <f>IF($DM580=0,"",IF(AND($DV580&lt;&gt;"",UPPER($DV580)&lt;&gt;"N"),"allergen",IF(ISNUMBER(SEARCH("oil",$DQ580)),"oil",IF(OR(EXACT($DS580,"A662"),EXACT($DS580,"A624")),"bulk",""))))</f>
        <v/>
      </c>
      <c r="ET580">
        <f>IF($DM580=0,"",IF(OR($EA580="",$EA580=0),"",$EA580/100))</f>
        <v/>
      </c>
      <c r="EU580">
        <f>IF(OR($ET580="",$DY580=""),"",INT($DY580*(1-$ET580)+0.5))</f>
        <v/>
      </c>
      <c r="EW580" t="n">
        <v>576</v>
      </c>
      <c r="EX580">
        <f>IFERROR(MATCH($EW580,$EM$5:$EM$1003,0),0)</f>
        <v/>
      </c>
      <c r="EY580">
        <f>IF($EW580&gt;$B$12,"",IF($EX580&gt;0,"row","spacer"))</f>
        <v/>
      </c>
      <c r="EZ580">
        <f>IF(AND($EY580="row",$EY579&lt;&gt;"row"),1,0)</f>
        <v/>
      </c>
      <c r="FA580">
        <f>IF(AND($EY580="row",$EY581&lt;&gt;"row"),1,0)</f>
        <v/>
      </c>
      <c r="FB580">
        <f>IF($EZ580=1,IFERROR(IF(ISNUMBER(INDEX(PASTE_ALL,INDEX($DF$5:$DF$1003,$EX580),$B$37)),INDEX(PASTE_ALL,INDEX($DF$5:$DF$1003,$EX580),$B$37),INDEX($DH$5:$DH$1003,$EX580)),INDEX($DH$5:$DH$1003,$EX580)),"")</f>
        <v/>
      </c>
      <c r="FC580">
        <f>IF($EY580="row",INDEX($ER$5:$ER$1003,$EX580),"")</f>
        <v/>
      </c>
      <c r="FD580">
        <f>IF($EY580="row",INDEX($DN$5:$DN$1003,$EX580),"")</f>
        <v/>
      </c>
      <c r="FE580">
        <f>IF($EY580="row",INDEX($DO$5:$DO$1003,$EX580),"")</f>
        <v/>
      </c>
      <c r="FF580">
        <f>IF($EY580="row",INDEX($DP$5:$DP$1003,$EX580),"")</f>
        <v/>
      </c>
      <c r="FG580">
        <f>IF($EY580="row",INDEX($DQ$5:$DQ$1003,$EX580),"")</f>
        <v/>
      </c>
      <c r="FH580">
        <f>IF($EY580="row",INDEX($DR$5:$DR$1003,$EX580),"")</f>
        <v/>
      </c>
      <c r="FI580">
        <f>IF($EY580="row",INDEX($DS$5:$DS$1003,$EX580),"")</f>
        <v/>
      </c>
      <c r="FJ580">
        <f>IF($EY580="row",INDEX($DT$5:$DT$1003,$EX580),"")</f>
        <v/>
      </c>
      <c r="FK580">
        <f>IF($EY580="row",INDEX($DU$5:$DU$1003,$EX580),"")</f>
        <v/>
      </c>
      <c r="FL580">
        <f>IF($EY580="row",INDEX($DV$5:$DV$1003,$EX580),"")</f>
        <v/>
      </c>
      <c r="FM580">
        <f>IF($EY580="row",INDEX($DW$5:$DW$1003,$EX580),"")</f>
        <v/>
      </c>
      <c r="FN580">
        <f>IF($EY580="row",INDEX($DY$5:$DY$1003,$EX580),"")</f>
        <v/>
      </c>
      <c r="FO580">
        <f>IF($EY580="row",INDEX($EA$5:$EA$1003,$EX580),"")</f>
        <v/>
      </c>
      <c r="FP580">
        <f>IF($EY580="row",INDEX($EC$5:$EC$1003,$EX580),"")</f>
        <v/>
      </c>
      <c r="FQ580">
        <f>IF($EY580="row",INDEX($ET$5:$ET$1003,$EX580),"")</f>
        <v/>
      </c>
      <c r="FR580">
        <f>IF($EY580="row",INDEX($EU$5:$EU$1003,$EX580),"")</f>
        <v/>
      </c>
      <c r="FS580">
        <f>IF(AND($EY580="row",$EY579="row"),IF(OR(INDEX($DT$5:$DT$1003,$EX579)="",INDEX($DT$5:$DT$1003,$EX580)=""),"",IF(NOT(EXACT(INDEX($DT$5:$DT$1003,$EX579),INDEX($DT$5:$DT$1003,$EX580))),"S4",IF(NOT(EXACT(INDEX($DS$5:$DS$1003,$EX579),INDEX($DS$5:$DS$1003,$EX580))),"S3",IF(NOT(EXACT(INDEX($DR$5:$DR$1003,$EX579),INDEX($DR$5:$DR$1003,$EX580))),"S1 Count Change","S1")))),"")</f>
        <v/>
      </c>
      <c r="FT580">
        <f>IF($EY580="row",INDEX($ES$5:$ES$1003,$EX580),"")</f>
        <v/>
      </c>
      <c r="FU580">
        <f>IF($EY580="row",INDEX($EO$5:$EO$1003,$EX580),0)</f>
        <v/>
      </c>
      <c r="FV580">
        <f>IF($FS580="S1 Count Change",1,0)</f>
        <v/>
      </c>
    </row>
    <row r="581">
      <c r="DA581" t="n">
        <v>577</v>
      </c>
      <c r="DB581">
        <f>IF($B$37=0,"",IFERROR(TRIM(SUBSTITUTE(SUBSTITUTE(SUBSTITUTE(SUBSTITUTE(INDEX(PASTE_ALL,577,$B$37)," "," "),CHAR(9)," "),CHAR(10)," "),CHAR(13)," ")),""))</f>
        <v/>
      </c>
      <c r="DC581">
        <f>IF(AND(577&gt;HEADER_ROW,UPPER(DB581)="LEGEND"),1,0)</f>
        <v/>
      </c>
      <c r="DE581" t="n">
        <v>577</v>
      </c>
      <c r="DF581">
        <f>HEADER_ROW+$DE581</f>
        <v/>
      </c>
      <c r="DG581">
        <f>IF(AND($DF581&lt;=1000,$DF581&lt;$B$8),1,0)</f>
        <v/>
      </c>
      <c r="DH581">
        <f>IF($DG581=1,IFERROR(INDEX($DB$5:$DB$1004,$DF581),""),"")</f>
        <v/>
      </c>
      <c r="DI581">
        <f>IF(AND($DG581=1,$DH581&lt;&gt;""),IFERROR(SUBSTITUTE(SUBSTITUTE(TRIM(SUBSTITUTE(SUBSTITUTE(SUBSTITUTE(SUBSTITUTE(IFERROR(INDEX(PASTE_ALL,$DF581,1)&amp;"","")&amp;"␟"&amp;IFERROR(INDEX(PASTE_ALL,$DF581,2)&amp;"","")&amp;"␟"&amp;IFERROR(INDEX(PASTE_ALL,$DF581,3)&amp;"","")&amp;"␟"&amp;IFERROR(INDEX(PASTE_ALL,$DF581,4)&amp;"","")&amp;"␟"&amp;IFERROR(INDEX(PASTE_ALL,$DF581,5)&amp;"","")&amp;"␟"&amp;IFERROR(INDEX(PASTE_ALL,$DF581,6)&amp;"","")&amp;"␟"&amp;IFERROR(INDEX(PASTE_ALL,$DF581,7)&amp;"","")&amp;"␟"&amp;IFERROR(INDEX(PASTE_ALL,$DF581,8)&amp;"","")&amp;"␟"&amp;IFERROR(INDEX(PASTE_ALL,$DF581,9)&amp;"","")&amp;"␟"&amp;IFERROR(INDEX(PASTE_ALL,$DF581,10)&amp;"","")&amp;"␟"&amp;IFERROR(INDEX(PASTE_ALL,$DF581,11)&amp;"","")&amp;"␟"&amp;IFERROR(INDEX(PASTE_ALL,$DF581,12)&amp;"","")&amp;"␟"&amp;IFERROR(INDEX(PASTE_ALL,$DF581,13)&amp;"","")&amp;"␟"&amp;IFERROR(INDEX(PASTE_ALL,$DF581,14)&amp;"","")&amp;"␟"&amp;IFERROR(INDEX(PASTE_ALL,$DF581,15)&amp;"","")&amp;"␟"&amp;IFERROR(INDEX(PASTE_ALL,$DF581,16)&amp;"","")&amp;"␟"&amp;IFERROR(INDEX(PASTE_ALL,$DF581,17)&amp;"","")&amp;"␟"&amp;IFERROR(INDEX(PASTE_ALL,$DF581,18)&amp;"","")&amp;"␟"&amp;IFERROR(INDEX(PASTE_ALL,$DF581,19)&amp;"","")&amp;"␟"&amp;IFERROR(INDEX(PASTE_ALL,$DF581,20)&amp;"","")&amp;"␟"&amp;IFERROR(INDEX(PASTE_ALL,$DF581,21)&amp;"","")&amp;"␟"&amp;IFERROR(INDEX(PASTE_ALL,$DF581,22)&amp;"","")&amp;"␟"&amp;IFERROR(INDEX(PASTE_ALL,$DF581,23)&amp;"","")&amp;"␟"&amp;IFERROR(INDEX(PASTE_ALL,$DF581,24)&amp;"","")&amp;"␟"&amp;IFERROR(INDEX(PASTE_ALL,$DF581,25)&amp;"","")&amp;"␟"&amp;IFERROR(INDEX(PASTE_ALL,$DF581,26)&amp;"","")&amp;"␟"&amp;IFERROR(INDEX(PASTE_ALL,$DF581,27)&amp;"","")&amp;"␟"&amp;IFERROR(INDEX(PASTE_ALL,$DF581,28)&amp;"","")&amp;"␟"&amp;IFERROR(INDEX(PASTE_ALL,$DF581,29)&amp;"","")&amp;"␟"&amp;IFERROR(INDEX(PASTE_ALL,$DF581,30)&amp;"","")&amp;"␟"&amp;IFERROR(INDEX(PASTE_ALL,$DF581,31)&amp;"","")&amp;"␟"&amp;IFERROR(INDEX(PASTE_ALL,$DF581,32)&amp;"","")&amp;"␟"&amp;IFERROR(INDEX(PASTE_ALL,$DF581,33)&amp;"","")&amp;"␟"&amp;IFERROR(INDEX(PASTE_ALL,$DF581,34)&amp;"","")&amp;"␟"&amp;IFERROR(INDEX(PASTE_ALL,$DF581,35)&amp;"","")&amp;"␟"&amp;IFERROR(INDEX(PASTE_ALL,$DF581,36)&amp;"","")&amp;"␟"&amp;IFERROR(INDEX(PASTE_ALL,$DF581,37)&amp;"","")&amp;"␟"&amp;IFERROR(INDEX(PASTE_ALL,$DF581,38)&amp;"","")&amp;"␟"&amp;IFERROR(INDEX(PASTE_ALL,$DF581,39)&amp;"","")&amp;"␟"&amp;IFERROR(INDEX(PASTE_ALL,$DF581,40)&amp;"","")&amp;"␟"&amp;IFERROR(INDEX(PASTE_ALL,$DF581,41)&amp;"","")&amp;"␟"&amp;IFERROR(INDEX(PASTE_ALL,$DF581,42)&amp;"","")&amp;"␟"&amp;IFERROR(INDEX(PASTE_ALL,$DF581,43)&amp;"","")&amp;"␟"&amp;IFERROR(INDEX(PASTE_ALL,$DF581,44)&amp;"","")&amp;"␟"&amp;IFERROR(INDEX(PASTE_ALL,$DF581,45)&amp;"","")&amp;"␟"&amp;IFERROR(INDEX(PASTE_ALL,$DF581,46)&amp;"","")&amp;"␟"&amp;IFERROR(INDEX(PASTE_ALL,$DF581,47)&amp;"","")&amp;"␟"&amp;IFERROR(INDEX(PASTE_ALL,$DF581,48)&amp;"","")&amp;"␟"&amp;IFERROR(INDEX(PASTE_ALL,$DF581,49)&amp;"","")&amp;"␟"&amp;IFERROR(INDEX(PASTE_ALL,$DF581,50)&amp;"","")&amp;"␟"&amp;IFERROR(INDEX(PASTE_ALL,$DF581,51)&amp;"","")&amp;"␟"&amp;IFERROR(INDEX(PASTE_ALL,$DF581,52)&amp;"","")&amp;"␟"&amp;IFERROR(INDEX(PASTE_ALL,$DF581,53)&amp;"","")&amp;"␟"&amp;IFERROR(INDEX(PASTE_ALL,$DF581,54)&amp;"","")&amp;"␟"&amp;IFERROR(INDEX(PASTE_ALL,$DF581,55)&amp;"","")&amp;"␟"&amp;IFERROR(INDEX(PASTE_ALL,$DF581,56)&amp;"","")&amp;"␟"&amp;IFERROR(INDEX(PASTE_ALL,$DF581,57)&amp;"","")&amp;"␟"&amp;IFERROR(INDEX(PASTE_ALL,$DF581,58)&amp;"","")&amp;"␟"&amp;IFERROR(INDEX(PASTE_ALL,$DF581,59)&amp;"","")&amp;"␟"&amp;IFERROR(INDEX(PASTE_ALL,$DF581,60)&amp;"","")," "," "),CHAR(9)," "),CHAR(10)," "),CHAR(13)," "))," ␟","␟"),"␟ ","␟"),"#"&amp;$DE581),"")</f>
        <v/>
      </c>
      <c r="DJ581">
        <f>IF($DI581="",0,IF(SUMPRODUCT(--EXACT($DI$4:DI580,$DI581))&gt;0,1,0))</f>
        <v/>
      </c>
      <c r="DK581">
        <f>IF(AND($DI581&lt;&gt;"",$DJ581=0),1,0)</f>
        <v/>
      </c>
      <c r="DL581">
        <f>DL580+$DK581</f>
        <v/>
      </c>
      <c r="DM581">
        <f>IF(AND($DK581=1,$DL581&lt;=600),1,0)</f>
        <v/>
      </c>
      <c r="DN581">
        <f>IF($DM581=0,"",IF($L$6=0,"",IFERROR(IF(ISNUMBER(INDEX(PASTE_ALL,$DF581,$L$6)),INDEX(PASTE_ALL,$DF581,$L$6),TRIM(SUBSTITUTE(SUBSTITUTE(SUBSTITUTE(SUBSTITUTE(INDEX(PASTE_ALL,$DF581,$L$6)," "," "),CHAR(9)," "),CHAR(10)," "),CHAR(13)," "))),"")))</f>
        <v/>
      </c>
      <c r="DO581">
        <f>IF($DM581=0,"",IF($L$7=0,"",IFERROR(IF(ISNUMBER(INDEX(PASTE_ALL,$DF581,$L$7)),INDEX(PASTE_ALL,$DF581,$L$7),TRIM(SUBSTITUTE(SUBSTITUTE(SUBSTITUTE(SUBSTITUTE(INDEX(PASTE_ALL,$DF581,$L$7)," "," "),CHAR(9)," "),CHAR(10)," "),CHAR(13)," "))),"")))</f>
        <v/>
      </c>
      <c r="DP581">
        <f>IF($DM581=0,"",IF($L$8=0,"",IFERROR(IF(ISNUMBER(INDEX(PASTE_ALL,$DF581,$L$8)),INDEX(PASTE_ALL,$DF581,$L$8),TRIM(SUBSTITUTE(SUBSTITUTE(SUBSTITUTE(SUBSTITUTE(INDEX(PASTE_ALL,$DF581,$L$8)," "," "),CHAR(9)," "),CHAR(10)," "),CHAR(13)," "))),"")))</f>
        <v/>
      </c>
      <c r="DQ581">
        <f>IF($DM581=0,"",IF($L$9=0,"",IFERROR(IF(ISNUMBER(INDEX(PASTE_ALL,$DF581,$L$9)),INDEX(PASTE_ALL,$DF581,$L$9),TRIM(SUBSTITUTE(SUBSTITUTE(SUBSTITUTE(SUBSTITUTE(INDEX(PASTE_ALL,$DF581,$L$9)," "," "),CHAR(9)," "),CHAR(10)," "),CHAR(13)," "))),"")))</f>
        <v/>
      </c>
      <c r="DR581">
        <f>IF($DM581=0,"",IF($L$10=0,"",IFERROR(IF(ISNUMBER(INDEX(PASTE_ALL,$DF581,$L$10)),INDEX(PASTE_ALL,$DF581,$L$10),TRIM(SUBSTITUTE(SUBSTITUTE(SUBSTITUTE(SUBSTITUTE(INDEX(PASTE_ALL,$DF581,$L$10)," "," "),CHAR(9)," "),CHAR(10)," "),CHAR(13)," "))),"")))</f>
        <v/>
      </c>
      <c r="DS581">
        <f>IF($DM581=0,"",IF($L$11=0,"",IFERROR(IF(ISNUMBER(INDEX(PASTE_ALL,$DF581,$L$11)),INDEX(PASTE_ALL,$DF581,$L$11),TRIM(SUBSTITUTE(SUBSTITUTE(SUBSTITUTE(SUBSTITUTE(INDEX(PASTE_ALL,$DF581,$L$11)," "," "),CHAR(9)," "),CHAR(10)," "),CHAR(13)," "))),"")))</f>
        <v/>
      </c>
      <c r="DT581">
        <f>IF($DM581=0,"",IF($L$12=0,"",IFERROR(IF(ISNUMBER(INDEX(PASTE_ALL,$DF581,$L$12)),INDEX(PASTE_ALL,$DF581,$L$12),TRIM(SUBSTITUTE(SUBSTITUTE(SUBSTITUTE(SUBSTITUTE(INDEX(PASTE_ALL,$DF581,$L$12)," "," "),CHAR(9)," "),CHAR(10)," "),CHAR(13)," "))),"")))</f>
        <v/>
      </c>
      <c r="DU581">
        <f>IF($DM581=0,"",IF($L$13=0,"",IFERROR(IF(ISNUMBER(INDEX(PASTE_ALL,$DF581,$L$13)),INDEX(PASTE_ALL,$DF581,$L$13),TRIM(SUBSTITUTE(SUBSTITUTE(SUBSTITUTE(SUBSTITUTE(INDEX(PASTE_ALL,$DF581,$L$13)," "," "),CHAR(9)," "),CHAR(10)," "),CHAR(13)," "))),"")))</f>
        <v/>
      </c>
      <c r="DV581">
        <f>IF($DM581=0,"",IF($L$14=0,"",IFERROR(IF(ISNUMBER(INDEX(PASTE_ALL,$DF581,$L$14)),INDEX(PASTE_ALL,$DF581,$L$14),TRIM(SUBSTITUTE(SUBSTITUTE(SUBSTITUTE(SUBSTITUTE(INDEX(PASTE_ALL,$DF581,$L$14)," "," "),CHAR(9)," "),CHAR(10)," "),CHAR(13)," "))),"")))</f>
        <v/>
      </c>
      <c r="DW581">
        <f>IF($DM581=0,"",IF($L$15=0,"",IFERROR(IF(ISNUMBER(INDEX(PASTE_ALL,$DF581,$L$15)),INDEX(PASTE_ALL,$DF581,$L$15),IF(SUMPRODUCT(--ISNUMBER(FIND({"A","B","C","D","E","F","G","H","I","J","K","L","M","N","O","P","Q","R","S","T","U","V","W","X","Y","Z","0","1","2","3","4","5","6","7","8","9"},UPPER(TRIM(SUBSTITUTE(SUBSTITUTE(SUBSTITUTE(SUBSTITUTE(INDEX(PASTE_ALL,$DF581,$L$15)," "," "),CHAR(9)," "),CHAR(10)," "),CHAR(13)," "))))))&gt;0,TRIM(SUBSTITUTE(SUBSTITUTE(SUBSTITUTE(SUBSTITUTE(INDEX(PASTE_ALL,$DF581,$L$15)," "," "),CHAR(9)," "),CHAR(10)," "),CHAR(13)," ")),"")),"")))</f>
        <v/>
      </c>
      <c r="DX581">
        <f>IF($DM581=0,"",IF($L$16=0,"",IFERROR(IF(ISNUMBER(INDEX(PASTE_ALL,$DF581,$L$16)),INDEX(PASTE_ALL,$DF581,$L$16),SUBSTITUTE(SUBSTITUTE(TRIM(SUBSTITUTE(SUBSTITUTE(SUBSTITUTE(SUBSTITUTE(INDEX(PASTE_ALL,$DF581,$L$16)," "," "),CHAR(9)," "),CHAR(10)," "),CHAR(13)," ")),",",""),"%","")),"")))</f>
        <v/>
      </c>
      <c r="DY581">
        <f>IF($DM581=0,"",IFERROR(IF(ISNUMBER($DX581),$DX581,IF($DX581="","",IF(TRIM($DX581)="",0,IF(AND(AND(SUBSTITUTE(SUBSTITUTE(SUBSTITUTE(SUBSTITUTE(SUBSTITUTE(SUBSTITUTE(SUBSTITUTE(SUBSTITUTE(SUBSTITUTE(SUBSTITUTE(SUBSTITUTE(SUBSTITUTE(SUBSTITUTE(SUBSTITUTE(UPPER(TRIM($DX581)),"0",""),"1",""),"2",""),"3",""),"4",""),"5",""),"6",""),"7",""),"8",""),"9",""),".",""),"+",""),"-",""),"E","")="",LEN(SUBSTITUTE(SUBSTITUTE(MID(UPPER(TRIM($DX581)),1+OR(LEFT(UPPER(TRIM($DX581)),1)="+",LEFT(UPPER(TRIM($DX581)),1)="-"),999),"E+","E"),"E-","E"))=LEN(SUBSTITUTE(SUBSTITUTE(SUBSTITUTE(SUBSTITUTE(MID(UPPER(TRIM($DX581)),1+OR(LEFT(UPPER(TRIM($DX581)),1)="+",LEFT(UPPER(TRIM($DX581)),1)="-"),999),"E+","E"),"E-","E"),"+",""),"-","")),LEN(UPPER(TRIM($DX581)))-LEN(SUBSTITUTE(UPPER(TRIM($DX581)),"E",""))&lt;2,LEN(UPPER(TRIM($DX581)))-LEN(SUBSTITUTE(UPPER(TRIM($DX581)),".",""))&lt;2,IFERROR(FIND(".",UPPER(TRIM($DX581))),0)&lt;IFERROR(FIND("E",UPPER(TRIM($DX581))),999)),ISNUMBER(VALUE(TRIM($DX581)))),VALUE(TRIM($DX581)),"")))),""))</f>
        <v/>
      </c>
      <c r="DZ581">
        <f>IF($DM581=0,"",IF($L$17=0,"",IFERROR(IF(ISNUMBER(INDEX(PASTE_ALL,$DF581,$L$17)),INDEX(PASTE_ALL,$DF581,$L$17),SUBSTITUTE(SUBSTITUTE(TRIM(SUBSTITUTE(SUBSTITUTE(SUBSTITUTE(SUBSTITUTE(INDEX(PASTE_ALL,$DF581,$L$17)," "," "),CHAR(9)," "),CHAR(10)," "),CHAR(13)," ")),",",""),"%","")),"")))</f>
        <v/>
      </c>
      <c r="EA581">
        <f>IF($DM581=0,"",IFERROR(IF(ISNUMBER($DZ581),$DZ581,IF($DZ581="","",IF(TRIM($DZ581)="",0,IF(AND(AND(SUBSTITUTE(SUBSTITUTE(SUBSTITUTE(SUBSTITUTE(SUBSTITUTE(SUBSTITUTE(SUBSTITUTE(SUBSTITUTE(SUBSTITUTE(SUBSTITUTE(SUBSTITUTE(SUBSTITUTE(SUBSTITUTE(SUBSTITUTE(UPPER(TRIM($DZ581)),"0",""),"1",""),"2",""),"3",""),"4",""),"5",""),"6",""),"7",""),"8",""),"9",""),".",""),"+",""),"-",""),"E","")="",LEN(SUBSTITUTE(SUBSTITUTE(MID(UPPER(TRIM($DZ581)),1+OR(LEFT(UPPER(TRIM($DZ581)),1)="+",LEFT(UPPER(TRIM($DZ581)),1)="-"),999),"E+","E"),"E-","E"))=LEN(SUBSTITUTE(SUBSTITUTE(SUBSTITUTE(SUBSTITUTE(MID(UPPER(TRIM($DZ581)),1+OR(LEFT(UPPER(TRIM($DZ581)),1)="+",LEFT(UPPER(TRIM($DZ581)),1)="-"),999),"E+","E"),"E-","E"),"+",""),"-","")),LEN(UPPER(TRIM($DZ581)))-LEN(SUBSTITUTE(UPPER(TRIM($DZ581)),"E",""))&lt;2,LEN(UPPER(TRIM($DZ581)))-LEN(SUBSTITUTE(UPPER(TRIM($DZ581)),".",""))&lt;2,IFERROR(FIND(".",UPPER(TRIM($DZ581))),0)&lt;IFERROR(FIND("E",UPPER(TRIM($DZ581))),999)),ISNUMBER(VALUE(TRIM($DZ581)))),VALUE(TRIM($DZ581)),"")))),""))</f>
        <v/>
      </c>
      <c r="EB581">
        <f>IF($DM581=0,"",IF($L$18=0,"",IFERROR(IF(UPPER(TRIM(SUBSTITUTE(SUBSTITUTE(SUBSTITUTE(SUBSTITUTE(INDEX(PASTE_ALL,$DF581,$L$18)," "," "),CHAR(9)," "),CHAR(10)," "),CHAR(13)," ")))="READY","Ready",IF(UPPER(TRIM(SUBSTITUTE(SUBSTITUTE(SUBSTITUTE(SUBSTITUTE(INDEX(PASTE_ALL,$DF581,$L$18)," "," "),CHAR(9)," "),CHAR(10)," "),CHAR(13)," ")))="PM","PM",IF(OR(UPPER(TRIM(SUBSTITUTE(SUBSTITUTE(SUBSTITUTE(SUBSTITUTE(INDEX(PASTE_ALL,$DF581,$L$18)," "," "),CHAR(9)," "),CHAR(10)," "),CHAR(13)," ")))="OT",UPPER(TRIM(SUBSTITUTE(SUBSTITUTE(SUBSTITUTE(SUBSTITUTE(INDEX(PASTE_ALL,$DF581,$L$18)," "," "),CHAR(9)," "),CHAR(10)," "),CHAR(13)," ")))="OVERTIME",UPPER(TRIM(SUBSTITUTE(SUBSTITUTE(SUBSTITUTE(SUBSTITUTE(INDEX(PASTE_ALL,$DF581,$L$18)," "," "),CHAR(9)," "),CHAR(10)," "),CHAR(13)," ")))="TRIAL"),"OT",TRIM(SUBSTITUTE(SUBSTITUTE(SUBSTITUTE(SUBSTITUTE(INDEX(PASTE_ALL,$DF581,$L$18)," "," "),CHAR(9)," "),CHAR(10)," "),CHAR(13)," "))))),"")))</f>
        <v/>
      </c>
      <c r="EC581">
        <f>IF($DM581=0,"",IF($L$19=0,"",IFERROR(IF(ISNUMBER(INDEX(PASTE_ALL,$DF581,$L$19)),INDEX(PASTE_ALL,$DF581,$L$19),TRIM(SUBSTITUTE(SUBSTITUTE(SUBSTITUTE(SUBSTITUTE(INDEX(PASTE_ALL,$DF581,$L$19)," "," "),CHAR(9)," "),CHAR(10)," "),CHAR(13)," "))),"")))</f>
        <v/>
      </c>
      <c r="ED581">
        <f>IF($DM581=0,"",MATCH(1,INDEX(EXACT($DH$5:DH581,$DH581)*$DM$5:DM581,0),0))</f>
        <v/>
      </c>
      <c r="EE581">
        <f>IF($DM581=0,0,IF($ED581=$DE581,1,0))</f>
        <v/>
      </c>
      <c r="EF581">
        <f>EF580+$EE581</f>
        <v/>
      </c>
      <c r="EG581">
        <f>IF($DM581=0,"",INDEX($EF$5:$EF$1003,$ED581))</f>
        <v/>
      </c>
      <c r="EH581">
        <f>IF($DM581=0,"",IF($DO581&lt;&gt;"","",IFERROR(LOOKUP(2,1/(($EG$4:EG580=$EG581)*($DO$4:DO580&lt;&gt;"")),$DO$4:DO580),"")))</f>
        <v/>
      </c>
      <c r="EI581">
        <f>IF($DM581=0,"",IF($DO581&lt;&gt;"",$DO581,$EH581))</f>
        <v/>
      </c>
      <c r="EJ581">
        <f>IF($DM581=0,"",IF($EI581="",0,IF(OR(ISNUMBER($EI581),AND(AND(SUBSTITUTE(SUBSTITUTE(SUBSTITUTE(SUBSTITUTE(SUBSTITUTE(SUBSTITUTE(SUBSTITUTE(SUBSTITUTE(SUBSTITUTE(SUBSTITUTE(SUBSTITUTE(SUBSTITUTE(SUBSTITUTE(SUBSTITUTE(UPPER($EI581),"0",""),"1",""),"2",""),"3",""),"4",""),"5",""),"6",""),"7",""),"8",""),"9",""),".",""),"+",""),"-",""),"E","")="",LEN(SUBSTITUTE(SUBSTITUTE(MID(UPPER($EI581),1+OR(LEFT(UPPER($EI581),1)="+",LEFT(UPPER($EI581),1)="-"),999),"E+","E"),"E-","E"))=LEN(SUBSTITUTE(SUBSTITUTE(SUBSTITUTE(SUBSTITUTE(MID(UPPER($EI581),1+OR(LEFT(UPPER($EI581),1)="+",LEFT(UPPER($EI581),1)="-"),999),"E+","E"),"E-","E"),"+",""),"-","")),LEN(UPPER($EI581))-LEN(SUBSTITUTE(UPPER($EI581),"E",""))&lt;2,LEN(UPPER($EI581))-LEN(SUBSTITUTE(UPPER($EI581),".",""))&lt;2,IFERROR(FIND(".",UPPER($EI581)),0)&lt;IFERROR(FIND("E",UPPER($EI581)),999)),ISNUMBER(VALUE($EI581)))),1,2)))</f>
        <v/>
      </c>
      <c r="EK581">
        <f>IF($DM581=0,"",IF($EJ581=1,IF(ISNUMBER($EI581),$EI581,VALUE($EI581)),IF($EJ581=2,$DE581,0)))</f>
        <v/>
      </c>
      <c r="EL581">
        <f>IF($DM581=0,"",COUNTIF($EG$5:$EG$1003,"&lt;"&amp;$EG581)+SUMPRODUCT(($EG$5:$EG$1003=$EG581)*(($EJ$5:$EJ$1003&lt;$EJ581)+($EJ$5:$EJ$1003=$EJ581)*(($EK$5:$EK$1003&lt;$EK581)+($EK$5:$EK$1003=$EK581)*($DE$5:$DE$1003&lt;$DE581))))+1)</f>
        <v/>
      </c>
      <c r="EM581">
        <f>IF($DM581=0,"",$EL581+$EG581-1)</f>
        <v/>
      </c>
      <c r="EN581">
        <f>IF($DM581=0,0,IFERROR(MATCH(1,INDEX(--(TRIM(SUBSTITUTE(SUBSTITUTE(SUBSTITUTE(SUBSTITUTE(LINES_NAME&amp;""," "," "),CHAR(9)," "),CHAR(10)," "),CHAR(13)," "))=$DH581),0),0),0))</f>
        <v/>
      </c>
      <c r="EO581">
        <f>IF($EN581=0,0,IF(OR(UPPER(TRIM(INDEX(LINES_SCHEDULED,$EN581)&amp;""))="YES",UPPER(TRIM(INDEX(LINES_SCHEDULED,$EN581)&amp;""))="Y",UPPER(TRIM(INDEX(LINES_SCHEDULED,$EN581)&amp;""))="X"),1,0))</f>
        <v/>
      </c>
      <c r="EP581">
        <f>IF($DM581=0,"",IF(COUNTIFS($EG$5:$EG$1003,$EG581,$EB$5:$EB$1003,"Ready")&gt;0,"READY",IF(COUNTIFS($EG$5:$EG$1003,$EG581,$EB$5:$EB$1003,"PM")&gt;0,"PM",IF(COUNTIFS($EG$5:$EG$1003,$EG581,$EB$5:$EB$1003,"OT")&gt;0,"OT",""))))</f>
        <v/>
      </c>
      <c r="EQ581">
        <f>IF($EN581=0,"",UPPER(TRIM(INDEX(LINES_STATUS,$EN581)&amp;"")))</f>
        <v/>
      </c>
      <c r="ER581">
        <f>IF($DM581=0,"",IF(OR($EQ581="READY",$EQ581="PM",$EQ581="OT"),$EQ581,$EP581))</f>
        <v/>
      </c>
      <c r="ES581">
        <f>IF($DM581=0,"",IF(AND($DV581&lt;&gt;"",UPPER($DV581)&lt;&gt;"N"),"allergen",IF(ISNUMBER(SEARCH("oil",$DQ581)),"oil",IF(OR(EXACT($DS581,"A662"),EXACT($DS581,"A624")),"bulk",""))))</f>
        <v/>
      </c>
      <c r="ET581">
        <f>IF($DM581=0,"",IF(OR($EA581="",$EA581=0),"",$EA581/100))</f>
        <v/>
      </c>
      <c r="EU581">
        <f>IF(OR($ET581="",$DY581=""),"",INT($DY581*(1-$ET581)+0.5))</f>
        <v/>
      </c>
      <c r="EW581" t="n">
        <v>577</v>
      </c>
      <c r="EX581">
        <f>IFERROR(MATCH($EW581,$EM$5:$EM$1003,0),0)</f>
        <v/>
      </c>
      <c r="EY581">
        <f>IF($EW581&gt;$B$12,"",IF($EX581&gt;0,"row","spacer"))</f>
        <v/>
      </c>
      <c r="EZ581">
        <f>IF(AND($EY581="row",$EY580&lt;&gt;"row"),1,0)</f>
        <v/>
      </c>
      <c r="FA581">
        <f>IF(AND($EY581="row",$EY582&lt;&gt;"row"),1,0)</f>
        <v/>
      </c>
      <c r="FB581">
        <f>IF($EZ581=1,IFERROR(IF(ISNUMBER(INDEX(PASTE_ALL,INDEX($DF$5:$DF$1003,$EX581),$B$37)),INDEX(PASTE_ALL,INDEX($DF$5:$DF$1003,$EX581),$B$37),INDEX($DH$5:$DH$1003,$EX581)),INDEX($DH$5:$DH$1003,$EX581)),"")</f>
        <v/>
      </c>
      <c r="FC581">
        <f>IF($EY581="row",INDEX($ER$5:$ER$1003,$EX581),"")</f>
        <v/>
      </c>
      <c r="FD581">
        <f>IF($EY581="row",INDEX($DN$5:$DN$1003,$EX581),"")</f>
        <v/>
      </c>
      <c r="FE581">
        <f>IF($EY581="row",INDEX($DO$5:$DO$1003,$EX581),"")</f>
        <v/>
      </c>
      <c r="FF581">
        <f>IF($EY581="row",INDEX($DP$5:$DP$1003,$EX581),"")</f>
        <v/>
      </c>
      <c r="FG581">
        <f>IF($EY581="row",INDEX($DQ$5:$DQ$1003,$EX581),"")</f>
        <v/>
      </c>
      <c r="FH581">
        <f>IF($EY581="row",INDEX($DR$5:$DR$1003,$EX581),"")</f>
        <v/>
      </c>
      <c r="FI581">
        <f>IF($EY581="row",INDEX($DS$5:$DS$1003,$EX581),"")</f>
        <v/>
      </c>
      <c r="FJ581">
        <f>IF($EY581="row",INDEX($DT$5:$DT$1003,$EX581),"")</f>
        <v/>
      </c>
      <c r="FK581">
        <f>IF($EY581="row",INDEX($DU$5:$DU$1003,$EX581),"")</f>
        <v/>
      </c>
      <c r="FL581">
        <f>IF($EY581="row",INDEX($DV$5:$DV$1003,$EX581),"")</f>
        <v/>
      </c>
      <c r="FM581">
        <f>IF($EY581="row",INDEX($DW$5:$DW$1003,$EX581),"")</f>
        <v/>
      </c>
      <c r="FN581">
        <f>IF($EY581="row",INDEX($DY$5:$DY$1003,$EX581),"")</f>
        <v/>
      </c>
      <c r="FO581">
        <f>IF($EY581="row",INDEX($EA$5:$EA$1003,$EX581),"")</f>
        <v/>
      </c>
      <c r="FP581">
        <f>IF($EY581="row",INDEX($EC$5:$EC$1003,$EX581),"")</f>
        <v/>
      </c>
      <c r="FQ581">
        <f>IF($EY581="row",INDEX($ET$5:$ET$1003,$EX581),"")</f>
        <v/>
      </c>
      <c r="FR581">
        <f>IF($EY581="row",INDEX($EU$5:$EU$1003,$EX581),"")</f>
        <v/>
      </c>
      <c r="FS581">
        <f>IF(AND($EY581="row",$EY580="row"),IF(OR(INDEX($DT$5:$DT$1003,$EX580)="",INDEX($DT$5:$DT$1003,$EX581)=""),"",IF(NOT(EXACT(INDEX($DT$5:$DT$1003,$EX580),INDEX($DT$5:$DT$1003,$EX581))),"S4",IF(NOT(EXACT(INDEX($DS$5:$DS$1003,$EX580),INDEX($DS$5:$DS$1003,$EX581))),"S3",IF(NOT(EXACT(INDEX($DR$5:$DR$1003,$EX580),INDEX($DR$5:$DR$1003,$EX581))),"S1 Count Change","S1")))),"")</f>
        <v/>
      </c>
      <c r="FT581">
        <f>IF($EY581="row",INDEX($ES$5:$ES$1003,$EX581),"")</f>
        <v/>
      </c>
      <c r="FU581">
        <f>IF($EY581="row",INDEX($EO$5:$EO$1003,$EX581),0)</f>
        <v/>
      </c>
      <c r="FV581">
        <f>IF($FS581="S1 Count Change",1,0)</f>
        <v/>
      </c>
    </row>
    <row r="582">
      <c r="DA582" t="n">
        <v>578</v>
      </c>
      <c r="DB582">
        <f>IF($B$37=0,"",IFERROR(TRIM(SUBSTITUTE(SUBSTITUTE(SUBSTITUTE(SUBSTITUTE(INDEX(PASTE_ALL,578,$B$37)," "," "),CHAR(9)," "),CHAR(10)," "),CHAR(13)," ")),""))</f>
        <v/>
      </c>
      <c r="DC582">
        <f>IF(AND(578&gt;HEADER_ROW,UPPER(DB582)="LEGEND"),1,0)</f>
        <v/>
      </c>
      <c r="DE582" t="n">
        <v>578</v>
      </c>
      <c r="DF582">
        <f>HEADER_ROW+$DE582</f>
        <v/>
      </c>
      <c r="DG582">
        <f>IF(AND($DF582&lt;=1000,$DF582&lt;$B$8),1,0)</f>
        <v/>
      </c>
      <c r="DH582">
        <f>IF($DG582=1,IFERROR(INDEX($DB$5:$DB$1004,$DF582),""),"")</f>
        <v/>
      </c>
      <c r="DI582">
        <f>IF(AND($DG582=1,$DH582&lt;&gt;""),IFERROR(SUBSTITUTE(SUBSTITUTE(TRIM(SUBSTITUTE(SUBSTITUTE(SUBSTITUTE(SUBSTITUTE(IFERROR(INDEX(PASTE_ALL,$DF582,1)&amp;"","")&amp;"␟"&amp;IFERROR(INDEX(PASTE_ALL,$DF582,2)&amp;"","")&amp;"␟"&amp;IFERROR(INDEX(PASTE_ALL,$DF582,3)&amp;"","")&amp;"␟"&amp;IFERROR(INDEX(PASTE_ALL,$DF582,4)&amp;"","")&amp;"␟"&amp;IFERROR(INDEX(PASTE_ALL,$DF582,5)&amp;"","")&amp;"␟"&amp;IFERROR(INDEX(PASTE_ALL,$DF582,6)&amp;"","")&amp;"␟"&amp;IFERROR(INDEX(PASTE_ALL,$DF582,7)&amp;"","")&amp;"␟"&amp;IFERROR(INDEX(PASTE_ALL,$DF582,8)&amp;"","")&amp;"␟"&amp;IFERROR(INDEX(PASTE_ALL,$DF582,9)&amp;"","")&amp;"␟"&amp;IFERROR(INDEX(PASTE_ALL,$DF582,10)&amp;"","")&amp;"␟"&amp;IFERROR(INDEX(PASTE_ALL,$DF582,11)&amp;"","")&amp;"␟"&amp;IFERROR(INDEX(PASTE_ALL,$DF582,12)&amp;"","")&amp;"␟"&amp;IFERROR(INDEX(PASTE_ALL,$DF582,13)&amp;"","")&amp;"␟"&amp;IFERROR(INDEX(PASTE_ALL,$DF582,14)&amp;"","")&amp;"␟"&amp;IFERROR(INDEX(PASTE_ALL,$DF582,15)&amp;"","")&amp;"␟"&amp;IFERROR(INDEX(PASTE_ALL,$DF582,16)&amp;"","")&amp;"␟"&amp;IFERROR(INDEX(PASTE_ALL,$DF582,17)&amp;"","")&amp;"␟"&amp;IFERROR(INDEX(PASTE_ALL,$DF582,18)&amp;"","")&amp;"␟"&amp;IFERROR(INDEX(PASTE_ALL,$DF582,19)&amp;"","")&amp;"␟"&amp;IFERROR(INDEX(PASTE_ALL,$DF582,20)&amp;"","")&amp;"␟"&amp;IFERROR(INDEX(PASTE_ALL,$DF582,21)&amp;"","")&amp;"␟"&amp;IFERROR(INDEX(PASTE_ALL,$DF582,22)&amp;"","")&amp;"␟"&amp;IFERROR(INDEX(PASTE_ALL,$DF582,23)&amp;"","")&amp;"␟"&amp;IFERROR(INDEX(PASTE_ALL,$DF582,24)&amp;"","")&amp;"␟"&amp;IFERROR(INDEX(PASTE_ALL,$DF582,25)&amp;"","")&amp;"␟"&amp;IFERROR(INDEX(PASTE_ALL,$DF582,26)&amp;"","")&amp;"␟"&amp;IFERROR(INDEX(PASTE_ALL,$DF582,27)&amp;"","")&amp;"␟"&amp;IFERROR(INDEX(PASTE_ALL,$DF582,28)&amp;"","")&amp;"␟"&amp;IFERROR(INDEX(PASTE_ALL,$DF582,29)&amp;"","")&amp;"␟"&amp;IFERROR(INDEX(PASTE_ALL,$DF582,30)&amp;"","")&amp;"␟"&amp;IFERROR(INDEX(PASTE_ALL,$DF582,31)&amp;"","")&amp;"␟"&amp;IFERROR(INDEX(PASTE_ALL,$DF582,32)&amp;"","")&amp;"␟"&amp;IFERROR(INDEX(PASTE_ALL,$DF582,33)&amp;"","")&amp;"␟"&amp;IFERROR(INDEX(PASTE_ALL,$DF582,34)&amp;"","")&amp;"␟"&amp;IFERROR(INDEX(PASTE_ALL,$DF582,35)&amp;"","")&amp;"␟"&amp;IFERROR(INDEX(PASTE_ALL,$DF582,36)&amp;"","")&amp;"␟"&amp;IFERROR(INDEX(PASTE_ALL,$DF582,37)&amp;"","")&amp;"␟"&amp;IFERROR(INDEX(PASTE_ALL,$DF582,38)&amp;"","")&amp;"␟"&amp;IFERROR(INDEX(PASTE_ALL,$DF582,39)&amp;"","")&amp;"␟"&amp;IFERROR(INDEX(PASTE_ALL,$DF582,40)&amp;"","")&amp;"␟"&amp;IFERROR(INDEX(PASTE_ALL,$DF582,41)&amp;"","")&amp;"␟"&amp;IFERROR(INDEX(PASTE_ALL,$DF582,42)&amp;"","")&amp;"␟"&amp;IFERROR(INDEX(PASTE_ALL,$DF582,43)&amp;"","")&amp;"␟"&amp;IFERROR(INDEX(PASTE_ALL,$DF582,44)&amp;"","")&amp;"␟"&amp;IFERROR(INDEX(PASTE_ALL,$DF582,45)&amp;"","")&amp;"␟"&amp;IFERROR(INDEX(PASTE_ALL,$DF582,46)&amp;"","")&amp;"␟"&amp;IFERROR(INDEX(PASTE_ALL,$DF582,47)&amp;"","")&amp;"␟"&amp;IFERROR(INDEX(PASTE_ALL,$DF582,48)&amp;"","")&amp;"␟"&amp;IFERROR(INDEX(PASTE_ALL,$DF582,49)&amp;"","")&amp;"␟"&amp;IFERROR(INDEX(PASTE_ALL,$DF582,50)&amp;"","")&amp;"␟"&amp;IFERROR(INDEX(PASTE_ALL,$DF582,51)&amp;"","")&amp;"␟"&amp;IFERROR(INDEX(PASTE_ALL,$DF582,52)&amp;"","")&amp;"␟"&amp;IFERROR(INDEX(PASTE_ALL,$DF582,53)&amp;"","")&amp;"␟"&amp;IFERROR(INDEX(PASTE_ALL,$DF582,54)&amp;"","")&amp;"␟"&amp;IFERROR(INDEX(PASTE_ALL,$DF582,55)&amp;"","")&amp;"␟"&amp;IFERROR(INDEX(PASTE_ALL,$DF582,56)&amp;"","")&amp;"␟"&amp;IFERROR(INDEX(PASTE_ALL,$DF582,57)&amp;"","")&amp;"␟"&amp;IFERROR(INDEX(PASTE_ALL,$DF582,58)&amp;"","")&amp;"␟"&amp;IFERROR(INDEX(PASTE_ALL,$DF582,59)&amp;"","")&amp;"␟"&amp;IFERROR(INDEX(PASTE_ALL,$DF582,60)&amp;"","")," "," "),CHAR(9)," "),CHAR(10)," "),CHAR(13)," "))," ␟","␟"),"␟ ","␟"),"#"&amp;$DE582),"")</f>
        <v/>
      </c>
      <c r="DJ582">
        <f>IF($DI582="",0,IF(SUMPRODUCT(--EXACT($DI$4:DI581,$DI582))&gt;0,1,0))</f>
        <v/>
      </c>
      <c r="DK582">
        <f>IF(AND($DI582&lt;&gt;"",$DJ582=0),1,0)</f>
        <v/>
      </c>
      <c r="DL582">
        <f>DL581+$DK582</f>
        <v/>
      </c>
      <c r="DM582">
        <f>IF(AND($DK582=1,$DL582&lt;=600),1,0)</f>
        <v/>
      </c>
      <c r="DN582">
        <f>IF($DM582=0,"",IF($L$6=0,"",IFERROR(IF(ISNUMBER(INDEX(PASTE_ALL,$DF582,$L$6)),INDEX(PASTE_ALL,$DF582,$L$6),TRIM(SUBSTITUTE(SUBSTITUTE(SUBSTITUTE(SUBSTITUTE(INDEX(PASTE_ALL,$DF582,$L$6)," "," "),CHAR(9)," "),CHAR(10)," "),CHAR(13)," "))),"")))</f>
        <v/>
      </c>
      <c r="DO582">
        <f>IF($DM582=0,"",IF($L$7=0,"",IFERROR(IF(ISNUMBER(INDEX(PASTE_ALL,$DF582,$L$7)),INDEX(PASTE_ALL,$DF582,$L$7),TRIM(SUBSTITUTE(SUBSTITUTE(SUBSTITUTE(SUBSTITUTE(INDEX(PASTE_ALL,$DF582,$L$7)," "," "),CHAR(9)," "),CHAR(10)," "),CHAR(13)," "))),"")))</f>
        <v/>
      </c>
      <c r="DP582">
        <f>IF($DM582=0,"",IF($L$8=0,"",IFERROR(IF(ISNUMBER(INDEX(PASTE_ALL,$DF582,$L$8)),INDEX(PASTE_ALL,$DF582,$L$8),TRIM(SUBSTITUTE(SUBSTITUTE(SUBSTITUTE(SUBSTITUTE(INDEX(PASTE_ALL,$DF582,$L$8)," "," "),CHAR(9)," "),CHAR(10)," "),CHAR(13)," "))),"")))</f>
        <v/>
      </c>
      <c r="DQ582">
        <f>IF($DM582=0,"",IF($L$9=0,"",IFERROR(IF(ISNUMBER(INDEX(PASTE_ALL,$DF582,$L$9)),INDEX(PASTE_ALL,$DF582,$L$9),TRIM(SUBSTITUTE(SUBSTITUTE(SUBSTITUTE(SUBSTITUTE(INDEX(PASTE_ALL,$DF582,$L$9)," "," "),CHAR(9)," "),CHAR(10)," "),CHAR(13)," "))),"")))</f>
        <v/>
      </c>
      <c r="DR582">
        <f>IF($DM582=0,"",IF($L$10=0,"",IFERROR(IF(ISNUMBER(INDEX(PASTE_ALL,$DF582,$L$10)),INDEX(PASTE_ALL,$DF582,$L$10),TRIM(SUBSTITUTE(SUBSTITUTE(SUBSTITUTE(SUBSTITUTE(INDEX(PASTE_ALL,$DF582,$L$10)," "," "),CHAR(9)," "),CHAR(10)," "),CHAR(13)," "))),"")))</f>
        <v/>
      </c>
      <c r="DS582">
        <f>IF($DM582=0,"",IF($L$11=0,"",IFERROR(IF(ISNUMBER(INDEX(PASTE_ALL,$DF582,$L$11)),INDEX(PASTE_ALL,$DF582,$L$11),TRIM(SUBSTITUTE(SUBSTITUTE(SUBSTITUTE(SUBSTITUTE(INDEX(PASTE_ALL,$DF582,$L$11)," "," "),CHAR(9)," "),CHAR(10)," "),CHAR(13)," "))),"")))</f>
        <v/>
      </c>
      <c r="DT582">
        <f>IF($DM582=0,"",IF($L$12=0,"",IFERROR(IF(ISNUMBER(INDEX(PASTE_ALL,$DF582,$L$12)),INDEX(PASTE_ALL,$DF582,$L$12),TRIM(SUBSTITUTE(SUBSTITUTE(SUBSTITUTE(SUBSTITUTE(INDEX(PASTE_ALL,$DF582,$L$12)," "," "),CHAR(9)," "),CHAR(10)," "),CHAR(13)," "))),"")))</f>
        <v/>
      </c>
      <c r="DU582">
        <f>IF($DM582=0,"",IF($L$13=0,"",IFERROR(IF(ISNUMBER(INDEX(PASTE_ALL,$DF582,$L$13)),INDEX(PASTE_ALL,$DF582,$L$13),TRIM(SUBSTITUTE(SUBSTITUTE(SUBSTITUTE(SUBSTITUTE(INDEX(PASTE_ALL,$DF582,$L$13)," "," "),CHAR(9)," "),CHAR(10)," "),CHAR(13)," "))),"")))</f>
        <v/>
      </c>
      <c r="DV582">
        <f>IF($DM582=0,"",IF($L$14=0,"",IFERROR(IF(ISNUMBER(INDEX(PASTE_ALL,$DF582,$L$14)),INDEX(PASTE_ALL,$DF582,$L$14),TRIM(SUBSTITUTE(SUBSTITUTE(SUBSTITUTE(SUBSTITUTE(INDEX(PASTE_ALL,$DF582,$L$14)," "," "),CHAR(9)," "),CHAR(10)," "),CHAR(13)," "))),"")))</f>
        <v/>
      </c>
      <c r="DW582">
        <f>IF($DM582=0,"",IF($L$15=0,"",IFERROR(IF(ISNUMBER(INDEX(PASTE_ALL,$DF582,$L$15)),INDEX(PASTE_ALL,$DF582,$L$15),IF(SUMPRODUCT(--ISNUMBER(FIND({"A","B","C","D","E","F","G","H","I","J","K","L","M","N","O","P","Q","R","S","T","U","V","W","X","Y","Z","0","1","2","3","4","5","6","7","8","9"},UPPER(TRIM(SUBSTITUTE(SUBSTITUTE(SUBSTITUTE(SUBSTITUTE(INDEX(PASTE_ALL,$DF582,$L$15)," "," "),CHAR(9)," "),CHAR(10)," "),CHAR(13)," "))))))&gt;0,TRIM(SUBSTITUTE(SUBSTITUTE(SUBSTITUTE(SUBSTITUTE(INDEX(PASTE_ALL,$DF582,$L$15)," "," "),CHAR(9)," "),CHAR(10)," "),CHAR(13)," ")),"")),"")))</f>
        <v/>
      </c>
      <c r="DX582">
        <f>IF($DM582=0,"",IF($L$16=0,"",IFERROR(IF(ISNUMBER(INDEX(PASTE_ALL,$DF582,$L$16)),INDEX(PASTE_ALL,$DF582,$L$16),SUBSTITUTE(SUBSTITUTE(TRIM(SUBSTITUTE(SUBSTITUTE(SUBSTITUTE(SUBSTITUTE(INDEX(PASTE_ALL,$DF582,$L$16)," "," "),CHAR(9)," "),CHAR(10)," "),CHAR(13)," ")),",",""),"%","")),"")))</f>
        <v/>
      </c>
      <c r="DY582">
        <f>IF($DM582=0,"",IFERROR(IF(ISNUMBER($DX582),$DX582,IF($DX582="","",IF(TRIM($DX582)="",0,IF(AND(AND(SUBSTITUTE(SUBSTITUTE(SUBSTITUTE(SUBSTITUTE(SUBSTITUTE(SUBSTITUTE(SUBSTITUTE(SUBSTITUTE(SUBSTITUTE(SUBSTITUTE(SUBSTITUTE(SUBSTITUTE(SUBSTITUTE(SUBSTITUTE(UPPER(TRIM($DX582)),"0",""),"1",""),"2",""),"3",""),"4",""),"5",""),"6",""),"7",""),"8",""),"9",""),".",""),"+",""),"-",""),"E","")="",LEN(SUBSTITUTE(SUBSTITUTE(MID(UPPER(TRIM($DX582)),1+OR(LEFT(UPPER(TRIM($DX582)),1)="+",LEFT(UPPER(TRIM($DX582)),1)="-"),999),"E+","E"),"E-","E"))=LEN(SUBSTITUTE(SUBSTITUTE(SUBSTITUTE(SUBSTITUTE(MID(UPPER(TRIM($DX582)),1+OR(LEFT(UPPER(TRIM($DX582)),1)="+",LEFT(UPPER(TRIM($DX582)),1)="-"),999),"E+","E"),"E-","E"),"+",""),"-","")),LEN(UPPER(TRIM($DX582)))-LEN(SUBSTITUTE(UPPER(TRIM($DX582)),"E",""))&lt;2,LEN(UPPER(TRIM($DX582)))-LEN(SUBSTITUTE(UPPER(TRIM($DX582)),".",""))&lt;2,IFERROR(FIND(".",UPPER(TRIM($DX582))),0)&lt;IFERROR(FIND("E",UPPER(TRIM($DX582))),999)),ISNUMBER(VALUE(TRIM($DX582)))),VALUE(TRIM($DX582)),"")))),""))</f>
        <v/>
      </c>
      <c r="DZ582">
        <f>IF($DM582=0,"",IF($L$17=0,"",IFERROR(IF(ISNUMBER(INDEX(PASTE_ALL,$DF582,$L$17)),INDEX(PASTE_ALL,$DF582,$L$17),SUBSTITUTE(SUBSTITUTE(TRIM(SUBSTITUTE(SUBSTITUTE(SUBSTITUTE(SUBSTITUTE(INDEX(PASTE_ALL,$DF582,$L$17)," "," "),CHAR(9)," "),CHAR(10)," "),CHAR(13)," ")),",",""),"%","")),"")))</f>
        <v/>
      </c>
      <c r="EA582">
        <f>IF($DM582=0,"",IFERROR(IF(ISNUMBER($DZ582),$DZ582,IF($DZ582="","",IF(TRIM($DZ582)="",0,IF(AND(AND(SUBSTITUTE(SUBSTITUTE(SUBSTITUTE(SUBSTITUTE(SUBSTITUTE(SUBSTITUTE(SUBSTITUTE(SUBSTITUTE(SUBSTITUTE(SUBSTITUTE(SUBSTITUTE(SUBSTITUTE(SUBSTITUTE(SUBSTITUTE(UPPER(TRIM($DZ582)),"0",""),"1",""),"2",""),"3",""),"4",""),"5",""),"6",""),"7",""),"8",""),"9",""),".",""),"+",""),"-",""),"E","")="",LEN(SUBSTITUTE(SUBSTITUTE(MID(UPPER(TRIM($DZ582)),1+OR(LEFT(UPPER(TRIM($DZ582)),1)="+",LEFT(UPPER(TRIM($DZ582)),1)="-"),999),"E+","E"),"E-","E"))=LEN(SUBSTITUTE(SUBSTITUTE(SUBSTITUTE(SUBSTITUTE(MID(UPPER(TRIM($DZ582)),1+OR(LEFT(UPPER(TRIM($DZ582)),1)="+",LEFT(UPPER(TRIM($DZ582)),1)="-"),999),"E+","E"),"E-","E"),"+",""),"-","")),LEN(UPPER(TRIM($DZ582)))-LEN(SUBSTITUTE(UPPER(TRIM($DZ582)),"E",""))&lt;2,LEN(UPPER(TRIM($DZ582)))-LEN(SUBSTITUTE(UPPER(TRIM($DZ582)),".",""))&lt;2,IFERROR(FIND(".",UPPER(TRIM($DZ582))),0)&lt;IFERROR(FIND("E",UPPER(TRIM($DZ582))),999)),ISNUMBER(VALUE(TRIM($DZ582)))),VALUE(TRIM($DZ582)),"")))),""))</f>
        <v/>
      </c>
      <c r="EB582">
        <f>IF($DM582=0,"",IF($L$18=0,"",IFERROR(IF(UPPER(TRIM(SUBSTITUTE(SUBSTITUTE(SUBSTITUTE(SUBSTITUTE(INDEX(PASTE_ALL,$DF582,$L$18)," "," "),CHAR(9)," "),CHAR(10)," "),CHAR(13)," ")))="READY","Ready",IF(UPPER(TRIM(SUBSTITUTE(SUBSTITUTE(SUBSTITUTE(SUBSTITUTE(INDEX(PASTE_ALL,$DF582,$L$18)," "," "),CHAR(9)," "),CHAR(10)," "),CHAR(13)," ")))="PM","PM",IF(OR(UPPER(TRIM(SUBSTITUTE(SUBSTITUTE(SUBSTITUTE(SUBSTITUTE(INDEX(PASTE_ALL,$DF582,$L$18)," "," "),CHAR(9)," "),CHAR(10)," "),CHAR(13)," ")))="OT",UPPER(TRIM(SUBSTITUTE(SUBSTITUTE(SUBSTITUTE(SUBSTITUTE(INDEX(PASTE_ALL,$DF582,$L$18)," "," "),CHAR(9)," "),CHAR(10)," "),CHAR(13)," ")))="OVERTIME",UPPER(TRIM(SUBSTITUTE(SUBSTITUTE(SUBSTITUTE(SUBSTITUTE(INDEX(PASTE_ALL,$DF582,$L$18)," "," "),CHAR(9)," "),CHAR(10)," "),CHAR(13)," ")))="TRIAL"),"OT",TRIM(SUBSTITUTE(SUBSTITUTE(SUBSTITUTE(SUBSTITUTE(INDEX(PASTE_ALL,$DF582,$L$18)," "," "),CHAR(9)," "),CHAR(10)," "),CHAR(13)," "))))),"")))</f>
        <v/>
      </c>
      <c r="EC582">
        <f>IF($DM582=0,"",IF($L$19=0,"",IFERROR(IF(ISNUMBER(INDEX(PASTE_ALL,$DF582,$L$19)),INDEX(PASTE_ALL,$DF582,$L$19),TRIM(SUBSTITUTE(SUBSTITUTE(SUBSTITUTE(SUBSTITUTE(INDEX(PASTE_ALL,$DF582,$L$19)," "," "),CHAR(9)," "),CHAR(10)," "),CHAR(13)," "))),"")))</f>
        <v/>
      </c>
      <c r="ED582">
        <f>IF($DM582=0,"",MATCH(1,INDEX(EXACT($DH$5:DH582,$DH582)*$DM$5:DM582,0),0))</f>
        <v/>
      </c>
      <c r="EE582">
        <f>IF($DM582=0,0,IF($ED582=$DE582,1,0))</f>
        <v/>
      </c>
      <c r="EF582">
        <f>EF581+$EE582</f>
        <v/>
      </c>
      <c r="EG582">
        <f>IF($DM582=0,"",INDEX($EF$5:$EF$1003,$ED582))</f>
        <v/>
      </c>
      <c r="EH582">
        <f>IF($DM582=0,"",IF($DO582&lt;&gt;"","",IFERROR(LOOKUP(2,1/(($EG$4:EG581=$EG582)*($DO$4:DO581&lt;&gt;"")),$DO$4:DO581),"")))</f>
        <v/>
      </c>
      <c r="EI582">
        <f>IF($DM582=0,"",IF($DO582&lt;&gt;"",$DO582,$EH582))</f>
        <v/>
      </c>
      <c r="EJ582">
        <f>IF($DM582=0,"",IF($EI582="",0,IF(OR(ISNUMBER($EI582),AND(AND(SUBSTITUTE(SUBSTITUTE(SUBSTITUTE(SUBSTITUTE(SUBSTITUTE(SUBSTITUTE(SUBSTITUTE(SUBSTITUTE(SUBSTITUTE(SUBSTITUTE(SUBSTITUTE(SUBSTITUTE(SUBSTITUTE(SUBSTITUTE(UPPER($EI582),"0",""),"1",""),"2",""),"3",""),"4",""),"5",""),"6",""),"7",""),"8",""),"9",""),".",""),"+",""),"-",""),"E","")="",LEN(SUBSTITUTE(SUBSTITUTE(MID(UPPER($EI582),1+OR(LEFT(UPPER($EI582),1)="+",LEFT(UPPER($EI582),1)="-"),999),"E+","E"),"E-","E"))=LEN(SUBSTITUTE(SUBSTITUTE(SUBSTITUTE(SUBSTITUTE(MID(UPPER($EI582),1+OR(LEFT(UPPER($EI582),1)="+",LEFT(UPPER($EI582),1)="-"),999),"E+","E"),"E-","E"),"+",""),"-","")),LEN(UPPER($EI582))-LEN(SUBSTITUTE(UPPER($EI582),"E",""))&lt;2,LEN(UPPER($EI582))-LEN(SUBSTITUTE(UPPER($EI582),".",""))&lt;2,IFERROR(FIND(".",UPPER($EI582)),0)&lt;IFERROR(FIND("E",UPPER($EI582)),999)),ISNUMBER(VALUE($EI582)))),1,2)))</f>
        <v/>
      </c>
      <c r="EK582">
        <f>IF($DM582=0,"",IF($EJ582=1,IF(ISNUMBER($EI582),$EI582,VALUE($EI582)),IF($EJ582=2,$DE582,0)))</f>
        <v/>
      </c>
      <c r="EL582">
        <f>IF($DM582=0,"",COUNTIF($EG$5:$EG$1003,"&lt;"&amp;$EG582)+SUMPRODUCT(($EG$5:$EG$1003=$EG582)*(($EJ$5:$EJ$1003&lt;$EJ582)+($EJ$5:$EJ$1003=$EJ582)*(($EK$5:$EK$1003&lt;$EK582)+($EK$5:$EK$1003=$EK582)*($DE$5:$DE$1003&lt;$DE582))))+1)</f>
        <v/>
      </c>
      <c r="EM582">
        <f>IF($DM582=0,"",$EL582+$EG582-1)</f>
        <v/>
      </c>
      <c r="EN582">
        <f>IF($DM582=0,0,IFERROR(MATCH(1,INDEX(--(TRIM(SUBSTITUTE(SUBSTITUTE(SUBSTITUTE(SUBSTITUTE(LINES_NAME&amp;""," "," "),CHAR(9)," "),CHAR(10)," "),CHAR(13)," "))=$DH582),0),0),0))</f>
        <v/>
      </c>
      <c r="EO582">
        <f>IF($EN582=0,0,IF(OR(UPPER(TRIM(INDEX(LINES_SCHEDULED,$EN582)&amp;""))="YES",UPPER(TRIM(INDEX(LINES_SCHEDULED,$EN582)&amp;""))="Y",UPPER(TRIM(INDEX(LINES_SCHEDULED,$EN582)&amp;""))="X"),1,0))</f>
        <v/>
      </c>
      <c r="EP582">
        <f>IF($DM582=0,"",IF(COUNTIFS($EG$5:$EG$1003,$EG582,$EB$5:$EB$1003,"Ready")&gt;0,"READY",IF(COUNTIFS($EG$5:$EG$1003,$EG582,$EB$5:$EB$1003,"PM")&gt;0,"PM",IF(COUNTIFS($EG$5:$EG$1003,$EG582,$EB$5:$EB$1003,"OT")&gt;0,"OT",""))))</f>
        <v/>
      </c>
      <c r="EQ582">
        <f>IF($EN582=0,"",UPPER(TRIM(INDEX(LINES_STATUS,$EN582)&amp;"")))</f>
        <v/>
      </c>
      <c r="ER582">
        <f>IF($DM582=0,"",IF(OR($EQ582="READY",$EQ582="PM",$EQ582="OT"),$EQ582,$EP582))</f>
        <v/>
      </c>
      <c r="ES582">
        <f>IF($DM582=0,"",IF(AND($DV582&lt;&gt;"",UPPER($DV582)&lt;&gt;"N"),"allergen",IF(ISNUMBER(SEARCH("oil",$DQ582)),"oil",IF(OR(EXACT($DS582,"A662"),EXACT($DS582,"A624")),"bulk",""))))</f>
        <v/>
      </c>
      <c r="ET582">
        <f>IF($DM582=0,"",IF(OR($EA582="",$EA582=0),"",$EA582/100))</f>
        <v/>
      </c>
      <c r="EU582">
        <f>IF(OR($ET582="",$DY582=""),"",INT($DY582*(1-$ET582)+0.5))</f>
        <v/>
      </c>
      <c r="EW582" t="n">
        <v>578</v>
      </c>
      <c r="EX582">
        <f>IFERROR(MATCH($EW582,$EM$5:$EM$1003,0),0)</f>
        <v/>
      </c>
      <c r="EY582">
        <f>IF($EW582&gt;$B$12,"",IF($EX582&gt;0,"row","spacer"))</f>
        <v/>
      </c>
      <c r="EZ582">
        <f>IF(AND($EY582="row",$EY581&lt;&gt;"row"),1,0)</f>
        <v/>
      </c>
      <c r="FA582">
        <f>IF(AND($EY582="row",$EY583&lt;&gt;"row"),1,0)</f>
        <v/>
      </c>
      <c r="FB582">
        <f>IF($EZ582=1,IFERROR(IF(ISNUMBER(INDEX(PASTE_ALL,INDEX($DF$5:$DF$1003,$EX582),$B$37)),INDEX(PASTE_ALL,INDEX($DF$5:$DF$1003,$EX582),$B$37),INDEX($DH$5:$DH$1003,$EX582)),INDEX($DH$5:$DH$1003,$EX582)),"")</f>
        <v/>
      </c>
      <c r="FC582">
        <f>IF($EY582="row",INDEX($ER$5:$ER$1003,$EX582),"")</f>
        <v/>
      </c>
      <c r="FD582">
        <f>IF($EY582="row",INDEX($DN$5:$DN$1003,$EX582),"")</f>
        <v/>
      </c>
      <c r="FE582">
        <f>IF($EY582="row",INDEX($DO$5:$DO$1003,$EX582),"")</f>
        <v/>
      </c>
      <c r="FF582">
        <f>IF($EY582="row",INDEX($DP$5:$DP$1003,$EX582),"")</f>
        <v/>
      </c>
      <c r="FG582">
        <f>IF($EY582="row",INDEX($DQ$5:$DQ$1003,$EX582),"")</f>
        <v/>
      </c>
      <c r="FH582">
        <f>IF($EY582="row",INDEX($DR$5:$DR$1003,$EX582),"")</f>
        <v/>
      </c>
      <c r="FI582">
        <f>IF($EY582="row",INDEX($DS$5:$DS$1003,$EX582),"")</f>
        <v/>
      </c>
      <c r="FJ582">
        <f>IF($EY582="row",INDEX($DT$5:$DT$1003,$EX582),"")</f>
        <v/>
      </c>
      <c r="FK582">
        <f>IF($EY582="row",INDEX($DU$5:$DU$1003,$EX582),"")</f>
        <v/>
      </c>
      <c r="FL582">
        <f>IF($EY582="row",INDEX($DV$5:$DV$1003,$EX582),"")</f>
        <v/>
      </c>
      <c r="FM582">
        <f>IF($EY582="row",INDEX($DW$5:$DW$1003,$EX582),"")</f>
        <v/>
      </c>
      <c r="FN582">
        <f>IF($EY582="row",INDEX($DY$5:$DY$1003,$EX582),"")</f>
        <v/>
      </c>
      <c r="FO582">
        <f>IF($EY582="row",INDEX($EA$5:$EA$1003,$EX582),"")</f>
        <v/>
      </c>
      <c r="FP582">
        <f>IF($EY582="row",INDEX($EC$5:$EC$1003,$EX582),"")</f>
        <v/>
      </c>
      <c r="FQ582">
        <f>IF($EY582="row",INDEX($ET$5:$ET$1003,$EX582),"")</f>
        <v/>
      </c>
      <c r="FR582">
        <f>IF($EY582="row",INDEX($EU$5:$EU$1003,$EX582),"")</f>
        <v/>
      </c>
      <c r="FS582">
        <f>IF(AND($EY582="row",$EY581="row"),IF(OR(INDEX($DT$5:$DT$1003,$EX581)="",INDEX($DT$5:$DT$1003,$EX582)=""),"",IF(NOT(EXACT(INDEX($DT$5:$DT$1003,$EX581),INDEX($DT$5:$DT$1003,$EX582))),"S4",IF(NOT(EXACT(INDEX($DS$5:$DS$1003,$EX581),INDEX($DS$5:$DS$1003,$EX582))),"S3",IF(NOT(EXACT(INDEX($DR$5:$DR$1003,$EX581),INDEX($DR$5:$DR$1003,$EX582))),"S1 Count Change","S1")))),"")</f>
        <v/>
      </c>
      <c r="FT582">
        <f>IF($EY582="row",INDEX($ES$5:$ES$1003,$EX582),"")</f>
        <v/>
      </c>
      <c r="FU582">
        <f>IF($EY582="row",INDEX($EO$5:$EO$1003,$EX582),0)</f>
        <v/>
      </c>
      <c r="FV582">
        <f>IF($FS582="S1 Count Change",1,0)</f>
        <v/>
      </c>
    </row>
    <row r="583">
      <c r="DA583" t="n">
        <v>579</v>
      </c>
      <c r="DB583">
        <f>IF($B$37=0,"",IFERROR(TRIM(SUBSTITUTE(SUBSTITUTE(SUBSTITUTE(SUBSTITUTE(INDEX(PASTE_ALL,579,$B$37)," "," "),CHAR(9)," "),CHAR(10)," "),CHAR(13)," ")),""))</f>
        <v/>
      </c>
      <c r="DC583">
        <f>IF(AND(579&gt;HEADER_ROW,UPPER(DB583)="LEGEND"),1,0)</f>
        <v/>
      </c>
      <c r="DE583" t="n">
        <v>579</v>
      </c>
      <c r="DF583">
        <f>HEADER_ROW+$DE583</f>
        <v/>
      </c>
      <c r="DG583">
        <f>IF(AND($DF583&lt;=1000,$DF583&lt;$B$8),1,0)</f>
        <v/>
      </c>
      <c r="DH583">
        <f>IF($DG583=1,IFERROR(INDEX($DB$5:$DB$1004,$DF583),""),"")</f>
        <v/>
      </c>
      <c r="DI583">
        <f>IF(AND($DG583=1,$DH583&lt;&gt;""),IFERROR(SUBSTITUTE(SUBSTITUTE(TRIM(SUBSTITUTE(SUBSTITUTE(SUBSTITUTE(SUBSTITUTE(IFERROR(INDEX(PASTE_ALL,$DF583,1)&amp;"","")&amp;"␟"&amp;IFERROR(INDEX(PASTE_ALL,$DF583,2)&amp;"","")&amp;"␟"&amp;IFERROR(INDEX(PASTE_ALL,$DF583,3)&amp;"","")&amp;"␟"&amp;IFERROR(INDEX(PASTE_ALL,$DF583,4)&amp;"","")&amp;"␟"&amp;IFERROR(INDEX(PASTE_ALL,$DF583,5)&amp;"","")&amp;"␟"&amp;IFERROR(INDEX(PASTE_ALL,$DF583,6)&amp;"","")&amp;"␟"&amp;IFERROR(INDEX(PASTE_ALL,$DF583,7)&amp;"","")&amp;"␟"&amp;IFERROR(INDEX(PASTE_ALL,$DF583,8)&amp;"","")&amp;"␟"&amp;IFERROR(INDEX(PASTE_ALL,$DF583,9)&amp;"","")&amp;"␟"&amp;IFERROR(INDEX(PASTE_ALL,$DF583,10)&amp;"","")&amp;"␟"&amp;IFERROR(INDEX(PASTE_ALL,$DF583,11)&amp;"","")&amp;"␟"&amp;IFERROR(INDEX(PASTE_ALL,$DF583,12)&amp;"","")&amp;"␟"&amp;IFERROR(INDEX(PASTE_ALL,$DF583,13)&amp;"","")&amp;"␟"&amp;IFERROR(INDEX(PASTE_ALL,$DF583,14)&amp;"","")&amp;"␟"&amp;IFERROR(INDEX(PASTE_ALL,$DF583,15)&amp;"","")&amp;"␟"&amp;IFERROR(INDEX(PASTE_ALL,$DF583,16)&amp;"","")&amp;"␟"&amp;IFERROR(INDEX(PASTE_ALL,$DF583,17)&amp;"","")&amp;"␟"&amp;IFERROR(INDEX(PASTE_ALL,$DF583,18)&amp;"","")&amp;"␟"&amp;IFERROR(INDEX(PASTE_ALL,$DF583,19)&amp;"","")&amp;"␟"&amp;IFERROR(INDEX(PASTE_ALL,$DF583,20)&amp;"","")&amp;"␟"&amp;IFERROR(INDEX(PASTE_ALL,$DF583,21)&amp;"","")&amp;"␟"&amp;IFERROR(INDEX(PASTE_ALL,$DF583,22)&amp;"","")&amp;"␟"&amp;IFERROR(INDEX(PASTE_ALL,$DF583,23)&amp;"","")&amp;"␟"&amp;IFERROR(INDEX(PASTE_ALL,$DF583,24)&amp;"","")&amp;"␟"&amp;IFERROR(INDEX(PASTE_ALL,$DF583,25)&amp;"","")&amp;"␟"&amp;IFERROR(INDEX(PASTE_ALL,$DF583,26)&amp;"","")&amp;"␟"&amp;IFERROR(INDEX(PASTE_ALL,$DF583,27)&amp;"","")&amp;"␟"&amp;IFERROR(INDEX(PASTE_ALL,$DF583,28)&amp;"","")&amp;"␟"&amp;IFERROR(INDEX(PASTE_ALL,$DF583,29)&amp;"","")&amp;"␟"&amp;IFERROR(INDEX(PASTE_ALL,$DF583,30)&amp;"","")&amp;"␟"&amp;IFERROR(INDEX(PASTE_ALL,$DF583,31)&amp;"","")&amp;"␟"&amp;IFERROR(INDEX(PASTE_ALL,$DF583,32)&amp;"","")&amp;"␟"&amp;IFERROR(INDEX(PASTE_ALL,$DF583,33)&amp;"","")&amp;"␟"&amp;IFERROR(INDEX(PASTE_ALL,$DF583,34)&amp;"","")&amp;"␟"&amp;IFERROR(INDEX(PASTE_ALL,$DF583,35)&amp;"","")&amp;"␟"&amp;IFERROR(INDEX(PASTE_ALL,$DF583,36)&amp;"","")&amp;"␟"&amp;IFERROR(INDEX(PASTE_ALL,$DF583,37)&amp;"","")&amp;"␟"&amp;IFERROR(INDEX(PASTE_ALL,$DF583,38)&amp;"","")&amp;"␟"&amp;IFERROR(INDEX(PASTE_ALL,$DF583,39)&amp;"","")&amp;"␟"&amp;IFERROR(INDEX(PASTE_ALL,$DF583,40)&amp;"","")&amp;"␟"&amp;IFERROR(INDEX(PASTE_ALL,$DF583,41)&amp;"","")&amp;"␟"&amp;IFERROR(INDEX(PASTE_ALL,$DF583,42)&amp;"","")&amp;"␟"&amp;IFERROR(INDEX(PASTE_ALL,$DF583,43)&amp;"","")&amp;"␟"&amp;IFERROR(INDEX(PASTE_ALL,$DF583,44)&amp;"","")&amp;"␟"&amp;IFERROR(INDEX(PASTE_ALL,$DF583,45)&amp;"","")&amp;"␟"&amp;IFERROR(INDEX(PASTE_ALL,$DF583,46)&amp;"","")&amp;"␟"&amp;IFERROR(INDEX(PASTE_ALL,$DF583,47)&amp;"","")&amp;"␟"&amp;IFERROR(INDEX(PASTE_ALL,$DF583,48)&amp;"","")&amp;"␟"&amp;IFERROR(INDEX(PASTE_ALL,$DF583,49)&amp;"","")&amp;"␟"&amp;IFERROR(INDEX(PASTE_ALL,$DF583,50)&amp;"","")&amp;"␟"&amp;IFERROR(INDEX(PASTE_ALL,$DF583,51)&amp;"","")&amp;"␟"&amp;IFERROR(INDEX(PASTE_ALL,$DF583,52)&amp;"","")&amp;"␟"&amp;IFERROR(INDEX(PASTE_ALL,$DF583,53)&amp;"","")&amp;"␟"&amp;IFERROR(INDEX(PASTE_ALL,$DF583,54)&amp;"","")&amp;"␟"&amp;IFERROR(INDEX(PASTE_ALL,$DF583,55)&amp;"","")&amp;"␟"&amp;IFERROR(INDEX(PASTE_ALL,$DF583,56)&amp;"","")&amp;"␟"&amp;IFERROR(INDEX(PASTE_ALL,$DF583,57)&amp;"","")&amp;"␟"&amp;IFERROR(INDEX(PASTE_ALL,$DF583,58)&amp;"","")&amp;"␟"&amp;IFERROR(INDEX(PASTE_ALL,$DF583,59)&amp;"","")&amp;"␟"&amp;IFERROR(INDEX(PASTE_ALL,$DF583,60)&amp;"","")," "," "),CHAR(9)," "),CHAR(10)," "),CHAR(13)," "))," ␟","␟"),"␟ ","␟"),"#"&amp;$DE583),"")</f>
        <v/>
      </c>
      <c r="DJ583">
        <f>IF($DI583="",0,IF(SUMPRODUCT(--EXACT($DI$4:DI582,$DI583))&gt;0,1,0))</f>
        <v/>
      </c>
      <c r="DK583">
        <f>IF(AND($DI583&lt;&gt;"",$DJ583=0),1,0)</f>
        <v/>
      </c>
      <c r="DL583">
        <f>DL582+$DK583</f>
        <v/>
      </c>
      <c r="DM583">
        <f>IF(AND($DK583=1,$DL583&lt;=600),1,0)</f>
        <v/>
      </c>
      <c r="DN583">
        <f>IF($DM583=0,"",IF($L$6=0,"",IFERROR(IF(ISNUMBER(INDEX(PASTE_ALL,$DF583,$L$6)),INDEX(PASTE_ALL,$DF583,$L$6),TRIM(SUBSTITUTE(SUBSTITUTE(SUBSTITUTE(SUBSTITUTE(INDEX(PASTE_ALL,$DF583,$L$6)," "," "),CHAR(9)," "),CHAR(10)," "),CHAR(13)," "))),"")))</f>
        <v/>
      </c>
      <c r="DO583">
        <f>IF($DM583=0,"",IF($L$7=0,"",IFERROR(IF(ISNUMBER(INDEX(PASTE_ALL,$DF583,$L$7)),INDEX(PASTE_ALL,$DF583,$L$7),TRIM(SUBSTITUTE(SUBSTITUTE(SUBSTITUTE(SUBSTITUTE(INDEX(PASTE_ALL,$DF583,$L$7)," "," "),CHAR(9)," "),CHAR(10)," "),CHAR(13)," "))),"")))</f>
        <v/>
      </c>
      <c r="DP583">
        <f>IF($DM583=0,"",IF($L$8=0,"",IFERROR(IF(ISNUMBER(INDEX(PASTE_ALL,$DF583,$L$8)),INDEX(PASTE_ALL,$DF583,$L$8),TRIM(SUBSTITUTE(SUBSTITUTE(SUBSTITUTE(SUBSTITUTE(INDEX(PASTE_ALL,$DF583,$L$8)," "," "),CHAR(9)," "),CHAR(10)," "),CHAR(13)," "))),"")))</f>
        <v/>
      </c>
      <c r="DQ583">
        <f>IF($DM583=0,"",IF($L$9=0,"",IFERROR(IF(ISNUMBER(INDEX(PASTE_ALL,$DF583,$L$9)),INDEX(PASTE_ALL,$DF583,$L$9),TRIM(SUBSTITUTE(SUBSTITUTE(SUBSTITUTE(SUBSTITUTE(INDEX(PASTE_ALL,$DF583,$L$9)," "," "),CHAR(9)," "),CHAR(10)," "),CHAR(13)," "))),"")))</f>
        <v/>
      </c>
      <c r="DR583">
        <f>IF($DM583=0,"",IF($L$10=0,"",IFERROR(IF(ISNUMBER(INDEX(PASTE_ALL,$DF583,$L$10)),INDEX(PASTE_ALL,$DF583,$L$10),TRIM(SUBSTITUTE(SUBSTITUTE(SUBSTITUTE(SUBSTITUTE(INDEX(PASTE_ALL,$DF583,$L$10)," "," "),CHAR(9)," "),CHAR(10)," "),CHAR(13)," "))),"")))</f>
        <v/>
      </c>
      <c r="DS583">
        <f>IF($DM583=0,"",IF($L$11=0,"",IFERROR(IF(ISNUMBER(INDEX(PASTE_ALL,$DF583,$L$11)),INDEX(PASTE_ALL,$DF583,$L$11),TRIM(SUBSTITUTE(SUBSTITUTE(SUBSTITUTE(SUBSTITUTE(INDEX(PASTE_ALL,$DF583,$L$11)," "," "),CHAR(9)," "),CHAR(10)," "),CHAR(13)," "))),"")))</f>
        <v/>
      </c>
      <c r="DT583">
        <f>IF($DM583=0,"",IF($L$12=0,"",IFERROR(IF(ISNUMBER(INDEX(PASTE_ALL,$DF583,$L$12)),INDEX(PASTE_ALL,$DF583,$L$12),TRIM(SUBSTITUTE(SUBSTITUTE(SUBSTITUTE(SUBSTITUTE(INDEX(PASTE_ALL,$DF583,$L$12)," "," "),CHAR(9)," "),CHAR(10)," "),CHAR(13)," "))),"")))</f>
        <v/>
      </c>
      <c r="DU583">
        <f>IF($DM583=0,"",IF($L$13=0,"",IFERROR(IF(ISNUMBER(INDEX(PASTE_ALL,$DF583,$L$13)),INDEX(PASTE_ALL,$DF583,$L$13),TRIM(SUBSTITUTE(SUBSTITUTE(SUBSTITUTE(SUBSTITUTE(INDEX(PASTE_ALL,$DF583,$L$13)," "," "),CHAR(9)," "),CHAR(10)," "),CHAR(13)," "))),"")))</f>
        <v/>
      </c>
      <c r="DV583">
        <f>IF($DM583=0,"",IF($L$14=0,"",IFERROR(IF(ISNUMBER(INDEX(PASTE_ALL,$DF583,$L$14)),INDEX(PASTE_ALL,$DF583,$L$14),TRIM(SUBSTITUTE(SUBSTITUTE(SUBSTITUTE(SUBSTITUTE(INDEX(PASTE_ALL,$DF583,$L$14)," "," "),CHAR(9)," "),CHAR(10)," "),CHAR(13)," "))),"")))</f>
        <v/>
      </c>
      <c r="DW583">
        <f>IF($DM583=0,"",IF($L$15=0,"",IFERROR(IF(ISNUMBER(INDEX(PASTE_ALL,$DF583,$L$15)),INDEX(PASTE_ALL,$DF583,$L$15),IF(SUMPRODUCT(--ISNUMBER(FIND({"A","B","C","D","E","F","G","H","I","J","K","L","M","N","O","P","Q","R","S","T","U","V","W","X","Y","Z","0","1","2","3","4","5","6","7","8","9"},UPPER(TRIM(SUBSTITUTE(SUBSTITUTE(SUBSTITUTE(SUBSTITUTE(INDEX(PASTE_ALL,$DF583,$L$15)," "," "),CHAR(9)," "),CHAR(10)," "),CHAR(13)," "))))))&gt;0,TRIM(SUBSTITUTE(SUBSTITUTE(SUBSTITUTE(SUBSTITUTE(INDEX(PASTE_ALL,$DF583,$L$15)," "," "),CHAR(9)," "),CHAR(10)," "),CHAR(13)," ")),"")),"")))</f>
        <v/>
      </c>
      <c r="DX583">
        <f>IF($DM583=0,"",IF($L$16=0,"",IFERROR(IF(ISNUMBER(INDEX(PASTE_ALL,$DF583,$L$16)),INDEX(PASTE_ALL,$DF583,$L$16),SUBSTITUTE(SUBSTITUTE(TRIM(SUBSTITUTE(SUBSTITUTE(SUBSTITUTE(SUBSTITUTE(INDEX(PASTE_ALL,$DF583,$L$16)," "," "),CHAR(9)," "),CHAR(10)," "),CHAR(13)," ")),",",""),"%","")),"")))</f>
        <v/>
      </c>
      <c r="DY583">
        <f>IF($DM583=0,"",IFERROR(IF(ISNUMBER($DX583),$DX583,IF($DX583="","",IF(TRIM($DX583)="",0,IF(AND(AND(SUBSTITUTE(SUBSTITUTE(SUBSTITUTE(SUBSTITUTE(SUBSTITUTE(SUBSTITUTE(SUBSTITUTE(SUBSTITUTE(SUBSTITUTE(SUBSTITUTE(SUBSTITUTE(SUBSTITUTE(SUBSTITUTE(SUBSTITUTE(UPPER(TRIM($DX583)),"0",""),"1",""),"2",""),"3",""),"4",""),"5",""),"6",""),"7",""),"8",""),"9",""),".",""),"+",""),"-",""),"E","")="",LEN(SUBSTITUTE(SUBSTITUTE(MID(UPPER(TRIM($DX583)),1+OR(LEFT(UPPER(TRIM($DX583)),1)="+",LEFT(UPPER(TRIM($DX583)),1)="-"),999),"E+","E"),"E-","E"))=LEN(SUBSTITUTE(SUBSTITUTE(SUBSTITUTE(SUBSTITUTE(MID(UPPER(TRIM($DX583)),1+OR(LEFT(UPPER(TRIM($DX583)),1)="+",LEFT(UPPER(TRIM($DX583)),1)="-"),999),"E+","E"),"E-","E"),"+",""),"-","")),LEN(UPPER(TRIM($DX583)))-LEN(SUBSTITUTE(UPPER(TRIM($DX583)),"E",""))&lt;2,LEN(UPPER(TRIM($DX583)))-LEN(SUBSTITUTE(UPPER(TRIM($DX583)),".",""))&lt;2,IFERROR(FIND(".",UPPER(TRIM($DX583))),0)&lt;IFERROR(FIND("E",UPPER(TRIM($DX583))),999)),ISNUMBER(VALUE(TRIM($DX583)))),VALUE(TRIM($DX583)),"")))),""))</f>
        <v/>
      </c>
      <c r="DZ583">
        <f>IF($DM583=0,"",IF($L$17=0,"",IFERROR(IF(ISNUMBER(INDEX(PASTE_ALL,$DF583,$L$17)),INDEX(PASTE_ALL,$DF583,$L$17),SUBSTITUTE(SUBSTITUTE(TRIM(SUBSTITUTE(SUBSTITUTE(SUBSTITUTE(SUBSTITUTE(INDEX(PASTE_ALL,$DF583,$L$17)," "," "),CHAR(9)," "),CHAR(10)," "),CHAR(13)," ")),",",""),"%","")),"")))</f>
        <v/>
      </c>
      <c r="EA583">
        <f>IF($DM583=0,"",IFERROR(IF(ISNUMBER($DZ583),$DZ583,IF($DZ583="","",IF(TRIM($DZ583)="",0,IF(AND(AND(SUBSTITUTE(SUBSTITUTE(SUBSTITUTE(SUBSTITUTE(SUBSTITUTE(SUBSTITUTE(SUBSTITUTE(SUBSTITUTE(SUBSTITUTE(SUBSTITUTE(SUBSTITUTE(SUBSTITUTE(SUBSTITUTE(SUBSTITUTE(UPPER(TRIM($DZ583)),"0",""),"1",""),"2",""),"3",""),"4",""),"5",""),"6",""),"7",""),"8",""),"9",""),".",""),"+",""),"-",""),"E","")="",LEN(SUBSTITUTE(SUBSTITUTE(MID(UPPER(TRIM($DZ583)),1+OR(LEFT(UPPER(TRIM($DZ583)),1)="+",LEFT(UPPER(TRIM($DZ583)),1)="-"),999),"E+","E"),"E-","E"))=LEN(SUBSTITUTE(SUBSTITUTE(SUBSTITUTE(SUBSTITUTE(MID(UPPER(TRIM($DZ583)),1+OR(LEFT(UPPER(TRIM($DZ583)),1)="+",LEFT(UPPER(TRIM($DZ583)),1)="-"),999),"E+","E"),"E-","E"),"+",""),"-","")),LEN(UPPER(TRIM($DZ583)))-LEN(SUBSTITUTE(UPPER(TRIM($DZ583)),"E",""))&lt;2,LEN(UPPER(TRIM($DZ583)))-LEN(SUBSTITUTE(UPPER(TRIM($DZ583)),".",""))&lt;2,IFERROR(FIND(".",UPPER(TRIM($DZ583))),0)&lt;IFERROR(FIND("E",UPPER(TRIM($DZ583))),999)),ISNUMBER(VALUE(TRIM($DZ583)))),VALUE(TRIM($DZ583)),"")))),""))</f>
        <v/>
      </c>
      <c r="EB583">
        <f>IF($DM583=0,"",IF($L$18=0,"",IFERROR(IF(UPPER(TRIM(SUBSTITUTE(SUBSTITUTE(SUBSTITUTE(SUBSTITUTE(INDEX(PASTE_ALL,$DF583,$L$18)," "," "),CHAR(9)," "),CHAR(10)," "),CHAR(13)," ")))="READY","Ready",IF(UPPER(TRIM(SUBSTITUTE(SUBSTITUTE(SUBSTITUTE(SUBSTITUTE(INDEX(PASTE_ALL,$DF583,$L$18)," "," "),CHAR(9)," "),CHAR(10)," "),CHAR(13)," ")))="PM","PM",IF(OR(UPPER(TRIM(SUBSTITUTE(SUBSTITUTE(SUBSTITUTE(SUBSTITUTE(INDEX(PASTE_ALL,$DF583,$L$18)," "," "),CHAR(9)," "),CHAR(10)," "),CHAR(13)," ")))="OT",UPPER(TRIM(SUBSTITUTE(SUBSTITUTE(SUBSTITUTE(SUBSTITUTE(INDEX(PASTE_ALL,$DF583,$L$18)," "," "),CHAR(9)," "),CHAR(10)," "),CHAR(13)," ")))="OVERTIME",UPPER(TRIM(SUBSTITUTE(SUBSTITUTE(SUBSTITUTE(SUBSTITUTE(INDEX(PASTE_ALL,$DF583,$L$18)," "," "),CHAR(9)," "),CHAR(10)," "),CHAR(13)," ")))="TRIAL"),"OT",TRIM(SUBSTITUTE(SUBSTITUTE(SUBSTITUTE(SUBSTITUTE(INDEX(PASTE_ALL,$DF583,$L$18)," "," "),CHAR(9)," "),CHAR(10)," "),CHAR(13)," "))))),"")))</f>
        <v/>
      </c>
      <c r="EC583">
        <f>IF($DM583=0,"",IF($L$19=0,"",IFERROR(IF(ISNUMBER(INDEX(PASTE_ALL,$DF583,$L$19)),INDEX(PASTE_ALL,$DF583,$L$19),TRIM(SUBSTITUTE(SUBSTITUTE(SUBSTITUTE(SUBSTITUTE(INDEX(PASTE_ALL,$DF583,$L$19)," "," "),CHAR(9)," "),CHAR(10)," "),CHAR(13)," "))),"")))</f>
        <v/>
      </c>
      <c r="ED583">
        <f>IF($DM583=0,"",MATCH(1,INDEX(EXACT($DH$5:DH583,$DH583)*$DM$5:DM583,0),0))</f>
        <v/>
      </c>
      <c r="EE583">
        <f>IF($DM583=0,0,IF($ED583=$DE583,1,0))</f>
        <v/>
      </c>
      <c r="EF583">
        <f>EF582+$EE583</f>
        <v/>
      </c>
      <c r="EG583">
        <f>IF($DM583=0,"",INDEX($EF$5:$EF$1003,$ED583))</f>
        <v/>
      </c>
      <c r="EH583">
        <f>IF($DM583=0,"",IF($DO583&lt;&gt;"","",IFERROR(LOOKUP(2,1/(($EG$4:EG582=$EG583)*($DO$4:DO582&lt;&gt;"")),$DO$4:DO582),"")))</f>
        <v/>
      </c>
      <c r="EI583">
        <f>IF($DM583=0,"",IF($DO583&lt;&gt;"",$DO583,$EH583))</f>
        <v/>
      </c>
      <c r="EJ583">
        <f>IF($DM583=0,"",IF($EI583="",0,IF(OR(ISNUMBER($EI583),AND(AND(SUBSTITUTE(SUBSTITUTE(SUBSTITUTE(SUBSTITUTE(SUBSTITUTE(SUBSTITUTE(SUBSTITUTE(SUBSTITUTE(SUBSTITUTE(SUBSTITUTE(SUBSTITUTE(SUBSTITUTE(SUBSTITUTE(SUBSTITUTE(UPPER($EI583),"0",""),"1",""),"2",""),"3",""),"4",""),"5",""),"6",""),"7",""),"8",""),"9",""),".",""),"+",""),"-",""),"E","")="",LEN(SUBSTITUTE(SUBSTITUTE(MID(UPPER($EI583),1+OR(LEFT(UPPER($EI583),1)="+",LEFT(UPPER($EI583),1)="-"),999),"E+","E"),"E-","E"))=LEN(SUBSTITUTE(SUBSTITUTE(SUBSTITUTE(SUBSTITUTE(MID(UPPER($EI583),1+OR(LEFT(UPPER($EI583),1)="+",LEFT(UPPER($EI583),1)="-"),999),"E+","E"),"E-","E"),"+",""),"-","")),LEN(UPPER($EI583))-LEN(SUBSTITUTE(UPPER($EI583),"E",""))&lt;2,LEN(UPPER($EI583))-LEN(SUBSTITUTE(UPPER($EI583),".",""))&lt;2,IFERROR(FIND(".",UPPER($EI583)),0)&lt;IFERROR(FIND("E",UPPER($EI583)),999)),ISNUMBER(VALUE($EI583)))),1,2)))</f>
        <v/>
      </c>
      <c r="EK583">
        <f>IF($DM583=0,"",IF($EJ583=1,IF(ISNUMBER($EI583),$EI583,VALUE($EI583)),IF($EJ583=2,$DE583,0)))</f>
        <v/>
      </c>
      <c r="EL583">
        <f>IF($DM583=0,"",COUNTIF($EG$5:$EG$1003,"&lt;"&amp;$EG583)+SUMPRODUCT(($EG$5:$EG$1003=$EG583)*(($EJ$5:$EJ$1003&lt;$EJ583)+($EJ$5:$EJ$1003=$EJ583)*(($EK$5:$EK$1003&lt;$EK583)+($EK$5:$EK$1003=$EK583)*($DE$5:$DE$1003&lt;$DE583))))+1)</f>
        <v/>
      </c>
      <c r="EM583">
        <f>IF($DM583=0,"",$EL583+$EG583-1)</f>
        <v/>
      </c>
      <c r="EN583">
        <f>IF($DM583=0,0,IFERROR(MATCH(1,INDEX(--(TRIM(SUBSTITUTE(SUBSTITUTE(SUBSTITUTE(SUBSTITUTE(LINES_NAME&amp;""," "," "),CHAR(9)," "),CHAR(10)," "),CHAR(13)," "))=$DH583),0),0),0))</f>
        <v/>
      </c>
      <c r="EO583">
        <f>IF($EN583=0,0,IF(OR(UPPER(TRIM(INDEX(LINES_SCHEDULED,$EN583)&amp;""))="YES",UPPER(TRIM(INDEX(LINES_SCHEDULED,$EN583)&amp;""))="Y",UPPER(TRIM(INDEX(LINES_SCHEDULED,$EN583)&amp;""))="X"),1,0))</f>
        <v/>
      </c>
      <c r="EP583">
        <f>IF($DM583=0,"",IF(COUNTIFS($EG$5:$EG$1003,$EG583,$EB$5:$EB$1003,"Ready")&gt;0,"READY",IF(COUNTIFS($EG$5:$EG$1003,$EG583,$EB$5:$EB$1003,"PM")&gt;0,"PM",IF(COUNTIFS($EG$5:$EG$1003,$EG583,$EB$5:$EB$1003,"OT")&gt;0,"OT",""))))</f>
        <v/>
      </c>
      <c r="EQ583">
        <f>IF($EN583=0,"",UPPER(TRIM(INDEX(LINES_STATUS,$EN583)&amp;"")))</f>
        <v/>
      </c>
      <c r="ER583">
        <f>IF($DM583=0,"",IF(OR($EQ583="READY",$EQ583="PM",$EQ583="OT"),$EQ583,$EP583))</f>
        <v/>
      </c>
      <c r="ES583">
        <f>IF($DM583=0,"",IF(AND($DV583&lt;&gt;"",UPPER($DV583)&lt;&gt;"N"),"allergen",IF(ISNUMBER(SEARCH("oil",$DQ583)),"oil",IF(OR(EXACT($DS583,"A662"),EXACT($DS583,"A624")),"bulk",""))))</f>
        <v/>
      </c>
      <c r="ET583">
        <f>IF($DM583=0,"",IF(OR($EA583="",$EA583=0),"",$EA583/100))</f>
        <v/>
      </c>
      <c r="EU583">
        <f>IF(OR($ET583="",$DY583=""),"",INT($DY583*(1-$ET583)+0.5))</f>
        <v/>
      </c>
      <c r="EW583" t="n">
        <v>579</v>
      </c>
      <c r="EX583">
        <f>IFERROR(MATCH($EW583,$EM$5:$EM$1003,0),0)</f>
        <v/>
      </c>
      <c r="EY583">
        <f>IF($EW583&gt;$B$12,"",IF($EX583&gt;0,"row","spacer"))</f>
        <v/>
      </c>
      <c r="EZ583">
        <f>IF(AND($EY583="row",$EY582&lt;&gt;"row"),1,0)</f>
        <v/>
      </c>
      <c r="FA583">
        <f>IF(AND($EY583="row",$EY584&lt;&gt;"row"),1,0)</f>
        <v/>
      </c>
      <c r="FB583">
        <f>IF($EZ583=1,IFERROR(IF(ISNUMBER(INDEX(PASTE_ALL,INDEX($DF$5:$DF$1003,$EX583),$B$37)),INDEX(PASTE_ALL,INDEX($DF$5:$DF$1003,$EX583),$B$37),INDEX($DH$5:$DH$1003,$EX583)),INDEX($DH$5:$DH$1003,$EX583)),"")</f>
        <v/>
      </c>
      <c r="FC583">
        <f>IF($EY583="row",INDEX($ER$5:$ER$1003,$EX583),"")</f>
        <v/>
      </c>
      <c r="FD583">
        <f>IF($EY583="row",INDEX($DN$5:$DN$1003,$EX583),"")</f>
        <v/>
      </c>
      <c r="FE583">
        <f>IF($EY583="row",INDEX($DO$5:$DO$1003,$EX583),"")</f>
        <v/>
      </c>
      <c r="FF583">
        <f>IF($EY583="row",INDEX($DP$5:$DP$1003,$EX583),"")</f>
        <v/>
      </c>
      <c r="FG583">
        <f>IF($EY583="row",INDEX($DQ$5:$DQ$1003,$EX583),"")</f>
        <v/>
      </c>
      <c r="FH583">
        <f>IF($EY583="row",INDEX($DR$5:$DR$1003,$EX583),"")</f>
        <v/>
      </c>
      <c r="FI583">
        <f>IF($EY583="row",INDEX($DS$5:$DS$1003,$EX583),"")</f>
        <v/>
      </c>
      <c r="FJ583">
        <f>IF($EY583="row",INDEX($DT$5:$DT$1003,$EX583),"")</f>
        <v/>
      </c>
      <c r="FK583">
        <f>IF($EY583="row",INDEX($DU$5:$DU$1003,$EX583),"")</f>
        <v/>
      </c>
      <c r="FL583">
        <f>IF($EY583="row",INDEX($DV$5:$DV$1003,$EX583),"")</f>
        <v/>
      </c>
      <c r="FM583">
        <f>IF($EY583="row",INDEX($DW$5:$DW$1003,$EX583),"")</f>
        <v/>
      </c>
      <c r="FN583">
        <f>IF($EY583="row",INDEX($DY$5:$DY$1003,$EX583),"")</f>
        <v/>
      </c>
      <c r="FO583">
        <f>IF($EY583="row",INDEX($EA$5:$EA$1003,$EX583),"")</f>
        <v/>
      </c>
      <c r="FP583">
        <f>IF($EY583="row",INDEX($EC$5:$EC$1003,$EX583),"")</f>
        <v/>
      </c>
      <c r="FQ583">
        <f>IF($EY583="row",INDEX($ET$5:$ET$1003,$EX583),"")</f>
        <v/>
      </c>
      <c r="FR583">
        <f>IF($EY583="row",INDEX($EU$5:$EU$1003,$EX583),"")</f>
        <v/>
      </c>
      <c r="FS583">
        <f>IF(AND($EY583="row",$EY582="row"),IF(OR(INDEX($DT$5:$DT$1003,$EX582)="",INDEX($DT$5:$DT$1003,$EX583)=""),"",IF(NOT(EXACT(INDEX($DT$5:$DT$1003,$EX582),INDEX($DT$5:$DT$1003,$EX583))),"S4",IF(NOT(EXACT(INDEX($DS$5:$DS$1003,$EX582),INDEX($DS$5:$DS$1003,$EX583))),"S3",IF(NOT(EXACT(INDEX($DR$5:$DR$1003,$EX582),INDEX($DR$5:$DR$1003,$EX583))),"S1 Count Change","S1")))),"")</f>
        <v/>
      </c>
      <c r="FT583">
        <f>IF($EY583="row",INDEX($ES$5:$ES$1003,$EX583),"")</f>
        <v/>
      </c>
      <c r="FU583">
        <f>IF($EY583="row",INDEX($EO$5:$EO$1003,$EX583),0)</f>
        <v/>
      </c>
      <c r="FV583">
        <f>IF($FS583="S1 Count Change",1,0)</f>
        <v/>
      </c>
    </row>
    <row r="584">
      <c r="DA584" t="n">
        <v>580</v>
      </c>
      <c r="DB584">
        <f>IF($B$37=0,"",IFERROR(TRIM(SUBSTITUTE(SUBSTITUTE(SUBSTITUTE(SUBSTITUTE(INDEX(PASTE_ALL,580,$B$37)," "," "),CHAR(9)," "),CHAR(10)," "),CHAR(13)," ")),""))</f>
        <v/>
      </c>
      <c r="DC584">
        <f>IF(AND(580&gt;HEADER_ROW,UPPER(DB584)="LEGEND"),1,0)</f>
        <v/>
      </c>
      <c r="DE584" t="n">
        <v>580</v>
      </c>
      <c r="DF584">
        <f>HEADER_ROW+$DE584</f>
        <v/>
      </c>
      <c r="DG584">
        <f>IF(AND($DF584&lt;=1000,$DF584&lt;$B$8),1,0)</f>
        <v/>
      </c>
      <c r="DH584">
        <f>IF($DG584=1,IFERROR(INDEX($DB$5:$DB$1004,$DF584),""),"")</f>
        <v/>
      </c>
      <c r="DI584">
        <f>IF(AND($DG584=1,$DH584&lt;&gt;""),IFERROR(SUBSTITUTE(SUBSTITUTE(TRIM(SUBSTITUTE(SUBSTITUTE(SUBSTITUTE(SUBSTITUTE(IFERROR(INDEX(PASTE_ALL,$DF584,1)&amp;"","")&amp;"␟"&amp;IFERROR(INDEX(PASTE_ALL,$DF584,2)&amp;"","")&amp;"␟"&amp;IFERROR(INDEX(PASTE_ALL,$DF584,3)&amp;"","")&amp;"␟"&amp;IFERROR(INDEX(PASTE_ALL,$DF584,4)&amp;"","")&amp;"␟"&amp;IFERROR(INDEX(PASTE_ALL,$DF584,5)&amp;"","")&amp;"␟"&amp;IFERROR(INDEX(PASTE_ALL,$DF584,6)&amp;"","")&amp;"␟"&amp;IFERROR(INDEX(PASTE_ALL,$DF584,7)&amp;"","")&amp;"␟"&amp;IFERROR(INDEX(PASTE_ALL,$DF584,8)&amp;"","")&amp;"␟"&amp;IFERROR(INDEX(PASTE_ALL,$DF584,9)&amp;"","")&amp;"␟"&amp;IFERROR(INDEX(PASTE_ALL,$DF584,10)&amp;"","")&amp;"␟"&amp;IFERROR(INDEX(PASTE_ALL,$DF584,11)&amp;"","")&amp;"␟"&amp;IFERROR(INDEX(PASTE_ALL,$DF584,12)&amp;"","")&amp;"␟"&amp;IFERROR(INDEX(PASTE_ALL,$DF584,13)&amp;"","")&amp;"␟"&amp;IFERROR(INDEX(PASTE_ALL,$DF584,14)&amp;"","")&amp;"␟"&amp;IFERROR(INDEX(PASTE_ALL,$DF584,15)&amp;"","")&amp;"␟"&amp;IFERROR(INDEX(PASTE_ALL,$DF584,16)&amp;"","")&amp;"␟"&amp;IFERROR(INDEX(PASTE_ALL,$DF584,17)&amp;"","")&amp;"␟"&amp;IFERROR(INDEX(PASTE_ALL,$DF584,18)&amp;"","")&amp;"␟"&amp;IFERROR(INDEX(PASTE_ALL,$DF584,19)&amp;"","")&amp;"␟"&amp;IFERROR(INDEX(PASTE_ALL,$DF584,20)&amp;"","")&amp;"␟"&amp;IFERROR(INDEX(PASTE_ALL,$DF584,21)&amp;"","")&amp;"␟"&amp;IFERROR(INDEX(PASTE_ALL,$DF584,22)&amp;"","")&amp;"␟"&amp;IFERROR(INDEX(PASTE_ALL,$DF584,23)&amp;"","")&amp;"␟"&amp;IFERROR(INDEX(PASTE_ALL,$DF584,24)&amp;"","")&amp;"␟"&amp;IFERROR(INDEX(PASTE_ALL,$DF584,25)&amp;"","")&amp;"␟"&amp;IFERROR(INDEX(PASTE_ALL,$DF584,26)&amp;"","")&amp;"␟"&amp;IFERROR(INDEX(PASTE_ALL,$DF584,27)&amp;"","")&amp;"␟"&amp;IFERROR(INDEX(PASTE_ALL,$DF584,28)&amp;"","")&amp;"␟"&amp;IFERROR(INDEX(PASTE_ALL,$DF584,29)&amp;"","")&amp;"␟"&amp;IFERROR(INDEX(PASTE_ALL,$DF584,30)&amp;"","")&amp;"␟"&amp;IFERROR(INDEX(PASTE_ALL,$DF584,31)&amp;"","")&amp;"␟"&amp;IFERROR(INDEX(PASTE_ALL,$DF584,32)&amp;"","")&amp;"␟"&amp;IFERROR(INDEX(PASTE_ALL,$DF584,33)&amp;"","")&amp;"␟"&amp;IFERROR(INDEX(PASTE_ALL,$DF584,34)&amp;"","")&amp;"␟"&amp;IFERROR(INDEX(PASTE_ALL,$DF584,35)&amp;"","")&amp;"␟"&amp;IFERROR(INDEX(PASTE_ALL,$DF584,36)&amp;"","")&amp;"␟"&amp;IFERROR(INDEX(PASTE_ALL,$DF584,37)&amp;"","")&amp;"␟"&amp;IFERROR(INDEX(PASTE_ALL,$DF584,38)&amp;"","")&amp;"␟"&amp;IFERROR(INDEX(PASTE_ALL,$DF584,39)&amp;"","")&amp;"␟"&amp;IFERROR(INDEX(PASTE_ALL,$DF584,40)&amp;"","")&amp;"␟"&amp;IFERROR(INDEX(PASTE_ALL,$DF584,41)&amp;"","")&amp;"␟"&amp;IFERROR(INDEX(PASTE_ALL,$DF584,42)&amp;"","")&amp;"␟"&amp;IFERROR(INDEX(PASTE_ALL,$DF584,43)&amp;"","")&amp;"␟"&amp;IFERROR(INDEX(PASTE_ALL,$DF584,44)&amp;"","")&amp;"␟"&amp;IFERROR(INDEX(PASTE_ALL,$DF584,45)&amp;"","")&amp;"␟"&amp;IFERROR(INDEX(PASTE_ALL,$DF584,46)&amp;"","")&amp;"␟"&amp;IFERROR(INDEX(PASTE_ALL,$DF584,47)&amp;"","")&amp;"␟"&amp;IFERROR(INDEX(PASTE_ALL,$DF584,48)&amp;"","")&amp;"␟"&amp;IFERROR(INDEX(PASTE_ALL,$DF584,49)&amp;"","")&amp;"␟"&amp;IFERROR(INDEX(PASTE_ALL,$DF584,50)&amp;"","")&amp;"␟"&amp;IFERROR(INDEX(PASTE_ALL,$DF584,51)&amp;"","")&amp;"␟"&amp;IFERROR(INDEX(PASTE_ALL,$DF584,52)&amp;"","")&amp;"␟"&amp;IFERROR(INDEX(PASTE_ALL,$DF584,53)&amp;"","")&amp;"␟"&amp;IFERROR(INDEX(PASTE_ALL,$DF584,54)&amp;"","")&amp;"␟"&amp;IFERROR(INDEX(PASTE_ALL,$DF584,55)&amp;"","")&amp;"␟"&amp;IFERROR(INDEX(PASTE_ALL,$DF584,56)&amp;"","")&amp;"␟"&amp;IFERROR(INDEX(PASTE_ALL,$DF584,57)&amp;"","")&amp;"␟"&amp;IFERROR(INDEX(PASTE_ALL,$DF584,58)&amp;"","")&amp;"␟"&amp;IFERROR(INDEX(PASTE_ALL,$DF584,59)&amp;"","")&amp;"␟"&amp;IFERROR(INDEX(PASTE_ALL,$DF584,60)&amp;"","")," "," "),CHAR(9)," "),CHAR(10)," "),CHAR(13)," "))," ␟","␟"),"␟ ","␟"),"#"&amp;$DE584),"")</f>
        <v/>
      </c>
      <c r="DJ584">
        <f>IF($DI584="",0,IF(SUMPRODUCT(--EXACT($DI$4:DI583,$DI584))&gt;0,1,0))</f>
        <v/>
      </c>
      <c r="DK584">
        <f>IF(AND($DI584&lt;&gt;"",$DJ584=0),1,0)</f>
        <v/>
      </c>
      <c r="DL584">
        <f>DL583+$DK584</f>
        <v/>
      </c>
      <c r="DM584">
        <f>IF(AND($DK584=1,$DL584&lt;=600),1,0)</f>
        <v/>
      </c>
      <c r="DN584">
        <f>IF($DM584=0,"",IF($L$6=0,"",IFERROR(IF(ISNUMBER(INDEX(PASTE_ALL,$DF584,$L$6)),INDEX(PASTE_ALL,$DF584,$L$6),TRIM(SUBSTITUTE(SUBSTITUTE(SUBSTITUTE(SUBSTITUTE(INDEX(PASTE_ALL,$DF584,$L$6)," "," "),CHAR(9)," "),CHAR(10)," "),CHAR(13)," "))),"")))</f>
        <v/>
      </c>
      <c r="DO584">
        <f>IF($DM584=0,"",IF($L$7=0,"",IFERROR(IF(ISNUMBER(INDEX(PASTE_ALL,$DF584,$L$7)),INDEX(PASTE_ALL,$DF584,$L$7),TRIM(SUBSTITUTE(SUBSTITUTE(SUBSTITUTE(SUBSTITUTE(INDEX(PASTE_ALL,$DF584,$L$7)," "," "),CHAR(9)," "),CHAR(10)," "),CHAR(13)," "))),"")))</f>
        <v/>
      </c>
      <c r="DP584">
        <f>IF($DM584=0,"",IF($L$8=0,"",IFERROR(IF(ISNUMBER(INDEX(PASTE_ALL,$DF584,$L$8)),INDEX(PASTE_ALL,$DF584,$L$8),TRIM(SUBSTITUTE(SUBSTITUTE(SUBSTITUTE(SUBSTITUTE(INDEX(PASTE_ALL,$DF584,$L$8)," "," "),CHAR(9)," "),CHAR(10)," "),CHAR(13)," "))),"")))</f>
        <v/>
      </c>
      <c r="DQ584">
        <f>IF($DM584=0,"",IF($L$9=0,"",IFERROR(IF(ISNUMBER(INDEX(PASTE_ALL,$DF584,$L$9)),INDEX(PASTE_ALL,$DF584,$L$9),TRIM(SUBSTITUTE(SUBSTITUTE(SUBSTITUTE(SUBSTITUTE(INDEX(PASTE_ALL,$DF584,$L$9)," "," "),CHAR(9)," "),CHAR(10)," "),CHAR(13)," "))),"")))</f>
        <v/>
      </c>
      <c r="DR584">
        <f>IF($DM584=0,"",IF($L$10=0,"",IFERROR(IF(ISNUMBER(INDEX(PASTE_ALL,$DF584,$L$10)),INDEX(PASTE_ALL,$DF584,$L$10),TRIM(SUBSTITUTE(SUBSTITUTE(SUBSTITUTE(SUBSTITUTE(INDEX(PASTE_ALL,$DF584,$L$10)," "," "),CHAR(9)," "),CHAR(10)," "),CHAR(13)," "))),"")))</f>
        <v/>
      </c>
      <c r="DS584">
        <f>IF($DM584=0,"",IF($L$11=0,"",IFERROR(IF(ISNUMBER(INDEX(PASTE_ALL,$DF584,$L$11)),INDEX(PASTE_ALL,$DF584,$L$11),TRIM(SUBSTITUTE(SUBSTITUTE(SUBSTITUTE(SUBSTITUTE(INDEX(PASTE_ALL,$DF584,$L$11)," "," "),CHAR(9)," "),CHAR(10)," "),CHAR(13)," "))),"")))</f>
        <v/>
      </c>
      <c r="DT584">
        <f>IF($DM584=0,"",IF($L$12=0,"",IFERROR(IF(ISNUMBER(INDEX(PASTE_ALL,$DF584,$L$12)),INDEX(PASTE_ALL,$DF584,$L$12),TRIM(SUBSTITUTE(SUBSTITUTE(SUBSTITUTE(SUBSTITUTE(INDEX(PASTE_ALL,$DF584,$L$12)," "," "),CHAR(9)," "),CHAR(10)," "),CHAR(13)," "))),"")))</f>
        <v/>
      </c>
      <c r="DU584">
        <f>IF($DM584=0,"",IF($L$13=0,"",IFERROR(IF(ISNUMBER(INDEX(PASTE_ALL,$DF584,$L$13)),INDEX(PASTE_ALL,$DF584,$L$13),TRIM(SUBSTITUTE(SUBSTITUTE(SUBSTITUTE(SUBSTITUTE(INDEX(PASTE_ALL,$DF584,$L$13)," "," "),CHAR(9)," "),CHAR(10)," "),CHAR(13)," "))),"")))</f>
        <v/>
      </c>
      <c r="DV584">
        <f>IF($DM584=0,"",IF($L$14=0,"",IFERROR(IF(ISNUMBER(INDEX(PASTE_ALL,$DF584,$L$14)),INDEX(PASTE_ALL,$DF584,$L$14),TRIM(SUBSTITUTE(SUBSTITUTE(SUBSTITUTE(SUBSTITUTE(INDEX(PASTE_ALL,$DF584,$L$14)," "," "),CHAR(9)," "),CHAR(10)," "),CHAR(13)," "))),"")))</f>
        <v/>
      </c>
      <c r="DW584">
        <f>IF($DM584=0,"",IF($L$15=0,"",IFERROR(IF(ISNUMBER(INDEX(PASTE_ALL,$DF584,$L$15)),INDEX(PASTE_ALL,$DF584,$L$15),IF(SUMPRODUCT(--ISNUMBER(FIND({"A","B","C","D","E","F","G","H","I","J","K","L","M","N","O","P","Q","R","S","T","U","V","W","X","Y","Z","0","1","2","3","4","5","6","7","8","9"},UPPER(TRIM(SUBSTITUTE(SUBSTITUTE(SUBSTITUTE(SUBSTITUTE(INDEX(PASTE_ALL,$DF584,$L$15)," "," "),CHAR(9)," "),CHAR(10)," "),CHAR(13)," "))))))&gt;0,TRIM(SUBSTITUTE(SUBSTITUTE(SUBSTITUTE(SUBSTITUTE(INDEX(PASTE_ALL,$DF584,$L$15)," "," "),CHAR(9)," "),CHAR(10)," "),CHAR(13)," ")),"")),"")))</f>
        <v/>
      </c>
      <c r="DX584">
        <f>IF($DM584=0,"",IF($L$16=0,"",IFERROR(IF(ISNUMBER(INDEX(PASTE_ALL,$DF584,$L$16)),INDEX(PASTE_ALL,$DF584,$L$16),SUBSTITUTE(SUBSTITUTE(TRIM(SUBSTITUTE(SUBSTITUTE(SUBSTITUTE(SUBSTITUTE(INDEX(PASTE_ALL,$DF584,$L$16)," "," "),CHAR(9)," "),CHAR(10)," "),CHAR(13)," ")),",",""),"%","")),"")))</f>
        <v/>
      </c>
      <c r="DY584">
        <f>IF($DM584=0,"",IFERROR(IF(ISNUMBER($DX584),$DX584,IF($DX584="","",IF(TRIM($DX584)="",0,IF(AND(AND(SUBSTITUTE(SUBSTITUTE(SUBSTITUTE(SUBSTITUTE(SUBSTITUTE(SUBSTITUTE(SUBSTITUTE(SUBSTITUTE(SUBSTITUTE(SUBSTITUTE(SUBSTITUTE(SUBSTITUTE(SUBSTITUTE(SUBSTITUTE(UPPER(TRIM($DX584)),"0",""),"1",""),"2",""),"3",""),"4",""),"5",""),"6",""),"7",""),"8",""),"9",""),".",""),"+",""),"-",""),"E","")="",LEN(SUBSTITUTE(SUBSTITUTE(MID(UPPER(TRIM($DX584)),1+OR(LEFT(UPPER(TRIM($DX584)),1)="+",LEFT(UPPER(TRIM($DX584)),1)="-"),999),"E+","E"),"E-","E"))=LEN(SUBSTITUTE(SUBSTITUTE(SUBSTITUTE(SUBSTITUTE(MID(UPPER(TRIM($DX584)),1+OR(LEFT(UPPER(TRIM($DX584)),1)="+",LEFT(UPPER(TRIM($DX584)),1)="-"),999),"E+","E"),"E-","E"),"+",""),"-","")),LEN(UPPER(TRIM($DX584)))-LEN(SUBSTITUTE(UPPER(TRIM($DX584)),"E",""))&lt;2,LEN(UPPER(TRIM($DX584)))-LEN(SUBSTITUTE(UPPER(TRIM($DX584)),".",""))&lt;2,IFERROR(FIND(".",UPPER(TRIM($DX584))),0)&lt;IFERROR(FIND("E",UPPER(TRIM($DX584))),999)),ISNUMBER(VALUE(TRIM($DX584)))),VALUE(TRIM($DX584)),"")))),""))</f>
        <v/>
      </c>
      <c r="DZ584">
        <f>IF($DM584=0,"",IF($L$17=0,"",IFERROR(IF(ISNUMBER(INDEX(PASTE_ALL,$DF584,$L$17)),INDEX(PASTE_ALL,$DF584,$L$17),SUBSTITUTE(SUBSTITUTE(TRIM(SUBSTITUTE(SUBSTITUTE(SUBSTITUTE(SUBSTITUTE(INDEX(PASTE_ALL,$DF584,$L$17)," "," "),CHAR(9)," "),CHAR(10)," "),CHAR(13)," ")),",",""),"%","")),"")))</f>
        <v/>
      </c>
      <c r="EA584">
        <f>IF($DM584=0,"",IFERROR(IF(ISNUMBER($DZ584),$DZ584,IF($DZ584="","",IF(TRIM($DZ584)="",0,IF(AND(AND(SUBSTITUTE(SUBSTITUTE(SUBSTITUTE(SUBSTITUTE(SUBSTITUTE(SUBSTITUTE(SUBSTITUTE(SUBSTITUTE(SUBSTITUTE(SUBSTITUTE(SUBSTITUTE(SUBSTITUTE(SUBSTITUTE(SUBSTITUTE(UPPER(TRIM($DZ584)),"0",""),"1",""),"2",""),"3",""),"4",""),"5",""),"6",""),"7",""),"8",""),"9",""),".",""),"+",""),"-",""),"E","")="",LEN(SUBSTITUTE(SUBSTITUTE(MID(UPPER(TRIM($DZ584)),1+OR(LEFT(UPPER(TRIM($DZ584)),1)="+",LEFT(UPPER(TRIM($DZ584)),1)="-"),999),"E+","E"),"E-","E"))=LEN(SUBSTITUTE(SUBSTITUTE(SUBSTITUTE(SUBSTITUTE(MID(UPPER(TRIM($DZ584)),1+OR(LEFT(UPPER(TRIM($DZ584)),1)="+",LEFT(UPPER(TRIM($DZ584)),1)="-"),999),"E+","E"),"E-","E"),"+",""),"-","")),LEN(UPPER(TRIM($DZ584)))-LEN(SUBSTITUTE(UPPER(TRIM($DZ584)),"E",""))&lt;2,LEN(UPPER(TRIM($DZ584)))-LEN(SUBSTITUTE(UPPER(TRIM($DZ584)),".",""))&lt;2,IFERROR(FIND(".",UPPER(TRIM($DZ584))),0)&lt;IFERROR(FIND("E",UPPER(TRIM($DZ584))),999)),ISNUMBER(VALUE(TRIM($DZ584)))),VALUE(TRIM($DZ584)),"")))),""))</f>
        <v/>
      </c>
      <c r="EB584">
        <f>IF($DM584=0,"",IF($L$18=0,"",IFERROR(IF(UPPER(TRIM(SUBSTITUTE(SUBSTITUTE(SUBSTITUTE(SUBSTITUTE(INDEX(PASTE_ALL,$DF584,$L$18)," "," "),CHAR(9)," "),CHAR(10)," "),CHAR(13)," ")))="READY","Ready",IF(UPPER(TRIM(SUBSTITUTE(SUBSTITUTE(SUBSTITUTE(SUBSTITUTE(INDEX(PASTE_ALL,$DF584,$L$18)," "," "),CHAR(9)," "),CHAR(10)," "),CHAR(13)," ")))="PM","PM",IF(OR(UPPER(TRIM(SUBSTITUTE(SUBSTITUTE(SUBSTITUTE(SUBSTITUTE(INDEX(PASTE_ALL,$DF584,$L$18)," "," "),CHAR(9)," "),CHAR(10)," "),CHAR(13)," ")))="OT",UPPER(TRIM(SUBSTITUTE(SUBSTITUTE(SUBSTITUTE(SUBSTITUTE(INDEX(PASTE_ALL,$DF584,$L$18)," "," "),CHAR(9)," "),CHAR(10)," "),CHAR(13)," ")))="OVERTIME",UPPER(TRIM(SUBSTITUTE(SUBSTITUTE(SUBSTITUTE(SUBSTITUTE(INDEX(PASTE_ALL,$DF584,$L$18)," "," "),CHAR(9)," "),CHAR(10)," "),CHAR(13)," ")))="TRIAL"),"OT",TRIM(SUBSTITUTE(SUBSTITUTE(SUBSTITUTE(SUBSTITUTE(INDEX(PASTE_ALL,$DF584,$L$18)," "," "),CHAR(9)," "),CHAR(10)," "),CHAR(13)," "))))),"")))</f>
        <v/>
      </c>
      <c r="EC584">
        <f>IF($DM584=0,"",IF($L$19=0,"",IFERROR(IF(ISNUMBER(INDEX(PASTE_ALL,$DF584,$L$19)),INDEX(PASTE_ALL,$DF584,$L$19),TRIM(SUBSTITUTE(SUBSTITUTE(SUBSTITUTE(SUBSTITUTE(INDEX(PASTE_ALL,$DF584,$L$19)," "," "),CHAR(9)," "),CHAR(10)," "),CHAR(13)," "))),"")))</f>
        <v/>
      </c>
      <c r="ED584">
        <f>IF($DM584=0,"",MATCH(1,INDEX(EXACT($DH$5:DH584,$DH584)*$DM$5:DM584,0),0))</f>
        <v/>
      </c>
      <c r="EE584">
        <f>IF($DM584=0,0,IF($ED584=$DE584,1,0))</f>
        <v/>
      </c>
      <c r="EF584">
        <f>EF583+$EE584</f>
        <v/>
      </c>
      <c r="EG584">
        <f>IF($DM584=0,"",INDEX($EF$5:$EF$1003,$ED584))</f>
        <v/>
      </c>
      <c r="EH584">
        <f>IF($DM584=0,"",IF($DO584&lt;&gt;"","",IFERROR(LOOKUP(2,1/(($EG$4:EG583=$EG584)*($DO$4:DO583&lt;&gt;"")),$DO$4:DO583),"")))</f>
        <v/>
      </c>
      <c r="EI584">
        <f>IF($DM584=0,"",IF($DO584&lt;&gt;"",$DO584,$EH584))</f>
        <v/>
      </c>
      <c r="EJ584">
        <f>IF($DM584=0,"",IF($EI584="",0,IF(OR(ISNUMBER($EI584),AND(AND(SUBSTITUTE(SUBSTITUTE(SUBSTITUTE(SUBSTITUTE(SUBSTITUTE(SUBSTITUTE(SUBSTITUTE(SUBSTITUTE(SUBSTITUTE(SUBSTITUTE(SUBSTITUTE(SUBSTITUTE(SUBSTITUTE(SUBSTITUTE(UPPER($EI584),"0",""),"1",""),"2",""),"3",""),"4",""),"5",""),"6",""),"7",""),"8",""),"9",""),".",""),"+",""),"-",""),"E","")="",LEN(SUBSTITUTE(SUBSTITUTE(MID(UPPER($EI584),1+OR(LEFT(UPPER($EI584),1)="+",LEFT(UPPER($EI584),1)="-"),999),"E+","E"),"E-","E"))=LEN(SUBSTITUTE(SUBSTITUTE(SUBSTITUTE(SUBSTITUTE(MID(UPPER($EI584),1+OR(LEFT(UPPER($EI584),1)="+",LEFT(UPPER($EI584),1)="-"),999),"E+","E"),"E-","E"),"+",""),"-","")),LEN(UPPER($EI584))-LEN(SUBSTITUTE(UPPER($EI584),"E",""))&lt;2,LEN(UPPER($EI584))-LEN(SUBSTITUTE(UPPER($EI584),".",""))&lt;2,IFERROR(FIND(".",UPPER($EI584)),0)&lt;IFERROR(FIND("E",UPPER($EI584)),999)),ISNUMBER(VALUE($EI584)))),1,2)))</f>
        <v/>
      </c>
      <c r="EK584">
        <f>IF($DM584=0,"",IF($EJ584=1,IF(ISNUMBER($EI584),$EI584,VALUE($EI584)),IF($EJ584=2,$DE584,0)))</f>
        <v/>
      </c>
      <c r="EL584">
        <f>IF($DM584=0,"",COUNTIF($EG$5:$EG$1003,"&lt;"&amp;$EG584)+SUMPRODUCT(($EG$5:$EG$1003=$EG584)*(($EJ$5:$EJ$1003&lt;$EJ584)+($EJ$5:$EJ$1003=$EJ584)*(($EK$5:$EK$1003&lt;$EK584)+($EK$5:$EK$1003=$EK584)*($DE$5:$DE$1003&lt;$DE584))))+1)</f>
        <v/>
      </c>
      <c r="EM584">
        <f>IF($DM584=0,"",$EL584+$EG584-1)</f>
        <v/>
      </c>
      <c r="EN584">
        <f>IF($DM584=0,0,IFERROR(MATCH(1,INDEX(--(TRIM(SUBSTITUTE(SUBSTITUTE(SUBSTITUTE(SUBSTITUTE(LINES_NAME&amp;""," "," "),CHAR(9)," "),CHAR(10)," "),CHAR(13)," "))=$DH584),0),0),0))</f>
        <v/>
      </c>
      <c r="EO584">
        <f>IF($EN584=0,0,IF(OR(UPPER(TRIM(INDEX(LINES_SCHEDULED,$EN584)&amp;""))="YES",UPPER(TRIM(INDEX(LINES_SCHEDULED,$EN584)&amp;""))="Y",UPPER(TRIM(INDEX(LINES_SCHEDULED,$EN584)&amp;""))="X"),1,0))</f>
        <v/>
      </c>
      <c r="EP584">
        <f>IF($DM584=0,"",IF(COUNTIFS($EG$5:$EG$1003,$EG584,$EB$5:$EB$1003,"Ready")&gt;0,"READY",IF(COUNTIFS($EG$5:$EG$1003,$EG584,$EB$5:$EB$1003,"PM")&gt;0,"PM",IF(COUNTIFS($EG$5:$EG$1003,$EG584,$EB$5:$EB$1003,"OT")&gt;0,"OT",""))))</f>
        <v/>
      </c>
      <c r="EQ584">
        <f>IF($EN584=0,"",UPPER(TRIM(INDEX(LINES_STATUS,$EN584)&amp;"")))</f>
        <v/>
      </c>
      <c r="ER584">
        <f>IF($DM584=0,"",IF(OR($EQ584="READY",$EQ584="PM",$EQ584="OT"),$EQ584,$EP584))</f>
        <v/>
      </c>
      <c r="ES584">
        <f>IF($DM584=0,"",IF(AND($DV584&lt;&gt;"",UPPER($DV584)&lt;&gt;"N"),"allergen",IF(ISNUMBER(SEARCH("oil",$DQ584)),"oil",IF(OR(EXACT($DS584,"A662"),EXACT($DS584,"A624")),"bulk",""))))</f>
        <v/>
      </c>
      <c r="ET584">
        <f>IF($DM584=0,"",IF(OR($EA584="",$EA584=0),"",$EA584/100))</f>
        <v/>
      </c>
      <c r="EU584">
        <f>IF(OR($ET584="",$DY584=""),"",INT($DY584*(1-$ET584)+0.5))</f>
        <v/>
      </c>
      <c r="EW584" t="n">
        <v>580</v>
      </c>
      <c r="EX584">
        <f>IFERROR(MATCH($EW584,$EM$5:$EM$1003,0),0)</f>
        <v/>
      </c>
      <c r="EY584">
        <f>IF($EW584&gt;$B$12,"",IF($EX584&gt;0,"row","spacer"))</f>
        <v/>
      </c>
      <c r="EZ584">
        <f>IF(AND($EY584="row",$EY583&lt;&gt;"row"),1,0)</f>
        <v/>
      </c>
      <c r="FA584">
        <f>IF(AND($EY584="row",$EY585&lt;&gt;"row"),1,0)</f>
        <v/>
      </c>
      <c r="FB584">
        <f>IF($EZ584=1,IFERROR(IF(ISNUMBER(INDEX(PASTE_ALL,INDEX($DF$5:$DF$1003,$EX584),$B$37)),INDEX(PASTE_ALL,INDEX($DF$5:$DF$1003,$EX584),$B$37),INDEX($DH$5:$DH$1003,$EX584)),INDEX($DH$5:$DH$1003,$EX584)),"")</f>
        <v/>
      </c>
      <c r="FC584">
        <f>IF($EY584="row",INDEX($ER$5:$ER$1003,$EX584),"")</f>
        <v/>
      </c>
      <c r="FD584">
        <f>IF($EY584="row",INDEX($DN$5:$DN$1003,$EX584),"")</f>
        <v/>
      </c>
      <c r="FE584">
        <f>IF($EY584="row",INDEX($DO$5:$DO$1003,$EX584),"")</f>
        <v/>
      </c>
      <c r="FF584">
        <f>IF($EY584="row",INDEX($DP$5:$DP$1003,$EX584),"")</f>
        <v/>
      </c>
      <c r="FG584">
        <f>IF($EY584="row",INDEX($DQ$5:$DQ$1003,$EX584),"")</f>
        <v/>
      </c>
      <c r="FH584">
        <f>IF($EY584="row",INDEX($DR$5:$DR$1003,$EX584),"")</f>
        <v/>
      </c>
      <c r="FI584">
        <f>IF($EY584="row",INDEX($DS$5:$DS$1003,$EX584),"")</f>
        <v/>
      </c>
      <c r="FJ584">
        <f>IF($EY584="row",INDEX($DT$5:$DT$1003,$EX584),"")</f>
        <v/>
      </c>
      <c r="FK584">
        <f>IF($EY584="row",INDEX($DU$5:$DU$1003,$EX584),"")</f>
        <v/>
      </c>
      <c r="FL584">
        <f>IF($EY584="row",INDEX($DV$5:$DV$1003,$EX584),"")</f>
        <v/>
      </c>
      <c r="FM584">
        <f>IF($EY584="row",INDEX($DW$5:$DW$1003,$EX584),"")</f>
        <v/>
      </c>
      <c r="FN584">
        <f>IF($EY584="row",INDEX($DY$5:$DY$1003,$EX584),"")</f>
        <v/>
      </c>
      <c r="FO584">
        <f>IF($EY584="row",INDEX($EA$5:$EA$1003,$EX584),"")</f>
        <v/>
      </c>
      <c r="FP584">
        <f>IF($EY584="row",INDEX($EC$5:$EC$1003,$EX584),"")</f>
        <v/>
      </c>
      <c r="FQ584">
        <f>IF($EY584="row",INDEX($ET$5:$ET$1003,$EX584),"")</f>
        <v/>
      </c>
      <c r="FR584">
        <f>IF($EY584="row",INDEX($EU$5:$EU$1003,$EX584),"")</f>
        <v/>
      </c>
      <c r="FS584">
        <f>IF(AND($EY584="row",$EY583="row"),IF(OR(INDEX($DT$5:$DT$1003,$EX583)="",INDEX($DT$5:$DT$1003,$EX584)=""),"",IF(NOT(EXACT(INDEX($DT$5:$DT$1003,$EX583),INDEX($DT$5:$DT$1003,$EX584))),"S4",IF(NOT(EXACT(INDEX($DS$5:$DS$1003,$EX583),INDEX($DS$5:$DS$1003,$EX584))),"S3",IF(NOT(EXACT(INDEX($DR$5:$DR$1003,$EX583),INDEX($DR$5:$DR$1003,$EX584))),"S1 Count Change","S1")))),"")</f>
        <v/>
      </c>
      <c r="FT584">
        <f>IF($EY584="row",INDEX($ES$5:$ES$1003,$EX584),"")</f>
        <v/>
      </c>
      <c r="FU584">
        <f>IF($EY584="row",INDEX($EO$5:$EO$1003,$EX584),0)</f>
        <v/>
      </c>
      <c r="FV584">
        <f>IF($FS584="S1 Count Change",1,0)</f>
        <v/>
      </c>
    </row>
    <row r="585">
      <c r="DA585" t="n">
        <v>581</v>
      </c>
      <c r="DB585">
        <f>IF($B$37=0,"",IFERROR(TRIM(SUBSTITUTE(SUBSTITUTE(SUBSTITUTE(SUBSTITUTE(INDEX(PASTE_ALL,581,$B$37)," "," "),CHAR(9)," "),CHAR(10)," "),CHAR(13)," ")),""))</f>
        <v/>
      </c>
      <c r="DC585">
        <f>IF(AND(581&gt;HEADER_ROW,UPPER(DB585)="LEGEND"),1,0)</f>
        <v/>
      </c>
      <c r="DE585" t="n">
        <v>581</v>
      </c>
      <c r="DF585">
        <f>HEADER_ROW+$DE585</f>
        <v/>
      </c>
      <c r="DG585">
        <f>IF(AND($DF585&lt;=1000,$DF585&lt;$B$8),1,0)</f>
        <v/>
      </c>
      <c r="DH585">
        <f>IF($DG585=1,IFERROR(INDEX($DB$5:$DB$1004,$DF585),""),"")</f>
        <v/>
      </c>
      <c r="DI585">
        <f>IF(AND($DG585=1,$DH585&lt;&gt;""),IFERROR(SUBSTITUTE(SUBSTITUTE(TRIM(SUBSTITUTE(SUBSTITUTE(SUBSTITUTE(SUBSTITUTE(IFERROR(INDEX(PASTE_ALL,$DF585,1)&amp;"","")&amp;"␟"&amp;IFERROR(INDEX(PASTE_ALL,$DF585,2)&amp;"","")&amp;"␟"&amp;IFERROR(INDEX(PASTE_ALL,$DF585,3)&amp;"","")&amp;"␟"&amp;IFERROR(INDEX(PASTE_ALL,$DF585,4)&amp;"","")&amp;"␟"&amp;IFERROR(INDEX(PASTE_ALL,$DF585,5)&amp;"","")&amp;"␟"&amp;IFERROR(INDEX(PASTE_ALL,$DF585,6)&amp;"","")&amp;"␟"&amp;IFERROR(INDEX(PASTE_ALL,$DF585,7)&amp;"","")&amp;"␟"&amp;IFERROR(INDEX(PASTE_ALL,$DF585,8)&amp;"","")&amp;"␟"&amp;IFERROR(INDEX(PASTE_ALL,$DF585,9)&amp;"","")&amp;"␟"&amp;IFERROR(INDEX(PASTE_ALL,$DF585,10)&amp;"","")&amp;"␟"&amp;IFERROR(INDEX(PASTE_ALL,$DF585,11)&amp;"","")&amp;"␟"&amp;IFERROR(INDEX(PASTE_ALL,$DF585,12)&amp;"","")&amp;"␟"&amp;IFERROR(INDEX(PASTE_ALL,$DF585,13)&amp;"","")&amp;"␟"&amp;IFERROR(INDEX(PASTE_ALL,$DF585,14)&amp;"","")&amp;"␟"&amp;IFERROR(INDEX(PASTE_ALL,$DF585,15)&amp;"","")&amp;"␟"&amp;IFERROR(INDEX(PASTE_ALL,$DF585,16)&amp;"","")&amp;"␟"&amp;IFERROR(INDEX(PASTE_ALL,$DF585,17)&amp;"","")&amp;"␟"&amp;IFERROR(INDEX(PASTE_ALL,$DF585,18)&amp;"","")&amp;"␟"&amp;IFERROR(INDEX(PASTE_ALL,$DF585,19)&amp;"","")&amp;"␟"&amp;IFERROR(INDEX(PASTE_ALL,$DF585,20)&amp;"","")&amp;"␟"&amp;IFERROR(INDEX(PASTE_ALL,$DF585,21)&amp;"","")&amp;"␟"&amp;IFERROR(INDEX(PASTE_ALL,$DF585,22)&amp;"","")&amp;"␟"&amp;IFERROR(INDEX(PASTE_ALL,$DF585,23)&amp;"","")&amp;"␟"&amp;IFERROR(INDEX(PASTE_ALL,$DF585,24)&amp;"","")&amp;"␟"&amp;IFERROR(INDEX(PASTE_ALL,$DF585,25)&amp;"","")&amp;"␟"&amp;IFERROR(INDEX(PASTE_ALL,$DF585,26)&amp;"","")&amp;"␟"&amp;IFERROR(INDEX(PASTE_ALL,$DF585,27)&amp;"","")&amp;"␟"&amp;IFERROR(INDEX(PASTE_ALL,$DF585,28)&amp;"","")&amp;"␟"&amp;IFERROR(INDEX(PASTE_ALL,$DF585,29)&amp;"","")&amp;"␟"&amp;IFERROR(INDEX(PASTE_ALL,$DF585,30)&amp;"","")&amp;"␟"&amp;IFERROR(INDEX(PASTE_ALL,$DF585,31)&amp;"","")&amp;"␟"&amp;IFERROR(INDEX(PASTE_ALL,$DF585,32)&amp;"","")&amp;"␟"&amp;IFERROR(INDEX(PASTE_ALL,$DF585,33)&amp;"","")&amp;"␟"&amp;IFERROR(INDEX(PASTE_ALL,$DF585,34)&amp;"","")&amp;"␟"&amp;IFERROR(INDEX(PASTE_ALL,$DF585,35)&amp;"","")&amp;"␟"&amp;IFERROR(INDEX(PASTE_ALL,$DF585,36)&amp;"","")&amp;"␟"&amp;IFERROR(INDEX(PASTE_ALL,$DF585,37)&amp;"","")&amp;"␟"&amp;IFERROR(INDEX(PASTE_ALL,$DF585,38)&amp;"","")&amp;"␟"&amp;IFERROR(INDEX(PASTE_ALL,$DF585,39)&amp;"","")&amp;"␟"&amp;IFERROR(INDEX(PASTE_ALL,$DF585,40)&amp;"","")&amp;"␟"&amp;IFERROR(INDEX(PASTE_ALL,$DF585,41)&amp;"","")&amp;"␟"&amp;IFERROR(INDEX(PASTE_ALL,$DF585,42)&amp;"","")&amp;"␟"&amp;IFERROR(INDEX(PASTE_ALL,$DF585,43)&amp;"","")&amp;"␟"&amp;IFERROR(INDEX(PASTE_ALL,$DF585,44)&amp;"","")&amp;"␟"&amp;IFERROR(INDEX(PASTE_ALL,$DF585,45)&amp;"","")&amp;"␟"&amp;IFERROR(INDEX(PASTE_ALL,$DF585,46)&amp;"","")&amp;"␟"&amp;IFERROR(INDEX(PASTE_ALL,$DF585,47)&amp;"","")&amp;"␟"&amp;IFERROR(INDEX(PASTE_ALL,$DF585,48)&amp;"","")&amp;"␟"&amp;IFERROR(INDEX(PASTE_ALL,$DF585,49)&amp;"","")&amp;"␟"&amp;IFERROR(INDEX(PASTE_ALL,$DF585,50)&amp;"","")&amp;"␟"&amp;IFERROR(INDEX(PASTE_ALL,$DF585,51)&amp;"","")&amp;"␟"&amp;IFERROR(INDEX(PASTE_ALL,$DF585,52)&amp;"","")&amp;"␟"&amp;IFERROR(INDEX(PASTE_ALL,$DF585,53)&amp;"","")&amp;"␟"&amp;IFERROR(INDEX(PASTE_ALL,$DF585,54)&amp;"","")&amp;"␟"&amp;IFERROR(INDEX(PASTE_ALL,$DF585,55)&amp;"","")&amp;"␟"&amp;IFERROR(INDEX(PASTE_ALL,$DF585,56)&amp;"","")&amp;"␟"&amp;IFERROR(INDEX(PASTE_ALL,$DF585,57)&amp;"","")&amp;"␟"&amp;IFERROR(INDEX(PASTE_ALL,$DF585,58)&amp;"","")&amp;"␟"&amp;IFERROR(INDEX(PASTE_ALL,$DF585,59)&amp;"","")&amp;"␟"&amp;IFERROR(INDEX(PASTE_ALL,$DF585,60)&amp;"","")," "," "),CHAR(9)," "),CHAR(10)," "),CHAR(13)," "))," ␟","␟"),"␟ ","␟"),"#"&amp;$DE585),"")</f>
        <v/>
      </c>
      <c r="DJ585">
        <f>IF($DI585="",0,IF(SUMPRODUCT(--EXACT($DI$4:DI584,$DI585))&gt;0,1,0))</f>
        <v/>
      </c>
      <c r="DK585">
        <f>IF(AND($DI585&lt;&gt;"",$DJ585=0),1,0)</f>
        <v/>
      </c>
      <c r="DL585">
        <f>DL584+$DK585</f>
        <v/>
      </c>
      <c r="DM585">
        <f>IF(AND($DK585=1,$DL585&lt;=600),1,0)</f>
        <v/>
      </c>
      <c r="DN585">
        <f>IF($DM585=0,"",IF($L$6=0,"",IFERROR(IF(ISNUMBER(INDEX(PASTE_ALL,$DF585,$L$6)),INDEX(PASTE_ALL,$DF585,$L$6),TRIM(SUBSTITUTE(SUBSTITUTE(SUBSTITUTE(SUBSTITUTE(INDEX(PASTE_ALL,$DF585,$L$6)," "," "),CHAR(9)," "),CHAR(10)," "),CHAR(13)," "))),"")))</f>
        <v/>
      </c>
      <c r="DO585">
        <f>IF($DM585=0,"",IF($L$7=0,"",IFERROR(IF(ISNUMBER(INDEX(PASTE_ALL,$DF585,$L$7)),INDEX(PASTE_ALL,$DF585,$L$7),TRIM(SUBSTITUTE(SUBSTITUTE(SUBSTITUTE(SUBSTITUTE(INDEX(PASTE_ALL,$DF585,$L$7)," "," "),CHAR(9)," "),CHAR(10)," "),CHAR(13)," "))),"")))</f>
        <v/>
      </c>
      <c r="DP585">
        <f>IF($DM585=0,"",IF($L$8=0,"",IFERROR(IF(ISNUMBER(INDEX(PASTE_ALL,$DF585,$L$8)),INDEX(PASTE_ALL,$DF585,$L$8),TRIM(SUBSTITUTE(SUBSTITUTE(SUBSTITUTE(SUBSTITUTE(INDEX(PASTE_ALL,$DF585,$L$8)," "," "),CHAR(9)," "),CHAR(10)," "),CHAR(13)," "))),"")))</f>
        <v/>
      </c>
      <c r="DQ585">
        <f>IF($DM585=0,"",IF($L$9=0,"",IFERROR(IF(ISNUMBER(INDEX(PASTE_ALL,$DF585,$L$9)),INDEX(PASTE_ALL,$DF585,$L$9),TRIM(SUBSTITUTE(SUBSTITUTE(SUBSTITUTE(SUBSTITUTE(INDEX(PASTE_ALL,$DF585,$L$9)," "," "),CHAR(9)," "),CHAR(10)," "),CHAR(13)," "))),"")))</f>
        <v/>
      </c>
      <c r="DR585">
        <f>IF($DM585=0,"",IF($L$10=0,"",IFERROR(IF(ISNUMBER(INDEX(PASTE_ALL,$DF585,$L$10)),INDEX(PASTE_ALL,$DF585,$L$10),TRIM(SUBSTITUTE(SUBSTITUTE(SUBSTITUTE(SUBSTITUTE(INDEX(PASTE_ALL,$DF585,$L$10)," "," "),CHAR(9)," "),CHAR(10)," "),CHAR(13)," "))),"")))</f>
        <v/>
      </c>
      <c r="DS585">
        <f>IF($DM585=0,"",IF($L$11=0,"",IFERROR(IF(ISNUMBER(INDEX(PASTE_ALL,$DF585,$L$11)),INDEX(PASTE_ALL,$DF585,$L$11),TRIM(SUBSTITUTE(SUBSTITUTE(SUBSTITUTE(SUBSTITUTE(INDEX(PASTE_ALL,$DF585,$L$11)," "," "),CHAR(9)," "),CHAR(10)," "),CHAR(13)," "))),"")))</f>
        <v/>
      </c>
      <c r="DT585">
        <f>IF($DM585=0,"",IF($L$12=0,"",IFERROR(IF(ISNUMBER(INDEX(PASTE_ALL,$DF585,$L$12)),INDEX(PASTE_ALL,$DF585,$L$12),TRIM(SUBSTITUTE(SUBSTITUTE(SUBSTITUTE(SUBSTITUTE(INDEX(PASTE_ALL,$DF585,$L$12)," "," "),CHAR(9)," "),CHAR(10)," "),CHAR(13)," "))),"")))</f>
        <v/>
      </c>
      <c r="DU585">
        <f>IF($DM585=0,"",IF($L$13=0,"",IFERROR(IF(ISNUMBER(INDEX(PASTE_ALL,$DF585,$L$13)),INDEX(PASTE_ALL,$DF585,$L$13),TRIM(SUBSTITUTE(SUBSTITUTE(SUBSTITUTE(SUBSTITUTE(INDEX(PASTE_ALL,$DF585,$L$13)," "," "),CHAR(9)," "),CHAR(10)," "),CHAR(13)," "))),"")))</f>
        <v/>
      </c>
      <c r="DV585">
        <f>IF($DM585=0,"",IF($L$14=0,"",IFERROR(IF(ISNUMBER(INDEX(PASTE_ALL,$DF585,$L$14)),INDEX(PASTE_ALL,$DF585,$L$14),TRIM(SUBSTITUTE(SUBSTITUTE(SUBSTITUTE(SUBSTITUTE(INDEX(PASTE_ALL,$DF585,$L$14)," "," "),CHAR(9)," "),CHAR(10)," "),CHAR(13)," "))),"")))</f>
        <v/>
      </c>
      <c r="DW585">
        <f>IF($DM585=0,"",IF($L$15=0,"",IFERROR(IF(ISNUMBER(INDEX(PASTE_ALL,$DF585,$L$15)),INDEX(PASTE_ALL,$DF585,$L$15),IF(SUMPRODUCT(--ISNUMBER(FIND({"A","B","C","D","E","F","G","H","I","J","K","L","M","N","O","P","Q","R","S","T","U","V","W","X","Y","Z","0","1","2","3","4","5","6","7","8","9"},UPPER(TRIM(SUBSTITUTE(SUBSTITUTE(SUBSTITUTE(SUBSTITUTE(INDEX(PASTE_ALL,$DF585,$L$15)," "," "),CHAR(9)," "),CHAR(10)," "),CHAR(13)," "))))))&gt;0,TRIM(SUBSTITUTE(SUBSTITUTE(SUBSTITUTE(SUBSTITUTE(INDEX(PASTE_ALL,$DF585,$L$15)," "," "),CHAR(9)," "),CHAR(10)," "),CHAR(13)," ")),"")),"")))</f>
        <v/>
      </c>
      <c r="DX585">
        <f>IF($DM585=0,"",IF($L$16=0,"",IFERROR(IF(ISNUMBER(INDEX(PASTE_ALL,$DF585,$L$16)),INDEX(PASTE_ALL,$DF585,$L$16),SUBSTITUTE(SUBSTITUTE(TRIM(SUBSTITUTE(SUBSTITUTE(SUBSTITUTE(SUBSTITUTE(INDEX(PASTE_ALL,$DF585,$L$16)," "," "),CHAR(9)," "),CHAR(10)," "),CHAR(13)," ")),",",""),"%","")),"")))</f>
        <v/>
      </c>
      <c r="DY585">
        <f>IF($DM585=0,"",IFERROR(IF(ISNUMBER($DX585),$DX585,IF($DX585="","",IF(TRIM($DX585)="",0,IF(AND(AND(SUBSTITUTE(SUBSTITUTE(SUBSTITUTE(SUBSTITUTE(SUBSTITUTE(SUBSTITUTE(SUBSTITUTE(SUBSTITUTE(SUBSTITUTE(SUBSTITUTE(SUBSTITUTE(SUBSTITUTE(SUBSTITUTE(SUBSTITUTE(UPPER(TRIM($DX585)),"0",""),"1",""),"2",""),"3",""),"4",""),"5",""),"6",""),"7",""),"8",""),"9",""),".",""),"+",""),"-",""),"E","")="",LEN(SUBSTITUTE(SUBSTITUTE(MID(UPPER(TRIM($DX585)),1+OR(LEFT(UPPER(TRIM($DX585)),1)="+",LEFT(UPPER(TRIM($DX585)),1)="-"),999),"E+","E"),"E-","E"))=LEN(SUBSTITUTE(SUBSTITUTE(SUBSTITUTE(SUBSTITUTE(MID(UPPER(TRIM($DX585)),1+OR(LEFT(UPPER(TRIM($DX585)),1)="+",LEFT(UPPER(TRIM($DX585)),1)="-"),999),"E+","E"),"E-","E"),"+",""),"-","")),LEN(UPPER(TRIM($DX585)))-LEN(SUBSTITUTE(UPPER(TRIM($DX585)),"E",""))&lt;2,LEN(UPPER(TRIM($DX585)))-LEN(SUBSTITUTE(UPPER(TRIM($DX585)),".",""))&lt;2,IFERROR(FIND(".",UPPER(TRIM($DX585))),0)&lt;IFERROR(FIND("E",UPPER(TRIM($DX585))),999)),ISNUMBER(VALUE(TRIM($DX585)))),VALUE(TRIM($DX585)),"")))),""))</f>
        <v/>
      </c>
      <c r="DZ585">
        <f>IF($DM585=0,"",IF($L$17=0,"",IFERROR(IF(ISNUMBER(INDEX(PASTE_ALL,$DF585,$L$17)),INDEX(PASTE_ALL,$DF585,$L$17),SUBSTITUTE(SUBSTITUTE(TRIM(SUBSTITUTE(SUBSTITUTE(SUBSTITUTE(SUBSTITUTE(INDEX(PASTE_ALL,$DF585,$L$17)," "," "),CHAR(9)," "),CHAR(10)," "),CHAR(13)," ")),",",""),"%","")),"")))</f>
        <v/>
      </c>
      <c r="EA585">
        <f>IF($DM585=0,"",IFERROR(IF(ISNUMBER($DZ585),$DZ585,IF($DZ585="","",IF(TRIM($DZ585)="",0,IF(AND(AND(SUBSTITUTE(SUBSTITUTE(SUBSTITUTE(SUBSTITUTE(SUBSTITUTE(SUBSTITUTE(SUBSTITUTE(SUBSTITUTE(SUBSTITUTE(SUBSTITUTE(SUBSTITUTE(SUBSTITUTE(SUBSTITUTE(SUBSTITUTE(UPPER(TRIM($DZ585)),"0",""),"1",""),"2",""),"3",""),"4",""),"5",""),"6",""),"7",""),"8",""),"9",""),".",""),"+",""),"-",""),"E","")="",LEN(SUBSTITUTE(SUBSTITUTE(MID(UPPER(TRIM($DZ585)),1+OR(LEFT(UPPER(TRIM($DZ585)),1)="+",LEFT(UPPER(TRIM($DZ585)),1)="-"),999),"E+","E"),"E-","E"))=LEN(SUBSTITUTE(SUBSTITUTE(SUBSTITUTE(SUBSTITUTE(MID(UPPER(TRIM($DZ585)),1+OR(LEFT(UPPER(TRIM($DZ585)),1)="+",LEFT(UPPER(TRIM($DZ585)),1)="-"),999),"E+","E"),"E-","E"),"+",""),"-","")),LEN(UPPER(TRIM($DZ585)))-LEN(SUBSTITUTE(UPPER(TRIM($DZ585)),"E",""))&lt;2,LEN(UPPER(TRIM($DZ585)))-LEN(SUBSTITUTE(UPPER(TRIM($DZ585)),".",""))&lt;2,IFERROR(FIND(".",UPPER(TRIM($DZ585))),0)&lt;IFERROR(FIND("E",UPPER(TRIM($DZ585))),999)),ISNUMBER(VALUE(TRIM($DZ585)))),VALUE(TRIM($DZ585)),"")))),""))</f>
        <v/>
      </c>
      <c r="EB585">
        <f>IF($DM585=0,"",IF($L$18=0,"",IFERROR(IF(UPPER(TRIM(SUBSTITUTE(SUBSTITUTE(SUBSTITUTE(SUBSTITUTE(INDEX(PASTE_ALL,$DF585,$L$18)," "," "),CHAR(9)," "),CHAR(10)," "),CHAR(13)," ")))="READY","Ready",IF(UPPER(TRIM(SUBSTITUTE(SUBSTITUTE(SUBSTITUTE(SUBSTITUTE(INDEX(PASTE_ALL,$DF585,$L$18)," "," "),CHAR(9)," "),CHAR(10)," "),CHAR(13)," ")))="PM","PM",IF(OR(UPPER(TRIM(SUBSTITUTE(SUBSTITUTE(SUBSTITUTE(SUBSTITUTE(INDEX(PASTE_ALL,$DF585,$L$18)," "," "),CHAR(9)," "),CHAR(10)," "),CHAR(13)," ")))="OT",UPPER(TRIM(SUBSTITUTE(SUBSTITUTE(SUBSTITUTE(SUBSTITUTE(INDEX(PASTE_ALL,$DF585,$L$18)," "," "),CHAR(9)," "),CHAR(10)," "),CHAR(13)," ")))="OVERTIME",UPPER(TRIM(SUBSTITUTE(SUBSTITUTE(SUBSTITUTE(SUBSTITUTE(INDEX(PASTE_ALL,$DF585,$L$18)," "," "),CHAR(9)," "),CHAR(10)," "),CHAR(13)," ")))="TRIAL"),"OT",TRIM(SUBSTITUTE(SUBSTITUTE(SUBSTITUTE(SUBSTITUTE(INDEX(PASTE_ALL,$DF585,$L$18)," "," "),CHAR(9)," "),CHAR(10)," "),CHAR(13)," "))))),"")))</f>
        <v/>
      </c>
      <c r="EC585">
        <f>IF($DM585=0,"",IF($L$19=0,"",IFERROR(IF(ISNUMBER(INDEX(PASTE_ALL,$DF585,$L$19)),INDEX(PASTE_ALL,$DF585,$L$19),TRIM(SUBSTITUTE(SUBSTITUTE(SUBSTITUTE(SUBSTITUTE(INDEX(PASTE_ALL,$DF585,$L$19)," "," "),CHAR(9)," "),CHAR(10)," "),CHAR(13)," "))),"")))</f>
        <v/>
      </c>
      <c r="ED585">
        <f>IF($DM585=0,"",MATCH(1,INDEX(EXACT($DH$5:DH585,$DH585)*$DM$5:DM585,0),0))</f>
        <v/>
      </c>
      <c r="EE585">
        <f>IF($DM585=0,0,IF($ED585=$DE585,1,0))</f>
        <v/>
      </c>
      <c r="EF585">
        <f>EF584+$EE585</f>
        <v/>
      </c>
      <c r="EG585">
        <f>IF($DM585=0,"",INDEX($EF$5:$EF$1003,$ED585))</f>
        <v/>
      </c>
      <c r="EH585">
        <f>IF($DM585=0,"",IF($DO585&lt;&gt;"","",IFERROR(LOOKUP(2,1/(($EG$4:EG584=$EG585)*($DO$4:DO584&lt;&gt;"")),$DO$4:DO584),"")))</f>
        <v/>
      </c>
      <c r="EI585">
        <f>IF($DM585=0,"",IF($DO585&lt;&gt;"",$DO585,$EH585))</f>
        <v/>
      </c>
      <c r="EJ585">
        <f>IF($DM585=0,"",IF($EI585="",0,IF(OR(ISNUMBER($EI585),AND(AND(SUBSTITUTE(SUBSTITUTE(SUBSTITUTE(SUBSTITUTE(SUBSTITUTE(SUBSTITUTE(SUBSTITUTE(SUBSTITUTE(SUBSTITUTE(SUBSTITUTE(SUBSTITUTE(SUBSTITUTE(SUBSTITUTE(SUBSTITUTE(UPPER($EI585),"0",""),"1",""),"2",""),"3",""),"4",""),"5",""),"6",""),"7",""),"8",""),"9",""),".",""),"+",""),"-",""),"E","")="",LEN(SUBSTITUTE(SUBSTITUTE(MID(UPPER($EI585),1+OR(LEFT(UPPER($EI585),1)="+",LEFT(UPPER($EI585),1)="-"),999),"E+","E"),"E-","E"))=LEN(SUBSTITUTE(SUBSTITUTE(SUBSTITUTE(SUBSTITUTE(MID(UPPER($EI585),1+OR(LEFT(UPPER($EI585),1)="+",LEFT(UPPER($EI585),1)="-"),999),"E+","E"),"E-","E"),"+",""),"-","")),LEN(UPPER($EI585))-LEN(SUBSTITUTE(UPPER($EI585),"E",""))&lt;2,LEN(UPPER($EI585))-LEN(SUBSTITUTE(UPPER($EI585),".",""))&lt;2,IFERROR(FIND(".",UPPER($EI585)),0)&lt;IFERROR(FIND("E",UPPER($EI585)),999)),ISNUMBER(VALUE($EI585)))),1,2)))</f>
        <v/>
      </c>
      <c r="EK585">
        <f>IF($DM585=0,"",IF($EJ585=1,IF(ISNUMBER($EI585),$EI585,VALUE($EI585)),IF($EJ585=2,$DE585,0)))</f>
        <v/>
      </c>
      <c r="EL585">
        <f>IF($DM585=0,"",COUNTIF($EG$5:$EG$1003,"&lt;"&amp;$EG585)+SUMPRODUCT(($EG$5:$EG$1003=$EG585)*(($EJ$5:$EJ$1003&lt;$EJ585)+($EJ$5:$EJ$1003=$EJ585)*(($EK$5:$EK$1003&lt;$EK585)+($EK$5:$EK$1003=$EK585)*($DE$5:$DE$1003&lt;$DE585))))+1)</f>
        <v/>
      </c>
      <c r="EM585">
        <f>IF($DM585=0,"",$EL585+$EG585-1)</f>
        <v/>
      </c>
      <c r="EN585">
        <f>IF($DM585=0,0,IFERROR(MATCH(1,INDEX(--(TRIM(SUBSTITUTE(SUBSTITUTE(SUBSTITUTE(SUBSTITUTE(LINES_NAME&amp;""," "," "),CHAR(9)," "),CHAR(10)," "),CHAR(13)," "))=$DH585),0),0),0))</f>
        <v/>
      </c>
      <c r="EO585">
        <f>IF($EN585=0,0,IF(OR(UPPER(TRIM(INDEX(LINES_SCHEDULED,$EN585)&amp;""))="YES",UPPER(TRIM(INDEX(LINES_SCHEDULED,$EN585)&amp;""))="Y",UPPER(TRIM(INDEX(LINES_SCHEDULED,$EN585)&amp;""))="X"),1,0))</f>
        <v/>
      </c>
      <c r="EP585">
        <f>IF($DM585=0,"",IF(COUNTIFS($EG$5:$EG$1003,$EG585,$EB$5:$EB$1003,"Ready")&gt;0,"READY",IF(COUNTIFS($EG$5:$EG$1003,$EG585,$EB$5:$EB$1003,"PM")&gt;0,"PM",IF(COUNTIFS($EG$5:$EG$1003,$EG585,$EB$5:$EB$1003,"OT")&gt;0,"OT",""))))</f>
        <v/>
      </c>
      <c r="EQ585">
        <f>IF($EN585=0,"",UPPER(TRIM(INDEX(LINES_STATUS,$EN585)&amp;"")))</f>
        <v/>
      </c>
      <c r="ER585">
        <f>IF($DM585=0,"",IF(OR($EQ585="READY",$EQ585="PM",$EQ585="OT"),$EQ585,$EP585))</f>
        <v/>
      </c>
      <c r="ES585">
        <f>IF($DM585=0,"",IF(AND($DV585&lt;&gt;"",UPPER($DV585)&lt;&gt;"N"),"allergen",IF(ISNUMBER(SEARCH("oil",$DQ585)),"oil",IF(OR(EXACT($DS585,"A662"),EXACT($DS585,"A624")),"bulk",""))))</f>
        <v/>
      </c>
      <c r="ET585">
        <f>IF($DM585=0,"",IF(OR($EA585="",$EA585=0),"",$EA585/100))</f>
        <v/>
      </c>
      <c r="EU585">
        <f>IF(OR($ET585="",$DY585=""),"",INT($DY585*(1-$ET585)+0.5))</f>
        <v/>
      </c>
      <c r="EW585" t="n">
        <v>581</v>
      </c>
      <c r="EX585">
        <f>IFERROR(MATCH($EW585,$EM$5:$EM$1003,0),0)</f>
        <v/>
      </c>
      <c r="EY585">
        <f>IF($EW585&gt;$B$12,"",IF($EX585&gt;0,"row","spacer"))</f>
        <v/>
      </c>
      <c r="EZ585">
        <f>IF(AND($EY585="row",$EY584&lt;&gt;"row"),1,0)</f>
        <v/>
      </c>
      <c r="FA585">
        <f>IF(AND($EY585="row",$EY586&lt;&gt;"row"),1,0)</f>
        <v/>
      </c>
      <c r="FB585">
        <f>IF($EZ585=1,IFERROR(IF(ISNUMBER(INDEX(PASTE_ALL,INDEX($DF$5:$DF$1003,$EX585),$B$37)),INDEX(PASTE_ALL,INDEX($DF$5:$DF$1003,$EX585),$B$37),INDEX($DH$5:$DH$1003,$EX585)),INDEX($DH$5:$DH$1003,$EX585)),"")</f>
        <v/>
      </c>
      <c r="FC585">
        <f>IF($EY585="row",INDEX($ER$5:$ER$1003,$EX585),"")</f>
        <v/>
      </c>
      <c r="FD585">
        <f>IF($EY585="row",INDEX($DN$5:$DN$1003,$EX585),"")</f>
        <v/>
      </c>
      <c r="FE585">
        <f>IF($EY585="row",INDEX($DO$5:$DO$1003,$EX585),"")</f>
        <v/>
      </c>
      <c r="FF585">
        <f>IF($EY585="row",INDEX($DP$5:$DP$1003,$EX585),"")</f>
        <v/>
      </c>
      <c r="FG585">
        <f>IF($EY585="row",INDEX($DQ$5:$DQ$1003,$EX585),"")</f>
        <v/>
      </c>
      <c r="FH585">
        <f>IF($EY585="row",INDEX($DR$5:$DR$1003,$EX585),"")</f>
        <v/>
      </c>
      <c r="FI585">
        <f>IF($EY585="row",INDEX($DS$5:$DS$1003,$EX585),"")</f>
        <v/>
      </c>
      <c r="FJ585">
        <f>IF($EY585="row",INDEX($DT$5:$DT$1003,$EX585),"")</f>
        <v/>
      </c>
      <c r="FK585">
        <f>IF($EY585="row",INDEX($DU$5:$DU$1003,$EX585),"")</f>
        <v/>
      </c>
      <c r="FL585">
        <f>IF($EY585="row",INDEX($DV$5:$DV$1003,$EX585),"")</f>
        <v/>
      </c>
      <c r="FM585">
        <f>IF($EY585="row",INDEX($DW$5:$DW$1003,$EX585),"")</f>
        <v/>
      </c>
      <c r="FN585">
        <f>IF($EY585="row",INDEX($DY$5:$DY$1003,$EX585),"")</f>
        <v/>
      </c>
      <c r="FO585">
        <f>IF($EY585="row",INDEX($EA$5:$EA$1003,$EX585),"")</f>
        <v/>
      </c>
      <c r="FP585">
        <f>IF($EY585="row",INDEX($EC$5:$EC$1003,$EX585),"")</f>
        <v/>
      </c>
      <c r="FQ585">
        <f>IF($EY585="row",INDEX($ET$5:$ET$1003,$EX585),"")</f>
        <v/>
      </c>
      <c r="FR585">
        <f>IF($EY585="row",INDEX($EU$5:$EU$1003,$EX585),"")</f>
        <v/>
      </c>
      <c r="FS585">
        <f>IF(AND($EY585="row",$EY584="row"),IF(OR(INDEX($DT$5:$DT$1003,$EX584)="",INDEX($DT$5:$DT$1003,$EX585)=""),"",IF(NOT(EXACT(INDEX($DT$5:$DT$1003,$EX584),INDEX($DT$5:$DT$1003,$EX585))),"S4",IF(NOT(EXACT(INDEX($DS$5:$DS$1003,$EX584),INDEX($DS$5:$DS$1003,$EX585))),"S3",IF(NOT(EXACT(INDEX($DR$5:$DR$1003,$EX584),INDEX($DR$5:$DR$1003,$EX585))),"S1 Count Change","S1")))),"")</f>
        <v/>
      </c>
      <c r="FT585">
        <f>IF($EY585="row",INDEX($ES$5:$ES$1003,$EX585),"")</f>
        <v/>
      </c>
      <c r="FU585">
        <f>IF($EY585="row",INDEX($EO$5:$EO$1003,$EX585),0)</f>
        <v/>
      </c>
      <c r="FV585">
        <f>IF($FS585="S1 Count Change",1,0)</f>
        <v/>
      </c>
    </row>
    <row r="586">
      <c r="DA586" t="n">
        <v>582</v>
      </c>
      <c r="DB586">
        <f>IF($B$37=0,"",IFERROR(TRIM(SUBSTITUTE(SUBSTITUTE(SUBSTITUTE(SUBSTITUTE(INDEX(PASTE_ALL,582,$B$37)," "," "),CHAR(9)," "),CHAR(10)," "),CHAR(13)," ")),""))</f>
        <v/>
      </c>
      <c r="DC586">
        <f>IF(AND(582&gt;HEADER_ROW,UPPER(DB586)="LEGEND"),1,0)</f>
        <v/>
      </c>
      <c r="DE586" t="n">
        <v>582</v>
      </c>
      <c r="DF586">
        <f>HEADER_ROW+$DE586</f>
        <v/>
      </c>
      <c r="DG586">
        <f>IF(AND($DF586&lt;=1000,$DF586&lt;$B$8),1,0)</f>
        <v/>
      </c>
      <c r="DH586">
        <f>IF($DG586=1,IFERROR(INDEX($DB$5:$DB$1004,$DF586),""),"")</f>
        <v/>
      </c>
      <c r="DI586">
        <f>IF(AND($DG586=1,$DH586&lt;&gt;""),IFERROR(SUBSTITUTE(SUBSTITUTE(TRIM(SUBSTITUTE(SUBSTITUTE(SUBSTITUTE(SUBSTITUTE(IFERROR(INDEX(PASTE_ALL,$DF586,1)&amp;"","")&amp;"␟"&amp;IFERROR(INDEX(PASTE_ALL,$DF586,2)&amp;"","")&amp;"␟"&amp;IFERROR(INDEX(PASTE_ALL,$DF586,3)&amp;"","")&amp;"␟"&amp;IFERROR(INDEX(PASTE_ALL,$DF586,4)&amp;"","")&amp;"␟"&amp;IFERROR(INDEX(PASTE_ALL,$DF586,5)&amp;"","")&amp;"␟"&amp;IFERROR(INDEX(PASTE_ALL,$DF586,6)&amp;"","")&amp;"␟"&amp;IFERROR(INDEX(PASTE_ALL,$DF586,7)&amp;"","")&amp;"␟"&amp;IFERROR(INDEX(PASTE_ALL,$DF586,8)&amp;"","")&amp;"␟"&amp;IFERROR(INDEX(PASTE_ALL,$DF586,9)&amp;"","")&amp;"␟"&amp;IFERROR(INDEX(PASTE_ALL,$DF586,10)&amp;"","")&amp;"␟"&amp;IFERROR(INDEX(PASTE_ALL,$DF586,11)&amp;"","")&amp;"␟"&amp;IFERROR(INDEX(PASTE_ALL,$DF586,12)&amp;"","")&amp;"␟"&amp;IFERROR(INDEX(PASTE_ALL,$DF586,13)&amp;"","")&amp;"␟"&amp;IFERROR(INDEX(PASTE_ALL,$DF586,14)&amp;"","")&amp;"␟"&amp;IFERROR(INDEX(PASTE_ALL,$DF586,15)&amp;"","")&amp;"␟"&amp;IFERROR(INDEX(PASTE_ALL,$DF586,16)&amp;"","")&amp;"␟"&amp;IFERROR(INDEX(PASTE_ALL,$DF586,17)&amp;"","")&amp;"␟"&amp;IFERROR(INDEX(PASTE_ALL,$DF586,18)&amp;"","")&amp;"␟"&amp;IFERROR(INDEX(PASTE_ALL,$DF586,19)&amp;"","")&amp;"␟"&amp;IFERROR(INDEX(PASTE_ALL,$DF586,20)&amp;"","")&amp;"␟"&amp;IFERROR(INDEX(PASTE_ALL,$DF586,21)&amp;"","")&amp;"␟"&amp;IFERROR(INDEX(PASTE_ALL,$DF586,22)&amp;"","")&amp;"␟"&amp;IFERROR(INDEX(PASTE_ALL,$DF586,23)&amp;"","")&amp;"␟"&amp;IFERROR(INDEX(PASTE_ALL,$DF586,24)&amp;"","")&amp;"␟"&amp;IFERROR(INDEX(PASTE_ALL,$DF586,25)&amp;"","")&amp;"␟"&amp;IFERROR(INDEX(PASTE_ALL,$DF586,26)&amp;"","")&amp;"␟"&amp;IFERROR(INDEX(PASTE_ALL,$DF586,27)&amp;"","")&amp;"␟"&amp;IFERROR(INDEX(PASTE_ALL,$DF586,28)&amp;"","")&amp;"␟"&amp;IFERROR(INDEX(PASTE_ALL,$DF586,29)&amp;"","")&amp;"␟"&amp;IFERROR(INDEX(PASTE_ALL,$DF586,30)&amp;"","")&amp;"␟"&amp;IFERROR(INDEX(PASTE_ALL,$DF586,31)&amp;"","")&amp;"␟"&amp;IFERROR(INDEX(PASTE_ALL,$DF586,32)&amp;"","")&amp;"␟"&amp;IFERROR(INDEX(PASTE_ALL,$DF586,33)&amp;"","")&amp;"␟"&amp;IFERROR(INDEX(PASTE_ALL,$DF586,34)&amp;"","")&amp;"␟"&amp;IFERROR(INDEX(PASTE_ALL,$DF586,35)&amp;"","")&amp;"␟"&amp;IFERROR(INDEX(PASTE_ALL,$DF586,36)&amp;"","")&amp;"␟"&amp;IFERROR(INDEX(PASTE_ALL,$DF586,37)&amp;"","")&amp;"␟"&amp;IFERROR(INDEX(PASTE_ALL,$DF586,38)&amp;"","")&amp;"␟"&amp;IFERROR(INDEX(PASTE_ALL,$DF586,39)&amp;"","")&amp;"␟"&amp;IFERROR(INDEX(PASTE_ALL,$DF586,40)&amp;"","")&amp;"␟"&amp;IFERROR(INDEX(PASTE_ALL,$DF586,41)&amp;"","")&amp;"␟"&amp;IFERROR(INDEX(PASTE_ALL,$DF586,42)&amp;"","")&amp;"␟"&amp;IFERROR(INDEX(PASTE_ALL,$DF586,43)&amp;"","")&amp;"␟"&amp;IFERROR(INDEX(PASTE_ALL,$DF586,44)&amp;"","")&amp;"␟"&amp;IFERROR(INDEX(PASTE_ALL,$DF586,45)&amp;"","")&amp;"␟"&amp;IFERROR(INDEX(PASTE_ALL,$DF586,46)&amp;"","")&amp;"␟"&amp;IFERROR(INDEX(PASTE_ALL,$DF586,47)&amp;"","")&amp;"␟"&amp;IFERROR(INDEX(PASTE_ALL,$DF586,48)&amp;"","")&amp;"␟"&amp;IFERROR(INDEX(PASTE_ALL,$DF586,49)&amp;"","")&amp;"␟"&amp;IFERROR(INDEX(PASTE_ALL,$DF586,50)&amp;"","")&amp;"␟"&amp;IFERROR(INDEX(PASTE_ALL,$DF586,51)&amp;"","")&amp;"␟"&amp;IFERROR(INDEX(PASTE_ALL,$DF586,52)&amp;"","")&amp;"␟"&amp;IFERROR(INDEX(PASTE_ALL,$DF586,53)&amp;"","")&amp;"␟"&amp;IFERROR(INDEX(PASTE_ALL,$DF586,54)&amp;"","")&amp;"␟"&amp;IFERROR(INDEX(PASTE_ALL,$DF586,55)&amp;"","")&amp;"␟"&amp;IFERROR(INDEX(PASTE_ALL,$DF586,56)&amp;"","")&amp;"␟"&amp;IFERROR(INDEX(PASTE_ALL,$DF586,57)&amp;"","")&amp;"␟"&amp;IFERROR(INDEX(PASTE_ALL,$DF586,58)&amp;"","")&amp;"␟"&amp;IFERROR(INDEX(PASTE_ALL,$DF586,59)&amp;"","")&amp;"␟"&amp;IFERROR(INDEX(PASTE_ALL,$DF586,60)&amp;"","")," "," "),CHAR(9)," "),CHAR(10)," "),CHAR(13)," "))," ␟","␟"),"␟ ","␟"),"#"&amp;$DE586),"")</f>
        <v/>
      </c>
      <c r="DJ586">
        <f>IF($DI586="",0,IF(SUMPRODUCT(--EXACT($DI$4:DI585,$DI586))&gt;0,1,0))</f>
        <v/>
      </c>
      <c r="DK586">
        <f>IF(AND($DI586&lt;&gt;"",$DJ586=0),1,0)</f>
        <v/>
      </c>
      <c r="DL586">
        <f>DL585+$DK586</f>
        <v/>
      </c>
      <c r="DM586">
        <f>IF(AND($DK586=1,$DL586&lt;=600),1,0)</f>
        <v/>
      </c>
      <c r="DN586">
        <f>IF($DM586=0,"",IF($L$6=0,"",IFERROR(IF(ISNUMBER(INDEX(PASTE_ALL,$DF586,$L$6)),INDEX(PASTE_ALL,$DF586,$L$6),TRIM(SUBSTITUTE(SUBSTITUTE(SUBSTITUTE(SUBSTITUTE(INDEX(PASTE_ALL,$DF586,$L$6)," "," "),CHAR(9)," "),CHAR(10)," "),CHAR(13)," "))),"")))</f>
        <v/>
      </c>
      <c r="DO586">
        <f>IF($DM586=0,"",IF($L$7=0,"",IFERROR(IF(ISNUMBER(INDEX(PASTE_ALL,$DF586,$L$7)),INDEX(PASTE_ALL,$DF586,$L$7),TRIM(SUBSTITUTE(SUBSTITUTE(SUBSTITUTE(SUBSTITUTE(INDEX(PASTE_ALL,$DF586,$L$7)," "," "),CHAR(9)," "),CHAR(10)," "),CHAR(13)," "))),"")))</f>
        <v/>
      </c>
      <c r="DP586">
        <f>IF($DM586=0,"",IF($L$8=0,"",IFERROR(IF(ISNUMBER(INDEX(PASTE_ALL,$DF586,$L$8)),INDEX(PASTE_ALL,$DF586,$L$8),TRIM(SUBSTITUTE(SUBSTITUTE(SUBSTITUTE(SUBSTITUTE(INDEX(PASTE_ALL,$DF586,$L$8)," "," "),CHAR(9)," "),CHAR(10)," "),CHAR(13)," "))),"")))</f>
        <v/>
      </c>
      <c r="DQ586">
        <f>IF($DM586=0,"",IF($L$9=0,"",IFERROR(IF(ISNUMBER(INDEX(PASTE_ALL,$DF586,$L$9)),INDEX(PASTE_ALL,$DF586,$L$9),TRIM(SUBSTITUTE(SUBSTITUTE(SUBSTITUTE(SUBSTITUTE(INDEX(PASTE_ALL,$DF586,$L$9)," "," "),CHAR(9)," "),CHAR(10)," "),CHAR(13)," "))),"")))</f>
        <v/>
      </c>
      <c r="DR586">
        <f>IF($DM586=0,"",IF($L$10=0,"",IFERROR(IF(ISNUMBER(INDEX(PASTE_ALL,$DF586,$L$10)),INDEX(PASTE_ALL,$DF586,$L$10),TRIM(SUBSTITUTE(SUBSTITUTE(SUBSTITUTE(SUBSTITUTE(INDEX(PASTE_ALL,$DF586,$L$10)," "," "),CHAR(9)," "),CHAR(10)," "),CHAR(13)," "))),"")))</f>
        <v/>
      </c>
      <c r="DS586">
        <f>IF($DM586=0,"",IF($L$11=0,"",IFERROR(IF(ISNUMBER(INDEX(PASTE_ALL,$DF586,$L$11)),INDEX(PASTE_ALL,$DF586,$L$11),TRIM(SUBSTITUTE(SUBSTITUTE(SUBSTITUTE(SUBSTITUTE(INDEX(PASTE_ALL,$DF586,$L$11)," "," "),CHAR(9)," "),CHAR(10)," "),CHAR(13)," "))),"")))</f>
        <v/>
      </c>
      <c r="DT586">
        <f>IF($DM586=0,"",IF($L$12=0,"",IFERROR(IF(ISNUMBER(INDEX(PASTE_ALL,$DF586,$L$12)),INDEX(PASTE_ALL,$DF586,$L$12),TRIM(SUBSTITUTE(SUBSTITUTE(SUBSTITUTE(SUBSTITUTE(INDEX(PASTE_ALL,$DF586,$L$12)," "," "),CHAR(9)," "),CHAR(10)," "),CHAR(13)," "))),"")))</f>
        <v/>
      </c>
      <c r="DU586">
        <f>IF($DM586=0,"",IF($L$13=0,"",IFERROR(IF(ISNUMBER(INDEX(PASTE_ALL,$DF586,$L$13)),INDEX(PASTE_ALL,$DF586,$L$13),TRIM(SUBSTITUTE(SUBSTITUTE(SUBSTITUTE(SUBSTITUTE(INDEX(PASTE_ALL,$DF586,$L$13)," "," "),CHAR(9)," "),CHAR(10)," "),CHAR(13)," "))),"")))</f>
        <v/>
      </c>
      <c r="DV586">
        <f>IF($DM586=0,"",IF($L$14=0,"",IFERROR(IF(ISNUMBER(INDEX(PASTE_ALL,$DF586,$L$14)),INDEX(PASTE_ALL,$DF586,$L$14),TRIM(SUBSTITUTE(SUBSTITUTE(SUBSTITUTE(SUBSTITUTE(INDEX(PASTE_ALL,$DF586,$L$14)," "," "),CHAR(9)," "),CHAR(10)," "),CHAR(13)," "))),"")))</f>
        <v/>
      </c>
      <c r="DW586">
        <f>IF($DM586=0,"",IF($L$15=0,"",IFERROR(IF(ISNUMBER(INDEX(PASTE_ALL,$DF586,$L$15)),INDEX(PASTE_ALL,$DF586,$L$15),IF(SUMPRODUCT(--ISNUMBER(FIND({"A","B","C","D","E","F","G","H","I","J","K","L","M","N","O","P","Q","R","S","T","U","V","W","X","Y","Z","0","1","2","3","4","5","6","7","8","9"},UPPER(TRIM(SUBSTITUTE(SUBSTITUTE(SUBSTITUTE(SUBSTITUTE(INDEX(PASTE_ALL,$DF586,$L$15)," "," "),CHAR(9)," "),CHAR(10)," "),CHAR(13)," "))))))&gt;0,TRIM(SUBSTITUTE(SUBSTITUTE(SUBSTITUTE(SUBSTITUTE(INDEX(PASTE_ALL,$DF586,$L$15)," "," "),CHAR(9)," "),CHAR(10)," "),CHAR(13)," ")),"")),"")))</f>
        <v/>
      </c>
      <c r="DX586">
        <f>IF($DM586=0,"",IF($L$16=0,"",IFERROR(IF(ISNUMBER(INDEX(PASTE_ALL,$DF586,$L$16)),INDEX(PASTE_ALL,$DF586,$L$16),SUBSTITUTE(SUBSTITUTE(TRIM(SUBSTITUTE(SUBSTITUTE(SUBSTITUTE(SUBSTITUTE(INDEX(PASTE_ALL,$DF586,$L$16)," "," "),CHAR(9)," "),CHAR(10)," "),CHAR(13)," ")),",",""),"%","")),"")))</f>
        <v/>
      </c>
      <c r="DY586">
        <f>IF($DM586=0,"",IFERROR(IF(ISNUMBER($DX586),$DX586,IF($DX586="","",IF(TRIM($DX586)="",0,IF(AND(AND(SUBSTITUTE(SUBSTITUTE(SUBSTITUTE(SUBSTITUTE(SUBSTITUTE(SUBSTITUTE(SUBSTITUTE(SUBSTITUTE(SUBSTITUTE(SUBSTITUTE(SUBSTITUTE(SUBSTITUTE(SUBSTITUTE(SUBSTITUTE(UPPER(TRIM($DX586)),"0",""),"1",""),"2",""),"3",""),"4",""),"5",""),"6",""),"7",""),"8",""),"9",""),".",""),"+",""),"-",""),"E","")="",LEN(SUBSTITUTE(SUBSTITUTE(MID(UPPER(TRIM($DX586)),1+OR(LEFT(UPPER(TRIM($DX586)),1)="+",LEFT(UPPER(TRIM($DX586)),1)="-"),999),"E+","E"),"E-","E"))=LEN(SUBSTITUTE(SUBSTITUTE(SUBSTITUTE(SUBSTITUTE(MID(UPPER(TRIM($DX586)),1+OR(LEFT(UPPER(TRIM($DX586)),1)="+",LEFT(UPPER(TRIM($DX586)),1)="-"),999),"E+","E"),"E-","E"),"+",""),"-","")),LEN(UPPER(TRIM($DX586)))-LEN(SUBSTITUTE(UPPER(TRIM($DX586)),"E",""))&lt;2,LEN(UPPER(TRIM($DX586)))-LEN(SUBSTITUTE(UPPER(TRIM($DX586)),".",""))&lt;2,IFERROR(FIND(".",UPPER(TRIM($DX586))),0)&lt;IFERROR(FIND("E",UPPER(TRIM($DX586))),999)),ISNUMBER(VALUE(TRIM($DX586)))),VALUE(TRIM($DX586)),"")))),""))</f>
        <v/>
      </c>
      <c r="DZ586">
        <f>IF($DM586=0,"",IF($L$17=0,"",IFERROR(IF(ISNUMBER(INDEX(PASTE_ALL,$DF586,$L$17)),INDEX(PASTE_ALL,$DF586,$L$17),SUBSTITUTE(SUBSTITUTE(TRIM(SUBSTITUTE(SUBSTITUTE(SUBSTITUTE(SUBSTITUTE(INDEX(PASTE_ALL,$DF586,$L$17)," "," "),CHAR(9)," "),CHAR(10)," "),CHAR(13)," ")),",",""),"%","")),"")))</f>
        <v/>
      </c>
      <c r="EA586">
        <f>IF($DM586=0,"",IFERROR(IF(ISNUMBER($DZ586),$DZ586,IF($DZ586="","",IF(TRIM($DZ586)="",0,IF(AND(AND(SUBSTITUTE(SUBSTITUTE(SUBSTITUTE(SUBSTITUTE(SUBSTITUTE(SUBSTITUTE(SUBSTITUTE(SUBSTITUTE(SUBSTITUTE(SUBSTITUTE(SUBSTITUTE(SUBSTITUTE(SUBSTITUTE(SUBSTITUTE(UPPER(TRIM($DZ586)),"0",""),"1",""),"2",""),"3",""),"4",""),"5",""),"6",""),"7",""),"8",""),"9",""),".",""),"+",""),"-",""),"E","")="",LEN(SUBSTITUTE(SUBSTITUTE(MID(UPPER(TRIM($DZ586)),1+OR(LEFT(UPPER(TRIM($DZ586)),1)="+",LEFT(UPPER(TRIM($DZ586)),1)="-"),999),"E+","E"),"E-","E"))=LEN(SUBSTITUTE(SUBSTITUTE(SUBSTITUTE(SUBSTITUTE(MID(UPPER(TRIM($DZ586)),1+OR(LEFT(UPPER(TRIM($DZ586)),1)="+",LEFT(UPPER(TRIM($DZ586)),1)="-"),999),"E+","E"),"E-","E"),"+",""),"-","")),LEN(UPPER(TRIM($DZ586)))-LEN(SUBSTITUTE(UPPER(TRIM($DZ586)),"E",""))&lt;2,LEN(UPPER(TRIM($DZ586)))-LEN(SUBSTITUTE(UPPER(TRIM($DZ586)),".",""))&lt;2,IFERROR(FIND(".",UPPER(TRIM($DZ586))),0)&lt;IFERROR(FIND("E",UPPER(TRIM($DZ586))),999)),ISNUMBER(VALUE(TRIM($DZ586)))),VALUE(TRIM($DZ586)),"")))),""))</f>
        <v/>
      </c>
      <c r="EB586">
        <f>IF($DM586=0,"",IF($L$18=0,"",IFERROR(IF(UPPER(TRIM(SUBSTITUTE(SUBSTITUTE(SUBSTITUTE(SUBSTITUTE(INDEX(PASTE_ALL,$DF586,$L$18)," "," "),CHAR(9)," "),CHAR(10)," "),CHAR(13)," ")))="READY","Ready",IF(UPPER(TRIM(SUBSTITUTE(SUBSTITUTE(SUBSTITUTE(SUBSTITUTE(INDEX(PASTE_ALL,$DF586,$L$18)," "," "),CHAR(9)," "),CHAR(10)," "),CHAR(13)," ")))="PM","PM",IF(OR(UPPER(TRIM(SUBSTITUTE(SUBSTITUTE(SUBSTITUTE(SUBSTITUTE(INDEX(PASTE_ALL,$DF586,$L$18)," "," "),CHAR(9)," "),CHAR(10)," "),CHAR(13)," ")))="OT",UPPER(TRIM(SUBSTITUTE(SUBSTITUTE(SUBSTITUTE(SUBSTITUTE(INDEX(PASTE_ALL,$DF586,$L$18)," "," "),CHAR(9)," "),CHAR(10)," "),CHAR(13)," ")))="OVERTIME",UPPER(TRIM(SUBSTITUTE(SUBSTITUTE(SUBSTITUTE(SUBSTITUTE(INDEX(PASTE_ALL,$DF586,$L$18)," "," "),CHAR(9)," "),CHAR(10)," "),CHAR(13)," ")))="TRIAL"),"OT",TRIM(SUBSTITUTE(SUBSTITUTE(SUBSTITUTE(SUBSTITUTE(INDEX(PASTE_ALL,$DF586,$L$18)," "," "),CHAR(9)," "),CHAR(10)," "),CHAR(13)," "))))),"")))</f>
        <v/>
      </c>
      <c r="EC586">
        <f>IF($DM586=0,"",IF($L$19=0,"",IFERROR(IF(ISNUMBER(INDEX(PASTE_ALL,$DF586,$L$19)),INDEX(PASTE_ALL,$DF586,$L$19),TRIM(SUBSTITUTE(SUBSTITUTE(SUBSTITUTE(SUBSTITUTE(INDEX(PASTE_ALL,$DF586,$L$19)," "," "),CHAR(9)," "),CHAR(10)," "),CHAR(13)," "))),"")))</f>
        <v/>
      </c>
      <c r="ED586">
        <f>IF($DM586=0,"",MATCH(1,INDEX(EXACT($DH$5:DH586,$DH586)*$DM$5:DM586,0),0))</f>
        <v/>
      </c>
      <c r="EE586">
        <f>IF($DM586=0,0,IF($ED586=$DE586,1,0))</f>
        <v/>
      </c>
      <c r="EF586">
        <f>EF585+$EE586</f>
        <v/>
      </c>
      <c r="EG586">
        <f>IF($DM586=0,"",INDEX($EF$5:$EF$1003,$ED586))</f>
        <v/>
      </c>
      <c r="EH586">
        <f>IF($DM586=0,"",IF($DO586&lt;&gt;"","",IFERROR(LOOKUP(2,1/(($EG$4:EG585=$EG586)*($DO$4:DO585&lt;&gt;"")),$DO$4:DO585),"")))</f>
        <v/>
      </c>
      <c r="EI586">
        <f>IF($DM586=0,"",IF($DO586&lt;&gt;"",$DO586,$EH586))</f>
        <v/>
      </c>
      <c r="EJ586">
        <f>IF($DM586=0,"",IF($EI586="",0,IF(OR(ISNUMBER($EI586),AND(AND(SUBSTITUTE(SUBSTITUTE(SUBSTITUTE(SUBSTITUTE(SUBSTITUTE(SUBSTITUTE(SUBSTITUTE(SUBSTITUTE(SUBSTITUTE(SUBSTITUTE(SUBSTITUTE(SUBSTITUTE(SUBSTITUTE(SUBSTITUTE(UPPER($EI586),"0",""),"1",""),"2",""),"3",""),"4",""),"5",""),"6",""),"7",""),"8",""),"9",""),".",""),"+",""),"-",""),"E","")="",LEN(SUBSTITUTE(SUBSTITUTE(MID(UPPER($EI586),1+OR(LEFT(UPPER($EI586),1)="+",LEFT(UPPER($EI586),1)="-"),999),"E+","E"),"E-","E"))=LEN(SUBSTITUTE(SUBSTITUTE(SUBSTITUTE(SUBSTITUTE(MID(UPPER($EI586),1+OR(LEFT(UPPER($EI586),1)="+",LEFT(UPPER($EI586),1)="-"),999),"E+","E"),"E-","E"),"+",""),"-","")),LEN(UPPER($EI586))-LEN(SUBSTITUTE(UPPER($EI586),"E",""))&lt;2,LEN(UPPER($EI586))-LEN(SUBSTITUTE(UPPER($EI586),".",""))&lt;2,IFERROR(FIND(".",UPPER($EI586)),0)&lt;IFERROR(FIND("E",UPPER($EI586)),999)),ISNUMBER(VALUE($EI586)))),1,2)))</f>
        <v/>
      </c>
      <c r="EK586">
        <f>IF($DM586=0,"",IF($EJ586=1,IF(ISNUMBER($EI586),$EI586,VALUE($EI586)),IF($EJ586=2,$DE586,0)))</f>
        <v/>
      </c>
      <c r="EL586">
        <f>IF($DM586=0,"",COUNTIF($EG$5:$EG$1003,"&lt;"&amp;$EG586)+SUMPRODUCT(($EG$5:$EG$1003=$EG586)*(($EJ$5:$EJ$1003&lt;$EJ586)+($EJ$5:$EJ$1003=$EJ586)*(($EK$5:$EK$1003&lt;$EK586)+($EK$5:$EK$1003=$EK586)*($DE$5:$DE$1003&lt;$DE586))))+1)</f>
        <v/>
      </c>
      <c r="EM586">
        <f>IF($DM586=0,"",$EL586+$EG586-1)</f>
        <v/>
      </c>
      <c r="EN586">
        <f>IF($DM586=0,0,IFERROR(MATCH(1,INDEX(--(TRIM(SUBSTITUTE(SUBSTITUTE(SUBSTITUTE(SUBSTITUTE(LINES_NAME&amp;""," "," "),CHAR(9)," "),CHAR(10)," "),CHAR(13)," "))=$DH586),0),0),0))</f>
        <v/>
      </c>
      <c r="EO586">
        <f>IF($EN586=0,0,IF(OR(UPPER(TRIM(INDEX(LINES_SCHEDULED,$EN586)&amp;""))="YES",UPPER(TRIM(INDEX(LINES_SCHEDULED,$EN586)&amp;""))="Y",UPPER(TRIM(INDEX(LINES_SCHEDULED,$EN586)&amp;""))="X"),1,0))</f>
        <v/>
      </c>
      <c r="EP586">
        <f>IF($DM586=0,"",IF(COUNTIFS($EG$5:$EG$1003,$EG586,$EB$5:$EB$1003,"Ready")&gt;0,"READY",IF(COUNTIFS($EG$5:$EG$1003,$EG586,$EB$5:$EB$1003,"PM")&gt;0,"PM",IF(COUNTIFS($EG$5:$EG$1003,$EG586,$EB$5:$EB$1003,"OT")&gt;0,"OT",""))))</f>
        <v/>
      </c>
      <c r="EQ586">
        <f>IF($EN586=0,"",UPPER(TRIM(INDEX(LINES_STATUS,$EN586)&amp;"")))</f>
        <v/>
      </c>
      <c r="ER586">
        <f>IF($DM586=0,"",IF(OR($EQ586="READY",$EQ586="PM",$EQ586="OT"),$EQ586,$EP586))</f>
        <v/>
      </c>
      <c r="ES586">
        <f>IF($DM586=0,"",IF(AND($DV586&lt;&gt;"",UPPER($DV586)&lt;&gt;"N"),"allergen",IF(ISNUMBER(SEARCH("oil",$DQ586)),"oil",IF(OR(EXACT($DS586,"A662"),EXACT($DS586,"A624")),"bulk",""))))</f>
        <v/>
      </c>
      <c r="ET586">
        <f>IF($DM586=0,"",IF(OR($EA586="",$EA586=0),"",$EA586/100))</f>
        <v/>
      </c>
      <c r="EU586">
        <f>IF(OR($ET586="",$DY586=""),"",INT($DY586*(1-$ET586)+0.5))</f>
        <v/>
      </c>
      <c r="EW586" t="n">
        <v>582</v>
      </c>
      <c r="EX586">
        <f>IFERROR(MATCH($EW586,$EM$5:$EM$1003,0),0)</f>
        <v/>
      </c>
      <c r="EY586">
        <f>IF($EW586&gt;$B$12,"",IF($EX586&gt;0,"row","spacer"))</f>
        <v/>
      </c>
      <c r="EZ586">
        <f>IF(AND($EY586="row",$EY585&lt;&gt;"row"),1,0)</f>
        <v/>
      </c>
      <c r="FA586">
        <f>IF(AND($EY586="row",$EY587&lt;&gt;"row"),1,0)</f>
        <v/>
      </c>
      <c r="FB586">
        <f>IF($EZ586=1,IFERROR(IF(ISNUMBER(INDEX(PASTE_ALL,INDEX($DF$5:$DF$1003,$EX586),$B$37)),INDEX(PASTE_ALL,INDEX($DF$5:$DF$1003,$EX586),$B$37),INDEX($DH$5:$DH$1003,$EX586)),INDEX($DH$5:$DH$1003,$EX586)),"")</f>
        <v/>
      </c>
      <c r="FC586">
        <f>IF($EY586="row",INDEX($ER$5:$ER$1003,$EX586),"")</f>
        <v/>
      </c>
      <c r="FD586">
        <f>IF($EY586="row",INDEX($DN$5:$DN$1003,$EX586),"")</f>
        <v/>
      </c>
      <c r="FE586">
        <f>IF($EY586="row",INDEX($DO$5:$DO$1003,$EX586),"")</f>
        <v/>
      </c>
      <c r="FF586">
        <f>IF($EY586="row",INDEX($DP$5:$DP$1003,$EX586),"")</f>
        <v/>
      </c>
      <c r="FG586">
        <f>IF($EY586="row",INDEX($DQ$5:$DQ$1003,$EX586),"")</f>
        <v/>
      </c>
      <c r="FH586">
        <f>IF($EY586="row",INDEX($DR$5:$DR$1003,$EX586),"")</f>
        <v/>
      </c>
      <c r="FI586">
        <f>IF($EY586="row",INDEX($DS$5:$DS$1003,$EX586),"")</f>
        <v/>
      </c>
      <c r="FJ586">
        <f>IF($EY586="row",INDEX($DT$5:$DT$1003,$EX586),"")</f>
        <v/>
      </c>
      <c r="FK586">
        <f>IF($EY586="row",INDEX($DU$5:$DU$1003,$EX586),"")</f>
        <v/>
      </c>
      <c r="FL586">
        <f>IF($EY586="row",INDEX($DV$5:$DV$1003,$EX586),"")</f>
        <v/>
      </c>
      <c r="FM586">
        <f>IF($EY586="row",INDEX($DW$5:$DW$1003,$EX586),"")</f>
        <v/>
      </c>
      <c r="FN586">
        <f>IF($EY586="row",INDEX($DY$5:$DY$1003,$EX586),"")</f>
        <v/>
      </c>
      <c r="FO586">
        <f>IF($EY586="row",INDEX($EA$5:$EA$1003,$EX586),"")</f>
        <v/>
      </c>
      <c r="FP586">
        <f>IF($EY586="row",INDEX($EC$5:$EC$1003,$EX586),"")</f>
        <v/>
      </c>
      <c r="FQ586">
        <f>IF($EY586="row",INDEX($ET$5:$ET$1003,$EX586),"")</f>
        <v/>
      </c>
      <c r="FR586">
        <f>IF($EY586="row",INDEX($EU$5:$EU$1003,$EX586),"")</f>
        <v/>
      </c>
      <c r="FS586">
        <f>IF(AND($EY586="row",$EY585="row"),IF(OR(INDEX($DT$5:$DT$1003,$EX585)="",INDEX($DT$5:$DT$1003,$EX586)=""),"",IF(NOT(EXACT(INDEX($DT$5:$DT$1003,$EX585),INDEX($DT$5:$DT$1003,$EX586))),"S4",IF(NOT(EXACT(INDEX($DS$5:$DS$1003,$EX585),INDEX($DS$5:$DS$1003,$EX586))),"S3",IF(NOT(EXACT(INDEX($DR$5:$DR$1003,$EX585),INDEX($DR$5:$DR$1003,$EX586))),"S1 Count Change","S1")))),"")</f>
        <v/>
      </c>
      <c r="FT586">
        <f>IF($EY586="row",INDEX($ES$5:$ES$1003,$EX586),"")</f>
        <v/>
      </c>
      <c r="FU586">
        <f>IF($EY586="row",INDEX($EO$5:$EO$1003,$EX586),0)</f>
        <v/>
      </c>
      <c r="FV586">
        <f>IF($FS586="S1 Count Change",1,0)</f>
        <v/>
      </c>
    </row>
    <row r="587">
      <c r="DA587" t="n">
        <v>583</v>
      </c>
      <c r="DB587">
        <f>IF($B$37=0,"",IFERROR(TRIM(SUBSTITUTE(SUBSTITUTE(SUBSTITUTE(SUBSTITUTE(INDEX(PASTE_ALL,583,$B$37)," "," "),CHAR(9)," "),CHAR(10)," "),CHAR(13)," ")),""))</f>
        <v/>
      </c>
      <c r="DC587">
        <f>IF(AND(583&gt;HEADER_ROW,UPPER(DB587)="LEGEND"),1,0)</f>
        <v/>
      </c>
      <c r="DE587" t="n">
        <v>583</v>
      </c>
      <c r="DF587">
        <f>HEADER_ROW+$DE587</f>
        <v/>
      </c>
      <c r="DG587">
        <f>IF(AND($DF587&lt;=1000,$DF587&lt;$B$8),1,0)</f>
        <v/>
      </c>
      <c r="DH587">
        <f>IF($DG587=1,IFERROR(INDEX($DB$5:$DB$1004,$DF587),""),"")</f>
        <v/>
      </c>
      <c r="DI587">
        <f>IF(AND($DG587=1,$DH587&lt;&gt;""),IFERROR(SUBSTITUTE(SUBSTITUTE(TRIM(SUBSTITUTE(SUBSTITUTE(SUBSTITUTE(SUBSTITUTE(IFERROR(INDEX(PASTE_ALL,$DF587,1)&amp;"","")&amp;"␟"&amp;IFERROR(INDEX(PASTE_ALL,$DF587,2)&amp;"","")&amp;"␟"&amp;IFERROR(INDEX(PASTE_ALL,$DF587,3)&amp;"","")&amp;"␟"&amp;IFERROR(INDEX(PASTE_ALL,$DF587,4)&amp;"","")&amp;"␟"&amp;IFERROR(INDEX(PASTE_ALL,$DF587,5)&amp;"","")&amp;"␟"&amp;IFERROR(INDEX(PASTE_ALL,$DF587,6)&amp;"","")&amp;"␟"&amp;IFERROR(INDEX(PASTE_ALL,$DF587,7)&amp;"","")&amp;"␟"&amp;IFERROR(INDEX(PASTE_ALL,$DF587,8)&amp;"","")&amp;"␟"&amp;IFERROR(INDEX(PASTE_ALL,$DF587,9)&amp;"","")&amp;"␟"&amp;IFERROR(INDEX(PASTE_ALL,$DF587,10)&amp;"","")&amp;"␟"&amp;IFERROR(INDEX(PASTE_ALL,$DF587,11)&amp;"","")&amp;"␟"&amp;IFERROR(INDEX(PASTE_ALL,$DF587,12)&amp;"","")&amp;"␟"&amp;IFERROR(INDEX(PASTE_ALL,$DF587,13)&amp;"","")&amp;"␟"&amp;IFERROR(INDEX(PASTE_ALL,$DF587,14)&amp;"","")&amp;"␟"&amp;IFERROR(INDEX(PASTE_ALL,$DF587,15)&amp;"","")&amp;"␟"&amp;IFERROR(INDEX(PASTE_ALL,$DF587,16)&amp;"","")&amp;"␟"&amp;IFERROR(INDEX(PASTE_ALL,$DF587,17)&amp;"","")&amp;"␟"&amp;IFERROR(INDEX(PASTE_ALL,$DF587,18)&amp;"","")&amp;"␟"&amp;IFERROR(INDEX(PASTE_ALL,$DF587,19)&amp;"","")&amp;"␟"&amp;IFERROR(INDEX(PASTE_ALL,$DF587,20)&amp;"","")&amp;"␟"&amp;IFERROR(INDEX(PASTE_ALL,$DF587,21)&amp;"","")&amp;"␟"&amp;IFERROR(INDEX(PASTE_ALL,$DF587,22)&amp;"","")&amp;"␟"&amp;IFERROR(INDEX(PASTE_ALL,$DF587,23)&amp;"","")&amp;"␟"&amp;IFERROR(INDEX(PASTE_ALL,$DF587,24)&amp;"","")&amp;"␟"&amp;IFERROR(INDEX(PASTE_ALL,$DF587,25)&amp;"","")&amp;"␟"&amp;IFERROR(INDEX(PASTE_ALL,$DF587,26)&amp;"","")&amp;"␟"&amp;IFERROR(INDEX(PASTE_ALL,$DF587,27)&amp;"","")&amp;"␟"&amp;IFERROR(INDEX(PASTE_ALL,$DF587,28)&amp;"","")&amp;"␟"&amp;IFERROR(INDEX(PASTE_ALL,$DF587,29)&amp;"","")&amp;"␟"&amp;IFERROR(INDEX(PASTE_ALL,$DF587,30)&amp;"","")&amp;"␟"&amp;IFERROR(INDEX(PASTE_ALL,$DF587,31)&amp;"","")&amp;"␟"&amp;IFERROR(INDEX(PASTE_ALL,$DF587,32)&amp;"","")&amp;"␟"&amp;IFERROR(INDEX(PASTE_ALL,$DF587,33)&amp;"","")&amp;"␟"&amp;IFERROR(INDEX(PASTE_ALL,$DF587,34)&amp;"","")&amp;"␟"&amp;IFERROR(INDEX(PASTE_ALL,$DF587,35)&amp;"","")&amp;"␟"&amp;IFERROR(INDEX(PASTE_ALL,$DF587,36)&amp;"","")&amp;"␟"&amp;IFERROR(INDEX(PASTE_ALL,$DF587,37)&amp;"","")&amp;"␟"&amp;IFERROR(INDEX(PASTE_ALL,$DF587,38)&amp;"","")&amp;"␟"&amp;IFERROR(INDEX(PASTE_ALL,$DF587,39)&amp;"","")&amp;"␟"&amp;IFERROR(INDEX(PASTE_ALL,$DF587,40)&amp;"","")&amp;"␟"&amp;IFERROR(INDEX(PASTE_ALL,$DF587,41)&amp;"","")&amp;"␟"&amp;IFERROR(INDEX(PASTE_ALL,$DF587,42)&amp;"","")&amp;"␟"&amp;IFERROR(INDEX(PASTE_ALL,$DF587,43)&amp;"","")&amp;"␟"&amp;IFERROR(INDEX(PASTE_ALL,$DF587,44)&amp;"","")&amp;"␟"&amp;IFERROR(INDEX(PASTE_ALL,$DF587,45)&amp;"","")&amp;"␟"&amp;IFERROR(INDEX(PASTE_ALL,$DF587,46)&amp;"","")&amp;"␟"&amp;IFERROR(INDEX(PASTE_ALL,$DF587,47)&amp;"","")&amp;"␟"&amp;IFERROR(INDEX(PASTE_ALL,$DF587,48)&amp;"","")&amp;"␟"&amp;IFERROR(INDEX(PASTE_ALL,$DF587,49)&amp;"","")&amp;"␟"&amp;IFERROR(INDEX(PASTE_ALL,$DF587,50)&amp;"","")&amp;"␟"&amp;IFERROR(INDEX(PASTE_ALL,$DF587,51)&amp;"","")&amp;"␟"&amp;IFERROR(INDEX(PASTE_ALL,$DF587,52)&amp;"","")&amp;"␟"&amp;IFERROR(INDEX(PASTE_ALL,$DF587,53)&amp;"","")&amp;"␟"&amp;IFERROR(INDEX(PASTE_ALL,$DF587,54)&amp;"","")&amp;"␟"&amp;IFERROR(INDEX(PASTE_ALL,$DF587,55)&amp;"","")&amp;"␟"&amp;IFERROR(INDEX(PASTE_ALL,$DF587,56)&amp;"","")&amp;"␟"&amp;IFERROR(INDEX(PASTE_ALL,$DF587,57)&amp;"","")&amp;"␟"&amp;IFERROR(INDEX(PASTE_ALL,$DF587,58)&amp;"","")&amp;"␟"&amp;IFERROR(INDEX(PASTE_ALL,$DF587,59)&amp;"","")&amp;"␟"&amp;IFERROR(INDEX(PASTE_ALL,$DF587,60)&amp;"","")," "," "),CHAR(9)," "),CHAR(10)," "),CHAR(13)," "))," ␟","␟"),"␟ ","␟"),"#"&amp;$DE587),"")</f>
        <v/>
      </c>
      <c r="DJ587">
        <f>IF($DI587="",0,IF(SUMPRODUCT(--EXACT($DI$4:DI586,$DI587))&gt;0,1,0))</f>
        <v/>
      </c>
      <c r="DK587">
        <f>IF(AND($DI587&lt;&gt;"",$DJ587=0),1,0)</f>
        <v/>
      </c>
      <c r="DL587">
        <f>DL586+$DK587</f>
        <v/>
      </c>
      <c r="DM587">
        <f>IF(AND($DK587=1,$DL587&lt;=600),1,0)</f>
        <v/>
      </c>
      <c r="DN587">
        <f>IF($DM587=0,"",IF($L$6=0,"",IFERROR(IF(ISNUMBER(INDEX(PASTE_ALL,$DF587,$L$6)),INDEX(PASTE_ALL,$DF587,$L$6),TRIM(SUBSTITUTE(SUBSTITUTE(SUBSTITUTE(SUBSTITUTE(INDEX(PASTE_ALL,$DF587,$L$6)," "," "),CHAR(9)," "),CHAR(10)," "),CHAR(13)," "))),"")))</f>
        <v/>
      </c>
      <c r="DO587">
        <f>IF($DM587=0,"",IF($L$7=0,"",IFERROR(IF(ISNUMBER(INDEX(PASTE_ALL,$DF587,$L$7)),INDEX(PASTE_ALL,$DF587,$L$7),TRIM(SUBSTITUTE(SUBSTITUTE(SUBSTITUTE(SUBSTITUTE(INDEX(PASTE_ALL,$DF587,$L$7)," "," "),CHAR(9)," "),CHAR(10)," "),CHAR(13)," "))),"")))</f>
        <v/>
      </c>
      <c r="DP587">
        <f>IF($DM587=0,"",IF($L$8=0,"",IFERROR(IF(ISNUMBER(INDEX(PASTE_ALL,$DF587,$L$8)),INDEX(PASTE_ALL,$DF587,$L$8),TRIM(SUBSTITUTE(SUBSTITUTE(SUBSTITUTE(SUBSTITUTE(INDEX(PASTE_ALL,$DF587,$L$8)," "," "),CHAR(9)," "),CHAR(10)," "),CHAR(13)," "))),"")))</f>
        <v/>
      </c>
      <c r="DQ587">
        <f>IF($DM587=0,"",IF($L$9=0,"",IFERROR(IF(ISNUMBER(INDEX(PASTE_ALL,$DF587,$L$9)),INDEX(PASTE_ALL,$DF587,$L$9),TRIM(SUBSTITUTE(SUBSTITUTE(SUBSTITUTE(SUBSTITUTE(INDEX(PASTE_ALL,$DF587,$L$9)," "," "),CHAR(9)," "),CHAR(10)," "),CHAR(13)," "))),"")))</f>
        <v/>
      </c>
      <c r="DR587">
        <f>IF($DM587=0,"",IF($L$10=0,"",IFERROR(IF(ISNUMBER(INDEX(PASTE_ALL,$DF587,$L$10)),INDEX(PASTE_ALL,$DF587,$L$10),TRIM(SUBSTITUTE(SUBSTITUTE(SUBSTITUTE(SUBSTITUTE(INDEX(PASTE_ALL,$DF587,$L$10)," "," "),CHAR(9)," "),CHAR(10)," "),CHAR(13)," "))),"")))</f>
        <v/>
      </c>
      <c r="DS587">
        <f>IF($DM587=0,"",IF($L$11=0,"",IFERROR(IF(ISNUMBER(INDEX(PASTE_ALL,$DF587,$L$11)),INDEX(PASTE_ALL,$DF587,$L$11),TRIM(SUBSTITUTE(SUBSTITUTE(SUBSTITUTE(SUBSTITUTE(INDEX(PASTE_ALL,$DF587,$L$11)," "," "),CHAR(9)," "),CHAR(10)," "),CHAR(13)," "))),"")))</f>
        <v/>
      </c>
      <c r="DT587">
        <f>IF($DM587=0,"",IF($L$12=0,"",IFERROR(IF(ISNUMBER(INDEX(PASTE_ALL,$DF587,$L$12)),INDEX(PASTE_ALL,$DF587,$L$12),TRIM(SUBSTITUTE(SUBSTITUTE(SUBSTITUTE(SUBSTITUTE(INDEX(PASTE_ALL,$DF587,$L$12)," "," "),CHAR(9)," "),CHAR(10)," "),CHAR(13)," "))),"")))</f>
        <v/>
      </c>
      <c r="DU587">
        <f>IF($DM587=0,"",IF($L$13=0,"",IFERROR(IF(ISNUMBER(INDEX(PASTE_ALL,$DF587,$L$13)),INDEX(PASTE_ALL,$DF587,$L$13),TRIM(SUBSTITUTE(SUBSTITUTE(SUBSTITUTE(SUBSTITUTE(INDEX(PASTE_ALL,$DF587,$L$13)," "," "),CHAR(9)," "),CHAR(10)," "),CHAR(13)," "))),"")))</f>
        <v/>
      </c>
      <c r="DV587">
        <f>IF($DM587=0,"",IF($L$14=0,"",IFERROR(IF(ISNUMBER(INDEX(PASTE_ALL,$DF587,$L$14)),INDEX(PASTE_ALL,$DF587,$L$14),TRIM(SUBSTITUTE(SUBSTITUTE(SUBSTITUTE(SUBSTITUTE(INDEX(PASTE_ALL,$DF587,$L$14)," "," "),CHAR(9)," "),CHAR(10)," "),CHAR(13)," "))),"")))</f>
        <v/>
      </c>
      <c r="DW587">
        <f>IF($DM587=0,"",IF($L$15=0,"",IFERROR(IF(ISNUMBER(INDEX(PASTE_ALL,$DF587,$L$15)),INDEX(PASTE_ALL,$DF587,$L$15),IF(SUMPRODUCT(--ISNUMBER(FIND({"A","B","C","D","E","F","G","H","I","J","K","L","M","N","O","P","Q","R","S","T","U","V","W","X","Y","Z","0","1","2","3","4","5","6","7","8","9"},UPPER(TRIM(SUBSTITUTE(SUBSTITUTE(SUBSTITUTE(SUBSTITUTE(INDEX(PASTE_ALL,$DF587,$L$15)," "," "),CHAR(9)," "),CHAR(10)," "),CHAR(13)," "))))))&gt;0,TRIM(SUBSTITUTE(SUBSTITUTE(SUBSTITUTE(SUBSTITUTE(INDEX(PASTE_ALL,$DF587,$L$15)," "," "),CHAR(9)," "),CHAR(10)," "),CHAR(13)," ")),"")),"")))</f>
        <v/>
      </c>
      <c r="DX587">
        <f>IF($DM587=0,"",IF($L$16=0,"",IFERROR(IF(ISNUMBER(INDEX(PASTE_ALL,$DF587,$L$16)),INDEX(PASTE_ALL,$DF587,$L$16),SUBSTITUTE(SUBSTITUTE(TRIM(SUBSTITUTE(SUBSTITUTE(SUBSTITUTE(SUBSTITUTE(INDEX(PASTE_ALL,$DF587,$L$16)," "," "),CHAR(9)," "),CHAR(10)," "),CHAR(13)," ")),",",""),"%","")),"")))</f>
        <v/>
      </c>
      <c r="DY587">
        <f>IF($DM587=0,"",IFERROR(IF(ISNUMBER($DX587),$DX587,IF($DX587="","",IF(TRIM($DX587)="",0,IF(AND(AND(SUBSTITUTE(SUBSTITUTE(SUBSTITUTE(SUBSTITUTE(SUBSTITUTE(SUBSTITUTE(SUBSTITUTE(SUBSTITUTE(SUBSTITUTE(SUBSTITUTE(SUBSTITUTE(SUBSTITUTE(SUBSTITUTE(SUBSTITUTE(UPPER(TRIM($DX587)),"0",""),"1",""),"2",""),"3",""),"4",""),"5",""),"6",""),"7",""),"8",""),"9",""),".",""),"+",""),"-",""),"E","")="",LEN(SUBSTITUTE(SUBSTITUTE(MID(UPPER(TRIM($DX587)),1+OR(LEFT(UPPER(TRIM($DX587)),1)="+",LEFT(UPPER(TRIM($DX587)),1)="-"),999),"E+","E"),"E-","E"))=LEN(SUBSTITUTE(SUBSTITUTE(SUBSTITUTE(SUBSTITUTE(MID(UPPER(TRIM($DX587)),1+OR(LEFT(UPPER(TRIM($DX587)),1)="+",LEFT(UPPER(TRIM($DX587)),1)="-"),999),"E+","E"),"E-","E"),"+",""),"-","")),LEN(UPPER(TRIM($DX587)))-LEN(SUBSTITUTE(UPPER(TRIM($DX587)),"E",""))&lt;2,LEN(UPPER(TRIM($DX587)))-LEN(SUBSTITUTE(UPPER(TRIM($DX587)),".",""))&lt;2,IFERROR(FIND(".",UPPER(TRIM($DX587))),0)&lt;IFERROR(FIND("E",UPPER(TRIM($DX587))),999)),ISNUMBER(VALUE(TRIM($DX587)))),VALUE(TRIM($DX587)),"")))),""))</f>
        <v/>
      </c>
      <c r="DZ587">
        <f>IF($DM587=0,"",IF($L$17=0,"",IFERROR(IF(ISNUMBER(INDEX(PASTE_ALL,$DF587,$L$17)),INDEX(PASTE_ALL,$DF587,$L$17),SUBSTITUTE(SUBSTITUTE(TRIM(SUBSTITUTE(SUBSTITUTE(SUBSTITUTE(SUBSTITUTE(INDEX(PASTE_ALL,$DF587,$L$17)," "," "),CHAR(9)," "),CHAR(10)," "),CHAR(13)," ")),",",""),"%","")),"")))</f>
        <v/>
      </c>
      <c r="EA587">
        <f>IF($DM587=0,"",IFERROR(IF(ISNUMBER($DZ587),$DZ587,IF($DZ587="","",IF(TRIM($DZ587)="",0,IF(AND(AND(SUBSTITUTE(SUBSTITUTE(SUBSTITUTE(SUBSTITUTE(SUBSTITUTE(SUBSTITUTE(SUBSTITUTE(SUBSTITUTE(SUBSTITUTE(SUBSTITUTE(SUBSTITUTE(SUBSTITUTE(SUBSTITUTE(SUBSTITUTE(UPPER(TRIM($DZ587)),"0",""),"1",""),"2",""),"3",""),"4",""),"5",""),"6",""),"7",""),"8",""),"9",""),".",""),"+",""),"-",""),"E","")="",LEN(SUBSTITUTE(SUBSTITUTE(MID(UPPER(TRIM($DZ587)),1+OR(LEFT(UPPER(TRIM($DZ587)),1)="+",LEFT(UPPER(TRIM($DZ587)),1)="-"),999),"E+","E"),"E-","E"))=LEN(SUBSTITUTE(SUBSTITUTE(SUBSTITUTE(SUBSTITUTE(MID(UPPER(TRIM($DZ587)),1+OR(LEFT(UPPER(TRIM($DZ587)),1)="+",LEFT(UPPER(TRIM($DZ587)),1)="-"),999),"E+","E"),"E-","E"),"+",""),"-","")),LEN(UPPER(TRIM($DZ587)))-LEN(SUBSTITUTE(UPPER(TRIM($DZ587)),"E",""))&lt;2,LEN(UPPER(TRIM($DZ587)))-LEN(SUBSTITUTE(UPPER(TRIM($DZ587)),".",""))&lt;2,IFERROR(FIND(".",UPPER(TRIM($DZ587))),0)&lt;IFERROR(FIND("E",UPPER(TRIM($DZ587))),999)),ISNUMBER(VALUE(TRIM($DZ587)))),VALUE(TRIM($DZ587)),"")))),""))</f>
        <v/>
      </c>
      <c r="EB587">
        <f>IF($DM587=0,"",IF($L$18=0,"",IFERROR(IF(UPPER(TRIM(SUBSTITUTE(SUBSTITUTE(SUBSTITUTE(SUBSTITUTE(INDEX(PASTE_ALL,$DF587,$L$18)," "," "),CHAR(9)," "),CHAR(10)," "),CHAR(13)," ")))="READY","Ready",IF(UPPER(TRIM(SUBSTITUTE(SUBSTITUTE(SUBSTITUTE(SUBSTITUTE(INDEX(PASTE_ALL,$DF587,$L$18)," "," "),CHAR(9)," "),CHAR(10)," "),CHAR(13)," ")))="PM","PM",IF(OR(UPPER(TRIM(SUBSTITUTE(SUBSTITUTE(SUBSTITUTE(SUBSTITUTE(INDEX(PASTE_ALL,$DF587,$L$18)," "," "),CHAR(9)," "),CHAR(10)," "),CHAR(13)," ")))="OT",UPPER(TRIM(SUBSTITUTE(SUBSTITUTE(SUBSTITUTE(SUBSTITUTE(INDEX(PASTE_ALL,$DF587,$L$18)," "," "),CHAR(9)," "),CHAR(10)," "),CHAR(13)," ")))="OVERTIME",UPPER(TRIM(SUBSTITUTE(SUBSTITUTE(SUBSTITUTE(SUBSTITUTE(INDEX(PASTE_ALL,$DF587,$L$18)," "," "),CHAR(9)," "),CHAR(10)," "),CHAR(13)," ")))="TRIAL"),"OT",TRIM(SUBSTITUTE(SUBSTITUTE(SUBSTITUTE(SUBSTITUTE(INDEX(PASTE_ALL,$DF587,$L$18)," "," "),CHAR(9)," "),CHAR(10)," "),CHAR(13)," "))))),"")))</f>
        <v/>
      </c>
      <c r="EC587">
        <f>IF($DM587=0,"",IF($L$19=0,"",IFERROR(IF(ISNUMBER(INDEX(PASTE_ALL,$DF587,$L$19)),INDEX(PASTE_ALL,$DF587,$L$19),TRIM(SUBSTITUTE(SUBSTITUTE(SUBSTITUTE(SUBSTITUTE(INDEX(PASTE_ALL,$DF587,$L$19)," "," "),CHAR(9)," "),CHAR(10)," "),CHAR(13)," "))),"")))</f>
        <v/>
      </c>
      <c r="ED587">
        <f>IF($DM587=0,"",MATCH(1,INDEX(EXACT($DH$5:DH587,$DH587)*$DM$5:DM587,0),0))</f>
        <v/>
      </c>
      <c r="EE587">
        <f>IF($DM587=0,0,IF($ED587=$DE587,1,0))</f>
        <v/>
      </c>
      <c r="EF587">
        <f>EF586+$EE587</f>
        <v/>
      </c>
      <c r="EG587">
        <f>IF($DM587=0,"",INDEX($EF$5:$EF$1003,$ED587))</f>
        <v/>
      </c>
      <c r="EH587">
        <f>IF($DM587=0,"",IF($DO587&lt;&gt;"","",IFERROR(LOOKUP(2,1/(($EG$4:EG586=$EG587)*($DO$4:DO586&lt;&gt;"")),$DO$4:DO586),"")))</f>
        <v/>
      </c>
      <c r="EI587">
        <f>IF($DM587=0,"",IF($DO587&lt;&gt;"",$DO587,$EH587))</f>
        <v/>
      </c>
      <c r="EJ587">
        <f>IF($DM587=0,"",IF($EI587="",0,IF(OR(ISNUMBER($EI587),AND(AND(SUBSTITUTE(SUBSTITUTE(SUBSTITUTE(SUBSTITUTE(SUBSTITUTE(SUBSTITUTE(SUBSTITUTE(SUBSTITUTE(SUBSTITUTE(SUBSTITUTE(SUBSTITUTE(SUBSTITUTE(SUBSTITUTE(SUBSTITUTE(UPPER($EI587),"0",""),"1",""),"2",""),"3",""),"4",""),"5",""),"6",""),"7",""),"8",""),"9",""),".",""),"+",""),"-",""),"E","")="",LEN(SUBSTITUTE(SUBSTITUTE(MID(UPPER($EI587),1+OR(LEFT(UPPER($EI587),1)="+",LEFT(UPPER($EI587),1)="-"),999),"E+","E"),"E-","E"))=LEN(SUBSTITUTE(SUBSTITUTE(SUBSTITUTE(SUBSTITUTE(MID(UPPER($EI587),1+OR(LEFT(UPPER($EI587),1)="+",LEFT(UPPER($EI587),1)="-"),999),"E+","E"),"E-","E"),"+",""),"-","")),LEN(UPPER($EI587))-LEN(SUBSTITUTE(UPPER($EI587),"E",""))&lt;2,LEN(UPPER($EI587))-LEN(SUBSTITUTE(UPPER($EI587),".",""))&lt;2,IFERROR(FIND(".",UPPER($EI587)),0)&lt;IFERROR(FIND("E",UPPER($EI587)),999)),ISNUMBER(VALUE($EI587)))),1,2)))</f>
        <v/>
      </c>
      <c r="EK587">
        <f>IF($DM587=0,"",IF($EJ587=1,IF(ISNUMBER($EI587),$EI587,VALUE($EI587)),IF($EJ587=2,$DE587,0)))</f>
        <v/>
      </c>
      <c r="EL587">
        <f>IF($DM587=0,"",COUNTIF($EG$5:$EG$1003,"&lt;"&amp;$EG587)+SUMPRODUCT(($EG$5:$EG$1003=$EG587)*(($EJ$5:$EJ$1003&lt;$EJ587)+($EJ$5:$EJ$1003=$EJ587)*(($EK$5:$EK$1003&lt;$EK587)+($EK$5:$EK$1003=$EK587)*($DE$5:$DE$1003&lt;$DE587))))+1)</f>
        <v/>
      </c>
      <c r="EM587">
        <f>IF($DM587=0,"",$EL587+$EG587-1)</f>
        <v/>
      </c>
      <c r="EN587">
        <f>IF($DM587=0,0,IFERROR(MATCH(1,INDEX(--(TRIM(SUBSTITUTE(SUBSTITUTE(SUBSTITUTE(SUBSTITUTE(LINES_NAME&amp;""," "," "),CHAR(9)," "),CHAR(10)," "),CHAR(13)," "))=$DH587),0),0),0))</f>
        <v/>
      </c>
      <c r="EO587">
        <f>IF($EN587=0,0,IF(OR(UPPER(TRIM(INDEX(LINES_SCHEDULED,$EN587)&amp;""))="YES",UPPER(TRIM(INDEX(LINES_SCHEDULED,$EN587)&amp;""))="Y",UPPER(TRIM(INDEX(LINES_SCHEDULED,$EN587)&amp;""))="X"),1,0))</f>
        <v/>
      </c>
      <c r="EP587">
        <f>IF($DM587=0,"",IF(COUNTIFS($EG$5:$EG$1003,$EG587,$EB$5:$EB$1003,"Ready")&gt;0,"READY",IF(COUNTIFS($EG$5:$EG$1003,$EG587,$EB$5:$EB$1003,"PM")&gt;0,"PM",IF(COUNTIFS($EG$5:$EG$1003,$EG587,$EB$5:$EB$1003,"OT")&gt;0,"OT",""))))</f>
        <v/>
      </c>
      <c r="EQ587">
        <f>IF($EN587=0,"",UPPER(TRIM(INDEX(LINES_STATUS,$EN587)&amp;"")))</f>
        <v/>
      </c>
      <c r="ER587">
        <f>IF($DM587=0,"",IF(OR($EQ587="READY",$EQ587="PM",$EQ587="OT"),$EQ587,$EP587))</f>
        <v/>
      </c>
      <c r="ES587">
        <f>IF($DM587=0,"",IF(AND($DV587&lt;&gt;"",UPPER($DV587)&lt;&gt;"N"),"allergen",IF(ISNUMBER(SEARCH("oil",$DQ587)),"oil",IF(OR(EXACT($DS587,"A662"),EXACT($DS587,"A624")),"bulk",""))))</f>
        <v/>
      </c>
      <c r="ET587">
        <f>IF($DM587=0,"",IF(OR($EA587="",$EA587=0),"",$EA587/100))</f>
        <v/>
      </c>
      <c r="EU587">
        <f>IF(OR($ET587="",$DY587=""),"",INT($DY587*(1-$ET587)+0.5))</f>
        <v/>
      </c>
      <c r="EW587" t="n">
        <v>583</v>
      </c>
      <c r="EX587">
        <f>IFERROR(MATCH($EW587,$EM$5:$EM$1003,0),0)</f>
        <v/>
      </c>
      <c r="EY587">
        <f>IF($EW587&gt;$B$12,"",IF($EX587&gt;0,"row","spacer"))</f>
        <v/>
      </c>
      <c r="EZ587">
        <f>IF(AND($EY587="row",$EY586&lt;&gt;"row"),1,0)</f>
        <v/>
      </c>
      <c r="FA587">
        <f>IF(AND($EY587="row",$EY588&lt;&gt;"row"),1,0)</f>
        <v/>
      </c>
      <c r="FB587">
        <f>IF($EZ587=1,IFERROR(IF(ISNUMBER(INDEX(PASTE_ALL,INDEX($DF$5:$DF$1003,$EX587),$B$37)),INDEX(PASTE_ALL,INDEX($DF$5:$DF$1003,$EX587),$B$37),INDEX($DH$5:$DH$1003,$EX587)),INDEX($DH$5:$DH$1003,$EX587)),"")</f>
        <v/>
      </c>
      <c r="FC587">
        <f>IF($EY587="row",INDEX($ER$5:$ER$1003,$EX587),"")</f>
        <v/>
      </c>
      <c r="FD587">
        <f>IF($EY587="row",INDEX($DN$5:$DN$1003,$EX587),"")</f>
        <v/>
      </c>
      <c r="FE587">
        <f>IF($EY587="row",INDEX($DO$5:$DO$1003,$EX587),"")</f>
        <v/>
      </c>
      <c r="FF587">
        <f>IF($EY587="row",INDEX($DP$5:$DP$1003,$EX587),"")</f>
        <v/>
      </c>
      <c r="FG587">
        <f>IF($EY587="row",INDEX($DQ$5:$DQ$1003,$EX587),"")</f>
        <v/>
      </c>
      <c r="FH587">
        <f>IF($EY587="row",INDEX($DR$5:$DR$1003,$EX587),"")</f>
        <v/>
      </c>
      <c r="FI587">
        <f>IF($EY587="row",INDEX($DS$5:$DS$1003,$EX587),"")</f>
        <v/>
      </c>
      <c r="FJ587">
        <f>IF($EY587="row",INDEX($DT$5:$DT$1003,$EX587),"")</f>
        <v/>
      </c>
      <c r="FK587">
        <f>IF($EY587="row",INDEX($DU$5:$DU$1003,$EX587),"")</f>
        <v/>
      </c>
      <c r="FL587">
        <f>IF($EY587="row",INDEX($DV$5:$DV$1003,$EX587),"")</f>
        <v/>
      </c>
      <c r="FM587">
        <f>IF($EY587="row",INDEX($DW$5:$DW$1003,$EX587),"")</f>
        <v/>
      </c>
      <c r="FN587">
        <f>IF($EY587="row",INDEX($DY$5:$DY$1003,$EX587),"")</f>
        <v/>
      </c>
      <c r="FO587">
        <f>IF($EY587="row",INDEX($EA$5:$EA$1003,$EX587),"")</f>
        <v/>
      </c>
      <c r="FP587">
        <f>IF($EY587="row",INDEX($EC$5:$EC$1003,$EX587),"")</f>
        <v/>
      </c>
      <c r="FQ587">
        <f>IF($EY587="row",INDEX($ET$5:$ET$1003,$EX587),"")</f>
        <v/>
      </c>
      <c r="FR587">
        <f>IF($EY587="row",INDEX($EU$5:$EU$1003,$EX587),"")</f>
        <v/>
      </c>
      <c r="FS587">
        <f>IF(AND($EY587="row",$EY586="row"),IF(OR(INDEX($DT$5:$DT$1003,$EX586)="",INDEX($DT$5:$DT$1003,$EX587)=""),"",IF(NOT(EXACT(INDEX($DT$5:$DT$1003,$EX586),INDEX($DT$5:$DT$1003,$EX587))),"S4",IF(NOT(EXACT(INDEX($DS$5:$DS$1003,$EX586),INDEX($DS$5:$DS$1003,$EX587))),"S3",IF(NOT(EXACT(INDEX($DR$5:$DR$1003,$EX586),INDEX($DR$5:$DR$1003,$EX587))),"S1 Count Change","S1")))),"")</f>
        <v/>
      </c>
      <c r="FT587">
        <f>IF($EY587="row",INDEX($ES$5:$ES$1003,$EX587),"")</f>
        <v/>
      </c>
      <c r="FU587">
        <f>IF($EY587="row",INDEX($EO$5:$EO$1003,$EX587),0)</f>
        <v/>
      </c>
      <c r="FV587">
        <f>IF($FS587="S1 Count Change",1,0)</f>
        <v/>
      </c>
    </row>
    <row r="588">
      <c r="DA588" t="n">
        <v>584</v>
      </c>
      <c r="DB588">
        <f>IF($B$37=0,"",IFERROR(TRIM(SUBSTITUTE(SUBSTITUTE(SUBSTITUTE(SUBSTITUTE(INDEX(PASTE_ALL,584,$B$37)," "," "),CHAR(9)," "),CHAR(10)," "),CHAR(13)," ")),""))</f>
        <v/>
      </c>
      <c r="DC588">
        <f>IF(AND(584&gt;HEADER_ROW,UPPER(DB588)="LEGEND"),1,0)</f>
        <v/>
      </c>
      <c r="DE588" t="n">
        <v>584</v>
      </c>
      <c r="DF588">
        <f>HEADER_ROW+$DE588</f>
        <v/>
      </c>
      <c r="DG588">
        <f>IF(AND($DF588&lt;=1000,$DF588&lt;$B$8),1,0)</f>
        <v/>
      </c>
      <c r="DH588">
        <f>IF($DG588=1,IFERROR(INDEX($DB$5:$DB$1004,$DF588),""),"")</f>
        <v/>
      </c>
      <c r="DI588">
        <f>IF(AND($DG588=1,$DH588&lt;&gt;""),IFERROR(SUBSTITUTE(SUBSTITUTE(TRIM(SUBSTITUTE(SUBSTITUTE(SUBSTITUTE(SUBSTITUTE(IFERROR(INDEX(PASTE_ALL,$DF588,1)&amp;"","")&amp;"␟"&amp;IFERROR(INDEX(PASTE_ALL,$DF588,2)&amp;"","")&amp;"␟"&amp;IFERROR(INDEX(PASTE_ALL,$DF588,3)&amp;"","")&amp;"␟"&amp;IFERROR(INDEX(PASTE_ALL,$DF588,4)&amp;"","")&amp;"␟"&amp;IFERROR(INDEX(PASTE_ALL,$DF588,5)&amp;"","")&amp;"␟"&amp;IFERROR(INDEX(PASTE_ALL,$DF588,6)&amp;"","")&amp;"␟"&amp;IFERROR(INDEX(PASTE_ALL,$DF588,7)&amp;"","")&amp;"␟"&amp;IFERROR(INDEX(PASTE_ALL,$DF588,8)&amp;"","")&amp;"␟"&amp;IFERROR(INDEX(PASTE_ALL,$DF588,9)&amp;"","")&amp;"␟"&amp;IFERROR(INDEX(PASTE_ALL,$DF588,10)&amp;"","")&amp;"␟"&amp;IFERROR(INDEX(PASTE_ALL,$DF588,11)&amp;"","")&amp;"␟"&amp;IFERROR(INDEX(PASTE_ALL,$DF588,12)&amp;"","")&amp;"␟"&amp;IFERROR(INDEX(PASTE_ALL,$DF588,13)&amp;"","")&amp;"␟"&amp;IFERROR(INDEX(PASTE_ALL,$DF588,14)&amp;"","")&amp;"␟"&amp;IFERROR(INDEX(PASTE_ALL,$DF588,15)&amp;"","")&amp;"␟"&amp;IFERROR(INDEX(PASTE_ALL,$DF588,16)&amp;"","")&amp;"␟"&amp;IFERROR(INDEX(PASTE_ALL,$DF588,17)&amp;"","")&amp;"␟"&amp;IFERROR(INDEX(PASTE_ALL,$DF588,18)&amp;"","")&amp;"␟"&amp;IFERROR(INDEX(PASTE_ALL,$DF588,19)&amp;"","")&amp;"␟"&amp;IFERROR(INDEX(PASTE_ALL,$DF588,20)&amp;"","")&amp;"␟"&amp;IFERROR(INDEX(PASTE_ALL,$DF588,21)&amp;"","")&amp;"␟"&amp;IFERROR(INDEX(PASTE_ALL,$DF588,22)&amp;"","")&amp;"␟"&amp;IFERROR(INDEX(PASTE_ALL,$DF588,23)&amp;"","")&amp;"␟"&amp;IFERROR(INDEX(PASTE_ALL,$DF588,24)&amp;"","")&amp;"␟"&amp;IFERROR(INDEX(PASTE_ALL,$DF588,25)&amp;"","")&amp;"␟"&amp;IFERROR(INDEX(PASTE_ALL,$DF588,26)&amp;"","")&amp;"␟"&amp;IFERROR(INDEX(PASTE_ALL,$DF588,27)&amp;"","")&amp;"␟"&amp;IFERROR(INDEX(PASTE_ALL,$DF588,28)&amp;"","")&amp;"␟"&amp;IFERROR(INDEX(PASTE_ALL,$DF588,29)&amp;"","")&amp;"␟"&amp;IFERROR(INDEX(PASTE_ALL,$DF588,30)&amp;"","")&amp;"␟"&amp;IFERROR(INDEX(PASTE_ALL,$DF588,31)&amp;"","")&amp;"␟"&amp;IFERROR(INDEX(PASTE_ALL,$DF588,32)&amp;"","")&amp;"␟"&amp;IFERROR(INDEX(PASTE_ALL,$DF588,33)&amp;"","")&amp;"␟"&amp;IFERROR(INDEX(PASTE_ALL,$DF588,34)&amp;"","")&amp;"␟"&amp;IFERROR(INDEX(PASTE_ALL,$DF588,35)&amp;"","")&amp;"␟"&amp;IFERROR(INDEX(PASTE_ALL,$DF588,36)&amp;"","")&amp;"␟"&amp;IFERROR(INDEX(PASTE_ALL,$DF588,37)&amp;"","")&amp;"␟"&amp;IFERROR(INDEX(PASTE_ALL,$DF588,38)&amp;"","")&amp;"␟"&amp;IFERROR(INDEX(PASTE_ALL,$DF588,39)&amp;"","")&amp;"␟"&amp;IFERROR(INDEX(PASTE_ALL,$DF588,40)&amp;"","")&amp;"␟"&amp;IFERROR(INDEX(PASTE_ALL,$DF588,41)&amp;"","")&amp;"␟"&amp;IFERROR(INDEX(PASTE_ALL,$DF588,42)&amp;"","")&amp;"␟"&amp;IFERROR(INDEX(PASTE_ALL,$DF588,43)&amp;"","")&amp;"␟"&amp;IFERROR(INDEX(PASTE_ALL,$DF588,44)&amp;"","")&amp;"␟"&amp;IFERROR(INDEX(PASTE_ALL,$DF588,45)&amp;"","")&amp;"␟"&amp;IFERROR(INDEX(PASTE_ALL,$DF588,46)&amp;"","")&amp;"␟"&amp;IFERROR(INDEX(PASTE_ALL,$DF588,47)&amp;"","")&amp;"␟"&amp;IFERROR(INDEX(PASTE_ALL,$DF588,48)&amp;"","")&amp;"␟"&amp;IFERROR(INDEX(PASTE_ALL,$DF588,49)&amp;"","")&amp;"␟"&amp;IFERROR(INDEX(PASTE_ALL,$DF588,50)&amp;"","")&amp;"␟"&amp;IFERROR(INDEX(PASTE_ALL,$DF588,51)&amp;"","")&amp;"␟"&amp;IFERROR(INDEX(PASTE_ALL,$DF588,52)&amp;"","")&amp;"␟"&amp;IFERROR(INDEX(PASTE_ALL,$DF588,53)&amp;"","")&amp;"␟"&amp;IFERROR(INDEX(PASTE_ALL,$DF588,54)&amp;"","")&amp;"␟"&amp;IFERROR(INDEX(PASTE_ALL,$DF588,55)&amp;"","")&amp;"␟"&amp;IFERROR(INDEX(PASTE_ALL,$DF588,56)&amp;"","")&amp;"␟"&amp;IFERROR(INDEX(PASTE_ALL,$DF588,57)&amp;"","")&amp;"␟"&amp;IFERROR(INDEX(PASTE_ALL,$DF588,58)&amp;"","")&amp;"␟"&amp;IFERROR(INDEX(PASTE_ALL,$DF588,59)&amp;"","")&amp;"␟"&amp;IFERROR(INDEX(PASTE_ALL,$DF588,60)&amp;"","")," "," "),CHAR(9)," "),CHAR(10)," "),CHAR(13)," "))," ␟","␟"),"␟ ","␟"),"#"&amp;$DE588),"")</f>
        <v/>
      </c>
      <c r="DJ588">
        <f>IF($DI588="",0,IF(SUMPRODUCT(--EXACT($DI$4:DI587,$DI588))&gt;0,1,0))</f>
        <v/>
      </c>
      <c r="DK588">
        <f>IF(AND($DI588&lt;&gt;"",$DJ588=0),1,0)</f>
        <v/>
      </c>
      <c r="DL588">
        <f>DL587+$DK588</f>
        <v/>
      </c>
      <c r="DM588">
        <f>IF(AND($DK588=1,$DL588&lt;=600),1,0)</f>
        <v/>
      </c>
      <c r="DN588">
        <f>IF($DM588=0,"",IF($L$6=0,"",IFERROR(IF(ISNUMBER(INDEX(PASTE_ALL,$DF588,$L$6)),INDEX(PASTE_ALL,$DF588,$L$6),TRIM(SUBSTITUTE(SUBSTITUTE(SUBSTITUTE(SUBSTITUTE(INDEX(PASTE_ALL,$DF588,$L$6)," "," "),CHAR(9)," "),CHAR(10)," "),CHAR(13)," "))),"")))</f>
        <v/>
      </c>
      <c r="DO588">
        <f>IF($DM588=0,"",IF($L$7=0,"",IFERROR(IF(ISNUMBER(INDEX(PASTE_ALL,$DF588,$L$7)),INDEX(PASTE_ALL,$DF588,$L$7),TRIM(SUBSTITUTE(SUBSTITUTE(SUBSTITUTE(SUBSTITUTE(INDEX(PASTE_ALL,$DF588,$L$7)," "," "),CHAR(9)," "),CHAR(10)," "),CHAR(13)," "))),"")))</f>
        <v/>
      </c>
      <c r="DP588">
        <f>IF($DM588=0,"",IF($L$8=0,"",IFERROR(IF(ISNUMBER(INDEX(PASTE_ALL,$DF588,$L$8)),INDEX(PASTE_ALL,$DF588,$L$8),TRIM(SUBSTITUTE(SUBSTITUTE(SUBSTITUTE(SUBSTITUTE(INDEX(PASTE_ALL,$DF588,$L$8)," "," "),CHAR(9)," "),CHAR(10)," "),CHAR(13)," "))),"")))</f>
        <v/>
      </c>
      <c r="DQ588">
        <f>IF($DM588=0,"",IF($L$9=0,"",IFERROR(IF(ISNUMBER(INDEX(PASTE_ALL,$DF588,$L$9)),INDEX(PASTE_ALL,$DF588,$L$9),TRIM(SUBSTITUTE(SUBSTITUTE(SUBSTITUTE(SUBSTITUTE(INDEX(PASTE_ALL,$DF588,$L$9)," "," "),CHAR(9)," "),CHAR(10)," "),CHAR(13)," "))),"")))</f>
        <v/>
      </c>
      <c r="DR588">
        <f>IF($DM588=0,"",IF($L$10=0,"",IFERROR(IF(ISNUMBER(INDEX(PASTE_ALL,$DF588,$L$10)),INDEX(PASTE_ALL,$DF588,$L$10),TRIM(SUBSTITUTE(SUBSTITUTE(SUBSTITUTE(SUBSTITUTE(INDEX(PASTE_ALL,$DF588,$L$10)," "," "),CHAR(9)," "),CHAR(10)," "),CHAR(13)," "))),"")))</f>
        <v/>
      </c>
      <c r="DS588">
        <f>IF($DM588=0,"",IF($L$11=0,"",IFERROR(IF(ISNUMBER(INDEX(PASTE_ALL,$DF588,$L$11)),INDEX(PASTE_ALL,$DF588,$L$11),TRIM(SUBSTITUTE(SUBSTITUTE(SUBSTITUTE(SUBSTITUTE(INDEX(PASTE_ALL,$DF588,$L$11)," "," "),CHAR(9)," "),CHAR(10)," "),CHAR(13)," "))),"")))</f>
        <v/>
      </c>
      <c r="DT588">
        <f>IF($DM588=0,"",IF($L$12=0,"",IFERROR(IF(ISNUMBER(INDEX(PASTE_ALL,$DF588,$L$12)),INDEX(PASTE_ALL,$DF588,$L$12),TRIM(SUBSTITUTE(SUBSTITUTE(SUBSTITUTE(SUBSTITUTE(INDEX(PASTE_ALL,$DF588,$L$12)," "," "),CHAR(9)," "),CHAR(10)," "),CHAR(13)," "))),"")))</f>
        <v/>
      </c>
      <c r="DU588">
        <f>IF($DM588=0,"",IF($L$13=0,"",IFERROR(IF(ISNUMBER(INDEX(PASTE_ALL,$DF588,$L$13)),INDEX(PASTE_ALL,$DF588,$L$13),TRIM(SUBSTITUTE(SUBSTITUTE(SUBSTITUTE(SUBSTITUTE(INDEX(PASTE_ALL,$DF588,$L$13)," "," "),CHAR(9)," "),CHAR(10)," "),CHAR(13)," "))),"")))</f>
        <v/>
      </c>
      <c r="DV588">
        <f>IF($DM588=0,"",IF($L$14=0,"",IFERROR(IF(ISNUMBER(INDEX(PASTE_ALL,$DF588,$L$14)),INDEX(PASTE_ALL,$DF588,$L$14),TRIM(SUBSTITUTE(SUBSTITUTE(SUBSTITUTE(SUBSTITUTE(INDEX(PASTE_ALL,$DF588,$L$14)," "," "),CHAR(9)," "),CHAR(10)," "),CHAR(13)," "))),"")))</f>
        <v/>
      </c>
      <c r="DW588">
        <f>IF($DM588=0,"",IF($L$15=0,"",IFERROR(IF(ISNUMBER(INDEX(PASTE_ALL,$DF588,$L$15)),INDEX(PASTE_ALL,$DF588,$L$15),IF(SUMPRODUCT(--ISNUMBER(FIND({"A","B","C","D","E","F","G","H","I","J","K","L","M","N","O","P","Q","R","S","T","U","V","W","X","Y","Z","0","1","2","3","4","5","6","7","8","9"},UPPER(TRIM(SUBSTITUTE(SUBSTITUTE(SUBSTITUTE(SUBSTITUTE(INDEX(PASTE_ALL,$DF588,$L$15)," "," "),CHAR(9)," "),CHAR(10)," "),CHAR(13)," "))))))&gt;0,TRIM(SUBSTITUTE(SUBSTITUTE(SUBSTITUTE(SUBSTITUTE(INDEX(PASTE_ALL,$DF588,$L$15)," "," "),CHAR(9)," "),CHAR(10)," "),CHAR(13)," ")),"")),"")))</f>
        <v/>
      </c>
      <c r="DX588">
        <f>IF($DM588=0,"",IF($L$16=0,"",IFERROR(IF(ISNUMBER(INDEX(PASTE_ALL,$DF588,$L$16)),INDEX(PASTE_ALL,$DF588,$L$16),SUBSTITUTE(SUBSTITUTE(TRIM(SUBSTITUTE(SUBSTITUTE(SUBSTITUTE(SUBSTITUTE(INDEX(PASTE_ALL,$DF588,$L$16)," "," "),CHAR(9)," "),CHAR(10)," "),CHAR(13)," ")),",",""),"%","")),"")))</f>
        <v/>
      </c>
      <c r="DY588">
        <f>IF($DM588=0,"",IFERROR(IF(ISNUMBER($DX588),$DX588,IF($DX588="","",IF(TRIM($DX588)="",0,IF(AND(AND(SUBSTITUTE(SUBSTITUTE(SUBSTITUTE(SUBSTITUTE(SUBSTITUTE(SUBSTITUTE(SUBSTITUTE(SUBSTITUTE(SUBSTITUTE(SUBSTITUTE(SUBSTITUTE(SUBSTITUTE(SUBSTITUTE(SUBSTITUTE(UPPER(TRIM($DX588)),"0",""),"1",""),"2",""),"3",""),"4",""),"5",""),"6",""),"7",""),"8",""),"9",""),".",""),"+",""),"-",""),"E","")="",LEN(SUBSTITUTE(SUBSTITUTE(MID(UPPER(TRIM($DX588)),1+OR(LEFT(UPPER(TRIM($DX588)),1)="+",LEFT(UPPER(TRIM($DX588)),1)="-"),999),"E+","E"),"E-","E"))=LEN(SUBSTITUTE(SUBSTITUTE(SUBSTITUTE(SUBSTITUTE(MID(UPPER(TRIM($DX588)),1+OR(LEFT(UPPER(TRIM($DX588)),1)="+",LEFT(UPPER(TRIM($DX588)),1)="-"),999),"E+","E"),"E-","E"),"+",""),"-","")),LEN(UPPER(TRIM($DX588)))-LEN(SUBSTITUTE(UPPER(TRIM($DX588)),"E",""))&lt;2,LEN(UPPER(TRIM($DX588)))-LEN(SUBSTITUTE(UPPER(TRIM($DX588)),".",""))&lt;2,IFERROR(FIND(".",UPPER(TRIM($DX588))),0)&lt;IFERROR(FIND("E",UPPER(TRIM($DX588))),999)),ISNUMBER(VALUE(TRIM($DX588)))),VALUE(TRIM($DX588)),"")))),""))</f>
        <v/>
      </c>
      <c r="DZ588">
        <f>IF($DM588=0,"",IF($L$17=0,"",IFERROR(IF(ISNUMBER(INDEX(PASTE_ALL,$DF588,$L$17)),INDEX(PASTE_ALL,$DF588,$L$17),SUBSTITUTE(SUBSTITUTE(TRIM(SUBSTITUTE(SUBSTITUTE(SUBSTITUTE(SUBSTITUTE(INDEX(PASTE_ALL,$DF588,$L$17)," "," "),CHAR(9)," "),CHAR(10)," "),CHAR(13)," ")),",",""),"%","")),"")))</f>
        <v/>
      </c>
      <c r="EA588">
        <f>IF($DM588=0,"",IFERROR(IF(ISNUMBER($DZ588),$DZ588,IF($DZ588="","",IF(TRIM($DZ588)="",0,IF(AND(AND(SUBSTITUTE(SUBSTITUTE(SUBSTITUTE(SUBSTITUTE(SUBSTITUTE(SUBSTITUTE(SUBSTITUTE(SUBSTITUTE(SUBSTITUTE(SUBSTITUTE(SUBSTITUTE(SUBSTITUTE(SUBSTITUTE(SUBSTITUTE(UPPER(TRIM($DZ588)),"0",""),"1",""),"2",""),"3",""),"4",""),"5",""),"6",""),"7",""),"8",""),"9",""),".",""),"+",""),"-",""),"E","")="",LEN(SUBSTITUTE(SUBSTITUTE(MID(UPPER(TRIM($DZ588)),1+OR(LEFT(UPPER(TRIM($DZ588)),1)="+",LEFT(UPPER(TRIM($DZ588)),1)="-"),999),"E+","E"),"E-","E"))=LEN(SUBSTITUTE(SUBSTITUTE(SUBSTITUTE(SUBSTITUTE(MID(UPPER(TRIM($DZ588)),1+OR(LEFT(UPPER(TRIM($DZ588)),1)="+",LEFT(UPPER(TRIM($DZ588)),1)="-"),999),"E+","E"),"E-","E"),"+",""),"-","")),LEN(UPPER(TRIM($DZ588)))-LEN(SUBSTITUTE(UPPER(TRIM($DZ588)),"E",""))&lt;2,LEN(UPPER(TRIM($DZ588)))-LEN(SUBSTITUTE(UPPER(TRIM($DZ588)),".",""))&lt;2,IFERROR(FIND(".",UPPER(TRIM($DZ588))),0)&lt;IFERROR(FIND("E",UPPER(TRIM($DZ588))),999)),ISNUMBER(VALUE(TRIM($DZ588)))),VALUE(TRIM($DZ588)),"")))),""))</f>
        <v/>
      </c>
      <c r="EB588">
        <f>IF($DM588=0,"",IF($L$18=0,"",IFERROR(IF(UPPER(TRIM(SUBSTITUTE(SUBSTITUTE(SUBSTITUTE(SUBSTITUTE(INDEX(PASTE_ALL,$DF588,$L$18)," "," "),CHAR(9)," "),CHAR(10)," "),CHAR(13)," ")))="READY","Ready",IF(UPPER(TRIM(SUBSTITUTE(SUBSTITUTE(SUBSTITUTE(SUBSTITUTE(INDEX(PASTE_ALL,$DF588,$L$18)," "," "),CHAR(9)," "),CHAR(10)," "),CHAR(13)," ")))="PM","PM",IF(OR(UPPER(TRIM(SUBSTITUTE(SUBSTITUTE(SUBSTITUTE(SUBSTITUTE(INDEX(PASTE_ALL,$DF588,$L$18)," "," "),CHAR(9)," "),CHAR(10)," "),CHAR(13)," ")))="OT",UPPER(TRIM(SUBSTITUTE(SUBSTITUTE(SUBSTITUTE(SUBSTITUTE(INDEX(PASTE_ALL,$DF588,$L$18)," "," "),CHAR(9)," "),CHAR(10)," "),CHAR(13)," ")))="OVERTIME",UPPER(TRIM(SUBSTITUTE(SUBSTITUTE(SUBSTITUTE(SUBSTITUTE(INDEX(PASTE_ALL,$DF588,$L$18)," "," "),CHAR(9)," "),CHAR(10)," "),CHAR(13)," ")))="TRIAL"),"OT",TRIM(SUBSTITUTE(SUBSTITUTE(SUBSTITUTE(SUBSTITUTE(INDEX(PASTE_ALL,$DF588,$L$18)," "," "),CHAR(9)," "),CHAR(10)," "),CHAR(13)," "))))),"")))</f>
        <v/>
      </c>
      <c r="EC588">
        <f>IF($DM588=0,"",IF($L$19=0,"",IFERROR(IF(ISNUMBER(INDEX(PASTE_ALL,$DF588,$L$19)),INDEX(PASTE_ALL,$DF588,$L$19),TRIM(SUBSTITUTE(SUBSTITUTE(SUBSTITUTE(SUBSTITUTE(INDEX(PASTE_ALL,$DF588,$L$19)," "," "),CHAR(9)," "),CHAR(10)," "),CHAR(13)," "))),"")))</f>
        <v/>
      </c>
      <c r="ED588">
        <f>IF($DM588=0,"",MATCH(1,INDEX(EXACT($DH$5:DH588,$DH588)*$DM$5:DM588,0),0))</f>
        <v/>
      </c>
      <c r="EE588">
        <f>IF($DM588=0,0,IF($ED588=$DE588,1,0))</f>
        <v/>
      </c>
      <c r="EF588">
        <f>EF587+$EE588</f>
        <v/>
      </c>
      <c r="EG588">
        <f>IF($DM588=0,"",INDEX($EF$5:$EF$1003,$ED588))</f>
        <v/>
      </c>
      <c r="EH588">
        <f>IF($DM588=0,"",IF($DO588&lt;&gt;"","",IFERROR(LOOKUP(2,1/(($EG$4:EG587=$EG588)*($DO$4:DO587&lt;&gt;"")),$DO$4:DO587),"")))</f>
        <v/>
      </c>
      <c r="EI588">
        <f>IF($DM588=0,"",IF($DO588&lt;&gt;"",$DO588,$EH588))</f>
        <v/>
      </c>
      <c r="EJ588">
        <f>IF($DM588=0,"",IF($EI588="",0,IF(OR(ISNUMBER($EI588),AND(AND(SUBSTITUTE(SUBSTITUTE(SUBSTITUTE(SUBSTITUTE(SUBSTITUTE(SUBSTITUTE(SUBSTITUTE(SUBSTITUTE(SUBSTITUTE(SUBSTITUTE(SUBSTITUTE(SUBSTITUTE(SUBSTITUTE(SUBSTITUTE(UPPER($EI588),"0",""),"1",""),"2",""),"3",""),"4",""),"5",""),"6",""),"7",""),"8",""),"9",""),".",""),"+",""),"-",""),"E","")="",LEN(SUBSTITUTE(SUBSTITUTE(MID(UPPER($EI588),1+OR(LEFT(UPPER($EI588),1)="+",LEFT(UPPER($EI588),1)="-"),999),"E+","E"),"E-","E"))=LEN(SUBSTITUTE(SUBSTITUTE(SUBSTITUTE(SUBSTITUTE(MID(UPPER($EI588),1+OR(LEFT(UPPER($EI588),1)="+",LEFT(UPPER($EI588),1)="-"),999),"E+","E"),"E-","E"),"+",""),"-","")),LEN(UPPER($EI588))-LEN(SUBSTITUTE(UPPER($EI588),"E",""))&lt;2,LEN(UPPER($EI588))-LEN(SUBSTITUTE(UPPER($EI588),".",""))&lt;2,IFERROR(FIND(".",UPPER($EI588)),0)&lt;IFERROR(FIND("E",UPPER($EI588)),999)),ISNUMBER(VALUE($EI588)))),1,2)))</f>
        <v/>
      </c>
      <c r="EK588">
        <f>IF($DM588=0,"",IF($EJ588=1,IF(ISNUMBER($EI588),$EI588,VALUE($EI588)),IF($EJ588=2,$DE588,0)))</f>
        <v/>
      </c>
      <c r="EL588">
        <f>IF($DM588=0,"",COUNTIF($EG$5:$EG$1003,"&lt;"&amp;$EG588)+SUMPRODUCT(($EG$5:$EG$1003=$EG588)*(($EJ$5:$EJ$1003&lt;$EJ588)+($EJ$5:$EJ$1003=$EJ588)*(($EK$5:$EK$1003&lt;$EK588)+($EK$5:$EK$1003=$EK588)*($DE$5:$DE$1003&lt;$DE588))))+1)</f>
        <v/>
      </c>
      <c r="EM588">
        <f>IF($DM588=0,"",$EL588+$EG588-1)</f>
        <v/>
      </c>
      <c r="EN588">
        <f>IF($DM588=0,0,IFERROR(MATCH(1,INDEX(--(TRIM(SUBSTITUTE(SUBSTITUTE(SUBSTITUTE(SUBSTITUTE(LINES_NAME&amp;""," "," "),CHAR(9)," "),CHAR(10)," "),CHAR(13)," "))=$DH588),0),0),0))</f>
        <v/>
      </c>
      <c r="EO588">
        <f>IF($EN588=0,0,IF(OR(UPPER(TRIM(INDEX(LINES_SCHEDULED,$EN588)&amp;""))="YES",UPPER(TRIM(INDEX(LINES_SCHEDULED,$EN588)&amp;""))="Y",UPPER(TRIM(INDEX(LINES_SCHEDULED,$EN588)&amp;""))="X"),1,0))</f>
        <v/>
      </c>
      <c r="EP588">
        <f>IF($DM588=0,"",IF(COUNTIFS($EG$5:$EG$1003,$EG588,$EB$5:$EB$1003,"Ready")&gt;0,"READY",IF(COUNTIFS($EG$5:$EG$1003,$EG588,$EB$5:$EB$1003,"PM")&gt;0,"PM",IF(COUNTIFS($EG$5:$EG$1003,$EG588,$EB$5:$EB$1003,"OT")&gt;0,"OT",""))))</f>
        <v/>
      </c>
      <c r="EQ588">
        <f>IF($EN588=0,"",UPPER(TRIM(INDEX(LINES_STATUS,$EN588)&amp;"")))</f>
        <v/>
      </c>
      <c r="ER588">
        <f>IF($DM588=0,"",IF(OR($EQ588="READY",$EQ588="PM",$EQ588="OT"),$EQ588,$EP588))</f>
        <v/>
      </c>
      <c r="ES588">
        <f>IF($DM588=0,"",IF(AND($DV588&lt;&gt;"",UPPER($DV588)&lt;&gt;"N"),"allergen",IF(ISNUMBER(SEARCH("oil",$DQ588)),"oil",IF(OR(EXACT($DS588,"A662"),EXACT($DS588,"A624")),"bulk",""))))</f>
        <v/>
      </c>
      <c r="ET588">
        <f>IF($DM588=0,"",IF(OR($EA588="",$EA588=0),"",$EA588/100))</f>
        <v/>
      </c>
      <c r="EU588">
        <f>IF(OR($ET588="",$DY588=""),"",INT($DY588*(1-$ET588)+0.5))</f>
        <v/>
      </c>
      <c r="EW588" t="n">
        <v>584</v>
      </c>
      <c r="EX588">
        <f>IFERROR(MATCH($EW588,$EM$5:$EM$1003,0),0)</f>
        <v/>
      </c>
      <c r="EY588">
        <f>IF($EW588&gt;$B$12,"",IF($EX588&gt;0,"row","spacer"))</f>
        <v/>
      </c>
      <c r="EZ588">
        <f>IF(AND($EY588="row",$EY587&lt;&gt;"row"),1,0)</f>
        <v/>
      </c>
      <c r="FA588">
        <f>IF(AND($EY588="row",$EY589&lt;&gt;"row"),1,0)</f>
        <v/>
      </c>
      <c r="FB588">
        <f>IF($EZ588=1,IFERROR(IF(ISNUMBER(INDEX(PASTE_ALL,INDEX($DF$5:$DF$1003,$EX588),$B$37)),INDEX(PASTE_ALL,INDEX($DF$5:$DF$1003,$EX588),$B$37),INDEX($DH$5:$DH$1003,$EX588)),INDEX($DH$5:$DH$1003,$EX588)),"")</f>
        <v/>
      </c>
      <c r="FC588">
        <f>IF($EY588="row",INDEX($ER$5:$ER$1003,$EX588),"")</f>
        <v/>
      </c>
      <c r="FD588">
        <f>IF($EY588="row",INDEX($DN$5:$DN$1003,$EX588),"")</f>
        <v/>
      </c>
      <c r="FE588">
        <f>IF($EY588="row",INDEX($DO$5:$DO$1003,$EX588),"")</f>
        <v/>
      </c>
      <c r="FF588">
        <f>IF($EY588="row",INDEX($DP$5:$DP$1003,$EX588),"")</f>
        <v/>
      </c>
      <c r="FG588">
        <f>IF($EY588="row",INDEX($DQ$5:$DQ$1003,$EX588),"")</f>
        <v/>
      </c>
      <c r="FH588">
        <f>IF($EY588="row",INDEX($DR$5:$DR$1003,$EX588),"")</f>
        <v/>
      </c>
      <c r="FI588">
        <f>IF($EY588="row",INDEX($DS$5:$DS$1003,$EX588),"")</f>
        <v/>
      </c>
      <c r="FJ588">
        <f>IF($EY588="row",INDEX($DT$5:$DT$1003,$EX588),"")</f>
        <v/>
      </c>
      <c r="FK588">
        <f>IF($EY588="row",INDEX($DU$5:$DU$1003,$EX588),"")</f>
        <v/>
      </c>
      <c r="FL588">
        <f>IF($EY588="row",INDEX($DV$5:$DV$1003,$EX588),"")</f>
        <v/>
      </c>
      <c r="FM588">
        <f>IF($EY588="row",INDEX($DW$5:$DW$1003,$EX588),"")</f>
        <v/>
      </c>
      <c r="FN588">
        <f>IF($EY588="row",INDEX($DY$5:$DY$1003,$EX588),"")</f>
        <v/>
      </c>
      <c r="FO588">
        <f>IF($EY588="row",INDEX($EA$5:$EA$1003,$EX588),"")</f>
        <v/>
      </c>
      <c r="FP588">
        <f>IF($EY588="row",INDEX($EC$5:$EC$1003,$EX588),"")</f>
        <v/>
      </c>
      <c r="FQ588">
        <f>IF($EY588="row",INDEX($ET$5:$ET$1003,$EX588),"")</f>
        <v/>
      </c>
      <c r="FR588">
        <f>IF($EY588="row",INDEX($EU$5:$EU$1003,$EX588),"")</f>
        <v/>
      </c>
      <c r="FS588">
        <f>IF(AND($EY588="row",$EY587="row"),IF(OR(INDEX($DT$5:$DT$1003,$EX587)="",INDEX($DT$5:$DT$1003,$EX588)=""),"",IF(NOT(EXACT(INDEX($DT$5:$DT$1003,$EX587),INDEX($DT$5:$DT$1003,$EX588))),"S4",IF(NOT(EXACT(INDEX($DS$5:$DS$1003,$EX587),INDEX($DS$5:$DS$1003,$EX588))),"S3",IF(NOT(EXACT(INDEX($DR$5:$DR$1003,$EX587),INDEX($DR$5:$DR$1003,$EX588))),"S1 Count Change","S1")))),"")</f>
        <v/>
      </c>
      <c r="FT588">
        <f>IF($EY588="row",INDEX($ES$5:$ES$1003,$EX588),"")</f>
        <v/>
      </c>
      <c r="FU588">
        <f>IF($EY588="row",INDEX($EO$5:$EO$1003,$EX588),0)</f>
        <v/>
      </c>
      <c r="FV588">
        <f>IF($FS588="S1 Count Change",1,0)</f>
        <v/>
      </c>
    </row>
    <row r="589">
      <c r="DA589" t="n">
        <v>585</v>
      </c>
      <c r="DB589">
        <f>IF($B$37=0,"",IFERROR(TRIM(SUBSTITUTE(SUBSTITUTE(SUBSTITUTE(SUBSTITUTE(INDEX(PASTE_ALL,585,$B$37)," "," "),CHAR(9)," "),CHAR(10)," "),CHAR(13)," ")),""))</f>
        <v/>
      </c>
      <c r="DC589">
        <f>IF(AND(585&gt;HEADER_ROW,UPPER(DB589)="LEGEND"),1,0)</f>
        <v/>
      </c>
      <c r="DE589" t="n">
        <v>585</v>
      </c>
      <c r="DF589">
        <f>HEADER_ROW+$DE589</f>
        <v/>
      </c>
      <c r="DG589">
        <f>IF(AND($DF589&lt;=1000,$DF589&lt;$B$8),1,0)</f>
        <v/>
      </c>
      <c r="DH589">
        <f>IF($DG589=1,IFERROR(INDEX($DB$5:$DB$1004,$DF589),""),"")</f>
        <v/>
      </c>
      <c r="DI589">
        <f>IF(AND($DG589=1,$DH589&lt;&gt;""),IFERROR(SUBSTITUTE(SUBSTITUTE(TRIM(SUBSTITUTE(SUBSTITUTE(SUBSTITUTE(SUBSTITUTE(IFERROR(INDEX(PASTE_ALL,$DF589,1)&amp;"","")&amp;"␟"&amp;IFERROR(INDEX(PASTE_ALL,$DF589,2)&amp;"","")&amp;"␟"&amp;IFERROR(INDEX(PASTE_ALL,$DF589,3)&amp;"","")&amp;"␟"&amp;IFERROR(INDEX(PASTE_ALL,$DF589,4)&amp;"","")&amp;"␟"&amp;IFERROR(INDEX(PASTE_ALL,$DF589,5)&amp;"","")&amp;"␟"&amp;IFERROR(INDEX(PASTE_ALL,$DF589,6)&amp;"","")&amp;"␟"&amp;IFERROR(INDEX(PASTE_ALL,$DF589,7)&amp;"","")&amp;"␟"&amp;IFERROR(INDEX(PASTE_ALL,$DF589,8)&amp;"","")&amp;"␟"&amp;IFERROR(INDEX(PASTE_ALL,$DF589,9)&amp;"","")&amp;"␟"&amp;IFERROR(INDEX(PASTE_ALL,$DF589,10)&amp;"","")&amp;"␟"&amp;IFERROR(INDEX(PASTE_ALL,$DF589,11)&amp;"","")&amp;"␟"&amp;IFERROR(INDEX(PASTE_ALL,$DF589,12)&amp;"","")&amp;"␟"&amp;IFERROR(INDEX(PASTE_ALL,$DF589,13)&amp;"","")&amp;"␟"&amp;IFERROR(INDEX(PASTE_ALL,$DF589,14)&amp;"","")&amp;"␟"&amp;IFERROR(INDEX(PASTE_ALL,$DF589,15)&amp;"","")&amp;"␟"&amp;IFERROR(INDEX(PASTE_ALL,$DF589,16)&amp;"","")&amp;"␟"&amp;IFERROR(INDEX(PASTE_ALL,$DF589,17)&amp;"","")&amp;"␟"&amp;IFERROR(INDEX(PASTE_ALL,$DF589,18)&amp;"","")&amp;"␟"&amp;IFERROR(INDEX(PASTE_ALL,$DF589,19)&amp;"","")&amp;"␟"&amp;IFERROR(INDEX(PASTE_ALL,$DF589,20)&amp;"","")&amp;"␟"&amp;IFERROR(INDEX(PASTE_ALL,$DF589,21)&amp;"","")&amp;"␟"&amp;IFERROR(INDEX(PASTE_ALL,$DF589,22)&amp;"","")&amp;"␟"&amp;IFERROR(INDEX(PASTE_ALL,$DF589,23)&amp;"","")&amp;"␟"&amp;IFERROR(INDEX(PASTE_ALL,$DF589,24)&amp;"","")&amp;"␟"&amp;IFERROR(INDEX(PASTE_ALL,$DF589,25)&amp;"","")&amp;"␟"&amp;IFERROR(INDEX(PASTE_ALL,$DF589,26)&amp;"","")&amp;"␟"&amp;IFERROR(INDEX(PASTE_ALL,$DF589,27)&amp;"","")&amp;"␟"&amp;IFERROR(INDEX(PASTE_ALL,$DF589,28)&amp;"","")&amp;"␟"&amp;IFERROR(INDEX(PASTE_ALL,$DF589,29)&amp;"","")&amp;"␟"&amp;IFERROR(INDEX(PASTE_ALL,$DF589,30)&amp;"","")&amp;"␟"&amp;IFERROR(INDEX(PASTE_ALL,$DF589,31)&amp;"","")&amp;"␟"&amp;IFERROR(INDEX(PASTE_ALL,$DF589,32)&amp;"","")&amp;"␟"&amp;IFERROR(INDEX(PASTE_ALL,$DF589,33)&amp;"","")&amp;"␟"&amp;IFERROR(INDEX(PASTE_ALL,$DF589,34)&amp;"","")&amp;"␟"&amp;IFERROR(INDEX(PASTE_ALL,$DF589,35)&amp;"","")&amp;"␟"&amp;IFERROR(INDEX(PASTE_ALL,$DF589,36)&amp;"","")&amp;"␟"&amp;IFERROR(INDEX(PASTE_ALL,$DF589,37)&amp;"","")&amp;"␟"&amp;IFERROR(INDEX(PASTE_ALL,$DF589,38)&amp;"","")&amp;"␟"&amp;IFERROR(INDEX(PASTE_ALL,$DF589,39)&amp;"","")&amp;"␟"&amp;IFERROR(INDEX(PASTE_ALL,$DF589,40)&amp;"","")&amp;"␟"&amp;IFERROR(INDEX(PASTE_ALL,$DF589,41)&amp;"","")&amp;"␟"&amp;IFERROR(INDEX(PASTE_ALL,$DF589,42)&amp;"","")&amp;"␟"&amp;IFERROR(INDEX(PASTE_ALL,$DF589,43)&amp;"","")&amp;"␟"&amp;IFERROR(INDEX(PASTE_ALL,$DF589,44)&amp;"","")&amp;"␟"&amp;IFERROR(INDEX(PASTE_ALL,$DF589,45)&amp;"","")&amp;"␟"&amp;IFERROR(INDEX(PASTE_ALL,$DF589,46)&amp;"","")&amp;"␟"&amp;IFERROR(INDEX(PASTE_ALL,$DF589,47)&amp;"","")&amp;"␟"&amp;IFERROR(INDEX(PASTE_ALL,$DF589,48)&amp;"","")&amp;"␟"&amp;IFERROR(INDEX(PASTE_ALL,$DF589,49)&amp;"","")&amp;"␟"&amp;IFERROR(INDEX(PASTE_ALL,$DF589,50)&amp;"","")&amp;"␟"&amp;IFERROR(INDEX(PASTE_ALL,$DF589,51)&amp;"","")&amp;"␟"&amp;IFERROR(INDEX(PASTE_ALL,$DF589,52)&amp;"","")&amp;"␟"&amp;IFERROR(INDEX(PASTE_ALL,$DF589,53)&amp;"","")&amp;"␟"&amp;IFERROR(INDEX(PASTE_ALL,$DF589,54)&amp;"","")&amp;"␟"&amp;IFERROR(INDEX(PASTE_ALL,$DF589,55)&amp;"","")&amp;"␟"&amp;IFERROR(INDEX(PASTE_ALL,$DF589,56)&amp;"","")&amp;"␟"&amp;IFERROR(INDEX(PASTE_ALL,$DF589,57)&amp;"","")&amp;"␟"&amp;IFERROR(INDEX(PASTE_ALL,$DF589,58)&amp;"","")&amp;"␟"&amp;IFERROR(INDEX(PASTE_ALL,$DF589,59)&amp;"","")&amp;"␟"&amp;IFERROR(INDEX(PASTE_ALL,$DF589,60)&amp;"","")," "," "),CHAR(9)," "),CHAR(10)," "),CHAR(13)," "))," ␟","␟"),"␟ ","␟"),"#"&amp;$DE589),"")</f>
        <v/>
      </c>
      <c r="DJ589">
        <f>IF($DI589="",0,IF(SUMPRODUCT(--EXACT($DI$4:DI588,$DI589))&gt;0,1,0))</f>
        <v/>
      </c>
      <c r="DK589">
        <f>IF(AND($DI589&lt;&gt;"",$DJ589=0),1,0)</f>
        <v/>
      </c>
      <c r="DL589">
        <f>DL588+$DK589</f>
        <v/>
      </c>
      <c r="DM589">
        <f>IF(AND($DK589=1,$DL589&lt;=600),1,0)</f>
        <v/>
      </c>
      <c r="DN589">
        <f>IF($DM589=0,"",IF($L$6=0,"",IFERROR(IF(ISNUMBER(INDEX(PASTE_ALL,$DF589,$L$6)),INDEX(PASTE_ALL,$DF589,$L$6),TRIM(SUBSTITUTE(SUBSTITUTE(SUBSTITUTE(SUBSTITUTE(INDEX(PASTE_ALL,$DF589,$L$6)," "," "),CHAR(9)," "),CHAR(10)," "),CHAR(13)," "))),"")))</f>
        <v/>
      </c>
      <c r="DO589">
        <f>IF($DM589=0,"",IF($L$7=0,"",IFERROR(IF(ISNUMBER(INDEX(PASTE_ALL,$DF589,$L$7)),INDEX(PASTE_ALL,$DF589,$L$7),TRIM(SUBSTITUTE(SUBSTITUTE(SUBSTITUTE(SUBSTITUTE(INDEX(PASTE_ALL,$DF589,$L$7)," "," "),CHAR(9)," "),CHAR(10)," "),CHAR(13)," "))),"")))</f>
        <v/>
      </c>
      <c r="DP589">
        <f>IF($DM589=0,"",IF($L$8=0,"",IFERROR(IF(ISNUMBER(INDEX(PASTE_ALL,$DF589,$L$8)),INDEX(PASTE_ALL,$DF589,$L$8),TRIM(SUBSTITUTE(SUBSTITUTE(SUBSTITUTE(SUBSTITUTE(INDEX(PASTE_ALL,$DF589,$L$8)," "," "),CHAR(9)," "),CHAR(10)," "),CHAR(13)," "))),"")))</f>
        <v/>
      </c>
      <c r="DQ589">
        <f>IF($DM589=0,"",IF($L$9=0,"",IFERROR(IF(ISNUMBER(INDEX(PASTE_ALL,$DF589,$L$9)),INDEX(PASTE_ALL,$DF589,$L$9),TRIM(SUBSTITUTE(SUBSTITUTE(SUBSTITUTE(SUBSTITUTE(INDEX(PASTE_ALL,$DF589,$L$9)," "," "),CHAR(9)," "),CHAR(10)," "),CHAR(13)," "))),"")))</f>
        <v/>
      </c>
      <c r="DR589">
        <f>IF($DM589=0,"",IF($L$10=0,"",IFERROR(IF(ISNUMBER(INDEX(PASTE_ALL,$DF589,$L$10)),INDEX(PASTE_ALL,$DF589,$L$10),TRIM(SUBSTITUTE(SUBSTITUTE(SUBSTITUTE(SUBSTITUTE(INDEX(PASTE_ALL,$DF589,$L$10)," "," "),CHAR(9)," "),CHAR(10)," "),CHAR(13)," "))),"")))</f>
        <v/>
      </c>
      <c r="DS589">
        <f>IF($DM589=0,"",IF($L$11=0,"",IFERROR(IF(ISNUMBER(INDEX(PASTE_ALL,$DF589,$L$11)),INDEX(PASTE_ALL,$DF589,$L$11),TRIM(SUBSTITUTE(SUBSTITUTE(SUBSTITUTE(SUBSTITUTE(INDEX(PASTE_ALL,$DF589,$L$11)," "," "),CHAR(9)," "),CHAR(10)," "),CHAR(13)," "))),"")))</f>
        <v/>
      </c>
      <c r="DT589">
        <f>IF($DM589=0,"",IF($L$12=0,"",IFERROR(IF(ISNUMBER(INDEX(PASTE_ALL,$DF589,$L$12)),INDEX(PASTE_ALL,$DF589,$L$12),TRIM(SUBSTITUTE(SUBSTITUTE(SUBSTITUTE(SUBSTITUTE(INDEX(PASTE_ALL,$DF589,$L$12)," "," "),CHAR(9)," "),CHAR(10)," "),CHAR(13)," "))),"")))</f>
        <v/>
      </c>
      <c r="DU589">
        <f>IF($DM589=0,"",IF($L$13=0,"",IFERROR(IF(ISNUMBER(INDEX(PASTE_ALL,$DF589,$L$13)),INDEX(PASTE_ALL,$DF589,$L$13),TRIM(SUBSTITUTE(SUBSTITUTE(SUBSTITUTE(SUBSTITUTE(INDEX(PASTE_ALL,$DF589,$L$13)," "," "),CHAR(9)," "),CHAR(10)," "),CHAR(13)," "))),"")))</f>
        <v/>
      </c>
      <c r="DV589">
        <f>IF($DM589=0,"",IF($L$14=0,"",IFERROR(IF(ISNUMBER(INDEX(PASTE_ALL,$DF589,$L$14)),INDEX(PASTE_ALL,$DF589,$L$14),TRIM(SUBSTITUTE(SUBSTITUTE(SUBSTITUTE(SUBSTITUTE(INDEX(PASTE_ALL,$DF589,$L$14)," "," "),CHAR(9)," "),CHAR(10)," "),CHAR(13)," "))),"")))</f>
        <v/>
      </c>
      <c r="DW589">
        <f>IF($DM589=0,"",IF($L$15=0,"",IFERROR(IF(ISNUMBER(INDEX(PASTE_ALL,$DF589,$L$15)),INDEX(PASTE_ALL,$DF589,$L$15),IF(SUMPRODUCT(--ISNUMBER(FIND({"A","B","C","D","E","F","G","H","I","J","K","L","M","N","O","P","Q","R","S","T","U","V","W","X","Y","Z","0","1","2","3","4","5","6","7","8","9"},UPPER(TRIM(SUBSTITUTE(SUBSTITUTE(SUBSTITUTE(SUBSTITUTE(INDEX(PASTE_ALL,$DF589,$L$15)," "," "),CHAR(9)," "),CHAR(10)," "),CHAR(13)," "))))))&gt;0,TRIM(SUBSTITUTE(SUBSTITUTE(SUBSTITUTE(SUBSTITUTE(INDEX(PASTE_ALL,$DF589,$L$15)," "," "),CHAR(9)," "),CHAR(10)," "),CHAR(13)," ")),"")),"")))</f>
        <v/>
      </c>
      <c r="DX589">
        <f>IF($DM589=0,"",IF($L$16=0,"",IFERROR(IF(ISNUMBER(INDEX(PASTE_ALL,$DF589,$L$16)),INDEX(PASTE_ALL,$DF589,$L$16),SUBSTITUTE(SUBSTITUTE(TRIM(SUBSTITUTE(SUBSTITUTE(SUBSTITUTE(SUBSTITUTE(INDEX(PASTE_ALL,$DF589,$L$16)," "," "),CHAR(9)," "),CHAR(10)," "),CHAR(13)," ")),",",""),"%","")),"")))</f>
        <v/>
      </c>
      <c r="DY589">
        <f>IF($DM589=0,"",IFERROR(IF(ISNUMBER($DX589),$DX589,IF($DX589="","",IF(TRIM($DX589)="",0,IF(AND(AND(SUBSTITUTE(SUBSTITUTE(SUBSTITUTE(SUBSTITUTE(SUBSTITUTE(SUBSTITUTE(SUBSTITUTE(SUBSTITUTE(SUBSTITUTE(SUBSTITUTE(SUBSTITUTE(SUBSTITUTE(SUBSTITUTE(SUBSTITUTE(UPPER(TRIM($DX589)),"0",""),"1",""),"2",""),"3",""),"4",""),"5",""),"6",""),"7",""),"8",""),"9",""),".",""),"+",""),"-",""),"E","")="",LEN(SUBSTITUTE(SUBSTITUTE(MID(UPPER(TRIM($DX589)),1+OR(LEFT(UPPER(TRIM($DX589)),1)="+",LEFT(UPPER(TRIM($DX589)),1)="-"),999),"E+","E"),"E-","E"))=LEN(SUBSTITUTE(SUBSTITUTE(SUBSTITUTE(SUBSTITUTE(MID(UPPER(TRIM($DX589)),1+OR(LEFT(UPPER(TRIM($DX589)),1)="+",LEFT(UPPER(TRIM($DX589)),1)="-"),999),"E+","E"),"E-","E"),"+",""),"-","")),LEN(UPPER(TRIM($DX589)))-LEN(SUBSTITUTE(UPPER(TRIM($DX589)),"E",""))&lt;2,LEN(UPPER(TRIM($DX589)))-LEN(SUBSTITUTE(UPPER(TRIM($DX589)),".",""))&lt;2,IFERROR(FIND(".",UPPER(TRIM($DX589))),0)&lt;IFERROR(FIND("E",UPPER(TRIM($DX589))),999)),ISNUMBER(VALUE(TRIM($DX589)))),VALUE(TRIM($DX589)),"")))),""))</f>
        <v/>
      </c>
      <c r="DZ589">
        <f>IF($DM589=0,"",IF($L$17=0,"",IFERROR(IF(ISNUMBER(INDEX(PASTE_ALL,$DF589,$L$17)),INDEX(PASTE_ALL,$DF589,$L$17),SUBSTITUTE(SUBSTITUTE(TRIM(SUBSTITUTE(SUBSTITUTE(SUBSTITUTE(SUBSTITUTE(INDEX(PASTE_ALL,$DF589,$L$17)," "," "),CHAR(9)," "),CHAR(10)," "),CHAR(13)," ")),",",""),"%","")),"")))</f>
        <v/>
      </c>
      <c r="EA589">
        <f>IF($DM589=0,"",IFERROR(IF(ISNUMBER($DZ589),$DZ589,IF($DZ589="","",IF(TRIM($DZ589)="",0,IF(AND(AND(SUBSTITUTE(SUBSTITUTE(SUBSTITUTE(SUBSTITUTE(SUBSTITUTE(SUBSTITUTE(SUBSTITUTE(SUBSTITUTE(SUBSTITUTE(SUBSTITUTE(SUBSTITUTE(SUBSTITUTE(SUBSTITUTE(SUBSTITUTE(UPPER(TRIM($DZ589)),"0",""),"1",""),"2",""),"3",""),"4",""),"5",""),"6",""),"7",""),"8",""),"9",""),".",""),"+",""),"-",""),"E","")="",LEN(SUBSTITUTE(SUBSTITUTE(MID(UPPER(TRIM($DZ589)),1+OR(LEFT(UPPER(TRIM($DZ589)),1)="+",LEFT(UPPER(TRIM($DZ589)),1)="-"),999),"E+","E"),"E-","E"))=LEN(SUBSTITUTE(SUBSTITUTE(SUBSTITUTE(SUBSTITUTE(MID(UPPER(TRIM($DZ589)),1+OR(LEFT(UPPER(TRIM($DZ589)),1)="+",LEFT(UPPER(TRIM($DZ589)),1)="-"),999),"E+","E"),"E-","E"),"+",""),"-","")),LEN(UPPER(TRIM($DZ589)))-LEN(SUBSTITUTE(UPPER(TRIM($DZ589)),"E",""))&lt;2,LEN(UPPER(TRIM($DZ589)))-LEN(SUBSTITUTE(UPPER(TRIM($DZ589)),".",""))&lt;2,IFERROR(FIND(".",UPPER(TRIM($DZ589))),0)&lt;IFERROR(FIND("E",UPPER(TRIM($DZ589))),999)),ISNUMBER(VALUE(TRIM($DZ589)))),VALUE(TRIM($DZ589)),"")))),""))</f>
        <v/>
      </c>
      <c r="EB589">
        <f>IF($DM589=0,"",IF($L$18=0,"",IFERROR(IF(UPPER(TRIM(SUBSTITUTE(SUBSTITUTE(SUBSTITUTE(SUBSTITUTE(INDEX(PASTE_ALL,$DF589,$L$18)," "," "),CHAR(9)," "),CHAR(10)," "),CHAR(13)," ")))="READY","Ready",IF(UPPER(TRIM(SUBSTITUTE(SUBSTITUTE(SUBSTITUTE(SUBSTITUTE(INDEX(PASTE_ALL,$DF589,$L$18)," "," "),CHAR(9)," "),CHAR(10)," "),CHAR(13)," ")))="PM","PM",IF(OR(UPPER(TRIM(SUBSTITUTE(SUBSTITUTE(SUBSTITUTE(SUBSTITUTE(INDEX(PASTE_ALL,$DF589,$L$18)," "," "),CHAR(9)," "),CHAR(10)," "),CHAR(13)," ")))="OT",UPPER(TRIM(SUBSTITUTE(SUBSTITUTE(SUBSTITUTE(SUBSTITUTE(INDEX(PASTE_ALL,$DF589,$L$18)," "," "),CHAR(9)," "),CHAR(10)," "),CHAR(13)," ")))="OVERTIME",UPPER(TRIM(SUBSTITUTE(SUBSTITUTE(SUBSTITUTE(SUBSTITUTE(INDEX(PASTE_ALL,$DF589,$L$18)," "," "),CHAR(9)," "),CHAR(10)," "),CHAR(13)," ")))="TRIAL"),"OT",TRIM(SUBSTITUTE(SUBSTITUTE(SUBSTITUTE(SUBSTITUTE(INDEX(PASTE_ALL,$DF589,$L$18)," "," "),CHAR(9)," "),CHAR(10)," "),CHAR(13)," "))))),"")))</f>
        <v/>
      </c>
      <c r="EC589">
        <f>IF($DM589=0,"",IF($L$19=0,"",IFERROR(IF(ISNUMBER(INDEX(PASTE_ALL,$DF589,$L$19)),INDEX(PASTE_ALL,$DF589,$L$19),TRIM(SUBSTITUTE(SUBSTITUTE(SUBSTITUTE(SUBSTITUTE(INDEX(PASTE_ALL,$DF589,$L$19)," "," "),CHAR(9)," "),CHAR(10)," "),CHAR(13)," "))),"")))</f>
        <v/>
      </c>
      <c r="ED589">
        <f>IF($DM589=0,"",MATCH(1,INDEX(EXACT($DH$5:DH589,$DH589)*$DM$5:DM589,0),0))</f>
        <v/>
      </c>
      <c r="EE589">
        <f>IF($DM589=0,0,IF($ED589=$DE589,1,0))</f>
        <v/>
      </c>
      <c r="EF589">
        <f>EF588+$EE589</f>
        <v/>
      </c>
      <c r="EG589">
        <f>IF($DM589=0,"",INDEX($EF$5:$EF$1003,$ED589))</f>
        <v/>
      </c>
      <c r="EH589">
        <f>IF($DM589=0,"",IF($DO589&lt;&gt;"","",IFERROR(LOOKUP(2,1/(($EG$4:EG588=$EG589)*($DO$4:DO588&lt;&gt;"")),$DO$4:DO588),"")))</f>
        <v/>
      </c>
      <c r="EI589">
        <f>IF($DM589=0,"",IF($DO589&lt;&gt;"",$DO589,$EH589))</f>
        <v/>
      </c>
      <c r="EJ589">
        <f>IF($DM589=0,"",IF($EI589="",0,IF(OR(ISNUMBER($EI589),AND(AND(SUBSTITUTE(SUBSTITUTE(SUBSTITUTE(SUBSTITUTE(SUBSTITUTE(SUBSTITUTE(SUBSTITUTE(SUBSTITUTE(SUBSTITUTE(SUBSTITUTE(SUBSTITUTE(SUBSTITUTE(SUBSTITUTE(SUBSTITUTE(UPPER($EI589),"0",""),"1",""),"2",""),"3",""),"4",""),"5",""),"6",""),"7",""),"8",""),"9",""),".",""),"+",""),"-",""),"E","")="",LEN(SUBSTITUTE(SUBSTITUTE(MID(UPPER($EI589),1+OR(LEFT(UPPER($EI589),1)="+",LEFT(UPPER($EI589),1)="-"),999),"E+","E"),"E-","E"))=LEN(SUBSTITUTE(SUBSTITUTE(SUBSTITUTE(SUBSTITUTE(MID(UPPER($EI589),1+OR(LEFT(UPPER($EI589),1)="+",LEFT(UPPER($EI589),1)="-"),999),"E+","E"),"E-","E"),"+",""),"-","")),LEN(UPPER($EI589))-LEN(SUBSTITUTE(UPPER($EI589),"E",""))&lt;2,LEN(UPPER($EI589))-LEN(SUBSTITUTE(UPPER($EI589),".",""))&lt;2,IFERROR(FIND(".",UPPER($EI589)),0)&lt;IFERROR(FIND("E",UPPER($EI589)),999)),ISNUMBER(VALUE($EI589)))),1,2)))</f>
        <v/>
      </c>
      <c r="EK589">
        <f>IF($DM589=0,"",IF($EJ589=1,IF(ISNUMBER($EI589),$EI589,VALUE($EI589)),IF($EJ589=2,$DE589,0)))</f>
        <v/>
      </c>
      <c r="EL589">
        <f>IF($DM589=0,"",COUNTIF($EG$5:$EG$1003,"&lt;"&amp;$EG589)+SUMPRODUCT(($EG$5:$EG$1003=$EG589)*(($EJ$5:$EJ$1003&lt;$EJ589)+($EJ$5:$EJ$1003=$EJ589)*(($EK$5:$EK$1003&lt;$EK589)+($EK$5:$EK$1003=$EK589)*($DE$5:$DE$1003&lt;$DE589))))+1)</f>
        <v/>
      </c>
      <c r="EM589">
        <f>IF($DM589=0,"",$EL589+$EG589-1)</f>
        <v/>
      </c>
      <c r="EN589">
        <f>IF($DM589=0,0,IFERROR(MATCH(1,INDEX(--(TRIM(SUBSTITUTE(SUBSTITUTE(SUBSTITUTE(SUBSTITUTE(LINES_NAME&amp;""," "," "),CHAR(9)," "),CHAR(10)," "),CHAR(13)," "))=$DH589),0),0),0))</f>
        <v/>
      </c>
      <c r="EO589">
        <f>IF($EN589=0,0,IF(OR(UPPER(TRIM(INDEX(LINES_SCHEDULED,$EN589)&amp;""))="YES",UPPER(TRIM(INDEX(LINES_SCHEDULED,$EN589)&amp;""))="Y",UPPER(TRIM(INDEX(LINES_SCHEDULED,$EN589)&amp;""))="X"),1,0))</f>
        <v/>
      </c>
      <c r="EP589">
        <f>IF($DM589=0,"",IF(COUNTIFS($EG$5:$EG$1003,$EG589,$EB$5:$EB$1003,"Ready")&gt;0,"READY",IF(COUNTIFS($EG$5:$EG$1003,$EG589,$EB$5:$EB$1003,"PM")&gt;0,"PM",IF(COUNTIFS($EG$5:$EG$1003,$EG589,$EB$5:$EB$1003,"OT")&gt;0,"OT",""))))</f>
        <v/>
      </c>
      <c r="EQ589">
        <f>IF($EN589=0,"",UPPER(TRIM(INDEX(LINES_STATUS,$EN589)&amp;"")))</f>
        <v/>
      </c>
      <c r="ER589">
        <f>IF($DM589=0,"",IF(OR($EQ589="READY",$EQ589="PM",$EQ589="OT"),$EQ589,$EP589))</f>
        <v/>
      </c>
      <c r="ES589">
        <f>IF($DM589=0,"",IF(AND($DV589&lt;&gt;"",UPPER($DV589)&lt;&gt;"N"),"allergen",IF(ISNUMBER(SEARCH("oil",$DQ589)),"oil",IF(OR(EXACT($DS589,"A662"),EXACT($DS589,"A624")),"bulk",""))))</f>
        <v/>
      </c>
      <c r="ET589">
        <f>IF($DM589=0,"",IF(OR($EA589="",$EA589=0),"",$EA589/100))</f>
        <v/>
      </c>
      <c r="EU589">
        <f>IF(OR($ET589="",$DY589=""),"",INT($DY589*(1-$ET589)+0.5))</f>
        <v/>
      </c>
      <c r="EW589" t="n">
        <v>585</v>
      </c>
      <c r="EX589">
        <f>IFERROR(MATCH($EW589,$EM$5:$EM$1003,0),0)</f>
        <v/>
      </c>
      <c r="EY589">
        <f>IF($EW589&gt;$B$12,"",IF($EX589&gt;0,"row","spacer"))</f>
        <v/>
      </c>
      <c r="EZ589">
        <f>IF(AND($EY589="row",$EY588&lt;&gt;"row"),1,0)</f>
        <v/>
      </c>
      <c r="FA589">
        <f>IF(AND($EY589="row",$EY590&lt;&gt;"row"),1,0)</f>
        <v/>
      </c>
      <c r="FB589">
        <f>IF($EZ589=1,IFERROR(IF(ISNUMBER(INDEX(PASTE_ALL,INDEX($DF$5:$DF$1003,$EX589),$B$37)),INDEX(PASTE_ALL,INDEX($DF$5:$DF$1003,$EX589),$B$37),INDEX($DH$5:$DH$1003,$EX589)),INDEX($DH$5:$DH$1003,$EX589)),"")</f>
        <v/>
      </c>
      <c r="FC589">
        <f>IF($EY589="row",INDEX($ER$5:$ER$1003,$EX589),"")</f>
        <v/>
      </c>
      <c r="FD589">
        <f>IF($EY589="row",INDEX($DN$5:$DN$1003,$EX589),"")</f>
        <v/>
      </c>
      <c r="FE589">
        <f>IF($EY589="row",INDEX($DO$5:$DO$1003,$EX589),"")</f>
        <v/>
      </c>
      <c r="FF589">
        <f>IF($EY589="row",INDEX($DP$5:$DP$1003,$EX589),"")</f>
        <v/>
      </c>
      <c r="FG589">
        <f>IF($EY589="row",INDEX($DQ$5:$DQ$1003,$EX589),"")</f>
        <v/>
      </c>
      <c r="FH589">
        <f>IF($EY589="row",INDEX($DR$5:$DR$1003,$EX589),"")</f>
        <v/>
      </c>
      <c r="FI589">
        <f>IF($EY589="row",INDEX($DS$5:$DS$1003,$EX589),"")</f>
        <v/>
      </c>
      <c r="FJ589">
        <f>IF($EY589="row",INDEX($DT$5:$DT$1003,$EX589),"")</f>
        <v/>
      </c>
      <c r="FK589">
        <f>IF($EY589="row",INDEX($DU$5:$DU$1003,$EX589),"")</f>
        <v/>
      </c>
      <c r="FL589">
        <f>IF($EY589="row",INDEX($DV$5:$DV$1003,$EX589),"")</f>
        <v/>
      </c>
      <c r="FM589">
        <f>IF($EY589="row",INDEX($DW$5:$DW$1003,$EX589),"")</f>
        <v/>
      </c>
      <c r="FN589">
        <f>IF($EY589="row",INDEX($DY$5:$DY$1003,$EX589),"")</f>
        <v/>
      </c>
      <c r="FO589">
        <f>IF($EY589="row",INDEX($EA$5:$EA$1003,$EX589),"")</f>
        <v/>
      </c>
      <c r="FP589">
        <f>IF($EY589="row",INDEX($EC$5:$EC$1003,$EX589),"")</f>
        <v/>
      </c>
      <c r="FQ589">
        <f>IF($EY589="row",INDEX($ET$5:$ET$1003,$EX589),"")</f>
        <v/>
      </c>
      <c r="FR589">
        <f>IF($EY589="row",INDEX($EU$5:$EU$1003,$EX589),"")</f>
        <v/>
      </c>
      <c r="FS589">
        <f>IF(AND($EY589="row",$EY588="row"),IF(OR(INDEX($DT$5:$DT$1003,$EX588)="",INDEX($DT$5:$DT$1003,$EX589)=""),"",IF(NOT(EXACT(INDEX($DT$5:$DT$1003,$EX588),INDEX($DT$5:$DT$1003,$EX589))),"S4",IF(NOT(EXACT(INDEX($DS$5:$DS$1003,$EX588),INDEX($DS$5:$DS$1003,$EX589))),"S3",IF(NOT(EXACT(INDEX($DR$5:$DR$1003,$EX588),INDEX($DR$5:$DR$1003,$EX589))),"S1 Count Change","S1")))),"")</f>
        <v/>
      </c>
      <c r="FT589">
        <f>IF($EY589="row",INDEX($ES$5:$ES$1003,$EX589),"")</f>
        <v/>
      </c>
      <c r="FU589">
        <f>IF($EY589="row",INDEX($EO$5:$EO$1003,$EX589),0)</f>
        <v/>
      </c>
      <c r="FV589">
        <f>IF($FS589="S1 Count Change",1,0)</f>
        <v/>
      </c>
    </row>
    <row r="590">
      <c r="DA590" t="n">
        <v>586</v>
      </c>
      <c r="DB590">
        <f>IF($B$37=0,"",IFERROR(TRIM(SUBSTITUTE(SUBSTITUTE(SUBSTITUTE(SUBSTITUTE(INDEX(PASTE_ALL,586,$B$37)," "," "),CHAR(9)," "),CHAR(10)," "),CHAR(13)," ")),""))</f>
        <v/>
      </c>
      <c r="DC590">
        <f>IF(AND(586&gt;HEADER_ROW,UPPER(DB590)="LEGEND"),1,0)</f>
        <v/>
      </c>
      <c r="DE590" t="n">
        <v>586</v>
      </c>
      <c r="DF590">
        <f>HEADER_ROW+$DE590</f>
        <v/>
      </c>
      <c r="DG590">
        <f>IF(AND($DF590&lt;=1000,$DF590&lt;$B$8),1,0)</f>
        <v/>
      </c>
      <c r="DH590">
        <f>IF($DG590=1,IFERROR(INDEX($DB$5:$DB$1004,$DF590),""),"")</f>
        <v/>
      </c>
      <c r="DI590">
        <f>IF(AND($DG590=1,$DH590&lt;&gt;""),IFERROR(SUBSTITUTE(SUBSTITUTE(TRIM(SUBSTITUTE(SUBSTITUTE(SUBSTITUTE(SUBSTITUTE(IFERROR(INDEX(PASTE_ALL,$DF590,1)&amp;"","")&amp;"␟"&amp;IFERROR(INDEX(PASTE_ALL,$DF590,2)&amp;"","")&amp;"␟"&amp;IFERROR(INDEX(PASTE_ALL,$DF590,3)&amp;"","")&amp;"␟"&amp;IFERROR(INDEX(PASTE_ALL,$DF590,4)&amp;"","")&amp;"␟"&amp;IFERROR(INDEX(PASTE_ALL,$DF590,5)&amp;"","")&amp;"␟"&amp;IFERROR(INDEX(PASTE_ALL,$DF590,6)&amp;"","")&amp;"␟"&amp;IFERROR(INDEX(PASTE_ALL,$DF590,7)&amp;"","")&amp;"␟"&amp;IFERROR(INDEX(PASTE_ALL,$DF590,8)&amp;"","")&amp;"␟"&amp;IFERROR(INDEX(PASTE_ALL,$DF590,9)&amp;"","")&amp;"␟"&amp;IFERROR(INDEX(PASTE_ALL,$DF590,10)&amp;"","")&amp;"␟"&amp;IFERROR(INDEX(PASTE_ALL,$DF590,11)&amp;"","")&amp;"␟"&amp;IFERROR(INDEX(PASTE_ALL,$DF590,12)&amp;"","")&amp;"␟"&amp;IFERROR(INDEX(PASTE_ALL,$DF590,13)&amp;"","")&amp;"␟"&amp;IFERROR(INDEX(PASTE_ALL,$DF590,14)&amp;"","")&amp;"␟"&amp;IFERROR(INDEX(PASTE_ALL,$DF590,15)&amp;"","")&amp;"␟"&amp;IFERROR(INDEX(PASTE_ALL,$DF590,16)&amp;"","")&amp;"␟"&amp;IFERROR(INDEX(PASTE_ALL,$DF590,17)&amp;"","")&amp;"␟"&amp;IFERROR(INDEX(PASTE_ALL,$DF590,18)&amp;"","")&amp;"␟"&amp;IFERROR(INDEX(PASTE_ALL,$DF590,19)&amp;"","")&amp;"␟"&amp;IFERROR(INDEX(PASTE_ALL,$DF590,20)&amp;"","")&amp;"␟"&amp;IFERROR(INDEX(PASTE_ALL,$DF590,21)&amp;"","")&amp;"␟"&amp;IFERROR(INDEX(PASTE_ALL,$DF590,22)&amp;"","")&amp;"␟"&amp;IFERROR(INDEX(PASTE_ALL,$DF590,23)&amp;"","")&amp;"␟"&amp;IFERROR(INDEX(PASTE_ALL,$DF590,24)&amp;"","")&amp;"␟"&amp;IFERROR(INDEX(PASTE_ALL,$DF590,25)&amp;"","")&amp;"␟"&amp;IFERROR(INDEX(PASTE_ALL,$DF590,26)&amp;"","")&amp;"␟"&amp;IFERROR(INDEX(PASTE_ALL,$DF590,27)&amp;"","")&amp;"␟"&amp;IFERROR(INDEX(PASTE_ALL,$DF590,28)&amp;"","")&amp;"␟"&amp;IFERROR(INDEX(PASTE_ALL,$DF590,29)&amp;"","")&amp;"␟"&amp;IFERROR(INDEX(PASTE_ALL,$DF590,30)&amp;"","")&amp;"␟"&amp;IFERROR(INDEX(PASTE_ALL,$DF590,31)&amp;"","")&amp;"␟"&amp;IFERROR(INDEX(PASTE_ALL,$DF590,32)&amp;"","")&amp;"␟"&amp;IFERROR(INDEX(PASTE_ALL,$DF590,33)&amp;"","")&amp;"␟"&amp;IFERROR(INDEX(PASTE_ALL,$DF590,34)&amp;"","")&amp;"␟"&amp;IFERROR(INDEX(PASTE_ALL,$DF590,35)&amp;"","")&amp;"␟"&amp;IFERROR(INDEX(PASTE_ALL,$DF590,36)&amp;"","")&amp;"␟"&amp;IFERROR(INDEX(PASTE_ALL,$DF590,37)&amp;"","")&amp;"␟"&amp;IFERROR(INDEX(PASTE_ALL,$DF590,38)&amp;"","")&amp;"␟"&amp;IFERROR(INDEX(PASTE_ALL,$DF590,39)&amp;"","")&amp;"␟"&amp;IFERROR(INDEX(PASTE_ALL,$DF590,40)&amp;"","")&amp;"␟"&amp;IFERROR(INDEX(PASTE_ALL,$DF590,41)&amp;"","")&amp;"␟"&amp;IFERROR(INDEX(PASTE_ALL,$DF590,42)&amp;"","")&amp;"␟"&amp;IFERROR(INDEX(PASTE_ALL,$DF590,43)&amp;"","")&amp;"␟"&amp;IFERROR(INDEX(PASTE_ALL,$DF590,44)&amp;"","")&amp;"␟"&amp;IFERROR(INDEX(PASTE_ALL,$DF590,45)&amp;"","")&amp;"␟"&amp;IFERROR(INDEX(PASTE_ALL,$DF590,46)&amp;"","")&amp;"␟"&amp;IFERROR(INDEX(PASTE_ALL,$DF590,47)&amp;"","")&amp;"␟"&amp;IFERROR(INDEX(PASTE_ALL,$DF590,48)&amp;"","")&amp;"␟"&amp;IFERROR(INDEX(PASTE_ALL,$DF590,49)&amp;"","")&amp;"␟"&amp;IFERROR(INDEX(PASTE_ALL,$DF590,50)&amp;"","")&amp;"␟"&amp;IFERROR(INDEX(PASTE_ALL,$DF590,51)&amp;"","")&amp;"␟"&amp;IFERROR(INDEX(PASTE_ALL,$DF590,52)&amp;"","")&amp;"␟"&amp;IFERROR(INDEX(PASTE_ALL,$DF590,53)&amp;"","")&amp;"␟"&amp;IFERROR(INDEX(PASTE_ALL,$DF590,54)&amp;"","")&amp;"␟"&amp;IFERROR(INDEX(PASTE_ALL,$DF590,55)&amp;"","")&amp;"␟"&amp;IFERROR(INDEX(PASTE_ALL,$DF590,56)&amp;"","")&amp;"␟"&amp;IFERROR(INDEX(PASTE_ALL,$DF590,57)&amp;"","")&amp;"␟"&amp;IFERROR(INDEX(PASTE_ALL,$DF590,58)&amp;"","")&amp;"␟"&amp;IFERROR(INDEX(PASTE_ALL,$DF590,59)&amp;"","")&amp;"␟"&amp;IFERROR(INDEX(PASTE_ALL,$DF590,60)&amp;"","")," "," "),CHAR(9)," "),CHAR(10)," "),CHAR(13)," "))," ␟","␟"),"␟ ","␟"),"#"&amp;$DE590),"")</f>
        <v/>
      </c>
      <c r="DJ590">
        <f>IF($DI590="",0,IF(SUMPRODUCT(--EXACT($DI$4:DI589,$DI590))&gt;0,1,0))</f>
        <v/>
      </c>
      <c r="DK590">
        <f>IF(AND($DI590&lt;&gt;"",$DJ590=0),1,0)</f>
        <v/>
      </c>
      <c r="DL590">
        <f>DL589+$DK590</f>
        <v/>
      </c>
      <c r="DM590">
        <f>IF(AND($DK590=1,$DL590&lt;=600),1,0)</f>
        <v/>
      </c>
      <c r="DN590">
        <f>IF($DM590=0,"",IF($L$6=0,"",IFERROR(IF(ISNUMBER(INDEX(PASTE_ALL,$DF590,$L$6)),INDEX(PASTE_ALL,$DF590,$L$6),TRIM(SUBSTITUTE(SUBSTITUTE(SUBSTITUTE(SUBSTITUTE(INDEX(PASTE_ALL,$DF590,$L$6)," "," "),CHAR(9)," "),CHAR(10)," "),CHAR(13)," "))),"")))</f>
        <v/>
      </c>
      <c r="DO590">
        <f>IF($DM590=0,"",IF($L$7=0,"",IFERROR(IF(ISNUMBER(INDEX(PASTE_ALL,$DF590,$L$7)),INDEX(PASTE_ALL,$DF590,$L$7),TRIM(SUBSTITUTE(SUBSTITUTE(SUBSTITUTE(SUBSTITUTE(INDEX(PASTE_ALL,$DF590,$L$7)," "," "),CHAR(9)," "),CHAR(10)," "),CHAR(13)," "))),"")))</f>
        <v/>
      </c>
      <c r="DP590">
        <f>IF($DM590=0,"",IF($L$8=0,"",IFERROR(IF(ISNUMBER(INDEX(PASTE_ALL,$DF590,$L$8)),INDEX(PASTE_ALL,$DF590,$L$8),TRIM(SUBSTITUTE(SUBSTITUTE(SUBSTITUTE(SUBSTITUTE(INDEX(PASTE_ALL,$DF590,$L$8)," "," "),CHAR(9)," "),CHAR(10)," "),CHAR(13)," "))),"")))</f>
        <v/>
      </c>
      <c r="DQ590">
        <f>IF($DM590=0,"",IF($L$9=0,"",IFERROR(IF(ISNUMBER(INDEX(PASTE_ALL,$DF590,$L$9)),INDEX(PASTE_ALL,$DF590,$L$9),TRIM(SUBSTITUTE(SUBSTITUTE(SUBSTITUTE(SUBSTITUTE(INDEX(PASTE_ALL,$DF590,$L$9)," "," "),CHAR(9)," "),CHAR(10)," "),CHAR(13)," "))),"")))</f>
        <v/>
      </c>
      <c r="DR590">
        <f>IF($DM590=0,"",IF($L$10=0,"",IFERROR(IF(ISNUMBER(INDEX(PASTE_ALL,$DF590,$L$10)),INDEX(PASTE_ALL,$DF590,$L$10),TRIM(SUBSTITUTE(SUBSTITUTE(SUBSTITUTE(SUBSTITUTE(INDEX(PASTE_ALL,$DF590,$L$10)," "," "),CHAR(9)," "),CHAR(10)," "),CHAR(13)," "))),"")))</f>
        <v/>
      </c>
      <c r="DS590">
        <f>IF($DM590=0,"",IF($L$11=0,"",IFERROR(IF(ISNUMBER(INDEX(PASTE_ALL,$DF590,$L$11)),INDEX(PASTE_ALL,$DF590,$L$11),TRIM(SUBSTITUTE(SUBSTITUTE(SUBSTITUTE(SUBSTITUTE(INDEX(PASTE_ALL,$DF590,$L$11)," "," "),CHAR(9)," "),CHAR(10)," "),CHAR(13)," "))),"")))</f>
        <v/>
      </c>
      <c r="DT590">
        <f>IF($DM590=0,"",IF($L$12=0,"",IFERROR(IF(ISNUMBER(INDEX(PASTE_ALL,$DF590,$L$12)),INDEX(PASTE_ALL,$DF590,$L$12),TRIM(SUBSTITUTE(SUBSTITUTE(SUBSTITUTE(SUBSTITUTE(INDEX(PASTE_ALL,$DF590,$L$12)," "," "),CHAR(9)," "),CHAR(10)," "),CHAR(13)," "))),"")))</f>
        <v/>
      </c>
      <c r="DU590">
        <f>IF($DM590=0,"",IF($L$13=0,"",IFERROR(IF(ISNUMBER(INDEX(PASTE_ALL,$DF590,$L$13)),INDEX(PASTE_ALL,$DF590,$L$13),TRIM(SUBSTITUTE(SUBSTITUTE(SUBSTITUTE(SUBSTITUTE(INDEX(PASTE_ALL,$DF590,$L$13)," "," "),CHAR(9)," "),CHAR(10)," "),CHAR(13)," "))),"")))</f>
        <v/>
      </c>
      <c r="DV590">
        <f>IF($DM590=0,"",IF($L$14=0,"",IFERROR(IF(ISNUMBER(INDEX(PASTE_ALL,$DF590,$L$14)),INDEX(PASTE_ALL,$DF590,$L$14),TRIM(SUBSTITUTE(SUBSTITUTE(SUBSTITUTE(SUBSTITUTE(INDEX(PASTE_ALL,$DF590,$L$14)," "," "),CHAR(9)," "),CHAR(10)," "),CHAR(13)," "))),"")))</f>
        <v/>
      </c>
      <c r="DW590">
        <f>IF($DM590=0,"",IF($L$15=0,"",IFERROR(IF(ISNUMBER(INDEX(PASTE_ALL,$DF590,$L$15)),INDEX(PASTE_ALL,$DF590,$L$15),IF(SUMPRODUCT(--ISNUMBER(FIND({"A","B","C","D","E","F","G","H","I","J","K","L","M","N","O","P","Q","R","S","T","U","V","W","X","Y","Z","0","1","2","3","4","5","6","7","8","9"},UPPER(TRIM(SUBSTITUTE(SUBSTITUTE(SUBSTITUTE(SUBSTITUTE(INDEX(PASTE_ALL,$DF590,$L$15)," "," "),CHAR(9)," "),CHAR(10)," "),CHAR(13)," "))))))&gt;0,TRIM(SUBSTITUTE(SUBSTITUTE(SUBSTITUTE(SUBSTITUTE(INDEX(PASTE_ALL,$DF590,$L$15)," "," "),CHAR(9)," "),CHAR(10)," "),CHAR(13)," ")),"")),"")))</f>
        <v/>
      </c>
      <c r="DX590">
        <f>IF($DM590=0,"",IF($L$16=0,"",IFERROR(IF(ISNUMBER(INDEX(PASTE_ALL,$DF590,$L$16)),INDEX(PASTE_ALL,$DF590,$L$16),SUBSTITUTE(SUBSTITUTE(TRIM(SUBSTITUTE(SUBSTITUTE(SUBSTITUTE(SUBSTITUTE(INDEX(PASTE_ALL,$DF590,$L$16)," "," "),CHAR(9)," "),CHAR(10)," "),CHAR(13)," ")),",",""),"%","")),"")))</f>
        <v/>
      </c>
      <c r="DY590">
        <f>IF($DM590=0,"",IFERROR(IF(ISNUMBER($DX590),$DX590,IF($DX590="","",IF(TRIM($DX590)="",0,IF(AND(AND(SUBSTITUTE(SUBSTITUTE(SUBSTITUTE(SUBSTITUTE(SUBSTITUTE(SUBSTITUTE(SUBSTITUTE(SUBSTITUTE(SUBSTITUTE(SUBSTITUTE(SUBSTITUTE(SUBSTITUTE(SUBSTITUTE(SUBSTITUTE(UPPER(TRIM($DX590)),"0",""),"1",""),"2",""),"3",""),"4",""),"5",""),"6",""),"7",""),"8",""),"9",""),".",""),"+",""),"-",""),"E","")="",LEN(SUBSTITUTE(SUBSTITUTE(MID(UPPER(TRIM($DX590)),1+OR(LEFT(UPPER(TRIM($DX590)),1)="+",LEFT(UPPER(TRIM($DX590)),1)="-"),999),"E+","E"),"E-","E"))=LEN(SUBSTITUTE(SUBSTITUTE(SUBSTITUTE(SUBSTITUTE(MID(UPPER(TRIM($DX590)),1+OR(LEFT(UPPER(TRIM($DX590)),1)="+",LEFT(UPPER(TRIM($DX590)),1)="-"),999),"E+","E"),"E-","E"),"+",""),"-","")),LEN(UPPER(TRIM($DX590)))-LEN(SUBSTITUTE(UPPER(TRIM($DX590)),"E",""))&lt;2,LEN(UPPER(TRIM($DX590)))-LEN(SUBSTITUTE(UPPER(TRIM($DX590)),".",""))&lt;2,IFERROR(FIND(".",UPPER(TRIM($DX590))),0)&lt;IFERROR(FIND("E",UPPER(TRIM($DX590))),999)),ISNUMBER(VALUE(TRIM($DX590)))),VALUE(TRIM($DX590)),"")))),""))</f>
        <v/>
      </c>
      <c r="DZ590">
        <f>IF($DM590=0,"",IF($L$17=0,"",IFERROR(IF(ISNUMBER(INDEX(PASTE_ALL,$DF590,$L$17)),INDEX(PASTE_ALL,$DF590,$L$17),SUBSTITUTE(SUBSTITUTE(TRIM(SUBSTITUTE(SUBSTITUTE(SUBSTITUTE(SUBSTITUTE(INDEX(PASTE_ALL,$DF590,$L$17)," "," "),CHAR(9)," "),CHAR(10)," "),CHAR(13)," ")),",",""),"%","")),"")))</f>
        <v/>
      </c>
      <c r="EA590">
        <f>IF($DM590=0,"",IFERROR(IF(ISNUMBER($DZ590),$DZ590,IF($DZ590="","",IF(TRIM($DZ590)="",0,IF(AND(AND(SUBSTITUTE(SUBSTITUTE(SUBSTITUTE(SUBSTITUTE(SUBSTITUTE(SUBSTITUTE(SUBSTITUTE(SUBSTITUTE(SUBSTITUTE(SUBSTITUTE(SUBSTITUTE(SUBSTITUTE(SUBSTITUTE(SUBSTITUTE(UPPER(TRIM($DZ590)),"0",""),"1",""),"2",""),"3",""),"4",""),"5",""),"6",""),"7",""),"8",""),"9",""),".",""),"+",""),"-",""),"E","")="",LEN(SUBSTITUTE(SUBSTITUTE(MID(UPPER(TRIM($DZ590)),1+OR(LEFT(UPPER(TRIM($DZ590)),1)="+",LEFT(UPPER(TRIM($DZ590)),1)="-"),999),"E+","E"),"E-","E"))=LEN(SUBSTITUTE(SUBSTITUTE(SUBSTITUTE(SUBSTITUTE(MID(UPPER(TRIM($DZ590)),1+OR(LEFT(UPPER(TRIM($DZ590)),1)="+",LEFT(UPPER(TRIM($DZ590)),1)="-"),999),"E+","E"),"E-","E"),"+",""),"-","")),LEN(UPPER(TRIM($DZ590)))-LEN(SUBSTITUTE(UPPER(TRIM($DZ590)),"E",""))&lt;2,LEN(UPPER(TRIM($DZ590)))-LEN(SUBSTITUTE(UPPER(TRIM($DZ590)),".",""))&lt;2,IFERROR(FIND(".",UPPER(TRIM($DZ590))),0)&lt;IFERROR(FIND("E",UPPER(TRIM($DZ590))),999)),ISNUMBER(VALUE(TRIM($DZ590)))),VALUE(TRIM($DZ590)),"")))),""))</f>
        <v/>
      </c>
      <c r="EB590">
        <f>IF($DM590=0,"",IF($L$18=0,"",IFERROR(IF(UPPER(TRIM(SUBSTITUTE(SUBSTITUTE(SUBSTITUTE(SUBSTITUTE(INDEX(PASTE_ALL,$DF590,$L$18)," "," "),CHAR(9)," "),CHAR(10)," "),CHAR(13)," ")))="READY","Ready",IF(UPPER(TRIM(SUBSTITUTE(SUBSTITUTE(SUBSTITUTE(SUBSTITUTE(INDEX(PASTE_ALL,$DF590,$L$18)," "," "),CHAR(9)," "),CHAR(10)," "),CHAR(13)," ")))="PM","PM",IF(OR(UPPER(TRIM(SUBSTITUTE(SUBSTITUTE(SUBSTITUTE(SUBSTITUTE(INDEX(PASTE_ALL,$DF590,$L$18)," "," "),CHAR(9)," "),CHAR(10)," "),CHAR(13)," ")))="OT",UPPER(TRIM(SUBSTITUTE(SUBSTITUTE(SUBSTITUTE(SUBSTITUTE(INDEX(PASTE_ALL,$DF590,$L$18)," "," "),CHAR(9)," "),CHAR(10)," "),CHAR(13)," ")))="OVERTIME",UPPER(TRIM(SUBSTITUTE(SUBSTITUTE(SUBSTITUTE(SUBSTITUTE(INDEX(PASTE_ALL,$DF590,$L$18)," "," "),CHAR(9)," "),CHAR(10)," "),CHAR(13)," ")))="TRIAL"),"OT",TRIM(SUBSTITUTE(SUBSTITUTE(SUBSTITUTE(SUBSTITUTE(INDEX(PASTE_ALL,$DF590,$L$18)," "," "),CHAR(9)," "),CHAR(10)," "),CHAR(13)," "))))),"")))</f>
        <v/>
      </c>
      <c r="EC590">
        <f>IF($DM590=0,"",IF($L$19=0,"",IFERROR(IF(ISNUMBER(INDEX(PASTE_ALL,$DF590,$L$19)),INDEX(PASTE_ALL,$DF590,$L$19),TRIM(SUBSTITUTE(SUBSTITUTE(SUBSTITUTE(SUBSTITUTE(INDEX(PASTE_ALL,$DF590,$L$19)," "," "),CHAR(9)," "),CHAR(10)," "),CHAR(13)," "))),"")))</f>
        <v/>
      </c>
      <c r="ED590">
        <f>IF($DM590=0,"",MATCH(1,INDEX(EXACT($DH$5:DH590,$DH590)*$DM$5:DM590,0),0))</f>
        <v/>
      </c>
      <c r="EE590">
        <f>IF($DM590=0,0,IF($ED590=$DE590,1,0))</f>
        <v/>
      </c>
      <c r="EF590">
        <f>EF589+$EE590</f>
        <v/>
      </c>
      <c r="EG590">
        <f>IF($DM590=0,"",INDEX($EF$5:$EF$1003,$ED590))</f>
        <v/>
      </c>
      <c r="EH590">
        <f>IF($DM590=0,"",IF($DO590&lt;&gt;"","",IFERROR(LOOKUP(2,1/(($EG$4:EG589=$EG590)*($DO$4:DO589&lt;&gt;"")),$DO$4:DO589),"")))</f>
        <v/>
      </c>
      <c r="EI590">
        <f>IF($DM590=0,"",IF($DO590&lt;&gt;"",$DO590,$EH590))</f>
        <v/>
      </c>
      <c r="EJ590">
        <f>IF($DM590=0,"",IF($EI590="",0,IF(OR(ISNUMBER($EI590),AND(AND(SUBSTITUTE(SUBSTITUTE(SUBSTITUTE(SUBSTITUTE(SUBSTITUTE(SUBSTITUTE(SUBSTITUTE(SUBSTITUTE(SUBSTITUTE(SUBSTITUTE(SUBSTITUTE(SUBSTITUTE(SUBSTITUTE(SUBSTITUTE(UPPER($EI590),"0",""),"1",""),"2",""),"3",""),"4",""),"5",""),"6",""),"7",""),"8",""),"9",""),".",""),"+",""),"-",""),"E","")="",LEN(SUBSTITUTE(SUBSTITUTE(MID(UPPER($EI590),1+OR(LEFT(UPPER($EI590),1)="+",LEFT(UPPER($EI590),1)="-"),999),"E+","E"),"E-","E"))=LEN(SUBSTITUTE(SUBSTITUTE(SUBSTITUTE(SUBSTITUTE(MID(UPPER($EI590),1+OR(LEFT(UPPER($EI590),1)="+",LEFT(UPPER($EI590),1)="-"),999),"E+","E"),"E-","E"),"+",""),"-","")),LEN(UPPER($EI590))-LEN(SUBSTITUTE(UPPER($EI590),"E",""))&lt;2,LEN(UPPER($EI590))-LEN(SUBSTITUTE(UPPER($EI590),".",""))&lt;2,IFERROR(FIND(".",UPPER($EI590)),0)&lt;IFERROR(FIND("E",UPPER($EI590)),999)),ISNUMBER(VALUE($EI590)))),1,2)))</f>
        <v/>
      </c>
      <c r="EK590">
        <f>IF($DM590=0,"",IF($EJ590=1,IF(ISNUMBER($EI590),$EI590,VALUE($EI590)),IF($EJ590=2,$DE590,0)))</f>
        <v/>
      </c>
      <c r="EL590">
        <f>IF($DM590=0,"",COUNTIF($EG$5:$EG$1003,"&lt;"&amp;$EG590)+SUMPRODUCT(($EG$5:$EG$1003=$EG590)*(($EJ$5:$EJ$1003&lt;$EJ590)+($EJ$5:$EJ$1003=$EJ590)*(($EK$5:$EK$1003&lt;$EK590)+($EK$5:$EK$1003=$EK590)*($DE$5:$DE$1003&lt;$DE590))))+1)</f>
        <v/>
      </c>
      <c r="EM590">
        <f>IF($DM590=0,"",$EL590+$EG590-1)</f>
        <v/>
      </c>
      <c r="EN590">
        <f>IF($DM590=0,0,IFERROR(MATCH(1,INDEX(--(TRIM(SUBSTITUTE(SUBSTITUTE(SUBSTITUTE(SUBSTITUTE(LINES_NAME&amp;""," "," "),CHAR(9)," "),CHAR(10)," "),CHAR(13)," "))=$DH590),0),0),0))</f>
        <v/>
      </c>
      <c r="EO590">
        <f>IF($EN590=0,0,IF(OR(UPPER(TRIM(INDEX(LINES_SCHEDULED,$EN590)&amp;""))="YES",UPPER(TRIM(INDEX(LINES_SCHEDULED,$EN590)&amp;""))="Y",UPPER(TRIM(INDEX(LINES_SCHEDULED,$EN590)&amp;""))="X"),1,0))</f>
        <v/>
      </c>
      <c r="EP590">
        <f>IF($DM590=0,"",IF(COUNTIFS($EG$5:$EG$1003,$EG590,$EB$5:$EB$1003,"Ready")&gt;0,"READY",IF(COUNTIFS($EG$5:$EG$1003,$EG590,$EB$5:$EB$1003,"PM")&gt;0,"PM",IF(COUNTIFS($EG$5:$EG$1003,$EG590,$EB$5:$EB$1003,"OT")&gt;0,"OT",""))))</f>
        <v/>
      </c>
      <c r="EQ590">
        <f>IF($EN590=0,"",UPPER(TRIM(INDEX(LINES_STATUS,$EN590)&amp;"")))</f>
        <v/>
      </c>
      <c r="ER590">
        <f>IF($DM590=0,"",IF(OR($EQ590="READY",$EQ590="PM",$EQ590="OT"),$EQ590,$EP590))</f>
        <v/>
      </c>
      <c r="ES590">
        <f>IF($DM590=0,"",IF(AND($DV590&lt;&gt;"",UPPER($DV590)&lt;&gt;"N"),"allergen",IF(ISNUMBER(SEARCH("oil",$DQ590)),"oil",IF(OR(EXACT($DS590,"A662"),EXACT($DS590,"A624")),"bulk",""))))</f>
        <v/>
      </c>
      <c r="ET590">
        <f>IF($DM590=0,"",IF(OR($EA590="",$EA590=0),"",$EA590/100))</f>
        <v/>
      </c>
      <c r="EU590">
        <f>IF(OR($ET590="",$DY590=""),"",INT($DY590*(1-$ET590)+0.5))</f>
        <v/>
      </c>
      <c r="EW590" t="n">
        <v>586</v>
      </c>
      <c r="EX590">
        <f>IFERROR(MATCH($EW590,$EM$5:$EM$1003,0),0)</f>
        <v/>
      </c>
      <c r="EY590">
        <f>IF($EW590&gt;$B$12,"",IF($EX590&gt;0,"row","spacer"))</f>
        <v/>
      </c>
      <c r="EZ590">
        <f>IF(AND($EY590="row",$EY589&lt;&gt;"row"),1,0)</f>
        <v/>
      </c>
      <c r="FA590">
        <f>IF(AND($EY590="row",$EY591&lt;&gt;"row"),1,0)</f>
        <v/>
      </c>
      <c r="FB590">
        <f>IF($EZ590=1,IFERROR(IF(ISNUMBER(INDEX(PASTE_ALL,INDEX($DF$5:$DF$1003,$EX590),$B$37)),INDEX(PASTE_ALL,INDEX($DF$5:$DF$1003,$EX590),$B$37),INDEX($DH$5:$DH$1003,$EX590)),INDEX($DH$5:$DH$1003,$EX590)),"")</f>
        <v/>
      </c>
      <c r="FC590">
        <f>IF($EY590="row",INDEX($ER$5:$ER$1003,$EX590),"")</f>
        <v/>
      </c>
      <c r="FD590">
        <f>IF($EY590="row",INDEX($DN$5:$DN$1003,$EX590),"")</f>
        <v/>
      </c>
      <c r="FE590">
        <f>IF($EY590="row",INDEX($DO$5:$DO$1003,$EX590),"")</f>
        <v/>
      </c>
      <c r="FF590">
        <f>IF($EY590="row",INDEX($DP$5:$DP$1003,$EX590),"")</f>
        <v/>
      </c>
      <c r="FG590">
        <f>IF($EY590="row",INDEX($DQ$5:$DQ$1003,$EX590),"")</f>
        <v/>
      </c>
      <c r="FH590">
        <f>IF($EY590="row",INDEX($DR$5:$DR$1003,$EX590),"")</f>
        <v/>
      </c>
      <c r="FI590">
        <f>IF($EY590="row",INDEX($DS$5:$DS$1003,$EX590),"")</f>
        <v/>
      </c>
      <c r="FJ590">
        <f>IF($EY590="row",INDEX($DT$5:$DT$1003,$EX590),"")</f>
        <v/>
      </c>
      <c r="FK590">
        <f>IF($EY590="row",INDEX($DU$5:$DU$1003,$EX590),"")</f>
        <v/>
      </c>
      <c r="FL590">
        <f>IF($EY590="row",INDEX($DV$5:$DV$1003,$EX590),"")</f>
        <v/>
      </c>
      <c r="FM590">
        <f>IF($EY590="row",INDEX($DW$5:$DW$1003,$EX590),"")</f>
        <v/>
      </c>
      <c r="FN590">
        <f>IF($EY590="row",INDEX($DY$5:$DY$1003,$EX590),"")</f>
        <v/>
      </c>
      <c r="FO590">
        <f>IF($EY590="row",INDEX($EA$5:$EA$1003,$EX590),"")</f>
        <v/>
      </c>
      <c r="FP590">
        <f>IF($EY590="row",INDEX($EC$5:$EC$1003,$EX590),"")</f>
        <v/>
      </c>
      <c r="FQ590">
        <f>IF($EY590="row",INDEX($ET$5:$ET$1003,$EX590),"")</f>
        <v/>
      </c>
      <c r="FR590">
        <f>IF($EY590="row",INDEX($EU$5:$EU$1003,$EX590),"")</f>
        <v/>
      </c>
      <c r="FS590">
        <f>IF(AND($EY590="row",$EY589="row"),IF(OR(INDEX($DT$5:$DT$1003,$EX589)="",INDEX($DT$5:$DT$1003,$EX590)=""),"",IF(NOT(EXACT(INDEX($DT$5:$DT$1003,$EX589),INDEX($DT$5:$DT$1003,$EX590))),"S4",IF(NOT(EXACT(INDEX($DS$5:$DS$1003,$EX589),INDEX($DS$5:$DS$1003,$EX590))),"S3",IF(NOT(EXACT(INDEX($DR$5:$DR$1003,$EX589),INDEX($DR$5:$DR$1003,$EX590))),"S1 Count Change","S1")))),"")</f>
        <v/>
      </c>
      <c r="FT590">
        <f>IF($EY590="row",INDEX($ES$5:$ES$1003,$EX590),"")</f>
        <v/>
      </c>
      <c r="FU590">
        <f>IF($EY590="row",INDEX($EO$5:$EO$1003,$EX590),0)</f>
        <v/>
      </c>
      <c r="FV590">
        <f>IF($FS590="S1 Count Change",1,0)</f>
        <v/>
      </c>
    </row>
    <row r="591">
      <c r="DA591" t="n">
        <v>587</v>
      </c>
      <c r="DB591">
        <f>IF($B$37=0,"",IFERROR(TRIM(SUBSTITUTE(SUBSTITUTE(SUBSTITUTE(SUBSTITUTE(INDEX(PASTE_ALL,587,$B$37)," "," "),CHAR(9)," "),CHAR(10)," "),CHAR(13)," ")),""))</f>
        <v/>
      </c>
      <c r="DC591">
        <f>IF(AND(587&gt;HEADER_ROW,UPPER(DB591)="LEGEND"),1,0)</f>
        <v/>
      </c>
      <c r="DE591" t="n">
        <v>587</v>
      </c>
      <c r="DF591">
        <f>HEADER_ROW+$DE591</f>
        <v/>
      </c>
      <c r="DG591">
        <f>IF(AND($DF591&lt;=1000,$DF591&lt;$B$8),1,0)</f>
        <v/>
      </c>
      <c r="DH591">
        <f>IF($DG591=1,IFERROR(INDEX($DB$5:$DB$1004,$DF591),""),"")</f>
        <v/>
      </c>
      <c r="DI591">
        <f>IF(AND($DG591=1,$DH591&lt;&gt;""),IFERROR(SUBSTITUTE(SUBSTITUTE(TRIM(SUBSTITUTE(SUBSTITUTE(SUBSTITUTE(SUBSTITUTE(IFERROR(INDEX(PASTE_ALL,$DF591,1)&amp;"","")&amp;"␟"&amp;IFERROR(INDEX(PASTE_ALL,$DF591,2)&amp;"","")&amp;"␟"&amp;IFERROR(INDEX(PASTE_ALL,$DF591,3)&amp;"","")&amp;"␟"&amp;IFERROR(INDEX(PASTE_ALL,$DF591,4)&amp;"","")&amp;"␟"&amp;IFERROR(INDEX(PASTE_ALL,$DF591,5)&amp;"","")&amp;"␟"&amp;IFERROR(INDEX(PASTE_ALL,$DF591,6)&amp;"","")&amp;"␟"&amp;IFERROR(INDEX(PASTE_ALL,$DF591,7)&amp;"","")&amp;"␟"&amp;IFERROR(INDEX(PASTE_ALL,$DF591,8)&amp;"","")&amp;"␟"&amp;IFERROR(INDEX(PASTE_ALL,$DF591,9)&amp;"","")&amp;"␟"&amp;IFERROR(INDEX(PASTE_ALL,$DF591,10)&amp;"","")&amp;"␟"&amp;IFERROR(INDEX(PASTE_ALL,$DF591,11)&amp;"","")&amp;"␟"&amp;IFERROR(INDEX(PASTE_ALL,$DF591,12)&amp;"","")&amp;"␟"&amp;IFERROR(INDEX(PASTE_ALL,$DF591,13)&amp;"","")&amp;"␟"&amp;IFERROR(INDEX(PASTE_ALL,$DF591,14)&amp;"","")&amp;"␟"&amp;IFERROR(INDEX(PASTE_ALL,$DF591,15)&amp;"","")&amp;"␟"&amp;IFERROR(INDEX(PASTE_ALL,$DF591,16)&amp;"","")&amp;"␟"&amp;IFERROR(INDEX(PASTE_ALL,$DF591,17)&amp;"","")&amp;"␟"&amp;IFERROR(INDEX(PASTE_ALL,$DF591,18)&amp;"","")&amp;"␟"&amp;IFERROR(INDEX(PASTE_ALL,$DF591,19)&amp;"","")&amp;"␟"&amp;IFERROR(INDEX(PASTE_ALL,$DF591,20)&amp;"","")&amp;"␟"&amp;IFERROR(INDEX(PASTE_ALL,$DF591,21)&amp;"","")&amp;"␟"&amp;IFERROR(INDEX(PASTE_ALL,$DF591,22)&amp;"","")&amp;"␟"&amp;IFERROR(INDEX(PASTE_ALL,$DF591,23)&amp;"","")&amp;"␟"&amp;IFERROR(INDEX(PASTE_ALL,$DF591,24)&amp;"","")&amp;"␟"&amp;IFERROR(INDEX(PASTE_ALL,$DF591,25)&amp;"","")&amp;"␟"&amp;IFERROR(INDEX(PASTE_ALL,$DF591,26)&amp;"","")&amp;"␟"&amp;IFERROR(INDEX(PASTE_ALL,$DF591,27)&amp;"","")&amp;"␟"&amp;IFERROR(INDEX(PASTE_ALL,$DF591,28)&amp;"","")&amp;"␟"&amp;IFERROR(INDEX(PASTE_ALL,$DF591,29)&amp;"","")&amp;"␟"&amp;IFERROR(INDEX(PASTE_ALL,$DF591,30)&amp;"","")&amp;"␟"&amp;IFERROR(INDEX(PASTE_ALL,$DF591,31)&amp;"","")&amp;"␟"&amp;IFERROR(INDEX(PASTE_ALL,$DF591,32)&amp;"","")&amp;"␟"&amp;IFERROR(INDEX(PASTE_ALL,$DF591,33)&amp;"","")&amp;"␟"&amp;IFERROR(INDEX(PASTE_ALL,$DF591,34)&amp;"","")&amp;"␟"&amp;IFERROR(INDEX(PASTE_ALL,$DF591,35)&amp;"","")&amp;"␟"&amp;IFERROR(INDEX(PASTE_ALL,$DF591,36)&amp;"","")&amp;"␟"&amp;IFERROR(INDEX(PASTE_ALL,$DF591,37)&amp;"","")&amp;"␟"&amp;IFERROR(INDEX(PASTE_ALL,$DF591,38)&amp;"","")&amp;"␟"&amp;IFERROR(INDEX(PASTE_ALL,$DF591,39)&amp;"","")&amp;"␟"&amp;IFERROR(INDEX(PASTE_ALL,$DF591,40)&amp;"","")&amp;"␟"&amp;IFERROR(INDEX(PASTE_ALL,$DF591,41)&amp;"","")&amp;"␟"&amp;IFERROR(INDEX(PASTE_ALL,$DF591,42)&amp;"","")&amp;"␟"&amp;IFERROR(INDEX(PASTE_ALL,$DF591,43)&amp;"","")&amp;"␟"&amp;IFERROR(INDEX(PASTE_ALL,$DF591,44)&amp;"","")&amp;"␟"&amp;IFERROR(INDEX(PASTE_ALL,$DF591,45)&amp;"","")&amp;"␟"&amp;IFERROR(INDEX(PASTE_ALL,$DF591,46)&amp;"","")&amp;"␟"&amp;IFERROR(INDEX(PASTE_ALL,$DF591,47)&amp;"","")&amp;"␟"&amp;IFERROR(INDEX(PASTE_ALL,$DF591,48)&amp;"","")&amp;"␟"&amp;IFERROR(INDEX(PASTE_ALL,$DF591,49)&amp;"","")&amp;"␟"&amp;IFERROR(INDEX(PASTE_ALL,$DF591,50)&amp;"","")&amp;"␟"&amp;IFERROR(INDEX(PASTE_ALL,$DF591,51)&amp;"","")&amp;"␟"&amp;IFERROR(INDEX(PASTE_ALL,$DF591,52)&amp;"","")&amp;"␟"&amp;IFERROR(INDEX(PASTE_ALL,$DF591,53)&amp;"","")&amp;"␟"&amp;IFERROR(INDEX(PASTE_ALL,$DF591,54)&amp;"","")&amp;"␟"&amp;IFERROR(INDEX(PASTE_ALL,$DF591,55)&amp;"","")&amp;"␟"&amp;IFERROR(INDEX(PASTE_ALL,$DF591,56)&amp;"","")&amp;"␟"&amp;IFERROR(INDEX(PASTE_ALL,$DF591,57)&amp;"","")&amp;"␟"&amp;IFERROR(INDEX(PASTE_ALL,$DF591,58)&amp;"","")&amp;"␟"&amp;IFERROR(INDEX(PASTE_ALL,$DF591,59)&amp;"","")&amp;"␟"&amp;IFERROR(INDEX(PASTE_ALL,$DF591,60)&amp;"","")," "," "),CHAR(9)," "),CHAR(10)," "),CHAR(13)," "))," ␟","␟"),"␟ ","␟"),"#"&amp;$DE591),"")</f>
        <v/>
      </c>
      <c r="DJ591">
        <f>IF($DI591="",0,IF(SUMPRODUCT(--EXACT($DI$4:DI590,$DI591))&gt;0,1,0))</f>
        <v/>
      </c>
      <c r="DK591">
        <f>IF(AND($DI591&lt;&gt;"",$DJ591=0),1,0)</f>
        <v/>
      </c>
      <c r="DL591">
        <f>DL590+$DK591</f>
        <v/>
      </c>
      <c r="DM591">
        <f>IF(AND($DK591=1,$DL591&lt;=600),1,0)</f>
        <v/>
      </c>
      <c r="DN591">
        <f>IF($DM591=0,"",IF($L$6=0,"",IFERROR(IF(ISNUMBER(INDEX(PASTE_ALL,$DF591,$L$6)),INDEX(PASTE_ALL,$DF591,$L$6),TRIM(SUBSTITUTE(SUBSTITUTE(SUBSTITUTE(SUBSTITUTE(INDEX(PASTE_ALL,$DF591,$L$6)," "," "),CHAR(9)," "),CHAR(10)," "),CHAR(13)," "))),"")))</f>
        <v/>
      </c>
      <c r="DO591">
        <f>IF($DM591=0,"",IF($L$7=0,"",IFERROR(IF(ISNUMBER(INDEX(PASTE_ALL,$DF591,$L$7)),INDEX(PASTE_ALL,$DF591,$L$7),TRIM(SUBSTITUTE(SUBSTITUTE(SUBSTITUTE(SUBSTITUTE(INDEX(PASTE_ALL,$DF591,$L$7)," "," "),CHAR(9)," "),CHAR(10)," "),CHAR(13)," "))),"")))</f>
        <v/>
      </c>
      <c r="DP591">
        <f>IF($DM591=0,"",IF($L$8=0,"",IFERROR(IF(ISNUMBER(INDEX(PASTE_ALL,$DF591,$L$8)),INDEX(PASTE_ALL,$DF591,$L$8),TRIM(SUBSTITUTE(SUBSTITUTE(SUBSTITUTE(SUBSTITUTE(INDEX(PASTE_ALL,$DF591,$L$8)," "," "),CHAR(9)," "),CHAR(10)," "),CHAR(13)," "))),"")))</f>
        <v/>
      </c>
      <c r="DQ591">
        <f>IF($DM591=0,"",IF($L$9=0,"",IFERROR(IF(ISNUMBER(INDEX(PASTE_ALL,$DF591,$L$9)),INDEX(PASTE_ALL,$DF591,$L$9),TRIM(SUBSTITUTE(SUBSTITUTE(SUBSTITUTE(SUBSTITUTE(INDEX(PASTE_ALL,$DF591,$L$9)," "," "),CHAR(9)," "),CHAR(10)," "),CHAR(13)," "))),"")))</f>
        <v/>
      </c>
      <c r="DR591">
        <f>IF($DM591=0,"",IF($L$10=0,"",IFERROR(IF(ISNUMBER(INDEX(PASTE_ALL,$DF591,$L$10)),INDEX(PASTE_ALL,$DF591,$L$10),TRIM(SUBSTITUTE(SUBSTITUTE(SUBSTITUTE(SUBSTITUTE(INDEX(PASTE_ALL,$DF591,$L$10)," "," "),CHAR(9)," "),CHAR(10)," "),CHAR(13)," "))),"")))</f>
        <v/>
      </c>
      <c r="DS591">
        <f>IF($DM591=0,"",IF($L$11=0,"",IFERROR(IF(ISNUMBER(INDEX(PASTE_ALL,$DF591,$L$11)),INDEX(PASTE_ALL,$DF591,$L$11),TRIM(SUBSTITUTE(SUBSTITUTE(SUBSTITUTE(SUBSTITUTE(INDEX(PASTE_ALL,$DF591,$L$11)," "," "),CHAR(9)," "),CHAR(10)," "),CHAR(13)," "))),"")))</f>
        <v/>
      </c>
      <c r="DT591">
        <f>IF($DM591=0,"",IF($L$12=0,"",IFERROR(IF(ISNUMBER(INDEX(PASTE_ALL,$DF591,$L$12)),INDEX(PASTE_ALL,$DF591,$L$12),TRIM(SUBSTITUTE(SUBSTITUTE(SUBSTITUTE(SUBSTITUTE(INDEX(PASTE_ALL,$DF591,$L$12)," "," "),CHAR(9)," "),CHAR(10)," "),CHAR(13)," "))),"")))</f>
        <v/>
      </c>
      <c r="DU591">
        <f>IF($DM591=0,"",IF($L$13=0,"",IFERROR(IF(ISNUMBER(INDEX(PASTE_ALL,$DF591,$L$13)),INDEX(PASTE_ALL,$DF591,$L$13),TRIM(SUBSTITUTE(SUBSTITUTE(SUBSTITUTE(SUBSTITUTE(INDEX(PASTE_ALL,$DF591,$L$13)," "," "),CHAR(9)," "),CHAR(10)," "),CHAR(13)," "))),"")))</f>
        <v/>
      </c>
      <c r="DV591">
        <f>IF($DM591=0,"",IF($L$14=0,"",IFERROR(IF(ISNUMBER(INDEX(PASTE_ALL,$DF591,$L$14)),INDEX(PASTE_ALL,$DF591,$L$14),TRIM(SUBSTITUTE(SUBSTITUTE(SUBSTITUTE(SUBSTITUTE(INDEX(PASTE_ALL,$DF591,$L$14)," "," "),CHAR(9)," "),CHAR(10)," "),CHAR(13)," "))),"")))</f>
        <v/>
      </c>
      <c r="DW591">
        <f>IF($DM591=0,"",IF($L$15=0,"",IFERROR(IF(ISNUMBER(INDEX(PASTE_ALL,$DF591,$L$15)),INDEX(PASTE_ALL,$DF591,$L$15),IF(SUMPRODUCT(--ISNUMBER(FIND({"A","B","C","D","E","F","G","H","I","J","K","L","M","N","O","P","Q","R","S","T","U","V","W","X","Y","Z","0","1","2","3","4","5","6","7","8","9"},UPPER(TRIM(SUBSTITUTE(SUBSTITUTE(SUBSTITUTE(SUBSTITUTE(INDEX(PASTE_ALL,$DF591,$L$15)," "," "),CHAR(9)," "),CHAR(10)," "),CHAR(13)," "))))))&gt;0,TRIM(SUBSTITUTE(SUBSTITUTE(SUBSTITUTE(SUBSTITUTE(INDEX(PASTE_ALL,$DF591,$L$15)," "," "),CHAR(9)," "),CHAR(10)," "),CHAR(13)," ")),"")),"")))</f>
        <v/>
      </c>
      <c r="DX591">
        <f>IF($DM591=0,"",IF($L$16=0,"",IFERROR(IF(ISNUMBER(INDEX(PASTE_ALL,$DF591,$L$16)),INDEX(PASTE_ALL,$DF591,$L$16),SUBSTITUTE(SUBSTITUTE(TRIM(SUBSTITUTE(SUBSTITUTE(SUBSTITUTE(SUBSTITUTE(INDEX(PASTE_ALL,$DF591,$L$16)," "," "),CHAR(9)," "),CHAR(10)," "),CHAR(13)," ")),",",""),"%","")),"")))</f>
        <v/>
      </c>
      <c r="DY591">
        <f>IF($DM591=0,"",IFERROR(IF(ISNUMBER($DX591),$DX591,IF($DX591="","",IF(TRIM($DX591)="",0,IF(AND(AND(SUBSTITUTE(SUBSTITUTE(SUBSTITUTE(SUBSTITUTE(SUBSTITUTE(SUBSTITUTE(SUBSTITUTE(SUBSTITUTE(SUBSTITUTE(SUBSTITUTE(SUBSTITUTE(SUBSTITUTE(SUBSTITUTE(SUBSTITUTE(UPPER(TRIM($DX591)),"0",""),"1",""),"2",""),"3",""),"4",""),"5",""),"6",""),"7",""),"8",""),"9",""),".",""),"+",""),"-",""),"E","")="",LEN(SUBSTITUTE(SUBSTITUTE(MID(UPPER(TRIM($DX591)),1+OR(LEFT(UPPER(TRIM($DX591)),1)="+",LEFT(UPPER(TRIM($DX591)),1)="-"),999),"E+","E"),"E-","E"))=LEN(SUBSTITUTE(SUBSTITUTE(SUBSTITUTE(SUBSTITUTE(MID(UPPER(TRIM($DX591)),1+OR(LEFT(UPPER(TRIM($DX591)),1)="+",LEFT(UPPER(TRIM($DX591)),1)="-"),999),"E+","E"),"E-","E"),"+",""),"-","")),LEN(UPPER(TRIM($DX591)))-LEN(SUBSTITUTE(UPPER(TRIM($DX591)),"E",""))&lt;2,LEN(UPPER(TRIM($DX591)))-LEN(SUBSTITUTE(UPPER(TRIM($DX591)),".",""))&lt;2,IFERROR(FIND(".",UPPER(TRIM($DX591))),0)&lt;IFERROR(FIND("E",UPPER(TRIM($DX591))),999)),ISNUMBER(VALUE(TRIM($DX591)))),VALUE(TRIM($DX591)),"")))),""))</f>
        <v/>
      </c>
      <c r="DZ591">
        <f>IF($DM591=0,"",IF($L$17=0,"",IFERROR(IF(ISNUMBER(INDEX(PASTE_ALL,$DF591,$L$17)),INDEX(PASTE_ALL,$DF591,$L$17),SUBSTITUTE(SUBSTITUTE(TRIM(SUBSTITUTE(SUBSTITUTE(SUBSTITUTE(SUBSTITUTE(INDEX(PASTE_ALL,$DF591,$L$17)," "," "),CHAR(9)," "),CHAR(10)," "),CHAR(13)," ")),",",""),"%","")),"")))</f>
        <v/>
      </c>
      <c r="EA591">
        <f>IF($DM591=0,"",IFERROR(IF(ISNUMBER($DZ591),$DZ591,IF($DZ591="","",IF(TRIM($DZ591)="",0,IF(AND(AND(SUBSTITUTE(SUBSTITUTE(SUBSTITUTE(SUBSTITUTE(SUBSTITUTE(SUBSTITUTE(SUBSTITUTE(SUBSTITUTE(SUBSTITUTE(SUBSTITUTE(SUBSTITUTE(SUBSTITUTE(SUBSTITUTE(SUBSTITUTE(UPPER(TRIM($DZ591)),"0",""),"1",""),"2",""),"3",""),"4",""),"5",""),"6",""),"7",""),"8",""),"9",""),".",""),"+",""),"-",""),"E","")="",LEN(SUBSTITUTE(SUBSTITUTE(MID(UPPER(TRIM($DZ591)),1+OR(LEFT(UPPER(TRIM($DZ591)),1)="+",LEFT(UPPER(TRIM($DZ591)),1)="-"),999),"E+","E"),"E-","E"))=LEN(SUBSTITUTE(SUBSTITUTE(SUBSTITUTE(SUBSTITUTE(MID(UPPER(TRIM($DZ591)),1+OR(LEFT(UPPER(TRIM($DZ591)),1)="+",LEFT(UPPER(TRIM($DZ591)),1)="-"),999),"E+","E"),"E-","E"),"+",""),"-","")),LEN(UPPER(TRIM($DZ591)))-LEN(SUBSTITUTE(UPPER(TRIM($DZ591)),"E",""))&lt;2,LEN(UPPER(TRIM($DZ591)))-LEN(SUBSTITUTE(UPPER(TRIM($DZ591)),".",""))&lt;2,IFERROR(FIND(".",UPPER(TRIM($DZ591))),0)&lt;IFERROR(FIND("E",UPPER(TRIM($DZ591))),999)),ISNUMBER(VALUE(TRIM($DZ591)))),VALUE(TRIM($DZ591)),"")))),""))</f>
        <v/>
      </c>
      <c r="EB591">
        <f>IF($DM591=0,"",IF($L$18=0,"",IFERROR(IF(UPPER(TRIM(SUBSTITUTE(SUBSTITUTE(SUBSTITUTE(SUBSTITUTE(INDEX(PASTE_ALL,$DF591,$L$18)," "," "),CHAR(9)," "),CHAR(10)," "),CHAR(13)," ")))="READY","Ready",IF(UPPER(TRIM(SUBSTITUTE(SUBSTITUTE(SUBSTITUTE(SUBSTITUTE(INDEX(PASTE_ALL,$DF591,$L$18)," "," "),CHAR(9)," "),CHAR(10)," "),CHAR(13)," ")))="PM","PM",IF(OR(UPPER(TRIM(SUBSTITUTE(SUBSTITUTE(SUBSTITUTE(SUBSTITUTE(INDEX(PASTE_ALL,$DF591,$L$18)," "," "),CHAR(9)," "),CHAR(10)," "),CHAR(13)," ")))="OT",UPPER(TRIM(SUBSTITUTE(SUBSTITUTE(SUBSTITUTE(SUBSTITUTE(INDEX(PASTE_ALL,$DF591,$L$18)," "," "),CHAR(9)," "),CHAR(10)," "),CHAR(13)," ")))="OVERTIME",UPPER(TRIM(SUBSTITUTE(SUBSTITUTE(SUBSTITUTE(SUBSTITUTE(INDEX(PASTE_ALL,$DF591,$L$18)," "," "),CHAR(9)," "),CHAR(10)," "),CHAR(13)," ")))="TRIAL"),"OT",TRIM(SUBSTITUTE(SUBSTITUTE(SUBSTITUTE(SUBSTITUTE(INDEX(PASTE_ALL,$DF591,$L$18)," "," "),CHAR(9)," "),CHAR(10)," "),CHAR(13)," "))))),"")))</f>
        <v/>
      </c>
      <c r="EC591">
        <f>IF($DM591=0,"",IF($L$19=0,"",IFERROR(IF(ISNUMBER(INDEX(PASTE_ALL,$DF591,$L$19)),INDEX(PASTE_ALL,$DF591,$L$19),TRIM(SUBSTITUTE(SUBSTITUTE(SUBSTITUTE(SUBSTITUTE(INDEX(PASTE_ALL,$DF591,$L$19)," "," "),CHAR(9)," "),CHAR(10)," "),CHAR(13)," "))),"")))</f>
        <v/>
      </c>
      <c r="ED591">
        <f>IF($DM591=0,"",MATCH(1,INDEX(EXACT($DH$5:DH591,$DH591)*$DM$5:DM591,0),0))</f>
        <v/>
      </c>
      <c r="EE591">
        <f>IF($DM591=0,0,IF($ED591=$DE591,1,0))</f>
        <v/>
      </c>
      <c r="EF591">
        <f>EF590+$EE591</f>
        <v/>
      </c>
      <c r="EG591">
        <f>IF($DM591=0,"",INDEX($EF$5:$EF$1003,$ED591))</f>
        <v/>
      </c>
      <c r="EH591">
        <f>IF($DM591=0,"",IF($DO591&lt;&gt;"","",IFERROR(LOOKUP(2,1/(($EG$4:EG590=$EG591)*($DO$4:DO590&lt;&gt;"")),$DO$4:DO590),"")))</f>
        <v/>
      </c>
      <c r="EI591">
        <f>IF($DM591=0,"",IF($DO591&lt;&gt;"",$DO591,$EH591))</f>
        <v/>
      </c>
      <c r="EJ591">
        <f>IF($DM591=0,"",IF($EI591="",0,IF(OR(ISNUMBER($EI591),AND(AND(SUBSTITUTE(SUBSTITUTE(SUBSTITUTE(SUBSTITUTE(SUBSTITUTE(SUBSTITUTE(SUBSTITUTE(SUBSTITUTE(SUBSTITUTE(SUBSTITUTE(SUBSTITUTE(SUBSTITUTE(SUBSTITUTE(SUBSTITUTE(UPPER($EI591),"0",""),"1",""),"2",""),"3",""),"4",""),"5",""),"6",""),"7",""),"8",""),"9",""),".",""),"+",""),"-",""),"E","")="",LEN(SUBSTITUTE(SUBSTITUTE(MID(UPPER($EI591),1+OR(LEFT(UPPER($EI591),1)="+",LEFT(UPPER($EI591),1)="-"),999),"E+","E"),"E-","E"))=LEN(SUBSTITUTE(SUBSTITUTE(SUBSTITUTE(SUBSTITUTE(MID(UPPER($EI591),1+OR(LEFT(UPPER($EI591),1)="+",LEFT(UPPER($EI591),1)="-"),999),"E+","E"),"E-","E"),"+",""),"-","")),LEN(UPPER($EI591))-LEN(SUBSTITUTE(UPPER($EI591),"E",""))&lt;2,LEN(UPPER($EI591))-LEN(SUBSTITUTE(UPPER($EI591),".",""))&lt;2,IFERROR(FIND(".",UPPER($EI591)),0)&lt;IFERROR(FIND("E",UPPER($EI591)),999)),ISNUMBER(VALUE($EI591)))),1,2)))</f>
        <v/>
      </c>
      <c r="EK591">
        <f>IF($DM591=0,"",IF($EJ591=1,IF(ISNUMBER($EI591),$EI591,VALUE($EI591)),IF($EJ591=2,$DE591,0)))</f>
        <v/>
      </c>
      <c r="EL591">
        <f>IF($DM591=0,"",COUNTIF($EG$5:$EG$1003,"&lt;"&amp;$EG591)+SUMPRODUCT(($EG$5:$EG$1003=$EG591)*(($EJ$5:$EJ$1003&lt;$EJ591)+($EJ$5:$EJ$1003=$EJ591)*(($EK$5:$EK$1003&lt;$EK591)+($EK$5:$EK$1003=$EK591)*($DE$5:$DE$1003&lt;$DE591))))+1)</f>
        <v/>
      </c>
      <c r="EM591">
        <f>IF($DM591=0,"",$EL591+$EG591-1)</f>
        <v/>
      </c>
      <c r="EN591">
        <f>IF($DM591=0,0,IFERROR(MATCH(1,INDEX(--(TRIM(SUBSTITUTE(SUBSTITUTE(SUBSTITUTE(SUBSTITUTE(LINES_NAME&amp;""," "," "),CHAR(9)," "),CHAR(10)," "),CHAR(13)," "))=$DH591),0),0),0))</f>
        <v/>
      </c>
      <c r="EO591">
        <f>IF($EN591=0,0,IF(OR(UPPER(TRIM(INDEX(LINES_SCHEDULED,$EN591)&amp;""))="YES",UPPER(TRIM(INDEX(LINES_SCHEDULED,$EN591)&amp;""))="Y",UPPER(TRIM(INDEX(LINES_SCHEDULED,$EN591)&amp;""))="X"),1,0))</f>
        <v/>
      </c>
      <c r="EP591">
        <f>IF($DM591=0,"",IF(COUNTIFS($EG$5:$EG$1003,$EG591,$EB$5:$EB$1003,"Ready")&gt;0,"READY",IF(COUNTIFS($EG$5:$EG$1003,$EG591,$EB$5:$EB$1003,"PM")&gt;0,"PM",IF(COUNTIFS($EG$5:$EG$1003,$EG591,$EB$5:$EB$1003,"OT")&gt;0,"OT",""))))</f>
        <v/>
      </c>
      <c r="EQ591">
        <f>IF($EN591=0,"",UPPER(TRIM(INDEX(LINES_STATUS,$EN591)&amp;"")))</f>
        <v/>
      </c>
      <c r="ER591">
        <f>IF($DM591=0,"",IF(OR($EQ591="READY",$EQ591="PM",$EQ591="OT"),$EQ591,$EP591))</f>
        <v/>
      </c>
      <c r="ES591">
        <f>IF($DM591=0,"",IF(AND($DV591&lt;&gt;"",UPPER($DV591)&lt;&gt;"N"),"allergen",IF(ISNUMBER(SEARCH("oil",$DQ591)),"oil",IF(OR(EXACT($DS591,"A662"),EXACT($DS591,"A624")),"bulk",""))))</f>
        <v/>
      </c>
      <c r="ET591">
        <f>IF($DM591=0,"",IF(OR($EA591="",$EA591=0),"",$EA591/100))</f>
        <v/>
      </c>
      <c r="EU591">
        <f>IF(OR($ET591="",$DY591=""),"",INT($DY591*(1-$ET591)+0.5))</f>
        <v/>
      </c>
      <c r="EW591" t="n">
        <v>587</v>
      </c>
      <c r="EX591">
        <f>IFERROR(MATCH($EW591,$EM$5:$EM$1003,0),0)</f>
        <v/>
      </c>
      <c r="EY591">
        <f>IF($EW591&gt;$B$12,"",IF($EX591&gt;0,"row","spacer"))</f>
        <v/>
      </c>
      <c r="EZ591">
        <f>IF(AND($EY591="row",$EY590&lt;&gt;"row"),1,0)</f>
        <v/>
      </c>
      <c r="FA591">
        <f>IF(AND($EY591="row",$EY592&lt;&gt;"row"),1,0)</f>
        <v/>
      </c>
      <c r="FB591">
        <f>IF($EZ591=1,IFERROR(IF(ISNUMBER(INDEX(PASTE_ALL,INDEX($DF$5:$DF$1003,$EX591),$B$37)),INDEX(PASTE_ALL,INDEX($DF$5:$DF$1003,$EX591),$B$37),INDEX($DH$5:$DH$1003,$EX591)),INDEX($DH$5:$DH$1003,$EX591)),"")</f>
        <v/>
      </c>
      <c r="FC591">
        <f>IF($EY591="row",INDEX($ER$5:$ER$1003,$EX591),"")</f>
        <v/>
      </c>
      <c r="FD591">
        <f>IF($EY591="row",INDEX($DN$5:$DN$1003,$EX591),"")</f>
        <v/>
      </c>
      <c r="FE591">
        <f>IF($EY591="row",INDEX($DO$5:$DO$1003,$EX591),"")</f>
        <v/>
      </c>
      <c r="FF591">
        <f>IF($EY591="row",INDEX($DP$5:$DP$1003,$EX591),"")</f>
        <v/>
      </c>
      <c r="FG591">
        <f>IF($EY591="row",INDEX($DQ$5:$DQ$1003,$EX591),"")</f>
        <v/>
      </c>
      <c r="FH591">
        <f>IF($EY591="row",INDEX($DR$5:$DR$1003,$EX591),"")</f>
        <v/>
      </c>
      <c r="FI591">
        <f>IF($EY591="row",INDEX($DS$5:$DS$1003,$EX591),"")</f>
        <v/>
      </c>
      <c r="FJ591">
        <f>IF($EY591="row",INDEX($DT$5:$DT$1003,$EX591),"")</f>
        <v/>
      </c>
      <c r="FK591">
        <f>IF($EY591="row",INDEX($DU$5:$DU$1003,$EX591),"")</f>
        <v/>
      </c>
      <c r="FL591">
        <f>IF($EY591="row",INDEX($DV$5:$DV$1003,$EX591),"")</f>
        <v/>
      </c>
      <c r="FM591">
        <f>IF($EY591="row",INDEX($DW$5:$DW$1003,$EX591),"")</f>
        <v/>
      </c>
      <c r="FN591">
        <f>IF($EY591="row",INDEX($DY$5:$DY$1003,$EX591),"")</f>
        <v/>
      </c>
      <c r="FO591">
        <f>IF($EY591="row",INDEX($EA$5:$EA$1003,$EX591),"")</f>
        <v/>
      </c>
      <c r="FP591">
        <f>IF($EY591="row",INDEX($EC$5:$EC$1003,$EX591),"")</f>
        <v/>
      </c>
      <c r="FQ591">
        <f>IF($EY591="row",INDEX($ET$5:$ET$1003,$EX591),"")</f>
        <v/>
      </c>
      <c r="FR591">
        <f>IF($EY591="row",INDEX($EU$5:$EU$1003,$EX591),"")</f>
        <v/>
      </c>
      <c r="FS591">
        <f>IF(AND($EY591="row",$EY590="row"),IF(OR(INDEX($DT$5:$DT$1003,$EX590)="",INDEX($DT$5:$DT$1003,$EX591)=""),"",IF(NOT(EXACT(INDEX($DT$5:$DT$1003,$EX590),INDEX($DT$5:$DT$1003,$EX591))),"S4",IF(NOT(EXACT(INDEX($DS$5:$DS$1003,$EX590),INDEX($DS$5:$DS$1003,$EX591))),"S3",IF(NOT(EXACT(INDEX($DR$5:$DR$1003,$EX590),INDEX($DR$5:$DR$1003,$EX591))),"S1 Count Change","S1")))),"")</f>
        <v/>
      </c>
      <c r="FT591">
        <f>IF($EY591="row",INDEX($ES$5:$ES$1003,$EX591),"")</f>
        <v/>
      </c>
      <c r="FU591">
        <f>IF($EY591="row",INDEX($EO$5:$EO$1003,$EX591),0)</f>
        <v/>
      </c>
      <c r="FV591">
        <f>IF($FS591="S1 Count Change",1,0)</f>
        <v/>
      </c>
    </row>
    <row r="592">
      <c r="DA592" t="n">
        <v>588</v>
      </c>
      <c r="DB592">
        <f>IF($B$37=0,"",IFERROR(TRIM(SUBSTITUTE(SUBSTITUTE(SUBSTITUTE(SUBSTITUTE(INDEX(PASTE_ALL,588,$B$37)," "," "),CHAR(9)," "),CHAR(10)," "),CHAR(13)," ")),""))</f>
        <v/>
      </c>
      <c r="DC592">
        <f>IF(AND(588&gt;HEADER_ROW,UPPER(DB592)="LEGEND"),1,0)</f>
        <v/>
      </c>
      <c r="DE592" t="n">
        <v>588</v>
      </c>
      <c r="DF592">
        <f>HEADER_ROW+$DE592</f>
        <v/>
      </c>
      <c r="DG592">
        <f>IF(AND($DF592&lt;=1000,$DF592&lt;$B$8),1,0)</f>
        <v/>
      </c>
      <c r="DH592">
        <f>IF($DG592=1,IFERROR(INDEX($DB$5:$DB$1004,$DF592),""),"")</f>
        <v/>
      </c>
      <c r="DI592">
        <f>IF(AND($DG592=1,$DH592&lt;&gt;""),IFERROR(SUBSTITUTE(SUBSTITUTE(TRIM(SUBSTITUTE(SUBSTITUTE(SUBSTITUTE(SUBSTITUTE(IFERROR(INDEX(PASTE_ALL,$DF592,1)&amp;"","")&amp;"␟"&amp;IFERROR(INDEX(PASTE_ALL,$DF592,2)&amp;"","")&amp;"␟"&amp;IFERROR(INDEX(PASTE_ALL,$DF592,3)&amp;"","")&amp;"␟"&amp;IFERROR(INDEX(PASTE_ALL,$DF592,4)&amp;"","")&amp;"␟"&amp;IFERROR(INDEX(PASTE_ALL,$DF592,5)&amp;"","")&amp;"␟"&amp;IFERROR(INDEX(PASTE_ALL,$DF592,6)&amp;"","")&amp;"␟"&amp;IFERROR(INDEX(PASTE_ALL,$DF592,7)&amp;"","")&amp;"␟"&amp;IFERROR(INDEX(PASTE_ALL,$DF592,8)&amp;"","")&amp;"␟"&amp;IFERROR(INDEX(PASTE_ALL,$DF592,9)&amp;"","")&amp;"␟"&amp;IFERROR(INDEX(PASTE_ALL,$DF592,10)&amp;"","")&amp;"␟"&amp;IFERROR(INDEX(PASTE_ALL,$DF592,11)&amp;"","")&amp;"␟"&amp;IFERROR(INDEX(PASTE_ALL,$DF592,12)&amp;"","")&amp;"␟"&amp;IFERROR(INDEX(PASTE_ALL,$DF592,13)&amp;"","")&amp;"␟"&amp;IFERROR(INDEX(PASTE_ALL,$DF592,14)&amp;"","")&amp;"␟"&amp;IFERROR(INDEX(PASTE_ALL,$DF592,15)&amp;"","")&amp;"␟"&amp;IFERROR(INDEX(PASTE_ALL,$DF592,16)&amp;"","")&amp;"␟"&amp;IFERROR(INDEX(PASTE_ALL,$DF592,17)&amp;"","")&amp;"␟"&amp;IFERROR(INDEX(PASTE_ALL,$DF592,18)&amp;"","")&amp;"␟"&amp;IFERROR(INDEX(PASTE_ALL,$DF592,19)&amp;"","")&amp;"␟"&amp;IFERROR(INDEX(PASTE_ALL,$DF592,20)&amp;"","")&amp;"␟"&amp;IFERROR(INDEX(PASTE_ALL,$DF592,21)&amp;"","")&amp;"␟"&amp;IFERROR(INDEX(PASTE_ALL,$DF592,22)&amp;"","")&amp;"␟"&amp;IFERROR(INDEX(PASTE_ALL,$DF592,23)&amp;"","")&amp;"␟"&amp;IFERROR(INDEX(PASTE_ALL,$DF592,24)&amp;"","")&amp;"␟"&amp;IFERROR(INDEX(PASTE_ALL,$DF592,25)&amp;"","")&amp;"␟"&amp;IFERROR(INDEX(PASTE_ALL,$DF592,26)&amp;"","")&amp;"␟"&amp;IFERROR(INDEX(PASTE_ALL,$DF592,27)&amp;"","")&amp;"␟"&amp;IFERROR(INDEX(PASTE_ALL,$DF592,28)&amp;"","")&amp;"␟"&amp;IFERROR(INDEX(PASTE_ALL,$DF592,29)&amp;"","")&amp;"␟"&amp;IFERROR(INDEX(PASTE_ALL,$DF592,30)&amp;"","")&amp;"␟"&amp;IFERROR(INDEX(PASTE_ALL,$DF592,31)&amp;"","")&amp;"␟"&amp;IFERROR(INDEX(PASTE_ALL,$DF592,32)&amp;"","")&amp;"␟"&amp;IFERROR(INDEX(PASTE_ALL,$DF592,33)&amp;"","")&amp;"␟"&amp;IFERROR(INDEX(PASTE_ALL,$DF592,34)&amp;"","")&amp;"␟"&amp;IFERROR(INDEX(PASTE_ALL,$DF592,35)&amp;"","")&amp;"␟"&amp;IFERROR(INDEX(PASTE_ALL,$DF592,36)&amp;"","")&amp;"␟"&amp;IFERROR(INDEX(PASTE_ALL,$DF592,37)&amp;"","")&amp;"␟"&amp;IFERROR(INDEX(PASTE_ALL,$DF592,38)&amp;"","")&amp;"␟"&amp;IFERROR(INDEX(PASTE_ALL,$DF592,39)&amp;"","")&amp;"␟"&amp;IFERROR(INDEX(PASTE_ALL,$DF592,40)&amp;"","")&amp;"␟"&amp;IFERROR(INDEX(PASTE_ALL,$DF592,41)&amp;"","")&amp;"␟"&amp;IFERROR(INDEX(PASTE_ALL,$DF592,42)&amp;"","")&amp;"␟"&amp;IFERROR(INDEX(PASTE_ALL,$DF592,43)&amp;"","")&amp;"␟"&amp;IFERROR(INDEX(PASTE_ALL,$DF592,44)&amp;"","")&amp;"␟"&amp;IFERROR(INDEX(PASTE_ALL,$DF592,45)&amp;"","")&amp;"␟"&amp;IFERROR(INDEX(PASTE_ALL,$DF592,46)&amp;"","")&amp;"␟"&amp;IFERROR(INDEX(PASTE_ALL,$DF592,47)&amp;"","")&amp;"␟"&amp;IFERROR(INDEX(PASTE_ALL,$DF592,48)&amp;"","")&amp;"␟"&amp;IFERROR(INDEX(PASTE_ALL,$DF592,49)&amp;"","")&amp;"␟"&amp;IFERROR(INDEX(PASTE_ALL,$DF592,50)&amp;"","")&amp;"␟"&amp;IFERROR(INDEX(PASTE_ALL,$DF592,51)&amp;"","")&amp;"␟"&amp;IFERROR(INDEX(PASTE_ALL,$DF592,52)&amp;"","")&amp;"␟"&amp;IFERROR(INDEX(PASTE_ALL,$DF592,53)&amp;"","")&amp;"␟"&amp;IFERROR(INDEX(PASTE_ALL,$DF592,54)&amp;"","")&amp;"␟"&amp;IFERROR(INDEX(PASTE_ALL,$DF592,55)&amp;"","")&amp;"␟"&amp;IFERROR(INDEX(PASTE_ALL,$DF592,56)&amp;"","")&amp;"␟"&amp;IFERROR(INDEX(PASTE_ALL,$DF592,57)&amp;"","")&amp;"␟"&amp;IFERROR(INDEX(PASTE_ALL,$DF592,58)&amp;"","")&amp;"␟"&amp;IFERROR(INDEX(PASTE_ALL,$DF592,59)&amp;"","")&amp;"␟"&amp;IFERROR(INDEX(PASTE_ALL,$DF592,60)&amp;"","")," "," "),CHAR(9)," "),CHAR(10)," "),CHAR(13)," "))," ␟","␟"),"␟ ","␟"),"#"&amp;$DE592),"")</f>
        <v/>
      </c>
      <c r="DJ592">
        <f>IF($DI592="",0,IF(SUMPRODUCT(--EXACT($DI$4:DI591,$DI592))&gt;0,1,0))</f>
        <v/>
      </c>
      <c r="DK592">
        <f>IF(AND($DI592&lt;&gt;"",$DJ592=0),1,0)</f>
        <v/>
      </c>
      <c r="DL592">
        <f>DL591+$DK592</f>
        <v/>
      </c>
      <c r="DM592">
        <f>IF(AND($DK592=1,$DL592&lt;=600),1,0)</f>
        <v/>
      </c>
      <c r="DN592">
        <f>IF($DM592=0,"",IF($L$6=0,"",IFERROR(IF(ISNUMBER(INDEX(PASTE_ALL,$DF592,$L$6)),INDEX(PASTE_ALL,$DF592,$L$6),TRIM(SUBSTITUTE(SUBSTITUTE(SUBSTITUTE(SUBSTITUTE(INDEX(PASTE_ALL,$DF592,$L$6)," "," "),CHAR(9)," "),CHAR(10)," "),CHAR(13)," "))),"")))</f>
        <v/>
      </c>
      <c r="DO592">
        <f>IF($DM592=0,"",IF($L$7=0,"",IFERROR(IF(ISNUMBER(INDEX(PASTE_ALL,$DF592,$L$7)),INDEX(PASTE_ALL,$DF592,$L$7),TRIM(SUBSTITUTE(SUBSTITUTE(SUBSTITUTE(SUBSTITUTE(INDEX(PASTE_ALL,$DF592,$L$7)," "," "),CHAR(9)," "),CHAR(10)," "),CHAR(13)," "))),"")))</f>
        <v/>
      </c>
      <c r="DP592">
        <f>IF($DM592=0,"",IF($L$8=0,"",IFERROR(IF(ISNUMBER(INDEX(PASTE_ALL,$DF592,$L$8)),INDEX(PASTE_ALL,$DF592,$L$8),TRIM(SUBSTITUTE(SUBSTITUTE(SUBSTITUTE(SUBSTITUTE(INDEX(PASTE_ALL,$DF592,$L$8)," "," "),CHAR(9)," "),CHAR(10)," "),CHAR(13)," "))),"")))</f>
        <v/>
      </c>
      <c r="DQ592">
        <f>IF($DM592=0,"",IF($L$9=0,"",IFERROR(IF(ISNUMBER(INDEX(PASTE_ALL,$DF592,$L$9)),INDEX(PASTE_ALL,$DF592,$L$9),TRIM(SUBSTITUTE(SUBSTITUTE(SUBSTITUTE(SUBSTITUTE(INDEX(PASTE_ALL,$DF592,$L$9)," "," "),CHAR(9)," "),CHAR(10)," "),CHAR(13)," "))),"")))</f>
        <v/>
      </c>
      <c r="DR592">
        <f>IF($DM592=0,"",IF($L$10=0,"",IFERROR(IF(ISNUMBER(INDEX(PASTE_ALL,$DF592,$L$10)),INDEX(PASTE_ALL,$DF592,$L$10),TRIM(SUBSTITUTE(SUBSTITUTE(SUBSTITUTE(SUBSTITUTE(INDEX(PASTE_ALL,$DF592,$L$10)," "," "),CHAR(9)," "),CHAR(10)," "),CHAR(13)," "))),"")))</f>
        <v/>
      </c>
      <c r="DS592">
        <f>IF($DM592=0,"",IF($L$11=0,"",IFERROR(IF(ISNUMBER(INDEX(PASTE_ALL,$DF592,$L$11)),INDEX(PASTE_ALL,$DF592,$L$11),TRIM(SUBSTITUTE(SUBSTITUTE(SUBSTITUTE(SUBSTITUTE(INDEX(PASTE_ALL,$DF592,$L$11)," "," "),CHAR(9)," "),CHAR(10)," "),CHAR(13)," "))),"")))</f>
        <v/>
      </c>
      <c r="DT592">
        <f>IF($DM592=0,"",IF($L$12=0,"",IFERROR(IF(ISNUMBER(INDEX(PASTE_ALL,$DF592,$L$12)),INDEX(PASTE_ALL,$DF592,$L$12),TRIM(SUBSTITUTE(SUBSTITUTE(SUBSTITUTE(SUBSTITUTE(INDEX(PASTE_ALL,$DF592,$L$12)," "," "),CHAR(9)," "),CHAR(10)," "),CHAR(13)," "))),"")))</f>
        <v/>
      </c>
      <c r="DU592">
        <f>IF($DM592=0,"",IF($L$13=0,"",IFERROR(IF(ISNUMBER(INDEX(PASTE_ALL,$DF592,$L$13)),INDEX(PASTE_ALL,$DF592,$L$13),TRIM(SUBSTITUTE(SUBSTITUTE(SUBSTITUTE(SUBSTITUTE(INDEX(PASTE_ALL,$DF592,$L$13)," "," "),CHAR(9)," "),CHAR(10)," "),CHAR(13)," "))),"")))</f>
        <v/>
      </c>
      <c r="DV592">
        <f>IF($DM592=0,"",IF($L$14=0,"",IFERROR(IF(ISNUMBER(INDEX(PASTE_ALL,$DF592,$L$14)),INDEX(PASTE_ALL,$DF592,$L$14),TRIM(SUBSTITUTE(SUBSTITUTE(SUBSTITUTE(SUBSTITUTE(INDEX(PASTE_ALL,$DF592,$L$14)," "," "),CHAR(9)," "),CHAR(10)," "),CHAR(13)," "))),"")))</f>
        <v/>
      </c>
      <c r="DW592">
        <f>IF($DM592=0,"",IF($L$15=0,"",IFERROR(IF(ISNUMBER(INDEX(PASTE_ALL,$DF592,$L$15)),INDEX(PASTE_ALL,$DF592,$L$15),IF(SUMPRODUCT(--ISNUMBER(FIND({"A","B","C","D","E","F","G","H","I","J","K","L","M","N","O","P","Q","R","S","T","U","V","W","X","Y","Z","0","1","2","3","4","5","6","7","8","9"},UPPER(TRIM(SUBSTITUTE(SUBSTITUTE(SUBSTITUTE(SUBSTITUTE(INDEX(PASTE_ALL,$DF592,$L$15)," "," "),CHAR(9)," "),CHAR(10)," "),CHAR(13)," "))))))&gt;0,TRIM(SUBSTITUTE(SUBSTITUTE(SUBSTITUTE(SUBSTITUTE(INDEX(PASTE_ALL,$DF592,$L$15)," "," "),CHAR(9)," "),CHAR(10)," "),CHAR(13)," ")),"")),"")))</f>
        <v/>
      </c>
      <c r="DX592">
        <f>IF($DM592=0,"",IF($L$16=0,"",IFERROR(IF(ISNUMBER(INDEX(PASTE_ALL,$DF592,$L$16)),INDEX(PASTE_ALL,$DF592,$L$16),SUBSTITUTE(SUBSTITUTE(TRIM(SUBSTITUTE(SUBSTITUTE(SUBSTITUTE(SUBSTITUTE(INDEX(PASTE_ALL,$DF592,$L$16)," "," "),CHAR(9)," "),CHAR(10)," "),CHAR(13)," ")),",",""),"%","")),"")))</f>
        <v/>
      </c>
      <c r="DY592">
        <f>IF($DM592=0,"",IFERROR(IF(ISNUMBER($DX592),$DX592,IF($DX592="","",IF(TRIM($DX592)="",0,IF(AND(AND(SUBSTITUTE(SUBSTITUTE(SUBSTITUTE(SUBSTITUTE(SUBSTITUTE(SUBSTITUTE(SUBSTITUTE(SUBSTITUTE(SUBSTITUTE(SUBSTITUTE(SUBSTITUTE(SUBSTITUTE(SUBSTITUTE(SUBSTITUTE(UPPER(TRIM($DX592)),"0",""),"1",""),"2",""),"3",""),"4",""),"5",""),"6",""),"7",""),"8",""),"9",""),".",""),"+",""),"-",""),"E","")="",LEN(SUBSTITUTE(SUBSTITUTE(MID(UPPER(TRIM($DX592)),1+OR(LEFT(UPPER(TRIM($DX592)),1)="+",LEFT(UPPER(TRIM($DX592)),1)="-"),999),"E+","E"),"E-","E"))=LEN(SUBSTITUTE(SUBSTITUTE(SUBSTITUTE(SUBSTITUTE(MID(UPPER(TRIM($DX592)),1+OR(LEFT(UPPER(TRIM($DX592)),1)="+",LEFT(UPPER(TRIM($DX592)),1)="-"),999),"E+","E"),"E-","E"),"+",""),"-","")),LEN(UPPER(TRIM($DX592)))-LEN(SUBSTITUTE(UPPER(TRIM($DX592)),"E",""))&lt;2,LEN(UPPER(TRIM($DX592)))-LEN(SUBSTITUTE(UPPER(TRIM($DX592)),".",""))&lt;2,IFERROR(FIND(".",UPPER(TRIM($DX592))),0)&lt;IFERROR(FIND("E",UPPER(TRIM($DX592))),999)),ISNUMBER(VALUE(TRIM($DX592)))),VALUE(TRIM($DX592)),"")))),""))</f>
        <v/>
      </c>
      <c r="DZ592">
        <f>IF($DM592=0,"",IF($L$17=0,"",IFERROR(IF(ISNUMBER(INDEX(PASTE_ALL,$DF592,$L$17)),INDEX(PASTE_ALL,$DF592,$L$17),SUBSTITUTE(SUBSTITUTE(TRIM(SUBSTITUTE(SUBSTITUTE(SUBSTITUTE(SUBSTITUTE(INDEX(PASTE_ALL,$DF592,$L$17)," "," "),CHAR(9)," "),CHAR(10)," "),CHAR(13)," ")),",",""),"%","")),"")))</f>
        <v/>
      </c>
      <c r="EA592">
        <f>IF($DM592=0,"",IFERROR(IF(ISNUMBER($DZ592),$DZ592,IF($DZ592="","",IF(TRIM($DZ592)="",0,IF(AND(AND(SUBSTITUTE(SUBSTITUTE(SUBSTITUTE(SUBSTITUTE(SUBSTITUTE(SUBSTITUTE(SUBSTITUTE(SUBSTITUTE(SUBSTITUTE(SUBSTITUTE(SUBSTITUTE(SUBSTITUTE(SUBSTITUTE(SUBSTITUTE(UPPER(TRIM($DZ592)),"0",""),"1",""),"2",""),"3",""),"4",""),"5",""),"6",""),"7",""),"8",""),"9",""),".",""),"+",""),"-",""),"E","")="",LEN(SUBSTITUTE(SUBSTITUTE(MID(UPPER(TRIM($DZ592)),1+OR(LEFT(UPPER(TRIM($DZ592)),1)="+",LEFT(UPPER(TRIM($DZ592)),1)="-"),999),"E+","E"),"E-","E"))=LEN(SUBSTITUTE(SUBSTITUTE(SUBSTITUTE(SUBSTITUTE(MID(UPPER(TRIM($DZ592)),1+OR(LEFT(UPPER(TRIM($DZ592)),1)="+",LEFT(UPPER(TRIM($DZ592)),1)="-"),999),"E+","E"),"E-","E"),"+",""),"-","")),LEN(UPPER(TRIM($DZ592)))-LEN(SUBSTITUTE(UPPER(TRIM($DZ592)),"E",""))&lt;2,LEN(UPPER(TRIM($DZ592)))-LEN(SUBSTITUTE(UPPER(TRIM($DZ592)),".",""))&lt;2,IFERROR(FIND(".",UPPER(TRIM($DZ592))),0)&lt;IFERROR(FIND("E",UPPER(TRIM($DZ592))),999)),ISNUMBER(VALUE(TRIM($DZ592)))),VALUE(TRIM($DZ592)),"")))),""))</f>
        <v/>
      </c>
      <c r="EB592">
        <f>IF($DM592=0,"",IF($L$18=0,"",IFERROR(IF(UPPER(TRIM(SUBSTITUTE(SUBSTITUTE(SUBSTITUTE(SUBSTITUTE(INDEX(PASTE_ALL,$DF592,$L$18)," "," "),CHAR(9)," "),CHAR(10)," "),CHAR(13)," ")))="READY","Ready",IF(UPPER(TRIM(SUBSTITUTE(SUBSTITUTE(SUBSTITUTE(SUBSTITUTE(INDEX(PASTE_ALL,$DF592,$L$18)," "," "),CHAR(9)," "),CHAR(10)," "),CHAR(13)," ")))="PM","PM",IF(OR(UPPER(TRIM(SUBSTITUTE(SUBSTITUTE(SUBSTITUTE(SUBSTITUTE(INDEX(PASTE_ALL,$DF592,$L$18)," "," "),CHAR(9)," "),CHAR(10)," "),CHAR(13)," ")))="OT",UPPER(TRIM(SUBSTITUTE(SUBSTITUTE(SUBSTITUTE(SUBSTITUTE(INDEX(PASTE_ALL,$DF592,$L$18)," "," "),CHAR(9)," "),CHAR(10)," "),CHAR(13)," ")))="OVERTIME",UPPER(TRIM(SUBSTITUTE(SUBSTITUTE(SUBSTITUTE(SUBSTITUTE(INDEX(PASTE_ALL,$DF592,$L$18)," "," "),CHAR(9)," "),CHAR(10)," "),CHAR(13)," ")))="TRIAL"),"OT",TRIM(SUBSTITUTE(SUBSTITUTE(SUBSTITUTE(SUBSTITUTE(INDEX(PASTE_ALL,$DF592,$L$18)," "," "),CHAR(9)," "),CHAR(10)," "),CHAR(13)," "))))),"")))</f>
        <v/>
      </c>
      <c r="EC592">
        <f>IF($DM592=0,"",IF($L$19=0,"",IFERROR(IF(ISNUMBER(INDEX(PASTE_ALL,$DF592,$L$19)),INDEX(PASTE_ALL,$DF592,$L$19),TRIM(SUBSTITUTE(SUBSTITUTE(SUBSTITUTE(SUBSTITUTE(INDEX(PASTE_ALL,$DF592,$L$19)," "," "),CHAR(9)," "),CHAR(10)," "),CHAR(13)," "))),"")))</f>
        <v/>
      </c>
      <c r="ED592">
        <f>IF($DM592=0,"",MATCH(1,INDEX(EXACT($DH$5:DH592,$DH592)*$DM$5:DM592,0),0))</f>
        <v/>
      </c>
      <c r="EE592">
        <f>IF($DM592=0,0,IF($ED592=$DE592,1,0))</f>
        <v/>
      </c>
      <c r="EF592">
        <f>EF591+$EE592</f>
        <v/>
      </c>
      <c r="EG592">
        <f>IF($DM592=0,"",INDEX($EF$5:$EF$1003,$ED592))</f>
        <v/>
      </c>
      <c r="EH592">
        <f>IF($DM592=0,"",IF($DO592&lt;&gt;"","",IFERROR(LOOKUP(2,1/(($EG$4:EG591=$EG592)*($DO$4:DO591&lt;&gt;"")),$DO$4:DO591),"")))</f>
        <v/>
      </c>
      <c r="EI592">
        <f>IF($DM592=0,"",IF($DO592&lt;&gt;"",$DO592,$EH592))</f>
        <v/>
      </c>
      <c r="EJ592">
        <f>IF($DM592=0,"",IF($EI592="",0,IF(OR(ISNUMBER($EI592),AND(AND(SUBSTITUTE(SUBSTITUTE(SUBSTITUTE(SUBSTITUTE(SUBSTITUTE(SUBSTITUTE(SUBSTITUTE(SUBSTITUTE(SUBSTITUTE(SUBSTITUTE(SUBSTITUTE(SUBSTITUTE(SUBSTITUTE(SUBSTITUTE(UPPER($EI592),"0",""),"1",""),"2",""),"3",""),"4",""),"5",""),"6",""),"7",""),"8",""),"9",""),".",""),"+",""),"-",""),"E","")="",LEN(SUBSTITUTE(SUBSTITUTE(MID(UPPER($EI592),1+OR(LEFT(UPPER($EI592),1)="+",LEFT(UPPER($EI592),1)="-"),999),"E+","E"),"E-","E"))=LEN(SUBSTITUTE(SUBSTITUTE(SUBSTITUTE(SUBSTITUTE(MID(UPPER($EI592),1+OR(LEFT(UPPER($EI592),1)="+",LEFT(UPPER($EI592),1)="-"),999),"E+","E"),"E-","E"),"+",""),"-","")),LEN(UPPER($EI592))-LEN(SUBSTITUTE(UPPER($EI592),"E",""))&lt;2,LEN(UPPER($EI592))-LEN(SUBSTITUTE(UPPER($EI592),".",""))&lt;2,IFERROR(FIND(".",UPPER($EI592)),0)&lt;IFERROR(FIND("E",UPPER($EI592)),999)),ISNUMBER(VALUE($EI592)))),1,2)))</f>
        <v/>
      </c>
      <c r="EK592">
        <f>IF($DM592=0,"",IF($EJ592=1,IF(ISNUMBER($EI592),$EI592,VALUE($EI592)),IF($EJ592=2,$DE592,0)))</f>
        <v/>
      </c>
      <c r="EL592">
        <f>IF($DM592=0,"",COUNTIF($EG$5:$EG$1003,"&lt;"&amp;$EG592)+SUMPRODUCT(($EG$5:$EG$1003=$EG592)*(($EJ$5:$EJ$1003&lt;$EJ592)+($EJ$5:$EJ$1003=$EJ592)*(($EK$5:$EK$1003&lt;$EK592)+($EK$5:$EK$1003=$EK592)*($DE$5:$DE$1003&lt;$DE592))))+1)</f>
        <v/>
      </c>
      <c r="EM592">
        <f>IF($DM592=0,"",$EL592+$EG592-1)</f>
        <v/>
      </c>
      <c r="EN592">
        <f>IF($DM592=0,0,IFERROR(MATCH(1,INDEX(--(TRIM(SUBSTITUTE(SUBSTITUTE(SUBSTITUTE(SUBSTITUTE(LINES_NAME&amp;""," "," "),CHAR(9)," "),CHAR(10)," "),CHAR(13)," "))=$DH592),0),0),0))</f>
        <v/>
      </c>
      <c r="EO592">
        <f>IF($EN592=0,0,IF(OR(UPPER(TRIM(INDEX(LINES_SCHEDULED,$EN592)&amp;""))="YES",UPPER(TRIM(INDEX(LINES_SCHEDULED,$EN592)&amp;""))="Y",UPPER(TRIM(INDEX(LINES_SCHEDULED,$EN592)&amp;""))="X"),1,0))</f>
        <v/>
      </c>
      <c r="EP592">
        <f>IF($DM592=0,"",IF(COUNTIFS($EG$5:$EG$1003,$EG592,$EB$5:$EB$1003,"Ready")&gt;0,"READY",IF(COUNTIFS($EG$5:$EG$1003,$EG592,$EB$5:$EB$1003,"PM")&gt;0,"PM",IF(COUNTIFS($EG$5:$EG$1003,$EG592,$EB$5:$EB$1003,"OT")&gt;0,"OT",""))))</f>
        <v/>
      </c>
      <c r="EQ592">
        <f>IF($EN592=0,"",UPPER(TRIM(INDEX(LINES_STATUS,$EN592)&amp;"")))</f>
        <v/>
      </c>
      <c r="ER592">
        <f>IF($DM592=0,"",IF(OR($EQ592="READY",$EQ592="PM",$EQ592="OT"),$EQ592,$EP592))</f>
        <v/>
      </c>
      <c r="ES592">
        <f>IF($DM592=0,"",IF(AND($DV592&lt;&gt;"",UPPER($DV592)&lt;&gt;"N"),"allergen",IF(ISNUMBER(SEARCH("oil",$DQ592)),"oil",IF(OR(EXACT($DS592,"A662"),EXACT($DS592,"A624")),"bulk",""))))</f>
        <v/>
      </c>
      <c r="ET592">
        <f>IF($DM592=0,"",IF(OR($EA592="",$EA592=0),"",$EA592/100))</f>
        <v/>
      </c>
      <c r="EU592">
        <f>IF(OR($ET592="",$DY592=""),"",INT($DY592*(1-$ET592)+0.5))</f>
        <v/>
      </c>
      <c r="EW592" t="n">
        <v>588</v>
      </c>
      <c r="EX592">
        <f>IFERROR(MATCH($EW592,$EM$5:$EM$1003,0),0)</f>
        <v/>
      </c>
      <c r="EY592">
        <f>IF($EW592&gt;$B$12,"",IF($EX592&gt;0,"row","spacer"))</f>
        <v/>
      </c>
      <c r="EZ592">
        <f>IF(AND($EY592="row",$EY591&lt;&gt;"row"),1,0)</f>
        <v/>
      </c>
      <c r="FA592">
        <f>IF(AND($EY592="row",$EY593&lt;&gt;"row"),1,0)</f>
        <v/>
      </c>
      <c r="FB592">
        <f>IF($EZ592=1,IFERROR(IF(ISNUMBER(INDEX(PASTE_ALL,INDEX($DF$5:$DF$1003,$EX592),$B$37)),INDEX(PASTE_ALL,INDEX($DF$5:$DF$1003,$EX592),$B$37),INDEX($DH$5:$DH$1003,$EX592)),INDEX($DH$5:$DH$1003,$EX592)),"")</f>
        <v/>
      </c>
      <c r="FC592">
        <f>IF($EY592="row",INDEX($ER$5:$ER$1003,$EX592),"")</f>
        <v/>
      </c>
      <c r="FD592">
        <f>IF($EY592="row",INDEX($DN$5:$DN$1003,$EX592),"")</f>
        <v/>
      </c>
      <c r="FE592">
        <f>IF($EY592="row",INDEX($DO$5:$DO$1003,$EX592),"")</f>
        <v/>
      </c>
      <c r="FF592">
        <f>IF($EY592="row",INDEX($DP$5:$DP$1003,$EX592),"")</f>
        <v/>
      </c>
      <c r="FG592">
        <f>IF($EY592="row",INDEX($DQ$5:$DQ$1003,$EX592),"")</f>
        <v/>
      </c>
      <c r="FH592">
        <f>IF($EY592="row",INDEX($DR$5:$DR$1003,$EX592),"")</f>
        <v/>
      </c>
      <c r="FI592">
        <f>IF($EY592="row",INDEX($DS$5:$DS$1003,$EX592),"")</f>
        <v/>
      </c>
      <c r="FJ592">
        <f>IF($EY592="row",INDEX($DT$5:$DT$1003,$EX592),"")</f>
        <v/>
      </c>
      <c r="FK592">
        <f>IF($EY592="row",INDEX($DU$5:$DU$1003,$EX592),"")</f>
        <v/>
      </c>
      <c r="FL592">
        <f>IF($EY592="row",INDEX($DV$5:$DV$1003,$EX592),"")</f>
        <v/>
      </c>
      <c r="FM592">
        <f>IF($EY592="row",INDEX($DW$5:$DW$1003,$EX592),"")</f>
        <v/>
      </c>
      <c r="FN592">
        <f>IF($EY592="row",INDEX($DY$5:$DY$1003,$EX592),"")</f>
        <v/>
      </c>
      <c r="FO592">
        <f>IF($EY592="row",INDEX($EA$5:$EA$1003,$EX592),"")</f>
        <v/>
      </c>
      <c r="FP592">
        <f>IF($EY592="row",INDEX($EC$5:$EC$1003,$EX592),"")</f>
        <v/>
      </c>
      <c r="FQ592">
        <f>IF($EY592="row",INDEX($ET$5:$ET$1003,$EX592),"")</f>
        <v/>
      </c>
      <c r="FR592">
        <f>IF($EY592="row",INDEX($EU$5:$EU$1003,$EX592),"")</f>
        <v/>
      </c>
      <c r="FS592">
        <f>IF(AND($EY592="row",$EY591="row"),IF(OR(INDEX($DT$5:$DT$1003,$EX591)="",INDEX($DT$5:$DT$1003,$EX592)=""),"",IF(NOT(EXACT(INDEX($DT$5:$DT$1003,$EX591),INDEX($DT$5:$DT$1003,$EX592))),"S4",IF(NOT(EXACT(INDEX($DS$5:$DS$1003,$EX591),INDEX($DS$5:$DS$1003,$EX592))),"S3",IF(NOT(EXACT(INDEX($DR$5:$DR$1003,$EX591),INDEX($DR$5:$DR$1003,$EX592))),"S1 Count Change","S1")))),"")</f>
        <v/>
      </c>
      <c r="FT592">
        <f>IF($EY592="row",INDEX($ES$5:$ES$1003,$EX592),"")</f>
        <v/>
      </c>
      <c r="FU592">
        <f>IF($EY592="row",INDEX($EO$5:$EO$1003,$EX592),0)</f>
        <v/>
      </c>
      <c r="FV592">
        <f>IF($FS592="S1 Count Change",1,0)</f>
        <v/>
      </c>
    </row>
    <row r="593">
      <c r="DA593" t="n">
        <v>589</v>
      </c>
      <c r="DB593">
        <f>IF($B$37=0,"",IFERROR(TRIM(SUBSTITUTE(SUBSTITUTE(SUBSTITUTE(SUBSTITUTE(INDEX(PASTE_ALL,589,$B$37)," "," "),CHAR(9)," "),CHAR(10)," "),CHAR(13)," ")),""))</f>
        <v/>
      </c>
      <c r="DC593">
        <f>IF(AND(589&gt;HEADER_ROW,UPPER(DB593)="LEGEND"),1,0)</f>
        <v/>
      </c>
      <c r="DE593" t="n">
        <v>589</v>
      </c>
      <c r="DF593">
        <f>HEADER_ROW+$DE593</f>
        <v/>
      </c>
      <c r="DG593">
        <f>IF(AND($DF593&lt;=1000,$DF593&lt;$B$8),1,0)</f>
        <v/>
      </c>
      <c r="DH593">
        <f>IF($DG593=1,IFERROR(INDEX($DB$5:$DB$1004,$DF593),""),"")</f>
        <v/>
      </c>
      <c r="DI593">
        <f>IF(AND($DG593=1,$DH593&lt;&gt;""),IFERROR(SUBSTITUTE(SUBSTITUTE(TRIM(SUBSTITUTE(SUBSTITUTE(SUBSTITUTE(SUBSTITUTE(IFERROR(INDEX(PASTE_ALL,$DF593,1)&amp;"","")&amp;"␟"&amp;IFERROR(INDEX(PASTE_ALL,$DF593,2)&amp;"","")&amp;"␟"&amp;IFERROR(INDEX(PASTE_ALL,$DF593,3)&amp;"","")&amp;"␟"&amp;IFERROR(INDEX(PASTE_ALL,$DF593,4)&amp;"","")&amp;"␟"&amp;IFERROR(INDEX(PASTE_ALL,$DF593,5)&amp;"","")&amp;"␟"&amp;IFERROR(INDEX(PASTE_ALL,$DF593,6)&amp;"","")&amp;"␟"&amp;IFERROR(INDEX(PASTE_ALL,$DF593,7)&amp;"","")&amp;"␟"&amp;IFERROR(INDEX(PASTE_ALL,$DF593,8)&amp;"","")&amp;"␟"&amp;IFERROR(INDEX(PASTE_ALL,$DF593,9)&amp;"","")&amp;"␟"&amp;IFERROR(INDEX(PASTE_ALL,$DF593,10)&amp;"","")&amp;"␟"&amp;IFERROR(INDEX(PASTE_ALL,$DF593,11)&amp;"","")&amp;"␟"&amp;IFERROR(INDEX(PASTE_ALL,$DF593,12)&amp;"","")&amp;"␟"&amp;IFERROR(INDEX(PASTE_ALL,$DF593,13)&amp;"","")&amp;"␟"&amp;IFERROR(INDEX(PASTE_ALL,$DF593,14)&amp;"","")&amp;"␟"&amp;IFERROR(INDEX(PASTE_ALL,$DF593,15)&amp;"","")&amp;"␟"&amp;IFERROR(INDEX(PASTE_ALL,$DF593,16)&amp;"","")&amp;"␟"&amp;IFERROR(INDEX(PASTE_ALL,$DF593,17)&amp;"","")&amp;"␟"&amp;IFERROR(INDEX(PASTE_ALL,$DF593,18)&amp;"","")&amp;"␟"&amp;IFERROR(INDEX(PASTE_ALL,$DF593,19)&amp;"","")&amp;"␟"&amp;IFERROR(INDEX(PASTE_ALL,$DF593,20)&amp;"","")&amp;"␟"&amp;IFERROR(INDEX(PASTE_ALL,$DF593,21)&amp;"","")&amp;"␟"&amp;IFERROR(INDEX(PASTE_ALL,$DF593,22)&amp;"","")&amp;"␟"&amp;IFERROR(INDEX(PASTE_ALL,$DF593,23)&amp;"","")&amp;"␟"&amp;IFERROR(INDEX(PASTE_ALL,$DF593,24)&amp;"","")&amp;"␟"&amp;IFERROR(INDEX(PASTE_ALL,$DF593,25)&amp;"","")&amp;"␟"&amp;IFERROR(INDEX(PASTE_ALL,$DF593,26)&amp;"","")&amp;"␟"&amp;IFERROR(INDEX(PASTE_ALL,$DF593,27)&amp;"","")&amp;"␟"&amp;IFERROR(INDEX(PASTE_ALL,$DF593,28)&amp;"","")&amp;"␟"&amp;IFERROR(INDEX(PASTE_ALL,$DF593,29)&amp;"","")&amp;"␟"&amp;IFERROR(INDEX(PASTE_ALL,$DF593,30)&amp;"","")&amp;"␟"&amp;IFERROR(INDEX(PASTE_ALL,$DF593,31)&amp;"","")&amp;"␟"&amp;IFERROR(INDEX(PASTE_ALL,$DF593,32)&amp;"","")&amp;"␟"&amp;IFERROR(INDEX(PASTE_ALL,$DF593,33)&amp;"","")&amp;"␟"&amp;IFERROR(INDEX(PASTE_ALL,$DF593,34)&amp;"","")&amp;"␟"&amp;IFERROR(INDEX(PASTE_ALL,$DF593,35)&amp;"","")&amp;"␟"&amp;IFERROR(INDEX(PASTE_ALL,$DF593,36)&amp;"","")&amp;"␟"&amp;IFERROR(INDEX(PASTE_ALL,$DF593,37)&amp;"","")&amp;"␟"&amp;IFERROR(INDEX(PASTE_ALL,$DF593,38)&amp;"","")&amp;"␟"&amp;IFERROR(INDEX(PASTE_ALL,$DF593,39)&amp;"","")&amp;"␟"&amp;IFERROR(INDEX(PASTE_ALL,$DF593,40)&amp;"","")&amp;"␟"&amp;IFERROR(INDEX(PASTE_ALL,$DF593,41)&amp;"","")&amp;"␟"&amp;IFERROR(INDEX(PASTE_ALL,$DF593,42)&amp;"","")&amp;"␟"&amp;IFERROR(INDEX(PASTE_ALL,$DF593,43)&amp;"","")&amp;"␟"&amp;IFERROR(INDEX(PASTE_ALL,$DF593,44)&amp;"","")&amp;"␟"&amp;IFERROR(INDEX(PASTE_ALL,$DF593,45)&amp;"","")&amp;"␟"&amp;IFERROR(INDEX(PASTE_ALL,$DF593,46)&amp;"","")&amp;"␟"&amp;IFERROR(INDEX(PASTE_ALL,$DF593,47)&amp;"","")&amp;"␟"&amp;IFERROR(INDEX(PASTE_ALL,$DF593,48)&amp;"","")&amp;"␟"&amp;IFERROR(INDEX(PASTE_ALL,$DF593,49)&amp;"","")&amp;"␟"&amp;IFERROR(INDEX(PASTE_ALL,$DF593,50)&amp;"","")&amp;"␟"&amp;IFERROR(INDEX(PASTE_ALL,$DF593,51)&amp;"","")&amp;"␟"&amp;IFERROR(INDEX(PASTE_ALL,$DF593,52)&amp;"","")&amp;"␟"&amp;IFERROR(INDEX(PASTE_ALL,$DF593,53)&amp;"","")&amp;"␟"&amp;IFERROR(INDEX(PASTE_ALL,$DF593,54)&amp;"","")&amp;"␟"&amp;IFERROR(INDEX(PASTE_ALL,$DF593,55)&amp;"","")&amp;"␟"&amp;IFERROR(INDEX(PASTE_ALL,$DF593,56)&amp;"","")&amp;"␟"&amp;IFERROR(INDEX(PASTE_ALL,$DF593,57)&amp;"","")&amp;"␟"&amp;IFERROR(INDEX(PASTE_ALL,$DF593,58)&amp;"","")&amp;"␟"&amp;IFERROR(INDEX(PASTE_ALL,$DF593,59)&amp;"","")&amp;"␟"&amp;IFERROR(INDEX(PASTE_ALL,$DF593,60)&amp;"","")," "," "),CHAR(9)," "),CHAR(10)," "),CHAR(13)," "))," ␟","␟"),"␟ ","␟"),"#"&amp;$DE593),"")</f>
        <v/>
      </c>
      <c r="DJ593">
        <f>IF($DI593="",0,IF(SUMPRODUCT(--EXACT($DI$4:DI592,$DI593))&gt;0,1,0))</f>
        <v/>
      </c>
      <c r="DK593">
        <f>IF(AND($DI593&lt;&gt;"",$DJ593=0),1,0)</f>
        <v/>
      </c>
      <c r="DL593">
        <f>DL592+$DK593</f>
        <v/>
      </c>
      <c r="DM593">
        <f>IF(AND($DK593=1,$DL593&lt;=600),1,0)</f>
        <v/>
      </c>
      <c r="DN593">
        <f>IF($DM593=0,"",IF($L$6=0,"",IFERROR(IF(ISNUMBER(INDEX(PASTE_ALL,$DF593,$L$6)),INDEX(PASTE_ALL,$DF593,$L$6),TRIM(SUBSTITUTE(SUBSTITUTE(SUBSTITUTE(SUBSTITUTE(INDEX(PASTE_ALL,$DF593,$L$6)," "," "),CHAR(9)," "),CHAR(10)," "),CHAR(13)," "))),"")))</f>
        <v/>
      </c>
      <c r="DO593">
        <f>IF($DM593=0,"",IF($L$7=0,"",IFERROR(IF(ISNUMBER(INDEX(PASTE_ALL,$DF593,$L$7)),INDEX(PASTE_ALL,$DF593,$L$7),TRIM(SUBSTITUTE(SUBSTITUTE(SUBSTITUTE(SUBSTITUTE(INDEX(PASTE_ALL,$DF593,$L$7)," "," "),CHAR(9)," "),CHAR(10)," "),CHAR(13)," "))),"")))</f>
        <v/>
      </c>
      <c r="DP593">
        <f>IF($DM593=0,"",IF($L$8=0,"",IFERROR(IF(ISNUMBER(INDEX(PASTE_ALL,$DF593,$L$8)),INDEX(PASTE_ALL,$DF593,$L$8),TRIM(SUBSTITUTE(SUBSTITUTE(SUBSTITUTE(SUBSTITUTE(INDEX(PASTE_ALL,$DF593,$L$8)," "," "),CHAR(9)," "),CHAR(10)," "),CHAR(13)," "))),"")))</f>
        <v/>
      </c>
      <c r="DQ593">
        <f>IF($DM593=0,"",IF($L$9=0,"",IFERROR(IF(ISNUMBER(INDEX(PASTE_ALL,$DF593,$L$9)),INDEX(PASTE_ALL,$DF593,$L$9),TRIM(SUBSTITUTE(SUBSTITUTE(SUBSTITUTE(SUBSTITUTE(INDEX(PASTE_ALL,$DF593,$L$9)," "," "),CHAR(9)," "),CHAR(10)," "),CHAR(13)," "))),"")))</f>
        <v/>
      </c>
      <c r="DR593">
        <f>IF($DM593=0,"",IF($L$10=0,"",IFERROR(IF(ISNUMBER(INDEX(PASTE_ALL,$DF593,$L$10)),INDEX(PASTE_ALL,$DF593,$L$10),TRIM(SUBSTITUTE(SUBSTITUTE(SUBSTITUTE(SUBSTITUTE(INDEX(PASTE_ALL,$DF593,$L$10)," "," "),CHAR(9)," "),CHAR(10)," "),CHAR(13)," "))),"")))</f>
        <v/>
      </c>
      <c r="DS593">
        <f>IF($DM593=0,"",IF($L$11=0,"",IFERROR(IF(ISNUMBER(INDEX(PASTE_ALL,$DF593,$L$11)),INDEX(PASTE_ALL,$DF593,$L$11),TRIM(SUBSTITUTE(SUBSTITUTE(SUBSTITUTE(SUBSTITUTE(INDEX(PASTE_ALL,$DF593,$L$11)," "," "),CHAR(9)," "),CHAR(10)," "),CHAR(13)," "))),"")))</f>
        <v/>
      </c>
      <c r="DT593">
        <f>IF($DM593=0,"",IF($L$12=0,"",IFERROR(IF(ISNUMBER(INDEX(PASTE_ALL,$DF593,$L$12)),INDEX(PASTE_ALL,$DF593,$L$12),TRIM(SUBSTITUTE(SUBSTITUTE(SUBSTITUTE(SUBSTITUTE(INDEX(PASTE_ALL,$DF593,$L$12)," "," "),CHAR(9)," "),CHAR(10)," "),CHAR(13)," "))),"")))</f>
        <v/>
      </c>
      <c r="DU593">
        <f>IF($DM593=0,"",IF($L$13=0,"",IFERROR(IF(ISNUMBER(INDEX(PASTE_ALL,$DF593,$L$13)),INDEX(PASTE_ALL,$DF593,$L$13),TRIM(SUBSTITUTE(SUBSTITUTE(SUBSTITUTE(SUBSTITUTE(INDEX(PASTE_ALL,$DF593,$L$13)," "," "),CHAR(9)," "),CHAR(10)," "),CHAR(13)," "))),"")))</f>
        <v/>
      </c>
      <c r="DV593">
        <f>IF($DM593=0,"",IF($L$14=0,"",IFERROR(IF(ISNUMBER(INDEX(PASTE_ALL,$DF593,$L$14)),INDEX(PASTE_ALL,$DF593,$L$14),TRIM(SUBSTITUTE(SUBSTITUTE(SUBSTITUTE(SUBSTITUTE(INDEX(PASTE_ALL,$DF593,$L$14)," "," "),CHAR(9)," "),CHAR(10)," "),CHAR(13)," "))),"")))</f>
        <v/>
      </c>
      <c r="DW593">
        <f>IF($DM593=0,"",IF($L$15=0,"",IFERROR(IF(ISNUMBER(INDEX(PASTE_ALL,$DF593,$L$15)),INDEX(PASTE_ALL,$DF593,$L$15),IF(SUMPRODUCT(--ISNUMBER(FIND({"A","B","C","D","E","F","G","H","I","J","K","L","M","N","O","P","Q","R","S","T","U","V","W","X","Y","Z","0","1","2","3","4","5","6","7","8","9"},UPPER(TRIM(SUBSTITUTE(SUBSTITUTE(SUBSTITUTE(SUBSTITUTE(INDEX(PASTE_ALL,$DF593,$L$15)," "," "),CHAR(9)," "),CHAR(10)," "),CHAR(13)," "))))))&gt;0,TRIM(SUBSTITUTE(SUBSTITUTE(SUBSTITUTE(SUBSTITUTE(INDEX(PASTE_ALL,$DF593,$L$15)," "," "),CHAR(9)," "),CHAR(10)," "),CHAR(13)," ")),"")),"")))</f>
        <v/>
      </c>
      <c r="DX593">
        <f>IF($DM593=0,"",IF($L$16=0,"",IFERROR(IF(ISNUMBER(INDEX(PASTE_ALL,$DF593,$L$16)),INDEX(PASTE_ALL,$DF593,$L$16),SUBSTITUTE(SUBSTITUTE(TRIM(SUBSTITUTE(SUBSTITUTE(SUBSTITUTE(SUBSTITUTE(INDEX(PASTE_ALL,$DF593,$L$16)," "," "),CHAR(9)," "),CHAR(10)," "),CHAR(13)," ")),",",""),"%","")),"")))</f>
        <v/>
      </c>
      <c r="DY593">
        <f>IF($DM593=0,"",IFERROR(IF(ISNUMBER($DX593),$DX593,IF($DX593="","",IF(TRIM($DX593)="",0,IF(AND(AND(SUBSTITUTE(SUBSTITUTE(SUBSTITUTE(SUBSTITUTE(SUBSTITUTE(SUBSTITUTE(SUBSTITUTE(SUBSTITUTE(SUBSTITUTE(SUBSTITUTE(SUBSTITUTE(SUBSTITUTE(SUBSTITUTE(SUBSTITUTE(UPPER(TRIM($DX593)),"0",""),"1",""),"2",""),"3",""),"4",""),"5",""),"6",""),"7",""),"8",""),"9",""),".",""),"+",""),"-",""),"E","")="",LEN(SUBSTITUTE(SUBSTITUTE(MID(UPPER(TRIM($DX593)),1+OR(LEFT(UPPER(TRIM($DX593)),1)="+",LEFT(UPPER(TRIM($DX593)),1)="-"),999),"E+","E"),"E-","E"))=LEN(SUBSTITUTE(SUBSTITUTE(SUBSTITUTE(SUBSTITUTE(MID(UPPER(TRIM($DX593)),1+OR(LEFT(UPPER(TRIM($DX593)),1)="+",LEFT(UPPER(TRIM($DX593)),1)="-"),999),"E+","E"),"E-","E"),"+",""),"-","")),LEN(UPPER(TRIM($DX593)))-LEN(SUBSTITUTE(UPPER(TRIM($DX593)),"E",""))&lt;2,LEN(UPPER(TRIM($DX593)))-LEN(SUBSTITUTE(UPPER(TRIM($DX593)),".",""))&lt;2,IFERROR(FIND(".",UPPER(TRIM($DX593))),0)&lt;IFERROR(FIND("E",UPPER(TRIM($DX593))),999)),ISNUMBER(VALUE(TRIM($DX593)))),VALUE(TRIM($DX593)),"")))),""))</f>
        <v/>
      </c>
      <c r="DZ593">
        <f>IF($DM593=0,"",IF($L$17=0,"",IFERROR(IF(ISNUMBER(INDEX(PASTE_ALL,$DF593,$L$17)),INDEX(PASTE_ALL,$DF593,$L$17),SUBSTITUTE(SUBSTITUTE(TRIM(SUBSTITUTE(SUBSTITUTE(SUBSTITUTE(SUBSTITUTE(INDEX(PASTE_ALL,$DF593,$L$17)," "," "),CHAR(9)," "),CHAR(10)," "),CHAR(13)," ")),",",""),"%","")),"")))</f>
        <v/>
      </c>
      <c r="EA593">
        <f>IF($DM593=0,"",IFERROR(IF(ISNUMBER($DZ593),$DZ593,IF($DZ593="","",IF(TRIM($DZ593)="",0,IF(AND(AND(SUBSTITUTE(SUBSTITUTE(SUBSTITUTE(SUBSTITUTE(SUBSTITUTE(SUBSTITUTE(SUBSTITUTE(SUBSTITUTE(SUBSTITUTE(SUBSTITUTE(SUBSTITUTE(SUBSTITUTE(SUBSTITUTE(SUBSTITUTE(UPPER(TRIM($DZ593)),"0",""),"1",""),"2",""),"3",""),"4",""),"5",""),"6",""),"7",""),"8",""),"9",""),".",""),"+",""),"-",""),"E","")="",LEN(SUBSTITUTE(SUBSTITUTE(MID(UPPER(TRIM($DZ593)),1+OR(LEFT(UPPER(TRIM($DZ593)),1)="+",LEFT(UPPER(TRIM($DZ593)),1)="-"),999),"E+","E"),"E-","E"))=LEN(SUBSTITUTE(SUBSTITUTE(SUBSTITUTE(SUBSTITUTE(MID(UPPER(TRIM($DZ593)),1+OR(LEFT(UPPER(TRIM($DZ593)),1)="+",LEFT(UPPER(TRIM($DZ593)),1)="-"),999),"E+","E"),"E-","E"),"+",""),"-","")),LEN(UPPER(TRIM($DZ593)))-LEN(SUBSTITUTE(UPPER(TRIM($DZ593)),"E",""))&lt;2,LEN(UPPER(TRIM($DZ593)))-LEN(SUBSTITUTE(UPPER(TRIM($DZ593)),".",""))&lt;2,IFERROR(FIND(".",UPPER(TRIM($DZ593))),0)&lt;IFERROR(FIND("E",UPPER(TRIM($DZ593))),999)),ISNUMBER(VALUE(TRIM($DZ593)))),VALUE(TRIM($DZ593)),"")))),""))</f>
        <v/>
      </c>
      <c r="EB593">
        <f>IF($DM593=0,"",IF($L$18=0,"",IFERROR(IF(UPPER(TRIM(SUBSTITUTE(SUBSTITUTE(SUBSTITUTE(SUBSTITUTE(INDEX(PASTE_ALL,$DF593,$L$18)," "," "),CHAR(9)," "),CHAR(10)," "),CHAR(13)," ")))="READY","Ready",IF(UPPER(TRIM(SUBSTITUTE(SUBSTITUTE(SUBSTITUTE(SUBSTITUTE(INDEX(PASTE_ALL,$DF593,$L$18)," "," "),CHAR(9)," "),CHAR(10)," "),CHAR(13)," ")))="PM","PM",IF(OR(UPPER(TRIM(SUBSTITUTE(SUBSTITUTE(SUBSTITUTE(SUBSTITUTE(INDEX(PASTE_ALL,$DF593,$L$18)," "," "),CHAR(9)," "),CHAR(10)," "),CHAR(13)," ")))="OT",UPPER(TRIM(SUBSTITUTE(SUBSTITUTE(SUBSTITUTE(SUBSTITUTE(INDEX(PASTE_ALL,$DF593,$L$18)," "," "),CHAR(9)," "),CHAR(10)," "),CHAR(13)," ")))="OVERTIME",UPPER(TRIM(SUBSTITUTE(SUBSTITUTE(SUBSTITUTE(SUBSTITUTE(INDEX(PASTE_ALL,$DF593,$L$18)," "," "),CHAR(9)," "),CHAR(10)," "),CHAR(13)," ")))="TRIAL"),"OT",TRIM(SUBSTITUTE(SUBSTITUTE(SUBSTITUTE(SUBSTITUTE(INDEX(PASTE_ALL,$DF593,$L$18)," "," "),CHAR(9)," "),CHAR(10)," "),CHAR(13)," "))))),"")))</f>
        <v/>
      </c>
      <c r="EC593">
        <f>IF($DM593=0,"",IF($L$19=0,"",IFERROR(IF(ISNUMBER(INDEX(PASTE_ALL,$DF593,$L$19)),INDEX(PASTE_ALL,$DF593,$L$19),TRIM(SUBSTITUTE(SUBSTITUTE(SUBSTITUTE(SUBSTITUTE(INDEX(PASTE_ALL,$DF593,$L$19)," "," "),CHAR(9)," "),CHAR(10)," "),CHAR(13)," "))),"")))</f>
        <v/>
      </c>
      <c r="ED593">
        <f>IF($DM593=0,"",MATCH(1,INDEX(EXACT($DH$5:DH593,$DH593)*$DM$5:DM593,0),0))</f>
        <v/>
      </c>
      <c r="EE593">
        <f>IF($DM593=0,0,IF($ED593=$DE593,1,0))</f>
        <v/>
      </c>
      <c r="EF593">
        <f>EF592+$EE593</f>
        <v/>
      </c>
      <c r="EG593">
        <f>IF($DM593=0,"",INDEX($EF$5:$EF$1003,$ED593))</f>
        <v/>
      </c>
      <c r="EH593">
        <f>IF($DM593=0,"",IF($DO593&lt;&gt;"","",IFERROR(LOOKUP(2,1/(($EG$4:EG592=$EG593)*($DO$4:DO592&lt;&gt;"")),$DO$4:DO592),"")))</f>
        <v/>
      </c>
      <c r="EI593">
        <f>IF($DM593=0,"",IF($DO593&lt;&gt;"",$DO593,$EH593))</f>
        <v/>
      </c>
      <c r="EJ593">
        <f>IF($DM593=0,"",IF($EI593="",0,IF(OR(ISNUMBER($EI593),AND(AND(SUBSTITUTE(SUBSTITUTE(SUBSTITUTE(SUBSTITUTE(SUBSTITUTE(SUBSTITUTE(SUBSTITUTE(SUBSTITUTE(SUBSTITUTE(SUBSTITUTE(SUBSTITUTE(SUBSTITUTE(SUBSTITUTE(SUBSTITUTE(UPPER($EI593),"0",""),"1",""),"2",""),"3",""),"4",""),"5",""),"6",""),"7",""),"8",""),"9",""),".",""),"+",""),"-",""),"E","")="",LEN(SUBSTITUTE(SUBSTITUTE(MID(UPPER($EI593),1+OR(LEFT(UPPER($EI593),1)="+",LEFT(UPPER($EI593),1)="-"),999),"E+","E"),"E-","E"))=LEN(SUBSTITUTE(SUBSTITUTE(SUBSTITUTE(SUBSTITUTE(MID(UPPER($EI593),1+OR(LEFT(UPPER($EI593),1)="+",LEFT(UPPER($EI593),1)="-"),999),"E+","E"),"E-","E"),"+",""),"-","")),LEN(UPPER($EI593))-LEN(SUBSTITUTE(UPPER($EI593),"E",""))&lt;2,LEN(UPPER($EI593))-LEN(SUBSTITUTE(UPPER($EI593),".",""))&lt;2,IFERROR(FIND(".",UPPER($EI593)),0)&lt;IFERROR(FIND("E",UPPER($EI593)),999)),ISNUMBER(VALUE($EI593)))),1,2)))</f>
        <v/>
      </c>
      <c r="EK593">
        <f>IF($DM593=0,"",IF($EJ593=1,IF(ISNUMBER($EI593),$EI593,VALUE($EI593)),IF($EJ593=2,$DE593,0)))</f>
        <v/>
      </c>
      <c r="EL593">
        <f>IF($DM593=0,"",COUNTIF($EG$5:$EG$1003,"&lt;"&amp;$EG593)+SUMPRODUCT(($EG$5:$EG$1003=$EG593)*(($EJ$5:$EJ$1003&lt;$EJ593)+($EJ$5:$EJ$1003=$EJ593)*(($EK$5:$EK$1003&lt;$EK593)+($EK$5:$EK$1003=$EK593)*($DE$5:$DE$1003&lt;$DE593))))+1)</f>
        <v/>
      </c>
      <c r="EM593">
        <f>IF($DM593=0,"",$EL593+$EG593-1)</f>
        <v/>
      </c>
      <c r="EN593">
        <f>IF($DM593=0,0,IFERROR(MATCH(1,INDEX(--(TRIM(SUBSTITUTE(SUBSTITUTE(SUBSTITUTE(SUBSTITUTE(LINES_NAME&amp;""," "," "),CHAR(9)," "),CHAR(10)," "),CHAR(13)," "))=$DH593),0),0),0))</f>
        <v/>
      </c>
      <c r="EO593">
        <f>IF($EN593=0,0,IF(OR(UPPER(TRIM(INDEX(LINES_SCHEDULED,$EN593)&amp;""))="YES",UPPER(TRIM(INDEX(LINES_SCHEDULED,$EN593)&amp;""))="Y",UPPER(TRIM(INDEX(LINES_SCHEDULED,$EN593)&amp;""))="X"),1,0))</f>
        <v/>
      </c>
      <c r="EP593">
        <f>IF($DM593=0,"",IF(COUNTIFS($EG$5:$EG$1003,$EG593,$EB$5:$EB$1003,"Ready")&gt;0,"READY",IF(COUNTIFS($EG$5:$EG$1003,$EG593,$EB$5:$EB$1003,"PM")&gt;0,"PM",IF(COUNTIFS($EG$5:$EG$1003,$EG593,$EB$5:$EB$1003,"OT")&gt;0,"OT",""))))</f>
        <v/>
      </c>
      <c r="EQ593">
        <f>IF($EN593=0,"",UPPER(TRIM(INDEX(LINES_STATUS,$EN593)&amp;"")))</f>
        <v/>
      </c>
      <c r="ER593">
        <f>IF($DM593=0,"",IF(OR($EQ593="READY",$EQ593="PM",$EQ593="OT"),$EQ593,$EP593))</f>
        <v/>
      </c>
      <c r="ES593">
        <f>IF($DM593=0,"",IF(AND($DV593&lt;&gt;"",UPPER($DV593)&lt;&gt;"N"),"allergen",IF(ISNUMBER(SEARCH("oil",$DQ593)),"oil",IF(OR(EXACT($DS593,"A662"),EXACT($DS593,"A624")),"bulk",""))))</f>
        <v/>
      </c>
      <c r="ET593">
        <f>IF($DM593=0,"",IF(OR($EA593="",$EA593=0),"",$EA593/100))</f>
        <v/>
      </c>
      <c r="EU593">
        <f>IF(OR($ET593="",$DY593=""),"",INT($DY593*(1-$ET593)+0.5))</f>
        <v/>
      </c>
      <c r="EW593" t="n">
        <v>589</v>
      </c>
      <c r="EX593">
        <f>IFERROR(MATCH($EW593,$EM$5:$EM$1003,0),0)</f>
        <v/>
      </c>
      <c r="EY593">
        <f>IF($EW593&gt;$B$12,"",IF($EX593&gt;0,"row","spacer"))</f>
        <v/>
      </c>
      <c r="EZ593">
        <f>IF(AND($EY593="row",$EY592&lt;&gt;"row"),1,0)</f>
        <v/>
      </c>
      <c r="FA593">
        <f>IF(AND($EY593="row",$EY594&lt;&gt;"row"),1,0)</f>
        <v/>
      </c>
      <c r="FB593">
        <f>IF($EZ593=1,IFERROR(IF(ISNUMBER(INDEX(PASTE_ALL,INDEX($DF$5:$DF$1003,$EX593),$B$37)),INDEX(PASTE_ALL,INDEX($DF$5:$DF$1003,$EX593),$B$37),INDEX($DH$5:$DH$1003,$EX593)),INDEX($DH$5:$DH$1003,$EX593)),"")</f>
        <v/>
      </c>
      <c r="FC593">
        <f>IF($EY593="row",INDEX($ER$5:$ER$1003,$EX593),"")</f>
        <v/>
      </c>
      <c r="FD593">
        <f>IF($EY593="row",INDEX($DN$5:$DN$1003,$EX593),"")</f>
        <v/>
      </c>
      <c r="FE593">
        <f>IF($EY593="row",INDEX($DO$5:$DO$1003,$EX593),"")</f>
        <v/>
      </c>
      <c r="FF593">
        <f>IF($EY593="row",INDEX($DP$5:$DP$1003,$EX593),"")</f>
        <v/>
      </c>
      <c r="FG593">
        <f>IF($EY593="row",INDEX($DQ$5:$DQ$1003,$EX593),"")</f>
        <v/>
      </c>
      <c r="FH593">
        <f>IF($EY593="row",INDEX($DR$5:$DR$1003,$EX593),"")</f>
        <v/>
      </c>
      <c r="FI593">
        <f>IF($EY593="row",INDEX($DS$5:$DS$1003,$EX593),"")</f>
        <v/>
      </c>
      <c r="FJ593">
        <f>IF($EY593="row",INDEX($DT$5:$DT$1003,$EX593),"")</f>
        <v/>
      </c>
      <c r="FK593">
        <f>IF($EY593="row",INDEX($DU$5:$DU$1003,$EX593),"")</f>
        <v/>
      </c>
      <c r="FL593">
        <f>IF($EY593="row",INDEX($DV$5:$DV$1003,$EX593),"")</f>
        <v/>
      </c>
      <c r="FM593">
        <f>IF($EY593="row",INDEX($DW$5:$DW$1003,$EX593),"")</f>
        <v/>
      </c>
      <c r="FN593">
        <f>IF($EY593="row",INDEX($DY$5:$DY$1003,$EX593),"")</f>
        <v/>
      </c>
      <c r="FO593">
        <f>IF($EY593="row",INDEX($EA$5:$EA$1003,$EX593),"")</f>
        <v/>
      </c>
      <c r="FP593">
        <f>IF($EY593="row",INDEX($EC$5:$EC$1003,$EX593),"")</f>
        <v/>
      </c>
      <c r="FQ593">
        <f>IF($EY593="row",INDEX($ET$5:$ET$1003,$EX593),"")</f>
        <v/>
      </c>
      <c r="FR593">
        <f>IF($EY593="row",INDEX($EU$5:$EU$1003,$EX593),"")</f>
        <v/>
      </c>
      <c r="FS593">
        <f>IF(AND($EY593="row",$EY592="row"),IF(OR(INDEX($DT$5:$DT$1003,$EX592)="",INDEX($DT$5:$DT$1003,$EX593)=""),"",IF(NOT(EXACT(INDEX($DT$5:$DT$1003,$EX592),INDEX($DT$5:$DT$1003,$EX593))),"S4",IF(NOT(EXACT(INDEX($DS$5:$DS$1003,$EX592),INDEX($DS$5:$DS$1003,$EX593))),"S3",IF(NOT(EXACT(INDEX($DR$5:$DR$1003,$EX592),INDEX($DR$5:$DR$1003,$EX593))),"S1 Count Change","S1")))),"")</f>
        <v/>
      </c>
      <c r="FT593">
        <f>IF($EY593="row",INDEX($ES$5:$ES$1003,$EX593),"")</f>
        <v/>
      </c>
      <c r="FU593">
        <f>IF($EY593="row",INDEX($EO$5:$EO$1003,$EX593),0)</f>
        <v/>
      </c>
      <c r="FV593">
        <f>IF($FS593="S1 Count Change",1,0)</f>
        <v/>
      </c>
    </row>
    <row r="594">
      <c r="DA594" t="n">
        <v>590</v>
      </c>
      <c r="DB594">
        <f>IF($B$37=0,"",IFERROR(TRIM(SUBSTITUTE(SUBSTITUTE(SUBSTITUTE(SUBSTITUTE(INDEX(PASTE_ALL,590,$B$37)," "," "),CHAR(9)," "),CHAR(10)," "),CHAR(13)," ")),""))</f>
        <v/>
      </c>
      <c r="DC594">
        <f>IF(AND(590&gt;HEADER_ROW,UPPER(DB594)="LEGEND"),1,0)</f>
        <v/>
      </c>
      <c r="DE594" t="n">
        <v>590</v>
      </c>
      <c r="DF594">
        <f>HEADER_ROW+$DE594</f>
        <v/>
      </c>
      <c r="DG594">
        <f>IF(AND($DF594&lt;=1000,$DF594&lt;$B$8),1,0)</f>
        <v/>
      </c>
      <c r="DH594">
        <f>IF($DG594=1,IFERROR(INDEX($DB$5:$DB$1004,$DF594),""),"")</f>
        <v/>
      </c>
      <c r="DI594">
        <f>IF(AND($DG594=1,$DH594&lt;&gt;""),IFERROR(SUBSTITUTE(SUBSTITUTE(TRIM(SUBSTITUTE(SUBSTITUTE(SUBSTITUTE(SUBSTITUTE(IFERROR(INDEX(PASTE_ALL,$DF594,1)&amp;"","")&amp;"␟"&amp;IFERROR(INDEX(PASTE_ALL,$DF594,2)&amp;"","")&amp;"␟"&amp;IFERROR(INDEX(PASTE_ALL,$DF594,3)&amp;"","")&amp;"␟"&amp;IFERROR(INDEX(PASTE_ALL,$DF594,4)&amp;"","")&amp;"␟"&amp;IFERROR(INDEX(PASTE_ALL,$DF594,5)&amp;"","")&amp;"␟"&amp;IFERROR(INDEX(PASTE_ALL,$DF594,6)&amp;"","")&amp;"␟"&amp;IFERROR(INDEX(PASTE_ALL,$DF594,7)&amp;"","")&amp;"␟"&amp;IFERROR(INDEX(PASTE_ALL,$DF594,8)&amp;"","")&amp;"␟"&amp;IFERROR(INDEX(PASTE_ALL,$DF594,9)&amp;"","")&amp;"␟"&amp;IFERROR(INDEX(PASTE_ALL,$DF594,10)&amp;"","")&amp;"␟"&amp;IFERROR(INDEX(PASTE_ALL,$DF594,11)&amp;"","")&amp;"␟"&amp;IFERROR(INDEX(PASTE_ALL,$DF594,12)&amp;"","")&amp;"␟"&amp;IFERROR(INDEX(PASTE_ALL,$DF594,13)&amp;"","")&amp;"␟"&amp;IFERROR(INDEX(PASTE_ALL,$DF594,14)&amp;"","")&amp;"␟"&amp;IFERROR(INDEX(PASTE_ALL,$DF594,15)&amp;"","")&amp;"␟"&amp;IFERROR(INDEX(PASTE_ALL,$DF594,16)&amp;"","")&amp;"␟"&amp;IFERROR(INDEX(PASTE_ALL,$DF594,17)&amp;"","")&amp;"␟"&amp;IFERROR(INDEX(PASTE_ALL,$DF594,18)&amp;"","")&amp;"␟"&amp;IFERROR(INDEX(PASTE_ALL,$DF594,19)&amp;"","")&amp;"␟"&amp;IFERROR(INDEX(PASTE_ALL,$DF594,20)&amp;"","")&amp;"␟"&amp;IFERROR(INDEX(PASTE_ALL,$DF594,21)&amp;"","")&amp;"␟"&amp;IFERROR(INDEX(PASTE_ALL,$DF594,22)&amp;"","")&amp;"␟"&amp;IFERROR(INDEX(PASTE_ALL,$DF594,23)&amp;"","")&amp;"␟"&amp;IFERROR(INDEX(PASTE_ALL,$DF594,24)&amp;"","")&amp;"␟"&amp;IFERROR(INDEX(PASTE_ALL,$DF594,25)&amp;"","")&amp;"␟"&amp;IFERROR(INDEX(PASTE_ALL,$DF594,26)&amp;"","")&amp;"␟"&amp;IFERROR(INDEX(PASTE_ALL,$DF594,27)&amp;"","")&amp;"␟"&amp;IFERROR(INDEX(PASTE_ALL,$DF594,28)&amp;"","")&amp;"␟"&amp;IFERROR(INDEX(PASTE_ALL,$DF594,29)&amp;"","")&amp;"␟"&amp;IFERROR(INDEX(PASTE_ALL,$DF594,30)&amp;"","")&amp;"␟"&amp;IFERROR(INDEX(PASTE_ALL,$DF594,31)&amp;"","")&amp;"␟"&amp;IFERROR(INDEX(PASTE_ALL,$DF594,32)&amp;"","")&amp;"␟"&amp;IFERROR(INDEX(PASTE_ALL,$DF594,33)&amp;"","")&amp;"␟"&amp;IFERROR(INDEX(PASTE_ALL,$DF594,34)&amp;"","")&amp;"␟"&amp;IFERROR(INDEX(PASTE_ALL,$DF594,35)&amp;"","")&amp;"␟"&amp;IFERROR(INDEX(PASTE_ALL,$DF594,36)&amp;"","")&amp;"␟"&amp;IFERROR(INDEX(PASTE_ALL,$DF594,37)&amp;"","")&amp;"␟"&amp;IFERROR(INDEX(PASTE_ALL,$DF594,38)&amp;"","")&amp;"␟"&amp;IFERROR(INDEX(PASTE_ALL,$DF594,39)&amp;"","")&amp;"␟"&amp;IFERROR(INDEX(PASTE_ALL,$DF594,40)&amp;"","")&amp;"␟"&amp;IFERROR(INDEX(PASTE_ALL,$DF594,41)&amp;"","")&amp;"␟"&amp;IFERROR(INDEX(PASTE_ALL,$DF594,42)&amp;"","")&amp;"␟"&amp;IFERROR(INDEX(PASTE_ALL,$DF594,43)&amp;"","")&amp;"␟"&amp;IFERROR(INDEX(PASTE_ALL,$DF594,44)&amp;"","")&amp;"␟"&amp;IFERROR(INDEX(PASTE_ALL,$DF594,45)&amp;"","")&amp;"␟"&amp;IFERROR(INDEX(PASTE_ALL,$DF594,46)&amp;"","")&amp;"␟"&amp;IFERROR(INDEX(PASTE_ALL,$DF594,47)&amp;"","")&amp;"␟"&amp;IFERROR(INDEX(PASTE_ALL,$DF594,48)&amp;"","")&amp;"␟"&amp;IFERROR(INDEX(PASTE_ALL,$DF594,49)&amp;"","")&amp;"␟"&amp;IFERROR(INDEX(PASTE_ALL,$DF594,50)&amp;"","")&amp;"␟"&amp;IFERROR(INDEX(PASTE_ALL,$DF594,51)&amp;"","")&amp;"␟"&amp;IFERROR(INDEX(PASTE_ALL,$DF594,52)&amp;"","")&amp;"␟"&amp;IFERROR(INDEX(PASTE_ALL,$DF594,53)&amp;"","")&amp;"␟"&amp;IFERROR(INDEX(PASTE_ALL,$DF594,54)&amp;"","")&amp;"␟"&amp;IFERROR(INDEX(PASTE_ALL,$DF594,55)&amp;"","")&amp;"␟"&amp;IFERROR(INDEX(PASTE_ALL,$DF594,56)&amp;"","")&amp;"␟"&amp;IFERROR(INDEX(PASTE_ALL,$DF594,57)&amp;"","")&amp;"␟"&amp;IFERROR(INDEX(PASTE_ALL,$DF594,58)&amp;"","")&amp;"␟"&amp;IFERROR(INDEX(PASTE_ALL,$DF594,59)&amp;"","")&amp;"␟"&amp;IFERROR(INDEX(PASTE_ALL,$DF594,60)&amp;"","")," "," "),CHAR(9)," "),CHAR(10)," "),CHAR(13)," "))," ␟","␟"),"␟ ","␟"),"#"&amp;$DE594),"")</f>
        <v/>
      </c>
      <c r="DJ594">
        <f>IF($DI594="",0,IF(SUMPRODUCT(--EXACT($DI$4:DI593,$DI594))&gt;0,1,0))</f>
        <v/>
      </c>
      <c r="DK594">
        <f>IF(AND($DI594&lt;&gt;"",$DJ594=0),1,0)</f>
        <v/>
      </c>
      <c r="DL594">
        <f>DL593+$DK594</f>
        <v/>
      </c>
      <c r="DM594">
        <f>IF(AND($DK594=1,$DL594&lt;=600),1,0)</f>
        <v/>
      </c>
      <c r="DN594">
        <f>IF($DM594=0,"",IF($L$6=0,"",IFERROR(IF(ISNUMBER(INDEX(PASTE_ALL,$DF594,$L$6)),INDEX(PASTE_ALL,$DF594,$L$6),TRIM(SUBSTITUTE(SUBSTITUTE(SUBSTITUTE(SUBSTITUTE(INDEX(PASTE_ALL,$DF594,$L$6)," "," "),CHAR(9)," "),CHAR(10)," "),CHAR(13)," "))),"")))</f>
        <v/>
      </c>
      <c r="DO594">
        <f>IF($DM594=0,"",IF($L$7=0,"",IFERROR(IF(ISNUMBER(INDEX(PASTE_ALL,$DF594,$L$7)),INDEX(PASTE_ALL,$DF594,$L$7),TRIM(SUBSTITUTE(SUBSTITUTE(SUBSTITUTE(SUBSTITUTE(INDEX(PASTE_ALL,$DF594,$L$7)," "," "),CHAR(9)," "),CHAR(10)," "),CHAR(13)," "))),"")))</f>
        <v/>
      </c>
      <c r="DP594">
        <f>IF($DM594=0,"",IF($L$8=0,"",IFERROR(IF(ISNUMBER(INDEX(PASTE_ALL,$DF594,$L$8)),INDEX(PASTE_ALL,$DF594,$L$8),TRIM(SUBSTITUTE(SUBSTITUTE(SUBSTITUTE(SUBSTITUTE(INDEX(PASTE_ALL,$DF594,$L$8)," "," "),CHAR(9)," "),CHAR(10)," "),CHAR(13)," "))),"")))</f>
        <v/>
      </c>
      <c r="DQ594">
        <f>IF($DM594=0,"",IF($L$9=0,"",IFERROR(IF(ISNUMBER(INDEX(PASTE_ALL,$DF594,$L$9)),INDEX(PASTE_ALL,$DF594,$L$9),TRIM(SUBSTITUTE(SUBSTITUTE(SUBSTITUTE(SUBSTITUTE(INDEX(PASTE_ALL,$DF594,$L$9)," "," "),CHAR(9)," "),CHAR(10)," "),CHAR(13)," "))),"")))</f>
        <v/>
      </c>
      <c r="DR594">
        <f>IF($DM594=0,"",IF($L$10=0,"",IFERROR(IF(ISNUMBER(INDEX(PASTE_ALL,$DF594,$L$10)),INDEX(PASTE_ALL,$DF594,$L$10),TRIM(SUBSTITUTE(SUBSTITUTE(SUBSTITUTE(SUBSTITUTE(INDEX(PASTE_ALL,$DF594,$L$10)," "," "),CHAR(9)," "),CHAR(10)," "),CHAR(13)," "))),"")))</f>
        <v/>
      </c>
      <c r="DS594">
        <f>IF($DM594=0,"",IF($L$11=0,"",IFERROR(IF(ISNUMBER(INDEX(PASTE_ALL,$DF594,$L$11)),INDEX(PASTE_ALL,$DF594,$L$11),TRIM(SUBSTITUTE(SUBSTITUTE(SUBSTITUTE(SUBSTITUTE(INDEX(PASTE_ALL,$DF594,$L$11)," "," "),CHAR(9)," "),CHAR(10)," "),CHAR(13)," "))),"")))</f>
        <v/>
      </c>
      <c r="DT594">
        <f>IF($DM594=0,"",IF($L$12=0,"",IFERROR(IF(ISNUMBER(INDEX(PASTE_ALL,$DF594,$L$12)),INDEX(PASTE_ALL,$DF594,$L$12),TRIM(SUBSTITUTE(SUBSTITUTE(SUBSTITUTE(SUBSTITUTE(INDEX(PASTE_ALL,$DF594,$L$12)," "," "),CHAR(9)," "),CHAR(10)," "),CHAR(13)," "))),"")))</f>
        <v/>
      </c>
      <c r="DU594">
        <f>IF($DM594=0,"",IF($L$13=0,"",IFERROR(IF(ISNUMBER(INDEX(PASTE_ALL,$DF594,$L$13)),INDEX(PASTE_ALL,$DF594,$L$13),TRIM(SUBSTITUTE(SUBSTITUTE(SUBSTITUTE(SUBSTITUTE(INDEX(PASTE_ALL,$DF594,$L$13)," "," "),CHAR(9)," "),CHAR(10)," "),CHAR(13)," "))),"")))</f>
        <v/>
      </c>
      <c r="DV594">
        <f>IF($DM594=0,"",IF($L$14=0,"",IFERROR(IF(ISNUMBER(INDEX(PASTE_ALL,$DF594,$L$14)),INDEX(PASTE_ALL,$DF594,$L$14),TRIM(SUBSTITUTE(SUBSTITUTE(SUBSTITUTE(SUBSTITUTE(INDEX(PASTE_ALL,$DF594,$L$14)," "," "),CHAR(9)," "),CHAR(10)," "),CHAR(13)," "))),"")))</f>
        <v/>
      </c>
      <c r="DW594">
        <f>IF($DM594=0,"",IF($L$15=0,"",IFERROR(IF(ISNUMBER(INDEX(PASTE_ALL,$DF594,$L$15)),INDEX(PASTE_ALL,$DF594,$L$15),IF(SUMPRODUCT(--ISNUMBER(FIND({"A","B","C","D","E","F","G","H","I","J","K","L","M","N","O","P","Q","R","S","T","U","V","W","X","Y","Z","0","1","2","3","4","5","6","7","8","9"},UPPER(TRIM(SUBSTITUTE(SUBSTITUTE(SUBSTITUTE(SUBSTITUTE(INDEX(PASTE_ALL,$DF594,$L$15)," "," "),CHAR(9)," "),CHAR(10)," "),CHAR(13)," "))))))&gt;0,TRIM(SUBSTITUTE(SUBSTITUTE(SUBSTITUTE(SUBSTITUTE(INDEX(PASTE_ALL,$DF594,$L$15)," "," "),CHAR(9)," "),CHAR(10)," "),CHAR(13)," ")),"")),"")))</f>
        <v/>
      </c>
      <c r="DX594">
        <f>IF($DM594=0,"",IF($L$16=0,"",IFERROR(IF(ISNUMBER(INDEX(PASTE_ALL,$DF594,$L$16)),INDEX(PASTE_ALL,$DF594,$L$16),SUBSTITUTE(SUBSTITUTE(TRIM(SUBSTITUTE(SUBSTITUTE(SUBSTITUTE(SUBSTITUTE(INDEX(PASTE_ALL,$DF594,$L$16)," "," "),CHAR(9)," "),CHAR(10)," "),CHAR(13)," ")),",",""),"%","")),"")))</f>
        <v/>
      </c>
      <c r="DY594">
        <f>IF($DM594=0,"",IFERROR(IF(ISNUMBER($DX594),$DX594,IF($DX594="","",IF(TRIM($DX594)="",0,IF(AND(AND(SUBSTITUTE(SUBSTITUTE(SUBSTITUTE(SUBSTITUTE(SUBSTITUTE(SUBSTITUTE(SUBSTITUTE(SUBSTITUTE(SUBSTITUTE(SUBSTITUTE(SUBSTITUTE(SUBSTITUTE(SUBSTITUTE(SUBSTITUTE(UPPER(TRIM($DX594)),"0",""),"1",""),"2",""),"3",""),"4",""),"5",""),"6",""),"7",""),"8",""),"9",""),".",""),"+",""),"-",""),"E","")="",LEN(SUBSTITUTE(SUBSTITUTE(MID(UPPER(TRIM($DX594)),1+OR(LEFT(UPPER(TRIM($DX594)),1)="+",LEFT(UPPER(TRIM($DX594)),1)="-"),999),"E+","E"),"E-","E"))=LEN(SUBSTITUTE(SUBSTITUTE(SUBSTITUTE(SUBSTITUTE(MID(UPPER(TRIM($DX594)),1+OR(LEFT(UPPER(TRIM($DX594)),1)="+",LEFT(UPPER(TRIM($DX594)),1)="-"),999),"E+","E"),"E-","E"),"+",""),"-","")),LEN(UPPER(TRIM($DX594)))-LEN(SUBSTITUTE(UPPER(TRIM($DX594)),"E",""))&lt;2,LEN(UPPER(TRIM($DX594)))-LEN(SUBSTITUTE(UPPER(TRIM($DX594)),".",""))&lt;2,IFERROR(FIND(".",UPPER(TRIM($DX594))),0)&lt;IFERROR(FIND("E",UPPER(TRIM($DX594))),999)),ISNUMBER(VALUE(TRIM($DX594)))),VALUE(TRIM($DX594)),"")))),""))</f>
        <v/>
      </c>
      <c r="DZ594">
        <f>IF($DM594=0,"",IF($L$17=0,"",IFERROR(IF(ISNUMBER(INDEX(PASTE_ALL,$DF594,$L$17)),INDEX(PASTE_ALL,$DF594,$L$17),SUBSTITUTE(SUBSTITUTE(TRIM(SUBSTITUTE(SUBSTITUTE(SUBSTITUTE(SUBSTITUTE(INDEX(PASTE_ALL,$DF594,$L$17)," "," "),CHAR(9)," "),CHAR(10)," "),CHAR(13)," ")),",",""),"%","")),"")))</f>
        <v/>
      </c>
      <c r="EA594">
        <f>IF($DM594=0,"",IFERROR(IF(ISNUMBER($DZ594),$DZ594,IF($DZ594="","",IF(TRIM($DZ594)="",0,IF(AND(AND(SUBSTITUTE(SUBSTITUTE(SUBSTITUTE(SUBSTITUTE(SUBSTITUTE(SUBSTITUTE(SUBSTITUTE(SUBSTITUTE(SUBSTITUTE(SUBSTITUTE(SUBSTITUTE(SUBSTITUTE(SUBSTITUTE(SUBSTITUTE(UPPER(TRIM($DZ594)),"0",""),"1",""),"2",""),"3",""),"4",""),"5",""),"6",""),"7",""),"8",""),"9",""),".",""),"+",""),"-",""),"E","")="",LEN(SUBSTITUTE(SUBSTITUTE(MID(UPPER(TRIM($DZ594)),1+OR(LEFT(UPPER(TRIM($DZ594)),1)="+",LEFT(UPPER(TRIM($DZ594)),1)="-"),999),"E+","E"),"E-","E"))=LEN(SUBSTITUTE(SUBSTITUTE(SUBSTITUTE(SUBSTITUTE(MID(UPPER(TRIM($DZ594)),1+OR(LEFT(UPPER(TRIM($DZ594)),1)="+",LEFT(UPPER(TRIM($DZ594)),1)="-"),999),"E+","E"),"E-","E"),"+",""),"-","")),LEN(UPPER(TRIM($DZ594)))-LEN(SUBSTITUTE(UPPER(TRIM($DZ594)),"E",""))&lt;2,LEN(UPPER(TRIM($DZ594)))-LEN(SUBSTITUTE(UPPER(TRIM($DZ594)),".",""))&lt;2,IFERROR(FIND(".",UPPER(TRIM($DZ594))),0)&lt;IFERROR(FIND("E",UPPER(TRIM($DZ594))),999)),ISNUMBER(VALUE(TRIM($DZ594)))),VALUE(TRIM($DZ594)),"")))),""))</f>
        <v/>
      </c>
      <c r="EB594">
        <f>IF($DM594=0,"",IF($L$18=0,"",IFERROR(IF(UPPER(TRIM(SUBSTITUTE(SUBSTITUTE(SUBSTITUTE(SUBSTITUTE(INDEX(PASTE_ALL,$DF594,$L$18)," "," "),CHAR(9)," "),CHAR(10)," "),CHAR(13)," ")))="READY","Ready",IF(UPPER(TRIM(SUBSTITUTE(SUBSTITUTE(SUBSTITUTE(SUBSTITUTE(INDEX(PASTE_ALL,$DF594,$L$18)," "," "),CHAR(9)," "),CHAR(10)," "),CHAR(13)," ")))="PM","PM",IF(OR(UPPER(TRIM(SUBSTITUTE(SUBSTITUTE(SUBSTITUTE(SUBSTITUTE(INDEX(PASTE_ALL,$DF594,$L$18)," "," "),CHAR(9)," "),CHAR(10)," "),CHAR(13)," ")))="OT",UPPER(TRIM(SUBSTITUTE(SUBSTITUTE(SUBSTITUTE(SUBSTITUTE(INDEX(PASTE_ALL,$DF594,$L$18)," "," "),CHAR(9)," "),CHAR(10)," "),CHAR(13)," ")))="OVERTIME",UPPER(TRIM(SUBSTITUTE(SUBSTITUTE(SUBSTITUTE(SUBSTITUTE(INDEX(PASTE_ALL,$DF594,$L$18)," "," "),CHAR(9)," "),CHAR(10)," "),CHAR(13)," ")))="TRIAL"),"OT",TRIM(SUBSTITUTE(SUBSTITUTE(SUBSTITUTE(SUBSTITUTE(INDEX(PASTE_ALL,$DF594,$L$18)," "," "),CHAR(9)," "),CHAR(10)," "),CHAR(13)," "))))),"")))</f>
        <v/>
      </c>
      <c r="EC594">
        <f>IF($DM594=0,"",IF($L$19=0,"",IFERROR(IF(ISNUMBER(INDEX(PASTE_ALL,$DF594,$L$19)),INDEX(PASTE_ALL,$DF594,$L$19),TRIM(SUBSTITUTE(SUBSTITUTE(SUBSTITUTE(SUBSTITUTE(INDEX(PASTE_ALL,$DF594,$L$19)," "," "),CHAR(9)," "),CHAR(10)," "),CHAR(13)," "))),"")))</f>
        <v/>
      </c>
      <c r="ED594">
        <f>IF($DM594=0,"",MATCH(1,INDEX(EXACT($DH$5:DH594,$DH594)*$DM$5:DM594,0),0))</f>
        <v/>
      </c>
      <c r="EE594">
        <f>IF($DM594=0,0,IF($ED594=$DE594,1,0))</f>
        <v/>
      </c>
      <c r="EF594">
        <f>EF593+$EE594</f>
        <v/>
      </c>
      <c r="EG594">
        <f>IF($DM594=0,"",INDEX($EF$5:$EF$1003,$ED594))</f>
        <v/>
      </c>
      <c r="EH594">
        <f>IF($DM594=0,"",IF($DO594&lt;&gt;"","",IFERROR(LOOKUP(2,1/(($EG$4:EG593=$EG594)*($DO$4:DO593&lt;&gt;"")),$DO$4:DO593),"")))</f>
        <v/>
      </c>
      <c r="EI594">
        <f>IF($DM594=0,"",IF($DO594&lt;&gt;"",$DO594,$EH594))</f>
        <v/>
      </c>
      <c r="EJ594">
        <f>IF($DM594=0,"",IF($EI594="",0,IF(OR(ISNUMBER($EI594),AND(AND(SUBSTITUTE(SUBSTITUTE(SUBSTITUTE(SUBSTITUTE(SUBSTITUTE(SUBSTITUTE(SUBSTITUTE(SUBSTITUTE(SUBSTITUTE(SUBSTITUTE(SUBSTITUTE(SUBSTITUTE(SUBSTITUTE(SUBSTITUTE(UPPER($EI594),"0",""),"1",""),"2",""),"3",""),"4",""),"5",""),"6",""),"7",""),"8",""),"9",""),".",""),"+",""),"-",""),"E","")="",LEN(SUBSTITUTE(SUBSTITUTE(MID(UPPER($EI594),1+OR(LEFT(UPPER($EI594),1)="+",LEFT(UPPER($EI594),1)="-"),999),"E+","E"),"E-","E"))=LEN(SUBSTITUTE(SUBSTITUTE(SUBSTITUTE(SUBSTITUTE(MID(UPPER($EI594),1+OR(LEFT(UPPER($EI594),1)="+",LEFT(UPPER($EI594),1)="-"),999),"E+","E"),"E-","E"),"+",""),"-","")),LEN(UPPER($EI594))-LEN(SUBSTITUTE(UPPER($EI594),"E",""))&lt;2,LEN(UPPER($EI594))-LEN(SUBSTITUTE(UPPER($EI594),".",""))&lt;2,IFERROR(FIND(".",UPPER($EI594)),0)&lt;IFERROR(FIND("E",UPPER($EI594)),999)),ISNUMBER(VALUE($EI594)))),1,2)))</f>
        <v/>
      </c>
      <c r="EK594">
        <f>IF($DM594=0,"",IF($EJ594=1,IF(ISNUMBER($EI594),$EI594,VALUE($EI594)),IF($EJ594=2,$DE594,0)))</f>
        <v/>
      </c>
      <c r="EL594">
        <f>IF($DM594=0,"",COUNTIF($EG$5:$EG$1003,"&lt;"&amp;$EG594)+SUMPRODUCT(($EG$5:$EG$1003=$EG594)*(($EJ$5:$EJ$1003&lt;$EJ594)+($EJ$5:$EJ$1003=$EJ594)*(($EK$5:$EK$1003&lt;$EK594)+($EK$5:$EK$1003=$EK594)*($DE$5:$DE$1003&lt;$DE594))))+1)</f>
        <v/>
      </c>
      <c r="EM594">
        <f>IF($DM594=0,"",$EL594+$EG594-1)</f>
        <v/>
      </c>
      <c r="EN594">
        <f>IF($DM594=0,0,IFERROR(MATCH(1,INDEX(--(TRIM(SUBSTITUTE(SUBSTITUTE(SUBSTITUTE(SUBSTITUTE(LINES_NAME&amp;""," "," "),CHAR(9)," "),CHAR(10)," "),CHAR(13)," "))=$DH594),0),0),0))</f>
        <v/>
      </c>
      <c r="EO594">
        <f>IF($EN594=0,0,IF(OR(UPPER(TRIM(INDEX(LINES_SCHEDULED,$EN594)&amp;""))="YES",UPPER(TRIM(INDEX(LINES_SCHEDULED,$EN594)&amp;""))="Y",UPPER(TRIM(INDEX(LINES_SCHEDULED,$EN594)&amp;""))="X"),1,0))</f>
        <v/>
      </c>
      <c r="EP594">
        <f>IF($DM594=0,"",IF(COUNTIFS($EG$5:$EG$1003,$EG594,$EB$5:$EB$1003,"Ready")&gt;0,"READY",IF(COUNTIFS($EG$5:$EG$1003,$EG594,$EB$5:$EB$1003,"PM")&gt;0,"PM",IF(COUNTIFS($EG$5:$EG$1003,$EG594,$EB$5:$EB$1003,"OT")&gt;0,"OT",""))))</f>
        <v/>
      </c>
      <c r="EQ594">
        <f>IF($EN594=0,"",UPPER(TRIM(INDEX(LINES_STATUS,$EN594)&amp;"")))</f>
        <v/>
      </c>
      <c r="ER594">
        <f>IF($DM594=0,"",IF(OR($EQ594="READY",$EQ594="PM",$EQ594="OT"),$EQ594,$EP594))</f>
        <v/>
      </c>
      <c r="ES594">
        <f>IF($DM594=0,"",IF(AND($DV594&lt;&gt;"",UPPER($DV594)&lt;&gt;"N"),"allergen",IF(ISNUMBER(SEARCH("oil",$DQ594)),"oil",IF(OR(EXACT($DS594,"A662"),EXACT($DS594,"A624")),"bulk",""))))</f>
        <v/>
      </c>
      <c r="ET594">
        <f>IF($DM594=0,"",IF(OR($EA594="",$EA594=0),"",$EA594/100))</f>
        <v/>
      </c>
      <c r="EU594">
        <f>IF(OR($ET594="",$DY594=""),"",INT($DY594*(1-$ET594)+0.5))</f>
        <v/>
      </c>
      <c r="EW594" t="n">
        <v>590</v>
      </c>
      <c r="EX594">
        <f>IFERROR(MATCH($EW594,$EM$5:$EM$1003,0),0)</f>
        <v/>
      </c>
      <c r="EY594">
        <f>IF($EW594&gt;$B$12,"",IF($EX594&gt;0,"row","spacer"))</f>
        <v/>
      </c>
      <c r="EZ594">
        <f>IF(AND($EY594="row",$EY593&lt;&gt;"row"),1,0)</f>
        <v/>
      </c>
      <c r="FA594">
        <f>IF(AND($EY594="row",$EY595&lt;&gt;"row"),1,0)</f>
        <v/>
      </c>
      <c r="FB594">
        <f>IF($EZ594=1,IFERROR(IF(ISNUMBER(INDEX(PASTE_ALL,INDEX($DF$5:$DF$1003,$EX594),$B$37)),INDEX(PASTE_ALL,INDEX($DF$5:$DF$1003,$EX594),$B$37),INDEX($DH$5:$DH$1003,$EX594)),INDEX($DH$5:$DH$1003,$EX594)),"")</f>
        <v/>
      </c>
      <c r="FC594">
        <f>IF($EY594="row",INDEX($ER$5:$ER$1003,$EX594),"")</f>
        <v/>
      </c>
      <c r="FD594">
        <f>IF($EY594="row",INDEX($DN$5:$DN$1003,$EX594),"")</f>
        <v/>
      </c>
      <c r="FE594">
        <f>IF($EY594="row",INDEX($DO$5:$DO$1003,$EX594),"")</f>
        <v/>
      </c>
      <c r="FF594">
        <f>IF($EY594="row",INDEX($DP$5:$DP$1003,$EX594),"")</f>
        <v/>
      </c>
      <c r="FG594">
        <f>IF($EY594="row",INDEX($DQ$5:$DQ$1003,$EX594),"")</f>
        <v/>
      </c>
      <c r="FH594">
        <f>IF($EY594="row",INDEX($DR$5:$DR$1003,$EX594),"")</f>
        <v/>
      </c>
      <c r="FI594">
        <f>IF($EY594="row",INDEX($DS$5:$DS$1003,$EX594),"")</f>
        <v/>
      </c>
      <c r="FJ594">
        <f>IF($EY594="row",INDEX($DT$5:$DT$1003,$EX594),"")</f>
        <v/>
      </c>
      <c r="FK594">
        <f>IF($EY594="row",INDEX($DU$5:$DU$1003,$EX594),"")</f>
        <v/>
      </c>
      <c r="FL594">
        <f>IF($EY594="row",INDEX($DV$5:$DV$1003,$EX594),"")</f>
        <v/>
      </c>
      <c r="FM594">
        <f>IF($EY594="row",INDEX($DW$5:$DW$1003,$EX594),"")</f>
        <v/>
      </c>
      <c r="FN594">
        <f>IF($EY594="row",INDEX($DY$5:$DY$1003,$EX594),"")</f>
        <v/>
      </c>
      <c r="FO594">
        <f>IF($EY594="row",INDEX($EA$5:$EA$1003,$EX594),"")</f>
        <v/>
      </c>
      <c r="FP594">
        <f>IF($EY594="row",INDEX($EC$5:$EC$1003,$EX594),"")</f>
        <v/>
      </c>
      <c r="FQ594">
        <f>IF($EY594="row",INDEX($ET$5:$ET$1003,$EX594),"")</f>
        <v/>
      </c>
      <c r="FR594">
        <f>IF($EY594="row",INDEX($EU$5:$EU$1003,$EX594),"")</f>
        <v/>
      </c>
      <c r="FS594">
        <f>IF(AND($EY594="row",$EY593="row"),IF(OR(INDEX($DT$5:$DT$1003,$EX593)="",INDEX($DT$5:$DT$1003,$EX594)=""),"",IF(NOT(EXACT(INDEX($DT$5:$DT$1003,$EX593),INDEX($DT$5:$DT$1003,$EX594))),"S4",IF(NOT(EXACT(INDEX($DS$5:$DS$1003,$EX593),INDEX($DS$5:$DS$1003,$EX594))),"S3",IF(NOT(EXACT(INDEX($DR$5:$DR$1003,$EX593),INDEX($DR$5:$DR$1003,$EX594))),"S1 Count Change","S1")))),"")</f>
        <v/>
      </c>
      <c r="FT594">
        <f>IF($EY594="row",INDEX($ES$5:$ES$1003,$EX594),"")</f>
        <v/>
      </c>
      <c r="FU594">
        <f>IF($EY594="row",INDEX($EO$5:$EO$1003,$EX594),0)</f>
        <v/>
      </c>
      <c r="FV594">
        <f>IF($FS594="S1 Count Change",1,0)</f>
        <v/>
      </c>
    </row>
    <row r="595">
      <c r="DA595" t="n">
        <v>591</v>
      </c>
      <c r="DB595">
        <f>IF($B$37=0,"",IFERROR(TRIM(SUBSTITUTE(SUBSTITUTE(SUBSTITUTE(SUBSTITUTE(INDEX(PASTE_ALL,591,$B$37)," "," "),CHAR(9)," "),CHAR(10)," "),CHAR(13)," ")),""))</f>
        <v/>
      </c>
      <c r="DC595">
        <f>IF(AND(591&gt;HEADER_ROW,UPPER(DB595)="LEGEND"),1,0)</f>
        <v/>
      </c>
      <c r="DE595" t="n">
        <v>591</v>
      </c>
      <c r="DF595">
        <f>HEADER_ROW+$DE595</f>
        <v/>
      </c>
      <c r="DG595">
        <f>IF(AND($DF595&lt;=1000,$DF595&lt;$B$8),1,0)</f>
        <v/>
      </c>
      <c r="DH595">
        <f>IF($DG595=1,IFERROR(INDEX($DB$5:$DB$1004,$DF595),""),"")</f>
        <v/>
      </c>
      <c r="DI595">
        <f>IF(AND($DG595=1,$DH595&lt;&gt;""),IFERROR(SUBSTITUTE(SUBSTITUTE(TRIM(SUBSTITUTE(SUBSTITUTE(SUBSTITUTE(SUBSTITUTE(IFERROR(INDEX(PASTE_ALL,$DF595,1)&amp;"","")&amp;"␟"&amp;IFERROR(INDEX(PASTE_ALL,$DF595,2)&amp;"","")&amp;"␟"&amp;IFERROR(INDEX(PASTE_ALL,$DF595,3)&amp;"","")&amp;"␟"&amp;IFERROR(INDEX(PASTE_ALL,$DF595,4)&amp;"","")&amp;"␟"&amp;IFERROR(INDEX(PASTE_ALL,$DF595,5)&amp;"","")&amp;"␟"&amp;IFERROR(INDEX(PASTE_ALL,$DF595,6)&amp;"","")&amp;"␟"&amp;IFERROR(INDEX(PASTE_ALL,$DF595,7)&amp;"","")&amp;"␟"&amp;IFERROR(INDEX(PASTE_ALL,$DF595,8)&amp;"","")&amp;"␟"&amp;IFERROR(INDEX(PASTE_ALL,$DF595,9)&amp;"","")&amp;"␟"&amp;IFERROR(INDEX(PASTE_ALL,$DF595,10)&amp;"","")&amp;"␟"&amp;IFERROR(INDEX(PASTE_ALL,$DF595,11)&amp;"","")&amp;"␟"&amp;IFERROR(INDEX(PASTE_ALL,$DF595,12)&amp;"","")&amp;"␟"&amp;IFERROR(INDEX(PASTE_ALL,$DF595,13)&amp;"","")&amp;"␟"&amp;IFERROR(INDEX(PASTE_ALL,$DF595,14)&amp;"","")&amp;"␟"&amp;IFERROR(INDEX(PASTE_ALL,$DF595,15)&amp;"","")&amp;"␟"&amp;IFERROR(INDEX(PASTE_ALL,$DF595,16)&amp;"","")&amp;"␟"&amp;IFERROR(INDEX(PASTE_ALL,$DF595,17)&amp;"","")&amp;"␟"&amp;IFERROR(INDEX(PASTE_ALL,$DF595,18)&amp;"","")&amp;"␟"&amp;IFERROR(INDEX(PASTE_ALL,$DF595,19)&amp;"","")&amp;"␟"&amp;IFERROR(INDEX(PASTE_ALL,$DF595,20)&amp;"","")&amp;"␟"&amp;IFERROR(INDEX(PASTE_ALL,$DF595,21)&amp;"","")&amp;"␟"&amp;IFERROR(INDEX(PASTE_ALL,$DF595,22)&amp;"","")&amp;"␟"&amp;IFERROR(INDEX(PASTE_ALL,$DF595,23)&amp;"","")&amp;"␟"&amp;IFERROR(INDEX(PASTE_ALL,$DF595,24)&amp;"","")&amp;"␟"&amp;IFERROR(INDEX(PASTE_ALL,$DF595,25)&amp;"","")&amp;"␟"&amp;IFERROR(INDEX(PASTE_ALL,$DF595,26)&amp;"","")&amp;"␟"&amp;IFERROR(INDEX(PASTE_ALL,$DF595,27)&amp;"","")&amp;"␟"&amp;IFERROR(INDEX(PASTE_ALL,$DF595,28)&amp;"","")&amp;"␟"&amp;IFERROR(INDEX(PASTE_ALL,$DF595,29)&amp;"","")&amp;"␟"&amp;IFERROR(INDEX(PASTE_ALL,$DF595,30)&amp;"","")&amp;"␟"&amp;IFERROR(INDEX(PASTE_ALL,$DF595,31)&amp;"","")&amp;"␟"&amp;IFERROR(INDEX(PASTE_ALL,$DF595,32)&amp;"","")&amp;"␟"&amp;IFERROR(INDEX(PASTE_ALL,$DF595,33)&amp;"","")&amp;"␟"&amp;IFERROR(INDEX(PASTE_ALL,$DF595,34)&amp;"","")&amp;"␟"&amp;IFERROR(INDEX(PASTE_ALL,$DF595,35)&amp;"","")&amp;"␟"&amp;IFERROR(INDEX(PASTE_ALL,$DF595,36)&amp;"","")&amp;"␟"&amp;IFERROR(INDEX(PASTE_ALL,$DF595,37)&amp;"","")&amp;"␟"&amp;IFERROR(INDEX(PASTE_ALL,$DF595,38)&amp;"","")&amp;"␟"&amp;IFERROR(INDEX(PASTE_ALL,$DF595,39)&amp;"","")&amp;"␟"&amp;IFERROR(INDEX(PASTE_ALL,$DF595,40)&amp;"","")&amp;"␟"&amp;IFERROR(INDEX(PASTE_ALL,$DF595,41)&amp;"","")&amp;"␟"&amp;IFERROR(INDEX(PASTE_ALL,$DF595,42)&amp;"","")&amp;"␟"&amp;IFERROR(INDEX(PASTE_ALL,$DF595,43)&amp;"","")&amp;"␟"&amp;IFERROR(INDEX(PASTE_ALL,$DF595,44)&amp;"","")&amp;"␟"&amp;IFERROR(INDEX(PASTE_ALL,$DF595,45)&amp;"","")&amp;"␟"&amp;IFERROR(INDEX(PASTE_ALL,$DF595,46)&amp;"","")&amp;"␟"&amp;IFERROR(INDEX(PASTE_ALL,$DF595,47)&amp;"","")&amp;"␟"&amp;IFERROR(INDEX(PASTE_ALL,$DF595,48)&amp;"","")&amp;"␟"&amp;IFERROR(INDEX(PASTE_ALL,$DF595,49)&amp;"","")&amp;"␟"&amp;IFERROR(INDEX(PASTE_ALL,$DF595,50)&amp;"","")&amp;"␟"&amp;IFERROR(INDEX(PASTE_ALL,$DF595,51)&amp;"","")&amp;"␟"&amp;IFERROR(INDEX(PASTE_ALL,$DF595,52)&amp;"","")&amp;"␟"&amp;IFERROR(INDEX(PASTE_ALL,$DF595,53)&amp;"","")&amp;"␟"&amp;IFERROR(INDEX(PASTE_ALL,$DF595,54)&amp;"","")&amp;"␟"&amp;IFERROR(INDEX(PASTE_ALL,$DF595,55)&amp;"","")&amp;"␟"&amp;IFERROR(INDEX(PASTE_ALL,$DF595,56)&amp;"","")&amp;"␟"&amp;IFERROR(INDEX(PASTE_ALL,$DF595,57)&amp;"","")&amp;"␟"&amp;IFERROR(INDEX(PASTE_ALL,$DF595,58)&amp;"","")&amp;"␟"&amp;IFERROR(INDEX(PASTE_ALL,$DF595,59)&amp;"","")&amp;"␟"&amp;IFERROR(INDEX(PASTE_ALL,$DF595,60)&amp;"","")," "," "),CHAR(9)," "),CHAR(10)," "),CHAR(13)," "))," ␟","␟"),"␟ ","␟"),"#"&amp;$DE595),"")</f>
        <v/>
      </c>
      <c r="DJ595">
        <f>IF($DI595="",0,IF(SUMPRODUCT(--EXACT($DI$4:DI594,$DI595))&gt;0,1,0))</f>
        <v/>
      </c>
      <c r="DK595">
        <f>IF(AND($DI595&lt;&gt;"",$DJ595=0),1,0)</f>
        <v/>
      </c>
      <c r="DL595">
        <f>DL594+$DK595</f>
        <v/>
      </c>
      <c r="DM595">
        <f>IF(AND($DK595=1,$DL595&lt;=600),1,0)</f>
        <v/>
      </c>
      <c r="DN595">
        <f>IF($DM595=0,"",IF($L$6=0,"",IFERROR(IF(ISNUMBER(INDEX(PASTE_ALL,$DF595,$L$6)),INDEX(PASTE_ALL,$DF595,$L$6),TRIM(SUBSTITUTE(SUBSTITUTE(SUBSTITUTE(SUBSTITUTE(INDEX(PASTE_ALL,$DF595,$L$6)," "," "),CHAR(9)," "),CHAR(10)," "),CHAR(13)," "))),"")))</f>
        <v/>
      </c>
      <c r="DO595">
        <f>IF($DM595=0,"",IF($L$7=0,"",IFERROR(IF(ISNUMBER(INDEX(PASTE_ALL,$DF595,$L$7)),INDEX(PASTE_ALL,$DF595,$L$7),TRIM(SUBSTITUTE(SUBSTITUTE(SUBSTITUTE(SUBSTITUTE(INDEX(PASTE_ALL,$DF595,$L$7)," "," "),CHAR(9)," "),CHAR(10)," "),CHAR(13)," "))),"")))</f>
        <v/>
      </c>
      <c r="DP595">
        <f>IF($DM595=0,"",IF($L$8=0,"",IFERROR(IF(ISNUMBER(INDEX(PASTE_ALL,$DF595,$L$8)),INDEX(PASTE_ALL,$DF595,$L$8),TRIM(SUBSTITUTE(SUBSTITUTE(SUBSTITUTE(SUBSTITUTE(INDEX(PASTE_ALL,$DF595,$L$8)," "," "),CHAR(9)," "),CHAR(10)," "),CHAR(13)," "))),"")))</f>
        <v/>
      </c>
      <c r="DQ595">
        <f>IF($DM595=0,"",IF($L$9=0,"",IFERROR(IF(ISNUMBER(INDEX(PASTE_ALL,$DF595,$L$9)),INDEX(PASTE_ALL,$DF595,$L$9),TRIM(SUBSTITUTE(SUBSTITUTE(SUBSTITUTE(SUBSTITUTE(INDEX(PASTE_ALL,$DF595,$L$9)," "," "),CHAR(9)," "),CHAR(10)," "),CHAR(13)," "))),"")))</f>
        <v/>
      </c>
      <c r="DR595">
        <f>IF($DM595=0,"",IF($L$10=0,"",IFERROR(IF(ISNUMBER(INDEX(PASTE_ALL,$DF595,$L$10)),INDEX(PASTE_ALL,$DF595,$L$10),TRIM(SUBSTITUTE(SUBSTITUTE(SUBSTITUTE(SUBSTITUTE(INDEX(PASTE_ALL,$DF595,$L$10)," "," "),CHAR(9)," "),CHAR(10)," "),CHAR(13)," "))),"")))</f>
        <v/>
      </c>
      <c r="DS595">
        <f>IF($DM595=0,"",IF($L$11=0,"",IFERROR(IF(ISNUMBER(INDEX(PASTE_ALL,$DF595,$L$11)),INDEX(PASTE_ALL,$DF595,$L$11),TRIM(SUBSTITUTE(SUBSTITUTE(SUBSTITUTE(SUBSTITUTE(INDEX(PASTE_ALL,$DF595,$L$11)," "," "),CHAR(9)," "),CHAR(10)," "),CHAR(13)," "))),"")))</f>
        <v/>
      </c>
      <c r="DT595">
        <f>IF($DM595=0,"",IF($L$12=0,"",IFERROR(IF(ISNUMBER(INDEX(PASTE_ALL,$DF595,$L$12)),INDEX(PASTE_ALL,$DF595,$L$12),TRIM(SUBSTITUTE(SUBSTITUTE(SUBSTITUTE(SUBSTITUTE(INDEX(PASTE_ALL,$DF595,$L$12)," "," "),CHAR(9)," "),CHAR(10)," "),CHAR(13)," "))),"")))</f>
        <v/>
      </c>
      <c r="DU595">
        <f>IF($DM595=0,"",IF($L$13=0,"",IFERROR(IF(ISNUMBER(INDEX(PASTE_ALL,$DF595,$L$13)),INDEX(PASTE_ALL,$DF595,$L$13),TRIM(SUBSTITUTE(SUBSTITUTE(SUBSTITUTE(SUBSTITUTE(INDEX(PASTE_ALL,$DF595,$L$13)," "," "),CHAR(9)," "),CHAR(10)," "),CHAR(13)," "))),"")))</f>
        <v/>
      </c>
      <c r="DV595">
        <f>IF($DM595=0,"",IF($L$14=0,"",IFERROR(IF(ISNUMBER(INDEX(PASTE_ALL,$DF595,$L$14)),INDEX(PASTE_ALL,$DF595,$L$14),TRIM(SUBSTITUTE(SUBSTITUTE(SUBSTITUTE(SUBSTITUTE(INDEX(PASTE_ALL,$DF595,$L$14)," "," "),CHAR(9)," "),CHAR(10)," "),CHAR(13)," "))),"")))</f>
        <v/>
      </c>
      <c r="DW595">
        <f>IF($DM595=0,"",IF($L$15=0,"",IFERROR(IF(ISNUMBER(INDEX(PASTE_ALL,$DF595,$L$15)),INDEX(PASTE_ALL,$DF595,$L$15),IF(SUMPRODUCT(--ISNUMBER(FIND({"A","B","C","D","E","F","G","H","I","J","K","L","M","N","O","P","Q","R","S","T","U","V","W","X","Y","Z","0","1","2","3","4","5","6","7","8","9"},UPPER(TRIM(SUBSTITUTE(SUBSTITUTE(SUBSTITUTE(SUBSTITUTE(INDEX(PASTE_ALL,$DF595,$L$15)," "," "),CHAR(9)," "),CHAR(10)," "),CHAR(13)," "))))))&gt;0,TRIM(SUBSTITUTE(SUBSTITUTE(SUBSTITUTE(SUBSTITUTE(INDEX(PASTE_ALL,$DF595,$L$15)," "," "),CHAR(9)," "),CHAR(10)," "),CHAR(13)," ")),"")),"")))</f>
        <v/>
      </c>
      <c r="DX595">
        <f>IF($DM595=0,"",IF($L$16=0,"",IFERROR(IF(ISNUMBER(INDEX(PASTE_ALL,$DF595,$L$16)),INDEX(PASTE_ALL,$DF595,$L$16),SUBSTITUTE(SUBSTITUTE(TRIM(SUBSTITUTE(SUBSTITUTE(SUBSTITUTE(SUBSTITUTE(INDEX(PASTE_ALL,$DF595,$L$16)," "," "),CHAR(9)," "),CHAR(10)," "),CHAR(13)," ")),",",""),"%","")),"")))</f>
        <v/>
      </c>
      <c r="DY595">
        <f>IF($DM595=0,"",IFERROR(IF(ISNUMBER($DX595),$DX595,IF($DX595="","",IF(TRIM($DX595)="",0,IF(AND(AND(SUBSTITUTE(SUBSTITUTE(SUBSTITUTE(SUBSTITUTE(SUBSTITUTE(SUBSTITUTE(SUBSTITUTE(SUBSTITUTE(SUBSTITUTE(SUBSTITUTE(SUBSTITUTE(SUBSTITUTE(SUBSTITUTE(SUBSTITUTE(UPPER(TRIM($DX595)),"0",""),"1",""),"2",""),"3",""),"4",""),"5",""),"6",""),"7",""),"8",""),"9",""),".",""),"+",""),"-",""),"E","")="",LEN(SUBSTITUTE(SUBSTITUTE(MID(UPPER(TRIM($DX595)),1+OR(LEFT(UPPER(TRIM($DX595)),1)="+",LEFT(UPPER(TRIM($DX595)),1)="-"),999),"E+","E"),"E-","E"))=LEN(SUBSTITUTE(SUBSTITUTE(SUBSTITUTE(SUBSTITUTE(MID(UPPER(TRIM($DX595)),1+OR(LEFT(UPPER(TRIM($DX595)),1)="+",LEFT(UPPER(TRIM($DX595)),1)="-"),999),"E+","E"),"E-","E"),"+",""),"-","")),LEN(UPPER(TRIM($DX595)))-LEN(SUBSTITUTE(UPPER(TRIM($DX595)),"E",""))&lt;2,LEN(UPPER(TRIM($DX595)))-LEN(SUBSTITUTE(UPPER(TRIM($DX595)),".",""))&lt;2,IFERROR(FIND(".",UPPER(TRIM($DX595))),0)&lt;IFERROR(FIND("E",UPPER(TRIM($DX595))),999)),ISNUMBER(VALUE(TRIM($DX595)))),VALUE(TRIM($DX595)),"")))),""))</f>
        <v/>
      </c>
      <c r="DZ595">
        <f>IF($DM595=0,"",IF($L$17=0,"",IFERROR(IF(ISNUMBER(INDEX(PASTE_ALL,$DF595,$L$17)),INDEX(PASTE_ALL,$DF595,$L$17),SUBSTITUTE(SUBSTITUTE(TRIM(SUBSTITUTE(SUBSTITUTE(SUBSTITUTE(SUBSTITUTE(INDEX(PASTE_ALL,$DF595,$L$17)," "," "),CHAR(9)," "),CHAR(10)," "),CHAR(13)," ")),",",""),"%","")),"")))</f>
        <v/>
      </c>
      <c r="EA595">
        <f>IF($DM595=0,"",IFERROR(IF(ISNUMBER($DZ595),$DZ595,IF($DZ595="","",IF(TRIM($DZ595)="",0,IF(AND(AND(SUBSTITUTE(SUBSTITUTE(SUBSTITUTE(SUBSTITUTE(SUBSTITUTE(SUBSTITUTE(SUBSTITUTE(SUBSTITUTE(SUBSTITUTE(SUBSTITUTE(SUBSTITUTE(SUBSTITUTE(SUBSTITUTE(SUBSTITUTE(UPPER(TRIM($DZ595)),"0",""),"1",""),"2",""),"3",""),"4",""),"5",""),"6",""),"7",""),"8",""),"9",""),".",""),"+",""),"-",""),"E","")="",LEN(SUBSTITUTE(SUBSTITUTE(MID(UPPER(TRIM($DZ595)),1+OR(LEFT(UPPER(TRIM($DZ595)),1)="+",LEFT(UPPER(TRIM($DZ595)),1)="-"),999),"E+","E"),"E-","E"))=LEN(SUBSTITUTE(SUBSTITUTE(SUBSTITUTE(SUBSTITUTE(MID(UPPER(TRIM($DZ595)),1+OR(LEFT(UPPER(TRIM($DZ595)),1)="+",LEFT(UPPER(TRIM($DZ595)),1)="-"),999),"E+","E"),"E-","E"),"+",""),"-","")),LEN(UPPER(TRIM($DZ595)))-LEN(SUBSTITUTE(UPPER(TRIM($DZ595)),"E",""))&lt;2,LEN(UPPER(TRIM($DZ595)))-LEN(SUBSTITUTE(UPPER(TRIM($DZ595)),".",""))&lt;2,IFERROR(FIND(".",UPPER(TRIM($DZ595))),0)&lt;IFERROR(FIND("E",UPPER(TRIM($DZ595))),999)),ISNUMBER(VALUE(TRIM($DZ595)))),VALUE(TRIM($DZ595)),"")))),""))</f>
        <v/>
      </c>
      <c r="EB595">
        <f>IF($DM595=0,"",IF($L$18=0,"",IFERROR(IF(UPPER(TRIM(SUBSTITUTE(SUBSTITUTE(SUBSTITUTE(SUBSTITUTE(INDEX(PASTE_ALL,$DF595,$L$18)," "," "),CHAR(9)," "),CHAR(10)," "),CHAR(13)," ")))="READY","Ready",IF(UPPER(TRIM(SUBSTITUTE(SUBSTITUTE(SUBSTITUTE(SUBSTITUTE(INDEX(PASTE_ALL,$DF595,$L$18)," "," "),CHAR(9)," "),CHAR(10)," "),CHAR(13)," ")))="PM","PM",IF(OR(UPPER(TRIM(SUBSTITUTE(SUBSTITUTE(SUBSTITUTE(SUBSTITUTE(INDEX(PASTE_ALL,$DF595,$L$18)," "," "),CHAR(9)," "),CHAR(10)," "),CHAR(13)," ")))="OT",UPPER(TRIM(SUBSTITUTE(SUBSTITUTE(SUBSTITUTE(SUBSTITUTE(INDEX(PASTE_ALL,$DF595,$L$18)," "," "),CHAR(9)," "),CHAR(10)," "),CHAR(13)," ")))="OVERTIME",UPPER(TRIM(SUBSTITUTE(SUBSTITUTE(SUBSTITUTE(SUBSTITUTE(INDEX(PASTE_ALL,$DF595,$L$18)," "," "),CHAR(9)," "),CHAR(10)," "),CHAR(13)," ")))="TRIAL"),"OT",TRIM(SUBSTITUTE(SUBSTITUTE(SUBSTITUTE(SUBSTITUTE(INDEX(PASTE_ALL,$DF595,$L$18)," "," "),CHAR(9)," "),CHAR(10)," "),CHAR(13)," "))))),"")))</f>
        <v/>
      </c>
      <c r="EC595">
        <f>IF($DM595=0,"",IF($L$19=0,"",IFERROR(IF(ISNUMBER(INDEX(PASTE_ALL,$DF595,$L$19)),INDEX(PASTE_ALL,$DF595,$L$19),TRIM(SUBSTITUTE(SUBSTITUTE(SUBSTITUTE(SUBSTITUTE(INDEX(PASTE_ALL,$DF595,$L$19)," "," "),CHAR(9)," "),CHAR(10)," "),CHAR(13)," "))),"")))</f>
        <v/>
      </c>
      <c r="ED595">
        <f>IF($DM595=0,"",MATCH(1,INDEX(EXACT($DH$5:DH595,$DH595)*$DM$5:DM595,0),0))</f>
        <v/>
      </c>
      <c r="EE595">
        <f>IF($DM595=0,0,IF($ED595=$DE595,1,0))</f>
        <v/>
      </c>
      <c r="EF595">
        <f>EF594+$EE595</f>
        <v/>
      </c>
      <c r="EG595">
        <f>IF($DM595=0,"",INDEX($EF$5:$EF$1003,$ED595))</f>
        <v/>
      </c>
      <c r="EH595">
        <f>IF($DM595=0,"",IF($DO595&lt;&gt;"","",IFERROR(LOOKUP(2,1/(($EG$4:EG594=$EG595)*($DO$4:DO594&lt;&gt;"")),$DO$4:DO594),"")))</f>
        <v/>
      </c>
      <c r="EI595">
        <f>IF($DM595=0,"",IF($DO595&lt;&gt;"",$DO595,$EH595))</f>
        <v/>
      </c>
      <c r="EJ595">
        <f>IF($DM595=0,"",IF($EI595="",0,IF(OR(ISNUMBER($EI595),AND(AND(SUBSTITUTE(SUBSTITUTE(SUBSTITUTE(SUBSTITUTE(SUBSTITUTE(SUBSTITUTE(SUBSTITUTE(SUBSTITUTE(SUBSTITUTE(SUBSTITUTE(SUBSTITUTE(SUBSTITUTE(SUBSTITUTE(SUBSTITUTE(UPPER($EI595),"0",""),"1",""),"2",""),"3",""),"4",""),"5",""),"6",""),"7",""),"8",""),"9",""),".",""),"+",""),"-",""),"E","")="",LEN(SUBSTITUTE(SUBSTITUTE(MID(UPPER($EI595),1+OR(LEFT(UPPER($EI595),1)="+",LEFT(UPPER($EI595),1)="-"),999),"E+","E"),"E-","E"))=LEN(SUBSTITUTE(SUBSTITUTE(SUBSTITUTE(SUBSTITUTE(MID(UPPER($EI595),1+OR(LEFT(UPPER($EI595),1)="+",LEFT(UPPER($EI595),1)="-"),999),"E+","E"),"E-","E"),"+",""),"-","")),LEN(UPPER($EI595))-LEN(SUBSTITUTE(UPPER($EI595),"E",""))&lt;2,LEN(UPPER($EI595))-LEN(SUBSTITUTE(UPPER($EI595),".",""))&lt;2,IFERROR(FIND(".",UPPER($EI595)),0)&lt;IFERROR(FIND("E",UPPER($EI595)),999)),ISNUMBER(VALUE($EI595)))),1,2)))</f>
        <v/>
      </c>
      <c r="EK595">
        <f>IF($DM595=0,"",IF($EJ595=1,IF(ISNUMBER($EI595),$EI595,VALUE($EI595)),IF($EJ595=2,$DE595,0)))</f>
        <v/>
      </c>
      <c r="EL595">
        <f>IF($DM595=0,"",COUNTIF($EG$5:$EG$1003,"&lt;"&amp;$EG595)+SUMPRODUCT(($EG$5:$EG$1003=$EG595)*(($EJ$5:$EJ$1003&lt;$EJ595)+($EJ$5:$EJ$1003=$EJ595)*(($EK$5:$EK$1003&lt;$EK595)+($EK$5:$EK$1003=$EK595)*($DE$5:$DE$1003&lt;$DE595))))+1)</f>
        <v/>
      </c>
      <c r="EM595">
        <f>IF($DM595=0,"",$EL595+$EG595-1)</f>
        <v/>
      </c>
      <c r="EN595">
        <f>IF($DM595=0,0,IFERROR(MATCH(1,INDEX(--(TRIM(SUBSTITUTE(SUBSTITUTE(SUBSTITUTE(SUBSTITUTE(LINES_NAME&amp;""," "," "),CHAR(9)," "),CHAR(10)," "),CHAR(13)," "))=$DH595),0),0),0))</f>
        <v/>
      </c>
      <c r="EO595">
        <f>IF($EN595=0,0,IF(OR(UPPER(TRIM(INDEX(LINES_SCHEDULED,$EN595)&amp;""))="YES",UPPER(TRIM(INDEX(LINES_SCHEDULED,$EN595)&amp;""))="Y",UPPER(TRIM(INDEX(LINES_SCHEDULED,$EN595)&amp;""))="X"),1,0))</f>
        <v/>
      </c>
      <c r="EP595">
        <f>IF($DM595=0,"",IF(COUNTIFS($EG$5:$EG$1003,$EG595,$EB$5:$EB$1003,"Ready")&gt;0,"READY",IF(COUNTIFS($EG$5:$EG$1003,$EG595,$EB$5:$EB$1003,"PM")&gt;0,"PM",IF(COUNTIFS($EG$5:$EG$1003,$EG595,$EB$5:$EB$1003,"OT")&gt;0,"OT",""))))</f>
        <v/>
      </c>
      <c r="EQ595">
        <f>IF($EN595=0,"",UPPER(TRIM(INDEX(LINES_STATUS,$EN595)&amp;"")))</f>
        <v/>
      </c>
      <c r="ER595">
        <f>IF($DM595=0,"",IF(OR($EQ595="READY",$EQ595="PM",$EQ595="OT"),$EQ595,$EP595))</f>
        <v/>
      </c>
      <c r="ES595">
        <f>IF($DM595=0,"",IF(AND($DV595&lt;&gt;"",UPPER($DV595)&lt;&gt;"N"),"allergen",IF(ISNUMBER(SEARCH("oil",$DQ595)),"oil",IF(OR(EXACT($DS595,"A662"),EXACT($DS595,"A624")),"bulk",""))))</f>
        <v/>
      </c>
      <c r="ET595">
        <f>IF($DM595=0,"",IF(OR($EA595="",$EA595=0),"",$EA595/100))</f>
        <v/>
      </c>
      <c r="EU595">
        <f>IF(OR($ET595="",$DY595=""),"",INT($DY595*(1-$ET595)+0.5))</f>
        <v/>
      </c>
      <c r="EW595" t="n">
        <v>591</v>
      </c>
      <c r="EX595">
        <f>IFERROR(MATCH($EW595,$EM$5:$EM$1003,0),0)</f>
        <v/>
      </c>
      <c r="EY595">
        <f>IF($EW595&gt;$B$12,"",IF($EX595&gt;0,"row","spacer"))</f>
        <v/>
      </c>
      <c r="EZ595">
        <f>IF(AND($EY595="row",$EY594&lt;&gt;"row"),1,0)</f>
        <v/>
      </c>
      <c r="FA595">
        <f>IF(AND($EY595="row",$EY596&lt;&gt;"row"),1,0)</f>
        <v/>
      </c>
      <c r="FB595">
        <f>IF($EZ595=1,IFERROR(IF(ISNUMBER(INDEX(PASTE_ALL,INDEX($DF$5:$DF$1003,$EX595),$B$37)),INDEX(PASTE_ALL,INDEX($DF$5:$DF$1003,$EX595),$B$37),INDEX($DH$5:$DH$1003,$EX595)),INDEX($DH$5:$DH$1003,$EX595)),"")</f>
        <v/>
      </c>
      <c r="FC595">
        <f>IF($EY595="row",INDEX($ER$5:$ER$1003,$EX595),"")</f>
        <v/>
      </c>
      <c r="FD595">
        <f>IF($EY595="row",INDEX($DN$5:$DN$1003,$EX595),"")</f>
        <v/>
      </c>
      <c r="FE595">
        <f>IF($EY595="row",INDEX($DO$5:$DO$1003,$EX595),"")</f>
        <v/>
      </c>
      <c r="FF595">
        <f>IF($EY595="row",INDEX($DP$5:$DP$1003,$EX595),"")</f>
        <v/>
      </c>
      <c r="FG595">
        <f>IF($EY595="row",INDEX($DQ$5:$DQ$1003,$EX595),"")</f>
        <v/>
      </c>
      <c r="FH595">
        <f>IF($EY595="row",INDEX($DR$5:$DR$1003,$EX595),"")</f>
        <v/>
      </c>
      <c r="FI595">
        <f>IF($EY595="row",INDEX($DS$5:$DS$1003,$EX595),"")</f>
        <v/>
      </c>
      <c r="FJ595">
        <f>IF($EY595="row",INDEX($DT$5:$DT$1003,$EX595),"")</f>
        <v/>
      </c>
      <c r="FK595">
        <f>IF($EY595="row",INDEX($DU$5:$DU$1003,$EX595),"")</f>
        <v/>
      </c>
      <c r="FL595">
        <f>IF($EY595="row",INDEX($DV$5:$DV$1003,$EX595),"")</f>
        <v/>
      </c>
      <c r="FM595">
        <f>IF($EY595="row",INDEX($DW$5:$DW$1003,$EX595),"")</f>
        <v/>
      </c>
      <c r="FN595">
        <f>IF($EY595="row",INDEX($DY$5:$DY$1003,$EX595),"")</f>
        <v/>
      </c>
      <c r="FO595">
        <f>IF($EY595="row",INDEX($EA$5:$EA$1003,$EX595),"")</f>
        <v/>
      </c>
      <c r="FP595">
        <f>IF($EY595="row",INDEX($EC$5:$EC$1003,$EX595),"")</f>
        <v/>
      </c>
      <c r="FQ595">
        <f>IF($EY595="row",INDEX($ET$5:$ET$1003,$EX595),"")</f>
        <v/>
      </c>
      <c r="FR595">
        <f>IF($EY595="row",INDEX($EU$5:$EU$1003,$EX595),"")</f>
        <v/>
      </c>
      <c r="FS595">
        <f>IF(AND($EY595="row",$EY594="row"),IF(OR(INDEX($DT$5:$DT$1003,$EX594)="",INDEX($DT$5:$DT$1003,$EX595)=""),"",IF(NOT(EXACT(INDEX($DT$5:$DT$1003,$EX594),INDEX($DT$5:$DT$1003,$EX595))),"S4",IF(NOT(EXACT(INDEX($DS$5:$DS$1003,$EX594),INDEX($DS$5:$DS$1003,$EX595))),"S3",IF(NOT(EXACT(INDEX($DR$5:$DR$1003,$EX594),INDEX($DR$5:$DR$1003,$EX595))),"S1 Count Change","S1")))),"")</f>
        <v/>
      </c>
      <c r="FT595">
        <f>IF($EY595="row",INDEX($ES$5:$ES$1003,$EX595),"")</f>
        <v/>
      </c>
      <c r="FU595">
        <f>IF($EY595="row",INDEX($EO$5:$EO$1003,$EX595),0)</f>
        <v/>
      </c>
      <c r="FV595">
        <f>IF($FS595="S1 Count Change",1,0)</f>
        <v/>
      </c>
    </row>
    <row r="596">
      <c r="DA596" t="n">
        <v>592</v>
      </c>
      <c r="DB596">
        <f>IF($B$37=0,"",IFERROR(TRIM(SUBSTITUTE(SUBSTITUTE(SUBSTITUTE(SUBSTITUTE(INDEX(PASTE_ALL,592,$B$37)," "," "),CHAR(9)," "),CHAR(10)," "),CHAR(13)," ")),""))</f>
        <v/>
      </c>
      <c r="DC596">
        <f>IF(AND(592&gt;HEADER_ROW,UPPER(DB596)="LEGEND"),1,0)</f>
        <v/>
      </c>
      <c r="DE596" t="n">
        <v>592</v>
      </c>
      <c r="DF596">
        <f>HEADER_ROW+$DE596</f>
        <v/>
      </c>
      <c r="DG596">
        <f>IF(AND($DF596&lt;=1000,$DF596&lt;$B$8),1,0)</f>
        <v/>
      </c>
      <c r="DH596">
        <f>IF($DG596=1,IFERROR(INDEX($DB$5:$DB$1004,$DF596),""),"")</f>
        <v/>
      </c>
      <c r="DI596">
        <f>IF(AND($DG596=1,$DH596&lt;&gt;""),IFERROR(SUBSTITUTE(SUBSTITUTE(TRIM(SUBSTITUTE(SUBSTITUTE(SUBSTITUTE(SUBSTITUTE(IFERROR(INDEX(PASTE_ALL,$DF596,1)&amp;"","")&amp;"␟"&amp;IFERROR(INDEX(PASTE_ALL,$DF596,2)&amp;"","")&amp;"␟"&amp;IFERROR(INDEX(PASTE_ALL,$DF596,3)&amp;"","")&amp;"␟"&amp;IFERROR(INDEX(PASTE_ALL,$DF596,4)&amp;"","")&amp;"␟"&amp;IFERROR(INDEX(PASTE_ALL,$DF596,5)&amp;"","")&amp;"␟"&amp;IFERROR(INDEX(PASTE_ALL,$DF596,6)&amp;"","")&amp;"␟"&amp;IFERROR(INDEX(PASTE_ALL,$DF596,7)&amp;"","")&amp;"␟"&amp;IFERROR(INDEX(PASTE_ALL,$DF596,8)&amp;"","")&amp;"␟"&amp;IFERROR(INDEX(PASTE_ALL,$DF596,9)&amp;"","")&amp;"␟"&amp;IFERROR(INDEX(PASTE_ALL,$DF596,10)&amp;"","")&amp;"␟"&amp;IFERROR(INDEX(PASTE_ALL,$DF596,11)&amp;"","")&amp;"␟"&amp;IFERROR(INDEX(PASTE_ALL,$DF596,12)&amp;"","")&amp;"␟"&amp;IFERROR(INDEX(PASTE_ALL,$DF596,13)&amp;"","")&amp;"␟"&amp;IFERROR(INDEX(PASTE_ALL,$DF596,14)&amp;"","")&amp;"␟"&amp;IFERROR(INDEX(PASTE_ALL,$DF596,15)&amp;"","")&amp;"␟"&amp;IFERROR(INDEX(PASTE_ALL,$DF596,16)&amp;"","")&amp;"␟"&amp;IFERROR(INDEX(PASTE_ALL,$DF596,17)&amp;"","")&amp;"␟"&amp;IFERROR(INDEX(PASTE_ALL,$DF596,18)&amp;"","")&amp;"␟"&amp;IFERROR(INDEX(PASTE_ALL,$DF596,19)&amp;"","")&amp;"␟"&amp;IFERROR(INDEX(PASTE_ALL,$DF596,20)&amp;"","")&amp;"␟"&amp;IFERROR(INDEX(PASTE_ALL,$DF596,21)&amp;"","")&amp;"␟"&amp;IFERROR(INDEX(PASTE_ALL,$DF596,22)&amp;"","")&amp;"␟"&amp;IFERROR(INDEX(PASTE_ALL,$DF596,23)&amp;"","")&amp;"␟"&amp;IFERROR(INDEX(PASTE_ALL,$DF596,24)&amp;"","")&amp;"␟"&amp;IFERROR(INDEX(PASTE_ALL,$DF596,25)&amp;"","")&amp;"␟"&amp;IFERROR(INDEX(PASTE_ALL,$DF596,26)&amp;"","")&amp;"␟"&amp;IFERROR(INDEX(PASTE_ALL,$DF596,27)&amp;"","")&amp;"␟"&amp;IFERROR(INDEX(PASTE_ALL,$DF596,28)&amp;"","")&amp;"␟"&amp;IFERROR(INDEX(PASTE_ALL,$DF596,29)&amp;"","")&amp;"␟"&amp;IFERROR(INDEX(PASTE_ALL,$DF596,30)&amp;"","")&amp;"␟"&amp;IFERROR(INDEX(PASTE_ALL,$DF596,31)&amp;"","")&amp;"␟"&amp;IFERROR(INDEX(PASTE_ALL,$DF596,32)&amp;"","")&amp;"␟"&amp;IFERROR(INDEX(PASTE_ALL,$DF596,33)&amp;"","")&amp;"␟"&amp;IFERROR(INDEX(PASTE_ALL,$DF596,34)&amp;"","")&amp;"␟"&amp;IFERROR(INDEX(PASTE_ALL,$DF596,35)&amp;"","")&amp;"␟"&amp;IFERROR(INDEX(PASTE_ALL,$DF596,36)&amp;"","")&amp;"␟"&amp;IFERROR(INDEX(PASTE_ALL,$DF596,37)&amp;"","")&amp;"␟"&amp;IFERROR(INDEX(PASTE_ALL,$DF596,38)&amp;"","")&amp;"␟"&amp;IFERROR(INDEX(PASTE_ALL,$DF596,39)&amp;"","")&amp;"␟"&amp;IFERROR(INDEX(PASTE_ALL,$DF596,40)&amp;"","")&amp;"␟"&amp;IFERROR(INDEX(PASTE_ALL,$DF596,41)&amp;"","")&amp;"␟"&amp;IFERROR(INDEX(PASTE_ALL,$DF596,42)&amp;"","")&amp;"␟"&amp;IFERROR(INDEX(PASTE_ALL,$DF596,43)&amp;"","")&amp;"␟"&amp;IFERROR(INDEX(PASTE_ALL,$DF596,44)&amp;"","")&amp;"␟"&amp;IFERROR(INDEX(PASTE_ALL,$DF596,45)&amp;"","")&amp;"␟"&amp;IFERROR(INDEX(PASTE_ALL,$DF596,46)&amp;"","")&amp;"␟"&amp;IFERROR(INDEX(PASTE_ALL,$DF596,47)&amp;"","")&amp;"␟"&amp;IFERROR(INDEX(PASTE_ALL,$DF596,48)&amp;"","")&amp;"␟"&amp;IFERROR(INDEX(PASTE_ALL,$DF596,49)&amp;"","")&amp;"␟"&amp;IFERROR(INDEX(PASTE_ALL,$DF596,50)&amp;"","")&amp;"␟"&amp;IFERROR(INDEX(PASTE_ALL,$DF596,51)&amp;"","")&amp;"␟"&amp;IFERROR(INDEX(PASTE_ALL,$DF596,52)&amp;"","")&amp;"␟"&amp;IFERROR(INDEX(PASTE_ALL,$DF596,53)&amp;"","")&amp;"␟"&amp;IFERROR(INDEX(PASTE_ALL,$DF596,54)&amp;"","")&amp;"␟"&amp;IFERROR(INDEX(PASTE_ALL,$DF596,55)&amp;"","")&amp;"␟"&amp;IFERROR(INDEX(PASTE_ALL,$DF596,56)&amp;"","")&amp;"␟"&amp;IFERROR(INDEX(PASTE_ALL,$DF596,57)&amp;"","")&amp;"␟"&amp;IFERROR(INDEX(PASTE_ALL,$DF596,58)&amp;"","")&amp;"␟"&amp;IFERROR(INDEX(PASTE_ALL,$DF596,59)&amp;"","")&amp;"␟"&amp;IFERROR(INDEX(PASTE_ALL,$DF596,60)&amp;"","")," "," "),CHAR(9)," "),CHAR(10)," "),CHAR(13)," "))," ␟","␟"),"␟ ","␟"),"#"&amp;$DE596),"")</f>
        <v/>
      </c>
      <c r="DJ596">
        <f>IF($DI596="",0,IF(SUMPRODUCT(--EXACT($DI$4:DI595,$DI596))&gt;0,1,0))</f>
        <v/>
      </c>
      <c r="DK596">
        <f>IF(AND($DI596&lt;&gt;"",$DJ596=0),1,0)</f>
        <v/>
      </c>
      <c r="DL596">
        <f>DL595+$DK596</f>
        <v/>
      </c>
      <c r="DM596">
        <f>IF(AND($DK596=1,$DL596&lt;=600),1,0)</f>
        <v/>
      </c>
      <c r="DN596">
        <f>IF($DM596=0,"",IF($L$6=0,"",IFERROR(IF(ISNUMBER(INDEX(PASTE_ALL,$DF596,$L$6)),INDEX(PASTE_ALL,$DF596,$L$6),TRIM(SUBSTITUTE(SUBSTITUTE(SUBSTITUTE(SUBSTITUTE(INDEX(PASTE_ALL,$DF596,$L$6)," "," "),CHAR(9)," "),CHAR(10)," "),CHAR(13)," "))),"")))</f>
        <v/>
      </c>
      <c r="DO596">
        <f>IF($DM596=0,"",IF($L$7=0,"",IFERROR(IF(ISNUMBER(INDEX(PASTE_ALL,$DF596,$L$7)),INDEX(PASTE_ALL,$DF596,$L$7),TRIM(SUBSTITUTE(SUBSTITUTE(SUBSTITUTE(SUBSTITUTE(INDEX(PASTE_ALL,$DF596,$L$7)," "," "),CHAR(9)," "),CHAR(10)," "),CHAR(13)," "))),"")))</f>
        <v/>
      </c>
      <c r="DP596">
        <f>IF($DM596=0,"",IF($L$8=0,"",IFERROR(IF(ISNUMBER(INDEX(PASTE_ALL,$DF596,$L$8)),INDEX(PASTE_ALL,$DF596,$L$8),TRIM(SUBSTITUTE(SUBSTITUTE(SUBSTITUTE(SUBSTITUTE(INDEX(PASTE_ALL,$DF596,$L$8)," "," "),CHAR(9)," "),CHAR(10)," "),CHAR(13)," "))),"")))</f>
        <v/>
      </c>
      <c r="DQ596">
        <f>IF($DM596=0,"",IF($L$9=0,"",IFERROR(IF(ISNUMBER(INDEX(PASTE_ALL,$DF596,$L$9)),INDEX(PASTE_ALL,$DF596,$L$9),TRIM(SUBSTITUTE(SUBSTITUTE(SUBSTITUTE(SUBSTITUTE(INDEX(PASTE_ALL,$DF596,$L$9)," "," "),CHAR(9)," "),CHAR(10)," "),CHAR(13)," "))),"")))</f>
        <v/>
      </c>
      <c r="DR596">
        <f>IF($DM596=0,"",IF($L$10=0,"",IFERROR(IF(ISNUMBER(INDEX(PASTE_ALL,$DF596,$L$10)),INDEX(PASTE_ALL,$DF596,$L$10),TRIM(SUBSTITUTE(SUBSTITUTE(SUBSTITUTE(SUBSTITUTE(INDEX(PASTE_ALL,$DF596,$L$10)," "," "),CHAR(9)," "),CHAR(10)," "),CHAR(13)," "))),"")))</f>
        <v/>
      </c>
      <c r="DS596">
        <f>IF($DM596=0,"",IF($L$11=0,"",IFERROR(IF(ISNUMBER(INDEX(PASTE_ALL,$DF596,$L$11)),INDEX(PASTE_ALL,$DF596,$L$11),TRIM(SUBSTITUTE(SUBSTITUTE(SUBSTITUTE(SUBSTITUTE(INDEX(PASTE_ALL,$DF596,$L$11)," "," "),CHAR(9)," "),CHAR(10)," "),CHAR(13)," "))),"")))</f>
        <v/>
      </c>
      <c r="DT596">
        <f>IF($DM596=0,"",IF($L$12=0,"",IFERROR(IF(ISNUMBER(INDEX(PASTE_ALL,$DF596,$L$12)),INDEX(PASTE_ALL,$DF596,$L$12),TRIM(SUBSTITUTE(SUBSTITUTE(SUBSTITUTE(SUBSTITUTE(INDEX(PASTE_ALL,$DF596,$L$12)," "," "),CHAR(9)," "),CHAR(10)," "),CHAR(13)," "))),"")))</f>
        <v/>
      </c>
      <c r="DU596">
        <f>IF($DM596=0,"",IF($L$13=0,"",IFERROR(IF(ISNUMBER(INDEX(PASTE_ALL,$DF596,$L$13)),INDEX(PASTE_ALL,$DF596,$L$13),TRIM(SUBSTITUTE(SUBSTITUTE(SUBSTITUTE(SUBSTITUTE(INDEX(PASTE_ALL,$DF596,$L$13)," "," "),CHAR(9)," "),CHAR(10)," "),CHAR(13)," "))),"")))</f>
        <v/>
      </c>
      <c r="DV596">
        <f>IF($DM596=0,"",IF($L$14=0,"",IFERROR(IF(ISNUMBER(INDEX(PASTE_ALL,$DF596,$L$14)),INDEX(PASTE_ALL,$DF596,$L$14),TRIM(SUBSTITUTE(SUBSTITUTE(SUBSTITUTE(SUBSTITUTE(INDEX(PASTE_ALL,$DF596,$L$14)," "," "),CHAR(9)," "),CHAR(10)," "),CHAR(13)," "))),"")))</f>
        <v/>
      </c>
      <c r="DW596">
        <f>IF($DM596=0,"",IF($L$15=0,"",IFERROR(IF(ISNUMBER(INDEX(PASTE_ALL,$DF596,$L$15)),INDEX(PASTE_ALL,$DF596,$L$15),IF(SUMPRODUCT(--ISNUMBER(FIND({"A","B","C","D","E","F","G","H","I","J","K","L","M","N","O","P","Q","R","S","T","U","V","W","X","Y","Z","0","1","2","3","4","5","6","7","8","9"},UPPER(TRIM(SUBSTITUTE(SUBSTITUTE(SUBSTITUTE(SUBSTITUTE(INDEX(PASTE_ALL,$DF596,$L$15)," "," "),CHAR(9)," "),CHAR(10)," "),CHAR(13)," "))))))&gt;0,TRIM(SUBSTITUTE(SUBSTITUTE(SUBSTITUTE(SUBSTITUTE(INDEX(PASTE_ALL,$DF596,$L$15)," "," "),CHAR(9)," "),CHAR(10)," "),CHAR(13)," ")),"")),"")))</f>
        <v/>
      </c>
      <c r="DX596">
        <f>IF($DM596=0,"",IF($L$16=0,"",IFERROR(IF(ISNUMBER(INDEX(PASTE_ALL,$DF596,$L$16)),INDEX(PASTE_ALL,$DF596,$L$16),SUBSTITUTE(SUBSTITUTE(TRIM(SUBSTITUTE(SUBSTITUTE(SUBSTITUTE(SUBSTITUTE(INDEX(PASTE_ALL,$DF596,$L$16)," "," "),CHAR(9)," "),CHAR(10)," "),CHAR(13)," ")),",",""),"%","")),"")))</f>
        <v/>
      </c>
      <c r="DY596">
        <f>IF($DM596=0,"",IFERROR(IF(ISNUMBER($DX596),$DX596,IF($DX596="","",IF(TRIM($DX596)="",0,IF(AND(AND(SUBSTITUTE(SUBSTITUTE(SUBSTITUTE(SUBSTITUTE(SUBSTITUTE(SUBSTITUTE(SUBSTITUTE(SUBSTITUTE(SUBSTITUTE(SUBSTITUTE(SUBSTITUTE(SUBSTITUTE(SUBSTITUTE(SUBSTITUTE(UPPER(TRIM($DX596)),"0",""),"1",""),"2",""),"3",""),"4",""),"5",""),"6",""),"7",""),"8",""),"9",""),".",""),"+",""),"-",""),"E","")="",LEN(SUBSTITUTE(SUBSTITUTE(MID(UPPER(TRIM($DX596)),1+OR(LEFT(UPPER(TRIM($DX596)),1)="+",LEFT(UPPER(TRIM($DX596)),1)="-"),999),"E+","E"),"E-","E"))=LEN(SUBSTITUTE(SUBSTITUTE(SUBSTITUTE(SUBSTITUTE(MID(UPPER(TRIM($DX596)),1+OR(LEFT(UPPER(TRIM($DX596)),1)="+",LEFT(UPPER(TRIM($DX596)),1)="-"),999),"E+","E"),"E-","E"),"+",""),"-","")),LEN(UPPER(TRIM($DX596)))-LEN(SUBSTITUTE(UPPER(TRIM($DX596)),"E",""))&lt;2,LEN(UPPER(TRIM($DX596)))-LEN(SUBSTITUTE(UPPER(TRIM($DX596)),".",""))&lt;2,IFERROR(FIND(".",UPPER(TRIM($DX596))),0)&lt;IFERROR(FIND("E",UPPER(TRIM($DX596))),999)),ISNUMBER(VALUE(TRIM($DX596)))),VALUE(TRIM($DX596)),"")))),""))</f>
        <v/>
      </c>
      <c r="DZ596">
        <f>IF($DM596=0,"",IF($L$17=0,"",IFERROR(IF(ISNUMBER(INDEX(PASTE_ALL,$DF596,$L$17)),INDEX(PASTE_ALL,$DF596,$L$17),SUBSTITUTE(SUBSTITUTE(TRIM(SUBSTITUTE(SUBSTITUTE(SUBSTITUTE(SUBSTITUTE(INDEX(PASTE_ALL,$DF596,$L$17)," "," "),CHAR(9)," "),CHAR(10)," "),CHAR(13)," ")),",",""),"%","")),"")))</f>
        <v/>
      </c>
      <c r="EA596">
        <f>IF($DM596=0,"",IFERROR(IF(ISNUMBER($DZ596),$DZ596,IF($DZ596="","",IF(TRIM($DZ596)="",0,IF(AND(AND(SUBSTITUTE(SUBSTITUTE(SUBSTITUTE(SUBSTITUTE(SUBSTITUTE(SUBSTITUTE(SUBSTITUTE(SUBSTITUTE(SUBSTITUTE(SUBSTITUTE(SUBSTITUTE(SUBSTITUTE(SUBSTITUTE(SUBSTITUTE(UPPER(TRIM($DZ596)),"0",""),"1",""),"2",""),"3",""),"4",""),"5",""),"6",""),"7",""),"8",""),"9",""),".",""),"+",""),"-",""),"E","")="",LEN(SUBSTITUTE(SUBSTITUTE(MID(UPPER(TRIM($DZ596)),1+OR(LEFT(UPPER(TRIM($DZ596)),1)="+",LEFT(UPPER(TRIM($DZ596)),1)="-"),999),"E+","E"),"E-","E"))=LEN(SUBSTITUTE(SUBSTITUTE(SUBSTITUTE(SUBSTITUTE(MID(UPPER(TRIM($DZ596)),1+OR(LEFT(UPPER(TRIM($DZ596)),1)="+",LEFT(UPPER(TRIM($DZ596)),1)="-"),999),"E+","E"),"E-","E"),"+",""),"-","")),LEN(UPPER(TRIM($DZ596)))-LEN(SUBSTITUTE(UPPER(TRIM($DZ596)),"E",""))&lt;2,LEN(UPPER(TRIM($DZ596)))-LEN(SUBSTITUTE(UPPER(TRIM($DZ596)),".",""))&lt;2,IFERROR(FIND(".",UPPER(TRIM($DZ596))),0)&lt;IFERROR(FIND("E",UPPER(TRIM($DZ596))),999)),ISNUMBER(VALUE(TRIM($DZ596)))),VALUE(TRIM($DZ596)),"")))),""))</f>
        <v/>
      </c>
      <c r="EB596">
        <f>IF($DM596=0,"",IF($L$18=0,"",IFERROR(IF(UPPER(TRIM(SUBSTITUTE(SUBSTITUTE(SUBSTITUTE(SUBSTITUTE(INDEX(PASTE_ALL,$DF596,$L$18)," "," "),CHAR(9)," "),CHAR(10)," "),CHAR(13)," ")))="READY","Ready",IF(UPPER(TRIM(SUBSTITUTE(SUBSTITUTE(SUBSTITUTE(SUBSTITUTE(INDEX(PASTE_ALL,$DF596,$L$18)," "," "),CHAR(9)," "),CHAR(10)," "),CHAR(13)," ")))="PM","PM",IF(OR(UPPER(TRIM(SUBSTITUTE(SUBSTITUTE(SUBSTITUTE(SUBSTITUTE(INDEX(PASTE_ALL,$DF596,$L$18)," "," "),CHAR(9)," "),CHAR(10)," "),CHAR(13)," ")))="OT",UPPER(TRIM(SUBSTITUTE(SUBSTITUTE(SUBSTITUTE(SUBSTITUTE(INDEX(PASTE_ALL,$DF596,$L$18)," "," "),CHAR(9)," "),CHAR(10)," "),CHAR(13)," ")))="OVERTIME",UPPER(TRIM(SUBSTITUTE(SUBSTITUTE(SUBSTITUTE(SUBSTITUTE(INDEX(PASTE_ALL,$DF596,$L$18)," "," "),CHAR(9)," "),CHAR(10)," "),CHAR(13)," ")))="TRIAL"),"OT",TRIM(SUBSTITUTE(SUBSTITUTE(SUBSTITUTE(SUBSTITUTE(INDEX(PASTE_ALL,$DF596,$L$18)," "," "),CHAR(9)," "),CHAR(10)," "),CHAR(13)," "))))),"")))</f>
        <v/>
      </c>
      <c r="EC596">
        <f>IF($DM596=0,"",IF($L$19=0,"",IFERROR(IF(ISNUMBER(INDEX(PASTE_ALL,$DF596,$L$19)),INDEX(PASTE_ALL,$DF596,$L$19),TRIM(SUBSTITUTE(SUBSTITUTE(SUBSTITUTE(SUBSTITUTE(INDEX(PASTE_ALL,$DF596,$L$19)," "," "),CHAR(9)," "),CHAR(10)," "),CHAR(13)," "))),"")))</f>
        <v/>
      </c>
      <c r="ED596">
        <f>IF($DM596=0,"",MATCH(1,INDEX(EXACT($DH$5:DH596,$DH596)*$DM$5:DM596,0),0))</f>
        <v/>
      </c>
      <c r="EE596">
        <f>IF($DM596=0,0,IF($ED596=$DE596,1,0))</f>
        <v/>
      </c>
      <c r="EF596">
        <f>EF595+$EE596</f>
        <v/>
      </c>
      <c r="EG596">
        <f>IF($DM596=0,"",INDEX($EF$5:$EF$1003,$ED596))</f>
        <v/>
      </c>
      <c r="EH596">
        <f>IF($DM596=0,"",IF($DO596&lt;&gt;"","",IFERROR(LOOKUP(2,1/(($EG$4:EG595=$EG596)*($DO$4:DO595&lt;&gt;"")),$DO$4:DO595),"")))</f>
        <v/>
      </c>
      <c r="EI596">
        <f>IF($DM596=0,"",IF($DO596&lt;&gt;"",$DO596,$EH596))</f>
        <v/>
      </c>
      <c r="EJ596">
        <f>IF($DM596=0,"",IF($EI596="",0,IF(OR(ISNUMBER($EI596),AND(AND(SUBSTITUTE(SUBSTITUTE(SUBSTITUTE(SUBSTITUTE(SUBSTITUTE(SUBSTITUTE(SUBSTITUTE(SUBSTITUTE(SUBSTITUTE(SUBSTITUTE(SUBSTITUTE(SUBSTITUTE(SUBSTITUTE(SUBSTITUTE(UPPER($EI596),"0",""),"1",""),"2",""),"3",""),"4",""),"5",""),"6",""),"7",""),"8",""),"9",""),".",""),"+",""),"-",""),"E","")="",LEN(SUBSTITUTE(SUBSTITUTE(MID(UPPER($EI596),1+OR(LEFT(UPPER($EI596),1)="+",LEFT(UPPER($EI596),1)="-"),999),"E+","E"),"E-","E"))=LEN(SUBSTITUTE(SUBSTITUTE(SUBSTITUTE(SUBSTITUTE(MID(UPPER($EI596),1+OR(LEFT(UPPER($EI596),1)="+",LEFT(UPPER($EI596),1)="-"),999),"E+","E"),"E-","E"),"+",""),"-","")),LEN(UPPER($EI596))-LEN(SUBSTITUTE(UPPER($EI596),"E",""))&lt;2,LEN(UPPER($EI596))-LEN(SUBSTITUTE(UPPER($EI596),".",""))&lt;2,IFERROR(FIND(".",UPPER($EI596)),0)&lt;IFERROR(FIND("E",UPPER($EI596)),999)),ISNUMBER(VALUE($EI596)))),1,2)))</f>
        <v/>
      </c>
      <c r="EK596">
        <f>IF($DM596=0,"",IF($EJ596=1,IF(ISNUMBER($EI596),$EI596,VALUE($EI596)),IF($EJ596=2,$DE596,0)))</f>
        <v/>
      </c>
      <c r="EL596">
        <f>IF($DM596=0,"",COUNTIF($EG$5:$EG$1003,"&lt;"&amp;$EG596)+SUMPRODUCT(($EG$5:$EG$1003=$EG596)*(($EJ$5:$EJ$1003&lt;$EJ596)+($EJ$5:$EJ$1003=$EJ596)*(($EK$5:$EK$1003&lt;$EK596)+($EK$5:$EK$1003=$EK596)*($DE$5:$DE$1003&lt;$DE596))))+1)</f>
        <v/>
      </c>
      <c r="EM596">
        <f>IF($DM596=0,"",$EL596+$EG596-1)</f>
        <v/>
      </c>
      <c r="EN596">
        <f>IF($DM596=0,0,IFERROR(MATCH(1,INDEX(--(TRIM(SUBSTITUTE(SUBSTITUTE(SUBSTITUTE(SUBSTITUTE(LINES_NAME&amp;""," "," "),CHAR(9)," "),CHAR(10)," "),CHAR(13)," "))=$DH596),0),0),0))</f>
        <v/>
      </c>
      <c r="EO596">
        <f>IF($EN596=0,0,IF(OR(UPPER(TRIM(INDEX(LINES_SCHEDULED,$EN596)&amp;""))="YES",UPPER(TRIM(INDEX(LINES_SCHEDULED,$EN596)&amp;""))="Y",UPPER(TRIM(INDEX(LINES_SCHEDULED,$EN596)&amp;""))="X"),1,0))</f>
        <v/>
      </c>
      <c r="EP596">
        <f>IF($DM596=0,"",IF(COUNTIFS($EG$5:$EG$1003,$EG596,$EB$5:$EB$1003,"Ready")&gt;0,"READY",IF(COUNTIFS($EG$5:$EG$1003,$EG596,$EB$5:$EB$1003,"PM")&gt;0,"PM",IF(COUNTIFS($EG$5:$EG$1003,$EG596,$EB$5:$EB$1003,"OT")&gt;0,"OT",""))))</f>
        <v/>
      </c>
      <c r="EQ596">
        <f>IF($EN596=0,"",UPPER(TRIM(INDEX(LINES_STATUS,$EN596)&amp;"")))</f>
        <v/>
      </c>
      <c r="ER596">
        <f>IF($DM596=0,"",IF(OR($EQ596="READY",$EQ596="PM",$EQ596="OT"),$EQ596,$EP596))</f>
        <v/>
      </c>
      <c r="ES596">
        <f>IF($DM596=0,"",IF(AND($DV596&lt;&gt;"",UPPER($DV596)&lt;&gt;"N"),"allergen",IF(ISNUMBER(SEARCH("oil",$DQ596)),"oil",IF(OR(EXACT($DS596,"A662"),EXACT($DS596,"A624")),"bulk",""))))</f>
        <v/>
      </c>
      <c r="ET596">
        <f>IF($DM596=0,"",IF(OR($EA596="",$EA596=0),"",$EA596/100))</f>
        <v/>
      </c>
      <c r="EU596">
        <f>IF(OR($ET596="",$DY596=""),"",INT($DY596*(1-$ET596)+0.5))</f>
        <v/>
      </c>
      <c r="EW596" t="n">
        <v>592</v>
      </c>
      <c r="EX596">
        <f>IFERROR(MATCH($EW596,$EM$5:$EM$1003,0),0)</f>
        <v/>
      </c>
      <c r="EY596">
        <f>IF($EW596&gt;$B$12,"",IF($EX596&gt;0,"row","spacer"))</f>
        <v/>
      </c>
      <c r="EZ596">
        <f>IF(AND($EY596="row",$EY595&lt;&gt;"row"),1,0)</f>
        <v/>
      </c>
      <c r="FA596">
        <f>IF(AND($EY596="row",$EY597&lt;&gt;"row"),1,0)</f>
        <v/>
      </c>
      <c r="FB596">
        <f>IF($EZ596=1,IFERROR(IF(ISNUMBER(INDEX(PASTE_ALL,INDEX($DF$5:$DF$1003,$EX596),$B$37)),INDEX(PASTE_ALL,INDEX($DF$5:$DF$1003,$EX596),$B$37),INDEX($DH$5:$DH$1003,$EX596)),INDEX($DH$5:$DH$1003,$EX596)),"")</f>
        <v/>
      </c>
      <c r="FC596">
        <f>IF($EY596="row",INDEX($ER$5:$ER$1003,$EX596),"")</f>
        <v/>
      </c>
      <c r="FD596">
        <f>IF($EY596="row",INDEX($DN$5:$DN$1003,$EX596),"")</f>
        <v/>
      </c>
      <c r="FE596">
        <f>IF($EY596="row",INDEX($DO$5:$DO$1003,$EX596),"")</f>
        <v/>
      </c>
      <c r="FF596">
        <f>IF($EY596="row",INDEX($DP$5:$DP$1003,$EX596),"")</f>
        <v/>
      </c>
      <c r="FG596">
        <f>IF($EY596="row",INDEX($DQ$5:$DQ$1003,$EX596),"")</f>
        <v/>
      </c>
      <c r="FH596">
        <f>IF($EY596="row",INDEX($DR$5:$DR$1003,$EX596),"")</f>
        <v/>
      </c>
      <c r="FI596">
        <f>IF($EY596="row",INDEX($DS$5:$DS$1003,$EX596),"")</f>
        <v/>
      </c>
      <c r="FJ596">
        <f>IF($EY596="row",INDEX($DT$5:$DT$1003,$EX596),"")</f>
        <v/>
      </c>
      <c r="FK596">
        <f>IF($EY596="row",INDEX($DU$5:$DU$1003,$EX596),"")</f>
        <v/>
      </c>
      <c r="FL596">
        <f>IF($EY596="row",INDEX($DV$5:$DV$1003,$EX596),"")</f>
        <v/>
      </c>
      <c r="FM596">
        <f>IF($EY596="row",INDEX($DW$5:$DW$1003,$EX596),"")</f>
        <v/>
      </c>
      <c r="FN596">
        <f>IF($EY596="row",INDEX($DY$5:$DY$1003,$EX596),"")</f>
        <v/>
      </c>
      <c r="FO596">
        <f>IF($EY596="row",INDEX($EA$5:$EA$1003,$EX596),"")</f>
        <v/>
      </c>
      <c r="FP596">
        <f>IF($EY596="row",INDEX($EC$5:$EC$1003,$EX596),"")</f>
        <v/>
      </c>
      <c r="FQ596">
        <f>IF($EY596="row",INDEX($ET$5:$ET$1003,$EX596),"")</f>
        <v/>
      </c>
      <c r="FR596">
        <f>IF($EY596="row",INDEX($EU$5:$EU$1003,$EX596),"")</f>
        <v/>
      </c>
      <c r="FS596">
        <f>IF(AND($EY596="row",$EY595="row"),IF(OR(INDEX($DT$5:$DT$1003,$EX595)="",INDEX($DT$5:$DT$1003,$EX596)=""),"",IF(NOT(EXACT(INDEX($DT$5:$DT$1003,$EX595),INDEX($DT$5:$DT$1003,$EX596))),"S4",IF(NOT(EXACT(INDEX($DS$5:$DS$1003,$EX595),INDEX($DS$5:$DS$1003,$EX596))),"S3",IF(NOT(EXACT(INDEX($DR$5:$DR$1003,$EX595),INDEX($DR$5:$DR$1003,$EX596))),"S1 Count Change","S1")))),"")</f>
        <v/>
      </c>
      <c r="FT596">
        <f>IF($EY596="row",INDEX($ES$5:$ES$1003,$EX596),"")</f>
        <v/>
      </c>
      <c r="FU596">
        <f>IF($EY596="row",INDEX($EO$5:$EO$1003,$EX596),0)</f>
        <v/>
      </c>
      <c r="FV596">
        <f>IF($FS596="S1 Count Change",1,0)</f>
        <v/>
      </c>
    </row>
    <row r="597">
      <c r="DA597" t="n">
        <v>593</v>
      </c>
      <c r="DB597">
        <f>IF($B$37=0,"",IFERROR(TRIM(SUBSTITUTE(SUBSTITUTE(SUBSTITUTE(SUBSTITUTE(INDEX(PASTE_ALL,593,$B$37)," "," "),CHAR(9)," "),CHAR(10)," "),CHAR(13)," ")),""))</f>
        <v/>
      </c>
      <c r="DC597">
        <f>IF(AND(593&gt;HEADER_ROW,UPPER(DB597)="LEGEND"),1,0)</f>
        <v/>
      </c>
      <c r="DE597" t="n">
        <v>593</v>
      </c>
      <c r="DF597">
        <f>HEADER_ROW+$DE597</f>
        <v/>
      </c>
      <c r="DG597">
        <f>IF(AND($DF597&lt;=1000,$DF597&lt;$B$8),1,0)</f>
        <v/>
      </c>
      <c r="DH597">
        <f>IF($DG597=1,IFERROR(INDEX($DB$5:$DB$1004,$DF597),""),"")</f>
        <v/>
      </c>
      <c r="DI597">
        <f>IF(AND($DG597=1,$DH597&lt;&gt;""),IFERROR(SUBSTITUTE(SUBSTITUTE(TRIM(SUBSTITUTE(SUBSTITUTE(SUBSTITUTE(SUBSTITUTE(IFERROR(INDEX(PASTE_ALL,$DF597,1)&amp;"","")&amp;"␟"&amp;IFERROR(INDEX(PASTE_ALL,$DF597,2)&amp;"","")&amp;"␟"&amp;IFERROR(INDEX(PASTE_ALL,$DF597,3)&amp;"","")&amp;"␟"&amp;IFERROR(INDEX(PASTE_ALL,$DF597,4)&amp;"","")&amp;"␟"&amp;IFERROR(INDEX(PASTE_ALL,$DF597,5)&amp;"","")&amp;"␟"&amp;IFERROR(INDEX(PASTE_ALL,$DF597,6)&amp;"","")&amp;"␟"&amp;IFERROR(INDEX(PASTE_ALL,$DF597,7)&amp;"","")&amp;"␟"&amp;IFERROR(INDEX(PASTE_ALL,$DF597,8)&amp;"","")&amp;"␟"&amp;IFERROR(INDEX(PASTE_ALL,$DF597,9)&amp;"","")&amp;"␟"&amp;IFERROR(INDEX(PASTE_ALL,$DF597,10)&amp;"","")&amp;"␟"&amp;IFERROR(INDEX(PASTE_ALL,$DF597,11)&amp;"","")&amp;"␟"&amp;IFERROR(INDEX(PASTE_ALL,$DF597,12)&amp;"","")&amp;"␟"&amp;IFERROR(INDEX(PASTE_ALL,$DF597,13)&amp;"","")&amp;"␟"&amp;IFERROR(INDEX(PASTE_ALL,$DF597,14)&amp;"","")&amp;"␟"&amp;IFERROR(INDEX(PASTE_ALL,$DF597,15)&amp;"","")&amp;"␟"&amp;IFERROR(INDEX(PASTE_ALL,$DF597,16)&amp;"","")&amp;"␟"&amp;IFERROR(INDEX(PASTE_ALL,$DF597,17)&amp;"","")&amp;"␟"&amp;IFERROR(INDEX(PASTE_ALL,$DF597,18)&amp;"","")&amp;"␟"&amp;IFERROR(INDEX(PASTE_ALL,$DF597,19)&amp;"","")&amp;"␟"&amp;IFERROR(INDEX(PASTE_ALL,$DF597,20)&amp;"","")&amp;"␟"&amp;IFERROR(INDEX(PASTE_ALL,$DF597,21)&amp;"","")&amp;"␟"&amp;IFERROR(INDEX(PASTE_ALL,$DF597,22)&amp;"","")&amp;"␟"&amp;IFERROR(INDEX(PASTE_ALL,$DF597,23)&amp;"","")&amp;"␟"&amp;IFERROR(INDEX(PASTE_ALL,$DF597,24)&amp;"","")&amp;"␟"&amp;IFERROR(INDEX(PASTE_ALL,$DF597,25)&amp;"","")&amp;"␟"&amp;IFERROR(INDEX(PASTE_ALL,$DF597,26)&amp;"","")&amp;"␟"&amp;IFERROR(INDEX(PASTE_ALL,$DF597,27)&amp;"","")&amp;"␟"&amp;IFERROR(INDEX(PASTE_ALL,$DF597,28)&amp;"","")&amp;"␟"&amp;IFERROR(INDEX(PASTE_ALL,$DF597,29)&amp;"","")&amp;"␟"&amp;IFERROR(INDEX(PASTE_ALL,$DF597,30)&amp;"","")&amp;"␟"&amp;IFERROR(INDEX(PASTE_ALL,$DF597,31)&amp;"","")&amp;"␟"&amp;IFERROR(INDEX(PASTE_ALL,$DF597,32)&amp;"","")&amp;"␟"&amp;IFERROR(INDEX(PASTE_ALL,$DF597,33)&amp;"","")&amp;"␟"&amp;IFERROR(INDEX(PASTE_ALL,$DF597,34)&amp;"","")&amp;"␟"&amp;IFERROR(INDEX(PASTE_ALL,$DF597,35)&amp;"","")&amp;"␟"&amp;IFERROR(INDEX(PASTE_ALL,$DF597,36)&amp;"","")&amp;"␟"&amp;IFERROR(INDEX(PASTE_ALL,$DF597,37)&amp;"","")&amp;"␟"&amp;IFERROR(INDEX(PASTE_ALL,$DF597,38)&amp;"","")&amp;"␟"&amp;IFERROR(INDEX(PASTE_ALL,$DF597,39)&amp;"","")&amp;"␟"&amp;IFERROR(INDEX(PASTE_ALL,$DF597,40)&amp;"","")&amp;"␟"&amp;IFERROR(INDEX(PASTE_ALL,$DF597,41)&amp;"","")&amp;"␟"&amp;IFERROR(INDEX(PASTE_ALL,$DF597,42)&amp;"","")&amp;"␟"&amp;IFERROR(INDEX(PASTE_ALL,$DF597,43)&amp;"","")&amp;"␟"&amp;IFERROR(INDEX(PASTE_ALL,$DF597,44)&amp;"","")&amp;"␟"&amp;IFERROR(INDEX(PASTE_ALL,$DF597,45)&amp;"","")&amp;"␟"&amp;IFERROR(INDEX(PASTE_ALL,$DF597,46)&amp;"","")&amp;"␟"&amp;IFERROR(INDEX(PASTE_ALL,$DF597,47)&amp;"","")&amp;"␟"&amp;IFERROR(INDEX(PASTE_ALL,$DF597,48)&amp;"","")&amp;"␟"&amp;IFERROR(INDEX(PASTE_ALL,$DF597,49)&amp;"","")&amp;"␟"&amp;IFERROR(INDEX(PASTE_ALL,$DF597,50)&amp;"","")&amp;"␟"&amp;IFERROR(INDEX(PASTE_ALL,$DF597,51)&amp;"","")&amp;"␟"&amp;IFERROR(INDEX(PASTE_ALL,$DF597,52)&amp;"","")&amp;"␟"&amp;IFERROR(INDEX(PASTE_ALL,$DF597,53)&amp;"","")&amp;"␟"&amp;IFERROR(INDEX(PASTE_ALL,$DF597,54)&amp;"","")&amp;"␟"&amp;IFERROR(INDEX(PASTE_ALL,$DF597,55)&amp;"","")&amp;"␟"&amp;IFERROR(INDEX(PASTE_ALL,$DF597,56)&amp;"","")&amp;"␟"&amp;IFERROR(INDEX(PASTE_ALL,$DF597,57)&amp;"","")&amp;"␟"&amp;IFERROR(INDEX(PASTE_ALL,$DF597,58)&amp;"","")&amp;"␟"&amp;IFERROR(INDEX(PASTE_ALL,$DF597,59)&amp;"","")&amp;"␟"&amp;IFERROR(INDEX(PASTE_ALL,$DF597,60)&amp;"","")," "," "),CHAR(9)," "),CHAR(10)," "),CHAR(13)," "))," ␟","␟"),"␟ ","␟"),"#"&amp;$DE597),"")</f>
        <v/>
      </c>
      <c r="DJ597">
        <f>IF($DI597="",0,IF(SUMPRODUCT(--EXACT($DI$4:DI596,$DI597))&gt;0,1,0))</f>
        <v/>
      </c>
      <c r="DK597">
        <f>IF(AND($DI597&lt;&gt;"",$DJ597=0),1,0)</f>
        <v/>
      </c>
      <c r="DL597">
        <f>DL596+$DK597</f>
        <v/>
      </c>
      <c r="DM597">
        <f>IF(AND($DK597=1,$DL597&lt;=600),1,0)</f>
        <v/>
      </c>
      <c r="DN597">
        <f>IF($DM597=0,"",IF($L$6=0,"",IFERROR(IF(ISNUMBER(INDEX(PASTE_ALL,$DF597,$L$6)),INDEX(PASTE_ALL,$DF597,$L$6),TRIM(SUBSTITUTE(SUBSTITUTE(SUBSTITUTE(SUBSTITUTE(INDEX(PASTE_ALL,$DF597,$L$6)," "," "),CHAR(9)," "),CHAR(10)," "),CHAR(13)," "))),"")))</f>
        <v/>
      </c>
      <c r="DO597">
        <f>IF($DM597=0,"",IF($L$7=0,"",IFERROR(IF(ISNUMBER(INDEX(PASTE_ALL,$DF597,$L$7)),INDEX(PASTE_ALL,$DF597,$L$7),TRIM(SUBSTITUTE(SUBSTITUTE(SUBSTITUTE(SUBSTITUTE(INDEX(PASTE_ALL,$DF597,$L$7)," "," "),CHAR(9)," "),CHAR(10)," "),CHAR(13)," "))),"")))</f>
        <v/>
      </c>
      <c r="DP597">
        <f>IF($DM597=0,"",IF($L$8=0,"",IFERROR(IF(ISNUMBER(INDEX(PASTE_ALL,$DF597,$L$8)),INDEX(PASTE_ALL,$DF597,$L$8),TRIM(SUBSTITUTE(SUBSTITUTE(SUBSTITUTE(SUBSTITUTE(INDEX(PASTE_ALL,$DF597,$L$8)," "," "),CHAR(9)," "),CHAR(10)," "),CHAR(13)," "))),"")))</f>
        <v/>
      </c>
      <c r="DQ597">
        <f>IF($DM597=0,"",IF($L$9=0,"",IFERROR(IF(ISNUMBER(INDEX(PASTE_ALL,$DF597,$L$9)),INDEX(PASTE_ALL,$DF597,$L$9),TRIM(SUBSTITUTE(SUBSTITUTE(SUBSTITUTE(SUBSTITUTE(INDEX(PASTE_ALL,$DF597,$L$9)," "," "),CHAR(9)," "),CHAR(10)," "),CHAR(13)," "))),"")))</f>
        <v/>
      </c>
      <c r="DR597">
        <f>IF($DM597=0,"",IF($L$10=0,"",IFERROR(IF(ISNUMBER(INDEX(PASTE_ALL,$DF597,$L$10)),INDEX(PASTE_ALL,$DF597,$L$10),TRIM(SUBSTITUTE(SUBSTITUTE(SUBSTITUTE(SUBSTITUTE(INDEX(PASTE_ALL,$DF597,$L$10)," "," "),CHAR(9)," "),CHAR(10)," "),CHAR(13)," "))),"")))</f>
        <v/>
      </c>
      <c r="DS597">
        <f>IF($DM597=0,"",IF($L$11=0,"",IFERROR(IF(ISNUMBER(INDEX(PASTE_ALL,$DF597,$L$11)),INDEX(PASTE_ALL,$DF597,$L$11),TRIM(SUBSTITUTE(SUBSTITUTE(SUBSTITUTE(SUBSTITUTE(INDEX(PASTE_ALL,$DF597,$L$11)," "," "),CHAR(9)," "),CHAR(10)," "),CHAR(13)," "))),"")))</f>
        <v/>
      </c>
      <c r="DT597">
        <f>IF($DM597=0,"",IF($L$12=0,"",IFERROR(IF(ISNUMBER(INDEX(PASTE_ALL,$DF597,$L$12)),INDEX(PASTE_ALL,$DF597,$L$12),TRIM(SUBSTITUTE(SUBSTITUTE(SUBSTITUTE(SUBSTITUTE(INDEX(PASTE_ALL,$DF597,$L$12)," "," "),CHAR(9)," "),CHAR(10)," "),CHAR(13)," "))),"")))</f>
        <v/>
      </c>
      <c r="DU597">
        <f>IF($DM597=0,"",IF($L$13=0,"",IFERROR(IF(ISNUMBER(INDEX(PASTE_ALL,$DF597,$L$13)),INDEX(PASTE_ALL,$DF597,$L$13),TRIM(SUBSTITUTE(SUBSTITUTE(SUBSTITUTE(SUBSTITUTE(INDEX(PASTE_ALL,$DF597,$L$13)," "," "),CHAR(9)," "),CHAR(10)," "),CHAR(13)," "))),"")))</f>
        <v/>
      </c>
      <c r="DV597">
        <f>IF($DM597=0,"",IF($L$14=0,"",IFERROR(IF(ISNUMBER(INDEX(PASTE_ALL,$DF597,$L$14)),INDEX(PASTE_ALL,$DF597,$L$14),TRIM(SUBSTITUTE(SUBSTITUTE(SUBSTITUTE(SUBSTITUTE(INDEX(PASTE_ALL,$DF597,$L$14)," "," "),CHAR(9)," "),CHAR(10)," "),CHAR(13)," "))),"")))</f>
        <v/>
      </c>
      <c r="DW597">
        <f>IF($DM597=0,"",IF($L$15=0,"",IFERROR(IF(ISNUMBER(INDEX(PASTE_ALL,$DF597,$L$15)),INDEX(PASTE_ALL,$DF597,$L$15),IF(SUMPRODUCT(--ISNUMBER(FIND({"A","B","C","D","E","F","G","H","I","J","K","L","M","N","O","P","Q","R","S","T","U","V","W","X","Y","Z","0","1","2","3","4","5","6","7","8","9"},UPPER(TRIM(SUBSTITUTE(SUBSTITUTE(SUBSTITUTE(SUBSTITUTE(INDEX(PASTE_ALL,$DF597,$L$15)," "," "),CHAR(9)," "),CHAR(10)," "),CHAR(13)," "))))))&gt;0,TRIM(SUBSTITUTE(SUBSTITUTE(SUBSTITUTE(SUBSTITUTE(INDEX(PASTE_ALL,$DF597,$L$15)," "," "),CHAR(9)," "),CHAR(10)," "),CHAR(13)," ")),"")),"")))</f>
        <v/>
      </c>
      <c r="DX597">
        <f>IF($DM597=0,"",IF($L$16=0,"",IFERROR(IF(ISNUMBER(INDEX(PASTE_ALL,$DF597,$L$16)),INDEX(PASTE_ALL,$DF597,$L$16),SUBSTITUTE(SUBSTITUTE(TRIM(SUBSTITUTE(SUBSTITUTE(SUBSTITUTE(SUBSTITUTE(INDEX(PASTE_ALL,$DF597,$L$16)," "," "),CHAR(9)," "),CHAR(10)," "),CHAR(13)," ")),",",""),"%","")),"")))</f>
        <v/>
      </c>
      <c r="DY597">
        <f>IF($DM597=0,"",IFERROR(IF(ISNUMBER($DX597),$DX597,IF($DX597="","",IF(TRIM($DX597)="",0,IF(AND(AND(SUBSTITUTE(SUBSTITUTE(SUBSTITUTE(SUBSTITUTE(SUBSTITUTE(SUBSTITUTE(SUBSTITUTE(SUBSTITUTE(SUBSTITUTE(SUBSTITUTE(SUBSTITUTE(SUBSTITUTE(SUBSTITUTE(SUBSTITUTE(UPPER(TRIM($DX597)),"0",""),"1",""),"2",""),"3",""),"4",""),"5",""),"6",""),"7",""),"8",""),"9",""),".",""),"+",""),"-",""),"E","")="",LEN(SUBSTITUTE(SUBSTITUTE(MID(UPPER(TRIM($DX597)),1+OR(LEFT(UPPER(TRIM($DX597)),1)="+",LEFT(UPPER(TRIM($DX597)),1)="-"),999),"E+","E"),"E-","E"))=LEN(SUBSTITUTE(SUBSTITUTE(SUBSTITUTE(SUBSTITUTE(MID(UPPER(TRIM($DX597)),1+OR(LEFT(UPPER(TRIM($DX597)),1)="+",LEFT(UPPER(TRIM($DX597)),1)="-"),999),"E+","E"),"E-","E"),"+",""),"-","")),LEN(UPPER(TRIM($DX597)))-LEN(SUBSTITUTE(UPPER(TRIM($DX597)),"E",""))&lt;2,LEN(UPPER(TRIM($DX597)))-LEN(SUBSTITUTE(UPPER(TRIM($DX597)),".",""))&lt;2,IFERROR(FIND(".",UPPER(TRIM($DX597))),0)&lt;IFERROR(FIND("E",UPPER(TRIM($DX597))),999)),ISNUMBER(VALUE(TRIM($DX597)))),VALUE(TRIM($DX597)),"")))),""))</f>
        <v/>
      </c>
      <c r="DZ597">
        <f>IF($DM597=0,"",IF($L$17=0,"",IFERROR(IF(ISNUMBER(INDEX(PASTE_ALL,$DF597,$L$17)),INDEX(PASTE_ALL,$DF597,$L$17),SUBSTITUTE(SUBSTITUTE(TRIM(SUBSTITUTE(SUBSTITUTE(SUBSTITUTE(SUBSTITUTE(INDEX(PASTE_ALL,$DF597,$L$17)," "," "),CHAR(9)," "),CHAR(10)," "),CHAR(13)," ")),",",""),"%","")),"")))</f>
        <v/>
      </c>
      <c r="EA597">
        <f>IF($DM597=0,"",IFERROR(IF(ISNUMBER($DZ597),$DZ597,IF($DZ597="","",IF(TRIM($DZ597)="",0,IF(AND(AND(SUBSTITUTE(SUBSTITUTE(SUBSTITUTE(SUBSTITUTE(SUBSTITUTE(SUBSTITUTE(SUBSTITUTE(SUBSTITUTE(SUBSTITUTE(SUBSTITUTE(SUBSTITUTE(SUBSTITUTE(SUBSTITUTE(SUBSTITUTE(UPPER(TRIM($DZ597)),"0",""),"1",""),"2",""),"3",""),"4",""),"5",""),"6",""),"7",""),"8",""),"9",""),".",""),"+",""),"-",""),"E","")="",LEN(SUBSTITUTE(SUBSTITUTE(MID(UPPER(TRIM($DZ597)),1+OR(LEFT(UPPER(TRIM($DZ597)),1)="+",LEFT(UPPER(TRIM($DZ597)),1)="-"),999),"E+","E"),"E-","E"))=LEN(SUBSTITUTE(SUBSTITUTE(SUBSTITUTE(SUBSTITUTE(MID(UPPER(TRIM($DZ597)),1+OR(LEFT(UPPER(TRIM($DZ597)),1)="+",LEFT(UPPER(TRIM($DZ597)),1)="-"),999),"E+","E"),"E-","E"),"+",""),"-","")),LEN(UPPER(TRIM($DZ597)))-LEN(SUBSTITUTE(UPPER(TRIM($DZ597)),"E",""))&lt;2,LEN(UPPER(TRIM($DZ597)))-LEN(SUBSTITUTE(UPPER(TRIM($DZ597)),".",""))&lt;2,IFERROR(FIND(".",UPPER(TRIM($DZ597))),0)&lt;IFERROR(FIND("E",UPPER(TRIM($DZ597))),999)),ISNUMBER(VALUE(TRIM($DZ597)))),VALUE(TRIM($DZ597)),"")))),""))</f>
        <v/>
      </c>
      <c r="EB597">
        <f>IF($DM597=0,"",IF($L$18=0,"",IFERROR(IF(UPPER(TRIM(SUBSTITUTE(SUBSTITUTE(SUBSTITUTE(SUBSTITUTE(INDEX(PASTE_ALL,$DF597,$L$18)," "," "),CHAR(9)," "),CHAR(10)," "),CHAR(13)," ")))="READY","Ready",IF(UPPER(TRIM(SUBSTITUTE(SUBSTITUTE(SUBSTITUTE(SUBSTITUTE(INDEX(PASTE_ALL,$DF597,$L$18)," "," "),CHAR(9)," "),CHAR(10)," "),CHAR(13)," ")))="PM","PM",IF(OR(UPPER(TRIM(SUBSTITUTE(SUBSTITUTE(SUBSTITUTE(SUBSTITUTE(INDEX(PASTE_ALL,$DF597,$L$18)," "," "),CHAR(9)," "),CHAR(10)," "),CHAR(13)," ")))="OT",UPPER(TRIM(SUBSTITUTE(SUBSTITUTE(SUBSTITUTE(SUBSTITUTE(INDEX(PASTE_ALL,$DF597,$L$18)," "," "),CHAR(9)," "),CHAR(10)," "),CHAR(13)," ")))="OVERTIME",UPPER(TRIM(SUBSTITUTE(SUBSTITUTE(SUBSTITUTE(SUBSTITUTE(INDEX(PASTE_ALL,$DF597,$L$18)," "," "),CHAR(9)," "),CHAR(10)," "),CHAR(13)," ")))="TRIAL"),"OT",TRIM(SUBSTITUTE(SUBSTITUTE(SUBSTITUTE(SUBSTITUTE(INDEX(PASTE_ALL,$DF597,$L$18)," "," "),CHAR(9)," "),CHAR(10)," "),CHAR(13)," "))))),"")))</f>
        <v/>
      </c>
      <c r="EC597">
        <f>IF($DM597=0,"",IF($L$19=0,"",IFERROR(IF(ISNUMBER(INDEX(PASTE_ALL,$DF597,$L$19)),INDEX(PASTE_ALL,$DF597,$L$19),TRIM(SUBSTITUTE(SUBSTITUTE(SUBSTITUTE(SUBSTITUTE(INDEX(PASTE_ALL,$DF597,$L$19)," "," "),CHAR(9)," "),CHAR(10)," "),CHAR(13)," "))),"")))</f>
        <v/>
      </c>
      <c r="ED597">
        <f>IF($DM597=0,"",MATCH(1,INDEX(EXACT($DH$5:DH597,$DH597)*$DM$5:DM597,0),0))</f>
        <v/>
      </c>
      <c r="EE597">
        <f>IF($DM597=0,0,IF($ED597=$DE597,1,0))</f>
        <v/>
      </c>
      <c r="EF597">
        <f>EF596+$EE597</f>
        <v/>
      </c>
      <c r="EG597">
        <f>IF($DM597=0,"",INDEX($EF$5:$EF$1003,$ED597))</f>
        <v/>
      </c>
      <c r="EH597">
        <f>IF($DM597=0,"",IF($DO597&lt;&gt;"","",IFERROR(LOOKUP(2,1/(($EG$4:EG596=$EG597)*($DO$4:DO596&lt;&gt;"")),$DO$4:DO596),"")))</f>
        <v/>
      </c>
      <c r="EI597">
        <f>IF($DM597=0,"",IF($DO597&lt;&gt;"",$DO597,$EH597))</f>
        <v/>
      </c>
      <c r="EJ597">
        <f>IF($DM597=0,"",IF($EI597="",0,IF(OR(ISNUMBER($EI597),AND(AND(SUBSTITUTE(SUBSTITUTE(SUBSTITUTE(SUBSTITUTE(SUBSTITUTE(SUBSTITUTE(SUBSTITUTE(SUBSTITUTE(SUBSTITUTE(SUBSTITUTE(SUBSTITUTE(SUBSTITUTE(SUBSTITUTE(SUBSTITUTE(UPPER($EI597),"0",""),"1",""),"2",""),"3",""),"4",""),"5",""),"6",""),"7",""),"8",""),"9",""),".",""),"+",""),"-",""),"E","")="",LEN(SUBSTITUTE(SUBSTITUTE(MID(UPPER($EI597),1+OR(LEFT(UPPER($EI597),1)="+",LEFT(UPPER($EI597),1)="-"),999),"E+","E"),"E-","E"))=LEN(SUBSTITUTE(SUBSTITUTE(SUBSTITUTE(SUBSTITUTE(MID(UPPER($EI597),1+OR(LEFT(UPPER($EI597),1)="+",LEFT(UPPER($EI597),1)="-"),999),"E+","E"),"E-","E"),"+",""),"-","")),LEN(UPPER($EI597))-LEN(SUBSTITUTE(UPPER($EI597),"E",""))&lt;2,LEN(UPPER($EI597))-LEN(SUBSTITUTE(UPPER($EI597),".",""))&lt;2,IFERROR(FIND(".",UPPER($EI597)),0)&lt;IFERROR(FIND("E",UPPER($EI597)),999)),ISNUMBER(VALUE($EI597)))),1,2)))</f>
        <v/>
      </c>
      <c r="EK597">
        <f>IF($DM597=0,"",IF($EJ597=1,IF(ISNUMBER($EI597),$EI597,VALUE($EI597)),IF($EJ597=2,$DE597,0)))</f>
        <v/>
      </c>
      <c r="EL597">
        <f>IF($DM597=0,"",COUNTIF($EG$5:$EG$1003,"&lt;"&amp;$EG597)+SUMPRODUCT(($EG$5:$EG$1003=$EG597)*(($EJ$5:$EJ$1003&lt;$EJ597)+($EJ$5:$EJ$1003=$EJ597)*(($EK$5:$EK$1003&lt;$EK597)+($EK$5:$EK$1003=$EK597)*($DE$5:$DE$1003&lt;$DE597))))+1)</f>
        <v/>
      </c>
      <c r="EM597">
        <f>IF($DM597=0,"",$EL597+$EG597-1)</f>
        <v/>
      </c>
      <c r="EN597">
        <f>IF($DM597=0,0,IFERROR(MATCH(1,INDEX(--(TRIM(SUBSTITUTE(SUBSTITUTE(SUBSTITUTE(SUBSTITUTE(LINES_NAME&amp;""," "," "),CHAR(9)," "),CHAR(10)," "),CHAR(13)," "))=$DH597),0),0),0))</f>
        <v/>
      </c>
      <c r="EO597">
        <f>IF($EN597=0,0,IF(OR(UPPER(TRIM(INDEX(LINES_SCHEDULED,$EN597)&amp;""))="YES",UPPER(TRIM(INDEX(LINES_SCHEDULED,$EN597)&amp;""))="Y",UPPER(TRIM(INDEX(LINES_SCHEDULED,$EN597)&amp;""))="X"),1,0))</f>
        <v/>
      </c>
      <c r="EP597">
        <f>IF($DM597=0,"",IF(COUNTIFS($EG$5:$EG$1003,$EG597,$EB$5:$EB$1003,"Ready")&gt;0,"READY",IF(COUNTIFS($EG$5:$EG$1003,$EG597,$EB$5:$EB$1003,"PM")&gt;0,"PM",IF(COUNTIFS($EG$5:$EG$1003,$EG597,$EB$5:$EB$1003,"OT")&gt;0,"OT",""))))</f>
        <v/>
      </c>
      <c r="EQ597">
        <f>IF($EN597=0,"",UPPER(TRIM(INDEX(LINES_STATUS,$EN597)&amp;"")))</f>
        <v/>
      </c>
      <c r="ER597">
        <f>IF($DM597=0,"",IF(OR($EQ597="READY",$EQ597="PM",$EQ597="OT"),$EQ597,$EP597))</f>
        <v/>
      </c>
      <c r="ES597">
        <f>IF($DM597=0,"",IF(AND($DV597&lt;&gt;"",UPPER($DV597)&lt;&gt;"N"),"allergen",IF(ISNUMBER(SEARCH("oil",$DQ597)),"oil",IF(OR(EXACT($DS597,"A662"),EXACT($DS597,"A624")),"bulk",""))))</f>
        <v/>
      </c>
      <c r="ET597">
        <f>IF($DM597=0,"",IF(OR($EA597="",$EA597=0),"",$EA597/100))</f>
        <v/>
      </c>
      <c r="EU597">
        <f>IF(OR($ET597="",$DY597=""),"",INT($DY597*(1-$ET597)+0.5))</f>
        <v/>
      </c>
      <c r="EW597" t="n">
        <v>593</v>
      </c>
      <c r="EX597">
        <f>IFERROR(MATCH($EW597,$EM$5:$EM$1003,0),0)</f>
        <v/>
      </c>
      <c r="EY597">
        <f>IF($EW597&gt;$B$12,"",IF($EX597&gt;0,"row","spacer"))</f>
        <v/>
      </c>
      <c r="EZ597">
        <f>IF(AND($EY597="row",$EY596&lt;&gt;"row"),1,0)</f>
        <v/>
      </c>
      <c r="FA597">
        <f>IF(AND($EY597="row",$EY598&lt;&gt;"row"),1,0)</f>
        <v/>
      </c>
      <c r="FB597">
        <f>IF($EZ597=1,IFERROR(IF(ISNUMBER(INDEX(PASTE_ALL,INDEX($DF$5:$DF$1003,$EX597),$B$37)),INDEX(PASTE_ALL,INDEX($DF$5:$DF$1003,$EX597),$B$37),INDEX($DH$5:$DH$1003,$EX597)),INDEX($DH$5:$DH$1003,$EX597)),"")</f>
        <v/>
      </c>
      <c r="FC597">
        <f>IF($EY597="row",INDEX($ER$5:$ER$1003,$EX597),"")</f>
        <v/>
      </c>
      <c r="FD597">
        <f>IF($EY597="row",INDEX($DN$5:$DN$1003,$EX597),"")</f>
        <v/>
      </c>
      <c r="FE597">
        <f>IF($EY597="row",INDEX($DO$5:$DO$1003,$EX597),"")</f>
        <v/>
      </c>
      <c r="FF597">
        <f>IF($EY597="row",INDEX($DP$5:$DP$1003,$EX597),"")</f>
        <v/>
      </c>
      <c r="FG597">
        <f>IF($EY597="row",INDEX($DQ$5:$DQ$1003,$EX597),"")</f>
        <v/>
      </c>
      <c r="FH597">
        <f>IF($EY597="row",INDEX($DR$5:$DR$1003,$EX597),"")</f>
        <v/>
      </c>
      <c r="FI597">
        <f>IF($EY597="row",INDEX($DS$5:$DS$1003,$EX597),"")</f>
        <v/>
      </c>
      <c r="FJ597">
        <f>IF($EY597="row",INDEX($DT$5:$DT$1003,$EX597),"")</f>
        <v/>
      </c>
      <c r="FK597">
        <f>IF($EY597="row",INDEX($DU$5:$DU$1003,$EX597),"")</f>
        <v/>
      </c>
      <c r="FL597">
        <f>IF($EY597="row",INDEX($DV$5:$DV$1003,$EX597),"")</f>
        <v/>
      </c>
      <c r="FM597">
        <f>IF($EY597="row",INDEX($DW$5:$DW$1003,$EX597),"")</f>
        <v/>
      </c>
      <c r="FN597">
        <f>IF($EY597="row",INDEX($DY$5:$DY$1003,$EX597),"")</f>
        <v/>
      </c>
      <c r="FO597">
        <f>IF($EY597="row",INDEX($EA$5:$EA$1003,$EX597),"")</f>
        <v/>
      </c>
      <c r="FP597">
        <f>IF($EY597="row",INDEX($EC$5:$EC$1003,$EX597),"")</f>
        <v/>
      </c>
      <c r="FQ597">
        <f>IF($EY597="row",INDEX($ET$5:$ET$1003,$EX597),"")</f>
        <v/>
      </c>
      <c r="FR597">
        <f>IF($EY597="row",INDEX($EU$5:$EU$1003,$EX597),"")</f>
        <v/>
      </c>
      <c r="FS597">
        <f>IF(AND($EY597="row",$EY596="row"),IF(OR(INDEX($DT$5:$DT$1003,$EX596)="",INDEX($DT$5:$DT$1003,$EX597)=""),"",IF(NOT(EXACT(INDEX($DT$5:$DT$1003,$EX596),INDEX($DT$5:$DT$1003,$EX597))),"S4",IF(NOT(EXACT(INDEX($DS$5:$DS$1003,$EX596),INDEX($DS$5:$DS$1003,$EX597))),"S3",IF(NOT(EXACT(INDEX($DR$5:$DR$1003,$EX596),INDEX($DR$5:$DR$1003,$EX597))),"S1 Count Change","S1")))),"")</f>
        <v/>
      </c>
      <c r="FT597">
        <f>IF($EY597="row",INDEX($ES$5:$ES$1003,$EX597),"")</f>
        <v/>
      </c>
      <c r="FU597">
        <f>IF($EY597="row",INDEX($EO$5:$EO$1003,$EX597),0)</f>
        <v/>
      </c>
      <c r="FV597">
        <f>IF($FS597="S1 Count Change",1,0)</f>
        <v/>
      </c>
    </row>
    <row r="598">
      <c r="DA598" t="n">
        <v>594</v>
      </c>
      <c r="DB598">
        <f>IF($B$37=0,"",IFERROR(TRIM(SUBSTITUTE(SUBSTITUTE(SUBSTITUTE(SUBSTITUTE(INDEX(PASTE_ALL,594,$B$37)," "," "),CHAR(9)," "),CHAR(10)," "),CHAR(13)," ")),""))</f>
        <v/>
      </c>
      <c r="DC598">
        <f>IF(AND(594&gt;HEADER_ROW,UPPER(DB598)="LEGEND"),1,0)</f>
        <v/>
      </c>
      <c r="DE598" t="n">
        <v>594</v>
      </c>
      <c r="DF598">
        <f>HEADER_ROW+$DE598</f>
        <v/>
      </c>
      <c r="DG598">
        <f>IF(AND($DF598&lt;=1000,$DF598&lt;$B$8),1,0)</f>
        <v/>
      </c>
      <c r="DH598">
        <f>IF($DG598=1,IFERROR(INDEX($DB$5:$DB$1004,$DF598),""),"")</f>
        <v/>
      </c>
      <c r="DI598">
        <f>IF(AND($DG598=1,$DH598&lt;&gt;""),IFERROR(SUBSTITUTE(SUBSTITUTE(TRIM(SUBSTITUTE(SUBSTITUTE(SUBSTITUTE(SUBSTITUTE(IFERROR(INDEX(PASTE_ALL,$DF598,1)&amp;"","")&amp;"␟"&amp;IFERROR(INDEX(PASTE_ALL,$DF598,2)&amp;"","")&amp;"␟"&amp;IFERROR(INDEX(PASTE_ALL,$DF598,3)&amp;"","")&amp;"␟"&amp;IFERROR(INDEX(PASTE_ALL,$DF598,4)&amp;"","")&amp;"␟"&amp;IFERROR(INDEX(PASTE_ALL,$DF598,5)&amp;"","")&amp;"␟"&amp;IFERROR(INDEX(PASTE_ALL,$DF598,6)&amp;"","")&amp;"␟"&amp;IFERROR(INDEX(PASTE_ALL,$DF598,7)&amp;"","")&amp;"␟"&amp;IFERROR(INDEX(PASTE_ALL,$DF598,8)&amp;"","")&amp;"␟"&amp;IFERROR(INDEX(PASTE_ALL,$DF598,9)&amp;"","")&amp;"␟"&amp;IFERROR(INDEX(PASTE_ALL,$DF598,10)&amp;"","")&amp;"␟"&amp;IFERROR(INDEX(PASTE_ALL,$DF598,11)&amp;"","")&amp;"␟"&amp;IFERROR(INDEX(PASTE_ALL,$DF598,12)&amp;"","")&amp;"␟"&amp;IFERROR(INDEX(PASTE_ALL,$DF598,13)&amp;"","")&amp;"␟"&amp;IFERROR(INDEX(PASTE_ALL,$DF598,14)&amp;"","")&amp;"␟"&amp;IFERROR(INDEX(PASTE_ALL,$DF598,15)&amp;"","")&amp;"␟"&amp;IFERROR(INDEX(PASTE_ALL,$DF598,16)&amp;"","")&amp;"␟"&amp;IFERROR(INDEX(PASTE_ALL,$DF598,17)&amp;"","")&amp;"␟"&amp;IFERROR(INDEX(PASTE_ALL,$DF598,18)&amp;"","")&amp;"␟"&amp;IFERROR(INDEX(PASTE_ALL,$DF598,19)&amp;"","")&amp;"␟"&amp;IFERROR(INDEX(PASTE_ALL,$DF598,20)&amp;"","")&amp;"␟"&amp;IFERROR(INDEX(PASTE_ALL,$DF598,21)&amp;"","")&amp;"␟"&amp;IFERROR(INDEX(PASTE_ALL,$DF598,22)&amp;"","")&amp;"␟"&amp;IFERROR(INDEX(PASTE_ALL,$DF598,23)&amp;"","")&amp;"␟"&amp;IFERROR(INDEX(PASTE_ALL,$DF598,24)&amp;"","")&amp;"␟"&amp;IFERROR(INDEX(PASTE_ALL,$DF598,25)&amp;"","")&amp;"␟"&amp;IFERROR(INDEX(PASTE_ALL,$DF598,26)&amp;"","")&amp;"␟"&amp;IFERROR(INDEX(PASTE_ALL,$DF598,27)&amp;"","")&amp;"␟"&amp;IFERROR(INDEX(PASTE_ALL,$DF598,28)&amp;"","")&amp;"␟"&amp;IFERROR(INDEX(PASTE_ALL,$DF598,29)&amp;"","")&amp;"␟"&amp;IFERROR(INDEX(PASTE_ALL,$DF598,30)&amp;"","")&amp;"␟"&amp;IFERROR(INDEX(PASTE_ALL,$DF598,31)&amp;"","")&amp;"␟"&amp;IFERROR(INDEX(PASTE_ALL,$DF598,32)&amp;"","")&amp;"␟"&amp;IFERROR(INDEX(PASTE_ALL,$DF598,33)&amp;"","")&amp;"␟"&amp;IFERROR(INDEX(PASTE_ALL,$DF598,34)&amp;"","")&amp;"␟"&amp;IFERROR(INDEX(PASTE_ALL,$DF598,35)&amp;"","")&amp;"␟"&amp;IFERROR(INDEX(PASTE_ALL,$DF598,36)&amp;"","")&amp;"␟"&amp;IFERROR(INDEX(PASTE_ALL,$DF598,37)&amp;"","")&amp;"␟"&amp;IFERROR(INDEX(PASTE_ALL,$DF598,38)&amp;"","")&amp;"␟"&amp;IFERROR(INDEX(PASTE_ALL,$DF598,39)&amp;"","")&amp;"␟"&amp;IFERROR(INDEX(PASTE_ALL,$DF598,40)&amp;"","")&amp;"␟"&amp;IFERROR(INDEX(PASTE_ALL,$DF598,41)&amp;"","")&amp;"␟"&amp;IFERROR(INDEX(PASTE_ALL,$DF598,42)&amp;"","")&amp;"␟"&amp;IFERROR(INDEX(PASTE_ALL,$DF598,43)&amp;"","")&amp;"␟"&amp;IFERROR(INDEX(PASTE_ALL,$DF598,44)&amp;"","")&amp;"␟"&amp;IFERROR(INDEX(PASTE_ALL,$DF598,45)&amp;"","")&amp;"␟"&amp;IFERROR(INDEX(PASTE_ALL,$DF598,46)&amp;"","")&amp;"␟"&amp;IFERROR(INDEX(PASTE_ALL,$DF598,47)&amp;"","")&amp;"␟"&amp;IFERROR(INDEX(PASTE_ALL,$DF598,48)&amp;"","")&amp;"␟"&amp;IFERROR(INDEX(PASTE_ALL,$DF598,49)&amp;"","")&amp;"␟"&amp;IFERROR(INDEX(PASTE_ALL,$DF598,50)&amp;"","")&amp;"␟"&amp;IFERROR(INDEX(PASTE_ALL,$DF598,51)&amp;"","")&amp;"␟"&amp;IFERROR(INDEX(PASTE_ALL,$DF598,52)&amp;"","")&amp;"␟"&amp;IFERROR(INDEX(PASTE_ALL,$DF598,53)&amp;"","")&amp;"␟"&amp;IFERROR(INDEX(PASTE_ALL,$DF598,54)&amp;"","")&amp;"␟"&amp;IFERROR(INDEX(PASTE_ALL,$DF598,55)&amp;"","")&amp;"␟"&amp;IFERROR(INDEX(PASTE_ALL,$DF598,56)&amp;"","")&amp;"␟"&amp;IFERROR(INDEX(PASTE_ALL,$DF598,57)&amp;"","")&amp;"␟"&amp;IFERROR(INDEX(PASTE_ALL,$DF598,58)&amp;"","")&amp;"␟"&amp;IFERROR(INDEX(PASTE_ALL,$DF598,59)&amp;"","")&amp;"␟"&amp;IFERROR(INDEX(PASTE_ALL,$DF598,60)&amp;"","")," "," "),CHAR(9)," "),CHAR(10)," "),CHAR(13)," "))," ␟","␟"),"␟ ","␟"),"#"&amp;$DE598),"")</f>
        <v/>
      </c>
      <c r="DJ598">
        <f>IF($DI598="",0,IF(SUMPRODUCT(--EXACT($DI$4:DI597,$DI598))&gt;0,1,0))</f>
        <v/>
      </c>
      <c r="DK598">
        <f>IF(AND($DI598&lt;&gt;"",$DJ598=0),1,0)</f>
        <v/>
      </c>
      <c r="DL598">
        <f>DL597+$DK598</f>
        <v/>
      </c>
      <c r="DM598">
        <f>IF(AND($DK598=1,$DL598&lt;=600),1,0)</f>
        <v/>
      </c>
      <c r="DN598">
        <f>IF($DM598=0,"",IF($L$6=0,"",IFERROR(IF(ISNUMBER(INDEX(PASTE_ALL,$DF598,$L$6)),INDEX(PASTE_ALL,$DF598,$L$6),TRIM(SUBSTITUTE(SUBSTITUTE(SUBSTITUTE(SUBSTITUTE(INDEX(PASTE_ALL,$DF598,$L$6)," "," "),CHAR(9)," "),CHAR(10)," "),CHAR(13)," "))),"")))</f>
        <v/>
      </c>
      <c r="DO598">
        <f>IF($DM598=0,"",IF($L$7=0,"",IFERROR(IF(ISNUMBER(INDEX(PASTE_ALL,$DF598,$L$7)),INDEX(PASTE_ALL,$DF598,$L$7),TRIM(SUBSTITUTE(SUBSTITUTE(SUBSTITUTE(SUBSTITUTE(INDEX(PASTE_ALL,$DF598,$L$7)," "," "),CHAR(9)," "),CHAR(10)," "),CHAR(13)," "))),"")))</f>
        <v/>
      </c>
      <c r="DP598">
        <f>IF($DM598=0,"",IF($L$8=0,"",IFERROR(IF(ISNUMBER(INDEX(PASTE_ALL,$DF598,$L$8)),INDEX(PASTE_ALL,$DF598,$L$8),TRIM(SUBSTITUTE(SUBSTITUTE(SUBSTITUTE(SUBSTITUTE(INDEX(PASTE_ALL,$DF598,$L$8)," "," "),CHAR(9)," "),CHAR(10)," "),CHAR(13)," "))),"")))</f>
        <v/>
      </c>
      <c r="DQ598">
        <f>IF($DM598=0,"",IF($L$9=0,"",IFERROR(IF(ISNUMBER(INDEX(PASTE_ALL,$DF598,$L$9)),INDEX(PASTE_ALL,$DF598,$L$9),TRIM(SUBSTITUTE(SUBSTITUTE(SUBSTITUTE(SUBSTITUTE(INDEX(PASTE_ALL,$DF598,$L$9)," "," "),CHAR(9)," "),CHAR(10)," "),CHAR(13)," "))),"")))</f>
        <v/>
      </c>
      <c r="DR598">
        <f>IF($DM598=0,"",IF($L$10=0,"",IFERROR(IF(ISNUMBER(INDEX(PASTE_ALL,$DF598,$L$10)),INDEX(PASTE_ALL,$DF598,$L$10),TRIM(SUBSTITUTE(SUBSTITUTE(SUBSTITUTE(SUBSTITUTE(INDEX(PASTE_ALL,$DF598,$L$10)," "," "),CHAR(9)," "),CHAR(10)," "),CHAR(13)," "))),"")))</f>
        <v/>
      </c>
      <c r="DS598">
        <f>IF($DM598=0,"",IF($L$11=0,"",IFERROR(IF(ISNUMBER(INDEX(PASTE_ALL,$DF598,$L$11)),INDEX(PASTE_ALL,$DF598,$L$11),TRIM(SUBSTITUTE(SUBSTITUTE(SUBSTITUTE(SUBSTITUTE(INDEX(PASTE_ALL,$DF598,$L$11)," "," "),CHAR(9)," "),CHAR(10)," "),CHAR(13)," "))),"")))</f>
        <v/>
      </c>
      <c r="DT598">
        <f>IF($DM598=0,"",IF($L$12=0,"",IFERROR(IF(ISNUMBER(INDEX(PASTE_ALL,$DF598,$L$12)),INDEX(PASTE_ALL,$DF598,$L$12),TRIM(SUBSTITUTE(SUBSTITUTE(SUBSTITUTE(SUBSTITUTE(INDEX(PASTE_ALL,$DF598,$L$12)," "," "),CHAR(9)," "),CHAR(10)," "),CHAR(13)," "))),"")))</f>
        <v/>
      </c>
      <c r="DU598">
        <f>IF($DM598=0,"",IF($L$13=0,"",IFERROR(IF(ISNUMBER(INDEX(PASTE_ALL,$DF598,$L$13)),INDEX(PASTE_ALL,$DF598,$L$13),TRIM(SUBSTITUTE(SUBSTITUTE(SUBSTITUTE(SUBSTITUTE(INDEX(PASTE_ALL,$DF598,$L$13)," "," "),CHAR(9)," "),CHAR(10)," "),CHAR(13)," "))),"")))</f>
        <v/>
      </c>
      <c r="DV598">
        <f>IF($DM598=0,"",IF($L$14=0,"",IFERROR(IF(ISNUMBER(INDEX(PASTE_ALL,$DF598,$L$14)),INDEX(PASTE_ALL,$DF598,$L$14),TRIM(SUBSTITUTE(SUBSTITUTE(SUBSTITUTE(SUBSTITUTE(INDEX(PASTE_ALL,$DF598,$L$14)," "," "),CHAR(9)," "),CHAR(10)," "),CHAR(13)," "))),"")))</f>
        <v/>
      </c>
      <c r="DW598">
        <f>IF($DM598=0,"",IF($L$15=0,"",IFERROR(IF(ISNUMBER(INDEX(PASTE_ALL,$DF598,$L$15)),INDEX(PASTE_ALL,$DF598,$L$15),IF(SUMPRODUCT(--ISNUMBER(FIND({"A","B","C","D","E","F","G","H","I","J","K","L","M","N","O","P","Q","R","S","T","U","V","W","X","Y","Z","0","1","2","3","4","5","6","7","8","9"},UPPER(TRIM(SUBSTITUTE(SUBSTITUTE(SUBSTITUTE(SUBSTITUTE(INDEX(PASTE_ALL,$DF598,$L$15)," "," "),CHAR(9)," "),CHAR(10)," "),CHAR(13)," "))))))&gt;0,TRIM(SUBSTITUTE(SUBSTITUTE(SUBSTITUTE(SUBSTITUTE(INDEX(PASTE_ALL,$DF598,$L$15)," "," "),CHAR(9)," "),CHAR(10)," "),CHAR(13)," ")),"")),"")))</f>
        <v/>
      </c>
      <c r="DX598">
        <f>IF($DM598=0,"",IF($L$16=0,"",IFERROR(IF(ISNUMBER(INDEX(PASTE_ALL,$DF598,$L$16)),INDEX(PASTE_ALL,$DF598,$L$16),SUBSTITUTE(SUBSTITUTE(TRIM(SUBSTITUTE(SUBSTITUTE(SUBSTITUTE(SUBSTITUTE(INDEX(PASTE_ALL,$DF598,$L$16)," "," "),CHAR(9)," "),CHAR(10)," "),CHAR(13)," ")),",",""),"%","")),"")))</f>
        <v/>
      </c>
      <c r="DY598">
        <f>IF($DM598=0,"",IFERROR(IF(ISNUMBER($DX598),$DX598,IF($DX598="","",IF(TRIM($DX598)="",0,IF(AND(AND(SUBSTITUTE(SUBSTITUTE(SUBSTITUTE(SUBSTITUTE(SUBSTITUTE(SUBSTITUTE(SUBSTITUTE(SUBSTITUTE(SUBSTITUTE(SUBSTITUTE(SUBSTITUTE(SUBSTITUTE(SUBSTITUTE(SUBSTITUTE(UPPER(TRIM($DX598)),"0",""),"1",""),"2",""),"3",""),"4",""),"5",""),"6",""),"7",""),"8",""),"9",""),".",""),"+",""),"-",""),"E","")="",LEN(SUBSTITUTE(SUBSTITUTE(MID(UPPER(TRIM($DX598)),1+OR(LEFT(UPPER(TRIM($DX598)),1)="+",LEFT(UPPER(TRIM($DX598)),1)="-"),999),"E+","E"),"E-","E"))=LEN(SUBSTITUTE(SUBSTITUTE(SUBSTITUTE(SUBSTITUTE(MID(UPPER(TRIM($DX598)),1+OR(LEFT(UPPER(TRIM($DX598)),1)="+",LEFT(UPPER(TRIM($DX598)),1)="-"),999),"E+","E"),"E-","E"),"+",""),"-","")),LEN(UPPER(TRIM($DX598)))-LEN(SUBSTITUTE(UPPER(TRIM($DX598)),"E",""))&lt;2,LEN(UPPER(TRIM($DX598)))-LEN(SUBSTITUTE(UPPER(TRIM($DX598)),".",""))&lt;2,IFERROR(FIND(".",UPPER(TRIM($DX598))),0)&lt;IFERROR(FIND("E",UPPER(TRIM($DX598))),999)),ISNUMBER(VALUE(TRIM($DX598)))),VALUE(TRIM($DX598)),"")))),""))</f>
        <v/>
      </c>
      <c r="DZ598">
        <f>IF($DM598=0,"",IF($L$17=0,"",IFERROR(IF(ISNUMBER(INDEX(PASTE_ALL,$DF598,$L$17)),INDEX(PASTE_ALL,$DF598,$L$17),SUBSTITUTE(SUBSTITUTE(TRIM(SUBSTITUTE(SUBSTITUTE(SUBSTITUTE(SUBSTITUTE(INDEX(PASTE_ALL,$DF598,$L$17)," "," "),CHAR(9)," "),CHAR(10)," "),CHAR(13)," ")),",",""),"%","")),"")))</f>
        <v/>
      </c>
      <c r="EA598">
        <f>IF($DM598=0,"",IFERROR(IF(ISNUMBER($DZ598),$DZ598,IF($DZ598="","",IF(TRIM($DZ598)="",0,IF(AND(AND(SUBSTITUTE(SUBSTITUTE(SUBSTITUTE(SUBSTITUTE(SUBSTITUTE(SUBSTITUTE(SUBSTITUTE(SUBSTITUTE(SUBSTITUTE(SUBSTITUTE(SUBSTITUTE(SUBSTITUTE(SUBSTITUTE(SUBSTITUTE(UPPER(TRIM($DZ598)),"0",""),"1",""),"2",""),"3",""),"4",""),"5",""),"6",""),"7",""),"8",""),"9",""),".",""),"+",""),"-",""),"E","")="",LEN(SUBSTITUTE(SUBSTITUTE(MID(UPPER(TRIM($DZ598)),1+OR(LEFT(UPPER(TRIM($DZ598)),1)="+",LEFT(UPPER(TRIM($DZ598)),1)="-"),999),"E+","E"),"E-","E"))=LEN(SUBSTITUTE(SUBSTITUTE(SUBSTITUTE(SUBSTITUTE(MID(UPPER(TRIM($DZ598)),1+OR(LEFT(UPPER(TRIM($DZ598)),1)="+",LEFT(UPPER(TRIM($DZ598)),1)="-"),999),"E+","E"),"E-","E"),"+",""),"-","")),LEN(UPPER(TRIM($DZ598)))-LEN(SUBSTITUTE(UPPER(TRIM($DZ598)),"E",""))&lt;2,LEN(UPPER(TRIM($DZ598)))-LEN(SUBSTITUTE(UPPER(TRIM($DZ598)),".",""))&lt;2,IFERROR(FIND(".",UPPER(TRIM($DZ598))),0)&lt;IFERROR(FIND("E",UPPER(TRIM($DZ598))),999)),ISNUMBER(VALUE(TRIM($DZ598)))),VALUE(TRIM($DZ598)),"")))),""))</f>
        <v/>
      </c>
      <c r="EB598">
        <f>IF($DM598=0,"",IF($L$18=0,"",IFERROR(IF(UPPER(TRIM(SUBSTITUTE(SUBSTITUTE(SUBSTITUTE(SUBSTITUTE(INDEX(PASTE_ALL,$DF598,$L$18)," "," "),CHAR(9)," "),CHAR(10)," "),CHAR(13)," ")))="READY","Ready",IF(UPPER(TRIM(SUBSTITUTE(SUBSTITUTE(SUBSTITUTE(SUBSTITUTE(INDEX(PASTE_ALL,$DF598,$L$18)," "," "),CHAR(9)," "),CHAR(10)," "),CHAR(13)," ")))="PM","PM",IF(OR(UPPER(TRIM(SUBSTITUTE(SUBSTITUTE(SUBSTITUTE(SUBSTITUTE(INDEX(PASTE_ALL,$DF598,$L$18)," "," "),CHAR(9)," "),CHAR(10)," "),CHAR(13)," ")))="OT",UPPER(TRIM(SUBSTITUTE(SUBSTITUTE(SUBSTITUTE(SUBSTITUTE(INDEX(PASTE_ALL,$DF598,$L$18)," "," "),CHAR(9)," "),CHAR(10)," "),CHAR(13)," ")))="OVERTIME",UPPER(TRIM(SUBSTITUTE(SUBSTITUTE(SUBSTITUTE(SUBSTITUTE(INDEX(PASTE_ALL,$DF598,$L$18)," "," "),CHAR(9)," "),CHAR(10)," "),CHAR(13)," ")))="TRIAL"),"OT",TRIM(SUBSTITUTE(SUBSTITUTE(SUBSTITUTE(SUBSTITUTE(INDEX(PASTE_ALL,$DF598,$L$18)," "," "),CHAR(9)," "),CHAR(10)," "),CHAR(13)," "))))),"")))</f>
        <v/>
      </c>
      <c r="EC598">
        <f>IF($DM598=0,"",IF($L$19=0,"",IFERROR(IF(ISNUMBER(INDEX(PASTE_ALL,$DF598,$L$19)),INDEX(PASTE_ALL,$DF598,$L$19),TRIM(SUBSTITUTE(SUBSTITUTE(SUBSTITUTE(SUBSTITUTE(INDEX(PASTE_ALL,$DF598,$L$19)," "," "),CHAR(9)," "),CHAR(10)," "),CHAR(13)," "))),"")))</f>
        <v/>
      </c>
      <c r="ED598">
        <f>IF($DM598=0,"",MATCH(1,INDEX(EXACT($DH$5:DH598,$DH598)*$DM$5:DM598,0),0))</f>
        <v/>
      </c>
      <c r="EE598">
        <f>IF($DM598=0,0,IF($ED598=$DE598,1,0))</f>
        <v/>
      </c>
      <c r="EF598">
        <f>EF597+$EE598</f>
        <v/>
      </c>
      <c r="EG598">
        <f>IF($DM598=0,"",INDEX($EF$5:$EF$1003,$ED598))</f>
        <v/>
      </c>
      <c r="EH598">
        <f>IF($DM598=0,"",IF($DO598&lt;&gt;"","",IFERROR(LOOKUP(2,1/(($EG$4:EG597=$EG598)*($DO$4:DO597&lt;&gt;"")),$DO$4:DO597),"")))</f>
        <v/>
      </c>
      <c r="EI598">
        <f>IF($DM598=0,"",IF($DO598&lt;&gt;"",$DO598,$EH598))</f>
        <v/>
      </c>
      <c r="EJ598">
        <f>IF($DM598=0,"",IF($EI598="",0,IF(OR(ISNUMBER($EI598),AND(AND(SUBSTITUTE(SUBSTITUTE(SUBSTITUTE(SUBSTITUTE(SUBSTITUTE(SUBSTITUTE(SUBSTITUTE(SUBSTITUTE(SUBSTITUTE(SUBSTITUTE(SUBSTITUTE(SUBSTITUTE(SUBSTITUTE(SUBSTITUTE(UPPER($EI598),"0",""),"1",""),"2",""),"3",""),"4",""),"5",""),"6",""),"7",""),"8",""),"9",""),".",""),"+",""),"-",""),"E","")="",LEN(SUBSTITUTE(SUBSTITUTE(MID(UPPER($EI598),1+OR(LEFT(UPPER($EI598),1)="+",LEFT(UPPER($EI598),1)="-"),999),"E+","E"),"E-","E"))=LEN(SUBSTITUTE(SUBSTITUTE(SUBSTITUTE(SUBSTITUTE(MID(UPPER($EI598),1+OR(LEFT(UPPER($EI598),1)="+",LEFT(UPPER($EI598),1)="-"),999),"E+","E"),"E-","E"),"+",""),"-","")),LEN(UPPER($EI598))-LEN(SUBSTITUTE(UPPER($EI598),"E",""))&lt;2,LEN(UPPER($EI598))-LEN(SUBSTITUTE(UPPER($EI598),".",""))&lt;2,IFERROR(FIND(".",UPPER($EI598)),0)&lt;IFERROR(FIND("E",UPPER($EI598)),999)),ISNUMBER(VALUE($EI598)))),1,2)))</f>
        <v/>
      </c>
      <c r="EK598">
        <f>IF($DM598=0,"",IF($EJ598=1,IF(ISNUMBER($EI598),$EI598,VALUE($EI598)),IF($EJ598=2,$DE598,0)))</f>
        <v/>
      </c>
      <c r="EL598">
        <f>IF($DM598=0,"",COUNTIF($EG$5:$EG$1003,"&lt;"&amp;$EG598)+SUMPRODUCT(($EG$5:$EG$1003=$EG598)*(($EJ$5:$EJ$1003&lt;$EJ598)+($EJ$5:$EJ$1003=$EJ598)*(($EK$5:$EK$1003&lt;$EK598)+($EK$5:$EK$1003=$EK598)*($DE$5:$DE$1003&lt;$DE598))))+1)</f>
        <v/>
      </c>
      <c r="EM598">
        <f>IF($DM598=0,"",$EL598+$EG598-1)</f>
        <v/>
      </c>
      <c r="EN598">
        <f>IF($DM598=0,0,IFERROR(MATCH(1,INDEX(--(TRIM(SUBSTITUTE(SUBSTITUTE(SUBSTITUTE(SUBSTITUTE(LINES_NAME&amp;""," "," "),CHAR(9)," "),CHAR(10)," "),CHAR(13)," "))=$DH598),0),0),0))</f>
        <v/>
      </c>
      <c r="EO598">
        <f>IF($EN598=0,0,IF(OR(UPPER(TRIM(INDEX(LINES_SCHEDULED,$EN598)&amp;""))="YES",UPPER(TRIM(INDEX(LINES_SCHEDULED,$EN598)&amp;""))="Y",UPPER(TRIM(INDEX(LINES_SCHEDULED,$EN598)&amp;""))="X"),1,0))</f>
        <v/>
      </c>
      <c r="EP598">
        <f>IF($DM598=0,"",IF(COUNTIFS($EG$5:$EG$1003,$EG598,$EB$5:$EB$1003,"Ready")&gt;0,"READY",IF(COUNTIFS($EG$5:$EG$1003,$EG598,$EB$5:$EB$1003,"PM")&gt;0,"PM",IF(COUNTIFS($EG$5:$EG$1003,$EG598,$EB$5:$EB$1003,"OT")&gt;0,"OT",""))))</f>
        <v/>
      </c>
      <c r="EQ598">
        <f>IF($EN598=0,"",UPPER(TRIM(INDEX(LINES_STATUS,$EN598)&amp;"")))</f>
        <v/>
      </c>
      <c r="ER598">
        <f>IF($DM598=0,"",IF(OR($EQ598="READY",$EQ598="PM",$EQ598="OT"),$EQ598,$EP598))</f>
        <v/>
      </c>
      <c r="ES598">
        <f>IF($DM598=0,"",IF(AND($DV598&lt;&gt;"",UPPER($DV598)&lt;&gt;"N"),"allergen",IF(ISNUMBER(SEARCH("oil",$DQ598)),"oil",IF(OR(EXACT($DS598,"A662"),EXACT($DS598,"A624")),"bulk",""))))</f>
        <v/>
      </c>
      <c r="ET598">
        <f>IF($DM598=0,"",IF(OR($EA598="",$EA598=0),"",$EA598/100))</f>
        <v/>
      </c>
      <c r="EU598">
        <f>IF(OR($ET598="",$DY598=""),"",INT($DY598*(1-$ET598)+0.5))</f>
        <v/>
      </c>
      <c r="EW598" t="n">
        <v>594</v>
      </c>
      <c r="EX598">
        <f>IFERROR(MATCH($EW598,$EM$5:$EM$1003,0),0)</f>
        <v/>
      </c>
      <c r="EY598">
        <f>IF($EW598&gt;$B$12,"",IF($EX598&gt;0,"row","spacer"))</f>
        <v/>
      </c>
      <c r="EZ598">
        <f>IF(AND($EY598="row",$EY597&lt;&gt;"row"),1,0)</f>
        <v/>
      </c>
      <c r="FA598">
        <f>IF(AND($EY598="row",$EY599&lt;&gt;"row"),1,0)</f>
        <v/>
      </c>
      <c r="FB598">
        <f>IF($EZ598=1,IFERROR(IF(ISNUMBER(INDEX(PASTE_ALL,INDEX($DF$5:$DF$1003,$EX598),$B$37)),INDEX(PASTE_ALL,INDEX($DF$5:$DF$1003,$EX598),$B$37),INDEX($DH$5:$DH$1003,$EX598)),INDEX($DH$5:$DH$1003,$EX598)),"")</f>
        <v/>
      </c>
      <c r="FC598">
        <f>IF($EY598="row",INDEX($ER$5:$ER$1003,$EX598),"")</f>
        <v/>
      </c>
      <c r="FD598">
        <f>IF($EY598="row",INDEX($DN$5:$DN$1003,$EX598),"")</f>
        <v/>
      </c>
      <c r="FE598">
        <f>IF($EY598="row",INDEX($DO$5:$DO$1003,$EX598),"")</f>
        <v/>
      </c>
      <c r="FF598">
        <f>IF($EY598="row",INDEX($DP$5:$DP$1003,$EX598),"")</f>
        <v/>
      </c>
      <c r="FG598">
        <f>IF($EY598="row",INDEX($DQ$5:$DQ$1003,$EX598),"")</f>
        <v/>
      </c>
      <c r="FH598">
        <f>IF($EY598="row",INDEX($DR$5:$DR$1003,$EX598),"")</f>
        <v/>
      </c>
      <c r="FI598">
        <f>IF($EY598="row",INDEX($DS$5:$DS$1003,$EX598),"")</f>
        <v/>
      </c>
      <c r="FJ598">
        <f>IF($EY598="row",INDEX($DT$5:$DT$1003,$EX598),"")</f>
        <v/>
      </c>
      <c r="FK598">
        <f>IF($EY598="row",INDEX($DU$5:$DU$1003,$EX598),"")</f>
        <v/>
      </c>
      <c r="FL598">
        <f>IF($EY598="row",INDEX($DV$5:$DV$1003,$EX598),"")</f>
        <v/>
      </c>
      <c r="FM598">
        <f>IF($EY598="row",INDEX($DW$5:$DW$1003,$EX598),"")</f>
        <v/>
      </c>
      <c r="FN598">
        <f>IF($EY598="row",INDEX($DY$5:$DY$1003,$EX598),"")</f>
        <v/>
      </c>
      <c r="FO598">
        <f>IF($EY598="row",INDEX($EA$5:$EA$1003,$EX598),"")</f>
        <v/>
      </c>
      <c r="FP598">
        <f>IF($EY598="row",INDEX($EC$5:$EC$1003,$EX598),"")</f>
        <v/>
      </c>
      <c r="FQ598">
        <f>IF($EY598="row",INDEX($ET$5:$ET$1003,$EX598),"")</f>
        <v/>
      </c>
      <c r="FR598">
        <f>IF($EY598="row",INDEX($EU$5:$EU$1003,$EX598),"")</f>
        <v/>
      </c>
      <c r="FS598">
        <f>IF(AND($EY598="row",$EY597="row"),IF(OR(INDEX($DT$5:$DT$1003,$EX597)="",INDEX($DT$5:$DT$1003,$EX598)=""),"",IF(NOT(EXACT(INDEX($DT$5:$DT$1003,$EX597),INDEX($DT$5:$DT$1003,$EX598))),"S4",IF(NOT(EXACT(INDEX($DS$5:$DS$1003,$EX597),INDEX($DS$5:$DS$1003,$EX598))),"S3",IF(NOT(EXACT(INDEX($DR$5:$DR$1003,$EX597),INDEX($DR$5:$DR$1003,$EX598))),"S1 Count Change","S1")))),"")</f>
        <v/>
      </c>
      <c r="FT598">
        <f>IF($EY598="row",INDEX($ES$5:$ES$1003,$EX598),"")</f>
        <v/>
      </c>
      <c r="FU598">
        <f>IF($EY598="row",INDEX($EO$5:$EO$1003,$EX598),0)</f>
        <v/>
      </c>
      <c r="FV598">
        <f>IF($FS598="S1 Count Change",1,0)</f>
        <v/>
      </c>
    </row>
    <row r="599">
      <c r="DA599" t="n">
        <v>595</v>
      </c>
      <c r="DB599">
        <f>IF($B$37=0,"",IFERROR(TRIM(SUBSTITUTE(SUBSTITUTE(SUBSTITUTE(SUBSTITUTE(INDEX(PASTE_ALL,595,$B$37)," "," "),CHAR(9)," "),CHAR(10)," "),CHAR(13)," ")),""))</f>
        <v/>
      </c>
      <c r="DC599">
        <f>IF(AND(595&gt;HEADER_ROW,UPPER(DB599)="LEGEND"),1,0)</f>
        <v/>
      </c>
      <c r="DE599" t="n">
        <v>595</v>
      </c>
      <c r="DF599">
        <f>HEADER_ROW+$DE599</f>
        <v/>
      </c>
      <c r="DG599">
        <f>IF(AND($DF599&lt;=1000,$DF599&lt;$B$8),1,0)</f>
        <v/>
      </c>
      <c r="DH599">
        <f>IF($DG599=1,IFERROR(INDEX($DB$5:$DB$1004,$DF599),""),"")</f>
        <v/>
      </c>
      <c r="DI599">
        <f>IF(AND($DG599=1,$DH599&lt;&gt;""),IFERROR(SUBSTITUTE(SUBSTITUTE(TRIM(SUBSTITUTE(SUBSTITUTE(SUBSTITUTE(SUBSTITUTE(IFERROR(INDEX(PASTE_ALL,$DF599,1)&amp;"","")&amp;"␟"&amp;IFERROR(INDEX(PASTE_ALL,$DF599,2)&amp;"","")&amp;"␟"&amp;IFERROR(INDEX(PASTE_ALL,$DF599,3)&amp;"","")&amp;"␟"&amp;IFERROR(INDEX(PASTE_ALL,$DF599,4)&amp;"","")&amp;"␟"&amp;IFERROR(INDEX(PASTE_ALL,$DF599,5)&amp;"","")&amp;"␟"&amp;IFERROR(INDEX(PASTE_ALL,$DF599,6)&amp;"","")&amp;"␟"&amp;IFERROR(INDEX(PASTE_ALL,$DF599,7)&amp;"","")&amp;"␟"&amp;IFERROR(INDEX(PASTE_ALL,$DF599,8)&amp;"","")&amp;"␟"&amp;IFERROR(INDEX(PASTE_ALL,$DF599,9)&amp;"","")&amp;"␟"&amp;IFERROR(INDEX(PASTE_ALL,$DF599,10)&amp;"","")&amp;"␟"&amp;IFERROR(INDEX(PASTE_ALL,$DF599,11)&amp;"","")&amp;"␟"&amp;IFERROR(INDEX(PASTE_ALL,$DF599,12)&amp;"","")&amp;"␟"&amp;IFERROR(INDEX(PASTE_ALL,$DF599,13)&amp;"","")&amp;"␟"&amp;IFERROR(INDEX(PASTE_ALL,$DF599,14)&amp;"","")&amp;"␟"&amp;IFERROR(INDEX(PASTE_ALL,$DF599,15)&amp;"","")&amp;"␟"&amp;IFERROR(INDEX(PASTE_ALL,$DF599,16)&amp;"","")&amp;"␟"&amp;IFERROR(INDEX(PASTE_ALL,$DF599,17)&amp;"","")&amp;"␟"&amp;IFERROR(INDEX(PASTE_ALL,$DF599,18)&amp;"","")&amp;"␟"&amp;IFERROR(INDEX(PASTE_ALL,$DF599,19)&amp;"","")&amp;"␟"&amp;IFERROR(INDEX(PASTE_ALL,$DF599,20)&amp;"","")&amp;"␟"&amp;IFERROR(INDEX(PASTE_ALL,$DF599,21)&amp;"","")&amp;"␟"&amp;IFERROR(INDEX(PASTE_ALL,$DF599,22)&amp;"","")&amp;"␟"&amp;IFERROR(INDEX(PASTE_ALL,$DF599,23)&amp;"","")&amp;"␟"&amp;IFERROR(INDEX(PASTE_ALL,$DF599,24)&amp;"","")&amp;"␟"&amp;IFERROR(INDEX(PASTE_ALL,$DF599,25)&amp;"","")&amp;"␟"&amp;IFERROR(INDEX(PASTE_ALL,$DF599,26)&amp;"","")&amp;"␟"&amp;IFERROR(INDEX(PASTE_ALL,$DF599,27)&amp;"","")&amp;"␟"&amp;IFERROR(INDEX(PASTE_ALL,$DF599,28)&amp;"","")&amp;"␟"&amp;IFERROR(INDEX(PASTE_ALL,$DF599,29)&amp;"","")&amp;"␟"&amp;IFERROR(INDEX(PASTE_ALL,$DF599,30)&amp;"","")&amp;"␟"&amp;IFERROR(INDEX(PASTE_ALL,$DF599,31)&amp;"","")&amp;"␟"&amp;IFERROR(INDEX(PASTE_ALL,$DF599,32)&amp;"","")&amp;"␟"&amp;IFERROR(INDEX(PASTE_ALL,$DF599,33)&amp;"","")&amp;"␟"&amp;IFERROR(INDEX(PASTE_ALL,$DF599,34)&amp;"","")&amp;"␟"&amp;IFERROR(INDEX(PASTE_ALL,$DF599,35)&amp;"","")&amp;"␟"&amp;IFERROR(INDEX(PASTE_ALL,$DF599,36)&amp;"","")&amp;"␟"&amp;IFERROR(INDEX(PASTE_ALL,$DF599,37)&amp;"","")&amp;"␟"&amp;IFERROR(INDEX(PASTE_ALL,$DF599,38)&amp;"","")&amp;"␟"&amp;IFERROR(INDEX(PASTE_ALL,$DF599,39)&amp;"","")&amp;"␟"&amp;IFERROR(INDEX(PASTE_ALL,$DF599,40)&amp;"","")&amp;"␟"&amp;IFERROR(INDEX(PASTE_ALL,$DF599,41)&amp;"","")&amp;"␟"&amp;IFERROR(INDEX(PASTE_ALL,$DF599,42)&amp;"","")&amp;"␟"&amp;IFERROR(INDEX(PASTE_ALL,$DF599,43)&amp;"","")&amp;"␟"&amp;IFERROR(INDEX(PASTE_ALL,$DF599,44)&amp;"","")&amp;"␟"&amp;IFERROR(INDEX(PASTE_ALL,$DF599,45)&amp;"","")&amp;"␟"&amp;IFERROR(INDEX(PASTE_ALL,$DF599,46)&amp;"","")&amp;"␟"&amp;IFERROR(INDEX(PASTE_ALL,$DF599,47)&amp;"","")&amp;"␟"&amp;IFERROR(INDEX(PASTE_ALL,$DF599,48)&amp;"","")&amp;"␟"&amp;IFERROR(INDEX(PASTE_ALL,$DF599,49)&amp;"","")&amp;"␟"&amp;IFERROR(INDEX(PASTE_ALL,$DF599,50)&amp;"","")&amp;"␟"&amp;IFERROR(INDEX(PASTE_ALL,$DF599,51)&amp;"","")&amp;"␟"&amp;IFERROR(INDEX(PASTE_ALL,$DF599,52)&amp;"","")&amp;"␟"&amp;IFERROR(INDEX(PASTE_ALL,$DF599,53)&amp;"","")&amp;"␟"&amp;IFERROR(INDEX(PASTE_ALL,$DF599,54)&amp;"","")&amp;"␟"&amp;IFERROR(INDEX(PASTE_ALL,$DF599,55)&amp;"","")&amp;"␟"&amp;IFERROR(INDEX(PASTE_ALL,$DF599,56)&amp;"","")&amp;"␟"&amp;IFERROR(INDEX(PASTE_ALL,$DF599,57)&amp;"","")&amp;"␟"&amp;IFERROR(INDEX(PASTE_ALL,$DF599,58)&amp;"","")&amp;"␟"&amp;IFERROR(INDEX(PASTE_ALL,$DF599,59)&amp;"","")&amp;"␟"&amp;IFERROR(INDEX(PASTE_ALL,$DF599,60)&amp;"","")," "," "),CHAR(9)," "),CHAR(10)," "),CHAR(13)," "))," ␟","␟"),"␟ ","␟"),"#"&amp;$DE599),"")</f>
        <v/>
      </c>
      <c r="DJ599">
        <f>IF($DI599="",0,IF(SUMPRODUCT(--EXACT($DI$4:DI598,$DI599))&gt;0,1,0))</f>
        <v/>
      </c>
      <c r="DK599">
        <f>IF(AND($DI599&lt;&gt;"",$DJ599=0),1,0)</f>
        <v/>
      </c>
      <c r="DL599">
        <f>DL598+$DK599</f>
        <v/>
      </c>
      <c r="DM599">
        <f>IF(AND($DK599=1,$DL599&lt;=600),1,0)</f>
        <v/>
      </c>
      <c r="DN599">
        <f>IF($DM599=0,"",IF($L$6=0,"",IFERROR(IF(ISNUMBER(INDEX(PASTE_ALL,$DF599,$L$6)),INDEX(PASTE_ALL,$DF599,$L$6),TRIM(SUBSTITUTE(SUBSTITUTE(SUBSTITUTE(SUBSTITUTE(INDEX(PASTE_ALL,$DF599,$L$6)," "," "),CHAR(9)," "),CHAR(10)," "),CHAR(13)," "))),"")))</f>
        <v/>
      </c>
      <c r="DO599">
        <f>IF($DM599=0,"",IF($L$7=0,"",IFERROR(IF(ISNUMBER(INDEX(PASTE_ALL,$DF599,$L$7)),INDEX(PASTE_ALL,$DF599,$L$7),TRIM(SUBSTITUTE(SUBSTITUTE(SUBSTITUTE(SUBSTITUTE(INDEX(PASTE_ALL,$DF599,$L$7)," "," "),CHAR(9)," "),CHAR(10)," "),CHAR(13)," "))),"")))</f>
        <v/>
      </c>
      <c r="DP599">
        <f>IF($DM599=0,"",IF($L$8=0,"",IFERROR(IF(ISNUMBER(INDEX(PASTE_ALL,$DF599,$L$8)),INDEX(PASTE_ALL,$DF599,$L$8),TRIM(SUBSTITUTE(SUBSTITUTE(SUBSTITUTE(SUBSTITUTE(INDEX(PASTE_ALL,$DF599,$L$8)," "," "),CHAR(9)," "),CHAR(10)," "),CHAR(13)," "))),"")))</f>
        <v/>
      </c>
      <c r="DQ599">
        <f>IF($DM599=0,"",IF($L$9=0,"",IFERROR(IF(ISNUMBER(INDEX(PASTE_ALL,$DF599,$L$9)),INDEX(PASTE_ALL,$DF599,$L$9),TRIM(SUBSTITUTE(SUBSTITUTE(SUBSTITUTE(SUBSTITUTE(INDEX(PASTE_ALL,$DF599,$L$9)," "," "),CHAR(9)," "),CHAR(10)," "),CHAR(13)," "))),"")))</f>
        <v/>
      </c>
      <c r="DR599">
        <f>IF($DM599=0,"",IF($L$10=0,"",IFERROR(IF(ISNUMBER(INDEX(PASTE_ALL,$DF599,$L$10)),INDEX(PASTE_ALL,$DF599,$L$10),TRIM(SUBSTITUTE(SUBSTITUTE(SUBSTITUTE(SUBSTITUTE(INDEX(PASTE_ALL,$DF599,$L$10)," "," "),CHAR(9)," "),CHAR(10)," "),CHAR(13)," "))),"")))</f>
        <v/>
      </c>
      <c r="DS599">
        <f>IF($DM599=0,"",IF($L$11=0,"",IFERROR(IF(ISNUMBER(INDEX(PASTE_ALL,$DF599,$L$11)),INDEX(PASTE_ALL,$DF599,$L$11),TRIM(SUBSTITUTE(SUBSTITUTE(SUBSTITUTE(SUBSTITUTE(INDEX(PASTE_ALL,$DF599,$L$11)," "," "),CHAR(9)," "),CHAR(10)," "),CHAR(13)," "))),"")))</f>
        <v/>
      </c>
      <c r="DT599">
        <f>IF($DM599=0,"",IF($L$12=0,"",IFERROR(IF(ISNUMBER(INDEX(PASTE_ALL,$DF599,$L$12)),INDEX(PASTE_ALL,$DF599,$L$12),TRIM(SUBSTITUTE(SUBSTITUTE(SUBSTITUTE(SUBSTITUTE(INDEX(PASTE_ALL,$DF599,$L$12)," "," "),CHAR(9)," "),CHAR(10)," "),CHAR(13)," "))),"")))</f>
        <v/>
      </c>
      <c r="DU599">
        <f>IF($DM599=0,"",IF($L$13=0,"",IFERROR(IF(ISNUMBER(INDEX(PASTE_ALL,$DF599,$L$13)),INDEX(PASTE_ALL,$DF599,$L$13),TRIM(SUBSTITUTE(SUBSTITUTE(SUBSTITUTE(SUBSTITUTE(INDEX(PASTE_ALL,$DF599,$L$13)," "," "),CHAR(9)," "),CHAR(10)," "),CHAR(13)," "))),"")))</f>
        <v/>
      </c>
      <c r="DV599">
        <f>IF($DM599=0,"",IF($L$14=0,"",IFERROR(IF(ISNUMBER(INDEX(PASTE_ALL,$DF599,$L$14)),INDEX(PASTE_ALL,$DF599,$L$14),TRIM(SUBSTITUTE(SUBSTITUTE(SUBSTITUTE(SUBSTITUTE(INDEX(PASTE_ALL,$DF599,$L$14)," "," "),CHAR(9)," "),CHAR(10)," "),CHAR(13)," "))),"")))</f>
        <v/>
      </c>
      <c r="DW599">
        <f>IF($DM599=0,"",IF($L$15=0,"",IFERROR(IF(ISNUMBER(INDEX(PASTE_ALL,$DF599,$L$15)),INDEX(PASTE_ALL,$DF599,$L$15),IF(SUMPRODUCT(--ISNUMBER(FIND({"A","B","C","D","E","F","G","H","I","J","K","L","M","N","O","P","Q","R","S","T","U","V","W","X","Y","Z","0","1","2","3","4","5","6","7","8","9"},UPPER(TRIM(SUBSTITUTE(SUBSTITUTE(SUBSTITUTE(SUBSTITUTE(INDEX(PASTE_ALL,$DF599,$L$15)," "," "),CHAR(9)," "),CHAR(10)," "),CHAR(13)," "))))))&gt;0,TRIM(SUBSTITUTE(SUBSTITUTE(SUBSTITUTE(SUBSTITUTE(INDEX(PASTE_ALL,$DF599,$L$15)," "," "),CHAR(9)," "),CHAR(10)," "),CHAR(13)," ")),"")),"")))</f>
        <v/>
      </c>
      <c r="DX599">
        <f>IF($DM599=0,"",IF($L$16=0,"",IFERROR(IF(ISNUMBER(INDEX(PASTE_ALL,$DF599,$L$16)),INDEX(PASTE_ALL,$DF599,$L$16),SUBSTITUTE(SUBSTITUTE(TRIM(SUBSTITUTE(SUBSTITUTE(SUBSTITUTE(SUBSTITUTE(INDEX(PASTE_ALL,$DF599,$L$16)," "," "),CHAR(9)," "),CHAR(10)," "),CHAR(13)," ")),",",""),"%","")),"")))</f>
        <v/>
      </c>
      <c r="DY599">
        <f>IF($DM599=0,"",IFERROR(IF(ISNUMBER($DX599),$DX599,IF($DX599="","",IF(TRIM($DX599)="",0,IF(AND(AND(SUBSTITUTE(SUBSTITUTE(SUBSTITUTE(SUBSTITUTE(SUBSTITUTE(SUBSTITUTE(SUBSTITUTE(SUBSTITUTE(SUBSTITUTE(SUBSTITUTE(SUBSTITUTE(SUBSTITUTE(SUBSTITUTE(SUBSTITUTE(UPPER(TRIM($DX599)),"0",""),"1",""),"2",""),"3",""),"4",""),"5",""),"6",""),"7",""),"8",""),"9",""),".",""),"+",""),"-",""),"E","")="",LEN(SUBSTITUTE(SUBSTITUTE(MID(UPPER(TRIM($DX599)),1+OR(LEFT(UPPER(TRIM($DX599)),1)="+",LEFT(UPPER(TRIM($DX599)),1)="-"),999),"E+","E"),"E-","E"))=LEN(SUBSTITUTE(SUBSTITUTE(SUBSTITUTE(SUBSTITUTE(MID(UPPER(TRIM($DX599)),1+OR(LEFT(UPPER(TRIM($DX599)),1)="+",LEFT(UPPER(TRIM($DX599)),1)="-"),999),"E+","E"),"E-","E"),"+",""),"-","")),LEN(UPPER(TRIM($DX599)))-LEN(SUBSTITUTE(UPPER(TRIM($DX599)),"E",""))&lt;2,LEN(UPPER(TRIM($DX599)))-LEN(SUBSTITUTE(UPPER(TRIM($DX599)),".",""))&lt;2,IFERROR(FIND(".",UPPER(TRIM($DX599))),0)&lt;IFERROR(FIND("E",UPPER(TRIM($DX599))),999)),ISNUMBER(VALUE(TRIM($DX599)))),VALUE(TRIM($DX599)),"")))),""))</f>
        <v/>
      </c>
      <c r="DZ599">
        <f>IF($DM599=0,"",IF($L$17=0,"",IFERROR(IF(ISNUMBER(INDEX(PASTE_ALL,$DF599,$L$17)),INDEX(PASTE_ALL,$DF599,$L$17),SUBSTITUTE(SUBSTITUTE(TRIM(SUBSTITUTE(SUBSTITUTE(SUBSTITUTE(SUBSTITUTE(INDEX(PASTE_ALL,$DF599,$L$17)," "," "),CHAR(9)," "),CHAR(10)," "),CHAR(13)," ")),",",""),"%","")),"")))</f>
        <v/>
      </c>
      <c r="EA599">
        <f>IF($DM599=0,"",IFERROR(IF(ISNUMBER($DZ599),$DZ599,IF($DZ599="","",IF(TRIM($DZ599)="",0,IF(AND(AND(SUBSTITUTE(SUBSTITUTE(SUBSTITUTE(SUBSTITUTE(SUBSTITUTE(SUBSTITUTE(SUBSTITUTE(SUBSTITUTE(SUBSTITUTE(SUBSTITUTE(SUBSTITUTE(SUBSTITUTE(SUBSTITUTE(SUBSTITUTE(UPPER(TRIM($DZ599)),"0",""),"1",""),"2",""),"3",""),"4",""),"5",""),"6",""),"7",""),"8",""),"9",""),".",""),"+",""),"-",""),"E","")="",LEN(SUBSTITUTE(SUBSTITUTE(MID(UPPER(TRIM($DZ599)),1+OR(LEFT(UPPER(TRIM($DZ599)),1)="+",LEFT(UPPER(TRIM($DZ599)),1)="-"),999),"E+","E"),"E-","E"))=LEN(SUBSTITUTE(SUBSTITUTE(SUBSTITUTE(SUBSTITUTE(MID(UPPER(TRIM($DZ599)),1+OR(LEFT(UPPER(TRIM($DZ599)),1)="+",LEFT(UPPER(TRIM($DZ599)),1)="-"),999),"E+","E"),"E-","E"),"+",""),"-","")),LEN(UPPER(TRIM($DZ599)))-LEN(SUBSTITUTE(UPPER(TRIM($DZ599)),"E",""))&lt;2,LEN(UPPER(TRIM($DZ599)))-LEN(SUBSTITUTE(UPPER(TRIM($DZ599)),".",""))&lt;2,IFERROR(FIND(".",UPPER(TRIM($DZ599))),0)&lt;IFERROR(FIND("E",UPPER(TRIM($DZ599))),999)),ISNUMBER(VALUE(TRIM($DZ599)))),VALUE(TRIM($DZ599)),"")))),""))</f>
        <v/>
      </c>
      <c r="EB599">
        <f>IF($DM599=0,"",IF($L$18=0,"",IFERROR(IF(UPPER(TRIM(SUBSTITUTE(SUBSTITUTE(SUBSTITUTE(SUBSTITUTE(INDEX(PASTE_ALL,$DF599,$L$18)," "," "),CHAR(9)," "),CHAR(10)," "),CHAR(13)," ")))="READY","Ready",IF(UPPER(TRIM(SUBSTITUTE(SUBSTITUTE(SUBSTITUTE(SUBSTITUTE(INDEX(PASTE_ALL,$DF599,$L$18)," "," "),CHAR(9)," "),CHAR(10)," "),CHAR(13)," ")))="PM","PM",IF(OR(UPPER(TRIM(SUBSTITUTE(SUBSTITUTE(SUBSTITUTE(SUBSTITUTE(INDEX(PASTE_ALL,$DF599,$L$18)," "," "),CHAR(9)," "),CHAR(10)," "),CHAR(13)," ")))="OT",UPPER(TRIM(SUBSTITUTE(SUBSTITUTE(SUBSTITUTE(SUBSTITUTE(INDEX(PASTE_ALL,$DF599,$L$18)," "," "),CHAR(9)," "),CHAR(10)," "),CHAR(13)," ")))="OVERTIME",UPPER(TRIM(SUBSTITUTE(SUBSTITUTE(SUBSTITUTE(SUBSTITUTE(INDEX(PASTE_ALL,$DF599,$L$18)," "," "),CHAR(9)," "),CHAR(10)," "),CHAR(13)," ")))="TRIAL"),"OT",TRIM(SUBSTITUTE(SUBSTITUTE(SUBSTITUTE(SUBSTITUTE(INDEX(PASTE_ALL,$DF599,$L$18)," "," "),CHAR(9)," "),CHAR(10)," "),CHAR(13)," "))))),"")))</f>
        <v/>
      </c>
      <c r="EC599">
        <f>IF($DM599=0,"",IF($L$19=0,"",IFERROR(IF(ISNUMBER(INDEX(PASTE_ALL,$DF599,$L$19)),INDEX(PASTE_ALL,$DF599,$L$19),TRIM(SUBSTITUTE(SUBSTITUTE(SUBSTITUTE(SUBSTITUTE(INDEX(PASTE_ALL,$DF599,$L$19)," "," "),CHAR(9)," "),CHAR(10)," "),CHAR(13)," "))),"")))</f>
        <v/>
      </c>
      <c r="ED599">
        <f>IF($DM599=0,"",MATCH(1,INDEX(EXACT($DH$5:DH599,$DH599)*$DM$5:DM599,0),0))</f>
        <v/>
      </c>
      <c r="EE599">
        <f>IF($DM599=0,0,IF($ED599=$DE599,1,0))</f>
        <v/>
      </c>
      <c r="EF599">
        <f>EF598+$EE599</f>
        <v/>
      </c>
      <c r="EG599">
        <f>IF($DM599=0,"",INDEX($EF$5:$EF$1003,$ED599))</f>
        <v/>
      </c>
      <c r="EH599">
        <f>IF($DM599=0,"",IF($DO599&lt;&gt;"","",IFERROR(LOOKUP(2,1/(($EG$4:EG598=$EG599)*($DO$4:DO598&lt;&gt;"")),$DO$4:DO598),"")))</f>
        <v/>
      </c>
      <c r="EI599">
        <f>IF($DM599=0,"",IF($DO599&lt;&gt;"",$DO599,$EH599))</f>
        <v/>
      </c>
      <c r="EJ599">
        <f>IF($DM599=0,"",IF($EI599="",0,IF(OR(ISNUMBER($EI599),AND(AND(SUBSTITUTE(SUBSTITUTE(SUBSTITUTE(SUBSTITUTE(SUBSTITUTE(SUBSTITUTE(SUBSTITUTE(SUBSTITUTE(SUBSTITUTE(SUBSTITUTE(SUBSTITUTE(SUBSTITUTE(SUBSTITUTE(SUBSTITUTE(UPPER($EI599),"0",""),"1",""),"2",""),"3",""),"4",""),"5",""),"6",""),"7",""),"8",""),"9",""),".",""),"+",""),"-",""),"E","")="",LEN(SUBSTITUTE(SUBSTITUTE(MID(UPPER($EI599),1+OR(LEFT(UPPER($EI599),1)="+",LEFT(UPPER($EI599),1)="-"),999),"E+","E"),"E-","E"))=LEN(SUBSTITUTE(SUBSTITUTE(SUBSTITUTE(SUBSTITUTE(MID(UPPER($EI599),1+OR(LEFT(UPPER($EI599),1)="+",LEFT(UPPER($EI599),1)="-"),999),"E+","E"),"E-","E"),"+",""),"-","")),LEN(UPPER($EI599))-LEN(SUBSTITUTE(UPPER($EI599),"E",""))&lt;2,LEN(UPPER($EI599))-LEN(SUBSTITUTE(UPPER($EI599),".",""))&lt;2,IFERROR(FIND(".",UPPER($EI599)),0)&lt;IFERROR(FIND("E",UPPER($EI599)),999)),ISNUMBER(VALUE($EI599)))),1,2)))</f>
        <v/>
      </c>
      <c r="EK599">
        <f>IF($DM599=0,"",IF($EJ599=1,IF(ISNUMBER($EI599),$EI599,VALUE($EI599)),IF($EJ599=2,$DE599,0)))</f>
        <v/>
      </c>
      <c r="EL599">
        <f>IF($DM599=0,"",COUNTIF($EG$5:$EG$1003,"&lt;"&amp;$EG599)+SUMPRODUCT(($EG$5:$EG$1003=$EG599)*(($EJ$5:$EJ$1003&lt;$EJ599)+($EJ$5:$EJ$1003=$EJ599)*(($EK$5:$EK$1003&lt;$EK599)+($EK$5:$EK$1003=$EK599)*($DE$5:$DE$1003&lt;$DE599))))+1)</f>
        <v/>
      </c>
      <c r="EM599">
        <f>IF($DM599=0,"",$EL599+$EG599-1)</f>
        <v/>
      </c>
      <c r="EN599">
        <f>IF($DM599=0,0,IFERROR(MATCH(1,INDEX(--(TRIM(SUBSTITUTE(SUBSTITUTE(SUBSTITUTE(SUBSTITUTE(LINES_NAME&amp;""," "," "),CHAR(9)," "),CHAR(10)," "),CHAR(13)," "))=$DH599),0),0),0))</f>
        <v/>
      </c>
      <c r="EO599">
        <f>IF($EN599=0,0,IF(OR(UPPER(TRIM(INDEX(LINES_SCHEDULED,$EN599)&amp;""))="YES",UPPER(TRIM(INDEX(LINES_SCHEDULED,$EN599)&amp;""))="Y",UPPER(TRIM(INDEX(LINES_SCHEDULED,$EN599)&amp;""))="X"),1,0))</f>
        <v/>
      </c>
      <c r="EP599">
        <f>IF($DM599=0,"",IF(COUNTIFS($EG$5:$EG$1003,$EG599,$EB$5:$EB$1003,"Ready")&gt;0,"READY",IF(COUNTIFS($EG$5:$EG$1003,$EG599,$EB$5:$EB$1003,"PM")&gt;0,"PM",IF(COUNTIFS($EG$5:$EG$1003,$EG599,$EB$5:$EB$1003,"OT")&gt;0,"OT",""))))</f>
        <v/>
      </c>
      <c r="EQ599">
        <f>IF($EN599=0,"",UPPER(TRIM(INDEX(LINES_STATUS,$EN599)&amp;"")))</f>
        <v/>
      </c>
      <c r="ER599">
        <f>IF($DM599=0,"",IF(OR($EQ599="READY",$EQ599="PM",$EQ599="OT"),$EQ599,$EP599))</f>
        <v/>
      </c>
      <c r="ES599">
        <f>IF($DM599=0,"",IF(AND($DV599&lt;&gt;"",UPPER($DV599)&lt;&gt;"N"),"allergen",IF(ISNUMBER(SEARCH("oil",$DQ599)),"oil",IF(OR(EXACT($DS599,"A662"),EXACT($DS599,"A624")),"bulk",""))))</f>
        <v/>
      </c>
      <c r="ET599">
        <f>IF($DM599=0,"",IF(OR($EA599="",$EA599=0),"",$EA599/100))</f>
        <v/>
      </c>
      <c r="EU599">
        <f>IF(OR($ET599="",$DY599=""),"",INT($DY599*(1-$ET599)+0.5))</f>
        <v/>
      </c>
      <c r="EW599" t="n">
        <v>595</v>
      </c>
      <c r="EX599">
        <f>IFERROR(MATCH($EW599,$EM$5:$EM$1003,0),0)</f>
        <v/>
      </c>
      <c r="EY599">
        <f>IF($EW599&gt;$B$12,"",IF($EX599&gt;0,"row","spacer"))</f>
        <v/>
      </c>
      <c r="EZ599">
        <f>IF(AND($EY599="row",$EY598&lt;&gt;"row"),1,0)</f>
        <v/>
      </c>
      <c r="FA599">
        <f>IF(AND($EY599="row",$EY600&lt;&gt;"row"),1,0)</f>
        <v/>
      </c>
      <c r="FB599">
        <f>IF($EZ599=1,IFERROR(IF(ISNUMBER(INDEX(PASTE_ALL,INDEX($DF$5:$DF$1003,$EX599),$B$37)),INDEX(PASTE_ALL,INDEX($DF$5:$DF$1003,$EX599),$B$37),INDEX($DH$5:$DH$1003,$EX599)),INDEX($DH$5:$DH$1003,$EX599)),"")</f>
        <v/>
      </c>
      <c r="FC599">
        <f>IF($EY599="row",INDEX($ER$5:$ER$1003,$EX599),"")</f>
        <v/>
      </c>
      <c r="FD599">
        <f>IF($EY599="row",INDEX($DN$5:$DN$1003,$EX599),"")</f>
        <v/>
      </c>
      <c r="FE599">
        <f>IF($EY599="row",INDEX($DO$5:$DO$1003,$EX599),"")</f>
        <v/>
      </c>
      <c r="FF599">
        <f>IF($EY599="row",INDEX($DP$5:$DP$1003,$EX599),"")</f>
        <v/>
      </c>
      <c r="FG599">
        <f>IF($EY599="row",INDEX($DQ$5:$DQ$1003,$EX599),"")</f>
        <v/>
      </c>
      <c r="FH599">
        <f>IF($EY599="row",INDEX($DR$5:$DR$1003,$EX599),"")</f>
        <v/>
      </c>
      <c r="FI599">
        <f>IF($EY599="row",INDEX($DS$5:$DS$1003,$EX599),"")</f>
        <v/>
      </c>
      <c r="FJ599">
        <f>IF($EY599="row",INDEX($DT$5:$DT$1003,$EX599),"")</f>
        <v/>
      </c>
      <c r="FK599">
        <f>IF($EY599="row",INDEX($DU$5:$DU$1003,$EX599),"")</f>
        <v/>
      </c>
      <c r="FL599">
        <f>IF($EY599="row",INDEX($DV$5:$DV$1003,$EX599),"")</f>
        <v/>
      </c>
      <c r="FM599">
        <f>IF($EY599="row",INDEX($DW$5:$DW$1003,$EX599),"")</f>
        <v/>
      </c>
      <c r="FN599">
        <f>IF($EY599="row",INDEX($DY$5:$DY$1003,$EX599),"")</f>
        <v/>
      </c>
      <c r="FO599">
        <f>IF($EY599="row",INDEX($EA$5:$EA$1003,$EX599),"")</f>
        <v/>
      </c>
      <c r="FP599">
        <f>IF($EY599="row",INDEX($EC$5:$EC$1003,$EX599),"")</f>
        <v/>
      </c>
      <c r="FQ599">
        <f>IF($EY599="row",INDEX($ET$5:$ET$1003,$EX599),"")</f>
        <v/>
      </c>
      <c r="FR599">
        <f>IF($EY599="row",INDEX($EU$5:$EU$1003,$EX599),"")</f>
        <v/>
      </c>
      <c r="FS599">
        <f>IF(AND($EY599="row",$EY598="row"),IF(OR(INDEX($DT$5:$DT$1003,$EX598)="",INDEX($DT$5:$DT$1003,$EX599)=""),"",IF(NOT(EXACT(INDEX($DT$5:$DT$1003,$EX598),INDEX($DT$5:$DT$1003,$EX599))),"S4",IF(NOT(EXACT(INDEX($DS$5:$DS$1003,$EX598),INDEX($DS$5:$DS$1003,$EX599))),"S3",IF(NOT(EXACT(INDEX($DR$5:$DR$1003,$EX598),INDEX($DR$5:$DR$1003,$EX599))),"S1 Count Change","S1")))),"")</f>
        <v/>
      </c>
      <c r="FT599">
        <f>IF($EY599="row",INDEX($ES$5:$ES$1003,$EX599),"")</f>
        <v/>
      </c>
      <c r="FU599">
        <f>IF($EY599="row",INDEX($EO$5:$EO$1003,$EX599),0)</f>
        <v/>
      </c>
      <c r="FV599">
        <f>IF($FS599="S1 Count Change",1,0)</f>
        <v/>
      </c>
    </row>
    <row r="600">
      <c r="DA600" t="n">
        <v>596</v>
      </c>
      <c r="DB600">
        <f>IF($B$37=0,"",IFERROR(TRIM(SUBSTITUTE(SUBSTITUTE(SUBSTITUTE(SUBSTITUTE(INDEX(PASTE_ALL,596,$B$37)," "," "),CHAR(9)," "),CHAR(10)," "),CHAR(13)," ")),""))</f>
        <v/>
      </c>
      <c r="DC600">
        <f>IF(AND(596&gt;HEADER_ROW,UPPER(DB600)="LEGEND"),1,0)</f>
        <v/>
      </c>
      <c r="DE600" t="n">
        <v>596</v>
      </c>
      <c r="DF600">
        <f>HEADER_ROW+$DE600</f>
        <v/>
      </c>
      <c r="DG600">
        <f>IF(AND($DF600&lt;=1000,$DF600&lt;$B$8),1,0)</f>
        <v/>
      </c>
      <c r="DH600">
        <f>IF($DG600=1,IFERROR(INDEX($DB$5:$DB$1004,$DF600),""),"")</f>
        <v/>
      </c>
      <c r="DI600">
        <f>IF(AND($DG600=1,$DH600&lt;&gt;""),IFERROR(SUBSTITUTE(SUBSTITUTE(TRIM(SUBSTITUTE(SUBSTITUTE(SUBSTITUTE(SUBSTITUTE(IFERROR(INDEX(PASTE_ALL,$DF600,1)&amp;"","")&amp;"␟"&amp;IFERROR(INDEX(PASTE_ALL,$DF600,2)&amp;"","")&amp;"␟"&amp;IFERROR(INDEX(PASTE_ALL,$DF600,3)&amp;"","")&amp;"␟"&amp;IFERROR(INDEX(PASTE_ALL,$DF600,4)&amp;"","")&amp;"␟"&amp;IFERROR(INDEX(PASTE_ALL,$DF600,5)&amp;"","")&amp;"␟"&amp;IFERROR(INDEX(PASTE_ALL,$DF600,6)&amp;"","")&amp;"␟"&amp;IFERROR(INDEX(PASTE_ALL,$DF600,7)&amp;"","")&amp;"␟"&amp;IFERROR(INDEX(PASTE_ALL,$DF600,8)&amp;"","")&amp;"␟"&amp;IFERROR(INDEX(PASTE_ALL,$DF600,9)&amp;"","")&amp;"␟"&amp;IFERROR(INDEX(PASTE_ALL,$DF600,10)&amp;"","")&amp;"␟"&amp;IFERROR(INDEX(PASTE_ALL,$DF600,11)&amp;"","")&amp;"␟"&amp;IFERROR(INDEX(PASTE_ALL,$DF600,12)&amp;"","")&amp;"␟"&amp;IFERROR(INDEX(PASTE_ALL,$DF600,13)&amp;"","")&amp;"␟"&amp;IFERROR(INDEX(PASTE_ALL,$DF600,14)&amp;"","")&amp;"␟"&amp;IFERROR(INDEX(PASTE_ALL,$DF600,15)&amp;"","")&amp;"␟"&amp;IFERROR(INDEX(PASTE_ALL,$DF600,16)&amp;"","")&amp;"␟"&amp;IFERROR(INDEX(PASTE_ALL,$DF600,17)&amp;"","")&amp;"␟"&amp;IFERROR(INDEX(PASTE_ALL,$DF600,18)&amp;"","")&amp;"␟"&amp;IFERROR(INDEX(PASTE_ALL,$DF600,19)&amp;"","")&amp;"␟"&amp;IFERROR(INDEX(PASTE_ALL,$DF600,20)&amp;"","")&amp;"␟"&amp;IFERROR(INDEX(PASTE_ALL,$DF600,21)&amp;"","")&amp;"␟"&amp;IFERROR(INDEX(PASTE_ALL,$DF600,22)&amp;"","")&amp;"␟"&amp;IFERROR(INDEX(PASTE_ALL,$DF600,23)&amp;"","")&amp;"␟"&amp;IFERROR(INDEX(PASTE_ALL,$DF600,24)&amp;"","")&amp;"␟"&amp;IFERROR(INDEX(PASTE_ALL,$DF600,25)&amp;"","")&amp;"␟"&amp;IFERROR(INDEX(PASTE_ALL,$DF600,26)&amp;"","")&amp;"␟"&amp;IFERROR(INDEX(PASTE_ALL,$DF600,27)&amp;"","")&amp;"␟"&amp;IFERROR(INDEX(PASTE_ALL,$DF600,28)&amp;"","")&amp;"␟"&amp;IFERROR(INDEX(PASTE_ALL,$DF600,29)&amp;"","")&amp;"␟"&amp;IFERROR(INDEX(PASTE_ALL,$DF600,30)&amp;"","")&amp;"␟"&amp;IFERROR(INDEX(PASTE_ALL,$DF600,31)&amp;"","")&amp;"␟"&amp;IFERROR(INDEX(PASTE_ALL,$DF600,32)&amp;"","")&amp;"␟"&amp;IFERROR(INDEX(PASTE_ALL,$DF600,33)&amp;"","")&amp;"␟"&amp;IFERROR(INDEX(PASTE_ALL,$DF600,34)&amp;"","")&amp;"␟"&amp;IFERROR(INDEX(PASTE_ALL,$DF600,35)&amp;"","")&amp;"␟"&amp;IFERROR(INDEX(PASTE_ALL,$DF600,36)&amp;"","")&amp;"␟"&amp;IFERROR(INDEX(PASTE_ALL,$DF600,37)&amp;"","")&amp;"␟"&amp;IFERROR(INDEX(PASTE_ALL,$DF600,38)&amp;"","")&amp;"␟"&amp;IFERROR(INDEX(PASTE_ALL,$DF600,39)&amp;"","")&amp;"␟"&amp;IFERROR(INDEX(PASTE_ALL,$DF600,40)&amp;"","")&amp;"␟"&amp;IFERROR(INDEX(PASTE_ALL,$DF600,41)&amp;"","")&amp;"␟"&amp;IFERROR(INDEX(PASTE_ALL,$DF600,42)&amp;"","")&amp;"␟"&amp;IFERROR(INDEX(PASTE_ALL,$DF600,43)&amp;"","")&amp;"␟"&amp;IFERROR(INDEX(PASTE_ALL,$DF600,44)&amp;"","")&amp;"␟"&amp;IFERROR(INDEX(PASTE_ALL,$DF600,45)&amp;"","")&amp;"␟"&amp;IFERROR(INDEX(PASTE_ALL,$DF600,46)&amp;"","")&amp;"␟"&amp;IFERROR(INDEX(PASTE_ALL,$DF600,47)&amp;"","")&amp;"␟"&amp;IFERROR(INDEX(PASTE_ALL,$DF600,48)&amp;"","")&amp;"␟"&amp;IFERROR(INDEX(PASTE_ALL,$DF600,49)&amp;"","")&amp;"␟"&amp;IFERROR(INDEX(PASTE_ALL,$DF600,50)&amp;"","")&amp;"␟"&amp;IFERROR(INDEX(PASTE_ALL,$DF600,51)&amp;"","")&amp;"␟"&amp;IFERROR(INDEX(PASTE_ALL,$DF600,52)&amp;"","")&amp;"␟"&amp;IFERROR(INDEX(PASTE_ALL,$DF600,53)&amp;"","")&amp;"␟"&amp;IFERROR(INDEX(PASTE_ALL,$DF600,54)&amp;"","")&amp;"␟"&amp;IFERROR(INDEX(PASTE_ALL,$DF600,55)&amp;"","")&amp;"␟"&amp;IFERROR(INDEX(PASTE_ALL,$DF600,56)&amp;"","")&amp;"␟"&amp;IFERROR(INDEX(PASTE_ALL,$DF600,57)&amp;"","")&amp;"␟"&amp;IFERROR(INDEX(PASTE_ALL,$DF600,58)&amp;"","")&amp;"␟"&amp;IFERROR(INDEX(PASTE_ALL,$DF600,59)&amp;"","")&amp;"␟"&amp;IFERROR(INDEX(PASTE_ALL,$DF600,60)&amp;"","")," "," "),CHAR(9)," "),CHAR(10)," "),CHAR(13)," "))," ␟","␟"),"␟ ","␟"),"#"&amp;$DE600),"")</f>
        <v/>
      </c>
      <c r="DJ600">
        <f>IF($DI600="",0,IF(SUMPRODUCT(--EXACT($DI$4:DI599,$DI600))&gt;0,1,0))</f>
        <v/>
      </c>
      <c r="DK600">
        <f>IF(AND($DI600&lt;&gt;"",$DJ600=0),1,0)</f>
        <v/>
      </c>
      <c r="DL600">
        <f>DL599+$DK600</f>
        <v/>
      </c>
      <c r="DM600">
        <f>IF(AND($DK600=1,$DL600&lt;=600),1,0)</f>
        <v/>
      </c>
      <c r="DN600">
        <f>IF($DM600=0,"",IF($L$6=0,"",IFERROR(IF(ISNUMBER(INDEX(PASTE_ALL,$DF600,$L$6)),INDEX(PASTE_ALL,$DF600,$L$6),TRIM(SUBSTITUTE(SUBSTITUTE(SUBSTITUTE(SUBSTITUTE(INDEX(PASTE_ALL,$DF600,$L$6)," "," "),CHAR(9)," "),CHAR(10)," "),CHAR(13)," "))),"")))</f>
        <v/>
      </c>
      <c r="DO600">
        <f>IF($DM600=0,"",IF($L$7=0,"",IFERROR(IF(ISNUMBER(INDEX(PASTE_ALL,$DF600,$L$7)),INDEX(PASTE_ALL,$DF600,$L$7),TRIM(SUBSTITUTE(SUBSTITUTE(SUBSTITUTE(SUBSTITUTE(INDEX(PASTE_ALL,$DF600,$L$7)," "," "),CHAR(9)," "),CHAR(10)," "),CHAR(13)," "))),"")))</f>
        <v/>
      </c>
      <c r="DP600">
        <f>IF($DM600=0,"",IF($L$8=0,"",IFERROR(IF(ISNUMBER(INDEX(PASTE_ALL,$DF600,$L$8)),INDEX(PASTE_ALL,$DF600,$L$8),TRIM(SUBSTITUTE(SUBSTITUTE(SUBSTITUTE(SUBSTITUTE(INDEX(PASTE_ALL,$DF600,$L$8)," "," "),CHAR(9)," "),CHAR(10)," "),CHAR(13)," "))),"")))</f>
        <v/>
      </c>
      <c r="DQ600">
        <f>IF($DM600=0,"",IF($L$9=0,"",IFERROR(IF(ISNUMBER(INDEX(PASTE_ALL,$DF600,$L$9)),INDEX(PASTE_ALL,$DF600,$L$9),TRIM(SUBSTITUTE(SUBSTITUTE(SUBSTITUTE(SUBSTITUTE(INDEX(PASTE_ALL,$DF600,$L$9)," "," "),CHAR(9)," "),CHAR(10)," "),CHAR(13)," "))),"")))</f>
        <v/>
      </c>
      <c r="DR600">
        <f>IF($DM600=0,"",IF($L$10=0,"",IFERROR(IF(ISNUMBER(INDEX(PASTE_ALL,$DF600,$L$10)),INDEX(PASTE_ALL,$DF600,$L$10),TRIM(SUBSTITUTE(SUBSTITUTE(SUBSTITUTE(SUBSTITUTE(INDEX(PASTE_ALL,$DF600,$L$10)," "," "),CHAR(9)," "),CHAR(10)," "),CHAR(13)," "))),"")))</f>
        <v/>
      </c>
      <c r="DS600">
        <f>IF($DM600=0,"",IF($L$11=0,"",IFERROR(IF(ISNUMBER(INDEX(PASTE_ALL,$DF600,$L$11)),INDEX(PASTE_ALL,$DF600,$L$11),TRIM(SUBSTITUTE(SUBSTITUTE(SUBSTITUTE(SUBSTITUTE(INDEX(PASTE_ALL,$DF600,$L$11)," "," "),CHAR(9)," "),CHAR(10)," "),CHAR(13)," "))),"")))</f>
        <v/>
      </c>
      <c r="DT600">
        <f>IF($DM600=0,"",IF($L$12=0,"",IFERROR(IF(ISNUMBER(INDEX(PASTE_ALL,$DF600,$L$12)),INDEX(PASTE_ALL,$DF600,$L$12),TRIM(SUBSTITUTE(SUBSTITUTE(SUBSTITUTE(SUBSTITUTE(INDEX(PASTE_ALL,$DF600,$L$12)," "," "),CHAR(9)," "),CHAR(10)," "),CHAR(13)," "))),"")))</f>
        <v/>
      </c>
      <c r="DU600">
        <f>IF($DM600=0,"",IF($L$13=0,"",IFERROR(IF(ISNUMBER(INDEX(PASTE_ALL,$DF600,$L$13)),INDEX(PASTE_ALL,$DF600,$L$13),TRIM(SUBSTITUTE(SUBSTITUTE(SUBSTITUTE(SUBSTITUTE(INDEX(PASTE_ALL,$DF600,$L$13)," "," "),CHAR(9)," "),CHAR(10)," "),CHAR(13)," "))),"")))</f>
        <v/>
      </c>
      <c r="DV600">
        <f>IF($DM600=0,"",IF($L$14=0,"",IFERROR(IF(ISNUMBER(INDEX(PASTE_ALL,$DF600,$L$14)),INDEX(PASTE_ALL,$DF600,$L$14),TRIM(SUBSTITUTE(SUBSTITUTE(SUBSTITUTE(SUBSTITUTE(INDEX(PASTE_ALL,$DF600,$L$14)," "," "),CHAR(9)," "),CHAR(10)," "),CHAR(13)," "))),"")))</f>
        <v/>
      </c>
      <c r="DW600">
        <f>IF($DM600=0,"",IF($L$15=0,"",IFERROR(IF(ISNUMBER(INDEX(PASTE_ALL,$DF600,$L$15)),INDEX(PASTE_ALL,$DF600,$L$15),IF(SUMPRODUCT(--ISNUMBER(FIND({"A","B","C","D","E","F","G","H","I","J","K","L","M","N","O","P","Q","R","S","T","U","V","W","X","Y","Z","0","1","2","3","4","5","6","7","8","9"},UPPER(TRIM(SUBSTITUTE(SUBSTITUTE(SUBSTITUTE(SUBSTITUTE(INDEX(PASTE_ALL,$DF600,$L$15)," "," "),CHAR(9)," "),CHAR(10)," "),CHAR(13)," "))))))&gt;0,TRIM(SUBSTITUTE(SUBSTITUTE(SUBSTITUTE(SUBSTITUTE(INDEX(PASTE_ALL,$DF600,$L$15)," "," "),CHAR(9)," "),CHAR(10)," "),CHAR(13)," ")),"")),"")))</f>
        <v/>
      </c>
      <c r="DX600">
        <f>IF($DM600=0,"",IF($L$16=0,"",IFERROR(IF(ISNUMBER(INDEX(PASTE_ALL,$DF600,$L$16)),INDEX(PASTE_ALL,$DF600,$L$16),SUBSTITUTE(SUBSTITUTE(TRIM(SUBSTITUTE(SUBSTITUTE(SUBSTITUTE(SUBSTITUTE(INDEX(PASTE_ALL,$DF600,$L$16)," "," "),CHAR(9)," "),CHAR(10)," "),CHAR(13)," ")),",",""),"%","")),"")))</f>
        <v/>
      </c>
      <c r="DY600">
        <f>IF($DM600=0,"",IFERROR(IF(ISNUMBER($DX600),$DX600,IF($DX600="","",IF(TRIM($DX600)="",0,IF(AND(AND(SUBSTITUTE(SUBSTITUTE(SUBSTITUTE(SUBSTITUTE(SUBSTITUTE(SUBSTITUTE(SUBSTITUTE(SUBSTITUTE(SUBSTITUTE(SUBSTITUTE(SUBSTITUTE(SUBSTITUTE(SUBSTITUTE(SUBSTITUTE(UPPER(TRIM($DX600)),"0",""),"1",""),"2",""),"3",""),"4",""),"5",""),"6",""),"7",""),"8",""),"9",""),".",""),"+",""),"-",""),"E","")="",LEN(SUBSTITUTE(SUBSTITUTE(MID(UPPER(TRIM($DX600)),1+OR(LEFT(UPPER(TRIM($DX600)),1)="+",LEFT(UPPER(TRIM($DX600)),1)="-"),999),"E+","E"),"E-","E"))=LEN(SUBSTITUTE(SUBSTITUTE(SUBSTITUTE(SUBSTITUTE(MID(UPPER(TRIM($DX600)),1+OR(LEFT(UPPER(TRIM($DX600)),1)="+",LEFT(UPPER(TRIM($DX600)),1)="-"),999),"E+","E"),"E-","E"),"+",""),"-","")),LEN(UPPER(TRIM($DX600)))-LEN(SUBSTITUTE(UPPER(TRIM($DX600)),"E",""))&lt;2,LEN(UPPER(TRIM($DX600)))-LEN(SUBSTITUTE(UPPER(TRIM($DX600)),".",""))&lt;2,IFERROR(FIND(".",UPPER(TRIM($DX600))),0)&lt;IFERROR(FIND("E",UPPER(TRIM($DX600))),999)),ISNUMBER(VALUE(TRIM($DX600)))),VALUE(TRIM($DX600)),"")))),""))</f>
        <v/>
      </c>
      <c r="DZ600">
        <f>IF($DM600=0,"",IF($L$17=0,"",IFERROR(IF(ISNUMBER(INDEX(PASTE_ALL,$DF600,$L$17)),INDEX(PASTE_ALL,$DF600,$L$17),SUBSTITUTE(SUBSTITUTE(TRIM(SUBSTITUTE(SUBSTITUTE(SUBSTITUTE(SUBSTITUTE(INDEX(PASTE_ALL,$DF600,$L$17)," "," "),CHAR(9)," "),CHAR(10)," "),CHAR(13)," ")),",",""),"%","")),"")))</f>
        <v/>
      </c>
      <c r="EA600">
        <f>IF($DM600=0,"",IFERROR(IF(ISNUMBER($DZ600),$DZ600,IF($DZ600="","",IF(TRIM($DZ600)="",0,IF(AND(AND(SUBSTITUTE(SUBSTITUTE(SUBSTITUTE(SUBSTITUTE(SUBSTITUTE(SUBSTITUTE(SUBSTITUTE(SUBSTITUTE(SUBSTITUTE(SUBSTITUTE(SUBSTITUTE(SUBSTITUTE(SUBSTITUTE(SUBSTITUTE(UPPER(TRIM($DZ600)),"0",""),"1",""),"2",""),"3",""),"4",""),"5",""),"6",""),"7",""),"8",""),"9",""),".",""),"+",""),"-",""),"E","")="",LEN(SUBSTITUTE(SUBSTITUTE(MID(UPPER(TRIM($DZ600)),1+OR(LEFT(UPPER(TRIM($DZ600)),1)="+",LEFT(UPPER(TRIM($DZ600)),1)="-"),999),"E+","E"),"E-","E"))=LEN(SUBSTITUTE(SUBSTITUTE(SUBSTITUTE(SUBSTITUTE(MID(UPPER(TRIM($DZ600)),1+OR(LEFT(UPPER(TRIM($DZ600)),1)="+",LEFT(UPPER(TRIM($DZ600)),1)="-"),999),"E+","E"),"E-","E"),"+",""),"-","")),LEN(UPPER(TRIM($DZ600)))-LEN(SUBSTITUTE(UPPER(TRIM($DZ600)),"E",""))&lt;2,LEN(UPPER(TRIM($DZ600)))-LEN(SUBSTITUTE(UPPER(TRIM($DZ600)),".",""))&lt;2,IFERROR(FIND(".",UPPER(TRIM($DZ600))),0)&lt;IFERROR(FIND("E",UPPER(TRIM($DZ600))),999)),ISNUMBER(VALUE(TRIM($DZ600)))),VALUE(TRIM($DZ600)),"")))),""))</f>
        <v/>
      </c>
      <c r="EB600">
        <f>IF($DM600=0,"",IF($L$18=0,"",IFERROR(IF(UPPER(TRIM(SUBSTITUTE(SUBSTITUTE(SUBSTITUTE(SUBSTITUTE(INDEX(PASTE_ALL,$DF600,$L$18)," "," "),CHAR(9)," "),CHAR(10)," "),CHAR(13)," ")))="READY","Ready",IF(UPPER(TRIM(SUBSTITUTE(SUBSTITUTE(SUBSTITUTE(SUBSTITUTE(INDEX(PASTE_ALL,$DF600,$L$18)," "," "),CHAR(9)," "),CHAR(10)," "),CHAR(13)," ")))="PM","PM",IF(OR(UPPER(TRIM(SUBSTITUTE(SUBSTITUTE(SUBSTITUTE(SUBSTITUTE(INDEX(PASTE_ALL,$DF600,$L$18)," "," "),CHAR(9)," "),CHAR(10)," "),CHAR(13)," ")))="OT",UPPER(TRIM(SUBSTITUTE(SUBSTITUTE(SUBSTITUTE(SUBSTITUTE(INDEX(PASTE_ALL,$DF600,$L$18)," "," "),CHAR(9)," "),CHAR(10)," "),CHAR(13)," ")))="OVERTIME",UPPER(TRIM(SUBSTITUTE(SUBSTITUTE(SUBSTITUTE(SUBSTITUTE(INDEX(PASTE_ALL,$DF600,$L$18)," "," "),CHAR(9)," "),CHAR(10)," "),CHAR(13)," ")))="TRIAL"),"OT",TRIM(SUBSTITUTE(SUBSTITUTE(SUBSTITUTE(SUBSTITUTE(INDEX(PASTE_ALL,$DF600,$L$18)," "," "),CHAR(9)," "),CHAR(10)," "),CHAR(13)," "))))),"")))</f>
        <v/>
      </c>
      <c r="EC600">
        <f>IF($DM600=0,"",IF($L$19=0,"",IFERROR(IF(ISNUMBER(INDEX(PASTE_ALL,$DF600,$L$19)),INDEX(PASTE_ALL,$DF600,$L$19),TRIM(SUBSTITUTE(SUBSTITUTE(SUBSTITUTE(SUBSTITUTE(INDEX(PASTE_ALL,$DF600,$L$19)," "," "),CHAR(9)," "),CHAR(10)," "),CHAR(13)," "))),"")))</f>
        <v/>
      </c>
      <c r="ED600">
        <f>IF($DM600=0,"",MATCH(1,INDEX(EXACT($DH$5:DH600,$DH600)*$DM$5:DM600,0),0))</f>
        <v/>
      </c>
      <c r="EE600">
        <f>IF($DM600=0,0,IF($ED600=$DE600,1,0))</f>
        <v/>
      </c>
      <c r="EF600">
        <f>EF599+$EE600</f>
        <v/>
      </c>
      <c r="EG600">
        <f>IF($DM600=0,"",INDEX($EF$5:$EF$1003,$ED600))</f>
        <v/>
      </c>
      <c r="EH600">
        <f>IF($DM600=0,"",IF($DO600&lt;&gt;"","",IFERROR(LOOKUP(2,1/(($EG$4:EG599=$EG600)*($DO$4:DO599&lt;&gt;"")),$DO$4:DO599),"")))</f>
        <v/>
      </c>
      <c r="EI600">
        <f>IF($DM600=0,"",IF($DO600&lt;&gt;"",$DO600,$EH600))</f>
        <v/>
      </c>
      <c r="EJ600">
        <f>IF($DM600=0,"",IF($EI600="",0,IF(OR(ISNUMBER($EI600),AND(AND(SUBSTITUTE(SUBSTITUTE(SUBSTITUTE(SUBSTITUTE(SUBSTITUTE(SUBSTITUTE(SUBSTITUTE(SUBSTITUTE(SUBSTITUTE(SUBSTITUTE(SUBSTITUTE(SUBSTITUTE(SUBSTITUTE(SUBSTITUTE(UPPER($EI600),"0",""),"1",""),"2",""),"3",""),"4",""),"5",""),"6",""),"7",""),"8",""),"9",""),".",""),"+",""),"-",""),"E","")="",LEN(SUBSTITUTE(SUBSTITUTE(MID(UPPER($EI600),1+OR(LEFT(UPPER($EI600),1)="+",LEFT(UPPER($EI600),1)="-"),999),"E+","E"),"E-","E"))=LEN(SUBSTITUTE(SUBSTITUTE(SUBSTITUTE(SUBSTITUTE(MID(UPPER($EI600),1+OR(LEFT(UPPER($EI600),1)="+",LEFT(UPPER($EI600),1)="-"),999),"E+","E"),"E-","E"),"+",""),"-","")),LEN(UPPER($EI600))-LEN(SUBSTITUTE(UPPER($EI600),"E",""))&lt;2,LEN(UPPER($EI600))-LEN(SUBSTITUTE(UPPER($EI600),".",""))&lt;2,IFERROR(FIND(".",UPPER($EI600)),0)&lt;IFERROR(FIND("E",UPPER($EI600)),999)),ISNUMBER(VALUE($EI600)))),1,2)))</f>
        <v/>
      </c>
      <c r="EK600">
        <f>IF($DM600=0,"",IF($EJ600=1,IF(ISNUMBER($EI600),$EI600,VALUE($EI600)),IF($EJ600=2,$DE600,0)))</f>
        <v/>
      </c>
      <c r="EL600">
        <f>IF($DM600=0,"",COUNTIF($EG$5:$EG$1003,"&lt;"&amp;$EG600)+SUMPRODUCT(($EG$5:$EG$1003=$EG600)*(($EJ$5:$EJ$1003&lt;$EJ600)+($EJ$5:$EJ$1003=$EJ600)*(($EK$5:$EK$1003&lt;$EK600)+($EK$5:$EK$1003=$EK600)*($DE$5:$DE$1003&lt;$DE600))))+1)</f>
        <v/>
      </c>
      <c r="EM600">
        <f>IF($DM600=0,"",$EL600+$EG600-1)</f>
        <v/>
      </c>
      <c r="EN600">
        <f>IF($DM600=0,0,IFERROR(MATCH(1,INDEX(--(TRIM(SUBSTITUTE(SUBSTITUTE(SUBSTITUTE(SUBSTITUTE(LINES_NAME&amp;""," "," "),CHAR(9)," "),CHAR(10)," "),CHAR(13)," "))=$DH600),0),0),0))</f>
        <v/>
      </c>
      <c r="EO600">
        <f>IF($EN600=0,0,IF(OR(UPPER(TRIM(INDEX(LINES_SCHEDULED,$EN600)&amp;""))="YES",UPPER(TRIM(INDEX(LINES_SCHEDULED,$EN600)&amp;""))="Y",UPPER(TRIM(INDEX(LINES_SCHEDULED,$EN600)&amp;""))="X"),1,0))</f>
        <v/>
      </c>
      <c r="EP600">
        <f>IF($DM600=0,"",IF(COUNTIFS($EG$5:$EG$1003,$EG600,$EB$5:$EB$1003,"Ready")&gt;0,"READY",IF(COUNTIFS($EG$5:$EG$1003,$EG600,$EB$5:$EB$1003,"PM")&gt;0,"PM",IF(COUNTIFS($EG$5:$EG$1003,$EG600,$EB$5:$EB$1003,"OT")&gt;0,"OT",""))))</f>
        <v/>
      </c>
      <c r="EQ600">
        <f>IF($EN600=0,"",UPPER(TRIM(INDEX(LINES_STATUS,$EN600)&amp;"")))</f>
        <v/>
      </c>
      <c r="ER600">
        <f>IF($DM600=0,"",IF(OR($EQ600="READY",$EQ600="PM",$EQ600="OT"),$EQ600,$EP600))</f>
        <v/>
      </c>
      <c r="ES600">
        <f>IF($DM600=0,"",IF(AND($DV600&lt;&gt;"",UPPER($DV600)&lt;&gt;"N"),"allergen",IF(ISNUMBER(SEARCH("oil",$DQ600)),"oil",IF(OR(EXACT($DS600,"A662"),EXACT($DS600,"A624")),"bulk",""))))</f>
        <v/>
      </c>
      <c r="ET600">
        <f>IF($DM600=0,"",IF(OR($EA600="",$EA600=0),"",$EA600/100))</f>
        <v/>
      </c>
      <c r="EU600">
        <f>IF(OR($ET600="",$DY600=""),"",INT($DY600*(1-$ET600)+0.5))</f>
        <v/>
      </c>
      <c r="EW600" t="n">
        <v>596</v>
      </c>
      <c r="EX600">
        <f>IFERROR(MATCH($EW600,$EM$5:$EM$1003,0),0)</f>
        <v/>
      </c>
      <c r="EY600">
        <f>IF($EW600&gt;$B$12,"",IF($EX600&gt;0,"row","spacer"))</f>
        <v/>
      </c>
      <c r="EZ600">
        <f>IF(AND($EY600="row",$EY599&lt;&gt;"row"),1,0)</f>
        <v/>
      </c>
      <c r="FA600">
        <f>IF(AND($EY600="row",$EY601&lt;&gt;"row"),1,0)</f>
        <v/>
      </c>
      <c r="FB600">
        <f>IF($EZ600=1,IFERROR(IF(ISNUMBER(INDEX(PASTE_ALL,INDEX($DF$5:$DF$1003,$EX600),$B$37)),INDEX(PASTE_ALL,INDEX($DF$5:$DF$1003,$EX600),$B$37),INDEX($DH$5:$DH$1003,$EX600)),INDEX($DH$5:$DH$1003,$EX600)),"")</f>
        <v/>
      </c>
      <c r="FC600">
        <f>IF($EY600="row",INDEX($ER$5:$ER$1003,$EX600),"")</f>
        <v/>
      </c>
      <c r="FD600">
        <f>IF($EY600="row",INDEX($DN$5:$DN$1003,$EX600),"")</f>
        <v/>
      </c>
      <c r="FE600">
        <f>IF($EY600="row",INDEX($DO$5:$DO$1003,$EX600),"")</f>
        <v/>
      </c>
      <c r="FF600">
        <f>IF($EY600="row",INDEX($DP$5:$DP$1003,$EX600),"")</f>
        <v/>
      </c>
      <c r="FG600">
        <f>IF($EY600="row",INDEX($DQ$5:$DQ$1003,$EX600),"")</f>
        <v/>
      </c>
      <c r="FH600">
        <f>IF($EY600="row",INDEX($DR$5:$DR$1003,$EX600),"")</f>
        <v/>
      </c>
      <c r="FI600">
        <f>IF($EY600="row",INDEX($DS$5:$DS$1003,$EX600),"")</f>
        <v/>
      </c>
      <c r="FJ600">
        <f>IF($EY600="row",INDEX($DT$5:$DT$1003,$EX600),"")</f>
        <v/>
      </c>
      <c r="FK600">
        <f>IF($EY600="row",INDEX($DU$5:$DU$1003,$EX600),"")</f>
        <v/>
      </c>
      <c r="FL600">
        <f>IF($EY600="row",INDEX($DV$5:$DV$1003,$EX600),"")</f>
        <v/>
      </c>
      <c r="FM600">
        <f>IF($EY600="row",INDEX($DW$5:$DW$1003,$EX600),"")</f>
        <v/>
      </c>
      <c r="FN600">
        <f>IF($EY600="row",INDEX($DY$5:$DY$1003,$EX600),"")</f>
        <v/>
      </c>
      <c r="FO600">
        <f>IF($EY600="row",INDEX($EA$5:$EA$1003,$EX600),"")</f>
        <v/>
      </c>
      <c r="FP600">
        <f>IF($EY600="row",INDEX($EC$5:$EC$1003,$EX600),"")</f>
        <v/>
      </c>
      <c r="FQ600">
        <f>IF($EY600="row",INDEX($ET$5:$ET$1003,$EX600),"")</f>
        <v/>
      </c>
      <c r="FR600">
        <f>IF($EY600="row",INDEX($EU$5:$EU$1003,$EX600),"")</f>
        <v/>
      </c>
      <c r="FS600">
        <f>IF(AND($EY600="row",$EY599="row"),IF(OR(INDEX($DT$5:$DT$1003,$EX599)="",INDEX($DT$5:$DT$1003,$EX600)=""),"",IF(NOT(EXACT(INDEX($DT$5:$DT$1003,$EX599),INDEX($DT$5:$DT$1003,$EX600))),"S4",IF(NOT(EXACT(INDEX($DS$5:$DS$1003,$EX599),INDEX($DS$5:$DS$1003,$EX600))),"S3",IF(NOT(EXACT(INDEX($DR$5:$DR$1003,$EX599),INDEX($DR$5:$DR$1003,$EX600))),"S1 Count Change","S1")))),"")</f>
        <v/>
      </c>
      <c r="FT600">
        <f>IF($EY600="row",INDEX($ES$5:$ES$1003,$EX600),"")</f>
        <v/>
      </c>
      <c r="FU600">
        <f>IF($EY600="row",INDEX($EO$5:$EO$1003,$EX600),0)</f>
        <v/>
      </c>
      <c r="FV600">
        <f>IF($FS600="S1 Count Change",1,0)</f>
        <v/>
      </c>
    </row>
    <row r="601">
      <c r="DA601" t="n">
        <v>597</v>
      </c>
      <c r="DB601">
        <f>IF($B$37=0,"",IFERROR(TRIM(SUBSTITUTE(SUBSTITUTE(SUBSTITUTE(SUBSTITUTE(INDEX(PASTE_ALL,597,$B$37)," "," "),CHAR(9)," "),CHAR(10)," "),CHAR(13)," ")),""))</f>
        <v/>
      </c>
      <c r="DC601">
        <f>IF(AND(597&gt;HEADER_ROW,UPPER(DB601)="LEGEND"),1,0)</f>
        <v/>
      </c>
      <c r="DE601" t="n">
        <v>597</v>
      </c>
      <c r="DF601">
        <f>HEADER_ROW+$DE601</f>
        <v/>
      </c>
      <c r="DG601">
        <f>IF(AND($DF601&lt;=1000,$DF601&lt;$B$8),1,0)</f>
        <v/>
      </c>
      <c r="DH601">
        <f>IF($DG601=1,IFERROR(INDEX($DB$5:$DB$1004,$DF601),""),"")</f>
        <v/>
      </c>
      <c r="DI601">
        <f>IF(AND($DG601=1,$DH601&lt;&gt;""),IFERROR(SUBSTITUTE(SUBSTITUTE(TRIM(SUBSTITUTE(SUBSTITUTE(SUBSTITUTE(SUBSTITUTE(IFERROR(INDEX(PASTE_ALL,$DF601,1)&amp;"","")&amp;"␟"&amp;IFERROR(INDEX(PASTE_ALL,$DF601,2)&amp;"","")&amp;"␟"&amp;IFERROR(INDEX(PASTE_ALL,$DF601,3)&amp;"","")&amp;"␟"&amp;IFERROR(INDEX(PASTE_ALL,$DF601,4)&amp;"","")&amp;"␟"&amp;IFERROR(INDEX(PASTE_ALL,$DF601,5)&amp;"","")&amp;"␟"&amp;IFERROR(INDEX(PASTE_ALL,$DF601,6)&amp;"","")&amp;"␟"&amp;IFERROR(INDEX(PASTE_ALL,$DF601,7)&amp;"","")&amp;"␟"&amp;IFERROR(INDEX(PASTE_ALL,$DF601,8)&amp;"","")&amp;"␟"&amp;IFERROR(INDEX(PASTE_ALL,$DF601,9)&amp;"","")&amp;"␟"&amp;IFERROR(INDEX(PASTE_ALL,$DF601,10)&amp;"","")&amp;"␟"&amp;IFERROR(INDEX(PASTE_ALL,$DF601,11)&amp;"","")&amp;"␟"&amp;IFERROR(INDEX(PASTE_ALL,$DF601,12)&amp;"","")&amp;"␟"&amp;IFERROR(INDEX(PASTE_ALL,$DF601,13)&amp;"","")&amp;"␟"&amp;IFERROR(INDEX(PASTE_ALL,$DF601,14)&amp;"","")&amp;"␟"&amp;IFERROR(INDEX(PASTE_ALL,$DF601,15)&amp;"","")&amp;"␟"&amp;IFERROR(INDEX(PASTE_ALL,$DF601,16)&amp;"","")&amp;"␟"&amp;IFERROR(INDEX(PASTE_ALL,$DF601,17)&amp;"","")&amp;"␟"&amp;IFERROR(INDEX(PASTE_ALL,$DF601,18)&amp;"","")&amp;"␟"&amp;IFERROR(INDEX(PASTE_ALL,$DF601,19)&amp;"","")&amp;"␟"&amp;IFERROR(INDEX(PASTE_ALL,$DF601,20)&amp;"","")&amp;"␟"&amp;IFERROR(INDEX(PASTE_ALL,$DF601,21)&amp;"","")&amp;"␟"&amp;IFERROR(INDEX(PASTE_ALL,$DF601,22)&amp;"","")&amp;"␟"&amp;IFERROR(INDEX(PASTE_ALL,$DF601,23)&amp;"","")&amp;"␟"&amp;IFERROR(INDEX(PASTE_ALL,$DF601,24)&amp;"","")&amp;"␟"&amp;IFERROR(INDEX(PASTE_ALL,$DF601,25)&amp;"","")&amp;"␟"&amp;IFERROR(INDEX(PASTE_ALL,$DF601,26)&amp;"","")&amp;"␟"&amp;IFERROR(INDEX(PASTE_ALL,$DF601,27)&amp;"","")&amp;"␟"&amp;IFERROR(INDEX(PASTE_ALL,$DF601,28)&amp;"","")&amp;"␟"&amp;IFERROR(INDEX(PASTE_ALL,$DF601,29)&amp;"","")&amp;"␟"&amp;IFERROR(INDEX(PASTE_ALL,$DF601,30)&amp;"","")&amp;"␟"&amp;IFERROR(INDEX(PASTE_ALL,$DF601,31)&amp;"","")&amp;"␟"&amp;IFERROR(INDEX(PASTE_ALL,$DF601,32)&amp;"","")&amp;"␟"&amp;IFERROR(INDEX(PASTE_ALL,$DF601,33)&amp;"","")&amp;"␟"&amp;IFERROR(INDEX(PASTE_ALL,$DF601,34)&amp;"","")&amp;"␟"&amp;IFERROR(INDEX(PASTE_ALL,$DF601,35)&amp;"","")&amp;"␟"&amp;IFERROR(INDEX(PASTE_ALL,$DF601,36)&amp;"","")&amp;"␟"&amp;IFERROR(INDEX(PASTE_ALL,$DF601,37)&amp;"","")&amp;"␟"&amp;IFERROR(INDEX(PASTE_ALL,$DF601,38)&amp;"","")&amp;"␟"&amp;IFERROR(INDEX(PASTE_ALL,$DF601,39)&amp;"","")&amp;"␟"&amp;IFERROR(INDEX(PASTE_ALL,$DF601,40)&amp;"","")&amp;"␟"&amp;IFERROR(INDEX(PASTE_ALL,$DF601,41)&amp;"","")&amp;"␟"&amp;IFERROR(INDEX(PASTE_ALL,$DF601,42)&amp;"","")&amp;"␟"&amp;IFERROR(INDEX(PASTE_ALL,$DF601,43)&amp;"","")&amp;"␟"&amp;IFERROR(INDEX(PASTE_ALL,$DF601,44)&amp;"","")&amp;"␟"&amp;IFERROR(INDEX(PASTE_ALL,$DF601,45)&amp;"","")&amp;"␟"&amp;IFERROR(INDEX(PASTE_ALL,$DF601,46)&amp;"","")&amp;"␟"&amp;IFERROR(INDEX(PASTE_ALL,$DF601,47)&amp;"","")&amp;"␟"&amp;IFERROR(INDEX(PASTE_ALL,$DF601,48)&amp;"","")&amp;"␟"&amp;IFERROR(INDEX(PASTE_ALL,$DF601,49)&amp;"","")&amp;"␟"&amp;IFERROR(INDEX(PASTE_ALL,$DF601,50)&amp;"","")&amp;"␟"&amp;IFERROR(INDEX(PASTE_ALL,$DF601,51)&amp;"","")&amp;"␟"&amp;IFERROR(INDEX(PASTE_ALL,$DF601,52)&amp;"","")&amp;"␟"&amp;IFERROR(INDEX(PASTE_ALL,$DF601,53)&amp;"","")&amp;"␟"&amp;IFERROR(INDEX(PASTE_ALL,$DF601,54)&amp;"","")&amp;"␟"&amp;IFERROR(INDEX(PASTE_ALL,$DF601,55)&amp;"","")&amp;"␟"&amp;IFERROR(INDEX(PASTE_ALL,$DF601,56)&amp;"","")&amp;"␟"&amp;IFERROR(INDEX(PASTE_ALL,$DF601,57)&amp;"","")&amp;"␟"&amp;IFERROR(INDEX(PASTE_ALL,$DF601,58)&amp;"","")&amp;"␟"&amp;IFERROR(INDEX(PASTE_ALL,$DF601,59)&amp;"","")&amp;"␟"&amp;IFERROR(INDEX(PASTE_ALL,$DF601,60)&amp;"","")," "," "),CHAR(9)," "),CHAR(10)," "),CHAR(13)," "))," ␟","␟"),"␟ ","␟"),"#"&amp;$DE601),"")</f>
        <v/>
      </c>
      <c r="DJ601">
        <f>IF($DI601="",0,IF(SUMPRODUCT(--EXACT($DI$4:DI600,$DI601))&gt;0,1,0))</f>
        <v/>
      </c>
      <c r="DK601">
        <f>IF(AND($DI601&lt;&gt;"",$DJ601=0),1,0)</f>
        <v/>
      </c>
      <c r="DL601">
        <f>DL600+$DK601</f>
        <v/>
      </c>
      <c r="DM601">
        <f>IF(AND($DK601=1,$DL601&lt;=600),1,0)</f>
        <v/>
      </c>
      <c r="DN601">
        <f>IF($DM601=0,"",IF($L$6=0,"",IFERROR(IF(ISNUMBER(INDEX(PASTE_ALL,$DF601,$L$6)),INDEX(PASTE_ALL,$DF601,$L$6),TRIM(SUBSTITUTE(SUBSTITUTE(SUBSTITUTE(SUBSTITUTE(INDEX(PASTE_ALL,$DF601,$L$6)," "," "),CHAR(9)," "),CHAR(10)," "),CHAR(13)," "))),"")))</f>
        <v/>
      </c>
      <c r="DO601">
        <f>IF($DM601=0,"",IF($L$7=0,"",IFERROR(IF(ISNUMBER(INDEX(PASTE_ALL,$DF601,$L$7)),INDEX(PASTE_ALL,$DF601,$L$7),TRIM(SUBSTITUTE(SUBSTITUTE(SUBSTITUTE(SUBSTITUTE(INDEX(PASTE_ALL,$DF601,$L$7)," "," "),CHAR(9)," "),CHAR(10)," "),CHAR(13)," "))),"")))</f>
        <v/>
      </c>
      <c r="DP601">
        <f>IF($DM601=0,"",IF($L$8=0,"",IFERROR(IF(ISNUMBER(INDEX(PASTE_ALL,$DF601,$L$8)),INDEX(PASTE_ALL,$DF601,$L$8),TRIM(SUBSTITUTE(SUBSTITUTE(SUBSTITUTE(SUBSTITUTE(INDEX(PASTE_ALL,$DF601,$L$8)," "," "),CHAR(9)," "),CHAR(10)," "),CHAR(13)," "))),"")))</f>
        <v/>
      </c>
      <c r="DQ601">
        <f>IF($DM601=0,"",IF($L$9=0,"",IFERROR(IF(ISNUMBER(INDEX(PASTE_ALL,$DF601,$L$9)),INDEX(PASTE_ALL,$DF601,$L$9),TRIM(SUBSTITUTE(SUBSTITUTE(SUBSTITUTE(SUBSTITUTE(INDEX(PASTE_ALL,$DF601,$L$9)," "," "),CHAR(9)," "),CHAR(10)," "),CHAR(13)," "))),"")))</f>
        <v/>
      </c>
      <c r="DR601">
        <f>IF($DM601=0,"",IF($L$10=0,"",IFERROR(IF(ISNUMBER(INDEX(PASTE_ALL,$DF601,$L$10)),INDEX(PASTE_ALL,$DF601,$L$10),TRIM(SUBSTITUTE(SUBSTITUTE(SUBSTITUTE(SUBSTITUTE(INDEX(PASTE_ALL,$DF601,$L$10)," "," "),CHAR(9)," "),CHAR(10)," "),CHAR(13)," "))),"")))</f>
        <v/>
      </c>
      <c r="DS601">
        <f>IF($DM601=0,"",IF($L$11=0,"",IFERROR(IF(ISNUMBER(INDEX(PASTE_ALL,$DF601,$L$11)),INDEX(PASTE_ALL,$DF601,$L$11),TRIM(SUBSTITUTE(SUBSTITUTE(SUBSTITUTE(SUBSTITUTE(INDEX(PASTE_ALL,$DF601,$L$11)," "," "),CHAR(9)," "),CHAR(10)," "),CHAR(13)," "))),"")))</f>
        <v/>
      </c>
      <c r="DT601">
        <f>IF($DM601=0,"",IF($L$12=0,"",IFERROR(IF(ISNUMBER(INDEX(PASTE_ALL,$DF601,$L$12)),INDEX(PASTE_ALL,$DF601,$L$12),TRIM(SUBSTITUTE(SUBSTITUTE(SUBSTITUTE(SUBSTITUTE(INDEX(PASTE_ALL,$DF601,$L$12)," "," "),CHAR(9)," "),CHAR(10)," "),CHAR(13)," "))),"")))</f>
        <v/>
      </c>
      <c r="DU601">
        <f>IF($DM601=0,"",IF($L$13=0,"",IFERROR(IF(ISNUMBER(INDEX(PASTE_ALL,$DF601,$L$13)),INDEX(PASTE_ALL,$DF601,$L$13),TRIM(SUBSTITUTE(SUBSTITUTE(SUBSTITUTE(SUBSTITUTE(INDEX(PASTE_ALL,$DF601,$L$13)," "," "),CHAR(9)," "),CHAR(10)," "),CHAR(13)," "))),"")))</f>
        <v/>
      </c>
      <c r="DV601">
        <f>IF($DM601=0,"",IF($L$14=0,"",IFERROR(IF(ISNUMBER(INDEX(PASTE_ALL,$DF601,$L$14)),INDEX(PASTE_ALL,$DF601,$L$14),TRIM(SUBSTITUTE(SUBSTITUTE(SUBSTITUTE(SUBSTITUTE(INDEX(PASTE_ALL,$DF601,$L$14)," "," "),CHAR(9)," "),CHAR(10)," "),CHAR(13)," "))),"")))</f>
        <v/>
      </c>
      <c r="DW601">
        <f>IF($DM601=0,"",IF($L$15=0,"",IFERROR(IF(ISNUMBER(INDEX(PASTE_ALL,$DF601,$L$15)),INDEX(PASTE_ALL,$DF601,$L$15),IF(SUMPRODUCT(--ISNUMBER(FIND({"A","B","C","D","E","F","G","H","I","J","K","L","M","N","O","P","Q","R","S","T","U","V","W","X","Y","Z","0","1","2","3","4","5","6","7","8","9"},UPPER(TRIM(SUBSTITUTE(SUBSTITUTE(SUBSTITUTE(SUBSTITUTE(INDEX(PASTE_ALL,$DF601,$L$15)," "," "),CHAR(9)," "),CHAR(10)," "),CHAR(13)," "))))))&gt;0,TRIM(SUBSTITUTE(SUBSTITUTE(SUBSTITUTE(SUBSTITUTE(INDEX(PASTE_ALL,$DF601,$L$15)," "," "),CHAR(9)," "),CHAR(10)," "),CHAR(13)," ")),"")),"")))</f>
        <v/>
      </c>
      <c r="DX601">
        <f>IF($DM601=0,"",IF($L$16=0,"",IFERROR(IF(ISNUMBER(INDEX(PASTE_ALL,$DF601,$L$16)),INDEX(PASTE_ALL,$DF601,$L$16),SUBSTITUTE(SUBSTITUTE(TRIM(SUBSTITUTE(SUBSTITUTE(SUBSTITUTE(SUBSTITUTE(INDEX(PASTE_ALL,$DF601,$L$16)," "," "),CHAR(9)," "),CHAR(10)," "),CHAR(13)," ")),",",""),"%","")),"")))</f>
        <v/>
      </c>
      <c r="DY601">
        <f>IF($DM601=0,"",IFERROR(IF(ISNUMBER($DX601),$DX601,IF($DX601="","",IF(TRIM($DX601)="",0,IF(AND(AND(SUBSTITUTE(SUBSTITUTE(SUBSTITUTE(SUBSTITUTE(SUBSTITUTE(SUBSTITUTE(SUBSTITUTE(SUBSTITUTE(SUBSTITUTE(SUBSTITUTE(SUBSTITUTE(SUBSTITUTE(SUBSTITUTE(SUBSTITUTE(UPPER(TRIM($DX601)),"0",""),"1",""),"2",""),"3",""),"4",""),"5",""),"6",""),"7",""),"8",""),"9",""),".",""),"+",""),"-",""),"E","")="",LEN(SUBSTITUTE(SUBSTITUTE(MID(UPPER(TRIM($DX601)),1+OR(LEFT(UPPER(TRIM($DX601)),1)="+",LEFT(UPPER(TRIM($DX601)),1)="-"),999),"E+","E"),"E-","E"))=LEN(SUBSTITUTE(SUBSTITUTE(SUBSTITUTE(SUBSTITUTE(MID(UPPER(TRIM($DX601)),1+OR(LEFT(UPPER(TRIM($DX601)),1)="+",LEFT(UPPER(TRIM($DX601)),1)="-"),999),"E+","E"),"E-","E"),"+",""),"-","")),LEN(UPPER(TRIM($DX601)))-LEN(SUBSTITUTE(UPPER(TRIM($DX601)),"E",""))&lt;2,LEN(UPPER(TRIM($DX601)))-LEN(SUBSTITUTE(UPPER(TRIM($DX601)),".",""))&lt;2,IFERROR(FIND(".",UPPER(TRIM($DX601))),0)&lt;IFERROR(FIND("E",UPPER(TRIM($DX601))),999)),ISNUMBER(VALUE(TRIM($DX601)))),VALUE(TRIM($DX601)),"")))),""))</f>
        <v/>
      </c>
      <c r="DZ601">
        <f>IF($DM601=0,"",IF($L$17=0,"",IFERROR(IF(ISNUMBER(INDEX(PASTE_ALL,$DF601,$L$17)),INDEX(PASTE_ALL,$DF601,$L$17),SUBSTITUTE(SUBSTITUTE(TRIM(SUBSTITUTE(SUBSTITUTE(SUBSTITUTE(SUBSTITUTE(INDEX(PASTE_ALL,$DF601,$L$17)," "," "),CHAR(9)," "),CHAR(10)," "),CHAR(13)," ")),",",""),"%","")),"")))</f>
        <v/>
      </c>
      <c r="EA601">
        <f>IF($DM601=0,"",IFERROR(IF(ISNUMBER($DZ601),$DZ601,IF($DZ601="","",IF(TRIM($DZ601)="",0,IF(AND(AND(SUBSTITUTE(SUBSTITUTE(SUBSTITUTE(SUBSTITUTE(SUBSTITUTE(SUBSTITUTE(SUBSTITUTE(SUBSTITUTE(SUBSTITUTE(SUBSTITUTE(SUBSTITUTE(SUBSTITUTE(SUBSTITUTE(SUBSTITUTE(UPPER(TRIM($DZ601)),"0",""),"1",""),"2",""),"3",""),"4",""),"5",""),"6",""),"7",""),"8",""),"9",""),".",""),"+",""),"-",""),"E","")="",LEN(SUBSTITUTE(SUBSTITUTE(MID(UPPER(TRIM($DZ601)),1+OR(LEFT(UPPER(TRIM($DZ601)),1)="+",LEFT(UPPER(TRIM($DZ601)),1)="-"),999),"E+","E"),"E-","E"))=LEN(SUBSTITUTE(SUBSTITUTE(SUBSTITUTE(SUBSTITUTE(MID(UPPER(TRIM($DZ601)),1+OR(LEFT(UPPER(TRIM($DZ601)),1)="+",LEFT(UPPER(TRIM($DZ601)),1)="-"),999),"E+","E"),"E-","E"),"+",""),"-","")),LEN(UPPER(TRIM($DZ601)))-LEN(SUBSTITUTE(UPPER(TRIM($DZ601)),"E",""))&lt;2,LEN(UPPER(TRIM($DZ601)))-LEN(SUBSTITUTE(UPPER(TRIM($DZ601)),".",""))&lt;2,IFERROR(FIND(".",UPPER(TRIM($DZ601))),0)&lt;IFERROR(FIND("E",UPPER(TRIM($DZ601))),999)),ISNUMBER(VALUE(TRIM($DZ601)))),VALUE(TRIM($DZ601)),"")))),""))</f>
        <v/>
      </c>
      <c r="EB601">
        <f>IF($DM601=0,"",IF($L$18=0,"",IFERROR(IF(UPPER(TRIM(SUBSTITUTE(SUBSTITUTE(SUBSTITUTE(SUBSTITUTE(INDEX(PASTE_ALL,$DF601,$L$18)," "," "),CHAR(9)," "),CHAR(10)," "),CHAR(13)," ")))="READY","Ready",IF(UPPER(TRIM(SUBSTITUTE(SUBSTITUTE(SUBSTITUTE(SUBSTITUTE(INDEX(PASTE_ALL,$DF601,$L$18)," "," "),CHAR(9)," "),CHAR(10)," "),CHAR(13)," ")))="PM","PM",IF(OR(UPPER(TRIM(SUBSTITUTE(SUBSTITUTE(SUBSTITUTE(SUBSTITUTE(INDEX(PASTE_ALL,$DF601,$L$18)," "," "),CHAR(9)," "),CHAR(10)," "),CHAR(13)," ")))="OT",UPPER(TRIM(SUBSTITUTE(SUBSTITUTE(SUBSTITUTE(SUBSTITUTE(INDEX(PASTE_ALL,$DF601,$L$18)," "," "),CHAR(9)," "),CHAR(10)," "),CHAR(13)," ")))="OVERTIME",UPPER(TRIM(SUBSTITUTE(SUBSTITUTE(SUBSTITUTE(SUBSTITUTE(INDEX(PASTE_ALL,$DF601,$L$18)," "," "),CHAR(9)," "),CHAR(10)," "),CHAR(13)," ")))="TRIAL"),"OT",TRIM(SUBSTITUTE(SUBSTITUTE(SUBSTITUTE(SUBSTITUTE(INDEX(PASTE_ALL,$DF601,$L$18)," "," "),CHAR(9)," "),CHAR(10)," "),CHAR(13)," "))))),"")))</f>
        <v/>
      </c>
      <c r="EC601">
        <f>IF($DM601=0,"",IF($L$19=0,"",IFERROR(IF(ISNUMBER(INDEX(PASTE_ALL,$DF601,$L$19)),INDEX(PASTE_ALL,$DF601,$L$19),TRIM(SUBSTITUTE(SUBSTITUTE(SUBSTITUTE(SUBSTITUTE(INDEX(PASTE_ALL,$DF601,$L$19)," "," "),CHAR(9)," "),CHAR(10)," "),CHAR(13)," "))),"")))</f>
        <v/>
      </c>
      <c r="ED601">
        <f>IF($DM601=0,"",MATCH(1,INDEX(EXACT($DH$5:DH601,$DH601)*$DM$5:DM601,0),0))</f>
        <v/>
      </c>
      <c r="EE601">
        <f>IF($DM601=0,0,IF($ED601=$DE601,1,0))</f>
        <v/>
      </c>
      <c r="EF601">
        <f>EF600+$EE601</f>
        <v/>
      </c>
      <c r="EG601">
        <f>IF($DM601=0,"",INDEX($EF$5:$EF$1003,$ED601))</f>
        <v/>
      </c>
      <c r="EH601">
        <f>IF($DM601=0,"",IF($DO601&lt;&gt;"","",IFERROR(LOOKUP(2,1/(($EG$4:EG600=$EG601)*($DO$4:DO600&lt;&gt;"")),$DO$4:DO600),"")))</f>
        <v/>
      </c>
      <c r="EI601">
        <f>IF($DM601=0,"",IF($DO601&lt;&gt;"",$DO601,$EH601))</f>
        <v/>
      </c>
      <c r="EJ601">
        <f>IF($DM601=0,"",IF($EI601="",0,IF(OR(ISNUMBER($EI601),AND(AND(SUBSTITUTE(SUBSTITUTE(SUBSTITUTE(SUBSTITUTE(SUBSTITUTE(SUBSTITUTE(SUBSTITUTE(SUBSTITUTE(SUBSTITUTE(SUBSTITUTE(SUBSTITUTE(SUBSTITUTE(SUBSTITUTE(SUBSTITUTE(UPPER($EI601),"0",""),"1",""),"2",""),"3",""),"4",""),"5",""),"6",""),"7",""),"8",""),"9",""),".",""),"+",""),"-",""),"E","")="",LEN(SUBSTITUTE(SUBSTITUTE(MID(UPPER($EI601),1+OR(LEFT(UPPER($EI601),1)="+",LEFT(UPPER($EI601),1)="-"),999),"E+","E"),"E-","E"))=LEN(SUBSTITUTE(SUBSTITUTE(SUBSTITUTE(SUBSTITUTE(MID(UPPER($EI601),1+OR(LEFT(UPPER($EI601),1)="+",LEFT(UPPER($EI601),1)="-"),999),"E+","E"),"E-","E"),"+",""),"-","")),LEN(UPPER($EI601))-LEN(SUBSTITUTE(UPPER($EI601),"E",""))&lt;2,LEN(UPPER($EI601))-LEN(SUBSTITUTE(UPPER($EI601),".",""))&lt;2,IFERROR(FIND(".",UPPER($EI601)),0)&lt;IFERROR(FIND("E",UPPER($EI601)),999)),ISNUMBER(VALUE($EI601)))),1,2)))</f>
        <v/>
      </c>
      <c r="EK601">
        <f>IF($DM601=0,"",IF($EJ601=1,IF(ISNUMBER($EI601),$EI601,VALUE($EI601)),IF($EJ601=2,$DE601,0)))</f>
        <v/>
      </c>
      <c r="EL601">
        <f>IF($DM601=0,"",COUNTIF($EG$5:$EG$1003,"&lt;"&amp;$EG601)+SUMPRODUCT(($EG$5:$EG$1003=$EG601)*(($EJ$5:$EJ$1003&lt;$EJ601)+($EJ$5:$EJ$1003=$EJ601)*(($EK$5:$EK$1003&lt;$EK601)+($EK$5:$EK$1003=$EK601)*($DE$5:$DE$1003&lt;$DE601))))+1)</f>
        <v/>
      </c>
      <c r="EM601">
        <f>IF($DM601=0,"",$EL601+$EG601-1)</f>
        <v/>
      </c>
      <c r="EN601">
        <f>IF($DM601=0,0,IFERROR(MATCH(1,INDEX(--(TRIM(SUBSTITUTE(SUBSTITUTE(SUBSTITUTE(SUBSTITUTE(LINES_NAME&amp;""," "," "),CHAR(9)," "),CHAR(10)," "),CHAR(13)," "))=$DH601),0),0),0))</f>
        <v/>
      </c>
      <c r="EO601">
        <f>IF($EN601=0,0,IF(OR(UPPER(TRIM(INDEX(LINES_SCHEDULED,$EN601)&amp;""))="YES",UPPER(TRIM(INDEX(LINES_SCHEDULED,$EN601)&amp;""))="Y",UPPER(TRIM(INDEX(LINES_SCHEDULED,$EN601)&amp;""))="X"),1,0))</f>
        <v/>
      </c>
      <c r="EP601">
        <f>IF($DM601=0,"",IF(COUNTIFS($EG$5:$EG$1003,$EG601,$EB$5:$EB$1003,"Ready")&gt;0,"READY",IF(COUNTIFS($EG$5:$EG$1003,$EG601,$EB$5:$EB$1003,"PM")&gt;0,"PM",IF(COUNTIFS($EG$5:$EG$1003,$EG601,$EB$5:$EB$1003,"OT")&gt;0,"OT",""))))</f>
        <v/>
      </c>
      <c r="EQ601">
        <f>IF($EN601=0,"",UPPER(TRIM(INDEX(LINES_STATUS,$EN601)&amp;"")))</f>
        <v/>
      </c>
      <c r="ER601">
        <f>IF($DM601=0,"",IF(OR($EQ601="READY",$EQ601="PM",$EQ601="OT"),$EQ601,$EP601))</f>
        <v/>
      </c>
      <c r="ES601">
        <f>IF($DM601=0,"",IF(AND($DV601&lt;&gt;"",UPPER($DV601)&lt;&gt;"N"),"allergen",IF(ISNUMBER(SEARCH("oil",$DQ601)),"oil",IF(OR(EXACT($DS601,"A662"),EXACT($DS601,"A624")),"bulk",""))))</f>
        <v/>
      </c>
      <c r="ET601">
        <f>IF($DM601=0,"",IF(OR($EA601="",$EA601=0),"",$EA601/100))</f>
        <v/>
      </c>
      <c r="EU601">
        <f>IF(OR($ET601="",$DY601=""),"",INT($DY601*(1-$ET601)+0.5))</f>
        <v/>
      </c>
      <c r="EW601" t="n">
        <v>597</v>
      </c>
      <c r="EX601">
        <f>IFERROR(MATCH($EW601,$EM$5:$EM$1003,0),0)</f>
        <v/>
      </c>
      <c r="EY601">
        <f>IF($EW601&gt;$B$12,"",IF($EX601&gt;0,"row","spacer"))</f>
        <v/>
      </c>
      <c r="EZ601">
        <f>IF(AND($EY601="row",$EY600&lt;&gt;"row"),1,0)</f>
        <v/>
      </c>
      <c r="FA601">
        <f>IF(AND($EY601="row",$EY602&lt;&gt;"row"),1,0)</f>
        <v/>
      </c>
      <c r="FB601">
        <f>IF($EZ601=1,IFERROR(IF(ISNUMBER(INDEX(PASTE_ALL,INDEX($DF$5:$DF$1003,$EX601),$B$37)),INDEX(PASTE_ALL,INDEX($DF$5:$DF$1003,$EX601),$B$37),INDEX($DH$5:$DH$1003,$EX601)),INDEX($DH$5:$DH$1003,$EX601)),"")</f>
        <v/>
      </c>
      <c r="FC601">
        <f>IF($EY601="row",INDEX($ER$5:$ER$1003,$EX601),"")</f>
        <v/>
      </c>
      <c r="FD601">
        <f>IF($EY601="row",INDEX($DN$5:$DN$1003,$EX601),"")</f>
        <v/>
      </c>
      <c r="FE601">
        <f>IF($EY601="row",INDEX($DO$5:$DO$1003,$EX601),"")</f>
        <v/>
      </c>
      <c r="FF601">
        <f>IF($EY601="row",INDEX($DP$5:$DP$1003,$EX601),"")</f>
        <v/>
      </c>
      <c r="FG601">
        <f>IF($EY601="row",INDEX($DQ$5:$DQ$1003,$EX601),"")</f>
        <v/>
      </c>
      <c r="FH601">
        <f>IF($EY601="row",INDEX($DR$5:$DR$1003,$EX601),"")</f>
        <v/>
      </c>
      <c r="FI601">
        <f>IF($EY601="row",INDEX($DS$5:$DS$1003,$EX601),"")</f>
        <v/>
      </c>
      <c r="FJ601">
        <f>IF($EY601="row",INDEX($DT$5:$DT$1003,$EX601),"")</f>
        <v/>
      </c>
      <c r="FK601">
        <f>IF($EY601="row",INDEX($DU$5:$DU$1003,$EX601),"")</f>
        <v/>
      </c>
      <c r="FL601">
        <f>IF($EY601="row",INDEX($DV$5:$DV$1003,$EX601),"")</f>
        <v/>
      </c>
      <c r="FM601">
        <f>IF($EY601="row",INDEX($DW$5:$DW$1003,$EX601),"")</f>
        <v/>
      </c>
      <c r="FN601">
        <f>IF($EY601="row",INDEX($DY$5:$DY$1003,$EX601),"")</f>
        <v/>
      </c>
      <c r="FO601">
        <f>IF($EY601="row",INDEX($EA$5:$EA$1003,$EX601),"")</f>
        <v/>
      </c>
      <c r="FP601">
        <f>IF($EY601="row",INDEX($EC$5:$EC$1003,$EX601),"")</f>
        <v/>
      </c>
      <c r="FQ601">
        <f>IF($EY601="row",INDEX($ET$5:$ET$1003,$EX601),"")</f>
        <v/>
      </c>
      <c r="FR601">
        <f>IF($EY601="row",INDEX($EU$5:$EU$1003,$EX601),"")</f>
        <v/>
      </c>
      <c r="FS601">
        <f>IF(AND($EY601="row",$EY600="row"),IF(OR(INDEX($DT$5:$DT$1003,$EX600)="",INDEX($DT$5:$DT$1003,$EX601)=""),"",IF(NOT(EXACT(INDEX($DT$5:$DT$1003,$EX600),INDEX($DT$5:$DT$1003,$EX601))),"S4",IF(NOT(EXACT(INDEX($DS$5:$DS$1003,$EX600),INDEX($DS$5:$DS$1003,$EX601))),"S3",IF(NOT(EXACT(INDEX($DR$5:$DR$1003,$EX600),INDEX($DR$5:$DR$1003,$EX601))),"S1 Count Change","S1")))),"")</f>
        <v/>
      </c>
      <c r="FT601">
        <f>IF($EY601="row",INDEX($ES$5:$ES$1003,$EX601),"")</f>
        <v/>
      </c>
      <c r="FU601">
        <f>IF($EY601="row",INDEX($EO$5:$EO$1003,$EX601),0)</f>
        <v/>
      </c>
      <c r="FV601">
        <f>IF($FS601="S1 Count Change",1,0)</f>
        <v/>
      </c>
    </row>
    <row r="602">
      <c r="DA602" t="n">
        <v>598</v>
      </c>
      <c r="DB602">
        <f>IF($B$37=0,"",IFERROR(TRIM(SUBSTITUTE(SUBSTITUTE(SUBSTITUTE(SUBSTITUTE(INDEX(PASTE_ALL,598,$B$37)," "," "),CHAR(9)," "),CHAR(10)," "),CHAR(13)," ")),""))</f>
        <v/>
      </c>
      <c r="DC602">
        <f>IF(AND(598&gt;HEADER_ROW,UPPER(DB602)="LEGEND"),1,0)</f>
        <v/>
      </c>
      <c r="DE602" t="n">
        <v>598</v>
      </c>
      <c r="DF602">
        <f>HEADER_ROW+$DE602</f>
        <v/>
      </c>
      <c r="DG602">
        <f>IF(AND($DF602&lt;=1000,$DF602&lt;$B$8),1,0)</f>
        <v/>
      </c>
      <c r="DH602">
        <f>IF($DG602=1,IFERROR(INDEX($DB$5:$DB$1004,$DF602),""),"")</f>
        <v/>
      </c>
      <c r="DI602">
        <f>IF(AND($DG602=1,$DH602&lt;&gt;""),IFERROR(SUBSTITUTE(SUBSTITUTE(TRIM(SUBSTITUTE(SUBSTITUTE(SUBSTITUTE(SUBSTITUTE(IFERROR(INDEX(PASTE_ALL,$DF602,1)&amp;"","")&amp;"␟"&amp;IFERROR(INDEX(PASTE_ALL,$DF602,2)&amp;"","")&amp;"␟"&amp;IFERROR(INDEX(PASTE_ALL,$DF602,3)&amp;"","")&amp;"␟"&amp;IFERROR(INDEX(PASTE_ALL,$DF602,4)&amp;"","")&amp;"␟"&amp;IFERROR(INDEX(PASTE_ALL,$DF602,5)&amp;"","")&amp;"␟"&amp;IFERROR(INDEX(PASTE_ALL,$DF602,6)&amp;"","")&amp;"␟"&amp;IFERROR(INDEX(PASTE_ALL,$DF602,7)&amp;"","")&amp;"␟"&amp;IFERROR(INDEX(PASTE_ALL,$DF602,8)&amp;"","")&amp;"␟"&amp;IFERROR(INDEX(PASTE_ALL,$DF602,9)&amp;"","")&amp;"␟"&amp;IFERROR(INDEX(PASTE_ALL,$DF602,10)&amp;"","")&amp;"␟"&amp;IFERROR(INDEX(PASTE_ALL,$DF602,11)&amp;"","")&amp;"␟"&amp;IFERROR(INDEX(PASTE_ALL,$DF602,12)&amp;"","")&amp;"␟"&amp;IFERROR(INDEX(PASTE_ALL,$DF602,13)&amp;"","")&amp;"␟"&amp;IFERROR(INDEX(PASTE_ALL,$DF602,14)&amp;"","")&amp;"␟"&amp;IFERROR(INDEX(PASTE_ALL,$DF602,15)&amp;"","")&amp;"␟"&amp;IFERROR(INDEX(PASTE_ALL,$DF602,16)&amp;"","")&amp;"␟"&amp;IFERROR(INDEX(PASTE_ALL,$DF602,17)&amp;"","")&amp;"␟"&amp;IFERROR(INDEX(PASTE_ALL,$DF602,18)&amp;"","")&amp;"␟"&amp;IFERROR(INDEX(PASTE_ALL,$DF602,19)&amp;"","")&amp;"␟"&amp;IFERROR(INDEX(PASTE_ALL,$DF602,20)&amp;"","")&amp;"␟"&amp;IFERROR(INDEX(PASTE_ALL,$DF602,21)&amp;"","")&amp;"␟"&amp;IFERROR(INDEX(PASTE_ALL,$DF602,22)&amp;"","")&amp;"␟"&amp;IFERROR(INDEX(PASTE_ALL,$DF602,23)&amp;"","")&amp;"␟"&amp;IFERROR(INDEX(PASTE_ALL,$DF602,24)&amp;"","")&amp;"␟"&amp;IFERROR(INDEX(PASTE_ALL,$DF602,25)&amp;"","")&amp;"␟"&amp;IFERROR(INDEX(PASTE_ALL,$DF602,26)&amp;"","")&amp;"␟"&amp;IFERROR(INDEX(PASTE_ALL,$DF602,27)&amp;"","")&amp;"␟"&amp;IFERROR(INDEX(PASTE_ALL,$DF602,28)&amp;"","")&amp;"␟"&amp;IFERROR(INDEX(PASTE_ALL,$DF602,29)&amp;"","")&amp;"␟"&amp;IFERROR(INDEX(PASTE_ALL,$DF602,30)&amp;"","")&amp;"␟"&amp;IFERROR(INDEX(PASTE_ALL,$DF602,31)&amp;"","")&amp;"␟"&amp;IFERROR(INDEX(PASTE_ALL,$DF602,32)&amp;"","")&amp;"␟"&amp;IFERROR(INDEX(PASTE_ALL,$DF602,33)&amp;"","")&amp;"␟"&amp;IFERROR(INDEX(PASTE_ALL,$DF602,34)&amp;"","")&amp;"␟"&amp;IFERROR(INDEX(PASTE_ALL,$DF602,35)&amp;"","")&amp;"␟"&amp;IFERROR(INDEX(PASTE_ALL,$DF602,36)&amp;"","")&amp;"␟"&amp;IFERROR(INDEX(PASTE_ALL,$DF602,37)&amp;"","")&amp;"␟"&amp;IFERROR(INDEX(PASTE_ALL,$DF602,38)&amp;"","")&amp;"␟"&amp;IFERROR(INDEX(PASTE_ALL,$DF602,39)&amp;"","")&amp;"␟"&amp;IFERROR(INDEX(PASTE_ALL,$DF602,40)&amp;"","")&amp;"␟"&amp;IFERROR(INDEX(PASTE_ALL,$DF602,41)&amp;"","")&amp;"␟"&amp;IFERROR(INDEX(PASTE_ALL,$DF602,42)&amp;"","")&amp;"␟"&amp;IFERROR(INDEX(PASTE_ALL,$DF602,43)&amp;"","")&amp;"␟"&amp;IFERROR(INDEX(PASTE_ALL,$DF602,44)&amp;"","")&amp;"␟"&amp;IFERROR(INDEX(PASTE_ALL,$DF602,45)&amp;"","")&amp;"␟"&amp;IFERROR(INDEX(PASTE_ALL,$DF602,46)&amp;"","")&amp;"␟"&amp;IFERROR(INDEX(PASTE_ALL,$DF602,47)&amp;"","")&amp;"␟"&amp;IFERROR(INDEX(PASTE_ALL,$DF602,48)&amp;"","")&amp;"␟"&amp;IFERROR(INDEX(PASTE_ALL,$DF602,49)&amp;"","")&amp;"␟"&amp;IFERROR(INDEX(PASTE_ALL,$DF602,50)&amp;"","")&amp;"␟"&amp;IFERROR(INDEX(PASTE_ALL,$DF602,51)&amp;"","")&amp;"␟"&amp;IFERROR(INDEX(PASTE_ALL,$DF602,52)&amp;"","")&amp;"␟"&amp;IFERROR(INDEX(PASTE_ALL,$DF602,53)&amp;"","")&amp;"␟"&amp;IFERROR(INDEX(PASTE_ALL,$DF602,54)&amp;"","")&amp;"␟"&amp;IFERROR(INDEX(PASTE_ALL,$DF602,55)&amp;"","")&amp;"␟"&amp;IFERROR(INDEX(PASTE_ALL,$DF602,56)&amp;"","")&amp;"␟"&amp;IFERROR(INDEX(PASTE_ALL,$DF602,57)&amp;"","")&amp;"␟"&amp;IFERROR(INDEX(PASTE_ALL,$DF602,58)&amp;"","")&amp;"␟"&amp;IFERROR(INDEX(PASTE_ALL,$DF602,59)&amp;"","")&amp;"␟"&amp;IFERROR(INDEX(PASTE_ALL,$DF602,60)&amp;"","")," "," "),CHAR(9)," "),CHAR(10)," "),CHAR(13)," "))," ␟","␟"),"␟ ","␟"),"#"&amp;$DE602),"")</f>
        <v/>
      </c>
      <c r="DJ602">
        <f>IF($DI602="",0,IF(SUMPRODUCT(--EXACT($DI$4:DI601,$DI602))&gt;0,1,0))</f>
        <v/>
      </c>
      <c r="DK602">
        <f>IF(AND($DI602&lt;&gt;"",$DJ602=0),1,0)</f>
        <v/>
      </c>
      <c r="DL602">
        <f>DL601+$DK602</f>
        <v/>
      </c>
      <c r="DM602">
        <f>IF(AND($DK602=1,$DL602&lt;=600),1,0)</f>
        <v/>
      </c>
      <c r="DN602">
        <f>IF($DM602=0,"",IF($L$6=0,"",IFERROR(IF(ISNUMBER(INDEX(PASTE_ALL,$DF602,$L$6)),INDEX(PASTE_ALL,$DF602,$L$6),TRIM(SUBSTITUTE(SUBSTITUTE(SUBSTITUTE(SUBSTITUTE(INDEX(PASTE_ALL,$DF602,$L$6)," "," "),CHAR(9)," "),CHAR(10)," "),CHAR(13)," "))),"")))</f>
        <v/>
      </c>
      <c r="DO602">
        <f>IF($DM602=0,"",IF($L$7=0,"",IFERROR(IF(ISNUMBER(INDEX(PASTE_ALL,$DF602,$L$7)),INDEX(PASTE_ALL,$DF602,$L$7),TRIM(SUBSTITUTE(SUBSTITUTE(SUBSTITUTE(SUBSTITUTE(INDEX(PASTE_ALL,$DF602,$L$7)," "," "),CHAR(9)," "),CHAR(10)," "),CHAR(13)," "))),"")))</f>
        <v/>
      </c>
      <c r="DP602">
        <f>IF($DM602=0,"",IF($L$8=0,"",IFERROR(IF(ISNUMBER(INDEX(PASTE_ALL,$DF602,$L$8)),INDEX(PASTE_ALL,$DF602,$L$8),TRIM(SUBSTITUTE(SUBSTITUTE(SUBSTITUTE(SUBSTITUTE(INDEX(PASTE_ALL,$DF602,$L$8)," "," "),CHAR(9)," "),CHAR(10)," "),CHAR(13)," "))),"")))</f>
        <v/>
      </c>
      <c r="DQ602">
        <f>IF($DM602=0,"",IF($L$9=0,"",IFERROR(IF(ISNUMBER(INDEX(PASTE_ALL,$DF602,$L$9)),INDEX(PASTE_ALL,$DF602,$L$9),TRIM(SUBSTITUTE(SUBSTITUTE(SUBSTITUTE(SUBSTITUTE(INDEX(PASTE_ALL,$DF602,$L$9)," "," "),CHAR(9)," "),CHAR(10)," "),CHAR(13)," "))),"")))</f>
        <v/>
      </c>
      <c r="DR602">
        <f>IF($DM602=0,"",IF($L$10=0,"",IFERROR(IF(ISNUMBER(INDEX(PASTE_ALL,$DF602,$L$10)),INDEX(PASTE_ALL,$DF602,$L$10),TRIM(SUBSTITUTE(SUBSTITUTE(SUBSTITUTE(SUBSTITUTE(INDEX(PASTE_ALL,$DF602,$L$10)," "," "),CHAR(9)," "),CHAR(10)," "),CHAR(13)," "))),"")))</f>
        <v/>
      </c>
      <c r="DS602">
        <f>IF($DM602=0,"",IF($L$11=0,"",IFERROR(IF(ISNUMBER(INDEX(PASTE_ALL,$DF602,$L$11)),INDEX(PASTE_ALL,$DF602,$L$11),TRIM(SUBSTITUTE(SUBSTITUTE(SUBSTITUTE(SUBSTITUTE(INDEX(PASTE_ALL,$DF602,$L$11)," "," "),CHAR(9)," "),CHAR(10)," "),CHAR(13)," "))),"")))</f>
        <v/>
      </c>
      <c r="DT602">
        <f>IF($DM602=0,"",IF($L$12=0,"",IFERROR(IF(ISNUMBER(INDEX(PASTE_ALL,$DF602,$L$12)),INDEX(PASTE_ALL,$DF602,$L$12),TRIM(SUBSTITUTE(SUBSTITUTE(SUBSTITUTE(SUBSTITUTE(INDEX(PASTE_ALL,$DF602,$L$12)," "," "),CHAR(9)," "),CHAR(10)," "),CHAR(13)," "))),"")))</f>
        <v/>
      </c>
      <c r="DU602">
        <f>IF($DM602=0,"",IF($L$13=0,"",IFERROR(IF(ISNUMBER(INDEX(PASTE_ALL,$DF602,$L$13)),INDEX(PASTE_ALL,$DF602,$L$13),TRIM(SUBSTITUTE(SUBSTITUTE(SUBSTITUTE(SUBSTITUTE(INDEX(PASTE_ALL,$DF602,$L$13)," "," "),CHAR(9)," "),CHAR(10)," "),CHAR(13)," "))),"")))</f>
        <v/>
      </c>
      <c r="DV602">
        <f>IF($DM602=0,"",IF($L$14=0,"",IFERROR(IF(ISNUMBER(INDEX(PASTE_ALL,$DF602,$L$14)),INDEX(PASTE_ALL,$DF602,$L$14),TRIM(SUBSTITUTE(SUBSTITUTE(SUBSTITUTE(SUBSTITUTE(INDEX(PASTE_ALL,$DF602,$L$14)," "," "),CHAR(9)," "),CHAR(10)," "),CHAR(13)," "))),"")))</f>
        <v/>
      </c>
      <c r="DW602">
        <f>IF($DM602=0,"",IF($L$15=0,"",IFERROR(IF(ISNUMBER(INDEX(PASTE_ALL,$DF602,$L$15)),INDEX(PASTE_ALL,$DF602,$L$15),IF(SUMPRODUCT(--ISNUMBER(FIND({"A","B","C","D","E","F","G","H","I","J","K","L","M","N","O","P","Q","R","S","T","U","V","W","X","Y","Z","0","1","2","3","4","5","6","7","8","9"},UPPER(TRIM(SUBSTITUTE(SUBSTITUTE(SUBSTITUTE(SUBSTITUTE(INDEX(PASTE_ALL,$DF602,$L$15)," "," "),CHAR(9)," "),CHAR(10)," "),CHAR(13)," "))))))&gt;0,TRIM(SUBSTITUTE(SUBSTITUTE(SUBSTITUTE(SUBSTITUTE(INDEX(PASTE_ALL,$DF602,$L$15)," "," "),CHAR(9)," "),CHAR(10)," "),CHAR(13)," ")),"")),"")))</f>
        <v/>
      </c>
      <c r="DX602">
        <f>IF($DM602=0,"",IF($L$16=0,"",IFERROR(IF(ISNUMBER(INDEX(PASTE_ALL,$DF602,$L$16)),INDEX(PASTE_ALL,$DF602,$L$16),SUBSTITUTE(SUBSTITUTE(TRIM(SUBSTITUTE(SUBSTITUTE(SUBSTITUTE(SUBSTITUTE(INDEX(PASTE_ALL,$DF602,$L$16)," "," "),CHAR(9)," "),CHAR(10)," "),CHAR(13)," ")),",",""),"%","")),"")))</f>
        <v/>
      </c>
      <c r="DY602">
        <f>IF($DM602=0,"",IFERROR(IF(ISNUMBER($DX602),$DX602,IF($DX602="","",IF(TRIM($DX602)="",0,IF(AND(AND(SUBSTITUTE(SUBSTITUTE(SUBSTITUTE(SUBSTITUTE(SUBSTITUTE(SUBSTITUTE(SUBSTITUTE(SUBSTITUTE(SUBSTITUTE(SUBSTITUTE(SUBSTITUTE(SUBSTITUTE(SUBSTITUTE(SUBSTITUTE(UPPER(TRIM($DX602)),"0",""),"1",""),"2",""),"3",""),"4",""),"5",""),"6",""),"7",""),"8",""),"9",""),".",""),"+",""),"-",""),"E","")="",LEN(SUBSTITUTE(SUBSTITUTE(MID(UPPER(TRIM($DX602)),1+OR(LEFT(UPPER(TRIM($DX602)),1)="+",LEFT(UPPER(TRIM($DX602)),1)="-"),999),"E+","E"),"E-","E"))=LEN(SUBSTITUTE(SUBSTITUTE(SUBSTITUTE(SUBSTITUTE(MID(UPPER(TRIM($DX602)),1+OR(LEFT(UPPER(TRIM($DX602)),1)="+",LEFT(UPPER(TRIM($DX602)),1)="-"),999),"E+","E"),"E-","E"),"+",""),"-","")),LEN(UPPER(TRIM($DX602)))-LEN(SUBSTITUTE(UPPER(TRIM($DX602)),"E",""))&lt;2,LEN(UPPER(TRIM($DX602)))-LEN(SUBSTITUTE(UPPER(TRIM($DX602)),".",""))&lt;2,IFERROR(FIND(".",UPPER(TRIM($DX602))),0)&lt;IFERROR(FIND("E",UPPER(TRIM($DX602))),999)),ISNUMBER(VALUE(TRIM($DX602)))),VALUE(TRIM($DX602)),"")))),""))</f>
        <v/>
      </c>
      <c r="DZ602">
        <f>IF($DM602=0,"",IF($L$17=0,"",IFERROR(IF(ISNUMBER(INDEX(PASTE_ALL,$DF602,$L$17)),INDEX(PASTE_ALL,$DF602,$L$17),SUBSTITUTE(SUBSTITUTE(TRIM(SUBSTITUTE(SUBSTITUTE(SUBSTITUTE(SUBSTITUTE(INDEX(PASTE_ALL,$DF602,$L$17)," "," "),CHAR(9)," "),CHAR(10)," "),CHAR(13)," ")),",",""),"%","")),"")))</f>
        <v/>
      </c>
      <c r="EA602">
        <f>IF($DM602=0,"",IFERROR(IF(ISNUMBER($DZ602),$DZ602,IF($DZ602="","",IF(TRIM($DZ602)="",0,IF(AND(AND(SUBSTITUTE(SUBSTITUTE(SUBSTITUTE(SUBSTITUTE(SUBSTITUTE(SUBSTITUTE(SUBSTITUTE(SUBSTITUTE(SUBSTITUTE(SUBSTITUTE(SUBSTITUTE(SUBSTITUTE(SUBSTITUTE(SUBSTITUTE(UPPER(TRIM($DZ602)),"0",""),"1",""),"2",""),"3",""),"4",""),"5",""),"6",""),"7",""),"8",""),"9",""),".",""),"+",""),"-",""),"E","")="",LEN(SUBSTITUTE(SUBSTITUTE(MID(UPPER(TRIM($DZ602)),1+OR(LEFT(UPPER(TRIM($DZ602)),1)="+",LEFT(UPPER(TRIM($DZ602)),1)="-"),999),"E+","E"),"E-","E"))=LEN(SUBSTITUTE(SUBSTITUTE(SUBSTITUTE(SUBSTITUTE(MID(UPPER(TRIM($DZ602)),1+OR(LEFT(UPPER(TRIM($DZ602)),1)="+",LEFT(UPPER(TRIM($DZ602)),1)="-"),999),"E+","E"),"E-","E"),"+",""),"-","")),LEN(UPPER(TRIM($DZ602)))-LEN(SUBSTITUTE(UPPER(TRIM($DZ602)),"E",""))&lt;2,LEN(UPPER(TRIM($DZ602)))-LEN(SUBSTITUTE(UPPER(TRIM($DZ602)),".",""))&lt;2,IFERROR(FIND(".",UPPER(TRIM($DZ602))),0)&lt;IFERROR(FIND("E",UPPER(TRIM($DZ602))),999)),ISNUMBER(VALUE(TRIM($DZ602)))),VALUE(TRIM($DZ602)),"")))),""))</f>
        <v/>
      </c>
      <c r="EB602">
        <f>IF($DM602=0,"",IF($L$18=0,"",IFERROR(IF(UPPER(TRIM(SUBSTITUTE(SUBSTITUTE(SUBSTITUTE(SUBSTITUTE(INDEX(PASTE_ALL,$DF602,$L$18)," "," "),CHAR(9)," "),CHAR(10)," "),CHAR(13)," ")))="READY","Ready",IF(UPPER(TRIM(SUBSTITUTE(SUBSTITUTE(SUBSTITUTE(SUBSTITUTE(INDEX(PASTE_ALL,$DF602,$L$18)," "," "),CHAR(9)," "),CHAR(10)," "),CHAR(13)," ")))="PM","PM",IF(OR(UPPER(TRIM(SUBSTITUTE(SUBSTITUTE(SUBSTITUTE(SUBSTITUTE(INDEX(PASTE_ALL,$DF602,$L$18)," "," "),CHAR(9)," "),CHAR(10)," "),CHAR(13)," ")))="OT",UPPER(TRIM(SUBSTITUTE(SUBSTITUTE(SUBSTITUTE(SUBSTITUTE(INDEX(PASTE_ALL,$DF602,$L$18)," "," "),CHAR(9)," "),CHAR(10)," "),CHAR(13)," ")))="OVERTIME",UPPER(TRIM(SUBSTITUTE(SUBSTITUTE(SUBSTITUTE(SUBSTITUTE(INDEX(PASTE_ALL,$DF602,$L$18)," "," "),CHAR(9)," "),CHAR(10)," "),CHAR(13)," ")))="TRIAL"),"OT",TRIM(SUBSTITUTE(SUBSTITUTE(SUBSTITUTE(SUBSTITUTE(INDEX(PASTE_ALL,$DF602,$L$18)," "," "),CHAR(9)," "),CHAR(10)," "),CHAR(13)," "))))),"")))</f>
        <v/>
      </c>
      <c r="EC602">
        <f>IF($DM602=0,"",IF($L$19=0,"",IFERROR(IF(ISNUMBER(INDEX(PASTE_ALL,$DF602,$L$19)),INDEX(PASTE_ALL,$DF602,$L$19),TRIM(SUBSTITUTE(SUBSTITUTE(SUBSTITUTE(SUBSTITUTE(INDEX(PASTE_ALL,$DF602,$L$19)," "," "),CHAR(9)," "),CHAR(10)," "),CHAR(13)," "))),"")))</f>
        <v/>
      </c>
      <c r="ED602">
        <f>IF($DM602=0,"",MATCH(1,INDEX(EXACT($DH$5:DH602,$DH602)*$DM$5:DM602,0),0))</f>
        <v/>
      </c>
      <c r="EE602">
        <f>IF($DM602=0,0,IF($ED602=$DE602,1,0))</f>
        <v/>
      </c>
      <c r="EF602">
        <f>EF601+$EE602</f>
        <v/>
      </c>
      <c r="EG602">
        <f>IF($DM602=0,"",INDEX($EF$5:$EF$1003,$ED602))</f>
        <v/>
      </c>
      <c r="EH602">
        <f>IF($DM602=0,"",IF($DO602&lt;&gt;"","",IFERROR(LOOKUP(2,1/(($EG$4:EG601=$EG602)*($DO$4:DO601&lt;&gt;"")),$DO$4:DO601),"")))</f>
        <v/>
      </c>
      <c r="EI602">
        <f>IF($DM602=0,"",IF($DO602&lt;&gt;"",$DO602,$EH602))</f>
        <v/>
      </c>
      <c r="EJ602">
        <f>IF($DM602=0,"",IF($EI602="",0,IF(OR(ISNUMBER($EI602),AND(AND(SUBSTITUTE(SUBSTITUTE(SUBSTITUTE(SUBSTITUTE(SUBSTITUTE(SUBSTITUTE(SUBSTITUTE(SUBSTITUTE(SUBSTITUTE(SUBSTITUTE(SUBSTITUTE(SUBSTITUTE(SUBSTITUTE(SUBSTITUTE(UPPER($EI602),"0",""),"1",""),"2",""),"3",""),"4",""),"5",""),"6",""),"7",""),"8",""),"9",""),".",""),"+",""),"-",""),"E","")="",LEN(SUBSTITUTE(SUBSTITUTE(MID(UPPER($EI602),1+OR(LEFT(UPPER($EI602),1)="+",LEFT(UPPER($EI602),1)="-"),999),"E+","E"),"E-","E"))=LEN(SUBSTITUTE(SUBSTITUTE(SUBSTITUTE(SUBSTITUTE(MID(UPPER($EI602),1+OR(LEFT(UPPER($EI602),1)="+",LEFT(UPPER($EI602),1)="-"),999),"E+","E"),"E-","E"),"+",""),"-","")),LEN(UPPER($EI602))-LEN(SUBSTITUTE(UPPER($EI602),"E",""))&lt;2,LEN(UPPER($EI602))-LEN(SUBSTITUTE(UPPER($EI602),".",""))&lt;2,IFERROR(FIND(".",UPPER($EI602)),0)&lt;IFERROR(FIND("E",UPPER($EI602)),999)),ISNUMBER(VALUE($EI602)))),1,2)))</f>
        <v/>
      </c>
      <c r="EK602">
        <f>IF($DM602=0,"",IF($EJ602=1,IF(ISNUMBER($EI602),$EI602,VALUE($EI602)),IF($EJ602=2,$DE602,0)))</f>
        <v/>
      </c>
      <c r="EL602">
        <f>IF($DM602=0,"",COUNTIF($EG$5:$EG$1003,"&lt;"&amp;$EG602)+SUMPRODUCT(($EG$5:$EG$1003=$EG602)*(($EJ$5:$EJ$1003&lt;$EJ602)+($EJ$5:$EJ$1003=$EJ602)*(($EK$5:$EK$1003&lt;$EK602)+($EK$5:$EK$1003=$EK602)*($DE$5:$DE$1003&lt;$DE602))))+1)</f>
        <v/>
      </c>
      <c r="EM602">
        <f>IF($DM602=0,"",$EL602+$EG602-1)</f>
        <v/>
      </c>
      <c r="EN602">
        <f>IF($DM602=0,0,IFERROR(MATCH(1,INDEX(--(TRIM(SUBSTITUTE(SUBSTITUTE(SUBSTITUTE(SUBSTITUTE(LINES_NAME&amp;""," "," "),CHAR(9)," "),CHAR(10)," "),CHAR(13)," "))=$DH602),0),0),0))</f>
        <v/>
      </c>
      <c r="EO602">
        <f>IF($EN602=0,0,IF(OR(UPPER(TRIM(INDEX(LINES_SCHEDULED,$EN602)&amp;""))="YES",UPPER(TRIM(INDEX(LINES_SCHEDULED,$EN602)&amp;""))="Y",UPPER(TRIM(INDEX(LINES_SCHEDULED,$EN602)&amp;""))="X"),1,0))</f>
        <v/>
      </c>
      <c r="EP602">
        <f>IF($DM602=0,"",IF(COUNTIFS($EG$5:$EG$1003,$EG602,$EB$5:$EB$1003,"Ready")&gt;0,"READY",IF(COUNTIFS($EG$5:$EG$1003,$EG602,$EB$5:$EB$1003,"PM")&gt;0,"PM",IF(COUNTIFS($EG$5:$EG$1003,$EG602,$EB$5:$EB$1003,"OT")&gt;0,"OT",""))))</f>
        <v/>
      </c>
      <c r="EQ602">
        <f>IF($EN602=0,"",UPPER(TRIM(INDEX(LINES_STATUS,$EN602)&amp;"")))</f>
        <v/>
      </c>
      <c r="ER602">
        <f>IF($DM602=0,"",IF(OR($EQ602="READY",$EQ602="PM",$EQ602="OT"),$EQ602,$EP602))</f>
        <v/>
      </c>
      <c r="ES602">
        <f>IF($DM602=0,"",IF(AND($DV602&lt;&gt;"",UPPER($DV602)&lt;&gt;"N"),"allergen",IF(ISNUMBER(SEARCH("oil",$DQ602)),"oil",IF(OR(EXACT($DS602,"A662"),EXACT($DS602,"A624")),"bulk",""))))</f>
        <v/>
      </c>
      <c r="ET602">
        <f>IF($DM602=0,"",IF(OR($EA602="",$EA602=0),"",$EA602/100))</f>
        <v/>
      </c>
      <c r="EU602">
        <f>IF(OR($ET602="",$DY602=""),"",INT($DY602*(1-$ET602)+0.5))</f>
        <v/>
      </c>
      <c r="EW602" t="n">
        <v>598</v>
      </c>
      <c r="EX602">
        <f>IFERROR(MATCH($EW602,$EM$5:$EM$1003,0),0)</f>
        <v/>
      </c>
      <c r="EY602">
        <f>IF($EW602&gt;$B$12,"",IF($EX602&gt;0,"row","spacer"))</f>
        <v/>
      </c>
      <c r="EZ602">
        <f>IF(AND($EY602="row",$EY601&lt;&gt;"row"),1,0)</f>
        <v/>
      </c>
      <c r="FA602">
        <f>IF(AND($EY602="row",$EY603&lt;&gt;"row"),1,0)</f>
        <v/>
      </c>
      <c r="FB602">
        <f>IF($EZ602=1,IFERROR(IF(ISNUMBER(INDEX(PASTE_ALL,INDEX($DF$5:$DF$1003,$EX602),$B$37)),INDEX(PASTE_ALL,INDEX($DF$5:$DF$1003,$EX602),$B$37),INDEX($DH$5:$DH$1003,$EX602)),INDEX($DH$5:$DH$1003,$EX602)),"")</f>
        <v/>
      </c>
      <c r="FC602">
        <f>IF($EY602="row",INDEX($ER$5:$ER$1003,$EX602),"")</f>
        <v/>
      </c>
      <c r="FD602">
        <f>IF($EY602="row",INDEX($DN$5:$DN$1003,$EX602),"")</f>
        <v/>
      </c>
      <c r="FE602">
        <f>IF($EY602="row",INDEX($DO$5:$DO$1003,$EX602),"")</f>
        <v/>
      </c>
      <c r="FF602">
        <f>IF($EY602="row",INDEX($DP$5:$DP$1003,$EX602),"")</f>
        <v/>
      </c>
      <c r="FG602">
        <f>IF($EY602="row",INDEX($DQ$5:$DQ$1003,$EX602),"")</f>
        <v/>
      </c>
      <c r="FH602">
        <f>IF($EY602="row",INDEX($DR$5:$DR$1003,$EX602),"")</f>
        <v/>
      </c>
      <c r="FI602">
        <f>IF($EY602="row",INDEX($DS$5:$DS$1003,$EX602),"")</f>
        <v/>
      </c>
      <c r="FJ602">
        <f>IF($EY602="row",INDEX($DT$5:$DT$1003,$EX602),"")</f>
        <v/>
      </c>
      <c r="FK602">
        <f>IF($EY602="row",INDEX($DU$5:$DU$1003,$EX602),"")</f>
        <v/>
      </c>
      <c r="FL602">
        <f>IF($EY602="row",INDEX($DV$5:$DV$1003,$EX602),"")</f>
        <v/>
      </c>
      <c r="FM602">
        <f>IF($EY602="row",INDEX($DW$5:$DW$1003,$EX602),"")</f>
        <v/>
      </c>
      <c r="FN602">
        <f>IF($EY602="row",INDEX($DY$5:$DY$1003,$EX602),"")</f>
        <v/>
      </c>
      <c r="FO602">
        <f>IF($EY602="row",INDEX($EA$5:$EA$1003,$EX602),"")</f>
        <v/>
      </c>
      <c r="FP602">
        <f>IF($EY602="row",INDEX($EC$5:$EC$1003,$EX602),"")</f>
        <v/>
      </c>
      <c r="FQ602">
        <f>IF($EY602="row",INDEX($ET$5:$ET$1003,$EX602),"")</f>
        <v/>
      </c>
      <c r="FR602">
        <f>IF($EY602="row",INDEX($EU$5:$EU$1003,$EX602),"")</f>
        <v/>
      </c>
      <c r="FS602">
        <f>IF(AND($EY602="row",$EY601="row"),IF(OR(INDEX($DT$5:$DT$1003,$EX601)="",INDEX($DT$5:$DT$1003,$EX602)=""),"",IF(NOT(EXACT(INDEX($DT$5:$DT$1003,$EX601),INDEX($DT$5:$DT$1003,$EX602))),"S4",IF(NOT(EXACT(INDEX($DS$5:$DS$1003,$EX601),INDEX($DS$5:$DS$1003,$EX602))),"S3",IF(NOT(EXACT(INDEX($DR$5:$DR$1003,$EX601),INDEX($DR$5:$DR$1003,$EX602))),"S1 Count Change","S1")))),"")</f>
        <v/>
      </c>
      <c r="FT602">
        <f>IF($EY602="row",INDEX($ES$5:$ES$1003,$EX602),"")</f>
        <v/>
      </c>
      <c r="FU602">
        <f>IF($EY602="row",INDEX($EO$5:$EO$1003,$EX602),0)</f>
        <v/>
      </c>
      <c r="FV602">
        <f>IF($FS602="S1 Count Change",1,0)</f>
        <v/>
      </c>
    </row>
    <row r="603">
      <c r="DA603" t="n">
        <v>599</v>
      </c>
      <c r="DB603">
        <f>IF($B$37=0,"",IFERROR(TRIM(SUBSTITUTE(SUBSTITUTE(SUBSTITUTE(SUBSTITUTE(INDEX(PASTE_ALL,599,$B$37)," "," "),CHAR(9)," "),CHAR(10)," "),CHAR(13)," ")),""))</f>
        <v/>
      </c>
      <c r="DC603">
        <f>IF(AND(599&gt;HEADER_ROW,UPPER(DB603)="LEGEND"),1,0)</f>
        <v/>
      </c>
      <c r="DE603" t="n">
        <v>599</v>
      </c>
      <c r="DF603">
        <f>HEADER_ROW+$DE603</f>
        <v/>
      </c>
      <c r="DG603">
        <f>IF(AND($DF603&lt;=1000,$DF603&lt;$B$8),1,0)</f>
        <v/>
      </c>
      <c r="DH603">
        <f>IF($DG603=1,IFERROR(INDEX($DB$5:$DB$1004,$DF603),""),"")</f>
        <v/>
      </c>
      <c r="DI603">
        <f>IF(AND($DG603=1,$DH603&lt;&gt;""),IFERROR(SUBSTITUTE(SUBSTITUTE(TRIM(SUBSTITUTE(SUBSTITUTE(SUBSTITUTE(SUBSTITUTE(IFERROR(INDEX(PASTE_ALL,$DF603,1)&amp;"","")&amp;"␟"&amp;IFERROR(INDEX(PASTE_ALL,$DF603,2)&amp;"","")&amp;"␟"&amp;IFERROR(INDEX(PASTE_ALL,$DF603,3)&amp;"","")&amp;"␟"&amp;IFERROR(INDEX(PASTE_ALL,$DF603,4)&amp;"","")&amp;"␟"&amp;IFERROR(INDEX(PASTE_ALL,$DF603,5)&amp;"","")&amp;"␟"&amp;IFERROR(INDEX(PASTE_ALL,$DF603,6)&amp;"","")&amp;"␟"&amp;IFERROR(INDEX(PASTE_ALL,$DF603,7)&amp;"","")&amp;"␟"&amp;IFERROR(INDEX(PASTE_ALL,$DF603,8)&amp;"","")&amp;"␟"&amp;IFERROR(INDEX(PASTE_ALL,$DF603,9)&amp;"","")&amp;"␟"&amp;IFERROR(INDEX(PASTE_ALL,$DF603,10)&amp;"","")&amp;"␟"&amp;IFERROR(INDEX(PASTE_ALL,$DF603,11)&amp;"","")&amp;"␟"&amp;IFERROR(INDEX(PASTE_ALL,$DF603,12)&amp;"","")&amp;"␟"&amp;IFERROR(INDEX(PASTE_ALL,$DF603,13)&amp;"","")&amp;"␟"&amp;IFERROR(INDEX(PASTE_ALL,$DF603,14)&amp;"","")&amp;"␟"&amp;IFERROR(INDEX(PASTE_ALL,$DF603,15)&amp;"","")&amp;"␟"&amp;IFERROR(INDEX(PASTE_ALL,$DF603,16)&amp;"","")&amp;"␟"&amp;IFERROR(INDEX(PASTE_ALL,$DF603,17)&amp;"","")&amp;"␟"&amp;IFERROR(INDEX(PASTE_ALL,$DF603,18)&amp;"","")&amp;"␟"&amp;IFERROR(INDEX(PASTE_ALL,$DF603,19)&amp;"","")&amp;"␟"&amp;IFERROR(INDEX(PASTE_ALL,$DF603,20)&amp;"","")&amp;"␟"&amp;IFERROR(INDEX(PASTE_ALL,$DF603,21)&amp;"","")&amp;"␟"&amp;IFERROR(INDEX(PASTE_ALL,$DF603,22)&amp;"","")&amp;"␟"&amp;IFERROR(INDEX(PASTE_ALL,$DF603,23)&amp;"","")&amp;"␟"&amp;IFERROR(INDEX(PASTE_ALL,$DF603,24)&amp;"","")&amp;"␟"&amp;IFERROR(INDEX(PASTE_ALL,$DF603,25)&amp;"","")&amp;"␟"&amp;IFERROR(INDEX(PASTE_ALL,$DF603,26)&amp;"","")&amp;"␟"&amp;IFERROR(INDEX(PASTE_ALL,$DF603,27)&amp;"","")&amp;"␟"&amp;IFERROR(INDEX(PASTE_ALL,$DF603,28)&amp;"","")&amp;"␟"&amp;IFERROR(INDEX(PASTE_ALL,$DF603,29)&amp;"","")&amp;"␟"&amp;IFERROR(INDEX(PASTE_ALL,$DF603,30)&amp;"","")&amp;"␟"&amp;IFERROR(INDEX(PASTE_ALL,$DF603,31)&amp;"","")&amp;"␟"&amp;IFERROR(INDEX(PASTE_ALL,$DF603,32)&amp;"","")&amp;"␟"&amp;IFERROR(INDEX(PASTE_ALL,$DF603,33)&amp;"","")&amp;"␟"&amp;IFERROR(INDEX(PASTE_ALL,$DF603,34)&amp;"","")&amp;"␟"&amp;IFERROR(INDEX(PASTE_ALL,$DF603,35)&amp;"","")&amp;"␟"&amp;IFERROR(INDEX(PASTE_ALL,$DF603,36)&amp;"","")&amp;"␟"&amp;IFERROR(INDEX(PASTE_ALL,$DF603,37)&amp;"","")&amp;"␟"&amp;IFERROR(INDEX(PASTE_ALL,$DF603,38)&amp;"","")&amp;"␟"&amp;IFERROR(INDEX(PASTE_ALL,$DF603,39)&amp;"","")&amp;"␟"&amp;IFERROR(INDEX(PASTE_ALL,$DF603,40)&amp;"","")&amp;"␟"&amp;IFERROR(INDEX(PASTE_ALL,$DF603,41)&amp;"","")&amp;"␟"&amp;IFERROR(INDEX(PASTE_ALL,$DF603,42)&amp;"","")&amp;"␟"&amp;IFERROR(INDEX(PASTE_ALL,$DF603,43)&amp;"","")&amp;"␟"&amp;IFERROR(INDEX(PASTE_ALL,$DF603,44)&amp;"","")&amp;"␟"&amp;IFERROR(INDEX(PASTE_ALL,$DF603,45)&amp;"","")&amp;"␟"&amp;IFERROR(INDEX(PASTE_ALL,$DF603,46)&amp;"","")&amp;"␟"&amp;IFERROR(INDEX(PASTE_ALL,$DF603,47)&amp;"","")&amp;"␟"&amp;IFERROR(INDEX(PASTE_ALL,$DF603,48)&amp;"","")&amp;"␟"&amp;IFERROR(INDEX(PASTE_ALL,$DF603,49)&amp;"","")&amp;"␟"&amp;IFERROR(INDEX(PASTE_ALL,$DF603,50)&amp;"","")&amp;"␟"&amp;IFERROR(INDEX(PASTE_ALL,$DF603,51)&amp;"","")&amp;"␟"&amp;IFERROR(INDEX(PASTE_ALL,$DF603,52)&amp;"","")&amp;"␟"&amp;IFERROR(INDEX(PASTE_ALL,$DF603,53)&amp;"","")&amp;"␟"&amp;IFERROR(INDEX(PASTE_ALL,$DF603,54)&amp;"","")&amp;"␟"&amp;IFERROR(INDEX(PASTE_ALL,$DF603,55)&amp;"","")&amp;"␟"&amp;IFERROR(INDEX(PASTE_ALL,$DF603,56)&amp;"","")&amp;"␟"&amp;IFERROR(INDEX(PASTE_ALL,$DF603,57)&amp;"","")&amp;"␟"&amp;IFERROR(INDEX(PASTE_ALL,$DF603,58)&amp;"","")&amp;"␟"&amp;IFERROR(INDEX(PASTE_ALL,$DF603,59)&amp;"","")&amp;"␟"&amp;IFERROR(INDEX(PASTE_ALL,$DF603,60)&amp;"","")," "," "),CHAR(9)," "),CHAR(10)," "),CHAR(13)," "))," ␟","␟"),"␟ ","␟"),"#"&amp;$DE603),"")</f>
        <v/>
      </c>
      <c r="DJ603">
        <f>IF($DI603="",0,IF(SUMPRODUCT(--EXACT($DI$4:DI602,$DI603))&gt;0,1,0))</f>
        <v/>
      </c>
      <c r="DK603">
        <f>IF(AND($DI603&lt;&gt;"",$DJ603=0),1,0)</f>
        <v/>
      </c>
      <c r="DL603">
        <f>DL602+$DK603</f>
        <v/>
      </c>
      <c r="DM603">
        <f>IF(AND($DK603=1,$DL603&lt;=600),1,0)</f>
        <v/>
      </c>
      <c r="DN603">
        <f>IF($DM603=0,"",IF($L$6=0,"",IFERROR(IF(ISNUMBER(INDEX(PASTE_ALL,$DF603,$L$6)),INDEX(PASTE_ALL,$DF603,$L$6),TRIM(SUBSTITUTE(SUBSTITUTE(SUBSTITUTE(SUBSTITUTE(INDEX(PASTE_ALL,$DF603,$L$6)," "," "),CHAR(9)," "),CHAR(10)," "),CHAR(13)," "))),"")))</f>
        <v/>
      </c>
      <c r="DO603">
        <f>IF($DM603=0,"",IF($L$7=0,"",IFERROR(IF(ISNUMBER(INDEX(PASTE_ALL,$DF603,$L$7)),INDEX(PASTE_ALL,$DF603,$L$7),TRIM(SUBSTITUTE(SUBSTITUTE(SUBSTITUTE(SUBSTITUTE(INDEX(PASTE_ALL,$DF603,$L$7)," "," "),CHAR(9)," "),CHAR(10)," "),CHAR(13)," "))),"")))</f>
        <v/>
      </c>
      <c r="DP603">
        <f>IF($DM603=0,"",IF($L$8=0,"",IFERROR(IF(ISNUMBER(INDEX(PASTE_ALL,$DF603,$L$8)),INDEX(PASTE_ALL,$DF603,$L$8),TRIM(SUBSTITUTE(SUBSTITUTE(SUBSTITUTE(SUBSTITUTE(INDEX(PASTE_ALL,$DF603,$L$8)," "," "),CHAR(9)," "),CHAR(10)," "),CHAR(13)," "))),"")))</f>
        <v/>
      </c>
      <c r="DQ603">
        <f>IF($DM603=0,"",IF($L$9=0,"",IFERROR(IF(ISNUMBER(INDEX(PASTE_ALL,$DF603,$L$9)),INDEX(PASTE_ALL,$DF603,$L$9),TRIM(SUBSTITUTE(SUBSTITUTE(SUBSTITUTE(SUBSTITUTE(INDEX(PASTE_ALL,$DF603,$L$9)," "," "),CHAR(9)," "),CHAR(10)," "),CHAR(13)," "))),"")))</f>
        <v/>
      </c>
      <c r="DR603">
        <f>IF($DM603=0,"",IF($L$10=0,"",IFERROR(IF(ISNUMBER(INDEX(PASTE_ALL,$DF603,$L$10)),INDEX(PASTE_ALL,$DF603,$L$10),TRIM(SUBSTITUTE(SUBSTITUTE(SUBSTITUTE(SUBSTITUTE(INDEX(PASTE_ALL,$DF603,$L$10)," "," "),CHAR(9)," "),CHAR(10)," "),CHAR(13)," "))),"")))</f>
        <v/>
      </c>
      <c r="DS603">
        <f>IF($DM603=0,"",IF($L$11=0,"",IFERROR(IF(ISNUMBER(INDEX(PASTE_ALL,$DF603,$L$11)),INDEX(PASTE_ALL,$DF603,$L$11),TRIM(SUBSTITUTE(SUBSTITUTE(SUBSTITUTE(SUBSTITUTE(INDEX(PASTE_ALL,$DF603,$L$11)," "," "),CHAR(9)," "),CHAR(10)," "),CHAR(13)," "))),"")))</f>
        <v/>
      </c>
      <c r="DT603">
        <f>IF($DM603=0,"",IF($L$12=0,"",IFERROR(IF(ISNUMBER(INDEX(PASTE_ALL,$DF603,$L$12)),INDEX(PASTE_ALL,$DF603,$L$12),TRIM(SUBSTITUTE(SUBSTITUTE(SUBSTITUTE(SUBSTITUTE(INDEX(PASTE_ALL,$DF603,$L$12)," "," "),CHAR(9)," "),CHAR(10)," "),CHAR(13)," "))),"")))</f>
        <v/>
      </c>
      <c r="DU603">
        <f>IF($DM603=0,"",IF($L$13=0,"",IFERROR(IF(ISNUMBER(INDEX(PASTE_ALL,$DF603,$L$13)),INDEX(PASTE_ALL,$DF603,$L$13),TRIM(SUBSTITUTE(SUBSTITUTE(SUBSTITUTE(SUBSTITUTE(INDEX(PASTE_ALL,$DF603,$L$13)," "," "),CHAR(9)," "),CHAR(10)," "),CHAR(13)," "))),"")))</f>
        <v/>
      </c>
      <c r="DV603">
        <f>IF($DM603=0,"",IF($L$14=0,"",IFERROR(IF(ISNUMBER(INDEX(PASTE_ALL,$DF603,$L$14)),INDEX(PASTE_ALL,$DF603,$L$14),TRIM(SUBSTITUTE(SUBSTITUTE(SUBSTITUTE(SUBSTITUTE(INDEX(PASTE_ALL,$DF603,$L$14)," "," "),CHAR(9)," "),CHAR(10)," "),CHAR(13)," "))),"")))</f>
        <v/>
      </c>
      <c r="DW603">
        <f>IF($DM603=0,"",IF($L$15=0,"",IFERROR(IF(ISNUMBER(INDEX(PASTE_ALL,$DF603,$L$15)),INDEX(PASTE_ALL,$DF603,$L$15),IF(SUMPRODUCT(--ISNUMBER(FIND({"A","B","C","D","E","F","G","H","I","J","K","L","M","N","O","P","Q","R","S","T","U","V","W","X","Y","Z","0","1","2","3","4","5","6","7","8","9"},UPPER(TRIM(SUBSTITUTE(SUBSTITUTE(SUBSTITUTE(SUBSTITUTE(INDEX(PASTE_ALL,$DF603,$L$15)," "," "),CHAR(9)," "),CHAR(10)," "),CHAR(13)," "))))))&gt;0,TRIM(SUBSTITUTE(SUBSTITUTE(SUBSTITUTE(SUBSTITUTE(INDEX(PASTE_ALL,$DF603,$L$15)," "," "),CHAR(9)," "),CHAR(10)," "),CHAR(13)," ")),"")),"")))</f>
        <v/>
      </c>
      <c r="DX603">
        <f>IF($DM603=0,"",IF($L$16=0,"",IFERROR(IF(ISNUMBER(INDEX(PASTE_ALL,$DF603,$L$16)),INDEX(PASTE_ALL,$DF603,$L$16),SUBSTITUTE(SUBSTITUTE(TRIM(SUBSTITUTE(SUBSTITUTE(SUBSTITUTE(SUBSTITUTE(INDEX(PASTE_ALL,$DF603,$L$16)," "," "),CHAR(9)," "),CHAR(10)," "),CHAR(13)," ")),",",""),"%","")),"")))</f>
        <v/>
      </c>
      <c r="DY603">
        <f>IF($DM603=0,"",IFERROR(IF(ISNUMBER($DX603),$DX603,IF($DX603="","",IF(TRIM($DX603)="",0,IF(AND(AND(SUBSTITUTE(SUBSTITUTE(SUBSTITUTE(SUBSTITUTE(SUBSTITUTE(SUBSTITUTE(SUBSTITUTE(SUBSTITUTE(SUBSTITUTE(SUBSTITUTE(SUBSTITUTE(SUBSTITUTE(SUBSTITUTE(SUBSTITUTE(UPPER(TRIM($DX603)),"0",""),"1",""),"2",""),"3",""),"4",""),"5",""),"6",""),"7",""),"8",""),"9",""),".",""),"+",""),"-",""),"E","")="",LEN(SUBSTITUTE(SUBSTITUTE(MID(UPPER(TRIM($DX603)),1+OR(LEFT(UPPER(TRIM($DX603)),1)="+",LEFT(UPPER(TRIM($DX603)),1)="-"),999),"E+","E"),"E-","E"))=LEN(SUBSTITUTE(SUBSTITUTE(SUBSTITUTE(SUBSTITUTE(MID(UPPER(TRIM($DX603)),1+OR(LEFT(UPPER(TRIM($DX603)),1)="+",LEFT(UPPER(TRIM($DX603)),1)="-"),999),"E+","E"),"E-","E"),"+",""),"-","")),LEN(UPPER(TRIM($DX603)))-LEN(SUBSTITUTE(UPPER(TRIM($DX603)),"E",""))&lt;2,LEN(UPPER(TRIM($DX603)))-LEN(SUBSTITUTE(UPPER(TRIM($DX603)),".",""))&lt;2,IFERROR(FIND(".",UPPER(TRIM($DX603))),0)&lt;IFERROR(FIND("E",UPPER(TRIM($DX603))),999)),ISNUMBER(VALUE(TRIM($DX603)))),VALUE(TRIM($DX603)),"")))),""))</f>
        <v/>
      </c>
      <c r="DZ603">
        <f>IF($DM603=0,"",IF($L$17=0,"",IFERROR(IF(ISNUMBER(INDEX(PASTE_ALL,$DF603,$L$17)),INDEX(PASTE_ALL,$DF603,$L$17),SUBSTITUTE(SUBSTITUTE(TRIM(SUBSTITUTE(SUBSTITUTE(SUBSTITUTE(SUBSTITUTE(INDEX(PASTE_ALL,$DF603,$L$17)," "," "),CHAR(9)," "),CHAR(10)," "),CHAR(13)," ")),",",""),"%","")),"")))</f>
        <v/>
      </c>
      <c r="EA603">
        <f>IF($DM603=0,"",IFERROR(IF(ISNUMBER($DZ603),$DZ603,IF($DZ603="","",IF(TRIM($DZ603)="",0,IF(AND(AND(SUBSTITUTE(SUBSTITUTE(SUBSTITUTE(SUBSTITUTE(SUBSTITUTE(SUBSTITUTE(SUBSTITUTE(SUBSTITUTE(SUBSTITUTE(SUBSTITUTE(SUBSTITUTE(SUBSTITUTE(SUBSTITUTE(SUBSTITUTE(UPPER(TRIM($DZ603)),"0",""),"1",""),"2",""),"3",""),"4",""),"5",""),"6",""),"7",""),"8",""),"9",""),".",""),"+",""),"-",""),"E","")="",LEN(SUBSTITUTE(SUBSTITUTE(MID(UPPER(TRIM($DZ603)),1+OR(LEFT(UPPER(TRIM($DZ603)),1)="+",LEFT(UPPER(TRIM($DZ603)),1)="-"),999),"E+","E"),"E-","E"))=LEN(SUBSTITUTE(SUBSTITUTE(SUBSTITUTE(SUBSTITUTE(MID(UPPER(TRIM($DZ603)),1+OR(LEFT(UPPER(TRIM($DZ603)),1)="+",LEFT(UPPER(TRIM($DZ603)),1)="-"),999),"E+","E"),"E-","E"),"+",""),"-","")),LEN(UPPER(TRIM($DZ603)))-LEN(SUBSTITUTE(UPPER(TRIM($DZ603)),"E",""))&lt;2,LEN(UPPER(TRIM($DZ603)))-LEN(SUBSTITUTE(UPPER(TRIM($DZ603)),".",""))&lt;2,IFERROR(FIND(".",UPPER(TRIM($DZ603))),0)&lt;IFERROR(FIND("E",UPPER(TRIM($DZ603))),999)),ISNUMBER(VALUE(TRIM($DZ603)))),VALUE(TRIM($DZ603)),"")))),""))</f>
        <v/>
      </c>
      <c r="EB603">
        <f>IF($DM603=0,"",IF($L$18=0,"",IFERROR(IF(UPPER(TRIM(SUBSTITUTE(SUBSTITUTE(SUBSTITUTE(SUBSTITUTE(INDEX(PASTE_ALL,$DF603,$L$18)," "," "),CHAR(9)," "),CHAR(10)," "),CHAR(13)," ")))="READY","Ready",IF(UPPER(TRIM(SUBSTITUTE(SUBSTITUTE(SUBSTITUTE(SUBSTITUTE(INDEX(PASTE_ALL,$DF603,$L$18)," "," "),CHAR(9)," "),CHAR(10)," "),CHAR(13)," ")))="PM","PM",IF(OR(UPPER(TRIM(SUBSTITUTE(SUBSTITUTE(SUBSTITUTE(SUBSTITUTE(INDEX(PASTE_ALL,$DF603,$L$18)," "," "),CHAR(9)," "),CHAR(10)," "),CHAR(13)," ")))="OT",UPPER(TRIM(SUBSTITUTE(SUBSTITUTE(SUBSTITUTE(SUBSTITUTE(INDEX(PASTE_ALL,$DF603,$L$18)," "," "),CHAR(9)," "),CHAR(10)," "),CHAR(13)," ")))="OVERTIME",UPPER(TRIM(SUBSTITUTE(SUBSTITUTE(SUBSTITUTE(SUBSTITUTE(INDEX(PASTE_ALL,$DF603,$L$18)," "," "),CHAR(9)," "),CHAR(10)," "),CHAR(13)," ")))="TRIAL"),"OT",TRIM(SUBSTITUTE(SUBSTITUTE(SUBSTITUTE(SUBSTITUTE(INDEX(PASTE_ALL,$DF603,$L$18)," "," "),CHAR(9)," "),CHAR(10)," "),CHAR(13)," "))))),"")))</f>
        <v/>
      </c>
      <c r="EC603">
        <f>IF($DM603=0,"",IF($L$19=0,"",IFERROR(IF(ISNUMBER(INDEX(PASTE_ALL,$DF603,$L$19)),INDEX(PASTE_ALL,$DF603,$L$19),TRIM(SUBSTITUTE(SUBSTITUTE(SUBSTITUTE(SUBSTITUTE(INDEX(PASTE_ALL,$DF603,$L$19)," "," "),CHAR(9)," "),CHAR(10)," "),CHAR(13)," "))),"")))</f>
        <v/>
      </c>
      <c r="ED603">
        <f>IF($DM603=0,"",MATCH(1,INDEX(EXACT($DH$5:DH603,$DH603)*$DM$5:DM603,0),0))</f>
        <v/>
      </c>
      <c r="EE603">
        <f>IF($DM603=0,0,IF($ED603=$DE603,1,0))</f>
        <v/>
      </c>
      <c r="EF603">
        <f>EF602+$EE603</f>
        <v/>
      </c>
      <c r="EG603">
        <f>IF($DM603=0,"",INDEX($EF$5:$EF$1003,$ED603))</f>
        <v/>
      </c>
      <c r="EH603">
        <f>IF($DM603=0,"",IF($DO603&lt;&gt;"","",IFERROR(LOOKUP(2,1/(($EG$4:EG602=$EG603)*($DO$4:DO602&lt;&gt;"")),$DO$4:DO602),"")))</f>
        <v/>
      </c>
      <c r="EI603">
        <f>IF($DM603=0,"",IF($DO603&lt;&gt;"",$DO603,$EH603))</f>
        <v/>
      </c>
      <c r="EJ603">
        <f>IF($DM603=0,"",IF($EI603="",0,IF(OR(ISNUMBER($EI603),AND(AND(SUBSTITUTE(SUBSTITUTE(SUBSTITUTE(SUBSTITUTE(SUBSTITUTE(SUBSTITUTE(SUBSTITUTE(SUBSTITUTE(SUBSTITUTE(SUBSTITUTE(SUBSTITUTE(SUBSTITUTE(SUBSTITUTE(SUBSTITUTE(UPPER($EI603),"0",""),"1",""),"2",""),"3",""),"4",""),"5",""),"6",""),"7",""),"8",""),"9",""),".",""),"+",""),"-",""),"E","")="",LEN(SUBSTITUTE(SUBSTITUTE(MID(UPPER($EI603),1+OR(LEFT(UPPER($EI603),1)="+",LEFT(UPPER($EI603),1)="-"),999),"E+","E"),"E-","E"))=LEN(SUBSTITUTE(SUBSTITUTE(SUBSTITUTE(SUBSTITUTE(MID(UPPER($EI603),1+OR(LEFT(UPPER($EI603),1)="+",LEFT(UPPER($EI603),1)="-"),999),"E+","E"),"E-","E"),"+",""),"-","")),LEN(UPPER($EI603))-LEN(SUBSTITUTE(UPPER($EI603),"E",""))&lt;2,LEN(UPPER($EI603))-LEN(SUBSTITUTE(UPPER($EI603),".",""))&lt;2,IFERROR(FIND(".",UPPER($EI603)),0)&lt;IFERROR(FIND("E",UPPER($EI603)),999)),ISNUMBER(VALUE($EI603)))),1,2)))</f>
        <v/>
      </c>
      <c r="EK603">
        <f>IF($DM603=0,"",IF($EJ603=1,IF(ISNUMBER($EI603),$EI603,VALUE($EI603)),IF($EJ603=2,$DE603,0)))</f>
        <v/>
      </c>
      <c r="EL603">
        <f>IF($DM603=0,"",COUNTIF($EG$5:$EG$1003,"&lt;"&amp;$EG603)+SUMPRODUCT(($EG$5:$EG$1003=$EG603)*(($EJ$5:$EJ$1003&lt;$EJ603)+($EJ$5:$EJ$1003=$EJ603)*(($EK$5:$EK$1003&lt;$EK603)+($EK$5:$EK$1003=$EK603)*($DE$5:$DE$1003&lt;$DE603))))+1)</f>
        <v/>
      </c>
      <c r="EM603">
        <f>IF($DM603=0,"",$EL603+$EG603-1)</f>
        <v/>
      </c>
      <c r="EN603">
        <f>IF($DM603=0,0,IFERROR(MATCH(1,INDEX(--(TRIM(SUBSTITUTE(SUBSTITUTE(SUBSTITUTE(SUBSTITUTE(LINES_NAME&amp;""," "," "),CHAR(9)," "),CHAR(10)," "),CHAR(13)," "))=$DH603),0),0),0))</f>
        <v/>
      </c>
      <c r="EO603">
        <f>IF($EN603=0,0,IF(OR(UPPER(TRIM(INDEX(LINES_SCHEDULED,$EN603)&amp;""))="YES",UPPER(TRIM(INDEX(LINES_SCHEDULED,$EN603)&amp;""))="Y",UPPER(TRIM(INDEX(LINES_SCHEDULED,$EN603)&amp;""))="X"),1,0))</f>
        <v/>
      </c>
      <c r="EP603">
        <f>IF($DM603=0,"",IF(COUNTIFS($EG$5:$EG$1003,$EG603,$EB$5:$EB$1003,"Ready")&gt;0,"READY",IF(COUNTIFS($EG$5:$EG$1003,$EG603,$EB$5:$EB$1003,"PM")&gt;0,"PM",IF(COUNTIFS($EG$5:$EG$1003,$EG603,$EB$5:$EB$1003,"OT")&gt;0,"OT",""))))</f>
        <v/>
      </c>
      <c r="EQ603">
        <f>IF($EN603=0,"",UPPER(TRIM(INDEX(LINES_STATUS,$EN603)&amp;"")))</f>
        <v/>
      </c>
      <c r="ER603">
        <f>IF($DM603=0,"",IF(OR($EQ603="READY",$EQ603="PM",$EQ603="OT"),$EQ603,$EP603))</f>
        <v/>
      </c>
      <c r="ES603">
        <f>IF($DM603=0,"",IF(AND($DV603&lt;&gt;"",UPPER($DV603)&lt;&gt;"N"),"allergen",IF(ISNUMBER(SEARCH("oil",$DQ603)),"oil",IF(OR(EXACT($DS603,"A662"),EXACT($DS603,"A624")),"bulk",""))))</f>
        <v/>
      </c>
      <c r="ET603">
        <f>IF($DM603=0,"",IF(OR($EA603="",$EA603=0),"",$EA603/100))</f>
        <v/>
      </c>
      <c r="EU603">
        <f>IF(OR($ET603="",$DY603=""),"",INT($DY603*(1-$ET603)+0.5))</f>
        <v/>
      </c>
      <c r="EW603" t="n">
        <v>599</v>
      </c>
      <c r="EX603">
        <f>IFERROR(MATCH($EW603,$EM$5:$EM$1003,0),0)</f>
        <v/>
      </c>
      <c r="EY603">
        <f>IF($EW603&gt;$B$12,"",IF($EX603&gt;0,"row","spacer"))</f>
        <v/>
      </c>
      <c r="EZ603">
        <f>IF(AND($EY603="row",$EY602&lt;&gt;"row"),1,0)</f>
        <v/>
      </c>
      <c r="FA603">
        <f>IF(AND($EY603="row",$EY604&lt;&gt;"row"),1,0)</f>
        <v/>
      </c>
      <c r="FB603">
        <f>IF($EZ603=1,IFERROR(IF(ISNUMBER(INDEX(PASTE_ALL,INDEX($DF$5:$DF$1003,$EX603),$B$37)),INDEX(PASTE_ALL,INDEX($DF$5:$DF$1003,$EX603),$B$37),INDEX($DH$5:$DH$1003,$EX603)),INDEX($DH$5:$DH$1003,$EX603)),"")</f>
        <v/>
      </c>
      <c r="FC603">
        <f>IF($EY603="row",INDEX($ER$5:$ER$1003,$EX603),"")</f>
        <v/>
      </c>
      <c r="FD603">
        <f>IF($EY603="row",INDEX($DN$5:$DN$1003,$EX603),"")</f>
        <v/>
      </c>
      <c r="FE603">
        <f>IF($EY603="row",INDEX($DO$5:$DO$1003,$EX603),"")</f>
        <v/>
      </c>
      <c r="FF603">
        <f>IF($EY603="row",INDEX($DP$5:$DP$1003,$EX603),"")</f>
        <v/>
      </c>
      <c r="FG603">
        <f>IF($EY603="row",INDEX($DQ$5:$DQ$1003,$EX603),"")</f>
        <v/>
      </c>
      <c r="FH603">
        <f>IF($EY603="row",INDEX($DR$5:$DR$1003,$EX603),"")</f>
        <v/>
      </c>
      <c r="FI603">
        <f>IF($EY603="row",INDEX($DS$5:$DS$1003,$EX603),"")</f>
        <v/>
      </c>
      <c r="FJ603">
        <f>IF($EY603="row",INDEX($DT$5:$DT$1003,$EX603),"")</f>
        <v/>
      </c>
      <c r="FK603">
        <f>IF($EY603="row",INDEX($DU$5:$DU$1003,$EX603),"")</f>
        <v/>
      </c>
      <c r="FL603">
        <f>IF($EY603="row",INDEX($DV$5:$DV$1003,$EX603),"")</f>
        <v/>
      </c>
      <c r="FM603">
        <f>IF($EY603="row",INDEX($DW$5:$DW$1003,$EX603),"")</f>
        <v/>
      </c>
      <c r="FN603">
        <f>IF($EY603="row",INDEX($DY$5:$DY$1003,$EX603),"")</f>
        <v/>
      </c>
      <c r="FO603">
        <f>IF($EY603="row",INDEX($EA$5:$EA$1003,$EX603),"")</f>
        <v/>
      </c>
      <c r="FP603">
        <f>IF($EY603="row",INDEX($EC$5:$EC$1003,$EX603),"")</f>
        <v/>
      </c>
      <c r="FQ603">
        <f>IF($EY603="row",INDEX($ET$5:$ET$1003,$EX603),"")</f>
        <v/>
      </c>
      <c r="FR603">
        <f>IF($EY603="row",INDEX($EU$5:$EU$1003,$EX603),"")</f>
        <v/>
      </c>
      <c r="FS603">
        <f>IF(AND($EY603="row",$EY602="row"),IF(OR(INDEX($DT$5:$DT$1003,$EX602)="",INDEX($DT$5:$DT$1003,$EX603)=""),"",IF(NOT(EXACT(INDEX($DT$5:$DT$1003,$EX602),INDEX($DT$5:$DT$1003,$EX603))),"S4",IF(NOT(EXACT(INDEX($DS$5:$DS$1003,$EX602),INDEX($DS$5:$DS$1003,$EX603))),"S3",IF(NOT(EXACT(INDEX($DR$5:$DR$1003,$EX602),INDEX($DR$5:$DR$1003,$EX603))),"S1 Count Change","S1")))),"")</f>
        <v/>
      </c>
      <c r="FT603">
        <f>IF($EY603="row",INDEX($ES$5:$ES$1003,$EX603),"")</f>
        <v/>
      </c>
      <c r="FU603">
        <f>IF($EY603="row",INDEX($EO$5:$EO$1003,$EX603),0)</f>
        <v/>
      </c>
      <c r="FV603">
        <f>IF($FS603="S1 Count Change",1,0)</f>
        <v/>
      </c>
    </row>
    <row r="604">
      <c r="DA604" t="n">
        <v>600</v>
      </c>
      <c r="DB604">
        <f>IF($B$37=0,"",IFERROR(TRIM(SUBSTITUTE(SUBSTITUTE(SUBSTITUTE(SUBSTITUTE(INDEX(PASTE_ALL,600,$B$37)," "," "),CHAR(9)," "),CHAR(10)," "),CHAR(13)," ")),""))</f>
        <v/>
      </c>
      <c r="DC604">
        <f>IF(AND(600&gt;HEADER_ROW,UPPER(DB604)="LEGEND"),1,0)</f>
        <v/>
      </c>
      <c r="DE604" t="n">
        <v>600</v>
      </c>
      <c r="DF604">
        <f>HEADER_ROW+$DE604</f>
        <v/>
      </c>
      <c r="DG604">
        <f>IF(AND($DF604&lt;=1000,$DF604&lt;$B$8),1,0)</f>
        <v/>
      </c>
      <c r="DH604">
        <f>IF($DG604=1,IFERROR(INDEX($DB$5:$DB$1004,$DF604),""),"")</f>
        <v/>
      </c>
      <c r="DI604">
        <f>IF(AND($DG604=1,$DH604&lt;&gt;""),IFERROR(SUBSTITUTE(SUBSTITUTE(TRIM(SUBSTITUTE(SUBSTITUTE(SUBSTITUTE(SUBSTITUTE(IFERROR(INDEX(PASTE_ALL,$DF604,1)&amp;"","")&amp;"␟"&amp;IFERROR(INDEX(PASTE_ALL,$DF604,2)&amp;"","")&amp;"␟"&amp;IFERROR(INDEX(PASTE_ALL,$DF604,3)&amp;"","")&amp;"␟"&amp;IFERROR(INDEX(PASTE_ALL,$DF604,4)&amp;"","")&amp;"␟"&amp;IFERROR(INDEX(PASTE_ALL,$DF604,5)&amp;"","")&amp;"␟"&amp;IFERROR(INDEX(PASTE_ALL,$DF604,6)&amp;"","")&amp;"␟"&amp;IFERROR(INDEX(PASTE_ALL,$DF604,7)&amp;"","")&amp;"␟"&amp;IFERROR(INDEX(PASTE_ALL,$DF604,8)&amp;"","")&amp;"␟"&amp;IFERROR(INDEX(PASTE_ALL,$DF604,9)&amp;"","")&amp;"␟"&amp;IFERROR(INDEX(PASTE_ALL,$DF604,10)&amp;"","")&amp;"␟"&amp;IFERROR(INDEX(PASTE_ALL,$DF604,11)&amp;"","")&amp;"␟"&amp;IFERROR(INDEX(PASTE_ALL,$DF604,12)&amp;"","")&amp;"␟"&amp;IFERROR(INDEX(PASTE_ALL,$DF604,13)&amp;"","")&amp;"␟"&amp;IFERROR(INDEX(PASTE_ALL,$DF604,14)&amp;"","")&amp;"␟"&amp;IFERROR(INDEX(PASTE_ALL,$DF604,15)&amp;"","")&amp;"␟"&amp;IFERROR(INDEX(PASTE_ALL,$DF604,16)&amp;"","")&amp;"␟"&amp;IFERROR(INDEX(PASTE_ALL,$DF604,17)&amp;"","")&amp;"␟"&amp;IFERROR(INDEX(PASTE_ALL,$DF604,18)&amp;"","")&amp;"␟"&amp;IFERROR(INDEX(PASTE_ALL,$DF604,19)&amp;"","")&amp;"␟"&amp;IFERROR(INDEX(PASTE_ALL,$DF604,20)&amp;"","")&amp;"␟"&amp;IFERROR(INDEX(PASTE_ALL,$DF604,21)&amp;"","")&amp;"␟"&amp;IFERROR(INDEX(PASTE_ALL,$DF604,22)&amp;"","")&amp;"␟"&amp;IFERROR(INDEX(PASTE_ALL,$DF604,23)&amp;"","")&amp;"␟"&amp;IFERROR(INDEX(PASTE_ALL,$DF604,24)&amp;"","")&amp;"␟"&amp;IFERROR(INDEX(PASTE_ALL,$DF604,25)&amp;"","")&amp;"␟"&amp;IFERROR(INDEX(PASTE_ALL,$DF604,26)&amp;"","")&amp;"␟"&amp;IFERROR(INDEX(PASTE_ALL,$DF604,27)&amp;"","")&amp;"␟"&amp;IFERROR(INDEX(PASTE_ALL,$DF604,28)&amp;"","")&amp;"␟"&amp;IFERROR(INDEX(PASTE_ALL,$DF604,29)&amp;"","")&amp;"␟"&amp;IFERROR(INDEX(PASTE_ALL,$DF604,30)&amp;"","")&amp;"␟"&amp;IFERROR(INDEX(PASTE_ALL,$DF604,31)&amp;"","")&amp;"␟"&amp;IFERROR(INDEX(PASTE_ALL,$DF604,32)&amp;"","")&amp;"␟"&amp;IFERROR(INDEX(PASTE_ALL,$DF604,33)&amp;"","")&amp;"␟"&amp;IFERROR(INDEX(PASTE_ALL,$DF604,34)&amp;"","")&amp;"␟"&amp;IFERROR(INDEX(PASTE_ALL,$DF604,35)&amp;"","")&amp;"␟"&amp;IFERROR(INDEX(PASTE_ALL,$DF604,36)&amp;"","")&amp;"␟"&amp;IFERROR(INDEX(PASTE_ALL,$DF604,37)&amp;"","")&amp;"␟"&amp;IFERROR(INDEX(PASTE_ALL,$DF604,38)&amp;"","")&amp;"␟"&amp;IFERROR(INDEX(PASTE_ALL,$DF604,39)&amp;"","")&amp;"␟"&amp;IFERROR(INDEX(PASTE_ALL,$DF604,40)&amp;"","")&amp;"␟"&amp;IFERROR(INDEX(PASTE_ALL,$DF604,41)&amp;"","")&amp;"␟"&amp;IFERROR(INDEX(PASTE_ALL,$DF604,42)&amp;"","")&amp;"␟"&amp;IFERROR(INDEX(PASTE_ALL,$DF604,43)&amp;"","")&amp;"␟"&amp;IFERROR(INDEX(PASTE_ALL,$DF604,44)&amp;"","")&amp;"␟"&amp;IFERROR(INDEX(PASTE_ALL,$DF604,45)&amp;"","")&amp;"␟"&amp;IFERROR(INDEX(PASTE_ALL,$DF604,46)&amp;"","")&amp;"␟"&amp;IFERROR(INDEX(PASTE_ALL,$DF604,47)&amp;"","")&amp;"␟"&amp;IFERROR(INDEX(PASTE_ALL,$DF604,48)&amp;"","")&amp;"␟"&amp;IFERROR(INDEX(PASTE_ALL,$DF604,49)&amp;"","")&amp;"␟"&amp;IFERROR(INDEX(PASTE_ALL,$DF604,50)&amp;"","")&amp;"␟"&amp;IFERROR(INDEX(PASTE_ALL,$DF604,51)&amp;"","")&amp;"␟"&amp;IFERROR(INDEX(PASTE_ALL,$DF604,52)&amp;"","")&amp;"␟"&amp;IFERROR(INDEX(PASTE_ALL,$DF604,53)&amp;"","")&amp;"␟"&amp;IFERROR(INDEX(PASTE_ALL,$DF604,54)&amp;"","")&amp;"␟"&amp;IFERROR(INDEX(PASTE_ALL,$DF604,55)&amp;"","")&amp;"␟"&amp;IFERROR(INDEX(PASTE_ALL,$DF604,56)&amp;"","")&amp;"␟"&amp;IFERROR(INDEX(PASTE_ALL,$DF604,57)&amp;"","")&amp;"␟"&amp;IFERROR(INDEX(PASTE_ALL,$DF604,58)&amp;"","")&amp;"␟"&amp;IFERROR(INDEX(PASTE_ALL,$DF604,59)&amp;"","")&amp;"␟"&amp;IFERROR(INDEX(PASTE_ALL,$DF604,60)&amp;"","")," "," "),CHAR(9)," "),CHAR(10)," "),CHAR(13)," "))," ␟","␟"),"␟ ","␟"),"#"&amp;$DE604),"")</f>
        <v/>
      </c>
      <c r="DJ604">
        <f>IF($DI604="",0,IF(SUMPRODUCT(--EXACT($DI$4:DI603,$DI604))&gt;0,1,0))</f>
        <v/>
      </c>
      <c r="DK604">
        <f>IF(AND($DI604&lt;&gt;"",$DJ604=0),1,0)</f>
        <v/>
      </c>
      <c r="DL604">
        <f>DL603+$DK604</f>
        <v/>
      </c>
      <c r="DM604">
        <f>IF(AND($DK604=1,$DL604&lt;=600),1,0)</f>
        <v/>
      </c>
      <c r="DN604">
        <f>IF($DM604=0,"",IF($L$6=0,"",IFERROR(IF(ISNUMBER(INDEX(PASTE_ALL,$DF604,$L$6)),INDEX(PASTE_ALL,$DF604,$L$6),TRIM(SUBSTITUTE(SUBSTITUTE(SUBSTITUTE(SUBSTITUTE(INDEX(PASTE_ALL,$DF604,$L$6)," "," "),CHAR(9)," "),CHAR(10)," "),CHAR(13)," "))),"")))</f>
        <v/>
      </c>
      <c r="DO604">
        <f>IF($DM604=0,"",IF($L$7=0,"",IFERROR(IF(ISNUMBER(INDEX(PASTE_ALL,$DF604,$L$7)),INDEX(PASTE_ALL,$DF604,$L$7),TRIM(SUBSTITUTE(SUBSTITUTE(SUBSTITUTE(SUBSTITUTE(INDEX(PASTE_ALL,$DF604,$L$7)," "," "),CHAR(9)," "),CHAR(10)," "),CHAR(13)," "))),"")))</f>
        <v/>
      </c>
      <c r="DP604">
        <f>IF($DM604=0,"",IF($L$8=0,"",IFERROR(IF(ISNUMBER(INDEX(PASTE_ALL,$DF604,$L$8)),INDEX(PASTE_ALL,$DF604,$L$8),TRIM(SUBSTITUTE(SUBSTITUTE(SUBSTITUTE(SUBSTITUTE(INDEX(PASTE_ALL,$DF604,$L$8)," "," "),CHAR(9)," "),CHAR(10)," "),CHAR(13)," "))),"")))</f>
        <v/>
      </c>
      <c r="DQ604">
        <f>IF($DM604=0,"",IF($L$9=0,"",IFERROR(IF(ISNUMBER(INDEX(PASTE_ALL,$DF604,$L$9)),INDEX(PASTE_ALL,$DF604,$L$9),TRIM(SUBSTITUTE(SUBSTITUTE(SUBSTITUTE(SUBSTITUTE(INDEX(PASTE_ALL,$DF604,$L$9)," "," "),CHAR(9)," "),CHAR(10)," "),CHAR(13)," "))),"")))</f>
        <v/>
      </c>
      <c r="DR604">
        <f>IF($DM604=0,"",IF($L$10=0,"",IFERROR(IF(ISNUMBER(INDEX(PASTE_ALL,$DF604,$L$10)),INDEX(PASTE_ALL,$DF604,$L$10),TRIM(SUBSTITUTE(SUBSTITUTE(SUBSTITUTE(SUBSTITUTE(INDEX(PASTE_ALL,$DF604,$L$10)," "," "),CHAR(9)," "),CHAR(10)," "),CHAR(13)," "))),"")))</f>
        <v/>
      </c>
      <c r="DS604">
        <f>IF($DM604=0,"",IF($L$11=0,"",IFERROR(IF(ISNUMBER(INDEX(PASTE_ALL,$DF604,$L$11)),INDEX(PASTE_ALL,$DF604,$L$11),TRIM(SUBSTITUTE(SUBSTITUTE(SUBSTITUTE(SUBSTITUTE(INDEX(PASTE_ALL,$DF604,$L$11)," "," "),CHAR(9)," "),CHAR(10)," "),CHAR(13)," "))),"")))</f>
        <v/>
      </c>
      <c r="DT604">
        <f>IF($DM604=0,"",IF($L$12=0,"",IFERROR(IF(ISNUMBER(INDEX(PASTE_ALL,$DF604,$L$12)),INDEX(PASTE_ALL,$DF604,$L$12),TRIM(SUBSTITUTE(SUBSTITUTE(SUBSTITUTE(SUBSTITUTE(INDEX(PASTE_ALL,$DF604,$L$12)," "," "),CHAR(9)," "),CHAR(10)," "),CHAR(13)," "))),"")))</f>
        <v/>
      </c>
      <c r="DU604">
        <f>IF($DM604=0,"",IF($L$13=0,"",IFERROR(IF(ISNUMBER(INDEX(PASTE_ALL,$DF604,$L$13)),INDEX(PASTE_ALL,$DF604,$L$13),TRIM(SUBSTITUTE(SUBSTITUTE(SUBSTITUTE(SUBSTITUTE(INDEX(PASTE_ALL,$DF604,$L$13)," "," "),CHAR(9)," "),CHAR(10)," "),CHAR(13)," "))),"")))</f>
        <v/>
      </c>
      <c r="DV604">
        <f>IF($DM604=0,"",IF($L$14=0,"",IFERROR(IF(ISNUMBER(INDEX(PASTE_ALL,$DF604,$L$14)),INDEX(PASTE_ALL,$DF604,$L$14),TRIM(SUBSTITUTE(SUBSTITUTE(SUBSTITUTE(SUBSTITUTE(INDEX(PASTE_ALL,$DF604,$L$14)," "," "),CHAR(9)," "),CHAR(10)," "),CHAR(13)," "))),"")))</f>
        <v/>
      </c>
      <c r="DW604">
        <f>IF($DM604=0,"",IF($L$15=0,"",IFERROR(IF(ISNUMBER(INDEX(PASTE_ALL,$DF604,$L$15)),INDEX(PASTE_ALL,$DF604,$L$15),IF(SUMPRODUCT(--ISNUMBER(FIND({"A","B","C","D","E","F","G","H","I","J","K","L","M","N","O","P","Q","R","S","T","U","V","W","X","Y","Z","0","1","2","3","4","5","6","7","8","9"},UPPER(TRIM(SUBSTITUTE(SUBSTITUTE(SUBSTITUTE(SUBSTITUTE(INDEX(PASTE_ALL,$DF604,$L$15)," "," "),CHAR(9)," "),CHAR(10)," "),CHAR(13)," "))))))&gt;0,TRIM(SUBSTITUTE(SUBSTITUTE(SUBSTITUTE(SUBSTITUTE(INDEX(PASTE_ALL,$DF604,$L$15)," "," "),CHAR(9)," "),CHAR(10)," "),CHAR(13)," ")),"")),"")))</f>
        <v/>
      </c>
      <c r="DX604">
        <f>IF($DM604=0,"",IF($L$16=0,"",IFERROR(IF(ISNUMBER(INDEX(PASTE_ALL,$DF604,$L$16)),INDEX(PASTE_ALL,$DF604,$L$16),SUBSTITUTE(SUBSTITUTE(TRIM(SUBSTITUTE(SUBSTITUTE(SUBSTITUTE(SUBSTITUTE(INDEX(PASTE_ALL,$DF604,$L$16)," "," "),CHAR(9)," "),CHAR(10)," "),CHAR(13)," ")),",",""),"%","")),"")))</f>
        <v/>
      </c>
      <c r="DY604">
        <f>IF($DM604=0,"",IFERROR(IF(ISNUMBER($DX604),$DX604,IF($DX604="","",IF(TRIM($DX604)="",0,IF(AND(AND(SUBSTITUTE(SUBSTITUTE(SUBSTITUTE(SUBSTITUTE(SUBSTITUTE(SUBSTITUTE(SUBSTITUTE(SUBSTITUTE(SUBSTITUTE(SUBSTITUTE(SUBSTITUTE(SUBSTITUTE(SUBSTITUTE(SUBSTITUTE(UPPER(TRIM($DX604)),"0",""),"1",""),"2",""),"3",""),"4",""),"5",""),"6",""),"7",""),"8",""),"9",""),".",""),"+",""),"-",""),"E","")="",LEN(SUBSTITUTE(SUBSTITUTE(MID(UPPER(TRIM($DX604)),1+OR(LEFT(UPPER(TRIM($DX604)),1)="+",LEFT(UPPER(TRIM($DX604)),1)="-"),999),"E+","E"),"E-","E"))=LEN(SUBSTITUTE(SUBSTITUTE(SUBSTITUTE(SUBSTITUTE(MID(UPPER(TRIM($DX604)),1+OR(LEFT(UPPER(TRIM($DX604)),1)="+",LEFT(UPPER(TRIM($DX604)),1)="-"),999),"E+","E"),"E-","E"),"+",""),"-","")),LEN(UPPER(TRIM($DX604)))-LEN(SUBSTITUTE(UPPER(TRIM($DX604)),"E",""))&lt;2,LEN(UPPER(TRIM($DX604)))-LEN(SUBSTITUTE(UPPER(TRIM($DX604)),".",""))&lt;2,IFERROR(FIND(".",UPPER(TRIM($DX604))),0)&lt;IFERROR(FIND("E",UPPER(TRIM($DX604))),999)),ISNUMBER(VALUE(TRIM($DX604)))),VALUE(TRIM($DX604)),"")))),""))</f>
        <v/>
      </c>
      <c r="DZ604">
        <f>IF($DM604=0,"",IF($L$17=0,"",IFERROR(IF(ISNUMBER(INDEX(PASTE_ALL,$DF604,$L$17)),INDEX(PASTE_ALL,$DF604,$L$17),SUBSTITUTE(SUBSTITUTE(TRIM(SUBSTITUTE(SUBSTITUTE(SUBSTITUTE(SUBSTITUTE(INDEX(PASTE_ALL,$DF604,$L$17)," "," "),CHAR(9)," "),CHAR(10)," "),CHAR(13)," ")),",",""),"%","")),"")))</f>
        <v/>
      </c>
      <c r="EA604">
        <f>IF($DM604=0,"",IFERROR(IF(ISNUMBER($DZ604),$DZ604,IF($DZ604="","",IF(TRIM($DZ604)="",0,IF(AND(AND(SUBSTITUTE(SUBSTITUTE(SUBSTITUTE(SUBSTITUTE(SUBSTITUTE(SUBSTITUTE(SUBSTITUTE(SUBSTITUTE(SUBSTITUTE(SUBSTITUTE(SUBSTITUTE(SUBSTITUTE(SUBSTITUTE(SUBSTITUTE(UPPER(TRIM($DZ604)),"0",""),"1",""),"2",""),"3",""),"4",""),"5",""),"6",""),"7",""),"8",""),"9",""),".",""),"+",""),"-",""),"E","")="",LEN(SUBSTITUTE(SUBSTITUTE(MID(UPPER(TRIM($DZ604)),1+OR(LEFT(UPPER(TRIM($DZ604)),1)="+",LEFT(UPPER(TRIM($DZ604)),1)="-"),999),"E+","E"),"E-","E"))=LEN(SUBSTITUTE(SUBSTITUTE(SUBSTITUTE(SUBSTITUTE(MID(UPPER(TRIM($DZ604)),1+OR(LEFT(UPPER(TRIM($DZ604)),1)="+",LEFT(UPPER(TRIM($DZ604)),1)="-"),999),"E+","E"),"E-","E"),"+",""),"-","")),LEN(UPPER(TRIM($DZ604)))-LEN(SUBSTITUTE(UPPER(TRIM($DZ604)),"E",""))&lt;2,LEN(UPPER(TRIM($DZ604)))-LEN(SUBSTITUTE(UPPER(TRIM($DZ604)),".",""))&lt;2,IFERROR(FIND(".",UPPER(TRIM($DZ604))),0)&lt;IFERROR(FIND("E",UPPER(TRIM($DZ604))),999)),ISNUMBER(VALUE(TRIM($DZ604)))),VALUE(TRIM($DZ604)),"")))),""))</f>
        <v/>
      </c>
      <c r="EB604">
        <f>IF($DM604=0,"",IF($L$18=0,"",IFERROR(IF(UPPER(TRIM(SUBSTITUTE(SUBSTITUTE(SUBSTITUTE(SUBSTITUTE(INDEX(PASTE_ALL,$DF604,$L$18)," "," "),CHAR(9)," "),CHAR(10)," "),CHAR(13)," ")))="READY","Ready",IF(UPPER(TRIM(SUBSTITUTE(SUBSTITUTE(SUBSTITUTE(SUBSTITUTE(INDEX(PASTE_ALL,$DF604,$L$18)," "," "),CHAR(9)," "),CHAR(10)," "),CHAR(13)," ")))="PM","PM",IF(OR(UPPER(TRIM(SUBSTITUTE(SUBSTITUTE(SUBSTITUTE(SUBSTITUTE(INDEX(PASTE_ALL,$DF604,$L$18)," "," "),CHAR(9)," "),CHAR(10)," "),CHAR(13)," ")))="OT",UPPER(TRIM(SUBSTITUTE(SUBSTITUTE(SUBSTITUTE(SUBSTITUTE(INDEX(PASTE_ALL,$DF604,$L$18)," "," "),CHAR(9)," "),CHAR(10)," "),CHAR(13)," ")))="OVERTIME",UPPER(TRIM(SUBSTITUTE(SUBSTITUTE(SUBSTITUTE(SUBSTITUTE(INDEX(PASTE_ALL,$DF604,$L$18)," "," "),CHAR(9)," "),CHAR(10)," "),CHAR(13)," ")))="TRIAL"),"OT",TRIM(SUBSTITUTE(SUBSTITUTE(SUBSTITUTE(SUBSTITUTE(INDEX(PASTE_ALL,$DF604,$L$18)," "," "),CHAR(9)," "),CHAR(10)," "),CHAR(13)," "))))),"")))</f>
        <v/>
      </c>
      <c r="EC604">
        <f>IF($DM604=0,"",IF($L$19=0,"",IFERROR(IF(ISNUMBER(INDEX(PASTE_ALL,$DF604,$L$19)),INDEX(PASTE_ALL,$DF604,$L$19),TRIM(SUBSTITUTE(SUBSTITUTE(SUBSTITUTE(SUBSTITUTE(INDEX(PASTE_ALL,$DF604,$L$19)," "," "),CHAR(9)," "),CHAR(10)," "),CHAR(13)," "))),"")))</f>
        <v/>
      </c>
      <c r="ED604">
        <f>IF($DM604=0,"",MATCH(1,INDEX(EXACT($DH$5:DH604,$DH604)*$DM$5:DM604,0),0))</f>
        <v/>
      </c>
      <c r="EE604">
        <f>IF($DM604=0,0,IF($ED604=$DE604,1,0))</f>
        <v/>
      </c>
      <c r="EF604">
        <f>EF603+$EE604</f>
        <v/>
      </c>
      <c r="EG604">
        <f>IF($DM604=0,"",INDEX($EF$5:$EF$1003,$ED604))</f>
        <v/>
      </c>
      <c r="EH604">
        <f>IF($DM604=0,"",IF($DO604&lt;&gt;"","",IFERROR(LOOKUP(2,1/(($EG$4:EG603=$EG604)*($DO$4:DO603&lt;&gt;"")),$DO$4:DO603),"")))</f>
        <v/>
      </c>
      <c r="EI604">
        <f>IF($DM604=0,"",IF($DO604&lt;&gt;"",$DO604,$EH604))</f>
        <v/>
      </c>
      <c r="EJ604">
        <f>IF($DM604=0,"",IF($EI604="",0,IF(OR(ISNUMBER($EI604),AND(AND(SUBSTITUTE(SUBSTITUTE(SUBSTITUTE(SUBSTITUTE(SUBSTITUTE(SUBSTITUTE(SUBSTITUTE(SUBSTITUTE(SUBSTITUTE(SUBSTITUTE(SUBSTITUTE(SUBSTITUTE(SUBSTITUTE(SUBSTITUTE(UPPER($EI604),"0",""),"1",""),"2",""),"3",""),"4",""),"5",""),"6",""),"7",""),"8",""),"9",""),".",""),"+",""),"-",""),"E","")="",LEN(SUBSTITUTE(SUBSTITUTE(MID(UPPER($EI604),1+OR(LEFT(UPPER($EI604),1)="+",LEFT(UPPER($EI604),1)="-"),999),"E+","E"),"E-","E"))=LEN(SUBSTITUTE(SUBSTITUTE(SUBSTITUTE(SUBSTITUTE(MID(UPPER($EI604),1+OR(LEFT(UPPER($EI604),1)="+",LEFT(UPPER($EI604),1)="-"),999),"E+","E"),"E-","E"),"+",""),"-","")),LEN(UPPER($EI604))-LEN(SUBSTITUTE(UPPER($EI604),"E",""))&lt;2,LEN(UPPER($EI604))-LEN(SUBSTITUTE(UPPER($EI604),".",""))&lt;2,IFERROR(FIND(".",UPPER($EI604)),0)&lt;IFERROR(FIND("E",UPPER($EI604)),999)),ISNUMBER(VALUE($EI604)))),1,2)))</f>
        <v/>
      </c>
      <c r="EK604">
        <f>IF($DM604=0,"",IF($EJ604=1,IF(ISNUMBER($EI604),$EI604,VALUE($EI604)),IF($EJ604=2,$DE604,0)))</f>
        <v/>
      </c>
      <c r="EL604">
        <f>IF($DM604=0,"",COUNTIF($EG$5:$EG$1003,"&lt;"&amp;$EG604)+SUMPRODUCT(($EG$5:$EG$1003=$EG604)*(($EJ$5:$EJ$1003&lt;$EJ604)+($EJ$5:$EJ$1003=$EJ604)*(($EK$5:$EK$1003&lt;$EK604)+($EK$5:$EK$1003=$EK604)*($DE$5:$DE$1003&lt;$DE604))))+1)</f>
        <v/>
      </c>
      <c r="EM604">
        <f>IF($DM604=0,"",$EL604+$EG604-1)</f>
        <v/>
      </c>
      <c r="EN604">
        <f>IF($DM604=0,0,IFERROR(MATCH(1,INDEX(--(TRIM(SUBSTITUTE(SUBSTITUTE(SUBSTITUTE(SUBSTITUTE(LINES_NAME&amp;""," "," "),CHAR(9)," "),CHAR(10)," "),CHAR(13)," "))=$DH604),0),0),0))</f>
        <v/>
      </c>
      <c r="EO604">
        <f>IF($EN604=0,0,IF(OR(UPPER(TRIM(INDEX(LINES_SCHEDULED,$EN604)&amp;""))="YES",UPPER(TRIM(INDEX(LINES_SCHEDULED,$EN604)&amp;""))="Y",UPPER(TRIM(INDEX(LINES_SCHEDULED,$EN604)&amp;""))="X"),1,0))</f>
        <v/>
      </c>
      <c r="EP604">
        <f>IF($DM604=0,"",IF(COUNTIFS($EG$5:$EG$1003,$EG604,$EB$5:$EB$1003,"Ready")&gt;0,"READY",IF(COUNTIFS($EG$5:$EG$1003,$EG604,$EB$5:$EB$1003,"PM")&gt;0,"PM",IF(COUNTIFS($EG$5:$EG$1003,$EG604,$EB$5:$EB$1003,"OT")&gt;0,"OT",""))))</f>
        <v/>
      </c>
      <c r="EQ604">
        <f>IF($EN604=0,"",UPPER(TRIM(INDEX(LINES_STATUS,$EN604)&amp;"")))</f>
        <v/>
      </c>
      <c r="ER604">
        <f>IF($DM604=0,"",IF(OR($EQ604="READY",$EQ604="PM",$EQ604="OT"),$EQ604,$EP604))</f>
        <v/>
      </c>
      <c r="ES604">
        <f>IF($DM604=0,"",IF(AND($DV604&lt;&gt;"",UPPER($DV604)&lt;&gt;"N"),"allergen",IF(ISNUMBER(SEARCH("oil",$DQ604)),"oil",IF(OR(EXACT($DS604,"A662"),EXACT($DS604,"A624")),"bulk",""))))</f>
        <v/>
      </c>
      <c r="ET604">
        <f>IF($DM604=0,"",IF(OR($EA604="",$EA604=0),"",$EA604/100))</f>
        <v/>
      </c>
      <c r="EU604">
        <f>IF(OR($ET604="",$DY604=""),"",INT($DY604*(1-$ET604)+0.5))</f>
        <v/>
      </c>
      <c r="EW604" t="n">
        <v>600</v>
      </c>
      <c r="EX604">
        <f>IFERROR(MATCH($EW604,$EM$5:$EM$1003,0),0)</f>
        <v/>
      </c>
      <c r="EY604">
        <f>IF($EW604&gt;$B$12,"",IF($EX604&gt;0,"row","spacer"))</f>
        <v/>
      </c>
      <c r="EZ604">
        <f>IF(AND($EY604="row",$EY603&lt;&gt;"row"),1,0)</f>
        <v/>
      </c>
      <c r="FA604">
        <f>IF(AND($EY604="row",$EY605&lt;&gt;"row"),1,0)</f>
        <v/>
      </c>
      <c r="FB604">
        <f>IF($EZ604=1,IFERROR(IF(ISNUMBER(INDEX(PASTE_ALL,INDEX($DF$5:$DF$1003,$EX604),$B$37)),INDEX(PASTE_ALL,INDEX($DF$5:$DF$1003,$EX604),$B$37),INDEX($DH$5:$DH$1003,$EX604)),INDEX($DH$5:$DH$1003,$EX604)),"")</f>
        <v/>
      </c>
      <c r="FC604">
        <f>IF($EY604="row",INDEX($ER$5:$ER$1003,$EX604),"")</f>
        <v/>
      </c>
      <c r="FD604">
        <f>IF($EY604="row",INDEX($DN$5:$DN$1003,$EX604),"")</f>
        <v/>
      </c>
      <c r="FE604">
        <f>IF($EY604="row",INDEX($DO$5:$DO$1003,$EX604),"")</f>
        <v/>
      </c>
      <c r="FF604">
        <f>IF($EY604="row",INDEX($DP$5:$DP$1003,$EX604),"")</f>
        <v/>
      </c>
      <c r="FG604">
        <f>IF($EY604="row",INDEX($DQ$5:$DQ$1003,$EX604),"")</f>
        <v/>
      </c>
      <c r="FH604">
        <f>IF($EY604="row",INDEX($DR$5:$DR$1003,$EX604),"")</f>
        <v/>
      </c>
      <c r="FI604">
        <f>IF($EY604="row",INDEX($DS$5:$DS$1003,$EX604),"")</f>
        <v/>
      </c>
      <c r="FJ604">
        <f>IF($EY604="row",INDEX($DT$5:$DT$1003,$EX604),"")</f>
        <v/>
      </c>
      <c r="FK604">
        <f>IF($EY604="row",INDEX($DU$5:$DU$1003,$EX604),"")</f>
        <v/>
      </c>
      <c r="FL604">
        <f>IF($EY604="row",INDEX($DV$5:$DV$1003,$EX604),"")</f>
        <v/>
      </c>
      <c r="FM604">
        <f>IF($EY604="row",INDEX($DW$5:$DW$1003,$EX604),"")</f>
        <v/>
      </c>
      <c r="FN604">
        <f>IF($EY604="row",INDEX($DY$5:$DY$1003,$EX604),"")</f>
        <v/>
      </c>
      <c r="FO604">
        <f>IF($EY604="row",INDEX($EA$5:$EA$1003,$EX604),"")</f>
        <v/>
      </c>
      <c r="FP604">
        <f>IF($EY604="row",INDEX($EC$5:$EC$1003,$EX604),"")</f>
        <v/>
      </c>
      <c r="FQ604">
        <f>IF($EY604="row",INDEX($ET$5:$ET$1003,$EX604),"")</f>
        <v/>
      </c>
      <c r="FR604">
        <f>IF($EY604="row",INDEX($EU$5:$EU$1003,$EX604),"")</f>
        <v/>
      </c>
      <c r="FS604">
        <f>IF(AND($EY604="row",$EY603="row"),IF(OR(INDEX($DT$5:$DT$1003,$EX603)="",INDEX($DT$5:$DT$1003,$EX604)=""),"",IF(NOT(EXACT(INDEX($DT$5:$DT$1003,$EX603),INDEX($DT$5:$DT$1003,$EX604))),"S4",IF(NOT(EXACT(INDEX($DS$5:$DS$1003,$EX603),INDEX($DS$5:$DS$1003,$EX604))),"S3",IF(NOT(EXACT(INDEX($DR$5:$DR$1003,$EX603),INDEX($DR$5:$DR$1003,$EX604))),"S1 Count Change","S1")))),"")</f>
        <v/>
      </c>
      <c r="FT604">
        <f>IF($EY604="row",INDEX($ES$5:$ES$1003,$EX604),"")</f>
        <v/>
      </c>
      <c r="FU604">
        <f>IF($EY604="row",INDEX($EO$5:$EO$1003,$EX604),0)</f>
        <v/>
      </c>
      <c r="FV604">
        <f>IF($FS604="S1 Count Change",1,0)</f>
        <v/>
      </c>
    </row>
    <row r="605">
      <c r="DA605" t="n">
        <v>601</v>
      </c>
      <c r="DB605">
        <f>IF($B$37=0,"",IFERROR(TRIM(SUBSTITUTE(SUBSTITUTE(SUBSTITUTE(SUBSTITUTE(INDEX(PASTE_ALL,601,$B$37)," "," "),CHAR(9)," "),CHAR(10)," "),CHAR(13)," ")),""))</f>
        <v/>
      </c>
      <c r="DC605">
        <f>IF(AND(601&gt;HEADER_ROW,UPPER(DB605)="LEGEND"),1,0)</f>
        <v/>
      </c>
      <c r="DE605" t="n">
        <v>601</v>
      </c>
      <c r="DF605">
        <f>HEADER_ROW+$DE605</f>
        <v/>
      </c>
      <c r="DG605">
        <f>IF(AND($DF605&lt;=1000,$DF605&lt;$B$8),1,0)</f>
        <v/>
      </c>
      <c r="DH605">
        <f>IF($DG605=1,IFERROR(INDEX($DB$5:$DB$1004,$DF605),""),"")</f>
        <v/>
      </c>
      <c r="DI605">
        <f>IF(AND($DG605=1,$DH605&lt;&gt;""),IFERROR(SUBSTITUTE(SUBSTITUTE(TRIM(SUBSTITUTE(SUBSTITUTE(SUBSTITUTE(SUBSTITUTE(IFERROR(INDEX(PASTE_ALL,$DF605,1)&amp;"","")&amp;"␟"&amp;IFERROR(INDEX(PASTE_ALL,$DF605,2)&amp;"","")&amp;"␟"&amp;IFERROR(INDEX(PASTE_ALL,$DF605,3)&amp;"","")&amp;"␟"&amp;IFERROR(INDEX(PASTE_ALL,$DF605,4)&amp;"","")&amp;"␟"&amp;IFERROR(INDEX(PASTE_ALL,$DF605,5)&amp;"","")&amp;"␟"&amp;IFERROR(INDEX(PASTE_ALL,$DF605,6)&amp;"","")&amp;"␟"&amp;IFERROR(INDEX(PASTE_ALL,$DF605,7)&amp;"","")&amp;"␟"&amp;IFERROR(INDEX(PASTE_ALL,$DF605,8)&amp;"","")&amp;"␟"&amp;IFERROR(INDEX(PASTE_ALL,$DF605,9)&amp;"","")&amp;"␟"&amp;IFERROR(INDEX(PASTE_ALL,$DF605,10)&amp;"","")&amp;"␟"&amp;IFERROR(INDEX(PASTE_ALL,$DF605,11)&amp;"","")&amp;"␟"&amp;IFERROR(INDEX(PASTE_ALL,$DF605,12)&amp;"","")&amp;"␟"&amp;IFERROR(INDEX(PASTE_ALL,$DF605,13)&amp;"","")&amp;"␟"&amp;IFERROR(INDEX(PASTE_ALL,$DF605,14)&amp;"","")&amp;"␟"&amp;IFERROR(INDEX(PASTE_ALL,$DF605,15)&amp;"","")&amp;"␟"&amp;IFERROR(INDEX(PASTE_ALL,$DF605,16)&amp;"","")&amp;"␟"&amp;IFERROR(INDEX(PASTE_ALL,$DF605,17)&amp;"","")&amp;"␟"&amp;IFERROR(INDEX(PASTE_ALL,$DF605,18)&amp;"","")&amp;"␟"&amp;IFERROR(INDEX(PASTE_ALL,$DF605,19)&amp;"","")&amp;"␟"&amp;IFERROR(INDEX(PASTE_ALL,$DF605,20)&amp;"","")&amp;"␟"&amp;IFERROR(INDEX(PASTE_ALL,$DF605,21)&amp;"","")&amp;"␟"&amp;IFERROR(INDEX(PASTE_ALL,$DF605,22)&amp;"","")&amp;"␟"&amp;IFERROR(INDEX(PASTE_ALL,$DF605,23)&amp;"","")&amp;"␟"&amp;IFERROR(INDEX(PASTE_ALL,$DF605,24)&amp;"","")&amp;"␟"&amp;IFERROR(INDEX(PASTE_ALL,$DF605,25)&amp;"","")&amp;"␟"&amp;IFERROR(INDEX(PASTE_ALL,$DF605,26)&amp;"","")&amp;"␟"&amp;IFERROR(INDEX(PASTE_ALL,$DF605,27)&amp;"","")&amp;"␟"&amp;IFERROR(INDEX(PASTE_ALL,$DF605,28)&amp;"","")&amp;"␟"&amp;IFERROR(INDEX(PASTE_ALL,$DF605,29)&amp;"","")&amp;"␟"&amp;IFERROR(INDEX(PASTE_ALL,$DF605,30)&amp;"","")&amp;"␟"&amp;IFERROR(INDEX(PASTE_ALL,$DF605,31)&amp;"","")&amp;"␟"&amp;IFERROR(INDEX(PASTE_ALL,$DF605,32)&amp;"","")&amp;"␟"&amp;IFERROR(INDEX(PASTE_ALL,$DF605,33)&amp;"","")&amp;"␟"&amp;IFERROR(INDEX(PASTE_ALL,$DF605,34)&amp;"","")&amp;"␟"&amp;IFERROR(INDEX(PASTE_ALL,$DF605,35)&amp;"","")&amp;"␟"&amp;IFERROR(INDEX(PASTE_ALL,$DF605,36)&amp;"","")&amp;"␟"&amp;IFERROR(INDEX(PASTE_ALL,$DF605,37)&amp;"","")&amp;"␟"&amp;IFERROR(INDEX(PASTE_ALL,$DF605,38)&amp;"","")&amp;"␟"&amp;IFERROR(INDEX(PASTE_ALL,$DF605,39)&amp;"","")&amp;"␟"&amp;IFERROR(INDEX(PASTE_ALL,$DF605,40)&amp;"","")&amp;"␟"&amp;IFERROR(INDEX(PASTE_ALL,$DF605,41)&amp;"","")&amp;"␟"&amp;IFERROR(INDEX(PASTE_ALL,$DF605,42)&amp;"","")&amp;"␟"&amp;IFERROR(INDEX(PASTE_ALL,$DF605,43)&amp;"","")&amp;"␟"&amp;IFERROR(INDEX(PASTE_ALL,$DF605,44)&amp;"","")&amp;"␟"&amp;IFERROR(INDEX(PASTE_ALL,$DF605,45)&amp;"","")&amp;"␟"&amp;IFERROR(INDEX(PASTE_ALL,$DF605,46)&amp;"","")&amp;"␟"&amp;IFERROR(INDEX(PASTE_ALL,$DF605,47)&amp;"","")&amp;"␟"&amp;IFERROR(INDEX(PASTE_ALL,$DF605,48)&amp;"","")&amp;"␟"&amp;IFERROR(INDEX(PASTE_ALL,$DF605,49)&amp;"","")&amp;"␟"&amp;IFERROR(INDEX(PASTE_ALL,$DF605,50)&amp;"","")&amp;"␟"&amp;IFERROR(INDEX(PASTE_ALL,$DF605,51)&amp;"","")&amp;"␟"&amp;IFERROR(INDEX(PASTE_ALL,$DF605,52)&amp;"","")&amp;"␟"&amp;IFERROR(INDEX(PASTE_ALL,$DF605,53)&amp;"","")&amp;"␟"&amp;IFERROR(INDEX(PASTE_ALL,$DF605,54)&amp;"","")&amp;"␟"&amp;IFERROR(INDEX(PASTE_ALL,$DF605,55)&amp;"","")&amp;"␟"&amp;IFERROR(INDEX(PASTE_ALL,$DF605,56)&amp;"","")&amp;"␟"&amp;IFERROR(INDEX(PASTE_ALL,$DF605,57)&amp;"","")&amp;"␟"&amp;IFERROR(INDEX(PASTE_ALL,$DF605,58)&amp;"","")&amp;"␟"&amp;IFERROR(INDEX(PASTE_ALL,$DF605,59)&amp;"","")&amp;"␟"&amp;IFERROR(INDEX(PASTE_ALL,$DF605,60)&amp;"","")," "," "),CHAR(9)," "),CHAR(10)," "),CHAR(13)," "))," ␟","␟"),"␟ ","␟"),"#"&amp;$DE605),"")</f>
        <v/>
      </c>
      <c r="DJ605">
        <f>IF($DI605="",0,IF(SUMPRODUCT(--EXACT($DI$4:DI604,$DI605))&gt;0,1,0))</f>
        <v/>
      </c>
      <c r="DK605">
        <f>IF(AND($DI605&lt;&gt;"",$DJ605=0),1,0)</f>
        <v/>
      </c>
      <c r="DL605">
        <f>DL604+$DK605</f>
        <v/>
      </c>
      <c r="DM605">
        <f>IF(AND($DK605=1,$DL605&lt;=600),1,0)</f>
        <v/>
      </c>
      <c r="DN605">
        <f>IF($DM605=0,"",IF($L$6=0,"",IFERROR(IF(ISNUMBER(INDEX(PASTE_ALL,$DF605,$L$6)),INDEX(PASTE_ALL,$DF605,$L$6),TRIM(SUBSTITUTE(SUBSTITUTE(SUBSTITUTE(SUBSTITUTE(INDEX(PASTE_ALL,$DF605,$L$6)," "," "),CHAR(9)," "),CHAR(10)," "),CHAR(13)," "))),"")))</f>
        <v/>
      </c>
      <c r="DO605">
        <f>IF($DM605=0,"",IF($L$7=0,"",IFERROR(IF(ISNUMBER(INDEX(PASTE_ALL,$DF605,$L$7)),INDEX(PASTE_ALL,$DF605,$L$7),TRIM(SUBSTITUTE(SUBSTITUTE(SUBSTITUTE(SUBSTITUTE(INDEX(PASTE_ALL,$DF605,$L$7)," "," "),CHAR(9)," "),CHAR(10)," "),CHAR(13)," "))),"")))</f>
        <v/>
      </c>
      <c r="DP605">
        <f>IF($DM605=0,"",IF($L$8=0,"",IFERROR(IF(ISNUMBER(INDEX(PASTE_ALL,$DF605,$L$8)),INDEX(PASTE_ALL,$DF605,$L$8),TRIM(SUBSTITUTE(SUBSTITUTE(SUBSTITUTE(SUBSTITUTE(INDEX(PASTE_ALL,$DF605,$L$8)," "," "),CHAR(9)," "),CHAR(10)," "),CHAR(13)," "))),"")))</f>
        <v/>
      </c>
      <c r="DQ605">
        <f>IF($DM605=0,"",IF($L$9=0,"",IFERROR(IF(ISNUMBER(INDEX(PASTE_ALL,$DF605,$L$9)),INDEX(PASTE_ALL,$DF605,$L$9),TRIM(SUBSTITUTE(SUBSTITUTE(SUBSTITUTE(SUBSTITUTE(INDEX(PASTE_ALL,$DF605,$L$9)," "," "),CHAR(9)," "),CHAR(10)," "),CHAR(13)," "))),"")))</f>
        <v/>
      </c>
      <c r="DR605">
        <f>IF($DM605=0,"",IF($L$10=0,"",IFERROR(IF(ISNUMBER(INDEX(PASTE_ALL,$DF605,$L$10)),INDEX(PASTE_ALL,$DF605,$L$10),TRIM(SUBSTITUTE(SUBSTITUTE(SUBSTITUTE(SUBSTITUTE(INDEX(PASTE_ALL,$DF605,$L$10)," "," "),CHAR(9)," "),CHAR(10)," "),CHAR(13)," "))),"")))</f>
        <v/>
      </c>
      <c r="DS605">
        <f>IF($DM605=0,"",IF($L$11=0,"",IFERROR(IF(ISNUMBER(INDEX(PASTE_ALL,$DF605,$L$11)),INDEX(PASTE_ALL,$DF605,$L$11),TRIM(SUBSTITUTE(SUBSTITUTE(SUBSTITUTE(SUBSTITUTE(INDEX(PASTE_ALL,$DF605,$L$11)," "," "),CHAR(9)," "),CHAR(10)," "),CHAR(13)," "))),"")))</f>
        <v/>
      </c>
      <c r="DT605">
        <f>IF($DM605=0,"",IF($L$12=0,"",IFERROR(IF(ISNUMBER(INDEX(PASTE_ALL,$DF605,$L$12)),INDEX(PASTE_ALL,$DF605,$L$12),TRIM(SUBSTITUTE(SUBSTITUTE(SUBSTITUTE(SUBSTITUTE(INDEX(PASTE_ALL,$DF605,$L$12)," "," "),CHAR(9)," "),CHAR(10)," "),CHAR(13)," "))),"")))</f>
        <v/>
      </c>
      <c r="DU605">
        <f>IF($DM605=0,"",IF($L$13=0,"",IFERROR(IF(ISNUMBER(INDEX(PASTE_ALL,$DF605,$L$13)),INDEX(PASTE_ALL,$DF605,$L$13),TRIM(SUBSTITUTE(SUBSTITUTE(SUBSTITUTE(SUBSTITUTE(INDEX(PASTE_ALL,$DF605,$L$13)," "," "),CHAR(9)," "),CHAR(10)," "),CHAR(13)," "))),"")))</f>
        <v/>
      </c>
      <c r="DV605">
        <f>IF($DM605=0,"",IF($L$14=0,"",IFERROR(IF(ISNUMBER(INDEX(PASTE_ALL,$DF605,$L$14)),INDEX(PASTE_ALL,$DF605,$L$14),TRIM(SUBSTITUTE(SUBSTITUTE(SUBSTITUTE(SUBSTITUTE(INDEX(PASTE_ALL,$DF605,$L$14)," "," "),CHAR(9)," "),CHAR(10)," "),CHAR(13)," "))),"")))</f>
        <v/>
      </c>
      <c r="DW605">
        <f>IF($DM605=0,"",IF($L$15=0,"",IFERROR(IF(ISNUMBER(INDEX(PASTE_ALL,$DF605,$L$15)),INDEX(PASTE_ALL,$DF605,$L$15),IF(SUMPRODUCT(--ISNUMBER(FIND({"A","B","C","D","E","F","G","H","I","J","K","L","M","N","O","P","Q","R","S","T","U","V","W","X","Y","Z","0","1","2","3","4","5","6","7","8","9"},UPPER(TRIM(SUBSTITUTE(SUBSTITUTE(SUBSTITUTE(SUBSTITUTE(INDEX(PASTE_ALL,$DF605,$L$15)," "," "),CHAR(9)," "),CHAR(10)," "),CHAR(13)," "))))))&gt;0,TRIM(SUBSTITUTE(SUBSTITUTE(SUBSTITUTE(SUBSTITUTE(INDEX(PASTE_ALL,$DF605,$L$15)," "," "),CHAR(9)," "),CHAR(10)," "),CHAR(13)," ")),"")),"")))</f>
        <v/>
      </c>
      <c r="DX605">
        <f>IF($DM605=0,"",IF($L$16=0,"",IFERROR(IF(ISNUMBER(INDEX(PASTE_ALL,$DF605,$L$16)),INDEX(PASTE_ALL,$DF605,$L$16),SUBSTITUTE(SUBSTITUTE(TRIM(SUBSTITUTE(SUBSTITUTE(SUBSTITUTE(SUBSTITUTE(INDEX(PASTE_ALL,$DF605,$L$16)," "," "),CHAR(9)," "),CHAR(10)," "),CHAR(13)," ")),",",""),"%","")),"")))</f>
        <v/>
      </c>
      <c r="DY605">
        <f>IF($DM605=0,"",IFERROR(IF(ISNUMBER($DX605),$DX605,IF($DX605="","",IF(TRIM($DX605)="",0,IF(AND(AND(SUBSTITUTE(SUBSTITUTE(SUBSTITUTE(SUBSTITUTE(SUBSTITUTE(SUBSTITUTE(SUBSTITUTE(SUBSTITUTE(SUBSTITUTE(SUBSTITUTE(SUBSTITUTE(SUBSTITUTE(SUBSTITUTE(SUBSTITUTE(UPPER(TRIM($DX605)),"0",""),"1",""),"2",""),"3",""),"4",""),"5",""),"6",""),"7",""),"8",""),"9",""),".",""),"+",""),"-",""),"E","")="",LEN(SUBSTITUTE(SUBSTITUTE(MID(UPPER(TRIM($DX605)),1+OR(LEFT(UPPER(TRIM($DX605)),1)="+",LEFT(UPPER(TRIM($DX605)),1)="-"),999),"E+","E"),"E-","E"))=LEN(SUBSTITUTE(SUBSTITUTE(SUBSTITUTE(SUBSTITUTE(MID(UPPER(TRIM($DX605)),1+OR(LEFT(UPPER(TRIM($DX605)),1)="+",LEFT(UPPER(TRIM($DX605)),1)="-"),999),"E+","E"),"E-","E"),"+",""),"-","")),LEN(UPPER(TRIM($DX605)))-LEN(SUBSTITUTE(UPPER(TRIM($DX605)),"E",""))&lt;2,LEN(UPPER(TRIM($DX605)))-LEN(SUBSTITUTE(UPPER(TRIM($DX605)),".",""))&lt;2,IFERROR(FIND(".",UPPER(TRIM($DX605))),0)&lt;IFERROR(FIND("E",UPPER(TRIM($DX605))),999)),ISNUMBER(VALUE(TRIM($DX605)))),VALUE(TRIM($DX605)),"")))),""))</f>
        <v/>
      </c>
      <c r="DZ605">
        <f>IF($DM605=0,"",IF($L$17=0,"",IFERROR(IF(ISNUMBER(INDEX(PASTE_ALL,$DF605,$L$17)),INDEX(PASTE_ALL,$DF605,$L$17),SUBSTITUTE(SUBSTITUTE(TRIM(SUBSTITUTE(SUBSTITUTE(SUBSTITUTE(SUBSTITUTE(INDEX(PASTE_ALL,$DF605,$L$17)," "," "),CHAR(9)," "),CHAR(10)," "),CHAR(13)," ")),",",""),"%","")),"")))</f>
        <v/>
      </c>
      <c r="EA605">
        <f>IF($DM605=0,"",IFERROR(IF(ISNUMBER($DZ605),$DZ605,IF($DZ605="","",IF(TRIM($DZ605)="",0,IF(AND(AND(SUBSTITUTE(SUBSTITUTE(SUBSTITUTE(SUBSTITUTE(SUBSTITUTE(SUBSTITUTE(SUBSTITUTE(SUBSTITUTE(SUBSTITUTE(SUBSTITUTE(SUBSTITUTE(SUBSTITUTE(SUBSTITUTE(SUBSTITUTE(UPPER(TRIM($DZ605)),"0",""),"1",""),"2",""),"3",""),"4",""),"5",""),"6",""),"7",""),"8",""),"9",""),".",""),"+",""),"-",""),"E","")="",LEN(SUBSTITUTE(SUBSTITUTE(MID(UPPER(TRIM($DZ605)),1+OR(LEFT(UPPER(TRIM($DZ605)),1)="+",LEFT(UPPER(TRIM($DZ605)),1)="-"),999),"E+","E"),"E-","E"))=LEN(SUBSTITUTE(SUBSTITUTE(SUBSTITUTE(SUBSTITUTE(MID(UPPER(TRIM($DZ605)),1+OR(LEFT(UPPER(TRIM($DZ605)),1)="+",LEFT(UPPER(TRIM($DZ605)),1)="-"),999),"E+","E"),"E-","E"),"+",""),"-","")),LEN(UPPER(TRIM($DZ605)))-LEN(SUBSTITUTE(UPPER(TRIM($DZ605)),"E",""))&lt;2,LEN(UPPER(TRIM($DZ605)))-LEN(SUBSTITUTE(UPPER(TRIM($DZ605)),".",""))&lt;2,IFERROR(FIND(".",UPPER(TRIM($DZ605))),0)&lt;IFERROR(FIND("E",UPPER(TRIM($DZ605))),999)),ISNUMBER(VALUE(TRIM($DZ605)))),VALUE(TRIM($DZ605)),"")))),""))</f>
        <v/>
      </c>
      <c r="EB605">
        <f>IF($DM605=0,"",IF($L$18=0,"",IFERROR(IF(UPPER(TRIM(SUBSTITUTE(SUBSTITUTE(SUBSTITUTE(SUBSTITUTE(INDEX(PASTE_ALL,$DF605,$L$18)," "," "),CHAR(9)," "),CHAR(10)," "),CHAR(13)," ")))="READY","Ready",IF(UPPER(TRIM(SUBSTITUTE(SUBSTITUTE(SUBSTITUTE(SUBSTITUTE(INDEX(PASTE_ALL,$DF605,$L$18)," "," "),CHAR(9)," "),CHAR(10)," "),CHAR(13)," ")))="PM","PM",IF(OR(UPPER(TRIM(SUBSTITUTE(SUBSTITUTE(SUBSTITUTE(SUBSTITUTE(INDEX(PASTE_ALL,$DF605,$L$18)," "," "),CHAR(9)," "),CHAR(10)," "),CHAR(13)," ")))="OT",UPPER(TRIM(SUBSTITUTE(SUBSTITUTE(SUBSTITUTE(SUBSTITUTE(INDEX(PASTE_ALL,$DF605,$L$18)," "," "),CHAR(9)," "),CHAR(10)," "),CHAR(13)," ")))="OVERTIME",UPPER(TRIM(SUBSTITUTE(SUBSTITUTE(SUBSTITUTE(SUBSTITUTE(INDEX(PASTE_ALL,$DF605,$L$18)," "," "),CHAR(9)," "),CHAR(10)," "),CHAR(13)," ")))="TRIAL"),"OT",TRIM(SUBSTITUTE(SUBSTITUTE(SUBSTITUTE(SUBSTITUTE(INDEX(PASTE_ALL,$DF605,$L$18)," "," "),CHAR(9)," "),CHAR(10)," "),CHAR(13)," "))))),"")))</f>
        <v/>
      </c>
      <c r="EC605">
        <f>IF($DM605=0,"",IF($L$19=0,"",IFERROR(IF(ISNUMBER(INDEX(PASTE_ALL,$DF605,$L$19)),INDEX(PASTE_ALL,$DF605,$L$19),TRIM(SUBSTITUTE(SUBSTITUTE(SUBSTITUTE(SUBSTITUTE(INDEX(PASTE_ALL,$DF605,$L$19)," "," "),CHAR(9)," "),CHAR(10)," "),CHAR(13)," "))),"")))</f>
        <v/>
      </c>
      <c r="ED605">
        <f>IF($DM605=0,"",MATCH(1,INDEX(EXACT($DH$5:DH605,$DH605)*$DM$5:DM605,0),0))</f>
        <v/>
      </c>
      <c r="EE605">
        <f>IF($DM605=0,0,IF($ED605=$DE605,1,0))</f>
        <v/>
      </c>
      <c r="EF605">
        <f>EF604+$EE605</f>
        <v/>
      </c>
      <c r="EG605">
        <f>IF($DM605=0,"",INDEX($EF$5:$EF$1003,$ED605))</f>
        <v/>
      </c>
      <c r="EH605">
        <f>IF($DM605=0,"",IF($DO605&lt;&gt;"","",IFERROR(LOOKUP(2,1/(($EG$4:EG604=$EG605)*($DO$4:DO604&lt;&gt;"")),$DO$4:DO604),"")))</f>
        <v/>
      </c>
      <c r="EI605">
        <f>IF($DM605=0,"",IF($DO605&lt;&gt;"",$DO605,$EH605))</f>
        <v/>
      </c>
      <c r="EJ605">
        <f>IF($DM605=0,"",IF($EI605="",0,IF(OR(ISNUMBER($EI605),AND(AND(SUBSTITUTE(SUBSTITUTE(SUBSTITUTE(SUBSTITUTE(SUBSTITUTE(SUBSTITUTE(SUBSTITUTE(SUBSTITUTE(SUBSTITUTE(SUBSTITUTE(SUBSTITUTE(SUBSTITUTE(SUBSTITUTE(SUBSTITUTE(UPPER($EI605),"0",""),"1",""),"2",""),"3",""),"4",""),"5",""),"6",""),"7",""),"8",""),"9",""),".",""),"+",""),"-",""),"E","")="",LEN(SUBSTITUTE(SUBSTITUTE(MID(UPPER($EI605),1+OR(LEFT(UPPER($EI605),1)="+",LEFT(UPPER($EI605),1)="-"),999),"E+","E"),"E-","E"))=LEN(SUBSTITUTE(SUBSTITUTE(SUBSTITUTE(SUBSTITUTE(MID(UPPER($EI605),1+OR(LEFT(UPPER($EI605),1)="+",LEFT(UPPER($EI605),1)="-"),999),"E+","E"),"E-","E"),"+",""),"-","")),LEN(UPPER($EI605))-LEN(SUBSTITUTE(UPPER($EI605),"E",""))&lt;2,LEN(UPPER($EI605))-LEN(SUBSTITUTE(UPPER($EI605),".",""))&lt;2,IFERROR(FIND(".",UPPER($EI605)),0)&lt;IFERROR(FIND("E",UPPER($EI605)),999)),ISNUMBER(VALUE($EI605)))),1,2)))</f>
        <v/>
      </c>
      <c r="EK605">
        <f>IF($DM605=0,"",IF($EJ605=1,IF(ISNUMBER($EI605),$EI605,VALUE($EI605)),IF($EJ605=2,$DE605,0)))</f>
        <v/>
      </c>
      <c r="EL605">
        <f>IF($DM605=0,"",COUNTIF($EG$5:$EG$1003,"&lt;"&amp;$EG605)+SUMPRODUCT(($EG$5:$EG$1003=$EG605)*(($EJ$5:$EJ$1003&lt;$EJ605)+($EJ$5:$EJ$1003=$EJ605)*(($EK$5:$EK$1003&lt;$EK605)+($EK$5:$EK$1003=$EK605)*($DE$5:$DE$1003&lt;$DE605))))+1)</f>
        <v/>
      </c>
      <c r="EM605">
        <f>IF($DM605=0,"",$EL605+$EG605-1)</f>
        <v/>
      </c>
      <c r="EN605">
        <f>IF($DM605=0,0,IFERROR(MATCH(1,INDEX(--(TRIM(SUBSTITUTE(SUBSTITUTE(SUBSTITUTE(SUBSTITUTE(LINES_NAME&amp;""," "," "),CHAR(9)," "),CHAR(10)," "),CHAR(13)," "))=$DH605),0),0),0))</f>
        <v/>
      </c>
      <c r="EO605">
        <f>IF($EN605=0,0,IF(OR(UPPER(TRIM(INDEX(LINES_SCHEDULED,$EN605)&amp;""))="YES",UPPER(TRIM(INDEX(LINES_SCHEDULED,$EN605)&amp;""))="Y",UPPER(TRIM(INDEX(LINES_SCHEDULED,$EN605)&amp;""))="X"),1,0))</f>
        <v/>
      </c>
      <c r="EP605">
        <f>IF($DM605=0,"",IF(COUNTIFS($EG$5:$EG$1003,$EG605,$EB$5:$EB$1003,"Ready")&gt;0,"READY",IF(COUNTIFS($EG$5:$EG$1003,$EG605,$EB$5:$EB$1003,"PM")&gt;0,"PM",IF(COUNTIFS($EG$5:$EG$1003,$EG605,$EB$5:$EB$1003,"OT")&gt;0,"OT",""))))</f>
        <v/>
      </c>
      <c r="EQ605">
        <f>IF($EN605=0,"",UPPER(TRIM(INDEX(LINES_STATUS,$EN605)&amp;"")))</f>
        <v/>
      </c>
      <c r="ER605">
        <f>IF($DM605=0,"",IF(OR($EQ605="READY",$EQ605="PM",$EQ605="OT"),$EQ605,$EP605))</f>
        <v/>
      </c>
      <c r="ES605">
        <f>IF($DM605=0,"",IF(AND($DV605&lt;&gt;"",UPPER($DV605)&lt;&gt;"N"),"allergen",IF(ISNUMBER(SEARCH("oil",$DQ605)),"oil",IF(OR(EXACT($DS605,"A662"),EXACT($DS605,"A624")),"bulk",""))))</f>
        <v/>
      </c>
      <c r="ET605">
        <f>IF($DM605=0,"",IF(OR($EA605="",$EA605=0),"",$EA605/100))</f>
        <v/>
      </c>
      <c r="EU605">
        <f>IF(OR($ET605="",$DY605=""),"",INT($DY605*(1-$ET605)+0.5))</f>
        <v/>
      </c>
      <c r="EW605" t="n">
        <v>601</v>
      </c>
      <c r="EX605">
        <f>IFERROR(MATCH($EW605,$EM$5:$EM$1003,0),0)</f>
        <v/>
      </c>
      <c r="EY605">
        <f>IF($EW605&gt;$B$12,"",IF($EX605&gt;0,"row","spacer"))</f>
        <v/>
      </c>
      <c r="EZ605">
        <f>IF(AND($EY605="row",$EY604&lt;&gt;"row"),1,0)</f>
        <v/>
      </c>
      <c r="FA605">
        <f>IF(AND($EY605="row",$EY606&lt;&gt;"row"),1,0)</f>
        <v/>
      </c>
      <c r="FB605">
        <f>IF($EZ605=1,IFERROR(IF(ISNUMBER(INDEX(PASTE_ALL,INDEX($DF$5:$DF$1003,$EX605),$B$37)),INDEX(PASTE_ALL,INDEX($DF$5:$DF$1003,$EX605),$B$37),INDEX($DH$5:$DH$1003,$EX605)),INDEX($DH$5:$DH$1003,$EX605)),"")</f>
        <v/>
      </c>
      <c r="FC605">
        <f>IF($EY605="row",INDEX($ER$5:$ER$1003,$EX605),"")</f>
        <v/>
      </c>
      <c r="FD605">
        <f>IF($EY605="row",INDEX($DN$5:$DN$1003,$EX605),"")</f>
        <v/>
      </c>
      <c r="FE605">
        <f>IF($EY605="row",INDEX($DO$5:$DO$1003,$EX605),"")</f>
        <v/>
      </c>
      <c r="FF605">
        <f>IF($EY605="row",INDEX($DP$5:$DP$1003,$EX605),"")</f>
        <v/>
      </c>
      <c r="FG605">
        <f>IF($EY605="row",INDEX($DQ$5:$DQ$1003,$EX605),"")</f>
        <v/>
      </c>
      <c r="FH605">
        <f>IF($EY605="row",INDEX($DR$5:$DR$1003,$EX605),"")</f>
        <v/>
      </c>
      <c r="FI605">
        <f>IF($EY605="row",INDEX($DS$5:$DS$1003,$EX605),"")</f>
        <v/>
      </c>
      <c r="FJ605">
        <f>IF($EY605="row",INDEX($DT$5:$DT$1003,$EX605),"")</f>
        <v/>
      </c>
      <c r="FK605">
        <f>IF($EY605="row",INDEX($DU$5:$DU$1003,$EX605),"")</f>
        <v/>
      </c>
      <c r="FL605">
        <f>IF($EY605="row",INDEX($DV$5:$DV$1003,$EX605),"")</f>
        <v/>
      </c>
      <c r="FM605">
        <f>IF($EY605="row",INDEX($DW$5:$DW$1003,$EX605),"")</f>
        <v/>
      </c>
      <c r="FN605">
        <f>IF($EY605="row",INDEX($DY$5:$DY$1003,$EX605),"")</f>
        <v/>
      </c>
      <c r="FO605">
        <f>IF($EY605="row",INDEX($EA$5:$EA$1003,$EX605),"")</f>
        <v/>
      </c>
      <c r="FP605">
        <f>IF($EY605="row",INDEX($EC$5:$EC$1003,$EX605),"")</f>
        <v/>
      </c>
      <c r="FQ605">
        <f>IF($EY605="row",INDEX($ET$5:$ET$1003,$EX605),"")</f>
        <v/>
      </c>
      <c r="FR605">
        <f>IF($EY605="row",INDEX($EU$5:$EU$1003,$EX605),"")</f>
        <v/>
      </c>
      <c r="FS605">
        <f>IF(AND($EY605="row",$EY604="row"),IF(OR(INDEX($DT$5:$DT$1003,$EX604)="",INDEX($DT$5:$DT$1003,$EX605)=""),"",IF(NOT(EXACT(INDEX($DT$5:$DT$1003,$EX604),INDEX($DT$5:$DT$1003,$EX605))),"S4",IF(NOT(EXACT(INDEX($DS$5:$DS$1003,$EX604),INDEX($DS$5:$DS$1003,$EX605))),"S3",IF(NOT(EXACT(INDEX($DR$5:$DR$1003,$EX604),INDEX($DR$5:$DR$1003,$EX605))),"S1 Count Change","S1")))),"")</f>
        <v/>
      </c>
      <c r="FT605">
        <f>IF($EY605="row",INDEX($ES$5:$ES$1003,$EX605),"")</f>
        <v/>
      </c>
      <c r="FU605">
        <f>IF($EY605="row",INDEX($EO$5:$EO$1003,$EX605),0)</f>
        <v/>
      </c>
      <c r="FV605">
        <f>IF($FS605="S1 Count Change",1,0)</f>
        <v/>
      </c>
    </row>
    <row r="606">
      <c r="DA606" t="n">
        <v>602</v>
      </c>
      <c r="DB606">
        <f>IF($B$37=0,"",IFERROR(TRIM(SUBSTITUTE(SUBSTITUTE(SUBSTITUTE(SUBSTITUTE(INDEX(PASTE_ALL,602,$B$37)," "," "),CHAR(9)," "),CHAR(10)," "),CHAR(13)," ")),""))</f>
        <v/>
      </c>
      <c r="DC606">
        <f>IF(AND(602&gt;HEADER_ROW,UPPER(DB606)="LEGEND"),1,0)</f>
        <v/>
      </c>
      <c r="DE606" t="n">
        <v>602</v>
      </c>
      <c r="DF606">
        <f>HEADER_ROW+$DE606</f>
        <v/>
      </c>
      <c r="DG606">
        <f>IF(AND($DF606&lt;=1000,$DF606&lt;$B$8),1,0)</f>
        <v/>
      </c>
      <c r="DH606">
        <f>IF($DG606=1,IFERROR(INDEX($DB$5:$DB$1004,$DF606),""),"")</f>
        <v/>
      </c>
      <c r="DI606">
        <f>IF(AND($DG606=1,$DH606&lt;&gt;""),IFERROR(SUBSTITUTE(SUBSTITUTE(TRIM(SUBSTITUTE(SUBSTITUTE(SUBSTITUTE(SUBSTITUTE(IFERROR(INDEX(PASTE_ALL,$DF606,1)&amp;"","")&amp;"␟"&amp;IFERROR(INDEX(PASTE_ALL,$DF606,2)&amp;"","")&amp;"␟"&amp;IFERROR(INDEX(PASTE_ALL,$DF606,3)&amp;"","")&amp;"␟"&amp;IFERROR(INDEX(PASTE_ALL,$DF606,4)&amp;"","")&amp;"␟"&amp;IFERROR(INDEX(PASTE_ALL,$DF606,5)&amp;"","")&amp;"␟"&amp;IFERROR(INDEX(PASTE_ALL,$DF606,6)&amp;"","")&amp;"␟"&amp;IFERROR(INDEX(PASTE_ALL,$DF606,7)&amp;"","")&amp;"␟"&amp;IFERROR(INDEX(PASTE_ALL,$DF606,8)&amp;"","")&amp;"␟"&amp;IFERROR(INDEX(PASTE_ALL,$DF606,9)&amp;"","")&amp;"␟"&amp;IFERROR(INDEX(PASTE_ALL,$DF606,10)&amp;"","")&amp;"␟"&amp;IFERROR(INDEX(PASTE_ALL,$DF606,11)&amp;"","")&amp;"␟"&amp;IFERROR(INDEX(PASTE_ALL,$DF606,12)&amp;"","")&amp;"␟"&amp;IFERROR(INDEX(PASTE_ALL,$DF606,13)&amp;"","")&amp;"␟"&amp;IFERROR(INDEX(PASTE_ALL,$DF606,14)&amp;"","")&amp;"␟"&amp;IFERROR(INDEX(PASTE_ALL,$DF606,15)&amp;"","")&amp;"␟"&amp;IFERROR(INDEX(PASTE_ALL,$DF606,16)&amp;"","")&amp;"␟"&amp;IFERROR(INDEX(PASTE_ALL,$DF606,17)&amp;"","")&amp;"␟"&amp;IFERROR(INDEX(PASTE_ALL,$DF606,18)&amp;"","")&amp;"␟"&amp;IFERROR(INDEX(PASTE_ALL,$DF606,19)&amp;"","")&amp;"␟"&amp;IFERROR(INDEX(PASTE_ALL,$DF606,20)&amp;"","")&amp;"␟"&amp;IFERROR(INDEX(PASTE_ALL,$DF606,21)&amp;"","")&amp;"␟"&amp;IFERROR(INDEX(PASTE_ALL,$DF606,22)&amp;"","")&amp;"␟"&amp;IFERROR(INDEX(PASTE_ALL,$DF606,23)&amp;"","")&amp;"␟"&amp;IFERROR(INDEX(PASTE_ALL,$DF606,24)&amp;"","")&amp;"␟"&amp;IFERROR(INDEX(PASTE_ALL,$DF606,25)&amp;"","")&amp;"␟"&amp;IFERROR(INDEX(PASTE_ALL,$DF606,26)&amp;"","")&amp;"␟"&amp;IFERROR(INDEX(PASTE_ALL,$DF606,27)&amp;"","")&amp;"␟"&amp;IFERROR(INDEX(PASTE_ALL,$DF606,28)&amp;"","")&amp;"␟"&amp;IFERROR(INDEX(PASTE_ALL,$DF606,29)&amp;"","")&amp;"␟"&amp;IFERROR(INDEX(PASTE_ALL,$DF606,30)&amp;"","")&amp;"␟"&amp;IFERROR(INDEX(PASTE_ALL,$DF606,31)&amp;"","")&amp;"␟"&amp;IFERROR(INDEX(PASTE_ALL,$DF606,32)&amp;"","")&amp;"␟"&amp;IFERROR(INDEX(PASTE_ALL,$DF606,33)&amp;"","")&amp;"␟"&amp;IFERROR(INDEX(PASTE_ALL,$DF606,34)&amp;"","")&amp;"␟"&amp;IFERROR(INDEX(PASTE_ALL,$DF606,35)&amp;"","")&amp;"␟"&amp;IFERROR(INDEX(PASTE_ALL,$DF606,36)&amp;"","")&amp;"␟"&amp;IFERROR(INDEX(PASTE_ALL,$DF606,37)&amp;"","")&amp;"␟"&amp;IFERROR(INDEX(PASTE_ALL,$DF606,38)&amp;"","")&amp;"␟"&amp;IFERROR(INDEX(PASTE_ALL,$DF606,39)&amp;"","")&amp;"␟"&amp;IFERROR(INDEX(PASTE_ALL,$DF606,40)&amp;"","")&amp;"␟"&amp;IFERROR(INDEX(PASTE_ALL,$DF606,41)&amp;"","")&amp;"␟"&amp;IFERROR(INDEX(PASTE_ALL,$DF606,42)&amp;"","")&amp;"␟"&amp;IFERROR(INDEX(PASTE_ALL,$DF606,43)&amp;"","")&amp;"␟"&amp;IFERROR(INDEX(PASTE_ALL,$DF606,44)&amp;"","")&amp;"␟"&amp;IFERROR(INDEX(PASTE_ALL,$DF606,45)&amp;"","")&amp;"␟"&amp;IFERROR(INDEX(PASTE_ALL,$DF606,46)&amp;"","")&amp;"␟"&amp;IFERROR(INDEX(PASTE_ALL,$DF606,47)&amp;"","")&amp;"␟"&amp;IFERROR(INDEX(PASTE_ALL,$DF606,48)&amp;"","")&amp;"␟"&amp;IFERROR(INDEX(PASTE_ALL,$DF606,49)&amp;"","")&amp;"␟"&amp;IFERROR(INDEX(PASTE_ALL,$DF606,50)&amp;"","")&amp;"␟"&amp;IFERROR(INDEX(PASTE_ALL,$DF606,51)&amp;"","")&amp;"␟"&amp;IFERROR(INDEX(PASTE_ALL,$DF606,52)&amp;"","")&amp;"␟"&amp;IFERROR(INDEX(PASTE_ALL,$DF606,53)&amp;"","")&amp;"␟"&amp;IFERROR(INDEX(PASTE_ALL,$DF606,54)&amp;"","")&amp;"␟"&amp;IFERROR(INDEX(PASTE_ALL,$DF606,55)&amp;"","")&amp;"␟"&amp;IFERROR(INDEX(PASTE_ALL,$DF606,56)&amp;"","")&amp;"␟"&amp;IFERROR(INDEX(PASTE_ALL,$DF606,57)&amp;"","")&amp;"␟"&amp;IFERROR(INDEX(PASTE_ALL,$DF606,58)&amp;"","")&amp;"␟"&amp;IFERROR(INDEX(PASTE_ALL,$DF606,59)&amp;"","")&amp;"␟"&amp;IFERROR(INDEX(PASTE_ALL,$DF606,60)&amp;"","")," "," "),CHAR(9)," "),CHAR(10)," "),CHAR(13)," "))," ␟","␟"),"␟ ","␟"),"#"&amp;$DE606),"")</f>
        <v/>
      </c>
      <c r="DJ606">
        <f>IF($DI606="",0,IF(SUMPRODUCT(--EXACT($DI$4:DI605,$DI606))&gt;0,1,0))</f>
        <v/>
      </c>
      <c r="DK606">
        <f>IF(AND($DI606&lt;&gt;"",$DJ606=0),1,0)</f>
        <v/>
      </c>
      <c r="DL606">
        <f>DL605+$DK606</f>
        <v/>
      </c>
      <c r="DM606">
        <f>IF(AND($DK606=1,$DL606&lt;=600),1,0)</f>
        <v/>
      </c>
      <c r="DN606">
        <f>IF($DM606=0,"",IF($L$6=0,"",IFERROR(IF(ISNUMBER(INDEX(PASTE_ALL,$DF606,$L$6)),INDEX(PASTE_ALL,$DF606,$L$6),TRIM(SUBSTITUTE(SUBSTITUTE(SUBSTITUTE(SUBSTITUTE(INDEX(PASTE_ALL,$DF606,$L$6)," "," "),CHAR(9)," "),CHAR(10)," "),CHAR(13)," "))),"")))</f>
        <v/>
      </c>
      <c r="DO606">
        <f>IF($DM606=0,"",IF($L$7=0,"",IFERROR(IF(ISNUMBER(INDEX(PASTE_ALL,$DF606,$L$7)),INDEX(PASTE_ALL,$DF606,$L$7),TRIM(SUBSTITUTE(SUBSTITUTE(SUBSTITUTE(SUBSTITUTE(INDEX(PASTE_ALL,$DF606,$L$7)," "," "),CHAR(9)," "),CHAR(10)," "),CHAR(13)," "))),"")))</f>
        <v/>
      </c>
      <c r="DP606">
        <f>IF($DM606=0,"",IF($L$8=0,"",IFERROR(IF(ISNUMBER(INDEX(PASTE_ALL,$DF606,$L$8)),INDEX(PASTE_ALL,$DF606,$L$8),TRIM(SUBSTITUTE(SUBSTITUTE(SUBSTITUTE(SUBSTITUTE(INDEX(PASTE_ALL,$DF606,$L$8)," "," "),CHAR(9)," "),CHAR(10)," "),CHAR(13)," "))),"")))</f>
        <v/>
      </c>
      <c r="DQ606">
        <f>IF($DM606=0,"",IF($L$9=0,"",IFERROR(IF(ISNUMBER(INDEX(PASTE_ALL,$DF606,$L$9)),INDEX(PASTE_ALL,$DF606,$L$9),TRIM(SUBSTITUTE(SUBSTITUTE(SUBSTITUTE(SUBSTITUTE(INDEX(PASTE_ALL,$DF606,$L$9)," "," "),CHAR(9)," "),CHAR(10)," "),CHAR(13)," "))),"")))</f>
        <v/>
      </c>
      <c r="DR606">
        <f>IF($DM606=0,"",IF($L$10=0,"",IFERROR(IF(ISNUMBER(INDEX(PASTE_ALL,$DF606,$L$10)),INDEX(PASTE_ALL,$DF606,$L$10),TRIM(SUBSTITUTE(SUBSTITUTE(SUBSTITUTE(SUBSTITUTE(INDEX(PASTE_ALL,$DF606,$L$10)," "," "),CHAR(9)," "),CHAR(10)," "),CHAR(13)," "))),"")))</f>
        <v/>
      </c>
      <c r="DS606">
        <f>IF($DM606=0,"",IF($L$11=0,"",IFERROR(IF(ISNUMBER(INDEX(PASTE_ALL,$DF606,$L$11)),INDEX(PASTE_ALL,$DF606,$L$11),TRIM(SUBSTITUTE(SUBSTITUTE(SUBSTITUTE(SUBSTITUTE(INDEX(PASTE_ALL,$DF606,$L$11)," "," "),CHAR(9)," "),CHAR(10)," "),CHAR(13)," "))),"")))</f>
        <v/>
      </c>
      <c r="DT606">
        <f>IF($DM606=0,"",IF($L$12=0,"",IFERROR(IF(ISNUMBER(INDEX(PASTE_ALL,$DF606,$L$12)),INDEX(PASTE_ALL,$DF606,$L$12),TRIM(SUBSTITUTE(SUBSTITUTE(SUBSTITUTE(SUBSTITUTE(INDEX(PASTE_ALL,$DF606,$L$12)," "," "),CHAR(9)," "),CHAR(10)," "),CHAR(13)," "))),"")))</f>
        <v/>
      </c>
      <c r="DU606">
        <f>IF($DM606=0,"",IF($L$13=0,"",IFERROR(IF(ISNUMBER(INDEX(PASTE_ALL,$DF606,$L$13)),INDEX(PASTE_ALL,$DF606,$L$13),TRIM(SUBSTITUTE(SUBSTITUTE(SUBSTITUTE(SUBSTITUTE(INDEX(PASTE_ALL,$DF606,$L$13)," "," "),CHAR(9)," "),CHAR(10)," "),CHAR(13)," "))),"")))</f>
        <v/>
      </c>
      <c r="DV606">
        <f>IF($DM606=0,"",IF($L$14=0,"",IFERROR(IF(ISNUMBER(INDEX(PASTE_ALL,$DF606,$L$14)),INDEX(PASTE_ALL,$DF606,$L$14),TRIM(SUBSTITUTE(SUBSTITUTE(SUBSTITUTE(SUBSTITUTE(INDEX(PASTE_ALL,$DF606,$L$14)," "," "),CHAR(9)," "),CHAR(10)," "),CHAR(13)," "))),"")))</f>
        <v/>
      </c>
      <c r="DW606">
        <f>IF($DM606=0,"",IF($L$15=0,"",IFERROR(IF(ISNUMBER(INDEX(PASTE_ALL,$DF606,$L$15)),INDEX(PASTE_ALL,$DF606,$L$15),IF(SUMPRODUCT(--ISNUMBER(FIND({"A","B","C","D","E","F","G","H","I","J","K","L","M","N","O","P","Q","R","S","T","U","V","W","X","Y","Z","0","1","2","3","4","5","6","7","8","9"},UPPER(TRIM(SUBSTITUTE(SUBSTITUTE(SUBSTITUTE(SUBSTITUTE(INDEX(PASTE_ALL,$DF606,$L$15)," "," "),CHAR(9)," "),CHAR(10)," "),CHAR(13)," "))))))&gt;0,TRIM(SUBSTITUTE(SUBSTITUTE(SUBSTITUTE(SUBSTITUTE(INDEX(PASTE_ALL,$DF606,$L$15)," "," "),CHAR(9)," "),CHAR(10)," "),CHAR(13)," ")),"")),"")))</f>
        <v/>
      </c>
      <c r="DX606">
        <f>IF($DM606=0,"",IF($L$16=0,"",IFERROR(IF(ISNUMBER(INDEX(PASTE_ALL,$DF606,$L$16)),INDEX(PASTE_ALL,$DF606,$L$16),SUBSTITUTE(SUBSTITUTE(TRIM(SUBSTITUTE(SUBSTITUTE(SUBSTITUTE(SUBSTITUTE(INDEX(PASTE_ALL,$DF606,$L$16)," "," "),CHAR(9)," "),CHAR(10)," "),CHAR(13)," ")),",",""),"%","")),"")))</f>
        <v/>
      </c>
      <c r="DY606">
        <f>IF($DM606=0,"",IFERROR(IF(ISNUMBER($DX606),$DX606,IF($DX606="","",IF(TRIM($DX606)="",0,IF(AND(AND(SUBSTITUTE(SUBSTITUTE(SUBSTITUTE(SUBSTITUTE(SUBSTITUTE(SUBSTITUTE(SUBSTITUTE(SUBSTITUTE(SUBSTITUTE(SUBSTITUTE(SUBSTITUTE(SUBSTITUTE(SUBSTITUTE(SUBSTITUTE(UPPER(TRIM($DX606)),"0",""),"1",""),"2",""),"3",""),"4",""),"5",""),"6",""),"7",""),"8",""),"9",""),".",""),"+",""),"-",""),"E","")="",LEN(SUBSTITUTE(SUBSTITUTE(MID(UPPER(TRIM($DX606)),1+OR(LEFT(UPPER(TRIM($DX606)),1)="+",LEFT(UPPER(TRIM($DX606)),1)="-"),999),"E+","E"),"E-","E"))=LEN(SUBSTITUTE(SUBSTITUTE(SUBSTITUTE(SUBSTITUTE(MID(UPPER(TRIM($DX606)),1+OR(LEFT(UPPER(TRIM($DX606)),1)="+",LEFT(UPPER(TRIM($DX606)),1)="-"),999),"E+","E"),"E-","E"),"+",""),"-","")),LEN(UPPER(TRIM($DX606)))-LEN(SUBSTITUTE(UPPER(TRIM($DX606)),"E",""))&lt;2,LEN(UPPER(TRIM($DX606)))-LEN(SUBSTITUTE(UPPER(TRIM($DX606)),".",""))&lt;2,IFERROR(FIND(".",UPPER(TRIM($DX606))),0)&lt;IFERROR(FIND("E",UPPER(TRIM($DX606))),999)),ISNUMBER(VALUE(TRIM($DX606)))),VALUE(TRIM($DX606)),"")))),""))</f>
        <v/>
      </c>
      <c r="DZ606">
        <f>IF($DM606=0,"",IF($L$17=0,"",IFERROR(IF(ISNUMBER(INDEX(PASTE_ALL,$DF606,$L$17)),INDEX(PASTE_ALL,$DF606,$L$17),SUBSTITUTE(SUBSTITUTE(TRIM(SUBSTITUTE(SUBSTITUTE(SUBSTITUTE(SUBSTITUTE(INDEX(PASTE_ALL,$DF606,$L$17)," "," "),CHAR(9)," "),CHAR(10)," "),CHAR(13)," ")),",",""),"%","")),"")))</f>
        <v/>
      </c>
      <c r="EA606">
        <f>IF($DM606=0,"",IFERROR(IF(ISNUMBER($DZ606),$DZ606,IF($DZ606="","",IF(TRIM($DZ606)="",0,IF(AND(AND(SUBSTITUTE(SUBSTITUTE(SUBSTITUTE(SUBSTITUTE(SUBSTITUTE(SUBSTITUTE(SUBSTITUTE(SUBSTITUTE(SUBSTITUTE(SUBSTITUTE(SUBSTITUTE(SUBSTITUTE(SUBSTITUTE(SUBSTITUTE(UPPER(TRIM($DZ606)),"0",""),"1",""),"2",""),"3",""),"4",""),"5",""),"6",""),"7",""),"8",""),"9",""),".",""),"+",""),"-",""),"E","")="",LEN(SUBSTITUTE(SUBSTITUTE(MID(UPPER(TRIM($DZ606)),1+OR(LEFT(UPPER(TRIM($DZ606)),1)="+",LEFT(UPPER(TRIM($DZ606)),1)="-"),999),"E+","E"),"E-","E"))=LEN(SUBSTITUTE(SUBSTITUTE(SUBSTITUTE(SUBSTITUTE(MID(UPPER(TRIM($DZ606)),1+OR(LEFT(UPPER(TRIM($DZ606)),1)="+",LEFT(UPPER(TRIM($DZ606)),1)="-"),999),"E+","E"),"E-","E"),"+",""),"-","")),LEN(UPPER(TRIM($DZ606)))-LEN(SUBSTITUTE(UPPER(TRIM($DZ606)),"E",""))&lt;2,LEN(UPPER(TRIM($DZ606)))-LEN(SUBSTITUTE(UPPER(TRIM($DZ606)),".",""))&lt;2,IFERROR(FIND(".",UPPER(TRIM($DZ606))),0)&lt;IFERROR(FIND("E",UPPER(TRIM($DZ606))),999)),ISNUMBER(VALUE(TRIM($DZ606)))),VALUE(TRIM($DZ606)),"")))),""))</f>
        <v/>
      </c>
      <c r="EB606">
        <f>IF($DM606=0,"",IF($L$18=0,"",IFERROR(IF(UPPER(TRIM(SUBSTITUTE(SUBSTITUTE(SUBSTITUTE(SUBSTITUTE(INDEX(PASTE_ALL,$DF606,$L$18)," "," "),CHAR(9)," "),CHAR(10)," "),CHAR(13)," ")))="READY","Ready",IF(UPPER(TRIM(SUBSTITUTE(SUBSTITUTE(SUBSTITUTE(SUBSTITUTE(INDEX(PASTE_ALL,$DF606,$L$18)," "," "),CHAR(9)," "),CHAR(10)," "),CHAR(13)," ")))="PM","PM",IF(OR(UPPER(TRIM(SUBSTITUTE(SUBSTITUTE(SUBSTITUTE(SUBSTITUTE(INDEX(PASTE_ALL,$DF606,$L$18)," "," "),CHAR(9)," "),CHAR(10)," "),CHAR(13)," ")))="OT",UPPER(TRIM(SUBSTITUTE(SUBSTITUTE(SUBSTITUTE(SUBSTITUTE(INDEX(PASTE_ALL,$DF606,$L$18)," "," "),CHAR(9)," "),CHAR(10)," "),CHAR(13)," ")))="OVERTIME",UPPER(TRIM(SUBSTITUTE(SUBSTITUTE(SUBSTITUTE(SUBSTITUTE(INDEX(PASTE_ALL,$DF606,$L$18)," "," "),CHAR(9)," "),CHAR(10)," "),CHAR(13)," ")))="TRIAL"),"OT",TRIM(SUBSTITUTE(SUBSTITUTE(SUBSTITUTE(SUBSTITUTE(INDEX(PASTE_ALL,$DF606,$L$18)," "," "),CHAR(9)," "),CHAR(10)," "),CHAR(13)," "))))),"")))</f>
        <v/>
      </c>
      <c r="EC606">
        <f>IF($DM606=0,"",IF($L$19=0,"",IFERROR(IF(ISNUMBER(INDEX(PASTE_ALL,$DF606,$L$19)),INDEX(PASTE_ALL,$DF606,$L$19),TRIM(SUBSTITUTE(SUBSTITUTE(SUBSTITUTE(SUBSTITUTE(INDEX(PASTE_ALL,$DF606,$L$19)," "," "),CHAR(9)," "),CHAR(10)," "),CHAR(13)," "))),"")))</f>
        <v/>
      </c>
      <c r="ED606">
        <f>IF($DM606=0,"",MATCH(1,INDEX(EXACT($DH$5:DH606,$DH606)*$DM$5:DM606,0),0))</f>
        <v/>
      </c>
      <c r="EE606">
        <f>IF($DM606=0,0,IF($ED606=$DE606,1,0))</f>
        <v/>
      </c>
      <c r="EF606">
        <f>EF605+$EE606</f>
        <v/>
      </c>
      <c r="EG606">
        <f>IF($DM606=0,"",INDEX($EF$5:$EF$1003,$ED606))</f>
        <v/>
      </c>
      <c r="EH606">
        <f>IF($DM606=0,"",IF($DO606&lt;&gt;"","",IFERROR(LOOKUP(2,1/(($EG$4:EG605=$EG606)*($DO$4:DO605&lt;&gt;"")),$DO$4:DO605),"")))</f>
        <v/>
      </c>
      <c r="EI606">
        <f>IF($DM606=0,"",IF($DO606&lt;&gt;"",$DO606,$EH606))</f>
        <v/>
      </c>
      <c r="EJ606">
        <f>IF($DM606=0,"",IF($EI606="",0,IF(OR(ISNUMBER($EI606),AND(AND(SUBSTITUTE(SUBSTITUTE(SUBSTITUTE(SUBSTITUTE(SUBSTITUTE(SUBSTITUTE(SUBSTITUTE(SUBSTITUTE(SUBSTITUTE(SUBSTITUTE(SUBSTITUTE(SUBSTITUTE(SUBSTITUTE(SUBSTITUTE(UPPER($EI606),"0",""),"1",""),"2",""),"3",""),"4",""),"5",""),"6",""),"7",""),"8",""),"9",""),".",""),"+",""),"-",""),"E","")="",LEN(SUBSTITUTE(SUBSTITUTE(MID(UPPER($EI606),1+OR(LEFT(UPPER($EI606),1)="+",LEFT(UPPER($EI606),1)="-"),999),"E+","E"),"E-","E"))=LEN(SUBSTITUTE(SUBSTITUTE(SUBSTITUTE(SUBSTITUTE(MID(UPPER($EI606),1+OR(LEFT(UPPER($EI606),1)="+",LEFT(UPPER($EI606),1)="-"),999),"E+","E"),"E-","E"),"+",""),"-","")),LEN(UPPER($EI606))-LEN(SUBSTITUTE(UPPER($EI606),"E",""))&lt;2,LEN(UPPER($EI606))-LEN(SUBSTITUTE(UPPER($EI606),".",""))&lt;2,IFERROR(FIND(".",UPPER($EI606)),0)&lt;IFERROR(FIND("E",UPPER($EI606)),999)),ISNUMBER(VALUE($EI606)))),1,2)))</f>
        <v/>
      </c>
      <c r="EK606">
        <f>IF($DM606=0,"",IF($EJ606=1,IF(ISNUMBER($EI606),$EI606,VALUE($EI606)),IF($EJ606=2,$DE606,0)))</f>
        <v/>
      </c>
      <c r="EL606">
        <f>IF($DM606=0,"",COUNTIF($EG$5:$EG$1003,"&lt;"&amp;$EG606)+SUMPRODUCT(($EG$5:$EG$1003=$EG606)*(($EJ$5:$EJ$1003&lt;$EJ606)+($EJ$5:$EJ$1003=$EJ606)*(($EK$5:$EK$1003&lt;$EK606)+($EK$5:$EK$1003=$EK606)*($DE$5:$DE$1003&lt;$DE606))))+1)</f>
        <v/>
      </c>
      <c r="EM606">
        <f>IF($DM606=0,"",$EL606+$EG606-1)</f>
        <v/>
      </c>
      <c r="EN606">
        <f>IF($DM606=0,0,IFERROR(MATCH(1,INDEX(--(TRIM(SUBSTITUTE(SUBSTITUTE(SUBSTITUTE(SUBSTITUTE(LINES_NAME&amp;""," "," "),CHAR(9)," "),CHAR(10)," "),CHAR(13)," "))=$DH606),0),0),0))</f>
        <v/>
      </c>
      <c r="EO606">
        <f>IF($EN606=0,0,IF(OR(UPPER(TRIM(INDEX(LINES_SCHEDULED,$EN606)&amp;""))="YES",UPPER(TRIM(INDEX(LINES_SCHEDULED,$EN606)&amp;""))="Y",UPPER(TRIM(INDEX(LINES_SCHEDULED,$EN606)&amp;""))="X"),1,0))</f>
        <v/>
      </c>
      <c r="EP606">
        <f>IF($DM606=0,"",IF(COUNTIFS($EG$5:$EG$1003,$EG606,$EB$5:$EB$1003,"Ready")&gt;0,"READY",IF(COUNTIFS($EG$5:$EG$1003,$EG606,$EB$5:$EB$1003,"PM")&gt;0,"PM",IF(COUNTIFS($EG$5:$EG$1003,$EG606,$EB$5:$EB$1003,"OT")&gt;0,"OT",""))))</f>
        <v/>
      </c>
      <c r="EQ606">
        <f>IF($EN606=0,"",UPPER(TRIM(INDEX(LINES_STATUS,$EN606)&amp;"")))</f>
        <v/>
      </c>
      <c r="ER606">
        <f>IF($DM606=0,"",IF(OR($EQ606="READY",$EQ606="PM",$EQ606="OT"),$EQ606,$EP606))</f>
        <v/>
      </c>
      <c r="ES606">
        <f>IF($DM606=0,"",IF(AND($DV606&lt;&gt;"",UPPER($DV606)&lt;&gt;"N"),"allergen",IF(ISNUMBER(SEARCH("oil",$DQ606)),"oil",IF(OR(EXACT($DS606,"A662"),EXACT($DS606,"A624")),"bulk",""))))</f>
        <v/>
      </c>
      <c r="ET606">
        <f>IF($DM606=0,"",IF(OR($EA606="",$EA606=0),"",$EA606/100))</f>
        <v/>
      </c>
      <c r="EU606">
        <f>IF(OR($ET606="",$DY606=""),"",INT($DY606*(1-$ET606)+0.5))</f>
        <v/>
      </c>
      <c r="EW606" t="n">
        <v>602</v>
      </c>
      <c r="EX606">
        <f>IFERROR(MATCH($EW606,$EM$5:$EM$1003,0),0)</f>
        <v/>
      </c>
      <c r="EY606">
        <f>IF($EW606&gt;$B$12,"",IF($EX606&gt;0,"row","spacer"))</f>
        <v/>
      </c>
      <c r="EZ606">
        <f>IF(AND($EY606="row",$EY605&lt;&gt;"row"),1,0)</f>
        <v/>
      </c>
      <c r="FA606">
        <f>IF(AND($EY606="row",$EY607&lt;&gt;"row"),1,0)</f>
        <v/>
      </c>
      <c r="FB606">
        <f>IF($EZ606=1,IFERROR(IF(ISNUMBER(INDEX(PASTE_ALL,INDEX($DF$5:$DF$1003,$EX606),$B$37)),INDEX(PASTE_ALL,INDEX($DF$5:$DF$1003,$EX606),$B$37),INDEX($DH$5:$DH$1003,$EX606)),INDEX($DH$5:$DH$1003,$EX606)),"")</f>
        <v/>
      </c>
      <c r="FC606">
        <f>IF($EY606="row",INDEX($ER$5:$ER$1003,$EX606),"")</f>
        <v/>
      </c>
      <c r="FD606">
        <f>IF($EY606="row",INDEX($DN$5:$DN$1003,$EX606),"")</f>
        <v/>
      </c>
      <c r="FE606">
        <f>IF($EY606="row",INDEX($DO$5:$DO$1003,$EX606),"")</f>
        <v/>
      </c>
      <c r="FF606">
        <f>IF($EY606="row",INDEX($DP$5:$DP$1003,$EX606),"")</f>
        <v/>
      </c>
      <c r="FG606">
        <f>IF($EY606="row",INDEX($DQ$5:$DQ$1003,$EX606),"")</f>
        <v/>
      </c>
      <c r="FH606">
        <f>IF($EY606="row",INDEX($DR$5:$DR$1003,$EX606),"")</f>
        <v/>
      </c>
      <c r="FI606">
        <f>IF($EY606="row",INDEX($DS$5:$DS$1003,$EX606),"")</f>
        <v/>
      </c>
      <c r="FJ606">
        <f>IF($EY606="row",INDEX($DT$5:$DT$1003,$EX606),"")</f>
        <v/>
      </c>
      <c r="FK606">
        <f>IF($EY606="row",INDEX($DU$5:$DU$1003,$EX606),"")</f>
        <v/>
      </c>
      <c r="FL606">
        <f>IF($EY606="row",INDEX($DV$5:$DV$1003,$EX606),"")</f>
        <v/>
      </c>
      <c r="FM606">
        <f>IF($EY606="row",INDEX($DW$5:$DW$1003,$EX606),"")</f>
        <v/>
      </c>
      <c r="FN606">
        <f>IF($EY606="row",INDEX($DY$5:$DY$1003,$EX606),"")</f>
        <v/>
      </c>
      <c r="FO606">
        <f>IF($EY606="row",INDEX($EA$5:$EA$1003,$EX606),"")</f>
        <v/>
      </c>
      <c r="FP606">
        <f>IF($EY606="row",INDEX($EC$5:$EC$1003,$EX606),"")</f>
        <v/>
      </c>
      <c r="FQ606">
        <f>IF($EY606="row",INDEX($ET$5:$ET$1003,$EX606),"")</f>
        <v/>
      </c>
      <c r="FR606">
        <f>IF($EY606="row",INDEX($EU$5:$EU$1003,$EX606),"")</f>
        <v/>
      </c>
      <c r="FS606">
        <f>IF(AND($EY606="row",$EY605="row"),IF(OR(INDEX($DT$5:$DT$1003,$EX605)="",INDEX($DT$5:$DT$1003,$EX606)=""),"",IF(NOT(EXACT(INDEX($DT$5:$DT$1003,$EX605),INDEX($DT$5:$DT$1003,$EX606))),"S4",IF(NOT(EXACT(INDEX($DS$5:$DS$1003,$EX605),INDEX($DS$5:$DS$1003,$EX606))),"S3",IF(NOT(EXACT(INDEX($DR$5:$DR$1003,$EX605),INDEX($DR$5:$DR$1003,$EX606))),"S1 Count Change","S1")))),"")</f>
        <v/>
      </c>
      <c r="FT606">
        <f>IF($EY606="row",INDEX($ES$5:$ES$1003,$EX606),"")</f>
        <v/>
      </c>
      <c r="FU606">
        <f>IF($EY606="row",INDEX($EO$5:$EO$1003,$EX606),0)</f>
        <v/>
      </c>
      <c r="FV606">
        <f>IF($FS606="S1 Count Change",1,0)</f>
        <v/>
      </c>
    </row>
    <row r="607">
      <c r="DA607" t="n">
        <v>603</v>
      </c>
      <c r="DB607">
        <f>IF($B$37=0,"",IFERROR(TRIM(SUBSTITUTE(SUBSTITUTE(SUBSTITUTE(SUBSTITUTE(INDEX(PASTE_ALL,603,$B$37)," "," "),CHAR(9)," "),CHAR(10)," "),CHAR(13)," ")),""))</f>
        <v/>
      </c>
      <c r="DC607">
        <f>IF(AND(603&gt;HEADER_ROW,UPPER(DB607)="LEGEND"),1,0)</f>
        <v/>
      </c>
      <c r="DE607" t="n">
        <v>603</v>
      </c>
      <c r="DF607">
        <f>HEADER_ROW+$DE607</f>
        <v/>
      </c>
      <c r="DG607">
        <f>IF(AND($DF607&lt;=1000,$DF607&lt;$B$8),1,0)</f>
        <v/>
      </c>
      <c r="DH607">
        <f>IF($DG607=1,IFERROR(INDEX($DB$5:$DB$1004,$DF607),""),"")</f>
        <v/>
      </c>
      <c r="DI607">
        <f>IF(AND($DG607=1,$DH607&lt;&gt;""),IFERROR(SUBSTITUTE(SUBSTITUTE(TRIM(SUBSTITUTE(SUBSTITUTE(SUBSTITUTE(SUBSTITUTE(IFERROR(INDEX(PASTE_ALL,$DF607,1)&amp;"","")&amp;"␟"&amp;IFERROR(INDEX(PASTE_ALL,$DF607,2)&amp;"","")&amp;"␟"&amp;IFERROR(INDEX(PASTE_ALL,$DF607,3)&amp;"","")&amp;"␟"&amp;IFERROR(INDEX(PASTE_ALL,$DF607,4)&amp;"","")&amp;"␟"&amp;IFERROR(INDEX(PASTE_ALL,$DF607,5)&amp;"","")&amp;"␟"&amp;IFERROR(INDEX(PASTE_ALL,$DF607,6)&amp;"","")&amp;"␟"&amp;IFERROR(INDEX(PASTE_ALL,$DF607,7)&amp;"","")&amp;"␟"&amp;IFERROR(INDEX(PASTE_ALL,$DF607,8)&amp;"","")&amp;"␟"&amp;IFERROR(INDEX(PASTE_ALL,$DF607,9)&amp;"","")&amp;"␟"&amp;IFERROR(INDEX(PASTE_ALL,$DF607,10)&amp;"","")&amp;"␟"&amp;IFERROR(INDEX(PASTE_ALL,$DF607,11)&amp;"","")&amp;"␟"&amp;IFERROR(INDEX(PASTE_ALL,$DF607,12)&amp;"","")&amp;"␟"&amp;IFERROR(INDEX(PASTE_ALL,$DF607,13)&amp;"","")&amp;"␟"&amp;IFERROR(INDEX(PASTE_ALL,$DF607,14)&amp;"","")&amp;"␟"&amp;IFERROR(INDEX(PASTE_ALL,$DF607,15)&amp;"","")&amp;"␟"&amp;IFERROR(INDEX(PASTE_ALL,$DF607,16)&amp;"","")&amp;"␟"&amp;IFERROR(INDEX(PASTE_ALL,$DF607,17)&amp;"","")&amp;"␟"&amp;IFERROR(INDEX(PASTE_ALL,$DF607,18)&amp;"","")&amp;"␟"&amp;IFERROR(INDEX(PASTE_ALL,$DF607,19)&amp;"","")&amp;"␟"&amp;IFERROR(INDEX(PASTE_ALL,$DF607,20)&amp;"","")&amp;"␟"&amp;IFERROR(INDEX(PASTE_ALL,$DF607,21)&amp;"","")&amp;"␟"&amp;IFERROR(INDEX(PASTE_ALL,$DF607,22)&amp;"","")&amp;"␟"&amp;IFERROR(INDEX(PASTE_ALL,$DF607,23)&amp;"","")&amp;"␟"&amp;IFERROR(INDEX(PASTE_ALL,$DF607,24)&amp;"","")&amp;"␟"&amp;IFERROR(INDEX(PASTE_ALL,$DF607,25)&amp;"","")&amp;"␟"&amp;IFERROR(INDEX(PASTE_ALL,$DF607,26)&amp;"","")&amp;"␟"&amp;IFERROR(INDEX(PASTE_ALL,$DF607,27)&amp;"","")&amp;"␟"&amp;IFERROR(INDEX(PASTE_ALL,$DF607,28)&amp;"","")&amp;"␟"&amp;IFERROR(INDEX(PASTE_ALL,$DF607,29)&amp;"","")&amp;"␟"&amp;IFERROR(INDEX(PASTE_ALL,$DF607,30)&amp;"","")&amp;"␟"&amp;IFERROR(INDEX(PASTE_ALL,$DF607,31)&amp;"","")&amp;"␟"&amp;IFERROR(INDEX(PASTE_ALL,$DF607,32)&amp;"","")&amp;"␟"&amp;IFERROR(INDEX(PASTE_ALL,$DF607,33)&amp;"","")&amp;"␟"&amp;IFERROR(INDEX(PASTE_ALL,$DF607,34)&amp;"","")&amp;"␟"&amp;IFERROR(INDEX(PASTE_ALL,$DF607,35)&amp;"","")&amp;"␟"&amp;IFERROR(INDEX(PASTE_ALL,$DF607,36)&amp;"","")&amp;"␟"&amp;IFERROR(INDEX(PASTE_ALL,$DF607,37)&amp;"","")&amp;"␟"&amp;IFERROR(INDEX(PASTE_ALL,$DF607,38)&amp;"","")&amp;"␟"&amp;IFERROR(INDEX(PASTE_ALL,$DF607,39)&amp;"","")&amp;"␟"&amp;IFERROR(INDEX(PASTE_ALL,$DF607,40)&amp;"","")&amp;"␟"&amp;IFERROR(INDEX(PASTE_ALL,$DF607,41)&amp;"","")&amp;"␟"&amp;IFERROR(INDEX(PASTE_ALL,$DF607,42)&amp;"","")&amp;"␟"&amp;IFERROR(INDEX(PASTE_ALL,$DF607,43)&amp;"","")&amp;"␟"&amp;IFERROR(INDEX(PASTE_ALL,$DF607,44)&amp;"","")&amp;"␟"&amp;IFERROR(INDEX(PASTE_ALL,$DF607,45)&amp;"","")&amp;"␟"&amp;IFERROR(INDEX(PASTE_ALL,$DF607,46)&amp;"","")&amp;"␟"&amp;IFERROR(INDEX(PASTE_ALL,$DF607,47)&amp;"","")&amp;"␟"&amp;IFERROR(INDEX(PASTE_ALL,$DF607,48)&amp;"","")&amp;"␟"&amp;IFERROR(INDEX(PASTE_ALL,$DF607,49)&amp;"","")&amp;"␟"&amp;IFERROR(INDEX(PASTE_ALL,$DF607,50)&amp;"","")&amp;"␟"&amp;IFERROR(INDEX(PASTE_ALL,$DF607,51)&amp;"","")&amp;"␟"&amp;IFERROR(INDEX(PASTE_ALL,$DF607,52)&amp;"","")&amp;"␟"&amp;IFERROR(INDEX(PASTE_ALL,$DF607,53)&amp;"","")&amp;"␟"&amp;IFERROR(INDEX(PASTE_ALL,$DF607,54)&amp;"","")&amp;"␟"&amp;IFERROR(INDEX(PASTE_ALL,$DF607,55)&amp;"","")&amp;"␟"&amp;IFERROR(INDEX(PASTE_ALL,$DF607,56)&amp;"","")&amp;"␟"&amp;IFERROR(INDEX(PASTE_ALL,$DF607,57)&amp;"","")&amp;"␟"&amp;IFERROR(INDEX(PASTE_ALL,$DF607,58)&amp;"","")&amp;"␟"&amp;IFERROR(INDEX(PASTE_ALL,$DF607,59)&amp;"","")&amp;"␟"&amp;IFERROR(INDEX(PASTE_ALL,$DF607,60)&amp;"","")," "," "),CHAR(9)," "),CHAR(10)," "),CHAR(13)," "))," ␟","␟"),"␟ ","␟"),"#"&amp;$DE607),"")</f>
        <v/>
      </c>
      <c r="DJ607">
        <f>IF($DI607="",0,IF(SUMPRODUCT(--EXACT($DI$4:DI606,$DI607))&gt;0,1,0))</f>
        <v/>
      </c>
      <c r="DK607">
        <f>IF(AND($DI607&lt;&gt;"",$DJ607=0),1,0)</f>
        <v/>
      </c>
      <c r="DL607">
        <f>DL606+$DK607</f>
        <v/>
      </c>
      <c r="DM607">
        <f>IF(AND($DK607=1,$DL607&lt;=600),1,0)</f>
        <v/>
      </c>
      <c r="DN607">
        <f>IF($DM607=0,"",IF($L$6=0,"",IFERROR(IF(ISNUMBER(INDEX(PASTE_ALL,$DF607,$L$6)),INDEX(PASTE_ALL,$DF607,$L$6),TRIM(SUBSTITUTE(SUBSTITUTE(SUBSTITUTE(SUBSTITUTE(INDEX(PASTE_ALL,$DF607,$L$6)," "," "),CHAR(9)," "),CHAR(10)," "),CHAR(13)," "))),"")))</f>
        <v/>
      </c>
      <c r="DO607">
        <f>IF($DM607=0,"",IF($L$7=0,"",IFERROR(IF(ISNUMBER(INDEX(PASTE_ALL,$DF607,$L$7)),INDEX(PASTE_ALL,$DF607,$L$7),TRIM(SUBSTITUTE(SUBSTITUTE(SUBSTITUTE(SUBSTITUTE(INDEX(PASTE_ALL,$DF607,$L$7)," "," "),CHAR(9)," "),CHAR(10)," "),CHAR(13)," "))),"")))</f>
        <v/>
      </c>
      <c r="DP607">
        <f>IF($DM607=0,"",IF($L$8=0,"",IFERROR(IF(ISNUMBER(INDEX(PASTE_ALL,$DF607,$L$8)),INDEX(PASTE_ALL,$DF607,$L$8),TRIM(SUBSTITUTE(SUBSTITUTE(SUBSTITUTE(SUBSTITUTE(INDEX(PASTE_ALL,$DF607,$L$8)," "," "),CHAR(9)," "),CHAR(10)," "),CHAR(13)," "))),"")))</f>
        <v/>
      </c>
      <c r="DQ607">
        <f>IF($DM607=0,"",IF($L$9=0,"",IFERROR(IF(ISNUMBER(INDEX(PASTE_ALL,$DF607,$L$9)),INDEX(PASTE_ALL,$DF607,$L$9),TRIM(SUBSTITUTE(SUBSTITUTE(SUBSTITUTE(SUBSTITUTE(INDEX(PASTE_ALL,$DF607,$L$9)," "," "),CHAR(9)," "),CHAR(10)," "),CHAR(13)," "))),"")))</f>
        <v/>
      </c>
      <c r="DR607">
        <f>IF($DM607=0,"",IF($L$10=0,"",IFERROR(IF(ISNUMBER(INDEX(PASTE_ALL,$DF607,$L$10)),INDEX(PASTE_ALL,$DF607,$L$10),TRIM(SUBSTITUTE(SUBSTITUTE(SUBSTITUTE(SUBSTITUTE(INDEX(PASTE_ALL,$DF607,$L$10)," "," "),CHAR(9)," "),CHAR(10)," "),CHAR(13)," "))),"")))</f>
        <v/>
      </c>
      <c r="DS607">
        <f>IF($DM607=0,"",IF($L$11=0,"",IFERROR(IF(ISNUMBER(INDEX(PASTE_ALL,$DF607,$L$11)),INDEX(PASTE_ALL,$DF607,$L$11),TRIM(SUBSTITUTE(SUBSTITUTE(SUBSTITUTE(SUBSTITUTE(INDEX(PASTE_ALL,$DF607,$L$11)," "," "),CHAR(9)," "),CHAR(10)," "),CHAR(13)," "))),"")))</f>
        <v/>
      </c>
      <c r="DT607">
        <f>IF($DM607=0,"",IF($L$12=0,"",IFERROR(IF(ISNUMBER(INDEX(PASTE_ALL,$DF607,$L$12)),INDEX(PASTE_ALL,$DF607,$L$12),TRIM(SUBSTITUTE(SUBSTITUTE(SUBSTITUTE(SUBSTITUTE(INDEX(PASTE_ALL,$DF607,$L$12)," "," "),CHAR(9)," "),CHAR(10)," "),CHAR(13)," "))),"")))</f>
        <v/>
      </c>
      <c r="DU607">
        <f>IF($DM607=0,"",IF($L$13=0,"",IFERROR(IF(ISNUMBER(INDEX(PASTE_ALL,$DF607,$L$13)),INDEX(PASTE_ALL,$DF607,$L$13),TRIM(SUBSTITUTE(SUBSTITUTE(SUBSTITUTE(SUBSTITUTE(INDEX(PASTE_ALL,$DF607,$L$13)," "," "),CHAR(9)," "),CHAR(10)," "),CHAR(13)," "))),"")))</f>
        <v/>
      </c>
      <c r="DV607">
        <f>IF($DM607=0,"",IF($L$14=0,"",IFERROR(IF(ISNUMBER(INDEX(PASTE_ALL,$DF607,$L$14)),INDEX(PASTE_ALL,$DF607,$L$14),TRIM(SUBSTITUTE(SUBSTITUTE(SUBSTITUTE(SUBSTITUTE(INDEX(PASTE_ALL,$DF607,$L$14)," "," "),CHAR(9)," "),CHAR(10)," "),CHAR(13)," "))),"")))</f>
        <v/>
      </c>
      <c r="DW607">
        <f>IF($DM607=0,"",IF($L$15=0,"",IFERROR(IF(ISNUMBER(INDEX(PASTE_ALL,$DF607,$L$15)),INDEX(PASTE_ALL,$DF607,$L$15),IF(SUMPRODUCT(--ISNUMBER(FIND({"A","B","C","D","E","F","G","H","I","J","K","L","M","N","O","P","Q","R","S","T","U","V","W","X","Y","Z","0","1","2","3","4","5","6","7","8","9"},UPPER(TRIM(SUBSTITUTE(SUBSTITUTE(SUBSTITUTE(SUBSTITUTE(INDEX(PASTE_ALL,$DF607,$L$15)," "," "),CHAR(9)," "),CHAR(10)," "),CHAR(13)," "))))))&gt;0,TRIM(SUBSTITUTE(SUBSTITUTE(SUBSTITUTE(SUBSTITUTE(INDEX(PASTE_ALL,$DF607,$L$15)," "," "),CHAR(9)," "),CHAR(10)," "),CHAR(13)," ")),"")),"")))</f>
        <v/>
      </c>
      <c r="DX607">
        <f>IF($DM607=0,"",IF($L$16=0,"",IFERROR(IF(ISNUMBER(INDEX(PASTE_ALL,$DF607,$L$16)),INDEX(PASTE_ALL,$DF607,$L$16),SUBSTITUTE(SUBSTITUTE(TRIM(SUBSTITUTE(SUBSTITUTE(SUBSTITUTE(SUBSTITUTE(INDEX(PASTE_ALL,$DF607,$L$16)," "," "),CHAR(9)," "),CHAR(10)," "),CHAR(13)," ")),",",""),"%","")),"")))</f>
        <v/>
      </c>
      <c r="DY607">
        <f>IF($DM607=0,"",IFERROR(IF(ISNUMBER($DX607),$DX607,IF($DX607="","",IF(TRIM($DX607)="",0,IF(AND(AND(SUBSTITUTE(SUBSTITUTE(SUBSTITUTE(SUBSTITUTE(SUBSTITUTE(SUBSTITUTE(SUBSTITUTE(SUBSTITUTE(SUBSTITUTE(SUBSTITUTE(SUBSTITUTE(SUBSTITUTE(SUBSTITUTE(SUBSTITUTE(UPPER(TRIM($DX607)),"0",""),"1",""),"2",""),"3",""),"4",""),"5",""),"6",""),"7",""),"8",""),"9",""),".",""),"+",""),"-",""),"E","")="",LEN(SUBSTITUTE(SUBSTITUTE(MID(UPPER(TRIM($DX607)),1+OR(LEFT(UPPER(TRIM($DX607)),1)="+",LEFT(UPPER(TRIM($DX607)),1)="-"),999),"E+","E"),"E-","E"))=LEN(SUBSTITUTE(SUBSTITUTE(SUBSTITUTE(SUBSTITUTE(MID(UPPER(TRIM($DX607)),1+OR(LEFT(UPPER(TRIM($DX607)),1)="+",LEFT(UPPER(TRIM($DX607)),1)="-"),999),"E+","E"),"E-","E"),"+",""),"-","")),LEN(UPPER(TRIM($DX607)))-LEN(SUBSTITUTE(UPPER(TRIM($DX607)),"E",""))&lt;2,LEN(UPPER(TRIM($DX607)))-LEN(SUBSTITUTE(UPPER(TRIM($DX607)),".",""))&lt;2,IFERROR(FIND(".",UPPER(TRIM($DX607))),0)&lt;IFERROR(FIND("E",UPPER(TRIM($DX607))),999)),ISNUMBER(VALUE(TRIM($DX607)))),VALUE(TRIM($DX607)),"")))),""))</f>
        <v/>
      </c>
      <c r="DZ607">
        <f>IF($DM607=0,"",IF($L$17=0,"",IFERROR(IF(ISNUMBER(INDEX(PASTE_ALL,$DF607,$L$17)),INDEX(PASTE_ALL,$DF607,$L$17),SUBSTITUTE(SUBSTITUTE(TRIM(SUBSTITUTE(SUBSTITUTE(SUBSTITUTE(SUBSTITUTE(INDEX(PASTE_ALL,$DF607,$L$17)," "," "),CHAR(9)," "),CHAR(10)," "),CHAR(13)," ")),",",""),"%","")),"")))</f>
        <v/>
      </c>
      <c r="EA607">
        <f>IF($DM607=0,"",IFERROR(IF(ISNUMBER($DZ607),$DZ607,IF($DZ607="","",IF(TRIM($DZ607)="",0,IF(AND(AND(SUBSTITUTE(SUBSTITUTE(SUBSTITUTE(SUBSTITUTE(SUBSTITUTE(SUBSTITUTE(SUBSTITUTE(SUBSTITUTE(SUBSTITUTE(SUBSTITUTE(SUBSTITUTE(SUBSTITUTE(SUBSTITUTE(SUBSTITUTE(UPPER(TRIM($DZ607)),"0",""),"1",""),"2",""),"3",""),"4",""),"5",""),"6",""),"7",""),"8",""),"9",""),".",""),"+",""),"-",""),"E","")="",LEN(SUBSTITUTE(SUBSTITUTE(MID(UPPER(TRIM($DZ607)),1+OR(LEFT(UPPER(TRIM($DZ607)),1)="+",LEFT(UPPER(TRIM($DZ607)),1)="-"),999),"E+","E"),"E-","E"))=LEN(SUBSTITUTE(SUBSTITUTE(SUBSTITUTE(SUBSTITUTE(MID(UPPER(TRIM($DZ607)),1+OR(LEFT(UPPER(TRIM($DZ607)),1)="+",LEFT(UPPER(TRIM($DZ607)),1)="-"),999),"E+","E"),"E-","E"),"+",""),"-","")),LEN(UPPER(TRIM($DZ607)))-LEN(SUBSTITUTE(UPPER(TRIM($DZ607)),"E",""))&lt;2,LEN(UPPER(TRIM($DZ607)))-LEN(SUBSTITUTE(UPPER(TRIM($DZ607)),".",""))&lt;2,IFERROR(FIND(".",UPPER(TRIM($DZ607))),0)&lt;IFERROR(FIND("E",UPPER(TRIM($DZ607))),999)),ISNUMBER(VALUE(TRIM($DZ607)))),VALUE(TRIM($DZ607)),"")))),""))</f>
        <v/>
      </c>
      <c r="EB607">
        <f>IF($DM607=0,"",IF($L$18=0,"",IFERROR(IF(UPPER(TRIM(SUBSTITUTE(SUBSTITUTE(SUBSTITUTE(SUBSTITUTE(INDEX(PASTE_ALL,$DF607,$L$18)," "," "),CHAR(9)," "),CHAR(10)," "),CHAR(13)," ")))="READY","Ready",IF(UPPER(TRIM(SUBSTITUTE(SUBSTITUTE(SUBSTITUTE(SUBSTITUTE(INDEX(PASTE_ALL,$DF607,$L$18)," "," "),CHAR(9)," "),CHAR(10)," "),CHAR(13)," ")))="PM","PM",IF(OR(UPPER(TRIM(SUBSTITUTE(SUBSTITUTE(SUBSTITUTE(SUBSTITUTE(INDEX(PASTE_ALL,$DF607,$L$18)," "," "),CHAR(9)," "),CHAR(10)," "),CHAR(13)," ")))="OT",UPPER(TRIM(SUBSTITUTE(SUBSTITUTE(SUBSTITUTE(SUBSTITUTE(INDEX(PASTE_ALL,$DF607,$L$18)," "," "),CHAR(9)," "),CHAR(10)," "),CHAR(13)," ")))="OVERTIME",UPPER(TRIM(SUBSTITUTE(SUBSTITUTE(SUBSTITUTE(SUBSTITUTE(INDEX(PASTE_ALL,$DF607,$L$18)," "," "),CHAR(9)," "),CHAR(10)," "),CHAR(13)," ")))="TRIAL"),"OT",TRIM(SUBSTITUTE(SUBSTITUTE(SUBSTITUTE(SUBSTITUTE(INDEX(PASTE_ALL,$DF607,$L$18)," "," "),CHAR(9)," "),CHAR(10)," "),CHAR(13)," "))))),"")))</f>
        <v/>
      </c>
      <c r="EC607">
        <f>IF($DM607=0,"",IF($L$19=0,"",IFERROR(IF(ISNUMBER(INDEX(PASTE_ALL,$DF607,$L$19)),INDEX(PASTE_ALL,$DF607,$L$19),TRIM(SUBSTITUTE(SUBSTITUTE(SUBSTITUTE(SUBSTITUTE(INDEX(PASTE_ALL,$DF607,$L$19)," "," "),CHAR(9)," "),CHAR(10)," "),CHAR(13)," "))),"")))</f>
        <v/>
      </c>
      <c r="ED607">
        <f>IF($DM607=0,"",MATCH(1,INDEX(EXACT($DH$5:DH607,$DH607)*$DM$5:DM607,0),0))</f>
        <v/>
      </c>
      <c r="EE607">
        <f>IF($DM607=0,0,IF($ED607=$DE607,1,0))</f>
        <v/>
      </c>
      <c r="EF607">
        <f>EF606+$EE607</f>
        <v/>
      </c>
      <c r="EG607">
        <f>IF($DM607=0,"",INDEX($EF$5:$EF$1003,$ED607))</f>
        <v/>
      </c>
      <c r="EH607">
        <f>IF($DM607=0,"",IF($DO607&lt;&gt;"","",IFERROR(LOOKUP(2,1/(($EG$4:EG606=$EG607)*($DO$4:DO606&lt;&gt;"")),$DO$4:DO606),"")))</f>
        <v/>
      </c>
      <c r="EI607">
        <f>IF($DM607=0,"",IF($DO607&lt;&gt;"",$DO607,$EH607))</f>
        <v/>
      </c>
      <c r="EJ607">
        <f>IF($DM607=0,"",IF($EI607="",0,IF(OR(ISNUMBER($EI607),AND(AND(SUBSTITUTE(SUBSTITUTE(SUBSTITUTE(SUBSTITUTE(SUBSTITUTE(SUBSTITUTE(SUBSTITUTE(SUBSTITUTE(SUBSTITUTE(SUBSTITUTE(SUBSTITUTE(SUBSTITUTE(SUBSTITUTE(SUBSTITUTE(UPPER($EI607),"0",""),"1",""),"2",""),"3",""),"4",""),"5",""),"6",""),"7",""),"8",""),"9",""),".",""),"+",""),"-",""),"E","")="",LEN(SUBSTITUTE(SUBSTITUTE(MID(UPPER($EI607),1+OR(LEFT(UPPER($EI607),1)="+",LEFT(UPPER($EI607),1)="-"),999),"E+","E"),"E-","E"))=LEN(SUBSTITUTE(SUBSTITUTE(SUBSTITUTE(SUBSTITUTE(MID(UPPER($EI607),1+OR(LEFT(UPPER($EI607),1)="+",LEFT(UPPER($EI607),1)="-"),999),"E+","E"),"E-","E"),"+",""),"-","")),LEN(UPPER($EI607))-LEN(SUBSTITUTE(UPPER($EI607),"E",""))&lt;2,LEN(UPPER($EI607))-LEN(SUBSTITUTE(UPPER($EI607),".",""))&lt;2,IFERROR(FIND(".",UPPER($EI607)),0)&lt;IFERROR(FIND("E",UPPER($EI607)),999)),ISNUMBER(VALUE($EI607)))),1,2)))</f>
        <v/>
      </c>
      <c r="EK607">
        <f>IF($DM607=0,"",IF($EJ607=1,IF(ISNUMBER($EI607),$EI607,VALUE($EI607)),IF($EJ607=2,$DE607,0)))</f>
        <v/>
      </c>
      <c r="EL607">
        <f>IF($DM607=0,"",COUNTIF($EG$5:$EG$1003,"&lt;"&amp;$EG607)+SUMPRODUCT(($EG$5:$EG$1003=$EG607)*(($EJ$5:$EJ$1003&lt;$EJ607)+($EJ$5:$EJ$1003=$EJ607)*(($EK$5:$EK$1003&lt;$EK607)+($EK$5:$EK$1003=$EK607)*($DE$5:$DE$1003&lt;$DE607))))+1)</f>
        <v/>
      </c>
      <c r="EM607">
        <f>IF($DM607=0,"",$EL607+$EG607-1)</f>
        <v/>
      </c>
      <c r="EN607">
        <f>IF($DM607=0,0,IFERROR(MATCH(1,INDEX(--(TRIM(SUBSTITUTE(SUBSTITUTE(SUBSTITUTE(SUBSTITUTE(LINES_NAME&amp;""," "," "),CHAR(9)," "),CHAR(10)," "),CHAR(13)," "))=$DH607),0),0),0))</f>
        <v/>
      </c>
      <c r="EO607">
        <f>IF($EN607=0,0,IF(OR(UPPER(TRIM(INDEX(LINES_SCHEDULED,$EN607)&amp;""))="YES",UPPER(TRIM(INDEX(LINES_SCHEDULED,$EN607)&amp;""))="Y",UPPER(TRIM(INDEX(LINES_SCHEDULED,$EN607)&amp;""))="X"),1,0))</f>
        <v/>
      </c>
      <c r="EP607">
        <f>IF($DM607=0,"",IF(COUNTIFS($EG$5:$EG$1003,$EG607,$EB$5:$EB$1003,"Ready")&gt;0,"READY",IF(COUNTIFS($EG$5:$EG$1003,$EG607,$EB$5:$EB$1003,"PM")&gt;0,"PM",IF(COUNTIFS($EG$5:$EG$1003,$EG607,$EB$5:$EB$1003,"OT")&gt;0,"OT",""))))</f>
        <v/>
      </c>
      <c r="EQ607">
        <f>IF($EN607=0,"",UPPER(TRIM(INDEX(LINES_STATUS,$EN607)&amp;"")))</f>
        <v/>
      </c>
      <c r="ER607">
        <f>IF($DM607=0,"",IF(OR($EQ607="READY",$EQ607="PM",$EQ607="OT"),$EQ607,$EP607))</f>
        <v/>
      </c>
      <c r="ES607">
        <f>IF($DM607=0,"",IF(AND($DV607&lt;&gt;"",UPPER($DV607)&lt;&gt;"N"),"allergen",IF(ISNUMBER(SEARCH("oil",$DQ607)),"oil",IF(OR(EXACT($DS607,"A662"),EXACT($DS607,"A624")),"bulk",""))))</f>
        <v/>
      </c>
      <c r="ET607">
        <f>IF($DM607=0,"",IF(OR($EA607="",$EA607=0),"",$EA607/100))</f>
        <v/>
      </c>
      <c r="EU607">
        <f>IF(OR($ET607="",$DY607=""),"",INT($DY607*(1-$ET607)+0.5))</f>
        <v/>
      </c>
      <c r="EW607" t="n">
        <v>603</v>
      </c>
      <c r="EX607">
        <f>IFERROR(MATCH($EW607,$EM$5:$EM$1003,0),0)</f>
        <v/>
      </c>
      <c r="EY607">
        <f>IF($EW607&gt;$B$12,"",IF($EX607&gt;0,"row","spacer"))</f>
        <v/>
      </c>
      <c r="EZ607">
        <f>IF(AND($EY607="row",$EY606&lt;&gt;"row"),1,0)</f>
        <v/>
      </c>
      <c r="FA607">
        <f>IF(AND($EY607="row",$EY608&lt;&gt;"row"),1,0)</f>
        <v/>
      </c>
      <c r="FB607">
        <f>IF($EZ607=1,IFERROR(IF(ISNUMBER(INDEX(PASTE_ALL,INDEX($DF$5:$DF$1003,$EX607),$B$37)),INDEX(PASTE_ALL,INDEX($DF$5:$DF$1003,$EX607),$B$37),INDEX($DH$5:$DH$1003,$EX607)),INDEX($DH$5:$DH$1003,$EX607)),"")</f>
        <v/>
      </c>
      <c r="FC607">
        <f>IF($EY607="row",INDEX($ER$5:$ER$1003,$EX607),"")</f>
        <v/>
      </c>
      <c r="FD607">
        <f>IF($EY607="row",INDEX($DN$5:$DN$1003,$EX607),"")</f>
        <v/>
      </c>
      <c r="FE607">
        <f>IF($EY607="row",INDEX($DO$5:$DO$1003,$EX607),"")</f>
        <v/>
      </c>
      <c r="FF607">
        <f>IF($EY607="row",INDEX($DP$5:$DP$1003,$EX607),"")</f>
        <v/>
      </c>
      <c r="FG607">
        <f>IF($EY607="row",INDEX($DQ$5:$DQ$1003,$EX607),"")</f>
        <v/>
      </c>
      <c r="FH607">
        <f>IF($EY607="row",INDEX($DR$5:$DR$1003,$EX607),"")</f>
        <v/>
      </c>
      <c r="FI607">
        <f>IF($EY607="row",INDEX($DS$5:$DS$1003,$EX607),"")</f>
        <v/>
      </c>
      <c r="FJ607">
        <f>IF($EY607="row",INDEX($DT$5:$DT$1003,$EX607),"")</f>
        <v/>
      </c>
      <c r="FK607">
        <f>IF($EY607="row",INDEX($DU$5:$DU$1003,$EX607),"")</f>
        <v/>
      </c>
      <c r="FL607">
        <f>IF($EY607="row",INDEX($DV$5:$DV$1003,$EX607),"")</f>
        <v/>
      </c>
      <c r="FM607">
        <f>IF($EY607="row",INDEX($DW$5:$DW$1003,$EX607),"")</f>
        <v/>
      </c>
      <c r="FN607">
        <f>IF($EY607="row",INDEX($DY$5:$DY$1003,$EX607),"")</f>
        <v/>
      </c>
      <c r="FO607">
        <f>IF($EY607="row",INDEX($EA$5:$EA$1003,$EX607),"")</f>
        <v/>
      </c>
      <c r="FP607">
        <f>IF($EY607="row",INDEX($EC$5:$EC$1003,$EX607),"")</f>
        <v/>
      </c>
      <c r="FQ607">
        <f>IF($EY607="row",INDEX($ET$5:$ET$1003,$EX607),"")</f>
        <v/>
      </c>
      <c r="FR607">
        <f>IF($EY607="row",INDEX($EU$5:$EU$1003,$EX607),"")</f>
        <v/>
      </c>
      <c r="FS607">
        <f>IF(AND($EY607="row",$EY606="row"),IF(OR(INDEX($DT$5:$DT$1003,$EX606)="",INDEX($DT$5:$DT$1003,$EX607)=""),"",IF(NOT(EXACT(INDEX($DT$5:$DT$1003,$EX606),INDEX($DT$5:$DT$1003,$EX607))),"S4",IF(NOT(EXACT(INDEX($DS$5:$DS$1003,$EX606),INDEX($DS$5:$DS$1003,$EX607))),"S3",IF(NOT(EXACT(INDEX($DR$5:$DR$1003,$EX606),INDEX($DR$5:$DR$1003,$EX607))),"S1 Count Change","S1")))),"")</f>
        <v/>
      </c>
      <c r="FT607">
        <f>IF($EY607="row",INDEX($ES$5:$ES$1003,$EX607),"")</f>
        <v/>
      </c>
      <c r="FU607">
        <f>IF($EY607="row",INDEX($EO$5:$EO$1003,$EX607),0)</f>
        <v/>
      </c>
      <c r="FV607">
        <f>IF($FS607="S1 Count Change",1,0)</f>
        <v/>
      </c>
    </row>
    <row r="608">
      <c r="DA608" t="n">
        <v>604</v>
      </c>
      <c r="DB608">
        <f>IF($B$37=0,"",IFERROR(TRIM(SUBSTITUTE(SUBSTITUTE(SUBSTITUTE(SUBSTITUTE(INDEX(PASTE_ALL,604,$B$37)," "," "),CHAR(9)," "),CHAR(10)," "),CHAR(13)," ")),""))</f>
        <v/>
      </c>
      <c r="DC608">
        <f>IF(AND(604&gt;HEADER_ROW,UPPER(DB608)="LEGEND"),1,0)</f>
        <v/>
      </c>
      <c r="DE608" t="n">
        <v>604</v>
      </c>
      <c r="DF608">
        <f>HEADER_ROW+$DE608</f>
        <v/>
      </c>
      <c r="DG608">
        <f>IF(AND($DF608&lt;=1000,$DF608&lt;$B$8),1,0)</f>
        <v/>
      </c>
      <c r="DH608">
        <f>IF($DG608=1,IFERROR(INDEX($DB$5:$DB$1004,$DF608),""),"")</f>
        <v/>
      </c>
      <c r="DI608">
        <f>IF(AND($DG608=1,$DH608&lt;&gt;""),IFERROR(SUBSTITUTE(SUBSTITUTE(TRIM(SUBSTITUTE(SUBSTITUTE(SUBSTITUTE(SUBSTITUTE(IFERROR(INDEX(PASTE_ALL,$DF608,1)&amp;"","")&amp;"␟"&amp;IFERROR(INDEX(PASTE_ALL,$DF608,2)&amp;"","")&amp;"␟"&amp;IFERROR(INDEX(PASTE_ALL,$DF608,3)&amp;"","")&amp;"␟"&amp;IFERROR(INDEX(PASTE_ALL,$DF608,4)&amp;"","")&amp;"␟"&amp;IFERROR(INDEX(PASTE_ALL,$DF608,5)&amp;"","")&amp;"␟"&amp;IFERROR(INDEX(PASTE_ALL,$DF608,6)&amp;"","")&amp;"␟"&amp;IFERROR(INDEX(PASTE_ALL,$DF608,7)&amp;"","")&amp;"␟"&amp;IFERROR(INDEX(PASTE_ALL,$DF608,8)&amp;"","")&amp;"␟"&amp;IFERROR(INDEX(PASTE_ALL,$DF608,9)&amp;"","")&amp;"␟"&amp;IFERROR(INDEX(PASTE_ALL,$DF608,10)&amp;"","")&amp;"␟"&amp;IFERROR(INDEX(PASTE_ALL,$DF608,11)&amp;"","")&amp;"␟"&amp;IFERROR(INDEX(PASTE_ALL,$DF608,12)&amp;"","")&amp;"␟"&amp;IFERROR(INDEX(PASTE_ALL,$DF608,13)&amp;"","")&amp;"␟"&amp;IFERROR(INDEX(PASTE_ALL,$DF608,14)&amp;"","")&amp;"␟"&amp;IFERROR(INDEX(PASTE_ALL,$DF608,15)&amp;"","")&amp;"␟"&amp;IFERROR(INDEX(PASTE_ALL,$DF608,16)&amp;"","")&amp;"␟"&amp;IFERROR(INDEX(PASTE_ALL,$DF608,17)&amp;"","")&amp;"␟"&amp;IFERROR(INDEX(PASTE_ALL,$DF608,18)&amp;"","")&amp;"␟"&amp;IFERROR(INDEX(PASTE_ALL,$DF608,19)&amp;"","")&amp;"␟"&amp;IFERROR(INDEX(PASTE_ALL,$DF608,20)&amp;"","")&amp;"␟"&amp;IFERROR(INDEX(PASTE_ALL,$DF608,21)&amp;"","")&amp;"␟"&amp;IFERROR(INDEX(PASTE_ALL,$DF608,22)&amp;"","")&amp;"␟"&amp;IFERROR(INDEX(PASTE_ALL,$DF608,23)&amp;"","")&amp;"␟"&amp;IFERROR(INDEX(PASTE_ALL,$DF608,24)&amp;"","")&amp;"␟"&amp;IFERROR(INDEX(PASTE_ALL,$DF608,25)&amp;"","")&amp;"␟"&amp;IFERROR(INDEX(PASTE_ALL,$DF608,26)&amp;"","")&amp;"␟"&amp;IFERROR(INDEX(PASTE_ALL,$DF608,27)&amp;"","")&amp;"␟"&amp;IFERROR(INDEX(PASTE_ALL,$DF608,28)&amp;"","")&amp;"␟"&amp;IFERROR(INDEX(PASTE_ALL,$DF608,29)&amp;"","")&amp;"␟"&amp;IFERROR(INDEX(PASTE_ALL,$DF608,30)&amp;"","")&amp;"␟"&amp;IFERROR(INDEX(PASTE_ALL,$DF608,31)&amp;"","")&amp;"␟"&amp;IFERROR(INDEX(PASTE_ALL,$DF608,32)&amp;"","")&amp;"␟"&amp;IFERROR(INDEX(PASTE_ALL,$DF608,33)&amp;"","")&amp;"␟"&amp;IFERROR(INDEX(PASTE_ALL,$DF608,34)&amp;"","")&amp;"␟"&amp;IFERROR(INDEX(PASTE_ALL,$DF608,35)&amp;"","")&amp;"␟"&amp;IFERROR(INDEX(PASTE_ALL,$DF608,36)&amp;"","")&amp;"␟"&amp;IFERROR(INDEX(PASTE_ALL,$DF608,37)&amp;"","")&amp;"␟"&amp;IFERROR(INDEX(PASTE_ALL,$DF608,38)&amp;"","")&amp;"␟"&amp;IFERROR(INDEX(PASTE_ALL,$DF608,39)&amp;"","")&amp;"␟"&amp;IFERROR(INDEX(PASTE_ALL,$DF608,40)&amp;"","")&amp;"␟"&amp;IFERROR(INDEX(PASTE_ALL,$DF608,41)&amp;"","")&amp;"␟"&amp;IFERROR(INDEX(PASTE_ALL,$DF608,42)&amp;"","")&amp;"␟"&amp;IFERROR(INDEX(PASTE_ALL,$DF608,43)&amp;"","")&amp;"␟"&amp;IFERROR(INDEX(PASTE_ALL,$DF608,44)&amp;"","")&amp;"␟"&amp;IFERROR(INDEX(PASTE_ALL,$DF608,45)&amp;"","")&amp;"␟"&amp;IFERROR(INDEX(PASTE_ALL,$DF608,46)&amp;"","")&amp;"␟"&amp;IFERROR(INDEX(PASTE_ALL,$DF608,47)&amp;"","")&amp;"␟"&amp;IFERROR(INDEX(PASTE_ALL,$DF608,48)&amp;"","")&amp;"␟"&amp;IFERROR(INDEX(PASTE_ALL,$DF608,49)&amp;"","")&amp;"␟"&amp;IFERROR(INDEX(PASTE_ALL,$DF608,50)&amp;"","")&amp;"␟"&amp;IFERROR(INDEX(PASTE_ALL,$DF608,51)&amp;"","")&amp;"␟"&amp;IFERROR(INDEX(PASTE_ALL,$DF608,52)&amp;"","")&amp;"␟"&amp;IFERROR(INDEX(PASTE_ALL,$DF608,53)&amp;"","")&amp;"␟"&amp;IFERROR(INDEX(PASTE_ALL,$DF608,54)&amp;"","")&amp;"␟"&amp;IFERROR(INDEX(PASTE_ALL,$DF608,55)&amp;"","")&amp;"␟"&amp;IFERROR(INDEX(PASTE_ALL,$DF608,56)&amp;"","")&amp;"␟"&amp;IFERROR(INDEX(PASTE_ALL,$DF608,57)&amp;"","")&amp;"␟"&amp;IFERROR(INDEX(PASTE_ALL,$DF608,58)&amp;"","")&amp;"␟"&amp;IFERROR(INDEX(PASTE_ALL,$DF608,59)&amp;"","")&amp;"␟"&amp;IFERROR(INDEX(PASTE_ALL,$DF608,60)&amp;"","")," "," "),CHAR(9)," "),CHAR(10)," "),CHAR(13)," "))," ␟","␟"),"␟ ","␟"),"#"&amp;$DE608),"")</f>
        <v/>
      </c>
      <c r="DJ608">
        <f>IF($DI608="",0,IF(SUMPRODUCT(--EXACT($DI$4:DI607,$DI608))&gt;0,1,0))</f>
        <v/>
      </c>
      <c r="DK608">
        <f>IF(AND($DI608&lt;&gt;"",$DJ608=0),1,0)</f>
        <v/>
      </c>
      <c r="DL608">
        <f>DL607+$DK608</f>
        <v/>
      </c>
      <c r="DM608">
        <f>IF(AND($DK608=1,$DL608&lt;=600),1,0)</f>
        <v/>
      </c>
      <c r="DN608">
        <f>IF($DM608=0,"",IF($L$6=0,"",IFERROR(IF(ISNUMBER(INDEX(PASTE_ALL,$DF608,$L$6)),INDEX(PASTE_ALL,$DF608,$L$6),TRIM(SUBSTITUTE(SUBSTITUTE(SUBSTITUTE(SUBSTITUTE(INDEX(PASTE_ALL,$DF608,$L$6)," "," "),CHAR(9)," "),CHAR(10)," "),CHAR(13)," "))),"")))</f>
        <v/>
      </c>
      <c r="DO608">
        <f>IF($DM608=0,"",IF($L$7=0,"",IFERROR(IF(ISNUMBER(INDEX(PASTE_ALL,$DF608,$L$7)),INDEX(PASTE_ALL,$DF608,$L$7),TRIM(SUBSTITUTE(SUBSTITUTE(SUBSTITUTE(SUBSTITUTE(INDEX(PASTE_ALL,$DF608,$L$7)," "," "),CHAR(9)," "),CHAR(10)," "),CHAR(13)," "))),"")))</f>
        <v/>
      </c>
      <c r="DP608">
        <f>IF($DM608=0,"",IF($L$8=0,"",IFERROR(IF(ISNUMBER(INDEX(PASTE_ALL,$DF608,$L$8)),INDEX(PASTE_ALL,$DF608,$L$8),TRIM(SUBSTITUTE(SUBSTITUTE(SUBSTITUTE(SUBSTITUTE(INDEX(PASTE_ALL,$DF608,$L$8)," "," "),CHAR(9)," "),CHAR(10)," "),CHAR(13)," "))),"")))</f>
        <v/>
      </c>
      <c r="DQ608">
        <f>IF($DM608=0,"",IF($L$9=0,"",IFERROR(IF(ISNUMBER(INDEX(PASTE_ALL,$DF608,$L$9)),INDEX(PASTE_ALL,$DF608,$L$9),TRIM(SUBSTITUTE(SUBSTITUTE(SUBSTITUTE(SUBSTITUTE(INDEX(PASTE_ALL,$DF608,$L$9)," "," "),CHAR(9)," "),CHAR(10)," "),CHAR(13)," "))),"")))</f>
        <v/>
      </c>
      <c r="DR608">
        <f>IF($DM608=0,"",IF($L$10=0,"",IFERROR(IF(ISNUMBER(INDEX(PASTE_ALL,$DF608,$L$10)),INDEX(PASTE_ALL,$DF608,$L$10),TRIM(SUBSTITUTE(SUBSTITUTE(SUBSTITUTE(SUBSTITUTE(INDEX(PASTE_ALL,$DF608,$L$10)," "," "),CHAR(9)," "),CHAR(10)," "),CHAR(13)," "))),"")))</f>
        <v/>
      </c>
      <c r="DS608">
        <f>IF($DM608=0,"",IF($L$11=0,"",IFERROR(IF(ISNUMBER(INDEX(PASTE_ALL,$DF608,$L$11)),INDEX(PASTE_ALL,$DF608,$L$11),TRIM(SUBSTITUTE(SUBSTITUTE(SUBSTITUTE(SUBSTITUTE(INDEX(PASTE_ALL,$DF608,$L$11)," "," "),CHAR(9)," "),CHAR(10)," "),CHAR(13)," "))),"")))</f>
        <v/>
      </c>
      <c r="DT608">
        <f>IF($DM608=0,"",IF($L$12=0,"",IFERROR(IF(ISNUMBER(INDEX(PASTE_ALL,$DF608,$L$12)),INDEX(PASTE_ALL,$DF608,$L$12),TRIM(SUBSTITUTE(SUBSTITUTE(SUBSTITUTE(SUBSTITUTE(INDEX(PASTE_ALL,$DF608,$L$12)," "," "),CHAR(9)," "),CHAR(10)," "),CHAR(13)," "))),"")))</f>
        <v/>
      </c>
      <c r="DU608">
        <f>IF($DM608=0,"",IF($L$13=0,"",IFERROR(IF(ISNUMBER(INDEX(PASTE_ALL,$DF608,$L$13)),INDEX(PASTE_ALL,$DF608,$L$13),TRIM(SUBSTITUTE(SUBSTITUTE(SUBSTITUTE(SUBSTITUTE(INDEX(PASTE_ALL,$DF608,$L$13)," "," "),CHAR(9)," "),CHAR(10)," "),CHAR(13)," "))),"")))</f>
        <v/>
      </c>
      <c r="DV608">
        <f>IF($DM608=0,"",IF($L$14=0,"",IFERROR(IF(ISNUMBER(INDEX(PASTE_ALL,$DF608,$L$14)),INDEX(PASTE_ALL,$DF608,$L$14),TRIM(SUBSTITUTE(SUBSTITUTE(SUBSTITUTE(SUBSTITUTE(INDEX(PASTE_ALL,$DF608,$L$14)," "," "),CHAR(9)," "),CHAR(10)," "),CHAR(13)," "))),"")))</f>
        <v/>
      </c>
      <c r="DW608">
        <f>IF($DM608=0,"",IF($L$15=0,"",IFERROR(IF(ISNUMBER(INDEX(PASTE_ALL,$DF608,$L$15)),INDEX(PASTE_ALL,$DF608,$L$15),IF(SUMPRODUCT(--ISNUMBER(FIND({"A","B","C","D","E","F","G","H","I","J","K","L","M","N","O","P","Q","R","S","T","U","V","W","X","Y","Z","0","1","2","3","4","5","6","7","8","9"},UPPER(TRIM(SUBSTITUTE(SUBSTITUTE(SUBSTITUTE(SUBSTITUTE(INDEX(PASTE_ALL,$DF608,$L$15)," "," "),CHAR(9)," "),CHAR(10)," "),CHAR(13)," "))))))&gt;0,TRIM(SUBSTITUTE(SUBSTITUTE(SUBSTITUTE(SUBSTITUTE(INDEX(PASTE_ALL,$DF608,$L$15)," "," "),CHAR(9)," "),CHAR(10)," "),CHAR(13)," ")),"")),"")))</f>
        <v/>
      </c>
      <c r="DX608">
        <f>IF($DM608=0,"",IF($L$16=0,"",IFERROR(IF(ISNUMBER(INDEX(PASTE_ALL,$DF608,$L$16)),INDEX(PASTE_ALL,$DF608,$L$16),SUBSTITUTE(SUBSTITUTE(TRIM(SUBSTITUTE(SUBSTITUTE(SUBSTITUTE(SUBSTITUTE(INDEX(PASTE_ALL,$DF608,$L$16)," "," "),CHAR(9)," "),CHAR(10)," "),CHAR(13)," ")),",",""),"%","")),"")))</f>
        <v/>
      </c>
      <c r="DY608">
        <f>IF($DM608=0,"",IFERROR(IF(ISNUMBER($DX608),$DX608,IF($DX608="","",IF(TRIM($DX608)="",0,IF(AND(AND(SUBSTITUTE(SUBSTITUTE(SUBSTITUTE(SUBSTITUTE(SUBSTITUTE(SUBSTITUTE(SUBSTITUTE(SUBSTITUTE(SUBSTITUTE(SUBSTITUTE(SUBSTITUTE(SUBSTITUTE(SUBSTITUTE(SUBSTITUTE(UPPER(TRIM($DX608)),"0",""),"1",""),"2",""),"3",""),"4",""),"5",""),"6",""),"7",""),"8",""),"9",""),".",""),"+",""),"-",""),"E","")="",LEN(SUBSTITUTE(SUBSTITUTE(MID(UPPER(TRIM($DX608)),1+OR(LEFT(UPPER(TRIM($DX608)),1)="+",LEFT(UPPER(TRIM($DX608)),1)="-"),999),"E+","E"),"E-","E"))=LEN(SUBSTITUTE(SUBSTITUTE(SUBSTITUTE(SUBSTITUTE(MID(UPPER(TRIM($DX608)),1+OR(LEFT(UPPER(TRIM($DX608)),1)="+",LEFT(UPPER(TRIM($DX608)),1)="-"),999),"E+","E"),"E-","E"),"+",""),"-","")),LEN(UPPER(TRIM($DX608)))-LEN(SUBSTITUTE(UPPER(TRIM($DX608)),"E",""))&lt;2,LEN(UPPER(TRIM($DX608)))-LEN(SUBSTITUTE(UPPER(TRIM($DX608)),".",""))&lt;2,IFERROR(FIND(".",UPPER(TRIM($DX608))),0)&lt;IFERROR(FIND("E",UPPER(TRIM($DX608))),999)),ISNUMBER(VALUE(TRIM($DX608)))),VALUE(TRIM($DX608)),"")))),""))</f>
        <v/>
      </c>
      <c r="DZ608">
        <f>IF($DM608=0,"",IF($L$17=0,"",IFERROR(IF(ISNUMBER(INDEX(PASTE_ALL,$DF608,$L$17)),INDEX(PASTE_ALL,$DF608,$L$17),SUBSTITUTE(SUBSTITUTE(TRIM(SUBSTITUTE(SUBSTITUTE(SUBSTITUTE(SUBSTITUTE(INDEX(PASTE_ALL,$DF608,$L$17)," "," "),CHAR(9)," "),CHAR(10)," "),CHAR(13)," ")),",",""),"%","")),"")))</f>
        <v/>
      </c>
      <c r="EA608">
        <f>IF($DM608=0,"",IFERROR(IF(ISNUMBER($DZ608),$DZ608,IF($DZ608="","",IF(TRIM($DZ608)="",0,IF(AND(AND(SUBSTITUTE(SUBSTITUTE(SUBSTITUTE(SUBSTITUTE(SUBSTITUTE(SUBSTITUTE(SUBSTITUTE(SUBSTITUTE(SUBSTITUTE(SUBSTITUTE(SUBSTITUTE(SUBSTITUTE(SUBSTITUTE(SUBSTITUTE(UPPER(TRIM($DZ608)),"0",""),"1",""),"2",""),"3",""),"4",""),"5",""),"6",""),"7",""),"8",""),"9",""),".",""),"+",""),"-",""),"E","")="",LEN(SUBSTITUTE(SUBSTITUTE(MID(UPPER(TRIM($DZ608)),1+OR(LEFT(UPPER(TRIM($DZ608)),1)="+",LEFT(UPPER(TRIM($DZ608)),1)="-"),999),"E+","E"),"E-","E"))=LEN(SUBSTITUTE(SUBSTITUTE(SUBSTITUTE(SUBSTITUTE(MID(UPPER(TRIM($DZ608)),1+OR(LEFT(UPPER(TRIM($DZ608)),1)="+",LEFT(UPPER(TRIM($DZ608)),1)="-"),999),"E+","E"),"E-","E"),"+",""),"-","")),LEN(UPPER(TRIM($DZ608)))-LEN(SUBSTITUTE(UPPER(TRIM($DZ608)),"E",""))&lt;2,LEN(UPPER(TRIM($DZ608)))-LEN(SUBSTITUTE(UPPER(TRIM($DZ608)),".",""))&lt;2,IFERROR(FIND(".",UPPER(TRIM($DZ608))),0)&lt;IFERROR(FIND("E",UPPER(TRIM($DZ608))),999)),ISNUMBER(VALUE(TRIM($DZ608)))),VALUE(TRIM($DZ608)),"")))),""))</f>
        <v/>
      </c>
      <c r="EB608">
        <f>IF($DM608=0,"",IF($L$18=0,"",IFERROR(IF(UPPER(TRIM(SUBSTITUTE(SUBSTITUTE(SUBSTITUTE(SUBSTITUTE(INDEX(PASTE_ALL,$DF608,$L$18)," "," "),CHAR(9)," "),CHAR(10)," "),CHAR(13)," ")))="READY","Ready",IF(UPPER(TRIM(SUBSTITUTE(SUBSTITUTE(SUBSTITUTE(SUBSTITUTE(INDEX(PASTE_ALL,$DF608,$L$18)," "," "),CHAR(9)," "),CHAR(10)," "),CHAR(13)," ")))="PM","PM",IF(OR(UPPER(TRIM(SUBSTITUTE(SUBSTITUTE(SUBSTITUTE(SUBSTITUTE(INDEX(PASTE_ALL,$DF608,$L$18)," "," "),CHAR(9)," "),CHAR(10)," "),CHAR(13)," ")))="OT",UPPER(TRIM(SUBSTITUTE(SUBSTITUTE(SUBSTITUTE(SUBSTITUTE(INDEX(PASTE_ALL,$DF608,$L$18)," "," "),CHAR(9)," "),CHAR(10)," "),CHAR(13)," ")))="OVERTIME",UPPER(TRIM(SUBSTITUTE(SUBSTITUTE(SUBSTITUTE(SUBSTITUTE(INDEX(PASTE_ALL,$DF608,$L$18)," "," "),CHAR(9)," "),CHAR(10)," "),CHAR(13)," ")))="TRIAL"),"OT",TRIM(SUBSTITUTE(SUBSTITUTE(SUBSTITUTE(SUBSTITUTE(INDEX(PASTE_ALL,$DF608,$L$18)," "," "),CHAR(9)," "),CHAR(10)," "),CHAR(13)," "))))),"")))</f>
        <v/>
      </c>
      <c r="EC608">
        <f>IF($DM608=0,"",IF($L$19=0,"",IFERROR(IF(ISNUMBER(INDEX(PASTE_ALL,$DF608,$L$19)),INDEX(PASTE_ALL,$DF608,$L$19),TRIM(SUBSTITUTE(SUBSTITUTE(SUBSTITUTE(SUBSTITUTE(INDEX(PASTE_ALL,$DF608,$L$19)," "," "),CHAR(9)," "),CHAR(10)," "),CHAR(13)," "))),"")))</f>
        <v/>
      </c>
      <c r="ED608">
        <f>IF($DM608=0,"",MATCH(1,INDEX(EXACT($DH$5:DH608,$DH608)*$DM$5:DM608,0),0))</f>
        <v/>
      </c>
      <c r="EE608">
        <f>IF($DM608=0,0,IF($ED608=$DE608,1,0))</f>
        <v/>
      </c>
      <c r="EF608">
        <f>EF607+$EE608</f>
        <v/>
      </c>
      <c r="EG608">
        <f>IF($DM608=0,"",INDEX($EF$5:$EF$1003,$ED608))</f>
        <v/>
      </c>
      <c r="EH608">
        <f>IF($DM608=0,"",IF($DO608&lt;&gt;"","",IFERROR(LOOKUP(2,1/(($EG$4:EG607=$EG608)*($DO$4:DO607&lt;&gt;"")),$DO$4:DO607),"")))</f>
        <v/>
      </c>
      <c r="EI608">
        <f>IF($DM608=0,"",IF($DO608&lt;&gt;"",$DO608,$EH608))</f>
        <v/>
      </c>
      <c r="EJ608">
        <f>IF($DM608=0,"",IF($EI608="",0,IF(OR(ISNUMBER($EI608),AND(AND(SUBSTITUTE(SUBSTITUTE(SUBSTITUTE(SUBSTITUTE(SUBSTITUTE(SUBSTITUTE(SUBSTITUTE(SUBSTITUTE(SUBSTITUTE(SUBSTITUTE(SUBSTITUTE(SUBSTITUTE(SUBSTITUTE(SUBSTITUTE(UPPER($EI608),"0",""),"1",""),"2",""),"3",""),"4",""),"5",""),"6",""),"7",""),"8",""),"9",""),".",""),"+",""),"-",""),"E","")="",LEN(SUBSTITUTE(SUBSTITUTE(MID(UPPER($EI608),1+OR(LEFT(UPPER($EI608),1)="+",LEFT(UPPER($EI608),1)="-"),999),"E+","E"),"E-","E"))=LEN(SUBSTITUTE(SUBSTITUTE(SUBSTITUTE(SUBSTITUTE(MID(UPPER($EI608),1+OR(LEFT(UPPER($EI608),1)="+",LEFT(UPPER($EI608),1)="-"),999),"E+","E"),"E-","E"),"+",""),"-","")),LEN(UPPER($EI608))-LEN(SUBSTITUTE(UPPER($EI608),"E",""))&lt;2,LEN(UPPER($EI608))-LEN(SUBSTITUTE(UPPER($EI608),".",""))&lt;2,IFERROR(FIND(".",UPPER($EI608)),0)&lt;IFERROR(FIND("E",UPPER($EI608)),999)),ISNUMBER(VALUE($EI608)))),1,2)))</f>
        <v/>
      </c>
      <c r="EK608">
        <f>IF($DM608=0,"",IF($EJ608=1,IF(ISNUMBER($EI608),$EI608,VALUE($EI608)),IF($EJ608=2,$DE608,0)))</f>
        <v/>
      </c>
      <c r="EL608">
        <f>IF($DM608=0,"",COUNTIF($EG$5:$EG$1003,"&lt;"&amp;$EG608)+SUMPRODUCT(($EG$5:$EG$1003=$EG608)*(($EJ$5:$EJ$1003&lt;$EJ608)+($EJ$5:$EJ$1003=$EJ608)*(($EK$5:$EK$1003&lt;$EK608)+($EK$5:$EK$1003=$EK608)*($DE$5:$DE$1003&lt;$DE608))))+1)</f>
        <v/>
      </c>
      <c r="EM608">
        <f>IF($DM608=0,"",$EL608+$EG608-1)</f>
        <v/>
      </c>
      <c r="EN608">
        <f>IF($DM608=0,0,IFERROR(MATCH(1,INDEX(--(TRIM(SUBSTITUTE(SUBSTITUTE(SUBSTITUTE(SUBSTITUTE(LINES_NAME&amp;""," "," "),CHAR(9)," "),CHAR(10)," "),CHAR(13)," "))=$DH608),0),0),0))</f>
        <v/>
      </c>
      <c r="EO608">
        <f>IF($EN608=0,0,IF(OR(UPPER(TRIM(INDEX(LINES_SCHEDULED,$EN608)&amp;""))="YES",UPPER(TRIM(INDEX(LINES_SCHEDULED,$EN608)&amp;""))="Y",UPPER(TRIM(INDEX(LINES_SCHEDULED,$EN608)&amp;""))="X"),1,0))</f>
        <v/>
      </c>
      <c r="EP608">
        <f>IF($DM608=0,"",IF(COUNTIFS($EG$5:$EG$1003,$EG608,$EB$5:$EB$1003,"Ready")&gt;0,"READY",IF(COUNTIFS($EG$5:$EG$1003,$EG608,$EB$5:$EB$1003,"PM")&gt;0,"PM",IF(COUNTIFS($EG$5:$EG$1003,$EG608,$EB$5:$EB$1003,"OT")&gt;0,"OT",""))))</f>
        <v/>
      </c>
      <c r="EQ608">
        <f>IF($EN608=0,"",UPPER(TRIM(INDEX(LINES_STATUS,$EN608)&amp;"")))</f>
        <v/>
      </c>
      <c r="ER608">
        <f>IF($DM608=0,"",IF(OR($EQ608="READY",$EQ608="PM",$EQ608="OT"),$EQ608,$EP608))</f>
        <v/>
      </c>
      <c r="ES608">
        <f>IF($DM608=0,"",IF(AND($DV608&lt;&gt;"",UPPER($DV608)&lt;&gt;"N"),"allergen",IF(ISNUMBER(SEARCH("oil",$DQ608)),"oil",IF(OR(EXACT($DS608,"A662"),EXACT($DS608,"A624")),"bulk",""))))</f>
        <v/>
      </c>
      <c r="ET608">
        <f>IF($DM608=0,"",IF(OR($EA608="",$EA608=0),"",$EA608/100))</f>
        <v/>
      </c>
      <c r="EU608">
        <f>IF(OR($ET608="",$DY608=""),"",INT($DY608*(1-$ET608)+0.5))</f>
        <v/>
      </c>
      <c r="EW608" t="n">
        <v>604</v>
      </c>
      <c r="EX608">
        <f>IFERROR(MATCH($EW608,$EM$5:$EM$1003,0),0)</f>
        <v/>
      </c>
      <c r="EY608">
        <f>IF($EW608&gt;$B$12,"",IF($EX608&gt;0,"row","spacer"))</f>
        <v/>
      </c>
      <c r="EZ608">
        <f>IF(AND($EY608="row",$EY607&lt;&gt;"row"),1,0)</f>
        <v/>
      </c>
      <c r="FA608">
        <f>IF(AND($EY608="row",$EY609&lt;&gt;"row"),1,0)</f>
        <v/>
      </c>
      <c r="FB608">
        <f>IF($EZ608=1,IFERROR(IF(ISNUMBER(INDEX(PASTE_ALL,INDEX($DF$5:$DF$1003,$EX608),$B$37)),INDEX(PASTE_ALL,INDEX($DF$5:$DF$1003,$EX608),$B$37),INDEX($DH$5:$DH$1003,$EX608)),INDEX($DH$5:$DH$1003,$EX608)),"")</f>
        <v/>
      </c>
      <c r="FC608">
        <f>IF($EY608="row",INDEX($ER$5:$ER$1003,$EX608),"")</f>
        <v/>
      </c>
      <c r="FD608">
        <f>IF($EY608="row",INDEX($DN$5:$DN$1003,$EX608),"")</f>
        <v/>
      </c>
      <c r="FE608">
        <f>IF($EY608="row",INDEX($DO$5:$DO$1003,$EX608),"")</f>
        <v/>
      </c>
      <c r="FF608">
        <f>IF($EY608="row",INDEX($DP$5:$DP$1003,$EX608),"")</f>
        <v/>
      </c>
      <c r="FG608">
        <f>IF($EY608="row",INDEX($DQ$5:$DQ$1003,$EX608),"")</f>
        <v/>
      </c>
      <c r="FH608">
        <f>IF($EY608="row",INDEX($DR$5:$DR$1003,$EX608),"")</f>
        <v/>
      </c>
      <c r="FI608">
        <f>IF($EY608="row",INDEX($DS$5:$DS$1003,$EX608),"")</f>
        <v/>
      </c>
      <c r="FJ608">
        <f>IF($EY608="row",INDEX($DT$5:$DT$1003,$EX608),"")</f>
        <v/>
      </c>
      <c r="FK608">
        <f>IF($EY608="row",INDEX($DU$5:$DU$1003,$EX608),"")</f>
        <v/>
      </c>
      <c r="FL608">
        <f>IF($EY608="row",INDEX($DV$5:$DV$1003,$EX608),"")</f>
        <v/>
      </c>
      <c r="FM608">
        <f>IF($EY608="row",INDEX($DW$5:$DW$1003,$EX608),"")</f>
        <v/>
      </c>
      <c r="FN608">
        <f>IF($EY608="row",INDEX($DY$5:$DY$1003,$EX608),"")</f>
        <v/>
      </c>
      <c r="FO608">
        <f>IF($EY608="row",INDEX($EA$5:$EA$1003,$EX608),"")</f>
        <v/>
      </c>
      <c r="FP608">
        <f>IF($EY608="row",INDEX($EC$5:$EC$1003,$EX608),"")</f>
        <v/>
      </c>
      <c r="FQ608">
        <f>IF($EY608="row",INDEX($ET$5:$ET$1003,$EX608),"")</f>
        <v/>
      </c>
      <c r="FR608">
        <f>IF($EY608="row",INDEX($EU$5:$EU$1003,$EX608),"")</f>
        <v/>
      </c>
      <c r="FS608">
        <f>IF(AND($EY608="row",$EY607="row"),IF(OR(INDEX($DT$5:$DT$1003,$EX607)="",INDEX($DT$5:$DT$1003,$EX608)=""),"",IF(NOT(EXACT(INDEX($DT$5:$DT$1003,$EX607),INDEX($DT$5:$DT$1003,$EX608))),"S4",IF(NOT(EXACT(INDEX($DS$5:$DS$1003,$EX607),INDEX($DS$5:$DS$1003,$EX608))),"S3",IF(NOT(EXACT(INDEX($DR$5:$DR$1003,$EX607),INDEX($DR$5:$DR$1003,$EX608))),"S1 Count Change","S1")))),"")</f>
        <v/>
      </c>
      <c r="FT608">
        <f>IF($EY608="row",INDEX($ES$5:$ES$1003,$EX608),"")</f>
        <v/>
      </c>
      <c r="FU608">
        <f>IF($EY608="row",INDEX($EO$5:$EO$1003,$EX608),0)</f>
        <v/>
      </c>
      <c r="FV608">
        <f>IF($FS608="S1 Count Change",1,0)</f>
        <v/>
      </c>
    </row>
    <row r="609">
      <c r="DA609" t="n">
        <v>605</v>
      </c>
      <c r="DB609">
        <f>IF($B$37=0,"",IFERROR(TRIM(SUBSTITUTE(SUBSTITUTE(SUBSTITUTE(SUBSTITUTE(INDEX(PASTE_ALL,605,$B$37)," "," "),CHAR(9)," "),CHAR(10)," "),CHAR(13)," ")),""))</f>
        <v/>
      </c>
      <c r="DC609">
        <f>IF(AND(605&gt;HEADER_ROW,UPPER(DB609)="LEGEND"),1,0)</f>
        <v/>
      </c>
      <c r="DE609" t="n">
        <v>605</v>
      </c>
      <c r="DF609">
        <f>HEADER_ROW+$DE609</f>
        <v/>
      </c>
      <c r="DG609">
        <f>IF(AND($DF609&lt;=1000,$DF609&lt;$B$8),1,0)</f>
        <v/>
      </c>
      <c r="DH609">
        <f>IF($DG609=1,IFERROR(INDEX($DB$5:$DB$1004,$DF609),""),"")</f>
        <v/>
      </c>
      <c r="DI609">
        <f>IF(AND($DG609=1,$DH609&lt;&gt;""),IFERROR(SUBSTITUTE(SUBSTITUTE(TRIM(SUBSTITUTE(SUBSTITUTE(SUBSTITUTE(SUBSTITUTE(IFERROR(INDEX(PASTE_ALL,$DF609,1)&amp;"","")&amp;"␟"&amp;IFERROR(INDEX(PASTE_ALL,$DF609,2)&amp;"","")&amp;"␟"&amp;IFERROR(INDEX(PASTE_ALL,$DF609,3)&amp;"","")&amp;"␟"&amp;IFERROR(INDEX(PASTE_ALL,$DF609,4)&amp;"","")&amp;"␟"&amp;IFERROR(INDEX(PASTE_ALL,$DF609,5)&amp;"","")&amp;"␟"&amp;IFERROR(INDEX(PASTE_ALL,$DF609,6)&amp;"","")&amp;"␟"&amp;IFERROR(INDEX(PASTE_ALL,$DF609,7)&amp;"","")&amp;"␟"&amp;IFERROR(INDEX(PASTE_ALL,$DF609,8)&amp;"","")&amp;"␟"&amp;IFERROR(INDEX(PASTE_ALL,$DF609,9)&amp;"","")&amp;"␟"&amp;IFERROR(INDEX(PASTE_ALL,$DF609,10)&amp;"","")&amp;"␟"&amp;IFERROR(INDEX(PASTE_ALL,$DF609,11)&amp;"","")&amp;"␟"&amp;IFERROR(INDEX(PASTE_ALL,$DF609,12)&amp;"","")&amp;"␟"&amp;IFERROR(INDEX(PASTE_ALL,$DF609,13)&amp;"","")&amp;"␟"&amp;IFERROR(INDEX(PASTE_ALL,$DF609,14)&amp;"","")&amp;"␟"&amp;IFERROR(INDEX(PASTE_ALL,$DF609,15)&amp;"","")&amp;"␟"&amp;IFERROR(INDEX(PASTE_ALL,$DF609,16)&amp;"","")&amp;"␟"&amp;IFERROR(INDEX(PASTE_ALL,$DF609,17)&amp;"","")&amp;"␟"&amp;IFERROR(INDEX(PASTE_ALL,$DF609,18)&amp;"","")&amp;"␟"&amp;IFERROR(INDEX(PASTE_ALL,$DF609,19)&amp;"","")&amp;"␟"&amp;IFERROR(INDEX(PASTE_ALL,$DF609,20)&amp;"","")&amp;"␟"&amp;IFERROR(INDEX(PASTE_ALL,$DF609,21)&amp;"","")&amp;"␟"&amp;IFERROR(INDEX(PASTE_ALL,$DF609,22)&amp;"","")&amp;"␟"&amp;IFERROR(INDEX(PASTE_ALL,$DF609,23)&amp;"","")&amp;"␟"&amp;IFERROR(INDEX(PASTE_ALL,$DF609,24)&amp;"","")&amp;"␟"&amp;IFERROR(INDEX(PASTE_ALL,$DF609,25)&amp;"","")&amp;"␟"&amp;IFERROR(INDEX(PASTE_ALL,$DF609,26)&amp;"","")&amp;"␟"&amp;IFERROR(INDEX(PASTE_ALL,$DF609,27)&amp;"","")&amp;"␟"&amp;IFERROR(INDEX(PASTE_ALL,$DF609,28)&amp;"","")&amp;"␟"&amp;IFERROR(INDEX(PASTE_ALL,$DF609,29)&amp;"","")&amp;"␟"&amp;IFERROR(INDEX(PASTE_ALL,$DF609,30)&amp;"","")&amp;"␟"&amp;IFERROR(INDEX(PASTE_ALL,$DF609,31)&amp;"","")&amp;"␟"&amp;IFERROR(INDEX(PASTE_ALL,$DF609,32)&amp;"","")&amp;"␟"&amp;IFERROR(INDEX(PASTE_ALL,$DF609,33)&amp;"","")&amp;"␟"&amp;IFERROR(INDEX(PASTE_ALL,$DF609,34)&amp;"","")&amp;"␟"&amp;IFERROR(INDEX(PASTE_ALL,$DF609,35)&amp;"","")&amp;"␟"&amp;IFERROR(INDEX(PASTE_ALL,$DF609,36)&amp;"","")&amp;"␟"&amp;IFERROR(INDEX(PASTE_ALL,$DF609,37)&amp;"","")&amp;"␟"&amp;IFERROR(INDEX(PASTE_ALL,$DF609,38)&amp;"","")&amp;"␟"&amp;IFERROR(INDEX(PASTE_ALL,$DF609,39)&amp;"","")&amp;"␟"&amp;IFERROR(INDEX(PASTE_ALL,$DF609,40)&amp;"","")&amp;"␟"&amp;IFERROR(INDEX(PASTE_ALL,$DF609,41)&amp;"","")&amp;"␟"&amp;IFERROR(INDEX(PASTE_ALL,$DF609,42)&amp;"","")&amp;"␟"&amp;IFERROR(INDEX(PASTE_ALL,$DF609,43)&amp;"","")&amp;"␟"&amp;IFERROR(INDEX(PASTE_ALL,$DF609,44)&amp;"","")&amp;"␟"&amp;IFERROR(INDEX(PASTE_ALL,$DF609,45)&amp;"","")&amp;"␟"&amp;IFERROR(INDEX(PASTE_ALL,$DF609,46)&amp;"","")&amp;"␟"&amp;IFERROR(INDEX(PASTE_ALL,$DF609,47)&amp;"","")&amp;"␟"&amp;IFERROR(INDEX(PASTE_ALL,$DF609,48)&amp;"","")&amp;"␟"&amp;IFERROR(INDEX(PASTE_ALL,$DF609,49)&amp;"","")&amp;"␟"&amp;IFERROR(INDEX(PASTE_ALL,$DF609,50)&amp;"","")&amp;"␟"&amp;IFERROR(INDEX(PASTE_ALL,$DF609,51)&amp;"","")&amp;"␟"&amp;IFERROR(INDEX(PASTE_ALL,$DF609,52)&amp;"","")&amp;"␟"&amp;IFERROR(INDEX(PASTE_ALL,$DF609,53)&amp;"","")&amp;"␟"&amp;IFERROR(INDEX(PASTE_ALL,$DF609,54)&amp;"","")&amp;"␟"&amp;IFERROR(INDEX(PASTE_ALL,$DF609,55)&amp;"","")&amp;"␟"&amp;IFERROR(INDEX(PASTE_ALL,$DF609,56)&amp;"","")&amp;"␟"&amp;IFERROR(INDEX(PASTE_ALL,$DF609,57)&amp;"","")&amp;"␟"&amp;IFERROR(INDEX(PASTE_ALL,$DF609,58)&amp;"","")&amp;"␟"&amp;IFERROR(INDEX(PASTE_ALL,$DF609,59)&amp;"","")&amp;"␟"&amp;IFERROR(INDEX(PASTE_ALL,$DF609,60)&amp;"","")," "," "),CHAR(9)," "),CHAR(10)," "),CHAR(13)," "))," ␟","␟"),"␟ ","␟"),"#"&amp;$DE609),"")</f>
        <v/>
      </c>
      <c r="DJ609">
        <f>IF($DI609="",0,IF(SUMPRODUCT(--EXACT($DI$4:DI608,$DI609))&gt;0,1,0))</f>
        <v/>
      </c>
      <c r="DK609">
        <f>IF(AND($DI609&lt;&gt;"",$DJ609=0),1,0)</f>
        <v/>
      </c>
      <c r="DL609">
        <f>DL608+$DK609</f>
        <v/>
      </c>
      <c r="DM609">
        <f>IF(AND($DK609=1,$DL609&lt;=600),1,0)</f>
        <v/>
      </c>
      <c r="DN609">
        <f>IF($DM609=0,"",IF($L$6=0,"",IFERROR(IF(ISNUMBER(INDEX(PASTE_ALL,$DF609,$L$6)),INDEX(PASTE_ALL,$DF609,$L$6),TRIM(SUBSTITUTE(SUBSTITUTE(SUBSTITUTE(SUBSTITUTE(INDEX(PASTE_ALL,$DF609,$L$6)," "," "),CHAR(9)," "),CHAR(10)," "),CHAR(13)," "))),"")))</f>
        <v/>
      </c>
      <c r="DO609">
        <f>IF($DM609=0,"",IF($L$7=0,"",IFERROR(IF(ISNUMBER(INDEX(PASTE_ALL,$DF609,$L$7)),INDEX(PASTE_ALL,$DF609,$L$7),TRIM(SUBSTITUTE(SUBSTITUTE(SUBSTITUTE(SUBSTITUTE(INDEX(PASTE_ALL,$DF609,$L$7)," "," "),CHAR(9)," "),CHAR(10)," "),CHAR(13)," "))),"")))</f>
        <v/>
      </c>
      <c r="DP609">
        <f>IF($DM609=0,"",IF($L$8=0,"",IFERROR(IF(ISNUMBER(INDEX(PASTE_ALL,$DF609,$L$8)),INDEX(PASTE_ALL,$DF609,$L$8),TRIM(SUBSTITUTE(SUBSTITUTE(SUBSTITUTE(SUBSTITUTE(INDEX(PASTE_ALL,$DF609,$L$8)," "," "),CHAR(9)," "),CHAR(10)," "),CHAR(13)," "))),"")))</f>
        <v/>
      </c>
      <c r="DQ609">
        <f>IF($DM609=0,"",IF($L$9=0,"",IFERROR(IF(ISNUMBER(INDEX(PASTE_ALL,$DF609,$L$9)),INDEX(PASTE_ALL,$DF609,$L$9),TRIM(SUBSTITUTE(SUBSTITUTE(SUBSTITUTE(SUBSTITUTE(INDEX(PASTE_ALL,$DF609,$L$9)," "," "),CHAR(9)," "),CHAR(10)," "),CHAR(13)," "))),"")))</f>
        <v/>
      </c>
      <c r="DR609">
        <f>IF($DM609=0,"",IF($L$10=0,"",IFERROR(IF(ISNUMBER(INDEX(PASTE_ALL,$DF609,$L$10)),INDEX(PASTE_ALL,$DF609,$L$10),TRIM(SUBSTITUTE(SUBSTITUTE(SUBSTITUTE(SUBSTITUTE(INDEX(PASTE_ALL,$DF609,$L$10)," "," "),CHAR(9)," "),CHAR(10)," "),CHAR(13)," "))),"")))</f>
        <v/>
      </c>
      <c r="DS609">
        <f>IF($DM609=0,"",IF($L$11=0,"",IFERROR(IF(ISNUMBER(INDEX(PASTE_ALL,$DF609,$L$11)),INDEX(PASTE_ALL,$DF609,$L$11),TRIM(SUBSTITUTE(SUBSTITUTE(SUBSTITUTE(SUBSTITUTE(INDEX(PASTE_ALL,$DF609,$L$11)," "," "),CHAR(9)," "),CHAR(10)," "),CHAR(13)," "))),"")))</f>
        <v/>
      </c>
      <c r="DT609">
        <f>IF($DM609=0,"",IF($L$12=0,"",IFERROR(IF(ISNUMBER(INDEX(PASTE_ALL,$DF609,$L$12)),INDEX(PASTE_ALL,$DF609,$L$12),TRIM(SUBSTITUTE(SUBSTITUTE(SUBSTITUTE(SUBSTITUTE(INDEX(PASTE_ALL,$DF609,$L$12)," "," "),CHAR(9)," "),CHAR(10)," "),CHAR(13)," "))),"")))</f>
        <v/>
      </c>
      <c r="DU609">
        <f>IF($DM609=0,"",IF($L$13=0,"",IFERROR(IF(ISNUMBER(INDEX(PASTE_ALL,$DF609,$L$13)),INDEX(PASTE_ALL,$DF609,$L$13),TRIM(SUBSTITUTE(SUBSTITUTE(SUBSTITUTE(SUBSTITUTE(INDEX(PASTE_ALL,$DF609,$L$13)," "," "),CHAR(9)," "),CHAR(10)," "),CHAR(13)," "))),"")))</f>
        <v/>
      </c>
      <c r="DV609">
        <f>IF($DM609=0,"",IF($L$14=0,"",IFERROR(IF(ISNUMBER(INDEX(PASTE_ALL,$DF609,$L$14)),INDEX(PASTE_ALL,$DF609,$L$14),TRIM(SUBSTITUTE(SUBSTITUTE(SUBSTITUTE(SUBSTITUTE(INDEX(PASTE_ALL,$DF609,$L$14)," "," "),CHAR(9)," "),CHAR(10)," "),CHAR(13)," "))),"")))</f>
        <v/>
      </c>
      <c r="DW609">
        <f>IF($DM609=0,"",IF($L$15=0,"",IFERROR(IF(ISNUMBER(INDEX(PASTE_ALL,$DF609,$L$15)),INDEX(PASTE_ALL,$DF609,$L$15),IF(SUMPRODUCT(--ISNUMBER(FIND({"A","B","C","D","E","F","G","H","I","J","K","L","M","N","O","P","Q","R","S","T","U","V","W","X","Y","Z","0","1","2","3","4","5","6","7","8","9"},UPPER(TRIM(SUBSTITUTE(SUBSTITUTE(SUBSTITUTE(SUBSTITUTE(INDEX(PASTE_ALL,$DF609,$L$15)," "," "),CHAR(9)," "),CHAR(10)," "),CHAR(13)," "))))))&gt;0,TRIM(SUBSTITUTE(SUBSTITUTE(SUBSTITUTE(SUBSTITUTE(INDEX(PASTE_ALL,$DF609,$L$15)," "," "),CHAR(9)," "),CHAR(10)," "),CHAR(13)," ")),"")),"")))</f>
        <v/>
      </c>
      <c r="DX609">
        <f>IF($DM609=0,"",IF($L$16=0,"",IFERROR(IF(ISNUMBER(INDEX(PASTE_ALL,$DF609,$L$16)),INDEX(PASTE_ALL,$DF609,$L$16),SUBSTITUTE(SUBSTITUTE(TRIM(SUBSTITUTE(SUBSTITUTE(SUBSTITUTE(SUBSTITUTE(INDEX(PASTE_ALL,$DF609,$L$16)," "," "),CHAR(9)," "),CHAR(10)," "),CHAR(13)," ")),",",""),"%","")),"")))</f>
        <v/>
      </c>
      <c r="DY609">
        <f>IF($DM609=0,"",IFERROR(IF(ISNUMBER($DX609),$DX609,IF($DX609="","",IF(TRIM($DX609)="",0,IF(AND(AND(SUBSTITUTE(SUBSTITUTE(SUBSTITUTE(SUBSTITUTE(SUBSTITUTE(SUBSTITUTE(SUBSTITUTE(SUBSTITUTE(SUBSTITUTE(SUBSTITUTE(SUBSTITUTE(SUBSTITUTE(SUBSTITUTE(SUBSTITUTE(UPPER(TRIM($DX609)),"0",""),"1",""),"2",""),"3",""),"4",""),"5",""),"6",""),"7",""),"8",""),"9",""),".",""),"+",""),"-",""),"E","")="",LEN(SUBSTITUTE(SUBSTITUTE(MID(UPPER(TRIM($DX609)),1+OR(LEFT(UPPER(TRIM($DX609)),1)="+",LEFT(UPPER(TRIM($DX609)),1)="-"),999),"E+","E"),"E-","E"))=LEN(SUBSTITUTE(SUBSTITUTE(SUBSTITUTE(SUBSTITUTE(MID(UPPER(TRIM($DX609)),1+OR(LEFT(UPPER(TRIM($DX609)),1)="+",LEFT(UPPER(TRIM($DX609)),1)="-"),999),"E+","E"),"E-","E"),"+",""),"-","")),LEN(UPPER(TRIM($DX609)))-LEN(SUBSTITUTE(UPPER(TRIM($DX609)),"E",""))&lt;2,LEN(UPPER(TRIM($DX609)))-LEN(SUBSTITUTE(UPPER(TRIM($DX609)),".",""))&lt;2,IFERROR(FIND(".",UPPER(TRIM($DX609))),0)&lt;IFERROR(FIND("E",UPPER(TRIM($DX609))),999)),ISNUMBER(VALUE(TRIM($DX609)))),VALUE(TRIM($DX609)),"")))),""))</f>
        <v/>
      </c>
      <c r="DZ609">
        <f>IF($DM609=0,"",IF($L$17=0,"",IFERROR(IF(ISNUMBER(INDEX(PASTE_ALL,$DF609,$L$17)),INDEX(PASTE_ALL,$DF609,$L$17),SUBSTITUTE(SUBSTITUTE(TRIM(SUBSTITUTE(SUBSTITUTE(SUBSTITUTE(SUBSTITUTE(INDEX(PASTE_ALL,$DF609,$L$17)," "," "),CHAR(9)," "),CHAR(10)," "),CHAR(13)," ")),",",""),"%","")),"")))</f>
        <v/>
      </c>
      <c r="EA609">
        <f>IF($DM609=0,"",IFERROR(IF(ISNUMBER($DZ609),$DZ609,IF($DZ609="","",IF(TRIM($DZ609)="",0,IF(AND(AND(SUBSTITUTE(SUBSTITUTE(SUBSTITUTE(SUBSTITUTE(SUBSTITUTE(SUBSTITUTE(SUBSTITUTE(SUBSTITUTE(SUBSTITUTE(SUBSTITUTE(SUBSTITUTE(SUBSTITUTE(SUBSTITUTE(SUBSTITUTE(UPPER(TRIM($DZ609)),"0",""),"1",""),"2",""),"3",""),"4",""),"5",""),"6",""),"7",""),"8",""),"9",""),".",""),"+",""),"-",""),"E","")="",LEN(SUBSTITUTE(SUBSTITUTE(MID(UPPER(TRIM($DZ609)),1+OR(LEFT(UPPER(TRIM($DZ609)),1)="+",LEFT(UPPER(TRIM($DZ609)),1)="-"),999),"E+","E"),"E-","E"))=LEN(SUBSTITUTE(SUBSTITUTE(SUBSTITUTE(SUBSTITUTE(MID(UPPER(TRIM($DZ609)),1+OR(LEFT(UPPER(TRIM($DZ609)),1)="+",LEFT(UPPER(TRIM($DZ609)),1)="-"),999),"E+","E"),"E-","E"),"+",""),"-","")),LEN(UPPER(TRIM($DZ609)))-LEN(SUBSTITUTE(UPPER(TRIM($DZ609)),"E",""))&lt;2,LEN(UPPER(TRIM($DZ609)))-LEN(SUBSTITUTE(UPPER(TRIM($DZ609)),".",""))&lt;2,IFERROR(FIND(".",UPPER(TRIM($DZ609))),0)&lt;IFERROR(FIND("E",UPPER(TRIM($DZ609))),999)),ISNUMBER(VALUE(TRIM($DZ609)))),VALUE(TRIM($DZ609)),"")))),""))</f>
        <v/>
      </c>
      <c r="EB609">
        <f>IF($DM609=0,"",IF($L$18=0,"",IFERROR(IF(UPPER(TRIM(SUBSTITUTE(SUBSTITUTE(SUBSTITUTE(SUBSTITUTE(INDEX(PASTE_ALL,$DF609,$L$18)," "," "),CHAR(9)," "),CHAR(10)," "),CHAR(13)," ")))="READY","Ready",IF(UPPER(TRIM(SUBSTITUTE(SUBSTITUTE(SUBSTITUTE(SUBSTITUTE(INDEX(PASTE_ALL,$DF609,$L$18)," "," "),CHAR(9)," "),CHAR(10)," "),CHAR(13)," ")))="PM","PM",IF(OR(UPPER(TRIM(SUBSTITUTE(SUBSTITUTE(SUBSTITUTE(SUBSTITUTE(INDEX(PASTE_ALL,$DF609,$L$18)," "," "),CHAR(9)," "),CHAR(10)," "),CHAR(13)," ")))="OT",UPPER(TRIM(SUBSTITUTE(SUBSTITUTE(SUBSTITUTE(SUBSTITUTE(INDEX(PASTE_ALL,$DF609,$L$18)," "," "),CHAR(9)," "),CHAR(10)," "),CHAR(13)," ")))="OVERTIME",UPPER(TRIM(SUBSTITUTE(SUBSTITUTE(SUBSTITUTE(SUBSTITUTE(INDEX(PASTE_ALL,$DF609,$L$18)," "," "),CHAR(9)," "),CHAR(10)," "),CHAR(13)," ")))="TRIAL"),"OT",TRIM(SUBSTITUTE(SUBSTITUTE(SUBSTITUTE(SUBSTITUTE(INDEX(PASTE_ALL,$DF609,$L$18)," "," "),CHAR(9)," "),CHAR(10)," "),CHAR(13)," "))))),"")))</f>
        <v/>
      </c>
      <c r="EC609">
        <f>IF($DM609=0,"",IF($L$19=0,"",IFERROR(IF(ISNUMBER(INDEX(PASTE_ALL,$DF609,$L$19)),INDEX(PASTE_ALL,$DF609,$L$19),TRIM(SUBSTITUTE(SUBSTITUTE(SUBSTITUTE(SUBSTITUTE(INDEX(PASTE_ALL,$DF609,$L$19)," "," "),CHAR(9)," "),CHAR(10)," "),CHAR(13)," "))),"")))</f>
        <v/>
      </c>
      <c r="ED609">
        <f>IF($DM609=0,"",MATCH(1,INDEX(EXACT($DH$5:DH609,$DH609)*$DM$5:DM609,0),0))</f>
        <v/>
      </c>
      <c r="EE609">
        <f>IF($DM609=0,0,IF($ED609=$DE609,1,0))</f>
        <v/>
      </c>
      <c r="EF609">
        <f>EF608+$EE609</f>
        <v/>
      </c>
      <c r="EG609">
        <f>IF($DM609=0,"",INDEX($EF$5:$EF$1003,$ED609))</f>
        <v/>
      </c>
      <c r="EH609">
        <f>IF($DM609=0,"",IF($DO609&lt;&gt;"","",IFERROR(LOOKUP(2,1/(($EG$4:EG608=$EG609)*($DO$4:DO608&lt;&gt;"")),$DO$4:DO608),"")))</f>
        <v/>
      </c>
      <c r="EI609">
        <f>IF($DM609=0,"",IF($DO609&lt;&gt;"",$DO609,$EH609))</f>
        <v/>
      </c>
      <c r="EJ609">
        <f>IF($DM609=0,"",IF($EI609="",0,IF(OR(ISNUMBER($EI609),AND(AND(SUBSTITUTE(SUBSTITUTE(SUBSTITUTE(SUBSTITUTE(SUBSTITUTE(SUBSTITUTE(SUBSTITUTE(SUBSTITUTE(SUBSTITUTE(SUBSTITUTE(SUBSTITUTE(SUBSTITUTE(SUBSTITUTE(SUBSTITUTE(UPPER($EI609),"0",""),"1",""),"2",""),"3",""),"4",""),"5",""),"6",""),"7",""),"8",""),"9",""),".",""),"+",""),"-",""),"E","")="",LEN(SUBSTITUTE(SUBSTITUTE(MID(UPPER($EI609),1+OR(LEFT(UPPER($EI609),1)="+",LEFT(UPPER($EI609),1)="-"),999),"E+","E"),"E-","E"))=LEN(SUBSTITUTE(SUBSTITUTE(SUBSTITUTE(SUBSTITUTE(MID(UPPER($EI609),1+OR(LEFT(UPPER($EI609),1)="+",LEFT(UPPER($EI609),1)="-"),999),"E+","E"),"E-","E"),"+",""),"-","")),LEN(UPPER($EI609))-LEN(SUBSTITUTE(UPPER($EI609),"E",""))&lt;2,LEN(UPPER($EI609))-LEN(SUBSTITUTE(UPPER($EI609),".",""))&lt;2,IFERROR(FIND(".",UPPER($EI609)),0)&lt;IFERROR(FIND("E",UPPER($EI609)),999)),ISNUMBER(VALUE($EI609)))),1,2)))</f>
        <v/>
      </c>
      <c r="EK609">
        <f>IF($DM609=0,"",IF($EJ609=1,IF(ISNUMBER($EI609),$EI609,VALUE($EI609)),IF($EJ609=2,$DE609,0)))</f>
        <v/>
      </c>
      <c r="EL609">
        <f>IF($DM609=0,"",COUNTIF($EG$5:$EG$1003,"&lt;"&amp;$EG609)+SUMPRODUCT(($EG$5:$EG$1003=$EG609)*(($EJ$5:$EJ$1003&lt;$EJ609)+($EJ$5:$EJ$1003=$EJ609)*(($EK$5:$EK$1003&lt;$EK609)+($EK$5:$EK$1003=$EK609)*($DE$5:$DE$1003&lt;$DE609))))+1)</f>
        <v/>
      </c>
      <c r="EM609">
        <f>IF($DM609=0,"",$EL609+$EG609-1)</f>
        <v/>
      </c>
      <c r="EN609">
        <f>IF($DM609=0,0,IFERROR(MATCH(1,INDEX(--(TRIM(SUBSTITUTE(SUBSTITUTE(SUBSTITUTE(SUBSTITUTE(LINES_NAME&amp;""," "," "),CHAR(9)," "),CHAR(10)," "),CHAR(13)," "))=$DH609),0),0),0))</f>
        <v/>
      </c>
      <c r="EO609">
        <f>IF($EN609=0,0,IF(OR(UPPER(TRIM(INDEX(LINES_SCHEDULED,$EN609)&amp;""))="YES",UPPER(TRIM(INDEX(LINES_SCHEDULED,$EN609)&amp;""))="Y",UPPER(TRIM(INDEX(LINES_SCHEDULED,$EN609)&amp;""))="X"),1,0))</f>
        <v/>
      </c>
      <c r="EP609">
        <f>IF($DM609=0,"",IF(COUNTIFS($EG$5:$EG$1003,$EG609,$EB$5:$EB$1003,"Ready")&gt;0,"READY",IF(COUNTIFS($EG$5:$EG$1003,$EG609,$EB$5:$EB$1003,"PM")&gt;0,"PM",IF(COUNTIFS($EG$5:$EG$1003,$EG609,$EB$5:$EB$1003,"OT")&gt;0,"OT",""))))</f>
        <v/>
      </c>
      <c r="EQ609">
        <f>IF($EN609=0,"",UPPER(TRIM(INDEX(LINES_STATUS,$EN609)&amp;"")))</f>
        <v/>
      </c>
      <c r="ER609">
        <f>IF($DM609=0,"",IF(OR($EQ609="READY",$EQ609="PM",$EQ609="OT"),$EQ609,$EP609))</f>
        <v/>
      </c>
      <c r="ES609">
        <f>IF($DM609=0,"",IF(AND($DV609&lt;&gt;"",UPPER($DV609)&lt;&gt;"N"),"allergen",IF(ISNUMBER(SEARCH("oil",$DQ609)),"oil",IF(OR(EXACT($DS609,"A662"),EXACT($DS609,"A624")),"bulk",""))))</f>
        <v/>
      </c>
      <c r="ET609">
        <f>IF($DM609=0,"",IF(OR($EA609="",$EA609=0),"",$EA609/100))</f>
        <v/>
      </c>
      <c r="EU609">
        <f>IF(OR($ET609="",$DY609=""),"",INT($DY609*(1-$ET609)+0.5))</f>
        <v/>
      </c>
      <c r="EW609" t="n">
        <v>605</v>
      </c>
      <c r="EX609">
        <f>IFERROR(MATCH($EW609,$EM$5:$EM$1003,0),0)</f>
        <v/>
      </c>
      <c r="EY609">
        <f>IF($EW609&gt;$B$12,"",IF($EX609&gt;0,"row","spacer"))</f>
        <v/>
      </c>
      <c r="EZ609">
        <f>IF(AND($EY609="row",$EY608&lt;&gt;"row"),1,0)</f>
        <v/>
      </c>
      <c r="FA609">
        <f>IF(AND($EY609="row",$EY610&lt;&gt;"row"),1,0)</f>
        <v/>
      </c>
      <c r="FB609">
        <f>IF($EZ609=1,IFERROR(IF(ISNUMBER(INDEX(PASTE_ALL,INDEX($DF$5:$DF$1003,$EX609),$B$37)),INDEX(PASTE_ALL,INDEX($DF$5:$DF$1003,$EX609),$B$37),INDEX($DH$5:$DH$1003,$EX609)),INDEX($DH$5:$DH$1003,$EX609)),"")</f>
        <v/>
      </c>
      <c r="FC609">
        <f>IF($EY609="row",INDEX($ER$5:$ER$1003,$EX609),"")</f>
        <v/>
      </c>
      <c r="FD609">
        <f>IF($EY609="row",INDEX($DN$5:$DN$1003,$EX609),"")</f>
        <v/>
      </c>
      <c r="FE609">
        <f>IF($EY609="row",INDEX($DO$5:$DO$1003,$EX609),"")</f>
        <v/>
      </c>
      <c r="FF609">
        <f>IF($EY609="row",INDEX($DP$5:$DP$1003,$EX609),"")</f>
        <v/>
      </c>
      <c r="FG609">
        <f>IF($EY609="row",INDEX($DQ$5:$DQ$1003,$EX609),"")</f>
        <v/>
      </c>
      <c r="FH609">
        <f>IF($EY609="row",INDEX($DR$5:$DR$1003,$EX609),"")</f>
        <v/>
      </c>
      <c r="FI609">
        <f>IF($EY609="row",INDEX($DS$5:$DS$1003,$EX609),"")</f>
        <v/>
      </c>
      <c r="FJ609">
        <f>IF($EY609="row",INDEX($DT$5:$DT$1003,$EX609),"")</f>
        <v/>
      </c>
      <c r="FK609">
        <f>IF($EY609="row",INDEX($DU$5:$DU$1003,$EX609),"")</f>
        <v/>
      </c>
      <c r="FL609">
        <f>IF($EY609="row",INDEX($DV$5:$DV$1003,$EX609),"")</f>
        <v/>
      </c>
      <c r="FM609">
        <f>IF($EY609="row",INDEX($DW$5:$DW$1003,$EX609),"")</f>
        <v/>
      </c>
      <c r="FN609">
        <f>IF($EY609="row",INDEX($DY$5:$DY$1003,$EX609),"")</f>
        <v/>
      </c>
      <c r="FO609">
        <f>IF($EY609="row",INDEX($EA$5:$EA$1003,$EX609),"")</f>
        <v/>
      </c>
      <c r="FP609">
        <f>IF($EY609="row",INDEX($EC$5:$EC$1003,$EX609),"")</f>
        <v/>
      </c>
      <c r="FQ609">
        <f>IF($EY609="row",INDEX($ET$5:$ET$1003,$EX609),"")</f>
        <v/>
      </c>
      <c r="FR609">
        <f>IF($EY609="row",INDEX($EU$5:$EU$1003,$EX609),"")</f>
        <v/>
      </c>
      <c r="FS609">
        <f>IF(AND($EY609="row",$EY608="row"),IF(OR(INDEX($DT$5:$DT$1003,$EX608)="",INDEX($DT$5:$DT$1003,$EX609)=""),"",IF(NOT(EXACT(INDEX($DT$5:$DT$1003,$EX608),INDEX($DT$5:$DT$1003,$EX609))),"S4",IF(NOT(EXACT(INDEX($DS$5:$DS$1003,$EX608),INDEX($DS$5:$DS$1003,$EX609))),"S3",IF(NOT(EXACT(INDEX($DR$5:$DR$1003,$EX608),INDEX($DR$5:$DR$1003,$EX609))),"S1 Count Change","S1")))),"")</f>
        <v/>
      </c>
      <c r="FT609">
        <f>IF($EY609="row",INDEX($ES$5:$ES$1003,$EX609),"")</f>
        <v/>
      </c>
      <c r="FU609">
        <f>IF($EY609="row",INDEX($EO$5:$EO$1003,$EX609),0)</f>
        <v/>
      </c>
      <c r="FV609">
        <f>IF($FS609="S1 Count Change",1,0)</f>
        <v/>
      </c>
    </row>
    <row r="610">
      <c r="DA610" t="n">
        <v>606</v>
      </c>
      <c r="DB610">
        <f>IF($B$37=0,"",IFERROR(TRIM(SUBSTITUTE(SUBSTITUTE(SUBSTITUTE(SUBSTITUTE(INDEX(PASTE_ALL,606,$B$37)," "," "),CHAR(9)," "),CHAR(10)," "),CHAR(13)," ")),""))</f>
        <v/>
      </c>
      <c r="DC610">
        <f>IF(AND(606&gt;HEADER_ROW,UPPER(DB610)="LEGEND"),1,0)</f>
        <v/>
      </c>
      <c r="DE610" t="n">
        <v>606</v>
      </c>
      <c r="DF610">
        <f>HEADER_ROW+$DE610</f>
        <v/>
      </c>
      <c r="DG610">
        <f>IF(AND($DF610&lt;=1000,$DF610&lt;$B$8),1,0)</f>
        <v/>
      </c>
      <c r="DH610">
        <f>IF($DG610=1,IFERROR(INDEX($DB$5:$DB$1004,$DF610),""),"")</f>
        <v/>
      </c>
      <c r="DI610">
        <f>IF(AND($DG610=1,$DH610&lt;&gt;""),IFERROR(SUBSTITUTE(SUBSTITUTE(TRIM(SUBSTITUTE(SUBSTITUTE(SUBSTITUTE(SUBSTITUTE(IFERROR(INDEX(PASTE_ALL,$DF610,1)&amp;"","")&amp;"␟"&amp;IFERROR(INDEX(PASTE_ALL,$DF610,2)&amp;"","")&amp;"␟"&amp;IFERROR(INDEX(PASTE_ALL,$DF610,3)&amp;"","")&amp;"␟"&amp;IFERROR(INDEX(PASTE_ALL,$DF610,4)&amp;"","")&amp;"␟"&amp;IFERROR(INDEX(PASTE_ALL,$DF610,5)&amp;"","")&amp;"␟"&amp;IFERROR(INDEX(PASTE_ALL,$DF610,6)&amp;"","")&amp;"␟"&amp;IFERROR(INDEX(PASTE_ALL,$DF610,7)&amp;"","")&amp;"␟"&amp;IFERROR(INDEX(PASTE_ALL,$DF610,8)&amp;"","")&amp;"␟"&amp;IFERROR(INDEX(PASTE_ALL,$DF610,9)&amp;"","")&amp;"␟"&amp;IFERROR(INDEX(PASTE_ALL,$DF610,10)&amp;"","")&amp;"␟"&amp;IFERROR(INDEX(PASTE_ALL,$DF610,11)&amp;"","")&amp;"␟"&amp;IFERROR(INDEX(PASTE_ALL,$DF610,12)&amp;"","")&amp;"␟"&amp;IFERROR(INDEX(PASTE_ALL,$DF610,13)&amp;"","")&amp;"␟"&amp;IFERROR(INDEX(PASTE_ALL,$DF610,14)&amp;"","")&amp;"␟"&amp;IFERROR(INDEX(PASTE_ALL,$DF610,15)&amp;"","")&amp;"␟"&amp;IFERROR(INDEX(PASTE_ALL,$DF610,16)&amp;"","")&amp;"␟"&amp;IFERROR(INDEX(PASTE_ALL,$DF610,17)&amp;"","")&amp;"␟"&amp;IFERROR(INDEX(PASTE_ALL,$DF610,18)&amp;"","")&amp;"␟"&amp;IFERROR(INDEX(PASTE_ALL,$DF610,19)&amp;"","")&amp;"␟"&amp;IFERROR(INDEX(PASTE_ALL,$DF610,20)&amp;"","")&amp;"␟"&amp;IFERROR(INDEX(PASTE_ALL,$DF610,21)&amp;"","")&amp;"␟"&amp;IFERROR(INDEX(PASTE_ALL,$DF610,22)&amp;"","")&amp;"␟"&amp;IFERROR(INDEX(PASTE_ALL,$DF610,23)&amp;"","")&amp;"␟"&amp;IFERROR(INDEX(PASTE_ALL,$DF610,24)&amp;"","")&amp;"␟"&amp;IFERROR(INDEX(PASTE_ALL,$DF610,25)&amp;"","")&amp;"␟"&amp;IFERROR(INDEX(PASTE_ALL,$DF610,26)&amp;"","")&amp;"␟"&amp;IFERROR(INDEX(PASTE_ALL,$DF610,27)&amp;"","")&amp;"␟"&amp;IFERROR(INDEX(PASTE_ALL,$DF610,28)&amp;"","")&amp;"␟"&amp;IFERROR(INDEX(PASTE_ALL,$DF610,29)&amp;"","")&amp;"␟"&amp;IFERROR(INDEX(PASTE_ALL,$DF610,30)&amp;"","")&amp;"␟"&amp;IFERROR(INDEX(PASTE_ALL,$DF610,31)&amp;"","")&amp;"␟"&amp;IFERROR(INDEX(PASTE_ALL,$DF610,32)&amp;"","")&amp;"␟"&amp;IFERROR(INDEX(PASTE_ALL,$DF610,33)&amp;"","")&amp;"␟"&amp;IFERROR(INDEX(PASTE_ALL,$DF610,34)&amp;"","")&amp;"␟"&amp;IFERROR(INDEX(PASTE_ALL,$DF610,35)&amp;"","")&amp;"␟"&amp;IFERROR(INDEX(PASTE_ALL,$DF610,36)&amp;"","")&amp;"␟"&amp;IFERROR(INDEX(PASTE_ALL,$DF610,37)&amp;"","")&amp;"␟"&amp;IFERROR(INDEX(PASTE_ALL,$DF610,38)&amp;"","")&amp;"␟"&amp;IFERROR(INDEX(PASTE_ALL,$DF610,39)&amp;"","")&amp;"␟"&amp;IFERROR(INDEX(PASTE_ALL,$DF610,40)&amp;"","")&amp;"␟"&amp;IFERROR(INDEX(PASTE_ALL,$DF610,41)&amp;"","")&amp;"␟"&amp;IFERROR(INDEX(PASTE_ALL,$DF610,42)&amp;"","")&amp;"␟"&amp;IFERROR(INDEX(PASTE_ALL,$DF610,43)&amp;"","")&amp;"␟"&amp;IFERROR(INDEX(PASTE_ALL,$DF610,44)&amp;"","")&amp;"␟"&amp;IFERROR(INDEX(PASTE_ALL,$DF610,45)&amp;"","")&amp;"␟"&amp;IFERROR(INDEX(PASTE_ALL,$DF610,46)&amp;"","")&amp;"␟"&amp;IFERROR(INDEX(PASTE_ALL,$DF610,47)&amp;"","")&amp;"␟"&amp;IFERROR(INDEX(PASTE_ALL,$DF610,48)&amp;"","")&amp;"␟"&amp;IFERROR(INDEX(PASTE_ALL,$DF610,49)&amp;"","")&amp;"␟"&amp;IFERROR(INDEX(PASTE_ALL,$DF610,50)&amp;"","")&amp;"␟"&amp;IFERROR(INDEX(PASTE_ALL,$DF610,51)&amp;"","")&amp;"␟"&amp;IFERROR(INDEX(PASTE_ALL,$DF610,52)&amp;"","")&amp;"␟"&amp;IFERROR(INDEX(PASTE_ALL,$DF610,53)&amp;"","")&amp;"␟"&amp;IFERROR(INDEX(PASTE_ALL,$DF610,54)&amp;"","")&amp;"␟"&amp;IFERROR(INDEX(PASTE_ALL,$DF610,55)&amp;"","")&amp;"␟"&amp;IFERROR(INDEX(PASTE_ALL,$DF610,56)&amp;"","")&amp;"␟"&amp;IFERROR(INDEX(PASTE_ALL,$DF610,57)&amp;"","")&amp;"␟"&amp;IFERROR(INDEX(PASTE_ALL,$DF610,58)&amp;"","")&amp;"␟"&amp;IFERROR(INDEX(PASTE_ALL,$DF610,59)&amp;"","")&amp;"␟"&amp;IFERROR(INDEX(PASTE_ALL,$DF610,60)&amp;"","")," "," "),CHAR(9)," "),CHAR(10)," "),CHAR(13)," "))," ␟","␟"),"␟ ","␟"),"#"&amp;$DE610),"")</f>
        <v/>
      </c>
      <c r="DJ610">
        <f>IF($DI610="",0,IF(SUMPRODUCT(--EXACT($DI$4:DI609,$DI610))&gt;0,1,0))</f>
        <v/>
      </c>
      <c r="DK610">
        <f>IF(AND($DI610&lt;&gt;"",$DJ610=0),1,0)</f>
        <v/>
      </c>
      <c r="DL610">
        <f>DL609+$DK610</f>
        <v/>
      </c>
      <c r="DM610">
        <f>IF(AND($DK610=1,$DL610&lt;=600),1,0)</f>
        <v/>
      </c>
      <c r="DN610">
        <f>IF($DM610=0,"",IF($L$6=0,"",IFERROR(IF(ISNUMBER(INDEX(PASTE_ALL,$DF610,$L$6)),INDEX(PASTE_ALL,$DF610,$L$6),TRIM(SUBSTITUTE(SUBSTITUTE(SUBSTITUTE(SUBSTITUTE(INDEX(PASTE_ALL,$DF610,$L$6)," "," "),CHAR(9)," "),CHAR(10)," "),CHAR(13)," "))),"")))</f>
        <v/>
      </c>
      <c r="DO610">
        <f>IF($DM610=0,"",IF($L$7=0,"",IFERROR(IF(ISNUMBER(INDEX(PASTE_ALL,$DF610,$L$7)),INDEX(PASTE_ALL,$DF610,$L$7),TRIM(SUBSTITUTE(SUBSTITUTE(SUBSTITUTE(SUBSTITUTE(INDEX(PASTE_ALL,$DF610,$L$7)," "," "),CHAR(9)," "),CHAR(10)," "),CHAR(13)," "))),"")))</f>
        <v/>
      </c>
      <c r="DP610">
        <f>IF($DM610=0,"",IF($L$8=0,"",IFERROR(IF(ISNUMBER(INDEX(PASTE_ALL,$DF610,$L$8)),INDEX(PASTE_ALL,$DF610,$L$8),TRIM(SUBSTITUTE(SUBSTITUTE(SUBSTITUTE(SUBSTITUTE(INDEX(PASTE_ALL,$DF610,$L$8)," "," "),CHAR(9)," "),CHAR(10)," "),CHAR(13)," "))),"")))</f>
        <v/>
      </c>
      <c r="DQ610">
        <f>IF($DM610=0,"",IF($L$9=0,"",IFERROR(IF(ISNUMBER(INDEX(PASTE_ALL,$DF610,$L$9)),INDEX(PASTE_ALL,$DF610,$L$9),TRIM(SUBSTITUTE(SUBSTITUTE(SUBSTITUTE(SUBSTITUTE(INDEX(PASTE_ALL,$DF610,$L$9)," "," "),CHAR(9)," "),CHAR(10)," "),CHAR(13)," "))),"")))</f>
        <v/>
      </c>
      <c r="DR610">
        <f>IF($DM610=0,"",IF($L$10=0,"",IFERROR(IF(ISNUMBER(INDEX(PASTE_ALL,$DF610,$L$10)),INDEX(PASTE_ALL,$DF610,$L$10),TRIM(SUBSTITUTE(SUBSTITUTE(SUBSTITUTE(SUBSTITUTE(INDEX(PASTE_ALL,$DF610,$L$10)," "," "),CHAR(9)," "),CHAR(10)," "),CHAR(13)," "))),"")))</f>
        <v/>
      </c>
      <c r="DS610">
        <f>IF($DM610=0,"",IF($L$11=0,"",IFERROR(IF(ISNUMBER(INDEX(PASTE_ALL,$DF610,$L$11)),INDEX(PASTE_ALL,$DF610,$L$11),TRIM(SUBSTITUTE(SUBSTITUTE(SUBSTITUTE(SUBSTITUTE(INDEX(PASTE_ALL,$DF610,$L$11)," "," "),CHAR(9)," "),CHAR(10)," "),CHAR(13)," "))),"")))</f>
        <v/>
      </c>
      <c r="DT610">
        <f>IF($DM610=0,"",IF($L$12=0,"",IFERROR(IF(ISNUMBER(INDEX(PASTE_ALL,$DF610,$L$12)),INDEX(PASTE_ALL,$DF610,$L$12),TRIM(SUBSTITUTE(SUBSTITUTE(SUBSTITUTE(SUBSTITUTE(INDEX(PASTE_ALL,$DF610,$L$12)," "," "),CHAR(9)," "),CHAR(10)," "),CHAR(13)," "))),"")))</f>
        <v/>
      </c>
      <c r="DU610">
        <f>IF($DM610=0,"",IF($L$13=0,"",IFERROR(IF(ISNUMBER(INDEX(PASTE_ALL,$DF610,$L$13)),INDEX(PASTE_ALL,$DF610,$L$13),TRIM(SUBSTITUTE(SUBSTITUTE(SUBSTITUTE(SUBSTITUTE(INDEX(PASTE_ALL,$DF610,$L$13)," "," "),CHAR(9)," "),CHAR(10)," "),CHAR(13)," "))),"")))</f>
        <v/>
      </c>
      <c r="DV610">
        <f>IF($DM610=0,"",IF($L$14=0,"",IFERROR(IF(ISNUMBER(INDEX(PASTE_ALL,$DF610,$L$14)),INDEX(PASTE_ALL,$DF610,$L$14),TRIM(SUBSTITUTE(SUBSTITUTE(SUBSTITUTE(SUBSTITUTE(INDEX(PASTE_ALL,$DF610,$L$14)," "," "),CHAR(9)," "),CHAR(10)," "),CHAR(13)," "))),"")))</f>
        <v/>
      </c>
      <c r="DW610">
        <f>IF($DM610=0,"",IF($L$15=0,"",IFERROR(IF(ISNUMBER(INDEX(PASTE_ALL,$DF610,$L$15)),INDEX(PASTE_ALL,$DF610,$L$15),IF(SUMPRODUCT(--ISNUMBER(FIND({"A","B","C","D","E","F","G","H","I","J","K","L","M","N","O","P","Q","R","S","T","U","V","W","X","Y","Z","0","1","2","3","4","5","6","7","8","9"},UPPER(TRIM(SUBSTITUTE(SUBSTITUTE(SUBSTITUTE(SUBSTITUTE(INDEX(PASTE_ALL,$DF610,$L$15)," "," "),CHAR(9)," "),CHAR(10)," "),CHAR(13)," "))))))&gt;0,TRIM(SUBSTITUTE(SUBSTITUTE(SUBSTITUTE(SUBSTITUTE(INDEX(PASTE_ALL,$DF610,$L$15)," "," "),CHAR(9)," "),CHAR(10)," "),CHAR(13)," ")),"")),"")))</f>
        <v/>
      </c>
      <c r="DX610">
        <f>IF($DM610=0,"",IF($L$16=0,"",IFERROR(IF(ISNUMBER(INDEX(PASTE_ALL,$DF610,$L$16)),INDEX(PASTE_ALL,$DF610,$L$16),SUBSTITUTE(SUBSTITUTE(TRIM(SUBSTITUTE(SUBSTITUTE(SUBSTITUTE(SUBSTITUTE(INDEX(PASTE_ALL,$DF610,$L$16)," "," "),CHAR(9)," "),CHAR(10)," "),CHAR(13)," ")),",",""),"%","")),"")))</f>
        <v/>
      </c>
      <c r="DY610">
        <f>IF($DM610=0,"",IFERROR(IF(ISNUMBER($DX610),$DX610,IF($DX610="","",IF(TRIM($DX610)="",0,IF(AND(AND(SUBSTITUTE(SUBSTITUTE(SUBSTITUTE(SUBSTITUTE(SUBSTITUTE(SUBSTITUTE(SUBSTITUTE(SUBSTITUTE(SUBSTITUTE(SUBSTITUTE(SUBSTITUTE(SUBSTITUTE(SUBSTITUTE(SUBSTITUTE(UPPER(TRIM($DX610)),"0",""),"1",""),"2",""),"3",""),"4",""),"5",""),"6",""),"7",""),"8",""),"9",""),".",""),"+",""),"-",""),"E","")="",LEN(SUBSTITUTE(SUBSTITUTE(MID(UPPER(TRIM($DX610)),1+OR(LEFT(UPPER(TRIM($DX610)),1)="+",LEFT(UPPER(TRIM($DX610)),1)="-"),999),"E+","E"),"E-","E"))=LEN(SUBSTITUTE(SUBSTITUTE(SUBSTITUTE(SUBSTITUTE(MID(UPPER(TRIM($DX610)),1+OR(LEFT(UPPER(TRIM($DX610)),1)="+",LEFT(UPPER(TRIM($DX610)),1)="-"),999),"E+","E"),"E-","E"),"+",""),"-","")),LEN(UPPER(TRIM($DX610)))-LEN(SUBSTITUTE(UPPER(TRIM($DX610)),"E",""))&lt;2,LEN(UPPER(TRIM($DX610)))-LEN(SUBSTITUTE(UPPER(TRIM($DX610)),".",""))&lt;2,IFERROR(FIND(".",UPPER(TRIM($DX610))),0)&lt;IFERROR(FIND("E",UPPER(TRIM($DX610))),999)),ISNUMBER(VALUE(TRIM($DX610)))),VALUE(TRIM($DX610)),"")))),""))</f>
        <v/>
      </c>
      <c r="DZ610">
        <f>IF($DM610=0,"",IF($L$17=0,"",IFERROR(IF(ISNUMBER(INDEX(PASTE_ALL,$DF610,$L$17)),INDEX(PASTE_ALL,$DF610,$L$17),SUBSTITUTE(SUBSTITUTE(TRIM(SUBSTITUTE(SUBSTITUTE(SUBSTITUTE(SUBSTITUTE(INDEX(PASTE_ALL,$DF610,$L$17)," "," "),CHAR(9)," "),CHAR(10)," "),CHAR(13)," ")),",",""),"%","")),"")))</f>
        <v/>
      </c>
      <c r="EA610">
        <f>IF($DM610=0,"",IFERROR(IF(ISNUMBER($DZ610),$DZ610,IF($DZ610="","",IF(TRIM($DZ610)="",0,IF(AND(AND(SUBSTITUTE(SUBSTITUTE(SUBSTITUTE(SUBSTITUTE(SUBSTITUTE(SUBSTITUTE(SUBSTITUTE(SUBSTITUTE(SUBSTITUTE(SUBSTITUTE(SUBSTITUTE(SUBSTITUTE(SUBSTITUTE(SUBSTITUTE(UPPER(TRIM($DZ610)),"0",""),"1",""),"2",""),"3",""),"4",""),"5",""),"6",""),"7",""),"8",""),"9",""),".",""),"+",""),"-",""),"E","")="",LEN(SUBSTITUTE(SUBSTITUTE(MID(UPPER(TRIM($DZ610)),1+OR(LEFT(UPPER(TRIM($DZ610)),1)="+",LEFT(UPPER(TRIM($DZ610)),1)="-"),999),"E+","E"),"E-","E"))=LEN(SUBSTITUTE(SUBSTITUTE(SUBSTITUTE(SUBSTITUTE(MID(UPPER(TRIM($DZ610)),1+OR(LEFT(UPPER(TRIM($DZ610)),1)="+",LEFT(UPPER(TRIM($DZ610)),1)="-"),999),"E+","E"),"E-","E"),"+",""),"-","")),LEN(UPPER(TRIM($DZ610)))-LEN(SUBSTITUTE(UPPER(TRIM($DZ610)),"E",""))&lt;2,LEN(UPPER(TRIM($DZ610)))-LEN(SUBSTITUTE(UPPER(TRIM($DZ610)),".",""))&lt;2,IFERROR(FIND(".",UPPER(TRIM($DZ610))),0)&lt;IFERROR(FIND("E",UPPER(TRIM($DZ610))),999)),ISNUMBER(VALUE(TRIM($DZ610)))),VALUE(TRIM($DZ610)),"")))),""))</f>
        <v/>
      </c>
      <c r="EB610">
        <f>IF($DM610=0,"",IF($L$18=0,"",IFERROR(IF(UPPER(TRIM(SUBSTITUTE(SUBSTITUTE(SUBSTITUTE(SUBSTITUTE(INDEX(PASTE_ALL,$DF610,$L$18)," "," "),CHAR(9)," "),CHAR(10)," "),CHAR(13)," ")))="READY","Ready",IF(UPPER(TRIM(SUBSTITUTE(SUBSTITUTE(SUBSTITUTE(SUBSTITUTE(INDEX(PASTE_ALL,$DF610,$L$18)," "," "),CHAR(9)," "),CHAR(10)," "),CHAR(13)," ")))="PM","PM",IF(OR(UPPER(TRIM(SUBSTITUTE(SUBSTITUTE(SUBSTITUTE(SUBSTITUTE(INDEX(PASTE_ALL,$DF610,$L$18)," "," "),CHAR(9)," "),CHAR(10)," "),CHAR(13)," ")))="OT",UPPER(TRIM(SUBSTITUTE(SUBSTITUTE(SUBSTITUTE(SUBSTITUTE(INDEX(PASTE_ALL,$DF610,$L$18)," "," "),CHAR(9)," "),CHAR(10)," "),CHAR(13)," ")))="OVERTIME",UPPER(TRIM(SUBSTITUTE(SUBSTITUTE(SUBSTITUTE(SUBSTITUTE(INDEX(PASTE_ALL,$DF610,$L$18)," "," "),CHAR(9)," "),CHAR(10)," "),CHAR(13)," ")))="TRIAL"),"OT",TRIM(SUBSTITUTE(SUBSTITUTE(SUBSTITUTE(SUBSTITUTE(INDEX(PASTE_ALL,$DF610,$L$18)," "," "),CHAR(9)," "),CHAR(10)," "),CHAR(13)," "))))),"")))</f>
        <v/>
      </c>
      <c r="EC610">
        <f>IF($DM610=0,"",IF($L$19=0,"",IFERROR(IF(ISNUMBER(INDEX(PASTE_ALL,$DF610,$L$19)),INDEX(PASTE_ALL,$DF610,$L$19),TRIM(SUBSTITUTE(SUBSTITUTE(SUBSTITUTE(SUBSTITUTE(INDEX(PASTE_ALL,$DF610,$L$19)," "," "),CHAR(9)," "),CHAR(10)," "),CHAR(13)," "))),"")))</f>
        <v/>
      </c>
      <c r="ED610">
        <f>IF($DM610=0,"",MATCH(1,INDEX(EXACT($DH$5:DH610,$DH610)*$DM$5:DM610,0),0))</f>
        <v/>
      </c>
      <c r="EE610">
        <f>IF($DM610=0,0,IF($ED610=$DE610,1,0))</f>
        <v/>
      </c>
      <c r="EF610">
        <f>EF609+$EE610</f>
        <v/>
      </c>
      <c r="EG610">
        <f>IF($DM610=0,"",INDEX($EF$5:$EF$1003,$ED610))</f>
        <v/>
      </c>
      <c r="EH610">
        <f>IF($DM610=0,"",IF($DO610&lt;&gt;"","",IFERROR(LOOKUP(2,1/(($EG$4:EG609=$EG610)*($DO$4:DO609&lt;&gt;"")),$DO$4:DO609),"")))</f>
        <v/>
      </c>
      <c r="EI610">
        <f>IF($DM610=0,"",IF($DO610&lt;&gt;"",$DO610,$EH610))</f>
        <v/>
      </c>
      <c r="EJ610">
        <f>IF($DM610=0,"",IF($EI610="",0,IF(OR(ISNUMBER($EI610),AND(AND(SUBSTITUTE(SUBSTITUTE(SUBSTITUTE(SUBSTITUTE(SUBSTITUTE(SUBSTITUTE(SUBSTITUTE(SUBSTITUTE(SUBSTITUTE(SUBSTITUTE(SUBSTITUTE(SUBSTITUTE(SUBSTITUTE(SUBSTITUTE(UPPER($EI610),"0",""),"1",""),"2",""),"3",""),"4",""),"5",""),"6",""),"7",""),"8",""),"9",""),".",""),"+",""),"-",""),"E","")="",LEN(SUBSTITUTE(SUBSTITUTE(MID(UPPER($EI610),1+OR(LEFT(UPPER($EI610),1)="+",LEFT(UPPER($EI610),1)="-"),999),"E+","E"),"E-","E"))=LEN(SUBSTITUTE(SUBSTITUTE(SUBSTITUTE(SUBSTITUTE(MID(UPPER($EI610),1+OR(LEFT(UPPER($EI610),1)="+",LEFT(UPPER($EI610),1)="-"),999),"E+","E"),"E-","E"),"+",""),"-","")),LEN(UPPER($EI610))-LEN(SUBSTITUTE(UPPER($EI610),"E",""))&lt;2,LEN(UPPER($EI610))-LEN(SUBSTITUTE(UPPER($EI610),".",""))&lt;2,IFERROR(FIND(".",UPPER($EI610)),0)&lt;IFERROR(FIND("E",UPPER($EI610)),999)),ISNUMBER(VALUE($EI610)))),1,2)))</f>
        <v/>
      </c>
      <c r="EK610">
        <f>IF($DM610=0,"",IF($EJ610=1,IF(ISNUMBER($EI610),$EI610,VALUE($EI610)),IF($EJ610=2,$DE610,0)))</f>
        <v/>
      </c>
      <c r="EL610">
        <f>IF($DM610=0,"",COUNTIF($EG$5:$EG$1003,"&lt;"&amp;$EG610)+SUMPRODUCT(($EG$5:$EG$1003=$EG610)*(($EJ$5:$EJ$1003&lt;$EJ610)+($EJ$5:$EJ$1003=$EJ610)*(($EK$5:$EK$1003&lt;$EK610)+($EK$5:$EK$1003=$EK610)*($DE$5:$DE$1003&lt;$DE610))))+1)</f>
        <v/>
      </c>
      <c r="EM610">
        <f>IF($DM610=0,"",$EL610+$EG610-1)</f>
        <v/>
      </c>
      <c r="EN610">
        <f>IF($DM610=0,0,IFERROR(MATCH(1,INDEX(--(TRIM(SUBSTITUTE(SUBSTITUTE(SUBSTITUTE(SUBSTITUTE(LINES_NAME&amp;""," "," "),CHAR(9)," "),CHAR(10)," "),CHAR(13)," "))=$DH610),0),0),0))</f>
        <v/>
      </c>
      <c r="EO610">
        <f>IF($EN610=0,0,IF(OR(UPPER(TRIM(INDEX(LINES_SCHEDULED,$EN610)&amp;""))="YES",UPPER(TRIM(INDEX(LINES_SCHEDULED,$EN610)&amp;""))="Y",UPPER(TRIM(INDEX(LINES_SCHEDULED,$EN610)&amp;""))="X"),1,0))</f>
        <v/>
      </c>
      <c r="EP610">
        <f>IF($DM610=0,"",IF(COUNTIFS($EG$5:$EG$1003,$EG610,$EB$5:$EB$1003,"Ready")&gt;0,"READY",IF(COUNTIFS($EG$5:$EG$1003,$EG610,$EB$5:$EB$1003,"PM")&gt;0,"PM",IF(COUNTIFS($EG$5:$EG$1003,$EG610,$EB$5:$EB$1003,"OT")&gt;0,"OT",""))))</f>
        <v/>
      </c>
      <c r="EQ610">
        <f>IF($EN610=0,"",UPPER(TRIM(INDEX(LINES_STATUS,$EN610)&amp;"")))</f>
        <v/>
      </c>
      <c r="ER610">
        <f>IF($DM610=0,"",IF(OR($EQ610="READY",$EQ610="PM",$EQ610="OT"),$EQ610,$EP610))</f>
        <v/>
      </c>
      <c r="ES610">
        <f>IF($DM610=0,"",IF(AND($DV610&lt;&gt;"",UPPER($DV610)&lt;&gt;"N"),"allergen",IF(ISNUMBER(SEARCH("oil",$DQ610)),"oil",IF(OR(EXACT($DS610,"A662"),EXACT($DS610,"A624")),"bulk",""))))</f>
        <v/>
      </c>
      <c r="ET610">
        <f>IF($DM610=0,"",IF(OR($EA610="",$EA610=0),"",$EA610/100))</f>
        <v/>
      </c>
      <c r="EU610">
        <f>IF(OR($ET610="",$DY610=""),"",INT($DY610*(1-$ET610)+0.5))</f>
        <v/>
      </c>
      <c r="EW610" t="n">
        <v>606</v>
      </c>
      <c r="EX610">
        <f>IFERROR(MATCH($EW610,$EM$5:$EM$1003,0),0)</f>
        <v/>
      </c>
      <c r="EY610">
        <f>IF($EW610&gt;$B$12,"",IF($EX610&gt;0,"row","spacer"))</f>
        <v/>
      </c>
      <c r="EZ610">
        <f>IF(AND($EY610="row",$EY609&lt;&gt;"row"),1,0)</f>
        <v/>
      </c>
      <c r="FA610">
        <f>IF(AND($EY610="row",$EY611&lt;&gt;"row"),1,0)</f>
        <v/>
      </c>
      <c r="FB610">
        <f>IF($EZ610=1,IFERROR(IF(ISNUMBER(INDEX(PASTE_ALL,INDEX($DF$5:$DF$1003,$EX610),$B$37)),INDEX(PASTE_ALL,INDEX($DF$5:$DF$1003,$EX610),$B$37),INDEX($DH$5:$DH$1003,$EX610)),INDEX($DH$5:$DH$1003,$EX610)),"")</f>
        <v/>
      </c>
      <c r="FC610">
        <f>IF($EY610="row",INDEX($ER$5:$ER$1003,$EX610),"")</f>
        <v/>
      </c>
      <c r="FD610">
        <f>IF($EY610="row",INDEX($DN$5:$DN$1003,$EX610),"")</f>
        <v/>
      </c>
      <c r="FE610">
        <f>IF($EY610="row",INDEX($DO$5:$DO$1003,$EX610),"")</f>
        <v/>
      </c>
      <c r="FF610">
        <f>IF($EY610="row",INDEX($DP$5:$DP$1003,$EX610),"")</f>
        <v/>
      </c>
      <c r="FG610">
        <f>IF($EY610="row",INDEX($DQ$5:$DQ$1003,$EX610),"")</f>
        <v/>
      </c>
      <c r="FH610">
        <f>IF($EY610="row",INDEX($DR$5:$DR$1003,$EX610),"")</f>
        <v/>
      </c>
      <c r="FI610">
        <f>IF($EY610="row",INDEX($DS$5:$DS$1003,$EX610),"")</f>
        <v/>
      </c>
      <c r="FJ610">
        <f>IF($EY610="row",INDEX($DT$5:$DT$1003,$EX610),"")</f>
        <v/>
      </c>
      <c r="FK610">
        <f>IF($EY610="row",INDEX($DU$5:$DU$1003,$EX610),"")</f>
        <v/>
      </c>
      <c r="FL610">
        <f>IF($EY610="row",INDEX($DV$5:$DV$1003,$EX610),"")</f>
        <v/>
      </c>
      <c r="FM610">
        <f>IF($EY610="row",INDEX($DW$5:$DW$1003,$EX610),"")</f>
        <v/>
      </c>
      <c r="FN610">
        <f>IF($EY610="row",INDEX($DY$5:$DY$1003,$EX610),"")</f>
        <v/>
      </c>
      <c r="FO610">
        <f>IF($EY610="row",INDEX($EA$5:$EA$1003,$EX610),"")</f>
        <v/>
      </c>
      <c r="FP610">
        <f>IF($EY610="row",INDEX($EC$5:$EC$1003,$EX610),"")</f>
        <v/>
      </c>
      <c r="FQ610">
        <f>IF($EY610="row",INDEX($ET$5:$ET$1003,$EX610),"")</f>
        <v/>
      </c>
      <c r="FR610">
        <f>IF($EY610="row",INDEX($EU$5:$EU$1003,$EX610),"")</f>
        <v/>
      </c>
      <c r="FS610">
        <f>IF(AND($EY610="row",$EY609="row"),IF(OR(INDEX($DT$5:$DT$1003,$EX609)="",INDEX($DT$5:$DT$1003,$EX610)=""),"",IF(NOT(EXACT(INDEX($DT$5:$DT$1003,$EX609),INDEX($DT$5:$DT$1003,$EX610))),"S4",IF(NOT(EXACT(INDEX($DS$5:$DS$1003,$EX609),INDEX($DS$5:$DS$1003,$EX610))),"S3",IF(NOT(EXACT(INDEX($DR$5:$DR$1003,$EX609),INDEX($DR$5:$DR$1003,$EX610))),"S1 Count Change","S1")))),"")</f>
        <v/>
      </c>
      <c r="FT610">
        <f>IF($EY610="row",INDEX($ES$5:$ES$1003,$EX610),"")</f>
        <v/>
      </c>
      <c r="FU610">
        <f>IF($EY610="row",INDEX($EO$5:$EO$1003,$EX610),0)</f>
        <v/>
      </c>
      <c r="FV610">
        <f>IF($FS610="S1 Count Change",1,0)</f>
        <v/>
      </c>
    </row>
    <row r="611">
      <c r="DA611" t="n">
        <v>607</v>
      </c>
      <c r="DB611">
        <f>IF($B$37=0,"",IFERROR(TRIM(SUBSTITUTE(SUBSTITUTE(SUBSTITUTE(SUBSTITUTE(INDEX(PASTE_ALL,607,$B$37)," "," "),CHAR(9)," "),CHAR(10)," "),CHAR(13)," ")),""))</f>
        <v/>
      </c>
      <c r="DC611">
        <f>IF(AND(607&gt;HEADER_ROW,UPPER(DB611)="LEGEND"),1,0)</f>
        <v/>
      </c>
      <c r="DE611" t="n">
        <v>607</v>
      </c>
      <c r="DF611">
        <f>HEADER_ROW+$DE611</f>
        <v/>
      </c>
      <c r="DG611">
        <f>IF(AND($DF611&lt;=1000,$DF611&lt;$B$8),1,0)</f>
        <v/>
      </c>
      <c r="DH611">
        <f>IF($DG611=1,IFERROR(INDEX($DB$5:$DB$1004,$DF611),""),"")</f>
        <v/>
      </c>
      <c r="DI611">
        <f>IF(AND($DG611=1,$DH611&lt;&gt;""),IFERROR(SUBSTITUTE(SUBSTITUTE(TRIM(SUBSTITUTE(SUBSTITUTE(SUBSTITUTE(SUBSTITUTE(IFERROR(INDEX(PASTE_ALL,$DF611,1)&amp;"","")&amp;"␟"&amp;IFERROR(INDEX(PASTE_ALL,$DF611,2)&amp;"","")&amp;"␟"&amp;IFERROR(INDEX(PASTE_ALL,$DF611,3)&amp;"","")&amp;"␟"&amp;IFERROR(INDEX(PASTE_ALL,$DF611,4)&amp;"","")&amp;"␟"&amp;IFERROR(INDEX(PASTE_ALL,$DF611,5)&amp;"","")&amp;"␟"&amp;IFERROR(INDEX(PASTE_ALL,$DF611,6)&amp;"","")&amp;"␟"&amp;IFERROR(INDEX(PASTE_ALL,$DF611,7)&amp;"","")&amp;"␟"&amp;IFERROR(INDEX(PASTE_ALL,$DF611,8)&amp;"","")&amp;"␟"&amp;IFERROR(INDEX(PASTE_ALL,$DF611,9)&amp;"","")&amp;"␟"&amp;IFERROR(INDEX(PASTE_ALL,$DF611,10)&amp;"","")&amp;"␟"&amp;IFERROR(INDEX(PASTE_ALL,$DF611,11)&amp;"","")&amp;"␟"&amp;IFERROR(INDEX(PASTE_ALL,$DF611,12)&amp;"","")&amp;"␟"&amp;IFERROR(INDEX(PASTE_ALL,$DF611,13)&amp;"","")&amp;"␟"&amp;IFERROR(INDEX(PASTE_ALL,$DF611,14)&amp;"","")&amp;"␟"&amp;IFERROR(INDEX(PASTE_ALL,$DF611,15)&amp;"","")&amp;"␟"&amp;IFERROR(INDEX(PASTE_ALL,$DF611,16)&amp;"","")&amp;"␟"&amp;IFERROR(INDEX(PASTE_ALL,$DF611,17)&amp;"","")&amp;"␟"&amp;IFERROR(INDEX(PASTE_ALL,$DF611,18)&amp;"","")&amp;"␟"&amp;IFERROR(INDEX(PASTE_ALL,$DF611,19)&amp;"","")&amp;"␟"&amp;IFERROR(INDEX(PASTE_ALL,$DF611,20)&amp;"","")&amp;"␟"&amp;IFERROR(INDEX(PASTE_ALL,$DF611,21)&amp;"","")&amp;"␟"&amp;IFERROR(INDEX(PASTE_ALL,$DF611,22)&amp;"","")&amp;"␟"&amp;IFERROR(INDEX(PASTE_ALL,$DF611,23)&amp;"","")&amp;"␟"&amp;IFERROR(INDEX(PASTE_ALL,$DF611,24)&amp;"","")&amp;"␟"&amp;IFERROR(INDEX(PASTE_ALL,$DF611,25)&amp;"","")&amp;"␟"&amp;IFERROR(INDEX(PASTE_ALL,$DF611,26)&amp;"","")&amp;"␟"&amp;IFERROR(INDEX(PASTE_ALL,$DF611,27)&amp;"","")&amp;"␟"&amp;IFERROR(INDEX(PASTE_ALL,$DF611,28)&amp;"","")&amp;"␟"&amp;IFERROR(INDEX(PASTE_ALL,$DF611,29)&amp;"","")&amp;"␟"&amp;IFERROR(INDEX(PASTE_ALL,$DF611,30)&amp;"","")&amp;"␟"&amp;IFERROR(INDEX(PASTE_ALL,$DF611,31)&amp;"","")&amp;"␟"&amp;IFERROR(INDEX(PASTE_ALL,$DF611,32)&amp;"","")&amp;"␟"&amp;IFERROR(INDEX(PASTE_ALL,$DF611,33)&amp;"","")&amp;"␟"&amp;IFERROR(INDEX(PASTE_ALL,$DF611,34)&amp;"","")&amp;"␟"&amp;IFERROR(INDEX(PASTE_ALL,$DF611,35)&amp;"","")&amp;"␟"&amp;IFERROR(INDEX(PASTE_ALL,$DF611,36)&amp;"","")&amp;"␟"&amp;IFERROR(INDEX(PASTE_ALL,$DF611,37)&amp;"","")&amp;"␟"&amp;IFERROR(INDEX(PASTE_ALL,$DF611,38)&amp;"","")&amp;"␟"&amp;IFERROR(INDEX(PASTE_ALL,$DF611,39)&amp;"","")&amp;"␟"&amp;IFERROR(INDEX(PASTE_ALL,$DF611,40)&amp;"","")&amp;"␟"&amp;IFERROR(INDEX(PASTE_ALL,$DF611,41)&amp;"","")&amp;"␟"&amp;IFERROR(INDEX(PASTE_ALL,$DF611,42)&amp;"","")&amp;"␟"&amp;IFERROR(INDEX(PASTE_ALL,$DF611,43)&amp;"","")&amp;"␟"&amp;IFERROR(INDEX(PASTE_ALL,$DF611,44)&amp;"","")&amp;"␟"&amp;IFERROR(INDEX(PASTE_ALL,$DF611,45)&amp;"","")&amp;"␟"&amp;IFERROR(INDEX(PASTE_ALL,$DF611,46)&amp;"","")&amp;"␟"&amp;IFERROR(INDEX(PASTE_ALL,$DF611,47)&amp;"","")&amp;"␟"&amp;IFERROR(INDEX(PASTE_ALL,$DF611,48)&amp;"","")&amp;"␟"&amp;IFERROR(INDEX(PASTE_ALL,$DF611,49)&amp;"","")&amp;"␟"&amp;IFERROR(INDEX(PASTE_ALL,$DF611,50)&amp;"","")&amp;"␟"&amp;IFERROR(INDEX(PASTE_ALL,$DF611,51)&amp;"","")&amp;"␟"&amp;IFERROR(INDEX(PASTE_ALL,$DF611,52)&amp;"","")&amp;"␟"&amp;IFERROR(INDEX(PASTE_ALL,$DF611,53)&amp;"","")&amp;"␟"&amp;IFERROR(INDEX(PASTE_ALL,$DF611,54)&amp;"","")&amp;"␟"&amp;IFERROR(INDEX(PASTE_ALL,$DF611,55)&amp;"","")&amp;"␟"&amp;IFERROR(INDEX(PASTE_ALL,$DF611,56)&amp;"","")&amp;"␟"&amp;IFERROR(INDEX(PASTE_ALL,$DF611,57)&amp;"","")&amp;"␟"&amp;IFERROR(INDEX(PASTE_ALL,$DF611,58)&amp;"","")&amp;"␟"&amp;IFERROR(INDEX(PASTE_ALL,$DF611,59)&amp;"","")&amp;"␟"&amp;IFERROR(INDEX(PASTE_ALL,$DF611,60)&amp;"","")," "," "),CHAR(9)," "),CHAR(10)," "),CHAR(13)," "))," ␟","␟"),"␟ ","␟"),"#"&amp;$DE611),"")</f>
        <v/>
      </c>
      <c r="DJ611">
        <f>IF($DI611="",0,IF(SUMPRODUCT(--EXACT($DI$4:DI610,$DI611))&gt;0,1,0))</f>
        <v/>
      </c>
      <c r="DK611">
        <f>IF(AND($DI611&lt;&gt;"",$DJ611=0),1,0)</f>
        <v/>
      </c>
      <c r="DL611">
        <f>DL610+$DK611</f>
        <v/>
      </c>
      <c r="DM611">
        <f>IF(AND($DK611=1,$DL611&lt;=600),1,0)</f>
        <v/>
      </c>
      <c r="DN611">
        <f>IF($DM611=0,"",IF($L$6=0,"",IFERROR(IF(ISNUMBER(INDEX(PASTE_ALL,$DF611,$L$6)),INDEX(PASTE_ALL,$DF611,$L$6),TRIM(SUBSTITUTE(SUBSTITUTE(SUBSTITUTE(SUBSTITUTE(INDEX(PASTE_ALL,$DF611,$L$6)," "," "),CHAR(9)," "),CHAR(10)," "),CHAR(13)," "))),"")))</f>
        <v/>
      </c>
      <c r="DO611">
        <f>IF($DM611=0,"",IF($L$7=0,"",IFERROR(IF(ISNUMBER(INDEX(PASTE_ALL,$DF611,$L$7)),INDEX(PASTE_ALL,$DF611,$L$7),TRIM(SUBSTITUTE(SUBSTITUTE(SUBSTITUTE(SUBSTITUTE(INDEX(PASTE_ALL,$DF611,$L$7)," "," "),CHAR(9)," "),CHAR(10)," "),CHAR(13)," "))),"")))</f>
        <v/>
      </c>
      <c r="DP611">
        <f>IF($DM611=0,"",IF($L$8=0,"",IFERROR(IF(ISNUMBER(INDEX(PASTE_ALL,$DF611,$L$8)),INDEX(PASTE_ALL,$DF611,$L$8),TRIM(SUBSTITUTE(SUBSTITUTE(SUBSTITUTE(SUBSTITUTE(INDEX(PASTE_ALL,$DF611,$L$8)," "," "),CHAR(9)," "),CHAR(10)," "),CHAR(13)," "))),"")))</f>
        <v/>
      </c>
      <c r="DQ611">
        <f>IF($DM611=0,"",IF($L$9=0,"",IFERROR(IF(ISNUMBER(INDEX(PASTE_ALL,$DF611,$L$9)),INDEX(PASTE_ALL,$DF611,$L$9),TRIM(SUBSTITUTE(SUBSTITUTE(SUBSTITUTE(SUBSTITUTE(INDEX(PASTE_ALL,$DF611,$L$9)," "," "),CHAR(9)," "),CHAR(10)," "),CHAR(13)," "))),"")))</f>
        <v/>
      </c>
      <c r="DR611">
        <f>IF($DM611=0,"",IF($L$10=0,"",IFERROR(IF(ISNUMBER(INDEX(PASTE_ALL,$DF611,$L$10)),INDEX(PASTE_ALL,$DF611,$L$10),TRIM(SUBSTITUTE(SUBSTITUTE(SUBSTITUTE(SUBSTITUTE(INDEX(PASTE_ALL,$DF611,$L$10)," "," "),CHAR(9)," "),CHAR(10)," "),CHAR(13)," "))),"")))</f>
        <v/>
      </c>
      <c r="DS611">
        <f>IF($DM611=0,"",IF($L$11=0,"",IFERROR(IF(ISNUMBER(INDEX(PASTE_ALL,$DF611,$L$11)),INDEX(PASTE_ALL,$DF611,$L$11),TRIM(SUBSTITUTE(SUBSTITUTE(SUBSTITUTE(SUBSTITUTE(INDEX(PASTE_ALL,$DF611,$L$11)," "," "),CHAR(9)," "),CHAR(10)," "),CHAR(13)," "))),"")))</f>
        <v/>
      </c>
      <c r="DT611">
        <f>IF($DM611=0,"",IF($L$12=0,"",IFERROR(IF(ISNUMBER(INDEX(PASTE_ALL,$DF611,$L$12)),INDEX(PASTE_ALL,$DF611,$L$12),TRIM(SUBSTITUTE(SUBSTITUTE(SUBSTITUTE(SUBSTITUTE(INDEX(PASTE_ALL,$DF611,$L$12)," "," "),CHAR(9)," "),CHAR(10)," "),CHAR(13)," "))),"")))</f>
        <v/>
      </c>
      <c r="DU611">
        <f>IF($DM611=0,"",IF($L$13=0,"",IFERROR(IF(ISNUMBER(INDEX(PASTE_ALL,$DF611,$L$13)),INDEX(PASTE_ALL,$DF611,$L$13),TRIM(SUBSTITUTE(SUBSTITUTE(SUBSTITUTE(SUBSTITUTE(INDEX(PASTE_ALL,$DF611,$L$13)," "," "),CHAR(9)," "),CHAR(10)," "),CHAR(13)," "))),"")))</f>
        <v/>
      </c>
      <c r="DV611">
        <f>IF($DM611=0,"",IF($L$14=0,"",IFERROR(IF(ISNUMBER(INDEX(PASTE_ALL,$DF611,$L$14)),INDEX(PASTE_ALL,$DF611,$L$14),TRIM(SUBSTITUTE(SUBSTITUTE(SUBSTITUTE(SUBSTITUTE(INDEX(PASTE_ALL,$DF611,$L$14)," "," "),CHAR(9)," "),CHAR(10)," "),CHAR(13)," "))),"")))</f>
        <v/>
      </c>
      <c r="DW611">
        <f>IF($DM611=0,"",IF($L$15=0,"",IFERROR(IF(ISNUMBER(INDEX(PASTE_ALL,$DF611,$L$15)),INDEX(PASTE_ALL,$DF611,$L$15),IF(SUMPRODUCT(--ISNUMBER(FIND({"A","B","C","D","E","F","G","H","I","J","K","L","M","N","O","P","Q","R","S","T","U","V","W","X","Y","Z","0","1","2","3","4","5","6","7","8","9"},UPPER(TRIM(SUBSTITUTE(SUBSTITUTE(SUBSTITUTE(SUBSTITUTE(INDEX(PASTE_ALL,$DF611,$L$15)," "," "),CHAR(9)," "),CHAR(10)," "),CHAR(13)," "))))))&gt;0,TRIM(SUBSTITUTE(SUBSTITUTE(SUBSTITUTE(SUBSTITUTE(INDEX(PASTE_ALL,$DF611,$L$15)," "," "),CHAR(9)," "),CHAR(10)," "),CHAR(13)," ")),"")),"")))</f>
        <v/>
      </c>
      <c r="DX611">
        <f>IF($DM611=0,"",IF($L$16=0,"",IFERROR(IF(ISNUMBER(INDEX(PASTE_ALL,$DF611,$L$16)),INDEX(PASTE_ALL,$DF611,$L$16),SUBSTITUTE(SUBSTITUTE(TRIM(SUBSTITUTE(SUBSTITUTE(SUBSTITUTE(SUBSTITUTE(INDEX(PASTE_ALL,$DF611,$L$16)," "," "),CHAR(9)," "),CHAR(10)," "),CHAR(13)," ")),",",""),"%","")),"")))</f>
        <v/>
      </c>
      <c r="DY611">
        <f>IF($DM611=0,"",IFERROR(IF(ISNUMBER($DX611),$DX611,IF($DX611="","",IF(TRIM($DX611)="",0,IF(AND(AND(SUBSTITUTE(SUBSTITUTE(SUBSTITUTE(SUBSTITUTE(SUBSTITUTE(SUBSTITUTE(SUBSTITUTE(SUBSTITUTE(SUBSTITUTE(SUBSTITUTE(SUBSTITUTE(SUBSTITUTE(SUBSTITUTE(SUBSTITUTE(UPPER(TRIM($DX611)),"0",""),"1",""),"2",""),"3",""),"4",""),"5",""),"6",""),"7",""),"8",""),"9",""),".",""),"+",""),"-",""),"E","")="",LEN(SUBSTITUTE(SUBSTITUTE(MID(UPPER(TRIM($DX611)),1+OR(LEFT(UPPER(TRIM($DX611)),1)="+",LEFT(UPPER(TRIM($DX611)),1)="-"),999),"E+","E"),"E-","E"))=LEN(SUBSTITUTE(SUBSTITUTE(SUBSTITUTE(SUBSTITUTE(MID(UPPER(TRIM($DX611)),1+OR(LEFT(UPPER(TRIM($DX611)),1)="+",LEFT(UPPER(TRIM($DX611)),1)="-"),999),"E+","E"),"E-","E"),"+",""),"-","")),LEN(UPPER(TRIM($DX611)))-LEN(SUBSTITUTE(UPPER(TRIM($DX611)),"E",""))&lt;2,LEN(UPPER(TRIM($DX611)))-LEN(SUBSTITUTE(UPPER(TRIM($DX611)),".",""))&lt;2,IFERROR(FIND(".",UPPER(TRIM($DX611))),0)&lt;IFERROR(FIND("E",UPPER(TRIM($DX611))),999)),ISNUMBER(VALUE(TRIM($DX611)))),VALUE(TRIM($DX611)),"")))),""))</f>
        <v/>
      </c>
      <c r="DZ611">
        <f>IF($DM611=0,"",IF($L$17=0,"",IFERROR(IF(ISNUMBER(INDEX(PASTE_ALL,$DF611,$L$17)),INDEX(PASTE_ALL,$DF611,$L$17),SUBSTITUTE(SUBSTITUTE(TRIM(SUBSTITUTE(SUBSTITUTE(SUBSTITUTE(SUBSTITUTE(INDEX(PASTE_ALL,$DF611,$L$17)," "," "),CHAR(9)," "),CHAR(10)," "),CHAR(13)," ")),",",""),"%","")),"")))</f>
        <v/>
      </c>
      <c r="EA611">
        <f>IF($DM611=0,"",IFERROR(IF(ISNUMBER($DZ611),$DZ611,IF($DZ611="","",IF(TRIM($DZ611)="",0,IF(AND(AND(SUBSTITUTE(SUBSTITUTE(SUBSTITUTE(SUBSTITUTE(SUBSTITUTE(SUBSTITUTE(SUBSTITUTE(SUBSTITUTE(SUBSTITUTE(SUBSTITUTE(SUBSTITUTE(SUBSTITUTE(SUBSTITUTE(SUBSTITUTE(UPPER(TRIM($DZ611)),"0",""),"1",""),"2",""),"3",""),"4",""),"5",""),"6",""),"7",""),"8",""),"9",""),".",""),"+",""),"-",""),"E","")="",LEN(SUBSTITUTE(SUBSTITUTE(MID(UPPER(TRIM($DZ611)),1+OR(LEFT(UPPER(TRIM($DZ611)),1)="+",LEFT(UPPER(TRIM($DZ611)),1)="-"),999),"E+","E"),"E-","E"))=LEN(SUBSTITUTE(SUBSTITUTE(SUBSTITUTE(SUBSTITUTE(MID(UPPER(TRIM($DZ611)),1+OR(LEFT(UPPER(TRIM($DZ611)),1)="+",LEFT(UPPER(TRIM($DZ611)),1)="-"),999),"E+","E"),"E-","E"),"+",""),"-","")),LEN(UPPER(TRIM($DZ611)))-LEN(SUBSTITUTE(UPPER(TRIM($DZ611)),"E",""))&lt;2,LEN(UPPER(TRIM($DZ611)))-LEN(SUBSTITUTE(UPPER(TRIM($DZ611)),".",""))&lt;2,IFERROR(FIND(".",UPPER(TRIM($DZ611))),0)&lt;IFERROR(FIND("E",UPPER(TRIM($DZ611))),999)),ISNUMBER(VALUE(TRIM($DZ611)))),VALUE(TRIM($DZ611)),"")))),""))</f>
        <v/>
      </c>
      <c r="EB611">
        <f>IF($DM611=0,"",IF($L$18=0,"",IFERROR(IF(UPPER(TRIM(SUBSTITUTE(SUBSTITUTE(SUBSTITUTE(SUBSTITUTE(INDEX(PASTE_ALL,$DF611,$L$18)," "," "),CHAR(9)," "),CHAR(10)," "),CHAR(13)," ")))="READY","Ready",IF(UPPER(TRIM(SUBSTITUTE(SUBSTITUTE(SUBSTITUTE(SUBSTITUTE(INDEX(PASTE_ALL,$DF611,$L$18)," "," "),CHAR(9)," "),CHAR(10)," "),CHAR(13)," ")))="PM","PM",IF(OR(UPPER(TRIM(SUBSTITUTE(SUBSTITUTE(SUBSTITUTE(SUBSTITUTE(INDEX(PASTE_ALL,$DF611,$L$18)," "," "),CHAR(9)," "),CHAR(10)," "),CHAR(13)," ")))="OT",UPPER(TRIM(SUBSTITUTE(SUBSTITUTE(SUBSTITUTE(SUBSTITUTE(INDEX(PASTE_ALL,$DF611,$L$18)," "," "),CHAR(9)," "),CHAR(10)," "),CHAR(13)," ")))="OVERTIME",UPPER(TRIM(SUBSTITUTE(SUBSTITUTE(SUBSTITUTE(SUBSTITUTE(INDEX(PASTE_ALL,$DF611,$L$18)," "," "),CHAR(9)," "),CHAR(10)," "),CHAR(13)," ")))="TRIAL"),"OT",TRIM(SUBSTITUTE(SUBSTITUTE(SUBSTITUTE(SUBSTITUTE(INDEX(PASTE_ALL,$DF611,$L$18)," "," "),CHAR(9)," "),CHAR(10)," "),CHAR(13)," "))))),"")))</f>
        <v/>
      </c>
      <c r="EC611">
        <f>IF($DM611=0,"",IF($L$19=0,"",IFERROR(IF(ISNUMBER(INDEX(PASTE_ALL,$DF611,$L$19)),INDEX(PASTE_ALL,$DF611,$L$19),TRIM(SUBSTITUTE(SUBSTITUTE(SUBSTITUTE(SUBSTITUTE(INDEX(PASTE_ALL,$DF611,$L$19)," "," "),CHAR(9)," "),CHAR(10)," "),CHAR(13)," "))),"")))</f>
        <v/>
      </c>
      <c r="ED611">
        <f>IF($DM611=0,"",MATCH(1,INDEX(EXACT($DH$5:DH611,$DH611)*$DM$5:DM611,0),0))</f>
        <v/>
      </c>
      <c r="EE611">
        <f>IF($DM611=0,0,IF($ED611=$DE611,1,0))</f>
        <v/>
      </c>
      <c r="EF611">
        <f>EF610+$EE611</f>
        <v/>
      </c>
      <c r="EG611">
        <f>IF($DM611=0,"",INDEX($EF$5:$EF$1003,$ED611))</f>
        <v/>
      </c>
      <c r="EH611">
        <f>IF($DM611=0,"",IF($DO611&lt;&gt;"","",IFERROR(LOOKUP(2,1/(($EG$4:EG610=$EG611)*($DO$4:DO610&lt;&gt;"")),$DO$4:DO610),"")))</f>
        <v/>
      </c>
      <c r="EI611">
        <f>IF($DM611=0,"",IF($DO611&lt;&gt;"",$DO611,$EH611))</f>
        <v/>
      </c>
      <c r="EJ611">
        <f>IF($DM611=0,"",IF($EI611="",0,IF(OR(ISNUMBER($EI611),AND(AND(SUBSTITUTE(SUBSTITUTE(SUBSTITUTE(SUBSTITUTE(SUBSTITUTE(SUBSTITUTE(SUBSTITUTE(SUBSTITUTE(SUBSTITUTE(SUBSTITUTE(SUBSTITUTE(SUBSTITUTE(SUBSTITUTE(SUBSTITUTE(UPPER($EI611),"0",""),"1",""),"2",""),"3",""),"4",""),"5",""),"6",""),"7",""),"8",""),"9",""),".",""),"+",""),"-",""),"E","")="",LEN(SUBSTITUTE(SUBSTITUTE(MID(UPPER($EI611),1+OR(LEFT(UPPER($EI611),1)="+",LEFT(UPPER($EI611),1)="-"),999),"E+","E"),"E-","E"))=LEN(SUBSTITUTE(SUBSTITUTE(SUBSTITUTE(SUBSTITUTE(MID(UPPER($EI611),1+OR(LEFT(UPPER($EI611),1)="+",LEFT(UPPER($EI611),1)="-"),999),"E+","E"),"E-","E"),"+",""),"-","")),LEN(UPPER($EI611))-LEN(SUBSTITUTE(UPPER($EI611),"E",""))&lt;2,LEN(UPPER($EI611))-LEN(SUBSTITUTE(UPPER($EI611),".",""))&lt;2,IFERROR(FIND(".",UPPER($EI611)),0)&lt;IFERROR(FIND("E",UPPER($EI611)),999)),ISNUMBER(VALUE($EI611)))),1,2)))</f>
        <v/>
      </c>
      <c r="EK611">
        <f>IF($DM611=0,"",IF($EJ611=1,IF(ISNUMBER($EI611),$EI611,VALUE($EI611)),IF($EJ611=2,$DE611,0)))</f>
        <v/>
      </c>
      <c r="EL611">
        <f>IF($DM611=0,"",COUNTIF($EG$5:$EG$1003,"&lt;"&amp;$EG611)+SUMPRODUCT(($EG$5:$EG$1003=$EG611)*(($EJ$5:$EJ$1003&lt;$EJ611)+($EJ$5:$EJ$1003=$EJ611)*(($EK$5:$EK$1003&lt;$EK611)+($EK$5:$EK$1003=$EK611)*($DE$5:$DE$1003&lt;$DE611))))+1)</f>
        <v/>
      </c>
      <c r="EM611">
        <f>IF($DM611=0,"",$EL611+$EG611-1)</f>
        <v/>
      </c>
      <c r="EN611">
        <f>IF($DM611=0,0,IFERROR(MATCH(1,INDEX(--(TRIM(SUBSTITUTE(SUBSTITUTE(SUBSTITUTE(SUBSTITUTE(LINES_NAME&amp;""," "," "),CHAR(9)," "),CHAR(10)," "),CHAR(13)," "))=$DH611),0),0),0))</f>
        <v/>
      </c>
      <c r="EO611">
        <f>IF($EN611=0,0,IF(OR(UPPER(TRIM(INDEX(LINES_SCHEDULED,$EN611)&amp;""))="YES",UPPER(TRIM(INDEX(LINES_SCHEDULED,$EN611)&amp;""))="Y",UPPER(TRIM(INDEX(LINES_SCHEDULED,$EN611)&amp;""))="X"),1,0))</f>
        <v/>
      </c>
      <c r="EP611">
        <f>IF($DM611=0,"",IF(COUNTIFS($EG$5:$EG$1003,$EG611,$EB$5:$EB$1003,"Ready")&gt;0,"READY",IF(COUNTIFS($EG$5:$EG$1003,$EG611,$EB$5:$EB$1003,"PM")&gt;0,"PM",IF(COUNTIFS($EG$5:$EG$1003,$EG611,$EB$5:$EB$1003,"OT")&gt;0,"OT",""))))</f>
        <v/>
      </c>
      <c r="EQ611">
        <f>IF($EN611=0,"",UPPER(TRIM(INDEX(LINES_STATUS,$EN611)&amp;"")))</f>
        <v/>
      </c>
      <c r="ER611">
        <f>IF($DM611=0,"",IF(OR($EQ611="READY",$EQ611="PM",$EQ611="OT"),$EQ611,$EP611))</f>
        <v/>
      </c>
      <c r="ES611">
        <f>IF($DM611=0,"",IF(AND($DV611&lt;&gt;"",UPPER($DV611)&lt;&gt;"N"),"allergen",IF(ISNUMBER(SEARCH("oil",$DQ611)),"oil",IF(OR(EXACT($DS611,"A662"),EXACT($DS611,"A624")),"bulk",""))))</f>
        <v/>
      </c>
      <c r="ET611">
        <f>IF($DM611=0,"",IF(OR($EA611="",$EA611=0),"",$EA611/100))</f>
        <v/>
      </c>
      <c r="EU611">
        <f>IF(OR($ET611="",$DY611=""),"",INT($DY611*(1-$ET611)+0.5))</f>
        <v/>
      </c>
      <c r="EW611" t="n">
        <v>607</v>
      </c>
      <c r="EX611">
        <f>IFERROR(MATCH($EW611,$EM$5:$EM$1003,0),0)</f>
        <v/>
      </c>
      <c r="EY611">
        <f>IF($EW611&gt;$B$12,"",IF($EX611&gt;0,"row","spacer"))</f>
        <v/>
      </c>
      <c r="EZ611">
        <f>IF(AND($EY611="row",$EY610&lt;&gt;"row"),1,0)</f>
        <v/>
      </c>
      <c r="FA611">
        <f>IF(AND($EY611="row",$EY612&lt;&gt;"row"),1,0)</f>
        <v/>
      </c>
      <c r="FB611">
        <f>IF($EZ611=1,IFERROR(IF(ISNUMBER(INDEX(PASTE_ALL,INDEX($DF$5:$DF$1003,$EX611),$B$37)),INDEX(PASTE_ALL,INDEX($DF$5:$DF$1003,$EX611),$B$37),INDEX($DH$5:$DH$1003,$EX611)),INDEX($DH$5:$DH$1003,$EX611)),"")</f>
        <v/>
      </c>
      <c r="FC611">
        <f>IF($EY611="row",INDEX($ER$5:$ER$1003,$EX611),"")</f>
        <v/>
      </c>
      <c r="FD611">
        <f>IF($EY611="row",INDEX($DN$5:$DN$1003,$EX611),"")</f>
        <v/>
      </c>
      <c r="FE611">
        <f>IF($EY611="row",INDEX($DO$5:$DO$1003,$EX611),"")</f>
        <v/>
      </c>
      <c r="FF611">
        <f>IF($EY611="row",INDEX($DP$5:$DP$1003,$EX611),"")</f>
        <v/>
      </c>
      <c r="FG611">
        <f>IF($EY611="row",INDEX($DQ$5:$DQ$1003,$EX611),"")</f>
        <v/>
      </c>
      <c r="FH611">
        <f>IF($EY611="row",INDEX($DR$5:$DR$1003,$EX611),"")</f>
        <v/>
      </c>
      <c r="FI611">
        <f>IF($EY611="row",INDEX($DS$5:$DS$1003,$EX611),"")</f>
        <v/>
      </c>
      <c r="FJ611">
        <f>IF($EY611="row",INDEX($DT$5:$DT$1003,$EX611),"")</f>
        <v/>
      </c>
      <c r="FK611">
        <f>IF($EY611="row",INDEX($DU$5:$DU$1003,$EX611),"")</f>
        <v/>
      </c>
      <c r="FL611">
        <f>IF($EY611="row",INDEX($DV$5:$DV$1003,$EX611),"")</f>
        <v/>
      </c>
      <c r="FM611">
        <f>IF($EY611="row",INDEX($DW$5:$DW$1003,$EX611),"")</f>
        <v/>
      </c>
      <c r="FN611">
        <f>IF($EY611="row",INDEX($DY$5:$DY$1003,$EX611),"")</f>
        <v/>
      </c>
      <c r="FO611">
        <f>IF($EY611="row",INDEX($EA$5:$EA$1003,$EX611),"")</f>
        <v/>
      </c>
      <c r="FP611">
        <f>IF($EY611="row",INDEX($EC$5:$EC$1003,$EX611),"")</f>
        <v/>
      </c>
      <c r="FQ611">
        <f>IF($EY611="row",INDEX($ET$5:$ET$1003,$EX611),"")</f>
        <v/>
      </c>
      <c r="FR611">
        <f>IF($EY611="row",INDEX($EU$5:$EU$1003,$EX611),"")</f>
        <v/>
      </c>
      <c r="FS611">
        <f>IF(AND($EY611="row",$EY610="row"),IF(OR(INDEX($DT$5:$DT$1003,$EX610)="",INDEX($DT$5:$DT$1003,$EX611)=""),"",IF(NOT(EXACT(INDEX($DT$5:$DT$1003,$EX610),INDEX($DT$5:$DT$1003,$EX611))),"S4",IF(NOT(EXACT(INDEX($DS$5:$DS$1003,$EX610),INDEX($DS$5:$DS$1003,$EX611))),"S3",IF(NOT(EXACT(INDEX($DR$5:$DR$1003,$EX610),INDEX($DR$5:$DR$1003,$EX611))),"S1 Count Change","S1")))),"")</f>
        <v/>
      </c>
      <c r="FT611">
        <f>IF($EY611="row",INDEX($ES$5:$ES$1003,$EX611),"")</f>
        <v/>
      </c>
      <c r="FU611">
        <f>IF($EY611="row",INDEX($EO$5:$EO$1003,$EX611),0)</f>
        <v/>
      </c>
      <c r="FV611">
        <f>IF($FS611="S1 Count Change",1,0)</f>
        <v/>
      </c>
    </row>
    <row r="612">
      <c r="DA612" t="n">
        <v>608</v>
      </c>
      <c r="DB612">
        <f>IF($B$37=0,"",IFERROR(TRIM(SUBSTITUTE(SUBSTITUTE(SUBSTITUTE(SUBSTITUTE(INDEX(PASTE_ALL,608,$B$37)," "," "),CHAR(9)," "),CHAR(10)," "),CHAR(13)," ")),""))</f>
        <v/>
      </c>
      <c r="DC612">
        <f>IF(AND(608&gt;HEADER_ROW,UPPER(DB612)="LEGEND"),1,0)</f>
        <v/>
      </c>
      <c r="DE612" t="n">
        <v>608</v>
      </c>
      <c r="DF612">
        <f>HEADER_ROW+$DE612</f>
        <v/>
      </c>
      <c r="DG612">
        <f>IF(AND($DF612&lt;=1000,$DF612&lt;$B$8),1,0)</f>
        <v/>
      </c>
      <c r="DH612">
        <f>IF($DG612=1,IFERROR(INDEX($DB$5:$DB$1004,$DF612),""),"")</f>
        <v/>
      </c>
      <c r="DI612">
        <f>IF(AND($DG612=1,$DH612&lt;&gt;""),IFERROR(SUBSTITUTE(SUBSTITUTE(TRIM(SUBSTITUTE(SUBSTITUTE(SUBSTITUTE(SUBSTITUTE(IFERROR(INDEX(PASTE_ALL,$DF612,1)&amp;"","")&amp;"␟"&amp;IFERROR(INDEX(PASTE_ALL,$DF612,2)&amp;"","")&amp;"␟"&amp;IFERROR(INDEX(PASTE_ALL,$DF612,3)&amp;"","")&amp;"␟"&amp;IFERROR(INDEX(PASTE_ALL,$DF612,4)&amp;"","")&amp;"␟"&amp;IFERROR(INDEX(PASTE_ALL,$DF612,5)&amp;"","")&amp;"␟"&amp;IFERROR(INDEX(PASTE_ALL,$DF612,6)&amp;"","")&amp;"␟"&amp;IFERROR(INDEX(PASTE_ALL,$DF612,7)&amp;"","")&amp;"␟"&amp;IFERROR(INDEX(PASTE_ALL,$DF612,8)&amp;"","")&amp;"␟"&amp;IFERROR(INDEX(PASTE_ALL,$DF612,9)&amp;"","")&amp;"␟"&amp;IFERROR(INDEX(PASTE_ALL,$DF612,10)&amp;"","")&amp;"␟"&amp;IFERROR(INDEX(PASTE_ALL,$DF612,11)&amp;"","")&amp;"␟"&amp;IFERROR(INDEX(PASTE_ALL,$DF612,12)&amp;"","")&amp;"␟"&amp;IFERROR(INDEX(PASTE_ALL,$DF612,13)&amp;"","")&amp;"␟"&amp;IFERROR(INDEX(PASTE_ALL,$DF612,14)&amp;"","")&amp;"␟"&amp;IFERROR(INDEX(PASTE_ALL,$DF612,15)&amp;"","")&amp;"␟"&amp;IFERROR(INDEX(PASTE_ALL,$DF612,16)&amp;"","")&amp;"␟"&amp;IFERROR(INDEX(PASTE_ALL,$DF612,17)&amp;"","")&amp;"␟"&amp;IFERROR(INDEX(PASTE_ALL,$DF612,18)&amp;"","")&amp;"␟"&amp;IFERROR(INDEX(PASTE_ALL,$DF612,19)&amp;"","")&amp;"␟"&amp;IFERROR(INDEX(PASTE_ALL,$DF612,20)&amp;"","")&amp;"␟"&amp;IFERROR(INDEX(PASTE_ALL,$DF612,21)&amp;"","")&amp;"␟"&amp;IFERROR(INDEX(PASTE_ALL,$DF612,22)&amp;"","")&amp;"␟"&amp;IFERROR(INDEX(PASTE_ALL,$DF612,23)&amp;"","")&amp;"␟"&amp;IFERROR(INDEX(PASTE_ALL,$DF612,24)&amp;"","")&amp;"␟"&amp;IFERROR(INDEX(PASTE_ALL,$DF612,25)&amp;"","")&amp;"␟"&amp;IFERROR(INDEX(PASTE_ALL,$DF612,26)&amp;"","")&amp;"␟"&amp;IFERROR(INDEX(PASTE_ALL,$DF612,27)&amp;"","")&amp;"␟"&amp;IFERROR(INDEX(PASTE_ALL,$DF612,28)&amp;"","")&amp;"␟"&amp;IFERROR(INDEX(PASTE_ALL,$DF612,29)&amp;"","")&amp;"␟"&amp;IFERROR(INDEX(PASTE_ALL,$DF612,30)&amp;"","")&amp;"␟"&amp;IFERROR(INDEX(PASTE_ALL,$DF612,31)&amp;"","")&amp;"␟"&amp;IFERROR(INDEX(PASTE_ALL,$DF612,32)&amp;"","")&amp;"␟"&amp;IFERROR(INDEX(PASTE_ALL,$DF612,33)&amp;"","")&amp;"␟"&amp;IFERROR(INDEX(PASTE_ALL,$DF612,34)&amp;"","")&amp;"␟"&amp;IFERROR(INDEX(PASTE_ALL,$DF612,35)&amp;"","")&amp;"␟"&amp;IFERROR(INDEX(PASTE_ALL,$DF612,36)&amp;"","")&amp;"␟"&amp;IFERROR(INDEX(PASTE_ALL,$DF612,37)&amp;"","")&amp;"␟"&amp;IFERROR(INDEX(PASTE_ALL,$DF612,38)&amp;"","")&amp;"␟"&amp;IFERROR(INDEX(PASTE_ALL,$DF612,39)&amp;"","")&amp;"␟"&amp;IFERROR(INDEX(PASTE_ALL,$DF612,40)&amp;"","")&amp;"␟"&amp;IFERROR(INDEX(PASTE_ALL,$DF612,41)&amp;"","")&amp;"␟"&amp;IFERROR(INDEX(PASTE_ALL,$DF612,42)&amp;"","")&amp;"␟"&amp;IFERROR(INDEX(PASTE_ALL,$DF612,43)&amp;"","")&amp;"␟"&amp;IFERROR(INDEX(PASTE_ALL,$DF612,44)&amp;"","")&amp;"␟"&amp;IFERROR(INDEX(PASTE_ALL,$DF612,45)&amp;"","")&amp;"␟"&amp;IFERROR(INDEX(PASTE_ALL,$DF612,46)&amp;"","")&amp;"␟"&amp;IFERROR(INDEX(PASTE_ALL,$DF612,47)&amp;"","")&amp;"␟"&amp;IFERROR(INDEX(PASTE_ALL,$DF612,48)&amp;"","")&amp;"␟"&amp;IFERROR(INDEX(PASTE_ALL,$DF612,49)&amp;"","")&amp;"␟"&amp;IFERROR(INDEX(PASTE_ALL,$DF612,50)&amp;"","")&amp;"␟"&amp;IFERROR(INDEX(PASTE_ALL,$DF612,51)&amp;"","")&amp;"␟"&amp;IFERROR(INDEX(PASTE_ALL,$DF612,52)&amp;"","")&amp;"␟"&amp;IFERROR(INDEX(PASTE_ALL,$DF612,53)&amp;"","")&amp;"␟"&amp;IFERROR(INDEX(PASTE_ALL,$DF612,54)&amp;"","")&amp;"␟"&amp;IFERROR(INDEX(PASTE_ALL,$DF612,55)&amp;"","")&amp;"␟"&amp;IFERROR(INDEX(PASTE_ALL,$DF612,56)&amp;"","")&amp;"␟"&amp;IFERROR(INDEX(PASTE_ALL,$DF612,57)&amp;"","")&amp;"␟"&amp;IFERROR(INDEX(PASTE_ALL,$DF612,58)&amp;"","")&amp;"␟"&amp;IFERROR(INDEX(PASTE_ALL,$DF612,59)&amp;"","")&amp;"␟"&amp;IFERROR(INDEX(PASTE_ALL,$DF612,60)&amp;"","")," "," "),CHAR(9)," "),CHAR(10)," "),CHAR(13)," "))," ␟","␟"),"␟ ","␟"),"#"&amp;$DE612),"")</f>
        <v/>
      </c>
      <c r="DJ612">
        <f>IF($DI612="",0,IF(SUMPRODUCT(--EXACT($DI$4:DI611,$DI612))&gt;0,1,0))</f>
        <v/>
      </c>
      <c r="DK612">
        <f>IF(AND($DI612&lt;&gt;"",$DJ612=0),1,0)</f>
        <v/>
      </c>
      <c r="DL612">
        <f>DL611+$DK612</f>
        <v/>
      </c>
      <c r="DM612">
        <f>IF(AND($DK612=1,$DL612&lt;=600),1,0)</f>
        <v/>
      </c>
      <c r="DN612">
        <f>IF($DM612=0,"",IF($L$6=0,"",IFERROR(IF(ISNUMBER(INDEX(PASTE_ALL,$DF612,$L$6)),INDEX(PASTE_ALL,$DF612,$L$6),TRIM(SUBSTITUTE(SUBSTITUTE(SUBSTITUTE(SUBSTITUTE(INDEX(PASTE_ALL,$DF612,$L$6)," "," "),CHAR(9)," "),CHAR(10)," "),CHAR(13)," "))),"")))</f>
        <v/>
      </c>
      <c r="DO612">
        <f>IF($DM612=0,"",IF($L$7=0,"",IFERROR(IF(ISNUMBER(INDEX(PASTE_ALL,$DF612,$L$7)),INDEX(PASTE_ALL,$DF612,$L$7),TRIM(SUBSTITUTE(SUBSTITUTE(SUBSTITUTE(SUBSTITUTE(INDEX(PASTE_ALL,$DF612,$L$7)," "," "),CHAR(9)," "),CHAR(10)," "),CHAR(13)," "))),"")))</f>
        <v/>
      </c>
      <c r="DP612">
        <f>IF($DM612=0,"",IF($L$8=0,"",IFERROR(IF(ISNUMBER(INDEX(PASTE_ALL,$DF612,$L$8)),INDEX(PASTE_ALL,$DF612,$L$8),TRIM(SUBSTITUTE(SUBSTITUTE(SUBSTITUTE(SUBSTITUTE(INDEX(PASTE_ALL,$DF612,$L$8)," "," "),CHAR(9)," "),CHAR(10)," "),CHAR(13)," "))),"")))</f>
        <v/>
      </c>
      <c r="DQ612">
        <f>IF($DM612=0,"",IF($L$9=0,"",IFERROR(IF(ISNUMBER(INDEX(PASTE_ALL,$DF612,$L$9)),INDEX(PASTE_ALL,$DF612,$L$9),TRIM(SUBSTITUTE(SUBSTITUTE(SUBSTITUTE(SUBSTITUTE(INDEX(PASTE_ALL,$DF612,$L$9)," "," "),CHAR(9)," "),CHAR(10)," "),CHAR(13)," "))),"")))</f>
        <v/>
      </c>
      <c r="DR612">
        <f>IF($DM612=0,"",IF($L$10=0,"",IFERROR(IF(ISNUMBER(INDEX(PASTE_ALL,$DF612,$L$10)),INDEX(PASTE_ALL,$DF612,$L$10),TRIM(SUBSTITUTE(SUBSTITUTE(SUBSTITUTE(SUBSTITUTE(INDEX(PASTE_ALL,$DF612,$L$10)," "," "),CHAR(9)," "),CHAR(10)," "),CHAR(13)," "))),"")))</f>
        <v/>
      </c>
      <c r="DS612">
        <f>IF($DM612=0,"",IF($L$11=0,"",IFERROR(IF(ISNUMBER(INDEX(PASTE_ALL,$DF612,$L$11)),INDEX(PASTE_ALL,$DF612,$L$11),TRIM(SUBSTITUTE(SUBSTITUTE(SUBSTITUTE(SUBSTITUTE(INDEX(PASTE_ALL,$DF612,$L$11)," "," "),CHAR(9)," "),CHAR(10)," "),CHAR(13)," "))),"")))</f>
        <v/>
      </c>
      <c r="DT612">
        <f>IF($DM612=0,"",IF($L$12=0,"",IFERROR(IF(ISNUMBER(INDEX(PASTE_ALL,$DF612,$L$12)),INDEX(PASTE_ALL,$DF612,$L$12),TRIM(SUBSTITUTE(SUBSTITUTE(SUBSTITUTE(SUBSTITUTE(INDEX(PASTE_ALL,$DF612,$L$12)," "," "),CHAR(9)," "),CHAR(10)," "),CHAR(13)," "))),"")))</f>
        <v/>
      </c>
      <c r="DU612">
        <f>IF($DM612=0,"",IF($L$13=0,"",IFERROR(IF(ISNUMBER(INDEX(PASTE_ALL,$DF612,$L$13)),INDEX(PASTE_ALL,$DF612,$L$13),TRIM(SUBSTITUTE(SUBSTITUTE(SUBSTITUTE(SUBSTITUTE(INDEX(PASTE_ALL,$DF612,$L$13)," "," "),CHAR(9)," "),CHAR(10)," "),CHAR(13)," "))),"")))</f>
        <v/>
      </c>
      <c r="DV612">
        <f>IF($DM612=0,"",IF($L$14=0,"",IFERROR(IF(ISNUMBER(INDEX(PASTE_ALL,$DF612,$L$14)),INDEX(PASTE_ALL,$DF612,$L$14),TRIM(SUBSTITUTE(SUBSTITUTE(SUBSTITUTE(SUBSTITUTE(INDEX(PASTE_ALL,$DF612,$L$14)," "," "),CHAR(9)," "),CHAR(10)," "),CHAR(13)," "))),"")))</f>
        <v/>
      </c>
      <c r="DW612">
        <f>IF($DM612=0,"",IF($L$15=0,"",IFERROR(IF(ISNUMBER(INDEX(PASTE_ALL,$DF612,$L$15)),INDEX(PASTE_ALL,$DF612,$L$15),IF(SUMPRODUCT(--ISNUMBER(FIND({"A","B","C","D","E","F","G","H","I","J","K","L","M","N","O","P","Q","R","S","T","U","V","W","X","Y","Z","0","1","2","3","4","5","6","7","8","9"},UPPER(TRIM(SUBSTITUTE(SUBSTITUTE(SUBSTITUTE(SUBSTITUTE(INDEX(PASTE_ALL,$DF612,$L$15)," "," "),CHAR(9)," "),CHAR(10)," "),CHAR(13)," "))))))&gt;0,TRIM(SUBSTITUTE(SUBSTITUTE(SUBSTITUTE(SUBSTITUTE(INDEX(PASTE_ALL,$DF612,$L$15)," "," "),CHAR(9)," "),CHAR(10)," "),CHAR(13)," ")),"")),"")))</f>
        <v/>
      </c>
      <c r="DX612">
        <f>IF($DM612=0,"",IF($L$16=0,"",IFERROR(IF(ISNUMBER(INDEX(PASTE_ALL,$DF612,$L$16)),INDEX(PASTE_ALL,$DF612,$L$16),SUBSTITUTE(SUBSTITUTE(TRIM(SUBSTITUTE(SUBSTITUTE(SUBSTITUTE(SUBSTITUTE(INDEX(PASTE_ALL,$DF612,$L$16)," "," "),CHAR(9)," "),CHAR(10)," "),CHAR(13)," ")),",",""),"%","")),"")))</f>
        <v/>
      </c>
      <c r="DY612">
        <f>IF($DM612=0,"",IFERROR(IF(ISNUMBER($DX612),$DX612,IF($DX612="","",IF(TRIM($DX612)="",0,IF(AND(AND(SUBSTITUTE(SUBSTITUTE(SUBSTITUTE(SUBSTITUTE(SUBSTITUTE(SUBSTITUTE(SUBSTITUTE(SUBSTITUTE(SUBSTITUTE(SUBSTITUTE(SUBSTITUTE(SUBSTITUTE(SUBSTITUTE(SUBSTITUTE(UPPER(TRIM($DX612)),"0",""),"1",""),"2",""),"3",""),"4",""),"5",""),"6",""),"7",""),"8",""),"9",""),".",""),"+",""),"-",""),"E","")="",LEN(SUBSTITUTE(SUBSTITUTE(MID(UPPER(TRIM($DX612)),1+OR(LEFT(UPPER(TRIM($DX612)),1)="+",LEFT(UPPER(TRIM($DX612)),1)="-"),999),"E+","E"),"E-","E"))=LEN(SUBSTITUTE(SUBSTITUTE(SUBSTITUTE(SUBSTITUTE(MID(UPPER(TRIM($DX612)),1+OR(LEFT(UPPER(TRIM($DX612)),1)="+",LEFT(UPPER(TRIM($DX612)),1)="-"),999),"E+","E"),"E-","E"),"+",""),"-","")),LEN(UPPER(TRIM($DX612)))-LEN(SUBSTITUTE(UPPER(TRIM($DX612)),"E",""))&lt;2,LEN(UPPER(TRIM($DX612)))-LEN(SUBSTITUTE(UPPER(TRIM($DX612)),".",""))&lt;2,IFERROR(FIND(".",UPPER(TRIM($DX612))),0)&lt;IFERROR(FIND("E",UPPER(TRIM($DX612))),999)),ISNUMBER(VALUE(TRIM($DX612)))),VALUE(TRIM($DX612)),"")))),""))</f>
        <v/>
      </c>
      <c r="DZ612">
        <f>IF($DM612=0,"",IF($L$17=0,"",IFERROR(IF(ISNUMBER(INDEX(PASTE_ALL,$DF612,$L$17)),INDEX(PASTE_ALL,$DF612,$L$17),SUBSTITUTE(SUBSTITUTE(TRIM(SUBSTITUTE(SUBSTITUTE(SUBSTITUTE(SUBSTITUTE(INDEX(PASTE_ALL,$DF612,$L$17)," "," "),CHAR(9)," "),CHAR(10)," "),CHAR(13)," ")),",",""),"%","")),"")))</f>
        <v/>
      </c>
      <c r="EA612">
        <f>IF($DM612=0,"",IFERROR(IF(ISNUMBER($DZ612),$DZ612,IF($DZ612="","",IF(TRIM($DZ612)="",0,IF(AND(AND(SUBSTITUTE(SUBSTITUTE(SUBSTITUTE(SUBSTITUTE(SUBSTITUTE(SUBSTITUTE(SUBSTITUTE(SUBSTITUTE(SUBSTITUTE(SUBSTITUTE(SUBSTITUTE(SUBSTITUTE(SUBSTITUTE(SUBSTITUTE(UPPER(TRIM($DZ612)),"0",""),"1",""),"2",""),"3",""),"4",""),"5",""),"6",""),"7",""),"8",""),"9",""),".",""),"+",""),"-",""),"E","")="",LEN(SUBSTITUTE(SUBSTITUTE(MID(UPPER(TRIM($DZ612)),1+OR(LEFT(UPPER(TRIM($DZ612)),1)="+",LEFT(UPPER(TRIM($DZ612)),1)="-"),999),"E+","E"),"E-","E"))=LEN(SUBSTITUTE(SUBSTITUTE(SUBSTITUTE(SUBSTITUTE(MID(UPPER(TRIM($DZ612)),1+OR(LEFT(UPPER(TRIM($DZ612)),1)="+",LEFT(UPPER(TRIM($DZ612)),1)="-"),999),"E+","E"),"E-","E"),"+",""),"-","")),LEN(UPPER(TRIM($DZ612)))-LEN(SUBSTITUTE(UPPER(TRIM($DZ612)),"E",""))&lt;2,LEN(UPPER(TRIM($DZ612)))-LEN(SUBSTITUTE(UPPER(TRIM($DZ612)),".",""))&lt;2,IFERROR(FIND(".",UPPER(TRIM($DZ612))),0)&lt;IFERROR(FIND("E",UPPER(TRIM($DZ612))),999)),ISNUMBER(VALUE(TRIM($DZ612)))),VALUE(TRIM($DZ612)),"")))),""))</f>
        <v/>
      </c>
      <c r="EB612">
        <f>IF($DM612=0,"",IF($L$18=0,"",IFERROR(IF(UPPER(TRIM(SUBSTITUTE(SUBSTITUTE(SUBSTITUTE(SUBSTITUTE(INDEX(PASTE_ALL,$DF612,$L$18)," "," "),CHAR(9)," "),CHAR(10)," "),CHAR(13)," ")))="READY","Ready",IF(UPPER(TRIM(SUBSTITUTE(SUBSTITUTE(SUBSTITUTE(SUBSTITUTE(INDEX(PASTE_ALL,$DF612,$L$18)," "," "),CHAR(9)," "),CHAR(10)," "),CHAR(13)," ")))="PM","PM",IF(OR(UPPER(TRIM(SUBSTITUTE(SUBSTITUTE(SUBSTITUTE(SUBSTITUTE(INDEX(PASTE_ALL,$DF612,$L$18)," "," "),CHAR(9)," "),CHAR(10)," "),CHAR(13)," ")))="OT",UPPER(TRIM(SUBSTITUTE(SUBSTITUTE(SUBSTITUTE(SUBSTITUTE(INDEX(PASTE_ALL,$DF612,$L$18)," "," "),CHAR(9)," "),CHAR(10)," "),CHAR(13)," ")))="OVERTIME",UPPER(TRIM(SUBSTITUTE(SUBSTITUTE(SUBSTITUTE(SUBSTITUTE(INDEX(PASTE_ALL,$DF612,$L$18)," "," "),CHAR(9)," "),CHAR(10)," "),CHAR(13)," ")))="TRIAL"),"OT",TRIM(SUBSTITUTE(SUBSTITUTE(SUBSTITUTE(SUBSTITUTE(INDEX(PASTE_ALL,$DF612,$L$18)," "," "),CHAR(9)," "),CHAR(10)," "),CHAR(13)," "))))),"")))</f>
        <v/>
      </c>
      <c r="EC612">
        <f>IF($DM612=0,"",IF($L$19=0,"",IFERROR(IF(ISNUMBER(INDEX(PASTE_ALL,$DF612,$L$19)),INDEX(PASTE_ALL,$DF612,$L$19),TRIM(SUBSTITUTE(SUBSTITUTE(SUBSTITUTE(SUBSTITUTE(INDEX(PASTE_ALL,$DF612,$L$19)," "," "),CHAR(9)," "),CHAR(10)," "),CHAR(13)," "))),"")))</f>
        <v/>
      </c>
      <c r="ED612">
        <f>IF($DM612=0,"",MATCH(1,INDEX(EXACT($DH$5:DH612,$DH612)*$DM$5:DM612,0),0))</f>
        <v/>
      </c>
      <c r="EE612">
        <f>IF($DM612=0,0,IF($ED612=$DE612,1,0))</f>
        <v/>
      </c>
      <c r="EF612">
        <f>EF611+$EE612</f>
        <v/>
      </c>
      <c r="EG612">
        <f>IF($DM612=0,"",INDEX($EF$5:$EF$1003,$ED612))</f>
        <v/>
      </c>
      <c r="EH612">
        <f>IF($DM612=0,"",IF($DO612&lt;&gt;"","",IFERROR(LOOKUP(2,1/(($EG$4:EG611=$EG612)*($DO$4:DO611&lt;&gt;"")),$DO$4:DO611),"")))</f>
        <v/>
      </c>
      <c r="EI612">
        <f>IF($DM612=0,"",IF($DO612&lt;&gt;"",$DO612,$EH612))</f>
        <v/>
      </c>
      <c r="EJ612">
        <f>IF($DM612=0,"",IF($EI612="",0,IF(OR(ISNUMBER($EI612),AND(AND(SUBSTITUTE(SUBSTITUTE(SUBSTITUTE(SUBSTITUTE(SUBSTITUTE(SUBSTITUTE(SUBSTITUTE(SUBSTITUTE(SUBSTITUTE(SUBSTITUTE(SUBSTITUTE(SUBSTITUTE(SUBSTITUTE(SUBSTITUTE(UPPER($EI612),"0",""),"1",""),"2",""),"3",""),"4",""),"5",""),"6",""),"7",""),"8",""),"9",""),".",""),"+",""),"-",""),"E","")="",LEN(SUBSTITUTE(SUBSTITUTE(MID(UPPER($EI612),1+OR(LEFT(UPPER($EI612),1)="+",LEFT(UPPER($EI612),1)="-"),999),"E+","E"),"E-","E"))=LEN(SUBSTITUTE(SUBSTITUTE(SUBSTITUTE(SUBSTITUTE(MID(UPPER($EI612),1+OR(LEFT(UPPER($EI612),1)="+",LEFT(UPPER($EI612),1)="-"),999),"E+","E"),"E-","E"),"+",""),"-","")),LEN(UPPER($EI612))-LEN(SUBSTITUTE(UPPER($EI612),"E",""))&lt;2,LEN(UPPER($EI612))-LEN(SUBSTITUTE(UPPER($EI612),".",""))&lt;2,IFERROR(FIND(".",UPPER($EI612)),0)&lt;IFERROR(FIND("E",UPPER($EI612)),999)),ISNUMBER(VALUE($EI612)))),1,2)))</f>
        <v/>
      </c>
      <c r="EK612">
        <f>IF($DM612=0,"",IF($EJ612=1,IF(ISNUMBER($EI612),$EI612,VALUE($EI612)),IF($EJ612=2,$DE612,0)))</f>
        <v/>
      </c>
      <c r="EL612">
        <f>IF($DM612=0,"",COUNTIF($EG$5:$EG$1003,"&lt;"&amp;$EG612)+SUMPRODUCT(($EG$5:$EG$1003=$EG612)*(($EJ$5:$EJ$1003&lt;$EJ612)+($EJ$5:$EJ$1003=$EJ612)*(($EK$5:$EK$1003&lt;$EK612)+($EK$5:$EK$1003=$EK612)*($DE$5:$DE$1003&lt;$DE612))))+1)</f>
        <v/>
      </c>
      <c r="EM612">
        <f>IF($DM612=0,"",$EL612+$EG612-1)</f>
        <v/>
      </c>
      <c r="EN612">
        <f>IF($DM612=0,0,IFERROR(MATCH(1,INDEX(--(TRIM(SUBSTITUTE(SUBSTITUTE(SUBSTITUTE(SUBSTITUTE(LINES_NAME&amp;""," "," "),CHAR(9)," "),CHAR(10)," "),CHAR(13)," "))=$DH612),0),0),0))</f>
        <v/>
      </c>
      <c r="EO612">
        <f>IF($EN612=0,0,IF(OR(UPPER(TRIM(INDEX(LINES_SCHEDULED,$EN612)&amp;""))="YES",UPPER(TRIM(INDEX(LINES_SCHEDULED,$EN612)&amp;""))="Y",UPPER(TRIM(INDEX(LINES_SCHEDULED,$EN612)&amp;""))="X"),1,0))</f>
        <v/>
      </c>
      <c r="EP612">
        <f>IF($DM612=0,"",IF(COUNTIFS($EG$5:$EG$1003,$EG612,$EB$5:$EB$1003,"Ready")&gt;0,"READY",IF(COUNTIFS($EG$5:$EG$1003,$EG612,$EB$5:$EB$1003,"PM")&gt;0,"PM",IF(COUNTIFS($EG$5:$EG$1003,$EG612,$EB$5:$EB$1003,"OT")&gt;0,"OT",""))))</f>
        <v/>
      </c>
      <c r="EQ612">
        <f>IF($EN612=0,"",UPPER(TRIM(INDEX(LINES_STATUS,$EN612)&amp;"")))</f>
        <v/>
      </c>
      <c r="ER612">
        <f>IF($DM612=0,"",IF(OR($EQ612="READY",$EQ612="PM",$EQ612="OT"),$EQ612,$EP612))</f>
        <v/>
      </c>
      <c r="ES612">
        <f>IF($DM612=0,"",IF(AND($DV612&lt;&gt;"",UPPER($DV612)&lt;&gt;"N"),"allergen",IF(ISNUMBER(SEARCH("oil",$DQ612)),"oil",IF(OR(EXACT($DS612,"A662"),EXACT($DS612,"A624")),"bulk",""))))</f>
        <v/>
      </c>
      <c r="ET612">
        <f>IF($DM612=0,"",IF(OR($EA612="",$EA612=0),"",$EA612/100))</f>
        <v/>
      </c>
      <c r="EU612">
        <f>IF(OR($ET612="",$DY612=""),"",INT($DY612*(1-$ET612)+0.5))</f>
        <v/>
      </c>
      <c r="EW612" t="n">
        <v>608</v>
      </c>
      <c r="EX612">
        <f>IFERROR(MATCH($EW612,$EM$5:$EM$1003,0),0)</f>
        <v/>
      </c>
      <c r="EY612">
        <f>IF($EW612&gt;$B$12,"",IF($EX612&gt;0,"row","spacer"))</f>
        <v/>
      </c>
      <c r="EZ612">
        <f>IF(AND($EY612="row",$EY611&lt;&gt;"row"),1,0)</f>
        <v/>
      </c>
      <c r="FA612">
        <f>IF(AND($EY612="row",$EY613&lt;&gt;"row"),1,0)</f>
        <v/>
      </c>
      <c r="FB612">
        <f>IF($EZ612=1,IFERROR(IF(ISNUMBER(INDEX(PASTE_ALL,INDEX($DF$5:$DF$1003,$EX612),$B$37)),INDEX(PASTE_ALL,INDEX($DF$5:$DF$1003,$EX612),$B$37),INDEX($DH$5:$DH$1003,$EX612)),INDEX($DH$5:$DH$1003,$EX612)),"")</f>
        <v/>
      </c>
      <c r="FC612">
        <f>IF($EY612="row",INDEX($ER$5:$ER$1003,$EX612),"")</f>
        <v/>
      </c>
      <c r="FD612">
        <f>IF($EY612="row",INDEX($DN$5:$DN$1003,$EX612),"")</f>
        <v/>
      </c>
      <c r="FE612">
        <f>IF($EY612="row",INDEX($DO$5:$DO$1003,$EX612),"")</f>
        <v/>
      </c>
      <c r="FF612">
        <f>IF($EY612="row",INDEX($DP$5:$DP$1003,$EX612),"")</f>
        <v/>
      </c>
      <c r="FG612">
        <f>IF($EY612="row",INDEX($DQ$5:$DQ$1003,$EX612),"")</f>
        <v/>
      </c>
      <c r="FH612">
        <f>IF($EY612="row",INDEX($DR$5:$DR$1003,$EX612),"")</f>
        <v/>
      </c>
      <c r="FI612">
        <f>IF($EY612="row",INDEX($DS$5:$DS$1003,$EX612),"")</f>
        <v/>
      </c>
      <c r="FJ612">
        <f>IF($EY612="row",INDEX($DT$5:$DT$1003,$EX612),"")</f>
        <v/>
      </c>
      <c r="FK612">
        <f>IF($EY612="row",INDEX($DU$5:$DU$1003,$EX612),"")</f>
        <v/>
      </c>
      <c r="FL612">
        <f>IF($EY612="row",INDEX($DV$5:$DV$1003,$EX612),"")</f>
        <v/>
      </c>
      <c r="FM612">
        <f>IF($EY612="row",INDEX($DW$5:$DW$1003,$EX612),"")</f>
        <v/>
      </c>
      <c r="FN612">
        <f>IF($EY612="row",INDEX($DY$5:$DY$1003,$EX612),"")</f>
        <v/>
      </c>
      <c r="FO612">
        <f>IF($EY612="row",INDEX($EA$5:$EA$1003,$EX612),"")</f>
        <v/>
      </c>
      <c r="FP612">
        <f>IF($EY612="row",INDEX($EC$5:$EC$1003,$EX612),"")</f>
        <v/>
      </c>
      <c r="FQ612">
        <f>IF($EY612="row",INDEX($ET$5:$ET$1003,$EX612),"")</f>
        <v/>
      </c>
      <c r="FR612">
        <f>IF($EY612="row",INDEX($EU$5:$EU$1003,$EX612),"")</f>
        <v/>
      </c>
      <c r="FS612">
        <f>IF(AND($EY612="row",$EY611="row"),IF(OR(INDEX($DT$5:$DT$1003,$EX611)="",INDEX($DT$5:$DT$1003,$EX612)=""),"",IF(NOT(EXACT(INDEX($DT$5:$DT$1003,$EX611),INDEX($DT$5:$DT$1003,$EX612))),"S4",IF(NOT(EXACT(INDEX($DS$5:$DS$1003,$EX611),INDEX($DS$5:$DS$1003,$EX612))),"S3",IF(NOT(EXACT(INDEX($DR$5:$DR$1003,$EX611),INDEX($DR$5:$DR$1003,$EX612))),"S1 Count Change","S1")))),"")</f>
        <v/>
      </c>
      <c r="FT612">
        <f>IF($EY612="row",INDEX($ES$5:$ES$1003,$EX612),"")</f>
        <v/>
      </c>
      <c r="FU612">
        <f>IF($EY612="row",INDEX($EO$5:$EO$1003,$EX612),0)</f>
        <v/>
      </c>
      <c r="FV612">
        <f>IF($FS612="S1 Count Change",1,0)</f>
        <v/>
      </c>
    </row>
    <row r="613">
      <c r="DA613" t="n">
        <v>609</v>
      </c>
      <c r="DB613">
        <f>IF($B$37=0,"",IFERROR(TRIM(SUBSTITUTE(SUBSTITUTE(SUBSTITUTE(SUBSTITUTE(INDEX(PASTE_ALL,609,$B$37)," "," "),CHAR(9)," "),CHAR(10)," "),CHAR(13)," ")),""))</f>
        <v/>
      </c>
      <c r="DC613">
        <f>IF(AND(609&gt;HEADER_ROW,UPPER(DB613)="LEGEND"),1,0)</f>
        <v/>
      </c>
      <c r="DE613" t="n">
        <v>609</v>
      </c>
      <c r="DF613">
        <f>HEADER_ROW+$DE613</f>
        <v/>
      </c>
      <c r="DG613">
        <f>IF(AND($DF613&lt;=1000,$DF613&lt;$B$8),1,0)</f>
        <v/>
      </c>
      <c r="DH613">
        <f>IF($DG613=1,IFERROR(INDEX($DB$5:$DB$1004,$DF613),""),"")</f>
        <v/>
      </c>
      <c r="DI613">
        <f>IF(AND($DG613=1,$DH613&lt;&gt;""),IFERROR(SUBSTITUTE(SUBSTITUTE(TRIM(SUBSTITUTE(SUBSTITUTE(SUBSTITUTE(SUBSTITUTE(IFERROR(INDEX(PASTE_ALL,$DF613,1)&amp;"","")&amp;"␟"&amp;IFERROR(INDEX(PASTE_ALL,$DF613,2)&amp;"","")&amp;"␟"&amp;IFERROR(INDEX(PASTE_ALL,$DF613,3)&amp;"","")&amp;"␟"&amp;IFERROR(INDEX(PASTE_ALL,$DF613,4)&amp;"","")&amp;"␟"&amp;IFERROR(INDEX(PASTE_ALL,$DF613,5)&amp;"","")&amp;"␟"&amp;IFERROR(INDEX(PASTE_ALL,$DF613,6)&amp;"","")&amp;"␟"&amp;IFERROR(INDEX(PASTE_ALL,$DF613,7)&amp;"","")&amp;"␟"&amp;IFERROR(INDEX(PASTE_ALL,$DF613,8)&amp;"","")&amp;"␟"&amp;IFERROR(INDEX(PASTE_ALL,$DF613,9)&amp;"","")&amp;"␟"&amp;IFERROR(INDEX(PASTE_ALL,$DF613,10)&amp;"","")&amp;"␟"&amp;IFERROR(INDEX(PASTE_ALL,$DF613,11)&amp;"","")&amp;"␟"&amp;IFERROR(INDEX(PASTE_ALL,$DF613,12)&amp;"","")&amp;"␟"&amp;IFERROR(INDEX(PASTE_ALL,$DF613,13)&amp;"","")&amp;"␟"&amp;IFERROR(INDEX(PASTE_ALL,$DF613,14)&amp;"","")&amp;"␟"&amp;IFERROR(INDEX(PASTE_ALL,$DF613,15)&amp;"","")&amp;"␟"&amp;IFERROR(INDEX(PASTE_ALL,$DF613,16)&amp;"","")&amp;"␟"&amp;IFERROR(INDEX(PASTE_ALL,$DF613,17)&amp;"","")&amp;"␟"&amp;IFERROR(INDEX(PASTE_ALL,$DF613,18)&amp;"","")&amp;"␟"&amp;IFERROR(INDEX(PASTE_ALL,$DF613,19)&amp;"","")&amp;"␟"&amp;IFERROR(INDEX(PASTE_ALL,$DF613,20)&amp;"","")&amp;"␟"&amp;IFERROR(INDEX(PASTE_ALL,$DF613,21)&amp;"","")&amp;"␟"&amp;IFERROR(INDEX(PASTE_ALL,$DF613,22)&amp;"","")&amp;"␟"&amp;IFERROR(INDEX(PASTE_ALL,$DF613,23)&amp;"","")&amp;"␟"&amp;IFERROR(INDEX(PASTE_ALL,$DF613,24)&amp;"","")&amp;"␟"&amp;IFERROR(INDEX(PASTE_ALL,$DF613,25)&amp;"","")&amp;"␟"&amp;IFERROR(INDEX(PASTE_ALL,$DF613,26)&amp;"","")&amp;"␟"&amp;IFERROR(INDEX(PASTE_ALL,$DF613,27)&amp;"","")&amp;"␟"&amp;IFERROR(INDEX(PASTE_ALL,$DF613,28)&amp;"","")&amp;"␟"&amp;IFERROR(INDEX(PASTE_ALL,$DF613,29)&amp;"","")&amp;"␟"&amp;IFERROR(INDEX(PASTE_ALL,$DF613,30)&amp;"","")&amp;"␟"&amp;IFERROR(INDEX(PASTE_ALL,$DF613,31)&amp;"","")&amp;"␟"&amp;IFERROR(INDEX(PASTE_ALL,$DF613,32)&amp;"","")&amp;"␟"&amp;IFERROR(INDEX(PASTE_ALL,$DF613,33)&amp;"","")&amp;"␟"&amp;IFERROR(INDEX(PASTE_ALL,$DF613,34)&amp;"","")&amp;"␟"&amp;IFERROR(INDEX(PASTE_ALL,$DF613,35)&amp;"","")&amp;"␟"&amp;IFERROR(INDEX(PASTE_ALL,$DF613,36)&amp;"","")&amp;"␟"&amp;IFERROR(INDEX(PASTE_ALL,$DF613,37)&amp;"","")&amp;"␟"&amp;IFERROR(INDEX(PASTE_ALL,$DF613,38)&amp;"","")&amp;"␟"&amp;IFERROR(INDEX(PASTE_ALL,$DF613,39)&amp;"","")&amp;"␟"&amp;IFERROR(INDEX(PASTE_ALL,$DF613,40)&amp;"","")&amp;"␟"&amp;IFERROR(INDEX(PASTE_ALL,$DF613,41)&amp;"","")&amp;"␟"&amp;IFERROR(INDEX(PASTE_ALL,$DF613,42)&amp;"","")&amp;"␟"&amp;IFERROR(INDEX(PASTE_ALL,$DF613,43)&amp;"","")&amp;"␟"&amp;IFERROR(INDEX(PASTE_ALL,$DF613,44)&amp;"","")&amp;"␟"&amp;IFERROR(INDEX(PASTE_ALL,$DF613,45)&amp;"","")&amp;"␟"&amp;IFERROR(INDEX(PASTE_ALL,$DF613,46)&amp;"","")&amp;"␟"&amp;IFERROR(INDEX(PASTE_ALL,$DF613,47)&amp;"","")&amp;"␟"&amp;IFERROR(INDEX(PASTE_ALL,$DF613,48)&amp;"","")&amp;"␟"&amp;IFERROR(INDEX(PASTE_ALL,$DF613,49)&amp;"","")&amp;"␟"&amp;IFERROR(INDEX(PASTE_ALL,$DF613,50)&amp;"","")&amp;"␟"&amp;IFERROR(INDEX(PASTE_ALL,$DF613,51)&amp;"","")&amp;"␟"&amp;IFERROR(INDEX(PASTE_ALL,$DF613,52)&amp;"","")&amp;"␟"&amp;IFERROR(INDEX(PASTE_ALL,$DF613,53)&amp;"","")&amp;"␟"&amp;IFERROR(INDEX(PASTE_ALL,$DF613,54)&amp;"","")&amp;"␟"&amp;IFERROR(INDEX(PASTE_ALL,$DF613,55)&amp;"","")&amp;"␟"&amp;IFERROR(INDEX(PASTE_ALL,$DF613,56)&amp;"","")&amp;"␟"&amp;IFERROR(INDEX(PASTE_ALL,$DF613,57)&amp;"","")&amp;"␟"&amp;IFERROR(INDEX(PASTE_ALL,$DF613,58)&amp;"","")&amp;"␟"&amp;IFERROR(INDEX(PASTE_ALL,$DF613,59)&amp;"","")&amp;"␟"&amp;IFERROR(INDEX(PASTE_ALL,$DF613,60)&amp;"","")," "," "),CHAR(9)," "),CHAR(10)," "),CHAR(13)," "))," ␟","␟"),"␟ ","␟"),"#"&amp;$DE613),"")</f>
        <v/>
      </c>
      <c r="DJ613">
        <f>IF($DI613="",0,IF(SUMPRODUCT(--EXACT($DI$4:DI612,$DI613))&gt;0,1,0))</f>
        <v/>
      </c>
      <c r="DK613">
        <f>IF(AND($DI613&lt;&gt;"",$DJ613=0),1,0)</f>
        <v/>
      </c>
      <c r="DL613">
        <f>DL612+$DK613</f>
        <v/>
      </c>
      <c r="DM613">
        <f>IF(AND($DK613=1,$DL613&lt;=600),1,0)</f>
        <v/>
      </c>
      <c r="DN613">
        <f>IF($DM613=0,"",IF($L$6=0,"",IFERROR(IF(ISNUMBER(INDEX(PASTE_ALL,$DF613,$L$6)),INDEX(PASTE_ALL,$DF613,$L$6),TRIM(SUBSTITUTE(SUBSTITUTE(SUBSTITUTE(SUBSTITUTE(INDEX(PASTE_ALL,$DF613,$L$6)," "," "),CHAR(9)," "),CHAR(10)," "),CHAR(13)," "))),"")))</f>
        <v/>
      </c>
      <c r="DO613">
        <f>IF($DM613=0,"",IF($L$7=0,"",IFERROR(IF(ISNUMBER(INDEX(PASTE_ALL,$DF613,$L$7)),INDEX(PASTE_ALL,$DF613,$L$7),TRIM(SUBSTITUTE(SUBSTITUTE(SUBSTITUTE(SUBSTITUTE(INDEX(PASTE_ALL,$DF613,$L$7)," "," "),CHAR(9)," "),CHAR(10)," "),CHAR(13)," "))),"")))</f>
        <v/>
      </c>
      <c r="DP613">
        <f>IF($DM613=0,"",IF($L$8=0,"",IFERROR(IF(ISNUMBER(INDEX(PASTE_ALL,$DF613,$L$8)),INDEX(PASTE_ALL,$DF613,$L$8),TRIM(SUBSTITUTE(SUBSTITUTE(SUBSTITUTE(SUBSTITUTE(INDEX(PASTE_ALL,$DF613,$L$8)," "," "),CHAR(9)," "),CHAR(10)," "),CHAR(13)," "))),"")))</f>
        <v/>
      </c>
      <c r="DQ613">
        <f>IF($DM613=0,"",IF($L$9=0,"",IFERROR(IF(ISNUMBER(INDEX(PASTE_ALL,$DF613,$L$9)),INDEX(PASTE_ALL,$DF613,$L$9),TRIM(SUBSTITUTE(SUBSTITUTE(SUBSTITUTE(SUBSTITUTE(INDEX(PASTE_ALL,$DF613,$L$9)," "," "),CHAR(9)," "),CHAR(10)," "),CHAR(13)," "))),"")))</f>
        <v/>
      </c>
      <c r="DR613">
        <f>IF($DM613=0,"",IF($L$10=0,"",IFERROR(IF(ISNUMBER(INDEX(PASTE_ALL,$DF613,$L$10)),INDEX(PASTE_ALL,$DF613,$L$10),TRIM(SUBSTITUTE(SUBSTITUTE(SUBSTITUTE(SUBSTITUTE(INDEX(PASTE_ALL,$DF613,$L$10)," "," "),CHAR(9)," "),CHAR(10)," "),CHAR(13)," "))),"")))</f>
        <v/>
      </c>
      <c r="DS613">
        <f>IF($DM613=0,"",IF($L$11=0,"",IFERROR(IF(ISNUMBER(INDEX(PASTE_ALL,$DF613,$L$11)),INDEX(PASTE_ALL,$DF613,$L$11),TRIM(SUBSTITUTE(SUBSTITUTE(SUBSTITUTE(SUBSTITUTE(INDEX(PASTE_ALL,$DF613,$L$11)," "," "),CHAR(9)," "),CHAR(10)," "),CHAR(13)," "))),"")))</f>
        <v/>
      </c>
      <c r="DT613">
        <f>IF($DM613=0,"",IF($L$12=0,"",IFERROR(IF(ISNUMBER(INDEX(PASTE_ALL,$DF613,$L$12)),INDEX(PASTE_ALL,$DF613,$L$12),TRIM(SUBSTITUTE(SUBSTITUTE(SUBSTITUTE(SUBSTITUTE(INDEX(PASTE_ALL,$DF613,$L$12)," "," "),CHAR(9)," "),CHAR(10)," "),CHAR(13)," "))),"")))</f>
        <v/>
      </c>
      <c r="DU613">
        <f>IF($DM613=0,"",IF($L$13=0,"",IFERROR(IF(ISNUMBER(INDEX(PASTE_ALL,$DF613,$L$13)),INDEX(PASTE_ALL,$DF613,$L$13),TRIM(SUBSTITUTE(SUBSTITUTE(SUBSTITUTE(SUBSTITUTE(INDEX(PASTE_ALL,$DF613,$L$13)," "," "),CHAR(9)," "),CHAR(10)," "),CHAR(13)," "))),"")))</f>
        <v/>
      </c>
      <c r="DV613">
        <f>IF($DM613=0,"",IF($L$14=0,"",IFERROR(IF(ISNUMBER(INDEX(PASTE_ALL,$DF613,$L$14)),INDEX(PASTE_ALL,$DF613,$L$14),TRIM(SUBSTITUTE(SUBSTITUTE(SUBSTITUTE(SUBSTITUTE(INDEX(PASTE_ALL,$DF613,$L$14)," "," "),CHAR(9)," "),CHAR(10)," "),CHAR(13)," "))),"")))</f>
        <v/>
      </c>
      <c r="DW613">
        <f>IF($DM613=0,"",IF($L$15=0,"",IFERROR(IF(ISNUMBER(INDEX(PASTE_ALL,$DF613,$L$15)),INDEX(PASTE_ALL,$DF613,$L$15),IF(SUMPRODUCT(--ISNUMBER(FIND({"A","B","C","D","E","F","G","H","I","J","K","L","M","N","O","P","Q","R","S","T","U","V","W","X","Y","Z","0","1","2","3","4","5","6","7","8","9"},UPPER(TRIM(SUBSTITUTE(SUBSTITUTE(SUBSTITUTE(SUBSTITUTE(INDEX(PASTE_ALL,$DF613,$L$15)," "," "),CHAR(9)," "),CHAR(10)," "),CHAR(13)," "))))))&gt;0,TRIM(SUBSTITUTE(SUBSTITUTE(SUBSTITUTE(SUBSTITUTE(INDEX(PASTE_ALL,$DF613,$L$15)," "," "),CHAR(9)," "),CHAR(10)," "),CHAR(13)," ")),"")),"")))</f>
        <v/>
      </c>
      <c r="DX613">
        <f>IF($DM613=0,"",IF($L$16=0,"",IFERROR(IF(ISNUMBER(INDEX(PASTE_ALL,$DF613,$L$16)),INDEX(PASTE_ALL,$DF613,$L$16),SUBSTITUTE(SUBSTITUTE(TRIM(SUBSTITUTE(SUBSTITUTE(SUBSTITUTE(SUBSTITUTE(INDEX(PASTE_ALL,$DF613,$L$16)," "," "),CHAR(9)," "),CHAR(10)," "),CHAR(13)," ")),",",""),"%","")),"")))</f>
        <v/>
      </c>
      <c r="DY613">
        <f>IF($DM613=0,"",IFERROR(IF(ISNUMBER($DX613),$DX613,IF($DX613="","",IF(TRIM($DX613)="",0,IF(AND(AND(SUBSTITUTE(SUBSTITUTE(SUBSTITUTE(SUBSTITUTE(SUBSTITUTE(SUBSTITUTE(SUBSTITUTE(SUBSTITUTE(SUBSTITUTE(SUBSTITUTE(SUBSTITUTE(SUBSTITUTE(SUBSTITUTE(SUBSTITUTE(UPPER(TRIM($DX613)),"0",""),"1",""),"2",""),"3",""),"4",""),"5",""),"6",""),"7",""),"8",""),"9",""),".",""),"+",""),"-",""),"E","")="",LEN(SUBSTITUTE(SUBSTITUTE(MID(UPPER(TRIM($DX613)),1+OR(LEFT(UPPER(TRIM($DX613)),1)="+",LEFT(UPPER(TRIM($DX613)),1)="-"),999),"E+","E"),"E-","E"))=LEN(SUBSTITUTE(SUBSTITUTE(SUBSTITUTE(SUBSTITUTE(MID(UPPER(TRIM($DX613)),1+OR(LEFT(UPPER(TRIM($DX613)),1)="+",LEFT(UPPER(TRIM($DX613)),1)="-"),999),"E+","E"),"E-","E"),"+",""),"-","")),LEN(UPPER(TRIM($DX613)))-LEN(SUBSTITUTE(UPPER(TRIM($DX613)),"E",""))&lt;2,LEN(UPPER(TRIM($DX613)))-LEN(SUBSTITUTE(UPPER(TRIM($DX613)),".",""))&lt;2,IFERROR(FIND(".",UPPER(TRIM($DX613))),0)&lt;IFERROR(FIND("E",UPPER(TRIM($DX613))),999)),ISNUMBER(VALUE(TRIM($DX613)))),VALUE(TRIM($DX613)),"")))),""))</f>
        <v/>
      </c>
      <c r="DZ613">
        <f>IF($DM613=0,"",IF($L$17=0,"",IFERROR(IF(ISNUMBER(INDEX(PASTE_ALL,$DF613,$L$17)),INDEX(PASTE_ALL,$DF613,$L$17),SUBSTITUTE(SUBSTITUTE(TRIM(SUBSTITUTE(SUBSTITUTE(SUBSTITUTE(SUBSTITUTE(INDEX(PASTE_ALL,$DF613,$L$17)," "," "),CHAR(9)," "),CHAR(10)," "),CHAR(13)," ")),",",""),"%","")),"")))</f>
        <v/>
      </c>
      <c r="EA613">
        <f>IF($DM613=0,"",IFERROR(IF(ISNUMBER($DZ613),$DZ613,IF($DZ613="","",IF(TRIM($DZ613)="",0,IF(AND(AND(SUBSTITUTE(SUBSTITUTE(SUBSTITUTE(SUBSTITUTE(SUBSTITUTE(SUBSTITUTE(SUBSTITUTE(SUBSTITUTE(SUBSTITUTE(SUBSTITUTE(SUBSTITUTE(SUBSTITUTE(SUBSTITUTE(SUBSTITUTE(UPPER(TRIM($DZ613)),"0",""),"1",""),"2",""),"3",""),"4",""),"5",""),"6",""),"7",""),"8",""),"9",""),".",""),"+",""),"-",""),"E","")="",LEN(SUBSTITUTE(SUBSTITUTE(MID(UPPER(TRIM($DZ613)),1+OR(LEFT(UPPER(TRIM($DZ613)),1)="+",LEFT(UPPER(TRIM($DZ613)),1)="-"),999),"E+","E"),"E-","E"))=LEN(SUBSTITUTE(SUBSTITUTE(SUBSTITUTE(SUBSTITUTE(MID(UPPER(TRIM($DZ613)),1+OR(LEFT(UPPER(TRIM($DZ613)),1)="+",LEFT(UPPER(TRIM($DZ613)),1)="-"),999),"E+","E"),"E-","E"),"+",""),"-","")),LEN(UPPER(TRIM($DZ613)))-LEN(SUBSTITUTE(UPPER(TRIM($DZ613)),"E",""))&lt;2,LEN(UPPER(TRIM($DZ613)))-LEN(SUBSTITUTE(UPPER(TRIM($DZ613)),".",""))&lt;2,IFERROR(FIND(".",UPPER(TRIM($DZ613))),0)&lt;IFERROR(FIND("E",UPPER(TRIM($DZ613))),999)),ISNUMBER(VALUE(TRIM($DZ613)))),VALUE(TRIM($DZ613)),"")))),""))</f>
        <v/>
      </c>
      <c r="EB613">
        <f>IF($DM613=0,"",IF($L$18=0,"",IFERROR(IF(UPPER(TRIM(SUBSTITUTE(SUBSTITUTE(SUBSTITUTE(SUBSTITUTE(INDEX(PASTE_ALL,$DF613,$L$18)," "," "),CHAR(9)," "),CHAR(10)," "),CHAR(13)," ")))="READY","Ready",IF(UPPER(TRIM(SUBSTITUTE(SUBSTITUTE(SUBSTITUTE(SUBSTITUTE(INDEX(PASTE_ALL,$DF613,$L$18)," "," "),CHAR(9)," "),CHAR(10)," "),CHAR(13)," ")))="PM","PM",IF(OR(UPPER(TRIM(SUBSTITUTE(SUBSTITUTE(SUBSTITUTE(SUBSTITUTE(INDEX(PASTE_ALL,$DF613,$L$18)," "," "),CHAR(9)," "),CHAR(10)," "),CHAR(13)," ")))="OT",UPPER(TRIM(SUBSTITUTE(SUBSTITUTE(SUBSTITUTE(SUBSTITUTE(INDEX(PASTE_ALL,$DF613,$L$18)," "," "),CHAR(9)," "),CHAR(10)," "),CHAR(13)," ")))="OVERTIME",UPPER(TRIM(SUBSTITUTE(SUBSTITUTE(SUBSTITUTE(SUBSTITUTE(INDEX(PASTE_ALL,$DF613,$L$18)," "," "),CHAR(9)," "),CHAR(10)," "),CHAR(13)," ")))="TRIAL"),"OT",TRIM(SUBSTITUTE(SUBSTITUTE(SUBSTITUTE(SUBSTITUTE(INDEX(PASTE_ALL,$DF613,$L$18)," "," "),CHAR(9)," "),CHAR(10)," "),CHAR(13)," "))))),"")))</f>
        <v/>
      </c>
      <c r="EC613">
        <f>IF($DM613=0,"",IF($L$19=0,"",IFERROR(IF(ISNUMBER(INDEX(PASTE_ALL,$DF613,$L$19)),INDEX(PASTE_ALL,$DF613,$L$19),TRIM(SUBSTITUTE(SUBSTITUTE(SUBSTITUTE(SUBSTITUTE(INDEX(PASTE_ALL,$DF613,$L$19)," "," "),CHAR(9)," "),CHAR(10)," "),CHAR(13)," "))),"")))</f>
        <v/>
      </c>
      <c r="ED613">
        <f>IF($DM613=0,"",MATCH(1,INDEX(EXACT($DH$5:DH613,$DH613)*$DM$5:DM613,0),0))</f>
        <v/>
      </c>
      <c r="EE613">
        <f>IF($DM613=0,0,IF($ED613=$DE613,1,0))</f>
        <v/>
      </c>
      <c r="EF613">
        <f>EF612+$EE613</f>
        <v/>
      </c>
      <c r="EG613">
        <f>IF($DM613=0,"",INDEX($EF$5:$EF$1003,$ED613))</f>
        <v/>
      </c>
      <c r="EH613">
        <f>IF($DM613=0,"",IF($DO613&lt;&gt;"","",IFERROR(LOOKUP(2,1/(($EG$4:EG612=$EG613)*($DO$4:DO612&lt;&gt;"")),$DO$4:DO612),"")))</f>
        <v/>
      </c>
      <c r="EI613">
        <f>IF($DM613=0,"",IF($DO613&lt;&gt;"",$DO613,$EH613))</f>
        <v/>
      </c>
      <c r="EJ613">
        <f>IF($DM613=0,"",IF($EI613="",0,IF(OR(ISNUMBER($EI613),AND(AND(SUBSTITUTE(SUBSTITUTE(SUBSTITUTE(SUBSTITUTE(SUBSTITUTE(SUBSTITUTE(SUBSTITUTE(SUBSTITUTE(SUBSTITUTE(SUBSTITUTE(SUBSTITUTE(SUBSTITUTE(SUBSTITUTE(SUBSTITUTE(UPPER($EI613),"0",""),"1",""),"2",""),"3",""),"4",""),"5",""),"6",""),"7",""),"8",""),"9",""),".",""),"+",""),"-",""),"E","")="",LEN(SUBSTITUTE(SUBSTITUTE(MID(UPPER($EI613),1+OR(LEFT(UPPER($EI613),1)="+",LEFT(UPPER($EI613),1)="-"),999),"E+","E"),"E-","E"))=LEN(SUBSTITUTE(SUBSTITUTE(SUBSTITUTE(SUBSTITUTE(MID(UPPER($EI613),1+OR(LEFT(UPPER($EI613),1)="+",LEFT(UPPER($EI613),1)="-"),999),"E+","E"),"E-","E"),"+",""),"-","")),LEN(UPPER($EI613))-LEN(SUBSTITUTE(UPPER($EI613),"E",""))&lt;2,LEN(UPPER($EI613))-LEN(SUBSTITUTE(UPPER($EI613),".",""))&lt;2,IFERROR(FIND(".",UPPER($EI613)),0)&lt;IFERROR(FIND("E",UPPER($EI613)),999)),ISNUMBER(VALUE($EI613)))),1,2)))</f>
        <v/>
      </c>
      <c r="EK613">
        <f>IF($DM613=0,"",IF($EJ613=1,IF(ISNUMBER($EI613),$EI613,VALUE($EI613)),IF($EJ613=2,$DE613,0)))</f>
        <v/>
      </c>
      <c r="EL613">
        <f>IF($DM613=0,"",COUNTIF($EG$5:$EG$1003,"&lt;"&amp;$EG613)+SUMPRODUCT(($EG$5:$EG$1003=$EG613)*(($EJ$5:$EJ$1003&lt;$EJ613)+($EJ$5:$EJ$1003=$EJ613)*(($EK$5:$EK$1003&lt;$EK613)+($EK$5:$EK$1003=$EK613)*($DE$5:$DE$1003&lt;$DE613))))+1)</f>
        <v/>
      </c>
      <c r="EM613">
        <f>IF($DM613=0,"",$EL613+$EG613-1)</f>
        <v/>
      </c>
      <c r="EN613">
        <f>IF($DM613=0,0,IFERROR(MATCH(1,INDEX(--(TRIM(SUBSTITUTE(SUBSTITUTE(SUBSTITUTE(SUBSTITUTE(LINES_NAME&amp;""," "," "),CHAR(9)," "),CHAR(10)," "),CHAR(13)," "))=$DH613),0),0),0))</f>
        <v/>
      </c>
      <c r="EO613">
        <f>IF($EN613=0,0,IF(OR(UPPER(TRIM(INDEX(LINES_SCHEDULED,$EN613)&amp;""))="YES",UPPER(TRIM(INDEX(LINES_SCHEDULED,$EN613)&amp;""))="Y",UPPER(TRIM(INDEX(LINES_SCHEDULED,$EN613)&amp;""))="X"),1,0))</f>
        <v/>
      </c>
      <c r="EP613">
        <f>IF($DM613=0,"",IF(COUNTIFS($EG$5:$EG$1003,$EG613,$EB$5:$EB$1003,"Ready")&gt;0,"READY",IF(COUNTIFS($EG$5:$EG$1003,$EG613,$EB$5:$EB$1003,"PM")&gt;0,"PM",IF(COUNTIFS($EG$5:$EG$1003,$EG613,$EB$5:$EB$1003,"OT")&gt;0,"OT",""))))</f>
        <v/>
      </c>
      <c r="EQ613">
        <f>IF($EN613=0,"",UPPER(TRIM(INDEX(LINES_STATUS,$EN613)&amp;"")))</f>
        <v/>
      </c>
      <c r="ER613">
        <f>IF($DM613=0,"",IF(OR($EQ613="READY",$EQ613="PM",$EQ613="OT"),$EQ613,$EP613))</f>
        <v/>
      </c>
      <c r="ES613">
        <f>IF($DM613=0,"",IF(AND($DV613&lt;&gt;"",UPPER($DV613)&lt;&gt;"N"),"allergen",IF(ISNUMBER(SEARCH("oil",$DQ613)),"oil",IF(OR(EXACT($DS613,"A662"),EXACT($DS613,"A624")),"bulk",""))))</f>
        <v/>
      </c>
      <c r="ET613">
        <f>IF($DM613=0,"",IF(OR($EA613="",$EA613=0),"",$EA613/100))</f>
        <v/>
      </c>
      <c r="EU613">
        <f>IF(OR($ET613="",$DY613=""),"",INT($DY613*(1-$ET613)+0.5))</f>
        <v/>
      </c>
      <c r="EW613" t="n">
        <v>609</v>
      </c>
      <c r="EX613">
        <f>IFERROR(MATCH($EW613,$EM$5:$EM$1003,0),0)</f>
        <v/>
      </c>
      <c r="EY613">
        <f>IF($EW613&gt;$B$12,"",IF($EX613&gt;0,"row","spacer"))</f>
        <v/>
      </c>
      <c r="EZ613">
        <f>IF(AND($EY613="row",$EY612&lt;&gt;"row"),1,0)</f>
        <v/>
      </c>
      <c r="FA613">
        <f>IF(AND($EY613="row",$EY614&lt;&gt;"row"),1,0)</f>
        <v/>
      </c>
      <c r="FB613">
        <f>IF($EZ613=1,IFERROR(IF(ISNUMBER(INDEX(PASTE_ALL,INDEX($DF$5:$DF$1003,$EX613),$B$37)),INDEX(PASTE_ALL,INDEX($DF$5:$DF$1003,$EX613),$B$37),INDEX($DH$5:$DH$1003,$EX613)),INDEX($DH$5:$DH$1003,$EX613)),"")</f>
        <v/>
      </c>
      <c r="FC613">
        <f>IF($EY613="row",INDEX($ER$5:$ER$1003,$EX613),"")</f>
        <v/>
      </c>
      <c r="FD613">
        <f>IF($EY613="row",INDEX($DN$5:$DN$1003,$EX613),"")</f>
        <v/>
      </c>
      <c r="FE613">
        <f>IF($EY613="row",INDEX($DO$5:$DO$1003,$EX613),"")</f>
        <v/>
      </c>
      <c r="FF613">
        <f>IF($EY613="row",INDEX($DP$5:$DP$1003,$EX613),"")</f>
        <v/>
      </c>
      <c r="FG613">
        <f>IF($EY613="row",INDEX($DQ$5:$DQ$1003,$EX613),"")</f>
        <v/>
      </c>
      <c r="FH613">
        <f>IF($EY613="row",INDEX($DR$5:$DR$1003,$EX613),"")</f>
        <v/>
      </c>
      <c r="FI613">
        <f>IF($EY613="row",INDEX($DS$5:$DS$1003,$EX613),"")</f>
        <v/>
      </c>
      <c r="FJ613">
        <f>IF($EY613="row",INDEX($DT$5:$DT$1003,$EX613),"")</f>
        <v/>
      </c>
      <c r="FK613">
        <f>IF($EY613="row",INDEX($DU$5:$DU$1003,$EX613),"")</f>
        <v/>
      </c>
      <c r="FL613">
        <f>IF($EY613="row",INDEX($DV$5:$DV$1003,$EX613),"")</f>
        <v/>
      </c>
      <c r="FM613">
        <f>IF($EY613="row",INDEX($DW$5:$DW$1003,$EX613),"")</f>
        <v/>
      </c>
      <c r="FN613">
        <f>IF($EY613="row",INDEX($DY$5:$DY$1003,$EX613),"")</f>
        <v/>
      </c>
      <c r="FO613">
        <f>IF($EY613="row",INDEX($EA$5:$EA$1003,$EX613),"")</f>
        <v/>
      </c>
      <c r="FP613">
        <f>IF($EY613="row",INDEX($EC$5:$EC$1003,$EX613),"")</f>
        <v/>
      </c>
      <c r="FQ613">
        <f>IF($EY613="row",INDEX($ET$5:$ET$1003,$EX613),"")</f>
        <v/>
      </c>
      <c r="FR613">
        <f>IF($EY613="row",INDEX($EU$5:$EU$1003,$EX613),"")</f>
        <v/>
      </c>
      <c r="FS613">
        <f>IF(AND($EY613="row",$EY612="row"),IF(OR(INDEX($DT$5:$DT$1003,$EX612)="",INDEX($DT$5:$DT$1003,$EX613)=""),"",IF(NOT(EXACT(INDEX($DT$5:$DT$1003,$EX612),INDEX($DT$5:$DT$1003,$EX613))),"S4",IF(NOT(EXACT(INDEX($DS$5:$DS$1003,$EX612),INDEX($DS$5:$DS$1003,$EX613))),"S3",IF(NOT(EXACT(INDEX($DR$5:$DR$1003,$EX612),INDEX($DR$5:$DR$1003,$EX613))),"S1 Count Change","S1")))),"")</f>
        <v/>
      </c>
      <c r="FT613">
        <f>IF($EY613="row",INDEX($ES$5:$ES$1003,$EX613),"")</f>
        <v/>
      </c>
      <c r="FU613">
        <f>IF($EY613="row",INDEX($EO$5:$EO$1003,$EX613),0)</f>
        <v/>
      </c>
      <c r="FV613">
        <f>IF($FS613="S1 Count Change",1,0)</f>
        <v/>
      </c>
    </row>
    <row r="614">
      <c r="DA614" t="n">
        <v>610</v>
      </c>
      <c r="DB614">
        <f>IF($B$37=0,"",IFERROR(TRIM(SUBSTITUTE(SUBSTITUTE(SUBSTITUTE(SUBSTITUTE(INDEX(PASTE_ALL,610,$B$37)," "," "),CHAR(9)," "),CHAR(10)," "),CHAR(13)," ")),""))</f>
        <v/>
      </c>
      <c r="DC614">
        <f>IF(AND(610&gt;HEADER_ROW,UPPER(DB614)="LEGEND"),1,0)</f>
        <v/>
      </c>
      <c r="DE614" t="n">
        <v>610</v>
      </c>
      <c r="DF614">
        <f>HEADER_ROW+$DE614</f>
        <v/>
      </c>
      <c r="DG614">
        <f>IF(AND($DF614&lt;=1000,$DF614&lt;$B$8),1,0)</f>
        <v/>
      </c>
      <c r="DH614">
        <f>IF($DG614=1,IFERROR(INDEX($DB$5:$DB$1004,$DF614),""),"")</f>
        <v/>
      </c>
      <c r="DI614">
        <f>IF(AND($DG614=1,$DH614&lt;&gt;""),IFERROR(SUBSTITUTE(SUBSTITUTE(TRIM(SUBSTITUTE(SUBSTITUTE(SUBSTITUTE(SUBSTITUTE(IFERROR(INDEX(PASTE_ALL,$DF614,1)&amp;"","")&amp;"␟"&amp;IFERROR(INDEX(PASTE_ALL,$DF614,2)&amp;"","")&amp;"␟"&amp;IFERROR(INDEX(PASTE_ALL,$DF614,3)&amp;"","")&amp;"␟"&amp;IFERROR(INDEX(PASTE_ALL,$DF614,4)&amp;"","")&amp;"␟"&amp;IFERROR(INDEX(PASTE_ALL,$DF614,5)&amp;"","")&amp;"␟"&amp;IFERROR(INDEX(PASTE_ALL,$DF614,6)&amp;"","")&amp;"␟"&amp;IFERROR(INDEX(PASTE_ALL,$DF614,7)&amp;"","")&amp;"␟"&amp;IFERROR(INDEX(PASTE_ALL,$DF614,8)&amp;"","")&amp;"␟"&amp;IFERROR(INDEX(PASTE_ALL,$DF614,9)&amp;"","")&amp;"␟"&amp;IFERROR(INDEX(PASTE_ALL,$DF614,10)&amp;"","")&amp;"␟"&amp;IFERROR(INDEX(PASTE_ALL,$DF614,11)&amp;"","")&amp;"␟"&amp;IFERROR(INDEX(PASTE_ALL,$DF614,12)&amp;"","")&amp;"␟"&amp;IFERROR(INDEX(PASTE_ALL,$DF614,13)&amp;"","")&amp;"␟"&amp;IFERROR(INDEX(PASTE_ALL,$DF614,14)&amp;"","")&amp;"␟"&amp;IFERROR(INDEX(PASTE_ALL,$DF614,15)&amp;"","")&amp;"␟"&amp;IFERROR(INDEX(PASTE_ALL,$DF614,16)&amp;"","")&amp;"␟"&amp;IFERROR(INDEX(PASTE_ALL,$DF614,17)&amp;"","")&amp;"␟"&amp;IFERROR(INDEX(PASTE_ALL,$DF614,18)&amp;"","")&amp;"␟"&amp;IFERROR(INDEX(PASTE_ALL,$DF614,19)&amp;"","")&amp;"␟"&amp;IFERROR(INDEX(PASTE_ALL,$DF614,20)&amp;"","")&amp;"␟"&amp;IFERROR(INDEX(PASTE_ALL,$DF614,21)&amp;"","")&amp;"␟"&amp;IFERROR(INDEX(PASTE_ALL,$DF614,22)&amp;"","")&amp;"␟"&amp;IFERROR(INDEX(PASTE_ALL,$DF614,23)&amp;"","")&amp;"␟"&amp;IFERROR(INDEX(PASTE_ALL,$DF614,24)&amp;"","")&amp;"␟"&amp;IFERROR(INDEX(PASTE_ALL,$DF614,25)&amp;"","")&amp;"␟"&amp;IFERROR(INDEX(PASTE_ALL,$DF614,26)&amp;"","")&amp;"␟"&amp;IFERROR(INDEX(PASTE_ALL,$DF614,27)&amp;"","")&amp;"␟"&amp;IFERROR(INDEX(PASTE_ALL,$DF614,28)&amp;"","")&amp;"␟"&amp;IFERROR(INDEX(PASTE_ALL,$DF614,29)&amp;"","")&amp;"␟"&amp;IFERROR(INDEX(PASTE_ALL,$DF614,30)&amp;"","")&amp;"␟"&amp;IFERROR(INDEX(PASTE_ALL,$DF614,31)&amp;"","")&amp;"␟"&amp;IFERROR(INDEX(PASTE_ALL,$DF614,32)&amp;"","")&amp;"␟"&amp;IFERROR(INDEX(PASTE_ALL,$DF614,33)&amp;"","")&amp;"␟"&amp;IFERROR(INDEX(PASTE_ALL,$DF614,34)&amp;"","")&amp;"␟"&amp;IFERROR(INDEX(PASTE_ALL,$DF614,35)&amp;"","")&amp;"␟"&amp;IFERROR(INDEX(PASTE_ALL,$DF614,36)&amp;"","")&amp;"␟"&amp;IFERROR(INDEX(PASTE_ALL,$DF614,37)&amp;"","")&amp;"␟"&amp;IFERROR(INDEX(PASTE_ALL,$DF614,38)&amp;"","")&amp;"␟"&amp;IFERROR(INDEX(PASTE_ALL,$DF614,39)&amp;"","")&amp;"␟"&amp;IFERROR(INDEX(PASTE_ALL,$DF614,40)&amp;"","")&amp;"␟"&amp;IFERROR(INDEX(PASTE_ALL,$DF614,41)&amp;"","")&amp;"␟"&amp;IFERROR(INDEX(PASTE_ALL,$DF614,42)&amp;"","")&amp;"␟"&amp;IFERROR(INDEX(PASTE_ALL,$DF614,43)&amp;"","")&amp;"␟"&amp;IFERROR(INDEX(PASTE_ALL,$DF614,44)&amp;"","")&amp;"␟"&amp;IFERROR(INDEX(PASTE_ALL,$DF614,45)&amp;"","")&amp;"␟"&amp;IFERROR(INDEX(PASTE_ALL,$DF614,46)&amp;"","")&amp;"␟"&amp;IFERROR(INDEX(PASTE_ALL,$DF614,47)&amp;"","")&amp;"␟"&amp;IFERROR(INDEX(PASTE_ALL,$DF614,48)&amp;"","")&amp;"␟"&amp;IFERROR(INDEX(PASTE_ALL,$DF614,49)&amp;"","")&amp;"␟"&amp;IFERROR(INDEX(PASTE_ALL,$DF614,50)&amp;"","")&amp;"␟"&amp;IFERROR(INDEX(PASTE_ALL,$DF614,51)&amp;"","")&amp;"␟"&amp;IFERROR(INDEX(PASTE_ALL,$DF614,52)&amp;"","")&amp;"␟"&amp;IFERROR(INDEX(PASTE_ALL,$DF614,53)&amp;"","")&amp;"␟"&amp;IFERROR(INDEX(PASTE_ALL,$DF614,54)&amp;"","")&amp;"␟"&amp;IFERROR(INDEX(PASTE_ALL,$DF614,55)&amp;"","")&amp;"␟"&amp;IFERROR(INDEX(PASTE_ALL,$DF614,56)&amp;"","")&amp;"␟"&amp;IFERROR(INDEX(PASTE_ALL,$DF614,57)&amp;"","")&amp;"␟"&amp;IFERROR(INDEX(PASTE_ALL,$DF614,58)&amp;"","")&amp;"␟"&amp;IFERROR(INDEX(PASTE_ALL,$DF614,59)&amp;"","")&amp;"␟"&amp;IFERROR(INDEX(PASTE_ALL,$DF614,60)&amp;"","")," "," "),CHAR(9)," "),CHAR(10)," "),CHAR(13)," "))," ␟","␟"),"␟ ","␟"),"#"&amp;$DE614),"")</f>
        <v/>
      </c>
      <c r="DJ614">
        <f>IF($DI614="",0,IF(SUMPRODUCT(--EXACT($DI$4:DI613,$DI614))&gt;0,1,0))</f>
        <v/>
      </c>
      <c r="DK614">
        <f>IF(AND($DI614&lt;&gt;"",$DJ614=0),1,0)</f>
        <v/>
      </c>
      <c r="DL614">
        <f>DL613+$DK614</f>
        <v/>
      </c>
      <c r="DM614">
        <f>IF(AND($DK614=1,$DL614&lt;=600),1,0)</f>
        <v/>
      </c>
      <c r="DN614">
        <f>IF($DM614=0,"",IF($L$6=0,"",IFERROR(IF(ISNUMBER(INDEX(PASTE_ALL,$DF614,$L$6)),INDEX(PASTE_ALL,$DF614,$L$6),TRIM(SUBSTITUTE(SUBSTITUTE(SUBSTITUTE(SUBSTITUTE(INDEX(PASTE_ALL,$DF614,$L$6)," "," "),CHAR(9)," "),CHAR(10)," "),CHAR(13)," "))),"")))</f>
        <v/>
      </c>
      <c r="DO614">
        <f>IF($DM614=0,"",IF($L$7=0,"",IFERROR(IF(ISNUMBER(INDEX(PASTE_ALL,$DF614,$L$7)),INDEX(PASTE_ALL,$DF614,$L$7),TRIM(SUBSTITUTE(SUBSTITUTE(SUBSTITUTE(SUBSTITUTE(INDEX(PASTE_ALL,$DF614,$L$7)," "," "),CHAR(9)," "),CHAR(10)," "),CHAR(13)," "))),"")))</f>
        <v/>
      </c>
      <c r="DP614">
        <f>IF($DM614=0,"",IF($L$8=0,"",IFERROR(IF(ISNUMBER(INDEX(PASTE_ALL,$DF614,$L$8)),INDEX(PASTE_ALL,$DF614,$L$8),TRIM(SUBSTITUTE(SUBSTITUTE(SUBSTITUTE(SUBSTITUTE(INDEX(PASTE_ALL,$DF614,$L$8)," "," "),CHAR(9)," "),CHAR(10)," "),CHAR(13)," "))),"")))</f>
        <v/>
      </c>
      <c r="DQ614">
        <f>IF($DM614=0,"",IF($L$9=0,"",IFERROR(IF(ISNUMBER(INDEX(PASTE_ALL,$DF614,$L$9)),INDEX(PASTE_ALL,$DF614,$L$9),TRIM(SUBSTITUTE(SUBSTITUTE(SUBSTITUTE(SUBSTITUTE(INDEX(PASTE_ALL,$DF614,$L$9)," "," "),CHAR(9)," "),CHAR(10)," "),CHAR(13)," "))),"")))</f>
        <v/>
      </c>
      <c r="DR614">
        <f>IF($DM614=0,"",IF($L$10=0,"",IFERROR(IF(ISNUMBER(INDEX(PASTE_ALL,$DF614,$L$10)),INDEX(PASTE_ALL,$DF614,$L$10),TRIM(SUBSTITUTE(SUBSTITUTE(SUBSTITUTE(SUBSTITUTE(INDEX(PASTE_ALL,$DF614,$L$10)," "," "),CHAR(9)," "),CHAR(10)," "),CHAR(13)," "))),"")))</f>
        <v/>
      </c>
      <c r="DS614">
        <f>IF($DM614=0,"",IF($L$11=0,"",IFERROR(IF(ISNUMBER(INDEX(PASTE_ALL,$DF614,$L$11)),INDEX(PASTE_ALL,$DF614,$L$11),TRIM(SUBSTITUTE(SUBSTITUTE(SUBSTITUTE(SUBSTITUTE(INDEX(PASTE_ALL,$DF614,$L$11)," "," "),CHAR(9)," "),CHAR(10)," "),CHAR(13)," "))),"")))</f>
        <v/>
      </c>
      <c r="DT614">
        <f>IF($DM614=0,"",IF($L$12=0,"",IFERROR(IF(ISNUMBER(INDEX(PASTE_ALL,$DF614,$L$12)),INDEX(PASTE_ALL,$DF614,$L$12),TRIM(SUBSTITUTE(SUBSTITUTE(SUBSTITUTE(SUBSTITUTE(INDEX(PASTE_ALL,$DF614,$L$12)," "," "),CHAR(9)," "),CHAR(10)," "),CHAR(13)," "))),"")))</f>
        <v/>
      </c>
      <c r="DU614">
        <f>IF($DM614=0,"",IF($L$13=0,"",IFERROR(IF(ISNUMBER(INDEX(PASTE_ALL,$DF614,$L$13)),INDEX(PASTE_ALL,$DF614,$L$13),TRIM(SUBSTITUTE(SUBSTITUTE(SUBSTITUTE(SUBSTITUTE(INDEX(PASTE_ALL,$DF614,$L$13)," "," "),CHAR(9)," "),CHAR(10)," "),CHAR(13)," "))),"")))</f>
        <v/>
      </c>
      <c r="DV614">
        <f>IF($DM614=0,"",IF($L$14=0,"",IFERROR(IF(ISNUMBER(INDEX(PASTE_ALL,$DF614,$L$14)),INDEX(PASTE_ALL,$DF614,$L$14),TRIM(SUBSTITUTE(SUBSTITUTE(SUBSTITUTE(SUBSTITUTE(INDEX(PASTE_ALL,$DF614,$L$14)," "," "),CHAR(9)," "),CHAR(10)," "),CHAR(13)," "))),"")))</f>
        <v/>
      </c>
      <c r="DW614">
        <f>IF($DM614=0,"",IF($L$15=0,"",IFERROR(IF(ISNUMBER(INDEX(PASTE_ALL,$DF614,$L$15)),INDEX(PASTE_ALL,$DF614,$L$15),IF(SUMPRODUCT(--ISNUMBER(FIND({"A","B","C","D","E","F","G","H","I","J","K","L","M","N","O","P","Q","R","S","T","U","V","W","X","Y","Z","0","1","2","3","4","5","6","7","8","9"},UPPER(TRIM(SUBSTITUTE(SUBSTITUTE(SUBSTITUTE(SUBSTITUTE(INDEX(PASTE_ALL,$DF614,$L$15)," "," "),CHAR(9)," "),CHAR(10)," "),CHAR(13)," "))))))&gt;0,TRIM(SUBSTITUTE(SUBSTITUTE(SUBSTITUTE(SUBSTITUTE(INDEX(PASTE_ALL,$DF614,$L$15)," "," "),CHAR(9)," "),CHAR(10)," "),CHAR(13)," ")),"")),"")))</f>
        <v/>
      </c>
      <c r="DX614">
        <f>IF($DM614=0,"",IF($L$16=0,"",IFERROR(IF(ISNUMBER(INDEX(PASTE_ALL,$DF614,$L$16)),INDEX(PASTE_ALL,$DF614,$L$16),SUBSTITUTE(SUBSTITUTE(TRIM(SUBSTITUTE(SUBSTITUTE(SUBSTITUTE(SUBSTITUTE(INDEX(PASTE_ALL,$DF614,$L$16)," "," "),CHAR(9)," "),CHAR(10)," "),CHAR(13)," ")),",",""),"%","")),"")))</f>
        <v/>
      </c>
      <c r="DY614">
        <f>IF($DM614=0,"",IFERROR(IF(ISNUMBER($DX614),$DX614,IF($DX614="","",IF(TRIM($DX614)="",0,IF(AND(AND(SUBSTITUTE(SUBSTITUTE(SUBSTITUTE(SUBSTITUTE(SUBSTITUTE(SUBSTITUTE(SUBSTITUTE(SUBSTITUTE(SUBSTITUTE(SUBSTITUTE(SUBSTITUTE(SUBSTITUTE(SUBSTITUTE(SUBSTITUTE(UPPER(TRIM($DX614)),"0",""),"1",""),"2",""),"3",""),"4",""),"5",""),"6",""),"7",""),"8",""),"9",""),".",""),"+",""),"-",""),"E","")="",LEN(SUBSTITUTE(SUBSTITUTE(MID(UPPER(TRIM($DX614)),1+OR(LEFT(UPPER(TRIM($DX614)),1)="+",LEFT(UPPER(TRIM($DX614)),1)="-"),999),"E+","E"),"E-","E"))=LEN(SUBSTITUTE(SUBSTITUTE(SUBSTITUTE(SUBSTITUTE(MID(UPPER(TRIM($DX614)),1+OR(LEFT(UPPER(TRIM($DX614)),1)="+",LEFT(UPPER(TRIM($DX614)),1)="-"),999),"E+","E"),"E-","E"),"+",""),"-","")),LEN(UPPER(TRIM($DX614)))-LEN(SUBSTITUTE(UPPER(TRIM($DX614)),"E",""))&lt;2,LEN(UPPER(TRIM($DX614)))-LEN(SUBSTITUTE(UPPER(TRIM($DX614)),".",""))&lt;2,IFERROR(FIND(".",UPPER(TRIM($DX614))),0)&lt;IFERROR(FIND("E",UPPER(TRIM($DX614))),999)),ISNUMBER(VALUE(TRIM($DX614)))),VALUE(TRIM($DX614)),"")))),""))</f>
        <v/>
      </c>
      <c r="DZ614">
        <f>IF($DM614=0,"",IF($L$17=0,"",IFERROR(IF(ISNUMBER(INDEX(PASTE_ALL,$DF614,$L$17)),INDEX(PASTE_ALL,$DF614,$L$17),SUBSTITUTE(SUBSTITUTE(TRIM(SUBSTITUTE(SUBSTITUTE(SUBSTITUTE(SUBSTITUTE(INDEX(PASTE_ALL,$DF614,$L$17)," "," "),CHAR(9)," "),CHAR(10)," "),CHAR(13)," ")),",",""),"%","")),"")))</f>
        <v/>
      </c>
      <c r="EA614">
        <f>IF($DM614=0,"",IFERROR(IF(ISNUMBER($DZ614),$DZ614,IF($DZ614="","",IF(TRIM($DZ614)="",0,IF(AND(AND(SUBSTITUTE(SUBSTITUTE(SUBSTITUTE(SUBSTITUTE(SUBSTITUTE(SUBSTITUTE(SUBSTITUTE(SUBSTITUTE(SUBSTITUTE(SUBSTITUTE(SUBSTITUTE(SUBSTITUTE(SUBSTITUTE(SUBSTITUTE(UPPER(TRIM($DZ614)),"0",""),"1",""),"2",""),"3",""),"4",""),"5",""),"6",""),"7",""),"8",""),"9",""),".",""),"+",""),"-",""),"E","")="",LEN(SUBSTITUTE(SUBSTITUTE(MID(UPPER(TRIM($DZ614)),1+OR(LEFT(UPPER(TRIM($DZ614)),1)="+",LEFT(UPPER(TRIM($DZ614)),1)="-"),999),"E+","E"),"E-","E"))=LEN(SUBSTITUTE(SUBSTITUTE(SUBSTITUTE(SUBSTITUTE(MID(UPPER(TRIM($DZ614)),1+OR(LEFT(UPPER(TRIM($DZ614)),1)="+",LEFT(UPPER(TRIM($DZ614)),1)="-"),999),"E+","E"),"E-","E"),"+",""),"-","")),LEN(UPPER(TRIM($DZ614)))-LEN(SUBSTITUTE(UPPER(TRIM($DZ614)),"E",""))&lt;2,LEN(UPPER(TRIM($DZ614)))-LEN(SUBSTITUTE(UPPER(TRIM($DZ614)),".",""))&lt;2,IFERROR(FIND(".",UPPER(TRIM($DZ614))),0)&lt;IFERROR(FIND("E",UPPER(TRIM($DZ614))),999)),ISNUMBER(VALUE(TRIM($DZ614)))),VALUE(TRIM($DZ614)),"")))),""))</f>
        <v/>
      </c>
      <c r="EB614">
        <f>IF($DM614=0,"",IF($L$18=0,"",IFERROR(IF(UPPER(TRIM(SUBSTITUTE(SUBSTITUTE(SUBSTITUTE(SUBSTITUTE(INDEX(PASTE_ALL,$DF614,$L$18)," "," "),CHAR(9)," "),CHAR(10)," "),CHAR(13)," ")))="READY","Ready",IF(UPPER(TRIM(SUBSTITUTE(SUBSTITUTE(SUBSTITUTE(SUBSTITUTE(INDEX(PASTE_ALL,$DF614,$L$18)," "," "),CHAR(9)," "),CHAR(10)," "),CHAR(13)," ")))="PM","PM",IF(OR(UPPER(TRIM(SUBSTITUTE(SUBSTITUTE(SUBSTITUTE(SUBSTITUTE(INDEX(PASTE_ALL,$DF614,$L$18)," "," "),CHAR(9)," "),CHAR(10)," "),CHAR(13)," ")))="OT",UPPER(TRIM(SUBSTITUTE(SUBSTITUTE(SUBSTITUTE(SUBSTITUTE(INDEX(PASTE_ALL,$DF614,$L$18)," "," "),CHAR(9)," "),CHAR(10)," "),CHAR(13)," ")))="OVERTIME",UPPER(TRIM(SUBSTITUTE(SUBSTITUTE(SUBSTITUTE(SUBSTITUTE(INDEX(PASTE_ALL,$DF614,$L$18)," "," "),CHAR(9)," "),CHAR(10)," "),CHAR(13)," ")))="TRIAL"),"OT",TRIM(SUBSTITUTE(SUBSTITUTE(SUBSTITUTE(SUBSTITUTE(INDEX(PASTE_ALL,$DF614,$L$18)," "," "),CHAR(9)," "),CHAR(10)," "),CHAR(13)," "))))),"")))</f>
        <v/>
      </c>
      <c r="EC614">
        <f>IF($DM614=0,"",IF($L$19=0,"",IFERROR(IF(ISNUMBER(INDEX(PASTE_ALL,$DF614,$L$19)),INDEX(PASTE_ALL,$DF614,$L$19),TRIM(SUBSTITUTE(SUBSTITUTE(SUBSTITUTE(SUBSTITUTE(INDEX(PASTE_ALL,$DF614,$L$19)," "," "),CHAR(9)," "),CHAR(10)," "),CHAR(13)," "))),"")))</f>
        <v/>
      </c>
      <c r="ED614">
        <f>IF($DM614=0,"",MATCH(1,INDEX(EXACT($DH$5:DH614,$DH614)*$DM$5:DM614,0),0))</f>
        <v/>
      </c>
      <c r="EE614">
        <f>IF($DM614=0,0,IF($ED614=$DE614,1,0))</f>
        <v/>
      </c>
      <c r="EF614">
        <f>EF613+$EE614</f>
        <v/>
      </c>
      <c r="EG614">
        <f>IF($DM614=0,"",INDEX($EF$5:$EF$1003,$ED614))</f>
        <v/>
      </c>
      <c r="EH614">
        <f>IF($DM614=0,"",IF($DO614&lt;&gt;"","",IFERROR(LOOKUP(2,1/(($EG$4:EG613=$EG614)*($DO$4:DO613&lt;&gt;"")),$DO$4:DO613),"")))</f>
        <v/>
      </c>
      <c r="EI614">
        <f>IF($DM614=0,"",IF($DO614&lt;&gt;"",$DO614,$EH614))</f>
        <v/>
      </c>
      <c r="EJ614">
        <f>IF($DM614=0,"",IF($EI614="",0,IF(OR(ISNUMBER($EI614),AND(AND(SUBSTITUTE(SUBSTITUTE(SUBSTITUTE(SUBSTITUTE(SUBSTITUTE(SUBSTITUTE(SUBSTITUTE(SUBSTITUTE(SUBSTITUTE(SUBSTITUTE(SUBSTITUTE(SUBSTITUTE(SUBSTITUTE(SUBSTITUTE(UPPER($EI614),"0",""),"1",""),"2",""),"3",""),"4",""),"5",""),"6",""),"7",""),"8",""),"9",""),".",""),"+",""),"-",""),"E","")="",LEN(SUBSTITUTE(SUBSTITUTE(MID(UPPER($EI614),1+OR(LEFT(UPPER($EI614),1)="+",LEFT(UPPER($EI614),1)="-"),999),"E+","E"),"E-","E"))=LEN(SUBSTITUTE(SUBSTITUTE(SUBSTITUTE(SUBSTITUTE(MID(UPPER($EI614),1+OR(LEFT(UPPER($EI614),1)="+",LEFT(UPPER($EI614),1)="-"),999),"E+","E"),"E-","E"),"+",""),"-","")),LEN(UPPER($EI614))-LEN(SUBSTITUTE(UPPER($EI614),"E",""))&lt;2,LEN(UPPER($EI614))-LEN(SUBSTITUTE(UPPER($EI614),".",""))&lt;2,IFERROR(FIND(".",UPPER($EI614)),0)&lt;IFERROR(FIND("E",UPPER($EI614)),999)),ISNUMBER(VALUE($EI614)))),1,2)))</f>
        <v/>
      </c>
      <c r="EK614">
        <f>IF($DM614=0,"",IF($EJ614=1,IF(ISNUMBER($EI614),$EI614,VALUE($EI614)),IF($EJ614=2,$DE614,0)))</f>
        <v/>
      </c>
      <c r="EL614">
        <f>IF($DM614=0,"",COUNTIF($EG$5:$EG$1003,"&lt;"&amp;$EG614)+SUMPRODUCT(($EG$5:$EG$1003=$EG614)*(($EJ$5:$EJ$1003&lt;$EJ614)+($EJ$5:$EJ$1003=$EJ614)*(($EK$5:$EK$1003&lt;$EK614)+($EK$5:$EK$1003=$EK614)*($DE$5:$DE$1003&lt;$DE614))))+1)</f>
        <v/>
      </c>
      <c r="EM614">
        <f>IF($DM614=0,"",$EL614+$EG614-1)</f>
        <v/>
      </c>
      <c r="EN614">
        <f>IF($DM614=0,0,IFERROR(MATCH(1,INDEX(--(TRIM(SUBSTITUTE(SUBSTITUTE(SUBSTITUTE(SUBSTITUTE(LINES_NAME&amp;""," "," "),CHAR(9)," "),CHAR(10)," "),CHAR(13)," "))=$DH614),0),0),0))</f>
        <v/>
      </c>
      <c r="EO614">
        <f>IF($EN614=0,0,IF(OR(UPPER(TRIM(INDEX(LINES_SCHEDULED,$EN614)&amp;""))="YES",UPPER(TRIM(INDEX(LINES_SCHEDULED,$EN614)&amp;""))="Y",UPPER(TRIM(INDEX(LINES_SCHEDULED,$EN614)&amp;""))="X"),1,0))</f>
        <v/>
      </c>
      <c r="EP614">
        <f>IF($DM614=0,"",IF(COUNTIFS($EG$5:$EG$1003,$EG614,$EB$5:$EB$1003,"Ready")&gt;0,"READY",IF(COUNTIFS($EG$5:$EG$1003,$EG614,$EB$5:$EB$1003,"PM")&gt;0,"PM",IF(COUNTIFS($EG$5:$EG$1003,$EG614,$EB$5:$EB$1003,"OT")&gt;0,"OT",""))))</f>
        <v/>
      </c>
      <c r="EQ614">
        <f>IF($EN614=0,"",UPPER(TRIM(INDEX(LINES_STATUS,$EN614)&amp;"")))</f>
        <v/>
      </c>
      <c r="ER614">
        <f>IF($DM614=0,"",IF(OR($EQ614="READY",$EQ614="PM",$EQ614="OT"),$EQ614,$EP614))</f>
        <v/>
      </c>
      <c r="ES614">
        <f>IF($DM614=0,"",IF(AND($DV614&lt;&gt;"",UPPER($DV614)&lt;&gt;"N"),"allergen",IF(ISNUMBER(SEARCH("oil",$DQ614)),"oil",IF(OR(EXACT($DS614,"A662"),EXACT($DS614,"A624")),"bulk",""))))</f>
        <v/>
      </c>
      <c r="ET614">
        <f>IF($DM614=0,"",IF(OR($EA614="",$EA614=0),"",$EA614/100))</f>
        <v/>
      </c>
      <c r="EU614">
        <f>IF(OR($ET614="",$DY614=""),"",INT($DY614*(1-$ET614)+0.5))</f>
        <v/>
      </c>
      <c r="EW614" t="n">
        <v>610</v>
      </c>
      <c r="EX614">
        <f>IFERROR(MATCH($EW614,$EM$5:$EM$1003,0),0)</f>
        <v/>
      </c>
      <c r="EY614">
        <f>IF($EW614&gt;$B$12,"",IF($EX614&gt;0,"row","spacer"))</f>
        <v/>
      </c>
      <c r="EZ614">
        <f>IF(AND($EY614="row",$EY613&lt;&gt;"row"),1,0)</f>
        <v/>
      </c>
      <c r="FA614">
        <f>IF(AND($EY614="row",$EY615&lt;&gt;"row"),1,0)</f>
        <v/>
      </c>
      <c r="FB614">
        <f>IF($EZ614=1,IFERROR(IF(ISNUMBER(INDEX(PASTE_ALL,INDEX($DF$5:$DF$1003,$EX614),$B$37)),INDEX(PASTE_ALL,INDEX($DF$5:$DF$1003,$EX614),$B$37),INDEX($DH$5:$DH$1003,$EX614)),INDEX($DH$5:$DH$1003,$EX614)),"")</f>
        <v/>
      </c>
      <c r="FC614">
        <f>IF($EY614="row",INDEX($ER$5:$ER$1003,$EX614),"")</f>
        <v/>
      </c>
      <c r="FD614">
        <f>IF($EY614="row",INDEX($DN$5:$DN$1003,$EX614),"")</f>
        <v/>
      </c>
      <c r="FE614">
        <f>IF($EY614="row",INDEX($DO$5:$DO$1003,$EX614),"")</f>
        <v/>
      </c>
      <c r="FF614">
        <f>IF($EY614="row",INDEX($DP$5:$DP$1003,$EX614),"")</f>
        <v/>
      </c>
      <c r="FG614">
        <f>IF($EY614="row",INDEX($DQ$5:$DQ$1003,$EX614),"")</f>
        <v/>
      </c>
      <c r="FH614">
        <f>IF($EY614="row",INDEX($DR$5:$DR$1003,$EX614),"")</f>
        <v/>
      </c>
      <c r="FI614">
        <f>IF($EY614="row",INDEX($DS$5:$DS$1003,$EX614),"")</f>
        <v/>
      </c>
      <c r="FJ614">
        <f>IF($EY614="row",INDEX($DT$5:$DT$1003,$EX614),"")</f>
        <v/>
      </c>
      <c r="FK614">
        <f>IF($EY614="row",INDEX($DU$5:$DU$1003,$EX614),"")</f>
        <v/>
      </c>
      <c r="FL614">
        <f>IF($EY614="row",INDEX($DV$5:$DV$1003,$EX614),"")</f>
        <v/>
      </c>
      <c r="FM614">
        <f>IF($EY614="row",INDEX($DW$5:$DW$1003,$EX614),"")</f>
        <v/>
      </c>
      <c r="FN614">
        <f>IF($EY614="row",INDEX($DY$5:$DY$1003,$EX614),"")</f>
        <v/>
      </c>
      <c r="FO614">
        <f>IF($EY614="row",INDEX($EA$5:$EA$1003,$EX614),"")</f>
        <v/>
      </c>
      <c r="FP614">
        <f>IF($EY614="row",INDEX($EC$5:$EC$1003,$EX614),"")</f>
        <v/>
      </c>
      <c r="FQ614">
        <f>IF($EY614="row",INDEX($ET$5:$ET$1003,$EX614),"")</f>
        <v/>
      </c>
      <c r="FR614">
        <f>IF($EY614="row",INDEX($EU$5:$EU$1003,$EX614),"")</f>
        <v/>
      </c>
      <c r="FS614">
        <f>IF(AND($EY614="row",$EY613="row"),IF(OR(INDEX($DT$5:$DT$1003,$EX613)="",INDEX($DT$5:$DT$1003,$EX614)=""),"",IF(NOT(EXACT(INDEX($DT$5:$DT$1003,$EX613),INDEX($DT$5:$DT$1003,$EX614))),"S4",IF(NOT(EXACT(INDEX($DS$5:$DS$1003,$EX613),INDEX($DS$5:$DS$1003,$EX614))),"S3",IF(NOT(EXACT(INDEX($DR$5:$DR$1003,$EX613),INDEX($DR$5:$DR$1003,$EX614))),"S1 Count Change","S1")))),"")</f>
        <v/>
      </c>
      <c r="FT614">
        <f>IF($EY614="row",INDEX($ES$5:$ES$1003,$EX614),"")</f>
        <v/>
      </c>
      <c r="FU614">
        <f>IF($EY614="row",INDEX($EO$5:$EO$1003,$EX614),0)</f>
        <v/>
      </c>
      <c r="FV614">
        <f>IF($FS614="S1 Count Change",1,0)</f>
        <v/>
      </c>
    </row>
    <row r="615">
      <c r="DA615" t="n">
        <v>611</v>
      </c>
      <c r="DB615">
        <f>IF($B$37=0,"",IFERROR(TRIM(SUBSTITUTE(SUBSTITUTE(SUBSTITUTE(SUBSTITUTE(INDEX(PASTE_ALL,611,$B$37)," "," "),CHAR(9)," "),CHAR(10)," "),CHAR(13)," ")),""))</f>
        <v/>
      </c>
      <c r="DC615">
        <f>IF(AND(611&gt;HEADER_ROW,UPPER(DB615)="LEGEND"),1,0)</f>
        <v/>
      </c>
      <c r="DE615" t="n">
        <v>611</v>
      </c>
      <c r="DF615">
        <f>HEADER_ROW+$DE615</f>
        <v/>
      </c>
      <c r="DG615">
        <f>IF(AND($DF615&lt;=1000,$DF615&lt;$B$8),1,0)</f>
        <v/>
      </c>
      <c r="DH615">
        <f>IF($DG615=1,IFERROR(INDEX($DB$5:$DB$1004,$DF615),""),"")</f>
        <v/>
      </c>
      <c r="DI615">
        <f>IF(AND($DG615=1,$DH615&lt;&gt;""),IFERROR(SUBSTITUTE(SUBSTITUTE(TRIM(SUBSTITUTE(SUBSTITUTE(SUBSTITUTE(SUBSTITUTE(IFERROR(INDEX(PASTE_ALL,$DF615,1)&amp;"","")&amp;"␟"&amp;IFERROR(INDEX(PASTE_ALL,$DF615,2)&amp;"","")&amp;"␟"&amp;IFERROR(INDEX(PASTE_ALL,$DF615,3)&amp;"","")&amp;"␟"&amp;IFERROR(INDEX(PASTE_ALL,$DF615,4)&amp;"","")&amp;"␟"&amp;IFERROR(INDEX(PASTE_ALL,$DF615,5)&amp;"","")&amp;"␟"&amp;IFERROR(INDEX(PASTE_ALL,$DF615,6)&amp;"","")&amp;"␟"&amp;IFERROR(INDEX(PASTE_ALL,$DF615,7)&amp;"","")&amp;"␟"&amp;IFERROR(INDEX(PASTE_ALL,$DF615,8)&amp;"","")&amp;"␟"&amp;IFERROR(INDEX(PASTE_ALL,$DF615,9)&amp;"","")&amp;"␟"&amp;IFERROR(INDEX(PASTE_ALL,$DF615,10)&amp;"","")&amp;"␟"&amp;IFERROR(INDEX(PASTE_ALL,$DF615,11)&amp;"","")&amp;"␟"&amp;IFERROR(INDEX(PASTE_ALL,$DF615,12)&amp;"","")&amp;"␟"&amp;IFERROR(INDEX(PASTE_ALL,$DF615,13)&amp;"","")&amp;"␟"&amp;IFERROR(INDEX(PASTE_ALL,$DF615,14)&amp;"","")&amp;"␟"&amp;IFERROR(INDEX(PASTE_ALL,$DF615,15)&amp;"","")&amp;"␟"&amp;IFERROR(INDEX(PASTE_ALL,$DF615,16)&amp;"","")&amp;"␟"&amp;IFERROR(INDEX(PASTE_ALL,$DF615,17)&amp;"","")&amp;"␟"&amp;IFERROR(INDEX(PASTE_ALL,$DF615,18)&amp;"","")&amp;"␟"&amp;IFERROR(INDEX(PASTE_ALL,$DF615,19)&amp;"","")&amp;"␟"&amp;IFERROR(INDEX(PASTE_ALL,$DF615,20)&amp;"","")&amp;"␟"&amp;IFERROR(INDEX(PASTE_ALL,$DF615,21)&amp;"","")&amp;"␟"&amp;IFERROR(INDEX(PASTE_ALL,$DF615,22)&amp;"","")&amp;"␟"&amp;IFERROR(INDEX(PASTE_ALL,$DF615,23)&amp;"","")&amp;"␟"&amp;IFERROR(INDEX(PASTE_ALL,$DF615,24)&amp;"","")&amp;"␟"&amp;IFERROR(INDEX(PASTE_ALL,$DF615,25)&amp;"","")&amp;"␟"&amp;IFERROR(INDEX(PASTE_ALL,$DF615,26)&amp;"","")&amp;"␟"&amp;IFERROR(INDEX(PASTE_ALL,$DF615,27)&amp;"","")&amp;"␟"&amp;IFERROR(INDEX(PASTE_ALL,$DF615,28)&amp;"","")&amp;"␟"&amp;IFERROR(INDEX(PASTE_ALL,$DF615,29)&amp;"","")&amp;"␟"&amp;IFERROR(INDEX(PASTE_ALL,$DF615,30)&amp;"","")&amp;"␟"&amp;IFERROR(INDEX(PASTE_ALL,$DF615,31)&amp;"","")&amp;"␟"&amp;IFERROR(INDEX(PASTE_ALL,$DF615,32)&amp;"","")&amp;"␟"&amp;IFERROR(INDEX(PASTE_ALL,$DF615,33)&amp;"","")&amp;"␟"&amp;IFERROR(INDEX(PASTE_ALL,$DF615,34)&amp;"","")&amp;"␟"&amp;IFERROR(INDEX(PASTE_ALL,$DF615,35)&amp;"","")&amp;"␟"&amp;IFERROR(INDEX(PASTE_ALL,$DF615,36)&amp;"","")&amp;"␟"&amp;IFERROR(INDEX(PASTE_ALL,$DF615,37)&amp;"","")&amp;"␟"&amp;IFERROR(INDEX(PASTE_ALL,$DF615,38)&amp;"","")&amp;"␟"&amp;IFERROR(INDEX(PASTE_ALL,$DF615,39)&amp;"","")&amp;"␟"&amp;IFERROR(INDEX(PASTE_ALL,$DF615,40)&amp;"","")&amp;"␟"&amp;IFERROR(INDEX(PASTE_ALL,$DF615,41)&amp;"","")&amp;"␟"&amp;IFERROR(INDEX(PASTE_ALL,$DF615,42)&amp;"","")&amp;"␟"&amp;IFERROR(INDEX(PASTE_ALL,$DF615,43)&amp;"","")&amp;"␟"&amp;IFERROR(INDEX(PASTE_ALL,$DF615,44)&amp;"","")&amp;"␟"&amp;IFERROR(INDEX(PASTE_ALL,$DF615,45)&amp;"","")&amp;"␟"&amp;IFERROR(INDEX(PASTE_ALL,$DF615,46)&amp;"","")&amp;"␟"&amp;IFERROR(INDEX(PASTE_ALL,$DF615,47)&amp;"","")&amp;"␟"&amp;IFERROR(INDEX(PASTE_ALL,$DF615,48)&amp;"","")&amp;"␟"&amp;IFERROR(INDEX(PASTE_ALL,$DF615,49)&amp;"","")&amp;"␟"&amp;IFERROR(INDEX(PASTE_ALL,$DF615,50)&amp;"","")&amp;"␟"&amp;IFERROR(INDEX(PASTE_ALL,$DF615,51)&amp;"","")&amp;"␟"&amp;IFERROR(INDEX(PASTE_ALL,$DF615,52)&amp;"","")&amp;"␟"&amp;IFERROR(INDEX(PASTE_ALL,$DF615,53)&amp;"","")&amp;"␟"&amp;IFERROR(INDEX(PASTE_ALL,$DF615,54)&amp;"","")&amp;"␟"&amp;IFERROR(INDEX(PASTE_ALL,$DF615,55)&amp;"","")&amp;"␟"&amp;IFERROR(INDEX(PASTE_ALL,$DF615,56)&amp;"","")&amp;"␟"&amp;IFERROR(INDEX(PASTE_ALL,$DF615,57)&amp;"","")&amp;"␟"&amp;IFERROR(INDEX(PASTE_ALL,$DF615,58)&amp;"","")&amp;"␟"&amp;IFERROR(INDEX(PASTE_ALL,$DF615,59)&amp;"","")&amp;"␟"&amp;IFERROR(INDEX(PASTE_ALL,$DF615,60)&amp;"","")," "," "),CHAR(9)," "),CHAR(10)," "),CHAR(13)," "))," ␟","␟"),"␟ ","␟"),"#"&amp;$DE615),"")</f>
        <v/>
      </c>
      <c r="DJ615">
        <f>IF($DI615="",0,IF(SUMPRODUCT(--EXACT($DI$4:DI614,$DI615))&gt;0,1,0))</f>
        <v/>
      </c>
      <c r="DK615">
        <f>IF(AND($DI615&lt;&gt;"",$DJ615=0),1,0)</f>
        <v/>
      </c>
      <c r="DL615">
        <f>DL614+$DK615</f>
        <v/>
      </c>
      <c r="DM615">
        <f>IF(AND($DK615=1,$DL615&lt;=600),1,0)</f>
        <v/>
      </c>
      <c r="DN615">
        <f>IF($DM615=0,"",IF($L$6=0,"",IFERROR(IF(ISNUMBER(INDEX(PASTE_ALL,$DF615,$L$6)),INDEX(PASTE_ALL,$DF615,$L$6),TRIM(SUBSTITUTE(SUBSTITUTE(SUBSTITUTE(SUBSTITUTE(INDEX(PASTE_ALL,$DF615,$L$6)," "," "),CHAR(9)," "),CHAR(10)," "),CHAR(13)," "))),"")))</f>
        <v/>
      </c>
      <c r="DO615">
        <f>IF($DM615=0,"",IF($L$7=0,"",IFERROR(IF(ISNUMBER(INDEX(PASTE_ALL,$DF615,$L$7)),INDEX(PASTE_ALL,$DF615,$L$7),TRIM(SUBSTITUTE(SUBSTITUTE(SUBSTITUTE(SUBSTITUTE(INDEX(PASTE_ALL,$DF615,$L$7)," "," "),CHAR(9)," "),CHAR(10)," "),CHAR(13)," "))),"")))</f>
        <v/>
      </c>
      <c r="DP615">
        <f>IF($DM615=0,"",IF($L$8=0,"",IFERROR(IF(ISNUMBER(INDEX(PASTE_ALL,$DF615,$L$8)),INDEX(PASTE_ALL,$DF615,$L$8),TRIM(SUBSTITUTE(SUBSTITUTE(SUBSTITUTE(SUBSTITUTE(INDEX(PASTE_ALL,$DF615,$L$8)," "," "),CHAR(9)," "),CHAR(10)," "),CHAR(13)," "))),"")))</f>
        <v/>
      </c>
      <c r="DQ615">
        <f>IF($DM615=0,"",IF($L$9=0,"",IFERROR(IF(ISNUMBER(INDEX(PASTE_ALL,$DF615,$L$9)),INDEX(PASTE_ALL,$DF615,$L$9),TRIM(SUBSTITUTE(SUBSTITUTE(SUBSTITUTE(SUBSTITUTE(INDEX(PASTE_ALL,$DF615,$L$9)," "," "),CHAR(9)," "),CHAR(10)," "),CHAR(13)," "))),"")))</f>
        <v/>
      </c>
      <c r="DR615">
        <f>IF($DM615=0,"",IF($L$10=0,"",IFERROR(IF(ISNUMBER(INDEX(PASTE_ALL,$DF615,$L$10)),INDEX(PASTE_ALL,$DF615,$L$10),TRIM(SUBSTITUTE(SUBSTITUTE(SUBSTITUTE(SUBSTITUTE(INDEX(PASTE_ALL,$DF615,$L$10)," "," "),CHAR(9)," "),CHAR(10)," "),CHAR(13)," "))),"")))</f>
        <v/>
      </c>
      <c r="DS615">
        <f>IF($DM615=0,"",IF($L$11=0,"",IFERROR(IF(ISNUMBER(INDEX(PASTE_ALL,$DF615,$L$11)),INDEX(PASTE_ALL,$DF615,$L$11),TRIM(SUBSTITUTE(SUBSTITUTE(SUBSTITUTE(SUBSTITUTE(INDEX(PASTE_ALL,$DF615,$L$11)," "," "),CHAR(9)," "),CHAR(10)," "),CHAR(13)," "))),"")))</f>
        <v/>
      </c>
      <c r="DT615">
        <f>IF($DM615=0,"",IF($L$12=0,"",IFERROR(IF(ISNUMBER(INDEX(PASTE_ALL,$DF615,$L$12)),INDEX(PASTE_ALL,$DF615,$L$12),TRIM(SUBSTITUTE(SUBSTITUTE(SUBSTITUTE(SUBSTITUTE(INDEX(PASTE_ALL,$DF615,$L$12)," "," "),CHAR(9)," "),CHAR(10)," "),CHAR(13)," "))),"")))</f>
        <v/>
      </c>
      <c r="DU615">
        <f>IF($DM615=0,"",IF($L$13=0,"",IFERROR(IF(ISNUMBER(INDEX(PASTE_ALL,$DF615,$L$13)),INDEX(PASTE_ALL,$DF615,$L$13),TRIM(SUBSTITUTE(SUBSTITUTE(SUBSTITUTE(SUBSTITUTE(INDEX(PASTE_ALL,$DF615,$L$13)," "," "),CHAR(9)," "),CHAR(10)," "),CHAR(13)," "))),"")))</f>
        <v/>
      </c>
      <c r="DV615">
        <f>IF($DM615=0,"",IF($L$14=0,"",IFERROR(IF(ISNUMBER(INDEX(PASTE_ALL,$DF615,$L$14)),INDEX(PASTE_ALL,$DF615,$L$14),TRIM(SUBSTITUTE(SUBSTITUTE(SUBSTITUTE(SUBSTITUTE(INDEX(PASTE_ALL,$DF615,$L$14)," "," "),CHAR(9)," "),CHAR(10)," "),CHAR(13)," "))),"")))</f>
        <v/>
      </c>
      <c r="DW615">
        <f>IF($DM615=0,"",IF($L$15=0,"",IFERROR(IF(ISNUMBER(INDEX(PASTE_ALL,$DF615,$L$15)),INDEX(PASTE_ALL,$DF615,$L$15),IF(SUMPRODUCT(--ISNUMBER(FIND({"A","B","C","D","E","F","G","H","I","J","K","L","M","N","O","P","Q","R","S","T","U","V","W","X","Y","Z","0","1","2","3","4","5","6","7","8","9"},UPPER(TRIM(SUBSTITUTE(SUBSTITUTE(SUBSTITUTE(SUBSTITUTE(INDEX(PASTE_ALL,$DF615,$L$15)," "," "),CHAR(9)," "),CHAR(10)," "),CHAR(13)," "))))))&gt;0,TRIM(SUBSTITUTE(SUBSTITUTE(SUBSTITUTE(SUBSTITUTE(INDEX(PASTE_ALL,$DF615,$L$15)," "," "),CHAR(9)," "),CHAR(10)," "),CHAR(13)," ")),"")),"")))</f>
        <v/>
      </c>
      <c r="DX615">
        <f>IF($DM615=0,"",IF($L$16=0,"",IFERROR(IF(ISNUMBER(INDEX(PASTE_ALL,$DF615,$L$16)),INDEX(PASTE_ALL,$DF615,$L$16),SUBSTITUTE(SUBSTITUTE(TRIM(SUBSTITUTE(SUBSTITUTE(SUBSTITUTE(SUBSTITUTE(INDEX(PASTE_ALL,$DF615,$L$16)," "," "),CHAR(9)," "),CHAR(10)," "),CHAR(13)," ")),",",""),"%","")),"")))</f>
        <v/>
      </c>
      <c r="DY615">
        <f>IF($DM615=0,"",IFERROR(IF(ISNUMBER($DX615),$DX615,IF($DX615="","",IF(TRIM($DX615)="",0,IF(AND(AND(SUBSTITUTE(SUBSTITUTE(SUBSTITUTE(SUBSTITUTE(SUBSTITUTE(SUBSTITUTE(SUBSTITUTE(SUBSTITUTE(SUBSTITUTE(SUBSTITUTE(SUBSTITUTE(SUBSTITUTE(SUBSTITUTE(SUBSTITUTE(UPPER(TRIM($DX615)),"0",""),"1",""),"2",""),"3",""),"4",""),"5",""),"6",""),"7",""),"8",""),"9",""),".",""),"+",""),"-",""),"E","")="",LEN(SUBSTITUTE(SUBSTITUTE(MID(UPPER(TRIM($DX615)),1+OR(LEFT(UPPER(TRIM($DX615)),1)="+",LEFT(UPPER(TRIM($DX615)),1)="-"),999),"E+","E"),"E-","E"))=LEN(SUBSTITUTE(SUBSTITUTE(SUBSTITUTE(SUBSTITUTE(MID(UPPER(TRIM($DX615)),1+OR(LEFT(UPPER(TRIM($DX615)),1)="+",LEFT(UPPER(TRIM($DX615)),1)="-"),999),"E+","E"),"E-","E"),"+",""),"-","")),LEN(UPPER(TRIM($DX615)))-LEN(SUBSTITUTE(UPPER(TRIM($DX615)),"E",""))&lt;2,LEN(UPPER(TRIM($DX615)))-LEN(SUBSTITUTE(UPPER(TRIM($DX615)),".",""))&lt;2,IFERROR(FIND(".",UPPER(TRIM($DX615))),0)&lt;IFERROR(FIND("E",UPPER(TRIM($DX615))),999)),ISNUMBER(VALUE(TRIM($DX615)))),VALUE(TRIM($DX615)),"")))),""))</f>
        <v/>
      </c>
      <c r="DZ615">
        <f>IF($DM615=0,"",IF($L$17=0,"",IFERROR(IF(ISNUMBER(INDEX(PASTE_ALL,$DF615,$L$17)),INDEX(PASTE_ALL,$DF615,$L$17),SUBSTITUTE(SUBSTITUTE(TRIM(SUBSTITUTE(SUBSTITUTE(SUBSTITUTE(SUBSTITUTE(INDEX(PASTE_ALL,$DF615,$L$17)," "," "),CHAR(9)," "),CHAR(10)," "),CHAR(13)," ")),",",""),"%","")),"")))</f>
        <v/>
      </c>
      <c r="EA615">
        <f>IF($DM615=0,"",IFERROR(IF(ISNUMBER($DZ615),$DZ615,IF($DZ615="","",IF(TRIM($DZ615)="",0,IF(AND(AND(SUBSTITUTE(SUBSTITUTE(SUBSTITUTE(SUBSTITUTE(SUBSTITUTE(SUBSTITUTE(SUBSTITUTE(SUBSTITUTE(SUBSTITUTE(SUBSTITUTE(SUBSTITUTE(SUBSTITUTE(SUBSTITUTE(SUBSTITUTE(UPPER(TRIM($DZ615)),"0",""),"1",""),"2",""),"3",""),"4",""),"5",""),"6",""),"7",""),"8",""),"9",""),".",""),"+",""),"-",""),"E","")="",LEN(SUBSTITUTE(SUBSTITUTE(MID(UPPER(TRIM($DZ615)),1+OR(LEFT(UPPER(TRIM($DZ615)),1)="+",LEFT(UPPER(TRIM($DZ615)),1)="-"),999),"E+","E"),"E-","E"))=LEN(SUBSTITUTE(SUBSTITUTE(SUBSTITUTE(SUBSTITUTE(MID(UPPER(TRIM($DZ615)),1+OR(LEFT(UPPER(TRIM($DZ615)),1)="+",LEFT(UPPER(TRIM($DZ615)),1)="-"),999),"E+","E"),"E-","E"),"+",""),"-","")),LEN(UPPER(TRIM($DZ615)))-LEN(SUBSTITUTE(UPPER(TRIM($DZ615)),"E",""))&lt;2,LEN(UPPER(TRIM($DZ615)))-LEN(SUBSTITUTE(UPPER(TRIM($DZ615)),".",""))&lt;2,IFERROR(FIND(".",UPPER(TRIM($DZ615))),0)&lt;IFERROR(FIND("E",UPPER(TRIM($DZ615))),999)),ISNUMBER(VALUE(TRIM($DZ615)))),VALUE(TRIM($DZ615)),"")))),""))</f>
        <v/>
      </c>
      <c r="EB615">
        <f>IF($DM615=0,"",IF($L$18=0,"",IFERROR(IF(UPPER(TRIM(SUBSTITUTE(SUBSTITUTE(SUBSTITUTE(SUBSTITUTE(INDEX(PASTE_ALL,$DF615,$L$18)," "," "),CHAR(9)," "),CHAR(10)," "),CHAR(13)," ")))="READY","Ready",IF(UPPER(TRIM(SUBSTITUTE(SUBSTITUTE(SUBSTITUTE(SUBSTITUTE(INDEX(PASTE_ALL,$DF615,$L$18)," "," "),CHAR(9)," "),CHAR(10)," "),CHAR(13)," ")))="PM","PM",IF(OR(UPPER(TRIM(SUBSTITUTE(SUBSTITUTE(SUBSTITUTE(SUBSTITUTE(INDEX(PASTE_ALL,$DF615,$L$18)," "," "),CHAR(9)," "),CHAR(10)," "),CHAR(13)," ")))="OT",UPPER(TRIM(SUBSTITUTE(SUBSTITUTE(SUBSTITUTE(SUBSTITUTE(INDEX(PASTE_ALL,$DF615,$L$18)," "," "),CHAR(9)," "),CHAR(10)," "),CHAR(13)," ")))="OVERTIME",UPPER(TRIM(SUBSTITUTE(SUBSTITUTE(SUBSTITUTE(SUBSTITUTE(INDEX(PASTE_ALL,$DF615,$L$18)," "," "),CHAR(9)," "),CHAR(10)," "),CHAR(13)," ")))="TRIAL"),"OT",TRIM(SUBSTITUTE(SUBSTITUTE(SUBSTITUTE(SUBSTITUTE(INDEX(PASTE_ALL,$DF615,$L$18)," "," "),CHAR(9)," "),CHAR(10)," "),CHAR(13)," "))))),"")))</f>
        <v/>
      </c>
      <c r="EC615">
        <f>IF($DM615=0,"",IF($L$19=0,"",IFERROR(IF(ISNUMBER(INDEX(PASTE_ALL,$DF615,$L$19)),INDEX(PASTE_ALL,$DF615,$L$19),TRIM(SUBSTITUTE(SUBSTITUTE(SUBSTITUTE(SUBSTITUTE(INDEX(PASTE_ALL,$DF615,$L$19)," "," "),CHAR(9)," "),CHAR(10)," "),CHAR(13)," "))),"")))</f>
        <v/>
      </c>
      <c r="ED615">
        <f>IF($DM615=0,"",MATCH(1,INDEX(EXACT($DH$5:DH615,$DH615)*$DM$5:DM615,0),0))</f>
        <v/>
      </c>
      <c r="EE615">
        <f>IF($DM615=0,0,IF($ED615=$DE615,1,0))</f>
        <v/>
      </c>
      <c r="EF615">
        <f>EF614+$EE615</f>
        <v/>
      </c>
      <c r="EG615">
        <f>IF($DM615=0,"",INDEX($EF$5:$EF$1003,$ED615))</f>
        <v/>
      </c>
      <c r="EH615">
        <f>IF($DM615=0,"",IF($DO615&lt;&gt;"","",IFERROR(LOOKUP(2,1/(($EG$4:EG614=$EG615)*($DO$4:DO614&lt;&gt;"")),$DO$4:DO614),"")))</f>
        <v/>
      </c>
      <c r="EI615">
        <f>IF($DM615=0,"",IF($DO615&lt;&gt;"",$DO615,$EH615))</f>
        <v/>
      </c>
      <c r="EJ615">
        <f>IF($DM615=0,"",IF($EI615="",0,IF(OR(ISNUMBER($EI615),AND(AND(SUBSTITUTE(SUBSTITUTE(SUBSTITUTE(SUBSTITUTE(SUBSTITUTE(SUBSTITUTE(SUBSTITUTE(SUBSTITUTE(SUBSTITUTE(SUBSTITUTE(SUBSTITUTE(SUBSTITUTE(SUBSTITUTE(SUBSTITUTE(UPPER($EI615),"0",""),"1",""),"2",""),"3",""),"4",""),"5",""),"6",""),"7",""),"8",""),"9",""),".",""),"+",""),"-",""),"E","")="",LEN(SUBSTITUTE(SUBSTITUTE(MID(UPPER($EI615),1+OR(LEFT(UPPER($EI615),1)="+",LEFT(UPPER($EI615),1)="-"),999),"E+","E"),"E-","E"))=LEN(SUBSTITUTE(SUBSTITUTE(SUBSTITUTE(SUBSTITUTE(MID(UPPER($EI615),1+OR(LEFT(UPPER($EI615),1)="+",LEFT(UPPER($EI615),1)="-"),999),"E+","E"),"E-","E"),"+",""),"-","")),LEN(UPPER($EI615))-LEN(SUBSTITUTE(UPPER($EI615),"E",""))&lt;2,LEN(UPPER($EI615))-LEN(SUBSTITUTE(UPPER($EI615),".",""))&lt;2,IFERROR(FIND(".",UPPER($EI615)),0)&lt;IFERROR(FIND("E",UPPER($EI615)),999)),ISNUMBER(VALUE($EI615)))),1,2)))</f>
        <v/>
      </c>
      <c r="EK615">
        <f>IF($DM615=0,"",IF($EJ615=1,IF(ISNUMBER($EI615),$EI615,VALUE($EI615)),IF($EJ615=2,$DE615,0)))</f>
        <v/>
      </c>
      <c r="EL615">
        <f>IF($DM615=0,"",COUNTIF($EG$5:$EG$1003,"&lt;"&amp;$EG615)+SUMPRODUCT(($EG$5:$EG$1003=$EG615)*(($EJ$5:$EJ$1003&lt;$EJ615)+($EJ$5:$EJ$1003=$EJ615)*(($EK$5:$EK$1003&lt;$EK615)+($EK$5:$EK$1003=$EK615)*($DE$5:$DE$1003&lt;$DE615))))+1)</f>
        <v/>
      </c>
      <c r="EM615">
        <f>IF($DM615=0,"",$EL615+$EG615-1)</f>
        <v/>
      </c>
      <c r="EN615">
        <f>IF($DM615=0,0,IFERROR(MATCH(1,INDEX(--(TRIM(SUBSTITUTE(SUBSTITUTE(SUBSTITUTE(SUBSTITUTE(LINES_NAME&amp;""," "," "),CHAR(9)," "),CHAR(10)," "),CHAR(13)," "))=$DH615),0),0),0))</f>
        <v/>
      </c>
      <c r="EO615">
        <f>IF($EN615=0,0,IF(OR(UPPER(TRIM(INDEX(LINES_SCHEDULED,$EN615)&amp;""))="YES",UPPER(TRIM(INDEX(LINES_SCHEDULED,$EN615)&amp;""))="Y",UPPER(TRIM(INDEX(LINES_SCHEDULED,$EN615)&amp;""))="X"),1,0))</f>
        <v/>
      </c>
      <c r="EP615">
        <f>IF($DM615=0,"",IF(COUNTIFS($EG$5:$EG$1003,$EG615,$EB$5:$EB$1003,"Ready")&gt;0,"READY",IF(COUNTIFS($EG$5:$EG$1003,$EG615,$EB$5:$EB$1003,"PM")&gt;0,"PM",IF(COUNTIFS($EG$5:$EG$1003,$EG615,$EB$5:$EB$1003,"OT")&gt;0,"OT",""))))</f>
        <v/>
      </c>
      <c r="EQ615">
        <f>IF($EN615=0,"",UPPER(TRIM(INDEX(LINES_STATUS,$EN615)&amp;"")))</f>
        <v/>
      </c>
      <c r="ER615">
        <f>IF($DM615=0,"",IF(OR($EQ615="READY",$EQ615="PM",$EQ615="OT"),$EQ615,$EP615))</f>
        <v/>
      </c>
      <c r="ES615">
        <f>IF($DM615=0,"",IF(AND($DV615&lt;&gt;"",UPPER($DV615)&lt;&gt;"N"),"allergen",IF(ISNUMBER(SEARCH("oil",$DQ615)),"oil",IF(OR(EXACT($DS615,"A662"),EXACT($DS615,"A624")),"bulk",""))))</f>
        <v/>
      </c>
      <c r="ET615">
        <f>IF($DM615=0,"",IF(OR($EA615="",$EA615=0),"",$EA615/100))</f>
        <v/>
      </c>
      <c r="EU615">
        <f>IF(OR($ET615="",$DY615=""),"",INT($DY615*(1-$ET615)+0.5))</f>
        <v/>
      </c>
      <c r="EW615" t="n">
        <v>611</v>
      </c>
      <c r="EX615">
        <f>IFERROR(MATCH($EW615,$EM$5:$EM$1003,0),0)</f>
        <v/>
      </c>
      <c r="EY615">
        <f>IF($EW615&gt;$B$12,"",IF($EX615&gt;0,"row","spacer"))</f>
        <v/>
      </c>
      <c r="EZ615">
        <f>IF(AND($EY615="row",$EY614&lt;&gt;"row"),1,0)</f>
        <v/>
      </c>
      <c r="FA615">
        <f>IF(AND($EY615="row",$EY616&lt;&gt;"row"),1,0)</f>
        <v/>
      </c>
      <c r="FB615">
        <f>IF($EZ615=1,IFERROR(IF(ISNUMBER(INDEX(PASTE_ALL,INDEX($DF$5:$DF$1003,$EX615),$B$37)),INDEX(PASTE_ALL,INDEX($DF$5:$DF$1003,$EX615),$B$37),INDEX($DH$5:$DH$1003,$EX615)),INDEX($DH$5:$DH$1003,$EX615)),"")</f>
        <v/>
      </c>
      <c r="FC615">
        <f>IF($EY615="row",INDEX($ER$5:$ER$1003,$EX615),"")</f>
        <v/>
      </c>
      <c r="FD615">
        <f>IF($EY615="row",INDEX($DN$5:$DN$1003,$EX615),"")</f>
        <v/>
      </c>
      <c r="FE615">
        <f>IF($EY615="row",INDEX($DO$5:$DO$1003,$EX615),"")</f>
        <v/>
      </c>
      <c r="FF615">
        <f>IF($EY615="row",INDEX($DP$5:$DP$1003,$EX615),"")</f>
        <v/>
      </c>
      <c r="FG615">
        <f>IF($EY615="row",INDEX($DQ$5:$DQ$1003,$EX615),"")</f>
        <v/>
      </c>
      <c r="FH615">
        <f>IF($EY615="row",INDEX($DR$5:$DR$1003,$EX615),"")</f>
        <v/>
      </c>
      <c r="FI615">
        <f>IF($EY615="row",INDEX($DS$5:$DS$1003,$EX615),"")</f>
        <v/>
      </c>
      <c r="FJ615">
        <f>IF($EY615="row",INDEX($DT$5:$DT$1003,$EX615),"")</f>
        <v/>
      </c>
      <c r="FK615">
        <f>IF($EY615="row",INDEX($DU$5:$DU$1003,$EX615),"")</f>
        <v/>
      </c>
      <c r="FL615">
        <f>IF($EY615="row",INDEX($DV$5:$DV$1003,$EX615),"")</f>
        <v/>
      </c>
      <c r="FM615">
        <f>IF($EY615="row",INDEX($DW$5:$DW$1003,$EX615),"")</f>
        <v/>
      </c>
      <c r="FN615">
        <f>IF($EY615="row",INDEX($DY$5:$DY$1003,$EX615),"")</f>
        <v/>
      </c>
      <c r="FO615">
        <f>IF($EY615="row",INDEX($EA$5:$EA$1003,$EX615),"")</f>
        <v/>
      </c>
      <c r="FP615">
        <f>IF($EY615="row",INDEX($EC$5:$EC$1003,$EX615),"")</f>
        <v/>
      </c>
      <c r="FQ615">
        <f>IF($EY615="row",INDEX($ET$5:$ET$1003,$EX615),"")</f>
        <v/>
      </c>
      <c r="FR615">
        <f>IF($EY615="row",INDEX($EU$5:$EU$1003,$EX615),"")</f>
        <v/>
      </c>
      <c r="FS615">
        <f>IF(AND($EY615="row",$EY614="row"),IF(OR(INDEX($DT$5:$DT$1003,$EX614)="",INDEX($DT$5:$DT$1003,$EX615)=""),"",IF(NOT(EXACT(INDEX($DT$5:$DT$1003,$EX614),INDEX($DT$5:$DT$1003,$EX615))),"S4",IF(NOT(EXACT(INDEX($DS$5:$DS$1003,$EX614),INDEX($DS$5:$DS$1003,$EX615))),"S3",IF(NOT(EXACT(INDEX($DR$5:$DR$1003,$EX614),INDEX($DR$5:$DR$1003,$EX615))),"S1 Count Change","S1")))),"")</f>
        <v/>
      </c>
      <c r="FT615">
        <f>IF($EY615="row",INDEX($ES$5:$ES$1003,$EX615),"")</f>
        <v/>
      </c>
      <c r="FU615">
        <f>IF($EY615="row",INDEX($EO$5:$EO$1003,$EX615),0)</f>
        <v/>
      </c>
      <c r="FV615">
        <f>IF($FS615="S1 Count Change",1,0)</f>
        <v/>
      </c>
    </row>
    <row r="616">
      <c r="DA616" t="n">
        <v>612</v>
      </c>
      <c r="DB616">
        <f>IF($B$37=0,"",IFERROR(TRIM(SUBSTITUTE(SUBSTITUTE(SUBSTITUTE(SUBSTITUTE(INDEX(PASTE_ALL,612,$B$37)," "," "),CHAR(9)," "),CHAR(10)," "),CHAR(13)," ")),""))</f>
        <v/>
      </c>
      <c r="DC616">
        <f>IF(AND(612&gt;HEADER_ROW,UPPER(DB616)="LEGEND"),1,0)</f>
        <v/>
      </c>
      <c r="DE616" t="n">
        <v>612</v>
      </c>
      <c r="DF616">
        <f>HEADER_ROW+$DE616</f>
        <v/>
      </c>
      <c r="DG616">
        <f>IF(AND($DF616&lt;=1000,$DF616&lt;$B$8),1,0)</f>
        <v/>
      </c>
      <c r="DH616">
        <f>IF($DG616=1,IFERROR(INDEX($DB$5:$DB$1004,$DF616),""),"")</f>
        <v/>
      </c>
      <c r="DI616">
        <f>IF(AND($DG616=1,$DH616&lt;&gt;""),IFERROR(SUBSTITUTE(SUBSTITUTE(TRIM(SUBSTITUTE(SUBSTITUTE(SUBSTITUTE(SUBSTITUTE(IFERROR(INDEX(PASTE_ALL,$DF616,1)&amp;"","")&amp;"␟"&amp;IFERROR(INDEX(PASTE_ALL,$DF616,2)&amp;"","")&amp;"␟"&amp;IFERROR(INDEX(PASTE_ALL,$DF616,3)&amp;"","")&amp;"␟"&amp;IFERROR(INDEX(PASTE_ALL,$DF616,4)&amp;"","")&amp;"␟"&amp;IFERROR(INDEX(PASTE_ALL,$DF616,5)&amp;"","")&amp;"␟"&amp;IFERROR(INDEX(PASTE_ALL,$DF616,6)&amp;"","")&amp;"␟"&amp;IFERROR(INDEX(PASTE_ALL,$DF616,7)&amp;"","")&amp;"␟"&amp;IFERROR(INDEX(PASTE_ALL,$DF616,8)&amp;"","")&amp;"␟"&amp;IFERROR(INDEX(PASTE_ALL,$DF616,9)&amp;"","")&amp;"␟"&amp;IFERROR(INDEX(PASTE_ALL,$DF616,10)&amp;"","")&amp;"␟"&amp;IFERROR(INDEX(PASTE_ALL,$DF616,11)&amp;"","")&amp;"␟"&amp;IFERROR(INDEX(PASTE_ALL,$DF616,12)&amp;"","")&amp;"␟"&amp;IFERROR(INDEX(PASTE_ALL,$DF616,13)&amp;"","")&amp;"␟"&amp;IFERROR(INDEX(PASTE_ALL,$DF616,14)&amp;"","")&amp;"␟"&amp;IFERROR(INDEX(PASTE_ALL,$DF616,15)&amp;"","")&amp;"␟"&amp;IFERROR(INDEX(PASTE_ALL,$DF616,16)&amp;"","")&amp;"␟"&amp;IFERROR(INDEX(PASTE_ALL,$DF616,17)&amp;"","")&amp;"␟"&amp;IFERROR(INDEX(PASTE_ALL,$DF616,18)&amp;"","")&amp;"␟"&amp;IFERROR(INDEX(PASTE_ALL,$DF616,19)&amp;"","")&amp;"␟"&amp;IFERROR(INDEX(PASTE_ALL,$DF616,20)&amp;"","")&amp;"␟"&amp;IFERROR(INDEX(PASTE_ALL,$DF616,21)&amp;"","")&amp;"␟"&amp;IFERROR(INDEX(PASTE_ALL,$DF616,22)&amp;"","")&amp;"␟"&amp;IFERROR(INDEX(PASTE_ALL,$DF616,23)&amp;"","")&amp;"␟"&amp;IFERROR(INDEX(PASTE_ALL,$DF616,24)&amp;"","")&amp;"␟"&amp;IFERROR(INDEX(PASTE_ALL,$DF616,25)&amp;"","")&amp;"␟"&amp;IFERROR(INDEX(PASTE_ALL,$DF616,26)&amp;"","")&amp;"␟"&amp;IFERROR(INDEX(PASTE_ALL,$DF616,27)&amp;"","")&amp;"␟"&amp;IFERROR(INDEX(PASTE_ALL,$DF616,28)&amp;"","")&amp;"␟"&amp;IFERROR(INDEX(PASTE_ALL,$DF616,29)&amp;"","")&amp;"␟"&amp;IFERROR(INDEX(PASTE_ALL,$DF616,30)&amp;"","")&amp;"␟"&amp;IFERROR(INDEX(PASTE_ALL,$DF616,31)&amp;"","")&amp;"␟"&amp;IFERROR(INDEX(PASTE_ALL,$DF616,32)&amp;"","")&amp;"␟"&amp;IFERROR(INDEX(PASTE_ALL,$DF616,33)&amp;"","")&amp;"␟"&amp;IFERROR(INDEX(PASTE_ALL,$DF616,34)&amp;"","")&amp;"␟"&amp;IFERROR(INDEX(PASTE_ALL,$DF616,35)&amp;"","")&amp;"␟"&amp;IFERROR(INDEX(PASTE_ALL,$DF616,36)&amp;"","")&amp;"␟"&amp;IFERROR(INDEX(PASTE_ALL,$DF616,37)&amp;"","")&amp;"␟"&amp;IFERROR(INDEX(PASTE_ALL,$DF616,38)&amp;"","")&amp;"␟"&amp;IFERROR(INDEX(PASTE_ALL,$DF616,39)&amp;"","")&amp;"␟"&amp;IFERROR(INDEX(PASTE_ALL,$DF616,40)&amp;"","")&amp;"␟"&amp;IFERROR(INDEX(PASTE_ALL,$DF616,41)&amp;"","")&amp;"␟"&amp;IFERROR(INDEX(PASTE_ALL,$DF616,42)&amp;"","")&amp;"␟"&amp;IFERROR(INDEX(PASTE_ALL,$DF616,43)&amp;"","")&amp;"␟"&amp;IFERROR(INDEX(PASTE_ALL,$DF616,44)&amp;"","")&amp;"␟"&amp;IFERROR(INDEX(PASTE_ALL,$DF616,45)&amp;"","")&amp;"␟"&amp;IFERROR(INDEX(PASTE_ALL,$DF616,46)&amp;"","")&amp;"␟"&amp;IFERROR(INDEX(PASTE_ALL,$DF616,47)&amp;"","")&amp;"␟"&amp;IFERROR(INDEX(PASTE_ALL,$DF616,48)&amp;"","")&amp;"␟"&amp;IFERROR(INDEX(PASTE_ALL,$DF616,49)&amp;"","")&amp;"␟"&amp;IFERROR(INDEX(PASTE_ALL,$DF616,50)&amp;"","")&amp;"␟"&amp;IFERROR(INDEX(PASTE_ALL,$DF616,51)&amp;"","")&amp;"␟"&amp;IFERROR(INDEX(PASTE_ALL,$DF616,52)&amp;"","")&amp;"␟"&amp;IFERROR(INDEX(PASTE_ALL,$DF616,53)&amp;"","")&amp;"␟"&amp;IFERROR(INDEX(PASTE_ALL,$DF616,54)&amp;"","")&amp;"␟"&amp;IFERROR(INDEX(PASTE_ALL,$DF616,55)&amp;"","")&amp;"␟"&amp;IFERROR(INDEX(PASTE_ALL,$DF616,56)&amp;"","")&amp;"␟"&amp;IFERROR(INDEX(PASTE_ALL,$DF616,57)&amp;"","")&amp;"␟"&amp;IFERROR(INDEX(PASTE_ALL,$DF616,58)&amp;"","")&amp;"␟"&amp;IFERROR(INDEX(PASTE_ALL,$DF616,59)&amp;"","")&amp;"␟"&amp;IFERROR(INDEX(PASTE_ALL,$DF616,60)&amp;"","")," "," "),CHAR(9)," "),CHAR(10)," "),CHAR(13)," "))," ␟","␟"),"␟ ","␟"),"#"&amp;$DE616),"")</f>
        <v/>
      </c>
      <c r="DJ616">
        <f>IF($DI616="",0,IF(SUMPRODUCT(--EXACT($DI$4:DI615,$DI616))&gt;0,1,0))</f>
        <v/>
      </c>
      <c r="DK616">
        <f>IF(AND($DI616&lt;&gt;"",$DJ616=0),1,0)</f>
        <v/>
      </c>
      <c r="DL616">
        <f>DL615+$DK616</f>
        <v/>
      </c>
      <c r="DM616">
        <f>IF(AND($DK616=1,$DL616&lt;=600),1,0)</f>
        <v/>
      </c>
      <c r="DN616">
        <f>IF($DM616=0,"",IF($L$6=0,"",IFERROR(IF(ISNUMBER(INDEX(PASTE_ALL,$DF616,$L$6)),INDEX(PASTE_ALL,$DF616,$L$6),TRIM(SUBSTITUTE(SUBSTITUTE(SUBSTITUTE(SUBSTITUTE(INDEX(PASTE_ALL,$DF616,$L$6)," "," "),CHAR(9)," "),CHAR(10)," "),CHAR(13)," "))),"")))</f>
        <v/>
      </c>
      <c r="DO616">
        <f>IF($DM616=0,"",IF($L$7=0,"",IFERROR(IF(ISNUMBER(INDEX(PASTE_ALL,$DF616,$L$7)),INDEX(PASTE_ALL,$DF616,$L$7),TRIM(SUBSTITUTE(SUBSTITUTE(SUBSTITUTE(SUBSTITUTE(INDEX(PASTE_ALL,$DF616,$L$7)," "," "),CHAR(9)," "),CHAR(10)," "),CHAR(13)," "))),"")))</f>
        <v/>
      </c>
      <c r="DP616">
        <f>IF($DM616=0,"",IF($L$8=0,"",IFERROR(IF(ISNUMBER(INDEX(PASTE_ALL,$DF616,$L$8)),INDEX(PASTE_ALL,$DF616,$L$8),TRIM(SUBSTITUTE(SUBSTITUTE(SUBSTITUTE(SUBSTITUTE(INDEX(PASTE_ALL,$DF616,$L$8)," "," "),CHAR(9)," "),CHAR(10)," "),CHAR(13)," "))),"")))</f>
        <v/>
      </c>
      <c r="DQ616">
        <f>IF($DM616=0,"",IF($L$9=0,"",IFERROR(IF(ISNUMBER(INDEX(PASTE_ALL,$DF616,$L$9)),INDEX(PASTE_ALL,$DF616,$L$9),TRIM(SUBSTITUTE(SUBSTITUTE(SUBSTITUTE(SUBSTITUTE(INDEX(PASTE_ALL,$DF616,$L$9)," "," "),CHAR(9)," "),CHAR(10)," "),CHAR(13)," "))),"")))</f>
        <v/>
      </c>
      <c r="DR616">
        <f>IF($DM616=0,"",IF($L$10=0,"",IFERROR(IF(ISNUMBER(INDEX(PASTE_ALL,$DF616,$L$10)),INDEX(PASTE_ALL,$DF616,$L$10),TRIM(SUBSTITUTE(SUBSTITUTE(SUBSTITUTE(SUBSTITUTE(INDEX(PASTE_ALL,$DF616,$L$10)," "," "),CHAR(9)," "),CHAR(10)," "),CHAR(13)," "))),"")))</f>
        <v/>
      </c>
      <c r="DS616">
        <f>IF($DM616=0,"",IF($L$11=0,"",IFERROR(IF(ISNUMBER(INDEX(PASTE_ALL,$DF616,$L$11)),INDEX(PASTE_ALL,$DF616,$L$11),TRIM(SUBSTITUTE(SUBSTITUTE(SUBSTITUTE(SUBSTITUTE(INDEX(PASTE_ALL,$DF616,$L$11)," "," "),CHAR(9)," "),CHAR(10)," "),CHAR(13)," "))),"")))</f>
        <v/>
      </c>
      <c r="DT616">
        <f>IF($DM616=0,"",IF($L$12=0,"",IFERROR(IF(ISNUMBER(INDEX(PASTE_ALL,$DF616,$L$12)),INDEX(PASTE_ALL,$DF616,$L$12),TRIM(SUBSTITUTE(SUBSTITUTE(SUBSTITUTE(SUBSTITUTE(INDEX(PASTE_ALL,$DF616,$L$12)," "," "),CHAR(9)," "),CHAR(10)," "),CHAR(13)," "))),"")))</f>
        <v/>
      </c>
      <c r="DU616">
        <f>IF($DM616=0,"",IF($L$13=0,"",IFERROR(IF(ISNUMBER(INDEX(PASTE_ALL,$DF616,$L$13)),INDEX(PASTE_ALL,$DF616,$L$13),TRIM(SUBSTITUTE(SUBSTITUTE(SUBSTITUTE(SUBSTITUTE(INDEX(PASTE_ALL,$DF616,$L$13)," "," "),CHAR(9)," "),CHAR(10)," "),CHAR(13)," "))),"")))</f>
        <v/>
      </c>
      <c r="DV616">
        <f>IF($DM616=0,"",IF($L$14=0,"",IFERROR(IF(ISNUMBER(INDEX(PASTE_ALL,$DF616,$L$14)),INDEX(PASTE_ALL,$DF616,$L$14),TRIM(SUBSTITUTE(SUBSTITUTE(SUBSTITUTE(SUBSTITUTE(INDEX(PASTE_ALL,$DF616,$L$14)," "," "),CHAR(9)," "),CHAR(10)," "),CHAR(13)," "))),"")))</f>
        <v/>
      </c>
      <c r="DW616">
        <f>IF($DM616=0,"",IF($L$15=0,"",IFERROR(IF(ISNUMBER(INDEX(PASTE_ALL,$DF616,$L$15)),INDEX(PASTE_ALL,$DF616,$L$15),IF(SUMPRODUCT(--ISNUMBER(FIND({"A","B","C","D","E","F","G","H","I","J","K","L","M","N","O","P","Q","R","S","T","U","V","W","X","Y","Z","0","1","2","3","4","5","6","7","8","9"},UPPER(TRIM(SUBSTITUTE(SUBSTITUTE(SUBSTITUTE(SUBSTITUTE(INDEX(PASTE_ALL,$DF616,$L$15)," "," "),CHAR(9)," "),CHAR(10)," "),CHAR(13)," "))))))&gt;0,TRIM(SUBSTITUTE(SUBSTITUTE(SUBSTITUTE(SUBSTITUTE(INDEX(PASTE_ALL,$DF616,$L$15)," "," "),CHAR(9)," "),CHAR(10)," "),CHAR(13)," ")),"")),"")))</f>
        <v/>
      </c>
      <c r="DX616">
        <f>IF($DM616=0,"",IF($L$16=0,"",IFERROR(IF(ISNUMBER(INDEX(PASTE_ALL,$DF616,$L$16)),INDEX(PASTE_ALL,$DF616,$L$16),SUBSTITUTE(SUBSTITUTE(TRIM(SUBSTITUTE(SUBSTITUTE(SUBSTITUTE(SUBSTITUTE(INDEX(PASTE_ALL,$DF616,$L$16)," "," "),CHAR(9)," "),CHAR(10)," "),CHAR(13)," ")),",",""),"%","")),"")))</f>
        <v/>
      </c>
      <c r="DY616">
        <f>IF($DM616=0,"",IFERROR(IF(ISNUMBER($DX616),$DX616,IF($DX616="","",IF(TRIM($DX616)="",0,IF(AND(AND(SUBSTITUTE(SUBSTITUTE(SUBSTITUTE(SUBSTITUTE(SUBSTITUTE(SUBSTITUTE(SUBSTITUTE(SUBSTITUTE(SUBSTITUTE(SUBSTITUTE(SUBSTITUTE(SUBSTITUTE(SUBSTITUTE(SUBSTITUTE(UPPER(TRIM($DX616)),"0",""),"1",""),"2",""),"3",""),"4",""),"5",""),"6",""),"7",""),"8",""),"9",""),".",""),"+",""),"-",""),"E","")="",LEN(SUBSTITUTE(SUBSTITUTE(MID(UPPER(TRIM($DX616)),1+OR(LEFT(UPPER(TRIM($DX616)),1)="+",LEFT(UPPER(TRIM($DX616)),1)="-"),999),"E+","E"),"E-","E"))=LEN(SUBSTITUTE(SUBSTITUTE(SUBSTITUTE(SUBSTITUTE(MID(UPPER(TRIM($DX616)),1+OR(LEFT(UPPER(TRIM($DX616)),1)="+",LEFT(UPPER(TRIM($DX616)),1)="-"),999),"E+","E"),"E-","E"),"+",""),"-","")),LEN(UPPER(TRIM($DX616)))-LEN(SUBSTITUTE(UPPER(TRIM($DX616)),"E",""))&lt;2,LEN(UPPER(TRIM($DX616)))-LEN(SUBSTITUTE(UPPER(TRIM($DX616)),".",""))&lt;2,IFERROR(FIND(".",UPPER(TRIM($DX616))),0)&lt;IFERROR(FIND("E",UPPER(TRIM($DX616))),999)),ISNUMBER(VALUE(TRIM($DX616)))),VALUE(TRIM($DX616)),"")))),""))</f>
        <v/>
      </c>
      <c r="DZ616">
        <f>IF($DM616=0,"",IF($L$17=0,"",IFERROR(IF(ISNUMBER(INDEX(PASTE_ALL,$DF616,$L$17)),INDEX(PASTE_ALL,$DF616,$L$17),SUBSTITUTE(SUBSTITUTE(TRIM(SUBSTITUTE(SUBSTITUTE(SUBSTITUTE(SUBSTITUTE(INDEX(PASTE_ALL,$DF616,$L$17)," "," "),CHAR(9)," "),CHAR(10)," "),CHAR(13)," ")),",",""),"%","")),"")))</f>
        <v/>
      </c>
      <c r="EA616">
        <f>IF($DM616=0,"",IFERROR(IF(ISNUMBER($DZ616),$DZ616,IF($DZ616="","",IF(TRIM($DZ616)="",0,IF(AND(AND(SUBSTITUTE(SUBSTITUTE(SUBSTITUTE(SUBSTITUTE(SUBSTITUTE(SUBSTITUTE(SUBSTITUTE(SUBSTITUTE(SUBSTITUTE(SUBSTITUTE(SUBSTITUTE(SUBSTITUTE(SUBSTITUTE(SUBSTITUTE(UPPER(TRIM($DZ616)),"0",""),"1",""),"2",""),"3",""),"4",""),"5",""),"6",""),"7",""),"8",""),"9",""),".",""),"+",""),"-",""),"E","")="",LEN(SUBSTITUTE(SUBSTITUTE(MID(UPPER(TRIM($DZ616)),1+OR(LEFT(UPPER(TRIM($DZ616)),1)="+",LEFT(UPPER(TRIM($DZ616)),1)="-"),999),"E+","E"),"E-","E"))=LEN(SUBSTITUTE(SUBSTITUTE(SUBSTITUTE(SUBSTITUTE(MID(UPPER(TRIM($DZ616)),1+OR(LEFT(UPPER(TRIM($DZ616)),1)="+",LEFT(UPPER(TRIM($DZ616)),1)="-"),999),"E+","E"),"E-","E"),"+",""),"-","")),LEN(UPPER(TRIM($DZ616)))-LEN(SUBSTITUTE(UPPER(TRIM($DZ616)),"E",""))&lt;2,LEN(UPPER(TRIM($DZ616)))-LEN(SUBSTITUTE(UPPER(TRIM($DZ616)),".",""))&lt;2,IFERROR(FIND(".",UPPER(TRIM($DZ616))),0)&lt;IFERROR(FIND("E",UPPER(TRIM($DZ616))),999)),ISNUMBER(VALUE(TRIM($DZ616)))),VALUE(TRIM($DZ616)),"")))),""))</f>
        <v/>
      </c>
      <c r="EB616">
        <f>IF($DM616=0,"",IF($L$18=0,"",IFERROR(IF(UPPER(TRIM(SUBSTITUTE(SUBSTITUTE(SUBSTITUTE(SUBSTITUTE(INDEX(PASTE_ALL,$DF616,$L$18)," "," "),CHAR(9)," "),CHAR(10)," "),CHAR(13)," ")))="READY","Ready",IF(UPPER(TRIM(SUBSTITUTE(SUBSTITUTE(SUBSTITUTE(SUBSTITUTE(INDEX(PASTE_ALL,$DF616,$L$18)," "," "),CHAR(9)," "),CHAR(10)," "),CHAR(13)," ")))="PM","PM",IF(OR(UPPER(TRIM(SUBSTITUTE(SUBSTITUTE(SUBSTITUTE(SUBSTITUTE(INDEX(PASTE_ALL,$DF616,$L$18)," "," "),CHAR(9)," "),CHAR(10)," "),CHAR(13)," ")))="OT",UPPER(TRIM(SUBSTITUTE(SUBSTITUTE(SUBSTITUTE(SUBSTITUTE(INDEX(PASTE_ALL,$DF616,$L$18)," "," "),CHAR(9)," "),CHAR(10)," "),CHAR(13)," ")))="OVERTIME",UPPER(TRIM(SUBSTITUTE(SUBSTITUTE(SUBSTITUTE(SUBSTITUTE(INDEX(PASTE_ALL,$DF616,$L$18)," "," "),CHAR(9)," "),CHAR(10)," "),CHAR(13)," ")))="TRIAL"),"OT",TRIM(SUBSTITUTE(SUBSTITUTE(SUBSTITUTE(SUBSTITUTE(INDEX(PASTE_ALL,$DF616,$L$18)," "," "),CHAR(9)," "),CHAR(10)," "),CHAR(13)," "))))),"")))</f>
        <v/>
      </c>
      <c r="EC616">
        <f>IF($DM616=0,"",IF($L$19=0,"",IFERROR(IF(ISNUMBER(INDEX(PASTE_ALL,$DF616,$L$19)),INDEX(PASTE_ALL,$DF616,$L$19),TRIM(SUBSTITUTE(SUBSTITUTE(SUBSTITUTE(SUBSTITUTE(INDEX(PASTE_ALL,$DF616,$L$19)," "," "),CHAR(9)," "),CHAR(10)," "),CHAR(13)," "))),"")))</f>
        <v/>
      </c>
      <c r="ED616">
        <f>IF($DM616=0,"",MATCH(1,INDEX(EXACT($DH$5:DH616,$DH616)*$DM$5:DM616,0),0))</f>
        <v/>
      </c>
      <c r="EE616">
        <f>IF($DM616=0,0,IF($ED616=$DE616,1,0))</f>
        <v/>
      </c>
      <c r="EF616">
        <f>EF615+$EE616</f>
        <v/>
      </c>
      <c r="EG616">
        <f>IF($DM616=0,"",INDEX($EF$5:$EF$1003,$ED616))</f>
        <v/>
      </c>
      <c r="EH616">
        <f>IF($DM616=0,"",IF($DO616&lt;&gt;"","",IFERROR(LOOKUP(2,1/(($EG$4:EG615=$EG616)*($DO$4:DO615&lt;&gt;"")),$DO$4:DO615),"")))</f>
        <v/>
      </c>
      <c r="EI616">
        <f>IF($DM616=0,"",IF($DO616&lt;&gt;"",$DO616,$EH616))</f>
        <v/>
      </c>
      <c r="EJ616">
        <f>IF($DM616=0,"",IF($EI616="",0,IF(OR(ISNUMBER($EI616),AND(AND(SUBSTITUTE(SUBSTITUTE(SUBSTITUTE(SUBSTITUTE(SUBSTITUTE(SUBSTITUTE(SUBSTITUTE(SUBSTITUTE(SUBSTITUTE(SUBSTITUTE(SUBSTITUTE(SUBSTITUTE(SUBSTITUTE(SUBSTITUTE(UPPER($EI616),"0",""),"1",""),"2",""),"3",""),"4",""),"5",""),"6",""),"7",""),"8",""),"9",""),".",""),"+",""),"-",""),"E","")="",LEN(SUBSTITUTE(SUBSTITUTE(MID(UPPER($EI616),1+OR(LEFT(UPPER($EI616),1)="+",LEFT(UPPER($EI616),1)="-"),999),"E+","E"),"E-","E"))=LEN(SUBSTITUTE(SUBSTITUTE(SUBSTITUTE(SUBSTITUTE(MID(UPPER($EI616),1+OR(LEFT(UPPER($EI616),1)="+",LEFT(UPPER($EI616),1)="-"),999),"E+","E"),"E-","E"),"+",""),"-","")),LEN(UPPER($EI616))-LEN(SUBSTITUTE(UPPER($EI616),"E",""))&lt;2,LEN(UPPER($EI616))-LEN(SUBSTITUTE(UPPER($EI616),".",""))&lt;2,IFERROR(FIND(".",UPPER($EI616)),0)&lt;IFERROR(FIND("E",UPPER($EI616)),999)),ISNUMBER(VALUE($EI616)))),1,2)))</f>
        <v/>
      </c>
      <c r="EK616">
        <f>IF($DM616=0,"",IF($EJ616=1,IF(ISNUMBER($EI616),$EI616,VALUE($EI616)),IF($EJ616=2,$DE616,0)))</f>
        <v/>
      </c>
      <c r="EL616">
        <f>IF($DM616=0,"",COUNTIF($EG$5:$EG$1003,"&lt;"&amp;$EG616)+SUMPRODUCT(($EG$5:$EG$1003=$EG616)*(($EJ$5:$EJ$1003&lt;$EJ616)+($EJ$5:$EJ$1003=$EJ616)*(($EK$5:$EK$1003&lt;$EK616)+($EK$5:$EK$1003=$EK616)*($DE$5:$DE$1003&lt;$DE616))))+1)</f>
        <v/>
      </c>
      <c r="EM616">
        <f>IF($DM616=0,"",$EL616+$EG616-1)</f>
        <v/>
      </c>
      <c r="EN616">
        <f>IF($DM616=0,0,IFERROR(MATCH(1,INDEX(--(TRIM(SUBSTITUTE(SUBSTITUTE(SUBSTITUTE(SUBSTITUTE(LINES_NAME&amp;""," "," "),CHAR(9)," "),CHAR(10)," "),CHAR(13)," "))=$DH616),0),0),0))</f>
        <v/>
      </c>
      <c r="EO616">
        <f>IF($EN616=0,0,IF(OR(UPPER(TRIM(INDEX(LINES_SCHEDULED,$EN616)&amp;""))="YES",UPPER(TRIM(INDEX(LINES_SCHEDULED,$EN616)&amp;""))="Y",UPPER(TRIM(INDEX(LINES_SCHEDULED,$EN616)&amp;""))="X"),1,0))</f>
        <v/>
      </c>
      <c r="EP616">
        <f>IF($DM616=0,"",IF(COUNTIFS($EG$5:$EG$1003,$EG616,$EB$5:$EB$1003,"Ready")&gt;0,"READY",IF(COUNTIFS($EG$5:$EG$1003,$EG616,$EB$5:$EB$1003,"PM")&gt;0,"PM",IF(COUNTIFS($EG$5:$EG$1003,$EG616,$EB$5:$EB$1003,"OT")&gt;0,"OT",""))))</f>
        <v/>
      </c>
      <c r="EQ616">
        <f>IF($EN616=0,"",UPPER(TRIM(INDEX(LINES_STATUS,$EN616)&amp;"")))</f>
        <v/>
      </c>
      <c r="ER616">
        <f>IF($DM616=0,"",IF(OR($EQ616="READY",$EQ616="PM",$EQ616="OT"),$EQ616,$EP616))</f>
        <v/>
      </c>
      <c r="ES616">
        <f>IF($DM616=0,"",IF(AND($DV616&lt;&gt;"",UPPER($DV616)&lt;&gt;"N"),"allergen",IF(ISNUMBER(SEARCH("oil",$DQ616)),"oil",IF(OR(EXACT($DS616,"A662"),EXACT($DS616,"A624")),"bulk",""))))</f>
        <v/>
      </c>
      <c r="ET616">
        <f>IF($DM616=0,"",IF(OR($EA616="",$EA616=0),"",$EA616/100))</f>
        <v/>
      </c>
      <c r="EU616">
        <f>IF(OR($ET616="",$DY616=""),"",INT($DY616*(1-$ET616)+0.5))</f>
        <v/>
      </c>
      <c r="EW616" t="n">
        <v>612</v>
      </c>
      <c r="EX616">
        <f>IFERROR(MATCH($EW616,$EM$5:$EM$1003,0),0)</f>
        <v/>
      </c>
      <c r="EY616">
        <f>IF($EW616&gt;$B$12,"",IF($EX616&gt;0,"row","spacer"))</f>
        <v/>
      </c>
      <c r="EZ616">
        <f>IF(AND($EY616="row",$EY615&lt;&gt;"row"),1,0)</f>
        <v/>
      </c>
      <c r="FA616">
        <f>IF(AND($EY616="row",$EY617&lt;&gt;"row"),1,0)</f>
        <v/>
      </c>
      <c r="FB616">
        <f>IF($EZ616=1,IFERROR(IF(ISNUMBER(INDEX(PASTE_ALL,INDEX($DF$5:$DF$1003,$EX616),$B$37)),INDEX(PASTE_ALL,INDEX($DF$5:$DF$1003,$EX616),$B$37),INDEX($DH$5:$DH$1003,$EX616)),INDEX($DH$5:$DH$1003,$EX616)),"")</f>
        <v/>
      </c>
      <c r="FC616">
        <f>IF($EY616="row",INDEX($ER$5:$ER$1003,$EX616),"")</f>
        <v/>
      </c>
      <c r="FD616">
        <f>IF($EY616="row",INDEX($DN$5:$DN$1003,$EX616),"")</f>
        <v/>
      </c>
      <c r="FE616">
        <f>IF($EY616="row",INDEX($DO$5:$DO$1003,$EX616),"")</f>
        <v/>
      </c>
      <c r="FF616">
        <f>IF($EY616="row",INDEX($DP$5:$DP$1003,$EX616),"")</f>
        <v/>
      </c>
      <c r="FG616">
        <f>IF($EY616="row",INDEX($DQ$5:$DQ$1003,$EX616),"")</f>
        <v/>
      </c>
      <c r="FH616">
        <f>IF($EY616="row",INDEX($DR$5:$DR$1003,$EX616),"")</f>
        <v/>
      </c>
      <c r="FI616">
        <f>IF($EY616="row",INDEX($DS$5:$DS$1003,$EX616),"")</f>
        <v/>
      </c>
      <c r="FJ616">
        <f>IF($EY616="row",INDEX($DT$5:$DT$1003,$EX616),"")</f>
        <v/>
      </c>
      <c r="FK616">
        <f>IF($EY616="row",INDEX($DU$5:$DU$1003,$EX616),"")</f>
        <v/>
      </c>
      <c r="FL616">
        <f>IF($EY616="row",INDEX($DV$5:$DV$1003,$EX616),"")</f>
        <v/>
      </c>
      <c r="FM616">
        <f>IF($EY616="row",INDEX($DW$5:$DW$1003,$EX616),"")</f>
        <v/>
      </c>
      <c r="FN616">
        <f>IF($EY616="row",INDEX($DY$5:$DY$1003,$EX616),"")</f>
        <v/>
      </c>
      <c r="FO616">
        <f>IF($EY616="row",INDEX($EA$5:$EA$1003,$EX616),"")</f>
        <v/>
      </c>
      <c r="FP616">
        <f>IF($EY616="row",INDEX($EC$5:$EC$1003,$EX616),"")</f>
        <v/>
      </c>
      <c r="FQ616">
        <f>IF($EY616="row",INDEX($ET$5:$ET$1003,$EX616),"")</f>
        <v/>
      </c>
      <c r="FR616">
        <f>IF($EY616="row",INDEX($EU$5:$EU$1003,$EX616),"")</f>
        <v/>
      </c>
      <c r="FS616">
        <f>IF(AND($EY616="row",$EY615="row"),IF(OR(INDEX($DT$5:$DT$1003,$EX615)="",INDEX($DT$5:$DT$1003,$EX616)=""),"",IF(NOT(EXACT(INDEX($DT$5:$DT$1003,$EX615),INDEX($DT$5:$DT$1003,$EX616))),"S4",IF(NOT(EXACT(INDEX($DS$5:$DS$1003,$EX615),INDEX($DS$5:$DS$1003,$EX616))),"S3",IF(NOT(EXACT(INDEX($DR$5:$DR$1003,$EX615),INDEX($DR$5:$DR$1003,$EX616))),"S1 Count Change","S1")))),"")</f>
        <v/>
      </c>
      <c r="FT616">
        <f>IF($EY616="row",INDEX($ES$5:$ES$1003,$EX616),"")</f>
        <v/>
      </c>
      <c r="FU616">
        <f>IF($EY616="row",INDEX($EO$5:$EO$1003,$EX616),0)</f>
        <v/>
      </c>
      <c r="FV616">
        <f>IF($FS616="S1 Count Change",1,0)</f>
        <v/>
      </c>
    </row>
    <row r="617">
      <c r="DA617" t="n">
        <v>613</v>
      </c>
      <c r="DB617">
        <f>IF($B$37=0,"",IFERROR(TRIM(SUBSTITUTE(SUBSTITUTE(SUBSTITUTE(SUBSTITUTE(INDEX(PASTE_ALL,613,$B$37)," "," "),CHAR(9)," "),CHAR(10)," "),CHAR(13)," ")),""))</f>
        <v/>
      </c>
      <c r="DC617">
        <f>IF(AND(613&gt;HEADER_ROW,UPPER(DB617)="LEGEND"),1,0)</f>
        <v/>
      </c>
      <c r="DE617" t="n">
        <v>613</v>
      </c>
      <c r="DF617">
        <f>HEADER_ROW+$DE617</f>
        <v/>
      </c>
      <c r="DG617">
        <f>IF(AND($DF617&lt;=1000,$DF617&lt;$B$8),1,0)</f>
        <v/>
      </c>
      <c r="DH617">
        <f>IF($DG617=1,IFERROR(INDEX($DB$5:$DB$1004,$DF617),""),"")</f>
        <v/>
      </c>
      <c r="DI617">
        <f>IF(AND($DG617=1,$DH617&lt;&gt;""),IFERROR(SUBSTITUTE(SUBSTITUTE(TRIM(SUBSTITUTE(SUBSTITUTE(SUBSTITUTE(SUBSTITUTE(IFERROR(INDEX(PASTE_ALL,$DF617,1)&amp;"","")&amp;"␟"&amp;IFERROR(INDEX(PASTE_ALL,$DF617,2)&amp;"","")&amp;"␟"&amp;IFERROR(INDEX(PASTE_ALL,$DF617,3)&amp;"","")&amp;"␟"&amp;IFERROR(INDEX(PASTE_ALL,$DF617,4)&amp;"","")&amp;"␟"&amp;IFERROR(INDEX(PASTE_ALL,$DF617,5)&amp;"","")&amp;"␟"&amp;IFERROR(INDEX(PASTE_ALL,$DF617,6)&amp;"","")&amp;"␟"&amp;IFERROR(INDEX(PASTE_ALL,$DF617,7)&amp;"","")&amp;"␟"&amp;IFERROR(INDEX(PASTE_ALL,$DF617,8)&amp;"","")&amp;"␟"&amp;IFERROR(INDEX(PASTE_ALL,$DF617,9)&amp;"","")&amp;"␟"&amp;IFERROR(INDEX(PASTE_ALL,$DF617,10)&amp;"","")&amp;"␟"&amp;IFERROR(INDEX(PASTE_ALL,$DF617,11)&amp;"","")&amp;"␟"&amp;IFERROR(INDEX(PASTE_ALL,$DF617,12)&amp;"","")&amp;"␟"&amp;IFERROR(INDEX(PASTE_ALL,$DF617,13)&amp;"","")&amp;"␟"&amp;IFERROR(INDEX(PASTE_ALL,$DF617,14)&amp;"","")&amp;"␟"&amp;IFERROR(INDEX(PASTE_ALL,$DF617,15)&amp;"","")&amp;"␟"&amp;IFERROR(INDEX(PASTE_ALL,$DF617,16)&amp;"","")&amp;"␟"&amp;IFERROR(INDEX(PASTE_ALL,$DF617,17)&amp;"","")&amp;"␟"&amp;IFERROR(INDEX(PASTE_ALL,$DF617,18)&amp;"","")&amp;"␟"&amp;IFERROR(INDEX(PASTE_ALL,$DF617,19)&amp;"","")&amp;"␟"&amp;IFERROR(INDEX(PASTE_ALL,$DF617,20)&amp;"","")&amp;"␟"&amp;IFERROR(INDEX(PASTE_ALL,$DF617,21)&amp;"","")&amp;"␟"&amp;IFERROR(INDEX(PASTE_ALL,$DF617,22)&amp;"","")&amp;"␟"&amp;IFERROR(INDEX(PASTE_ALL,$DF617,23)&amp;"","")&amp;"␟"&amp;IFERROR(INDEX(PASTE_ALL,$DF617,24)&amp;"","")&amp;"␟"&amp;IFERROR(INDEX(PASTE_ALL,$DF617,25)&amp;"","")&amp;"␟"&amp;IFERROR(INDEX(PASTE_ALL,$DF617,26)&amp;"","")&amp;"␟"&amp;IFERROR(INDEX(PASTE_ALL,$DF617,27)&amp;"","")&amp;"␟"&amp;IFERROR(INDEX(PASTE_ALL,$DF617,28)&amp;"","")&amp;"␟"&amp;IFERROR(INDEX(PASTE_ALL,$DF617,29)&amp;"","")&amp;"␟"&amp;IFERROR(INDEX(PASTE_ALL,$DF617,30)&amp;"","")&amp;"␟"&amp;IFERROR(INDEX(PASTE_ALL,$DF617,31)&amp;"","")&amp;"␟"&amp;IFERROR(INDEX(PASTE_ALL,$DF617,32)&amp;"","")&amp;"␟"&amp;IFERROR(INDEX(PASTE_ALL,$DF617,33)&amp;"","")&amp;"␟"&amp;IFERROR(INDEX(PASTE_ALL,$DF617,34)&amp;"","")&amp;"␟"&amp;IFERROR(INDEX(PASTE_ALL,$DF617,35)&amp;"","")&amp;"␟"&amp;IFERROR(INDEX(PASTE_ALL,$DF617,36)&amp;"","")&amp;"␟"&amp;IFERROR(INDEX(PASTE_ALL,$DF617,37)&amp;"","")&amp;"␟"&amp;IFERROR(INDEX(PASTE_ALL,$DF617,38)&amp;"","")&amp;"␟"&amp;IFERROR(INDEX(PASTE_ALL,$DF617,39)&amp;"","")&amp;"␟"&amp;IFERROR(INDEX(PASTE_ALL,$DF617,40)&amp;"","")&amp;"␟"&amp;IFERROR(INDEX(PASTE_ALL,$DF617,41)&amp;"","")&amp;"␟"&amp;IFERROR(INDEX(PASTE_ALL,$DF617,42)&amp;"","")&amp;"␟"&amp;IFERROR(INDEX(PASTE_ALL,$DF617,43)&amp;"","")&amp;"␟"&amp;IFERROR(INDEX(PASTE_ALL,$DF617,44)&amp;"","")&amp;"␟"&amp;IFERROR(INDEX(PASTE_ALL,$DF617,45)&amp;"","")&amp;"␟"&amp;IFERROR(INDEX(PASTE_ALL,$DF617,46)&amp;"","")&amp;"␟"&amp;IFERROR(INDEX(PASTE_ALL,$DF617,47)&amp;"","")&amp;"␟"&amp;IFERROR(INDEX(PASTE_ALL,$DF617,48)&amp;"","")&amp;"␟"&amp;IFERROR(INDEX(PASTE_ALL,$DF617,49)&amp;"","")&amp;"␟"&amp;IFERROR(INDEX(PASTE_ALL,$DF617,50)&amp;"","")&amp;"␟"&amp;IFERROR(INDEX(PASTE_ALL,$DF617,51)&amp;"","")&amp;"␟"&amp;IFERROR(INDEX(PASTE_ALL,$DF617,52)&amp;"","")&amp;"␟"&amp;IFERROR(INDEX(PASTE_ALL,$DF617,53)&amp;"","")&amp;"␟"&amp;IFERROR(INDEX(PASTE_ALL,$DF617,54)&amp;"","")&amp;"␟"&amp;IFERROR(INDEX(PASTE_ALL,$DF617,55)&amp;"","")&amp;"␟"&amp;IFERROR(INDEX(PASTE_ALL,$DF617,56)&amp;"","")&amp;"␟"&amp;IFERROR(INDEX(PASTE_ALL,$DF617,57)&amp;"","")&amp;"␟"&amp;IFERROR(INDEX(PASTE_ALL,$DF617,58)&amp;"","")&amp;"␟"&amp;IFERROR(INDEX(PASTE_ALL,$DF617,59)&amp;"","")&amp;"␟"&amp;IFERROR(INDEX(PASTE_ALL,$DF617,60)&amp;"","")," "," "),CHAR(9)," "),CHAR(10)," "),CHAR(13)," "))," ␟","␟"),"␟ ","␟"),"#"&amp;$DE617),"")</f>
        <v/>
      </c>
      <c r="DJ617">
        <f>IF($DI617="",0,IF(SUMPRODUCT(--EXACT($DI$4:DI616,$DI617))&gt;0,1,0))</f>
        <v/>
      </c>
      <c r="DK617">
        <f>IF(AND($DI617&lt;&gt;"",$DJ617=0),1,0)</f>
        <v/>
      </c>
      <c r="DL617">
        <f>DL616+$DK617</f>
        <v/>
      </c>
      <c r="DM617">
        <f>IF(AND($DK617=1,$DL617&lt;=600),1,0)</f>
        <v/>
      </c>
      <c r="DN617">
        <f>IF($DM617=0,"",IF($L$6=0,"",IFERROR(IF(ISNUMBER(INDEX(PASTE_ALL,$DF617,$L$6)),INDEX(PASTE_ALL,$DF617,$L$6),TRIM(SUBSTITUTE(SUBSTITUTE(SUBSTITUTE(SUBSTITUTE(INDEX(PASTE_ALL,$DF617,$L$6)," "," "),CHAR(9)," "),CHAR(10)," "),CHAR(13)," "))),"")))</f>
        <v/>
      </c>
      <c r="DO617">
        <f>IF($DM617=0,"",IF($L$7=0,"",IFERROR(IF(ISNUMBER(INDEX(PASTE_ALL,$DF617,$L$7)),INDEX(PASTE_ALL,$DF617,$L$7),TRIM(SUBSTITUTE(SUBSTITUTE(SUBSTITUTE(SUBSTITUTE(INDEX(PASTE_ALL,$DF617,$L$7)," "," "),CHAR(9)," "),CHAR(10)," "),CHAR(13)," "))),"")))</f>
        <v/>
      </c>
      <c r="DP617">
        <f>IF($DM617=0,"",IF($L$8=0,"",IFERROR(IF(ISNUMBER(INDEX(PASTE_ALL,$DF617,$L$8)),INDEX(PASTE_ALL,$DF617,$L$8),TRIM(SUBSTITUTE(SUBSTITUTE(SUBSTITUTE(SUBSTITUTE(INDEX(PASTE_ALL,$DF617,$L$8)," "," "),CHAR(9)," "),CHAR(10)," "),CHAR(13)," "))),"")))</f>
        <v/>
      </c>
      <c r="DQ617">
        <f>IF($DM617=0,"",IF($L$9=0,"",IFERROR(IF(ISNUMBER(INDEX(PASTE_ALL,$DF617,$L$9)),INDEX(PASTE_ALL,$DF617,$L$9),TRIM(SUBSTITUTE(SUBSTITUTE(SUBSTITUTE(SUBSTITUTE(INDEX(PASTE_ALL,$DF617,$L$9)," "," "),CHAR(9)," "),CHAR(10)," "),CHAR(13)," "))),"")))</f>
        <v/>
      </c>
      <c r="DR617">
        <f>IF($DM617=0,"",IF($L$10=0,"",IFERROR(IF(ISNUMBER(INDEX(PASTE_ALL,$DF617,$L$10)),INDEX(PASTE_ALL,$DF617,$L$10),TRIM(SUBSTITUTE(SUBSTITUTE(SUBSTITUTE(SUBSTITUTE(INDEX(PASTE_ALL,$DF617,$L$10)," "," "),CHAR(9)," "),CHAR(10)," "),CHAR(13)," "))),"")))</f>
        <v/>
      </c>
      <c r="DS617">
        <f>IF($DM617=0,"",IF($L$11=0,"",IFERROR(IF(ISNUMBER(INDEX(PASTE_ALL,$DF617,$L$11)),INDEX(PASTE_ALL,$DF617,$L$11),TRIM(SUBSTITUTE(SUBSTITUTE(SUBSTITUTE(SUBSTITUTE(INDEX(PASTE_ALL,$DF617,$L$11)," "," "),CHAR(9)," "),CHAR(10)," "),CHAR(13)," "))),"")))</f>
        <v/>
      </c>
      <c r="DT617">
        <f>IF($DM617=0,"",IF($L$12=0,"",IFERROR(IF(ISNUMBER(INDEX(PASTE_ALL,$DF617,$L$12)),INDEX(PASTE_ALL,$DF617,$L$12),TRIM(SUBSTITUTE(SUBSTITUTE(SUBSTITUTE(SUBSTITUTE(INDEX(PASTE_ALL,$DF617,$L$12)," "," "),CHAR(9)," "),CHAR(10)," "),CHAR(13)," "))),"")))</f>
        <v/>
      </c>
      <c r="DU617">
        <f>IF($DM617=0,"",IF($L$13=0,"",IFERROR(IF(ISNUMBER(INDEX(PASTE_ALL,$DF617,$L$13)),INDEX(PASTE_ALL,$DF617,$L$13),TRIM(SUBSTITUTE(SUBSTITUTE(SUBSTITUTE(SUBSTITUTE(INDEX(PASTE_ALL,$DF617,$L$13)," "," "),CHAR(9)," "),CHAR(10)," "),CHAR(13)," "))),"")))</f>
        <v/>
      </c>
      <c r="DV617">
        <f>IF($DM617=0,"",IF($L$14=0,"",IFERROR(IF(ISNUMBER(INDEX(PASTE_ALL,$DF617,$L$14)),INDEX(PASTE_ALL,$DF617,$L$14),TRIM(SUBSTITUTE(SUBSTITUTE(SUBSTITUTE(SUBSTITUTE(INDEX(PASTE_ALL,$DF617,$L$14)," "," "),CHAR(9)," "),CHAR(10)," "),CHAR(13)," "))),"")))</f>
        <v/>
      </c>
      <c r="DW617">
        <f>IF($DM617=0,"",IF($L$15=0,"",IFERROR(IF(ISNUMBER(INDEX(PASTE_ALL,$DF617,$L$15)),INDEX(PASTE_ALL,$DF617,$L$15),IF(SUMPRODUCT(--ISNUMBER(FIND({"A","B","C","D","E","F","G","H","I","J","K","L","M","N","O","P","Q","R","S","T","U","V","W","X","Y","Z","0","1","2","3","4","5","6","7","8","9"},UPPER(TRIM(SUBSTITUTE(SUBSTITUTE(SUBSTITUTE(SUBSTITUTE(INDEX(PASTE_ALL,$DF617,$L$15)," "," "),CHAR(9)," "),CHAR(10)," "),CHAR(13)," "))))))&gt;0,TRIM(SUBSTITUTE(SUBSTITUTE(SUBSTITUTE(SUBSTITUTE(INDEX(PASTE_ALL,$DF617,$L$15)," "," "),CHAR(9)," "),CHAR(10)," "),CHAR(13)," ")),"")),"")))</f>
        <v/>
      </c>
      <c r="DX617">
        <f>IF($DM617=0,"",IF($L$16=0,"",IFERROR(IF(ISNUMBER(INDEX(PASTE_ALL,$DF617,$L$16)),INDEX(PASTE_ALL,$DF617,$L$16),SUBSTITUTE(SUBSTITUTE(TRIM(SUBSTITUTE(SUBSTITUTE(SUBSTITUTE(SUBSTITUTE(INDEX(PASTE_ALL,$DF617,$L$16)," "," "),CHAR(9)," "),CHAR(10)," "),CHAR(13)," ")),",",""),"%","")),"")))</f>
        <v/>
      </c>
      <c r="DY617">
        <f>IF($DM617=0,"",IFERROR(IF(ISNUMBER($DX617),$DX617,IF($DX617="","",IF(TRIM($DX617)="",0,IF(AND(AND(SUBSTITUTE(SUBSTITUTE(SUBSTITUTE(SUBSTITUTE(SUBSTITUTE(SUBSTITUTE(SUBSTITUTE(SUBSTITUTE(SUBSTITUTE(SUBSTITUTE(SUBSTITUTE(SUBSTITUTE(SUBSTITUTE(SUBSTITUTE(UPPER(TRIM($DX617)),"0",""),"1",""),"2",""),"3",""),"4",""),"5",""),"6",""),"7",""),"8",""),"9",""),".",""),"+",""),"-",""),"E","")="",LEN(SUBSTITUTE(SUBSTITUTE(MID(UPPER(TRIM($DX617)),1+OR(LEFT(UPPER(TRIM($DX617)),1)="+",LEFT(UPPER(TRIM($DX617)),1)="-"),999),"E+","E"),"E-","E"))=LEN(SUBSTITUTE(SUBSTITUTE(SUBSTITUTE(SUBSTITUTE(MID(UPPER(TRIM($DX617)),1+OR(LEFT(UPPER(TRIM($DX617)),1)="+",LEFT(UPPER(TRIM($DX617)),1)="-"),999),"E+","E"),"E-","E"),"+",""),"-","")),LEN(UPPER(TRIM($DX617)))-LEN(SUBSTITUTE(UPPER(TRIM($DX617)),"E",""))&lt;2,LEN(UPPER(TRIM($DX617)))-LEN(SUBSTITUTE(UPPER(TRIM($DX617)),".",""))&lt;2,IFERROR(FIND(".",UPPER(TRIM($DX617))),0)&lt;IFERROR(FIND("E",UPPER(TRIM($DX617))),999)),ISNUMBER(VALUE(TRIM($DX617)))),VALUE(TRIM($DX617)),"")))),""))</f>
        <v/>
      </c>
      <c r="DZ617">
        <f>IF($DM617=0,"",IF($L$17=0,"",IFERROR(IF(ISNUMBER(INDEX(PASTE_ALL,$DF617,$L$17)),INDEX(PASTE_ALL,$DF617,$L$17),SUBSTITUTE(SUBSTITUTE(TRIM(SUBSTITUTE(SUBSTITUTE(SUBSTITUTE(SUBSTITUTE(INDEX(PASTE_ALL,$DF617,$L$17)," "," "),CHAR(9)," "),CHAR(10)," "),CHAR(13)," ")),",",""),"%","")),"")))</f>
        <v/>
      </c>
      <c r="EA617">
        <f>IF($DM617=0,"",IFERROR(IF(ISNUMBER($DZ617),$DZ617,IF($DZ617="","",IF(TRIM($DZ617)="",0,IF(AND(AND(SUBSTITUTE(SUBSTITUTE(SUBSTITUTE(SUBSTITUTE(SUBSTITUTE(SUBSTITUTE(SUBSTITUTE(SUBSTITUTE(SUBSTITUTE(SUBSTITUTE(SUBSTITUTE(SUBSTITUTE(SUBSTITUTE(SUBSTITUTE(UPPER(TRIM($DZ617)),"0",""),"1",""),"2",""),"3",""),"4",""),"5",""),"6",""),"7",""),"8",""),"9",""),".",""),"+",""),"-",""),"E","")="",LEN(SUBSTITUTE(SUBSTITUTE(MID(UPPER(TRIM($DZ617)),1+OR(LEFT(UPPER(TRIM($DZ617)),1)="+",LEFT(UPPER(TRIM($DZ617)),1)="-"),999),"E+","E"),"E-","E"))=LEN(SUBSTITUTE(SUBSTITUTE(SUBSTITUTE(SUBSTITUTE(MID(UPPER(TRIM($DZ617)),1+OR(LEFT(UPPER(TRIM($DZ617)),1)="+",LEFT(UPPER(TRIM($DZ617)),1)="-"),999),"E+","E"),"E-","E"),"+",""),"-","")),LEN(UPPER(TRIM($DZ617)))-LEN(SUBSTITUTE(UPPER(TRIM($DZ617)),"E",""))&lt;2,LEN(UPPER(TRIM($DZ617)))-LEN(SUBSTITUTE(UPPER(TRIM($DZ617)),".",""))&lt;2,IFERROR(FIND(".",UPPER(TRIM($DZ617))),0)&lt;IFERROR(FIND("E",UPPER(TRIM($DZ617))),999)),ISNUMBER(VALUE(TRIM($DZ617)))),VALUE(TRIM($DZ617)),"")))),""))</f>
        <v/>
      </c>
      <c r="EB617">
        <f>IF($DM617=0,"",IF($L$18=0,"",IFERROR(IF(UPPER(TRIM(SUBSTITUTE(SUBSTITUTE(SUBSTITUTE(SUBSTITUTE(INDEX(PASTE_ALL,$DF617,$L$18)," "," "),CHAR(9)," "),CHAR(10)," "),CHAR(13)," ")))="READY","Ready",IF(UPPER(TRIM(SUBSTITUTE(SUBSTITUTE(SUBSTITUTE(SUBSTITUTE(INDEX(PASTE_ALL,$DF617,$L$18)," "," "),CHAR(9)," "),CHAR(10)," "),CHAR(13)," ")))="PM","PM",IF(OR(UPPER(TRIM(SUBSTITUTE(SUBSTITUTE(SUBSTITUTE(SUBSTITUTE(INDEX(PASTE_ALL,$DF617,$L$18)," "," "),CHAR(9)," "),CHAR(10)," "),CHAR(13)," ")))="OT",UPPER(TRIM(SUBSTITUTE(SUBSTITUTE(SUBSTITUTE(SUBSTITUTE(INDEX(PASTE_ALL,$DF617,$L$18)," "," "),CHAR(9)," "),CHAR(10)," "),CHAR(13)," ")))="OVERTIME",UPPER(TRIM(SUBSTITUTE(SUBSTITUTE(SUBSTITUTE(SUBSTITUTE(INDEX(PASTE_ALL,$DF617,$L$18)," "," "),CHAR(9)," "),CHAR(10)," "),CHAR(13)," ")))="TRIAL"),"OT",TRIM(SUBSTITUTE(SUBSTITUTE(SUBSTITUTE(SUBSTITUTE(INDEX(PASTE_ALL,$DF617,$L$18)," "," "),CHAR(9)," "),CHAR(10)," "),CHAR(13)," "))))),"")))</f>
        <v/>
      </c>
      <c r="EC617">
        <f>IF($DM617=0,"",IF($L$19=0,"",IFERROR(IF(ISNUMBER(INDEX(PASTE_ALL,$DF617,$L$19)),INDEX(PASTE_ALL,$DF617,$L$19),TRIM(SUBSTITUTE(SUBSTITUTE(SUBSTITUTE(SUBSTITUTE(INDEX(PASTE_ALL,$DF617,$L$19)," "," "),CHAR(9)," "),CHAR(10)," "),CHAR(13)," "))),"")))</f>
        <v/>
      </c>
      <c r="ED617">
        <f>IF($DM617=0,"",MATCH(1,INDEX(EXACT($DH$5:DH617,$DH617)*$DM$5:DM617,0),0))</f>
        <v/>
      </c>
      <c r="EE617">
        <f>IF($DM617=0,0,IF($ED617=$DE617,1,0))</f>
        <v/>
      </c>
      <c r="EF617">
        <f>EF616+$EE617</f>
        <v/>
      </c>
      <c r="EG617">
        <f>IF($DM617=0,"",INDEX($EF$5:$EF$1003,$ED617))</f>
        <v/>
      </c>
      <c r="EH617">
        <f>IF($DM617=0,"",IF($DO617&lt;&gt;"","",IFERROR(LOOKUP(2,1/(($EG$4:EG616=$EG617)*($DO$4:DO616&lt;&gt;"")),$DO$4:DO616),"")))</f>
        <v/>
      </c>
      <c r="EI617">
        <f>IF($DM617=0,"",IF($DO617&lt;&gt;"",$DO617,$EH617))</f>
        <v/>
      </c>
      <c r="EJ617">
        <f>IF($DM617=0,"",IF($EI617="",0,IF(OR(ISNUMBER($EI617),AND(AND(SUBSTITUTE(SUBSTITUTE(SUBSTITUTE(SUBSTITUTE(SUBSTITUTE(SUBSTITUTE(SUBSTITUTE(SUBSTITUTE(SUBSTITUTE(SUBSTITUTE(SUBSTITUTE(SUBSTITUTE(SUBSTITUTE(SUBSTITUTE(UPPER($EI617),"0",""),"1",""),"2",""),"3",""),"4",""),"5",""),"6",""),"7",""),"8",""),"9",""),".",""),"+",""),"-",""),"E","")="",LEN(SUBSTITUTE(SUBSTITUTE(MID(UPPER($EI617),1+OR(LEFT(UPPER($EI617),1)="+",LEFT(UPPER($EI617),1)="-"),999),"E+","E"),"E-","E"))=LEN(SUBSTITUTE(SUBSTITUTE(SUBSTITUTE(SUBSTITUTE(MID(UPPER($EI617),1+OR(LEFT(UPPER($EI617),1)="+",LEFT(UPPER($EI617),1)="-"),999),"E+","E"),"E-","E"),"+",""),"-","")),LEN(UPPER($EI617))-LEN(SUBSTITUTE(UPPER($EI617),"E",""))&lt;2,LEN(UPPER($EI617))-LEN(SUBSTITUTE(UPPER($EI617),".",""))&lt;2,IFERROR(FIND(".",UPPER($EI617)),0)&lt;IFERROR(FIND("E",UPPER($EI617)),999)),ISNUMBER(VALUE($EI617)))),1,2)))</f>
        <v/>
      </c>
      <c r="EK617">
        <f>IF($DM617=0,"",IF($EJ617=1,IF(ISNUMBER($EI617),$EI617,VALUE($EI617)),IF($EJ617=2,$DE617,0)))</f>
        <v/>
      </c>
      <c r="EL617">
        <f>IF($DM617=0,"",COUNTIF($EG$5:$EG$1003,"&lt;"&amp;$EG617)+SUMPRODUCT(($EG$5:$EG$1003=$EG617)*(($EJ$5:$EJ$1003&lt;$EJ617)+($EJ$5:$EJ$1003=$EJ617)*(($EK$5:$EK$1003&lt;$EK617)+($EK$5:$EK$1003=$EK617)*($DE$5:$DE$1003&lt;$DE617))))+1)</f>
        <v/>
      </c>
      <c r="EM617">
        <f>IF($DM617=0,"",$EL617+$EG617-1)</f>
        <v/>
      </c>
      <c r="EN617">
        <f>IF($DM617=0,0,IFERROR(MATCH(1,INDEX(--(TRIM(SUBSTITUTE(SUBSTITUTE(SUBSTITUTE(SUBSTITUTE(LINES_NAME&amp;""," "," "),CHAR(9)," "),CHAR(10)," "),CHAR(13)," "))=$DH617),0),0),0))</f>
        <v/>
      </c>
      <c r="EO617">
        <f>IF($EN617=0,0,IF(OR(UPPER(TRIM(INDEX(LINES_SCHEDULED,$EN617)&amp;""))="YES",UPPER(TRIM(INDEX(LINES_SCHEDULED,$EN617)&amp;""))="Y",UPPER(TRIM(INDEX(LINES_SCHEDULED,$EN617)&amp;""))="X"),1,0))</f>
        <v/>
      </c>
      <c r="EP617">
        <f>IF($DM617=0,"",IF(COUNTIFS($EG$5:$EG$1003,$EG617,$EB$5:$EB$1003,"Ready")&gt;0,"READY",IF(COUNTIFS($EG$5:$EG$1003,$EG617,$EB$5:$EB$1003,"PM")&gt;0,"PM",IF(COUNTIFS($EG$5:$EG$1003,$EG617,$EB$5:$EB$1003,"OT")&gt;0,"OT",""))))</f>
        <v/>
      </c>
      <c r="EQ617">
        <f>IF($EN617=0,"",UPPER(TRIM(INDEX(LINES_STATUS,$EN617)&amp;"")))</f>
        <v/>
      </c>
      <c r="ER617">
        <f>IF($DM617=0,"",IF(OR($EQ617="READY",$EQ617="PM",$EQ617="OT"),$EQ617,$EP617))</f>
        <v/>
      </c>
      <c r="ES617">
        <f>IF($DM617=0,"",IF(AND($DV617&lt;&gt;"",UPPER($DV617)&lt;&gt;"N"),"allergen",IF(ISNUMBER(SEARCH("oil",$DQ617)),"oil",IF(OR(EXACT($DS617,"A662"),EXACT($DS617,"A624")),"bulk",""))))</f>
        <v/>
      </c>
      <c r="ET617">
        <f>IF($DM617=0,"",IF(OR($EA617="",$EA617=0),"",$EA617/100))</f>
        <v/>
      </c>
      <c r="EU617">
        <f>IF(OR($ET617="",$DY617=""),"",INT($DY617*(1-$ET617)+0.5))</f>
        <v/>
      </c>
      <c r="EW617" t="n">
        <v>613</v>
      </c>
      <c r="EX617">
        <f>IFERROR(MATCH($EW617,$EM$5:$EM$1003,0),0)</f>
        <v/>
      </c>
      <c r="EY617">
        <f>IF($EW617&gt;$B$12,"",IF($EX617&gt;0,"row","spacer"))</f>
        <v/>
      </c>
      <c r="EZ617">
        <f>IF(AND($EY617="row",$EY616&lt;&gt;"row"),1,0)</f>
        <v/>
      </c>
      <c r="FA617">
        <f>IF(AND($EY617="row",$EY618&lt;&gt;"row"),1,0)</f>
        <v/>
      </c>
      <c r="FB617">
        <f>IF($EZ617=1,IFERROR(IF(ISNUMBER(INDEX(PASTE_ALL,INDEX($DF$5:$DF$1003,$EX617),$B$37)),INDEX(PASTE_ALL,INDEX($DF$5:$DF$1003,$EX617),$B$37),INDEX($DH$5:$DH$1003,$EX617)),INDEX($DH$5:$DH$1003,$EX617)),"")</f>
        <v/>
      </c>
      <c r="FC617">
        <f>IF($EY617="row",INDEX($ER$5:$ER$1003,$EX617),"")</f>
        <v/>
      </c>
      <c r="FD617">
        <f>IF($EY617="row",INDEX($DN$5:$DN$1003,$EX617),"")</f>
        <v/>
      </c>
      <c r="FE617">
        <f>IF($EY617="row",INDEX($DO$5:$DO$1003,$EX617),"")</f>
        <v/>
      </c>
      <c r="FF617">
        <f>IF($EY617="row",INDEX($DP$5:$DP$1003,$EX617),"")</f>
        <v/>
      </c>
      <c r="FG617">
        <f>IF($EY617="row",INDEX($DQ$5:$DQ$1003,$EX617),"")</f>
        <v/>
      </c>
      <c r="FH617">
        <f>IF($EY617="row",INDEX($DR$5:$DR$1003,$EX617),"")</f>
        <v/>
      </c>
      <c r="FI617">
        <f>IF($EY617="row",INDEX($DS$5:$DS$1003,$EX617),"")</f>
        <v/>
      </c>
      <c r="FJ617">
        <f>IF($EY617="row",INDEX($DT$5:$DT$1003,$EX617),"")</f>
        <v/>
      </c>
      <c r="FK617">
        <f>IF($EY617="row",INDEX($DU$5:$DU$1003,$EX617),"")</f>
        <v/>
      </c>
      <c r="FL617">
        <f>IF($EY617="row",INDEX($DV$5:$DV$1003,$EX617),"")</f>
        <v/>
      </c>
      <c r="FM617">
        <f>IF($EY617="row",INDEX($DW$5:$DW$1003,$EX617),"")</f>
        <v/>
      </c>
      <c r="FN617">
        <f>IF($EY617="row",INDEX($DY$5:$DY$1003,$EX617),"")</f>
        <v/>
      </c>
      <c r="FO617">
        <f>IF($EY617="row",INDEX($EA$5:$EA$1003,$EX617),"")</f>
        <v/>
      </c>
      <c r="FP617">
        <f>IF($EY617="row",INDEX($EC$5:$EC$1003,$EX617),"")</f>
        <v/>
      </c>
      <c r="FQ617">
        <f>IF($EY617="row",INDEX($ET$5:$ET$1003,$EX617),"")</f>
        <v/>
      </c>
      <c r="FR617">
        <f>IF($EY617="row",INDEX($EU$5:$EU$1003,$EX617),"")</f>
        <v/>
      </c>
      <c r="FS617">
        <f>IF(AND($EY617="row",$EY616="row"),IF(OR(INDEX($DT$5:$DT$1003,$EX616)="",INDEX($DT$5:$DT$1003,$EX617)=""),"",IF(NOT(EXACT(INDEX($DT$5:$DT$1003,$EX616),INDEX($DT$5:$DT$1003,$EX617))),"S4",IF(NOT(EXACT(INDEX($DS$5:$DS$1003,$EX616),INDEX($DS$5:$DS$1003,$EX617))),"S3",IF(NOT(EXACT(INDEX($DR$5:$DR$1003,$EX616),INDEX($DR$5:$DR$1003,$EX617))),"S1 Count Change","S1")))),"")</f>
        <v/>
      </c>
      <c r="FT617">
        <f>IF($EY617="row",INDEX($ES$5:$ES$1003,$EX617),"")</f>
        <v/>
      </c>
      <c r="FU617">
        <f>IF($EY617="row",INDEX($EO$5:$EO$1003,$EX617),0)</f>
        <v/>
      </c>
      <c r="FV617">
        <f>IF($FS617="S1 Count Change",1,0)</f>
        <v/>
      </c>
    </row>
    <row r="618">
      <c r="DA618" t="n">
        <v>614</v>
      </c>
      <c r="DB618">
        <f>IF($B$37=0,"",IFERROR(TRIM(SUBSTITUTE(SUBSTITUTE(SUBSTITUTE(SUBSTITUTE(INDEX(PASTE_ALL,614,$B$37)," "," "),CHAR(9)," "),CHAR(10)," "),CHAR(13)," ")),""))</f>
        <v/>
      </c>
      <c r="DC618">
        <f>IF(AND(614&gt;HEADER_ROW,UPPER(DB618)="LEGEND"),1,0)</f>
        <v/>
      </c>
      <c r="DE618" t="n">
        <v>614</v>
      </c>
      <c r="DF618">
        <f>HEADER_ROW+$DE618</f>
        <v/>
      </c>
      <c r="DG618">
        <f>IF(AND($DF618&lt;=1000,$DF618&lt;$B$8),1,0)</f>
        <v/>
      </c>
      <c r="DH618">
        <f>IF($DG618=1,IFERROR(INDEX($DB$5:$DB$1004,$DF618),""),"")</f>
        <v/>
      </c>
      <c r="DI618">
        <f>IF(AND($DG618=1,$DH618&lt;&gt;""),IFERROR(SUBSTITUTE(SUBSTITUTE(TRIM(SUBSTITUTE(SUBSTITUTE(SUBSTITUTE(SUBSTITUTE(IFERROR(INDEX(PASTE_ALL,$DF618,1)&amp;"","")&amp;"␟"&amp;IFERROR(INDEX(PASTE_ALL,$DF618,2)&amp;"","")&amp;"␟"&amp;IFERROR(INDEX(PASTE_ALL,$DF618,3)&amp;"","")&amp;"␟"&amp;IFERROR(INDEX(PASTE_ALL,$DF618,4)&amp;"","")&amp;"␟"&amp;IFERROR(INDEX(PASTE_ALL,$DF618,5)&amp;"","")&amp;"␟"&amp;IFERROR(INDEX(PASTE_ALL,$DF618,6)&amp;"","")&amp;"␟"&amp;IFERROR(INDEX(PASTE_ALL,$DF618,7)&amp;"","")&amp;"␟"&amp;IFERROR(INDEX(PASTE_ALL,$DF618,8)&amp;"","")&amp;"␟"&amp;IFERROR(INDEX(PASTE_ALL,$DF618,9)&amp;"","")&amp;"␟"&amp;IFERROR(INDEX(PASTE_ALL,$DF618,10)&amp;"","")&amp;"␟"&amp;IFERROR(INDEX(PASTE_ALL,$DF618,11)&amp;"","")&amp;"␟"&amp;IFERROR(INDEX(PASTE_ALL,$DF618,12)&amp;"","")&amp;"␟"&amp;IFERROR(INDEX(PASTE_ALL,$DF618,13)&amp;"","")&amp;"␟"&amp;IFERROR(INDEX(PASTE_ALL,$DF618,14)&amp;"","")&amp;"␟"&amp;IFERROR(INDEX(PASTE_ALL,$DF618,15)&amp;"","")&amp;"␟"&amp;IFERROR(INDEX(PASTE_ALL,$DF618,16)&amp;"","")&amp;"␟"&amp;IFERROR(INDEX(PASTE_ALL,$DF618,17)&amp;"","")&amp;"␟"&amp;IFERROR(INDEX(PASTE_ALL,$DF618,18)&amp;"","")&amp;"␟"&amp;IFERROR(INDEX(PASTE_ALL,$DF618,19)&amp;"","")&amp;"␟"&amp;IFERROR(INDEX(PASTE_ALL,$DF618,20)&amp;"","")&amp;"␟"&amp;IFERROR(INDEX(PASTE_ALL,$DF618,21)&amp;"","")&amp;"␟"&amp;IFERROR(INDEX(PASTE_ALL,$DF618,22)&amp;"","")&amp;"␟"&amp;IFERROR(INDEX(PASTE_ALL,$DF618,23)&amp;"","")&amp;"␟"&amp;IFERROR(INDEX(PASTE_ALL,$DF618,24)&amp;"","")&amp;"␟"&amp;IFERROR(INDEX(PASTE_ALL,$DF618,25)&amp;"","")&amp;"␟"&amp;IFERROR(INDEX(PASTE_ALL,$DF618,26)&amp;"","")&amp;"␟"&amp;IFERROR(INDEX(PASTE_ALL,$DF618,27)&amp;"","")&amp;"␟"&amp;IFERROR(INDEX(PASTE_ALL,$DF618,28)&amp;"","")&amp;"␟"&amp;IFERROR(INDEX(PASTE_ALL,$DF618,29)&amp;"","")&amp;"␟"&amp;IFERROR(INDEX(PASTE_ALL,$DF618,30)&amp;"","")&amp;"␟"&amp;IFERROR(INDEX(PASTE_ALL,$DF618,31)&amp;"","")&amp;"␟"&amp;IFERROR(INDEX(PASTE_ALL,$DF618,32)&amp;"","")&amp;"␟"&amp;IFERROR(INDEX(PASTE_ALL,$DF618,33)&amp;"","")&amp;"␟"&amp;IFERROR(INDEX(PASTE_ALL,$DF618,34)&amp;"","")&amp;"␟"&amp;IFERROR(INDEX(PASTE_ALL,$DF618,35)&amp;"","")&amp;"␟"&amp;IFERROR(INDEX(PASTE_ALL,$DF618,36)&amp;"","")&amp;"␟"&amp;IFERROR(INDEX(PASTE_ALL,$DF618,37)&amp;"","")&amp;"␟"&amp;IFERROR(INDEX(PASTE_ALL,$DF618,38)&amp;"","")&amp;"␟"&amp;IFERROR(INDEX(PASTE_ALL,$DF618,39)&amp;"","")&amp;"␟"&amp;IFERROR(INDEX(PASTE_ALL,$DF618,40)&amp;"","")&amp;"␟"&amp;IFERROR(INDEX(PASTE_ALL,$DF618,41)&amp;"","")&amp;"␟"&amp;IFERROR(INDEX(PASTE_ALL,$DF618,42)&amp;"","")&amp;"␟"&amp;IFERROR(INDEX(PASTE_ALL,$DF618,43)&amp;"","")&amp;"␟"&amp;IFERROR(INDEX(PASTE_ALL,$DF618,44)&amp;"","")&amp;"␟"&amp;IFERROR(INDEX(PASTE_ALL,$DF618,45)&amp;"","")&amp;"␟"&amp;IFERROR(INDEX(PASTE_ALL,$DF618,46)&amp;"","")&amp;"␟"&amp;IFERROR(INDEX(PASTE_ALL,$DF618,47)&amp;"","")&amp;"␟"&amp;IFERROR(INDEX(PASTE_ALL,$DF618,48)&amp;"","")&amp;"␟"&amp;IFERROR(INDEX(PASTE_ALL,$DF618,49)&amp;"","")&amp;"␟"&amp;IFERROR(INDEX(PASTE_ALL,$DF618,50)&amp;"","")&amp;"␟"&amp;IFERROR(INDEX(PASTE_ALL,$DF618,51)&amp;"","")&amp;"␟"&amp;IFERROR(INDEX(PASTE_ALL,$DF618,52)&amp;"","")&amp;"␟"&amp;IFERROR(INDEX(PASTE_ALL,$DF618,53)&amp;"","")&amp;"␟"&amp;IFERROR(INDEX(PASTE_ALL,$DF618,54)&amp;"","")&amp;"␟"&amp;IFERROR(INDEX(PASTE_ALL,$DF618,55)&amp;"","")&amp;"␟"&amp;IFERROR(INDEX(PASTE_ALL,$DF618,56)&amp;"","")&amp;"␟"&amp;IFERROR(INDEX(PASTE_ALL,$DF618,57)&amp;"","")&amp;"␟"&amp;IFERROR(INDEX(PASTE_ALL,$DF618,58)&amp;"","")&amp;"␟"&amp;IFERROR(INDEX(PASTE_ALL,$DF618,59)&amp;"","")&amp;"␟"&amp;IFERROR(INDEX(PASTE_ALL,$DF618,60)&amp;"","")," "," "),CHAR(9)," "),CHAR(10)," "),CHAR(13)," "))," ␟","␟"),"␟ ","␟"),"#"&amp;$DE618),"")</f>
        <v/>
      </c>
      <c r="DJ618">
        <f>IF($DI618="",0,IF(SUMPRODUCT(--EXACT($DI$4:DI617,$DI618))&gt;0,1,0))</f>
        <v/>
      </c>
      <c r="DK618">
        <f>IF(AND($DI618&lt;&gt;"",$DJ618=0),1,0)</f>
        <v/>
      </c>
      <c r="DL618">
        <f>DL617+$DK618</f>
        <v/>
      </c>
      <c r="DM618">
        <f>IF(AND($DK618=1,$DL618&lt;=600),1,0)</f>
        <v/>
      </c>
      <c r="DN618">
        <f>IF($DM618=0,"",IF($L$6=0,"",IFERROR(IF(ISNUMBER(INDEX(PASTE_ALL,$DF618,$L$6)),INDEX(PASTE_ALL,$DF618,$L$6),TRIM(SUBSTITUTE(SUBSTITUTE(SUBSTITUTE(SUBSTITUTE(INDEX(PASTE_ALL,$DF618,$L$6)," "," "),CHAR(9)," "),CHAR(10)," "),CHAR(13)," "))),"")))</f>
        <v/>
      </c>
      <c r="DO618">
        <f>IF($DM618=0,"",IF($L$7=0,"",IFERROR(IF(ISNUMBER(INDEX(PASTE_ALL,$DF618,$L$7)),INDEX(PASTE_ALL,$DF618,$L$7),TRIM(SUBSTITUTE(SUBSTITUTE(SUBSTITUTE(SUBSTITUTE(INDEX(PASTE_ALL,$DF618,$L$7)," "," "),CHAR(9)," "),CHAR(10)," "),CHAR(13)," "))),"")))</f>
        <v/>
      </c>
      <c r="DP618">
        <f>IF($DM618=0,"",IF($L$8=0,"",IFERROR(IF(ISNUMBER(INDEX(PASTE_ALL,$DF618,$L$8)),INDEX(PASTE_ALL,$DF618,$L$8),TRIM(SUBSTITUTE(SUBSTITUTE(SUBSTITUTE(SUBSTITUTE(INDEX(PASTE_ALL,$DF618,$L$8)," "," "),CHAR(9)," "),CHAR(10)," "),CHAR(13)," "))),"")))</f>
        <v/>
      </c>
      <c r="DQ618">
        <f>IF($DM618=0,"",IF($L$9=0,"",IFERROR(IF(ISNUMBER(INDEX(PASTE_ALL,$DF618,$L$9)),INDEX(PASTE_ALL,$DF618,$L$9),TRIM(SUBSTITUTE(SUBSTITUTE(SUBSTITUTE(SUBSTITUTE(INDEX(PASTE_ALL,$DF618,$L$9)," "," "),CHAR(9)," "),CHAR(10)," "),CHAR(13)," "))),"")))</f>
        <v/>
      </c>
      <c r="DR618">
        <f>IF($DM618=0,"",IF($L$10=0,"",IFERROR(IF(ISNUMBER(INDEX(PASTE_ALL,$DF618,$L$10)),INDEX(PASTE_ALL,$DF618,$L$10),TRIM(SUBSTITUTE(SUBSTITUTE(SUBSTITUTE(SUBSTITUTE(INDEX(PASTE_ALL,$DF618,$L$10)," "," "),CHAR(9)," "),CHAR(10)," "),CHAR(13)," "))),"")))</f>
        <v/>
      </c>
      <c r="DS618">
        <f>IF($DM618=0,"",IF($L$11=0,"",IFERROR(IF(ISNUMBER(INDEX(PASTE_ALL,$DF618,$L$11)),INDEX(PASTE_ALL,$DF618,$L$11),TRIM(SUBSTITUTE(SUBSTITUTE(SUBSTITUTE(SUBSTITUTE(INDEX(PASTE_ALL,$DF618,$L$11)," "," "),CHAR(9)," "),CHAR(10)," "),CHAR(13)," "))),"")))</f>
        <v/>
      </c>
      <c r="DT618">
        <f>IF($DM618=0,"",IF($L$12=0,"",IFERROR(IF(ISNUMBER(INDEX(PASTE_ALL,$DF618,$L$12)),INDEX(PASTE_ALL,$DF618,$L$12),TRIM(SUBSTITUTE(SUBSTITUTE(SUBSTITUTE(SUBSTITUTE(INDEX(PASTE_ALL,$DF618,$L$12)," "," "),CHAR(9)," "),CHAR(10)," "),CHAR(13)," "))),"")))</f>
        <v/>
      </c>
      <c r="DU618">
        <f>IF($DM618=0,"",IF($L$13=0,"",IFERROR(IF(ISNUMBER(INDEX(PASTE_ALL,$DF618,$L$13)),INDEX(PASTE_ALL,$DF618,$L$13),TRIM(SUBSTITUTE(SUBSTITUTE(SUBSTITUTE(SUBSTITUTE(INDEX(PASTE_ALL,$DF618,$L$13)," "," "),CHAR(9)," "),CHAR(10)," "),CHAR(13)," "))),"")))</f>
        <v/>
      </c>
      <c r="DV618">
        <f>IF($DM618=0,"",IF($L$14=0,"",IFERROR(IF(ISNUMBER(INDEX(PASTE_ALL,$DF618,$L$14)),INDEX(PASTE_ALL,$DF618,$L$14),TRIM(SUBSTITUTE(SUBSTITUTE(SUBSTITUTE(SUBSTITUTE(INDEX(PASTE_ALL,$DF618,$L$14)," "," "),CHAR(9)," "),CHAR(10)," "),CHAR(13)," "))),"")))</f>
        <v/>
      </c>
      <c r="DW618">
        <f>IF($DM618=0,"",IF($L$15=0,"",IFERROR(IF(ISNUMBER(INDEX(PASTE_ALL,$DF618,$L$15)),INDEX(PASTE_ALL,$DF618,$L$15),IF(SUMPRODUCT(--ISNUMBER(FIND({"A","B","C","D","E","F","G","H","I","J","K","L","M","N","O","P","Q","R","S","T","U","V","W","X","Y","Z","0","1","2","3","4","5","6","7","8","9"},UPPER(TRIM(SUBSTITUTE(SUBSTITUTE(SUBSTITUTE(SUBSTITUTE(INDEX(PASTE_ALL,$DF618,$L$15)," "," "),CHAR(9)," "),CHAR(10)," "),CHAR(13)," "))))))&gt;0,TRIM(SUBSTITUTE(SUBSTITUTE(SUBSTITUTE(SUBSTITUTE(INDEX(PASTE_ALL,$DF618,$L$15)," "," "),CHAR(9)," "),CHAR(10)," "),CHAR(13)," ")),"")),"")))</f>
        <v/>
      </c>
      <c r="DX618">
        <f>IF($DM618=0,"",IF($L$16=0,"",IFERROR(IF(ISNUMBER(INDEX(PASTE_ALL,$DF618,$L$16)),INDEX(PASTE_ALL,$DF618,$L$16),SUBSTITUTE(SUBSTITUTE(TRIM(SUBSTITUTE(SUBSTITUTE(SUBSTITUTE(SUBSTITUTE(INDEX(PASTE_ALL,$DF618,$L$16)," "," "),CHAR(9)," "),CHAR(10)," "),CHAR(13)," ")),",",""),"%","")),"")))</f>
        <v/>
      </c>
      <c r="DY618">
        <f>IF($DM618=0,"",IFERROR(IF(ISNUMBER($DX618),$DX618,IF($DX618="","",IF(TRIM($DX618)="",0,IF(AND(AND(SUBSTITUTE(SUBSTITUTE(SUBSTITUTE(SUBSTITUTE(SUBSTITUTE(SUBSTITUTE(SUBSTITUTE(SUBSTITUTE(SUBSTITUTE(SUBSTITUTE(SUBSTITUTE(SUBSTITUTE(SUBSTITUTE(SUBSTITUTE(UPPER(TRIM($DX618)),"0",""),"1",""),"2",""),"3",""),"4",""),"5",""),"6",""),"7",""),"8",""),"9",""),".",""),"+",""),"-",""),"E","")="",LEN(SUBSTITUTE(SUBSTITUTE(MID(UPPER(TRIM($DX618)),1+OR(LEFT(UPPER(TRIM($DX618)),1)="+",LEFT(UPPER(TRIM($DX618)),1)="-"),999),"E+","E"),"E-","E"))=LEN(SUBSTITUTE(SUBSTITUTE(SUBSTITUTE(SUBSTITUTE(MID(UPPER(TRIM($DX618)),1+OR(LEFT(UPPER(TRIM($DX618)),1)="+",LEFT(UPPER(TRIM($DX618)),1)="-"),999),"E+","E"),"E-","E"),"+",""),"-","")),LEN(UPPER(TRIM($DX618)))-LEN(SUBSTITUTE(UPPER(TRIM($DX618)),"E",""))&lt;2,LEN(UPPER(TRIM($DX618)))-LEN(SUBSTITUTE(UPPER(TRIM($DX618)),".",""))&lt;2,IFERROR(FIND(".",UPPER(TRIM($DX618))),0)&lt;IFERROR(FIND("E",UPPER(TRIM($DX618))),999)),ISNUMBER(VALUE(TRIM($DX618)))),VALUE(TRIM($DX618)),"")))),""))</f>
        <v/>
      </c>
      <c r="DZ618">
        <f>IF($DM618=0,"",IF($L$17=0,"",IFERROR(IF(ISNUMBER(INDEX(PASTE_ALL,$DF618,$L$17)),INDEX(PASTE_ALL,$DF618,$L$17),SUBSTITUTE(SUBSTITUTE(TRIM(SUBSTITUTE(SUBSTITUTE(SUBSTITUTE(SUBSTITUTE(INDEX(PASTE_ALL,$DF618,$L$17)," "," "),CHAR(9)," "),CHAR(10)," "),CHAR(13)," ")),",",""),"%","")),"")))</f>
        <v/>
      </c>
      <c r="EA618">
        <f>IF($DM618=0,"",IFERROR(IF(ISNUMBER($DZ618),$DZ618,IF($DZ618="","",IF(TRIM($DZ618)="",0,IF(AND(AND(SUBSTITUTE(SUBSTITUTE(SUBSTITUTE(SUBSTITUTE(SUBSTITUTE(SUBSTITUTE(SUBSTITUTE(SUBSTITUTE(SUBSTITUTE(SUBSTITUTE(SUBSTITUTE(SUBSTITUTE(SUBSTITUTE(SUBSTITUTE(UPPER(TRIM($DZ618)),"0",""),"1",""),"2",""),"3",""),"4",""),"5",""),"6",""),"7",""),"8",""),"9",""),".",""),"+",""),"-",""),"E","")="",LEN(SUBSTITUTE(SUBSTITUTE(MID(UPPER(TRIM($DZ618)),1+OR(LEFT(UPPER(TRIM($DZ618)),1)="+",LEFT(UPPER(TRIM($DZ618)),1)="-"),999),"E+","E"),"E-","E"))=LEN(SUBSTITUTE(SUBSTITUTE(SUBSTITUTE(SUBSTITUTE(MID(UPPER(TRIM($DZ618)),1+OR(LEFT(UPPER(TRIM($DZ618)),1)="+",LEFT(UPPER(TRIM($DZ618)),1)="-"),999),"E+","E"),"E-","E"),"+",""),"-","")),LEN(UPPER(TRIM($DZ618)))-LEN(SUBSTITUTE(UPPER(TRIM($DZ618)),"E",""))&lt;2,LEN(UPPER(TRIM($DZ618)))-LEN(SUBSTITUTE(UPPER(TRIM($DZ618)),".",""))&lt;2,IFERROR(FIND(".",UPPER(TRIM($DZ618))),0)&lt;IFERROR(FIND("E",UPPER(TRIM($DZ618))),999)),ISNUMBER(VALUE(TRIM($DZ618)))),VALUE(TRIM($DZ618)),"")))),""))</f>
        <v/>
      </c>
      <c r="EB618">
        <f>IF($DM618=0,"",IF($L$18=0,"",IFERROR(IF(UPPER(TRIM(SUBSTITUTE(SUBSTITUTE(SUBSTITUTE(SUBSTITUTE(INDEX(PASTE_ALL,$DF618,$L$18)," "," "),CHAR(9)," "),CHAR(10)," "),CHAR(13)," ")))="READY","Ready",IF(UPPER(TRIM(SUBSTITUTE(SUBSTITUTE(SUBSTITUTE(SUBSTITUTE(INDEX(PASTE_ALL,$DF618,$L$18)," "," "),CHAR(9)," "),CHAR(10)," "),CHAR(13)," ")))="PM","PM",IF(OR(UPPER(TRIM(SUBSTITUTE(SUBSTITUTE(SUBSTITUTE(SUBSTITUTE(INDEX(PASTE_ALL,$DF618,$L$18)," "," "),CHAR(9)," "),CHAR(10)," "),CHAR(13)," ")))="OT",UPPER(TRIM(SUBSTITUTE(SUBSTITUTE(SUBSTITUTE(SUBSTITUTE(INDEX(PASTE_ALL,$DF618,$L$18)," "," "),CHAR(9)," "),CHAR(10)," "),CHAR(13)," ")))="OVERTIME",UPPER(TRIM(SUBSTITUTE(SUBSTITUTE(SUBSTITUTE(SUBSTITUTE(INDEX(PASTE_ALL,$DF618,$L$18)," "," "),CHAR(9)," "),CHAR(10)," "),CHAR(13)," ")))="TRIAL"),"OT",TRIM(SUBSTITUTE(SUBSTITUTE(SUBSTITUTE(SUBSTITUTE(INDEX(PASTE_ALL,$DF618,$L$18)," "," "),CHAR(9)," "),CHAR(10)," "),CHAR(13)," "))))),"")))</f>
        <v/>
      </c>
      <c r="EC618">
        <f>IF($DM618=0,"",IF($L$19=0,"",IFERROR(IF(ISNUMBER(INDEX(PASTE_ALL,$DF618,$L$19)),INDEX(PASTE_ALL,$DF618,$L$19),TRIM(SUBSTITUTE(SUBSTITUTE(SUBSTITUTE(SUBSTITUTE(INDEX(PASTE_ALL,$DF618,$L$19)," "," "),CHAR(9)," "),CHAR(10)," "),CHAR(13)," "))),"")))</f>
        <v/>
      </c>
      <c r="ED618">
        <f>IF($DM618=0,"",MATCH(1,INDEX(EXACT($DH$5:DH618,$DH618)*$DM$5:DM618,0),0))</f>
        <v/>
      </c>
      <c r="EE618">
        <f>IF($DM618=0,0,IF($ED618=$DE618,1,0))</f>
        <v/>
      </c>
      <c r="EF618">
        <f>EF617+$EE618</f>
        <v/>
      </c>
      <c r="EG618">
        <f>IF($DM618=0,"",INDEX($EF$5:$EF$1003,$ED618))</f>
        <v/>
      </c>
      <c r="EH618">
        <f>IF($DM618=0,"",IF($DO618&lt;&gt;"","",IFERROR(LOOKUP(2,1/(($EG$4:EG617=$EG618)*($DO$4:DO617&lt;&gt;"")),$DO$4:DO617),"")))</f>
        <v/>
      </c>
      <c r="EI618">
        <f>IF($DM618=0,"",IF($DO618&lt;&gt;"",$DO618,$EH618))</f>
        <v/>
      </c>
      <c r="EJ618">
        <f>IF($DM618=0,"",IF($EI618="",0,IF(OR(ISNUMBER($EI618),AND(AND(SUBSTITUTE(SUBSTITUTE(SUBSTITUTE(SUBSTITUTE(SUBSTITUTE(SUBSTITUTE(SUBSTITUTE(SUBSTITUTE(SUBSTITUTE(SUBSTITUTE(SUBSTITUTE(SUBSTITUTE(SUBSTITUTE(SUBSTITUTE(UPPER($EI618),"0",""),"1",""),"2",""),"3",""),"4",""),"5",""),"6",""),"7",""),"8",""),"9",""),".",""),"+",""),"-",""),"E","")="",LEN(SUBSTITUTE(SUBSTITUTE(MID(UPPER($EI618),1+OR(LEFT(UPPER($EI618),1)="+",LEFT(UPPER($EI618),1)="-"),999),"E+","E"),"E-","E"))=LEN(SUBSTITUTE(SUBSTITUTE(SUBSTITUTE(SUBSTITUTE(MID(UPPER($EI618),1+OR(LEFT(UPPER($EI618),1)="+",LEFT(UPPER($EI618),1)="-"),999),"E+","E"),"E-","E"),"+",""),"-","")),LEN(UPPER($EI618))-LEN(SUBSTITUTE(UPPER($EI618),"E",""))&lt;2,LEN(UPPER($EI618))-LEN(SUBSTITUTE(UPPER($EI618),".",""))&lt;2,IFERROR(FIND(".",UPPER($EI618)),0)&lt;IFERROR(FIND("E",UPPER($EI618)),999)),ISNUMBER(VALUE($EI618)))),1,2)))</f>
        <v/>
      </c>
      <c r="EK618">
        <f>IF($DM618=0,"",IF($EJ618=1,IF(ISNUMBER($EI618),$EI618,VALUE($EI618)),IF($EJ618=2,$DE618,0)))</f>
        <v/>
      </c>
      <c r="EL618">
        <f>IF($DM618=0,"",COUNTIF($EG$5:$EG$1003,"&lt;"&amp;$EG618)+SUMPRODUCT(($EG$5:$EG$1003=$EG618)*(($EJ$5:$EJ$1003&lt;$EJ618)+($EJ$5:$EJ$1003=$EJ618)*(($EK$5:$EK$1003&lt;$EK618)+($EK$5:$EK$1003=$EK618)*($DE$5:$DE$1003&lt;$DE618))))+1)</f>
        <v/>
      </c>
      <c r="EM618">
        <f>IF($DM618=0,"",$EL618+$EG618-1)</f>
        <v/>
      </c>
      <c r="EN618">
        <f>IF($DM618=0,0,IFERROR(MATCH(1,INDEX(--(TRIM(SUBSTITUTE(SUBSTITUTE(SUBSTITUTE(SUBSTITUTE(LINES_NAME&amp;""," "," "),CHAR(9)," "),CHAR(10)," "),CHAR(13)," "))=$DH618),0),0),0))</f>
        <v/>
      </c>
      <c r="EO618">
        <f>IF($EN618=0,0,IF(OR(UPPER(TRIM(INDEX(LINES_SCHEDULED,$EN618)&amp;""))="YES",UPPER(TRIM(INDEX(LINES_SCHEDULED,$EN618)&amp;""))="Y",UPPER(TRIM(INDEX(LINES_SCHEDULED,$EN618)&amp;""))="X"),1,0))</f>
        <v/>
      </c>
      <c r="EP618">
        <f>IF($DM618=0,"",IF(COUNTIFS($EG$5:$EG$1003,$EG618,$EB$5:$EB$1003,"Ready")&gt;0,"READY",IF(COUNTIFS($EG$5:$EG$1003,$EG618,$EB$5:$EB$1003,"PM")&gt;0,"PM",IF(COUNTIFS($EG$5:$EG$1003,$EG618,$EB$5:$EB$1003,"OT")&gt;0,"OT",""))))</f>
        <v/>
      </c>
      <c r="EQ618">
        <f>IF($EN618=0,"",UPPER(TRIM(INDEX(LINES_STATUS,$EN618)&amp;"")))</f>
        <v/>
      </c>
      <c r="ER618">
        <f>IF($DM618=0,"",IF(OR($EQ618="READY",$EQ618="PM",$EQ618="OT"),$EQ618,$EP618))</f>
        <v/>
      </c>
      <c r="ES618">
        <f>IF($DM618=0,"",IF(AND($DV618&lt;&gt;"",UPPER($DV618)&lt;&gt;"N"),"allergen",IF(ISNUMBER(SEARCH("oil",$DQ618)),"oil",IF(OR(EXACT($DS618,"A662"),EXACT($DS618,"A624")),"bulk",""))))</f>
        <v/>
      </c>
      <c r="ET618">
        <f>IF($DM618=0,"",IF(OR($EA618="",$EA618=0),"",$EA618/100))</f>
        <v/>
      </c>
      <c r="EU618">
        <f>IF(OR($ET618="",$DY618=""),"",INT($DY618*(1-$ET618)+0.5))</f>
        <v/>
      </c>
      <c r="EW618" t="n">
        <v>614</v>
      </c>
      <c r="EX618">
        <f>IFERROR(MATCH($EW618,$EM$5:$EM$1003,0),0)</f>
        <v/>
      </c>
      <c r="EY618">
        <f>IF($EW618&gt;$B$12,"",IF($EX618&gt;0,"row","spacer"))</f>
        <v/>
      </c>
      <c r="EZ618">
        <f>IF(AND($EY618="row",$EY617&lt;&gt;"row"),1,0)</f>
        <v/>
      </c>
      <c r="FA618">
        <f>IF(AND($EY618="row",$EY619&lt;&gt;"row"),1,0)</f>
        <v/>
      </c>
      <c r="FB618">
        <f>IF($EZ618=1,IFERROR(IF(ISNUMBER(INDEX(PASTE_ALL,INDEX($DF$5:$DF$1003,$EX618),$B$37)),INDEX(PASTE_ALL,INDEX($DF$5:$DF$1003,$EX618),$B$37),INDEX($DH$5:$DH$1003,$EX618)),INDEX($DH$5:$DH$1003,$EX618)),"")</f>
        <v/>
      </c>
      <c r="FC618">
        <f>IF($EY618="row",INDEX($ER$5:$ER$1003,$EX618),"")</f>
        <v/>
      </c>
      <c r="FD618">
        <f>IF($EY618="row",INDEX($DN$5:$DN$1003,$EX618),"")</f>
        <v/>
      </c>
      <c r="FE618">
        <f>IF($EY618="row",INDEX($DO$5:$DO$1003,$EX618),"")</f>
        <v/>
      </c>
      <c r="FF618">
        <f>IF($EY618="row",INDEX($DP$5:$DP$1003,$EX618),"")</f>
        <v/>
      </c>
      <c r="FG618">
        <f>IF($EY618="row",INDEX($DQ$5:$DQ$1003,$EX618),"")</f>
        <v/>
      </c>
      <c r="FH618">
        <f>IF($EY618="row",INDEX($DR$5:$DR$1003,$EX618),"")</f>
        <v/>
      </c>
      <c r="FI618">
        <f>IF($EY618="row",INDEX($DS$5:$DS$1003,$EX618),"")</f>
        <v/>
      </c>
      <c r="FJ618">
        <f>IF($EY618="row",INDEX($DT$5:$DT$1003,$EX618),"")</f>
        <v/>
      </c>
      <c r="FK618">
        <f>IF($EY618="row",INDEX($DU$5:$DU$1003,$EX618),"")</f>
        <v/>
      </c>
      <c r="FL618">
        <f>IF($EY618="row",INDEX($DV$5:$DV$1003,$EX618),"")</f>
        <v/>
      </c>
      <c r="FM618">
        <f>IF($EY618="row",INDEX($DW$5:$DW$1003,$EX618),"")</f>
        <v/>
      </c>
      <c r="FN618">
        <f>IF($EY618="row",INDEX($DY$5:$DY$1003,$EX618),"")</f>
        <v/>
      </c>
      <c r="FO618">
        <f>IF($EY618="row",INDEX($EA$5:$EA$1003,$EX618),"")</f>
        <v/>
      </c>
      <c r="FP618">
        <f>IF($EY618="row",INDEX($EC$5:$EC$1003,$EX618),"")</f>
        <v/>
      </c>
      <c r="FQ618">
        <f>IF($EY618="row",INDEX($ET$5:$ET$1003,$EX618),"")</f>
        <v/>
      </c>
      <c r="FR618">
        <f>IF($EY618="row",INDEX($EU$5:$EU$1003,$EX618),"")</f>
        <v/>
      </c>
      <c r="FS618">
        <f>IF(AND($EY618="row",$EY617="row"),IF(OR(INDEX($DT$5:$DT$1003,$EX617)="",INDEX($DT$5:$DT$1003,$EX618)=""),"",IF(NOT(EXACT(INDEX($DT$5:$DT$1003,$EX617),INDEX($DT$5:$DT$1003,$EX618))),"S4",IF(NOT(EXACT(INDEX($DS$5:$DS$1003,$EX617),INDEX($DS$5:$DS$1003,$EX618))),"S3",IF(NOT(EXACT(INDEX($DR$5:$DR$1003,$EX617),INDEX($DR$5:$DR$1003,$EX618))),"S1 Count Change","S1")))),"")</f>
        <v/>
      </c>
      <c r="FT618">
        <f>IF($EY618="row",INDEX($ES$5:$ES$1003,$EX618),"")</f>
        <v/>
      </c>
      <c r="FU618">
        <f>IF($EY618="row",INDEX($EO$5:$EO$1003,$EX618),0)</f>
        <v/>
      </c>
      <c r="FV618">
        <f>IF($FS618="S1 Count Change",1,0)</f>
        <v/>
      </c>
    </row>
    <row r="619">
      <c r="DA619" t="n">
        <v>615</v>
      </c>
      <c r="DB619">
        <f>IF($B$37=0,"",IFERROR(TRIM(SUBSTITUTE(SUBSTITUTE(SUBSTITUTE(SUBSTITUTE(INDEX(PASTE_ALL,615,$B$37)," "," "),CHAR(9)," "),CHAR(10)," "),CHAR(13)," ")),""))</f>
        <v/>
      </c>
      <c r="DC619">
        <f>IF(AND(615&gt;HEADER_ROW,UPPER(DB619)="LEGEND"),1,0)</f>
        <v/>
      </c>
      <c r="DE619" t="n">
        <v>615</v>
      </c>
      <c r="DF619">
        <f>HEADER_ROW+$DE619</f>
        <v/>
      </c>
      <c r="DG619">
        <f>IF(AND($DF619&lt;=1000,$DF619&lt;$B$8),1,0)</f>
        <v/>
      </c>
      <c r="DH619">
        <f>IF($DG619=1,IFERROR(INDEX($DB$5:$DB$1004,$DF619),""),"")</f>
        <v/>
      </c>
      <c r="DI619">
        <f>IF(AND($DG619=1,$DH619&lt;&gt;""),IFERROR(SUBSTITUTE(SUBSTITUTE(TRIM(SUBSTITUTE(SUBSTITUTE(SUBSTITUTE(SUBSTITUTE(IFERROR(INDEX(PASTE_ALL,$DF619,1)&amp;"","")&amp;"␟"&amp;IFERROR(INDEX(PASTE_ALL,$DF619,2)&amp;"","")&amp;"␟"&amp;IFERROR(INDEX(PASTE_ALL,$DF619,3)&amp;"","")&amp;"␟"&amp;IFERROR(INDEX(PASTE_ALL,$DF619,4)&amp;"","")&amp;"␟"&amp;IFERROR(INDEX(PASTE_ALL,$DF619,5)&amp;"","")&amp;"␟"&amp;IFERROR(INDEX(PASTE_ALL,$DF619,6)&amp;"","")&amp;"␟"&amp;IFERROR(INDEX(PASTE_ALL,$DF619,7)&amp;"","")&amp;"␟"&amp;IFERROR(INDEX(PASTE_ALL,$DF619,8)&amp;"","")&amp;"␟"&amp;IFERROR(INDEX(PASTE_ALL,$DF619,9)&amp;"","")&amp;"␟"&amp;IFERROR(INDEX(PASTE_ALL,$DF619,10)&amp;"","")&amp;"␟"&amp;IFERROR(INDEX(PASTE_ALL,$DF619,11)&amp;"","")&amp;"␟"&amp;IFERROR(INDEX(PASTE_ALL,$DF619,12)&amp;"","")&amp;"␟"&amp;IFERROR(INDEX(PASTE_ALL,$DF619,13)&amp;"","")&amp;"␟"&amp;IFERROR(INDEX(PASTE_ALL,$DF619,14)&amp;"","")&amp;"␟"&amp;IFERROR(INDEX(PASTE_ALL,$DF619,15)&amp;"","")&amp;"␟"&amp;IFERROR(INDEX(PASTE_ALL,$DF619,16)&amp;"","")&amp;"␟"&amp;IFERROR(INDEX(PASTE_ALL,$DF619,17)&amp;"","")&amp;"␟"&amp;IFERROR(INDEX(PASTE_ALL,$DF619,18)&amp;"","")&amp;"␟"&amp;IFERROR(INDEX(PASTE_ALL,$DF619,19)&amp;"","")&amp;"␟"&amp;IFERROR(INDEX(PASTE_ALL,$DF619,20)&amp;"","")&amp;"␟"&amp;IFERROR(INDEX(PASTE_ALL,$DF619,21)&amp;"","")&amp;"␟"&amp;IFERROR(INDEX(PASTE_ALL,$DF619,22)&amp;"","")&amp;"␟"&amp;IFERROR(INDEX(PASTE_ALL,$DF619,23)&amp;"","")&amp;"␟"&amp;IFERROR(INDEX(PASTE_ALL,$DF619,24)&amp;"","")&amp;"␟"&amp;IFERROR(INDEX(PASTE_ALL,$DF619,25)&amp;"","")&amp;"␟"&amp;IFERROR(INDEX(PASTE_ALL,$DF619,26)&amp;"","")&amp;"␟"&amp;IFERROR(INDEX(PASTE_ALL,$DF619,27)&amp;"","")&amp;"␟"&amp;IFERROR(INDEX(PASTE_ALL,$DF619,28)&amp;"","")&amp;"␟"&amp;IFERROR(INDEX(PASTE_ALL,$DF619,29)&amp;"","")&amp;"␟"&amp;IFERROR(INDEX(PASTE_ALL,$DF619,30)&amp;"","")&amp;"␟"&amp;IFERROR(INDEX(PASTE_ALL,$DF619,31)&amp;"","")&amp;"␟"&amp;IFERROR(INDEX(PASTE_ALL,$DF619,32)&amp;"","")&amp;"␟"&amp;IFERROR(INDEX(PASTE_ALL,$DF619,33)&amp;"","")&amp;"␟"&amp;IFERROR(INDEX(PASTE_ALL,$DF619,34)&amp;"","")&amp;"␟"&amp;IFERROR(INDEX(PASTE_ALL,$DF619,35)&amp;"","")&amp;"␟"&amp;IFERROR(INDEX(PASTE_ALL,$DF619,36)&amp;"","")&amp;"␟"&amp;IFERROR(INDEX(PASTE_ALL,$DF619,37)&amp;"","")&amp;"␟"&amp;IFERROR(INDEX(PASTE_ALL,$DF619,38)&amp;"","")&amp;"␟"&amp;IFERROR(INDEX(PASTE_ALL,$DF619,39)&amp;"","")&amp;"␟"&amp;IFERROR(INDEX(PASTE_ALL,$DF619,40)&amp;"","")&amp;"␟"&amp;IFERROR(INDEX(PASTE_ALL,$DF619,41)&amp;"","")&amp;"␟"&amp;IFERROR(INDEX(PASTE_ALL,$DF619,42)&amp;"","")&amp;"␟"&amp;IFERROR(INDEX(PASTE_ALL,$DF619,43)&amp;"","")&amp;"␟"&amp;IFERROR(INDEX(PASTE_ALL,$DF619,44)&amp;"","")&amp;"␟"&amp;IFERROR(INDEX(PASTE_ALL,$DF619,45)&amp;"","")&amp;"␟"&amp;IFERROR(INDEX(PASTE_ALL,$DF619,46)&amp;"","")&amp;"␟"&amp;IFERROR(INDEX(PASTE_ALL,$DF619,47)&amp;"","")&amp;"␟"&amp;IFERROR(INDEX(PASTE_ALL,$DF619,48)&amp;"","")&amp;"␟"&amp;IFERROR(INDEX(PASTE_ALL,$DF619,49)&amp;"","")&amp;"␟"&amp;IFERROR(INDEX(PASTE_ALL,$DF619,50)&amp;"","")&amp;"␟"&amp;IFERROR(INDEX(PASTE_ALL,$DF619,51)&amp;"","")&amp;"␟"&amp;IFERROR(INDEX(PASTE_ALL,$DF619,52)&amp;"","")&amp;"␟"&amp;IFERROR(INDEX(PASTE_ALL,$DF619,53)&amp;"","")&amp;"␟"&amp;IFERROR(INDEX(PASTE_ALL,$DF619,54)&amp;"","")&amp;"␟"&amp;IFERROR(INDEX(PASTE_ALL,$DF619,55)&amp;"","")&amp;"␟"&amp;IFERROR(INDEX(PASTE_ALL,$DF619,56)&amp;"","")&amp;"␟"&amp;IFERROR(INDEX(PASTE_ALL,$DF619,57)&amp;"","")&amp;"␟"&amp;IFERROR(INDEX(PASTE_ALL,$DF619,58)&amp;"","")&amp;"␟"&amp;IFERROR(INDEX(PASTE_ALL,$DF619,59)&amp;"","")&amp;"␟"&amp;IFERROR(INDEX(PASTE_ALL,$DF619,60)&amp;"","")," "," "),CHAR(9)," "),CHAR(10)," "),CHAR(13)," "))," ␟","␟"),"␟ ","␟"),"#"&amp;$DE619),"")</f>
        <v/>
      </c>
      <c r="DJ619">
        <f>IF($DI619="",0,IF(SUMPRODUCT(--EXACT($DI$4:DI618,$DI619))&gt;0,1,0))</f>
        <v/>
      </c>
      <c r="DK619">
        <f>IF(AND($DI619&lt;&gt;"",$DJ619=0),1,0)</f>
        <v/>
      </c>
      <c r="DL619">
        <f>DL618+$DK619</f>
        <v/>
      </c>
      <c r="DM619">
        <f>IF(AND($DK619=1,$DL619&lt;=600),1,0)</f>
        <v/>
      </c>
      <c r="DN619">
        <f>IF($DM619=0,"",IF($L$6=0,"",IFERROR(IF(ISNUMBER(INDEX(PASTE_ALL,$DF619,$L$6)),INDEX(PASTE_ALL,$DF619,$L$6),TRIM(SUBSTITUTE(SUBSTITUTE(SUBSTITUTE(SUBSTITUTE(INDEX(PASTE_ALL,$DF619,$L$6)," "," "),CHAR(9)," "),CHAR(10)," "),CHAR(13)," "))),"")))</f>
        <v/>
      </c>
      <c r="DO619">
        <f>IF($DM619=0,"",IF($L$7=0,"",IFERROR(IF(ISNUMBER(INDEX(PASTE_ALL,$DF619,$L$7)),INDEX(PASTE_ALL,$DF619,$L$7),TRIM(SUBSTITUTE(SUBSTITUTE(SUBSTITUTE(SUBSTITUTE(INDEX(PASTE_ALL,$DF619,$L$7)," "," "),CHAR(9)," "),CHAR(10)," "),CHAR(13)," "))),"")))</f>
        <v/>
      </c>
      <c r="DP619">
        <f>IF($DM619=0,"",IF($L$8=0,"",IFERROR(IF(ISNUMBER(INDEX(PASTE_ALL,$DF619,$L$8)),INDEX(PASTE_ALL,$DF619,$L$8),TRIM(SUBSTITUTE(SUBSTITUTE(SUBSTITUTE(SUBSTITUTE(INDEX(PASTE_ALL,$DF619,$L$8)," "," "),CHAR(9)," "),CHAR(10)," "),CHAR(13)," "))),"")))</f>
        <v/>
      </c>
      <c r="DQ619">
        <f>IF($DM619=0,"",IF($L$9=0,"",IFERROR(IF(ISNUMBER(INDEX(PASTE_ALL,$DF619,$L$9)),INDEX(PASTE_ALL,$DF619,$L$9),TRIM(SUBSTITUTE(SUBSTITUTE(SUBSTITUTE(SUBSTITUTE(INDEX(PASTE_ALL,$DF619,$L$9)," "," "),CHAR(9)," "),CHAR(10)," "),CHAR(13)," "))),"")))</f>
        <v/>
      </c>
      <c r="DR619">
        <f>IF($DM619=0,"",IF($L$10=0,"",IFERROR(IF(ISNUMBER(INDEX(PASTE_ALL,$DF619,$L$10)),INDEX(PASTE_ALL,$DF619,$L$10),TRIM(SUBSTITUTE(SUBSTITUTE(SUBSTITUTE(SUBSTITUTE(INDEX(PASTE_ALL,$DF619,$L$10)," "," "),CHAR(9)," "),CHAR(10)," "),CHAR(13)," "))),"")))</f>
        <v/>
      </c>
      <c r="DS619">
        <f>IF($DM619=0,"",IF($L$11=0,"",IFERROR(IF(ISNUMBER(INDEX(PASTE_ALL,$DF619,$L$11)),INDEX(PASTE_ALL,$DF619,$L$11),TRIM(SUBSTITUTE(SUBSTITUTE(SUBSTITUTE(SUBSTITUTE(INDEX(PASTE_ALL,$DF619,$L$11)," "," "),CHAR(9)," "),CHAR(10)," "),CHAR(13)," "))),"")))</f>
        <v/>
      </c>
      <c r="DT619">
        <f>IF($DM619=0,"",IF($L$12=0,"",IFERROR(IF(ISNUMBER(INDEX(PASTE_ALL,$DF619,$L$12)),INDEX(PASTE_ALL,$DF619,$L$12),TRIM(SUBSTITUTE(SUBSTITUTE(SUBSTITUTE(SUBSTITUTE(INDEX(PASTE_ALL,$DF619,$L$12)," "," "),CHAR(9)," "),CHAR(10)," "),CHAR(13)," "))),"")))</f>
        <v/>
      </c>
      <c r="DU619">
        <f>IF($DM619=0,"",IF($L$13=0,"",IFERROR(IF(ISNUMBER(INDEX(PASTE_ALL,$DF619,$L$13)),INDEX(PASTE_ALL,$DF619,$L$13),TRIM(SUBSTITUTE(SUBSTITUTE(SUBSTITUTE(SUBSTITUTE(INDEX(PASTE_ALL,$DF619,$L$13)," "," "),CHAR(9)," "),CHAR(10)," "),CHAR(13)," "))),"")))</f>
        <v/>
      </c>
      <c r="DV619">
        <f>IF($DM619=0,"",IF($L$14=0,"",IFERROR(IF(ISNUMBER(INDEX(PASTE_ALL,$DF619,$L$14)),INDEX(PASTE_ALL,$DF619,$L$14),TRIM(SUBSTITUTE(SUBSTITUTE(SUBSTITUTE(SUBSTITUTE(INDEX(PASTE_ALL,$DF619,$L$14)," "," "),CHAR(9)," "),CHAR(10)," "),CHAR(13)," "))),"")))</f>
        <v/>
      </c>
      <c r="DW619">
        <f>IF($DM619=0,"",IF($L$15=0,"",IFERROR(IF(ISNUMBER(INDEX(PASTE_ALL,$DF619,$L$15)),INDEX(PASTE_ALL,$DF619,$L$15),IF(SUMPRODUCT(--ISNUMBER(FIND({"A","B","C","D","E","F","G","H","I","J","K","L","M","N","O","P","Q","R","S","T","U","V","W","X","Y","Z","0","1","2","3","4","5","6","7","8","9"},UPPER(TRIM(SUBSTITUTE(SUBSTITUTE(SUBSTITUTE(SUBSTITUTE(INDEX(PASTE_ALL,$DF619,$L$15)," "," "),CHAR(9)," "),CHAR(10)," "),CHAR(13)," "))))))&gt;0,TRIM(SUBSTITUTE(SUBSTITUTE(SUBSTITUTE(SUBSTITUTE(INDEX(PASTE_ALL,$DF619,$L$15)," "," "),CHAR(9)," "),CHAR(10)," "),CHAR(13)," ")),"")),"")))</f>
        <v/>
      </c>
      <c r="DX619">
        <f>IF($DM619=0,"",IF($L$16=0,"",IFERROR(IF(ISNUMBER(INDEX(PASTE_ALL,$DF619,$L$16)),INDEX(PASTE_ALL,$DF619,$L$16),SUBSTITUTE(SUBSTITUTE(TRIM(SUBSTITUTE(SUBSTITUTE(SUBSTITUTE(SUBSTITUTE(INDEX(PASTE_ALL,$DF619,$L$16)," "," "),CHAR(9)," "),CHAR(10)," "),CHAR(13)," ")),",",""),"%","")),"")))</f>
        <v/>
      </c>
      <c r="DY619">
        <f>IF($DM619=0,"",IFERROR(IF(ISNUMBER($DX619),$DX619,IF($DX619="","",IF(TRIM($DX619)="",0,IF(AND(AND(SUBSTITUTE(SUBSTITUTE(SUBSTITUTE(SUBSTITUTE(SUBSTITUTE(SUBSTITUTE(SUBSTITUTE(SUBSTITUTE(SUBSTITUTE(SUBSTITUTE(SUBSTITUTE(SUBSTITUTE(SUBSTITUTE(SUBSTITUTE(UPPER(TRIM($DX619)),"0",""),"1",""),"2",""),"3",""),"4",""),"5",""),"6",""),"7",""),"8",""),"9",""),".",""),"+",""),"-",""),"E","")="",LEN(SUBSTITUTE(SUBSTITUTE(MID(UPPER(TRIM($DX619)),1+OR(LEFT(UPPER(TRIM($DX619)),1)="+",LEFT(UPPER(TRIM($DX619)),1)="-"),999),"E+","E"),"E-","E"))=LEN(SUBSTITUTE(SUBSTITUTE(SUBSTITUTE(SUBSTITUTE(MID(UPPER(TRIM($DX619)),1+OR(LEFT(UPPER(TRIM($DX619)),1)="+",LEFT(UPPER(TRIM($DX619)),1)="-"),999),"E+","E"),"E-","E"),"+",""),"-","")),LEN(UPPER(TRIM($DX619)))-LEN(SUBSTITUTE(UPPER(TRIM($DX619)),"E",""))&lt;2,LEN(UPPER(TRIM($DX619)))-LEN(SUBSTITUTE(UPPER(TRIM($DX619)),".",""))&lt;2,IFERROR(FIND(".",UPPER(TRIM($DX619))),0)&lt;IFERROR(FIND("E",UPPER(TRIM($DX619))),999)),ISNUMBER(VALUE(TRIM($DX619)))),VALUE(TRIM($DX619)),"")))),""))</f>
        <v/>
      </c>
      <c r="DZ619">
        <f>IF($DM619=0,"",IF($L$17=0,"",IFERROR(IF(ISNUMBER(INDEX(PASTE_ALL,$DF619,$L$17)),INDEX(PASTE_ALL,$DF619,$L$17),SUBSTITUTE(SUBSTITUTE(TRIM(SUBSTITUTE(SUBSTITUTE(SUBSTITUTE(SUBSTITUTE(INDEX(PASTE_ALL,$DF619,$L$17)," "," "),CHAR(9)," "),CHAR(10)," "),CHAR(13)," ")),",",""),"%","")),"")))</f>
        <v/>
      </c>
      <c r="EA619">
        <f>IF($DM619=0,"",IFERROR(IF(ISNUMBER($DZ619),$DZ619,IF($DZ619="","",IF(TRIM($DZ619)="",0,IF(AND(AND(SUBSTITUTE(SUBSTITUTE(SUBSTITUTE(SUBSTITUTE(SUBSTITUTE(SUBSTITUTE(SUBSTITUTE(SUBSTITUTE(SUBSTITUTE(SUBSTITUTE(SUBSTITUTE(SUBSTITUTE(SUBSTITUTE(SUBSTITUTE(UPPER(TRIM($DZ619)),"0",""),"1",""),"2",""),"3",""),"4",""),"5",""),"6",""),"7",""),"8",""),"9",""),".",""),"+",""),"-",""),"E","")="",LEN(SUBSTITUTE(SUBSTITUTE(MID(UPPER(TRIM($DZ619)),1+OR(LEFT(UPPER(TRIM($DZ619)),1)="+",LEFT(UPPER(TRIM($DZ619)),1)="-"),999),"E+","E"),"E-","E"))=LEN(SUBSTITUTE(SUBSTITUTE(SUBSTITUTE(SUBSTITUTE(MID(UPPER(TRIM($DZ619)),1+OR(LEFT(UPPER(TRIM($DZ619)),1)="+",LEFT(UPPER(TRIM($DZ619)),1)="-"),999),"E+","E"),"E-","E"),"+",""),"-","")),LEN(UPPER(TRIM($DZ619)))-LEN(SUBSTITUTE(UPPER(TRIM($DZ619)),"E",""))&lt;2,LEN(UPPER(TRIM($DZ619)))-LEN(SUBSTITUTE(UPPER(TRIM($DZ619)),".",""))&lt;2,IFERROR(FIND(".",UPPER(TRIM($DZ619))),0)&lt;IFERROR(FIND("E",UPPER(TRIM($DZ619))),999)),ISNUMBER(VALUE(TRIM($DZ619)))),VALUE(TRIM($DZ619)),"")))),""))</f>
        <v/>
      </c>
      <c r="EB619">
        <f>IF($DM619=0,"",IF($L$18=0,"",IFERROR(IF(UPPER(TRIM(SUBSTITUTE(SUBSTITUTE(SUBSTITUTE(SUBSTITUTE(INDEX(PASTE_ALL,$DF619,$L$18)," "," "),CHAR(9)," "),CHAR(10)," "),CHAR(13)," ")))="READY","Ready",IF(UPPER(TRIM(SUBSTITUTE(SUBSTITUTE(SUBSTITUTE(SUBSTITUTE(INDEX(PASTE_ALL,$DF619,$L$18)," "," "),CHAR(9)," "),CHAR(10)," "),CHAR(13)," ")))="PM","PM",IF(OR(UPPER(TRIM(SUBSTITUTE(SUBSTITUTE(SUBSTITUTE(SUBSTITUTE(INDEX(PASTE_ALL,$DF619,$L$18)," "," "),CHAR(9)," "),CHAR(10)," "),CHAR(13)," ")))="OT",UPPER(TRIM(SUBSTITUTE(SUBSTITUTE(SUBSTITUTE(SUBSTITUTE(INDEX(PASTE_ALL,$DF619,$L$18)," "," "),CHAR(9)," "),CHAR(10)," "),CHAR(13)," ")))="OVERTIME",UPPER(TRIM(SUBSTITUTE(SUBSTITUTE(SUBSTITUTE(SUBSTITUTE(INDEX(PASTE_ALL,$DF619,$L$18)," "," "),CHAR(9)," "),CHAR(10)," "),CHAR(13)," ")))="TRIAL"),"OT",TRIM(SUBSTITUTE(SUBSTITUTE(SUBSTITUTE(SUBSTITUTE(INDEX(PASTE_ALL,$DF619,$L$18)," "," "),CHAR(9)," "),CHAR(10)," "),CHAR(13)," "))))),"")))</f>
        <v/>
      </c>
      <c r="EC619">
        <f>IF($DM619=0,"",IF($L$19=0,"",IFERROR(IF(ISNUMBER(INDEX(PASTE_ALL,$DF619,$L$19)),INDEX(PASTE_ALL,$DF619,$L$19),TRIM(SUBSTITUTE(SUBSTITUTE(SUBSTITUTE(SUBSTITUTE(INDEX(PASTE_ALL,$DF619,$L$19)," "," "),CHAR(9)," "),CHAR(10)," "),CHAR(13)," "))),"")))</f>
        <v/>
      </c>
      <c r="ED619">
        <f>IF($DM619=0,"",MATCH(1,INDEX(EXACT($DH$5:DH619,$DH619)*$DM$5:DM619,0),0))</f>
        <v/>
      </c>
      <c r="EE619">
        <f>IF($DM619=0,0,IF($ED619=$DE619,1,0))</f>
        <v/>
      </c>
      <c r="EF619">
        <f>EF618+$EE619</f>
        <v/>
      </c>
      <c r="EG619">
        <f>IF($DM619=0,"",INDEX($EF$5:$EF$1003,$ED619))</f>
        <v/>
      </c>
      <c r="EH619">
        <f>IF($DM619=0,"",IF($DO619&lt;&gt;"","",IFERROR(LOOKUP(2,1/(($EG$4:EG618=$EG619)*($DO$4:DO618&lt;&gt;"")),$DO$4:DO618),"")))</f>
        <v/>
      </c>
      <c r="EI619">
        <f>IF($DM619=0,"",IF($DO619&lt;&gt;"",$DO619,$EH619))</f>
        <v/>
      </c>
      <c r="EJ619">
        <f>IF($DM619=0,"",IF($EI619="",0,IF(OR(ISNUMBER($EI619),AND(AND(SUBSTITUTE(SUBSTITUTE(SUBSTITUTE(SUBSTITUTE(SUBSTITUTE(SUBSTITUTE(SUBSTITUTE(SUBSTITUTE(SUBSTITUTE(SUBSTITUTE(SUBSTITUTE(SUBSTITUTE(SUBSTITUTE(SUBSTITUTE(UPPER($EI619),"0",""),"1",""),"2",""),"3",""),"4",""),"5",""),"6",""),"7",""),"8",""),"9",""),".",""),"+",""),"-",""),"E","")="",LEN(SUBSTITUTE(SUBSTITUTE(MID(UPPER($EI619),1+OR(LEFT(UPPER($EI619),1)="+",LEFT(UPPER($EI619),1)="-"),999),"E+","E"),"E-","E"))=LEN(SUBSTITUTE(SUBSTITUTE(SUBSTITUTE(SUBSTITUTE(MID(UPPER($EI619),1+OR(LEFT(UPPER($EI619),1)="+",LEFT(UPPER($EI619),1)="-"),999),"E+","E"),"E-","E"),"+",""),"-","")),LEN(UPPER($EI619))-LEN(SUBSTITUTE(UPPER($EI619),"E",""))&lt;2,LEN(UPPER($EI619))-LEN(SUBSTITUTE(UPPER($EI619),".",""))&lt;2,IFERROR(FIND(".",UPPER($EI619)),0)&lt;IFERROR(FIND("E",UPPER($EI619)),999)),ISNUMBER(VALUE($EI619)))),1,2)))</f>
        <v/>
      </c>
      <c r="EK619">
        <f>IF($DM619=0,"",IF($EJ619=1,IF(ISNUMBER($EI619),$EI619,VALUE($EI619)),IF($EJ619=2,$DE619,0)))</f>
        <v/>
      </c>
      <c r="EL619">
        <f>IF($DM619=0,"",COUNTIF($EG$5:$EG$1003,"&lt;"&amp;$EG619)+SUMPRODUCT(($EG$5:$EG$1003=$EG619)*(($EJ$5:$EJ$1003&lt;$EJ619)+($EJ$5:$EJ$1003=$EJ619)*(($EK$5:$EK$1003&lt;$EK619)+($EK$5:$EK$1003=$EK619)*($DE$5:$DE$1003&lt;$DE619))))+1)</f>
        <v/>
      </c>
      <c r="EM619">
        <f>IF($DM619=0,"",$EL619+$EG619-1)</f>
        <v/>
      </c>
      <c r="EN619">
        <f>IF($DM619=0,0,IFERROR(MATCH(1,INDEX(--(TRIM(SUBSTITUTE(SUBSTITUTE(SUBSTITUTE(SUBSTITUTE(LINES_NAME&amp;""," "," "),CHAR(9)," "),CHAR(10)," "),CHAR(13)," "))=$DH619),0),0),0))</f>
        <v/>
      </c>
      <c r="EO619">
        <f>IF($EN619=0,0,IF(OR(UPPER(TRIM(INDEX(LINES_SCHEDULED,$EN619)&amp;""))="YES",UPPER(TRIM(INDEX(LINES_SCHEDULED,$EN619)&amp;""))="Y",UPPER(TRIM(INDEX(LINES_SCHEDULED,$EN619)&amp;""))="X"),1,0))</f>
        <v/>
      </c>
      <c r="EP619">
        <f>IF($DM619=0,"",IF(COUNTIFS($EG$5:$EG$1003,$EG619,$EB$5:$EB$1003,"Ready")&gt;0,"READY",IF(COUNTIFS($EG$5:$EG$1003,$EG619,$EB$5:$EB$1003,"PM")&gt;0,"PM",IF(COUNTIFS($EG$5:$EG$1003,$EG619,$EB$5:$EB$1003,"OT")&gt;0,"OT",""))))</f>
        <v/>
      </c>
      <c r="EQ619">
        <f>IF($EN619=0,"",UPPER(TRIM(INDEX(LINES_STATUS,$EN619)&amp;"")))</f>
        <v/>
      </c>
      <c r="ER619">
        <f>IF($DM619=0,"",IF(OR($EQ619="READY",$EQ619="PM",$EQ619="OT"),$EQ619,$EP619))</f>
        <v/>
      </c>
      <c r="ES619">
        <f>IF($DM619=0,"",IF(AND($DV619&lt;&gt;"",UPPER($DV619)&lt;&gt;"N"),"allergen",IF(ISNUMBER(SEARCH("oil",$DQ619)),"oil",IF(OR(EXACT($DS619,"A662"),EXACT($DS619,"A624")),"bulk",""))))</f>
        <v/>
      </c>
      <c r="ET619">
        <f>IF($DM619=0,"",IF(OR($EA619="",$EA619=0),"",$EA619/100))</f>
        <v/>
      </c>
      <c r="EU619">
        <f>IF(OR($ET619="",$DY619=""),"",INT($DY619*(1-$ET619)+0.5))</f>
        <v/>
      </c>
      <c r="EW619" t="n">
        <v>615</v>
      </c>
      <c r="EX619">
        <f>IFERROR(MATCH($EW619,$EM$5:$EM$1003,0),0)</f>
        <v/>
      </c>
      <c r="EY619">
        <f>IF($EW619&gt;$B$12,"",IF($EX619&gt;0,"row","spacer"))</f>
        <v/>
      </c>
      <c r="EZ619">
        <f>IF(AND($EY619="row",$EY618&lt;&gt;"row"),1,0)</f>
        <v/>
      </c>
      <c r="FA619">
        <f>IF(AND($EY619="row",$EY620&lt;&gt;"row"),1,0)</f>
        <v/>
      </c>
      <c r="FB619">
        <f>IF($EZ619=1,IFERROR(IF(ISNUMBER(INDEX(PASTE_ALL,INDEX($DF$5:$DF$1003,$EX619),$B$37)),INDEX(PASTE_ALL,INDEX($DF$5:$DF$1003,$EX619),$B$37),INDEX($DH$5:$DH$1003,$EX619)),INDEX($DH$5:$DH$1003,$EX619)),"")</f>
        <v/>
      </c>
      <c r="FC619">
        <f>IF($EY619="row",INDEX($ER$5:$ER$1003,$EX619),"")</f>
        <v/>
      </c>
      <c r="FD619">
        <f>IF($EY619="row",INDEX($DN$5:$DN$1003,$EX619),"")</f>
        <v/>
      </c>
      <c r="FE619">
        <f>IF($EY619="row",INDEX($DO$5:$DO$1003,$EX619),"")</f>
        <v/>
      </c>
      <c r="FF619">
        <f>IF($EY619="row",INDEX($DP$5:$DP$1003,$EX619),"")</f>
        <v/>
      </c>
      <c r="FG619">
        <f>IF($EY619="row",INDEX($DQ$5:$DQ$1003,$EX619),"")</f>
        <v/>
      </c>
      <c r="FH619">
        <f>IF($EY619="row",INDEX($DR$5:$DR$1003,$EX619),"")</f>
        <v/>
      </c>
      <c r="FI619">
        <f>IF($EY619="row",INDEX($DS$5:$DS$1003,$EX619),"")</f>
        <v/>
      </c>
      <c r="FJ619">
        <f>IF($EY619="row",INDEX($DT$5:$DT$1003,$EX619),"")</f>
        <v/>
      </c>
      <c r="FK619">
        <f>IF($EY619="row",INDEX($DU$5:$DU$1003,$EX619),"")</f>
        <v/>
      </c>
      <c r="FL619">
        <f>IF($EY619="row",INDEX($DV$5:$DV$1003,$EX619),"")</f>
        <v/>
      </c>
      <c r="FM619">
        <f>IF($EY619="row",INDEX($DW$5:$DW$1003,$EX619),"")</f>
        <v/>
      </c>
      <c r="FN619">
        <f>IF($EY619="row",INDEX($DY$5:$DY$1003,$EX619),"")</f>
        <v/>
      </c>
      <c r="FO619">
        <f>IF($EY619="row",INDEX($EA$5:$EA$1003,$EX619),"")</f>
        <v/>
      </c>
      <c r="FP619">
        <f>IF($EY619="row",INDEX($EC$5:$EC$1003,$EX619),"")</f>
        <v/>
      </c>
      <c r="FQ619">
        <f>IF($EY619="row",INDEX($ET$5:$ET$1003,$EX619),"")</f>
        <v/>
      </c>
      <c r="FR619">
        <f>IF($EY619="row",INDEX($EU$5:$EU$1003,$EX619),"")</f>
        <v/>
      </c>
      <c r="FS619">
        <f>IF(AND($EY619="row",$EY618="row"),IF(OR(INDEX($DT$5:$DT$1003,$EX618)="",INDEX($DT$5:$DT$1003,$EX619)=""),"",IF(NOT(EXACT(INDEX($DT$5:$DT$1003,$EX618),INDEX($DT$5:$DT$1003,$EX619))),"S4",IF(NOT(EXACT(INDEX($DS$5:$DS$1003,$EX618),INDEX($DS$5:$DS$1003,$EX619))),"S3",IF(NOT(EXACT(INDEX($DR$5:$DR$1003,$EX618),INDEX($DR$5:$DR$1003,$EX619))),"S1 Count Change","S1")))),"")</f>
        <v/>
      </c>
      <c r="FT619">
        <f>IF($EY619="row",INDEX($ES$5:$ES$1003,$EX619),"")</f>
        <v/>
      </c>
      <c r="FU619">
        <f>IF($EY619="row",INDEX($EO$5:$EO$1003,$EX619),0)</f>
        <v/>
      </c>
      <c r="FV619">
        <f>IF($FS619="S1 Count Change",1,0)</f>
        <v/>
      </c>
    </row>
    <row r="620">
      <c r="DA620" t="n">
        <v>616</v>
      </c>
      <c r="DB620">
        <f>IF($B$37=0,"",IFERROR(TRIM(SUBSTITUTE(SUBSTITUTE(SUBSTITUTE(SUBSTITUTE(INDEX(PASTE_ALL,616,$B$37)," "," "),CHAR(9)," "),CHAR(10)," "),CHAR(13)," ")),""))</f>
        <v/>
      </c>
      <c r="DC620">
        <f>IF(AND(616&gt;HEADER_ROW,UPPER(DB620)="LEGEND"),1,0)</f>
        <v/>
      </c>
      <c r="DE620" t="n">
        <v>616</v>
      </c>
      <c r="DF620">
        <f>HEADER_ROW+$DE620</f>
        <v/>
      </c>
      <c r="DG620">
        <f>IF(AND($DF620&lt;=1000,$DF620&lt;$B$8),1,0)</f>
        <v/>
      </c>
      <c r="DH620">
        <f>IF($DG620=1,IFERROR(INDEX($DB$5:$DB$1004,$DF620),""),"")</f>
        <v/>
      </c>
      <c r="DI620">
        <f>IF(AND($DG620=1,$DH620&lt;&gt;""),IFERROR(SUBSTITUTE(SUBSTITUTE(TRIM(SUBSTITUTE(SUBSTITUTE(SUBSTITUTE(SUBSTITUTE(IFERROR(INDEX(PASTE_ALL,$DF620,1)&amp;"","")&amp;"␟"&amp;IFERROR(INDEX(PASTE_ALL,$DF620,2)&amp;"","")&amp;"␟"&amp;IFERROR(INDEX(PASTE_ALL,$DF620,3)&amp;"","")&amp;"␟"&amp;IFERROR(INDEX(PASTE_ALL,$DF620,4)&amp;"","")&amp;"␟"&amp;IFERROR(INDEX(PASTE_ALL,$DF620,5)&amp;"","")&amp;"␟"&amp;IFERROR(INDEX(PASTE_ALL,$DF620,6)&amp;"","")&amp;"␟"&amp;IFERROR(INDEX(PASTE_ALL,$DF620,7)&amp;"","")&amp;"␟"&amp;IFERROR(INDEX(PASTE_ALL,$DF620,8)&amp;"","")&amp;"␟"&amp;IFERROR(INDEX(PASTE_ALL,$DF620,9)&amp;"","")&amp;"␟"&amp;IFERROR(INDEX(PASTE_ALL,$DF620,10)&amp;"","")&amp;"␟"&amp;IFERROR(INDEX(PASTE_ALL,$DF620,11)&amp;"","")&amp;"␟"&amp;IFERROR(INDEX(PASTE_ALL,$DF620,12)&amp;"","")&amp;"␟"&amp;IFERROR(INDEX(PASTE_ALL,$DF620,13)&amp;"","")&amp;"␟"&amp;IFERROR(INDEX(PASTE_ALL,$DF620,14)&amp;"","")&amp;"␟"&amp;IFERROR(INDEX(PASTE_ALL,$DF620,15)&amp;"","")&amp;"␟"&amp;IFERROR(INDEX(PASTE_ALL,$DF620,16)&amp;"","")&amp;"␟"&amp;IFERROR(INDEX(PASTE_ALL,$DF620,17)&amp;"","")&amp;"␟"&amp;IFERROR(INDEX(PASTE_ALL,$DF620,18)&amp;"","")&amp;"␟"&amp;IFERROR(INDEX(PASTE_ALL,$DF620,19)&amp;"","")&amp;"␟"&amp;IFERROR(INDEX(PASTE_ALL,$DF620,20)&amp;"","")&amp;"␟"&amp;IFERROR(INDEX(PASTE_ALL,$DF620,21)&amp;"","")&amp;"␟"&amp;IFERROR(INDEX(PASTE_ALL,$DF620,22)&amp;"","")&amp;"␟"&amp;IFERROR(INDEX(PASTE_ALL,$DF620,23)&amp;"","")&amp;"␟"&amp;IFERROR(INDEX(PASTE_ALL,$DF620,24)&amp;"","")&amp;"␟"&amp;IFERROR(INDEX(PASTE_ALL,$DF620,25)&amp;"","")&amp;"␟"&amp;IFERROR(INDEX(PASTE_ALL,$DF620,26)&amp;"","")&amp;"␟"&amp;IFERROR(INDEX(PASTE_ALL,$DF620,27)&amp;"","")&amp;"␟"&amp;IFERROR(INDEX(PASTE_ALL,$DF620,28)&amp;"","")&amp;"␟"&amp;IFERROR(INDEX(PASTE_ALL,$DF620,29)&amp;"","")&amp;"␟"&amp;IFERROR(INDEX(PASTE_ALL,$DF620,30)&amp;"","")&amp;"␟"&amp;IFERROR(INDEX(PASTE_ALL,$DF620,31)&amp;"","")&amp;"␟"&amp;IFERROR(INDEX(PASTE_ALL,$DF620,32)&amp;"","")&amp;"␟"&amp;IFERROR(INDEX(PASTE_ALL,$DF620,33)&amp;"","")&amp;"␟"&amp;IFERROR(INDEX(PASTE_ALL,$DF620,34)&amp;"","")&amp;"␟"&amp;IFERROR(INDEX(PASTE_ALL,$DF620,35)&amp;"","")&amp;"␟"&amp;IFERROR(INDEX(PASTE_ALL,$DF620,36)&amp;"","")&amp;"␟"&amp;IFERROR(INDEX(PASTE_ALL,$DF620,37)&amp;"","")&amp;"␟"&amp;IFERROR(INDEX(PASTE_ALL,$DF620,38)&amp;"","")&amp;"␟"&amp;IFERROR(INDEX(PASTE_ALL,$DF620,39)&amp;"","")&amp;"␟"&amp;IFERROR(INDEX(PASTE_ALL,$DF620,40)&amp;"","")&amp;"␟"&amp;IFERROR(INDEX(PASTE_ALL,$DF620,41)&amp;"","")&amp;"␟"&amp;IFERROR(INDEX(PASTE_ALL,$DF620,42)&amp;"","")&amp;"␟"&amp;IFERROR(INDEX(PASTE_ALL,$DF620,43)&amp;"","")&amp;"␟"&amp;IFERROR(INDEX(PASTE_ALL,$DF620,44)&amp;"","")&amp;"␟"&amp;IFERROR(INDEX(PASTE_ALL,$DF620,45)&amp;"","")&amp;"␟"&amp;IFERROR(INDEX(PASTE_ALL,$DF620,46)&amp;"","")&amp;"␟"&amp;IFERROR(INDEX(PASTE_ALL,$DF620,47)&amp;"","")&amp;"␟"&amp;IFERROR(INDEX(PASTE_ALL,$DF620,48)&amp;"","")&amp;"␟"&amp;IFERROR(INDEX(PASTE_ALL,$DF620,49)&amp;"","")&amp;"␟"&amp;IFERROR(INDEX(PASTE_ALL,$DF620,50)&amp;"","")&amp;"␟"&amp;IFERROR(INDEX(PASTE_ALL,$DF620,51)&amp;"","")&amp;"␟"&amp;IFERROR(INDEX(PASTE_ALL,$DF620,52)&amp;"","")&amp;"␟"&amp;IFERROR(INDEX(PASTE_ALL,$DF620,53)&amp;"","")&amp;"␟"&amp;IFERROR(INDEX(PASTE_ALL,$DF620,54)&amp;"","")&amp;"␟"&amp;IFERROR(INDEX(PASTE_ALL,$DF620,55)&amp;"","")&amp;"␟"&amp;IFERROR(INDEX(PASTE_ALL,$DF620,56)&amp;"","")&amp;"␟"&amp;IFERROR(INDEX(PASTE_ALL,$DF620,57)&amp;"","")&amp;"␟"&amp;IFERROR(INDEX(PASTE_ALL,$DF620,58)&amp;"","")&amp;"␟"&amp;IFERROR(INDEX(PASTE_ALL,$DF620,59)&amp;"","")&amp;"␟"&amp;IFERROR(INDEX(PASTE_ALL,$DF620,60)&amp;"","")," "," "),CHAR(9)," "),CHAR(10)," "),CHAR(13)," "))," ␟","␟"),"␟ ","␟"),"#"&amp;$DE620),"")</f>
        <v/>
      </c>
      <c r="DJ620">
        <f>IF($DI620="",0,IF(SUMPRODUCT(--EXACT($DI$4:DI619,$DI620))&gt;0,1,0))</f>
        <v/>
      </c>
      <c r="DK620">
        <f>IF(AND($DI620&lt;&gt;"",$DJ620=0),1,0)</f>
        <v/>
      </c>
      <c r="DL620">
        <f>DL619+$DK620</f>
        <v/>
      </c>
      <c r="DM620">
        <f>IF(AND($DK620=1,$DL620&lt;=600),1,0)</f>
        <v/>
      </c>
      <c r="DN620">
        <f>IF($DM620=0,"",IF($L$6=0,"",IFERROR(IF(ISNUMBER(INDEX(PASTE_ALL,$DF620,$L$6)),INDEX(PASTE_ALL,$DF620,$L$6),TRIM(SUBSTITUTE(SUBSTITUTE(SUBSTITUTE(SUBSTITUTE(INDEX(PASTE_ALL,$DF620,$L$6)," "," "),CHAR(9)," "),CHAR(10)," "),CHAR(13)," "))),"")))</f>
        <v/>
      </c>
      <c r="DO620">
        <f>IF($DM620=0,"",IF($L$7=0,"",IFERROR(IF(ISNUMBER(INDEX(PASTE_ALL,$DF620,$L$7)),INDEX(PASTE_ALL,$DF620,$L$7),TRIM(SUBSTITUTE(SUBSTITUTE(SUBSTITUTE(SUBSTITUTE(INDEX(PASTE_ALL,$DF620,$L$7)," "," "),CHAR(9)," "),CHAR(10)," "),CHAR(13)," "))),"")))</f>
        <v/>
      </c>
      <c r="DP620">
        <f>IF($DM620=0,"",IF($L$8=0,"",IFERROR(IF(ISNUMBER(INDEX(PASTE_ALL,$DF620,$L$8)),INDEX(PASTE_ALL,$DF620,$L$8),TRIM(SUBSTITUTE(SUBSTITUTE(SUBSTITUTE(SUBSTITUTE(INDEX(PASTE_ALL,$DF620,$L$8)," "," "),CHAR(9)," "),CHAR(10)," "),CHAR(13)," "))),"")))</f>
        <v/>
      </c>
      <c r="DQ620">
        <f>IF($DM620=0,"",IF($L$9=0,"",IFERROR(IF(ISNUMBER(INDEX(PASTE_ALL,$DF620,$L$9)),INDEX(PASTE_ALL,$DF620,$L$9),TRIM(SUBSTITUTE(SUBSTITUTE(SUBSTITUTE(SUBSTITUTE(INDEX(PASTE_ALL,$DF620,$L$9)," "," "),CHAR(9)," "),CHAR(10)," "),CHAR(13)," "))),"")))</f>
        <v/>
      </c>
      <c r="DR620">
        <f>IF($DM620=0,"",IF($L$10=0,"",IFERROR(IF(ISNUMBER(INDEX(PASTE_ALL,$DF620,$L$10)),INDEX(PASTE_ALL,$DF620,$L$10),TRIM(SUBSTITUTE(SUBSTITUTE(SUBSTITUTE(SUBSTITUTE(INDEX(PASTE_ALL,$DF620,$L$10)," "," "),CHAR(9)," "),CHAR(10)," "),CHAR(13)," "))),"")))</f>
        <v/>
      </c>
      <c r="DS620">
        <f>IF($DM620=0,"",IF($L$11=0,"",IFERROR(IF(ISNUMBER(INDEX(PASTE_ALL,$DF620,$L$11)),INDEX(PASTE_ALL,$DF620,$L$11),TRIM(SUBSTITUTE(SUBSTITUTE(SUBSTITUTE(SUBSTITUTE(INDEX(PASTE_ALL,$DF620,$L$11)," "," "),CHAR(9)," "),CHAR(10)," "),CHAR(13)," "))),"")))</f>
        <v/>
      </c>
      <c r="DT620">
        <f>IF($DM620=0,"",IF($L$12=0,"",IFERROR(IF(ISNUMBER(INDEX(PASTE_ALL,$DF620,$L$12)),INDEX(PASTE_ALL,$DF620,$L$12),TRIM(SUBSTITUTE(SUBSTITUTE(SUBSTITUTE(SUBSTITUTE(INDEX(PASTE_ALL,$DF620,$L$12)," "," "),CHAR(9)," "),CHAR(10)," "),CHAR(13)," "))),"")))</f>
        <v/>
      </c>
      <c r="DU620">
        <f>IF($DM620=0,"",IF($L$13=0,"",IFERROR(IF(ISNUMBER(INDEX(PASTE_ALL,$DF620,$L$13)),INDEX(PASTE_ALL,$DF620,$L$13),TRIM(SUBSTITUTE(SUBSTITUTE(SUBSTITUTE(SUBSTITUTE(INDEX(PASTE_ALL,$DF620,$L$13)," "," "),CHAR(9)," "),CHAR(10)," "),CHAR(13)," "))),"")))</f>
        <v/>
      </c>
      <c r="DV620">
        <f>IF($DM620=0,"",IF($L$14=0,"",IFERROR(IF(ISNUMBER(INDEX(PASTE_ALL,$DF620,$L$14)),INDEX(PASTE_ALL,$DF620,$L$14),TRIM(SUBSTITUTE(SUBSTITUTE(SUBSTITUTE(SUBSTITUTE(INDEX(PASTE_ALL,$DF620,$L$14)," "," "),CHAR(9)," "),CHAR(10)," "),CHAR(13)," "))),"")))</f>
        <v/>
      </c>
      <c r="DW620">
        <f>IF($DM620=0,"",IF($L$15=0,"",IFERROR(IF(ISNUMBER(INDEX(PASTE_ALL,$DF620,$L$15)),INDEX(PASTE_ALL,$DF620,$L$15),IF(SUMPRODUCT(--ISNUMBER(FIND({"A","B","C","D","E","F","G","H","I","J","K","L","M","N","O","P","Q","R","S","T","U","V","W","X","Y","Z","0","1","2","3","4","5","6","7","8","9"},UPPER(TRIM(SUBSTITUTE(SUBSTITUTE(SUBSTITUTE(SUBSTITUTE(INDEX(PASTE_ALL,$DF620,$L$15)," "," "),CHAR(9)," "),CHAR(10)," "),CHAR(13)," "))))))&gt;0,TRIM(SUBSTITUTE(SUBSTITUTE(SUBSTITUTE(SUBSTITUTE(INDEX(PASTE_ALL,$DF620,$L$15)," "," "),CHAR(9)," "),CHAR(10)," "),CHAR(13)," ")),"")),"")))</f>
        <v/>
      </c>
      <c r="DX620">
        <f>IF($DM620=0,"",IF($L$16=0,"",IFERROR(IF(ISNUMBER(INDEX(PASTE_ALL,$DF620,$L$16)),INDEX(PASTE_ALL,$DF620,$L$16),SUBSTITUTE(SUBSTITUTE(TRIM(SUBSTITUTE(SUBSTITUTE(SUBSTITUTE(SUBSTITUTE(INDEX(PASTE_ALL,$DF620,$L$16)," "," "),CHAR(9)," "),CHAR(10)," "),CHAR(13)," ")),",",""),"%","")),"")))</f>
        <v/>
      </c>
      <c r="DY620">
        <f>IF($DM620=0,"",IFERROR(IF(ISNUMBER($DX620),$DX620,IF($DX620="","",IF(TRIM($DX620)="",0,IF(AND(AND(SUBSTITUTE(SUBSTITUTE(SUBSTITUTE(SUBSTITUTE(SUBSTITUTE(SUBSTITUTE(SUBSTITUTE(SUBSTITUTE(SUBSTITUTE(SUBSTITUTE(SUBSTITUTE(SUBSTITUTE(SUBSTITUTE(SUBSTITUTE(UPPER(TRIM($DX620)),"0",""),"1",""),"2",""),"3",""),"4",""),"5",""),"6",""),"7",""),"8",""),"9",""),".",""),"+",""),"-",""),"E","")="",LEN(SUBSTITUTE(SUBSTITUTE(MID(UPPER(TRIM($DX620)),1+OR(LEFT(UPPER(TRIM($DX620)),1)="+",LEFT(UPPER(TRIM($DX620)),1)="-"),999),"E+","E"),"E-","E"))=LEN(SUBSTITUTE(SUBSTITUTE(SUBSTITUTE(SUBSTITUTE(MID(UPPER(TRIM($DX620)),1+OR(LEFT(UPPER(TRIM($DX620)),1)="+",LEFT(UPPER(TRIM($DX620)),1)="-"),999),"E+","E"),"E-","E"),"+",""),"-","")),LEN(UPPER(TRIM($DX620)))-LEN(SUBSTITUTE(UPPER(TRIM($DX620)),"E",""))&lt;2,LEN(UPPER(TRIM($DX620)))-LEN(SUBSTITUTE(UPPER(TRIM($DX620)),".",""))&lt;2,IFERROR(FIND(".",UPPER(TRIM($DX620))),0)&lt;IFERROR(FIND("E",UPPER(TRIM($DX620))),999)),ISNUMBER(VALUE(TRIM($DX620)))),VALUE(TRIM($DX620)),"")))),""))</f>
        <v/>
      </c>
      <c r="DZ620">
        <f>IF($DM620=0,"",IF($L$17=0,"",IFERROR(IF(ISNUMBER(INDEX(PASTE_ALL,$DF620,$L$17)),INDEX(PASTE_ALL,$DF620,$L$17),SUBSTITUTE(SUBSTITUTE(TRIM(SUBSTITUTE(SUBSTITUTE(SUBSTITUTE(SUBSTITUTE(INDEX(PASTE_ALL,$DF620,$L$17)," "," "),CHAR(9)," "),CHAR(10)," "),CHAR(13)," ")),",",""),"%","")),"")))</f>
        <v/>
      </c>
      <c r="EA620">
        <f>IF($DM620=0,"",IFERROR(IF(ISNUMBER($DZ620),$DZ620,IF($DZ620="","",IF(TRIM($DZ620)="",0,IF(AND(AND(SUBSTITUTE(SUBSTITUTE(SUBSTITUTE(SUBSTITUTE(SUBSTITUTE(SUBSTITUTE(SUBSTITUTE(SUBSTITUTE(SUBSTITUTE(SUBSTITUTE(SUBSTITUTE(SUBSTITUTE(SUBSTITUTE(SUBSTITUTE(UPPER(TRIM($DZ620)),"0",""),"1",""),"2",""),"3",""),"4",""),"5",""),"6",""),"7",""),"8",""),"9",""),".",""),"+",""),"-",""),"E","")="",LEN(SUBSTITUTE(SUBSTITUTE(MID(UPPER(TRIM($DZ620)),1+OR(LEFT(UPPER(TRIM($DZ620)),1)="+",LEFT(UPPER(TRIM($DZ620)),1)="-"),999),"E+","E"),"E-","E"))=LEN(SUBSTITUTE(SUBSTITUTE(SUBSTITUTE(SUBSTITUTE(MID(UPPER(TRIM($DZ620)),1+OR(LEFT(UPPER(TRIM($DZ620)),1)="+",LEFT(UPPER(TRIM($DZ620)),1)="-"),999),"E+","E"),"E-","E"),"+",""),"-","")),LEN(UPPER(TRIM($DZ620)))-LEN(SUBSTITUTE(UPPER(TRIM($DZ620)),"E",""))&lt;2,LEN(UPPER(TRIM($DZ620)))-LEN(SUBSTITUTE(UPPER(TRIM($DZ620)),".",""))&lt;2,IFERROR(FIND(".",UPPER(TRIM($DZ620))),0)&lt;IFERROR(FIND("E",UPPER(TRIM($DZ620))),999)),ISNUMBER(VALUE(TRIM($DZ620)))),VALUE(TRIM($DZ620)),"")))),""))</f>
        <v/>
      </c>
      <c r="EB620">
        <f>IF($DM620=0,"",IF($L$18=0,"",IFERROR(IF(UPPER(TRIM(SUBSTITUTE(SUBSTITUTE(SUBSTITUTE(SUBSTITUTE(INDEX(PASTE_ALL,$DF620,$L$18)," "," "),CHAR(9)," "),CHAR(10)," "),CHAR(13)," ")))="READY","Ready",IF(UPPER(TRIM(SUBSTITUTE(SUBSTITUTE(SUBSTITUTE(SUBSTITUTE(INDEX(PASTE_ALL,$DF620,$L$18)," "," "),CHAR(9)," "),CHAR(10)," "),CHAR(13)," ")))="PM","PM",IF(OR(UPPER(TRIM(SUBSTITUTE(SUBSTITUTE(SUBSTITUTE(SUBSTITUTE(INDEX(PASTE_ALL,$DF620,$L$18)," "," "),CHAR(9)," "),CHAR(10)," "),CHAR(13)," ")))="OT",UPPER(TRIM(SUBSTITUTE(SUBSTITUTE(SUBSTITUTE(SUBSTITUTE(INDEX(PASTE_ALL,$DF620,$L$18)," "," "),CHAR(9)," "),CHAR(10)," "),CHAR(13)," ")))="OVERTIME",UPPER(TRIM(SUBSTITUTE(SUBSTITUTE(SUBSTITUTE(SUBSTITUTE(INDEX(PASTE_ALL,$DF620,$L$18)," "," "),CHAR(9)," "),CHAR(10)," "),CHAR(13)," ")))="TRIAL"),"OT",TRIM(SUBSTITUTE(SUBSTITUTE(SUBSTITUTE(SUBSTITUTE(INDEX(PASTE_ALL,$DF620,$L$18)," "," "),CHAR(9)," "),CHAR(10)," "),CHAR(13)," "))))),"")))</f>
        <v/>
      </c>
      <c r="EC620">
        <f>IF($DM620=0,"",IF($L$19=0,"",IFERROR(IF(ISNUMBER(INDEX(PASTE_ALL,$DF620,$L$19)),INDEX(PASTE_ALL,$DF620,$L$19),TRIM(SUBSTITUTE(SUBSTITUTE(SUBSTITUTE(SUBSTITUTE(INDEX(PASTE_ALL,$DF620,$L$19)," "," "),CHAR(9)," "),CHAR(10)," "),CHAR(13)," "))),"")))</f>
        <v/>
      </c>
      <c r="ED620">
        <f>IF($DM620=0,"",MATCH(1,INDEX(EXACT($DH$5:DH620,$DH620)*$DM$5:DM620,0),0))</f>
        <v/>
      </c>
      <c r="EE620">
        <f>IF($DM620=0,0,IF($ED620=$DE620,1,0))</f>
        <v/>
      </c>
      <c r="EF620">
        <f>EF619+$EE620</f>
        <v/>
      </c>
      <c r="EG620">
        <f>IF($DM620=0,"",INDEX($EF$5:$EF$1003,$ED620))</f>
        <v/>
      </c>
      <c r="EH620">
        <f>IF($DM620=0,"",IF($DO620&lt;&gt;"","",IFERROR(LOOKUP(2,1/(($EG$4:EG619=$EG620)*($DO$4:DO619&lt;&gt;"")),$DO$4:DO619),"")))</f>
        <v/>
      </c>
      <c r="EI620">
        <f>IF($DM620=0,"",IF($DO620&lt;&gt;"",$DO620,$EH620))</f>
        <v/>
      </c>
      <c r="EJ620">
        <f>IF($DM620=0,"",IF($EI620="",0,IF(OR(ISNUMBER($EI620),AND(AND(SUBSTITUTE(SUBSTITUTE(SUBSTITUTE(SUBSTITUTE(SUBSTITUTE(SUBSTITUTE(SUBSTITUTE(SUBSTITUTE(SUBSTITUTE(SUBSTITUTE(SUBSTITUTE(SUBSTITUTE(SUBSTITUTE(SUBSTITUTE(UPPER($EI620),"0",""),"1",""),"2",""),"3",""),"4",""),"5",""),"6",""),"7",""),"8",""),"9",""),".",""),"+",""),"-",""),"E","")="",LEN(SUBSTITUTE(SUBSTITUTE(MID(UPPER($EI620),1+OR(LEFT(UPPER($EI620),1)="+",LEFT(UPPER($EI620),1)="-"),999),"E+","E"),"E-","E"))=LEN(SUBSTITUTE(SUBSTITUTE(SUBSTITUTE(SUBSTITUTE(MID(UPPER($EI620),1+OR(LEFT(UPPER($EI620),1)="+",LEFT(UPPER($EI620),1)="-"),999),"E+","E"),"E-","E"),"+",""),"-","")),LEN(UPPER($EI620))-LEN(SUBSTITUTE(UPPER($EI620),"E",""))&lt;2,LEN(UPPER($EI620))-LEN(SUBSTITUTE(UPPER($EI620),".",""))&lt;2,IFERROR(FIND(".",UPPER($EI620)),0)&lt;IFERROR(FIND("E",UPPER($EI620)),999)),ISNUMBER(VALUE($EI620)))),1,2)))</f>
        <v/>
      </c>
      <c r="EK620">
        <f>IF($DM620=0,"",IF($EJ620=1,IF(ISNUMBER($EI620),$EI620,VALUE($EI620)),IF($EJ620=2,$DE620,0)))</f>
        <v/>
      </c>
      <c r="EL620">
        <f>IF($DM620=0,"",COUNTIF($EG$5:$EG$1003,"&lt;"&amp;$EG620)+SUMPRODUCT(($EG$5:$EG$1003=$EG620)*(($EJ$5:$EJ$1003&lt;$EJ620)+($EJ$5:$EJ$1003=$EJ620)*(($EK$5:$EK$1003&lt;$EK620)+($EK$5:$EK$1003=$EK620)*($DE$5:$DE$1003&lt;$DE620))))+1)</f>
        <v/>
      </c>
      <c r="EM620">
        <f>IF($DM620=0,"",$EL620+$EG620-1)</f>
        <v/>
      </c>
      <c r="EN620">
        <f>IF($DM620=0,0,IFERROR(MATCH(1,INDEX(--(TRIM(SUBSTITUTE(SUBSTITUTE(SUBSTITUTE(SUBSTITUTE(LINES_NAME&amp;""," "," "),CHAR(9)," "),CHAR(10)," "),CHAR(13)," "))=$DH620),0),0),0))</f>
        <v/>
      </c>
      <c r="EO620">
        <f>IF($EN620=0,0,IF(OR(UPPER(TRIM(INDEX(LINES_SCHEDULED,$EN620)&amp;""))="YES",UPPER(TRIM(INDEX(LINES_SCHEDULED,$EN620)&amp;""))="Y",UPPER(TRIM(INDEX(LINES_SCHEDULED,$EN620)&amp;""))="X"),1,0))</f>
        <v/>
      </c>
      <c r="EP620">
        <f>IF($DM620=0,"",IF(COUNTIFS($EG$5:$EG$1003,$EG620,$EB$5:$EB$1003,"Ready")&gt;0,"READY",IF(COUNTIFS($EG$5:$EG$1003,$EG620,$EB$5:$EB$1003,"PM")&gt;0,"PM",IF(COUNTIFS($EG$5:$EG$1003,$EG620,$EB$5:$EB$1003,"OT")&gt;0,"OT",""))))</f>
        <v/>
      </c>
      <c r="EQ620">
        <f>IF($EN620=0,"",UPPER(TRIM(INDEX(LINES_STATUS,$EN620)&amp;"")))</f>
        <v/>
      </c>
      <c r="ER620">
        <f>IF($DM620=0,"",IF(OR($EQ620="READY",$EQ620="PM",$EQ620="OT"),$EQ620,$EP620))</f>
        <v/>
      </c>
      <c r="ES620">
        <f>IF($DM620=0,"",IF(AND($DV620&lt;&gt;"",UPPER($DV620)&lt;&gt;"N"),"allergen",IF(ISNUMBER(SEARCH("oil",$DQ620)),"oil",IF(OR(EXACT($DS620,"A662"),EXACT($DS620,"A624")),"bulk",""))))</f>
        <v/>
      </c>
      <c r="ET620">
        <f>IF($DM620=0,"",IF(OR($EA620="",$EA620=0),"",$EA620/100))</f>
        <v/>
      </c>
      <c r="EU620">
        <f>IF(OR($ET620="",$DY620=""),"",INT($DY620*(1-$ET620)+0.5))</f>
        <v/>
      </c>
      <c r="EW620" t="n">
        <v>616</v>
      </c>
      <c r="EX620">
        <f>IFERROR(MATCH($EW620,$EM$5:$EM$1003,0),0)</f>
        <v/>
      </c>
      <c r="EY620">
        <f>IF($EW620&gt;$B$12,"",IF($EX620&gt;0,"row","spacer"))</f>
        <v/>
      </c>
      <c r="EZ620">
        <f>IF(AND($EY620="row",$EY619&lt;&gt;"row"),1,0)</f>
        <v/>
      </c>
      <c r="FA620">
        <f>IF(AND($EY620="row",$EY621&lt;&gt;"row"),1,0)</f>
        <v/>
      </c>
      <c r="FB620">
        <f>IF($EZ620=1,IFERROR(IF(ISNUMBER(INDEX(PASTE_ALL,INDEX($DF$5:$DF$1003,$EX620),$B$37)),INDEX(PASTE_ALL,INDEX($DF$5:$DF$1003,$EX620),$B$37),INDEX($DH$5:$DH$1003,$EX620)),INDEX($DH$5:$DH$1003,$EX620)),"")</f>
        <v/>
      </c>
      <c r="FC620">
        <f>IF($EY620="row",INDEX($ER$5:$ER$1003,$EX620),"")</f>
        <v/>
      </c>
      <c r="FD620">
        <f>IF($EY620="row",INDEX($DN$5:$DN$1003,$EX620),"")</f>
        <v/>
      </c>
      <c r="FE620">
        <f>IF($EY620="row",INDEX($DO$5:$DO$1003,$EX620),"")</f>
        <v/>
      </c>
      <c r="FF620">
        <f>IF($EY620="row",INDEX($DP$5:$DP$1003,$EX620),"")</f>
        <v/>
      </c>
      <c r="FG620">
        <f>IF($EY620="row",INDEX($DQ$5:$DQ$1003,$EX620),"")</f>
        <v/>
      </c>
      <c r="FH620">
        <f>IF($EY620="row",INDEX($DR$5:$DR$1003,$EX620),"")</f>
        <v/>
      </c>
      <c r="FI620">
        <f>IF($EY620="row",INDEX($DS$5:$DS$1003,$EX620),"")</f>
        <v/>
      </c>
      <c r="FJ620">
        <f>IF($EY620="row",INDEX($DT$5:$DT$1003,$EX620),"")</f>
        <v/>
      </c>
      <c r="FK620">
        <f>IF($EY620="row",INDEX($DU$5:$DU$1003,$EX620),"")</f>
        <v/>
      </c>
      <c r="FL620">
        <f>IF($EY620="row",INDEX($DV$5:$DV$1003,$EX620),"")</f>
        <v/>
      </c>
      <c r="FM620">
        <f>IF($EY620="row",INDEX($DW$5:$DW$1003,$EX620),"")</f>
        <v/>
      </c>
      <c r="FN620">
        <f>IF($EY620="row",INDEX($DY$5:$DY$1003,$EX620),"")</f>
        <v/>
      </c>
      <c r="FO620">
        <f>IF($EY620="row",INDEX($EA$5:$EA$1003,$EX620),"")</f>
        <v/>
      </c>
      <c r="FP620">
        <f>IF($EY620="row",INDEX($EC$5:$EC$1003,$EX620),"")</f>
        <v/>
      </c>
      <c r="FQ620">
        <f>IF($EY620="row",INDEX($ET$5:$ET$1003,$EX620),"")</f>
        <v/>
      </c>
      <c r="FR620">
        <f>IF($EY620="row",INDEX($EU$5:$EU$1003,$EX620),"")</f>
        <v/>
      </c>
      <c r="FS620">
        <f>IF(AND($EY620="row",$EY619="row"),IF(OR(INDEX($DT$5:$DT$1003,$EX619)="",INDEX($DT$5:$DT$1003,$EX620)=""),"",IF(NOT(EXACT(INDEX($DT$5:$DT$1003,$EX619),INDEX($DT$5:$DT$1003,$EX620))),"S4",IF(NOT(EXACT(INDEX($DS$5:$DS$1003,$EX619),INDEX($DS$5:$DS$1003,$EX620))),"S3",IF(NOT(EXACT(INDEX($DR$5:$DR$1003,$EX619),INDEX($DR$5:$DR$1003,$EX620))),"S1 Count Change","S1")))),"")</f>
        <v/>
      </c>
      <c r="FT620">
        <f>IF($EY620="row",INDEX($ES$5:$ES$1003,$EX620),"")</f>
        <v/>
      </c>
      <c r="FU620">
        <f>IF($EY620="row",INDEX($EO$5:$EO$1003,$EX620),0)</f>
        <v/>
      </c>
      <c r="FV620">
        <f>IF($FS620="S1 Count Change",1,0)</f>
        <v/>
      </c>
    </row>
    <row r="621">
      <c r="DA621" t="n">
        <v>617</v>
      </c>
      <c r="DB621">
        <f>IF($B$37=0,"",IFERROR(TRIM(SUBSTITUTE(SUBSTITUTE(SUBSTITUTE(SUBSTITUTE(INDEX(PASTE_ALL,617,$B$37)," "," "),CHAR(9)," "),CHAR(10)," "),CHAR(13)," ")),""))</f>
        <v/>
      </c>
      <c r="DC621">
        <f>IF(AND(617&gt;HEADER_ROW,UPPER(DB621)="LEGEND"),1,0)</f>
        <v/>
      </c>
      <c r="DE621" t="n">
        <v>617</v>
      </c>
      <c r="DF621">
        <f>HEADER_ROW+$DE621</f>
        <v/>
      </c>
      <c r="DG621">
        <f>IF(AND($DF621&lt;=1000,$DF621&lt;$B$8),1,0)</f>
        <v/>
      </c>
      <c r="DH621">
        <f>IF($DG621=1,IFERROR(INDEX($DB$5:$DB$1004,$DF621),""),"")</f>
        <v/>
      </c>
      <c r="DI621">
        <f>IF(AND($DG621=1,$DH621&lt;&gt;""),IFERROR(SUBSTITUTE(SUBSTITUTE(TRIM(SUBSTITUTE(SUBSTITUTE(SUBSTITUTE(SUBSTITUTE(IFERROR(INDEX(PASTE_ALL,$DF621,1)&amp;"","")&amp;"␟"&amp;IFERROR(INDEX(PASTE_ALL,$DF621,2)&amp;"","")&amp;"␟"&amp;IFERROR(INDEX(PASTE_ALL,$DF621,3)&amp;"","")&amp;"␟"&amp;IFERROR(INDEX(PASTE_ALL,$DF621,4)&amp;"","")&amp;"␟"&amp;IFERROR(INDEX(PASTE_ALL,$DF621,5)&amp;"","")&amp;"␟"&amp;IFERROR(INDEX(PASTE_ALL,$DF621,6)&amp;"","")&amp;"␟"&amp;IFERROR(INDEX(PASTE_ALL,$DF621,7)&amp;"","")&amp;"␟"&amp;IFERROR(INDEX(PASTE_ALL,$DF621,8)&amp;"","")&amp;"␟"&amp;IFERROR(INDEX(PASTE_ALL,$DF621,9)&amp;"","")&amp;"␟"&amp;IFERROR(INDEX(PASTE_ALL,$DF621,10)&amp;"","")&amp;"␟"&amp;IFERROR(INDEX(PASTE_ALL,$DF621,11)&amp;"","")&amp;"␟"&amp;IFERROR(INDEX(PASTE_ALL,$DF621,12)&amp;"","")&amp;"␟"&amp;IFERROR(INDEX(PASTE_ALL,$DF621,13)&amp;"","")&amp;"␟"&amp;IFERROR(INDEX(PASTE_ALL,$DF621,14)&amp;"","")&amp;"␟"&amp;IFERROR(INDEX(PASTE_ALL,$DF621,15)&amp;"","")&amp;"␟"&amp;IFERROR(INDEX(PASTE_ALL,$DF621,16)&amp;"","")&amp;"␟"&amp;IFERROR(INDEX(PASTE_ALL,$DF621,17)&amp;"","")&amp;"␟"&amp;IFERROR(INDEX(PASTE_ALL,$DF621,18)&amp;"","")&amp;"␟"&amp;IFERROR(INDEX(PASTE_ALL,$DF621,19)&amp;"","")&amp;"␟"&amp;IFERROR(INDEX(PASTE_ALL,$DF621,20)&amp;"","")&amp;"␟"&amp;IFERROR(INDEX(PASTE_ALL,$DF621,21)&amp;"","")&amp;"␟"&amp;IFERROR(INDEX(PASTE_ALL,$DF621,22)&amp;"","")&amp;"␟"&amp;IFERROR(INDEX(PASTE_ALL,$DF621,23)&amp;"","")&amp;"␟"&amp;IFERROR(INDEX(PASTE_ALL,$DF621,24)&amp;"","")&amp;"␟"&amp;IFERROR(INDEX(PASTE_ALL,$DF621,25)&amp;"","")&amp;"␟"&amp;IFERROR(INDEX(PASTE_ALL,$DF621,26)&amp;"","")&amp;"␟"&amp;IFERROR(INDEX(PASTE_ALL,$DF621,27)&amp;"","")&amp;"␟"&amp;IFERROR(INDEX(PASTE_ALL,$DF621,28)&amp;"","")&amp;"␟"&amp;IFERROR(INDEX(PASTE_ALL,$DF621,29)&amp;"","")&amp;"␟"&amp;IFERROR(INDEX(PASTE_ALL,$DF621,30)&amp;"","")&amp;"␟"&amp;IFERROR(INDEX(PASTE_ALL,$DF621,31)&amp;"","")&amp;"␟"&amp;IFERROR(INDEX(PASTE_ALL,$DF621,32)&amp;"","")&amp;"␟"&amp;IFERROR(INDEX(PASTE_ALL,$DF621,33)&amp;"","")&amp;"␟"&amp;IFERROR(INDEX(PASTE_ALL,$DF621,34)&amp;"","")&amp;"␟"&amp;IFERROR(INDEX(PASTE_ALL,$DF621,35)&amp;"","")&amp;"␟"&amp;IFERROR(INDEX(PASTE_ALL,$DF621,36)&amp;"","")&amp;"␟"&amp;IFERROR(INDEX(PASTE_ALL,$DF621,37)&amp;"","")&amp;"␟"&amp;IFERROR(INDEX(PASTE_ALL,$DF621,38)&amp;"","")&amp;"␟"&amp;IFERROR(INDEX(PASTE_ALL,$DF621,39)&amp;"","")&amp;"␟"&amp;IFERROR(INDEX(PASTE_ALL,$DF621,40)&amp;"","")&amp;"␟"&amp;IFERROR(INDEX(PASTE_ALL,$DF621,41)&amp;"","")&amp;"␟"&amp;IFERROR(INDEX(PASTE_ALL,$DF621,42)&amp;"","")&amp;"␟"&amp;IFERROR(INDEX(PASTE_ALL,$DF621,43)&amp;"","")&amp;"␟"&amp;IFERROR(INDEX(PASTE_ALL,$DF621,44)&amp;"","")&amp;"␟"&amp;IFERROR(INDEX(PASTE_ALL,$DF621,45)&amp;"","")&amp;"␟"&amp;IFERROR(INDEX(PASTE_ALL,$DF621,46)&amp;"","")&amp;"␟"&amp;IFERROR(INDEX(PASTE_ALL,$DF621,47)&amp;"","")&amp;"␟"&amp;IFERROR(INDEX(PASTE_ALL,$DF621,48)&amp;"","")&amp;"␟"&amp;IFERROR(INDEX(PASTE_ALL,$DF621,49)&amp;"","")&amp;"␟"&amp;IFERROR(INDEX(PASTE_ALL,$DF621,50)&amp;"","")&amp;"␟"&amp;IFERROR(INDEX(PASTE_ALL,$DF621,51)&amp;"","")&amp;"␟"&amp;IFERROR(INDEX(PASTE_ALL,$DF621,52)&amp;"","")&amp;"␟"&amp;IFERROR(INDEX(PASTE_ALL,$DF621,53)&amp;"","")&amp;"␟"&amp;IFERROR(INDEX(PASTE_ALL,$DF621,54)&amp;"","")&amp;"␟"&amp;IFERROR(INDEX(PASTE_ALL,$DF621,55)&amp;"","")&amp;"␟"&amp;IFERROR(INDEX(PASTE_ALL,$DF621,56)&amp;"","")&amp;"␟"&amp;IFERROR(INDEX(PASTE_ALL,$DF621,57)&amp;"","")&amp;"␟"&amp;IFERROR(INDEX(PASTE_ALL,$DF621,58)&amp;"","")&amp;"␟"&amp;IFERROR(INDEX(PASTE_ALL,$DF621,59)&amp;"","")&amp;"␟"&amp;IFERROR(INDEX(PASTE_ALL,$DF621,60)&amp;"","")," "," "),CHAR(9)," "),CHAR(10)," "),CHAR(13)," "))," ␟","␟"),"␟ ","␟"),"#"&amp;$DE621),"")</f>
        <v/>
      </c>
      <c r="DJ621">
        <f>IF($DI621="",0,IF(SUMPRODUCT(--EXACT($DI$4:DI620,$DI621))&gt;0,1,0))</f>
        <v/>
      </c>
      <c r="DK621">
        <f>IF(AND($DI621&lt;&gt;"",$DJ621=0),1,0)</f>
        <v/>
      </c>
      <c r="DL621">
        <f>DL620+$DK621</f>
        <v/>
      </c>
      <c r="DM621">
        <f>IF(AND($DK621=1,$DL621&lt;=600),1,0)</f>
        <v/>
      </c>
      <c r="DN621">
        <f>IF($DM621=0,"",IF($L$6=0,"",IFERROR(IF(ISNUMBER(INDEX(PASTE_ALL,$DF621,$L$6)),INDEX(PASTE_ALL,$DF621,$L$6),TRIM(SUBSTITUTE(SUBSTITUTE(SUBSTITUTE(SUBSTITUTE(INDEX(PASTE_ALL,$DF621,$L$6)," "," "),CHAR(9)," "),CHAR(10)," "),CHAR(13)," "))),"")))</f>
        <v/>
      </c>
      <c r="DO621">
        <f>IF($DM621=0,"",IF($L$7=0,"",IFERROR(IF(ISNUMBER(INDEX(PASTE_ALL,$DF621,$L$7)),INDEX(PASTE_ALL,$DF621,$L$7),TRIM(SUBSTITUTE(SUBSTITUTE(SUBSTITUTE(SUBSTITUTE(INDEX(PASTE_ALL,$DF621,$L$7)," "," "),CHAR(9)," "),CHAR(10)," "),CHAR(13)," "))),"")))</f>
        <v/>
      </c>
      <c r="DP621">
        <f>IF($DM621=0,"",IF($L$8=0,"",IFERROR(IF(ISNUMBER(INDEX(PASTE_ALL,$DF621,$L$8)),INDEX(PASTE_ALL,$DF621,$L$8),TRIM(SUBSTITUTE(SUBSTITUTE(SUBSTITUTE(SUBSTITUTE(INDEX(PASTE_ALL,$DF621,$L$8)," "," "),CHAR(9)," "),CHAR(10)," "),CHAR(13)," "))),"")))</f>
        <v/>
      </c>
      <c r="DQ621">
        <f>IF($DM621=0,"",IF($L$9=0,"",IFERROR(IF(ISNUMBER(INDEX(PASTE_ALL,$DF621,$L$9)),INDEX(PASTE_ALL,$DF621,$L$9),TRIM(SUBSTITUTE(SUBSTITUTE(SUBSTITUTE(SUBSTITUTE(INDEX(PASTE_ALL,$DF621,$L$9)," "," "),CHAR(9)," "),CHAR(10)," "),CHAR(13)," "))),"")))</f>
        <v/>
      </c>
      <c r="DR621">
        <f>IF($DM621=0,"",IF($L$10=0,"",IFERROR(IF(ISNUMBER(INDEX(PASTE_ALL,$DF621,$L$10)),INDEX(PASTE_ALL,$DF621,$L$10),TRIM(SUBSTITUTE(SUBSTITUTE(SUBSTITUTE(SUBSTITUTE(INDEX(PASTE_ALL,$DF621,$L$10)," "," "),CHAR(9)," "),CHAR(10)," "),CHAR(13)," "))),"")))</f>
        <v/>
      </c>
      <c r="DS621">
        <f>IF($DM621=0,"",IF($L$11=0,"",IFERROR(IF(ISNUMBER(INDEX(PASTE_ALL,$DF621,$L$11)),INDEX(PASTE_ALL,$DF621,$L$11),TRIM(SUBSTITUTE(SUBSTITUTE(SUBSTITUTE(SUBSTITUTE(INDEX(PASTE_ALL,$DF621,$L$11)," "," "),CHAR(9)," "),CHAR(10)," "),CHAR(13)," "))),"")))</f>
        <v/>
      </c>
      <c r="DT621">
        <f>IF($DM621=0,"",IF($L$12=0,"",IFERROR(IF(ISNUMBER(INDEX(PASTE_ALL,$DF621,$L$12)),INDEX(PASTE_ALL,$DF621,$L$12),TRIM(SUBSTITUTE(SUBSTITUTE(SUBSTITUTE(SUBSTITUTE(INDEX(PASTE_ALL,$DF621,$L$12)," "," "),CHAR(9)," "),CHAR(10)," "),CHAR(13)," "))),"")))</f>
        <v/>
      </c>
      <c r="DU621">
        <f>IF($DM621=0,"",IF($L$13=0,"",IFERROR(IF(ISNUMBER(INDEX(PASTE_ALL,$DF621,$L$13)),INDEX(PASTE_ALL,$DF621,$L$13),TRIM(SUBSTITUTE(SUBSTITUTE(SUBSTITUTE(SUBSTITUTE(INDEX(PASTE_ALL,$DF621,$L$13)," "," "),CHAR(9)," "),CHAR(10)," "),CHAR(13)," "))),"")))</f>
        <v/>
      </c>
      <c r="DV621">
        <f>IF($DM621=0,"",IF($L$14=0,"",IFERROR(IF(ISNUMBER(INDEX(PASTE_ALL,$DF621,$L$14)),INDEX(PASTE_ALL,$DF621,$L$14),TRIM(SUBSTITUTE(SUBSTITUTE(SUBSTITUTE(SUBSTITUTE(INDEX(PASTE_ALL,$DF621,$L$14)," "," "),CHAR(9)," "),CHAR(10)," "),CHAR(13)," "))),"")))</f>
        <v/>
      </c>
      <c r="DW621">
        <f>IF($DM621=0,"",IF($L$15=0,"",IFERROR(IF(ISNUMBER(INDEX(PASTE_ALL,$DF621,$L$15)),INDEX(PASTE_ALL,$DF621,$L$15),IF(SUMPRODUCT(--ISNUMBER(FIND({"A","B","C","D","E","F","G","H","I","J","K","L","M","N","O","P","Q","R","S","T","U","V","W","X","Y","Z","0","1","2","3","4","5","6","7","8","9"},UPPER(TRIM(SUBSTITUTE(SUBSTITUTE(SUBSTITUTE(SUBSTITUTE(INDEX(PASTE_ALL,$DF621,$L$15)," "," "),CHAR(9)," "),CHAR(10)," "),CHAR(13)," "))))))&gt;0,TRIM(SUBSTITUTE(SUBSTITUTE(SUBSTITUTE(SUBSTITUTE(INDEX(PASTE_ALL,$DF621,$L$15)," "," "),CHAR(9)," "),CHAR(10)," "),CHAR(13)," ")),"")),"")))</f>
        <v/>
      </c>
      <c r="DX621">
        <f>IF($DM621=0,"",IF($L$16=0,"",IFERROR(IF(ISNUMBER(INDEX(PASTE_ALL,$DF621,$L$16)),INDEX(PASTE_ALL,$DF621,$L$16),SUBSTITUTE(SUBSTITUTE(TRIM(SUBSTITUTE(SUBSTITUTE(SUBSTITUTE(SUBSTITUTE(INDEX(PASTE_ALL,$DF621,$L$16)," "," "),CHAR(9)," "),CHAR(10)," "),CHAR(13)," ")),",",""),"%","")),"")))</f>
        <v/>
      </c>
      <c r="DY621">
        <f>IF($DM621=0,"",IFERROR(IF(ISNUMBER($DX621),$DX621,IF($DX621="","",IF(TRIM($DX621)="",0,IF(AND(AND(SUBSTITUTE(SUBSTITUTE(SUBSTITUTE(SUBSTITUTE(SUBSTITUTE(SUBSTITUTE(SUBSTITUTE(SUBSTITUTE(SUBSTITUTE(SUBSTITUTE(SUBSTITUTE(SUBSTITUTE(SUBSTITUTE(SUBSTITUTE(UPPER(TRIM($DX621)),"0",""),"1",""),"2",""),"3",""),"4",""),"5",""),"6",""),"7",""),"8",""),"9",""),".",""),"+",""),"-",""),"E","")="",LEN(SUBSTITUTE(SUBSTITUTE(MID(UPPER(TRIM($DX621)),1+OR(LEFT(UPPER(TRIM($DX621)),1)="+",LEFT(UPPER(TRIM($DX621)),1)="-"),999),"E+","E"),"E-","E"))=LEN(SUBSTITUTE(SUBSTITUTE(SUBSTITUTE(SUBSTITUTE(MID(UPPER(TRIM($DX621)),1+OR(LEFT(UPPER(TRIM($DX621)),1)="+",LEFT(UPPER(TRIM($DX621)),1)="-"),999),"E+","E"),"E-","E"),"+",""),"-","")),LEN(UPPER(TRIM($DX621)))-LEN(SUBSTITUTE(UPPER(TRIM($DX621)),"E",""))&lt;2,LEN(UPPER(TRIM($DX621)))-LEN(SUBSTITUTE(UPPER(TRIM($DX621)),".",""))&lt;2,IFERROR(FIND(".",UPPER(TRIM($DX621))),0)&lt;IFERROR(FIND("E",UPPER(TRIM($DX621))),999)),ISNUMBER(VALUE(TRIM($DX621)))),VALUE(TRIM($DX621)),"")))),""))</f>
        <v/>
      </c>
      <c r="DZ621">
        <f>IF($DM621=0,"",IF($L$17=0,"",IFERROR(IF(ISNUMBER(INDEX(PASTE_ALL,$DF621,$L$17)),INDEX(PASTE_ALL,$DF621,$L$17),SUBSTITUTE(SUBSTITUTE(TRIM(SUBSTITUTE(SUBSTITUTE(SUBSTITUTE(SUBSTITUTE(INDEX(PASTE_ALL,$DF621,$L$17)," "," "),CHAR(9)," "),CHAR(10)," "),CHAR(13)," ")),",",""),"%","")),"")))</f>
        <v/>
      </c>
      <c r="EA621">
        <f>IF($DM621=0,"",IFERROR(IF(ISNUMBER($DZ621),$DZ621,IF($DZ621="","",IF(TRIM($DZ621)="",0,IF(AND(AND(SUBSTITUTE(SUBSTITUTE(SUBSTITUTE(SUBSTITUTE(SUBSTITUTE(SUBSTITUTE(SUBSTITUTE(SUBSTITUTE(SUBSTITUTE(SUBSTITUTE(SUBSTITUTE(SUBSTITUTE(SUBSTITUTE(SUBSTITUTE(UPPER(TRIM($DZ621)),"0",""),"1",""),"2",""),"3",""),"4",""),"5",""),"6",""),"7",""),"8",""),"9",""),".",""),"+",""),"-",""),"E","")="",LEN(SUBSTITUTE(SUBSTITUTE(MID(UPPER(TRIM($DZ621)),1+OR(LEFT(UPPER(TRIM($DZ621)),1)="+",LEFT(UPPER(TRIM($DZ621)),1)="-"),999),"E+","E"),"E-","E"))=LEN(SUBSTITUTE(SUBSTITUTE(SUBSTITUTE(SUBSTITUTE(MID(UPPER(TRIM($DZ621)),1+OR(LEFT(UPPER(TRIM($DZ621)),1)="+",LEFT(UPPER(TRIM($DZ621)),1)="-"),999),"E+","E"),"E-","E"),"+",""),"-","")),LEN(UPPER(TRIM($DZ621)))-LEN(SUBSTITUTE(UPPER(TRIM($DZ621)),"E",""))&lt;2,LEN(UPPER(TRIM($DZ621)))-LEN(SUBSTITUTE(UPPER(TRIM($DZ621)),".",""))&lt;2,IFERROR(FIND(".",UPPER(TRIM($DZ621))),0)&lt;IFERROR(FIND("E",UPPER(TRIM($DZ621))),999)),ISNUMBER(VALUE(TRIM($DZ621)))),VALUE(TRIM($DZ621)),"")))),""))</f>
        <v/>
      </c>
      <c r="EB621">
        <f>IF($DM621=0,"",IF($L$18=0,"",IFERROR(IF(UPPER(TRIM(SUBSTITUTE(SUBSTITUTE(SUBSTITUTE(SUBSTITUTE(INDEX(PASTE_ALL,$DF621,$L$18)," "," "),CHAR(9)," "),CHAR(10)," "),CHAR(13)," ")))="READY","Ready",IF(UPPER(TRIM(SUBSTITUTE(SUBSTITUTE(SUBSTITUTE(SUBSTITUTE(INDEX(PASTE_ALL,$DF621,$L$18)," "," "),CHAR(9)," "),CHAR(10)," "),CHAR(13)," ")))="PM","PM",IF(OR(UPPER(TRIM(SUBSTITUTE(SUBSTITUTE(SUBSTITUTE(SUBSTITUTE(INDEX(PASTE_ALL,$DF621,$L$18)," "," "),CHAR(9)," "),CHAR(10)," "),CHAR(13)," ")))="OT",UPPER(TRIM(SUBSTITUTE(SUBSTITUTE(SUBSTITUTE(SUBSTITUTE(INDEX(PASTE_ALL,$DF621,$L$18)," "," "),CHAR(9)," "),CHAR(10)," "),CHAR(13)," ")))="OVERTIME",UPPER(TRIM(SUBSTITUTE(SUBSTITUTE(SUBSTITUTE(SUBSTITUTE(INDEX(PASTE_ALL,$DF621,$L$18)," "," "),CHAR(9)," "),CHAR(10)," "),CHAR(13)," ")))="TRIAL"),"OT",TRIM(SUBSTITUTE(SUBSTITUTE(SUBSTITUTE(SUBSTITUTE(INDEX(PASTE_ALL,$DF621,$L$18)," "," "),CHAR(9)," "),CHAR(10)," "),CHAR(13)," "))))),"")))</f>
        <v/>
      </c>
      <c r="EC621">
        <f>IF($DM621=0,"",IF($L$19=0,"",IFERROR(IF(ISNUMBER(INDEX(PASTE_ALL,$DF621,$L$19)),INDEX(PASTE_ALL,$DF621,$L$19),TRIM(SUBSTITUTE(SUBSTITUTE(SUBSTITUTE(SUBSTITUTE(INDEX(PASTE_ALL,$DF621,$L$19)," "," "),CHAR(9)," "),CHAR(10)," "),CHAR(13)," "))),"")))</f>
        <v/>
      </c>
      <c r="ED621">
        <f>IF($DM621=0,"",MATCH(1,INDEX(EXACT($DH$5:DH621,$DH621)*$DM$5:DM621,0),0))</f>
        <v/>
      </c>
      <c r="EE621">
        <f>IF($DM621=0,0,IF($ED621=$DE621,1,0))</f>
        <v/>
      </c>
      <c r="EF621">
        <f>EF620+$EE621</f>
        <v/>
      </c>
      <c r="EG621">
        <f>IF($DM621=0,"",INDEX($EF$5:$EF$1003,$ED621))</f>
        <v/>
      </c>
      <c r="EH621">
        <f>IF($DM621=0,"",IF($DO621&lt;&gt;"","",IFERROR(LOOKUP(2,1/(($EG$4:EG620=$EG621)*($DO$4:DO620&lt;&gt;"")),$DO$4:DO620),"")))</f>
        <v/>
      </c>
      <c r="EI621">
        <f>IF($DM621=0,"",IF($DO621&lt;&gt;"",$DO621,$EH621))</f>
        <v/>
      </c>
      <c r="EJ621">
        <f>IF($DM621=0,"",IF($EI621="",0,IF(OR(ISNUMBER($EI621),AND(AND(SUBSTITUTE(SUBSTITUTE(SUBSTITUTE(SUBSTITUTE(SUBSTITUTE(SUBSTITUTE(SUBSTITUTE(SUBSTITUTE(SUBSTITUTE(SUBSTITUTE(SUBSTITUTE(SUBSTITUTE(SUBSTITUTE(SUBSTITUTE(UPPER($EI621),"0",""),"1",""),"2",""),"3",""),"4",""),"5",""),"6",""),"7",""),"8",""),"9",""),".",""),"+",""),"-",""),"E","")="",LEN(SUBSTITUTE(SUBSTITUTE(MID(UPPER($EI621),1+OR(LEFT(UPPER($EI621),1)="+",LEFT(UPPER($EI621),1)="-"),999),"E+","E"),"E-","E"))=LEN(SUBSTITUTE(SUBSTITUTE(SUBSTITUTE(SUBSTITUTE(MID(UPPER($EI621),1+OR(LEFT(UPPER($EI621),1)="+",LEFT(UPPER($EI621),1)="-"),999),"E+","E"),"E-","E"),"+",""),"-","")),LEN(UPPER($EI621))-LEN(SUBSTITUTE(UPPER($EI621),"E",""))&lt;2,LEN(UPPER($EI621))-LEN(SUBSTITUTE(UPPER($EI621),".",""))&lt;2,IFERROR(FIND(".",UPPER($EI621)),0)&lt;IFERROR(FIND("E",UPPER($EI621)),999)),ISNUMBER(VALUE($EI621)))),1,2)))</f>
        <v/>
      </c>
      <c r="EK621">
        <f>IF($DM621=0,"",IF($EJ621=1,IF(ISNUMBER($EI621),$EI621,VALUE($EI621)),IF($EJ621=2,$DE621,0)))</f>
        <v/>
      </c>
      <c r="EL621">
        <f>IF($DM621=0,"",COUNTIF($EG$5:$EG$1003,"&lt;"&amp;$EG621)+SUMPRODUCT(($EG$5:$EG$1003=$EG621)*(($EJ$5:$EJ$1003&lt;$EJ621)+($EJ$5:$EJ$1003=$EJ621)*(($EK$5:$EK$1003&lt;$EK621)+($EK$5:$EK$1003=$EK621)*($DE$5:$DE$1003&lt;$DE621))))+1)</f>
        <v/>
      </c>
      <c r="EM621">
        <f>IF($DM621=0,"",$EL621+$EG621-1)</f>
        <v/>
      </c>
      <c r="EN621">
        <f>IF($DM621=0,0,IFERROR(MATCH(1,INDEX(--(TRIM(SUBSTITUTE(SUBSTITUTE(SUBSTITUTE(SUBSTITUTE(LINES_NAME&amp;""," "," "),CHAR(9)," "),CHAR(10)," "),CHAR(13)," "))=$DH621),0),0),0))</f>
        <v/>
      </c>
      <c r="EO621">
        <f>IF($EN621=0,0,IF(OR(UPPER(TRIM(INDEX(LINES_SCHEDULED,$EN621)&amp;""))="YES",UPPER(TRIM(INDEX(LINES_SCHEDULED,$EN621)&amp;""))="Y",UPPER(TRIM(INDEX(LINES_SCHEDULED,$EN621)&amp;""))="X"),1,0))</f>
        <v/>
      </c>
      <c r="EP621">
        <f>IF($DM621=0,"",IF(COUNTIFS($EG$5:$EG$1003,$EG621,$EB$5:$EB$1003,"Ready")&gt;0,"READY",IF(COUNTIFS($EG$5:$EG$1003,$EG621,$EB$5:$EB$1003,"PM")&gt;0,"PM",IF(COUNTIFS($EG$5:$EG$1003,$EG621,$EB$5:$EB$1003,"OT")&gt;0,"OT",""))))</f>
        <v/>
      </c>
      <c r="EQ621">
        <f>IF($EN621=0,"",UPPER(TRIM(INDEX(LINES_STATUS,$EN621)&amp;"")))</f>
        <v/>
      </c>
      <c r="ER621">
        <f>IF($DM621=0,"",IF(OR($EQ621="READY",$EQ621="PM",$EQ621="OT"),$EQ621,$EP621))</f>
        <v/>
      </c>
      <c r="ES621">
        <f>IF($DM621=0,"",IF(AND($DV621&lt;&gt;"",UPPER($DV621)&lt;&gt;"N"),"allergen",IF(ISNUMBER(SEARCH("oil",$DQ621)),"oil",IF(OR(EXACT($DS621,"A662"),EXACT($DS621,"A624")),"bulk",""))))</f>
        <v/>
      </c>
      <c r="ET621">
        <f>IF($DM621=0,"",IF(OR($EA621="",$EA621=0),"",$EA621/100))</f>
        <v/>
      </c>
      <c r="EU621">
        <f>IF(OR($ET621="",$DY621=""),"",INT($DY621*(1-$ET621)+0.5))</f>
        <v/>
      </c>
      <c r="EW621" t="n">
        <v>617</v>
      </c>
      <c r="EX621">
        <f>IFERROR(MATCH($EW621,$EM$5:$EM$1003,0),0)</f>
        <v/>
      </c>
      <c r="EY621">
        <f>IF($EW621&gt;$B$12,"",IF($EX621&gt;0,"row","spacer"))</f>
        <v/>
      </c>
      <c r="EZ621">
        <f>IF(AND($EY621="row",$EY620&lt;&gt;"row"),1,0)</f>
        <v/>
      </c>
      <c r="FA621">
        <f>IF(AND($EY621="row",$EY622&lt;&gt;"row"),1,0)</f>
        <v/>
      </c>
      <c r="FB621">
        <f>IF($EZ621=1,IFERROR(IF(ISNUMBER(INDEX(PASTE_ALL,INDEX($DF$5:$DF$1003,$EX621),$B$37)),INDEX(PASTE_ALL,INDEX($DF$5:$DF$1003,$EX621),$B$37),INDEX($DH$5:$DH$1003,$EX621)),INDEX($DH$5:$DH$1003,$EX621)),"")</f>
        <v/>
      </c>
      <c r="FC621">
        <f>IF($EY621="row",INDEX($ER$5:$ER$1003,$EX621),"")</f>
        <v/>
      </c>
      <c r="FD621">
        <f>IF($EY621="row",INDEX($DN$5:$DN$1003,$EX621),"")</f>
        <v/>
      </c>
      <c r="FE621">
        <f>IF($EY621="row",INDEX($DO$5:$DO$1003,$EX621),"")</f>
        <v/>
      </c>
      <c r="FF621">
        <f>IF($EY621="row",INDEX($DP$5:$DP$1003,$EX621),"")</f>
        <v/>
      </c>
      <c r="FG621">
        <f>IF($EY621="row",INDEX($DQ$5:$DQ$1003,$EX621),"")</f>
        <v/>
      </c>
      <c r="FH621">
        <f>IF($EY621="row",INDEX($DR$5:$DR$1003,$EX621),"")</f>
        <v/>
      </c>
      <c r="FI621">
        <f>IF($EY621="row",INDEX($DS$5:$DS$1003,$EX621),"")</f>
        <v/>
      </c>
      <c r="FJ621">
        <f>IF($EY621="row",INDEX($DT$5:$DT$1003,$EX621),"")</f>
        <v/>
      </c>
      <c r="FK621">
        <f>IF($EY621="row",INDEX($DU$5:$DU$1003,$EX621),"")</f>
        <v/>
      </c>
      <c r="FL621">
        <f>IF($EY621="row",INDEX($DV$5:$DV$1003,$EX621),"")</f>
        <v/>
      </c>
      <c r="FM621">
        <f>IF($EY621="row",INDEX($DW$5:$DW$1003,$EX621),"")</f>
        <v/>
      </c>
      <c r="FN621">
        <f>IF($EY621="row",INDEX($DY$5:$DY$1003,$EX621),"")</f>
        <v/>
      </c>
      <c r="FO621">
        <f>IF($EY621="row",INDEX($EA$5:$EA$1003,$EX621),"")</f>
        <v/>
      </c>
      <c r="FP621">
        <f>IF($EY621="row",INDEX($EC$5:$EC$1003,$EX621),"")</f>
        <v/>
      </c>
      <c r="FQ621">
        <f>IF($EY621="row",INDEX($ET$5:$ET$1003,$EX621),"")</f>
        <v/>
      </c>
      <c r="FR621">
        <f>IF($EY621="row",INDEX($EU$5:$EU$1003,$EX621),"")</f>
        <v/>
      </c>
      <c r="FS621">
        <f>IF(AND($EY621="row",$EY620="row"),IF(OR(INDEX($DT$5:$DT$1003,$EX620)="",INDEX($DT$5:$DT$1003,$EX621)=""),"",IF(NOT(EXACT(INDEX($DT$5:$DT$1003,$EX620),INDEX($DT$5:$DT$1003,$EX621))),"S4",IF(NOT(EXACT(INDEX($DS$5:$DS$1003,$EX620),INDEX($DS$5:$DS$1003,$EX621))),"S3",IF(NOT(EXACT(INDEX($DR$5:$DR$1003,$EX620),INDEX($DR$5:$DR$1003,$EX621))),"S1 Count Change","S1")))),"")</f>
        <v/>
      </c>
      <c r="FT621">
        <f>IF($EY621="row",INDEX($ES$5:$ES$1003,$EX621),"")</f>
        <v/>
      </c>
      <c r="FU621">
        <f>IF($EY621="row",INDEX($EO$5:$EO$1003,$EX621),0)</f>
        <v/>
      </c>
      <c r="FV621">
        <f>IF($FS621="S1 Count Change",1,0)</f>
        <v/>
      </c>
    </row>
    <row r="622">
      <c r="DA622" t="n">
        <v>618</v>
      </c>
      <c r="DB622">
        <f>IF($B$37=0,"",IFERROR(TRIM(SUBSTITUTE(SUBSTITUTE(SUBSTITUTE(SUBSTITUTE(INDEX(PASTE_ALL,618,$B$37)," "," "),CHAR(9)," "),CHAR(10)," "),CHAR(13)," ")),""))</f>
        <v/>
      </c>
      <c r="DC622">
        <f>IF(AND(618&gt;HEADER_ROW,UPPER(DB622)="LEGEND"),1,0)</f>
        <v/>
      </c>
      <c r="DE622" t="n">
        <v>618</v>
      </c>
      <c r="DF622">
        <f>HEADER_ROW+$DE622</f>
        <v/>
      </c>
      <c r="DG622">
        <f>IF(AND($DF622&lt;=1000,$DF622&lt;$B$8),1,0)</f>
        <v/>
      </c>
      <c r="DH622">
        <f>IF($DG622=1,IFERROR(INDEX($DB$5:$DB$1004,$DF622),""),"")</f>
        <v/>
      </c>
      <c r="DI622">
        <f>IF(AND($DG622=1,$DH622&lt;&gt;""),IFERROR(SUBSTITUTE(SUBSTITUTE(TRIM(SUBSTITUTE(SUBSTITUTE(SUBSTITUTE(SUBSTITUTE(IFERROR(INDEX(PASTE_ALL,$DF622,1)&amp;"","")&amp;"␟"&amp;IFERROR(INDEX(PASTE_ALL,$DF622,2)&amp;"","")&amp;"␟"&amp;IFERROR(INDEX(PASTE_ALL,$DF622,3)&amp;"","")&amp;"␟"&amp;IFERROR(INDEX(PASTE_ALL,$DF622,4)&amp;"","")&amp;"␟"&amp;IFERROR(INDEX(PASTE_ALL,$DF622,5)&amp;"","")&amp;"␟"&amp;IFERROR(INDEX(PASTE_ALL,$DF622,6)&amp;"","")&amp;"␟"&amp;IFERROR(INDEX(PASTE_ALL,$DF622,7)&amp;"","")&amp;"␟"&amp;IFERROR(INDEX(PASTE_ALL,$DF622,8)&amp;"","")&amp;"␟"&amp;IFERROR(INDEX(PASTE_ALL,$DF622,9)&amp;"","")&amp;"␟"&amp;IFERROR(INDEX(PASTE_ALL,$DF622,10)&amp;"","")&amp;"␟"&amp;IFERROR(INDEX(PASTE_ALL,$DF622,11)&amp;"","")&amp;"␟"&amp;IFERROR(INDEX(PASTE_ALL,$DF622,12)&amp;"","")&amp;"␟"&amp;IFERROR(INDEX(PASTE_ALL,$DF622,13)&amp;"","")&amp;"␟"&amp;IFERROR(INDEX(PASTE_ALL,$DF622,14)&amp;"","")&amp;"␟"&amp;IFERROR(INDEX(PASTE_ALL,$DF622,15)&amp;"","")&amp;"␟"&amp;IFERROR(INDEX(PASTE_ALL,$DF622,16)&amp;"","")&amp;"␟"&amp;IFERROR(INDEX(PASTE_ALL,$DF622,17)&amp;"","")&amp;"␟"&amp;IFERROR(INDEX(PASTE_ALL,$DF622,18)&amp;"","")&amp;"␟"&amp;IFERROR(INDEX(PASTE_ALL,$DF622,19)&amp;"","")&amp;"␟"&amp;IFERROR(INDEX(PASTE_ALL,$DF622,20)&amp;"","")&amp;"␟"&amp;IFERROR(INDEX(PASTE_ALL,$DF622,21)&amp;"","")&amp;"␟"&amp;IFERROR(INDEX(PASTE_ALL,$DF622,22)&amp;"","")&amp;"␟"&amp;IFERROR(INDEX(PASTE_ALL,$DF622,23)&amp;"","")&amp;"␟"&amp;IFERROR(INDEX(PASTE_ALL,$DF622,24)&amp;"","")&amp;"␟"&amp;IFERROR(INDEX(PASTE_ALL,$DF622,25)&amp;"","")&amp;"␟"&amp;IFERROR(INDEX(PASTE_ALL,$DF622,26)&amp;"","")&amp;"␟"&amp;IFERROR(INDEX(PASTE_ALL,$DF622,27)&amp;"","")&amp;"␟"&amp;IFERROR(INDEX(PASTE_ALL,$DF622,28)&amp;"","")&amp;"␟"&amp;IFERROR(INDEX(PASTE_ALL,$DF622,29)&amp;"","")&amp;"␟"&amp;IFERROR(INDEX(PASTE_ALL,$DF622,30)&amp;"","")&amp;"␟"&amp;IFERROR(INDEX(PASTE_ALL,$DF622,31)&amp;"","")&amp;"␟"&amp;IFERROR(INDEX(PASTE_ALL,$DF622,32)&amp;"","")&amp;"␟"&amp;IFERROR(INDEX(PASTE_ALL,$DF622,33)&amp;"","")&amp;"␟"&amp;IFERROR(INDEX(PASTE_ALL,$DF622,34)&amp;"","")&amp;"␟"&amp;IFERROR(INDEX(PASTE_ALL,$DF622,35)&amp;"","")&amp;"␟"&amp;IFERROR(INDEX(PASTE_ALL,$DF622,36)&amp;"","")&amp;"␟"&amp;IFERROR(INDEX(PASTE_ALL,$DF622,37)&amp;"","")&amp;"␟"&amp;IFERROR(INDEX(PASTE_ALL,$DF622,38)&amp;"","")&amp;"␟"&amp;IFERROR(INDEX(PASTE_ALL,$DF622,39)&amp;"","")&amp;"␟"&amp;IFERROR(INDEX(PASTE_ALL,$DF622,40)&amp;"","")&amp;"␟"&amp;IFERROR(INDEX(PASTE_ALL,$DF622,41)&amp;"","")&amp;"␟"&amp;IFERROR(INDEX(PASTE_ALL,$DF622,42)&amp;"","")&amp;"␟"&amp;IFERROR(INDEX(PASTE_ALL,$DF622,43)&amp;"","")&amp;"␟"&amp;IFERROR(INDEX(PASTE_ALL,$DF622,44)&amp;"","")&amp;"␟"&amp;IFERROR(INDEX(PASTE_ALL,$DF622,45)&amp;"","")&amp;"␟"&amp;IFERROR(INDEX(PASTE_ALL,$DF622,46)&amp;"","")&amp;"␟"&amp;IFERROR(INDEX(PASTE_ALL,$DF622,47)&amp;"","")&amp;"␟"&amp;IFERROR(INDEX(PASTE_ALL,$DF622,48)&amp;"","")&amp;"␟"&amp;IFERROR(INDEX(PASTE_ALL,$DF622,49)&amp;"","")&amp;"␟"&amp;IFERROR(INDEX(PASTE_ALL,$DF622,50)&amp;"","")&amp;"␟"&amp;IFERROR(INDEX(PASTE_ALL,$DF622,51)&amp;"","")&amp;"␟"&amp;IFERROR(INDEX(PASTE_ALL,$DF622,52)&amp;"","")&amp;"␟"&amp;IFERROR(INDEX(PASTE_ALL,$DF622,53)&amp;"","")&amp;"␟"&amp;IFERROR(INDEX(PASTE_ALL,$DF622,54)&amp;"","")&amp;"␟"&amp;IFERROR(INDEX(PASTE_ALL,$DF622,55)&amp;"","")&amp;"␟"&amp;IFERROR(INDEX(PASTE_ALL,$DF622,56)&amp;"","")&amp;"␟"&amp;IFERROR(INDEX(PASTE_ALL,$DF622,57)&amp;"","")&amp;"␟"&amp;IFERROR(INDEX(PASTE_ALL,$DF622,58)&amp;"","")&amp;"␟"&amp;IFERROR(INDEX(PASTE_ALL,$DF622,59)&amp;"","")&amp;"␟"&amp;IFERROR(INDEX(PASTE_ALL,$DF622,60)&amp;"","")," "," "),CHAR(9)," "),CHAR(10)," "),CHAR(13)," "))," ␟","␟"),"␟ ","␟"),"#"&amp;$DE622),"")</f>
        <v/>
      </c>
      <c r="DJ622">
        <f>IF($DI622="",0,IF(SUMPRODUCT(--EXACT($DI$4:DI621,$DI622))&gt;0,1,0))</f>
        <v/>
      </c>
      <c r="DK622">
        <f>IF(AND($DI622&lt;&gt;"",$DJ622=0),1,0)</f>
        <v/>
      </c>
      <c r="DL622">
        <f>DL621+$DK622</f>
        <v/>
      </c>
      <c r="DM622">
        <f>IF(AND($DK622=1,$DL622&lt;=600),1,0)</f>
        <v/>
      </c>
      <c r="DN622">
        <f>IF($DM622=0,"",IF($L$6=0,"",IFERROR(IF(ISNUMBER(INDEX(PASTE_ALL,$DF622,$L$6)),INDEX(PASTE_ALL,$DF622,$L$6),TRIM(SUBSTITUTE(SUBSTITUTE(SUBSTITUTE(SUBSTITUTE(INDEX(PASTE_ALL,$DF622,$L$6)," "," "),CHAR(9)," "),CHAR(10)," "),CHAR(13)," "))),"")))</f>
        <v/>
      </c>
      <c r="DO622">
        <f>IF($DM622=0,"",IF($L$7=0,"",IFERROR(IF(ISNUMBER(INDEX(PASTE_ALL,$DF622,$L$7)),INDEX(PASTE_ALL,$DF622,$L$7),TRIM(SUBSTITUTE(SUBSTITUTE(SUBSTITUTE(SUBSTITUTE(INDEX(PASTE_ALL,$DF622,$L$7)," "," "),CHAR(9)," "),CHAR(10)," "),CHAR(13)," "))),"")))</f>
        <v/>
      </c>
      <c r="DP622">
        <f>IF($DM622=0,"",IF($L$8=0,"",IFERROR(IF(ISNUMBER(INDEX(PASTE_ALL,$DF622,$L$8)),INDEX(PASTE_ALL,$DF622,$L$8),TRIM(SUBSTITUTE(SUBSTITUTE(SUBSTITUTE(SUBSTITUTE(INDEX(PASTE_ALL,$DF622,$L$8)," "," "),CHAR(9)," "),CHAR(10)," "),CHAR(13)," "))),"")))</f>
        <v/>
      </c>
      <c r="DQ622">
        <f>IF($DM622=0,"",IF($L$9=0,"",IFERROR(IF(ISNUMBER(INDEX(PASTE_ALL,$DF622,$L$9)),INDEX(PASTE_ALL,$DF622,$L$9),TRIM(SUBSTITUTE(SUBSTITUTE(SUBSTITUTE(SUBSTITUTE(INDEX(PASTE_ALL,$DF622,$L$9)," "," "),CHAR(9)," "),CHAR(10)," "),CHAR(13)," "))),"")))</f>
        <v/>
      </c>
      <c r="DR622">
        <f>IF($DM622=0,"",IF($L$10=0,"",IFERROR(IF(ISNUMBER(INDEX(PASTE_ALL,$DF622,$L$10)),INDEX(PASTE_ALL,$DF622,$L$10),TRIM(SUBSTITUTE(SUBSTITUTE(SUBSTITUTE(SUBSTITUTE(INDEX(PASTE_ALL,$DF622,$L$10)," "," "),CHAR(9)," "),CHAR(10)," "),CHAR(13)," "))),"")))</f>
        <v/>
      </c>
      <c r="DS622">
        <f>IF($DM622=0,"",IF($L$11=0,"",IFERROR(IF(ISNUMBER(INDEX(PASTE_ALL,$DF622,$L$11)),INDEX(PASTE_ALL,$DF622,$L$11),TRIM(SUBSTITUTE(SUBSTITUTE(SUBSTITUTE(SUBSTITUTE(INDEX(PASTE_ALL,$DF622,$L$11)," "," "),CHAR(9)," "),CHAR(10)," "),CHAR(13)," "))),"")))</f>
        <v/>
      </c>
      <c r="DT622">
        <f>IF($DM622=0,"",IF($L$12=0,"",IFERROR(IF(ISNUMBER(INDEX(PASTE_ALL,$DF622,$L$12)),INDEX(PASTE_ALL,$DF622,$L$12),TRIM(SUBSTITUTE(SUBSTITUTE(SUBSTITUTE(SUBSTITUTE(INDEX(PASTE_ALL,$DF622,$L$12)," "," "),CHAR(9)," "),CHAR(10)," "),CHAR(13)," "))),"")))</f>
        <v/>
      </c>
      <c r="DU622">
        <f>IF($DM622=0,"",IF($L$13=0,"",IFERROR(IF(ISNUMBER(INDEX(PASTE_ALL,$DF622,$L$13)),INDEX(PASTE_ALL,$DF622,$L$13),TRIM(SUBSTITUTE(SUBSTITUTE(SUBSTITUTE(SUBSTITUTE(INDEX(PASTE_ALL,$DF622,$L$13)," "," "),CHAR(9)," "),CHAR(10)," "),CHAR(13)," "))),"")))</f>
        <v/>
      </c>
      <c r="DV622">
        <f>IF($DM622=0,"",IF($L$14=0,"",IFERROR(IF(ISNUMBER(INDEX(PASTE_ALL,$DF622,$L$14)),INDEX(PASTE_ALL,$DF622,$L$14),TRIM(SUBSTITUTE(SUBSTITUTE(SUBSTITUTE(SUBSTITUTE(INDEX(PASTE_ALL,$DF622,$L$14)," "," "),CHAR(9)," "),CHAR(10)," "),CHAR(13)," "))),"")))</f>
        <v/>
      </c>
      <c r="DW622">
        <f>IF($DM622=0,"",IF($L$15=0,"",IFERROR(IF(ISNUMBER(INDEX(PASTE_ALL,$DF622,$L$15)),INDEX(PASTE_ALL,$DF622,$L$15),IF(SUMPRODUCT(--ISNUMBER(FIND({"A","B","C","D","E","F","G","H","I","J","K","L","M","N","O","P","Q","R","S","T","U","V","W","X","Y","Z","0","1","2","3","4","5","6","7","8","9"},UPPER(TRIM(SUBSTITUTE(SUBSTITUTE(SUBSTITUTE(SUBSTITUTE(INDEX(PASTE_ALL,$DF622,$L$15)," "," "),CHAR(9)," "),CHAR(10)," "),CHAR(13)," "))))))&gt;0,TRIM(SUBSTITUTE(SUBSTITUTE(SUBSTITUTE(SUBSTITUTE(INDEX(PASTE_ALL,$DF622,$L$15)," "," "),CHAR(9)," "),CHAR(10)," "),CHAR(13)," ")),"")),"")))</f>
        <v/>
      </c>
      <c r="DX622">
        <f>IF($DM622=0,"",IF($L$16=0,"",IFERROR(IF(ISNUMBER(INDEX(PASTE_ALL,$DF622,$L$16)),INDEX(PASTE_ALL,$DF622,$L$16),SUBSTITUTE(SUBSTITUTE(TRIM(SUBSTITUTE(SUBSTITUTE(SUBSTITUTE(SUBSTITUTE(INDEX(PASTE_ALL,$DF622,$L$16)," "," "),CHAR(9)," "),CHAR(10)," "),CHAR(13)," ")),",",""),"%","")),"")))</f>
        <v/>
      </c>
      <c r="DY622">
        <f>IF($DM622=0,"",IFERROR(IF(ISNUMBER($DX622),$DX622,IF($DX622="","",IF(TRIM($DX622)="",0,IF(AND(AND(SUBSTITUTE(SUBSTITUTE(SUBSTITUTE(SUBSTITUTE(SUBSTITUTE(SUBSTITUTE(SUBSTITUTE(SUBSTITUTE(SUBSTITUTE(SUBSTITUTE(SUBSTITUTE(SUBSTITUTE(SUBSTITUTE(SUBSTITUTE(UPPER(TRIM($DX622)),"0",""),"1",""),"2",""),"3",""),"4",""),"5",""),"6",""),"7",""),"8",""),"9",""),".",""),"+",""),"-",""),"E","")="",LEN(SUBSTITUTE(SUBSTITUTE(MID(UPPER(TRIM($DX622)),1+OR(LEFT(UPPER(TRIM($DX622)),1)="+",LEFT(UPPER(TRIM($DX622)),1)="-"),999),"E+","E"),"E-","E"))=LEN(SUBSTITUTE(SUBSTITUTE(SUBSTITUTE(SUBSTITUTE(MID(UPPER(TRIM($DX622)),1+OR(LEFT(UPPER(TRIM($DX622)),1)="+",LEFT(UPPER(TRIM($DX622)),1)="-"),999),"E+","E"),"E-","E"),"+",""),"-","")),LEN(UPPER(TRIM($DX622)))-LEN(SUBSTITUTE(UPPER(TRIM($DX622)),"E",""))&lt;2,LEN(UPPER(TRIM($DX622)))-LEN(SUBSTITUTE(UPPER(TRIM($DX622)),".",""))&lt;2,IFERROR(FIND(".",UPPER(TRIM($DX622))),0)&lt;IFERROR(FIND("E",UPPER(TRIM($DX622))),999)),ISNUMBER(VALUE(TRIM($DX622)))),VALUE(TRIM($DX622)),"")))),""))</f>
        <v/>
      </c>
      <c r="DZ622">
        <f>IF($DM622=0,"",IF($L$17=0,"",IFERROR(IF(ISNUMBER(INDEX(PASTE_ALL,$DF622,$L$17)),INDEX(PASTE_ALL,$DF622,$L$17),SUBSTITUTE(SUBSTITUTE(TRIM(SUBSTITUTE(SUBSTITUTE(SUBSTITUTE(SUBSTITUTE(INDEX(PASTE_ALL,$DF622,$L$17)," "," "),CHAR(9)," "),CHAR(10)," "),CHAR(13)," ")),",",""),"%","")),"")))</f>
        <v/>
      </c>
      <c r="EA622">
        <f>IF($DM622=0,"",IFERROR(IF(ISNUMBER($DZ622),$DZ622,IF($DZ622="","",IF(TRIM($DZ622)="",0,IF(AND(AND(SUBSTITUTE(SUBSTITUTE(SUBSTITUTE(SUBSTITUTE(SUBSTITUTE(SUBSTITUTE(SUBSTITUTE(SUBSTITUTE(SUBSTITUTE(SUBSTITUTE(SUBSTITUTE(SUBSTITUTE(SUBSTITUTE(SUBSTITUTE(UPPER(TRIM($DZ622)),"0",""),"1",""),"2",""),"3",""),"4",""),"5",""),"6",""),"7",""),"8",""),"9",""),".",""),"+",""),"-",""),"E","")="",LEN(SUBSTITUTE(SUBSTITUTE(MID(UPPER(TRIM($DZ622)),1+OR(LEFT(UPPER(TRIM($DZ622)),1)="+",LEFT(UPPER(TRIM($DZ622)),1)="-"),999),"E+","E"),"E-","E"))=LEN(SUBSTITUTE(SUBSTITUTE(SUBSTITUTE(SUBSTITUTE(MID(UPPER(TRIM($DZ622)),1+OR(LEFT(UPPER(TRIM($DZ622)),1)="+",LEFT(UPPER(TRIM($DZ622)),1)="-"),999),"E+","E"),"E-","E"),"+",""),"-","")),LEN(UPPER(TRIM($DZ622)))-LEN(SUBSTITUTE(UPPER(TRIM($DZ622)),"E",""))&lt;2,LEN(UPPER(TRIM($DZ622)))-LEN(SUBSTITUTE(UPPER(TRIM($DZ622)),".",""))&lt;2,IFERROR(FIND(".",UPPER(TRIM($DZ622))),0)&lt;IFERROR(FIND("E",UPPER(TRIM($DZ622))),999)),ISNUMBER(VALUE(TRIM($DZ622)))),VALUE(TRIM($DZ622)),"")))),""))</f>
        <v/>
      </c>
      <c r="EB622">
        <f>IF($DM622=0,"",IF($L$18=0,"",IFERROR(IF(UPPER(TRIM(SUBSTITUTE(SUBSTITUTE(SUBSTITUTE(SUBSTITUTE(INDEX(PASTE_ALL,$DF622,$L$18)," "," "),CHAR(9)," "),CHAR(10)," "),CHAR(13)," ")))="READY","Ready",IF(UPPER(TRIM(SUBSTITUTE(SUBSTITUTE(SUBSTITUTE(SUBSTITUTE(INDEX(PASTE_ALL,$DF622,$L$18)," "," "),CHAR(9)," "),CHAR(10)," "),CHAR(13)," ")))="PM","PM",IF(OR(UPPER(TRIM(SUBSTITUTE(SUBSTITUTE(SUBSTITUTE(SUBSTITUTE(INDEX(PASTE_ALL,$DF622,$L$18)," "," "),CHAR(9)," "),CHAR(10)," "),CHAR(13)," ")))="OT",UPPER(TRIM(SUBSTITUTE(SUBSTITUTE(SUBSTITUTE(SUBSTITUTE(INDEX(PASTE_ALL,$DF622,$L$18)," "," "),CHAR(9)," "),CHAR(10)," "),CHAR(13)," ")))="OVERTIME",UPPER(TRIM(SUBSTITUTE(SUBSTITUTE(SUBSTITUTE(SUBSTITUTE(INDEX(PASTE_ALL,$DF622,$L$18)," "," "),CHAR(9)," "),CHAR(10)," "),CHAR(13)," ")))="TRIAL"),"OT",TRIM(SUBSTITUTE(SUBSTITUTE(SUBSTITUTE(SUBSTITUTE(INDEX(PASTE_ALL,$DF622,$L$18)," "," "),CHAR(9)," "),CHAR(10)," "),CHAR(13)," "))))),"")))</f>
        <v/>
      </c>
      <c r="EC622">
        <f>IF($DM622=0,"",IF($L$19=0,"",IFERROR(IF(ISNUMBER(INDEX(PASTE_ALL,$DF622,$L$19)),INDEX(PASTE_ALL,$DF622,$L$19),TRIM(SUBSTITUTE(SUBSTITUTE(SUBSTITUTE(SUBSTITUTE(INDEX(PASTE_ALL,$DF622,$L$19)," "," "),CHAR(9)," "),CHAR(10)," "),CHAR(13)," "))),"")))</f>
        <v/>
      </c>
      <c r="ED622">
        <f>IF($DM622=0,"",MATCH(1,INDEX(EXACT($DH$5:DH622,$DH622)*$DM$5:DM622,0),0))</f>
        <v/>
      </c>
      <c r="EE622">
        <f>IF($DM622=0,0,IF($ED622=$DE622,1,0))</f>
        <v/>
      </c>
      <c r="EF622">
        <f>EF621+$EE622</f>
        <v/>
      </c>
      <c r="EG622">
        <f>IF($DM622=0,"",INDEX($EF$5:$EF$1003,$ED622))</f>
        <v/>
      </c>
      <c r="EH622">
        <f>IF($DM622=0,"",IF($DO622&lt;&gt;"","",IFERROR(LOOKUP(2,1/(($EG$4:EG621=$EG622)*($DO$4:DO621&lt;&gt;"")),$DO$4:DO621),"")))</f>
        <v/>
      </c>
      <c r="EI622">
        <f>IF($DM622=0,"",IF($DO622&lt;&gt;"",$DO622,$EH622))</f>
        <v/>
      </c>
      <c r="EJ622">
        <f>IF($DM622=0,"",IF($EI622="",0,IF(OR(ISNUMBER($EI622),AND(AND(SUBSTITUTE(SUBSTITUTE(SUBSTITUTE(SUBSTITUTE(SUBSTITUTE(SUBSTITUTE(SUBSTITUTE(SUBSTITUTE(SUBSTITUTE(SUBSTITUTE(SUBSTITUTE(SUBSTITUTE(SUBSTITUTE(SUBSTITUTE(UPPER($EI622),"0",""),"1",""),"2",""),"3",""),"4",""),"5",""),"6",""),"7",""),"8",""),"9",""),".",""),"+",""),"-",""),"E","")="",LEN(SUBSTITUTE(SUBSTITUTE(MID(UPPER($EI622),1+OR(LEFT(UPPER($EI622),1)="+",LEFT(UPPER($EI622),1)="-"),999),"E+","E"),"E-","E"))=LEN(SUBSTITUTE(SUBSTITUTE(SUBSTITUTE(SUBSTITUTE(MID(UPPER($EI622),1+OR(LEFT(UPPER($EI622),1)="+",LEFT(UPPER($EI622),1)="-"),999),"E+","E"),"E-","E"),"+",""),"-","")),LEN(UPPER($EI622))-LEN(SUBSTITUTE(UPPER($EI622),"E",""))&lt;2,LEN(UPPER($EI622))-LEN(SUBSTITUTE(UPPER($EI622),".",""))&lt;2,IFERROR(FIND(".",UPPER($EI622)),0)&lt;IFERROR(FIND("E",UPPER($EI622)),999)),ISNUMBER(VALUE($EI622)))),1,2)))</f>
        <v/>
      </c>
      <c r="EK622">
        <f>IF($DM622=0,"",IF($EJ622=1,IF(ISNUMBER($EI622),$EI622,VALUE($EI622)),IF($EJ622=2,$DE622,0)))</f>
        <v/>
      </c>
      <c r="EL622">
        <f>IF($DM622=0,"",COUNTIF($EG$5:$EG$1003,"&lt;"&amp;$EG622)+SUMPRODUCT(($EG$5:$EG$1003=$EG622)*(($EJ$5:$EJ$1003&lt;$EJ622)+($EJ$5:$EJ$1003=$EJ622)*(($EK$5:$EK$1003&lt;$EK622)+($EK$5:$EK$1003=$EK622)*($DE$5:$DE$1003&lt;$DE622))))+1)</f>
        <v/>
      </c>
      <c r="EM622">
        <f>IF($DM622=0,"",$EL622+$EG622-1)</f>
        <v/>
      </c>
      <c r="EN622">
        <f>IF($DM622=0,0,IFERROR(MATCH(1,INDEX(--(TRIM(SUBSTITUTE(SUBSTITUTE(SUBSTITUTE(SUBSTITUTE(LINES_NAME&amp;""," "," "),CHAR(9)," "),CHAR(10)," "),CHAR(13)," "))=$DH622),0),0),0))</f>
        <v/>
      </c>
      <c r="EO622">
        <f>IF($EN622=0,0,IF(OR(UPPER(TRIM(INDEX(LINES_SCHEDULED,$EN622)&amp;""))="YES",UPPER(TRIM(INDEX(LINES_SCHEDULED,$EN622)&amp;""))="Y",UPPER(TRIM(INDEX(LINES_SCHEDULED,$EN622)&amp;""))="X"),1,0))</f>
        <v/>
      </c>
      <c r="EP622">
        <f>IF($DM622=0,"",IF(COUNTIFS($EG$5:$EG$1003,$EG622,$EB$5:$EB$1003,"Ready")&gt;0,"READY",IF(COUNTIFS($EG$5:$EG$1003,$EG622,$EB$5:$EB$1003,"PM")&gt;0,"PM",IF(COUNTIFS($EG$5:$EG$1003,$EG622,$EB$5:$EB$1003,"OT")&gt;0,"OT",""))))</f>
        <v/>
      </c>
      <c r="EQ622">
        <f>IF($EN622=0,"",UPPER(TRIM(INDEX(LINES_STATUS,$EN622)&amp;"")))</f>
        <v/>
      </c>
      <c r="ER622">
        <f>IF($DM622=0,"",IF(OR($EQ622="READY",$EQ622="PM",$EQ622="OT"),$EQ622,$EP622))</f>
        <v/>
      </c>
      <c r="ES622">
        <f>IF($DM622=0,"",IF(AND($DV622&lt;&gt;"",UPPER($DV622)&lt;&gt;"N"),"allergen",IF(ISNUMBER(SEARCH("oil",$DQ622)),"oil",IF(OR(EXACT($DS622,"A662"),EXACT($DS622,"A624")),"bulk",""))))</f>
        <v/>
      </c>
      <c r="ET622">
        <f>IF($DM622=0,"",IF(OR($EA622="",$EA622=0),"",$EA622/100))</f>
        <v/>
      </c>
      <c r="EU622">
        <f>IF(OR($ET622="",$DY622=""),"",INT($DY622*(1-$ET622)+0.5))</f>
        <v/>
      </c>
      <c r="EW622" t="n">
        <v>618</v>
      </c>
      <c r="EX622">
        <f>IFERROR(MATCH($EW622,$EM$5:$EM$1003,0),0)</f>
        <v/>
      </c>
      <c r="EY622">
        <f>IF($EW622&gt;$B$12,"",IF($EX622&gt;0,"row","spacer"))</f>
        <v/>
      </c>
      <c r="EZ622">
        <f>IF(AND($EY622="row",$EY621&lt;&gt;"row"),1,0)</f>
        <v/>
      </c>
      <c r="FA622">
        <f>IF(AND($EY622="row",$EY623&lt;&gt;"row"),1,0)</f>
        <v/>
      </c>
      <c r="FB622">
        <f>IF($EZ622=1,IFERROR(IF(ISNUMBER(INDEX(PASTE_ALL,INDEX($DF$5:$DF$1003,$EX622),$B$37)),INDEX(PASTE_ALL,INDEX($DF$5:$DF$1003,$EX622),$B$37),INDEX($DH$5:$DH$1003,$EX622)),INDEX($DH$5:$DH$1003,$EX622)),"")</f>
        <v/>
      </c>
      <c r="FC622">
        <f>IF($EY622="row",INDEX($ER$5:$ER$1003,$EX622),"")</f>
        <v/>
      </c>
      <c r="FD622">
        <f>IF($EY622="row",INDEX($DN$5:$DN$1003,$EX622),"")</f>
        <v/>
      </c>
      <c r="FE622">
        <f>IF($EY622="row",INDEX($DO$5:$DO$1003,$EX622),"")</f>
        <v/>
      </c>
      <c r="FF622">
        <f>IF($EY622="row",INDEX($DP$5:$DP$1003,$EX622),"")</f>
        <v/>
      </c>
      <c r="FG622">
        <f>IF($EY622="row",INDEX($DQ$5:$DQ$1003,$EX622),"")</f>
        <v/>
      </c>
      <c r="FH622">
        <f>IF($EY622="row",INDEX($DR$5:$DR$1003,$EX622),"")</f>
        <v/>
      </c>
      <c r="FI622">
        <f>IF($EY622="row",INDEX($DS$5:$DS$1003,$EX622),"")</f>
        <v/>
      </c>
      <c r="FJ622">
        <f>IF($EY622="row",INDEX($DT$5:$DT$1003,$EX622),"")</f>
        <v/>
      </c>
      <c r="FK622">
        <f>IF($EY622="row",INDEX($DU$5:$DU$1003,$EX622),"")</f>
        <v/>
      </c>
      <c r="FL622">
        <f>IF($EY622="row",INDEX($DV$5:$DV$1003,$EX622),"")</f>
        <v/>
      </c>
      <c r="FM622">
        <f>IF($EY622="row",INDEX($DW$5:$DW$1003,$EX622),"")</f>
        <v/>
      </c>
      <c r="FN622">
        <f>IF($EY622="row",INDEX($DY$5:$DY$1003,$EX622),"")</f>
        <v/>
      </c>
      <c r="FO622">
        <f>IF($EY622="row",INDEX($EA$5:$EA$1003,$EX622),"")</f>
        <v/>
      </c>
      <c r="FP622">
        <f>IF($EY622="row",INDEX($EC$5:$EC$1003,$EX622),"")</f>
        <v/>
      </c>
      <c r="FQ622">
        <f>IF($EY622="row",INDEX($ET$5:$ET$1003,$EX622),"")</f>
        <v/>
      </c>
      <c r="FR622">
        <f>IF($EY622="row",INDEX($EU$5:$EU$1003,$EX622),"")</f>
        <v/>
      </c>
      <c r="FS622">
        <f>IF(AND($EY622="row",$EY621="row"),IF(OR(INDEX($DT$5:$DT$1003,$EX621)="",INDEX($DT$5:$DT$1003,$EX622)=""),"",IF(NOT(EXACT(INDEX($DT$5:$DT$1003,$EX621),INDEX($DT$5:$DT$1003,$EX622))),"S4",IF(NOT(EXACT(INDEX($DS$5:$DS$1003,$EX621),INDEX($DS$5:$DS$1003,$EX622))),"S3",IF(NOT(EXACT(INDEX($DR$5:$DR$1003,$EX621),INDEX($DR$5:$DR$1003,$EX622))),"S1 Count Change","S1")))),"")</f>
        <v/>
      </c>
      <c r="FT622">
        <f>IF($EY622="row",INDEX($ES$5:$ES$1003,$EX622),"")</f>
        <v/>
      </c>
      <c r="FU622">
        <f>IF($EY622="row",INDEX($EO$5:$EO$1003,$EX622),0)</f>
        <v/>
      </c>
      <c r="FV622">
        <f>IF($FS622="S1 Count Change",1,0)</f>
        <v/>
      </c>
    </row>
    <row r="623">
      <c r="DA623" t="n">
        <v>619</v>
      </c>
      <c r="DB623">
        <f>IF($B$37=0,"",IFERROR(TRIM(SUBSTITUTE(SUBSTITUTE(SUBSTITUTE(SUBSTITUTE(INDEX(PASTE_ALL,619,$B$37)," "," "),CHAR(9)," "),CHAR(10)," "),CHAR(13)," ")),""))</f>
        <v/>
      </c>
      <c r="DC623">
        <f>IF(AND(619&gt;HEADER_ROW,UPPER(DB623)="LEGEND"),1,0)</f>
        <v/>
      </c>
      <c r="DE623" t="n">
        <v>619</v>
      </c>
      <c r="DF623">
        <f>HEADER_ROW+$DE623</f>
        <v/>
      </c>
      <c r="DG623">
        <f>IF(AND($DF623&lt;=1000,$DF623&lt;$B$8),1,0)</f>
        <v/>
      </c>
      <c r="DH623">
        <f>IF($DG623=1,IFERROR(INDEX($DB$5:$DB$1004,$DF623),""),"")</f>
        <v/>
      </c>
      <c r="DI623">
        <f>IF(AND($DG623=1,$DH623&lt;&gt;""),IFERROR(SUBSTITUTE(SUBSTITUTE(TRIM(SUBSTITUTE(SUBSTITUTE(SUBSTITUTE(SUBSTITUTE(IFERROR(INDEX(PASTE_ALL,$DF623,1)&amp;"","")&amp;"␟"&amp;IFERROR(INDEX(PASTE_ALL,$DF623,2)&amp;"","")&amp;"␟"&amp;IFERROR(INDEX(PASTE_ALL,$DF623,3)&amp;"","")&amp;"␟"&amp;IFERROR(INDEX(PASTE_ALL,$DF623,4)&amp;"","")&amp;"␟"&amp;IFERROR(INDEX(PASTE_ALL,$DF623,5)&amp;"","")&amp;"␟"&amp;IFERROR(INDEX(PASTE_ALL,$DF623,6)&amp;"","")&amp;"␟"&amp;IFERROR(INDEX(PASTE_ALL,$DF623,7)&amp;"","")&amp;"␟"&amp;IFERROR(INDEX(PASTE_ALL,$DF623,8)&amp;"","")&amp;"␟"&amp;IFERROR(INDEX(PASTE_ALL,$DF623,9)&amp;"","")&amp;"␟"&amp;IFERROR(INDEX(PASTE_ALL,$DF623,10)&amp;"","")&amp;"␟"&amp;IFERROR(INDEX(PASTE_ALL,$DF623,11)&amp;"","")&amp;"␟"&amp;IFERROR(INDEX(PASTE_ALL,$DF623,12)&amp;"","")&amp;"␟"&amp;IFERROR(INDEX(PASTE_ALL,$DF623,13)&amp;"","")&amp;"␟"&amp;IFERROR(INDEX(PASTE_ALL,$DF623,14)&amp;"","")&amp;"␟"&amp;IFERROR(INDEX(PASTE_ALL,$DF623,15)&amp;"","")&amp;"␟"&amp;IFERROR(INDEX(PASTE_ALL,$DF623,16)&amp;"","")&amp;"␟"&amp;IFERROR(INDEX(PASTE_ALL,$DF623,17)&amp;"","")&amp;"␟"&amp;IFERROR(INDEX(PASTE_ALL,$DF623,18)&amp;"","")&amp;"␟"&amp;IFERROR(INDEX(PASTE_ALL,$DF623,19)&amp;"","")&amp;"␟"&amp;IFERROR(INDEX(PASTE_ALL,$DF623,20)&amp;"","")&amp;"␟"&amp;IFERROR(INDEX(PASTE_ALL,$DF623,21)&amp;"","")&amp;"␟"&amp;IFERROR(INDEX(PASTE_ALL,$DF623,22)&amp;"","")&amp;"␟"&amp;IFERROR(INDEX(PASTE_ALL,$DF623,23)&amp;"","")&amp;"␟"&amp;IFERROR(INDEX(PASTE_ALL,$DF623,24)&amp;"","")&amp;"␟"&amp;IFERROR(INDEX(PASTE_ALL,$DF623,25)&amp;"","")&amp;"␟"&amp;IFERROR(INDEX(PASTE_ALL,$DF623,26)&amp;"","")&amp;"␟"&amp;IFERROR(INDEX(PASTE_ALL,$DF623,27)&amp;"","")&amp;"␟"&amp;IFERROR(INDEX(PASTE_ALL,$DF623,28)&amp;"","")&amp;"␟"&amp;IFERROR(INDEX(PASTE_ALL,$DF623,29)&amp;"","")&amp;"␟"&amp;IFERROR(INDEX(PASTE_ALL,$DF623,30)&amp;"","")&amp;"␟"&amp;IFERROR(INDEX(PASTE_ALL,$DF623,31)&amp;"","")&amp;"␟"&amp;IFERROR(INDEX(PASTE_ALL,$DF623,32)&amp;"","")&amp;"␟"&amp;IFERROR(INDEX(PASTE_ALL,$DF623,33)&amp;"","")&amp;"␟"&amp;IFERROR(INDEX(PASTE_ALL,$DF623,34)&amp;"","")&amp;"␟"&amp;IFERROR(INDEX(PASTE_ALL,$DF623,35)&amp;"","")&amp;"␟"&amp;IFERROR(INDEX(PASTE_ALL,$DF623,36)&amp;"","")&amp;"␟"&amp;IFERROR(INDEX(PASTE_ALL,$DF623,37)&amp;"","")&amp;"␟"&amp;IFERROR(INDEX(PASTE_ALL,$DF623,38)&amp;"","")&amp;"␟"&amp;IFERROR(INDEX(PASTE_ALL,$DF623,39)&amp;"","")&amp;"␟"&amp;IFERROR(INDEX(PASTE_ALL,$DF623,40)&amp;"","")&amp;"␟"&amp;IFERROR(INDEX(PASTE_ALL,$DF623,41)&amp;"","")&amp;"␟"&amp;IFERROR(INDEX(PASTE_ALL,$DF623,42)&amp;"","")&amp;"␟"&amp;IFERROR(INDEX(PASTE_ALL,$DF623,43)&amp;"","")&amp;"␟"&amp;IFERROR(INDEX(PASTE_ALL,$DF623,44)&amp;"","")&amp;"␟"&amp;IFERROR(INDEX(PASTE_ALL,$DF623,45)&amp;"","")&amp;"␟"&amp;IFERROR(INDEX(PASTE_ALL,$DF623,46)&amp;"","")&amp;"␟"&amp;IFERROR(INDEX(PASTE_ALL,$DF623,47)&amp;"","")&amp;"␟"&amp;IFERROR(INDEX(PASTE_ALL,$DF623,48)&amp;"","")&amp;"␟"&amp;IFERROR(INDEX(PASTE_ALL,$DF623,49)&amp;"","")&amp;"␟"&amp;IFERROR(INDEX(PASTE_ALL,$DF623,50)&amp;"","")&amp;"␟"&amp;IFERROR(INDEX(PASTE_ALL,$DF623,51)&amp;"","")&amp;"␟"&amp;IFERROR(INDEX(PASTE_ALL,$DF623,52)&amp;"","")&amp;"␟"&amp;IFERROR(INDEX(PASTE_ALL,$DF623,53)&amp;"","")&amp;"␟"&amp;IFERROR(INDEX(PASTE_ALL,$DF623,54)&amp;"","")&amp;"␟"&amp;IFERROR(INDEX(PASTE_ALL,$DF623,55)&amp;"","")&amp;"␟"&amp;IFERROR(INDEX(PASTE_ALL,$DF623,56)&amp;"","")&amp;"␟"&amp;IFERROR(INDEX(PASTE_ALL,$DF623,57)&amp;"","")&amp;"␟"&amp;IFERROR(INDEX(PASTE_ALL,$DF623,58)&amp;"","")&amp;"␟"&amp;IFERROR(INDEX(PASTE_ALL,$DF623,59)&amp;"","")&amp;"␟"&amp;IFERROR(INDEX(PASTE_ALL,$DF623,60)&amp;"","")," "," "),CHAR(9)," "),CHAR(10)," "),CHAR(13)," "))," ␟","␟"),"␟ ","␟"),"#"&amp;$DE623),"")</f>
        <v/>
      </c>
      <c r="DJ623">
        <f>IF($DI623="",0,IF(SUMPRODUCT(--EXACT($DI$4:DI622,$DI623))&gt;0,1,0))</f>
        <v/>
      </c>
      <c r="DK623">
        <f>IF(AND($DI623&lt;&gt;"",$DJ623=0),1,0)</f>
        <v/>
      </c>
      <c r="DL623">
        <f>DL622+$DK623</f>
        <v/>
      </c>
      <c r="DM623">
        <f>IF(AND($DK623=1,$DL623&lt;=600),1,0)</f>
        <v/>
      </c>
      <c r="DN623">
        <f>IF($DM623=0,"",IF($L$6=0,"",IFERROR(IF(ISNUMBER(INDEX(PASTE_ALL,$DF623,$L$6)),INDEX(PASTE_ALL,$DF623,$L$6),TRIM(SUBSTITUTE(SUBSTITUTE(SUBSTITUTE(SUBSTITUTE(INDEX(PASTE_ALL,$DF623,$L$6)," "," "),CHAR(9)," "),CHAR(10)," "),CHAR(13)," "))),"")))</f>
        <v/>
      </c>
      <c r="DO623">
        <f>IF($DM623=0,"",IF($L$7=0,"",IFERROR(IF(ISNUMBER(INDEX(PASTE_ALL,$DF623,$L$7)),INDEX(PASTE_ALL,$DF623,$L$7),TRIM(SUBSTITUTE(SUBSTITUTE(SUBSTITUTE(SUBSTITUTE(INDEX(PASTE_ALL,$DF623,$L$7)," "," "),CHAR(9)," "),CHAR(10)," "),CHAR(13)," "))),"")))</f>
        <v/>
      </c>
      <c r="DP623">
        <f>IF($DM623=0,"",IF($L$8=0,"",IFERROR(IF(ISNUMBER(INDEX(PASTE_ALL,$DF623,$L$8)),INDEX(PASTE_ALL,$DF623,$L$8),TRIM(SUBSTITUTE(SUBSTITUTE(SUBSTITUTE(SUBSTITUTE(INDEX(PASTE_ALL,$DF623,$L$8)," "," "),CHAR(9)," "),CHAR(10)," "),CHAR(13)," "))),"")))</f>
        <v/>
      </c>
      <c r="DQ623">
        <f>IF($DM623=0,"",IF($L$9=0,"",IFERROR(IF(ISNUMBER(INDEX(PASTE_ALL,$DF623,$L$9)),INDEX(PASTE_ALL,$DF623,$L$9),TRIM(SUBSTITUTE(SUBSTITUTE(SUBSTITUTE(SUBSTITUTE(INDEX(PASTE_ALL,$DF623,$L$9)," "," "),CHAR(9)," "),CHAR(10)," "),CHAR(13)," "))),"")))</f>
        <v/>
      </c>
      <c r="DR623">
        <f>IF($DM623=0,"",IF($L$10=0,"",IFERROR(IF(ISNUMBER(INDEX(PASTE_ALL,$DF623,$L$10)),INDEX(PASTE_ALL,$DF623,$L$10),TRIM(SUBSTITUTE(SUBSTITUTE(SUBSTITUTE(SUBSTITUTE(INDEX(PASTE_ALL,$DF623,$L$10)," "," "),CHAR(9)," "),CHAR(10)," "),CHAR(13)," "))),"")))</f>
        <v/>
      </c>
      <c r="DS623">
        <f>IF($DM623=0,"",IF($L$11=0,"",IFERROR(IF(ISNUMBER(INDEX(PASTE_ALL,$DF623,$L$11)),INDEX(PASTE_ALL,$DF623,$L$11),TRIM(SUBSTITUTE(SUBSTITUTE(SUBSTITUTE(SUBSTITUTE(INDEX(PASTE_ALL,$DF623,$L$11)," "," "),CHAR(9)," "),CHAR(10)," "),CHAR(13)," "))),"")))</f>
        <v/>
      </c>
      <c r="DT623">
        <f>IF($DM623=0,"",IF($L$12=0,"",IFERROR(IF(ISNUMBER(INDEX(PASTE_ALL,$DF623,$L$12)),INDEX(PASTE_ALL,$DF623,$L$12),TRIM(SUBSTITUTE(SUBSTITUTE(SUBSTITUTE(SUBSTITUTE(INDEX(PASTE_ALL,$DF623,$L$12)," "," "),CHAR(9)," "),CHAR(10)," "),CHAR(13)," "))),"")))</f>
        <v/>
      </c>
      <c r="DU623">
        <f>IF($DM623=0,"",IF($L$13=0,"",IFERROR(IF(ISNUMBER(INDEX(PASTE_ALL,$DF623,$L$13)),INDEX(PASTE_ALL,$DF623,$L$13),TRIM(SUBSTITUTE(SUBSTITUTE(SUBSTITUTE(SUBSTITUTE(INDEX(PASTE_ALL,$DF623,$L$13)," "," "),CHAR(9)," "),CHAR(10)," "),CHAR(13)," "))),"")))</f>
        <v/>
      </c>
      <c r="DV623">
        <f>IF($DM623=0,"",IF($L$14=0,"",IFERROR(IF(ISNUMBER(INDEX(PASTE_ALL,$DF623,$L$14)),INDEX(PASTE_ALL,$DF623,$L$14),TRIM(SUBSTITUTE(SUBSTITUTE(SUBSTITUTE(SUBSTITUTE(INDEX(PASTE_ALL,$DF623,$L$14)," "," "),CHAR(9)," "),CHAR(10)," "),CHAR(13)," "))),"")))</f>
        <v/>
      </c>
      <c r="DW623">
        <f>IF($DM623=0,"",IF($L$15=0,"",IFERROR(IF(ISNUMBER(INDEX(PASTE_ALL,$DF623,$L$15)),INDEX(PASTE_ALL,$DF623,$L$15),IF(SUMPRODUCT(--ISNUMBER(FIND({"A","B","C","D","E","F","G","H","I","J","K","L","M","N","O","P","Q","R","S","T","U","V","W","X","Y","Z","0","1","2","3","4","5","6","7","8","9"},UPPER(TRIM(SUBSTITUTE(SUBSTITUTE(SUBSTITUTE(SUBSTITUTE(INDEX(PASTE_ALL,$DF623,$L$15)," "," "),CHAR(9)," "),CHAR(10)," "),CHAR(13)," "))))))&gt;0,TRIM(SUBSTITUTE(SUBSTITUTE(SUBSTITUTE(SUBSTITUTE(INDEX(PASTE_ALL,$DF623,$L$15)," "," "),CHAR(9)," "),CHAR(10)," "),CHAR(13)," ")),"")),"")))</f>
        <v/>
      </c>
      <c r="DX623">
        <f>IF($DM623=0,"",IF($L$16=0,"",IFERROR(IF(ISNUMBER(INDEX(PASTE_ALL,$DF623,$L$16)),INDEX(PASTE_ALL,$DF623,$L$16),SUBSTITUTE(SUBSTITUTE(TRIM(SUBSTITUTE(SUBSTITUTE(SUBSTITUTE(SUBSTITUTE(INDEX(PASTE_ALL,$DF623,$L$16)," "," "),CHAR(9)," "),CHAR(10)," "),CHAR(13)," ")),",",""),"%","")),"")))</f>
        <v/>
      </c>
      <c r="DY623">
        <f>IF($DM623=0,"",IFERROR(IF(ISNUMBER($DX623),$DX623,IF($DX623="","",IF(TRIM($DX623)="",0,IF(AND(AND(SUBSTITUTE(SUBSTITUTE(SUBSTITUTE(SUBSTITUTE(SUBSTITUTE(SUBSTITUTE(SUBSTITUTE(SUBSTITUTE(SUBSTITUTE(SUBSTITUTE(SUBSTITUTE(SUBSTITUTE(SUBSTITUTE(SUBSTITUTE(UPPER(TRIM($DX623)),"0",""),"1",""),"2",""),"3",""),"4",""),"5",""),"6",""),"7",""),"8",""),"9",""),".",""),"+",""),"-",""),"E","")="",LEN(SUBSTITUTE(SUBSTITUTE(MID(UPPER(TRIM($DX623)),1+OR(LEFT(UPPER(TRIM($DX623)),1)="+",LEFT(UPPER(TRIM($DX623)),1)="-"),999),"E+","E"),"E-","E"))=LEN(SUBSTITUTE(SUBSTITUTE(SUBSTITUTE(SUBSTITUTE(MID(UPPER(TRIM($DX623)),1+OR(LEFT(UPPER(TRIM($DX623)),1)="+",LEFT(UPPER(TRIM($DX623)),1)="-"),999),"E+","E"),"E-","E"),"+",""),"-","")),LEN(UPPER(TRIM($DX623)))-LEN(SUBSTITUTE(UPPER(TRIM($DX623)),"E",""))&lt;2,LEN(UPPER(TRIM($DX623)))-LEN(SUBSTITUTE(UPPER(TRIM($DX623)),".",""))&lt;2,IFERROR(FIND(".",UPPER(TRIM($DX623))),0)&lt;IFERROR(FIND("E",UPPER(TRIM($DX623))),999)),ISNUMBER(VALUE(TRIM($DX623)))),VALUE(TRIM($DX623)),"")))),""))</f>
        <v/>
      </c>
      <c r="DZ623">
        <f>IF($DM623=0,"",IF($L$17=0,"",IFERROR(IF(ISNUMBER(INDEX(PASTE_ALL,$DF623,$L$17)),INDEX(PASTE_ALL,$DF623,$L$17),SUBSTITUTE(SUBSTITUTE(TRIM(SUBSTITUTE(SUBSTITUTE(SUBSTITUTE(SUBSTITUTE(INDEX(PASTE_ALL,$DF623,$L$17)," "," "),CHAR(9)," "),CHAR(10)," "),CHAR(13)," ")),",",""),"%","")),"")))</f>
        <v/>
      </c>
      <c r="EA623">
        <f>IF($DM623=0,"",IFERROR(IF(ISNUMBER($DZ623),$DZ623,IF($DZ623="","",IF(TRIM($DZ623)="",0,IF(AND(AND(SUBSTITUTE(SUBSTITUTE(SUBSTITUTE(SUBSTITUTE(SUBSTITUTE(SUBSTITUTE(SUBSTITUTE(SUBSTITUTE(SUBSTITUTE(SUBSTITUTE(SUBSTITUTE(SUBSTITUTE(SUBSTITUTE(SUBSTITUTE(UPPER(TRIM($DZ623)),"0",""),"1",""),"2",""),"3",""),"4",""),"5",""),"6",""),"7",""),"8",""),"9",""),".",""),"+",""),"-",""),"E","")="",LEN(SUBSTITUTE(SUBSTITUTE(MID(UPPER(TRIM($DZ623)),1+OR(LEFT(UPPER(TRIM($DZ623)),1)="+",LEFT(UPPER(TRIM($DZ623)),1)="-"),999),"E+","E"),"E-","E"))=LEN(SUBSTITUTE(SUBSTITUTE(SUBSTITUTE(SUBSTITUTE(MID(UPPER(TRIM($DZ623)),1+OR(LEFT(UPPER(TRIM($DZ623)),1)="+",LEFT(UPPER(TRIM($DZ623)),1)="-"),999),"E+","E"),"E-","E"),"+",""),"-","")),LEN(UPPER(TRIM($DZ623)))-LEN(SUBSTITUTE(UPPER(TRIM($DZ623)),"E",""))&lt;2,LEN(UPPER(TRIM($DZ623)))-LEN(SUBSTITUTE(UPPER(TRIM($DZ623)),".",""))&lt;2,IFERROR(FIND(".",UPPER(TRIM($DZ623))),0)&lt;IFERROR(FIND("E",UPPER(TRIM($DZ623))),999)),ISNUMBER(VALUE(TRIM($DZ623)))),VALUE(TRIM($DZ623)),"")))),""))</f>
        <v/>
      </c>
      <c r="EB623">
        <f>IF($DM623=0,"",IF($L$18=0,"",IFERROR(IF(UPPER(TRIM(SUBSTITUTE(SUBSTITUTE(SUBSTITUTE(SUBSTITUTE(INDEX(PASTE_ALL,$DF623,$L$18)," "," "),CHAR(9)," "),CHAR(10)," "),CHAR(13)," ")))="READY","Ready",IF(UPPER(TRIM(SUBSTITUTE(SUBSTITUTE(SUBSTITUTE(SUBSTITUTE(INDEX(PASTE_ALL,$DF623,$L$18)," "," "),CHAR(9)," "),CHAR(10)," "),CHAR(13)," ")))="PM","PM",IF(OR(UPPER(TRIM(SUBSTITUTE(SUBSTITUTE(SUBSTITUTE(SUBSTITUTE(INDEX(PASTE_ALL,$DF623,$L$18)," "," "),CHAR(9)," "),CHAR(10)," "),CHAR(13)," ")))="OT",UPPER(TRIM(SUBSTITUTE(SUBSTITUTE(SUBSTITUTE(SUBSTITUTE(INDEX(PASTE_ALL,$DF623,$L$18)," "," "),CHAR(9)," "),CHAR(10)," "),CHAR(13)," ")))="OVERTIME",UPPER(TRIM(SUBSTITUTE(SUBSTITUTE(SUBSTITUTE(SUBSTITUTE(INDEX(PASTE_ALL,$DF623,$L$18)," "," "),CHAR(9)," "),CHAR(10)," "),CHAR(13)," ")))="TRIAL"),"OT",TRIM(SUBSTITUTE(SUBSTITUTE(SUBSTITUTE(SUBSTITUTE(INDEX(PASTE_ALL,$DF623,$L$18)," "," "),CHAR(9)," "),CHAR(10)," "),CHAR(13)," "))))),"")))</f>
        <v/>
      </c>
      <c r="EC623">
        <f>IF($DM623=0,"",IF($L$19=0,"",IFERROR(IF(ISNUMBER(INDEX(PASTE_ALL,$DF623,$L$19)),INDEX(PASTE_ALL,$DF623,$L$19),TRIM(SUBSTITUTE(SUBSTITUTE(SUBSTITUTE(SUBSTITUTE(INDEX(PASTE_ALL,$DF623,$L$19)," "," "),CHAR(9)," "),CHAR(10)," "),CHAR(13)," "))),"")))</f>
        <v/>
      </c>
      <c r="ED623">
        <f>IF($DM623=0,"",MATCH(1,INDEX(EXACT($DH$5:DH623,$DH623)*$DM$5:DM623,0),0))</f>
        <v/>
      </c>
      <c r="EE623">
        <f>IF($DM623=0,0,IF($ED623=$DE623,1,0))</f>
        <v/>
      </c>
      <c r="EF623">
        <f>EF622+$EE623</f>
        <v/>
      </c>
      <c r="EG623">
        <f>IF($DM623=0,"",INDEX($EF$5:$EF$1003,$ED623))</f>
        <v/>
      </c>
      <c r="EH623">
        <f>IF($DM623=0,"",IF($DO623&lt;&gt;"","",IFERROR(LOOKUP(2,1/(($EG$4:EG622=$EG623)*($DO$4:DO622&lt;&gt;"")),$DO$4:DO622),"")))</f>
        <v/>
      </c>
      <c r="EI623">
        <f>IF($DM623=0,"",IF($DO623&lt;&gt;"",$DO623,$EH623))</f>
        <v/>
      </c>
      <c r="EJ623">
        <f>IF($DM623=0,"",IF($EI623="",0,IF(OR(ISNUMBER($EI623),AND(AND(SUBSTITUTE(SUBSTITUTE(SUBSTITUTE(SUBSTITUTE(SUBSTITUTE(SUBSTITUTE(SUBSTITUTE(SUBSTITUTE(SUBSTITUTE(SUBSTITUTE(SUBSTITUTE(SUBSTITUTE(SUBSTITUTE(SUBSTITUTE(UPPER($EI623),"0",""),"1",""),"2",""),"3",""),"4",""),"5",""),"6",""),"7",""),"8",""),"9",""),".",""),"+",""),"-",""),"E","")="",LEN(SUBSTITUTE(SUBSTITUTE(MID(UPPER($EI623),1+OR(LEFT(UPPER($EI623),1)="+",LEFT(UPPER($EI623),1)="-"),999),"E+","E"),"E-","E"))=LEN(SUBSTITUTE(SUBSTITUTE(SUBSTITUTE(SUBSTITUTE(MID(UPPER($EI623),1+OR(LEFT(UPPER($EI623),1)="+",LEFT(UPPER($EI623),1)="-"),999),"E+","E"),"E-","E"),"+",""),"-","")),LEN(UPPER($EI623))-LEN(SUBSTITUTE(UPPER($EI623),"E",""))&lt;2,LEN(UPPER($EI623))-LEN(SUBSTITUTE(UPPER($EI623),".",""))&lt;2,IFERROR(FIND(".",UPPER($EI623)),0)&lt;IFERROR(FIND("E",UPPER($EI623)),999)),ISNUMBER(VALUE($EI623)))),1,2)))</f>
        <v/>
      </c>
      <c r="EK623">
        <f>IF($DM623=0,"",IF($EJ623=1,IF(ISNUMBER($EI623),$EI623,VALUE($EI623)),IF($EJ623=2,$DE623,0)))</f>
        <v/>
      </c>
      <c r="EL623">
        <f>IF($DM623=0,"",COUNTIF($EG$5:$EG$1003,"&lt;"&amp;$EG623)+SUMPRODUCT(($EG$5:$EG$1003=$EG623)*(($EJ$5:$EJ$1003&lt;$EJ623)+($EJ$5:$EJ$1003=$EJ623)*(($EK$5:$EK$1003&lt;$EK623)+($EK$5:$EK$1003=$EK623)*($DE$5:$DE$1003&lt;$DE623))))+1)</f>
        <v/>
      </c>
      <c r="EM623">
        <f>IF($DM623=0,"",$EL623+$EG623-1)</f>
        <v/>
      </c>
      <c r="EN623">
        <f>IF($DM623=0,0,IFERROR(MATCH(1,INDEX(--(TRIM(SUBSTITUTE(SUBSTITUTE(SUBSTITUTE(SUBSTITUTE(LINES_NAME&amp;""," "," "),CHAR(9)," "),CHAR(10)," "),CHAR(13)," "))=$DH623),0),0),0))</f>
        <v/>
      </c>
      <c r="EO623">
        <f>IF($EN623=0,0,IF(OR(UPPER(TRIM(INDEX(LINES_SCHEDULED,$EN623)&amp;""))="YES",UPPER(TRIM(INDEX(LINES_SCHEDULED,$EN623)&amp;""))="Y",UPPER(TRIM(INDEX(LINES_SCHEDULED,$EN623)&amp;""))="X"),1,0))</f>
        <v/>
      </c>
      <c r="EP623">
        <f>IF($DM623=0,"",IF(COUNTIFS($EG$5:$EG$1003,$EG623,$EB$5:$EB$1003,"Ready")&gt;0,"READY",IF(COUNTIFS($EG$5:$EG$1003,$EG623,$EB$5:$EB$1003,"PM")&gt;0,"PM",IF(COUNTIFS($EG$5:$EG$1003,$EG623,$EB$5:$EB$1003,"OT")&gt;0,"OT",""))))</f>
        <v/>
      </c>
      <c r="EQ623">
        <f>IF($EN623=0,"",UPPER(TRIM(INDEX(LINES_STATUS,$EN623)&amp;"")))</f>
        <v/>
      </c>
      <c r="ER623">
        <f>IF($DM623=0,"",IF(OR($EQ623="READY",$EQ623="PM",$EQ623="OT"),$EQ623,$EP623))</f>
        <v/>
      </c>
      <c r="ES623">
        <f>IF($DM623=0,"",IF(AND($DV623&lt;&gt;"",UPPER($DV623)&lt;&gt;"N"),"allergen",IF(ISNUMBER(SEARCH("oil",$DQ623)),"oil",IF(OR(EXACT($DS623,"A662"),EXACT($DS623,"A624")),"bulk",""))))</f>
        <v/>
      </c>
      <c r="ET623">
        <f>IF($DM623=0,"",IF(OR($EA623="",$EA623=0),"",$EA623/100))</f>
        <v/>
      </c>
      <c r="EU623">
        <f>IF(OR($ET623="",$DY623=""),"",INT($DY623*(1-$ET623)+0.5))</f>
        <v/>
      </c>
      <c r="EW623" t="n">
        <v>619</v>
      </c>
      <c r="EX623">
        <f>IFERROR(MATCH($EW623,$EM$5:$EM$1003,0),0)</f>
        <v/>
      </c>
      <c r="EY623">
        <f>IF($EW623&gt;$B$12,"",IF($EX623&gt;0,"row","spacer"))</f>
        <v/>
      </c>
      <c r="EZ623">
        <f>IF(AND($EY623="row",$EY622&lt;&gt;"row"),1,0)</f>
        <v/>
      </c>
      <c r="FA623">
        <f>IF(AND($EY623="row",$EY624&lt;&gt;"row"),1,0)</f>
        <v/>
      </c>
      <c r="FB623">
        <f>IF($EZ623=1,IFERROR(IF(ISNUMBER(INDEX(PASTE_ALL,INDEX($DF$5:$DF$1003,$EX623),$B$37)),INDEX(PASTE_ALL,INDEX($DF$5:$DF$1003,$EX623),$B$37),INDEX($DH$5:$DH$1003,$EX623)),INDEX($DH$5:$DH$1003,$EX623)),"")</f>
        <v/>
      </c>
      <c r="FC623">
        <f>IF($EY623="row",INDEX($ER$5:$ER$1003,$EX623),"")</f>
        <v/>
      </c>
      <c r="FD623">
        <f>IF($EY623="row",INDEX($DN$5:$DN$1003,$EX623),"")</f>
        <v/>
      </c>
      <c r="FE623">
        <f>IF($EY623="row",INDEX($DO$5:$DO$1003,$EX623),"")</f>
        <v/>
      </c>
      <c r="FF623">
        <f>IF($EY623="row",INDEX($DP$5:$DP$1003,$EX623),"")</f>
        <v/>
      </c>
      <c r="FG623">
        <f>IF($EY623="row",INDEX($DQ$5:$DQ$1003,$EX623),"")</f>
        <v/>
      </c>
      <c r="FH623">
        <f>IF($EY623="row",INDEX($DR$5:$DR$1003,$EX623),"")</f>
        <v/>
      </c>
      <c r="FI623">
        <f>IF($EY623="row",INDEX($DS$5:$DS$1003,$EX623),"")</f>
        <v/>
      </c>
      <c r="FJ623">
        <f>IF($EY623="row",INDEX($DT$5:$DT$1003,$EX623),"")</f>
        <v/>
      </c>
      <c r="FK623">
        <f>IF($EY623="row",INDEX($DU$5:$DU$1003,$EX623),"")</f>
        <v/>
      </c>
      <c r="FL623">
        <f>IF($EY623="row",INDEX($DV$5:$DV$1003,$EX623),"")</f>
        <v/>
      </c>
      <c r="FM623">
        <f>IF($EY623="row",INDEX($DW$5:$DW$1003,$EX623),"")</f>
        <v/>
      </c>
      <c r="FN623">
        <f>IF($EY623="row",INDEX($DY$5:$DY$1003,$EX623),"")</f>
        <v/>
      </c>
      <c r="FO623">
        <f>IF($EY623="row",INDEX($EA$5:$EA$1003,$EX623),"")</f>
        <v/>
      </c>
      <c r="FP623">
        <f>IF($EY623="row",INDEX($EC$5:$EC$1003,$EX623),"")</f>
        <v/>
      </c>
      <c r="FQ623">
        <f>IF($EY623="row",INDEX($ET$5:$ET$1003,$EX623),"")</f>
        <v/>
      </c>
      <c r="FR623">
        <f>IF($EY623="row",INDEX($EU$5:$EU$1003,$EX623),"")</f>
        <v/>
      </c>
      <c r="FS623">
        <f>IF(AND($EY623="row",$EY622="row"),IF(OR(INDEX($DT$5:$DT$1003,$EX622)="",INDEX($DT$5:$DT$1003,$EX623)=""),"",IF(NOT(EXACT(INDEX($DT$5:$DT$1003,$EX622),INDEX($DT$5:$DT$1003,$EX623))),"S4",IF(NOT(EXACT(INDEX($DS$5:$DS$1003,$EX622),INDEX($DS$5:$DS$1003,$EX623))),"S3",IF(NOT(EXACT(INDEX($DR$5:$DR$1003,$EX622),INDEX($DR$5:$DR$1003,$EX623))),"S1 Count Change","S1")))),"")</f>
        <v/>
      </c>
      <c r="FT623">
        <f>IF($EY623="row",INDEX($ES$5:$ES$1003,$EX623),"")</f>
        <v/>
      </c>
      <c r="FU623">
        <f>IF($EY623="row",INDEX($EO$5:$EO$1003,$EX623),0)</f>
        <v/>
      </c>
      <c r="FV623">
        <f>IF($FS623="S1 Count Change",1,0)</f>
        <v/>
      </c>
    </row>
    <row r="624">
      <c r="DA624" t="n">
        <v>620</v>
      </c>
      <c r="DB624">
        <f>IF($B$37=0,"",IFERROR(TRIM(SUBSTITUTE(SUBSTITUTE(SUBSTITUTE(SUBSTITUTE(INDEX(PASTE_ALL,620,$B$37)," "," "),CHAR(9)," "),CHAR(10)," "),CHAR(13)," ")),""))</f>
        <v/>
      </c>
      <c r="DC624">
        <f>IF(AND(620&gt;HEADER_ROW,UPPER(DB624)="LEGEND"),1,0)</f>
        <v/>
      </c>
      <c r="DE624" t="n">
        <v>620</v>
      </c>
      <c r="DF624">
        <f>HEADER_ROW+$DE624</f>
        <v/>
      </c>
      <c r="DG624">
        <f>IF(AND($DF624&lt;=1000,$DF624&lt;$B$8),1,0)</f>
        <v/>
      </c>
      <c r="DH624">
        <f>IF($DG624=1,IFERROR(INDEX($DB$5:$DB$1004,$DF624),""),"")</f>
        <v/>
      </c>
      <c r="DI624">
        <f>IF(AND($DG624=1,$DH624&lt;&gt;""),IFERROR(SUBSTITUTE(SUBSTITUTE(TRIM(SUBSTITUTE(SUBSTITUTE(SUBSTITUTE(SUBSTITUTE(IFERROR(INDEX(PASTE_ALL,$DF624,1)&amp;"","")&amp;"␟"&amp;IFERROR(INDEX(PASTE_ALL,$DF624,2)&amp;"","")&amp;"␟"&amp;IFERROR(INDEX(PASTE_ALL,$DF624,3)&amp;"","")&amp;"␟"&amp;IFERROR(INDEX(PASTE_ALL,$DF624,4)&amp;"","")&amp;"␟"&amp;IFERROR(INDEX(PASTE_ALL,$DF624,5)&amp;"","")&amp;"␟"&amp;IFERROR(INDEX(PASTE_ALL,$DF624,6)&amp;"","")&amp;"␟"&amp;IFERROR(INDEX(PASTE_ALL,$DF624,7)&amp;"","")&amp;"␟"&amp;IFERROR(INDEX(PASTE_ALL,$DF624,8)&amp;"","")&amp;"␟"&amp;IFERROR(INDEX(PASTE_ALL,$DF624,9)&amp;"","")&amp;"␟"&amp;IFERROR(INDEX(PASTE_ALL,$DF624,10)&amp;"","")&amp;"␟"&amp;IFERROR(INDEX(PASTE_ALL,$DF624,11)&amp;"","")&amp;"␟"&amp;IFERROR(INDEX(PASTE_ALL,$DF624,12)&amp;"","")&amp;"␟"&amp;IFERROR(INDEX(PASTE_ALL,$DF624,13)&amp;"","")&amp;"␟"&amp;IFERROR(INDEX(PASTE_ALL,$DF624,14)&amp;"","")&amp;"␟"&amp;IFERROR(INDEX(PASTE_ALL,$DF624,15)&amp;"","")&amp;"␟"&amp;IFERROR(INDEX(PASTE_ALL,$DF624,16)&amp;"","")&amp;"␟"&amp;IFERROR(INDEX(PASTE_ALL,$DF624,17)&amp;"","")&amp;"␟"&amp;IFERROR(INDEX(PASTE_ALL,$DF624,18)&amp;"","")&amp;"␟"&amp;IFERROR(INDEX(PASTE_ALL,$DF624,19)&amp;"","")&amp;"␟"&amp;IFERROR(INDEX(PASTE_ALL,$DF624,20)&amp;"","")&amp;"␟"&amp;IFERROR(INDEX(PASTE_ALL,$DF624,21)&amp;"","")&amp;"␟"&amp;IFERROR(INDEX(PASTE_ALL,$DF624,22)&amp;"","")&amp;"␟"&amp;IFERROR(INDEX(PASTE_ALL,$DF624,23)&amp;"","")&amp;"␟"&amp;IFERROR(INDEX(PASTE_ALL,$DF624,24)&amp;"","")&amp;"␟"&amp;IFERROR(INDEX(PASTE_ALL,$DF624,25)&amp;"","")&amp;"␟"&amp;IFERROR(INDEX(PASTE_ALL,$DF624,26)&amp;"","")&amp;"␟"&amp;IFERROR(INDEX(PASTE_ALL,$DF624,27)&amp;"","")&amp;"␟"&amp;IFERROR(INDEX(PASTE_ALL,$DF624,28)&amp;"","")&amp;"␟"&amp;IFERROR(INDEX(PASTE_ALL,$DF624,29)&amp;"","")&amp;"␟"&amp;IFERROR(INDEX(PASTE_ALL,$DF624,30)&amp;"","")&amp;"␟"&amp;IFERROR(INDEX(PASTE_ALL,$DF624,31)&amp;"","")&amp;"␟"&amp;IFERROR(INDEX(PASTE_ALL,$DF624,32)&amp;"","")&amp;"␟"&amp;IFERROR(INDEX(PASTE_ALL,$DF624,33)&amp;"","")&amp;"␟"&amp;IFERROR(INDEX(PASTE_ALL,$DF624,34)&amp;"","")&amp;"␟"&amp;IFERROR(INDEX(PASTE_ALL,$DF624,35)&amp;"","")&amp;"␟"&amp;IFERROR(INDEX(PASTE_ALL,$DF624,36)&amp;"","")&amp;"␟"&amp;IFERROR(INDEX(PASTE_ALL,$DF624,37)&amp;"","")&amp;"␟"&amp;IFERROR(INDEX(PASTE_ALL,$DF624,38)&amp;"","")&amp;"␟"&amp;IFERROR(INDEX(PASTE_ALL,$DF624,39)&amp;"","")&amp;"␟"&amp;IFERROR(INDEX(PASTE_ALL,$DF624,40)&amp;"","")&amp;"␟"&amp;IFERROR(INDEX(PASTE_ALL,$DF624,41)&amp;"","")&amp;"␟"&amp;IFERROR(INDEX(PASTE_ALL,$DF624,42)&amp;"","")&amp;"␟"&amp;IFERROR(INDEX(PASTE_ALL,$DF624,43)&amp;"","")&amp;"␟"&amp;IFERROR(INDEX(PASTE_ALL,$DF624,44)&amp;"","")&amp;"␟"&amp;IFERROR(INDEX(PASTE_ALL,$DF624,45)&amp;"","")&amp;"␟"&amp;IFERROR(INDEX(PASTE_ALL,$DF624,46)&amp;"","")&amp;"␟"&amp;IFERROR(INDEX(PASTE_ALL,$DF624,47)&amp;"","")&amp;"␟"&amp;IFERROR(INDEX(PASTE_ALL,$DF624,48)&amp;"","")&amp;"␟"&amp;IFERROR(INDEX(PASTE_ALL,$DF624,49)&amp;"","")&amp;"␟"&amp;IFERROR(INDEX(PASTE_ALL,$DF624,50)&amp;"","")&amp;"␟"&amp;IFERROR(INDEX(PASTE_ALL,$DF624,51)&amp;"","")&amp;"␟"&amp;IFERROR(INDEX(PASTE_ALL,$DF624,52)&amp;"","")&amp;"␟"&amp;IFERROR(INDEX(PASTE_ALL,$DF624,53)&amp;"","")&amp;"␟"&amp;IFERROR(INDEX(PASTE_ALL,$DF624,54)&amp;"","")&amp;"␟"&amp;IFERROR(INDEX(PASTE_ALL,$DF624,55)&amp;"","")&amp;"␟"&amp;IFERROR(INDEX(PASTE_ALL,$DF624,56)&amp;"","")&amp;"␟"&amp;IFERROR(INDEX(PASTE_ALL,$DF624,57)&amp;"","")&amp;"␟"&amp;IFERROR(INDEX(PASTE_ALL,$DF624,58)&amp;"","")&amp;"␟"&amp;IFERROR(INDEX(PASTE_ALL,$DF624,59)&amp;"","")&amp;"␟"&amp;IFERROR(INDEX(PASTE_ALL,$DF624,60)&amp;"","")," "," "),CHAR(9)," "),CHAR(10)," "),CHAR(13)," "))," ␟","␟"),"␟ ","␟"),"#"&amp;$DE624),"")</f>
        <v/>
      </c>
      <c r="DJ624">
        <f>IF($DI624="",0,IF(SUMPRODUCT(--EXACT($DI$4:DI623,$DI624))&gt;0,1,0))</f>
        <v/>
      </c>
      <c r="DK624">
        <f>IF(AND($DI624&lt;&gt;"",$DJ624=0),1,0)</f>
        <v/>
      </c>
      <c r="DL624">
        <f>DL623+$DK624</f>
        <v/>
      </c>
      <c r="DM624">
        <f>IF(AND($DK624=1,$DL624&lt;=600),1,0)</f>
        <v/>
      </c>
      <c r="DN624">
        <f>IF($DM624=0,"",IF($L$6=0,"",IFERROR(IF(ISNUMBER(INDEX(PASTE_ALL,$DF624,$L$6)),INDEX(PASTE_ALL,$DF624,$L$6),TRIM(SUBSTITUTE(SUBSTITUTE(SUBSTITUTE(SUBSTITUTE(INDEX(PASTE_ALL,$DF624,$L$6)," "," "),CHAR(9)," "),CHAR(10)," "),CHAR(13)," "))),"")))</f>
        <v/>
      </c>
      <c r="DO624">
        <f>IF($DM624=0,"",IF($L$7=0,"",IFERROR(IF(ISNUMBER(INDEX(PASTE_ALL,$DF624,$L$7)),INDEX(PASTE_ALL,$DF624,$L$7),TRIM(SUBSTITUTE(SUBSTITUTE(SUBSTITUTE(SUBSTITUTE(INDEX(PASTE_ALL,$DF624,$L$7)," "," "),CHAR(9)," "),CHAR(10)," "),CHAR(13)," "))),"")))</f>
        <v/>
      </c>
      <c r="DP624">
        <f>IF($DM624=0,"",IF($L$8=0,"",IFERROR(IF(ISNUMBER(INDEX(PASTE_ALL,$DF624,$L$8)),INDEX(PASTE_ALL,$DF624,$L$8),TRIM(SUBSTITUTE(SUBSTITUTE(SUBSTITUTE(SUBSTITUTE(INDEX(PASTE_ALL,$DF624,$L$8)," "," "),CHAR(9)," "),CHAR(10)," "),CHAR(13)," "))),"")))</f>
        <v/>
      </c>
      <c r="DQ624">
        <f>IF($DM624=0,"",IF($L$9=0,"",IFERROR(IF(ISNUMBER(INDEX(PASTE_ALL,$DF624,$L$9)),INDEX(PASTE_ALL,$DF624,$L$9),TRIM(SUBSTITUTE(SUBSTITUTE(SUBSTITUTE(SUBSTITUTE(INDEX(PASTE_ALL,$DF624,$L$9)," "," "),CHAR(9)," "),CHAR(10)," "),CHAR(13)," "))),"")))</f>
        <v/>
      </c>
      <c r="DR624">
        <f>IF($DM624=0,"",IF($L$10=0,"",IFERROR(IF(ISNUMBER(INDEX(PASTE_ALL,$DF624,$L$10)),INDEX(PASTE_ALL,$DF624,$L$10),TRIM(SUBSTITUTE(SUBSTITUTE(SUBSTITUTE(SUBSTITUTE(INDEX(PASTE_ALL,$DF624,$L$10)," "," "),CHAR(9)," "),CHAR(10)," "),CHAR(13)," "))),"")))</f>
        <v/>
      </c>
      <c r="DS624">
        <f>IF($DM624=0,"",IF($L$11=0,"",IFERROR(IF(ISNUMBER(INDEX(PASTE_ALL,$DF624,$L$11)),INDEX(PASTE_ALL,$DF624,$L$11),TRIM(SUBSTITUTE(SUBSTITUTE(SUBSTITUTE(SUBSTITUTE(INDEX(PASTE_ALL,$DF624,$L$11)," "," "),CHAR(9)," "),CHAR(10)," "),CHAR(13)," "))),"")))</f>
        <v/>
      </c>
      <c r="DT624">
        <f>IF($DM624=0,"",IF($L$12=0,"",IFERROR(IF(ISNUMBER(INDEX(PASTE_ALL,$DF624,$L$12)),INDEX(PASTE_ALL,$DF624,$L$12),TRIM(SUBSTITUTE(SUBSTITUTE(SUBSTITUTE(SUBSTITUTE(INDEX(PASTE_ALL,$DF624,$L$12)," "," "),CHAR(9)," "),CHAR(10)," "),CHAR(13)," "))),"")))</f>
        <v/>
      </c>
      <c r="DU624">
        <f>IF($DM624=0,"",IF($L$13=0,"",IFERROR(IF(ISNUMBER(INDEX(PASTE_ALL,$DF624,$L$13)),INDEX(PASTE_ALL,$DF624,$L$13),TRIM(SUBSTITUTE(SUBSTITUTE(SUBSTITUTE(SUBSTITUTE(INDEX(PASTE_ALL,$DF624,$L$13)," "," "),CHAR(9)," "),CHAR(10)," "),CHAR(13)," "))),"")))</f>
        <v/>
      </c>
      <c r="DV624">
        <f>IF($DM624=0,"",IF($L$14=0,"",IFERROR(IF(ISNUMBER(INDEX(PASTE_ALL,$DF624,$L$14)),INDEX(PASTE_ALL,$DF624,$L$14),TRIM(SUBSTITUTE(SUBSTITUTE(SUBSTITUTE(SUBSTITUTE(INDEX(PASTE_ALL,$DF624,$L$14)," "," "),CHAR(9)," "),CHAR(10)," "),CHAR(13)," "))),"")))</f>
        <v/>
      </c>
      <c r="DW624">
        <f>IF($DM624=0,"",IF($L$15=0,"",IFERROR(IF(ISNUMBER(INDEX(PASTE_ALL,$DF624,$L$15)),INDEX(PASTE_ALL,$DF624,$L$15),IF(SUMPRODUCT(--ISNUMBER(FIND({"A","B","C","D","E","F","G","H","I","J","K","L","M","N","O","P","Q","R","S","T","U","V","W","X","Y","Z","0","1","2","3","4","5","6","7","8","9"},UPPER(TRIM(SUBSTITUTE(SUBSTITUTE(SUBSTITUTE(SUBSTITUTE(INDEX(PASTE_ALL,$DF624,$L$15)," "," "),CHAR(9)," "),CHAR(10)," "),CHAR(13)," "))))))&gt;0,TRIM(SUBSTITUTE(SUBSTITUTE(SUBSTITUTE(SUBSTITUTE(INDEX(PASTE_ALL,$DF624,$L$15)," "," "),CHAR(9)," "),CHAR(10)," "),CHAR(13)," ")),"")),"")))</f>
        <v/>
      </c>
      <c r="DX624">
        <f>IF($DM624=0,"",IF($L$16=0,"",IFERROR(IF(ISNUMBER(INDEX(PASTE_ALL,$DF624,$L$16)),INDEX(PASTE_ALL,$DF624,$L$16),SUBSTITUTE(SUBSTITUTE(TRIM(SUBSTITUTE(SUBSTITUTE(SUBSTITUTE(SUBSTITUTE(INDEX(PASTE_ALL,$DF624,$L$16)," "," "),CHAR(9)," "),CHAR(10)," "),CHAR(13)," ")),",",""),"%","")),"")))</f>
        <v/>
      </c>
      <c r="DY624">
        <f>IF($DM624=0,"",IFERROR(IF(ISNUMBER($DX624),$DX624,IF($DX624="","",IF(TRIM($DX624)="",0,IF(AND(AND(SUBSTITUTE(SUBSTITUTE(SUBSTITUTE(SUBSTITUTE(SUBSTITUTE(SUBSTITUTE(SUBSTITUTE(SUBSTITUTE(SUBSTITUTE(SUBSTITUTE(SUBSTITUTE(SUBSTITUTE(SUBSTITUTE(SUBSTITUTE(UPPER(TRIM($DX624)),"0",""),"1",""),"2",""),"3",""),"4",""),"5",""),"6",""),"7",""),"8",""),"9",""),".",""),"+",""),"-",""),"E","")="",LEN(SUBSTITUTE(SUBSTITUTE(MID(UPPER(TRIM($DX624)),1+OR(LEFT(UPPER(TRIM($DX624)),1)="+",LEFT(UPPER(TRIM($DX624)),1)="-"),999),"E+","E"),"E-","E"))=LEN(SUBSTITUTE(SUBSTITUTE(SUBSTITUTE(SUBSTITUTE(MID(UPPER(TRIM($DX624)),1+OR(LEFT(UPPER(TRIM($DX624)),1)="+",LEFT(UPPER(TRIM($DX624)),1)="-"),999),"E+","E"),"E-","E"),"+",""),"-","")),LEN(UPPER(TRIM($DX624)))-LEN(SUBSTITUTE(UPPER(TRIM($DX624)),"E",""))&lt;2,LEN(UPPER(TRIM($DX624)))-LEN(SUBSTITUTE(UPPER(TRIM($DX624)),".",""))&lt;2,IFERROR(FIND(".",UPPER(TRIM($DX624))),0)&lt;IFERROR(FIND("E",UPPER(TRIM($DX624))),999)),ISNUMBER(VALUE(TRIM($DX624)))),VALUE(TRIM($DX624)),"")))),""))</f>
        <v/>
      </c>
      <c r="DZ624">
        <f>IF($DM624=0,"",IF($L$17=0,"",IFERROR(IF(ISNUMBER(INDEX(PASTE_ALL,$DF624,$L$17)),INDEX(PASTE_ALL,$DF624,$L$17),SUBSTITUTE(SUBSTITUTE(TRIM(SUBSTITUTE(SUBSTITUTE(SUBSTITUTE(SUBSTITUTE(INDEX(PASTE_ALL,$DF624,$L$17)," "," "),CHAR(9)," "),CHAR(10)," "),CHAR(13)," ")),",",""),"%","")),"")))</f>
        <v/>
      </c>
      <c r="EA624">
        <f>IF($DM624=0,"",IFERROR(IF(ISNUMBER($DZ624),$DZ624,IF($DZ624="","",IF(TRIM($DZ624)="",0,IF(AND(AND(SUBSTITUTE(SUBSTITUTE(SUBSTITUTE(SUBSTITUTE(SUBSTITUTE(SUBSTITUTE(SUBSTITUTE(SUBSTITUTE(SUBSTITUTE(SUBSTITUTE(SUBSTITUTE(SUBSTITUTE(SUBSTITUTE(SUBSTITUTE(UPPER(TRIM($DZ624)),"0",""),"1",""),"2",""),"3",""),"4",""),"5",""),"6",""),"7",""),"8",""),"9",""),".",""),"+",""),"-",""),"E","")="",LEN(SUBSTITUTE(SUBSTITUTE(MID(UPPER(TRIM($DZ624)),1+OR(LEFT(UPPER(TRIM($DZ624)),1)="+",LEFT(UPPER(TRIM($DZ624)),1)="-"),999),"E+","E"),"E-","E"))=LEN(SUBSTITUTE(SUBSTITUTE(SUBSTITUTE(SUBSTITUTE(MID(UPPER(TRIM($DZ624)),1+OR(LEFT(UPPER(TRIM($DZ624)),1)="+",LEFT(UPPER(TRIM($DZ624)),1)="-"),999),"E+","E"),"E-","E"),"+",""),"-","")),LEN(UPPER(TRIM($DZ624)))-LEN(SUBSTITUTE(UPPER(TRIM($DZ624)),"E",""))&lt;2,LEN(UPPER(TRIM($DZ624)))-LEN(SUBSTITUTE(UPPER(TRIM($DZ624)),".",""))&lt;2,IFERROR(FIND(".",UPPER(TRIM($DZ624))),0)&lt;IFERROR(FIND("E",UPPER(TRIM($DZ624))),999)),ISNUMBER(VALUE(TRIM($DZ624)))),VALUE(TRIM($DZ624)),"")))),""))</f>
        <v/>
      </c>
      <c r="EB624">
        <f>IF($DM624=0,"",IF($L$18=0,"",IFERROR(IF(UPPER(TRIM(SUBSTITUTE(SUBSTITUTE(SUBSTITUTE(SUBSTITUTE(INDEX(PASTE_ALL,$DF624,$L$18)," "," "),CHAR(9)," "),CHAR(10)," "),CHAR(13)," ")))="READY","Ready",IF(UPPER(TRIM(SUBSTITUTE(SUBSTITUTE(SUBSTITUTE(SUBSTITUTE(INDEX(PASTE_ALL,$DF624,$L$18)," "," "),CHAR(9)," "),CHAR(10)," "),CHAR(13)," ")))="PM","PM",IF(OR(UPPER(TRIM(SUBSTITUTE(SUBSTITUTE(SUBSTITUTE(SUBSTITUTE(INDEX(PASTE_ALL,$DF624,$L$18)," "," "),CHAR(9)," "),CHAR(10)," "),CHAR(13)," ")))="OT",UPPER(TRIM(SUBSTITUTE(SUBSTITUTE(SUBSTITUTE(SUBSTITUTE(INDEX(PASTE_ALL,$DF624,$L$18)," "," "),CHAR(9)," "),CHAR(10)," "),CHAR(13)," ")))="OVERTIME",UPPER(TRIM(SUBSTITUTE(SUBSTITUTE(SUBSTITUTE(SUBSTITUTE(INDEX(PASTE_ALL,$DF624,$L$18)," "," "),CHAR(9)," "),CHAR(10)," "),CHAR(13)," ")))="TRIAL"),"OT",TRIM(SUBSTITUTE(SUBSTITUTE(SUBSTITUTE(SUBSTITUTE(INDEX(PASTE_ALL,$DF624,$L$18)," "," "),CHAR(9)," "),CHAR(10)," "),CHAR(13)," "))))),"")))</f>
        <v/>
      </c>
      <c r="EC624">
        <f>IF($DM624=0,"",IF($L$19=0,"",IFERROR(IF(ISNUMBER(INDEX(PASTE_ALL,$DF624,$L$19)),INDEX(PASTE_ALL,$DF624,$L$19),TRIM(SUBSTITUTE(SUBSTITUTE(SUBSTITUTE(SUBSTITUTE(INDEX(PASTE_ALL,$DF624,$L$19)," "," "),CHAR(9)," "),CHAR(10)," "),CHAR(13)," "))),"")))</f>
        <v/>
      </c>
      <c r="ED624">
        <f>IF($DM624=0,"",MATCH(1,INDEX(EXACT($DH$5:DH624,$DH624)*$DM$5:DM624,0),0))</f>
        <v/>
      </c>
      <c r="EE624">
        <f>IF($DM624=0,0,IF($ED624=$DE624,1,0))</f>
        <v/>
      </c>
      <c r="EF624">
        <f>EF623+$EE624</f>
        <v/>
      </c>
      <c r="EG624">
        <f>IF($DM624=0,"",INDEX($EF$5:$EF$1003,$ED624))</f>
        <v/>
      </c>
      <c r="EH624">
        <f>IF($DM624=0,"",IF($DO624&lt;&gt;"","",IFERROR(LOOKUP(2,1/(($EG$4:EG623=$EG624)*($DO$4:DO623&lt;&gt;"")),$DO$4:DO623),"")))</f>
        <v/>
      </c>
      <c r="EI624">
        <f>IF($DM624=0,"",IF($DO624&lt;&gt;"",$DO624,$EH624))</f>
        <v/>
      </c>
      <c r="EJ624">
        <f>IF($DM624=0,"",IF($EI624="",0,IF(OR(ISNUMBER($EI624),AND(AND(SUBSTITUTE(SUBSTITUTE(SUBSTITUTE(SUBSTITUTE(SUBSTITUTE(SUBSTITUTE(SUBSTITUTE(SUBSTITUTE(SUBSTITUTE(SUBSTITUTE(SUBSTITUTE(SUBSTITUTE(SUBSTITUTE(SUBSTITUTE(UPPER($EI624),"0",""),"1",""),"2",""),"3",""),"4",""),"5",""),"6",""),"7",""),"8",""),"9",""),".",""),"+",""),"-",""),"E","")="",LEN(SUBSTITUTE(SUBSTITUTE(MID(UPPER($EI624),1+OR(LEFT(UPPER($EI624),1)="+",LEFT(UPPER($EI624),1)="-"),999),"E+","E"),"E-","E"))=LEN(SUBSTITUTE(SUBSTITUTE(SUBSTITUTE(SUBSTITUTE(MID(UPPER($EI624),1+OR(LEFT(UPPER($EI624),1)="+",LEFT(UPPER($EI624),1)="-"),999),"E+","E"),"E-","E"),"+",""),"-","")),LEN(UPPER($EI624))-LEN(SUBSTITUTE(UPPER($EI624),"E",""))&lt;2,LEN(UPPER($EI624))-LEN(SUBSTITUTE(UPPER($EI624),".",""))&lt;2,IFERROR(FIND(".",UPPER($EI624)),0)&lt;IFERROR(FIND("E",UPPER($EI624)),999)),ISNUMBER(VALUE($EI624)))),1,2)))</f>
        <v/>
      </c>
      <c r="EK624">
        <f>IF($DM624=0,"",IF($EJ624=1,IF(ISNUMBER($EI624),$EI624,VALUE($EI624)),IF($EJ624=2,$DE624,0)))</f>
        <v/>
      </c>
      <c r="EL624">
        <f>IF($DM624=0,"",COUNTIF($EG$5:$EG$1003,"&lt;"&amp;$EG624)+SUMPRODUCT(($EG$5:$EG$1003=$EG624)*(($EJ$5:$EJ$1003&lt;$EJ624)+($EJ$5:$EJ$1003=$EJ624)*(($EK$5:$EK$1003&lt;$EK624)+($EK$5:$EK$1003=$EK624)*($DE$5:$DE$1003&lt;$DE624))))+1)</f>
        <v/>
      </c>
      <c r="EM624">
        <f>IF($DM624=0,"",$EL624+$EG624-1)</f>
        <v/>
      </c>
      <c r="EN624">
        <f>IF($DM624=0,0,IFERROR(MATCH(1,INDEX(--(TRIM(SUBSTITUTE(SUBSTITUTE(SUBSTITUTE(SUBSTITUTE(LINES_NAME&amp;""," "," "),CHAR(9)," "),CHAR(10)," "),CHAR(13)," "))=$DH624),0),0),0))</f>
        <v/>
      </c>
      <c r="EO624">
        <f>IF($EN624=0,0,IF(OR(UPPER(TRIM(INDEX(LINES_SCHEDULED,$EN624)&amp;""))="YES",UPPER(TRIM(INDEX(LINES_SCHEDULED,$EN624)&amp;""))="Y",UPPER(TRIM(INDEX(LINES_SCHEDULED,$EN624)&amp;""))="X"),1,0))</f>
        <v/>
      </c>
      <c r="EP624">
        <f>IF($DM624=0,"",IF(COUNTIFS($EG$5:$EG$1003,$EG624,$EB$5:$EB$1003,"Ready")&gt;0,"READY",IF(COUNTIFS($EG$5:$EG$1003,$EG624,$EB$5:$EB$1003,"PM")&gt;0,"PM",IF(COUNTIFS($EG$5:$EG$1003,$EG624,$EB$5:$EB$1003,"OT")&gt;0,"OT",""))))</f>
        <v/>
      </c>
      <c r="EQ624">
        <f>IF($EN624=0,"",UPPER(TRIM(INDEX(LINES_STATUS,$EN624)&amp;"")))</f>
        <v/>
      </c>
      <c r="ER624">
        <f>IF($DM624=0,"",IF(OR($EQ624="READY",$EQ624="PM",$EQ624="OT"),$EQ624,$EP624))</f>
        <v/>
      </c>
      <c r="ES624">
        <f>IF($DM624=0,"",IF(AND($DV624&lt;&gt;"",UPPER($DV624)&lt;&gt;"N"),"allergen",IF(ISNUMBER(SEARCH("oil",$DQ624)),"oil",IF(OR(EXACT($DS624,"A662"),EXACT($DS624,"A624")),"bulk",""))))</f>
        <v/>
      </c>
      <c r="ET624">
        <f>IF($DM624=0,"",IF(OR($EA624="",$EA624=0),"",$EA624/100))</f>
        <v/>
      </c>
      <c r="EU624">
        <f>IF(OR($ET624="",$DY624=""),"",INT($DY624*(1-$ET624)+0.5))</f>
        <v/>
      </c>
      <c r="EW624" t="n">
        <v>620</v>
      </c>
      <c r="EX624">
        <f>IFERROR(MATCH($EW624,$EM$5:$EM$1003,0),0)</f>
        <v/>
      </c>
      <c r="EY624">
        <f>IF($EW624&gt;$B$12,"",IF($EX624&gt;0,"row","spacer"))</f>
        <v/>
      </c>
      <c r="EZ624">
        <f>IF(AND($EY624="row",$EY623&lt;&gt;"row"),1,0)</f>
        <v/>
      </c>
      <c r="FA624">
        <f>IF(AND($EY624="row",$EY625&lt;&gt;"row"),1,0)</f>
        <v/>
      </c>
      <c r="FB624">
        <f>IF($EZ624=1,IFERROR(IF(ISNUMBER(INDEX(PASTE_ALL,INDEX($DF$5:$DF$1003,$EX624),$B$37)),INDEX(PASTE_ALL,INDEX($DF$5:$DF$1003,$EX624),$B$37),INDEX($DH$5:$DH$1003,$EX624)),INDEX($DH$5:$DH$1003,$EX624)),"")</f>
        <v/>
      </c>
      <c r="FC624">
        <f>IF($EY624="row",INDEX($ER$5:$ER$1003,$EX624),"")</f>
        <v/>
      </c>
      <c r="FD624">
        <f>IF($EY624="row",INDEX($DN$5:$DN$1003,$EX624),"")</f>
        <v/>
      </c>
      <c r="FE624">
        <f>IF($EY624="row",INDEX($DO$5:$DO$1003,$EX624),"")</f>
        <v/>
      </c>
      <c r="FF624">
        <f>IF($EY624="row",INDEX($DP$5:$DP$1003,$EX624),"")</f>
        <v/>
      </c>
      <c r="FG624">
        <f>IF($EY624="row",INDEX($DQ$5:$DQ$1003,$EX624),"")</f>
        <v/>
      </c>
      <c r="FH624">
        <f>IF($EY624="row",INDEX($DR$5:$DR$1003,$EX624),"")</f>
        <v/>
      </c>
      <c r="FI624">
        <f>IF($EY624="row",INDEX($DS$5:$DS$1003,$EX624),"")</f>
        <v/>
      </c>
      <c r="FJ624">
        <f>IF($EY624="row",INDEX($DT$5:$DT$1003,$EX624),"")</f>
        <v/>
      </c>
      <c r="FK624">
        <f>IF($EY624="row",INDEX($DU$5:$DU$1003,$EX624),"")</f>
        <v/>
      </c>
      <c r="FL624">
        <f>IF($EY624="row",INDEX($DV$5:$DV$1003,$EX624),"")</f>
        <v/>
      </c>
      <c r="FM624">
        <f>IF($EY624="row",INDEX($DW$5:$DW$1003,$EX624),"")</f>
        <v/>
      </c>
      <c r="FN624">
        <f>IF($EY624="row",INDEX($DY$5:$DY$1003,$EX624),"")</f>
        <v/>
      </c>
      <c r="FO624">
        <f>IF($EY624="row",INDEX($EA$5:$EA$1003,$EX624),"")</f>
        <v/>
      </c>
      <c r="FP624">
        <f>IF($EY624="row",INDEX($EC$5:$EC$1003,$EX624),"")</f>
        <v/>
      </c>
      <c r="FQ624">
        <f>IF($EY624="row",INDEX($ET$5:$ET$1003,$EX624),"")</f>
        <v/>
      </c>
      <c r="FR624">
        <f>IF($EY624="row",INDEX($EU$5:$EU$1003,$EX624),"")</f>
        <v/>
      </c>
      <c r="FS624">
        <f>IF(AND($EY624="row",$EY623="row"),IF(OR(INDEX($DT$5:$DT$1003,$EX623)="",INDEX($DT$5:$DT$1003,$EX624)=""),"",IF(NOT(EXACT(INDEX($DT$5:$DT$1003,$EX623),INDEX($DT$5:$DT$1003,$EX624))),"S4",IF(NOT(EXACT(INDEX($DS$5:$DS$1003,$EX623),INDEX($DS$5:$DS$1003,$EX624))),"S3",IF(NOT(EXACT(INDEX($DR$5:$DR$1003,$EX623),INDEX($DR$5:$DR$1003,$EX624))),"S1 Count Change","S1")))),"")</f>
        <v/>
      </c>
      <c r="FT624">
        <f>IF($EY624="row",INDEX($ES$5:$ES$1003,$EX624),"")</f>
        <v/>
      </c>
      <c r="FU624">
        <f>IF($EY624="row",INDEX($EO$5:$EO$1003,$EX624),0)</f>
        <v/>
      </c>
      <c r="FV624">
        <f>IF($FS624="S1 Count Change",1,0)</f>
        <v/>
      </c>
    </row>
    <row r="625">
      <c r="DA625" t="n">
        <v>621</v>
      </c>
      <c r="DB625">
        <f>IF($B$37=0,"",IFERROR(TRIM(SUBSTITUTE(SUBSTITUTE(SUBSTITUTE(SUBSTITUTE(INDEX(PASTE_ALL,621,$B$37)," "," "),CHAR(9)," "),CHAR(10)," "),CHAR(13)," ")),""))</f>
        <v/>
      </c>
      <c r="DC625">
        <f>IF(AND(621&gt;HEADER_ROW,UPPER(DB625)="LEGEND"),1,0)</f>
        <v/>
      </c>
      <c r="DE625" t="n">
        <v>621</v>
      </c>
      <c r="DF625">
        <f>HEADER_ROW+$DE625</f>
        <v/>
      </c>
      <c r="DG625">
        <f>IF(AND($DF625&lt;=1000,$DF625&lt;$B$8),1,0)</f>
        <v/>
      </c>
      <c r="DH625">
        <f>IF($DG625=1,IFERROR(INDEX($DB$5:$DB$1004,$DF625),""),"")</f>
        <v/>
      </c>
      <c r="DI625">
        <f>IF(AND($DG625=1,$DH625&lt;&gt;""),IFERROR(SUBSTITUTE(SUBSTITUTE(TRIM(SUBSTITUTE(SUBSTITUTE(SUBSTITUTE(SUBSTITUTE(IFERROR(INDEX(PASTE_ALL,$DF625,1)&amp;"","")&amp;"␟"&amp;IFERROR(INDEX(PASTE_ALL,$DF625,2)&amp;"","")&amp;"␟"&amp;IFERROR(INDEX(PASTE_ALL,$DF625,3)&amp;"","")&amp;"␟"&amp;IFERROR(INDEX(PASTE_ALL,$DF625,4)&amp;"","")&amp;"␟"&amp;IFERROR(INDEX(PASTE_ALL,$DF625,5)&amp;"","")&amp;"␟"&amp;IFERROR(INDEX(PASTE_ALL,$DF625,6)&amp;"","")&amp;"␟"&amp;IFERROR(INDEX(PASTE_ALL,$DF625,7)&amp;"","")&amp;"␟"&amp;IFERROR(INDEX(PASTE_ALL,$DF625,8)&amp;"","")&amp;"␟"&amp;IFERROR(INDEX(PASTE_ALL,$DF625,9)&amp;"","")&amp;"␟"&amp;IFERROR(INDEX(PASTE_ALL,$DF625,10)&amp;"","")&amp;"␟"&amp;IFERROR(INDEX(PASTE_ALL,$DF625,11)&amp;"","")&amp;"␟"&amp;IFERROR(INDEX(PASTE_ALL,$DF625,12)&amp;"","")&amp;"␟"&amp;IFERROR(INDEX(PASTE_ALL,$DF625,13)&amp;"","")&amp;"␟"&amp;IFERROR(INDEX(PASTE_ALL,$DF625,14)&amp;"","")&amp;"␟"&amp;IFERROR(INDEX(PASTE_ALL,$DF625,15)&amp;"","")&amp;"␟"&amp;IFERROR(INDEX(PASTE_ALL,$DF625,16)&amp;"","")&amp;"␟"&amp;IFERROR(INDEX(PASTE_ALL,$DF625,17)&amp;"","")&amp;"␟"&amp;IFERROR(INDEX(PASTE_ALL,$DF625,18)&amp;"","")&amp;"␟"&amp;IFERROR(INDEX(PASTE_ALL,$DF625,19)&amp;"","")&amp;"␟"&amp;IFERROR(INDEX(PASTE_ALL,$DF625,20)&amp;"","")&amp;"␟"&amp;IFERROR(INDEX(PASTE_ALL,$DF625,21)&amp;"","")&amp;"␟"&amp;IFERROR(INDEX(PASTE_ALL,$DF625,22)&amp;"","")&amp;"␟"&amp;IFERROR(INDEX(PASTE_ALL,$DF625,23)&amp;"","")&amp;"␟"&amp;IFERROR(INDEX(PASTE_ALL,$DF625,24)&amp;"","")&amp;"␟"&amp;IFERROR(INDEX(PASTE_ALL,$DF625,25)&amp;"","")&amp;"␟"&amp;IFERROR(INDEX(PASTE_ALL,$DF625,26)&amp;"","")&amp;"␟"&amp;IFERROR(INDEX(PASTE_ALL,$DF625,27)&amp;"","")&amp;"␟"&amp;IFERROR(INDEX(PASTE_ALL,$DF625,28)&amp;"","")&amp;"␟"&amp;IFERROR(INDEX(PASTE_ALL,$DF625,29)&amp;"","")&amp;"␟"&amp;IFERROR(INDEX(PASTE_ALL,$DF625,30)&amp;"","")&amp;"␟"&amp;IFERROR(INDEX(PASTE_ALL,$DF625,31)&amp;"","")&amp;"␟"&amp;IFERROR(INDEX(PASTE_ALL,$DF625,32)&amp;"","")&amp;"␟"&amp;IFERROR(INDEX(PASTE_ALL,$DF625,33)&amp;"","")&amp;"␟"&amp;IFERROR(INDEX(PASTE_ALL,$DF625,34)&amp;"","")&amp;"␟"&amp;IFERROR(INDEX(PASTE_ALL,$DF625,35)&amp;"","")&amp;"␟"&amp;IFERROR(INDEX(PASTE_ALL,$DF625,36)&amp;"","")&amp;"␟"&amp;IFERROR(INDEX(PASTE_ALL,$DF625,37)&amp;"","")&amp;"␟"&amp;IFERROR(INDEX(PASTE_ALL,$DF625,38)&amp;"","")&amp;"␟"&amp;IFERROR(INDEX(PASTE_ALL,$DF625,39)&amp;"","")&amp;"␟"&amp;IFERROR(INDEX(PASTE_ALL,$DF625,40)&amp;"","")&amp;"␟"&amp;IFERROR(INDEX(PASTE_ALL,$DF625,41)&amp;"","")&amp;"␟"&amp;IFERROR(INDEX(PASTE_ALL,$DF625,42)&amp;"","")&amp;"␟"&amp;IFERROR(INDEX(PASTE_ALL,$DF625,43)&amp;"","")&amp;"␟"&amp;IFERROR(INDEX(PASTE_ALL,$DF625,44)&amp;"","")&amp;"␟"&amp;IFERROR(INDEX(PASTE_ALL,$DF625,45)&amp;"","")&amp;"␟"&amp;IFERROR(INDEX(PASTE_ALL,$DF625,46)&amp;"","")&amp;"␟"&amp;IFERROR(INDEX(PASTE_ALL,$DF625,47)&amp;"","")&amp;"␟"&amp;IFERROR(INDEX(PASTE_ALL,$DF625,48)&amp;"","")&amp;"␟"&amp;IFERROR(INDEX(PASTE_ALL,$DF625,49)&amp;"","")&amp;"␟"&amp;IFERROR(INDEX(PASTE_ALL,$DF625,50)&amp;"","")&amp;"␟"&amp;IFERROR(INDEX(PASTE_ALL,$DF625,51)&amp;"","")&amp;"␟"&amp;IFERROR(INDEX(PASTE_ALL,$DF625,52)&amp;"","")&amp;"␟"&amp;IFERROR(INDEX(PASTE_ALL,$DF625,53)&amp;"","")&amp;"␟"&amp;IFERROR(INDEX(PASTE_ALL,$DF625,54)&amp;"","")&amp;"␟"&amp;IFERROR(INDEX(PASTE_ALL,$DF625,55)&amp;"","")&amp;"␟"&amp;IFERROR(INDEX(PASTE_ALL,$DF625,56)&amp;"","")&amp;"␟"&amp;IFERROR(INDEX(PASTE_ALL,$DF625,57)&amp;"","")&amp;"␟"&amp;IFERROR(INDEX(PASTE_ALL,$DF625,58)&amp;"","")&amp;"␟"&amp;IFERROR(INDEX(PASTE_ALL,$DF625,59)&amp;"","")&amp;"␟"&amp;IFERROR(INDEX(PASTE_ALL,$DF625,60)&amp;"","")," "," "),CHAR(9)," "),CHAR(10)," "),CHAR(13)," "))," ␟","␟"),"␟ ","␟"),"#"&amp;$DE625),"")</f>
        <v/>
      </c>
      <c r="DJ625">
        <f>IF($DI625="",0,IF(SUMPRODUCT(--EXACT($DI$4:DI624,$DI625))&gt;0,1,0))</f>
        <v/>
      </c>
      <c r="DK625">
        <f>IF(AND($DI625&lt;&gt;"",$DJ625=0),1,0)</f>
        <v/>
      </c>
      <c r="DL625">
        <f>DL624+$DK625</f>
        <v/>
      </c>
      <c r="DM625">
        <f>IF(AND($DK625=1,$DL625&lt;=600),1,0)</f>
        <v/>
      </c>
      <c r="DN625">
        <f>IF($DM625=0,"",IF($L$6=0,"",IFERROR(IF(ISNUMBER(INDEX(PASTE_ALL,$DF625,$L$6)),INDEX(PASTE_ALL,$DF625,$L$6),TRIM(SUBSTITUTE(SUBSTITUTE(SUBSTITUTE(SUBSTITUTE(INDEX(PASTE_ALL,$DF625,$L$6)," "," "),CHAR(9)," "),CHAR(10)," "),CHAR(13)," "))),"")))</f>
        <v/>
      </c>
      <c r="DO625">
        <f>IF($DM625=0,"",IF($L$7=0,"",IFERROR(IF(ISNUMBER(INDEX(PASTE_ALL,$DF625,$L$7)),INDEX(PASTE_ALL,$DF625,$L$7),TRIM(SUBSTITUTE(SUBSTITUTE(SUBSTITUTE(SUBSTITUTE(INDEX(PASTE_ALL,$DF625,$L$7)," "," "),CHAR(9)," "),CHAR(10)," "),CHAR(13)," "))),"")))</f>
        <v/>
      </c>
      <c r="DP625">
        <f>IF($DM625=0,"",IF($L$8=0,"",IFERROR(IF(ISNUMBER(INDEX(PASTE_ALL,$DF625,$L$8)),INDEX(PASTE_ALL,$DF625,$L$8),TRIM(SUBSTITUTE(SUBSTITUTE(SUBSTITUTE(SUBSTITUTE(INDEX(PASTE_ALL,$DF625,$L$8)," "," "),CHAR(9)," "),CHAR(10)," "),CHAR(13)," "))),"")))</f>
        <v/>
      </c>
      <c r="DQ625">
        <f>IF($DM625=0,"",IF($L$9=0,"",IFERROR(IF(ISNUMBER(INDEX(PASTE_ALL,$DF625,$L$9)),INDEX(PASTE_ALL,$DF625,$L$9),TRIM(SUBSTITUTE(SUBSTITUTE(SUBSTITUTE(SUBSTITUTE(INDEX(PASTE_ALL,$DF625,$L$9)," "," "),CHAR(9)," "),CHAR(10)," "),CHAR(13)," "))),"")))</f>
        <v/>
      </c>
      <c r="DR625">
        <f>IF($DM625=0,"",IF($L$10=0,"",IFERROR(IF(ISNUMBER(INDEX(PASTE_ALL,$DF625,$L$10)),INDEX(PASTE_ALL,$DF625,$L$10),TRIM(SUBSTITUTE(SUBSTITUTE(SUBSTITUTE(SUBSTITUTE(INDEX(PASTE_ALL,$DF625,$L$10)," "," "),CHAR(9)," "),CHAR(10)," "),CHAR(13)," "))),"")))</f>
        <v/>
      </c>
      <c r="DS625">
        <f>IF($DM625=0,"",IF($L$11=0,"",IFERROR(IF(ISNUMBER(INDEX(PASTE_ALL,$DF625,$L$11)),INDEX(PASTE_ALL,$DF625,$L$11),TRIM(SUBSTITUTE(SUBSTITUTE(SUBSTITUTE(SUBSTITUTE(INDEX(PASTE_ALL,$DF625,$L$11)," "," "),CHAR(9)," "),CHAR(10)," "),CHAR(13)," "))),"")))</f>
        <v/>
      </c>
      <c r="DT625">
        <f>IF($DM625=0,"",IF($L$12=0,"",IFERROR(IF(ISNUMBER(INDEX(PASTE_ALL,$DF625,$L$12)),INDEX(PASTE_ALL,$DF625,$L$12),TRIM(SUBSTITUTE(SUBSTITUTE(SUBSTITUTE(SUBSTITUTE(INDEX(PASTE_ALL,$DF625,$L$12)," "," "),CHAR(9)," "),CHAR(10)," "),CHAR(13)," "))),"")))</f>
        <v/>
      </c>
      <c r="DU625">
        <f>IF($DM625=0,"",IF($L$13=0,"",IFERROR(IF(ISNUMBER(INDEX(PASTE_ALL,$DF625,$L$13)),INDEX(PASTE_ALL,$DF625,$L$13),TRIM(SUBSTITUTE(SUBSTITUTE(SUBSTITUTE(SUBSTITUTE(INDEX(PASTE_ALL,$DF625,$L$13)," "," "),CHAR(9)," "),CHAR(10)," "),CHAR(13)," "))),"")))</f>
        <v/>
      </c>
      <c r="DV625">
        <f>IF($DM625=0,"",IF($L$14=0,"",IFERROR(IF(ISNUMBER(INDEX(PASTE_ALL,$DF625,$L$14)),INDEX(PASTE_ALL,$DF625,$L$14),TRIM(SUBSTITUTE(SUBSTITUTE(SUBSTITUTE(SUBSTITUTE(INDEX(PASTE_ALL,$DF625,$L$14)," "," "),CHAR(9)," "),CHAR(10)," "),CHAR(13)," "))),"")))</f>
        <v/>
      </c>
      <c r="DW625">
        <f>IF($DM625=0,"",IF($L$15=0,"",IFERROR(IF(ISNUMBER(INDEX(PASTE_ALL,$DF625,$L$15)),INDEX(PASTE_ALL,$DF625,$L$15),IF(SUMPRODUCT(--ISNUMBER(FIND({"A","B","C","D","E","F","G","H","I","J","K","L","M","N","O","P","Q","R","S","T","U","V","W","X","Y","Z","0","1","2","3","4","5","6","7","8","9"},UPPER(TRIM(SUBSTITUTE(SUBSTITUTE(SUBSTITUTE(SUBSTITUTE(INDEX(PASTE_ALL,$DF625,$L$15)," "," "),CHAR(9)," "),CHAR(10)," "),CHAR(13)," "))))))&gt;0,TRIM(SUBSTITUTE(SUBSTITUTE(SUBSTITUTE(SUBSTITUTE(INDEX(PASTE_ALL,$DF625,$L$15)," "," "),CHAR(9)," "),CHAR(10)," "),CHAR(13)," ")),"")),"")))</f>
        <v/>
      </c>
      <c r="DX625">
        <f>IF($DM625=0,"",IF($L$16=0,"",IFERROR(IF(ISNUMBER(INDEX(PASTE_ALL,$DF625,$L$16)),INDEX(PASTE_ALL,$DF625,$L$16),SUBSTITUTE(SUBSTITUTE(TRIM(SUBSTITUTE(SUBSTITUTE(SUBSTITUTE(SUBSTITUTE(INDEX(PASTE_ALL,$DF625,$L$16)," "," "),CHAR(9)," "),CHAR(10)," "),CHAR(13)," ")),",",""),"%","")),"")))</f>
        <v/>
      </c>
      <c r="DY625">
        <f>IF($DM625=0,"",IFERROR(IF(ISNUMBER($DX625),$DX625,IF($DX625="","",IF(TRIM($DX625)="",0,IF(AND(AND(SUBSTITUTE(SUBSTITUTE(SUBSTITUTE(SUBSTITUTE(SUBSTITUTE(SUBSTITUTE(SUBSTITUTE(SUBSTITUTE(SUBSTITUTE(SUBSTITUTE(SUBSTITUTE(SUBSTITUTE(SUBSTITUTE(SUBSTITUTE(UPPER(TRIM($DX625)),"0",""),"1",""),"2",""),"3",""),"4",""),"5",""),"6",""),"7",""),"8",""),"9",""),".",""),"+",""),"-",""),"E","")="",LEN(SUBSTITUTE(SUBSTITUTE(MID(UPPER(TRIM($DX625)),1+OR(LEFT(UPPER(TRIM($DX625)),1)="+",LEFT(UPPER(TRIM($DX625)),1)="-"),999),"E+","E"),"E-","E"))=LEN(SUBSTITUTE(SUBSTITUTE(SUBSTITUTE(SUBSTITUTE(MID(UPPER(TRIM($DX625)),1+OR(LEFT(UPPER(TRIM($DX625)),1)="+",LEFT(UPPER(TRIM($DX625)),1)="-"),999),"E+","E"),"E-","E"),"+",""),"-","")),LEN(UPPER(TRIM($DX625)))-LEN(SUBSTITUTE(UPPER(TRIM($DX625)),"E",""))&lt;2,LEN(UPPER(TRIM($DX625)))-LEN(SUBSTITUTE(UPPER(TRIM($DX625)),".",""))&lt;2,IFERROR(FIND(".",UPPER(TRIM($DX625))),0)&lt;IFERROR(FIND("E",UPPER(TRIM($DX625))),999)),ISNUMBER(VALUE(TRIM($DX625)))),VALUE(TRIM($DX625)),"")))),""))</f>
        <v/>
      </c>
      <c r="DZ625">
        <f>IF($DM625=0,"",IF($L$17=0,"",IFERROR(IF(ISNUMBER(INDEX(PASTE_ALL,$DF625,$L$17)),INDEX(PASTE_ALL,$DF625,$L$17),SUBSTITUTE(SUBSTITUTE(TRIM(SUBSTITUTE(SUBSTITUTE(SUBSTITUTE(SUBSTITUTE(INDEX(PASTE_ALL,$DF625,$L$17)," "," "),CHAR(9)," "),CHAR(10)," "),CHAR(13)," ")),",",""),"%","")),"")))</f>
        <v/>
      </c>
      <c r="EA625">
        <f>IF($DM625=0,"",IFERROR(IF(ISNUMBER($DZ625),$DZ625,IF($DZ625="","",IF(TRIM($DZ625)="",0,IF(AND(AND(SUBSTITUTE(SUBSTITUTE(SUBSTITUTE(SUBSTITUTE(SUBSTITUTE(SUBSTITUTE(SUBSTITUTE(SUBSTITUTE(SUBSTITUTE(SUBSTITUTE(SUBSTITUTE(SUBSTITUTE(SUBSTITUTE(SUBSTITUTE(UPPER(TRIM($DZ625)),"0",""),"1",""),"2",""),"3",""),"4",""),"5",""),"6",""),"7",""),"8",""),"9",""),".",""),"+",""),"-",""),"E","")="",LEN(SUBSTITUTE(SUBSTITUTE(MID(UPPER(TRIM($DZ625)),1+OR(LEFT(UPPER(TRIM($DZ625)),1)="+",LEFT(UPPER(TRIM($DZ625)),1)="-"),999),"E+","E"),"E-","E"))=LEN(SUBSTITUTE(SUBSTITUTE(SUBSTITUTE(SUBSTITUTE(MID(UPPER(TRIM($DZ625)),1+OR(LEFT(UPPER(TRIM($DZ625)),1)="+",LEFT(UPPER(TRIM($DZ625)),1)="-"),999),"E+","E"),"E-","E"),"+",""),"-","")),LEN(UPPER(TRIM($DZ625)))-LEN(SUBSTITUTE(UPPER(TRIM($DZ625)),"E",""))&lt;2,LEN(UPPER(TRIM($DZ625)))-LEN(SUBSTITUTE(UPPER(TRIM($DZ625)),".",""))&lt;2,IFERROR(FIND(".",UPPER(TRIM($DZ625))),0)&lt;IFERROR(FIND("E",UPPER(TRIM($DZ625))),999)),ISNUMBER(VALUE(TRIM($DZ625)))),VALUE(TRIM($DZ625)),"")))),""))</f>
        <v/>
      </c>
      <c r="EB625">
        <f>IF($DM625=0,"",IF($L$18=0,"",IFERROR(IF(UPPER(TRIM(SUBSTITUTE(SUBSTITUTE(SUBSTITUTE(SUBSTITUTE(INDEX(PASTE_ALL,$DF625,$L$18)," "," "),CHAR(9)," "),CHAR(10)," "),CHAR(13)," ")))="READY","Ready",IF(UPPER(TRIM(SUBSTITUTE(SUBSTITUTE(SUBSTITUTE(SUBSTITUTE(INDEX(PASTE_ALL,$DF625,$L$18)," "," "),CHAR(9)," "),CHAR(10)," "),CHAR(13)," ")))="PM","PM",IF(OR(UPPER(TRIM(SUBSTITUTE(SUBSTITUTE(SUBSTITUTE(SUBSTITUTE(INDEX(PASTE_ALL,$DF625,$L$18)," "," "),CHAR(9)," "),CHAR(10)," "),CHAR(13)," ")))="OT",UPPER(TRIM(SUBSTITUTE(SUBSTITUTE(SUBSTITUTE(SUBSTITUTE(INDEX(PASTE_ALL,$DF625,$L$18)," "," "),CHAR(9)," "),CHAR(10)," "),CHAR(13)," ")))="OVERTIME",UPPER(TRIM(SUBSTITUTE(SUBSTITUTE(SUBSTITUTE(SUBSTITUTE(INDEX(PASTE_ALL,$DF625,$L$18)," "," "),CHAR(9)," "),CHAR(10)," "),CHAR(13)," ")))="TRIAL"),"OT",TRIM(SUBSTITUTE(SUBSTITUTE(SUBSTITUTE(SUBSTITUTE(INDEX(PASTE_ALL,$DF625,$L$18)," "," "),CHAR(9)," "),CHAR(10)," "),CHAR(13)," "))))),"")))</f>
        <v/>
      </c>
      <c r="EC625">
        <f>IF($DM625=0,"",IF($L$19=0,"",IFERROR(IF(ISNUMBER(INDEX(PASTE_ALL,$DF625,$L$19)),INDEX(PASTE_ALL,$DF625,$L$19),TRIM(SUBSTITUTE(SUBSTITUTE(SUBSTITUTE(SUBSTITUTE(INDEX(PASTE_ALL,$DF625,$L$19)," "," "),CHAR(9)," "),CHAR(10)," "),CHAR(13)," "))),"")))</f>
        <v/>
      </c>
      <c r="ED625">
        <f>IF($DM625=0,"",MATCH(1,INDEX(EXACT($DH$5:DH625,$DH625)*$DM$5:DM625,0),0))</f>
        <v/>
      </c>
      <c r="EE625">
        <f>IF($DM625=0,0,IF($ED625=$DE625,1,0))</f>
        <v/>
      </c>
      <c r="EF625">
        <f>EF624+$EE625</f>
        <v/>
      </c>
      <c r="EG625">
        <f>IF($DM625=0,"",INDEX($EF$5:$EF$1003,$ED625))</f>
        <v/>
      </c>
      <c r="EH625">
        <f>IF($DM625=0,"",IF($DO625&lt;&gt;"","",IFERROR(LOOKUP(2,1/(($EG$4:EG624=$EG625)*($DO$4:DO624&lt;&gt;"")),$DO$4:DO624),"")))</f>
        <v/>
      </c>
      <c r="EI625">
        <f>IF($DM625=0,"",IF($DO625&lt;&gt;"",$DO625,$EH625))</f>
        <v/>
      </c>
      <c r="EJ625">
        <f>IF($DM625=0,"",IF($EI625="",0,IF(OR(ISNUMBER($EI625),AND(AND(SUBSTITUTE(SUBSTITUTE(SUBSTITUTE(SUBSTITUTE(SUBSTITUTE(SUBSTITUTE(SUBSTITUTE(SUBSTITUTE(SUBSTITUTE(SUBSTITUTE(SUBSTITUTE(SUBSTITUTE(SUBSTITUTE(SUBSTITUTE(UPPER($EI625),"0",""),"1",""),"2",""),"3",""),"4",""),"5",""),"6",""),"7",""),"8",""),"9",""),".",""),"+",""),"-",""),"E","")="",LEN(SUBSTITUTE(SUBSTITUTE(MID(UPPER($EI625),1+OR(LEFT(UPPER($EI625),1)="+",LEFT(UPPER($EI625),1)="-"),999),"E+","E"),"E-","E"))=LEN(SUBSTITUTE(SUBSTITUTE(SUBSTITUTE(SUBSTITUTE(MID(UPPER($EI625),1+OR(LEFT(UPPER($EI625),1)="+",LEFT(UPPER($EI625),1)="-"),999),"E+","E"),"E-","E"),"+",""),"-","")),LEN(UPPER($EI625))-LEN(SUBSTITUTE(UPPER($EI625),"E",""))&lt;2,LEN(UPPER($EI625))-LEN(SUBSTITUTE(UPPER($EI625),".",""))&lt;2,IFERROR(FIND(".",UPPER($EI625)),0)&lt;IFERROR(FIND("E",UPPER($EI625)),999)),ISNUMBER(VALUE($EI625)))),1,2)))</f>
        <v/>
      </c>
      <c r="EK625">
        <f>IF($DM625=0,"",IF($EJ625=1,IF(ISNUMBER($EI625),$EI625,VALUE($EI625)),IF($EJ625=2,$DE625,0)))</f>
        <v/>
      </c>
      <c r="EL625">
        <f>IF($DM625=0,"",COUNTIF($EG$5:$EG$1003,"&lt;"&amp;$EG625)+SUMPRODUCT(($EG$5:$EG$1003=$EG625)*(($EJ$5:$EJ$1003&lt;$EJ625)+($EJ$5:$EJ$1003=$EJ625)*(($EK$5:$EK$1003&lt;$EK625)+($EK$5:$EK$1003=$EK625)*($DE$5:$DE$1003&lt;$DE625))))+1)</f>
        <v/>
      </c>
      <c r="EM625">
        <f>IF($DM625=0,"",$EL625+$EG625-1)</f>
        <v/>
      </c>
      <c r="EN625">
        <f>IF($DM625=0,0,IFERROR(MATCH(1,INDEX(--(TRIM(SUBSTITUTE(SUBSTITUTE(SUBSTITUTE(SUBSTITUTE(LINES_NAME&amp;""," "," "),CHAR(9)," "),CHAR(10)," "),CHAR(13)," "))=$DH625),0),0),0))</f>
        <v/>
      </c>
      <c r="EO625">
        <f>IF($EN625=0,0,IF(OR(UPPER(TRIM(INDEX(LINES_SCHEDULED,$EN625)&amp;""))="YES",UPPER(TRIM(INDEX(LINES_SCHEDULED,$EN625)&amp;""))="Y",UPPER(TRIM(INDEX(LINES_SCHEDULED,$EN625)&amp;""))="X"),1,0))</f>
        <v/>
      </c>
      <c r="EP625">
        <f>IF($DM625=0,"",IF(COUNTIFS($EG$5:$EG$1003,$EG625,$EB$5:$EB$1003,"Ready")&gt;0,"READY",IF(COUNTIFS($EG$5:$EG$1003,$EG625,$EB$5:$EB$1003,"PM")&gt;0,"PM",IF(COUNTIFS($EG$5:$EG$1003,$EG625,$EB$5:$EB$1003,"OT")&gt;0,"OT",""))))</f>
        <v/>
      </c>
      <c r="EQ625">
        <f>IF($EN625=0,"",UPPER(TRIM(INDEX(LINES_STATUS,$EN625)&amp;"")))</f>
        <v/>
      </c>
      <c r="ER625">
        <f>IF($DM625=0,"",IF(OR($EQ625="READY",$EQ625="PM",$EQ625="OT"),$EQ625,$EP625))</f>
        <v/>
      </c>
      <c r="ES625">
        <f>IF($DM625=0,"",IF(AND($DV625&lt;&gt;"",UPPER($DV625)&lt;&gt;"N"),"allergen",IF(ISNUMBER(SEARCH("oil",$DQ625)),"oil",IF(OR(EXACT($DS625,"A662"),EXACT($DS625,"A624")),"bulk",""))))</f>
        <v/>
      </c>
      <c r="ET625">
        <f>IF($DM625=0,"",IF(OR($EA625="",$EA625=0),"",$EA625/100))</f>
        <v/>
      </c>
      <c r="EU625">
        <f>IF(OR($ET625="",$DY625=""),"",INT($DY625*(1-$ET625)+0.5))</f>
        <v/>
      </c>
      <c r="EW625" t="n">
        <v>621</v>
      </c>
      <c r="EX625">
        <f>IFERROR(MATCH($EW625,$EM$5:$EM$1003,0),0)</f>
        <v/>
      </c>
      <c r="EY625">
        <f>IF($EW625&gt;$B$12,"",IF($EX625&gt;0,"row","spacer"))</f>
        <v/>
      </c>
      <c r="EZ625">
        <f>IF(AND($EY625="row",$EY624&lt;&gt;"row"),1,0)</f>
        <v/>
      </c>
      <c r="FA625">
        <f>IF(AND($EY625="row",$EY626&lt;&gt;"row"),1,0)</f>
        <v/>
      </c>
      <c r="FB625">
        <f>IF($EZ625=1,IFERROR(IF(ISNUMBER(INDEX(PASTE_ALL,INDEX($DF$5:$DF$1003,$EX625),$B$37)),INDEX(PASTE_ALL,INDEX($DF$5:$DF$1003,$EX625),$B$37),INDEX($DH$5:$DH$1003,$EX625)),INDEX($DH$5:$DH$1003,$EX625)),"")</f>
        <v/>
      </c>
      <c r="FC625">
        <f>IF($EY625="row",INDEX($ER$5:$ER$1003,$EX625),"")</f>
        <v/>
      </c>
      <c r="FD625">
        <f>IF($EY625="row",INDEX($DN$5:$DN$1003,$EX625),"")</f>
        <v/>
      </c>
      <c r="FE625">
        <f>IF($EY625="row",INDEX($DO$5:$DO$1003,$EX625),"")</f>
        <v/>
      </c>
      <c r="FF625">
        <f>IF($EY625="row",INDEX($DP$5:$DP$1003,$EX625),"")</f>
        <v/>
      </c>
      <c r="FG625">
        <f>IF($EY625="row",INDEX($DQ$5:$DQ$1003,$EX625),"")</f>
        <v/>
      </c>
      <c r="FH625">
        <f>IF($EY625="row",INDEX($DR$5:$DR$1003,$EX625),"")</f>
        <v/>
      </c>
      <c r="FI625">
        <f>IF($EY625="row",INDEX($DS$5:$DS$1003,$EX625),"")</f>
        <v/>
      </c>
      <c r="FJ625">
        <f>IF($EY625="row",INDEX($DT$5:$DT$1003,$EX625),"")</f>
        <v/>
      </c>
      <c r="FK625">
        <f>IF($EY625="row",INDEX($DU$5:$DU$1003,$EX625),"")</f>
        <v/>
      </c>
      <c r="FL625">
        <f>IF($EY625="row",INDEX($DV$5:$DV$1003,$EX625),"")</f>
        <v/>
      </c>
      <c r="FM625">
        <f>IF($EY625="row",INDEX($DW$5:$DW$1003,$EX625),"")</f>
        <v/>
      </c>
      <c r="FN625">
        <f>IF($EY625="row",INDEX($DY$5:$DY$1003,$EX625),"")</f>
        <v/>
      </c>
      <c r="FO625">
        <f>IF($EY625="row",INDEX($EA$5:$EA$1003,$EX625),"")</f>
        <v/>
      </c>
      <c r="FP625">
        <f>IF($EY625="row",INDEX($EC$5:$EC$1003,$EX625),"")</f>
        <v/>
      </c>
      <c r="FQ625">
        <f>IF($EY625="row",INDEX($ET$5:$ET$1003,$EX625),"")</f>
        <v/>
      </c>
      <c r="FR625">
        <f>IF($EY625="row",INDEX($EU$5:$EU$1003,$EX625),"")</f>
        <v/>
      </c>
      <c r="FS625">
        <f>IF(AND($EY625="row",$EY624="row"),IF(OR(INDEX($DT$5:$DT$1003,$EX624)="",INDEX($DT$5:$DT$1003,$EX625)=""),"",IF(NOT(EXACT(INDEX($DT$5:$DT$1003,$EX624),INDEX($DT$5:$DT$1003,$EX625))),"S4",IF(NOT(EXACT(INDEX($DS$5:$DS$1003,$EX624),INDEX($DS$5:$DS$1003,$EX625))),"S3",IF(NOT(EXACT(INDEX($DR$5:$DR$1003,$EX624),INDEX($DR$5:$DR$1003,$EX625))),"S1 Count Change","S1")))),"")</f>
        <v/>
      </c>
      <c r="FT625">
        <f>IF($EY625="row",INDEX($ES$5:$ES$1003,$EX625),"")</f>
        <v/>
      </c>
      <c r="FU625">
        <f>IF($EY625="row",INDEX($EO$5:$EO$1003,$EX625),0)</f>
        <v/>
      </c>
      <c r="FV625">
        <f>IF($FS625="S1 Count Change",1,0)</f>
        <v/>
      </c>
    </row>
    <row r="626">
      <c r="DA626" t="n">
        <v>622</v>
      </c>
      <c r="DB626">
        <f>IF($B$37=0,"",IFERROR(TRIM(SUBSTITUTE(SUBSTITUTE(SUBSTITUTE(SUBSTITUTE(INDEX(PASTE_ALL,622,$B$37)," "," "),CHAR(9)," "),CHAR(10)," "),CHAR(13)," ")),""))</f>
        <v/>
      </c>
      <c r="DC626">
        <f>IF(AND(622&gt;HEADER_ROW,UPPER(DB626)="LEGEND"),1,0)</f>
        <v/>
      </c>
      <c r="DE626" t="n">
        <v>622</v>
      </c>
      <c r="DF626">
        <f>HEADER_ROW+$DE626</f>
        <v/>
      </c>
      <c r="DG626">
        <f>IF(AND($DF626&lt;=1000,$DF626&lt;$B$8),1,0)</f>
        <v/>
      </c>
      <c r="DH626">
        <f>IF($DG626=1,IFERROR(INDEX($DB$5:$DB$1004,$DF626),""),"")</f>
        <v/>
      </c>
      <c r="DI626">
        <f>IF(AND($DG626=1,$DH626&lt;&gt;""),IFERROR(SUBSTITUTE(SUBSTITUTE(TRIM(SUBSTITUTE(SUBSTITUTE(SUBSTITUTE(SUBSTITUTE(IFERROR(INDEX(PASTE_ALL,$DF626,1)&amp;"","")&amp;"␟"&amp;IFERROR(INDEX(PASTE_ALL,$DF626,2)&amp;"","")&amp;"␟"&amp;IFERROR(INDEX(PASTE_ALL,$DF626,3)&amp;"","")&amp;"␟"&amp;IFERROR(INDEX(PASTE_ALL,$DF626,4)&amp;"","")&amp;"␟"&amp;IFERROR(INDEX(PASTE_ALL,$DF626,5)&amp;"","")&amp;"␟"&amp;IFERROR(INDEX(PASTE_ALL,$DF626,6)&amp;"","")&amp;"␟"&amp;IFERROR(INDEX(PASTE_ALL,$DF626,7)&amp;"","")&amp;"␟"&amp;IFERROR(INDEX(PASTE_ALL,$DF626,8)&amp;"","")&amp;"␟"&amp;IFERROR(INDEX(PASTE_ALL,$DF626,9)&amp;"","")&amp;"␟"&amp;IFERROR(INDEX(PASTE_ALL,$DF626,10)&amp;"","")&amp;"␟"&amp;IFERROR(INDEX(PASTE_ALL,$DF626,11)&amp;"","")&amp;"␟"&amp;IFERROR(INDEX(PASTE_ALL,$DF626,12)&amp;"","")&amp;"␟"&amp;IFERROR(INDEX(PASTE_ALL,$DF626,13)&amp;"","")&amp;"␟"&amp;IFERROR(INDEX(PASTE_ALL,$DF626,14)&amp;"","")&amp;"␟"&amp;IFERROR(INDEX(PASTE_ALL,$DF626,15)&amp;"","")&amp;"␟"&amp;IFERROR(INDEX(PASTE_ALL,$DF626,16)&amp;"","")&amp;"␟"&amp;IFERROR(INDEX(PASTE_ALL,$DF626,17)&amp;"","")&amp;"␟"&amp;IFERROR(INDEX(PASTE_ALL,$DF626,18)&amp;"","")&amp;"␟"&amp;IFERROR(INDEX(PASTE_ALL,$DF626,19)&amp;"","")&amp;"␟"&amp;IFERROR(INDEX(PASTE_ALL,$DF626,20)&amp;"","")&amp;"␟"&amp;IFERROR(INDEX(PASTE_ALL,$DF626,21)&amp;"","")&amp;"␟"&amp;IFERROR(INDEX(PASTE_ALL,$DF626,22)&amp;"","")&amp;"␟"&amp;IFERROR(INDEX(PASTE_ALL,$DF626,23)&amp;"","")&amp;"␟"&amp;IFERROR(INDEX(PASTE_ALL,$DF626,24)&amp;"","")&amp;"␟"&amp;IFERROR(INDEX(PASTE_ALL,$DF626,25)&amp;"","")&amp;"␟"&amp;IFERROR(INDEX(PASTE_ALL,$DF626,26)&amp;"","")&amp;"␟"&amp;IFERROR(INDEX(PASTE_ALL,$DF626,27)&amp;"","")&amp;"␟"&amp;IFERROR(INDEX(PASTE_ALL,$DF626,28)&amp;"","")&amp;"␟"&amp;IFERROR(INDEX(PASTE_ALL,$DF626,29)&amp;"","")&amp;"␟"&amp;IFERROR(INDEX(PASTE_ALL,$DF626,30)&amp;"","")&amp;"␟"&amp;IFERROR(INDEX(PASTE_ALL,$DF626,31)&amp;"","")&amp;"␟"&amp;IFERROR(INDEX(PASTE_ALL,$DF626,32)&amp;"","")&amp;"␟"&amp;IFERROR(INDEX(PASTE_ALL,$DF626,33)&amp;"","")&amp;"␟"&amp;IFERROR(INDEX(PASTE_ALL,$DF626,34)&amp;"","")&amp;"␟"&amp;IFERROR(INDEX(PASTE_ALL,$DF626,35)&amp;"","")&amp;"␟"&amp;IFERROR(INDEX(PASTE_ALL,$DF626,36)&amp;"","")&amp;"␟"&amp;IFERROR(INDEX(PASTE_ALL,$DF626,37)&amp;"","")&amp;"␟"&amp;IFERROR(INDEX(PASTE_ALL,$DF626,38)&amp;"","")&amp;"␟"&amp;IFERROR(INDEX(PASTE_ALL,$DF626,39)&amp;"","")&amp;"␟"&amp;IFERROR(INDEX(PASTE_ALL,$DF626,40)&amp;"","")&amp;"␟"&amp;IFERROR(INDEX(PASTE_ALL,$DF626,41)&amp;"","")&amp;"␟"&amp;IFERROR(INDEX(PASTE_ALL,$DF626,42)&amp;"","")&amp;"␟"&amp;IFERROR(INDEX(PASTE_ALL,$DF626,43)&amp;"","")&amp;"␟"&amp;IFERROR(INDEX(PASTE_ALL,$DF626,44)&amp;"","")&amp;"␟"&amp;IFERROR(INDEX(PASTE_ALL,$DF626,45)&amp;"","")&amp;"␟"&amp;IFERROR(INDEX(PASTE_ALL,$DF626,46)&amp;"","")&amp;"␟"&amp;IFERROR(INDEX(PASTE_ALL,$DF626,47)&amp;"","")&amp;"␟"&amp;IFERROR(INDEX(PASTE_ALL,$DF626,48)&amp;"","")&amp;"␟"&amp;IFERROR(INDEX(PASTE_ALL,$DF626,49)&amp;"","")&amp;"␟"&amp;IFERROR(INDEX(PASTE_ALL,$DF626,50)&amp;"","")&amp;"␟"&amp;IFERROR(INDEX(PASTE_ALL,$DF626,51)&amp;"","")&amp;"␟"&amp;IFERROR(INDEX(PASTE_ALL,$DF626,52)&amp;"","")&amp;"␟"&amp;IFERROR(INDEX(PASTE_ALL,$DF626,53)&amp;"","")&amp;"␟"&amp;IFERROR(INDEX(PASTE_ALL,$DF626,54)&amp;"","")&amp;"␟"&amp;IFERROR(INDEX(PASTE_ALL,$DF626,55)&amp;"","")&amp;"␟"&amp;IFERROR(INDEX(PASTE_ALL,$DF626,56)&amp;"","")&amp;"␟"&amp;IFERROR(INDEX(PASTE_ALL,$DF626,57)&amp;"","")&amp;"␟"&amp;IFERROR(INDEX(PASTE_ALL,$DF626,58)&amp;"","")&amp;"␟"&amp;IFERROR(INDEX(PASTE_ALL,$DF626,59)&amp;"","")&amp;"␟"&amp;IFERROR(INDEX(PASTE_ALL,$DF626,60)&amp;"","")," "," "),CHAR(9)," "),CHAR(10)," "),CHAR(13)," "))," ␟","␟"),"␟ ","␟"),"#"&amp;$DE626),"")</f>
        <v/>
      </c>
      <c r="DJ626">
        <f>IF($DI626="",0,IF(SUMPRODUCT(--EXACT($DI$4:DI625,$DI626))&gt;0,1,0))</f>
        <v/>
      </c>
      <c r="DK626">
        <f>IF(AND($DI626&lt;&gt;"",$DJ626=0),1,0)</f>
        <v/>
      </c>
      <c r="DL626">
        <f>DL625+$DK626</f>
        <v/>
      </c>
      <c r="DM626">
        <f>IF(AND($DK626=1,$DL626&lt;=600),1,0)</f>
        <v/>
      </c>
      <c r="DN626">
        <f>IF($DM626=0,"",IF($L$6=0,"",IFERROR(IF(ISNUMBER(INDEX(PASTE_ALL,$DF626,$L$6)),INDEX(PASTE_ALL,$DF626,$L$6),TRIM(SUBSTITUTE(SUBSTITUTE(SUBSTITUTE(SUBSTITUTE(INDEX(PASTE_ALL,$DF626,$L$6)," "," "),CHAR(9)," "),CHAR(10)," "),CHAR(13)," "))),"")))</f>
        <v/>
      </c>
      <c r="DO626">
        <f>IF($DM626=0,"",IF($L$7=0,"",IFERROR(IF(ISNUMBER(INDEX(PASTE_ALL,$DF626,$L$7)),INDEX(PASTE_ALL,$DF626,$L$7),TRIM(SUBSTITUTE(SUBSTITUTE(SUBSTITUTE(SUBSTITUTE(INDEX(PASTE_ALL,$DF626,$L$7)," "," "),CHAR(9)," "),CHAR(10)," "),CHAR(13)," "))),"")))</f>
        <v/>
      </c>
      <c r="DP626">
        <f>IF($DM626=0,"",IF($L$8=0,"",IFERROR(IF(ISNUMBER(INDEX(PASTE_ALL,$DF626,$L$8)),INDEX(PASTE_ALL,$DF626,$L$8),TRIM(SUBSTITUTE(SUBSTITUTE(SUBSTITUTE(SUBSTITUTE(INDEX(PASTE_ALL,$DF626,$L$8)," "," "),CHAR(9)," "),CHAR(10)," "),CHAR(13)," "))),"")))</f>
        <v/>
      </c>
      <c r="DQ626">
        <f>IF($DM626=0,"",IF($L$9=0,"",IFERROR(IF(ISNUMBER(INDEX(PASTE_ALL,$DF626,$L$9)),INDEX(PASTE_ALL,$DF626,$L$9),TRIM(SUBSTITUTE(SUBSTITUTE(SUBSTITUTE(SUBSTITUTE(INDEX(PASTE_ALL,$DF626,$L$9)," "," "),CHAR(9)," "),CHAR(10)," "),CHAR(13)," "))),"")))</f>
        <v/>
      </c>
      <c r="DR626">
        <f>IF($DM626=0,"",IF($L$10=0,"",IFERROR(IF(ISNUMBER(INDEX(PASTE_ALL,$DF626,$L$10)),INDEX(PASTE_ALL,$DF626,$L$10),TRIM(SUBSTITUTE(SUBSTITUTE(SUBSTITUTE(SUBSTITUTE(INDEX(PASTE_ALL,$DF626,$L$10)," "," "),CHAR(9)," "),CHAR(10)," "),CHAR(13)," "))),"")))</f>
        <v/>
      </c>
      <c r="DS626">
        <f>IF($DM626=0,"",IF($L$11=0,"",IFERROR(IF(ISNUMBER(INDEX(PASTE_ALL,$DF626,$L$11)),INDEX(PASTE_ALL,$DF626,$L$11),TRIM(SUBSTITUTE(SUBSTITUTE(SUBSTITUTE(SUBSTITUTE(INDEX(PASTE_ALL,$DF626,$L$11)," "," "),CHAR(9)," "),CHAR(10)," "),CHAR(13)," "))),"")))</f>
        <v/>
      </c>
      <c r="DT626">
        <f>IF($DM626=0,"",IF($L$12=0,"",IFERROR(IF(ISNUMBER(INDEX(PASTE_ALL,$DF626,$L$12)),INDEX(PASTE_ALL,$DF626,$L$12),TRIM(SUBSTITUTE(SUBSTITUTE(SUBSTITUTE(SUBSTITUTE(INDEX(PASTE_ALL,$DF626,$L$12)," "," "),CHAR(9)," "),CHAR(10)," "),CHAR(13)," "))),"")))</f>
        <v/>
      </c>
      <c r="DU626">
        <f>IF($DM626=0,"",IF($L$13=0,"",IFERROR(IF(ISNUMBER(INDEX(PASTE_ALL,$DF626,$L$13)),INDEX(PASTE_ALL,$DF626,$L$13),TRIM(SUBSTITUTE(SUBSTITUTE(SUBSTITUTE(SUBSTITUTE(INDEX(PASTE_ALL,$DF626,$L$13)," "," "),CHAR(9)," "),CHAR(10)," "),CHAR(13)," "))),"")))</f>
        <v/>
      </c>
      <c r="DV626">
        <f>IF($DM626=0,"",IF($L$14=0,"",IFERROR(IF(ISNUMBER(INDEX(PASTE_ALL,$DF626,$L$14)),INDEX(PASTE_ALL,$DF626,$L$14),TRIM(SUBSTITUTE(SUBSTITUTE(SUBSTITUTE(SUBSTITUTE(INDEX(PASTE_ALL,$DF626,$L$14)," "," "),CHAR(9)," "),CHAR(10)," "),CHAR(13)," "))),"")))</f>
        <v/>
      </c>
      <c r="DW626">
        <f>IF($DM626=0,"",IF($L$15=0,"",IFERROR(IF(ISNUMBER(INDEX(PASTE_ALL,$DF626,$L$15)),INDEX(PASTE_ALL,$DF626,$L$15),IF(SUMPRODUCT(--ISNUMBER(FIND({"A","B","C","D","E","F","G","H","I","J","K","L","M","N","O","P","Q","R","S","T","U","V","W","X","Y","Z","0","1","2","3","4","5","6","7","8","9"},UPPER(TRIM(SUBSTITUTE(SUBSTITUTE(SUBSTITUTE(SUBSTITUTE(INDEX(PASTE_ALL,$DF626,$L$15)," "," "),CHAR(9)," "),CHAR(10)," "),CHAR(13)," "))))))&gt;0,TRIM(SUBSTITUTE(SUBSTITUTE(SUBSTITUTE(SUBSTITUTE(INDEX(PASTE_ALL,$DF626,$L$15)," "," "),CHAR(9)," "),CHAR(10)," "),CHAR(13)," ")),"")),"")))</f>
        <v/>
      </c>
      <c r="DX626">
        <f>IF($DM626=0,"",IF($L$16=0,"",IFERROR(IF(ISNUMBER(INDEX(PASTE_ALL,$DF626,$L$16)),INDEX(PASTE_ALL,$DF626,$L$16),SUBSTITUTE(SUBSTITUTE(TRIM(SUBSTITUTE(SUBSTITUTE(SUBSTITUTE(SUBSTITUTE(INDEX(PASTE_ALL,$DF626,$L$16)," "," "),CHAR(9)," "),CHAR(10)," "),CHAR(13)," ")),",",""),"%","")),"")))</f>
        <v/>
      </c>
      <c r="DY626">
        <f>IF($DM626=0,"",IFERROR(IF(ISNUMBER($DX626),$DX626,IF($DX626="","",IF(TRIM($DX626)="",0,IF(AND(AND(SUBSTITUTE(SUBSTITUTE(SUBSTITUTE(SUBSTITUTE(SUBSTITUTE(SUBSTITUTE(SUBSTITUTE(SUBSTITUTE(SUBSTITUTE(SUBSTITUTE(SUBSTITUTE(SUBSTITUTE(SUBSTITUTE(SUBSTITUTE(UPPER(TRIM($DX626)),"0",""),"1",""),"2",""),"3",""),"4",""),"5",""),"6",""),"7",""),"8",""),"9",""),".",""),"+",""),"-",""),"E","")="",LEN(SUBSTITUTE(SUBSTITUTE(MID(UPPER(TRIM($DX626)),1+OR(LEFT(UPPER(TRIM($DX626)),1)="+",LEFT(UPPER(TRIM($DX626)),1)="-"),999),"E+","E"),"E-","E"))=LEN(SUBSTITUTE(SUBSTITUTE(SUBSTITUTE(SUBSTITUTE(MID(UPPER(TRIM($DX626)),1+OR(LEFT(UPPER(TRIM($DX626)),1)="+",LEFT(UPPER(TRIM($DX626)),1)="-"),999),"E+","E"),"E-","E"),"+",""),"-","")),LEN(UPPER(TRIM($DX626)))-LEN(SUBSTITUTE(UPPER(TRIM($DX626)),"E",""))&lt;2,LEN(UPPER(TRIM($DX626)))-LEN(SUBSTITUTE(UPPER(TRIM($DX626)),".",""))&lt;2,IFERROR(FIND(".",UPPER(TRIM($DX626))),0)&lt;IFERROR(FIND("E",UPPER(TRIM($DX626))),999)),ISNUMBER(VALUE(TRIM($DX626)))),VALUE(TRIM($DX626)),"")))),""))</f>
        <v/>
      </c>
      <c r="DZ626">
        <f>IF($DM626=0,"",IF($L$17=0,"",IFERROR(IF(ISNUMBER(INDEX(PASTE_ALL,$DF626,$L$17)),INDEX(PASTE_ALL,$DF626,$L$17),SUBSTITUTE(SUBSTITUTE(TRIM(SUBSTITUTE(SUBSTITUTE(SUBSTITUTE(SUBSTITUTE(INDEX(PASTE_ALL,$DF626,$L$17)," "," "),CHAR(9)," "),CHAR(10)," "),CHAR(13)," ")),",",""),"%","")),"")))</f>
        <v/>
      </c>
      <c r="EA626">
        <f>IF($DM626=0,"",IFERROR(IF(ISNUMBER($DZ626),$DZ626,IF($DZ626="","",IF(TRIM($DZ626)="",0,IF(AND(AND(SUBSTITUTE(SUBSTITUTE(SUBSTITUTE(SUBSTITUTE(SUBSTITUTE(SUBSTITUTE(SUBSTITUTE(SUBSTITUTE(SUBSTITUTE(SUBSTITUTE(SUBSTITUTE(SUBSTITUTE(SUBSTITUTE(SUBSTITUTE(UPPER(TRIM($DZ626)),"0",""),"1",""),"2",""),"3",""),"4",""),"5",""),"6",""),"7",""),"8",""),"9",""),".",""),"+",""),"-",""),"E","")="",LEN(SUBSTITUTE(SUBSTITUTE(MID(UPPER(TRIM($DZ626)),1+OR(LEFT(UPPER(TRIM($DZ626)),1)="+",LEFT(UPPER(TRIM($DZ626)),1)="-"),999),"E+","E"),"E-","E"))=LEN(SUBSTITUTE(SUBSTITUTE(SUBSTITUTE(SUBSTITUTE(MID(UPPER(TRIM($DZ626)),1+OR(LEFT(UPPER(TRIM($DZ626)),1)="+",LEFT(UPPER(TRIM($DZ626)),1)="-"),999),"E+","E"),"E-","E"),"+",""),"-","")),LEN(UPPER(TRIM($DZ626)))-LEN(SUBSTITUTE(UPPER(TRIM($DZ626)),"E",""))&lt;2,LEN(UPPER(TRIM($DZ626)))-LEN(SUBSTITUTE(UPPER(TRIM($DZ626)),".",""))&lt;2,IFERROR(FIND(".",UPPER(TRIM($DZ626))),0)&lt;IFERROR(FIND("E",UPPER(TRIM($DZ626))),999)),ISNUMBER(VALUE(TRIM($DZ626)))),VALUE(TRIM($DZ626)),"")))),""))</f>
        <v/>
      </c>
      <c r="EB626">
        <f>IF($DM626=0,"",IF($L$18=0,"",IFERROR(IF(UPPER(TRIM(SUBSTITUTE(SUBSTITUTE(SUBSTITUTE(SUBSTITUTE(INDEX(PASTE_ALL,$DF626,$L$18)," "," "),CHAR(9)," "),CHAR(10)," "),CHAR(13)," ")))="READY","Ready",IF(UPPER(TRIM(SUBSTITUTE(SUBSTITUTE(SUBSTITUTE(SUBSTITUTE(INDEX(PASTE_ALL,$DF626,$L$18)," "," "),CHAR(9)," "),CHAR(10)," "),CHAR(13)," ")))="PM","PM",IF(OR(UPPER(TRIM(SUBSTITUTE(SUBSTITUTE(SUBSTITUTE(SUBSTITUTE(INDEX(PASTE_ALL,$DF626,$L$18)," "," "),CHAR(9)," "),CHAR(10)," "),CHAR(13)," ")))="OT",UPPER(TRIM(SUBSTITUTE(SUBSTITUTE(SUBSTITUTE(SUBSTITUTE(INDEX(PASTE_ALL,$DF626,$L$18)," "," "),CHAR(9)," "),CHAR(10)," "),CHAR(13)," ")))="OVERTIME",UPPER(TRIM(SUBSTITUTE(SUBSTITUTE(SUBSTITUTE(SUBSTITUTE(INDEX(PASTE_ALL,$DF626,$L$18)," "," "),CHAR(9)," "),CHAR(10)," "),CHAR(13)," ")))="TRIAL"),"OT",TRIM(SUBSTITUTE(SUBSTITUTE(SUBSTITUTE(SUBSTITUTE(INDEX(PASTE_ALL,$DF626,$L$18)," "," "),CHAR(9)," "),CHAR(10)," "),CHAR(13)," "))))),"")))</f>
        <v/>
      </c>
      <c r="EC626">
        <f>IF($DM626=0,"",IF($L$19=0,"",IFERROR(IF(ISNUMBER(INDEX(PASTE_ALL,$DF626,$L$19)),INDEX(PASTE_ALL,$DF626,$L$19),TRIM(SUBSTITUTE(SUBSTITUTE(SUBSTITUTE(SUBSTITUTE(INDEX(PASTE_ALL,$DF626,$L$19)," "," "),CHAR(9)," "),CHAR(10)," "),CHAR(13)," "))),"")))</f>
        <v/>
      </c>
      <c r="ED626">
        <f>IF($DM626=0,"",MATCH(1,INDEX(EXACT($DH$5:DH626,$DH626)*$DM$5:DM626,0),0))</f>
        <v/>
      </c>
      <c r="EE626">
        <f>IF($DM626=0,0,IF($ED626=$DE626,1,0))</f>
        <v/>
      </c>
      <c r="EF626">
        <f>EF625+$EE626</f>
        <v/>
      </c>
      <c r="EG626">
        <f>IF($DM626=0,"",INDEX($EF$5:$EF$1003,$ED626))</f>
        <v/>
      </c>
      <c r="EH626">
        <f>IF($DM626=0,"",IF($DO626&lt;&gt;"","",IFERROR(LOOKUP(2,1/(($EG$4:EG625=$EG626)*($DO$4:DO625&lt;&gt;"")),$DO$4:DO625),"")))</f>
        <v/>
      </c>
      <c r="EI626">
        <f>IF($DM626=0,"",IF($DO626&lt;&gt;"",$DO626,$EH626))</f>
        <v/>
      </c>
      <c r="EJ626">
        <f>IF($DM626=0,"",IF($EI626="",0,IF(OR(ISNUMBER($EI626),AND(AND(SUBSTITUTE(SUBSTITUTE(SUBSTITUTE(SUBSTITUTE(SUBSTITUTE(SUBSTITUTE(SUBSTITUTE(SUBSTITUTE(SUBSTITUTE(SUBSTITUTE(SUBSTITUTE(SUBSTITUTE(SUBSTITUTE(SUBSTITUTE(UPPER($EI626),"0",""),"1",""),"2",""),"3",""),"4",""),"5",""),"6",""),"7",""),"8",""),"9",""),".",""),"+",""),"-",""),"E","")="",LEN(SUBSTITUTE(SUBSTITUTE(MID(UPPER($EI626),1+OR(LEFT(UPPER($EI626),1)="+",LEFT(UPPER($EI626),1)="-"),999),"E+","E"),"E-","E"))=LEN(SUBSTITUTE(SUBSTITUTE(SUBSTITUTE(SUBSTITUTE(MID(UPPER($EI626),1+OR(LEFT(UPPER($EI626),1)="+",LEFT(UPPER($EI626),1)="-"),999),"E+","E"),"E-","E"),"+",""),"-","")),LEN(UPPER($EI626))-LEN(SUBSTITUTE(UPPER($EI626),"E",""))&lt;2,LEN(UPPER($EI626))-LEN(SUBSTITUTE(UPPER($EI626),".",""))&lt;2,IFERROR(FIND(".",UPPER($EI626)),0)&lt;IFERROR(FIND("E",UPPER($EI626)),999)),ISNUMBER(VALUE($EI626)))),1,2)))</f>
        <v/>
      </c>
      <c r="EK626">
        <f>IF($DM626=0,"",IF($EJ626=1,IF(ISNUMBER($EI626),$EI626,VALUE($EI626)),IF($EJ626=2,$DE626,0)))</f>
        <v/>
      </c>
      <c r="EL626">
        <f>IF($DM626=0,"",COUNTIF($EG$5:$EG$1003,"&lt;"&amp;$EG626)+SUMPRODUCT(($EG$5:$EG$1003=$EG626)*(($EJ$5:$EJ$1003&lt;$EJ626)+($EJ$5:$EJ$1003=$EJ626)*(($EK$5:$EK$1003&lt;$EK626)+($EK$5:$EK$1003=$EK626)*($DE$5:$DE$1003&lt;$DE626))))+1)</f>
        <v/>
      </c>
      <c r="EM626">
        <f>IF($DM626=0,"",$EL626+$EG626-1)</f>
        <v/>
      </c>
      <c r="EN626">
        <f>IF($DM626=0,0,IFERROR(MATCH(1,INDEX(--(TRIM(SUBSTITUTE(SUBSTITUTE(SUBSTITUTE(SUBSTITUTE(LINES_NAME&amp;""," "," "),CHAR(9)," "),CHAR(10)," "),CHAR(13)," "))=$DH626),0),0),0))</f>
        <v/>
      </c>
      <c r="EO626">
        <f>IF($EN626=0,0,IF(OR(UPPER(TRIM(INDEX(LINES_SCHEDULED,$EN626)&amp;""))="YES",UPPER(TRIM(INDEX(LINES_SCHEDULED,$EN626)&amp;""))="Y",UPPER(TRIM(INDEX(LINES_SCHEDULED,$EN626)&amp;""))="X"),1,0))</f>
        <v/>
      </c>
      <c r="EP626">
        <f>IF($DM626=0,"",IF(COUNTIFS($EG$5:$EG$1003,$EG626,$EB$5:$EB$1003,"Ready")&gt;0,"READY",IF(COUNTIFS($EG$5:$EG$1003,$EG626,$EB$5:$EB$1003,"PM")&gt;0,"PM",IF(COUNTIFS($EG$5:$EG$1003,$EG626,$EB$5:$EB$1003,"OT")&gt;0,"OT",""))))</f>
        <v/>
      </c>
      <c r="EQ626">
        <f>IF($EN626=0,"",UPPER(TRIM(INDEX(LINES_STATUS,$EN626)&amp;"")))</f>
        <v/>
      </c>
      <c r="ER626">
        <f>IF($DM626=0,"",IF(OR($EQ626="READY",$EQ626="PM",$EQ626="OT"),$EQ626,$EP626))</f>
        <v/>
      </c>
      <c r="ES626">
        <f>IF($DM626=0,"",IF(AND($DV626&lt;&gt;"",UPPER($DV626)&lt;&gt;"N"),"allergen",IF(ISNUMBER(SEARCH("oil",$DQ626)),"oil",IF(OR(EXACT($DS626,"A662"),EXACT($DS626,"A624")),"bulk",""))))</f>
        <v/>
      </c>
      <c r="ET626">
        <f>IF($DM626=0,"",IF(OR($EA626="",$EA626=0),"",$EA626/100))</f>
        <v/>
      </c>
      <c r="EU626">
        <f>IF(OR($ET626="",$DY626=""),"",INT($DY626*(1-$ET626)+0.5))</f>
        <v/>
      </c>
      <c r="EW626" t="n">
        <v>622</v>
      </c>
      <c r="EX626">
        <f>IFERROR(MATCH($EW626,$EM$5:$EM$1003,0),0)</f>
        <v/>
      </c>
      <c r="EY626">
        <f>IF($EW626&gt;$B$12,"",IF($EX626&gt;0,"row","spacer"))</f>
        <v/>
      </c>
      <c r="EZ626">
        <f>IF(AND($EY626="row",$EY625&lt;&gt;"row"),1,0)</f>
        <v/>
      </c>
      <c r="FA626">
        <f>IF(AND($EY626="row",$EY627&lt;&gt;"row"),1,0)</f>
        <v/>
      </c>
      <c r="FB626">
        <f>IF($EZ626=1,IFERROR(IF(ISNUMBER(INDEX(PASTE_ALL,INDEX($DF$5:$DF$1003,$EX626),$B$37)),INDEX(PASTE_ALL,INDEX($DF$5:$DF$1003,$EX626),$B$37),INDEX($DH$5:$DH$1003,$EX626)),INDEX($DH$5:$DH$1003,$EX626)),"")</f>
        <v/>
      </c>
      <c r="FC626">
        <f>IF($EY626="row",INDEX($ER$5:$ER$1003,$EX626),"")</f>
        <v/>
      </c>
      <c r="FD626">
        <f>IF($EY626="row",INDEX($DN$5:$DN$1003,$EX626),"")</f>
        <v/>
      </c>
      <c r="FE626">
        <f>IF($EY626="row",INDEX($DO$5:$DO$1003,$EX626),"")</f>
        <v/>
      </c>
      <c r="FF626">
        <f>IF($EY626="row",INDEX($DP$5:$DP$1003,$EX626),"")</f>
        <v/>
      </c>
      <c r="FG626">
        <f>IF($EY626="row",INDEX($DQ$5:$DQ$1003,$EX626),"")</f>
        <v/>
      </c>
      <c r="FH626">
        <f>IF($EY626="row",INDEX($DR$5:$DR$1003,$EX626),"")</f>
        <v/>
      </c>
      <c r="FI626">
        <f>IF($EY626="row",INDEX($DS$5:$DS$1003,$EX626),"")</f>
        <v/>
      </c>
      <c r="FJ626">
        <f>IF($EY626="row",INDEX($DT$5:$DT$1003,$EX626),"")</f>
        <v/>
      </c>
      <c r="FK626">
        <f>IF($EY626="row",INDEX($DU$5:$DU$1003,$EX626),"")</f>
        <v/>
      </c>
      <c r="FL626">
        <f>IF($EY626="row",INDEX($DV$5:$DV$1003,$EX626),"")</f>
        <v/>
      </c>
      <c r="FM626">
        <f>IF($EY626="row",INDEX($DW$5:$DW$1003,$EX626),"")</f>
        <v/>
      </c>
      <c r="FN626">
        <f>IF($EY626="row",INDEX($DY$5:$DY$1003,$EX626),"")</f>
        <v/>
      </c>
      <c r="FO626">
        <f>IF($EY626="row",INDEX($EA$5:$EA$1003,$EX626),"")</f>
        <v/>
      </c>
      <c r="FP626">
        <f>IF($EY626="row",INDEX($EC$5:$EC$1003,$EX626),"")</f>
        <v/>
      </c>
      <c r="FQ626">
        <f>IF($EY626="row",INDEX($ET$5:$ET$1003,$EX626),"")</f>
        <v/>
      </c>
      <c r="FR626">
        <f>IF($EY626="row",INDEX($EU$5:$EU$1003,$EX626),"")</f>
        <v/>
      </c>
      <c r="FS626">
        <f>IF(AND($EY626="row",$EY625="row"),IF(OR(INDEX($DT$5:$DT$1003,$EX625)="",INDEX($DT$5:$DT$1003,$EX626)=""),"",IF(NOT(EXACT(INDEX($DT$5:$DT$1003,$EX625),INDEX($DT$5:$DT$1003,$EX626))),"S4",IF(NOT(EXACT(INDEX($DS$5:$DS$1003,$EX625),INDEX($DS$5:$DS$1003,$EX626))),"S3",IF(NOT(EXACT(INDEX($DR$5:$DR$1003,$EX625),INDEX($DR$5:$DR$1003,$EX626))),"S1 Count Change","S1")))),"")</f>
        <v/>
      </c>
      <c r="FT626">
        <f>IF($EY626="row",INDEX($ES$5:$ES$1003,$EX626),"")</f>
        <v/>
      </c>
      <c r="FU626">
        <f>IF($EY626="row",INDEX($EO$5:$EO$1003,$EX626),0)</f>
        <v/>
      </c>
      <c r="FV626">
        <f>IF($FS626="S1 Count Change",1,0)</f>
        <v/>
      </c>
    </row>
    <row r="627">
      <c r="DA627" t="n">
        <v>623</v>
      </c>
      <c r="DB627">
        <f>IF($B$37=0,"",IFERROR(TRIM(SUBSTITUTE(SUBSTITUTE(SUBSTITUTE(SUBSTITUTE(INDEX(PASTE_ALL,623,$B$37)," "," "),CHAR(9)," "),CHAR(10)," "),CHAR(13)," ")),""))</f>
        <v/>
      </c>
      <c r="DC627">
        <f>IF(AND(623&gt;HEADER_ROW,UPPER(DB627)="LEGEND"),1,0)</f>
        <v/>
      </c>
      <c r="DE627" t="n">
        <v>623</v>
      </c>
      <c r="DF627">
        <f>HEADER_ROW+$DE627</f>
        <v/>
      </c>
      <c r="DG627">
        <f>IF(AND($DF627&lt;=1000,$DF627&lt;$B$8),1,0)</f>
        <v/>
      </c>
      <c r="DH627">
        <f>IF($DG627=1,IFERROR(INDEX($DB$5:$DB$1004,$DF627),""),"")</f>
        <v/>
      </c>
      <c r="DI627">
        <f>IF(AND($DG627=1,$DH627&lt;&gt;""),IFERROR(SUBSTITUTE(SUBSTITUTE(TRIM(SUBSTITUTE(SUBSTITUTE(SUBSTITUTE(SUBSTITUTE(IFERROR(INDEX(PASTE_ALL,$DF627,1)&amp;"","")&amp;"␟"&amp;IFERROR(INDEX(PASTE_ALL,$DF627,2)&amp;"","")&amp;"␟"&amp;IFERROR(INDEX(PASTE_ALL,$DF627,3)&amp;"","")&amp;"␟"&amp;IFERROR(INDEX(PASTE_ALL,$DF627,4)&amp;"","")&amp;"␟"&amp;IFERROR(INDEX(PASTE_ALL,$DF627,5)&amp;"","")&amp;"␟"&amp;IFERROR(INDEX(PASTE_ALL,$DF627,6)&amp;"","")&amp;"␟"&amp;IFERROR(INDEX(PASTE_ALL,$DF627,7)&amp;"","")&amp;"␟"&amp;IFERROR(INDEX(PASTE_ALL,$DF627,8)&amp;"","")&amp;"␟"&amp;IFERROR(INDEX(PASTE_ALL,$DF627,9)&amp;"","")&amp;"␟"&amp;IFERROR(INDEX(PASTE_ALL,$DF627,10)&amp;"","")&amp;"␟"&amp;IFERROR(INDEX(PASTE_ALL,$DF627,11)&amp;"","")&amp;"␟"&amp;IFERROR(INDEX(PASTE_ALL,$DF627,12)&amp;"","")&amp;"␟"&amp;IFERROR(INDEX(PASTE_ALL,$DF627,13)&amp;"","")&amp;"␟"&amp;IFERROR(INDEX(PASTE_ALL,$DF627,14)&amp;"","")&amp;"␟"&amp;IFERROR(INDEX(PASTE_ALL,$DF627,15)&amp;"","")&amp;"␟"&amp;IFERROR(INDEX(PASTE_ALL,$DF627,16)&amp;"","")&amp;"␟"&amp;IFERROR(INDEX(PASTE_ALL,$DF627,17)&amp;"","")&amp;"␟"&amp;IFERROR(INDEX(PASTE_ALL,$DF627,18)&amp;"","")&amp;"␟"&amp;IFERROR(INDEX(PASTE_ALL,$DF627,19)&amp;"","")&amp;"␟"&amp;IFERROR(INDEX(PASTE_ALL,$DF627,20)&amp;"","")&amp;"␟"&amp;IFERROR(INDEX(PASTE_ALL,$DF627,21)&amp;"","")&amp;"␟"&amp;IFERROR(INDEX(PASTE_ALL,$DF627,22)&amp;"","")&amp;"␟"&amp;IFERROR(INDEX(PASTE_ALL,$DF627,23)&amp;"","")&amp;"␟"&amp;IFERROR(INDEX(PASTE_ALL,$DF627,24)&amp;"","")&amp;"␟"&amp;IFERROR(INDEX(PASTE_ALL,$DF627,25)&amp;"","")&amp;"␟"&amp;IFERROR(INDEX(PASTE_ALL,$DF627,26)&amp;"","")&amp;"␟"&amp;IFERROR(INDEX(PASTE_ALL,$DF627,27)&amp;"","")&amp;"␟"&amp;IFERROR(INDEX(PASTE_ALL,$DF627,28)&amp;"","")&amp;"␟"&amp;IFERROR(INDEX(PASTE_ALL,$DF627,29)&amp;"","")&amp;"␟"&amp;IFERROR(INDEX(PASTE_ALL,$DF627,30)&amp;"","")&amp;"␟"&amp;IFERROR(INDEX(PASTE_ALL,$DF627,31)&amp;"","")&amp;"␟"&amp;IFERROR(INDEX(PASTE_ALL,$DF627,32)&amp;"","")&amp;"␟"&amp;IFERROR(INDEX(PASTE_ALL,$DF627,33)&amp;"","")&amp;"␟"&amp;IFERROR(INDEX(PASTE_ALL,$DF627,34)&amp;"","")&amp;"␟"&amp;IFERROR(INDEX(PASTE_ALL,$DF627,35)&amp;"","")&amp;"␟"&amp;IFERROR(INDEX(PASTE_ALL,$DF627,36)&amp;"","")&amp;"␟"&amp;IFERROR(INDEX(PASTE_ALL,$DF627,37)&amp;"","")&amp;"␟"&amp;IFERROR(INDEX(PASTE_ALL,$DF627,38)&amp;"","")&amp;"␟"&amp;IFERROR(INDEX(PASTE_ALL,$DF627,39)&amp;"","")&amp;"␟"&amp;IFERROR(INDEX(PASTE_ALL,$DF627,40)&amp;"","")&amp;"␟"&amp;IFERROR(INDEX(PASTE_ALL,$DF627,41)&amp;"","")&amp;"␟"&amp;IFERROR(INDEX(PASTE_ALL,$DF627,42)&amp;"","")&amp;"␟"&amp;IFERROR(INDEX(PASTE_ALL,$DF627,43)&amp;"","")&amp;"␟"&amp;IFERROR(INDEX(PASTE_ALL,$DF627,44)&amp;"","")&amp;"␟"&amp;IFERROR(INDEX(PASTE_ALL,$DF627,45)&amp;"","")&amp;"␟"&amp;IFERROR(INDEX(PASTE_ALL,$DF627,46)&amp;"","")&amp;"␟"&amp;IFERROR(INDEX(PASTE_ALL,$DF627,47)&amp;"","")&amp;"␟"&amp;IFERROR(INDEX(PASTE_ALL,$DF627,48)&amp;"","")&amp;"␟"&amp;IFERROR(INDEX(PASTE_ALL,$DF627,49)&amp;"","")&amp;"␟"&amp;IFERROR(INDEX(PASTE_ALL,$DF627,50)&amp;"","")&amp;"␟"&amp;IFERROR(INDEX(PASTE_ALL,$DF627,51)&amp;"","")&amp;"␟"&amp;IFERROR(INDEX(PASTE_ALL,$DF627,52)&amp;"","")&amp;"␟"&amp;IFERROR(INDEX(PASTE_ALL,$DF627,53)&amp;"","")&amp;"␟"&amp;IFERROR(INDEX(PASTE_ALL,$DF627,54)&amp;"","")&amp;"␟"&amp;IFERROR(INDEX(PASTE_ALL,$DF627,55)&amp;"","")&amp;"␟"&amp;IFERROR(INDEX(PASTE_ALL,$DF627,56)&amp;"","")&amp;"␟"&amp;IFERROR(INDEX(PASTE_ALL,$DF627,57)&amp;"","")&amp;"␟"&amp;IFERROR(INDEX(PASTE_ALL,$DF627,58)&amp;"","")&amp;"␟"&amp;IFERROR(INDEX(PASTE_ALL,$DF627,59)&amp;"","")&amp;"␟"&amp;IFERROR(INDEX(PASTE_ALL,$DF627,60)&amp;"","")," "," "),CHAR(9)," "),CHAR(10)," "),CHAR(13)," "))," ␟","␟"),"␟ ","␟"),"#"&amp;$DE627),"")</f>
        <v/>
      </c>
      <c r="DJ627">
        <f>IF($DI627="",0,IF(SUMPRODUCT(--EXACT($DI$4:DI626,$DI627))&gt;0,1,0))</f>
        <v/>
      </c>
      <c r="DK627">
        <f>IF(AND($DI627&lt;&gt;"",$DJ627=0),1,0)</f>
        <v/>
      </c>
      <c r="DL627">
        <f>DL626+$DK627</f>
        <v/>
      </c>
      <c r="DM627">
        <f>IF(AND($DK627=1,$DL627&lt;=600),1,0)</f>
        <v/>
      </c>
      <c r="DN627">
        <f>IF($DM627=0,"",IF($L$6=0,"",IFERROR(IF(ISNUMBER(INDEX(PASTE_ALL,$DF627,$L$6)),INDEX(PASTE_ALL,$DF627,$L$6),TRIM(SUBSTITUTE(SUBSTITUTE(SUBSTITUTE(SUBSTITUTE(INDEX(PASTE_ALL,$DF627,$L$6)," "," "),CHAR(9)," "),CHAR(10)," "),CHAR(13)," "))),"")))</f>
        <v/>
      </c>
      <c r="DO627">
        <f>IF($DM627=0,"",IF($L$7=0,"",IFERROR(IF(ISNUMBER(INDEX(PASTE_ALL,$DF627,$L$7)),INDEX(PASTE_ALL,$DF627,$L$7),TRIM(SUBSTITUTE(SUBSTITUTE(SUBSTITUTE(SUBSTITUTE(INDEX(PASTE_ALL,$DF627,$L$7)," "," "),CHAR(9)," "),CHAR(10)," "),CHAR(13)," "))),"")))</f>
        <v/>
      </c>
      <c r="DP627">
        <f>IF($DM627=0,"",IF($L$8=0,"",IFERROR(IF(ISNUMBER(INDEX(PASTE_ALL,$DF627,$L$8)),INDEX(PASTE_ALL,$DF627,$L$8),TRIM(SUBSTITUTE(SUBSTITUTE(SUBSTITUTE(SUBSTITUTE(INDEX(PASTE_ALL,$DF627,$L$8)," "," "),CHAR(9)," "),CHAR(10)," "),CHAR(13)," "))),"")))</f>
        <v/>
      </c>
      <c r="DQ627">
        <f>IF($DM627=0,"",IF($L$9=0,"",IFERROR(IF(ISNUMBER(INDEX(PASTE_ALL,$DF627,$L$9)),INDEX(PASTE_ALL,$DF627,$L$9),TRIM(SUBSTITUTE(SUBSTITUTE(SUBSTITUTE(SUBSTITUTE(INDEX(PASTE_ALL,$DF627,$L$9)," "," "),CHAR(9)," "),CHAR(10)," "),CHAR(13)," "))),"")))</f>
        <v/>
      </c>
      <c r="DR627">
        <f>IF($DM627=0,"",IF($L$10=0,"",IFERROR(IF(ISNUMBER(INDEX(PASTE_ALL,$DF627,$L$10)),INDEX(PASTE_ALL,$DF627,$L$10),TRIM(SUBSTITUTE(SUBSTITUTE(SUBSTITUTE(SUBSTITUTE(INDEX(PASTE_ALL,$DF627,$L$10)," "," "),CHAR(9)," "),CHAR(10)," "),CHAR(13)," "))),"")))</f>
        <v/>
      </c>
      <c r="DS627">
        <f>IF($DM627=0,"",IF($L$11=0,"",IFERROR(IF(ISNUMBER(INDEX(PASTE_ALL,$DF627,$L$11)),INDEX(PASTE_ALL,$DF627,$L$11),TRIM(SUBSTITUTE(SUBSTITUTE(SUBSTITUTE(SUBSTITUTE(INDEX(PASTE_ALL,$DF627,$L$11)," "," "),CHAR(9)," "),CHAR(10)," "),CHAR(13)," "))),"")))</f>
        <v/>
      </c>
      <c r="DT627">
        <f>IF($DM627=0,"",IF($L$12=0,"",IFERROR(IF(ISNUMBER(INDEX(PASTE_ALL,$DF627,$L$12)),INDEX(PASTE_ALL,$DF627,$L$12),TRIM(SUBSTITUTE(SUBSTITUTE(SUBSTITUTE(SUBSTITUTE(INDEX(PASTE_ALL,$DF627,$L$12)," "," "),CHAR(9)," "),CHAR(10)," "),CHAR(13)," "))),"")))</f>
        <v/>
      </c>
      <c r="DU627">
        <f>IF($DM627=0,"",IF($L$13=0,"",IFERROR(IF(ISNUMBER(INDEX(PASTE_ALL,$DF627,$L$13)),INDEX(PASTE_ALL,$DF627,$L$13),TRIM(SUBSTITUTE(SUBSTITUTE(SUBSTITUTE(SUBSTITUTE(INDEX(PASTE_ALL,$DF627,$L$13)," "," "),CHAR(9)," "),CHAR(10)," "),CHAR(13)," "))),"")))</f>
        <v/>
      </c>
      <c r="DV627">
        <f>IF($DM627=0,"",IF($L$14=0,"",IFERROR(IF(ISNUMBER(INDEX(PASTE_ALL,$DF627,$L$14)),INDEX(PASTE_ALL,$DF627,$L$14),TRIM(SUBSTITUTE(SUBSTITUTE(SUBSTITUTE(SUBSTITUTE(INDEX(PASTE_ALL,$DF627,$L$14)," "," "),CHAR(9)," "),CHAR(10)," "),CHAR(13)," "))),"")))</f>
        <v/>
      </c>
      <c r="DW627">
        <f>IF($DM627=0,"",IF($L$15=0,"",IFERROR(IF(ISNUMBER(INDEX(PASTE_ALL,$DF627,$L$15)),INDEX(PASTE_ALL,$DF627,$L$15),IF(SUMPRODUCT(--ISNUMBER(FIND({"A","B","C","D","E","F","G","H","I","J","K","L","M","N","O","P","Q","R","S","T","U","V","W","X","Y","Z","0","1","2","3","4","5","6","7","8","9"},UPPER(TRIM(SUBSTITUTE(SUBSTITUTE(SUBSTITUTE(SUBSTITUTE(INDEX(PASTE_ALL,$DF627,$L$15)," "," "),CHAR(9)," "),CHAR(10)," "),CHAR(13)," "))))))&gt;0,TRIM(SUBSTITUTE(SUBSTITUTE(SUBSTITUTE(SUBSTITUTE(INDEX(PASTE_ALL,$DF627,$L$15)," "," "),CHAR(9)," "),CHAR(10)," "),CHAR(13)," ")),"")),"")))</f>
        <v/>
      </c>
      <c r="DX627">
        <f>IF($DM627=0,"",IF($L$16=0,"",IFERROR(IF(ISNUMBER(INDEX(PASTE_ALL,$DF627,$L$16)),INDEX(PASTE_ALL,$DF627,$L$16),SUBSTITUTE(SUBSTITUTE(TRIM(SUBSTITUTE(SUBSTITUTE(SUBSTITUTE(SUBSTITUTE(INDEX(PASTE_ALL,$DF627,$L$16)," "," "),CHAR(9)," "),CHAR(10)," "),CHAR(13)," ")),",",""),"%","")),"")))</f>
        <v/>
      </c>
      <c r="DY627">
        <f>IF($DM627=0,"",IFERROR(IF(ISNUMBER($DX627),$DX627,IF($DX627="","",IF(TRIM($DX627)="",0,IF(AND(AND(SUBSTITUTE(SUBSTITUTE(SUBSTITUTE(SUBSTITUTE(SUBSTITUTE(SUBSTITUTE(SUBSTITUTE(SUBSTITUTE(SUBSTITUTE(SUBSTITUTE(SUBSTITUTE(SUBSTITUTE(SUBSTITUTE(SUBSTITUTE(UPPER(TRIM($DX627)),"0",""),"1",""),"2",""),"3",""),"4",""),"5",""),"6",""),"7",""),"8",""),"9",""),".",""),"+",""),"-",""),"E","")="",LEN(SUBSTITUTE(SUBSTITUTE(MID(UPPER(TRIM($DX627)),1+OR(LEFT(UPPER(TRIM($DX627)),1)="+",LEFT(UPPER(TRIM($DX627)),1)="-"),999),"E+","E"),"E-","E"))=LEN(SUBSTITUTE(SUBSTITUTE(SUBSTITUTE(SUBSTITUTE(MID(UPPER(TRIM($DX627)),1+OR(LEFT(UPPER(TRIM($DX627)),1)="+",LEFT(UPPER(TRIM($DX627)),1)="-"),999),"E+","E"),"E-","E"),"+",""),"-","")),LEN(UPPER(TRIM($DX627)))-LEN(SUBSTITUTE(UPPER(TRIM($DX627)),"E",""))&lt;2,LEN(UPPER(TRIM($DX627)))-LEN(SUBSTITUTE(UPPER(TRIM($DX627)),".",""))&lt;2,IFERROR(FIND(".",UPPER(TRIM($DX627))),0)&lt;IFERROR(FIND("E",UPPER(TRIM($DX627))),999)),ISNUMBER(VALUE(TRIM($DX627)))),VALUE(TRIM($DX627)),"")))),""))</f>
        <v/>
      </c>
      <c r="DZ627">
        <f>IF($DM627=0,"",IF($L$17=0,"",IFERROR(IF(ISNUMBER(INDEX(PASTE_ALL,$DF627,$L$17)),INDEX(PASTE_ALL,$DF627,$L$17),SUBSTITUTE(SUBSTITUTE(TRIM(SUBSTITUTE(SUBSTITUTE(SUBSTITUTE(SUBSTITUTE(INDEX(PASTE_ALL,$DF627,$L$17)," "," "),CHAR(9)," "),CHAR(10)," "),CHAR(13)," ")),",",""),"%","")),"")))</f>
        <v/>
      </c>
      <c r="EA627">
        <f>IF($DM627=0,"",IFERROR(IF(ISNUMBER($DZ627),$DZ627,IF($DZ627="","",IF(TRIM($DZ627)="",0,IF(AND(AND(SUBSTITUTE(SUBSTITUTE(SUBSTITUTE(SUBSTITUTE(SUBSTITUTE(SUBSTITUTE(SUBSTITUTE(SUBSTITUTE(SUBSTITUTE(SUBSTITUTE(SUBSTITUTE(SUBSTITUTE(SUBSTITUTE(SUBSTITUTE(UPPER(TRIM($DZ627)),"0",""),"1",""),"2",""),"3",""),"4",""),"5",""),"6",""),"7",""),"8",""),"9",""),".",""),"+",""),"-",""),"E","")="",LEN(SUBSTITUTE(SUBSTITUTE(MID(UPPER(TRIM($DZ627)),1+OR(LEFT(UPPER(TRIM($DZ627)),1)="+",LEFT(UPPER(TRIM($DZ627)),1)="-"),999),"E+","E"),"E-","E"))=LEN(SUBSTITUTE(SUBSTITUTE(SUBSTITUTE(SUBSTITUTE(MID(UPPER(TRIM($DZ627)),1+OR(LEFT(UPPER(TRIM($DZ627)),1)="+",LEFT(UPPER(TRIM($DZ627)),1)="-"),999),"E+","E"),"E-","E"),"+",""),"-","")),LEN(UPPER(TRIM($DZ627)))-LEN(SUBSTITUTE(UPPER(TRIM($DZ627)),"E",""))&lt;2,LEN(UPPER(TRIM($DZ627)))-LEN(SUBSTITUTE(UPPER(TRIM($DZ627)),".",""))&lt;2,IFERROR(FIND(".",UPPER(TRIM($DZ627))),0)&lt;IFERROR(FIND("E",UPPER(TRIM($DZ627))),999)),ISNUMBER(VALUE(TRIM($DZ627)))),VALUE(TRIM($DZ627)),"")))),""))</f>
        <v/>
      </c>
      <c r="EB627">
        <f>IF($DM627=0,"",IF($L$18=0,"",IFERROR(IF(UPPER(TRIM(SUBSTITUTE(SUBSTITUTE(SUBSTITUTE(SUBSTITUTE(INDEX(PASTE_ALL,$DF627,$L$18)," "," "),CHAR(9)," "),CHAR(10)," "),CHAR(13)," ")))="READY","Ready",IF(UPPER(TRIM(SUBSTITUTE(SUBSTITUTE(SUBSTITUTE(SUBSTITUTE(INDEX(PASTE_ALL,$DF627,$L$18)," "," "),CHAR(9)," "),CHAR(10)," "),CHAR(13)," ")))="PM","PM",IF(OR(UPPER(TRIM(SUBSTITUTE(SUBSTITUTE(SUBSTITUTE(SUBSTITUTE(INDEX(PASTE_ALL,$DF627,$L$18)," "," "),CHAR(9)," "),CHAR(10)," "),CHAR(13)," ")))="OT",UPPER(TRIM(SUBSTITUTE(SUBSTITUTE(SUBSTITUTE(SUBSTITUTE(INDEX(PASTE_ALL,$DF627,$L$18)," "," "),CHAR(9)," "),CHAR(10)," "),CHAR(13)," ")))="OVERTIME",UPPER(TRIM(SUBSTITUTE(SUBSTITUTE(SUBSTITUTE(SUBSTITUTE(INDEX(PASTE_ALL,$DF627,$L$18)," "," "),CHAR(9)," "),CHAR(10)," "),CHAR(13)," ")))="TRIAL"),"OT",TRIM(SUBSTITUTE(SUBSTITUTE(SUBSTITUTE(SUBSTITUTE(INDEX(PASTE_ALL,$DF627,$L$18)," "," "),CHAR(9)," "),CHAR(10)," "),CHAR(13)," "))))),"")))</f>
        <v/>
      </c>
      <c r="EC627">
        <f>IF($DM627=0,"",IF($L$19=0,"",IFERROR(IF(ISNUMBER(INDEX(PASTE_ALL,$DF627,$L$19)),INDEX(PASTE_ALL,$DF627,$L$19),TRIM(SUBSTITUTE(SUBSTITUTE(SUBSTITUTE(SUBSTITUTE(INDEX(PASTE_ALL,$DF627,$L$19)," "," "),CHAR(9)," "),CHAR(10)," "),CHAR(13)," "))),"")))</f>
        <v/>
      </c>
      <c r="ED627">
        <f>IF($DM627=0,"",MATCH(1,INDEX(EXACT($DH$5:DH627,$DH627)*$DM$5:DM627,0),0))</f>
        <v/>
      </c>
      <c r="EE627">
        <f>IF($DM627=0,0,IF($ED627=$DE627,1,0))</f>
        <v/>
      </c>
      <c r="EF627">
        <f>EF626+$EE627</f>
        <v/>
      </c>
      <c r="EG627">
        <f>IF($DM627=0,"",INDEX($EF$5:$EF$1003,$ED627))</f>
        <v/>
      </c>
      <c r="EH627">
        <f>IF($DM627=0,"",IF($DO627&lt;&gt;"","",IFERROR(LOOKUP(2,1/(($EG$4:EG626=$EG627)*($DO$4:DO626&lt;&gt;"")),$DO$4:DO626),"")))</f>
        <v/>
      </c>
      <c r="EI627">
        <f>IF($DM627=0,"",IF($DO627&lt;&gt;"",$DO627,$EH627))</f>
        <v/>
      </c>
      <c r="EJ627">
        <f>IF($DM627=0,"",IF($EI627="",0,IF(OR(ISNUMBER($EI627),AND(AND(SUBSTITUTE(SUBSTITUTE(SUBSTITUTE(SUBSTITUTE(SUBSTITUTE(SUBSTITUTE(SUBSTITUTE(SUBSTITUTE(SUBSTITUTE(SUBSTITUTE(SUBSTITUTE(SUBSTITUTE(SUBSTITUTE(SUBSTITUTE(UPPER($EI627),"0",""),"1",""),"2",""),"3",""),"4",""),"5",""),"6",""),"7",""),"8",""),"9",""),".",""),"+",""),"-",""),"E","")="",LEN(SUBSTITUTE(SUBSTITUTE(MID(UPPER($EI627),1+OR(LEFT(UPPER($EI627),1)="+",LEFT(UPPER($EI627),1)="-"),999),"E+","E"),"E-","E"))=LEN(SUBSTITUTE(SUBSTITUTE(SUBSTITUTE(SUBSTITUTE(MID(UPPER($EI627),1+OR(LEFT(UPPER($EI627),1)="+",LEFT(UPPER($EI627),1)="-"),999),"E+","E"),"E-","E"),"+",""),"-","")),LEN(UPPER($EI627))-LEN(SUBSTITUTE(UPPER($EI627),"E",""))&lt;2,LEN(UPPER($EI627))-LEN(SUBSTITUTE(UPPER($EI627),".",""))&lt;2,IFERROR(FIND(".",UPPER($EI627)),0)&lt;IFERROR(FIND("E",UPPER($EI627)),999)),ISNUMBER(VALUE($EI627)))),1,2)))</f>
        <v/>
      </c>
      <c r="EK627">
        <f>IF($DM627=0,"",IF($EJ627=1,IF(ISNUMBER($EI627),$EI627,VALUE($EI627)),IF($EJ627=2,$DE627,0)))</f>
        <v/>
      </c>
      <c r="EL627">
        <f>IF($DM627=0,"",COUNTIF($EG$5:$EG$1003,"&lt;"&amp;$EG627)+SUMPRODUCT(($EG$5:$EG$1003=$EG627)*(($EJ$5:$EJ$1003&lt;$EJ627)+($EJ$5:$EJ$1003=$EJ627)*(($EK$5:$EK$1003&lt;$EK627)+($EK$5:$EK$1003=$EK627)*($DE$5:$DE$1003&lt;$DE627))))+1)</f>
        <v/>
      </c>
      <c r="EM627">
        <f>IF($DM627=0,"",$EL627+$EG627-1)</f>
        <v/>
      </c>
      <c r="EN627">
        <f>IF($DM627=0,0,IFERROR(MATCH(1,INDEX(--(TRIM(SUBSTITUTE(SUBSTITUTE(SUBSTITUTE(SUBSTITUTE(LINES_NAME&amp;""," "," "),CHAR(9)," "),CHAR(10)," "),CHAR(13)," "))=$DH627),0),0),0))</f>
        <v/>
      </c>
      <c r="EO627">
        <f>IF($EN627=0,0,IF(OR(UPPER(TRIM(INDEX(LINES_SCHEDULED,$EN627)&amp;""))="YES",UPPER(TRIM(INDEX(LINES_SCHEDULED,$EN627)&amp;""))="Y",UPPER(TRIM(INDEX(LINES_SCHEDULED,$EN627)&amp;""))="X"),1,0))</f>
        <v/>
      </c>
      <c r="EP627">
        <f>IF($DM627=0,"",IF(COUNTIFS($EG$5:$EG$1003,$EG627,$EB$5:$EB$1003,"Ready")&gt;0,"READY",IF(COUNTIFS($EG$5:$EG$1003,$EG627,$EB$5:$EB$1003,"PM")&gt;0,"PM",IF(COUNTIFS($EG$5:$EG$1003,$EG627,$EB$5:$EB$1003,"OT")&gt;0,"OT",""))))</f>
        <v/>
      </c>
      <c r="EQ627">
        <f>IF($EN627=0,"",UPPER(TRIM(INDEX(LINES_STATUS,$EN627)&amp;"")))</f>
        <v/>
      </c>
      <c r="ER627">
        <f>IF($DM627=0,"",IF(OR($EQ627="READY",$EQ627="PM",$EQ627="OT"),$EQ627,$EP627))</f>
        <v/>
      </c>
      <c r="ES627">
        <f>IF($DM627=0,"",IF(AND($DV627&lt;&gt;"",UPPER($DV627)&lt;&gt;"N"),"allergen",IF(ISNUMBER(SEARCH("oil",$DQ627)),"oil",IF(OR(EXACT($DS627,"A662"),EXACT($DS627,"A624")),"bulk",""))))</f>
        <v/>
      </c>
      <c r="ET627">
        <f>IF($DM627=0,"",IF(OR($EA627="",$EA627=0),"",$EA627/100))</f>
        <v/>
      </c>
      <c r="EU627">
        <f>IF(OR($ET627="",$DY627=""),"",INT($DY627*(1-$ET627)+0.5))</f>
        <v/>
      </c>
      <c r="EW627" t="n">
        <v>623</v>
      </c>
      <c r="EX627">
        <f>IFERROR(MATCH($EW627,$EM$5:$EM$1003,0),0)</f>
        <v/>
      </c>
      <c r="EY627">
        <f>IF($EW627&gt;$B$12,"",IF($EX627&gt;0,"row","spacer"))</f>
        <v/>
      </c>
      <c r="EZ627">
        <f>IF(AND($EY627="row",$EY626&lt;&gt;"row"),1,0)</f>
        <v/>
      </c>
      <c r="FA627">
        <f>IF(AND($EY627="row",$EY628&lt;&gt;"row"),1,0)</f>
        <v/>
      </c>
      <c r="FB627">
        <f>IF($EZ627=1,IFERROR(IF(ISNUMBER(INDEX(PASTE_ALL,INDEX($DF$5:$DF$1003,$EX627),$B$37)),INDEX(PASTE_ALL,INDEX($DF$5:$DF$1003,$EX627),$B$37),INDEX($DH$5:$DH$1003,$EX627)),INDEX($DH$5:$DH$1003,$EX627)),"")</f>
        <v/>
      </c>
      <c r="FC627">
        <f>IF($EY627="row",INDEX($ER$5:$ER$1003,$EX627),"")</f>
        <v/>
      </c>
      <c r="FD627">
        <f>IF($EY627="row",INDEX($DN$5:$DN$1003,$EX627),"")</f>
        <v/>
      </c>
      <c r="FE627">
        <f>IF($EY627="row",INDEX($DO$5:$DO$1003,$EX627),"")</f>
        <v/>
      </c>
      <c r="FF627">
        <f>IF($EY627="row",INDEX($DP$5:$DP$1003,$EX627),"")</f>
        <v/>
      </c>
      <c r="FG627">
        <f>IF($EY627="row",INDEX($DQ$5:$DQ$1003,$EX627),"")</f>
        <v/>
      </c>
      <c r="FH627">
        <f>IF($EY627="row",INDEX($DR$5:$DR$1003,$EX627),"")</f>
        <v/>
      </c>
      <c r="FI627">
        <f>IF($EY627="row",INDEX($DS$5:$DS$1003,$EX627),"")</f>
        <v/>
      </c>
      <c r="FJ627">
        <f>IF($EY627="row",INDEX($DT$5:$DT$1003,$EX627),"")</f>
        <v/>
      </c>
      <c r="FK627">
        <f>IF($EY627="row",INDEX($DU$5:$DU$1003,$EX627),"")</f>
        <v/>
      </c>
      <c r="FL627">
        <f>IF($EY627="row",INDEX($DV$5:$DV$1003,$EX627),"")</f>
        <v/>
      </c>
      <c r="FM627">
        <f>IF($EY627="row",INDEX($DW$5:$DW$1003,$EX627),"")</f>
        <v/>
      </c>
      <c r="FN627">
        <f>IF($EY627="row",INDEX($DY$5:$DY$1003,$EX627),"")</f>
        <v/>
      </c>
      <c r="FO627">
        <f>IF($EY627="row",INDEX($EA$5:$EA$1003,$EX627),"")</f>
        <v/>
      </c>
      <c r="FP627">
        <f>IF($EY627="row",INDEX($EC$5:$EC$1003,$EX627),"")</f>
        <v/>
      </c>
      <c r="FQ627">
        <f>IF($EY627="row",INDEX($ET$5:$ET$1003,$EX627),"")</f>
        <v/>
      </c>
      <c r="FR627">
        <f>IF($EY627="row",INDEX($EU$5:$EU$1003,$EX627),"")</f>
        <v/>
      </c>
      <c r="FS627">
        <f>IF(AND($EY627="row",$EY626="row"),IF(OR(INDEX($DT$5:$DT$1003,$EX626)="",INDEX($DT$5:$DT$1003,$EX627)=""),"",IF(NOT(EXACT(INDEX($DT$5:$DT$1003,$EX626),INDEX($DT$5:$DT$1003,$EX627))),"S4",IF(NOT(EXACT(INDEX($DS$5:$DS$1003,$EX626),INDEX($DS$5:$DS$1003,$EX627))),"S3",IF(NOT(EXACT(INDEX($DR$5:$DR$1003,$EX626),INDEX($DR$5:$DR$1003,$EX627))),"S1 Count Change","S1")))),"")</f>
        <v/>
      </c>
      <c r="FT627">
        <f>IF($EY627="row",INDEX($ES$5:$ES$1003,$EX627),"")</f>
        <v/>
      </c>
      <c r="FU627">
        <f>IF($EY627="row",INDEX($EO$5:$EO$1003,$EX627),0)</f>
        <v/>
      </c>
      <c r="FV627">
        <f>IF($FS627="S1 Count Change",1,0)</f>
        <v/>
      </c>
    </row>
    <row r="628">
      <c r="DA628" t="n">
        <v>624</v>
      </c>
      <c r="DB628">
        <f>IF($B$37=0,"",IFERROR(TRIM(SUBSTITUTE(SUBSTITUTE(SUBSTITUTE(SUBSTITUTE(INDEX(PASTE_ALL,624,$B$37)," "," "),CHAR(9)," "),CHAR(10)," "),CHAR(13)," ")),""))</f>
        <v/>
      </c>
      <c r="DC628">
        <f>IF(AND(624&gt;HEADER_ROW,UPPER(DB628)="LEGEND"),1,0)</f>
        <v/>
      </c>
      <c r="DE628" t="n">
        <v>624</v>
      </c>
      <c r="DF628">
        <f>HEADER_ROW+$DE628</f>
        <v/>
      </c>
      <c r="DG628">
        <f>IF(AND($DF628&lt;=1000,$DF628&lt;$B$8),1,0)</f>
        <v/>
      </c>
      <c r="DH628">
        <f>IF($DG628=1,IFERROR(INDEX($DB$5:$DB$1004,$DF628),""),"")</f>
        <v/>
      </c>
      <c r="DI628">
        <f>IF(AND($DG628=1,$DH628&lt;&gt;""),IFERROR(SUBSTITUTE(SUBSTITUTE(TRIM(SUBSTITUTE(SUBSTITUTE(SUBSTITUTE(SUBSTITUTE(IFERROR(INDEX(PASTE_ALL,$DF628,1)&amp;"","")&amp;"␟"&amp;IFERROR(INDEX(PASTE_ALL,$DF628,2)&amp;"","")&amp;"␟"&amp;IFERROR(INDEX(PASTE_ALL,$DF628,3)&amp;"","")&amp;"␟"&amp;IFERROR(INDEX(PASTE_ALL,$DF628,4)&amp;"","")&amp;"␟"&amp;IFERROR(INDEX(PASTE_ALL,$DF628,5)&amp;"","")&amp;"␟"&amp;IFERROR(INDEX(PASTE_ALL,$DF628,6)&amp;"","")&amp;"␟"&amp;IFERROR(INDEX(PASTE_ALL,$DF628,7)&amp;"","")&amp;"␟"&amp;IFERROR(INDEX(PASTE_ALL,$DF628,8)&amp;"","")&amp;"␟"&amp;IFERROR(INDEX(PASTE_ALL,$DF628,9)&amp;"","")&amp;"␟"&amp;IFERROR(INDEX(PASTE_ALL,$DF628,10)&amp;"","")&amp;"␟"&amp;IFERROR(INDEX(PASTE_ALL,$DF628,11)&amp;"","")&amp;"␟"&amp;IFERROR(INDEX(PASTE_ALL,$DF628,12)&amp;"","")&amp;"␟"&amp;IFERROR(INDEX(PASTE_ALL,$DF628,13)&amp;"","")&amp;"␟"&amp;IFERROR(INDEX(PASTE_ALL,$DF628,14)&amp;"","")&amp;"␟"&amp;IFERROR(INDEX(PASTE_ALL,$DF628,15)&amp;"","")&amp;"␟"&amp;IFERROR(INDEX(PASTE_ALL,$DF628,16)&amp;"","")&amp;"␟"&amp;IFERROR(INDEX(PASTE_ALL,$DF628,17)&amp;"","")&amp;"␟"&amp;IFERROR(INDEX(PASTE_ALL,$DF628,18)&amp;"","")&amp;"␟"&amp;IFERROR(INDEX(PASTE_ALL,$DF628,19)&amp;"","")&amp;"␟"&amp;IFERROR(INDEX(PASTE_ALL,$DF628,20)&amp;"","")&amp;"␟"&amp;IFERROR(INDEX(PASTE_ALL,$DF628,21)&amp;"","")&amp;"␟"&amp;IFERROR(INDEX(PASTE_ALL,$DF628,22)&amp;"","")&amp;"␟"&amp;IFERROR(INDEX(PASTE_ALL,$DF628,23)&amp;"","")&amp;"␟"&amp;IFERROR(INDEX(PASTE_ALL,$DF628,24)&amp;"","")&amp;"␟"&amp;IFERROR(INDEX(PASTE_ALL,$DF628,25)&amp;"","")&amp;"␟"&amp;IFERROR(INDEX(PASTE_ALL,$DF628,26)&amp;"","")&amp;"␟"&amp;IFERROR(INDEX(PASTE_ALL,$DF628,27)&amp;"","")&amp;"␟"&amp;IFERROR(INDEX(PASTE_ALL,$DF628,28)&amp;"","")&amp;"␟"&amp;IFERROR(INDEX(PASTE_ALL,$DF628,29)&amp;"","")&amp;"␟"&amp;IFERROR(INDEX(PASTE_ALL,$DF628,30)&amp;"","")&amp;"␟"&amp;IFERROR(INDEX(PASTE_ALL,$DF628,31)&amp;"","")&amp;"␟"&amp;IFERROR(INDEX(PASTE_ALL,$DF628,32)&amp;"","")&amp;"␟"&amp;IFERROR(INDEX(PASTE_ALL,$DF628,33)&amp;"","")&amp;"␟"&amp;IFERROR(INDEX(PASTE_ALL,$DF628,34)&amp;"","")&amp;"␟"&amp;IFERROR(INDEX(PASTE_ALL,$DF628,35)&amp;"","")&amp;"␟"&amp;IFERROR(INDEX(PASTE_ALL,$DF628,36)&amp;"","")&amp;"␟"&amp;IFERROR(INDEX(PASTE_ALL,$DF628,37)&amp;"","")&amp;"␟"&amp;IFERROR(INDEX(PASTE_ALL,$DF628,38)&amp;"","")&amp;"␟"&amp;IFERROR(INDEX(PASTE_ALL,$DF628,39)&amp;"","")&amp;"␟"&amp;IFERROR(INDEX(PASTE_ALL,$DF628,40)&amp;"","")&amp;"␟"&amp;IFERROR(INDEX(PASTE_ALL,$DF628,41)&amp;"","")&amp;"␟"&amp;IFERROR(INDEX(PASTE_ALL,$DF628,42)&amp;"","")&amp;"␟"&amp;IFERROR(INDEX(PASTE_ALL,$DF628,43)&amp;"","")&amp;"␟"&amp;IFERROR(INDEX(PASTE_ALL,$DF628,44)&amp;"","")&amp;"␟"&amp;IFERROR(INDEX(PASTE_ALL,$DF628,45)&amp;"","")&amp;"␟"&amp;IFERROR(INDEX(PASTE_ALL,$DF628,46)&amp;"","")&amp;"␟"&amp;IFERROR(INDEX(PASTE_ALL,$DF628,47)&amp;"","")&amp;"␟"&amp;IFERROR(INDEX(PASTE_ALL,$DF628,48)&amp;"","")&amp;"␟"&amp;IFERROR(INDEX(PASTE_ALL,$DF628,49)&amp;"","")&amp;"␟"&amp;IFERROR(INDEX(PASTE_ALL,$DF628,50)&amp;"","")&amp;"␟"&amp;IFERROR(INDEX(PASTE_ALL,$DF628,51)&amp;"","")&amp;"␟"&amp;IFERROR(INDEX(PASTE_ALL,$DF628,52)&amp;"","")&amp;"␟"&amp;IFERROR(INDEX(PASTE_ALL,$DF628,53)&amp;"","")&amp;"␟"&amp;IFERROR(INDEX(PASTE_ALL,$DF628,54)&amp;"","")&amp;"␟"&amp;IFERROR(INDEX(PASTE_ALL,$DF628,55)&amp;"","")&amp;"␟"&amp;IFERROR(INDEX(PASTE_ALL,$DF628,56)&amp;"","")&amp;"␟"&amp;IFERROR(INDEX(PASTE_ALL,$DF628,57)&amp;"","")&amp;"␟"&amp;IFERROR(INDEX(PASTE_ALL,$DF628,58)&amp;"","")&amp;"␟"&amp;IFERROR(INDEX(PASTE_ALL,$DF628,59)&amp;"","")&amp;"␟"&amp;IFERROR(INDEX(PASTE_ALL,$DF628,60)&amp;"","")," "," "),CHAR(9)," "),CHAR(10)," "),CHAR(13)," "))," ␟","␟"),"␟ ","␟"),"#"&amp;$DE628),"")</f>
        <v/>
      </c>
      <c r="DJ628">
        <f>IF($DI628="",0,IF(SUMPRODUCT(--EXACT($DI$4:DI627,$DI628))&gt;0,1,0))</f>
        <v/>
      </c>
      <c r="DK628">
        <f>IF(AND($DI628&lt;&gt;"",$DJ628=0),1,0)</f>
        <v/>
      </c>
      <c r="DL628">
        <f>DL627+$DK628</f>
        <v/>
      </c>
      <c r="DM628">
        <f>IF(AND($DK628=1,$DL628&lt;=600),1,0)</f>
        <v/>
      </c>
      <c r="DN628">
        <f>IF($DM628=0,"",IF($L$6=0,"",IFERROR(IF(ISNUMBER(INDEX(PASTE_ALL,$DF628,$L$6)),INDEX(PASTE_ALL,$DF628,$L$6),TRIM(SUBSTITUTE(SUBSTITUTE(SUBSTITUTE(SUBSTITUTE(INDEX(PASTE_ALL,$DF628,$L$6)," "," "),CHAR(9)," "),CHAR(10)," "),CHAR(13)," "))),"")))</f>
        <v/>
      </c>
      <c r="DO628">
        <f>IF($DM628=0,"",IF($L$7=0,"",IFERROR(IF(ISNUMBER(INDEX(PASTE_ALL,$DF628,$L$7)),INDEX(PASTE_ALL,$DF628,$L$7),TRIM(SUBSTITUTE(SUBSTITUTE(SUBSTITUTE(SUBSTITUTE(INDEX(PASTE_ALL,$DF628,$L$7)," "," "),CHAR(9)," "),CHAR(10)," "),CHAR(13)," "))),"")))</f>
        <v/>
      </c>
      <c r="DP628">
        <f>IF($DM628=0,"",IF($L$8=0,"",IFERROR(IF(ISNUMBER(INDEX(PASTE_ALL,$DF628,$L$8)),INDEX(PASTE_ALL,$DF628,$L$8),TRIM(SUBSTITUTE(SUBSTITUTE(SUBSTITUTE(SUBSTITUTE(INDEX(PASTE_ALL,$DF628,$L$8)," "," "),CHAR(9)," "),CHAR(10)," "),CHAR(13)," "))),"")))</f>
        <v/>
      </c>
      <c r="DQ628">
        <f>IF($DM628=0,"",IF($L$9=0,"",IFERROR(IF(ISNUMBER(INDEX(PASTE_ALL,$DF628,$L$9)),INDEX(PASTE_ALL,$DF628,$L$9),TRIM(SUBSTITUTE(SUBSTITUTE(SUBSTITUTE(SUBSTITUTE(INDEX(PASTE_ALL,$DF628,$L$9)," "," "),CHAR(9)," "),CHAR(10)," "),CHAR(13)," "))),"")))</f>
        <v/>
      </c>
      <c r="DR628">
        <f>IF($DM628=0,"",IF($L$10=0,"",IFERROR(IF(ISNUMBER(INDEX(PASTE_ALL,$DF628,$L$10)),INDEX(PASTE_ALL,$DF628,$L$10),TRIM(SUBSTITUTE(SUBSTITUTE(SUBSTITUTE(SUBSTITUTE(INDEX(PASTE_ALL,$DF628,$L$10)," "," "),CHAR(9)," "),CHAR(10)," "),CHAR(13)," "))),"")))</f>
        <v/>
      </c>
      <c r="DS628">
        <f>IF($DM628=0,"",IF($L$11=0,"",IFERROR(IF(ISNUMBER(INDEX(PASTE_ALL,$DF628,$L$11)),INDEX(PASTE_ALL,$DF628,$L$11),TRIM(SUBSTITUTE(SUBSTITUTE(SUBSTITUTE(SUBSTITUTE(INDEX(PASTE_ALL,$DF628,$L$11)," "," "),CHAR(9)," "),CHAR(10)," "),CHAR(13)," "))),"")))</f>
        <v/>
      </c>
      <c r="DT628">
        <f>IF($DM628=0,"",IF($L$12=0,"",IFERROR(IF(ISNUMBER(INDEX(PASTE_ALL,$DF628,$L$12)),INDEX(PASTE_ALL,$DF628,$L$12),TRIM(SUBSTITUTE(SUBSTITUTE(SUBSTITUTE(SUBSTITUTE(INDEX(PASTE_ALL,$DF628,$L$12)," "," "),CHAR(9)," "),CHAR(10)," "),CHAR(13)," "))),"")))</f>
        <v/>
      </c>
      <c r="DU628">
        <f>IF($DM628=0,"",IF($L$13=0,"",IFERROR(IF(ISNUMBER(INDEX(PASTE_ALL,$DF628,$L$13)),INDEX(PASTE_ALL,$DF628,$L$13),TRIM(SUBSTITUTE(SUBSTITUTE(SUBSTITUTE(SUBSTITUTE(INDEX(PASTE_ALL,$DF628,$L$13)," "," "),CHAR(9)," "),CHAR(10)," "),CHAR(13)," "))),"")))</f>
        <v/>
      </c>
      <c r="DV628">
        <f>IF($DM628=0,"",IF($L$14=0,"",IFERROR(IF(ISNUMBER(INDEX(PASTE_ALL,$DF628,$L$14)),INDEX(PASTE_ALL,$DF628,$L$14),TRIM(SUBSTITUTE(SUBSTITUTE(SUBSTITUTE(SUBSTITUTE(INDEX(PASTE_ALL,$DF628,$L$14)," "," "),CHAR(9)," "),CHAR(10)," "),CHAR(13)," "))),"")))</f>
        <v/>
      </c>
      <c r="DW628">
        <f>IF($DM628=0,"",IF($L$15=0,"",IFERROR(IF(ISNUMBER(INDEX(PASTE_ALL,$DF628,$L$15)),INDEX(PASTE_ALL,$DF628,$L$15),IF(SUMPRODUCT(--ISNUMBER(FIND({"A","B","C","D","E","F","G","H","I","J","K","L","M","N","O","P","Q","R","S","T","U","V","W","X","Y","Z","0","1","2","3","4","5","6","7","8","9"},UPPER(TRIM(SUBSTITUTE(SUBSTITUTE(SUBSTITUTE(SUBSTITUTE(INDEX(PASTE_ALL,$DF628,$L$15)," "," "),CHAR(9)," "),CHAR(10)," "),CHAR(13)," "))))))&gt;0,TRIM(SUBSTITUTE(SUBSTITUTE(SUBSTITUTE(SUBSTITUTE(INDEX(PASTE_ALL,$DF628,$L$15)," "," "),CHAR(9)," "),CHAR(10)," "),CHAR(13)," ")),"")),"")))</f>
        <v/>
      </c>
      <c r="DX628">
        <f>IF($DM628=0,"",IF($L$16=0,"",IFERROR(IF(ISNUMBER(INDEX(PASTE_ALL,$DF628,$L$16)),INDEX(PASTE_ALL,$DF628,$L$16),SUBSTITUTE(SUBSTITUTE(TRIM(SUBSTITUTE(SUBSTITUTE(SUBSTITUTE(SUBSTITUTE(INDEX(PASTE_ALL,$DF628,$L$16)," "," "),CHAR(9)," "),CHAR(10)," "),CHAR(13)," ")),",",""),"%","")),"")))</f>
        <v/>
      </c>
      <c r="DY628">
        <f>IF($DM628=0,"",IFERROR(IF(ISNUMBER($DX628),$DX628,IF($DX628="","",IF(TRIM($DX628)="",0,IF(AND(AND(SUBSTITUTE(SUBSTITUTE(SUBSTITUTE(SUBSTITUTE(SUBSTITUTE(SUBSTITUTE(SUBSTITUTE(SUBSTITUTE(SUBSTITUTE(SUBSTITUTE(SUBSTITUTE(SUBSTITUTE(SUBSTITUTE(SUBSTITUTE(UPPER(TRIM($DX628)),"0",""),"1",""),"2",""),"3",""),"4",""),"5",""),"6",""),"7",""),"8",""),"9",""),".",""),"+",""),"-",""),"E","")="",LEN(SUBSTITUTE(SUBSTITUTE(MID(UPPER(TRIM($DX628)),1+OR(LEFT(UPPER(TRIM($DX628)),1)="+",LEFT(UPPER(TRIM($DX628)),1)="-"),999),"E+","E"),"E-","E"))=LEN(SUBSTITUTE(SUBSTITUTE(SUBSTITUTE(SUBSTITUTE(MID(UPPER(TRIM($DX628)),1+OR(LEFT(UPPER(TRIM($DX628)),1)="+",LEFT(UPPER(TRIM($DX628)),1)="-"),999),"E+","E"),"E-","E"),"+",""),"-","")),LEN(UPPER(TRIM($DX628)))-LEN(SUBSTITUTE(UPPER(TRIM($DX628)),"E",""))&lt;2,LEN(UPPER(TRIM($DX628)))-LEN(SUBSTITUTE(UPPER(TRIM($DX628)),".",""))&lt;2,IFERROR(FIND(".",UPPER(TRIM($DX628))),0)&lt;IFERROR(FIND("E",UPPER(TRIM($DX628))),999)),ISNUMBER(VALUE(TRIM($DX628)))),VALUE(TRIM($DX628)),"")))),""))</f>
        <v/>
      </c>
      <c r="DZ628">
        <f>IF($DM628=0,"",IF($L$17=0,"",IFERROR(IF(ISNUMBER(INDEX(PASTE_ALL,$DF628,$L$17)),INDEX(PASTE_ALL,$DF628,$L$17),SUBSTITUTE(SUBSTITUTE(TRIM(SUBSTITUTE(SUBSTITUTE(SUBSTITUTE(SUBSTITUTE(INDEX(PASTE_ALL,$DF628,$L$17)," "," "),CHAR(9)," "),CHAR(10)," "),CHAR(13)," ")),",",""),"%","")),"")))</f>
        <v/>
      </c>
      <c r="EA628">
        <f>IF($DM628=0,"",IFERROR(IF(ISNUMBER($DZ628),$DZ628,IF($DZ628="","",IF(TRIM($DZ628)="",0,IF(AND(AND(SUBSTITUTE(SUBSTITUTE(SUBSTITUTE(SUBSTITUTE(SUBSTITUTE(SUBSTITUTE(SUBSTITUTE(SUBSTITUTE(SUBSTITUTE(SUBSTITUTE(SUBSTITUTE(SUBSTITUTE(SUBSTITUTE(SUBSTITUTE(UPPER(TRIM($DZ628)),"0",""),"1",""),"2",""),"3",""),"4",""),"5",""),"6",""),"7",""),"8",""),"9",""),".",""),"+",""),"-",""),"E","")="",LEN(SUBSTITUTE(SUBSTITUTE(MID(UPPER(TRIM($DZ628)),1+OR(LEFT(UPPER(TRIM($DZ628)),1)="+",LEFT(UPPER(TRIM($DZ628)),1)="-"),999),"E+","E"),"E-","E"))=LEN(SUBSTITUTE(SUBSTITUTE(SUBSTITUTE(SUBSTITUTE(MID(UPPER(TRIM($DZ628)),1+OR(LEFT(UPPER(TRIM($DZ628)),1)="+",LEFT(UPPER(TRIM($DZ628)),1)="-"),999),"E+","E"),"E-","E"),"+",""),"-","")),LEN(UPPER(TRIM($DZ628)))-LEN(SUBSTITUTE(UPPER(TRIM($DZ628)),"E",""))&lt;2,LEN(UPPER(TRIM($DZ628)))-LEN(SUBSTITUTE(UPPER(TRIM($DZ628)),".",""))&lt;2,IFERROR(FIND(".",UPPER(TRIM($DZ628))),0)&lt;IFERROR(FIND("E",UPPER(TRIM($DZ628))),999)),ISNUMBER(VALUE(TRIM($DZ628)))),VALUE(TRIM($DZ628)),"")))),""))</f>
        <v/>
      </c>
      <c r="EB628">
        <f>IF($DM628=0,"",IF($L$18=0,"",IFERROR(IF(UPPER(TRIM(SUBSTITUTE(SUBSTITUTE(SUBSTITUTE(SUBSTITUTE(INDEX(PASTE_ALL,$DF628,$L$18)," "," "),CHAR(9)," "),CHAR(10)," "),CHAR(13)," ")))="READY","Ready",IF(UPPER(TRIM(SUBSTITUTE(SUBSTITUTE(SUBSTITUTE(SUBSTITUTE(INDEX(PASTE_ALL,$DF628,$L$18)," "," "),CHAR(9)," "),CHAR(10)," "),CHAR(13)," ")))="PM","PM",IF(OR(UPPER(TRIM(SUBSTITUTE(SUBSTITUTE(SUBSTITUTE(SUBSTITUTE(INDEX(PASTE_ALL,$DF628,$L$18)," "," "),CHAR(9)," "),CHAR(10)," "),CHAR(13)," ")))="OT",UPPER(TRIM(SUBSTITUTE(SUBSTITUTE(SUBSTITUTE(SUBSTITUTE(INDEX(PASTE_ALL,$DF628,$L$18)," "," "),CHAR(9)," "),CHAR(10)," "),CHAR(13)," ")))="OVERTIME",UPPER(TRIM(SUBSTITUTE(SUBSTITUTE(SUBSTITUTE(SUBSTITUTE(INDEX(PASTE_ALL,$DF628,$L$18)," "," "),CHAR(9)," "),CHAR(10)," "),CHAR(13)," ")))="TRIAL"),"OT",TRIM(SUBSTITUTE(SUBSTITUTE(SUBSTITUTE(SUBSTITUTE(INDEX(PASTE_ALL,$DF628,$L$18)," "," "),CHAR(9)," "),CHAR(10)," "),CHAR(13)," "))))),"")))</f>
        <v/>
      </c>
      <c r="EC628">
        <f>IF($DM628=0,"",IF($L$19=0,"",IFERROR(IF(ISNUMBER(INDEX(PASTE_ALL,$DF628,$L$19)),INDEX(PASTE_ALL,$DF628,$L$19),TRIM(SUBSTITUTE(SUBSTITUTE(SUBSTITUTE(SUBSTITUTE(INDEX(PASTE_ALL,$DF628,$L$19)," "," "),CHAR(9)," "),CHAR(10)," "),CHAR(13)," "))),"")))</f>
        <v/>
      </c>
      <c r="ED628">
        <f>IF($DM628=0,"",MATCH(1,INDEX(EXACT($DH$5:DH628,$DH628)*$DM$5:DM628,0),0))</f>
        <v/>
      </c>
      <c r="EE628">
        <f>IF($DM628=0,0,IF($ED628=$DE628,1,0))</f>
        <v/>
      </c>
      <c r="EF628">
        <f>EF627+$EE628</f>
        <v/>
      </c>
      <c r="EG628">
        <f>IF($DM628=0,"",INDEX($EF$5:$EF$1003,$ED628))</f>
        <v/>
      </c>
      <c r="EH628">
        <f>IF($DM628=0,"",IF($DO628&lt;&gt;"","",IFERROR(LOOKUP(2,1/(($EG$4:EG627=$EG628)*($DO$4:DO627&lt;&gt;"")),$DO$4:DO627),"")))</f>
        <v/>
      </c>
      <c r="EI628">
        <f>IF($DM628=0,"",IF($DO628&lt;&gt;"",$DO628,$EH628))</f>
        <v/>
      </c>
      <c r="EJ628">
        <f>IF($DM628=0,"",IF($EI628="",0,IF(OR(ISNUMBER($EI628),AND(AND(SUBSTITUTE(SUBSTITUTE(SUBSTITUTE(SUBSTITUTE(SUBSTITUTE(SUBSTITUTE(SUBSTITUTE(SUBSTITUTE(SUBSTITUTE(SUBSTITUTE(SUBSTITUTE(SUBSTITUTE(SUBSTITUTE(SUBSTITUTE(UPPER($EI628),"0",""),"1",""),"2",""),"3",""),"4",""),"5",""),"6",""),"7",""),"8",""),"9",""),".",""),"+",""),"-",""),"E","")="",LEN(SUBSTITUTE(SUBSTITUTE(MID(UPPER($EI628),1+OR(LEFT(UPPER($EI628),1)="+",LEFT(UPPER($EI628),1)="-"),999),"E+","E"),"E-","E"))=LEN(SUBSTITUTE(SUBSTITUTE(SUBSTITUTE(SUBSTITUTE(MID(UPPER($EI628),1+OR(LEFT(UPPER($EI628),1)="+",LEFT(UPPER($EI628),1)="-"),999),"E+","E"),"E-","E"),"+",""),"-","")),LEN(UPPER($EI628))-LEN(SUBSTITUTE(UPPER($EI628),"E",""))&lt;2,LEN(UPPER($EI628))-LEN(SUBSTITUTE(UPPER($EI628),".",""))&lt;2,IFERROR(FIND(".",UPPER($EI628)),0)&lt;IFERROR(FIND("E",UPPER($EI628)),999)),ISNUMBER(VALUE($EI628)))),1,2)))</f>
        <v/>
      </c>
      <c r="EK628">
        <f>IF($DM628=0,"",IF($EJ628=1,IF(ISNUMBER($EI628),$EI628,VALUE($EI628)),IF($EJ628=2,$DE628,0)))</f>
        <v/>
      </c>
      <c r="EL628">
        <f>IF($DM628=0,"",COUNTIF($EG$5:$EG$1003,"&lt;"&amp;$EG628)+SUMPRODUCT(($EG$5:$EG$1003=$EG628)*(($EJ$5:$EJ$1003&lt;$EJ628)+($EJ$5:$EJ$1003=$EJ628)*(($EK$5:$EK$1003&lt;$EK628)+($EK$5:$EK$1003=$EK628)*($DE$5:$DE$1003&lt;$DE628))))+1)</f>
        <v/>
      </c>
      <c r="EM628">
        <f>IF($DM628=0,"",$EL628+$EG628-1)</f>
        <v/>
      </c>
      <c r="EN628">
        <f>IF($DM628=0,0,IFERROR(MATCH(1,INDEX(--(TRIM(SUBSTITUTE(SUBSTITUTE(SUBSTITUTE(SUBSTITUTE(LINES_NAME&amp;""," "," "),CHAR(9)," "),CHAR(10)," "),CHAR(13)," "))=$DH628),0),0),0))</f>
        <v/>
      </c>
      <c r="EO628">
        <f>IF($EN628=0,0,IF(OR(UPPER(TRIM(INDEX(LINES_SCHEDULED,$EN628)&amp;""))="YES",UPPER(TRIM(INDEX(LINES_SCHEDULED,$EN628)&amp;""))="Y",UPPER(TRIM(INDEX(LINES_SCHEDULED,$EN628)&amp;""))="X"),1,0))</f>
        <v/>
      </c>
      <c r="EP628">
        <f>IF($DM628=0,"",IF(COUNTIFS($EG$5:$EG$1003,$EG628,$EB$5:$EB$1003,"Ready")&gt;0,"READY",IF(COUNTIFS($EG$5:$EG$1003,$EG628,$EB$5:$EB$1003,"PM")&gt;0,"PM",IF(COUNTIFS($EG$5:$EG$1003,$EG628,$EB$5:$EB$1003,"OT")&gt;0,"OT",""))))</f>
        <v/>
      </c>
      <c r="EQ628">
        <f>IF($EN628=0,"",UPPER(TRIM(INDEX(LINES_STATUS,$EN628)&amp;"")))</f>
        <v/>
      </c>
      <c r="ER628">
        <f>IF($DM628=0,"",IF(OR($EQ628="READY",$EQ628="PM",$EQ628="OT"),$EQ628,$EP628))</f>
        <v/>
      </c>
      <c r="ES628">
        <f>IF($DM628=0,"",IF(AND($DV628&lt;&gt;"",UPPER($DV628)&lt;&gt;"N"),"allergen",IF(ISNUMBER(SEARCH("oil",$DQ628)),"oil",IF(OR(EXACT($DS628,"A662"),EXACT($DS628,"A624")),"bulk",""))))</f>
        <v/>
      </c>
      <c r="ET628">
        <f>IF($DM628=0,"",IF(OR($EA628="",$EA628=0),"",$EA628/100))</f>
        <v/>
      </c>
      <c r="EU628">
        <f>IF(OR($ET628="",$DY628=""),"",INT($DY628*(1-$ET628)+0.5))</f>
        <v/>
      </c>
      <c r="EW628" t="n">
        <v>624</v>
      </c>
      <c r="EX628">
        <f>IFERROR(MATCH($EW628,$EM$5:$EM$1003,0),0)</f>
        <v/>
      </c>
      <c r="EY628">
        <f>IF($EW628&gt;$B$12,"",IF($EX628&gt;0,"row","spacer"))</f>
        <v/>
      </c>
      <c r="EZ628">
        <f>IF(AND($EY628="row",$EY627&lt;&gt;"row"),1,0)</f>
        <v/>
      </c>
      <c r="FA628">
        <f>IF(AND($EY628="row",$EY629&lt;&gt;"row"),1,0)</f>
        <v/>
      </c>
      <c r="FB628">
        <f>IF($EZ628=1,IFERROR(IF(ISNUMBER(INDEX(PASTE_ALL,INDEX($DF$5:$DF$1003,$EX628),$B$37)),INDEX(PASTE_ALL,INDEX($DF$5:$DF$1003,$EX628),$B$37),INDEX($DH$5:$DH$1003,$EX628)),INDEX($DH$5:$DH$1003,$EX628)),"")</f>
        <v/>
      </c>
      <c r="FC628">
        <f>IF($EY628="row",INDEX($ER$5:$ER$1003,$EX628),"")</f>
        <v/>
      </c>
      <c r="FD628">
        <f>IF($EY628="row",INDEX($DN$5:$DN$1003,$EX628),"")</f>
        <v/>
      </c>
      <c r="FE628">
        <f>IF($EY628="row",INDEX($DO$5:$DO$1003,$EX628),"")</f>
        <v/>
      </c>
      <c r="FF628">
        <f>IF($EY628="row",INDEX($DP$5:$DP$1003,$EX628),"")</f>
        <v/>
      </c>
      <c r="FG628">
        <f>IF($EY628="row",INDEX($DQ$5:$DQ$1003,$EX628),"")</f>
        <v/>
      </c>
      <c r="FH628">
        <f>IF($EY628="row",INDEX($DR$5:$DR$1003,$EX628),"")</f>
        <v/>
      </c>
      <c r="FI628">
        <f>IF($EY628="row",INDEX($DS$5:$DS$1003,$EX628),"")</f>
        <v/>
      </c>
      <c r="FJ628">
        <f>IF($EY628="row",INDEX($DT$5:$DT$1003,$EX628),"")</f>
        <v/>
      </c>
      <c r="FK628">
        <f>IF($EY628="row",INDEX($DU$5:$DU$1003,$EX628),"")</f>
        <v/>
      </c>
      <c r="FL628">
        <f>IF($EY628="row",INDEX($DV$5:$DV$1003,$EX628),"")</f>
        <v/>
      </c>
      <c r="FM628">
        <f>IF($EY628="row",INDEX($DW$5:$DW$1003,$EX628),"")</f>
        <v/>
      </c>
      <c r="FN628">
        <f>IF($EY628="row",INDEX($DY$5:$DY$1003,$EX628),"")</f>
        <v/>
      </c>
      <c r="FO628">
        <f>IF($EY628="row",INDEX($EA$5:$EA$1003,$EX628),"")</f>
        <v/>
      </c>
      <c r="FP628">
        <f>IF($EY628="row",INDEX($EC$5:$EC$1003,$EX628),"")</f>
        <v/>
      </c>
      <c r="FQ628">
        <f>IF($EY628="row",INDEX($ET$5:$ET$1003,$EX628),"")</f>
        <v/>
      </c>
      <c r="FR628">
        <f>IF($EY628="row",INDEX($EU$5:$EU$1003,$EX628),"")</f>
        <v/>
      </c>
      <c r="FS628">
        <f>IF(AND($EY628="row",$EY627="row"),IF(OR(INDEX($DT$5:$DT$1003,$EX627)="",INDEX($DT$5:$DT$1003,$EX628)=""),"",IF(NOT(EXACT(INDEX($DT$5:$DT$1003,$EX627),INDEX($DT$5:$DT$1003,$EX628))),"S4",IF(NOT(EXACT(INDEX($DS$5:$DS$1003,$EX627),INDEX($DS$5:$DS$1003,$EX628))),"S3",IF(NOT(EXACT(INDEX($DR$5:$DR$1003,$EX627),INDEX($DR$5:$DR$1003,$EX628))),"S1 Count Change","S1")))),"")</f>
        <v/>
      </c>
      <c r="FT628">
        <f>IF($EY628="row",INDEX($ES$5:$ES$1003,$EX628),"")</f>
        <v/>
      </c>
      <c r="FU628">
        <f>IF($EY628="row",INDEX($EO$5:$EO$1003,$EX628),0)</f>
        <v/>
      </c>
      <c r="FV628">
        <f>IF($FS628="S1 Count Change",1,0)</f>
        <v/>
      </c>
    </row>
    <row r="629">
      <c r="DA629" t="n">
        <v>625</v>
      </c>
      <c r="DB629">
        <f>IF($B$37=0,"",IFERROR(TRIM(SUBSTITUTE(SUBSTITUTE(SUBSTITUTE(SUBSTITUTE(INDEX(PASTE_ALL,625,$B$37)," "," "),CHAR(9)," "),CHAR(10)," "),CHAR(13)," ")),""))</f>
        <v/>
      </c>
      <c r="DC629">
        <f>IF(AND(625&gt;HEADER_ROW,UPPER(DB629)="LEGEND"),1,0)</f>
        <v/>
      </c>
      <c r="DE629" t="n">
        <v>625</v>
      </c>
      <c r="DF629">
        <f>HEADER_ROW+$DE629</f>
        <v/>
      </c>
      <c r="DG629">
        <f>IF(AND($DF629&lt;=1000,$DF629&lt;$B$8),1,0)</f>
        <v/>
      </c>
      <c r="DH629">
        <f>IF($DG629=1,IFERROR(INDEX($DB$5:$DB$1004,$DF629),""),"")</f>
        <v/>
      </c>
      <c r="DI629">
        <f>IF(AND($DG629=1,$DH629&lt;&gt;""),IFERROR(SUBSTITUTE(SUBSTITUTE(TRIM(SUBSTITUTE(SUBSTITUTE(SUBSTITUTE(SUBSTITUTE(IFERROR(INDEX(PASTE_ALL,$DF629,1)&amp;"","")&amp;"␟"&amp;IFERROR(INDEX(PASTE_ALL,$DF629,2)&amp;"","")&amp;"␟"&amp;IFERROR(INDEX(PASTE_ALL,$DF629,3)&amp;"","")&amp;"␟"&amp;IFERROR(INDEX(PASTE_ALL,$DF629,4)&amp;"","")&amp;"␟"&amp;IFERROR(INDEX(PASTE_ALL,$DF629,5)&amp;"","")&amp;"␟"&amp;IFERROR(INDEX(PASTE_ALL,$DF629,6)&amp;"","")&amp;"␟"&amp;IFERROR(INDEX(PASTE_ALL,$DF629,7)&amp;"","")&amp;"␟"&amp;IFERROR(INDEX(PASTE_ALL,$DF629,8)&amp;"","")&amp;"␟"&amp;IFERROR(INDEX(PASTE_ALL,$DF629,9)&amp;"","")&amp;"␟"&amp;IFERROR(INDEX(PASTE_ALL,$DF629,10)&amp;"","")&amp;"␟"&amp;IFERROR(INDEX(PASTE_ALL,$DF629,11)&amp;"","")&amp;"␟"&amp;IFERROR(INDEX(PASTE_ALL,$DF629,12)&amp;"","")&amp;"␟"&amp;IFERROR(INDEX(PASTE_ALL,$DF629,13)&amp;"","")&amp;"␟"&amp;IFERROR(INDEX(PASTE_ALL,$DF629,14)&amp;"","")&amp;"␟"&amp;IFERROR(INDEX(PASTE_ALL,$DF629,15)&amp;"","")&amp;"␟"&amp;IFERROR(INDEX(PASTE_ALL,$DF629,16)&amp;"","")&amp;"␟"&amp;IFERROR(INDEX(PASTE_ALL,$DF629,17)&amp;"","")&amp;"␟"&amp;IFERROR(INDEX(PASTE_ALL,$DF629,18)&amp;"","")&amp;"␟"&amp;IFERROR(INDEX(PASTE_ALL,$DF629,19)&amp;"","")&amp;"␟"&amp;IFERROR(INDEX(PASTE_ALL,$DF629,20)&amp;"","")&amp;"␟"&amp;IFERROR(INDEX(PASTE_ALL,$DF629,21)&amp;"","")&amp;"␟"&amp;IFERROR(INDEX(PASTE_ALL,$DF629,22)&amp;"","")&amp;"␟"&amp;IFERROR(INDEX(PASTE_ALL,$DF629,23)&amp;"","")&amp;"␟"&amp;IFERROR(INDEX(PASTE_ALL,$DF629,24)&amp;"","")&amp;"␟"&amp;IFERROR(INDEX(PASTE_ALL,$DF629,25)&amp;"","")&amp;"␟"&amp;IFERROR(INDEX(PASTE_ALL,$DF629,26)&amp;"","")&amp;"␟"&amp;IFERROR(INDEX(PASTE_ALL,$DF629,27)&amp;"","")&amp;"␟"&amp;IFERROR(INDEX(PASTE_ALL,$DF629,28)&amp;"","")&amp;"␟"&amp;IFERROR(INDEX(PASTE_ALL,$DF629,29)&amp;"","")&amp;"␟"&amp;IFERROR(INDEX(PASTE_ALL,$DF629,30)&amp;"","")&amp;"␟"&amp;IFERROR(INDEX(PASTE_ALL,$DF629,31)&amp;"","")&amp;"␟"&amp;IFERROR(INDEX(PASTE_ALL,$DF629,32)&amp;"","")&amp;"␟"&amp;IFERROR(INDEX(PASTE_ALL,$DF629,33)&amp;"","")&amp;"␟"&amp;IFERROR(INDEX(PASTE_ALL,$DF629,34)&amp;"","")&amp;"␟"&amp;IFERROR(INDEX(PASTE_ALL,$DF629,35)&amp;"","")&amp;"␟"&amp;IFERROR(INDEX(PASTE_ALL,$DF629,36)&amp;"","")&amp;"␟"&amp;IFERROR(INDEX(PASTE_ALL,$DF629,37)&amp;"","")&amp;"␟"&amp;IFERROR(INDEX(PASTE_ALL,$DF629,38)&amp;"","")&amp;"␟"&amp;IFERROR(INDEX(PASTE_ALL,$DF629,39)&amp;"","")&amp;"␟"&amp;IFERROR(INDEX(PASTE_ALL,$DF629,40)&amp;"","")&amp;"␟"&amp;IFERROR(INDEX(PASTE_ALL,$DF629,41)&amp;"","")&amp;"␟"&amp;IFERROR(INDEX(PASTE_ALL,$DF629,42)&amp;"","")&amp;"␟"&amp;IFERROR(INDEX(PASTE_ALL,$DF629,43)&amp;"","")&amp;"␟"&amp;IFERROR(INDEX(PASTE_ALL,$DF629,44)&amp;"","")&amp;"␟"&amp;IFERROR(INDEX(PASTE_ALL,$DF629,45)&amp;"","")&amp;"␟"&amp;IFERROR(INDEX(PASTE_ALL,$DF629,46)&amp;"","")&amp;"␟"&amp;IFERROR(INDEX(PASTE_ALL,$DF629,47)&amp;"","")&amp;"␟"&amp;IFERROR(INDEX(PASTE_ALL,$DF629,48)&amp;"","")&amp;"␟"&amp;IFERROR(INDEX(PASTE_ALL,$DF629,49)&amp;"","")&amp;"␟"&amp;IFERROR(INDEX(PASTE_ALL,$DF629,50)&amp;"","")&amp;"␟"&amp;IFERROR(INDEX(PASTE_ALL,$DF629,51)&amp;"","")&amp;"␟"&amp;IFERROR(INDEX(PASTE_ALL,$DF629,52)&amp;"","")&amp;"␟"&amp;IFERROR(INDEX(PASTE_ALL,$DF629,53)&amp;"","")&amp;"␟"&amp;IFERROR(INDEX(PASTE_ALL,$DF629,54)&amp;"","")&amp;"␟"&amp;IFERROR(INDEX(PASTE_ALL,$DF629,55)&amp;"","")&amp;"␟"&amp;IFERROR(INDEX(PASTE_ALL,$DF629,56)&amp;"","")&amp;"␟"&amp;IFERROR(INDEX(PASTE_ALL,$DF629,57)&amp;"","")&amp;"␟"&amp;IFERROR(INDEX(PASTE_ALL,$DF629,58)&amp;"","")&amp;"␟"&amp;IFERROR(INDEX(PASTE_ALL,$DF629,59)&amp;"","")&amp;"␟"&amp;IFERROR(INDEX(PASTE_ALL,$DF629,60)&amp;"","")," "," "),CHAR(9)," "),CHAR(10)," "),CHAR(13)," "))," ␟","␟"),"␟ ","␟"),"#"&amp;$DE629),"")</f>
        <v/>
      </c>
      <c r="DJ629">
        <f>IF($DI629="",0,IF(SUMPRODUCT(--EXACT($DI$4:DI628,$DI629))&gt;0,1,0))</f>
        <v/>
      </c>
      <c r="DK629">
        <f>IF(AND($DI629&lt;&gt;"",$DJ629=0),1,0)</f>
        <v/>
      </c>
      <c r="DL629">
        <f>DL628+$DK629</f>
        <v/>
      </c>
      <c r="DM629">
        <f>IF(AND($DK629=1,$DL629&lt;=600),1,0)</f>
        <v/>
      </c>
      <c r="DN629">
        <f>IF($DM629=0,"",IF($L$6=0,"",IFERROR(IF(ISNUMBER(INDEX(PASTE_ALL,$DF629,$L$6)),INDEX(PASTE_ALL,$DF629,$L$6),TRIM(SUBSTITUTE(SUBSTITUTE(SUBSTITUTE(SUBSTITUTE(INDEX(PASTE_ALL,$DF629,$L$6)," "," "),CHAR(9)," "),CHAR(10)," "),CHAR(13)," "))),"")))</f>
        <v/>
      </c>
      <c r="DO629">
        <f>IF($DM629=0,"",IF($L$7=0,"",IFERROR(IF(ISNUMBER(INDEX(PASTE_ALL,$DF629,$L$7)),INDEX(PASTE_ALL,$DF629,$L$7),TRIM(SUBSTITUTE(SUBSTITUTE(SUBSTITUTE(SUBSTITUTE(INDEX(PASTE_ALL,$DF629,$L$7)," "," "),CHAR(9)," "),CHAR(10)," "),CHAR(13)," "))),"")))</f>
        <v/>
      </c>
      <c r="DP629">
        <f>IF($DM629=0,"",IF($L$8=0,"",IFERROR(IF(ISNUMBER(INDEX(PASTE_ALL,$DF629,$L$8)),INDEX(PASTE_ALL,$DF629,$L$8),TRIM(SUBSTITUTE(SUBSTITUTE(SUBSTITUTE(SUBSTITUTE(INDEX(PASTE_ALL,$DF629,$L$8)," "," "),CHAR(9)," "),CHAR(10)," "),CHAR(13)," "))),"")))</f>
        <v/>
      </c>
      <c r="DQ629">
        <f>IF($DM629=0,"",IF($L$9=0,"",IFERROR(IF(ISNUMBER(INDEX(PASTE_ALL,$DF629,$L$9)),INDEX(PASTE_ALL,$DF629,$L$9),TRIM(SUBSTITUTE(SUBSTITUTE(SUBSTITUTE(SUBSTITUTE(INDEX(PASTE_ALL,$DF629,$L$9)," "," "),CHAR(9)," "),CHAR(10)," "),CHAR(13)," "))),"")))</f>
        <v/>
      </c>
      <c r="DR629">
        <f>IF($DM629=0,"",IF($L$10=0,"",IFERROR(IF(ISNUMBER(INDEX(PASTE_ALL,$DF629,$L$10)),INDEX(PASTE_ALL,$DF629,$L$10),TRIM(SUBSTITUTE(SUBSTITUTE(SUBSTITUTE(SUBSTITUTE(INDEX(PASTE_ALL,$DF629,$L$10)," "," "),CHAR(9)," "),CHAR(10)," "),CHAR(13)," "))),"")))</f>
        <v/>
      </c>
      <c r="DS629">
        <f>IF($DM629=0,"",IF($L$11=0,"",IFERROR(IF(ISNUMBER(INDEX(PASTE_ALL,$DF629,$L$11)),INDEX(PASTE_ALL,$DF629,$L$11),TRIM(SUBSTITUTE(SUBSTITUTE(SUBSTITUTE(SUBSTITUTE(INDEX(PASTE_ALL,$DF629,$L$11)," "," "),CHAR(9)," "),CHAR(10)," "),CHAR(13)," "))),"")))</f>
        <v/>
      </c>
      <c r="DT629">
        <f>IF($DM629=0,"",IF($L$12=0,"",IFERROR(IF(ISNUMBER(INDEX(PASTE_ALL,$DF629,$L$12)),INDEX(PASTE_ALL,$DF629,$L$12),TRIM(SUBSTITUTE(SUBSTITUTE(SUBSTITUTE(SUBSTITUTE(INDEX(PASTE_ALL,$DF629,$L$12)," "," "),CHAR(9)," "),CHAR(10)," "),CHAR(13)," "))),"")))</f>
        <v/>
      </c>
      <c r="DU629">
        <f>IF($DM629=0,"",IF($L$13=0,"",IFERROR(IF(ISNUMBER(INDEX(PASTE_ALL,$DF629,$L$13)),INDEX(PASTE_ALL,$DF629,$L$13),TRIM(SUBSTITUTE(SUBSTITUTE(SUBSTITUTE(SUBSTITUTE(INDEX(PASTE_ALL,$DF629,$L$13)," "," "),CHAR(9)," "),CHAR(10)," "),CHAR(13)," "))),"")))</f>
        <v/>
      </c>
      <c r="DV629">
        <f>IF($DM629=0,"",IF($L$14=0,"",IFERROR(IF(ISNUMBER(INDEX(PASTE_ALL,$DF629,$L$14)),INDEX(PASTE_ALL,$DF629,$L$14),TRIM(SUBSTITUTE(SUBSTITUTE(SUBSTITUTE(SUBSTITUTE(INDEX(PASTE_ALL,$DF629,$L$14)," "," "),CHAR(9)," "),CHAR(10)," "),CHAR(13)," "))),"")))</f>
        <v/>
      </c>
      <c r="DW629">
        <f>IF($DM629=0,"",IF($L$15=0,"",IFERROR(IF(ISNUMBER(INDEX(PASTE_ALL,$DF629,$L$15)),INDEX(PASTE_ALL,$DF629,$L$15),IF(SUMPRODUCT(--ISNUMBER(FIND({"A","B","C","D","E","F","G","H","I","J","K","L","M","N","O","P","Q","R","S","T","U","V","W","X","Y","Z","0","1","2","3","4","5","6","7","8","9"},UPPER(TRIM(SUBSTITUTE(SUBSTITUTE(SUBSTITUTE(SUBSTITUTE(INDEX(PASTE_ALL,$DF629,$L$15)," "," "),CHAR(9)," "),CHAR(10)," "),CHAR(13)," "))))))&gt;0,TRIM(SUBSTITUTE(SUBSTITUTE(SUBSTITUTE(SUBSTITUTE(INDEX(PASTE_ALL,$DF629,$L$15)," "," "),CHAR(9)," "),CHAR(10)," "),CHAR(13)," ")),"")),"")))</f>
        <v/>
      </c>
      <c r="DX629">
        <f>IF($DM629=0,"",IF($L$16=0,"",IFERROR(IF(ISNUMBER(INDEX(PASTE_ALL,$DF629,$L$16)),INDEX(PASTE_ALL,$DF629,$L$16),SUBSTITUTE(SUBSTITUTE(TRIM(SUBSTITUTE(SUBSTITUTE(SUBSTITUTE(SUBSTITUTE(INDEX(PASTE_ALL,$DF629,$L$16)," "," "),CHAR(9)," "),CHAR(10)," "),CHAR(13)," ")),",",""),"%","")),"")))</f>
        <v/>
      </c>
      <c r="DY629">
        <f>IF($DM629=0,"",IFERROR(IF(ISNUMBER($DX629),$DX629,IF($DX629="","",IF(TRIM($DX629)="",0,IF(AND(AND(SUBSTITUTE(SUBSTITUTE(SUBSTITUTE(SUBSTITUTE(SUBSTITUTE(SUBSTITUTE(SUBSTITUTE(SUBSTITUTE(SUBSTITUTE(SUBSTITUTE(SUBSTITUTE(SUBSTITUTE(SUBSTITUTE(SUBSTITUTE(UPPER(TRIM($DX629)),"0",""),"1",""),"2",""),"3",""),"4",""),"5",""),"6",""),"7",""),"8",""),"9",""),".",""),"+",""),"-",""),"E","")="",LEN(SUBSTITUTE(SUBSTITUTE(MID(UPPER(TRIM($DX629)),1+OR(LEFT(UPPER(TRIM($DX629)),1)="+",LEFT(UPPER(TRIM($DX629)),1)="-"),999),"E+","E"),"E-","E"))=LEN(SUBSTITUTE(SUBSTITUTE(SUBSTITUTE(SUBSTITUTE(MID(UPPER(TRIM($DX629)),1+OR(LEFT(UPPER(TRIM($DX629)),1)="+",LEFT(UPPER(TRIM($DX629)),1)="-"),999),"E+","E"),"E-","E"),"+",""),"-","")),LEN(UPPER(TRIM($DX629)))-LEN(SUBSTITUTE(UPPER(TRIM($DX629)),"E",""))&lt;2,LEN(UPPER(TRIM($DX629)))-LEN(SUBSTITUTE(UPPER(TRIM($DX629)),".",""))&lt;2,IFERROR(FIND(".",UPPER(TRIM($DX629))),0)&lt;IFERROR(FIND("E",UPPER(TRIM($DX629))),999)),ISNUMBER(VALUE(TRIM($DX629)))),VALUE(TRIM($DX629)),"")))),""))</f>
        <v/>
      </c>
      <c r="DZ629">
        <f>IF($DM629=0,"",IF($L$17=0,"",IFERROR(IF(ISNUMBER(INDEX(PASTE_ALL,$DF629,$L$17)),INDEX(PASTE_ALL,$DF629,$L$17),SUBSTITUTE(SUBSTITUTE(TRIM(SUBSTITUTE(SUBSTITUTE(SUBSTITUTE(SUBSTITUTE(INDEX(PASTE_ALL,$DF629,$L$17)," "," "),CHAR(9)," "),CHAR(10)," "),CHAR(13)," ")),",",""),"%","")),"")))</f>
        <v/>
      </c>
      <c r="EA629">
        <f>IF($DM629=0,"",IFERROR(IF(ISNUMBER($DZ629),$DZ629,IF($DZ629="","",IF(TRIM($DZ629)="",0,IF(AND(AND(SUBSTITUTE(SUBSTITUTE(SUBSTITUTE(SUBSTITUTE(SUBSTITUTE(SUBSTITUTE(SUBSTITUTE(SUBSTITUTE(SUBSTITUTE(SUBSTITUTE(SUBSTITUTE(SUBSTITUTE(SUBSTITUTE(SUBSTITUTE(UPPER(TRIM($DZ629)),"0",""),"1",""),"2",""),"3",""),"4",""),"5",""),"6",""),"7",""),"8",""),"9",""),".",""),"+",""),"-",""),"E","")="",LEN(SUBSTITUTE(SUBSTITUTE(MID(UPPER(TRIM($DZ629)),1+OR(LEFT(UPPER(TRIM($DZ629)),1)="+",LEFT(UPPER(TRIM($DZ629)),1)="-"),999),"E+","E"),"E-","E"))=LEN(SUBSTITUTE(SUBSTITUTE(SUBSTITUTE(SUBSTITUTE(MID(UPPER(TRIM($DZ629)),1+OR(LEFT(UPPER(TRIM($DZ629)),1)="+",LEFT(UPPER(TRIM($DZ629)),1)="-"),999),"E+","E"),"E-","E"),"+",""),"-","")),LEN(UPPER(TRIM($DZ629)))-LEN(SUBSTITUTE(UPPER(TRIM($DZ629)),"E",""))&lt;2,LEN(UPPER(TRIM($DZ629)))-LEN(SUBSTITUTE(UPPER(TRIM($DZ629)),".",""))&lt;2,IFERROR(FIND(".",UPPER(TRIM($DZ629))),0)&lt;IFERROR(FIND("E",UPPER(TRIM($DZ629))),999)),ISNUMBER(VALUE(TRIM($DZ629)))),VALUE(TRIM($DZ629)),"")))),""))</f>
        <v/>
      </c>
      <c r="EB629">
        <f>IF($DM629=0,"",IF($L$18=0,"",IFERROR(IF(UPPER(TRIM(SUBSTITUTE(SUBSTITUTE(SUBSTITUTE(SUBSTITUTE(INDEX(PASTE_ALL,$DF629,$L$18)," "," "),CHAR(9)," "),CHAR(10)," "),CHAR(13)," ")))="READY","Ready",IF(UPPER(TRIM(SUBSTITUTE(SUBSTITUTE(SUBSTITUTE(SUBSTITUTE(INDEX(PASTE_ALL,$DF629,$L$18)," "," "),CHAR(9)," "),CHAR(10)," "),CHAR(13)," ")))="PM","PM",IF(OR(UPPER(TRIM(SUBSTITUTE(SUBSTITUTE(SUBSTITUTE(SUBSTITUTE(INDEX(PASTE_ALL,$DF629,$L$18)," "," "),CHAR(9)," "),CHAR(10)," "),CHAR(13)," ")))="OT",UPPER(TRIM(SUBSTITUTE(SUBSTITUTE(SUBSTITUTE(SUBSTITUTE(INDEX(PASTE_ALL,$DF629,$L$18)," "," "),CHAR(9)," "),CHAR(10)," "),CHAR(13)," ")))="OVERTIME",UPPER(TRIM(SUBSTITUTE(SUBSTITUTE(SUBSTITUTE(SUBSTITUTE(INDEX(PASTE_ALL,$DF629,$L$18)," "," "),CHAR(9)," "),CHAR(10)," "),CHAR(13)," ")))="TRIAL"),"OT",TRIM(SUBSTITUTE(SUBSTITUTE(SUBSTITUTE(SUBSTITUTE(INDEX(PASTE_ALL,$DF629,$L$18)," "," "),CHAR(9)," "),CHAR(10)," "),CHAR(13)," "))))),"")))</f>
        <v/>
      </c>
      <c r="EC629">
        <f>IF($DM629=0,"",IF($L$19=0,"",IFERROR(IF(ISNUMBER(INDEX(PASTE_ALL,$DF629,$L$19)),INDEX(PASTE_ALL,$DF629,$L$19),TRIM(SUBSTITUTE(SUBSTITUTE(SUBSTITUTE(SUBSTITUTE(INDEX(PASTE_ALL,$DF629,$L$19)," "," "),CHAR(9)," "),CHAR(10)," "),CHAR(13)," "))),"")))</f>
        <v/>
      </c>
      <c r="ED629">
        <f>IF($DM629=0,"",MATCH(1,INDEX(EXACT($DH$5:DH629,$DH629)*$DM$5:DM629,0),0))</f>
        <v/>
      </c>
      <c r="EE629">
        <f>IF($DM629=0,0,IF($ED629=$DE629,1,0))</f>
        <v/>
      </c>
      <c r="EF629">
        <f>EF628+$EE629</f>
        <v/>
      </c>
      <c r="EG629">
        <f>IF($DM629=0,"",INDEX($EF$5:$EF$1003,$ED629))</f>
        <v/>
      </c>
      <c r="EH629">
        <f>IF($DM629=0,"",IF($DO629&lt;&gt;"","",IFERROR(LOOKUP(2,1/(($EG$4:EG628=$EG629)*($DO$4:DO628&lt;&gt;"")),$DO$4:DO628),"")))</f>
        <v/>
      </c>
      <c r="EI629">
        <f>IF($DM629=0,"",IF($DO629&lt;&gt;"",$DO629,$EH629))</f>
        <v/>
      </c>
      <c r="EJ629">
        <f>IF($DM629=0,"",IF($EI629="",0,IF(OR(ISNUMBER($EI629),AND(AND(SUBSTITUTE(SUBSTITUTE(SUBSTITUTE(SUBSTITUTE(SUBSTITUTE(SUBSTITUTE(SUBSTITUTE(SUBSTITUTE(SUBSTITUTE(SUBSTITUTE(SUBSTITUTE(SUBSTITUTE(SUBSTITUTE(SUBSTITUTE(UPPER($EI629),"0",""),"1",""),"2",""),"3",""),"4",""),"5",""),"6",""),"7",""),"8",""),"9",""),".",""),"+",""),"-",""),"E","")="",LEN(SUBSTITUTE(SUBSTITUTE(MID(UPPER($EI629),1+OR(LEFT(UPPER($EI629),1)="+",LEFT(UPPER($EI629),1)="-"),999),"E+","E"),"E-","E"))=LEN(SUBSTITUTE(SUBSTITUTE(SUBSTITUTE(SUBSTITUTE(MID(UPPER($EI629),1+OR(LEFT(UPPER($EI629),1)="+",LEFT(UPPER($EI629),1)="-"),999),"E+","E"),"E-","E"),"+",""),"-","")),LEN(UPPER($EI629))-LEN(SUBSTITUTE(UPPER($EI629),"E",""))&lt;2,LEN(UPPER($EI629))-LEN(SUBSTITUTE(UPPER($EI629),".",""))&lt;2,IFERROR(FIND(".",UPPER($EI629)),0)&lt;IFERROR(FIND("E",UPPER($EI629)),999)),ISNUMBER(VALUE($EI629)))),1,2)))</f>
        <v/>
      </c>
      <c r="EK629">
        <f>IF($DM629=0,"",IF($EJ629=1,IF(ISNUMBER($EI629),$EI629,VALUE($EI629)),IF($EJ629=2,$DE629,0)))</f>
        <v/>
      </c>
      <c r="EL629">
        <f>IF($DM629=0,"",COUNTIF($EG$5:$EG$1003,"&lt;"&amp;$EG629)+SUMPRODUCT(($EG$5:$EG$1003=$EG629)*(($EJ$5:$EJ$1003&lt;$EJ629)+($EJ$5:$EJ$1003=$EJ629)*(($EK$5:$EK$1003&lt;$EK629)+($EK$5:$EK$1003=$EK629)*($DE$5:$DE$1003&lt;$DE629))))+1)</f>
        <v/>
      </c>
      <c r="EM629">
        <f>IF($DM629=0,"",$EL629+$EG629-1)</f>
        <v/>
      </c>
      <c r="EN629">
        <f>IF($DM629=0,0,IFERROR(MATCH(1,INDEX(--(TRIM(SUBSTITUTE(SUBSTITUTE(SUBSTITUTE(SUBSTITUTE(LINES_NAME&amp;""," "," "),CHAR(9)," "),CHAR(10)," "),CHAR(13)," "))=$DH629),0),0),0))</f>
        <v/>
      </c>
      <c r="EO629">
        <f>IF($EN629=0,0,IF(OR(UPPER(TRIM(INDEX(LINES_SCHEDULED,$EN629)&amp;""))="YES",UPPER(TRIM(INDEX(LINES_SCHEDULED,$EN629)&amp;""))="Y",UPPER(TRIM(INDEX(LINES_SCHEDULED,$EN629)&amp;""))="X"),1,0))</f>
        <v/>
      </c>
      <c r="EP629">
        <f>IF($DM629=0,"",IF(COUNTIFS($EG$5:$EG$1003,$EG629,$EB$5:$EB$1003,"Ready")&gt;0,"READY",IF(COUNTIFS($EG$5:$EG$1003,$EG629,$EB$5:$EB$1003,"PM")&gt;0,"PM",IF(COUNTIFS($EG$5:$EG$1003,$EG629,$EB$5:$EB$1003,"OT")&gt;0,"OT",""))))</f>
        <v/>
      </c>
      <c r="EQ629">
        <f>IF($EN629=0,"",UPPER(TRIM(INDEX(LINES_STATUS,$EN629)&amp;"")))</f>
        <v/>
      </c>
      <c r="ER629">
        <f>IF($DM629=0,"",IF(OR($EQ629="READY",$EQ629="PM",$EQ629="OT"),$EQ629,$EP629))</f>
        <v/>
      </c>
      <c r="ES629">
        <f>IF($DM629=0,"",IF(AND($DV629&lt;&gt;"",UPPER($DV629)&lt;&gt;"N"),"allergen",IF(ISNUMBER(SEARCH("oil",$DQ629)),"oil",IF(OR(EXACT($DS629,"A662"),EXACT($DS629,"A624")),"bulk",""))))</f>
        <v/>
      </c>
      <c r="ET629">
        <f>IF($DM629=0,"",IF(OR($EA629="",$EA629=0),"",$EA629/100))</f>
        <v/>
      </c>
      <c r="EU629">
        <f>IF(OR($ET629="",$DY629=""),"",INT($DY629*(1-$ET629)+0.5))</f>
        <v/>
      </c>
      <c r="EW629" t="n">
        <v>625</v>
      </c>
      <c r="EX629">
        <f>IFERROR(MATCH($EW629,$EM$5:$EM$1003,0),0)</f>
        <v/>
      </c>
      <c r="EY629">
        <f>IF($EW629&gt;$B$12,"",IF($EX629&gt;0,"row","spacer"))</f>
        <v/>
      </c>
      <c r="EZ629">
        <f>IF(AND($EY629="row",$EY628&lt;&gt;"row"),1,0)</f>
        <v/>
      </c>
      <c r="FA629">
        <f>IF(AND($EY629="row",$EY630&lt;&gt;"row"),1,0)</f>
        <v/>
      </c>
      <c r="FB629">
        <f>IF($EZ629=1,IFERROR(IF(ISNUMBER(INDEX(PASTE_ALL,INDEX($DF$5:$DF$1003,$EX629),$B$37)),INDEX(PASTE_ALL,INDEX($DF$5:$DF$1003,$EX629),$B$37),INDEX($DH$5:$DH$1003,$EX629)),INDEX($DH$5:$DH$1003,$EX629)),"")</f>
        <v/>
      </c>
      <c r="FC629">
        <f>IF($EY629="row",INDEX($ER$5:$ER$1003,$EX629),"")</f>
        <v/>
      </c>
      <c r="FD629">
        <f>IF($EY629="row",INDEX($DN$5:$DN$1003,$EX629),"")</f>
        <v/>
      </c>
      <c r="FE629">
        <f>IF($EY629="row",INDEX($DO$5:$DO$1003,$EX629),"")</f>
        <v/>
      </c>
      <c r="FF629">
        <f>IF($EY629="row",INDEX($DP$5:$DP$1003,$EX629),"")</f>
        <v/>
      </c>
      <c r="FG629">
        <f>IF($EY629="row",INDEX($DQ$5:$DQ$1003,$EX629),"")</f>
        <v/>
      </c>
      <c r="FH629">
        <f>IF($EY629="row",INDEX($DR$5:$DR$1003,$EX629),"")</f>
        <v/>
      </c>
      <c r="FI629">
        <f>IF($EY629="row",INDEX($DS$5:$DS$1003,$EX629),"")</f>
        <v/>
      </c>
      <c r="FJ629">
        <f>IF($EY629="row",INDEX($DT$5:$DT$1003,$EX629),"")</f>
        <v/>
      </c>
      <c r="FK629">
        <f>IF($EY629="row",INDEX($DU$5:$DU$1003,$EX629),"")</f>
        <v/>
      </c>
      <c r="FL629">
        <f>IF($EY629="row",INDEX($DV$5:$DV$1003,$EX629),"")</f>
        <v/>
      </c>
      <c r="FM629">
        <f>IF($EY629="row",INDEX($DW$5:$DW$1003,$EX629),"")</f>
        <v/>
      </c>
      <c r="FN629">
        <f>IF($EY629="row",INDEX($DY$5:$DY$1003,$EX629),"")</f>
        <v/>
      </c>
      <c r="FO629">
        <f>IF($EY629="row",INDEX($EA$5:$EA$1003,$EX629),"")</f>
        <v/>
      </c>
      <c r="FP629">
        <f>IF($EY629="row",INDEX($EC$5:$EC$1003,$EX629),"")</f>
        <v/>
      </c>
      <c r="FQ629">
        <f>IF($EY629="row",INDEX($ET$5:$ET$1003,$EX629),"")</f>
        <v/>
      </c>
      <c r="FR629">
        <f>IF($EY629="row",INDEX($EU$5:$EU$1003,$EX629),"")</f>
        <v/>
      </c>
      <c r="FS629">
        <f>IF(AND($EY629="row",$EY628="row"),IF(OR(INDEX($DT$5:$DT$1003,$EX628)="",INDEX($DT$5:$DT$1003,$EX629)=""),"",IF(NOT(EXACT(INDEX($DT$5:$DT$1003,$EX628),INDEX($DT$5:$DT$1003,$EX629))),"S4",IF(NOT(EXACT(INDEX($DS$5:$DS$1003,$EX628),INDEX($DS$5:$DS$1003,$EX629))),"S3",IF(NOT(EXACT(INDEX($DR$5:$DR$1003,$EX628),INDEX($DR$5:$DR$1003,$EX629))),"S1 Count Change","S1")))),"")</f>
        <v/>
      </c>
      <c r="FT629">
        <f>IF($EY629="row",INDEX($ES$5:$ES$1003,$EX629),"")</f>
        <v/>
      </c>
      <c r="FU629">
        <f>IF($EY629="row",INDEX($EO$5:$EO$1003,$EX629),0)</f>
        <v/>
      </c>
      <c r="FV629">
        <f>IF($FS629="S1 Count Change",1,0)</f>
        <v/>
      </c>
    </row>
    <row r="630">
      <c r="DA630" t="n">
        <v>626</v>
      </c>
      <c r="DB630">
        <f>IF($B$37=0,"",IFERROR(TRIM(SUBSTITUTE(SUBSTITUTE(SUBSTITUTE(SUBSTITUTE(INDEX(PASTE_ALL,626,$B$37)," "," "),CHAR(9)," "),CHAR(10)," "),CHAR(13)," ")),""))</f>
        <v/>
      </c>
      <c r="DC630">
        <f>IF(AND(626&gt;HEADER_ROW,UPPER(DB630)="LEGEND"),1,0)</f>
        <v/>
      </c>
      <c r="DE630" t="n">
        <v>626</v>
      </c>
      <c r="DF630">
        <f>HEADER_ROW+$DE630</f>
        <v/>
      </c>
      <c r="DG630">
        <f>IF(AND($DF630&lt;=1000,$DF630&lt;$B$8),1,0)</f>
        <v/>
      </c>
      <c r="DH630">
        <f>IF($DG630=1,IFERROR(INDEX($DB$5:$DB$1004,$DF630),""),"")</f>
        <v/>
      </c>
      <c r="DI630">
        <f>IF(AND($DG630=1,$DH630&lt;&gt;""),IFERROR(SUBSTITUTE(SUBSTITUTE(TRIM(SUBSTITUTE(SUBSTITUTE(SUBSTITUTE(SUBSTITUTE(IFERROR(INDEX(PASTE_ALL,$DF630,1)&amp;"","")&amp;"␟"&amp;IFERROR(INDEX(PASTE_ALL,$DF630,2)&amp;"","")&amp;"␟"&amp;IFERROR(INDEX(PASTE_ALL,$DF630,3)&amp;"","")&amp;"␟"&amp;IFERROR(INDEX(PASTE_ALL,$DF630,4)&amp;"","")&amp;"␟"&amp;IFERROR(INDEX(PASTE_ALL,$DF630,5)&amp;"","")&amp;"␟"&amp;IFERROR(INDEX(PASTE_ALL,$DF630,6)&amp;"","")&amp;"␟"&amp;IFERROR(INDEX(PASTE_ALL,$DF630,7)&amp;"","")&amp;"␟"&amp;IFERROR(INDEX(PASTE_ALL,$DF630,8)&amp;"","")&amp;"␟"&amp;IFERROR(INDEX(PASTE_ALL,$DF630,9)&amp;"","")&amp;"␟"&amp;IFERROR(INDEX(PASTE_ALL,$DF630,10)&amp;"","")&amp;"␟"&amp;IFERROR(INDEX(PASTE_ALL,$DF630,11)&amp;"","")&amp;"␟"&amp;IFERROR(INDEX(PASTE_ALL,$DF630,12)&amp;"","")&amp;"␟"&amp;IFERROR(INDEX(PASTE_ALL,$DF630,13)&amp;"","")&amp;"␟"&amp;IFERROR(INDEX(PASTE_ALL,$DF630,14)&amp;"","")&amp;"␟"&amp;IFERROR(INDEX(PASTE_ALL,$DF630,15)&amp;"","")&amp;"␟"&amp;IFERROR(INDEX(PASTE_ALL,$DF630,16)&amp;"","")&amp;"␟"&amp;IFERROR(INDEX(PASTE_ALL,$DF630,17)&amp;"","")&amp;"␟"&amp;IFERROR(INDEX(PASTE_ALL,$DF630,18)&amp;"","")&amp;"␟"&amp;IFERROR(INDEX(PASTE_ALL,$DF630,19)&amp;"","")&amp;"␟"&amp;IFERROR(INDEX(PASTE_ALL,$DF630,20)&amp;"","")&amp;"␟"&amp;IFERROR(INDEX(PASTE_ALL,$DF630,21)&amp;"","")&amp;"␟"&amp;IFERROR(INDEX(PASTE_ALL,$DF630,22)&amp;"","")&amp;"␟"&amp;IFERROR(INDEX(PASTE_ALL,$DF630,23)&amp;"","")&amp;"␟"&amp;IFERROR(INDEX(PASTE_ALL,$DF630,24)&amp;"","")&amp;"␟"&amp;IFERROR(INDEX(PASTE_ALL,$DF630,25)&amp;"","")&amp;"␟"&amp;IFERROR(INDEX(PASTE_ALL,$DF630,26)&amp;"","")&amp;"␟"&amp;IFERROR(INDEX(PASTE_ALL,$DF630,27)&amp;"","")&amp;"␟"&amp;IFERROR(INDEX(PASTE_ALL,$DF630,28)&amp;"","")&amp;"␟"&amp;IFERROR(INDEX(PASTE_ALL,$DF630,29)&amp;"","")&amp;"␟"&amp;IFERROR(INDEX(PASTE_ALL,$DF630,30)&amp;"","")&amp;"␟"&amp;IFERROR(INDEX(PASTE_ALL,$DF630,31)&amp;"","")&amp;"␟"&amp;IFERROR(INDEX(PASTE_ALL,$DF630,32)&amp;"","")&amp;"␟"&amp;IFERROR(INDEX(PASTE_ALL,$DF630,33)&amp;"","")&amp;"␟"&amp;IFERROR(INDEX(PASTE_ALL,$DF630,34)&amp;"","")&amp;"␟"&amp;IFERROR(INDEX(PASTE_ALL,$DF630,35)&amp;"","")&amp;"␟"&amp;IFERROR(INDEX(PASTE_ALL,$DF630,36)&amp;"","")&amp;"␟"&amp;IFERROR(INDEX(PASTE_ALL,$DF630,37)&amp;"","")&amp;"␟"&amp;IFERROR(INDEX(PASTE_ALL,$DF630,38)&amp;"","")&amp;"␟"&amp;IFERROR(INDEX(PASTE_ALL,$DF630,39)&amp;"","")&amp;"␟"&amp;IFERROR(INDEX(PASTE_ALL,$DF630,40)&amp;"","")&amp;"␟"&amp;IFERROR(INDEX(PASTE_ALL,$DF630,41)&amp;"","")&amp;"␟"&amp;IFERROR(INDEX(PASTE_ALL,$DF630,42)&amp;"","")&amp;"␟"&amp;IFERROR(INDEX(PASTE_ALL,$DF630,43)&amp;"","")&amp;"␟"&amp;IFERROR(INDEX(PASTE_ALL,$DF630,44)&amp;"","")&amp;"␟"&amp;IFERROR(INDEX(PASTE_ALL,$DF630,45)&amp;"","")&amp;"␟"&amp;IFERROR(INDEX(PASTE_ALL,$DF630,46)&amp;"","")&amp;"␟"&amp;IFERROR(INDEX(PASTE_ALL,$DF630,47)&amp;"","")&amp;"␟"&amp;IFERROR(INDEX(PASTE_ALL,$DF630,48)&amp;"","")&amp;"␟"&amp;IFERROR(INDEX(PASTE_ALL,$DF630,49)&amp;"","")&amp;"␟"&amp;IFERROR(INDEX(PASTE_ALL,$DF630,50)&amp;"","")&amp;"␟"&amp;IFERROR(INDEX(PASTE_ALL,$DF630,51)&amp;"","")&amp;"␟"&amp;IFERROR(INDEX(PASTE_ALL,$DF630,52)&amp;"","")&amp;"␟"&amp;IFERROR(INDEX(PASTE_ALL,$DF630,53)&amp;"","")&amp;"␟"&amp;IFERROR(INDEX(PASTE_ALL,$DF630,54)&amp;"","")&amp;"␟"&amp;IFERROR(INDEX(PASTE_ALL,$DF630,55)&amp;"","")&amp;"␟"&amp;IFERROR(INDEX(PASTE_ALL,$DF630,56)&amp;"","")&amp;"␟"&amp;IFERROR(INDEX(PASTE_ALL,$DF630,57)&amp;"","")&amp;"␟"&amp;IFERROR(INDEX(PASTE_ALL,$DF630,58)&amp;"","")&amp;"␟"&amp;IFERROR(INDEX(PASTE_ALL,$DF630,59)&amp;"","")&amp;"␟"&amp;IFERROR(INDEX(PASTE_ALL,$DF630,60)&amp;"","")," "," "),CHAR(9)," "),CHAR(10)," "),CHAR(13)," "))," ␟","␟"),"␟ ","␟"),"#"&amp;$DE630),"")</f>
        <v/>
      </c>
      <c r="DJ630">
        <f>IF($DI630="",0,IF(SUMPRODUCT(--EXACT($DI$4:DI629,$DI630))&gt;0,1,0))</f>
        <v/>
      </c>
      <c r="DK630">
        <f>IF(AND($DI630&lt;&gt;"",$DJ630=0),1,0)</f>
        <v/>
      </c>
      <c r="DL630">
        <f>DL629+$DK630</f>
        <v/>
      </c>
      <c r="DM630">
        <f>IF(AND($DK630=1,$DL630&lt;=600),1,0)</f>
        <v/>
      </c>
      <c r="DN630">
        <f>IF($DM630=0,"",IF($L$6=0,"",IFERROR(IF(ISNUMBER(INDEX(PASTE_ALL,$DF630,$L$6)),INDEX(PASTE_ALL,$DF630,$L$6),TRIM(SUBSTITUTE(SUBSTITUTE(SUBSTITUTE(SUBSTITUTE(INDEX(PASTE_ALL,$DF630,$L$6)," "," "),CHAR(9)," "),CHAR(10)," "),CHAR(13)," "))),"")))</f>
        <v/>
      </c>
      <c r="DO630">
        <f>IF($DM630=0,"",IF($L$7=0,"",IFERROR(IF(ISNUMBER(INDEX(PASTE_ALL,$DF630,$L$7)),INDEX(PASTE_ALL,$DF630,$L$7),TRIM(SUBSTITUTE(SUBSTITUTE(SUBSTITUTE(SUBSTITUTE(INDEX(PASTE_ALL,$DF630,$L$7)," "," "),CHAR(9)," "),CHAR(10)," "),CHAR(13)," "))),"")))</f>
        <v/>
      </c>
      <c r="DP630">
        <f>IF($DM630=0,"",IF($L$8=0,"",IFERROR(IF(ISNUMBER(INDEX(PASTE_ALL,$DF630,$L$8)),INDEX(PASTE_ALL,$DF630,$L$8),TRIM(SUBSTITUTE(SUBSTITUTE(SUBSTITUTE(SUBSTITUTE(INDEX(PASTE_ALL,$DF630,$L$8)," "," "),CHAR(9)," "),CHAR(10)," "),CHAR(13)," "))),"")))</f>
        <v/>
      </c>
      <c r="DQ630">
        <f>IF($DM630=0,"",IF($L$9=0,"",IFERROR(IF(ISNUMBER(INDEX(PASTE_ALL,$DF630,$L$9)),INDEX(PASTE_ALL,$DF630,$L$9),TRIM(SUBSTITUTE(SUBSTITUTE(SUBSTITUTE(SUBSTITUTE(INDEX(PASTE_ALL,$DF630,$L$9)," "," "),CHAR(9)," "),CHAR(10)," "),CHAR(13)," "))),"")))</f>
        <v/>
      </c>
      <c r="DR630">
        <f>IF($DM630=0,"",IF($L$10=0,"",IFERROR(IF(ISNUMBER(INDEX(PASTE_ALL,$DF630,$L$10)),INDEX(PASTE_ALL,$DF630,$L$10),TRIM(SUBSTITUTE(SUBSTITUTE(SUBSTITUTE(SUBSTITUTE(INDEX(PASTE_ALL,$DF630,$L$10)," "," "),CHAR(9)," "),CHAR(10)," "),CHAR(13)," "))),"")))</f>
        <v/>
      </c>
      <c r="DS630">
        <f>IF($DM630=0,"",IF($L$11=0,"",IFERROR(IF(ISNUMBER(INDEX(PASTE_ALL,$DF630,$L$11)),INDEX(PASTE_ALL,$DF630,$L$11),TRIM(SUBSTITUTE(SUBSTITUTE(SUBSTITUTE(SUBSTITUTE(INDEX(PASTE_ALL,$DF630,$L$11)," "," "),CHAR(9)," "),CHAR(10)," "),CHAR(13)," "))),"")))</f>
        <v/>
      </c>
      <c r="DT630">
        <f>IF($DM630=0,"",IF($L$12=0,"",IFERROR(IF(ISNUMBER(INDEX(PASTE_ALL,$DF630,$L$12)),INDEX(PASTE_ALL,$DF630,$L$12),TRIM(SUBSTITUTE(SUBSTITUTE(SUBSTITUTE(SUBSTITUTE(INDEX(PASTE_ALL,$DF630,$L$12)," "," "),CHAR(9)," "),CHAR(10)," "),CHAR(13)," "))),"")))</f>
        <v/>
      </c>
      <c r="DU630">
        <f>IF($DM630=0,"",IF($L$13=0,"",IFERROR(IF(ISNUMBER(INDEX(PASTE_ALL,$DF630,$L$13)),INDEX(PASTE_ALL,$DF630,$L$13),TRIM(SUBSTITUTE(SUBSTITUTE(SUBSTITUTE(SUBSTITUTE(INDEX(PASTE_ALL,$DF630,$L$13)," "," "),CHAR(9)," "),CHAR(10)," "),CHAR(13)," "))),"")))</f>
        <v/>
      </c>
      <c r="DV630">
        <f>IF($DM630=0,"",IF($L$14=0,"",IFERROR(IF(ISNUMBER(INDEX(PASTE_ALL,$DF630,$L$14)),INDEX(PASTE_ALL,$DF630,$L$14),TRIM(SUBSTITUTE(SUBSTITUTE(SUBSTITUTE(SUBSTITUTE(INDEX(PASTE_ALL,$DF630,$L$14)," "," "),CHAR(9)," "),CHAR(10)," "),CHAR(13)," "))),"")))</f>
        <v/>
      </c>
      <c r="DW630">
        <f>IF($DM630=0,"",IF($L$15=0,"",IFERROR(IF(ISNUMBER(INDEX(PASTE_ALL,$DF630,$L$15)),INDEX(PASTE_ALL,$DF630,$L$15),IF(SUMPRODUCT(--ISNUMBER(FIND({"A","B","C","D","E","F","G","H","I","J","K","L","M","N","O","P","Q","R","S","T","U","V","W","X","Y","Z","0","1","2","3","4","5","6","7","8","9"},UPPER(TRIM(SUBSTITUTE(SUBSTITUTE(SUBSTITUTE(SUBSTITUTE(INDEX(PASTE_ALL,$DF630,$L$15)," "," "),CHAR(9)," "),CHAR(10)," "),CHAR(13)," "))))))&gt;0,TRIM(SUBSTITUTE(SUBSTITUTE(SUBSTITUTE(SUBSTITUTE(INDEX(PASTE_ALL,$DF630,$L$15)," "," "),CHAR(9)," "),CHAR(10)," "),CHAR(13)," ")),"")),"")))</f>
        <v/>
      </c>
      <c r="DX630">
        <f>IF($DM630=0,"",IF($L$16=0,"",IFERROR(IF(ISNUMBER(INDEX(PASTE_ALL,$DF630,$L$16)),INDEX(PASTE_ALL,$DF630,$L$16),SUBSTITUTE(SUBSTITUTE(TRIM(SUBSTITUTE(SUBSTITUTE(SUBSTITUTE(SUBSTITUTE(INDEX(PASTE_ALL,$DF630,$L$16)," "," "),CHAR(9)," "),CHAR(10)," "),CHAR(13)," ")),",",""),"%","")),"")))</f>
        <v/>
      </c>
      <c r="DY630">
        <f>IF($DM630=0,"",IFERROR(IF(ISNUMBER($DX630),$DX630,IF($DX630="","",IF(TRIM($DX630)="",0,IF(AND(AND(SUBSTITUTE(SUBSTITUTE(SUBSTITUTE(SUBSTITUTE(SUBSTITUTE(SUBSTITUTE(SUBSTITUTE(SUBSTITUTE(SUBSTITUTE(SUBSTITUTE(SUBSTITUTE(SUBSTITUTE(SUBSTITUTE(SUBSTITUTE(UPPER(TRIM($DX630)),"0",""),"1",""),"2",""),"3",""),"4",""),"5",""),"6",""),"7",""),"8",""),"9",""),".",""),"+",""),"-",""),"E","")="",LEN(SUBSTITUTE(SUBSTITUTE(MID(UPPER(TRIM($DX630)),1+OR(LEFT(UPPER(TRIM($DX630)),1)="+",LEFT(UPPER(TRIM($DX630)),1)="-"),999),"E+","E"),"E-","E"))=LEN(SUBSTITUTE(SUBSTITUTE(SUBSTITUTE(SUBSTITUTE(MID(UPPER(TRIM($DX630)),1+OR(LEFT(UPPER(TRIM($DX630)),1)="+",LEFT(UPPER(TRIM($DX630)),1)="-"),999),"E+","E"),"E-","E"),"+",""),"-","")),LEN(UPPER(TRIM($DX630)))-LEN(SUBSTITUTE(UPPER(TRIM($DX630)),"E",""))&lt;2,LEN(UPPER(TRIM($DX630)))-LEN(SUBSTITUTE(UPPER(TRIM($DX630)),".",""))&lt;2,IFERROR(FIND(".",UPPER(TRIM($DX630))),0)&lt;IFERROR(FIND("E",UPPER(TRIM($DX630))),999)),ISNUMBER(VALUE(TRIM($DX630)))),VALUE(TRIM($DX630)),"")))),""))</f>
        <v/>
      </c>
      <c r="DZ630">
        <f>IF($DM630=0,"",IF($L$17=0,"",IFERROR(IF(ISNUMBER(INDEX(PASTE_ALL,$DF630,$L$17)),INDEX(PASTE_ALL,$DF630,$L$17),SUBSTITUTE(SUBSTITUTE(TRIM(SUBSTITUTE(SUBSTITUTE(SUBSTITUTE(SUBSTITUTE(INDEX(PASTE_ALL,$DF630,$L$17)," "," "),CHAR(9)," "),CHAR(10)," "),CHAR(13)," ")),",",""),"%","")),"")))</f>
        <v/>
      </c>
      <c r="EA630">
        <f>IF($DM630=0,"",IFERROR(IF(ISNUMBER($DZ630),$DZ630,IF($DZ630="","",IF(TRIM($DZ630)="",0,IF(AND(AND(SUBSTITUTE(SUBSTITUTE(SUBSTITUTE(SUBSTITUTE(SUBSTITUTE(SUBSTITUTE(SUBSTITUTE(SUBSTITUTE(SUBSTITUTE(SUBSTITUTE(SUBSTITUTE(SUBSTITUTE(SUBSTITUTE(SUBSTITUTE(UPPER(TRIM($DZ630)),"0",""),"1",""),"2",""),"3",""),"4",""),"5",""),"6",""),"7",""),"8",""),"9",""),".",""),"+",""),"-",""),"E","")="",LEN(SUBSTITUTE(SUBSTITUTE(MID(UPPER(TRIM($DZ630)),1+OR(LEFT(UPPER(TRIM($DZ630)),1)="+",LEFT(UPPER(TRIM($DZ630)),1)="-"),999),"E+","E"),"E-","E"))=LEN(SUBSTITUTE(SUBSTITUTE(SUBSTITUTE(SUBSTITUTE(MID(UPPER(TRIM($DZ630)),1+OR(LEFT(UPPER(TRIM($DZ630)),1)="+",LEFT(UPPER(TRIM($DZ630)),1)="-"),999),"E+","E"),"E-","E"),"+",""),"-","")),LEN(UPPER(TRIM($DZ630)))-LEN(SUBSTITUTE(UPPER(TRIM($DZ630)),"E",""))&lt;2,LEN(UPPER(TRIM($DZ630)))-LEN(SUBSTITUTE(UPPER(TRIM($DZ630)),".",""))&lt;2,IFERROR(FIND(".",UPPER(TRIM($DZ630))),0)&lt;IFERROR(FIND("E",UPPER(TRIM($DZ630))),999)),ISNUMBER(VALUE(TRIM($DZ630)))),VALUE(TRIM($DZ630)),"")))),""))</f>
        <v/>
      </c>
      <c r="EB630">
        <f>IF($DM630=0,"",IF($L$18=0,"",IFERROR(IF(UPPER(TRIM(SUBSTITUTE(SUBSTITUTE(SUBSTITUTE(SUBSTITUTE(INDEX(PASTE_ALL,$DF630,$L$18)," "," "),CHAR(9)," "),CHAR(10)," "),CHAR(13)," ")))="READY","Ready",IF(UPPER(TRIM(SUBSTITUTE(SUBSTITUTE(SUBSTITUTE(SUBSTITUTE(INDEX(PASTE_ALL,$DF630,$L$18)," "," "),CHAR(9)," "),CHAR(10)," "),CHAR(13)," ")))="PM","PM",IF(OR(UPPER(TRIM(SUBSTITUTE(SUBSTITUTE(SUBSTITUTE(SUBSTITUTE(INDEX(PASTE_ALL,$DF630,$L$18)," "," "),CHAR(9)," "),CHAR(10)," "),CHAR(13)," ")))="OT",UPPER(TRIM(SUBSTITUTE(SUBSTITUTE(SUBSTITUTE(SUBSTITUTE(INDEX(PASTE_ALL,$DF630,$L$18)," "," "),CHAR(9)," "),CHAR(10)," "),CHAR(13)," ")))="OVERTIME",UPPER(TRIM(SUBSTITUTE(SUBSTITUTE(SUBSTITUTE(SUBSTITUTE(INDEX(PASTE_ALL,$DF630,$L$18)," "," "),CHAR(9)," "),CHAR(10)," "),CHAR(13)," ")))="TRIAL"),"OT",TRIM(SUBSTITUTE(SUBSTITUTE(SUBSTITUTE(SUBSTITUTE(INDEX(PASTE_ALL,$DF630,$L$18)," "," "),CHAR(9)," "),CHAR(10)," "),CHAR(13)," "))))),"")))</f>
        <v/>
      </c>
      <c r="EC630">
        <f>IF($DM630=0,"",IF($L$19=0,"",IFERROR(IF(ISNUMBER(INDEX(PASTE_ALL,$DF630,$L$19)),INDEX(PASTE_ALL,$DF630,$L$19),TRIM(SUBSTITUTE(SUBSTITUTE(SUBSTITUTE(SUBSTITUTE(INDEX(PASTE_ALL,$DF630,$L$19)," "," "),CHAR(9)," "),CHAR(10)," "),CHAR(13)," "))),"")))</f>
        <v/>
      </c>
      <c r="ED630">
        <f>IF($DM630=0,"",MATCH(1,INDEX(EXACT($DH$5:DH630,$DH630)*$DM$5:DM630,0),0))</f>
        <v/>
      </c>
      <c r="EE630">
        <f>IF($DM630=0,0,IF($ED630=$DE630,1,0))</f>
        <v/>
      </c>
      <c r="EF630">
        <f>EF629+$EE630</f>
        <v/>
      </c>
      <c r="EG630">
        <f>IF($DM630=0,"",INDEX($EF$5:$EF$1003,$ED630))</f>
        <v/>
      </c>
      <c r="EH630">
        <f>IF($DM630=0,"",IF($DO630&lt;&gt;"","",IFERROR(LOOKUP(2,1/(($EG$4:EG629=$EG630)*($DO$4:DO629&lt;&gt;"")),$DO$4:DO629),"")))</f>
        <v/>
      </c>
      <c r="EI630">
        <f>IF($DM630=0,"",IF($DO630&lt;&gt;"",$DO630,$EH630))</f>
        <v/>
      </c>
      <c r="EJ630">
        <f>IF($DM630=0,"",IF($EI630="",0,IF(OR(ISNUMBER($EI630),AND(AND(SUBSTITUTE(SUBSTITUTE(SUBSTITUTE(SUBSTITUTE(SUBSTITUTE(SUBSTITUTE(SUBSTITUTE(SUBSTITUTE(SUBSTITUTE(SUBSTITUTE(SUBSTITUTE(SUBSTITUTE(SUBSTITUTE(SUBSTITUTE(UPPER($EI630),"0",""),"1",""),"2",""),"3",""),"4",""),"5",""),"6",""),"7",""),"8",""),"9",""),".",""),"+",""),"-",""),"E","")="",LEN(SUBSTITUTE(SUBSTITUTE(MID(UPPER($EI630),1+OR(LEFT(UPPER($EI630),1)="+",LEFT(UPPER($EI630),1)="-"),999),"E+","E"),"E-","E"))=LEN(SUBSTITUTE(SUBSTITUTE(SUBSTITUTE(SUBSTITUTE(MID(UPPER($EI630),1+OR(LEFT(UPPER($EI630),1)="+",LEFT(UPPER($EI630),1)="-"),999),"E+","E"),"E-","E"),"+",""),"-","")),LEN(UPPER($EI630))-LEN(SUBSTITUTE(UPPER($EI630),"E",""))&lt;2,LEN(UPPER($EI630))-LEN(SUBSTITUTE(UPPER($EI630),".",""))&lt;2,IFERROR(FIND(".",UPPER($EI630)),0)&lt;IFERROR(FIND("E",UPPER($EI630)),999)),ISNUMBER(VALUE($EI630)))),1,2)))</f>
        <v/>
      </c>
      <c r="EK630">
        <f>IF($DM630=0,"",IF($EJ630=1,IF(ISNUMBER($EI630),$EI630,VALUE($EI630)),IF($EJ630=2,$DE630,0)))</f>
        <v/>
      </c>
      <c r="EL630">
        <f>IF($DM630=0,"",COUNTIF($EG$5:$EG$1003,"&lt;"&amp;$EG630)+SUMPRODUCT(($EG$5:$EG$1003=$EG630)*(($EJ$5:$EJ$1003&lt;$EJ630)+($EJ$5:$EJ$1003=$EJ630)*(($EK$5:$EK$1003&lt;$EK630)+($EK$5:$EK$1003=$EK630)*($DE$5:$DE$1003&lt;$DE630))))+1)</f>
        <v/>
      </c>
      <c r="EM630">
        <f>IF($DM630=0,"",$EL630+$EG630-1)</f>
        <v/>
      </c>
      <c r="EN630">
        <f>IF($DM630=0,0,IFERROR(MATCH(1,INDEX(--(TRIM(SUBSTITUTE(SUBSTITUTE(SUBSTITUTE(SUBSTITUTE(LINES_NAME&amp;""," "," "),CHAR(9)," "),CHAR(10)," "),CHAR(13)," "))=$DH630),0),0),0))</f>
        <v/>
      </c>
      <c r="EO630">
        <f>IF($EN630=0,0,IF(OR(UPPER(TRIM(INDEX(LINES_SCHEDULED,$EN630)&amp;""))="YES",UPPER(TRIM(INDEX(LINES_SCHEDULED,$EN630)&amp;""))="Y",UPPER(TRIM(INDEX(LINES_SCHEDULED,$EN630)&amp;""))="X"),1,0))</f>
        <v/>
      </c>
      <c r="EP630">
        <f>IF($DM630=0,"",IF(COUNTIFS($EG$5:$EG$1003,$EG630,$EB$5:$EB$1003,"Ready")&gt;0,"READY",IF(COUNTIFS($EG$5:$EG$1003,$EG630,$EB$5:$EB$1003,"PM")&gt;0,"PM",IF(COUNTIFS($EG$5:$EG$1003,$EG630,$EB$5:$EB$1003,"OT")&gt;0,"OT",""))))</f>
        <v/>
      </c>
      <c r="EQ630">
        <f>IF($EN630=0,"",UPPER(TRIM(INDEX(LINES_STATUS,$EN630)&amp;"")))</f>
        <v/>
      </c>
      <c r="ER630">
        <f>IF($DM630=0,"",IF(OR($EQ630="READY",$EQ630="PM",$EQ630="OT"),$EQ630,$EP630))</f>
        <v/>
      </c>
      <c r="ES630">
        <f>IF($DM630=0,"",IF(AND($DV630&lt;&gt;"",UPPER($DV630)&lt;&gt;"N"),"allergen",IF(ISNUMBER(SEARCH("oil",$DQ630)),"oil",IF(OR(EXACT($DS630,"A662"),EXACT($DS630,"A624")),"bulk",""))))</f>
        <v/>
      </c>
      <c r="ET630">
        <f>IF($DM630=0,"",IF(OR($EA630="",$EA630=0),"",$EA630/100))</f>
        <v/>
      </c>
      <c r="EU630">
        <f>IF(OR($ET630="",$DY630=""),"",INT($DY630*(1-$ET630)+0.5))</f>
        <v/>
      </c>
      <c r="EW630" t="n">
        <v>626</v>
      </c>
      <c r="EX630">
        <f>IFERROR(MATCH($EW630,$EM$5:$EM$1003,0),0)</f>
        <v/>
      </c>
      <c r="EY630">
        <f>IF($EW630&gt;$B$12,"",IF($EX630&gt;0,"row","spacer"))</f>
        <v/>
      </c>
      <c r="EZ630">
        <f>IF(AND($EY630="row",$EY629&lt;&gt;"row"),1,0)</f>
        <v/>
      </c>
      <c r="FA630">
        <f>IF(AND($EY630="row",$EY631&lt;&gt;"row"),1,0)</f>
        <v/>
      </c>
      <c r="FB630">
        <f>IF($EZ630=1,IFERROR(IF(ISNUMBER(INDEX(PASTE_ALL,INDEX($DF$5:$DF$1003,$EX630),$B$37)),INDEX(PASTE_ALL,INDEX($DF$5:$DF$1003,$EX630),$B$37),INDEX($DH$5:$DH$1003,$EX630)),INDEX($DH$5:$DH$1003,$EX630)),"")</f>
        <v/>
      </c>
      <c r="FC630">
        <f>IF($EY630="row",INDEX($ER$5:$ER$1003,$EX630),"")</f>
        <v/>
      </c>
      <c r="FD630">
        <f>IF($EY630="row",INDEX($DN$5:$DN$1003,$EX630),"")</f>
        <v/>
      </c>
      <c r="FE630">
        <f>IF($EY630="row",INDEX($DO$5:$DO$1003,$EX630),"")</f>
        <v/>
      </c>
      <c r="FF630">
        <f>IF($EY630="row",INDEX($DP$5:$DP$1003,$EX630),"")</f>
        <v/>
      </c>
      <c r="FG630">
        <f>IF($EY630="row",INDEX($DQ$5:$DQ$1003,$EX630),"")</f>
        <v/>
      </c>
      <c r="FH630">
        <f>IF($EY630="row",INDEX($DR$5:$DR$1003,$EX630),"")</f>
        <v/>
      </c>
      <c r="FI630">
        <f>IF($EY630="row",INDEX($DS$5:$DS$1003,$EX630),"")</f>
        <v/>
      </c>
      <c r="FJ630">
        <f>IF($EY630="row",INDEX($DT$5:$DT$1003,$EX630),"")</f>
        <v/>
      </c>
      <c r="FK630">
        <f>IF($EY630="row",INDEX($DU$5:$DU$1003,$EX630),"")</f>
        <v/>
      </c>
      <c r="FL630">
        <f>IF($EY630="row",INDEX($DV$5:$DV$1003,$EX630),"")</f>
        <v/>
      </c>
      <c r="FM630">
        <f>IF($EY630="row",INDEX($DW$5:$DW$1003,$EX630),"")</f>
        <v/>
      </c>
      <c r="FN630">
        <f>IF($EY630="row",INDEX($DY$5:$DY$1003,$EX630),"")</f>
        <v/>
      </c>
      <c r="FO630">
        <f>IF($EY630="row",INDEX($EA$5:$EA$1003,$EX630),"")</f>
        <v/>
      </c>
      <c r="FP630">
        <f>IF($EY630="row",INDEX($EC$5:$EC$1003,$EX630),"")</f>
        <v/>
      </c>
      <c r="FQ630">
        <f>IF($EY630="row",INDEX($ET$5:$ET$1003,$EX630),"")</f>
        <v/>
      </c>
      <c r="FR630">
        <f>IF($EY630="row",INDEX($EU$5:$EU$1003,$EX630),"")</f>
        <v/>
      </c>
      <c r="FS630">
        <f>IF(AND($EY630="row",$EY629="row"),IF(OR(INDEX($DT$5:$DT$1003,$EX629)="",INDEX($DT$5:$DT$1003,$EX630)=""),"",IF(NOT(EXACT(INDEX($DT$5:$DT$1003,$EX629),INDEX($DT$5:$DT$1003,$EX630))),"S4",IF(NOT(EXACT(INDEX($DS$5:$DS$1003,$EX629),INDEX($DS$5:$DS$1003,$EX630))),"S3",IF(NOT(EXACT(INDEX($DR$5:$DR$1003,$EX629),INDEX($DR$5:$DR$1003,$EX630))),"S1 Count Change","S1")))),"")</f>
        <v/>
      </c>
      <c r="FT630">
        <f>IF($EY630="row",INDEX($ES$5:$ES$1003,$EX630),"")</f>
        <v/>
      </c>
      <c r="FU630">
        <f>IF($EY630="row",INDEX($EO$5:$EO$1003,$EX630),0)</f>
        <v/>
      </c>
      <c r="FV630">
        <f>IF($FS630="S1 Count Change",1,0)</f>
        <v/>
      </c>
    </row>
    <row r="631">
      <c r="DA631" t="n">
        <v>627</v>
      </c>
      <c r="DB631">
        <f>IF($B$37=0,"",IFERROR(TRIM(SUBSTITUTE(SUBSTITUTE(SUBSTITUTE(SUBSTITUTE(INDEX(PASTE_ALL,627,$B$37)," "," "),CHAR(9)," "),CHAR(10)," "),CHAR(13)," ")),""))</f>
        <v/>
      </c>
      <c r="DC631">
        <f>IF(AND(627&gt;HEADER_ROW,UPPER(DB631)="LEGEND"),1,0)</f>
        <v/>
      </c>
      <c r="DE631" t="n">
        <v>627</v>
      </c>
      <c r="DF631">
        <f>HEADER_ROW+$DE631</f>
        <v/>
      </c>
      <c r="DG631">
        <f>IF(AND($DF631&lt;=1000,$DF631&lt;$B$8),1,0)</f>
        <v/>
      </c>
      <c r="DH631">
        <f>IF($DG631=1,IFERROR(INDEX($DB$5:$DB$1004,$DF631),""),"")</f>
        <v/>
      </c>
      <c r="DI631">
        <f>IF(AND($DG631=1,$DH631&lt;&gt;""),IFERROR(SUBSTITUTE(SUBSTITUTE(TRIM(SUBSTITUTE(SUBSTITUTE(SUBSTITUTE(SUBSTITUTE(IFERROR(INDEX(PASTE_ALL,$DF631,1)&amp;"","")&amp;"␟"&amp;IFERROR(INDEX(PASTE_ALL,$DF631,2)&amp;"","")&amp;"␟"&amp;IFERROR(INDEX(PASTE_ALL,$DF631,3)&amp;"","")&amp;"␟"&amp;IFERROR(INDEX(PASTE_ALL,$DF631,4)&amp;"","")&amp;"␟"&amp;IFERROR(INDEX(PASTE_ALL,$DF631,5)&amp;"","")&amp;"␟"&amp;IFERROR(INDEX(PASTE_ALL,$DF631,6)&amp;"","")&amp;"␟"&amp;IFERROR(INDEX(PASTE_ALL,$DF631,7)&amp;"","")&amp;"␟"&amp;IFERROR(INDEX(PASTE_ALL,$DF631,8)&amp;"","")&amp;"␟"&amp;IFERROR(INDEX(PASTE_ALL,$DF631,9)&amp;"","")&amp;"␟"&amp;IFERROR(INDEX(PASTE_ALL,$DF631,10)&amp;"","")&amp;"␟"&amp;IFERROR(INDEX(PASTE_ALL,$DF631,11)&amp;"","")&amp;"␟"&amp;IFERROR(INDEX(PASTE_ALL,$DF631,12)&amp;"","")&amp;"␟"&amp;IFERROR(INDEX(PASTE_ALL,$DF631,13)&amp;"","")&amp;"␟"&amp;IFERROR(INDEX(PASTE_ALL,$DF631,14)&amp;"","")&amp;"␟"&amp;IFERROR(INDEX(PASTE_ALL,$DF631,15)&amp;"","")&amp;"␟"&amp;IFERROR(INDEX(PASTE_ALL,$DF631,16)&amp;"","")&amp;"␟"&amp;IFERROR(INDEX(PASTE_ALL,$DF631,17)&amp;"","")&amp;"␟"&amp;IFERROR(INDEX(PASTE_ALL,$DF631,18)&amp;"","")&amp;"␟"&amp;IFERROR(INDEX(PASTE_ALL,$DF631,19)&amp;"","")&amp;"␟"&amp;IFERROR(INDEX(PASTE_ALL,$DF631,20)&amp;"","")&amp;"␟"&amp;IFERROR(INDEX(PASTE_ALL,$DF631,21)&amp;"","")&amp;"␟"&amp;IFERROR(INDEX(PASTE_ALL,$DF631,22)&amp;"","")&amp;"␟"&amp;IFERROR(INDEX(PASTE_ALL,$DF631,23)&amp;"","")&amp;"␟"&amp;IFERROR(INDEX(PASTE_ALL,$DF631,24)&amp;"","")&amp;"␟"&amp;IFERROR(INDEX(PASTE_ALL,$DF631,25)&amp;"","")&amp;"␟"&amp;IFERROR(INDEX(PASTE_ALL,$DF631,26)&amp;"","")&amp;"␟"&amp;IFERROR(INDEX(PASTE_ALL,$DF631,27)&amp;"","")&amp;"␟"&amp;IFERROR(INDEX(PASTE_ALL,$DF631,28)&amp;"","")&amp;"␟"&amp;IFERROR(INDEX(PASTE_ALL,$DF631,29)&amp;"","")&amp;"␟"&amp;IFERROR(INDEX(PASTE_ALL,$DF631,30)&amp;"","")&amp;"␟"&amp;IFERROR(INDEX(PASTE_ALL,$DF631,31)&amp;"","")&amp;"␟"&amp;IFERROR(INDEX(PASTE_ALL,$DF631,32)&amp;"","")&amp;"␟"&amp;IFERROR(INDEX(PASTE_ALL,$DF631,33)&amp;"","")&amp;"␟"&amp;IFERROR(INDEX(PASTE_ALL,$DF631,34)&amp;"","")&amp;"␟"&amp;IFERROR(INDEX(PASTE_ALL,$DF631,35)&amp;"","")&amp;"␟"&amp;IFERROR(INDEX(PASTE_ALL,$DF631,36)&amp;"","")&amp;"␟"&amp;IFERROR(INDEX(PASTE_ALL,$DF631,37)&amp;"","")&amp;"␟"&amp;IFERROR(INDEX(PASTE_ALL,$DF631,38)&amp;"","")&amp;"␟"&amp;IFERROR(INDEX(PASTE_ALL,$DF631,39)&amp;"","")&amp;"␟"&amp;IFERROR(INDEX(PASTE_ALL,$DF631,40)&amp;"","")&amp;"␟"&amp;IFERROR(INDEX(PASTE_ALL,$DF631,41)&amp;"","")&amp;"␟"&amp;IFERROR(INDEX(PASTE_ALL,$DF631,42)&amp;"","")&amp;"␟"&amp;IFERROR(INDEX(PASTE_ALL,$DF631,43)&amp;"","")&amp;"␟"&amp;IFERROR(INDEX(PASTE_ALL,$DF631,44)&amp;"","")&amp;"␟"&amp;IFERROR(INDEX(PASTE_ALL,$DF631,45)&amp;"","")&amp;"␟"&amp;IFERROR(INDEX(PASTE_ALL,$DF631,46)&amp;"","")&amp;"␟"&amp;IFERROR(INDEX(PASTE_ALL,$DF631,47)&amp;"","")&amp;"␟"&amp;IFERROR(INDEX(PASTE_ALL,$DF631,48)&amp;"","")&amp;"␟"&amp;IFERROR(INDEX(PASTE_ALL,$DF631,49)&amp;"","")&amp;"␟"&amp;IFERROR(INDEX(PASTE_ALL,$DF631,50)&amp;"","")&amp;"␟"&amp;IFERROR(INDEX(PASTE_ALL,$DF631,51)&amp;"","")&amp;"␟"&amp;IFERROR(INDEX(PASTE_ALL,$DF631,52)&amp;"","")&amp;"␟"&amp;IFERROR(INDEX(PASTE_ALL,$DF631,53)&amp;"","")&amp;"␟"&amp;IFERROR(INDEX(PASTE_ALL,$DF631,54)&amp;"","")&amp;"␟"&amp;IFERROR(INDEX(PASTE_ALL,$DF631,55)&amp;"","")&amp;"␟"&amp;IFERROR(INDEX(PASTE_ALL,$DF631,56)&amp;"","")&amp;"␟"&amp;IFERROR(INDEX(PASTE_ALL,$DF631,57)&amp;"","")&amp;"␟"&amp;IFERROR(INDEX(PASTE_ALL,$DF631,58)&amp;"","")&amp;"␟"&amp;IFERROR(INDEX(PASTE_ALL,$DF631,59)&amp;"","")&amp;"␟"&amp;IFERROR(INDEX(PASTE_ALL,$DF631,60)&amp;"","")," "," "),CHAR(9)," "),CHAR(10)," "),CHAR(13)," "))," ␟","␟"),"␟ ","␟"),"#"&amp;$DE631),"")</f>
        <v/>
      </c>
      <c r="DJ631">
        <f>IF($DI631="",0,IF(SUMPRODUCT(--EXACT($DI$4:DI630,$DI631))&gt;0,1,0))</f>
        <v/>
      </c>
      <c r="DK631">
        <f>IF(AND($DI631&lt;&gt;"",$DJ631=0),1,0)</f>
        <v/>
      </c>
      <c r="DL631">
        <f>DL630+$DK631</f>
        <v/>
      </c>
      <c r="DM631">
        <f>IF(AND($DK631=1,$DL631&lt;=600),1,0)</f>
        <v/>
      </c>
      <c r="DN631">
        <f>IF($DM631=0,"",IF($L$6=0,"",IFERROR(IF(ISNUMBER(INDEX(PASTE_ALL,$DF631,$L$6)),INDEX(PASTE_ALL,$DF631,$L$6),TRIM(SUBSTITUTE(SUBSTITUTE(SUBSTITUTE(SUBSTITUTE(INDEX(PASTE_ALL,$DF631,$L$6)," "," "),CHAR(9)," "),CHAR(10)," "),CHAR(13)," "))),"")))</f>
        <v/>
      </c>
      <c r="DO631">
        <f>IF($DM631=0,"",IF($L$7=0,"",IFERROR(IF(ISNUMBER(INDEX(PASTE_ALL,$DF631,$L$7)),INDEX(PASTE_ALL,$DF631,$L$7),TRIM(SUBSTITUTE(SUBSTITUTE(SUBSTITUTE(SUBSTITUTE(INDEX(PASTE_ALL,$DF631,$L$7)," "," "),CHAR(9)," "),CHAR(10)," "),CHAR(13)," "))),"")))</f>
        <v/>
      </c>
      <c r="DP631">
        <f>IF($DM631=0,"",IF($L$8=0,"",IFERROR(IF(ISNUMBER(INDEX(PASTE_ALL,$DF631,$L$8)),INDEX(PASTE_ALL,$DF631,$L$8),TRIM(SUBSTITUTE(SUBSTITUTE(SUBSTITUTE(SUBSTITUTE(INDEX(PASTE_ALL,$DF631,$L$8)," "," "),CHAR(9)," "),CHAR(10)," "),CHAR(13)," "))),"")))</f>
        <v/>
      </c>
      <c r="DQ631">
        <f>IF($DM631=0,"",IF($L$9=0,"",IFERROR(IF(ISNUMBER(INDEX(PASTE_ALL,$DF631,$L$9)),INDEX(PASTE_ALL,$DF631,$L$9),TRIM(SUBSTITUTE(SUBSTITUTE(SUBSTITUTE(SUBSTITUTE(INDEX(PASTE_ALL,$DF631,$L$9)," "," "),CHAR(9)," "),CHAR(10)," "),CHAR(13)," "))),"")))</f>
        <v/>
      </c>
      <c r="DR631">
        <f>IF($DM631=0,"",IF($L$10=0,"",IFERROR(IF(ISNUMBER(INDEX(PASTE_ALL,$DF631,$L$10)),INDEX(PASTE_ALL,$DF631,$L$10),TRIM(SUBSTITUTE(SUBSTITUTE(SUBSTITUTE(SUBSTITUTE(INDEX(PASTE_ALL,$DF631,$L$10)," "," "),CHAR(9)," "),CHAR(10)," "),CHAR(13)," "))),"")))</f>
        <v/>
      </c>
      <c r="DS631">
        <f>IF($DM631=0,"",IF($L$11=0,"",IFERROR(IF(ISNUMBER(INDEX(PASTE_ALL,$DF631,$L$11)),INDEX(PASTE_ALL,$DF631,$L$11),TRIM(SUBSTITUTE(SUBSTITUTE(SUBSTITUTE(SUBSTITUTE(INDEX(PASTE_ALL,$DF631,$L$11)," "," "),CHAR(9)," "),CHAR(10)," "),CHAR(13)," "))),"")))</f>
        <v/>
      </c>
      <c r="DT631">
        <f>IF($DM631=0,"",IF($L$12=0,"",IFERROR(IF(ISNUMBER(INDEX(PASTE_ALL,$DF631,$L$12)),INDEX(PASTE_ALL,$DF631,$L$12),TRIM(SUBSTITUTE(SUBSTITUTE(SUBSTITUTE(SUBSTITUTE(INDEX(PASTE_ALL,$DF631,$L$12)," "," "),CHAR(9)," "),CHAR(10)," "),CHAR(13)," "))),"")))</f>
        <v/>
      </c>
      <c r="DU631">
        <f>IF($DM631=0,"",IF($L$13=0,"",IFERROR(IF(ISNUMBER(INDEX(PASTE_ALL,$DF631,$L$13)),INDEX(PASTE_ALL,$DF631,$L$13),TRIM(SUBSTITUTE(SUBSTITUTE(SUBSTITUTE(SUBSTITUTE(INDEX(PASTE_ALL,$DF631,$L$13)," "," "),CHAR(9)," "),CHAR(10)," "),CHAR(13)," "))),"")))</f>
        <v/>
      </c>
      <c r="DV631">
        <f>IF($DM631=0,"",IF($L$14=0,"",IFERROR(IF(ISNUMBER(INDEX(PASTE_ALL,$DF631,$L$14)),INDEX(PASTE_ALL,$DF631,$L$14),TRIM(SUBSTITUTE(SUBSTITUTE(SUBSTITUTE(SUBSTITUTE(INDEX(PASTE_ALL,$DF631,$L$14)," "," "),CHAR(9)," "),CHAR(10)," "),CHAR(13)," "))),"")))</f>
        <v/>
      </c>
      <c r="DW631">
        <f>IF($DM631=0,"",IF($L$15=0,"",IFERROR(IF(ISNUMBER(INDEX(PASTE_ALL,$DF631,$L$15)),INDEX(PASTE_ALL,$DF631,$L$15),IF(SUMPRODUCT(--ISNUMBER(FIND({"A","B","C","D","E","F","G","H","I","J","K","L","M","N","O","P","Q","R","S","T","U","V","W","X","Y","Z","0","1","2","3","4","5","6","7","8","9"},UPPER(TRIM(SUBSTITUTE(SUBSTITUTE(SUBSTITUTE(SUBSTITUTE(INDEX(PASTE_ALL,$DF631,$L$15)," "," "),CHAR(9)," "),CHAR(10)," "),CHAR(13)," "))))))&gt;0,TRIM(SUBSTITUTE(SUBSTITUTE(SUBSTITUTE(SUBSTITUTE(INDEX(PASTE_ALL,$DF631,$L$15)," "," "),CHAR(9)," "),CHAR(10)," "),CHAR(13)," ")),"")),"")))</f>
        <v/>
      </c>
      <c r="DX631">
        <f>IF($DM631=0,"",IF($L$16=0,"",IFERROR(IF(ISNUMBER(INDEX(PASTE_ALL,$DF631,$L$16)),INDEX(PASTE_ALL,$DF631,$L$16),SUBSTITUTE(SUBSTITUTE(TRIM(SUBSTITUTE(SUBSTITUTE(SUBSTITUTE(SUBSTITUTE(INDEX(PASTE_ALL,$DF631,$L$16)," "," "),CHAR(9)," "),CHAR(10)," "),CHAR(13)," ")),",",""),"%","")),"")))</f>
        <v/>
      </c>
      <c r="DY631">
        <f>IF($DM631=0,"",IFERROR(IF(ISNUMBER($DX631),$DX631,IF($DX631="","",IF(TRIM($DX631)="",0,IF(AND(AND(SUBSTITUTE(SUBSTITUTE(SUBSTITUTE(SUBSTITUTE(SUBSTITUTE(SUBSTITUTE(SUBSTITUTE(SUBSTITUTE(SUBSTITUTE(SUBSTITUTE(SUBSTITUTE(SUBSTITUTE(SUBSTITUTE(SUBSTITUTE(UPPER(TRIM($DX631)),"0",""),"1",""),"2",""),"3",""),"4",""),"5",""),"6",""),"7",""),"8",""),"9",""),".",""),"+",""),"-",""),"E","")="",LEN(SUBSTITUTE(SUBSTITUTE(MID(UPPER(TRIM($DX631)),1+OR(LEFT(UPPER(TRIM($DX631)),1)="+",LEFT(UPPER(TRIM($DX631)),1)="-"),999),"E+","E"),"E-","E"))=LEN(SUBSTITUTE(SUBSTITUTE(SUBSTITUTE(SUBSTITUTE(MID(UPPER(TRIM($DX631)),1+OR(LEFT(UPPER(TRIM($DX631)),1)="+",LEFT(UPPER(TRIM($DX631)),1)="-"),999),"E+","E"),"E-","E"),"+",""),"-","")),LEN(UPPER(TRIM($DX631)))-LEN(SUBSTITUTE(UPPER(TRIM($DX631)),"E",""))&lt;2,LEN(UPPER(TRIM($DX631)))-LEN(SUBSTITUTE(UPPER(TRIM($DX631)),".",""))&lt;2,IFERROR(FIND(".",UPPER(TRIM($DX631))),0)&lt;IFERROR(FIND("E",UPPER(TRIM($DX631))),999)),ISNUMBER(VALUE(TRIM($DX631)))),VALUE(TRIM($DX631)),"")))),""))</f>
        <v/>
      </c>
      <c r="DZ631">
        <f>IF($DM631=0,"",IF($L$17=0,"",IFERROR(IF(ISNUMBER(INDEX(PASTE_ALL,$DF631,$L$17)),INDEX(PASTE_ALL,$DF631,$L$17),SUBSTITUTE(SUBSTITUTE(TRIM(SUBSTITUTE(SUBSTITUTE(SUBSTITUTE(SUBSTITUTE(INDEX(PASTE_ALL,$DF631,$L$17)," "," "),CHAR(9)," "),CHAR(10)," "),CHAR(13)," ")),",",""),"%","")),"")))</f>
        <v/>
      </c>
      <c r="EA631">
        <f>IF($DM631=0,"",IFERROR(IF(ISNUMBER($DZ631),$DZ631,IF($DZ631="","",IF(TRIM($DZ631)="",0,IF(AND(AND(SUBSTITUTE(SUBSTITUTE(SUBSTITUTE(SUBSTITUTE(SUBSTITUTE(SUBSTITUTE(SUBSTITUTE(SUBSTITUTE(SUBSTITUTE(SUBSTITUTE(SUBSTITUTE(SUBSTITUTE(SUBSTITUTE(SUBSTITUTE(UPPER(TRIM($DZ631)),"0",""),"1",""),"2",""),"3",""),"4",""),"5",""),"6",""),"7",""),"8",""),"9",""),".",""),"+",""),"-",""),"E","")="",LEN(SUBSTITUTE(SUBSTITUTE(MID(UPPER(TRIM($DZ631)),1+OR(LEFT(UPPER(TRIM($DZ631)),1)="+",LEFT(UPPER(TRIM($DZ631)),1)="-"),999),"E+","E"),"E-","E"))=LEN(SUBSTITUTE(SUBSTITUTE(SUBSTITUTE(SUBSTITUTE(MID(UPPER(TRIM($DZ631)),1+OR(LEFT(UPPER(TRIM($DZ631)),1)="+",LEFT(UPPER(TRIM($DZ631)),1)="-"),999),"E+","E"),"E-","E"),"+",""),"-","")),LEN(UPPER(TRIM($DZ631)))-LEN(SUBSTITUTE(UPPER(TRIM($DZ631)),"E",""))&lt;2,LEN(UPPER(TRIM($DZ631)))-LEN(SUBSTITUTE(UPPER(TRIM($DZ631)),".",""))&lt;2,IFERROR(FIND(".",UPPER(TRIM($DZ631))),0)&lt;IFERROR(FIND("E",UPPER(TRIM($DZ631))),999)),ISNUMBER(VALUE(TRIM($DZ631)))),VALUE(TRIM($DZ631)),"")))),""))</f>
        <v/>
      </c>
      <c r="EB631">
        <f>IF($DM631=0,"",IF($L$18=0,"",IFERROR(IF(UPPER(TRIM(SUBSTITUTE(SUBSTITUTE(SUBSTITUTE(SUBSTITUTE(INDEX(PASTE_ALL,$DF631,$L$18)," "," "),CHAR(9)," "),CHAR(10)," "),CHAR(13)," ")))="READY","Ready",IF(UPPER(TRIM(SUBSTITUTE(SUBSTITUTE(SUBSTITUTE(SUBSTITUTE(INDEX(PASTE_ALL,$DF631,$L$18)," "," "),CHAR(9)," "),CHAR(10)," "),CHAR(13)," ")))="PM","PM",IF(OR(UPPER(TRIM(SUBSTITUTE(SUBSTITUTE(SUBSTITUTE(SUBSTITUTE(INDEX(PASTE_ALL,$DF631,$L$18)," "," "),CHAR(9)," "),CHAR(10)," "),CHAR(13)," ")))="OT",UPPER(TRIM(SUBSTITUTE(SUBSTITUTE(SUBSTITUTE(SUBSTITUTE(INDEX(PASTE_ALL,$DF631,$L$18)," "," "),CHAR(9)," "),CHAR(10)," "),CHAR(13)," ")))="OVERTIME",UPPER(TRIM(SUBSTITUTE(SUBSTITUTE(SUBSTITUTE(SUBSTITUTE(INDEX(PASTE_ALL,$DF631,$L$18)," "," "),CHAR(9)," "),CHAR(10)," "),CHAR(13)," ")))="TRIAL"),"OT",TRIM(SUBSTITUTE(SUBSTITUTE(SUBSTITUTE(SUBSTITUTE(INDEX(PASTE_ALL,$DF631,$L$18)," "," "),CHAR(9)," "),CHAR(10)," "),CHAR(13)," "))))),"")))</f>
        <v/>
      </c>
      <c r="EC631">
        <f>IF($DM631=0,"",IF($L$19=0,"",IFERROR(IF(ISNUMBER(INDEX(PASTE_ALL,$DF631,$L$19)),INDEX(PASTE_ALL,$DF631,$L$19),TRIM(SUBSTITUTE(SUBSTITUTE(SUBSTITUTE(SUBSTITUTE(INDEX(PASTE_ALL,$DF631,$L$19)," "," "),CHAR(9)," "),CHAR(10)," "),CHAR(13)," "))),"")))</f>
        <v/>
      </c>
      <c r="ED631">
        <f>IF($DM631=0,"",MATCH(1,INDEX(EXACT($DH$5:DH631,$DH631)*$DM$5:DM631,0),0))</f>
        <v/>
      </c>
      <c r="EE631">
        <f>IF($DM631=0,0,IF($ED631=$DE631,1,0))</f>
        <v/>
      </c>
      <c r="EF631">
        <f>EF630+$EE631</f>
        <v/>
      </c>
      <c r="EG631">
        <f>IF($DM631=0,"",INDEX($EF$5:$EF$1003,$ED631))</f>
        <v/>
      </c>
      <c r="EH631">
        <f>IF($DM631=0,"",IF($DO631&lt;&gt;"","",IFERROR(LOOKUP(2,1/(($EG$4:EG630=$EG631)*($DO$4:DO630&lt;&gt;"")),$DO$4:DO630),"")))</f>
        <v/>
      </c>
      <c r="EI631">
        <f>IF($DM631=0,"",IF($DO631&lt;&gt;"",$DO631,$EH631))</f>
        <v/>
      </c>
      <c r="EJ631">
        <f>IF($DM631=0,"",IF($EI631="",0,IF(OR(ISNUMBER($EI631),AND(AND(SUBSTITUTE(SUBSTITUTE(SUBSTITUTE(SUBSTITUTE(SUBSTITUTE(SUBSTITUTE(SUBSTITUTE(SUBSTITUTE(SUBSTITUTE(SUBSTITUTE(SUBSTITUTE(SUBSTITUTE(SUBSTITUTE(SUBSTITUTE(UPPER($EI631),"0",""),"1",""),"2",""),"3",""),"4",""),"5",""),"6",""),"7",""),"8",""),"9",""),".",""),"+",""),"-",""),"E","")="",LEN(SUBSTITUTE(SUBSTITUTE(MID(UPPER($EI631),1+OR(LEFT(UPPER($EI631),1)="+",LEFT(UPPER($EI631),1)="-"),999),"E+","E"),"E-","E"))=LEN(SUBSTITUTE(SUBSTITUTE(SUBSTITUTE(SUBSTITUTE(MID(UPPER($EI631),1+OR(LEFT(UPPER($EI631),1)="+",LEFT(UPPER($EI631),1)="-"),999),"E+","E"),"E-","E"),"+",""),"-","")),LEN(UPPER($EI631))-LEN(SUBSTITUTE(UPPER($EI631),"E",""))&lt;2,LEN(UPPER($EI631))-LEN(SUBSTITUTE(UPPER($EI631),".",""))&lt;2,IFERROR(FIND(".",UPPER($EI631)),0)&lt;IFERROR(FIND("E",UPPER($EI631)),999)),ISNUMBER(VALUE($EI631)))),1,2)))</f>
        <v/>
      </c>
      <c r="EK631">
        <f>IF($DM631=0,"",IF($EJ631=1,IF(ISNUMBER($EI631),$EI631,VALUE($EI631)),IF($EJ631=2,$DE631,0)))</f>
        <v/>
      </c>
      <c r="EL631">
        <f>IF($DM631=0,"",COUNTIF($EG$5:$EG$1003,"&lt;"&amp;$EG631)+SUMPRODUCT(($EG$5:$EG$1003=$EG631)*(($EJ$5:$EJ$1003&lt;$EJ631)+($EJ$5:$EJ$1003=$EJ631)*(($EK$5:$EK$1003&lt;$EK631)+($EK$5:$EK$1003=$EK631)*($DE$5:$DE$1003&lt;$DE631))))+1)</f>
        <v/>
      </c>
      <c r="EM631">
        <f>IF($DM631=0,"",$EL631+$EG631-1)</f>
        <v/>
      </c>
      <c r="EN631">
        <f>IF($DM631=0,0,IFERROR(MATCH(1,INDEX(--(TRIM(SUBSTITUTE(SUBSTITUTE(SUBSTITUTE(SUBSTITUTE(LINES_NAME&amp;""," "," "),CHAR(9)," "),CHAR(10)," "),CHAR(13)," "))=$DH631),0),0),0))</f>
        <v/>
      </c>
      <c r="EO631">
        <f>IF($EN631=0,0,IF(OR(UPPER(TRIM(INDEX(LINES_SCHEDULED,$EN631)&amp;""))="YES",UPPER(TRIM(INDEX(LINES_SCHEDULED,$EN631)&amp;""))="Y",UPPER(TRIM(INDEX(LINES_SCHEDULED,$EN631)&amp;""))="X"),1,0))</f>
        <v/>
      </c>
      <c r="EP631">
        <f>IF($DM631=0,"",IF(COUNTIFS($EG$5:$EG$1003,$EG631,$EB$5:$EB$1003,"Ready")&gt;0,"READY",IF(COUNTIFS($EG$5:$EG$1003,$EG631,$EB$5:$EB$1003,"PM")&gt;0,"PM",IF(COUNTIFS($EG$5:$EG$1003,$EG631,$EB$5:$EB$1003,"OT")&gt;0,"OT",""))))</f>
        <v/>
      </c>
      <c r="EQ631">
        <f>IF($EN631=0,"",UPPER(TRIM(INDEX(LINES_STATUS,$EN631)&amp;"")))</f>
        <v/>
      </c>
      <c r="ER631">
        <f>IF($DM631=0,"",IF(OR($EQ631="READY",$EQ631="PM",$EQ631="OT"),$EQ631,$EP631))</f>
        <v/>
      </c>
      <c r="ES631">
        <f>IF($DM631=0,"",IF(AND($DV631&lt;&gt;"",UPPER($DV631)&lt;&gt;"N"),"allergen",IF(ISNUMBER(SEARCH("oil",$DQ631)),"oil",IF(OR(EXACT($DS631,"A662"),EXACT($DS631,"A624")),"bulk",""))))</f>
        <v/>
      </c>
      <c r="ET631">
        <f>IF($DM631=0,"",IF(OR($EA631="",$EA631=0),"",$EA631/100))</f>
        <v/>
      </c>
      <c r="EU631">
        <f>IF(OR($ET631="",$DY631=""),"",INT($DY631*(1-$ET631)+0.5))</f>
        <v/>
      </c>
      <c r="EW631" t="n">
        <v>627</v>
      </c>
      <c r="EX631">
        <f>IFERROR(MATCH($EW631,$EM$5:$EM$1003,0),0)</f>
        <v/>
      </c>
      <c r="EY631">
        <f>IF($EW631&gt;$B$12,"",IF($EX631&gt;0,"row","spacer"))</f>
        <v/>
      </c>
      <c r="EZ631">
        <f>IF(AND($EY631="row",$EY630&lt;&gt;"row"),1,0)</f>
        <v/>
      </c>
      <c r="FA631">
        <f>IF(AND($EY631="row",$EY632&lt;&gt;"row"),1,0)</f>
        <v/>
      </c>
      <c r="FB631">
        <f>IF($EZ631=1,IFERROR(IF(ISNUMBER(INDEX(PASTE_ALL,INDEX($DF$5:$DF$1003,$EX631),$B$37)),INDEX(PASTE_ALL,INDEX($DF$5:$DF$1003,$EX631),$B$37),INDEX($DH$5:$DH$1003,$EX631)),INDEX($DH$5:$DH$1003,$EX631)),"")</f>
        <v/>
      </c>
      <c r="FC631">
        <f>IF($EY631="row",INDEX($ER$5:$ER$1003,$EX631),"")</f>
        <v/>
      </c>
      <c r="FD631">
        <f>IF($EY631="row",INDEX($DN$5:$DN$1003,$EX631),"")</f>
        <v/>
      </c>
      <c r="FE631">
        <f>IF($EY631="row",INDEX($DO$5:$DO$1003,$EX631),"")</f>
        <v/>
      </c>
      <c r="FF631">
        <f>IF($EY631="row",INDEX($DP$5:$DP$1003,$EX631),"")</f>
        <v/>
      </c>
      <c r="FG631">
        <f>IF($EY631="row",INDEX($DQ$5:$DQ$1003,$EX631),"")</f>
        <v/>
      </c>
      <c r="FH631">
        <f>IF($EY631="row",INDEX($DR$5:$DR$1003,$EX631),"")</f>
        <v/>
      </c>
      <c r="FI631">
        <f>IF($EY631="row",INDEX($DS$5:$DS$1003,$EX631),"")</f>
        <v/>
      </c>
      <c r="FJ631">
        <f>IF($EY631="row",INDEX($DT$5:$DT$1003,$EX631),"")</f>
        <v/>
      </c>
      <c r="FK631">
        <f>IF($EY631="row",INDEX($DU$5:$DU$1003,$EX631),"")</f>
        <v/>
      </c>
      <c r="FL631">
        <f>IF($EY631="row",INDEX($DV$5:$DV$1003,$EX631),"")</f>
        <v/>
      </c>
      <c r="FM631">
        <f>IF($EY631="row",INDEX($DW$5:$DW$1003,$EX631),"")</f>
        <v/>
      </c>
      <c r="FN631">
        <f>IF($EY631="row",INDEX($DY$5:$DY$1003,$EX631),"")</f>
        <v/>
      </c>
      <c r="FO631">
        <f>IF($EY631="row",INDEX($EA$5:$EA$1003,$EX631),"")</f>
        <v/>
      </c>
      <c r="FP631">
        <f>IF($EY631="row",INDEX($EC$5:$EC$1003,$EX631),"")</f>
        <v/>
      </c>
      <c r="FQ631">
        <f>IF($EY631="row",INDEX($ET$5:$ET$1003,$EX631),"")</f>
        <v/>
      </c>
      <c r="FR631">
        <f>IF($EY631="row",INDEX($EU$5:$EU$1003,$EX631),"")</f>
        <v/>
      </c>
      <c r="FS631">
        <f>IF(AND($EY631="row",$EY630="row"),IF(OR(INDEX($DT$5:$DT$1003,$EX630)="",INDEX($DT$5:$DT$1003,$EX631)=""),"",IF(NOT(EXACT(INDEX($DT$5:$DT$1003,$EX630),INDEX($DT$5:$DT$1003,$EX631))),"S4",IF(NOT(EXACT(INDEX($DS$5:$DS$1003,$EX630),INDEX($DS$5:$DS$1003,$EX631))),"S3",IF(NOT(EXACT(INDEX($DR$5:$DR$1003,$EX630),INDEX($DR$5:$DR$1003,$EX631))),"S1 Count Change","S1")))),"")</f>
        <v/>
      </c>
      <c r="FT631">
        <f>IF($EY631="row",INDEX($ES$5:$ES$1003,$EX631),"")</f>
        <v/>
      </c>
      <c r="FU631">
        <f>IF($EY631="row",INDEX($EO$5:$EO$1003,$EX631),0)</f>
        <v/>
      </c>
      <c r="FV631">
        <f>IF($FS631="S1 Count Change",1,0)</f>
        <v/>
      </c>
    </row>
    <row r="632">
      <c r="DA632" t="n">
        <v>628</v>
      </c>
      <c r="DB632">
        <f>IF($B$37=0,"",IFERROR(TRIM(SUBSTITUTE(SUBSTITUTE(SUBSTITUTE(SUBSTITUTE(INDEX(PASTE_ALL,628,$B$37)," "," "),CHAR(9)," "),CHAR(10)," "),CHAR(13)," ")),""))</f>
        <v/>
      </c>
      <c r="DC632">
        <f>IF(AND(628&gt;HEADER_ROW,UPPER(DB632)="LEGEND"),1,0)</f>
        <v/>
      </c>
      <c r="DE632" t="n">
        <v>628</v>
      </c>
      <c r="DF632">
        <f>HEADER_ROW+$DE632</f>
        <v/>
      </c>
      <c r="DG632">
        <f>IF(AND($DF632&lt;=1000,$DF632&lt;$B$8),1,0)</f>
        <v/>
      </c>
      <c r="DH632">
        <f>IF($DG632=1,IFERROR(INDEX($DB$5:$DB$1004,$DF632),""),"")</f>
        <v/>
      </c>
      <c r="DI632">
        <f>IF(AND($DG632=1,$DH632&lt;&gt;""),IFERROR(SUBSTITUTE(SUBSTITUTE(TRIM(SUBSTITUTE(SUBSTITUTE(SUBSTITUTE(SUBSTITUTE(IFERROR(INDEX(PASTE_ALL,$DF632,1)&amp;"","")&amp;"␟"&amp;IFERROR(INDEX(PASTE_ALL,$DF632,2)&amp;"","")&amp;"␟"&amp;IFERROR(INDEX(PASTE_ALL,$DF632,3)&amp;"","")&amp;"␟"&amp;IFERROR(INDEX(PASTE_ALL,$DF632,4)&amp;"","")&amp;"␟"&amp;IFERROR(INDEX(PASTE_ALL,$DF632,5)&amp;"","")&amp;"␟"&amp;IFERROR(INDEX(PASTE_ALL,$DF632,6)&amp;"","")&amp;"␟"&amp;IFERROR(INDEX(PASTE_ALL,$DF632,7)&amp;"","")&amp;"␟"&amp;IFERROR(INDEX(PASTE_ALL,$DF632,8)&amp;"","")&amp;"␟"&amp;IFERROR(INDEX(PASTE_ALL,$DF632,9)&amp;"","")&amp;"␟"&amp;IFERROR(INDEX(PASTE_ALL,$DF632,10)&amp;"","")&amp;"␟"&amp;IFERROR(INDEX(PASTE_ALL,$DF632,11)&amp;"","")&amp;"␟"&amp;IFERROR(INDEX(PASTE_ALL,$DF632,12)&amp;"","")&amp;"␟"&amp;IFERROR(INDEX(PASTE_ALL,$DF632,13)&amp;"","")&amp;"␟"&amp;IFERROR(INDEX(PASTE_ALL,$DF632,14)&amp;"","")&amp;"␟"&amp;IFERROR(INDEX(PASTE_ALL,$DF632,15)&amp;"","")&amp;"␟"&amp;IFERROR(INDEX(PASTE_ALL,$DF632,16)&amp;"","")&amp;"␟"&amp;IFERROR(INDEX(PASTE_ALL,$DF632,17)&amp;"","")&amp;"␟"&amp;IFERROR(INDEX(PASTE_ALL,$DF632,18)&amp;"","")&amp;"␟"&amp;IFERROR(INDEX(PASTE_ALL,$DF632,19)&amp;"","")&amp;"␟"&amp;IFERROR(INDEX(PASTE_ALL,$DF632,20)&amp;"","")&amp;"␟"&amp;IFERROR(INDEX(PASTE_ALL,$DF632,21)&amp;"","")&amp;"␟"&amp;IFERROR(INDEX(PASTE_ALL,$DF632,22)&amp;"","")&amp;"␟"&amp;IFERROR(INDEX(PASTE_ALL,$DF632,23)&amp;"","")&amp;"␟"&amp;IFERROR(INDEX(PASTE_ALL,$DF632,24)&amp;"","")&amp;"␟"&amp;IFERROR(INDEX(PASTE_ALL,$DF632,25)&amp;"","")&amp;"␟"&amp;IFERROR(INDEX(PASTE_ALL,$DF632,26)&amp;"","")&amp;"␟"&amp;IFERROR(INDEX(PASTE_ALL,$DF632,27)&amp;"","")&amp;"␟"&amp;IFERROR(INDEX(PASTE_ALL,$DF632,28)&amp;"","")&amp;"␟"&amp;IFERROR(INDEX(PASTE_ALL,$DF632,29)&amp;"","")&amp;"␟"&amp;IFERROR(INDEX(PASTE_ALL,$DF632,30)&amp;"","")&amp;"␟"&amp;IFERROR(INDEX(PASTE_ALL,$DF632,31)&amp;"","")&amp;"␟"&amp;IFERROR(INDEX(PASTE_ALL,$DF632,32)&amp;"","")&amp;"␟"&amp;IFERROR(INDEX(PASTE_ALL,$DF632,33)&amp;"","")&amp;"␟"&amp;IFERROR(INDEX(PASTE_ALL,$DF632,34)&amp;"","")&amp;"␟"&amp;IFERROR(INDEX(PASTE_ALL,$DF632,35)&amp;"","")&amp;"␟"&amp;IFERROR(INDEX(PASTE_ALL,$DF632,36)&amp;"","")&amp;"␟"&amp;IFERROR(INDEX(PASTE_ALL,$DF632,37)&amp;"","")&amp;"␟"&amp;IFERROR(INDEX(PASTE_ALL,$DF632,38)&amp;"","")&amp;"␟"&amp;IFERROR(INDEX(PASTE_ALL,$DF632,39)&amp;"","")&amp;"␟"&amp;IFERROR(INDEX(PASTE_ALL,$DF632,40)&amp;"","")&amp;"␟"&amp;IFERROR(INDEX(PASTE_ALL,$DF632,41)&amp;"","")&amp;"␟"&amp;IFERROR(INDEX(PASTE_ALL,$DF632,42)&amp;"","")&amp;"␟"&amp;IFERROR(INDEX(PASTE_ALL,$DF632,43)&amp;"","")&amp;"␟"&amp;IFERROR(INDEX(PASTE_ALL,$DF632,44)&amp;"","")&amp;"␟"&amp;IFERROR(INDEX(PASTE_ALL,$DF632,45)&amp;"","")&amp;"␟"&amp;IFERROR(INDEX(PASTE_ALL,$DF632,46)&amp;"","")&amp;"␟"&amp;IFERROR(INDEX(PASTE_ALL,$DF632,47)&amp;"","")&amp;"␟"&amp;IFERROR(INDEX(PASTE_ALL,$DF632,48)&amp;"","")&amp;"␟"&amp;IFERROR(INDEX(PASTE_ALL,$DF632,49)&amp;"","")&amp;"␟"&amp;IFERROR(INDEX(PASTE_ALL,$DF632,50)&amp;"","")&amp;"␟"&amp;IFERROR(INDEX(PASTE_ALL,$DF632,51)&amp;"","")&amp;"␟"&amp;IFERROR(INDEX(PASTE_ALL,$DF632,52)&amp;"","")&amp;"␟"&amp;IFERROR(INDEX(PASTE_ALL,$DF632,53)&amp;"","")&amp;"␟"&amp;IFERROR(INDEX(PASTE_ALL,$DF632,54)&amp;"","")&amp;"␟"&amp;IFERROR(INDEX(PASTE_ALL,$DF632,55)&amp;"","")&amp;"␟"&amp;IFERROR(INDEX(PASTE_ALL,$DF632,56)&amp;"","")&amp;"␟"&amp;IFERROR(INDEX(PASTE_ALL,$DF632,57)&amp;"","")&amp;"␟"&amp;IFERROR(INDEX(PASTE_ALL,$DF632,58)&amp;"","")&amp;"␟"&amp;IFERROR(INDEX(PASTE_ALL,$DF632,59)&amp;"","")&amp;"␟"&amp;IFERROR(INDEX(PASTE_ALL,$DF632,60)&amp;"","")," "," "),CHAR(9)," "),CHAR(10)," "),CHAR(13)," "))," ␟","␟"),"␟ ","␟"),"#"&amp;$DE632),"")</f>
        <v/>
      </c>
      <c r="DJ632">
        <f>IF($DI632="",0,IF(SUMPRODUCT(--EXACT($DI$4:DI631,$DI632))&gt;0,1,0))</f>
        <v/>
      </c>
      <c r="DK632">
        <f>IF(AND($DI632&lt;&gt;"",$DJ632=0),1,0)</f>
        <v/>
      </c>
      <c r="DL632">
        <f>DL631+$DK632</f>
        <v/>
      </c>
      <c r="DM632">
        <f>IF(AND($DK632=1,$DL632&lt;=600),1,0)</f>
        <v/>
      </c>
      <c r="DN632">
        <f>IF($DM632=0,"",IF($L$6=0,"",IFERROR(IF(ISNUMBER(INDEX(PASTE_ALL,$DF632,$L$6)),INDEX(PASTE_ALL,$DF632,$L$6),TRIM(SUBSTITUTE(SUBSTITUTE(SUBSTITUTE(SUBSTITUTE(INDEX(PASTE_ALL,$DF632,$L$6)," "," "),CHAR(9)," "),CHAR(10)," "),CHAR(13)," "))),"")))</f>
        <v/>
      </c>
      <c r="DO632">
        <f>IF($DM632=0,"",IF($L$7=0,"",IFERROR(IF(ISNUMBER(INDEX(PASTE_ALL,$DF632,$L$7)),INDEX(PASTE_ALL,$DF632,$L$7),TRIM(SUBSTITUTE(SUBSTITUTE(SUBSTITUTE(SUBSTITUTE(INDEX(PASTE_ALL,$DF632,$L$7)," "," "),CHAR(9)," "),CHAR(10)," "),CHAR(13)," "))),"")))</f>
        <v/>
      </c>
      <c r="DP632">
        <f>IF($DM632=0,"",IF($L$8=0,"",IFERROR(IF(ISNUMBER(INDEX(PASTE_ALL,$DF632,$L$8)),INDEX(PASTE_ALL,$DF632,$L$8),TRIM(SUBSTITUTE(SUBSTITUTE(SUBSTITUTE(SUBSTITUTE(INDEX(PASTE_ALL,$DF632,$L$8)," "," "),CHAR(9)," "),CHAR(10)," "),CHAR(13)," "))),"")))</f>
        <v/>
      </c>
      <c r="DQ632">
        <f>IF($DM632=0,"",IF($L$9=0,"",IFERROR(IF(ISNUMBER(INDEX(PASTE_ALL,$DF632,$L$9)),INDEX(PASTE_ALL,$DF632,$L$9),TRIM(SUBSTITUTE(SUBSTITUTE(SUBSTITUTE(SUBSTITUTE(INDEX(PASTE_ALL,$DF632,$L$9)," "," "),CHAR(9)," "),CHAR(10)," "),CHAR(13)," "))),"")))</f>
        <v/>
      </c>
      <c r="DR632">
        <f>IF($DM632=0,"",IF($L$10=0,"",IFERROR(IF(ISNUMBER(INDEX(PASTE_ALL,$DF632,$L$10)),INDEX(PASTE_ALL,$DF632,$L$10),TRIM(SUBSTITUTE(SUBSTITUTE(SUBSTITUTE(SUBSTITUTE(INDEX(PASTE_ALL,$DF632,$L$10)," "," "),CHAR(9)," "),CHAR(10)," "),CHAR(13)," "))),"")))</f>
        <v/>
      </c>
      <c r="DS632">
        <f>IF($DM632=0,"",IF($L$11=0,"",IFERROR(IF(ISNUMBER(INDEX(PASTE_ALL,$DF632,$L$11)),INDEX(PASTE_ALL,$DF632,$L$11),TRIM(SUBSTITUTE(SUBSTITUTE(SUBSTITUTE(SUBSTITUTE(INDEX(PASTE_ALL,$DF632,$L$11)," "," "),CHAR(9)," "),CHAR(10)," "),CHAR(13)," "))),"")))</f>
        <v/>
      </c>
      <c r="DT632">
        <f>IF($DM632=0,"",IF($L$12=0,"",IFERROR(IF(ISNUMBER(INDEX(PASTE_ALL,$DF632,$L$12)),INDEX(PASTE_ALL,$DF632,$L$12),TRIM(SUBSTITUTE(SUBSTITUTE(SUBSTITUTE(SUBSTITUTE(INDEX(PASTE_ALL,$DF632,$L$12)," "," "),CHAR(9)," "),CHAR(10)," "),CHAR(13)," "))),"")))</f>
        <v/>
      </c>
      <c r="DU632">
        <f>IF($DM632=0,"",IF($L$13=0,"",IFERROR(IF(ISNUMBER(INDEX(PASTE_ALL,$DF632,$L$13)),INDEX(PASTE_ALL,$DF632,$L$13),TRIM(SUBSTITUTE(SUBSTITUTE(SUBSTITUTE(SUBSTITUTE(INDEX(PASTE_ALL,$DF632,$L$13)," "," "),CHAR(9)," "),CHAR(10)," "),CHAR(13)," "))),"")))</f>
        <v/>
      </c>
      <c r="DV632">
        <f>IF($DM632=0,"",IF($L$14=0,"",IFERROR(IF(ISNUMBER(INDEX(PASTE_ALL,$DF632,$L$14)),INDEX(PASTE_ALL,$DF632,$L$14),TRIM(SUBSTITUTE(SUBSTITUTE(SUBSTITUTE(SUBSTITUTE(INDEX(PASTE_ALL,$DF632,$L$14)," "," "),CHAR(9)," "),CHAR(10)," "),CHAR(13)," "))),"")))</f>
        <v/>
      </c>
      <c r="DW632">
        <f>IF($DM632=0,"",IF($L$15=0,"",IFERROR(IF(ISNUMBER(INDEX(PASTE_ALL,$DF632,$L$15)),INDEX(PASTE_ALL,$DF632,$L$15),IF(SUMPRODUCT(--ISNUMBER(FIND({"A","B","C","D","E","F","G","H","I","J","K","L","M","N","O","P","Q","R","S","T","U","V","W","X","Y","Z","0","1","2","3","4","5","6","7","8","9"},UPPER(TRIM(SUBSTITUTE(SUBSTITUTE(SUBSTITUTE(SUBSTITUTE(INDEX(PASTE_ALL,$DF632,$L$15)," "," "),CHAR(9)," "),CHAR(10)," "),CHAR(13)," "))))))&gt;0,TRIM(SUBSTITUTE(SUBSTITUTE(SUBSTITUTE(SUBSTITUTE(INDEX(PASTE_ALL,$DF632,$L$15)," "," "),CHAR(9)," "),CHAR(10)," "),CHAR(13)," ")),"")),"")))</f>
        <v/>
      </c>
      <c r="DX632">
        <f>IF($DM632=0,"",IF($L$16=0,"",IFERROR(IF(ISNUMBER(INDEX(PASTE_ALL,$DF632,$L$16)),INDEX(PASTE_ALL,$DF632,$L$16),SUBSTITUTE(SUBSTITUTE(TRIM(SUBSTITUTE(SUBSTITUTE(SUBSTITUTE(SUBSTITUTE(INDEX(PASTE_ALL,$DF632,$L$16)," "," "),CHAR(9)," "),CHAR(10)," "),CHAR(13)," ")),",",""),"%","")),"")))</f>
        <v/>
      </c>
      <c r="DY632">
        <f>IF($DM632=0,"",IFERROR(IF(ISNUMBER($DX632),$DX632,IF($DX632="","",IF(TRIM($DX632)="",0,IF(AND(AND(SUBSTITUTE(SUBSTITUTE(SUBSTITUTE(SUBSTITUTE(SUBSTITUTE(SUBSTITUTE(SUBSTITUTE(SUBSTITUTE(SUBSTITUTE(SUBSTITUTE(SUBSTITUTE(SUBSTITUTE(SUBSTITUTE(SUBSTITUTE(UPPER(TRIM($DX632)),"0",""),"1",""),"2",""),"3",""),"4",""),"5",""),"6",""),"7",""),"8",""),"9",""),".",""),"+",""),"-",""),"E","")="",LEN(SUBSTITUTE(SUBSTITUTE(MID(UPPER(TRIM($DX632)),1+OR(LEFT(UPPER(TRIM($DX632)),1)="+",LEFT(UPPER(TRIM($DX632)),1)="-"),999),"E+","E"),"E-","E"))=LEN(SUBSTITUTE(SUBSTITUTE(SUBSTITUTE(SUBSTITUTE(MID(UPPER(TRIM($DX632)),1+OR(LEFT(UPPER(TRIM($DX632)),1)="+",LEFT(UPPER(TRIM($DX632)),1)="-"),999),"E+","E"),"E-","E"),"+",""),"-","")),LEN(UPPER(TRIM($DX632)))-LEN(SUBSTITUTE(UPPER(TRIM($DX632)),"E",""))&lt;2,LEN(UPPER(TRIM($DX632)))-LEN(SUBSTITUTE(UPPER(TRIM($DX632)),".",""))&lt;2,IFERROR(FIND(".",UPPER(TRIM($DX632))),0)&lt;IFERROR(FIND("E",UPPER(TRIM($DX632))),999)),ISNUMBER(VALUE(TRIM($DX632)))),VALUE(TRIM($DX632)),"")))),""))</f>
        <v/>
      </c>
      <c r="DZ632">
        <f>IF($DM632=0,"",IF($L$17=0,"",IFERROR(IF(ISNUMBER(INDEX(PASTE_ALL,$DF632,$L$17)),INDEX(PASTE_ALL,$DF632,$L$17),SUBSTITUTE(SUBSTITUTE(TRIM(SUBSTITUTE(SUBSTITUTE(SUBSTITUTE(SUBSTITUTE(INDEX(PASTE_ALL,$DF632,$L$17)," "," "),CHAR(9)," "),CHAR(10)," "),CHAR(13)," ")),",",""),"%","")),"")))</f>
        <v/>
      </c>
      <c r="EA632">
        <f>IF($DM632=0,"",IFERROR(IF(ISNUMBER($DZ632),$DZ632,IF($DZ632="","",IF(TRIM($DZ632)="",0,IF(AND(AND(SUBSTITUTE(SUBSTITUTE(SUBSTITUTE(SUBSTITUTE(SUBSTITUTE(SUBSTITUTE(SUBSTITUTE(SUBSTITUTE(SUBSTITUTE(SUBSTITUTE(SUBSTITUTE(SUBSTITUTE(SUBSTITUTE(SUBSTITUTE(UPPER(TRIM($DZ632)),"0",""),"1",""),"2",""),"3",""),"4",""),"5",""),"6",""),"7",""),"8",""),"9",""),".",""),"+",""),"-",""),"E","")="",LEN(SUBSTITUTE(SUBSTITUTE(MID(UPPER(TRIM($DZ632)),1+OR(LEFT(UPPER(TRIM($DZ632)),1)="+",LEFT(UPPER(TRIM($DZ632)),1)="-"),999),"E+","E"),"E-","E"))=LEN(SUBSTITUTE(SUBSTITUTE(SUBSTITUTE(SUBSTITUTE(MID(UPPER(TRIM($DZ632)),1+OR(LEFT(UPPER(TRIM($DZ632)),1)="+",LEFT(UPPER(TRIM($DZ632)),1)="-"),999),"E+","E"),"E-","E"),"+",""),"-","")),LEN(UPPER(TRIM($DZ632)))-LEN(SUBSTITUTE(UPPER(TRIM($DZ632)),"E",""))&lt;2,LEN(UPPER(TRIM($DZ632)))-LEN(SUBSTITUTE(UPPER(TRIM($DZ632)),".",""))&lt;2,IFERROR(FIND(".",UPPER(TRIM($DZ632))),0)&lt;IFERROR(FIND("E",UPPER(TRIM($DZ632))),999)),ISNUMBER(VALUE(TRIM($DZ632)))),VALUE(TRIM($DZ632)),"")))),""))</f>
        <v/>
      </c>
      <c r="EB632">
        <f>IF($DM632=0,"",IF($L$18=0,"",IFERROR(IF(UPPER(TRIM(SUBSTITUTE(SUBSTITUTE(SUBSTITUTE(SUBSTITUTE(INDEX(PASTE_ALL,$DF632,$L$18)," "," "),CHAR(9)," "),CHAR(10)," "),CHAR(13)," ")))="READY","Ready",IF(UPPER(TRIM(SUBSTITUTE(SUBSTITUTE(SUBSTITUTE(SUBSTITUTE(INDEX(PASTE_ALL,$DF632,$L$18)," "," "),CHAR(9)," "),CHAR(10)," "),CHAR(13)," ")))="PM","PM",IF(OR(UPPER(TRIM(SUBSTITUTE(SUBSTITUTE(SUBSTITUTE(SUBSTITUTE(INDEX(PASTE_ALL,$DF632,$L$18)," "," "),CHAR(9)," "),CHAR(10)," "),CHAR(13)," ")))="OT",UPPER(TRIM(SUBSTITUTE(SUBSTITUTE(SUBSTITUTE(SUBSTITUTE(INDEX(PASTE_ALL,$DF632,$L$18)," "," "),CHAR(9)," "),CHAR(10)," "),CHAR(13)," ")))="OVERTIME",UPPER(TRIM(SUBSTITUTE(SUBSTITUTE(SUBSTITUTE(SUBSTITUTE(INDEX(PASTE_ALL,$DF632,$L$18)," "," "),CHAR(9)," "),CHAR(10)," "),CHAR(13)," ")))="TRIAL"),"OT",TRIM(SUBSTITUTE(SUBSTITUTE(SUBSTITUTE(SUBSTITUTE(INDEX(PASTE_ALL,$DF632,$L$18)," "," "),CHAR(9)," "),CHAR(10)," "),CHAR(13)," "))))),"")))</f>
        <v/>
      </c>
      <c r="EC632">
        <f>IF($DM632=0,"",IF($L$19=0,"",IFERROR(IF(ISNUMBER(INDEX(PASTE_ALL,$DF632,$L$19)),INDEX(PASTE_ALL,$DF632,$L$19),TRIM(SUBSTITUTE(SUBSTITUTE(SUBSTITUTE(SUBSTITUTE(INDEX(PASTE_ALL,$DF632,$L$19)," "," "),CHAR(9)," "),CHAR(10)," "),CHAR(13)," "))),"")))</f>
        <v/>
      </c>
      <c r="ED632">
        <f>IF($DM632=0,"",MATCH(1,INDEX(EXACT($DH$5:DH632,$DH632)*$DM$5:DM632,0),0))</f>
        <v/>
      </c>
      <c r="EE632">
        <f>IF($DM632=0,0,IF($ED632=$DE632,1,0))</f>
        <v/>
      </c>
      <c r="EF632">
        <f>EF631+$EE632</f>
        <v/>
      </c>
      <c r="EG632">
        <f>IF($DM632=0,"",INDEX($EF$5:$EF$1003,$ED632))</f>
        <v/>
      </c>
      <c r="EH632">
        <f>IF($DM632=0,"",IF($DO632&lt;&gt;"","",IFERROR(LOOKUP(2,1/(($EG$4:EG631=$EG632)*($DO$4:DO631&lt;&gt;"")),$DO$4:DO631),"")))</f>
        <v/>
      </c>
      <c r="EI632">
        <f>IF($DM632=0,"",IF($DO632&lt;&gt;"",$DO632,$EH632))</f>
        <v/>
      </c>
      <c r="EJ632">
        <f>IF($DM632=0,"",IF($EI632="",0,IF(OR(ISNUMBER($EI632),AND(AND(SUBSTITUTE(SUBSTITUTE(SUBSTITUTE(SUBSTITUTE(SUBSTITUTE(SUBSTITUTE(SUBSTITUTE(SUBSTITUTE(SUBSTITUTE(SUBSTITUTE(SUBSTITUTE(SUBSTITUTE(SUBSTITUTE(SUBSTITUTE(UPPER($EI632),"0",""),"1",""),"2",""),"3",""),"4",""),"5",""),"6",""),"7",""),"8",""),"9",""),".",""),"+",""),"-",""),"E","")="",LEN(SUBSTITUTE(SUBSTITUTE(MID(UPPER($EI632),1+OR(LEFT(UPPER($EI632),1)="+",LEFT(UPPER($EI632),1)="-"),999),"E+","E"),"E-","E"))=LEN(SUBSTITUTE(SUBSTITUTE(SUBSTITUTE(SUBSTITUTE(MID(UPPER($EI632),1+OR(LEFT(UPPER($EI632),1)="+",LEFT(UPPER($EI632),1)="-"),999),"E+","E"),"E-","E"),"+",""),"-","")),LEN(UPPER($EI632))-LEN(SUBSTITUTE(UPPER($EI632),"E",""))&lt;2,LEN(UPPER($EI632))-LEN(SUBSTITUTE(UPPER($EI632),".",""))&lt;2,IFERROR(FIND(".",UPPER($EI632)),0)&lt;IFERROR(FIND("E",UPPER($EI632)),999)),ISNUMBER(VALUE($EI632)))),1,2)))</f>
        <v/>
      </c>
      <c r="EK632">
        <f>IF($DM632=0,"",IF($EJ632=1,IF(ISNUMBER($EI632),$EI632,VALUE($EI632)),IF($EJ632=2,$DE632,0)))</f>
        <v/>
      </c>
      <c r="EL632">
        <f>IF($DM632=0,"",COUNTIF($EG$5:$EG$1003,"&lt;"&amp;$EG632)+SUMPRODUCT(($EG$5:$EG$1003=$EG632)*(($EJ$5:$EJ$1003&lt;$EJ632)+($EJ$5:$EJ$1003=$EJ632)*(($EK$5:$EK$1003&lt;$EK632)+($EK$5:$EK$1003=$EK632)*($DE$5:$DE$1003&lt;$DE632))))+1)</f>
        <v/>
      </c>
      <c r="EM632">
        <f>IF($DM632=0,"",$EL632+$EG632-1)</f>
        <v/>
      </c>
      <c r="EN632">
        <f>IF($DM632=0,0,IFERROR(MATCH(1,INDEX(--(TRIM(SUBSTITUTE(SUBSTITUTE(SUBSTITUTE(SUBSTITUTE(LINES_NAME&amp;""," "," "),CHAR(9)," "),CHAR(10)," "),CHAR(13)," "))=$DH632),0),0),0))</f>
        <v/>
      </c>
      <c r="EO632">
        <f>IF($EN632=0,0,IF(OR(UPPER(TRIM(INDEX(LINES_SCHEDULED,$EN632)&amp;""))="YES",UPPER(TRIM(INDEX(LINES_SCHEDULED,$EN632)&amp;""))="Y",UPPER(TRIM(INDEX(LINES_SCHEDULED,$EN632)&amp;""))="X"),1,0))</f>
        <v/>
      </c>
      <c r="EP632">
        <f>IF($DM632=0,"",IF(COUNTIFS($EG$5:$EG$1003,$EG632,$EB$5:$EB$1003,"Ready")&gt;0,"READY",IF(COUNTIFS($EG$5:$EG$1003,$EG632,$EB$5:$EB$1003,"PM")&gt;0,"PM",IF(COUNTIFS($EG$5:$EG$1003,$EG632,$EB$5:$EB$1003,"OT")&gt;0,"OT",""))))</f>
        <v/>
      </c>
      <c r="EQ632">
        <f>IF($EN632=0,"",UPPER(TRIM(INDEX(LINES_STATUS,$EN632)&amp;"")))</f>
        <v/>
      </c>
      <c r="ER632">
        <f>IF($DM632=0,"",IF(OR($EQ632="READY",$EQ632="PM",$EQ632="OT"),$EQ632,$EP632))</f>
        <v/>
      </c>
      <c r="ES632">
        <f>IF($DM632=0,"",IF(AND($DV632&lt;&gt;"",UPPER($DV632)&lt;&gt;"N"),"allergen",IF(ISNUMBER(SEARCH("oil",$DQ632)),"oil",IF(OR(EXACT($DS632,"A662"),EXACT($DS632,"A624")),"bulk",""))))</f>
        <v/>
      </c>
      <c r="ET632">
        <f>IF($DM632=0,"",IF(OR($EA632="",$EA632=0),"",$EA632/100))</f>
        <v/>
      </c>
      <c r="EU632">
        <f>IF(OR($ET632="",$DY632=""),"",INT($DY632*(1-$ET632)+0.5))</f>
        <v/>
      </c>
      <c r="EW632" t="n">
        <v>628</v>
      </c>
      <c r="EX632">
        <f>IFERROR(MATCH($EW632,$EM$5:$EM$1003,0),0)</f>
        <v/>
      </c>
      <c r="EY632">
        <f>IF($EW632&gt;$B$12,"",IF($EX632&gt;0,"row","spacer"))</f>
        <v/>
      </c>
      <c r="EZ632">
        <f>IF(AND($EY632="row",$EY631&lt;&gt;"row"),1,0)</f>
        <v/>
      </c>
      <c r="FA632">
        <f>IF(AND($EY632="row",$EY633&lt;&gt;"row"),1,0)</f>
        <v/>
      </c>
      <c r="FB632">
        <f>IF($EZ632=1,IFERROR(IF(ISNUMBER(INDEX(PASTE_ALL,INDEX($DF$5:$DF$1003,$EX632),$B$37)),INDEX(PASTE_ALL,INDEX($DF$5:$DF$1003,$EX632),$B$37),INDEX($DH$5:$DH$1003,$EX632)),INDEX($DH$5:$DH$1003,$EX632)),"")</f>
        <v/>
      </c>
      <c r="FC632">
        <f>IF($EY632="row",INDEX($ER$5:$ER$1003,$EX632),"")</f>
        <v/>
      </c>
      <c r="FD632">
        <f>IF($EY632="row",INDEX($DN$5:$DN$1003,$EX632),"")</f>
        <v/>
      </c>
      <c r="FE632">
        <f>IF($EY632="row",INDEX($DO$5:$DO$1003,$EX632),"")</f>
        <v/>
      </c>
      <c r="FF632">
        <f>IF($EY632="row",INDEX($DP$5:$DP$1003,$EX632),"")</f>
        <v/>
      </c>
      <c r="FG632">
        <f>IF($EY632="row",INDEX($DQ$5:$DQ$1003,$EX632),"")</f>
        <v/>
      </c>
      <c r="FH632">
        <f>IF($EY632="row",INDEX($DR$5:$DR$1003,$EX632),"")</f>
        <v/>
      </c>
      <c r="FI632">
        <f>IF($EY632="row",INDEX($DS$5:$DS$1003,$EX632),"")</f>
        <v/>
      </c>
      <c r="FJ632">
        <f>IF($EY632="row",INDEX($DT$5:$DT$1003,$EX632),"")</f>
        <v/>
      </c>
      <c r="FK632">
        <f>IF($EY632="row",INDEX($DU$5:$DU$1003,$EX632),"")</f>
        <v/>
      </c>
      <c r="FL632">
        <f>IF($EY632="row",INDEX($DV$5:$DV$1003,$EX632),"")</f>
        <v/>
      </c>
      <c r="FM632">
        <f>IF($EY632="row",INDEX($DW$5:$DW$1003,$EX632),"")</f>
        <v/>
      </c>
      <c r="FN632">
        <f>IF($EY632="row",INDEX($DY$5:$DY$1003,$EX632),"")</f>
        <v/>
      </c>
      <c r="FO632">
        <f>IF($EY632="row",INDEX($EA$5:$EA$1003,$EX632),"")</f>
        <v/>
      </c>
      <c r="FP632">
        <f>IF($EY632="row",INDEX($EC$5:$EC$1003,$EX632),"")</f>
        <v/>
      </c>
      <c r="FQ632">
        <f>IF($EY632="row",INDEX($ET$5:$ET$1003,$EX632),"")</f>
        <v/>
      </c>
      <c r="FR632">
        <f>IF($EY632="row",INDEX($EU$5:$EU$1003,$EX632),"")</f>
        <v/>
      </c>
      <c r="FS632">
        <f>IF(AND($EY632="row",$EY631="row"),IF(OR(INDEX($DT$5:$DT$1003,$EX631)="",INDEX($DT$5:$DT$1003,$EX632)=""),"",IF(NOT(EXACT(INDEX($DT$5:$DT$1003,$EX631),INDEX($DT$5:$DT$1003,$EX632))),"S4",IF(NOT(EXACT(INDEX($DS$5:$DS$1003,$EX631),INDEX($DS$5:$DS$1003,$EX632))),"S3",IF(NOT(EXACT(INDEX($DR$5:$DR$1003,$EX631),INDEX($DR$5:$DR$1003,$EX632))),"S1 Count Change","S1")))),"")</f>
        <v/>
      </c>
      <c r="FT632">
        <f>IF($EY632="row",INDEX($ES$5:$ES$1003,$EX632),"")</f>
        <v/>
      </c>
      <c r="FU632">
        <f>IF($EY632="row",INDEX($EO$5:$EO$1003,$EX632),0)</f>
        <v/>
      </c>
      <c r="FV632">
        <f>IF($FS632="S1 Count Change",1,0)</f>
        <v/>
      </c>
    </row>
    <row r="633">
      <c r="DA633" t="n">
        <v>629</v>
      </c>
      <c r="DB633">
        <f>IF($B$37=0,"",IFERROR(TRIM(SUBSTITUTE(SUBSTITUTE(SUBSTITUTE(SUBSTITUTE(INDEX(PASTE_ALL,629,$B$37)," "," "),CHAR(9)," "),CHAR(10)," "),CHAR(13)," ")),""))</f>
        <v/>
      </c>
      <c r="DC633">
        <f>IF(AND(629&gt;HEADER_ROW,UPPER(DB633)="LEGEND"),1,0)</f>
        <v/>
      </c>
      <c r="DE633" t="n">
        <v>629</v>
      </c>
      <c r="DF633">
        <f>HEADER_ROW+$DE633</f>
        <v/>
      </c>
      <c r="DG633">
        <f>IF(AND($DF633&lt;=1000,$DF633&lt;$B$8),1,0)</f>
        <v/>
      </c>
      <c r="DH633">
        <f>IF($DG633=1,IFERROR(INDEX($DB$5:$DB$1004,$DF633),""),"")</f>
        <v/>
      </c>
      <c r="DI633">
        <f>IF(AND($DG633=1,$DH633&lt;&gt;""),IFERROR(SUBSTITUTE(SUBSTITUTE(TRIM(SUBSTITUTE(SUBSTITUTE(SUBSTITUTE(SUBSTITUTE(IFERROR(INDEX(PASTE_ALL,$DF633,1)&amp;"","")&amp;"␟"&amp;IFERROR(INDEX(PASTE_ALL,$DF633,2)&amp;"","")&amp;"␟"&amp;IFERROR(INDEX(PASTE_ALL,$DF633,3)&amp;"","")&amp;"␟"&amp;IFERROR(INDEX(PASTE_ALL,$DF633,4)&amp;"","")&amp;"␟"&amp;IFERROR(INDEX(PASTE_ALL,$DF633,5)&amp;"","")&amp;"␟"&amp;IFERROR(INDEX(PASTE_ALL,$DF633,6)&amp;"","")&amp;"␟"&amp;IFERROR(INDEX(PASTE_ALL,$DF633,7)&amp;"","")&amp;"␟"&amp;IFERROR(INDEX(PASTE_ALL,$DF633,8)&amp;"","")&amp;"␟"&amp;IFERROR(INDEX(PASTE_ALL,$DF633,9)&amp;"","")&amp;"␟"&amp;IFERROR(INDEX(PASTE_ALL,$DF633,10)&amp;"","")&amp;"␟"&amp;IFERROR(INDEX(PASTE_ALL,$DF633,11)&amp;"","")&amp;"␟"&amp;IFERROR(INDEX(PASTE_ALL,$DF633,12)&amp;"","")&amp;"␟"&amp;IFERROR(INDEX(PASTE_ALL,$DF633,13)&amp;"","")&amp;"␟"&amp;IFERROR(INDEX(PASTE_ALL,$DF633,14)&amp;"","")&amp;"␟"&amp;IFERROR(INDEX(PASTE_ALL,$DF633,15)&amp;"","")&amp;"␟"&amp;IFERROR(INDEX(PASTE_ALL,$DF633,16)&amp;"","")&amp;"␟"&amp;IFERROR(INDEX(PASTE_ALL,$DF633,17)&amp;"","")&amp;"␟"&amp;IFERROR(INDEX(PASTE_ALL,$DF633,18)&amp;"","")&amp;"␟"&amp;IFERROR(INDEX(PASTE_ALL,$DF633,19)&amp;"","")&amp;"␟"&amp;IFERROR(INDEX(PASTE_ALL,$DF633,20)&amp;"","")&amp;"␟"&amp;IFERROR(INDEX(PASTE_ALL,$DF633,21)&amp;"","")&amp;"␟"&amp;IFERROR(INDEX(PASTE_ALL,$DF633,22)&amp;"","")&amp;"␟"&amp;IFERROR(INDEX(PASTE_ALL,$DF633,23)&amp;"","")&amp;"␟"&amp;IFERROR(INDEX(PASTE_ALL,$DF633,24)&amp;"","")&amp;"␟"&amp;IFERROR(INDEX(PASTE_ALL,$DF633,25)&amp;"","")&amp;"␟"&amp;IFERROR(INDEX(PASTE_ALL,$DF633,26)&amp;"","")&amp;"␟"&amp;IFERROR(INDEX(PASTE_ALL,$DF633,27)&amp;"","")&amp;"␟"&amp;IFERROR(INDEX(PASTE_ALL,$DF633,28)&amp;"","")&amp;"␟"&amp;IFERROR(INDEX(PASTE_ALL,$DF633,29)&amp;"","")&amp;"␟"&amp;IFERROR(INDEX(PASTE_ALL,$DF633,30)&amp;"","")&amp;"␟"&amp;IFERROR(INDEX(PASTE_ALL,$DF633,31)&amp;"","")&amp;"␟"&amp;IFERROR(INDEX(PASTE_ALL,$DF633,32)&amp;"","")&amp;"␟"&amp;IFERROR(INDEX(PASTE_ALL,$DF633,33)&amp;"","")&amp;"␟"&amp;IFERROR(INDEX(PASTE_ALL,$DF633,34)&amp;"","")&amp;"␟"&amp;IFERROR(INDEX(PASTE_ALL,$DF633,35)&amp;"","")&amp;"␟"&amp;IFERROR(INDEX(PASTE_ALL,$DF633,36)&amp;"","")&amp;"␟"&amp;IFERROR(INDEX(PASTE_ALL,$DF633,37)&amp;"","")&amp;"␟"&amp;IFERROR(INDEX(PASTE_ALL,$DF633,38)&amp;"","")&amp;"␟"&amp;IFERROR(INDEX(PASTE_ALL,$DF633,39)&amp;"","")&amp;"␟"&amp;IFERROR(INDEX(PASTE_ALL,$DF633,40)&amp;"","")&amp;"␟"&amp;IFERROR(INDEX(PASTE_ALL,$DF633,41)&amp;"","")&amp;"␟"&amp;IFERROR(INDEX(PASTE_ALL,$DF633,42)&amp;"","")&amp;"␟"&amp;IFERROR(INDEX(PASTE_ALL,$DF633,43)&amp;"","")&amp;"␟"&amp;IFERROR(INDEX(PASTE_ALL,$DF633,44)&amp;"","")&amp;"␟"&amp;IFERROR(INDEX(PASTE_ALL,$DF633,45)&amp;"","")&amp;"␟"&amp;IFERROR(INDEX(PASTE_ALL,$DF633,46)&amp;"","")&amp;"␟"&amp;IFERROR(INDEX(PASTE_ALL,$DF633,47)&amp;"","")&amp;"␟"&amp;IFERROR(INDEX(PASTE_ALL,$DF633,48)&amp;"","")&amp;"␟"&amp;IFERROR(INDEX(PASTE_ALL,$DF633,49)&amp;"","")&amp;"␟"&amp;IFERROR(INDEX(PASTE_ALL,$DF633,50)&amp;"","")&amp;"␟"&amp;IFERROR(INDEX(PASTE_ALL,$DF633,51)&amp;"","")&amp;"␟"&amp;IFERROR(INDEX(PASTE_ALL,$DF633,52)&amp;"","")&amp;"␟"&amp;IFERROR(INDEX(PASTE_ALL,$DF633,53)&amp;"","")&amp;"␟"&amp;IFERROR(INDEX(PASTE_ALL,$DF633,54)&amp;"","")&amp;"␟"&amp;IFERROR(INDEX(PASTE_ALL,$DF633,55)&amp;"","")&amp;"␟"&amp;IFERROR(INDEX(PASTE_ALL,$DF633,56)&amp;"","")&amp;"␟"&amp;IFERROR(INDEX(PASTE_ALL,$DF633,57)&amp;"","")&amp;"␟"&amp;IFERROR(INDEX(PASTE_ALL,$DF633,58)&amp;"","")&amp;"␟"&amp;IFERROR(INDEX(PASTE_ALL,$DF633,59)&amp;"","")&amp;"␟"&amp;IFERROR(INDEX(PASTE_ALL,$DF633,60)&amp;"","")," "," "),CHAR(9)," "),CHAR(10)," "),CHAR(13)," "))," ␟","␟"),"␟ ","␟"),"#"&amp;$DE633),"")</f>
        <v/>
      </c>
      <c r="DJ633">
        <f>IF($DI633="",0,IF(SUMPRODUCT(--EXACT($DI$4:DI632,$DI633))&gt;0,1,0))</f>
        <v/>
      </c>
      <c r="DK633">
        <f>IF(AND($DI633&lt;&gt;"",$DJ633=0),1,0)</f>
        <v/>
      </c>
      <c r="DL633">
        <f>DL632+$DK633</f>
        <v/>
      </c>
      <c r="DM633">
        <f>IF(AND($DK633=1,$DL633&lt;=600),1,0)</f>
        <v/>
      </c>
      <c r="DN633">
        <f>IF($DM633=0,"",IF($L$6=0,"",IFERROR(IF(ISNUMBER(INDEX(PASTE_ALL,$DF633,$L$6)),INDEX(PASTE_ALL,$DF633,$L$6),TRIM(SUBSTITUTE(SUBSTITUTE(SUBSTITUTE(SUBSTITUTE(INDEX(PASTE_ALL,$DF633,$L$6)," "," "),CHAR(9)," "),CHAR(10)," "),CHAR(13)," "))),"")))</f>
        <v/>
      </c>
      <c r="DO633">
        <f>IF($DM633=0,"",IF($L$7=0,"",IFERROR(IF(ISNUMBER(INDEX(PASTE_ALL,$DF633,$L$7)),INDEX(PASTE_ALL,$DF633,$L$7),TRIM(SUBSTITUTE(SUBSTITUTE(SUBSTITUTE(SUBSTITUTE(INDEX(PASTE_ALL,$DF633,$L$7)," "," "),CHAR(9)," "),CHAR(10)," "),CHAR(13)," "))),"")))</f>
        <v/>
      </c>
      <c r="DP633">
        <f>IF($DM633=0,"",IF($L$8=0,"",IFERROR(IF(ISNUMBER(INDEX(PASTE_ALL,$DF633,$L$8)),INDEX(PASTE_ALL,$DF633,$L$8),TRIM(SUBSTITUTE(SUBSTITUTE(SUBSTITUTE(SUBSTITUTE(INDEX(PASTE_ALL,$DF633,$L$8)," "," "),CHAR(9)," "),CHAR(10)," "),CHAR(13)," "))),"")))</f>
        <v/>
      </c>
      <c r="DQ633">
        <f>IF($DM633=0,"",IF($L$9=0,"",IFERROR(IF(ISNUMBER(INDEX(PASTE_ALL,$DF633,$L$9)),INDEX(PASTE_ALL,$DF633,$L$9),TRIM(SUBSTITUTE(SUBSTITUTE(SUBSTITUTE(SUBSTITUTE(INDEX(PASTE_ALL,$DF633,$L$9)," "," "),CHAR(9)," "),CHAR(10)," "),CHAR(13)," "))),"")))</f>
        <v/>
      </c>
      <c r="DR633">
        <f>IF($DM633=0,"",IF($L$10=0,"",IFERROR(IF(ISNUMBER(INDEX(PASTE_ALL,$DF633,$L$10)),INDEX(PASTE_ALL,$DF633,$L$10),TRIM(SUBSTITUTE(SUBSTITUTE(SUBSTITUTE(SUBSTITUTE(INDEX(PASTE_ALL,$DF633,$L$10)," "," "),CHAR(9)," "),CHAR(10)," "),CHAR(13)," "))),"")))</f>
        <v/>
      </c>
      <c r="DS633">
        <f>IF($DM633=0,"",IF($L$11=0,"",IFERROR(IF(ISNUMBER(INDEX(PASTE_ALL,$DF633,$L$11)),INDEX(PASTE_ALL,$DF633,$L$11),TRIM(SUBSTITUTE(SUBSTITUTE(SUBSTITUTE(SUBSTITUTE(INDEX(PASTE_ALL,$DF633,$L$11)," "," "),CHAR(9)," "),CHAR(10)," "),CHAR(13)," "))),"")))</f>
        <v/>
      </c>
      <c r="DT633">
        <f>IF($DM633=0,"",IF($L$12=0,"",IFERROR(IF(ISNUMBER(INDEX(PASTE_ALL,$DF633,$L$12)),INDEX(PASTE_ALL,$DF633,$L$12),TRIM(SUBSTITUTE(SUBSTITUTE(SUBSTITUTE(SUBSTITUTE(INDEX(PASTE_ALL,$DF633,$L$12)," "," "),CHAR(9)," "),CHAR(10)," "),CHAR(13)," "))),"")))</f>
        <v/>
      </c>
      <c r="DU633">
        <f>IF($DM633=0,"",IF($L$13=0,"",IFERROR(IF(ISNUMBER(INDEX(PASTE_ALL,$DF633,$L$13)),INDEX(PASTE_ALL,$DF633,$L$13),TRIM(SUBSTITUTE(SUBSTITUTE(SUBSTITUTE(SUBSTITUTE(INDEX(PASTE_ALL,$DF633,$L$13)," "," "),CHAR(9)," "),CHAR(10)," "),CHAR(13)," "))),"")))</f>
        <v/>
      </c>
      <c r="DV633">
        <f>IF($DM633=0,"",IF($L$14=0,"",IFERROR(IF(ISNUMBER(INDEX(PASTE_ALL,$DF633,$L$14)),INDEX(PASTE_ALL,$DF633,$L$14),TRIM(SUBSTITUTE(SUBSTITUTE(SUBSTITUTE(SUBSTITUTE(INDEX(PASTE_ALL,$DF633,$L$14)," "," "),CHAR(9)," "),CHAR(10)," "),CHAR(13)," "))),"")))</f>
        <v/>
      </c>
      <c r="DW633">
        <f>IF($DM633=0,"",IF($L$15=0,"",IFERROR(IF(ISNUMBER(INDEX(PASTE_ALL,$DF633,$L$15)),INDEX(PASTE_ALL,$DF633,$L$15),IF(SUMPRODUCT(--ISNUMBER(FIND({"A","B","C","D","E","F","G","H","I","J","K","L","M","N","O","P","Q","R","S","T","U","V","W","X","Y","Z","0","1","2","3","4","5","6","7","8","9"},UPPER(TRIM(SUBSTITUTE(SUBSTITUTE(SUBSTITUTE(SUBSTITUTE(INDEX(PASTE_ALL,$DF633,$L$15)," "," "),CHAR(9)," "),CHAR(10)," "),CHAR(13)," "))))))&gt;0,TRIM(SUBSTITUTE(SUBSTITUTE(SUBSTITUTE(SUBSTITUTE(INDEX(PASTE_ALL,$DF633,$L$15)," "," "),CHAR(9)," "),CHAR(10)," "),CHAR(13)," ")),"")),"")))</f>
        <v/>
      </c>
      <c r="DX633">
        <f>IF($DM633=0,"",IF($L$16=0,"",IFERROR(IF(ISNUMBER(INDEX(PASTE_ALL,$DF633,$L$16)),INDEX(PASTE_ALL,$DF633,$L$16),SUBSTITUTE(SUBSTITUTE(TRIM(SUBSTITUTE(SUBSTITUTE(SUBSTITUTE(SUBSTITUTE(INDEX(PASTE_ALL,$DF633,$L$16)," "," "),CHAR(9)," "),CHAR(10)," "),CHAR(13)," ")),",",""),"%","")),"")))</f>
        <v/>
      </c>
      <c r="DY633">
        <f>IF($DM633=0,"",IFERROR(IF(ISNUMBER($DX633),$DX633,IF($DX633="","",IF(TRIM($DX633)="",0,IF(AND(AND(SUBSTITUTE(SUBSTITUTE(SUBSTITUTE(SUBSTITUTE(SUBSTITUTE(SUBSTITUTE(SUBSTITUTE(SUBSTITUTE(SUBSTITUTE(SUBSTITUTE(SUBSTITUTE(SUBSTITUTE(SUBSTITUTE(SUBSTITUTE(UPPER(TRIM($DX633)),"0",""),"1",""),"2",""),"3",""),"4",""),"5",""),"6",""),"7",""),"8",""),"9",""),".",""),"+",""),"-",""),"E","")="",LEN(SUBSTITUTE(SUBSTITUTE(MID(UPPER(TRIM($DX633)),1+OR(LEFT(UPPER(TRIM($DX633)),1)="+",LEFT(UPPER(TRIM($DX633)),1)="-"),999),"E+","E"),"E-","E"))=LEN(SUBSTITUTE(SUBSTITUTE(SUBSTITUTE(SUBSTITUTE(MID(UPPER(TRIM($DX633)),1+OR(LEFT(UPPER(TRIM($DX633)),1)="+",LEFT(UPPER(TRIM($DX633)),1)="-"),999),"E+","E"),"E-","E"),"+",""),"-","")),LEN(UPPER(TRIM($DX633)))-LEN(SUBSTITUTE(UPPER(TRIM($DX633)),"E",""))&lt;2,LEN(UPPER(TRIM($DX633)))-LEN(SUBSTITUTE(UPPER(TRIM($DX633)),".",""))&lt;2,IFERROR(FIND(".",UPPER(TRIM($DX633))),0)&lt;IFERROR(FIND("E",UPPER(TRIM($DX633))),999)),ISNUMBER(VALUE(TRIM($DX633)))),VALUE(TRIM($DX633)),"")))),""))</f>
        <v/>
      </c>
      <c r="DZ633">
        <f>IF($DM633=0,"",IF($L$17=0,"",IFERROR(IF(ISNUMBER(INDEX(PASTE_ALL,$DF633,$L$17)),INDEX(PASTE_ALL,$DF633,$L$17),SUBSTITUTE(SUBSTITUTE(TRIM(SUBSTITUTE(SUBSTITUTE(SUBSTITUTE(SUBSTITUTE(INDEX(PASTE_ALL,$DF633,$L$17)," "," "),CHAR(9)," "),CHAR(10)," "),CHAR(13)," ")),",",""),"%","")),"")))</f>
        <v/>
      </c>
      <c r="EA633">
        <f>IF($DM633=0,"",IFERROR(IF(ISNUMBER($DZ633),$DZ633,IF($DZ633="","",IF(TRIM($DZ633)="",0,IF(AND(AND(SUBSTITUTE(SUBSTITUTE(SUBSTITUTE(SUBSTITUTE(SUBSTITUTE(SUBSTITUTE(SUBSTITUTE(SUBSTITUTE(SUBSTITUTE(SUBSTITUTE(SUBSTITUTE(SUBSTITUTE(SUBSTITUTE(SUBSTITUTE(UPPER(TRIM($DZ633)),"0",""),"1",""),"2",""),"3",""),"4",""),"5",""),"6",""),"7",""),"8",""),"9",""),".",""),"+",""),"-",""),"E","")="",LEN(SUBSTITUTE(SUBSTITUTE(MID(UPPER(TRIM($DZ633)),1+OR(LEFT(UPPER(TRIM($DZ633)),1)="+",LEFT(UPPER(TRIM($DZ633)),1)="-"),999),"E+","E"),"E-","E"))=LEN(SUBSTITUTE(SUBSTITUTE(SUBSTITUTE(SUBSTITUTE(MID(UPPER(TRIM($DZ633)),1+OR(LEFT(UPPER(TRIM($DZ633)),1)="+",LEFT(UPPER(TRIM($DZ633)),1)="-"),999),"E+","E"),"E-","E"),"+",""),"-","")),LEN(UPPER(TRIM($DZ633)))-LEN(SUBSTITUTE(UPPER(TRIM($DZ633)),"E",""))&lt;2,LEN(UPPER(TRIM($DZ633)))-LEN(SUBSTITUTE(UPPER(TRIM($DZ633)),".",""))&lt;2,IFERROR(FIND(".",UPPER(TRIM($DZ633))),0)&lt;IFERROR(FIND("E",UPPER(TRIM($DZ633))),999)),ISNUMBER(VALUE(TRIM($DZ633)))),VALUE(TRIM($DZ633)),"")))),""))</f>
        <v/>
      </c>
      <c r="EB633">
        <f>IF($DM633=0,"",IF($L$18=0,"",IFERROR(IF(UPPER(TRIM(SUBSTITUTE(SUBSTITUTE(SUBSTITUTE(SUBSTITUTE(INDEX(PASTE_ALL,$DF633,$L$18)," "," "),CHAR(9)," "),CHAR(10)," "),CHAR(13)," ")))="READY","Ready",IF(UPPER(TRIM(SUBSTITUTE(SUBSTITUTE(SUBSTITUTE(SUBSTITUTE(INDEX(PASTE_ALL,$DF633,$L$18)," "," "),CHAR(9)," "),CHAR(10)," "),CHAR(13)," ")))="PM","PM",IF(OR(UPPER(TRIM(SUBSTITUTE(SUBSTITUTE(SUBSTITUTE(SUBSTITUTE(INDEX(PASTE_ALL,$DF633,$L$18)," "," "),CHAR(9)," "),CHAR(10)," "),CHAR(13)," ")))="OT",UPPER(TRIM(SUBSTITUTE(SUBSTITUTE(SUBSTITUTE(SUBSTITUTE(INDEX(PASTE_ALL,$DF633,$L$18)," "," "),CHAR(9)," "),CHAR(10)," "),CHAR(13)," ")))="OVERTIME",UPPER(TRIM(SUBSTITUTE(SUBSTITUTE(SUBSTITUTE(SUBSTITUTE(INDEX(PASTE_ALL,$DF633,$L$18)," "," "),CHAR(9)," "),CHAR(10)," "),CHAR(13)," ")))="TRIAL"),"OT",TRIM(SUBSTITUTE(SUBSTITUTE(SUBSTITUTE(SUBSTITUTE(INDEX(PASTE_ALL,$DF633,$L$18)," "," "),CHAR(9)," "),CHAR(10)," "),CHAR(13)," "))))),"")))</f>
        <v/>
      </c>
      <c r="EC633">
        <f>IF($DM633=0,"",IF($L$19=0,"",IFERROR(IF(ISNUMBER(INDEX(PASTE_ALL,$DF633,$L$19)),INDEX(PASTE_ALL,$DF633,$L$19),TRIM(SUBSTITUTE(SUBSTITUTE(SUBSTITUTE(SUBSTITUTE(INDEX(PASTE_ALL,$DF633,$L$19)," "," "),CHAR(9)," "),CHAR(10)," "),CHAR(13)," "))),"")))</f>
        <v/>
      </c>
      <c r="ED633">
        <f>IF($DM633=0,"",MATCH(1,INDEX(EXACT($DH$5:DH633,$DH633)*$DM$5:DM633,0),0))</f>
        <v/>
      </c>
      <c r="EE633">
        <f>IF($DM633=0,0,IF($ED633=$DE633,1,0))</f>
        <v/>
      </c>
      <c r="EF633">
        <f>EF632+$EE633</f>
        <v/>
      </c>
      <c r="EG633">
        <f>IF($DM633=0,"",INDEX($EF$5:$EF$1003,$ED633))</f>
        <v/>
      </c>
      <c r="EH633">
        <f>IF($DM633=0,"",IF($DO633&lt;&gt;"","",IFERROR(LOOKUP(2,1/(($EG$4:EG632=$EG633)*($DO$4:DO632&lt;&gt;"")),$DO$4:DO632),"")))</f>
        <v/>
      </c>
      <c r="EI633">
        <f>IF($DM633=0,"",IF($DO633&lt;&gt;"",$DO633,$EH633))</f>
        <v/>
      </c>
      <c r="EJ633">
        <f>IF($DM633=0,"",IF($EI633="",0,IF(OR(ISNUMBER($EI633),AND(AND(SUBSTITUTE(SUBSTITUTE(SUBSTITUTE(SUBSTITUTE(SUBSTITUTE(SUBSTITUTE(SUBSTITUTE(SUBSTITUTE(SUBSTITUTE(SUBSTITUTE(SUBSTITUTE(SUBSTITUTE(SUBSTITUTE(SUBSTITUTE(UPPER($EI633),"0",""),"1",""),"2",""),"3",""),"4",""),"5",""),"6",""),"7",""),"8",""),"9",""),".",""),"+",""),"-",""),"E","")="",LEN(SUBSTITUTE(SUBSTITUTE(MID(UPPER($EI633),1+OR(LEFT(UPPER($EI633),1)="+",LEFT(UPPER($EI633),1)="-"),999),"E+","E"),"E-","E"))=LEN(SUBSTITUTE(SUBSTITUTE(SUBSTITUTE(SUBSTITUTE(MID(UPPER($EI633),1+OR(LEFT(UPPER($EI633),1)="+",LEFT(UPPER($EI633),1)="-"),999),"E+","E"),"E-","E"),"+",""),"-","")),LEN(UPPER($EI633))-LEN(SUBSTITUTE(UPPER($EI633),"E",""))&lt;2,LEN(UPPER($EI633))-LEN(SUBSTITUTE(UPPER($EI633),".",""))&lt;2,IFERROR(FIND(".",UPPER($EI633)),0)&lt;IFERROR(FIND("E",UPPER($EI633)),999)),ISNUMBER(VALUE($EI633)))),1,2)))</f>
        <v/>
      </c>
      <c r="EK633">
        <f>IF($DM633=0,"",IF($EJ633=1,IF(ISNUMBER($EI633),$EI633,VALUE($EI633)),IF($EJ633=2,$DE633,0)))</f>
        <v/>
      </c>
      <c r="EL633">
        <f>IF($DM633=0,"",COUNTIF($EG$5:$EG$1003,"&lt;"&amp;$EG633)+SUMPRODUCT(($EG$5:$EG$1003=$EG633)*(($EJ$5:$EJ$1003&lt;$EJ633)+($EJ$5:$EJ$1003=$EJ633)*(($EK$5:$EK$1003&lt;$EK633)+($EK$5:$EK$1003=$EK633)*($DE$5:$DE$1003&lt;$DE633))))+1)</f>
        <v/>
      </c>
      <c r="EM633">
        <f>IF($DM633=0,"",$EL633+$EG633-1)</f>
        <v/>
      </c>
      <c r="EN633">
        <f>IF($DM633=0,0,IFERROR(MATCH(1,INDEX(--(TRIM(SUBSTITUTE(SUBSTITUTE(SUBSTITUTE(SUBSTITUTE(LINES_NAME&amp;""," "," "),CHAR(9)," "),CHAR(10)," "),CHAR(13)," "))=$DH633),0),0),0))</f>
        <v/>
      </c>
      <c r="EO633">
        <f>IF($EN633=0,0,IF(OR(UPPER(TRIM(INDEX(LINES_SCHEDULED,$EN633)&amp;""))="YES",UPPER(TRIM(INDEX(LINES_SCHEDULED,$EN633)&amp;""))="Y",UPPER(TRIM(INDEX(LINES_SCHEDULED,$EN633)&amp;""))="X"),1,0))</f>
        <v/>
      </c>
      <c r="EP633">
        <f>IF($DM633=0,"",IF(COUNTIFS($EG$5:$EG$1003,$EG633,$EB$5:$EB$1003,"Ready")&gt;0,"READY",IF(COUNTIFS($EG$5:$EG$1003,$EG633,$EB$5:$EB$1003,"PM")&gt;0,"PM",IF(COUNTIFS($EG$5:$EG$1003,$EG633,$EB$5:$EB$1003,"OT")&gt;0,"OT",""))))</f>
        <v/>
      </c>
      <c r="EQ633">
        <f>IF($EN633=0,"",UPPER(TRIM(INDEX(LINES_STATUS,$EN633)&amp;"")))</f>
        <v/>
      </c>
      <c r="ER633">
        <f>IF($DM633=0,"",IF(OR($EQ633="READY",$EQ633="PM",$EQ633="OT"),$EQ633,$EP633))</f>
        <v/>
      </c>
      <c r="ES633">
        <f>IF($DM633=0,"",IF(AND($DV633&lt;&gt;"",UPPER($DV633)&lt;&gt;"N"),"allergen",IF(ISNUMBER(SEARCH("oil",$DQ633)),"oil",IF(OR(EXACT($DS633,"A662"),EXACT($DS633,"A624")),"bulk",""))))</f>
        <v/>
      </c>
      <c r="ET633">
        <f>IF($DM633=0,"",IF(OR($EA633="",$EA633=0),"",$EA633/100))</f>
        <v/>
      </c>
      <c r="EU633">
        <f>IF(OR($ET633="",$DY633=""),"",INT($DY633*(1-$ET633)+0.5))</f>
        <v/>
      </c>
      <c r="EW633" t="n">
        <v>629</v>
      </c>
      <c r="EX633">
        <f>IFERROR(MATCH($EW633,$EM$5:$EM$1003,0),0)</f>
        <v/>
      </c>
      <c r="EY633">
        <f>IF($EW633&gt;$B$12,"",IF($EX633&gt;0,"row","spacer"))</f>
        <v/>
      </c>
      <c r="EZ633">
        <f>IF(AND($EY633="row",$EY632&lt;&gt;"row"),1,0)</f>
        <v/>
      </c>
      <c r="FA633">
        <f>IF(AND($EY633="row",$EY634&lt;&gt;"row"),1,0)</f>
        <v/>
      </c>
      <c r="FB633">
        <f>IF($EZ633=1,IFERROR(IF(ISNUMBER(INDEX(PASTE_ALL,INDEX($DF$5:$DF$1003,$EX633),$B$37)),INDEX(PASTE_ALL,INDEX($DF$5:$DF$1003,$EX633),$B$37),INDEX($DH$5:$DH$1003,$EX633)),INDEX($DH$5:$DH$1003,$EX633)),"")</f>
        <v/>
      </c>
      <c r="FC633">
        <f>IF($EY633="row",INDEX($ER$5:$ER$1003,$EX633),"")</f>
        <v/>
      </c>
      <c r="FD633">
        <f>IF($EY633="row",INDEX($DN$5:$DN$1003,$EX633),"")</f>
        <v/>
      </c>
      <c r="FE633">
        <f>IF($EY633="row",INDEX($DO$5:$DO$1003,$EX633),"")</f>
        <v/>
      </c>
      <c r="FF633">
        <f>IF($EY633="row",INDEX($DP$5:$DP$1003,$EX633),"")</f>
        <v/>
      </c>
      <c r="FG633">
        <f>IF($EY633="row",INDEX($DQ$5:$DQ$1003,$EX633),"")</f>
        <v/>
      </c>
      <c r="FH633">
        <f>IF($EY633="row",INDEX($DR$5:$DR$1003,$EX633),"")</f>
        <v/>
      </c>
      <c r="FI633">
        <f>IF($EY633="row",INDEX($DS$5:$DS$1003,$EX633),"")</f>
        <v/>
      </c>
      <c r="FJ633">
        <f>IF($EY633="row",INDEX($DT$5:$DT$1003,$EX633),"")</f>
        <v/>
      </c>
      <c r="FK633">
        <f>IF($EY633="row",INDEX($DU$5:$DU$1003,$EX633),"")</f>
        <v/>
      </c>
      <c r="FL633">
        <f>IF($EY633="row",INDEX($DV$5:$DV$1003,$EX633),"")</f>
        <v/>
      </c>
      <c r="FM633">
        <f>IF($EY633="row",INDEX($DW$5:$DW$1003,$EX633),"")</f>
        <v/>
      </c>
      <c r="FN633">
        <f>IF($EY633="row",INDEX($DY$5:$DY$1003,$EX633),"")</f>
        <v/>
      </c>
      <c r="FO633">
        <f>IF($EY633="row",INDEX($EA$5:$EA$1003,$EX633),"")</f>
        <v/>
      </c>
      <c r="FP633">
        <f>IF($EY633="row",INDEX($EC$5:$EC$1003,$EX633),"")</f>
        <v/>
      </c>
      <c r="FQ633">
        <f>IF($EY633="row",INDEX($ET$5:$ET$1003,$EX633),"")</f>
        <v/>
      </c>
      <c r="FR633">
        <f>IF($EY633="row",INDEX($EU$5:$EU$1003,$EX633),"")</f>
        <v/>
      </c>
      <c r="FS633">
        <f>IF(AND($EY633="row",$EY632="row"),IF(OR(INDEX($DT$5:$DT$1003,$EX632)="",INDEX($DT$5:$DT$1003,$EX633)=""),"",IF(NOT(EXACT(INDEX($DT$5:$DT$1003,$EX632),INDEX($DT$5:$DT$1003,$EX633))),"S4",IF(NOT(EXACT(INDEX($DS$5:$DS$1003,$EX632),INDEX($DS$5:$DS$1003,$EX633))),"S3",IF(NOT(EXACT(INDEX($DR$5:$DR$1003,$EX632),INDEX($DR$5:$DR$1003,$EX633))),"S1 Count Change","S1")))),"")</f>
        <v/>
      </c>
      <c r="FT633">
        <f>IF($EY633="row",INDEX($ES$5:$ES$1003,$EX633),"")</f>
        <v/>
      </c>
      <c r="FU633">
        <f>IF($EY633="row",INDEX($EO$5:$EO$1003,$EX633),0)</f>
        <v/>
      </c>
      <c r="FV633">
        <f>IF($FS633="S1 Count Change",1,0)</f>
        <v/>
      </c>
    </row>
    <row r="634">
      <c r="DA634" t="n">
        <v>630</v>
      </c>
      <c r="DB634">
        <f>IF($B$37=0,"",IFERROR(TRIM(SUBSTITUTE(SUBSTITUTE(SUBSTITUTE(SUBSTITUTE(INDEX(PASTE_ALL,630,$B$37)," "," "),CHAR(9)," "),CHAR(10)," "),CHAR(13)," ")),""))</f>
        <v/>
      </c>
      <c r="DC634">
        <f>IF(AND(630&gt;HEADER_ROW,UPPER(DB634)="LEGEND"),1,0)</f>
        <v/>
      </c>
      <c r="DE634" t="n">
        <v>630</v>
      </c>
      <c r="DF634">
        <f>HEADER_ROW+$DE634</f>
        <v/>
      </c>
      <c r="DG634">
        <f>IF(AND($DF634&lt;=1000,$DF634&lt;$B$8),1,0)</f>
        <v/>
      </c>
      <c r="DH634">
        <f>IF($DG634=1,IFERROR(INDEX($DB$5:$DB$1004,$DF634),""),"")</f>
        <v/>
      </c>
      <c r="DI634">
        <f>IF(AND($DG634=1,$DH634&lt;&gt;""),IFERROR(SUBSTITUTE(SUBSTITUTE(TRIM(SUBSTITUTE(SUBSTITUTE(SUBSTITUTE(SUBSTITUTE(IFERROR(INDEX(PASTE_ALL,$DF634,1)&amp;"","")&amp;"␟"&amp;IFERROR(INDEX(PASTE_ALL,$DF634,2)&amp;"","")&amp;"␟"&amp;IFERROR(INDEX(PASTE_ALL,$DF634,3)&amp;"","")&amp;"␟"&amp;IFERROR(INDEX(PASTE_ALL,$DF634,4)&amp;"","")&amp;"␟"&amp;IFERROR(INDEX(PASTE_ALL,$DF634,5)&amp;"","")&amp;"␟"&amp;IFERROR(INDEX(PASTE_ALL,$DF634,6)&amp;"","")&amp;"␟"&amp;IFERROR(INDEX(PASTE_ALL,$DF634,7)&amp;"","")&amp;"␟"&amp;IFERROR(INDEX(PASTE_ALL,$DF634,8)&amp;"","")&amp;"␟"&amp;IFERROR(INDEX(PASTE_ALL,$DF634,9)&amp;"","")&amp;"␟"&amp;IFERROR(INDEX(PASTE_ALL,$DF634,10)&amp;"","")&amp;"␟"&amp;IFERROR(INDEX(PASTE_ALL,$DF634,11)&amp;"","")&amp;"␟"&amp;IFERROR(INDEX(PASTE_ALL,$DF634,12)&amp;"","")&amp;"␟"&amp;IFERROR(INDEX(PASTE_ALL,$DF634,13)&amp;"","")&amp;"␟"&amp;IFERROR(INDEX(PASTE_ALL,$DF634,14)&amp;"","")&amp;"␟"&amp;IFERROR(INDEX(PASTE_ALL,$DF634,15)&amp;"","")&amp;"␟"&amp;IFERROR(INDEX(PASTE_ALL,$DF634,16)&amp;"","")&amp;"␟"&amp;IFERROR(INDEX(PASTE_ALL,$DF634,17)&amp;"","")&amp;"␟"&amp;IFERROR(INDEX(PASTE_ALL,$DF634,18)&amp;"","")&amp;"␟"&amp;IFERROR(INDEX(PASTE_ALL,$DF634,19)&amp;"","")&amp;"␟"&amp;IFERROR(INDEX(PASTE_ALL,$DF634,20)&amp;"","")&amp;"␟"&amp;IFERROR(INDEX(PASTE_ALL,$DF634,21)&amp;"","")&amp;"␟"&amp;IFERROR(INDEX(PASTE_ALL,$DF634,22)&amp;"","")&amp;"␟"&amp;IFERROR(INDEX(PASTE_ALL,$DF634,23)&amp;"","")&amp;"␟"&amp;IFERROR(INDEX(PASTE_ALL,$DF634,24)&amp;"","")&amp;"␟"&amp;IFERROR(INDEX(PASTE_ALL,$DF634,25)&amp;"","")&amp;"␟"&amp;IFERROR(INDEX(PASTE_ALL,$DF634,26)&amp;"","")&amp;"␟"&amp;IFERROR(INDEX(PASTE_ALL,$DF634,27)&amp;"","")&amp;"␟"&amp;IFERROR(INDEX(PASTE_ALL,$DF634,28)&amp;"","")&amp;"␟"&amp;IFERROR(INDEX(PASTE_ALL,$DF634,29)&amp;"","")&amp;"␟"&amp;IFERROR(INDEX(PASTE_ALL,$DF634,30)&amp;"","")&amp;"␟"&amp;IFERROR(INDEX(PASTE_ALL,$DF634,31)&amp;"","")&amp;"␟"&amp;IFERROR(INDEX(PASTE_ALL,$DF634,32)&amp;"","")&amp;"␟"&amp;IFERROR(INDEX(PASTE_ALL,$DF634,33)&amp;"","")&amp;"␟"&amp;IFERROR(INDEX(PASTE_ALL,$DF634,34)&amp;"","")&amp;"␟"&amp;IFERROR(INDEX(PASTE_ALL,$DF634,35)&amp;"","")&amp;"␟"&amp;IFERROR(INDEX(PASTE_ALL,$DF634,36)&amp;"","")&amp;"␟"&amp;IFERROR(INDEX(PASTE_ALL,$DF634,37)&amp;"","")&amp;"␟"&amp;IFERROR(INDEX(PASTE_ALL,$DF634,38)&amp;"","")&amp;"␟"&amp;IFERROR(INDEX(PASTE_ALL,$DF634,39)&amp;"","")&amp;"␟"&amp;IFERROR(INDEX(PASTE_ALL,$DF634,40)&amp;"","")&amp;"␟"&amp;IFERROR(INDEX(PASTE_ALL,$DF634,41)&amp;"","")&amp;"␟"&amp;IFERROR(INDEX(PASTE_ALL,$DF634,42)&amp;"","")&amp;"␟"&amp;IFERROR(INDEX(PASTE_ALL,$DF634,43)&amp;"","")&amp;"␟"&amp;IFERROR(INDEX(PASTE_ALL,$DF634,44)&amp;"","")&amp;"␟"&amp;IFERROR(INDEX(PASTE_ALL,$DF634,45)&amp;"","")&amp;"␟"&amp;IFERROR(INDEX(PASTE_ALL,$DF634,46)&amp;"","")&amp;"␟"&amp;IFERROR(INDEX(PASTE_ALL,$DF634,47)&amp;"","")&amp;"␟"&amp;IFERROR(INDEX(PASTE_ALL,$DF634,48)&amp;"","")&amp;"␟"&amp;IFERROR(INDEX(PASTE_ALL,$DF634,49)&amp;"","")&amp;"␟"&amp;IFERROR(INDEX(PASTE_ALL,$DF634,50)&amp;"","")&amp;"␟"&amp;IFERROR(INDEX(PASTE_ALL,$DF634,51)&amp;"","")&amp;"␟"&amp;IFERROR(INDEX(PASTE_ALL,$DF634,52)&amp;"","")&amp;"␟"&amp;IFERROR(INDEX(PASTE_ALL,$DF634,53)&amp;"","")&amp;"␟"&amp;IFERROR(INDEX(PASTE_ALL,$DF634,54)&amp;"","")&amp;"␟"&amp;IFERROR(INDEX(PASTE_ALL,$DF634,55)&amp;"","")&amp;"␟"&amp;IFERROR(INDEX(PASTE_ALL,$DF634,56)&amp;"","")&amp;"␟"&amp;IFERROR(INDEX(PASTE_ALL,$DF634,57)&amp;"","")&amp;"␟"&amp;IFERROR(INDEX(PASTE_ALL,$DF634,58)&amp;"","")&amp;"␟"&amp;IFERROR(INDEX(PASTE_ALL,$DF634,59)&amp;"","")&amp;"␟"&amp;IFERROR(INDEX(PASTE_ALL,$DF634,60)&amp;"","")," "," "),CHAR(9)," "),CHAR(10)," "),CHAR(13)," "))," ␟","␟"),"␟ ","␟"),"#"&amp;$DE634),"")</f>
        <v/>
      </c>
      <c r="DJ634">
        <f>IF($DI634="",0,IF(SUMPRODUCT(--EXACT($DI$4:DI633,$DI634))&gt;0,1,0))</f>
        <v/>
      </c>
      <c r="DK634">
        <f>IF(AND($DI634&lt;&gt;"",$DJ634=0),1,0)</f>
        <v/>
      </c>
      <c r="DL634">
        <f>DL633+$DK634</f>
        <v/>
      </c>
      <c r="DM634">
        <f>IF(AND($DK634=1,$DL634&lt;=600),1,0)</f>
        <v/>
      </c>
      <c r="DN634">
        <f>IF($DM634=0,"",IF($L$6=0,"",IFERROR(IF(ISNUMBER(INDEX(PASTE_ALL,$DF634,$L$6)),INDEX(PASTE_ALL,$DF634,$L$6),TRIM(SUBSTITUTE(SUBSTITUTE(SUBSTITUTE(SUBSTITUTE(INDEX(PASTE_ALL,$DF634,$L$6)," "," "),CHAR(9)," "),CHAR(10)," "),CHAR(13)," "))),"")))</f>
        <v/>
      </c>
      <c r="DO634">
        <f>IF($DM634=0,"",IF($L$7=0,"",IFERROR(IF(ISNUMBER(INDEX(PASTE_ALL,$DF634,$L$7)),INDEX(PASTE_ALL,$DF634,$L$7),TRIM(SUBSTITUTE(SUBSTITUTE(SUBSTITUTE(SUBSTITUTE(INDEX(PASTE_ALL,$DF634,$L$7)," "," "),CHAR(9)," "),CHAR(10)," "),CHAR(13)," "))),"")))</f>
        <v/>
      </c>
      <c r="DP634">
        <f>IF($DM634=0,"",IF($L$8=0,"",IFERROR(IF(ISNUMBER(INDEX(PASTE_ALL,$DF634,$L$8)),INDEX(PASTE_ALL,$DF634,$L$8),TRIM(SUBSTITUTE(SUBSTITUTE(SUBSTITUTE(SUBSTITUTE(INDEX(PASTE_ALL,$DF634,$L$8)," "," "),CHAR(9)," "),CHAR(10)," "),CHAR(13)," "))),"")))</f>
        <v/>
      </c>
      <c r="DQ634">
        <f>IF($DM634=0,"",IF($L$9=0,"",IFERROR(IF(ISNUMBER(INDEX(PASTE_ALL,$DF634,$L$9)),INDEX(PASTE_ALL,$DF634,$L$9),TRIM(SUBSTITUTE(SUBSTITUTE(SUBSTITUTE(SUBSTITUTE(INDEX(PASTE_ALL,$DF634,$L$9)," "," "),CHAR(9)," "),CHAR(10)," "),CHAR(13)," "))),"")))</f>
        <v/>
      </c>
      <c r="DR634">
        <f>IF($DM634=0,"",IF($L$10=0,"",IFERROR(IF(ISNUMBER(INDEX(PASTE_ALL,$DF634,$L$10)),INDEX(PASTE_ALL,$DF634,$L$10),TRIM(SUBSTITUTE(SUBSTITUTE(SUBSTITUTE(SUBSTITUTE(INDEX(PASTE_ALL,$DF634,$L$10)," "," "),CHAR(9)," "),CHAR(10)," "),CHAR(13)," "))),"")))</f>
        <v/>
      </c>
      <c r="DS634">
        <f>IF($DM634=0,"",IF($L$11=0,"",IFERROR(IF(ISNUMBER(INDEX(PASTE_ALL,$DF634,$L$11)),INDEX(PASTE_ALL,$DF634,$L$11),TRIM(SUBSTITUTE(SUBSTITUTE(SUBSTITUTE(SUBSTITUTE(INDEX(PASTE_ALL,$DF634,$L$11)," "," "),CHAR(9)," "),CHAR(10)," "),CHAR(13)," "))),"")))</f>
        <v/>
      </c>
      <c r="DT634">
        <f>IF($DM634=0,"",IF($L$12=0,"",IFERROR(IF(ISNUMBER(INDEX(PASTE_ALL,$DF634,$L$12)),INDEX(PASTE_ALL,$DF634,$L$12),TRIM(SUBSTITUTE(SUBSTITUTE(SUBSTITUTE(SUBSTITUTE(INDEX(PASTE_ALL,$DF634,$L$12)," "," "),CHAR(9)," "),CHAR(10)," "),CHAR(13)," "))),"")))</f>
        <v/>
      </c>
      <c r="DU634">
        <f>IF($DM634=0,"",IF($L$13=0,"",IFERROR(IF(ISNUMBER(INDEX(PASTE_ALL,$DF634,$L$13)),INDEX(PASTE_ALL,$DF634,$L$13),TRIM(SUBSTITUTE(SUBSTITUTE(SUBSTITUTE(SUBSTITUTE(INDEX(PASTE_ALL,$DF634,$L$13)," "," "),CHAR(9)," "),CHAR(10)," "),CHAR(13)," "))),"")))</f>
        <v/>
      </c>
      <c r="DV634">
        <f>IF($DM634=0,"",IF($L$14=0,"",IFERROR(IF(ISNUMBER(INDEX(PASTE_ALL,$DF634,$L$14)),INDEX(PASTE_ALL,$DF634,$L$14),TRIM(SUBSTITUTE(SUBSTITUTE(SUBSTITUTE(SUBSTITUTE(INDEX(PASTE_ALL,$DF634,$L$14)," "," "),CHAR(9)," "),CHAR(10)," "),CHAR(13)," "))),"")))</f>
        <v/>
      </c>
      <c r="DW634">
        <f>IF($DM634=0,"",IF($L$15=0,"",IFERROR(IF(ISNUMBER(INDEX(PASTE_ALL,$DF634,$L$15)),INDEX(PASTE_ALL,$DF634,$L$15),IF(SUMPRODUCT(--ISNUMBER(FIND({"A","B","C","D","E","F","G","H","I","J","K","L","M","N","O","P","Q","R","S","T","U","V","W","X","Y","Z","0","1","2","3","4","5","6","7","8","9"},UPPER(TRIM(SUBSTITUTE(SUBSTITUTE(SUBSTITUTE(SUBSTITUTE(INDEX(PASTE_ALL,$DF634,$L$15)," "," "),CHAR(9)," "),CHAR(10)," "),CHAR(13)," "))))))&gt;0,TRIM(SUBSTITUTE(SUBSTITUTE(SUBSTITUTE(SUBSTITUTE(INDEX(PASTE_ALL,$DF634,$L$15)," "," "),CHAR(9)," "),CHAR(10)," "),CHAR(13)," ")),"")),"")))</f>
        <v/>
      </c>
      <c r="DX634">
        <f>IF($DM634=0,"",IF($L$16=0,"",IFERROR(IF(ISNUMBER(INDEX(PASTE_ALL,$DF634,$L$16)),INDEX(PASTE_ALL,$DF634,$L$16),SUBSTITUTE(SUBSTITUTE(TRIM(SUBSTITUTE(SUBSTITUTE(SUBSTITUTE(SUBSTITUTE(INDEX(PASTE_ALL,$DF634,$L$16)," "," "),CHAR(9)," "),CHAR(10)," "),CHAR(13)," ")),",",""),"%","")),"")))</f>
        <v/>
      </c>
      <c r="DY634">
        <f>IF($DM634=0,"",IFERROR(IF(ISNUMBER($DX634),$DX634,IF($DX634="","",IF(TRIM($DX634)="",0,IF(AND(AND(SUBSTITUTE(SUBSTITUTE(SUBSTITUTE(SUBSTITUTE(SUBSTITUTE(SUBSTITUTE(SUBSTITUTE(SUBSTITUTE(SUBSTITUTE(SUBSTITUTE(SUBSTITUTE(SUBSTITUTE(SUBSTITUTE(SUBSTITUTE(UPPER(TRIM($DX634)),"0",""),"1",""),"2",""),"3",""),"4",""),"5",""),"6",""),"7",""),"8",""),"9",""),".",""),"+",""),"-",""),"E","")="",LEN(SUBSTITUTE(SUBSTITUTE(MID(UPPER(TRIM($DX634)),1+OR(LEFT(UPPER(TRIM($DX634)),1)="+",LEFT(UPPER(TRIM($DX634)),1)="-"),999),"E+","E"),"E-","E"))=LEN(SUBSTITUTE(SUBSTITUTE(SUBSTITUTE(SUBSTITUTE(MID(UPPER(TRIM($DX634)),1+OR(LEFT(UPPER(TRIM($DX634)),1)="+",LEFT(UPPER(TRIM($DX634)),1)="-"),999),"E+","E"),"E-","E"),"+",""),"-","")),LEN(UPPER(TRIM($DX634)))-LEN(SUBSTITUTE(UPPER(TRIM($DX634)),"E",""))&lt;2,LEN(UPPER(TRIM($DX634)))-LEN(SUBSTITUTE(UPPER(TRIM($DX634)),".",""))&lt;2,IFERROR(FIND(".",UPPER(TRIM($DX634))),0)&lt;IFERROR(FIND("E",UPPER(TRIM($DX634))),999)),ISNUMBER(VALUE(TRIM($DX634)))),VALUE(TRIM($DX634)),"")))),""))</f>
        <v/>
      </c>
      <c r="DZ634">
        <f>IF($DM634=0,"",IF($L$17=0,"",IFERROR(IF(ISNUMBER(INDEX(PASTE_ALL,$DF634,$L$17)),INDEX(PASTE_ALL,$DF634,$L$17),SUBSTITUTE(SUBSTITUTE(TRIM(SUBSTITUTE(SUBSTITUTE(SUBSTITUTE(SUBSTITUTE(INDEX(PASTE_ALL,$DF634,$L$17)," "," "),CHAR(9)," "),CHAR(10)," "),CHAR(13)," ")),",",""),"%","")),"")))</f>
        <v/>
      </c>
      <c r="EA634">
        <f>IF($DM634=0,"",IFERROR(IF(ISNUMBER($DZ634),$DZ634,IF($DZ634="","",IF(TRIM($DZ634)="",0,IF(AND(AND(SUBSTITUTE(SUBSTITUTE(SUBSTITUTE(SUBSTITUTE(SUBSTITUTE(SUBSTITUTE(SUBSTITUTE(SUBSTITUTE(SUBSTITUTE(SUBSTITUTE(SUBSTITUTE(SUBSTITUTE(SUBSTITUTE(SUBSTITUTE(UPPER(TRIM($DZ634)),"0",""),"1",""),"2",""),"3",""),"4",""),"5",""),"6",""),"7",""),"8",""),"9",""),".",""),"+",""),"-",""),"E","")="",LEN(SUBSTITUTE(SUBSTITUTE(MID(UPPER(TRIM($DZ634)),1+OR(LEFT(UPPER(TRIM($DZ634)),1)="+",LEFT(UPPER(TRIM($DZ634)),1)="-"),999),"E+","E"),"E-","E"))=LEN(SUBSTITUTE(SUBSTITUTE(SUBSTITUTE(SUBSTITUTE(MID(UPPER(TRIM($DZ634)),1+OR(LEFT(UPPER(TRIM($DZ634)),1)="+",LEFT(UPPER(TRIM($DZ634)),1)="-"),999),"E+","E"),"E-","E"),"+",""),"-","")),LEN(UPPER(TRIM($DZ634)))-LEN(SUBSTITUTE(UPPER(TRIM($DZ634)),"E",""))&lt;2,LEN(UPPER(TRIM($DZ634)))-LEN(SUBSTITUTE(UPPER(TRIM($DZ634)),".",""))&lt;2,IFERROR(FIND(".",UPPER(TRIM($DZ634))),0)&lt;IFERROR(FIND("E",UPPER(TRIM($DZ634))),999)),ISNUMBER(VALUE(TRIM($DZ634)))),VALUE(TRIM($DZ634)),"")))),""))</f>
        <v/>
      </c>
      <c r="EB634">
        <f>IF($DM634=0,"",IF($L$18=0,"",IFERROR(IF(UPPER(TRIM(SUBSTITUTE(SUBSTITUTE(SUBSTITUTE(SUBSTITUTE(INDEX(PASTE_ALL,$DF634,$L$18)," "," "),CHAR(9)," "),CHAR(10)," "),CHAR(13)," ")))="READY","Ready",IF(UPPER(TRIM(SUBSTITUTE(SUBSTITUTE(SUBSTITUTE(SUBSTITUTE(INDEX(PASTE_ALL,$DF634,$L$18)," "," "),CHAR(9)," "),CHAR(10)," "),CHAR(13)," ")))="PM","PM",IF(OR(UPPER(TRIM(SUBSTITUTE(SUBSTITUTE(SUBSTITUTE(SUBSTITUTE(INDEX(PASTE_ALL,$DF634,$L$18)," "," "),CHAR(9)," "),CHAR(10)," "),CHAR(13)," ")))="OT",UPPER(TRIM(SUBSTITUTE(SUBSTITUTE(SUBSTITUTE(SUBSTITUTE(INDEX(PASTE_ALL,$DF634,$L$18)," "," "),CHAR(9)," "),CHAR(10)," "),CHAR(13)," ")))="OVERTIME",UPPER(TRIM(SUBSTITUTE(SUBSTITUTE(SUBSTITUTE(SUBSTITUTE(INDEX(PASTE_ALL,$DF634,$L$18)," "," "),CHAR(9)," "),CHAR(10)," "),CHAR(13)," ")))="TRIAL"),"OT",TRIM(SUBSTITUTE(SUBSTITUTE(SUBSTITUTE(SUBSTITUTE(INDEX(PASTE_ALL,$DF634,$L$18)," "," "),CHAR(9)," "),CHAR(10)," "),CHAR(13)," "))))),"")))</f>
        <v/>
      </c>
      <c r="EC634">
        <f>IF($DM634=0,"",IF($L$19=0,"",IFERROR(IF(ISNUMBER(INDEX(PASTE_ALL,$DF634,$L$19)),INDEX(PASTE_ALL,$DF634,$L$19),TRIM(SUBSTITUTE(SUBSTITUTE(SUBSTITUTE(SUBSTITUTE(INDEX(PASTE_ALL,$DF634,$L$19)," "," "),CHAR(9)," "),CHAR(10)," "),CHAR(13)," "))),"")))</f>
        <v/>
      </c>
      <c r="ED634">
        <f>IF($DM634=0,"",MATCH(1,INDEX(EXACT($DH$5:DH634,$DH634)*$DM$5:DM634,0),0))</f>
        <v/>
      </c>
      <c r="EE634">
        <f>IF($DM634=0,0,IF($ED634=$DE634,1,0))</f>
        <v/>
      </c>
      <c r="EF634">
        <f>EF633+$EE634</f>
        <v/>
      </c>
      <c r="EG634">
        <f>IF($DM634=0,"",INDEX($EF$5:$EF$1003,$ED634))</f>
        <v/>
      </c>
      <c r="EH634">
        <f>IF($DM634=0,"",IF($DO634&lt;&gt;"","",IFERROR(LOOKUP(2,1/(($EG$4:EG633=$EG634)*($DO$4:DO633&lt;&gt;"")),$DO$4:DO633),"")))</f>
        <v/>
      </c>
      <c r="EI634">
        <f>IF($DM634=0,"",IF($DO634&lt;&gt;"",$DO634,$EH634))</f>
        <v/>
      </c>
      <c r="EJ634">
        <f>IF($DM634=0,"",IF($EI634="",0,IF(OR(ISNUMBER($EI634),AND(AND(SUBSTITUTE(SUBSTITUTE(SUBSTITUTE(SUBSTITUTE(SUBSTITUTE(SUBSTITUTE(SUBSTITUTE(SUBSTITUTE(SUBSTITUTE(SUBSTITUTE(SUBSTITUTE(SUBSTITUTE(SUBSTITUTE(SUBSTITUTE(UPPER($EI634),"0",""),"1",""),"2",""),"3",""),"4",""),"5",""),"6",""),"7",""),"8",""),"9",""),".",""),"+",""),"-",""),"E","")="",LEN(SUBSTITUTE(SUBSTITUTE(MID(UPPER($EI634),1+OR(LEFT(UPPER($EI634),1)="+",LEFT(UPPER($EI634),1)="-"),999),"E+","E"),"E-","E"))=LEN(SUBSTITUTE(SUBSTITUTE(SUBSTITUTE(SUBSTITUTE(MID(UPPER($EI634),1+OR(LEFT(UPPER($EI634),1)="+",LEFT(UPPER($EI634),1)="-"),999),"E+","E"),"E-","E"),"+",""),"-","")),LEN(UPPER($EI634))-LEN(SUBSTITUTE(UPPER($EI634),"E",""))&lt;2,LEN(UPPER($EI634))-LEN(SUBSTITUTE(UPPER($EI634),".",""))&lt;2,IFERROR(FIND(".",UPPER($EI634)),0)&lt;IFERROR(FIND("E",UPPER($EI634)),999)),ISNUMBER(VALUE($EI634)))),1,2)))</f>
        <v/>
      </c>
      <c r="EK634">
        <f>IF($DM634=0,"",IF($EJ634=1,IF(ISNUMBER($EI634),$EI634,VALUE($EI634)),IF($EJ634=2,$DE634,0)))</f>
        <v/>
      </c>
      <c r="EL634">
        <f>IF($DM634=0,"",COUNTIF($EG$5:$EG$1003,"&lt;"&amp;$EG634)+SUMPRODUCT(($EG$5:$EG$1003=$EG634)*(($EJ$5:$EJ$1003&lt;$EJ634)+($EJ$5:$EJ$1003=$EJ634)*(($EK$5:$EK$1003&lt;$EK634)+($EK$5:$EK$1003=$EK634)*($DE$5:$DE$1003&lt;$DE634))))+1)</f>
        <v/>
      </c>
      <c r="EM634">
        <f>IF($DM634=0,"",$EL634+$EG634-1)</f>
        <v/>
      </c>
      <c r="EN634">
        <f>IF($DM634=0,0,IFERROR(MATCH(1,INDEX(--(TRIM(SUBSTITUTE(SUBSTITUTE(SUBSTITUTE(SUBSTITUTE(LINES_NAME&amp;""," "," "),CHAR(9)," "),CHAR(10)," "),CHAR(13)," "))=$DH634),0),0),0))</f>
        <v/>
      </c>
      <c r="EO634">
        <f>IF($EN634=0,0,IF(OR(UPPER(TRIM(INDEX(LINES_SCHEDULED,$EN634)&amp;""))="YES",UPPER(TRIM(INDEX(LINES_SCHEDULED,$EN634)&amp;""))="Y",UPPER(TRIM(INDEX(LINES_SCHEDULED,$EN634)&amp;""))="X"),1,0))</f>
        <v/>
      </c>
      <c r="EP634">
        <f>IF($DM634=0,"",IF(COUNTIFS($EG$5:$EG$1003,$EG634,$EB$5:$EB$1003,"Ready")&gt;0,"READY",IF(COUNTIFS($EG$5:$EG$1003,$EG634,$EB$5:$EB$1003,"PM")&gt;0,"PM",IF(COUNTIFS($EG$5:$EG$1003,$EG634,$EB$5:$EB$1003,"OT")&gt;0,"OT",""))))</f>
        <v/>
      </c>
      <c r="EQ634">
        <f>IF($EN634=0,"",UPPER(TRIM(INDEX(LINES_STATUS,$EN634)&amp;"")))</f>
        <v/>
      </c>
      <c r="ER634">
        <f>IF($DM634=0,"",IF(OR($EQ634="READY",$EQ634="PM",$EQ634="OT"),$EQ634,$EP634))</f>
        <v/>
      </c>
      <c r="ES634">
        <f>IF($DM634=0,"",IF(AND($DV634&lt;&gt;"",UPPER($DV634)&lt;&gt;"N"),"allergen",IF(ISNUMBER(SEARCH("oil",$DQ634)),"oil",IF(OR(EXACT($DS634,"A662"),EXACT($DS634,"A624")),"bulk",""))))</f>
        <v/>
      </c>
      <c r="ET634">
        <f>IF($DM634=0,"",IF(OR($EA634="",$EA634=0),"",$EA634/100))</f>
        <v/>
      </c>
      <c r="EU634">
        <f>IF(OR($ET634="",$DY634=""),"",INT($DY634*(1-$ET634)+0.5))</f>
        <v/>
      </c>
      <c r="EW634" t="n">
        <v>630</v>
      </c>
      <c r="EX634">
        <f>IFERROR(MATCH($EW634,$EM$5:$EM$1003,0),0)</f>
        <v/>
      </c>
      <c r="EY634">
        <f>IF($EW634&gt;$B$12,"",IF($EX634&gt;0,"row","spacer"))</f>
        <v/>
      </c>
      <c r="EZ634">
        <f>IF(AND($EY634="row",$EY633&lt;&gt;"row"),1,0)</f>
        <v/>
      </c>
      <c r="FA634">
        <f>IF(AND($EY634="row",$EY635&lt;&gt;"row"),1,0)</f>
        <v/>
      </c>
      <c r="FB634">
        <f>IF($EZ634=1,IFERROR(IF(ISNUMBER(INDEX(PASTE_ALL,INDEX($DF$5:$DF$1003,$EX634),$B$37)),INDEX(PASTE_ALL,INDEX($DF$5:$DF$1003,$EX634),$B$37),INDEX($DH$5:$DH$1003,$EX634)),INDEX($DH$5:$DH$1003,$EX634)),"")</f>
        <v/>
      </c>
      <c r="FC634">
        <f>IF($EY634="row",INDEX($ER$5:$ER$1003,$EX634),"")</f>
        <v/>
      </c>
      <c r="FD634">
        <f>IF($EY634="row",INDEX($DN$5:$DN$1003,$EX634),"")</f>
        <v/>
      </c>
      <c r="FE634">
        <f>IF($EY634="row",INDEX($DO$5:$DO$1003,$EX634),"")</f>
        <v/>
      </c>
      <c r="FF634">
        <f>IF($EY634="row",INDEX($DP$5:$DP$1003,$EX634),"")</f>
        <v/>
      </c>
      <c r="FG634">
        <f>IF($EY634="row",INDEX($DQ$5:$DQ$1003,$EX634),"")</f>
        <v/>
      </c>
      <c r="FH634">
        <f>IF($EY634="row",INDEX($DR$5:$DR$1003,$EX634),"")</f>
        <v/>
      </c>
      <c r="FI634">
        <f>IF($EY634="row",INDEX($DS$5:$DS$1003,$EX634),"")</f>
        <v/>
      </c>
      <c r="FJ634">
        <f>IF($EY634="row",INDEX($DT$5:$DT$1003,$EX634),"")</f>
        <v/>
      </c>
      <c r="FK634">
        <f>IF($EY634="row",INDEX($DU$5:$DU$1003,$EX634),"")</f>
        <v/>
      </c>
      <c r="FL634">
        <f>IF($EY634="row",INDEX($DV$5:$DV$1003,$EX634),"")</f>
        <v/>
      </c>
      <c r="FM634">
        <f>IF($EY634="row",INDEX($DW$5:$DW$1003,$EX634),"")</f>
        <v/>
      </c>
      <c r="FN634">
        <f>IF($EY634="row",INDEX($DY$5:$DY$1003,$EX634),"")</f>
        <v/>
      </c>
      <c r="FO634">
        <f>IF($EY634="row",INDEX($EA$5:$EA$1003,$EX634),"")</f>
        <v/>
      </c>
      <c r="FP634">
        <f>IF($EY634="row",INDEX($EC$5:$EC$1003,$EX634),"")</f>
        <v/>
      </c>
      <c r="FQ634">
        <f>IF($EY634="row",INDEX($ET$5:$ET$1003,$EX634),"")</f>
        <v/>
      </c>
      <c r="FR634">
        <f>IF($EY634="row",INDEX($EU$5:$EU$1003,$EX634),"")</f>
        <v/>
      </c>
      <c r="FS634">
        <f>IF(AND($EY634="row",$EY633="row"),IF(OR(INDEX($DT$5:$DT$1003,$EX633)="",INDEX($DT$5:$DT$1003,$EX634)=""),"",IF(NOT(EXACT(INDEX($DT$5:$DT$1003,$EX633),INDEX($DT$5:$DT$1003,$EX634))),"S4",IF(NOT(EXACT(INDEX($DS$5:$DS$1003,$EX633),INDEX($DS$5:$DS$1003,$EX634))),"S3",IF(NOT(EXACT(INDEX($DR$5:$DR$1003,$EX633),INDEX($DR$5:$DR$1003,$EX634))),"S1 Count Change","S1")))),"")</f>
        <v/>
      </c>
      <c r="FT634">
        <f>IF($EY634="row",INDEX($ES$5:$ES$1003,$EX634),"")</f>
        <v/>
      </c>
      <c r="FU634">
        <f>IF($EY634="row",INDEX($EO$5:$EO$1003,$EX634),0)</f>
        <v/>
      </c>
      <c r="FV634">
        <f>IF($FS634="S1 Count Change",1,0)</f>
        <v/>
      </c>
    </row>
    <row r="635">
      <c r="DA635" t="n">
        <v>631</v>
      </c>
      <c r="DB635">
        <f>IF($B$37=0,"",IFERROR(TRIM(SUBSTITUTE(SUBSTITUTE(SUBSTITUTE(SUBSTITUTE(INDEX(PASTE_ALL,631,$B$37)," "," "),CHAR(9)," "),CHAR(10)," "),CHAR(13)," ")),""))</f>
        <v/>
      </c>
      <c r="DC635">
        <f>IF(AND(631&gt;HEADER_ROW,UPPER(DB635)="LEGEND"),1,0)</f>
        <v/>
      </c>
      <c r="DE635" t="n">
        <v>631</v>
      </c>
      <c r="DF635">
        <f>HEADER_ROW+$DE635</f>
        <v/>
      </c>
      <c r="DG635">
        <f>IF(AND($DF635&lt;=1000,$DF635&lt;$B$8),1,0)</f>
        <v/>
      </c>
      <c r="DH635">
        <f>IF($DG635=1,IFERROR(INDEX($DB$5:$DB$1004,$DF635),""),"")</f>
        <v/>
      </c>
      <c r="DI635">
        <f>IF(AND($DG635=1,$DH635&lt;&gt;""),IFERROR(SUBSTITUTE(SUBSTITUTE(TRIM(SUBSTITUTE(SUBSTITUTE(SUBSTITUTE(SUBSTITUTE(IFERROR(INDEX(PASTE_ALL,$DF635,1)&amp;"","")&amp;"␟"&amp;IFERROR(INDEX(PASTE_ALL,$DF635,2)&amp;"","")&amp;"␟"&amp;IFERROR(INDEX(PASTE_ALL,$DF635,3)&amp;"","")&amp;"␟"&amp;IFERROR(INDEX(PASTE_ALL,$DF635,4)&amp;"","")&amp;"␟"&amp;IFERROR(INDEX(PASTE_ALL,$DF635,5)&amp;"","")&amp;"␟"&amp;IFERROR(INDEX(PASTE_ALL,$DF635,6)&amp;"","")&amp;"␟"&amp;IFERROR(INDEX(PASTE_ALL,$DF635,7)&amp;"","")&amp;"␟"&amp;IFERROR(INDEX(PASTE_ALL,$DF635,8)&amp;"","")&amp;"␟"&amp;IFERROR(INDEX(PASTE_ALL,$DF635,9)&amp;"","")&amp;"␟"&amp;IFERROR(INDEX(PASTE_ALL,$DF635,10)&amp;"","")&amp;"␟"&amp;IFERROR(INDEX(PASTE_ALL,$DF635,11)&amp;"","")&amp;"␟"&amp;IFERROR(INDEX(PASTE_ALL,$DF635,12)&amp;"","")&amp;"␟"&amp;IFERROR(INDEX(PASTE_ALL,$DF635,13)&amp;"","")&amp;"␟"&amp;IFERROR(INDEX(PASTE_ALL,$DF635,14)&amp;"","")&amp;"␟"&amp;IFERROR(INDEX(PASTE_ALL,$DF635,15)&amp;"","")&amp;"␟"&amp;IFERROR(INDEX(PASTE_ALL,$DF635,16)&amp;"","")&amp;"␟"&amp;IFERROR(INDEX(PASTE_ALL,$DF635,17)&amp;"","")&amp;"␟"&amp;IFERROR(INDEX(PASTE_ALL,$DF635,18)&amp;"","")&amp;"␟"&amp;IFERROR(INDEX(PASTE_ALL,$DF635,19)&amp;"","")&amp;"␟"&amp;IFERROR(INDEX(PASTE_ALL,$DF635,20)&amp;"","")&amp;"␟"&amp;IFERROR(INDEX(PASTE_ALL,$DF635,21)&amp;"","")&amp;"␟"&amp;IFERROR(INDEX(PASTE_ALL,$DF635,22)&amp;"","")&amp;"␟"&amp;IFERROR(INDEX(PASTE_ALL,$DF635,23)&amp;"","")&amp;"␟"&amp;IFERROR(INDEX(PASTE_ALL,$DF635,24)&amp;"","")&amp;"␟"&amp;IFERROR(INDEX(PASTE_ALL,$DF635,25)&amp;"","")&amp;"␟"&amp;IFERROR(INDEX(PASTE_ALL,$DF635,26)&amp;"","")&amp;"␟"&amp;IFERROR(INDEX(PASTE_ALL,$DF635,27)&amp;"","")&amp;"␟"&amp;IFERROR(INDEX(PASTE_ALL,$DF635,28)&amp;"","")&amp;"␟"&amp;IFERROR(INDEX(PASTE_ALL,$DF635,29)&amp;"","")&amp;"␟"&amp;IFERROR(INDEX(PASTE_ALL,$DF635,30)&amp;"","")&amp;"␟"&amp;IFERROR(INDEX(PASTE_ALL,$DF635,31)&amp;"","")&amp;"␟"&amp;IFERROR(INDEX(PASTE_ALL,$DF635,32)&amp;"","")&amp;"␟"&amp;IFERROR(INDEX(PASTE_ALL,$DF635,33)&amp;"","")&amp;"␟"&amp;IFERROR(INDEX(PASTE_ALL,$DF635,34)&amp;"","")&amp;"␟"&amp;IFERROR(INDEX(PASTE_ALL,$DF635,35)&amp;"","")&amp;"␟"&amp;IFERROR(INDEX(PASTE_ALL,$DF635,36)&amp;"","")&amp;"␟"&amp;IFERROR(INDEX(PASTE_ALL,$DF635,37)&amp;"","")&amp;"␟"&amp;IFERROR(INDEX(PASTE_ALL,$DF635,38)&amp;"","")&amp;"␟"&amp;IFERROR(INDEX(PASTE_ALL,$DF635,39)&amp;"","")&amp;"␟"&amp;IFERROR(INDEX(PASTE_ALL,$DF635,40)&amp;"","")&amp;"␟"&amp;IFERROR(INDEX(PASTE_ALL,$DF635,41)&amp;"","")&amp;"␟"&amp;IFERROR(INDEX(PASTE_ALL,$DF635,42)&amp;"","")&amp;"␟"&amp;IFERROR(INDEX(PASTE_ALL,$DF635,43)&amp;"","")&amp;"␟"&amp;IFERROR(INDEX(PASTE_ALL,$DF635,44)&amp;"","")&amp;"␟"&amp;IFERROR(INDEX(PASTE_ALL,$DF635,45)&amp;"","")&amp;"␟"&amp;IFERROR(INDEX(PASTE_ALL,$DF635,46)&amp;"","")&amp;"␟"&amp;IFERROR(INDEX(PASTE_ALL,$DF635,47)&amp;"","")&amp;"␟"&amp;IFERROR(INDEX(PASTE_ALL,$DF635,48)&amp;"","")&amp;"␟"&amp;IFERROR(INDEX(PASTE_ALL,$DF635,49)&amp;"","")&amp;"␟"&amp;IFERROR(INDEX(PASTE_ALL,$DF635,50)&amp;"","")&amp;"␟"&amp;IFERROR(INDEX(PASTE_ALL,$DF635,51)&amp;"","")&amp;"␟"&amp;IFERROR(INDEX(PASTE_ALL,$DF635,52)&amp;"","")&amp;"␟"&amp;IFERROR(INDEX(PASTE_ALL,$DF635,53)&amp;"","")&amp;"␟"&amp;IFERROR(INDEX(PASTE_ALL,$DF635,54)&amp;"","")&amp;"␟"&amp;IFERROR(INDEX(PASTE_ALL,$DF635,55)&amp;"","")&amp;"␟"&amp;IFERROR(INDEX(PASTE_ALL,$DF635,56)&amp;"","")&amp;"␟"&amp;IFERROR(INDEX(PASTE_ALL,$DF635,57)&amp;"","")&amp;"␟"&amp;IFERROR(INDEX(PASTE_ALL,$DF635,58)&amp;"","")&amp;"␟"&amp;IFERROR(INDEX(PASTE_ALL,$DF635,59)&amp;"","")&amp;"␟"&amp;IFERROR(INDEX(PASTE_ALL,$DF635,60)&amp;"","")," "," "),CHAR(9)," "),CHAR(10)," "),CHAR(13)," "))," ␟","␟"),"␟ ","␟"),"#"&amp;$DE635),"")</f>
        <v/>
      </c>
      <c r="DJ635">
        <f>IF($DI635="",0,IF(SUMPRODUCT(--EXACT($DI$4:DI634,$DI635))&gt;0,1,0))</f>
        <v/>
      </c>
      <c r="DK635">
        <f>IF(AND($DI635&lt;&gt;"",$DJ635=0),1,0)</f>
        <v/>
      </c>
      <c r="DL635">
        <f>DL634+$DK635</f>
        <v/>
      </c>
      <c r="DM635">
        <f>IF(AND($DK635=1,$DL635&lt;=600),1,0)</f>
        <v/>
      </c>
      <c r="DN635">
        <f>IF($DM635=0,"",IF($L$6=0,"",IFERROR(IF(ISNUMBER(INDEX(PASTE_ALL,$DF635,$L$6)),INDEX(PASTE_ALL,$DF635,$L$6),TRIM(SUBSTITUTE(SUBSTITUTE(SUBSTITUTE(SUBSTITUTE(INDEX(PASTE_ALL,$DF635,$L$6)," "," "),CHAR(9)," "),CHAR(10)," "),CHAR(13)," "))),"")))</f>
        <v/>
      </c>
      <c r="DO635">
        <f>IF($DM635=0,"",IF($L$7=0,"",IFERROR(IF(ISNUMBER(INDEX(PASTE_ALL,$DF635,$L$7)),INDEX(PASTE_ALL,$DF635,$L$7),TRIM(SUBSTITUTE(SUBSTITUTE(SUBSTITUTE(SUBSTITUTE(INDEX(PASTE_ALL,$DF635,$L$7)," "," "),CHAR(9)," "),CHAR(10)," "),CHAR(13)," "))),"")))</f>
        <v/>
      </c>
      <c r="DP635">
        <f>IF($DM635=0,"",IF($L$8=0,"",IFERROR(IF(ISNUMBER(INDEX(PASTE_ALL,$DF635,$L$8)),INDEX(PASTE_ALL,$DF635,$L$8),TRIM(SUBSTITUTE(SUBSTITUTE(SUBSTITUTE(SUBSTITUTE(INDEX(PASTE_ALL,$DF635,$L$8)," "," "),CHAR(9)," "),CHAR(10)," "),CHAR(13)," "))),"")))</f>
        <v/>
      </c>
      <c r="DQ635">
        <f>IF($DM635=0,"",IF($L$9=0,"",IFERROR(IF(ISNUMBER(INDEX(PASTE_ALL,$DF635,$L$9)),INDEX(PASTE_ALL,$DF635,$L$9),TRIM(SUBSTITUTE(SUBSTITUTE(SUBSTITUTE(SUBSTITUTE(INDEX(PASTE_ALL,$DF635,$L$9)," "," "),CHAR(9)," "),CHAR(10)," "),CHAR(13)," "))),"")))</f>
        <v/>
      </c>
      <c r="DR635">
        <f>IF($DM635=0,"",IF($L$10=0,"",IFERROR(IF(ISNUMBER(INDEX(PASTE_ALL,$DF635,$L$10)),INDEX(PASTE_ALL,$DF635,$L$10),TRIM(SUBSTITUTE(SUBSTITUTE(SUBSTITUTE(SUBSTITUTE(INDEX(PASTE_ALL,$DF635,$L$10)," "," "),CHAR(9)," "),CHAR(10)," "),CHAR(13)," "))),"")))</f>
        <v/>
      </c>
      <c r="DS635">
        <f>IF($DM635=0,"",IF($L$11=0,"",IFERROR(IF(ISNUMBER(INDEX(PASTE_ALL,$DF635,$L$11)),INDEX(PASTE_ALL,$DF635,$L$11),TRIM(SUBSTITUTE(SUBSTITUTE(SUBSTITUTE(SUBSTITUTE(INDEX(PASTE_ALL,$DF635,$L$11)," "," "),CHAR(9)," "),CHAR(10)," "),CHAR(13)," "))),"")))</f>
        <v/>
      </c>
      <c r="DT635">
        <f>IF($DM635=0,"",IF($L$12=0,"",IFERROR(IF(ISNUMBER(INDEX(PASTE_ALL,$DF635,$L$12)),INDEX(PASTE_ALL,$DF635,$L$12),TRIM(SUBSTITUTE(SUBSTITUTE(SUBSTITUTE(SUBSTITUTE(INDEX(PASTE_ALL,$DF635,$L$12)," "," "),CHAR(9)," "),CHAR(10)," "),CHAR(13)," "))),"")))</f>
        <v/>
      </c>
      <c r="DU635">
        <f>IF($DM635=0,"",IF($L$13=0,"",IFERROR(IF(ISNUMBER(INDEX(PASTE_ALL,$DF635,$L$13)),INDEX(PASTE_ALL,$DF635,$L$13),TRIM(SUBSTITUTE(SUBSTITUTE(SUBSTITUTE(SUBSTITUTE(INDEX(PASTE_ALL,$DF635,$L$13)," "," "),CHAR(9)," "),CHAR(10)," "),CHAR(13)," "))),"")))</f>
        <v/>
      </c>
      <c r="DV635">
        <f>IF($DM635=0,"",IF($L$14=0,"",IFERROR(IF(ISNUMBER(INDEX(PASTE_ALL,$DF635,$L$14)),INDEX(PASTE_ALL,$DF635,$L$14),TRIM(SUBSTITUTE(SUBSTITUTE(SUBSTITUTE(SUBSTITUTE(INDEX(PASTE_ALL,$DF635,$L$14)," "," "),CHAR(9)," "),CHAR(10)," "),CHAR(13)," "))),"")))</f>
        <v/>
      </c>
      <c r="DW635">
        <f>IF($DM635=0,"",IF($L$15=0,"",IFERROR(IF(ISNUMBER(INDEX(PASTE_ALL,$DF635,$L$15)),INDEX(PASTE_ALL,$DF635,$L$15),IF(SUMPRODUCT(--ISNUMBER(FIND({"A","B","C","D","E","F","G","H","I","J","K","L","M","N","O","P","Q","R","S","T","U","V","W","X","Y","Z","0","1","2","3","4","5","6","7","8","9"},UPPER(TRIM(SUBSTITUTE(SUBSTITUTE(SUBSTITUTE(SUBSTITUTE(INDEX(PASTE_ALL,$DF635,$L$15)," "," "),CHAR(9)," "),CHAR(10)," "),CHAR(13)," "))))))&gt;0,TRIM(SUBSTITUTE(SUBSTITUTE(SUBSTITUTE(SUBSTITUTE(INDEX(PASTE_ALL,$DF635,$L$15)," "," "),CHAR(9)," "),CHAR(10)," "),CHAR(13)," ")),"")),"")))</f>
        <v/>
      </c>
      <c r="DX635">
        <f>IF($DM635=0,"",IF($L$16=0,"",IFERROR(IF(ISNUMBER(INDEX(PASTE_ALL,$DF635,$L$16)),INDEX(PASTE_ALL,$DF635,$L$16),SUBSTITUTE(SUBSTITUTE(TRIM(SUBSTITUTE(SUBSTITUTE(SUBSTITUTE(SUBSTITUTE(INDEX(PASTE_ALL,$DF635,$L$16)," "," "),CHAR(9)," "),CHAR(10)," "),CHAR(13)," ")),",",""),"%","")),"")))</f>
        <v/>
      </c>
      <c r="DY635">
        <f>IF($DM635=0,"",IFERROR(IF(ISNUMBER($DX635),$DX635,IF($DX635="","",IF(TRIM($DX635)="",0,IF(AND(AND(SUBSTITUTE(SUBSTITUTE(SUBSTITUTE(SUBSTITUTE(SUBSTITUTE(SUBSTITUTE(SUBSTITUTE(SUBSTITUTE(SUBSTITUTE(SUBSTITUTE(SUBSTITUTE(SUBSTITUTE(SUBSTITUTE(SUBSTITUTE(UPPER(TRIM($DX635)),"0",""),"1",""),"2",""),"3",""),"4",""),"5",""),"6",""),"7",""),"8",""),"9",""),".",""),"+",""),"-",""),"E","")="",LEN(SUBSTITUTE(SUBSTITUTE(MID(UPPER(TRIM($DX635)),1+OR(LEFT(UPPER(TRIM($DX635)),1)="+",LEFT(UPPER(TRIM($DX635)),1)="-"),999),"E+","E"),"E-","E"))=LEN(SUBSTITUTE(SUBSTITUTE(SUBSTITUTE(SUBSTITUTE(MID(UPPER(TRIM($DX635)),1+OR(LEFT(UPPER(TRIM($DX635)),1)="+",LEFT(UPPER(TRIM($DX635)),1)="-"),999),"E+","E"),"E-","E"),"+",""),"-","")),LEN(UPPER(TRIM($DX635)))-LEN(SUBSTITUTE(UPPER(TRIM($DX635)),"E",""))&lt;2,LEN(UPPER(TRIM($DX635)))-LEN(SUBSTITUTE(UPPER(TRIM($DX635)),".",""))&lt;2,IFERROR(FIND(".",UPPER(TRIM($DX635))),0)&lt;IFERROR(FIND("E",UPPER(TRIM($DX635))),999)),ISNUMBER(VALUE(TRIM($DX635)))),VALUE(TRIM($DX635)),"")))),""))</f>
        <v/>
      </c>
      <c r="DZ635">
        <f>IF($DM635=0,"",IF($L$17=0,"",IFERROR(IF(ISNUMBER(INDEX(PASTE_ALL,$DF635,$L$17)),INDEX(PASTE_ALL,$DF635,$L$17),SUBSTITUTE(SUBSTITUTE(TRIM(SUBSTITUTE(SUBSTITUTE(SUBSTITUTE(SUBSTITUTE(INDEX(PASTE_ALL,$DF635,$L$17)," "," "),CHAR(9)," "),CHAR(10)," "),CHAR(13)," ")),",",""),"%","")),"")))</f>
        <v/>
      </c>
      <c r="EA635">
        <f>IF($DM635=0,"",IFERROR(IF(ISNUMBER($DZ635),$DZ635,IF($DZ635="","",IF(TRIM($DZ635)="",0,IF(AND(AND(SUBSTITUTE(SUBSTITUTE(SUBSTITUTE(SUBSTITUTE(SUBSTITUTE(SUBSTITUTE(SUBSTITUTE(SUBSTITUTE(SUBSTITUTE(SUBSTITUTE(SUBSTITUTE(SUBSTITUTE(SUBSTITUTE(SUBSTITUTE(UPPER(TRIM($DZ635)),"0",""),"1",""),"2",""),"3",""),"4",""),"5",""),"6",""),"7",""),"8",""),"9",""),".",""),"+",""),"-",""),"E","")="",LEN(SUBSTITUTE(SUBSTITUTE(MID(UPPER(TRIM($DZ635)),1+OR(LEFT(UPPER(TRIM($DZ635)),1)="+",LEFT(UPPER(TRIM($DZ635)),1)="-"),999),"E+","E"),"E-","E"))=LEN(SUBSTITUTE(SUBSTITUTE(SUBSTITUTE(SUBSTITUTE(MID(UPPER(TRIM($DZ635)),1+OR(LEFT(UPPER(TRIM($DZ635)),1)="+",LEFT(UPPER(TRIM($DZ635)),1)="-"),999),"E+","E"),"E-","E"),"+",""),"-","")),LEN(UPPER(TRIM($DZ635)))-LEN(SUBSTITUTE(UPPER(TRIM($DZ635)),"E",""))&lt;2,LEN(UPPER(TRIM($DZ635)))-LEN(SUBSTITUTE(UPPER(TRIM($DZ635)),".",""))&lt;2,IFERROR(FIND(".",UPPER(TRIM($DZ635))),0)&lt;IFERROR(FIND("E",UPPER(TRIM($DZ635))),999)),ISNUMBER(VALUE(TRIM($DZ635)))),VALUE(TRIM($DZ635)),"")))),""))</f>
        <v/>
      </c>
      <c r="EB635">
        <f>IF($DM635=0,"",IF($L$18=0,"",IFERROR(IF(UPPER(TRIM(SUBSTITUTE(SUBSTITUTE(SUBSTITUTE(SUBSTITUTE(INDEX(PASTE_ALL,$DF635,$L$18)," "," "),CHAR(9)," "),CHAR(10)," "),CHAR(13)," ")))="READY","Ready",IF(UPPER(TRIM(SUBSTITUTE(SUBSTITUTE(SUBSTITUTE(SUBSTITUTE(INDEX(PASTE_ALL,$DF635,$L$18)," "," "),CHAR(9)," "),CHAR(10)," "),CHAR(13)," ")))="PM","PM",IF(OR(UPPER(TRIM(SUBSTITUTE(SUBSTITUTE(SUBSTITUTE(SUBSTITUTE(INDEX(PASTE_ALL,$DF635,$L$18)," "," "),CHAR(9)," "),CHAR(10)," "),CHAR(13)," ")))="OT",UPPER(TRIM(SUBSTITUTE(SUBSTITUTE(SUBSTITUTE(SUBSTITUTE(INDEX(PASTE_ALL,$DF635,$L$18)," "," "),CHAR(9)," "),CHAR(10)," "),CHAR(13)," ")))="OVERTIME",UPPER(TRIM(SUBSTITUTE(SUBSTITUTE(SUBSTITUTE(SUBSTITUTE(INDEX(PASTE_ALL,$DF635,$L$18)," "," "),CHAR(9)," "),CHAR(10)," "),CHAR(13)," ")))="TRIAL"),"OT",TRIM(SUBSTITUTE(SUBSTITUTE(SUBSTITUTE(SUBSTITUTE(INDEX(PASTE_ALL,$DF635,$L$18)," "," "),CHAR(9)," "),CHAR(10)," "),CHAR(13)," "))))),"")))</f>
        <v/>
      </c>
      <c r="EC635">
        <f>IF($DM635=0,"",IF($L$19=0,"",IFERROR(IF(ISNUMBER(INDEX(PASTE_ALL,$DF635,$L$19)),INDEX(PASTE_ALL,$DF635,$L$19),TRIM(SUBSTITUTE(SUBSTITUTE(SUBSTITUTE(SUBSTITUTE(INDEX(PASTE_ALL,$DF635,$L$19)," "," "),CHAR(9)," "),CHAR(10)," "),CHAR(13)," "))),"")))</f>
        <v/>
      </c>
      <c r="ED635">
        <f>IF($DM635=0,"",MATCH(1,INDEX(EXACT($DH$5:DH635,$DH635)*$DM$5:DM635,0),0))</f>
        <v/>
      </c>
      <c r="EE635">
        <f>IF($DM635=0,0,IF($ED635=$DE635,1,0))</f>
        <v/>
      </c>
      <c r="EF635">
        <f>EF634+$EE635</f>
        <v/>
      </c>
      <c r="EG635">
        <f>IF($DM635=0,"",INDEX($EF$5:$EF$1003,$ED635))</f>
        <v/>
      </c>
      <c r="EH635">
        <f>IF($DM635=0,"",IF($DO635&lt;&gt;"","",IFERROR(LOOKUP(2,1/(($EG$4:EG634=$EG635)*($DO$4:DO634&lt;&gt;"")),$DO$4:DO634),"")))</f>
        <v/>
      </c>
      <c r="EI635">
        <f>IF($DM635=0,"",IF($DO635&lt;&gt;"",$DO635,$EH635))</f>
        <v/>
      </c>
      <c r="EJ635">
        <f>IF($DM635=0,"",IF($EI635="",0,IF(OR(ISNUMBER($EI635),AND(AND(SUBSTITUTE(SUBSTITUTE(SUBSTITUTE(SUBSTITUTE(SUBSTITUTE(SUBSTITUTE(SUBSTITUTE(SUBSTITUTE(SUBSTITUTE(SUBSTITUTE(SUBSTITUTE(SUBSTITUTE(SUBSTITUTE(SUBSTITUTE(UPPER($EI635),"0",""),"1",""),"2",""),"3",""),"4",""),"5",""),"6",""),"7",""),"8",""),"9",""),".",""),"+",""),"-",""),"E","")="",LEN(SUBSTITUTE(SUBSTITUTE(MID(UPPER($EI635),1+OR(LEFT(UPPER($EI635),1)="+",LEFT(UPPER($EI635),1)="-"),999),"E+","E"),"E-","E"))=LEN(SUBSTITUTE(SUBSTITUTE(SUBSTITUTE(SUBSTITUTE(MID(UPPER($EI635),1+OR(LEFT(UPPER($EI635),1)="+",LEFT(UPPER($EI635),1)="-"),999),"E+","E"),"E-","E"),"+",""),"-","")),LEN(UPPER($EI635))-LEN(SUBSTITUTE(UPPER($EI635),"E",""))&lt;2,LEN(UPPER($EI635))-LEN(SUBSTITUTE(UPPER($EI635),".",""))&lt;2,IFERROR(FIND(".",UPPER($EI635)),0)&lt;IFERROR(FIND("E",UPPER($EI635)),999)),ISNUMBER(VALUE($EI635)))),1,2)))</f>
        <v/>
      </c>
      <c r="EK635">
        <f>IF($DM635=0,"",IF($EJ635=1,IF(ISNUMBER($EI635),$EI635,VALUE($EI635)),IF($EJ635=2,$DE635,0)))</f>
        <v/>
      </c>
      <c r="EL635">
        <f>IF($DM635=0,"",COUNTIF($EG$5:$EG$1003,"&lt;"&amp;$EG635)+SUMPRODUCT(($EG$5:$EG$1003=$EG635)*(($EJ$5:$EJ$1003&lt;$EJ635)+($EJ$5:$EJ$1003=$EJ635)*(($EK$5:$EK$1003&lt;$EK635)+($EK$5:$EK$1003=$EK635)*($DE$5:$DE$1003&lt;$DE635))))+1)</f>
        <v/>
      </c>
      <c r="EM635">
        <f>IF($DM635=0,"",$EL635+$EG635-1)</f>
        <v/>
      </c>
      <c r="EN635">
        <f>IF($DM635=0,0,IFERROR(MATCH(1,INDEX(--(TRIM(SUBSTITUTE(SUBSTITUTE(SUBSTITUTE(SUBSTITUTE(LINES_NAME&amp;""," "," "),CHAR(9)," "),CHAR(10)," "),CHAR(13)," "))=$DH635),0),0),0))</f>
        <v/>
      </c>
      <c r="EO635">
        <f>IF($EN635=0,0,IF(OR(UPPER(TRIM(INDEX(LINES_SCHEDULED,$EN635)&amp;""))="YES",UPPER(TRIM(INDEX(LINES_SCHEDULED,$EN635)&amp;""))="Y",UPPER(TRIM(INDEX(LINES_SCHEDULED,$EN635)&amp;""))="X"),1,0))</f>
        <v/>
      </c>
      <c r="EP635">
        <f>IF($DM635=0,"",IF(COUNTIFS($EG$5:$EG$1003,$EG635,$EB$5:$EB$1003,"Ready")&gt;0,"READY",IF(COUNTIFS($EG$5:$EG$1003,$EG635,$EB$5:$EB$1003,"PM")&gt;0,"PM",IF(COUNTIFS($EG$5:$EG$1003,$EG635,$EB$5:$EB$1003,"OT")&gt;0,"OT",""))))</f>
        <v/>
      </c>
      <c r="EQ635">
        <f>IF($EN635=0,"",UPPER(TRIM(INDEX(LINES_STATUS,$EN635)&amp;"")))</f>
        <v/>
      </c>
      <c r="ER635">
        <f>IF($DM635=0,"",IF(OR($EQ635="READY",$EQ635="PM",$EQ635="OT"),$EQ635,$EP635))</f>
        <v/>
      </c>
      <c r="ES635">
        <f>IF($DM635=0,"",IF(AND($DV635&lt;&gt;"",UPPER($DV635)&lt;&gt;"N"),"allergen",IF(ISNUMBER(SEARCH("oil",$DQ635)),"oil",IF(OR(EXACT($DS635,"A662"),EXACT($DS635,"A624")),"bulk",""))))</f>
        <v/>
      </c>
      <c r="ET635">
        <f>IF($DM635=0,"",IF(OR($EA635="",$EA635=0),"",$EA635/100))</f>
        <v/>
      </c>
      <c r="EU635">
        <f>IF(OR($ET635="",$DY635=""),"",INT($DY635*(1-$ET635)+0.5))</f>
        <v/>
      </c>
      <c r="EW635" t="n">
        <v>631</v>
      </c>
      <c r="EX635">
        <f>IFERROR(MATCH($EW635,$EM$5:$EM$1003,0),0)</f>
        <v/>
      </c>
      <c r="EY635">
        <f>IF($EW635&gt;$B$12,"",IF($EX635&gt;0,"row","spacer"))</f>
        <v/>
      </c>
      <c r="EZ635">
        <f>IF(AND($EY635="row",$EY634&lt;&gt;"row"),1,0)</f>
        <v/>
      </c>
      <c r="FA635">
        <f>IF(AND($EY635="row",$EY636&lt;&gt;"row"),1,0)</f>
        <v/>
      </c>
      <c r="FB635">
        <f>IF($EZ635=1,IFERROR(IF(ISNUMBER(INDEX(PASTE_ALL,INDEX($DF$5:$DF$1003,$EX635),$B$37)),INDEX(PASTE_ALL,INDEX($DF$5:$DF$1003,$EX635),$B$37),INDEX($DH$5:$DH$1003,$EX635)),INDEX($DH$5:$DH$1003,$EX635)),"")</f>
        <v/>
      </c>
      <c r="FC635">
        <f>IF($EY635="row",INDEX($ER$5:$ER$1003,$EX635),"")</f>
        <v/>
      </c>
      <c r="FD635">
        <f>IF($EY635="row",INDEX($DN$5:$DN$1003,$EX635),"")</f>
        <v/>
      </c>
      <c r="FE635">
        <f>IF($EY635="row",INDEX($DO$5:$DO$1003,$EX635),"")</f>
        <v/>
      </c>
      <c r="FF635">
        <f>IF($EY635="row",INDEX($DP$5:$DP$1003,$EX635),"")</f>
        <v/>
      </c>
      <c r="FG635">
        <f>IF($EY635="row",INDEX($DQ$5:$DQ$1003,$EX635),"")</f>
        <v/>
      </c>
      <c r="FH635">
        <f>IF($EY635="row",INDEX($DR$5:$DR$1003,$EX635),"")</f>
        <v/>
      </c>
      <c r="FI635">
        <f>IF($EY635="row",INDEX($DS$5:$DS$1003,$EX635),"")</f>
        <v/>
      </c>
      <c r="FJ635">
        <f>IF($EY635="row",INDEX($DT$5:$DT$1003,$EX635),"")</f>
        <v/>
      </c>
      <c r="FK635">
        <f>IF($EY635="row",INDEX($DU$5:$DU$1003,$EX635),"")</f>
        <v/>
      </c>
      <c r="FL635">
        <f>IF($EY635="row",INDEX($DV$5:$DV$1003,$EX635),"")</f>
        <v/>
      </c>
      <c r="FM635">
        <f>IF($EY635="row",INDEX($DW$5:$DW$1003,$EX635),"")</f>
        <v/>
      </c>
      <c r="FN635">
        <f>IF($EY635="row",INDEX($DY$5:$DY$1003,$EX635),"")</f>
        <v/>
      </c>
      <c r="FO635">
        <f>IF($EY635="row",INDEX($EA$5:$EA$1003,$EX635),"")</f>
        <v/>
      </c>
      <c r="FP635">
        <f>IF($EY635="row",INDEX($EC$5:$EC$1003,$EX635),"")</f>
        <v/>
      </c>
      <c r="FQ635">
        <f>IF($EY635="row",INDEX($ET$5:$ET$1003,$EX635),"")</f>
        <v/>
      </c>
      <c r="FR635">
        <f>IF($EY635="row",INDEX($EU$5:$EU$1003,$EX635),"")</f>
        <v/>
      </c>
      <c r="FS635">
        <f>IF(AND($EY635="row",$EY634="row"),IF(OR(INDEX($DT$5:$DT$1003,$EX634)="",INDEX($DT$5:$DT$1003,$EX635)=""),"",IF(NOT(EXACT(INDEX($DT$5:$DT$1003,$EX634),INDEX($DT$5:$DT$1003,$EX635))),"S4",IF(NOT(EXACT(INDEX($DS$5:$DS$1003,$EX634),INDEX($DS$5:$DS$1003,$EX635))),"S3",IF(NOT(EXACT(INDEX($DR$5:$DR$1003,$EX634),INDEX($DR$5:$DR$1003,$EX635))),"S1 Count Change","S1")))),"")</f>
        <v/>
      </c>
      <c r="FT635">
        <f>IF($EY635="row",INDEX($ES$5:$ES$1003,$EX635),"")</f>
        <v/>
      </c>
      <c r="FU635">
        <f>IF($EY635="row",INDEX($EO$5:$EO$1003,$EX635),0)</f>
        <v/>
      </c>
      <c r="FV635">
        <f>IF($FS635="S1 Count Change",1,0)</f>
        <v/>
      </c>
    </row>
    <row r="636">
      <c r="DA636" t="n">
        <v>632</v>
      </c>
      <c r="DB636">
        <f>IF($B$37=0,"",IFERROR(TRIM(SUBSTITUTE(SUBSTITUTE(SUBSTITUTE(SUBSTITUTE(INDEX(PASTE_ALL,632,$B$37)," "," "),CHAR(9)," "),CHAR(10)," "),CHAR(13)," ")),""))</f>
        <v/>
      </c>
      <c r="DC636">
        <f>IF(AND(632&gt;HEADER_ROW,UPPER(DB636)="LEGEND"),1,0)</f>
        <v/>
      </c>
      <c r="DE636" t="n">
        <v>632</v>
      </c>
      <c r="DF636">
        <f>HEADER_ROW+$DE636</f>
        <v/>
      </c>
      <c r="DG636">
        <f>IF(AND($DF636&lt;=1000,$DF636&lt;$B$8),1,0)</f>
        <v/>
      </c>
      <c r="DH636">
        <f>IF($DG636=1,IFERROR(INDEX($DB$5:$DB$1004,$DF636),""),"")</f>
        <v/>
      </c>
      <c r="DI636">
        <f>IF(AND($DG636=1,$DH636&lt;&gt;""),IFERROR(SUBSTITUTE(SUBSTITUTE(TRIM(SUBSTITUTE(SUBSTITUTE(SUBSTITUTE(SUBSTITUTE(IFERROR(INDEX(PASTE_ALL,$DF636,1)&amp;"","")&amp;"␟"&amp;IFERROR(INDEX(PASTE_ALL,$DF636,2)&amp;"","")&amp;"␟"&amp;IFERROR(INDEX(PASTE_ALL,$DF636,3)&amp;"","")&amp;"␟"&amp;IFERROR(INDEX(PASTE_ALL,$DF636,4)&amp;"","")&amp;"␟"&amp;IFERROR(INDEX(PASTE_ALL,$DF636,5)&amp;"","")&amp;"␟"&amp;IFERROR(INDEX(PASTE_ALL,$DF636,6)&amp;"","")&amp;"␟"&amp;IFERROR(INDEX(PASTE_ALL,$DF636,7)&amp;"","")&amp;"␟"&amp;IFERROR(INDEX(PASTE_ALL,$DF636,8)&amp;"","")&amp;"␟"&amp;IFERROR(INDEX(PASTE_ALL,$DF636,9)&amp;"","")&amp;"␟"&amp;IFERROR(INDEX(PASTE_ALL,$DF636,10)&amp;"","")&amp;"␟"&amp;IFERROR(INDEX(PASTE_ALL,$DF636,11)&amp;"","")&amp;"␟"&amp;IFERROR(INDEX(PASTE_ALL,$DF636,12)&amp;"","")&amp;"␟"&amp;IFERROR(INDEX(PASTE_ALL,$DF636,13)&amp;"","")&amp;"␟"&amp;IFERROR(INDEX(PASTE_ALL,$DF636,14)&amp;"","")&amp;"␟"&amp;IFERROR(INDEX(PASTE_ALL,$DF636,15)&amp;"","")&amp;"␟"&amp;IFERROR(INDEX(PASTE_ALL,$DF636,16)&amp;"","")&amp;"␟"&amp;IFERROR(INDEX(PASTE_ALL,$DF636,17)&amp;"","")&amp;"␟"&amp;IFERROR(INDEX(PASTE_ALL,$DF636,18)&amp;"","")&amp;"␟"&amp;IFERROR(INDEX(PASTE_ALL,$DF636,19)&amp;"","")&amp;"␟"&amp;IFERROR(INDEX(PASTE_ALL,$DF636,20)&amp;"","")&amp;"␟"&amp;IFERROR(INDEX(PASTE_ALL,$DF636,21)&amp;"","")&amp;"␟"&amp;IFERROR(INDEX(PASTE_ALL,$DF636,22)&amp;"","")&amp;"␟"&amp;IFERROR(INDEX(PASTE_ALL,$DF636,23)&amp;"","")&amp;"␟"&amp;IFERROR(INDEX(PASTE_ALL,$DF636,24)&amp;"","")&amp;"␟"&amp;IFERROR(INDEX(PASTE_ALL,$DF636,25)&amp;"","")&amp;"␟"&amp;IFERROR(INDEX(PASTE_ALL,$DF636,26)&amp;"","")&amp;"␟"&amp;IFERROR(INDEX(PASTE_ALL,$DF636,27)&amp;"","")&amp;"␟"&amp;IFERROR(INDEX(PASTE_ALL,$DF636,28)&amp;"","")&amp;"␟"&amp;IFERROR(INDEX(PASTE_ALL,$DF636,29)&amp;"","")&amp;"␟"&amp;IFERROR(INDEX(PASTE_ALL,$DF636,30)&amp;"","")&amp;"␟"&amp;IFERROR(INDEX(PASTE_ALL,$DF636,31)&amp;"","")&amp;"␟"&amp;IFERROR(INDEX(PASTE_ALL,$DF636,32)&amp;"","")&amp;"␟"&amp;IFERROR(INDEX(PASTE_ALL,$DF636,33)&amp;"","")&amp;"␟"&amp;IFERROR(INDEX(PASTE_ALL,$DF636,34)&amp;"","")&amp;"␟"&amp;IFERROR(INDEX(PASTE_ALL,$DF636,35)&amp;"","")&amp;"␟"&amp;IFERROR(INDEX(PASTE_ALL,$DF636,36)&amp;"","")&amp;"␟"&amp;IFERROR(INDEX(PASTE_ALL,$DF636,37)&amp;"","")&amp;"␟"&amp;IFERROR(INDEX(PASTE_ALL,$DF636,38)&amp;"","")&amp;"␟"&amp;IFERROR(INDEX(PASTE_ALL,$DF636,39)&amp;"","")&amp;"␟"&amp;IFERROR(INDEX(PASTE_ALL,$DF636,40)&amp;"","")&amp;"␟"&amp;IFERROR(INDEX(PASTE_ALL,$DF636,41)&amp;"","")&amp;"␟"&amp;IFERROR(INDEX(PASTE_ALL,$DF636,42)&amp;"","")&amp;"␟"&amp;IFERROR(INDEX(PASTE_ALL,$DF636,43)&amp;"","")&amp;"␟"&amp;IFERROR(INDEX(PASTE_ALL,$DF636,44)&amp;"","")&amp;"␟"&amp;IFERROR(INDEX(PASTE_ALL,$DF636,45)&amp;"","")&amp;"␟"&amp;IFERROR(INDEX(PASTE_ALL,$DF636,46)&amp;"","")&amp;"␟"&amp;IFERROR(INDEX(PASTE_ALL,$DF636,47)&amp;"","")&amp;"␟"&amp;IFERROR(INDEX(PASTE_ALL,$DF636,48)&amp;"","")&amp;"␟"&amp;IFERROR(INDEX(PASTE_ALL,$DF636,49)&amp;"","")&amp;"␟"&amp;IFERROR(INDEX(PASTE_ALL,$DF636,50)&amp;"","")&amp;"␟"&amp;IFERROR(INDEX(PASTE_ALL,$DF636,51)&amp;"","")&amp;"␟"&amp;IFERROR(INDEX(PASTE_ALL,$DF636,52)&amp;"","")&amp;"␟"&amp;IFERROR(INDEX(PASTE_ALL,$DF636,53)&amp;"","")&amp;"␟"&amp;IFERROR(INDEX(PASTE_ALL,$DF636,54)&amp;"","")&amp;"␟"&amp;IFERROR(INDEX(PASTE_ALL,$DF636,55)&amp;"","")&amp;"␟"&amp;IFERROR(INDEX(PASTE_ALL,$DF636,56)&amp;"","")&amp;"␟"&amp;IFERROR(INDEX(PASTE_ALL,$DF636,57)&amp;"","")&amp;"␟"&amp;IFERROR(INDEX(PASTE_ALL,$DF636,58)&amp;"","")&amp;"␟"&amp;IFERROR(INDEX(PASTE_ALL,$DF636,59)&amp;"","")&amp;"␟"&amp;IFERROR(INDEX(PASTE_ALL,$DF636,60)&amp;"","")," "," "),CHAR(9)," "),CHAR(10)," "),CHAR(13)," "))," ␟","␟"),"␟ ","␟"),"#"&amp;$DE636),"")</f>
        <v/>
      </c>
      <c r="DJ636">
        <f>IF($DI636="",0,IF(SUMPRODUCT(--EXACT($DI$4:DI635,$DI636))&gt;0,1,0))</f>
        <v/>
      </c>
      <c r="DK636">
        <f>IF(AND($DI636&lt;&gt;"",$DJ636=0),1,0)</f>
        <v/>
      </c>
      <c r="DL636">
        <f>DL635+$DK636</f>
        <v/>
      </c>
      <c r="DM636">
        <f>IF(AND($DK636=1,$DL636&lt;=600),1,0)</f>
        <v/>
      </c>
      <c r="DN636">
        <f>IF($DM636=0,"",IF($L$6=0,"",IFERROR(IF(ISNUMBER(INDEX(PASTE_ALL,$DF636,$L$6)),INDEX(PASTE_ALL,$DF636,$L$6),TRIM(SUBSTITUTE(SUBSTITUTE(SUBSTITUTE(SUBSTITUTE(INDEX(PASTE_ALL,$DF636,$L$6)," "," "),CHAR(9)," "),CHAR(10)," "),CHAR(13)," "))),"")))</f>
        <v/>
      </c>
      <c r="DO636">
        <f>IF($DM636=0,"",IF($L$7=0,"",IFERROR(IF(ISNUMBER(INDEX(PASTE_ALL,$DF636,$L$7)),INDEX(PASTE_ALL,$DF636,$L$7),TRIM(SUBSTITUTE(SUBSTITUTE(SUBSTITUTE(SUBSTITUTE(INDEX(PASTE_ALL,$DF636,$L$7)," "," "),CHAR(9)," "),CHAR(10)," "),CHAR(13)," "))),"")))</f>
        <v/>
      </c>
      <c r="DP636">
        <f>IF($DM636=0,"",IF($L$8=0,"",IFERROR(IF(ISNUMBER(INDEX(PASTE_ALL,$DF636,$L$8)),INDEX(PASTE_ALL,$DF636,$L$8),TRIM(SUBSTITUTE(SUBSTITUTE(SUBSTITUTE(SUBSTITUTE(INDEX(PASTE_ALL,$DF636,$L$8)," "," "),CHAR(9)," "),CHAR(10)," "),CHAR(13)," "))),"")))</f>
        <v/>
      </c>
      <c r="DQ636">
        <f>IF($DM636=0,"",IF($L$9=0,"",IFERROR(IF(ISNUMBER(INDEX(PASTE_ALL,$DF636,$L$9)),INDEX(PASTE_ALL,$DF636,$L$9),TRIM(SUBSTITUTE(SUBSTITUTE(SUBSTITUTE(SUBSTITUTE(INDEX(PASTE_ALL,$DF636,$L$9)," "," "),CHAR(9)," "),CHAR(10)," "),CHAR(13)," "))),"")))</f>
        <v/>
      </c>
      <c r="DR636">
        <f>IF($DM636=0,"",IF($L$10=0,"",IFERROR(IF(ISNUMBER(INDEX(PASTE_ALL,$DF636,$L$10)),INDEX(PASTE_ALL,$DF636,$L$10),TRIM(SUBSTITUTE(SUBSTITUTE(SUBSTITUTE(SUBSTITUTE(INDEX(PASTE_ALL,$DF636,$L$10)," "," "),CHAR(9)," "),CHAR(10)," "),CHAR(13)," "))),"")))</f>
        <v/>
      </c>
      <c r="DS636">
        <f>IF($DM636=0,"",IF($L$11=0,"",IFERROR(IF(ISNUMBER(INDEX(PASTE_ALL,$DF636,$L$11)),INDEX(PASTE_ALL,$DF636,$L$11),TRIM(SUBSTITUTE(SUBSTITUTE(SUBSTITUTE(SUBSTITUTE(INDEX(PASTE_ALL,$DF636,$L$11)," "," "),CHAR(9)," "),CHAR(10)," "),CHAR(13)," "))),"")))</f>
        <v/>
      </c>
      <c r="DT636">
        <f>IF($DM636=0,"",IF($L$12=0,"",IFERROR(IF(ISNUMBER(INDEX(PASTE_ALL,$DF636,$L$12)),INDEX(PASTE_ALL,$DF636,$L$12),TRIM(SUBSTITUTE(SUBSTITUTE(SUBSTITUTE(SUBSTITUTE(INDEX(PASTE_ALL,$DF636,$L$12)," "," "),CHAR(9)," "),CHAR(10)," "),CHAR(13)," "))),"")))</f>
        <v/>
      </c>
      <c r="DU636">
        <f>IF($DM636=0,"",IF($L$13=0,"",IFERROR(IF(ISNUMBER(INDEX(PASTE_ALL,$DF636,$L$13)),INDEX(PASTE_ALL,$DF636,$L$13),TRIM(SUBSTITUTE(SUBSTITUTE(SUBSTITUTE(SUBSTITUTE(INDEX(PASTE_ALL,$DF636,$L$13)," "," "),CHAR(9)," "),CHAR(10)," "),CHAR(13)," "))),"")))</f>
        <v/>
      </c>
      <c r="DV636">
        <f>IF($DM636=0,"",IF($L$14=0,"",IFERROR(IF(ISNUMBER(INDEX(PASTE_ALL,$DF636,$L$14)),INDEX(PASTE_ALL,$DF636,$L$14),TRIM(SUBSTITUTE(SUBSTITUTE(SUBSTITUTE(SUBSTITUTE(INDEX(PASTE_ALL,$DF636,$L$14)," "," "),CHAR(9)," "),CHAR(10)," "),CHAR(13)," "))),"")))</f>
        <v/>
      </c>
      <c r="DW636">
        <f>IF($DM636=0,"",IF($L$15=0,"",IFERROR(IF(ISNUMBER(INDEX(PASTE_ALL,$DF636,$L$15)),INDEX(PASTE_ALL,$DF636,$L$15),IF(SUMPRODUCT(--ISNUMBER(FIND({"A","B","C","D","E","F","G","H","I","J","K","L","M","N","O","P","Q","R","S","T","U","V","W","X","Y","Z","0","1","2","3","4","5","6","7","8","9"},UPPER(TRIM(SUBSTITUTE(SUBSTITUTE(SUBSTITUTE(SUBSTITUTE(INDEX(PASTE_ALL,$DF636,$L$15)," "," "),CHAR(9)," "),CHAR(10)," "),CHAR(13)," "))))))&gt;0,TRIM(SUBSTITUTE(SUBSTITUTE(SUBSTITUTE(SUBSTITUTE(INDEX(PASTE_ALL,$DF636,$L$15)," "," "),CHAR(9)," "),CHAR(10)," "),CHAR(13)," ")),"")),"")))</f>
        <v/>
      </c>
      <c r="DX636">
        <f>IF($DM636=0,"",IF($L$16=0,"",IFERROR(IF(ISNUMBER(INDEX(PASTE_ALL,$DF636,$L$16)),INDEX(PASTE_ALL,$DF636,$L$16),SUBSTITUTE(SUBSTITUTE(TRIM(SUBSTITUTE(SUBSTITUTE(SUBSTITUTE(SUBSTITUTE(INDEX(PASTE_ALL,$DF636,$L$16)," "," "),CHAR(9)," "),CHAR(10)," "),CHAR(13)," ")),",",""),"%","")),"")))</f>
        <v/>
      </c>
      <c r="DY636">
        <f>IF($DM636=0,"",IFERROR(IF(ISNUMBER($DX636),$DX636,IF($DX636="","",IF(TRIM($DX636)="",0,IF(AND(AND(SUBSTITUTE(SUBSTITUTE(SUBSTITUTE(SUBSTITUTE(SUBSTITUTE(SUBSTITUTE(SUBSTITUTE(SUBSTITUTE(SUBSTITUTE(SUBSTITUTE(SUBSTITUTE(SUBSTITUTE(SUBSTITUTE(SUBSTITUTE(UPPER(TRIM($DX636)),"0",""),"1",""),"2",""),"3",""),"4",""),"5",""),"6",""),"7",""),"8",""),"9",""),".",""),"+",""),"-",""),"E","")="",LEN(SUBSTITUTE(SUBSTITUTE(MID(UPPER(TRIM($DX636)),1+OR(LEFT(UPPER(TRIM($DX636)),1)="+",LEFT(UPPER(TRIM($DX636)),1)="-"),999),"E+","E"),"E-","E"))=LEN(SUBSTITUTE(SUBSTITUTE(SUBSTITUTE(SUBSTITUTE(MID(UPPER(TRIM($DX636)),1+OR(LEFT(UPPER(TRIM($DX636)),1)="+",LEFT(UPPER(TRIM($DX636)),1)="-"),999),"E+","E"),"E-","E"),"+",""),"-","")),LEN(UPPER(TRIM($DX636)))-LEN(SUBSTITUTE(UPPER(TRIM($DX636)),"E",""))&lt;2,LEN(UPPER(TRIM($DX636)))-LEN(SUBSTITUTE(UPPER(TRIM($DX636)),".",""))&lt;2,IFERROR(FIND(".",UPPER(TRIM($DX636))),0)&lt;IFERROR(FIND("E",UPPER(TRIM($DX636))),999)),ISNUMBER(VALUE(TRIM($DX636)))),VALUE(TRIM($DX636)),"")))),""))</f>
        <v/>
      </c>
      <c r="DZ636">
        <f>IF($DM636=0,"",IF($L$17=0,"",IFERROR(IF(ISNUMBER(INDEX(PASTE_ALL,$DF636,$L$17)),INDEX(PASTE_ALL,$DF636,$L$17),SUBSTITUTE(SUBSTITUTE(TRIM(SUBSTITUTE(SUBSTITUTE(SUBSTITUTE(SUBSTITUTE(INDEX(PASTE_ALL,$DF636,$L$17)," "," "),CHAR(9)," "),CHAR(10)," "),CHAR(13)," ")),",",""),"%","")),"")))</f>
        <v/>
      </c>
      <c r="EA636">
        <f>IF($DM636=0,"",IFERROR(IF(ISNUMBER($DZ636),$DZ636,IF($DZ636="","",IF(TRIM($DZ636)="",0,IF(AND(AND(SUBSTITUTE(SUBSTITUTE(SUBSTITUTE(SUBSTITUTE(SUBSTITUTE(SUBSTITUTE(SUBSTITUTE(SUBSTITUTE(SUBSTITUTE(SUBSTITUTE(SUBSTITUTE(SUBSTITUTE(SUBSTITUTE(SUBSTITUTE(UPPER(TRIM($DZ636)),"0",""),"1",""),"2",""),"3",""),"4",""),"5",""),"6",""),"7",""),"8",""),"9",""),".",""),"+",""),"-",""),"E","")="",LEN(SUBSTITUTE(SUBSTITUTE(MID(UPPER(TRIM($DZ636)),1+OR(LEFT(UPPER(TRIM($DZ636)),1)="+",LEFT(UPPER(TRIM($DZ636)),1)="-"),999),"E+","E"),"E-","E"))=LEN(SUBSTITUTE(SUBSTITUTE(SUBSTITUTE(SUBSTITUTE(MID(UPPER(TRIM($DZ636)),1+OR(LEFT(UPPER(TRIM($DZ636)),1)="+",LEFT(UPPER(TRIM($DZ636)),1)="-"),999),"E+","E"),"E-","E"),"+",""),"-","")),LEN(UPPER(TRIM($DZ636)))-LEN(SUBSTITUTE(UPPER(TRIM($DZ636)),"E",""))&lt;2,LEN(UPPER(TRIM($DZ636)))-LEN(SUBSTITUTE(UPPER(TRIM($DZ636)),".",""))&lt;2,IFERROR(FIND(".",UPPER(TRIM($DZ636))),0)&lt;IFERROR(FIND("E",UPPER(TRIM($DZ636))),999)),ISNUMBER(VALUE(TRIM($DZ636)))),VALUE(TRIM($DZ636)),"")))),""))</f>
        <v/>
      </c>
      <c r="EB636">
        <f>IF($DM636=0,"",IF($L$18=0,"",IFERROR(IF(UPPER(TRIM(SUBSTITUTE(SUBSTITUTE(SUBSTITUTE(SUBSTITUTE(INDEX(PASTE_ALL,$DF636,$L$18)," "," "),CHAR(9)," "),CHAR(10)," "),CHAR(13)," ")))="READY","Ready",IF(UPPER(TRIM(SUBSTITUTE(SUBSTITUTE(SUBSTITUTE(SUBSTITUTE(INDEX(PASTE_ALL,$DF636,$L$18)," "," "),CHAR(9)," "),CHAR(10)," "),CHAR(13)," ")))="PM","PM",IF(OR(UPPER(TRIM(SUBSTITUTE(SUBSTITUTE(SUBSTITUTE(SUBSTITUTE(INDEX(PASTE_ALL,$DF636,$L$18)," "," "),CHAR(9)," "),CHAR(10)," "),CHAR(13)," ")))="OT",UPPER(TRIM(SUBSTITUTE(SUBSTITUTE(SUBSTITUTE(SUBSTITUTE(INDEX(PASTE_ALL,$DF636,$L$18)," "," "),CHAR(9)," "),CHAR(10)," "),CHAR(13)," ")))="OVERTIME",UPPER(TRIM(SUBSTITUTE(SUBSTITUTE(SUBSTITUTE(SUBSTITUTE(INDEX(PASTE_ALL,$DF636,$L$18)," "," "),CHAR(9)," "),CHAR(10)," "),CHAR(13)," ")))="TRIAL"),"OT",TRIM(SUBSTITUTE(SUBSTITUTE(SUBSTITUTE(SUBSTITUTE(INDEX(PASTE_ALL,$DF636,$L$18)," "," "),CHAR(9)," "),CHAR(10)," "),CHAR(13)," "))))),"")))</f>
        <v/>
      </c>
      <c r="EC636">
        <f>IF($DM636=0,"",IF($L$19=0,"",IFERROR(IF(ISNUMBER(INDEX(PASTE_ALL,$DF636,$L$19)),INDEX(PASTE_ALL,$DF636,$L$19),TRIM(SUBSTITUTE(SUBSTITUTE(SUBSTITUTE(SUBSTITUTE(INDEX(PASTE_ALL,$DF636,$L$19)," "," "),CHAR(9)," "),CHAR(10)," "),CHAR(13)," "))),"")))</f>
        <v/>
      </c>
      <c r="ED636">
        <f>IF($DM636=0,"",MATCH(1,INDEX(EXACT($DH$5:DH636,$DH636)*$DM$5:DM636,0),0))</f>
        <v/>
      </c>
      <c r="EE636">
        <f>IF($DM636=0,0,IF($ED636=$DE636,1,0))</f>
        <v/>
      </c>
      <c r="EF636">
        <f>EF635+$EE636</f>
        <v/>
      </c>
      <c r="EG636">
        <f>IF($DM636=0,"",INDEX($EF$5:$EF$1003,$ED636))</f>
        <v/>
      </c>
      <c r="EH636">
        <f>IF($DM636=0,"",IF($DO636&lt;&gt;"","",IFERROR(LOOKUP(2,1/(($EG$4:EG635=$EG636)*($DO$4:DO635&lt;&gt;"")),$DO$4:DO635),"")))</f>
        <v/>
      </c>
      <c r="EI636">
        <f>IF($DM636=0,"",IF($DO636&lt;&gt;"",$DO636,$EH636))</f>
        <v/>
      </c>
      <c r="EJ636">
        <f>IF($DM636=0,"",IF($EI636="",0,IF(OR(ISNUMBER($EI636),AND(AND(SUBSTITUTE(SUBSTITUTE(SUBSTITUTE(SUBSTITUTE(SUBSTITUTE(SUBSTITUTE(SUBSTITUTE(SUBSTITUTE(SUBSTITUTE(SUBSTITUTE(SUBSTITUTE(SUBSTITUTE(SUBSTITUTE(SUBSTITUTE(UPPER($EI636),"0",""),"1",""),"2",""),"3",""),"4",""),"5",""),"6",""),"7",""),"8",""),"9",""),".",""),"+",""),"-",""),"E","")="",LEN(SUBSTITUTE(SUBSTITUTE(MID(UPPER($EI636),1+OR(LEFT(UPPER($EI636),1)="+",LEFT(UPPER($EI636),1)="-"),999),"E+","E"),"E-","E"))=LEN(SUBSTITUTE(SUBSTITUTE(SUBSTITUTE(SUBSTITUTE(MID(UPPER($EI636),1+OR(LEFT(UPPER($EI636),1)="+",LEFT(UPPER($EI636),1)="-"),999),"E+","E"),"E-","E"),"+",""),"-","")),LEN(UPPER($EI636))-LEN(SUBSTITUTE(UPPER($EI636),"E",""))&lt;2,LEN(UPPER($EI636))-LEN(SUBSTITUTE(UPPER($EI636),".",""))&lt;2,IFERROR(FIND(".",UPPER($EI636)),0)&lt;IFERROR(FIND("E",UPPER($EI636)),999)),ISNUMBER(VALUE($EI636)))),1,2)))</f>
        <v/>
      </c>
      <c r="EK636">
        <f>IF($DM636=0,"",IF($EJ636=1,IF(ISNUMBER($EI636),$EI636,VALUE($EI636)),IF($EJ636=2,$DE636,0)))</f>
        <v/>
      </c>
      <c r="EL636">
        <f>IF($DM636=0,"",COUNTIF($EG$5:$EG$1003,"&lt;"&amp;$EG636)+SUMPRODUCT(($EG$5:$EG$1003=$EG636)*(($EJ$5:$EJ$1003&lt;$EJ636)+($EJ$5:$EJ$1003=$EJ636)*(($EK$5:$EK$1003&lt;$EK636)+($EK$5:$EK$1003=$EK636)*($DE$5:$DE$1003&lt;$DE636))))+1)</f>
        <v/>
      </c>
      <c r="EM636">
        <f>IF($DM636=0,"",$EL636+$EG636-1)</f>
        <v/>
      </c>
      <c r="EN636">
        <f>IF($DM636=0,0,IFERROR(MATCH(1,INDEX(--(TRIM(SUBSTITUTE(SUBSTITUTE(SUBSTITUTE(SUBSTITUTE(LINES_NAME&amp;""," "," "),CHAR(9)," "),CHAR(10)," "),CHAR(13)," "))=$DH636),0),0),0))</f>
        <v/>
      </c>
      <c r="EO636">
        <f>IF($EN636=0,0,IF(OR(UPPER(TRIM(INDEX(LINES_SCHEDULED,$EN636)&amp;""))="YES",UPPER(TRIM(INDEX(LINES_SCHEDULED,$EN636)&amp;""))="Y",UPPER(TRIM(INDEX(LINES_SCHEDULED,$EN636)&amp;""))="X"),1,0))</f>
        <v/>
      </c>
      <c r="EP636">
        <f>IF($DM636=0,"",IF(COUNTIFS($EG$5:$EG$1003,$EG636,$EB$5:$EB$1003,"Ready")&gt;0,"READY",IF(COUNTIFS($EG$5:$EG$1003,$EG636,$EB$5:$EB$1003,"PM")&gt;0,"PM",IF(COUNTIFS($EG$5:$EG$1003,$EG636,$EB$5:$EB$1003,"OT")&gt;0,"OT",""))))</f>
        <v/>
      </c>
      <c r="EQ636">
        <f>IF($EN636=0,"",UPPER(TRIM(INDEX(LINES_STATUS,$EN636)&amp;"")))</f>
        <v/>
      </c>
      <c r="ER636">
        <f>IF($DM636=0,"",IF(OR($EQ636="READY",$EQ636="PM",$EQ636="OT"),$EQ636,$EP636))</f>
        <v/>
      </c>
      <c r="ES636">
        <f>IF($DM636=0,"",IF(AND($DV636&lt;&gt;"",UPPER($DV636)&lt;&gt;"N"),"allergen",IF(ISNUMBER(SEARCH("oil",$DQ636)),"oil",IF(OR(EXACT($DS636,"A662"),EXACT($DS636,"A624")),"bulk",""))))</f>
        <v/>
      </c>
      <c r="ET636">
        <f>IF($DM636=0,"",IF(OR($EA636="",$EA636=0),"",$EA636/100))</f>
        <v/>
      </c>
      <c r="EU636">
        <f>IF(OR($ET636="",$DY636=""),"",INT($DY636*(1-$ET636)+0.5))</f>
        <v/>
      </c>
      <c r="EW636" t="n">
        <v>632</v>
      </c>
      <c r="EX636">
        <f>IFERROR(MATCH($EW636,$EM$5:$EM$1003,0),0)</f>
        <v/>
      </c>
      <c r="EY636">
        <f>IF($EW636&gt;$B$12,"",IF($EX636&gt;0,"row","spacer"))</f>
        <v/>
      </c>
      <c r="EZ636">
        <f>IF(AND($EY636="row",$EY635&lt;&gt;"row"),1,0)</f>
        <v/>
      </c>
      <c r="FA636">
        <f>IF(AND($EY636="row",$EY637&lt;&gt;"row"),1,0)</f>
        <v/>
      </c>
      <c r="FB636">
        <f>IF($EZ636=1,IFERROR(IF(ISNUMBER(INDEX(PASTE_ALL,INDEX($DF$5:$DF$1003,$EX636),$B$37)),INDEX(PASTE_ALL,INDEX($DF$5:$DF$1003,$EX636),$B$37),INDEX($DH$5:$DH$1003,$EX636)),INDEX($DH$5:$DH$1003,$EX636)),"")</f>
        <v/>
      </c>
      <c r="FC636">
        <f>IF($EY636="row",INDEX($ER$5:$ER$1003,$EX636),"")</f>
        <v/>
      </c>
      <c r="FD636">
        <f>IF($EY636="row",INDEX($DN$5:$DN$1003,$EX636),"")</f>
        <v/>
      </c>
      <c r="FE636">
        <f>IF($EY636="row",INDEX($DO$5:$DO$1003,$EX636),"")</f>
        <v/>
      </c>
      <c r="FF636">
        <f>IF($EY636="row",INDEX($DP$5:$DP$1003,$EX636),"")</f>
        <v/>
      </c>
      <c r="FG636">
        <f>IF($EY636="row",INDEX($DQ$5:$DQ$1003,$EX636),"")</f>
        <v/>
      </c>
      <c r="FH636">
        <f>IF($EY636="row",INDEX($DR$5:$DR$1003,$EX636),"")</f>
        <v/>
      </c>
      <c r="FI636">
        <f>IF($EY636="row",INDEX($DS$5:$DS$1003,$EX636),"")</f>
        <v/>
      </c>
      <c r="FJ636">
        <f>IF($EY636="row",INDEX($DT$5:$DT$1003,$EX636),"")</f>
        <v/>
      </c>
      <c r="FK636">
        <f>IF($EY636="row",INDEX($DU$5:$DU$1003,$EX636),"")</f>
        <v/>
      </c>
      <c r="FL636">
        <f>IF($EY636="row",INDEX($DV$5:$DV$1003,$EX636),"")</f>
        <v/>
      </c>
      <c r="FM636">
        <f>IF($EY636="row",INDEX($DW$5:$DW$1003,$EX636),"")</f>
        <v/>
      </c>
      <c r="FN636">
        <f>IF($EY636="row",INDEX($DY$5:$DY$1003,$EX636),"")</f>
        <v/>
      </c>
      <c r="FO636">
        <f>IF($EY636="row",INDEX($EA$5:$EA$1003,$EX636),"")</f>
        <v/>
      </c>
      <c r="FP636">
        <f>IF($EY636="row",INDEX($EC$5:$EC$1003,$EX636),"")</f>
        <v/>
      </c>
      <c r="FQ636">
        <f>IF($EY636="row",INDEX($ET$5:$ET$1003,$EX636),"")</f>
        <v/>
      </c>
      <c r="FR636">
        <f>IF($EY636="row",INDEX($EU$5:$EU$1003,$EX636),"")</f>
        <v/>
      </c>
      <c r="FS636">
        <f>IF(AND($EY636="row",$EY635="row"),IF(OR(INDEX($DT$5:$DT$1003,$EX635)="",INDEX($DT$5:$DT$1003,$EX636)=""),"",IF(NOT(EXACT(INDEX($DT$5:$DT$1003,$EX635),INDEX($DT$5:$DT$1003,$EX636))),"S4",IF(NOT(EXACT(INDEX($DS$5:$DS$1003,$EX635),INDEX($DS$5:$DS$1003,$EX636))),"S3",IF(NOT(EXACT(INDEX($DR$5:$DR$1003,$EX635),INDEX($DR$5:$DR$1003,$EX636))),"S1 Count Change","S1")))),"")</f>
        <v/>
      </c>
      <c r="FT636">
        <f>IF($EY636="row",INDEX($ES$5:$ES$1003,$EX636),"")</f>
        <v/>
      </c>
      <c r="FU636">
        <f>IF($EY636="row",INDEX($EO$5:$EO$1003,$EX636),0)</f>
        <v/>
      </c>
      <c r="FV636">
        <f>IF($FS636="S1 Count Change",1,0)</f>
        <v/>
      </c>
    </row>
    <row r="637">
      <c r="DA637" t="n">
        <v>633</v>
      </c>
      <c r="DB637">
        <f>IF($B$37=0,"",IFERROR(TRIM(SUBSTITUTE(SUBSTITUTE(SUBSTITUTE(SUBSTITUTE(INDEX(PASTE_ALL,633,$B$37)," "," "),CHAR(9)," "),CHAR(10)," "),CHAR(13)," ")),""))</f>
        <v/>
      </c>
      <c r="DC637">
        <f>IF(AND(633&gt;HEADER_ROW,UPPER(DB637)="LEGEND"),1,0)</f>
        <v/>
      </c>
      <c r="DE637" t="n">
        <v>633</v>
      </c>
      <c r="DF637">
        <f>HEADER_ROW+$DE637</f>
        <v/>
      </c>
      <c r="DG637">
        <f>IF(AND($DF637&lt;=1000,$DF637&lt;$B$8),1,0)</f>
        <v/>
      </c>
      <c r="DH637">
        <f>IF($DG637=1,IFERROR(INDEX($DB$5:$DB$1004,$DF637),""),"")</f>
        <v/>
      </c>
      <c r="DI637">
        <f>IF(AND($DG637=1,$DH637&lt;&gt;""),IFERROR(SUBSTITUTE(SUBSTITUTE(TRIM(SUBSTITUTE(SUBSTITUTE(SUBSTITUTE(SUBSTITUTE(IFERROR(INDEX(PASTE_ALL,$DF637,1)&amp;"","")&amp;"␟"&amp;IFERROR(INDEX(PASTE_ALL,$DF637,2)&amp;"","")&amp;"␟"&amp;IFERROR(INDEX(PASTE_ALL,$DF637,3)&amp;"","")&amp;"␟"&amp;IFERROR(INDEX(PASTE_ALL,$DF637,4)&amp;"","")&amp;"␟"&amp;IFERROR(INDEX(PASTE_ALL,$DF637,5)&amp;"","")&amp;"␟"&amp;IFERROR(INDEX(PASTE_ALL,$DF637,6)&amp;"","")&amp;"␟"&amp;IFERROR(INDEX(PASTE_ALL,$DF637,7)&amp;"","")&amp;"␟"&amp;IFERROR(INDEX(PASTE_ALL,$DF637,8)&amp;"","")&amp;"␟"&amp;IFERROR(INDEX(PASTE_ALL,$DF637,9)&amp;"","")&amp;"␟"&amp;IFERROR(INDEX(PASTE_ALL,$DF637,10)&amp;"","")&amp;"␟"&amp;IFERROR(INDEX(PASTE_ALL,$DF637,11)&amp;"","")&amp;"␟"&amp;IFERROR(INDEX(PASTE_ALL,$DF637,12)&amp;"","")&amp;"␟"&amp;IFERROR(INDEX(PASTE_ALL,$DF637,13)&amp;"","")&amp;"␟"&amp;IFERROR(INDEX(PASTE_ALL,$DF637,14)&amp;"","")&amp;"␟"&amp;IFERROR(INDEX(PASTE_ALL,$DF637,15)&amp;"","")&amp;"␟"&amp;IFERROR(INDEX(PASTE_ALL,$DF637,16)&amp;"","")&amp;"␟"&amp;IFERROR(INDEX(PASTE_ALL,$DF637,17)&amp;"","")&amp;"␟"&amp;IFERROR(INDEX(PASTE_ALL,$DF637,18)&amp;"","")&amp;"␟"&amp;IFERROR(INDEX(PASTE_ALL,$DF637,19)&amp;"","")&amp;"␟"&amp;IFERROR(INDEX(PASTE_ALL,$DF637,20)&amp;"","")&amp;"␟"&amp;IFERROR(INDEX(PASTE_ALL,$DF637,21)&amp;"","")&amp;"␟"&amp;IFERROR(INDEX(PASTE_ALL,$DF637,22)&amp;"","")&amp;"␟"&amp;IFERROR(INDEX(PASTE_ALL,$DF637,23)&amp;"","")&amp;"␟"&amp;IFERROR(INDEX(PASTE_ALL,$DF637,24)&amp;"","")&amp;"␟"&amp;IFERROR(INDEX(PASTE_ALL,$DF637,25)&amp;"","")&amp;"␟"&amp;IFERROR(INDEX(PASTE_ALL,$DF637,26)&amp;"","")&amp;"␟"&amp;IFERROR(INDEX(PASTE_ALL,$DF637,27)&amp;"","")&amp;"␟"&amp;IFERROR(INDEX(PASTE_ALL,$DF637,28)&amp;"","")&amp;"␟"&amp;IFERROR(INDEX(PASTE_ALL,$DF637,29)&amp;"","")&amp;"␟"&amp;IFERROR(INDEX(PASTE_ALL,$DF637,30)&amp;"","")&amp;"␟"&amp;IFERROR(INDEX(PASTE_ALL,$DF637,31)&amp;"","")&amp;"␟"&amp;IFERROR(INDEX(PASTE_ALL,$DF637,32)&amp;"","")&amp;"␟"&amp;IFERROR(INDEX(PASTE_ALL,$DF637,33)&amp;"","")&amp;"␟"&amp;IFERROR(INDEX(PASTE_ALL,$DF637,34)&amp;"","")&amp;"␟"&amp;IFERROR(INDEX(PASTE_ALL,$DF637,35)&amp;"","")&amp;"␟"&amp;IFERROR(INDEX(PASTE_ALL,$DF637,36)&amp;"","")&amp;"␟"&amp;IFERROR(INDEX(PASTE_ALL,$DF637,37)&amp;"","")&amp;"␟"&amp;IFERROR(INDEX(PASTE_ALL,$DF637,38)&amp;"","")&amp;"␟"&amp;IFERROR(INDEX(PASTE_ALL,$DF637,39)&amp;"","")&amp;"␟"&amp;IFERROR(INDEX(PASTE_ALL,$DF637,40)&amp;"","")&amp;"␟"&amp;IFERROR(INDEX(PASTE_ALL,$DF637,41)&amp;"","")&amp;"␟"&amp;IFERROR(INDEX(PASTE_ALL,$DF637,42)&amp;"","")&amp;"␟"&amp;IFERROR(INDEX(PASTE_ALL,$DF637,43)&amp;"","")&amp;"␟"&amp;IFERROR(INDEX(PASTE_ALL,$DF637,44)&amp;"","")&amp;"␟"&amp;IFERROR(INDEX(PASTE_ALL,$DF637,45)&amp;"","")&amp;"␟"&amp;IFERROR(INDEX(PASTE_ALL,$DF637,46)&amp;"","")&amp;"␟"&amp;IFERROR(INDEX(PASTE_ALL,$DF637,47)&amp;"","")&amp;"␟"&amp;IFERROR(INDEX(PASTE_ALL,$DF637,48)&amp;"","")&amp;"␟"&amp;IFERROR(INDEX(PASTE_ALL,$DF637,49)&amp;"","")&amp;"␟"&amp;IFERROR(INDEX(PASTE_ALL,$DF637,50)&amp;"","")&amp;"␟"&amp;IFERROR(INDEX(PASTE_ALL,$DF637,51)&amp;"","")&amp;"␟"&amp;IFERROR(INDEX(PASTE_ALL,$DF637,52)&amp;"","")&amp;"␟"&amp;IFERROR(INDEX(PASTE_ALL,$DF637,53)&amp;"","")&amp;"␟"&amp;IFERROR(INDEX(PASTE_ALL,$DF637,54)&amp;"","")&amp;"␟"&amp;IFERROR(INDEX(PASTE_ALL,$DF637,55)&amp;"","")&amp;"␟"&amp;IFERROR(INDEX(PASTE_ALL,$DF637,56)&amp;"","")&amp;"␟"&amp;IFERROR(INDEX(PASTE_ALL,$DF637,57)&amp;"","")&amp;"␟"&amp;IFERROR(INDEX(PASTE_ALL,$DF637,58)&amp;"","")&amp;"␟"&amp;IFERROR(INDEX(PASTE_ALL,$DF637,59)&amp;"","")&amp;"␟"&amp;IFERROR(INDEX(PASTE_ALL,$DF637,60)&amp;"","")," "," "),CHAR(9)," "),CHAR(10)," "),CHAR(13)," "))," ␟","␟"),"␟ ","␟"),"#"&amp;$DE637),"")</f>
        <v/>
      </c>
      <c r="DJ637">
        <f>IF($DI637="",0,IF(SUMPRODUCT(--EXACT($DI$4:DI636,$DI637))&gt;0,1,0))</f>
        <v/>
      </c>
      <c r="DK637">
        <f>IF(AND($DI637&lt;&gt;"",$DJ637=0),1,0)</f>
        <v/>
      </c>
      <c r="DL637">
        <f>DL636+$DK637</f>
        <v/>
      </c>
      <c r="DM637">
        <f>IF(AND($DK637=1,$DL637&lt;=600),1,0)</f>
        <v/>
      </c>
      <c r="DN637">
        <f>IF($DM637=0,"",IF($L$6=0,"",IFERROR(IF(ISNUMBER(INDEX(PASTE_ALL,$DF637,$L$6)),INDEX(PASTE_ALL,$DF637,$L$6),TRIM(SUBSTITUTE(SUBSTITUTE(SUBSTITUTE(SUBSTITUTE(INDEX(PASTE_ALL,$DF637,$L$6)," "," "),CHAR(9)," "),CHAR(10)," "),CHAR(13)," "))),"")))</f>
        <v/>
      </c>
      <c r="DO637">
        <f>IF($DM637=0,"",IF($L$7=0,"",IFERROR(IF(ISNUMBER(INDEX(PASTE_ALL,$DF637,$L$7)),INDEX(PASTE_ALL,$DF637,$L$7),TRIM(SUBSTITUTE(SUBSTITUTE(SUBSTITUTE(SUBSTITUTE(INDEX(PASTE_ALL,$DF637,$L$7)," "," "),CHAR(9)," "),CHAR(10)," "),CHAR(13)," "))),"")))</f>
        <v/>
      </c>
      <c r="DP637">
        <f>IF($DM637=0,"",IF($L$8=0,"",IFERROR(IF(ISNUMBER(INDEX(PASTE_ALL,$DF637,$L$8)),INDEX(PASTE_ALL,$DF637,$L$8),TRIM(SUBSTITUTE(SUBSTITUTE(SUBSTITUTE(SUBSTITUTE(INDEX(PASTE_ALL,$DF637,$L$8)," "," "),CHAR(9)," "),CHAR(10)," "),CHAR(13)," "))),"")))</f>
        <v/>
      </c>
      <c r="DQ637">
        <f>IF($DM637=0,"",IF($L$9=0,"",IFERROR(IF(ISNUMBER(INDEX(PASTE_ALL,$DF637,$L$9)),INDEX(PASTE_ALL,$DF637,$L$9),TRIM(SUBSTITUTE(SUBSTITUTE(SUBSTITUTE(SUBSTITUTE(INDEX(PASTE_ALL,$DF637,$L$9)," "," "),CHAR(9)," "),CHAR(10)," "),CHAR(13)," "))),"")))</f>
        <v/>
      </c>
      <c r="DR637">
        <f>IF($DM637=0,"",IF($L$10=0,"",IFERROR(IF(ISNUMBER(INDEX(PASTE_ALL,$DF637,$L$10)),INDEX(PASTE_ALL,$DF637,$L$10),TRIM(SUBSTITUTE(SUBSTITUTE(SUBSTITUTE(SUBSTITUTE(INDEX(PASTE_ALL,$DF637,$L$10)," "," "),CHAR(9)," "),CHAR(10)," "),CHAR(13)," "))),"")))</f>
        <v/>
      </c>
      <c r="DS637">
        <f>IF($DM637=0,"",IF($L$11=0,"",IFERROR(IF(ISNUMBER(INDEX(PASTE_ALL,$DF637,$L$11)),INDEX(PASTE_ALL,$DF637,$L$11),TRIM(SUBSTITUTE(SUBSTITUTE(SUBSTITUTE(SUBSTITUTE(INDEX(PASTE_ALL,$DF637,$L$11)," "," "),CHAR(9)," "),CHAR(10)," "),CHAR(13)," "))),"")))</f>
        <v/>
      </c>
      <c r="DT637">
        <f>IF($DM637=0,"",IF($L$12=0,"",IFERROR(IF(ISNUMBER(INDEX(PASTE_ALL,$DF637,$L$12)),INDEX(PASTE_ALL,$DF637,$L$12),TRIM(SUBSTITUTE(SUBSTITUTE(SUBSTITUTE(SUBSTITUTE(INDEX(PASTE_ALL,$DF637,$L$12)," "," "),CHAR(9)," "),CHAR(10)," "),CHAR(13)," "))),"")))</f>
        <v/>
      </c>
      <c r="DU637">
        <f>IF($DM637=0,"",IF($L$13=0,"",IFERROR(IF(ISNUMBER(INDEX(PASTE_ALL,$DF637,$L$13)),INDEX(PASTE_ALL,$DF637,$L$13),TRIM(SUBSTITUTE(SUBSTITUTE(SUBSTITUTE(SUBSTITUTE(INDEX(PASTE_ALL,$DF637,$L$13)," "," "),CHAR(9)," "),CHAR(10)," "),CHAR(13)," "))),"")))</f>
        <v/>
      </c>
      <c r="DV637">
        <f>IF($DM637=0,"",IF($L$14=0,"",IFERROR(IF(ISNUMBER(INDEX(PASTE_ALL,$DF637,$L$14)),INDEX(PASTE_ALL,$DF637,$L$14),TRIM(SUBSTITUTE(SUBSTITUTE(SUBSTITUTE(SUBSTITUTE(INDEX(PASTE_ALL,$DF637,$L$14)," "," "),CHAR(9)," "),CHAR(10)," "),CHAR(13)," "))),"")))</f>
        <v/>
      </c>
      <c r="DW637">
        <f>IF($DM637=0,"",IF($L$15=0,"",IFERROR(IF(ISNUMBER(INDEX(PASTE_ALL,$DF637,$L$15)),INDEX(PASTE_ALL,$DF637,$L$15),IF(SUMPRODUCT(--ISNUMBER(FIND({"A","B","C","D","E","F","G","H","I","J","K","L","M","N","O","P","Q","R","S","T","U","V","W","X","Y","Z","0","1","2","3","4","5","6","7","8","9"},UPPER(TRIM(SUBSTITUTE(SUBSTITUTE(SUBSTITUTE(SUBSTITUTE(INDEX(PASTE_ALL,$DF637,$L$15)," "," "),CHAR(9)," "),CHAR(10)," "),CHAR(13)," "))))))&gt;0,TRIM(SUBSTITUTE(SUBSTITUTE(SUBSTITUTE(SUBSTITUTE(INDEX(PASTE_ALL,$DF637,$L$15)," "," "),CHAR(9)," "),CHAR(10)," "),CHAR(13)," ")),"")),"")))</f>
        <v/>
      </c>
      <c r="DX637">
        <f>IF($DM637=0,"",IF($L$16=0,"",IFERROR(IF(ISNUMBER(INDEX(PASTE_ALL,$DF637,$L$16)),INDEX(PASTE_ALL,$DF637,$L$16),SUBSTITUTE(SUBSTITUTE(TRIM(SUBSTITUTE(SUBSTITUTE(SUBSTITUTE(SUBSTITUTE(INDEX(PASTE_ALL,$DF637,$L$16)," "," "),CHAR(9)," "),CHAR(10)," "),CHAR(13)," ")),",",""),"%","")),"")))</f>
        <v/>
      </c>
      <c r="DY637">
        <f>IF($DM637=0,"",IFERROR(IF(ISNUMBER($DX637),$DX637,IF($DX637="","",IF(TRIM($DX637)="",0,IF(AND(AND(SUBSTITUTE(SUBSTITUTE(SUBSTITUTE(SUBSTITUTE(SUBSTITUTE(SUBSTITUTE(SUBSTITUTE(SUBSTITUTE(SUBSTITUTE(SUBSTITUTE(SUBSTITUTE(SUBSTITUTE(SUBSTITUTE(SUBSTITUTE(UPPER(TRIM($DX637)),"0",""),"1",""),"2",""),"3",""),"4",""),"5",""),"6",""),"7",""),"8",""),"9",""),".",""),"+",""),"-",""),"E","")="",LEN(SUBSTITUTE(SUBSTITUTE(MID(UPPER(TRIM($DX637)),1+OR(LEFT(UPPER(TRIM($DX637)),1)="+",LEFT(UPPER(TRIM($DX637)),1)="-"),999),"E+","E"),"E-","E"))=LEN(SUBSTITUTE(SUBSTITUTE(SUBSTITUTE(SUBSTITUTE(MID(UPPER(TRIM($DX637)),1+OR(LEFT(UPPER(TRIM($DX637)),1)="+",LEFT(UPPER(TRIM($DX637)),1)="-"),999),"E+","E"),"E-","E"),"+",""),"-","")),LEN(UPPER(TRIM($DX637)))-LEN(SUBSTITUTE(UPPER(TRIM($DX637)),"E",""))&lt;2,LEN(UPPER(TRIM($DX637)))-LEN(SUBSTITUTE(UPPER(TRIM($DX637)),".",""))&lt;2,IFERROR(FIND(".",UPPER(TRIM($DX637))),0)&lt;IFERROR(FIND("E",UPPER(TRIM($DX637))),999)),ISNUMBER(VALUE(TRIM($DX637)))),VALUE(TRIM($DX637)),"")))),""))</f>
        <v/>
      </c>
      <c r="DZ637">
        <f>IF($DM637=0,"",IF($L$17=0,"",IFERROR(IF(ISNUMBER(INDEX(PASTE_ALL,$DF637,$L$17)),INDEX(PASTE_ALL,$DF637,$L$17),SUBSTITUTE(SUBSTITUTE(TRIM(SUBSTITUTE(SUBSTITUTE(SUBSTITUTE(SUBSTITUTE(INDEX(PASTE_ALL,$DF637,$L$17)," "," "),CHAR(9)," "),CHAR(10)," "),CHAR(13)," ")),",",""),"%","")),"")))</f>
        <v/>
      </c>
      <c r="EA637">
        <f>IF($DM637=0,"",IFERROR(IF(ISNUMBER($DZ637),$DZ637,IF($DZ637="","",IF(TRIM($DZ637)="",0,IF(AND(AND(SUBSTITUTE(SUBSTITUTE(SUBSTITUTE(SUBSTITUTE(SUBSTITUTE(SUBSTITUTE(SUBSTITUTE(SUBSTITUTE(SUBSTITUTE(SUBSTITUTE(SUBSTITUTE(SUBSTITUTE(SUBSTITUTE(SUBSTITUTE(UPPER(TRIM($DZ637)),"0",""),"1",""),"2",""),"3",""),"4",""),"5",""),"6",""),"7",""),"8",""),"9",""),".",""),"+",""),"-",""),"E","")="",LEN(SUBSTITUTE(SUBSTITUTE(MID(UPPER(TRIM($DZ637)),1+OR(LEFT(UPPER(TRIM($DZ637)),1)="+",LEFT(UPPER(TRIM($DZ637)),1)="-"),999),"E+","E"),"E-","E"))=LEN(SUBSTITUTE(SUBSTITUTE(SUBSTITUTE(SUBSTITUTE(MID(UPPER(TRIM($DZ637)),1+OR(LEFT(UPPER(TRIM($DZ637)),1)="+",LEFT(UPPER(TRIM($DZ637)),1)="-"),999),"E+","E"),"E-","E"),"+",""),"-","")),LEN(UPPER(TRIM($DZ637)))-LEN(SUBSTITUTE(UPPER(TRIM($DZ637)),"E",""))&lt;2,LEN(UPPER(TRIM($DZ637)))-LEN(SUBSTITUTE(UPPER(TRIM($DZ637)),".",""))&lt;2,IFERROR(FIND(".",UPPER(TRIM($DZ637))),0)&lt;IFERROR(FIND("E",UPPER(TRIM($DZ637))),999)),ISNUMBER(VALUE(TRIM($DZ637)))),VALUE(TRIM($DZ637)),"")))),""))</f>
        <v/>
      </c>
      <c r="EB637">
        <f>IF($DM637=0,"",IF($L$18=0,"",IFERROR(IF(UPPER(TRIM(SUBSTITUTE(SUBSTITUTE(SUBSTITUTE(SUBSTITUTE(INDEX(PASTE_ALL,$DF637,$L$18)," "," "),CHAR(9)," "),CHAR(10)," "),CHAR(13)," ")))="READY","Ready",IF(UPPER(TRIM(SUBSTITUTE(SUBSTITUTE(SUBSTITUTE(SUBSTITUTE(INDEX(PASTE_ALL,$DF637,$L$18)," "," "),CHAR(9)," "),CHAR(10)," "),CHAR(13)," ")))="PM","PM",IF(OR(UPPER(TRIM(SUBSTITUTE(SUBSTITUTE(SUBSTITUTE(SUBSTITUTE(INDEX(PASTE_ALL,$DF637,$L$18)," "," "),CHAR(9)," "),CHAR(10)," "),CHAR(13)," ")))="OT",UPPER(TRIM(SUBSTITUTE(SUBSTITUTE(SUBSTITUTE(SUBSTITUTE(INDEX(PASTE_ALL,$DF637,$L$18)," "," "),CHAR(9)," "),CHAR(10)," "),CHAR(13)," ")))="OVERTIME",UPPER(TRIM(SUBSTITUTE(SUBSTITUTE(SUBSTITUTE(SUBSTITUTE(INDEX(PASTE_ALL,$DF637,$L$18)," "," "),CHAR(9)," "),CHAR(10)," "),CHAR(13)," ")))="TRIAL"),"OT",TRIM(SUBSTITUTE(SUBSTITUTE(SUBSTITUTE(SUBSTITUTE(INDEX(PASTE_ALL,$DF637,$L$18)," "," "),CHAR(9)," "),CHAR(10)," "),CHAR(13)," "))))),"")))</f>
        <v/>
      </c>
      <c r="EC637">
        <f>IF($DM637=0,"",IF($L$19=0,"",IFERROR(IF(ISNUMBER(INDEX(PASTE_ALL,$DF637,$L$19)),INDEX(PASTE_ALL,$DF637,$L$19),TRIM(SUBSTITUTE(SUBSTITUTE(SUBSTITUTE(SUBSTITUTE(INDEX(PASTE_ALL,$DF637,$L$19)," "," "),CHAR(9)," "),CHAR(10)," "),CHAR(13)," "))),"")))</f>
        <v/>
      </c>
      <c r="ED637">
        <f>IF($DM637=0,"",MATCH(1,INDEX(EXACT($DH$5:DH637,$DH637)*$DM$5:DM637,0),0))</f>
        <v/>
      </c>
      <c r="EE637">
        <f>IF($DM637=0,0,IF($ED637=$DE637,1,0))</f>
        <v/>
      </c>
      <c r="EF637">
        <f>EF636+$EE637</f>
        <v/>
      </c>
      <c r="EG637">
        <f>IF($DM637=0,"",INDEX($EF$5:$EF$1003,$ED637))</f>
        <v/>
      </c>
      <c r="EH637">
        <f>IF($DM637=0,"",IF($DO637&lt;&gt;"","",IFERROR(LOOKUP(2,1/(($EG$4:EG636=$EG637)*($DO$4:DO636&lt;&gt;"")),$DO$4:DO636),"")))</f>
        <v/>
      </c>
      <c r="EI637">
        <f>IF($DM637=0,"",IF($DO637&lt;&gt;"",$DO637,$EH637))</f>
        <v/>
      </c>
      <c r="EJ637">
        <f>IF($DM637=0,"",IF($EI637="",0,IF(OR(ISNUMBER($EI637),AND(AND(SUBSTITUTE(SUBSTITUTE(SUBSTITUTE(SUBSTITUTE(SUBSTITUTE(SUBSTITUTE(SUBSTITUTE(SUBSTITUTE(SUBSTITUTE(SUBSTITUTE(SUBSTITUTE(SUBSTITUTE(SUBSTITUTE(SUBSTITUTE(UPPER($EI637),"0",""),"1",""),"2",""),"3",""),"4",""),"5",""),"6",""),"7",""),"8",""),"9",""),".",""),"+",""),"-",""),"E","")="",LEN(SUBSTITUTE(SUBSTITUTE(MID(UPPER($EI637),1+OR(LEFT(UPPER($EI637),1)="+",LEFT(UPPER($EI637),1)="-"),999),"E+","E"),"E-","E"))=LEN(SUBSTITUTE(SUBSTITUTE(SUBSTITUTE(SUBSTITUTE(MID(UPPER($EI637),1+OR(LEFT(UPPER($EI637),1)="+",LEFT(UPPER($EI637),1)="-"),999),"E+","E"),"E-","E"),"+",""),"-","")),LEN(UPPER($EI637))-LEN(SUBSTITUTE(UPPER($EI637),"E",""))&lt;2,LEN(UPPER($EI637))-LEN(SUBSTITUTE(UPPER($EI637),".",""))&lt;2,IFERROR(FIND(".",UPPER($EI637)),0)&lt;IFERROR(FIND("E",UPPER($EI637)),999)),ISNUMBER(VALUE($EI637)))),1,2)))</f>
        <v/>
      </c>
      <c r="EK637">
        <f>IF($DM637=0,"",IF($EJ637=1,IF(ISNUMBER($EI637),$EI637,VALUE($EI637)),IF($EJ637=2,$DE637,0)))</f>
        <v/>
      </c>
      <c r="EL637">
        <f>IF($DM637=0,"",COUNTIF($EG$5:$EG$1003,"&lt;"&amp;$EG637)+SUMPRODUCT(($EG$5:$EG$1003=$EG637)*(($EJ$5:$EJ$1003&lt;$EJ637)+($EJ$5:$EJ$1003=$EJ637)*(($EK$5:$EK$1003&lt;$EK637)+($EK$5:$EK$1003=$EK637)*($DE$5:$DE$1003&lt;$DE637))))+1)</f>
        <v/>
      </c>
      <c r="EM637">
        <f>IF($DM637=0,"",$EL637+$EG637-1)</f>
        <v/>
      </c>
      <c r="EN637">
        <f>IF($DM637=0,0,IFERROR(MATCH(1,INDEX(--(TRIM(SUBSTITUTE(SUBSTITUTE(SUBSTITUTE(SUBSTITUTE(LINES_NAME&amp;""," "," "),CHAR(9)," "),CHAR(10)," "),CHAR(13)," "))=$DH637),0),0),0))</f>
        <v/>
      </c>
      <c r="EO637">
        <f>IF($EN637=0,0,IF(OR(UPPER(TRIM(INDEX(LINES_SCHEDULED,$EN637)&amp;""))="YES",UPPER(TRIM(INDEX(LINES_SCHEDULED,$EN637)&amp;""))="Y",UPPER(TRIM(INDEX(LINES_SCHEDULED,$EN637)&amp;""))="X"),1,0))</f>
        <v/>
      </c>
      <c r="EP637">
        <f>IF($DM637=0,"",IF(COUNTIFS($EG$5:$EG$1003,$EG637,$EB$5:$EB$1003,"Ready")&gt;0,"READY",IF(COUNTIFS($EG$5:$EG$1003,$EG637,$EB$5:$EB$1003,"PM")&gt;0,"PM",IF(COUNTIFS($EG$5:$EG$1003,$EG637,$EB$5:$EB$1003,"OT")&gt;0,"OT",""))))</f>
        <v/>
      </c>
      <c r="EQ637">
        <f>IF($EN637=0,"",UPPER(TRIM(INDEX(LINES_STATUS,$EN637)&amp;"")))</f>
        <v/>
      </c>
      <c r="ER637">
        <f>IF($DM637=0,"",IF(OR($EQ637="READY",$EQ637="PM",$EQ637="OT"),$EQ637,$EP637))</f>
        <v/>
      </c>
      <c r="ES637">
        <f>IF($DM637=0,"",IF(AND($DV637&lt;&gt;"",UPPER($DV637)&lt;&gt;"N"),"allergen",IF(ISNUMBER(SEARCH("oil",$DQ637)),"oil",IF(OR(EXACT($DS637,"A662"),EXACT($DS637,"A624")),"bulk",""))))</f>
        <v/>
      </c>
      <c r="ET637">
        <f>IF($DM637=0,"",IF(OR($EA637="",$EA637=0),"",$EA637/100))</f>
        <v/>
      </c>
      <c r="EU637">
        <f>IF(OR($ET637="",$DY637=""),"",INT($DY637*(1-$ET637)+0.5))</f>
        <v/>
      </c>
      <c r="EW637" t="n">
        <v>633</v>
      </c>
      <c r="EX637">
        <f>IFERROR(MATCH($EW637,$EM$5:$EM$1003,0),0)</f>
        <v/>
      </c>
      <c r="EY637">
        <f>IF($EW637&gt;$B$12,"",IF($EX637&gt;0,"row","spacer"))</f>
        <v/>
      </c>
      <c r="EZ637">
        <f>IF(AND($EY637="row",$EY636&lt;&gt;"row"),1,0)</f>
        <v/>
      </c>
      <c r="FA637">
        <f>IF(AND($EY637="row",$EY638&lt;&gt;"row"),1,0)</f>
        <v/>
      </c>
      <c r="FB637">
        <f>IF($EZ637=1,IFERROR(IF(ISNUMBER(INDEX(PASTE_ALL,INDEX($DF$5:$DF$1003,$EX637),$B$37)),INDEX(PASTE_ALL,INDEX($DF$5:$DF$1003,$EX637),$B$37),INDEX($DH$5:$DH$1003,$EX637)),INDEX($DH$5:$DH$1003,$EX637)),"")</f>
        <v/>
      </c>
      <c r="FC637">
        <f>IF($EY637="row",INDEX($ER$5:$ER$1003,$EX637),"")</f>
        <v/>
      </c>
      <c r="FD637">
        <f>IF($EY637="row",INDEX($DN$5:$DN$1003,$EX637),"")</f>
        <v/>
      </c>
      <c r="FE637">
        <f>IF($EY637="row",INDEX($DO$5:$DO$1003,$EX637),"")</f>
        <v/>
      </c>
      <c r="FF637">
        <f>IF($EY637="row",INDEX($DP$5:$DP$1003,$EX637),"")</f>
        <v/>
      </c>
      <c r="FG637">
        <f>IF($EY637="row",INDEX($DQ$5:$DQ$1003,$EX637),"")</f>
        <v/>
      </c>
      <c r="FH637">
        <f>IF($EY637="row",INDEX($DR$5:$DR$1003,$EX637),"")</f>
        <v/>
      </c>
      <c r="FI637">
        <f>IF($EY637="row",INDEX($DS$5:$DS$1003,$EX637),"")</f>
        <v/>
      </c>
      <c r="FJ637">
        <f>IF($EY637="row",INDEX($DT$5:$DT$1003,$EX637),"")</f>
        <v/>
      </c>
      <c r="FK637">
        <f>IF($EY637="row",INDEX($DU$5:$DU$1003,$EX637),"")</f>
        <v/>
      </c>
      <c r="FL637">
        <f>IF($EY637="row",INDEX($DV$5:$DV$1003,$EX637),"")</f>
        <v/>
      </c>
      <c r="FM637">
        <f>IF($EY637="row",INDEX($DW$5:$DW$1003,$EX637),"")</f>
        <v/>
      </c>
      <c r="FN637">
        <f>IF($EY637="row",INDEX($DY$5:$DY$1003,$EX637),"")</f>
        <v/>
      </c>
      <c r="FO637">
        <f>IF($EY637="row",INDEX($EA$5:$EA$1003,$EX637),"")</f>
        <v/>
      </c>
      <c r="FP637">
        <f>IF($EY637="row",INDEX($EC$5:$EC$1003,$EX637),"")</f>
        <v/>
      </c>
      <c r="FQ637">
        <f>IF($EY637="row",INDEX($ET$5:$ET$1003,$EX637),"")</f>
        <v/>
      </c>
      <c r="FR637">
        <f>IF($EY637="row",INDEX($EU$5:$EU$1003,$EX637),"")</f>
        <v/>
      </c>
      <c r="FS637">
        <f>IF(AND($EY637="row",$EY636="row"),IF(OR(INDEX($DT$5:$DT$1003,$EX636)="",INDEX($DT$5:$DT$1003,$EX637)=""),"",IF(NOT(EXACT(INDEX($DT$5:$DT$1003,$EX636),INDEX($DT$5:$DT$1003,$EX637))),"S4",IF(NOT(EXACT(INDEX($DS$5:$DS$1003,$EX636),INDEX($DS$5:$DS$1003,$EX637))),"S3",IF(NOT(EXACT(INDEX($DR$5:$DR$1003,$EX636),INDEX($DR$5:$DR$1003,$EX637))),"S1 Count Change","S1")))),"")</f>
        <v/>
      </c>
      <c r="FT637">
        <f>IF($EY637="row",INDEX($ES$5:$ES$1003,$EX637),"")</f>
        <v/>
      </c>
      <c r="FU637">
        <f>IF($EY637="row",INDEX($EO$5:$EO$1003,$EX637),0)</f>
        <v/>
      </c>
      <c r="FV637">
        <f>IF($FS637="S1 Count Change",1,0)</f>
        <v/>
      </c>
    </row>
    <row r="638">
      <c r="DA638" t="n">
        <v>634</v>
      </c>
      <c r="DB638">
        <f>IF($B$37=0,"",IFERROR(TRIM(SUBSTITUTE(SUBSTITUTE(SUBSTITUTE(SUBSTITUTE(INDEX(PASTE_ALL,634,$B$37)," "," "),CHAR(9)," "),CHAR(10)," "),CHAR(13)," ")),""))</f>
        <v/>
      </c>
      <c r="DC638">
        <f>IF(AND(634&gt;HEADER_ROW,UPPER(DB638)="LEGEND"),1,0)</f>
        <v/>
      </c>
      <c r="DE638" t="n">
        <v>634</v>
      </c>
      <c r="DF638">
        <f>HEADER_ROW+$DE638</f>
        <v/>
      </c>
      <c r="DG638">
        <f>IF(AND($DF638&lt;=1000,$DF638&lt;$B$8),1,0)</f>
        <v/>
      </c>
      <c r="DH638">
        <f>IF($DG638=1,IFERROR(INDEX($DB$5:$DB$1004,$DF638),""),"")</f>
        <v/>
      </c>
      <c r="DI638">
        <f>IF(AND($DG638=1,$DH638&lt;&gt;""),IFERROR(SUBSTITUTE(SUBSTITUTE(TRIM(SUBSTITUTE(SUBSTITUTE(SUBSTITUTE(SUBSTITUTE(IFERROR(INDEX(PASTE_ALL,$DF638,1)&amp;"","")&amp;"␟"&amp;IFERROR(INDEX(PASTE_ALL,$DF638,2)&amp;"","")&amp;"␟"&amp;IFERROR(INDEX(PASTE_ALL,$DF638,3)&amp;"","")&amp;"␟"&amp;IFERROR(INDEX(PASTE_ALL,$DF638,4)&amp;"","")&amp;"␟"&amp;IFERROR(INDEX(PASTE_ALL,$DF638,5)&amp;"","")&amp;"␟"&amp;IFERROR(INDEX(PASTE_ALL,$DF638,6)&amp;"","")&amp;"␟"&amp;IFERROR(INDEX(PASTE_ALL,$DF638,7)&amp;"","")&amp;"␟"&amp;IFERROR(INDEX(PASTE_ALL,$DF638,8)&amp;"","")&amp;"␟"&amp;IFERROR(INDEX(PASTE_ALL,$DF638,9)&amp;"","")&amp;"␟"&amp;IFERROR(INDEX(PASTE_ALL,$DF638,10)&amp;"","")&amp;"␟"&amp;IFERROR(INDEX(PASTE_ALL,$DF638,11)&amp;"","")&amp;"␟"&amp;IFERROR(INDEX(PASTE_ALL,$DF638,12)&amp;"","")&amp;"␟"&amp;IFERROR(INDEX(PASTE_ALL,$DF638,13)&amp;"","")&amp;"␟"&amp;IFERROR(INDEX(PASTE_ALL,$DF638,14)&amp;"","")&amp;"␟"&amp;IFERROR(INDEX(PASTE_ALL,$DF638,15)&amp;"","")&amp;"␟"&amp;IFERROR(INDEX(PASTE_ALL,$DF638,16)&amp;"","")&amp;"␟"&amp;IFERROR(INDEX(PASTE_ALL,$DF638,17)&amp;"","")&amp;"␟"&amp;IFERROR(INDEX(PASTE_ALL,$DF638,18)&amp;"","")&amp;"␟"&amp;IFERROR(INDEX(PASTE_ALL,$DF638,19)&amp;"","")&amp;"␟"&amp;IFERROR(INDEX(PASTE_ALL,$DF638,20)&amp;"","")&amp;"␟"&amp;IFERROR(INDEX(PASTE_ALL,$DF638,21)&amp;"","")&amp;"␟"&amp;IFERROR(INDEX(PASTE_ALL,$DF638,22)&amp;"","")&amp;"␟"&amp;IFERROR(INDEX(PASTE_ALL,$DF638,23)&amp;"","")&amp;"␟"&amp;IFERROR(INDEX(PASTE_ALL,$DF638,24)&amp;"","")&amp;"␟"&amp;IFERROR(INDEX(PASTE_ALL,$DF638,25)&amp;"","")&amp;"␟"&amp;IFERROR(INDEX(PASTE_ALL,$DF638,26)&amp;"","")&amp;"␟"&amp;IFERROR(INDEX(PASTE_ALL,$DF638,27)&amp;"","")&amp;"␟"&amp;IFERROR(INDEX(PASTE_ALL,$DF638,28)&amp;"","")&amp;"␟"&amp;IFERROR(INDEX(PASTE_ALL,$DF638,29)&amp;"","")&amp;"␟"&amp;IFERROR(INDEX(PASTE_ALL,$DF638,30)&amp;"","")&amp;"␟"&amp;IFERROR(INDEX(PASTE_ALL,$DF638,31)&amp;"","")&amp;"␟"&amp;IFERROR(INDEX(PASTE_ALL,$DF638,32)&amp;"","")&amp;"␟"&amp;IFERROR(INDEX(PASTE_ALL,$DF638,33)&amp;"","")&amp;"␟"&amp;IFERROR(INDEX(PASTE_ALL,$DF638,34)&amp;"","")&amp;"␟"&amp;IFERROR(INDEX(PASTE_ALL,$DF638,35)&amp;"","")&amp;"␟"&amp;IFERROR(INDEX(PASTE_ALL,$DF638,36)&amp;"","")&amp;"␟"&amp;IFERROR(INDEX(PASTE_ALL,$DF638,37)&amp;"","")&amp;"␟"&amp;IFERROR(INDEX(PASTE_ALL,$DF638,38)&amp;"","")&amp;"␟"&amp;IFERROR(INDEX(PASTE_ALL,$DF638,39)&amp;"","")&amp;"␟"&amp;IFERROR(INDEX(PASTE_ALL,$DF638,40)&amp;"","")&amp;"␟"&amp;IFERROR(INDEX(PASTE_ALL,$DF638,41)&amp;"","")&amp;"␟"&amp;IFERROR(INDEX(PASTE_ALL,$DF638,42)&amp;"","")&amp;"␟"&amp;IFERROR(INDEX(PASTE_ALL,$DF638,43)&amp;"","")&amp;"␟"&amp;IFERROR(INDEX(PASTE_ALL,$DF638,44)&amp;"","")&amp;"␟"&amp;IFERROR(INDEX(PASTE_ALL,$DF638,45)&amp;"","")&amp;"␟"&amp;IFERROR(INDEX(PASTE_ALL,$DF638,46)&amp;"","")&amp;"␟"&amp;IFERROR(INDEX(PASTE_ALL,$DF638,47)&amp;"","")&amp;"␟"&amp;IFERROR(INDEX(PASTE_ALL,$DF638,48)&amp;"","")&amp;"␟"&amp;IFERROR(INDEX(PASTE_ALL,$DF638,49)&amp;"","")&amp;"␟"&amp;IFERROR(INDEX(PASTE_ALL,$DF638,50)&amp;"","")&amp;"␟"&amp;IFERROR(INDEX(PASTE_ALL,$DF638,51)&amp;"","")&amp;"␟"&amp;IFERROR(INDEX(PASTE_ALL,$DF638,52)&amp;"","")&amp;"␟"&amp;IFERROR(INDEX(PASTE_ALL,$DF638,53)&amp;"","")&amp;"␟"&amp;IFERROR(INDEX(PASTE_ALL,$DF638,54)&amp;"","")&amp;"␟"&amp;IFERROR(INDEX(PASTE_ALL,$DF638,55)&amp;"","")&amp;"␟"&amp;IFERROR(INDEX(PASTE_ALL,$DF638,56)&amp;"","")&amp;"␟"&amp;IFERROR(INDEX(PASTE_ALL,$DF638,57)&amp;"","")&amp;"␟"&amp;IFERROR(INDEX(PASTE_ALL,$DF638,58)&amp;"","")&amp;"␟"&amp;IFERROR(INDEX(PASTE_ALL,$DF638,59)&amp;"","")&amp;"␟"&amp;IFERROR(INDEX(PASTE_ALL,$DF638,60)&amp;"","")," "," "),CHAR(9)," "),CHAR(10)," "),CHAR(13)," "))," ␟","␟"),"␟ ","␟"),"#"&amp;$DE638),"")</f>
        <v/>
      </c>
      <c r="DJ638">
        <f>IF($DI638="",0,IF(SUMPRODUCT(--EXACT($DI$4:DI637,$DI638))&gt;0,1,0))</f>
        <v/>
      </c>
      <c r="DK638">
        <f>IF(AND($DI638&lt;&gt;"",$DJ638=0),1,0)</f>
        <v/>
      </c>
      <c r="DL638">
        <f>DL637+$DK638</f>
        <v/>
      </c>
      <c r="DM638">
        <f>IF(AND($DK638=1,$DL638&lt;=600),1,0)</f>
        <v/>
      </c>
      <c r="DN638">
        <f>IF($DM638=0,"",IF($L$6=0,"",IFERROR(IF(ISNUMBER(INDEX(PASTE_ALL,$DF638,$L$6)),INDEX(PASTE_ALL,$DF638,$L$6),TRIM(SUBSTITUTE(SUBSTITUTE(SUBSTITUTE(SUBSTITUTE(INDEX(PASTE_ALL,$DF638,$L$6)," "," "),CHAR(9)," "),CHAR(10)," "),CHAR(13)," "))),"")))</f>
        <v/>
      </c>
      <c r="DO638">
        <f>IF($DM638=0,"",IF($L$7=0,"",IFERROR(IF(ISNUMBER(INDEX(PASTE_ALL,$DF638,$L$7)),INDEX(PASTE_ALL,$DF638,$L$7),TRIM(SUBSTITUTE(SUBSTITUTE(SUBSTITUTE(SUBSTITUTE(INDEX(PASTE_ALL,$DF638,$L$7)," "," "),CHAR(9)," "),CHAR(10)," "),CHAR(13)," "))),"")))</f>
        <v/>
      </c>
      <c r="DP638">
        <f>IF($DM638=0,"",IF($L$8=0,"",IFERROR(IF(ISNUMBER(INDEX(PASTE_ALL,$DF638,$L$8)),INDEX(PASTE_ALL,$DF638,$L$8),TRIM(SUBSTITUTE(SUBSTITUTE(SUBSTITUTE(SUBSTITUTE(INDEX(PASTE_ALL,$DF638,$L$8)," "," "),CHAR(9)," "),CHAR(10)," "),CHAR(13)," "))),"")))</f>
        <v/>
      </c>
      <c r="DQ638">
        <f>IF($DM638=0,"",IF($L$9=0,"",IFERROR(IF(ISNUMBER(INDEX(PASTE_ALL,$DF638,$L$9)),INDEX(PASTE_ALL,$DF638,$L$9),TRIM(SUBSTITUTE(SUBSTITUTE(SUBSTITUTE(SUBSTITUTE(INDEX(PASTE_ALL,$DF638,$L$9)," "," "),CHAR(9)," "),CHAR(10)," "),CHAR(13)," "))),"")))</f>
        <v/>
      </c>
      <c r="DR638">
        <f>IF($DM638=0,"",IF($L$10=0,"",IFERROR(IF(ISNUMBER(INDEX(PASTE_ALL,$DF638,$L$10)),INDEX(PASTE_ALL,$DF638,$L$10),TRIM(SUBSTITUTE(SUBSTITUTE(SUBSTITUTE(SUBSTITUTE(INDEX(PASTE_ALL,$DF638,$L$10)," "," "),CHAR(9)," "),CHAR(10)," "),CHAR(13)," "))),"")))</f>
        <v/>
      </c>
      <c r="DS638">
        <f>IF($DM638=0,"",IF($L$11=0,"",IFERROR(IF(ISNUMBER(INDEX(PASTE_ALL,$DF638,$L$11)),INDEX(PASTE_ALL,$DF638,$L$11),TRIM(SUBSTITUTE(SUBSTITUTE(SUBSTITUTE(SUBSTITUTE(INDEX(PASTE_ALL,$DF638,$L$11)," "," "),CHAR(9)," "),CHAR(10)," "),CHAR(13)," "))),"")))</f>
        <v/>
      </c>
      <c r="DT638">
        <f>IF($DM638=0,"",IF($L$12=0,"",IFERROR(IF(ISNUMBER(INDEX(PASTE_ALL,$DF638,$L$12)),INDEX(PASTE_ALL,$DF638,$L$12),TRIM(SUBSTITUTE(SUBSTITUTE(SUBSTITUTE(SUBSTITUTE(INDEX(PASTE_ALL,$DF638,$L$12)," "," "),CHAR(9)," "),CHAR(10)," "),CHAR(13)," "))),"")))</f>
        <v/>
      </c>
      <c r="DU638">
        <f>IF($DM638=0,"",IF($L$13=0,"",IFERROR(IF(ISNUMBER(INDEX(PASTE_ALL,$DF638,$L$13)),INDEX(PASTE_ALL,$DF638,$L$13),TRIM(SUBSTITUTE(SUBSTITUTE(SUBSTITUTE(SUBSTITUTE(INDEX(PASTE_ALL,$DF638,$L$13)," "," "),CHAR(9)," "),CHAR(10)," "),CHAR(13)," "))),"")))</f>
        <v/>
      </c>
      <c r="DV638">
        <f>IF($DM638=0,"",IF($L$14=0,"",IFERROR(IF(ISNUMBER(INDEX(PASTE_ALL,$DF638,$L$14)),INDEX(PASTE_ALL,$DF638,$L$14),TRIM(SUBSTITUTE(SUBSTITUTE(SUBSTITUTE(SUBSTITUTE(INDEX(PASTE_ALL,$DF638,$L$14)," "," "),CHAR(9)," "),CHAR(10)," "),CHAR(13)," "))),"")))</f>
        <v/>
      </c>
      <c r="DW638">
        <f>IF($DM638=0,"",IF($L$15=0,"",IFERROR(IF(ISNUMBER(INDEX(PASTE_ALL,$DF638,$L$15)),INDEX(PASTE_ALL,$DF638,$L$15),IF(SUMPRODUCT(--ISNUMBER(FIND({"A","B","C","D","E","F","G","H","I","J","K","L","M","N","O","P","Q","R","S","T","U","V","W","X","Y","Z","0","1","2","3","4","5","6","7","8","9"},UPPER(TRIM(SUBSTITUTE(SUBSTITUTE(SUBSTITUTE(SUBSTITUTE(INDEX(PASTE_ALL,$DF638,$L$15)," "," "),CHAR(9)," "),CHAR(10)," "),CHAR(13)," "))))))&gt;0,TRIM(SUBSTITUTE(SUBSTITUTE(SUBSTITUTE(SUBSTITUTE(INDEX(PASTE_ALL,$DF638,$L$15)," "," "),CHAR(9)," "),CHAR(10)," "),CHAR(13)," ")),"")),"")))</f>
        <v/>
      </c>
      <c r="DX638">
        <f>IF($DM638=0,"",IF($L$16=0,"",IFERROR(IF(ISNUMBER(INDEX(PASTE_ALL,$DF638,$L$16)),INDEX(PASTE_ALL,$DF638,$L$16),SUBSTITUTE(SUBSTITUTE(TRIM(SUBSTITUTE(SUBSTITUTE(SUBSTITUTE(SUBSTITUTE(INDEX(PASTE_ALL,$DF638,$L$16)," "," "),CHAR(9)," "),CHAR(10)," "),CHAR(13)," ")),",",""),"%","")),"")))</f>
        <v/>
      </c>
      <c r="DY638">
        <f>IF($DM638=0,"",IFERROR(IF(ISNUMBER($DX638),$DX638,IF($DX638="","",IF(TRIM($DX638)="",0,IF(AND(AND(SUBSTITUTE(SUBSTITUTE(SUBSTITUTE(SUBSTITUTE(SUBSTITUTE(SUBSTITUTE(SUBSTITUTE(SUBSTITUTE(SUBSTITUTE(SUBSTITUTE(SUBSTITUTE(SUBSTITUTE(SUBSTITUTE(SUBSTITUTE(UPPER(TRIM($DX638)),"0",""),"1",""),"2",""),"3",""),"4",""),"5",""),"6",""),"7",""),"8",""),"9",""),".",""),"+",""),"-",""),"E","")="",LEN(SUBSTITUTE(SUBSTITUTE(MID(UPPER(TRIM($DX638)),1+OR(LEFT(UPPER(TRIM($DX638)),1)="+",LEFT(UPPER(TRIM($DX638)),1)="-"),999),"E+","E"),"E-","E"))=LEN(SUBSTITUTE(SUBSTITUTE(SUBSTITUTE(SUBSTITUTE(MID(UPPER(TRIM($DX638)),1+OR(LEFT(UPPER(TRIM($DX638)),1)="+",LEFT(UPPER(TRIM($DX638)),1)="-"),999),"E+","E"),"E-","E"),"+",""),"-","")),LEN(UPPER(TRIM($DX638)))-LEN(SUBSTITUTE(UPPER(TRIM($DX638)),"E",""))&lt;2,LEN(UPPER(TRIM($DX638)))-LEN(SUBSTITUTE(UPPER(TRIM($DX638)),".",""))&lt;2,IFERROR(FIND(".",UPPER(TRIM($DX638))),0)&lt;IFERROR(FIND("E",UPPER(TRIM($DX638))),999)),ISNUMBER(VALUE(TRIM($DX638)))),VALUE(TRIM($DX638)),"")))),""))</f>
        <v/>
      </c>
      <c r="DZ638">
        <f>IF($DM638=0,"",IF($L$17=0,"",IFERROR(IF(ISNUMBER(INDEX(PASTE_ALL,$DF638,$L$17)),INDEX(PASTE_ALL,$DF638,$L$17),SUBSTITUTE(SUBSTITUTE(TRIM(SUBSTITUTE(SUBSTITUTE(SUBSTITUTE(SUBSTITUTE(INDEX(PASTE_ALL,$DF638,$L$17)," "," "),CHAR(9)," "),CHAR(10)," "),CHAR(13)," ")),",",""),"%","")),"")))</f>
        <v/>
      </c>
      <c r="EA638">
        <f>IF($DM638=0,"",IFERROR(IF(ISNUMBER($DZ638),$DZ638,IF($DZ638="","",IF(TRIM($DZ638)="",0,IF(AND(AND(SUBSTITUTE(SUBSTITUTE(SUBSTITUTE(SUBSTITUTE(SUBSTITUTE(SUBSTITUTE(SUBSTITUTE(SUBSTITUTE(SUBSTITUTE(SUBSTITUTE(SUBSTITUTE(SUBSTITUTE(SUBSTITUTE(SUBSTITUTE(UPPER(TRIM($DZ638)),"0",""),"1",""),"2",""),"3",""),"4",""),"5",""),"6",""),"7",""),"8",""),"9",""),".",""),"+",""),"-",""),"E","")="",LEN(SUBSTITUTE(SUBSTITUTE(MID(UPPER(TRIM($DZ638)),1+OR(LEFT(UPPER(TRIM($DZ638)),1)="+",LEFT(UPPER(TRIM($DZ638)),1)="-"),999),"E+","E"),"E-","E"))=LEN(SUBSTITUTE(SUBSTITUTE(SUBSTITUTE(SUBSTITUTE(MID(UPPER(TRIM($DZ638)),1+OR(LEFT(UPPER(TRIM($DZ638)),1)="+",LEFT(UPPER(TRIM($DZ638)),1)="-"),999),"E+","E"),"E-","E"),"+",""),"-","")),LEN(UPPER(TRIM($DZ638)))-LEN(SUBSTITUTE(UPPER(TRIM($DZ638)),"E",""))&lt;2,LEN(UPPER(TRIM($DZ638)))-LEN(SUBSTITUTE(UPPER(TRIM($DZ638)),".",""))&lt;2,IFERROR(FIND(".",UPPER(TRIM($DZ638))),0)&lt;IFERROR(FIND("E",UPPER(TRIM($DZ638))),999)),ISNUMBER(VALUE(TRIM($DZ638)))),VALUE(TRIM($DZ638)),"")))),""))</f>
        <v/>
      </c>
      <c r="EB638">
        <f>IF($DM638=0,"",IF($L$18=0,"",IFERROR(IF(UPPER(TRIM(SUBSTITUTE(SUBSTITUTE(SUBSTITUTE(SUBSTITUTE(INDEX(PASTE_ALL,$DF638,$L$18)," "," "),CHAR(9)," "),CHAR(10)," "),CHAR(13)," ")))="READY","Ready",IF(UPPER(TRIM(SUBSTITUTE(SUBSTITUTE(SUBSTITUTE(SUBSTITUTE(INDEX(PASTE_ALL,$DF638,$L$18)," "," "),CHAR(9)," "),CHAR(10)," "),CHAR(13)," ")))="PM","PM",IF(OR(UPPER(TRIM(SUBSTITUTE(SUBSTITUTE(SUBSTITUTE(SUBSTITUTE(INDEX(PASTE_ALL,$DF638,$L$18)," "," "),CHAR(9)," "),CHAR(10)," "),CHAR(13)," ")))="OT",UPPER(TRIM(SUBSTITUTE(SUBSTITUTE(SUBSTITUTE(SUBSTITUTE(INDEX(PASTE_ALL,$DF638,$L$18)," "," "),CHAR(9)," "),CHAR(10)," "),CHAR(13)," ")))="OVERTIME",UPPER(TRIM(SUBSTITUTE(SUBSTITUTE(SUBSTITUTE(SUBSTITUTE(INDEX(PASTE_ALL,$DF638,$L$18)," "," "),CHAR(9)," "),CHAR(10)," "),CHAR(13)," ")))="TRIAL"),"OT",TRIM(SUBSTITUTE(SUBSTITUTE(SUBSTITUTE(SUBSTITUTE(INDEX(PASTE_ALL,$DF638,$L$18)," "," "),CHAR(9)," "),CHAR(10)," "),CHAR(13)," "))))),"")))</f>
        <v/>
      </c>
      <c r="EC638">
        <f>IF($DM638=0,"",IF($L$19=0,"",IFERROR(IF(ISNUMBER(INDEX(PASTE_ALL,$DF638,$L$19)),INDEX(PASTE_ALL,$DF638,$L$19),TRIM(SUBSTITUTE(SUBSTITUTE(SUBSTITUTE(SUBSTITUTE(INDEX(PASTE_ALL,$DF638,$L$19)," "," "),CHAR(9)," "),CHAR(10)," "),CHAR(13)," "))),"")))</f>
        <v/>
      </c>
      <c r="ED638">
        <f>IF($DM638=0,"",MATCH(1,INDEX(EXACT($DH$5:DH638,$DH638)*$DM$5:DM638,0),0))</f>
        <v/>
      </c>
      <c r="EE638">
        <f>IF($DM638=0,0,IF($ED638=$DE638,1,0))</f>
        <v/>
      </c>
      <c r="EF638">
        <f>EF637+$EE638</f>
        <v/>
      </c>
      <c r="EG638">
        <f>IF($DM638=0,"",INDEX($EF$5:$EF$1003,$ED638))</f>
        <v/>
      </c>
      <c r="EH638">
        <f>IF($DM638=0,"",IF($DO638&lt;&gt;"","",IFERROR(LOOKUP(2,1/(($EG$4:EG637=$EG638)*($DO$4:DO637&lt;&gt;"")),$DO$4:DO637),"")))</f>
        <v/>
      </c>
      <c r="EI638">
        <f>IF($DM638=0,"",IF($DO638&lt;&gt;"",$DO638,$EH638))</f>
        <v/>
      </c>
      <c r="EJ638">
        <f>IF($DM638=0,"",IF($EI638="",0,IF(OR(ISNUMBER($EI638),AND(AND(SUBSTITUTE(SUBSTITUTE(SUBSTITUTE(SUBSTITUTE(SUBSTITUTE(SUBSTITUTE(SUBSTITUTE(SUBSTITUTE(SUBSTITUTE(SUBSTITUTE(SUBSTITUTE(SUBSTITUTE(SUBSTITUTE(SUBSTITUTE(UPPER($EI638),"0",""),"1",""),"2",""),"3",""),"4",""),"5",""),"6",""),"7",""),"8",""),"9",""),".",""),"+",""),"-",""),"E","")="",LEN(SUBSTITUTE(SUBSTITUTE(MID(UPPER($EI638),1+OR(LEFT(UPPER($EI638),1)="+",LEFT(UPPER($EI638),1)="-"),999),"E+","E"),"E-","E"))=LEN(SUBSTITUTE(SUBSTITUTE(SUBSTITUTE(SUBSTITUTE(MID(UPPER($EI638),1+OR(LEFT(UPPER($EI638),1)="+",LEFT(UPPER($EI638),1)="-"),999),"E+","E"),"E-","E"),"+",""),"-","")),LEN(UPPER($EI638))-LEN(SUBSTITUTE(UPPER($EI638),"E",""))&lt;2,LEN(UPPER($EI638))-LEN(SUBSTITUTE(UPPER($EI638),".",""))&lt;2,IFERROR(FIND(".",UPPER($EI638)),0)&lt;IFERROR(FIND("E",UPPER($EI638)),999)),ISNUMBER(VALUE($EI638)))),1,2)))</f>
        <v/>
      </c>
      <c r="EK638">
        <f>IF($DM638=0,"",IF($EJ638=1,IF(ISNUMBER($EI638),$EI638,VALUE($EI638)),IF($EJ638=2,$DE638,0)))</f>
        <v/>
      </c>
      <c r="EL638">
        <f>IF($DM638=0,"",COUNTIF($EG$5:$EG$1003,"&lt;"&amp;$EG638)+SUMPRODUCT(($EG$5:$EG$1003=$EG638)*(($EJ$5:$EJ$1003&lt;$EJ638)+($EJ$5:$EJ$1003=$EJ638)*(($EK$5:$EK$1003&lt;$EK638)+($EK$5:$EK$1003=$EK638)*($DE$5:$DE$1003&lt;$DE638))))+1)</f>
        <v/>
      </c>
      <c r="EM638">
        <f>IF($DM638=0,"",$EL638+$EG638-1)</f>
        <v/>
      </c>
      <c r="EN638">
        <f>IF($DM638=0,0,IFERROR(MATCH(1,INDEX(--(TRIM(SUBSTITUTE(SUBSTITUTE(SUBSTITUTE(SUBSTITUTE(LINES_NAME&amp;""," "," "),CHAR(9)," "),CHAR(10)," "),CHAR(13)," "))=$DH638),0),0),0))</f>
        <v/>
      </c>
      <c r="EO638">
        <f>IF($EN638=0,0,IF(OR(UPPER(TRIM(INDEX(LINES_SCHEDULED,$EN638)&amp;""))="YES",UPPER(TRIM(INDEX(LINES_SCHEDULED,$EN638)&amp;""))="Y",UPPER(TRIM(INDEX(LINES_SCHEDULED,$EN638)&amp;""))="X"),1,0))</f>
        <v/>
      </c>
      <c r="EP638">
        <f>IF($DM638=0,"",IF(COUNTIFS($EG$5:$EG$1003,$EG638,$EB$5:$EB$1003,"Ready")&gt;0,"READY",IF(COUNTIFS($EG$5:$EG$1003,$EG638,$EB$5:$EB$1003,"PM")&gt;0,"PM",IF(COUNTIFS($EG$5:$EG$1003,$EG638,$EB$5:$EB$1003,"OT")&gt;0,"OT",""))))</f>
        <v/>
      </c>
      <c r="EQ638">
        <f>IF($EN638=0,"",UPPER(TRIM(INDEX(LINES_STATUS,$EN638)&amp;"")))</f>
        <v/>
      </c>
      <c r="ER638">
        <f>IF($DM638=0,"",IF(OR($EQ638="READY",$EQ638="PM",$EQ638="OT"),$EQ638,$EP638))</f>
        <v/>
      </c>
      <c r="ES638">
        <f>IF($DM638=0,"",IF(AND($DV638&lt;&gt;"",UPPER($DV638)&lt;&gt;"N"),"allergen",IF(ISNUMBER(SEARCH("oil",$DQ638)),"oil",IF(OR(EXACT($DS638,"A662"),EXACT($DS638,"A624")),"bulk",""))))</f>
        <v/>
      </c>
      <c r="ET638">
        <f>IF($DM638=0,"",IF(OR($EA638="",$EA638=0),"",$EA638/100))</f>
        <v/>
      </c>
      <c r="EU638">
        <f>IF(OR($ET638="",$DY638=""),"",INT($DY638*(1-$ET638)+0.5))</f>
        <v/>
      </c>
      <c r="EW638" t="n">
        <v>634</v>
      </c>
      <c r="EX638">
        <f>IFERROR(MATCH($EW638,$EM$5:$EM$1003,0),0)</f>
        <v/>
      </c>
      <c r="EY638">
        <f>IF($EW638&gt;$B$12,"",IF($EX638&gt;0,"row","spacer"))</f>
        <v/>
      </c>
      <c r="EZ638">
        <f>IF(AND($EY638="row",$EY637&lt;&gt;"row"),1,0)</f>
        <v/>
      </c>
      <c r="FA638">
        <f>IF(AND($EY638="row",$EY639&lt;&gt;"row"),1,0)</f>
        <v/>
      </c>
      <c r="FB638">
        <f>IF($EZ638=1,IFERROR(IF(ISNUMBER(INDEX(PASTE_ALL,INDEX($DF$5:$DF$1003,$EX638),$B$37)),INDEX(PASTE_ALL,INDEX($DF$5:$DF$1003,$EX638),$B$37),INDEX($DH$5:$DH$1003,$EX638)),INDEX($DH$5:$DH$1003,$EX638)),"")</f>
        <v/>
      </c>
      <c r="FC638">
        <f>IF($EY638="row",INDEX($ER$5:$ER$1003,$EX638),"")</f>
        <v/>
      </c>
      <c r="FD638">
        <f>IF($EY638="row",INDEX($DN$5:$DN$1003,$EX638),"")</f>
        <v/>
      </c>
      <c r="FE638">
        <f>IF($EY638="row",INDEX($DO$5:$DO$1003,$EX638),"")</f>
        <v/>
      </c>
      <c r="FF638">
        <f>IF($EY638="row",INDEX($DP$5:$DP$1003,$EX638),"")</f>
        <v/>
      </c>
      <c r="FG638">
        <f>IF($EY638="row",INDEX($DQ$5:$DQ$1003,$EX638),"")</f>
        <v/>
      </c>
      <c r="FH638">
        <f>IF($EY638="row",INDEX($DR$5:$DR$1003,$EX638),"")</f>
        <v/>
      </c>
      <c r="FI638">
        <f>IF($EY638="row",INDEX($DS$5:$DS$1003,$EX638),"")</f>
        <v/>
      </c>
      <c r="FJ638">
        <f>IF($EY638="row",INDEX($DT$5:$DT$1003,$EX638),"")</f>
        <v/>
      </c>
      <c r="FK638">
        <f>IF($EY638="row",INDEX($DU$5:$DU$1003,$EX638),"")</f>
        <v/>
      </c>
      <c r="FL638">
        <f>IF($EY638="row",INDEX($DV$5:$DV$1003,$EX638),"")</f>
        <v/>
      </c>
      <c r="FM638">
        <f>IF($EY638="row",INDEX($DW$5:$DW$1003,$EX638),"")</f>
        <v/>
      </c>
      <c r="FN638">
        <f>IF($EY638="row",INDEX($DY$5:$DY$1003,$EX638),"")</f>
        <v/>
      </c>
      <c r="FO638">
        <f>IF($EY638="row",INDEX($EA$5:$EA$1003,$EX638),"")</f>
        <v/>
      </c>
      <c r="FP638">
        <f>IF($EY638="row",INDEX($EC$5:$EC$1003,$EX638),"")</f>
        <v/>
      </c>
      <c r="FQ638">
        <f>IF($EY638="row",INDEX($ET$5:$ET$1003,$EX638),"")</f>
        <v/>
      </c>
      <c r="FR638">
        <f>IF($EY638="row",INDEX($EU$5:$EU$1003,$EX638),"")</f>
        <v/>
      </c>
      <c r="FS638">
        <f>IF(AND($EY638="row",$EY637="row"),IF(OR(INDEX($DT$5:$DT$1003,$EX637)="",INDEX($DT$5:$DT$1003,$EX638)=""),"",IF(NOT(EXACT(INDEX($DT$5:$DT$1003,$EX637),INDEX($DT$5:$DT$1003,$EX638))),"S4",IF(NOT(EXACT(INDEX($DS$5:$DS$1003,$EX637),INDEX($DS$5:$DS$1003,$EX638))),"S3",IF(NOT(EXACT(INDEX($DR$5:$DR$1003,$EX637),INDEX($DR$5:$DR$1003,$EX638))),"S1 Count Change","S1")))),"")</f>
        <v/>
      </c>
      <c r="FT638">
        <f>IF($EY638="row",INDEX($ES$5:$ES$1003,$EX638),"")</f>
        <v/>
      </c>
      <c r="FU638">
        <f>IF($EY638="row",INDEX($EO$5:$EO$1003,$EX638),0)</f>
        <v/>
      </c>
      <c r="FV638">
        <f>IF($FS638="S1 Count Change",1,0)</f>
        <v/>
      </c>
    </row>
    <row r="639">
      <c r="DA639" t="n">
        <v>635</v>
      </c>
      <c r="DB639">
        <f>IF($B$37=0,"",IFERROR(TRIM(SUBSTITUTE(SUBSTITUTE(SUBSTITUTE(SUBSTITUTE(INDEX(PASTE_ALL,635,$B$37)," "," "),CHAR(9)," "),CHAR(10)," "),CHAR(13)," ")),""))</f>
        <v/>
      </c>
      <c r="DC639">
        <f>IF(AND(635&gt;HEADER_ROW,UPPER(DB639)="LEGEND"),1,0)</f>
        <v/>
      </c>
      <c r="DE639" t="n">
        <v>635</v>
      </c>
      <c r="DF639">
        <f>HEADER_ROW+$DE639</f>
        <v/>
      </c>
      <c r="DG639">
        <f>IF(AND($DF639&lt;=1000,$DF639&lt;$B$8),1,0)</f>
        <v/>
      </c>
      <c r="DH639">
        <f>IF($DG639=1,IFERROR(INDEX($DB$5:$DB$1004,$DF639),""),"")</f>
        <v/>
      </c>
      <c r="DI639">
        <f>IF(AND($DG639=1,$DH639&lt;&gt;""),IFERROR(SUBSTITUTE(SUBSTITUTE(TRIM(SUBSTITUTE(SUBSTITUTE(SUBSTITUTE(SUBSTITUTE(IFERROR(INDEX(PASTE_ALL,$DF639,1)&amp;"","")&amp;"␟"&amp;IFERROR(INDEX(PASTE_ALL,$DF639,2)&amp;"","")&amp;"␟"&amp;IFERROR(INDEX(PASTE_ALL,$DF639,3)&amp;"","")&amp;"␟"&amp;IFERROR(INDEX(PASTE_ALL,$DF639,4)&amp;"","")&amp;"␟"&amp;IFERROR(INDEX(PASTE_ALL,$DF639,5)&amp;"","")&amp;"␟"&amp;IFERROR(INDEX(PASTE_ALL,$DF639,6)&amp;"","")&amp;"␟"&amp;IFERROR(INDEX(PASTE_ALL,$DF639,7)&amp;"","")&amp;"␟"&amp;IFERROR(INDEX(PASTE_ALL,$DF639,8)&amp;"","")&amp;"␟"&amp;IFERROR(INDEX(PASTE_ALL,$DF639,9)&amp;"","")&amp;"␟"&amp;IFERROR(INDEX(PASTE_ALL,$DF639,10)&amp;"","")&amp;"␟"&amp;IFERROR(INDEX(PASTE_ALL,$DF639,11)&amp;"","")&amp;"␟"&amp;IFERROR(INDEX(PASTE_ALL,$DF639,12)&amp;"","")&amp;"␟"&amp;IFERROR(INDEX(PASTE_ALL,$DF639,13)&amp;"","")&amp;"␟"&amp;IFERROR(INDEX(PASTE_ALL,$DF639,14)&amp;"","")&amp;"␟"&amp;IFERROR(INDEX(PASTE_ALL,$DF639,15)&amp;"","")&amp;"␟"&amp;IFERROR(INDEX(PASTE_ALL,$DF639,16)&amp;"","")&amp;"␟"&amp;IFERROR(INDEX(PASTE_ALL,$DF639,17)&amp;"","")&amp;"␟"&amp;IFERROR(INDEX(PASTE_ALL,$DF639,18)&amp;"","")&amp;"␟"&amp;IFERROR(INDEX(PASTE_ALL,$DF639,19)&amp;"","")&amp;"␟"&amp;IFERROR(INDEX(PASTE_ALL,$DF639,20)&amp;"","")&amp;"␟"&amp;IFERROR(INDEX(PASTE_ALL,$DF639,21)&amp;"","")&amp;"␟"&amp;IFERROR(INDEX(PASTE_ALL,$DF639,22)&amp;"","")&amp;"␟"&amp;IFERROR(INDEX(PASTE_ALL,$DF639,23)&amp;"","")&amp;"␟"&amp;IFERROR(INDEX(PASTE_ALL,$DF639,24)&amp;"","")&amp;"␟"&amp;IFERROR(INDEX(PASTE_ALL,$DF639,25)&amp;"","")&amp;"␟"&amp;IFERROR(INDEX(PASTE_ALL,$DF639,26)&amp;"","")&amp;"␟"&amp;IFERROR(INDEX(PASTE_ALL,$DF639,27)&amp;"","")&amp;"␟"&amp;IFERROR(INDEX(PASTE_ALL,$DF639,28)&amp;"","")&amp;"␟"&amp;IFERROR(INDEX(PASTE_ALL,$DF639,29)&amp;"","")&amp;"␟"&amp;IFERROR(INDEX(PASTE_ALL,$DF639,30)&amp;"","")&amp;"␟"&amp;IFERROR(INDEX(PASTE_ALL,$DF639,31)&amp;"","")&amp;"␟"&amp;IFERROR(INDEX(PASTE_ALL,$DF639,32)&amp;"","")&amp;"␟"&amp;IFERROR(INDEX(PASTE_ALL,$DF639,33)&amp;"","")&amp;"␟"&amp;IFERROR(INDEX(PASTE_ALL,$DF639,34)&amp;"","")&amp;"␟"&amp;IFERROR(INDEX(PASTE_ALL,$DF639,35)&amp;"","")&amp;"␟"&amp;IFERROR(INDEX(PASTE_ALL,$DF639,36)&amp;"","")&amp;"␟"&amp;IFERROR(INDEX(PASTE_ALL,$DF639,37)&amp;"","")&amp;"␟"&amp;IFERROR(INDEX(PASTE_ALL,$DF639,38)&amp;"","")&amp;"␟"&amp;IFERROR(INDEX(PASTE_ALL,$DF639,39)&amp;"","")&amp;"␟"&amp;IFERROR(INDEX(PASTE_ALL,$DF639,40)&amp;"","")&amp;"␟"&amp;IFERROR(INDEX(PASTE_ALL,$DF639,41)&amp;"","")&amp;"␟"&amp;IFERROR(INDEX(PASTE_ALL,$DF639,42)&amp;"","")&amp;"␟"&amp;IFERROR(INDEX(PASTE_ALL,$DF639,43)&amp;"","")&amp;"␟"&amp;IFERROR(INDEX(PASTE_ALL,$DF639,44)&amp;"","")&amp;"␟"&amp;IFERROR(INDEX(PASTE_ALL,$DF639,45)&amp;"","")&amp;"␟"&amp;IFERROR(INDEX(PASTE_ALL,$DF639,46)&amp;"","")&amp;"␟"&amp;IFERROR(INDEX(PASTE_ALL,$DF639,47)&amp;"","")&amp;"␟"&amp;IFERROR(INDEX(PASTE_ALL,$DF639,48)&amp;"","")&amp;"␟"&amp;IFERROR(INDEX(PASTE_ALL,$DF639,49)&amp;"","")&amp;"␟"&amp;IFERROR(INDEX(PASTE_ALL,$DF639,50)&amp;"","")&amp;"␟"&amp;IFERROR(INDEX(PASTE_ALL,$DF639,51)&amp;"","")&amp;"␟"&amp;IFERROR(INDEX(PASTE_ALL,$DF639,52)&amp;"","")&amp;"␟"&amp;IFERROR(INDEX(PASTE_ALL,$DF639,53)&amp;"","")&amp;"␟"&amp;IFERROR(INDEX(PASTE_ALL,$DF639,54)&amp;"","")&amp;"␟"&amp;IFERROR(INDEX(PASTE_ALL,$DF639,55)&amp;"","")&amp;"␟"&amp;IFERROR(INDEX(PASTE_ALL,$DF639,56)&amp;"","")&amp;"␟"&amp;IFERROR(INDEX(PASTE_ALL,$DF639,57)&amp;"","")&amp;"␟"&amp;IFERROR(INDEX(PASTE_ALL,$DF639,58)&amp;"","")&amp;"␟"&amp;IFERROR(INDEX(PASTE_ALL,$DF639,59)&amp;"","")&amp;"␟"&amp;IFERROR(INDEX(PASTE_ALL,$DF639,60)&amp;"","")," "," "),CHAR(9)," "),CHAR(10)," "),CHAR(13)," "))," ␟","␟"),"␟ ","␟"),"#"&amp;$DE639),"")</f>
        <v/>
      </c>
      <c r="DJ639">
        <f>IF($DI639="",0,IF(SUMPRODUCT(--EXACT($DI$4:DI638,$DI639))&gt;0,1,0))</f>
        <v/>
      </c>
      <c r="DK639">
        <f>IF(AND($DI639&lt;&gt;"",$DJ639=0),1,0)</f>
        <v/>
      </c>
      <c r="DL639">
        <f>DL638+$DK639</f>
        <v/>
      </c>
      <c r="DM639">
        <f>IF(AND($DK639=1,$DL639&lt;=600),1,0)</f>
        <v/>
      </c>
      <c r="DN639">
        <f>IF($DM639=0,"",IF($L$6=0,"",IFERROR(IF(ISNUMBER(INDEX(PASTE_ALL,$DF639,$L$6)),INDEX(PASTE_ALL,$DF639,$L$6),TRIM(SUBSTITUTE(SUBSTITUTE(SUBSTITUTE(SUBSTITUTE(INDEX(PASTE_ALL,$DF639,$L$6)," "," "),CHAR(9)," "),CHAR(10)," "),CHAR(13)," "))),"")))</f>
        <v/>
      </c>
      <c r="DO639">
        <f>IF($DM639=0,"",IF($L$7=0,"",IFERROR(IF(ISNUMBER(INDEX(PASTE_ALL,$DF639,$L$7)),INDEX(PASTE_ALL,$DF639,$L$7),TRIM(SUBSTITUTE(SUBSTITUTE(SUBSTITUTE(SUBSTITUTE(INDEX(PASTE_ALL,$DF639,$L$7)," "," "),CHAR(9)," "),CHAR(10)," "),CHAR(13)," "))),"")))</f>
        <v/>
      </c>
      <c r="DP639">
        <f>IF($DM639=0,"",IF($L$8=0,"",IFERROR(IF(ISNUMBER(INDEX(PASTE_ALL,$DF639,$L$8)),INDEX(PASTE_ALL,$DF639,$L$8),TRIM(SUBSTITUTE(SUBSTITUTE(SUBSTITUTE(SUBSTITUTE(INDEX(PASTE_ALL,$DF639,$L$8)," "," "),CHAR(9)," "),CHAR(10)," "),CHAR(13)," "))),"")))</f>
        <v/>
      </c>
      <c r="DQ639">
        <f>IF($DM639=0,"",IF($L$9=0,"",IFERROR(IF(ISNUMBER(INDEX(PASTE_ALL,$DF639,$L$9)),INDEX(PASTE_ALL,$DF639,$L$9),TRIM(SUBSTITUTE(SUBSTITUTE(SUBSTITUTE(SUBSTITUTE(INDEX(PASTE_ALL,$DF639,$L$9)," "," "),CHAR(9)," "),CHAR(10)," "),CHAR(13)," "))),"")))</f>
        <v/>
      </c>
      <c r="DR639">
        <f>IF($DM639=0,"",IF($L$10=0,"",IFERROR(IF(ISNUMBER(INDEX(PASTE_ALL,$DF639,$L$10)),INDEX(PASTE_ALL,$DF639,$L$10),TRIM(SUBSTITUTE(SUBSTITUTE(SUBSTITUTE(SUBSTITUTE(INDEX(PASTE_ALL,$DF639,$L$10)," "," "),CHAR(9)," "),CHAR(10)," "),CHAR(13)," "))),"")))</f>
        <v/>
      </c>
      <c r="DS639">
        <f>IF($DM639=0,"",IF($L$11=0,"",IFERROR(IF(ISNUMBER(INDEX(PASTE_ALL,$DF639,$L$11)),INDEX(PASTE_ALL,$DF639,$L$11),TRIM(SUBSTITUTE(SUBSTITUTE(SUBSTITUTE(SUBSTITUTE(INDEX(PASTE_ALL,$DF639,$L$11)," "," "),CHAR(9)," "),CHAR(10)," "),CHAR(13)," "))),"")))</f>
        <v/>
      </c>
      <c r="DT639">
        <f>IF($DM639=0,"",IF($L$12=0,"",IFERROR(IF(ISNUMBER(INDEX(PASTE_ALL,$DF639,$L$12)),INDEX(PASTE_ALL,$DF639,$L$12),TRIM(SUBSTITUTE(SUBSTITUTE(SUBSTITUTE(SUBSTITUTE(INDEX(PASTE_ALL,$DF639,$L$12)," "," "),CHAR(9)," "),CHAR(10)," "),CHAR(13)," "))),"")))</f>
        <v/>
      </c>
      <c r="DU639">
        <f>IF($DM639=0,"",IF($L$13=0,"",IFERROR(IF(ISNUMBER(INDEX(PASTE_ALL,$DF639,$L$13)),INDEX(PASTE_ALL,$DF639,$L$13),TRIM(SUBSTITUTE(SUBSTITUTE(SUBSTITUTE(SUBSTITUTE(INDEX(PASTE_ALL,$DF639,$L$13)," "," "),CHAR(9)," "),CHAR(10)," "),CHAR(13)," "))),"")))</f>
        <v/>
      </c>
      <c r="DV639">
        <f>IF($DM639=0,"",IF($L$14=0,"",IFERROR(IF(ISNUMBER(INDEX(PASTE_ALL,$DF639,$L$14)),INDEX(PASTE_ALL,$DF639,$L$14),TRIM(SUBSTITUTE(SUBSTITUTE(SUBSTITUTE(SUBSTITUTE(INDEX(PASTE_ALL,$DF639,$L$14)," "," "),CHAR(9)," "),CHAR(10)," "),CHAR(13)," "))),"")))</f>
        <v/>
      </c>
      <c r="DW639">
        <f>IF($DM639=0,"",IF($L$15=0,"",IFERROR(IF(ISNUMBER(INDEX(PASTE_ALL,$DF639,$L$15)),INDEX(PASTE_ALL,$DF639,$L$15),IF(SUMPRODUCT(--ISNUMBER(FIND({"A","B","C","D","E","F","G","H","I","J","K","L","M","N","O","P","Q","R","S","T","U","V","W","X","Y","Z","0","1","2","3","4","5","6","7","8","9"},UPPER(TRIM(SUBSTITUTE(SUBSTITUTE(SUBSTITUTE(SUBSTITUTE(INDEX(PASTE_ALL,$DF639,$L$15)," "," "),CHAR(9)," "),CHAR(10)," "),CHAR(13)," "))))))&gt;0,TRIM(SUBSTITUTE(SUBSTITUTE(SUBSTITUTE(SUBSTITUTE(INDEX(PASTE_ALL,$DF639,$L$15)," "," "),CHAR(9)," "),CHAR(10)," "),CHAR(13)," ")),"")),"")))</f>
        <v/>
      </c>
      <c r="DX639">
        <f>IF($DM639=0,"",IF($L$16=0,"",IFERROR(IF(ISNUMBER(INDEX(PASTE_ALL,$DF639,$L$16)),INDEX(PASTE_ALL,$DF639,$L$16),SUBSTITUTE(SUBSTITUTE(TRIM(SUBSTITUTE(SUBSTITUTE(SUBSTITUTE(SUBSTITUTE(INDEX(PASTE_ALL,$DF639,$L$16)," "," "),CHAR(9)," "),CHAR(10)," "),CHAR(13)," ")),",",""),"%","")),"")))</f>
        <v/>
      </c>
      <c r="DY639">
        <f>IF($DM639=0,"",IFERROR(IF(ISNUMBER($DX639),$DX639,IF($DX639="","",IF(TRIM($DX639)="",0,IF(AND(AND(SUBSTITUTE(SUBSTITUTE(SUBSTITUTE(SUBSTITUTE(SUBSTITUTE(SUBSTITUTE(SUBSTITUTE(SUBSTITUTE(SUBSTITUTE(SUBSTITUTE(SUBSTITUTE(SUBSTITUTE(SUBSTITUTE(SUBSTITUTE(UPPER(TRIM($DX639)),"0",""),"1",""),"2",""),"3",""),"4",""),"5",""),"6",""),"7",""),"8",""),"9",""),".",""),"+",""),"-",""),"E","")="",LEN(SUBSTITUTE(SUBSTITUTE(MID(UPPER(TRIM($DX639)),1+OR(LEFT(UPPER(TRIM($DX639)),1)="+",LEFT(UPPER(TRIM($DX639)),1)="-"),999),"E+","E"),"E-","E"))=LEN(SUBSTITUTE(SUBSTITUTE(SUBSTITUTE(SUBSTITUTE(MID(UPPER(TRIM($DX639)),1+OR(LEFT(UPPER(TRIM($DX639)),1)="+",LEFT(UPPER(TRIM($DX639)),1)="-"),999),"E+","E"),"E-","E"),"+",""),"-","")),LEN(UPPER(TRIM($DX639)))-LEN(SUBSTITUTE(UPPER(TRIM($DX639)),"E",""))&lt;2,LEN(UPPER(TRIM($DX639)))-LEN(SUBSTITUTE(UPPER(TRIM($DX639)),".",""))&lt;2,IFERROR(FIND(".",UPPER(TRIM($DX639))),0)&lt;IFERROR(FIND("E",UPPER(TRIM($DX639))),999)),ISNUMBER(VALUE(TRIM($DX639)))),VALUE(TRIM($DX639)),"")))),""))</f>
        <v/>
      </c>
      <c r="DZ639">
        <f>IF($DM639=0,"",IF($L$17=0,"",IFERROR(IF(ISNUMBER(INDEX(PASTE_ALL,$DF639,$L$17)),INDEX(PASTE_ALL,$DF639,$L$17),SUBSTITUTE(SUBSTITUTE(TRIM(SUBSTITUTE(SUBSTITUTE(SUBSTITUTE(SUBSTITUTE(INDEX(PASTE_ALL,$DF639,$L$17)," "," "),CHAR(9)," "),CHAR(10)," "),CHAR(13)," ")),",",""),"%","")),"")))</f>
        <v/>
      </c>
      <c r="EA639">
        <f>IF($DM639=0,"",IFERROR(IF(ISNUMBER($DZ639),$DZ639,IF($DZ639="","",IF(TRIM($DZ639)="",0,IF(AND(AND(SUBSTITUTE(SUBSTITUTE(SUBSTITUTE(SUBSTITUTE(SUBSTITUTE(SUBSTITUTE(SUBSTITUTE(SUBSTITUTE(SUBSTITUTE(SUBSTITUTE(SUBSTITUTE(SUBSTITUTE(SUBSTITUTE(SUBSTITUTE(UPPER(TRIM($DZ639)),"0",""),"1",""),"2",""),"3",""),"4",""),"5",""),"6",""),"7",""),"8",""),"9",""),".",""),"+",""),"-",""),"E","")="",LEN(SUBSTITUTE(SUBSTITUTE(MID(UPPER(TRIM($DZ639)),1+OR(LEFT(UPPER(TRIM($DZ639)),1)="+",LEFT(UPPER(TRIM($DZ639)),1)="-"),999),"E+","E"),"E-","E"))=LEN(SUBSTITUTE(SUBSTITUTE(SUBSTITUTE(SUBSTITUTE(MID(UPPER(TRIM($DZ639)),1+OR(LEFT(UPPER(TRIM($DZ639)),1)="+",LEFT(UPPER(TRIM($DZ639)),1)="-"),999),"E+","E"),"E-","E"),"+",""),"-","")),LEN(UPPER(TRIM($DZ639)))-LEN(SUBSTITUTE(UPPER(TRIM($DZ639)),"E",""))&lt;2,LEN(UPPER(TRIM($DZ639)))-LEN(SUBSTITUTE(UPPER(TRIM($DZ639)),".",""))&lt;2,IFERROR(FIND(".",UPPER(TRIM($DZ639))),0)&lt;IFERROR(FIND("E",UPPER(TRIM($DZ639))),999)),ISNUMBER(VALUE(TRIM($DZ639)))),VALUE(TRIM($DZ639)),"")))),""))</f>
        <v/>
      </c>
      <c r="EB639">
        <f>IF($DM639=0,"",IF($L$18=0,"",IFERROR(IF(UPPER(TRIM(SUBSTITUTE(SUBSTITUTE(SUBSTITUTE(SUBSTITUTE(INDEX(PASTE_ALL,$DF639,$L$18)," "," "),CHAR(9)," "),CHAR(10)," "),CHAR(13)," ")))="READY","Ready",IF(UPPER(TRIM(SUBSTITUTE(SUBSTITUTE(SUBSTITUTE(SUBSTITUTE(INDEX(PASTE_ALL,$DF639,$L$18)," "," "),CHAR(9)," "),CHAR(10)," "),CHAR(13)," ")))="PM","PM",IF(OR(UPPER(TRIM(SUBSTITUTE(SUBSTITUTE(SUBSTITUTE(SUBSTITUTE(INDEX(PASTE_ALL,$DF639,$L$18)," "," "),CHAR(9)," "),CHAR(10)," "),CHAR(13)," ")))="OT",UPPER(TRIM(SUBSTITUTE(SUBSTITUTE(SUBSTITUTE(SUBSTITUTE(INDEX(PASTE_ALL,$DF639,$L$18)," "," "),CHAR(9)," "),CHAR(10)," "),CHAR(13)," ")))="OVERTIME",UPPER(TRIM(SUBSTITUTE(SUBSTITUTE(SUBSTITUTE(SUBSTITUTE(INDEX(PASTE_ALL,$DF639,$L$18)," "," "),CHAR(9)," "),CHAR(10)," "),CHAR(13)," ")))="TRIAL"),"OT",TRIM(SUBSTITUTE(SUBSTITUTE(SUBSTITUTE(SUBSTITUTE(INDEX(PASTE_ALL,$DF639,$L$18)," "," "),CHAR(9)," "),CHAR(10)," "),CHAR(13)," "))))),"")))</f>
        <v/>
      </c>
      <c r="EC639">
        <f>IF($DM639=0,"",IF($L$19=0,"",IFERROR(IF(ISNUMBER(INDEX(PASTE_ALL,$DF639,$L$19)),INDEX(PASTE_ALL,$DF639,$L$19),TRIM(SUBSTITUTE(SUBSTITUTE(SUBSTITUTE(SUBSTITUTE(INDEX(PASTE_ALL,$DF639,$L$19)," "," "),CHAR(9)," "),CHAR(10)," "),CHAR(13)," "))),"")))</f>
        <v/>
      </c>
      <c r="ED639">
        <f>IF($DM639=0,"",MATCH(1,INDEX(EXACT($DH$5:DH639,$DH639)*$DM$5:DM639,0),0))</f>
        <v/>
      </c>
      <c r="EE639">
        <f>IF($DM639=0,0,IF($ED639=$DE639,1,0))</f>
        <v/>
      </c>
      <c r="EF639">
        <f>EF638+$EE639</f>
        <v/>
      </c>
      <c r="EG639">
        <f>IF($DM639=0,"",INDEX($EF$5:$EF$1003,$ED639))</f>
        <v/>
      </c>
      <c r="EH639">
        <f>IF($DM639=0,"",IF($DO639&lt;&gt;"","",IFERROR(LOOKUP(2,1/(($EG$4:EG638=$EG639)*($DO$4:DO638&lt;&gt;"")),$DO$4:DO638),"")))</f>
        <v/>
      </c>
      <c r="EI639">
        <f>IF($DM639=0,"",IF($DO639&lt;&gt;"",$DO639,$EH639))</f>
        <v/>
      </c>
      <c r="EJ639">
        <f>IF($DM639=0,"",IF($EI639="",0,IF(OR(ISNUMBER($EI639),AND(AND(SUBSTITUTE(SUBSTITUTE(SUBSTITUTE(SUBSTITUTE(SUBSTITUTE(SUBSTITUTE(SUBSTITUTE(SUBSTITUTE(SUBSTITUTE(SUBSTITUTE(SUBSTITUTE(SUBSTITUTE(SUBSTITUTE(SUBSTITUTE(UPPER($EI639),"0",""),"1",""),"2",""),"3",""),"4",""),"5",""),"6",""),"7",""),"8",""),"9",""),".",""),"+",""),"-",""),"E","")="",LEN(SUBSTITUTE(SUBSTITUTE(MID(UPPER($EI639),1+OR(LEFT(UPPER($EI639),1)="+",LEFT(UPPER($EI639),1)="-"),999),"E+","E"),"E-","E"))=LEN(SUBSTITUTE(SUBSTITUTE(SUBSTITUTE(SUBSTITUTE(MID(UPPER($EI639),1+OR(LEFT(UPPER($EI639),1)="+",LEFT(UPPER($EI639),1)="-"),999),"E+","E"),"E-","E"),"+",""),"-","")),LEN(UPPER($EI639))-LEN(SUBSTITUTE(UPPER($EI639),"E",""))&lt;2,LEN(UPPER($EI639))-LEN(SUBSTITUTE(UPPER($EI639),".",""))&lt;2,IFERROR(FIND(".",UPPER($EI639)),0)&lt;IFERROR(FIND("E",UPPER($EI639)),999)),ISNUMBER(VALUE($EI639)))),1,2)))</f>
        <v/>
      </c>
      <c r="EK639">
        <f>IF($DM639=0,"",IF($EJ639=1,IF(ISNUMBER($EI639),$EI639,VALUE($EI639)),IF($EJ639=2,$DE639,0)))</f>
        <v/>
      </c>
      <c r="EL639">
        <f>IF($DM639=0,"",COUNTIF($EG$5:$EG$1003,"&lt;"&amp;$EG639)+SUMPRODUCT(($EG$5:$EG$1003=$EG639)*(($EJ$5:$EJ$1003&lt;$EJ639)+($EJ$5:$EJ$1003=$EJ639)*(($EK$5:$EK$1003&lt;$EK639)+($EK$5:$EK$1003=$EK639)*($DE$5:$DE$1003&lt;$DE639))))+1)</f>
        <v/>
      </c>
      <c r="EM639">
        <f>IF($DM639=0,"",$EL639+$EG639-1)</f>
        <v/>
      </c>
      <c r="EN639">
        <f>IF($DM639=0,0,IFERROR(MATCH(1,INDEX(--(TRIM(SUBSTITUTE(SUBSTITUTE(SUBSTITUTE(SUBSTITUTE(LINES_NAME&amp;""," "," "),CHAR(9)," "),CHAR(10)," "),CHAR(13)," "))=$DH639),0),0),0))</f>
        <v/>
      </c>
      <c r="EO639">
        <f>IF($EN639=0,0,IF(OR(UPPER(TRIM(INDEX(LINES_SCHEDULED,$EN639)&amp;""))="YES",UPPER(TRIM(INDEX(LINES_SCHEDULED,$EN639)&amp;""))="Y",UPPER(TRIM(INDEX(LINES_SCHEDULED,$EN639)&amp;""))="X"),1,0))</f>
        <v/>
      </c>
      <c r="EP639">
        <f>IF($DM639=0,"",IF(COUNTIFS($EG$5:$EG$1003,$EG639,$EB$5:$EB$1003,"Ready")&gt;0,"READY",IF(COUNTIFS($EG$5:$EG$1003,$EG639,$EB$5:$EB$1003,"PM")&gt;0,"PM",IF(COUNTIFS($EG$5:$EG$1003,$EG639,$EB$5:$EB$1003,"OT")&gt;0,"OT",""))))</f>
        <v/>
      </c>
      <c r="EQ639">
        <f>IF($EN639=0,"",UPPER(TRIM(INDEX(LINES_STATUS,$EN639)&amp;"")))</f>
        <v/>
      </c>
      <c r="ER639">
        <f>IF($DM639=0,"",IF(OR($EQ639="READY",$EQ639="PM",$EQ639="OT"),$EQ639,$EP639))</f>
        <v/>
      </c>
      <c r="ES639">
        <f>IF($DM639=0,"",IF(AND($DV639&lt;&gt;"",UPPER($DV639)&lt;&gt;"N"),"allergen",IF(ISNUMBER(SEARCH("oil",$DQ639)),"oil",IF(OR(EXACT($DS639,"A662"),EXACT($DS639,"A624")),"bulk",""))))</f>
        <v/>
      </c>
      <c r="ET639">
        <f>IF($DM639=0,"",IF(OR($EA639="",$EA639=0),"",$EA639/100))</f>
        <v/>
      </c>
      <c r="EU639">
        <f>IF(OR($ET639="",$DY639=""),"",INT($DY639*(1-$ET639)+0.5))</f>
        <v/>
      </c>
      <c r="EW639" t="n">
        <v>635</v>
      </c>
      <c r="EX639">
        <f>IFERROR(MATCH($EW639,$EM$5:$EM$1003,0),0)</f>
        <v/>
      </c>
      <c r="EY639">
        <f>IF($EW639&gt;$B$12,"",IF($EX639&gt;0,"row","spacer"))</f>
        <v/>
      </c>
      <c r="EZ639">
        <f>IF(AND($EY639="row",$EY638&lt;&gt;"row"),1,0)</f>
        <v/>
      </c>
      <c r="FA639">
        <f>IF(AND($EY639="row",$EY640&lt;&gt;"row"),1,0)</f>
        <v/>
      </c>
      <c r="FB639">
        <f>IF($EZ639=1,IFERROR(IF(ISNUMBER(INDEX(PASTE_ALL,INDEX($DF$5:$DF$1003,$EX639),$B$37)),INDEX(PASTE_ALL,INDEX($DF$5:$DF$1003,$EX639),$B$37),INDEX($DH$5:$DH$1003,$EX639)),INDEX($DH$5:$DH$1003,$EX639)),"")</f>
        <v/>
      </c>
      <c r="FC639">
        <f>IF($EY639="row",INDEX($ER$5:$ER$1003,$EX639),"")</f>
        <v/>
      </c>
      <c r="FD639">
        <f>IF($EY639="row",INDEX($DN$5:$DN$1003,$EX639),"")</f>
        <v/>
      </c>
      <c r="FE639">
        <f>IF($EY639="row",INDEX($DO$5:$DO$1003,$EX639),"")</f>
        <v/>
      </c>
      <c r="FF639">
        <f>IF($EY639="row",INDEX($DP$5:$DP$1003,$EX639),"")</f>
        <v/>
      </c>
      <c r="FG639">
        <f>IF($EY639="row",INDEX($DQ$5:$DQ$1003,$EX639),"")</f>
        <v/>
      </c>
      <c r="FH639">
        <f>IF($EY639="row",INDEX($DR$5:$DR$1003,$EX639),"")</f>
        <v/>
      </c>
      <c r="FI639">
        <f>IF($EY639="row",INDEX($DS$5:$DS$1003,$EX639),"")</f>
        <v/>
      </c>
      <c r="FJ639">
        <f>IF($EY639="row",INDEX($DT$5:$DT$1003,$EX639),"")</f>
        <v/>
      </c>
      <c r="FK639">
        <f>IF($EY639="row",INDEX($DU$5:$DU$1003,$EX639),"")</f>
        <v/>
      </c>
      <c r="FL639">
        <f>IF($EY639="row",INDEX($DV$5:$DV$1003,$EX639),"")</f>
        <v/>
      </c>
      <c r="FM639">
        <f>IF($EY639="row",INDEX($DW$5:$DW$1003,$EX639),"")</f>
        <v/>
      </c>
      <c r="FN639">
        <f>IF($EY639="row",INDEX($DY$5:$DY$1003,$EX639),"")</f>
        <v/>
      </c>
      <c r="FO639">
        <f>IF($EY639="row",INDEX($EA$5:$EA$1003,$EX639),"")</f>
        <v/>
      </c>
      <c r="FP639">
        <f>IF($EY639="row",INDEX($EC$5:$EC$1003,$EX639),"")</f>
        <v/>
      </c>
      <c r="FQ639">
        <f>IF($EY639="row",INDEX($ET$5:$ET$1003,$EX639),"")</f>
        <v/>
      </c>
      <c r="FR639">
        <f>IF($EY639="row",INDEX($EU$5:$EU$1003,$EX639),"")</f>
        <v/>
      </c>
      <c r="FS639">
        <f>IF(AND($EY639="row",$EY638="row"),IF(OR(INDEX($DT$5:$DT$1003,$EX638)="",INDEX($DT$5:$DT$1003,$EX639)=""),"",IF(NOT(EXACT(INDEX($DT$5:$DT$1003,$EX638),INDEX($DT$5:$DT$1003,$EX639))),"S4",IF(NOT(EXACT(INDEX($DS$5:$DS$1003,$EX638),INDEX($DS$5:$DS$1003,$EX639))),"S3",IF(NOT(EXACT(INDEX($DR$5:$DR$1003,$EX638),INDEX($DR$5:$DR$1003,$EX639))),"S1 Count Change","S1")))),"")</f>
        <v/>
      </c>
      <c r="FT639">
        <f>IF($EY639="row",INDEX($ES$5:$ES$1003,$EX639),"")</f>
        <v/>
      </c>
      <c r="FU639">
        <f>IF($EY639="row",INDEX($EO$5:$EO$1003,$EX639),0)</f>
        <v/>
      </c>
      <c r="FV639">
        <f>IF($FS639="S1 Count Change",1,0)</f>
        <v/>
      </c>
    </row>
    <row r="640">
      <c r="DA640" t="n">
        <v>636</v>
      </c>
      <c r="DB640">
        <f>IF($B$37=0,"",IFERROR(TRIM(SUBSTITUTE(SUBSTITUTE(SUBSTITUTE(SUBSTITUTE(INDEX(PASTE_ALL,636,$B$37)," "," "),CHAR(9)," "),CHAR(10)," "),CHAR(13)," ")),""))</f>
        <v/>
      </c>
      <c r="DC640">
        <f>IF(AND(636&gt;HEADER_ROW,UPPER(DB640)="LEGEND"),1,0)</f>
        <v/>
      </c>
      <c r="DE640" t="n">
        <v>636</v>
      </c>
      <c r="DF640">
        <f>HEADER_ROW+$DE640</f>
        <v/>
      </c>
      <c r="DG640">
        <f>IF(AND($DF640&lt;=1000,$DF640&lt;$B$8),1,0)</f>
        <v/>
      </c>
      <c r="DH640">
        <f>IF($DG640=1,IFERROR(INDEX($DB$5:$DB$1004,$DF640),""),"")</f>
        <v/>
      </c>
      <c r="DI640">
        <f>IF(AND($DG640=1,$DH640&lt;&gt;""),IFERROR(SUBSTITUTE(SUBSTITUTE(TRIM(SUBSTITUTE(SUBSTITUTE(SUBSTITUTE(SUBSTITUTE(IFERROR(INDEX(PASTE_ALL,$DF640,1)&amp;"","")&amp;"␟"&amp;IFERROR(INDEX(PASTE_ALL,$DF640,2)&amp;"","")&amp;"␟"&amp;IFERROR(INDEX(PASTE_ALL,$DF640,3)&amp;"","")&amp;"␟"&amp;IFERROR(INDEX(PASTE_ALL,$DF640,4)&amp;"","")&amp;"␟"&amp;IFERROR(INDEX(PASTE_ALL,$DF640,5)&amp;"","")&amp;"␟"&amp;IFERROR(INDEX(PASTE_ALL,$DF640,6)&amp;"","")&amp;"␟"&amp;IFERROR(INDEX(PASTE_ALL,$DF640,7)&amp;"","")&amp;"␟"&amp;IFERROR(INDEX(PASTE_ALL,$DF640,8)&amp;"","")&amp;"␟"&amp;IFERROR(INDEX(PASTE_ALL,$DF640,9)&amp;"","")&amp;"␟"&amp;IFERROR(INDEX(PASTE_ALL,$DF640,10)&amp;"","")&amp;"␟"&amp;IFERROR(INDEX(PASTE_ALL,$DF640,11)&amp;"","")&amp;"␟"&amp;IFERROR(INDEX(PASTE_ALL,$DF640,12)&amp;"","")&amp;"␟"&amp;IFERROR(INDEX(PASTE_ALL,$DF640,13)&amp;"","")&amp;"␟"&amp;IFERROR(INDEX(PASTE_ALL,$DF640,14)&amp;"","")&amp;"␟"&amp;IFERROR(INDEX(PASTE_ALL,$DF640,15)&amp;"","")&amp;"␟"&amp;IFERROR(INDEX(PASTE_ALL,$DF640,16)&amp;"","")&amp;"␟"&amp;IFERROR(INDEX(PASTE_ALL,$DF640,17)&amp;"","")&amp;"␟"&amp;IFERROR(INDEX(PASTE_ALL,$DF640,18)&amp;"","")&amp;"␟"&amp;IFERROR(INDEX(PASTE_ALL,$DF640,19)&amp;"","")&amp;"␟"&amp;IFERROR(INDEX(PASTE_ALL,$DF640,20)&amp;"","")&amp;"␟"&amp;IFERROR(INDEX(PASTE_ALL,$DF640,21)&amp;"","")&amp;"␟"&amp;IFERROR(INDEX(PASTE_ALL,$DF640,22)&amp;"","")&amp;"␟"&amp;IFERROR(INDEX(PASTE_ALL,$DF640,23)&amp;"","")&amp;"␟"&amp;IFERROR(INDEX(PASTE_ALL,$DF640,24)&amp;"","")&amp;"␟"&amp;IFERROR(INDEX(PASTE_ALL,$DF640,25)&amp;"","")&amp;"␟"&amp;IFERROR(INDEX(PASTE_ALL,$DF640,26)&amp;"","")&amp;"␟"&amp;IFERROR(INDEX(PASTE_ALL,$DF640,27)&amp;"","")&amp;"␟"&amp;IFERROR(INDEX(PASTE_ALL,$DF640,28)&amp;"","")&amp;"␟"&amp;IFERROR(INDEX(PASTE_ALL,$DF640,29)&amp;"","")&amp;"␟"&amp;IFERROR(INDEX(PASTE_ALL,$DF640,30)&amp;"","")&amp;"␟"&amp;IFERROR(INDEX(PASTE_ALL,$DF640,31)&amp;"","")&amp;"␟"&amp;IFERROR(INDEX(PASTE_ALL,$DF640,32)&amp;"","")&amp;"␟"&amp;IFERROR(INDEX(PASTE_ALL,$DF640,33)&amp;"","")&amp;"␟"&amp;IFERROR(INDEX(PASTE_ALL,$DF640,34)&amp;"","")&amp;"␟"&amp;IFERROR(INDEX(PASTE_ALL,$DF640,35)&amp;"","")&amp;"␟"&amp;IFERROR(INDEX(PASTE_ALL,$DF640,36)&amp;"","")&amp;"␟"&amp;IFERROR(INDEX(PASTE_ALL,$DF640,37)&amp;"","")&amp;"␟"&amp;IFERROR(INDEX(PASTE_ALL,$DF640,38)&amp;"","")&amp;"␟"&amp;IFERROR(INDEX(PASTE_ALL,$DF640,39)&amp;"","")&amp;"␟"&amp;IFERROR(INDEX(PASTE_ALL,$DF640,40)&amp;"","")&amp;"␟"&amp;IFERROR(INDEX(PASTE_ALL,$DF640,41)&amp;"","")&amp;"␟"&amp;IFERROR(INDEX(PASTE_ALL,$DF640,42)&amp;"","")&amp;"␟"&amp;IFERROR(INDEX(PASTE_ALL,$DF640,43)&amp;"","")&amp;"␟"&amp;IFERROR(INDEX(PASTE_ALL,$DF640,44)&amp;"","")&amp;"␟"&amp;IFERROR(INDEX(PASTE_ALL,$DF640,45)&amp;"","")&amp;"␟"&amp;IFERROR(INDEX(PASTE_ALL,$DF640,46)&amp;"","")&amp;"␟"&amp;IFERROR(INDEX(PASTE_ALL,$DF640,47)&amp;"","")&amp;"␟"&amp;IFERROR(INDEX(PASTE_ALL,$DF640,48)&amp;"","")&amp;"␟"&amp;IFERROR(INDEX(PASTE_ALL,$DF640,49)&amp;"","")&amp;"␟"&amp;IFERROR(INDEX(PASTE_ALL,$DF640,50)&amp;"","")&amp;"␟"&amp;IFERROR(INDEX(PASTE_ALL,$DF640,51)&amp;"","")&amp;"␟"&amp;IFERROR(INDEX(PASTE_ALL,$DF640,52)&amp;"","")&amp;"␟"&amp;IFERROR(INDEX(PASTE_ALL,$DF640,53)&amp;"","")&amp;"␟"&amp;IFERROR(INDEX(PASTE_ALL,$DF640,54)&amp;"","")&amp;"␟"&amp;IFERROR(INDEX(PASTE_ALL,$DF640,55)&amp;"","")&amp;"␟"&amp;IFERROR(INDEX(PASTE_ALL,$DF640,56)&amp;"","")&amp;"␟"&amp;IFERROR(INDEX(PASTE_ALL,$DF640,57)&amp;"","")&amp;"␟"&amp;IFERROR(INDEX(PASTE_ALL,$DF640,58)&amp;"","")&amp;"␟"&amp;IFERROR(INDEX(PASTE_ALL,$DF640,59)&amp;"","")&amp;"␟"&amp;IFERROR(INDEX(PASTE_ALL,$DF640,60)&amp;"","")," "," "),CHAR(9)," "),CHAR(10)," "),CHAR(13)," "))," ␟","␟"),"␟ ","␟"),"#"&amp;$DE640),"")</f>
        <v/>
      </c>
      <c r="DJ640">
        <f>IF($DI640="",0,IF(SUMPRODUCT(--EXACT($DI$4:DI639,$DI640))&gt;0,1,0))</f>
        <v/>
      </c>
      <c r="DK640">
        <f>IF(AND($DI640&lt;&gt;"",$DJ640=0),1,0)</f>
        <v/>
      </c>
      <c r="DL640">
        <f>DL639+$DK640</f>
        <v/>
      </c>
      <c r="DM640">
        <f>IF(AND($DK640=1,$DL640&lt;=600),1,0)</f>
        <v/>
      </c>
      <c r="DN640">
        <f>IF($DM640=0,"",IF($L$6=0,"",IFERROR(IF(ISNUMBER(INDEX(PASTE_ALL,$DF640,$L$6)),INDEX(PASTE_ALL,$DF640,$L$6),TRIM(SUBSTITUTE(SUBSTITUTE(SUBSTITUTE(SUBSTITUTE(INDEX(PASTE_ALL,$DF640,$L$6)," "," "),CHAR(9)," "),CHAR(10)," "),CHAR(13)," "))),"")))</f>
        <v/>
      </c>
      <c r="DO640">
        <f>IF($DM640=0,"",IF($L$7=0,"",IFERROR(IF(ISNUMBER(INDEX(PASTE_ALL,$DF640,$L$7)),INDEX(PASTE_ALL,$DF640,$L$7),TRIM(SUBSTITUTE(SUBSTITUTE(SUBSTITUTE(SUBSTITUTE(INDEX(PASTE_ALL,$DF640,$L$7)," "," "),CHAR(9)," "),CHAR(10)," "),CHAR(13)," "))),"")))</f>
        <v/>
      </c>
      <c r="DP640">
        <f>IF($DM640=0,"",IF($L$8=0,"",IFERROR(IF(ISNUMBER(INDEX(PASTE_ALL,$DF640,$L$8)),INDEX(PASTE_ALL,$DF640,$L$8),TRIM(SUBSTITUTE(SUBSTITUTE(SUBSTITUTE(SUBSTITUTE(INDEX(PASTE_ALL,$DF640,$L$8)," "," "),CHAR(9)," "),CHAR(10)," "),CHAR(13)," "))),"")))</f>
        <v/>
      </c>
      <c r="DQ640">
        <f>IF($DM640=0,"",IF($L$9=0,"",IFERROR(IF(ISNUMBER(INDEX(PASTE_ALL,$DF640,$L$9)),INDEX(PASTE_ALL,$DF640,$L$9),TRIM(SUBSTITUTE(SUBSTITUTE(SUBSTITUTE(SUBSTITUTE(INDEX(PASTE_ALL,$DF640,$L$9)," "," "),CHAR(9)," "),CHAR(10)," "),CHAR(13)," "))),"")))</f>
        <v/>
      </c>
      <c r="DR640">
        <f>IF($DM640=0,"",IF($L$10=0,"",IFERROR(IF(ISNUMBER(INDEX(PASTE_ALL,$DF640,$L$10)),INDEX(PASTE_ALL,$DF640,$L$10),TRIM(SUBSTITUTE(SUBSTITUTE(SUBSTITUTE(SUBSTITUTE(INDEX(PASTE_ALL,$DF640,$L$10)," "," "),CHAR(9)," "),CHAR(10)," "),CHAR(13)," "))),"")))</f>
        <v/>
      </c>
      <c r="DS640">
        <f>IF($DM640=0,"",IF($L$11=0,"",IFERROR(IF(ISNUMBER(INDEX(PASTE_ALL,$DF640,$L$11)),INDEX(PASTE_ALL,$DF640,$L$11),TRIM(SUBSTITUTE(SUBSTITUTE(SUBSTITUTE(SUBSTITUTE(INDEX(PASTE_ALL,$DF640,$L$11)," "," "),CHAR(9)," "),CHAR(10)," "),CHAR(13)," "))),"")))</f>
        <v/>
      </c>
      <c r="DT640">
        <f>IF($DM640=0,"",IF($L$12=0,"",IFERROR(IF(ISNUMBER(INDEX(PASTE_ALL,$DF640,$L$12)),INDEX(PASTE_ALL,$DF640,$L$12),TRIM(SUBSTITUTE(SUBSTITUTE(SUBSTITUTE(SUBSTITUTE(INDEX(PASTE_ALL,$DF640,$L$12)," "," "),CHAR(9)," "),CHAR(10)," "),CHAR(13)," "))),"")))</f>
        <v/>
      </c>
      <c r="DU640">
        <f>IF($DM640=0,"",IF($L$13=0,"",IFERROR(IF(ISNUMBER(INDEX(PASTE_ALL,$DF640,$L$13)),INDEX(PASTE_ALL,$DF640,$L$13),TRIM(SUBSTITUTE(SUBSTITUTE(SUBSTITUTE(SUBSTITUTE(INDEX(PASTE_ALL,$DF640,$L$13)," "," "),CHAR(9)," "),CHAR(10)," "),CHAR(13)," "))),"")))</f>
        <v/>
      </c>
      <c r="DV640">
        <f>IF($DM640=0,"",IF($L$14=0,"",IFERROR(IF(ISNUMBER(INDEX(PASTE_ALL,$DF640,$L$14)),INDEX(PASTE_ALL,$DF640,$L$14),TRIM(SUBSTITUTE(SUBSTITUTE(SUBSTITUTE(SUBSTITUTE(INDEX(PASTE_ALL,$DF640,$L$14)," "," "),CHAR(9)," "),CHAR(10)," "),CHAR(13)," "))),"")))</f>
        <v/>
      </c>
      <c r="DW640">
        <f>IF($DM640=0,"",IF($L$15=0,"",IFERROR(IF(ISNUMBER(INDEX(PASTE_ALL,$DF640,$L$15)),INDEX(PASTE_ALL,$DF640,$L$15),IF(SUMPRODUCT(--ISNUMBER(FIND({"A","B","C","D","E","F","G","H","I","J","K","L","M","N","O","P","Q","R","S","T","U","V","W","X","Y","Z","0","1","2","3","4","5","6","7","8","9"},UPPER(TRIM(SUBSTITUTE(SUBSTITUTE(SUBSTITUTE(SUBSTITUTE(INDEX(PASTE_ALL,$DF640,$L$15)," "," "),CHAR(9)," "),CHAR(10)," "),CHAR(13)," "))))))&gt;0,TRIM(SUBSTITUTE(SUBSTITUTE(SUBSTITUTE(SUBSTITUTE(INDEX(PASTE_ALL,$DF640,$L$15)," "," "),CHAR(9)," "),CHAR(10)," "),CHAR(13)," ")),"")),"")))</f>
        <v/>
      </c>
      <c r="DX640">
        <f>IF($DM640=0,"",IF($L$16=0,"",IFERROR(IF(ISNUMBER(INDEX(PASTE_ALL,$DF640,$L$16)),INDEX(PASTE_ALL,$DF640,$L$16),SUBSTITUTE(SUBSTITUTE(TRIM(SUBSTITUTE(SUBSTITUTE(SUBSTITUTE(SUBSTITUTE(INDEX(PASTE_ALL,$DF640,$L$16)," "," "),CHAR(9)," "),CHAR(10)," "),CHAR(13)," ")),",",""),"%","")),"")))</f>
        <v/>
      </c>
      <c r="DY640">
        <f>IF($DM640=0,"",IFERROR(IF(ISNUMBER($DX640),$DX640,IF($DX640="","",IF(TRIM($DX640)="",0,IF(AND(AND(SUBSTITUTE(SUBSTITUTE(SUBSTITUTE(SUBSTITUTE(SUBSTITUTE(SUBSTITUTE(SUBSTITUTE(SUBSTITUTE(SUBSTITUTE(SUBSTITUTE(SUBSTITUTE(SUBSTITUTE(SUBSTITUTE(SUBSTITUTE(UPPER(TRIM($DX640)),"0",""),"1",""),"2",""),"3",""),"4",""),"5",""),"6",""),"7",""),"8",""),"9",""),".",""),"+",""),"-",""),"E","")="",LEN(SUBSTITUTE(SUBSTITUTE(MID(UPPER(TRIM($DX640)),1+OR(LEFT(UPPER(TRIM($DX640)),1)="+",LEFT(UPPER(TRIM($DX640)),1)="-"),999),"E+","E"),"E-","E"))=LEN(SUBSTITUTE(SUBSTITUTE(SUBSTITUTE(SUBSTITUTE(MID(UPPER(TRIM($DX640)),1+OR(LEFT(UPPER(TRIM($DX640)),1)="+",LEFT(UPPER(TRIM($DX640)),1)="-"),999),"E+","E"),"E-","E"),"+",""),"-","")),LEN(UPPER(TRIM($DX640)))-LEN(SUBSTITUTE(UPPER(TRIM($DX640)),"E",""))&lt;2,LEN(UPPER(TRIM($DX640)))-LEN(SUBSTITUTE(UPPER(TRIM($DX640)),".",""))&lt;2,IFERROR(FIND(".",UPPER(TRIM($DX640))),0)&lt;IFERROR(FIND("E",UPPER(TRIM($DX640))),999)),ISNUMBER(VALUE(TRIM($DX640)))),VALUE(TRIM($DX640)),"")))),""))</f>
        <v/>
      </c>
      <c r="DZ640">
        <f>IF($DM640=0,"",IF($L$17=0,"",IFERROR(IF(ISNUMBER(INDEX(PASTE_ALL,$DF640,$L$17)),INDEX(PASTE_ALL,$DF640,$L$17),SUBSTITUTE(SUBSTITUTE(TRIM(SUBSTITUTE(SUBSTITUTE(SUBSTITUTE(SUBSTITUTE(INDEX(PASTE_ALL,$DF640,$L$17)," "," "),CHAR(9)," "),CHAR(10)," "),CHAR(13)," ")),",",""),"%","")),"")))</f>
        <v/>
      </c>
      <c r="EA640">
        <f>IF($DM640=0,"",IFERROR(IF(ISNUMBER($DZ640),$DZ640,IF($DZ640="","",IF(TRIM($DZ640)="",0,IF(AND(AND(SUBSTITUTE(SUBSTITUTE(SUBSTITUTE(SUBSTITUTE(SUBSTITUTE(SUBSTITUTE(SUBSTITUTE(SUBSTITUTE(SUBSTITUTE(SUBSTITUTE(SUBSTITUTE(SUBSTITUTE(SUBSTITUTE(SUBSTITUTE(UPPER(TRIM($DZ640)),"0",""),"1",""),"2",""),"3",""),"4",""),"5",""),"6",""),"7",""),"8",""),"9",""),".",""),"+",""),"-",""),"E","")="",LEN(SUBSTITUTE(SUBSTITUTE(MID(UPPER(TRIM($DZ640)),1+OR(LEFT(UPPER(TRIM($DZ640)),1)="+",LEFT(UPPER(TRIM($DZ640)),1)="-"),999),"E+","E"),"E-","E"))=LEN(SUBSTITUTE(SUBSTITUTE(SUBSTITUTE(SUBSTITUTE(MID(UPPER(TRIM($DZ640)),1+OR(LEFT(UPPER(TRIM($DZ640)),1)="+",LEFT(UPPER(TRIM($DZ640)),1)="-"),999),"E+","E"),"E-","E"),"+",""),"-","")),LEN(UPPER(TRIM($DZ640)))-LEN(SUBSTITUTE(UPPER(TRIM($DZ640)),"E",""))&lt;2,LEN(UPPER(TRIM($DZ640)))-LEN(SUBSTITUTE(UPPER(TRIM($DZ640)),".",""))&lt;2,IFERROR(FIND(".",UPPER(TRIM($DZ640))),0)&lt;IFERROR(FIND("E",UPPER(TRIM($DZ640))),999)),ISNUMBER(VALUE(TRIM($DZ640)))),VALUE(TRIM($DZ640)),"")))),""))</f>
        <v/>
      </c>
      <c r="EB640">
        <f>IF($DM640=0,"",IF($L$18=0,"",IFERROR(IF(UPPER(TRIM(SUBSTITUTE(SUBSTITUTE(SUBSTITUTE(SUBSTITUTE(INDEX(PASTE_ALL,$DF640,$L$18)," "," "),CHAR(9)," "),CHAR(10)," "),CHAR(13)," ")))="READY","Ready",IF(UPPER(TRIM(SUBSTITUTE(SUBSTITUTE(SUBSTITUTE(SUBSTITUTE(INDEX(PASTE_ALL,$DF640,$L$18)," "," "),CHAR(9)," "),CHAR(10)," "),CHAR(13)," ")))="PM","PM",IF(OR(UPPER(TRIM(SUBSTITUTE(SUBSTITUTE(SUBSTITUTE(SUBSTITUTE(INDEX(PASTE_ALL,$DF640,$L$18)," "," "),CHAR(9)," "),CHAR(10)," "),CHAR(13)," ")))="OT",UPPER(TRIM(SUBSTITUTE(SUBSTITUTE(SUBSTITUTE(SUBSTITUTE(INDEX(PASTE_ALL,$DF640,$L$18)," "," "),CHAR(9)," "),CHAR(10)," "),CHAR(13)," ")))="OVERTIME",UPPER(TRIM(SUBSTITUTE(SUBSTITUTE(SUBSTITUTE(SUBSTITUTE(INDEX(PASTE_ALL,$DF640,$L$18)," "," "),CHAR(9)," "),CHAR(10)," "),CHAR(13)," ")))="TRIAL"),"OT",TRIM(SUBSTITUTE(SUBSTITUTE(SUBSTITUTE(SUBSTITUTE(INDEX(PASTE_ALL,$DF640,$L$18)," "," "),CHAR(9)," "),CHAR(10)," "),CHAR(13)," "))))),"")))</f>
        <v/>
      </c>
      <c r="EC640">
        <f>IF($DM640=0,"",IF($L$19=0,"",IFERROR(IF(ISNUMBER(INDEX(PASTE_ALL,$DF640,$L$19)),INDEX(PASTE_ALL,$DF640,$L$19),TRIM(SUBSTITUTE(SUBSTITUTE(SUBSTITUTE(SUBSTITUTE(INDEX(PASTE_ALL,$DF640,$L$19)," "," "),CHAR(9)," "),CHAR(10)," "),CHAR(13)," "))),"")))</f>
        <v/>
      </c>
      <c r="ED640">
        <f>IF($DM640=0,"",MATCH(1,INDEX(EXACT($DH$5:DH640,$DH640)*$DM$5:DM640,0),0))</f>
        <v/>
      </c>
      <c r="EE640">
        <f>IF($DM640=0,0,IF($ED640=$DE640,1,0))</f>
        <v/>
      </c>
      <c r="EF640">
        <f>EF639+$EE640</f>
        <v/>
      </c>
      <c r="EG640">
        <f>IF($DM640=0,"",INDEX($EF$5:$EF$1003,$ED640))</f>
        <v/>
      </c>
      <c r="EH640">
        <f>IF($DM640=0,"",IF($DO640&lt;&gt;"","",IFERROR(LOOKUP(2,1/(($EG$4:EG639=$EG640)*($DO$4:DO639&lt;&gt;"")),$DO$4:DO639),"")))</f>
        <v/>
      </c>
      <c r="EI640">
        <f>IF($DM640=0,"",IF($DO640&lt;&gt;"",$DO640,$EH640))</f>
        <v/>
      </c>
      <c r="EJ640">
        <f>IF($DM640=0,"",IF($EI640="",0,IF(OR(ISNUMBER($EI640),AND(AND(SUBSTITUTE(SUBSTITUTE(SUBSTITUTE(SUBSTITUTE(SUBSTITUTE(SUBSTITUTE(SUBSTITUTE(SUBSTITUTE(SUBSTITUTE(SUBSTITUTE(SUBSTITUTE(SUBSTITUTE(SUBSTITUTE(SUBSTITUTE(UPPER($EI640),"0",""),"1",""),"2",""),"3",""),"4",""),"5",""),"6",""),"7",""),"8",""),"9",""),".",""),"+",""),"-",""),"E","")="",LEN(SUBSTITUTE(SUBSTITUTE(MID(UPPER($EI640),1+OR(LEFT(UPPER($EI640),1)="+",LEFT(UPPER($EI640),1)="-"),999),"E+","E"),"E-","E"))=LEN(SUBSTITUTE(SUBSTITUTE(SUBSTITUTE(SUBSTITUTE(MID(UPPER($EI640),1+OR(LEFT(UPPER($EI640),1)="+",LEFT(UPPER($EI640),1)="-"),999),"E+","E"),"E-","E"),"+",""),"-","")),LEN(UPPER($EI640))-LEN(SUBSTITUTE(UPPER($EI640),"E",""))&lt;2,LEN(UPPER($EI640))-LEN(SUBSTITUTE(UPPER($EI640),".",""))&lt;2,IFERROR(FIND(".",UPPER($EI640)),0)&lt;IFERROR(FIND("E",UPPER($EI640)),999)),ISNUMBER(VALUE($EI640)))),1,2)))</f>
        <v/>
      </c>
      <c r="EK640">
        <f>IF($DM640=0,"",IF($EJ640=1,IF(ISNUMBER($EI640),$EI640,VALUE($EI640)),IF($EJ640=2,$DE640,0)))</f>
        <v/>
      </c>
      <c r="EL640">
        <f>IF($DM640=0,"",COUNTIF($EG$5:$EG$1003,"&lt;"&amp;$EG640)+SUMPRODUCT(($EG$5:$EG$1003=$EG640)*(($EJ$5:$EJ$1003&lt;$EJ640)+($EJ$5:$EJ$1003=$EJ640)*(($EK$5:$EK$1003&lt;$EK640)+($EK$5:$EK$1003=$EK640)*($DE$5:$DE$1003&lt;$DE640))))+1)</f>
        <v/>
      </c>
      <c r="EM640">
        <f>IF($DM640=0,"",$EL640+$EG640-1)</f>
        <v/>
      </c>
      <c r="EN640">
        <f>IF($DM640=0,0,IFERROR(MATCH(1,INDEX(--(TRIM(SUBSTITUTE(SUBSTITUTE(SUBSTITUTE(SUBSTITUTE(LINES_NAME&amp;""," "," "),CHAR(9)," "),CHAR(10)," "),CHAR(13)," "))=$DH640),0),0),0))</f>
        <v/>
      </c>
      <c r="EO640">
        <f>IF($EN640=0,0,IF(OR(UPPER(TRIM(INDEX(LINES_SCHEDULED,$EN640)&amp;""))="YES",UPPER(TRIM(INDEX(LINES_SCHEDULED,$EN640)&amp;""))="Y",UPPER(TRIM(INDEX(LINES_SCHEDULED,$EN640)&amp;""))="X"),1,0))</f>
        <v/>
      </c>
      <c r="EP640">
        <f>IF($DM640=0,"",IF(COUNTIFS($EG$5:$EG$1003,$EG640,$EB$5:$EB$1003,"Ready")&gt;0,"READY",IF(COUNTIFS($EG$5:$EG$1003,$EG640,$EB$5:$EB$1003,"PM")&gt;0,"PM",IF(COUNTIFS($EG$5:$EG$1003,$EG640,$EB$5:$EB$1003,"OT")&gt;0,"OT",""))))</f>
        <v/>
      </c>
      <c r="EQ640">
        <f>IF($EN640=0,"",UPPER(TRIM(INDEX(LINES_STATUS,$EN640)&amp;"")))</f>
        <v/>
      </c>
      <c r="ER640">
        <f>IF($DM640=0,"",IF(OR($EQ640="READY",$EQ640="PM",$EQ640="OT"),$EQ640,$EP640))</f>
        <v/>
      </c>
      <c r="ES640">
        <f>IF($DM640=0,"",IF(AND($DV640&lt;&gt;"",UPPER($DV640)&lt;&gt;"N"),"allergen",IF(ISNUMBER(SEARCH("oil",$DQ640)),"oil",IF(OR(EXACT($DS640,"A662"),EXACT($DS640,"A624")),"bulk",""))))</f>
        <v/>
      </c>
      <c r="ET640">
        <f>IF($DM640=0,"",IF(OR($EA640="",$EA640=0),"",$EA640/100))</f>
        <v/>
      </c>
      <c r="EU640">
        <f>IF(OR($ET640="",$DY640=""),"",INT($DY640*(1-$ET640)+0.5))</f>
        <v/>
      </c>
      <c r="EW640" t="n">
        <v>636</v>
      </c>
      <c r="EX640">
        <f>IFERROR(MATCH($EW640,$EM$5:$EM$1003,0),0)</f>
        <v/>
      </c>
      <c r="EY640">
        <f>IF($EW640&gt;$B$12,"",IF($EX640&gt;0,"row","spacer"))</f>
        <v/>
      </c>
      <c r="EZ640">
        <f>IF(AND($EY640="row",$EY639&lt;&gt;"row"),1,0)</f>
        <v/>
      </c>
      <c r="FA640">
        <f>IF(AND($EY640="row",$EY641&lt;&gt;"row"),1,0)</f>
        <v/>
      </c>
      <c r="FB640">
        <f>IF($EZ640=1,IFERROR(IF(ISNUMBER(INDEX(PASTE_ALL,INDEX($DF$5:$DF$1003,$EX640),$B$37)),INDEX(PASTE_ALL,INDEX($DF$5:$DF$1003,$EX640),$B$37),INDEX($DH$5:$DH$1003,$EX640)),INDEX($DH$5:$DH$1003,$EX640)),"")</f>
        <v/>
      </c>
      <c r="FC640">
        <f>IF($EY640="row",INDEX($ER$5:$ER$1003,$EX640),"")</f>
        <v/>
      </c>
      <c r="FD640">
        <f>IF($EY640="row",INDEX($DN$5:$DN$1003,$EX640),"")</f>
        <v/>
      </c>
      <c r="FE640">
        <f>IF($EY640="row",INDEX($DO$5:$DO$1003,$EX640),"")</f>
        <v/>
      </c>
      <c r="FF640">
        <f>IF($EY640="row",INDEX($DP$5:$DP$1003,$EX640),"")</f>
        <v/>
      </c>
      <c r="FG640">
        <f>IF($EY640="row",INDEX($DQ$5:$DQ$1003,$EX640),"")</f>
        <v/>
      </c>
      <c r="FH640">
        <f>IF($EY640="row",INDEX($DR$5:$DR$1003,$EX640),"")</f>
        <v/>
      </c>
      <c r="FI640">
        <f>IF($EY640="row",INDEX($DS$5:$DS$1003,$EX640),"")</f>
        <v/>
      </c>
      <c r="FJ640">
        <f>IF($EY640="row",INDEX($DT$5:$DT$1003,$EX640),"")</f>
        <v/>
      </c>
      <c r="FK640">
        <f>IF($EY640="row",INDEX($DU$5:$DU$1003,$EX640),"")</f>
        <v/>
      </c>
      <c r="FL640">
        <f>IF($EY640="row",INDEX($DV$5:$DV$1003,$EX640),"")</f>
        <v/>
      </c>
      <c r="FM640">
        <f>IF($EY640="row",INDEX($DW$5:$DW$1003,$EX640),"")</f>
        <v/>
      </c>
      <c r="FN640">
        <f>IF($EY640="row",INDEX($DY$5:$DY$1003,$EX640),"")</f>
        <v/>
      </c>
      <c r="FO640">
        <f>IF($EY640="row",INDEX($EA$5:$EA$1003,$EX640),"")</f>
        <v/>
      </c>
      <c r="FP640">
        <f>IF($EY640="row",INDEX($EC$5:$EC$1003,$EX640),"")</f>
        <v/>
      </c>
      <c r="FQ640">
        <f>IF($EY640="row",INDEX($ET$5:$ET$1003,$EX640),"")</f>
        <v/>
      </c>
      <c r="FR640">
        <f>IF($EY640="row",INDEX($EU$5:$EU$1003,$EX640),"")</f>
        <v/>
      </c>
      <c r="FS640">
        <f>IF(AND($EY640="row",$EY639="row"),IF(OR(INDEX($DT$5:$DT$1003,$EX639)="",INDEX($DT$5:$DT$1003,$EX640)=""),"",IF(NOT(EXACT(INDEX($DT$5:$DT$1003,$EX639),INDEX($DT$5:$DT$1003,$EX640))),"S4",IF(NOT(EXACT(INDEX($DS$5:$DS$1003,$EX639),INDEX($DS$5:$DS$1003,$EX640))),"S3",IF(NOT(EXACT(INDEX($DR$5:$DR$1003,$EX639),INDEX($DR$5:$DR$1003,$EX640))),"S1 Count Change","S1")))),"")</f>
        <v/>
      </c>
      <c r="FT640">
        <f>IF($EY640="row",INDEX($ES$5:$ES$1003,$EX640),"")</f>
        <v/>
      </c>
      <c r="FU640">
        <f>IF($EY640="row",INDEX($EO$5:$EO$1003,$EX640),0)</f>
        <v/>
      </c>
      <c r="FV640">
        <f>IF($FS640="S1 Count Change",1,0)</f>
        <v/>
      </c>
    </row>
    <row r="641">
      <c r="DA641" t="n">
        <v>637</v>
      </c>
      <c r="DB641">
        <f>IF($B$37=0,"",IFERROR(TRIM(SUBSTITUTE(SUBSTITUTE(SUBSTITUTE(SUBSTITUTE(INDEX(PASTE_ALL,637,$B$37)," "," "),CHAR(9)," "),CHAR(10)," "),CHAR(13)," ")),""))</f>
        <v/>
      </c>
      <c r="DC641">
        <f>IF(AND(637&gt;HEADER_ROW,UPPER(DB641)="LEGEND"),1,0)</f>
        <v/>
      </c>
      <c r="DE641" t="n">
        <v>637</v>
      </c>
      <c r="DF641">
        <f>HEADER_ROW+$DE641</f>
        <v/>
      </c>
      <c r="DG641">
        <f>IF(AND($DF641&lt;=1000,$DF641&lt;$B$8),1,0)</f>
        <v/>
      </c>
      <c r="DH641">
        <f>IF($DG641=1,IFERROR(INDEX($DB$5:$DB$1004,$DF641),""),"")</f>
        <v/>
      </c>
      <c r="DI641">
        <f>IF(AND($DG641=1,$DH641&lt;&gt;""),IFERROR(SUBSTITUTE(SUBSTITUTE(TRIM(SUBSTITUTE(SUBSTITUTE(SUBSTITUTE(SUBSTITUTE(IFERROR(INDEX(PASTE_ALL,$DF641,1)&amp;"","")&amp;"␟"&amp;IFERROR(INDEX(PASTE_ALL,$DF641,2)&amp;"","")&amp;"␟"&amp;IFERROR(INDEX(PASTE_ALL,$DF641,3)&amp;"","")&amp;"␟"&amp;IFERROR(INDEX(PASTE_ALL,$DF641,4)&amp;"","")&amp;"␟"&amp;IFERROR(INDEX(PASTE_ALL,$DF641,5)&amp;"","")&amp;"␟"&amp;IFERROR(INDEX(PASTE_ALL,$DF641,6)&amp;"","")&amp;"␟"&amp;IFERROR(INDEX(PASTE_ALL,$DF641,7)&amp;"","")&amp;"␟"&amp;IFERROR(INDEX(PASTE_ALL,$DF641,8)&amp;"","")&amp;"␟"&amp;IFERROR(INDEX(PASTE_ALL,$DF641,9)&amp;"","")&amp;"␟"&amp;IFERROR(INDEX(PASTE_ALL,$DF641,10)&amp;"","")&amp;"␟"&amp;IFERROR(INDEX(PASTE_ALL,$DF641,11)&amp;"","")&amp;"␟"&amp;IFERROR(INDEX(PASTE_ALL,$DF641,12)&amp;"","")&amp;"␟"&amp;IFERROR(INDEX(PASTE_ALL,$DF641,13)&amp;"","")&amp;"␟"&amp;IFERROR(INDEX(PASTE_ALL,$DF641,14)&amp;"","")&amp;"␟"&amp;IFERROR(INDEX(PASTE_ALL,$DF641,15)&amp;"","")&amp;"␟"&amp;IFERROR(INDEX(PASTE_ALL,$DF641,16)&amp;"","")&amp;"␟"&amp;IFERROR(INDEX(PASTE_ALL,$DF641,17)&amp;"","")&amp;"␟"&amp;IFERROR(INDEX(PASTE_ALL,$DF641,18)&amp;"","")&amp;"␟"&amp;IFERROR(INDEX(PASTE_ALL,$DF641,19)&amp;"","")&amp;"␟"&amp;IFERROR(INDEX(PASTE_ALL,$DF641,20)&amp;"","")&amp;"␟"&amp;IFERROR(INDEX(PASTE_ALL,$DF641,21)&amp;"","")&amp;"␟"&amp;IFERROR(INDEX(PASTE_ALL,$DF641,22)&amp;"","")&amp;"␟"&amp;IFERROR(INDEX(PASTE_ALL,$DF641,23)&amp;"","")&amp;"␟"&amp;IFERROR(INDEX(PASTE_ALL,$DF641,24)&amp;"","")&amp;"␟"&amp;IFERROR(INDEX(PASTE_ALL,$DF641,25)&amp;"","")&amp;"␟"&amp;IFERROR(INDEX(PASTE_ALL,$DF641,26)&amp;"","")&amp;"␟"&amp;IFERROR(INDEX(PASTE_ALL,$DF641,27)&amp;"","")&amp;"␟"&amp;IFERROR(INDEX(PASTE_ALL,$DF641,28)&amp;"","")&amp;"␟"&amp;IFERROR(INDEX(PASTE_ALL,$DF641,29)&amp;"","")&amp;"␟"&amp;IFERROR(INDEX(PASTE_ALL,$DF641,30)&amp;"","")&amp;"␟"&amp;IFERROR(INDEX(PASTE_ALL,$DF641,31)&amp;"","")&amp;"␟"&amp;IFERROR(INDEX(PASTE_ALL,$DF641,32)&amp;"","")&amp;"␟"&amp;IFERROR(INDEX(PASTE_ALL,$DF641,33)&amp;"","")&amp;"␟"&amp;IFERROR(INDEX(PASTE_ALL,$DF641,34)&amp;"","")&amp;"␟"&amp;IFERROR(INDEX(PASTE_ALL,$DF641,35)&amp;"","")&amp;"␟"&amp;IFERROR(INDEX(PASTE_ALL,$DF641,36)&amp;"","")&amp;"␟"&amp;IFERROR(INDEX(PASTE_ALL,$DF641,37)&amp;"","")&amp;"␟"&amp;IFERROR(INDEX(PASTE_ALL,$DF641,38)&amp;"","")&amp;"␟"&amp;IFERROR(INDEX(PASTE_ALL,$DF641,39)&amp;"","")&amp;"␟"&amp;IFERROR(INDEX(PASTE_ALL,$DF641,40)&amp;"","")&amp;"␟"&amp;IFERROR(INDEX(PASTE_ALL,$DF641,41)&amp;"","")&amp;"␟"&amp;IFERROR(INDEX(PASTE_ALL,$DF641,42)&amp;"","")&amp;"␟"&amp;IFERROR(INDEX(PASTE_ALL,$DF641,43)&amp;"","")&amp;"␟"&amp;IFERROR(INDEX(PASTE_ALL,$DF641,44)&amp;"","")&amp;"␟"&amp;IFERROR(INDEX(PASTE_ALL,$DF641,45)&amp;"","")&amp;"␟"&amp;IFERROR(INDEX(PASTE_ALL,$DF641,46)&amp;"","")&amp;"␟"&amp;IFERROR(INDEX(PASTE_ALL,$DF641,47)&amp;"","")&amp;"␟"&amp;IFERROR(INDEX(PASTE_ALL,$DF641,48)&amp;"","")&amp;"␟"&amp;IFERROR(INDEX(PASTE_ALL,$DF641,49)&amp;"","")&amp;"␟"&amp;IFERROR(INDEX(PASTE_ALL,$DF641,50)&amp;"","")&amp;"␟"&amp;IFERROR(INDEX(PASTE_ALL,$DF641,51)&amp;"","")&amp;"␟"&amp;IFERROR(INDEX(PASTE_ALL,$DF641,52)&amp;"","")&amp;"␟"&amp;IFERROR(INDEX(PASTE_ALL,$DF641,53)&amp;"","")&amp;"␟"&amp;IFERROR(INDEX(PASTE_ALL,$DF641,54)&amp;"","")&amp;"␟"&amp;IFERROR(INDEX(PASTE_ALL,$DF641,55)&amp;"","")&amp;"␟"&amp;IFERROR(INDEX(PASTE_ALL,$DF641,56)&amp;"","")&amp;"␟"&amp;IFERROR(INDEX(PASTE_ALL,$DF641,57)&amp;"","")&amp;"␟"&amp;IFERROR(INDEX(PASTE_ALL,$DF641,58)&amp;"","")&amp;"␟"&amp;IFERROR(INDEX(PASTE_ALL,$DF641,59)&amp;"","")&amp;"␟"&amp;IFERROR(INDEX(PASTE_ALL,$DF641,60)&amp;"","")," "," "),CHAR(9)," "),CHAR(10)," "),CHAR(13)," "))," ␟","␟"),"␟ ","␟"),"#"&amp;$DE641),"")</f>
        <v/>
      </c>
      <c r="DJ641">
        <f>IF($DI641="",0,IF(SUMPRODUCT(--EXACT($DI$4:DI640,$DI641))&gt;0,1,0))</f>
        <v/>
      </c>
      <c r="DK641">
        <f>IF(AND($DI641&lt;&gt;"",$DJ641=0),1,0)</f>
        <v/>
      </c>
      <c r="DL641">
        <f>DL640+$DK641</f>
        <v/>
      </c>
      <c r="DM641">
        <f>IF(AND($DK641=1,$DL641&lt;=600),1,0)</f>
        <v/>
      </c>
      <c r="DN641">
        <f>IF($DM641=0,"",IF($L$6=0,"",IFERROR(IF(ISNUMBER(INDEX(PASTE_ALL,$DF641,$L$6)),INDEX(PASTE_ALL,$DF641,$L$6),TRIM(SUBSTITUTE(SUBSTITUTE(SUBSTITUTE(SUBSTITUTE(INDEX(PASTE_ALL,$DF641,$L$6)," "," "),CHAR(9)," "),CHAR(10)," "),CHAR(13)," "))),"")))</f>
        <v/>
      </c>
      <c r="DO641">
        <f>IF($DM641=0,"",IF($L$7=0,"",IFERROR(IF(ISNUMBER(INDEX(PASTE_ALL,$DF641,$L$7)),INDEX(PASTE_ALL,$DF641,$L$7),TRIM(SUBSTITUTE(SUBSTITUTE(SUBSTITUTE(SUBSTITUTE(INDEX(PASTE_ALL,$DF641,$L$7)," "," "),CHAR(9)," "),CHAR(10)," "),CHAR(13)," "))),"")))</f>
        <v/>
      </c>
      <c r="DP641">
        <f>IF($DM641=0,"",IF($L$8=0,"",IFERROR(IF(ISNUMBER(INDEX(PASTE_ALL,$DF641,$L$8)),INDEX(PASTE_ALL,$DF641,$L$8),TRIM(SUBSTITUTE(SUBSTITUTE(SUBSTITUTE(SUBSTITUTE(INDEX(PASTE_ALL,$DF641,$L$8)," "," "),CHAR(9)," "),CHAR(10)," "),CHAR(13)," "))),"")))</f>
        <v/>
      </c>
      <c r="DQ641">
        <f>IF($DM641=0,"",IF($L$9=0,"",IFERROR(IF(ISNUMBER(INDEX(PASTE_ALL,$DF641,$L$9)),INDEX(PASTE_ALL,$DF641,$L$9),TRIM(SUBSTITUTE(SUBSTITUTE(SUBSTITUTE(SUBSTITUTE(INDEX(PASTE_ALL,$DF641,$L$9)," "," "),CHAR(9)," "),CHAR(10)," "),CHAR(13)," "))),"")))</f>
        <v/>
      </c>
      <c r="DR641">
        <f>IF($DM641=0,"",IF($L$10=0,"",IFERROR(IF(ISNUMBER(INDEX(PASTE_ALL,$DF641,$L$10)),INDEX(PASTE_ALL,$DF641,$L$10),TRIM(SUBSTITUTE(SUBSTITUTE(SUBSTITUTE(SUBSTITUTE(INDEX(PASTE_ALL,$DF641,$L$10)," "," "),CHAR(9)," "),CHAR(10)," "),CHAR(13)," "))),"")))</f>
        <v/>
      </c>
      <c r="DS641">
        <f>IF($DM641=0,"",IF($L$11=0,"",IFERROR(IF(ISNUMBER(INDEX(PASTE_ALL,$DF641,$L$11)),INDEX(PASTE_ALL,$DF641,$L$11),TRIM(SUBSTITUTE(SUBSTITUTE(SUBSTITUTE(SUBSTITUTE(INDEX(PASTE_ALL,$DF641,$L$11)," "," "),CHAR(9)," "),CHAR(10)," "),CHAR(13)," "))),"")))</f>
        <v/>
      </c>
      <c r="DT641">
        <f>IF($DM641=0,"",IF($L$12=0,"",IFERROR(IF(ISNUMBER(INDEX(PASTE_ALL,$DF641,$L$12)),INDEX(PASTE_ALL,$DF641,$L$12),TRIM(SUBSTITUTE(SUBSTITUTE(SUBSTITUTE(SUBSTITUTE(INDEX(PASTE_ALL,$DF641,$L$12)," "," "),CHAR(9)," "),CHAR(10)," "),CHAR(13)," "))),"")))</f>
        <v/>
      </c>
      <c r="DU641">
        <f>IF($DM641=0,"",IF($L$13=0,"",IFERROR(IF(ISNUMBER(INDEX(PASTE_ALL,$DF641,$L$13)),INDEX(PASTE_ALL,$DF641,$L$13),TRIM(SUBSTITUTE(SUBSTITUTE(SUBSTITUTE(SUBSTITUTE(INDEX(PASTE_ALL,$DF641,$L$13)," "," "),CHAR(9)," "),CHAR(10)," "),CHAR(13)," "))),"")))</f>
        <v/>
      </c>
      <c r="DV641">
        <f>IF($DM641=0,"",IF($L$14=0,"",IFERROR(IF(ISNUMBER(INDEX(PASTE_ALL,$DF641,$L$14)),INDEX(PASTE_ALL,$DF641,$L$14),TRIM(SUBSTITUTE(SUBSTITUTE(SUBSTITUTE(SUBSTITUTE(INDEX(PASTE_ALL,$DF641,$L$14)," "," "),CHAR(9)," "),CHAR(10)," "),CHAR(13)," "))),"")))</f>
        <v/>
      </c>
      <c r="DW641">
        <f>IF($DM641=0,"",IF($L$15=0,"",IFERROR(IF(ISNUMBER(INDEX(PASTE_ALL,$DF641,$L$15)),INDEX(PASTE_ALL,$DF641,$L$15),IF(SUMPRODUCT(--ISNUMBER(FIND({"A","B","C","D","E","F","G","H","I","J","K","L","M","N","O","P","Q","R","S","T","U","V","W","X","Y","Z","0","1","2","3","4","5","6","7","8","9"},UPPER(TRIM(SUBSTITUTE(SUBSTITUTE(SUBSTITUTE(SUBSTITUTE(INDEX(PASTE_ALL,$DF641,$L$15)," "," "),CHAR(9)," "),CHAR(10)," "),CHAR(13)," "))))))&gt;0,TRIM(SUBSTITUTE(SUBSTITUTE(SUBSTITUTE(SUBSTITUTE(INDEX(PASTE_ALL,$DF641,$L$15)," "," "),CHAR(9)," "),CHAR(10)," "),CHAR(13)," ")),"")),"")))</f>
        <v/>
      </c>
      <c r="DX641">
        <f>IF($DM641=0,"",IF($L$16=0,"",IFERROR(IF(ISNUMBER(INDEX(PASTE_ALL,$DF641,$L$16)),INDEX(PASTE_ALL,$DF641,$L$16),SUBSTITUTE(SUBSTITUTE(TRIM(SUBSTITUTE(SUBSTITUTE(SUBSTITUTE(SUBSTITUTE(INDEX(PASTE_ALL,$DF641,$L$16)," "," "),CHAR(9)," "),CHAR(10)," "),CHAR(13)," ")),",",""),"%","")),"")))</f>
        <v/>
      </c>
      <c r="DY641">
        <f>IF($DM641=0,"",IFERROR(IF(ISNUMBER($DX641),$DX641,IF($DX641="","",IF(TRIM($DX641)="",0,IF(AND(AND(SUBSTITUTE(SUBSTITUTE(SUBSTITUTE(SUBSTITUTE(SUBSTITUTE(SUBSTITUTE(SUBSTITUTE(SUBSTITUTE(SUBSTITUTE(SUBSTITUTE(SUBSTITUTE(SUBSTITUTE(SUBSTITUTE(SUBSTITUTE(UPPER(TRIM($DX641)),"0",""),"1",""),"2",""),"3",""),"4",""),"5",""),"6",""),"7",""),"8",""),"9",""),".",""),"+",""),"-",""),"E","")="",LEN(SUBSTITUTE(SUBSTITUTE(MID(UPPER(TRIM($DX641)),1+OR(LEFT(UPPER(TRIM($DX641)),1)="+",LEFT(UPPER(TRIM($DX641)),1)="-"),999),"E+","E"),"E-","E"))=LEN(SUBSTITUTE(SUBSTITUTE(SUBSTITUTE(SUBSTITUTE(MID(UPPER(TRIM($DX641)),1+OR(LEFT(UPPER(TRIM($DX641)),1)="+",LEFT(UPPER(TRIM($DX641)),1)="-"),999),"E+","E"),"E-","E"),"+",""),"-","")),LEN(UPPER(TRIM($DX641)))-LEN(SUBSTITUTE(UPPER(TRIM($DX641)),"E",""))&lt;2,LEN(UPPER(TRIM($DX641)))-LEN(SUBSTITUTE(UPPER(TRIM($DX641)),".",""))&lt;2,IFERROR(FIND(".",UPPER(TRIM($DX641))),0)&lt;IFERROR(FIND("E",UPPER(TRIM($DX641))),999)),ISNUMBER(VALUE(TRIM($DX641)))),VALUE(TRIM($DX641)),"")))),""))</f>
        <v/>
      </c>
      <c r="DZ641">
        <f>IF($DM641=0,"",IF($L$17=0,"",IFERROR(IF(ISNUMBER(INDEX(PASTE_ALL,$DF641,$L$17)),INDEX(PASTE_ALL,$DF641,$L$17),SUBSTITUTE(SUBSTITUTE(TRIM(SUBSTITUTE(SUBSTITUTE(SUBSTITUTE(SUBSTITUTE(INDEX(PASTE_ALL,$DF641,$L$17)," "," "),CHAR(9)," "),CHAR(10)," "),CHAR(13)," ")),",",""),"%","")),"")))</f>
        <v/>
      </c>
      <c r="EA641">
        <f>IF($DM641=0,"",IFERROR(IF(ISNUMBER($DZ641),$DZ641,IF($DZ641="","",IF(TRIM($DZ641)="",0,IF(AND(AND(SUBSTITUTE(SUBSTITUTE(SUBSTITUTE(SUBSTITUTE(SUBSTITUTE(SUBSTITUTE(SUBSTITUTE(SUBSTITUTE(SUBSTITUTE(SUBSTITUTE(SUBSTITUTE(SUBSTITUTE(SUBSTITUTE(SUBSTITUTE(UPPER(TRIM($DZ641)),"0",""),"1",""),"2",""),"3",""),"4",""),"5",""),"6",""),"7",""),"8",""),"9",""),".",""),"+",""),"-",""),"E","")="",LEN(SUBSTITUTE(SUBSTITUTE(MID(UPPER(TRIM($DZ641)),1+OR(LEFT(UPPER(TRIM($DZ641)),1)="+",LEFT(UPPER(TRIM($DZ641)),1)="-"),999),"E+","E"),"E-","E"))=LEN(SUBSTITUTE(SUBSTITUTE(SUBSTITUTE(SUBSTITUTE(MID(UPPER(TRIM($DZ641)),1+OR(LEFT(UPPER(TRIM($DZ641)),1)="+",LEFT(UPPER(TRIM($DZ641)),1)="-"),999),"E+","E"),"E-","E"),"+",""),"-","")),LEN(UPPER(TRIM($DZ641)))-LEN(SUBSTITUTE(UPPER(TRIM($DZ641)),"E",""))&lt;2,LEN(UPPER(TRIM($DZ641)))-LEN(SUBSTITUTE(UPPER(TRIM($DZ641)),".",""))&lt;2,IFERROR(FIND(".",UPPER(TRIM($DZ641))),0)&lt;IFERROR(FIND("E",UPPER(TRIM($DZ641))),999)),ISNUMBER(VALUE(TRIM($DZ641)))),VALUE(TRIM($DZ641)),"")))),""))</f>
        <v/>
      </c>
      <c r="EB641">
        <f>IF($DM641=0,"",IF($L$18=0,"",IFERROR(IF(UPPER(TRIM(SUBSTITUTE(SUBSTITUTE(SUBSTITUTE(SUBSTITUTE(INDEX(PASTE_ALL,$DF641,$L$18)," "," "),CHAR(9)," "),CHAR(10)," "),CHAR(13)," ")))="READY","Ready",IF(UPPER(TRIM(SUBSTITUTE(SUBSTITUTE(SUBSTITUTE(SUBSTITUTE(INDEX(PASTE_ALL,$DF641,$L$18)," "," "),CHAR(9)," "),CHAR(10)," "),CHAR(13)," ")))="PM","PM",IF(OR(UPPER(TRIM(SUBSTITUTE(SUBSTITUTE(SUBSTITUTE(SUBSTITUTE(INDEX(PASTE_ALL,$DF641,$L$18)," "," "),CHAR(9)," "),CHAR(10)," "),CHAR(13)," ")))="OT",UPPER(TRIM(SUBSTITUTE(SUBSTITUTE(SUBSTITUTE(SUBSTITUTE(INDEX(PASTE_ALL,$DF641,$L$18)," "," "),CHAR(9)," "),CHAR(10)," "),CHAR(13)," ")))="OVERTIME",UPPER(TRIM(SUBSTITUTE(SUBSTITUTE(SUBSTITUTE(SUBSTITUTE(INDEX(PASTE_ALL,$DF641,$L$18)," "," "),CHAR(9)," "),CHAR(10)," "),CHAR(13)," ")))="TRIAL"),"OT",TRIM(SUBSTITUTE(SUBSTITUTE(SUBSTITUTE(SUBSTITUTE(INDEX(PASTE_ALL,$DF641,$L$18)," "," "),CHAR(9)," "),CHAR(10)," "),CHAR(13)," "))))),"")))</f>
        <v/>
      </c>
      <c r="EC641">
        <f>IF($DM641=0,"",IF($L$19=0,"",IFERROR(IF(ISNUMBER(INDEX(PASTE_ALL,$DF641,$L$19)),INDEX(PASTE_ALL,$DF641,$L$19),TRIM(SUBSTITUTE(SUBSTITUTE(SUBSTITUTE(SUBSTITUTE(INDEX(PASTE_ALL,$DF641,$L$19)," "," "),CHAR(9)," "),CHAR(10)," "),CHAR(13)," "))),"")))</f>
        <v/>
      </c>
      <c r="ED641">
        <f>IF($DM641=0,"",MATCH(1,INDEX(EXACT($DH$5:DH641,$DH641)*$DM$5:DM641,0),0))</f>
        <v/>
      </c>
      <c r="EE641">
        <f>IF($DM641=0,0,IF($ED641=$DE641,1,0))</f>
        <v/>
      </c>
      <c r="EF641">
        <f>EF640+$EE641</f>
        <v/>
      </c>
      <c r="EG641">
        <f>IF($DM641=0,"",INDEX($EF$5:$EF$1003,$ED641))</f>
        <v/>
      </c>
      <c r="EH641">
        <f>IF($DM641=0,"",IF($DO641&lt;&gt;"","",IFERROR(LOOKUP(2,1/(($EG$4:EG640=$EG641)*($DO$4:DO640&lt;&gt;"")),$DO$4:DO640),"")))</f>
        <v/>
      </c>
      <c r="EI641">
        <f>IF($DM641=0,"",IF($DO641&lt;&gt;"",$DO641,$EH641))</f>
        <v/>
      </c>
      <c r="EJ641">
        <f>IF($DM641=0,"",IF($EI641="",0,IF(OR(ISNUMBER($EI641),AND(AND(SUBSTITUTE(SUBSTITUTE(SUBSTITUTE(SUBSTITUTE(SUBSTITUTE(SUBSTITUTE(SUBSTITUTE(SUBSTITUTE(SUBSTITUTE(SUBSTITUTE(SUBSTITUTE(SUBSTITUTE(SUBSTITUTE(SUBSTITUTE(UPPER($EI641),"0",""),"1",""),"2",""),"3",""),"4",""),"5",""),"6",""),"7",""),"8",""),"9",""),".",""),"+",""),"-",""),"E","")="",LEN(SUBSTITUTE(SUBSTITUTE(MID(UPPER($EI641),1+OR(LEFT(UPPER($EI641),1)="+",LEFT(UPPER($EI641),1)="-"),999),"E+","E"),"E-","E"))=LEN(SUBSTITUTE(SUBSTITUTE(SUBSTITUTE(SUBSTITUTE(MID(UPPER($EI641),1+OR(LEFT(UPPER($EI641),1)="+",LEFT(UPPER($EI641),1)="-"),999),"E+","E"),"E-","E"),"+",""),"-","")),LEN(UPPER($EI641))-LEN(SUBSTITUTE(UPPER($EI641),"E",""))&lt;2,LEN(UPPER($EI641))-LEN(SUBSTITUTE(UPPER($EI641),".",""))&lt;2,IFERROR(FIND(".",UPPER($EI641)),0)&lt;IFERROR(FIND("E",UPPER($EI641)),999)),ISNUMBER(VALUE($EI641)))),1,2)))</f>
        <v/>
      </c>
      <c r="EK641">
        <f>IF($DM641=0,"",IF($EJ641=1,IF(ISNUMBER($EI641),$EI641,VALUE($EI641)),IF($EJ641=2,$DE641,0)))</f>
        <v/>
      </c>
      <c r="EL641">
        <f>IF($DM641=0,"",COUNTIF($EG$5:$EG$1003,"&lt;"&amp;$EG641)+SUMPRODUCT(($EG$5:$EG$1003=$EG641)*(($EJ$5:$EJ$1003&lt;$EJ641)+($EJ$5:$EJ$1003=$EJ641)*(($EK$5:$EK$1003&lt;$EK641)+($EK$5:$EK$1003=$EK641)*($DE$5:$DE$1003&lt;$DE641))))+1)</f>
        <v/>
      </c>
      <c r="EM641">
        <f>IF($DM641=0,"",$EL641+$EG641-1)</f>
        <v/>
      </c>
      <c r="EN641">
        <f>IF($DM641=0,0,IFERROR(MATCH(1,INDEX(--(TRIM(SUBSTITUTE(SUBSTITUTE(SUBSTITUTE(SUBSTITUTE(LINES_NAME&amp;""," "," "),CHAR(9)," "),CHAR(10)," "),CHAR(13)," "))=$DH641),0),0),0))</f>
        <v/>
      </c>
      <c r="EO641">
        <f>IF($EN641=0,0,IF(OR(UPPER(TRIM(INDEX(LINES_SCHEDULED,$EN641)&amp;""))="YES",UPPER(TRIM(INDEX(LINES_SCHEDULED,$EN641)&amp;""))="Y",UPPER(TRIM(INDEX(LINES_SCHEDULED,$EN641)&amp;""))="X"),1,0))</f>
        <v/>
      </c>
      <c r="EP641">
        <f>IF($DM641=0,"",IF(COUNTIFS($EG$5:$EG$1003,$EG641,$EB$5:$EB$1003,"Ready")&gt;0,"READY",IF(COUNTIFS($EG$5:$EG$1003,$EG641,$EB$5:$EB$1003,"PM")&gt;0,"PM",IF(COUNTIFS($EG$5:$EG$1003,$EG641,$EB$5:$EB$1003,"OT")&gt;0,"OT",""))))</f>
        <v/>
      </c>
      <c r="EQ641">
        <f>IF($EN641=0,"",UPPER(TRIM(INDEX(LINES_STATUS,$EN641)&amp;"")))</f>
        <v/>
      </c>
      <c r="ER641">
        <f>IF($DM641=0,"",IF(OR($EQ641="READY",$EQ641="PM",$EQ641="OT"),$EQ641,$EP641))</f>
        <v/>
      </c>
      <c r="ES641">
        <f>IF($DM641=0,"",IF(AND($DV641&lt;&gt;"",UPPER($DV641)&lt;&gt;"N"),"allergen",IF(ISNUMBER(SEARCH("oil",$DQ641)),"oil",IF(OR(EXACT($DS641,"A662"),EXACT($DS641,"A624")),"bulk",""))))</f>
        <v/>
      </c>
      <c r="ET641">
        <f>IF($DM641=0,"",IF(OR($EA641="",$EA641=0),"",$EA641/100))</f>
        <v/>
      </c>
      <c r="EU641">
        <f>IF(OR($ET641="",$DY641=""),"",INT($DY641*(1-$ET641)+0.5))</f>
        <v/>
      </c>
      <c r="EW641" t="n">
        <v>637</v>
      </c>
      <c r="EX641">
        <f>IFERROR(MATCH($EW641,$EM$5:$EM$1003,0),0)</f>
        <v/>
      </c>
      <c r="EY641">
        <f>IF($EW641&gt;$B$12,"",IF($EX641&gt;0,"row","spacer"))</f>
        <v/>
      </c>
      <c r="EZ641">
        <f>IF(AND($EY641="row",$EY640&lt;&gt;"row"),1,0)</f>
        <v/>
      </c>
      <c r="FA641">
        <f>IF(AND($EY641="row",$EY642&lt;&gt;"row"),1,0)</f>
        <v/>
      </c>
      <c r="FB641">
        <f>IF($EZ641=1,IFERROR(IF(ISNUMBER(INDEX(PASTE_ALL,INDEX($DF$5:$DF$1003,$EX641),$B$37)),INDEX(PASTE_ALL,INDEX($DF$5:$DF$1003,$EX641),$B$37),INDEX($DH$5:$DH$1003,$EX641)),INDEX($DH$5:$DH$1003,$EX641)),"")</f>
        <v/>
      </c>
      <c r="FC641">
        <f>IF($EY641="row",INDEX($ER$5:$ER$1003,$EX641),"")</f>
        <v/>
      </c>
      <c r="FD641">
        <f>IF($EY641="row",INDEX($DN$5:$DN$1003,$EX641),"")</f>
        <v/>
      </c>
      <c r="FE641">
        <f>IF($EY641="row",INDEX($DO$5:$DO$1003,$EX641),"")</f>
        <v/>
      </c>
      <c r="FF641">
        <f>IF($EY641="row",INDEX($DP$5:$DP$1003,$EX641),"")</f>
        <v/>
      </c>
      <c r="FG641">
        <f>IF($EY641="row",INDEX($DQ$5:$DQ$1003,$EX641),"")</f>
        <v/>
      </c>
      <c r="FH641">
        <f>IF($EY641="row",INDEX($DR$5:$DR$1003,$EX641),"")</f>
        <v/>
      </c>
      <c r="FI641">
        <f>IF($EY641="row",INDEX($DS$5:$DS$1003,$EX641),"")</f>
        <v/>
      </c>
      <c r="FJ641">
        <f>IF($EY641="row",INDEX($DT$5:$DT$1003,$EX641),"")</f>
        <v/>
      </c>
      <c r="FK641">
        <f>IF($EY641="row",INDEX($DU$5:$DU$1003,$EX641),"")</f>
        <v/>
      </c>
      <c r="FL641">
        <f>IF($EY641="row",INDEX($DV$5:$DV$1003,$EX641),"")</f>
        <v/>
      </c>
      <c r="FM641">
        <f>IF($EY641="row",INDEX($DW$5:$DW$1003,$EX641),"")</f>
        <v/>
      </c>
      <c r="FN641">
        <f>IF($EY641="row",INDEX($DY$5:$DY$1003,$EX641),"")</f>
        <v/>
      </c>
      <c r="FO641">
        <f>IF($EY641="row",INDEX($EA$5:$EA$1003,$EX641),"")</f>
        <v/>
      </c>
      <c r="FP641">
        <f>IF($EY641="row",INDEX($EC$5:$EC$1003,$EX641),"")</f>
        <v/>
      </c>
      <c r="FQ641">
        <f>IF($EY641="row",INDEX($ET$5:$ET$1003,$EX641),"")</f>
        <v/>
      </c>
      <c r="FR641">
        <f>IF($EY641="row",INDEX($EU$5:$EU$1003,$EX641),"")</f>
        <v/>
      </c>
      <c r="FS641">
        <f>IF(AND($EY641="row",$EY640="row"),IF(OR(INDEX($DT$5:$DT$1003,$EX640)="",INDEX($DT$5:$DT$1003,$EX641)=""),"",IF(NOT(EXACT(INDEX($DT$5:$DT$1003,$EX640),INDEX($DT$5:$DT$1003,$EX641))),"S4",IF(NOT(EXACT(INDEX($DS$5:$DS$1003,$EX640),INDEX($DS$5:$DS$1003,$EX641))),"S3",IF(NOT(EXACT(INDEX($DR$5:$DR$1003,$EX640),INDEX($DR$5:$DR$1003,$EX641))),"S1 Count Change","S1")))),"")</f>
        <v/>
      </c>
      <c r="FT641">
        <f>IF($EY641="row",INDEX($ES$5:$ES$1003,$EX641),"")</f>
        <v/>
      </c>
      <c r="FU641">
        <f>IF($EY641="row",INDEX($EO$5:$EO$1003,$EX641),0)</f>
        <v/>
      </c>
      <c r="FV641">
        <f>IF($FS641="S1 Count Change",1,0)</f>
        <v/>
      </c>
    </row>
    <row r="642">
      <c r="DA642" t="n">
        <v>638</v>
      </c>
      <c r="DB642">
        <f>IF($B$37=0,"",IFERROR(TRIM(SUBSTITUTE(SUBSTITUTE(SUBSTITUTE(SUBSTITUTE(INDEX(PASTE_ALL,638,$B$37)," "," "),CHAR(9)," "),CHAR(10)," "),CHAR(13)," ")),""))</f>
        <v/>
      </c>
      <c r="DC642">
        <f>IF(AND(638&gt;HEADER_ROW,UPPER(DB642)="LEGEND"),1,0)</f>
        <v/>
      </c>
      <c r="DE642" t="n">
        <v>638</v>
      </c>
      <c r="DF642">
        <f>HEADER_ROW+$DE642</f>
        <v/>
      </c>
      <c r="DG642">
        <f>IF(AND($DF642&lt;=1000,$DF642&lt;$B$8),1,0)</f>
        <v/>
      </c>
      <c r="DH642">
        <f>IF($DG642=1,IFERROR(INDEX($DB$5:$DB$1004,$DF642),""),"")</f>
        <v/>
      </c>
      <c r="DI642">
        <f>IF(AND($DG642=1,$DH642&lt;&gt;""),IFERROR(SUBSTITUTE(SUBSTITUTE(TRIM(SUBSTITUTE(SUBSTITUTE(SUBSTITUTE(SUBSTITUTE(IFERROR(INDEX(PASTE_ALL,$DF642,1)&amp;"","")&amp;"␟"&amp;IFERROR(INDEX(PASTE_ALL,$DF642,2)&amp;"","")&amp;"␟"&amp;IFERROR(INDEX(PASTE_ALL,$DF642,3)&amp;"","")&amp;"␟"&amp;IFERROR(INDEX(PASTE_ALL,$DF642,4)&amp;"","")&amp;"␟"&amp;IFERROR(INDEX(PASTE_ALL,$DF642,5)&amp;"","")&amp;"␟"&amp;IFERROR(INDEX(PASTE_ALL,$DF642,6)&amp;"","")&amp;"␟"&amp;IFERROR(INDEX(PASTE_ALL,$DF642,7)&amp;"","")&amp;"␟"&amp;IFERROR(INDEX(PASTE_ALL,$DF642,8)&amp;"","")&amp;"␟"&amp;IFERROR(INDEX(PASTE_ALL,$DF642,9)&amp;"","")&amp;"␟"&amp;IFERROR(INDEX(PASTE_ALL,$DF642,10)&amp;"","")&amp;"␟"&amp;IFERROR(INDEX(PASTE_ALL,$DF642,11)&amp;"","")&amp;"␟"&amp;IFERROR(INDEX(PASTE_ALL,$DF642,12)&amp;"","")&amp;"␟"&amp;IFERROR(INDEX(PASTE_ALL,$DF642,13)&amp;"","")&amp;"␟"&amp;IFERROR(INDEX(PASTE_ALL,$DF642,14)&amp;"","")&amp;"␟"&amp;IFERROR(INDEX(PASTE_ALL,$DF642,15)&amp;"","")&amp;"␟"&amp;IFERROR(INDEX(PASTE_ALL,$DF642,16)&amp;"","")&amp;"␟"&amp;IFERROR(INDEX(PASTE_ALL,$DF642,17)&amp;"","")&amp;"␟"&amp;IFERROR(INDEX(PASTE_ALL,$DF642,18)&amp;"","")&amp;"␟"&amp;IFERROR(INDEX(PASTE_ALL,$DF642,19)&amp;"","")&amp;"␟"&amp;IFERROR(INDEX(PASTE_ALL,$DF642,20)&amp;"","")&amp;"␟"&amp;IFERROR(INDEX(PASTE_ALL,$DF642,21)&amp;"","")&amp;"␟"&amp;IFERROR(INDEX(PASTE_ALL,$DF642,22)&amp;"","")&amp;"␟"&amp;IFERROR(INDEX(PASTE_ALL,$DF642,23)&amp;"","")&amp;"␟"&amp;IFERROR(INDEX(PASTE_ALL,$DF642,24)&amp;"","")&amp;"␟"&amp;IFERROR(INDEX(PASTE_ALL,$DF642,25)&amp;"","")&amp;"␟"&amp;IFERROR(INDEX(PASTE_ALL,$DF642,26)&amp;"","")&amp;"␟"&amp;IFERROR(INDEX(PASTE_ALL,$DF642,27)&amp;"","")&amp;"␟"&amp;IFERROR(INDEX(PASTE_ALL,$DF642,28)&amp;"","")&amp;"␟"&amp;IFERROR(INDEX(PASTE_ALL,$DF642,29)&amp;"","")&amp;"␟"&amp;IFERROR(INDEX(PASTE_ALL,$DF642,30)&amp;"","")&amp;"␟"&amp;IFERROR(INDEX(PASTE_ALL,$DF642,31)&amp;"","")&amp;"␟"&amp;IFERROR(INDEX(PASTE_ALL,$DF642,32)&amp;"","")&amp;"␟"&amp;IFERROR(INDEX(PASTE_ALL,$DF642,33)&amp;"","")&amp;"␟"&amp;IFERROR(INDEX(PASTE_ALL,$DF642,34)&amp;"","")&amp;"␟"&amp;IFERROR(INDEX(PASTE_ALL,$DF642,35)&amp;"","")&amp;"␟"&amp;IFERROR(INDEX(PASTE_ALL,$DF642,36)&amp;"","")&amp;"␟"&amp;IFERROR(INDEX(PASTE_ALL,$DF642,37)&amp;"","")&amp;"␟"&amp;IFERROR(INDEX(PASTE_ALL,$DF642,38)&amp;"","")&amp;"␟"&amp;IFERROR(INDEX(PASTE_ALL,$DF642,39)&amp;"","")&amp;"␟"&amp;IFERROR(INDEX(PASTE_ALL,$DF642,40)&amp;"","")&amp;"␟"&amp;IFERROR(INDEX(PASTE_ALL,$DF642,41)&amp;"","")&amp;"␟"&amp;IFERROR(INDEX(PASTE_ALL,$DF642,42)&amp;"","")&amp;"␟"&amp;IFERROR(INDEX(PASTE_ALL,$DF642,43)&amp;"","")&amp;"␟"&amp;IFERROR(INDEX(PASTE_ALL,$DF642,44)&amp;"","")&amp;"␟"&amp;IFERROR(INDEX(PASTE_ALL,$DF642,45)&amp;"","")&amp;"␟"&amp;IFERROR(INDEX(PASTE_ALL,$DF642,46)&amp;"","")&amp;"␟"&amp;IFERROR(INDEX(PASTE_ALL,$DF642,47)&amp;"","")&amp;"␟"&amp;IFERROR(INDEX(PASTE_ALL,$DF642,48)&amp;"","")&amp;"␟"&amp;IFERROR(INDEX(PASTE_ALL,$DF642,49)&amp;"","")&amp;"␟"&amp;IFERROR(INDEX(PASTE_ALL,$DF642,50)&amp;"","")&amp;"␟"&amp;IFERROR(INDEX(PASTE_ALL,$DF642,51)&amp;"","")&amp;"␟"&amp;IFERROR(INDEX(PASTE_ALL,$DF642,52)&amp;"","")&amp;"␟"&amp;IFERROR(INDEX(PASTE_ALL,$DF642,53)&amp;"","")&amp;"␟"&amp;IFERROR(INDEX(PASTE_ALL,$DF642,54)&amp;"","")&amp;"␟"&amp;IFERROR(INDEX(PASTE_ALL,$DF642,55)&amp;"","")&amp;"␟"&amp;IFERROR(INDEX(PASTE_ALL,$DF642,56)&amp;"","")&amp;"␟"&amp;IFERROR(INDEX(PASTE_ALL,$DF642,57)&amp;"","")&amp;"␟"&amp;IFERROR(INDEX(PASTE_ALL,$DF642,58)&amp;"","")&amp;"␟"&amp;IFERROR(INDEX(PASTE_ALL,$DF642,59)&amp;"","")&amp;"␟"&amp;IFERROR(INDEX(PASTE_ALL,$DF642,60)&amp;"","")," "," "),CHAR(9)," "),CHAR(10)," "),CHAR(13)," "))," ␟","␟"),"␟ ","␟"),"#"&amp;$DE642),"")</f>
        <v/>
      </c>
      <c r="DJ642">
        <f>IF($DI642="",0,IF(SUMPRODUCT(--EXACT($DI$4:DI641,$DI642))&gt;0,1,0))</f>
        <v/>
      </c>
      <c r="DK642">
        <f>IF(AND($DI642&lt;&gt;"",$DJ642=0),1,0)</f>
        <v/>
      </c>
      <c r="DL642">
        <f>DL641+$DK642</f>
        <v/>
      </c>
      <c r="DM642">
        <f>IF(AND($DK642=1,$DL642&lt;=600),1,0)</f>
        <v/>
      </c>
      <c r="DN642">
        <f>IF($DM642=0,"",IF($L$6=0,"",IFERROR(IF(ISNUMBER(INDEX(PASTE_ALL,$DF642,$L$6)),INDEX(PASTE_ALL,$DF642,$L$6),TRIM(SUBSTITUTE(SUBSTITUTE(SUBSTITUTE(SUBSTITUTE(INDEX(PASTE_ALL,$DF642,$L$6)," "," "),CHAR(9)," "),CHAR(10)," "),CHAR(13)," "))),"")))</f>
        <v/>
      </c>
      <c r="DO642">
        <f>IF($DM642=0,"",IF($L$7=0,"",IFERROR(IF(ISNUMBER(INDEX(PASTE_ALL,$DF642,$L$7)),INDEX(PASTE_ALL,$DF642,$L$7),TRIM(SUBSTITUTE(SUBSTITUTE(SUBSTITUTE(SUBSTITUTE(INDEX(PASTE_ALL,$DF642,$L$7)," "," "),CHAR(9)," "),CHAR(10)," "),CHAR(13)," "))),"")))</f>
        <v/>
      </c>
      <c r="DP642">
        <f>IF($DM642=0,"",IF($L$8=0,"",IFERROR(IF(ISNUMBER(INDEX(PASTE_ALL,$DF642,$L$8)),INDEX(PASTE_ALL,$DF642,$L$8),TRIM(SUBSTITUTE(SUBSTITUTE(SUBSTITUTE(SUBSTITUTE(INDEX(PASTE_ALL,$DF642,$L$8)," "," "),CHAR(9)," "),CHAR(10)," "),CHAR(13)," "))),"")))</f>
        <v/>
      </c>
      <c r="DQ642">
        <f>IF($DM642=0,"",IF($L$9=0,"",IFERROR(IF(ISNUMBER(INDEX(PASTE_ALL,$DF642,$L$9)),INDEX(PASTE_ALL,$DF642,$L$9),TRIM(SUBSTITUTE(SUBSTITUTE(SUBSTITUTE(SUBSTITUTE(INDEX(PASTE_ALL,$DF642,$L$9)," "," "),CHAR(9)," "),CHAR(10)," "),CHAR(13)," "))),"")))</f>
        <v/>
      </c>
      <c r="DR642">
        <f>IF($DM642=0,"",IF($L$10=0,"",IFERROR(IF(ISNUMBER(INDEX(PASTE_ALL,$DF642,$L$10)),INDEX(PASTE_ALL,$DF642,$L$10),TRIM(SUBSTITUTE(SUBSTITUTE(SUBSTITUTE(SUBSTITUTE(INDEX(PASTE_ALL,$DF642,$L$10)," "," "),CHAR(9)," "),CHAR(10)," "),CHAR(13)," "))),"")))</f>
        <v/>
      </c>
      <c r="DS642">
        <f>IF($DM642=0,"",IF($L$11=0,"",IFERROR(IF(ISNUMBER(INDEX(PASTE_ALL,$DF642,$L$11)),INDEX(PASTE_ALL,$DF642,$L$11),TRIM(SUBSTITUTE(SUBSTITUTE(SUBSTITUTE(SUBSTITUTE(INDEX(PASTE_ALL,$DF642,$L$11)," "," "),CHAR(9)," "),CHAR(10)," "),CHAR(13)," "))),"")))</f>
        <v/>
      </c>
      <c r="DT642">
        <f>IF($DM642=0,"",IF($L$12=0,"",IFERROR(IF(ISNUMBER(INDEX(PASTE_ALL,$DF642,$L$12)),INDEX(PASTE_ALL,$DF642,$L$12),TRIM(SUBSTITUTE(SUBSTITUTE(SUBSTITUTE(SUBSTITUTE(INDEX(PASTE_ALL,$DF642,$L$12)," "," "),CHAR(9)," "),CHAR(10)," "),CHAR(13)," "))),"")))</f>
        <v/>
      </c>
      <c r="DU642">
        <f>IF($DM642=0,"",IF($L$13=0,"",IFERROR(IF(ISNUMBER(INDEX(PASTE_ALL,$DF642,$L$13)),INDEX(PASTE_ALL,$DF642,$L$13),TRIM(SUBSTITUTE(SUBSTITUTE(SUBSTITUTE(SUBSTITUTE(INDEX(PASTE_ALL,$DF642,$L$13)," "," "),CHAR(9)," "),CHAR(10)," "),CHAR(13)," "))),"")))</f>
        <v/>
      </c>
      <c r="DV642">
        <f>IF($DM642=0,"",IF($L$14=0,"",IFERROR(IF(ISNUMBER(INDEX(PASTE_ALL,$DF642,$L$14)),INDEX(PASTE_ALL,$DF642,$L$14),TRIM(SUBSTITUTE(SUBSTITUTE(SUBSTITUTE(SUBSTITUTE(INDEX(PASTE_ALL,$DF642,$L$14)," "," "),CHAR(9)," "),CHAR(10)," "),CHAR(13)," "))),"")))</f>
        <v/>
      </c>
      <c r="DW642">
        <f>IF($DM642=0,"",IF($L$15=0,"",IFERROR(IF(ISNUMBER(INDEX(PASTE_ALL,$DF642,$L$15)),INDEX(PASTE_ALL,$DF642,$L$15),IF(SUMPRODUCT(--ISNUMBER(FIND({"A","B","C","D","E","F","G","H","I","J","K","L","M","N","O","P","Q","R","S","T","U","V","W","X","Y","Z","0","1","2","3","4","5","6","7","8","9"},UPPER(TRIM(SUBSTITUTE(SUBSTITUTE(SUBSTITUTE(SUBSTITUTE(INDEX(PASTE_ALL,$DF642,$L$15)," "," "),CHAR(9)," "),CHAR(10)," "),CHAR(13)," "))))))&gt;0,TRIM(SUBSTITUTE(SUBSTITUTE(SUBSTITUTE(SUBSTITUTE(INDEX(PASTE_ALL,$DF642,$L$15)," "," "),CHAR(9)," "),CHAR(10)," "),CHAR(13)," ")),"")),"")))</f>
        <v/>
      </c>
      <c r="DX642">
        <f>IF($DM642=0,"",IF($L$16=0,"",IFERROR(IF(ISNUMBER(INDEX(PASTE_ALL,$DF642,$L$16)),INDEX(PASTE_ALL,$DF642,$L$16),SUBSTITUTE(SUBSTITUTE(TRIM(SUBSTITUTE(SUBSTITUTE(SUBSTITUTE(SUBSTITUTE(INDEX(PASTE_ALL,$DF642,$L$16)," "," "),CHAR(9)," "),CHAR(10)," "),CHAR(13)," ")),",",""),"%","")),"")))</f>
        <v/>
      </c>
      <c r="DY642">
        <f>IF($DM642=0,"",IFERROR(IF(ISNUMBER($DX642),$DX642,IF($DX642="","",IF(TRIM($DX642)="",0,IF(AND(AND(SUBSTITUTE(SUBSTITUTE(SUBSTITUTE(SUBSTITUTE(SUBSTITUTE(SUBSTITUTE(SUBSTITUTE(SUBSTITUTE(SUBSTITUTE(SUBSTITUTE(SUBSTITUTE(SUBSTITUTE(SUBSTITUTE(SUBSTITUTE(UPPER(TRIM($DX642)),"0",""),"1",""),"2",""),"3",""),"4",""),"5",""),"6",""),"7",""),"8",""),"9",""),".",""),"+",""),"-",""),"E","")="",LEN(SUBSTITUTE(SUBSTITUTE(MID(UPPER(TRIM($DX642)),1+OR(LEFT(UPPER(TRIM($DX642)),1)="+",LEFT(UPPER(TRIM($DX642)),1)="-"),999),"E+","E"),"E-","E"))=LEN(SUBSTITUTE(SUBSTITUTE(SUBSTITUTE(SUBSTITUTE(MID(UPPER(TRIM($DX642)),1+OR(LEFT(UPPER(TRIM($DX642)),1)="+",LEFT(UPPER(TRIM($DX642)),1)="-"),999),"E+","E"),"E-","E"),"+",""),"-","")),LEN(UPPER(TRIM($DX642)))-LEN(SUBSTITUTE(UPPER(TRIM($DX642)),"E",""))&lt;2,LEN(UPPER(TRIM($DX642)))-LEN(SUBSTITUTE(UPPER(TRIM($DX642)),".",""))&lt;2,IFERROR(FIND(".",UPPER(TRIM($DX642))),0)&lt;IFERROR(FIND("E",UPPER(TRIM($DX642))),999)),ISNUMBER(VALUE(TRIM($DX642)))),VALUE(TRIM($DX642)),"")))),""))</f>
        <v/>
      </c>
      <c r="DZ642">
        <f>IF($DM642=0,"",IF($L$17=0,"",IFERROR(IF(ISNUMBER(INDEX(PASTE_ALL,$DF642,$L$17)),INDEX(PASTE_ALL,$DF642,$L$17),SUBSTITUTE(SUBSTITUTE(TRIM(SUBSTITUTE(SUBSTITUTE(SUBSTITUTE(SUBSTITUTE(INDEX(PASTE_ALL,$DF642,$L$17)," "," "),CHAR(9)," "),CHAR(10)," "),CHAR(13)," ")),",",""),"%","")),"")))</f>
        <v/>
      </c>
      <c r="EA642">
        <f>IF($DM642=0,"",IFERROR(IF(ISNUMBER($DZ642),$DZ642,IF($DZ642="","",IF(TRIM($DZ642)="",0,IF(AND(AND(SUBSTITUTE(SUBSTITUTE(SUBSTITUTE(SUBSTITUTE(SUBSTITUTE(SUBSTITUTE(SUBSTITUTE(SUBSTITUTE(SUBSTITUTE(SUBSTITUTE(SUBSTITUTE(SUBSTITUTE(SUBSTITUTE(SUBSTITUTE(UPPER(TRIM($DZ642)),"0",""),"1",""),"2",""),"3",""),"4",""),"5",""),"6",""),"7",""),"8",""),"9",""),".",""),"+",""),"-",""),"E","")="",LEN(SUBSTITUTE(SUBSTITUTE(MID(UPPER(TRIM($DZ642)),1+OR(LEFT(UPPER(TRIM($DZ642)),1)="+",LEFT(UPPER(TRIM($DZ642)),1)="-"),999),"E+","E"),"E-","E"))=LEN(SUBSTITUTE(SUBSTITUTE(SUBSTITUTE(SUBSTITUTE(MID(UPPER(TRIM($DZ642)),1+OR(LEFT(UPPER(TRIM($DZ642)),1)="+",LEFT(UPPER(TRIM($DZ642)),1)="-"),999),"E+","E"),"E-","E"),"+",""),"-","")),LEN(UPPER(TRIM($DZ642)))-LEN(SUBSTITUTE(UPPER(TRIM($DZ642)),"E",""))&lt;2,LEN(UPPER(TRIM($DZ642)))-LEN(SUBSTITUTE(UPPER(TRIM($DZ642)),".",""))&lt;2,IFERROR(FIND(".",UPPER(TRIM($DZ642))),0)&lt;IFERROR(FIND("E",UPPER(TRIM($DZ642))),999)),ISNUMBER(VALUE(TRIM($DZ642)))),VALUE(TRIM($DZ642)),"")))),""))</f>
        <v/>
      </c>
      <c r="EB642">
        <f>IF($DM642=0,"",IF($L$18=0,"",IFERROR(IF(UPPER(TRIM(SUBSTITUTE(SUBSTITUTE(SUBSTITUTE(SUBSTITUTE(INDEX(PASTE_ALL,$DF642,$L$18)," "," "),CHAR(9)," "),CHAR(10)," "),CHAR(13)," ")))="READY","Ready",IF(UPPER(TRIM(SUBSTITUTE(SUBSTITUTE(SUBSTITUTE(SUBSTITUTE(INDEX(PASTE_ALL,$DF642,$L$18)," "," "),CHAR(9)," "),CHAR(10)," "),CHAR(13)," ")))="PM","PM",IF(OR(UPPER(TRIM(SUBSTITUTE(SUBSTITUTE(SUBSTITUTE(SUBSTITUTE(INDEX(PASTE_ALL,$DF642,$L$18)," "," "),CHAR(9)," "),CHAR(10)," "),CHAR(13)," ")))="OT",UPPER(TRIM(SUBSTITUTE(SUBSTITUTE(SUBSTITUTE(SUBSTITUTE(INDEX(PASTE_ALL,$DF642,$L$18)," "," "),CHAR(9)," "),CHAR(10)," "),CHAR(13)," ")))="OVERTIME",UPPER(TRIM(SUBSTITUTE(SUBSTITUTE(SUBSTITUTE(SUBSTITUTE(INDEX(PASTE_ALL,$DF642,$L$18)," "," "),CHAR(9)," "),CHAR(10)," "),CHAR(13)," ")))="TRIAL"),"OT",TRIM(SUBSTITUTE(SUBSTITUTE(SUBSTITUTE(SUBSTITUTE(INDEX(PASTE_ALL,$DF642,$L$18)," "," "),CHAR(9)," "),CHAR(10)," "),CHAR(13)," "))))),"")))</f>
        <v/>
      </c>
      <c r="EC642">
        <f>IF($DM642=0,"",IF($L$19=0,"",IFERROR(IF(ISNUMBER(INDEX(PASTE_ALL,$DF642,$L$19)),INDEX(PASTE_ALL,$DF642,$L$19),TRIM(SUBSTITUTE(SUBSTITUTE(SUBSTITUTE(SUBSTITUTE(INDEX(PASTE_ALL,$DF642,$L$19)," "," "),CHAR(9)," "),CHAR(10)," "),CHAR(13)," "))),"")))</f>
        <v/>
      </c>
      <c r="ED642">
        <f>IF($DM642=0,"",MATCH(1,INDEX(EXACT($DH$5:DH642,$DH642)*$DM$5:DM642,0),0))</f>
        <v/>
      </c>
      <c r="EE642">
        <f>IF($DM642=0,0,IF($ED642=$DE642,1,0))</f>
        <v/>
      </c>
      <c r="EF642">
        <f>EF641+$EE642</f>
        <v/>
      </c>
      <c r="EG642">
        <f>IF($DM642=0,"",INDEX($EF$5:$EF$1003,$ED642))</f>
        <v/>
      </c>
      <c r="EH642">
        <f>IF($DM642=0,"",IF($DO642&lt;&gt;"","",IFERROR(LOOKUP(2,1/(($EG$4:EG641=$EG642)*($DO$4:DO641&lt;&gt;"")),$DO$4:DO641),"")))</f>
        <v/>
      </c>
      <c r="EI642">
        <f>IF($DM642=0,"",IF($DO642&lt;&gt;"",$DO642,$EH642))</f>
        <v/>
      </c>
      <c r="EJ642">
        <f>IF($DM642=0,"",IF($EI642="",0,IF(OR(ISNUMBER($EI642),AND(AND(SUBSTITUTE(SUBSTITUTE(SUBSTITUTE(SUBSTITUTE(SUBSTITUTE(SUBSTITUTE(SUBSTITUTE(SUBSTITUTE(SUBSTITUTE(SUBSTITUTE(SUBSTITUTE(SUBSTITUTE(SUBSTITUTE(SUBSTITUTE(UPPER($EI642),"0",""),"1",""),"2",""),"3",""),"4",""),"5",""),"6",""),"7",""),"8",""),"9",""),".",""),"+",""),"-",""),"E","")="",LEN(SUBSTITUTE(SUBSTITUTE(MID(UPPER($EI642),1+OR(LEFT(UPPER($EI642),1)="+",LEFT(UPPER($EI642),1)="-"),999),"E+","E"),"E-","E"))=LEN(SUBSTITUTE(SUBSTITUTE(SUBSTITUTE(SUBSTITUTE(MID(UPPER($EI642),1+OR(LEFT(UPPER($EI642),1)="+",LEFT(UPPER($EI642),1)="-"),999),"E+","E"),"E-","E"),"+",""),"-","")),LEN(UPPER($EI642))-LEN(SUBSTITUTE(UPPER($EI642),"E",""))&lt;2,LEN(UPPER($EI642))-LEN(SUBSTITUTE(UPPER($EI642),".",""))&lt;2,IFERROR(FIND(".",UPPER($EI642)),0)&lt;IFERROR(FIND("E",UPPER($EI642)),999)),ISNUMBER(VALUE($EI642)))),1,2)))</f>
        <v/>
      </c>
      <c r="EK642">
        <f>IF($DM642=0,"",IF($EJ642=1,IF(ISNUMBER($EI642),$EI642,VALUE($EI642)),IF($EJ642=2,$DE642,0)))</f>
        <v/>
      </c>
      <c r="EL642">
        <f>IF($DM642=0,"",COUNTIF($EG$5:$EG$1003,"&lt;"&amp;$EG642)+SUMPRODUCT(($EG$5:$EG$1003=$EG642)*(($EJ$5:$EJ$1003&lt;$EJ642)+($EJ$5:$EJ$1003=$EJ642)*(($EK$5:$EK$1003&lt;$EK642)+($EK$5:$EK$1003=$EK642)*($DE$5:$DE$1003&lt;$DE642))))+1)</f>
        <v/>
      </c>
      <c r="EM642">
        <f>IF($DM642=0,"",$EL642+$EG642-1)</f>
        <v/>
      </c>
      <c r="EN642">
        <f>IF($DM642=0,0,IFERROR(MATCH(1,INDEX(--(TRIM(SUBSTITUTE(SUBSTITUTE(SUBSTITUTE(SUBSTITUTE(LINES_NAME&amp;""," "," "),CHAR(9)," "),CHAR(10)," "),CHAR(13)," "))=$DH642),0),0),0))</f>
        <v/>
      </c>
      <c r="EO642">
        <f>IF($EN642=0,0,IF(OR(UPPER(TRIM(INDEX(LINES_SCHEDULED,$EN642)&amp;""))="YES",UPPER(TRIM(INDEX(LINES_SCHEDULED,$EN642)&amp;""))="Y",UPPER(TRIM(INDEX(LINES_SCHEDULED,$EN642)&amp;""))="X"),1,0))</f>
        <v/>
      </c>
      <c r="EP642">
        <f>IF($DM642=0,"",IF(COUNTIFS($EG$5:$EG$1003,$EG642,$EB$5:$EB$1003,"Ready")&gt;0,"READY",IF(COUNTIFS($EG$5:$EG$1003,$EG642,$EB$5:$EB$1003,"PM")&gt;0,"PM",IF(COUNTIFS($EG$5:$EG$1003,$EG642,$EB$5:$EB$1003,"OT")&gt;0,"OT",""))))</f>
        <v/>
      </c>
      <c r="EQ642">
        <f>IF($EN642=0,"",UPPER(TRIM(INDEX(LINES_STATUS,$EN642)&amp;"")))</f>
        <v/>
      </c>
      <c r="ER642">
        <f>IF($DM642=0,"",IF(OR($EQ642="READY",$EQ642="PM",$EQ642="OT"),$EQ642,$EP642))</f>
        <v/>
      </c>
      <c r="ES642">
        <f>IF($DM642=0,"",IF(AND($DV642&lt;&gt;"",UPPER($DV642)&lt;&gt;"N"),"allergen",IF(ISNUMBER(SEARCH("oil",$DQ642)),"oil",IF(OR(EXACT($DS642,"A662"),EXACT($DS642,"A624")),"bulk",""))))</f>
        <v/>
      </c>
      <c r="ET642">
        <f>IF($DM642=0,"",IF(OR($EA642="",$EA642=0),"",$EA642/100))</f>
        <v/>
      </c>
      <c r="EU642">
        <f>IF(OR($ET642="",$DY642=""),"",INT($DY642*(1-$ET642)+0.5))</f>
        <v/>
      </c>
      <c r="EW642" t="n">
        <v>638</v>
      </c>
      <c r="EX642">
        <f>IFERROR(MATCH($EW642,$EM$5:$EM$1003,0),0)</f>
        <v/>
      </c>
      <c r="EY642">
        <f>IF($EW642&gt;$B$12,"",IF($EX642&gt;0,"row","spacer"))</f>
        <v/>
      </c>
      <c r="EZ642">
        <f>IF(AND($EY642="row",$EY641&lt;&gt;"row"),1,0)</f>
        <v/>
      </c>
      <c r="FA642">
        <f>IF(AND($EY642="row",$EY643&lt;&gt;"row"),1,0)</f>
        <v/>
      </c>
      <c r="FB642">
        <f>IF($EZ642=1,IFERROR(IF(ISNUMBER(INDEX(PASTE_ALL,INDEX($DF$5:$DF$1003,$EX642),$B$37)),INDEX(PASTE_ALL,INDEX($DF$5:$DF$1003,$EX642),$B$37),INDEX($DH$5:$DH$1003,$EX642)),INDEX($DH$5:$DH$1003,$EX642)),"")</f>
        <v/>
      </c>
      <c r="FC642">
        <f>IF($EY642="row",INDEX($ER$5:$ER$1003,$EX642),"")</f>
        <v/>
      </c>
      <c r="FD642">
        <f>IF($EY642="row",INDEX($DN$5:$DN$1003,$EX642),"")</f>
        <v/>
      </c>
      <c r="FE642">
        <f>IF($EY642="row",INDEX($DO$5:$DO$1003,$EX642),"")</f>
        <v/>
      </c>
      <c r="FF642">
        <f>IF($EY642="row",INDEX($DP$5:$DP$1003,$EX642),"")</f>
        <v/>
      </c>
      <c r="FG642">
        <f>IF($EY642="row",INDEX($DQ$5:$DQ$1003,$EX642),"")</f>
        <v/>
      </c>
      <c r="FH642">
        <f>IF($EY642="row",INDEX($DR$5:$DR$1003,$EX642),"")</f>
        <v/>
      </c>
      <c r="FI642">
        <f>IF($EY642="row",INDEX($DS$5:$DS$1003,$EX642),"")</f>
        <v/>
      </c>
      <c r="FJ642">
        <f>IF($EY642="row",INDEX($DT$5:$DT$1003,$EX642),"")</f>
        <v/>
      </c>
      <c r="FK642">
        <f>IF($EY642="row",INDEX($DU$5:$DU$1003,$EX642),"")</f>
        <v/>
      </c>
      <c r="FL642">
        <f>IF($EY642="row",INDEX($DV$5:$DV$1003,$EX642),"")</f>
        <v/>
      </c>
      <c r="FM642">
        <f>IF($EY642="row",INDEX($DW$5:$DW$1003,$EX642),"")</f>
        <v/>
      </c>
      <c r="FN642">
        <f>IF($EY642="row",INDEX($DY$5:$DY$1003,$EX642),"")</f>
        <v/>
      </c>
      <c r="FO642">
        <f>IF($EY642="row",INDEX($EA$5:$EA$1003,$EX642),"")</f>
        <v/>
      </c>
      <c r="FP642">
        <f>IF($EY642="row",INDEX($EC$5:$EC$1003,$EX642),"")</f>
        <v/>
      </c>
      <c r="FQ642">
        <f>IF($EY642="row",INDEX($ET$5:$ET$1003,$EX642),"")</f>
        <v/>
      </c>
      <c r="FR642">
        <f>IF($EY642="row",INDEX($EU$5:$EU$1003,$EX642),"")</f>
        <v/>
      </c>
      <c r="FS642">
        <f>IF(AND($EY642="row",$EY641="row"),IF(OR(INDEX($DT$5:$DT$1003,$EX641)="",INDEX($DT$5:$DT$1003,$EX642)=""),"",IF(NOT(EXACT(INDEX($DT$5:$DT$1003,$EX641),INDEX($DT$5:$DT$1003,$EX642))),"S4",IF(NOT(EXACT(INDEX($DS$5:$DS$1003,$EX641),INDEX($DS$5:$DS$1003,$EX642))),"S3",IF(NOT(EXACT(INDEX($DR$5:$DR$1003,$EX641),INDEX($DR$5:$DR$1003,$EX642))),"S1 Count Change","S1")))),"")</f>
        <v/>
      </c>
      <c r="FT642">
        <f>IF($EY642="row",INDEX($ES$5:$ES$1003,$EX642),"")</f>
        <v/>
      </c>
      <c r="FU642">
        <f>IF($EY642="row",INDEX($EO$5:$EO$1003,$EX642),0)</f>
        <v/>
      </c>
      <c r="FV642">
        <f>IF($FS642="S1 Count Change",1,0)</f>
        <v/>
      </c>
    </row>
    <row r="643">
      <c r="DA643" t="n">
        <v>639</v>
      </c>
      <c r="DB643">
        <f>IF($B$37=0,"",IFERROR(TRIM(SUBSTITUTE(SUBSTITUTE(SUBSTITUTE(SUBSTITUTE(INDEX(PASTE_ALL,639,$B$37)," "," "),CHAR(9)," "),CHAR(10)," "),CHAR(13)," ")),""))</f>
        <v/>
      </c>
      <c r="DC643">
        <f>IF(AND(639&gt;HEADER_ROW,UPPER(DB643)="LEGEND"),1,0)</f>
        <v/>
      </c>
      <c r="DE643" t="n">
        <v>639</v>
      </c>
      <c r="DF643">
        <f>HEADER_ROW+$DE643</f>
        <v/>
      </c>
      <c r="DG643">
        <f>IF(AND($DF643&lt;=1000,$DF643&lt;$B$8),1,0)</f>
        <v/>
      </c>
      <c r="DH643">
        <f>IF($DG643=1,IFERROR(INDEX($DB$5:$DB$1004,$DF643),""),"")</f>
        <v/>
      </c>
      <c r="DI643">
        <f>IF(AND($DG643=1,$DH643&lt;&gt;""),IFERROR(SUBSTITUTE(SUBSTITUTE(TRIM(SUBSTITUTE(SUBSTITUTE(SUBSTITUTE(SUBSTITUTE(IFERROR(INDEX(PASTE_ALL,$DF643,1)&amp;"","")&amp;"␟"&amp;IFERROR(INDEX(PASTE_ALL,$DF643,2)&amp;"","")&amp;"␟"&amp;IFERROR(INDEX(PASTE_ALL,$DF643,3)&amp;"","")&amp;"␟"&amp;IFERROR(INDEX(PASTE_ALL,$DF643,4)&amp;"","")&amp;"␟"&amp;IFERROR(INDEX(PASTE_ALL,$DF643,5)&amp;"","")&amp;"␟"&amp;IFERROR(INDEX(PASTE_ALL,$DF643,6)&amp;"","")&amp;"␟"&amp;IFERROR(INDEX(PASTE_ALL,$DF643,7)&amp;"","")&amp;"␟"&amp;IFERROR(INDEX(PASTE_ALL,$DF643,8)&amp;"","")&amp;"␟"&amp;IFERROR(INDEX(PASTE_ALL,$DF643,9)&amp;"","")&amp;"␟"&amp;IFERROR(INDEX(PASTE_ALL,$DF643,10)&amp;"","")&amp;"␟"&amp;IFERROR(INDEX(PASTE_ALL,$DF643,11)&amp;"","")&amp;"␟"&amp;IFERROR(INDEX(PASTE_ALL,$DF643,12)&amp;"","")&amp;"␟"&amp;IFERROR(INDEX(PASTE_ALL,$DF643,13)&amp;"","")&amp;"␟"&amp;IFERROR(INDEX(PASTE_ALL,$DF643,14)&amp;"","")&amp;"␟"&amp;IFERROR(INDEX(PASTE_ALL,$DF643,15)&amp;"","")&amp;"␟"&amp;IFERROR(INDEX(PASTE_ALL,$DF643,16)&amp;"","")&amp;"␟"&amp;IFERROR(INDEX(PASTE_ALL,$DF643,17)&amp;"","")&amp;"␟"&amp;IFERROR(INDEX(PASTE_ALL,$DF643,18)&amp;"","")&amp;"␟"&amp;IFERROR(INDEX(PASTE_ALL,$DF643,19)&amp;"","")&amp;"␟"&amp;IFERROR(INDEX(PASTE_ALL,$DF643,20)&amp;"","")&amp;"␟"&amp;IFERROR(INDEX(PASTE_ALL,$DF643,21)&amp;"","")&amp;"␟"&amp;IFERROR(INDEX(PASTE_ALL,$DF643,22)&amp;"","")&amp;"␟"&amp;IFERROR(INDEX(PASTE_ALL,$DF643,23)&amp;"","")&amp;"␟"&amp;IFERROR(INDEX(PASTE_ALL,$DF643,24)&amp;"","")&amp;"␟"&amp;IFERROR(INDEX(PASTE_ALL,$DF643,25)&amp;"","")&amp;"␟"&amp;IFERROR(INDEX(PASTE_ALL,$DF643,26)&amp;"","")&amp;"␟"&amp;IFERROR(INDEX(PASTE_ALL,$DF643,27)&amp;"","")&amp;"␟"&amp;IFERROR(INDEX(PASTE_ALL,$DF643,28)&amp;"","")&amp;"␟"&amp;IFERROR(INDEX(PASTE_ALL,$DF643,29)&amp;"","")&amp;"␟"&amp;IFERROR(INDEX(PASTE_ALL,$DF643,30)&amp;"","")&amp;"␟"&amp;IFERROR(INDEX(PASTE_ALL,$DF643,31)&amp;"","")&amp;"␟"&amp;IFERROR(INDEX(PASTE_ALL,$DF643,32)&amp;"","")&amp;"␟"&amp;IFERROR(INDEX(PASTE_ALL,$DF643,33)&amp;"","")&amp;"␟"&amp;IFERROR(INDEX(PASTE_ALL,$DF643,34)&amp;"","")&amp;"␟"&amp;IFERROR(INDEX(PASTE_ALL,$DF643,35)&amp;"","")&amp;"␟"&amp;IFERROR(INDEX(PASTE_ALL,$DF643,36)&amp;"","")&amp;"␟"&amp;IFERROR(INDEX(PASTE_ALL,$DF643,37)&amp;"","")&amp;"␟"&amp;IFERROR(INDEX(PASTE_ALL,$DF643,38)&amp;"","")&amp;"␟"&amp;IFERROR(INDEX(PASTE_ALL,$DF643,39)&amp;"","")&amp;"␟"&amp;IFERROR(INDEX(PASTE_ALL,$DF643,40)&amp;"","")&amp;"␟"&amp;IFERROR(INDEX(PASTE_ALL,$DF643,41)&amp;"","")&amp;"␟"&amp;IFERROR(INDEX(PASTE_ALL,$DF643,42)&amp;"","")&amp;"␟"&amp;IFERROR(INDEX(PASTE_ALL,$DF643,43)&amp;"","")&amp;"␟"&amp;IFERROR(INDEX(PASTE_ALL,$DF643,44)&amp;"","")&amp;"␟"&amp;IFERROR(INDEX(PASTE_ALL,$DF643,45)&amp;"","")&amp;"␟"&amp;IFERROR(INDEX(PASTE_ALL,$DF643,46)&amp;"","")&amp;"␟"&amp;IFERROR(INDEX(PASTE_ALL,$DF643,47)&amp;"","")&amp;"␟"&amp;IFERROR(INDEX(PASTE_ALL,$DF643,48)&amp;"","")&amp;"␟"&amp;IFERROR(INDEX(PASTE_ALL,$DF643,49)&amp;"","")&amp;"␟"&amp;IFERROR(INDEX(PASTE_ALL,$DF643,50)&amp;"","")&amp;"␟"&amp;IFERROR(INDEX(PASTE_ALL,$DF643,51)&amp;"","")&amp;"␟"&amp;IFERROR(INDEX(PASTE_ALL,$DF643,52)&amp;"","")&amp;"␟"&amp;IFERROR(INDEX(PASTE_ALL,$DF643,53)&amp;"","")&amp;"␟"&amp;IFERROR(INDEX(PASTE_ALL,$DF643,54)&amp;"","")&amp;"␟"&amp;IFERROR(INDEX(PASTE_ALL,$DF643,55)&amp;"","")&amp;"␟"&amp;IFERROR(INDEX(PASTE_ALL,$DF643,56)&amp;"","")&amp;"␟"&amp;IFERROR(INDEX(PASTE_ALL,$DF643,57)&amp;"","")&amp;"␟"&amp;IFERROR(INDEX(PASTE_ALL,$DF643,58)&amp;"","")&amp;"␟"&amp;IFERROR(INDEX(PASTE_ALL,$DF643,59)&amp;"","")&amp;"␟"&amp;IFERROR(INDEX(PASTE_ALL,$DF643,60)&amp;"","")," "," "),CHAR(9)," "),CHAR(10)," "),CHAR(13)," "))," ␟","␟"),"␟ ","␟"),"#"&amp;$DE643),"")</f>
        <v/>
      </c>
      <c r="DJ643">
        <f>IF($DI643="",0,IF(SUMPRODUCT(--EXACT($DI$4:DI642,$DI643))&gt;0,1,0))</f>
        <v/>
      </c>
      <c r="DK643">
        <f>IF(AND($DI643&lt;&gt;"",$DJ643=0),1,0)</f>
        <v/>
      </c>
      <c r="DL643">
        <f>DL642+$DK643</f>
        <v/>
      </c>
      <c r="DM643">
        <f>IF(AND($DK643=1,$DL643&lt;=600),1,0)</f>
        <v/>
      </c>
      <c r="DN643">
        <f>IF($DM643=0,"",IF($L$6=0,"",IFERROR(IF(ISNUMBER(INDEX(PASTE_ALL,$DF643,$L$6)),INDEX(PASTE_ALL,$DF643,$L$6),TRIM(SUBSTITUTE(SUBSTITUTE(SUBSTITUTE(SUBSTITUTE(INDEX(PASTE_ALL,$DF643,$L$6)," "," "),CHAR(9)," "),CHAR(10)," "),CHAR(13)," "))),"")))</f>
        <v/>
      </c>
      <c r="DO643">
        <f>IF($DM643=0,"",IF($L$7=0,"",IFERROR(IF(ISNUMBER(INDEX(PASTE_ALL,$DF643,$L$7)),INDEX(PASTE_ALL,$DF643,$L$7),TRIM(SUBSTITUTE(SUBSTITUTE(SUBSTITUTE(SUBSTITUTE(INDEX(PASTE_ALL,$DF643,$L$7)," "," "),CHAR(9)," "),CHAR(10)," "),CHAR(13)," "))),"")))</f>
        <v/>
      </c>
      <c r="DP643">
        <f>IF($DM643=0,"",IF($L$8=0,"",IFERROR(IF(ISNUMBER(INDEX(PASTE_ALL,$DF643,$L$8)),INDEX(PASTE_ALL,$DF643,$L$8),TRIM(SUBSTITUTE(SUBSTITUTE(SUBSTITUTE(SUBSTITUTE(INDEX(PASTE_ALL,$DF643,$L$8)," "," "),CHAR(9)," "),CHAR(10)," "),CHAR(13)," "))),"")))</f>
        <v/>
      </c>
      <c r="DQ643">
        <f>IF($DM643=0,"",IF($L$9=0,"",IFERROR(IF(ISNUMBER(INDEX(PASTE_ALL,$DF643,$L$9)),INDEX(PASTE_ALL,$DF643,$L$9),TRIM(SUBSTITUTE(SUBSTITUTE(SUBSTITUTE(SUBSTITUTE(INDEX(PASTE_ALL,$DF643,$L$9)," "," "),CHAR(9)," "),CHAR(10)," "),CHAR(13)," "))),"")))</f>
        <v/>
      </c>
      <c r="DR643">
        <f>IF($DM643=0,"",IF($L$10=0,"",IFERROR(IF(ISNUMBER(INDEX(PASTE_ALL,$DF643,$L$10)),INDEX(PASTE_ALL,$DF643,$L$10),TRIM(SUBSTITUTE(SUBSTITUTE(SUBSTITUTE(SUBSTITUTE(INDEX(PASTE_ALL,$DF643,$L$10)," "," "),CHAR(9)," "),CHAR(10)," "),CHAR(13)," "))),"")))</f>
        <v/>
      </c>
      <c r="DS643">
        <f>IF($DM643=0,"",IF($L$11=0,"",IFERROR(IF(ISNUMBER(INDEX(PASTE_ALL,$DF643,$L$11)),INDEX(PASTE_ALL,$DF643,$L$11),TRIM(SUBSTITUTE(SUBSTITUTE(SUBSTITUTE(SUBSTITUTE(INDEX(PASTE_ALL,$DF643,$L$11)," "," "),CHAR(9)," "),CHAR(10)," "),CHAR(13)," "))),"")))</f>
        <v/>
      </c>
      <c r="DT643">
        <f>IF($DM643=0,"",IF($L$12=0,"",IFERROR(IF(ISNUMBER(INDEX(PASTE_ALL,$DF643,$L$12)),INDEX(PASTE_ALL,$DF643,$L$12),TRIM(SUBSTITUTE(SUBSTITUTE(SUBSTITUTE(SUBSTITUTE(INDEX(PASTE_ALL,$DF643,$L$12)," "," "),CHAR(9)," "),CHAR(10)," "),CHAR(13)," "))),"")))</f>
        <v/>
      </c>
      <c r="DU643">
        <f>IF($DM643=0,"",IF($L$13=0,"",IFERROR(IF(ISNUMBER(INDEX(PASTE_ALL,$DF643,$L$13)),INDEX(PASTE_ALL,$DF643,$L$13),TRIM(SUBSTITUTE(SUBSTITUTE(SUBSTITUTE(SUBSTITUTE(INDEX(PASTE_ALL,$DF643,$L$13)," "," "),CHAR(9)," "),CHAR(10)," "),CHAR(13)," "))),"")))</f>
        <v/>
      </c>
      <c r="DV643">
        <f>IF($DM643=0,"",IF($L$14=0,"",IFERROR(IF(ISNUMBER(INDEX(PASTE_ALL,$DF643,$L$14)),INDEX(PASTE_ALL,$DF643,$L$14),TRIM(SUBSTITUTE(SUBSTITUTE(SUBSTITUTE(SUBSTITUTE(INDEX(PASTE_ALL,$DF643,$L$14)," "," "),CHAR(9)," "),CHAR(10)," "),CHAR(13)," "))),"")))</f>
        <v/>
      </c>
      <c r="DW643">
        <f>IF($DM643=0,"",IF($L$15=0,"",IFERROR(IF(ISNUMBER(INDEX(PASTE_ALL,$DF643,$L$15)),INDEX(PASTE_ALL,$DF643,$L$15),IF(SUMPRODUCT(--ISNUMBER(FIND({"A","B","C","D","E","F","G","H","I","J","K","L","M","N","O","P","Q","R","S","T","U","V","W","X","Y","Z","0","1","2","3","4","5","6","7","8","9"},UPPER(TRIM(SUBSTITUTE(SUBSTITUTE(SUBSTITUTE(SUBSTITUTE(INDEX(PASTE_ALL,$DF643,$L$15)," "," "),CHAR(9)," "),CHAR(10)," "),CHAR(13)," "))))))&gt;0,TRIM(SUBSTITUTE(SUBSTITUTE(SUBSTITUTE(SUBSTITUTE(INDEX(PASTE_ALL,$DF643,$L$15)," "," "),CHAR(9)," "),CHAR(10)," "),CHAR(13)," ")),"")),"")))</f>
        <v/>
      </c>
      <c r="DX643">
        <f>IF($DM643=0,"",IF($L$16=0,"",IFERROR(IF(ISNUMBER(INDEX(PASTE_ALL,$DF643,$L$16)),INDEX(PASTE_ALL,$DF643,$L$16),SUBSTITUTE(SUBSTITUTE(TRIM(SUBSTITUTE(SUBSTITUTE(SUBSTITUTE(SUBSTITUTE(INDEX(PASTE_ALL,$DF643,$L$16)," "," "),CHAR(9)," "),CHAR(10)," "),CHAR(13)," ")),",",""),"%","")),"")))</f>
        <v/>
      </c>
      <c r="DY643">
        <f>IF($DM643=0,"",IFERROR(IF(ISNUMBER($DX643),$DX643,IF($DX643="","",IF(TRIM($DX643)="",0,IF(AND(AND(SUBSTITUTE(SUBSTITUTE(SUBSTITUTE(SUBSTITUTE(SUBSTITUTE(SUBSTITUTE(SUBSTITUTE(SUBSTITUTE(SUBSTITUTE(SUBSTITUTE(SUBSTITUTE(SUBSTITUTE(SUBSTITUTE(SUBSTITUTE(UPPER(TRIM($DX643)),"0",""),"1",""),"2",""),"3",""),"4",""),"5",""),"6",""),"7",""),"8",""),"9",""),".",""),"+",""),"-",""),"E","")="",LEN(SUBSTITUTE(SUBSTITUTE(MID(UPPER(TRIM($DX643)),1+OR(LEFT(UPPER(TRIM($DX643)),1)="+",LEFT(UPPER(TRIM($DX643)),1)="-"),999),"E+","E"),"E-","E"))=LEN(SUBSTITUTE(SUBSTITUTE(SUBSTITUTE(SUBSTITUTE(MID(UPPER(TRIM($DX643)),1+OR(LEFT(UPPER(TRIM($DX643)),1)="+",LEFT(UPPER(TRIM($DX643)),1)="-"),999),"E+","E"),"E-","E"),"+",""),"-","")),LEN(UPPER(TRIM($DX643)))-LEN(SUBSTITUTE(UPPER(TRIM($DX643)),"E",""))&lt;2,LEN(UPPER(TRIM($DX643)))-LEN(SUBSTITUTE(UPPER(TRIM($DX643)),".",""))&lt;2,IFERROR(FIND(".",UPPER(TRIM($DX643))),0)&lt;IFERROR(FIND("E",UPPER(TRIM($DX643))),999)),ISNUMBER(VALUE(TRIM($DX643)))),VALUE(TRIM($DX643)),"")))),""))</f>
        <v/>
      </c>
      <c r="DZ643">
        <f>IF($DM643=0,"",IF($L$17=0,"",IFERROR(IF(ISNUMBER(INDEX(PASTE_ALL,$DF643,$L$17)),INDEX(PASTE_ALL,$DF643,$L$17),SUBSTITUTE(SUBSTITUTE(TRIM(SUBSTITUTE(SUBSTITUTE(SUBSTITUTE(SUBSTITUTE(INDEX(PASTE_ALL,$DF643,$L$17)," "," "),CHAR(9)," "),CHAR(10)," "),CHAR(13)," ")),",",""),"%","")),"")))</f>
        <v/>
      </c>
      <c r="EA643">
        <f>IF($DM643=0,"",IFERROR(IF(ISNUMBER($DZ643),$DZ643,IF($DZ643="","",IF(TRIM($DZ643)="",0,IF(AND(AND(SUBSTITUTE(SUBSTITUTE(SUBSTITUTE(SUBSTITUTE(SUBSTITUTE(SUBSTITUTE(SUBSTITUTE(SUBSTITUTE(SUBSTITUTE(SUBSTITUTE(SUBSTITUTE(SUBSTITUTE(SUBSTITUTE(SUBSTITUTE(UPPER(TRIM($DZ643)),"0",""),"1",""),"2",""),"3",""),"4",""),"5",""),"6",""),"7",""),"8",""),"9",""),".",""),"+",""),"-",""),"E","")="",LEN(SUBSTITUTE(SUBSTITUTE(MID(UPPER(TRIM($DZ643)),1+OR(LEFT(UPPER(TRIM($DZ643)),1)="+",LEFT(UPPER(TRIM($DZ643)),1)="-"),999),"E+","E"),"E-","E"))=LEN(SUBSTITUTE(SUBSTITUTE(SUBSTITUTE(SUBSTITUTE(MID(UPPER(TRIM($DZ643)),1+OR(LEFT(UPPER(TRIM($DZ643)),1)="+",LEFT(UPPER(TRIM($DZ643)),1)="-"),999),"E+","E"),"E-","E"),"+",""),"-","")),LEN(UPPER(TRIM($DZ643)))-LEN(SUBSTITUTE(UPPER(TRIM($DZ643)),"E",""))&lt;2,LEN(UPPER(TRIM($DZ643)))-LEN(SUBSTITUTE(UPPER(TRIM($DZ643)),".",""))&lt;2,IFERROR(FIND(".",UPPER(TRIM($DZ643))),0)&lt;IFERROR(FIND("E",UPPER(TRIM($DZ643))),999)),ISNUMBER(VALUE(TRIM($DZ643)))),VALUE(TRIM($DZ643)),"")))),""))</f>
        <v/>
      </c>
      <c r="EB643">
        <f>IF($DM643=0,"",IF($L$18=0,"",IFERROR(IF(UPPER(TRIM(SUBSTITUTE(SUBSTITUTE(SUBSTITUTE(SUBSTITUTE(INDEX(PASTE_ALL,$DF643,$L$18)," "," "),CHAR(9)," "),CHAR(10)," "),CHAR(13)," ")))="READY","Ready",IF(UPPER(TRIM(SUBSTITUTE(SUBSTITUTE(SUBSTITUTE(SUBSTITUTE(INDEX(PASTE_ALL,$DF643,$L$18)," "," "),CHAR(9)," "),CHAR(10)," "),CHAR(13)," ")))="PM","PM",IF(OR(UPPER(TRIM(SUBSTITUTE(SUBSTITUTE(SUBSTITUTE(SUBSTITUTE(INDEX(PASTE_ALL,$DF643,$L$18)," "," "),CHAR(9)," "),CHAR(10)," "),CHAR(13)," ")))="OT",UPPER(TRIM(SUBSTITUTE(SUBSTITUTE(SUBSTITUTE(SUBSTITUTE(INDEX(PASTE_ALL,$DF643,$L$18)," "," "),CHAR(9)," "),CHAR(10)," "),CHAR(13)," ")))="OVERTIME",UPPER(TRIM(SUBSTITUTE(SUBSTITUTE(SUBSTITUTE(SUBSTITUTE(INDEX(PASTE_ALL,$DF643,$L$18)," "," "),CHAR(9)," "),CHAR(10)," "),CHAR(13)," ")))="TRIAL"),"OT",TRIM(SUBSTITUTE(SUBSTITUTE(SUBSTITUTE(SUBSTITUTE(INDEX(PASTE_ALL,$DF643,$L$18)," "," "),CHAR(9)," "),CHAR(10)," "),CHAR(13)," "))))),"")))</f>
        <v/>
      </c>
      <c r="EC643">
        <f>IF($DM643=0,"",IF($L$19=0,"",IFERROR(IF(ISNUMBER(INDEX(PASTE_ALL,$DF643,$L$19)),INDEX(PASTE_ALL,$DF643,$L$19),TRIM(SUBSTITUTE(SUBSTITUTE(SUBSTITUTE(SUBSTITUTE(INDEX(PASTE_ALL,$DF643,$L$19)," "," "),CHAR(9)," "),CHAR(10)," "),CHAR(13)," "))),"")))</f>
        <v/>
      </c>
      <c r="ED643">
        <f>IF($DM643=0,"",MATCH(1,INDEX(EXACT($DH$5:DH643,$DH643)*$DM$5:DM643,0),0))</f>
        <v/>
      </c>
      <c r="EE643">
        <f>IF($DM643=0,0,IF($ED643=$DE643,1,0))</f>
        <v/>
      </c>
      <c r="EF643">
        <f>EF642+$EE643</f>
        <v/>
      </c>
      <c r="EG643">
        <f>IF($DM643=0,"",INDEX($EF$5:$EF$1003,$ED643))</f>
        <v/>
      </c>
      <c r="EH643">
        <f>IF($DM643=0,"",IF($DO643&lt;&gt;"","",IFERROR(LOOKUP(2,1/(($EG$4:EG642=$EG643)*($DO$4:DO642&lt;&gt;"")),$DO$4:DO642),"")))</f>
        <v/>
      </c>
      <c r="EI643">
        <f>IF($DM643=0,"",IF($DO643&lt;&gt;"",$DO643,$EH643))</f>
        <v/>
      </c>
      <c r="EJ643">
        <f>IF($DM643=0,"",IF($EI643="",0,IF(OR(ISNUMBER($EI643),AND(AND(SUBSTITUTE(SUBSTITUTE(SUBSTITUTE(SUBSTITUTE(SUBSTITUTE(SUBSTITUTE(SUBSTITUTE(SUBSTITUTE(SUBSTITUTE(SUBSTITUTE(SUBSTITUTE(SUBSTITUTE(SUBSTITUTE(SUBSTITUTE(UPPER($EI643),"0",""),"1",""),"2",""),"3",""),"4",""),"5",""),"6",""),"7",""),"8",""),"9",""),".",""),"+",""),"-",""),"E","")="",LEN(SUBSTITUTE(SUBSTITUTE(MID(UPPER($EI643),1+OR(LEFT(UPPER($EI643),1)="+",LEFT(UPPER($EI643),1)="-"),999),"E+","E"),"E-","E"))=LEN(SUBSTITUTE(SUBSTITUTE(SUBSTITUTE(SUBSTITUTE(MID(UPPER($EI643),1+OR(LEFT(UPPER($EI643),1)="+",LEFT(UPPER($EI643),1)="-"),999),"E+","E"),"E-","E"),"+",""),"-","")),LEN(UPPER($EI643))-LEN(SUBSTITUTE(UPPER($EI643),"E",""))&lt;2,LEN(UPPER($EI643))-LEN(SUBSTITUTE(UPPER($EI643),".",""))&lt;2,IFERROR(FIND(".",UPPER($EI643)),0)&lt;IFERROR(FIND("E",UPPER($EI643)),999)),ISNUMBER(VALUE($EI643)))),1,2)))</f>
        <v/>
      </c>
      <c r="EK643">
        <f>IF($DM643=0,"",IF($EJ643=1,IF(ISNUMBER($EI643),$EI643,VALUE($EI643)),IF($EJ643=2,$DE643,0)))</f>
        <v/>
      </c>
      <c r="EL643">
        <f>IF($DM643=0,"",COUNTIF($EG$5:$EG$1003,"&lt;"&amp;$EG643)+SUMPRODUCT(($EG$5:$EG$1003=$EG643)*(($EJ$5:$EJ$1003&lt;$EJ643)+($EJ$5:$EJ$1003=$EJ643)*(($EK$5:$EK$1003&lt;$EK643)+($EK$5:$EK$1003=$EK643)*($DE$5:$DE$1003&lt;$DE643))))+1)</f>
        <v/>
      </c>
      <c r="EM643">
        <f>IF($DM643=0,"",$EL643+$EG643-1)</f>
        <v/>
      </c>
      <c r="EN643">
        <f>IF($DM643=0,0,IFERROR(MATCH(1,INDEX(--(TRIM(SUBSTITUTE(SUBSTITUTE(SUBSTITUTE(SUBSTITUTE(LINES_NAME&amp;""," "," "),CHAR(9)," "),CHAR(10)," "),CHAR(13)," "))=$DH643),0),0),0))</f>
        <v/>
      </c>
      <c r="EO643">
        <f>IF($EN643=0,0,IF(OR(UPPER(TRIM(INDEX(LINES_SCHEDULED,$EN643)&amp;""))="YES",UPPER(TRIM(INDEX(LINES_SCHEDULED,$EN643)&amp;""))="Y",UPPER(TRIM(INDEX(LINES_SCHEDULED,$EN643)&amp;""))="X"),1,0))</f>
        <v/>
      </c>
      <c r="EP643">
        <f>IF($DM643=0,"",IF(COUNTIFS($EG$5:$EG$1003,$EG643,$EB$5:$EB$1003,"Ready")&gt;0,"READY",IF(COUNTIFS($EG$5:$EG$1003,$EG643,$EB$5:$EB$1003,"PM")&gt;0,"PM",IF(COUNTIFS($EG$5:$EG$1003,$EG643,$EB$5:$EB$1003,"OT")&gt;0,"OT",""))))</f>
        <v/>
      </c>
      <c r="EQ643">
        <f>IF($EN643=0,"",UPPER(TRIM(INDEX(LINES_STATUS,$EN643)&amp;"")))</f>
        <v/>
      </c>
      <c r="ER643">
        <f>IF($DM643=0,"",IF(OR($EQ643="READY",$EQ643="PM",$EQ643="OT"),$EQ643,$EP643))</f>
        <v/>
      </c>
      <c r="ES643">
        <f>IF($DM643=0,"",IF(AND($DV643&lt;&gt;"",UPPER($DV643)&lt;&gt;"N"),"allergen",IF(ISNUMBER(SEARCH("oil",$DQ643)),"oil",IF(OR(EXACT($DS643,"A662"),EXACT($DS643,"A624")),"bulk",""))))</f>
        <v/>
      </c>
      <c r="ET643">
        <f>IF($DM643=0,"",IF(OR($EA643="",$EA643=0),"",$EA643/100))</f>
        <v/>
      </c>
      <c r="EU643">
        <f>IF(OR($ET643="",$DY643=""),"",INT($DY643*(1-$ET643)+0.5))</f>
        <v/>
      </c>
      <c r="EW643" t="n">
        <v>639</v>
      </c>
      <c r="EX643">
        <f>IFERROR(MATCH($EW643,$EM$5:$EM$1003,0),0)</f>
        <v/>
      </c>
      <c r="EY643">
        <f>IF($EW643&gt;$B$12,"",IF($EX643&gt;0,"row","spacer"))</f>
        <v/>
      </c>
      <c r="EZ643">
        <f>IF(AND($EY643="row",$EY642&lt;&gt;"row"),1,0)</f>
        <v/>
      </c>
      <c r="FA643">
        <f>IF(AND($EY643="row",$EY644&lt;&gt;"row"),1,0)</f>
        <v/>
      </c>
      <c r="FB643">
        <f>IF($EZ643=1,IFERROR(IF(ISNUMBER(INDEX(PASTE_ALL,INDEX($DF$5:$DF$1003,$EX643),$B$37)),INDEX(PASTE_ALL,INDEX($DF$5:$DF$1003,$EX643),$B$37),INDEX($DH$5:$DH$1003,$EX643)),INDEX($DH$5:$DH$1003,$EX643)),"")</f>
        <v/>
      </c>
      <c r="FC643">
        <f>IF($EY643="row",INDEX($ER$5:$ER$1003,$EX643),"")</f>
        <v/>
      </c>
      <c r="FD643">
        <f>IF($EY643="row",INDEX($DN$5:$DN$1003,$EX643),"")</f>
        <v/>
      </c>
      <c r="FE643">
        <f>IF($EY643="row",INDEX($DO$5:$DO$1003,$EX643),"")</f>
        <v/>
      </c>
      <c r="FF643">
        <f>IF($EY643="row",INDEX($DP$5:$DP$1003,$EX643),"")</f>
        <v/>
      </c>
      <c r="FG643">
        <f>IF($EY643="row",INDEX($DQ$5:$DQ$1003,$EX643),"")</f>
        <v/>
      </c>
      <c r="FH643">
        <f>IF($EY643="row",INDEX($DR$5:$DR$1003,$EX643),"")</f>
        <v/>
      </c>
      <c r="FI643">
        <f>IF($EY643="row",INDEX($DS$5:$DS$1003,$EX643),"")</f>
        <v/>
      </c>
      <c r="FJ643">
        <f>IF($EY643="row",INDEX($DT$5:$DT$1003,$EX643),"")</f>
        <v/>
      </c>
      <c r="FK643">
        <f>IF($EY643="row",INDEX($DU$5:$DU$1003,$EX643),"")</f>
        <v/>
      </c>
      <c r="FL643">
        <f>IF($EY643="row",INDEX($DV$5:$DV$1003,$EX643),"")</f>
        <v/>
      </c>
      <c r="FM643">
        <f>IF($EY643="row",INDEX($DW$5:$DW$1003,$EX643),"")</f>
        <v/>
      </c>
      <c r="FN643">
        <f>IF($EY643="row",INDEX($DY$5:$DY$1003,$EX643),"")</f>
        <v/>
      </c>
      <c r="FO643">
        <f>IF($EY643="row",INDEX($EA$5:$EA$1003,$EX643),"")</f>
        <v/>
      </c>
      <c r="FP643">
        <f>IF($EY643="row",INDEX($EC$5:$EC$1003,$EX643),"")</f>
        <v/>
      </c>
      <c r="FQ643">
        <f>IF($EY643="row",INDEX($ET$5:$ET$1003,$EX643),"")</f>
        <v/>
      </c>
      <c r="FR643">
        <f>IF($EY643="row",INDEX($EU$5:$EU$1003,$EX643),"")</f>
        <v/>
      </c>
      <c r="FS643">
        <f>IF(AND($EY643="row",$EY642="row"),IF(OR(INDEX($DT$5:$DT$1003,$EX642)="",INDEX($DT$5:$DT$1003,$EX643)=""),"",IF(NOT(EXACT(INDEX($DT$5:$DT$1003,$EX642),INDEX($DT$5:$DT$1003,$EX643))),"S4",IF(NOT(EXACT(INDEX($DS$5:$DS$1003,$EX642),INDEX($DS$5:$DS$1003,$EX643))),"S3",IF(NOT(EXACT(INDEX($DR$5:$DR$1003,$EX642),INDEX($DR$5:$DR$1003,$EX643))),"S1 Count Change","S1")))),"")</f>
        <v/>
      </c>
      <c r="FT643">
        <f>IF($EY643="row",INDEX($ES$5:$ES$1003,$EX643),"")</f>
        <v/>
      </c>
      <c r="FU643">
        <f>IF($EY643="row",INDEX($EO$5:$EO$1003,$EX643),0)</f>
        <v/>
      </c>
      <c r="FV643">
        <f>IF($FS643="S1 Count Change",1,0)</f>
        <v/>
      </c>
    </row>
    <row r="644">
      <c r="DA644" t="n">
        <v>640</v>
      </c>
      <c r="DB644">
        <f>IF($B$37=0,"",IFERROR(TRIM(SUBSTITUTE(SUBSTITUTE(SUBSTITUTE(SUBSTITUTE(INDEX(PASTE_ALL,640,$B$37)," "," "),CHAR(9)," "),CHAR(10)," "),CHAR(13)," ")),""))</f>
        <v/>
      </c>
      <c r="DC644">
        <f>IF(AND(640&gt;HEADER_ROW,UPPER(DB644)="LEGEND"),1,0)</f>
        <v/>
      </c>
      <c r="DE644" t="n">
        <v>640</v>
      </c>
      <c r="DF644">
        <f>HEADER_ROW+$DE644</f>
        <v/>
      </c>
      <c r="DG644">
        <f>IF(AND($DF644&lt;=1000,$DF644&lt;$B$8),1,0)</f>
        <v/>
      </c>
      <c r="DH644">
        <f>IF($DG644=1,IFERROR(INDEX($DB$5:$DB$1004,$DF644),""),"")</f>
        <v/>
      </c>
      <c r="DI644">
        <f>IF(AND($DG644=1,$DH644&lt;&gt;""),IFERROR(SUBSTITUTE(SUBSTITUTE(TRIM(SUBSTITUTE(SUBSTITUTE(SUBSTITUTE(SUBSTITUTE(IFERROR(INDEX(PASTE_ALL,$DF644,1)&amp;"","")&amp;"␟"&amp;IFERROR(INDEX(PASTE_ALL,$DF644,2)&amp;"","")&amp;"␟"&amp;IFERROR(INDEX(PASTE_ALL,$DF644,3)&amp;"","")&amp;"␟"&amp;IFERROR(INDEX(PASTE_ALL,$DF644,4)&amp;"","")&amp;"␟"&amp;IFERROR(INDEX(PASTE_ALL,$DF644,5)&amp;"","")&amp;"␟"&amp;IFERROR(INDEX(PASTE_ALL,$DF644,6)&amp;"","")&amp;"␟"&amp;IFERROR(INDEX(PASTE_ALL,$DF644,7)&amp;"","")&amp;"␟"&amp;IFERROR(INDEX(PASTE_ALL,$DF644,8)&amp;"","")&amp;"␟"&amp;IFERROR(INDEX(PASTE_ALL,$DF644,9)&amp;"","")&amp;"␟"&amp;IFERROR(INDEX(PASTE_ALL,$DF644,10)&amp;"","")&amp;"␟"&amp;IFERROR(INDEX(PASTE_ALL,$DF644,11)&amp;"","")&amp;"␟"&amp;IFERROR(INDEX(PASTE_ALL,$DF644,12)&amp;"","")&amp;"␟"&amp;IFERROR(INDEX(PASTE_ALL,$DF644,13)&amp;"","")&amp;"␟"&amp;IFERROR(INDEX(PASTE_ALL,$DF644,14)&amp;"","")&amp;"␟"&amp;IFERROR(INDEX(PASTE_ALL,$DF644,15)&amp;"","")&amp;"␟"&amp;IFERROR(INDEX(PASTE_ALL,$DF644,16)&amp;"","")&amp;"␟"&amp;IFERROR(INDEX(PASTE_ALL,$DF644,17)&amp;"","")&amp;"␟"&amp;IFERROR(INDEX(PASTE_ALL,$DF644,18)&amp;"","")&amp;"␟"&amp;IFERROR(INDEX(PASTE_ALL,$DF644,19)&amp;"","")&amp;"␟"&amp;IFERROR(INDEX(PASTE_ALL,$DF644,20)&amp;"","")&amp;"␟"&amp;IFERROR(INDEX(PASTE_ALL,$DF644,21)&amp;"","")&amp;"␟"&amp;IFERROR(INDEX(PASTE_ALL,$DF644,22)&amp;"","")&amp;"␟"&amp;IFERROR(INDEX(PASTE_ALL,$DF644,23)&amp;"","")&amp;"␟"&amp;IFERROR(INDEX(PASTE_ALL,$DF644,24)&amp;"","")&amp;"␟"&amp;IFERROR(INDEX(PASTE_ALL,$DF644,25)&amp;"","")&amp;"␟"&amp;IFERROR(INDEX(PASTE_ALL,$DF644,26)&amp;"","")&amp;"␟"&amp;IFERROR(INDEX(PASTE_ALL,$DF644,27)&amp;"","")&amp;"␟"&amp;IFERROR(INDEX(PASTE_ALL,$DF644,28)&amp;"","")&amp;"␟"&amp;IFERROR(INDEX(PASTE_ALL,$DF644,29)&amp;"","")&amp;"␟"&amp;IFERROR(INDEX(PASTE_ALL,$DF644,30)&amp;"","")&amp;"␟"&amp;IFERROR(INDEX(PASTE_ALL,$DF644,31)&amp;"","")&amp;"␟"&amp;IFERROR(INDEX(PASTE_ALL,$DF644,32)&amp;"","")&amp;"␟"&amp;IFERROR(INDEX(PASTE_ALL,$DF644,33)&amp;"","")&amp;"␟"&amp;IFERROR(INDEX(PASTE_ALL,$DF644,34)&amp;"","")&amp;"␟"&amp;IFERROR(INDEX(PASTE_ALL,$DF644,35)&amp;"","")&amp;"␟"&amp;IFERROR(INDEX(PASTE_ALL,$DF644,36)&amp;"","")&amp;"␟"&amp;IFERROR(INDEX(PASTE_ALL,$DF644,37)&amp;"","")&amp;"␟"&amp;IFERROR(INDEX(PASTE_ALL,$DF644,38)&amp;"","")&amp;"␟"&amp;IFERROR(INDEX(PASTE_ALL,$DF644,39)&amp;"","")&amp;"␟"&amp;IFERROR(INDEX(PASTE_ALL,$DF644,40)&amp;"","")&amp;"␟"&amp;IFERROR(INDEX(PASTE_ALL,$DF644,41)&amp;"","")&amp;"␟"&amp;IFERROR(INDEX(PASTE_ALL,$DF644,42)&amp;"","")&amp;"␟"&amp;IFERROR(INDEX(PASTE_ALL,$DF644,43)&amp;"","")&amp;"␟"&amp;IFERROR(INDEX(PASTE_ALL,$DF644,44)&amp;"","")&amp;"␟"&amp;IFERROR(INDEX(PASTE_ALL,$DF644,45)&amp;"","")&amp;"␟"&amp;IFERROR(INDEX(PASTE_ALL,$DF644,46)&amp;"","")&amp;"␟"&amp;IFERROR(INDEX(PASTE_ALL,$DF644,47)&amp;"","")&amp;"␟"&amp;IFERROR(INDEX(PASTE_ALL,$DF644,48)&amp;"","")&amp;"␟"&amp;IFERROR(INDEX(PASTE_ALL,$DF644,49)&amp;"","")&amp;"␟"&amp;IFERROR(INDEX(PASTE_ALL,$DF644,50)&amp;"","")&amp;"␟"&amp;IFERROR(INDEX(PASTE_ALL,$DF644,51)&amp;"","")&amp;"␟"&amp;IFERROR(INDEX(PASTE_ALL,$DF644,52)&amp;"","")&amp;"␟"&amp;IFERROR(INDEX(PASTE_ALL,$DF644,53)&amp;"","")&amp;"␟"&amp;IFERROR(INDEX(PASTE_ALL,$DF644,54)&amp;"","")&amp;"␟"&amp;IFERROR(INDEX(PASTE_ALL,$DF644,55)&amp;"","")&amp;"␟"&amp;IFERROR(INDEX(PASTE_ALL,$DF644,56)&amp;"","")&amp;"␟"&amp;IFERROR(INDEX(PASTE_ALL,$DF644,57)&amp;"","")&amp;"␟"&amp;IFERROR(INDEX(PASTE_ALL,$DF644,58)&amp;"","")&amp;"␟"&amp;IFERROR(INDEX(PASTE_ALL,$DF644,59)&amp;"","")&amp;"␟"&amp;IFERROR(INDEX(PASTE_ALL,$DF644,60)&amp;"","")," "," "),CHAR(9)," "),CHAR(10)," "),CHAR(13)," "))," ␟","␟"),"␟ ","␟"),"#"&amp;$DE644),"")</f>
        <v/>
      </c>
      <c r="DJ644">
        <f>IF($DI644="",0,IF(SUMPRODUCT(--EXACT($DI$4:DI643,$DI644))&gt;0,1,0))</f>
        <v/>
      </c>
      <c r="DK644">
        <f>IF(AND($DI644&lt;&gt;"",$DJ644=0),1,0)</f>
        <v/>
      </c>
      <c r="DL644">
        <f>DL643+$DK644</f>
        <v/>
      </c>
      <c r="DM644">
        <f>IF(AND($DK644=1,$DL644&lt;=600),1,0)</f>
        <v/>
      </c>
      <c r="DN644">
        <f>IF($DM644=0,"",IF($L$6=0,"",IFERROR(IF(ISNUMBER(INDEX(PASTE_ALL,$DF644,$L$6)),INDEX(PASTE_ALL,$DF644,$L$6),TRIM(SUBSTITUTE(SUBSTITUTE(SUBSTITUTE(SUBSTITUTE(INDEX(PASTE_ALL,$DF644,$L$6)," "," "),CHAR(9)," "),CHAR(10)," "),CHAR(13)," "))),"")))</f>
        <v/>
      </c>
      <c r="DO644">
        <f>IF($DM644=0,"",IF($L$7=0,"",IFERROR(IF(ISNUMBER(INDEX(PASTE_ALL,$DF644,$L$7)),INDEX(PASTE_ALL,$DF644,$L$7),TRIM(SUBSTITUTE(SUBSTITUTE(SUBSTITUTE(SUBSTITUTE(INDEX(PASTE_ALL,$DF644,$L$7)," "," "),CHAR(9)," "),CHAR(10)," "),CHAR(13)," "))),"")))</f>
        <v/>
      </c>
      <c r="DP644">
        <f>IF($DM644=0,"",IF($L$8=0,"",IFERROR(IF(ISNUMBER(INDEX(PASTE_ALL,$DF644,$L$8)),INDEX(PASTE_ALL,$DF644,$L$8),TRIM(SUBSTITUTE(SUBSTITUTE(SUBSTITUTE(SUBSTITUTE(INDEX(PASTE_ALL,$DF644,$L$8)," "," "),CHAR(9)," "),CHAR(10)," "),CHAR(13)," "))),"")))</f>
        <v/>
      </c>
      <c r="DQ644">
        <f>IF($DM644=0,"",IF($L$9=0,"",IFERROR(IF(ISNUMBER(INDEX(PASTE_ALL,$DF644,$L$9)),INDEX(PASTE_ALL,$DF644,$L$9),TRIM(SUBSTITUTE(SUBSTITUTE(SUBSTITUTE(SUBSTITUTE(INDEX(PASTE_ALL,$DF644,$L$9)," "," "),CHAR(9)," "),CHAR(10)," "),CHAR(13)," "))),"")))</f>
        <v/>
      </c>
      <c r="DR644">
        <f>IF($DM644=0,"",IF($L$10=0,"",IFERROR(IF(ISNUMBER(INDEX(PASTE_ALL,$DF644,$L$10)),INDEX(PASTE_ALL,$DF644,$L$10),TRIM(SUBSTITUTE(SUBSTITUTE(SUBSTITUTE(SUBSTITUTE(INDEX(PASTE_ALL,$DF644,$L$10)," "," "),CHAR(9)," "),CHAR(10)," "),CHAR(13)," "))),"")))</f>
        <v/>
      </c>
      <c r="DS644">
        <f>IF($DM644=0,"",IF($L$11=0,"",IFERROR(IF(ISNUMBER(INDEX(PASTE_ALL,$DF644,$L$11)),INDEX(PASTE_ALL,$DF644,$L$11),TRIM(SUBSTITUTE(SUBSTITUTE(SUBSTITUTE(SUBSTITUTE(INDEX(PASTE_ALL,$DF644,$L$11)," "," "),CHAR(9)," "),CHAR(10)," "),CHAR(13)," "))),"")))</f>
        <v/>
      </c>
      <c r="DT644">
        <f>IF($DM644=0,"",IF($L$12=0,"",IFERROR(IF(ISNUMBER(INDEX(PASTE_ALL,$DF644,$L$12)),INDEX(PASTE_ALL,$DF644,$L$12),TRIM(SUBSTITUTE(SUBSTITUTE(SUBSTITUTE(SUBSTITUTE(INDEX(PASTE_ALL,$DF644,$L$12)," "," "),CHAR(9)," "),CHAR(10)," "),CHAR(13)," "))),"")))</f>
        <v/>
      </c>
      <c r="DU644">
        <f>IF($DM644=0,"",IF($L$13=0,"",IFERROR(IF(ISNUMBER(INDEX(PASTE_ALL,$DF644,$L$13)),INDEX(PASTE_ALL,$DF644,$L$13),TRIM(SUBSTITUTE(SUBSTITUTE(SUBSTITUTE(SUBSTITUTE(INDEX(PASTE_ALL,$DF644,$L$13)," "," "),CHAR(9)," "),CHAR(10)," "),CHAR(13)," "))),"")))</f>
        <v/>
      </c>
      <c r="DV644">
        <f>IF($DM644=0,"",IF($L$14=0,"",IFERROR(IF(ISNUMBER(INDEX(PASTE_ALL,$DF644,$L$14)),INDEX(PASTE_ALL,$DF644,$L$14),TRIM(SUBSTITUTE(SUBSTITUTE(SUBSTITUTE(SUBSTITUTE(INDEX(PASTE_ALL,$DF644,$L$14)," "," "),CHAR(9)," "),CHAR(10)," "),CHAR(13)," "))),"")))</f>
        <v/>
      </c>
      <c r="DW644">
        <f>IF($DM644=0,"",IF($L$15=0,"",IFERROR(IF(ISNUMBER(INDEX(PASTE_ALL,$DF644,$L$15)),INDEX(PASTE_ALL,$DF644,$L$15),IF(SUMPRODUCT(--ISNUMBER(FIND({"A","B","C","D","E","F","G","H","I","J","K","L","M","N","O","P","Q","R","S","T","U","V","W","X","Y","Z","0","1","2","3","4","5","6","7","8","9"},UPPER(TRIM(SUBSTITUTE(SUBSTITUTE(SUBSTITUTE(SUBSTITUTE(INDEX(PASTE_ALL,$DF644,$L$15)," "," "),CHAR(9)," "),CHAR(10)," "),CHAR(13)," "))))))&gt;0,TRIM(SUBSTITUTE(SUBSTITUTE(SUBSTITUTE(SUBSTITUTE(INDEX(PASTE_ALL,$DF644,$L$15)," "," "),CHAR(9)," "),CHAR(10)," "),CHAR(13)," ")),"")),"")))</f>
        <v/>
      </c>
      <c r="DX644">
        <f>IF($DM644=0,"",IF($L$16=0,"",IFERROR(IF(ISNUMBER(INDEX(PASTE_ALL,$DF644,$L$16)),INDEX(PASTE_ALL,$DF644,$L$16),SUBSTITUTE(SUBSTITUTE(TRIM(SUBSTITUTE(SUBSTITUTE(SUBSTITUTE(SUBSTITUTE(INDEX(PASTE_ALL,$DF644,$L$16)," "," "),CHAR(9)," "),CHAR(10)," "),CHAR(13)," ")),",",""),"%","")),"")))</f>
        <v/>
      </c>
      <c r="DY644">
        <f>IF($DM644=0,"",IFERROR(IF(ISNUMBER($DX644),$DX644,IF($DX644="","",IF(TRIM($DX644)="",0,IF(AND(AND(SUBSTITUTE(SUBSTITUTE(SUBSTITUTE(SUBSTITUTE(SUBSTITUTE(SUBSTITUTE(SUBSTITUTE(SUBSTITUTE(SUBSTITUTE(SUBSTITUTE(SUBSTITUTE(SUBSTITUTE(SUBSTITUTE(SUBSTITUTE(UPPER(TRIM($DX644)),"0",""),"1",""),"2",""),"3",""),"4",""),"5",""),"6",""),"7",""),"8",""),"9",""),".",""),"+",""),"-",""),"E","")="",LEN(SUBSTITUTE(SUBSTITUTE(MID(UPPER(TRIM($DX644)),1+OR(LEFT(UPPER(TRIM($DX644)),1)="+",LEFT(UPPER(TRIM($DX644)),1)="-"),999),"E+","E"),"E-","E"))=LEN(SUBSTITUTE(SUBSTITUTE(SUBSTITUTE(SUBSTITUTE(MID(UPPER(TRIM($DX644)),1+OR(LEFT(UPPER(TRIM($DX644)),1)="+",LEFT(UPPER(TRIM($DX644)),1)="-"),999),"E+","E"),"E-","E"),"+",""),"-","")),LEN(UPPER(TRIM($DX644)))-LEN(SUBSTITUTE(UPPER(TRIM($DX644)),"E",""))&lt;2,LEN(UPPER(TRIM($DX644)))-LEN(SUBSTITUTE(UPPER(TRIM($DX644)),".",""))&lt;2,IFERROR(FIND(".",UPPER(TRIM($DX644))),0)&lt;IFERROR(FIND("E",UPPER(TRIM($DX644))),999)),ISNUMBER(VALUE(TRIM($DX644)))),VALUE(TRIM($DX644)),"")))),""))</f>
        <v/>
      </c>
      <c r="DZ644">
        <f>IF($DM644=0,"",IF($L$17=0,"",IFERROR(IF(ISNUMBER(INDEX(PASTE_ALL,$DF644,$L$17)),INDEX(PASTE_ALL,$DF644,$L$17),SUBSTITUTE(SUBSTITUTE(TRIM(SUBSTITUTE(SUBSTITUTE(SUBSTITUTE(SUBSTITUTE(INDEX(PASTE_ALL,$DF644,$L$17)," "," "),CHAR(9)," "),CHAR(10)," "),CHAR(13)," ")),",",""),"%","")),"")))</f>
        <v/>
      </c>
      <c r="EA644">
        <f>IF($DM644=0,"",IFERROR(IF(ISNUMBER($DZ644),$DZ644,IF($DZ644="","",IF(TRIM($DZ644)="",0,IF(AND(AND(SUBSTITUTE(SUBSTITUTE(SUBSTITUTE(SUBSTITUTE(SUBSTITUTE(SUBSTITUTE(SUBSTITUTE(SUBSTITUTE(SUBSTITUTE(SUBSTITUTE(SUBSTITUTE(SUBSTITUTE(SUBSTITUTE(SUBSTITUTE(UPPER(TRIM($DZ644)),"0",""),"1",""),"2",""),"3",""),"4",""),"5",""),"6",""),"7",""),"8",""),"9",""),".",""),"+",""),"-",""),"E","")="",LEN(SUBSTITUTE(SUBSTITUTE(MID(UPPER(TRIM($DZ644)),1+OR(LEFT(UPPER(TRIM($DZ644)),1)="+",LEFT(UPPER(TRIM($DZ644)),1)="-"),999),"E+","E"),"E-","E"))=LEN(SUBSTITUTE(SUBSTITUTE(SUBSTITUTE(SUBSTITUTE(MID(UPPER(TRIM($DZ644)),1+OR(LEFT(UPPER(TRIM($DZ644)),1)="+",LEFT(UPPER(TRIM($DZ644)),1)="-"),999),"E+","E"),"E-","E"),"+",""),"-","")),LEN(UPPER(TRIM($DZ644)))-LEN(SUBSTITUTE(UPPER(TRIM($DZ644)),"E",""))&lt;2,LEN(UPPER(TRIM($DZ644)))-LEN(SUBSTITUTE(UPPER(TRIM($DZ644)),".",""))&lt;2,IFERROR(FIND(".",UPPER(TRIM($DZ644))),0)&lt;IFERROR(FIND("E",UPPER(TRIM($DZ644))),999)),ISNUMBER(VALUE(TRIM($DZ644)))),VALUE(TRIM($DZ644)),"")))),""))</f>
        <v/>
      </c>
      <c r="EB644">
        <f>IF($DM644=0,"",IF($L$18=0,"",IFERROR(IF(UPPER(TRIM(SUBSTITUTE(SUBSTITUTE(SUBSTITUTE(SUBSTITUTE(INDEX(PASTE_ALL,$DF644,$L$18)," "," "),CHAR(9)," "),CHAR(10)," "),CHAR(13)," ")))="READY","Ready",IF(UPPER(TRIM(SUBSTITUTE(SUBSTITUTE(SUBSTITUTE(SUBSTITUTE(INDEX(PASTE_ALL,$DF644,$L$18)," "," "),CHAR(9)," "),CHAR(10)," "),CHAR(13)," ")))="PM","PM",IF(OR(UPPER(TRIM(SUBSTITUTE(SUBSTITUTE(SUBSTITUTE(SUBSTITUTE(INDEX(PASTE_ALL,$DF644,$L$18)," "," "),CHAR(9)," "),CHAR(10)," "),CHAR(13)," ")))="OT",UPPER(TRIM(SUBSTITUTE(SUBSTITUTE(SUBSTITUTE(SUBSTITUTE(INDEX(PASTE_ALL,$DF644,$L$18)," "," "),CHAR(9)," "),CHAR(10)," "),CHAR(13)," ")))="OVERTIME",UPPER(TRIM(SUBSTITUTE(SUBSTITUTE(SUBSTITUTE(SUBSTITUTE(INDEX(PASTE_ALL,$DF644,$L$18)," "," "),CHAR(9)," "),CHAR(10)," "),CHAR(13)," ")))="TRIAL"),"OT",TRIM(SUBSTITUTE(SUBSTITUTE(SUBSTITUTE(SUBSTITUTE(INDEX(PASTE_ALL,$DF644,$L$18)," "," "),CHAR(9)," "),CHAR(10)," "),CHAR(13)," "))))),"")))</f>
        <v/>
      </c>
      <c r="EC644">
        <f>IF($DM644=0,"",IF($L$19=0,"",IFERROR(IF(ISNUMBER(INDEX(PASTE_ALL,$DF644,$L$19)),INDEX(PASTE_ALL,$DF644,$L$19),TRIM(SUBSTITUTE(SUBSTITUTE(SUBSTITUTE(SUBSTITUTE(INDEX(PASTE_ALL,$DF644,$L$19)," "," "),CHAR(9)," "),CHAR(10)," "),CHAR(13)," "))),"")))</f>
        <v/>
      </c>
      <c r="ED644">
        <f>IF($DM644=0,"",MATCH(1,INDEX(EXACT($DH$5:DH644,$DH644)*$DM$5:DM644,0),0))</f>
        <v/>
      </c>
      <c r="EE644">
        <f>IF($DM644=0,0,IF($ED644=$DE644,1,0))</f>
        <v/>
      </c>
      <c r="EF644">
        <f>EF643+$EE644</f>
        <v/>
      </c>
      <c r="EG644">
        <f>IF($DM644=0,"",INDEX($EF$5:$EF$1003,$ED644))</f>
        <v/>
      </c>
      <c r="EH644">
        <f>IF($DM644=0,"",IF($DO644&lt;&gt;"","",IFERROR(LOOKUP(2,1/(($EG$4:EG643=$EG644)*($DO$4:DO643&lt;&gt;"")),$DO$4:DO643),"")))</f>
        <v/>
      </c>
      <c r="EI644">
        <f>IF($DM644=0,"",IF($DO644&lt;&gt;"",$DO644,$EH644))</f>
        <v/>
      </c>
      <c r="EJ644">
        <f>IF($DM644=0,"",IF($EI644="",0,IF(OR(ISNUMBER($EI644),AND(AND(SUBSTITUTE(SUBSTITUTE(SUBSTITUTE(SUBSTITUTE(SUBSTITUTE(SUBSTITUTE(SUBSTITUTE(SUBSTITUTE(SUBSTITUTE(SUBSTITUTE(SUBSTITUTE(SUBSTITUTE(SUBSTITUTE(SUBSTITUTE(UPPER($EI644),"0",""),"1",""),"2",""),"3",""),"4",""),"5",""),"6",""),"7",""),"8",""),"9",""),".",""),"+",""),"-",""),"E","")="",LEN(SUBSTITUTE(SUBSTITUTE(MID(UPPER($EI644),1+OR(LEFT(UPPER($EI644),1)="+",LEFT(UPPER($EI644),1)="-"),999),"E+","E"),"E-","E"))=LEN(SUBSTITUTE(SUBSTITUTE(SUBSTITUTE(SUBSTITUTE(MID(UPPER($EI644),1+OR(LEFT(UPPER($EI644),1)="+",LEFT(UPPER($EI644),1)="-"),999),"E+","E"),"E-","E"),"+",""),"-","")),LEN(UPPER($EI644))-LEN(SUBSTITUTE(UPPER($EI644),"E",""))&lt;2,LEN(UPPER($EI644))-LEN(SUBSTITUTE(UPPER($EI644),".",""))&lt;2,IFERROR(FIND(".",UPPER($EI644)),0)&lt;IFERROR(FIND("E",UPPER($EI644)),999)),ISNUMBER(VALUE($EI644)))),1,2)))</f>
        <v/>
      </c>
      <c r="EK644">
        <f>IF($DM644=0,"",IF($EJ644=1,IF(ISNUMBER($EI644),$EI644,VALUE($EI644)),IF($EJ644=2,$DE644,0)))</f>
        <v/>
      </c>
      <c r="EL644">
        <f>IF($DM644=0,"",COUNTIF($EG$5:$EG$1003,"&lt;"&amp;$EG644)+SUMPRODUCT(($EG$5:$EG$1003=$EG644)*(($EJ$5:$EJ$1003&lt;$EJ644)+($EJ$5:$EJ$1003=$EJ644)*(($EK$5:$EK$1003&lt;$EK644)+($EK$5:$EK$1003=$EK644)*($DE$5:$DE$1003&lt;$DE644))))+1)</f>
        <v/>
      </c>
      <c r="EM644">
        <f>IF($DM644=0,"",$EL644+$EG644-1)</f>
        <v/>
      </c>
      <c r="EN644">
        <f>IF($DM644=0,0,IFERROR(MATCH(1,INDEX(--(TRIM(SUBSTITUTE(SUBSTITUTE(SUBSTITUTE(SUBSTITUTE(LINES_NAME&amp;""," "," "),CHAR(9)," "),CHAR(10)," "),CHAR(13)," "))=$DH644),0),0),0))</f>
        <v/>
      </c>
      <c r="EO644">
        <f>IF($EN644=0,0,IF(OR(UPPER(TRIM(INDEX(LINES_SCHEDULED,$EN644)&amp;""))="YES",UPPER(TRIM(INDEX(LINES_SCHEDULED,$EN644)&amp;""))="Y",UPPER(TRIM(INDEX(LINES_SCHEDULED,$EN644)&amp;""))="X"),1,0))</f>
        <v/>
      </c>
      <c r="EP644">
        <f>IF($DM644=0,"",IF(COUNTIFS($EG$5:$EG$1003,$EG644,$EB$5:$EB$1003,"Ready")&gt;0,"READY",IF(COUNTIFS($EG$5:$EG$1003,$EG644,$EB$5:$EB$1003,"PM")&gt;0,"PM",IF(COUNTIFS($EG$5:$EG$1003,$EG644,$EB$5:$EB$1003,"OT")&gt;0,"OT",""))))</f>
        <v/>
      </c>
      <c r="EQ644">
        <f>IF($EN644=0,"",UPPER(TRIM(INDEX(LINES_STATUS,$EN644)&amp;"")))</f>
        <v/>
      </c>
      <c r="ER644">
        <f>IF($DM644=0,"",IF(OR($EQ644="READY",$EQ644="PM",$EQ644="OT"),$EQ644,$EP644))</f>
        <v/>
      </c>
      <c r="ES644">
        <f>IF($DM644=0,"",IF(AND($DV644&lt;&gt;"",UPPER($DV644)&lt;&gt;"N"),"allergen",IF(ISNUMBER(SEARCH("oil",$DQ644)),"oil",IF(OR(EXACT($DS644,"A662"),EXACT($DS644,"A624")),"bulk",""))))</f>
        <v/>
      </c>
      <c r="ET644">
        <f>IF($DM644=0,"",IF(OR($EA644="",$EA644=0),"",$EA644/100))</f>
        <v/>
      </c>
      <c r="EU644">
        <f>IF(OR($ET644="",$DY644=""),"",INT($DY644*(1-$ET644)+0.5))</f>
        <v/>
      </c>
      <c r="EW644" t="n">
        <v>640</v>
      </c>
      <c r="EX644">
        <f>IFERROR(MATCH($EW644,$EM$5:$EM$1003,0),0)</f>
        <v/>
      </c>
      <c r="EY644">
        <f>IF($EW644&gt;$B$12,"",IF($EX644&gt;0,"row","spacer"))</f>
        <v/>
      </c>
      <c r="EZ644">
        <f>IF(AND($EY644="row",$EY643&lt;&gt;"row"),1,0)</f>
        <v/>
      </c>
      <c r="FA644">
        <f>IF(AND($EY644="row",$EY645&lt;&gt;"row"),1,0)</f>
        <v/>
      </c>
      <c r="FB644">
        <f>IF($EZ644=1,IFERROR(IF(ISNUMBER(INDEX(PASTE_ALL,INDEX($DF$5:$DF$1003,$EX644),$B$37)),INDEX(PASTE_ALL,INDEX($DF$5:$DF$1003,$EX644),$B$37),INDEX($DH$5:$DH$1003,$EX644)),INDEX($DH$5:$DH$1003,$EX644)),"")</f>
        <v/>
      </c>
      <c r="FC644">
        <f>IF($EY644="row",INDEX($ER$5:$ER$1003,$EX644),"")</f>
        <v/>
      </c>
      <c r="FD644">
        <f>IF($EY644="row",INDEX($DN$5:$DN$1003,$EX644),"")</f>
        <v/>
      </c>
      <c r="FE644">
        <f>IF($EY644="row",INDEX($DO$5:$DO$1003,$EX644),"")</f>
        <v/>
      </c>
      <c r="FF644">
        <f>IF($EY644="row",INDEX($DP$5:$DP$1003,$EX644),"")</f>
        <v/>
      </c>
      <c r="FG644">
        <f>IF($EY644="row",INDEX($DQ$5:$DQ$1003,$EX644),"")</f>
        <v/>
      </c>
      <c r="FH644">
        <f>IF($EY644="row",INDEX($DR$5:$DR$1003,$EX644),"")</f>
        <v/>
      </c>
      <c r="FI644">
        <f>IF($EY644="row",INDEX($DS$5:$DS$1003,$EX644),"")</f>
        <v/>
      </c>
      <c r="FJ644">
        <f>IF($EY644="row",INDEX($DT$5:$DT$1003,$EX644),"")</f>
        <v/>
      </c>
      <c r="FK644">
        <f>IF($EY644="row",INDEX($DU$5:$DU$1003,$EX644),"")</f>
        <v/>
      </c>
      <c r="FL644">
        <f>IF($EY644="row",INDEX($DV$5:$DV$1003,$EX644),"")</f>
        <v/>
      </c>
      <c r="FM644">
        <f>IF($EY644="row",INDEX($DW$5:$DW$1003,$EX644),"")</f>
        <v/>
      </c>
      <c r="FN644">
        <f>IF($EY644="row",INDEX($DY$5:$DY$1003,$EX644),"")</f>
        <v/>
      </c>
      <c r="FO644">
        <f>IF($EY644="row",INDEX($EA$5:$EA$1003,$EX644),"")</f>
        <v/>
      </c>
      <c r="FP644">
        <f>IF($EY644="row",INDEX($EC$5:$EC$1003,$EX644),"")</f>
        <v/>
      </c>
      <c r="FQ644">
        <f>IF($EY644="row",INDEX($ET$5:$ET$1003,$EX644),"")</f>
        <v/>
      </c>
      <c r="FR644">
        <f>IF($EY644="row",INDEX($EU$5:$EU$1003,$EX644),"")</f>
        <v/>
      </c>
      <c r="FS644">
        <f>IF(AND($EY644="row",$EY643="row"),IF(OR(INDEX($DT$5:$DT$1003,$EX643)="",INDEX($DT$5:$DT$1003,$EX644)=""),"",IF(NOT(EXACT(INDEX($DT$5:$DT$1003,$EX643),INDEX($DT$5:$DT$1003,$EX644))),"S4",IF(NOT(EXACT(INDEX($DS$5:$DS$1003,$EX643),INDEX($DS$5:$DS$1003,$EX644))),"S3",IF(NOT(EXACT(INDEX($DR$5:$DR$1003,$EX643),INDEX($DR$5:$DR$1003,$EX644))),"S1 Count Change","S1")))),"")</f>
        <v/>
      </c>
      <c r="FT644">
        <f>IF($EY644="row",INDEX($ES$5:$ES$1003,$EX644),"")</f>
        <v/>
      </c>
      <c r="FU644">
        <f>IF($EY644="row",INDEX($EO$5:$EO$1003,$EX644),0)</f>
        <v/>
      </c>
      <c r="FV644">
        <f>IF($FS644="S1 Count Change",1,0)</f>
        <v/>
      </c>
    </row>
    <row r="645">
      <c r="DA645" t="n">
        <v>641</v>
      </c>
      <c r="DB645">
        <f>IF($B$37=0,"",IFERROR(TRIM(SUBSTITUTE(SUBSTITUTE(SUBSTITUTE(SUBSTITUTE(INDEX(PASTE_ALL,641,$B$37)," "," "),CHAR(9)," "),CHAR(10)," "),CHAR(13)," ")),""))</f>
        <v/>
      </c>
      <c r="DC645">
        <f>IF(AND(641&gt;HEADER_ROW,UPPER(DB645)="LEGEND"),1,0)</f>
        <v/>
      </c>
      <c r="DE645" t="n">
        <v>641</v>
      </c>
      <c r="DF645">
        <f>HEADER_ROW+$DE645</f>
        <v/>
      </c>
      <c r="DG645">
        <f>IF(AND($DF645&lt;=1000,$DF645&lt;$B$8),1,0)</f>
        <v/>
      </c>
      <c r="DH645">
        <f>IF($DG645=1,IFERROR(INDEX($DB$5:$DB$1004,$DF645),""),"")</f>
        <v/>
      </c>
      <c r="DI645">
        <f>IF(AND($DG645=1,$DH645&lt;&gt;""),IFERROR(SUBSTITUTE(SUBSTITUTE(TRIM(SUBSTITUTE(SUBSTITUTE(SUBSTITUTE(SUBSTITUTE(IFERROR(INDEX(PASTE_ALL,$DF645,1)&amp;"","")&amp;"␟"&amp;IFERROR(INDEX(PASTE_ALL,$DF645,2)&amp;"","")&amp;"␟"&amp;IFERROR(INDEX(PASTE_ALL,$DF645,3)&amp;"","")&amp;"␟"&amp;IFERROR(INDEX(PASTE_ALL,$DF645,4)&amp;"","")&amp;"␟"&amp;IFERROR(INDEX(PASTE_ALL,$DF645,5)&amp;"","")&amp;"␟"&amp;IFERROR(INDEX(PASTE_ALL,$DF645,6)&amp;"","")&amp;"␟"&amp;IFERROR(INDEX(PASTE_ALL,$DF645,7)&amp;"","")&amp;"␟"&amp;IFERROR(INDEX(PASTE_ALL,$DF645,8)&amp;"","")&amp;"␟"&amp;IFERROR(INDEX(PASTE_ALL,$DF645,9)&amp;"","")&amp;"␟"&amp;IFERROR(INDEX(PASTE_ALL,$DF645,10)&amp;"","")&amp;"␟"&amp;IFERROR(INDEX(PASTE_ALL,$DF645,11)&amp;"","")&amp;"␟"&amp;IFERROR(INDEX(PASTE_ALL,$DF645,12)&amp;"","")&amp;"␟"&amp;IFERROR(INDEX(PASTE_ALL,$DF645,13)&amp;"","")&amp;"␟"&amp;IFERROR(INDEX(PASTE_ALL,$DF645,14)&amp;"","")&amp;"␟"&amp;IFERROR(INDEX(PASTE_ALL,$DF645,15)&amp;"","")&amp;"␟"&amp;IFERROR(INDEX(PASTE_ALL,$DF645,16)&amp;"","")&amp;"␟"&amp;IFERROR(INDEX(PASTE_ALL,$DF645,17)&amp;"","")&amp;"␟"&amp;IFERROR(INDEX(PASTE_ALL,$DF645,18)&amp;"","")&amp;"␟"&amp;IFERROR(INDEX(PASTE_ALL,$DF645,19)&amp;"","")&amp;"␟"&amp;IFERROR(INDEX(PASTE_ALL,$DF645,20)&amp;"","")&amp;"␟"&amp;IFERROR(INDEX(PASTE_ALL,$DF645,21)&amp;"","")&amp;"␟"&amp;IFERROR(INDEX(PASTE_ALL,$DF645,22)&amp;"","")&amp;"␟"&amp;IFERROR(INDEX(PASTE_ALL,$DF645,23)&amp;"","")&amp;"␟"&amp;IFERROR(INDEX(PASTE_ALL,$DF645,24)&amp;"","")&amp;"␟"&amp;IFERROR(INDEX(PASTE_ALL,$DF645,25)&amp;"","")&amp;"␟"&amp;IFERROR(INDEX(PASTE_ALL,$DF645,26)&amp;"","")&amp;"␟"&amp;IFERROR(INDEX(PASTE_ALL,$DF645,27)&amp;"","")&amp;"␟"&amp;IFERROR(INDEX(PASTE_ALL,$DF645,28)&amp;"","")&amp;"␟"&amp;IFERROR(INDEX(PASTE_ALL,$DF645,29)&amp;"","")&amp;"␟"&amp;IFERROR(INDEX(PASTE_ALL,$DF645,30)&amp;"","")&amp;"␟"&amp;IFERROR(INDEX(PASTE_ALL,$DF645,31)&amp;"","")&amp;"␟"&amp;IFERROR(INDEX(PASTE_ALL,$DF645,32)&amp;"","")&amp;"␟"&amp;IFERROR(INDEX(PASTE_ALL,$DF645,33)&amp;"","")&amp;"␟"&amp;IFERROR(INDEX(PASTE_ALL,$DF645,34)&amp;"","")&amp;"␟"&amp;IFERROR(INDEX(PASTE_ALL,$DF645,35)&amp;"","")&amp;"␟"&amp;IFERROR(INDEX(PASTE_ALL,$DF645,36)&amp;"","")&amp;"␟"&amp;IFERROR(INDEX(PASTE_ALL,$DF645,37)&amp;"","")&amp;"␟"&amp;IFERROR(INDEX(PASTE_ALL,$DF645,38)&amp;"","")&amp;"␟"&amp;IFERROR(INDEX(PASTE_ALL,$DF645,39)&amp;"","")&amp;"␟"&amp;IFERROR(INDEX(PASTE_ALL,$DF645,40)&amp;"","")&amp;"␟"&amp;IFERROR(INDEX(PASTE_ALL,$DF645,41)&amp;"","")&amp;"␟"&amp;IFERROR(INDEX(PASTE_ALL,$DF645,42)&amp;"","")&amp;"␟"&amp;IFERROR(INDEX(PASTE_ALL,$DF645,43)&amp;"","")&amp;"␟"&amp;IFERROR(INDEX(PASTE_ALL,$DF645,44)&amp;"","")&amp;"␟"&amp;IFERROR(INDEX(PASTE_ALL,$DF645,45)&amp;"","")&amp;"␟"&amp;IFERROR(INDEX(PASTE_ALL,$DF645,46)&amp;"","")&amp;"␟"&amp;IFERROR(INDEX(PASTE_ALL,$DF645,47)&amp;"","")&amp;"␟"&amp;IFERROR(INDEX(PASTE_ALL,$DF645,48)&amp;"","")&amp;"␟"&amp;IFERROR(INDEX(PASTE_ALL,$DF645,49)&amp;"","")&amp;"␟"&amp;IFERROR(INDEX(PASTE_ALL,$DF645,50)&amp;"","")&amp;"␟"&amp;IFERROR(INDEX(PASTE_ALL,$DF645,51)&amp;"","")&amp;"␟"&amp;IFERROR(INDEX(PASTE_ALL,$DF645,52)&amp;"","")&amp;"␟"&amp;IFERROR(INDEX(PASTE_ALL,$DF645,53)&amp;"","")&amp;"␟"&amp;IFERROR(INDEX(PASTE_ALL,$DF645,54)&amp;"","")&amp;"␟"&amp;IFERROR(INDEX(PASTE_ALL,$DF645,55)&amp;"","")&amp;"␟"&amp;IFERROR(INDEX(PASTE_ALL,$DF645,56)&amp;"","")&amp;"␟"&amp;IFERROR(INDEX(PASTE_ALL,$DF645,57)&amp;"","")&amp;"␟"&amp;IFERROR(INDEX(PASTE_ALL,$DF645,58)&amp;"","")&amp;"␟"&amp;IFERROR(INDEX(PASTE_ALL,$DF645,59)&amp;"","")&amp;"␟"&amp;IFERROR(INDEX(PASTE_ALL,$DF645,60)&amp;"","")," "," "),CHAR(9)," "),CHAR(10)," "),CHAR(13)," "))," ␟","␟"),"␟ ","␟"),"#"&amp;$DE645),"")</f>
        <v/>
      </c>
      <c r="DJ645">
        <f>IF($DI645="",0,IF(SUMPRODUCT(--EXACT($DI$4:DI644,$DI645))&gt;0,1,0))</f>
        <v/>
      </c>
      <c r="DK645">
        <f>IF(AND($DI645&lt;&gt;"",$DJ645=0),1,0)</f>
        <v/>
      </c>
      <c r="DL645">
        <f>DL644+$DK645</f>
        <v/>
      </c>
      <c r="DM645">
        <f>IF(AND($DK645=1,$DL645&lt;=600),1,0)</f>
        <v/>
      </c>
      <c r="DN645">
        <f>IF($DM645=0,"",IF($L$6=0,"",IFERROR(IF(ISNUMBER(INDEX(PASTE_ALL,$DF645,$L$6)),INDEX(PASTE_ALL,$DF645,$L$6),TRIM(SUBSTITUTE(SUBSTITUTE(SUBSTITUTE(SUBSTITUTE(INDEX(PASTE_ALL,$DF645,$L$6)," "," "),CHAR(9)," "),CHAR(10)," "),CHAR(13)," "))),"")))</f>
        <v/>
      </c>
      <c r="DO645">
        <f>IF($DM645=0,"",IF($L$7=0,"",IFERROR(IF(ISNUMBER(INDEX(PASTE_ALL,$DF645,$L$7)),INDEX(PASTE_ALL,$DF645,$L$7),TRIM(SUBSTITUTE(SUBSTITUTE(SUBSTITUTE(SUBSTITUTE(INDEX(PASTE_ALL,$DF645,$L$7)," "," "),CHAR(9)," "),CHAR(10)," "),CHAR(13)," "))),"")))</f>
        <v/>
      </c>
      <c r="DP645">
        <f>IF($DM645=0,"",IF($L$8=0,"",IFERROR(IF(ISNUMBER(INDEX(PASTE_ALL,$DF645,$L$8)),INDEX(PASTE_ALL,$DF645,$L$8),TRIM(SUBSTITUTE(SUBSTITUTE(SUBSTITUTE(SUBSTITUTE(INDEX(PASTE_ALL,$DF645,$L$8)," "," "),CHAR(9)," "),CHAR(10)," "),CHAR(13)," "))),"")))</f>
        <v/>
      </c>
      <c r="DQ645">
        <f>IF($DM645=0,"",IF($L$9=0,"",IFERROR(IF(ISNUMBER(INDEX(PASTE_ALL,$DF645,$L$9)),INDEX(PASTE_ALL,$DF645,$L$9),TRIM(SUBSTITUTE(SUBSTITUTE(SUBSTITUTE(SUBSTITUTE(INDEX(PASTE_ALL,$DF645,$L$9)," "," "),CHAR(9)," "),CHAR(10)," "),CHAR(13)," "))),"")))</f>
        <v/>
      </c>
      <c r="DR645">
        <f>IF($DM645=0,"",IF($L$10=0,"",IFERROR(IF(ISNUMBER(INDEX(PASTE_ALL,$DF645,$L$10)),INDEX(PASTE_ALL,$DF645,$L$10),TRIM(SUBSTITUTE(SUBSTITUTE(SUBSTITUTE(SUBSTITUTE(INDEX(PASTE_ALL,$DF645,$L$10)," "," "),CHAR(9)," "),CHAR(10)," "),CHAR(13)," "))),"")))</f>
        <v/>
      </c>
      <c r="DS645">
        <f>IF($DM645=0,"",IF($L$11=0,"",IFERROR(IF(ISNUMBER(INDEX(PASTE_ALL,$DF645,$L$11)),INDEX(PASTE_ALL,$DF645,$L$11),TRIM(SUBSTITUTE(SUBSTITUTE(SUBSTITUTE(SUBSTITUTE(INDEX(PASTE_ALL,$DF645,$L$11)," "," "),CHAR(9)," "),CHAR(10)," "),CHAR(13)," "))),"")))</f>
        <v/>
      </c>
      <c r="DT645">
        <f>IF($DM645=0,"",IF($L$12=0,"",IFERROR(IF(ISNUMBER(INDEX(PASTE_ALL,$DF645,$L$12)),INDEX(PASTE_ALL,$DF645,$L$12),TRIM(SUBSTITUTE(SUBSTITUTE(SUBSTITUTE(SUBSTITUTE(INDEX(PASTE_ALL,$DF645,$L$12)," "," "),CHAR(9)," "),CHAR(10)," "),CHAR(13)," "))),"")))</f>
        <v/>
      </c>
      <c r="DU645">
        <f>IF($DM645=0,"",IF($L$13=0,"",IFERROR(IF(ISNUMBER(INDEX(PASTE_ALL,$DF645,$L$13)),INDEX(PASTE_ALL,$DF645,$L$13),TRIM(SUBSTITUTE(SUBSTITUTE(SUBSTITUTE(SUBSTITUTE(INDEX(PASTE_ALL,$DF645,$L$13)," "," "),CHAR(9)," "),CHAR(10)," "),CHAR(13)," "))),"")))</f>
        <v/>
      </c>
      <c r="DV645">
        <f>IF($DM645=0,"",IF($L$14=0,"",IFERROR(IF(ISNUMBER(INDEX(PASTE_ALL,$DF645,$L$14)),INDEX(PASTE_ALL,$DF645,$L$14),TRIM(SUBSTITUTE(SUBSTITUTE(SUBSTITUTE(SUBSTITUTE(INDEX(PASTE_ALL,$DF645,$L$14)," "," "),CHAR(9)," "),CHAR(10)," "),CHAR(13)," "))),"")))</f>
        <v/>
      </c>
      <c r="DW645">
        <f>IF($DM645=0,"",IF($L$15=0,"",IFERROR(IF(ISNUMBER(INDEX(PASTE_ALL,$DF645,$L$15)),INDEX(PASTE_ALL,$DF645,$L$15),IF(SUMPRODUCT(--ISNUMBER(FIND({"A","B","C","D","E","F","G","H","I","J","K","L","M","N","O","P","Q","R","S","T","U","V","W","X","Y","Z","0","1","2","3","4","5","6","7","8","9"},UPPER(TRIM(SUBSTITUTE(SUBSTITUTE(SUBSTITUTE(SUBSTITUTE(INDEX(PASTE_ALL,$DF645,$L$15)," "," "),CHAR(9)," "),CHAR(10)," "),CHAR(13)," "))))))&gt;0,TRIM(SUBSTITUTE(SUBSTITUTE(SUBSTITUTE(SUBSTITUTE(INDEX(PASTE_ALL,$DF645,$L$15)," "," "),CHAR(9)," "),CHAR(10)," "),CHAR(13)," ")),"")),"")))</f>
        <v/>
      </c>
      <c r="DX645">
        <f>IF($DM645=0,"",IF($L$16=0,"",IFERROR(IF(ISNUMBER(INDEX(PASTE_ALL,$DF645,$L$16)),INDEX(PASTE_ALL,$DF645,$L$16),SUBSTITUTE(SUBSTITUTE(TRIM(SUBSTITUTE(SUBSTITUTE(SUBSTITUTE(SUBSTITUTE(INDEX(PASTE_ALL,$DF645,$L$16)," "," "),CHAR(9)," "),CHAR(10)," "),CHAR(13)," ")),",",""),"%","")),"")))</f>
        <v/>
      </c>
      <c r="DY645">
        <f>IF($DM645=0,"",IFERROR(IF(ISNUMBER($DX645),$DX645,IF($DX645="","",IF(TRIM($DX645)="",0,IF(AND(AND(SUBSTITUTE(SUBSTITUTE(SUBSTITUTE(SUBSTITUTE(SUBSTITUTE(SUBSTITUTE(SUBSTITUTE(SUBSTITUTE(SUBSTITUTE(SUBSTITUTE(SUBSTITUTE(SUBSTITUTE(SUBSTITUTE(SUBSTITUTE(UPPER(TRIM($DX645)),"0",""),"1",""),"2",""),"3",""),"4",""),"5",""),"6",""),"7",""),"8",""),"9",""),".",""),"+",""),"-",""),"E","")="",LEN(SUBSTITUTE(SUBSTITUTE(MID(UPPER(TRIM($DX645)),1+OR(LEFT(UPPER(TRIM($DX645)),1)="+",LEFT(UPPER(TRIM($DX645)),1)="-"),999),"E+","E"),"E-","E"))=LEN(SUBSTITUTE(SUBSTITUTE(SUBSTITUTE(SUBSTITUTE(MID(UPPER(TRIM($DX645)),1+OR(LEFT(UPPER(TRIM($DX645)),1)="+",LEFT(UPPER(TRIM($DX645)),1)="-"),999),"E+","E"),"E-","E"),"+",""),"-","")),LEN(UPPER(TRIM($DX645)))-LEN(SUBSTITUTE(UPPER(TRIM($DX645)),"E",""))&lt;2,LEN(UPPER(TRIM($DX645)))-LEN(SUBSTITUTE(UPPER(TRIM($DX645)),".",""))&lt;2,IFERROR(FIND(".",UPPER(TRIM($DX645))),0)&lt;IFERROR(FIND("E",UPPER(TRIM($DX645))),999)),ISNUMBER(VALUE(TRIM($DX645)))),VALUE(TRIM($DX645)),"")))),""))</f>
        <v/>
      </c>
      <c r="DZ645">
        <f>IF($DM645=0,"",IF($L$17=0,"",IFERROR(IF(ISNUMBER(INDEX(PASTE_ALL,$DF645,$L$17)),INDEX(PASTE_ALL,$DF645,$L$17),SUBSTITUTE(SUBSTITUTE(TRIM(SUBSTITUTE(SUBSTITUTE(SUBSTITUTE(SUBSTITUTE(INDEX(PASTE_ALL,$DF645,$L$17)," "," "),CHAR(9)," "),CHAR(10)," "),CHAR(13)," ")),",",""),"%","")),"")))</f>
        <v/>
      </c>
      <c r="EA645">
        <f>IF($DM645=0,"",IFERROR(IF(ISNUMBER($DZ645),$DZ645,IF($DZ645="","",IF(TRIM($DZ645)="",0,IF(AND(AND(SUBSTITUTE(SUBSTITUTE(SUBSTITUTE(SUBSTITUTE(SUBSTITUTE(SUBSTITUTE(SUBSTITUTE(SUBSTITUTE(SUBSTITUTE(SUBSTITUTE(SUBSTITUTE(SUBSTITUTE(SUBSTITUTE(SUBSTITUTE(UPPER(TRIM($DZ645)),"0",""),"1",""),"2",""),"3",""),"4",""),"5",""),"6",""),"7",""),"8",""),"9",""),".",""),"+",""),"-",""),"E","")="",LEN(SUBSTITUTE(SUBSTITUTE(MID(UPPER(TRIM($DZ645)),1+OR(LEFT(UPPER(TRIM($DZ645)),1)="+",LEFT(UPPER(TRIM($DZ645)),1)="-"),999),"E+","E"),"E-","E"))=LEN(SUBSTITUTE(SUBSTITUTE(SUBSTITUTE(SUBSTITUTE(MID(UPPER(TRIM($DZ645)),1+OR(LEFT(UPPER(TRIM($DZ645)),1)="+",LEFT(UPPER(TRIM($DZ645)),1)="-"),999),"E+","E"),"E-","E"),"+",""),"-","")),LEN(UPPER(TRIM($DZ645)))-LEN(SUBSTITUTE(UPPER(TRIM($DZ645)),"E",""))&lt;2,LEN(UPPER(TRIM($DZ645)))-LEN(SUBSTITUTE(UPPER(TRIM($DZ645)),".",""))&lt;2,IFERROR(FIND(".",UPPER(TRIM($DZ645))),0)&lt;IFERROR(FIND("E",UPPER(TRIM($DZ645))),999)),ISNUMBER(VALUE(TRIM($DZ645)))),VALUE(TRIM($DZ645)),"")))),""))</f>
        <v/>
      </c>
      <c r="EB645">
        <f>IF($DM645=0,"",IF($L$18=0,"",IFERROR(IF(UPPER(TRIM(SUBSTITUTE(SUBSTITUTE(SUBSTITUTE(SUBSTITUTE(INDEX(PASTE_ALL,$DF645,$L$18)," "," "),CHAR(9)," "),CHAR(10)," "),CHAR(13)," ")))="READY","Ready",IF(UPPER(TRIM(SUBSTITUTE(SUBSTITUTE(SUBSTITUTE(SUBSTITUTE(INDEX(PASTE_ALL,$DF645,$L$18)," "," "),CHAR(9)," "),CHAR(10)," "),CHAR(13)," ")))="PM","PM",IF(OR(UPPER(TRIM(SUBSTITUTE(SUBSTITUTE(SUBSTITUTE(SUBSTITUTE(INDEX(PASTE_ALL,$DF645,$L$18)," "," "),CHAR(9)," "),CHAR(10)," "),CHAR(13)," ")))="OT",UPPER(TRIM(SUBSTITUTE(SUBSTITUTE(SUBSTITUTE(SUBSTITUTE(INDEX(PASTE_ALL,$DF645,$L$18)," "," "),CHAR(9)," "),CHAR(10)," "),CHAR(13)," ")))="OVERTIME",UPPER(TRIM(SUBSTITUTE(SUBSTITUTE(SUBSTITUTE(SUBSTITUTE(INDEX(PASTE_ALL,$DF645,$L$18)," "," "),CHAR(9)," "),CHAR(10)," "),CHAR(13)," ")))="TRIAL"),"OT",TRIM(SUBSTITUTE(SUBSTITUTE(SUBSTITUTE(SUBSTITUTE(INDEX(PASTE_ALL,$DF645,$L$18)," "," "),CHAR(9)," "),CHAR(10)," "),CHAR(13)," "))))),"")))</f>
        <v/>
      </c>
      <c r="EC645">
        <f>IF($DM645=0,"",IF($L$19=0,"",IFERROR(IF(ISNUMBER(INDEX(PASTE_ALL,$DF645,$L$19)),INDEX(PASTE_ALL,$DF645,$L$19),TRIM(SUBSTITUTE(SUBSTITUTE(SUBSTITUTE(SUBSTITUTE(INDEX(PASTE_ALL,$DF645,$L$19)," "," "),CHAR(9)," "),CHAR(10)," "),CHAR(13)," "))),"")))</f>
        <v/>
      </c>
      <c r="ED645">
        <f>IF($DM645=0,"",MATCH(1,INDEX(EXACT($DH$5:DH645,$DH645)*$DM$5:DM645,0),0))</f>
        <v/>
      </c>
      <c r="EE645">
        <f>IF($DM645=0,0,IF($ED645=$DE645,1,0))</f>
        <v/>
      </c>
      <c r="EF645">
        <f>EF644+$EE645</f>
        <v/>
      </c>
      <c r="EG645">
        <f>IF($DM645=0,"",INDEX($EF$5:$EF$1003,$ED645))</f>
        <v/>
      </c>
      <c r="EH645">
        <f>IF($DM645=0,"",IF($DO645&lt;&gt;"","",IFERROR(LOOKUP(2,1/(($EG$4:EG644=$EG645)*($DO$4:DO644&lt;&gt;"")),$DO$4:DO644),"")))</f>
        <v/>
      </c>
      <c r="EI645">
        <f>IF($DM645=0,"",IF($DO645&lt;&gt;"",$DO645,$EH645))</f>
        <v/>
      </c>
      <c r="EJ645">
        <f>IF($DM645=0,"",IF($EI645="",0,IF(OR(ISNUMBER($EI645),AND(AND(SUBSTITUTE(SUBSTITUTE(SUBSTITUTE(SUBSTITUTE(SUBSTITUTE(SUBSTITUTE(SUBSTITUTE(SUBSTITUTE(SUBSTITUTE(SUBSTITUTE(SUBSTITUTE(SUBSTITUTE(SUBSTITUTE(SUBSTITUTE(UPPER($EI645),"0",""),"1",""),"2",""),"3",""),"4",""),"5",""),"6",""),"7",""),"8",""),"9",""),".",""),"+",""),"-",""),"E","")="",LEN(SUBSTITUTE(SUBSTITUTE(MID(UPPER($EI645),1+OR(LEFT(UPPER($EI645),1)="+",LEFT(UPPER($EI645),1)="-"),999),"E+","E"),"E-","E"))=LEN(SUBSTITUTE(SUBSTITUTE(SUBSTITUTE(SUBSTITUTE(MID(UPPER($EI645),1+OR(LEFT(UPPER($EI645),1)="+",LEFT(UPPER($EI645),1)="-"),999),"E+","E"),"E-","E"),"+",""),"-","")),LEN(UPPER($EI645))-LEN(SUBSTITUTE(UPPER($EI645),"E",""))&lt;2,LEN(UPPER($EI645))-LEN(SUBSTITUTE(UPPER($EI645),".",""))&lt;2,IFERROR(FIND(".",UPPER($EI645)),0)&lt;IFERROR(FIND("E",UPPER($EI645)),999)),ISNUMBER(VALUE($EI645)))),1,2)))</f>
        <v/>
      </c>
      <c r="EK645">
        <f>IF($DM645=0,"",IF($EJ645=1,IF(ISNUMBER($EI645),$EI645,VALUE($EI645)),IF($EJ645=2,$DE645,0)))</f>
        <v/>
      </c>
      <c r="EL645">
        <f>IF($DM645=0,"",COUNTIF($EG$5:$EG$1003,"&lt;"&amp;$EG645)+SUMPRODUCT(($EG$5:$EG$1003=$EG645)*(($EJ$5:$EJ$1003&lt;$EJ645)+($EJ$5:$EJ$1003=$EJ645)*(($EK$5:$EK$1003&lt;$EK645)+($EK$5:$EK$1003=$EK645)*($DE$5:$DE$1003&lt;$DE645))))+1)</f>
        <v/>
      </c>
      <c r="EM645">
        <f>IF($DM645=0,"",$EL645+$EG645-1)</f>
        <v/>
      </c>
      <c r="EN645">
        <f>IF($DM645=0,0,IFERROR(MATCH(1,INDEX(--(TRIM(SUBSTITUTE(SUBSTITUTE(SUBSTITUTE(SUBSTITUTE(LINES_NAME&amp;""," "," "),CHAR(9)," "),CHAR(10)," "),CHAR(13)," "))=$DH645),0),0),0))</f>
        <v/>
      </c>
      <c r="EO645">
        <f>IF($EN645=0,0,IF(OR(UPPER(TRIM(INDEX(LINES_SCHEDULED,$EN645)&amp;""))="YES",UPPER(TRIM(INDEX(LINES_SCHEDULED,$EN645)&amp;""))="Y",UPPER(TRIM(INDEX(LINES_SCHEDULED,$EN645)&amp;""))="X"),1,0))</f>
        <v/>
      </c>
      <c r="EP645">
        <f>IF($DM645=0,"",IF(COUNTIFS($EG$5:$EG$1003,$EG645,$EB$5:$EB$1003,"Ready")&gt;0,"READY",IF(COUNTIFS($EG$5:$EG$1003,$EG645,$EB$5:$EB$1003,"PM")&gt;0,"PM",IF(COUNTIFS($EG$5:$EG$1003,$EG645,$EB$5:$EB$1003,"OT")&gt;0,"OT",""))))</f>
        <v/>
      </c>
      <c r="EQ645">
        <f>IF($EN645=0,"",UPPER(TRIM(INDEX(LINES_STATUS,$EN645)&amp;"")))</f>
        <v/>
      </c>
      <c r="ER645">
        <f>IF($DM645=0,"",IF(OR($EQ645="READY",$EQ645="PM",$EQ645="OT"),$EQ645,$EP645))</f>
        <v/>
      </c>
      <c r="ES645">
        <f>IF($DM645=0,"",IF(AND($DV645&lt;&gt;"",UPPER($DV645)&lt;&gt;"N"),"allergen",IF(ISNUMBER(SEARCH("oil",$DQ645)),"oil",IF(OR(EXACT($DS645,"A662"),EXACT($DS645,"A624")),"bulk",""))))</f>
        <v/>
      </c>
      <c r="ET645">
        <f>IF($DM645=0,"",IF(OR($EA645="",$EA645=0),"",$EA645/100))</f>
        <v/>
      </c>
      <c r="EU645">
        <f>IF(OR($ET645="",$DY645=""),"",INT($DY645*(1-$ET645)+0.5))</f>
        <v/>
      </c>
      <c r="EW645" t="n">
        <v>641</v>
      </c>
      <c r="EX645">
        <f>IFERROR(MATCH($EW645,$EM$5:$EM$1003,0),0)</f>
        <v/>
      </c>
      <c r="EY645">
        <f>IF($EW645&gt;$B$12,"",IF($EX645&gt;0,"row","spacer"))</f>
        <v/>
      </c>
      <c r="EZ645">
        <f>IF(AND($EY645="row",$EY644&lt;&gt;"row"),1,0)</f>
        <v/>
      </c>
      <c r="FA645">
        <f>IF(AND($EY645="row",$EY646&lt;&gt;"row"),1,0)</f>
        <v/>
      </c>
      <c r="FB645">
        <f>IF($EZ645=1,IFERROR(IF(ISNUMBER(INDEX(PASTE_ALL,INDEX($DF$5:$DF$1003,$EX645),$B$37)),INDEX(PASTE_ALL,INDEX($DF$5:$DF$1003,$EX645),$B$37),INDEX($DH$5:$DH$1003,$EX645)),INDEX($DH$5:$DH$1003,$EX645)),"")</f>
        <v/>
      </c>
      <c r="FC645">
        <f>IF($EY645="row",INDEX($ER$5:$ER$1003,$EX645),"")</f>
        <v/>
      </c>
      <c r="FD645">
        <f>IF($EY645="row",INDEX($DN$5:$DN$1003,$EX645),"")</f>
        <v/>
      </c>
      <c r="FE645">
        <f>IF($EY645="row",INDEX($DO$5:$DO$1003,$EX645),"")</f>
        <v/>
      </c>
      <c r="FF645">
        <f>IF($EY645="row",INDEX($DP$5:$DP$1003,$EX645),"")</f>
        <v/>
      </c>
      <c r="FG645">
        <f>IF($EY645="row",INDEX($DQ$5:$DQ$1003,$EX645),"")</f>
        <v/>
      </c>
      <c r="FH645">
        <f>IF($EY645="row",INDEX($DR$5:$DR$1003,$EX645),"")</f>
        <v/>
      </c>
      <c r="FI645">
        <f>IF($EY645="row",INDEX($DS$5:$DS$1003,$EX645),"")</f>
        <v/>
      </c>
      <c r="FJ645">
        <f>IF($EY645="row",INDEX($DT$5:$DT$1003,$EX645),"")</f>
        <v/>
      </c>
      <c r="FK645">
        <f>IF($EY645="row",INDEX($DU$5:$DU$1003,$EX645),"")</f>
        <v/>
      </c>
      <c r="FL645">
        <f>IF($EY645="row",INDEX($DV$5:$DV$1003,$EX645),"")</f>
        <v/>
      </c>
      <c r="FM645">
        <f>IF($EY645="row",INDEX($DW$5:$DW$1003,$EX645),"")</f>
        <v/>
      </c>
      <c r="FN645">
        <f>IF($EY645="row",INDEX($DY$5:$DY$1003,$EX645),"")</f>
        <v/>
      </c>
      <c r="FO645">
        <f>IF($EY645="row",INDEX($EA$5:$EA$1003,$EX645),"")</f>
        <v/>
      </c>
      <c r="FP645">
        <f>IF($EY645="row",INDEX($EC$5:$EC$1003,$EX645),"")</f>
        <v/>
      </c>
      <c r="FQ645">
        <f>IF($EY645="row",INDEX($ET$5:$ET$1003,$EX645),"")</f>
        <v/>
      </c>
      <c r="FR645">
        <f>IF($EY645="row",INDEX($EU$5:$EU$1003,$EX645),"")</f>
        <v/>
      </c>
      <c r="FS645">
        <f>IF(AND($EY645="row",$EY644="row"),IF(OR(INDEX($DT$5:$DT$1003,$EX644)="",INDEX($DT$5:$DT$1003,$EX645)=""),"",IF(NOT(EXACT(INDEX($DT$5:$DT$1003,$EX644),INDEX($DT$5:$DT$1003,$EX645))),"S4",IF(NOT(EXACT(INDEX($DS$5:$DS$1003,$EX644),INDEX($DS$5:$DS$1003,$EX645))),"S3",IF(NOT(EXACT(INDEX($DR$5:$DR$1003,$EX644),INDEX($DR$5:$DR$1003,$EX645))),"S1 Count Change","S1")))),"")</f>
        <v/>
      </c>
      <c r="FT645">
        <f>IF($EY645="row",INDEX($ES$5:$ES$1003,$EX645),"")</f>
        <v/>
      </c>
      <c r="FU645">
        <f>IF($EY645="row",INDEX($EO$5:$EO$1003,$EX645),0)</f>
        <v/>
      </c>
      <c r="FV645">
        <f>IF($FS645="S1 Count Change",1,0)</f>
        <v/>
      </c>
    </row>
    <row r="646">
      <c r="DA646" t="n">
        <v>642</v>
      </c>
      <c r="DB646">
        <f>IF($B$37=0,"",IFERROR(TRIM(SUBSTITUTE(SUBSTITUTE(SUBSTITUTE(SUBSTITUTE(INDEX(PASTE_ALL,642,$B$37)," "," "),CHAR(9)," "),CHAR(10)," "),CHAR(13)," ")),""))</f>
        <v/>
      </c>
      <c r="DC646">
        <f>IF(AND(642&gt;HEADER_ROW,UPPER(DB646)="LEGEND"),1,0)</f>
        <v/>
      </c>
      <c r="DE646" t="n">
        <v>642</v>
      </c>
      <c r="DF646">
        <f>HEADER_ROW+$DE646</f>
        <v/>
      </c>
      <c r="DG646">
        <f>IF(AND($DF646&lt;=1000,$DF646&lt;$B$8),1,0)</f>
        <v/>
      </c>
      <c r="DH646">
        <f>IF($DG646=1,IFERROR(INDEX($DB$5:$DB$1004,$DF646),""),"")</f>
        <v/>
      </c>
      <c r="DI646">
        <f>IF(AND($DG646=1,$DH646&lt;&gt;""),IFERROR(SUBSTITUTE(SUBSTITUTE(TRIM(SUBSTITUTE(SUBSTITUTE(SUBSTITUTE(SUBSTITUTE(IFERROR(INDEX(PASTE_ALL,$DF646,1)&amp;"","")&amp;"␟"&amp;IFERROR(INDEX(PASTE_ALL,$DF646,2)&amp;"","")&amp;"␟"&amp;IFERROR(INDEX(PASTE_ALL,$DF646,3)&amp;"","")&amp;"␟"&amp;IFERROR(INDEX(PASTE_ALL,$DF646,4)&amp;"","")&amp;"␟"&amp;IFERROR(INDEX(PASTE_ALL,$DF646,5)&amp;"","")&amp;"␟"&amp;IFERROR(INDEX(PASTE_ALL,$DF646,6)&amp;"","")&amp;"␟"&amp;IFERROR(INDEX(PASTE_ALL,$DF646,7)&amp;"","")&amp;"␟"&amp;IFERROR(INDEX(PASTE_ALL,$DF646,8)&amp;"","")&amp;"␟"&amp;IFERROR(INDEX(PASTE_ALL,$DF646,9)&amp;"","")&amp;"␟"&amp;IFERROR(INDEX(PASTE_ALL,$DF646,10)&amp;"","")&amp;"␟"&amp;IFERROR(INDEX(PASTE_ALL,$DF646,11)&amp;"","")&amp;"␟"&amp;IFERROR(INDEX(PASTE_ALL,$DF646,12)&amp;"","")&amp;"␟"&amp;IFERROR(INDEX(PASTE_ALL,$DF646,13)&amp;"","")&amp;"␟"&amp;IFERROR(INDEX(PASTE_ALL,$DF646,14)&amp;"","")&amp;"␟"&amp;IFERROR(INDEX(PASTE_ALL,$DF646,15)&amp;"","")&amp;"␟"&amp;IFERROR(INDEX(PASTE_ALL,$DF646,16)&amp;"","")&amp;"␟"&amp;IFERROR(INDEX(PASTE_ALL,$DF646,17)&amp;"","")&amp;"␟"&amp;IFERROR(INDEX(PASTE_ALL,$DF646,18)&amp;"","")&amp;"␟"&amp;IFERROR(INDEX(PASTE_ALL,$DF646,19)&amp;"","")&amp;"␟"&amp;IFERROR(INDEX(PASTE_ALL,$DF646,20)&amp;"","")&amp;"␟"&amp;IFERROR(INDEX(PASTE_ALL,$DF646,21)&amp;"","")&amp;"␟"&amp;IFERROR(INDEX(PASTE_ALL,$DF646,22)&amp;"","")&amp;"␟"&amp;IFERROR(INDEX(PASTE_ALL,$DF646,23)&amp;"","")&amp;"␟"&amp;IFERROR(INDEX(PASTE_ALL,$DF646,24)&amp;"","")&amp;"␟"&amp;IFERROR(INDEX(PASTE_ALL,$DF646,25)&amp;"","")&amp;"␟"&amp;IFERROR(INDEX(PASTE_ALL,$DF646,26)&amp;"","")&amp;"␟"&amp;IFERROR(INDEX(PASTE_ALL,$DF646,27)&amp;"","")&amp;"␟"&amp;IFERROR(INDEX(PASTE_ALL,$DF646,28)&amp;"","")&amp;"␟"&amp;IFERROR(INDEX(PASTE_ALL,$DF646,29)&amp;"","")&amp;"␟"&amp;IFERROR(INDEX(PASTE_ALL,$DF646,30)&amp;"","")&amp;"␟"&amp;IFERROR(INDEX(PASTE_ALL,$DF646,31)&amp;"","")&amp;"␟"&amp;IFERROR(INDEX(PASTE_ALL,$DF646,32)&amp;"","")&amp;"␟"&amp;IFERROR(INDEX(PASTE_ALL,$DF646,33)&amp;"","")&amp;"␟"&amp;IFERROR(INDEX(PASTE_ALL,$DF646,34)&amp;"","")&amp;"␟"&amp;IFERROR(INDEX(PASTE_ALL,$DF646,35)&amp;"","")&amp;"␟"&amp;IFERROR(INDEX(PASTE_ALL,$DF646,36)&amp;"","")&amp;"␟"&amp;IFERROR(INDEX(PASTE_ALL,$DF646,37)&amp;"","")&amp;"␟"&amp;IFERROR(INDEX(PASTE_ALL,$DF646,38)&amp;"","")&amp;"␟"&amp;IFERROR(INDEX(PASTE_ALL,$DF646,39)&amp;"","")&amp;"␟"&amp;IFERROR(INDEX(PASTE_ALL,$DF646,40)&amp;"","")&amp;"␟"&amp;IFERROR(INDEX(PASTE_ALL,$DF646,41)&amp;"","")&amp;"␟"&amp;IFERROR(INDEX(PASTE_ALL,$DF646,42)&amp;"","")&amp;"␟"&amp;IFERROR(INDEX(PASTE_ALL,$DF646,43)&amp;"","")&amp;"␟"&amp;IFERROR(INDEX(PASTE_ALL,$DF646,44)&amp;"","")&amp;"␟"&amp;IFERROR(INDEX(PASTE_ALL,$DF646,45)&amp;"","")&amp;"␟"&amp;IFERROR(INDEX(PASTE_ALL,$DF646,46)&amp;"","")&amp;"␟"&amp;IFERROR(INDEX(PASTE_ALL,$DF646,47)&amp;"","")&amp;"␟"&amp;IFERROR(INDEX(PASTE_ALL,$DF646,48)&amp;"","")&amp;"␟"&amp;IFERROR(INDEX(PASTE_ALL,$DF646,49)&amp;"","")&amp;"␟"&amp;IFERROR(INDEX(PASTE_ALL,$DF646,50)&amp;"","")&amp;"␟"&amp;IFERROR(INDEX(PASTE_ALL,$DF646,51)&amp;"","")&amp;"␟"&amp;IFERROR(INDEX(PASTE_ALL,$DF646,52)&amp;"","")&amp;"␟"&amp;IFERROR(INDEX(PASTE_ALL,$DF646,53)&amp;"","")&amp;"␟"&amp;IFERROR(INDEX(PASTE_ALL,$DF646,54)&amp;"","")&amp;"␟"&amp;IFERROR(INDEX(PASTE_ALL,$DF646,55)&amp;"","")&amp;"␟"&amp;IFERROR(INDEX(PASTE_ALL,$DF646,56)&amp;"","")&amp;"␟"&amp;IFERROR(INDEX(PASTE_ALL,$DF646,57)&amp;"","")&amp;"␟"&amp;IFERROR(INDEX(PASTE_ALL,$DF646,58)&amp;"","")&amp;"␟"&amp;IFERROR(INDEX(PASTE_ALL,$DF646,59)&amp;"","")&amp;"␟"&amp;IFERROR(INDEX(PASTE_ALL,$DF646,60)&amp;"","")," "," "),CHAR(9)," "),CHAR(10)," "),CHAR(13)," "))," ␟","␟"),"␟ ","␟"),"#"&amp;$DE646),"")</f>
        <v/>
      </c>
      <c r="DJ646">
        <f>IF($DI646="",0,IF(SUMPRODUCT(--EXACT($DI$4:DI645,$DI646))&gt;0,1,0))</f>
        <v/>
      </c>
      <c r="DK646">
        <f>IF(AND($DI646&lt;&gt;"",$DJ646=0),1,0)</f>
        <v/>
      </c>
      <c r="DL646">
        <f>DL645+$DK646</f>
        <v/>
      </c>
      <c r="DM646">
        <f>IF(AND($DK646=1,$DL646&lt;=600),1,0)</f>
        <v/>
      </c>
      <c r="DN646">
        <f>IF($DM646=0,"",IF($L$6=0,"",IFERROR(IF(ISNUMBER(INDEX(PASTE_ALL,$DF646,$L$6)),INDEX(PASTE_ALL,$DF646,$L$6),TRIM(SUBSTITUTE(SUBSTITUTE(SUBSTITUTE(SUBSTITUTE(INDEX(PASTE_ALL,$DF646,$L$6)," "," "),CHAR(9)," "),CHAR(10)," "),CHAR(13)," "))),"")))</f>
        <v/>
      </c>
      <c r="DO646">
        <f>IF($DM646=0,"",IF($L$7=0,"",IFERROR(IF(ISNUMBER(INDEX(PASTE_ALL,$DF646,$L$7)),INDEX(PASTE_ALL,$DF646,$L$7),TRIM(SUBSTITUTE(SUBSTITUTE(SUBSTITUTE(SUBSTITUTE(INDEX(PASTE_ALL,$DF646,$L$7)," "," "),CHAR(9)," "),CHAR(10)," "),CHAR(13)," "))),"")))</f>
        <v/>
      </c>
      <c r="DP646">
        <f>IF($DM646=0,"",IF($L$8=0,"",IFERROR(IF(ISNUMBER(INDEX(PASTE_ALL,$DF646,$L$8)),INDEX(PASTE_ALL,$DF646,$L$8),TRIM(SUBSTITUTE(SUBSTITUTE(SUBSTITUTE(SUBSTITUTE(INDEX(PASTE_ALL,$DF646,$L$8)," "," "),CHAR(9)," "),CHAR(10)," "),CHAR(13)," "))),"")))</f>
        <v/>
      </c>
      <c r="DQ646">
        <f>IF($DM646=0,"",IF($L$9=0,"",IFERROR(IF(ISNUMBER(INDEX(PASTE_ALL,$DF646,$L$9)),INDEX(PASTE_ALL,$DF646,$L$9),TRIM(SUBSTITUTE(SUBSTITUTE(SUBSTITUTE(SUBSTITUTE(INDEX(PASTE_ALL,$DF646,$L$9)," "," "),CHAR(9)," "),CHAR(10)," "),CHAR(13)," "))),"")))</f>
        <v/>
      </c>
      <c r="DR646">
        <f>IF($DM646=0,"",IF($L$10=0,"",IFERROR(IF(ISNUMBER(INDEX(PASTE_ALL,$DF646,$L$10)),INDEX(PASTE_ALL,$DF646,$L$10),TRIM(SUBSTITUTE(SUBSTITUTE(SUBSTITUTE(SUBSTITUTE(INDEX(PASTE_ALL,$DF646,$L$10)," "," "),CHAR(9)," "),CHAR(10)," "),CHAR(13)," "))),"")))</f>
        <v/>
      </c>
      <c r="DS646">
        <f>IF($DM646=0,"",IF($L$11=0,"",IFERROR(IF(ISNUMBER(INDEX(PASTE_ALL,$DF646,$L$11)),INDEX(PASTE_ALL,$DF646,$L$11),TRIM(SUBSTITUTE(SUBSTITUTE(SUBSTITUTE(SUBSTITUTE(INDEX(PASTE_ALL,$DF646,$L$11)," "," "),CHAR(9)," "),CHAR(10)," "),CHAR(13)," "))),"")))</f>
        <v/>
      </c>
      <c r="DT646">
        <f>IF($DM646=0,"",IF($L$12=0,"",IFERROR(IF(ISNUMBER(INDEX(PASTE_ALL,$DF646,$L$12)),INDEX(PASTE_ALL,$DF646,$L$12),TRIM(SUBSTITUTE(SUBSTITUTE(SUBSTITUTE(SUBSTITUTE(INDEX(PASTE_ALL,$DF646,$L$12)," "," "),CHAR(9)," "),CHAR(10)," "),CHAR(13)," "))),"")))</f>
        <v/>
      </c>
      <c r="DU646">
        <f>IF($DM646=0,"",IF($L$13=0,"",IFERROR(IF(ISNUMBER(INDEX(PASTE_ALL,$DF646,$L$13)),INDEX(PASTE_ALL,$DF646,$L$13),TRIM(SUBSTITUTE(SUBSTITUTE(SUBSTITUTE(SUBSTITUTE(INDEX(PASTE_ALL,$DF646,$L$13)," "," "),CHAR(9)," "),CHAR(10)," "),CHAR(13)," "))),"")))</f>
        <v/>
      </c>
      <c r="DV646">
        <f>IF($DM646=0,"",IF($L$14=0,"",IFERROR(IF(ISNUMBER(INDEX(PASTE_ALL,$DF646,$L$14)),INDEX(PASTE_ALL,$DF646,$L$14),TRIM(SUBSTITUTE(SUBSTITUTE(SUBSTITUTE(SUBSTITUTE(INDEX(PASTE_ALL,$DF646,$L$14)," "," "),CHAR(9)," "),CHAR(10)," "),CHAR(13)," "))),"")))</f>
        <v/>
      </c>
      <c r="DW646">
        <f>IF($DM646=0,"",IF($L$15=0,"",IFERROR(IF(ISNUMBER(INDEX(PASTE_ALL,$DF646,$L$15)),INDEX(PASTE_ALL,$DF646,$L$15),IF(SUMPRODUCT(--ISNUMBER(FIND({"A","B","C","D","E","F","G","H","I","J","K","L","M","N","O","P","Q","R","S","T","U","V","W","X","Y","Z","0","1","2","3","4","5","6","7","8","9"},UPPER(TRIM(SUBSTITUTE(SUBSTITUTE(SUBSTITUTE(SUBSTITUTE(INDEX(PASTE_ALL,$DF646,$L$15)," "," "),CHAR(9)," "),CHAR(10)," "),CHAR(13)," "))))))&gt;0,TRIM(SUBSTITUTE(SUBSTITUTE(SUBSTITUTE(SUBSTITUTE(INDEX(PASTE_ALL,$DF646,$L$15)," "," "),CHAR(9)," "),CHAR(10)," "),CHAR(13)," ")),"")),"")))</f>
        <v/>
      </c>
      <c r="DX646">
        <f>IF($DM646=0,"",IF($L$16=0,"",IFERROR(IF(ISNUMBER(INDEX(PASTE_ALL,$DF646,$L$16)),INDEX(PASTE_ALL,$DF646,$L$16),SUBSTITUTE(SUBSTITUTE(TRIM(SUBSTITUTE(SUBSTITUTE(SUBSTITUTE(SUBSTITUTE(INDEX(PASTE_ALL,$DF646,$L$16)," "," "),CHAR(9)," "),CHAR(10)," "),CHAR(13)," ")),",",""),"%","")),"")))</f>
        <v/>
      </c>
      <c r="DY646">
        <f>IF($DM646=0,"",IFERROR(IF(ISNUMBER($DX646),$DX646,IF($DX646="","",IF(TRIM($DX646)="",0,IF(AND(AND(SUBSTITUTE(SUBSTITUTE(SUBSTITUTE(SUBSTITUTE(SUBSTITUTE(SUBSTITUTE(SUBSTITUTE(SUBSTITUTE(SUBSTITUTE(SUBSTITUTE(SUBSTITUTE(SUBSTITUTE(SUBSTITUTE(SUBSTITUTE(UPPER(TRIM($DX646)),"0",""),"1",""),"2",""),"3",""),"4",""),"5",""),"6",""),"7",""),"8",""),"9",""),".",""),"+",""),"-",""),"E","")="",LEN(SUBSTITUTE(SUBSTITUTE(MID(UPPER(TRIM($DX646)),1+OR(LEFT(UPPER(TRIM($DX646)),1)="+",LEFT(UPPER(TRIM($DX646)),1)="-"),999),"E+","E"),"E-","E"))=LEN(SUBSTITUTE(SUBSTITUTE(SUBSTITUTE(SUBSTITUTE(MID(UPPER(TRIM($DX646)),1+OR(LEFT(UPPER(TRIM($DX646)),1)="+",LEFT(UPPER(TRIM($DX646)),1)="-"),999),"E+","E"),"E-","E"),"+",""),"-","")),LEN(UPPER(TRIM($DX646)))-LEN(SUBSTITUTE(UPPER(TRIM($DX646)),"E",""))&lt;2,LEN(UPPER(TRIM($DX646)))-LEN(SUBSTITUTE(UPPER(TRIM($DX646)),".",""))&lt;2,IFERROR(FIND(".",UPPER(TRIM($DX646))),0)&lt;IFERROR(FIND("E",UPPER(TRIM($DX646))),999)),ISNUMBER(VALUE(TRIM($DX646)))),VALUE(TRIM($DX646)),"")))),""))</f>
        <v/>
      </c>
      <c r="DZ646">
        <f>IF($DM646=0,"",IF($L$17=0,"",IFERROR(IF(ISNUMBER(INDEX(PASTE_ALL,$DF646,$L$17)),INDEX(PASTE_ALL,$DF646,$L$17),SUBSTITUTE(SUBSTITUTE(TRIM(SUBSTITUTE(SUBSTITUTE(SUBSTITUTE(SUBSTITUTE(INDEX(PASTE_ALL,$DF646,$L$17)," "," "),CHAR(9)," "),CHAR(10)," "),CHAR(13)," ")),",",""),"%","")),"")))</f>
        <v/>
      </c>
      <c r="EA646">
        <f>IF($DM646=0,"",IFERROR(IF(ISNUMBER($DZ646),$DZ646,IF($DZ646="","",IF(TRIM($DZ646)="",0,IF(AND(AND(SUBSTITUTE(SUBSTITUTE(SUBSTITUTE(SUBSTITUTE(SUBSTITUTE(SUBSTITUTE(SUBSTITUTE(SUBSTITUTE(SUBSTITUTE(SUBSTITUTE(SUBSTITUTE(SUBSTITUTE(SUBSTITUTE(SUBSTITUTE(UPPER(TRIM($DZ646)),"0",""),"1",""),"2",""),"3",""),"4",""),"5",""),"6",""),"7",""),"8",""),"9",""),".",""),"+",""),"-",""),"E","")="",LEN(SUBSTITUTE(SUBSTITUTE(MID(UPPER(TRIM($DZ646)),1+OR(LEFT(UPPER(TRIM($DZ646)),1)="+",LEFT(UPPER(TRIM($DZ646)),1)="-"),999),"E+","E"),"E-","E"))=LEN(SUBSTITUTE(SUBSTITUTE(SUBSTITUTE(SUBSTITUTE(MID(UPPER(TRIM($DZ646)),1+OR(LEFT(UPPER(TRIM($DZ646)),1)="+",LEFT(UPPER(TRIM($DZ646)),1)="-"),999),"E+","E"),"E-","E"),"+",""),"-","")),LEN(UPPER(TRIM($DZ646)))-LEN(SUBSTITUTE(UPPER(TRIM($DZ646)),"E",""))&lt;2,LEN(UPPER(TRIM($DZ646)))-LEN(SUBSTITUTE(UPPER(TRIM($DZ646)),".",""))&lt;2,IFERROR(FIND(".",UPPER(TRIM($DZ646))),0)&lt;IFERROR(FIND("E",UPPER(TRIM($DZ646))),999)),ISNUMBER(VALUE(TRIM($DZ646)))),VALUE(TRIM($DZ646)),"")))),""))</f>
        <v/>
      </c>
      <c r="EB646">
        <f>IF($DM646=0,"",IF($L$18=0,"",IFERROR(IF(UPPER(TRIM(SUBSTITUTE(SUBSTITUTE(SUBSTITUTE(SUBSTITUTE(INDEX(PASTE_ALL,$DF646,$L$18)," "," "),CHAR(9)," "),CHAR(10)," "),CHAR(13)," ")))="READY","Ready",IF(UPPER(TRIM(SUBSTITUTE(SUBSTITUTE(SUBSTITUTE(SUBSTITUTE(INDEX(PASTE_ALL,$DF646,$L$18)," "," "),CHAR(9)," "),CHAR(10)," "),CHAR(13)," ")))="PM","PM",IF(OR(UPPER(TRIM(SUBSTITUTE(SUBSTITUTE(SUBSTITUTE(SUBSTITUTE(INDEX(PASTE_ALL,$DF646,$L$18)," "," "),CHAR(9)," "),CHAR(10)," "),CHAR(13)," ")))="OT",UPPER(TRIM(SUBSTITUTE(SUBSTITUTE(SUBSTITUTE(SUBSTITUTE(INDEX(PASTE_ALL,$DF646,$L$18)," "," "),CHAR(9)," "),CHAR(10)," "),CHAR(13)," ")))="OVERTIME",UPPER(TRIM(SUBSTITUTE(SUBSTITUTE(SUBSTITUTE(SUBSTITUTE(INDEX(PASTE_ALL,$DF646,$L$18)," "," "),CHAR(9)," "),CHAR(10)," "),CHAR(13)," ")))="TRIAL"),"OT",TRIM(SUBSTITUTE(SUBSTITUTE(SUBSTITUTE(SUBSTITUTE(INDEX(PASTE_ALL,$DF646,$L$18)," "," "),CHAR(9)," "),CHAR(10)," "),CHAR(13)," "))))),"")))</f>
        <v/>
      </c>
      <c r="EC646">
        <f>IF($DM646=0,"",IF($L$19=0,"",IFERROR(IF(ISNUMBER(INDEX(PASTE_ALL,$DF646,$L$19)),INDEX(PASTE_ALL,$DF646,$L$19),TRIM(SUBSTITUTE(SUBSTITUTE(SUBSTITUTE(SUBSTITUTE(INDEX(PASTE_ALL,$DF646,$L$19)," "," "),CHAR(9)," "),CHAR(10)," "),CHAR(13)," "))),"")))</f>
        <v/>
      </c>
      <c r="ED646">
        <f>IF($DM646=0,"",MATCH(1,INDEX(EXACT($DH$5:DH646,$DH646)*$DM$5:DM646,0),0))</f>
        <v/>
      </c>
      <c r="EE646">
        <f>IF($DM646=0,0,IF($ED646=$DE646,1,0))</f>
        <v/>
      </c>
      <c r="EF646">
        <f>EF645+$EE646</f>
        <v/>
      </c>
      <c r="EG646">
        <f>IF($DM646=0,"",INDEX($EF$5:$EF$1003,$ED646))</f>
        <v/>
      </c>
      <c r="EH646">
        <f>IF($DM646=0,"",IF($DO646&lt;&gt;"","",IFERROR(LOOKUP(2,1/(($EG$4:EG645=$EG646)*($DO$4:DO645&lt;&gt;"")),$DO$4:DO645),"")))</f>
        <v/>
      </c>
      <c r="EI646">
        <f>IF($DM646=0,"",IF($DO646&lt;&gt;"",$DO646,$EH646))</f>
        <v/>
      </c>
      <c r="EJ646">
        <f>IF($DM646=0,"",IF($EI646="",0,IF(OR(ISNUMBER($EI646),AND(AND(SUBSTITUTE(SUBSTITUTE(SUBSTITUTE(SUBSTITUTE(SUBSTITUTE(SUBSTITUTE(SUBSTITUTE(SUBSTITUTE(SUBSTITUTE(SUBSTITUTE(SUBSTITUTE(SUBSTITUTE(SUBSTITUTE(SUBSTITUTE(UPPER($EI646),"0",""),"1",""),"2",""),"3",""),"4",""),"5",""),"6",""),"7",""),"8",""),"9",""),".",""),"+",""),"-",""),"E","")="",LEN(SUBSTITUTE(SUBSTITUTE(MID(UPPER($EI646),1+OR(LEFT(UPPER($EI646),1)="+",LEFT(UPPER($EI646),1)="-"),999),"E+","E"),"E-","E"))=LEN(SUBSTITUTE(SUBSTITUTE(SUBSTITUTE(SUBSTITUTE(MID(UPPER($EI646),1+OR(LEFT(UPPER($EI646),1)="+",LEFT(UPPER($EI646),1)="-"),999),"E+","E"),"E-","E"),"+",""),"-","")),LEN(UPPER($EI646))-LEN(SUBSTITUTE(UPPER($EI646),"E",""))&lt;2,LEN(UPPER($EI646))-LEN(SUBSTITUTE(UPPER($EI646),".",""))&lt;2,IFERROR(FIND(".",UPPER($EI646)),0)&lt;IFERROR(FIND("E",UPPER($EI646)),999)),ISNUMBER(VALUE($EI646)))),1,2)))</f>
        <v/>
      </c>
      <c r="EK646">
        <f>IF($DM646=0,"",IF($EJ646=1,IF(ISNUMBER($EI646),$EI646,VALUE($EI646)),IF($EJ646=2,$DE646,0)))</f>
        <v/>
      </c>
      <c r="EL646">
        <f>IF($DM646=0,"",COUNTIF($EG$5:$EG$1003,"&lt;"&amp;$EG646)+SUMPRODUCT(($EG$5:$EG$1003=$EG646)*(($EJ$5:$EJ$1003&lt;$EJ646)+($EJ$5:$EJ$1003=$EJ646)*(($EK$5:$EK$1003&lt;$EK646)+($EK$5:$EK$1003=$EK646)*($DE$5:$DE$1003&lt;$DE646))))+1)</f>
        <v/>
      </c>
      <c r="EM646">
        <f>IF($DM646=0,"",$EL646+$EG646-1)</f>
        <v/>
      </c>
      <c r="EN646">
        <f>IF($DM646=0,0,IFERROR(MATCH(1,INDEX(--(TRIM(SUBSTITUTE(SUBSTITUTE(SUBSTITUTE(SUBSTITUTE(LINES_NAME&amp;""," "," "),CHAR(9)," "),CHAR(10)," "),CHAR(13)," "))=$DH646),0),0),0))</f>
        <v/>
      </c>
      <c r="EO646">
        <f>IF($EN646=0,0,IF(OR(UPPER(TRIM(INDEX(LINES_SCHEDULED,$EN646)&amp;""))="YES",UPPER(TRIM(INDEX(LINES_SCHEDULED,$EN646)&amp;""))="Y",UPPER(TRIM(INDEX(LINES_SCHEDULED,$EN646)&amp;""))="X"),1,0))</f>
        <v/>
      </c>
      <c r="EP646">
        <f>IF($DM646=0,"",IF(COUNTIFS($EG$5:$EG$1003,$EG646,$EB$5:$EB$1003,"Ready")&gt;0,"READY",IF(COUNTIFS($EG$5:$EG$1003,$EG646,$EB$5:$EB$1003,"PM")&gt;0,"PM",IF(COUNTIFS($EG$5:$EG$1003,$EG646,$EB$5:$EB$1003,"OT")&gt;0,"OT",""))))</f>
        <v/>
      </c>
      <c r="EQ646">
        <f>IF($EN646=0,"",UPPER(TRIM(INDEX(LINES_STATUS,$EN646)&amp;"")))</f>
        <v/>
      </c>
      <c r="ER646">
        <f>IF($DM646=0,"",IF(OR($EQ646="READY",$EQ646="PM",$EQ646="OT"),$EQ646,$EP646))</f>
        <v/>
      </c>
      <c r="ES646">
        <f>IF($DM646=0,"",IF(AND($DV646&lt;&gt;"",UPPER($DV646)&lt;&gt;"N"),"allergen",IF(ISNUMBER(SEARCH("oil",$DQ646)),"oil",IF(OR(EXACT($DS646,"A662"),EXACT($DS646,"A624")),"bulk",""))))</f>
        <v/>
      </c>
      <c r="ET646">
        <f>IF($DM646=0,"",IF(OR($EA646="",$EA646=0),"",$EA646/100))</f>
        <v/>
      </c>
      <c r="EU646">
        <f>IF(OR($ET646="",$DY646=""),"",INT($DY646*(1-$ET646)+0.5))</f>
        <v/>
      </c>
      <c r="EW646" t="n">
        <v>642</v>
      </c>
      <c r="EX646">
        <f>IFERROR(MATCH($EW646,$EM$5:$EM$1003,0),0)</f>
        <v/>
      </c>
      <c r="EY646">
        <f>IF($EW646&gt;$B$12,"",IF($EX646&gt;0,"row","spacer"))</f>
        <v/>
      </c>
      <c r="EZ646">
        <f>IF(AND($EY646="row",$EY645&lt;&gt;"row"),1,0)</f>
        <v/>
      </c>
      <c r="FA646">
        <f>IF(AND($EY646="row",$EY647&lt;&gt;"row"),1,0)</f>
        <v/>
      </c>
      <c r="FB646">
        <f>IF($EZ646=1,IFERROR(IF(ISNUMBER(INDEX(PASTE_ALL,INDEX($DF$5:$DF$1003,$EX646),$B$37)),INDEX(PASTE_ALL,INDEX($DF$5:$DF$1003,$EX646),$B$37),INDEX($DH$5:$DH$1003,$EX646)),INDEX($DH$5:$DH$1003,$EX646)),"")</f>
        <v/>
      </c>
      <c r="FC646">
        <f>IF($EY646="row",INDEX($ER$5:$ER$1003,$EX646),"")</f>
        <v/>
      </c>
      <c r="FD646">
        <f>IF($EY646="row",INDEX($DN$5:$DN$1003,$EX646),"")</f>
        <v/>
      </c>
      <c r="FE646">
        <f>IF($EY646="row",INDEX($DO$5:$DO$1003,$EX646),"")</f>
        <v/>
      </c>
      <c r="FF646">
        <f>IF($EY646="row",INDEX($DP$5:$DP$1003,$EX646),"")</f>
        <v/>
      </c>
      <c r="FG646">
        <f>IF($EY646="row",INDEX($DQ$5:$DQ$1003,$EX646),"")</f>
        <v/>
      </c>
      <c r="FH646">
        <f>IF($EY646="row",INDEX($DR$5:$DR$1003,$EX646),"")</f>
        <v/>
      </c>
      <c r="FI646">
        <f>IF($EY646="row",INDEX($DS$5:$DS$1003,$EX646),"")</f>
        <v/>
      </c>
      <c r="FJ646">
        <f>IF($EY646="row",INDEX($DT$5:$DT$1003,$EX646),"")</f>
        <v/>
      </c>
      <c r="FK646">
        <f>IF($EY646="row",INDEX($DU$5:$DU$1003,$EX646),"")</f>
        <v/>
      </c>
      <c r="FL646">
        <f>IF($EY646="row",INDEX($DV$5:$DV$1003,$EX646),"")</f>
        <v/>
      </c>
      <c r="FM646">
        <f>IF($EY646="row",INDEX($DW$5:$DW$1003,$EX646),"")</f>
        <v/>
      </c>
      <c r="FN646">
        <f>IF($EY646="row",INDEX($DY$5:$DY$1003,$EX646),"")</f>
        <v/>
      </c>
      <c r="FO646">
        <f>IF($EY646="row",INDEX($EA$5:$EA$1003,$EX646),"")</f>
        <v/>
      </c>
      <c r="FP646">
        <f>IF($EY646="row",INDEX($EC$5:$EC$1003,$EX646),"")</f>
        <v/>
      </c>
      <c r="FQ646">
        <f>IF($EY646="row",INDEX($ET$5:$ET$1003,$EX646),"")</f>
        <v/>
      </c>
      <c r="FR646">
        <f>IF($EY646="row",INDEX($EU$5:$EU$1003,$EX646),"")</f>
        <v/>
      </c>
      <c r="FS646">
        <f>IF(AND($EY646="row",$EY645="row"),IF(OR(INDEX($DT$5:$DT$1003,$EX645)="",INDEX($DT$5:$DT$1003,$EX646)=""),"",IF(NOT(EXACT(INDEX($DT$5:$DT$1003,$EX645),INDEX($DT$5:$DT$1003,$EX646))),"S4",IF(NOT(EXACT(INDEX($DS$5:$DS$1003,$EX645),INDEX($DS$5:$DS$1003,$EX646))),"S3",IF(NOT(EXACT(INDEX($DR$5:$DR$1003,$EX645),INDEX($DR$5:$DR$1003,$EX646))),"S1 Count Change","S1")))),"")</f>
        <v/>
      </c>
      <c r="FT646">
        <f>IF($EY646="row",INDEX($ES$5:$ES$1003,$EX646),"")</f>
        <v/>
      </c>
      <c r="FU646">
        <f>IF($EY646="row",INDEX($EO$5:$EO$1003,$EX646),0)</f>
        <v/>
      </c>
      <c r="FV646">
        <f>IF($FS646="S1 Count Change",1,0)</f>
        <v/>
      </c>
    </row>
    <row r="647">
      <c r="DA647" t="n">
        <v>643</v>
      </c>
      <c r="DB647">
        <f>IF($B$37=0,"",IFERROR(TRIM(SUBSTITUTE(SUBSTITUTE(SUBSTITUTE(SUBSTITUTE(INDEX(PASTE_ALL,643,$B$37)," "," "),CHAR(9)," "),CHAR(10)," "),CHAR(13)," ")),""))</f>
        <v/>
      </c>
      <c r="DC647">
        <f>IF(AND(643&gt;HEADER_ROW,UPPER(DB647)="LEGEND"),1,0)</f>
        <v/>
      </c>
      <c r="DE647" t="n">
        <v>643</v>
      </c>
      <c r="DF647">
        <f>HEADER_ROW+$DE647</f>
        <v/>
      </c>
      <c r="DG647">
        <f>IF(AND($DF647&lt;=1000,$DF647&lt;$B$8),1,0)</f>
        <v/>
      </c>
      <c r="DH647">
        <f>IF($DG647=1,IFERROR(INDEX($DB$5:$DB$1004,$DF647),""),"")</f>
        <v/>
      </c>
      <c r="DI647">
        <f>IF(AND($DG647=1,$DH647&lt;&gt;""),IFERROR(SUBSTITUTE(SUBSTITUTE(TRIM(SUBSTITUTE(SUBSTITUTE(SUBSTITUTE(SUBSTITUTE(IFERROR(INDEX(PASTE_ALL,$DF647,1)&amp;"","")&amp;"␟"&amp;IFERROR(INDEX(PASTE_ALL,$DF647,2)&amp;"","")&amp;"␟"&amp;IFERROR(INDEX(PASTE_ALL,$DF647,3)&amp;"","")&amp;"␟"&amp;IFERROR(INDEX(PASTE_ALL,$DF647,4)&amp;"","")&amp;"␟"&amp;IFERROR(INDEX(PASTE_ALL,$DF647,5)&amp;"","")&amp;"␟"&amp;IFERROR(INDEX(PASTE_ALL,$DF647,6)&amp;"","")&amp;"␟"&amp;IFERROR(INDEX(PASTE_ALL,$DF647,7)&amp;"","")&amp;"␟"&amp;IFERROR(INDEX(PASTE_ALL,$DF647,8)&amp;"","")&amp;"␟"&amp;IFERROR(INDEX(PASTE_ALL,$DF647,9)&amp;"","")&amp;"␟"&amp;IFERROR(INDEX(PASTE_ALL,$DF647,10)&amp;"","")&amp;"␟"&amp;IFERROR(INDEX(PASTE_ALL,$DF647,11)&amp;"","")&amp;"␟"&amp;IFERROR(INDEX(PASTE_ALL,$DF647,12)&amp;"","")&amp;"␟"&amp;IFERROR(INDEX(PASTE_ALL,$DF647,13)&amp;"","")&amp;"␟"&amp;IFERROR(INDEX(PASTE_ALL,$DF647,14)&amp;"","")&amp;"␟"&amp;IFERROR(INDEX(PASTE_ALL,$DF647,15)&amp;"","")&amp;"␟"&amp;IFERROR(INDEX(PASTE_ALL,$DF647,16)&amp;"","")&amp;"␟"&amp;IFERROR(INDEX(PASTE_ALL,$DF647,17)&amp;"","")&amp;"␟"&amp;IFERROR(INDEX(PASTE_ALL,$DF647,18)&amp;"","")&amp;"␟"&amp;IFERROR(INDEX(PASTE_ALL,$DF647,19)&amp;"","")&amp;"␟"&amp;IFERROR(INDEX(PASTE_ALL,$DF647,20)&amp;"","")&amp;"␟"&amp;IFERROR(INDEX(PASTE_ALL,$DF647,21)&amp;"","")&amp;"␟"&amp;IFERROR(INDEX(PASTE_ALL,$DF647,22)&amp;"","")&amp;"␟"&amp;IFERROR(INDEX(PASTE_ALL,$DF647,23)&amp;"","")&amp;"␟"&amp;IFERROR(INDEX(PASTE_ALL,$DF647,24)&amp;"","")&amp;"␟"&amp;IFERROR(INDEX(PASTE_ALL,$DF647,25)&amp;"","")&amp;"␟"&amp;IFERROR(INDEX(PASTE_ALL,$DF647,26)&amp;"","")&amp;"␟"&amp;IFERROR(INDEX(PASTE_ALL,$DF647,27)&amp;"","")&amp;"␟"&amp;IFERROR(INDEX(PASTE_ALL,$DF647,28)&amp;"","")&amp;"␟"&amp;IFERROR(INDEX(PASTE_ALL,$DF647,29)&amp;"","")&amp;"␟"&amp;IFERROR(INDEX(PASTE_ALL,$DF647,30)&amp;"","")&amp;"␟"&amp;IFERROR(INDEX(PASTE_ALL,$DF647,31)&amp;"","")&amp;"␟"&amp;IFERROR(INDEX(PASTE_ALL,$DF647,32)&amp;"","")&amp;"␟"&amp;IFERROR(INDEX(PASTE_ALL,$DF647,33)&amp;"","")&amp;"␟"&amp;IFERROR(INDEX(PASTE_ALL,$DF647,34)&amp;"","")&amp;"␟"&amp;IFERROR(INDEX(PASTE_ALL,$DF647,35)&amp;"","")&amp;"␟"&amp;IFERROR(INDEX(PASTE_ALL,$DF647,36)&amp;"","")&amp;"␟"&amp;IFERROR(INDEX(PASTE_ALL,$DF647,37)&amp;"","")&amp;"␟"&amp;IFERROR(INDEX(PASTE_ALL,$DF647,38)&amp;"","")&amp;"␟"&amp;IFERROR(INDEX(PASTE_ALL,$DF647,39)&amp;"","")&amp;"␟"&amp;IFERROR(INDEX(PASTE_ALL,$DF647,40)&amp;"","")&amp;"␟"&amp;IFERROR(INDEX(PASTE_ALL,$DF647,41)&amp;"","")&amp;"␟"&amp;IFERROR(INDEX(PASTE_ALL,$DF647,42)&amp;"","")&amp;"␟"&amp;IFERROR(INDEX(PASTE_ALL,$DF647,43)&amp;"","")&amp;"␟"&amp;IFERROR(INDEX(PASTE_ALL,$DF647,44)&amp;"","")&amp;"␟"&amp;IFERROR(INDEX(PASTE_ALL,$DF647,45)&amp;"","")&amp;"␟"&amp;IFERROR(INDEX(PASTE_ALL,$DF647,46)&amp;"","")&amp;"␟"&amp;IFERROR(INDEX(PASTE_ALL,$DF647,47)&amp;"","")&amp;"␟"&amp;IFERROR(INDEX(PASTE_ALL,$DF647,48)&amp;"","")&amp;"␟"&amp;IFERROR(INDEX(PASTE_ALL,$DF647,49)&amp;"","")&amp;"␟"&amp;IFERROR(INDEX(PASTE_ALL,$DF647,50)&amp;"","")&amp;"␟"&amp;IFERROR(INDEX(PASTE_ALL,$DF647,51)&amp;"","")&amp;"␟"&amp;IFERROR(INDEX(PASTE_ALL,$DF647,52)&amp;"","")&amp;"␟"&amp;IFERROR(INDEX(PASTE_ALL,$DF647,53)&amp;"","")&amp;"␟"&amp;IFERROR(INDEX(PASTE_ALL,$DF647,54)&amp;"","")&amp;"␟"&amp;IFERROR(INDEX(PASTE_ALL,$DF647,55)&amp;"","")&amp;"␟"&amp;IFERROR(INDEX(PASTE_ALL,$DF647,56)&amp;"","")&amp;"␟"&amp;IFERROR(INDEX(PASTE_ALL,$DF647,57)&amp;"","")&amp;"␟"&amp;IFERROR(INDEX(PASTE_ALL,$DF647,58)&amp;"","")&amp;"␟"&amp;IFERROR(INDEX(PASTE_ALL,$DF647,59)&amp;"","")&amp;"␟"&amp;IFERROR(INDEX(PASTE_ALL,$DF647,60)&amp;"","")," "," "),CHAR(9)," "),CHAR(10)," "),CHAR(13)," "))," ␟","␟"),"␟ ","␟"),"#"&amp;$DE647),"")</f>
        <v/>
      </c>
      <c r="DJ647">
        <f>IF($DI647="",0,IF(SUMPRODUCT(--EXACT($DI$4:DI646,$DI647))&gt;0,1,0))</f>
        <v/>
      </c>
      <c r="DK647">
        <f>IF(AND($DI647&lt;&gt;"",$DJ647=0),1,0)</f>
        <v/>
      </c>
      <c r="DL647">
        <f>DL646+$DK647</f>
        <v/>
      </c>
      <c r="DM647">
        <f>IF(AND($DK647=1,$DL647&lt;=600),1,0)</f>
        <v/>
      </c>
      <c r="DN647">
        <f>IF($DM647=0,"",IF($L$6=0,"",IFERROR(IF(ISNUMBER(INDEX(PASTE_ALL,$DF647,$L$6)),INDEX(PASTE_ALL,$DF647,$L$6),TRIM(SUBSTITUTE(SUBSTITUTE(SUBSTITUTE(SUBSTITUTE(INDEX(PASTE_ALL,$DF647,$L$6)," "," "),CHAR(9)," "),CHAR(10)," "),CHAR(13)," "))),"")))</f>
        <v/>
      </c>
      <c r="DO647">
        <f>IF($DM647=0,"",IF($L$7=0,"",IFERROR(IF(ISNUMBER(INDEX(PASTE_ALL,$DF647,$L$7)),INDEX(PASTE_ALL,$DF647,$L$7),TRIM(SUBSTITUTE(SUBSTITUTE(SUBSTITUTE(SUBSTITUTE(INDEX(PASTE_ALL,$DF647,$L$7)," "," "),CHAR(9)," "),CHAR(10)," "),CHAR(13)," "))),"")))</f>
        <v/>
      </c>
      <c r="DP647">
        <f>IF($DM647=0,"",IF($L$8=0,"",IFERROR(IF(ISNUMBER(INDEX(PASTE_ALL,$DF647,$L$8)),INDEX(PASTE_ALL,$DF647,$L$8),TRIM(SUBSTITUTE(SUBSTITUTE(SUBSTITUTE(SUBSTITUTE(INDEX(PASTE_ALL,$DF647,$L$8)," "," "),CHAR(9)," "),CHAR(10)," "),CHAR(13)," "))),"")))</f>
        <v/>
      </c>
      <c r="DQ647">
        <f>IF($DM647=0,"",IF($L$9=0,"",IFERROR(IF(ISNUMBER(INDEX(PASTE_ALL,$DF647,$L$9)),INDEX(PASTE_ALL,$DF647,$L$9),TRIM(SUBSTITUTE(SUBSTITUTE(SUBSTITUTE(SUBSTITUTE(INDEX(PASTE_ALL,$DF647,$L$9)," "," "),CHAR(9)," "),CHAR(10)," "),CHAR(13)," "))),"")))</f>
        <v/>
      </c>
      <c r="DR647">
        <f>IF($DM647=0,"",IF($L$10=0,"",IFERROR(IF(ISNUMBER(INDEX(PASTE_ALL,$DF647,$L$10)),INDEX(PASTE_ALL,$DF647,$L$10),TRIM(SUBSTITUTE(SUBSTITUTE(SUBSTITUTE(SUBSTITUTE(INDEX(PASTE_ALL,$DF647,$L$10)," "," "),CHAR(9)," "),CHAR(10)," "),CHAR(13)," "))),"")))</f>
        <v/>
      </c>
      <c r="DS647">
        <f>IF($DM647=0,"",IF($L$11=0,"",IFERROR(IF(ISNUMBER(INDEX(PASTE_ALL,$DF647,$L$11)),INDEX(PASTE_ALL,$DF647,$L$11),TRIM(SUBSTITUTE(SUBSTITUTE(SUBSTITUTE(SUBSTITUTE(INDEX(PASTE_ALL,$DF647,$L$11)," "," "),CHAR(9)," "),CHAR(10)," "),CHAR(13)," "))),"")))</f>
        <v/>
      </c>
      <c r="DT647">
        <f>IF($DM647=0,"",IF($L$12=0,"",IFERROR(IF(ISNUMBER(INDEX(PASTE_ALL,$DF647,$L$12)),INDEX(PASTE_ALL,$DF647,$L$12),TRIM(SUBSTITUTE(SUBSTITUTE(SUBSTITUTE(SUBSTITUTE(INDEX(PASTE_ALL,$DF647,$L$12)," "," "),CHAR(9)," "),CHAR(10)," "),CHAR(13)," "))),"")))</f>
        <v/>
      </c>
      <c r="DU647">
        <f>IF($DM647=0,"",IF($L$13=0,"",IFERROR(IF(ISNUMBER(INDEX(PASTE_ALL,$DF647,$L$13)),INDEX(PASTE_ALL,$DF647,$L$13),TRIM(SUBSTITUTE(SUBSTITUTE(SUBSTITUTE(SUBSTITUTE(INDEX(PASTE_ALL,$DF647,$L$13)," "," "),CHAR(9)," "),CHAR(10)," "),CHAR(13)," "))),"")))</f>
        <v/>
      </c>
      <c r="DV647">
        <f>IF($DM647=0,"",IF($L$14=0,"",IFERROR(IF(ISNUMBER(INDEX(PASTE_ALL,$DF647,$L$14)),INDEX(PASTE_ALL,$DF647,$L$14),TRIM(SUBSTITUTE(SUBSTITUTE(SUBSTITUTE(SUBSTITUTE(INDEX(PASTE_ALL,$DF647,$L$14)," "," "),CHAR(9)," "),CHAR(10)," "),CHAR(13)," "))),"")))</f>
        <v/>
      </c>
      <c r="DW647">
        <f>IF($DM647=0,"",IF($L$15=0,"",IFERROR(IF(ISNUMBER(INDEX(PASTE_ALL,$DF647,$L$15)),INDEX(PASTE_ALL,$DF647,$L$15),IF(SUMPRODUCT(--ISNUMBER(FIND({"A","B","C","D","E","F","G","H","I","J","K","L","M","N","O","P","Q","R","S","T","U","V","W","X","Y","Z","0","1","2","3","4","5","6","7","8","9"},UPPER(TRIM(SUBSTITUTE(SUBSTITUTE(SUBSTITUTE(SUBSTITUTE(INDEX(PASTE_ALL,$DF647,$L$15)," "," "),CHAR(9)," "),CHAR(10)," "),CHAR(13)," "))))))&gt;0,TRIM(SUBSTITUTE(SUBSTITUTE(SUBSTITUTE(SUBSTITUTE(INDEX(PASTE_ALL,$DF647,$L$15)," "," "),CHAR(9)," "),CHAR(10)," "),CHAR(13)," ")),"")),"")))</f>
        <v/>
      </c>
      <c r="DX647">
        <f>IF($DM647=0,"",IF($L$16=0,"",IFERROR(IF(ISNUMBER(INDEX(PASTE_ALL,$DF647,$L$16)),INDEX(PASTE_ALL,$DF647,$L$16),SUBSTITUTE(SUBSTITUTE(TRIM(SUBSTITUTE(SUBSTITUTE(SUBSTITUTE(SUBSTITUTE(INDEX(PASTE_ALL,$DF647,$L$16)," "," "),CHAR(9)," "),CHAR(10)," "),CHAR(13)," ")),",",""),"%","")),"")))</f>
        <v/>
      </c>
      <c r="DY647">
        <f>IF($DM647=0,"",IFERROR(IF(ISNUMBER($DX647),$DX647,IF($DX647="","",IF(TRIM($DX647)="",0,IF(AND(AND(SUBSTITUTE(SUBSTITUTE(SUBSTITUTE(SUBSTITUTE(SUBSTITUTE(SUBSTITUTE(SUBSTITUTE(SUBSTITUTE(SUBSTITUTE(SUBSTITUTE(SUBSTITUTE(SUBSTITUTE(SUBSTITUTE(SUBSTITUTE(UPPER(TRIM($DX647)),"0",""),"1",""),"2",""),"3",""),"4",""),"5",""),"6",""),"7",""),"8",""),"9",""),".",""),"+",""),"-",""),"E","")="",LEN(SUBSTITUTE(SUBSTITUTE(MID(UPPER(TRIM($DX647)),1+OR(LEFT(UPPER(TRIM($DX647)),1)="+",LEFT(UPPER(TRIM($DX647)),1)="-"),999),"E+","E"),"E-","E"))=LEN(SUBSTITUTE(SUBSTITUTE(SUBSTITUTE(SUBSTITUTE(MID(UPPER(TRIM($DX647)),1+OR(LEFT(UPPER(TRIM($DX647)),1)="+",LEFT(UPPER(TRIM($DX647)),1)="-"),999),"E+","E"),"E-","E"),"+",""),"-","")),LEN(UPPER(TRIM($DX647)))-LEN(SUBSTITUTE(UPPER(TRIM($DX647)),"E",""))&lt;2,LEN(UPPER(TRIM($DX647)))-LEN(SUBSTITUTE(UPPER(TRIM($DX647)),".",""))&lt;2,IFERROR(FIND(".",UPPER(TRIM($DX647))),0)&lt;IFERROR(FIND("E",UPPER(TRIM($DX647))),999)),ISNUMBER(VALUE(TRIM($DX647)))),VALUE(TRIM($DX647)),"")))),""))</f>
        <v/>
      </c>
      <c r="DZ647">
        <f>IF($DM647=0,"",IF($L$17=0,"",IFERROR(IF(ISNUMBER(INDEX(PASTE_ALL,$DF647,$L$17)),INDEX(PASTE_ALL,$DF647,$L$17),SUBSTITUTE(SUBSTITUTE(TRIM(SUBSTITUTE(SUBSTITUTE(SUBSTITUTE(SUBSTITUTE(INDEX(PASTE_ALL,$DF647,$L$17)," "," "),CHAR(9)," "),CHAR(10)," "),CHAR(13)," ")),",",""),"%","")),"")))</f>
        <v/>
      </c>
      <c r="EA647">
        <f>IF($DM647=0,"",IFERROR(IF(ISNUMBER($DZ647),$DZ647,IF($DZ647="","",IF(TRIM($DZ647)="",0,IF(AND(AND(SUBSTITUTE(SUBSTITUTE(SUBSTITUTE(SUBSTITUTE(SUBSTITUTE(SUBSTITUTE(SUBSTITUTE(SUBSTITUTE(SUBSTITUTE(SUBSTITUTE(SUBSTITUTE(SUBSTITUTE(SUBSTITUTE(SUBSTITUTE(UPPER(TRIM($DZ647)),"0",""),"1",""),"2",""),"3",""),"4",""),"5",""),"6",""),"7",""),"8",""),"9",""),".",""),"+",""),"-",""),"E","")="",LEN(SUBSTITUTE(SUBSTITUTE(MID(UPPER(TRIM($DZ647)),1+OR(LEFT(UPPER(TRIM($DZ647)),1)="+",LEFT(UPPER(TRIM($DZ647)),1)="-"),999),"E+","E"),"E-","E"))=LEN(SUBSTITUTE(SUBSTITUTE(SUBSTITUTE(SUBSTITUTE(MID(UPPER(TRIM($DZ647)),1+OR(LEFT(UPPER(TRIM($DZ647)),1)="+",LEFT(UPPER(TRIM($DZ647)),1)="-"),999),"E+","E"),"E-","E"),"+",""),"-","")),LEN(UPPER(TRIM($DZ647)))-LEN(SUBSTITUTE(UPPER(TRIM($DZ647)),"E",""))&lt;2,LEN(UPPER(TRIM($DZ647)))-LEN(SUBSTITUTE(UPPER(TRIM($DZ647)),".",""))&lt;2,IFERROR(FIND(".",UPPER(TRIM($DZ647))),0)&lt;IFERROR(FIND("E",UPPER(TRIM($DZ647))),999)),ISNUMBER(VALUE(TRIM($DZ647)))),VALUE(TRIM($DZ647)),"")))),""))</f>
        <v/>
      </c>
      <c r="EB647">
        <f>IF($DM647=0,"",IF($L$18=0,"",IFERROR(IF(UPPER(TRIM(SUBSTITUTE(SUBSTITUTE(SUBSTITUTE(SUBSTITUTE(INDEX(PASTE_ALL,$DF647,$L$18)," "," "),CHAR(9)," "),CHAR(10)," "),CHAR(13)," ")))="READY","Ready",IF(UPPER(TRIM(SUBSTITUTE(SUBSTITUTE(SUBSTITUTE(SUBSTITUTE(INDEX(PASTE_ALL,$DF647,$L$18)," "," "),CHAR(9)," "),CHAR(10)," "),CHAR(13)," ")))="PM","PM",IF(OR(UPPER(TRIM(SUBSTITUTE(SUBSTITUTE(SUBSTITUTE(SUBSTITUTE(INDEX(PASTE_ALL,$DF647,$L$18)," "," "),CHAR(9)," "),CHAR(10)," "),CHAR(13)," ")))="OT",UPPER(TRIM(SUBSTITUTE(SUBSTITUTE(SUBSTITUTE(SUBSTITUTE(INDEX(PASTE_ALL,$DF647,$L$18)," "," "),CHAR(9)," "),CHAR(10)," "),CHAR(13)," ")))="OVERTIME",UPPER(TRIM(SUBSTITUTE(SUBSTITUTE(SUBSTITUTE(SUBSTITUTE(INDEX(PASTE_ALL,$DF647,$L$18)," "," "),CHAR(9)," "),CHAR(10)," "),CHAR(13)," ")))="TRIAL"),"OT",TRIM(SUBSTITUTE(SUBSTITUTE(SUBSTITUTE(SUBSTITUTE(INDEX(PASTE_ALL,$DF647,$L$18)," "," "),CHAR(9)," "),CHAR(10)," "),CHAR(13)," "))))),"")))</f>
        <v/>
      </c>
      <c r="EC647">
        <f>IF($DM647=0,"",IF($L$19=0,"",IFERROR(IF(ISNUMBER(INDEX(PASTE_ALL,$DF647,$L$19)),INDEX(PASTE_ALL,$DF647,$L$19),TRIM(SUBSTITUTE(SUBSTITUTE(SUBSTITUTE(SUBSTITUTE(INDEX(PASTE_ALL,$DF647,$L$19)," "," "),CHAR(9)," "),CHAR(10)," "),CHAR(13)," "))),"")))</f>
        <v/>
      </c>
      <c r="ED647">
        <f>IF($DM647=0,"",MATCH(1,INDEX(EXACT($DH$5:DH647,$DH647)*$DM$5:DM647,0),0))</f>
        <v/>
      </c>
      <c r="EE647">
        <f>IF($DM647=0,0,IF($ED647=$DE647,1,0))</f>
        <v/>
      </c>
      <c r="EF647">
        <f>EF646+$EE647</f>
        <v/>
      </c>
      <c r="EG647">
        <f>IF($DM647=0,"",INDEX($EF$5:$EF$1003,$ED647))</f>
        <v/>
      </c>
      <c r="EH647">
        <f>IF($DM647=0,"",IF($DO647&lt;&gt;"","",IFERROR(LOOKUP(2,1/(($EG$4:EG646=$EG647)*($DO$4:DO646&lt;&gt;"")),$DO$4:DO646),"")))</f>
        <v/>
      </c>
      <c r="EI647">
        <f>IF($DM647=0,"",IF($DO647&lt;&gt;"",$DO647,$EH647))</f>
        <v/>
      </c>
      <c r="EJ647">
        <f>IF($DM647=0,"",IF($EI647="",0,IF(OR(ISNUMBER($EI647),AND(AND(SUBSTITUTE(SUBSTITUTE(SUBSTITUTE(SUBSTITUTE(SUBSTITUTE(SUBSTITUTE(SUBSTITUTE(SUBSTITUTE(SUBSTITUTE(SUBSTITUTE(SUBSTITUTE(SUBSTITUTE(SUBSTITUTE(SUBSTITUTE(UPPER($EI647),"0",""),"1",""),"2",""),"3",""),"4",""),"5",""),"6",""),"7",""),"8",""),"9",""),".",""),"+",""),"-",""),"E","")="",LEN(SUBSTITUTE(SUBSTITUTE(MID(UPPER($EI647),1+OR(LEFT(UPPER($EI647),1)="+",LEFT(UPPER($EI647),1)="-"),999),"E+","E"),"E-","E"))=LEN(SUBSTITUTE(SUBSTITUTE(SUBSTITUTE(SUBSTITUTE(MID(UPPER($EI647),1+OR(LEFT(UPPER($EI647),1)="+",LEFT(UPPER($EI647),1)="-"),999),"E+","E"),"E-","E"),"+",""),"-","")),LEN(UPPER($EI647))-LEN(SUBSTITUTE(UPPER($EI647),"E",""))&lt;2,LEN(UPPER($EI647))-LEN(SUBSTITUTE(UPPER($EI647),".",""))&lt;2,IFERROR(FIND(".",UPPER($EI647)),0)&lt;IFERROR(FIND("E",UPPER($EI647)),999)),ISNUMBER(VALUE($EI647)))),1,2)))</f>
        <v/>
      </c>
      <c r="EK647">
        <f>IF($DM647=0,"",IF($EJ647=1,IF(ISNUMBER($EI647),$EI647,VALUE($EI647)),IF($EJ647=2,$DE647,0)))</f>
        <v/>
      </c>
      <c r="EL647">
        <f>IF($DM647=0,"",COUNTIF($EG$5:$EG$1003,"&lt;"&amp;$EG647)+SUMPRODUCT(($EG$5:$EG$1003=$EG647)*(($EJ$5:$EJ$1003&lt;$EJ647)+($EJ$5:$EJ$1003=$EJ647)*(($EK$5:$EK$1003&lt;$EK647)+($EK$5:$EK$1003=$EK647)*($DE$5:$DE$1003&lt;$DE647))))+1)</f>
        <v/>
      </c>
      <c r="EM647">
        <f>IF($DM647=0,"",$EL647+$EG647-1)</f>
        <v/>
      </c>
      <c r="EN647">
        <f>IF($DM647=0,0,IFERROR(MATCH(1,INDEX(--(TRIM(SUBSTITUTE(SUBSTITUTE(SUBSTITUTE(SUBSTITUTE(LINES_NAME&amp;""," "," "),CHAR(9)," "),CHAR(10)," "),CHAR(13)," "))=$DH647),0),0),0))</f>
        <v/>
      </c>
      <c r="EO647">
        <f>IF($EN647=0,0,IF(OR(UPPER(TRIM(INDEX(LINES_SCHEDULED,$EN647)&amp;""))="YES",UPPER(TRIM(INDEX(LINES_SCHEDULED,$EN647)&amp;""))="Y",UPPER(TRIM(INDEX(LINES_SCHEDULED,$EN647)&amp;""))="X"),1,0))</f>
        <v/>
      </c>
      <c r="EP647">
        <f>IF($DM647=0,"",IF(COUNTIFS($EG$5:$EG$1003,$EG647,$EB$5:$EB$1003,"Ready")&gt;0,"READY",IF(COUNTIFS($EG$5:$EG$1003,$EG647,$EB$5:$EB$1003,"PM")&gt;0,"PM",IF(COUNTIFS($EG$5:$EG$1003,$EG647,$EB$5:$EB$1003,"OT")&gt;0,"OT",""))))</f>
        <v/>
      </c>
      <c r="EQ647">
        <f>IF($EN647=0,"",UPPER(TRIM(INDEX(LINES_STATUS,$EN647)&amp;"")))</f>
        <v/>
      </c>
      <c r="ER647">
        <f>IF($DM647=0,"",IF(OR($EQ647="READY",$EQ647="PM",$EQ647="OT"),$EQ647,$EP647))</f>
        <v/>
      </c>
      <c r="ES647">
        <f>IF($DM647=0,"",IF(AND($DV647&lt;&gt;"",UPPER($DV647)&lt;&gt;"N"),"allergen",IF(ISNUMBER(SEARCH("oil",$DQ647)),"oil",IF(OR(EXACT($DS647,"A662"),EXACT($DS647,"A624")),"bulk",""))))</f>
        <v/>
      </c>
      <c r="ET647">
        <f>IF($DM647=0,"",IF(OR($EA647="",$EA647=0),"",$EA647/100))</f>
        <v/>
      </c>
      <c r="EU647">
        <f>IF(OR($ET647="",$DY647=""),"",INT($DY647*(1-$ET647)+0.5))</f>
        <v/>
      </c>
      <c r="EW647" t="n">
        <v>643</v>
      </c>
      <c r="EX647">
        <f>IFERROR(MATCH($EW647,$EM$5:$EM$1003,0),0)</f>
        <v/>
      </c>
      <c r="EY647">
        <f>IF($EW647&gt;$B$12,"",IF($EX647&gt;0,"row","spacer"))</f>
        <v/>
      </c>
      <c r="EZ647">
        <f>IF(AND($EY647="row",$EY646&lt;&gt;"row"),1,0)</f>
        <v/>
      </c>
      <c r="FA647">
        <f>IF(AND($EY647="row",$EY648&lt;&gt;"row"),1,0)</f>
        <v/>
      </c>
      <c r="FB647">
        <f>IF($EZ647=1,IFERROR(IF(ISNUMBER(INDEX(PASTE_ALL,INDEX($DF$5:$DF$1003,$EX647),$B$37)),INDEX(PASTE_ALL,INDEX($DF$5:$DF$1003,$EX647),$B$37),INDEX($DH$5:$DH$1003,$EX647)),INDEX($DH$5:$DH$1003,$EX647)),"")</f>
        <v/>
      </c>
      <c r="FC647">
        <f>IF($EY647="row",INDEX($ER$5:$ER$1003,$EX647),"")</f>
        <v/>
      </c>
      <c r="FD647">
        <f>IF($EY647="row",INDEX($DN$5:$DN$1003,$EX647),"")</f>
        <v/>
      </c>
      <c r="FE647">
        <f>IF($EY647="row",INDEX($DO$5:$DO$1003,$EX647),"")</f>
        <v/>
      </c>
      <c r="FF647">
        <f>IF($EY647="row",INDEX($DP$5:$DP$1003,$EX647),"")</f>
        <v/>
      </c>
      <c r="FG647">
        <f>IF($EY647="row",INDEX($DQ$5:$DQ$1003,$EX647),"")</f>
        <v/>
      </c>
      <c r="FH647">
        <f>IF($EY647="row",INDEX($DR$5:$DR$1003,$EX647),"")</f>
        <v/>
      </c>
      <c r="FI647">
        <f>IF($EY647="row",INDEX($DS$5:$DS$1003,$EX647),"")</f>
        <v/>
      </c>
      <c r="FJ647">
        <f>IF($EY647="row",INDEX($DT$5:$DT$1003,$EX647),"")</f>
        <v/>
      </c>
      <c r="FK647">
        <f>IF($EY647="row",INDEX($DU$5:$DU$1003,$EX647),"")</f>
        <v/>
      </c>
      <c r="FL647">
        <f>IF($EY647="row",INDEX($DV$5:$DV$1003,$EX647),"")</f>
        <v/>
      </c>
      <c r="FM647">
        <f>IF($EY647="row",INDEX($DW$5:$DW$1003,$EX647),"")</f>
        <v/>
      </c>
      <c r="FN647">
        <f>IF($EY647="row",INDEX($DY$5:$DY$1003,$EX647),"")</f>
        <v/>
      </c>
      <c r="FO647">
        <f>IF($EY647="row",INDEX($EA$5:$EA$1003,$EX647),"")</f>
        <v/>
      </c>
      <c r="FP647">
        <f>IF($EY647="row",INDEX($EC$5:$EC$1003,$EX647),"")</f>
        <v/>
      </c>
      <c r="FQ647">
        <f>IF($EY647="row",INDEX($ET$5:$ET$1003,$EX647),"")</f>
        <v/>
      </c>
      <c r="FR647">
        <f>IF($EY647="row",INDEX($EU$5:$EU$1003,$EX647),"")</f>
        <v/>
      </c>
      <c r="FS647">
        <f>IF(AND($EY647="row",$EY646="row"),IF(OR(INDEX($DT$5:$DT$1003,$EX646)="",INDEX($DT$5:$DT$1003,$EX647)=""),"",IF(NOT(EXACT(INDEX($DT$5:$DT$1003,$EX646),INDEX($DT$5:$DT$1003,$EX647))),"S4",IF(NOT(EXACT(INDEX($DS$5:$DS$1003,$EX646),INDEX($DS$5:$DS$1003,$EX647))),"S3",IF(NOT(EXACT(INDEX($DR$5:$DR$1003,$EX646),INDEX($DR$5:$DR$1003,$EX647))),"S1 Count Change","S1")))),"")</f>
        <v/>
      </c>
      <c r="FT647">
        <f>IF($EY647="row",INDEX($ES$5:$ES$1003,$EX647),"")</f>
        <v/>
      </c>
      <c r="FU647">
        <f>IF($EY647="row",INDEX($EO$5:$EO$1003,$EX647),0)</f>
        <v/>
      </c>
      <c r="FV647">
        <f>IF($FS647="S1 Count Change",1,0)</f>
        <v/>
      </c>
    </row>
    <row r="648">
      <c r="DA648" t="n">
        <v>644</v>
      </c>
      <c r="DB648">
        <f>IF($B$37=0,"",IFERROR(TRIM(SUBSTITUTE(SUBSTITUTE(SUBSTITUTE(SUBSTITUTE(INDEX(PASTE_ALL,644,$B$37)," "," "),CHAR(9)," "),CHAR(10)," "),CHAR(13)," ")),""))</f>
        <v/>
      </c>
      <c r="DC648">
        <f>IF(AND(644&gt;HEADER_ROW,UPPER(DB648)="LEGEND"),1,0)</f>
        <v/>
      </c>
      <c r="DE648" t="n">
        <v>644</v>
      </c>
      <c r="DF648">
        <f>HEADER_ROW+$DE648</f>
        <v/>
      </c>
      <c r="DG648">
        <f>IF(AND($DF648&lt;=1000,$DF648&lt;$B$8),1,0)</f>
        <v/>
      </c>
      <c r="DH648">
        <f>IF($DG648=1,IFERROR(INDEX($DB$5:$DB$1004,$DF648),""),"")</f>
        <v/>
      </c>
      <c r="DI648">
        <f>IF(AND($DG648=1,$DH648&lt;&gt;""),IFERROR(SUBSTITUTE(SUBSTITUTE(TRIM(SUBSTITUTE(SUBSTITUTE(SUBSTITUTE(SUBSTITUTE(IFERROR(INDEX(PASTE_ALL,$DF648,1)&amp;"","")&amp;"␟"&amp;IFERROR(INDEX(PASTE_ALL,$DF648,2)&amp;"","")&amp;"␟"&amp;IFERROR(INDEX(PASTE_ALL,$DF648,3)&amp;"","")&amp;"␟"&amp;IFERROR(INDEX(PASTE_ALL,$DF648,4)&amp;"","")&amp;"␟"&amp;IFERROR(INDEX(PASTE_ALL,$DF648,5)&amp;"","")&amp;"␟"&amp;IFERROR(INDEX(PASTE_ALL,$DF648,6)&amp;"","")&amp;"␟"&amp;IFERROR(INDEX(PASTE_ALL,$DF648,7)&amp;"","")&amp;"␟"&amp;IFERROR(INDEX(PASTE_ALL,$DF648,8)&amp;"","")&amp;"␟"&amp;IFERROR(INDEX(PASTE_ALL,$DF648,9)&amp;"","")&amp;"␟"&amp;IFERROR(INDEX(PASTE_ALL,$DF648,10)&amp;"","")&amp;"␟"&amp;IFERROR(INDEX(PASTE_ALL,$DF648,11)&amp;"","")&amp;"␟"&amp;IFERROR(INDEX(PASTE_ALL,$DF648,12)&amp;"","")&amp;"␟"&amp;IFERROR(INDEX(PASTE_ALL,$DF648,13)&amp;"","")&amp;"␟"&amp;IFERROR(INDEX(PASTE_ALL,$DF648,14)&amp;"","")&amp;"␟"&amp;IFERROR(INDEX(PASTE_ALL,$DF648,15)&amp;"","")&amp;"␟"&amp;IFERROR(INDEX(PASTE_ALL,$DF648,16)&amp;"","")&amp;"␟"&amp;IFERROR(INDEX(PASTE_ALL,$DF648,17)&amp;"","")&amp;"␟"&amp;IFERROR(INDEX(PASTE_ALL,$DF648,18)&amp;"","")&amp;"␟"&amp;IFERROR(INDEX(PASTE_ALL,$DF648,19)&amp;"","")&amp;"␟"&amp;IFERROR(INDEX(PASTE_ALL,$DF648,20)&amp;"","")&amp;"␟"&amp;IFERROR(INDEX(PASTE_ALL,$DF648,21)&amp;"","")&amp;"␟"&amp;IFERROR(INDEX(PASTE_ALL,$DF648,22)&amp;"","")&amp;"␟"&amp;IFERROR(INDEX(PASTE_ALL,$DF648,23)&amp;"","")&amp;"␟"&amp;IFERROR(INDEX(PASTE_ALL,$DF648,24)&amp;"","")&amp;"␟"&amp;IFERROR(INDEX(PASTE_ALL,$DF648,25)&amp;"","")&amp;"␟"&amp;IFERROR(INDEX(PASTE_ALL,$DF648,26)&amp;"","")&amp;"␟"&amp;IFERROR(INDEX(PASTE_ALL,$DF648,27)&amp;"","")&amp;"␟"&amp;IFERROR(INDEX(PASTE_ALL,$DF648,28)&amp;"","")&amp;"␟"&amp;IFERROR(INDEX(PASTE_ALL,$DF648,29)&amp;"","")&amp;"␟"&amp;IFERROR(INDEX(PASTE_ALL,$DF648,30)&amp;"","")&amp;"␟"&amp;IFERROR(INDEX(PASTE_ALL,$DF648,31)&amp;"","")&amp;"␟"&amp;IFERROR(INDEX(PASTE_ALL,$DF648,32)&amp;"","")&amp;"␟"&amp;IFERROR(INDEX(PASTE_ALL,$DF648,33)&amp;"","")&amp;"␟"&amp;IFERROR(INDEX(PASTE_ALL,$DF648,34)&amp;"","")&amp;"␟"&amp;IFERROR(INDEX(PASTE_ALL,$DF648,35)&amp;"","")&amp;"␟"&amp;IFERROR(INDEX(PASTE_ALL,$DF648,36)&amp;"","")&amp;"␟"&amp;IFERROR(INDEX(PASTE_ALL,$DF648,37)&amp;"","")&amp;"␟"&amp;IFERROR(INDEX(PASTE_ALL,$DF648,38)&amp;"","")&amp;"␟"&amp;IFERROR(INDEX(PASTE_ALL,$DF648,39)&amp;"","")&amp;"␟"&amp;IFERROR(INDEX(PASTE_ALL,$DF648,40)&amp;"","")&amp;"␟"&amp;IFERROR(INDEX(PASTE_ALL,$DF648,41)&amp;"","")&amp;"␟"&amp;IFERROR(INDEX(PASTE_ALL,$DF648,42)&amp;"","")&amp;"␟"&amp;IFERROR(INDEX(PASTE_ALL,$DF648,43)&amp;"","")&amp;"␟"&amp;IFERROR(INDEX(PASTE_ALL,$DF648,44)&amp;"","")&amp;"␟"&amp;IFERROR(INDEX(PASTE_ALL,$DF648,45)&amp;"","")&amp;"␟"&amp;IFERROR(INDEX(PASTE_ALL,$DF648,46)&amp;"","")&amp;"␟"&amp;IFERROR(INDEX(PASTE_ALL,$DF648,47)&amp;"","")&amp;"␟"&amp;IFERROR(INDEX(PASTE_ALL,$DF648,48)&amp;"","")&amp;"␟"&amp;IFERROR(INDEX(PASTE_ALL,$DF648,49)&amp;"","")&amp;"␟"&amp;IFERROR(INDEX(PASTE_ALL,$DF648,50)&amp;"","")&amp;"␟"&amp;IFERROR(INDEX(PASTE_ALL,$DF648,51)&amp;"","")&amp;"␟"&amp;IFERROR(INDEX(PASTE_ALL,$DF648,52)&amp;"","")&amp;"␟"&amp;IFERROR(INDEX(PASTE_ALL,$DF648,53)&amp;"","")&amp;"␟"&amp;IFERROR(INDEX(PASTE_ALL,$DF648,54)&amp;"","")&amp;"␟"&amp;IFERROR(INDEX(PASTE_ALL,$DF648,55)&amp;"","")&amp;"␟"&amp;IFERROR(INDEX(PASTE_ALL,$DF648,56)&amp;"","")&amp;"␟"&amp;IFERROR(INDEX(PASTE_ALL,$DF648,57)&amp;"","")&amp;"␟"&amp;IFERROR(INDEX(PASTE_ALL,$DF648,58)&amp;"","")&amp;"␟"&amp;IFERROR(INDEX(PASTE_ALL,$DF648,59)&amp;"","")&amp;"␟"&amp;IFERROR(INDEX(PASTE_ALL,$DF648,60)&amp;"","")," "," "),CHAR(9)," "),CHAR(10)," "),CHAR(13)," "))," ␟","␟"),"␟ ","␟"),"#"&amp;$DE648),"")</f>
        <v/>
      </c>
      <c r="DJ648">
        <f>IF($DI648="",0,IF(SUMPRODUCT(--EXACT($DI$4:DI647,$DI648))&gt;0,1,0))</f>
        <v/>
      </c>
      <c r="DK648">
        <f>IF(AND($DI648&lt;&gt;"",$DJ648=0),1,0)</f>
        <v/>
      </c>
      <c r="DL648">
        <f>DL647+$DK648</f>
        <v/>
      </c>
      <c r="DM648">
        <f>IF(AND($DK648=1,$DL648&lt;=600),1,0)</f>
        <v/>
      </c>
      <c r="DN648">
        <f>IF($DM648=0,"",IF($L$6=0,"",IFERROR(IF(ISNUMBER(INDEX(PASTE_ALL,$DF648,$L$6)),INDEX(PASTE_ALL,$DF648,$L$6),TRIM(SUBSTITUTE(SUBSTITUTE(SUBSTITUTE(SUBSTITUTE(INDEX(PASTE_ALL,$DF648,$L$6)," "," "),CHAR(9)," "),CHAR(10)," "),CHAR(13)," "))),"")))</f>
        <v/>
      </c>
      <c r="DO648">
        <f>IF($DM648=0,"",IF($L$7=0,"",IFERROR(IF(ISNUMBER(INDEX(PASTE_ALL,$DF648,$L$7)),INDEX(PASTE_ALL,$DF648,$L$7),TRIM(SUBSTITUTE(SUBSTITUTE(SUBSTITUTE(SUBSTITUTE(INDEX(PASTE_ALL,$DF648,$L$7)," "," "),CHAR(9)," "),CHAR(10)," "),CHAR(13)," "))),"")))</f>
        <v/>
      </c>
      <c r="DP648">
        <f>IF($DM648=0,"",IF($L$8=0,"",IFERROR(IF(ISNUMBER(INDEX(PASTE_ALL,$DF648,$L$8)),INDEX(PASTE_ALL,$DF648,$L$8),TRIM(SUBSTITUTE(SUBSTITUTE(SUBSTITUTE(SUBSTITUTE(INDEX(PASTE_ALL,$DF648,$L$8)," "," "),CHAR(9)," "),CHAR(10)," "),CHAR(13)," "))),"")))</f>
        <v/>
      </c>
      <c r="DQ648">
        <f>IF($DM648=0,"",IF($L$9=0,"",IFERROR(IF(ISNUMBER(INDEX(PASTE_ALL,$DF648,$L$9)),INDEX(PASTE_ALL,$DF648,$L$9),TRIM(SUBSTITUTE(SUBSTITUTE(SUBSTITUTE(SUBSTITUTE(INDEX(PASTE_ALL,$DF648,$L$9)," "," "),CHAR(9)," "),CHAR(10)," "),CHAR(13)," "))),"")))</f>
        <v/>
      </c>
      <c r="DR648">
        <f>IF($DM648=0,"",IF($L$10=0,"",IFERROR(IF(ISNUMBER(INDEX(PASTE_ALL,$DF648,$L$10)),INDEX(PASTE_ALL,$DF648,$L$10),TRIM(SUBSTITUTE(SUBSTITUTE(SUBSTITUTE(SUBSTITUTE(INDEX(PASTE_ALL,$DF648,$L$10)," "," "),CHAR(9)," "),CHAR(10)," "),CHAR(13)," "))),"")))</f>
        <v/>
      </c>
      <c r="DS648">
        <f>IF($DM648=0,"",IF($L$11=0,"",IFERROR(IF(ISNUMBER(INDEX(PASTE_ALL,$DF648,$L$11)),INDEX(PASTE_ALL,$DF648,$L$11),TRIM(SUBSTITUTE(SUBSTITUTE(SUBSTITUTE(SUBSTITUTE(INDEX(PASTE_ALL,$DF648,$L$11)," "," "),CHAR(9)," "),CHAR(10)," "),CHAR(13)," "))),"")))</f>
        <v/>
      </c>
      <c r="DT648">
        <f>IF($DM648=0,"",IF($L$12=0,"",IFERROR(IF(ISNUMBER(INDEX(PASTE_ALL,$DF648,$L$12)),INDEX(PASTE_ALL,$DF648,$L$12),TRIM(SUBSTITUTE(SUBSTITUTE(SUBSTITUTE(SUBSTITUTE(INDEX(PASTE_ALL,$DF648,$L$12)," "," "),CHAR(9)," "),CHAR(10)," "),CHAR(13)," "))),"")))</f>
        <v/>
      </c>
      <c r="DU648">
        <f>IF($DM648=0,"",IF($L$13=0,"",IFERROR(IF(ISNUMBER(INDEX(PASTE_ALL,$DF648,$L$13)),INDEX(PASTE_ALL,$DF648,$L$13),TRIM(SUBSTITUTE(SUBSTITUTE(SUBSTITUTE(SUBSTITUTE(INDEX(PASTE_ALL,$DF648,$L$13)," "," "),CHAR(9)," "),CHAR(10)," "),CHAR(13)," "))),"")))</f>
        <v/>
      </c>
      <c r="DV648">
        <f>IF($DM648=0,"",IF($L$14=0,"",IFERROR(IF(ISNUMBER(INDEX(PASTE_ALL,$DF648,$L$14)),INDEX(PASTE_ALL,$DF648,$L$14),TRIM(SUBSTITUTE(SUBSTITUTE(SUBSTITUTE(SUBSTITUTE(INDEX(PASTE_ALL,$DF648,$L$14)," "," "),CHAR(9)," "),CHAR(10)," "),CHAR(13)," "))),"")))</f>
        <v/>
      </c>
      <c r="DW648">
        <f>IF($DM648=0,"",IF($L$15=0,"",IFERROR(IF(ISNUMBER(INDEX(PASTE_ALL,$DF648,$L$15)),INDEX(PASTE_ALL,$DF648,$L$15),IF(SUMPRODUCT(--ISNUMBER(FIND({"A","B","C","D","E","F","G","H","I","J","K","L","M","N","O","P","Q","R","S","T","U","V","W","X","Y","Z","0","1","2","3","4","5","6","7","8","9"},UPPER(TRIM(SUBSTITUTE(SUBSTITUTE(SUBSTITUTE(SUBSTITUTE(INDEX(PASTE_ALL,$DF648,$L$15)," "," "),CHAR(9)," "),CHAR(10)," "),CHAR(13)," "))))))&gt;0,TRIM(SUBSTITUTE(SUBSTITUTE(SUBSTITUTE(SUBSTITUTE(INDEX(PASTE_ALL,$DF648,$L$15)," "," "),CHAR(9)," "),CHAR(10)," "),CHAR(13)," ")),"")),"")))</f>
        <v/>
      </c>
      <c r="DX648">
        <f>IF($DM648=0,"",IF($L$16=0,"",IFERROR(IF(ISNUMBER(INDEX(PASTE_ALL,$DF648,$L$16)),INDEX(PASTE_ALL,$DF648,$L$16),SUBSTITUTE(SUBSTITUTE(TRIM(SUBSTITUTE(SUBSTITUTE(SUBSTITUTE(SUBSTITUTE(INDEX(PASTE_ALL,$DF648,$L$16)," "," "),CHAR(9)," "),CHAR(10)," "),CHAR(13)," ")),",",""),"%","")),"")))</f>
        <v/>
      </c>
      <c r="DY648">
        <f>IF($DM648=0,"",IFERROR(IF(ISNUMBER($DX648),$DX648,IF($DX648="","",IF(TRIM($DX648)="",0,IF(AND(AND(SUBSTITUTE(SUBSTITUTE(SUBSTITUTE(SUBSTITUTE(SUBSTITUTE(SUBSTITUTE(SUBSTITUTE(SUBSTITUTE(SUBSTITUTE(SUBSTITUTE(SUBSTITUTE(SUBSTITUTE(SUBSTITUTE(SUBSTITUTE(UPPER(TRIM($DX648)),"0",""),"1",""),"2",""),"3",""),"4",""),"5",""),"6",""),"7",""),"8",""),"9",""),".",""),"+",""),"-",""),"E","")="",LEN(SUBSTITUTE(SUBSTITUTE(MID(UPPER(TRIM($DX648)),1+OR(LEFT(UPPER(TRIM($DX648)),1)="+",LEFT(UPPER(TRIM($DX648)),1)="-"),999),"E+","E"),"E-","E"))=LEN(SUBSTITUTE(SUBSTITUTE(SUBSTITUTE(SUBSTITUTE(MID(UPPER(TRIM($DX648)),1+OR(LEFT(UPPER(TRIM($DX648)),1)="+",LEFT(UPPER(TRIM($DX648)),1)="-"),999),"E+","E"),"E-","E"),"+",""),"-","")),LEN(UPPER(TRIM($DX648)))-LEN(SUBSTITUTE(UPPER(TRIM($DX648)),"E",""))&lt;2,LEN(UPPER(TRIM($DX648)))-LEN(SUBSTITUTE(UPPER(TRIM($DX648)),".",""))&lt;2,IFERROR(FIND(".",UPPER(TRIM($DX648))),0)&lt;IFERROR(FIND("E",UPPER(TRIM($DX648))),999)),ISNUMBER(VALUE(TRIM($DX648)))),VALUE(TRIM($DX648)),"")))),""))</f>
        <v/>
      </c>
      <c r="DZ648">
        <f>IF($DM648=0,"",IF($L$17=0,"",IFERROR(IF(ISNUMBER(INDEX(PASTE_ALL,$DF648,$L$17)),INDEX(PASTE_ALL,$DF648,$L$17),SUBSTITUTE(SUBSTITUTE(TRIM(SUBSTITUTE(SUBSTITUTE(SUBSTITUTE(SUBSTITUTE(INDEX(PASTE_ALL,$DF648,$L$17)," "," "),CHAR(9)," "),CHAR(10)," "),CHAR(13)," ")),",",""),"%","")),"")))</f>
        <v/>
      </c>
      <c r="EA648">
        <f>IF($DM648=0,"",IFERROR(IF(ISNUMBER($DZ648),$DZ648,IF($DZ648="","",IF(TRIM($DZ648)="",0,IF(AND(AND(SUBSTITUTE(SUBSTITUTE(SUBSTITUTE(SUBSTITUTE(SUBSTITUTE(SUBSTITUTE(SUBSTITUTE(SUBSTITUTE(SUBSTITUTE(SUBSTITUTE(SUBSTITUTE(SUBSTITUTE(SUBSTITUTE(SUBSTITUTE(UPPER(TRIM($DZ648)),"0",""),"1",""),"2",""),"3",""),"4",""),"5",""),"6",""),"7",""),"8",""),"9",""),".",""),"+",""),"-",""),"E","")="",LEN(SUBSTITUTE(SUBSTITUTE(MID(UPPER(TRIM($DZ648)),1+OR(LEFT(UPPER(TRIM($DZ648)),1)="+",LEFT(UPPER(TRIM($DZ648)),1)="-"),999),"E+","E"),"E-","E"))=LEN(SUBSTITUTE(SUBSTITUTE(SUBSTITUTE(SUBSTITUTE(MID(UPPER(TRIM($DZ648)),1+OR(LEFT(UPPER(TRIM($DZ648)),1)="+",LEFT(UPPER(TRIM($DZ648)),1)="-"),999),"E+","E"),"E-","E"),"+",""),"-","")),LEN(UPPER(TRIM($DZ648)))-LEN(SUBSTITUTE(UPPER(TRIM($DZ648)),"E",""))&lt;2,LEN(UPPER(TRIM($DZ648)))-LEN(SUBSTITUTE(UPPER(TRIM($DZ648)),".",""))&lt;2,IFERROR(FIND(".",UPPER(TRIM($DZ648))),0)&lt;IFERROR(FIND("E",UPPER(TRIM($DZ648))),999)),ISNUMBER(VALUE(TRIM($DZ648)))),VALUE(TRIM($DZ648)),"")))),""))</f>
        <v/>
      </c>
      <c r="EB648">
        <f>IF($DM648=0,"",IF($L$18=0,"",IFERROR(IF(UPPER(TRIM(SUBSTITUTE(SUBSTITUTE(SUBSTITUTE(SUBSTITUTE(INDEX(PASTE_ALL,$DF648,$L$18)," "," "),CHAR(9)," "),CHAR(10)," "),CHAR(13)," ")))="READY","Ready",IF(UPPER(TRIM(SUBSTITUTE(SUBSTITUTE(SUBSTITUTE(SUBSTITUTE(INDEX(PASTE_ALL,$DF648,$L$18)," "," "),CHAR(9)," "),CHAR(10)," "),CHAR(13)," ")))="PM","PM",IF(OR(UPPER(TRIM(SUBSTITUTE(SUBSTITUTE(SUBSTITUTE(SUBSTITUTE(INDEX(PASTE_ALL,$DF648,$L$18)," "," "),CHAR(9)," "),CHAR(10)," "),CHAR(13)," ")))="OT",UPPER(TRIM(SUBSTITUTE(SUBSTITUTE(SUBSTITUTE(SUBSTITUTE(INDEX(PASTE_ALL,$DF648,$L$18)," "," "),CHAR(9)," "),CHAR(10)," "),CHAR(13)," ")))="OVERTIME",UPPER(TRIM(SUBSTITUTE(SUBSTITUTE(SUBSTITUTE(SUBSTITUTE(INDEX(PASTE_ALL,$DF648,$L$18)," "," "),CHAR(9)," "),CHAR(10)," "),CHAR(13)," ")))="TRIAL"),"OT",TRIM(SUBSTITUTE(SUBSTITUTE(SUBSTITUTE(SUBSTITUTE(INDEX(PASTE_ALL,$DF648,$L$18)," "," "),CHAR(9)," "),CHAR(10)," "),CHAR(13)," "))))),"")))</f>
        <v/>
      </c>
      <c r="EC648">
        <f>IF($DM648=0,"",IF($L$19=0,"",IFERROR(IF(ISNUMBER(INDEX(PASTE_ALL,$DF648,$L$19)),INDEX(PASTE_ALL,$DF648,$L$19),TRIM(SUBSTITUTE(SUBSTITUTE(SUBSTITUTE(SUBSTITUTE(INDEX(PASTE_ALL,$DF648,$L$19)," "," "),CHAR(9)," "),CHAR(10)," "),CHAR(13)," "))),"")))</f>
        <v/>
      </c>
      <c r="ED648">
        <f>IF($DM648=0,"",MATCH(1,INDEX(EXACT($DH$5:DH648,$DH648)*$DM$5:DM648,0),0))</f>
        <v/>
      </c>
      <c r="EE648">
        <f>IF($DM648=0,0,IF($ED648=$DE648,1,0))</f>
        <v/>
      </c>
      <c r="EF648">
        <f>EF647+$EE648</f>
        <v/>
      </c>
      <c r="EG648">
        <f>IF($DM648=0,"",INDEX($EF$5:$EF$1003,$ED648))</f>
        <v/>
      </c>
      <c r="EH648">
        <f>IF($DM648=0,"",IF($DO648&lt;&gt;"","",IFERROR(LOOKUP(2,1/(($EG$4:EG647=$EG648)*($DO$4:DO647&lt;&gt;"")),$DO$4:DO647),"")))</f>
        <v/>
      </c>
      <c r="EI648">
        <f>IF($DM648=0,"",IF($DO648&lt;&gt;"",$DO648,$EH648))</f>
        <v/>
      </c>
      <c r="EJ648">
        <f>IF($DM648=0,"",IF($EI648="",0,IF(OR(ISNUMBER($EI648),AND(AND(SUBSTITUTE(SUBSTITUTE(SUBSTITUTE(SUBSTITUTE(SUBSTITUTE(SUBSTITUTE(SUBSTITUTE(SUBSTITUTE(SUBSTITUTE(SUBSTITUTE(SUBSTITUTE(SUBSTITUTE(SUBSTITUTE(SUBSTITUTE(UPPER($EI648),"0",""),"1",""),"2",""),"3",""),"4",""),"5",""),"6",""),"7",""),"8",""),"9",""),".",""),"+",""),"-",""),"E","")="",LEN(SUBSTITUTE(SUBSTITUTE(MID(UPPER($EI648),1+OR(LEFT(UPPER($EI648),1)="+",LEFT(UPPER($EI648),1)="-"),999),"E+","E"),"E-","E"))=LEN(SUBSTITUTE(SUBSTITUTE(SUBSTITUTE(SUBSTITUTE(MID(UPPER($EI648),1+OR(LEFT(UPPER($EI648),1)="+",LEFT(UPPER($EI648),1)="-"),999),"E+","E"),"E-","E"),"+",""),"-","")),LEN(UPPER($EI648))-LEN(SUBSTITUTE(UPPER($EI648),"E",""))&lt;2,LEN(UPPER($EI648))-LEN(SUBSTITUTE(UPPER($EI648),".",""))&lt;2,IFERROR(FIND(".",UPPER($EI648)),0)&lt;IFERROR(FIND("E",UPPER($EI648)),999)),ISNUMBER(VALUE($EI648)))),1,2)))</f>
        <v/>
      </c>
      <c r="EK648">
        <f>IF($DM648=0,"",IF($EJ648=1,IF(ISNUMBER($EI648),$EI648,VALUE($EI648)),IF($EJ648=2,$DE648,0)))</f>
        <v/>
      </c>
      <c r="EL648">
        <f>IF($DM648=0,"",COUNTIF($EG$5:$EG$1003,"&lt;"&amp;$EG648)+SUMPRODUCT(($EG$5:$EG$1003=$EG648)*(($EJ$5:$EJ$1003&lt;$EJ648)+($EJ$5:$EJ$1003=$EJ648)*(($EK$5:$EK$1003&lt;$EK648)+($EK$5:$EK$1003=$EK648)*($DE$5:$DE$1003&lt;$DE648))))+1)</f>
        <v/>
      </c>
      <c r="EM648">
        <f>IF($DM648=0,"",$EL648+$EG648-1)</f>
        <v/>
      </c>
      <c r="EN648">
        <f>IF($DM648=0,0,IFERROR(MATCH(1,INDEX(--(TRIM(SUBSTITUTE(SUBSTITUTE(SUBSTITUTE(SUBSTITUTE(LINES_NAME&amp;""," "," "),CHAR(9)," "),CHAR(10)," "),CHAR(13)," "))=$DH648),0),0),0))</f>
        <v/>
      </c>
      <c r="EO648">
        <f>IF($EN648=0,0,IF(OR(UPPER(TRIM(INDEX(LINES_SCHEDULED,$EN648)&amp;""))="YES",UPPER(TRIM(INDEX(LINES_SCHEDULED,$EN648)&amp;""))="Y",UPPER(TRIM(INDEX(LINES_SCHEDULED,$EN648)&amp;""))="X"),1,0))</f>
        <v/>
      </c>
      <c r="EP648">
        <f>IF($DM648=0,"",IF(COUNTIFS($EG$5:$EG$1003,$EG648,$EB$5:$EB$1003,"Ready")&gt;0,"READY",IF(COUNTIFS($EG$5:$EG$1003,$EG648,$EB$5:$EB$1003,"PM")&gt;0,"PM",IF(COUNTIFS($EG$5:$EG$1003,$EG648,$EB$5:$EB$1003,"OT")&gt;0,"OT",""))))</f>
        <v/>
      </c>
      <c r="EQ648">
        <f>IF($EN648=0,"",UPPER(TRIM(INDEX(LINES_STATUS,$EN648)&amp;"")))</f>
        <v/>
      </c>
      <c r="ER648">
        <f>IF($DM648=0,"",IF(OR($EQ648="READY",$EQ648="PM",$EQ648="OT"),$EQ648,$EP648))</f>
        <v/>
      </c>
      <c r="ES648">
        <f>IF($DM648=0,"",IF(AND($DV648&lt;&gt;"",UPPER($DV648)&lt;&gt;"N"),"allergen",IF(ISNUMBER(SEARCH("oil",$DQ648)),"oil",IF(OR(EXACT($DS648,"A662"),EXACT($DS648,"A624")),"bulk",""))))</f>
        <v/>
      </c>
      <c r="ET648">
        <f>IF($DM648=0,"",IF(OR($EA648="",$EA648=0),"",$EA648/100))</f>
        <v/>
      </c>
      <c r="EU648">
        <f>IF(OR($ET648="",$DY648=""),"",INT($DY648*(1-$ET648)+0.5))</f>
        <v/>
      </c>
      <c r="EW648" t="n">
        <v>644</v>
      </c>
      <c r="EX648">
        <f>IFERROR(MATCH($EW648,$EM$5:$EM$1003,0),0)</f>
        <v/>
      </c>
      <c r="EY648">
        <f>IF($EW648&gt;$B$12,"",IF($EX648&gt;0,"row","spacer"))</f>
        <v/>
      </c>
      <c r="EZ648">
        <f>IF(AND($EY648="row",$EY647&lt;&gt;"row"),1,0)</f>
        <v/>
      </c>
      <c r="FA648">
        <f>IF(AND($EY648="row",$EY649&lt;&gt;"row"),1,0)</f>
        <v/>
      </c>
      <c r="FB648">
        <f>IF($EZ648=1,IFERROR(IF(ISNUMBER(INDEX(PASTE_ALL,INDEX($DF$5:$DF$1003,$EX648),$B$37)),INDEX(PASTE_ALL,INDEX($DF$5:$DF$1003,$EX648),$B$37),INDEX($DH$5:$DH$1003,$EX648)),INDEX($DH$5:$DH$1003,$EX648)),"")</f>
        <v/>
      </c>
      <c r="FC648">
        <f>IF($EY648="row",INDEX($ER$5:$ER$1003,$EX648),"")</f>
        <v/>
      </c>
      <c r="FD648">
        <f>IF($EY648="row",INDEX($DN$5:$DN$1003,$EX648),"")</f>
        <v/>
      </c>
      <c r="FE648">
        <f>IF($EY648="row",INDEX($DO$5:$DO$1003,$EX648),"")</f>
        <v/>
      </c>
      <c r="FF648">
        <f>IF($EY648="row",INDEX($DP$5:$DP$1003,$EX648),"")</f>
        <v/>
      </c>
      <c r="FG648">
        <f>IF($EY648="row",INDEX($DQ$5:$DQ$1003,$EX648),"")</f>
        <v/>
      </c>
      <c r="FH648">
        <f>IF($EY648="row",INDEX($DR$5:$DR$1003,$EX648),"")</f>
        <v/>
      </c>
      <c r="FI648">
        <f>IF($EY648="row",INDEX($DS$5:$DS$1003,$EX648),"")</f>
        <v/>
      </c>
      <c r="FJ648">
        <f>IF($EY648="row",INDEX($DT$5:$DT$1003,$EX648),"")</f>
        <v/>
      </c>
      <c r="FK648">
        <f>IF($EY648="row",INDEX($DU$5:$DU$1003,$EX648),"")</f>
        <v/>
      </c>
      <c r="FL648">
        <f>IF($EY648="row",INDEX($DV$5:$DV$1003,$EX648),"")</f>
        <v/>
      </c>
      <c r="FM648">
        <f>IF($EY648="row",INDEX($DW$5:$DW$1003,$EX648),"")</f>
        <v/>
      </c>
      <c r="FN648">
        <f>IF($EY648="row",INDEX($DY$5:$DY$1003,$EX648),"")</f>
        <v/>
      </c>
      <c r="FO648">
        <f>IF($EY648="row",INDEX($EA$5:$EA$1003,$EX648),"")</f>
        <v/>
      </c>
      <c r="FP648">
        <f>IF($EY648="row",INDEX($EC$5:$EC$1003,$EX648),"")</f>
        <v/>
      </c>
      <c r="FQ648">
        <f>IF($EY648="row",INDEX($ET$5:$ET$1003,$EX648),"")</f>
        <v/>
      </c>
      <c r="FR648">
        <f>IF($EY648="row",INDEX($EU$5:$EU$1003,$EX648),"")</f>
        <v/>
      </c>
      <c r="FS648">
        <f>IF(AND($EY648="row",$EY647="row"),IF(OR(INDEX($DT$5:$DT$1003,$EX647)="",INDEX($DT$5:$DT$1003,$EX648)=""),"",IF(NOT(EXACT(INDEX($DT$5:$DT$1003,$EX647),INDEX($DT$5:$DT$1003,$EX648))),"S4",IF(NOT(EXACT(INDEX($DS$5:$DS$1003,$EX647),INDEX($DS$5:$DS$1003,$EX648))),"S3",IF(NOT(EXACT(INDEX($DR$5:$DR$1003,$EX647),INDEX($DR$5:$DR$1003,$EX648))),"S1 Count Change","S1")))),"")</f>
        <v/>
      </c>
      <c r="FT648">
        <f>IF($EY648="row",INDEX($ES$5:$ES$1003,$EX648),"")</f>
        <v/>
      </c>
      <c r="FU648">
        <f>IF($EY648="row",INDEX($EO$5:$EO$1003,$EX648),0)</f>
        <v/>
      </c>
      <c r="FV648">
        <f>IF($FS648="S1 Count Change",1,0)</f>
        <v/>
      </c>
    </row>
    <row r="649">
      <c r="DA649" t="n">
        <v>645</v>
      </c>
      <c r="DB649">
        <f>IF($B$37=0,"",IFERROR(TRIM(SUBSTITUTE(SUBSTITUTE(SUBSTITUTE(SUBSTITUTE(INDEX(PASTE_ALL,645,$B$37)," "," "),CHAR(9)," "),CHAR(10)," "),CHAR(13)," ")),""))</f>
        <v/>
      </c>
      <c r="DC649">
        <f>IF(AND(645&gt;HEADER_ROW,UPPER(DB649)="LEGEND"),1,0)</f>
        <v/>
      </c>
      <c r="DE649" t="n">
        <v>645</v>
      </c>
      <c r="DF649">
        <f>HEADER_ROW+$DE649</f>
        <v/>
      </c>
      <c r="DG649">
        <f>IF(AND($DF649&lt;=1000,$DF649&lt;$B$8),1,0)</f>
        <v/>
      </c>
      <c r="DH649">
        <f>IF($DG649=1,IFERROR(INDEX($DB$5:$DB$1004,$DF649),""),"")</f>
        <v/>
      </c>
      <c r="DI649">
        <f>IF(AND($DG649=1,$DH649&lt;&gt;""),IFERROR(SUBSTITUTE(SUBSTITUTE(TRIM(SUBSTITUTE(SUBSTITUTE(SUBSTITUTE(SUBSTITUTE(IFERROR(INDEX(PASTE_ALL,$DF649,1)&amp;"","")&amp;"␟"&amp;IFERROR(INDEX(PASTE_ALL,$DF649,2)&amp;"","")&amp;"␟"&amp;IFERROR(INDEX(PASTE_ALL,$DF649,3)&amp;"","")&amp;"␟"&amp;IFERROR(INDEX(PASTE_ALL,$DF649,4)&amp;"","")&amp;"␟"&amp;IFERROR(INDEX(PASTE_ALL,$DF649,5)&amp;"","")&amp;"␟"&amp;IFERROR(INDEX(PASTE_ALL,$DF649,6)&amp;"","")&amp;"␟"&amp;IFERROR(INDEX(PASTE_ALL,$DF649,7)&amp;"","")&amp;"␟"&amp;IFERROR(INDEX(PASTE_ALL,$DF649,8)&amp;"","")&amp;"␟"&amp;IFERROR(INDEX(PASTE_ALL,$DF649,9)&amp;"","")&amp;"␟"&amp;IFERROR(INDEX(PASTE_ALL,$DF649,10)&amp;"","")&amp;"␟"&amp;IFERROR(INDEX(PASTE_ALL,$DF649,11)&amp;"","")&amp;"␟"&amp;IFERROR(INDEX(PASTE_ALL,$DF649,12)&amp;"","")&amp;"␟"&amp;IFERROR(INDEX(PASTE_ALL,$DF649,13)&amp;"","")&amp;"␟"&amp;IFERROR(INDEX(PASTE_ALL,$DF649,14)&amp;"","")&amp;"␟"&amp;IFERROR(INDEX(PASTE_ALL,$DF649,15)&amp;"","")&amp;"␟"&amp;IFERROR(INDEX(PASTE_ALL,$DF649,16)&amp;"","")&amp;"␟"&amp;IFERROR(INDEX(PASTE_ALL,$DF649,17)&amp;"","")&amp;"␟"&amp;IFERROR(INDEX(PASTE_ALL,$DF649,18)&amp;"","")&amp;"␟"&amp;IFERROR(INDEX(PASTE_ALL,$DF649,19)&amp;"","")&amp;"␟"&amp;IFERROR(INDEX(PASTE_ALL,$DF649,20)&amp;"","")&amp;"␟"&amp;IFERROR(INDEX(PASTE_ALL,$DF649,21)&amp;"","")&amp;"␟"&amp;IFERROR(INDEX(PASTE_ALL,$DF649,22)&amp;"","")&amp;"␟"&amp;IFERROR(INDEX(PASTE_ALL,$DF649,23)&amp;"","")&amp;"␟"&amp;IFERROR(INDEX(PASTE_ALL,$DF649,24)&amp;"","")&amp;"␟"&amp;IFERROR(INDEX(PASTE_ALL,$DF649,25)&amp;"","")&amp;"␟"&amp;IFERROR(INDEX(PASTE_ALL,$DF649,26)&amp;"","")&amp;"␟"&amp;IFERROR(INDEX(PASTE_ALL,$DF649,27)&amp;"","")&amp;"␟"&amp;IFERROR(INDEX(PASTE_ALL,$DF649,28)&amp;"","")&amp;"␟"&amp;IFERROR(INDEX(PASTE_ALL,$DF649,29)&amp;"","")&amp;"␟"&amp;IFERROR(INDEX(PASTE_ALL,$DF649,30)&amp;"","")&amp;"␟"&amp;IFERROR(INDEX(PASTE_ALL,$DF649,31)&amp;"","")&amp;"␟"&amp;IFERROR(INDEX(PASTE_ALL,$DF649,32)&amp;"","")&amp;"␟"&amp;IFERROR(INDEX(PASTE_ALL,$DF649,33)&amp;"","")&amp;"␟"&amp;IFERROR(INDEX(PASTE_ALL,$DF649,34)&amp;"","")&amp;"␟"&amp;IFERROR(INDEX(PASTE_ALL,$DF649,35)&amp;"","")&amp;"␟"&amp;IFERROR(INDEX(PASTE_ALL,$DF649,36)&amp;"","")&amp;"␟"&amp;IFERROR(INDEX(PASTE_ALL,$DF649,37)&amp;"","")&amp;"␟"&amp;IFERROR(INDEX(PASTE_ALL,$DF649,38)&amp;"","")&amp;"␟"&amp;IFERROR(INDEX(PASTE_ALL,$DF649,39)&amp;"","")&amp;"␟"&amp;IFERROR(INDEX(PASTE_ALL,$DF649,40)&amp;"","")&amp;"␟"&amp;IFERROR(INDEX(PASTE_ALL,$DF649,41)&amp;"","")&amp;"␟"&amp;IFERROR(INDEX(PASTE_ALL,$DF649,42)&amp;"","")&amp;"␟"&amp;IFERROR(INDEX(PASTE_ALL,$DF649,43)&amp;"","")&amp;"␟"&amp;IFERROR(INDEX(PASTE_ALL,$DF649,44)&amp;"","")&amp;"␟"&amp;IFERROR(INDEX(PASTE_ALL,$DF649,45)&amp;"","")&amp;"␟"&amp;IFERROR(INDEX(PASTE_ALL,$DF649,46)&amp;"","")&amp;"␟"&amp;IFERROR(INDEX(PASTE_ALL,$DF649,47)&amp;"","")&amp;"␟"&amp;IFERROR(INDEX(PASTE_ALL,$DF649,48)&amp;"","")&amp;"␟"&amp;IFERROR(INDEX(PASTE_ALL,$DF649,49)&amp;"","")&amp;"␟"&amp;IFERROR(INDEX(PASTE_ALL,$DF649,50)&amp;"","")&amp;"␟"&amp;IFERROR(INDEX(PASTE_ALL,$DF649,51)&amp;"","")&amp;"␟"&amp;IFERROR(INDEX(PASTE_ALL,$DF649,52)&amp;"","")&amp;"␟"&amp;IFERROR(INDEX(PASTE_ALL,$DF649,53)&amp;"","")&amp;"␟"&amp;IFERROR(INDEX(PASTE_ALL,$DF649,54)&amp;"","")&amp;"␟"&amp;IFERROR(INDEX(PASTE_ALL,$DF649,55)&amp;"","")&amp;"␟"&amp;IFERROR(INDEX(PASTE_ALL,$DF649,56)&amp;"","")&amp;"␟"&amp;IFERROR(INDEX(PASTE_ALL,$DF649,57)&amp;"","")&amp;"␟"&amp;IFERROR(INDEX(PASTE_ALL,$DF649,58)&amp;"","")&amp;"␟"&amp;IFERROR(INDEX(PASTE_ALL,$DF649,59)&amp;"","")&amp;"␟"&amp;IFERROR(INDEX(PASTE_ALL,$DF649,60)&amp;"","")," "," "),CHAR(9)," "),CHAR(10)," "),CHAR(13)," "))," ␟","␟"),"␟ ","␟"),"#"&amp;$DE649),"")</f>
        <v/>
      </c>
      <c r="DJ649">
        <f>IF($DI649="",0,IF(SUMPRODUCT(--EXACT($DI$4:DI648,$DI649))&gt;0,1,0))</f>
        <v/>
      </c>
      <c r="DK649">
        <f>IF(AND($DI649&lt;&gt;"",$DJ649=0),1,0)</f>
        <v/>
      </c>
      <c r="DL649">
        <f>DL648+$DK649</f>
        <v/>
      </c>
      <c r="DM649">
        <f>IF(AND($DK649=1,$DL649&lt;=600),1,0)</f>
        <v/>
      </c>
      <c r="DN649">
        <f>IF($DM649=0,"",IF($L$6=0,"",IFERROR(IF(ISNUMBER(INDEX(PASTE_ALL,$DF649,$L$6)),INDEX(PASTE_ALL,$DF649,$L$6),TRIM(SUBSTITUTE(SUBSTITUTE(SUBSTITUTE(SUBSTITUTE(INDEX(PASTE_ALL,$DF649,$L$6)," "," "),CHAR(9)," "),CHAR(10)," "),CHAR(13)," "))),"")))</f>
        <v/>
      </c>
      <c r="DO649">
        <f>IF($DM649=0,"",IF($L$7=0,"",IFERROR(IF(ISNUMBER(INDEX(PASTE_ALL,$DF649,$L$7)),INDEX(PASTE_ALL,$DF649,$L$7),TRIM(SUBSTITUTE(SUBSTITUTE(SUBSTITUTE(SUBSTITUTE(INDEX(PASTE_ALL,$DF649,$L$7)," "," "),CHAR(9)," "),CHAR(10)," "),CHAR(13)," "))),"")))</f>
        <v/>
      </c>
      <c r="DP649">
        <f>IF($DM649=0,"",IF($L$8=0,"",IFERROR(IF(ISNUMBER(INDEX(PASTE_ALL,$DF649,$L$8)),INDEX(PASTE_ALL,$DF649,$L$8),TRIM(SUBSTITUTE(SUBSTITUTE(SUBSTITUTE(SUBSTITUTE(INDEX(PASTE_ALL,$DF649,$L$8)," "," "),CHAR(9)," "),CHAR(10)," "),CHAR(13)," "))),"")))</f>
        <v/>
      </c>
      <c r="DQ649">
        <f>IF($DM649=0,"",IF($L$9=0,"",IFERROR(IF(ISNUMBER(INDEX(PASTE_ALL,$DF649,$L$9)),INDEX(PASTE_ALL,$DF649,$L$9),TRIM(SUBSTITUTE(SUBSTITUTE(SUBSTITUTE(SUBSTITUTE(INDEX(PASTE_ALL,$DF649,$L$9)," "," "),CHAR(9)," "),CHAR(10)," "),CHAR(13)," "))),"")))</f>
        <v/>
      </c>
      <c r="DR649">
        <f>IF($DM649=0,"",IF($L$10=0,"",IFERROR(IF(ISNUMBER(INDEX(PASTE_ALL,$DF649,$L$10)),INDEX(PASTE_ALL,$DF649,$L$10),TRIM(SUBSTITUTE(SUBSTITUTE(SUBSTITUTE(SUBSTITUTE(INDEX(PASTE_ALL,$DF649,$L$10)," "," "),CHAR(9)," "),CHAR(10)," "),CHAR(13)," "))),"")))</f>
        <v/>
      </c>
      <c r="DS649">
        <f>IF($DM649=0,"",IF($L$11=0,"",IFERROR(IF(ISNUMBER(INDEX(PASTE_ALL,$DF649,$L$11)),INDEX(PASTE_ALL,$DF649,$L$11),TRIM(SUBSTITUTE(SUBSTITUTE(SUBSTITUTE(SUBSTITUTE(INDEX(PASTE_ALL,$DF649,$L$11)," "," "),CHAR(9)," "),CHAR(10)," "),CHAR(13)," "))),"")))</f>
        <v/>
      </c>
      <c r="DT649">
        <f>IF($DM649=0,"",IF($L$12=0,"",IFERROR(IF(ISNUMBER(INDEX(PASTE_ALL,$DF649,$L$12)),INDEX(PASTE_ALL,$DF649,$L$12),TRIM(SUBSTITUTE(SUBSTITUTE(SUBSTITUTE(SUBSTITUTE(INDEX(PASTE_ALL,$DF649,$L$12)," "," "),CHAR(9)," "),CHAR(10)," "),CHAR(13)," "))),"")))</f>
        <v/>
      </c>
      <c r="DU649">
        <f>IF($DM649=0,"",IF($L$13=0,"",IFERROR(IF(ISNUMBER(INDEX(PASTE_ALL,$DF649,$L$13)),INDEX(PASTE_ALL,$DF649,$L$13),TRIM(SUBSTITUTE(SUBSTITUTE(SUBSTITUTE(SUBSTITUTE(INDEX(PASTE_ALL,$DF649,$L$13)," "," "),CHAR(9)," "),CHAR(10)," "),CHAR(13)," "))),"")))</f>
        <v/>
      </c>
      <c r="DV649">
        <f>IF($DM649=0,"",IF($L$14=0,"",IFERROR(IF(ISNUMBER(INDEX(PASTE_ALL,$DF649,$L$14)),INDEX(PASTE_ALL,$DF649,$L$14),TRIM(SUBSTITUTE(SUBSTITUTE(SUBSTITUTE(SUBSTITUTE(INDEX(PASTE_ALL,$DF649,$L$14)," "," "),CHAR(9)," "),CHAR(10)," "),CHAR(13)," "))),"")))</f>
        <v/>
      </c>
      <c r="DW649">
        <f>IF($DM649=0,"",IF($L$15=0,"",IFERROR(IF(ISNUMBER(INDEX(PASTE_ALL,$DF649,$L$15)),INDEX(PASTE_ALL,$DF649,$L$15),IF(SUMPRODUCT(--ISNUMBER(FIND({"A","B","C","D","E","F","G","H","I","J","K","L","M","N","O","P","Q","R","S","T","U","V","W","X","Y","Z","0","1","2","3","4","5","6","7","8","9"},UPPER(TRIM(SUBSTITUTE(SUBSTITUTE(SUBSTITUTE(SUBSTITUTE(INDEX(PASTE_ALL,$DF649,$L$15)," "," "),CHAR(9)," "),CHAR(10)," "),CHAR(13)," "))))))&gt;0,TRIM(SUBSTITUTE(SUBSTITUTE(SUBSTITUTE(SUBSTITUTE(INDEX(PASTE_ALL,$DF649,$L$15)," "," "),CHAR(9)," "),CHAR(10)," "),CHAR(13)," ")),"")),"")))</f>
        <v/>
      </c>
      <c r="DX649">
        <f>IF($DM649=0,"",IF($L$16=0,"",IFERROR(IF(ISNUMBER(INDEX(PASTE_ALL,$DF649,$L$16)),INDEX(PASTE_ALL,$DF649,$L$16),SUBSTITUTE(SUBSTITUTE(TRIM(SUBSTITUTE(SUBSTITUTE(SUBSTITUTE(SUBSTITUTE(INDEX(PASTE_ALL,$DF649,$L$16)," "," "),CHAR(9)," "),CHAR(10)," "),CHAR(13)," ")),",",""),"%","")),"")))</f>
        <v/>
      </c>
      <c r="DY649">
        <f>IF($DM649=0,"",IFERROR(IF(ISNUMBER($DX649),$DX649,IF($DX649="","",IF(TRIM($DX649)="",0,IF(AND(AND(SUBSTITUTE(SUBSTITUTE(SUBSTITUTE(SUBSTITUTE(SUBSTITUTE(SUBSTITUTE(SUBSTITUTE(SUBSTITUTE(SUBSTITUTE(SUBSTITUTE(SUBSTITUTE(SUBSTITUTE(SUBSTITUTE(SUBSTITUTE(UPPER(TRIM($DX649)),"0",""),"1",""),"2",""),"3",""),"4",""),"5",""),"6",""),"7",""),"8",""),"9",""),".",""),"+",""),"-",""),"E","")="",LEN(SUBSTITUTE(SUBSTITUTE(MID(UPPER(TRIM($DX649)),1+OR(LEFT(UPPER(TRIM($DX649)),1)="+",LEFT(UPPER(TRIM($DX649)),1)="-"),999),"E+","E"),"E-","E"))=LEN(SUBSTITUTE(SUBSTITUTE(SUBSTITUTE(SUBSTITUTE(MID(UPPER(TRIM($DX649)),1+OR(LEFT(UPPER(TRIM($DX649)),1)="+",LEFT(UPPER(TRIM($DX649)),1)="-"),999),"E+","E"),"E-","E"),"+",""),"-","")),LEN(UPPER(TRIM($DX649)))-LEN(SUBSTITUTE(UPPER(TRIM($DX649)),"E",""))&lt;2,LEN(UPPER(TRIM($DX649)))-LEN(SUBSTITUTE(UPPER(TRIM($DX649)),".",""))&lt;2,IFERROR(FIND(".",UPPER(TRIM($DX649))),0)&lt;IFERROR(FIND("E",UPPER(TRIM($DX649))),999)),ISNUMBER(VALUE(TRIM($DX649)))),VALUE(TRIM($DX649)),"")))),""))</f>
        <v/>
      </c>
      <c r="DZ649">
        <f>IF($DM649=0,"",IF($L$17=0,"",IFERROR(IF(ISNUMBER(INDEX(PASTE_ALL,$DF649,$L$17)),INDEX(PASTE_ALL,$DF649,$L$17),SUBSTITUTE(SUBSTITUTE(TRIM(SUBSTITUTE(SUBSTITUTE(SUBSTITUTE(SUBSTITUTE(INDEX(PASTE_ALL,$DF649,$L$17)," "," "),CHAR(9)," "),CHAR(10)," "),CHAR(13)," ")),",",""),"%","")),"")))</f>
        <v/>
      </c>
      <c r="EA649">
        <f>IF($DM649=0,"",IFERROR(IF(ISNUMBER($DZ649),$DZ649,IF($DZ649="","",IF(TRIM($DZ649)="",0,IF(AND(AND(SUBSTITUTE(SUBSTITUTE(SUBSTITUTE(SUBSTITUTE(SUBSTITUTE(SUBSTITUTE(SUBSTITUTE(SUBSTITUTE(SUBSTITUTE(SUBSTITUTE(SUBSTITUTE(SUBSTITUTE(SUBSTITUTE(SUBSTITUTE(UPPER(TRIM($DZ649)),"0",""),"1",""),"2",""),"3",""),"4",""),"5",""),"6",""),"7",""),"8",""),"9",""),".",""),"+",""),"-",""),"E","")="",LEN(SUBSTITUTE(SUBSTITUTE(MID(UPPER(TRIM($DZ649)),1+OR(LEFT(UPPER(TRIM($DZ649)),1)="+",LEFT(UPPER(TRIM($DZ649)),1)="-"),999),"E+","E"),"E-","E"))=LEN(SUBSTITUTE(SUBSTITUTE(SUBSTITUTE(SUBSTITUTE(MID(UPPER(TRIM($DZ649)),1+OR(LEFT(UPPER(TRIM($DZ649)),1)="+",LEFT(UPPER(TRIM($DZ649)),1)="-"),999),"E+","E"),"E-","E"),"+",""),"-","")),LEN(UPPER(TRIM($DZ649)))-LEN(SUBSTITUTE(UPPER(TRIM($DZ649)),"E",""))&lt;2,LEN(UPPER(TRIM($DZ649)))-LEN(SUBSTITUTE(UPPER(TRIM($DZ649)),".",""))&lt;2,IFERROR(FIND(".",UPPER(TRIM($DZ649))),0)&lt;IFERROR(FIND("E",UPPER(TRIM($DZ649))),999)),ISNUMBER(VALUE(TRIM($DZ649)))),VALUE(TRIM($DZ649)),"")))),""))</f>
        <v/>
      </c>
      <c r="EB649">
        <f>IF($DM649=0,"",IF($L$18=0,"",IFERROR(IF(UPPER(TRIM(SUBSTITUTE(SUBSTITUTE(SUBSTITUTE(SUBSTITUTE(INDEX(PASTE_ALL,$DF649,$L$18)," "," "),CHAR(9)," "),CHAR(10)," "),CHAR(13)," ")))="READY","Ready",IF(UPPER(TRIM(SUBSTITUTE(SUBSTITUTE(SUBSTITUTE(SUBSTITUTE(INDEX(PASTE_ALL,$DF649,$L$18)," "," "),CHAR(9)," "),CHAR(10)," "),CHAR(13)," ")))="PM","PM",IF(OR(UPPER(TRIM(SUBSTITUTE(SUBSTITUTE(SUBSTITUTE(SUBSTITUTE(INDEX(PASTE_ALL,$DF649,$L$18)," "," "),CHAR(9)," "),CHAR(10)," "),CHAR(13)," ")))="OT",UPPER(TRIM(SUBSTITUTE(SUBSTITUTE(SUBSTITUTE(SUBSTITUTE(INDEX(PASTE_ALL,$DF649,$L$18)," "," "),CHAR(9)," "),CHAR(10)," "),CHAR(13)," ")))="OVERTIME",UPPER(TRIM(SUBSTITUTE(SUBSTITUTE(SUBSTITUTE(SUBSTITUTE(INDEX(PASTE_ALL,$DF649,$L$18)," "," "),CHAR(9)," "),CHAR(10)," "),CHAR(13)," ")))="TRIAL"),"OT",TRIM(SUBSTITUTE(SUBSTITUTE(SUBSTITUTE(SUBSTITUTE(INDEX(PASTE_ALL,$DF649,$L$18)," "," "),CHAR(9)," "),CHAR(10)," "),CHAR(13)," "))))),"")))</f>
        <v/>
      </c>
      <c r="EC649">
        <f>IF($DM649=0,"",IF($L$19=0,"",IFERROR(IF(ISNUMBER(INDEX(PASTE_ALL,$DF649,$L$19)),INDEX(PASTE_ALL,$DF649,$L$19),TRIM(SUBSTITUTE(SUBSTITUTE(SUBSTITUTE(SUBSTITUTE(INDEX(PASTE_ALL,$DF649,$L$19)," "," "),CHAR(9)," "),CHAR(10)," "),CHAR(13)," "))),"")))</f>
        <v/>
      </c>
      <c r="ED649">
        <f>IF($DM649=0,"",MATCH(1,INDEX(EXACT($DH$5:DH649,$DH649)*$DM$5:DM649,0),0))</f>
        <v/>
      </c>
      <c r="EE649">
        <f>IF($DM649=0,0,IF($ED649=$DE649,1,0))</f>
        <v/>
      </c>
      <c r="EF649">
        <f>EF648+$EE649</f>
        <v/>
      </c>
      <c r="EG649">
        <f>IF($DM649=0,"",INDEX($EF$5:$EF$1003,$ED649))</f>
        <v/>
      </c>
      <c r="EH649">
        <f>IF($DM649=0,"",IF($DO649&lt;&gt;"","",IFERROR(LOOKUP(2,1/(($EG$4:EG648=$EG649)*($DO$4:DO648&lt;&gt;"")),$DO$4:DO648),"")))</f>
        <v/>
      </c>
      <c r="EI649">
        <f>IF($DM649=0,"",IF($DO649&lt;&gt;"",$DO649,$EH649))</f>
        <v/>
      </c>
      <c r="EJ649">
        <f>IF($DM649=0,"",IF($EI649="",0,IF(OR(ISNUMBER($EI649),AND(AND(SUBSTITUTE(SUBSTITUTE(SUBSTITUTE(SUBSTITUTE(SUBSTITUTE(SUBSTITUTE(SUBSTITUTE(SUBSTITUTE(SUBSTITUTE(SUBSTITUTE(SUBSTITUTE(SUBSTITUTE(SUBSTITUTE(SUBSTITUTE(UPPER($EI649),"0",""),"1",""),"2",""),"3",""),"4",""),"5",""),"6",""),"7",""),"8",""),"9",""),".",""),"+",""),"-",""),"E","")="",LEN(SUBSTITUTE(SUBSTITUTE(MID(UPPER($EI649),1+OR(LEFT(UPPER($EI649),1)="+",LEFT(UPPER($EI649),1)="-"),999),"E+","E"),"E-","E"))=LEN(SUBSTITUTE(SUBSTITUTE(SUBSTITUTE(SUBSTITUTE(MID(UPPER($EI649),1+OR(LEFT(UPPER($EI649),1)="+",LEFT(UPPER($EI649),1)="-"),999),"E+","E"),"E-","E"),"+",""),"-","")),LEN(UPPER($EI649))-LEN(SUBSTITUTE(UPPER($EI649),"E",""))&lt;2,LEN(UPPER($EI649))-LEN(SUBSTITUTE(UPPER($EI649),".",""))&lt;2,IFERROR(FIND(".",UPPER($EI649)),0)&lt;IFERROR(FIND("E",UPPER($EI649)),999)),ISNUMBER(VALUE($EI649)))),1,2)))</f>
        <v/>
      </c>
      <c r="EK649">
        <f>IF($DM649=0,"",IF($EJ649=1,IF(ISNUMBER($EI649),$EI649,VALUE($EI649)),IF($EJ649=2,$DE649,0)))</f>
        <v/>
      </c>
      <c r="EL649">
        <f>IF($DM649=0,"",COUNTIF($EG$5:$EG$1003,"&lt;"&amp;$EG649)+SUMPRODUCT(($EG$5:$EG$1003=$EG649)*(($EJ$5:$EJ$1003&lt;$EJ649)+($EJ$5:$EJ$1003=$EJ649)*(($EK$5:$EK$1003&lt;$EK649)+($EK$5:$EK$1003=$EK649)*($DE$5:$DE$1003&lt;$DE649))))+1)</f>
        <v/>
      </c>
      <c r="EM649">
        <f>IF($DM649=0,"",$EL649+$EG649-1)</f>
        <v/>
      </c>
      <c r="EN649">
        <f>IF($DM649=0,0,IFERROR(MATCH(1,INDEX(--(TRIM(SUBSTITUTE(SUBSTITUTE(SUBSTITUTE(SUBSTITUTE(LINES_NAME&amp;""," "," "),CHAR(9)," "),CHAR(10)," "),CHAR(13)," "))=$DH649),0),0),0))</f>
        <v/>
      </c>
      <c r="EO649">
        <f>IF($EN649=0,0,IF(OR(UPPER(TRIM(INDEX(LINES_SCHEDULED,$EN649)&amp;""))="YES",UPPER(TRIM(INDEX(LINES_SCHEDULED,$EN649)&amp;""))="Y",UPPER(TRIM(INDEX(LINES_SCHEDULED,$EN649)&amp;""))="X"),1,0))</f>
        <v/>
      </c>
      <c r="EP649">
        <f>IF($DM649=0,"",IF(COUNTIFS($EG$5:$EG$1003,$EG649,$EB$5:$EB$1003,"Ready")&gt;0,"READY",IF(COUNTIFS($EG$5:$EG$1003,$EG649,$EB$5:$EB$1003,"PM")&gt;0,"PM",IF(COUNTIFS($EG$5:$EG$1003,$EG649,$EB$5:$EB$1003,"OT")&gt;0,"OT",""))))</f>
        <v/>
      </c>
      <c r="EQ649">
        <f>IF($EN649=0,"",UPPER(TRIM(INDEX(LINES_STATUS,$EN649)&amp;"")))</f>
        <v/>
      </c>
      <c r="ER649">
        <f>IF($DM649=0,"",IF(OR($EQ649="READY",$EQ649="PM",$EQ649="OT"),$EQ649,$EP649))</f>
        <v/>
      </c>
      <c r="ES649">
        <f>IF($DM649=0,"",IF(AND($DV649&lt;&gt;"",UPPER($DV649)&lt;&gt;"N"),"allergen",IF(ISNUMBER(SEARCH("oil",$DQ649)),"oil",IF(OR(EXACT($DS649,"A662"),EXACT($DS649,"A624")),"bulk",""))))</f>
        <v/>
      </c>
      <c r="ET649">
        <f>IF($DM649=0,"",IF(OR($EA649="",$EA649=0),"",$EA649/100))</f>
        <v/>
      </c>
      <c r="EU649">
        <f>IF(OR($ET649="",$DY649=""),"",INT($DY649*(1-$ET649)+0.5))</f>
        <v/>
      </c>
      <c r="EW649" t="n">
        <v>645</v>
      </c>
      <c r="EX649">
        <f>IFERROR(MATCH($EW649,$EM$5:$EM$1003,0),0)</f>
        <v/>
      </c>
      <c r="EY649">
        <f>IF($EW649&gt;$B$12,"",IF($EX649&gt;0,"row","spacer"))</f>
        <v/>
      </c>
      <c r="EZ649">
        <f>IF(AND($EY649="row",$EY648&lt;&gt;"row"),1,0)</f>
        <v/>
      </c>
      <c r="FA649">
        <f>IF(AND($EY649="row",$EY650&lt;&gt;"row"),1,0)</f>
        <v/>
      </c>
      <c r="FB649">
        <f>IF($EZ649=1,IFERROR(IF(ISNUMBER(INDEX(PASTE_ALL,INDEX($DF$5:$DF$1003,$EX649),$B$37)),INDEX(PASTE_ALL,INDEX($DF$5:$DF$1003,$EX649),$B$37),INDEX($DH$5:$DH$1003,$EX649)),INDEX($DH$5:$DH$1003,$EX649)),"")</f>
        <v/>
      </c>
      <c r="FC649">
        <f>IF($EY649="row",INDEX($ER$5:$ER$1003,$EX649),"")</f>
        <v/>
      </c>
      <c r="FD649">
        <f>IF($EY649="row",INDEX($DN$5:$DN$1003,$EX649),"")</f>
        <v/>
      </c>
      <c r="FE649">
        <f>IF($EY649="row",INDEX($DO$5:$DO$1003,$EX649),"")</f>
        <v/>
      </c>
      <c r="FF649">
        <f>IF($EY649="row",INDEX($DP$5:$DP$1003,$EX649),"")</f>
        <v/>
      </c>
      <c r="FG649">
        <f>IF($EY649="row",INDEX($DQ$5:$DQ$1003,$EX649),"")</f>
        <v/>
      </c>
      <c r="FH649">
        <f>IF($EY649="row",INDEX($DR$5:$DR$1003,$EX649),"")</f>
        <v/>
      </c>
      <c r="FI649">
        <f>IF($EY649="row",INDEX($DS$5:$DS$1003,$EX649),"")</f>
        <v/>
      </c>
      <c r="FJ649">
        <f>IF($EY649="row",INDEX($DT$5:$DT$1003,$EX649),"")</f>
        <v/>
      </c>
      <c r="FK649">
        <f>IF($EY649="row",INDEX($DU$5:$DU$1003,$EX649),"")</f>
        <v/>
      </c>
      <c r="FL649">
        <f>IF($EY649="row",INDEX($DV$5:$DV$1003,$EX649),"")</f>
        <v/>
      </c>
      <c r="FM649">
        <f>IF($EY649="row",INDEX($DW$5:$DW$1003,$EX649),"")</f>
        <v/>
      </c>
      <c r="FN649">
        <f>IF($EY649="row",INDEX($DY$5:$DY$1003,$EX649),"")</f>
        <v/>
      </c>
      <c r="FO649">
        <f>IF($EY649="row",INDEX($EA$5:$EA$1003,$EX649),"")</f>
        <v/>
      </c>
      <c r="FP649">
        <f>IF($EY649="row",INDEX($EC$5:$EC$1003,$EX649),"")</f>
        <v/>
      </c>
      <c r="FQ649">
        <f>IF($EY649="row",INDEX($ET$5:$ET$1003,$EX649),"")</f>
        <v/>
      </c>
      <c r="FR649">
        <f>IF($EY649="row",INDEX($EU$5:$EU$1003,$EX649),"")</f>
        <v/>
      </c>
      <c r="FS649">
        <f>IF(AND($EY649="row",$EY648="row"),IF(OR(INDEX($DT$5:$DT$1003,$EX648)="",INDEX($DT$5:$DT$1003,$EX649)=""),"",IF(NOT(EXACT(INDEX($DT$5:$DT$1003,$EX648),INDEX($DT$5:$DT$1003,$EX649))),"S4",IF(NOT(EXACT(INDEX($DS$5:$DS$1003,$EX648),INDEX($DS$5:$DS$1003,$EX649))),"S3",IF(NOT(EXACT(INDEX($DR$5:$DR$1003,$EX648),INDEX($DR$5:$DR$1003,$EX649))),"S1 Count Change","S1")))),"")</f>
        <v/>
      </c>
      <c r="FT649">
        <f>IF($EY649="row",INDEX($ES$5:$ES$1003,$EX649),"")</f>
        <v/>
      </c>
      <c r="FU649">
        <f>IF($EY649="row",INDEX($EO$5:$EO$1003,$EX649),0)</f>
        <v/>
      </c>
      <c r="FV649">
        <f>IF($FS649="S1 Count Change",1,0)</f>
        <v/>
      </c>
    </row>
    <row r="650">
      <c r="DA650" t="n">
        <v>646</v>
      </c>
      <c r="DB650">
        <f>IF($B$37=0,"",IFERROR(TRIM(SUBSTITUTE(SUBSTITUTE(SUBSTITUTE(SUBSTITUTE(INDEX(PASTE_ALL,646,$B$37)," "," "),CHAR(9)," "),CHAR(10)," "),CHAR(13)," ")),""))</f>
        <v/>
      </c>
      <c r="DC650">
        <f>IF(AND(646&gt;HEADER_ROW,UPPER(DB650)="LEGEND"),1,0)</f>
        <v/>
      </c>
      <c r="DE650" t="n">
        <v>646</v>
      </c>
      <c r="DF650">
        <f>HEADER_ROW+$DE650</f>
        <v/>
      </c>
      <c r="DG650">
        <f>IF(AND($DF650&lt;=1000,$DF650&lt;$B$8),1,0)</f>
        <v/>
      </c>
      <c r="DH650">
        <f>IF($DG650=1,IFERROR(INDEX($DB$5:$DB$1004,$DF650),""),"")</f>
        <v/>
      </c>
      <c r="DI650">
        <f>IF(AND($DG650=1,$DH650&lt;&gt;""),IFERROR(SUBSTITUTE(SUBSTITUTE(TRIM(SUBSTITUTE(SUBSTITUTE(SUBSTITUTE(SUBSTITUTE(IFERROR(INDEX(PASTE_ALL,$DF650,1)&amp;"","")&amp;"␟"&amp;IFERROR(INDEX(PASTE_ALL,$DF650,2)&amp;"","")&amp;"␟"&amp;IFERROR(INDEX(PASTE_ALL,$DF650,3)&amp;"","")&amp;"␟"&amp;IFERROR(INDEX(PASTE_ALL,$DF650,4)&amp;"","")&amp;"␟"&amp;IFERROR(INDEX(PASTE_ALL,$DF650,5)&amp;"","")&amp;"␟"&amp;IFERROR(INDEX(PASTE_ALL,$DF650,6)&amp;"","")&amp;"␟"&amp;IFERROR(INDEX(PASTE_ALL,$DF650,7)&amp;"","")&amp;"␟"&amp;IFERROR(INDEX(PASTE_ALL,$DF650,8)&amp;"","")&amp;"␟"&amp;IFERROR(INDEX(PASTE_ALL,$DF650,9)&amp;"","")&amp;"␟"&amp;IFERROR(INDEX(PASTE_ALL,$DF650,10)&amp;"","")&amp;"␟"&amp;IFERROR(INDEX(PASTE_ALL,$DF650,11)&amp;"","")&amp;"␟"&amp;IFERROR(INDEX(PASTE_ALL,$DF650,12)&amp;"","")&amp;"␟"&amp;IFERROR(INDEX(PASTE_ALL,$DF650,13)&amp;"","")&amp;"␟"&amp;IFERROR(INDEX(PASTE_ALL,$DF650,14)&amp;"","")&amp;"␟"&amp;IFERROR(INDEX(PASTE_ALL,$DF650,15)&amp;"","")&amp;"␟"&amp;IFERROR(INDEX(PASTE_ALL,$DF650,16)&amp;"","")&amp;"␟"&amp;IFERROR(INDEX(PASTE_ALL,$DF650,17)&amp;"","")&amp;"␟"&amp;IFERROR(INDEX(PASTE_ALL,$DF650,18)&amp;"","")&amp;"␟"&amp;IFERROR(INDEX(PASTE_ALL,$DF650,19)&amp;"","")&amp;"␟"&amp;IFERROR(INDEX(PASTE_ALL,$DF650,20)&amp;"","")&amp;"␟"&amp;IFERROR(INDEX(PASTE_ALL,$DF650,21)&amp;"","")&amp;"␟"&amp;IFERROR(INDEX(PASTE_ALL,$DF650,22)&amp;"","")&amp;"␟"&amp;IFERROR(INDEX(PASTE_ALL,$DF650,23)&amp;"","")&amp;"␟"&amp;IFERROR(INDEX(PASTE_ALL,$DF650,24)&amp;"","")&amp;"␟"&amp;IFERROR(INDEX(PASTE_ALL,$DF650,25)&amp;"","")&amp;"␟"&amp;IFERROR(INDEX(PASTE_ALL,$DF650,26)&amp;"","")&amp;"␟"&amp;IFERROR(INDEX(PASTE_ALL,$DF650,27)&amp;"","")&amp;"␟"&amp;IFERROR(INDEX(PASTE_ALL,$DF650,28)&amp;"","")&amp;"␟"&amp;IFERROR(INDEX(PASTE_ALL,$DF650,29)&amp;"","")&amp;"␟"&amp;IFERROR(INDEX(PASTE_ALL,$DF650,30)&amp;"","")&amp;"␟"&amp;IFERROR(INDEX(PASTE_ALL,$DF650,31)&amp;"","")&amp;"␟"&amp;IFERROR(INDEX(PASTE_ALL,$DF650,32)&amp;"","")&amp;"␟"&amp;IFERROR(INDEX(PASTE_ALL,$DF650,33)&amp;"","")&amp;"␟"&amp;IFERROR(INDEX(PASTE_ALL,$DF650,34)&amp;"","")&amp;"␟"&amp;IFERROR(INDEX(PASTE_ALL,$DF650,35)&amp;"","")&amp;"␟"&amp;IFERROR(INDEX(PASTE_ALL,$DF650,36)&amp;"","")&amp;"␟"&amp;IFERROR(INDEX(PASTE_ALL,$DF650,37)&amp;"","")&amp;"␟"&amp;IFERROR(INDEX(PASTE_ALL,$DF650,38)&amp;"","")&amp;"␟"&amp;IFERROR(INDEX(PASTE_ALL,$DF650,39)&amp;"","")&amp;"␟"&amp;IFERROR(INDEX(PASTE_ALL,$DF650,40)&amp;"","")&amp;"␟"&amp;IFERROR(INDEX(PASTE_ALL,$DF650,41)&amp;"","")&amp;"␟"&amp;IFERROR(INDEX(PASTE_ALL,$DF650,42)&amp;"","")&amp;"␟"&amp;IFERROR(INDEX(PASTE_ALL,$DF650,43)&amp;"","")&amp;"␟"&amp;IFERROR(INDEX(PASTE_ALL,$DF650,44)&amp;"","")&amp;"␟"&amp;IFERROR(INDEX(PASTE_ALL,$DF650,45)&amp;"","")&amp;"␟"&amp;IFERROR(INDEX(PASTE_ALL,$DF650,46)&amp;"","")&amp;"␟"&amp;IFERROR(INDEX(PASTE_ALL,$DF650,47)&amp;"","")&amp;"␟"&amp;IFERROR(INDEX(PASTE_ALL,$DF650,48)&amp;"","")&amp;"␟"&amp;IFERROR(INDEX(PASTE_ALL,$DF650,49)&amp;"","")&amp;"␟"&amp;IFERROR(INDEX(PASTE_ALL,$DF650,50)&amp;"","")&amp;"␟"&amp;IFERROR(INDEX(PASTE_ALL,$DF650,51)&amp;"","")&amp;"␟"&amp;IFERROR(INDEX(PASTE_ALL,$DF650,52)&amp;"","")&amp;"␟"&amp;IFERROR(INDEX(PASTE_ALL,$DF650,53)&amp;"","")&amp;"␟"&amp;IFERROR(INDEX(PASTE_ALL,$DF650,54)&amp;"","")&amp;"␟"&amp;IFERROR(INDEX(PASTE_ALL,$DF650,55)&amp;"","")&amp;"␟"&amp;IFERROR(INDEX(PASTE_ALL,$DF650,56)&amp;"","")&amp;"␟"&amp;IFERROR(INDEX(PASTE_ALL,$DF650,57)&amp;"","")&amp;"␟"&amp;IFERROR(INDEX(PASTE_ALL,$DF650,58)&amp;"","")&amp;"␟"&amp;IFERROR(INDEX(PASTE_ALL,$DF650,59)&amp;"","")&amp;"␟"&amp;IFERROR(INDEX(PASTE_ALL,$DF650,60)&amp;"","")," "," "),CHAR(9)," "),CHAR(10)," "),CHAR(13)," "))," ␟","␟"),"␟ ","␟"),"#"&amp;$DE650),"")</f>
        <v/>
      </c>
      <c r="DJ650">
        <f>IF($DI650="",0,IF(SUMPRODUCT(--EXACT($DI$4:DI649,$DI650))&gt;0,1,0))</f>
        <v/>
      </c>
      <c r="DK650">
        <f>IF(AND($DI650&lt;&gt;"",$DJ650=0),1,0)</f>
        <v/>
      </c>
      <c r="DL650">
        <f>DL649+$DK650</f>
        <v/>
      </c>
      <c r="DM650">
        <f>IF(AND($DK650=1,$DL650&lt;=600),1,0)</f>
        <v/>
      </c>
      <c r="DN650">
        <f>IF($DM650=0,"",IF($L$6=0,"",IFERROR(IF(ISNUMBER(INDEX(PASTE_ALL,$DF650,$L$6)),INDEX(PASTE_ALL,$DF650,$L$6),TRIM(SUBSTITUTE(SUBSTITUTE(SUBSTITUTE(SUBSTITUTE(INDEX(PASTE_ALL,$DF650,$L$6)," "," "),CHAR(9)," "),CHAR(10)," "),CHAR(13)," "))),"")))</f>
        <v/>
      </c>
      <c r="DO650">
        <f>IF($DM650=0,"",IF($L$7=0,"",IFERROR(IF(ISNUMBER(INDEX(PASTE_ALL,$DF650,$L$7)),INDEX(PASTE_ALL,$DF650,$L$7),TRIM(SUBSTITUTE(SUBSTITUTE(SUBSTITUTE(SUBSTITUTE(INDEX(PASTE_ALL,$DF650,$L$7)," "," "),CHAR(9)," "),CHAR(10)," "),CHAR(13)," "))),"")))</f>
        <v/>
      </c>
      <c r="DP650">
        <f>IF($DM650=0,"",IF($L$8=0,"",IFERROR(IF(ISNUMBER(INDEX(PASTE_ALL,$DF650,$L$8)),INDEX(PASTE_ALL,$DF650,$L$8),TRIM(SUBSTITUTE(SUBSTITUTE(SUBSTITUTE(SUBSTITUTE(INDEX(PASTE_ALL,$DF650,$L$8)," "," "),CHAR(9)," "),CHAR(10)," "),CHAR(13)," "))),"")))</f>
        <v/>
      </c>
      <c r="DQ650">
        <f>IF($DM650=0,"",IF($L$9=0,"",IFERROR(IF(ISNUMBER(INDEX(PASTE_ALL,$DF650,$L$9)),INDEX(PASTE_ALL,$DF650,$L$9),TRIM(SUBSTITUTE(SUBSTITUTE(SUBSTITUTE(SUBSTITUTE(INDEX(PASTE_ALL,$DF650,$L$9)," "," "),CHAR(9)," "),CHAR(10)," "),CHAR(13)," "))),"")))</f>
        <v/>
      </c>
      <c r="DR650">
        <f>IF($DM650=0,"",IF($L$10=0,"",IFERROR(IF(ISNUMBER(INDEX(PASTE_ALL,$DF650,$L$10)),INDEX(PASTE_ALL,$DF650,$L$10),TRIM(SUBSTITUTE(SUBSTITUTE(SUBSTITUTE(SUBSTITUTE(INDEX(PASTE_ALL,$DF650,$L$10)," "," "),CHAR(9)," "),CHAR(10)," "),CHAR(13)," "))),"")))</f>
        <v/>
      </c>
      <c r="DS650">
        <f>IF($DM650=0,"",IF($L$11=0,"",IFERROR(IF(ISNUMBER(INDEX(PASTE_ALL,$DF650,$L$11)),INDEX(PASTE_ALL,$DF650,$L$11),TRIM(SUBSTITUTE(SUBSTITUTE(SUBSTITUTE(SUBSTITUTE(INDEX(PASTE_ALL,$DF650,$L$11)," "," "),CHAR(9)," "),CHAR(10)," "),CHAR(13)," "))),"")))</f>
        <v/>
      </c>
      <c r="DT650">
        <f>IF($DM650=0,"",IF($L$12=0,"",IFERROR(IF(ISNUMBER(INDEX(PASTE_ALL,$DF650,$L$12)),INDEX(PASTE_ALL,$DF650,$L$12),TRIM(SUBSTITUTE(SUBSTITUTE(SUBSTITUTE(SUBSTITUTE(INDEX(PASTE_ALL,$DF650,$L$12)," "," "),CHAR(9)," "),CHAR(10)," "),CHAR(13)," "))),"")))</f>
        <v/>
      </c>
      <c r="DU650">
        <f>IF($DM650=0,"",IF($L$13=0,"",IFERROR(IF(ISNUMBER(INDEX(PASTE_ALL,$DF650,$L$13)),INDEX(PASTE_ALL,$DF650,$L$13),TRIM(SUBSTITUTE(SUBSTITUTE(SUBSTITUTE(SUBSTITUTE(INDEX(PASTE_ALL,$DF650,$L$13)," "," "),CHAR(9)," "),CHAR(10)," "),CHAR(13)," "))),"")))</f>
        <v/>
      </c>
      <c r="DV650">
        <f>IF($DM650=0,"",IF($L$14=0,"",IFERROR(IF(ISNUMBER(INDEX(PASTE_ALL,$DF650,$L$14)),INDEX(PASTE_ALL,$DF650,$L$14),TRIM(SUBSTITUTE(SUBSTITUTE(SUBSTITUTE(SUBSTITUTE(INDEX(PASTE_ALL,$DF650,$L$14)," "," "),CHAR(9)," "),CHAR(10)," "),CHAR(13)," "))),"")))</f>
        <v/>
      </c>
      <c r="DW650">
        <f>IF($DM650=0,"",IF($L$15=0,"",IFERROR(IF(ISNUMBER(INDEX(PASTE_ALL,$DF650,$L$15)),INDEX(PASTE_ALL,$DF650,$L$15),IF(SUMPRODUCT(--ISNUMBER(FIND({"A","B","C","D","E","F","G","H","I","J","K","L","M","N","O","P","Q","R","S","T","U","V","W","X","Y","Z","0","1","2","3","4","5","6","7","8","9"},UPPER(TRIM(SUBSTITUTE(SUBSTITUTE(SUBSTITUTE(SUBSTITUTE(INDEX(PASTE_ALL,$DF650,$L$15)," "," "),CHAR(9)," "),CHAR(10)," "),CHAR(13)," "))))))&gt;0,TRIM(SUBSTITUTE(SUBSTITUTE(SUBSTITUTE(SUBSTITUTE(INDEX(PASTE_ALL,$DF650,$L$15)," "," "),CHAR(9)," "),CHAR(10)," "),CHAR(13)," ")),"")),"")))</f>
        <v/>
      </c>
      <c r="DX650">
        <f>IF($DM650=0,"",IF($L$16=0,"",IFERROR(IF(ISNUMBER(INDEX(PASTE_ALL,$DF650,$L$16)),INDEX(PASTE_ALL,$DF650,$L$16),SUBSTITUTE(SUBSTITUTE(TRIM(SUBSTITUTE(SUBSTITUTE(SUBSTITUTE(SUBSTITUTE(INDEX(PASTE_ALL,$DF650,$L$16)," "," "),CHAR(9)," "),CHAR(10)," "),CHAR(13)," ")),",",""),"%","")),"")))</f>
        <v/>
      </c>
      <c r="DY650">
        <f>IF($DM650=0,"",IFERROR(IF(ISNUMBER($DX650),$DX650,IF($DX650="","",IF(TRIM($DX650)="",0,IF(AND(AND(SUBSTITUTE(SUBSTITUTE(SUBSTITUTE(SUBSTITUTE(SUBSTITUTE(SUBSTITUTE(SUBSTITUTE(SUBSTITUTE(SUBSTITUTE(SUBSTITUTE(SUBSTITUTE(SUBSTITUTE(SUBSTITUTE(SUBSTITUTE(UPPER(TRIM($DX650)),"0",""),"1",""),"2",""),"3",""),"4",""),"5",""),"6",""),"7",""),"8",""),"9",""),".",""),"+",""),"-",""),"E","")="",LEN(SUBSTITUTE(SUBSTITUTE(MID(UPPER(TRIM($DX650)),1+OR(LEFT(UPPER(TRIM($DX650)),1)="+",LEFT(UPPER(TRIM($DX650)),1)="-"),999),"E+","E"),"E-","E"))=LEN(SUBSTITUTE(SUBSTITUTE(SUBSTITUTE(SUBSTITUTE(MID(UPPER(TRIM($DX650)),1+OR(LEFT(UPPER(TRIM($DX650)),1)="+",LEFT(UPPER(TRIM($DX650)),1)="-"),999),"E+","E"),"E-","E"),"+",""),"-","")),LEN(UPPER(TRIM($DX650)))-LEN(SUBSTITUTE(UPPER(TRIM($DX650)),"E",""))&lt;2,LEN(UPPER(TRIM($DX650)))-LEN(SUBSTITUTE(UPPER(TRIM($DX650)),".",""))&lt;2,IFERROR(FIND(".",UPPER(TRIM($DX650))),0)&lt;IFERROR(FIND("E",UPPER(TRIM($DX650))),999)),ISNUMBER(VALUE(TRIM($DX650)))),VALUE(TRIM($DX650)),"")))),""))</f>
        <v/>
      </c>
      <c r="DZ650">
        <f>IF($DM650=0,"",IF($L$17=0,"",IFERROR(IF(ISNUMBER(INDEX(PASTE_ALL,$DF650,$L$17)),INDEX(PASTE_ALL,$DF650,$L$17),SUBSTITUTE(SUBSTITUTE(TRIM(SUBSTITUTE(SUBSTITUTE(SUBSTITUTE(SUBSTITUTE(INDEX(PASTE_ALL,$DF650,$L$17)," "," "),CHAR(9)," "),CHAR(10)," "),CHAR(13)," ")),",",""),"%","")),"")))</f>
        <v/>
      </c>
      <c r="EA650">
        <f>IF($DM650=0,"",IFERROR(IF(ISNUMBER($DZ650),$DZ650,IF($DZ650="","",IF(TRIM($DZ650)="",0,IF(AND(AND(SUBSTITUTE(SUBSTITUTE(SUBSTITUTE(SUBSTITUTE(SUBSTITUTE(SUBSTITUTE(SUBSTITUTE(SUBSTITUTE(SUBSTITUTE(SUBSTITUTE(SUBSTITUTE(SUBSTITUTE(SUBSTITUTE(SUBSTITUTE(UPPER(TRIM($DZ650)),"0",""),"1",""),"2",""),"3",""),"4",""),"5",""),"6",""),"7",""),"8",""),"9",""),".",""),"+",""),"-",""),"E","")="",LEN(SUBSTITUTE(SUBSTITUTE(MID(UPPER(TRIM($DZ650)),1+OR(LEFT(UPPER(TRIM($DZ650)),1)="+",LEFT(UPPER(TRIM($DZ650)),1)="-"),999),"E+","E"),"E-","E"))=LEN(SUBSTITUTE(SUBSTITUTE(SUBSTITUTE(SUBSTITUTE(MID(UPPER(TRIM($DZ650)),1+OR(LEFT(UPPER(TRIM($DZ650)),1)="+",LEFT(UPPER(TRIM($DZ650)),1)="-"),999),"E+","E"),"E-","E"),"+",""),"-","")),LEN(UPPER(TRIM($DZ650)))-LEN(SUBSTITUTE(UPPER(TRIM($DZ650)),"E",""))&lt;2,LEN(UPPER(TRIM($DZ650)))-LEN(SUBSTITUTE(UPPER(TRIM($DZ650)),".",""))&lt;2,IFERROR(FIND(".",UPPER(TRIM($DZ650))),0)&lt;IFERROR(FIND("E",UPPER(TRIM($DZ650))),999)),ISNUMBER(VALUE(TRIM($DZ650)))),VALUE(TRIM($DZ650)),"")))),""))</f>
        <v/>
      </c>
      <c r="EB650">
        <f>IF($DM650=0,"",IF($L$18=0,"",IFERROR(IF(UPPER(TRIM(SUBSTITUTE(SUBSTITUTE(SUBSTITUTE(SUBSTITUTE(INDEX(PASTE_ALL,$DF650,$L$18)," "," "),CHAR(9)," "),CHAR(10)," "),CHAR(13)," ")))="READY","Ready",IF(UPPER(TRIM(SUBSTITUTE(SUBSTITUTE(SUBSTITUTE(SUBSTITUTE(INDEX(PASTE_ALL,$DF650,$L$18)," "," "),CHAR(9)," "),CHAR(10)," "),CHAR(13)," ")))="PM","PM",IF(OR(UPPER(TRIM(SUBSTITUTE(SUBSTITUTE(SUBSTITUTE(SUBSTITUTE(INDEX(PASTE_ALL,$DF650,$L$18)," "," "),CHAR(9)," "),CHAR(10)," "),CHAR(13)," ")))="OT",UPPER(TRIM(SUBSTITUTE(SUBSTITUTE(SUBSTITUTE(SUBSTITUTE(INDEX(PASTE_ALL,$DF650,$L$18)," "," "),CHAR(9)," "),CHAR(10)," "),CHAR(13)," ")))="OVERTIME",UPPER(TRIM(SUBSTITUTE(SUBSTITUTE(SUBSTITUTE(SUBSTITUTE(INDEX(PASTE_ALL,$DF650,$L$18)," "," "),CHAR(9)," "),CHAR(10)," "),CHAR(13)," ")))="TRIAL"),"OT",TRIM(SUBSTITUTE(SUBSTITUTE(SUBSTITUTE(SUBSTITUTE(INDEX(PASTE_ALL,$DF650,$L$18)," "," "),CHAR(9)," "),CHAR(10)," "),CHAR(13)," "))))),"")))</f>
        <v/>
      </c>
      <c r="EC650">
        <f>IF($DM650=0,"",IF($L$19=0,"",IFERROR(IF(ISNUMBER(INDEX(PASTE_ALL,$DF650,$L$19)),INDEX(PASTE_ALL,$DF650,$L$19),TRIM(SUBSTITUTE(SUBSTITUTE(SUBSTITUTE(SUBSTITUTE(INDEX(PASTE_ALL,$DF650,$L$19)," "," "),CHAR(9)," "),CHAR(10)," "),CHAR(13)," "))),"")))</f>
        <v/>
      </c>
      <c r="ED650">
        <f>IF($DM650=0,"",MATCH(1,INDEX(EXACT($DH$5:DH650,$DH650)*$DM$5:DM650,0),0))</f>
        <v/>
      </c>
      <c r="EE650">
        <f>IF($DM650=0,0,IF($ED650=$DE650,1,0))</f>
        <v/>
      </c>
      <c r="EF650">
        <f>EF649+$EE650</f>
        <v/>
      </c>
      <c r="EG650">
        <f>IF($DM650=0,"",INDEX($EF$5:$EF$1003,$ED650))</f>
        <v/>
      </c>
      <c r="EH650">
        <f>IF($DM650=0,"",IF($DO650&lt;&gt;"","",IFERROR(LOOKUP(2,1/(($EG$4:EG649=$EG650)*($DO$4:DO649&lt;&gt;"")),$DO$4:DO649),"")))</f>
        <v/>
      </c>
      <c r="EI650">
        <f>IF($DM650=0,"",IF($DO650&lt;&gt;"",$DO650,$EH650))</f>
        <v/>
      </c>
      <c r="EJ650">
        <f>IF($DM650=0,"",IF($EI650="",0,IF(OR(ISNUMBER($EI650),AND(AND(SUBSTITUTE(SUBSTITUTE(SUBSTITUTE(SUBSTITUTE(SUBSTITUTE(SUBSTITUTE(SUBSTITUTE(SUBSTITUTE(SUBSTITUTE(SUBSTITUTE(SUBSTITUTE(SUBSTITUTE(SUBSTITUTE(SUBSTITUTE(UPPER($EI650),"0",""),"1",""),"2",""),"3",""),"4",""),"5",""),"6",""),"7",""),"8",""),"9",""),".",""),"+",""),"-",""),"E","")="",LEN(SUBSTITUTE(SUBSTITUTE(MID(UPPER($EI650),1+OR(LEFT(UPPER($EI650),1)="+",LEFT(UPPER($EI650),1)="-"),999),"E+","E"),"E-","E"))=LEN(SUBSTITUTE(SUBSTITUTE(SUBSTITUTE(SUBSTITUTE(MID(UPPER($EI650),1+OR(LEFT(UPPER($EI650),1)="+",LEFT(UPPER($EI650),1)="-"),999),"E+","E"),"E-","E"),"+",""),"-","")),LEN(UPPER($EI650))-LEN(SUBSTITUTE(UPPER($EI650),"E",""))&lt;2,LEN(UPPER($EI650))-LEN(SUBSTITUTE(UPPER($EI650),".",""))&lt;2,IFERROR(FIND(".",UPPER($EI650)),0)&lt;IFERROR(FIND("E",UPPER($EI650)),999)),ISNUMBER(VALUE($EI650)))),1,2)))</f>
        <v/>
      </c>
      <c r="EK650">
        <f>IF($DM650=0,"",IF($EJ650=1,IF(ISNUMBER($EI650),$EI650,VALUE($EI650)),IF($EJ650=2,$DE650,0)))</f>
        <v/>
      </c>
      <c r="EL650">
        <f>IF($DM650=0,"",COUNTIF($EG$5:$EG$1003,"&lt;"&amp;$EG650)+SUMPRODUCT(($EG$5:$EG$1003=$EG650)*(($EJ$5:$EJ$1003&lt;$EJ650)+($EJ$5:$EJ$1003=$EJ650)*(($EK$5:$EK$1003&lt;$EK650)+($EK$5:$EK$1003=$EK650)*($DE$5:$DE$1003&lt;$DE650))))+1)</f>
        <v/>
      </c>
      <c r="EM650">
        <f>IF($DM650=0,"",$EL650+$EG650-1)</f>
        <v/>
      </c>
      <c r="EN650">
        <f>IF($DM650=0,0,IFERROR(MATCH(1,INDEX(--(TRIM(SUBSTITUTE(SUBSTITUTE(SUBSTITUTE(SUBSTITUTE(LINES_NAME&amp;""," "," "),CHAR(9)," "),CHAR(10)," "),CHAR(13)," "))=$DH650),0),0),0))</f>
        <v/>
      </c>
      <c r="EO650">
        <f>IF($EN650=0,0,IF(OR(UPPER(TRIM(INDEX(LINES_SCHEDULED,$EN650)&amp;""))="YES",UPPER(TRIM(INDEX(LINES_SCHEDULED,$EN650)&amp;""))="Y",UPPER(TRIM(INDEX(LINES_SCHEDULED,$EN650)&amp;""))="X"),1,0))</f>
        <v/>
      </c>
      <c r="EP650">
        <f>IF($DM650=0,"",IF(COUNTIFS($EG$5:$EG$1003,$EG650,$EB$5:$EB$1003,"Ready")&gt;0,"READY",IF(COUNTIFS($EG$5:$EG$1003,$EG650,$EB$5:$EB$1003,"PM")&gt;0,"PM",IF(COUNTIFS($EG$5:$EG$1003,$EG650,$EB$5:$EB$1003,"OT")&gt;0,"OT",""))))</f>
        <v/>
      </c>
      <c r="EQ650">
        <f>IF($EN650=0,"",UPPER(TRIM(INDEX(LINES_STATUS,$EN650)&amp;"")))</f>
        <v/>
      </c>
      <c r="ER650">
        <f>IF($DM650=0,"",IF(OR($EQ650="READY",$EQ650="PM",$EQ650="OT"),$EQ650,$EP650))</f>
        <v/>
      </c>
      <c r="ES650">
        <f>IF($DM650=0,"",IF(AND($DV650&lt;&gt;"",UPPER($DV650)&lt;&gt;"N"),"allergen",IF(ISNUMBER(SEARCH("oil",$DQ650)),"oil",IF(OR(EXACT($DS650,"A662"),EXACT($DS650,"A624")),"bulk",""))))</f>
        <v/>
      </c>
      <c r="ET650">
        <f>IF($DM650=0,"",IF(OR($EA650="",$EA650=0),"",$EA650/100))</f>
        <v/>
      </c>
      <c r="EU650">
        <f>IF(OR($ET650="",$DY650=""),"",INT($DY650*(1-$ET650)+0.5))</f>
        <v/>
      </c>
      <c r="EW650" t="n">
        <v>646</v>
      </c>
      <c r="EX650">
        <f>IFERROR(MATCH($EW650,$EM$5:$EM$1003,0),0)</f>
        <v/>
      </c>
      <c r="EY650">
        <f>IF($EW650&gt;$B$12,"",IF($EX650&gt;0,"row","spacer"))</f>
        <v/>
      </c>
      <c r="EZ650">
        <f>IF(AND($EY650="row",$EY649&lt;&gt;"row"),1,0)</f>
        <v/>
      </c>
      <c r="FA650">
        <f>IF(AND($EY650="row",$EY651&lt;&gt;"row"),1,0)</f>
        <v/>
      </c>
      <c r="FB650">
        <f>IF($EZ650=1,IFERROR(IF(ISNUMBER(INDEX(PASTE_ALL,INDEX($DF$5:$DF$1003,$EX650),$B$37)),INDEX(PASTE_ALL,INDEX($DF$5:$DF$1003,$EX650),$B$37),INDEX($DH$5:$DH$1003,$EX650)),INDEX($DH$5:$DH$1003,$EX650)),"")</f>
        <v/>
      </c>
      <c r="FC650">
        <f>IF($EY650="row",INDEX($ER$5:$ER$1003,$EX650),"")</f>
        <v/>
      </c>
      <c r="FD650">
        <f>IF($EY650="row",INDEX($DN$5:$DN$1003,$EX650),"")</f>
        <v/>
      </c>
      <c r="FE650">
        <f>IF($EY650="row",INDEX($DO$5:$DO$1003,$EX650),"")</f>
        <v/>
      </c>
      <c r="FF650">
        <f>IF($EY650="row",INDEX($DP$5:$DP$1003,$EX650),"")</f>
        <v/>
      </c>
      <c r="FG650">
        <f>IF($EY650="row",INDEX($DQ$5:$DQ$1003,$EX650),"")</f>
        <v/>
      </c>
      <c r="FH650">
        <f>IF($EY650="row",INDEX($DR$5:$DR$1003,$EX650),"")</f>
        <v/>
      </c>
      <c r="FI650">
        <f>IF($EY650="row",INDEX($DS$5:$DS$1003,$EX650),"")</f>
        <v/>
      </c>
      <c r="FJ650">
        <f>IF($EY650="row",INDEX($DT$5:$DT$1003,$EX650),"")</f>
        <v/>
      </c>
      <c r="FK650">
        <f>IF($EY650="row",INDEX($DU$5:$DU$1003,$EX650),"")</f>
        <v/>
      </c>
      <c r="FL650">
        <f>IF($EY650="row",INDEX($DV$5:$DV$1003,$EX650),"")</f>
        <v/>
      </c>
      <c r="FM650">
        <f>IF($EY650="row",INDEX($DW$5:$DW$1003,$EX650),"")</f>
        <v/>
      </c>
      <c r="FN650">
        <f>IF($EY650="row",INDEX($DY$5:$DY$1003,$EX650),"")</f>
        <v/>
      </c>
      <c r="FO650">
        <f>IF($EY650="row",INDEX($EA$5:$EA$1003,$EX650),"")</f>
        <v/>
      </c>
      <c r="FP650">
        <f>IF($EY650="row",INDEX($EC$5:$EC$1003,$EX650),"")</f>
        <v/>
      </c>
      <c r="FQ650">
        <f>IF($EY650="row",INDEX($ET$5:$ET$1003,$EX650),"")</f>
        <v/>
      </c>
      <c r="FR650">
        <f>IF($EY650="row",INDEX($EU$5:$EU$1003,$EX650),"")</f>
        <v/>
      </c>
      <c r="FS650">
        <f>IF(AND($EY650="row",$EY649="row"),IF(OR(INDEX($DT$5:$DT$1003,$EX649)="",INDEX($DT$5:$DT$1003,$EX650)=""),"",IF(NOT(EXACT(INDEX($DT$5:$DT$1003,$EX649),INDEX($DT$5:$DT$1003,$EX650))),"S4",IF(NOT(EXACT(INDEX($DS$5:$DS$1003,$EX649),INDEX($DS$5:$DS$1003,$EX650))),"S3",IF(NOT(EXACT(INDEX($DR$5:$DR$1003,$EX649),INDEX($DR$5:$DR$1003,$EX650))),"S1 Count Change","S1")))),"")</f>
        <v/>
      </c>
      <c r="FT650">
        <f>IF($EY650="row",INDEX($ES$5:$ES$1003,$EX650),"")</f>
        <v/>
      </c>
      <c r="FU650">
        <f>IF($EY650="row",INDEX($EO$5:$EO$1003,$EX650),0)</f>
        <v/>
      </c>
      <c r="FV650">
        <f>IF($FS650="S1 Count Change",1,0)</f>
        <v/>
      </c>
    </row>
    <row r="651">
      <c r="DA651" t="n">
        <v>647</v>
      </c>
      <c r="DB651">
        <f>IF($B$37=0,"",IFERROR(TRIM(SUBSTITUTE(SUBSTITUTE(SUBSTITUTE(SUBSTITUTE(INDEX(PASTE_ALL,647,$B$37)," "," "),CHAR(9)," "),CHAR(10)," "),CHAR(13)," ")),""))</f>
        <v/>
      </c>
      <c r="DC651">
        <f>IF(AND(647&gt;HEADER_ROW,UPPER(DB651)="LEGEND"),1,0)</f>
        <v/>
      </c>
      <c r="DE651" t="n">
        <v>647</v>
      </c>
      <c r="DF651">
        <f>HEADER_ROW+$DE651</f>
        <v/>
      </c>
      <c r="DG651">
        <f>IF(AND($DF651&lt;=1000,$DF651&lt;$B$8),1,0)</f>
        <v/>
      </c>
      <c r="DH651">
        <f>IF($DG651=1,IFERROR(INDEX($DB$5:$DB$1004,$DF651),""),"")</f>
        <v/>
      </c>
      <c r="DI651">
        <f>IF(AND($DG651=1,$DH651&lt;&gt;""),IFERROR(SUBSTITUTE(SUBSTITUTE(TRIM(SUBSTITUTE(SUBSTITUTE(SUBSTITUTE(SUBSTITUTE(IFERROR(INDEX(PASTE_ALL,$DF651,1)&amp;"","")&amp;"␟"&amp;IFERROR(INDEX(PASTE_ALL,$DF651,2)&amp;"","")&amp;"␟"&amp;IFERROR(INDEX(PASTE_ALL,$DF651,3)&amp;"","")&amp;"␟"&amp;IFERROR(INDEX(PASTE_ALL,$DF651,4)&amp;"","")&amp;"␟"&amp;IFERROR(INDEX(PASTE_ALL,$DF651,5)&amp;"","")&amp;"␟"&amp;IFERROR(INDEX(PASTE_ALL,$DF651,6)&amp;"","")&amp;"␟"&amp;IFERROR(INDEX(PASTE_ALL,$DF651,7)&amp;"","")&amp;"␟"&amp;IFERROR(INDEX(PASTE_ALL,$DF651,8)&amp;"","")&amp;"␟"&amp;IFERROR(INDEX(PASTE_ALL,$DF651,9)&amp;"","")&amp;"␟"&amp;IFERROR(INDEX(PASTE_ALL,$DF651,10)&amp;"","")&amp;"␟"&amp;IFERROR(INDEX(PASTE_ALL,$DF651,11)&amp;"","")&amp;"␟"&amp;IFERROR(INDEX(PASTE_ALL,$DF651,12)&amp;"","")&amp;"␟"&amp;IFERROR(INDEX(PASTE_ALL,$DF651,13)&amp;"","")&amp;"␟"&amp;IFERROR(INDEX(PASTE_ALL,$DF651,14)&amp;"","")&amp;"␟"&amp;IFERROR(INDEX(PASTE_ALL,$DF651,15)&amp;"","")&amp;"␟"&amp;IFERROR(INDEX(PASTE_ALL,$DF651,16)&amp;"","")&amp;"␟"&amp;IFERROR(INDEX(PASTE_ALL,$DF651,17)&amp;"","")&amp;"␟"&amp;IFERROR(INDEX(PASTE_ALL,$DF651,18)&amp;"","")&amp;"␟"&amp;IFERROR(INDEX(PASTE_ALL,$DF651,19)&amp;"","")&amp;"␟"&amp;IFERROR(INDEX(PASTE_ALL,$DF651,20)&amp;"","")&amp;"␟"&amp;IFERROR(INDEX(PASTE_ALL,$DF651,21)&amp;"","")&amp;"␟"&amp;IFERROR(INDEX(PASTE_ALL,$DF651,22)&amp;"","")&amp;"␟"&amp;IFERROR(INDEX(PASTE_ALL,$DF651,23)&amp;"","")&amp;"␟"&amp;IFERROR(INDEX(PASTE_ALL,$DF651,24)&amp;"","")&amp;"␟"&amp;IFERROR(INDEX(PASTE_ALL,$DF651,25)&amp;"","")&amp;"␟"&amp;IFERROR(INDEX(PASTE_ALL,$DF651,26)&amp;"","")&amp;"␟"&amp;IFERROR(INDEX(PASTE_ALL,$DF651,27)&amp;"","")&amp;"␟"&amp;IFERROR(INDEX(PASTE_ALL,$DF651,28)&amp;"","")&amp;"␟"&amp;IFERROR(INDEX(PASTE_ALL,$DF651,29)&amp;"","")&amp;"␟"&amp;IFERROR(INDEX(PASTE_ALL,$DF651,30)&amp;"","")&amp;"␟"&amp;IFERROR(INDEX(PASTE_ALL,$DF651,31)&amp;"","")&amp;"␟"&amp;IFERROR(INDEX(PASTE_ALL,$DF651,32)&amp;"","")&amp;"␟"&amp;IFERROR(INDEX(PASTE_ALL,$DF651,33)&amp;"","")&amp;"␟"&amp;IFERROR(INDEX(PASTE_ALL,$DF651,34)&amp;"","")&amp;"␟"&amp;IFERROR(INDEX(PASTE_ALL,$DF651,35)&amp;"","")&amp;"␟"&amp;IFERROR(INDEX(PASTE_ALL,$DF651,36)&amp;"","")&amp;"␟"&amp;IFERROR(INDEX(PASTE_ALL,$DF651,37)&amp;"","")&amp;"␟"&amp;IFERROR(INDEX(PASTE_ALL,$DF651,38)&amp;"","")&amp;"␟"&amp;IFERROR(INDEX(PASTE_ALL,$DF651,39)&amp;"","")&amp;"␟"&amp;IFERROR(INDEX(PASTE_ALL,$DF651,40)&amp;"","")&amp;"␟"&amp;IFERROR(INDEX(PASTE_ALL,$DF651,41)&amp;"","")&amp;"␟"&amp;IFERROR(INDEX(PASTE_ALL,$DF651,42)&amp;"","")&amp;"␟"&amp;IFERROR(INDEX(PASTE_ALL,$DF651,43)&amp;"","")&amp;"␟"&amp;IFERROR(INDEX(PASTE_ALL,$DF651,44)&amp;"","")&amp;"␟"&amp;IFERROR(INDEX(PASTE_ALL,$DF651,45)&amp;"","")&amp;"␟"&amp;IFERROR(INDEX(PASTE_ALL,$DF651,46)&amp;"","")&amp;"␟"&amp;IFERROR(INDEX(PASTE_ALL,$DF651,47)&amp;"","")&amp;"␟"&amp;IFERROR(INDEX(PASTE_ALL,$DF651,48)&amp;"","")&amp;"␟"&amp;IFERROR(INDEX(PASTE_ALL,$DF651,49)&amp;"","")&amp;"␟"&amp;IFERROR(INDEX(PASTE_ALL,$DF651,50)&amp;"","")&amp;"␟"&amp;IFERROR(INDEX(PASTE_ALL,$DF651,51)&amp;"","")&amp;"␟"&amp;IFERROR(INDEX(PASTE_ALL,$DF651,52)&amp;"","")&amp;"␟"&amp;IFERROR(INDEX(PASTE_ALL,$DF651,53)&amp;"","")&amp;"␟"&amp;IFERROR(INDEX(PASTE_ALL,$DF651,54)&amp;"","")&amp;"␟"&amp;IFERROR(INDEX(PASTE_ALL,$DF651,55)&amp;"","")&amp;"␟"&amp;IFERROR(INDEX(PASTE_ALL,$DF651,56)&amp;"","")&amp;"␟"&amp;IFERROR(INDEX(PASTE_ALL,$DF651,57)&amp;"","")&amp;"␟"&amp;IFERROR(INDEX(PASTE_ALL,$DF651,58)&amp;"","")&amp;"␟"&amp;IFERROR(INDEX(PASTE_ALL,$DF651,59)&amp;"","")&amp;"␟"&amp;IFERROR(INDEX(PASTE_ALL,$DF651,60)&amp;"","")," "," "),CHAR(9)," "),CHAR(10)," "),CHAR(13)," "))," ␟","␟"),"␟ ","␟"),"#"&amp;$DE651),"")</f>
        <v/>
      </c>
      <c r="DJ651">
        <f>IF($DI651="",0,IF(SUMPRODUCT(--EXACT($DI$4:DI650,$DI651))&gt;0,1,0))</f>
        <v/>
      </c>
      <c r="DK651">
        <f>IF(AND($DI651&lt;&gt;"",$DJ651=0),1,0)</f>
        <v/>
      </c>
      <c r="DL651">
        <f>DL650+$DK651</f>
        <v/>
      </c>
      <c r="DM651">
        <f>IF(AND($DK651=1,$DL651&lt;=600),1,0)</f>
        <v/>
      </c>
      <c r="DN651">
        <f>IF($DM651=0,"",IF($L$6=0,"",IFERROR(IF(ISNUMBER(INDEX(PASTE_ALL,$DF651,$L$6)),INDEX(PASTE_ALL,$DF651,$L$6),TRIM(SUBSTITUTE(SUBSTITUTE(SUBSTITUTE(SUBSTITUTE(INDEX(PASTE_ALL,$DF651,$L$6)," "," "),CHAR(9)," "),CHAR(10)," "),CHAR(13)," "))),"")))</f>
        <v/>
      </c>
      <c r="DO651">
        <f>IF($DM651=0,"",IF($L$7=0,"",IFERROR(IF(ISNUMBER(INDEX(PASTE_ALL,$DF651,$L$7)),INDEX(PASTE_ALL,$DF651,$L$7),TRIM(SUBSTITUTE(SUBSTITUTE(SUBSTITUTE(SUBSTITUTE(INDEX(PASTE_ALL,$DF651,$L$7)," "," "),CHAR(9)," "),CHAR(10)," "),CHAR(13)," "))),"")))</f>
        <v/>
      </c>
      <c r="DP651">
        <f>IF($DM651=0,"",IF($L$8=0,"",IFERROR(IF(ISNUMBER(INDEX(PASTE_ALL,$DF651,$L$8)),INDEX(PASTE_ALL,$DF651,$L$8),TRIM(SUBSTITUTE(SUBSTITUTE(SUBSTITUTE(SUBSTITUTE(INDEX(PASTE_ALL,$DF651,$L$8)," "," "),CHAR(9)," "),CHAR(10)," "),CHAR(13)," "))),"")))</f>
        <v/>
      </c>
      <c r="DQ651">
        <f>IF($DM651=0,"",IF($L$9=0,"",IFERROR(IF(ISNUMBER(INDEX(PASTE_ALL,$DF651,$L$9)),INDEX(PASTE_ALL,$DF651,$L$9),TRIM(SUBSTITUTE(SUBSTITUTE(SUBSTITUTE(SUBSTITUTE(INDEX(PASTE_ALL,$DF651,$L$9)," "," "),CHAR(9)," "),CHAR(10)," "),CHAR(13)," "))),"")))</f>
        <v/>
      </c>
      <c r="DR651">
        <f>IF($DM651=0,"",IF($L$10=0,"",IFERROR(IF(ISNUMBER(INDEX(PASTE_ALL,$DF651,$L$10)),INDEX(PASTE_ALL,$DF651,$L$10),TRIM(SUBSTITUTE(SUBSTITUTE(SUBSTITUTE(SUBSTITUTE(INDEX(PASTE_ALL,$DF651,$L$10)," "," "),CHAR(9)," "),CHAR(10)," "),CHAR(13)," "))),"")))</f>
        <v/>
      </c>
      <c r="DS651">
        <f>IF($DM651=0,"",IF($L$11=0,"",IFERROR(IF(ISNUMBER(INDEX(PASTE_ALL,$DF651,$L$11)),INDEX(PASTE_ALL,$DF651,$L$11),TRIM(SUBSTITUTE(SUBSTITUTE(SUBSTITUTE(SUBSTITUTE(INDEX(PASTE_ALL,$DF651,$L$11)," "," "),CHAR(9)," "),CHAR(10)," "),CHAR(13)," "))),"")))</f>
        <v/>
      </c>
      <c r="DT651">
        <f>IF($DM651=0,"",IF($L$12=0,"",IFERROR(IF(ISNUMBER(INDEX(PASTE_ALL,$DF651,$L$12)),INDEX(PASTE_ALL,$DF651,$L$12),TRIM(SUBSTITUTE(SUBSTITUTE(SUBSTITUTE(SUBSTITUTE(INDEX(PASTE_ALL,$DF651,$L$12)," "," "),CHAR(9)," "),CHAR(10)," "),CHAR(13)," "))),"")))</f>
        <v/>
      </c>
      <c r="DU651">
        <f>IF($DM651=0,"",IF($L$13=0,"",IFERROR(IF(ISNUMBER(INDEX(PASTE_ALL,$DF651,$L$13)),INDEX(PASTE_ALL,$DF651,$L$13),TRIM(SUBSTITUTE(SUBSTITUTE(SUBSTITUTE(SUBSTITUTE(INDEX(PASTE_ALL,$DF651,$L$13)," "," "),CHAR(9)," "),CHAR(10)," "),CHAR(13)," "))),"")))</f>
        <v/>
      </c>
      <c r="DV651">
        <f>IF($DM651=0,"",IF($L$14=0,"",IFERROR(IF(ISNUMBER(INDEX(PASTE_ALL,$DF651,$L$14)),INDEX(PASTE_ALL,$DF651,$L$14),TRIM(SUBSTITUTE(SUBSTITUTE(SUBSTITUTE(SUBSTITUTE(INDEX(PASTE_ALL,$DF651,$L$14)," "," "),CHAR(9)," "),CHAR(10)," "),CHAR(13)," "))),"")))</f>
        <v/>
      </c>
      <c r="DW651">
        <f>IF($DM651=0,"",IF($L$15=0,"",IFERROR(IF(ISNUMBER(INDEX(PASTE_ALL,$DF651,$L$15)),INDEX(PASTE_ALL,$DF651,$L$15),IF(SUMPRODUCT(--ISNUMBER(FIND({"A","B","C","D","E","F","G","H","I","J","K","L","M","N","O","P","Q","R","S","T","U","V","W","X","Y","Z","0","1","2","3","4","5","6","7","8","9"},UPPER(TRIM(SUBSTITUTE(SUBSTITUTE(SUBSTITUTE(SUBSTITUTE(INDEX(PASTE_ALL,$DF651,$L$15)," "," "),CHAR(9)," "),CHAR(10)," "),CHAR(13)," "))))))&gt;0,TRIM(SUBSTITUTE(SUBSTITUTE(SUBSTITUTE(SUBSTITUTE(INDEX(PASTE_ALL,$DF651,$L$15)," "," "),CHAR(9)," "),CHAR(10)," "),CHAR(13)," ")),"")),"")))</f>
        <v/>
      </c>
      <c r="DX651">
        <f>IF($DM651=0,"",IF($L$16=0,"",IFERROR(IF(ISNUMBER(INDEX(PASTE_ALL,$DF651,$L$16)),INDEX(PASTE_ALL,$DF651,$L$16),SUBSTITUTE(SUBSTITUTE(TRIM(SUBSTITUTE(SUBSTITUTE(SUBSTITUTE(SUBSTITUTE(INDEX(PASTE_ALL,$DF651,$L$16)," "," "),CHAR(9)," "),CHAR(10)," "),CHAR(13)," ")),",",""),"%","")),"")))</f>
        <v/>
      </c>
      <c r="DY651">
        <f>IF($DM651=0,"",IFERROR(IF(ISNUMBER($DX651),$DX651,IF($DX651="","",IF(TRIM($DX651)="",0,IF(AND(AND(SUBSTITUTE(SUBSTITUTE(SUBSTITUTE(SUBSTITUTE(SUBSTITUTE(SUBSTITUTE(SUBSTITUTE(SUBSTITUTE(SUBSTITUTE(SUBSTITUTE(SUBSTITUTE(SUBSTITUTE(SUBSTITUTE(SUBSTITUTE(UPPER(TRIM($DX651)),"0",""),"1",""),"2",""),"3",""),"4",""),"5",""),"6",""),"7",""),"8",""),"9",""),".",""),"+",""),"-",""),"E","")="",LEN(SUBSTITUTE(SUBSTITUTE(MID(UPPER(TRIM($DX651)),1+OR(LEFT(UPPER(TRIM($DX651)),1)="+",LEFT(UPPER(TRIM($DX651)),1)="-"),999),"E+","E"),"E-","E"))=LEN(SUBSTITUTE(SUBSTITUTE(SUBSTITUTE(SUBSTITUTE(MID(UPPER(TRIM($DX651)),1+OR(LEFT(UPPER(TRIM($DX651)),1)="+",LEFT(UPPER(TRIM($DX651)),1)="-"),999),"E+","E"),"E-","E"),"+",""),"-","")),LEN(UPPER(TRIM($DX651)))-LEN(SUBSTITUTE(UPPER(TRIM($DX651)),"E",""))&lt;2,LEN(UPPER(TRIM($DX651)))-LEN(SUBSTITUTE(UPPER(TRIM($DX651)),".",""))&lt;2,IFERROR(FIND(".",UPPER(TRIM($DX651))),0)&lt;IFERROR(FIND("E",UPPER(TRIM($DX651))),999)),ISNUMBER(VALUE(TRIM($DX651)))),VALUE(TRIM($DX651)),"")))),""))</f>
        <v/>
      </c>
      <c r="DZ651">
        <f>IF($DM651=0,"",IF($L$17=0,"",IFERROR(IF(ISNUMBER(INDEX(PASTE_ALL,$DF651,$L$17)),INDEX(PASTE_ALL,$DF651,$L$17),SUBSTITUTE(SUBSTITUTE(TRIM(SUBSTITUTE(SUBSTITUTE(SUBSTITUTE(SUBSTITUTE(INDEX(PASTE_ALL,$DF651,$L$17)," "," "),CHAR(9)," "),CHAR(10)," "),CHAR(13)," ")),",",""),"%","")),"")))</f>
        <v/>
      </c>
      <c r="EA651">
        <f>IF($DM651=0,"",IFERROR(IF(ISNUMBER($DZ651),$DZ651,IF($DZ651="","",IF(TRIM($DZ651)="",0,IF(AND(AND(SUBSTITUTE(SUBSTITUTE(SUBSTITUTE(SUBSTITUTE(SUBSTITUTE(SUBSTITUTE(SUBSTITUTE(SUBSTITUTE(SUBSTITUTE(SUBSTITUTE(SUBSTITUTE(SUBSTITUTE(SUBSTITUTE(SUBSTITUTE(UPPER(TRIM($DZ651)),"0",""),"1",""),"2",""),"3",""),"4",""),"5",""),"6",""),"7",""),"8",""),"9",""),".",""),"+",""),"-",""),"E","")="",LEN(SUBSTITUTE(SUBSTITUTE(MID(UPPER(TRIM($DZ651)),1+OR(LEFT(UPPER(TRIM($DZ651)),1)="+",LEFT(UPPER(TRIM($DZ651)),1)="-"),999),"E+","E"),"E-","E"))=LEN(SUBSTITUTE(SUBSTITUTE(SUBSTITUTE(SUBSTITUTE(MID(UPPER(TRIM($DZ651)),1+OR(LEFT(UPPER(TRIM($DZ651)),1)="+",LEFT(UPPER(TRIM($DZ651)),1)="-"),999),"E+","E"),"E-","E"),"+",""),"-","")),LEN(UPPER(TRIM($DZ651)))-LEN(SUBSTITUTE(UPPER(TRIM($DZ651)),"E",""))&lt;2,LEN(UPPER(TRIM($DZ651)))-LEN(SUBSTITUTE(UPPER(TRIM($DZ651)),".",""))&lt;2,IFERROR(FIND(".",UPPER(TRIM($DZ651))),0)&lt;IFERROR(FIND("E",UPPER(TRIM($DZ651))),999)),ISNUMBER(VALUE(TRIM($DZ651)))),VALUE(TRIM($DZ651)),"")))),""))</f>
        <v/>
      </c>
      <c r="EB651">
        <f>IF($DM651=0,"",IF($L$18=0,"",IFERROR(IF(UPPER(TRIM(SUBSTITUTE(SUBSTITUTE(SUBSTITUTE(SUBSTITUTE(INDEX(PASTE_ALL,$DF651,$L$18)," "," "),CHAR(9)," "),CHAR(10)," "),CHAR(13)," ")))="READY","Ready",IF(UPPER(TRIM(SUBSTITUTE(SUBSTITUTE(SUBSTITUTE(SUBSTITUTE(INDEX(PASTE_ALL,$DF651,$L$18)," "," "),CHAR(9)," "),CHAR(10)," "),CHAR(13)," ")))="PM","PM",IF(OR(UPPER(TRIM(SUBSTITUTE(SUBSTITUTE(SUBSTITUTE(SUBSTITUTE(INDEX(PASTE_ALL,$DF651,$L$18)," "," "),CHAR(9)," "),CHAR(10)," "),CHAR(13)," ")))="OT",UPPER(TRIM(SUBSTITUTE(SUBSTITUTE(SUBSTITUTE(SUBSTITUTE(INDEX(PASTE_ALL,$DF651,$L$18)," "," "),CHAR(9)," "),CHAR(10)," "),CHAR(13)," ")))="OVERTIME",UPPER(TRIM(SUBSTITUTE(SUBSTITUTE(SUBSTITUTE(SUBSTITUTE(INDEX(PASTE_ALL,$DF651,$L$18)," "," "),CHAR(9)," "),CHAR(10)," "),CHAR(13)," ")))="TRIAL"),"OT",TRIM(SUBSTITUTE(SUBSTITUTE(SUBSTITUTE(SUBSTITUTE(INDEX(PASTE_ALL,$DF651,$L$18)," "," "),CHAR(9)," "),CHAR(10)," "),CHAR(13)," "))))),"")))</f>
        <v/>
      </c>
      <c r="EC651">
        <f>IF($DM651=0,"",IF($L$19=0,"",IFERROR(IF(ISNUMBER(INDEX(PASTE_ALL,$DF651,$L$19)),INDEX(PASTE_ALL,$DF651,$L$19),TRIM(SUBSTITUTE(SUBSTITUTE(SUBSTITUTE(SUBSTITUTE(INDEX(PASTE_ALL,$DF651,$L$19)," "," "),CHAR(9)," "),CHAR(10)," "),CHAR(13)," "))),"")))</f>
        <v/>
      </c>
      <c r="ED651">
        <f>IF($DM651=0,"",MATCH(1,INDEX(EXACT($DH$5:DH651,$DH651)*$DM$5:DM651,0),0))</f>
        <v/>
      </c>
      <c r="EE651">
        <f>IF($DM651=0,0,IF($ED651=$DE651,1,0))</f>
        <v/>
      </c>
      <c r="EF651">
        <f>EF650+$EE651</f>
        <v/>
      </c>
      <c r="EG651">
        <f>IF($DM651=0,"",INDEX($EF$5:$EF$1003,$ED651))</f>
        <v/>
      </c>
      <c r="EH651">
        <f>IF($DM651=0,"",IF($DO651&lt;&gt;"","",IFERROR(LOOKUP(2,1/(($EG$4:EG650=$EG651)*($DO$4:DO650&lt;&gt;"")),$DO$4:DO650),"")))</f>
        <v/>
      </c>
      <c r="EI651">
        <f>IF($DM651=0,"",IF($DO651&lt;&gt;"",$DO651,$EH651))</f>
        <v/>
      </c>
      <c r="EJ651">
        <f>IF($DM651=0,"",IF($EI651="",0,IF(OR(ISNUMBER($EI651),AND(AND(SUBSTITUTE(SUBSTITUTE(SUBSTITUTE(SUBSTITUTE(SUBSTITUTE(SUBSTITUTE(SUBSTITUTE(SUBSTITUTE(SUBSTITUTE(SUBSTITUTE(SUBSTITUTE(SUBSTITUTE(SUBSTITUTE(SUBSTITUTE(UPPER($EI651),"0",""),"1",""),"2",""),"3",""),"4",""),"5",""),"6",""),"7",""),"8",""),"9",""),".",""),"+",""),"-",""),"E","")="",LEN(SUBSTITUTE(SUBSTITUTE(MID(UPPER($EI651),1+OR(LEFT(UPPER($EI651),1)="+",LEFT(UPPER($EI651),1)="-"),999),"E+","E"),"E-","E"))=LEN(SUBSTITUTE(SUBSTITUTE(SUBSTITUTE(SUBSTITUTE(MID(UPPER($EI651),1+OR(LEFT(UPPER($EI651),1)="+",LEFT(UPPER($EI651),1)="-"),999),"E+","E"),"E-","E"),"+",""),"-","")),LEN(UPPER($EI651))-LEN(SUBSTITUTE(UPPER($EI651),"E",""))&lt;2,LEN(UPPER($EI651))-LEN(SUBSTITUTE(UPPER($EI651),".",""))&lt;2,IFERROR(FIND(".",UPPER($EI651)),0)&lt;IFERROR(FIND("E",UPPER($EI651)),999)),ISNUMBER(VALUE($EI651)))),1,2)))</f>
        <v/>
      </c>
      <c r="EK651">
        <f>IF($DM651=0,"",IF($EJ651=1,IF(ISNUMBER($EI651),$EI651,VALUE($EI651)),IF($EJ651=2,$DE651,0)))</f>
        <v/>
      </c>
      <c r="EL651">
        <f>IF($DM651=0,"",COUNTIF($EG$5:$EG$1003,"&lt;"&amp;$EG651)+SUMPRODUCT(($EG$5:$EG$1003=$EG651)*(($EJ$5:$EJ$1003&lt;$EJ651)+($EJ$5:$EJ$1003=$EJ651)*(($EK$5:$EK$1003&lt;$EK651)+($EK$5:$EK$1003=$EK651)*($DE$5:$DE$1003&lt;$DE651))))+1)</f>
        <v/>
      </c>
      <c r="EM651">
        <f>IF($DM651=0,"",$EL651+$EG651-1)</f>
        <v/>
      </c>
      <c r="EN651">
        <f>IF($DM651=0,0,IFERROR(MATCH(1,INDEX(--(TRIM(SUBSTITUTE(SUBSTITUTE(SUBSTITUTE(SUBSTITUTE(LINES_NAME&amp;""," "," "),CHAR(9)," "),CHAR(10)," "),CHAR(13)," "))=$DH651),0),0),0))</f>
        <v/>
      </c>
      <c r="EO651">
        <f>IF($EN651=0,0,IF(OR(UPPER(TRIM(INDEX(LINES_SCHEDULED,$EN651)&amp;""))="YES",UPPER(TRIM(INDEX(LINES_SCHEDULED,$EN651)&amp;""))="Y",UPPER(TRIM(INDEX(LINES_SCHEDULED,$EN651)&amp;""))="X"),1,0))</f>
        <v/>
      </c>
      <c r="EP651">
        <f>IF($DM651=0,"",IF(COUNTIFS($EG$5:$EG$1003,$EG651,$EB$5:$EB$1003,"Ready")&gt;0,"READY",IF(COUNTIFS($EG$5:$EG$1003,$EG651,$EB$5:$EB$1003,"PM")&gt;0,"PM",IF(COUNTIFS($EG$5:$EG$1003,$EG651,$EB$5:$EB$1003,"OT")&gt;0,"OT",""))))</f>
        <v/>
      </c>
      <c r="EQ651">
        <f>IF($EN651=0,"",UPPER(TRIM(INDEX(LINES_STATUS,$EN651)&amp;"")))</f>
        <v/>
      </c>
      <c r="ER651">
        <f>IF($DM651=0,"",IF(OR($EQ651="READY",$EQ651="PM",$EQ651="OT"),$EQ651,$EP651))</f>
        <v/>
      </c>
      <c r="ES651">
        <f>IF($DM651=0,"",IF(AND($DV651&lt;&gt;"",UPPER($DV651)&lt;&gt;"N"),"allergen",IF(ISNUMBER(SEARCH("oil",$DQ651)),"oil",IF(OR(EXACT($DS651,"A662"),EXACT($DS651,"A624")),"bulk",""))))</f>
        <v/>
      </c>
      <c r="ET651">
        <f>IF($DM651=0,"",IF(OR($EA651="",$EA651=0),"",$EA651/100))</f>
        <v/>
      </c>
      <c r="EU651">
        <f>IF(OR($ET651="",$DY651=""),"",INT($DY651*(1-$ET651)+0.5))</f>
        <v/>
      </c>
      <c r="EW651" t="n">
        <v>647</v>
      </c>
      <c r="EX651">
        <f>IFERROR(MATCH($EW651,$EM$5:$EM$1003,0),0)</f>
        <v/>
      </c>
      <c r="EY651">
        <f>IF($EW651&gt;$B$12,"",IF($EX651&gt;0,"row","spacer"))</f>
        <v/>
      </c>
      <c r="EZ651">
        <f>IF(AND($EY651="row",$EY650&lt;&gt;"row"),1,0)</f>
        <v/>
      </c>
      <c r="FA651">
        <f>IF(AND($EY651="row",$EY652&lt;&gt;"row"),1,0)</f>
        <v/>
      </c>
      <c r="FB651">
        <f>IF($EZ651=1,IFERROR(IF(ISNUMBER(INDEX(PASTE_ALL,INDEX($DF$5:$DF$1003,$EX651),$B$37)),INDEX(PASTE_ALL,INDEX($DF$5:$DF$1003,$EX651),$B$37),INDEX($DH$5:$DH$1003,$EX651)),INDEX($DH$5:$DH$1003,$EX651)),"")</f>
        <v/>
      </c>
      <c r="FC651">
        <f>IF($EY651="row",INDEX($ER$5:$ER$1003,$EX651),"")</f>
        <v/>
      </c>
      <c r="FD651">
        <f>IF($EY651="row",INDEX($DN$5:$DN$1003,$EX651),"")</f>
        <v/>
      </c>
      <c r="FE651">
        <f>IF($EY651="row",INDEX($DO$5:$DO$1003,$EX651),"")</f>
        <v/>
      </c>
      <c r="FF651">
        <f>IF($EY651="row",INDEX($DP$5:$DP$1003,$EX651),"")</f>
        <v/>
      </c>
      <c r="FG651">
        <f>IF($EY651="row",INDEX($DQ$5:$DQ$1003,$EX651),"")</f>
        <v/>
      </c>
      <c r="FH651">
        <f>IF($EY651="row",INDEX($DR$5:$DR$1003,$EX651),"")</f>
        <v/>
      </c>
      <c r="FI651">
        <f>IF($EY651="row",INDEX($DS$5:$DS$1003,$EX651),"")</f>
        <v/>
      </c>
      <c r="FJ651">
        <f>IF($EY651="row",INDEX($DT$5:$DT$1003,$EX651),"")</f>
        <v/>
      </c>
      <c r="FK651">
        <f>IF($EY651="row",INDEX($DU$5:$DU$1003,$EX651),"")</f>
        <v/>
      </c>
      <c r="FL651">
        <f>IF($EY651="row",INDEX($DV$5:$DV$1003,$EX651),"")</f>
        <v/>
      </c>
      <c r="FM651">
        <f>IF($EY651="row",INDEX($DW$5:$DW$1003,$EX651),"")</f>
        <v/>
      </c>
      <c r="FN651">
        <f>IF($EY651="row",INDEX($DY$5:$DY$1003,$EX651),"")</f>
        <v/>
      </c>
      <c r="FO651">
        <f>IF($EY651="row",INDEX($EA$5:$EA$1003,$EX651),"")</f>
        <v/>
      </c>
      <c r="FP651">
        <f>IF($EY651="row",INDEX($EC$5:$EC$1003,$EX651),"")</f>
        <v/>
      </c>
      <c r="FQ651">
        <f>IF($EY651="row",INDEX($ET$5:$ET$1003,$EX651),"")</f>
        <v/>
      </c>
      <c r="FR651">
        <f>IF($EY651="row",INDEX($EU$5:$EU$1003,$EX651),"")</f>
        <v/>
      </c>
      <c r="FS651">
        <f>IF(AND($EY651="row",$EY650="row"),IF(OR(INDEX($DT$5:$DT$1003,$EX650)="",INDEX($DT$5:$DT$1003,$EX651)=""),"",IF(NOT(EXACT(INDEX($DT$5:$DT$1003,$EX650),INDEX($DT$5:$DT$1003,$EX651))),"S4",IF(NOT(EXACT(INDEX($DS$5:$DS$1003,$EX650),INDEX($DS$5:$DS$1003,$EX651))),"S3",IF(NOT(EXACT(INDEX($DR$5:$DR$1003,$EX650),INDEX($DR$5:$DR$1003,$EX651))),"S1 Count Change","S1")))),"")</f>
        <v/>
      </c>
      <c r="FT651">
        <f>IF($EY651="row",INDEX($ES$5:$ES$1003,$EX651),"")</f>
        <v/>
      </c>
      <c r="FU651">
        <f>IF($EY651="row",INDEX($EO$5:$EO$1003,$EX651),0)</f>
        <v/>
      </c>
      <c r="FV651">
        <f>IF($FS651="S1 Count Change",1,0)</f>
        <v/>
      </c>
    </row>
    <row r="652">
      <c r="DA652" t="n">
        <v>648</v>
      </c>
      <c r="DB652">
        <f>IF($B$37=0,"",IFERROR(TRIM(SUBSTITUTE(SUBSTITUTE(SUBSTITUTE(SUBSTITUTE(INDEX(PASTE_ALL,648,$B$37)," "," "),CHAR(9)," "),CHAR(10)," "),CHAR(13)," ")),""))</f>
        <v/>
      </c>
      <c r="DC652">
        <f>IF(AND(648&gt;HEADER_ROW,UPPER(DB652)="LEGEND"),1,0)</f>
        <v/>
      </c>
      <c r="DE652" t="n">
        <v>648</v>
      </c>
      <c r="DF652">
        <f>HEADER_ROW+$DE652</f>
        <v/>
      </c>
      <c r="DG652">
        <f>IF(AND($DF652&lt;=1000,$DF652&lt;$B$8),1,0)</f>
        <v/>
      </c>
      <c r="DH652">
        <f>IF($DG652=1,IFERROR(INDEX($DB$5:$DB$1004,$DF652),""),"")</f>
        <v/>
      </c>
      <c r="DI652">
        <f>IF(AND($DG652=1,$DH652&lt;&gt;""),IFERROR(SUBSTITUTE(SUBSTITUTE(TRIM(SUBSTITUTE(SUBSTITUTE(SUBSTITUTE(SUBSTITUTE(IFERROR(INDEX(PASTE_ALL,$DF652,1)&amp;"","")&amp;"␟"&amp;IFERROR(INDEX(PASTE_ALL,$DF652,2)&amp;"","")&amp;"␟"&amp;IFERROR(INDEX(PASTE_ALL,$DF652,3)&amp;"","")&amp;"␟"&amp;IFERROR(INDEX(PASTE_ALL,$DF652,4)&amp;"","")&amp;"␟"&amp;IFERROR(INDEX(PASTE_ALL,$DF652,5)&amp;"","")&amp;"␟"&amp;IFERROR(INDEX(PASTE_ALL,$DF652,6)&amp;"","")&amp;"␟"&amp;IFERROR(INDEX(PASTE_ALL,$DF652,7)&amp;"","")&amp;"␟"&amp;IFERROR(INDEX(PASTE_ALL,$DF652,8)&amp;"","")&amp;"␟"&amp;IFERROR(INDEX(PASTE_ALL,$DF652,9)&amp;"","")&amp;"␟"&amp;IFERROR(INDEX(PASTE_ALL,$DF652,10)&amp;"","")&amp;"␟"&amp;IFERROR(INDEX(PASTE_ALL,$DF652,11)&amp;"","")&amp;"␟"&amp;IFERROR(INDEX(PASTE_ALL,$DF652,12)&amp;"","")&amp;"␟"&amp;IFERROR(INDEX(PASTE_ALL,$DF652,13)&amp;"","")&amp;"␟"&amp;IFERROR(INDEX(PASTE_ALL,$DF652,14)&amp;"","")&amp;"␟"&amp;IFERROR(INDEX(PASTE_ALL,$DF652,15)&amp;"","")&amp;"␟"&amp;IFERROR(INDEX(PASTE_ALL,$DF652,16)&amp;"","")&amp;"␟"&amp;IFERROR(INDEX(PASTE_ALL,$DF652,17)&amp;"","")&amp;"␟"&amp;IFERROR(INDEX(PASTE_ALL,$DF652,18)&amp;"","")&amp;"␟"&amp;IFERROR(INDEX(PASTE_ALL,$DF652,19)&amp;"","")&amp;"␟"&amp;IFERROR(INDEX(PASTE_ALL,$DF652,20)&amp;"","")&amp;"␟"&amp;IFERROR(INDEX(PASTE_ALL,$DF652,21)&amp;"","")&amp;"␟"&amp;IFERROR(INDEX(PASTE_ALL,$DF652,22)&amp;"","")&amp;"␟"&amp;IFERROR(INDEX(PASTE_ALL,$DF652,23)&amp;"","")&amp;"␟"&amp;IFERROR(INDEX(PASTE_ALL,$DF652,24)&amp;"","")&amp;"␟"&amp;IFERROR(INDEX(PASTE_ALL,$DF652,25)&amp;"","")&amp;"␟"&amp;IFERROR(INDEX(PASTE_ALL,$DF652,26)&amp;"","")&amp;"␟"&amp;IFERROR(INDEX(PASTE_ALL,$DF652,27)&amp;"","")&amp;"␟"&amp;IFERROR(INDEX(PASTE_ALL,$DF652,28)&amp;"","")&amp;"␟"&amp;IFERROR(INDEX(PASTE_ALL,$DF652,29)&amp;"","")&amp;"␟"&amp;IFERROR(INDEX(PASTE_ALL,$DF652,30)&amp;"","")&amp;"␟"&amp;IFERROR(INDEX(PASTE_ALL,$DF652,31)&amp;"","")&amp;"␟"&amp;IFERROR(INDEX(PASTE_ALL,$DF652,32)&amp;"","")&amp;"␟"&amp;IFERROR(INDEX(PASTE_ALL,$DF652,33)&amp;"","")&amp;"␟"&amp;IFERROR(INDEX(PASTE_ALL,$DF652,34)&amp;"","")&amp;"␟"&amp;IFERROR(INDEX(PASTE_ALL,$DF652,35)&amp;"","")&amp;"␟"&amp;IFERROR(INDEX(PASTE_ALL,$DF652,36)&amp;"","")&amp;"␟"&amp;IFERROR(INDEX(PASTE_ALL,$DF652,37)&amp;"","")&amp;"␟"&amp;IFERROR(INDEX(PASTE_ALL,$DF652,38)&amp;"","")&amp;"␟"&amp;IFERROR(INDEX(PASTE_ALL,$DF652,39)&amp;"","")&amp;"␟"&amp;IFERROR(INDEX(PASTE_ALL,$DF652,40)&amp;"","")&amp;"␟"&amp;IFERROR(INDEX(PASTE_ALL,$DF652,41)&amp;"","")&amp;"␟"&amp;IFERROR(INDEX(PASTE_ALL,$DF652,42)&amp;"","")&amp;"␟"&amp;IFERROR(INDEX(PASTE_ALL,$DF652,43)&amp;"","")&amp;"␟"&amp;IFERROR(INDEX(PASTE_ALL,$DF652,44)&amp;"","")&amp;"␟"&amp;IFERROR(INDEX(PASTE_ALL,$DF652,45)&amp;"","")&amp;"␟"&amp;IFERROR(INDEX(PASTE_ALL,$DF652,46)&amp;"","")&amp;"␟"&amp;IFERROR(INDEX(PASTE_ALL,$DF652,47)&amp;"","")&amp;"␟"&amp;IFERROR(INDEX(PASTE_ALL,$DF652,48)&amp;"","")&amp;"␟"&amp;IFERROR(INDEX(PASTE_ALL,$DF652,49)&amp;"","")&amp;"␟"&amp;IFERROR(INDEX(PASTE_ALL,$DF652,50)&amp;"","")&amp;"␟"&amp;IFERROR(INDEX(PASTE_ALL,$DF652,51)&amp;"","")&amp;"␟"&amp;IFERROR(INDEX(PASTE_ALL,$DF652,52)&amp;"","")&amp;"␟"&amp;IFERROR(INDEX(PASTE_ALL,$DF652,53)&amp;"","")&amp;"␟"&amp;IFERROR(INDEX(PASTE_ALL,$DF652,54)&amp;"","")&amp;"␟"&amp;IFERROR(INDEX(PASTE_ALL,$DF652,55)&amp;"","")&amp;"␟"&amp;IFERROR(INDEX(PASTE_ALL,$DF652,56)&amp;"","")&amp;"␟"&amp;IFERROR(INDEX(PASTE_ALL,$DF652,57)&amp;"","")&amp;"␟"&amp;IFERROR(INDEX(PASTE_ALL,$DF652,58)&amp;"","")&amp;"␟"&amp;IFERROR(INDEX(PASTE_ALL,$DF652,59)&amp;"","")&amp;"␟"&amp;IFERROR(INDEX(PASTE_ALL,$DF652,60)&amp;"","")," "," "),CHAR(9)," "),CHAR(10)," "),CHAR(13)," "))," ␟","␟"),"␟ ","␟"),"#"&amp;$DE652),"")</f>
        <v/>
      </c>
      <c r="DJ652">
        <f>IF($DI652="",0,IF(SUMPRODUCT(--EXACT($DI$4:DI651,$DI652))&gt;0,1,0))</f>
        <v/>
      </c>
      <c r="DK652">
        <f>IF(AND($DI652&lt;&gt;"",$DJ652=0),1,0)</f>
        <v/>
      </c>
      <c r="DL652">
        <f>DL651+$DK652</f>
        <v/>
      </c>
      <c r="DM652">
        <f>IF(AND($DK652=1,$DL652&lt;=600),1,0)</f>
        <v/>
      </c>
      <c r="DN652">
        <f>IF($DM652=0,"",IF($L$6=0,"",IFERROR(IF(ISNUMBER(INDEX(PASTE_ALL,$DF652,$L$6)),INDEX(PASTE_ALL,$DF652,$L$6),TRIM(SUBSTITUTE(SUBSTITUTE(SUBSTITUTE(SUBSTITUTE(INDEX(PASTE_ALL,$DF652,$L$6)," "," "),CHAR(9)," "),CHAR(10)," "),CHAR(13)," "))),"")))</f>
        <v/>
      </c>
      <c r="DO652">
        <f>IF($DM652=0,"",IF($L$7=0,"",IFERROR(IF(ISNUMBER(INDEX(PASTE_ALL,$DF652,$L$7)),INDEX(PASTE_ALL,$DF652,$L$7),TRIM(SUBSTITUTE(SUBSTITUTE(SUBSTITUTE(SUBSTITUTE(INDEX(PASTE_ALL,$DF652,$L$7)," "," "),CHAR(9)," "),CHAR(10)," "),CHAR(13)," "))),"")))</f>
        <v/>
      </c>
      <c r="DP652">
        <f>IF($DM652=0,"",IF($L$8=0,"",IFERROR(IF(ISNUMBER(INDEX(PASTE_ALL,$DF652,$L$8)),INDEX(PASTE_ALL,$DF652,$L$8),TRIM(SUBSTITUTE(SUBSTITUTE(SUBSTITUTE(SUBSTITUTE(INDEX(PASTE_ALL,$DF652,$L$8)," "," "),CHAR(9)," "),CHAR(10)," "),CHAR(13)," "))),"")))</f>
        <v/>
      </c>
      <c r="DQ652">
        <f>IF($DM652=0,"",IF($L$9=0,"",IFERROR(IF(ISNUMBER(INDEX(PASTE_ALL,$DF652,$L$9)),INDEX(PASTE_ALL,$DF652,$L$9),TRIM(SUBSTITUTE(SUBSTITUTE(SUBSTITUTE(SUBSTITUTE(INDEX(PASTE_ALL,$DF652,$L$9)," "," "),CHAR(9)," "),CHAR(10)," "),CHAR(13)," "))),"")))</f>
        <v/>
      </c>
      <c r="DR652">
        <f>IF($DM652=0,"",IF($L$10=0,"",IFERROR(IF(ISNUMBER(INDEX(PASTE_ALL,$DF652,$L$10)),INDEX(PASTE_ALL,$DF652,$L$10),TRIM(SUBSTITUTE(SUBSTITUTE(SUBSTITUTE(SUBSTITUTE(INDEX(PASTE_ALL,$DF652,$L$10)," "," "),CHAR(9)," "),CHAR(10)," "),CHAR(13)," "))),"")))</f>
        <v/>
      </c>
      <c r="DS652">
        <f>IF($DM652=0,"",IF($L$11=0,"",IFERROR(IF(ISNUMBER(INDEX(PASTE_ALL,$DF652,$L$11)),INDEX(PASTE_ALL,$DF652,$L$11),TRIM(SUBSTITUTE(SUBSTITUTE(SUBSTITUTE(SUBSTITUTE(INDEX(PASTE_ALL,$DF652,$L$11)," "," "),CHAR(9)," "),CHAR(10)," "),CHAR(13)," "))),"")))</f>
        <v/>
      </c>
      <c r="DT652">
        <f>IF($DM652=0,"",IF($L$12=0,"",IFERROR(IF(ISNUMBER(INDEX(PASTE_ALL,$DF652,$L$12)),INDEX(PASTE_ALL,$DF652,$L$12),TRIM(SUBSTITUTE(SUBSTITUTE(SUBSTITUTE(SUBSTITUTE(INDEX(PASTE_ALL,$DF652,$L$12)," "," "),CHAR(9)," "),CHAR(10)," "),CHAR(13)," "))),"")))</f>
        <v/>
      </c>
      <c r="DU652">
        <f>IF($DM652=0,"",IF($L$13=0,"",IFERROR(IF(ISNUMBER(INDEX(PASTE_ALL,$DF652,$L$13)),INDEX(PASTE_ALL,$DF652,$L$13),TRIM(SUBSTITUTE(SUBSTITUTE(SUBSTITUTE(SUBSTITUTE(INDEX(PASTE_ALL,$DF652,$L$13)," "," "),CHAR(9)," "),CHAR(10)," "),CHAR(13)," "))),"")))</f>
        <v/>
      </c>
      <c r="DV652">
        <f>IF($DM652=0,"",IF($L$14=0,"",IFERROR(IF(ISNUMBER(INDEX(PASTE_ALL,$DF652,$L$14)),INDEX(PASTE_ALL,$DF652,$L$14),TRIM(SUBSTITUTE(SUBSTITUTE(SUBSTITUTE(SUBSTITUTE(INDEX(PASTE_ALL,$DF652,$L$14)," "," "),CHAR(9)," "),CHAR(10)," "),CHAR(13)," "))),"")))</f>
        <v/>
      </c>
      <c r="DW652">
        <f>IF($DM652=0,"",IF($L$15=0,"",IFERROR(IF(ISNUMBER(INDEX(PASTE_ALL,$DF652,$L$15)),INDEX(PASTE_ALL,$DF652,$L$15),IF(SUMPRODUCT(--ISNUMBER(FIND({"A","B","C","D","E","F","G","H","I","J","K","L","M","N","O","P","Q","R","S","T","U","V","W","X","Y","Z","0","1","2","3","4","5","6","7","8","9"},UPPER(TRIM(SUBSTITUTE(SUBSTITUTE(SUBSTITUTE(SUBSTITUTE(INDEX(PASTE_ALL,$DF652,$L$15)," "," "),CHAR(9)," "),CHAR(10)," "),CHAR(13)," "))))))&gt;0,TRIM(SUBSTITUTE(SUBSTITUTE(SUBSTITUTE(SUBSTITUTE(INDEX(PASTE_ALL,$DF652,$L$15)," "," "),CHAR(9)," "),CHAR(10)," "),CHAR(13)," ")),"")),"")))</f>
        <v/>
      </c>
      <c r="DX652">
        <f>IF($DM652=0,"",IF($L$16=0,"",IFERROR(IF(ISNUMBER(INDEX(PASTE_ALL,$DF652,$L$16)),INDEX(PASTE_ALL,$DF652,$L$16),SUBSTITUTE(SUBSTITUTE(TRIM(SUBSTITUTE(SUBSTITUTE(SUBSTITUTE(SUBSTITUTE(INDEX(PASTE_ALL,$DF652,$L$16)," "," "),CHAR(9)," "),CHAR(10)," "),CHAR(13)," ")),",",""),"%","")),"")))</f>
        <v/>
      </c>
      <c r="DY652">
        <f>IF($DM652=0,"",IFERROR(IF(ISNUMBER($DX652),$DX652,IF($DX652="","",IF(TRIM($DX652)="",0,IF(AND(AND(SUBSTITUTE(SUBSTITUTE(SUBSTITUTE(SUBSTITUTE(SUBSTITUTE(SUBSTITUTE(SUBSTITUTE(SUBSTITUTE(SUBSTITUTE(SUBSTITUTE(SUBSTITUTE(SUBSTITUTE(SUBSTITUTE(SUBSTITUTE(UPPER(TRIM($DX652)),"0",""),"1",""),"2",""),"3",""),"4",""),"5",""),"6",""),"7",""),"8",""),"9",""),".",""),"+",""),"-",""),"E","")="",LEN(SUBSTITUTE(SUBSTITUTE(MID(UPPER(TRIM($DX652)),1+OR(LEFT(UPPER(TRIM($DX652)),1)="+",LEFT(UPPER(TRIM($DX652)),1)="-"),999),"E+","E"),"E-","E"))=LEN(SUBSTITUTE(SUBSTITUTE(SUBSTITUTE(SUBSTITUTE(MID(UPPER(TRIM($DX652)),1+OR(LEFT(UPPER(TRIM($DX652)),1)="+",LEFT(UPPER(TRIM($DX652)),1)="-"),999),"E+","E"),"E-","E"),"+",""),"-","")),LEN(UPPER(TRIM($DX652)))-LEN(SUBSTITUTE(UPPER(TRIM($DX652)),"E",""))&lt;2,LEN(UPPER(TRIM($DX652)))-LEN(SUBSTITUTE(UPPER(TRIM($DX652)),".",""))&lt;2,IFERROR(FIND(".",UPPER(TRIM($DX652))),0)&lt;IFERROR(FIND("E",UPPER(TRIM($DX652))),999)),ISNUMBER(VALUE(TRIM($DX652)))),VALUE(TRIM($DX652)),"")))),""))</f>
        <v/>
      </c>
      <c r="DZ652">
        <f>IF($DM652=0,"",IF($L$17=0,"",IFERROR(IF(ISNUMBER(INDEX(PASTE_ALL,$DF652,$L$17)),INDEX(PASTE_ALL,$DF652,$L$17),SUBSTITUTE(SUBSTITUTE(TRIM(SUBSTITUTE(SUBSTITUTE(SUBSTITUTE(SUBSTITUTE(INDEX(PASTE_ALL,$DF652,$L$17)," "," "),CHAR(9)," "),CHAR(10)," "),CHAR(13)," ")),",",""),"%","")),"")))</f>
        <v/>
      </c>
      <c r="EA652">
        <f>IF($DM652=0,"",IFERROR(IF(ISNUMBER($DZ652),$DZ652,IF($DZ652="","",IF(TRIM($DZ652)="",0,IF(AND(AND(SUBSTITUTE(SUBSTITUTE(SUBSTITUTE(SUBSTITUTE(SUBSTITUTE(SUBSTITUTE(SUBSTITUTE(SUBSTITUTE(SUBSTITUTE(SUBSTITUTE(SUBSTITUTE(SUBSTITUTE(SUBSTITUTE(SUBSTITUTE(UPPER(TRIM($DZ652)),"0",""),"1",""),"2",""),"3",""),"4",""),"5",""),"6",""),"7",""),"8",""),"9",""),".",""),"+",""),"-",""),"E","")="",LEN(SUBSTITUTE(SUBSTITUTE(MID(UPPER(TRIM($DZ652)),1+OR(LEFT(UPPER(TRIM($DZ652)),1)="+",LEFT(UPPER(TRIM($DZ652)),1)="-"),999),"E+","E"),"E-","E"))=LEN(SUBSTITUTE(SUBSTITUTE(SUBSTITUTE(SUBSTITUTE(MID(UPPER(TRIM($DZ652)),1+OR(LEFT(UPPER(TRIM($DZ652)),1)="+",LEFT(UPPER(TRIM($DZ652)),1)="-"),999),"E+","E"),"E-","E"),"+",""),"-","")),LEN(UPPER(TRIM($DZ652)))-LEN(SUBSTITUTE(UPPER(TRIM($DZ652)),"E",""))&lt;2,LEN(UPPER(TRIM($DZ652)))-LEN(SUBSTITUTE(UPPER(TRIM($DZ652)),".",""))&lt;2,IFERROR(FIND(".",UPPER(TRIM($DZ652))),0)&lt;IFERROR(FIND("E",UPPER(TRIM($DZ652))),999)),ISNUMBER(VALUE(TRIM($DZ652)))),VALUE(TRIM($DZ652)),"")))),""))</f>
        <v/>
      </c>
      <c r="EB652">
        <f>IF($DM652=0,"",IF($L$18=0,"",IFERROR(IF(UPPER(TRIM(SUBSTITUTE(SUBSTITUTE(SUBSTITUTE(SUBSTITUTE(INDEX(PASTE_ALL,$DF652,$L$18)," "," "),CHAR(9)," "),CHAR(10)," "),CHAR(13)," ")))="READY","Ready",IF(UPPER(TRIM(SUBSTITUTE(SUBSTITUTE(SUBSTITUTE(SUBSTITUTE(INDEX(PASTE_ALL,$DF652,$L$18)," "," "),CHAR(9)," "),CHAR(10)," "),CHAR(13)," ")))="PM","PM",IF(OR(UPPER(TRIM(SUBSTITUTE(SUBSTITUTE(SUBSTITUTE(SUBSTITUTE(INDEX(PASTE_ALL,$DF652,$L$18)," "," "),CHAR(9)," "),CHAR(10)," "),CHAR(13)," ")))="OT",UPPER(TRIM(SUBSTITUTE(SUBSTITUTE(SUBSTITUTE(SUBSTITUTE(INDEX(PASTE_ALL,$DF652,$L$18)," "," "),CHAR(9)," "),CHAR(10)," "),CHAR(13)," ")))="OVERTIME",UPPER(TRIM(SUBSTITUTE(SUBSTITUTE(SUBSTITUTE(SUBSTITUTE(INDEX(PASTE_ALL,$DF652,$L$18)," "," "),CHAR(9)," "),CHAR(10)," "),CHAR(13)," ")))="TRIAL"),"OT",TRIM(SUBSTITUTE(SUBSTITUTE(SUBSTITUTE(SUBSTITUTE(INDEX(PASTE_ALL,$DF652,$L$18)," "," "),CHAR(9)," "),CHAR(10)," "),CHAR(13)," "))))),"")))</f>
        <v/>
      </c>
      <c r="EC652">
        <f>IF($DM652=0,"",IF($L$19=0,"",IFERROR(IF(ISNUMBER(INDEX(PASTE_ALL,$DF652,$L$19)),INDEX(PASTE_ALL,$DF652,$L$19),TRIM(SUBSTITUTE(SUBSTITUTE(SUBSTITUTE(SUBSTITUTE(INDEX(PASTE_ALL,$DF652,$L$19)," "," "),CHAR(9)," "),CHAR(10)," "),CHAR(13)," "))),"")))</f>
        <v/>
      </c>
      <c r="ED652">
        <f>IF($DM652=0,"",MATCH(1,INDEX(EXACT($DH$5:DH652,$DH652)*$DM$5:DM652,0),0))</f>
        <v/>
      </c>
      <c r="EE652">
        <f>IF($DM652=0,0,IF($ED652=$DE652,1,0))</f>
        <v/>
      </c>
      <c r="EF652">
        <f>EF651+$EE652</f>
        <v/>
      </c>
      <c r="EG652">
        <f>IF($DM652=0,"",INDEX($EF$5:$EF$1003,$ED652))</f>
        <v/>
      </c>
      <c r="EH652">
        <f>IF($DM652=0,"",IF($DO652&lt;&gt;"","",IFERROR(LOOKUP(2,1/(($EG$4:EG651=$EG652)*($DO$4:DO651&lt;&gt;"")),$DO$4:DO651),"")))</f>
        <v/>
      </c>
      <c r="EI652">
        <f>IF($DM652=0,"",IF($DO652&lt;&gt;"",$DO652,$EH652))</f>
        <v/>
      </c>
      <c r="EJ652">
        <f>IF($DM652=0,"",IF($EI652="",0,IF(OR(ISNUMBER($EI652),AND(AND(SUBSTITUTE(SUBSTITUTE(SUBSTITUTE(SUBSTITUTE(SUBSTITUTE(SUBSTITUTE(SUBSTITUTE(SUBSTITUTE(SUBSTITUTE(SUBSTITUTE(SUBSTITUTE(SUBSTITUTE(SUBSTITUTE(SUBSTITUTE(UPPER($EI652),"0",""),"1",""),"2",""),"3",""),"4",""),"5",""),"6",""),"7",""),"8",""),"9",""),".",""),"+",""),"-",""),"E","")="",LEN(SUBSTITUTE(SUBSTITUTE(MID(UPPER($EI652),1+OR(LEFT(UPPER($EI652),1)="+",LEFT(UPPER($EI652),1)="-"),999),"E+","E"),"E-","E"))=LEN(SUBSTITUTE(SUBSTITUTE(SUBSTITUTE(SUBSTITUTE(MID(UPPER($EI652),1+OR(LEFT(UPPER($EI652),1)="+",LEFT(UPPER($EI652),1)="-"),999),"E+","E"),"E-","E"),"+",""),"-","")),LEN(UPPER($EI652))-LEN(SUBSTITUTE(UPPER($EI652),"E",""))&lt;2,LEN(UPPER($EI652))-LEN(SUBSTITUTE(UPPER($EI652),".",""))&lt;2,IFERROR(FIND(".",UPPER($EI652)),0)&lt;IFERROR(FIND("E",UPPER($EI652)),999)),ISNUMBER(VALUE($EI652)))),1,2)))</f>
        <v/>
      </c>
      <c r="EK652">
        <f>IF($DM652=0,"",IF($EJ652=1,IF(ISNUMBER($EI652),$EI652,VALUE($EI652)),IF($EJ652=2,$DE652,0)))</f>
        <v/>
      </c>
      <c r="EL652">
        <f>IF($DM652=0,"",COUNTIF($EG$5:$EG$1003,"&lt;"&amp;$EG652)+SUMPRODUCT(($EG$5:$EG$1003=$EG652)*(($EJ$5:$EJ$1003&lt;$EJ652)+($EJ$5:$EJ$1003=$EJ652)*(($EK$5:$EK$1003&lt;$EK652)+($EK$5:$EK$1003=$EK652)*($DE$5:$DE$1003&lt;$DE652))))+1)</f>
        <v/>
      </c>
      <c r="EM652">
        <f>IF($DM652=0,"",$EL652+$EG652-1)</f>
        <v/>
      </c>
      <c r="EN652">
        <f>IF($DM652=0,0,IFERROR(MATCH(1,INDEX(--(TRIM(SUBSTITUTE(SUBSTITUTE(SUBSTITUTE(SUBSTITUTE(LINES_NAME&amp;""," "," "),CHAR(9)," "),CHAR(10)," "),CHAR(13)," "))=$DH652),0),0),0))</f>
        <v/>
      </c>
      <c r="EO652">
        <f>IF($EN652=0,0,IF(OR(UPPER(TRIM(INDEX(LINES_SCHEDULED,$EN652)&amp;""))="YES",UPPER(TRIM(INDEX(LINES_SCHEDULED,$EN652)&amp;""))="Y",UPPER(TRIM(INDEX(LINES_SCHEDULED,$EN652)&amp;""))="X"),1,0))</f>
        <v/>
      </c>
      <c r="EP652">
        <f>IF($DM652=0,"",IF(COUNTIFS($EG$5:$EG$1003,$EG652,$EB$5:$EB$1003,"Ready")&gt;0,"READY",IF(COUNTIFS($EG$5:$EG$1003,$EG652,$EB$5:$EB$1003,"PM")&gt;0,"PM",IF(COUNTIFS($EG$5:$EG$1003,$EG652,$EB$5:$EB$1003,"OT")&gt;0,"OT",""))))</f>
        <v/>
      </c>
      <c r="EQ652">
        <f>IF($EN652=0,"",UPPER(TRIM(INDEX(LINES_STATUS,$EN652)&amp;"")))</f>
        <v/>
      </c>
      <c r="ER652">
        <f>IF($DM652=0,"",IF(OR($EQ652="READY",$EQ652="PM",$EQ652="OT"),$EQ652,$EP652))</f>
        <v/>
      </c>
      <c r="ES652">
        <f>IF($DM652=0,"",IF(AND($DV652&lt;&gt;"",UPPER($DV652)&lt;&gt;"N"),"allergen",IF(ISNUMBER(SEARCH("oil",$DQ652)),"oil",IF(OR(EXACT($DS652,"A662"),EXACT($DS652,"A624")),"bulk",""))))</f>
        <v/>
      </c>
      <c r="ET652">
        <f>IF($DM652=0,"",IF(OR($EA652="",$EA652=0),"",$EA652/100))</f>
        <v/>
      </c>
      <c r="EU652">
        <f>IF(OR($ET652="",$DY652=""),"",INT($DY652*(1-$ET652)+0.5))</f>
        <v/>
      </c>
      <c r="EW652" t="n">
        <v>648</v>
      </c>
      <c r="EX652">
        <f>IFERROR(MATCH($EW652,$EM$5:$EM$1003,0),0)</f>
        <v/>
      </c>
      <c r="EY652">
        <f>IF($EW652&gt;$B$12,"",IF($EX652&gt;0,"row","spacer"))</f>
        <v/>
      </c>
      <c r="EZ652">
        <f>IF(AND($EY652="row",$EY651&lt;&gt;"row"),1,0)</f>
        <v/>
      </c>
      <c r="FA652">
        <f>IF(AND($EY652="row",$EY653&lt;&gt;"row"),1,0)</f>
        <v/>
      </c>
      <c r="FB652">
        <f>IF($EZ652=1,IFERROR(IF(ISNUMBER(INDEX(PASTE_ALL,INDEX($DF$5:$DF$1003,$EX652),$B$37)),INDEX(PASTE_ALL,INDEX($DF$5:$DF$1003,$EX652),$B$37),INDEX($DH$5:$DH$1003,$EX652)),INDEX($DH$5:$DH$1003,$EX652)),"")</f>
        <v/>
      </c>
      <c r="FC652">
        <f>IF($EY652="row",INDEX($ER$5:$ER$1003,$EX652),"")</f>
        <v/>
      </c>
      <c r="FD652">
        <f>IF($EY652="row",INDEX($DN$5:$DN$1003,$EX652),"")</f>
        <v/>
      </c>
      <c r="FE652">
        <f>IF($EY652="row",INDEX($DO$5:$DO$1003,$EX652),"")</f>
        <v/>
      </c>
      <c r="FF652">
        <f>IF($EY652="row",INDEX($DP$5:$DP$1003,$EX652),"")</f>
        <v/>
      </c>
      <c r="FG652">
        <f>IF($EY652="row",INDEX($DQ$5:$DQ$1003,$EX652),"")</f>
        <v/>
      </c>
      <c r="FH652">
        <f>IF($EY652="row",INDEX($DR$5:$DR$1003,$EX652),"")</f>
        <v/>
      </c>
      <c r="FI652">
        <f>IF($EY652="row",INDEX($DS$5:$DS$1003,$EX652),"")</f>
        <v/>
      </c>
      <c r="FJ652">
        <f>IF($EY652="row",INDEX($DT$5:$DT$1003,$EX652),"")</f>
        <v/>
      </c>
      <c r="FK652">
        <f>IF($EY652="row",INDEX($DU$5:$DU$1003,$EX652),"")</f>
        <v/>
      </c>
      <c r="FL652">
        <f>IF($EY652="row",INDEX($DV$5:$DV$1003,$EX652),"")</f>
        <v/>
      </c>
      <c r="FM652">
        <f>IF($EY652="row",INDEX($DW$5:$DW$1003,$EX652),"")</f>
        <v/>
      </c>
      <c r="FN652">
        <f>IF($EY652="row",INDEX($DY$5:$DY$1003,$EX652),"")</f>
        <v/>
      </c>
      <c r="FO652">
        <f>IF($EY652="row",INDEX($EA$5:$EA$1003,$EX652),"")</f>
        <v/>
      </c>
      <c r="FP652">
        <f>IF($EY652="row",INDEX($EC$5:$EC$1003,$EX652),"")</f>
        <v/>
      </c>
      <c r="FQ652">
        <f>IF($EY652="row",INDEX($ET$5:$ET$1003,$EX652),"")</f>
        <v/>
      </c>
      <c r="FR652">
        <f>IF($EY652="row",INDEX($EU$5:$EU$1003,$EX652),"")</f>
        <v/>
      </c>
      <c r="FS652">
        <f>IF(AND($EY652="row",$EY651="row"),IF(OR(INDEX($DT$5:$DT$1003,$EX651)="",INDEX($DT$5:$DT$1003,$EX652)=""),"",IF(NOT(EXACT(INDEX($DT$5:$DT$1003,$EX651),INDEX($DT$5:$DT$1003,$EX652))),"S4",IF(NOT(EXACT(INDEX($DS$5:$DS$1003,$EX651),INDEX($DS$5:$DS$1003,$EX652))),"S3",IF(NOT(EXACT(INDEX($DR$5:$DR$1003,$EX651),INDEX($DR$5:$DR$1003,$EX652))),"S1 Count Change","S1")))),"")</f>
        <v/>
      </c>
      <c r="FT652">
        <f>IF($EY652="row",INDEX($ES$5:$ES$1003,$EX652),"")</f>
        <v/>
      </c>
      <c r="FU652">
        <f>IF($EY652="row",INDEX($EO$5:$EO$1003,$EX652),0)</f>
        <v/>
      </c>
      <c r="FV652">
        <f>IF($FS652="S1 Count Change",1,0)</f>
        <v/>
      </c>
    </row>
    <row r="653">
      <c r="DA653" t="n">
        <v>649</v>
      </c>
      <c r="DB653">
        <f>IF($B$37=0,"",IFERROR(TRIM(SUBSTITUTE(SUBSTITUTE(SUBSTITUTE(SUBSTITUTE(INDEX(PASTE_ALL,649,$B$37)," "," "),CHAR(9)," "),CHAR(10)," "),CHAR(13)," ")),""))</f>
        <v/>
      </c>
      <c r="DC653">
        <f>IF(AND(649&gt;HEADER_ROW,UPPER(DB653)="LEGEND"),1,0)</f>
        <v/>
      </c>
      <c r="DE653" t="n">
        <v>649</v>
      </c>
      <c r="DF653">
        <f>HEADER_ROW+$DE653</f>
        <v/>
      </c>
      <c r="DG653">
        <f>IF(AND($DF653&lt;=1000,$DF653&lt;$B$8),1,0)</f>
        <v/>
      </c>
      <c r="DH653">
        <f>IF($DG653=1,IFERROR(INDEX($DB$5:$DB$1004,$DF653),""),"")</f>
        <v/>
      </c>
      <c r="DI653">
        <f>IF(AND($DG653=1,$DH653&lt;&gt;""),IFERROR(SUBSTITUTE(SUBSTITUTE(TRIM(SUBSTITUTE(SUBSTITUTE(SUBSTITUTE(SUBSTITUTE(IFERROR(INDEX(PASTE_ALL,$DF653,1)&amp;"","")&amp;"␟"&amp;IFERROR(INDEX(PASTE_ALL,$DF653,2)&amp;"","")&amp;"␟"&amp;IFERROR(INDEX(PASTE_ALL,$DF653,3)&amp;"","")&amp;"␟"&amp;IFERROR(INDEX(PASTE_ALL,$DF653,4)&amp;"","")&amp;"␟"&amp;IFERROR(INDEX(PASTE_ALL,$DF653,5)&amp;"","")&amp;"␟"&amp;IFERROR(INDEX(PASTE_ALL,$DF653,6)&amp;"","")&amp;"␟"&amp;IFERROR(INDEX(PASTE_ALL,$DF653,7)&amp;"","")&amp;"␟"&amp;IFERROR(INDEX(PASTE_ALL,$DF653,8)&amp;"","")&amp;"␟"&amp;IFERROR(INDEX(PASTE_ALL,$DF653,9)&amp;"","")&amp;"␟"&amp;IFERROR(INDEX(PASTE_ALL,$DF653,10)&amp;"","")&amp;"␟"&amp;IFERROR(INDEX(PASTE_ALL,$DF653,11)&amp;"","")&amp;"␟"&amp;IFERROR(INDEX(PASTE_ALL,$DF653,12)&amp;"","")&amp;"␟"&amp;IFERROR(INDEX(PASTE_ALL,$DF653,13)&amp;"","")&amp;"␟"&amp;IFERROR(INDEX(PASTE_ALL,$DF653,14)&amp;"","")&amp;"␟"&amp;IFERROR(INDEX(PASTE_ALL,$DF653,15)&amp;"","")&amp;"␟"&amp;IFERROR(INDEX(PASTE_ALL,$DF653,16)&amp;"","")&amp;"␟"&amp;IFERROR(INDEX(PASTE_ALL,$DF653,17)&amp;"","")&amp;"␟"&amp;IFERROR(INDEX(PASTE_ALL,$DF653,18)&amp;"","")&amp;"␟"&amp;IFERROR(INDEX(PASTE_ALL,$DF653,19)&amp;"","")&amp;"␟"&amp;IFERROR(INDEX(PASTE_ALL,$DF653,20)&amp;"","")&amp;"␟"&amp;IFERROR(INDEX(PASTE_ALL,$DF653,21)&amp;"","")&amp;"␟"&amp;IFERROR(INDEX(PASTE_ALL,$DF653,22)&amp;"","")&amp;"␟"&amp;IFERROR(INDEX(PASTE_ALL,$DF653,23)&amp;"","")&amp;"␟"&amp;IFERROR(INDEX(PASTE_ALL,$DF653,24)&amp;"","")&amp;"␟"&amp;IFERROR(INDEX(PASTE_ALL,$DF653,25)&amp;"","")&amp;"␟"&amp;IFERROR(INDEX(PASTE_ALL,$DF653,26)&amp;"","")&amp;"␟"&amp;IFERROR(INDEX(PASTE_ALL,$DF653,27)&amp;"","")&amp;"␟"&amp;IFERROR(INDEX(PASTE_ALL,$DF653,28)&amp;"","")&amp;"␟"&amp;IFERROR(INDEX(PASTE_ALL,$DF653,29)&amp;"","")&amp;"␟"&amp;IFERROR(INDEX(PASTE_ALL,$DF653,30)&amp;"","")&amp;"␟"&amp;IFERROR(INDEX(PASTE_ALL,$DF653,31)&amp;"","")&amp;"␟"&amp;IFERROR(INDEX(PASTE_ALL,$DF653,32)&amp;"","")&amp;"␟"&amp;IFERROR(INDEX(PASTE_ALL,$DF653,33)&amp;"","")&amp;"␟"&amp;IFERROR(INDEX(PASTE_ALL,$DF653,34)&amp;"","")&amp;"␟"&amp;IFERROR(INDEX(PASTE_ALL,$DF653,35)&amp;"","")&amp;"␟"&amp;IFERROR(INDEX(PASTE_ALL,$DF653,36)&amp;"","")&amp;"␟"&amp;IFERROR(INDEX(PASTE_ALL,$DF653,37)&amp;"","")&amp;"␟"&amp;IFERROR(INDEX(PASTE_ALL,$DF653,38)&amp;"","")&amp;"␟"&amp;IFERROR(INDEX(PASTE_ALL,$DF653,39)&amp;"","")&amp;"␟"&amp;IFERROR(INDEX(PASTE_ALL,$DF653,40)&amp;"","")&amp;"␟"&amp;IFERROR(INDEX(PASTE_ALL,$DF653,41)&amp;"","")&amp;"␟"&amp;IFERROR(INDEX(PASTE_ALL,$DF653,42)&amp;"","")&amp;"␟"&amp;IFERROR(INDEX(PASTE_ALL,$DF653,43)&amp;"","")&amp;"␟"&amp;IFERROR(INDEX(PASTE_ALL,$DF653,44)&amp;"","")&amp;"␟"&amp;IFERROR(INDEX(PASTE_ALL,$DF653,45)&amp;"","")&amp;"␟"&amp;IFERROR(INDEX(PASTE_ALL,$DF653,46)&amp;"","")&amp;"␟"&amp;IFERROR(INDEX(PASTE_ALL,$DF653,47)&amp;"","")&amp;"␟"&amp;IFERROR(INDEX(PASTE_ALL,$DF653,48)&amp;"","")&amp;"␟"&amp;IFERROR(INDEX(PASTE_ALL,$DF653,49)&amp;"","")&amp;"␟"&amp;IFERROR(INDEX(PASTE_ALL,$DF653,50)&amp;"","")&amp;"␟"&amp;IFERROR(INDEX(PASTE_ALL,$DF653,51)&amp;"","")&amp;"␟"&amp;IFERROR(INDEX(PASTE_ALL,$DF653,52)&amp;"","")&amp;"␟"&amp;IFERROR(INDEX(PASTE_ALL,$DF653,53)&amp;"","")&amp;"␟"&amp;IFERROR(INDEX(PASTE_ALL,$DF653,54)&amp;"","")&amp;"␟"&amp;IFERROR(INDEX(PASTE_ALL,$DF653,55)&amp;"","")&amp;"␟"&amp;IFERROR(INDEX(PASTE_ALL,$DF653,56)&amp;"","")&amp;"␟"&amp;IFERROR(INDEX(PASTE_ALL,$DF653,57)&amp;"","")&amp;"␟"&amp;IFERROR(INDEX(PASTE_ALL,$DF653,58)&amp;"","")&amp;"␟"&amp;IFERROR(INDEX(PASTE_ALL,$DF653,59)&amp;"","")&amp;"␟"&amp;IFERROR(INDEX(PASTE_ALL,$DF653,60)&amp;"","")," "," "),CHAR(9)," "),CHAR(10)," "),CHAR(13)," "))," ␟","␟"),"␟ ","␟"),"#"&amp;$DE653),"")</f>
        <v/>
      </c>
      <c r="DJ653">
        <f>IF($DI653="",0,IF(SUMPRODUCT(--EXACT($DI$4:DI652,$DI653))&gt;0,1,0))</f>
        <v/>
      </c>
      <c r="DK653">
        <f>IF(AND($DI653&lt;&gt;"",$DJ653=0),1,0)</f>
        <v/>
      </c>
      <c r="DL653">
        <f>DL652+$DK653</f>
        <v/>
      </c>
      <c r="DM653">
        <f>IF(AND($DK653=1,$DL653&lt;=600),1,0)</f>
        <v/>
      </c>
      <c r="DN653">
        <f>IF($DM653=0,"",IF($L$6=0,"",IFERROR(IF(ISNUMBER(INDEX(PASTE_ALL,$DF653,$L$6)),INDEX(PASTE_ALL,$DF653,$L$6),TRIM(SUBSTITUTE(SUBSTITUTE(SUBSTITUTE(SUBSTITUTE(INDEX(PASTE_ALL,$DF653,$L$6)," "," "),CHAR(9)," "),CHAR(10)," "),CHAR(13)," "))),"")))</f>
        <v/>
      </c>
      <c r="DO653">
        <f>IF($DM653=0,"",IF($L$7=0,"",IFERROR(IF(ISNUMBER(INDEX(PASTE_ALL,$DF653,$L$7)),INDEX(PASTE_ALL,$DF653,$L$7),TRIM(SUBSTITUTE(SUBSTITUTE(SUBSTITUTE(SUBSTITUTE(INDEX(PASTE_ALL,$DF653,$L$7)," "," "),CHAR(9)," "),CHAR(10)," "),CHAR(13)," "))),"")))</f>
        <v/>
      </c>
      <c r="DP653">
        <f>IF($DM653=0,"",IF($L$8=0,"",IFERROR(IF(ISNUMBER(INDEX(PASTE_ALL,$DF653,$L$8)),INDEX(PASTE_ALL,$DF653,$L$8),TRIM(SUBSTITUTE(SUBSTITUTE(SUBSTITUTE(SUBSTITUTE(INDEX(PASTE_ALL,$DF653,$L$8)," "," "),CHAR(9)," "),CHAR(10)," "),CHAR(13)," "))),"")))</f>
        <v/>
      </c>
      <c r="DQ653">
        <f>IF($DM653=0,"",IF($L$9=0,"",IFERROR(IF(ISNUMBER(INDEX(PASTE_ALL,$DF653,$L$9)),INDEX(PASTE_ALL,$DF653,$L$9),TRIM(SUBSTITUTE(SUBSTITUTE(SUBSTITUTE(SUBSTITUTE(INDEX(PASTE_ALL,$DF653,$L$9)," "," "),CHAR(9)," "),CHAR(10)," "),CHAR(13)," "))),"")))</f>
        <v/>
      </c>
      <c r="DR653">
        <f>IF($DM653=0,"",IF($L$10=0,"",IFERROR(IF(ISNUMBER(INDEX(PASTE_ALL,$DF653,$L$10)),INDEX(PASTE_ALL,$DF653,$L$10),TRIM(SUBSTITUTE(SUBSTITUTE(SUBSTITUTE(SUBSTITUTE(INDEX(PASTE_ALL,$DF653,$L$10)," "," "),CHAR(9)," "),CHAR(10)," "),CHAR(13)," "))),"")))</f>
        <v/>
      </c>
      <c r="DS653">
        <f>IF($DM653=0,"",IF($L$11=0,"",IFERROR(IF(ISNUMBER(INDEX(PASTE_ALL,$DF653,$L$11)),INDEX(PASTE_ALL,$DF653,$L$11),TRIM(SUBSTITUTE(SUBSTITUTE(SUBSTITUTE(SUBSTITUTE(INDEX(PASTE_ALL,$DF653,$L$11)," "," "),CHAR(9)," "),CHAR(10)," "),CHAR(13)," "))),"")))</f>
        <v/>
      </c>
      <c r="DT653">
        <f>IF($DM653=0,"",IF($L$12=0,"",IFERROR(IF(ISNUMBER(INDEX(PASTE_ALL,$DF653,$L$12)),INDEX(PASTE_ALL,$DF653,$L$12),TRIM(SUBSTITUTE(SUBSTITUTE(SUBSTITUTE(SUBSTITUTE(INDEX(PASTE_ALL,$DF653,$L$12)," "," "),CHAR(9)," "),CHAR(10)," "),CHAR(13)," "))),"")))</f>
        <v/>
      </c>
      <c r="DU653">
        <f>IF($DM653=0,"",IF($L$13=0,"",IFERROR(IF(ISNUMBER(INDEX(PASTE_ALL,$DF653,$L$13)),INDEX(PASTE_ALL,$DF653,$L$13),TRIM(SUBSTITUTE(SUBSTITUTE(SUBSTITUTE(SUBSTITUTE(INDEX(PASTE_ALL,$DF653,$L$13)," "," "),CHAR(9)," "),CHAR(10)," "),CHAR(13)," "))),"")))</f>
        <v/>
      </c>
      <c r="DV653">
        <f>IF($DM653=0,"",IF($L$14=0,"",IFERROR(IF(ISNUMBER(INDEX(PASTE_ALL,$DF653,$L$14)),INDEX(PASTE_ALL,$DF653,$L$14),TRIM(SUBSTITUTE(SUBSTITUTE(SUBSTITUTE(SUBSTITUTE(INDEX(PASTE_ALL,$DF653,$L$14)," "," "),CHAR(9)," "),CHAR(10)," "),CHAR(13)," "))),"")))</f>
        <v/>
      </c>
      <c r="DW653">
        <f>IF($DM653=0,"",IF($L$15=0,"",IFERROR(IF(ISNUMBER(INDEX(PASTE_ALL,$DF653,$L$15)),INDEX(PASTE_ALL,$DF653,$L$15),IF(SUMPRODUCT(--ISNUMBER(FIND({"A","B","C","D","E","F","G","H","I","J","K","L","M","N","O","P","Q","R","S","T","U","V","W","X","Y","Z","0","1","2","3","4","5","6","7","8","9"},UPPER(TRIM(SUBSTITUTE(SUBSTITUTE(SUBSTITUTE(SUBSTITUTE(INDEX(PASTE_ALL,$DF653,$L$15)," "," "),CHAR(9)," "),CHAR(10)," "),CHAR(13)," "))))))&gt;0,TRIM(SUBSTITUTE(SUBSTITUTE(SUBSTITUTE(SUBSTITUTE(INDEX(PASTE_ALL,$DF653,$L$15)," "," "),CHAR(9)," "),CHAR(10)," "),CHAR(13)," ")),"")),"")))</f>
        <v/>
      </c>
      <c r="DX653">
        <f>IF($DM653=0,"",IF($L$16=0,"",IFERROR(IF(ISNUMBER(INDEX(PASTE_ALL,$DF653,$L$16)),INDEX(PASTE_ALL,$DF653,$L$16),SUBSTITUTE(SUBSTITUTE(TRIM(SUBSTITUTE(SUBSTITUTE(SUBSTITUTE(SUBSTITUTE(INDEX(PASTE_ALL,$DF653,$L$16)," "," "),CHAR(9)," "),CHAR(10)," "),CHAR(13)," ")),",",""),"%","")),"")))</f>
        <v/>
      </c>
      <c r="DY653">
        <f>IF($DM653=0,"",IFERROR(IF(ISNUMBER($DX653),$DX653,IF($DX653="","",IF(TRIM($DX653)="",0,IF(AND(AND(SUBSTITUTE(SUBSTITUTE(SUBSTITUTE(SUBSTITUTE(SUBSTITUTE(SUBSTITUTE(SUBSTITUTE(SUBSTITUTE(SUBSTITUTE(SUBSTITUTE(SUBSTITUTE(SUBSTITUTE(SUBSTITUTE(SUBSTITUTE(UPPER(TRIM($DX653)),"0",""),"1",""),"2",""),"3",""),"4",""),"5",""),"6",""),"7",""),"8",""),"9",""),".",""),"+",""),"-",""),"E","")="",LEN(SUBSTITUTE(SUBSTITUTE(MID(UPPER(TRIM($DX653)),1+OR(LEFT(UPPER(TRIM($DX653)),1)="+",LEFT(UPPER(TRIM($DX653)),1)="-"),999),"E+","E"),"E-","E"))=LEN(SUBSTITUTE(SUBSTITUTE(SUBSTITUTE(SUBSTITUTE(MID(UPPER(TRIM($DX653)),1+OR(LEFT(UPPER(TRIM($DX653)),1)="+",LEFT(UPPER(TRIM($DX653)),1)="-"),999),"E+","E"),"E-","E"),"+",""),"-","")),LEN(UPPER(TRIM($DX653)))-LEN(SUBSTITUTE(UPPER(TRIM($DX653)),"E",""))&lt;2,LEN(UPPER(TRIM($DX653)))-LEN(SUBSTITUTE(UPPER(TRIM($DX653)),".",""))&lt;2,IFERROR(FIND(".",UPPER(TRIM($DX653))),0)&lt;IFERROR(FIND("E",UPPER(TRIM($DX653))),999)),ISNUMBER(VALUE(TRIM($DX653)))),VALUE(TRIM($DX653)),"")))),""))</f>
        <v/>
      </c>
      <c r="DZ653">
        <f>IF($DM653=0,"",IF($L$17=0,"",IFERROR(IF(ISNUMBER(INDEX(PASTE_ALL,$DF653,$L$17)),INDEX(PASTE_ALL,$DF653,$L$17),SUBSTITUTE(SUBSTITUTE(TRIM(SUBSTITUTE(SUBSTITUTE(SUBSTITUTE(SUBSTITUTE(INDEX(PASTE_ALL,$DF653,$L$17)," "," "),CHAR(9)," "),CHAR(10)," "),CHAR(13)," ")),",",""),"%","")),"")))</f>
        <v/>
      </c>
      <c r="EA653">
        <f>IF($DM653=0,"",IFERROR(IF(ISNUMBER($DZ653),$DZ653,IF($DZ653="","",IF(TRIM($DZ653)="",0,IF(AND(AND(SUBSTITUTE(SUBSTITUTE(SUBSTITUTE(SUBSTITUTE(SUBSTITUTE(SUBSTITUTE(SUBSTITUTE(SUBSTITUTE(SUBSTITUTE(SUBSTITUTE(SUBSTITUTE(SUBSTITUTE(SUBSTITUTE(SUBSTITUTE(UPPER(TRIM($DZ653)),"0",""),"1",""),"2",""),"3",""),"4",""),"5",""),"6",""),"7",""),"8",""),"9",""),".",""),"+",""),"-",""),"E","")="",LEN(SUBSTITUTE(SUBSTITUTE(MID(UPPER(TRIM($DZ653)),1+OR(LEFT(UPPER(TRIM($DZ653)),1)="+",LEFT(UPPER(TRIM($DZ653)),1)="-"),999),"E+","E"),"E-","E"))=LEN(SUBSTITUTE(SUBSTITUTE(SUBSTITUTE(SUBSTITUTE(MID(UPPER(TRIM($DZ653)),1+OR(LEFT(UPPER(TRIM($DZ653)),1)="+",LEFT(UPPER(TRIM($DZ653)),1)="-"),999),"E+","E"),"E-","E"),"+",""),"-","")),LEN(UPPER(TRIM($DZ653)))-LEN(SUBSTITUTE(UPPER(TRIM($DZ653)),"E",""))&lt;2,LEN(UPPER(TRIM($DZ653)))-LEN(SUBSTITUTE(UPPER(TRIM($DZ653)),".",""))&lt;2,IFERROR(FIND(".",UPPER(TRIM($DZ653))),0)&lt;IFERROR(FIND("E",UPPER(TRIM($DZ653))),999)),ISNUMBER(VALUE(TRIM($DZ653)))),VALUE(TRIM($DZ653)),"")))),""))</f>
        <v/>
      </c>
      <c r="EB653">
        <f>IF($DM653=0,"",IF($L$18=0,"",IFERROR(IF(UPPER(TRIM(SUBSTITUTE(SUBSTITUTE(SUBSTITUTE(SUBSTITUTE(INDEX(PASTE_ALL,$DF653,$L$18)," "," "),CHAR(9)," "),CHAR(10)," "),CHAR(13)," ")))="READY","Ready",IF(UPPER(TRIM(SUBSTITUTE(SUBSTITUTE(SUBSTITUTE(SUBSTITUTE(INDEX(PASTE_ALL,$DF653,$L$18)," "," "),CHAR(9)," "),CHAR(10)," "),CHAR(13)," ")))="PM","PM",IF(OR(UPPER(TRIM(SUBSTITUTE(SUBSTITUTE(SUBSTITUTE(SUBSTITUTE(INDEX(PASTE_ALL,$DF653,$L$18)," "," "),CHAR(9)," "),CHAR(10)," "),CHAR(13)," ")))="OT",UPPER(TRIM(SUBSTITUTE(SUBSTITUTE(SUBSTITUTE(SUBSTITUTE(INDEX(PASTE_ALL,$DF653,$L$18)," "," "),CHAR(9)," "),CHAR(10)," "),CHAR(13)," ")))="OVERTIME",UPPER(TRIM(SUBSTITUTE(SUBSTITUTE(SUBSTITUTE(SUBSTITUTE(INDEX(PASTE_ALL,$DF653,$L$18)," "," "),CHAR(9)," "),CHAR(10)," "),CHAR(13)," ")))="TRIAL"),"OT",TRIM(SUBSTITUTE(SUBSTITUTE(SUBSTITUTE(SUBSTITUTE(INDEX(PASTE_ALL,$DF653,$L$18)," "," "),CHAR(9)," "),CHAR(10)," "),CHAR(13)," "))))),"")))</f>
        <v/>
      </c>
      <c r="EC653">
        <f>IF($DM653=0,"",IF($L$19=0,"",IFERROR(IF(ISNUMBER(INDEX(PASTE_ALL,$DF653,$L$19)),INDEX(PASTE_ALL,$DF653,$L$19),TRIM(SUBSTITUTE(SUBSTITUTE(SUBSTITUTE(SUBSTITUTE(INDEX(PASTE_ALL,$DF653,$L$19)," "," "),CHAR(9)," "),CHAR(10)," "),CHAR(13)," "))),"")))</f>
        <v/>
      </c>
      <c r="ED653">
        <f>IF($DM653=0,"",MATCH(1,INDEX(EXACT($DH$5:DH653,$DH653)*$DM$5:DM653,0),0))</f>
        <v/>
      </c>
      <c r="EE653">
        <f>IF($DM653=0,0,IF($ED653=$DE653,1,0))</f>
        <v/>
      </c>
      <c r="EF653">
        <f>EF652+$EE653</f>
        <v/>
      </c>
      <c r="EG653">
        <f>IF($DM653=0,"",INDEX($EF$5:$EF$1003,$ED653))</f>
        <v/>
      </c>
      <c r="EH653">
        <f>IF($DM653=0,"",IF($DO653&lt;&gt;"","",IFERROR(LOOKUP(2,1/(($EG$4:EG652=$EG653)*($DO$4:DO652&lt;&gt;"")),$DO$4:DO652),"")))</f>
        <v/>
      </c>
      <c r="EI653">
        <f>IF($DM653=0,"",IF($DO653&lt;&gt;"",$DO653,$EH653))</f>
        <v/>
      </c>
      <c r="EJ653">
        <f>IF($DM653=0,"",IF($EI653="",0,IF(OR(ISNUMBER($EI653),AND(AND(SUBSTITUTE(SUBSTITUTE(SUBSTITUTE(SUBSTITUTE(SUBSTITUTE(SUBSTITUTE(SUBSTITUTE(SUBSTITUTE(SUBSTITUTE(SUBSTITUTE(SUBSTITUTE(SUBSTITUTE(SUBSTITUTE(SUBSTITUTE(UPPER($EI653),"0",""),"1",""),"2",""),"3",""),"4",""),"5",""),"6",""),"7",""),"8",""),"9",""),".",""),"+",""),"-",""),"E","")="",LEN(SUBSTITUTE(SUBSTITUTE(MID(UPPER($EI653),1+OR(LEFT(UPPER($EI653),1)="+",LEFT(UPPER($EI653),1)="-"),999),"E+","E"),"E-","E"))=LEN(SUBSTITUTE(SUBSTITUTE(SUBSTITUTE(SUBSTITUTE(MID(UPPER($EI653),1+OR(LEFT(UPPER($EI653),1)="+",LEFT(UPPER($EI653),1)="-"),999),"E+","E"),"E-","E"),"+",""),"-","")),LEN(UPPER($EI653))-LEN(SUBSTITUTE(UPPER($EI653),"E",""))&lt;2,LEN(UPPER($EI653))-LEN(SUBSTITUTE(UPPER($EI653),".",""))&lt;2,IFERROR(FIND(".",UPPER($EI653)),0)&lt;IFERROR(FIND("E",UPPER($EI653)),999)),ISNUMBER(VALUE($EI653)))),1,2)))</f>
        <v/>
      </c>
      <c r="EK653">
        <f>IF($DM653=0,"",IF($EJ653=1,IF(ISNUMBER($EI653),$EI653,VALUE($EI653)),IF($EJ653=2,$DE653,0)))</f>
        <v/>
      </c>
      <c r="EL653">
        <f>IF($DM653=0,"",COUNTIF($EG$5:$EG$1003,"&lt;"&amp;$EG653)+SUMPRODUCT(($EG$5:$EG$1003=$EG653)*(($EJ$5:$EJ$1003&lt;$EJ653)+($EJ$5:$EJ$1003=$EJ653)*(($EK$5:$EK$1003&lt;$EK653)+($EK$5:$EK$1003=$EK653)*($DE$5:$DE$1003&lt;$DE653))))+1)</f>
        <v/>
      </c>
      <c r="EM653">
        <f>IF($DM653=0,"",$EL653+$EG653-1)</f>
        <v/>
      </c>
      <c r="EN653">
        <f>IF($DM653=0,0,IFERROR(MATCH(1,INDEX(--(TRIM(SUBSTITUTE(SUBSTITUTE(SUBSTITUTE(SUBSTITUTE(LINES_NAME&amp;""," "," "),CHAR(9)," "),CHAR(10)," "),CHAR(13)," "))=$DH653),0),0),0))</f>
        <v/>
      </c>
      <c r="EO653">
        <f>IF($EN653=0,0,IF(OR(UPPER(TRIM(INDEX(LINES_SCHEDULED,$EN653)&amp;""))="YES",UPPER(TRIM(INDEX(LINES_SCHEDULED,$EN653)&amp;""))="Y",UPPER(TRIM(INDEX(LINES_SCHEDULED,$EN653)&amp;""))="X"),1,0))</f>
        <v/>
      </c>
      <c r="EP653">
        <f>IF($DM653=0,"",IF(COUNTIFS($EG$5:$EG$1003,$EG653,$EB$5:$EB$1003,"Ready")&gt;0,"READY",IF(COUNTIFS($EG$5:$EG$1003,$EG653,$EB$5:$EB$1003,"PM")&gt;0,"PM",IF(COUNTIFS($EG$5:$EG$1003,$EG653,$EB$5:$EB$1003,"OT")&gt;0,"OT",""))))</f>
        <v/>
      </c>
      <c r="EQ653">
        <f>IF($EN653=0,"",UPPER(TRIM(INDEX(LINES_STATUS,$EN653)&amp;"")))</f>
        <v/>
      </c>
      <c r="ER653">
        <f>IF($DM653=0,"",IF(OR($EQ653="READY",$EQ653="PM",$EQ653="OT"),$EQ653,$EP653))</f>
        <v/>
      </c>
      <c r="ES653">
        <f>IF($DM653=0,"",IF(AND($DV653&lt;&gt;"",UPPER($DV653)&lt;&gt;"N"),"allergen",IF(ISNUMBER(SEARCH("oil",$DQ653)),"oil",IF(OR(EXACT($DS653,"A662"),EXACT($DS653,"A624")),"bulk",""))))</f>
        <v/>
      </c>
      <c r="ET653">
        <f>IF($DM653=0,"",IF(OR($EA653="",$EA653=0),"",$EA653/100))</f>
        <v/>
      </c>
      <c r="EU653">
        <f>IF(OR($ET653="",$DY653=""),"",INT($DY653*(1-$ET653)+0.5))</f>
        <v/>
      </c>
      <c r="EW653" t="n">
        <v>649</v>
      </c>
      <c r="EX653">
        <f>IFERROR(MATCH($EW653,$EM$5:$EM$1003,0),0)</f>
        <v/>
      </c>
      <c r="EY653">
        <f>IF($EW653&gt;$B$12,"",IF($EX653&gt;0,"row","spacer"))</f>
        <v/>
      </c>
      <c r="EZ653">
        <f>IF(AND($EY653="row",$EY652&lt;&gt;"row"),1,0)</f>
        <v/>
      </c>
      <c r="FA653">
        <f>IF(AND($EY653="row",$EY654&lt;&gt;"row"),1,0)</f>
        <v/>
      </c>
      <c r="FB653">
        <f>IF($EZ653=1,IFERROR(IF(ISNUMBER(INDEX(PASTE_ALL,INDEX($DF$5:$DF$1003,$EX653),$B$37)),INDEX(PASTE_ALL,INDEX($DF$5:$DF$1003,$EX653),$B$37),INDEX($DH$5:$DH$1003,$EX653)),INDEX($DH$5:$DH$1003,$EX653)),"")</f>
        <v/>
      </c>
      <c r="FC653">
        <f>IF($EY653="row",INDEX($ER$5:$ER$1003,$EX653),"")</f>
        <v/>
      </c>
      <c r="FD653">
        <f>IF($EY653="row",INDEX($DN$5:$DN$1003,$EX653),"")</f>
        <v/>
      </c>
      <c r="FE653">
        <f>IF($EY653="row",INDEX($DO$5:$DO$1003,$EX653),"")</f>
        <v/>
      </c>
      <c r="FF653">
        <f>IF($EY653="row",INDEX($DP$5:$DP$1003,$EX653),"")</f>
        <v/>
      </c>
      <c r="FG653">
        <f>IF($EY653="row",INDEX($DQ$5:$DQ$1003,$EX653),"")</f>
        <v/>
      </c>
      <c r="FH653">
        <f>IF($EY653="row",INDEX($DR$5:$DR$1003,$EX653),"")</f>
        <v/>
      </c>
      <c r="FI653">
        <f>IF($EY653="row",INDEX($DS$5:$DS$1003,$EX653),"")</f>
        <v/>
      </c>
      <c r="FJ653">
        <f>IF($EY653="row",INDEX($DT$5:$DT$1003,$EX653),"")</f>
        <v/>
      </c>
      <c r="FK653">
        <f>IF($EY653="row",INDEX($DU$5:$DU$1003,$EX653),"")</f>
        <v/>
      </c>
      <c r="FL653">
        <f>IF($EY653="row",INDEX($DV$5:$DV$1003,$EX653),"")</f>
        <v/>
      </c>
      <c r="FM653">
        <f>IF($EY653="row",INDEX($DW$5:$DW$1003,$EX653),"")</f>
        <v/>
      </c>
      <c r="FN653">
        <f>IF($EY653="row",INDEX($DY$5:$DY$1003,$EX653),"")</f>
        <v/>
      </c>
      <c r="FO653">
        <f>IF($EY653="row",INDEX($EA$5:$EA$1003,$EX653),"")</f>
        <v/>
      </c>
      <c r="FP653">
        <f>IF($EY653="row",INDEX($EC$5:$EC$1003,$EX653),"")</f>
        <v/>
      </c>
      <c r="FQ653">
        <f>IF($EY653="row",INDEX($ET$5:$ET$1003,$EX653),"")</f>
        <v/>
      </c>
      <c r="FR653">
        <f>IF($EY653="row",INDEX($EU$5:$EU$1003,$EX653),"")</f>
        <v/>
      </c>
      <c r="FS653">
        <f>IF(AND($EY653="row",$EY652="row"),IF(OR(INDEX($DT$5:$DT$1003,$EX652)="",INDEX($DT$5:$DT$1003,$EX653)=""),"",IF(NOT(EXACT(INDEX($DT$5:$DT$1003,$EX652),INDEX($DT$5:$DT$1003,$EX653))),"S4",IF(NOT(EXACT(INDEX($DS$5:$DS$1003,$EX652),INDEX($DS$5:$DS$1003,$EX653))),"S3",IF(NOT(EXACT(INDEX($DR$5:$DR$1003,$EX652),INDEX($DR$5:$DR$1003,$EX653))),"S1 Count Change","S1")))),"")</f>
        <v/>
      </c>
      <c r="FT653">
        <f>IF($EY653="row",INDEX($ES$5:$ES$1003,$EX653),"")</f>
        <v/>
      </c>
      <c r="FU653">
        <f>IF($EY653="row",INDEX($EO$5:$EO$1003,$EX653),0)</f>
        <v/>
      </c>
      <c r="FV653">
        <f>IF($FS653="S1 Count Change",1,0)</f>
        <v/>
      </c>
    </row>
    <row r="654">
      <c r="DA654" t="n">
        <v>650</v>
      </c>
      <c r="DB654">
        <f>IF($B$37=0,"",IFERROR(TRIM(SUBSTITUTE(SUBSTITUTE(SUBSTITUTE(SUBSTITUTE(INDEX(PASTE_ALL,650,$B$37)," "," "),CHAR(9)," "),CHAR(10)," "),CHAR(13)," ")),""))</f>
        <v/>
      </c>
      <c r="DC654">
        <f>IF(AND(650&gt;HEADER_ROW,UPPER(DB654)="LEGEND"),1,0)</f>
        <v/>
      </c>
      <c r="DE654" t="n">
        <v>650</v>
      </c>
      <c r="DF654">
        <f>HEADER_ROW+$DE654</f>
        <v/>
      </c>
      <c r="DG654">
        <f>IF(AND($DF654&lt;=1000,$DF654&lt;$B$8),1,0)</f>
        <v/>
      </c>
      <c r="DH654">
        <f>IF($DG654=1,IFERROR(INDEX($DB$5:$DB$1004,$DF654),""),"")</f>
        <v/>
      </c>
      <c r="DI654">
        <f>IF(AND($DG654=1,$DH654&lt;&gt;""),IFERROR(SUBSTITUTE(SUBSTITUTE(TRIM(SUBSTITUTE(SUBSTITUTE(SUBSTITUTE(SUBSTITUTE(IFERROR(INDEX(PASTE_ALL,$DF654,1)&amp;"","")&amp;"␟"&amp;IFERROR(INDEX(PASTE_ALL,$DF654,2)&amp;"","")&amp;"␟"&amp;IFERROR(INDEX(PASTE_ALL,$DF654,3)&amp;"","")&amp;"␟"&amp;IFERROR(INDEX(PASTE_ALL,$DF654,4)&amp;"","")&amp;"␟"&amp;IFERROR(INDEX(PASTE_ALL,$DF654,5)&amp;"","")&amp;"␟"&amp;IFERROR(INDEX(PASTE_ALL,$DF654,6)&amp;"","")&amp;"␟"&amp;IFERROR(INDEX(PASTE_ALL,$DF654,7)&amp;"","")&amp;"␟"&amp;IFERROR(INDEX(PASTE_ALL,$DF654,8)&amp;"","")&amp;"␟"&amp;IFERROR(INDEX(PASTE_ALL,$DF654,9)&amp;"","")&amp;"␟"&amp;IFERROR(INDEX(PASTE_ALL,$DF654,10)&amp;"","")&amp;"␟"&amp;IFERROR(INDEX(PASTE_ALL,$DF654,11)&amp;"","")&amp;"␟"&amp;IFERROR(INDEX(PASTE_ALL,$DF654,12)&amp;"","")&amp;"␟"&amp;IFERROR(INDEX(PASTE_ALL,$DF654,13)&amp;"","")&amp;"␟"&amp;IFERROR(INDEX(PASTE_ALL,$DF654,14)&amp;"","")&amp;"␟"&amp;IFERROR(INDEX(PASTE_ALL,$DF654,15)&amp;"","")&amp;"␟"&amp;IFERROR(INDEX(PASTE_ALL,$DF654,16)&amp;"","")&amp;"␟"&amp;IFERROR(INDEX(PASTE_ALL,$DF654,17)&amp;"","")&amp;"␟"&amp;IFERROR(INDEX(PASTE_ALL,$DF654,18)&amp;"","")&amp;"␟"&amp;IFERROR(INDEX(PASTE_ALL,$DF654,19)&amp;"","")&amp;"␟"&amp;IFERROR(INDEX(PASTE_ALL,$DF654,20)&amp;"","")&amp;"␟"&amp;IFERROR(INDEX(PASTE_ALL,$DF654,21)&amp;"","")&amp;"␟"&amp;IFERROR(INDEX(PASTE_ALL,$DF654,22)&amp;"","")&amp;"␟"&amp;IFERROR(INDEX(PASTE_ALL,$DF654,23)&amp;"","")&amp;"␟"&amp;IFERROR(INDEX(PASTE_ALL,$DF654,24)&amp;"","")&amp;"␟"&amp;IFERROR(INDEX(PASTE_ALL,$DF654,25)&amp;"","")&amp;"␟"&amp;IFERROR(INDEX(PASTE_ALL,$DF654,26)&amp;"","")&amp;"␟"&amp;IFERROR(INDEX(PASTE_ALL,$DF654,27)&amp;"","")&amp;"␟"&amp;IFERROR(INDEX(PASTE_ALL,$DF654,28)&amp;"","")&amp;"␟"&amp;IFERROR(INDEX(PASTE_ALL,$DF654,29)&amp;"","")&amp;"␟"&amp;IFERROR(INDEX(PASTE_ALL,$DF654,30)&amp;"","")&amp;"␟"&amp;IFERROR(INDEX(PASTE_ALL,$DF654,31)&amp;"","")&amp;"␟"&amp;IFERROR(INDEX(PASTE_ALL,$DF654,32)&amp;"","")&amp;"␟"&amp;IFERROR(INDEX(PASTE_ALL,$DF654,33)&amp;"","")&amp;"␟"&amp;IFERROR(INDEX(PASTE_ALL,$DF654,34)&amp;"","")&amp;"␟"&amp;IFERROR(INDEX(PASTE_ALL,$DF654,35)&amp;"","")&amp;"␟"&amp;IFERROR(INDEX(PASTE_ALL,$DF654,36)&amp;"","")&amp;"␟"&amp;IFERROR(INDEX(PASTE_ALL,$DF654,37)&amp;"","")&amp;"␟"&amp;IFERROR(INDEX(PASTE_ALL,$DF654,38)&amp;"","")&amp;"␟"&amp;IFERROR(INDEX(PASTE_ALL,$DF654,39)&amp;"","")&amp;"␟"&amp;IFERROR(INDEX(PASTE_ALL,$DF654,40)&amp;"","")&amp;"␟"&amp;IFERROR(INDEX(PASTE_ALL,$DF654,41)&amp;"","")&amp;"␟"&amp;IFERROR(INDEX(PASTE_ALL,$DF654,42)&amp;"","")&amp;"␟"&amp;IFERROR(INDEX(PASTE_ALL,$DF654,43)&amp;"","")&amp;"␟"&amp;IFERROR(INDEX(PASTE_ALL,$DF654,44)&amp;"","")&amp;"␟"&amp;IFERROR(INDEX(PASTE_ALL,$DF654,45)&amp;"","")&amp;"␟"&amp;IFERROR(INDEX(PASTE_ALL,$DF654,46)&amp;"","")&amp;"␟"&amp;IFERROR(INDEX(PASTE_ALL,$DF654,47)&amp;"","")&amp;"␟"&amp;IFERROR(INDEX(PASTE_ALL,$DF654,48)&amp;"","")&amp;"␟"&amp;IFERROR(INDEX(PASTE_ALL,$DF654,49)&amp;"","")&amp;"␟"&amp;IFERROR(INDEX(PASTE_ALL,$DF654,50)&amp;"","")&amp;"␟"&amp;IFERROR(INDEX(PASTE_ALL,$DF654,51)&amp;"","")&amp;"␟"&amp;IFERROR(INDEX(PASTE_ALL,$DF654,52)&amp;"","")&amp;"␟"&amp;IFERROR(INDEX(PASTE_ALL,$DF654,53)&amp;"","")&amp;"␟"&amp;IFERROR(INDEX(PASTE_ALL,$DF654,54)&amp;"","")&amp;"␟"&amp;IFERROR(INDEX(PASTE_ALL,$DF654,55)&amp;"","")&amp;"␟"&amp;IFERROR(INDEX(PASTE_ALL,$DF654,56)&amp;"","")&amp;"␟"&amp;IFERROR(INDEX(PASTE_ALL,$DF654,57)&amp;"","")&amp;"␟"&amp;IFERROR(INDEX(PASTE_ALL,$DF654,58)&amp;"","")&amp;"␟"&amp;IFERROR(INDEX(PASTE_ALL,$DF654,59)&amp;"","")&amp;"␟"&amp;IFERROR(INDEX(PASTE_ALL,$DF654,60)&amp;"","")," "," "),CHAR(9)," "),CHAR(10)," "),CHAR(13)," "))," ␟","␟"),"␟ ","␟"),"#"&amp;$DE654),"")</f>
        <v/>
      </c>
      <c r="DJ654">
        <f>IF($DI654="",0,IF(SUMPRODUCT(--EXACT($DI$4:DI653,$DI654))&gt;0,1,0))</f>
        <v/>
      </c>
      <c r="DK654">
        <f>IF(AND($DI654&lt;&gt;"",$DJ654=0),1,0)</f>
        <v/>
      </c>
      <c r="DL654">
        <f>DL653+$DK654</f>
        <v/>
      </c>
      <c r="DM654">
        <f>IF(AND($DK654=1,$DL654&lt;=600),1,0)</f>
        <v/>
      </c>
      <c r="DN654">
        <f>IF($DM654=0,"",IF($L$6=0,"",IFERROR(IF(ISNUMBER(INDEX(PASTE_ALL,$DF654,$L$6)),INDEX(PASTE_ALL,$DF654,$L$6),TRIM(SUBSTITUTE(SUBSTITUTE(SUBSTITUTE(SUBSTITUTE(INDEX(PASTE_ALL,$DF654,$L$6)," "," "),CHAR(9)," "),CHAR(10)," "),CHAR(13)," "))),"")))</f>
        <v/>
      </c>
      <c r="DO654">
        <f>IF($DM654=0,"",IF($L$7=0,"",IFERROR(IF(ISNUMBER(INDEX(PASTE_ALL,$DF654,$L$7)),INDEX(PASTE_ALL,$DF654,$L$7),TRIM(SUBSTITUTE(SUBSTITUTE(SUBSTITUTE(SUBSTITUTE(INDEX(PASTE_ALL,$DF654,$L$7)," "," "),CHAR(9)," "),CHAR(10)," "),CHAR(13)," "))),"")))</f>
        <v/>
      </c>
      <c r="DP654">
        <f>IF($DM654=0,"",IF($L$8=0,"",IFERROR(IF(ISNUMBER(INDEX(PASTE_ALL,$DF654,$L$8)),INDEX(PASTE_ALL,$DF654,$L$8),TRIM(SUBSTITUTE(SUBSTITUTE(SUBSTITUTE(SUBSTITUTE(INDEX(PASTE_ALL,$DF654,$L$8)," "," "),CHAR(9)," "),CHAR(10)," "),CHAR(13)," "))),"")))</f>
        <v/>
      </c>
      <c r="DQ654">
        <f>IF($DM654=0,"",IF($L$9=0,"",IFERROR(IF(ISNUMBER(INDEX(PASTE_ALL,$DF654,$L$9)),INDEX(PASTE_ALL,$DF654,$L$9),TRIM(SUBSTITUTE(SUBSTITUTE(SUBSTITUTE(SUBSTITUTE(INDEX(PASTE_ALL,$DF654,$L$9)," "," "),CHAR(9)," "),CHAR(10)," "),CHAR(13)," "))),"")))</f>
        <v/>
      </c>
      <c r="DR654">
        <f>IF($DM654=0,"",IF($L$10=0,"",IFERROR(IF(ISNUMBER(INDEX(PASTE_ALL,$DF654,$L$10)),INDEX(PASTE_ALL,$DF654,$L$10),TRIM(SUBSTITUTE(SUBSTITUTE(SUBSTITUTE(SUBSTITUTE(INDEX(PASTE_ALL,$DF654,$L$10)," "," "),CHAR(9)," "),CHAR(10)," "),CHAR(13)," "))),"")))</f>
        <v/>
      </c>
      <c r="DS654">
        <f>IF($DM654=0,"",IF($L$11=0,"",IFERROR(IF(ISNUMBER(INDEX(PASTE_ALL,$DF654,$L$11)),INDEX(PASTE_ALL,$DF654,$L$11),TRIM(SUBSTITUTE(SUBSTITUTE(SUBSTITUTE(SUBSTITUTE(INDEX(PASTE_ALL,$DF654,$L$11)," "," "),CHAR(9)," "),CHAR(10)," "),CHAR(13)," "))),"")))</f>
        <v/>
      </c>
      <c r="DT654">
        <f>IF($DM654=0,"",IF($L$12=0,"",IFERROR(IF(ISNUMBER(INDEX(PASTE_ALL,$DF654,$L$12)),INDEX(PASTE_ALL,$DF654,$L$12),TRIM(SUBSTITUTE(SUBSTITUTE(SUBSTITUTE(SUBSTITUTE(INDEX(PASTE_ALL,$DF654,$L$12)," "," "),CHAR(9)," "),CHAR(10)," "),CHAR(13)," "))),"")))</f>
        <v/>
      </c>
      <c r="DU654">
        <f>IF($DM654=0,"",IF($L$13=0,"",IFERROR(IF(ISNUMBER(INDEX(PASTE_ALL,$DF654,$L$13)),INDEX(PASTE_ALL,$DF654,$L$13),TRIM(SUBSTITUTE(SUBSTITUTE(SUBSTITUTE(SUBSTITUTE(INDEX(PASTE_ALL,$DF654,$L$13)," "," "),CHAR(9)," "),CHAR(10)," "),CHAR(13)," "))),"")))</f>
        <v/>
      </c>
      <c r="DV654">
        <f>IF($DM654=0,"",IF($L$14=0,"",IFERROR(IF(ISNUMBER(INDEX(PASTE_ALL,$DF654,$L$14)),INDEX(PASTE_ALL,$DF654,$L$14),TRIM(SUBSTITUTE(SUBSTITUTE(SUBSTITUTE(SUBSTITUTE(INDEX(PASTE_ALL,$DF654,$L$14)," "," "),CHAR(9)," "),CHAR(10)," "),CHAR(13)," "))),"")))</f>
        <v/>
      </c>
      <c r="DW654">
        <f>IF($DM654=0,"",IF($L$15=0,"",IFERROR(IF(ISNUMBER(INDEX(PASTE_ALL,$DF654,$L$15)),INDEX(PASTE_ALL,$DF654,$L$15),IF(SUMPRODUCT(--ISNUMBER(FIND({"A","B","C","D","E","F","G","H","I","J","K","L","M","N","O","P","Q","R","S","T","U","V","W","X","Y","Z","0","1","2","3","4","5","6","7","8","9"},UPPER(TRIM(SUBSTITUTE(SUBSTITUTE(SUBSTITUTE(SUBSTITUTE(INDEX(PASTE_ALL,$DF654,$L$15)," "," "),CHAR(9)," "),CHAR(10)," "),CHAR(13)," "))))))&gt;0,TRIM(SUBSTITUTE(SUBSTITUTE(SUBSTITUTE(SUBSTITUTE(INDEX(PASTE_ALL,$DF654,$L$15)," "," "),CHAR(9)," "),CHAR(10)," "),CHAR(13)," ")),"")),"")))</f>
        <v/>
      </c>
      <c r="DX654">
        <f>IF($DM654=0,"",IF($L$16=0,"",IFERROR(IF(ISNUMBER(INDEX(PASTE_ALL,$DF654,$L$16)),INDEX(PASTE_ALL,$DF654,$L$16),SUBSTITUTE(SUBSTITUTE(TRIM(SUBSTITUTE(SUBSTITUTE(SUBSTITUTE(SUBSTITUTE(INDEX(PASTE_ALL,$DF654,$L$16)," "," "),CHAR(9)," "),CHAR(10)," "),CHAR(13)," ")),",",""),"%","")),"")))</f>
        <v/>
      </c>
      <c r="DY654">
        <f>IF($DM654=0,"",IFERROR(IF(ISNUMBER($DX654),$DX654,IF($DX654="","",IF(TRIM($DX654)="",0,IF(AND(AND(SUBSTITUTE(SUBSTITUTE(SUBSTITUTE(SUBSTITUTE(SUBSTITUTE(SUBSTITUTE(SUBSTITUTE(SUBSTITUTE(SUBSTITUTE(SUBSTITUTE(SUBSTITUTE(SUBSTITUTE(SUBSTITUTE(SUBSTITUTE(UPPER(TRIM($DX654)),"0",""),"1",""),"2",""),"3",""),"4",""),"5",""),"6",""),"7",""),"8",""),"9",""),".",""),"+",""),"-",""),"E","")="",LEN(SUBSTITUTE(SUBSTITUTE(MID(UPPER(TRIM($DX654)),1+OR(LEFT(UPPER(TRIM($DX654)),1)="+",LEFT(UPPER(TRIM($DX654)),1)="-"),999),"E+","E"),"E-","E"))=LEN(SUBSTITUTE(SUBSTITUTE(SUBSTITUTE(SUBSTITUTE(MID(UPPER(TRIM($DX654)),1+OR(LEFT(UPPER(TRIM($DX654)),1)="+",LEFT(UPPER(TRIM($DX654)),1)="-"),999),"E+","E"),"E-","E"),"+",""),"-","")),LEN(UPPER(TRIM($DX654)))-LEN(SUBSTITUTE(UPPER(TRIM($DX654)),"E",""))&lt;2,LEN(UPPER(TRIM($DX654)))-LEN(SUBSTITUTE(UPPER(TRIM($DX654)),".",""))&lt;2,IFERROR(FIND(".",UPPER(TRIM($DX654))),0)&lt;IFERROR(FIND("E",UPPER(TRIM($DX654))),999)),ISNUMBER(VALUE(TRIM($DX654)))),VALUE(TRIM($DX654)),"")))),""))</f>
        <v/>
      </c>
      <c r="DZ654">
        <f>IF($DM654=0,"",IF($L$17=0,"",IFERROR(IF(ISNUMBER(INDEX(PASTE_ALL,$DF654,$L$17)),INDEX(PASTE_ALL,$DF654,$L$17),SUBSTITUTE(SUBSTITUTE(TRIM(SUBSTITUTE(SUBSTITUTE(SUBSTITUTE(SUBSTITUTE(INDEX(PASTE_ALL,$DF654,$L$17)," "," "),CHAR(9)," "),CHAR(10)," "),CHAR(13)," ")),",",""),"%","")),"")))</f>
        <v/>
      </c>
      <c r="EA654">
        <f>IF($DM654=0,"",IFERROR(IF(ISNUMBER($DZ654),$DZ654,IF($DZ654="","",IF(TRIM($DZ654)="",0,IF(AND(AND(SUBSTITUTE(SUBSTITUTE(SUBSTITUTE(SUBSTITUTE(SUBSTITUTE(SUBSTITUTE(SUBSTITUTE(SUBSTITUTE(SUBSTITUTE(SUBSTITUTE(SUBSTITUTE(SUBSTITUTE(SUBSTITUTE(SUBSTITUTE(UPPER(TRIM($DZ654)),"0",""),"1",""),"2",""),"3",""),"4",""),"5",""),"6",""),"7",""),"8",""),"9",""),".",""),"+",""),"-",""),"E","")="",LEN(SUBSTITUTE(SUBSTITUTE(MID(UPPER(TRIM($DZ654)),1+OR(LEFT(UPPER(TRIM($DZ654)),1)="+",LEFT(UPPER(TRIM($DZ654)),1)="-"),999),"E+","E"),"E-","E"))=LEN(SUBSTITUTE(SUBSTITUTE(SUBSTITUTE(SUBSTITUTE(MID(UPPER(TRIM($DZ654)),1+OR(LEFT(UPPER(TRIM($DZ654)),1)="+",LEFT(UPPER(TRIM($DZ654)),1)="-"),999),"E+","E"),"E-","E"),"+",""),"-","")),LEN(UPPER(TRIM($DZ654)))-LEN(SUBSTITUTE(UPPER(TRIM($DZ654)),"E",""))&lt;2,LEN(UPPER(TRIM($DZ654)))-LEN(SUBSTITUTE(UPPER(TRIM($DZ654)),".",""))&lt;2,IFERROR(FIND(".",UPPER(TRIM($DZ654))),0)&lt;IFERROR(FIND("E",UPPER(TRIM($DZ654))),999)),ISNUMBER(VALUE(TRIM($DZ654)))),VALUE(TRIM($DZ654)),"")))),""))</f>
        <v/>
      </c>
      <c r="EB654">
        <f>IF($DM654=0,"",IF($L$18=0,"",IFERROR(IF(UPPER(TRIM(SUBSTITUTE(SUBSTITUTE(SUBSTITUTE(SUBSTITUTE(INDEX(PASTE_ALL,$DF654,$L$18)," "," "),CHAR(9)," "),CHAR(10)," "),CHAR(13)," ")))="READY","Ready",IF(UPPER(TRIM(SUBSTITUTE(SUBSTITUTE(SUBSTITUTE(SUBSTITUTE(INDEX(PASTE_ALL,$DF654,$L$18)," "," "),CHAR(9)," "),CHAR(10)," "),CHAR(13)," ")))="PM","PM",IF(OR(UPPER(TRIM(SUBSTITUTE(SUBSTITUTE(SUBSTITUTE(SUBSTITUTE(INDEX(PASTE_ALL,$DF654,$L$18)," "," "),CHAR(9)," "),CHAR(10)," "),CHAR(13)," ")))="OT",UPPER(TRIM(SUBSTITUTE(SUBSTITUTE(SUBSTITUTE(SUBSTITUTE(INDEX(PASTE_ALL,$DF654,$L$18)," "," "),CHAR(9)," "),CHAR(10)," "),CHAR(13)," ")))="OVERTIME",UPPER(TRIM(SUBSTITUTE(SUBSTITUTE(SUBSTITUTE(SUBSTITUTE(INDEX(PASTE_ALL,$DF654,$L$18)," "," "),CHAR(9)," "),CHAR(10)," "),CHAR(13)," ")))="TRIAL"),"OT",TRIM(SUBSTITUTE(SUBSTITUTE(SUBSTITUTE(SUBSTITUTE(INDEX(PASTE_ALL,$DF654,$L$18)," "," "),CHAR(9)," "),CHAR(10)," "),CHAR(13)," "))))),"")))</f>
        <v/>
      </c>
      <c r="EC654">
        <f>IF($DM654=0,"",IF($L$19=0,"",IFERROR(IF(ISNUMBER(INDEX(PASTE_ALL,$DF654,$L$19)),INDEX(PASTE_ALL,$DF654,$L$19),TRIM(SUBSTITUTE(SUBSTITUTE(SUBSTITUTE(SUBSTITUTE(INDEX(PASTE_ALL,$DF654,$L$19)," "," "),CHAR(9)," "),CHAR(10)," "),CHAR(13)," "))),"")))</f>
        <v/>
      </c>
      <c r="ED654">
        <f>IF($DM654=0,"",MATCH(1,INDEX(EXACT($DH$5:DH654,$DH654)*$DM$5:DM654,0),0))</f>
        <v/>
      </c>
      <c r="EE654">
        <f>IF($DM654=0,0,IF($ED654=$DE654,1,0))</f>
        <v/>
      </c>
      <c r="EF654">
        <f>EF653+$EE654</f>
        <v/>
      </c>
      <c r="EG654">
        <f>IF($DM654=0,"",INDEX($EF$5:$EF$1003,$ED654))</f>
        <v/>
      </c>
      <c r="EH654">
        <f>IF($DM654=0,"",IF($DO654&lt;&gt;"","",IFERROR(LOOKUP(2,1/(($EG$4:EG653=$EG654)*($DO$4:DO653&lt;&gt;"")),$DO$4:DO653),"")))</f>
        <v/>
      </c>
      <c r="EI654">
        <f>IF($DM654=0,"",IF($DO654&lt;&gt;"",$DO654,$EH654))</f>
        <v/>
      </c>
      <c r="EJ654">
        <f>IF($DM654=0,"",IF($EI654="",0,IF(OR(ISNUMBER($EI654),AND(AND(SUBSTITUTE(SUBSTITUTE(SUBSTITUTE(SUBSTITUTE(SUBSTITUTE(SUBSTITUTE(SUBSTITUTE(SUBSTITUTE(SUBSTITUTE(SUBSTITUTE(SUBSTITUTE(SUBSTITUTE(SUBSTITUTE(SUBSTITUTE(UPPER($EI654),"0",""),"1",""),"2",""),"3",""),"4",""),"5",""),"6",""),"7",""),"8",""),"9",""),".",""),"+",""),"-",""),"E","")="",LEN(SUBSTITUTE(SUBSTITUTE(MID(UPPER($EI654),1+OR(LEFT(UPPER($EI654),1)="+",LEFT(UPPER($EI654),1)="-"),999),"E+","E"),"E-","E"))=LEN(SUBSTITUTE(SUBSTITUTE(SUBSTITUTE(SUBSTITUTE(MID(UPPER($EI654),1+OR(LEFT(UPPER($EI654),1)="+",LEFT(UPPER($EI654),1)="-"),999),"E+","E"),"E-","E"),"+",""),"-","")),LEN(UPPER($EI654))-LEN(SUBSTITUTE(UPPER($EI654),"E",""))&lt;2,LEN(UPPER($EI654))-LEN(SUBSTITUTE(UPPER($EI654),".",""))&lt;2,IFERROR(FIND(".",UPPER($EI654)),0)&lt;IFERROR(FIND("E",UPPER($EI654)),999)),ISNUMBER(VALUE($EI654)))),1,2)))</f>
        <v/>
      </c>
      <c r="EK654">
        <f>IF($DM654=0,"",IF($EJ654=1,IF(ISNUMBER($EI654),$EI654,VALUE($EI654)),IF($EJ654=2,$DE654,0)))</f>
        <v/>
      </c>
      <c r="EL654">
        <f>IF($DM654=0,"",COUNTIF($EG$5:$EG$1003,"&lt;"&amp;$EG654)+SUMPRODUCT(($EG$5:$EG$1003=$EG654)*(($EJ$5:$EJ$1003&lt;$EJ654)+($EJ$5:$EJ$1003=$EJ654)*(($EK$5:$EK$1003&lt;$EK654)+($EK$5:$EK$1003=$EK654)*($DE$5:$DE$1003&lt;$DE654))))+1)</f>
        <v/>
      </c>
      <c r="EM654">
        <f>IF($DM654=0,"",$EL654+$EG654-1)</f>
        <v/>
      </c>
      <c r="EN654">
        <f>IF($DM654=0,0,IFERROR(MATCH(1,INDEX(--(TRIM(SUBSTITUTE(SUBSTITUTE(SUBSTITUTE(SUBSTITUTE(LINES_NAME&amp;""," "," "),CHAR(9)," "),CHAR(10)," "),CHAR(13)," "))=$DH654),0),0),0))</f>
        <v/>
      </c>
      <c r="EO654">
        <f>IF($EN654=0,0,IF(OR(UPPER(TRIM(INDEX(LINES_SCHEDULED,$EN654)&amp;""))="YES",UPPER(TRIM(INDEX(LINES_SCHEDULED,$EN654)&amp;""))="Y",UPPER(TRIM(INDEX(LINES_SCHEDULED,$EN654)&amp;""))="X"),1,0))</f>
        <v/>
      </c>
      <c r="EP654">
        <f>IF($DM654=0,"",IF(COUNTIFS($EG$5:$EG$1003,$EG654,$EB$5:$EB$1003,"Ready")&gt;0,"READY",IF(COUNTIFS($EG$5:$EG$1003,$EG654,$EB$5:$EB$1003,"PM")&gt;0,"PM",IF(COUNTIFS($EG$5:$EG$1003,$EG654,$EB$5:$EB$1003,"OT")&gt;0,"OT",""))))</f>
        <v/>
      </c>
      <c r="EQ654">
        <f>IF($EN654=0,"",UPPER(TRIM(INDEX(LINES_STATUS,$EN654)&amp;"")))</f>
        <v/>
      </c>
      <c r="ER654">
        <f>IF($DM654=0,"",IF(OR($EQ654="READY",$EQ654="PM",$EQ654="OT"),$EQ654,$EP654))</f>
        <v/>
      </c>
      <c r="ES654">
        <f>IF($DM654=0,"",IF(AND($DV654&lt;&gt;"",UPPER($DV654)&lt;&gt;"N"),"allergen",IF(ISNUMBER(SEARCH("oil",$DQ654)),"oil",IF(OR(EXACT($DS654,"A662"),EXACT($DS654,"A624")),"bulk",""))))</f>
        <v/>
      </c>
      <c r="ET654">
        <f>IF($DM654=0,"",IF(OR($EA654="",$EA654=0),"",$EA654/100))</f>
        <v/>
      </c>
      <c r="EU654">
        <f>IF(OR($ET654="",$DY654=""),"",INT($DY654*(1-$ET654)+0.5))</f>
        <v/>
      </c>
      <c r="EW654" t="n">
        <v>650</v>
      </c>
      <c r="EX654">
        <f>IFERROR(MATCH($EW654,$EM$5:$EM$1003,0),0)</f>
        <v/>
      </c>
      <c r="EY654">
        <f>IF($EW654&gt;$B$12,"",IF($EX654&gt;0,"row","spacer"))</f>
        <v/>
      </c>
      <c r="EZ654">
        <f>IF(AND($EY654="row",$EY653&lt;&gt;"row"),1,0)</f>
        <v/>
      </c>
      <c r="FA654">
        <f>IF(AND($EY654="row",$EY655&lt;&gt;"row"),1,0)</f>
        <v/>
      </c>
      <c r="FB654">
        <f>IF($EZ654=1,IFERROR(IF(ISNUMBER(INDEX(PASTE_ALL,INDEX($DF$5:$DF$1003,$EX654),$B$37)),INDEX(PASTE_ALL,INDEX($DF$5:$DF$1003,$EX654),$B$37),INDEX($DH$5:$DH$1003,$EX654)),INDEX($DH$5:$DH$1003,$EX654)),"")</f>
        <v/>
      </c>
      <c r="FC654">
        <f>IF($EY654="row",INDEX($ER$5:$ER$1003,$EX654),"")</f>
        <v/>
      </c>
      <c r="FD654">
        <f>IF($EY654="row",INDEX($DN$5:$DN$1003,$EX654),"")</f>
        <v/>
      </c>
      <c r="FE654">
        <f>IF($EY654="row",INDEX($DO$5:$DO$1003,$EX654),"")</f>
        <v/>
      </c>
      <c r="FF654">
        <f>IF($EY654="row",INDEX($DP$5:$DP$1003,$EX654),"")</f>
        <v/>
      </c>
      <c r="FG654">
        <f>IF($EY654="row",INDEX($DQ$5:$DQ$1003,$EX654),"")</f>
        <v/>
      </c>
      <c r="FH654">
        <f>IF($EY654="row",INDEX($DR$5:$DR$1003,$EX654),"")</f>
        <v/>
      </c>
      <c r="FI654">
        <f>IF($EY654="row",INDEX($DS$5:$DS$1003,$EX654),"")</f>
        <v/>
      </c>
      <c r="FJ654">
        <f>IF($EY654="row",INDEX($DT$5:$DT$1003,$EX654),"")</f>
        <v/>
      </c>
      <c r="FK654">
        <f>IF($EY654="row",INDEX($DU$5:$DU$1003,$EX654),"")</f>
        <v/>
      </c>
      <c r="FL654">
        <f>IF($EY654="row",INDEX($DV$5:$DV$1003,$EX654),"")</f>
        <v/>
      </c>
      <c r="FM654">
        <f>IF($EY654="row",INDEX($DW$5:$DW$1003,$EX654),"")</f>
        <v/>
      </c>
      <c r="FN654">
        <f>IF($EY654="row",INDEX($DY$5:$DY$1003,$EX654),"")</f>
        <v/>
      </c>
      <c r="FO654">
        <f>IF($EY654="row",INDEX($EA$5:$EA$1003,$EX654),"")</f>
        <v/>
      </c>
      <c r="FP654">
        <f>IF($EY654="row",INDEX($EC$5:$EC$1003,$EX654),"")</f>
        <v/>
      </c>
      <c r="FQ654">
        <f>IF($EY654="row",INDEX($ET$5:$ET$1003,$EX654),"")</f>
        <v/>
      </c>
      <c r="FR654">
        <f>IF($EY654="row",INDEX($EU$5:$EU$1003,$EX654),"")</f>
        <v/>
      </c>
      <c r="FS654">
        <f>IF(AND($EY654="row",$EY653="row"),IF(OR(INDEX($DT$5:$DT$1003,$EX653)="",INDEX($DT$5:$DT$1003,$EX654)=""),"",IF(NOT(EXACT(INDEX($DT$5:$DT$1003,$EX653),INDEX($DT$5:$DT$1003,$EX654))),"S4",IF(NOT(EXACT(INDEX($DS$5:$DS$1003,$EX653),INDEX($DS$5:$DS$1003,$EX654))),"S3",IF(NOT(EXACT(INDEX($DR$5:$DR$1003,$EX653),INDEX($DR$5:$DR$1003,$EX654))),"S1 Count Change","S1")))),"")</f>
        <v/>
      </c>
      <c r="FT654">
        <f>IF($EY654="row",INDEX($ES$5:$ES$1003,$EX654),"")</f>
        <v/>
      </c>
      <c r="FU654">
        <f>IF($EY654="row",INDEX($EO$5:$EO$1003,$EX654),0)</f>
        <v/>
      </c>
      <c r="FV654">
        <f>IF($FS654="S1 Count Change",1,0)</f>
        <v/>
      </c>
    </row>
    <row r="655">
      <c r="DA655" t="n">
        <v>651</v>
      </c>
      <c r="DB655">
        <f>IF($B$37=0,"",IFERROR(TRIM(SUBSTITUTE(SUBSTITUTE(SUBSTITUTE(SUBSTITUTE(INDEX(PASTE_ALL,651,$B$37)," "," "),CHAR(9)," "),CHAR(10)," "),CHAR(13)," ")),""))</f>
        <v/>
      </c>
      <c r="DC655">
        <f>IF(AND(651&gt;HEADER_ROW,UPPER(DB655)="LEGEND"),1,0)</f>
        <v/>
      </c>
      <c r="DE655" t="n">
        <v>651</v>
      </c>
      <c r="DF655">
        <f>HEADER_ROW+$DE655</f>
        <v/>
      </c>
      <c r="DG655">
        <f>IF(AND($DF655&lt;=1000,$DF655&lt;$B$8),1,0)</f>
        <v/>
      </c>
      <c r="DH655">
        <f>IF($DG655=1,IFERROR(INDEX($DB$5:$DB$1004,$DF655),""),"")</f>
        <v/>
      </c>
      <c r="DI655">
        <f>IF(AND($DG655=1,$DH655&lt;&gt;""),IFERROR(SUBSTITUTE(SUBSTITUTE(TRIM(SUBSTITUTE(SUBSTITUTE(SUBSTITUTE(SUBSTITUTE(IFERROR(INDEX(PASTE_ALL,$DF655,1)&amp;"","")&amp;"␟"&amp;IFERROR(INDEX(PASTE_ALL,$DF655,2)&amp;"","")&amp;"␟"&amp;IFERROR(INDEX(PASTE_ALL,$DF655,3)&amp;"","")&amp;"␟"&amp;IFERROR(INDEX(PASTE_ALL,$DF655,4)&amp;"","")&amp;"␟"&amp;IFERROR(INDEX(PASTE_ALL,$DF655,5)&amp;"","")&amp;"␟"&amp;IFERROR(INDEX(PASTE_ALL,$DF655,6)&amp;"","")&amp;"␟"&amp;IFERROR(INDEX(PASTE_ALL,$DF655,7)&amp;"","")&amp;"␟"&amp;IFERROR(INDEX(PASTE_ALL,$DF655,8)&amp;"","")&amp;"␟"&amp;IFERROR(INDEX(PASTE_ALL,$DF655,9)&amp;"","")&amp;"␟"&amp;IFERROR(INDEX(PASTE_ALL,$DF655,10)&amp;"","")&amp;"␟"&amp;IFERROR(INDEX(PASTE_ALL,$DF655,11)&amp;"","")&amp;"␟"&amp;IFERROR(INDEX(PASTE_ALL,$DF655,12)&amp;"","")&amp;"␟"&amp;IFERROR(INDEX(PASTE_ALL,$DF655,13)&amp;"","")&amp;"␟"&amp;IFERROR(INDEX(PASTE_ALL,$DF655,14)&amp;"","")&amp;"␟"&amp;IFERROR(INDEX(PASTE_ALL,$DF655,15)&amp;"","")&amp;"␟"&amp;IFERROR(INDEX(PASTE_ALL,$DF655,16)&amp;"","")&amp;"␟"&amp;IFERROR(INDEX(PASTE_ALL,$DF655,17)&amp;"","")&amp;"␟"&amp;IFERROR(INDEX(PASTE_ALL,$DF655,18)&amp;"","")&amp;"␟"&amp;IFERROR(INDEX(PASTE_ALL,$DF655,19)&amp;"","")&amp;"␟"&amp;IFERROR(INDEX(PASTE_ALL,$DF655,20)&amp;"","")&amp;"␟"&amp;IFERROR(INDEX(PASTE_ALL,$DF655,21)&amp;"","")&amp;"␟"&amp;IFERROR(INDEX(PASTE_ALL,$DF655,22)&amp;"","")&amp;"␟"&amp;IFERROR(INDEX(PASTE_ALL,$DF655,23)&amp;"","")&amp;"␟"&amp;IFERROR(INDEX(PASTE_ALL,$DF655,24)&amp;"","")&amp;"␟"&amp;IFERROR(INDEX(PASTE_ALL,$DF655,25)&amp;"","")&amp;"␟"&amp;IFERROR(INDEX(PASTE_ALL,$DF655,26)&amp;"","")&amp;"␟"&amp;IFERROR(INDEX(PASTE_ALL,$DF655,27)&amp;"","")&amp;"␟"&amp;IFERROR(INDEX(PASTE_ALL,$DF655,28)&amp;"","")&amp;"␟"&amp;IFERROR(INDEX(PASTE_ALL,$DF655,29)&amp;"","")&amp;"␟"&amp;IFERROR(INDEX(PASTE_ALL,$DF655,30)&amp;"","")&amp;"␟"&amp;IFERROR(INDEX(PASTE_ALL,$DF655,31)&amp;"","")&amp;"␟"&amp;IFERROR(INDEX(PASTE_ALL,$DF655,32)&amp;"","")&amp;"␟"&amp;IFERROR(INDEX(PASTE_ALL,$DF655,33)&amp;"","")&amp;"␟"&amp;IFERROR(INDEX(PASTE_ALL,$DF655,34)&amp;"","")&amp;"␟"&amp;IFERROR(INDEX(PASTE_ALL,$DF655,35)&amp;"","")&amp;"␟"&amp;IFERROR(INDEX(PASTE_ALL,$DF655,36)&amp;"","")&amp;"␟"&amp;IFERROR(INDEX(PASTE_ALL,$DF655,37)&amp;"","")&amp;"␟"&amp;IFERROR(INDEX(PASTE_ALL,$DF655,38)&amp;"","")&amp;"␟"&amp;IFERROR(INDEX(PASTE_ALL,$DF655,39)&amp;"","")&amp;"␟"&amp;IFERROR(INDEX(PASTE_ALL,$DF655,40)&amp;"","")&amp;"␟"&amp;IFERROR(INDEX(PASTE_ALL,$DF655,41)&amp;"","")&amp;"␟"&amp;IFERROR(INDEX(PASTE_ALL,$DF655,42)&amp;"","")&amp;"␟"&amp;IFERROR(INDEX(PASTE_ALL,$DF655,43)&amp;"","")&amp;"␟"&amp;IFERROR(INDEX(PASTE_ALL,$DF655,44)&amp;"","")&amp;"␟"&amp;IFERROR(INDEX(PASTE_ALL,$DF655,45)&amp;"","")&amp;"␟"&amp;IFERROR(INDEX(PASTE_ALL,$DF655,46)&amp;"","")&amp;"␟"&amp;IFERROR(INDEX(PASTE_ALL,$DF655,47)&amp;"","")&amp;"␟"&amp;IFERROR(INDEX(PASTE_ALL,$DF655,48)&amp;"","")&amp;"␟"&amp;IFERROR(INDEX(PASTE_ALL,$DF655,49)&amp;"","")&amp;"␟"&amp;IFERROR(INDEX(PASTE_ALL,$DF655,50)&amp;"","")&amp;"␟"&amp;IFERROR(INDEX(PASTE_ALL,$DF655,51)&amp;"","")&amp;"␟"&amp;IFERROR(INDEX(PASTE_ALL,$DF655,52)&amp;"","")&amp;"␟"&amp;IFERROR(INDEX(PASTE_ALL,$DF655,53)&amp;"","")&amp;"␟"&amp;IFERROR(INDEX(PASTE_ALL,$DF655,54)&amp;"","")&amp;"␟"&amp;IFERROR(INDEX(PASTE_ALL,$DF655,55)&amp;"","")&amp;"␟"&amp;IFERROR(INDEX(PASTE_ALL,$DF655,56)&amp;"","")&amp;"␟"&amp;IFERROR(INDEX(PASTE_ALL,$DF655,57)&amp;"","")&amp;"␟"&amp;IFERROR(INDEX(PASTE_ALL,$DF655,58)&amp;"","")&amp;"␟"&amp;IFERROR(INDEX(PASTE_ALL,$DF655,59)&amp;"","")&amp;"␟"&amp;IFERROR(INDEX(PASTE_ALL,$DF655,60)&amp;"","")," "," "),CHAR(9)," "),CHAR(10)," "),CHAR(13)," "))," ␟","␟"),"␟ ","␟"),"#"&amp;$DE655),"")</f>
        <v/>
      </c>
      <c r="DJ655">
        <f>IF($DI655="",0,IF(SUMPRODUCT(--EXACT($DI$4:DI654,$DI655))&gt;0,1,0))</f>
        <v/>
      </c>
      <c r="DK655">
        <f>IF(AND($DI655&lt;&gt;"",$DJ655=0),1,0)</f>
        <v/>
      </c>
      <c r="DL655">
        <f>DL654+$DK655</f>
        <v/>
      </c>
      <c r="DM655">
        <f>IF(AND($DK655=1,$DL655&lt;=600),1,0)</f>
        <v/>
      </c>
      <c r="DN655">
        <f>IF($DM655=0,"",IF($L$6=0,"",IFERROR(IF(ISNUMBER(INDEX(PASTE_ALL,$DF655,$L$6)),INDEX(PASTE_ALL,$DF655,$L$6),TRIM(SUBSTITUTE(SUBSTITUTE(SUBSTITUTE(SUBSTITUTE(INDEX(PASTE_ALL,$DF655,$L$6)," "," "),CHAR(9)," "),CHAR(10)," "),CHAR(13)," "))),"")))</f>
        <v/>
      </c>
      <c r="DO655">
        <f>IF($DM655=0,"",IF($L$7=0,"",IFERROR(IF(ISNUMBER(INDEX(PASTE_ALL,$DF655,$L$7)),INDEX(PASTE_ALL,$DF655,$L$7),TRIM(SUBSTITUTE(SUBSTITUTE(SUBSTITUTE(SUBSTITUTE(INDEX(PASTE_ALL,$DF655,$L$7)," "," "),CHAR(9)," "),CHAR(10)," "),CHAR(13)," "))),"")))</f>
        <v/>
      </c>
      <c r="DP655">
        <f>IF($DM655=0,"",IF($L$8=0,"",IFERROR(IF(ISNUMBER(INDEX(PASTE_ALL,$DF655,$L$8)),INDEX(PASTE_ALL,$DF655,$L$8),TRIM(SUBSTITUTE(SUBSTITUTE(SUBSTITUTE(SUBSTITUTE(INDEX(PASTE_ALL,$DF655,$L$8)," "," "),CHAR(9)," "),CHAR(10)," "),CHAR(13)," "))),"")))</f>
        <v/>
      </c>
      <c r="DQ655">
        <f>IF($DM655=0,"",IF($L$9=0,"",IFERROR(IF(ISNUMBER(INDEX(PASTE_ALL,$DF655,$L$9)),INDEX(PASTE_ALL,$DF655,$L$9),TRIM(SUBSTITUTE(SUBSTITUTE(SUBSTITUTE(SUBSTITUTE(INDEX(PASTE_ALL,$DF655,$L$9)," "," "),CHAR(9)," "),CHAR(10)," "),CHAR(13)," "))),"")))</f>
        <v/>
      </c>
      <c r="DR655">
        <f>IF($DM655=0,"",IF($L$10=0,"",IFERROR(IF(ISNUMBER(INDEX(PASTE_ALL,$DF655,$L$10)),INDEX(PASTE_ALL,$DF655,$L$10),TRIM(SUBSTITUTE(SUBSTITUTE(SUBSTITUTE(SUBSTITUTE(INDEX(PASTE_ALL,$DF655,$L$10)," "," "),CHAR(9)," "),CHAR(10)," "),CHAR(13)," "))),"")))</f>
        <v/>
      </c>
      <c r="DS655">
        <f>IF($DM655=0,"",IF($L$11=0,"",IFERROR(IF(ISNUMBER(INDEX(PASTE_ALL,$DF655,$L$11)),INDEX(PASTE_ALL,$DF655,$L$11),TRIM(SUBSTITUTE(SUBSTITUTE(SUBSTITUTE(SUBSTITUTE(INDEX(PASTE_ALL,$DF655,$L$11)," "," "),CHAR(9)," "),CHAR(10)," "),CHAR(13)," "))),"")))</f>
        <v/>
      </c>
      <c r="DT655">
        <f>IF($DM655=0,"",IF($L$12=0,"",IFERROR(IF(ISNUMBER(INDEX(PASTE_ALL,$DF655,$L$12)),INDEX(PASTE_ALL,$DF655,$L$12),TRIM(SUBSTITUTE(SUBSTITUTE(SUBSTITUTE(SUBSTITUTE(INDEX(PASTE_ALL,$DF655,$L$12)," "," "),CHAR(9)," "),CHAR(10)," "),CHAR(13)," "))),"")))</f>
        <v/>
      </c>
      <c r="DU655">
        <f>IF($DM655=0,"",IF($L$13=0,"",IFERROR(IF(ISNUMBER(INDEX(PASTE_ALL,$DF655,$L$13)),INDEX(PASTE_ALL,$DF655,$L$13),TRIM(SUBSTITUTE(SUBSTITUTE(SUBSTITUTE(SUBSTITUTE(INDEX(PASTE_ALL,$DF655,$L$13)," "," "),CHAR(9)," "),CHAR(10)," "),CHAR(13)," "))),"")))</f>
        <v/>
      </c>
      <c r="DV655">
        <f>IF($DM655=0,"",IF($L$14=0,"",IFERROR(IF(ISNUMBER(INDEX(PASTE_ALL,$DF655,$L$14)),INDEX(PASTE_ALL,$DF655,$L$14),TRIM(SUBSTITUTE(SUBSTITUTE(SUBSTITUTE(SUBSTITUTE(INDEX(PASTE_ALL,$DF655,$L$14)," "," "),CHAR(9)," "),CHAR(10)," "),CHAR(13)," "))),"")))</f>
        <v/>
      </c>
      <c r="DW655">
        <f>IF($DM655=0,"",IF($L$15=0,"",IFERROR(IF(ISNUMBER(INDEX(PASTE_ALL,$DF655,$L$15)),INDEX(PASTE_ALL,$DF655,$L$15),IF(SUMPRODUCT(--ISNUMBER(FIND({"A","B","C","D","E","F","G","H","I","J","K","L","M","N","O","P","Q","R","S","T","U","V","W","X","Y","Z","0","1","2","3","4","5","6","7","8","9"},UPPER(TRIM(SUBSTITUTE(SUBSTITUTE(SUBSTITUTE(SUBSTITUTE(INDEX(PASTE_ALL,$DF655,$L$15)," "," "),CHAR(9)," "),CHAR(10)," "),CHAR(13)," "))))))&gt;0,TRIM(SUBSTITUTE(SUBSTITUTE(SUBSTITUTE(SUBSTITUTE(INDEX(PASTE_ALL,$DF655,$L$15)," "," "),CHAR(9)," "),CHAR(10)," "),CHAR(13)," ")),"")),"")))</f>
        <v/>
      </c>
      <c r="DX655">
        <f>IF($DM655=0,"",IF($L$16=0,"",IFERROR(IF(ISNUMBER(INDEX(PASTE_ALL,$DF655,$L$16)),INDEX(PASTE_ALL,$DF655,$L$16),SUBSTITUTE(SUBSTITUTE(TRIM(SUBSTITUTE(SUBSTITUTE(SUBSTITUTE(SUBSTITUTE(INDEX(PASTE_ALL,$DF655,$L$16)," "," "),CHAR(9)," "),CHAR(10)," "),CHAR(13)," ")),",",""),"%","")),"")))</f>
        <v/>
      </c>
      <c r="DY655">
        <f>IF($DM655=0,"",IFERROR(IF(ISNUMBER($DX655),$DX655,IF($DX655="","",IF(TRIM($DX655)="",0,IF(AND(AND(SUBSTITUTE(SUBSTITUTE(SUBSTITUTE(SUBSTITUTE(SUBSTITUTE(SUBSTITUTE(SUBSTITUTE(SUBSTITUTE(SUBSTITUTE(SUBSTITUTE(SUBSTITUTE(SUBSTITUTE(SUBSTITUTE(SUBSTITUTE(UPPER(TRIM($DX655)),"0",""),"1",""),"2",""),"3",""),"4",""),"5",""),"6",""),"7",""),"8",""),"9",""),".",""),"+",""),"-",""),"E","")="",LEN(SUBSTITUTE(SUBSTITUTE(MID(UPPER(TRIM($DX655)),1+OR(LEFT(UPPER(TRIM($DX655)),1)="+",LEFT(UPPER(TRIM($DX655)),1)="-"),999),"E+","E"),"E-","E"))=LEN(SUBSTITUTE(SUBSTITUTE(SUBSTITUTE(SUBSTITUTE(MID(UPPER(TRIM($DX655)),1+OR(LEFT(UPPER(TRIM($DX655)),1)="+",LEFT(UPPER(TRIM($DX655)),1)="-"),999),"E+","E"),"E-","E"),"+",""),"-","")),LEN(UPPER(TRIM($DX655)))-LEN(SUBSTITUTE(UPPER(TRIM($DX655)),"E",""))&lt;2,LEN(UPPER(TRIM($DX655)))-LEN(SUBSTITUTE(UPPER(TRIM($DX655)),".",""))&lt;2,IFERROR(FIND(".",UPPER(TRIM($DX655))),0)&lt;IFERROR(FIND("E",UPPER(TRIM($DX655))),999)),ISNUMBER(VALUE(TRIM($DX655)))),VALUE(TRIM($DX655)),"")))),""))</f>
        <v/>
      </c>
      <c r="DZ655">
        <f>IF($DM655=0,"",IF($L$17=0,"",IFERROR(IF(ISNUMBER(INDEX(PASTE_ALL,$DF655,$L$17)),INDEX(PASTE_ALL,$DF655,$L$17),SUBSTITUTE(SUBSTITUTE(TRIM(SUBSTITUTE(SUBSTITUTE(SUBSTITUTE(SUBSTITUTE(INDEX(PASTE_ALL,$DF655,$L$17)," "," "),CHAR(9)," "),CHAR(10)," "),CHAR(13)," ")),",",""),"%","")),"")))</f>
        <v/>
      </c>
      <c r="EA655">
        <f>IF($DM655=0,"",IFERROR(IF(ISNUMBER($DZ655),$DZ655,IF($DZ655="","",IF(TRIM($DZ655)="",0,IF(AND(AND(SUBSTITUTE(SUBSTITUTE(SUBSTITUTE(SUBSTITUTE(SUBSTITUTE(SUBSTITUTE(SUBSTITUTE(SUBSTITUTE(SUBSTITUTE(SUBSTITUTE(SUBSTITUTE(SUBSTITUTE(SUBSTITUTE(SUBSTITUTE(UPPER(TRIM($DZ655)),"0",""),"1",""),"2",""),"3",""),"4",""),"5",""),"6",""),"7",""),"8",""),"9",""),".",""),"+",""),"-",""),"E","")="",LEN(SUBSTITUTE(SUBSTITUTE(MID(UPPER(TRIM($DZ655)),1+OR(LEFT(UPPER(TRIM($DZ655)),1)="+",LEFT(UPPER(TRIM($DZ655)),1)="-"),999),"E+","E"),"E-","E"))=LEN(SUBSTITUTE(SUBSTITUTE(SUBSTITUTE(SUBSTITUTE(MID(UPPER(TRIM($DZ655)),1+OR(LEFT(UPPER(TRIM($DZ655)),1)="+",LEFT(UPPER(TRIM($DZ655)),1)="-"),999),"E+","E"),"E-","E"),"+",""),"-","")),LEN(UPPER(TRIM($DZ655)))-LEN(SUBSTITUTE(UPPER(TRIM($DZ655)),"E",""))&lt;2,LEN(UPPER(TRIM($DZ655)))-LEN(SUBSTITUTE(UPPER(TRIM($DZ655)),".",""))&lt;2,IFERROR(FIND(".",UPPER(TRIM($DZ655))),0)&lt;IFERROR(FIND("E",UPPER(TRIM($DZ655))),999)),ISNUMBER(VALUE(TRIM($DZ655)))),VALUE(TRIM($DZ655)),"")))),""))</f>
        <v/>
      </c>
      <c r="EB655">
        <f>IF($DM655=0,"",IF($L$18=0,"",IFERROR(IF(UPPER(TRIM(SUBSTITUTE(SUBSTITUTE(SUBSTITUTE(SUBSTITUTE(INDEX(PASTE_ALL,$DF655,$L$18)," "," "),CHAR(9)," "),CHAR(10)," "),CHAR(13)," ")))="READY","Ready",IF(UPPER(TRIM(SUBSTITUTE(SUBSTITUTE(SUBSTITUTE(SUBSTITUTE(INDEX(PASTE_ALL,$DF655,$L$18)," "," "),CHAR(9)," "),CHAR(10)," "),CHAR(13)," ")))="PM","PM",IF(OR(UPPER(TRIM(SUBSTITUTE(SUBSTITUTE(SUBSTITUTE(SUBSTITUTE(INDEX(PASTE_ALL,$DF655,$L$18)," "," "),CHAR(9)," "),CHAR(10)," "),CHAR(13)," ")))="OT",UPPER(TRIM(SUBSTITUTE(SUBSTITUTE(SUBSTITUTE(SUBSTITUTE(INDEX(PASTE_ALL,$DF655,$L$18)," "," "),CHAR(9)," "),CHAR(10)," "),CHAR(13)," ")))="OVERTIME",UPPER(TRIM(SUBSTITUTE(SUBSTITUTE(SUBSTITUTE(SUBSTITUTE(INDEX(PASTE_ALL,$DF655,$L$18)," "," "),CHAR(9)," "),CHAR(10)," "),CHAR(13)," ")))="TRIAL"),"OT",TRIM(SUBSTITUTE(SUBSTITUTE(SUBSTITUTE(SUBSTITUTE(INDEX(PASTE_ALL,$DF655,$L$18)," "," "),CHAR(9)," "),CHAR(10)," "),CHAR(13)," "))))),"")))</f>
        <v/>
      </c>
      <c r="EC655">
        <f>IF($DM655=0,"",IF($L$19=0,"",IFERROR(IF(ISNUMBER(INDEX(PASTE_ALL,$DF655,$L$19)),INDEX(PASTE_ALL,$DF655,$L$19),TRIM(SUBSTITUTE(SUBSTITUTE(SUBSTITUTE(SUBSTITUTE(INDEX(PASTE_ALL,$DF655,$L$19)," "," "),CHAR(9)," "),CHAR(10)," "),CHAR(13)," "))),"")))</f>
        <v/>
      </c>
      <c r="ED655">
        <f>IF($DM655=0,"",MATCH(1,INDEX(EXACT($DH$5:DH655,$DH655)*$DM$5:DM655,0),0))</f>
        <v/>
      </c>
      <c r="EE655">
        <f>IF($DM655=0,0,IF($ED655=$DE655,1,0))</f>
        <v/>
      </c>
      <c r="EF655">
        <f>EF654+$EE655</f>
        <v/>
      </c>
      <c r="EG655">
        <f>IF($DM655=0,"",INDEX($EF$5:$EF$1003,$ED655))</f>
        <v/>
      </c>
      <c r="EH655">
        <f>IF($DM655=0,"",IF($DO655&lt;&gt;"","",IFERROR(LOOKUP(2,1/(($EG$4:EG654=$EG655)*($DO$4:DO654&lt;&gt;"")),$DO$4:DO654),"")))</f>
        <v/>
      </c>
      <c r="EI655">
        <f>IF($DM655=0,"",IF($DO655&lt;&gt;"",$DO655,$EH655))</f>
        <v/>
      </c>
      <c r="EJ655">
        <f>IF($DM655=0,"",IF($EI655="",0,IF(OR(ISNUMBER($EI655),AND(AND(SUBSTITUTE(SUBSTITUTE(SUBSTITUTE(SUBSTITUTE(SUBSTITUTE(SUBSTITUTE(SUBSTITUTE(SUBSTITUTE(SUBSTITUTE(SUBSTITUTE(SUBSTITUTE(SUBSTITUTE(SUBSTITUTE(SUBSTITUTE(UPPER($EI655),"0",""),"1",""),"2",""),"3",""),"4",""),"5",""),"6",""),"7",""),"8",""),"9",""),".",""),"+",""),"-",""),"E","")="",LEN(SUBSTITUTE(SUBSTITUTE(MID(UPPER($EI655),1+OR(LEFT(UPPER($EI655),1)="+",LEFT(UPPER($EI655),1)="-"),999),"E+","E"),"E-","E"))=LEN(SUBSTITUTE(SUBSTITUTE(SUBSTITUTE(SUBSTITUTE(MID(UPPER($EI655),1+OR(LEFT(UPPER($EI655),1)="+",LEFT(UPPER($EI655),1)="-"),999),"E+","E"),"E-","E"),"+",""),"-","")),LEN(UPPER($EI655))-LEN(SUBSTITUTE(UPPER($EI655),"E",""))&lt;2,LEN(UPPER($EI655))-LEN(SUBSTITUTE(UPPER($EI655),".",""))&lt;2,IFERROR(FIND(".",UPPER($EI655)),0)&lt;IFERROR(FIND("E",UPPER($EI655)),999)),ISNUMBER(VALUE($EI655)))),1,2)))</f>
        <v/>
      </c>
      <c r="EK655">
        <f>IF($DM655=0,"",IF($EJ655=1,IF(ISNUMBER($EI655),$EI655,VALUE($EI655)),IF($EJ655=2,$DE655,0)))</f>
        <v/>
      </c>
      <c r="EL655">
        <f>IF($DM655=0,"",COUNTIF($EG$5:$EG$1003,"&lt;"&amp;$EG655)+SUMPRODUCT(($EG$5:$EG$1003=$EG655)*(($EJ$5:$EJ$1003&lt;$EJ655)+($EJ$5:$EJ$1003=$EJ655)*(($EK$5:$EK$1003&lt;$EK655)+($EK$5:$EK$1003=$EK655)*($DE$5:$DE$1003&lt;$DE655))))+1)</f>
        <v/>
      </c>
      <c r="EM655">
        <f>IF($DM655=0,"",$EL655+$EG655-1)</f>
        <v/>
      </c>
      <c r="EN655">
        <f>IF($DM655=0,0,IFERROR(MATCH(1,INDEX(--(TRIM(SUBSTITUTE(SUBSTITUTE(SUBSTITUTE(SUBSTITUTE(LINES_NAME&amp;""," "," "),CHAR(9)," "),CHAR(10)," "),CHAR(13)," "))=$DH655),0),0),0))</f>
        <v/>
      </c>
      <c r="EO655">
        <f>IF($EN655=0,0,IF(OR(UPPER(TRIM(INDEX(LINES_SCHEDULED,$EN655)&amp;""))="YES",UPPER(TRIM(INDEX(LINES_SCHEDULED,$EN655)&amp;""))="Y",UPPER(TRIM(INDEX(LINES_SCHEDULED,$EN655)&amp;""))="X"),1,0))</f>
        <v/>
      </c>
      <c r="EP655">
        <f>IF($DM655=0,"",IF(COUNTIFS($EG$5:$EG$1003,$EG655,$EB$5:$EB$1003,"Ready")&gt;0,"READY",IF(COUNTIFS($EG$5:$EG$1003,$EG655,$EB$5:$EB$1003,"PM")&gt;0,"PM",IF(COUNTIFS($EG$5:$EG$1003,$EG655,$EB$5:$EB$1003,"OT")&gt;0,"OT",""))))</f>
        <v/>
      </c>
      <c r="EQ655">
        <f>IF($EN655=0,"",UPPER(TRIM(INDEX(LINES_STATUS,$EN655)&amp;"")))</f>
        <v/>
      </c>
      <c r="ER655">
        <f>IF($DM655=0,"",IF(OR($EQ655="READY",$EQ655="PM",$EQ655="OT"),$EQ655,$EP655))</f>
        <v/>
      </c>
      <c r="ES655">
        <f>IF($DM655=0,"",IF(AND($DV655&lt;&gt;"",UPPER($DV655)&lt;&gt;"N"),"allergen",IF(ISNUMBER(SEARCH("oil",$DQ655)),"oil",IF(OR(EXACT($DS655,"A662"),EXACT($DS655,"A624")),"bulk",""))))</f>
        <v/>
      </c>
      <c r="ET655">
        <f>IF($DM655=0,"",IF(OR($EA655="",$EA655=0),"",$EA655/100))</f>
        <v/>
      </c>
      <c r="EU655">
        <f>IF(OR($ET655="",$DY655=""),"",INT($DY655*(1-$ET655)+0.5))</f>
        <v/>
      </c>
      <c r="EW655" t="n">
        <v>651</v>
      </c>
      <c r="EX655">
        <f>IFERROR(MATCH($EW655,$EM$5:$EM$1003,0),0)</f>
        <v/>
      </c>
      <c r="EY655">
        <f>IF($EW655&gt;$B$12,"",IF($EX655&gt;0,"row","spacer"))</f>
        <v/>
      </c>
      <c r="EZ655">
        <f>IF(AND($EY655="row",$EY654&lt;&gt;"row"),1,0)</f>
        <v/>
      </c>
      <c r="FA655">
        <f>IF(AND($EY655="row",$EY656&lt;&gt;"row"),1,0)</f>
        <v/>
      </c>
      <c r="FB655">
        <f>IF($EZ655=1,IFERROR(IF(ISNUMBER(INDEX(PASTE_ALL,INDEX($DF$5:$DF$1003,$EX655),$B$37)),INDEX(PASTE_ALL,INDEX($DF$5:$DF$1003,$EX655),$B$37),INDEX($DH$5:$DH$1003,$EX655)),INDEX($DH$5:$DH$1003,$EX655)),"")</f>
        <v/>
      </c>
      <c r="FC655">
        <f>IF($EY655="row",INDEX($ER$5:$ER$1003,$EX655),"")</f>
        <v/>
      </c>
      <c r="FD655">
        <f>IF($EY655="row",INDEX($DN$5:$DN$1003,$EX655),"")</f>
        <v/>
      </c>
      <c r="FE655">
        <f>IF($EY655="row",INDEX($DO$5:$DO$1003,$EX655),"")</f>
        <v/>
      </c>
      <c r="FF655">
        <f>IF($EY655="row",INDEX($DP$5:$DP$1003,$EX655),"")</f>
        <v/>
      </c>
      <c r="FG655">
        <f>IF($EY655="row",INDEX($DQ$5:$DQ$1003,$EX655),"")</f>
        <v/>
      </c>
      <c r="FH655">
        <f>IF($EY655="row",INDEX($DR$5:$DR$1003,$EX655),"")</f>
        <v/>
      </c>
      <c r="FI655">
        <f>IF($EY655="row",INDEX($DS$5:$DS$1003,$EX655),"")</f>
        <v/>
      </c>
      <c r="FJ655">
        <f>IF($EY655="row",INDEX($DT$5:$DT$1003,$EX655),"")</f>
        <v/>
      </c>
      <c r="FK655">
        <f>IF($EY655="row",INDEX($DU$5:$DU$1003,$EX655),"")</f>
        <v/>
      </c>
      <c r="FL655">
        <f>IF($EY655="row",INDEX($DV$5:$DV$1003,$EX655),"")</f>
        <v/>
      </c>
      <c r="FM655">
        <f>IF($EY655="row",INDEX($DW$5:$DW$1003,$EX655),"")</f>
        <v/>
      </c>
      <c r="FN655">
        <f>IF($EY655="row",INDEX($DY$5:$DY$1003,$EX655),"")</f>
        <v/>
      </c>
      <c r="FO655">
        <f>IF($EY655="row",INDEX($EA$5:$EA$1003,$EX655),"")</f>
        <v/>
      </c>
      <c r="FP655">
        <f>IF($EY655="row",INDEX($EC$5:$EC$1003,$EX655),"")</f>
        <v/>
      </c>
      <c r="FQ655">
        <f>IF($EY655="row",INDEX($ET$5:$ET$1003,$EX655),"")</f>
        <v/>
      </c>
      <c r="FR655">
        <f>IF($EY655="row",INDEX($EU$5:$EU$1003,$EX655),"")</f>
        <v/>
      </c>
      <c r="FS655">
        <f>IF(AND($EY655="row",$EY654="row"),IF(OR(INDEX($DT$5:$DT$1003,$EX654)="",INDEX($DT$5:$DT$1003,$EX655)=""),"",IF(NOT(EXACT(INDEX($DT$5:$DT$1003,$EX654),INDEX($DT$5:$DT$1003,$EX655))),"S4",IF(NOT(EXACT(INDEX($DS$5:$DS$1003,$EX654),INDEX($DS$5:$DS$1003,$EX655))),"S3",IF(NOT(EXACT(INDEX($DR$5:$DR$1003,$EX654),INDEX($DR$5:$DR$1003,$EX655))),"S1 Count Change","S1")))),"")</f>
        <v/>
      </c>
      <c r="FT655">
        <f>IF($EY655="row",INDEX($ES$5:$ES$1003,$EX655),"")</f>
        <v/>
      </c>
      <c r="FU655">
        <f>IF($EY655="row",INDEX($EO$5:$EO$1003,$EX655),0)</f>
        <v/>
      </c>
      <c r="FV655">
        <f>IF($FS655="S1 Count Change",1,0)</f>
        <v/>
      </c>
    </row>
    <row r="656">
      <c r="DA656" t="n">
        <v>652</v>
      </c>
      <c r="DB656">
        <f>IF($B$37=0,"",IFERROR(TRIM(SUBSTITUTE(SUBSTITUTE(SUBSTITUTE(SUBSTITUTE(INDEX(PASTE_ALL,652,$B$37)," "," "),CHAR(9)," "),CHAR(10)," "),CHAR(13)," ")),""))</f>
        <v/>
      </c>
      <c r="DC656">
        <f>IF(AND(652&gt;HEADER_ROW,UPPER(DB656)="LEGEND"),1,0)</f>
        <v/>
      </c>
      <c r="DE656" t="n">
        <v>652</v>
      </c>
      <c r="DF656">
        <f>HEADER_ROW+$DE656</f>
        <v/>
      </c>
      <c r="DG656">
        <f>IF(AND($DF656&lt;=1000,$DF656&lt;$B$8),1,0)</f>
        <v/>
      </c>
      <c r="DH656">
        <f>IF($DG656=1,IFERROR(INDEX($DB$5:$DB$1004,$DF656),""),"")</f>
        <v/>
      </c>
      <c r="DI656">
        <f>IF(AND($DG656=1,$DH656&lt;&gt;""),IFERROR(SUBSTITUTE(SUBSTITUTE(TRIM(SUBSTITUTE(SUBSTITUTE(SUBSTITUTE(SUBSTITUTE(IFERROR(INDEX(PASTE_ALL,$DF656,1)&amp;"","")&amp;"␟"&amp;IFERROR(INDEX(PASTE_ALL,$DF656,2)&amp;"","")&amp;"␟"&amp;IFERROR(INDEX(PASTE_ALL,$DF656,3)&amp;"","")&amp;"␟"&amp;IFERROR(INDEX(PASTE_ALL,$DF656,4)&amp;"","")&amp;"␟"&amp;IFERROR(INDEX(PASTE_ALL,$DF656,5)&amp;"","")&amp;"␟"&amp;IFERROR(INDEX(PASTE_ALL,$DF656,6)&amp;"","")&amp;"␟"&amp;IFERROR(INDEX(PASTE_ALL,$DF656,7)&amp;"","")&amp;"␟"&amp;IFERROR(INDEX(PASTE_ALL,$DF656,8)&amp;"","")&amp;"␟"&amp;IFERROR(INDEX(PASTE_ALL,$DF656,9)&amp;"","")&amp;"␟"&amp;IFERROR(INDEX(PASTE_ALL,$DF656,10)&amp;"","")&amp;"␟"&amp;IFERROR(INDEX(PASTE_ALL,$DF656,11)&amp;"","")&amp;"␟"&amp;IFERROR(INDEX(PASTE_ALL,$DF656,12)&amp;"","")&amp;"␟"&amp;IFERROR(INDEX(PASTE_ALL,$DF656,13)&amp;"","")&amp;"␟"&amp;IFERROR(INDEX(PASTE_ALL,$DF656,14)&amp;"","")&amp;"␟"&amp;IFERROR(INDEX(PASTE_ALL,$DF656,15)&amp;"","")&amp;"␟"&amp;IFERROR(INDEX(PASTE_ALL,$DF656,16)&amp;"","")&amp;"␟"&amp;IFERROR(INDEX(PASTE_ALL,$DF656,17)&amp;"","")&amp;"␟"&amp;IFERROR(INDEX(PASTE_ALL,$DF656,18)&amp;"","")&amp;"␟"&amp;IFERROR(INDEX(PASTE_ALL,$DF656,19)&amp;"","")&amp;"␟"&amp;IFERROR(INDEX(PASTE_ALL,$DF656,20)&amp;"","")&amp;"␟"&amp;IFERROR(INDEX(PASTE_ALL,$DF656,21)&amp;"","")&amp;"␟"&amp;IFERROR(INDEX(PASTE_ALL,$DF656,22)&amp;"","")&amp;"␟"&amp;IFERROR(INDEX(PASTE_ALL,$DF656,23)&amp;"","")&amp;"␟"&amp;IFERROR(INDEX(PASTE_ALL,$DF656,24)&amp;"","")&amp;"␟"&amp;IFERROR(INDEX(PASTE_ALL,$DF656,25)&amp;"","")&amp;"␟"&amp;IFERROR(INDEX(PASTE_ALL,$DF656,26)&amp;"","")&amp;"␟"&amp;IFERROR(INDEX(PASTE_ALL,$DF656,27)&amp;"","")&amp;"␟"&amp;IFERROR(INDEX(PASTE_ALL,$DF656,28)&amp;"","")&amp;"␟"&amp;IFERROR(INDEX(PASTE_ALL,$DF656,29)&amp;"","")&amp;"␟"&amp;IFERROR(INDEX(PASTE_ALL,$DF656,30)&amp;"","")&amp;"␟"&amp;IFERROR(INDEX(PASTE_ALL,$DF656,31)&amp;"","")&amp;"␟"&amp;IFERROR(INDEX(PASTE_ALL,$DF656,32)&amp;"","")&amp;"␟"&amp;IFERROR(INDEX(PASTE_ALL,$DF656,33)&amp;"","")&amp;"␟"&amp;IFERROR(INDEX(PASTE_ALL,$DF656,34)&amp;"","")&amp;"␟"&amp;IFERROR(INDEX(PASTE_ALL,$DF656,35)&amp;"","")&amp;"␟"&amp;IFERROR(INDEX(PASTE_ALL,$DF656,36)&amp;"","")&amp;"␟"&amp;IFERROR(INDEX(PASTE_ALL,$DF656,37)&amp;"","")&amp;"␟"&amp;IFERROR(INDEX(PASTE_ALL,$DF656,38)&amp;"","")&amp;"␟"&amp;IFERROR(INDEX(PASTE_ALL,$DF656,39)&amp;"","")&amp;"␟"&amp;IFERROR(INDEX(PASTE_ALL,$DF656,40)&amp;"","")&amp;"␟"&amp;IFERROR(INDEX(PASTE_ALL,$DF656,41)&amp;"","")&amp;"␟"&amp;IFERROR(INDEX(PASTE_ALL,$DF656,42)&amp;"","")&amp;"␟"&amp;IFERROR(INDEX(PASTE_ALL,$DF656,43)&amp;"","")&amp;"␟"&amp;IFERROR(INDEX(PASTE_ALL,$DF656,44)&amp;"","")&amp;"␟"&amp;IFERROR(INDEX(PASTE_ALL,$DF656,45)&amp;"","")&amp;"␟"&amp;IFERROR(INDEX(PASTE_ALL,$DF656,46)&amp;"","")&amp;"␟"&amp;IFERROR(INDEX(PASTE_ALL,$DF656,47)&amp;"","")&amp;"␟"&amp;IFERROR(INDEX(PASTE_ALL,$DF656,48)&amp;"","")&amp;"␟"&amp;IFERROR(INDEX(PASTE_ALL,$DF656,49)&amp;"","")&amp;"␟"&amp;IFERROR(INDEX(PASTE_ALL,$DF656,50)&amp;"","")&amp;"␟"&amp;IFERROR(INDEX(PASTE_ALL,$DF656,51)&amp;"","")&amp;"␟"&amp;IFERROR(INDEX(PASTE_ALL,$DF656,52)&amp;"","")&amp;"␟"&amp;IFERROR(INDEX(PASTE_ALL,$DF656,53)&amp;"","")&amp;"␟"&amp;IFERROR(INDEX(PASTE_ALL,$DF656,54)&amp;"","")&amp;"␟"&amp;IFERROR(INDEX(PASTE_ALL,$DF656,55)&amp;"","")&amp;"␟"&amp;IFERROR(INDEX(PASTE_ALL,$DF656,56)&amp;"","")&amp;"␟"&amp;IFERROR(INDEX(PASTE_ALL,$DF656,57)&amp;"","")&amp;"␟"&amp;IFERROR(INDEX(PASTE_ALL,$DF656,58)&amp;"","")&amp;"␟"&amp;IFERROR(INDEX(PASTE_ALL,$DF656,59)&amp;"","")&amp;"␟"&amp;IFERROR(INDEX(PASTE_ALL,$DF656,60)&amp;"","")," "," "),CHAR(9)," "),CHAR(10)," "),CHAR(13)," "))," ␟","␟"),"␟ ","␟"),"#"&amp;$DE656),"")</f>
        <v/>
      </c>
      <c r="DJ656">
        <f>IF($DI656="",0,IF(SUMPRODUCT(--EXACT($DI$4:DI655,$DI656))&gt;0,1,0))</f>
        <v/>
      </c>
      <c r="DK656">
        <f>IF(AND($DI656&lt;&gt;"",$DJ656=0),1,0)</f>
        <v/>
      </c>
      <c r="DL656">
        <f>DL655+$DK656</f>
        <v/>
      </c>
      <c r="DM656">
        <f>IF(AND($DK656=1,$DL656&lt;=600),1,0)</f>
        <v/>
      </c>
      <c r="DN656">
        <f>IF($DM656=0,"",IF($L$6=0,"",IFERROR(IF(ISNUMBER(INDEX(PASTE_ALL,$DF656,$L$6)),INDEX(PASTE_ALL,$DF656,$L$6),TRIM(SUBSTITUTE(SUBSTITUTE(SUBSTITUTE(SUBSTITUTE(INDEX(PASTE_ALL,$DF656,$L$6)," "," "),CHAR(9)," "),CHAR(10)," "),CHAR(13)," "))),"")))</f>
        <v/>
      </c>
      <c r="DO656">
        <f>IF($DM656=0,"",IF($L$7=0,"",IFERROR(IF(ISNUMBER(INDEX(PASTE_ALL,$DF656,$L$7)),INDEX(PASTE_ALL,$DF656,$L$7),TRIM(SUBSTITUTE(SUBSTITUTE(SUBSTITUTE(SUBSTITUTE(INDEX(PASTE_ALL,$DF656,$L$7)," "," "),CHAR(9)," "),CHAR(10)," "),CHAR(13)," "))),"")))</f>
        <v/>
      </c>
      <c r="DP656">
        <f>IF($DM656=0,"",IF($L$8=0,"",IFERROR(IF(ISNUMBER(INDEX(PASTE_ALL,$DF656,$L$8)),INDEX(PASTE_ALL,$DF656,$L$8),TRIM(SUBSTITUTE(SUBSTITUTE(SUBSTITUTE(SUBSTITUTE(INDEX(PASTE_ALL,$DF656,$L$8)," "," "),CHAR(9)," "),CHAR(10)," "),CHAR(13)," "))),"")))</f>
        <v/>
      </c>
      <c r="DQ656">
        <f>IF($DM656=0,"",IF($L$9=0,"",IFERROR(IF(ISNUMBER(INDEX(PASTE_ALL,$DF656,$L$9)),INDEX(PASTE_ALL,$DF656,$L$9),TRIM(SUBSTITUTE(SUBSTITUTE(SUBSTITUTE(SUBSTITUTE(INDEX(PASTE_ALL,$DF656,$L$9)," "," "),CHAR(9)," "),CHAR(10)," "),CHAR(13)," "))),"")))</f>
        <v/>
      </c>
      <c r="DR656">
        <f>IF($DM656=0,"",IF($L$10=0,"",IFERROR(IF(ISNUMBER(INDEX(PASTE_ALL,$DF656,$L$10)),INDEX(PASTE_ALL,$DF656,$L$10),TRIM(SUBSTITUTE(SUBSTITUTE(SUBSTITUTE(SUBSTITUTE(INDEX(PASTE_ALL,$DF656,$L$10)," "," "),CHAR(9)," "),CHAR(10)," "),CHAR(13)," "))),"")))</f>
        <v/>
      </c>
      <c r="DS656">
        <f>IF($DM656=0,"",IF($L$11=0,"",IFERROR(IF(ISNUMBER(INDEX(PASTE_ALL,$DF656,$L$11)),INDEX(PASTE_ALL,$DF656,$L$11),TRIM(SUBSTITUTE(SUBSTITUTE(SUBSTITUTE(SUBSTITUTE(INDEX(PASTE_ALL,$DF656,$L$11)," "," "),CHAR(9)," "),CHAR(10)," "),CHAR(13)," "))),"")))</f>
        <v/>
      </c>
      <c r="DT656">
        <f>IF($DM656=0,"",IF($L$12=0,"",IFERROR(IF(ISNUMBER(INDEX(PASTE_ALL,$DF656,$L$12)),INDEX(PASTE_ALL,$DF656,$L$12),TRIM(SUBSTITUTE(SUBSTITUTE(SUBSTITUTE(SUBSTITUTE(INDEX(PASTE_ALL,$DF656,$L$12)," "," "),CHAR(9)," "),CHAR(10)," "),CHAR(13)," "))),"")))</f>
        <v/>
      </c>
      <c r="DU656">
        <f>IF($DM656=0,"",IF($L$13=0,"",IFERROR(IF(ISNUMBER(INDEX(PASTE_ALL,$DF656,$L$13)),INDEX(PASTE_ALL,$DF656,$L$13),TRIM(SUBSTITUTE(SUBSTITUTE(SUBSTITUTE(SUBSTITUTE(INDEX(PASTE_ALL,$DF656,$L$13)," "," "),CHAR(9)," "),CHAR(10)," "),CHAR(13)," "))),"")))</f>
        <v/>
      </c>
      <c r="DV656">
        <f>IF($DM656=0,"",IF($L$14=0,"",IFERROR(IF(ISNUMBER(INDEX(PASTE_ALL,$DF656,$L$14)),INDEX(PASTE_ALL,$DF656,$L$14),TRIM(SUBSTITUTE(SUBSTITUTE(SUBSTITUTE(SUBSTITUTE(INDEX(PASTE_ALL,$DF656,$L$14)," "," "),CHAR(9)," "),CHAR(10)," "),CHAR(13)," "))),"")))</f>
        <v/>
      </c>
      <c r="DW656">
        <f>IF($DM656=0,"",IF($L$15=0,"",IFERROR(IF(ISNUMBER(INDEX(PASTE_ALL,$DF656,$L$15)),INDEX(PASTE_ALL,$DF656,$L$15),IF(SUMPRODUCT(--ISNUMBER(FIND({"A","B","C","D","E","F","G","H","I","J","K","L","M","N","O","P","Q","R","S","T","U","V","W","X","Y","Z","0","1","2","3","4","5","6","7","8","9"},UPPER(TRIM(SUBSTITUTE(SUBSTITUTE(SUBSTITUTE(SUBSTITUTE(INDEX(PASTE_ALL,$DF656,$L$15)," "," "),CHAR(9)," "),CHAR(10)," "),CHAR(13)," "))))))&gt;0,TRIM(SUBSTITUTE(SUBSTITUTE(SUBSTITUTE(SUBSTITUTE(INDEX(PASTE_ALL,$DF656,$L$15)," "," "),CHAR(9)," "),CHAR(10)," "),CHAR(13)," ")),"")),"")))</f>
        <v/>
      </c>
      <c r="DX656">
        <f>IF($DM656=0,"",IF($L$16=0,"",IFERROR(IF(ISNUMBER(INDEX(PASTE_ALL,$DF656,$L$16)),INDEX(PASTE_ALL,$DF656,$L$16),SUBSTITUTE(SUBSTITUTE(TRIM(SUBSTITUTE(SUBSTITUTE(SUBSTITUTE(SUBSTITUTE(INDEX(PASTE_ALL,$DF656,$L$16)," "," "),CHAR(9)," "),CHAR(10)," "),CHAR(13)," ")),",",""),"%","")),"")))</f>
        <v/>
      </c>
      <c r="DY656">
        <f>IF($DM656=0,"",IFERROR(IF(ISNUMBER($DX656),$DX656,IF($DX656="","",IF(TRIM($DX656)="",0,IF(AND(AND(SUBSTITUTE(SUBSTITUTE(SUBSTITUTE(SUBSTITUTE(SUBSTITUTE(SUBSTITUTE(SUBSTITUTE(SUBSTITUTE(SUBSTITUTE(SUBSTITUTE(SUBSTITUTE(SUBSTITUTE(SUBSTITUTE(SUBSTITUTE(UPPER(TRIM($DX656)),"0",""),"1",""),"2",""),"3",""),"4",""),"5",""),"6",""),"7",""),"8",""),"9",""),".",""),"+",""),"-",""),"E","")="",LEN(SUBSTITUTE(SUBSTITUTE(MID(UPPER(TRIM($DX656)),1+OR(LEFT(UPPER(TRIM($DX656)),1)="+",LEFT(UPPER(TRIM($DX656)),1)="-"),999),"E+","E"),"E-","E"))=LEN(SUBSTITUTE(SUBSTITUTE(SUBSTITUTE(SUBSTITUTE(MID(UPPER(TRIM($DX656)),1+OR(LEFT(UPPER(TRIM($DX656)),1)="+",LEFT(UPPER(TRIM($DX656)),1)="-"),999),"E+","E"),"E-","E"),"+",""),"-","")),LEN(UPPER(TRIM($DX656)))-LEN(SUBSTITUTE(UPPER(TRIM($DX656)),"E",""))&lt;2,LEN(UPPER(TRIM($DX656)))-LEN(SUBSTITUTE(UPPER(TRIM($DX656)),".",""))&lt;2,IFERROR(FIND(".",UPPER(TRIM($DX656))),0)&lt;IFERROR(FIND("E",UPPER(TRIM($DX656))),999)),ISNUMBER(VALUE(TRIM($DX656)))),VALUE(TRIM($DX656)),"")))),""))</f>
        <v/>
      </c>
      <c r="DZ656">
        <f>IF($DM656=0,"",IF($L$17=0,"",IFERROR(IF(ISNUMBER(INDEX(PASTE_ALL,$DF656,$L$17)),INDEX(PASTE_ALL,$DF656,$L$17),SUBSTITUTE(SUBSTITUTE(TRIM(SUBSTITUTE(SUBSTITUTE(SUBSTITUTE(SUBSTITUTE(INDEX(PASTE_ALL,$DF656,$L$17)," "," "),CHAR(9)," "),CHAR(10)," "),CHAR(13)," ")),",",""),"%","")),"")))</f>
        <v/>
      </c>
      <c r="EA656">
        <f>IF($DM656=0,"",IFERROR(IF(ISNUMBER($DZ656),$DZ656,IF($DZ656="","",IF(TRIM($DZ656)="",0,IF(AND(AND(SUBSTITUTE(SUBSTITUTE(SUBSTITUTE(SUBSTITUTE(SUBSTITUTE(SUBSTITUTE(SUBSTITUTE(SUBSTITUTE(SUBSTITUTE(SUBSTITUTE(SUBSTITUTE(SUBSTITUTE(SUBSTITUTE(SUBSTITUTE(UPPER(TRIM($DZ656)),"0",""),"1",""),"2",""),"3",""),"4",""),"5",""),"6",""),"7",""),"8",""),"9",""),".",""),"+",""),"-",""),"E","")="",LEN(SUBSTITUTE(SUBSTITUTE(MID(UPPER(TRIM($DZ656)),1+OR(LEFT(UPPER(TRIM($DZ656)),1)="+",LEFT(UPPER(TRIM($DZ656)),1)="-"),999),"E+","E"),"E-","E"))=LEN(SUBSTITUTE(SUBSTITUTE(SUBSTITUTE(SUBSTITUTE(MID(UPPER(TRIM($DZ656)),1+OR(LEFT(UPPER(TRIM($DZ656)),1)="+",LEFT(UPPER(TRIM($DZ656)),1)="-"),999),"E+","E"),"E-","E"),"+",""),"-","")),LEN(UPPER(TRIM($DZ656)))-LEN(SUBSTITUTE(UPPER(TRIM($DZ656)),"E",""))&lt;2,LEN(UPPER(TRIM($DZ656)))-LEN(SUBSTITUTE(UPPER(TRIM($DZ656)),".",""))&lt;2,IFERROR(FIND(".",UPPER(TRIM($DZ656))),0)&lt;IFERROR(FIND("E",UPPER(TRIM($DZ656))),999)),ISNUMBER(VALUE(TRIM($DZ656)))),VALUE(TRIM($DZ656)),"")))),""))</f>
        <v/>
      </c>
      <c r="EB656">
        <f>IF($DM656=0,"",IF($L$18=0,"",IFERROR(IF(UPPER(TRIM(SUBSTITUTE(SUBSTITUTE(SUBSTITUTE(SUBSTITUTE(INDEX(PASTE_ALL,$DF656,$L$18)," "," "),CHAR(9)," "),CHAR(10)," "),CHAR(13)," ")))="READY","Ready",IF(UPPER(TRIM(SUBSTITUTE(SUBSTITUTE(SUBSTITUTE(SUBSTITUTE(INDEX(PASTE_ALL,$DF656,$L$18)," "," "),CHAR(9)," "),CHAR(10)," "),CHAR(13)," ")))="PM","PM",IF(OR(UPPER(TRIM(SUBSTITUTE(SUBSTITUTE(SUBSTITUTE(SUBSTITUTE(INDEX(PASTE_ALL,$DF656,$L$18)," "," "),CHAR(9)," "),CHAR(10)," "),CHAR(13)," ")))="OT",UPPER(TRIM(SUBSTITUTE(SUBSTITUTE(SUBSTITUTE(SUBSTITUTE(INDEX(PASTE_ALL,$DF656,$L$18)," "," "),CHAR(9)," "),CHAR(10)," "),CHAR(13)," ")))="OVERTIME",UPPER(TRIM(SUBSTITUTE(SUBSTITUTE(SUBSTITUTE(SUBSTITUTE(INDEX(PASTE_ALL,$DF656,$L$18)," "," "),CHAR(9)," "),CHAR(10)," "),CHAR(13)," ")))="TRIAL"),"OT",TRIM(SUBSTITUTE(SUBSTITUTE(SUBSTITUTE(SUBSTITUTE(INDEX(PASTE_ALL,$DF656,$L$18)," "," "),CHAR(9)," "),CHAR(10)," "),CHAR(13)," "))))),"")))</f>
        <v/>
      </c>
      <c r="EC656">
        <f>IF($DM656=0,"",IF($L$19=0,"",IFERROR(IF(ISNUMBER(INDEX(PASTE_ALL,$DF656,$L$19)),INDEX(PASTE_ALL,$DF656,$L$19),TRIM(SUBSTITUTE(SUBSTITUTE(SUBSTITUTE(SUBSTITUTE(INDEX(PASTE_ALL,$DF656,$L$19)," "," "),CHAR(9)," "),CHAR(10)," "),CHAR(13)," "))),"")))</f>
        <v/>
      </c>
      <c r="ED656">
        <f>IF($DM656=0,"",MATCH(1,INDEX(EXACT($DH$5:DH656,$DH656)*$DM$5:DM656,0),0))</f>
        <v/>
      </c>
      <c r="EE656">
        <f>IF($DM656=0,0,IF($ED656=$DE656,1,0))</f>
        <v/>
      </c>
      <c r="EF656">
        <f>EF655+$EE656</f>
        <v/>
      </c>
      <c r="EG656">
        <f>IF($DM656=0,"",INDEX($EF$5:$EF$1003,$ED656))</f>
        <v/>
      </c>
      <c r="EH656">
        <f>IF($DM656=0,"",IF($DO656&lt;&gt;"","",IFERROR(LOOKUP(2,1/(($EG$4:EG655=$EG656)*($DO$4:DO655&lt;&gt;"")),$DO$4:DO655),"")))</f>
        <v/>
      </c>
      <c r="EI656">
        <f>IF($DM656=0,"",IF($DO656&lt;&gt;"",$DO656,$EH656))</f>
        <v/>
      </c>
      <c r="EJ656">
        <f>IF($DM656=0,"",IF($EI656="",0,IF(OR(ISNUMBER($EI656),AND(AND(SUBSTITUTE(SUBSTITUTE(SUBSTITUTE(SUBSTITUTE(SUBSTITUTE(SUBSTITUTE(SUBSTITUTE(SUBSTITUTE(SUBSTITUTE(SUBSTITUTE(SUBSTITUTE(SUBSTITUTE(SUBSTITUTE(SUBSTITUTE(UPPER($EI656),"0",""),"1",""),"2",""),"3",""),"4",""),"5",""),"6",""),"7",""),"8",""),"9",""),".",""),"+",""),"-",""),"E","")="",LEN(SUBSTITUTE(SUBSTITUTE(MID(UPPER($EI656),1+OR(LEFT(UPPER($EI656),1)="+",LEFT(UPPER($EI656),1)="-"),999),"E+","E"),"E-","E"))=LEN(SUBSTITUTE(SUBSTITUTE(SUBSTITUTE(SUBSTITUTE(MID(UPPER($EI656),1+OR(LEFT(UPPER($EI656),1)="+",LEFT(UPPER($EI656),1)="-"),999),"E+","E"),"E-","E"),"+",""),"-","")),LEN(UPPER($EI656))-LEN(SUBSTITUTE(UPPER($EI656),"E",""))&lt;2,LEN(UPPER($EI656))-LEN(SUBSTITUTE(UPPER($EI656),".",""))&lt;2,IFERROR(FIND(".",UPPER($EI656)),0)&lt;IFERROR(FIND("E",UPPER($EI656)),999)),ISNUMBER(VALUE($EI656)))),1,2)))</f>
        <v/>
      </c>
      <c r="EK656">
        <f>IF($DM656=0,"",IF($EJ656=1,IF(ISNUMBER($EI656),$EI656,VALUE($EI656)),IF($EJ656=2,$DE656,0)))</f>
        <v/>
      </c>
      <c r="EL656">
        <f>IF($DM656=0,"",COUNTIF($EG$5:$EG$1003,"&lt;"&amp;$EG656)+SUMPRODUCT(($EG$5:$EG$1003=$EG656)*(($EJ$5:$EJ$1003&lt;$EJ656)+($EJ$5:$EJ$1003=$EJ656)*(($EK$5:$EK$1003&lt;$EK656)+($EK$5:$EK$1003=$EK656)*($DE$5:$DE$1003&lt;$DE656))))+1)</f>
        <v/>
      </c>
      <c r="EM656">
        <f>IF($DM656=0,"",$EL656+$EG656-1)</f>
        <v/>
      </c>
      <c r="EN656">
        <f>IF($DM656=0,0,IFERROR(MATCH(1,INDEX(--(TRIM(SUBSTITUTE(SUBSTITUTE(SUBSTITUTE(SUBSTITUTE(LINES_NAME&amp;""," "," "),CHAR(9)," "),CHAR(10)," "),CHAR(13)," "))=$DH656),0),0),0))</f>
        <v/>
      </c>
      <c r="EO656">
        <f>IF($EN656=0,0,IF(OR(UPPER(TRIM(INDEX(LINES_SCHEDULED,$EN656)&amp;""))="YES",UPPER(TRIM(INDEX(LINES_SCHEDULED,$EN656)&amp;""))="Y",UPPER(TRIM(INDEX(LINES_SCHEDULED,$EN656)&amp;""))="X"),1,0))</f>
        <v/>
      </c>
      <c r="EP656">
        <f>IF($DM656=0,"",IF(COUNTIFS($EG$5:$EG$1003,$EG656,$EB$5:$EB$1003,"Ready")&gt;0,"READY",IF(COUNTIFS($EG$5:$EG$1003,$EG656,$EB$5:$EB$1003,"PM")&gt;0,"PM",IF(COUNTIFS($EG$5:$EG$1003,$EG656,$EB$5:$EB$1003,"OT")&gt;0,"OT",""))))</f>
        <v/>
      </c>
      <c r="EQ656">
        <f>IF($EN656=0,"",UPPER(TRIM(INDEX(LINES_STATUS,$EN656)&amp;"")))</f>
        <v/>
      </c>
      <c r="ER656">
        <f>IF($DM656=0,"",IF(OR($EQ656="READY",$EQ656="PM",$EQ656="OT"),$EQ656,$EP656))</f>
        <v/>
      </c>
      <c r="ES656">
        <f>IF($DM656=0,"",IF(AND($DV656&lt;&gt;"",UPPER($DV656)&lt;&gt;"N"),"allergen",IF(ISNUMBER(SEARCH("oil",$DQ656)),"oil",IF(OR(EXACT($DS656,"A662"),EXACT($DS656,"A624")),"bulk",""))))</f>
        <v/>
      </c>
      <c r="ET656">
        <f>IF($DM656=0,"",IF(OR($EA656="",$EA656=0),"",$EA656/100))</f>
        <v/>
      </c>
      <c r="EU656">
        <f>IF(OR($ET656="",$DY656=""),"",INT($DY656*(1-$ET656)+0.5))</f>
        <v/>
      </c>
      <c r="EW656" t="n">
        <v>652</v>
      </c>
      <c r="EX656">
        <f>IFERROR(MATCH($EW656,$EM$5:$EM$1003,0),0)</f>
        <v/>
      </c>
      <c r="EY656">
        <f>IF($EW656&gt;$B$12,"",IF($EX656&gt;0,"row","spacer"))</f>
        <v/>
      </c>
      <c r="EZ656">
        <f>IF(AND($EY656="row",$EY655&lt;&gt;"row"),1,0)</f>
        <v/>
      </c>
      <c r="FA656">
        <f>IF(AND($EY656="row",$EY657&lt;&gt;"row"),1,0)</f>
        <v/>
      </c>
      <c r="FB656">
        <f>IF($EZ656=1,IFERROR(IF(ISNUMBER(INDEX(PASTE_ALL,INDEX($DF$5:$DF$1003,$EX656),$B$37)),INDEX(PASTE_ALL,INDEX($DF$5:$DF$1003,$EX656),$B$37),INDEX($DH$5:$DH$1003,$EX656)),INDEX($DH$5:$DH$1003,$EX656)),"")</f>
        <v/>
      </c>
      <c r="FC656">
        <f>IF($EY656="row",INDEX($ER$5:$ER$1003,$EX656),"")</f>
        <v/>
      </c>
      <c r="FD656">
        <f>IF($EY656="row",INDEX($DN$5:$DN$1003,$EX656),"")</f>
        <v/>
      </c>
      <c r="FE656">
        <f>IF($EY656="row",INDEX($DO$5:$DO$1003,$EX656),"")</f>
        <v/>
      </c>
      <c r="FF656">
        <f>IF($EY656="row",INDEX($DP$5:$DP$1003,$EX656),"")</f>
        <v/>
      </c>
      <c r="FG656">
        <f>IF($EY656="row",INDEX($DQ$5:$DQ$1003,$EX656),"")</f>
        <v/>
      </c>
      <c r="FH656">
        <f>IF($EY656="row",INDEX($DR$5:$DR$1003,$EX656),"")</f>
        <v/>
      </c>
      <c r="FI656">
        <f>IF($EY656="row",INDEX($DS$5:$DS$1003,$EX656),"")</f>
        <v/>
      </c>
      <c r="FJ656">
        <f>IF($EY656="row",INDEX($DT$5:$DT$1003,$EX656),"")</f>
        <v/>
      </c>
      <c r="FK656">
        <f>IF($EY656="row",INDEX($DU$5:$DU$1003,$EX656),"")</f>
        <v/>
      </c>
      <c r="FL656">
        <f>IF($EY656="row",INDEX($DV$5:$DV$1003,$EX656),"")</f>
        <v/>
      </c>
      <c r="FM656">
        <f>IF($EY656="row",INDEX($DW$5:$DW$1003,$EX656),"")</f>
        <v/>
      </c>
      <c r="FN656">
        <f>IF($EY656="row",INDEX($DY$5:$DY$1003,$EX656),"")</f>
        <v/>
      </c>
      <c r="FO656">
        <f>IF($EY656="row",INDEX($EA$5:$EA$1003,$EX656),"")</f>
        <v/>
      </c>
      <c r="FP656">
        <f>IF($EY656="row",INDEX($EC$5:$EC$1003,$EX656),"")</f>
        <v/>
      </c>
      <c r="FQ656">
        <f>IF($EY656="row",INDEX($ET$5:$ET$1003,$EX656),"")</f>
        <v/>
      </c>
      <c r="FR656">
        <f>IF($EY656="row",INDEX($EU$5:$EU$1003,$EX656),"")</f>
        <v/>
      </c>
      <c r="FS656">
        <f>IF(AND($EY656="row",$EY655="row"),IF(OR(INDEX($DT$5:$DT$1003,$EX655)="",INDEX($DT$5:$DT$1003,$EX656)=""),"",IF(NOT(EXACT(INDEX($DT$5:$DT$1003,$EX655),INDEX($DT$5:$DT$1003,$EX656))),"S4",IF(NOT(EXACT(INDEX($DS$5:$DS$1003,$EX655),INDEX($DS$5:$DS$1003,$EX656))),"S3",IF(NOT(EXACT(INDEX($DR$5:$DR$1003,$EX655),INDEX($DR$5:$DR$1003,$EX656))),"S1 Count Change","S1")))),"")</f>
        <v/>
      </c>
      <c r="FT656">
        <f>IF($EY656="row",INDEX($ES$5:$ES$1003,$EX656),"")</f>
        <v/>
      </c>
      <c r="FU656">
        <f>IF($EY656="row",INDEX($EO$5:$EO$1003,$EX656),0)</f>
        <v/>
      </c>
      <c r="FV656">
        <f>IF($FS656="S1 Count Change",1,0)</f>
        <v/>
      </c>
    </row>
    <row r="657">
      <c r="DA657" t="n">
        <v>653</v>
      </c>
      <c r="DB657">
        <f>IF($B$37=0,"",IFERROR(TRIM(SUBSTITUTE(SUBSTITUTE(SUBSTITUTE(SUBSTITUTE(INDEX(PASTE_ALL,653,$B$37)," "," "),CHAR(9)," "),CHAR(10)," "),CHAR(13)," ")),""))</f>
        <v/>
      </c>
      <c r="DC657">
        <f>IF(AND(653&gt;HEADER_ROW,UPPER(DB657)="LEGEND"),1,0)</f>
        <v/>
      </c>
      <c r="DE657" t="n">
        <v>653</v>
      </c>
      <c r="DF657">
        <f>HEADER_ROW+$DE657</f>
        <v/>
      </c>
      <c r="DG657">
        <f>IF(AND($DF657&lt;=1000,$DF657&lt;$B$8),1,0)</f>
        <v/>
      </c>
      <c r="DH657">
        <f>IF($DG657=1,IFERROR(INDEX($DB$5:$DB$1004,$DF657),""),"")</f>
        <v/>
      </c>
      <c r="DI657">
        <f>IF(AND($DG657=1,$DH657&lt;&gt;""),IFERROR(SUBSTITUTE(SUBSTITUTE(TRIM(SUBSTITUTE(SUBSTITUTE(SUBSTITUTE(SUBSTITUTE(IFERROR(INDEX(PASTE_ALL,$DF657,1)&amp;"","")&amp;"␟"&amp;IFERROR(INDEX(PASTE_ALL,$DF657,2)&amp;"","")&amp;"␟"&amp;IFERROR(INDEX(PASTE_ALL,$DF657,3)&amp;"","")&amp;"␟"&amp;IFERROR(INDEX(PASTE_ALL,$DF657,4)&amp;"","")&amp;"␟"&amp;IFERROR(INDEX(PASTE_ALL,$DF657,5)&amp;"","")&amp;"␟"&amp;IFERROR(INDEX(PASTE_ALL,$DF657,6)&amp;"","")&amp;"␟"&amp;IFERROR(INDEX(PASTE_ALL,$DF657,7)&amp;"","")&amp;"␟"&amp;IFERROR(INDEX(PASTE_ALL,$DF657,8)&amp;"","")&amp;"␟"&amp;IFERROR(INDEX(PASTE_ALL,$DF657,9)&amp;"","")&amp;"␟"&amp;IFERROR(INDEX(PASTE_ALL,$DF657,10)&amp;"","")&amp;"␟"&amp;IFERROR(INDEX(PASTE_ALL,$DF657,11)&amp;"","")&amp;"␟"&amp;IFERROR(INDEX(PASTE_ALL,$DF657,12)&amp;"","")&amp;"␟"&amp;IFERROR(INDEX(PASTE_ALL,$DF657,13)&amp;"","")&amp;"␟"&amp;IFERROR(INDEX(PASTE_ALL,$DF657,14)&amp;"","")&amp;"␟"&amp;IFERROR(INDEX(PASTE_ALL,$DF657,15)&amp;"","")&amp;"␟"&amp;IFERROR(INDEX(PASTE_ALL,$DF657,16)&amp;"","")&amp;"␟"&amp;IFERROR(INDEX(PASTE_ALL,$DF657,17)&amp;"","")&amp;"␟"&amp;IFERROR(INDEX(PASTE_ALL,$DF657,18)&amp;"","")&amp;"␟"&amp;IFERROR(INDEX(PASTE_ALL,$DF657,19)&amp;"","")&amp;"␟"&amp;IFERROR(INDEX(PASTE_ALL,$DF657,20)&amp;"","")&amp;"␟"&amp;IFERROR(INDEX(PASTE_ALL,$DF657,21)&amp;"","")&amp;"␟"&amp;IFERROR(INDEX(PASTE_ALL,$DF657,22)&amp;"","")&amp;"␟"&amp;IFERROR(INDEX(PASTE_ALL,$DF657,23)&amp;"","")&amp;"␟"&amp;IFERROR(INDEX(PASTE_ALL,$DF657,24)&amp;"","")&amp;"␟"&amp;IFERROR(INDEX(PASTE_ALL,$DF657,25)&amp;"","")&amp;"␟"&amp;IFERROR(INDEX(PASTE_ALL,$DF657,26)&amp;"","")&amp;"␟"&amp;IFERROR(INDEX(PASTE_ALL,$DF657,27)&amp;"","")&amp;"␟"&amp;IFERROR(INDEX(PASTE_ALL,$DF657,28)&amp;"","")&amp;"␟"&amp;IFERROR(INDEX(PASTE_ALL,$DF657,29)&amp;"","")&amp;"␟"&amp;IFERROR(INDEX(PASTE_ALL,$DF657,30)&amp;"","")&amp;"␟"&amp;IFERROR(INDEX(PASTE_ALL,$DF657,31)&amp;"","")&amp;"␟"&amp;IFERROR(INDEX(PASTE_ALL,$DF657,32)&amp;"","")&amp;"␟"&amp;IFERROR(INDEX(PASTE_ALL,$DF657,33)&amp;"","")&amp;"␟"&amp;IFERROR(INDEX(PASTE_ALL,$DF657,34)&amp;"","")&amp;"␟"&amp;IFERROR(INDEX(PASTE_ALL,$DF657,35)&amp;"","")&amp;"␟"&amp;IFERROR(INDEX(PASTE_ALL,$DF657,36)&amp;"","")&amp;"␟"&amp;IFERROR(INDEX(PASTE_ALL,$DF657,37)&amp;"","")&amp;"␟"&amp;IFERROR(INDEX(PASTE_ALL,$DF657,38)&amp;"","")&amp;"␟"&amp;IFERROR(INDEX(PASTE_ALL,$DF657,39)&amp;"","")&amp;"␟"&amp;IFERROR(INDEX(PASTE_ALL,$DF657,40)&amp;"","")&amp;"␟"&amp;IFERROR(INDEX(PASTE_ALL,$DF657,41)&amp;"","")&amp;"␟"&amp;IFERROR(INDEX(PASTE_ALL,$DF657,42)&amp;"","")&amp;"␟"&amp;IFERROR(INDEX(PASTE_ALL,$DF657,43)&amp;"","")&amp;"␟"&amp;IFERROR(INDEX(PASTE_ALL,$DF657,44)&amp;"","")&amp;"␟"&amp;IFERROR(INDEX(PASTE_ALL,$DF657,45)&amp;"","")&amp;"␟"&amp;IFERROR(INDEX(PASTE_ALL,$DF657,46)&amp;"","")&amp;"␟"&amp;IFERROR(INDEX(PASTE_ALL,$DF657,47)&amp;"","")&amp;"␟"&amp;IFERROR(INDEX(PASTE_ALL,$DF657,48)&amp;"","")&amp;"␟"&amp;IFERROR(INDEX(PASTE_ALL,$DF657,49)&amp;"","")&amp;"␟"&amp;IFERROR(INDEX(PASTE_ALL,$DF657,50)&amp;"","")&amp;"␟"&amp;IFERROR(INDEX(PASTE_ALL,$DF657,51)&amp;"","")&amp;"␟"&amp;IFERROR(INDEX(PASTE_ALL,$DF657,52)&amp;"","")&amp;"␟"&amp;IFERROR(INDEX(PASTE_ALL,$DF657,53)&amp;"","")&amp;"␟"&amp;IFERROR(INDEX(PASTE_ALL,$DF657,54)&amp;"","")&amp;"␟"&amp;IFERROR(INDEX(PASTE_ALL,$DF657,55)&amp;"","")&amp;"␟"&amp;IFERROR(INDEX(PASTE_ALL,$DF657,56)&amp;"","")&amp;"␟"&amp;IFERROR(INDEX(PASTE_ALL,$DF657,57)&amp;"","")&amp;"␟"&amp;IFERROR(INDEX(PASTE_ALL,$DF657,58)&amp;"","")&amp;"␟"&amp;IFERROR(INDEX(PASTE_ALL,$DF657,59)&amp;"","")&amp;"␟"&amp;IFERROR(INDEX(PASTE_ALL,$DF657,60)&amp;"","")," "," "),CHAR(9)," "),CHAR(10)," "),CHAR(13)," "))," ␟","␟"),"␟ ","␟"),"#"&amp;$DE657),"")</f>
        <v/>
      </c>
      <c r="DJ657">
        <f>IF($DI657="",0,IF(SUMPRODUCT(--EXACT($DI$4:DI656,$DI657))&gt;0,1,0))</f>
        <v/>
      </c>
      <c r="DK657">
        <f>IF(AND($DI657&lt;&gt;"",$DJ657=0),1,0)</f>
        <v/>
      </c>
      <c r="DL657">
        <f>DL656+$DK657</f>
        <v/>
      </c>
      <c r="DM657">
        <f>IF(AND($DK657=1,$DL657&lt;=600),1,0)</f>
        <v/>
      </c>
      <c r="DN657">
        <f>IF($DM657=0,"",IF($L$6=0,"",IFERROR(IF(ISNUMBER(INDEX(PASTE_ALL,$DF657,$L$6)),INDEX(PASTE_ALL,$DF657,$L$6),TRIM(SUBSTITUTE(SUBSTITUTE(SUBSTITUTE(SUBSTITUTE(INDEX(PASTE_ALL,$DF657,$L$6)," "," "),CHAR(9)," "),CHAR(10)," "),CHAR(13)," "))),"")))</f>
        <v/>
      </c>
      <c r="DO657">
        <f>IF($DM657=0,"",IF($L$7=0,"",IFERROR(IF(ISNUMBER(INDEX(PASTE_ALL,$DF657,$L$7)),INDEX(PASTE_ALL,$DF657,$L$7),TRIM(SUBSTITUTE(SUBSTITUTE(SUBSTITUTE(SUBSTITUTE(INDEX(PASTE_ALL,$DF657,$L$7)," "," "),CHAR(9)," "),CHAR(10)," "),CHAR(13)," "))),"")))</f>
        <v/>
      </c>
      <c r="DP657">
        <f>IF($DM657=0,"",IF($L$8=0,"",IFERROR(IF(ISNUMBER(INDEX(PASTE_ALL,$DF657,$L$8)),INDEX(PASTE_ALL,$DF657,$L$8),TRIM(SUBSTITUTE(SUBSTITUTE(SUBSTITUTE(SUBSTITUTE(INDEX(PASTE_ALL,$DF657,$L$8)," "," "),CHAR(9)," "),CHAR(10)," "),CHAR(13)," "))),"")))</f>
        <v/>
      </c>
      <c r="DQ657">
        <f>IF($DM657=0,"",IF($L$9=0,"",IFERROR(IF(ISNUMBER(INDEX(PASTE_ALL,$DF657,$L$9)),INDEX(PASTE_ALL,$DF657,$L$9),TRIM(SUBSTITUTE(SUBSTITUTE(SUBSTITUTE(SUBSTITUTE(INDEX(PASTE_ALL,$DF657,$L$9)," "," "),CHAR(9)," "),CHAR(10)," "),CHAR(13)," "))),"")))</f>
        <v/>
      </c>
      <c r="DR657">
        <f>IF($DM657=0,"",IF($L$10=0,"",IFERROR(IF(ISNUMBER(INDEX(PASTE_ALL,$DF657,$L$10)),INDEX(PASTE_ALL,$DF657,$L$10),TRIM(SUBSTITUTE(SUBSTITUTE(SUBSTITUTE(SUBSTITUTE(INDEX(PASTE_ALL,$DF657,$L$10)," "," "),CHAR(9)," "),CHAR(10)," "),CHAR(13)," "))),"")))</f>
        <v/>
      </c>
      <c r="DS657">
        <f>IF($DM657=0,"",IF($L$11=0,"",IFERROR(IF(ISNUMBER(INDEX(PASTE_ALL,$DF657,$L$11)),INDEX(PASTE_ALL,$DF657,$L$11),TRIM(SUBSTITUTE(SUBSTITUTE(SUBSTITUTE(SUBSTITUTE(INDEX(PASTE_ALL,$DF657,$L$11)," "," "),CHAR(9)," "),CHAR(10)," "),CHAR(13)," "))),"")))</f>
        <v/>
      </c>
      <c r="DT657">
        <f>IF($DM657=0,"",IF($L$12=0,"",IFERROR(IF(ISNUMBER(INDEX(PASTE_ALL,$DF657,$L$12)),INDEX(PASTE_ALL,$DF657,$L$12),TRIM(SUBSTITUTE(SUBSTITUTE(SUBSTITUTE(SUBSTITUTE(INDEX(PASTE_ALL,$DF657,$L$12)," "," "),CHAR(9)," "),CHAR(10)," "),CHAR(13)," "))),"")))</f>
        <v/>
      </c>
      <c r="DU657">
        <f>IF($DM657=0,"",IF($L$13=0,"",IFERROR(IF(ISNUMBER(INDEX(PASTE_ALL,$DF657,$L$13)),INDEX(PASTE_ALL,$DF657,$L$13),TRIM(SUBSTITUTE(SUBSTITUTE(SUBSTITUTE(SUBSTITUTE(INDEX(PASTE_ALL,$DF657,$L$13)," "," "),CHAR(9)," "),CHAR(10)," "),CHAR(13)," "))),"")))</f>
        <v/>
      </c>
      <c r="DV657">
        <f>IF($DM657=0,"",IF($L$14=0,"",IFERROR(IF(ISNUMBER(INDEX(PASTE_ALL,$DF657,$L$14)),INDEX(PASTE_ALL,$DF657,$L$14),TRIM(SUBSTITUTE(SUBSTITUTE(SUBSTITUTE(SUBSTITUTE(INDEX(PASTE_ALL,$DF657,$L$14)," "," "),CHAR(9)," "),CHAR(10)," "),CHAR(13)," "))),"")))</f>
        <v/>
      </c>
      <c r="DW657">
        <f>IF($DM657=0,"",IF($L$15=0,"",IFERROR(IF(ISNUMBER(INDEX(PASTE_ALL,$DF657,$L$15)),INDEX(PASTE_ALL,$DF657,$L$15),IF(SUMPRODUCT(--ISNUMBER(FIND({"A","B","C","D","E","F","G","H","I","J","K","L","M","N","O","P","Q","R","S","T","U","V","W","X","Y","Z","0","1","2","3","4","5","6","7","8","9"},UPPER(TRIM(SUBSTITUTE(SUBSTITUTE(SUBSTITUTE(SUBSTITUTE(INDEX(PASTE_ALL,$DF657,$L$15)," "," "),CHAR(9)," "),CHAR(10)," "),CHAR(13)," "))))))&gt;0,TRIM(SUBSTITUTE(SUBSTITUTE(SUBSTITUTE(SUBSTITUTE(INDEX(PASTE_ALL,$DF657,$L$15)," "," "),CHAR(9)," "),CHAR(10)," "),CHAR(13)," ")),"")),"")))</f>
        <v/>
      </c>
      <c r="DX657">
        <f>IF($DM657=0,"",IF($L$16=0,"",IFERROR(IF(ISNUMBER(INDEX(PASTE_ALL,$DF657,$L$16)),INDEX(PASTE_ALL,$DF657,$L$16),SUBSTITUTE(SUBSTITUTE(TRIM(SUBSTITUTE(SUBSTITUTE(SUBSTITUTE(SUBSTITUTE(INDEX(PASTE_ALL,$DF657,$L$16)," "," "),CHAR(9)," "),CHAR(10)," "),CHAR(13)," ")),",",""),"%","")),"")))</f>
        <v/>
      </c>
      <c r="DY657">
        <f>IF($DM657=0,"",IFERROR(IF(ISNUMBER($DX657),$DX657,IF($DX657="","",IF(TRIM($DX657)="",0,IF(AND(AND(SUBSTITUTE(SUBSTITUTE(SUBSTITUTE(SUBSTITUTE(SUBSTITUTE(SUBSTITUTE(SUBSTITUTE(SUBSTITUTE(SUBSTITUTE(SUBSTITUTE(SUBSTITUTE(SUBSTITUTE(SUBSTITUTE(SUBSTITUTE(UPPER(TRIM($DX657)),"0",""),"1",""),"2",""),"3",""),"4",""),"5",""),"6",""),"7",""),"8",""),"9",""),".",""),"+",""),"-",""),"E","")="",LEN(SUBSTITUTE(SUBSTITUTE(MID(UPPER(TRIM($DX657)),1+OR(LEFT(UPPER(TRIM($DX657)),1)="+",LEFT(UPPER(TRIM($DX657)),1)="-"),999),"E+","E"),"E-","E"))=LEN(SUBSTITUTE(SUBSTITUTE(SUBSTITUTE(SUBSTITUTE(MID(UPPER(TRIM($DX657)),1+OR(LEFT(UPPER(TRIM($DX657)),1)="+",LEFT(UPPER(TRIM($DX657)),1)="-"),999),"E+","E"),"E-","E"),"+",""),"-","")),LEN(UPPER(TRIM($DX657)))-LEN(SUBSTITUTE(UPPER(TRIM($DX657)),"E",""))&lt;2,LEN(UPPER(TRIM($DX657)))-LEN(SUBSTITUTE(UPPER(TRIM($DX657)),".",""))&lt;2,IFERROR(FIND(".",UPPER(TRIM($DX657))),0)&lt;IFERROR(FIND("E",UPPER(TRIM($DX657))),999)),ISNUMBER(VALUE(TRIM($DX657)))),VALUE(TRIM($DX657)),"")))),""))</f>
        <v/>
      </c>
      <c r="DZ657">
        <f>IF($DM657=0,"",IF($L$17=0,"",IFERROR(IF(ISNUMBER(INDEX(PASTE_ALL,$DF657,$L$17)),INDEX(PASTE_ALL,$DF657,$L$17),SUBSTITUTE(SUBSTITUTE(TRIM(SUBSTITUTE(SUBSTITUTE(SUBSTITUTE(SUBSTITUTE(INDEX(PASTE_ALL,$DF657,$L$17)," "," "),CHAR(9)," "),CHAR(10)," "),CHAR(13)," ")),",",""),"%","")),"")))</f>
        <v/>
      </c>
      <c r="EA657">
        <f>IF($DM657=0,"",IFERROR(IF(ISNUMBER($DZ657),$DZ657,IF($DZ657="","",IF(TRIM($DZ657)="",0,IF(AND(AND(SUBSTITUTE(SUBSTITUTE(SUBSTITUTE(SUBSTITUTE(SUBSTITUTE(SUBSTITUTE(SUBSTITUTE(SUBSTITUTE(SUBSTITUTE(SUBSTITUTE(SUBSTITUTE(SUBSTITUTE(SUBSTITUTE(SUBSTITUTE(UPPER(TRIM($DZ657)),"0",""),"1",""),"2",""),"3",""),"4",""),"5",""),"6",""),"7",""),"8",""),"9",""),".",""),"+",""),"-",""),"E","")="",LEN(SUBSTITUTE(SUBSTITUTE(MID(UPPER(TRIM($DZ657)),1+OR(LEFT(UPPER(TRIM($DZ657)),1)="+",LEFT(UPPER(TRIM($DZ657)),1)="-"),999),"E+","E"),"E-","E"))=LEN(SUBSTITUTE(SUBSTITUTE(SUBSTITUTE(SUBSTITUTE(MID(UPPER(TRIM($DZ657)),1+OR(LEFT(UPPER(TRIM($DZ657)),1)="+",LEFT(UPPER(TRIM($DZ657)),1)="-"),999),"E+","E"),"E-","E"),"+",""),"-","")),LEN(UPPER(TRIM($DZ657)))-LEN(SUBSTITUTE(UPPER(TRIM($DZ657)),"E",""))&lt;2,LEN(UPPER(TRIM($DZ657)))-LEN(SUBSTITUTE(UPPER(TRIM($DZ657)),".",""))&lt;2,IFERROR(FIND(".",UPPER(TRIM($DZ657))),0)&lt;IFERROR(FIND("E",UPPER(TRIM($DZ657))),999)),ISNUMBER(VALUE(TRIM($DZ657)))),VALUE(TRIM($DZ657)),"")))),""))</f>
        <v/>
      </c>
      <c r="EB657">
        <f>IF($DM657=0,"",IF($L$18=0,"",IFERROR(IF(UPPER(TRIM(SUBSTITUTE(SUBSTITUTE(SUBSTITUTE(SUBSTITUTE(INDEX(PASTE_ALL,$DF657,$L$18)," "," "),CHAR(9)," "),CHAR(10)," "),CHAR(13)," ")))="READY","Ready",IF(UPPER(TRIM(SUBSTITUTE(SUBSTITUTE(SUBSTITUTE(SUBSTITUTE(INDEX(PASTE_ALL,$DF657,$L$18)," "," "),CHAR(9)," "),CHAR(10)," "),CHAR(13)," ")))="PM","PM",IF(OR(UPPER(TRIM(SUBSTITUTE(SUBSTITUTE(SUBSTITUTE(SUBSTITUTE(INDEX(PASTE_ALL,$DF657,$L$18)," "," "),CHAR(9)," "),CHAR(10)," "),CHAR(13)," ")))="OT",UPPER(TRIM(SUBSTITUTE(SUBSTITUTE(SUBSTITUTE(SUBSTITUTE(INDEX(PASTE_ALL,$DF657,$L$18)," "," "),CHAR(9)," "),CHAR(10)," "),CHAR(13)," ")))="OVERTIME",UPPER(TRIM(SUBSTITUTE(SUBSTITUTE(SUBSTITUTE(SUBSTITUTE(INDEX(PASTE_ALL,$DF657,$L$18)," "," "),CHAR(9)," "),CHAR(10)," "),CHAR(13)," ")))="TRIAL"),"OT",TRIM(SUBSTITUTE(SUBSTITUTE(SUBSTITUTE(SUBSTITUTE(INDEX(PASTE_ALL,$DF657,$L$18)," "," "),CHAR(9)," "),CHAR(10)," "),CHAR(13)," "))))),"")))</f>
        <v/>
      </c>
      <c r="EC657">
        <f>IF($DM657=0,"",IF($L$19=0,"",IFERROR(IF(ISNUMBER(INDEX(PASTE_ALL,$DF657,$L$19)),INDEX(PASTE_ALL,$DF657,$L$19),TRIM(SUBSTITUTE(SUBSTITUTE(SUBSTITUTE(SUBSTITUTE(INDEX(PASTE_ALL,$DF657,$L$19)," "," "),CHAR(9)," "),CHAR(10)," "),CHAR(13)," "))),"")))</f>
        <v/>
      </c>
      <c r="ED657">
        <f>IF($DM657=0,"",MATCH(1,INDEX(EXACT($DH$5:DH657,$DH657)*$DM$5:DM657,0),0))</f>
        <v/>
      </c>
      <c r="EE657">
        <f>IF($DM657=0,0,IF($ED657=$DE657,1,0))</f>
        <v/>
      </c>
      <c r="EF657">
        <f>EF656+$EE657</f>
        <v/>
      </c>
      <c r="EG657">
        <f>IF($DM657=0,"",INDEX($EF$5:$EF$1003,$ED657))</f>
        <v/>
      </c>
      <c r="EH657">
        <f>IF($DM657=0,"",IF($DO657&lt;&gt;"","",IFERROR(LOOKUP(2,1/(($EG$4:EG656=$EG657)*($DO$4:DO656&lt;&gt;"")),$DO$4:DO656),"")))</f>
        <v/>
      </c>
      <c r="EI657">
        <f>IF($DM657=0,"",IF($DO657&lt;&gt;"",$DO657,$EH657))</f>
        <v/>
      </c>
      <c r="EJ657">
        <f>IF($DM657=0,"",IF($EI657="",0,IF(OR(ISNUMBER($EI657),AND(AND(SUBSTITUTE(SUBSTITUTE(SUBSTITUTE(SUBSTITUTE(SUBSTITUTE(SUBSTITUTE(SUBSTITUTE(SUBSTITUTE(SUBSTITUTE(SUBSTITUTE(SUBSTITUTE(SUBSTITUTE(SUBSTITUTE(SUBSTITUTE(UPPER($EI657),"0",""),"1",""),"2",""),"3",""),"4",""),"5",""),"6",""),"7",""),"8",""),"9",""),".",""),"+",""),"-",""),"E","")="",LEN(SUBSTITUTE(SUBSTITUTE(MID(UPPER($EI657),1+OR(LEFT(UPPER($EI657),1)="+",LEFT(UPPER($EI657),1)="-"),999),"E+","E"),"E-","E"))=LEN(SUBSTITUTE(SUBSTITUTE(SUBSTITUTE(SUBSTITUTE(MID(UPPER($EI657),1+OR(LEFT(UPPER($EI657),1)="+",LEFT(UPPER($EI657),1)="-"),999),"E+","E"),"E-","E"),"+",""),"-","")),LEN(UPPER($EI657))-LEN(SUBSTITUTE(UPPER($EI657),"E",""))&lt;2,LEN(UPPER($EI657))-LEN(SUBSTITUTE(UPPER($EI657),".",""))&lt;2,IFERROR(FIND(".",UPPER($EI657)),0)&lt;IFERROR(FIND("E",UPPER($EI657)),999)),ISNUMBER(VALUE($EI657)))),1,2)))</f>
        <v/>
      </c>
      <c r="EK657">
        <f>IF($DM657=0,"",IF($EJ657=1,IF(ISNUMBER($EI657),$EI657,VALUE($EI657)),IF($EJ657=2,$DE657,0)))</f>
        <v/>
      </c>
      <c r="EL657">
        <f>IF($DM657=0,"",COUNTIF($EG$5:$EG$1003,"&lt;"&amp;$EG657)+SUMPRODUCT(($EG$5:$EG$1003=$EG657)*(($EJ$5:$EJ$1003&lt;$EJ657)+($EJ$5:$EJ$1003=$EJ657)*(($EK$5:$EK$1003&lt;$EK657)+($EK$5:$EK$1003=$EK657)*($DE$5:$DE$1003&lt;$DE657))))+1)</f>
        <v/>
      </c>
      <c r="EM657">
        <f>IF($DM657=0,"",$EL657+$EG657-1)</f>
        <v/>
      </c>
      <c r="EN657">
        <f>IF($DM657=0,0,IFERROR(MATCH(1,INDEX(--(TRIM(SUBSTITUTE(SUBSTITUTE(SUBSTITUTE(SUBSTITUTE(LINES_NAME&amp;""," "," "),CHAR(9)," "),CHAR(10)," "),CHAR(13)," "))=$DH657),0),0),0))</f>
        <v/>
      </c>
      <c r="EO657">
        <f>IF($EN657=0,0,IF(OR(UPPER(TRIM(INDEX(LINES_SCHEDULED,$EN657)&amp;""))="YES",UPPER(TRIM(INDEX(LINES_SCHEDULED,$EN657)&amp;""))="Y",UPPER(TRIM(INDEX(LINES_SCHEDULED,$EN657)&amp;""))="X"),1,0))</f>
        <v/>
      </c>
      <c r="EP657">
        <f>IF($DM657=0,"",IF(COUNTIFS($EG$5:$EG$1003,$EG657,$EB$5:$EB$1003,"Ready")&gt;0,"READY",IF(COUNTIFS($EG$5:$EG$1003,$EG657,$EB$5:$EB$1003,"PM")&gt;0,"PM",IF(COUNTIFS($EG$5:$EG$1003,$EG657,$EB$5:$EB$1003,"OT")&gt;0,"OT",""))))</f>
        <v/>
      </c>
      <c r="EQ657">
        <f>IF($EN657=0,"",UPPER(TRIM(INDEX(LINES_STATUS,$EN657)&amp;"")))</f>
        <v/>
      </c>
      <c r="ER657">
        <f>IF($DM657=0,"",IF(OR($EQ657="READY",$EQ657="PM",$EQ657="OT"),$EQ657,$EP657))</f>
        <v/>
      </c>
      <c r="ES657">
        <f>IF($DM657=0,"",IF(AND($DV657&lt;&gt;"",UPPER($DV657)&lt;&gt;"N"),"allergen",IF(ISNUMBER(SEARCH("oil",$DQ657)),"oil",IF(OR(EXACT($DS657,"A662"),EXACT($DS657,"A624")),"bulk",""))))</f>
        <v/>
      </c>
      <c r="ET657">
        <f>IF($DM657=0,"",IF(OR($EA657="",$EA657=0),"",$EA657/100))</f>
        <v/>
      </c>
      <c r="EU657">
        <f>IF(OR($ET657="",$DY657=""),"",INT($DY657*(1-$ET657)+0.5))</f>
        <v/>
      </c>
      <c r="EW657" t="n">
        <v>653</v>
      </c>
      <c r="EX657">
        <f>IFERROR(MATCH($EW657,$EM$5:$EM$1003,0),0)</f>
        <v/>
      </c>
      <c r="EY657">
        <f>IF($EW657&gt;$B$12,"",IF($EX657&gt;0,"row","spacer"))</f>
        <v/>
      </c>
      <c r="EZ657">
        <f>IF(AND($EY657="row",$EY656&lt;&gt;"row"),1,0)</f>
        <v/>
      </c>
      <c r="FA657">
        <f>IF(AND($EY657="row",$EY658&lt;&gt;"row"),1,0)</f>
        <v/>
      </c>
      <c r="FB657">
        <f>IF($EZ657=1,IFERROR(IF(ISNUMBER(INDEX(PASTE_ALL,INDEX($DF$5:$DF$1003,$EX657),$B$37)),INDEX(PASTE_ALL,INDEX($DF$5:$DF$1003,$EX657),$B$37),INDEX($DH$5:$DH$1003,$EX657)),INDEX($DH$5:$DH$1003,$EX657)),"")</f>
        <v/>
      </c>
      <c r="FC657">
        <f>IF($EY657="row",INDEX($ER$5:$ER$1003,$EX657),"")</f>
        <v/>
      </c>
      <c r="FD657">
        <f>IF($EY657="row",INDEX($DN$5:$DN$1003,$EX657),"")</f>
        <v/>
      </c>
      <c r="FE657">
        <f>IF($EY657="row",INDEX($DO$5:$DO$1003,$EX657),"")</f>
        <v/>
      </c>
      <c r="FF657">
        <f>IF($EY657="row",INDEX($DP$5:$DP$1003,$EX657),"")</f>
        <v/>
      </c>
      <c r="FG657">
        <f>IF($EY657="row",INDEX($DQ$5:$DQ$1003,$EX657),"")</f>
        <v/>
      </c>
      <c r="FH657">
        <f>IF($EY657="row",INDEX($DR$5:$DR$1003,$EX657),"")</f>
        <v/>
      </c>
      <c r="FI657">
        <f>IF($EY657="row",INDEX($DS$5:$DS$1003,$EX657),"")</f>
        <v/>
      </c>
      <c r="FJ657">
        <f>IF($EY657="row",INDEX($DT$5:$DT$1003,$EX657),"")</f>
        <v/>
      </c>
      <c r="FK657">
        <f>IF($EY657="row",INDEX($DU$5:$DU$1003,$EX657),"")</f>
        <v/>
      </c>
      <c r="FL657">
        <f>IF($EY657="row",INDEX($DV$5:$DV$1003,$EX657),"")</f>
        <v/>
      </c>
      <c r="FM657">
        <f>IF($EY657="row",INDEX($DW$5:$DW$1003,$EX657),"")</f>
        <v/>
      </c>
      <c r="FN657">
        <f>IF($EY657="row",INDEX($DY$5:$DY$1003,$EX657),"")</f>
        <v/>
      </c>
      <c r="FO657">
        <f>IF($EY657="row",INDEX($EA$5:$EA$1003,$EX657),"")</f>
        <v/>
      </c>
      <c r="FP657">
        <f>IF($EY657="row",INDEX($EC$5:$EC$1003,$EX657),"")</f>
        <v/>
      </c>
      <c r="FQ657">
        <f>IF($EY657="row",INDEX($ET$5:$ET$1003,$EX657),"")</f>
        <v/>
      </c>
      <c r="FR657">
        <f>IF($EY657="row",INDEX($EU$5:$EU$1003,$EX657),"")</f>
        <v/>
      </c>
      <c r="FS657">
        <f>IF(AND($EY657="row",$EY656="row"),IF(OR(INDEX($DT$5:$DT$1003,$EX656)="",INDEX($DT$5:$DT$1003,$EX657)=""),"",IF(NOT(EXACT(INDEX($DT$5:$DT$1003,$EX656),INDEX($DT$5:$DT$1003,$EX657))),"S4",IF(NOT(EXACT(INDEX($DS$5:$DS$1003,$EX656),INDEX($DS$5:$DS$1003,$EX657))),"S3",IF(NOT(EXACT(INDEX($DR$5:$DR$1003,$EX656),INDEX($DR$5:$DR$1003,$EX657))),"S1 Count Change","S1")))),"")</f>
        <v/>
      </c>
      <c r="FT657">
        <f>IF($EY657="row",INDEX($ES$5:$ES$1003,$EX657),"")</f>
        <v/>
      </c>
      <c r="FU657">
        <f>IF($EY657="row",INDEX($EO$5:$EO$1003,$EX657),0)</f>
        <v/>
      </c>
      <c r="FV657">
        <f>IF($FS657="S1 Count Change",1,0)</f>
        <v/>
      </c>
    </row>
    <row r="658">
      <c r="DA658" t="n">
        <v>654</v>
      </c>
      <c r="DB658">
        <f>IF($B$37=0,"",IFERROR(TRIM(SUBSTITUTE(SUBSTITUTE(SUBSTITUTE(SUBSTITUTE(INDEX(PASTE_ALL,654,$B$37)," "," "),CHAR(9)," "),CHAR(10)," "),CHAR(13)," ")),""))</f>
        <v/>
      </c>
      <c r="DC658">
        <f>IF(AND(654&gt;HEADER_ROW,UPPER(DB658)="LEGEND"),1,0)</f>
        <v/>
      </c>
      <c r="DE658" t="n">
        <v>654</v>
      </c>
      <c r="DF658">
        <f>HEADER_ROW+$DE658</f>
        <v/>
      </c>
      <c r="DG658">
        <f>IF(AND($DF658&lt;=1000,$DF658&lt;$B$8),1,0)</f>
        <v/>
      </c>
      <c r="DH658">
        <f>IF($DG658=1,IFERROR(INDEX($DB$5:$DB$1004,$DF658),""),"")</f>
        <v/>
      </c>
      <c r="DI658">
        <f>IF(AND($DG658=1,$DH658&lt;&gt;""),IFERROR(SUBSTITUTE(SUBSTITUTE(TRIM(SUBSTITUTE(SUBSTITUTE(SUBSTITUTE(SUBSTITUTE(IFERROR(INDEX(PASTE_ALL,$DF658,1)&amp;"","")&amp;"␟"&amp;IFERROR(INDEX(PASTE_ALL,$DF658,2)&amp;"","")&amp;"␟"&amp;IFERROR(INDEX(PASTE_ALL,$DF658,3)&amp;"","")&amp;"␟"&amp;IFERROR(INDEX(PASTE_ALL,$DF658,4)&amp;"","")&amp;"␟"&amp;IFERROR(INDEX(PASTE_ALL,$DF658,5)&amp;"","")&amp;"␟"&amp;IFERROR(INDEX(PASTE_ALL,$DF658,6)&amp;"","")&amp;"␟"&amp;IFERROR(INDEX(PASTE_ALL,$DF658,7)&amp;"","")&amp;"␟"&amp;IFERROR(INDEX(PASTE_ALL,$DF658,8)&amp;"","")&amp;"␟"&amp;IFERROR(INDEX(PASTE_ALL,$DF658,9)&amp;"","")&amp;"␟"&amp;IFERROR(INDEX(PASTE_ALL,$DF658,10)&amp;"","")&amp;"␟"&amp;IFERROR(INDEX(PASTE_ALL,$DF658,11)&amp;"","")&amp;"␟"&amp;IFERROR(INDEX(PASTE_ALL,$DF658,12)&amp;"","")&amp;"␟"&amp;IFERROR(INDEX(PASTE_ALL,$DF658,13)&amp;"","")&amp;"␟"&amp;IFERROR(INDEX(PASTE_ALL,$DF658,14)&amp;"","")&amp;"␟"&amp;IFERROR(INDEX(PASTE_ALL,$DF658,15)&amp;"","")&amp;"␟"&amp;IFERROR(INDEX(PASTE_ALL,$DF658,16)&amp;"","")&amp;"␟"&amp;IFERROR(INDEX(PASTE_ALL,$DF658,17)&amp;"","")&amp;"␟"&amp;IFERROR(INDEX(PASTE_ALL,$DF658,18)&amp;"","")&amp;"␟"&amp;IFERROR(INDEX(PASTE_ALL,$DF658,19)&amp;"","")&amp;"␟"&amp;IFERROR(INDEX(PASTE_ALL,$DF658,20)&amp;"","")&amp;"␟"&amp;IFERROR(INDEX(PASTE_ALL,$DF658,21)&amp;"","")&amp;"␟"&amp;IFERROR(INDEX(PASTE_ALL,$DF658,22)&amp;"","")&amp;"␟"&amp;IFERROR(INDEX(PASTE_ALL,$DF658,23)&amp;"","")&amp;"␟"&amp;IFERROR(INDEX(PASTE_ALL,$DF658,24)&amp;"","")&amp;"␟"&amp;IFERROR(INDEX(PASTE_ALL,$DF658,25)&amp;"","")&amp;"␟"&amp;IFERROR(INDEX(PASTE_ALL,$DF658,26)&amp;"","")&amp;"␟"&amp;IFERROR(INDEX(PASTE_ALL,$DF658,27)&amp;"","")&amp;"␟"&amp;IFERROR(INDEX(PASTE_ALL,$DF658,28)&amp;"","")&amp;"␟"&amp;IFERROR(INDEX(PASTE_ALL,$DF658,29)&amp;"","")&amp;"␟"&amp;IFERROR(INDEX(PASTE_ALL,$DF658,30)&amp;"","")&amp;"␟"&amp;IFERROR(INDEX(PASTE_ALL,$DF658,31)&amp;"","")&amp;"␟"&amp;IFERROR(INDEX(PASTE_ALL,$DF658,32)&amp;"","")&amp;"␟"&amp;IFERROR(INDEX(PASTE_ALL,$DF658,33)&amp;"","")&amp;"␟"&amp;IFERROR(INDEX(PASTE_ALL,$DF658,34)&amp;"","")&amp;"␟"&amp;IFERROR(INDEX(PASTE_ALL,$DF658,35)&amp;"","")&amp;"␟"&amp;IFERROR(INDEX(PASTE_ALL,$DF658,36)&amp;"","")&amp;"␟"&amp;IFERROR(INDEX(PASTE_ALL,$DF658,37)&amp;"","")&amp;"␟"&amp;IFERROR(INDEX(PASTE_ALL,$DF658,38)&amp;"","")&amp;"␟"&amp;IFERROR(INDEX(PASTE_ALL,$DF658,39)&amp;"","")&amp;"␟"&amp;IFERROR(INDEX(PASTE_ALL,$DF658,40)&amp;"","")&amp;"␟"&amp;IFERROR(INDEX(PASTE_ALL,$DF658,41)&amp;"","")&amp;"␟"&amp;IFERROR(INDEX(PASTE_ALL,$DF658,42)&amp;"","")&amp;"␟"&amp;IFERROR(INDEX(PASTE_ALL,$DF658,43)&amp;"","")&amp;"␟"&amp;IFERROR(INDEX(PASTE_ALL,$DF658,44)&amp;"","")&amp;"␟"&amp;IFERROR(INDEX(PASTE_ALL,$DF658,45)&amp;"","")&amp;"␟"&amp;IFERROR(INDEX(PASTE_ALL,$DF658,46)&amp;"","")&amp;"␟"&amp;IFERROR(INDEX(PASTE_ALL,$DF658,47)&amp;"","")&amp;"␟"&amp;IFERROR(INDEX(PASTE_ALL,$DF658,48)&amp;"","")&amp;"␟"&amp;IFERROR(INDEX(PASTE_ALL,$DF658,49)&amp;"","")&amp;"␟"&amp;IFERROR(INDEX(PASTE_ALL,$DF658,50)&amp;"","")&amp;"␟"&amp;IFERROR(INDEX(PASTE_ALL,$DF658,51)&amp;"","")&amp;"␟"&amp;IFERROR(INDEX(PASTE_ALL,$DF658,52)&amp;"","")&amp;"␟"&amp;IFERROR(INDEX(PASTE_ALL,$DF658,53)&amp;"","")&amp;"␟"&amp;IFERROR(INDEX(PASTE_ALL,$DF658,54)&amp;"","")&amp;"␟"&amp;IFERROR(INDEX(PASTE_ALL,$DF658,55)&amp;"","")&amp;"␟"&amp;IFERROR(INDEX(PASTE_ALL,$DF658,56)&amp;"","")&amp;"␟"&amp;IFERROR(INDEX(PASTE_ALL,$DF658,57)&amp;"","")&amp;"␟"&amp;IFERROR(INDEX(PASTE_ALL,$DF658,58)&amp;"","")&amp;"␟"&amp;IFERROR(INDEX(PASTE_ALL,$DF658,59)&amp;"","")&amp;"␟"&amp;IFERROR(INDEX(PASTE_ALL,$DF658,60)&amp;"","")," "," "),CHAR(9)," "),CHAR(10)," "),CHAR(13)," "))," ␟","␟"),"␟ ","␟"),"#"&amp;$DE658),"")</f>
        <v/>
      </c>
      <c r="DJ658">
        <f>IF($DI658="",0,IF(SUMPRODUCT(--EXACT($DI$4:DI657,$DI658))&gt;0,1,0))</f>
        <v/>
      </c>
      <c r="DK658">
        <f>IF(AND($DI658&lt;&gt;"",$DJ658=0),1,0)</f>
        <v/>
      </c>
      <c r="DL658">
        <f>DL657+$DK658</f>
        <v/>
      </c>
      <c r="DM658">
        <f>IF(AND($DK658=1,$DL658&lt;=600),1,0)</f>
        <v/>
      </c>
      <c r="DN658">
        <f>IF($DM658=0,"",IF($L$6=0,"",IFERROR(IF(ISNUMBER(INDEX(PASTE_ALL,$DF658,$L$6)),INDEX(PASTE_ALL,$DF658,$L$6),TRIM(SUBSTITUTE(SUBSTITUTE(SUBSTITUTE(SUBSTITUTE(INDEX(PASTE_ALL,$DF658,$L$6)," "," "),CHAR(9)," "),CHAR(10)," "),CHAR(13)," "))),"")))</f>
        <v/>
      </c>
      <c r="DO658">
        <f>IF($DM658=0,"",IF($L$7=0,"",IFERROR(IF(ISNUMBER(INDEX(PASTE_ALL,$DF658,$L$7)),INDEX(PASTE_ALL,$DF658,$L$7),TRIM(SUBSTITUTE(SUBSTITUTE(SUBSTITUTE(SUBSTITUTE(INDEX(PASTE_ALL,$DF658,$L$7)," "," "),CHAR(9)," "),CHAR(10)," "),CHAR(13)," "))),"")))</f>
        <v/>
      </c>
      <c r="DP658">
        <f>IF($DM658=0,"",IF($L$8=0,"",IFERROR(IF(ISNUMBER(INDEX(PASTE_ALL,$DF658,$L$8)),INDEX(PASTE_ALL,$DF658,$L$8),TRIM(SUBSTITUTE(SUBSTITUTE(SUBSTITUTE(SUBSTITUTE(INDEX(PASTE_ALL,$DF658,$L$8)," "," "),CHAR(9)," "),CHAR(10)," "),CHAR(13)," "))),"")))</f>
        <v/>
      </c>
      <c r="DQ658">
        <f>IF($DM658=0,"",IF($L$9=0,"",IFERROR(IF(ISNUMBER(INDEX(PASTE_ALL,$DF658,$L$9)),INDEX(PASTE_ALL,$DF658,$L$9),TRIM(SUBSTITUTE(SUBSTITUTE(SUBSTITUTE(SUBSTITUTE(INDEX(PASTE_ALL,$DF658,$L$9)," "," "),CHAR(9)," "),CHAR(10)," "),CHAR(13)," "))),"")))</f>
        <v/>
      </c>
      <c r="DR658">
        <f>IF($DM658=0,"",IF($L$10=0,"",IFERROR(IF(ISNUMBER(INDEX(PASTE_ALL,$DF658,$L$10)),INDEX(PASTE_ALL,$DF658,$L$10),TRIM(SUBSTITUTE(SUBSTITUTE(SUBSTITUTE(SUBSTITUTE(INDEX(PASTE_ALL,$DF658,$L$10)," "," "),CHAR(9)," "),CHAR(10)," "),CHAR(13)," "))),"")))</f>
        <v/>
      </c>
      <c r="DS658">
        <f>IF($DM658=0,"",IF($L$11=0,"",IFERROR(IF(ISNUMBER(INDEX(PASTE_ALL,$DF658,$L$11)),INDEX(PASTE_ALL,$DF658,$L$11),TRIM(SUBSTITUTE(SUBSTITUTE(SUBSTITUTE(SUBSTITUTE(INDEX(PASTE_ALL,$DF658,$L$11)," "," "),CHAR(9)," "),CHAR(10)," "),CHAR(13)," "))),"")))</f>
        <v/>
      </c>
      <c r="DT658">
        <f>IF($DM658=0,"",IF($L$12=0,"",IFERROR(IF(ISNUMBER(INDEX(PASTE_ALL,$DF658,$L$12)),INDEX(PASTE_ALL,$DF658,$L$12),TRIM(SUBSTITUTE(SUBSTITUTE(SUBSTITUTE(SUBSTITUTE(INDEX(PASTE_ALL,$DF658,$L$12)," "," "),CHAR(9)," "),CHAR(10)," "),CHAR(13)," "))),"")))</f>
        <v/>
      </c>
      <c r="DU658">
        <f>IF($DM658=0,"",IF($L$13=0,"",IFERROR(IF(ISNUMBER(INDEX(PASTE_ALL,$DF658,$L$13)),INDEX(PASTE_ALL,$DF658,$L$13),TRIM(SUBSTITUTE(SUBSTITUTE(SUBSTITUTE(SUBSTITUTE(INDEX(PASTE_ALL,$DF658,$L$13)," "," "),CHAR(9)," "),CHAR(10)," "),CHAR(13)," "))),"")))</f>
        <v/>
      </c>
      <c r="DV658">
        <f>IF($DM658=0,"",IF($L$14=0,"",IFERROR(IF(ISNUMBER(INDEX(PASTE_ALL,$DF658,$L$14)),INDEX(PASTE_ALL,$DF658,$L$14),TRIM(SUBSTITUTE(SUBSTITUTE(SUBSTITUTE(SUBSTITUTE(INDEX(PASTE_ALL,$DF658,$L$14)," "," "),CHAR(9)," "),CHAR(10)," "),CHAR(13)," "))),"")))</f>
        <v/>
      </c>
      <c r="DW658">
        <f>IF($DM658=0,"",IF($L$15=0,"",IFERROR(IF(ISNUMBER(INDEX(PASTE_ALL,$DF658,$L$15)),INDEX(PASTE_ALL,$DF658,$L$15),IF(SUMPRODUCT(--ISNUMBER(FIND({"A","B","C","D","E","F","G","H","I","J","K","L","M","N","O","P","Q","R","S","T","U","V","W","X","Y","Z","0","1","2","3","4","5","6","7","8","9"},UPPER(TRIM(SUBSTITUTE(SUBSTITUTE(SUBSTITUTE(SUBSTITUTE(INDEX(PASTE_ALL,$DF658,$L$15)," "," "),CHAR(9)," "),CHAR(10)," "),CHAR(13)," "))))))&gt;0,TRIM(SUBSTITUTE(SUBSTITUTE(SUBSTITUTE(SUBSTITUTE(INDEX(PASTE_ALL,$DF658,$L$15)," "," "),CHAR(9)," "),CHAR(10)," "),CHAR(13)," ")),"")),"")))</f>
        <v/>
      </c>
      <c r="DX658">
        <f>IF($DM658=0,"",IF($L$16=0,"",IFERROR(IF(ISNUMBER(INDEX(PASTE_ALL,$DF658,$L$16)),INDEX(PASTE_ALL,$DF658,$L$16),SUBSTITUTE(SUBSTITUTE(TRIM(SUBSTITUTE(SUBSTITUTE(SUBSTITUTE(SUBSTITUTE(INDEX(PASTE_ALL,$DF658,$L$16)," "," "),CHAR(9)," "),CHAR(10)," "),CHAR(13)," ")),",",""),"%","")),"")))</f>
        <v/>
      </c>
      <c r="DY658">
        <f>IF($DM658=0,"",IFERROR(IF(ISNUMBER($DX658),$DX658,IF($DX658="","",IF(TRIM($DX658)="",0,IF(AND(AND(SUBSTITUTE(SUBSTITUTE(SUBSTITUTE(SUBSTITUTE(SUBSTITUTE(SUBSTITUTE(SUBSTITUTE(SUBSTITUTE(SUBSTITUTE(SUBSTITUTE(SUBSTITUTE(SUBSTITUTE(SUBSTITUTE(SUBSTITUTE(UPPER(TRIM($DX658)),"0",""),"1",""),"2",""),"3",""),"4",""),"5",""),"6",""),"7",""),"8",""),"9",""),".",""),"+",""),"-",""),"E","")="",LEN(SUBSTITUTE(SUBSTITUTE(MID(UPPER(TRIM($DX658)),1+OR(LEFT(UPPER(TRIM($DX658)),1)="+",LEFT(UPPER(TRIM($DX658)),1)="-"),999),"E+","E"),"E-","E"))=LEN(SUBSTITUTE(SUBSTITUTE(SUBSTITUTE(SUBSTITUTE(MID(UPPER(TRIM($DX658)),1+OR(LEFT(UPPER(TRIM($DX658)),1)="+",LEFT(UPPER(TRIM($DX658)),1)="-"),999),"E+","E"),"E-","E"),"+",""),"-","")),LEN(UPPER(TRIM($DX658)))-LEN(SUBSTITUTE(UPPER(TRIM($DX658)),"E",""))&lt;2,LEN(UPPER(TRIM($DX658)))-LEN(SUBSTITUTE(UPPER(TRIM($DX658)),".",""))&lt;2,IFERROR(FIND(".",UPPER(TRIM($DX658))),0)&lt;IFERROR(FIND("E",UPPER(TRIM($DX658))),999)),ISNUMBER(VALUE(TRIM($DX658)))),VALUE(TRIM($DX658)),"")))),""))</f>
        <v/>
      </c>
      <c r="DZ658">
        <f>IF($DM658=0,"",IF($L$17=0,"",IFERROR(IF(ISNUMBER(INDEX(PASTE_ALL,$DF658,$L$17)),INDEX(PASTE_ALL,$DF658,$L$17),SUBSTITUTE(SUBSTITUTE(TRIM(SUBSTITUTE(SUBSTITUTE(SUBSTITUTE(SUBSTITUTE(INDEX(PASTE_ALL,$DF658,$L$17)," "," "),CHAR(9)," "),CHAR(10)," "),CHAR(13)," ")),",",""),"%","")),"")))</f>
        <v/>
      </c>
      <c r="EA658">
        <f>IF($DM658=0,"",IFERROR(IF(ISNUMBER($DZ658),$DZ658,IF($DZ658="","",IF(TRIM($DZ658)="",0,IF(AND(AND(SUBSTITUTE(SUBSTITUTE(SUBSTITUTE(SUBSTITUTE(SUBSTITUTE(SUBSTITUTE(SUBSTITUTE(SUBSTITUTE(SUBSTITUTE(SUBSTITUTE(SUBSTITUTE(SUBSTITUTE(SUBSTITUTE(SUBSTITUTE(UPPER(TRIM($DZ658)),"0",""),"1",""),"2",""),"3",""),"4",""),"5",""),"6",""),"7",""),"8",""),"9",""),".",""),"+",""),"-",""),"E","")="",LEN(SUBSTITUTE(SUBSTITUTE(MID(UPPER(TRIM($DZ658)),1+OR(LEFT(UPPER(TRIM($DZ658)),1)="+",LEFT(UPPER(TRIM($DZ658)),1)="-"),999),"E+","E"),"E-","E"))=LEN(SUBSTITUTE(SUBSTITUTE(SUBSTITUTE(SUBSTITUTE(MID(UPPER(TRIM($DZ658)),1+OR(LEFT(UPPER(TRIM($DZ658)),1)="+",LEFT(UPPER(TRIM($DZ658)),1)="-"),999),"E+","E"),"E-","E"),"+",""),"-","")),LEN(UPPER(TRIM($DZ658)))-LEN(SUBSTITUTE(UPPER(TRIM($DZ658)),"E",""))&lt;2,LEN(UPPER(TRIM($DZ658)))-LEN(SUBSTITUTE(UPPER(TRIM($DZ658)),".",""))&lt;2,IFERROR(FIND(".",UPPER(TRIM($DZ658))),0)&lt;IFERROR(FIND("E",UPPER(TRIM($DZ658))),999)),ISNUMBER(VALUE(TRIM($DZ658)))),VALUE(TRIM($DZ658)),"")))),""))</f>
        <v/>
      </c>
      <c r="EB658">
        <f>IF($DM658=0,"",IF($L$18=0,"",IFERROR(IF(UPPER(TRIM(SUBSTITUTE(SUBSTITUTE(SUBSTITUTE(SUBSTITUTE(INDEX(PASTE_ALL,$DF658,$L$18)," "," "),CHAR(9)," "),CHAR(10)," "),CHAR(13)," ")))="READY","Ready",IF(UPPER(TRIM(SUBSTITUTE(SUBSTITUTE(SUBSTITUTE(SUBSTITUTE(INDEX(PASTE_ALL,$DF658,$L$18)," "," "),CHAR(9)," "),CHAR(10)," "),CHAR(13)," ")))="PM","PM",IF(OR(UPPER(TRIM(SUBSTITUTE(SUBSTITUTE(SUBSTITUTE(SUBSTITUTE(INDEX(PASTE_ALL,$DF658,$L$18)," "," "),CHAR(9)," "),CHAR(10)," "),CHAR(13)," ")))="OT",UPPER(TRIM(SUBSTITUTE(SUBSTITUTE(SUBSTITUTE(SUBSTITUTE(INDEX(PASTE_ALL,$DF658,$L$18)," "," "),CHAR(9)," "),CHAR(10)," "),CHAR(13)," ")))="OVERTIME",UPPER(TRIM(SUBSTITUTE(SUBSTITUTE(SUBSTITUTE(SUBSTITUTE(INDEX(PASTE_ALL,$DF658,$L$18)," "," "),CHAR(9)," "),CHAR(10)," "),CHAR(13)," ")))="TRIAL"),"OT",TRIM(SUBSTITUTE(SUBSTITUTE(SUBSTITUTE(SUBSTITUTE(INDEX(PASTE_ALL,$DF658,$L$18)," "," "),CHAR(9)," "),CHAR(10)," "),CHAR(13)," "))))),"")))</f>
        <v/>
      </c>
      <c r="EC658">
        <f>IF($DM658=0,"",IF($L$19=0,"",IFERROR(IF(ISNUMBER(INDEX(PASTE_ALL,$DF658,$L$19)),INDEX(PASTE_ALL,$DF658,$L$19),TRIM(SUBSTITUTE(SUBSTITUTE(SUBSTITUTE(SUBSTITUTE(INDEX(PASTE_ALL,$DF658,$L$19)," "," "),CHAR(9)," "),CHAR(10)," "),CHAR(13)," "))),"")))</f>
        <v/>
      </c>
      <c r="ED658">
        <f>IF($DM658=0,"",MATCH(1,INDEX(EXACT($DH$5:DH658,$DH658)*$DM$5:DM658,0),0))</f>
        <v/>
      </c>
      <c r="EE658">
        <f>IF($DM658=0,0,IF($ED658=$DE658,1,0))</f>
        <v/>
      </c>
      <c r="EF658">
        <f>EF657+$EE658</f>
        <v/>
      </c>
      <c r="EG658">
        <f>IF($DM658=0,"",INDEX($EF$5:$EF$1003,$ED658))</f>
        <v/>
      </c>
      <c r="EH658">
        <f>IF($DM658=0,"",IF($DO658&lt;&gt;"","",IFERROR(LOOKUP(2,1/(($EG$4:EG657=$EG658)*($DO$4:DO657&lt;&gt;"")),$DO$4:DO657),"")))</f>
        <v/>
      </c>
      <c r="EI658">
        <f>IF($DM658=0,"",IF($DO658&lt;&gt;"",$DO658,$EH658))</f>
        <v/>
      </c>
      <c r="EJ658">
        <f>IF($DM658=0,"",IF($EI658="",0,IF(OR(ISNUMBER($EI658),AND(AND(SUBSTITUTE(SUBSTITUTE(SUBSTITUTE(SUBSTITUTE(SUBSTITUTE(SUBSTITUTE(SUBSTITUTE(SUBSTITUTE(SUBSTITUTE(SUBSTITUTE(SUBSTITUTE(SUBSTITUTE(SUBSTITUTE(SUBSTITUTE(UPPER($EI658),"0",""),"1",""),"2",""),"3",""),"4",""),"5",""),"6",""),"7",""),"8",""),"9",""),".",""),"+",""),"-",""),"E","")="",LEN(SUBSTITUTE(SUBSTITUTE(MID(UPPER($EI658),1+OR(LEFT(UPPER($EI658),1)="+",LEFT(UPPER($EI658),1)="-"),999),"E+","E"),"E-","E"))=LEN(SUBSTITUTE(SUBSTITUTE(SUBSTITUTE(SUBSTITUTE(MID(UPPER($EI658),1+OR(LEFT(UPPER($EI658),1)="+",LEFT(UPPER($EI658),1)="-"),999),"E+","E"),"E-","E"),"+",""),"-","")),LEN(UPPER($EI658))-LEN(SUBSTITUTE(UPPER($EI658),"E",""))&lt;2,LEN(UPPER($EI658))-LEN(SUBSTITUTE(UPPER($EI658),".",""))&lt;2,IFERROR(FIND(".",UPPER($EI658)),0)&lt;IFERROR(FIND("E",UPPER($EI658)),999)),ISNUMBER(VALUE($EI658)))),1,2)))</f>
        <v/>
      </c>
      <c r="EK658">
        <f>IF($DM658=0,"",IF($EJ658=1,IF(ISNUMBER($EI658),$EI658,VALUE($EI658)),IF($EJ658=2,$DE658,0)))</f>
        <v/>
      </c>
      <c r="EL658">
        <f>IF($DM658=0,"",COUNTIF($EG$5:$EG$1003,"&lt;"&amp;$EG658)+SUMPRODUCT(($EG$5:$EG$1003=$EG658)*(($EJ$5:$EJ$1003&lt;$EJ658)+($EJ$5:$EJ$1003=$EJ658)*(($EK$5:$EK$1003&lt;$EK658)+($EK$5:$EK$1003=$EK658)*($DE$5:$DE$1003&lt;$DE658))))+1)</f>
        <v/>
      </c>
      <c r="EM658">
        <f>IF($DM658=0,"",$EL658+$EG658-1)</f>
        <v/>
      </c>
      <c r="EN658">
        <f>IF($DM658=0,0,IFERROR(MATCH(1,INDEX(--(TRIM(SUBSTITUTE(SUBSTITUTE(SUBSTITUTE(SUBSTITUTE(LINES_NAME&amp;""," "," "),CHAR(9)," "),CHAR(10)," "),CHAR(13)," "))=$DH658),0),0),0))</f>
        <v/>
      </c>
      <c r="EO658">
        <f>IF($EN658=0,0,IF(OR(UPPER(TRIM(INDEX(LINES_SCHEDULED,$EN658)&amp;""))="YES",UPPER(TRIM(INDEX(LINES_SCHEDULED,$EN658)&amp;""))="Y",UPPER(TRIM(INDEX(LINES_SCHEDULED,$EN658)&amp;""))="X"),1,0))</f>
        <v/>
      </c>
      <c r="EP658">
        <f>IF($DM658=0,"",IF(COUNTIFS($EG$5:$EG$1003,$EG658,$EB$5:$EB$1003,"Ready")&gt;0,"READY",IF(COUNTIFS($EG$5:$EG$1003,$EG658,$EB$5:$EB$1003,"PM")&gt;0,"PM",IF(COUNTIFS($EG$5:$EG$1003,$EG658,$EB$5:$EB$1003,"OT")&gt;0,"OT",""))))</f>
        <v/>
      </c>
      <c r="EQ658">
        <f>IF($EN658=0,"",UPPER(TRIM(INDEX(LINES_STATUS,$EN658)&amp;"")))</f>
        <v/>
      </c>
      <c r="ER658">
        <f>IF($DM658=0,"",IF(OR($EQ658="READY",$EQ658="PM",$EQ658="OT"),$EQ658,$EP658))</f>
        <v/>
      </c>
      <c r="ES658">
        <f>IF($DM658=0,"",IF(AND($DV658&lt;&gt;"",UPPER($DV658)&lt;&gt;"N"),"allergen",IF(ISNUMBER(SEARCH("oil",$DQ658)),"oil",IF(OR(EXACT($DS658,"A662"),EXACT($DS658,"A624")),"bulk",""))))</f>
        <v/>
      </c>
      <c r="ET658">
        <f>IF($DM658=0,"",IF(OR($EA658="",$EA658=0),"",$EA658/100))</f>
        <v/>
      </c>
      <c r="EU658">
        <f>IF(OR($ET658="",$DY658=""),"",INT($DY658*(1-$ET658)+0.5))</f>
        <v/>
      </c>
      <c r="EW658" t="n">
        <v>654</v>
      </c>
      <c r="EX658">
        <f>IFERROR(MATCH($EW658,$EM$5:$EM$1003,0),0)</f>
        <v/>
      </c>
      <c r="EY658">
        <f>IF($EW658&gt;$B$12,"",IF($EX658&gt;0,"row","spacer"))</f>
        <v/>
      </c>
      <c r="EZ658">
        <f>IF(AND($EY658="row",$EY657&lt;&gt;"row"),1,0)</f>
        <v/>
      </c>
      <c r="FA658">
        <f>IF(AND($EY658="row",$EY659&lt;&gt;"row"),1,0)</f>
        <v/>
      </c>
      <c r="FB658">
        <f>IF($EZ658=1,IFERROR(IF(ISNUMBER(INDEX(PASTE_ALL,INDEX($DF$5:$DF$1003,$EX658),$B$37)),INDEX(PASTE_ALL,INDEX($DF$5:$DF$1003,$EX658),$B$37),INDEX($DH$5:$DH$1003,$EX658)),INDEX($DH$5:$DH$1003,$EX658)),"")</f>
        <v/>
      </c>
      <c r="FC658">
        <f>IF($EY658="row",INDEX($ER$5:$ER$1003,$EX658),"")</f>
        <v/>
      </c>
      <c r="FD658">
        <f>IF($EY658="row",INDEX($DN$5:$DN$1003,$EX658),"")</f>
        <v/>
      </c>
      <c r="FE658">
        <f>IF($EY658="row",INDEX($DO$5:$DO$1003,$EX658),"")</f>
        <v/>
      </c>
      <c r="FF658">
        <f>IF($EY658="row",INDEX($DP$5:$DP$1003,$EX658),"")</f>
        <v/>
      </c>
      <c r="FG658">
        <f>IF($EY658="row",INDEX($DQ$5:$DQ$1003,$EX658),"")</f>
        <v/>
      </c>
      <c r="FH658">
        <f>IF($EY658="row",INDEX($DR$5:$DR$1003,$EX658),"")</f>
        <v/>
      </c>
      <c r="FI658">
        <f>IF($EY658="row",INDEX($DS$5:$DS$1003,$EX658),"")</f>
        <v/>
      </c>
      <c r="FJ658">
        <f>IF($EY658="row",INDEX($DT$5:$DT$1003,$EX658),"")</f>
        <v/>
      </c>
      <c r="FK658">
        <f>IF($EY658="row",INDEX($DU$5:$DU$1003,$EX658),"")</f>
        <v/>
      </c>
      <c r="FL658">
        <f>IF($EY658="row",INDEX($DV$5:$DV$1003,$EX658),"")</f>
        <v/>
      </c>
      <c r="FM658">
        <f>IF($EY658="row",INDEX($DW$5:$DW$1003,$EX658),"")</f>
        <v/>
      </c>
      <c r="FN658">
        <f>IF($EY658="row",INDEX($DY$5:$DY$1003,$EX658),"")</f>
        <v/>
      </c>
      <c r="FO658">
        <f>IF($EY658="row",INDEX($EA$5:$EA$1003,$EX658),"")</f>
        <v/>
      </c>
      <c r="FP658">
        <f>IF($EY658="row",INDEX($EC$5:$EC$1003,$EX658),"")</f>
        <v/>
      </c>
      <c r="FQ658">
        <f>IF($EY658="row",INDEX($ET$5:$ET$1003,$EX658),"")</f>
        <v/>
      </c>
      <c r="FR658">
        <f>IF($EY658="row",INDEX($EU$5:$EU$1003,$EX658),"")</f>
        <v/>
      </c>
      <c r="FS658">
        <f>IF(AND($EY658="row",$EY657="row"),IF(OR(INDEX($DT$5:$DT$1003,$EX657)="",INDEX($DT$5:$DT$1003,$EX658)=""),"",IF(NOT(EXACT(INDEX($DT$5:$DT$1003,$EX657),INDEX($DT$5:$DT$1003,$EX658))),"S4",IF(NOT(EXACT(INDEX($DS$5:$DS$1003,$EX657),INDEX($DS$5:$DS$1003,$EX658))),"S3",IF(NOT(EXACT(INDEX($DR$5:$DR$1003,$EX657),INDEX($DR$5:$DR$1003,$EX658))),"S1 Count Change","S1")))),"")</f>
        <v/>
      </c>
      <c r="FT658">
        <f>IF($EY658="row",INDEX($ES$5:$ES$1003,$EX658),"")</f>
        <v/>
      </c>
      <c r="FU658">
        <f>IF($EY658="row",INDEX($EO$5:$EO$1003,$EX658),0)</f>
        <v/>
      </c>
      <c r="FV658">
        <f>IF($FS658="S1 Count Change",1,0)</f>
        <v/>
      </c>
    </row>
    <row r="659">
      <c r="DA659" t="n">
        <v>655</v>
      </c>
      <c r="DB659">
        <f>IF($B$37=0,"",IFERROR(TRIM(SUBSTITUTE(SUBSTITUTE(SUBSTITUTE(SUBSTITUTE(INDEX(PASTE_ALL,655,$B$37)," "," "),CHAR(9)," "),CHAR(10)," "),CHAR(13)," ")),""))</f>
        <v/>
      </c>
      <c r="DC659">
        <f>IF(AND(655&gt;HEADER_ROW,UPPER(DB659)="LEGEND"),1,0)</f>
        <v/>
      </c>
      <c r="DE659" t="n">
        <v>655</v>
      </c>
      <c r="DF659">
        <f>HEADER_ROW+$DE659</f>
        <v/>
      </c>
      <c r="DG659">
        <f>IF(AND($DF659&lt;=1000,$DF659&lt;$B$8),1,0)</f>
        <v/>
      </c>
      <c r="DH659">
        <f>IF($DG659=1,IFERROR(INDEX($DB$5:$DB$1004,$DF659),""),"")</f>
        <v/>
      </c>
      <c r="DI659">
        <f>IF(AND($DG659=1,$DH659&lt;&gt;""),IFERROR(SUBSTITUTE(SUBSTITUTE(TRIM(SUBSTITUTE(SUBSTITUTE(SUBSTITUTE(SUBSTITUTE(IFERROR(INDEX(PASTE_ALL,$DF659,1)&amp;"","")&amp;"␟"&amp;IFERROR(INDEX(PASTE_ALL,$DF659,2)&amp;"","")&amp;"␟"&amp;IFERROR(INDEX(PASTE_ALL,$DF659,3)&amp;"","")&amp;"␟"&amp;IFERROR(INDEX(PASTE_ALL,$DF659,4)&amp;"","")&amp;"␟"&amp;IFERROR(INDEX(PASTE_ALL,$DF659,5)&amp;"","")&amp;"␟"&amp;IFERROR(INDEX(PASTE_ALL,$DF659,6)&amp;"","")&amp;"␟"&amp;IFERROR(INDEX(PASTE_ALL,$DF659,7)&amp;"","")&amp;"␟"&amp;IFERROR(INDEX(PASTE_ALL,$DF659,8)&amp;"","")&amp;"␟"&amp;IFERROR(INDEX(PASTE_ALL,$DF659,9)&amp;"","")&amp;"␟"&amp;IFERROR(INDEX(PASTE_ALL,$DF659,10)&amp;"","")&amp;"␟"&amp;IFERROR(INDEX(PASTE_ALL,$DF659,11)&amp;"","")&amp;"␟"&amp;IFERROR(INDEX(PASTE_ALL,$DF659,12)&amp;"","")&amp;"␟"&amp;IFERROR(INDEX(PASTE_ALL,$DF659,13)&amp;"","")&amp;"␟"&amp;IFERROR(INDEX(PASTE_ALL,$DF659,14)&amp;"","")&amp;"␟"&amp;IFERROR(INDEX(PASTE_ALL,$DF659,15)&amp;"","")&amp;"␟"&amp;IFERROR(INDEX(PASTE_ALL,$DF659,16)&amp;"","")&amp;"␟"&amp;IFERROR(INDEX(PASTE_ALL,$DF659,17)&amp;"","")&amp;"␟"&amp;IFERROR(INDEX(PASTE_ALL,$DF659,18)&amp;"","")&amp;"␟"&amp;IFERROR(INDEX(PASTE_ALL,$DF659,19)&amp;"","")&amp;"␟"&amp;IFERROR(INDEX(PASTE_ALL,$DF659,20)&amp;"","")&amp;"␟"&amp;IFERROR(INDEX(PASTE_ALL,$DF659,21)&amp;"","")&amp;"␟"&amp;IFERROR(INDEX(PASTE_ALL,$DF659,22)&amp;"","")&amp;"␟"&amp;IFERROR(INDEX(PASTE_ALL,$DF659,23)&amp;"","")&amp;"␟"&amp;IFERROR(INDEX(PASTE_ALL,$DF659,24)&amp;"","")&amp;"␟"&amp;IFERROR(INDEX(PASTE_ALL,$DF659,25)&amp;"","")&amp;"␟"&amp;IFERROR(INDEX(PASTE_ALL,$DF659,26)&amp;"","")&amp;"␟"&amp;IFERROR(INDEX(PASTE_ALL,$DF659,27)&amp;"","")&amp;"␟"&amp;IFERROR(INDEX(PASTE_ALL,$DF659,28)&amp;"","")&amp;"␟"&amp;IFERROR(INDEX(PASTE_ALL,$DF659,29)&amp;"","")&amp;"␟"&amp;IFERROR(INDEX(PASTE_ALL,$DF659,30)&amp;"","")&amp;"␟"&amp;IFERROR(INDEX(PASTE_ALL,$DF659,31)&amp;"","")&amp;"␟"&amp;IFERROR(INDEX(PASTE_ALL,$DF659,32)&amp;"","")&amp;"␟"&amp;IFERROR(INDEX(PASTE_ALL,$DF659,33)&amp;"","")&amp;"␟"&amp;IFERROR(INDEX(PASTE_ALL,$DF659,34)&amp;"","")&amp;"␟"&amp;IFERROR(INDEX(PASTE_ALL,$DF659,35)&amp;"","")&amp;"␟"&amp;IFERROR(INDEX(PASTE_ALL,$DF659,36)&amp;"","")&amp;"␟"&amp;IFERROR(INDEX(PASTE_ALL,$DF659,37)&amp;"","")&amp;"␟"&amp;IFERROR(INDEX(PASTE_ALL,$DF659,38)&amp;"","")&amp;"␟"&amp;IFERROR(INDEX(PASTE_ALL,$DF659,39)&amp;"","")&amp;"␟"&amp;IFERROR(INDEX(PASTE_ALL,$DF659,40)&amp;"","")&amp;"␟"&amp;IFERROR(INDEX(PASTE_ALL,$DF659,41)&amp;"","")&amp;"␟"&amp;IFERROR(INDEX(PASTE_ALL,$DF659,42)&amp;"","")&amp;"␟"&amp;IFERROR(INDEX(PASTE_ALL,$DF659,43)&amp;"","")&amp;"␟"&amp;IFERROR(INDEX(PASTE_ALL,$DF659,44)&amp;"","")&amp;"␟"&amp;IFERROR(INDEX(PASTE_ALL,$DF659,45)&amp;"","")&amp;"␟"&amp;IFERROR(INDEX(PASTE_ALL,$DF659,46)&amp;"","")&amp;"␟"&amp;IFERROR(INDEX(PASTE_ALL,$DF659,47)&amp;"","")&amp;"␟"&amp;IFERROR(INDEX(PASTE_ALL,$DF659,48)&amp;"","")&amp;"␟"&amp;IFERROR(INDEX(PASTE_ALL,$DF659,49)&amp;"","")&amp;"␟"&amp;IFERROR(INDEX(PASTE_ALL,$DF659,50)&amp;"","")&amp;"␟"&amp;IFERROR(INDEX(PASTE_ALL,$DF659,51)&amp;"","")&amp;"␟"&amp;IFERROR(INDEX(PASTE_ALL,$DF659,52)&amp;"","")&amp;"␟"&amp;IFERROR(INDEX(PASTE_ALL,$DF659,53)&amp;"","")&amp;"␟"&amp;IFERROR(INDEX(PASTE_ALL,$DF659,54)&amp;"","")&amp;"␟"&amp;IFERROR(INDEX(PASTE_ALL,$DF659,55)&amp;"","")&amp;"␟"&amp;IFERROR(INDEX(PASTE_ALL,$DF659,56)&amp;"","")&amp;"␟"&amp;IFERROR(INDEX(PASTE_ALL,$DF659,57)&amp;"","")&amp;"␟"&amp;IFERROR(INDEX(PASTE_ALL,$DF659,58)&amp;"","")&amp;"␟"&amp;IFERROR(INDEX(PASTE_ALL,$DF659,59)&amp;"","")&amp;"␟"&amp;IFERROR(INDEX(PASTE_ALL,$DF659,60)&amp;"","")," "," "),CHAR(9)," "),CHAR(10)," "),CHAR(13)," "))," ␟","␟"),"␟ ","␟"),"#"&amp;$DE659),"")</f>
        <v/>
      </c>
      <c r="DJ659">
        <f>IF($DI659="",0,IF(SUMPRODUCT(--EXACT($DI$4:DI658,$DI659))&gt;0,1,0))</f>
        <v/>
      </c>
      <c r="DK659">
        <f>IF(AND($DI659&lt;&gt;"",$DJ659=0),1,0)</f>
        <v/>
      </c>
      <c r="DL659">
        <f>DL658+$DK659</f>
        <v/>
      </c>
      <c r="DM659">
        <f>IF(AND($DK659=1,$DL659&lt;=600),1,0)</f>
        <v/>
      </c>
      <c r="DN659">
        <f>IF($DM659=0,"",IF($L$6=0,"",IFERROR(IF(ISNUMBER(INDEX(PASTE_ALL,$DF659,$L$6)),INDEX(PASTE_ALL,$DF659,$L$6),TRIM(SUBSTITUTE(SUBSTITUTE(SUBSTITUTE(SUBSTITUTE(INDEX(PASTE_ALL,$DF659,$L$6)," "," "),CHAR(9)," "),CHAR(10)," "),CHAR(13)," "))),"")))</f>
        <v/>
      </c>
      <c r="DO659">
        <f>IF($DM659=0,"",IF($L$7=0,"",IFERROR(IF(ISNUMBER(INDEX(PASTE_ALL,$DF659,$L$7)),INDEX(PASTE_ALL,$DF659,$L$7),TRIM(SUBSTITUTE(SUBSTITUTE(SUBSTITUTE(SUBSTITUTE(INDEX(PASTE_ALL,$DF659,$L$7)," "," "),CHAR(9)," "),CHAR(10)," "),CHAR(13)," "))),"")))</f>
        <v/>
      </c>
      <c r="DP659">
        <f>IF($DM659=0,"",IF($L$8=0,"",IFERROR(IF(ISNUMBER(INDEX(PASTE_ALL,$DF659,$L$8)),INDEX(PASTE_ALL,$DF659,$L$8),TRIM(SUBSTITUTE(SUBSTITUTE(SUBSTITUTE(SUBSTITUTE(INDEX(PASTE_ALL,$DF659,$L$8)," "," "),CHAR(9)," "),CHAR(10)," "),CHAR(13)," "))),"")))</f>
        <v/>
      </c>
      <c r="DQ659">
        <f>IF($DM659=0,"",IF($L$9=0,"",IFERROR(IF(ISNUMBER(INDEX(PASTE_ALL,$DF659,$L$9)),INDEX(PASTE_ALL,$DF659,$L$9),TRIM(SUBSTITUTE(SUBSTITUTE(SUBSTITUTE(SUBSTITUTE(INDEX(PASTE_ALL,$DF659,$L$9)," "," "),CHAR(9)," "),CHAR(10)," "),CHAR(13)," "))),"")))</f>
        <v/>
      </c>
      <c r="DR659">
        <f>IF($DM659=0,"",IF($L$10=0,"",IFERROR(IF(ISNUMBER(INDEX(PASTE_ALL,$DF659,$L$10)),INDEX(PASTE_ALL,$DF659,$L$10),TRIM(SUBSTITUTE(SUBSTITUTE(SUBSTITUTE(SUBSTITUTE(INDEX(PASTE_ALL,$DF659,$L$10)," "," "),CHAR(9)," "),CHAR(10)," "),CHAR(13)," "))),"")))</f>
        <v/>
      </c>
      <c r="DS659">
        <f>IF($DM659=0,"",IF($L$11=0,"",IFERROR(IF(ISNUMBER(INDEX(PASTE_ALL,$DF659,$L$11)),INDEX(PASTE_ALL,$DF659,$L$11),TRIM(SUBSTITUTE(SUBSTITUTE(SUBSTITUTE(SUBSTITUTE(INDEX(PASTE_ALL,$DF659,$L$11)," "," "),CHAR(9)," "),CHAR(10)," "),CHAR(13)," "))),"")))</f>
        <v/>
      </c>
      <c r="DT659">
        <f>IF($DM659=0,"",IF($L$12=0,"",IFERROR(IF(ISNUMBER(INDEX(PASTE_ALL,$DF659,$L$12)),INDEX(PASTE_ALL,$DF659,$L$12),TRIM(SUBSTITUTE(SUBSTITUTE(SUBSTITUTE(SUBSTITUTE(INDEX(PASTE_ALL,$DF659,$L$12)," "," "),CHAR(9)," "),CHAR(10)," "),CHAR(13)," "))),"")))</f>
        <v/>
      </c>
      <c r="DU659">
        <f>IF($DM659=0,"",IF($L$13=0,"",IFERROR(IF(ISNUMBER(INDEX(PASTE_ALL,$DF659,$L$13)),INDEX(PASTE_ALL,$DF659,$L$13),TRIM(SUBSTITUTE(SUBSTITUTE(SUBSTITUTE(SUBSTITUTE(INDEX(PASTE_ALL,$DF659,$L$13)," "," "),CHAR(9)," "),CHAR(10)," "),CHAR(13)," "))),"")))</f>
        <v/>
      </c>
      <c r="DV659">
        <f>IF($DM659=0,"",IF($L$14=0,"",IFERROR(IF(ISNUMBER(INDEX(PASTE_ALL,$DF659,$L$14)),INDEX(PASTE_ALL,$DF659,$L$14),TRIM(SUBSTITUTE(SUBSTITUTE(SUBSTITUTE(SUBSTITUTE(INDEX(PASTE_ALL,$DF659,$L$14)," "," "),CHAR(9)," "),CHAR(10)," "),CHAR(13)," "))),"")))</f>
        <v/>
      </c>
      <c r="DW659">
        <f>IF($DM659=0,"",IF($L$15=0,"",IFERROR(IF(ISNUMBER(INDEX(PASTE_ALL,$DF659,$L$15)),INDEX(PASTE_ALL,$DF659,$L$15),IF(SUMPRODUCT(--ISNUMBER(FIND({"A","B","C","D","E","F","G","H","I","J","K","L","M","N","O","P","Q","R","S","T","U","V","W","X","Y","Z","0","1","2","3","4","5","6","7","8","9"},UPPER(TRIM(SUBSTITUTE(SUBSTITUTE(SUBSTITUTE(SUBSTITUTE(INDEX(PASTE_ALL,$DF659,$L$15)," "," "),CHAR(9)," "),CHAR(10)," "),CHAR(13)," "))))))&gt;0,TRIM(SUBSTITUTE(SUBSTITUTE(SUBSTITUTE(SUBSTITUTE(INDEX(PASTE_ALL,$DF659,$L$15)," "," "),CHAR(9)," "),CHAR(10)," "),CHAR(13)," ")),"")),"")))</f>
        <v/>
      </c>
      <c r="DX659">
        <f>IF($DM659=0,"",IF($L$16=0,"",IFERROR(IF(ISNUMBER(INDEX(PASTE_ALL,$DF659,$L$16)),INDEX(PASTE_ALL,$DF659,$L$16),SUBSTITUTE(SUBSTITUTE(TRIM(SUBSTITUTE(SUBSTITUTE(SUBSTITUTE(SUBSTITUTE(INDEX(PASTE_ALL,$DF659,$L$16)," "," "),CHAR(9)," "),CHAR(10)," "),CHAR(13)," ")),",",""),"%","")),"")))</f>
        <v/>
      </c>
      <c r="DY659">
        <f>IF($DM659=0,"",IFERROR(IF(ISNUMBER($DX659),$DX659,IF($DX659="","",IF(TRIM($DX659)="",0,IF(AND(AND(SUBSTITUTE(SUBSTITUTE(SUBSTITUTE(SUBSTITUTE(SUBSTITUTE(SUBSTITUTE(SUBSTITUTE(SUBSTITUTE(SUBSTITUTE(SUBSTITUTE(SUBSTITUTE(SUBSTITUTE(SUBSTITUTE(SUBSTITUTE(UPPER(TRIM($DX659)),"0",""),"1",""),"2",""),"3",""),"4",""),"5",""),"6",""),"7",""),"8",""),"9",""),".",""),"+",""),"-",""),"E","")="",LEN(SUBSTITUTE(SUBSTITUTE(MID(UPPER(TRIM($DX659)),1+OR(LEFT(UPPER(TRIM($DX659)),1)="+",LEFT(UPPER(TRIM($DX659)),1)="-"),999),"E+","E"),"E-","E"))=LEN(SUBSTITUTE(SUBSTITUTE(SUBSTITUTE(SUBSTITUTE(MID(UPPER(TRIM($DX659)),1+OR(LEFT(UPPER(TRIM($DX659)),1)="+",LEFT(UPPER(TRIM($DX659)),1)="-"),999),"E+","E"),"E-","E"),"+",""),"-","")),LEN(UPPER(TRIM($DX659)))-LEN(SUBSTITUTE(UPPER(TRIM($DX659)),"E",""))&lt;2,LEN(UPPER(TRIM($DX659)))-LEN(SUBSTITUTE(UPPER(TRIM($DX659)),".",""))&lt;2,IFERROR(FIND(".",UPPER(TRIM($DX659))),0)&lt;IFERROR(FIND("E",UPPER(TRIM($DX659))),999)),ISNUMBER(VALUE(TRIM($DX659)))),VALUE(TRIM($DX659)),"")))),""))</f>
        <v/>
      </c>
      <c r="DZ659">
        <f>IF($DM659=0,"",IF($L$17=0,"",IFERROR(IF(ISNUMBER(INDEX(PASTE_ALL,$DF659,$L$17)),INDEX(PASTE_ALL,$DF659,$L$17),SUBSTITUTE(SUBSTITUTE(TRIM(SUBSTITUTE(SUBSTITUTE(SUBSTITUTE(SUBSTITUTE(INDEX(PASTE_ALL,$DF659,$L$17)," "," "),CHAR(9)," "),CHAR(10)," "),CHAR(13)," ")),",",""),"%","")),"")))</f>
        <v/>
      </c>
      <c r="EA659">
        <f>IF($DM659=0,"",IFERROR(IF(ISNUMBER($DZ659),$DZ659,IF($DZ659="","",IF(TRIM($DZ659)="",0,IF(AND(AND(SUBSTITUTE(SUBSTITUTE(SUBSTITUTE(SUBSTITUTE(SUBSTITUTE(SUBSTITUTE(SUBSTITUTE(SUBSTITUTE(SUBSTITUTE(SUBSTITUTE(SUBSTITUTE(SUBSTITUTE(SUBSTITUTE(SUBSTITUTE(UPPER(TRIM($DZ659)),"0",""),"1",""),"2",""),"3",""),"4",""),"5",""),"6",""),"7",""),"8",""),"9",""),".",""),"+",""),"-",""),"E","")="",LEN(SUBSTITUTE(SUBSTITUTE(MID(UPPER(TRIM($DZ659)),1+OR(LEFT(UPPER(TRIM($DZ659)),1)="+",LEFT(UPPER(TRIM($DZ659)),1)="-"),999),"E+","E"),"E-","E"))=LEN(SUBSTITUTE(SUBSTITUTE(SUBSTITUTE(SUBSTITUTE(MID(UPPER(TRIM($DZ659)),1+OR(LEFT(UPPER(TRIM($DZ659)),1)="+",LEFT(UPPER(TRIM($DZ659)),1)="-"),999),"E+","E"),"E-","E"),"+",""),"-","")),LEN(UPPER(TRIM($DZ659)))-LEN(SUBSTITUTE(UPPER(TRIM($DZ659)),"E",""))&lt;2,LEN(UPPER(TRIM($DZ659)))-LEN(SUBSTITUTE(UPPER(TRIM($DZ659)),".",""))&lt;2,IFERROR(FIND(".",UPPER(TRIM($DZ659))),0)&lt;IFERROR(FIND("E",UPPER(TRIM($DZ659))),999)),ISNUMBER(VALUE(TRIM($DZ659)))),VALUE(TRIM($DZ659)),"")))),""))</f>
        <v/>
      </c>
      <c r="EB659">
        <f>IF($DM659=0,"",IF($L$18=0,"",IFERROR(IF(UPPER(TRIM(SUBSTITUTE(SUBSTITUTE(SUBSTITUTE(SUBSTITUTE(INDEX(PASTE_ALL,$DF659,$L$18)," "," "),CHAR(9)," "),CHAR(10)," "),CHAR(13)," ")))="READY","Ready",IF(UPPER(TRIM(SUBSTITUTE(SUBSTITUTE(SUBSTITUTE(SUBSTITUTE(INDEX(PASTE_ALL,$DF659,$L$18)," "," "),CHAR(9)," "),CHAR(10)," "),CHAR(13)," ")))="PM","PM",IF(OR(UPPER(TRIM(SUBSTITUTE(SUBSTITUTE(SUBSTITUTE(SUBSTITUTE(INDEX(PASTE_ALL,$DF659,$L$18)," "," "),CHAR(9)," "),CHAR(10)," "),CHAR(13)," ")))="OT",UPPER(TRIM(SUBSTITUTE(SUBSTITUTE(SUBSTITUTE(SUBSTITUTE(INDEX(PASTE_ALL,$DF659,$L$18)," "," "),CHAR(9)," "),CHAR(10)," "),CHAR(13)," ")))="OVERTIME",UPPER(TRIM(SUBSTITUTE(SUBSTITUTE(SUBSTITUTE(SUBSTITUTE(INDEX(PASTE_ALL,$DF659,$L$18)," "," "),CHAR(9)," "),CHAR(10)," "),CHAR(13)," ")))="TRIAL"),"OT",TRIM(SUBSTITUTE(SUBSTITUTE(SUBSTITUTE(SUBSTITUTE(INDEX(PASTE_ALL,$DF659,$L$18)," "," "),CHAR(9)," "),CHAR(10)," "),CHAR(13)," "))))),"")))</f>
        <v/>
      </c>
      <c r="EC659">
        <f>IF($DM659=0,"",IF($L$19=0,"",IFERROR(IF(ISNUMBER(INDEX(PASTE_ALL,$DF659,$L$19)),INDEX(PASTE_ALL,$DF659,$L$19),TRIM(SUBSTITUTE(SUBSTITUTE(SUBSTITUTE(SUBSTITUTE(INDEX(PASTE_ALL,$DF659,$L$19)," "," "),CHAR(9)," "),CHAR(10)," "),CHAR(13)," "))),"")))</f>
        <v/>
      </c>
      <c r="ED659">
        <f>IF($DM659=0,"",MATCH(1,INDEX(EXACT($DH$5:DH659,$DH659)*$DM$5:DM659,0),0))</f>
        <v/>
      </c>
      <c r="EE659">
        <f>IF($DM659=0,0,IF($ED659=$DE659,1,0))</f>
        <v/>
      </c>
      <c r="EF659">
        <f>EF658+$EE659</f>
        <v/>
      </c>
      <c r="EG659">
        <f>IF($DM659=0,"",INDEX($EF$5:$EF$1003,$ED659))</f>
        <v/>
      </c>
      <c r="EH659">
        <f>IF($DM659=0,"",IF($DO659&lt;&gt;"","",IFERROR(LOOKUP(2,1/(($EG$4:EG658=$EG659)*($DO$4:DO658&lt;&gt;"")),$DO$4:DO658),"")))</f>
        <v/>
      </c>
      <c r="EI659">
        <f>IF($DM659=0,"",IF($DO659&lt;&gt;"",$DO659,$EH659))</f>
        <v/>
      </c>
      <c r="EJ659">
        <f>IF($DM659=0,"",IF($EI659="",0,IF(OR(ISNUMBER($EI659),AND(AND(SUBSTITUTE(SUBSTITUTE(SUBSTITUTE(SUBSTITUTE(SUBSTITUTE(SUBSTITUTE(SUBSTITUTE(SUBSTITUTE(SUBSTITUTE(SUBSTITUTE(SUBSTITUTE(SUBSTITUTE(SUBSTITUTE(SUBSTITUTE(UPPER($EI659),"0",""),"1",""),"2",""),"3",""),"4",""),"5",""),"6",""),"7",""),"8",""),"9",""),".",""),"+",""),"-",""),"E","")="",LEN(SUBSTITUTE(SUBSTITUTE(MID(UPPER($EI659),1+OR(LEFT(UPPER($EI659),1)="+",LEFT(UPPER($EI659),1)="-"),999),"E+","E"),"E-","E"))=LEN(SUBSTITUTE(SUBSTITUTE(SUBSTITUTE(SUBSTITUTE(MID(UPPER($EI659),1+OR(LEFT(UPPER($EI659),1)="+",LEFT(UPPER($EI659),1)="-"),999),"E+","E"),"E-","E"),"+",""),"-","")),LEN(UPPER($EI659))-LEN(SUBSTITUTE(UPPER($EI659),"E",""))&lt;2,LEN(UPPER($EI659))-LEN(SUBSTITUTE(UPPER($EI659),".",""))&lt;2,IFERROR(FIND(".",UPPER($EI659)),0)&lt;IFERROR(FIND("E",UPPER($EI659)),999)),ISNUMBER(VALUE($EI659)))),1,2)))</f>
        <v/>
      </c>
      <c r="EK659">
        <f>IF($DM659=0,"",IF($EJ659=1,IF(ISNUMBER($EI659),$EI659,VALUE($EI659)),IF($EJ659=2,$DE659,0)))</f>
        <v/>
      </c>
      <c r="EL659">
        <f>IF($DM659=0,"",COUNTIF($EG$5:$EG$1003,"&lt;"&amp;$EG659)+SUMPRODUCT(($EG$5:$EG$1003=$EG659)*(($EJ$5:$EJ$1003&lt;$EJ659)+($EJ$5:$EJ$1003=$EJ659)*(($EK$5:$EK$1003&lt;$EK659)+($EK$5:$EK$1003=$EK659)*($DE$5:$DE$1003&lt;$DE659))))+1)</f>
        <v/>
      </c>
      <c r="EM659">
        <f>IF($DM659=0,"",$EL659+$EG659-1)</f>
        <v/>
      </c>
      <c r="EN659">
        <f>IF($DM659=0,0,IFERROR(MATCH(1,INDEX(--(TRIM(SUBSTITUTE(SUBSTITUTE(SUBSTITUTE(SUBSTITUTE(LINES_NAME&amp;""," "," "),CHAR(9)," "),CHAR(10)," "),CHAR(13)," "))=$DH659),0),0),0))</f>
        <v/>
      </c>
      <c r="EO659">
        <f>IF($EN659=0,0,IF(OR(UPPER(TRIM(INDEX(LINES_SCHEDULED,$EN659)&amp;""))="YES",UPPER(TRIM(INDEX(LINES_SCHEDULED,$EN659)&amp;""))="Y",UPPER(TRIM(INDEX(LINES_SCHEDULED,$EN659)&amp;""))="X"),1,0))</f>
        <v/>
      </c>
      <c r="EP659">
        <f>IF($DM659=0,"",IF(COUNTIFS($EG$5:$EG$1003,$EG659,$EB$5:$EB$1003,"Ready")&gt;0,"READY",IF(COUNTIFS($EG$5:$EG$1003,$EG659,$EB$5:$EB$1003,"PM")&gt;0,"PM",IF(COUNTIFS($EG$5:$EG$1003,$EG659,$EB$5:$EB$1003,"OT")&gt;0,"OT",""))))</f>
        <v/>
      </c>
      <c r="EQ659">
        <f>IF($EN659=0,"",UPPER(TRIM(INDEX(LINES_STATUS,$EN659)&amp;"")))</f>
        <v/>
      </c>
      <c r="ER659">
        <f>IF($DM659=0,"",IF(OR($EQ659="READY",$EQ659="PM",$EQ659="OT"),$EQ659,$EP659))</f>
        <v/>
      </c>
      <c r="ES659">
        <f>IF($DM659=0,"",IF(AND($DV659&lt;&gt;"",UPPER($DV659)&lt;&gt;"N"),"allergen",IF(ISNUMBER(SEARCH("oil",$DQ659)),"oil",IF(OR(EXACT($DS659,"A662"),EXACT($DS659,"A624")),"bulk",""))))</f>
        <v/>
      </c>
      <c r="ET659">
        <f>IF($DM659=0,"",IF(OR($EA659="",$EA659=0),"",$EA659/100))</f>
        <v/>
      </c>
      <c r="EU659">
        <f>IF(OR($ET659="",$DY659=""),"",INT($DY659*(1-$ET659)+0.5))</f>
        <v/>
      </c>
      <c r="EW659" t="n">
        <v>655</v>
      </c>
      <c r="EX659">
        <f>IFERROR(MATCH($EW659,$EM$5:$EM$1003,0),0)</f>
        <v/>
      </c>
      <c r="EY659">
        <f>IF($EW659&gt;$B$12,"",IF($EX659&gt;0,"row","spacer"))</f>
        <v/>
      </c>
      <c r="EZ659">
        <f>IF(AND($EY659="row",$EY658&lt;&gt;"row"),1,0)</f>
        <v/>
      </c>
      <c r="FA659">
        <f>IF(AND($EY659="row",$EY660&lt;&gt;"row"),1,0)</f>
        <v/>
      </c>
      <c r="FB659">
        <f>IF($EZ659=1,IFERROR(IF(ISNUMBER(INDEX(PASTE_ALL,INDEX($DF$5:$DF$1003,$EX659),$B$37)),INDEX(PASTE_ALL,INDEX($DF$5:$DF$1003,$EX659),$B$37),INDEX($DH$5:$DH$1003,$EX659)),INDEX($DH$5:$DH$1003,$EX659)),"")</f>
        <v/>
      </c>
      <c r="FC659">
        <f>IF($EY659="row",INDEX($ER$5:$ER$1003,$EX659),"")</f>
        <v/>
      </c>
      <c r="FD659">
        <f>IF($EY659="row",INDEX($DN$5:$DN$1003,$EX659),"")</f>
        <v/>
      </c>
      <c r="FE659">
        <f>IF($EY659="row",INDEX($DO$5:$DO$1003,$EX659),"")</f>
        <v/>
      </c>
      <c r="FF659">
        <f>IF($EY659="row",INDEX($DP$5:$DP$1003,$EX659),"")</f>
        <v/>
      </c>
      <c r="FG659">
        <f>IF($EY659="row",INDEX($DQ$5:$DQ$1003,$EX659),"")</f>
        <v/>
      </c>
      <c r="FH659">
        <f>IF($EY659="row",INDEX($DR$5:$DR$1003,$EX659),"")</f>
        <v/>
      </c>
      <c r="FI659">
        <f>IF($EY659="row",INDEX($DS$5:$DS$1003,$EX659),"")</f>
        <v/>
      </c>
      <c r="FJ659">
        <f>IF($EY659="row",INDEX($DT$5:$DT$1003,$EX659),"")</f>
        <v/>
      </c>
      <c r="FK659">
        <f>IF($EY659="row",INDEX($DU$5:$DU$1003,$EX659),"")</f>
        <v/>
      </c>
      <c r="FL659">
        <f>IF($EY659="row",INDEX($DV$5:$DV$1003,$EX659),"")</f>
        <v/>
      </c>
      <c r="FM659">
        <f>IF($EY659="row",INDEX($DW$5:$DW$1003,$EX659),"")</f>
        <v/>
      </c>
      <c r="FN659">
        <f>IF($EY659="row",INDEX($DY$5:$DY$1003,$EX659),"")</f>
        <v/>
      </c>
      <c r="FO659">
        <f>IF($EY659="row",INDEX($EA$5:$EA$1003,$EX659),"")</f>
        <v/>
      </c>
      <c r="FP659">
        <f>IF($EY659="row",INDEX($EC$5:$EC$1003,$EX659),"")</f>
        <v/>
      </c>
      <c r="FQ659">
        <f>IF($EY659="row",INDEX($ET$5:$ET$1003,$EX659),"")</f>
        <v/>
      </c>
      <c r="FR659">
        <f>IF($EY659="row",INDEX($EU$5:$EU$1003,$EX659),"")</f>
        <v/>
      </c>
      <c r="FS659">
        <f>IF(AND($EY659="row",$EY658="row"),IF(OR(INDEX($DT$5:$DT$1003,$EX658)="",INDEX($DT$5:$DT$1003,$EX659)=""),"",IF(NOT(EXACT(INDEX($DT$5:$DT$1003,$EX658),INDEX($DT$5:$DT$1003,$EX659))),"S4",IF(NOT(EXACT(INDEX($DS$5:$DS$1003,$EX658),INDEX($DS$5:$DS$1003,$EX659))),"S3",IF(NOT(EXACT(INDEX($DR$5:$DR$1003,$EX658),INDEX($DR$5:$DR$1003,$EX659))),"S1 Count Change","S1")))),"")</f>
        <v/>
      </c>
      <c r="FT659">
        <f>IF($EY659="row",INDEX($ES$5:$ES$1003,$EX659),"")</f>
        <v/>
      </c>
      <c r="FU659">
        <f>IF($EY659="row",INDEX($EO$5:$EO$1003,$EX659),0)</f>
        <v/>
      </c>
      <c r="FV659">
        <f>IF($FS659="S1 Count Change",1,0)</f>
        <v/>
      </c>
    </row>
    <row r="660">
      <c r="DA660" t="n">
        <v>656</v>
      </c>
      <c r="DB660">
        <f>IF($B$37=0,"",IFERROR(TRIM(SUBSTITUTE(SUBSTITUTE(SUBSTITUTE(SUBSTITUTE(INDEX(PASTE_ALL,656,$B$37)," "," "),CHAR(9)," "),CHAR(10)," "),CHAR(13)," ")),""))</f>
        <v/>
      </c>
      <c r="DC660">
        <f>IF(AND(656&gt;HEADER_ROW,UPPER(DB660)="LEGEND"),1,0)</f>
        <v/>
      </c>
      <c r="DE660" t="n">
        <v>656</v>
      </c>
      <c r="DF660">
        <f>HEADER_ROW+$DE660</f>
        <v/>
      </c>
      <c r="DG660">
        <f>IF(AND($DF660&lt;=1000,$DF660&lt;$B$8),1,0)</f>
        <v/>
      </c>
      <c r="DH660">
        <f>IF($DG660=1,IFERROR(INDEX($DB$5:$DB$1004,$DF660),""),"")</f>
        <v/>
      </c>
      <c r="DI660">
        <f>IF(AND($DG660=1,$DH660&lt;&gt;""),IFERROR(SUBSTITUTE(SUBSTITUTE(TRIM(SUBSTITUTE(SUBSTITUTE(SUBSTITUTE(SUBSTITUTE(IFERROR(INDEX(PASTE_ALL,$DF660,1)&amp;"","")&amp;"␟"&amp;IFERROR(INDEX(PASTE_ALL,$DF660,2)&amp;"","")&amp;"␟"&amp;IFERROR(INDEX(PASTE_ALL,$DF660,3)&amp;"","")&amp;"␟"&amp;IFERROR(INDEX(PASTE_ALL,$DF660,4)&amp;"","")&amp;"␟"&amp;IFERROR(INDEX(PASTE_ALL,$DF660,5)&amp;"","")&amp;"␟"&amp;IFERROR(INDEX(PASTE_ALL,$DF660,6)&amp;"","")&amp;"␟"&amp;IFERROR(INDEX(PASTE_ALL,$DF660,7)&amp;"","")&amp;"␟"&amp;IFERROR(INDEX(PASTE_ALL,$DF660,8)&amp;"","")&amp;"␟"&amp;IFERROR(INDEX(PASTE_ALL,$DF660,9)&amp;"","")&amp;"␟"&amp;IFERROR(INDEX(PASTE_ALL,$DF660,10)&amp;"","")&amp;"␟"&amp;IFERROR(INDEX(PASTE_ALL,$DF660,11)&amp;"","")&amp;"␟"&amp;IFERROR(INDEX(PASTE_ALL,$DF660,12)&amp;"","")&amp;"␟"&amp;IFERROR(INDEX(PASTE_ALL,$DF660,13)&amp;"","")&amp;"␟"&amp;IFERROR(INDEX(PASTE_ALL,$DF660,14)&amp;"","")&amp;"␟"&amp;IFERROR(INDEX(PASTE_ALL,$DF660,15)&amp;"","")&amp;"␟"&amp;IFERROR(INDEX(PASTE_ALL,$DF660,16)&amp;"","")&amp;"␟"&amp;IFERROR(INDEX(PASTE_ALL,$DF660,17)&amp;"","")&amp;"␟"&amp;IFERROR(INDEX(PASTE_ALL,$DF660,18)&amp;"","")&amp;"␟"&amp;IFERROR(INDEX(PASTE_ALL,$DF660,19)&amp;"","")&amp;"␟"&amp;IFERROR(INDEX(PASTE_ALL,$DF660,20)&amp;"","")&amp;"␟"&amp;IFERROR(INDEX(PASTE_ALL,$DF660,21)&amp;"","")&amp;"␟"&amp;IFERROR(INDEX(PASTE_ALL,$DF660,22)&amp;"","")&amp;"␟"&amp;IFERROR(INDEX(PASTE_ALL,$DF660,23)&amp;"","")&amp;"␟"&amp;IFERROR(INDEX(PASTE_ALL,$DF660,24)&amp;"","")&amp;"␟"&amp;IFERROR(INDEX(PASTE_ALL,$DF660,25)&amp;"","")&amp;"␟"&amp;IFERROR(INDEX(PASTE_ALL,$DF660,26)&amp;"","")&amp;"␟"&amp;IFERROR(INDEX(PASTE_ALL,$DF660,27)&amp;"","")&amp;"␟"&amp;IFERROR(INDEX(PASTE_ALL,$DF660,28)&amp;"","")&amp;"␟"&amp;IFERROR(INDEX(PASTE_ALL,$DF660,29)&amp;"","")&amp;"␟"&amp;IFERROR(INDEX(PASTE_ALL,$DF660,30)&amp;"","")&amp;"␟"&amp;IFERROR(INDEX(PASTE_ALL,$DF660,31)&amp;"","")&amp;"␟"&amp;IFERROR(INDEX(PASTE_ALL,$DF660,32)&amp;"","")&amp;"␟"&amp;IFERROR(INDEX(PASTE_ALL,$DF660,33)&amp;"","")&amp;"␟"&amp;IFERROR(INDEX(PASTE_ALL,$DF660,34)&amp;"","")&amp;"␟"&amp;IFERROR(INDEX(PASTE_ALL,$DF660,35)&amp;"","")&amp;"␟"&amp;IFERROR(INDEX(PASTE_ALL,$DF660,36)&amp;"","")&amp;"␟"&amp;IFERROR(INDEX(PASTE_ALL,$DF660,37)&amp;"","")&amp;"␟"&amp;IFERROR(INDEX(PASTE_ALL,$DF660,38)&amp;"","")&amp;"␟"&amp;IFERROR(INDEX(PASTE_ALL,$DF660,39)&amp;"","")&amp;"␟"&amp;IFERROR(INDEX(PASTE_ALL,$DF660,40)&amp;"","")&amp;"␟"&amp;IFERROR(INDEX(PASTE_ALL,$DF660,41)&amp;"","")&amp;"␟"&amp;IFERROR(INDEX(PASTE_ALL,$DF660,42)&amp;"","")&amp;"␟"&amp;IFERROR(INDEX(PASTE_ALL,$DF660,43)&amp;"","")&amp;"␟"&amp;IFERROR(INDEX(PASTE_ALL,$DF660,44)&amp;"","")&amp;"␟"&amp;IFERROR(INDEX(PASTE_ALL,$DF660,45)&amp;"","")&amp;"␟"&amp;IFERROR(INDEX(PASTE_ALL,$DF660,46)&amp;"","")&amp;"␟"&amp;IFERROR(INDEX(PASTE_ALL,$DF660,47)&amp;"","")&amp;"␟"&amp;IFERROR(INDEX(PASTE_ALL,$DF660,48)&amp;"","")&amp;"␟"&amp;IFERROR(INDEX(PASTE_ALL,$DF660,49)&amp;"","")&amp;"␟"&amp;IFERROR(INDEX(PASTE_ALL,$DF660,50)&amp;"","")&amp;"␟"&amp;IFERROR(INDEX(PASTE_ALL,$DF660,51)&amp;"","")&amp;"␟"&amp;IFERROR(INDEX(PASTE_ALL,$DF660,52)&amp;"","")&amp;"␟"&amp;IFERROR(INDEX(PASTE_ALL,$DF660,53)&amp;"","")&amp;"␟"&amp;IFERROR(INDEX(PASTE_ALL,$DF660,54)&amp;"","")&amp;"␟"&amp;IFERROR(INDEX(PASTE_ALL,$DF660,55)&amp;"","")&amp;"␟"&amp;IFERROR(INDEX(PASTE_ALL,$DF660,56)&amp;"","")&amp;"␟"&amp;IFERROR(INDEX(PASTE_ALL,$DF660,57)&amp;"","")&amp;"␟"&amp;IFERROR(INDEX(PASTE_ALL,$DF660,58)&amp;"","")&amp;"␟"&amp;IFERROR(INDEX(PASTE_ALL,$DF660,59)&amp;"","")&amp;"␟"&amp;IFERROR(INDEX(PASTE_ALL,$DF660,60)&amp;"","")," "," "),CHAR(9)," "),CHAR(10)," "),CHAR(13)," "))," ␟","␟"),"␟ ","␟"),"#"&amp;$DE660),"")</f>
        <v/>
      </c>
      <c r="DJ660">
        <f>IF($DI660="",0,IF(SUMPRODUCT(--EXACT($DI$4:DI659,$DI660))&gt;0,1,0))</f>
        <v/>
      </c>
      <c r="DK660">
        <f>IF(AND($DI660&lt;&gt;"",$DJ660=0),1,0)</f>
        <v/>
      </c>
      <c r="DL660">
        <f>DL659+$DK660</f>
        <v/>
      </c>
      <c r="DM660">
        <f>IF(AND($DK660=1,$DL660&lt;=600),1,0)</f>
        <v/>
      </c>
      <c r="DN660">
        <f>IF($DM660=0,"",IF($L$6=0,"",IFERROR(IF(ISNUMBER(INDEX(PASTE_ALL,$DF660,$L$6)),INDEX(PASTE_ALL,$DF660,$L$6),TRIM(SUBSTITUTE(SUBSTITUTE(SUBSTITUTE(SUBSTITUTE(INDEX(PASTE_ALL,$DF660,$L$6)," "," "),CHAR(9)," "),CHAR(10)," "),CHAR(13)," "))),"")))</f>
        <v/>
      </c>
      <c r="DO660">
        <f>IF($DM660=0,"",IF($L$7=0,"",IFERROR(IF(ISNUMBER(INDEX(PASTE_ALL,$DF660,$L$7)),INDEX(PASTE_ALL,$DF660,$L$7),TRIM(SUBSTITUTE(SUBSTITUTE(SUBSTITUTE(SUBSTITUTE(INDEX(PASTE_ALL,$DF660,$L$7)," "," "),CHAR(9)," "),CHAR(10)," "),CHAR(13)," "))),"")))</f>
        <v/>
      </c>
      <c r="DP660">
        <f>IF($DM660=0,"",IF($L$8=0,"",IFERROR(IF(ISNUMBER(INDEX(PASTE_ALL,$DF660,$L$8)),INDEX(PASTE_ALL,$DF660,$L$8),TRIM(SUBSTITUTE(SUBSTITUTE(SUBSTITUTE(SUBSTITUTE(INDEX(PASTE_ALL,$DF660,$L$8)," "," "),CHAR(9)," "),CHAR(10)," "),CHAR(13)," "))),"")))</f>
        <v/>
      </c>
      <c r="DQ660">
        <f>IF($DM660=0,"",IF($L$9=0,"",IFERROR(IF(ISNUMBER(INDEX(PASTE_ALL,$DF660,$L$9)),INDEX(PASTE_ALL,$DF660,$L$9),TRIM(SUBSTITUTE(SUBSTITUTE(SUBSTITUTE(SUBSTITUTE(INDEX(PASTE_ALL,$DF660,$L$9)," "," "),CHAR(9)," "),CHAR(10)," "),CHAR(13)," "))),"")))</f>
        <v/>
      </c>
      <c r="DR660">
        <f>IF($DM660=0,"",IF($L$10=0,"",IFERROR(IF(ISNUMBER(INDEX(PASTE_ALL,$DF660,$L$10)),INDEX(PASTE_ALL,$DF660,$L$10),TRIM(SUBSTITUTE(SUBSTITUTE(SUBSTITUTE(SUBSTITUTE(INDEX(PASTE_ALL,$DF660,$L$10)," "," "),CHAR(9)," "),CHAR(10)," "),CHAR(13)," "))),"")))</f>
        <v/>
      </c>
      <c r="DS660">
        <f>IF($DM660=0,"",IF($L$11=0,"",IFERROR(IF(ISNUMBER(INDEX(PASTE_ALL,$DF660,$L$11)),INDEX(PASTE_ALL,$DF660,$L$11),TRIM(SUBSTITUTE(SUBSTITUTE(SUBSTITUTE(SUBSTITUTE(INDEX(PASTE_ALL,$DF660,$L$11)," "," "),CHAR(9)," "),CHAR(10)," "),CHAR(13)," "))),"")))</f>
        <v/>
      </c>
      <c r="DT660">
        <f>IF($DM660=0,"",IF($L$12=0,"",IFERROR(IF(ISNUMBER(INDEX(PASTE_ALL,$DF660,$L$12)),INDEX(PASTE_ALL,$DF660,$L$12),TRIM(SUBSTITUTE(SUBSTITUTE(SUBSTITUTE(SUBSTITUTE(INDEX(PASTE_ALL,$DF660,$L$12)," "," "),CHAR(9)," "),CHAR(10)," "),CHAR(13)," "))),"")))</f>
        <v/>
      </c>
      <c r="DU660">
        <f>IF($DM660=0,"",IF($L$13=0,"",IFERROR(IF(ISNUMBER(INDEX(PASTE_ALL,$DF660,$L$13)),INDEX(PASTE_ALL,$DF660,$L$13),TRIM(SUBSTITUTE(SUBSTITUTE(SUBSTITUTE(SUBSTITUTE(INDEX(PASTE_ALL,$DF660,$L$13)," "," "),CHAR(9)," "),CHAR(10)," "),CHAR(13)," "))),"")))</f>
        <v/>
      </c>
      <c r="DV660">
        <f>IF($DM660=0,"",IF($L$14=0,"",IFERROR(IF(ISNUMBER(INDEX(PASTE_ALL,$DF660,$L$14)),INDEX(PASTE_ALL,$DF660,$L$14),TRIM(SUBSTITUTE(SUBSTITUTE(SUBSTITUTE(SUBSTITUTE(INDEX(PASTE_ALL,$DF660,$L$14)," "," "),CHAR(9)," "),CHAR(10)," "),CHAR(13)," "))),"")))</f>
        <v/>
      </c>
      <c r="DW660">
        <f>IF($DM660=0,"",IF($L$15=0,"",IFERROR(IF(ISNUMBER(INDEX(PASTE_ALL,$DF660,$L$15)),INDEX(PASTE_ALL,$DF660,$L$15),IF(SUMPRODUCT(--ISNUMBER(FIND({"A","B","C","D","E","F","G","H","I","J","K","L","M","N","O","P","Q","R","S","T","U","V","W","X","Y","Z","0","1","2","3","4","5","6","7","8","9"},UPPER(TRIM(SUBSTITUTE(SUBSTITUTE(SUBSTITUTE(SUBSTITUTE(INDEX(PASTE_ALL,$DF660,$L$15)," "," "),CHAR(9)," "),CHAR(10)," "),CHAR(13)," "))))))&gt;0,TRIM(SUBSTITUTE(SUBSTITUTE(SUBSTITUTE(SUBSTITUTE(INDEX(PASTE_ALL,$DF660,$L$15)," "," "),CHAR(9)," "),CHAR(10)," "),CHAR(13)," ")),"")),"")))</f>
        <v/>
      </c>
      <c r="DX660">
        <f>IF($DM660=0,"",IF($L$16=0,"",IFERROR(IF(ISNUMBER(INDEX(PASTE_ALL,$DF660,$L$16)),INDEX(PASTE_ALL,$DF660,$L$16),SUBSTITUTE(SUBSTITUTE(TRIM(SUBSTITUTE(SUBSTITUTE(SUBSTITUTE(SUBSTITUTE(INDEX(PASTE_ALL,$DF660,$L$16)," "," "),CHAR(9)," "),CHAR(10)," "),CHAR(13)," ")),",",""),"%","")),"")))</f>
        <v/>
      </c>
      <c r="DY660">
        <f>IF($DM660=0,"",IFERROR(IF(ISNUMBER($DX660),$DX660,IF($DX660="","",IF(TRIM($DX660)="",0,IF(AND(AND(SUBSTITUTE(SUBSTITUTE(SUBSTITUTE(SUBSTITUTE(SUBSTITUTE(SUBSTITUTE(SUBSTITUTE(SUBSTITUTE(SUBSTITUTE(SUBSTITUTE(SUBSTITUTE(SUBSTITUTE(SUBSTITUTE(SUBSTITUTE(UPPER(TRIM($DX660)),"0",""),"1",""),"2",""),"3",""),"4",""),"5",""),"6",""),"7",""),"8",""),"9",""),".",""),"+",""),"-",""),"E","")="",LEN(SUBSTITUTE(SUBSTITUTE(MID(UPPER(TRIM($DX660)),1+OR(LEFT(UPPER(TRIM($DX660)),1)="+",LEFT(UPPER(TRIM($DX660)),1)="-"),999),"E+","E"),"E-","E"))=LEN(SUBSTITUTE(SUBSTITUTE(SUBSTITUTE(SUBSTITUTE(MID(UPPER(TRIM($DX660)),1+OR(LEFT(UPPER(TRIM($DX660)),1)="+",LEFT(UPPER(TRIM($DX660)),1)="-"),999),"E+","E"),"E-","E"),"+",""),"-","")),LEN(UPPER(TRIM($DX660)))-LEN(SUBSTITUTE(UPPER(TRIM($DX660)),"E",""))&lt;2,LEN(UPPER(TRIM($DX660)))-LEN(SUBSTITUTE(UPPER(TRIM($DX660)),".",""))&lt;2,IFERROR(FIND(".",UPPER(TRIM($DX660))),0)&lt;IFERROR(FIND("E",UPPER(TRIM($DX660))),999)),ISNUMBER(VALUE(TRIM($DX660)))),VALUE(TRIM($DX660)),"")))),""))</f>
        <v/>
      </c>
      <c r="DZ660">
        <f>IF($DM660=0,"",IF($L$17=0,"",IFERROR(IF(ISNUMBER(INDEX(PASTE_ALL,$DF660,$L$17)),INDEX(PASTE_ALL,$DF660,$L$17),SUBSTITUTE(SUBSTITUTE(TRIM(SUBSTITUTE(SUBSTITUTE(SUBSTITUTE(SUBSTITUTE(INDEX(PASTE_ALL,$DF660,$L$17)," "," "),CHAR(9)," "),CHAR(10)," "),CHAR(13)," ")),",",""),"%","")),"")))</f>
        <v/>
      </c>
      <c r="EA660">
        <f>IF($DM660=0,"",IFERROR(IF(ISNUMBER($DZ660),$DZ660,IF($DZ660="","",IF(TRIM($DZ660)="",0,IF(AND(AND(SUBSTITUTE(SUBSTITUTE(SUBSTITUTE(SUBSTITUTE(SUBSTITUTE(SUBSTITUTE(SUBSTITUTE(SUBSTITUTE(SUBSTITUTE(SUBSTITUTE(SUBSTITUTE(SUBSTITUTE(SUBSTITUTE(SUBSTITUTE(UPPER(TRIM($DZ660)),"0",""),"1",""),"2",""),"3",""),"4",""),"5",""),"6",""),"7",""),"8",""),"9",""),".",""),"+",""),"-",""),"E","")="",LEN(SUBSTITUTE(SUBSTITUTE(MID(UPPER(TRIM($DZ660)),1+OR(LEFT(UPPER(TRIM($DZ660)),1)="+",LEFT(UPPER(TRIM($DZ660)),1)="-"),999),"E+","E"),"E-","E"))=LEN(SUBSTITUTE(SUBSTITUTE(SUBSTITUTE(SUBSTITUTE(MID(UPPER(TRIM($DZ660)),1+OR(LEFT(UPPER(TRIM($DZ660)),1)="+",LEFT(UPPER(TRIM($DZ660)),1)="-"),999),"E+","E"),"E-","E"),"+",""),"-","")),LEN(UPPER(TRIM($DZ660)))-LEN(SUBSTITUTE(UPPER(TRIM($DZ660)),"E",""))&lt;2,LEN(UPPER(TRIM($DZ660)))-LEN(SUBSTITUTE(UPPER(TRIM($DZ660)),".",""))&lt;2,IFERROR(FIND(".",UPPER(TRIM($DZ660))),0)&lt;IFERROR(FIND("E",UPPER(TRIM($DZ660))),999)),ISNUMBER(VALUE(TRIM($DZ660)))),VALUE(TRIM($DZ660)),"")))),""))</f>
        <v/>
      </c>
      <c r="EB660">
        <f>IF($DM660=0,"",IF($L$18=0,"",IFERROR(IF(UPPER(TRIM(SUBSTITUTE(SUBSTITUTE(SUBSTITUTE(SUBSTITUTE(INDEX(PASTE_ALL,$DF660,$L$18)," "," "),CHAR(9)," "),CHAR(10)," "),CHAR(13)," ")))="READY","Ready",IF(UPPER(TRIM(SUBSTITUTE(SUBSTITUTE(SUBSTITUTE(SUBSTITUTE(INDEX(PASTE_ALL,$DF660,$L$18)," "," "),CHAR(9)," "),CHAR(10)," "),CHAR(13)," ")))="PM","PM",IF(OR(UPPER(TRIM(SUBSTITUTE(SUBSTITUTE(SUBSTITUTE(SUBSTITUTE(INDEX(PASTE_ALL,$DF660,$L$18)," "," "),CHAR(9)," "),CHAR(10)," "),CHAR(13)," ")))="OT",UPPER(TRIM(SUBSTITUTE(SUBSTITUTE(SUBSTITUTE(SUBSTITUTE(INDEX(PASTE_ALL,$DF660,$L$18)," "," "),CHAR(9)," "),CHAR(10)," "),CHAR(13)," ")))="OVERTIME",UPPER(TRIM(SUBSTITUTE(SUBSTITUTE(SUBSTITUTE(SUBSTITUTE(INDEX(PASTE_ALL,$DF660,$L$18)," "," "),CHAR(9)," "),CHAR(10)," "),CHAR(13)," ")))="TRIAL"),"OT",TRIM(SUBSTITUTE(SUBSTITUTE(SUBSTITUTE(SUBSTITUTE(INDEX(PASTE_ALL,$DF660,$L$18)," "," "),CHAR(9)," "),CHAR(10)," "),CHAR(13)," "))))),"")))</f>
        <v/>
      </c>
      <c r="EC660">
        <f>IF($DM660=0,"",IF($L$19=0,"",IFERROR(IF(ISNUMBER(INDEX(PASTE_ALL,$DF660,$L$19)),INDEX(PASTE_ALL,$DF660,$L$19),TRIM(SUBSTITUTE(SUBSTITUTE(SUBSTITUTE(SUBSTITUTE(INDEX(PASTE_ALL,$DF660,$L$19)," "," "),CHAR(9)," "),CHAR(10)," "),CHAR(13)," "))),"")))</f>
        <v/>
      </c>
      <c r="ED660">
        <f>IF($DM660=0,"",MATCH(1,INDEX(EXACT($DH$5:DH660,$DH660)*$DM$5:DM660,0),0))</f>
        <v/>
      </c>
      <c r="EE660">
        <f>IF($DM660=0,0,IF($ED660=$DE660,1,0))</f>
        <v/>
      </c>
      <c r="EF660">
        <f>EF659+$EE660</f>
        <v/>
      </c>
      <c r="EG660">
        <f>IF($DM660=0,"",INDEX($EF$5:$EF$1003,$ED660))</f>
        <v/>
      </c>
      <c r="EH660">
        <f>IF($DM660=0,"",IF($DO660&lt;&gt;"","",IFERROR(LOOKUP(2,1/(($EG$4:EG659=$EG660)*($DO$4:DO659&lt;&gt;"")),$DO$4:DO659),"")))</f>
        <v/>
      </c>
      <c r="EI660">
        <f>IF($DM660=0,"",IF($DO660&lt;&gt;"",$DO660,$EH660))</f>
        <v/>
      </c>
      <c r="EJ660">
        <f>IF($DM660=0,"",IF($EI660="",0,IF(OR(ISNUMBER($EI660),AND(AND(SUBSTITUTE(SUBSTITUTE(SUBSTITUTE(SUBSTITUTE(SUBSTITUTE(SUBSTITUTE(SUBSTITUTE(SUBSTITUTE(SUBSTITUTE(SUBSTITUTE(SUBSTITUTE(SUBSTITUTE(SUBSTITUTE(SUBSTITUTE(UPPER($EI660),"0",""),"1",""),"2",""),"3",""),"4",""),"5",""),"6",""),"7",""),"8",""),"9",""),".",""),"+",""),"-",""),"E","")="",LEN(SUBSTITUTE(SUBSTITUTE(MID(UPPER($EI660),1+OR(LEFT(UPPER($EI660),1)="+",LEFT(UPPER($EI660),1)="-"),999),"E+","E"),"E-","E"))=LEN(SUBSTITUTE(SUBSTITUTE(SUBSTITUTE(SUBSTITUTE(MID(UPPER($EI660),1+OR(LEFT(UPPER($EI660),1)="+",LEFT(UPPER($EI660),1)="-"),999),"E+","E"),"E-","E"),"+",""),"-","")),LEN(UPPER($EI660))-LEN(SUBSTITUTE(UPPER($EI660),"E",""))&lt;2,LEN(UPPER($EI660))-LEN(SUBSTITUTE(UPPER($EI660),".",""))&lt;2,IFERROR(FIND(".",UPPER($EI660)),0)&lt;IFERROR(FIND("E",UPPER($EI660)),999)),ISNUMBER(VALUE($EI660)))),1,2)))</f>
        <v/>
      </c>
      <c r="EK660">
        <f>IF($DM660=0,"",IF($EJ660=1,IF(ISNUMBER($EI660),$EI660,VALUE($EI660)),IF($EJ660=2,$DE660,0)))</f>
        <v/>
      </c>
      <c r="EL660">
        <f>IF($DM660=0,"",COUNTIF($EG$5:$EG$1003,"&lt;"&amp;$EG660)+SUMPRODUCT(($EG$5:$EG$1003=$EG660)*(($EJ$5:$EJ$1003&lt;$EJ660)+($EJ$5:$EJ$1003=$EJ660)*(($EK$5:$EK$1003&lt;$EK660)+($EK$5:$EK$1003=$EK660)*($DE$5:$DE$1003&lt;$DE660))))+1)</f>
        <v/>
      </c>
      <c r="EM660">
        <f>IF($DM660=0,"",$EL660+$EG660-1)</f>
        <v/>
      </c>
      <c r="EN660">
        <f>IF($DM660=0,0,IFERROR(MATCH(1,INDEX(--(TRIM(SUBSTITUTE(SUBSTITUTE(SUBSTITUTE(SUBSTITUTE(LINES_NAME&amp;""," "," "),CHAR(9)," "),CHAR(10)," "),CHAR(13)," "))=$DH660),0),0),0))</f>
        <v/>
      </c>
      <c r="EO660">
        <f>IF($EN660=0,0,IF(OR(UPPER(TRIM(INDEX(LINES_SCHEDULED,$EN660)&amp;""))="YES",UPPER(TRIM(INDEX(LINES_SCHEDULED,$EN660)&amp;""))="Y",UPPER(TRIM(INDEX(LINES_SCHEDULED,$EN660)&amp;""))="X"),1,0))</f>
        <v/>
      </c>
      <c r="EP660">
        <f>IF($DM660=0,"",IF(COUNTIFS($EG$5:$EG$1003,$EG660,$EB$5:$EB$1003,"Ready")&gt;0,"READY",IF(COUNTIFS($EG$5:$EG$1003,$EG660,$EB$5:$EB$1003,"PM")&gt;0,"PM",IF(COUNTIFS($EG$5:$EG$1003,$EG660,$EB$5:$EB$1003,"OT")&gt;0,"OT",""))))</f>
        <v/>
      </c>
      <c r="EQ660">
        <f>IF($EN660=0,"",UPPER(TRIM(INDEX(LINES_STATUS,$EN660)&amp;"")))</f>
        <v/>
      </c>
      <c r="ER660">
        <f>IF($DM660=0,"",IF(OR($EQ660="READY",$EQ660="PM",$EQ660="OT"),$EQ660,$EP660))</f>
        <v/>
      </c>
      <c r="ES660">
        <f>IF($DM660=0,"",IF(AND($DV660&lt;&gt;"",UPPER($DV660)&lt;&gt;"N"),"allergen",IF(ISNUMBER(SEARCH("oil",$DQ660)),"oil",IF(OR(EXACT($DS660,"A662"),EXACT($DS660,"A624")),"bulk",""))))</f>
        <v/>
      </c>
      <c r="ET660">
        <f>IF($DM660=0,"",IF(OR($EA660="",$EA660=0),"",$EA660/100))</f>
        <v/>
      </c>
      <c r="EU660">
        <f>IF(OR($ET660="",$DY660=""),"",INT($DY660*(1-$ET660)+0.5))</f>
        <v/>
      </c>
      <c r="EW660" t="n">
        <v>656</v>
      </c>
      <c r="EX660">
        <f>IFERROR(MATCH($EW660,$EM$5:$EM$1003,0),0)</f>
        <v/>
      </c>
      <c r="EY660">
        <f>IF($EW660&gt;$B$12,"",IF($EX660&gt;0,"row","spacer"))</f>
        <v/>
      </c>
      <c r="EZ660">
        <f>IF(AND($EY660="row",$EY659&lt;&gt;"row"),1,0)</f>
        <v/>
      </c>
      <c r="FA660">
        <f>IF(AND($EY660="row",$EY661&lt;&gt;"row"),1,0)</f>
        <v/>
      </c>
      <c r="FB660">
        <f>IF($EZ660=1,IFERROR(IF(ISNUMBER(INDEX(PASTE_ALL,INDEX($DF$5:$DF$1003,$EX660),$B$37)),INDEX(PASTE_ALL,INDEX($DF$5:$DF$1003,$EX660),$B$37),INDEX($DH$5:$DH$1003,$EX660)),INDEX($DH$5:$DH$1003,$EX660)),"")</f>
        <v/>
      </c>
      <c r="FC660">
        <f>IF($EY660="row",INDEX($ER$5:$ER$1003,$EX660),"")</f>
        <v/>
      </c>
      <c r="FD660">
        <f>IF($EY660="row",INDEX($DN$5:$DN$1003,$EX660),"")</f>
        <v/>
      </c>
      <c r="FE660">
        <f>IF($EY660="row",INDEX($DO$5:$DO$1003,$EX660),"")</f>
        <v/>
      </c>
      <c r="FF660">
        <f>IF($EY660="row",INDEX($DP$5:$DP$1003,$EX660),"")</f>
        <v/>
      </c>
      <c r="FG660">
        <f>IF($EY660="row",INDEX($DQ$5:$DQ$1003,$EX660),"")</f>
        <v/>
      </c>
      <c r="FH660">
        <f>IF($EY660="row",INDEX($DR$5:$DR$1003,$EX660),"")</f>
        <v/>
      </c>
      <c r="FI660">
        <f>IF($EY660="row",INDEX($DS$5:$DS$1003,$EX660),"")</f>
        <v/>
      </c>
      <c r="FJ660">
        <f>IF($EY660="row",INDEX($DT$5:$DT$1003,$EX660),"")</f>
        <v/>
      </c>
      <c r="FK660">
        <f>IF($EY660="row",INDEX($DU$5:$DU$1003,$EX660),"")</f>
        <v/>
      </c>
      <c r="FL660">
        <f>IF($EY660="row",INDEX($DV$5:$DV$1003,$EX660),"")</f>
        <v/>
      </c>
      <c r="FM660">
        <f>IF($EY660="row",INDEX($DW$5:$DW$1003,$EX660),"")</f>
        <v/>
      </c>
      <c r="FN660">
        <f>IF($EY660="row",INDEX($DY$5:$DY$1003,$EX660),"")</f>
        <v/>
      </c>
      <c r="FO660">
        <f>IF($EY660="row",INDEX($EA$5:$EA$1003,$EX660),"")</f>
        <v/>
      </c>
      <c r="FP660">
        <f>IF($EY660="row",INDEX($EC$5:$EC$1003,$EX660),"")</f>
        <v/>
      </c>
      <c r="FQ660">
        <f>IF($EY660="row",INDEX($ET$5:$ET$1003,$EX660),"")</f>
        <v/>
      </c>
      <c r="FR660">
        <f>IF($EY660="row",INDEX($EU$5:$EU$1003,$EX660),"")</f>
        <v/>
      </c>
      <c r="FS660">
        <f>IF(AND($EY660="row",$EY659="row"),IF(OR(INDEX($DT$5:$DT$1003,$EX659)="",INDEX($DT$5:$DT$1003,$EX660)=""),"",IF(NOT(EXACT(INDEX($DT$5:$DT$1003,$EX659),INDEX($DT$5:$DT$1003,$EX660))),"S4",IF(NOT(EXACT(INDEX($DS$5:$DS$1003,$EX659),INDEX($DS$5:$DS$1003,$EX660))),"S3",IF(NOT(EXACT(INDEX($DR$5:$DR$1003,$EX659),INDEX($DR$5:$DR$1003,$EX660))),"S1 Count Change","S1")))),"")</f>
        <v/>
      </c>
      <c r="FT660">
        <f>IF($EY660="row",INDEX($ES$5:$ES$1003,$EX660),"")</f>
        <v/>
      </c>
      <c r="FU660">
        <f>IF($EY660="row",INDEX($EO$5:$EO$1003,$EX660),0)</f>
        <v/>
      </c>
      <c r="FV660">
        <f>IF($FS660="S1 Count Change",1,0)</f>
        <v/>
      </c>
    </row>
    <row r="661">
      <c r="DA661" t="n">
        <v>657</v>
      </c>
      <c r="DB661">
        <f>IF($B$37=0,"",IFERROR(TRIM(SUBSTITUTE(SUBSTITUTE(SUBSTITUTE(SUBSTITUTE(INDEX(PASTE_ALL,657,$B$37)," "," "),CHAR(9)," "),CHAR(10)," "),CHAR(13)," ")),""))</f>
        <v/>
      </c>
      <c r="DC661">
        <f>IF(AND(657&gt;HEADER_ROW,UPPER(DB661)="LEGEND"),1,0)</f>
        <v/>
      </c>
      <c r="DE661" t="n">
        <v>657</v>
      </c>
      <c r="DF661">
        <f>HEADER_ROW+$DE661</f>
        <v/>
      </c>
      <c r="DG661">
        <f>IF(AND($DF661&lt;=1000,$DF661&lt;$B$8),1,0)</f>
        <v/>
      </c>
      <c r="DH661">
        <f>IF($DG661=1,IFERROR(INDEX($DB$5:$DB$1004,$DF661),""),"")</f>
        <v/>
      </c>
      <c r="DI661">
        <f>IF(AND($DG661=1,$DH661&lt;&gt;""),IFERROR(SUBSTITUTE(SUBSTITUTE(TRIM(SUBSTITUTE(SUBSTITUTE(SUBSTITUTE(SUBSTITUTE(IFERROR(INDEX(PASTE_ALL,$DF661,1)&amp;"","")&amp;"␟"&amp;IFERROR(INDEX(PASTE_ALL,$DF661,2)&amp;"","")&amp;"␟"&amp;IFERROR(INDEX(PASTE_ALL,$DF661,3)&amp;"","")&amp;"␟"&amp;IFERROR(INDEX(PASTE_ALL,$DF661,4)&amp;"","")&amp;"␟"&amp;IFERROR(INDEX(PASTE_ALL,$DF661,5)&amp;"","")&amp;"␟"&amp;IFERROR(INDEX(PASTE_ALL,$DF661,6)&amp;"","")&amp;"␟"&amp;IFERROR(INDEX(PASTE_ALL,$DF661,7)&amp;"","")&amp;"␟"&amp;IFERROR(INDEX(PASTE_ALL,$DF661,8)&amp;"","")&amp;"␟"&amp;IFERROR(INDEX(PASTE_ALL,$DF661,9)&amp;"","")&amp;"␟"&amp;IFERROR(INDEX(PASTE_ALL,$DF661,10)&amp;"","")&amp;"␟"&amp;IFERROR(INDEX(PASTE_ALL,$DF661,11)&amp;"","")&amp;"␟"&amp;IFERROR(INDEX(PASTE_ALL,$DF661,12)&amp;"","")&amp;"␟"&amp;IFERROR(INDEX(PASTE_ALL,$DF661,13)&amp;"","")&amp;"␟"&amp;IFERROR(INDEX(PASTE_ALL,$DF661,14)&amp;"","")&amp;"␟"&amp;IFERROR(INDEX(PASTE_ALL,$DF661,15)&amp;"","")&amp;"␟"&amp;IFERROR(INDEX(PASTE_ALL,$DF661,16)&amp;"","")&amp;"␟"&amp;IFERROR(INDEX(PASTE_ALL,$DF661,17)&amp;"","")&amp;"␟"&amp;IFERROR(INDEX(PASTE_ALL,$DF661,18)&amp;"","")&amp;"␟"&amp;IFERROR(INDEX(PASTE_ALL,$DF661,19)&amp;"","")&amp;"␟"&amp;IFERROR(INDEX(PASTE_ALL,$DF661,20)&amp;"","")&amp;"␟"&amp;IFERROR(INDEX(PASTE_ALL,$DF661,21)&amp;"","")&amp;"␟"&amp;IFERROR(INDEX(PASTE_ALL,$DF661,22)&amp;"","")&amp;"␟"&amp;IFERROR(INDEX(PASTE_ALL,$DF661,23)&amp;"","")&amp;"␟"&amp;IFERROR(INDEX(PASTE_ALL,$DF661,24)&amp;"","")&amp;"␟"&amp;IFERROR(INDEX(PASTE_ALL,$DF661,25)&amp;"","")&amp;"␟"&amp;IFERROR(INDEX(PASTE_ALL,$DF661,26)&amp;"","")&amp;"␟"&amp;IFERROR(INDEX(PASTE_ALL,$DF661,27)&amp;"","")&amp;"␟"&amp;IFERROR(INDEX(PASTE_ALL,$DF661,28)&amp;"","")&amp;"␟"&amp;IFERROR(INDEX(PASTE_ALL,$DF661,29)&amp;"","")&amp;"␟"&amp;IFERROR(INDEX(PASTE_ALL,$DF661,30)&amp;"","")&amp;"␟"&amp;IFERROR(INDEX(PASTE_ALL,$DF661,31)&amp;"","")&amp;"␟"&amp;IFERROR(INDEX(PASTE_ALL,$DF661,32)&amp;"","")&amp;"␟"&amp;IFERROR(INDEX(PASTE_ALL,$DF661,33)&amp;"","")&amp;"␟"&amp;IFERROR(INDEX(PASTE_ALL,$DF661,34)&amp;"","")&amp;"␟"&amp;IFERROR(INDEX(PASTE_ALL,$DF661,35)&amp;"","")&amp;"␟"&amp;IFERROR(INDEX(PASTE_ALL,$DF661,36)&amp;"","")&amp;"␟"&amp;IFERROR(INDEX(PASTE_ALL,$DF661,37)&amp;"","")&amp;"␟"&amp;IFERROR(INDEX(PASTE_ALL,$DF661,38)&amp;"","")&amp;"␟"&amp;IFERROR(INDEX(PASTE_ALL,$DF661,39)&amp;"","")&amp;"␟"&amp;IFERROR(INDEX(PASTE_ALL,$DF661,40)&amp;"","")&amp;"␟"&amp;IFERROR(INDEX(PASTE_ALL,$DF661,41)&amp;"","")&amp;"␟"&amp;IFERROR(INDEX(PASTE_ALL,$DF661,42)&amp;"","")&amp;"␟"&amp;IFERROR(INDEX(PASTE_ALL,$DF661,43)&amp;"","")&amp;"␟"&amp;IFERROR(INDEX(PASTE_ALL,$DF661,44)&amp;"","")&amp;"␟"&amp;IFERROR(INDEX(PASTE_ALL,$DF661,45)&amp;"","")&amp;"␟"&amp;IFERROR(INDEX(PASTE_ALL,$DF661,46)&amp;"","")&amp;"␟"&amp;IFERROR(INDEX(PASTE_ALL,$DF661,47)&amp;"","")&amp;"␟"&amp;IFERROR(INDEX(PASTE_ALL,$DF661,48)&amp;"","")&amp;"␟"&amp;IFERROR(INDEX(PASTE_ALL,$DF661,49)&amp;"","")&amp;"␟"&amp;IFERROR(INDEX(PASTE_ALL,$DF661,50)&amp;"","")&amp;"␟"&amp;IFERROR(INDEX(PASTE_ALL,$DF661,51)&amp;"","")&amp;"␟"&amp;IFERROR(INDEX(PASTE_ALL,$DF661,52)&amp;"","")&amp;"␟"&amp;IFERROR(INDEX(PASTE_ALL,$DF661,53)&amp;"","")&amp;"␟"&amp;IFERROR(INDEX(PASTE_ALL,$DF661,54)&amp;"","")&amp;"␟"&amp;IFERROR(INDEX(PASTE_ALL,$DF661,55)&amp;"","")&amp;"␟"&amp;IFERROR(INDEX(PASTE_ALL,$DF661,56)&amp;"","")&amp;"␟"&amp;IFERROR(INDEX(PASTE_ALL,$DF661,57)&amp;"","")&amp;"␟"&amp;IFERROR(INDEX(PASTE_ALL,$DF661,58)&amp;"","")&amp;"␟"&amp;IFERROR(INDEX(PASTE_ALL,$DF661,59)&amp;"","")&amp;"␟"&amp;IFERROR(INDEX(PASTE_ALL,$DF661,60)&amp;"","")," "," "),CHAR(9)," "),CHAR(10)," "),CHAR(13)," "))," ␟","␟"),"␟ ","␟"),"#"&amp;$DE661),"")</f>
        <v/>
      </c>
      <c r="DJ661">
        <f>IF($DI661="",0,IF(SUMPRODUCT(--EXACT($DI$4:DI660,$DI661))&gt;0,1,0))</f>
        <v/>
      </c>
      <c r="DK661">
        <f>IF(AND($DI661&lt;&gt;"",$DJ661=0),1,0)</f>
        <v/>
      </c>
      <c r="DL661">
        <f>DL660+$DK661</f>
        <v/>
      </c>
      <c r="DM661">
        <f>IF(AND($DK661=1,$DL661&lt;=600),1,0)</f>
        <v/>
      </c>
      <c r="DN661">
        <f>IF($DM661=0,"",IF($L$6=0,"",IFERROR(IF(ISNUMBER(INDEX(PASTE_ALL,$DF661,$L$6)),INDEX(PASTE_ALL,$DF661,$L$6),TRIM(SUBSTITUTE(SUBSTITUTE(SUBSTITUTE(SUBSTITUTE(INDEX(PASTE_ALL,$DF661,$L$6)," "," "),CHAR(9)," "),CHAR(10)," "),CHAR(13)," "))),"")))</f>
        <v/>
      </c>
      <c r="DO661">
        <f>IF($DM661=0,"",IF($L$7=0,"",IFERROR(IF(ISNUMBER(INDEX(PASTE_ALL,$DF661,$L$7)),INDEX(PASTE_ALL,$DF661,$L$7),TRIM(SUBSTITUTE(SUBSTITUTE(SUBSTITUTE(SUBSTITUTE(INDEX(PASTE_ALL,$DF661,$L$7)," "," "),CHAR(9)," "),CHAR(10)," "),CHAR(13)," "))),"")))</f>
        <v/>
      </c>
      <c r="DP661">
        <f>IF($DM661=0,"",IF($L$8=0,"",IFERROR(IF(ISNUMBER(INDEX(PASTE_ALL,$DF661,$L$8)),INDEX(PASTE_ALL,$DF661,$L$8),TRIM(SUBSTITUTE(SUBSTITUTE(SUBSTITUTE(SUBSTITUTE(INDEX(PASTE_ALL,$DF661,$L$8)," "," "),CHAR(9)," "),CHAR(10)," "),CHAR(13)," "))),"")))</f>
        <v/>
      </c>
      <c r="DQ661">
        <f>IF($DM661=0,"",IF($L$9=0,"",IFERROR(IF(ISNUMBER(INDEX(PASTE_ALL,$DF661,$L$9)),INDEX(PASTE_ALL,$DF661,$L$9),TRIM(SUBSTITUTE(SUBSTITUTE(SUBSTITUTE(SUBSTITUTE(INDEX(PASTE_ALL,$DF661,$L$9)," "," "),CHAR(9)," "),CHAR(10)," "),CHAR(13)," "))),"")))</f>
        <v/>
      </c>
      <c r="DR661">
        <f>IF($DM661=0,"",IF($L$10=0,"",IFERROR(IF(ISNUMBER(INDEX(PASTE_ALL,$DF661,$L$10)),INDEX(PASTE_ALL,$DF661,$L$10),TRIM(SUBSTITUTE(SUBSTITUTE(SUBSTITUTE(SUBSTITUTE(INDEX(PASTE_ALL,$DF661,$L$10)," "," "),CHAR(9)," "),CHAR(10)," "),CHAR(13)," "))),"")))</f>
        <v/>
      </c>
      <c r="DS661">
        <f>IF($DM661=0,"",IF($L$11=0,"",IFERROR(IF(ISNUMBER(INDEX(PASTE_ALL,$DF661,$L$11)),INDEX(PASTE_ALL,$DF661,$L$11),TRIM(SUBSTITUTE(SUBSTITUTE(SUBSTITUTE(SUBSTITUTE(INDEX(PASTE_ALL,$DF661,$L$11)," "," "),CHAR(9)," "),CHAR(10)," "),CHAR(13)," "))),"")))</f>
        <v/>
      </c>
      <c r="DT661">
        <f>IF($DM661=0,"",IF($L$12=0,"",IFERROR(IF(ISNUMBER(INDEX(PASTE_ALL,$DF661,$L$12)),INDEX(PASTE_ALL,$DF661,$L$12),TRIM(SUBSTITUTE(SUBSTITUTE(SUBSTITUTE(SUBSTITUTE(INDEX(PASTE_ALL,$DF661,$L$12)," "," "),CHAR(9)," "),CHAR(10)," "),CHAR(13)," "))),"")))</f>
        <v/>
      </c>
      <c r="DU661">
        <f>IF($DM661=0,"",IF($L$13=0,"",IFERROR(IF(ISNUMBER(INDEX(PASTE_ALL,$DF661,$L$13)),INDEX(PASTE_ALL,$DF661,$L$13),TRIM(SUBSTITUTE(SUBSTITUTE(SUBSTITUTE(SUBSTITUTE(INDEX(PASTE_ALL,$DF661,$L$13)," "," "),CHAR(9)," "),CHAR(10)," "),CHAR(13)," "))),"")))</f>
        <v/>
      </c>
      <c r="DV661">
        <f>IF($DM661=0,"",IF($L$14=0,"",IFERROR(IF(ISNUMBER(INDEX(PASTE_ALL,$DF661,$L$14)),INDEX(PASTE_ALL,$DF661,$L$14),TRIM(SUBSTITUTE(SUBSTITUTE(SUBSTITUTE(SUBSTITUTE(INDEX(PASTE_ALL,$DF661,$L$14)," "," "),CHAR(9)," "),CHAR(10)," "),CHAR(13)," "))),"")))</f>
        <v/>
      </c>
      <c r="DW661">
        <f>IF($DM661=0,"",IF($L$15=0,"",IFERROR(IF(ISNUMBER(INDEX(PASTE_ALL,$DF661,$L$15)),INDEX(PASTE_ALL,$DF661,$L$15),IF(SUMPRODUCT(--ISNUMBER(FIND({"A","B","C","D","E","F","G","H","I","J","K","L","M","N","O","P","Q","R","S","T","U","V","W","X","Y","Z","0","1","2","3","4","5","6","7","8","9"},UPPER(TRIM(SUBSTITUTE(SUBSTITUTE(SUBSTITUTE(SUBSTITUTE(INDEX(PASTE_ALL,$DF661,$L$15)," "," "),CHAR(9)," "),CHAR(10)," "),CHAR(13)," "))))))&gt;0,TRIM(SUBSTITUTE(SUBSTITUTE(SUBSTITUTE(SUBSTITUTE(INDEX(PASTE_ALL,$DF661,$L$15)," "," "),CHAR(9)," "),CHAR(10)," "),CHAR(13)," ")),"")),"")))</f>
        <v/>
      </c>
      <c r="DX661">
        <f>IF($DM661=0,"",IF($L$16=0,"",IFERROR(IF(ISNUMBER(INDEX(PASTE_ALL,$DF661,$L$16)),INDEX(PASTE_ALL,$DF661,$L$16),SUBSTITUTE(SUBSTITUTE(TRIM(SUBSTITUTE(SUBSTITUTE(SUBSTITUTE(SUBSTITUTE(INDEX(PASTE_ALL,$DF661,$L$16)," "," "),CHAR(9)," "),CHAR(10)," "),CHAR(13)," ")),",",""),"%","")),"")))</f>
        <v/>
      </c>
      <c r="DY661">
        <f>IF($DM661=0,"",IFERROR(IF(ISNUMBER($DX661),$DX661,IF($DX661="","",IF(TRIM($DX661)="",0,IF(AND(AND(SUBSTITUTE(SUBSTITUTE(SUBSTITUTE(SUBSTITUTE(SUBSTITUTE(SUBSTITUTE(SUBSTITUTE(SUBSTITUTE(SUBSTITUTE(SUBSTITUTE(SUBSTITUTE(SUBSTITUTE(SUBSTITUTE(SUBSTITUTE(UPPER(TRIM($DX661)),"0",""),"1",""),"2",""),"3",""),"4",""),"5",""),"6",""),"7",""),"8",""),"9",""),".",""),"+",""),"-",""),"E","")="",LEN(SUBSTITUTE(SUBSTITUTE(MID(UPPER(TRIM($DX661)),1+OR(LEFT(UPPER(TRIM($DX661)),1)="+",LEFT(UPPER(TRIM($DX661)),1)="-"),999),"E+","E"),"E-","E"))=LEN(SUBSTITUTE(SUBSTITUTE(SUBSTITUTE(SUBSTITUTE(MID(UPPER(TRIM($DX661)),1+OR(LEFT(UPPER(TRIM($DX661)),1)="+",LEFT(UPPER(TRIM($DX661)),1)="-"),999),"E+","E"),"E-","E"),"+",""),"-","")),LEN(UPPER(TRIM($DX661)))-LEN(SUBSTITUTE(UPPER(TRIM($DX661)),"E",""))&lt;2,LEN(UPPER(TRIM($DX661)))-LEN(SUBSTITUTE(UPPER(TRIM($DX661)),".",""))&lt;2,IFERROR(FIND(".",UPPER(TRIM($DX661))),0)&lt;IFERROR(FIND("E",UPPER(TRIM($DX661))),999)),ISNUMBER(VALUE(TRIM($DX661)))),VALUE(TRIM($DX661)),"")))),""))</f>
        <v/>
      </c>
      <c r="DZ661">
        <f>IF($DM661=0,"",IF($L$17=0,"",IFERROR(IF(ISNUMBER(INDEX(PASTE_ALL,$DF661,$L$17)),INDEX(PASTE_ALL,$DF661,$L$17),SUBSTITUTE(SUBSTITUTE(TRIM(SUBSTITUTE(SUBSTITUTE(SUBSTITUTE(SUBSTITUTE(INDEX(PASTE_ALL,$DF661,$L$17)," "," "),CHAR(9)," "),CHAR(10)," "),CHAR(13)," ")),",",""),"%","")),"")))</f>
        <v/>
      </c>
      <c r="EA661">
        <f>IF($DM661=0,"",IFERROR(IF(ISNUMBER($DZ661),$DZ661,IF($DZ661="","",IF(TRIM($DZ661)="",0,IF(AND(AND(SUBSTITUTE(SUBSTITUTE(SUBSTITUTE(SUBSTITUTE(SUBSTITUTE(SUBSTITUTE(SUBSTITUTE(SUBSTITUTE(SUBSTITUTE(SUBSTITUTE(SUBSTITUTE(SUBSTITUTE(SUBSTITUTE(SUBSTITUTE(UPPER(TRIM($DZ661)),"0",""),"1",""),"2",""),"3",""),"4",""),"5",""),"6",""),"7",""),"8",""),"9",""),".",""),"+",""),"-",""),"E","")="",LEN(SUBSTITUTE(SUBSTITUTE(MID(UPPER(TRIM($DZ661)),1+OR(LEFT(UPPER(TRIM($DZ661)),1)="+",LEFT(UPPER(TRIM($DZ661)),1)="-"),999),"E+","E"),"E-","E"))=LEN(SUBSTITUTE(SUBSTITUTE(SUBSTITUTE(SUBSTITUTE(MID(UPPER(TRIM($DZ661)),1+OR(LEFT(UPPER(TRIM($DZ661)),1)="+",LEFT(UPPER(TRIM($DZ661)),1)="-"),999),"E+","E"),"E-","E"),"+",""),"-","")),LEN(UPPER(TRIM($DZ661)))-LEN(SUBSTITUTE(UPPER(TRIM($DZ661)),"E",""))&lt;2,LEN(UPPER(TRIM($DZ661)))-LEN(SUBSTITUTE(UPPER(TRIM($DZ661)),".",""))&lt;2,IFERROR(FIND(".",UPPER(TRIM($DZ661))),0)&lt;IFERROR(FIND("E",UPPER(TRIM($DZ661))),999)),ISNUMBER(VALUE(TRIM($DZ661)))),VALUE(TRIM($DZ661)),"")))),""))</f>
        <v/>
      </c>
      <c r="EB661">
        <f>IF($DM661=0,"",IF($L$18=0,"",IFERROR(IF(UPPER(TRIM(SUBSTITUTE(SUBSTITUTE(SUBSTITUTE(SUBSTITUTE(INDEX(PASTE_ALL,$DF661,$L$18)," "," "),CHAR(9)," "),CHAR(10)," "),CHAR(13)," ")))="READY","Ready",IF(UPPER(TRIM(SUBSTITUTE(SUBSTITUTE(SUBSTITUTE(SUBSTITUTE(INDEX(PASTE_ALL,$DF661,$L$18)," "," "),CHAR(9)," "),CHAR(10)," "),CHAR(13)," ")))="PM","PM",IF(OR(UPPER(TRIM(SUBSTITUTE(SUBSTITUTE(SUBSTITUTE(SUBSTITUTE(INDEX(PASTE_ALL,$DF661,$L$18)," "," "),CHAR(9)," "),CHAR(10)," "),CHAR(13)," ")))="OT",UPPER(TRIM(SUBSTITUTE(SUBSTITUTE(SUBSTITUTE(SUBSTITUTE(INDEX(PASTE_ALL,$DF661,$L$18)," "," "),CHAR(9)," "),CHAR(10)," "),CHAR(13)," ")))="OVERTIME",UPPER(TRIM(SUBSTITUTE(SUBSTITUTE(SUBSTITUTE(SUBSTITUTE(INDEX(PASTE_ALL,$DF661,$L$18)," "," "),CHAR(9)," "),CHAR(10)," "),CHAR(13)," ")))="TRIAL"),"OT",TRIM(SUBSTITUTE(SUBSTITUTE(SUBSTITUTE(SUBSTITUTE(INDEX(PASTE_ALL,$DF661,$L$18)," "," "),CHAR(9)," "),CHAR(10)," "),CHAR(13)," "))))),"")))</f>
        <v/>
      </c>
      <c r="EC661">
        <f>IF($DM661=0,"",IF($L$19=0,"",IFERROR(IF(ISNUMBER(INDEX(PASTE_ALL,$DF661,$L$19)),INDEX(PASTE_ALL,$DF661,$L$19),TRIM(SUBSTITUTE(SUBSTITUTE(SUBSTITUTE(SUBSTITUTE(INDEX(PASTE_ALL,$DF661,$L$19)," "," "),CHAR(9)," "),CHAR(10)," "),CHAR(13)," "))),"")))</f>
        <v/>
      </c>
      <c r="ED661">
        <f>IF($DM661=0,"",MATCH(1,INDEX(EXACT($DH$5:DH661,$DH661)*$DM$5:DM661,0),0))</f>
        <v/>
      </c>
      <c r="EE661">
        <f>IF($DM661=0,0,IF($ED661=$DE661,1,0))</f>
        <v/>
      </c>
      <c r="EF661">
        <f>EF660+$EE661</f>
        <v/>
      </c>
      <c r="EG661">
        <f>IF($DM661=0,"",INDEX($EF$5:$EF$1003,$ED661))</f>
        <v/>
      </c>
      <c r="EH661">
        <f>IF($DM661=0,"",IF($DO661&lt;&gt;"","",IFERROR(LOOKUP(2,1/(($EG$4:EG660=$EG661)*($DO$4:DO660&lt;&gt;"")),$DO$4:DO660),"")))</f>
        <v/>
      </c>
      <c r="EI661">
        <f>IF($DM661=0,"",IF($DO661&lt;&gt;"",$DO661,$EH661))</f>
        <v/>
      </c>
      <c r="EJ661">
        <f>IF($DM661=0,"",IF($EI661="",0,IF(OR(ISNUMBER($EI661),AND(AND(SUBSTITUTE(SUBSTITUTE(SUBSTITUTE(SUBSTITUTE(SUBSTITUTE(SUBSTITUTE(SUBSTITUTE(SUBSTITUTE(SUBSTITUTE(SUBSTITUTE(SUBSTITUTE(SUBSTITUTE(SUBSTITUTE(SUBSTITUTE(UPPER($EI661),"0",""),"1",""),"2",""),"3",""),"4",""),"5",""),"6",""),"7",""),"8",""),"9",""),".",""),"+",""),"-",""),"E","")="",LEN(SUBSTITUTE(SUBSTITUTE(MID(UPPER($EI661),1+OR(LEFT(UPPER($EI661),1)="+",LEFT(UPPER($EI661),1)="-"),999),"E+","E"),"E-","E"))=LEN(SUBSTITUTE(SUBSTITUTE(SUBSTITUTE(SUBSTITUTE(MID(UPPER($EI661),1+OR(LEFT(UPPER($EI661),1)="+",LEFT(UPPER($EI661),1)="-"),999),"E+","E"),"E-","E"),"+",""),"-","")),LEN(UPPER($EI661))-LEN(SUBSTITUTE(UPPER($EI661),"E",""))&lt;2,LEN(UPPER($EI661))-LEN(SUBSTITUTE(UPPER($EI661),".",""))&lt;2,IFERROR(FIND(".",UPPER($EI661)),0)&lt;IFERROR(FIND("E",UPPER($EI661)),999)),ISNUMBER(VALUE($EI661)))),1,2)))</f>
        <v/>
      </c>
      <c r="EK661">
        <f>IF($DM661=0,"",IF($EJ661=1,IF(ISNUMBER($EI661),$EI661,VALUE($EI661)),IF($EJ661=2,$DE661,0)))</f>
        <v/>
      </c>
      <c r="EL661">
        <f>IF($DM661=0,"",COUNTIF($EG$5:$EG$1003,"&lt;"&amp;$EG661)+SUMPRODUCT(($EG$5:$EG$1003=$EG661)*(($EJ$5:$EJ$1003&lt;$EJ661)+($EJ$5:$EJ$1003=$EJ661)*(($EK$5:$EK$1003&lt;$EK661)+($EK$5:$EK$1003=$EK661)*($DE$5:$DE$1003&lt;$DE661))))+1)</f>
        <v/>
      </c>
      <c r="EM661">
        <f>IF($DM661=0,"",$EL661+$EG661-1)</f>
        <v/>
      </c>
      <c r="EN661">
        <f>IF($DM661=0,0,IFERROR(MATCH(1,INDEX(--(TRIM(SUBSTITUTE(SUBSTITUTE(SUBSTITUTE(SUBSTITUTE(LINES_NAME&amp;""," "," "),CHAR(9)," "),CHAR(10)," "),CHAR(13)," "))=$DH661),0),0),0))</f>
        <v/>
      </c>
      <c r="EO661">
        <f>IF($EN661=0,0,IF(OR(UPPER(TRIM(INDEX(LINES_SCHEDULED,$EN661)&amp;""))="YES",UPPER(TRIM(INDEX(LINES_SCHEDULED,$EN661)&amp;""))="Y",UPPER(TRIM(INDEX(LINES_SCHEDULED,$EN661)&amp;""))="X"),1,0))</f>
        <v/>
      </c>
      <c r="EP661">
        <f>IF($DM661=0,"",IF(COUNTIFS($EG$5:$EG$1003,$EG661,$EB$5:$EB$1003,"Ready")&gt;0,"READY",IF(COUNTIFS($EG$5:$EG$1003,$EG661,$EB$5:$EB$1003,"PM")&gt;0,"PM",IF(COUNTIFS($EG$5:$EG$1003,$EG661,$EB$5:$EB$1003,"OT")&gt;0,"OT",""))))</f>
        <v/>
      </c>
      <c r="EQ661">
        <f>IF($EN661=0,"",UPPER(TRIM(INDEX(LINES_STATUS,$EN661)&amp;"")))</f>
        <v/>
      </c>
      <c r="ER661">
        <f>IF($DM661=0,"",IF(OR($EQ661="READY",$EQ661="PM",$EQ661="OT"),$EQ661,$EP661))</f>
        <v/>
      </c>
      <c r="ES661">
        <f>IF($DM661=0,"",IF(AND($DV661&lt;&gt;"",UPPER($DV661)&lt;&gt;"N"),"allergen",IF(ISNUMBER(SEARCH("oil",$DQ661)),"oil",IF(OR(EXACT($DS661,"A662"),EXACT($DS661,"A624")),"bulk",""))))</f>
        <v/>
      </c>
      <c r="ET661">
        <f>IF($DM661=0,"",IF(OR($EA661="",$EA661=0),"",$EA661/100))</f>
        <v/>
      </c>
      <c r="EU661">
        <f>IF(OR($ET661="",$DY661=""),"",INT($DY661*(1-$ET661)+0.5))</f>
        <v/>
      </c>
      <c r="EW661" t="n">
        <v>657</v>
      </c>
      <c r="EX661">
        <f>IFERROR(MATCH($EW661,$EM$5:$EM$1003,0),0)</f>
        <v/>
      </c>
      <c r="EY661">
        <f>IF($EW661&gt;$B$12,"",IF($EX661&gt;0,"row","spacer"))</f>
        <v/>
      </c>
      <c r="EZ661">
        <f>IF(AND($EY661="row",$EY660&lt;&gt;"row"),1,0)</f>
        <v/>
      </c>
      <c r="FA661">
        <f>IF(AND($EY661="row",$EY662&lt;&gt;"row"),1,0)</f>
        <v/>
      </c>
      <c r="FB661">
        <f>IF($EZ661=1,IFERROR(IF(ISNUMBER(INDEX(PASTE_ALL,INDEX($DF$5:$DF$1003,$EX661),$B$37)),INDEX(PASTE_ALL,INDEX($DF$5:$DF$1003,$EX661),$B$37),INDEX($DH$5:$DH$1003,$EX661)),INDEX($DH$5:$DH$1003,$EX661)),"")</f>
        <v/>
      </c>
      <c r="FC661">
        <f>IF($EY661="row",INDEX($ER$5:$ER$1003,$EX661),"")</f>
        <v/>
      </c>
      <c r="FD661">
        <f>IF($EY661="row",INDEX($DN$5:$DN$1003,$EX661),"")</f>
        <v/>
      </c>
      <c r="FE661">
        <f>IF($EY661="row",INDEX($DO$5:$DO$1003,$EX661),"")</f>
        <v/>
      </c>
      <c r="FF661">
        <f>IF($EY661="row",INDEX($DP$5:$DP$1003,$EX661),"")</f>
        <v/>
      </c>
      <c r="FG661">
        <f>IF($EY661="row",INDEX($DQ$5:$DQ$1003,$EX661),"")</f>
        <v/>
      </c>
      <c r="FH661">
        <f>IF($EY661="row",INDEX($DR$5:$DR$1003,$EX661),"")</f>
        <v/>
      </c>
      <c r="FI661">
        <f>IF($EY661="row",INDEX($DS$5:$DS$1003,$EX661),"")</f>
        <v/>
      </c>
      <c r="FJ661">
        <f>IF($EY661="row",INDEX($DT$5:$DT$1003,$EX661),"")</f>
        <v/>
      </c>
      <c r="FK661">
        <f>IF($EY661="row",INDEX($DU$5:$DU$1003,$EX661),"")</f>
        <v/>
      </c>
      <c r="FL661">
        <f>IF($EY661="row",INDEX($DV$5:$DV$1003,$EX661),"")</f>
        <v/>
      </c>
      <c r="FM661">
        <f>IF($EY661="row",INDEX($DW$5:$DW$1003,$EX661),"")</f>
        <v/>
      </c>
      <c r="FN661">
        <f>IF($EY661="row",INDEX($DY$5:$DY$1003,$EX661),"")</f>
        <v/>
      </c>
      <c r="FO661">
        <f>IF($EY661="row",INDEX($EA$5:$EA$1003,$EX661),"")</f>
        <v/>
      </c>
      <c r="FP661">
        <f>IF($EY661="row",INDEX($EC$5:$EC$1003,$EX661),"")</f>
        <v/>
      </c>
      <c r="FQ661">
        <f>IF($EY661="row",INDEX($ET$5:$ET$1003,$EX661),"")</f>
        <v/>
      </c>
      <c r="FR661">
        <f>IF($EY661="row",INDEX($EU$5:$EU$1003,$EX661),"")</f>
        <v/>
      </c>
      <c r="FS661">
        <f>IF(AND($EY661="row",$EY660="row"),IF(OR(INDEX($DT$5:$DT$1003,$EX660)="",INDEX($DT$5:$DT$1003,$EX661)=""),"",IF(NOT(EXACT(INDEX($DT$5:$DT$1003,$EX660),INDEX($DT$5:$DT$1003,$EX661))),"S4",IF(NOT(EXACT(INDEX($DS$5:$DS$1003,$EX660),INDEX($DS$5:$DS$1003,$EX661))),"S3",IF(NOT(EXACT(INDEX($DR$5:$DR$1003,$EX660),INDEX($DR$5:$DR$1003,$EX661))),"S1 Count Change","S1")))),"")</f>
        <v/>
      </c>
      <c r="FT661">
        <f>IF($EY661="row",INDEX($ES$5:$ES$1003,$EX661),"")</f>
        <v/>
      </c>
      <c r="FU661">
        <f>IF($EY661="row",INDEX($EO$5:$EO$1003,$EX661),0)</f>
        <v/>
      </c>
      <c r="FV661">
        <f>IF($FS661="S1 Count Change",1,0)</f>
        <v/>
      </c>
    </row>
    <row r="662">
      <c r="DA662" t="n">
        <v>658</v>
      </c>
      <c r="DB662">
        <f>IF($B$37=0,"",IFERROR(TRIM(SUBSTITUTE(SUBSTITUTE(SUBSTITUTE(SUBSTITUTE(INDEX(PASTE_ALL,658,$B$37)," "," "),CHAR(9)," "),CHAR(10)," "),CHAR(13)," ")),""))</f>
        <v/>
      </c>
      <c r="DC662">
        <f>IF(AND(658&gt;HEADER_ROW,UPPER(DB662)="LEGEND"),1,0)</f>
        <v/>
      </c>
      <c r="DE662" t="n">
        <v>658</v>
      </c>
      <c r="DF662">
        <f>HEADER_ROW+$DE662</f>
        <v/>
      </c>
      <c r="DG662">
        <f>IF(AND($DF662&lt;=1000,$DF662&lt;$B$8),1,0)</f>
        <v/>
      </c>
      <c r="DH662">
        <f>IF($DG662=1,IFERROR(INDEX($DB$5:$DB$1004,$DF662),""),"")</f>
        <v/>
      </c>
      <c r="DI662">
        <f>IF(AND($DG662=1,$DH662&lt;&gt;""),IFERROR(SUBSTITUTE(SUBSTITUTE(TRIM(SUBSTITUTE(SUBSTITUTE(SUBSTITUTE(SUBSTITUTE(IFERROR(INDEX(PASTE_ALL,$DF662,1)&amp;"","")&amp;"␟"&amp;IFERROR(INDEX(PASTE_ALL,$DF662,2)&amp;"","")&amp;"␟"&amp;IFERROR(INDEX(PASTE_ALL,$DF662,3)&amp;"","")&amp;"␟"&amp;IFERROR(INDEX(PASTE_ALL,$DF662,4)&amp;"","")&amp;"␟"&amp;IFERROR(INDEX(PASTE_ALL,$DF662,5)&amp;"","")&amp;"␟"&amp;IFERROR(INDEX(PASTE_ALL,$DF662,6)&amp;"","")&amp;"␟"&amp;IFERROR(INDEX(PASTE_ALL,$DF662,7)&amp;"","")&amp;"␟"&amp;IFERROR(INDEX(PASTE_ALL,$DF662,8)&amp;"","")&amp;"␟"&amp;IFERROR(INDEX(PASTE_ALL,$DF662,9)&amp;"","")&amp;"␟"&amp;IFERROR(INDEX(PASTE_ALL,$DF662,10)&amp;"","")&amp;"␟"&amp;IFERROR(INDEX(PASTE_ALL,$DF662,11)&amp;"","")&amp;"␟"&amp;IFERROR(INDEX(PASTE_ALL,$DF662,12)&amp;"","")&amp;"␟"&amp;IFERROR(INDEX(PASTE_ALL,$DF662,13)&amp;"","")&amp;"␟"&amp;IFERROR(INDEX(PASTE_ALL,$DF662,14)&amp;"","")&amp;"␟"&amp;IFERROR(INDEX(PASTE_ALL,$DF662,15)&amp;"","")&amp;"␟"&amp;IFERROR(INDEX(PASTE_ALL,$DF662,16)&amp;"","")&amp;"␟"&amp;IFERROR(INDEX(PASTE_ALL,$DF662,17)&amp;"","")&amp;"␟"&amp;IFERROR(INDEX(PASTE_ALL,$DF662,18)&amp;"","")&amp;"␟"&amp;IFERROR(INDEX(PASTE_ALL,$DF662,19)&amp;"","")&amp;"␟"&amp;IFERROR(INDEX(PASTE_ALL,$DF662,20)&amp;"","")&amp;"␟"&amp;IFERROR(INDEX(PASTE_ALL,$DF662,21)&amp;"","")&amp;"␟"&amp;IFERROR(INDEX(PASTE_ALL,$DF662,22)&amp;"","")&amp;"␟"&amp;IFERROR(INDEX(PASTE_ALL,$DF662,23)&amp;"","")&amp;"␟"&amp;IFERROR(INDEX(PASTE_ALL,$DF662,24)&amp;"","")&amp;"␟"&amp;IFERROR(INDEX(PASTE_ALL,$DF662,25)&amp;"","")&amp;"␟"&amp;IFERROR(INDEX(PASTE_ALL,$DF662,26)&amp;"","")&amp;"␟"&amp;IFERROR(INDEX(PASTE_ALL,$DF662,27)&amp;"","")&amp;"␟"&amp;IFERROR(INDEX(PASTE_ALL,$DF662,28)&amp;"","")&amp;"␟"&amp;IFERROR(INDEX(PASTE_ALL,$DF662,29)&amp;"","")&amp;"␟"&amp;IFERROR(INDEX(PASTE_ALL,$DF662,30)&amp;"","")&amp;"␟"&amp;IFERROR(INDEX(PASTE_ALL,$DF662,31)&amp;"","")&amp;"␟"&amp;IFERROR(INDEX(PASTE_ALL,$DF662,32)&amp;"","")&amp;"␟"&amp;IFERROR(INDEX(PASTE_ALL,$DF662,33)&amp;"","")&amp;"␟"&amp;IFERROR(INDEX(PASTE_ALL,$DF662,34)&amp;"","")&amp;"␟"&amp;IFERROR(INDEX(PASTE_ALL,$DF662,35)&amp;"","")&amp;"␟"&amp;IFERROR(INDEX(PASTE_ALL,$DF662,36)&amp;"","")&amp;"␟"&amp;IFERROR(INDEX(PASTE_ALL,$DF662,37)&amp;"","")&amp;"␟"&amp;IFERROR(INDEX(PASTE_ALL,$DF662,38)&amp;"","")&amp;"␟"&amp;IFERROR(INDEX(PASTE_ALL,$DF662,39)&amp;"","")&amp;"␟"&amp;IFERROR(INDEX(PASTE_ALL,$DF662,40)&amp;"","")&amp;"␟"&amp;IFERROR(INDEX(PASTE_ALL,$DF662,41)&amp;"","")&amp;"␟"&amp;IFERROR(INDEX(PASTE_ALL,$DF662,42)&amp;"","")&amp;"␟"&amp;IFERROR(INDEX(PASTE_ALL,$DF662,43)&amp;"","")&amp;"␟"&amp;IFERROR(INDEX(PASTE_ALL,$DF662,44)&amp;"","")&amp;"␟"&amp;IFERROR(INDEX(PASTE_ALL,$DF662,45)&amp;"","")&amp;"␟"&amp;IFERROR(INDEX(PASTE_ALL,$DF662,46)&amp;"","")&amp;"␟"&amp;IFERROR(INDEX(PASTE_ALL,$DF662,47)&amp;"","")&amp;"␟"&amp;IFERROR(INDEX(PASTE_ALL,$DF662,48)&amp;"","")&amp;"␟"&amp;IFERROR(INDEX(PASTE_ALL,$DF662,49)&amp;"","")&amp;"␟"&amp;IFERROR(INDEX(PASTE_ALL,$DF662,50)&amp;"","")&amp;"␟"&amp;IFERROR(INDEX(PASTE_ALL,$DF662,51)&amp;"","")&amp;"␟"&amp;IFERROR(INDEX(PASTE_ALL,$DF662,52)&amp;"","")&amp;"␟"&amp;IFERROR(INDEX(PASTE_ALL,$DF662,53)&amp;"","")&amp;"␟"&amp;IFERROR(INDEX(PASTE_ALL,$DF662,54)&amp;"","")&amp;"␟"&amp;IFERROR(INDEX(PASTE_ALL,$DF662,55)&amp;"","")&amp;"␟"&amp;IFERROR(INDEX(PASTE_ALL,$DF662,56)&amp;"","")&amp;"␟"&amp;IFERROR(INDEX(PASTE_ALL,$DF662,57)&amp;"","")&amp;"␟"&amp;IFERROR(INDEX(PASTE_ALL,$DF662,58)&amp;"","")&amp;"␟"&amp;IFERROR(INDEX(PASTE_ALL,$DF662,59)&amp;"","")&amp;"␟"&amp;IFERROR(INDEX(PASTE_ALL,$DF662,60)&amp;"","")," "," "),CHAR(9)," "),CHAR(10)," "),CHAR(13)," "))," ␟","␟"),"␟ ","␟"),"#"&amp;$DE662),"")</f>
        <v/>
      </c>
      <c r="DJ662">
        <f>IF($DI662="",0,IF(SUMPRODUCT(--EXACT($DI$4:DI661,$DI662))&gt;0,1,0))</f>
        <v/>
      </c>
      <c r="DK662">
        <f>IF(AND($DI662&lt;&gt;"",$DJ662=0),1,0)</f>
        <v/>
      </c>
      <c r="DL662">
        <f>DL661+$DK662</f>
        <v/>
      </c>
      <c r="DM662">
        <f>IF(AND($DK662=1,$DL662&lt;=600),1,0)</f>
        <v/>
      </c>
      <c r="DN662">
        <f>IF($DM662=0,"",IF($L$6=0,"",IFERROR(IF(ISNUMBER(INDEX(PASTE_ALL,$DF662,$L$6)),INDEX(PASTE_ALL,$DF662,$L$6),TRIM(SUBSTITUTE(SUBSTITUTE(SUBSTITUTE(SUBSTITUTE(INDEX(PASTE_ALL,$DF662,$L$6)," "," "),CHAR(9)," "),CHAR(10)," "),CHAR(13)," "))),"")))</f>
        <v/>
      </c>
      <c r="DO662">
        <f>IF($DM662=0,"",IF($L$7=0,"",IFERROR(IF(ISNUMBER(INDEX(PASTE_ALL,$DF662,$L$7)),INDEX(PASTE_ALL,$DF662,$L$7),TRIM(SUBSTITUTE(SUBSTITUTE(SUBSTITUTE(SUBSTITUTE(INDEX(PASTE_ALL,$DF662,$L$7)," "," "),CHAR(9)," "),CHAR(10)," "),CHAR(13)," "))),"")))</f>
        <v/>
      </c>
      <c r="DP662">
        <f>IF($DM662=0,"",IF($L$8=0,"",IFERROR(IF(ISNUMBER(INDEX(PASTE_ALL,$DF662,$L$8)),INDEX(PASTE_ALL,$DF662,$L$8),TRIM(SUBSTITUTE(SUBSTITUTE(SUBSTITUTE(SUBSTITUTE(INDEX(PASTE_ALL,$DF662,$L$8)," "," "),CHAR(9)," "),CHAR(10)," "),CHAR(13)," "))),"")))</f>
        <v/>
      </c>
      <c r="DQ662">
        <f>IF($DM662=0,"",IF($L$9=0,"",IFERROR(IF(ISNUMBER(INDEX(PASTE_ALL,$DF662,$L$9)),INDEX(PASTE_ALL,$DF662,$L$9),TRIM(SUBSTITUTE(SUBSTITUTE(SUBSTITUTE(SUBSTITUTE(INDEX(PASTE_ALL,$DF662,$L$9)," "," "),CHAR(9)," "),CHAR(10)," "),CHAR(13)," "))),"")))</f>
        <v/>
      </c>
      <c r="DR662">
        <f>IF($DM662=0,"",IF($L$10=0,"",IFERROR(IF(ISNUMBER(INDEX(PASTE_ALL,$DF662,$L$10)),INDEX(PASTE_ALL,$DF662,$L$10),TRIM(SUBSTITUTE(SUBSTITUTE(SUBSTITUTE(SUBSTITUTE(INDEX(PASTE_ALL,$DF662,$L$10)," "," "),CHAR(9)," "),CHAR(10)," "),CHAR(13)," "))),"")))</f>
        <v/>
      </c>
      <c r="DS662">
        <f>IF($DM662=0,"",IF($L$11=0,"",IFERROR(IF(ISNUMBER(INDEX(PASTE_ALL,$DF662,$L$11)),INDEX(PASTE_ALL,$DF662,$L$11),TRIM(SUBSTITUTE(SUBSTITUTE(SUBSTITUTE(SUBSTITUTE(INDEX(PASTE_ALL,$DF662,$L$11)," "," "),CHAR(9)," "),CHAR(10)," "),CHAR(13)," "))),"")))</f>
        <v/>
      </c>
      <c r="DT662">
        <f>IF($DM662=0,"",IF($L$12=0,"",IFERROR(IF(ISNUMBER(INDEX(PASTE_ALL,$DF662,$L$12)),INDEX(PASTE_ALL,$DF662,$L$12),TRIM(SUBSTITUTE(SUBSTITUTE(SUBSTITUTE(SUBSTITUTE(INDEX(PASTE_ALL,$DF662,$L$12)," "," "),CHAR(9)," "),CHAR(10)," "),CHAR(13)," "))),"")))</f>
        <v/>
      </c>
      <c r="DU662">
        <f>IF($DM662=0,"",IF($L$13=0,"",IFERROR(IF(ISNUMBER(INDEX(PASTE_ALL,$DF662,$L$13)),INDEX(PASTE_ALL,$DF662,$L$13),TRIM(SUBSTITUTE(SUBSTITUTE(SUBSTITUTE(SUBSTITUTE(INDEX(PASTE_ALL,$DF662,$L$13)," "," "),CHAR(9)," "),CHAR(10)," "),CHAR(13)," "))),"")))</f>
        <v/>
      </c>
      <c r="DV662">
        <f>IF($DM662=0,"",IF($L$14=0,"",IFERROR(IF(ISNUMBER(INDEX(PASTE_ALL,$DF662,$L$14)),INDEX(PASTE_ALL,$DF662,$L$14),TRIM(SUBSTITUTE(SUBSTITUTE(SUBSTITUTE(SUBSTITUTE(INDEX(PASTE_ALL,$DF662,$L$14)," "," "),CHAR(9)," "),CHAR(10)," "),CHAR(13)," "))),"")))</f>
        <v/>
      </c>
      <c r="DW662">
        <f>IF($DM662=0,"",IF($L$15=0,"",IFERROR(IF(ISNUMBER(INDEX(PASTE_ALL,$DF662,$L$15)),INDEX(PASTE_ALL,$DF662,$L$15),IF(SUMPRODUCT(--ISNUMBER(FIND({"A","B","C","D","E","F","G","H","I","J","K","L","M","N","O","P","Q","R","S","T","U","V","W","X","Y","Z","0","1","2","3","4","5","6","7","8","9"},UPPER(TRIM(SUBSTITUTE(SUBSTITUTE(SUBSTITUTE(SUBSTITUTE(INDEX(PASTE_ALL,$DF662,$L$15)," "," "),CHAR(9)," "),CHAR(10)," "),CHAR(13)," "))))))&gt;0,TRIM(SUBSTITUTE(SUBSTITUTE(SUBSTITUTE(SUBSTITUTE(INDEX(PASTE_ALL,$DF662,$L$15)," "," "),CHAR(9)," "),CHAR(10)," "),CHAR(13)," ")),"")),"")))</f>
        <v/>
      </c>
      <c r="DX662">
        <f>IF($DM662=0,"",IF($L$16=0,"",IFERROR(IF(ISNUMBER(INDEX(PASTE_ALL,$DF662,$L$16)),INDEX(PASTE_ALL,$DF662,$L$16),SUBSTITUTE(SUBSTITUTE(TRIM(SUBSTITUTE(SUBSTITUTE(SUBSTITUTE(SUBSTITUTE(INDEX(PASTE_ALL,$DF662,$L$16)," "," "),CHAR(9)," "),CHAR(10)," "),CHAR(13)," ")),",",""),"%","")),"")))</f>
        <v/>
      </c>
      <c r="DY662">
        <f>IF($DM662=0,"",IFERROR(IF(ISNUMBER($DX662),$DX662,IF($DX662="","",IF(TRIM($DX662)="",0,IF(AND(AND(SUBSTITUTE(SUBSTITUTE(SUBSTITUTE(SUBSTITUTE(SUBSTITUTE(SUBSTITUTE(SUBSTITUTE(SUBSTITUTE(SUBSTITUTE(SUBSTITUTE(SUBSTITUTE(SUBSTITUTE(SUBSTITUTE(SUBSTITUTE(UPPER(TRIM($DX662)),"0",""),"1",""),"2",""),"3",""),"4",""),"5",""),"6",""),"7",""),"8",""),"9",""),".",""),"+",""),"-",""),"E","")="",LEN(SUBSTITUTE(SUBSTITUTE(MID(UPPER(TRIM($DX662)),1+OR(LEFT(UPPER(TRIM($DX662)),1)="+",LEFT(UPPER(TRIM($DX662)),1)="-"),999),"E+","E"),"E-","E"))=LEN(SUBSTITUTE(SUBSTITUTE(SUBSTITUTE(SUBSTITUTE(MID(UPPER(TRIM($DX662)),1+OR(LEFT(UPPER(TRIM($DX662)),1)="+",LEFT(UPPER(TRIM($DX662)),1)="-"),999),"E+","E"),"E-","E"),"+",""),"-","")),LEN(UPPER(TRIM($DX662)))-LEN(SUBSTITUTE(UPPER(TRIM($DX662)),"E",""))&lt;2,LEN(UPPER(TRIM($DX662)))-LEN(SUBSTITUTE(UPPER(TRIM($DX662)),".",""))&lt;2,IFERROR(FIND(".",UPPER(TRIM($DX662))),0)&lt;IFERROR(FIND("E",UPPER(TRIM($DX662))),999)),ISNUMBER(VALUE(TRIM($DX662)))),VALUE(TRIM($DX662)),"")))),""))</f>
        <v/>
      </c>
      <c r="DZ662">
        <f>IF($DM662=0,"",IF($L$17=0,"",IFERROR(IF(ISNUMBER(INDEX(PASTE_ALL,$DF662,$L$17)),INDEX(PASTE_ALL,$DF662,$L$17),SUBSTITUTE(SUBSTITUTE(TRIM(SUBSTITUTE(SUBSTITUTE(SUBSTITUTE(SUBSTITUTE(INDEX(PASTE_ALL,$DF662,$L$17)," "," "),CHAR(9)," "),CHAR(10)," "),CHAR(13)," ")),",",""),"%","")),"")))</f>
        <v/>
      </c>
      <c r="EA662">
        <f>IF($DM662=0,"",IFERROR(IF(ISNUMBER($DZ662),$DZ662,IF($DZ662="","",IF(TRIM($DZ662)="",0,IF(AND(AND(SUBSTITUTE(SUBSTITUTE(SUBSTITUTE(SUBSTITUTE(SUBSTITUTE(SUBSTITUTE(SUBSTITUTE(SUBSTITUTE(SUBSTITUTE(SUBSTITUTE(SUBSTITUTE(SUBSTITUTE(SUBSTITUTE(SUBSTITUTE(UPPER(TRIM($DZ662)),"0",""),"1",""),"2",""),"3",""),"4",""),"5",""),"6",""),"7",""),"8",""),"9",""),".",""),"+",""),"-",""),"E","")="",LEN(SUBSTITUTE(SUBSTITUTE(MID(UPPER(TRIM($DZ662)),1+OR(LEFT(UPPER(TRIM($DZ662)),1)="+",LEFT(UPPER(TRIM($DZ662)),1)="-"),999),"E+","E"),"E-","E"))=LEN(SUBSTITUTE(SUBSTITUTE(SUBSTITUTE(SUBSTITUTE(MID(UPPER(TRIM($DZ662)),1+OR(LEFT(UPPER(TRIM($DZ662)),1)="+",LEFT(UPPER(TRIM($DZ662)),1)="-"),999),"E+","E"),"E-","E"),"+",""),"-","")),LEN(UPPER(TRIM($DZ662)))-LEN(SUBSTITUTE(UPPER(TRIM($DZ662)),"E",""))&lt;2,LEN(UPPER(TRIM($DZ662)))-LEN(SUBSTITUTE(UPPER(TRIM($DZ662)),".",""))&lt;2,IFERROR(FIND(".",UPPER(TRIM($DZ662))),0)&lt;IFERROR(FIND("E",UPPER(TRIM($DZ662))),999)),ISNUMBER(VALUE(TRIM($DZ662)))),VALUE(TRIM($DZ662)),"")))),""))</f>
        <v/>
      </c>
      <c r="EB662">
        <f>IF($DM662=0,"",IF($L$18=0,"",IFERROR(IF(UPPER(TRIM(SUBSTITUTE(SUBSTITUTE(SUBSTITUTE(SUBSTITUTE(INDEX(PASTE_ALL,$DF662,$L$18)," "," "),CHAR(9)," "),CHAR(10)," "),CHAR(13)," ")))="READY","Ready",IF(UPPER(TRIM(SUBSTITUTE(SUBSTITUTE(SUBSTITUTE(SUBSTITUTE(INDEX(PASTE_ALL,$DF662,$L$18)," "," "),CHAR(9)," "),CHAR(10)," "),CHAR(13)," ")))="PM","PM",IF(OR(UPPER(TRIM(SUBSTITUTE(SUBSTITUTE(SUBSTITUTE(SUBSTITUTE(INDEX(PASTE_ALL,$DF662,$L$18)," "," "),CHAR(9)," "),CHAR(10)," "),CHAR(13)," ")))="OT",UPPER(TRIM(SUBSTITUTE(SUBSTITUTE(SUBSTITUTE(SUBSTITUTE(INDEX(PASTE_ALL,$DF662,$L$18)," "," "),CHAR(9)," "),CHAR(10)," "),CHAR(13)," ")))="OVERTIME",UPPER(TRIM(SUBSTITUTE(SUBSTITUTE(SUBSTITUTE(SUBSTITUTE(INDEX(PASTE_ALL,$DF662,$L$18)," "," "),CHAR(9)," "),CHAR(10)," "),CHAR(13)," ")))="TRIAL"),"OT",TRIM(SUBSTITUTE(SUBSTITUTE(SUBSTITUTE(SUBSTITUTE(INDEX(PASTE_ALL,$DF662,$L$18)," "," "),CHAR(9)," "),CHAR(10)," "),CHAR(13)," "))))),"")))</f>
        <v/>
      </c>
      <c r="EC662">
        <f>IF($DM662=0,"",IF($L$19=0,"",IFERROR(IF(ISNUMBER(INDEX(PASTE_ALL,$DF662,$L$19)),INDEX(PASTE_ALL,$DF662,$L$19),TRIM(SUBSTITUTE(SUBSTITUTE(SUBSTITUTE(SUBSTITUTE(INDEX(PASTE_ALL,$DF662,$L$19)," "," "),CHAR(9)," "),CHAR(10)," "),CHAR(13)," "))),"")))</f>
        <v/>
      </c>
      <c r="ED662">
        <f>IF($DM662=0,"",MATCH(1,INDEX(EXACT($DH$5:DH662,$DH662)*$DM$5:DM662,0),0))</f>
        <v/>
      </c>
      <c r="EE662">
        <f>IF($DM662=0,0,IF($ED662=$DE662,1,0))</f>
        <v/>
      </c>
      <c r="EF662">
        <f>EF661+$EE662</f>
        <v/>
      </c>
      <c r="EG662">
        <f>IF($DM662=0,"",INDEX($EF$5:$EF$1003,$ED662))</f>
        <v/>
      </c>
      <c r="EH662">
        <f>IF($DM662=0,"",IF($DO662&lt;&gt;"","",IFERROR(LOOKUP(2,1/(($EG$4:EG661=$EG662)*($DO$4:DO661&lt;&gt;"")),$DO$4:DO661),"")))</f>
        <v/>
      </c>
      <c r="EI662">
        <f>IF($DM662=0,"",IF($DO662&lt;&gt;"",$DO662,$EH662))</f>
        <v/>
      </c>
      <c r="EJ662">
        <f>IF($DM662=0,"",IF($EI662="",0,IF(OR(ISNUMBER($EI662),AND(AND(SUBSTITUTE(SUBSTITUTE(SUBSTITUTE(SUBSTITUTE(SUBSTITUTE(SUBSTITUTE(SUBSTITUTE(SUBSTITUTE(SUBSTITUTE(SUBSTITUTE(SUBSTITUTE(SUBSTITUTE(SUBSTITUTE(SUBSTITUTE(UPPER($EI662),"0",""),"1",""),"2",""),"3",""),"4",""),"5",""),"6",""),"7",""),"8",""),"9",""),".",""),"+",""),"-",""),"E","")="",LEN(SUBSTITUTE(SUBSTITUTE(MID(UPPER($EI662),1+OR(LEFT(UPPER($EI662),1)="+",LEFT(UPPER($EI662),1)="-"),999),"E+","E"),"E-","E"))=LEN(SUBSTITUTE(SUBSTITUTE(SUBSTITUTE(SUBSTITUTE(MID(UPPER($EI662),1+OR(LEFT(UPPER($EI662),1)="+",LEFT(UPPER($EI662),1)="-"),999),"E+","E"),"E-","E"),"+",""),"-","")),LEN(UPPER($EI662))-LEN(SUBSTITUTE(UPPER($EI662),"E",""))&lt;2,LEN(UPPER($EI662))-LEN(SUBSTITUTE(UPPER($EI662),".",""))&lt;2,IFERROR(FIND(".",UPPER($EI662)),0)&lt;IFERROR(FIND("E",UPPER($EI662)),999)),ISNUMBER(VALUE($EI662)))),1,2)))</f>
        <v/>
      </c>
      <c r="EK662">
        <f>IF($DM662=0,"",IF($EJ662=1,IF(ISNUMBER($EI662),$EI662,VALUE($EI662)),IF($EJ662=2,$DE662,0)))</f>
        <v/>
      </c>
      <c r="EL662">
        <f>IF($DM662=0,"",COUNTIF($EG$5:$EG$1003,"&lt;"&amp;$EG662)+SUMPRODUCT(($EG$5:$EG$1003=$EG662)*(($EJ$5:$EJ$1003&lt;$EJ662)+($EJ$5:$EJ$1003=$EJ662)*(($EK$5:$EK$1003&lt;$EK662)+($EK$5:$EK$1003=$EK662)*($DE$5:$DE$1003&lt;$DE662))))+1)</f>
        <v/>
      </c>
      <c r="EM662">
        <f>IF($DM662=0,"",$EL662+$EG662-1)</f>
        <v/>
      </c>
      <c r="EN662">
        <f>IF($DM662=0,0,IFERROR(MATCH(1,INDEX(--(TRIM(SUBSTITUTE(SUBSTITUTE(SUBSTITUTE(SUBSTITUTE(LINES_NAME&amp;""," "," "),CHAR(9)," "),CHAR(10)," "),CHAR(13)," "))=$DH662),0),0),0))</f>
        <v/>
      </c>
      <c r="EO662">
        <f>IF($EN662=0,0,IF(OR(UPPER(TRIM(INDEX(LINES_SCHEDULED,$EN662)&amp;""))="YES",UPPER(TRIM(INDEX(LINES_SCHEDULED,$EN662)&amp;""))="Y",UPPER(TRIM(INDEX(LINES_SCHEDULED,$EN662)&amp;""))="X"),1,0))</f>
        <v/>
      </c>
      <c r="EP662">
        <f>IF($DM662=0,"",IF(COUNTIFS($EG$5:$EG$1003,$EG662,$EB$5:$EB$1003,"Ready")&gt;0,"READY",IF(COUNTIFS($EG$5:$EG$1003,$EG662,$EB$5:$EB$1003,"PM")&gt;0,"PM",IF(COUNTIFS($EG$5:$EG$1003,$EG662,$EB$5:$EB$1003,"OT")&gt;0,"OT",""))))</f>
        <v/>
      </c>
      <c r="EQ662">
        <f>IF($EN662=0,"",UPPER(TRIM(INDEX(LINES_STATUS,$EN662)&amp;"")))</f>
        <v/>
      </c>
      <c r="ER662">
        <f>IF($DM662=0,"",IF(OR($EQ662="READY",$EQ662="PM",$EQ662="OT"),$EQ662,$EP662))</f>
        <v/>
      </c>
      <c r="ES662">
        <f>IF($DM662=0,"",IF(AND($DV662&lt;&gt;"",UPPER($DV662)&lt;&gt;"N"),"allergen",IF(ISNUMBER(SEARCH("oil",$DQ662)),"oil",IF(OR(EXACT($DS662,"A662"),EXACT($DS662,"A624")),"bulk",""))))</f>
        <v/>
      </c>
      <c r="ET662">
        <f>IF($DM662=0,"",IF(OR($EA662="",$EA662=0),"",$EA662/100))</f>
        <v/>
      </c>
      <c r="EU662">
        <f>IF(OR($ET662="",$DY662=""),"",INT($DY662*(1-$ET662)+0.5))</f>
        <v/>
      </c>
      <c r="EW662" t="n">
        <v>658</v>
      </c>
      <c r="EX662">
        <f>IFERROR(MATCH($EW662,$EM$5:$EM$1003,0),0)</f>
        <v/>
      </c>
      <c r="EY662">
        <f>IF($EW662&gt;$B$12,"",IF($EX662&gt;0,"row","spacer"))</f>
        <v/>
      </c>
      <c r="EZ662">
        <f>IF(AND($EY662="row",$EY661&lt;&gt;"row"),1,0)</f>
        <v/>
      </c>
      <c r="FA662">
        <f>IF(AND($EY662="row",$EY663&lt;&gt;"row"),1,0)</f>
        <v/>
      </c>
      <c r="FB662">
        <f>IF($EZ662=1,IFERROR(IF(ISNUMBER(INDEX(PASTE_ALL,INDEX($DF$5:$DF$1003,$EX662),$B$37)),INDEX(PASTE_ALL,INDEX($DF$5:$DF$1003,$EX662),$B$37),INDEX($DH$5:$DH$1003,$EX662)),INDEX($DH$5:$DH$1003,$EX662)),"")</f>
        <v/>
      </c>
      <c r="FC662">
        <f>IF($EY662="row",INDEX($ER$5:$ER$1003,$EX662),"")</f>
        <v/>
      </c>
      <c r="FD662">
        <f>IF($EY662="row",INDEX($DN$5:$DN$1003,$EX662),"")</f>
        <v/>
      </c>
      <c r="FE662">
        <f>IF($EY662="row",INDEX($DO$5:$DO$1003,$EX662),"")</f>
        <v/>
      </c>
      <c r="FF662">
        <f>IF($EY662="row",INDEX($DP$5:$DP$1003,$EX662),"")</f>
        <v/>
      </c>
      <c r="FG662">
        <f>IF($EY662="row",INDEX($DQ$5:$DQ$1003,$EX662),"")</f>
        <v/>
      </c>
      <c r="FH662">
        <f>IF($EY662="row",INDEX($DR$5:$DR$1003,$EX662),"")</f>
        <v/>
      </c>
      <c r="FI662">
        <f>IF($EY662="row",INDEX($DS$5:$DS$1003,$EX662),"")</f>
        <v/>
      </c>
      <c r="FJ662">
        <f>IF($EY662="row",INDEX($DT$5:$DT$1003,$EX662),"")</f>
        <v/>
      </c>
      <c r="FK662">
        <f>IF($EY662="row",INDEX($DU$5:$DU$1003,$EX662),"")</f>
        <v/>
      </c>
      <c r="FL662">
        <f>IF($EY662="row",INDEX($DV$5:$DV$1003,$EX662),"")</f>
        <v/>
      </c>
      <c r="FM662">
        <f>IF($EY662="row",INDEX($DW$5:$DW$1003,$EX662),"")</f>
        <v/>
      </c>
      <c r="FN662">
        <f>IF($EY662="row",INDEX($DY$5:$DY$1003,$EX662),"")</f>
        <v/>
      </c>
      <c r="FO662">
        <f>IF($EY662="row",INDEX($EA$5:$EA$1003,$EX662),"")</f>
        <v/>
      </c>
      <c r="FP662">
        <f>IF($EY662="row",INDEX($EC$5:$EC$1003,$EX662),"")</f>
        <v/>
      </c>
      <c r="FQ662">
        <f>IF($EY662="row",INDEX($ET$5:$ET$1003,$EX662),"")</f>
        <v/>
      </c>
      <c r="FR662">
        <f>IF($EY662="row",INDEX($EU$5:$EU$1003,$EX662),"")</f>
        <v/>
      </c>
      <c r="FS662">
        <f>IF(AND($EY662="row",$EY661="row"),IF(OR(INDEX($DT$5:$DT$1003,$EX661)="",INDEX($DT$5:$DT$1003,$EX662)=""),"",IF(NOT(EXACT(INDEX($DT$5:$DT$1003,$EX661),INDEX($DT$5:$DT$1003,$EX662))),"S4",IF(NOT(EXACT(INDEX($DS$5:$DS$1003,$EX661),INDEX($DS$5:$DS$1003,$EX662))),"S3",IF(NOT(EXACT(INDEX($DR$5:$DR$1003,$EX661),INDEX($DR$5:$DR$1003,$EX662))),"S1 Count Change","S1")))),"")</f>
        <v/>
      </c>
      <c r="FT662">
        <f>IF($EY662="row",INDEX($ES$5:$ES$1003,$EX662),"")</f>
        <v/>
      </c>
      <c r="FU662">
        <f>IF($EY662="row",INDEX($EO$5:$EO$1003,$EX662),0)</f>
        <v/>
      </c>
      <c r="FV662">
        <f>IF($FS662="S1 Count Change",1,0)</f>
        <v/>
      </c>
    </row>
    <row r="663">
      <c r="DA663" t="n">
        <v>659</v>
      </c>
      <c r="DB663">
        <f>IF($B$37=0,"",IFERROR(TRIM(SUBSTITUTE(SUBSTITUTE(SUBSTITUTE(SUBSTITUTE(INDEX(PASTE_ALL,659,$B$37)," "," "),CHAR(9)," "),CHAR(10)," "),CHAR(13)," ")),""))</f>
        <v/>
      </c>
      <c r="DC663">
        <f>IF(AND(659&gt;HEADER_ROW,UPPER(DB663)="LEGEND"),1,0)</f>
        <v/>
      </c>
      <c r="DE663" t="n">
        <v>659</v>
      </c>
      <c r="DF663">
        <f>HEADER_ROW+$DE663</f>
        <v/>
      </c>
      <c r="DG663">
        <f>IF(AND($DF663&lt;=1000,$DF663&lt;$B$8),1,0)</f>
        <v/>
      </c>
      <c r="DH663">
        <f>IF($DG663=1,IFERROR(INDEX($DB$5:$DB$1004,$DF663),""),"")</f>
        <v/>
      </c>
      <c r="DI663">
        <f>IF(AND($DG663=1,$DH663&lt;&gt;""),IFERROR(SUBSTITUTE(SUBSTITUTE(TRIM(SUBSTITUTE(SUBSTITUTE(SUBSTITUTE(SUBSTITUTE(IFERROR(INDEX(PASTE_ALL,$DF663,1)&amp;"","")&amp;"␟"&amp;IFERROR(INDEX(PASTE_ALL,$DF663,2)&amp;"","")&amp;"␟"&amp;IFERROR(INDEX(PASTE_ALL,$DF663,3)&amp;"","")&amp;"␟"&amp;IFERROR(INDEX(PASTE_ALL,$DF663,4)&amp;"","")&amp;"␟"&amp;IFERROR(INDEX(PASTE_ALL,$DF663,5)&amp;"","")&amp;"␟"&amp;IFERROR(INDEX(PASTE_ALL,$DF663,6)&amp;"","")&amp;"␟"&amp;IFERROR(INDEX(PASTE_ALL,$DF663,7)&amp;"","")&amp;"␟"&amp;IFERROR(INDEX(PASTE_ALL,$DF663,8)&amp;"","")&amp;"␟"&amp;IFERROR(INDEX(PASTE_ALL,$DF663,9)&amp;"","")&amp;"␟"&amp;IFERROR(INDEX(PASTE_ALL,$DF663,10)&amp;"","")&amp;"␟"&amp;IFERROR(INDEX(PASTE_ALL,$DF663,11)&amp;"","")&amp;"␟"&amp;IFERROR(INDEX(PASTE_ALL,$DF663,12)&amp;"","")&amp;"␟"&amp;IFERROR(INDEX(PASTE_ALL,$DF663,13)&amp;"","")&amp;"␟"&amp;IFERROR(INDEX(PASTE_ALL,$DF663,14)&amp;"","")&amp;"␟"&amp;IFERROR(INDEX(PASTE_ALL,$DF663,15)&amp;"","")&amp;"␟"&amp;IFERROR(INDEX(PASTE_ALL,$DF663,16)&amp;"","")&amp;"␟"&amp;IFERROR(INDEX(PASTE_ALL,$DF663,17)&amp;"","")&amp;"␟"&amp;IFERROR(INDEX(PASTE_ALL,$DF663,18)&amp;"","")&amp;"␟"&amp;IFERROR(INDEX(PASTE_ALL,$DF663,19)&amp;"","")&amp;"␟"&amp;IFERROR(INDEX(PASTE_ALL,$DF663,20)&amp;"","")&amp;"␟"&amp;IFERROR(INDEX(PASTE_ALL,$DF663,21)&amp;"","")&amp;"␟"&amp;IFERROR(INDEX(PASTE_ALL,$DF663,22)&amp;"","")&amp;"␟"&amp;IFERROR(INDEX(PASTE_ALL,$DF663,23)&amp;"","")&amp;"␟"&amp;IFERROR(INDEX(PASTE_ALL,$DF663,24)&amp;"","")&amp;"␟"&amp;IFERROR(INDEX(PASTE_ALL,$DF663,25)&amp;"","")&amp;"␟"&amp;IFERROR(INDEX(PASTE_ALL,$DF663,26)&amp;"","")&amp;"␟"&amp;IFERROR(INDEX(PASTE_ALL,$DF663,27)&amp;"","")&amp;"␟"&amp;IFERROR(INDEX(PASTE_ALL,$DF663,28)&amp;"","")&amp;"␟"&amp;IFERROR(INDEX(PASTE_ALL,$DF663,29)&amp;"","")&amp;"␟"&amp;IFERROR(INDEX(PASTE_ALL,$DF663,30)&amp;"","")&amp;"␟"&amp;IFERROR(INDEX(PASTE_ALL,$DF663,31)&amp;"","")&amp;"␟"&amp;IFERROR(INDEX(PASTE_ALL,$DF663,32)&amp;"","")&amp;"␟"&amp;IFERROR(INDEX(PASTE_ALL,$DF663,33)&amp;"","")&amp;"␟"&amp;IFERROR(INDEX(PASTE_ALL,$DF663,34)&amp;"","")&amp;"␟"&amp;IFERROR(INDEX(PASTE_ALL,$DF663,35)&amp;"","")&amp;"␟"&amp;IFERROR(INDEX(PASTE_ALL,$DF663,36)&amp;"","")&amp;"␟"&amp;IFERROR(INDEX(PASTE_ALL,$DF663,37)&amp;"","")&amp;"␟"&amp;IFERROR(INDEX(PASTE_ALL,$DF663,38)&amp;"","")&amp;"␟"&amp;IFERROR(INDEX(PASTE_ALL,$DF663,39)&amp;"","")&amp;"␟"&amp;IFERROR(INDEX(PASTE_ALL,$DF663,40)&amp;"","")&amp;"␟"&amp;IFERROR(INDEX(PASTE_ALL,$DF663,41)&amp;"","")&amp;"␟"&amp;IFERROR(INDEX(PASTE_ALL,$DF663,42)&amp;"","")&amp;"␟"&amp;IFERROR(INDEX(PASTE_ALL,$DF663,43)&amp;"","")&amp;"␟"&amp;IFERROR(INDEX(PASTE_ALL,$DF663,44)&amp;"","")&amp;"␟"&amp;IFERROR(INDEX(PASTE_ALL,$DF663,45)&amp;"","")&amp;"␟"&amp;IFERROR(INDEX(PASTE_ALL,$DF663,46)&amp;"","")&amp;"␟"&amp;IFERROR(INDEX(PASTE_ALL,$DF663,47)&amp;"","")&amp;"␟"&amp;IFERROR(INDEX(PASTE_ALL,$DF663,48)&amp;"","")&amp;"␟"&amp;IFERROR(INDEX(PASTE_ALL,$DF663,49)&amp;"","")&amp;"␟"&amp;IFERROR(INDEX(PASTE_ALL,$DF663,50)&amp;"","")&amp;"␟"&amp;IFERROR(INDEX(PASTE_ALL,$DF663,51)&amp;"","")&amp;"␟"&amp;IFERROR(INDEX(PASTE_ALL,$DF663,52)&amp;"","")&amp;"␟"&amp;IFERROR(INDEX(PASTE_ALL,$DF663,53)&amp;"","")&amp;"␟"&amp;IFERROR(INDEX(PASTE_ALL,$DF663,54)&amp;"","")&amp;"␟"&amp;IFERROR(INDEX(PASTE_ALL,$DF663,55)&amp;"","")&amp;"␟"&amp;IFERROR(INDEX(PASTE_ALL,$DF663,56)&amp;"","")&amp;"␟"&amp;IFERROR(INDEX(PASTE_ALL,$DF663,57)&amp;"","")&amp;"␟"&amp;IFERROR(INDEX(PASTE_ALL,$DF663,58)&amp;"","")&amp;"␟"&amp;IFERROR(INDEX(PASTE_ALL,$DF663,59)&amp;"","")&amp;"␟"&amp;IFERROR(INDEX(PASTE_ALL,$DF663,60)&amp;"","")," "," "),CHAR(9)," "),CHAR(10)," "),CHAR(13)," "))," ␟","␟"),"␟ ","␟"),"#"&amp;$DE663),"")</f>
        <v/>
      </c>
      <c r="DJ663">
        <f>IF($DI663="",0,IF(SUMPRODUCT(--EXACT($DI$4:DI662,$DI663))&gt;0,1,0))</f>
        <v/>
      </c>
      <c r="DK663">
        <f>IF(AND($DI663&lt;&gt;"",$DJ663=0),1,0)</f>
        <v/>
      </c>
      <c r="DL663">
        <f>DL662+$DK663</f>
        <v/>
      </c>
      <c r="DM663">
        <f>IF(AND($DK663=1,$DL663&lt;=600),1,0)</f>
        <v/>
      </c>
      <c r="DN663">
        <f>IF($DM663=0,"",IF($L$6=0,"",IFERROR(IF(ISNUMBER(INDEX(PASTE_ALL,$DF663,$L$6)),INDEX(PASTE_ALL,$DF663,$L$6),TRIM(SUBSTITUTE(SUBSTITUTE(SUBSTITUTE(SUBSTITUTE(INDEX(PASTE_ALL,$DF663,$L$6)," "," "),CHAR(9)," "),CHAR(10)," "),CHAR(13)," "))),"")))</f>
        <v/>
      </c>
      <c r="DO663">
        <f>IF($DM663=0,"",IF($L$7=0,"",IFERROR(IF(ISNUMBER(INDEX(PASTE_ALL,$DF663,$L$7)),INDEX(PASTE_ALL,$DF663,$L$7),TRIM(SUBSTITUTE(SUBSTITUTE(SUBSTITUTE(SUBSTITUTE(INDEX(PASTE_ALL,$DF663,$L$7)," "," "),CHAR(9)," "),CHAR(10)," "),CHAR(13)," "))),"")))</f>
        <v/>
      </c>
      <c r="DP663">
        <f>IF($DM663=0,"",IF($L$8=0,"",IFERROR(IF(ISNUMBER(INDEX(PASTE_ALL,$DF663,$L$8)),INDEX(PASTE_ALL,$DF663,$L$8),TRIM(SUBSTITUTE(SUBSTITUTE(SUBSTITUTE(SUBSTITUTE(INDEX(PASTE_ALL,$DF663,$L$8)," "," "),CHAR(9)," "),CHAR(10)," "),CHAR(13)," "))),"")))</f>
        <v/>
      </c>
      <c r="DQ663">
        <f>IF($DM663=0,"",IF($L$9=0,"",IFERROR(IF(ISNUMBER(INDEX(PASTE_ALL,$DF663,$L$9)),INDEX(PASTE_ALL,$DF663,$L$9),TRIM(SUBSTITUTE(SUBSTITUTE(SUBSTITUTE(SUBSTITUTE(INDEX(PASTE_ALL,$DF663,$L$9)," "," "),CHAR(9)," "),CHAR(10)," "),CHAR(13)," "))),"")))</f>
        <v/>
      </c>
      <c r="DR663">
        <f>IF($DM663=0,"",IF($L$10=0,"",IFERROR(IF(ISNUMBER(INDEX(PASTE_ALL,$DF663,$L$10)),INDEX(PASTE_ALL,$DF663,$L$10),TRIM(SUBSTITUTE(SUBSTITUTE(SUBSTITUTE(SUBSTITUTE(INDEX(PASTE_ALL,$DF663,$L$10)," "," "),CHAR(9)," "),CHAR(10)," "),CHAR(13)," "))),"")))</f>
        <v/>
      </c>
      <c r="DS663">
        <f>IF($DM663=0,"",IF($L$11=0,"",IFERROR(IF(ISNUMBER(INDEX(PASTE_ALL,$DF663,$L$11)),INDEX(PASTE_ALL,$DF663,$L$11),TRIM(SUBSTITUTE(SUBSTITUTE(SUBSTITUTE(SUBSTITUTE(INDEX(PASTE_ALL,$DF663,$L$11)," "," "),CHAR(9)," "),CHAR(10)," "),CHAR(13)," "))),"")))</f>
        <v/>
      </c>
      <c r="DT663">
        <f>IF($DM663=0,"",IF($L$12=0,"",IFERROR(IF(ISNUMBER(INDEX(PASTE_ALL,$DF663,$L$12)),INDEX(PASTE_ALL,$DF663,$L$12),TRIM(SUBSTITUTE(SUBSTITUTE(SUBSTITUTE(SUBSTITUTE(INDEX(PASTE_ALL,$DF663,$L$12)," "," "),CHAR(9)," "),CHAR(10)," "),CHAR(13)," "))),"")))</f>
        <v/>
      </c>
      <c r="DU663">
        <f>IF($DM663=0,"",IF($L$13=0,"",IFERROR(IF(ISNUMBER(INDEX(PASTE_ALL,$DF663,$L$13)),INDEX(PASTE_ALL,$DF663,$L$13),TRIM(SUBSTITUTE(SUBSTITUTE(SUBSTITUTE(SUBSTITUTE(INDEX(PASTE_ALL,$DF663,$L$13)," "," "),CHAR(9)," "),CHAR(10)," "),CHAR(13)," "))),"")))</f>
        <v/>
      </c>
      <c r="DV663">
        <f>IF($DM663=0,"",IF($L$14=0,"",IFERROR(IF(ISNUMBER(INDEX(PASTE_ALL,$DF663,$L$14)),INDEX(PASTE_ALL,$DF663,$L$14),TRIM(SUBSTITUTE(SUBSTITUTE(SUBSTITUTE(SUBSTITUTE(INDEX(PASTE_ALL,$DF663,$L$14)," "," "),CHAR(9)," "),CHAR(10)," "),CHAR(13)," "))),"")))</f>
        <v/>
      </c>
      <c r="DW663">
        <f>IF($DM663=0,"",IF($L$15=0,"",IFERROR(IF(ISNUMBER(INDEX(PASTE_ALL,$DF663,$L$15)),INDEX(PASTE_ALL,$DF663,$L$15),IF(SUMPRODUCT(--ISNUMBER(FIND({"A","B","C","D","E","F","G","H","I","J","K","L","M","N","O","P","Q","R","S","T","U","V","W","X","Y","Z","0","1","2","3","4","5","6","7","8","9"},UPPER(TRIM(SUBSTITUTE(SUBSTITUTE(SUBSTITUTE(SUBSTITUTE(INDEX(PASTE_ALL,$DF663,$L$15)," "," "),CHAR(9)," "),CHAR(10)," "),CHAR(13)," "))))))&gt;0,TRIM(SUBSTITUTE(SUBSTITUTE(SUBSTITUTE(SUBSTITUTE(INDEX(PASTE_ALL,$DF663,$L$15)," "," "),CHAR(9)," "),CHAR(10)," "),CHAR(13)," ")),"")),"")))</f>
        <v/>
      </c>
      <c r="DX663">
        <f>IF($DM663=0,"",IF($L$16=0,"",IFERROR(IF(ISNUMBER(INDEX(PASTE_ALL,$DF663,$L$16)),INDEX(PASTE_ALL,$DF663,$L$16),SUBSTITUTE(SUBSTITUTE(TRIM(SUBSTITUTE(SUBSTITUTE(SUBSTITUTE(SUBSTITUTE(INDEX(PASTE_ALL,$DF663,$L$16)," "," "),CHAR(9)," "),CHAR(10)," "),CHAR(13)," ")),",",""),"%","")),"")))</f>
        <v/>
      </c>
      <c r="DY663">
        <f>IF($DM663=0,"",IFERROR(IF(ISNUMBER($DX663),$DX663,IF($DX663="","",IF(TRIM($DX663)="",0,IF(AND(AND(SUBSTITUTE(SUBSTITUTE(SUBSTITUTE(SUBSTITUTE(SUBSTITUTE(SUBSTITUTE(SUBSTITUTE(SUBSTITUTE(SUBSTITUTE(SUBSTITUTE(SUBSTITUTE(SUBSTITUTE(SUBSTITUTE(SUBSTITUTE(UPPER(TRIM($DX663)),"0",""),"1",""),"2",""),"3",""),"4",""),"5",""),"6",""),"7",""),"8",""),"9",""),".",""),"+",""),"-",""),"E","")="",LEN(SUBSTITUTE(SUBSTITUTE(MID(UPPER(TRIM($DX663)),1+OR(LEFT(UPPER(TRIM($DX663)),1)="+",LEFT(UPPER(TRIM($DX663)),1)="-"),999),"E+","E"),"E-","E"))=LEN(SUBSTITUTE(SUBSTITUTE(SUBSTITUTE(SUBSTITUTE(MID(UPPER(TRIM($DX663)),1+OR(LEFT(UPPER(TRIM($DX663)),1)="+",LEFT(UPPER(TRIM($DX663)),1)="-"),999),"E+","E"),"E-","E"),"+",""),"-","")),LEN(UPPER(TRIM($DX663)))-LEN(SUBSTITUTE(UPPER(TRIM($DX663)),"E",""))&lt;2,LEN(UPPER(TRIM($DX663)))-LEN(SUBSTITUTE(UPPER(TRIM($DX663)),".",""))&lt;2,IFERROR(FIND(".",UPPER(TRIM($DX663))),0)&lt;IFERROR(FIND("E",UPPER(TRIM($DX663))),999)),ISNUMBER(VALUE(TRIM($DX663)))),VALUE(TRIM($DX663)),"")))),""))</f>
        <v/>
      </c>
      <c r="DZ663">
        <f>IF($DM663=0,"",IF($L$17=0,"",IFERROR(IF(ISNUMBER(INDEX(PASTE_ALL,$DF663,$L$17)),INDEX(PASTE_ALL,$DF663,$L$17),SUBSTITUTE(SUBSTITUTE(TRIM(SUBSTITUTE(SUBSTITUTE(SUBSTITUTE(SUBSTITUTE(INDEX(PASTE_ALL,$DF663,$L$17)," "," "),CHAR(9)," "),CHAR(10)," "),CHAR(13)," ")),",",""),"%","")),"")))</f>
        <v/>
      </c>
      <c r="EA663">
        <f>IF($DM663=0,"",IFERROR(IF(ISNUMBER($DZ663),$DZ663,IF($DZ663="","",IF(TRIM($DZ663)="",0,IF(AND(AND(SUBSTITUTE(SUBSTITUTE(SUBSTITUTE(SUBSTITUTE(SUBSTITUTE(SUBSTITUTE(SUBSTITUTE(SUBSTITUTE(SUBSTITUTE(SUBSTITUTE(SUBSTITUTE(SUBSTITUTE(SUBSTITUTE(SUBSTITUTE(UPPER(TRIM($DZ663)),"0",""),"1",""),"2",""),"3",""),"4",""),"5",""),"6",""),"7",""),"8",""),"9",""),".",""),"+",""),"-",""),"E","")="",LEN(SUBSTITUTE(SUBSTITUTE(MID(UPPER(TRIM($DZ663)),1+OR(LEFT(UPPER(TRIM($DZ663)),1)="+",LEFT(UPPER(TRIM($DZ663)),1)="-"),999),"E+","E"),"E-","E"))=LEN(SUBSTITUTE(SUBSTITUTE(SUBSTITUTE(SUBSTITUTE(MID(UPPER(TRIM($DZ663)),1+OR(LEFT(UPPER(TRIM($DZ663)),1)="+",LEFT(UPPER(TRIM($DZ663)),1)="-"),999),"E+","E"),"E-","E"),"+",""),"-","")),LEN(UPPER(TRIM($DZ663)))-LEN(SUBSTITUTE(UPPER(TRIM($DZ663)),"E",""))&lt;2,LEN(UPPER(TRIM($DZ663)))-LEN(SUBSTITUTE(UPPER(TRIM($DZ663)),".",""))&lt;2,IFERROR(FIND(".",UPPER(TRIM($DZ663))),0)&lt;IFERROR(FIND("E",UPPER(TRIM($DZ663))),999)),ISNUMBER(VALUE(TRIM($DZ663)))),VALUE(TRIM($DZ663)),"")))),""))</f>
        <v/>
      </c>
      <c r="EB663">
        <f>IF($DM663=0,"",IF($L$18=0,"",IFERROR(IF(UPPER(TRIM(SUBSTITUTE(SUBSTITUTE(SUBSTITUTE(SUBSTITUTE(INDEX(PASTE_ALL,$DF663,$L$18)," "," "),CHAR(9)," "),CHAR(10)," "),CHAR(13)," ")))="READY","Ready",IF(UPPER(TRIM(SUBSTITUTE(SUBSTITUTE(SUBSTITUTE(SUBSTITUTE(INDEX(PASTE_ALL,$DF663,$L$18)," "," "),CHAR(9)," "),CHAR(10)," "),CHAR(13)," ")))="PM","PM",IF(OR(UPPER(TRIM(SUBSTITUTE(SUBSTITUTE(SUBSTITUTE(SUBSTITUTE(INDEX(PASTE_ALL,$DF663,$L$18)," "," "),CHAR(9)," "),CHAR(10)," "),CHAR(13)," ")))="OT",UPPER(TRIM(SUBSTITUTE(SUBSTITUTE(SUBSTITUTE(SUBSTITUTE(INDEX(PASTE_ALL,$DF663,$L$18)," "," "),CHAR(9)," "),CHAR(10)," "),CHAR(13)," ")))="OVERTIME",UPPER(TRIM(SUBSTITUTE(SUBSTITUTE(SUBSTITUTE(SUBSTITUTE(INDEX(PASTE_ALL,$DF663,$L$18)," "," "),CHAR(9)," "),CHAR(10)," "),CHAR(13)," ")))="TRIAL"),"OT",TRIM(SUBSTITUTE(SUBSTITUTE(SUBSTITUTE(SUBSTITUTE(INDEX(PASTE_ALL,$DF663,$L$18)," "," "),CHAR(9)," "),CHAR(10)," "),CHAR(13)," "))))),"")))</f>
        <v/>
      </c>
      <c r="EC663">
        <f>IF($DM663=0,"",IF($L$19=0,"",IFERROR(IF(ISNUMBER(INDEX(PASTE_ALL,$DF663,$L$19)),INDEX(PASTE_ALL,$DF663,$L$19),TRIM(SUBSTITUTE(SUBSTITUTE(SUBSTITUTE(SUBSTITUTE(INDEX(PASTE_ALL,$DF663,$L$19)," "," "),CHAR(9)," "),CHAR(10)," "),CHAR(13)," "))),"")))</f>
        <v/>
      </c>
      <c r="ED663">
        <f>IF($DM663=0,"",MATCH(1,INDEX(EXACT($DH$5:DH663,$DH663)*$DM$5:DM663,0),0))</f>
        <v/>
      </c>
      <c r="EE663">
        <f>IF($DM663=0,0,IF($ED663=$DE663,1,0))</f>
        <v/>
      </c>
      <c r="EF663">
        <f>EF662+$EE663</f>
        <v/>
      </c>
      <c r="EG663">
        <f>IF($DM663=0,"",INDEX($EF$5:$EF$1003,$ED663))</f>
        <v/>
      </c>
      <c r="EH663">
        <f>IF($DM663=0,"",IF($DO663&lt;&gt;"","",IFERROR(LOOKUP(2,1/(($EG$4:EG662=$EG663)*($DO$4:DO662&lt;&gt;"")),$DO$4:DO662),"")))</f>
        <v/>
      </c>
      <c r="EI663">
        <f>IF($DM663=0,"",IF($DO663&lt;&gt;"",$DO663,$EH663))</f>
        <v/>
      </c>
      <c r="EJ663">
        <f>IF($DM663=0,"",IF($EI663="",0,IF(OR(ISNUMBER($EI663),AND(AND(SUBSTITUTE(SUBSTITUTE(SUBSTITUTE(SUBSTITUTE(SUBSTITUTE(SUBSTITUTE(SUBSTITUTE(SUBSTITUTE(SUBSTITUTE(SUBSTITUTE(SUBSTITUTE(SUBSTITUTE(SUBSTITUTE(SUBSTITUTE(UPPER($EI663),"0",""),"1",""),"2",""),"3",""),"4",""),"5",""),"6",""),"7",""),"8",""),"9",""),".",""),"+",""),"-",""),"E","")="",LEN(SUBSTITUTE(SUBSTITUTE(MID(UPPER($EI663),1+OR(LEFT(UPPER($EI663),1)="+",LEFT(UPPER($EI663),1)="-"),999),"E+","E"),"E-","E"))=LEN(SUBSTITUTE(SUBSTITUTE(SUBSTITUTE(SUBSTITUTE(MID(UPPER($EI663),1+OR(LEFT(UPPER($EI663),1)="+",LEFT(UPPER($EI663),1)="-"),999),"E+","E"),"E-","E"),"+",""),"-","")),LEN(UPPER($EI663))-LEN(SUBSTITUTE(UPPER($EI663),"E",""))&lt;2,LEN(UPPER($EI663))-LEN(SUBSTITUTE(UPPER($EI663),".",""))&lt;2,IFERROR(FIND(".",UPPER($EI663)),0)&lt;IFERROR(FIND("E",UPPER($EI663)),999)),ISNUMBER(VALUE($EI663)))),1,2)))</f>
        <v/>
      </c>
      <c r="EK663">
        <f>IF($DM663=0,"",IF($EJ663=1,IF(ISNUMBER($EI663),$EI663,VALUE($EI663)),IF($EJ663=2,$DE663,0)))</f>
        <v/>
      </c>
      <c r="EL663">
        <f>IF($DM663=0,"",COUNTIF($EG$5:$EG$1003,"&lt;"&amp;$EG663)+SUMPRODUCT(($EG$5:$EG$1003=$EG663)*(($EJ$5:$EJ$1003&lt;$EJ663)+($EJ$5:$EJ$1003=$EJ663)*(($EK$5:$EK$1003&lt;$EK663)+($EK$5:$EK$1003=$EK663)*($DE$5:$DE$1003&lt;$DE663))))+1)</f>
        <v/>
      </c>
      <c r="EM663">
        <f>IF($DM663=0,"",$EL663+$EG663-1)</f>
        <v/>
      </c>
      <c r="EN663">
        <f>IF($DM663=0,0,IFERROR(MATCH(1,INDEX(--(TRIM(SUBSTITUTE(SUBSTITUTE(SUBSTITUTE(SUBSTITUTE(LINES_NAME&amp;""," "," "),CHAR(9)," "),CHAR(10)," "),CHAR(13)," "))=$DH663),0),0),0))</f>
        <v/>
      </c>
      <c r="EO663">
        <f>IF($EN663=0,0,IF(OR(UPPER(TRIM(INDEX(LINES_SCHEDULED,$EN663)&amp;""))="YES",UPPER(TRIM(INDEX(LINES_SCHEDULED,$EN663)&amp;""))="Y",UPPER(TRIM(INDEX(LINES_SCHEDULED,$EN663)&amp;""))="X"),1,0))</f>
        <v/>
      </c>
      <c r="EP663">
        <f>IF($DM663=0,"",IF(COUNTIFS($EG$5:$EG$1003,$EG663,$EB$5:$EB$1003,"Ready")&gt;0,"READY",IF(COUNTIFS($EG$5:$EG$1003,$EG663,$EB$5:$EB$1003,"PM")&gt;0,"PM",IF(COUNTIFS($EG$5:$EG$1003,$EG663,$EB$5:$EB$1003,"OT")&gt;0,"OT",""))))</f>
        <v/>
      </c>
      <c r="EQ663">
        <f>IF($EN663=0,"",UPPER(TRIM(INDEX(LINES_STATUS,$EN663)&amp;"")))</f>
        <v/>
      </c>
      <c r="ER663">
        <f>IF($DM663=0,"",IF(OR($EQ663="READY",$EQ663="PM",$EQ663="OT"),$EQ663,$EP663))</f>
        <v/>
      </c>
      <c r="ES663">
        <f>IF($DM663=0,"",IF(AND($DV663&lt;&gt;"",UPPER($DV663)&lt;&gt;"N"),"allergen",IF(ISNUMBER(SEARCH("oil",$DQ663)),"oil",IF(OR(EXACT($DS663,"A662"),EXACT($DS663,"A624")),"bulk",""))))</f>
        <v/>
      </c>
      <c r="ET663">
        <f>IF($DM663=0,"",IF(OR($EA663="",$EA663=0),"",$EA663/100))</f>
        <v/>
      </c>
      <c r="EU663">
        <f>IF(OR($ET663="",$DY663=""),"",INT($DY663*(1-$ET663)+0.5))</f>
        <v/>
      </c>
      <c r="EW663" t="n">
        <v>659</v>
      </c>
      <c r="EX663">
        <f>IFERROR(MATCH($EW663,$EM$5:$EM$1003,0),0)</f>
        <v/>
      </c>
      <c r="EY663">
        <f>IF($EW663&gt;$B$12,"",IF($EX663&gt;0,"row","spacer"))</f>
        <v/>
      </c>
      <c r="EZ663">
        <f>IF(AND($EY663="row",$EY662&lt;&gt;"row"),1,0)</f>
        <v/>
      </c>
      <c r="FA663">
        <f>IF(AND($EY663="row",$EY664&lt;&gt;"row"),1,0)</f>
        <v/>
      </c>
      <c r="FB663">
        <f>IF($EZ663=1,IFERROR(IF(ISNUMBER(INDEX(PASTE_ALL,INDEX($DF$5:$DF$1003,$EX663),$B$37)),INDEX(PASTE_ALL,INDEX($DF$5:$DF$1003,$EX663),$B$37),INDEX($DH$5:$DH$1003,$EX663)),INDEX($DH$5:$DH$1003,$EX663)),"")</f>
        <v/>
      </c>
      <c r="FC663">
        <f>IF($EY663="row",INDEX($ER$5:$ER$1003,$EX663),"")</f>
        <v/>
      </c>
      <c r="FD663">
        <f>IF($EY663="row",INDEX($DN$5:$DN$1003,$EX663),"")</f>
        <v/>
      </c>
      <c r="FE663">
        <f>IF($EY663="row",INDEX($DO$5:$DO$1003,$EX663),"")</f>
        <v/>
      </c>
      <c r="FF663">
        <f>IF($EY663="row",INDEX($DP$5:$DP$1003,$EX663),"")</f>
        <v/>
      </c>
      <c r="FG663">
        <f>IF($EY663="row",INDEX($DQ$5:$DQ$1003,$EX663),"")</f>
        <v/>
      </c>
      <c r="FH663">
        <f>IF($EY663="row",INDEX($DR$5:$DR$1003,$EX663),"")</f>
        <v/>
      </c>
      <c r="FI663">
        <f>IF($EY663="row",INDEX($DS$5:$DS$1003,$EX663),"")</f>
        <v/>
      </c>
      <c r="FJ663">
        <f>IF($EY663="row",INDEX($DT$5:$DT$1003,$EX663),"")</f>
        <v/>
      </c>
      <c r="FK663">
        <f>IF($EY663="row",INDEX($DU$5:$DU$1003,$EX663),"")</f>
        <v/>
      </c>
      <c r="FL663">
        <f>IF($EY663="row",INDEX($DV$5:$DV$1003,$EX663),"")</f>
        <v/>
      </c>
      <c r="FM663">
        <f>IF($EY663="row",INDEX($DW$5:$DW$1003,$EX663),"")</f>
        <v/>
      </c>
      <c r="FN663">
        <f>IF($EY663="row",INDEX($DY$5:$DY$1003,$EX663),"")</f>
        <v/>
      </c>
      <c r="FO663">
        <f>IF($EY663="row",INDEX($EA$5:$EA$1003,$EX663),"")</f>
        <v/>
      </c>
      <c r="FP663">
        <f>IF($EY663="row",INDEX($EC$5:$EC$1003,$EX663),"")</f>
        <v/>
      </c>
      <c r="FQ663">
        <f>IF($EY663="row",INDEX($ET$5:$ET$1003,$EX663),"")</f>
        <v/>
      </c>
      <c r="FR663">
        <f>IF($EY663="row",INDEX($EU$5:$EU$1003,$EX663),"")</f>
        <v/>
      </c>
      <c r="FS663">
        <f>IF(AND($EY663="row",$EY662="row"),IF(OR(INDEX($DT$5:$DT$1003,$EX662)="",INDEX($DT$5:$DT$1003,$EX663)=""),"",IF(NOT(EXACT(INDEX($DT$5:$DT$1003,$EX662),INDEX($DT$5:$DT$1003,$EX663))),"S4",IF(NOT(EXACT(INDEX($DS$5:$DS$1003,$EX662),INDEX($DS$5:$DS$1003,$EX663))),"S3",IF(NOT(EXACT(INDEX($DR$5:$DR$1003,$EX662),INDEX($DR$5:$DR$1003,$EX663))),"S1 Count Change","S1")))),"")</f>
        <v/>
      </c>
      <c r="FT663">
        <f>IF($EY663="row",INDEX($ES$5:$ES$1003,$EX663),"")</f>
        <v/>
      </c>
      <c r="FU663">
        <f>IF($EY663="row",INDEX($EO$5:$EO$1003,$EX663),0)</f>
        <v/>
      </c>
      <c r="FV663">
        <f>IF($FS663="S1 Count Change",1,0)</f>
        <v/>
      </c>
    </row>
    <row r="664">
      <c r="DA664" t="n">
        <v>660</v>
      </c>
      <c r="DB664">
        <f>IF($B$37=0,"",IFERROR(TRIM(SUBSTITUTE(SUBSTITUTE(SUBSTITUTE(SUBSTITUTE(INDEX(PASTE_ALL,660,$B$37)," "," "),CHAR(9)," "),CHAR(10)," "),CHAR(13)," ")),""))</f>
        <v/>
      </c>
      <c r="DC664">
        <f>IF(AND(660&gt;HEADER_ROW,UPPER(DB664)="LEGEND"),1,0)</f>
        <v/>
      </c>
      <c r="DE664" t="n">
        <v>660</v>
      </c>
      <c r="DF664">
        <f>HEADER_ROW+$DE664</f>
        <v/>
      </c>
      <c r="DG664">
        <f>IF(AND($DF664&lt;=1000,$DF664&lt;$B$8),1,0)</f>
        <v/>
      </c>
      <c r="DH664">
        <f>IF($DG664=1,IFERROR(INDEX($DB$5:$DB$1004,$DF664),""),"")</f>
        <v/>
      </c>
      <c r="DI664">
        <f>IF(AND($DG664=1,$DH664&lt;&gt;""),IFERROR(SUBSTITUTE(SUBSTITUTE(TRIM(SUBSTITUTE(SUBSTITUTE(SUBSTITUTE(SUBSTITUTE(IFERROR(INDEX(PASTE_ALL,$DF664,1)&amp;"","")&amp;"␟"&amp;IFERROR(INDEX(PASTE_ALL,$DF664,2)&amp;"","")&amp;"␟"&amp;IFERROR(INDEX(PASTE_ALL,$DF664,3)&amp;"","")&amp;"␟"&amp;IFERROR(INDEX(PASTE_ALL,$DF664,4)&amp;"","")&amp;"␟"&amp;IFERROR(INDEX(PASTE_ALL,$DF664,5)&amp;"","")&amp;"␟"&amp;IFERROR(INDEX(PASTE_ALL,$DF664,6)&amp;"","")&amp;"␟"&amp;IFERROR(INDEX(PASTE_ALL,$DF664,7)&amp;"","")&amp;"␟"&amp;IFERROR(INDEX(PASTE_ALL,$DF664,8)&amp;"","")&amp;"␟"&amp;IFERROR(INDEX(PASTE_ALL,$DF664,9)&amp;"","")&amp;"␟"&amp;IFERROR(INDEX(PASTE_ALL,$DF664,10)&amp;"","")&amp;"␟"&amp;IFERROR(INDEX(PASTE_ALL,$DF664,11)&amp;"","")&amp;"␟"&amp;IFERROR(INDEX(PASTE_ALL,$DF664,12)&amp;"","")&amp;"␟"&amp;IFERROR(INDEX(PASTE_ALL,$DF664,13)&amp;"","")&amp;"␟"&amp;IFERROR(INDEX(PASTE_ALL,$DF664,14)&amp;"","")&amp;"␟"&amp;IFERROR(INDEX(PASTE_ALL,$DF664,15)&amp;"","")&amp;"␟"&amp;IFERROR(INDEX(PASTE_ALL,$DF664,16)&amp;"","")&amp;"␟"&amp;IFERROR(INDEX(PASTE_ALL,$DF664,17)&amp;"","")&amp;"␟"&amp;IFERROR(INDEX(PASTE_ALL,$DF664,18)&amp;"","")&amp;"␟"&amp;IFERROR(INDEX(PASTE_ALL,$DF664,19)&amp;"","")&amp;"␟"&amp;IFERROR(INDEX(PASTE_ALL,$DF664,20)&amp;"","")&amp;"␟"&amp;IFERROR(INDEX(PASTE_ALL,$DF664,21)&amp;"","")&amp;"␟"&amp;IFERROR(INDEX(PASTE_ALL,$DF664,22)&amp;"","")&amp;"␟"&amp;IFERROR(INDEX(PASTE_ALL,$DF664,23)&amp;"","")&amp;"␟"&amp;IFERROR(INDEX(PASTE_ALL,$DF664,24)&amp;"","")&amp;"␟"&amp;IFERROR(INDEX(PASTE_ALL,$DF664,25)&amp;"","")&amp;"␟"&amp;IFERROR(INDEX(PASTE_ALL,$DF664,26)&amp;"","")&amp;"␟"&amp;IFERROR(INDEX(PASTE_ALL,$DF664,27)&amp;"","")&amp;"␟"&amp;IFERROR(INDEX(PASTE_ALL,$DF664,28)&amp;"","")&amp;"␟"&amp;IFERROR(INDEX(PASTE_ALL,$DF664,29)&amp;"","")&amp;"␟"&amp;IFERROR(INDEX(PASTE_ALL,$DF664,30)&amp;"","")&amp;"␟"&amp;IFERROR(INDEX(PASTE_ALL,$DF664,31)&amp;"","")&amp;"␟"&amp;IFERROR(INDEX(PASTE_ALL,$DF664,32)&amp;"","")&amp;"␟"&amp;IFERROR(INDEX(PASTE_ALL,$DF664,33)&amp;"","")&amp;"␟"&amp;IFERROR(INDEX(PASTE_ALL,$DF664,34)&amp;"","")&amp;"␟"&amp;IFERROR(INDEX(PASTE_ALL,$DF664,35)&amp;"","")&amp;"␟"&amp;IFERROR(INDEX(PASTE_ALL,$DF664,36)&amp;"","")&amp;"␟"&amp;IFERROR(INDEX(PASTE_ALL,$DF664,37)&amp;"","")&amp;"␟"&amp;IFERROR(INDEX(PASTE_ALL,$DF664,38)&amp;"","")&amp;"␟"&amp;IFERROR(INDEX(PASTE_ALL,$DF664,39)&amp;"","")&amp;"␟"&amp;IFERROR(INDEX(PASTE_ALL,$DF664,40)&amp;"","")&amp;"␟"&amp;IFERROR(INDEX(PASTE_ALL,$DF664,41)&amp;"","")&amp;"␟"&amp;IFERROR(INDEX(PASTE_ALL,$DF664,42)&amp;"","")&amp;"␟"&amp;IFERROR(INDEX(PASTE_ALL,$DF664,43)&amp;"","")&amp;"␟"&amp;IFERROR(INDEX(PASTE_ALL,$DF664,44)&amp;"","")&amp;"␟"&amp;IFERROR(INDEX(PASTE_ALL,$DF664,45)&amp;"","")&amp;"␟"&amp;IFERROR(INDEX(PASTE_ALL,$DF664,46)&amp;"","")&amp;"␟"&amp;IFERROR(INDEX(PASTE_ALL,$DF664,47)&amp;"","")&amp;"␟"&amp;IFERROR(INDEX(PASTE_ALL,$DF664,48)&amp;"","")&amp;"␟"&amp;IFERROR(INDEX(PASTE_ALL,$DF664,49)&amp;"","")&amp;"␟"&amp;IFERROR(INDEX(PASTE_ALL,$DF664,50)&amp;"","")&amp;"␟"&amp;IFERROR(INDEX(PASTE_ALL,$DF664,51)&amp;"","")&amp;"␟"&amp;IFERROR(INDEX(PASTE_ALL,$DF664,52)&amp;"","")&amp;"␟"&amp;IFERROR(INDEX(PASTE_ALL,$DF664,53)&amp;"","")&amp;"␟"&amp;IFERROR(INDEX(PASTE_ALL,$DF664,54)&amp;"","")&amp;"␟"&amp;IFERROR(INDEX(PASTE_ALL,$DF664,55)&amp;"","")&amp;"␟"&amp;IFERROR(INDEX(PASTE_ALL,$DF664,56)&amp;"","")&amp;"␟"&amp;IFERROR(INDEX(PASTE_ALL,$DF664,57)&amp;"","")&amp;"␟"&amp;IFERROR(INDEX(PASTE_ALL,$DF664,58)&amp;"","")&amp;"␟"&amp;IFERROR(INDEX(PASTE_ALL,$DF664,59)&amp;"","")&amp;"␟"&amp;IFERROR(INDEX(PASTE_ALL,$DF664,60)&amp;"","")," "," "),CHAR(9)," "),CHAR(10)," "),CHAR(13)," "))," ␟","␟"),"␟ ","␟"),"#"&amp;$DE664),"")</f>
        <v/>
      </c>
      <c r="DJ664">
        <f>IF($DI664="",0,IF(SUMPRODUCT(--EXACT($DI$4:DI663,$DI664))&gt;0,1,0))</f>
        <v/>
      </c>
      <c r="DK664">
        <f>IF(AND($DI664&lt;&gt;"",$DJ664=0),1,0)</f>
        <v/>
      </c>
      <c r="DL664">
        <f>DL663+$DK664</f>
        <v/>
      </c>
      <c r="DM664">
        <f>IF(AND($DK664=1,$DL664&lt;=600),1,0)</f>
        <v/>
      </c>
      <c r="DN664">
        <f>IF($DM664=0,"",IF($L$6=0,"",IFERROR(IF(ISNUMBER(INDEX(PASTE_ALL,$DF664,$L$6)),INDEX(PASTE_ALL,$DF664,$L$6),TRIM(SUBSTITUTE(SUBSTITUTE(SUBSTITUTE(SUBSTITUTE(INDEX(PASTE_ALL,$DF664,$L$6)," "," "),CHAR(9)," "),CHAR(10)," "),CHAR(13)," "))),"")))</f>
        <v/>
      </c>
      <c r="DO664">
        <f>IF($DM664=0,"",IF($L$7=0,"",IFERROR(IF(ISNUMBER(INDEX(PASTE_ALL,$DF664,$L$7)),INDEX(PASTE_ALL,$DF664,$L$7),TRIM(SUBSTITUTE(SUBSTITUTE(SUBSTITUTE(SUBSTITUTE(INDEX(PASTE_ALL,$DF664,$L$7)," "," "),CHAR(9)," "),CHAR(10)," "),CHAR(13)," "))),"")))</f>
        <v/>
      </c>
      <c r="DP664">
        <f>IF($DM664=0,"",IF($L$8=0,"",IFERROR(IF(ISNUMBER(INDEX(PASTE_ALL,$DF664,$L$8)),INDEX(PASTE_ALL,$DF664,$L$8),TRIM(SUBSTITUTE(SUBSTITUTE(SUBSTITUTE(SUBSTITUTE(INDEX(PASTE_ALL,$DF664,$L$8)," "," "),CHAR(9)," "),CHAR(10)," "),CHAR(13)," "))),"")))</f>
        <v/>
      </c>
      <c r="DQ664">
        <f>IF($DM664=0,"",IF($L$9=0,"",IFERROR(IF(ISNUMBER(INDEX(PASTE_ALL,$DF664,$L$9)),INDEX(PASTE_ALL,$DF664,$L$9),TRIM(SUBSTITUTE(SUBSTITUTE(SUBSTITUTE(SUBSTITUTE(INDEX(PASTE_ALL,$DF664,$L$9)," "," "),CHAR(9)," "),CHAR(10)," "),CHAR(13)," "))),"")))</f>
        <v/>
      </c>
      <c r="DR664">
        <f>IF($DM664=0,"",IF($L$10=0,"",IFERROR(IF(ISNUMBER(INDEX(PASTE_ALL,$DF664,$L$10)),INDEX(PASTE_ALL,$DF664,$L$10),TRIM(SUBSTITUTE(SUBSTITUTE(SUBSTITUTE(SUBSTITUTE(INDEX(PASTE_ALL,$DF664,$L$10)," "," "),CHAR(9)," "),CHAR(10)," "),CHAR(13)," "))),"")))</f>
        <v/>
      </c>
      <c r="DS664">
        <f>IF($DM664=0,"",IF($L$11=0,"",IFERROR(IF(ISNUMBER(INDEX(PASTE_ALL,$DF664,$L$11)),INDEX(PASTE_ALL,$DF664,$L$11),TRIM(SUBSTITUTE(SUBSTITUTE(SUBSTITUTE(SUBSTITUTE(INDEX(PASTE_ALL,$DF664,$L$11)," "," "),CHAR(9)," "),CHAR(10)," "),CHAR(13)," "))),"")))</f>
        <v/>
      </c>
      <c r="DT664">
        <f>IF($DM664=0,"",IF($L$12=0,"",IFERROR(IF(ISNUMBER(INDEX(PASTE_ALL,$DF664,$L$12)),INDEX(PASTE_ALL,$DF664,$L$12),TRIM(SUBSTITUTE(SUBSTITUTE(SUBSTITUTE(SUBSTITUTE(INDEX(PASTE_ALL,$DF664,$L$12)," "," "),CHAR(9)," "),CHAR(10)," "),CHAR(13)," "))),"")))</f>
        <v/>
      </c>
      <c r="DU664">
        <f>IF($DM664=0,"",IF($L$13=0,"",IFERROR(IF(ISNUMBER(INDEX(PASTE_ALL,$DF664,$L$13)),INDEX(PASTE_ALL,$DF664,$L$13),TRIM(SUBSTITUTE(SUBSTITUTE(SUBSTITUTE(SUBSTITUTE(INDEX(PASTE_ALL,$DF664,$L$13)," "," "),CHAR(9)," "),CHAR(10)," "),CHAR(13)," "))),"")))</f>
        <v/>
      </c>
      <c r="DV664">
        <f>IF($DM664=0,"",IF($L$14=0,"",IFERROR(IF(ISNUMBER(INDEX(PASTE_ALL,$DF664,$L$14)),INDEX(PASTE_ALL,$DF664,$L$14),TRIM(SUBSTITUTE(SUBSTITUTE(SUBSTITUTE(SUBSTITUTE(INDEX(PASTE_ALL,$DF664,$L$14)," "," "),CHAR(9)," "),CHAR(10)," "),CHAR(13)," "))),"")))</f>
        <v/>
      </c>
      <c r="DW664">
        <f>IF($DM664=0,"",IF($L$15=0,"",IFERROR(IF(ISNUMBER(INDEX(PASTE_ALL,$DF664,$L$15)),INDEX(PASTE_ALL,$DF664,$L$15),IF(SUMPRODUCT(--ISNUMBER(FIND({"A","B","C","D","E","F","G","H","I","J","K","L","M","N","O","P","Q","R","S","T","U","V","W","X","Y","Z","0","1","2","3","4","5","6","7","8","9"},UPPER(TRIM(SUBSTITUTE(SUBSTITUTE(SUBSTITUTE(SUBSTITUTE(INDEX(PASTE_ALL,$DF664,$L$15)," "," "),CHAR(9)," "),CHAR(10)," "),CHAR(13)," "))))))&gt;0,TRIM(SUBSTITUTE(SUBSTITUTE(SUBSTITUTE(SUBSTITUTE(INDEX(PASTE_ALL,$DF664,$L$15)," "," "),CHAR(9)," "),CHAR(10)," "),CHAR(13)," ")),"")),"")))</f>
        <v/>
      </c>
      <c r="DX664">
        <f>IF($DM664=0,"",IF($L$16=0,"",IFERROR(IF(ISNUMBER(INDEX(PASTE_ALL,$DF664,$L$16)),INDEX(PASTE_ALL,$DF664,$L$16),SUBSTITUTE(SUBSTITUTE(TRIM(SUBSTITUTE(SUBSTITUTE(SUBSTITUTE(SUBSTITUTE(INDEX(PASTE_ALL,$DF664,$L$16)," "," "),CHAR(9)," "),CHAR(10)," "),CHAR(13)," ")),",",""),"%","")),"")))</f>
        <v/>
      </c>
      <c r="DY664">
        <f>IF($DM664=0,"",IFERROR(IF(ISNUMBER($DX664),$DX664,IF($DX664="","",IF(TRIM($DX664)="",0,IF(AND(AND(SUBSTITUTE(SUBSTITUTE(SUBSTITUTE(SUBSTITUTE(SUBSTITUTE(SUBSTITUTE(SUBSTITUTE(SUBSTITUTE(SUBSTITUTE(SUBSTITUTE(SUBSTITUTE(SUBSTITUTE(SUBSTITUTE(SUBSTITUTE(UPPER(TRIM($DX664)),"0",""),"1",""),"2",""),"3",""),"4",""),"5",""),"6",""),"7",""),"8",""),"9",""),".",""),"+",""),"-",""),"E","")="",LEN(SUBSTITUTE(SUBSTITUTE(MID(UPPER(TRIM($DX664)),1+OR(LEFT(UPPER(TRIM($DX664)),1)="+",LEFT(UPPER(TRIM($DX664)),1)="-"),999),"E+","E"),"E-","E"))=LEN(SUBSTITUTE(SUBSTITUTE(SUBSTITUTE(SUBSTITUTE(MID(UPPER(TRIM($DX664)),1+OR(LEFT(UPPER(TRIM($DX664)),1)="+",LEFT(UPPER(TRIM($DX664)),1)="-"),999),"E+","E"),"E-","E"),"+",""),"-","")),LEN(UPPER(TRIM($DX664)))-LEN(SUBSTITUTE(UPPER(TRIM($DX664)),"E",""))&lt;2,LEN(UPPER(TRIM($DX664)))-LEN(SUBSTITUTE(UPPER(TRIM($DX664)),".",""))&lt;2,IFERROR(FIND(".",UPPER(TRIM($DX664))),0)&lt;IFERROR(FIND("E",UPPER(TRIM($DX664))),999)),ISNUMBER(VALUE(TRIM($DX664)))),VALUE(TRIM($DX664)),"")))),""))</f>
        <v/>
      </c>
      <c r="DZ664">
        <f>IF($DM664=0,"",IF($L$17=0,"",IFERROR(IF(ISNUMBER(INDEX(PASTE_ALL,$DF664,$L$17)),INDEX(PASTE_ALL,$DF664,$L$17),SUBSTITUTE(SUBSTITUTE(TRIM(SUBSTITUTE(SUBSTITUTE(SUBSTITUTE(SUBSTITUTE(INDEX(PASTE_ALL,$DF664,$L$17)," "," "),CHAR(9)," "),CHAR(10)," "),CHAR(13)," ")),",",""),"%","")),"")))</f>
        <v/>
      </c>
      <c r="EA664">
        <f>IF($DM664=0,"",IFERROR(IF(ISNUMBER($DZ664),$DZ664,IF($DZ664="","",IF(TRIM($DZ664)="",0,IF(AND(AND(SUBSTITUTE(SUBSTITUTE(SUBSTITUTE(SUBSTITUTE(SUBSTITUTE(SUBSTITUTE(SUBSTITUTE(SUBSTITUTE(SUBSTITUTE(SUBSTITUTE(SUBSTITUTE(SUBSTITUTE(SUBSTITUTE(SUBSTITUTE(UPPER(TRIM($DZ664)),"0",""),"1",""),"2",""),"3",""),"4",""),"5",""),"6",""),"7",""),"8",""),"9",""),".",""),"+",""),"-",""),"E","")="",LEN(SUBSTITUTE(SUBSTITUTE(MID(UPPER(TRIM($DZ664)),1+OR(LEFT(UPPER(TRIM($DZ664)),1)="+",LEFT(UPPER(TRIM($DZ664)),1)="-"),999),"E+","E"),"E-","E"))=LEN(SUBSTITUTE(SUBSTITUTE(SUBSTITUTE(SUBSTITUTE(MID(UPPER(TRIM($DZ664)),1+OR(LEFT(UPPER(TRIM($DZ664)),1)="+",LEFT(UPPER(TRIM($DZ664)),1)="-"),999),"E+","E"),"E-","E"),"+",""),"-","")),LEN(UPPER(TRIM($DZ664)))-LEN(SUBSTITUTE(UPPER(TRIM($DZ664)),"E",""))&lt;2,LEN(UPPER(TRIM($DZ664)))-LEN(SUBSTITUTE(UPPER(TRIM($DZ664)),".",""))&lt;2,IFERROR(FIND(".",UPPER(TRIM($DZ664))),0)&lt;IFERROR(FIND("E",UPPER(TRIM($DZ664))),999)),ISNUMBER(VALUE(TRIM($DZ664)))),VALUE(TRIM($DZ664)),"")))),""))</f>
        <v/>
      </c>
      <c r="EB664">
        <f>IF($DM664=0,"",IF($L$18=0,"",IFERROR(IF(UPPER(TRIM(SUBSTITUTE(SUBSTITUTE(SUBSTITUTE(SUBSTITUTE(INDEX(PASTE_ALL,$DF664,$L$18)," "," "),CHAR(9)," "),CHAR(10)," "),CHAR(13)," ")))="READY","Ready",IF(UPPER(TRIM(SUBSTITUTE(SUBSTITUTE(SUBSTITUTE(SUBSTITUTE(INDEX(PASTE_ALL,$DF664,$L$18)," "," "),CHAR(9)," "),CHAR(10)," "),CHAR(13)," ")))="PM","PM",IF(OR(UPPER(TRIM(SUBSTITUTE(SUBSTITUTE(SUBSTITUTE(SUBSTITUTE(INDEX(PASTE_ALL,$DF664,$L$18)," "," "),CHAR(9)," "),CHAR(10)," "),CHAR(13)," ")))="OT",UPPER(TRIM(SUBSTITUTE(SUBSTITUTE(SUBSTITUTE(SUBSTITUTE(INDEX(PASTE_ALL,$DF664,$L$18)," "," "),CHAR(9)," "),CHAR(10)," "),CHAR(13)," ")))="OVERTIME",UPPER(TRIM(SUBSTITUTE(SUBSTITUTE(SUBSTITUTE(SUBSTITUTE(INDEX(PASTE_ALL,$DF664,$L$18)," "," "),CHAR(9)," "),CHAR(10)," "),CHAR(13)," ")))="TRIAL"),"OT",TRIM(SUBSTITUTE(SUBSTITUTE(SUBSTITUTE(SUBSTITUTE(INDEX(PASTE_ALL,$DF664,$L$18)," "," "),CHAR(9)," "),CHAR(10)," "),CHAR(13)," "))))),"")))</f>
        <v/>
      </c>
      <c r="EC664">
        <f>IF($DM664=0,"",IF($L$19=0,"",IFERROR(IF(ISNUMBER(INDEX(PASTE_ALL,$DF664,$L$19)),INDEX(PASTE_ALL,$DF664,$L$19),TRIM(SUBSTITUTE(SUBSTITUTE(SUBSTITUTE(SUBSTITUTE(INDEX(PASTE_ALL,$DF664,$L$19)," "," "),CHAR(9)," "),CHAR(10)," "),CHAR(13)," "))),"")))</f>
        <v/>
      </c>
      <c r="ED664">
        <f>IF($DM664=0,"",MATCH(1,INDEX(EXACT($DH$5:DH664,$DH664)*$DM$5:DM664,0),0))</f>
        <v/>
      </c>
      <c r="EE664">
        <f>IF($DM664=0,0,IF($ED664=$DE664,1,0))</f>
        <v/>
      </c>
      <c r="EF664">
        <f>EF663+$EE664</f>
        <v/>
      </c>
      <c r="EG664">
        <f>IF($DM664=0,"",INDEX($EF$5:$EF$1003,$ED664))</f>
        <v/>
      </c>
      <c r="EH664">
        <f>IF($DM664=0,"",IF($DO664&lt;&gt;"","",IFERROR(LOOKUP(2,1/(($EG$4:EG663=$EG664)*($DO$4:DO663&lt;&gt;"")),$DO$4:DO663),"")))</f>
        <v/>
      </c>
      <c r="EI664">
        <f>IF($DM664=0,"",IF($DO664&lt;&gt;"",$DO664,$EH664))</f>
        <v/>
      </c>
      <c r="EJ664">
        <f>IF($DM664=0,"",IF($EI664="",0,IF(OR(ISNUMBER($EI664),AND(AND(SUBSTITUTE(SUBSTITUTE(SUBSTITUTE(SUBSTITUTE(SUBSTITUTE(SUBSTITUTE(SUBSTITUTE(SUBSTITUTE(SUBSTITUTE(SUBSTITUTE(SUBSTITUTE(SUBSTITUTE(SUBSTITUTE(SUBSTITUTE(UPPER($EI664),"0",""),"1",""),"2",""),"3",""),"4",""),"5",""),"6",""),"7",""),"8",""),"9",""),".",""),"+",""),"-",""),"E","")="",LEN(SUBSTITUTE(SUBSTITUTE(MID(UPPER($EI664),1+OR(LEFT(UPPER($EI664),1)="+",LEFT(UPPER($EI664),1)="-"),999),"E+","E"),"E-","E"))=LEN(SUBSTITUTE(SUBSTITUTE(SUBSTITUTE(SUBSTITUTE(MID(UPPER($EI664),1+OR(LEFT(UPPER($EI664),1)="+",LEFT(UPPER($EI664),1)="-"),999),"E+","E"),"E-","E"),"+",""),"-","")),LEN(UPPER($EI664))-LEN(SUBSTITUTE(UPPER($EI664),"E",""))&lt;2,LEN(UPPER($EI664))-LEN(SUBSTITUTE(UPPER($EI664),".",""))&lt;2,IFERROR(FIND(".",UPPER($EI664)),0)&lt;IFERROR(FIND("E",UPPER($EI664)),999)),ISNUMBER(VALUE($EI664)))),1,2)))</f>
        <v/>
      </c>
      <c r="EK664">
        <f>IF($DM664=0,"",IF($EJ664=1,IF(ISNUMBER($EI664),$EI664,VALUE($EI664)),IF($EJ664=2,$DE664,0)))</f>
        <v/>
      </c>
      <c r="EL664">
        <f>IF($DM664=0,"",COUNTIF($EG$5:$EG$1003,"&lt;"&amp;$EG664)+SUMPRODUCT(($EG$5:$EG$1003=$EG664)*(($EJ$5:$EJ$1003&lt;$EJ664)+($EJ$5:$EJ$1003=$EJ664)*(($EK$5:$EK$1003&lt;$EK664)+($EK$5:$EK$1003=$EK664)*($DE$5:$DE$1003&lt;$DE664))))+1)</f>
        <v/>
      </c>
      <c r="EM664">
        <f>IF($DM664=0,"",$EL664+$EG664-1)</f>
        <v/>
      </c>
      <c r="EN664">
        <f>IF($DM664=0,0,IFERROR(MATCH(1,INDEX(--(TRIM(SUBSTITUTE(SUBSTITUTE(SUBSTITUTE(SUBSTITUTE(LINES_NAME&amp;""," "," "),CHAR(9)," "),CHAR(10)," "),CHAR(13)," "))=$DH664),0),0),0))</f>
        <v/>
      </c>
      <c r="EO664">
        <f>IF($EN664=0,0,IF(OR(UPPER(TRIM(INDEX(LINES_SCHEDULED,$EN664)&amp;""))="YES",UPPER(TRIM(INDEX(LINES_SCHEDULED,$EN664)&amp;""))="Y",UPPER(TRIM(INDEX(LINES_SCHEDULED,$EN664)&amp;""))="X"),1,0))</f>
        <v/>
      </c>
      <c r="EP664">
        <f>IF($DM664=0,"",IF(COUNTIFS($EG$5:$EG$1003,$EG664,$EB$5:$EB$1003,"Ready")&gt;0,"READY",IF(COUNTIFS($EG$5:$EG$1003,$EG664,$EB$5:$EB$1003,"PM")&gt;0,"PM",IF(COUNTIFS($EG$5:$EG$1003,$EG664,$EB$5:$EB$1003,"OT")&gt;0,"OT",""))))</f>
        <v/>
      </c>
      <c r="EQ664">
        <f>IF($EN664=0,"",UPPER(TRIM(INDEX(LINES_STATUS,$EN664)&amp;"")))</f>
        <v/>
      </c>
      <c r="ER664">
        <f>IF($DM664=0,"",IF(OR($EQ664="READY",$EQ664="PM",$EQ664="OT"),$EQ664,$EP664))</f>
        <v/>
      </c>
      <c r="ES664">
        <f>IF($DM664=0,"",IF(AND($DV664&lt;&gt;"",UPPER($DV664)&lt;&gt;"N"),"allergen",IF(ISNUMBER(SEARCH("oil",$DQ664)),"oil",IF(OR(EXACT($DS664,"A662"),EXACT($DS664,"A624")),"bulk",""))))</f>
        <v/>
      </c>
      <c r="ET664">
        <f>IF($DM664=0,"",IF(OR($EA664="",$EA664=0),"",$EA664/100))</f>
        <v/>
      </c>
      <c r="EU664">
        <f>IF(OR($ET664="",$DY664=""),"",INT($DY664*(1-$ET664)+0.5))</f>
        <v/>
      </c>
      <c r="EW664" t="n">
        <v>660</v>
      </c>
      <c r="EX664">
        <f>IFERROR(MATCH($EW664,$EM$5:$EM$1003,0),0)</f>
        <v/>
      </c>
      <c r="EY664">
        <f>IF($EW664&gt;$B$12,"",IF($EX664&gt;0,"row","spacer"))</f>
        <v/>
      </c>
      <c r="EZ664">
        <f>IF(AND($EY664="row",$EY663&lt;&gt;"row"),1,0)</f>
        <v/>
      </c>
      <c r="FA664">
        <f>IF(AND($EY664="row",$EY665&lt;&gt;"row"),1,0)</f>
        <v/>
      </c>
      <c r="FB664">
        <f>IF($EZ664=1,IFERROR(IF(ISNUMBER(INDEX(PASTE_ALL,INDEX($DF$5:$DF$1003,$EX664),$B$37)),INDEX(PASTE_ALL,INDEX($DF$5:$DF$1003,$EX664),$B$37),INDEX($DH$5:$DH$1003,$EX664)),INDEX($DH$5:$DH$1003,$EX664)),"")</f>
        <v/>
      </c>
      <c r="FC664">
        <f>IF($EY664="row",INDEX($ER$5:$ER$1003,$EX664),"")</f>
        <v/>
      </c>
      <c r="FD664">
        <f>IF($EY664="row",INDEX($DN$5:$DN$1003,$EX664),"")</f>
        <v/>
      </c>
      <c r="FE664">
        <f>IF($EY664="row",INDEX($DO$5:$DO$1003,$EX664),"")</f>
        <v/>
      </c>
      <c r="FF664">
        <f>IF($EY664="row",INDEX($DP$5:$DP$1003,$EX664),"")</f>
        <v/>
      </c>
      <c r="FG664">
        <f>IF($EY664="row",INDEX($DQ$5:$DQ$1003,$EX664),"")</f>
        <v/>
      </c>
      <c r="FH664">
        <f>IF($EY664="row",INDEX($DR$5:$DR$1003,$EX664),"")</f>
        <v/>
      </c>
      <c r="FI664">
        <f>IF($EY664="row",INDEX($DS$5:$DS$1003,$EX664),"")</f>
        <v/>
      </c>
      <c r="FJ664">
        <f>IF($EY664="row",INDEX($DT$5:$DT$1003,$EX664),"")</f>
        <v/>
      </c>
      <c r="FK664">
        <f>IF($EY664="row",INDEX($DU$5:$DU$1003,$EX664),"")</f>
        <v/>
      </c>
      <c r="FL664">
        <f>IF($EY664="row",INDEX($DV$5:$DV$1003,$EX664),"")</f>
        <v/>
      </c>
      <c r="FM664">
        <f>IF($EY664="row",INDEX($DW$5:$DW$1003,$EX664),"")</f>
        <v/>
      </c>
      <c r="FN664">
        <f>IF($EY664="row",INDEX($DY$5:$DY$1003,$EX664),"")</f>
        <v/>
      </c>
      <c r="FO664">
        <f>IF($EY664="row",INDEX($EA$5:$EA$1003,$EX664),"")</f>
        <v/>
      </c>
      <c r="FP664">
        <f>IF($EY664="row",INDEX($EC$5:$EC$1003,$EX664),"")</f>
        <v/>
      </c>
      <c r="FQ664">
        <f>IF($EY664="row",INDEX($ET$5:$ET$1003,$EX664),"")</f>
        <v/>
      </c>
      <c r="FR664">
        <f>IF($EY664="row",INDEX($EU$5:$EU$1003,$EX664),"")</f>
        <v/>
      </c>
      <c r="FS664">
        <f>IF(AND($EY664="row",$EY663="row"),IF(OR(INDEX($DT$5:$DT$1003,$EX663)="",INDEX($DT$5:$DT$1003,$EX664)=""),"",IF(NOT(EXACT(INDEX($DT$5:$DT$1003,$EX663),INDEX($DT$5:$DT$1003,$EX664))),"S4",IF(NOT(EXACT(INDEX($DS$5:$DS$1003,$EX663),INDEX($DS$5:$DS$1003,$EX664))),"S3",IF(NOT(EXACT(INDEX($DR$5:$DR$1003,$EX663),INDEX($DR$5:$DR$1003,$EX664))),"S1 Count Change","S1")))),"")</f>
        <v/>
      </c>
      <c r="FT664">
        <f>IF($EY664="row",INDEX($ES$5:$ES$1003,$EX664),"")</f>
        <v/>
      </c>
      <c r="FU664">
        <f>IF($EY664="row",INDEX($EO$5:$EO$1003,$EX664),0)</f>
        <v/>
      </c>
      <c r="FV664">
        <f>IF($FS664="S1 Count Change",1,0)</f>
        <v/>
      </c>
    </row>
    <row r="665">
      <c r="DA665" t="n">
        <v>661</v>
      </c>
      <c r="DB665">
        <f>IF($B$37=0,"",IFERROR(TRIM(SUBSTITUTE(SUBSTITUTE(SUBSTITUTE(SUBSTITUTE(INDEX(PASTE_ALL,661,$B$37)," "," "),CHAR(9)," "),CHAR(10)," "),CHAR(13)," ")),""))</f>
        <v/>
      </c>
      <c r="DC665">
        <f>IF(AND(661&gt;HEADER_ROW,UPPER(DB665)="LEGEND"),1,0)</f>
        <v/>
      </c>
      <c r="DE665" t="n">
        <v>661</v>
      </c>
      <c r="DF665">
        <f>HEADER_ROW+$DE665</f>
        <v/>
      </c>
      <c r="DG665">
        <f>IF(AND($DF665&lt;=1000,$DF665&lt;$B$8),1,0)</f>
        <v/>
      </c>
      <c r="DH665">
        <f>IF($DG665=1,IFERROR(INDEX($DB$5:$DB$1004,$DF665),""),"")</f>
        <v/>
      </c>
      <c r="DI665">
        <f>IF(AND($DG665=1,$DH665&lt;&gt;""),IFERROR(SUBSTITUTE(SUBSTITUTE(TRIM(SUBSTITUTE(SUBSTITUTE(SUBSTITUTE(SUBSTITUTE(IFERROR(INDEX(PASTE_ALL,$DF665,1)&amp;"","")&amp;"␟"&amp;IFERROR(INDEX(PASTE_ALL,$DF665,2)&amp;"","")&amp;"␟"&amp;IFERROR(INDEX(PASTE_ALL,$DF665,3)&amp;"","")&amp;"␟"&amp;IFERROR(INDEX(PASTE_ALL,$DF665,4)&amp;"","")&amp;"␟"&amp;IFERROR(INDEX(PASTE_ALL,$DF665,5)&amp;"","")&amp;"␟"&amp;IFERROR(INDEX(PASTE_ALL,$DF665,6)&amp;"","")&amp;"␟"&amp;IFERROR(INDEX(PASTE_ALL,$DF665,7)&amp;"","")&amp;"␟"&amp;IFERROR(INDEX(PASTE_ALL,$DF665,8)&amp;"","")&amp;"␟"&amp;IFERROR(INDEX(PASTE_ALL,$DF665,9)&amp;"","")&amp;"␟"&amp;IFERROR(INDEX(PASTE_ALL,$DF665,10)&amp;"","")&amp;"␟"&amp;IFERROR(INDEX(PASTE_ALL,$DF665,11)&amp;"","")&amp;"␟"&amp;IFERROR(INDEX(PASTE_ALL,$DF665,12)&amp;"","")&amp;"␟"&amp;IFERROR(INDEX(PASTE_ALL,$DF665,13)&amp;"","")&amp;"␟"&amp;IFERROR(INDEX(PASTE_ALL,$DF665,14)&amp;"","")&amp;"␟"&amp;IFERROR(INDEX(PASTE_ALL,$DF665,15)&amp;"","")&amp;"␟"&amp;IFERROR(INDEX(PASTE_ALL,$DF665,16)&amp;"","")&amp;"␟"&amp;IFERROR(INDEX(PASTE_ALL,$DF665,17)&amp;"","")&amp;"␟"&amp;IFERROR(INDEX(PASTE_ALL,$DF665,18)&amp;"","")&amp;"␟"&amp;IFERROR(INDEX(PASTE_ALL,$DF665,19)&amp;"","")&amp;"␟"&amp;IFERROR(INDEX(PASTE_ALL,$DF665,20)&amp;"","")&amp;"␟"&amp;IFERROR(INDEX(PASTE_ALL,$DF665,21)&amp;"","")&amp;"␟"&amp;IFERROR(INDEX(PASTE_ALL,$DF665,22)&amp;"","")&amp;"␟"&amp;IFERROR(INDEX(PASTE_ALL,$DF665,23)&amp;"","")&amp;"␟"&amp;IFERROR(INDEX(PASTE_ALL,$DF665,24)&amp;"","")&amp;"␟"&amp;IFERROR(INDEX(PASTE_ALL,$DF665,25)&amp;"","")&amp;"␟"&amp;IFERROR(INDEX(PASTE_ALL,$DF665,26)&amp;"","")&amp;"␟"&amp;IFERROR(INDEX(PASTE_ALL,$DF665,27)&amp;"","")&amp;"␟"&amp;IFERROR(INDEX(PASTE_ALL,$DF665,28)&amp;"","")&amp;"␟"&amp;IFERROR(INDEX(PASTE_ALL,$DF665,29)&amp;"","")&amp;"␟"&amp;IFERROR(INDEX(PASTE_ALL,$DF665,30)&amp;"","")&amp;"␟"&amp;IFERROR(INDEX(PASTE_ALL,$DF665,31)&amp;"","")&amp;"␟"&amp;IFERROR(INDEX(PASTE_ALL,$DF665,32)&amp;"","")&amp;"␟"&amp;IFERROR(INDEX(PASTE_ALL,$DF665,33)&amp;"","")&amp;"␟"&amp;IFERROR(INDEX(PASTE_ALL,$DF665,34)&amp;"","")&amp;"␟"&amp;IFERROR(INDEX(PASTE_ALL,$DF665,35)&amp;"","")&amp;"␟"&amp;IFERROR(INDEX(PASTE_ALL,$DF665,36)&amp;"","")&amp;"␟"&amp;IFERROR(INDEX(PASTE_ALL,$DF665,37)&amp;"","")&amp;"␟"&amp;IFERROR(INDEX(PASTE_ALL,$DF665,38)&amp;"","")&amp;"␟"&amp;IFERROR(INDEX(PASTE_ALL,$DF665,39)&amp;"","")&amp;"␟"&amp;IFERROR(INDEX(PASTE_ALL,$DF665,40)&amp;"","")&amp;"␟"&amp;IFERROR(INDEX(PASTE_ALL,$DF665,41)&amp;"","")&amp;"␟"&amp;IFERROR(INDEX(PASTE_ALL,$DF665,42)&amp;"","")&amp;"␟"&amp;IFERROR(INDEX(PASTE_ALL,$DF665,43)&amp;"","")&amp;"␟"&amp;IFERROR(INDEX(PASTE_ALL,$DF665,44)&amp;"","")&amp;"␟"&amp;IFERROR(INDEX(PASTE_ALL,$DF665,45)&amp;"","")&amp;"␟"&amp;IFERROR(INDEX(PASTE_ALL,$DF665,46)&amp;"","")&amp;"␟"&amp;IFERROR(INDEX(PASTE_ALL,$DF665,47)&amp;"","")&amp;"␟"&amp;IFERROR(INDEX(PASTE_ALL,$DF665,48)&amp;"","")&amp;"␟"&amp;IFERROR(INDEX(PASTE_ALL,$DF665,49)&amp;"","")&amp;"␟"&amp;IFERROR(INDEX(PASTE_ALL,$DF665,50)&amp;"","")&amp;"␟"&amp;IFERROR(INDEX(PASTE_ALL,$DF665,51)&amp;"","")&amp;"␟"&amp;IFERROR(INDEX(PASTE_ALL,$DF665,52)&amp;"","")&amp;"␟"&amp;IFERROR(INDEX(PASTE_ALL,$DF665,53)&amp;"","")&amp;"␟"&amp;IFERROR(INDEX(PASTE_ALL,$DF665,54)&amp;"","")&amp;"␟"&amp;IFERROR(INDEX(PASTE_ALL,$DF665,55)&amp;"","")&amp;"␟"&amp;IFERROR(INDEX(PASTE_ALL,$DF665,56)&amp;"","")&amp;"␟"&amp;IFERROR(INDEX(PASTE_ALL,$DF665,57)&amp;"","")&amp;"␟"&amp;IFERROR(INDEX(PASTE_ALL,$DF665,58)&amp;"","")&amp;"␟"&amp;IFERROR(INDEX(PASTE_ALL,$DF665,59)&amp;"","")&amp;"␟"&amp;IFERROR(INDEX(PASTE_ALL,$DF665,60)&amp;"","")," "," "),CHAR(9)," "),CHAR(10)," "),CHAR(13)," "))," ␟","␟"),"␟ ","␟"),"#"&amp;$DE665),"")</f>
        <v/>
      </c>
      <c r="DJ665">
        <f>IF($DI665="",0,IF(SUMPRODUCT(--EXACT($DI$4:DI664,$DI665))&gt;0,1,0))</f>
        <v/>
      </c>
      <c r="DK665">
        <f>IF(AND($DI665&lt;&gt;"",$DJ665=0),1,0)</f>
        <v/>
      </c>
      <c r="DL665">
        <f>DL664+$DK665</f>
        <v/>
      </c>
      <c r="DM665">
        <f>IF(AND($DK665=1,$DL665&lt;=600),1,0)</f>
        <v/>
      </c>
      <c r="DN665">
        <f>IF($DM665=0,"",IF($L$6=0,"",IFERROR(IF(ISNUMBER(INDEX(PASTE_ALL,$DF665,$L$6)),INDEX(PASTE_ALL,$DF665,$L$6),TRIM(SUBSTITUTE(SUBSTITUTE(SUBSTITUTE(SUBSTITUTE(INDEX(PASTE_ALL,$DF665,$L$6)," "," "),CHAR(9)," "),CHAR(10)," "),CHAR(13)," "))),"")))</f>
        <v/>
      </c>
      <c r="DO665">
        <f>IF($DM665=0,"",IF($L$7=0,"",IFERROR(IF(ISNUMBER(INDEX(PASTE_ALL,$DF665,$L$7)),INDEX(PASTE_ALL,$DF665,$L$7),TRIM(SUBSTITUTE(SUBSTITUTE(SUBSTITUTE(SUBSTITUTE(INDEX(PASTE_ALL,$DF665,$L$7)," "," "),CHAR(9)," "),CHAR(10)," "),CHAR(13)," "))),"")))</f>
        <v/>
      </c>
      <c r="DP665">
        <f>IF($DM665=0,"",IF($L$8=0,"",IFERROR(IF(ISNUMBER(INDEX(PASTE_ALL,$DF665,$L$8)),INDEX(PASTE_ALL,$DF665,$L$8),TRIM(SUBSTITUTE(SUBSTITUTE(SUBSTITUTE(SUBSTITUTE(INDEX(PASTE_ALL,$DF665,$L$8)," "," "),CHAR(9)," "),CHAR(10)," "),CHAR(13)," "))),"")))</f>
        <v/>
      </c>
      <c r="DQ665">
        <f>IF($DM665=0,"",IF($L$9=0,"",IFERROR(IF(ISNUMBER(INDEX(PASTE_ALL,$DF665,$L$9)),INDEX(PASTE_ALL,$DF665,$L$9),TRIM(SUBSTITUTE(SUBSTITUTE(SUBSTITUTE(SUBSTITUTE(INDEX(PASTE_ALL,$DF665,$L$9)," "," "),CHAR(9)," "),CHAR(10)," "),CHAR(13)," "))),"")))</f>
        <v/>
      </c>
      <c r="DR665">
        <f>IF($DM665=0,"",IF($L$10=0,"",IFERROR(IF(ISNUMBER(INDEX(PASTE_ALL,$DF665,$L$10)),INDEX(PASTE_ALL,$DF665,$L$10),TRIM(SUBSTITUTE(SUBSTITUTE(SUBSTITUTE(SUBSTITUTE(INDEX(PASTE_ALL,$DF665,$L$10)," "," "),CHAR(9)," "),CHAR(10)," "),CHAR(13)," "))),"")))</f>
        <v/>
      </c>
      <c r="DS665">
        <f>IF($DM665=0,"",IF($L$11=0,"",IFERROR(IF(ISNUMBER(INDEX(PASTE_ALL,$DF665,$L$11)),INDEX(PASTE_ALL,$DF665,$L$11),TRIM(SUBSTITUTE(SUBSTITUTE(SUBSTITUTE(SUBSTITUTE(INDEX(PASTE_ALL,$DF665,$L$11)," "," "),CHAR(9)," "),CHAR(10)," "),CHAR(13)," "))),"")))</f>
        <v/>
      </c>
      <c r="DT665">
        <f>IF($DM665=0,"",IF($L$12=0,"",IFERROR(IF(ISNUMBER(INDEX(PASTE_ALL,$DF665,$L$12)),INDEX(PASTE_ALL,$DF665,$L$12),TRIM(SUBSTITUTE(SUBSTITUTE(SUBSTITUTE(SUBSTITUTE(INDEX(PASTE_ALL,$DF665,$L$12)," "," "),CHAR(9)," "),CHAR(10)," "),CHAR(13)," "))),"")))</f>
        <v/>
      </c>
      <c r="DU665">
        <f>IF($DM665=0,"",IF($L$13=0,"",IFERROR(IF(ISNUMBER(INDEX(PASTE_ALL,$DF665,$L$13)),INDEX(PASTE_ALL,$DF665,$L$13),TRIM(SUBSTITUTE(SUBSTITUTE(SUBSTITUTE(SUBSTITUTE(INDEX(PASTE_ALL,$DF665,$L$13)," "," "),CHAR(9)," "),CHAR(10)," "),CHAR(13)," "))),"")))</f>
        <v/>
      </c>
      <c r="DV665">
        <f>IF($DM665=0,"",IF($L$14=0,"",IFERROR(IF(ISNUMBER(INDEX(PASTE_ALL,$DF665,$L$14)),INDEX(PASTE_ALL,$DF665,$L$14),TRIM(SUBSTITUTE(SUBSTITUTE(SUBSTITUTE(SUBSTITUTE(INDEX(PASTE_ALL,$DF665,$L$14)," "," "),CHAR(9)," "),CHAR(10)," "),CHAR(13)," "))),"")))</f>
        <v/>
      </c>
      <c r="DW665">
        <f>IF($DM665=0,"",IF($L$15=0,"",IFERROR(IF(ISNUMBER(INDEX(PASTE_ALL,$DF665,$L$15)),INDEX(PASTE_ALL,$DF665,$L$15),IF(SUMPRODUCT(--ISNUMBER(FIND({"A","B","C","D","E","F","G","H","I","J","K","L","M","N","O","P","Q","R","S","T","U","V","W","X","Y","Z","0","1","2","3","4","5","6","7","8","9"},UPPER(TRIM(SUBSTITUTE(SUBSTITUTE(SUBSTITUTE(SUBSTITUTE(INDEX(PASTE_ALL,$DF665,$L$15)," "," "),CHAR(9)," "),CHAR(10)," "),CHAR(13)," "))))))&gt;0,TRIM(SUBSTITUTE(SUBSTITUTE(SUBSTITUTE(SUBSTITUTE(INDEX(PASTE_ALL,$DF665,$L$15)," "," "),CHAR(9)," "),CHAR(10)," "),CHAR(13)," ")),"")),"")))</f>
        <v/>
      </c>
      <c r="DX665">
        <f>IF($DM665=0,"",IF($L$16=0,"",IFERROR(IF(ISNUMBER(INDEX(PASTE_ALL,$DF665,$L$16)),INDEX(PASTE_ALL,$DF665,$L$16),SUBSTITUTE(SUBSTITUTE(TRIM(SUBSTITUTE(SUBSTITUTE(SUBSTITUTE(SUBSTITUTE(INDEX(PASTE_ALL,$DF665,$L$16)," "," "),CHAR(9)," "),CHAR(10)," "),CHAR(13)," ")),",",""),"%","")),"")))</f>
        <v/>
      </c>
      <c r="DY665">
        <f>IF($DM665=0,"",IFERROR(IF(ISNUMBER($DX665),$DX665,IF($DX665="","",IF(TRIM($DX665)="",0,IF(AND(AND(SUBSTITUTE(SUBSTITUTE(SUBSTITUTE(SUBSTITUTE(SUBSTITUTE(SUBSTITUTE(SUBSTITUTE(SUBSTITUTE(SUBSTITUTE(SUBSTITUTE(SUBSTITUTE(SUBSTITUTE(SUBSTITUTE(SUBSTITUTE(UPPER(TRIM($DX665)),"0",""),"1",""),"2",""),"3",""),"4",""),"5",""),"6",""),"7",""),"8",""),"9",""),".",""),"+",""),"-",""),"E","")="",LEN(SUBSTITUTE(SUBSTITUTE(MID(UPPER(TRIM($DX665)),1+OR(LEFT(UPPER(TRIM($DX665)),1)="+",LEFT(UPPER(TRIM($DX665)),1)="-"),999),"E+","E"),"E-","E"))=LEN(SUBSTITUTE(SUBSTITUTE(SUBSTITUTE(SUBSTITUTE(MID(UPPER(TRIM($DX665)),1+OR(LEFT(UPPER(TRIM($DX665)),1)="+",LEFT(UPPER(TRIM($DX665)),1)="-"),999),"E+","E"),"E-","E"),"+",""),"-","")),LEN(UPPER(TRIM($DX665)))-LEN(SUBSTITUTE(UPPER(TRIM($DX665)),"E",""))&lt;2,LEN(UPPER(TRIM($DX665)))-LEN(SUBSTITUTE(UPPER(TRIM($DX665)),".",""))&lt;2,IFERROR(FIND(".",UPPER(TRIM($DX665))),0)&lt;IFERROR(FIND("E",UPPER(TRIM($DX665))),999)),ISNUMBER(VALUE(TRIM($DX665)))),VALUE(TRIM($DX665)),"")))),""))</f>
        <v/>
      </c>
      <c r="DZ665">
        <f>IF($DM665=0,"",IF($L$17=0,"",IFERROR(IF(ISNUMBER(INDEX(PASTE_ALL,$DF665,$L$17)),INDEX(PASTE_ALL,$DF665,$L$17),SUBSTITUTE(SUBSTITUTE(TRIM(SUBSTITUTE(SUBSTITUTE(SUBSTITUTE(SUBSTITUTE(INDEX(PASTE_ALL,$DF665,$L$17)," "," "),CHAR(9)," "),CHAR(10)," "),CHAR(13)," ")),",",""),"%","")),"")))</f>
        <v/>
      </c>
      <c r="EA665">
        <f>IF($DM665=0,"",IFERROR(IF(ISNUMBER($DZ665),$DZ665,IF($DZ665="","",IF(TRIM($DZ665)="",0,IF(AND(AND(SUBSTITUTE(SUBSTITUTE(SUBSTITUTE(SUBSTITUTE(SUBSTITUTE(SUBSTITUTE(SUBSTITUTE(SUBSTITUTE(SUBSTITUTE(SUBSTITUTE(SUBSTITUTE(SUBSTITUTE(SUBSTITUTE(SUBSTITUTE(UPPER(TRIM($DZ665)),"0",""),"1",""),"2",""),"3",""),"4",""),"5",""),"6",""),"7",""),"8",""),"9",""),".",""),"+",""),"-",""),"E","")="",LEN(SUBSTITUTE(SUBSTITUTE(MID(UPPER(TRIM($DZ665)),1+OR(LEFT(UPPER(TRIM($DZ665)),1)="+",LEFT(UPPER(TRIM($DZ665)),1)="-"),999),"E+","E"),"E-","E"))=LEN(SUBSTITUTE(SUBSTITUTE(SUBSTITUTE(SUBSTITUTE(MID(UPPER(TRIM($DZ665)),1+OR(LEFT(UPPER(TRIM($DZ665)),1)="+",LEFT(UPPER(TRIM($DZ665)),1)="-"),999),"E+","E"),"E-","E"),"+",""),"-","")),LEN(UPPER(TRIM($DZ665)))-LEN(SUBSTITUTE(UPPER(TRIM($DZ665)),"E",""))&lt;2,LEN(UPPER(TRIM($DZ665)))-LEN(SUBSTITUTE(UPPER(TRIM($DZ665)),".",""))&lt;2,IFERROR(FIND(".",UPPER(TRIM($DZ665))),0)&lt;IFERROR(FIND("E",UPPER(TRIM($DZ665))),999)),ISNUMBER(VALUE(TRIM($DZ665)))),VALUE(TRIM($DZ665)),"")))),""))</f>
        <v/>
      </c>
      <c r="EB665">
        <f>IF($DM665=0,"",IF($L$18=0,"",IFERROR(IF(UPPER(TRIM(SUBSTITUTE(SUBSTITUTE(SUBSTITUTE(SUBSTITUTE(INDEX(PASTE_ALL,$DF665,$L$18)," "," "),CHAR(9)," "),CHAR(10)," "),CHAR(13)," ")))="READY","Ready",IF(UPPER(TRIM(SUBSTITUTE(SUBSTITUTE(SUBSTITUTE(SUBSTITUTE(INDEX(PASTE_ALL,$DF665,$L$18)," "," "),CHAR(9)," "),CHAR(10)," "),CHAR(13)," ")))="PM","PM",IF(OR(UPPER(TRIM(SUBSTITUTE(SUBSTITUTE(SUBSTITUTE(SUBSTITUTE(INDEX(PASTE_ALL,$DF665,$L$18)," "," "),CHAR(9)," "),CHAR(10)," "),CHAR(13)," ")))="OT",UPPER(TRIM(SUBSTITUTE(SUBSTITUTE(SUBSTITUTE(SUBSTITUTE(INDEX(PASTE_ALL,$DF665,$L$18)," "," "),CHAR(9)," "),CHAR(10)," "),CHAR(13)," ")))="OVERTIME",UPPER(TRIM(SUBSTITUTE(SUBSTITUTE(SUBSTITUTE(SUBSTITUTE(INDEX(PASTE_ALL,$DF665,$L$18)," "," "),CHAR(9)," "),CHAR(10)," "),CHAR(13)," ")))="TRIAL"),"OT",TRIM(SUBSTITUTE(SUBSTITUTE(SUBSTITUTE(SUBSTITUTE(INDEX(PASTE_ALL,$DF665,$L$18)," "," "),CHAR(9)," "),CHAR(10)," "),CHAR(13)," "))))),"")))</f>
        <v/>
      </c>
      <c r="EC665">
        <f>IF($DM665=0,"",IF($L$19=0,"",IFERROR(IF(ISNUMBER(INDEX(PASTE_ALL,$DF665,$L$19)),INDEX(PASTE_ALL,$DF665,$L$19),TRIM(SUBSTITUTE(SUBSTITUTE(SUBSTITUTE(SUBSTITUTE(INDEX(PASTE_ALL,$DF665,$L$19)," "," "),CHAR(9)," "),CHAR(10)," "),CHAR(13)," "))),"")))</f>
        <v/>
      </c>
      <c r="ED665">
        <f>IF($DM665=0,"",MATCH(1,INDEX(EXACT($DH$5:DH665,$DH665)*$DM$5:DM665,0),0))</f>
        <v/>
      </c>
      <c r="EE665">
        <f>IF($DM665=0,0,IF($ED665=$DE665,1,0))</f>
        <v/>
      </c>
      <c r="EF665">
        <f>EF664+$EE665</f>
        <v/>
      </c>
      <c r="EG665">
        <f>IF($DM665=0,"",INDEX($EF$5:$EF$1003,$ED665))</f>
        <v/>
      </c>
      <c r="EH665">
        <f>IF($DM665=0,"",IF($DO665&lt;&gt;"","",IFERROR(LOOKUP(2,1/(($EG$4:EG664=$EG665)*($DO$4:DO664&lt;&gt;"")),$DO$4:DO664),"")))</f>
        <v/>
      </c>
      <c r="EI665">
        <f>IF($DM665=0,"",IF($DO665&lt;&gt;"",$DO665,$EH665))</f>
        <v/>
      </c>
      <c r="EJ665">
        <f>IF($DM665=0,"",IF($EI665="",0,IF(OR(ISNUMBER($EI665),AND(AND(SUBSTITUTE(SUBSTITUTE(SUBSTITUTE(SUBSTITUTE(SUBSTITUTE(SUBSTITUTE(SUBSTITUTE(SUBSTITUTE(SUBSTITUTE(SUBSTITUTE(SUBSTITUTE(SUBSTITUTE(SUBSTITUTE(SUBSTITUTE(UPPER($EI665),"0",""),"1",""),"2",""),"3",""),"4",""),"5",""),"6",""),"7",""),"8",""),"9",""),".",""),"+",""),"-",""),"E","")="",LEN(SUBSTITUTE(SUBSTITUTE(MID(UPPER($EI665),1+OR(LEFT(UPPER($EI665),1)="+",LEFT(UPPER($EI665),1)="-"),999),"E+","E"),"E-","E"))=LEN(SUBSTITUTE(SUBSTITUTE(SUBSTITUTE(SUBSTITUTE(MID(UPPER($EI665),1+OR(LEFT(UPPER($EI665),1)="+",LEFT(UPPER($EI665),1)="-"),999),"E+","E"),"E-","E"),"+",""),"-","")),LEN(UPPER($EI665))-LEN(SUBSTITUTE(UPPER($EI665),"E",""))&lt;2,LEN(UPPER($EI665))-LEN(SUBSTITUTE(UPPER($EI665),".",""))&lt;2,IFERROR(FIND(".",UPPER($EI665)),0)&lt;IFERROR(FIND("E",UPPER($EI665)),999)),ISNUMBER(VALUE($EI665)))),1,2)))</f>
        <v/>
      </c>
      <c r="EK665">
        <f>IF($DM665=0,"",IF($EJ665=1,IF(ISNUMBER($EI665),$EI665,VALUE($EI665)),IF($EJ665=2,$DE665,0)))</f>
        <v/>
      </c>
      <c r="EL665">
        <f>IF($DM665=0,"",COUNTIF($EG$5:$EG$1003,"&lt;"&amp;$EG665)+SUMPRODUCT(($EG$5:$EG$1003=$EG665)*(($EJ$5:$EJ$1003&lt;$EJ665)+($EJ$5:$EJ$1003=$EJ665)*(($EK$5:$EK$1003&lt;$EK665)+($EK$5:$EK$1003=$EK665)*($DE$5:$DE$1003&lt;$DE665))))+1)</f>
        <v/>
      </c>
      <c r="EM665">
        <f>IF($DM665=0,"",$EL665+$EG665-1)</f>
        <v/>
      </c>
      <c r="EN665">
        <f>IF($DM665=0,0,IFERROR(MATCH(1,INDEX(--(TRIM(SUBSTITUTE(SUBSTITUTE(SUBSTITUTE(SUBSTITUTE(LINES_NAME&amp;""," "," "),CHAR(9)," "),CHAR(10)," "),CHAR(13)," "))=$DH665),0),0),0))</f>
        <v/>
      </c>
      <c r="EO665">
        <f>IF($EN665=0,0,IF(OR(UPPER(TRIM(INDEX(LINES_SCHEDULED,$EN665)&amp;""))="YES",UPPER(TRIM(INDEX(LINES_SCHEDULED,$EN665)&amp;""))="Y",UPPER(TRIM(INDEX(LINES_SCHEDULED,$EN665)&amp;""))="X"),1,0))</f>
        <v/>
      </c>
      <c r="EP665">
        <f>IF($DM665=0,"",IF(COUNTIFS($EG$5:$EG$1003,$EG665,$EB$5:$EB$1003,"Ready")&gt;0,"READY",IF(COUNTIFS($EG$5:$EG$1003,$EG665,$EB$5:$EB$1003,"PM")&gt;0,"PM",IF(COUNTIFS($EG$5:$EG$1003,$EG665,$EB$5:$EB$1003,"OT")&gt;0,"OT",""))))</f>
        <v/>
      </c>
      <c r="EQ665">
        <f>IF($EN665=0,"",UPPER(TRIM(INDEX(LINES_STATUS,$EN665)&amp;"")))</f>
        <v/>
      </c>
      <c r="ER665">
        <f>IF($DM665=0,"",IF(OR($EQ665="READY",$EQ665="PM",$EQ665="OT"),$EQ665,$EP665))</f>
        <v/>
      </c>
      <c r="ES665">
        <f>IF($DM665=0,"",IF(AND($DV665&lt;&gt;"",UPPER($DV665)&lt;&gt;"N"),"allergen",IF(ISNUMBER(SEARCH("oil",$DQ665)),"oil",IF(OR(EXACT($DS665,"A662"),EXACT($DS665,"A624")),"bulk",""))))</f>
        <v/>
      </c>
      <c r="ET665">
        <f>IF($DM665=0,"",IF(OR($EA665="",$EA665=0),"",$EA665/100))</f>
        <v/>
      </c>
      <c r="EU665">
        <f>IF(OR($ET665="",$DY665=""),"",INT($DY665*(1-$ET665)+0.5))</f>
        <v/>
      </c>
      <c r="EW665" t="n">
        <v>661</v>
      </c>
      <c r="EX665">
        <f>IFERROR(MATCH($EW665,$EM$5:$EM$1003,0),0)</f>
        <v/>
      </c>
      <c r="EY665">
        <f>IF($EW665&gt;$B$12,"",IF($EX665&gt;0,"row","spacer"))</f>
        <v/>
      </c>
      <c r="EZ665">
        <f>IF(AND($EY665="row",$EY664&lt;&gt;"row"),1,0)</f>
        <v/>
      </c>
      <c r="FA665">
        <f>IF(AND($EY665="row",$EY666&lt;&gt;"row"),1,0)</f>
        <v/>
      </c>
      <c r="FB665">
        <f>IF($EZ665=1,IFERROR(IF(ISNUMBER(INDEX(PASTE_ALL,INDEX($DF$5:$DF$1003,$EX665),$B$37)),INDEX(PASTE_ALL,INDEX($DF$5:$DF$1003,$EX665),$B$37),INDEX($DH$5:$DH$1003,$EX665)),INDEX($DH$5:$DH$1003,$EX665)),"")</f>
        <v/>
      </c>
      <c r="FC665">
        <f>IF($EY665="row",INDEX($ER$5:$ER$1003,$EX665),"")</f>
        <v/>
      </c>
      <c r="FD665">
        <f>IF($EY665="row",INDEX($DN$5:$DN$1003,$EX665),"")</f>
        <v/>
      </c>
      <c r="FE665">
        <f>IF($EY665="row",INDEX($DO$5:$DO$1003,$EX665),"")</f>
        <v/>
      </c>
      <c r="FF665">
        <f>IF($EY665="row",INDEX($DP$5:$DP$1003,$EX665),"")</f>
        <v/>
      </c>
      <c r="FG665">
        <f>IF($EY665="row",INDEX($DQ$5:$DQ$1003,$EX665),"")</f>
        <v/>
      </c>
      <c r="FH665">
        <f>IF($EY665="row",INDEX($DR$5:$DR$1003,$EX665),"")</f>
        <v/>
      </c>
      <c r="FI665">
        <f>IF($EY665="row",INDEX($DS$5:$DS$1003,$EX665),"")</f>
        <v/>
      </c>
      <c r="FJ665">
        <f>IF($EY665="row",INDEX($DT$5:$DT$1003,$EX665),"")</f>
        <v/>
      </c>
      <c r="FK665">
        <f>IF($EY665="row",INDEX($DU$5:$DU$1003,$EX665),"")</f>
        <v/>
      </c>
      <c r="FL665">
        <f>IF($EY665="row",INDEX($DV$5:$DV$1003,$EX665),"")</f>
        <v/>
      </c>
      <c r="FM665">
        <f>IF($EY665="row",INDEX($DW$5:$DW$1003,$EX665),"")</f>
        <v/>
      </c>
      <c r="FN665">
        <f>IF($EY665="row",INDEX($DY$5:$DY$1003,$EX665),"")</f>
        <v/>
      </c>
      <c r="FO665">
        <f>IF($EY665="row",INDEX($EA$5:$EA$1003,$EX665),"")</f>
        <v/>
      </c>
      <c r="FP665">
        <f>IF($EY665="row",INDEX($EC$5:$EC$1003,$EX665),"")</f>
        <v/>
      </c>
      <c r="FQ665">
        <f>IF($EY665="row",INDEX($ET$5:$ET$1003,$EX665),"")</f>
        <v/>
      </c>
      <c r="FR665">
        <f>IF($EY665="row",INDEX($EU$5:$EU$1003,$EX665),"")</f>
        <v/>
      </c>
      <c r="FS665">
        <f>IF(AND($EY665="row",$EY664="row"),IF(OR(INDEX($DT$5:$DT$1003,$EX664)="",INDEX($DT$5:$DT$1003,$EX665)=""),"",IF(NOT(EXACT(INDEX($DT$5:$DT$1003,$EX664),INDEX($DT$5:$DT$1003,$EX665))),"S4",IF(NOT(EXACT(INDEX($DS$5:$DS$1003,$EX664),INDEX($DS$5:$DS$1003,$EX665))),"S3",IF(NOT(EXACT(INDEX($DR$5:$DR$1003,$EX664),INDEX($DR$5:$DR$1003,$EX665))),"S1 Count Change","S1")))),"")</f>
        <v/>
      </c>
      <c r="FT665">
        <f>IF($EY665="row",INDEX($ES$5:$ES$1003,$EX665),"")</f>
        <v/>
      </c>
      <c r="FU665">
        <f>IF($EY665="row",INDEX($EO$5:$EO$1003,$EX665),0)</f>
        <v/>
      </c>
      <c r="FV665">
        <f>IF($FS665="S1 Count Change",1,0)</f>
        <v/>
      </c>
    </row>
    <row r="666">
      <c r="DA666" t="n">
        <v>662</v>
      </c>
      <c r="DB666">
        <f>IF($B$37=0,"",IFERROR(TRIM(SUBSTITUTE(SUBSTITUTE(SUBSTITUTE(SUBSTITUTE(INDEX(PASTE_ALL,662,$B$37)," "," "),CHAR(9)," "),CHAR(10)," "),CHAR(13)," ")),""))</f>
        <v/>
      </c>
      <c r="DC666">
        <f>IF(AND(662&gt;HEADER_ROW,UPPER(DB666)="LEGEND"),1,0)</f>
        <v/>
      </c>
      <c r="DE666" t="n">
        <v>662</v>
      </c>
      <c r="DF666">
        <f>HEADER_ROW+$DE666</f>
        <v/>
      </c>
      <c r="DG666">
        <f>IF(AND($DF666&lt;=1000,$DF666&lt;$B$8),1,0)</f>
        <v/>
      </c>
      <c r="DH666">
        <f>IF($DG666=1,IFERROR(INDEX($DB$5:$DB$1004,$DF666),""),"")</f>
        <v/>
      </c>
      <c r="DI666">
        <f>IF(AND($DG666=1,$DH666&lt;&gt;""),IFERROR(SUBSTITUTE(SUBSTITUTE(TRIM(SUBSTITUTE(SUBSTITUTE(SUBSTITUTE(SUBSTITUTE(IFERROR(INDEX(PASTE_ALL,$DF666,1)&amp;"","")&amp;"␟"&amp;IFERROR(INDEX(PASTE_ALL,$DF666,2)&amp;"","")&amp;"␟"&amp;IFERROR(INDEX(PASTE_ALL,$DF666,3)&amp;"","")&amp;"␟"&amp;IFERROR(INDEX(PASTE_ALL,$DF666,4)&amp;"","")&amp;"␟"&amp;IFERROR(INDEX(PASTE_ALL,$DF666,5)&amp;"","")&amp;"␟"&amp;IFERROR(INDEX(PASTE_ALL,$DF666,6)&amp;"","")&amp;"␟"&amp;IFERROR(INDEX(PASTE_ALL,$DF666,7)&amp;"","")&amp;"␟"&amp;IFERROR(INDEX(PASTE_ALL,$DF666,8)&amp;"","")&amp;"␟"&amp;IFERROR(INDEX(PASTE_ALL,$DF666,9)&amp;"","")&amp;"␟"&amp;IFERROR(INDEX(PASTE_ALL,$DF666,10)&amp;"","")&amp;"␟"&amp;IFERROR(INDEX(PASTE_ALL,$DF666,11)&amp;"","")&amp;"␟"&amp;IFERROR(INDEX(PASTE_ALL,$DF666,12)&amp;"","")&amp;"␟"&amp;IFERROR(INDEX(PASTE_ALL,$DF666,13)&amp;"","")&amp;"␟"&amp;IFERROR(INDEX(PASTE_ALL,$DF666,14)&amp;"","")&amp;"␟"&amp;IFERROR(INDEX(PASTE_ALL,$DF666,15)&amp;"","")&amp;"␟"&amp;IFERROR(INDEX(PASTE_ALL,$DF666,16)&amp;"","")&amp;"␟"&amp;IFERROR(INDEX(PASTE_ALL,$DF666,17)&amp;"","")&amp;"␟"&amp;IFERROR(INDEX(PASTE_ALL,$DF666,18)&amp;"","")&amp;"␟"&amp;IFERROR(INDEX(PASTE_ALL,$DF666,19)&amp;"","")&amp;"␟"&amp;IFERROR(INDEX(PASTE_ALL,$DF666,20)&amp;"","")&amp;"␟"&amp;IFERROR(INDEX(PASTE_ALL,$DF666,21)&amp;"","")&amp;"␟"&amp;IFERROR(INDEX(PASTE_ALL,$DF666,22)&amp;"","")&amp;"␟"&amp;IFERROR(INDEX(PASTE_ALL,$DF666,23)&amp;"","")&amp;"␟"&amp;IFERROR(INDEX(PASTE_ALL,$DF666,24)&amp;"","")&amp;"␟"&amp;IFERROR(INDEX(PASTE_ALL,$DF666,25)&amp;"","")&amp;"␟"&amp;IFERROR(INDEX(PASTE_ALL,$DF666,26)&amp;"","")&amp;"␟"&amp;IFERROR(INDEX(PASTE_ALL,$DF666,27)&amp;"","")&amp;"␟"&amp;IFERROR(INDEX(PASTE_ALL,$DF666,28)&amp;"","")&amp;"␟"&amp;IFERROR(INDEX(PASTE_ALL,$DF666,29)&amp;"","")&amp;"␟"&amp;IFERROR(INDEX(PASTE_ALL,$DF666,30)&amp;"","")&amp;"␟"&amp;IFERROR(INDEX(PASTE_ALL,$DF666,31)&amp;"","")&amp;"␟"&amp;IFERROR(INDEX(PASTE_ALL,$DF666,32)&amp;"","")&amp;"␟"&amp;IFERROR(INDEX(PASTE_ALL,$DF666,33)&amp;"","")&amp;"␟"&amp;IFERROR(INDEX(PASTE_ALL,$DF666,34)&amp;"","")&amp;"␟"&amp;IFERROR(INDEX(PASTE_ALL,$DF666,35)&amp;"","")&amp;"␟"&amp;IFERROR(INDEX(PASTE_ALL,$DF666,36)&amp;"","")&amp;"␟"&amp;IFERROR(INDEX(PASTE_ALL,$DF666,37)&amp;"","")&amp;"␟"&amp;IFERROR(INDEX(PASTE_ALL,$DF666,38)&amp;"","")&amp;"␟"&amp;IFERROR(INDEX(PASTE_ALL,$DF666,39)&amp;"","")&amp;"␟"&amp;IFERROR(INDEX(PASTE_ALL,$DF666,40)&amp;"","")&amp;"␟"&amp;IFERROR(INDEX(PASTE_ALL,$DF666,41)&amp;"","")&amp;"␟"&amp;IFERROR(INDEX(PASTE_ALL,$DF666,42)&amp;"","")&amp;"␟"&amp;IFERROR(INDEX(PASTE_ALL,$DF666,43)&amp;"","")&amp;"␟"&amp;IFERROR(INDEX(PASTE_ALL,$DF666,44)&amp;"","")&amp;"␟"&amp;IFERROR(INDEX(PASTE_ALL,$DF666,45)&amp;"","")&amp;"␟"&amp;IFERROR(INDEX(PASTE_ALL,$DF666,46)&amp;"","")&amp;"␟"&amp;IFERROR(INDEX(PASTE_ALL,$DF666,47)&amp;"","")&amp;"␟"&amp;IFERROR(INDEX(PASTE_ALL,$DF666,48)&amp;"","")&amp;"␟"&amp;IFERROR(INDEX(PASTE_ALL,$DF666,49)&amp;"","")&amp;"␟"&amp;IFERROR(INDEX(PASTE_ALL,$DF666,50)&amp;"","")&amp;"␟"&amp;IFERROR(INDEX(PASTE_ALL,$DF666,51)&amp;"","")&amp;"␟"&amp;IFERROR(INDEX(PASTE_ALL,$DF666,52)&amp;"","")&amp;"␟"&amp;IFERROR(INDEX(PASTE_ALL,$DF666,53)&amp;"","")&amp;"␟"&amp;IFERROR(INDEX(PASTE_ALL,$DF666,54)&amp;"","")&amp;"␟"&amp;IFERROR(INDEX(PASTE_ALL,$DF666,55)&amp;"","")&amp;"␟"&amp;IFERROR(INDEX(PASTE_ALL,$DF666,56)&amp;"","")&amp;"␟"&amp;IFERROR(INDEX(PASTE_ALL,$DF666,57)&amp;"","")&amp;"␟"&amp;IFERROR(INDEX(PASTE_ALL,$DF666,58)&amp;"","")&amp;"␟"&amp;IFERROR(INDEX(PASTE_ALL,$DF666,59)&amp;"","")&amp;"␟"&amp;IFERROR(INDEX(PASTE_ALL,$DF666,60)&amp;"","")," "," "),CHAR(9)," "),CHAR(10)," "),CHAR(13)," "))," ␟","␟"),"␟ ","␟"),"#"&amp;$DE666),"")</f>
        <v/>
      </c>
      <c r="DJ666">
        <f>IF($DI666="",0,IF(SUMPRODUCT(--EXACT($DI$4:DI665,$DI666))&gt;0,1,0))</f>
        <v/>
      </c>
      <c r="DK666">
        <f>IF(AND($DI666&lt;&gt;"",$DJ666=0),1,0)</f>
        <v/>
      </c>
      <c r="DL666">
        <f>DL665+$DK666</f>
        <v/>
      </c>
      <c r="DM666">
        <f>IF(AND($DK666=1,$DL666&lt;=600),1,0)</f>
        <v/>
      </c>
      <c r="DN666">
        <f>IF($DM666=0,"",IF($L$6=0,"",IFERROR(IF(ISNUMBER(INDEX(PASTE_ALL,$DF666,$L$6)),INDEX(PASTE_ALL,$DF666,$L$6),TRIM(SUBSTITUTE(SUBSTITUTE(SUBSTITUTE(SUBSTITUTE(INDEX(PASTE_ALL,$DF666,$L$6)," "," "),CHAR(9)," "),CHAR(10)," "),CHAR(13)," "))),"")))</f>
        <v/>
      </c>
      <c r="DO666">
        <f>IF($DM666=0,"",IF($L$7=0,"",IFERROR(IF(ISNUMBER(INDEX(PASTE_ALL,$DF666,$L$7)),INDEX(PASTE_ALL,$DF666,$L$7),TRIM(SUBSTITUTE(SUBSTITUTE(SUBSTITUTE(SUBSTITUTE(INDEX(PASTE_ALL,$DF666,$L$7)," "," "),CHAR(9)," "),CHAR(10)," "),CHAR(13)," "))),"")))</f>
        <v/>
      </c>
      <c r="DP666">
        <f>IF($DM666=0,"",IF($L$8=0,"",IFERROR(IF(ISNUMBER(INDEX(PASTE_ALL,$DF666,$L$8)),INDEX(PASTE_ALL,$DF666,$L$8),TRIM(SUBSTITUTE(SUBSTITUTE(SUBSTITUTE(SUBSTITUTE(INDEX(PASTE_ALL,$DF666,$L$8)," "," "),CHAR(9)," "),CHAR(10)," "),CHAR(13)," "))),"")))</f>
        <v/>
      </c>
      <c r="DQ666">
        <f>IF($DM666=0,"",IF($L$9=0,"",IFERROR(IF(ISNUMBER(INDEX(PASTE_ALL,$DF666,$L$9)),INDEX(PASTE_ALL,$DF666,$L$9),TRIM(SUBSTITUTE(SUBSTITUTE(SUBSTITUTE(SUBSTITUTE(INDEX(PASTE_ALL,$DF666,$L$9)," "," "),CHAR(9)," "),CHAR(10)," "),CHAR(13)," "))),"")))</f>
        <v/>
      </c>
      <c r="DR666">
        <f>IF($DM666=0,"",IF($L$10=0,"",IFERROR(IF(ISNUMBER(INDEX(PASTE_ALL,$DF666,$L$10)),INDEX(PASTE_ALL,$DF666,$L$10),TRIM(SUBSTITUTE(SUBSTITUTE(SUBSTITUTE(SUBSTITUTE(INDEX(PASTE_ALL,$DF666,$L$10)," "," "),CHAR(9)," "),CHAR(10)," "),CHAR(13)," "))),"")))</f>
        <v/>
      </c>
      <c r="DS666">
        <f>IF($DM666=0,"",IF($L$11=0,"",IFERROR(IF(ISNUMBER(INDEX(PASTE_ALL,$DF666,$L$11)),INDEX(PASTE_ALL,$DF666,$L$11),TRIM(SUBSTITUTE(SUBSTITUTE(SUBSTITUTE(SUBSTITUTE(INDEX(PASTE_ALL,$DF666,$L$11)," "," "),CHAR(9)," "),CHAR(10)," "),CHAR(13)," "))),"")))</f>
        <v/>
      </c>
      <c r="DT666">
        <f>IF($DM666=0,"",IF($L$12=0,"",IFERROR(IF(ISNUMBER(INDEX(PASTE_ALL,$DF666,$L$12)),INDEX(PASTE_ALL,$DF666,$L$12),TRIM(SUBSTITUTE(SUBSTITUTE(SUBSTITUTE(SUBSTITUTE(INDEX(PASTE_ALL,$DF666,$L$12)," "," "),CHAR(9)," "),CHAR(10)," "),CHAR(13)," "))),"")))</f>
        <v/>
      </c>
      <c r="DU666">
        <f>IF($DM666=0,"",IF($L$13=0,"",IFERROR(IF(ISNUMBER(INDEX(PASTE_ALL,$DF666,$L$13)),INDEX(PASTE_ALL,$DF666,$L$13),TRIM(SUBSTITUTE(SUBSTITUTE(SUBSTITUTE(SUBSTITUTE(INDEX(PASTE_ALL,$DF666,$L$13)," "," "),CHAR(9)," "),CHAR(10)," "),CHAR(13)," "))),"")))</f>
        <v/>
      </c>
      <c r="DV666">
        <f>IF($DM666=0,"",IF($L$14=0,"",IFERROR(IF(ISNUMBER(INDEX(PASTE_ALL,$DF666,$L$14)),INDEX(PASTE_ALL,$DF666,$L$14),TRIM(SUBSTITUTE(SUBSTITUTE(SUBSTITUTE(SUBSTITUTE(INDEX(PASTE_ALL,$DF666,$L$14)," "," "),CHAR(9)," "),CHAR(10)," "),CHAR(13)," "))),"")))</f>
        <v/>
      </c>
      <c r="DW666">
        <f>IF($DM666=0,"",IF($L$15=0,"",IFERROR(IF(ISNUMBER(INDEX(PASTE_ALL,$DF666,$L$15)),INDEX(PASTE_ALL,$DF666,$L$15),IF(SUMPRODUCT(--ISNUMBER(FIND({"A","B","C","D","E","F","G","H","I","J","K","L","M","N","O","P","Q","R","S","T","U","V","W","X","Y","Z","0","1","2","3","4","5","6","7","8","9"},UPPER(TRIM(SUBSTITUTE(SUBSTITUTE(SUBSTITUTE(SUBSTITUTE(INDEX(PASTE_ALL,$DF666,$L$15)," "," "),CHAR(9)," "),CHAR(10)," "),CHAR(13)," "))))))&gt;0,TRIM(SUBSTITUTE(SUBSTITUTE(SUBSTITUTE(SUBSTITUTE(INDEX(PASTE_ALL,$DF666,$L$15)," "," "),CHAR(9)," "),CHAR(10)," "),CHAR(13)," ")),"")),"")))</f>
        <v/>
      </c>
      <c r="DX666">
        <f>IF($DM666=0,"",IF($L$16=0,"",IFERROR(IF(ISNUMBER(INDEX(PASTE_ALL,$DF666,$L$16)),INDEX(PASTE_ALL,$DF666,$L$16),SUBSTITUTE(SUBSTITUTE(TRIM(SUBSTITUTE(SUBSTITUTE(SUBSTITUTE(SUBSTITUTE(INDEX(PASTE_ALL,$DF666,$L$16)," "," "),CHAR(9)," "),CHAR(10)," "),CHAR(13)," ")),",",""),"%","")),"")))</f>
        <v/>
      </c>
      <c r="DY666">
        <f>IF($DM666=0,"",IFERROR(IF(ISNUMBER($DX666),$DX666,IF($DX666="","",IF(TRIM($DX666)="",0,IF(AND(AND(SUBSTITUTE(SUBSTITUTE(SUBSTITUTE(SUBSTITUTE(SUBSTITUTE(SUBSTITUTE(SUBSTITUTE(SUBSTITUTE(SUBSTITUTE(SUBSTITUTE(SUBSTITUTE(SUBSTITUTE(SUBSTITUTE(SUBSTITUTE(UPPER(TRIM($DX666)),"0",""),"1",""),"2",""),"3",""),"4",""),"5",""),"6",""),"7",""),"8",""),"9",""),".",""),"+",""),"-",""),"E","")="",LEN(SUBSTITUTE(SUBSTITUTE(MID(UPPER(TRIM($DX666)),1+OR(LEFT(UPPER(TRIM($DX666)),1)="+",LEFT(UPPER(TRIM($DX666)),1)="-"),999),"E+","E"),"E-","E"))=LEN(SUBSTITUTE(SUBSTITUTE(SUBSTITUTE(SUBSTITUTE(MID(UPPER(TRIM($DX666)),1+OR(LEFT(UPPER(TRIM($DX666)),1)="+",LEFT(UPPER(TRIM($DX666)),1)="-"),999),"E+","E"),"E-","E"),"+",""),"-","")),LEN(UPPER(TRIM($DX666)))-LEN(SUBSTITUTE(UPPER(TRIM($DX666)),"E",""))&lt;2,LEN(UPPER(TRIM($DX666)))-LEN(SUBSTITUTE(UPPER(TRIM($DX666)),".",""))&lt;2,IFERROR(FIND(".",UPPER(TRIM($DX666))),0)&lt;IFERROR(FIND("E",UPPER(TRIM($DX666))),999)),ISNUMBER(VALUE(TRIM($DX666)))),VALUE(TRIM($DX666)),"")))),""))</f>
        <v/>
      </c>
      <c r="DZ666">
        <f>IF($DM666=0,"",IF($L$17=0,"",IFERROR(IF(ISNUMBER(INDEX(PASTE_ALL,$DF666,$L$17)),INDEX(PASTE_ALL,$DF666,$L$17),SUBSTITUTE(SUBSTITUTE(TRIM(SUBSTITUTE(SUBSTITUTE(SUBSTITUTE(SUBSTITUTE(INDEX(PASTE_ALL,$DF666,$L$17)," "," "),CHAR(9)," "),CHAR(10)," "),CHAR(13)," ")),",",""),"%","")),"")))</f>
        <v/>
      </c>
      <c r="EA666">
        <f>IF($DM666=0,"",IFERROR(IF(ISNUMBER($DZ666),$DZ666,IF($DZ666="","",IF(TRIM($DZ666)="",0,IF(AND(AND(SUBSTITUTE(SUBSTITUTE(SUBSTITUTE(SUBSTITUTE(SUBSTITUTE(SUBSTITUTE(SUBSTITUTE(SUBSTITUTE(SUBSTITUTE(SUBSTITUTE(SUBSTITUTE(SUBSTITUTE(SUBSTITUTE(SUBSTITUTE(UPPER(TRIM($DZ666)),"0",""),"1",""),"2",""),"3",""),"4",""),"5",""),"6",""),"7",""),"8",""),"9",""),".",""),"+",""),"-",""),"E","")="",LEN(SUBSTITUTE(SUBSTITUTE(MID(UPPER(TRIM($DZ666)),1+OR(LEFT(UPPER(TRIM($DZ666)),1)="+",LEFT(UPPER(TRIM($DZ666)),1)="-"),999),"E+","E"),"E-","E"))=LEN(SUBSTITUTE(SUBSTITUTE(SUBSTITUTE(SUBSTITUTE(MID(UPPER(TRIM($DZ666)),1+OR(LEFT(UPPER(TRIM($DZ666)),1)="+",LEFT(UPPER(TRIM($DZ666)),1)="-"),999),"E+","E"),"E-","E"),"+",""),"-","")),LEN(UPPER(TRIM($DZ666)))-LEN(SUBSTITUTE(UPPER(TRIM($DZ666)),"E",""))&lt;2,LEN(UPPER(TRIM($DZ666)))-LEN(SUBSTITUTE(UPPER(TRIM($DZ666)),".",""))&lt;2,IFERROR(FIND(".",UPPER(TRIM($DZ666))),0)&lt;IFERROR(FIND("E",UPPER(TRIM($DZ666))),999)),ISNUMBER(VALUE(TRIM($DZ666)))),VALUE(TRIM($DZ666)),"")))),""))</f>
        <v/>
      </c>
      <c r="EB666">
        <f>IF($DM666=0,"",IF($L$18=0,"",IFERROR(IF(UPPER(TRIM(SUBSTITUTE(SUBSTITUTE(SUBSTITUTE(SUBSTITUTE(INDEX(PASTE_ALL,$DF666,$L$18)," "," "),CHAR(9)," "),CHAR(10)," "),CHAR(13)," ")))="READY","Ready",IF(UPPER(TRIM(SUBSTITUTE(SUBSTITUTE(SUBSTITUTE(SUBSTITUTE(INDEX(PASTE_ALL,$DF666,$L$18)," "," "),CHAR(9)," "),CHAR(10)," "),CHAR(13)," ")))="PM","PM",IF(OR(UPPER(TRIM(SUBSTITUTE(SUBSTITUTE(SUBSTITUTE(SUBSTITUTE(INDEX(PASTE_ALL,$DF666,$L$18)," "," "),CHAR(9)," "),CHAR(10)," "),CHAR(13)," ")))="OT",UPPER(TRIM(SUBSTITUTE(SUBSTITUTE(SUBSTITUTE(SUBSTITUTE(INDEX(PASTE_ALL,$DF666,$L$18)," "," "),CHAR(9)," "),CHAR(10)," "),CHAR(13)," ")))="OVERTIME",UPPER(TRIM(SUBSTITUTE(SUBSTITUTE(SUBSTITUTE(SUBSTITUTE(INDEX(PASTE_ALL,$DF666,$L$18)," "," "),CHAR(9)," "),CHAR(10)," "),CHAR(13)," ")))="TRIAL"),"OT",TRIM(SUBSTITUTE(SUBSTITUTE(SUBSTITUTE(SUBSTITUTE(INDEX(PASTE_ALL,$DF666,$L$18)," "," "),CHAR(9)," "),CHAR(10)," "),CHAR(13)," "))))),"")))</f>
        <v/>
      </c>
      <c r="EC666">
        <f>IF($DM666=0,"",IF($L$19=0,"",IFERROR(IF(ISNUMBER(INDEX(PASTE_ALL,$DF666,$L$19)),INDEX(PASTE_ALL,$DF666,$L$19),TRIM(SUBSTITUTE(SUBSTITUTE(SUBSTITUTE(SUBSTITUTE(INDEX(PASTE_ALL,$DF666,$L$19)," "," "),CHAR(9)," "),CHAR(10)," "),CHAR(13)," "))),"")))</f>
        <v/>
      </c>
      <c r="ED666">
        <f>IF($DM666=0,"",MATCH(1,INDEX(EXACT($DH$5:DH666,$DH666)*$DM$5:DM666,0),0))</f>
        <v/>
      </c>
      <c r="EE666">
        <f>IF($DM666=0,0,IF($ED666=$DE666,1,0))</f>
        <v/>
      </c>
      <c r="EF666">
        <f>EF665+$EE666</f>
        <v/>
      </c>
      <c r="EG666">
        <f>IF($DM666=0,"",INDEX($EF$5:$EF$1003,$ED666))</f>
        <v/>
      </c>
      <c r="EH666">
        <f>IF($DM666=0,"",IF($DO666&lt;&gt;"","",IFERROR(LOOKUP(2,1/(($EG$4:EG665=$EG666)*($DO$4:DO665&lt;&gt;"")),$DO$4:DO665),"")))</f>
        <v/>
      </c>
      <c r="EI666">
        <f>IF($DM666=0,"",IF($DO666&lt;&gt;"",$DO666,$EH666))</f>
        <v/>
      </c>
      <c r="EJ666">
        <f>IF($DM666=0,"",IF($EI666="",0,IF(OR(ISNUMBER($EI666),AND(AND(SUBSTITUTE(SUBSTITUTE(SUBSTITUTE(SUBSTITUTE(SUBSTITUTE(SUBSTITUTE(SUBSTITUTE(SUBSTITUTE(SUBSTITUTE(SUBSTITUTE(SUBSTITUTE(SUBSTITUTE(SUBSTITUTE(SUBSTITUTE(UPPER($EI666),"0",""),"1",""),"2",""),"3",""),"4",""),"5",""),"6",""),"7",""),"8",""),"9",""),".",""),"+",""),"-",""),"E","")="",LEN(SUBSTITUTE(SUBSTITUTE(MID(UPPER($EI666),1+OR(LEFT(UPPER($EI666),1)="+",LEFT(UPPER($EI666),1)="-"),999),"E+","E"),"E-","E"))=LEN(SUBSTITUTE(SUBSTITUTE(SUBSTITUTE(SUBSTITUTE(MID(UPPER($EI666),1+OR(LEFT(UPPER($EI666),1)="+",LEFT(UPPER($EI666),1)="-"),999),"E+","E"),"E-","E"),"+",""),"-","")),LEN(UPPER($EI666))-LEN(SUBSTITUTE(UPPER($EI666),"E",""))&lt;2,LEN(UPPER($EI666))-LEN(SUBSTITUTE(UPPER($EI666),".",""))&lt;2,IFERROR(FIND(".",UPPER($EI666)),0)&lt;IFERROR(FIND("E",UPPER($EI666)),999)),ISNUMBER(VALUE($EI666)))),1,2)))</f>
        <v/>
      </c>
      <c r="EK666">
        <f>IF($DM666=0,"",IF($EJ666=1,IF(ISNUMBER($EI666),$EI666,VALUE($EI666)),IF($EJ666=2,$DE666,0)))</f>
        <v/>
      </c>
      <c r="EL666">
        <f>IF($DM666=0,"",COUNTIF($EG$5:$EG$1003,"&lt;"&amp;$EG666)+SUMPRODUCT(($EG$5:$EG$1003=$EG666)*(($EJ$5:$EJ$1003&lt;$EJ666)+($EJ$5:$EJ$1003=$EJ666)*(($EK$5:$EK$1003&lt;$EK666)+($EK$5:$EK$1003=$EK666)*($DE$5:$DE$1003&lt;$DE666))))+1)</f>
        <v/>
      </c>
      <c r="EM666">
        <f>IF($DM666=0,"",$EL666+$EG666-1)</f>
        <v/>
      </c>
      <c r="EN666">
        <f>IF($DM666=0,0,IFERROR(MATCH(1,INDEX(--(TRIM(SUBSTITUTE(SUBSTITUTE(SUBSTITUTE(SUBSTITUTE(LINES_NAME&amp;""," "," "),CHAR(9)," "),CHAR(10)," "),CHAR(13)," "))=$DH666),0),0),0))</f>
        <v/>
      </c>
      <c r="EO666">
        <f>IF($EN666=0,0,IF(OR(UPPER(TRIM(INDEX(LINES_SCHEDULED,$EN666)&amp;""))="YES",UPPER(TRIM(INDEX(LINES_SCHEDULED,$EN666)&amp;""))="Y",UPPER(TRIM(INDEX(LINES_SCHEDULED,$EN666)&amp;""))="X"),1,0))</f>
        <v/>
      </c>
      <c r="EP666">
        <f>IF($DM666=0,"",IF(COUNTIFS($EG$5:$EG$1003,$EG666,$EB$5:$EB$1003,"Ready")&gt;0,"READY",IF(COUNTIFS($EG$5:$EG$1003,$EG666,$EB$5:$EB$1003,"PM")&gt;0,"PM",IF(COUNTIFS($EG$5:$EG$1003,$EG666,$EB$5:$EB$1003,"OT")&gt;0,"OT",""))))</f>
        <v/>
      </c>
      <c r="EQ666">
        <f>IF($EN666=0,"",UPPER(TRIM(INDEX(LINES_STATUS,$EN666)&amp;"")))</f>
        <v/>
      </c>
      <c r="ER666">
        <f>IF($DM666=0,"",IF(OR($EQ666="READY",$EQ666="PM",$EQ666="OT"),$EQ666,$EP666))</f>
        <v/>
      </c>
      <c r="ES666">
        <f>IF($DM666=0,"",IF(AND($DV666&lt;&gt;"",UPPER($DV666)&lt;&gt;"N"),"allergen",IF(ISNUMBER(SEARCH("oil",$DQ666)),"oil",IF(OR(EXACT($DS666,"A662"),EXACT($DS666,"A624")),"bulk",""))))</f>
        <v/>
      </c>
      <c r="ET666">
        <f>IF($DM666=0,"",IF(OR($EA666="",$EA666=0),"",$EA666/100))</f>
        <v/>
      </c>
      <c r="EU666">
        <f>IF(OR($ET666="",$DY666=""),"",INT($DY666*(1-$ET666)+0.5))</f>
        <v/>
      </c>
      <c r="EW666" t="n">
        <v>662</v>
      </c>
      <c r="EX666">
        <f>IFERROR(MATCH($EW666,$EM$5:$EM$1003,0),0)</f>
        <v/>
      </c>
      <c r="EY666">
        <f>IF($EW666&gt;$B$12,"",IF($EX666&gt;0,"row","spacer"))</f>
        <v/>
      </c>
      <c r="EZ666">
        <f>IF(AND($EY666="row",$EY665&lt;&gt;"row"),1,0)</f>
        <v/>
      </c>
      <c r="FA666">
        <f>IF(AND($EY666="row",$EY667&lt;&gt;"row"),1,0)</f>
        <v/>
      </c>
      <c r="FB666">
        <f>IF($EZ666=1,IFERROR(IF(ISNUMBER(INDEX(PASTE_ALL,INDEX($DF$5:$DF$1003,$EX666),$B$37)),INDEX(PASTE_ALL,INDEX($DF$5:$DF$1003,$EX666),$B$37),INDEX($DH$5:$DH$1003,$EX666)),INDEX($DH$5:$DH$1003,$EX666)),"")</f>
        <v/>
      </c>
      <c r="FC666">
        <f>IF($EY666="row",INDEX($ER$5:$ER$1003,$EX666),"")</f>
        <v/>
      </c>
      <c r="FD666">
        <f>IF($EY666="row",INDEX($DN$5:$DN$1003,$EX666),"")</f>
        <v/>
      </c>
      <c r="FE666">
        <f>IF($EY666="row",INDEX($DO$5:$DO$1003,$EX666),"")</f>
        <v/>
      </c>
      <c r="FF666">
        <f>IF($EY666="row",INDEX($DP$5:$DP$1003,$EX666),"")</f>
        <v/>
      </c>
      <c r="FG666">
        <f>IF($EY666="row",INDEX($DQ$5:$DQ$1003,$EX666),"")</f>
        <v/>
      </c>
      <c r="FH666">
        <f>IF($EY666="row",INDEX($DR$5:$DR$1003,$EX666),"")</f>
        <v/>
      </c>
      <c r="FI666">
        <f>IF($EY666="row",INDEX($DS$5:$DS$1003,$EX666),"")</f>
        <v/>
      </c>
      <c r="FJ666">
        <f>IF($EY666="row",INDEX($DT$5:$DT$1003,$EX666),"")</f>
        <v/>
      </c>
      <c r="FK666">
        <f>IF($EY666="row",INDEX($DU$5:$DU$1003,$EX666),"")</f>
        <v/>
      </c>
      <c r="FL666">
        <f>IF($EY666="row",INDEX($DV$5:$DV$1003,$EX666),"")</f>
        <v/>
      </c>
      <c r="FM666">
        <f>IF($EY666="row",INDEX($DW$5:$DW$1003,$EX666),"")</f>
        <v/>
      </c>
      <c r="FN666">
        <f>IF($EY666="row",INDEX($DY$5:$DY$1003,$EX666),"")</f>
        <v/>
      </c>
      <c r="FO666">
        <f>IF($EY666="row",INDEX($EA$5:$EA$1003,$EX666),"")</f>
        <v/>
      </c>
      <c r="FP666">
        <f>IF($EY666="row",INDEX($EC$5:$EC$1003,$EX666),"")</f>
        <v/>
      </c>
      <c r="FQ666">
        <f>IF($EY666="row",INDEX($ET$5:$ET$1003,$EX666),"")</f>
        <v/>
      </c>
      <c r="FR666">
        <f>IF($EY666="row",INDEX($EU$5:$EU$1003,$EX666),"")</f>
        <v/>
      </c>
      <c r="FS666">
        <f>IF(AND($EY666="row",$EY665="row"),IF(OR(INDEX($DT$5:$DT$1003,$EX665)="",INDEX($DT$5:$DT$1003,$EX666)=""),"",IF(NOT(EXACT(INDEX($DT$5:$DT$1003,$EX665),INDEX($DT$5:$DT$1003,$EX666))),"S4",IF(NOT(EXACT(INDEX($DS$5:$DS$1003,$EX665),INDEX($DS$5:$DS$1003,$EX666))),"S3",IF(NOT(EXACT(INDEX($DR$5:$DR$1003,$EX665),INDEX($DR$5:$DR$1003,$EX666))),"S1 Count Change","S1")))),"")</f>
        <v/>
      </c>
      <c r="FT666">
        <f>IF($EY666="row",INDEX($ES$5:$ES$1003,$EX666),"")</f>
        <v/>
      </c>
      <c r="FU666">
        <f>IF($EY666="row",INDEX($EO$5:$EO$1003,$EX666),0)</f>
        <v/>
      </c>
      <c r="FV666">
        <f>IF($FS666="S1 Count Change",1,0)</f>
        <v/>
      </c>
    </row>
    <row r="667">
      <c r="DA667" t="n">
        <v>663</v>
      </c>
      <c r="DB667">
        <f>IF($B$37=0,"",IFERROR(TRIM(SUBSTITUTE(SUBSTITUTE(SUBSTITUTE(SUBSTITUTE(INDEX(PASTE_ALL,663,$B$37)," "," "),CHAR(9)," "),CHAR(10)," "),CHAR(13)," ")),""))</f>
        <v/>
      </c>
      <c r="DC667">
        <f>IF(AND(663&gt;HEADER_ROW,UPPER(DB667)="LEGEND"),1,0)</f>
        <v/>
      </c>
      <c r="DE667" t="n">
        <v>663</v>
      </c>
      <c r="DF667">
        <f>HEADER_ROW+$DE667</f>
        <v/>
      </c>
      <c r="DG667">
        <f>IF(AND($DF667&lt;=1000,$DF667&lt;$B$8),1,0)</f>
        <v/>
      </c>
      <c r="DH667">
        <f>IF($DG667=1,IFERROR(INDEX($DB$5:$DB$1004,$DF667),""),"")</f>
        <v/>
      </c>
      <c r="DI667">
        <f>IF(AND($DG667=1,$DH667&lt;&gt;""),IFERROR(SUBSTITUTE(SUBSTITUTE(TRIM(SUBSTITUTE(SUBSTITUTE(SUBSTITUTE(SUBSTITUTE(IFERROR(INDEX(PASTE_ALL,$DF667,1)&amp;"","")&amp;"␟"&amp;IFERROR(INDEX(PASTE_ALL,$DF667,2)&amp;"","")&amp;"␟"&amp;IFERROR(INDEX(PASTE_ALL,$DF667,3)&amp;"","")&amp;"␟"&amp;IFERROR(INDEX(PASTE_ALL,$DF667,4)&amp;"","")&amp;"␟"&amp;IFERROR(INDEX(PASTE_ALL,$DF667,5)&amp;"","")&amp;"␟"&amp;IFERROR(INDEX(PASTE_ALL,$DF667,6)&amp;"","")&amp;"␟"&amp;IFERROR(INDEX(PASTE_ALL,$DF667,7)&amp;"","")&amp;"␟"&amp;IFERROR(INDEX(PASTE_ALL,$DF667,8)&amp;"","")&amp;"␟"&amp;IFERROR(INDEX(PASTE_ALL,$DF667,9)&amp;"","")&amp;"␟"&amp;IFERROR(INDEX(PASTE_ALL,$DF667,10)&amp;"","")&amp;"␟"&amp;IFERROR(INDEX(PASTE_ALL,$DF667,11)&amp;"","")&amp;"␟"&amp;IFERROR(INDEX(PASTE_ALL,$DF667,12)&amp;"","")&amp;"␟"&amp;IFERROR(INDEX(PASTE_ALL,$DF667,13)&amp;"","")&amp;"␟"&amp;IFERROR(INDEX(PASTE_ALL,$DF667,14)&amp;"","")&amp;"␟"&amp;IFERROR(INDEX(PASTE_ALL,$DF667,15)&amp;"","")&amp;"␟"&amp;IFERROR(INDEX(PASTE_ALL,$DF667,16)&amp;"","")&amp;"␟"&amp;IFERROR(INDEX(PASTE_ALL,$DF667,17)&amp;"","")&amp;"␟"&amp;IFERROR(INDEX(PASTE_ALL,$DF667,18)&amp;"","")&amp;"␟"&amp;IFERROR(INDEX(PASTE_ALL,$DF667,19)&amp;"","")&amp;"␟"&amp;IFERROR(INDEX(PASTE_ALL,$DF667,20)&amp;"","")&amp;"␟"&amp;IFERROR(INDEX(PASTE_ALL,$DF667,21)&amp;"","")&amp;"␟"&amp;IFERROR(INDEX(PASTE_ALL,$DF667,22)&amp;"","")&amp;"␟"&amp;IFERROR(INDEX(PASTE_ALL,$DF667,23)&amp;"","")&amp;"␟"&amp;IFERROR(INDEX(PASTE_ALL,$DF667,24)&amp;"","")&amp;"␟"&amp;IFERROR(INDEX(PASTE_ALL,$DF667,25)&amp;"","")&amp;"␟"&amp;IFERROR(INDEX(PASTE_ALL,$DF667,26)&amp;"","")&amp;"␟"&amp;IFERROR(INDEX(PASTE_ALL,$DF667,27)&amp;"","")&amp;"␟"&amp;IFERROR(INDEX(PASTE_ALL,$DF667,28)&amp;"","")&amp;"␟"&amp;IFERROR(INDEX(PASTE_ALL,$DF667,29)&amp;"","")&amp;"␟"&amp;IFERROR(INDEX(PASTE_ALL,$DF667,30)&amp;"","")&amp;"␟"&amp;IFERROR(INDEX(PASTE_ALL,$DF667,31)&amp;"","")&amp;"␟"&amp;IFERROR(INDEX(PASTE_ALL,$DF667,32)&amp;"","")&amp;"␟"&amp;IFERROR(INDEX(PASTE_ALL,$DF667,33)&amp;"","")&amp;"␟"&amp;IFERROR(INDEX(PASTE_ALL,$DF667,34)&amp;"","")&amp;"␟"&amp;IFERROR(INDEX(PASTE_ALL,$DF667,35)&amp;"","")&amp;"␟"&amp;IFERROR(INDEX(PASTE_ALL,$DF667,36)&amp;"","")&amp;"␟"&amp;IFERROR(INDEX(PASTE_ALL,$DF667,37)&amp;"","")&amp;"␟"&amp;IFERROR(INDEX(PASTE_ALL,$DF667,38)&amp;"","")&amp;"␟"&amp;IFERROR(INDEX(PASTE_ALL,$DF667,39)&amp;"","")&amp;"␟"&amp;IFERROR(INDEX(PASTE_ALL,$DF667,40)&amp;"","")&amp;"␟"&amp;IFERROR(INDEX(PASTE_ALL,$DF667,41)&amp;"","")&amp;"␟"&amp;IFERROR(INDEX(PASTE_ALL,$DF667,42)&amp;"","")&amp;"␟"&amp;IFERROR(INDEX(PASTE_ALL,$DF667,43)&amp;"","")&amp;"␟"&amp;IFERROR(INDEX(PASTE_ALL,$DF667,44)&amp;"","")&amp;"␟"&amp;IFERROR(INDEX(PASTE_ALL,$DF667,45)&amp;"","")&amp;"␟"&amp;IFERROR(INDEX(PASTE_ALL,$DF667,46)&amp;"","")&amp;"␟"&amp;IFERROR(INDEX(PASTE_ALL,$DF667,47)&amp;"","")&amp;"␟"&amp;IFERROR(INDEX(PASTE_ALL,$DF667,48)&amp;"","")&amp;"␟"&amp;IFERROR(INDEX(PASTE_ALL,$DF667,49)&amp;"","")&amp;"␟"&amp;IFERROR(INDEX(PASTE_ALL,$DF667,50)&amp;"","")&amp;"␟"&amp;IFERROR(INDEX(PASTE_ALL,$DF667,51)&amp;"","")&amp;"␟"&amp;IFERROR(INDEX(PASTE_ALL,$DF667,52)&amp;"","")&amp;"␟"&amp;IFERROR(INDEX(PASTE_ALL,$DF667,53)&amp;"","")&amp;"␟"&amp;IFERROR(INDEX(PASTE_ALL,$DF667,54)&amp;"","")&amp;"␟"&amp;IFERROR(INDEX(PASTE_ALL,$DF667,55)&amp;"","")&amp;"␟"&amp;IFERROR(INDEX(PASTE_ALL,$DF667,56)&amp;"","")&amp;"␟"&amp;IFERROR(INDEX(PASTE_ALL,$DF667,57)&amp;"","")&amp;"␟"&amp;IFERROR(INDEX(PASTE_ALL,$DF667,58)&amp;"","")&amp;"␟"&amp;IFERROR(INDEX(PASTE_ALL,$DF667,59)&amp;"","")&amp;"␟"&amp;IFERROR(INDEX(PASTE_ALL,$DF667,60)&amp;"","")," "," "),CHAR(9)," "),CHAR(10)," "),CHAR(13)," "))," ␟","␟"),"␟ ","␟"),"#"&amp;$DE667),"")</f>
        <v/>
      </c>
      <c r="DJ667">
        <f>IF($DI667="",0,IF(SUMPRODUCT(--EXACT($DI$4:DI666,$DI667))&gt;0,1,0))</f>
        <v/>
      </c>
      <c r="DK667">
        <f>IF(AND($DI667&lt;&gt;"",$DJ667=0),1,0)</f>
        <v/>
      </c>
      <c r="DL667">
        <f>DL666+$DK667</f>
        <v/>
      </c>
      <c r="DM667">
        <f>IF(AND($DK667=1,$DL667&lt;=600),1,0)</f>
        <v/>
      </c>
      <c r="DN667">
        <f>IF($DM667=0,"",IF($L$6=0,"",IFERROR(IF(ISNUMBER(INDEX(PASTE_ALL,$DF667,$L$6)),INDEX(PASTE_ALL,$DF667,$L$6),TRIM(SUBSTITUTE(SUBSTITUTE(SUBSTITUTE(SUBSTITUTE(INDEX(PASTE_ALL,$DF667,$L$6)," "," "),CHAR(9)," "),CHAR(10)," "),CHAR(13)," "))),"")))</f>
        <v/>
      </c>
      <c r="DO667">
        <f>IF($DM667=0,"",IF($L$7=0,"",IFERROR(IF(ISNUMBER(INDEX(PASTE_ALL,$DF667,$L$7)),INDEX(PASTE_ALL,$DF667,$L$7),TRIM(SUBSTITUTE(SUBSTITUTE(SUBSTITUTE(SUBSTITUTE(INDEX(PASTE_ALL,$DF667,$L$7)," "," "),CHAR(9)," "),CHAR(10)," "),CHAR(13)," "))),"")))</f>
        <v/>
      </c>
      <c r="DP667">
        <f>IF($DM667=0,"",IF($L$8=0,"",IFERROR(IF(ISNUMBER(INDEX(PASTE_ALL,$DF667,$L$8)),INDEX(PASTE_ALL,$DF667,$L$8),TRIM(SUBSTITUTE(SUBSTITUTE(SUBSTITUTE(SUBSTITUTE(INDEX(PASTE_ALL,$DF667,$L$8)," "," "),CHAR(9)," "),CHAR(10)," "),CHAR(13)," "))),"")))</f>
        <v/>
      </c>
      <c r="DQ667">
        <f>IF($DM667=0,"",IF($L$9=0,"",IFERROR(IF(ISNUMBER(INDEX(PASTE_ALL,$DF667,$L$9)),INDEX(PASTE_ALL,$DF667,$L$9),TRIM(SUBSTITUTE(SUBSTITUTE(SUBSTITUTE(SUBSTITUTE(INDEX(PASTE_ALL,$DF667,$L$9)," "," "),CHAR(9)," "),CHAR(10)," "),CHAR(13)," "))),"")))</f>
        <v/>
      </c>
      <c r="DR667">
        <f>IF($DM667=0,"",IF($L$10=0,"",IFERROR(IF(ISNUMBER(INDEX(PASTE_ALL,$DF667,$L$10)),INDEX(PASTE_ALL,$DF667,$L$10),TRIM(SUBSTITUTE(SUBSTITUTE(SUBSTITUTE(SUBSTITUTE(INDEX(PASTE_ALL,$DF667,$L$10)," "," "),CHAR(9)," "),CHAR(10)," "),CHAR(13)," "))),"")))</f>
        <v/>
      </c>
      <c r="DS667">
        <f>IF($DM667=0,"",IF($L$11=0,"",IFERROR(IF(ISNUMBER(INDEX(PASTE_ALL,$DF667,$L$11)),INDEX(PASTE_ALL,$DF667,$L$11),TRIM(SUBSTITUTE(SUBSTITUTE(SUBSTITUTE(SUBSTITUTE(INDEX(PASTE_ALL,$DF667,$L$11)," "," "),CHAR(9)," "),CHAR(10)," "),CHAR(13)," "))),"")))</f>
        <v/>
      </c>
      <c r="DT667">
        <f>IF($DM667=0,"",IF($L$12=0,"",IFERROR(IF(ISNUMBER(INDEX(PASTE_ALL,$DF667,$L$12)),INDEX(PASTE_ALL,$DF667,$L$12),TRIM(SUBSTITUTE(SUBSTITUTE(SUBSTITUTE(SUBSTITUTE(INDEX(PASTE_ALL,$DF667,$L$12)," "," "),CHAR(9)," "),CHAR(10)," "),CHAR(13)," "))),"")))</f>
        <v/>
      </c>
      <c r="DU667">
        <f>IF($DM667=0,"",IF($L$13=0,"",IFERROR(IF(ISNUMBER(INDEX(PASTE_ALL,$DF667,$L$13)),INDEX(PASTE_ALL,$DF667,$L$13),TRIM(SUBSTITUTE(SUBSTITUTE(SUBSTITUTE(SUBSTITUTE(INDEX(PASTE_ALL,$DF667,$L$13)," "," "),CHAR(9)," "),CHAR(10)," "),CHAR(13)," "))),"")))</f>
        <v/>
      </c>
      <c r="DV667">
        <f>IF($DM667=0,"",IF($L$14=0,"",IFERROR(IF(ISNUMBER(INDEX(PASTE_ALL,$DF667,$L$14)),INDEX(PASTE_ALL,$DF667,$L$14),TRIM(SUBSTITUTE(SUBSTITUTE(SUBSTITUTE(SUBSTITUTE(INDEX(PASTE_ALL,$DF667,$L$14)," "," "),CHAR(9)," "),CHAR(10)," "),CHAR(13)," "))),"")))</f>
        <v/>
      </c>
      <c r="DW667">
        <f>IF($DM667=0,"",IF($L$15=0,"",IFERROR(IF(ISNUMBER(INDEX(PASTE_ALL,$DF667,$L$15)),INDEX(PASTE_ALL,$DF667,$L$15),IF(SUMPRODUCT(--ISNUMBER(FIND({"A","B","C","D","E","F","G","H","I","J","K","L","M","N","O","P","Q","R","S","T","U","V","W","X","Y","Z","0","1","2","3","4","5","6","7","8","9"},UPPER(TRIM(SUBSTITUTE(SUBSTITUTE(SUBSTITUTE(SUBSTITUTE(INDEX(PASTE_ALL,$DF667,$L$15)," "," "),CHAR(9)," "),CHAR(10)," "),CHAR(13)," "))))))&gt;0,TRIM(SUBSTITUTE(SUBSTITUTE(SUBSTITUTE(SUBSTITUTE(INDEX(PASTE_ALL,$DF667,$L$15)," "," "),CHAR(9)," "),CHAR(10)," "),CHAR(13)," ")),"")),"")))</f>
        <v/>
      </c>
      <c r="DX667">
        <f>IF($DM667=0,"",IF($L$16=0,"",IFERROR(IF(ISNUMBER(INDEX(PASTE_ALL,$DF667,$L$16)),INDEX(PASTE_ALL,$DF667,$L$16),SUBSTITUTE(SUBSTITUTE(TRIM(SUBSTITUTE(SUBSTITUTE(SUBSTITUTE(SUBSTITUTE(INDEX(PASTE_ALL,$DF667,$L$16)," "," "),CHAR(9)," "),CHAR(10)," "),CHAR(13)," ")),",",""),"%","")),"")))</f>
        <v/>
      </c>
      <c r="DY667">
        <f>IF($DM667=0,"",IFERROR(IF(ISNUMBER($DX667),$DX667,IF($DX667="","",IF(TRIM($DX667)="",0,IF(AND(AND(SUBSTITUTE(SUBSTITUTE(SUBSTITUTE(SUBSTITUTE(SUBSTITUTE(SUBSTITUTE(SUBSTITUTE(SUBSTITUTE(SUBSTITUTE(SUBSTITUTE(SUBSTITUTE(SUBSTITUTE(SUBSTITUTE(SUBSTITUTE(UPPER(TRIM($DX667)),"0",""),"1",""),"2",""),"3",""),"4",""),"5",""),"6",""),"7",""),"8",""),"9",""),".",""),"+",""),"-",""),"E","")="",LEN(SUBSTITUTE(SUBSTITUTE(MID(UPPER(TRIM($DX667)),1+OR(LEFT(UPPER(TRIM($DX667)),1)="+",LEFT(UPPER(TRIM($DX667)),1)="-"),999),"E+","E"),"E-","E"))=LEN(SUBSTITUTE(SUBSTITUTE(SUBSTITUTE(SUBSTITUTE(MID(UPPER(TRIM($DX667)),1+OR(LEFT(UPPER(TRIM($DX667)),1)="+",LEFT(UPPER(TRIM($DX667)),1)="-"),999),"E+","E"),"E-","E"),"+",""),"-","")),LEN(UPPER(TRIM($DX667)))-LEN(SUBSTITUTE(UPPER(TRIM($DX667)),"E",""))&lt;2,LEN(UPPER(TRIM($DX667)))-LEN(SUBSTITUTE(UPPER(TRIM($DX667)),".",""))&lt;2,IFERROR(FIND(".",UPPER(TRIM($DX667))),0)&lt;IFERROR(FIND("E",UPPER(TRIM($DX667))),999)),ISNUMBER(VALUE(TRIM($DX667)))),VALUE(TRIM($DX667)),"")))),""))</f>
        <v/>
      </c>
      <c r="DZ667">
        <f>IF($DM667=0,"",IF($L$17=0,"",IFERROR(IF(ISNUMBER(INDEX(PASTE_ALL,$DF667,$L$17)),INDEX(PASTE_ALL,$DF667,$L$17),SUBSTITUTE(SUBSTITUTE(TRIM(SUBSTITUTE(SUBSTITUTE(SUBSTITUTE(SUBSTITUTE(INDEX(PASTE_ALL,$DF667,$L$17)," "," "),CHAR(9)," "),CHAR(10)," "),CHAR(13)," ")),",",""),"%","")),"")))</f>
        <v/>
      </c>
      <c r="EA667">
        <f>IF($DM667=0,"",IFERROR(IF(ISNUMBER($DZ667),$DZ667,IF($DZ667="","",IF(TRIM($DZ667)="",0,IF(AND(AND(SUBSTITUTE(SUBSTITUTE(SUBSTITUTE(SUBSTITUTE(SUBSTITUTE(SUBSTITUTE(SUBSTITUTE(SUBSTITUTE(SUBSTITUTE(SUBSTITUTE(SUBSTITUTE(SUBSTITUTE(SUBSTITUTE(SUBSTITUTE(UPPER(TRIM($DZ667)),"0",""),"1",""),"2",""),"3",""),"4",""),"5",""),"6",""),"7",""),"8",""),"9",""),".",""),"+",""),"-",""),"E","")="",LEN(SUBSTITUTE(SUBSTITUTE(MID(UPPER(TRIM($DZ667)),1+OR(LEFT(UPPER(TRIM($DZ667)),1)="+",LEFT(UPPER(TRIM($DZ667)),1)="-"),999),"E+","E"),"E-","E"))=LEN(SUBSTITUTE(SUBSTITUTE(SUBSTITUTE(SUBSTITUTE(MID(UPPER(TRIM($DZ667)),1+OR(LEFT(UPPER(TRIM($DZ667)),1)="+",LEFT(UPPER(TRIM($DZ667)),1)="-"),999),"E+","E"),"E-","E"),"+",""),"-","")),LEN(UPPER(TRIM($DZ667)))-LEN(SUBSTITUTE(UPPER(TRIM($DZ667)),"E",""))&lt;2,LEN(UPPER(TRIM($DZ667)))-LEN(SUBSTITUTE(UPPER(TRIM($DZ667)),".",""))&lt;2,IFERROR(FIND(".",UPPER(TRIM($DZ667))),0)&lt;IFERROR(FIND("E",UPPER(TRIM($DZ667))),999)),ISNUMBER(VALUE(TRIM($DZ667)))),VALUE(TRIM($DZ667)),"")))),""))</f>
        <v/>
      </c>
      <c r="EB667">
        <f>IF($DM667=0,"",IF($L$18=0,"",IFERROR(IF(UPPER(TRIM(SUBSTITUTE(SUBSTITUTE(SUBSTITUTE(SUBSTITUTE(INDEX(PASTE_ALL,$DF667,$L$18)," "," "),CHAR(9)," "),CHAR(10)," "),CHAR(13)," ")))="READY","Ready",IF(UPPER(TRIM(SUBSTITUTE(SUBSTITUTE(SUBSTITUTE(SUBSTITUTE(INDEX(PASTE_ALL,$DF667,$L$18)," "," "),CHAR(9)," "),CHAR(10)," "),CHAR(13)," ")))="PM","PM",IF(OR(UPPER(TRIM(SUBSTITUTE(SUBSTITUTE(SUBSTITUTE(SUBSTITUTE(INDEX(PASTE_ALL,$DF667,$L$18)," "," "),CHAR(9)," "),CHAR(10)," "),CHAR(13)," ")))="OT",UPPER(TRIM(SUBSTITUTE(SUBSTITUTE(SUBSTITUTE(SUBSTITUTE(INDEX(PASTE_ALL,$DF667,$L$18)," "," "),CHAR(9)," "),CHAR(10)," "),CHAR(13)," ")))="OVERTIME",UPPER(TRIM(SUBSTITUTE(SUBSTITUTE(SUBSTITUTE(SUBSTITUTE(INDEX(PASTE_ALL,$DF667,$L$18)," "," "),CHAR(9)," "),CHAR(10)," "),CHAR(13)," ")))="TRIAL"),"OT",TRIM(SUBSTITUTE(SUBSTITUTE(SUBSTITUTE(SUBSTITUTE(INDEX(PASTE_ALL,$DF667,$L$18)," "," "),CHAR(9)," "),CHAR(10)," "),CHAR(13)," "))))),"")))</f>
        <v/>
      </c>
      <c r="EC667">
        <f>IF($DM667=0,"",IF($L$19=0,"",IFERROR(IF(ISNUMBER(INDEX(PASTE_ALL,$DF667,$L$19)),INDEX(PASTE_ALL,$DF667,$L$19),TRIM(SUBSTITUTE(SUBSTITUTE(SUBSTITUTE(SUBSTITUTE(INDEX(PASTE_ALL,$DF667,$L$19)," "," "),CHAR(9)," "),CHAR(10)," "),CHAR(13)," "))),"")))</f>
        <v/>
      </c>
      <c r="ED667">
        <f>IF($DM667=0,"",MATCH(1,INDEX(EXACT($DH$5:DH667,$DH667)*$DM$5:DM667,0),0))</f>
        <v/>
      </c>
      <c r="EE667">
        <f>IF($DM667=0,0,IF($ED667=$DE667,1,0))</f>
        <v/>
      </c>
      <c r="EF667">
        <f>EF666+$EE667</f>
        <v/>
      </c>
      <c r="EG667">
        <f>IF($DM667=0,"",INDEX($EF$5:$EF$1003,$ED667))</f>
        <v/>
      </c>
      <c r="EH667">
        <f>IF($DM667=0,"",IF($DO667&lt;&gt;"","",IFERROR(LOOKUP(2,1/(($EG$4:EG666=$EG667)*($DO$4:DO666&lt;&gt;"")),$DO$4:DO666),"")))</f>
        <v/>
      </c>
      <c r="EI667">
        <f>IF($DM667=0,"",IF($DO667&lt;&gt;"",$DO667,$EH667))</f>
        <v/>
      </c>
      <c r="EJ667">
        <f>IF($DM667=0,"",IF($EI667="",0,IF(OR(ISNUMBER($EI667),AND(AND(SUBSTITUTE(SUBSTITUTE(SUBSTITUTE(SUBSTITUTE(SUBSTITUTE(SUBSTITUTE(SUBSTITUTE(SUBSTITUTE(SUBSTITUTE(SUBSTITUTE(SUBSTITUTE(SUBSTITUTE(SUBSTITUTE(SUBSTITUTE(UPPER($EI667),"0",""),"1",""),"2",""),"3",""),"4",""),"5",""),"6",""),"7",""),"8",""),"9",""),".",""),"+",""),"-",""),"E","")="",LEN(SUBSTITUTE(SUBSTITUTE(MID(UPPER($EI667),1+OR(LEFT(UPPER($EI667),1)="+",LEFT(UPPER($EI667),1)="-"),999),"E+","E"),"E-","E"))=LEN(SUBSTITUTE(SUBSTITUTE(SUBSTITUTE(SUBSTITUTE(MID(UPPER($EI667),1+OR(LEFT(UPPER($EI667),1)="+",LEFT(UPPER($EI667),1)="-"),999),"E+","E"),"E-","E"),"+",""),"-","")),LEN(UPPER($EI667))-LEN(SUBSTITUTE(UPPER($EI667),"E",""))&lt;2,LEN(UPPER($EI667))-LEN(SUBSTITUTE(UPPER($EI667),".",""))&lt;2,IFERROR(FIND(".",UPPER($EI667)),0)&lt;IFERROR(FIND("E",UPPER($EI667)),999)),ISNUMBER(VALUE($EI667)))),1,2)))</f>
        <v/>
      </c>
      <c r="EK667">
        <f>IF($DM667=0,"",IF($EJ667=1,IF(ISNUMBER($EI667),$EI667,VALUE($EI667)),IF($EJ667=2,$DE667,0)))</f>
        <v/>
      </c>
      <c r="EL667">
        <f>IF($DM667=0,"",COUNTIF($EG$5:$EG$1003,"&lt;"&amp;$EG667)+SUMPRODUCT(($EG$5:$EG$1003=$EG667)*(($EJ$5:$EJ$1003&lt;$EJ667)+($EJ$5:$EJ$1003=$EJ667)*(($EK$5:$EK$1003&lt;$EK667)+($EK$5:$EK$1003=$EK667)*($DE$5:$DE$1003&lt;$DE667))))+1)</f>
        <v/>
      </c>
      <c r="EM667">
        <f>IF($DM667=0,"",$EL667+$EG667-1)</f>
        <v/>
      </c>
      <c r="EN667">
        <f>IF($DM667=0,0,IFERROR(MATCH(1,INDEX(--(TRIM(SUBSTITUTE(SUBSTITUTE(SUBSTITUTE(SUBSTITUTE(LINES_NAME&amp;""," "," "),CHAR(9)," "),CHAR(10)," "),CHAR(13)," "))=$DH667),0),0),0))</f>
        <v/>
      </c>
      <c r="EO667">
        <f>IF($EN667=0,0,IF(OR(UPPER(TRIM(INDEX(LINES_SCHEDULED,$EN667)&amp;""))="YES",UPPER(TRIM(INDEX(LINES_SCHEDULED,$EN667)&amp;""))="Y",UPPER(TRIM(INDEX(LINES_SCHEDULED,$EN667)&amp;""))="X"),1,0))</f>
        <v/>
      </c>
      <c r="EP667">
        <f>IF($DM667=0,"",IF(COUNTIFS($EG$5:$EG$1003,$EG667,$EB$5:$EB$1003,"Ready")&gt;0,"READY",IF(COUNTIFS($EG$5:$EG$1003,$EG667,$EB$5:$EB$1003,"PM")&gt;0,"PM",IF(COUNTIFS($EG$5:$EG$1003,$EG667,$EB$5:$EB$1003,"OT")&gt;0,"OT",""))))</f>
        <v/>
      </c>
      <c r="EQ667">
        <f>IF($EN667=0,"",UPPER(TRIM(INDEX(LINES_STATUS,$EN667)&amp;"")))</f>
        <v/>
      </c>
      <c r="ER667">
        <f>IF($DM667=0,"",IF(OR($EQ667="READY",$EQ667="PM",$EQ667="OT"),$EQ667,$EP667))</f>
        <v/>
      </c>
      <c r="ES667">
        <f>IF($DM667=0,"",IF(AND($DV667&lt;&gt;"",UPPER($DV667)&lt;&gt;"N"),"allergen",IF(ISNUMBER(SEARCH("oil",$DQ667)),"oil",IF(OR(EXACT($DS667,"A662"),EXACT($DS667,"A624")),"bulk",""))))</f>
        <v/>
      </c>
      <c r="ET667">
        <f>IF($DM667=0,"",IF(OR($EA667="",$EA667=0),"",$EA667/100))</f>
        <v/>
      </c>
      <c r="EU667">
        <f>IF(OR($ET667="",$DY667=""),"",INT($DY667*(1-$ET667)+0.5))</f>
        <v/>
      </c>
      <c r="EW667" t="n">
        <v>663</v>
      </c>
      <c r="EX667">
        <f>IFERROR(MATCH($EW667,$EM$5:$EM$1003,0),0)</f>
        <v/>
      </c>
      <c r="EY667">
        <f>IF($EW667&gt;$B$12,"",IF($EX667&gt;0,"row","spacer"))</f>
        <v/>
      </c>
      <c r="EZ667">
        <f>IF(AND($EY667="row",$EY666&lt;&gt;"row"),1,0)</f>
        <v/>
      </c>
      <c r="FA667">
        <f>IF(AND($EY667="row",$EY668&lt;&gt;"row"),1,0)</f>
        <v/>
      </c>
      <c r="FB667">
        <f>IF($EZ667=1,IFERROR(IF(ISNUMBER(INDEX(PASTE_ALL,INDEX($DF$5:$DF$1003,$EX667),$B$37)),INDEX(PASTE_ALL,INDEX($DF$5:$DF$1003,$EX667),$B$37),INDEX($DH$5:$DH$1003,$EX667)),INDEX($DH$5:$DH$1003,$EX667)),"")</f>
        <v/>
      </c>
      <c r="FC667">
        <f>IF($EY667="row",INDEX($ER$5:$ER$1003,$EX667),"")</f>
        <v/>
      </c>
      <c r="FD667">
        <f>IF($EY667="row",INDEX($DN$5:$DN$1003,$EX667),"")</f>
        <v/>
      </c>
      <c r="FE667">
        <f>IF($EY667="row",INDEX($DO$5:$DO$1003,$EX667),"")</f>
        <v/>
      </c>
      <c r="FF667">
        <f>IF($EY667="row",INDEX($DP$5:$DP$1003,$EX667),"")</f>
        <v/>
      </c>
      <c r="FG667">
        <f>IF($EY667="row",INDEX($DQ$5:$DQ$1003,$EX667),"")</f>
        <v/>
      </c>
      <c r="FH667">
        <f>IF($EY667="row",INDEX($DR$5:$DR$1003,$EX667),"")</f>
        <v/>
      </c>
      <c r="FI667">
        <f>IF($EY667="row",INDEX($DS$5:$DS$1003,$EX667),"")</f>
        <v/>
      </c>
      <c r="FJ667">
        <f>IF($EY667="row",INDEX($DT$5:$DT$1003,$EX667),"")</f>
        <v/>
      </c>
      <c r="FK667">
        <f>IF($EY667="row",INDEX($DU$5:$DU$1003,$EX667),"")</f>
        <v/>
      </c>
      <c r="FL667">
        <f>IF($EY667="row",INDEX($DV$5:$DV$1003,$EX667),"")</f>
        <v/>
      </c>
      <c r="FM667">
        <f>IF($EY667="row",INDEX($DW$5:$DW$1003,$EX667),"")</f>
        <v/>
      </c>
      <c r="FN667">
        <f>IF($EY667="row",INDEX($DY$5:$DY$1003,$EX667),"")</f>
        <v/>
      </c>
      <c r="FO667">
        <f>IF($EY667="row",INDEX($EA$5:$EA$1003,$EX667),"")</f>
        <v/>
      </c>
      <c r="FP667">
        <f>IF($EY667="row",INDEX($EC$5:$EC$1003,$EX667),"")</f>
        <v/>
      </c>
      <c r="FQ667">
        <f>IF($EY667="row",INDEX($ET$5:$ET$1003,$EX667),"")</f>
        <v/>
      </c>
      <c r="FR667">
        <f>IF($EY667="row",INDEX($EU$5:$EU$1003,$EX667),"")</f>
        <v/>
      </c>
      <c r="FS667">
        <f>IF(AND($EY667="row",$EY666="row"),IF(OR(INDEX($DT$5:$DT$1003,$EX666)="",INDEX($DT$5:$DT$1003,$EX667)=""),"",IF(NOT(EXACT(INDEX($DT$5:$DT$1003,$EX666),INDEX($DT$5:$DT$1003,$EX667))),"S4",IF(NOT(EXACT(INDEX($DS$5:$DS$1003,$EX666),INDEX($DS$5:$DS$1003,$EX667))),"S3",IF(NOT(EXACT(INDEX($DR$5:$DR$1003,$EX666),INDEX($DR$5:$DR$1003,$EX667))),"S1 Count Change","S1")))),"")</f>
        <v/>
      </c>
      <c r="FT667">
        <f>IF($EY667="row",INDEX($ES$5:$ES$1003,$EX667),"")</f>
        <v/>
      </c>
      <c r="FU667">
        <f>IF($EY667="row",INDEX($EO$5:$EO$1003,$EX667),0)</f>
        <v/>
      </c>
      <c r="FV667">
        <f>IF($FS667="S1 Count Change",1,0)</f>
        <v/>
      </c>
    </row>
    <row r="668">
      <c r="DA668" t="n">
        <v>664</v>
      </c>
      <c r="DB668">
        <f>IF($B$37=0,"",IFERROR(TRIM(SUBSTITUTE(SUBSTITUTE(SUBSTITUTE(SUBSTITUTE(INDEX(PASTE_ALL,664,$B$37)," "," "),CHAR(9)," "),CHAR(10)," "),CHAR(13)," ")),""))</f>
        <v/>
      </c>
      <c r="DC668">
        <f>IF(AND(664&gt;HEADER_ROW,UPPER(DB668)="LEGEND"),1,0)</f>
        <v/>
      </c>
      <c r="DE668" t="n">
        <v>664</v>
      </c>
      <c r="DF668">
        <f>HEADER_ROW+$DE668</f>
        <v/>
      </c>
      <c r="DG668">
        <f>IF(AND($DF668&lt;=1000,$DF668&lt;$B$8),1,0)</f>
        <v/>
      </c>
      <c r="DH668">
        <f>IF($DG668=1,IFERROR(INDEX($DB$5:$DB$1004,$DF668),""),"")</f>
        <v/>
      </c>
      <c r="DI668">
        <f>IF(AND($DG668=1,$DH668&lt;&gt;""),IFERROR(SUBSTITUTE(SUBSTITUTE(TRIM(SUBSTITUTE(SUBSTITUTE(SUBSTITUTE(SUBSTITUTE(IFERROR(INDEX(PASTE_ALL,$DF668,1)&amp;"","")&amp;"␟"&amp;IFERROR(INDEX(PASTE_ALL,$DF668,2)&amp;"","")&amp;"␟"&amp;IFERROR(INDEX(PASTE_ALL,$DF668,3)&amp;"","")&amp;"␟"&amp;IFERROR(INDEX(PASTE_ALL,$DF668,4)&amp;"","")&amp;"␟"&amp;IFERROR(INDEX(PASTE_ALL,$DF668,5)&amp;"","")&amp;"␟"&amp;IFERROR(INDEX(PASTE_ALL,$DF668,6)&amp;"","")&amp;"␟"&amp;IFERROR(INDEX(PASTE_ALL,$DF668,7)&amp;"","")&amp;"␟"&amp;IFERROR(INDEX(PASTE_ALL,$DF668,8)&amp;"","")&amp;"␟"&amp;IFERROR(INDEX(PASTE_ALL,$DF668,9)&amp;"","")&amp;"␟"&amp;IFERROR(INDEX(PASTE_ALL,$DF668,10)&amp;"","")&amp;"␟"&amp;IFERROR(INDEX(PASTE_ALL,$DF668,11)&amp;"","")&amp;"␟"&amp;IFERROR(INDEX(PASTE_ALL,$DF668,12)&amp;"","")&amp;"␟"&amp;IFERROR(INDEX(PASTE_ALL,$DF668,13)&amp;"","")&amp;"␟"&amp;IFERROR(INDEX(PASTE_ALL,$DF668,14)&amp;"","")&amp;"␟"&amp;IFERROR(INDEX(PASTE_ALL,$DF668,15)&amp;"","")&amp;"␟"&amp;IFERROR(INDEX(PASTE_ALL,$DF668,16)&amp;"","")&amp;"␟"&amp;IFERROR(INDEX(PASTE_ALL,$DF668,17)&amp;"","")&amp;"␟"&amp;IFERROR(INDEX(PASTE_ALL,$DF668,18)&amp;"","")&amp;"␟"&amp;IFERROR(INDEX(PASTE_ALL,$DF668,19)&amp;"","")&amp;"␟"&amp;IFERROR(INDEX(PASTE_ALL,$DF668,20)&amp;"","")&amp;"␟"&amp;IFERROR(INDEX(PASTE_ALL,$DF668,21)&amp;"","")&amp;"␟"&amp;IFERROR(INDEX(PASTE_ALL,$DF668,22)&amp;"","")&amp;"␟"&amp;IFERROR(INDEX(PASTE_ALL,$DF668,23)&amp;"","")&amp;"␟"&amp;IFERROR(INDEX(PASTE_ALL,$DF668,24)&amp;"","")&amp;"␟"&amp;IFERROR(INDEX(PASTE_ALL,$DF668,25)&amp;"","")&amp;"␟"&amp;IFERROR(INDEX(PASTE_ALL,$DF668,26)&amp;"","")&amp;"␟"&amp;IFERROR(INDEX(PASTE_ALL,$DF668,27)&amp;"","")&amp;"␟"&amp;IFERROR(INDEX(PASTE_ALL,$DF668,28)&amp;"","")&amp;"␟"&amp;IFERROR(INDEX(PASTE_ALL,$DF668,29)&amp;"","")&amp;"␟"&amp;IFERROR(INDEX(PASTE_ALL,$DF668,30)&amp;"","")&amp;"␟"&amp;IFERROR(INDEX(PASTE_ALL,$DF668,31)&amp;"","")&amp;"␟"&amp;IFERROR(INDEX(PASTE_ALL,$DF668,32)&amp;"","")&amp;"␟"&amp;IFERROR(INDEX(PASTE_ALL,$DF668,33)&amp;"","")&amp;"␟"&amp;IFERROR(INDEX(PASTE_ALL,$DF668,34)&amp;"","")&amp;"␟"&amp;IFERROR(INDEX(PASTE_ALL,$DF668,35)&amp;"","")&amp;"␟"&amp;IFERROR(INDEX(PASTE_ALL,$DF668,36)&amp;"","")&amp;"␟"&amp;IFERROR(INDEX(PASTE_ALL,$DF668,37)&amp;"","")&amp;"␟"&amp;IFERROR(INDEX(PASTE_ALL,$DF668,38)&amp;"","")&amp;"␟"&amp;IFERROR(INDEX(PASTE_ALL,$DF668,39)&amp;"","")&amp;"␟"&amp;IFERROR(INDEX(PASTE_ALL,$DF668,40)&amp;"","")&amp;"␟"&amp;IFERROR(INDEX(PASTE_ALL,$DF668,41)&amp;"","")&amp;"␟"&amp;IFERROR(INDEX(PASTE_ALL,$DF668,42)&amp;"","")&amp;"␟"&amp;IFERROR(INDEX(PASTE_ALL,$DF668,43)&amp;"","")&amp;"␟"&amp;IFERROR(INDEX(PASTE_ALL,$DF668,44)&amp;"","")&amp;"␟"&amp;IFERROR(INDEX(PASTE_ALL,$DF668,45)&amp;"","")&amp;"␟"&amp;IFERROR(INDEX(PASTE_ALL,$DF668,46)&amp;"","")&amp;"␟"&amp;IFERROR(INDEX(PASTE_ALL,$DF668,47)&amp;"","")&amp;"␟"&amp;IFERROR(INDEX(PASTE_ALL,$DF668,48)&amp;"","")&amp;"␟"&amp;IFERROR(INDEX(PASTE_ALL,$DF668,49)&amp;"","")&amp;"␟"&amp;IFERROR(INDEX(PASTE_ALL,$DF668,50)&amp;"","")&amp;"␟"&amp;IFERROR(INDEX(PASTE_ALL,$DF668,51)&amp;"","")&amp;"␟"&amp;IFERROR(INDEX(PASTE_ALL,$DF668,52)&amp;"","")&amp;"␟"&amp;IFERROR(INDEX(PASTE_ALL,$DF668,53)&amp;"","")&amp;"␟"&amp;IFERROR(INDEX(PASTE_ALL,$DF668,54)&amp;"","")&amp;"␟"&amp;IFERROR(INDEX(PASTE_ALL,$DF668,55)&amp;"","")&amp;"␟"&amp;IFERROR(INDEX(PASTE_ALL,$DF668,56)&amp;"","")&amp;"␟"&amp;IFERROR(INDEX(PASTE_ALL,$DF668,57)&amp;"","")&amp;"␟"&amp;IFERROR(INDEX(PASTE_ALL,$DF668,58)&amp;"","")&amp;"␟"&amp;IFERROR(INDEX(PASTE_ALL,$DF668,59)&amp;"","")&amp;"␟"&amp;IFERROR(INDEX(PASTE_ALL,$DF668,60)&amp;"","")," "," "),CHAR(9)," "),CHAR(10)," "),CHAR(13)," "))," ␟","␟"),"␟ ","␟"),"#"&amp;$DE668),"")</f>
        <v/>
      </c>
      <c r="DJ668">
        <f>IF($DI668="",0,IF(SUMPRODUCT(--EXACT($DI$4:DI667,$DI668))&gt;0,1,0))</f>
        <v/>
      </c>
      <c r="DK668">
        <f>IF(AND($DI668&lt;&gt;"",$DJ668=0),1,0)</f>
        <v/>
      </c>
      <c r="DL668">
        <f>DL667+$DK668</f>
        <v/>
      </c>
      <c r="DM668">
        <f>IF(AND($DK668=1,$DL668&lt;=600),1,0)</f>
        <v/>
      </c>
      <c r="DN668">
        <f>IF($DM668=0,"",IF($L$6=0,"",IFERROR(IF(ISNUMBER(INDEX(PASTE_ALL,$DF668,$L$6)),INDEX(PASTE_ALL,$DF668,$L$6),TRIM(SUBSTITUTE(SUBSTITUTE(SUBSTITUTE(SUBSTITUTE(INDEX(PASTE_ALL,$DF668,$L$6)," "," "),CHAR(9)," "),CHAR(10)," "),CHAR(13)," "))),"")))</f>
        <v/>
      </c>
      <c r="DO668">
        <f>IF($DM668=0,"",IF($L$7=0,"",IFERROR(IF(ISNUMBER(INDEX(PASTE_ALL,$DF668,$L$7)),INDEX(PASTE_ALL,$DF668,$L$7),TRIM(SUBSTITUTE(SUBSTITUTE(SUBSTITUTE(SUBSTITUTE(INDEX(PASTE_ALL,$DF668,$L$7)," "," "),CHAR(9)," "),CHAR(10)," "),CHAR(13)," "))),"")))</f>
        <v/>
      </c>
      <c r="DP668">
        <f>IF($DM668=0,"",IF($L$8=0,"",IFERROR(IF(ISNUMBER(INDEX(PASTE_ALL,$DF668,$L$8)),INDEX(PASTE_ALL,$DF668,$L$8),TRIM(SUBSTITUTE(SUBSTITUTE(SUBSTITUTE(SUBSTITUTE(INDEX(PASTE_ALL,$DF668,$L$8)," "," "),CHAR(9)," "),CHAR(10)," "),CHAR(13)," "))),"")))</f>
        <v/>
      </c>
      <c r="DQ668">
        <f>IF($DM668=0,"",IF($L$9=0,"",IFERROR(IF(ISNUMBER(INDEX(PASTE_ALL,$DF668,$L$9)),INDEX(PASTE_ALL,$DF668,$L$9),TRIM(SUBSTITUTE(SUBSTITUTE(SUBSTITUTE(SUBSTITUTE(INDEX(PASTE_ALL,$DF668,$L$9)," "," "),CHAR(9)," "),CHAR(10)," "),CHAR(13)," "))),"")))</f>
        <v/>
      </c>
      <c r="DR668">
        <f>IF($DM668=0,"",IF($L$10=0,"",IFERROR(IF(ISNUMBER(INDEX(PASTE_ALL,$DF668,$L$10)),INDEX(PASTE_ALL,$DF668,$L$10),TRIM(SUBSTITUTE(SUBSTITUTE(SUBSTITUTE(SUBSTITUTE(INDEX(PASTE_ALL,$DF668,$L$10)," "," "),CHAR(9)," "),CHAR(10)," "),CHAR(13)," "))),"")))</f>
        <v/>
      </c>
      <c r="DS668">
        <f>IF($DM668=0,"",IF($L$11=0,"",IFERROR(IF(ISNUMBER(INDEX(PASTE_ALL,$DF668,$L$11)),INDEX(PASTE_ALL,$DF668,$L$11),TRIM(SUBSTITUTE(SUBSTITUTE(SUBSTITUTE(SUBSTITUTE(INDEX(PASTE_ALL,$DF668,$L$11)," "," "),CHAR(9)," "),CHAR(10)," "),CHAR(13)," "))),"")))</f>
        <v/>
      </c>
      <c r="DT668">
        <f>IF($DM668=0,"",IF($L$12=0,"",IFERROR(IF(ISNUMBER(INDEX(PASTE_ALL,$DF668,$L$12)),INDEX(PASTE_ALL,$DF668,$L$12),TRIM(SUBSTITUTE(SUBSTITUTE(SUBSTITUTE(SUBSTITUTE(INDEX(PASTE_ALL,$DF668,$L$12)," "," "),CHAR(9)," "),CHAR(10)," "),CHAR(13)," "))),"")))</f>
        <v/>
      </c>
      <c r="DU668">
        <f>IF($DM668=0,"",IF($L$13=0,"",IFERROR(IF(ISNUMBER(INDEX(PASTE_ALL,$DF668,$L$13)),INDEX(PASTE_ALL,$DF668,$L$13),TRIM(SUBSTITUTE(SUBSTITUTE(SUBSTITUTE(SUBSTITUTE(INDEX(PASTE_ALL,$DF668,$L$13)," "," "),CHAR(9)," "),CHAR(10)," "),CHAR(13)," "))),"")))</f>
        <v/>
      </c>
      <c r="DV668">
        <f>IF($DM668=0,"",IF($L$14=0,"",IFERROR(IF(ISNUMBER(INDEX(PASTE_ALL,$DF668,$L$14)),INDEX(PASTE_ALL,$DF668,$L$14),TRIM(SUBSTITUTE(SUBSTITUTE(SUBSTITUTE(SUBSTITUTE(INDEX(PASTE_ALL,$DF668,$L$14)," "," "),CHAR(9)," "),CHAR(10)," "),CHAR(13)," "))),"")))</f>
        <v/>
      </c>
      <c r="DW668">
        <f>IF($DM668=0,"",IF($L$15=0,"",IFERROR(IF(ISNUMBER(INDEX(PASTE_ALL,$DF668,$L$15)),INDEX(PASTE_ALL,$DF668,$L$15),IF(SUMPRODUCT(--ISNUMBER(FIND({"A","B","C","D","E","F","G","H","I","J","K","L","M","N","O","P","Q","R","S","T","U","V","W","X","Y","Z","0","1","2","3","4","5","6","7","8","9"},UPPER(TRIM(SUBSTITUTE(SUBSTITUTE(SUBSTITUTE(SUBSTITUTE(INDEX(PASTE_ALL,$DF668,$L$15)," "," "),CHAR(9)," "),CHAR(10)," "),CHAR(13)," "))))))&gt;0,TRIM(SUBSTITUTE(SUBSTITUTE(SUBSTITUTE(SUBSTITUTE(INDEX(PASTE_ALL,$DF668,$L$15)," "," "),CHAR(9)," "),CHAR(10)," "),CHAR(13)," ")),"")),"")))</f>
        <v/>
      </c>
      <c r="DX668">
        <f>IF($DM668=0,"",IF($L$16=0,"",IFERROR(IF(ISNUMBER(INDEX(PASTE_ALL,$DF668,$L$16)),INDEX(PASTE_ALL,$DF668,$L$16),SUBSTITUTE(SUBSTITUTE(TRIM(SUBSTITUTE(SUBSTITUTE(SUBSTITUTE(SUBSTITUTE(INDEX(PASTE_ALL,$DF668,$L$16)," "," "),CHAR(9)," "),CHAR(10)," "),CHAR(13)," ")),",",""),"%","")),"")))</f>
        <v/>
      </c>
      <c r="DY668">
        <f>IF($DM668=0,"",IFERROR(IF(ISNUMBER($DX668),$DX668,IF($DX668="","",IF(TRIM($DX668)="",0,IF(AND(AND(SUBSTITUTE(SUBSTITUTE(SUBSTITUTE(SUBSTITUTE(SUBSTITUTE(SUBSTITUTE(SUBSTITUTE(SUBSTITUTE(SUBSTITUTE(SUBSTITUTE(SUBSTITUTE(SUBSTITUTE(SUBSTITUTE(SUBSTITUTE(UPPER(TRIM($DX668)),"0",""),"1",""),"2",""),"3",""),"4",""),"5",""),"6",""),"7",""),"8",""),"9",""),".",""),"+",""),"-",""),"E","")="",LEN(SUBSTITUTE(SUBSTITUTE(MID(UPPER(TRIM($DX668)),1+OR(LEFT(UPPER(TRIM($DX668)),1)="+",LEFT(UPPER(TRIM($DX668)),1)="-"),999),"E+","E"),"E-","E"))=LEN(SUBSTITUTE(SUBSTITUTE(SUBSTITUTE(SUBSTITUTE(MID(UPPER(TRIM($DX668)),1+OR(LEFT(UPPER(TRIM($DX668)),1)="+",LEFT(UPPER(TRIM($DX668)),1)="-"),999),"E+","E"),"E-","E"),"+",""),"-","")),LEN(UPPER(TRIM($DX668)))-LEN(SUBSTITUTE(UPPER(TRIM($DX668)),"E",""))&lt;2,LEN(UPPER(TRIM($DX668)))-LEN(SUBSTITUTE(UPPER(TRIM($DX668)),".",""))&lt;2,IFERROR(FIND(".",UPPER(TRIM($DX668))),0)&lt;IFERROR(FIND("E",UPPER(TRIM($DX668))),999)),ISNUMBER(VALUE(TRIM($DX668)))),VALUE(TRIM($DX668)),"")))),""))</f>
        <v/>
      </c>
      <c r="DZ668">
        <f>IF($DM668=0,"",IF($L$17=0,"",IFERROR(IF(ISNUMBER(INDEX(PASTE_ALL,$DF668,$L$17)),INDEX(PASTE_ALL,$DF668,$L$17),SUBSTITUTE(SUBSTITUTE(TRIM(SUBSTITUTE(SUBSTITUTE(SUBSTITUTE(SUBSTITUTE(INDEX(PASTE_ALL,$DF668,$L$17)," "," "),CHAR(9)," "),CHAR(10)," "),CHAR(13)," ")),",",""),"%","")),"")))</f>
        <v/>
      </c>
      <c r="EA668">
        <f>IF($DM668=0,"",IFERROR(IF(ISNUMBER($DZ668),$DZ668,IF($DZ668="","",IF(TRIM($DZ668)="",0,IF(AND(AND(SUBSTITUTE(SUBSTITUTE(SUBSTITUTE(SUBSTITUTE(SUBSTITUTE(SUBSTITUTE(SUBSTITUTE(SUBSTITUTE(SUBSTITUTE(SUBSTITUTE(SUBSTITUTE(SUBSTITUTE(SUBSTITUTE(SUBSTITUTE(UPPER(TRIM($DZ668)),"0",""),"1",""),"2",""),"3",""),"4",""),"5",""),"6",""),"7",""),"8",""),"9",""),".",""),"+",""),"-",""),"E","")="",LEN(SUBSTITUTE(SUBSTITUTE(MID(UPPER(TRIM($DZ668)),1+OR(LEFT(UPPER(TRIM($DZ668)),1)="+",LEFT(UPPER(TRIM($DZ668)),1)="-"),999),"E+","E"),"E-","E"))=LEN(SUBSTITUTE(SUBSTITUTE(SUBSTITUTE(SUBSTITUTE(MID(UPPER(TRIM($DZ668)),1+OR(LEFT(UPPER(TRIM($DZ668)),1)="+",LEFT(UPPER(TRIM($DZ668)),1)="-"),999),"E+","E"),"E-","E"),"+",""),"-","")),LEN(UPPER(TRIM($DZ668)))-LEN(SUBSTITUTE(UPPER(TRIM($DZ668)),"E",""))&lt;2,LEN(UPPER(TRIM($DZ668)))-LEN(SUBSTITUTE(UPPER(TRIM($DZ668)),".",""))&lt;2,IFERROR(FIND(".",UPPER(TRIM($DZ668))),0)&lt;IFERROR(FIND("E",UPPER(TRIM($DZ668))),999)),ISNUMBER(VALUE(TRIM($DZ668)))),VALUE(TRIM($DZ668)),"")))),""))</f>
        <v/>
      </c>
      <c r="EB668">
        <f>IF($DM668=0,"",IF($L$18=0,"",IFERROR(IF(UPPER(TRIM(SUBSTITUTE(SUBSTITUTE(SUBSTITUTE(SUBSTITUTE(INDEX(PASTE_ALL,$DF668,$L$18)," "," "),CHAR(9)," "),CHAR(10)," "),CHAR(13)," ")))="READY","Ready",IF(UPPER(TRIM(SUBSTITUTE(SUBSTITUTE(SUBSTITUTE(SUBSTITUTE(INDEX(PASTE_ALL,$DF668,$L$18)," "," "),CHAR(9)," "),CHAR(10)," "),CHAR(13)," ")))="PM","PM",IF(OR(UPPER(TRIM(SUBSTITUTE(SUBSTITUTE(SUBSTITUTE(SUBSTITUTE(INDEX(PASTE_ALL,$DF668,$L$18)," "," "),CHAR(9)," "),CHAR(10)," "),CHAR(13)," ")))="OT",UPPER(TRIM(SUBSTITUTE(SUBSTITUTE(SUBSTITUTE(SUBSTITUTE(INDEX(PASTE_ALL,$DF668,$L$18)," "," "),CHAR(9)," "),CHAR(10)," "),CHAR(13)," ")))="OVERTIME",UPPER(TRIM(SUBSTITUTE(SUBSTITUTE(SUBSTITUTE(SUBSTITUTE(INDEX(PASTE_ALL,$DF668,$L$18)," "," "),CHAR(9)," "),CHAR(10)," "),CHAR(13)," ")))="TRIAL"),"OT",TRIM(SUBSTITUTE(SUBSTITUTE(SUBSTITUTE(SUBSTITUTE(INDEX(PASTE_ALL,$DF668,$L$18)," "," "),CHAR(9)," "),CHAR(10)," "),CHAR(13)," "))))),"")))</f>
        <v/>
      </c>
      <c r="EC668">
        <f>IF($DM668=0,"",IF($L$19=0,"",IFERROR(IF(ISNUMBER(INDEX(PASTE_ALL,$DF668,$L$19)),INDEX(PASTE_ALL,$DF668,$L$19),TRIM(SUBSTITUTE(SUBSTITUTE(SUBSTITUTE(SUBSTITUTE(INDEX(PASTE_ALL,$DF668,$L$19)," "," "),CHAR(9)," "),CHAR(10)," "),CHAR(13)," "))),"")))</f>
        <v/>
      </c>
      <c r="ED668">
        <f>IF($DM668=0,"",MATCH(1,INDEX(EXACT($DH$5:DH668,$DH668)*$DM$5:DM668,0),0))</f>
        <v/>
      </c>
      <c r="EE668">
        <f>IF($DM668=0,0,IF($ED668=$DE668,1,0))</f>
        <v/>
      </c>
      <c r="EF668">
        <f>EF667+$EE668</f>
        <v/>
      </c>
      <c r="EG668">
        <f>IF($DM668=0,"",INDEX($EF$5:$EF$1003,$ED668))</f>
        <v/>
      </c>
      <c r="EH668">
        <f>IF($DM668=0,"",IF($DO668&lt;&gt;"","",IFERROR(LOOKUP(2,1/(($EG$4:EG667=$EG668)*($DO$4:DO667&lt;&gt;"")),$DO$4:DO667),"")))</f>
        <v/>
      </c>
      <c r="EI668">
        <f>IF($DM668=0,"",IF($DO668&lt;&gt;"",$DO668,$EH668))</f>
        <v/>
      </c>
      <c r="EJ668">
        <f>IF($DM668=0,"",IF($EI668="",0,IF(OR(ISNUMBER($EI668),AND(AND(SUBSTITUTE(SUBSTITUTE(SUBSTITUTE(SUBSTITUTE(SUBSTITUTE(SUBSTITUTE(SUBSTITUTE(SUBSTITUTE(SUBSTITUTE(SUBSTITUTE(SUBSTITUTE(SUBSTITUTE(SUBSTITUTE(SUBSTITUTE(UPPER($EI668),"0",""),"1",""),"2",""),"3",""),"4",""),"5",""),"6",""),"7",""),"8",""),"9",""),".",""),"+",""),"-",""),"E","")="",LEN(SUBSTITUTE(SUBSTITUTE(MID(UPPER($EI668),1+OR(LEFT(UPPER($EI668),1)="+",LEFT(UPPER($EI668),1)="-"),999),"E+","E"),"E-","E"))=LEN(SUBSTITUTE(SUBSTITUTE(SUBSTITUTE(SUBSTITUTE(MID(UPPER($EI668),1+OR(LEFT(UPPER($EI668),1)="+",LEFT(UPPER($EI668),1)="-"),999),"E+","E"),"E-","E"),"+",""),"-","")),LEN(UPPER($EI668))-LEN(SUBSTITUTE(UPPER($EI668),"E",""))&lt;2,LEN(UPPER($EI668))-LEN(SUBSTITUTE(UPPER($EI668),".",""))&lt;2,IFERROR(FIND(".",UPPER($EI668)),0)&lt;IFERROR(FIND("E",UPPER($EI668)),999)),ISNUMBER(VALUE($EI668)))),1,2)))</f>
        <v/>
      </c>
      <c r="EK668">
        <f>IF($DM668=0,"",IF($EJ668=1,IF(ISNUMBER($EI668),$EI668,VALUE($EI668)),IF($EJ668=2,$DE668,0)))</f>
        <v/>
      </c>
      <c r="EL668">
        <f>IF($DM668=0,"",COUNTIF($EG$5:$EG$1003,"&lt;"&amp;$EG668)+SUMPRODUCT(($EG$5:$EG$1003=$EG668)*(($EJ$5:$EJ$1003&lt;$EJ668)+($EJ$5:$EJ$1003=$EJ668)*(($EK$5:$EK$1003&lt;$EK668)+($EK$5:$EK$1003=$EK668)*($DE$5:$DE$1003&lt;$DE668))))+1)</f>
        <v/>
      </c>
      <c r="EM668">
        <f>IF($DM668=0,"",$EL668+$EG668-1)</f>
        <v/>
      </c>
      <c r="EN668">
        <f>IF($DM668=0,0,IFERROR(MATCH(1,INDEX(--(TRIM(SUBSTITUTE(SUBSTITUTE(SUBSTITUTE(SUBSTITUTE(LINES_NAME&amp;""," "," "),CHAR(9)," "),CHAR(10)," "),CHAR(13)," "))=$DH668),0),0),0))</f>
        <v/>
      </c>
      <c r="EO668">
        <f>IF($EN668=0,0,IF(OR(UPPER(TRIM(INDEX(LINES_SCHEDULED,$EN668)&amp;""))="YES",UPPER(TRIM(INDEX(LINES_SCHEDULED,$EN668)&amp;""))="Y",UPPER(TRIM(INDEX(LINES_SCHEDULED,$EN668)&amp;""))="X"),1,0))</f>
        <v/>
      </c>
      <c r="EP668">
        <f>IF($DM668=0,"",IF(COUNTIFS($EG$5:$EG$1003,$EG668,$EB$5:$EB$1003,"Ready")&gt;0,"READY",IF(COUNTIFS($EG$5:$EG$1003,$EG668,$EB$5:$EB$1003,"PM")&gt;0,"PM",IF(COUNTIFS($EG$5:$EG$1003,$EG668,$EB$5:$EB$1003,"OT")&gt;0,"OT",""))))</f>
        <v/>
      </c>
      <c r="EQ668">
        <f>IF($EN668=0,"",UPPER(TRIM(INDEX(LINES_STATUS,$EN668)&amp;"")))</f>
        <v/>
      </c>
      <c r="ER668">
        <f>IF($DM668=0,"",IF(OR($EQ668="READY",$EQ668="PM",$EQ668="OT"),$EQ668,$EP668))</f>
        <v/>
      </c>
      <c r="ES668">
        <f>IF($DM668=0,"",IF(AND($DV668&lt;&gt;"",UPPER($DV668)&lt;&gt;"N"),"allergen",IF(ISNUMBER(SEARCH("oil",$DQ668)),"oil",IF(OR(EXACT($DS668,"A662"),EXACT($DS668,"A624")),"bulk",""))))</f>
        <v/>
      </c>
      <c r="ET668">
        <f>IF($DM668=0,"",IF(OR($EA668="",$EA668=0),"",$EA668/100))</f>
        <v/>
      </c>
      <c r="EU668">
        <f>IF(OR($ET668="",$DY668=""),"",INT($DY668*(1-$ET668)+0.5))</f>
        <v/>
      </c>
      <c r="EW668" t="n">
        <v>664</v>
      </c>
      <c r="EX668">
        <f>IFERROR(MATCH($EW668,$EM$5:$EM$1003,0),0)</f>
        <v/>
      </c>
      <c r="EY668">
        <f>IF($EW668&gt;$B$12,"",IF($EX668&gt;0,"row","spacer"))</f>
        <v/>
      </c>
      <c r="EZ668">
        <f>IF(AND($EY668="row",$EY667&lt;&gt;"row"),1,0)</f>
        <v/>
      </c>
      <c r="FA668">
        <f>IF(AND($EY668="row",$EY669&lt;&gt;"row"),1,0)</f>
        <v/>
      </c>
      <c r="FB668">
        <f>IF($EZ668=1,IFERROR(IF(ISNUMBER(INDEX(PASTE_ALL,INDEX($DF$5:$DF$1003,$EX668),$B$37)),INDEX(PASTE_ALL,INDEX($DF$5:$DF$1003,$EX668),$B$37),INDEX($DH$5:$DH$1003,$EX668)),INDEX($DH$5:$DH$1003,$EX668)),"")</f>
        <v/>
      </c>
      <c r="FC668">
        <f>IF($EY668="row",INDEX($ER$5:$ER$1003,$EX668),"")</f>
        <v/>
      </c>
      <c r="FD668">
        <f>IF($EY668="row",INDEX($DN$5:$DN$1003,$EX668),"")</f>
        <v/>
      </c>
      <c r="FE668">
        <f>IF($EY668="row",INDEX($DO$5:$DO$1003,$EX668),"")</f>
        <v/>
      </c>
      <c r="FF668">
        <f>IF($EY668="row",INDEX($DP$5:$DP$1003,$EX668),"")</f>
        <v/>
      </c>
      <c r="FG668">
        <f>IF($EY668="row",INDEX($DQ$5:$DQ$1003,$EX668),"")</f>
        <v/>
      </c>
      <c r="FH668">
        <f>IF($EY668="row",INDEX($DR$5:$DR$1003,$EX668),"")</f>
        <v/>
      </c>
      <c r="FI668">
        <f>IF($EY668="row",INDEX($DS$5:$DS$1003,$EX668),"")</f>
        <v/>
      </c>
      <c r="FJ668">
        <f>IF($EY668="row",INDEX($DT$5:$DT$1003,$EX668),"")</f>
        <v/>
      </c>
      <c r="FK668">
        <f>IF($EY668="row",INDEX($DU$5:$DU$1003,$EX668),"")</f>
        <v/>
      </c>
      <c r="FL668">
        <f>IF($EY668="row",INDEX($DV$5:$DV$1003,$EX668),"")</f>
        <v/>
      </c>
      <c r="FM668">
        <f>IF($EY668="row",INDEX($DW$5:$DW$1003,$EX668),"")</f>
        <v/>
      </c>
      <c r="FN668">
        <f>IF($EY668="row",INDEX($DY$5:$DY$1003,$EX668),"")</f>
        <v/>
      </c>
      <c r="FO668">
        <f>IF($EY668="row",INDEX($EA$5:$EA$1003,$EX668),"")</f>
        <v/>
      </c>
      <c r="FP668">
        <f>IF($EY668="row",INDEX($EC$5:$EC$1003,$EX668),"")</f>
        <v/>
      </c>
      <c r="FQ668">
        <f>IF($EY668="row",INDEX($ET$5:$ET$1003,$EX668),"")</f>
        <v/>
      </c>
      <c r="FR668">
        <f>IF($EY668="row",INDEX($EU$5:$EU$1003,$EX668),"")</f>
        <v/>
      </c>
      <c r="FS668">
        <f>IF(AND($EY668="row",$EY667="row"),IF(OR(INDEX($DT$5:$DT$1003,$EX667)="",INDEX($DT$5:$DT$1003,$EX668)=""),"",IF(NOT(EXACT(INDEX($DT$5:$DT$1003,$EX667),INDEX($DT$5:$DT$1003,$EX668))),"S4",IF(NOT(EXACT(INDEX($DS$5:$DS$1003,$EX667),INDEX($DS$5:$DS$1003,$EX668))),"S3",IF(NOT(EXACT(INDEX($DR$5:$DR$1003,$EX667),INDEX($DR$5:$DR$1003,$EX668))),"S1 Count Change","S1")))),"")</f>
        <v/>
      </c>
      <c r="FT668">
        <f>IF($EY668="row",INDEX($ES$5:$ES$1003,$EX668),"")</f>
        <v/>
      </c>
      <c r="FU668">
        <f>IF($EY668="row",INDEX($EO$5:$EO$1003,$EX668),0)</f>
        <v/>
      </c>
      <c r="FV668">
        <f>IF($FS668="S1 Count Change",1,0)</f>
        <v/>
      </c>
    </row>
    <row r="669">
      <c r="DA669" t="n">
        <v>665</v>
      </c>
      <c r="DB669">
        <f>IF($B$37=0,"",IFERROR(TRIM(SUBSTITUTE(SUBSTITUTE(SUBSTITUTE(SUBSTITUTE(INDEX(PASTE_ALL,665,$B$37)," "," "),CHAR(9)," "),CHAR(10)," "),CHAR(13)," ")),""))</f>
        <v/>
      </c>
      <c r="DC669">
        <f>IF(AND(665&gt;HEADER_ROW,UPPER(DB669)="LEGEND"),1,0)</f>
        <v/>
      </c>
      <c r="DE669" t="n">
        <v>665</v>
      </c>
      <c r="DF669">
        <f>HEADER_ROW+$DE669</f>
        <v/>
      </c>
      <c r="DG669">
        <f>IF(AND($DF669&lt;=1000,$DF669&lt;$B$8),1,0)</f>
        <v/>
      </c>
      <c r="DH669">
        <f>IF($DG669=1,IFERROR(INDEX($DB$5:$DB$1004,$DF669),""),"")</f>
        <v/>
      </c>
      <c r="DI669">
        <f>IF(AND($DG669=1,$DH669&lt;&gt;""),IFERROR(SUBSTITUTE(SUBSTITUTE(TRIM(SUBSTITUTE(SUBSTITUTE(SUBSTITUTE(SUBSTITUTE(IFERROR(INDEX(PASTE_ALL,$DF669,1)&amp;"","")&amp;"␟"&amp;IFERROR(INDEX(PASTE_ALL,$DF669,2)&amp;"","")&amp;"␟"&amp;IFERROR(INDEX(PASTE_ALL,$DF669,3)&amp;"","")&amp;"␟"&amp;IFERROR(INDEX(PASTE_ALL,$DF669,4)&amp;"","")&amp;"␟"&amp;IFERROR(INDEX(PASTE_ALL,$DF669,5)&amp;"","")&amp;"␟"&amp;IFERROR(INDEX(PASTE_ALL,$DF669,6)&amp;"","")&amp;"␟"&amp;IFERROR(INDEX(PASTE_ALL,$DF669,7)&amp;"","")&amp;"␟"&amp;IFERROR(INDEX(PASTE_ALL,$DF669,8)&amp;"","")&amp;"␟"&amp;IFERROR(INDEX(PASTE_ALL,$DF669,9)&amp;"","")&amp;"␟"&amp;IFERROR(INDEX(PASTE_ALL,$DF669,10)&amp;"","")&amp;"␟"&amp;IFERROR(INDEX(PASTE_ALL,$DF669,11)&amp;"","")&amp;"␟"&amp;IFERROR(INDEX(PASTE_ALL,$DF669,12)&amp;"","")&amp;"␟"&amp;IFERROR(INDEX(PASTE_ALL,$DF669,13)&amp;"","")&amp;"␟"&amp;IFERROR(INDEX(PASTE_ALL,$DF669,14)&amp;"","")&amp;"␟"&amp;IFERROR(INDEX(PASTE_ALL,$DF669,15)&amp;"","")&amp;"␟"&amp;IFERROR(INDEX(PASTE_ALL,$DF669,16)&amp;"","")&amp;"␟"&amp;IFERROR(INDEX(PASTE_ALL,$DF669,17)&amp;"","")&amp;"␟"&amp;IFERROR(INDEX(PASTE_ALL,$DF669,18)&amp;"","")&amp;"␟"&amp;IFERROR(INDEX(PASTE_ALL,$DF669,19)&amp;"","")&amp;"␟"&amp;IFERROR(INDEX(PASTE_ALL,$DF669,20)&amp;"","")&amp;"␟"&amp;IFERROR(INDEX(PASTE_ALL,$DF669,21)&amp;"","")&amp;"␟"&amp;IFERROR(INDEX(PASTE_ALL,$DF669,22)&amp;"","")&amp;"␟"&amp;IFERROR(INDEX(PASTE_ALL,$DF669,23)&amp;"","")&amp;"␟"&amp;IFERROR(INDEX(PASTE_ALL,$DF669,24)&amp;"","")&amp;"␟"&amp;IFERROR(INDEX(PASTE_ALL,$DF669,25)&amp;"","")&amp;"␟"&amp;IFERROR(INDEX(PASTE_ALL,$DF669,26)&amp;"","")&amp;"␟"&amp;IFERROR(INDEX(PASTE_ALL,$DF669,27)&amp;"","")&amp;"␟"&amp;IFERROR(INDEX(PASTE_ALL,$DF669,28)&amp;"","")&amp;"␟"&amp;IFERROR(INDEX(PASTE_ALL,$DF669,29)&amp;"","")&amp;"␟"&amp;IFERROR(INDEX(PASTE_ALL,$DF669,30)&amp;"","")&amp;"␟"&amp;IFERROR(INDEX(PASTE_ALL,$DF669,31)&amp;"","")&amp;"␟"&amp;IFERROR(INDEX(PASTE_ALL,$DF669,32)&amp;"","")&amp;"␟"&amp;IFERROR(INDEX(PASTE_ALL,$DF669,33)&amp;"","")&amp;"␟"&amp;IFERROR(INDEX(PASTE_ALL,$DF669,34)&amp;"","")&amp;"␟"&amp;IFERROR(INDEX(PASTE_ALL,$DF669,35)&amp;"","")&amp;"␟"&amp;IFERROR(INDEX(PASTE_ALL,$DF669,36)&amp;"","")&amp;"␟"&amp;IFERROR(INDEX(PASTE_ALL,$DF669,37)&amp;"","")&amp;"␟"&amp;IFERROR(INDEX(PASTE_ALL,$DF669,38)&amp;"","")&amp;"␟"&amp;IFERROR(INDEX(PASTE_ALL,$DF669,39)&amp;"","")&amp;"␟"&amp;IFERROR(INDEX(PASTE_ALL,$DF669,40)&amp;"","")&amp;"␟"&amp;IFERROR(INDEX(PASTE_ALL,$DF669,41)&amp;"","")&amp;"␟"&amp;IFERROR(INDEX(PASTE_ALL,$DF669,42)&amp;"","")&amp;"␟"&amp;IFERROR(INDEX(PASTE_ALL,$DF669,43)&amp;"","")&amp;"␟"&amp;IFERROR(INDEX(PASTE_ALL,$DF669,44)&amp;"","")&amp;"␟"&amp;IFERROR(INDEX(PASTE_ALL,$DF669,45)&amp;"","")&amp;"␟"&amp;IFERROR(INDEX(PASTE_ALL,$DF669,46)&amp;"","")&amp;"␟"&amp;IFERROR(INDEX(PASTE_ALL,$DF669,47)&amp;"","")&amp;"␟"&amp;IFERROR(INDEX(PASTE_ALL,$DF669,48)&amp;"","")&amp;"␟"&amp;IFERROR(INDEX(PASTE_ALL,$DF669,49)&amp;"","")&amp;"␟"&amp;IFERROR(INDEX(PASTE_ALL,$DF669,50)&amp;"","")&amp;"␟"&amp;IFERROR(INDEX(PASTE_ALL,$DF669,51)&amp;"","")&amp;"␟"&amp;IFERROR(INDEX(PASTE_ALL,$DF669,52)&amp;"","")&amp;"␟"&amp;IFERROR(INDEX(PASTE_ALL,$DF669,53)&amp;"","")&amp;"␟"&amp;IFERROR(INDEX(PASTE_ALL,$DF669,54)&amp;"","")&amp;"␟"&amp;IFERROR(INDEX(PASTE_ALL,$DF669,55)&amp;"","")&amp;"␟"&amp;IFERROR(INDEX(PASTE_ALL,$DF669,56)&amp;"","")&amp;"␟"&amp;IFERROR(INDEX(PASTE_ALL,$DF669,57)&amp;"","")&amp;"␟"&amp;IFERROR(INDEX(PASTE_ALL,$DF669,58)&amp;"","")&amp;"␟"&amp;IFERROR(INDEX(PASTE_ALL,$DF669,59)&amp;"","")&amp;"␟"&amp;IFERROR(INDEX(PASTE_ALL,$DF669,60)&amp;"","")," "," "),CHAR(9)," "),CHAR(10)," "),CHAR(13)," "))," ␟","␟"),"␟ ","␟"),"#"&amp;$DE669),"")</f>
        <v/>
      </c>
      <c r="DJ669">
        <f>IF($DI669="",0,IF(SUMPRODUCT(--EXACT($DI$4:DI668,$DI669))&gt;0,1,0))</f>
        <v/>
      </c>
      <c r="DK669">
        <f>IF(AND($DI669&lt;&gt;"",$DJ669=0),1,0)</f>
        <v/>
      </c>
      <c r="DL669">
        <f>DL668+$DK669</f>
        <v/>
      </c>
      <c r="DM669">
        <f>IF(AND($DK669=1,$DL669&lt;=600),1,0)</f>
        <v/>
      </c>
      <c r="DN669">
        <f>IF($DM669=0,"",IF($L$6=0,"",IFERROR(IF(ISNUMBER(INDEX(PASTE_ALL,$DF669,$L$6)),INDEX(PASTE_ALL,$DF669,$L$6),TRIM(SUBSTITUTE(SUBSTITUTE(SUBSTITUTE(SUBSTITUTE(INDEX(PASTE_ALL,$DF669,$L$6)," "," "),CHAR(9)," "),CHAR(10)," "),CHAR(13)," "))),"")))</f>
        <v/>
      </c>
      <c r="DO669">
        <f>IF($DM669=0,"",IF($L$7=0,"",IFERROR(IF(ISNUMBER(INDEX(PASTE_ALL,$DF669,$L$7)),INDEX(PASTE_ALL,$DF669,$L$7),TRIM(SUBSTITUTE(SUBSTITUTE(SUBSTITUTE(SUBSTITUTE(INDEX(PASTE_ALL,$DF669,$L$7)," "," "),CHAR(9)," "),CHAR(10)," "),CHAR(13)," "))),"")))</f>
        <v/>
      </c>
      <c r="DP669">
        <f>IF($DM669=0,"",IF($L$8=0,"",IFERROR(IF(ISNUMBER(INDEX(PASTE_ALL,$DF669,$L$8)),INDEX(PASTE_ALL,$DF669,$L$8),TRIM(SUBSTITUTE(SUBSTITUTE(SUBSTITUTE(SUBSTITUTE(INDEX(PASTE_ALL,$DF669,$L$8)," "," "),CHAR(9)," "),CHAR(10)," "),CHAR(13)," "))),"")))</f>
        <v/>
      </c>
      <c r="DQ669">
        <f>IF($DM669=0,"",IF($L$9=0,"",IFERROR(IF(ISNUMBER(INDEX(PASTE_ALL,$DF669,$L$9)),INDEX(PASTE_ALL,$DF669,$L$9),TRIM(SUBSTITUTE(SUBSTITUTE(SUBSTITUTE(SUBSTITUTE(INDEX(PASTE_ALL,$DF669,$L$9)," "," "),CHAR(9)," "),CHAR(10)," "),CHAR(13)," "))),"")))</f>
        <v/>
      </c>
      <c r="DR669">
        <f>IF($DM669=0,"",IF($L$10=0,"",IFERROR(IF(ISNUMBER(INDEX(PASTE_ALL,$DF669,$L$10)),INDEX(PASTE_ALL,$DF669,$L$10),TRIM(SUBSTITUTE(SUBSTITUTE(SUBSTITUTE(SUBSTITUTE(INDEX(PASTE_ALL,$DF669,$L$10)," "," "),CHAR(9)," "),CHAR(10)," "),CHAR(13)," "))),"")))</f>
        <v/>
      </c>
      <c r="DS669">
        <f>IF($DM669=0,"",IF($L$11=0,"",IFERROR(IF(ISNUMBER(INDEX(PASTE_ALL,$DF669,$L$11)),INDEX(PASTE_ALL,$DF669,$L$11),TRIM(SUBSTITUTE(SUBSTITUTE(SUBSTITUTE(SUBSTITUTE(INDEX(PASTE_ALL,$DF669,$L$11)," "," "),CHAR(9)," "),CHAR(10)," "),CHAR(13)," "))),"")))</f>
        <v/>
      </c>
      <c r="DT669">
        <f>IF($DM669=0,"",IF($L$12=0,"",IFERROR(IF(ISNUMBER(INDEX(PASTE_ALL,$DF669,$L$12)),INDEX(PASTE_ALL,$DF669,$L$12),TRIM(SUBSTITUTE(SUBSTITUTE(SUBSTITUTE(SUBSTITUTE(INDEX(PASTE_ALL,$DF669,$L$12)," "," "),CHAR(9)," "),CHAR(10)," "),CHAR(13)," "))),"")))</f>
        <v/>
      </c>
      <c r="DU669">
        <f>IF($DM669=0,"",IF($L$13=0,"",IFERROR(IF(ISNUMBER(INDEX(PASTE_ALL,$DF669,$L$13)),INDEX(PASTE_ALL,$DF669,$L$13),TRIM(SUBSTITUTE(SUBSTITUTE(SUBSTITUTE(SUBSTITUTE(INDEX(PASTE_ALL,$DF669,$L$13)," "," "),CHAR(9)," "),CHAR(10)," "),CHAR(13)," "))),"")))</f>
        <v/>
      </c>
      <c r="DV669">
        <f>IF($DM669=0,"",IF($L$14=0,"",IFERROR(IF(ISNUMBER(INDEX(PASTE_ALL,$DF669,$L$14)),INDEX(PASTE_ALL,$DF669,$L$14),TRIM(SUBSTITUTE(SUBSTITUTE(SUBSTITUTE(SUBSTITUTE(INDEX(PASTE_ALL,$DF669,$L$14)," "," "),CHAR(9)," "),CHAR(10)," "),CHAR(13)," "))),"")))</f>
        <v/>
      </c>
      <c r="DW669">
        <f>IF($DM669=0,"",IF($L$15=0,"",IFERROR(IF(ISNUMBER(INDEX(PASTE_ALL,$DF669,$L$15)),INDEX(PASTE_ALL,$DF669,$L$15),IF(SUMPRODUCT(--ISNUMBER(FIND({"A","B","C","D","E","F","G","H","I","J","K","L","M","N","O","P","Q","R","S","T","U","V","W","X","Y","Z","0","1","2","3","4","5","6","7","8","9"},UPPER(TRIM(SUBSTITUTE(SUBSTITUTE(SUBSTITUTE(SUBSTITUTE(INDEX(PASTE_ALL,$DF669,$L$15)," "," "),CHAR(9)," "),CHAR(10)," "),CHAR(13)," "))))))&gt;0,TRIM(SUBSTITUTE(SUBSTITUTE(SUBSTITUTE(SUBSTITUTE(INDEX(PASTE_ALL,$DF669,$L$15)," "," "),CHAR(9)," "),CHAR(10)," "),CHAR(13)," ")),"")),"")))</f>
        <v/>
      </c>
      <c r="DX669">
        <f>IF($DM669=0,"",IF($L$16=0,"",IFERROR(IF(ISNUMBER(INDEX(PASTE_ALL,$DF669,$L$16)),INDEX(PASTE_ALL,$DF669,$L$16),SUBSTITUTE(SUBSTITUTE(TRIM(SUBSTITUTE(SUBSTITUTE(SUBSTITUTE(SUBSTITUTE(INDEX(PASTE_ALL,$DF669,$L$16)," "," "),CHAR(9)," "),CHAR(10)," "),CHAR(13)," ")),",",""),"%","")),"")))</f>
        <v/>
      </c>
      <c r="DY669">
        <f>IF($DM669=0,"",IFERROR(IF(ISNUMBER($DX669),$DX669,IF($DX669="","",IF(TRIM($DX669)="",0,IF(AND(AND(SUBSTITUTE(SUBSTITUTE(SUBSTITUTE(SUBSTITUTE(SUBSTITUTE(SUBSTITUTE(SUBSTITUTE(SUBSTITUTE(SUBSTITUTE(SUBSTITUTE(SUBSTITUTE(SUBSTITUTE(SUBSTITUTE(SUBSTITUTE(UPPER(TRIM($DX669)),"0",""),"1",""),"2",""),"3",""),"4",""),"5",""),"6",""),"7",""),"8",""),"9",""),".",""),"+",""),"-",""),"E","")="",LEN(SUBSTITUTE(SUBSTITUTE(MID(UPPER(TRIM($DX669)),1+OR(LEFT(UPPER(TRIM($DX669)),1)="+",LEFT(UPPER(TRIM($DX669)),1)="-"),999),"E+","E"),"E-","E"))=LEN(SUBSTITUTE(SUBSTITUTE(SUBSTITUTE(SUBSTITUTE(MID(UPPER(TRIM($DX669)),1+OR(LEFT(UPPER(TRIM($DX669)),1)="+",LEFT(UPPER(TRIM($DX669)),1)="-"),999),"E+","E"),"E-","E"),"+",""),"-","")),LEN(UPPER(TRIM($DX669)))-LEN(SUBSTITUTE(UPPER(TRIM($DX669)),"E",""))&lt;2,LEN(UPPER(TRIM($DX669)))-LEN(SUBSTITUTE(UPPER(TRIM($DX669)),".",""))&lt;2,IFERROR(FIND(".",UPPER(TRIM($DX669))),0)&lt;IFERROR(FIND("E",UPPER(TRIM($DX669))),999)),ISNUMBER(VALUE(TRIM($DX669)))),VALUE(TRIM($DX669)),"")))),""))</f>
        <v/>
      </c>
      <c r="DZ669">
        <f>IF($DM669=0,"",IF($L$17=0,"",IFERROR(IF(ISNUMBER(INDEX(PASTE_ALL,$DF669,$L$17)),INDEX(PASTE_ALL,$DF669,$L$17),SUBSTITUTE(SUBSTITUTE(TRIM(SUBSTITUTE(SUBSTITUTE(SUBSTITUTE(SUBSTITUTE(INDEX(PASTE_ALL,$DF669,$L$17)," "," "),CHAR(9)," "),CHAR(10)," "),CHAR(13)," ")),",",""),"%","")),"")))</f>
        <v/>
      </c>
      <c r="EA669">
        <f>IF($DM669=0,"",IFERROR(IF(ISNUMBER($DZ669),$DZ669,IF($DZ669="","",IF(TRIM($DZ669)="",0,IF(AND(AND(SUBSTITUTE(SUBSTITUTE(SUBSTITUTE(SUBSTITUTE(SUBSTITUTE(SUBSTITUTE(SUBSTITUTE(SUBSTITUTE(SUBSTITUTE(SUBSTITUTE(SUBSTITUTE(SUBSTITUTE(SUBSTITUTE(SUBSTITUTE(UPPER(TRIM($DZ669)),"0",""),"1",""),"2",""),"3",""),"4",""),"5",""),"6",""),"7",""),"8",""),"9",""),".",""),"+",""),"-",""),"E","")="",LEN(SUBSTITUTE(SUBSTITUTE(MID(UPPER(TRIM($DZ669)),1+OR(LEFT(UPPER(TRIM($DZ669)),1)="+",LEFT(UPPER(TRIM($DZ669)),1)="-"),999),"E+","E"),"E-","E"))=LEN(SUBSTITUTE(SUBSTITUTE(SUBSTITUTE(SUBSTITUTE(MID(UPPER(TRIM($DZ669)),1+OR(LEFT(UPPER(TRIM($DZ669)),1)="+",LEFT(UPPER(TRIM($DZ669)),1)="-"),999),"E+","E"),"E-","E"),"+",""),"-","")),LEN(UPPER(TRIM($DZ669)))-LEN(SUBSTITUTE(UPPER(TRIM($DZ669)),"E",""))&lt;2,LEN(UPPER(TRIM($DZ669)))-LEN(SUBSTITUTE(UPPER(TRIM($DZ669)),".",""))&lt;2,IFERROR(FIND(".",UPPER(TRIM($DZ669))),0)&lt;IFERROR(FIND("E",UPPER(TRIM($DZ669))),999)),ISNUMBER(VALUE(TRIM($DZ669)))),VALUE(TRIM($DZ669)),"")))),""))</f>
        <v/>
      </c>
      <c r="EB669">
        <f>IF($DM669=0,"",IF($L$18=0,"",IFERROR(IF(UPPER(TRIM(SUBSTITUTE(SUBSTITUTE(SUBSTITUTE(SUBSTITUTE(INDEX(PASTE_ALL,$DF669,$L$18)," "," "),CHAR(9)," "),CHAR(10)," "),CHAR(13)," ")))="READY","Ready",IF(UPPER(TRIM(SUBSTITUTE(SUBSTITUTE(SUBSTITUTE(SUBSTITUTE(INDEX(PASTE_ALL,$DF669,$L$18)," "," "),CHAR(9)," "),CHAR(10)," "),CHAR(13)," ")))="PM","PM",IF(OR(UPPER(TRIM(SUBSTITUTE(SUBSTITUTE(SUBSTITUTE(SUBSTITUTE(INDEX(PASTE_ALL,$DF669,$L$18)," "," "),CHAR(9)," "),CHAR(10)," "),CHAR(13)," ")))="OT",UPPER(TRIM(SUBSTITUTE(SUBSTITUTE(SUBSTITUTE(SUBSTITUTE(INDEX(PASTE_ALL,$DF669,$L$18)," "," "),CHAR(9)," "),CHAR(10)," "),CHAR(13)," ")))="OVERTIME",UPPER(TRIM(SUBSTITUTE(SUBSTITUTE(SUBSTITUTE(SUBSTITUTE(INDEX(PASTE_ALL,$DF669,$L$18)," "," "),CHAR(9)," "),CHAR(10)," "),CHAR(13)," ")))="TRIAL"),"OT",TRIM(SUBSTITUTE(SUBSTITUTE(SUBSTITUTE(SUBSTITUTE(INDEX(PASTE_ALL,$DF669,$L$18)," "," "),CHAR(9)," "),CHAR(10)," "),CHAR(13)," "))))),"")))</f>
        <v/>
      </c>
      <c r="EC669">
        <f>IF($DM669=0,"",IF($L$19=0,"",IFERROR(IF(ISNUMBER(INDEX(PASTE_ALL,$DF669,$L$19)),INDEX(PASTE_ALL,$DF669,$L$19),TRIM(SUBSTITUTE(SUBSTITUTE(SUBSTITUTE(SUBSTITUTE(INDEX(PASTE_ALL,$DF669,$L$19)," "," "),CHAR(9)," "),CHAR(10)," "),CHAR(13)," "))),"")))</f>
        <v/>
      </c>
      <c r="ED669">
        <f>IF($DM669=0,"",MATCH(1,INDEX(EXACT($DH$5:DH669,$DH669)*$DM$5:DM669,0),0))</f>
        <v/>
      </c>
      <c r="EE669">
        <f>IF($DM669=0,0,IF($ED669=$DE669,1,0))</f>
        <v/>
      </c>
      <c r="EF669">
        <f>EF668+$EE669</f>
        <v/>
      </c>
      <c r="EG669">
        <f>IF($DM669=0,"",INDEX($EF$5:$EF$1003,$ED669))</f>
        <v/>
      </c>
      <c r="EH669">
        <f>IF($DM669=0,"",IF($DO669&lt;&gt;"","",IFERROR(LOOKUP(2,1/(($EG$4:EG668=$EG669)*($DO$4:DO668&lt;&gt;"")),$DO$4:DO668),"")))</f>
        <v/>
      </c>
      <c r="EI669">
        <f>IF($DM669=0,"",IF($DO669&lt;&gt;"",$DO669,$EH669))</f>
        <v/>
      </c>
      <c r="EJ669">
        <f>IF($DM669=0,"",IF($EI669="",0,IF(OR(ISNUMBER($EI669),AND(AND(SUBSTITUTE(SUBSTITUTE(SUBSTITUTE(SUBSTITUTE(SUBSTITUTE(SUBSTITUTE(SUBSTITUTE(SUBSTITUTE(SUBSTITUTE(SUBSTITUTE(SUBSTITUTE(SUBSTITUTE(SUBSTITUTE(SUBSTITUTE(UPPER($EI669),"0",""),"1",""),"2",""),"3",""),"4",""),"5",""),"6",""),"7",""),"8",""),"9",""),".",""),"+",""),"-",""),"E","")="",LEN(SUBSTITUTE(SUBSTITUTE(MID(UPPER($EI669),1+OR(LEFT(UPPER($EI669),1)="+",LEFT(UPPER($EI669),1)="-"),999),"E+","E"),"E-","E"))=LEN(SUBSTITUTE(SUBSTITUTE(SUBSTITUTE(SUBSTITUTE(MID(UPPER($EI669),1+OR(LEFT(UPPER($EI669),1)="+",LEFT(UPPER($EI669),1)="-"),999),"E+","E"),"E-","E"),"+",""),"-","")),LEN(UPPER($EI669))-LEN(SUBSTITUTE(UPPER($EI669),"E",""))&lt;2,LEN(UPPER($EI669))-LEN(SUBSTITUTE(UPPER($EI669),".",""))&lt;2,IFERROR(FIND(".",UPPER($EI669)),0)&lt;IFERROR(FIND("E",UPPER($EI669)),999)),ISNUMBER(VALUE($EI669)))),1,2)))</f>
        <v/>
      </c>
      <c r="EK669">
        <f>IF($DM669=0,"",IF($EJ669=1,IF(ISNUMBER($EI669),$EI669,VALUE($EI669)),IF($EJ669=2,$DE669,0)))</f>
        <v/>
      </c>
      <c r="EL669">
        <f>IF($DM669=0,"",COUNTIF($EG$5:$EG$1003,"&lt;"&amp;$EG669)+SUMPRODUCT(($EG$5:$EG$1003=$EG669)*(($EJ$5:$EJ$1003&lt;$EJ669)+($EJ$5:$EJ$1003=$EJ669)*(($EK$5:$EK$1003&lt;$EK669)+($EK$5:$EK$1003=$EK669)*($DE$5:$DE$1003&lt;$DE669))))+1)</f>
        <v/>
      </c>
      <c r="EM669">
        <f>IF($DM669=0,"",$EL669+$EG669-1)</f>
        <v/>
      </c>
      <c r="EN669">
        <f>IF($DM669=0,0,IFERROR(MATCH(1,INDEX(--(TRIM(SUBSTITUTE(SUBSTITUTE(SUBSTITUTE(SUBSTITUTE(LINES_NAME&amp;""," "," "),CHAR(9)," "),CHAR(10)," "),CHAR(13)," "))=$DH669),0),0),0))</f>
        <v/>
      </c>
      <c r="EO669">
        <f>IF($EN669=0,0,IF(OR(UPPER(TRIM(INDEX(LINES_SCHEDULED,$EN669)&amp;""))="YES",UPPER(TRIM(INDEX(LINES_SCHEDULED,$EN669)&amp;""))="Y",UPPER(TRIM(INDEX(LINES_SCHEDULED,$EN669)&amp;""))="X"),1,0))</f>
        <v/>
      </c>
      <c r="EP669">
        <f>IF($DM669=0,"",IF(COUNTIFS($EG$5:$EG$1003,$EG669,$EB$5:$EB$1003,"Ready")&gt;0,"READY",IF(COUNTIFS($EG$5:$EG$1003,$EG669,$EB$5:$EB$1003,"PM")&gt;0,"PM",IF(COUNTIFS($EG$5:$EG$1003,$EG669,$EB$5:$EB$1003,"OT")&gt;0,"OT",""))))</f>
        <v/>
      </c>
      <c r="EQ669">
        <f>IF($EN669=0,"",UPPER(TRIM(INDEX(LINES_STATUS,$EN669)&amp;"")))</f>
        <v/>
      </c>
      <c r="ER669">
        <f>IF($DM669=0,"",IF(OR($EQ669="READY",$EQ669="PM",$EQ669="OT"),$EQ669,$EP669))</f>
        <v/>
      </c>
      <c r="ES669">
        <f>IF($DM669=0,"",IF(AND($DV669&lt;&gt;"",UPPER($DV669)&lt;&gt;"N"),"allergen",IF(ISNUMBER(SEARCH("oil",$DQ669)),"oil",IF(OR(EXACT($DS669,"A662"),EXACT($DS669,"A624")),"bulk",""))))</f>
        <v/>
      </c>
      <c r="ET669">
        <f>IF($DM669=0,"",IF(OR($EA669="",$EA669=0),"",$EA669/100))</f>
        <v/>
      </c>
      <c r="EU669">
        <f>IF(OR($ET669="",$DY669=""),"",INT($DY669*(1-$ET669)+0.5))</f>
        <v/>
      </c>
      <c r="EW669" t="n">
        <v>665</v>
      </c>
      <c r="EX669">
        <f>IFERROR(MATCH($EW669,$EM$5:$EM$1003,0),0)</f>
        <v/>
      </c>
      <c r="EY669">
        <f>IF($EW669&gt;$B$12,"",IF($EX669&gt;0,"row","spacer"))</f>
        <v/>
      </c>
      <c r="EZ669">
        <f>IF(AND($EY669="row",$EY668&lt;&gt;"row"),1,0)</f>
        <v/>
      </c>
      <c r="FA669">
        <f>IF(AND($EY669="row",$EY670&lt;&gt;"row"),1,0)</f>
        <v/>
      </c>
      <c r="FB669">
        <f>IF($EZ669=1,IFERROR(IF(ISNUMBER(INDEX(PASTE_ALL,INDEX($DF$5:$DF$1003,$EX669),$B$37)),INDEX(PASTE_ALL,INDEX($DF$5:$DF$1003,$EX669),$B$37),INDEX($DH$5:$DH$1003,$EX669)),INDEX($DH$5:$DH$1003,$EX669)),"")</f>
        <v/>
      </c>
      <c r="FC669">
        <f>IF($EY669="row",INDEX($ER$5:$ER$1003,$EX669),"")</f>
        <v/>
      </c>
      <c r="FD669">
        <f>IF($EY669="row",INDEX($DN$5:$DN$1003,$EX669),"")</f>
        <v/>
      </c>
      <c r="FE669">
        <f>IF($EY669="row",INDEX($DO$5:$DO$1003,$EX669),"")</f>
        <v/>
      </c>
      <c r="FF669">
        <f>IF($EY669="row",INDEX($DP$5:$DP$1003,$EX669),"")</f>
        <v/>
      </c>
      <c r="FG669">
        <f>IF($EY669="row",INDEX($DQ$5:$DQ$1003,$EX669),"")</f>
        <v/>
      </c>
      <c r="FH669">
        <f>IF($EY669="row",INDEX($DR$5:$DR$1003,$EX669),"")</f>
        <v/>
      </c>
      <c r="FI669">
        <f>IF($EY669="row",INDEX($DS$5:$DS$1003,$EX669),"")</f>
        <v/>
      </c>
      <c r="FJ669">
        <f>IF($EY669="row",INDEX($DT$5:$DT$1003,$EX669),"")</f>
        <v/>
      </c>
      <c r="FK669">
        <f>IF($EY669="row",INDEX($DU$5:$DU$1003,$EX669),"")</f>
        <v/>
      </c>
      <c r="FL669">
        <f>IF($EY669="row",INDEX($DV$5:$DV$1003,$EX669),"")</f>
        <v/>
      </c>
      <c r="FM669">
        <f>IF($EY669="row",INDEX($DW$5:$DW$1003,$EX669),"")</f>
        <v/>
      </c>
      <c r="FN669">
        <f>IF($EY669="row",INDEX($DY$5:$DY$1003,$EX669),"")</f>
        <v/>
      </c>
      <c r="FO669">
        <f>IF($EY669="row",INDEX($EA$5:$EA$1003,$EX669),"")</f>
        <v/>
      </c>
      <c r="FP669">
        <f>IF($EY669="row",INDEX($EC$5:$EC$1003,$EX669),"")</f>
        <v/>
      </c>
      <c r="FQ669">
        <f>IF($EY669="row",INDEX($ET$5:$ET$1003,$EX669),"")</f>
        <v/>
      </c>
      <c r="FR669">
        <f>IF($EY669="row",INDEX($EU$5:$EU$1003,$EX669),"")</f>
        <v/>
      </c>
      <c r="FS669">
        <f>IF(AND($EY669="row",$EY668="row"),IF(OR(INDEX($DT$5:$DT$1003,$EX668)="",INDEX($DT$5:$DT$1003,$EX669)=""),"",IF(NOT(EXACT(INDEX($DT$5:$DT$1003,$EX668),INDEX($DT$5:$DT$1003,$EX669))),"S4",IF(NOT(EXACT(INDEX($DS$5:$DS$1003,$EX668),INDEX($DS$5:$DS$1003,$EX669))),"S3",IF(NOT(EXACT(INDEX($DR$5:$DR$1003,$EX668),INDEX($DR$5:$DR$1003,$EX669))),"S1 Count Change","S1")))),"")</f>
        <v/>
      </c>
      <c r="FT669">
        <f>IF($EY669="row",INDEX($ES$5:$ES$1003,$EX669),"")</f>
        <v/>
      </c>
      <c r="FU669">
        <f>IF($EY669="row",INDEX($EO$5:$EO$1003,$EX669),0)</f>
        <v/>
      </c>
      <c r="FV669">
        <f>IF($FS669="S1 Count Change",1,0)</f>
        <v/>
      </c>
    </row>
    <row r="670">
      <c r="DA670" t="n">
        <v>666</v>
      </c>
      <c r="DB670">
        <f>IF($B$37=0,"",IFERROR(TRIM(SUBSTITUTE(SUBSTITUTE(SUBSTITUTE(SUBSTITUTE(INDEX(PASTE_ALL,666,$B$37)," "," "),CHAR(9)," "),CHAR(10)," "),CHAR(13)," ")),""))</f>
        <v/>
      </c>
      <c r="DC670">
        <f>IF(AND(666&gt;HEADER_ROW,UPPER(DB670)="LEGEND"),1,0)</f>
        <v/>
      </c>
      <c r="DE670" t="n">
        <v>666</v>
      </c>
      <c r="DF670">
        <f>HEADER_ROW+$DE670</f>
        <v/>
      </c>
      <c r="DG670">
        <f>IF(AND($DF670&lt;=1000,$DF670&lt;$B$8),1,0)</f>
        <v/>
      </c>
      <c r="DH670">
        <f>IF($DG670=1,IFERROR(INDEX($DB$5:$DB$1004,$DF670),""),"")</f>
        <v/>
      </c>
      <c r="DI670">
        <f>IF(AND($DG670=1,$DH670&lt;&gt;""),IFERROR(SUBSTITUTE(SUBSTITUTE(TRIM(SUBSTITUTE(SUBSTITUTE(SUBSTITUTE(SUBSTITUTE(IFERROR(INDEX(PASTE_ALL,$DF670,1)&amp;"","")&amp;"␟"&amp;IFERROR(INDEX(PASTE_ALL,$DF670,2)&amp;"","")&amp;"␟"&amp;IFERROR(INDEX(PASTE_ALL,$DF670,3)&amp;"","")&amp;"␟"&amp;IFERROR(INDEX(PASTE_ALL,$DF670,4)&amp;"","")&amp;"␟"&amp;IFERROR(INDEX(PASTE_ALL,$DF670,5)&amp;"","")&amp;"␟"&amp;IFERROR(INDEX(PASTE_ALL,$DF670,6)&amp;"","")&amp;"␟"&amp;IFERROR(INDEX(PASTE_ALL,$DF670,7)&amp;"","")&amp;"␟"&amp;IFERROR(INDEX(PASTE_ALL,$DF670,8)&amp;"","")&amp;"␟"&amp;IFERROR(INDEX(PASTE_ALL,$DF670,9)&amp;"","")&amp;"␟"&amp;IFERROR(INDEX(PASTE_ALL,$DF670,10)&amp;"","")&amp;"␟"&amp;IFERROR(INDEX(PASTE_ALL,$DF670,11)&amp;"","")&amp;"␟"&amp;IFERROR(INDEX(PASTE_ALL,$DF670,12)&amp;"","")&amp;"␟"&amp;IFERROR(INDEX(PASTE_ALL,$DF670,13)&amp;"","")&amp;"␟"&amp;IFERROR(INDEX(PASTE_ALL,$DF670,14)&amp;"","")&amp;"␟"&amp;IFERROR(INDEX(PASTE_ALL,$DF670,15)&amp;"","")&amp;"␟"&amp;IFERROR(INDEX(PASTE_ALL,$DF670,16)&amp;"","")&amp;"␟"&amp;IFERROR(INDEX(PASTE_ALL,$DF670,17)&amp;"","")&amp;"␟"&amp;IFERROR(INDEX(PASTE_ALL,$DF670,18)&amp;"","")&amp;"␟"&amp;IFERROR(INDEX(PASTE_ALL,$DF670,19)&amp;"","")&amp;"␟"&amp;IFERROR(INDEX(PASTE_ALL,$DF670,20)&amp;"","")&amp;"␟"&amp;IFERROR(INDEX(PASTE_ALL,$DF670,21)&amp;"","")&amp;"␟"&amp;IFERROR(INDEX(PASTE_ALL,$DF670,22)&amp;"","")&amp;"␟"&amp;IFERROR(INDEX(PASTE_ALL,$DF670,23)&amp;"","")&amp;"␟"&amp;IFERROR(INDEX(PASTE_ALL,$DF670,24)&amp;"","")&amp;"␟"&amp;IFERROR(INDEX(PASTE_ALL,$DF670,25)&amp;"","")&amp;"␟"&amp;IFERROR(INDEX(PASTE_ALL,$DF670,26)&amp;"","")&amp;"␟"&amp;IFERROR(INDEX(PASTE_ALL,$DF670,27)&amp;"","")&amp;"␟"&amp;IFERROR(INDEX(PASTE_ALL,$DF670,28)&amp;"","")&amp;"␟"&amp;IFERROR(INDEX(PASTE_ALL,$DF670,29)&amp;"","")&amp;"␟"&amp;IFERROR(INDEX(PASTE_ALL,$DF670,30)&amp;"","")&amp;"␟"&amp;IFERROR(INDEX(PASTE_ALL,$DF670,31)&amp;"","")&amp;"␟"&amp;IFERROR(INDEX(PASTE_ALL,$DF670,32)&amp;"","")&amp;"␟"&amp;IFERROR(INDEX(PASTE_ALL,$DF670,33)&amp;"","")&amp;"␟"&amp;IFERROR(INDEX(PASTE_ALL,$DF670,34)&amp;"","")&amp;"␟"&amp;IFERROR(INDEX(PASTE_ALL,$DF670,35)&amp;"","")&amp;"␟"&amp;IFERROR(INDEX(PASTE_ALL,$DF670,36)&amp;"","")&amp;"␟"&amp;IFERROR(INDEX(PASTE_ALL,$DF670,37)&amp;"","")&amp;"␟"&amp;IFERROR(INDEX(PASTE_ALL,$DF670,38)&amp;"","")&amp;"␟"&amp;IFERROR(INDEX(PASTE_ALL,$DF670,39)&amp;"","")&amp;"␟"&amp;IFERROR(INDEX(PASTE_ALL,$DF670,40)&amp;"","")&amp;"␟"&amp;IFERROR(INDEX(PASTE_ALL,$DF670,41)&amp;"","")&amp;"␟"&amp;IFERROR(INDEX(PASTE_ALL,$DF670,42)&amp;"","")&amp;"␟"&amp;IFERROR(INDEX(PASTE_ALL,$DF670,43)&amp;"","")&amp;"␟"&amp;IFERROR(INDEX(PASTE_ALL,$DF670,44)&amp;"","")&amp;"␟"&amp;IFERROR(INDEX(PASTE_ALL,$DF670,45)&amp;"","")&amp;"␟"&amp;IFERROR(INDEX(PASTE_ALL,$DF670,46)&amp;"","")&amp;"␟"&amp;IFERROR(INDEX(PASTE_ALL,$DF670,47)&amp;"","")&amp;"␟"&amp;IFERROR(INDEX(PASTE_ALL,$DF670,48)&amp;"","")&amp;"␟"&amp;IFERROR(INDEX(PASTE_ALL,$DF670,49)&amp;"","")&amp;"␟"&amp;IFERROR(INDEX(PASTE_ALL,$DF670,50)&amp;"","")&amp;"␟"&amp;IFERROR(INDEX(PASTE_ALL,$DF670,51)&amp;"","")&amp;"␟"&amp;IFERROR(INDEX(PASTE_ALL,$DF670,52)&amp;"","")&amp;"␟"&amp;IFERROR(INDEX(PASTE_ALL,$DF670,53)&amp;"","")&amp;"␟"&amp;IFERROR(INDEX(PASTE_ALL,$DF670,54)&amp;"","")&amp;"␟"&amp;IFERROR(INDEX(PASTE_ALL,$DF670,55)&amp;"","")&amp;"␟"&amp;IFERROR(INDEX(PASTE_ALL,$DF670,56)&amp;"","")&amp;"␟"&amp;IFERROR(INDEX(PASTE_ALL,$DF670,57)&amp;"","")&amp;"␟"&amp;IFERROR(INDEX(PASTE_ALL,$DF670,58)&amp;"","")&amp;"␟"&amp;IFERROR(INDEX(PASTE_ALL,$DF670,59)&amp;"","")&amp;"␟"&amp;IFERROR(INDEX(PASTE_ALL,$DF670,60)&amp;"","")," "," "),CHAR(9)," "),CHAR(10)," "),CHAR(13)," "))," ␟","␟"),"␟ ","␟"),"#"&amp;$DE670),"")</f>
        <v/>
      </c>
      <c r="DJ670">
        <f>IF($DI670="",0,IF(SUMPRODUCT(--EXACT($DI$4:DI669,$DI670))&gt;0,1,0))</f>
        <v/>
      </c>
      <c r="DK670">
        <f>IF(AND($DI670&lt;&gt;"",$DJ670=0),1,0)</f>
        <v/>
      </c>
      <c r="DL670">
        <f>DL669+$DK670</f>
        <v/>
      </c>
      <c r="DM670">
        <f>IF(AND($DK670=1,$DL670&lt;=600),1,0)</f>
        <v/>
      </c>
      <c r="DN670">
        <f>IF($DM670=0,"",IF($L$6=0,"",IFERROR(IF(ISNUMBER(INDEX(PASTE_ALL,$DF670,$L$6)),INDEX(PASTE_ALL,$DF670,$L$6),TRIM(SUBSTITUTE(SUBSTITUTE(SUBSTITUTE(SUBSTITUTE(INDEX(PASTE_ALL,$DF670,$L$6)," "," "),CHAR(9)," "),CHAR(10)," "),CHAR(13)," "))),"")))</f>
        <v/>
      </c>
      <c r="DO670">
        <f>IF($DM670=0,"",IF($L$7=0,"",IFERROR(IF(ISNUMBER(INDEX(PASTE_ALL,$DF670,$L$7)),INDEX(PASTE_ALL,$DF670,$L$7),TRIM(SUBSTITUTE(SUBSTITUTE(SUBSTITUTE(SUBSTITUTE(INDEX(PASTE_ALL,$DF670,$L$7)," "," "),CHAR(9)," "),CHAR(10)," "),CHAR(13)," "))),"")))</f>
        <v/>
      </c>
      <c r="DP670">
        <f>IF($DM670=0,"",IF($L$8=0,"",IFERROR(IF(ISNUMBER(INDEX(PASTE_ALL,$DF670,$L$8)),INDEX(PASTE_ALL,$DF670,$L$8),TRIM(SUBSTITUTE(SUBSTITUTE(SUBSTITUTE(SUBSTITUTE(INDEX(PASTE_ALL,$DF670,$L$8)," "," "),CHAR(9)," "),CHAR(10)," "),CHAR(13)," "))),"")))</f>
        <v/>
      </c>
      <c r="DQ670">
        <f>IF($DM670=0,"",IF($L$9=0,"",IFERROR(IF(ISNUMBER(INDEX(PASTE_ALL,$DF670,$L$9)),INDEX(PASTE_ALL,$DF670,$L$9),TRIM(SUBSTITUTE(SUBSTITUTE(SUBSTITUTE(SUBSTITUTE(INDEX(PASTE_ALL,$DF670,$L$9)," "," "),CHAR(9)," "),CHAR(10)," "),CHAR(13)," "))),"")))</f>
        <v/>
      </c>
      <c r="DR670">
        <f>IF($DM670=0,"",IF($L$10=0,"",IFERROR(IF(ISNUMBER(INDEX(PASTE_ALL,$DF670,$L$10)),INDEX(PASTE_ALL,$DF670,$L$10),TRIM(SUBSTITUTE(SUBSTITUTE(SUBSTITUTE(SUBSTITUTE(INDEX(PASTE_ALL,$DF670,$L$10)," "," "),CHAR(9)," "),CHAR(10)," "),CHAR(13)," "))),"")))</f>
        <v/>
      </c>
      <c r="DS670">
        <f>IF($DM670=0,"",IF($L$11=0,"",IFERROR(IF(ISNUMBER(INDEX(PASTE_ALL,$DF670,$L$11)),INDEX(PASTE_ALL,$DF670,$L$11),TRIM(SUBSTITUTE(SUBSTITUTE(SUBSTITUTE(SUBSTITUTE(INDEX(PASTE_ALL,$DF670,$L$11)," "," "),CHAR(9)," "),CHAR(10)," "),CHAR(13)," "))),"")))</f>
        <v/>
      </c>
      <c r="DT670">
        <f>IF($DM670=0,"",IF($L$12=0,"",IFERROR(IF(ISNUMBER(INDEX(PASTE_ALL,$DF670,$L$12)),INDEX(PASTE_ALL,$DF670,$L$12),TRIM(SUBSTITUTE(SUBSTITUTE(SUBSTITUTE(SUBSTITUTE(INDEX(PASTE_ALL,$DF670,$L$12)," "," "),CHAR(9)," "),CHAR(10)," "),CHAR(13)," "))),"")))</f>
        <v/>
      </c>
      <c r="DU670">
        <f>IF($DM670=0,"",IF($L$13=0,"",IFERROR(IF(ISNUMBER(INDEX(PASTE_ALL,$DF670,$L$13)),INDEX(PASTE_ALL,$DF670,$L$13),TRIM(SUBSTITUTE(SUBSTITUTE(SUBSTITUTE(SUBSTITUTE(INDEX(PASTE_ALL,$DF670,$L$13)," "," "),CHAR(9)," "),CHAR(10)," "),CHAR(13)," "))),"")))</f>
        <v/>
      </c>
      <c r="DV670">
        <f>IF($DM670=0,"",IF($L$14=0,"",IFERROR(IF(ISNUMBER(INDEX(PASTE_ALL,$DF670,$L$14)),INDEX(PASTE_ALL,$DF670,$L$14),TRIM(SUBSTITUTE(SUBSTITUTE(SUBSTITUTE(SUBSTITUTE(INDEX(PASTE_ALL,$DF670,$L$14)," "," "),CHAR(9)," "),CHAR(10)," "),CHAR(13)," "))),"")))</f>
        <v/>
      </c>
      <c r="DW670">
        <f>IF($DM670=0,"",IF($L$15=0,"",IFERROR(IF(ISNUMBER(INDEX(PASTE_ALL,$DF670,$L$15)),INDEX(PASTE_ALL,$DF670,$L$15),IF(SUMPRODUCT(--ISNUMBER(FIND({"A","B","C","D","E","F","G","H","I","J","K","L","M","N","O","P","Q","R","S","T","U","V","W","X","Y","Z","0","1","2","3","4","5","6","7","8","9"},UPPER(TRIM(SUBSTITUTE(SUBSTITUTE(SUBSTITUTE(SUBSTITUTE(INDEX(PASTE_ALL,$DF670,$L$15)," "," "),CHAR(9)," "),CHAR(10)," "),CHAR(13)," "))))))&gt;0,TRIM(SUBSTITUTE(SUBSTITUTE(SUBSTITUTE(SUBSTITUTE(INDEX(PASTE_ALL,$DF670,$L$15)," "," "),CHAR(9)," "),CHAR(10)," "),CHAR(13)," ")),"")),"")))</f>
        <v/>
      </c>
      <c r="DX670">
        <f>IF($DM670=0,"",IF($L$16=0,"",IFERROR(IF(ISNUMBER(INDEX(PASTE_ALL,$DF670,$L$16)),INDEX(PASTE_ALL,$DF670,$L$16),SUBSTITUTE(SUBSTITUTE(TRIM(SUBSTITUTE(SUBSTITUTE(SUBSTITUTE(SUBSTITUTE(INDEX(PASTE_ALL,$DF670,$L$16)," "," "),CHAR(9)," "),CHAR(10)," "),CHAR(13)," ")),",",""),"%","")),"")))</f>
        <v/>
      </c>
      <c r="DY670">
        <f>IF($DM670=0,"",IFERROR(IF(ISNUMBER($DX670),$DX670,IF($DX670="","",IF(TRIM($DX670)="",0,IF(AND(AND(SUBSTITUTE(SUBSTITUTE(SUBSTITUTE(SUBSTITUTE(SUBSTITUTE(SUBSTITUTE(SUBSTITUTE(SUBSTITUTE(SUBSTITUTE(SUBSTITUTE(SUBSTITUTE(SUBSTITUTE(SUBSTITUTE(SUBSTITUTE(UPPER(TRIM($DX670)),"0",""),"1",""),"2",""),"3",""),"4",""),"5",""),"6",""),"7",""),"8",""),"9",""),".",""),"+",""),"-",""),"E","")="",LEN(SUBSTITUTE(SUBSTITUTE(MID(UPPER(TRIM($DX670)),1+OR(LEFT(UPPER(TRIM($DX670)),1)="+",LEFT(UPPER(TRIM($DX670)),1)="-"),999),"E+","E"),"E-","E"))=LEN(SUBSTITUTE(SUBSTITUTE(SUBSTITUTE(SUBSTITUTE(MID(UPPER(TRIM($DX670)),1+OR(LEFT(UPPER(TRIM($DX670)),1)="+",LEFT(UPPER(TRIM($DX670)),1)="-"),999),"E+","E"),"E-","E"),"+",""),"-","")),LEN(UPPER(TRIM($DX670)))-LEN(SUBSTITUTE(UPPER(TRIM($DX670)),"E",""))&lt;2,LEN(UPPER(TRIM($DX670)))-LEN(SUBSTITUTE(UPPER(TRIM($DX670)),".",""))&lt;2,IFERROR(FIND(".",UPPER(TRIM($DX670))),0)&lt;IFERROR(FIND("E",UPPER(TRIM($DX670))),999)),ISNUMBER(VALUE(TRIM($DX670)))),VALUE(TRIM($DX670)),"")))),""))</f>
        <v/>
      </c>
      <c r="DZ670">
        <f>IF($DM670=0,"",IF($L$17=0,"",IFERROR(IF(ISNUMBER(INDEX(PASTE_ALL,$DF670,$L$17)),INDEX(PASTE_ALL,$DF670,$L$17),SUBSTITUTE(SUBSTITUTE(TRIM(SUBSTITUTE(SUBSTITUTE(SUBSTITUTE(SUBSTITUTE(INDEX(PASTE_ALL,$DF670,$L$17)," "," "),CHAR(9)," "),CHAR(10)," "),CHAR(13)," ")),",",""),"%","")),"")))</f>
        <v/>
      </c>
      <c r="EA670">
        <f>IF($DM670=0,"",IFERROR(IF(ISNUMBER($DZ670),$DZ670,IF($DZ670="","",IF(TRIM($DZ670)="",0,IF(AND(AND(SUBSTITUTE(SUBSTITUTE(SUBSTITUTE(SUBSTITUTE(SUBSTITUTE(SUBSTITUTE(SUBSTITUTE(SUBSTITUTE(SUBSTITUTE(SUBSTITUTE(SUBSTITUTE(SUBSTITUTE(SUBSTITUTE(SUBSTITUTE(UPPER(TRIM($DZ670)),"0",""),"1",""),"2",""),"3",""),"4",""),"5",""),"6",""),"7",""),"8",""),"9",""),".",""),"+",""),"-",""),"E","")="",LEN(SUBSTITUTE(SUBSTITUTE(MID(UPPER(TRIM($DZ670)),1+OR(LEFT(UPPER(TRIM($DZ670)),1)="+",LEFT(UPPER(TRIM($DZ670)),1)="-"),999),"E+","E"),"E-","E"))=LEN(SUBSTITUTE(SUBSTITUTE(SUBSTITUTE(SUBSTITUTE(MID(UPPER(TRIM($DZ670)),1+OR(LEFT(UPPER(TRIM($DZ670)),1)="+",LEFT(UPPER(TRIM($DZ670)),1)="-"),999),"E+","E"),"E-","E"),"+",""),"-","")),LEN(UPPER(TRIM($DZ670)))-LEN(SUBSTITUTE(UPPER(TRIM($DZ670)),"E",""))&lt;2,LEN(UPPER(TRIM($DZ670)))-LEN(SUBSTITUTE(UPPER(TRIM($DZ670)),".",""))&lt;2,IFERROR(FIND(".",UPPER(TRIM($DZ670))),0)&lt;IFERROR(FIND("E",UPPER(TRIM($DZ670))),999)),ISNUMBER(VALUE(TRIM($DZ670)))),VALUE(TRIM($DZ670)),"")))),""))</f>
        <v/>
      </c>
      <c r="EB670">
        <f>IF($DM670=0,"",IF($L$18=0,"",IFERROR(IF(UPPER(TRIM(SUBSTITUTE(SUBSTITUTE(SUBSTITUTE(SUBSTITUTE(INDEX(PASTE_ALL,$DF670,$L$18)," "," "),CHAR(9)," "),CHAR(10)," "),CHAR(13)," ")))="READY","Ready",IF(UPPER(TRIM(SUBSTITUTE(SUBSTITUTE(SUBSTITUTE(SUBSTITUTE(INDEX(PASTE_ALL,$DF670,$L$18)," "," "),CHAR(9)," "),CHAR(10)," "),CHAR(13)," ")))="PM","PM",IF(OR(UPPER(TRIM(SUBSTITUTE(SUBSTITUTE(SUBSTITUTE(SUBSTITUTE(INDEX(PASTE_ALL,$DF670,$L$18)," "," "),CHAR(9)," "),CHAR(10)," "),CHAR(13)," ")))="OT",UPPER(TRIM(SUBSTITUTE(SUBSTITUTE(SUBSTITUTE(SUBSTITUTE(INDEX(PASTE_ALL,$DF670,$L$18)," "," "),CHAR(9)," "),CHAR(10)," "),CHAR(13)," ")))="OVERTIME",UPPER(TRIM(SUBSTITUTE(SUBSTITUTE(SUBSTITUTE(SUBSTITUTE(INDEX(PASTE_ALL,$DF670,$L$18)," "," "),CHAR(9)," "),CHAR(10)," "),CHAR(13)," ")))="TRIAL"),"OT",TRIM(SUBSTITUTE(SUBSTITUTE(SUBSTITUTE(SUBSTITUTE(INDEX(PASTE_ALL,$DF670,$L$18)," "," "),CHAR(9)," "),CHAR(10)," "),CHAR(13)," "))))),"")))</f>
        <v/>
      </c>
      <c r="EC670">
        <f>IF($DM670=0,"",IF($L$19=0,"",IFERROR(IF(ISNUMBER(INDEX(PASTE_ALL,$DF670,$L$19)),INDEX(PASTE_ALL,$DF670,$L$19),TRIM(SUBSTITUTE(SUBSTITUTE(SUBSTITUTE(SUBSTITUTE(INDEX(PASTE_ALL,$DF670,$L$19)," "," "),CHAR(9)," "),CHAR(10)," "),CHAR(13)," "))),"")))</f>
        <v/>
      </c>
      <c r="ED670">
        <f>IF($DM670=0,"",MATCH(1,INDEX(EXACT($DH$5:DH670,$DH670)*$DM$5:DM670,0),0))</f>
        <v/>
      </c>
      <c r="EE670">
        <f>IF($DM670=0,0,IF($ED670=$DE670,1,0))</f>
        <v/>
      </c>
      <c r="EF670">
        <f>EF669+$EE670</f>
        <v/>
      </c>
      <c r="EG670">
        <f>IF($DM670=0,"",INDEX($EF$5:$EF$1003,$ED670))</f>
        <v/>
      </c>
      <c r="EH670">
        <f>IF($DM670=0,"",IF($DO670&lt;&gt;"","",IFERROR(LOOKUP(2,1/(($EG$4:EG669=$EG670)*($DO$4:DO669&lt;&gt;"")),$DO$4:DO669),"")))</f>
        <v/>
      </c>
      <c r="EI670">
        <f>IF($DM670=0,"",IF($DO670&lt;&gt;"",$DO670,$EH670))</f>
        <v/>
      </c>
      <c r="EJ670">
        <f>IF($DM670=0,"",IF($EI670="",0,IF(OR(ISNUMBER($EI670),AND(AND(SUBSTITUTE(SUBSTITUTE(SUBSTITUTE(SUBSTITUTE(SUBSTITUTE(SUBSTITUTE(SUBSTITUTE(SUBSTITUTE(SUBSTITUTE(SUBSTITUTE(SUBSTITUTE(SUBSTITUTE(SUBSTITUTE(SUBSTITUTE(UPPER($EI670),"0",""),"1",""),"2",""),"3",""),"4",""),"5",""),"6",""),"7",""),"8",""),"9",""),".",""),"+",""),"-",""),"E","")="",LEN(SUBSTITUTE(SUBSTITUTE(MID(UPPER($EI670),1+OR(LEFT(UPPER($EI670),1)="+",LEFT(UPPER($EI670),1)="-"),999),"E+","E"),"E-","E"))=LEN(SUBSTITUTE(SUBSTITUTE(SUBSTITUTE(SUBSTITUTE(MID(UPPER($EI670),1+OR(LEFT(UPPER($EI670),1)="+",LEFT(UPPER($EI670),1)="-"),999),"E+","E"),"E-","E"),"+",""),"-","")),LEN(UPPER($EI670))-LEN(SUBSTITUTE(UPPER($EI670),"E",""))&lt;2,LEN(UPPER($EI670))-LEN(SUBSTITUTE(UPPER($EI670),".",""))&lt;2,IFERROR(FIND(".",UPPER($EI670)),0)&lt;IFERROR(FIND("E",UPPER($EI670)),999)),ISNUMBER(VALUE($EI670)))),1,2)))</f>
        <v/>
      </c>
      <c r="EK670">
        <f>IF($DM670=0,"",IF($EJ670=1,IF(ISNUMBER($EI670),$EI670,VALUE($EI670)),IF($EJ670=2,$DE670,0)))</f>
        <v/>
      </c>
      <c r="EL670">
        <f>IF($DM670=0,"",COUNTIF($EG$5:$EG$1003,"&lt;"&amp;$EG670)+SUMPRODUCT(($EG$5:$EG$1003=$EG670)*(($EJ$5:$EJ$1003&lt;$EJ670)+($EJ$5:$EJ$1003=$EJ670)*(($EK$5:$EK$1003&lt;$EK670)+($EK$5:$EK$1003=$EK670)*($DE$5:$DE$1003&lt;$DE670))))+1)</f>
        <v/>
      </c>
      <c r="EM670">
        <f>IF($DM670=0,"",$EL670+$EG670-1)</f>
        <v/>
      </c>
      <c r="EN670">
        <f>IF($DM670=0,0,IFERROR(MATCH(1,INDEX(--(TRIM(SUBSTITUTE(SUBSTITUTE(SUBSTITUTE(SUBSTITUTE(LINES_NAME&amp;""," "," "),CHAR(9)," "),CHAR(10)," "),CHAR(13)," "))=$DH670),0),0),0))</f>
        <v/>
      </c>
      <c r="EO670">
        <f>IF($EN670=0,0,IF(OR(UPPER(TRIM(INDEX(LINES_SCHEDULED,$EN670)&amp;""))="YES",UPPER(TRIM(INDEX(LINES_SCHEDULED,$EN670)&amp;""))="Y",UPPER(TRIM(INDEX(LINES_SCHEDULED,$EN670)&amp;""))="X"),1,0))</f>
        <v/>
      </c>
      <c r="EP670">
        <f>IF($DM670=0,"",IF(COUNTIFS($EG$5:$EG$1003,$EG670,$EB$5:$EB$1003,"Ready")&gt;0,"READY",IF(COUNTIFS($EG$5:$EG$1003,$EG670,$EB$5:$EB$1003,"PM")&gt;0,"PM",IF(COUNTIFS($EG$5:$EG$1003,$EG670,$EB$5:$EB$1003,"OT")&gt;0,"OT",""))))</f>
        <v/>
      </c>
      <c r="EQ670">
        <f>IF($EN670=0,"",UPPER(TRIM(INDEX(LINES_STATUS,$EN670)&amp;"")))</f>
        <v/>
      </c>
      <c r="ER670">
        <f>IF($DM670=0,"",IF(OR($EQ670="READY",$EQ670="PM",$EQ670="OT"),$EQ670,$EP670))</f>
        <v/>
      </c>
      <c r="ES670">
        <f>IF($DM670=0,"",IF(AND($DV670&lt;&gt;"",UPPER($DV670)&lt;&gt;"N"),"allergen",IF(ISNUMBER(SEARCH("oil",$DQ670)),"oil",IF(OR(EXACT($DS670,"A662"),EXACT($DS670,"A624")),"bulk",""))))</f>
        <v/>
      </c>
      <c r="ET670">
        <f>IF($DM670=0,"",IF(OR($EA670="",$EA670=0),"",$EA670/100))</f>
        <v/>
      </c>
      <c r="EU670">
        <f>IF(OR($ET670="",$DY670=""),"",INT($DY670*(1-$ET670)+0.5))</f>
        <v/>
      </c>
      <c r="EW670" t="n">
        <v>666</v>
      </c>
      <c r="EX670">
        <f>IFERROR(MATCH($EW670,$EM$5:$EM$1003,0),0)</f>
        <v/>
      </c>
      <c r="EY670">
        <f>IF($EW670&gt;$B$12,"",IF($EX670&gt;0,"row","spacer"))</f>
        <v/>
      </c>
      <c r="EZ670">
        <f>IF(AND($EY670="row",$EY669&lt;&gt;"row"),1,0)</f>
        <v/>
      </c>
      <c r="FA670">
        <f>IF(AND($EY670="row",$EY671&lt;&gt;"row"),1,0)</f>
        <v/>
      </c>
      <c r="FB670">
        <f>IF($EZ670=1,IFERROR(IF(ISNUMBER(INDEX(PASTE_ALL,INDEX($DF$5:$DF$1003,$EX670),$B$37)),INDEX(PASTE_ALL,INDEX($DF$5:$DF$1003,$EX670),$B$37),INDEX($DH$5:$DH$1003,$EX670)),INDEX($DH$5:$DH$1003,$EX670)),"")</f>
        <v/>
      </c>
      <c r="FC670">
        <f>IF($EY670="row",INDEX($ER$5:$ER$1003,$EX670),"")</f>
        <v/>
      </c>
      <c r="FD670">
        <f>IF($EY670="row",INDEX($DN$5:$DN$1003,$EX670),"")</f>
        <v/>
      </c>
      <c r="FE670">
        <f>IF($EY670="row",INDEX($DO$5:$DO$1003,$EX670),"")</f>
        <v/>
      </c>
      <c r="FF670">
        <f>IF($EY670="row",INDEX($DP$5:$DP$1003,$EX670),"")</f>
        <v/>
      </c>
      <c r="FG670">
        <f>IF($EY670="row",INDEX($DQ$5:$DQ$1003,$EX670),"")</f>
        <v/>
      </c>
      <c r="FH670">
        <f>IF($EY670="row",INDEX($DR$5:$DR$1003,$EX670),"")</f>
        <v/>
      </c>
      <c r="FI670">
        <f>IF($EY670="row",INDEX($DS$5:$DS$1003,$EX670),"")</f>
        <v/>
      </c>
      <c r="FJ670">
        <f>IF($EY670="row",INDEX($DT$5:$DT$1003,$EX670),"")</f>
        <v/>
      </c>
      <c r="FK670">
        <f>IF($EY670="row",INDEX($DU$5:$DU$1003,$EX670),"")</f>
        <v/>
      </c>
      <c r="FL670">
        <f>IF($EY670="row",INDEX($DV$5:$DV$1003,$EX670),"")</f>
        <v/>
      </c>
      <c r="FM670">
        <f>IF($EY670="row",INDEX($DW$5:$DW$1003,$EX670),"")</f>
        <v/>
      </c>
      <c r="FN670">
        <f>IF($EY670="row",INDEX($DY$5:$DY$1003,$EX670),"")</f>
        <v/>
      </c>
      <c r="FO670">
        <f>IF($EY670="row",INDEX($EA$5:$EA$1003,$EX670),"")</f>
        <v/>
      </c>
      <c r="FP670">
        <f>IF($EY670="row",INDEX($EC$5:$EC$1003,$EX670),"")</f>
        <v/>
      </c>
      <c r="FQ670">
        <f>IF($EY670="row",INDEX($ET$5:$ET$1003,$EX670),"")</f>
        <v/>
      </c>
      <c r="FR670">
        <f>IF($EY670="row",INDEX($EU$5:$EU$1003,$EX670),"")</f>
        <v/>
      </c>
      <c r="FS670">
        <f>IF(AND($EY670="row",$EY669="row"),IF(OR(INDEX($DT$5:$DT$1003,$EX669)="",INDEX($DT$5:$DT$1003,$EX670)=""),"",IF(NOT(EXACT(INDEX($DT$5:$DT$1003,$EX669),INDEX($DT$5:$DT$1003,$EX670))),"S4",IF(NOT(EXACT(INDEX($DS$5:$DS$1003,$EX669),INDEX($DS$5:$DS$1003,$EX670))),"S3",IF(NOT(EXACT(INDEX($DR$5:$DR$1003,$EX669),INDEX($DR$5:$DR$1003,$EX670))),"S1 Count Change","S1")))),"")</f>
        <v/>
      </c>
      <c r="FT670">
        <f>IF($EY670="row",INDEX($ES$5:$ES$1003,$EX670),"")</f>
        <v/>
      </c>
      <c r="FU670">
        <f>IF($EY670="row",INDEX($EO$5:$EO$1003,$EX670),0)</f>
        <v/>
      </c>
      <c r="FV670">
        <f>IF($FS670="S1 Count Change",1,0)</f>
        <v/>
      </c>
    </row>
    <row r="671">
      <c r="DA671" t="n">
        <v>667</v>
      </c>
      <c r="DB671">
        <f>IF($B$37=0,"",IFERROR(TRIM(SUBSTITUTE(SUBSTITUTE(SUBSTITUTE(SUBSTITUTE(INDEX(PASTE_ALL,667,$B$37)," "," "),CHAR(9)," "),CHAR(10)," "),CHAR(13)," ")),""))</f>
        <v/>
      </c>
      <c r="DC671">
        <f>IF(AND(667&gt;HEADER_ROW,UPPER(DB671)="LEGEND"),1,0)</f>
        <v/>
      </c>
      <c r="DE671" t="n">
        <v>667</v>
      </c>
      <c r="DF671">
        <f>HEADER_ROW+$DE671</f>
        <v/>
      </c>
      <c r="DG671">
        <f>IF(AND($DF671&lt;=1000,$DF671&lt;$B$8),1,0)</f>
        <v/>
      </c>
      <c r="DH671">
        <f>IF($DG671=1,IFERROR(INDEX($DB$5:$DB$1004,$DF671),""),"")</f>
        <v/>
      </c>
      <c r="DI671">
        <f>IF(AND($DG671=1,$DH671&lt;&gt;""),IFERROR(SUBSTITUTE(SUBSTITUTE(TRIM(SUBSTITUTE(SUBSTITUTE(SUBSTITUTE(SUBSTITUTE(IFERROR(INDEX(PASTE_ALL,$DF671,1)&amp;"","")&amp;"␟"&amp;IFERROR(INDEX(PASTE_ALL,$DF671,2)&amp;"","")&amp;"␟"&amp;IFERROR(INDEX(PASTE_ALL,$DF671,3)&amp;"","")&amp;"␟"&amp;IFERROR(INDEX(PASTE_ALL,$DF671,4)&amp;"","")&amp;"␟"&amp;IFERROR(INDEX(PASTE_ALL,$DF671,5)&amp;"","")&amp;"␟"&amp;IFERROR(INDEX(PASTE_ALL,$DF671,6)&amp;"","")&amp;"␟"&amp;IFERROR(INDEX(PASTE_ALL,$DF671,7)&amp;"","")&amp;"␟"&amp;IFERROR(INDEX(PASTE_ALL,$DF671,8)&amp;"","")&amp;"␟"&amp;IFERROR(INDEX(PASTE_ALL,$DF671,9)&amp;"","")&amp;"␟"&amp;IFERROR(INDEX(PASTE_ALL,$DF671,10)&amp;"","")&amp;"␟"&amp;IFERROR(INDEX(PASTE_ALL,$DF671,11)&amp;"","")&amp;"␟"&amp;IFERROR(INDEX(PASTE_ALL,$DF671,12)&amp;"","")&amp;"␟"&amp;IFERROR(INDEX(PASTE_ALL,$DF671,13)&amp;"","")&amp;"␟"&amp;IFERROR(INDEX(PASTE_ALL,$DF671,14)&amp;"","")&amp;"␟"&amp;IFERROR(INDEX(PASTE_ALL,$DF671,15)&amp;"","")&amp;"␟"&amp;IFERROR(INDEX(PASTE_ALL,$DF671,16)&amp;"","")&amp;"␟"&amp;IFERROR(INDEX(PASTE_ALL,$DF671,17)&amp;"","")&amp;"␟"&amp;IFERROR(INDEX(PASTE_ALL,$DF671,18)&amp;"","")&amp;"␟"&amp;IFERROR(INDEX(PASTE_ALL,$DF671,19)&amp;"","")&amp;"␟"&amp;IFERROR(INDEX(PASTE_ALL,$DF671,20)&amp;"","")&amp;"␟"&amp;IFERROR(INDEX(PASTE_ALL,$DF671,21)&amp;"","")&amp;"␟"&amp;IFERROR(INDEX(PASTE_ALL,$DF671,22)&amp;"","")&amp;"␟"&amp;IFERROR(INDEX(PASTE_ALL,$DF671,23)&amp;"","")&amp;"␟"&amp;IFERROR(INDEX(PASTE_ALL,$DF671,24)&amp;"","")&amp;"␟"&amp;IFERROR(INDEX(PASTE_ALL,$DF671,25)&amp;"","")&amp;"␟"&amp;IFERROR(INDEX(PASTE_ALL,$DF671,26)&amp;"","")&amp;"␟"&amp;IFERROR(INDEX(PASTE_ALL,$DF671,27)&amp;"","")&amp;"␟"&amp;IFERROR(INDEX(PASTE_ALL,$DF671,28)&amp;"","")&amp;"␟"&amp;IFERROR(INDEX(PASTE_ALL,$DF671,29)&amp;"","")&amp;"␟"&amp;IFERROR(INDEX(PASTE_ALL,$DF671,30)&amp;"","")&amp;"␟"&amp;IFERROR(INDEX(PASTE_ALL,$DF671,31)&amp;"","")&amp;"␟"&amp;IFERROR(INDEX(PASTE_ALL,$DF671,32)&amp;"","")&amp;"␟"&amp;IFERROR(INDEX(PASTE_ALL,$DF671,33)&amp;"","")&amp;"␟"&amp;IFERROR(INDEX(PASTE_ALL,$DF671,34)&amp;"","")&amp;"␟"&amp;IFERROR(INDEX(PASTE_ALL,$DF671,35)&amp;"","")&amp;"␟"&amp;IFERROR(INDEX(PASTE_ALL,$DF671,36)&amp;"","")&amp;"␟"&amp;IFERROR(INDEX(PASTE_ALL,$DF671,37)&amp;"","")&amp;"␟"&amp;IFERROR(INDEX(PASTE_ALL,$DF671,38)&amp;"","")&amp;"␟"&amp;IFERROR(INDEX(PASTE_ALL,$DF671,39)&amp;"","")&amp;"␟"&amp;IFERROR(INDEX(PASTE_ALL,$DF671,40)&amp;"","")&amp;"␟"&amp;IFERROR(INDEX(PASTE_ALL,$DF671,41)&amp;"","")&amp;"␟"&amp;IFERROR(INDEX(PASTE_ALL,$DF671,42)&amp;"","")&amp;"␟"&amp;IFERROR(INDEX(PASTE_ALL,$DF671,43)&amp;"","")&amp;"␟"&amp;IFERROR(INDEX(PASTE_ALL,$DF671,44)&amp;"","")&amp;"␟"&amp;IFERROR(INDEX(PASTE_ALL,$DF671,45)&amp;"","")&amp;"␟"&amp;IFERROR(INDEX(PASTE_ALL,$DF671,46)&amp;"","")&amp;"␟"&amp;IFERROR(INDEX(PASTE_ALL,$DF671,47)&amp;"","")&amp;"␟"&amp;IFERROR(INDEX(PASTE_ALL,$DF671,48)&amp;"","")&amp;"␟"&amp;IFERROR(INDEX(PASTE_ALL,$DF671,49)&amp;"","")&amp;"␟"&amp;IFERROR(INDEX(PASTE_ALL,$DF671,50)&amp;"","")&amp;"␟"&amp;IFERROR(INDEX(PASTE_ALL,$DF671,51)&amp;"","")&amp;"␟"&amp;IFERROR(INDEX(PASTE_ALL,$DF671,52)&amp;"","")&amp;"␟"&amp;IFERROR(INDEX(PASTE_ALL,$DF671,53)&amp;"","")&amp;"␟"&amp;IFERROR(INDEX(PASTE_ALL,$DF671,54)&amp;"","")&amp;"␟"&amp;IFERROR(INDEX(PASTE_ALL,$DF671,55)&amp;"","")&amp;"␟"&amp;IFERROR(INDEX(PASTE_ALL,$DF671,56)&amp;"","")&amp;"␟"&amp;IFERROR(INDEX(PASTE_ALL,$DF671,57)&amp;"","")&amp;"␟"&amp;IFERROR(INDEX(PASTE_ALL,$DF671,58)&amp;"","")&amp;"␟"&amp;IFERROR(INDEX(PASTE_ALL,$DF671,59)&amp;"","")&amp;"␟"&amp;IFERROR(INDEX(PASTE_ALL,$DF671,60)&amp;"","")," "," "),CHAR(9)," "),CHAR(10)," "),CHAR(13)," "))," ␟","␟"),"␟ ","␟"),"#"&amp;$DE671),"")</f>
        <v/>
      </c>
      <c r="DJ671">
        <f>IF($DI671="",0,IF(SUMPRODUCT(--EXACT($DI$4:DI670,$DI671))&gt;0,1,0))</f>
        <v/>
      </c>
      <c r="DK671">
        <f>IF(AND($DI671&lt;&gt;"",$DJ671=0),1,0)</f>
        <v/>
      </c>
      <c r="DL671">
        <f>DL670+$DK671</f>
        <v/>
      </c>
      <c r="DM671">
        <f>IF(AND($DK671=1,$DL671&lt;=600),1,0)</f>
        <v/>
      </c>
      <c r="DN671">
        <f>IF($DM671=0,"",IF($L$6=0,"",IFERROR(IF(ISNUMBER(INDEX(PASTE_ALL,$DF671,$L$6)),INDEX(PASTE_ALL,$DF671,$L$6),TRIM(SUBSTITUTE(SUBSTITUTE(SUBSTITUTE(SUBSTITUTE(INDEX(PASTE_ALL,$DF671,$L$6)," "," "),CHAR(9)," "),CHAR(10)," "),CHAR(13)," "))),"")))</f>
        <v/>
      </c>
      <c r="DO671">
        <f>IF($DM671=0,"",IF($L$7=0,"",IFERROR(IF(ISNUMBER(INDEX(PASTE_ALL,$DF671,$L$7)),INDEX(PASTE_ALL,$DF671,$L$7),TRIM(SUBSTITUTE(SUBSTITUTE(SUBSTITUTE(SUBSTITUTE(INDEX(PASTE_ALL,$DF671,$L$7)," "," "),CHAR(9)," "),CHAR(10)," "),CHAR(13)," "))),"")))</f>
        <v/>
      </c>
      <c r="DP671">
        <f>IF($DM671=0,"",IF($L$8=0,"",IFERROR(IF(ISNUMBER(INDEX(PASTE_ALL,$DF671,$L$8)),INDEX(PASTE_ALL,$DF671,$L$8),TRIM(SUBSTITUTE(SUBSTITUTE(SUBSTITUTE(SUBSTITUTE(INDEX(PASTE_ALL,$DF671,$L$8)," "," "),CHAR(9)," "),CHAR(10)," "),CHAR(13)," "))),"")))</f>
        <v/>
      </c>
      <c r="DQ671">
        <f>IF($DM671=0,"",IF($L$9=0,"",IFERROR(IF(ISNUMBER(INDEX(PASTE_ALL,$DF671,$L$9)),INDEX(PASTE_ALL,$DF671,$L$9),TRIM(SUBSTITUTE(SUBSTITUTE(SUBSTITUTE(SUBSTITUTE(INDEX(PASTE_ALL,$DF671,$L$9)," "," "),CHAR(9)," "),CHAR(10)," "),CHAR(13)," "))),"")))</f>
        <v/>
      </c>
      <c r="DR671">
        <f>IF($DM671=0,"",IF($L$10=0,"",IFERROR(IF(ISNUMBER(INDEX(PASTE_ALL,$DF671,$L$10)),INDEX(PASTE_ALL,$DF671,$L$10),TRIM(SUBSTITUTE(SUBSTITUTE(SUBSTITUTE(SUBSTITUTE(INDEX(PASTE_ALL,$DF671,$L$10)," "," "),CHAR(9)," "),CHAR(10)," "),CHAR(13)," "))),"")))</f>
        <v/>
      </c>
      <c r="DS671">
        <f>IF($DM671=0,"",IF($L$11=0,"",IFERROR(IF(ISNUMBER(INDEX(PASTE_ALL,$DF671,$L$11)),INDEX(PASTE_ALL,$DF671,$L$11),TRIM(SUBSTITUTE(SUBSTITUTE(SUBSTITUTE(SUBSTITUTE(INDEX(PASTE_ALL,$DF671,$L$11)," "," "),CHAR(9)," "),CHAR(10)," "),CHAR(13)," "))),"")))</f>
        <v/>
      </c>
      <c r="DT671">
        <f>IF($DM671=0,"",IF($L$12=0,"",IFERROR(IF(ISNUMBER(INDEX(PASTE_ALL,$DF671,$L$12)),INDEX(PASTE_ALL,$DF671,$L$12),TRIM(SUBSTITUTE(SUBSTITUTE(SUBSTITUTE(SUBSTITUTE(INDEX(PASTE_ALL,$DF671,$L$12)," "," "),CHAR(9)," "),CHAR(10)," "),CHAR(13)," "))),"")))</f>
        <v/>
      </c>
      <c r="DU671">
        <f>IF($DM671=0,"",IF($L$13=0,"",IFERROR(IF(ISNUMBER(INDEX(PASTE_ALL,$DF671,$L$13)),INDEX(PASTE_ALL,$DF671,$L$13),TRIM(SUBSTITUTE(SUBSTITUTE(SUBSTITUTE(SUBSTITUTE(INDEX(PASTE_ALL,$DF671,$L$13)," "," "),CHAR(9)," "),CHAR(10)," "),CHAR(13)," "))),"")))</f>
        <v/>
      </c>
      <c r="DV671">
        <f>IF($DM671=0,"",IF($L$14=0,"",IFERROR(IF(ISNUMBER(INDEX(PASTE_ALL,$DF671,$L$14)),INDEX(PASTE_ALL,$DF671,$L$14),TRIM(SUBSTITUTE(SUBSTITUTE(SUBSTITUTE(SUBSTITUTE(INDEX(PASTE_ALL,$DF671,$L$14)," "," "),CHAR(9)," "),CHAR(10)," "),CHAR(13)," "))),"")))</f>
        <v/>
      </c>
      <c r="DW671">
        <f>IF($DM671=0,"",IF($L$15=0,"",IFERROR(IF(ISNUMBER(INDEX(PASTE_ALL,$DF671,$L$15)),INDEX(PASTE_ALL,$DF671,$L$15),IF(SUMPRODUCT(--ISNUMBER(FIND({"A","B","C","D","E","F","G","H","I","J","K","L","M","N","O","P","Q","R","S","T","U","V","W","X","Y","Z","0","1","2","3","4","5","6","7","8","9"},UPPER(TRIM(SUBSTITUTE(SUBSTITUTE(SUBSTITUTE(SUBSTITUTE(INDEX(PASTE_ALL,$DF671,$L$15)," "," "),CHAR(9)," "),CHAR(10)," "),CHAR(13)," "))))))&gt;0,TRIM(SUBSTITUTE(SUBSTITUTE(SUBSTITUTE(SUBSTITUTE(INDEX(PASTE_ALL,$DF671,$L$15)," "," "),CHAR(9)," "),CHAR(10)," "),CHAR(13)," ")),"")),"")))</f>
        <v/>
      </c>
      <c r="DX671">
        <f>IF($DM671=0,"",IF($L$16=0,"",IFERROR(IF(ISNUMBER(INDEX(PASTE_ALL,$DF671,$L$16)),INDEX(PASTE_ALL,$DF671,$L$16),SUBSTITUTE(SUBSTITUTE(TRIM(SUBSTITUTE(SUBSTITUTE(SUBSTITUTE(SUBSTITUTE(INDEX(PASTE_ALL,$DF671,$L$16)," "," "),CHAR(9)," "),CHAR(10)," "),CHAR(13)," ")),",",""),"%","")),"")))</f>
        <v/>
      </c>
      <c r="DY671">
        <f>IF($DM671=0,"",IFERROR(IF(ISNUMBER($DX671),$DX671,IF($DX671="","",IF(TRIM($DX671)="",0,IF(AND(AND(SUBSTITUTE(SUBSTITUTE(SUBSTITUTE(SUBSTITUTE(SUBSTITUTE(SUBSTITUTE(SUBSTITUTE(SUBSTITUTE(SUBSTITUTE(SUBSTITUTE(SUBSTITUTE(SUBSTITUTE(SUBSTITUTE(SUBSTITUTE(UPPER(TRIM($DX671)),"0",""),"1",""),"2",""),"3",""),"4",""),"5",""),"6",""),"7",""),"8",""),"9",""),".",""),"+",""),"-",""),"E","")="",LEN(SUBSTITUTE(SUBSTITUTE(MID(UPPER(TRIM($DX671)),1+OR(LEFT(UPPER(TRIM($DX671)),1)="+",LEFT(UPPER(TRIM($DX671)),1)="-"),999),"E+","E"),"E-","E"))=LEN(SUBSTITUTE(SUBSTITUTE(SUBSTITUTE(SUBSTITUTE(MID(UPPER(TRIM($DX671)),1+OR(LEFT(UPPER(TRIM($DX671)),1)="+",LEFT(UPPER(TRIM($DX671)),1)="-"),999),"E+","E"),"E-","E"),"+",""),"-","")),LEN(UPPER(TRIM($DX671)))-LEN(SUBSTITUTE(UPPER(TRIM($DX671)),"E",""))&lt;2,LEN(UPPER(TRIM($DX671)))-LEN(SUBSTITUTE(UPPER(TRIM($DX671)),".",""))&lt;2,IFERROR(FIND(".",UPPER(TRIM($DX671))),0)&lt;IFERROR(FIND("E",UPPER(TRIM($DX671))),999)),ISNUMBER(VALUE(TRIM($DX671)))),VALUE(TRIM($DX671)),"")))),""))</f>
        <v/>
      </c>
      <c r="DZ671">
        <f>IF($DM671=0,"",IF($L$17=0,"",IFERROR(IF(ISNUMBER(INDEX(PASTE_ALL,$DF671,$L$17)),INDEX(PASTE_ALL,$DF671,$L$17),SUBSTITUTE(SUBSTITUTE(TRIM(SUBSTITUTE(SUBSTITUTE(SUBSTITUTE(SUBSTITUTE(INDEX(PASTE_ALL,$DF671,$L$17)," "," "),CHAR(9)," "),CHAR(10)," "),CHAR(13)," ")),",",""),"%","")),"")))</f>
        <v/>
      </c>
      <c r="EA671">
        <f>IF($DM671=0,"",IFERROR(IF(ISNUMBER($DZ671),$DZ671,IF($DZ671="","",IF(TRIM($DZ671)="",0,IF(AND(AND(SUBSTITUTE(SUBSTITUTE(SUBSTITUTE(SUBSTITUTE(SUBSTITUTE(SUBSTITUTE(SUBSTITUTE(SUBSTITUTE(SUBSTITUTE(SUBSTITUTE(SUBSTITUTE(SUBSTITUTE(SUBSTITUTE(SUBSTITUTE(UPPER(TRIM($DZ671)),"0",""),"1",""),"2",""),"3",""),"4",""),"5",""),"6",""),"7",""),"8",""),"9",""),".",""),"+",""),"-",""),"E","")="",LEN(SUBSTITUTE(SUBSTITUTE(MID(UPPER(TRIM($DZ671)),1+OR(LEFT(UPPER(TRIM($DZ671)),1)="+",LEFT(UPPER(TRIM($DZ671)),1)="-"),999),"E+","E"),"E-","E"))=LEN(SUBSTITUTE(SUBSTITUTE(SUBSTITUTE(SUBSTITUTE(MID(UPPER(TRIM($DZ671)),1+OR(LEFT(UPPER(TRIM($DZ671)),1)="+",LEFT(UPPER(TRIM($DZ671)),1)="-"),999),"E+","E"),"E-","E"),"+",""),"-","")),LEN(UPPER(TRIM($DZ671)))-LEN(SUBSTITUTE(UPPER(TRIM($DZ671)),"E",""))&lt;2,LEN(UPPER(TRIM($DZ671)))-LEN(SUBSTITUTE(UPPER(TRIM($DZ671)),".",""))&lt;2,IFERROR(FIND(".",UPPER(TRIM($DZ671))),0)&lt;IFERROR(FIND("E",UPPER(TRIM($DZ671))),999)),ISNUMBER(VALUE(TRIM($DZ671)))),VALUE(TRIM($DZ671)),"")))),""))</f>
        <v/>
      </c>
      <c r="EB671">
        <f>IF($DM671=0,"",IF($L$18=0,"",IFERROR(IF(UPPER(TRIM(SUBSTITUTE(SUBSTITUTE(SUBSTITUTE(SUBSTITUTE(INDEX(PASTE_ALL,$DF671,$L$18)," "," "),CHAR(9)," "),CHAR(10)," "),CHAR(13)," ")))="READY","Ready",IF(UPPER(TRIM(SUBSTITUTE(SUBSTITUTE(SUBSTITUTE(SUBSTITUTE(INDEX(PASTE_ALL,$DF671,$L$18)," "," "),CHAR(9)," "),CHAR(10)," "),CHAR(13)," ")))="PM","PM",IF(OR(UPPER(TRIM(SUBSTITUTE(SUBSTITUTE(SUBSTITUTE(SUBSTITUTE(INDEX(PASTE_ALL,$DF671,$L$18)," "," "),CHAR(9)," "),CHAR(10)," "),CHAR(13)," ")))="OT",UPPER(TRIM(SUBSTITUTE(SUBSTITUTE(SUBSTITUTE(SUBSTITUTE(INDEX(PASTE_ALL,$DF671,$L$18)," "," "),CHAR(9)," "),CHAR(10)," "),CHAR(13)," ")))="OVERTIME",UPPER(TRIM(SUBSTITUTE(SUBSTITUTE(SUBSTITUTE(SUBSTITUTE(INDEX(PASTE_ALL,$DF671,$L$18)," "," "),CHAR(9)," "),CHAR(10)," "),CHAR(13)," ")))="TRIAL"),"OT",TRIM(SUBSTITUTE(SUBSTITUTE(SUBSTITUTE(SUBSTITUTE(INDEX(PASTE_ALL,$DF671,$L$18)," "," "),CHAR(9)," "),CHAR(10)," "),CHAR(13)," "))))),"")))</f>
        <v/>
      </c>
      <c r="EC671">
        <f>IF($DM671=0,"",IF($L$19=0,"",IFERROR(IF(ISNUMBER(INDEX(PASTE_ALL,$DF671,$L$19)),INDEX(PASTE_ALL,$DF671,$L$19),TRIM(SUBSTITUTE(SUBSTITUTE(SUBSTITUTE(SUBSTITUTE(INDEX(PASTE_ALL,$DF671,$L$19)," "," "),CHAR(9)," "),CHAR(10)," "),CHAR(13)," "))),"")))</f>
        <v/>
      </c>
      <c r="ED671">
        <f>IF($DM671=0,"",MATCH(1,INDEX(EXACT($DH$5:DH671,$DH671)*$DM$5:DM671,0),0))</f>
        <v/>
      </c>
      <c r="EE671">
        <f>IF($DM671=0,0,IF($ED671=$DE671,1,0))</f>
        <v/>
      </c>
      <c r="EF671">
        <f>EF670+$EE671</f>
        <v/>
      </c>
      <c r="EG671">
        <f>IF($DM671=0,"",INDEX($EF$5:$EF$1003,$ED671))</f>
        <v/>
      </c>
      <c r="EH671">
        <f>IF($DM671=0,"",IF($DO671&lt;&gt;"","",IFERROR(LOOKUP(2,1/(($EG$4:EG670=$EG671)*($DO$4:DO670&lt;&gt;"")),$DO$4:DO670),"")))</f>
        <v/>
      </c>
      <c r="EI671">
        <f>IF($DM671=0,"",IF($DO671&lt;&gt;"",$DO671,$EH671))</f>
        <v/>
      </c>
      <c r="EJ671">
        <f>IF($DM671=0,"",IF($EI671="",0,IF(OR(ISNUMBER($EI671),AND(AND(SUBSTITUTE(SUBSTITUTE(SUBSTITUTE(SUBSTITUTE(SUBSTITUTE(SUBSTITUTE(SUBSTITUTE(SUBSTITUTE(SUBSTITUTE(SUBSTITUTE(SUBSTITUTE(SUBSTITUTE(SUBSTITUTE(SUBSTITUTE(UPPER($EI671),"0",""),"1",""),"2",""),"3",""),"4",""),"5",""),"6",""),"7",""),"8",""),"9",""),".",""),"+",""),"-",""),"E","")="",LEN(SUBSTITUTE(SUBSTITUTE(MID(UPPER($EI671),1+OR(LEFT(UPPER($EI671),1)="+",LEFT(UPPER($EI671),1)="-"),999),"E+","E"),"E-","E"))=LEN(SUBSTITUTE(SUBSTITUTE(SUBSTITUTE(SUBSTITUTE(MID(UPPER($EI671),1+OR(LEFT(UPPER($EI671),1)="+",LEFT(UPPER($EI671),1)="-"),999),"E+","E"),"E-","E"),"+",""),"-","")),LEN(UPPER($EI671))-LEN(SUBSTITUTE(UPPER($EI671),"E",""))&lt;2,LEN(UPPER($EI671))-LEN(SUBSTITUTE(UPPER($EI671),".",""))&lt;2,IFERROR(FIND(".",UPPER($EI671)),0)&lt;IFERROR(FIND("E",UPPER($EI671)),999)),ISNUMBER(VALUE($EI671)))),1,2)))</f>
        <v/>
      </c>
      <c r="EK671">
        <f>IF($DM671=0,"",IF($EJ671=1,IF(ISNUMBER($EI671),$EI671,VALUE($EI671)),IF($EJ671=2,$DE671,0)))</f>
        <v/>
      </c>
      <c r="EL671">
        <f>IF($DM671=0,"",COUNTIF($EG$5:$EG$1003,"&lt;"&amp;$EG671)+SUMPRODUCT(($EG$5:$EG$1003=$EG671)*(($EJ$5:$EJ$1003&lt;$EJ671)+($EJ$5:$EJ$1003=$EJ671)*(($EK$5:$EK$1003&lt;$EK671)+($EK$5:$EK$1003=$EK671)*($DE$5:$DE$1003&lt;$DE671))))+1)</f>
        <v/>
      </c>
      <c r="EM671">
        <f>IF($DM671=0,"",$EL671+$EG671-1)</f>
        <v/>
      </c>
      <c r="EN671">
        <f>IF($DM671=0,0,IFERROR(MATCH(1,INDEX(--(TRIM(SUBSTITUTE(SUBSTITUTE(SUBSTITUTE(SUBSTITUTE(LINES_NAME&amp;""," "," "),CHAR(9)," "),CHAR(10)," "),CHAR(13)," "))=$DH671),0),0),0))</f>
        <v/>
      </c>
      <c r="EO671">
        <f>IF($EN671=0,0,IF(OR(UPPER(TRIM(INDEX(LINES_SCHEDULED,$EN671)&amp;""))="YES",UPPER(TRIM(INDEX(LINES_SCHEDULED,$EN671)&amp;""))="Y",UPPER(TRIM(INDEX(LINES_SCHEDULED,$EN671)&amp;""))="X"),1,0))</f>
        <v/>
      </c>
      <c r="EP671">
        <f>IF($DM671=0,"",IF(COUNTIFS($EG$5:$EG$1003,$EG671,$EB$5:$EB$1003,"Ready")&gt;0,"READY",IF(COUNTIFS($EG$5:$EG$1003,$EG671,$EB$5:$EB$1003,"PM")&gt;0,"PM",IF(COUNTIFS($EG$5:$EG$1003,$EG671,$EB$5:$EB$1003,"OT")&gt;0,"OT",""))))</f>
        <v/>
      </c>
      <c r="EQ671">
        <f>IF($EN671=0,"",UPPER(TRIM(INDEX(LINES_STATUS,$EN671)&amp;"")))</f>
        <v/>
      </c>
      <c r="ER671">
        <f>IF($DM671=0,"",IF(OR($EQ671="READY",$EQ671="PM",$EQ671="OT"),$EQ671,$EP671))</f>
        <v/>
      </c>
      <c r="ES671">
        <f>IF($DM671=0,"",IF(AND($DV671&lt;&gt;"",UPPER($DV671)&lt;&gt;"N"),"allergen",IF(ISNUMBER(SEARCH("oil",$DQ671)),"oil",IF(OR(EXACT($DS671,"A662"),EXACT($DS671,"A624")),"bulk",""))))</f>
        <v/>
      </c>
      <c r="ET671">
        <f>IF($DM671=0,"",IF(OR($EA671="",$EA671=0),"",$EA671/100))</f>
        <v/>
      </c>
      <c r="EU671">
        <f>IF(OR($ET671="",$DY671=""),"",INT($DY671*(1-$ET671)+0.5))</f>
        <v/>
      </c>
      <c r="EW671" t="n">
        <v>667</v>
      </c>
      <c r="EX671">
        <f>IFERROR(MATCH($EW671,$EM$5:$EM$1003,0),0)</f>
        <v/>
      </c>
      <c r="EY671">
        <f>IF($EW671&gt;$B$12,"",IF($EX671&gt;0,"row","spacer"))</f>
        <v/>
      </c>
      <c r="EZ671">
        <f>IF(AND($EY671="row",$EY670&lt;&gt;"row"),1,0)</f>
        <v/>
      </c>
      <c r="FA671">
        <f>IF(AND($EY671="row",$EY672&lt;&gt;"row"),1,0)</f>
        <v/>
      </c>
      <c r="FB671">
        <f>IF($EZ671=1,IFERROR(IF(ISNUMBER(INDEX(PASTE_ALL,INDEX($DF$5:$DF$1003,$EX671),$B$37)),INDEX(PASTE_ALL,INDEX($DF$5:$DF$1003,$EX671),$B$37),INDEX($DH$5:$DH$1003,$EX671)),INDEX($DH$5:$DH$1003,$EX671)),"")</f>
        <v/>
      </c>
      <c r="FC671">
        <f>IF($EY671="row",INDEX($ER$5:$ER$1003,$EX671),"")</f>
        <v/>
      </c>
      <c r="FD671">
        <f>IF($EY671="row",INDEX($DN$5:$DN$1003,$EX671),"")</f>
        <v/>
      </c>
      <c r="FE671">
        <f>IF($EY671="row",INDEX($DO$5:$DO$1003,$EX671),"")</f>
        <v/>
      </c>
      <c r="FF671">
        <f>IF($EY671="row",INDEX($DP$5:$DP$1003,$EX671),"")</f>
        <v/>
      </c>
      <c r="FG671">
        <f>IF($EY671="row",INDEX($DQ$5:$DQ$1003,$EX671),"")</f>
        <v/>
      </c>
      <c r="FH671">
        <f>IF($EY671="row",INDEX($DR$5:$DR$1003,$EX671),"")</f>
        <v/>
      </c>
      <c r="FI671">
        <f>IF($EY671="row",INDEX($DS$5:$DS$1003,$EX671),"")</f>
        <v/>
      </c>
      <c r="FJ671">
        <f>IF($EY671="row",INDEX($DT$5:$DT$1003,$EX671),"")</f>
        <v/>
      </c>
      <c r="FK671">
        <f>IF($EY671="row",INDEX($DU$5:$DU$1003,$EX671),"")</f>
        <v/>
      </c>
      <c r="FL671">
        <f>IF($EY671="row",INDEX($DV$5:$DV$1003,$EX671),"")</f>
        <v/>
      </c>
      <c r="FM671">
        <f>IF($EY671="row",INDEX($DW$5:$DW$1003,$EX671),"")</f>
        <v/>
      </c>
      <c r="FN671">
        <f>IF($EY671="row",INDEX($DY$5:$DY$1003,$EX671),"")</f>
        <v/>
      </c>
      <c r="FO671">
        <f>IF($EY671="row",INDEX($EA$5:$EA$1003,$EX671),"")</f>
        <v/>
      </c>
      <c r="FP671">
        <f>IF($EY671="row",INDEX($EC$5:$EC$1003,$EX671),"")</f>
        <v/>
      </c>
      <c r="FQ671">
        <f>IF($EY671="row",INDEX($ET$5:$ET$1003,$EX671),"")</f>
        <v/>
      </c>
      <c r="FR671">
        <f>IF($EY671="row",INDEX($EU$5:$EU$1003,$EX671),"")</f>
        <v/>
      </c>
      <c r="FS671">
        <f>IF(AND($EY671="row",$EY670="row"),IF(OR(INDEX($DT$5:$DT$1003,$EX670)="",INDEX($DT$5:$DT$1003,$EX671)=""),"",IF(NOT(EXACT(INDEX($DT$5:$DT$1003,$EX670),INDEX($DT$5:$DT$1003,$EX671))),"S4",IF(NOT(EXACT(INDEX($DS$5:$DS$1003,$EX670),INDEX($DS$5:$DS$1003,$EX671))),"S3",IF(NOT(EXACT(INDEX($DR$5:$DR$1003,$EX670),INDEX($DR$5:$DR$1003,$EX671))),"S1 Count Change","S1")))),"")</f>
        <v/>
      </c>
      <c r="FT671">
        <f>IF($EY671="row",INDEX($ES$5:$ES$1003,$EX671),"")</f>
        <v/>
      </c>
      <c r="FU671">
        <f>IF($EY671="row",INDEX($EO$5:$EO$1003,$EX671),0)</f>
        <v/>
      </c>
      <c r="FV671">
        <f>IF($FS671="S1 Count Change",1,0)</f>
        <v/>
      </c>
    </row>
    <row r="672">
      <c r="DA672" t="n">
        <v>668</v>
      </c>
      <c r="DB672">
        <f>IF($B$37=0,"",IFERROR(TRIM(SUBSTITUTE(SUBSTITUTE(SUBSTITUTE(SUBSTITUTE(INDEX(PASTE_ALL,668,$B$37)," "," "),CHAR(9)," "),CHAR(10)," "),CHAR(13)," ")),""))</f>
        <v/>
      </c>
      <c r="DC672">
        <f>IF(AND(668&gt;HEADER_ROW,UPPER(DB672)="LEGEND"),1,0)</f>
        <v/>
      </c>
      <c r="DE672" t="n">
        <v>668</v>
      </c>
      <c r="DF672">
        <f>HEADER_ROW+$DE672</f>
        <v/>
      </c>
      <c r="DG672">
        <f>IF(AND($DF672&lt;=1000,$DF672&lt;$B$8),1,0)</f>
        <v/>
      </c>
      <c r="DH672">
        <f>IF($DG672=1,IFERROR(INDEX($DB$5:$DB$1004,$DF672),""),"")</f>
        <v/>
      </c>
      <c r="DI672">
        <f>IF(AND($DG672=1,$DH672&lt;&gt;""),IFERROR(SUBSTITUTE(SUBSTITUTE(TRIM(SUBSTITUTE(SUBSTITUTE(SUBSTITUTE(SUBSTITUTE(IFERROR(INDEX(PASTE_ALL,$DF672,1)&amp;"","")&amp;"␟"&amp;IFERROR(INDEX(PASTE_ALL,$DF672,2)&amp;"","")&amp;"␟"&amp;IFERROR(INDEX(PASTE_ALL,$DF672,3)&amp;"","")&amp;"␟"&amp;IFERROR(INDEX(PASTE_ALL,$DF672,4)&amp;"","")&amp;"␟"&amp;IFERROR(INDEX(PASTE_ALL,$DF672,5)&amp;"","")&amp;"␟"&amp;IFERROR(INDEX(PASTE_ALL,$DF672,6)&amp;"","")&amp;"␟"&amp;IFERROR(INDEX(PASTE_ALL,$DF672,7)&amp;"","")&amp;"␟"&amp;IFERROR(INDEX(PASTE_ALL,$DF672,8)&amp;"","")&amp;"␟"&amp;IFERROR(INDEX(PASTE_ALL,$DF672,9)&amp;"","")&amp;"␟"&amp;IFERROR(INDEX(PASTE_ALL,$DF672,10)&amp;"","")&amp;"␟"&amp;IFERROR(INDEX(PASTE_ALL,$DF672,11)&amp;"","")&amp;"␟"&amp;IFERROR(INDEX(PASTE_ALL,$DF672,12)&amp;"","")&amp;"␟"&amp;IFERROR(INDEX(PASTE_ALL,$DF672,13)&amp;"","")&amp;"␟"&amp;IFERROR(INDEX(PASTE_ALL,$DF672,14)&amp;"","")&amp;"␟"&amp;IFERROR(INDEX(PASTE_ALL,$DF672,15)&amp;"","")&amp;"␟"&amp;IFERROR(INDEX(PASTE_ALL,$DF672,16)&amp;"","")&amp;"␟"&amp;IFERROR(INDEX(PASTE_ALL,$DF672,17)&amp;"","")&amp;"␟"&amp;IFERROR(INDEX(PASTE_ALL,$DF672,18)&amp;"","")&amp;"␟"&amp;IFERROR(INDEX(PASTE_ALL,$DF672,19)&amp;"","")&amp;"␟"&amp;IFERROR(INDEX(PASTE_ALL,$DF672,20)&amp;"","")&amp;"␟"&amp;IFERROR(INDEX(PASTE_ALL,$DF672,21)&amp;"","")&amp;"␟"&amp;IFERROR(INDEX(PASTE_ALL,$DF672,22)&amp;"","")&amp;"␟"&amp;IFERROR(INDEX(PASTE_ALL,$DF672,23)&amp;"","")&amp;"␟"&amp;IFERROR(INDEX(PASTE_ALL,$DF672,24)&amp;"","")&amp;"␟"&amp;IFERROR(INDEX(PASTE_ALL,$DF672,25)&amp;"","")&amp;"␟"&amp;IFERROR(INDEX(PASTE_ALL,$DF672,26)&amp;"","")&amp;"␟"&amp;IFERROR(INDEX(PASTE_ALL,$DF672,27)&amp;"","")&amp;"␟"&amp;IFERROR(INDEX(PASTE_ALL,$DF672,28)&amp;"","")&amp;"␟"&amp;IFERROR(INDEX(PASTE_ALL,$DF672,29)&amp;"","")&amp;"␟"&amp;IFERROR(INDEX(PASTE_ALL,$DF672,30)&amp;"","")&amp;"␟"&amp;IFERROR(INDEX(PASTE_ALL,$DF672,31)&amp;"","")&amp;"␟"&amp;IFERROR(INDEX(PASTE_ALL,$DF672,32)&amp;"","")&amp;"␟"&amp;IFERROR(INDEX(PASTE_ALL,$DF672,33)&amp;"","")&amp;"␟"&amp;IFERROR(INDEX(PASTE_ALL,$DF672,34)&amp;"","")&amp;"␟"&amp;IFERROR(INDEX(PASTE_ALL,$DF672,35)&amp;"","")&amp;"␟"&amp;IFERROR(INDEX(PASTE_ALL,$DF672,36)&amp;"","")&amp;"␟"&amp;IFERROR(INDEX(PASTE_ALL,$DF672,37)&amp;"","")&amp;"␟"&amp;IFERROR(INDEX(PASTE_ALL,$DF672,38)&amp;"","")&amp;"␟"&amp;IFERROR(INDEX(PASTE_ALL,$DF672,39)&amp;"","")&amp;"␟"&amp;IFERROR(INDEX(PASTE_ALL,$DF672,40)&amp;"","")&amp;"␟"&amp;IFERROR(INDEX(PASTE_ALL,$DF672,41)&amp;"","")&amp;"␟"&amp;IFERROR(INDEX(PASTE_ALL,$DF672,42)&amp;"","")&amp;"␟"&amp;IFERROR(INDEX(PASTE_ALL,$DF672,43)&amp;"","")&amp;"␟"&amp;IFERROR(INDEX(PASTE_ALL,$DF672,44)&amp;"","")&amp;"␟"&amp;IFERROR(INDEX(PASTE_ALL,$DF672,45)&amp;"","")&amp;"␟"&amp;IFERROR(INDEX(PASTE_ALL,$DF672,46)&amp;"","")&amp;"␟"&amp;IFERROR(INDEX(PASTE_ALL,$DF672,47)&amp;"","")&amp;"␟"&amp;IFERROR(INDEX(PASTE_ALL,$DF672,48)&amp;"","")&amp;"␟"&amp;IFERROR(INDEX(PASTE_ALL,$DF672,49)&amp;"","")&amp;"␟"&amp;IFERROR(INDEX(PASTE_ALL,$DF672,50)&amp;"","")&amp;"␟"&amp;IFERROR(INDEX(PASTE_ALL,$DF672,51)&amp;"","")&amp;"␟"&amp;IFERROR(INDEX(PASTE_ALL,$DF672,52)&amp;"","")&amp;"␟"&amp;IFERROR(INDEX(PASTE_ALL,$DF672,53)&amp;"","")&amp;"␟"&amp;IFERROR(INDEX(PASTE_ALL,$DF672,54)&amp;"","")&amp;"␟"&amp;IFERROR(INDEX(PASTE_ALL,$DF672,55)&amp;"","")&amp;"␟"&amp;IFERROR(INDEX(PASTE_ALL,$DF672,56)&amp;"","")&amp;"␟"&amp;IFERROR(INDEX(PASTE_ALL,$DF672,57)&amp;"","")&amp;"␟"&amp;IFERROR(INDEX(PASTE_ALL,$DF672,58)&amp;"","")&amp;"␟"&amp;IFERROR(INDEX(PASTE_ALL,$DF672,59)&amp;"","")&amp;"␟"&amp;IFERROR(INDEX(PASTE_ALL,$DF672,60)&amp;"","")," "," "),CHAR(9)," "),CHAR(10)," "),CHAR(13)," "))," ␟","␟"),"␟ ","␟"),"#"&amp;$DE672),"")</f>
        <v/>
      </c>
      <c r="DJ672">
        <f>IF($DI672="",0,IF(SUMPRODUCT(--EXACT($DI$4:DI671,$DI672))&gt;0,1,0))</f>
        <v/>
      </c>
      <c r="DK672">
        <f>IF(AND($DI672&lt;&gt;"",$DJ672=0),1,0)</f>
        <v/>
      </c>
      <c r="DL672">
        <f>DL671+$DK672</f>
        <v/>
      </c>
      <c r="DM672">
        <f>IF(AND($DK672=1,$DL672&lt;=600),1,0)</f>
        <v/>
      </c>
      <c r="DN672">
        <f>IF($DM672=0,"",IF($L$6=0,"",IFERROR(IF(ISNUMBER(INDEX(PASTE_ALL,$DF672,$L$6)),INDEX(PASTE_ALL,$DF672,$L$6),TRIM(SUBSTITUTE(SUBSTITUTE(SUBSTITUTE(SUBSTITUTE(INDEX(PASTE_ALL,$DF672,$L$6)," "," "),CHAR(9)," "),CHAR(10)," "),CHAR(13)," "))),"")))</f>
        <v/>
      </c>
      <c r="DO672">
        <f>IF($DM672=0,"",IF($L$7=0,"",IFERROR(IF(ISNUMBER(INDEX(PASTE_ALL,$DF672,$L$7)),INDEX(PASTE_ALL,$DF672,$L$7),TRIM(SUBSTITUTE(SUBSTITUTE(SUBSTITUTE(SUBSTITUTE(INDEX(PASTE_ALL,$DF672,$L$7)," "," "),CHAR(9)," "),CHAR(10)," "),CHAR(13)," "))),"")))</f>
        <v/>
      </c>
      <c r="DP672">
        <f>IF($DM672=0,"",IF($L$8=0,"",IFERROR(IF(ISNUMBER(INDEX(PASTE_ALL,$DF672,$L$8)),INDEX(PASTE_ALL,$DF672,$L$8),TRIM(SUBSTITUTE(SUBSTITUTE(SUBSTITUTE(SUBSTITUTE(INDEX(PASTE_ALL,$DF672,$L$8)," "," "),CHAR(9)," "),CHAR(10)," "),CHAR(13)," "))),"")))</f>
        <v/>
      </c>
      <c r="DQ672">
        <f>IF($DM672=0,"",IF($L$9=0,"",IFERROR(IF(ISNUMBER(INDEX(PASTE_ALL,$DF672,$L$9)),INDEX(PASTE_ALL,$DF672,$L$9),TRIM(SUBSTITUTE(SUBSTITUTE(SUBSTITUTE(SUBSTITUTE(INDEX(PASTE_ALL,$DF672,$L$9)," "," "),CHAR(9)," "),CHAR(10)," "),CHAR(13)," "))),"")))</f>
        <v/>
      </c>
      <c r="DR672">
        <f>IF($DM672=0,"",IF($L$10=0,"",IFERROR(IF(ISNUMBER(INDEX(PASTE_ALL,$DF672,$L$10)),INDEX(PASTE_ALL,$DF672,$L$10),TRIM(SUBSTITUTE(SUBSTITUTE(SUBSTITUTE(SUBSTITUTE(INDEX(PASTE_ALL,$DF672,$L$10)," "," "),CHAR(9)," "),CHAR(10)," "),CHAR(13)," "))),"")))</f>
        <v/>
      </c>
      <c r="DS672">
        <f>IF($DM672=0,"",IF($L$11=0,"",IFERROR(IF(ISNUMBER(INDEX(PASTE_ALL,$DF672,$L$11)),INDEX(PASTE_ALL,$DF672,$L$11),TRIM(SUBSTITUTE(SUBSTITUTE(SUBSTITUTE(SUBSTITUTE(INDEX(PASTE_ALL,$DF672,$L$11)," "," "),CHAR(9)," "),CHAR(10)," "),CHAR(13)," "))),"")))</f>
        <v/>
      </c>
      <c r="DT672">
        <f>IF($DM672=0,"",IF($L$12=0,"",IFERROR(IF(ISNUMBER(INDEX(PASTE_ALL,$DF672,$L$12)),INDEX(PASTE_ALL,$DF672,$L$12),TRIM(SUBSTITUTE(SUBSTITUTE(SUBSTITUTE(SUBSTITUTE(INDEX(PASTE_ALL,$DF672,$L$12)," "," "),CHAR(9)," "),CHAR(10)," "),CHAR(13)," "))),"")))</f>
        <v/>
      </c>
      <c r="DU672">
        <f>IF($DM672=0,"",IF($L$13=0,"",IFERROR(IF(ISNUMBER(INDEX(PASTE_ALL,$DF672,$L$13)),INDEX(PASTE_ALL,$DF672,$L$13),TRIM(SUBSTITUTE(SUBSTITUTE(SUBSTITUTE(SUBSTITUTE(INDEX(PASTE_ALL,$DF672,$L$13)," "," "),CHAR(9)," "),CHAR(10)," "),CHAR(13)," "))),"")))</f>
        <v/>
      </c>
      <c r="DV672">
        <f>IF($DM672=0,"",IF($L$14=0,"",IFERROR(IF(ISNUMBER(INDEX(PASTE_ALL,$DF672,$L$14)),INDEX(PASTE_ALL,$DF672,$L$14),TRIM(SUBSTITUTE(SUBSTITUTE(SUBSTITUTE(SUBSTITUTE(INDEX(PASTE_ALL,$DF672,$L$14)," "," "),CHAR(9)," "),CHAR(10)," "),CHAR(13)," "))),"")))</f>
        <v/>
      </c>
      <c r="DW672">
        <f>IF($DM672=0,"",IF($L$15=0,"",IFERROR(IF(ISNUMBER(INDEX(PASTE_ALL,$DF672,$L$15)),INDEX(PASTE_ALL,$DF672,$L$15),IF(SUMPRODUCT(--ISNUMBER(FIND({"A","B","C","D","E","F","G","H","I","J","K","L","M","N","O","P","Q","R","S","T","U","V","W","X","Y","Z","0","1","2","3","4","5","6","7","8","9"},UPPER(TRIM(SUBSTITUTE(SUBSTITUTE(SUBSTITUTE(SUBSTITUTE(INDEX(PASTE_ALL,$DF672,$L$15)," "," "),CHAR(9)," "),CHAR(10)," "),CHAR(13)," "))))))&gt;0,TRIM(SUBSTITUTE(SUBSTITUTE(SUBSTITUTE(SUBSTITUTE(INDEX(PASTE_ALL,$DF672,$L$15)," "," "),CHAR(9)," "),CHAR(10)," "),CHAR(13)," ")),"")),"")))</f>
        <v/>
      </c>
      <c r="DX672">
        <f>IF($DM672=0,"",IF($L$16=0,"",IFERROR(IF(ISNUMBER(INDEX(PASTE_ALL,$DF672,$L$16)),INDEX(PASTE_ALL,$DF672,$L$16),SUBSTITUTE(SUBSTITUTE(TRIM(SUBSTITUTE(SUBSTITUTE(SUBSTITUTE(SUBSTITUTE(INDEX(PASTE_ALL,$DF672,$L$16)," "," "),CHAR(9)," "),CHAR(10)," "),CHAR(13)," ")),",",""),"%","")),"")))</f>
        <v/>
      </c>
      <c r="DY672">
        <f>IF($DM672=0,"",IFERROR(IF(ISNUMBER($DX672),$DX672,IF($DX672="","",IF(TRIM($DX672)="",0,IF(AND(AND(SUBSTITUTE(SUBSTITUTE(SUBSTITUTE(SUBSTITUTE(SUBSTITUTE(SUBSTITUTE(SUBSTITUTE(SUBSTITUTE(SUBSTITUTE(SUBSTITUTE(SUBSTITUTE(SUBSTITUTE(SUBSTITUTE(SUBSTITUTE(UPPER(TRIM($DX672)),"0",""),"1",""),"2",""),"3",""),"4",""),"5",""),"6",""),"7",""),"8",""),"9",""),".",""),"+",""),"-",""),"E","")="",LEN(SUBSTITUTE(SUBSTITUTE(MID(UPPER(TRIM($DX672)),1+OR(LEFT(UPPER(TRIM($DX672)),1)="+",LEFT(UPPER(TRIM($DX672)),1)="-"),999),"E+","E"),"E-","E"))=LEN(SUBSTITUTE(SUBSTITUTE(SUBSTITUTE(SUBSTITUTE(MID(UPPER(TRIM($DX672)),1+OR(LEFT(UPPER(TRIM($DX672)),1)="+",LEFT(UPPER(TRIM($DX672)),1)="-"),999),"E+","E"),"E-","E"),"+",""),"-","")),LEN(UPPER(TRIM($DX672)))-LEN(SUBSTITUTE(UPPER(TRIM($DX672)),"E",""))&lt;2,LEN(UPPER(TRIM($DX672)))-LEN(SUBSTITUTE(UPPER(TRIM($DX672)),".",""))&lt;2,IFERROR(FIND(".",UPPER(TRIM($DX672))),0)&lt;IFERROR(FIND("E",UPPER(TRIM($DX672))),999)),ISNUMBER(VALUE(TRIM($DX672)))),VALUE(TRIM($DX672)),"")))),""))</f>
        <v/>
      </c>
      <c r="DZ672">
        <f>IF($DM672=0,"",IF($L$17=0,"",IFERROR(IF(ISNUMBER(INDEX(PASTE_ALL,$DF672,$L$17)),INDEX(PASTE_ALL,$DF672,$L$17),SUBSTITUTE(SUBSTITUTE(TRIM(SUBSTITUTE(SUBSTITUTE(SUBSTITUTE(SUBSTITUTE(INDEX(PASTE_ALL,$DF672,$L$17)," "," "),CHAR(9)," "),CHAR(10)," "),CHAR(13)," ")),",",""),"%","")),"")))</f>
        <v/>
      </c>
      <c r="EA672">
        <f>IF($DM672=0,"",IFERROR(IF(ISNUMBER($DZ672),$DZ672,IF($DZ672="","",IF(TRIM($DZ672)="",0,IF(AND(AND(SUBSTITUTE(SUBSTITUTE(SUBSTITUTE(SUBSTITUTE(SUBSTITUTE(SUBSTITUTE(SUBSTITUTE(SUBSTITUTE(SUBSTITUTE(SUBSTITUTE(SUBSTITUTE(SUBSTITUTE(SUBSTITUTE(SUBSTITUTE(UPPER(TRIM($DZ672)),"0",""),"1",""),"2",""),"3",""),"4",""),"5",""),"6",""),"7",""),"8",""),"9",""),".",""),"+",""),"-",""),"E","")="",LEN(SUBSTITUTE(SUBSTITUTE(MID(UPPER(TRIM($DZ672)),1+OR(LEFT(UPPER(TRIM($DZ672)),1)="+",LEFT(UPPER(TRIM($DZ672)),1)="-"),999),"E+","E"),"E-","E"))=LEN(SUBSTITUTE(SUBSTITUTE(SUBSTITUTE(SUBSTITUTE(MID(UPPER(TRIM($DZ672)),1+OR(LEFT(UPPER(TRIM($DZ672)),1)="+",LEFT(UPPER(TRIM($DZ672)),1)="-"),999),"E+","E"),"E-","E"),"+",""),"-","")),LEN(UPPER(TRIM($DZ672)))-LEN(SUBSTITUTE(UPPER(TRIM($DZ672)),"E",""))&lt;2,LEN(UPPER(TRIM($DZ672)))-LEN(SUBSTITUTE(UPPER(TRIM($DZ672)),".",""))&lt;2,IFERROR(FIND(".",UPPER(TRIM($DZ672))),0)&lt;IFERROR(FIND("E",UPPER(TRIM($DZ672))),999)),ISNUMBER(VALUE(TRIM($DZ672)))),VALUE(TRIM($DZ672)),"")))),""))</f>
        <v/>
      </c>
      <c r="EB672">
        <f>IF($DM672=0,"",IF($L$18=0,"",IFERROR(IF(UPPER(TRIM(SUBSTITUTE(SUBSTITUTE(SUBSTITUTE(SUBSTITUTE(INDEX(PASTE_ALL,$DF672,$L$18)," "," "),CHAR(9)," "),CHAR(10)," "),CHAR(13)," ")))="READY","Ready",IF(UPPER(TRIM(SUBSTITUTE(SUBSTITUTE(SUBSTITUTE(SUBSTITUTE(INDEX(PASTE_ALL,$DF672,$L$18)," "," "),CHAR(9)," "),CHAR(10)," "),CHAR(13)," ")))="PM","PM",IF(OR(UPPER(TRIM(SUBSTITUTE(SUBSTITUTE(SUBSTITUTE(SUBSTITUTE(INDEX(PASTE_ALL,$DF672,$L$18)," "," "),CHAR(9)," "),CHAR(10)," "),CHAR(13)," ")))="OT",UPPER(TRIM(SUBSTITUTE(SUBSTITUTE(SUBSTITUTE(SUBSTITUTE(INDEX(PASTE_ALL,$DF672,$L$18)," "," "),CHAR(9)," "),CHAR(10)," "),CHAR(13)," ")))="OVERTIME",UPPER(TRIM(SUBSTITUTE(SUBSTITUTE(SUBSTITUTE(SUBSTITUTE(INDEX(PASTE_ALL,$DF672,$L$18)," "," "),CHAR(9)," "),CHAR(10)," "),CHAR(13)," ")))="TRIAL"),"OT",TRIM(SUBSTITUTE(SUBSTITUTE(SUBSTITUTE(SUBSTITUTE(INDEX(PASTE_ALL,$DF672,$L$18)," "," "),CHAR(9)," "),CHAR(10)," "),CHAR(13)," "))))),"")))</f>
        <v/>
      </c>
      <c r="EC672">
        <f>IF($DM672=0,"",IF($L$19=0,"",IFERROR(IF(ISNUMBER(INDEX(PASTE_ALL,$DF672,$L$19)),INDEX(PASTE_ALL,$DF672,$L$19),TRIM(SUBSTITUTE(SUBSTITUTE(SUBSTITUTE(SUBSTITUTE(INDEX(PASTE_ALL,$DF672,$L$19)," "," "),CHAR(9)," "),CHAR(10)," "),CHAR(13)," "))),"")))</f>
        <v/>
      </c>
      <c r="ED672">
        <f>IF($DM672=0,"",MATCH(1,INDEX(EXACT($DH$5:DH672,$DH672)*$DM$5:DM672,0),0))</f>
        <v/>
      </c>
      <c r="EE672">
        <f>IF($DM672=0,0,IF($ED672=$DE672,1,0))</f>
        <v/>
      </c>
      <c r="EF672">
        <f>EF671+$EE672</f>
        <v/>
      </c>
      <c r="EG672">
        <f>IF($DM672=0,"",INDEX($EF$5:$EF$1003,$ED672))</f>
        <v/>
      </c>
      <c r="EH672">
        <f>IF($DM672=0,"",IF($DO672&lt;&gt;"","",IFERROR(LOOKUP(2,1/(($EG$4:EG671=$EG672)*($DO$4:DO671&lt;&gt;"")),$DO$4:DO671),"")))</f>
        <v/>
      </c>
      <c r="EI672">
        <f>IF($DM672=0,"",IF($DO672&lt;&gt;"",$DO672,$EH672))</f>
        <v/>
      </c>
      <c r="EJ672">
        <f>IF($DM672=0,"",IF($EI672="",0,IF(OR(ISNUMBER($EI672),AND(AND(SUBSTITUTE(SUBSTITUTE(SUBSTITUTE(SUBSTITUTE(SUBSTITUTE(SUBSTITUTE(SUBSTITUTE(SUBSTITUTE(SUBSTITUTE(SUBSTITUTE(SUBSTITUTE(SUBSTITUTE(SUBSTITUTE(SUBSTITUTE(UPPER($EI672),"0",""),"1",""),"2",""),"3",""),"4",""),"5",""),"6",""),"7",""),"8",""),"9",""),".",""),"+",""),"-",""),"E","")="",LEN(SUBSTITUTE(SUBSTITUTE(MID(UPPER($EI672),1+OR(LEFT(UPPER($EI672),1)="+",LEFT(UPPER($EI672),1)="-"),999),"E+","E"),"E-","E"))=LEN(SUBSTITUTE(SUBSTITUTE(SUBSTITUTE(SUBSTITUTE(MID(UPPER($EI672),1+OR(LEFT(UPPER($EI672),1)="+",LEFT(UPPER($EI672),1)="-"),999),"E+","E"),"E-","E"),"+",""),"-","")),LEN(UPPER($EI672))-LEN(SUBSTITUTE(UPPER($EI672),"E",""))&lt;2,LEN(UPPER($EI672))-LEN(SUBSTITUTE(UPPER($EI672),".",""))&lt;2,IFERROR(FIND(".",UPPER($EI672)),0)&lt;IFERROR(FIND("E",UPPER($EI672)),999)),ISNUMBER(VALUE($EI672)))),1,2)))</f>
        <v/>
      </c>
      <c r="EK672">
        <f>IF($DM672=0,"",IF($EJ672=1,IF(ISNUMBER($EI672),$EI672,VALUE($EI672)),IF($EJ672=2,$DE672,0)))</f>
        <v/>
      </c>
      <c r="EL672">
        <f>IF($DM672=0,"",COUNTIF($EG$5:$EG$1003,"&lt;"&amp;$EG672)+SUMPRODUCT(($EG$5:$EG$1003=$EG672)*(($EJ$5:$EJ$1003&lt;$EJ672)+($EJ$5:$EJ$1003=$EJ672)*(($EK$5:$EK$1003&lt;$EK672)+($EK$5:$EK$1003=$EK672)*($DE$5:$DE$1003&lt;$DE672))))+1)</f>
        <v/>
      </c>
      <c r="EM672">
        <f>IF($DM672=0,"",$EL672+$EG672-1)</f>
        <v/>
      </c>
      <c r="EN672">
        <f>IF($DM672=0,0,IFERROR(MATCH(1,INDEX(--(TRIM(SUBSTITUTE(SUBSTITUTE(SUBSTITUTE(SUBSTITUTE(LINES_NAME&amp;""," "," "),CHAR(9)," "),CHAR(10)," "),CHAR(13)," "))=$DH672),0),0),0))</f>
        <v/>
      </c>
      <c r="EO672">
        <f>IF($EN672=0,0,IF(OR(UPPER(TRIM(INDEX(LINES_SCHEDULED,$EN672)&amp;""))="YES",UPPER(TRIM(INDEX(LINES_SCHEDULED,$EN672)&amp;""))="Y",UPPER(TRIM(INDEX(LINES_SCHEDULED,$EN672)&amp;""))="X"),1,0))</f>
        <v/>
      </c>
      <c r="EP672">
        <f>IF($DM672=0,"",IF(COUNTIFS($EG$5:$EG$1003,$EG672,$EB$5:$EB$1003,"Ready")&gt;0,"READY",IF(COUNTIFS($EG$5:$EG$1003,$EG672,$EB$5:$EB$1003,"PM")&gt;0,"PM",IF(COUNTIFS($EG$5:$EG$1003,$EG672,$EB$5:$EB$1003,"OT")&gt;0,"OT",""))))</f>
        <v/>
      </c>
      <c r="EQ672">
        <f>IF($EN672=0,"",UPPER(TRIM(INDEX(LINES_STATUS,$EN672)&amp;"")))</f>
        <v/>
      </c>
      <c r="ER672">
        <f>IF($DM672=0,"",IF(OR($EQ672="READY",$EQ672="PM",$EQ672="OT"),$EQ672,$EP672))</f>
        <v/>
      </c>
      <c r="ES672">
        <f>IF($DM672=0,"",IF(AND($DV672&lt;&gt;"",UPPER($DV672)&lt;&gt;"N"),"allergen",IF(ISNUMBER(SEARCH("oil",$DQ672)),"oil",IF(OR(EXACT($DS672,"A662"),EXACT($DS672,"A624")),"bulk",""))))</f>
        <v/>
      </c>
      <c r="ET672">
        <f>IF($DM672=0,"",IF(OR($EA672="",$EA672=0),"",$EA672/100))</f>
        <v/>
      </c>
      <c r="EU672">
        <f>IF(OR($ET672="",$DY672=""),"",INT($DY672*(1-$ET672)+0.5))</f>
        <v/>
      </c>
      <c r="EW672" t="n">
        <v>668</v>
      </c>
      <c r="EX672">
        <f>IFERROR(MATCH($EW672,$EM$5:$EM$1003,0),0)</f>
        <v/>
      </c>
      <c r="EY672">
        <f>IF($EW672&gt;$B$12,"",IF($EX672&gt;0,"row","spacer"))</f>
        <v/>
      </c>
      <c r="EZ672">
        <f>IF(AND($EY672="row",$EY671&lt;&gt;"row"),1,0)</f>
        <v/>
      </c>
      <c r="FA672">
        <f>IF(AND($EY672="row",$EY673&lt;&gt;"row"),1,0)</f>
        <v/>
      </c>
      <c r="FB672">
        <f>IF($EZ672=1,IFERROR(IF(ISNUMBER(INDEX(PASTE_ALL,INDEX($DF$5:$DF$1003,$EX672),$B$37)),INDEX(PASTE_ALL,INDEX($DF$5:$DF$1003,$EX672),$B$37),INDEX($DH$5:$DH$1003,$EX672)),INDEX($DH$5:$DH$1003,$EX672)),"")</f>
        <v/>
      </c>
      <c r="FC672">
        <f>IF($EY672="row",INDEX($ER$5:$ER$1003,$EX672),"")</f>
        <v/>
      </c>
      <c r="FD672">
        <f>IF($EY672="row",INDEX($DN$5:$DN$1003,$EX672),"")</f>
        <v/>
      </c>
      <c r="FE672">
        <f>IF($EY672="row",INDEX($DO$5:$DO$1003,$EX672),"")</f>
        <v/>
      </c>
      <c r="FF672">
        <f>IF($EY672="row",INDEX($DP$5:$DP$1003,$EX672),"")</f>
        <v/>
      </c>
      <c r="FG672">
        <f>IF($EY672="row",INDEX($DQ$5:$DQ$1003,$EX672),"")</f>
        <v/>
      </c>
      <c r="FH672">
        <f>IF($EY672="row",INDEX($DR$5:$DR$1003,$EX672),"")</f>
        <v/>
      </c>
      <c r="FI672">
        <f>IF($EY672="row",INDEX($DS$5:$DS$1003,$EX672),"")</f>
        <v/>
      </c>
      <c r="FJ672">
        <f>IF($EY672="row",INDEX($DT$5:$DT$1003,$EX672),"")</f>
        <v/>
      </c>
      <c r="FK672">
        <f>IF($EY672="row",INDEX($DU$5:$DU$1003,$EX672),"")</f>
        <v/>
      </c>
      <c r="FL672">
        <f>IF($EY672="row",INDEX($DV$5:$DV$1003,$EX672),"")</f>
        <v/>
      </c>
      <c r="FM672">
        <f>IF($EY672="row",INDEX($DW$5:$DW$1003,$EX672),"")</f>
        <v/>
      </c>
      <c r="FN672">
        <f>IF($EY672="row",INDEX($DY$5:$DY$1003,$EX672),"")</f>
        <v/>
      </c>
      <c r="FO672">
        <f>IF($EY672="row",INDEX($EA$5:$EA$1003,$EX672),"")</f>
        <v/>
      </c>
      <c r="FP672">
        <f>IF($EY672="row",INDEX($EC$5:$EC$1003,$EX672),"")</f>
        <v/>
      </c>
      <c r="FQ672">
        <f>IF($EY672="row",INDEX($ET$5:$ET$1003,$EX672),"")</f>
        <v/>
      </c>
      <c r="FR672">
        <f>IF($EY672="row",INDEX($EU$5:$EU$1003,$EX672),"")</f>
        <v/>
      </c>
      <c r="FS672">
        <f>IF(AND($EY672="row",$EY671="row"),IF(OR(INDEX($DT$5:$DT$1003,$EX671)="",INDEX($DT$5:$DT$1003,$EX672)=""),"",IF(NOT(EXACT(INDEX($DT$5:$DT$1003,$EX671),INDEX($DT$5:$DT$1003,$EX672))),"S4",IF(NOT(EXACT(INDEX($DS$5:$DS$1003,$EX671),INDEX($DS$5:$DS$1003,$EX672))),"S3",IF(NOT(EXACT(INDEX($DR$5:$DR$1003,$EX671),INDEX($DR$5:$DR$1003,$EX672))),"S1 Count Change","S1")))),"")</f>
        <v/>
      </c>
      <c r="FT672">
        <f>IF($EY672="row",INDEX($ES$5:$ES$1003,$EX672),"")</f>
        <v/>
      </c>
      <c r="FU672">
        <f>IF($EY672="row",INDEX($EO$5:$EO$1003,$EX672),0)</f>
        <v/>
      </c>
      <c r="FV672">
        <f>IF($FS672="S1 Count Change",1,0)</f>
        <v/>
      </c>
    </row>
    <row r="673">
      <c r="DA673" t="n">
        <v>669</v>
      </c>
      <c r="DB673">
        <f>IF($B$37=0,"",IFERROR(TRIM(SUBSTITUTE(SUBSTITUTE(SUBSTITUTE(SUBSTITUTE(INDEX(PASTE_ALL,669,$B$37)," "," "),CHAR(9)," "),CHAR(10)," "),CHAR(13)," ")),""))</f>
        <v/>
      </c>
      <c r="DC673">
        <f>IF(AND(669&gt;HEADER_ROW,UPPER(DB673)="LEGEND"),1,0)</f>
        <v/>
      </c>
      <c r="DE673" t="n">
        <v>669</v>
      </c>
      <c r="DF673">
        <f>HEADER_ROW+$DE673</f>
        <v/>
      </c>
      <c r="DG673">
        <f>IF(AND($DF673&lt;=1000,$DF673&lt;$B$8),1,0)</f>
        <v/>
      </c>
      <c r="DH673">
        <f>IF($DG673=1,IFERROR(INDEX($DB$5:$DB$1004,$DF673),""),"")</f>
        <v/>
      </c>
      <c r="DI673">
        <f>IF(AND($DG673=1,$DH673&lt;&gt;""),IFERROR(SUBSTITUTE(SUBSTITUTE(TRIM(SUBSTITUTE(SUBSTITUTE(SUBSTITUTE(SUBSTITUTE(IFERROR(INDEX(PASTE_ALL,$DF673,1)&amp;"","")&amp;"␟"&amp;IFERROR(INDEX(PASTE_ALL,$DF673,2)&amp;"","")&amp;"␟"&amp;IFERROR(INDEX(PASTE_ALL,$DF673,3)&amp;"","")&amp;"␟"&amp;IFERROR(INDEX(PASTE_ALL,$DF673,4)&amp;"","")&amp;"␟"&amp;IFERROR(INDEX(PASTE_ALL,$DF673,5)&amp;"","")&amp;"␟"&amp;IFERROR(INDEX(PASTE_ALL,$DF673,6)&amp;"","")&amp;"␟"&amp;IFERROR(INDEX(PASTE_ALL,$DF673,7)&amp;"","")&amp;"␟"&amp;IFERROR(INDEX(PASTE_ALL,$DF673,8)&amp;"","")&amp;"␟"&amp;IFERROR(INDEX(PASTE_ALL,$DF673,9)&amp;"","")&amp;"␟"&amp;IFERROR(INDEX(PASTE_ALL,$DF673,10)&amp;"","")&amp;"␟"&amp;IFERROR(INDEX(PASTE_ALL,$DF673,11)&amp;"","")&amp;"␟"&amp;IFERROR(INDEX(PASTE_ALL,$DF673,12)&amp;"","")&amp;"␟"&amp;IFERROR(INDEX(PASTE_ALL,$DF673,13)&amp;"","")&amp;"␟"&amp;IFERROR(INDEX(PASTE_ALL,$DF673,14)&amp;"","")&amp;"␟"&amp;IFERROR(INDEX(PASTE_ALL,$DF673,15)&amp;"","")&amp;"␟"&amp;IFERROR(INDEX(PASTE_ALL,$DF673,16)&amp;"","")&amp;"␟"&amp;IFERROR(INDEX(PASTE_ALL,$DF673,17)&amp;"","")&amp;"␟"&amp;IFERROR(INDEX(PASTE_ALL,$DF673,18)&amp;"","")&amp;"␟"&amp;IFERROR(INDEX(PASTE_ALL,$DF673,19)&amp;"","")&amp;"␟"&amp;IFERROR(INDEX(PASTE_ALL,$DF673,20)&amp;"","")&amp;"␟"&amp;IFERROR(INDEX(PASTE_ALL,$DF673,21)&amp;"","")&amp;"␟"&amp;IFERROR(INDEX(PASTE_ALL,$DF673,22)&amp;"","")&amp;"␟"&amp;IFERROR(INDEX(PASTE_ALL,$DF673,23)&amp;"","")&amp;"␟"&amp;IFERROR(INDEX(PASTE_ALL,$DF673,24)&amp;"","")&amp;"␟"&amp;IFERROR(INDEX(PASTE_ALL,$DF673,25)&amp;"","")&amp;"␟"&amp;IFERROR(INDEX(PASTE_ALL,$DF673,26)&amp;"","")&amp;"␟"&amp;IFERROR(INDEX(PASTE_ALL,$DF673,27)&amp;"","")&amp;"␟"&amp;IFERROR(INDEX(PASTE_ALL,$DF673,28)&amp;"","")&amp;"␟"&amp;IFERROR(INDEX(PASTE_ALL,$DF673,29)&amp;"","")&amp;"␟"&amp;IFERROR(INDEX(PASTE_ALL,$DF673,30)&amp;"","")&amp;"␟"&amp;IFERROR(INDEX(PASTE_ALL,$DF673,31)&amp;"","")&amp;"␟"&amp;IFERROR(INDEX(PASTE_ALL,$DF673,32)&amp;"","")&amp;"␟"&amp;IFERROR(INDEX(PASTE_ALL,$DF673,33)&amp;"","")&amp;"␟"&amp;IFERROR(INDEX(PASTE_ALL,$DF673,34)&amp;"","")&amp;"␟"&amp;IFERROR(INDEX(PASTE_ALL,$DF673,35)&amp;"","")&amp;"␟"&amp;IFERROR(INDEX(PASTE_ALL,$DF673,36)&amp;"","")&amp;"␟"&amp;IFERROR(INDEX(PASTE_ALL,$DF673,37)&amp;"","")&amp;"␟"&amp;IFERROR(INDEX(PASTE_ALL,$DF673,38)&amp;"","")&amp;"␟"&amp;IFERROR(INDEX(PASTE_ALL,$DF673,39)&amp;"","")&amp;"␟"&amp;IFERROR(INDEX(PASTE_ALL,$DF673,40)&amp;"","")&amp;"␟"&amp;IFERROR(INDEX(PASTE_ALL,$DF673,41)&amp;"","")&amp;"␟"&amp;IFERROR(INDEX(PASTE_ALL,$DF673,42)&amp;"","")&amp;"␟"&amp;IFERROR(INDEX(PASTE_ALL,$DF673,43)&amp;"","")&amp;"␟"&amp;IFERROR(INDEX(PASTE_ALL,$DF673,44)&amp;"","")&amp;"␟"&amp;IFERROR(INDEX(PASTE_ALL,$DF673,45)&amp;"","")&amp;"␟"&amp;IFERROR(INDEX(PASTE_ALL,$DF673,46)&amp;"","")&amp;"␟"&amp;IFERROR(INDEX(PASTE_ALL,$DF673,47)&amp;"","")&amp;"␟"&amp;IFERROR(INDEX(PASTE_ALL,$DF673,48)&amp;"","")&amp;"␟"&amp;IFERROR(INDEX(PASTE_ALL,$DF673,49)&amp;"","")&amp;"␟"&amp;IFERROR(INDEX(PASTE_ALL,$DF673,50)&amp;"","")&amp;"␟"&amp;IFERROR(INDEX(PASTE_ALL,$DF673,51)&amp;"","")&amp;"␟"&amp;IFERROR(INDEX(PASTE_ALL,$DF673,52)&amp;"","")&amp;"␟"&amp;IFERROR(INDEX(PASTE_ALL,$DF673,53)&amp;"","")&amp;"␟"&amp;IFERROR(INDEX(PASTE_ALL,$DF673,54)&amp;"","")&amp;"␟"&amp;IFERROR(INDEX(PASTE_ALL,$DF673,55)&amp;"","")&amp;"␟"&amp;IFERROR(INDEX(PASTE_ALL,$DF673,56)&amp;"","")&amp;"␟"&amp;IFERROR(INDEX(PASTE_ALL,$DF673,57)&amp;"","")&amp;"␟"&amp;IFERROR(INDEX(PASTE_ALL,$DF673,58)&amp;"","")&amp;"␟"&amp;IFERROR(INDEX(PASTE_ALL,$DF673,59)&amp;"","")&amp;"␟"&amp;IFERROR(INDEX(PASTE_ALL,$DF673,60)&amp;"","")," "," "),CHAR(9)," "),CHAR(10)," "),CHAR(13)," "))," ␟","␟"),"␟ ","␟"),"#"&amp;$DE673),"")</f>
        <v/>
      </c>
      <c r="DJ673">
        <f>IF($DI673="",0,IF(SUMPRODUCT(--EXACT($DI$4:DI672,$DI673))&gt;0,1,0))</f>
        <v/>
      </c>
      <c r="DK673">
        <f>IF(AND($DI673&lt;&gt;"",$DJ673=0),1,0)</f>
        <v/>
      </c>
      <c r="DL673">
        <f>DL672+$DK673</f>
        <v/>
      </c>
      <c r="DM673">
        <f>IF(AND($DK673=1,$DL673&lt;=600),1,0)</f>
        <v/>
      </c>
      <c r="DN673">
        <f>IF($DM673=0,"",IF($L$6=0,"",IFERROR(IF(ISNUMBER(INDEX(PASTE_ALL,$DF673,$L$6)),INDEX(PASTE_ALL,$DF673,$L$6),TRIM(SUBSTITUTE(SUBSTITUTE(SUBSTITUTE(SUBSTITUTE(INDEX(PASTE_ALL,$DF673,$L$6)," "," "),CHAR(9)," "),CHAR(10)," "),CHAR(13)," "))),"")))</f>
        <v/>
      </c>
      <c r="DO673">
        <f>IF($DM673=0,"",IF($L$7=0,"",IFERROR(IF(ISNUMBER(INDEX(PASTE_ALL,$DF673,$L$7)),INDEX(PASTE_ALL,$DF673,$L$7),TRIM(SUBSTITUTE(SUBSTITUTE(SUBSTITUTE(SUBSTITUTE(INDEX(PASTE_ALL,$DF673,$L$7)," "," "),CHAR(9)," "),CHAR(10)," "),CHAR(13)," "))),"")))</f>
        <v/>
      </c>
      <c r="DP673">
        <f>IF($DM673=0,"",IF($L$8=0,"",IFERROR(IF(ISNUMBER(INDEX(PASTE_ALL,$DF673,$L$8)),INDEX(PASTE_ALL,$DF673,$L$8),TRIM(SUBSTITUTE(SUBSTITUTE(SUBSTITUTE(SUBSTITUTE(INDEX(PASTE_ALL,$DF673,$L$8)," "," "),CHAR(9)," "),CHAR(10)," "),CHAR(13)," "))),"")))</f>
        <v/>
      </c>
      <c r="DQ673">
        <f>IF($DM673=0,"",IF($L$9=0,"",IFERROR(IF(ISNUMBER(INDEX(PASTE_ALL,$DF673,$L$9)),INDEX(PASTE_ALL,$DF673,$L$9),TRIM(SUBSTITUTE(SUBSTITUTE(SUBSTITUTE(SUBSTITUTE(INDEX(PASTE_ALL,$DF673,$L$9)," "," "),CHAR(9)," "),CHAR(10)," "),CHAR(13)," "))),"")))</f>
        <v/>
      </c>
      <c r="DR673">
        <f>IF($DM673=0,"",IF($L$10=0,"",IFERROR(IF(ISNUMBER(INDEX(PASTE_ALL,$DF673,$L$10)),INDEX(PASTE_ALL,$DF673,$L$10),TRIM(SUBSTITUTE(SUBSTITUTE(SUBSTITUTE(SUBSTITUTE(INDEX(PASTE_ALL,$DF673,$L$10)," "," "),CHAR(9)," "),CHAR(10)," "),CHAR(13)," "))),"")))</f>
        <v/>
      </c>
      <c r="DS673">
        <f>IF($DM673=0,"",IF($L$11=0,"",IFERROR(IF(ISNUMBER(INDEX(PASTE_ALL,$DF673,$L$11)),INDEX(PASTE_ALL,$DF673,$L$11),TRIM(SUBSTITUTE(SUBSTITUTE(SUBSTITUTE(SUBSTITUTE(INDEX(PASTE_ALL,$DF673,$L$11)," "," "),CHAR(9)," "),CHAR(10)," "),CHAR(13)," "))),"")))</f>
        <v/>
      </c>
      <c r="DT673">
        <f>IF($DM673=0,"",IF($L$12=0,"",IFERROR(IF(ISNUMBER(INDEX(PASTE_ALL,$DF673,$L$12)),INDEX(PASTE_ALL,$DF673,$L$12),TRIM(SUBSTITUTE(SUBSTITUTE(SUBSTITUTE(SUBSTITUTE(INDEX(PASTE_ALL,$DF673,$L$12)," "," "),CHAR(9)," "),CHAR(10)," "),CHAR(13)," "))),"")))</f>
        <v/>
      </c>
      <c r="DU673">
        <f>IF($DM673=0,"",IF($L$13=0,"",IFERROR(IF(ISNUMBER(INDEX(PASTE_ALL,$DF673,$L$13)),INDEX(PASTE_ALL,$DF673,$L$13),TRIM(SUBSTITUTE(SUBSTITUTE(SUBSTITUTE(SUBSTITUTE(INDEX(PASTE_ALL,$DF673,$L$13)," "," "),CHAR(9)," "),CHAR(10)," "),CHAR(13)," "))),"")))</f>
        <v/>
      </c>
      <c r="DV673">
        <f>IF($DM673=0,"",IF($L$14=0,"",IFERROR(IF(ISNUMBER(INDEX(PASTE_ALL,$DF673,$L$14)),INDEX(PASTE_ALL,$DF673,$L$14),TRIM(SUBSTITUTE(SUBSTITUTE(SUBSTITUTE(SUBSTITUTE(INDEX(PASTE_ALL,$DF673,$L$14)," "," "),CHAR(9)," "),CHAR(10)," "),CHAR(13)," "))),"")))</f>
        <v/>
      </c>
      <c r="DW673">
        <f>IF($DM673=0,"",IF($L$15=0,"",IFERROR(IF(ISNUMBER(INDEX(PASTE_ALL,$DF673,$L$15)),INDEX(PASTE_ALL,$DF673,$L$15),IF(SUMPRODUCT(--ISNUMBER(FIND({"A","B","C","D","E","F","G","H","I","J","K","L","M","N","O","P","Q","R","S","T","U","V","W","X","Y","Z","0","1","2","3","4","5","6","7","8","9"},UPPER(TRIM(SUBSTITUTE(SUBSTITUTE(SUBSTITUTE(SUBSTITUTE(INDEX(PASTE_ALL,$DF673,$L$15)," "," "),CHAR(9)," "),CHAR(10)," "),CHAR(13)," "))))))&gt;0,TRIM(SUBSTITUTE(SUBSTITUTE(SUBSTITUTE(SUBSTITUTE(INDEX(PASTE_ALL,$DF673,$L$15)," "," "),CHAR(9)," "),CHAR(10)," "),CHAR(13)," ")),"")),"")))</f>
        <v/>
      </c>
      <c r="DX673">
        <f>IF($DM673=0,"",IF($L$16=0,"",IFERROR(IF(ISNUMBER(INDEX(PASTE_ALL,$DF673,$L$16)),INDEX(PASTE_ALL,$DF673,$L$16),SUBSTITUTE(SUBSTITUTE(TRIM(SUBSTITUTE(SUBSTITUTE(SUBSTITUTE(SUBSTITUTE(INDEX(PASTE_ALL,$DF673,$L$16)," "," "),CHAR(9)," "),CHAR(10)," "),CHAR(13)," ")),",",""),"%","")),"")))</f>
        <v/>
      </c>
      <c r="DY673">
        <f>IF($DM673=0,"",IFERROR(IF(ISNUMBER($DX673),$DX673,IF($DX673="","",IF(TRIM($DX673)="",0,IF(AND(AND(SUBSTITUTE(SUBSTITUTE(SUBSTITUTE(SUBSTITUTE(SUBSTITUTE(SUBSTITUTE(SUBSTITUTE(SUBSTITUTE(SUBSTITUTE(SUBSTITUTE(SUBSTITUTE(SUBSTITUTE(SUBSTITUTE(SUBSTITUTE(UPPER(TRIM($DX673)),"0",""),"1",""),"2",""),"3",""),"4",""),"5",""),"6",""),"7",""),"8",""),"9",""),".",""),"+",""),"-",""),"E","")="",LEN(SUBSTITUTE(SUBSTITUTE(MID(UPPER(TRIM($DX673)),1+OR(LEFT(UPPER(TRIM($DX673)),1)="+",LEFT(UPPER(TRIM($DX673)),1)="-"),999),"E+","E"),"E-","E"))=LEN(SUBSTITUTE(SUBSTITUTE(SUBSTITUTE(SUBSTITUTE(MID(UPPER(TRIM($DX673)),1+OR(LEFT(UPPER(TRIM($DX673)),1)="+",LEFT(UPPER(TRIM($DX673)),1)="-"),999),"E+","E"),"E-","E"),"+",""),"-","")),LEN(UPPER(TRIM($DX673)))-LEN(SUBSTITUTE(UPPER(TRIM($DX673)),"E",""))&lt;2,LEN(UPPER(TRIM($DX673)))-LEN(SUBSTITUTE(UPPER(TRIM($DX673)),".",""))&lt;2,IFERROR(FIND(".",UPPER(TRIM($DX673))),0)&lt;IFERROR(FIND("E",UPPER(TRIM($DX673))),999)),ISNUMBER(VALUE(TRIM($DX673)))),VALUE(TRIM($DX673)),"")))),""))</f>
        <v/>
      </c>
      <c r="DZ673">
        <f>IF($DM673=0,"",IF($L$17=0,"",IFERROR(IF(ISNUMBER(INDEX(PASTE_ALL,$DF673,$L$17)),INDEX(PASTE_ALL,$DF673,$L$17),SUBSTITUTE(SUBSTITUTE(TRIM(SUBSTITUTE(SUBSTITUTE(SUBSTITUTE(SUBSTITUTE(INDEX(PASTE_ALL,$DF673,$L$17)," "," "),CHAR(9)," "),CHAR(10)," "),CHAR(13)," ")),",",""),"%","")),"")))</f>
        <v/>
      </c>
      <c r="EA673">
        <f>IF($DM673=0,"",IFERROR(IF(ISNUMBER($DZ673),$DZ673,IF($DZ673="","",IF(TRIM($DZ673)="",0,IF(AND(AND(SUBSTITUTE(SUBSTITUTE(SUBSTITUTE(SUBSTITUTE(SUBSTITUTE(SUBSTITUTE(SUBSTITUTE(SUBSTITUTE(SUBSTITUTE(SUBSTITUTE(SUBSTITUTE(SUBSTITUTE(SUBSTITUTE(SUBSTITUTE(UPPER(TRIM($DZ673)),"0",""),"1",""),"2",""),"3",""),"4",""),"5",""),"6",""),"7",""),"8",""),"9",""),".",""),"+",""),"-",""),"E","")="",LEN(SUBSTITUTE(SUBSTITUTE(MID(UPPER(TRIM($DZ673)),1+OR(LEFT(UPPER(TRIM($DZ673)),1)="+",LEFT(UPPER(TRIM($DZ673)),1)="-"),999),"E+","E"),"E-","E"))=LEN(SUBSTITUTE(SUBSTITUTE(SUBSTITUTE(SUBSTITUTE(MID(UPPER(TRIM($DZ673)),1+OR(LEFT(UPPER(TRIM($DZ673)),1)="+",LEFT(UPPER(TRIM($DZ673)),1)="-"),999),"E+","E"),"E-","E"),"+",""),"-","")),LEN(UPPER(TRIM($DZ673)))-LEN(SUBSTITUTE(UPPER(TRIM($DZ673)),"E",""))&lt;2,LEN(UPPER(TRIM($DZ673)))-LEN(SUBSTITUTE(UPPER(TRIM($DZ673)),".",""))&lt;2,IFERROR(FIND(".",UPPER(TRIM($DZ673))),0)&lt;IFERROR(FIND("E",UPPER(TRIM($DZ673))),999)),ISNUMBER(VALUE(TRIM($DZ673)))),VALUE(TRIM($DZ673)),"")))),""))</f>
        <v/>
      </c>
      <c r="EB673">
        <f>IF($DM673=0,"",IF($L$18=0,"",IFERROR(IF(UPPER(TRIM(SUBSTITUTE(SUBSTITUTE(SUBSTITUTE(SUBSTITUTE(INDEX(PASTE_ALL,$DF673,$L$18)," "," "),CHAR(9)," "),CHAR(10)," "),CHAR(13)," ")))="READY","Ready",IF(UPPER(TRIM(SUBSTITUTE(SUBSTITUTE(SUBSTITUTE(SUBSTITUTE(INDEX(PASTE_ALL,$DF673,$L$18)," "," "),CHAR(9)," "),CHAR(10)," "),CHAR(13)," ")))="PM","PM",IF(OR(UPPER(TRIM(SUBSTITUTE(SUBSTITUTE(SUBSTITUTE(SUBSTITUTE(INDEX(PASTE_ALL,$DF673,$L$18)," "," "),CHAR(9)," "),CHAR(10)," "),CHAR(13)," ")))="OT",UPPER(TRIM(SUBSTITUTE(SUBSTITUTE(SUBSTITUTE(SUBSTITUTE(INDEX(PASTE_ALL,$DF673,$L$18)," "," "),CHAR(9)," "),CHAR(10)," "),CHAR(13)," ")))="OVERTIME",UPPER(TRIM(SUBSTITUTE(SUBSTITUTE(SUBSTITUTE(SUBSTITUTE(INDEX(PASTE_ALL,$DF673,$L$18)," "," "),CHAR(9)," "),CHAR(10)," "),CHAR(13)," ")))="TRIAL"),"OT",TRIM(SUBSTITUTE(SUBSTITUTE(SUBSTITUTE(SUBSTITUTE(INDEX(PASTE_ALL,$DF673,$L$18)," "," "),CHAR(9)," "),CHAR(10)," "),CHAR(13)," "))))),"")))</f>
        <v/>
      </c>
      <c r="EC673">
        <f>IF($DM673=0,"",IF($L$19=0,"",IFERROR(IF(ISNUMBER(INDEX(PASTE_ALL,$DF673,$L$19)),INDEX(PASTE_ALL,$DF673,$L$19),TRIM(SUBSTITUTE(SUBSTITUTE(SUBSTITUTE(SUBSTITUTE(INDEX(PASTE_ALL,$DF673,$L$19)," "," "),CHAR(9)," "),CHAR(10)," "),CHAR(13)," "))),"")))</f>
        <v/>
      </c>
      <c r="ED673">
        <f>IF($DM673=0,"",MATCH(1,INDEX(EXACT($DH$5:DH673,$DH673)*$DM$5:DM673,0),0))</f>
        <v/>
      </c>
      <c r="EE673">
        <f>IF($DM673=0,0,IF($ED673=$DE673,1,0))</f>
        <v/>
      </c>
      <c r="EF673">
        <f>EF672+$EE673</f>
        <v/>
      </c>
      <c r="EG673">
        <f>IF($DM673=0,"",INDEX($EF$5:$EF$1003,$ED673))</f>
        <v/>
      </c>
      <c r="EH673">
        <f>IF($DM673=0,"",IF($DO673&lt;&gt;"","",IFERROR(LOOKUP(2,1/(($EG$4:EG672=$EG673)*($DO$4:DO672&lt;&gt;"")),$DO$4:DO672),"")))</f>
        <v/>
      </c>
      <c r="EI673">
        <f>IF($DM673=0,"",IF($DO673&lt;&gt;"",$DO673,$EH673))</f>
        <v/>
      </c>
      <c r="EJ673">
        <f>IF($DM673=0,"",IF($EI673="",0,IF(OR(ISNUMBER($EI673),AND(AND(SUBSTITUTE(SUBSTITUTE(SUBSTITUTE(SUBSTITUTE(SUBSTITUTE(SUBSTITUTE(SUBSTITUTE(SUBSTITUTE(SUBSTITUTE(SUBSTITUTE(SUBSTITUTE(SUBSTITUTE(SUBSTITUTE(SUBSTITUTE(UPPER($EI673),"0",""),"1",""),"2",""),"3",""),"4",""),"5",""),"6",""),"7",""),"8",""),"9",""),".",""),"+",""),"-",""),"E","")="",LEN(SUBSTITUTE(SUBSTITUTE(MID(UPPER($EI673),1+OR(LEFT(UPPER($EI673),1)="+",LEFT(UPPER($EI673),1)="-"),999),"E+","E"),"E-","E"))=LEN(SUBSTITUTE(SUBSTITUTE(SUBSTITUTE(SUBSTITUTE(MID(UPPER($EI673),1+OR(LEFT(UPPER($EI673),1)="+",LEFT(UPPER($EI673),1)="-"),999),"E+","E"),"E-","E"),"+",""),"-","")),LEN(UPPER($EI673))-LEN(SUBSTITUTE(UPPER($EI673),"E",""))&lt;2,LEN(UPPER($EI673))-LEN(SUBSTITUTE(UPPER($EI673),".",""))&lt;2,IFERROR(FIND(".",UPPER($EI673)),0)&lt;IFERROR(FIND("E",UPPER($EI673)),999)),ISNUMBER(VALUE($EI673)))),1,2)))</f>
        <v/>
      </c>
      <c r="EK673">
        <f>IF($DM673=0,"",IF($EJ673=1,IF(ISNUMBER($EI673),$EI673,VALUE($EI673)),IF($EJ673=2,$DE673,0)))</f>
        <v/>
      </c>
      <c r="EL673">
        <f>IF($DM673=0,"",COUNTIF($EG$5:$EG$1003,"&lt;"&amp;$EG673)+SUMPRODUCT(($EG$5:$EG$1003=$EG673)*(($EJ$5:$EJ$1003&lt;$EJ673)+($EJ$5:$EJ$1003=$EJ673)*(($EK$5:$EK$1003&lt;$EK673)+($EK$5:$EK$1003=$EK673)*($DE$5:$DE$1003&lt;$DE673))))+1)</f>
        <v/>
      </c>
      <c r="EM673">
        <f>IF($DM673=0,"",$EL673+$EG673-1)</f>
        <v/>
      </c>
      <c r="EN673">
        <f>IF($DM673=0,0,IFERROR(MATCH(1,INDEX(--(TRIM(SUBSTITUTE(SUBSTITUTE(SUBSTITUTE(SUBSTITUTE(LINES_NAME&amp;""," "," "),CHAR(9)," "),CHAR(10)," "),CHAR(13)," "))=$DH673),0),0),0))</f>
        <v/>
      </c>
      <c r="EO673">
        <f>IF($EN673=0,0,IF(OR(UPPER(TRIM(INDEX(LINES_SCHEDULED,$EN673)&amp;""))="YES",UPPER(TRIM(INDEX(LINES_SCHEDULED,$EN673)&amp;""))="Y",UPPER(TRIM(INDEX(LINES_SCHEDULED,$EN673)&amp;""))="X"),1,0))</f>
        <v/>
      </c>
      <c r="EP673">
        <f>IF($DM673=0,"",IF(COUNTIFS($EG$5:$EG$1003,$EG673,$EB$5:$EB$1003,"Ready")&gt;0,"READY",IF(COUNTIFS($EG$5:$EG$1003,$EG673,$EB$5:$EB$1003,"PM")&gt;0,"PM",IF(COUNTIFS($EG$5:$EG$1003,$EG673,$EB$5:$EB$1003,"OT")&gt;0,"OT",""))))</f>
        <v/>
      </c>
      <c r="EQ673">
        <f>IF($EN673=0,"",UPPER(TRIM(INDEX(LINES_STATUS,$EN673)&amp;"")))</f>
        <v/>
      </c>
      <c r="ER673">
        <f>IF($DM673=0,"",IF(OR($EQ673="READY",$EQ673="PM",$EQ673="OT"),$EQ673,$EP673))</f>
        <v/>
      </c>
      <c r="ES673">
        <f>IF($DM673=0,"",IF(AND($DV673&lt;&gt;"",UPPER($DV673)&lt;&gt;"N"),"allergen",IF(ISNUMBER(SEARCH("oil",$DQ673)),"oil",IF(OR(EXACT($DS673,"A662"),EXACT($DS673,"A624")),"bulk",""))))</f>
        <v/>
      </c>
      <c r="ET673">
        <f>IF($DM673=0,"",IF(OR($EA673="",$EA673=0),"",$EA673/100))</f>
        <v/>
      </c>
      <c r="EU673">
        <f>IF(OR($ET673="",$DY673=""),"",INT($DY673*(1-$ET673)+0.5))</f>
        <v/>
      </c>
      <c r="EW673" t="n">
        <v>669</v>
      </c>
      <c r="EX673">
        <f>IFERROR(MATCH($EW673,$EM$5:$EM$1003,0),0)</f>
        <v/>
      </c>
      <c r="EY673">
        <f>IF($EW673&gt;$B$12,"",IF($EX673&gt;0,"row","spacer"))</f>
        <v/>
      </c>
      <c r="EZ673">
        <f>IF(AND($EY673="row",$EY672&lt;&gt;"row"),1,0)</f>
        <v/>
      </c>
      <c r="FA673">
        <f>IF(AND($EY673="row",$EY674&lt;&gt;"row"),1,0)</f>
        <v/>
      </c>
      <c r="FB673">
        <f>IF($EZ673=1,IFERROR(IF(ISNUMBER(INDEX(PASTE_ALL,INDEX($DF$5:$DF$1003,$EX673),$B$37)),INDEX(PASTE_ALL,INDEX($DF$5:$DF$1003,$EX673),$B$37),INDEX($DH$5:$DH$1003,$EX673)),INDEX($DH$5:$DH$1003,$EX673)),"")</f>
        <v/>
      </c>
      <c r="FC673">
        <f>IF($EY673="row",INDEX($ER$5:$ER$1003,$EX673),"")</f>
        <v/>
      </c>
      <c r="FD673">
        <f>IF($EY673="row",INDEX($DN$5:$DN$1003,$EX673),"")</f>
        <v/>
      </c>
      <c r="FE673">
        <f>IF($EY673="row",INDEX($DO$5:$DO$1003,$EX673),"")</f>
        <v/>
      </c>
      <c r="FF673">
        <f>IF($EY673="row",INDEX($DP$5:$DP$1003,$EX673),"")</f>
        <v/>
      </c>
      <c r="FG673">
        <f>IF($EY673="row",INDEX($DQ$5:$DQ$1003,$EX673),"")</f>
        <v/>
      </c>
      <c r="FH673">
        <f>IF($EY673="row",INDEX($DR$5:$DR$1003,$EX673),"")</f>
        <v/>
      </c>
      <c r="FI673">
        <f>IF($EY673="row",INDEX($DS$5:$DS$1003,$EX673),"")</f>
        <v/>
      </c>
      <c r="FJ673">
        <f>IF($EY673="row",INDEX($DT$5:$DT$1003,$EX673),"")</f>
        <v/>
      </c>
      <c r="FK673">
        <f>IF($EY673="row",INDEX($DU$5:$DU$1003,$EX673),"")</f>
        <v/>
      </c>
      <c r="FL673">
        <f>IF($EY673="row",INDEX($DV$5:$DV$1003,$EX673),"")</f>
        <v/>
      </c>
      <c r="FM673">
        <f>IF($EY673="row",INDEX($DW$5:$DW$1003,$EX673),"")</f>
        <v/>
      </c>
      <c r="FN673">
        <f>IF($EY673="row",INDEX($DY$5:$DY$1003,$EX673),"")</f>
        <v/>
      </c>
      <c r="FO673">
        <f>IF($EY673="row",INDEX($EA$5:$EA$1003,$EX673),"")</f>
        <v/>
      </c>
      <c r="FP673">
        <f>IF($EY673="row",INDEX($EC$5:$EC$1003,$EX673),"")</f>
        <v/>
      </c>
      <c r="FQ673">
        <f>IF($EY673="row",INDEX($ET$5:$ET$1003,$EX673),"")</f>
        <v/>
      </c>
      <c r="FR673">
        <f>IF($EY673="row",INDEX($EU$5:$EU$1003,$EX673),"")</f>
        <v/>
      </c>
      <c r="FS673">
        <f>IF(AND($EY673="row",$EY672="row"),IF(OR(INDEX($DT$5:$DT$1003,$EX672)="",INDEX($DT$5:$DT$1003,$EX673)=""),"",IF(NOT(EXACT(INDEX($DT$5:$DT$1003,$EX672),INDEX($DT$5:$DT$1003,$EX673))),"S4",IF(NOT(EXACT(INDEX($DS$5:$DS$1003,$EX672),INDEX($DS$5:$DS$1003,$EX673))),"S3",IF(NOT(EXACT(INDEX($DR$5:$DR$1003,$EX672),INDEX($DR$5:$DR$1003,$EX673))),"S1 Count Change","S1")))),"")</f>
        <v/>
      </c>
      <c r="FT673">
        <f>IF($EY673="row",INDEX($ES$5:$ES$1003,$EX673),"")</f>
        <v/>
      </c>
      <c r="FU673">
        <f>IF($EY673="row",INDEX($EO$5:$EO$1003,$EX673),0)</f>
        <v/>
      </c>
      <c r="FV673">
        <f>IF($FS673="S1 Count Change",1,0)</f>
        <v/>
      </c>
    </row>
    <row r="674">
      <c r="DA674" t="n">
        <v>670</v>
      </c>
      <c r="DB674">
        <f>IF($B$37=0,"",IFERROR(TRIM(SUBSTITUTE(SUBSTITUTE(SUBSTITUTE(SUBSTITUTE(INDEX(PASTE_ALL,670,$B$37)," "," "),CHAR(9)," "),CHAR(10)," "),CHAR(13)," ")),""))</f>
        <v/>
      </c>
      <c r="DC674">
        <f>IF(AND(670&gt;HEADER_ROW,UPPER(DB674)="LEGEND"),1,0)</f>
        <v/>
      </c>
      <c r="DE674" t="n">
        <v>670</v>
      </c>
      <c r="DF674">
        <f>HEADER_ROW+$DE674</f>
        <v/>
      </c>
      <c r="DG674">
        <f>IF(AND($DF674&lt;=1000,$DF674&lt;$B$8),1,0)</f>
        <v/>
      </c>
      <c r="DH674">
        <f>IF($DG674=1,IFERROR(INDEX($DB$5:$DB$1004,$DF674),""),"")</f>
        <v/>
      </c>
      <c r="DI674">
        <f>IF(AND($DG674=1,$DH674&lt;&gt;""),IFERROR(SUBSTITUTE(SUBSTITUTE(TRIM(SUBSTITUTE(SUBSTITUTE(SUBSTITUTE(SUBSTITUTE(IFERROR(INDEX(PASTE_ALL,$DF674,1)&amp;"","")&amp;"␟"&amp;IFERROR(INDEX(PASTE_ALL,$DF674,2)&amp;"","")&amp;"␟"&amp;IFERROR(INDEX(PASTE_ALL,$DF674,3)&amp;"","")&amp;"␟"&amp;IFERROR(INDEX(PASTE_ALL,$DF674,4)&amp;"","")&amp;"␟"&amp;IFERROR(INDEX(PASTE_ALL,$DF674,5)&amp;"","")&amp;"␟"&amp;IFERROR(INDEX(PASTE_ALL,$DF674,6)&amp;"","")&amp;"␟"&amp;IFERROR(INDEX(PASTE_ALL,$DF674,7)&amp;"","")&amp;"␟"&amp;IFERROR(INDEX(PASTE_ALL,$DF674,8)&amp;"","")&amp;"␟"&amp;IFERROR(INDEX(PASTE_ALL,$DF674,9)&amp;"","")&amp;"␟"&amp;IFERROR(INDEX(PASTE_ALL,$DF674,10)&amp;"","")&amp;"␟"&amp;IFERROR(INDEX(PASTE_ALL,$DF674,11)&amp;"","")&amp;"␟"&amp;IFERROR(INDEX(PASTE_ALL,$DF674,12)&amp;"","")&amp;"␟"&amp;IFERROR(INDEX(PASTE_ALL,$DF674,13)&amp;"","")&amp;"␟"&amp;IFERROR(INDEX(PASTE_ALL,$DF674,14)&amp;"","")&amp;"␟"&amp;IFERROR(INDEX(PASTE_ALL,$DF674,15)&amp;"","")&amp;"␟"&amp;IFERROR(INDEX(PASTE_ALL,$DF674,16)&amp;"","")&amp;"␟"&amp;IFERROR(INDEX(PASTE_ALL,$DF674,17)&amp;"","")&amp;"␟"&amp;IFERROR(INDEX(PASTE_ALL,$DF674,18)&amp;"","")&amp;"␟"&amp;IFERROR(INDEX(PASTE_ALL,$DF674,19)&amp;"","")&amp;"␟"&amp;IFERROR(INDEX(PASTE_ALL,$DF674,20)&amp;"","")&amp;"␟"&amp;IFERROR(INDEX(PASTE_ALL,$DF674,21)&amp;"","")&amp;"␟"&amp;IFERROR(INDEX(PASTE_ALL,$DF674,22)&amp;"","")&amp;"␟"&amp;IFERROR(INDEX(PASTE_ALL,$DF674,23)&amp;"","")&amp;"␟"&amp;IFERROR(INDEX(PASTE_ALL,$DF674,24)&amp;"","")&amp;"␟"&amp;IFERROR(INDEX(PASTE_ALL,$DF674,25)&amp;"","")&amp;"␟"&amp;IFERROR(INDEX(PASTE_ALL,$DF674,26)&amp;"","")&amp;"␟"&amp;IFERROR(INDEX(PASTE_ALL,$DF674,27)&amp;"","")&amp;"␟"&amp;IFERROR(INDEX(PASTE_ALL,$DF674,28)&amp;"","")&amp;"␟"&amp;IFERROR(INDEX(PASTE_ALL,$DF674,29)&amp;"","")&amp;"␟"&amp;IFERROR(INDEX(PASTE_ALL,$DF674,30)&amp;"","")&amp;"␟"&amp;IFERROR(INDEX(PASTE_ALL,$DF674,31)&amp;"","")&amp;"␟"&amp;IFERROR(INDEX(PASTE_ALL,$DF674,32)&amp;"","")&amp;"␟"&amp;IFERROR(INDEX(PASTE_ALL,$DF674,33)&amp;"","")&amp;"␟"&amp;IFERROR(INDEX(PASTE_ALL,$DF674,34)&amp;"","")&amp;"␟"&amp;IFERROR(INDEX(PASTE_ALL,$DF674,35)&amp;"","")&amp;"␟"&amp;IFERROR(INDEX(PASTE_ALL,$DF674,36)&amp;"","")&amp;"␟"&amp;IFERROR(INDEX(PASTE_ALL,$DF674,37)&amp;"","")&amp;"␟"&amp;IFERROR(INDEX(PASTE_ALL,$DF674,38)&amp;"","")&amp;"␟"&amp;IFERROR(INDEX(PASTE_ALL,$DF674,39)&amp;"","")&amp;"␟"&amp;IFERROR(INDEX(PASTE_ALL,$DF674,40)&amp;"","")&amp;"␟"&amp;IFERROR(INDEX(PASTE_ALL,$DF674,41)&amp;"","")&amp;"␟"&amp;IFERROR(INDEX(PASTE_ALL,$DF674,42)&amp;"","")&amp;"␟"&amp;IFERROR(INDEX(PASTE_ALL,$DF674,43)&amp;"","")&amp;"␟"&amp;IFERROR(INDEX(PASTE_ALL,$DF674,44)&amp;"","")&amp;"␟"&amp;IFERROR(INDEX(PASTE_ALL,$DF674,45)&amp;"","")&amp;"␟"&amp;IFERROR(INDEX(PASTE_ALL,$DF674,46)&amp;"","")&amp;"␟"&amp;IFERROR(INDEX(PASTE_ALL,$DF674,47)&amp;"","")&amp;"␟"&amp;IFERROR(INDEX(PASTE_ALL,$DF674,48)&amp;"","")&amp;"␟"&amp;IFERROR(INDEX(PASTE_ALL,$DF674,49)&amp;"","")&amp;"␟"&amp;IFERROR(INDEX(PASTE_ALL,$DF674,50)&amp;"","")&amp;"␟"&amp;IFERROR(INDEX(PASTE_ALL,$DF674,51)&amp;"","")&amp;"␟"&amp;IFERROR(INDEX(PASTE_ALL,$DF674,52)&amp;"","")&amp;"␟"&amp;IFERROR(INDEX(PASTE_ALL,$DF674,53)&amp;"","")&amp;"␟"&amp;IFERROR(INDEX(PASTE_ALL,$DF674,54)&amp;"","")&amp;"␟"&amp;IFERROR(INDEX(PASTE_ALL,$DF674,55)&amp;"","")&amp;"␟"&amp;IFERROR(INDEX(PASTE_ALL,$DF674,56)&amp;"","")&amp;"␟"&amp;IFERROR(INDEX(PASTE_ALL,$DF674,57)&amp;"","")&amp;"␟"&amp;IFERROR(INDEX(PASTE_ALL,$DF674,58)&amp;"","")&amp;"␟"&amp;IFERROR(INDEX(PASTE_ALL,$DF674,59)&amp;"","")&amp;"␟"&amp;IFERROR(INDEX(PASTE_ALL,$DF674,60)&amp;"","")," "," "),CHAR(9)," "),CHAR(10)," "),CHAR(13)," "))," ␟","␟"),"␟ ","␟"),"#"&amp;$DE674),"")</f>
        <v/>
      </c>
      <c r="DJ674">
        <f>IF($DI674="",0,IF(SUMPRODUCT(--EXACT($DI$4:DI673,$DI674))&gt;0,1,0))</f>
        <v/>
      </c>
      <c r="DK674">
        <f>IF(AND($DI674&lt;&gt;"",$DJ674=0),1,0)</f>
        <v/>
      </c>
      <c r="DL674">
        <f>DL673+$DK674</f>
        <v/>
      </c>
      <c r="DM674">
        <f>IF(AND($DK674=1,$DL674&lt;=600),1,0)</f>
        <v/>
      </c>
      <c r="DN674">
        <f>IF($DM674=0,"",IF($L$6=0,"",IFERROR(IF(ISNUMBER(INDEX(PASTE_ALL,$DF674,$L$6)),INDEX(PASTE_ALL,$DF674,$L$6),TRIM(SUBSTITUTE(SUBSTITUTE(SUBSTITUTE(SUBSTITUTE(INDEX(PASTE_ALL,$DF674,$L$6)," "," "),CHAR(9)," "),CHAR(10)," "),CHAR(13)," "))),"")))</f>
        <v/>
      </c>
      <c r="DO674">
        <f>IF($DM674=0,"",IF($L$7=0,"",IFERROR(IF(ISNUMBER(INDEX(PASTE_ALL,$DF674,$L$7)),INDEX(PASTE_ALL,$DF674,$L$7),TRIM(SUBSTITUTE(SUBSTITUTE(SUBSTITUTE(SUBSTITUTE(INDEX(PASTE_ALL,$DF674,$L$7)," "," "),CHAR(9)," "),CHAR(10)," "),CHAR(13)," "))),"")))</f>
        <v/>
      </c>
      <c r="DP674">
        <f>IF($DM674=0,"",IF($L$8=0,"",IFERROR(IF(ISNUMBER(INDEX(PASTE_ALL,$DF674,$L$8)),INDEX(PASTE_ALL,$DF674,$L$8),TRIM(SUBSTITUTE(SUBSTITUTE(SUBSTITUTE(SUBSTITUTE(INDEX(PASTE_ALL,$DF674,$L$8)," "," "),CHAR(9)," "),CHAR(10)," "),CHAR(13)," "))),"")))</f>
        <v/>
      </c>
      <c r="DQ674">
        <f>IF($DM674=0,"",IF($L$9=0,"",IFERROR(IF(ISNUMBER(INDEX(PASTE_ALL,$DF674,$L$9)),INDEX(PASTE_ALL,$DF674,$L$9),TRIM(SUBSTITUTE(SUBSTITUTE(SUBSTITUTE(SUBSTITUTE(INDEX(PASTE_ALL,$DF674,$L$9)," "," "),CHAR(9)," "),CHAR(10)," "),CHAR(13)," "))),"")))</f>
        <v/>
      </c>
      <c r="DR674">
        <f>IF($DM674=0,"",IF($L$10=0,"",IFERROR(IF(ISNUMBER(INDEX(PASTE_ALL,$DF674,$L$10)),INDEX(PASTE_ALL,$DF674,$L$10),TRIM(SUBSTITUTE(SUBSTITUTE(SUBSTITUTE(SUBSTITUTE(INDEX(PASTE_ALL,$DF674,$L$10)," "," "),CHAR(9)," "),CHAR(10)," "),CHAR(13)," "))),"")))</f>
        <v/>
      </c>
      <c r="DS674">
        <f>IF($DM674=0,"",IF($L$11=0,"",IFERROR(IF(ISNUMBER(INDEX(PASTE_ALL,$DF674,$L$11)),INDEX(PASTE_ALL,$DF674,$L$11),TRIM(SUBSTITUTE(SUBSTITUTE(SUBSTITUTE(SUBSTITUTE(INDEX(PASTE_ALL,$DF674,$L$11)," "," "),CHAR(9)," "),CHAR(10)," "),CHAR(13)," "))),"")))</f>
        <v/>
      </c>
      <c r="DT674">
        <f>IF($DM674=0,"",IF($L$12=0,"",IFERROR(IF(ISNUMBER(INDEX(PASTE_ALL,$DF674,$L$12)),INDEX(PASTE_ALL,$DF674,$L$12),TRIM(SUBSTITUTE(SUBSTITUTE(SUBSTITUTE(SUBSTITUTE(INDEX(PASTE_ALL,$DF674,$L$12)," "," "),CHAR(9)," "),CHAR(10)," "),CHAR(13)," "))),"")))</f>
        <v/>
      </c>
      <c r="DU674">
        <f>IF($DM674=0,"",IF($L$13=0,"",IFERROR(IF(ISNUMBER(INDEX(PASTE_ALL,$DF674,$L$13)),INDEX(PASTE_ALL,$DF674,$L$13),TRIM(SUBSTITUTE(SUBSTITUTE(SUBSTITUTE(SUBSTITUTE(INDEX(PASTE_ALL,$DF674,$L$13)," "," "),CHAR(9)," "),CHAR(10)," "),CHAR(13)," "))),"")))</f>
        <v/>
      </c>
      <c r="DV674">
        <f>IF($DM674=0,"",IF($L$14=0,"",IFERROR(IF(ISNUMBER(INDEX(PASTE_ALL,$DF674,$L$14)),INDEX(PASTE_ALL,$DF674,$L$14),TRIM(SUBSTITUTE(SUBSTITUTE(SUBSTITUTE(SUBSTITUTE(INDEX(PASTE_ALL,$DF674,$L$14)," "," "),CHAR(9)," "),CHAR(10)," "),CHAR(13)," "))),"")))</f>
        <v/>
      </c>
      <c r="DW674">
        <f>IF($DM674=0,"",IF($L$15=0,"",IFERROR(IF(ISNUMBER(INDEX(PASTE_ALL,$DF674,$L$15)),INDEX(PASTE_ALL,$DF674,$L$15),IF(SUMPRODUCT(--ISNUMBER(FIND({"A","B","C","D","E","F","G","H","I","J","K","L","M","N","O","P","Q","R","S","T","U","V","W","X","Y","Z","0","1","2","3","4","5","6","7","8","9"},UPPER(TRIM(SUBSTITUTE(SUBSTITUTE(SUBSTITUTE(SUBSTITUTE(INDEX(PASTE_ALL,$DF674,$L$15)," "," "),CHAR(9)," "),CHAR(10)," "),CHAR(13)," "))))))&gt;0,TRIM(SUBSTITUTE(SUBSTITUTE(SUBSTITUTE(SUBSTITUTE(INDEX(PASTE_ALL,$DF674,$L$15)," "," "),CHAR(9)," "),CHAR(10)," "),CHAR(13)," ")),"")),"")))</f>
        <v/>
      </c>
      <c r="DX674">
        <f>IF($DM674=0,"",IF($L$16=0,"",IFERROR(IF(ISNUMBER(INDEX(PASTE_ALL,$DF674,$L$16)),INDEX(PASTE_ALL,$DF674,$L$16),SUBSTITUTE(SUBSTITUTE(TRIM(SUBSTITUTE(SUBSTITUTE(SUBSTITUTE(SUBSTITUTE(INDEX(PASTE_ALL,$DF674,$L$16)," "," "),CHAR(9)," "),CHAR(10)," "),CHAR(13)," ")),",",""),"%","")),"")))</f>
        <v/>
      </c>
      <c r="DY674">
        <f>IF($DM674=0,"",IFERROR(IF(ISNUMBER($DX674),$DX674,IF($DX674="","",IF(TRIM($DX674)="",0,IF(AND(AND(SUBSTITUTE(SUBSTITUTE(SUBSTITUTE(SUBSTITUTE(SUBSTITUTE(SUBSTITUTE(SUBSTITUTE(SUBSTITUTE(SUBSTITUTE(SUBSTITUTE(SUBSTITUTE(SUBSTITUTE(SUBSTITUTE(SUBSTITUTE(UPPER(TRIM($DX674)),"0",""),"1",""),"2",""),"3",""),"4",""),"5",""),"6",""),"7",""),"8",""),"9",""),".",""),"+",""),"-",""),"E","")="",LEN(SUBSTITUTE(SUBSTITUTE(MID(UPPER(TRIM($DX674)),1+OR(LEFT(UPPER(TRIM($DX674)),1)="+",LEFT(UPPER(TRIM($DX674)),1)="-"),999),"E+","E"),"E-","E"))=LEN(SUBSTITUTE(SUBSTITUTE(SUBSTITUTE(SUBSTITUTE(MID(UPPER(TRIM($DX674)),1+OR(LEFT(UPPER(TRIM($DX674)),1)="+",LEFT(UPPER(TRIM($DX674)),1)="-"),999),"E+","E"),"E-","E"),"+",""),"-","")),LEN(UPPER(TRIM($DX674)))-LEN(SUBSTITUTE(UPPER(TRIM($DX674)),"E",""))&lt;2,LEN(UPPER(TRIM($DX674)))-LEN(SUBSTITUTE(UPPER(TRIM($DX674)),".",""))&lt;2,IFERROR(FIND(".",UPPER(TRIM($DX674))),0)&lt;IFERROR(FIND("E",UPPER(TRIM($DX674))),999)),ISNUMBER(VALUE(TRIM($DX674)))),VALUE(TRIM($DX674)),"")))),""))</f>
        <v/>
      </c>
      <c r="DZ674">
        <f>IF($DM674=0,"",IF($L$17=0,"",IFERROR(IF(ISNUMBER(INDEX(PASTE_ALL,$DF674,$L$17)),INDEX(PASTE_ALL,$DF674,$L$17),SUBSTITUTE(SUBSTITUTE(TRIM(SUBSTITUTE(SUBSTITUTE(SUBSTITUTE(SUBSTITUTE(INDEX(PASTE_ALL,$DF674,$L$17)," "," "),CHAR(9)," "),CHAR(10)," "),CHAR(13)," ")),",",""),"%","")),"")))</f>
        <v/>
      </c>
      <c r="EA674">
        <f>IF($DM674=0,"",IFERROR(IF(ISNUMBER($DZ674),$DZ674,IF($DZ674="","",IF(TRIM($DZ674)="",0,IF(AND(AND(SUBSTITUTE(SUBSTITUTE(SUBSTITUTE(SUBSTITUTE(SUBSTITUTE(SUBSTITUTE(SUBSTITUTE(SUBSTITUTE(SUBSTITUTE(SUBSTITUTE(SUBSTITUTE(SUBSTITUTE(SUBSTITUTE(SUBSTITUTE(UPPER(TRIM($DZ674)),"0",""),"1",""),"2",""),"3",""),"4",""),"5",""),"6",""),"7",""),"8",""),"9",""),".",""),"+",""),"-",""),"E","")="",LEN(SUBSTITUTE(SUBSTITUTE(MID(UPPER(TRIM($DZ674)),1+OR(LEFT(UPPER(TRIM($DZ674)),1)="+",LEFT(UPPER(TRIM($DZ674)),1)="-"),999),"E+","E"),"E-","E"))=LEN(SUBSTITUTE(SUBSTITUTE(SUBSTITUTE(SUBSTITUTE(MID(UPPER(TRIM($DZ674)),1+OR(LEFT(UPPER(TRIM($DZ674)),1)="+",LEFT(UPPER(TRIM($DZ674)),1)="-"),999),"E+","E"),"E-","E"),"+",""),"-","")),LEN(UPPER(TRIM($DZ674)))-LEN(SUBSTITUTE(UPPER(TRIM($DZ674)),"E",""))&lt;2,LEN(UPPER(TRIM($DZ674)))-LEN(SUBSTITUTE(UPPER(TRIM($DZ674)),".",""))&lt;2,IFERROR(FIND(".",UPPER(TRIM($DZ674))),0)&lt;IFERROR(FIND("E",UPPER(TRIM($DZ674))),999)),ISNUMBER(VALUE(TRIM($DZ674)))),VALUE(TRIM($DZ674)),"")))),""))</f>
        <v/>
      </c>
      <c r="EB674">
        <f>IF($DM674=0,"",IF($L$18=0,"",IFERROR(IF(UPPER(TRIM(SUBSTITUTE(SUBSTITUTE(SUBSTITUTE(SUBSTITUTE(INDEX(PASTE_ALL,$DF674,$L$18)," "," "),CHAR(9)," "),CHAR(10)," "),CHAR(13)," ")))="READY","Ready",IF(UPPER(TRIM(SUBSTITUTE(SUBSTITUTE(SUBSTITUTE(SUBSTITUTE(INDEX(PASTE_ALL,$DF674,$L$18)," "," "),CHAR(9)," "),CHAR(10)," "),CHAR(13)," ")))="PM","PM",IF(OR(UPPER(TRIM(SUBSTITUTE(SUBSTITUTE(SUBSTITUTE(SUBSTITUTE(INDEX(PASTE_ALL,$DF674,$L$18)," "," "),CHAR(9)," "),CHAR(10)," "),CHAR(13)," ")))="OT",UPPER(TRIM(SUBSTITUTE(SUBSTITUTE(SUBSTITUTE(SUBSTITUTE(INDEX(PASTE_ALL,$DF674,$L$18)," "," "),CHAR(9)," "),CHAR(10)," "),CHAR(13)," ")))="OVERTIME",UPPER(TRIM(SUBSTITUTE(SUBSTITUTE(SUBSTITUTE(SUBSTITUTE(INDEX(PASTE_ALL,$DF674,$L$18)," "," "),CHAR(9)," "),CHAR(10)," "),CHAR(13)," ")))="TRIAL"),"OT",TRIM(SUBSTITUTE(SUBSTITUTE(SUBSTITUTE(SUBSTITUTE(INDEX(PASTE_ALL,$DF674,$L$18)," "," "),CHAR(9)," "),CHAR(10)," "),CHAR(13)," "))))),"")))</f>
        <v/>
      </c>
      <c r="EC674">
        <f>IF($DM674=0,"",IF($L$19=0,"",IFERROR(IF(ISNUMBER(INDEX(PASTE_ALL,$DF674,$L$19)),INDEX(PASTE_ALL,$DF674,$L$19),TRIM(SUBSTITUTE(SUBSTITUTE(SUBSTITUTE(SUBSTITUTE(INDEX(PASTE_ALL,$DF674,$L$19)," "," "),CHAR(9)," "),CHAR(10)," "),CHAR(13)," "))),"")))</f>
        <v/>
      </c>
      <c r="ED674">
        <f>IF($DM674=0,"",MATCH(1,INDEX(EXACT($DH$5:DH674,$DH674)*$DM$5:DM674,0),0))</f>
        <v/>
      </c>
      <c r="EE674">
        <f>IF($DM674=0,0,IF($ED674=$DE674,1,0))</f>
        <v/>
      </c>
      <c r="EF674">
        <f>EF673+$EE674</f>
        <v/>
      </c>
      <c r="EG674">
        <f>IF($DM674=0,"",INDEX($EF$5:$EF$1003,$ED674))</f>
        <v/>
      </c>
      <c r="EH674">
        <f>IF($DM674=0,"",IF($DO674&lt;&gt;"","",IFERROR(LOOKUP(2,1/(($EG$4:EG673=$EG674)*($DO$4:DO673&lt;&gt;"")),$DO$4:DO673),"")))</f>
        <v/>
      </c>
      <c r="EI674">
        <f>IF($DM674=0,"",IF($DO674&lt;&gt;"",$DO674,$EH674))</f>
        <v/>
      </c>
      <c r="EJ674">
        <f>IF($DM674=0,"",IF($EI674="",0,IF(OR(ISNUMBER($EI674),AND(AND(SUBSTITUTE(SUBSTITUTE(SUBSTITUTE(SUBSTITUTE(SUBSTITUTE(SUBSTITUTE(SUBSTITUTE(SUBSTITUTE(SUBSTITUTE(SUBSTITUTE(SUBSTITUTE(SUBSTITUTE(SUBSTITUTE(SUBSTITUTE(UPPER($EI674),"0",""),"1",""),"2",""),"3",""),"4",""),"5",""),"6",""),"7",""),"8",""),"9",""),".",""),"+",""),"-",""),"E","")="",LEN(SUBSTITUTE(SUBSTITUTE(MID(UPPER($EI674),1+OR(LEFT(UPPER($EI674),1)="+",LEFT(UPPER($EI674),1)="-"),999),"E+","E"),"E-","E"))=LEN(SUBSTITUTE(SUBSTITUTE(SUBSTITUTE(SUBSTITUTE(MID(UPPER($EI674),1+OR(LEFT(UPPER($EI674),1)="+",LEFT(UPPER($EI674),1)="-"),999),"E+","E"),"E-","E"),"+",""),"-","")),LEN(UPPER($EI674))-LEN(SUBSTITUTE(UPPER($EI674),"E",""))&lt;2,LEN(UPPER($EI674))-LEN(SUBSTITUTE(UPPER($EI674),".",""))&lt;2,IFERROR(FIND(".",UPPER($EI674)),0)&lt;IFERROR(FIND("E",UPPER($EI674)),999)),ISNUMBER(VALUE($EI674)))),1,2)))</f>
        <v/>
      </c>
      <c r="EK674">
        <f>IF($DM674=0,"",IF($EJ674=1,IF(ISNUMBER($EI674),$EI674,VALUE($EI674)),IF($EJ674=2,$DE674,0)))</f>
        <v/>
      </c>
      <c r="EL674">
        <f>IF($DM674=0,"",COUNTIF($EG$5:$EG$1003,"&lt;"&amp;$EG674)+SUMPRODUCT(($EG$5:$EG$1003=$EG674)*(($EJ$5:$EJ$1003&lt;$EJ674)+($EJ$5:$EJ$1003=$EJ674)*(($EK$5:$EK$1003&lt;$EK674)+($EK$5:$EK$1003=$EK674)*($DE$5:$DE$1003&lt;$DE674))))+1)</f>
        <v/>
      </c>
      <c r="EM674">
        <f>IF($DM674=0,"",$EL674+$EG674-1)</f>
        <v/>
      </c>
      <c r="EN674">
        <f>IF($DM674=0,0,IFERROR(MATCH(1,INDEX(--(TRIM(SUBSTITUTE(SUBSTITUTE(SUBSTITUTE(SUBSTITUTE(LINES_NAME&amp;""," "," "),CHAR(9)," "),CHAR(10)," "),CHAR(13)," "))=$DH674),0),0),0))</f>
        <v/>
      </c>
      <c r="EO674">
        <f>IF($EN674=0,0,IF(OR(UPPER(TRIM(INDEX(LINES_SCHEDULED,$EN674)&amp;""))="YES",UPPER(TRIM(INDEX(LINES_SCHEDULED,$EN674)&amp;""))="Y",UPPER(TRIM(INDEX(LINES_SCHEDULED,$EN674)&amp;""))="X"),1,0))</f>
        <v/>
      </c>
      <c r="EP674">
        <f>IF($DM674=0,"",IF(COUNTIFS($EG$5:$EG$1003,$EG674,$EB$5:$EB$1003,"Ready")&gt;0,"READY",IF(COUNTIFS($EG$5:$EG$1003,$EG674,$EB$5:$EB$1003,"PM")&gt;0,"PM",IF(COUNTIFS($EG$5:$EG$1003,$EG674,$EB$5:$EB$1003,"OT")&gt;0,"OT",""))))</f>
        <v/>
      </c>
      <c r="EQ674">
        <f>IF($EN674=0,"",UPPER(TRIM(INDEX(LINES_STATUS,$EN674)&amp;"")))</f>
        <v/>
      </c>
      <c r="ER674">
        <f>IF($DM674=0,"",IF(OR($EQ674="READY",$EQ674="PM",$EQ674="OT"),$EQ674,$EP674))</f>
        <v/>
      </c>
      <c r="ES674">
        <f>IF($DM674=0,"",IF(AND($DV674&lt;&gt;"",UPPER($DV674)&lt;&gt;"N"),"allergen",IF(ISNUMBER(SEARCH("oil",$DQ674)),"oil",IF(OR(EXACT($DS674,"A662"),EXACT($DS674,"A624")),"bulk",""))))</f>
        <v/>
      </c>
      <c r="ET674">
        <f>IF($DM674=0,"",IF(OR($EA674="",$EA674=0),"",$EA674/100))</f>
        <v/>
      </c>
      <c r="EU674">
        <f>IF(OR($ET674="",$DY674=""),"",INT($DY674*(1-$ET674)+0.5))</f>
        <v/>
      </c>
      <c r="EW674" t="n">
        <v>670</v>
      </c>
      <c r="EX674">
        <f>IFERROR(MATCH($EW674,$EM$5:$EM$1003,0),0)</f>
        <v/>
      </c>
      <c r="EY674">
        <f>IF($EW674&gt;$B$12,"",IF($EX674&gt;0,"row","spacer"))</f>
        <v/>
      </c>
      <c r="EZ674">
        <f>IF(AND($EY674="row",$EY673&lt;&gt;"row"),1,0)</f>
        <v/>
      </c>
      <c r="FA674">
        <f>IF(AND($EY674="row",$EY675&lt;&gt;"row"),1,0)</f>
        <v/>
      </c>
      <c r="FB674">
        <f>IF($EZ674=1,IFERROR(IF(ISNUMBER(INDEX(PASTE_ALL,INDEX($DF$5:$DF$1003,$EX674),$B$37)),INDEX(PASTE_ALL,INDEX($DF$5:$DF$1003,$EX674),$B$37),INDEX($DH$5:$DH$1003,$EX674)),INDEX($DH$5:$DH$1003,$EX674)),"")</f>
        <v/>
      </c>
      <c r="FC674">
        <f>IF($EY674="row",INDEX($ER$5:$ER$1003,$EX674),"")</f>
        <v/>
      </c>
      <c r="FD674">
        <f>IF($EY674="row",INDEX($DN$5:$DN$1003,$EX674),"")</f>
        <v/>
      </c>
      <c r="FE674">
        <f>IF($EY674="row",INDEX($DO$5:$DO$1003,$EX674),"")</f>
        <v/>
      </c>
      <c r="FF674">
        <f>IF($EY674="row",INDEX($DP$5:$DP$1003,$EX674),"")</f>
        <v/>
      </c>
      <c r="FG674">
        <f>IF($EY674="row",INDEX($DQ$5:$DQ$1003,$EX674),"")</f>
        <v/>
      </c>
      <c r="FH674">
        <f>IF($EY674="row",INDEX($DR$5:$DR$1003,$EX674),"")</f>
        <v/>
      </c>
      <c r="FI674">
        <f>IF($EY674="row",INDEX($DS$5:$DS$1003,$EX674),"")</f>
        <v/>
      </c>
      <c r="FJ674">
        <f>IF($EY674="row",INDEX($DT$5:$DT$1003,$EX674),"")</f>
        <v/>
      </c>
      <c r="FK674">
        <f>IF($EY674="row",INDEX($DU$5:$DU$1003,$EX674),"")</f>
        <v/>
      </c>
      <c r="FL674">
        <f>IF($EY674="row",INDEX($DV$5:$DV$1003,$EX674),"")</f>
        <v/>
      </c>
      <c r="FM674">
        <f>IF($EY674="row",INDEX($DW$5:$DW$1003,$EX674),"")</f>
        <v/>
      </c>
      <c r="FN674">
        <f>IF($EY674="row",INDEX($DY$5:$DY$1003,$EX674),"")</f>
        <v/>
      </c>
      <c r="FO674">
        <f>IF($EY674="row",INDEX($EA$5:$EA$1003,$EX674),"")</f>
        <v/>
      </c>
      <c r="FP674">
        <f>IF($EY674="row",INDEX($EC$5:$EC$1003,$EX674),"")</f>
        <v/>
      </c>
      <c r="FQ674">
        <f>IF($EY674="row",INDEX($ET$5:$ET$1003,$EX674),"")</f>
        <v/>
      </c>
      <c r="FR674">
        <f>IF($EY674="row",INDEX($EU$5:$EU$1003,$EX674),"")</f>
        <v/>
      </c>
      <c r="FS674">
        <f>IF(AND($EY674="row",$EY673="row"),IF(OR(INDEX($DT$5:$DT$1003,$EX673)="",INDEX($DT$5:$DT$1003,$EX674)=""),"",IF(NOT(EXACT(INDEX($DT$5:$DT$1003,$EX673),INDEX($DT$5:$DT$1003,$EX674))),"S4",IF(NOT(EXACT(INDEX($DS$5:$DS$1003,$EX673),INDEX($DS$5:$DS$1003,$EX674))),"S3",IF(NOT(EXACT(INDEX($DR$5:$DR$1003,$EX673),INDEX($DR$5:$DR$1003,$EX674))),"S1 Count Change","S1")))),"")</f>
        <v/>
      </c>
      <c r="FT674">
        <f>IF($EY674="row",INDEX($ES$5:$ES$1003,$EX674),"")</f>
        <v/>
      </c>
      <c r="FU674">
        <f>IF($EY674="row",INDEX($EO$5:$EO$1003,$EX674),0)</f>
        <v/>
      </c>
      <c r="FV674">
        <f>IF($FS674="S1 Count Change",1,0)</f>
        <v/>
      </c>
    </row>
    <row r="675">
      <c r="DA675" t="n">
        <v>671</v>
      </c>
      <c r="DB675">
        <f>IF($B$37=0,"",IFERROR(TRIM(SUBSTITUTE(SUBSTITUTE(SUBSTITUTE(SUBSTITUTE(INDEX(PASTE_ALL,671,$B$37)," "," "),CHAR(9)," "),CHAR(10)," "),CHAR(13)," ")),""))</f>
        <v/>
      </c>
      <c r="DC675">
        <f>IF(AND(671&gt;HEADER_ROW,UPPER(DB675)="LEGEND"),1,0)</f>
        <v/>
      </c>
      <c r="DE675" t="n">
        <v>671</v>
      </c>
      <c r="DF675">
        <f>HEADER_ROW+$DE675</f>
        <v/>
      </c>
      <c r="DG675">
        <f>IF(AND($DF675&lt;=1000,$DF675&lt;$B$8),1,0)</f>
        <v/>
      </c>
      <c r="DH675">
        <f>IF($DG675=1,IFERROR(INDEX($DB$5:$DB$1004,$DF675),""),"")</f>
        <v/>
      </c>
      <c r="DI675">
        <f>IF(AND($DG675=1,$DH675&lt;&gt;""),IFERROR(SUBSTITUTE(SUBSTITUTE(TRIM(SUBSTITUTE(SUBSTITUTE(SUBSTITUTE(SUBSTITUTE(IFERROR(INDEX(PASTE_ALL,$DF675,1)&amp;"","")&amp;"␟"&amp;IFERROR(INDEX(PASTE_ALL,$DF675,2)&amp;"","")&amp;"␟"&amp;IFERROR(INDEX(PASTE_ALL,$DF675,3)&amp;"","")&amp;"␟"&amp;IFERROR(INDEX(PASTE_ALL,$DF675,4)&amp;"","")&amp;"␟"&amp;IFERROR(INDEX(PASTE_ALL,$DF675,5)&amp;"","")&amp;"␟"&amp;IFERROR(INDEX(PASTE_ALL,$DF675,6)&amp;"","")&amp;"␟"&amp;IFERROR(INDEX(PASTE_ALL,$DF675,7)&amp;"","")&amp;"␟"&amp;IFERROR(INDEX(PASTE_ALL,$DF675,8)&amp;"","")&amp;"␟"&amp;IFERROR(INDEX(PASTE_ALL,$DF675,9)&amp;"","")&amp;"␟"&amp;IFERROR(INDEX(PASTE_ALL,$DF675,10)&amp;"","")&amp;"␟"&amp;IFERROR(INDEX(PASTE_ALL,$DF675,11)&amp;"","")&amp;"␟"&amp;IFERROR(INDEX(PASTE_ALL,$DF675,12)&amp;"","")&amp;"␟"&amp;IFERROR(INDEX(PASTE_ALL,$DF675,13)&amp;"","")&amp;"␟"&amp;IFERROR(INDEX(PASTE_ALL,$DF675,14)&amp;"","")&amp;"␟"&amp;IFERROR(INDEX(PASTE_ALL,$DF675,15)&amp;"","")&amp;"␟"&amp;IFERROR(INDEX(PASTE_ALL,$DF675,16)&amp;"","")&amp;"␟"&amp;IFERROR(INDEX(PASTE_ALL,$DF675,17)&amp;"","")&amp;"␟"&amp;IFERROR(INDEX(PASTE_ALL,$DF675,18)&amp;"","")&amp;"␟"&amp;IFERROR(INDEX(PASTE_ALL,$DF675,19)&amp;"","")&amp;"␟"&amp;IFERROR(INDEX(PASTE_ALL,$DF675,20)&amp;"","")&amp;"␟"&amp;IFERROR(INDEX(PASTE_ALL,$DF675,21)&amp;"","")&amp;"␟"&amp;IFERROR(INDEX(PASTE_ALL,$DF675,22)&amp;"","")&amp;"␟"&amp;IFERROR(INDEX(PASTE_ALL,$DF675,23)&amp;"","")&amp;"␟"&amp;IFERROR(INDEX(PASTE_ALL,$DF675,24)&amp;"","")&amp;"␟"&amp;IFERROR(INDEX(PASTE_ALL,$DF675,25)&amp;"","")&amp;"␟"&amp;IFERROR(INDEX(PASTE_ALL,$DF675,26)&amp;"","")&amp;"␟"&amp;IFERROR(INDEX(PASTE_ALL,$DF675,27)&amp;"","")&amp;"␟"&amp;IFERROR(INDEX(PASTE_ALL,$DF675,28)&amp;"","")&amp;"␟"&amp;IFERROR(INDEX(PASTE_ALL,$DF675,29)&amp;"","")&amp;"␟"&amp;IFERROR(INDEX(PASTE_ALL,$DF675,30)&amp;"","")&amp;"␟"&amp;IFERROR(INDEX(PASTE_ALL,$DF675,31)&amp;"","")&amp;"␟"&amp;IFERROR(INDEX(PASTE_ALL,$DF675,32)&amp;"","")&amp;"␟"&amp;IFERROR(INDEX(PASTE_ALL,$DF675,33)&amp;"","")&amp;"␟"&amp;IFERROR(INDEX(PASTE_ALL,$DF675,34)&amp;"","")&amp;"␟"&amp;IFERROR(INDEX(PASTE_ALL,$DF675,35)&amp;"","")&amp;"␟"&amp;IFERROR(INDEX(PASTE_ALL,$DF675,36)&amp;"","")&amp;"␟"&amp;IFERROR(INDEX(PASTE_ALL,$DF675,37)&amp;"","")&amp;"␟"&amp;IFERROR(INDEX(PASTE_ALL,$DF675,38)&amp;"","")&amp;"␟"&amp;IFERROR(INDEX(PASTE_ALL,$DF675,39)&amp;"","")&amp;"␟"&amp;IFERROR(INDEX(PASTE_ALL,$DF675,40)&amp;"","")&amp;"␟"&amp;IFERROR(INDEX(PASTE_ALL,$DF675,41)&amp;"","")&amp;"␟"&amp;IFERROR(INDEX(PASTE_ALL,$DF675,42)&amp;"","")&amp;"␟"&amp;IFERROR(INDEX(PASTE_ALL,$DF675,43)&amp;"","")&amp;"␟"&amp;IFERROR(INDEX(PASTE_ALL,$DF675,44)&amp;"","")&amp;"␟"&amp;IFERROR(INDEX(PASTE_ALL,$DF675,45)&amp;"","")&amp;"␟"&amp;IFERROR(INDEX(PASTE_ALL,$DF675,46)&amp;"","")&amp;"␟"&amp;IFERROR(INDEX(PASTE_ALL,$DF675,47)&amp;"","")&amp;"␟"&amp;IFERROR(INDEX(PASTE_ALL,$DF675,48)&amp;"","")&amp;"␟"&amp;IFERROR(INDEX(PASTE_ALL,$DF675,49)&amp;"","")&amp;"␟"&amp;IFERROR(INDEX(PASTE_ALL,$DF675,50)&amp;"","")&amp;"␟"&amp;IFERROR(INDEX(PASTE_ALL,$DF675,51)&amp;"","")&amp;"␟"&amp;IFERROR(INDEX(PASTE_ALL,$DF675,52)&amp;"","")&amp;"␟"&amp;IFERROR(INDEX(PASTE_ALL,$DF675,53)&amp;"","")&amp;"␟"&amp;IFERROR(INDEX(PASTE_ALL,$DF675,54)&amp;"","")&amp;"␟"&amp;IFERROR(INDEX(PASTE_ALL,$DF675,55)&amp;"","")&amp;"␟"&amp;IFERROR(INDEX(PASTE_ALL,$DF675,56)&amp;"","")&amp;"␟"&amp;IFERROR(INDEX(PASTE_ALL,$DF675,57)&amp;"","")&amp;"␟"&amp;IFERROR(INDEX(PASTE_ALL,$DF675,58)&amp;"","")&amp;"␟"&amp;IFERROR(INDEX(PASTE_ALL,$DF675,59)&amp;"","")&amp;"␟"&amp;IFERROR(INDEX(PASTE_ALL,$DF675,60)&amp;"","")," "," "),CHAR(9)," "),CHAR(10)," "),CHAR(13)," "))," ␟","␟"),"␟ ","␟"),"#"&amp;$DE675),"")</f>
        <v/>
      </c>
      <c r="DJ675">
        <f>IF($DI675="",0,IF(SUMPRODUCT(--EXACT($DI$4:DI674,$DI675))&gt;0,1,0))</f>
        <v/>
      </c>
      <c r="DK675">
        <f>IF(AND($DI675&lt;&gt;"",$DJ675=0),1,0)</f>
        <v/>
      </c>
      <c r="DL675">
        <f>DL674+$DK675</f>
        <v/>
      </c>
      <c r="DM675">
        <f>IF(AND($DK675=1,$DL675&lt;=600),1,0)</f>
        <v/>
      </c>
      <c r="DN675">
        <f>IF($DM675=0,"",IF($L$6=0,"",IFERROR(IF(ISNUMBER(INDEX(PASTE_ALL,$DF675,$L$6)),INDEX(PASTE_ALL,$DF675,$L$6),TRIM(SUBSTITUTE(SUBSTITUTE(SUBSTITUTE(SUBSTITUTE(INDEX(PASTE_ALL,$DF675,$L$6)," "," "),CHAR(9)," "),CHAR(10)," "),CHAR(13)," "))),"")))</f>
        <v/>
      </c>
      <c r="DO675">
        <f>IF($DM675=0,"",IF($L$7=0,"",IFERROR(IF(ISNUMBER(INDEX(PASTE_ALL,$DF675,$L$7)),INDEX(PASTE_ALL,$DF675,$L$7),TRIM(SUBSTITUTE(SUBSTITUTE(SUBSTITUTE(SUBSTITUTE(INDEX(PASTE_ALL,$DF675,$L$7)," "," "),CHAR(9)," "),CHAR(10)," "),CHAR(13)," "))),"")))</f>
        <v/>
      </c>
      <c r="DP675">
        <f>IF($DM675=0,"",IF($L$8=0,"",IFERROR(IF(ISNUMBER(INDEX(PASTE_ALL,$DF675,$L$8)),INDEX(PASTE_ALL,$DF675,$L$8),TRIM(SUBSTITUTE(SUBSTITUTE(SUBSTITUTE(SUBSTITUTE(INDEX(PASTE_ALL,$DF675,$L$8)," "," "),CHAR(9)," "),CHAR(10)," "),CHAR(13)," "))),"")))</f>
        <v/>
      </c>
      <c r="DQ675">
        <f>IF($DM675=0,"",IF($L$9=0,"",IFERROR(IF(ISNUMBER(INDEX(PASTE_ALL,$DF675,$L$9)),INDEX(PASTE_ALL,$DF675,$L$9),TRIM(SUBSTITUTE(SUBSTITUTE(SUBSTITUTE(SUBSTITUTE(INDEX(PASTE_ALL,$DF675,$L$9)," "," "),CHAR(9)," "),CHAR(10)," "),CHAR(13)," "))),"")))</f>
        <v/>
      </c>
      <c r="DR675">
        <f>IF($DM675=0,"",IF($L$10=0,"",IFERROR(IF(ISNUMBER(INDEX(PASTE_ALL,$DF675,$L$10)),INDEX(PASTE_ALL,$DF675,$L$10),TRIM(SUBSTITUTE(SUBSTITUTE(SUBSTITUTE(SUBSTITUTE(INDEX(PASTE_ALL,$DF675,$L$10)," "," "),CHAR(9)," "),CHAR(10)," "),CHAR(13)," "))),"")))</f>
        <v/>
      </c>
      <c r="DS675">
        <f>IF($DM675=0,"",IF($L$11=0,"",IFERROR(IF(ISNUMBER(INDEX(PASTE_ALL,$DF675,$L$11)),INDEX(PASTE_ALL,$DF675,$L$11),TRIM(SUBSTITUTE(SUBSTITUTE(SUBSTITUTE(SUBSTITUTE(INDEX(PASTE_ALL,$DF675,$L$11)," "," "),CHAR(9)," "),CHAR(10)," "),CHAR(13)," "))),"")))</f>
        <v/>
      </c>
      <c r="DT675">
        <f>IF($DM675=0,"",IF($L$12=0,"",IFERROR(IF(ISNUMBER(INDEX(PASTE_ALL,$DF675,$L$12)),INDEX(PASTE_ALL,$DF675,$L$12),TRIM(SUBSTITUTE(SUBSTITUTE(SUBSTITUTE(SUBSTITUTE(INDEX(PASTE_ALL,$DF675,$L$12)," "," "),CHAR(9)," "),CHAR(10)," "),CHAR(13)," "))),"")))</f>
        <v/>
      </c>
      <c r="DU675">
        <f>IF($DM675=0,"",IF($L$13=0,"",IFERROR(IF(ISNUMBER(INDEX(PASTE_ALL,$DF675,$L$13)),INDEX(PASTE_ALL,$DF675,$L$13),TRIM(SUBSTITUTE(SUBSTITUTE(SUBSTITUTE(SUBSTITUTE(INDEX(PASTE_ALL,$DF675,$L$13)," "," "),CHAR(9)," "),CHAR(10)," "),CHAR(13)," "))),"")))</f>
        <v/>
      </c>
      <c r="DV675">
        <f>IF($DM675=0,"",IF($L$14=0,"",IFERROR(IF(ISNUMBER(INDEX(PASTE_ALL,$DF675,$L$14)),INDEX(PASTE_ALL,$DF675,$L$14),TRIM(SUBSTITUTE(SUBSTITUTE(SUBSTITUTE(SUBSTITUTE(INDEX(PASTE_ALL,$DF675,$L$14)," "," "),CHAR(9)," "),CHAR(10)," "),CHAR(13)," "))),"")))</f>
        <v/>
      </c>
      <c r="DW675">
        <f>IF($DM675=0,"",IF($L$15=0,"",IFERROR(IF(ISNUMBER(INDEX(PASTE_ALL,$DF675,$L$15)),INDEX(PASTE_ALL,$DF675,$L$15),IF(SUMPRODUCT(--ISNUMBER(FIND({"A","B","C","D","E","F","G","H","I","J","K","L","M","N","O","P","Q","R","S","T","U","V","W","X","Y","Z","0","1","2","3","4","5","6","7","8","9"},UPPER(TRIM(SUBSTITUTE(SUBSTITUTE(SUBSTITUTE(SUBSTITUTE(INDEX(PASTE_ALL,$DF675,$L$15)," "," "),CHAR(9)," "),CHAR(10)," "),CHAR(13)," "))))))&gt;0,TRIM(SUBSTITUTE(SUBSTITUTE(SUBSTITUTE(SUBSTITUTE(INDEX(PASTE_ALL,$DF675,$L$15)," "," "),CHAR(9)," "),CHAR(10)," "),CHAR(13)," ")),"")),"")))</f>
        <v/>
      </c>
      <c r="DX675">
        <f>IF($DM675=0,"",IF($L$16=0,"",IFERROR(IF(ISNUMBER(INDEX(PASTE_ALL,$DF675,$L$16)),INDEX(PASTE_ALL,$DF675,$L$16),SUBSTITUTE(SUBSTITUTE(TRIM(SUBSTITUTE(SUBSTITUTE(SUBSTITUTE(SUBSTITUTE(INDEX(PASTE_ALL,$DF675,$L$16)," "," "),CHAR(9)," "),CHAR(10)," "),CHAR(13)," ")),",",""),"%","")),"")))</f>
        <v/>
      </c>
      <c r="DY675">
        <f>IF($DM675=0,"",IFERROR(IF(ISNUMBER($DX675),$DX675,IF($DX675="","",IF(TRIM($DX675)="",0,IF(AND(AND(SUBSTITUTE(SUBSTITUTE(SUBSTITUTE(SUBSTITUTE(SUBSTITUTE(SUBSTITUTE(SUBSTITUTE(SUBSTITUTE(SUBSTITUTE(SUBSTITUTE(SUBSTITUTE(SUBSTITUTE(SUBSTITUTE(SUBSTITUTE(UPPER(TRIM($DX675)),"0",""),"1",""),"2",""),"3",""),"4",""),"5",""),"6",""),"7",""),"8",""),"9",""),".",""),"+",""),"-",""),"E","")="",LEN(SUBSTITUTE(SUBSTITUTE(MID(UPPER(TRIM($DX675)),1+OR(LEFT(UPPER(TRIM($DX675)),1)="+",LEFT(UPPER(TRIM($DX675)),1)="-"),999),"E+","E"),"E-","E"))=LEN(SUBSTITUTE(SUBSTITUTE(SUBSTITUTE(SUBSTITUTE(MID(UPPER(TRIM($DX675)),1+OR(LEFT(UPPER(TRIM($DX675)),1)="+",LEFT(UPPER(TRIM($DX675)),1)="-"),999),"E+","E"),"E-","E"),"+",""),"-","")),LEN(UPPER(TRIM($DX675)))-LEN(SUBSTITUTE(UPPER(TRIM($DX675)),"E",""))&lt;2,LEN(UPPER(TRIM($DX675)))-LEN(SUBSTITUTE(UPPER(TRIM($DX675)),".",""))&lt;2,IFERROR(FIND(".",UPPER(TRIM($DX675))),0)&lt;IFERROR(FIND("E",UPPER(TRIM($DX675))),999)),ISNUMBER(VALUE(TRIM($DX675)))),VALUE(TRIM($DX675)),"")))),""))</f>
        <v/>
      </c>
      <c r="DZ675">
        <f>IF($DM675=0,"",IF($L$17=0,"",IFERROR(IF(ISNUMBER(INDEX(PASTE_ALL,$DF675,$L$17)),INDEX(PASTE_ALL,$DF675,$L$17),SUBSTITUTE(SUBSTITUTE(TRIM(SUBSTITUTE(SUBSTITUTE(SUBSTITUTE(SUBSTITUTE(INDEX(PASTE_ALL,$DF675,$L$17)," "," "),CHAR(9)," "),CHAR(10)," "),CHAR(13)," ")),",",""),"%","")),"")))</f>
        <v/>
      </c>
      <c r="EA675">
        <f>IF($DM675=0,"",IFERROR(IF(ISNUMBER($DZ675),$DZ675,IF($DZ675="","",IF(TRIM($DZ675)="",0,IF(AND(AND(SUBSTITUTE(SUBSTITUTE(SUBSTITUTE(SUBSTITUTE(SUBSTITUTE(SUBSTITUTE(SUBSTITUTE(SUBSTITUTE(SUBSTITUTE(SUBSTITUTE(SUBSTITUTE(SUBSTITUTE(SUBSTITUTE(SUBSTITUTE(UPPER(TRIM($DZ675)),"0",""),"1",""),"2",""),"3",""),"4",""),"5",""),"6",""),"7",""),"8",""),"9",""),".",""),"+",""),"-",""),"E","")="",LEN(SUBSTITUTE(SUBSTITUTE(MID(UPPER(TRIM($DZ675)),1+OR(LEFT(UPPER(TRIM($DZ675)),1)="+",LEFT(UPPER(TRIM($DZ675)),1)="-"),999),"E+","E"),"E-","E"))=LEN(SUBSTITUTE(SUBSTITUTE(SUBSTITUTE(SUBSTITUTE(MID(UPPER(TRIM($DZ675)),1+OR(LEFT(UPPER(TRIM($DZ675)),1)="+",LEFT(UPPER(TRIM($DZ675)),1)="-"),999),"E+","E"),"E-","E"),"+",""),"-","")),LEN(UPPER(TRIM($DZ675)))-LEN(SUBSTITUTE(UPPER(TRIM($DZ675)),"E",""))&lt;2,LEN(UPPER(TRIM($DZ675)))-LEN(SUBSTITUTE(UPPER(TRIM($DZ675)),".",""))&lt;2,IFERROR(FIND(".",UPPER(TRIM($DZ675))),0)&lt;IFERROR(FIND("E",UPPER(TRIM($DZ675))),999)),ISNUMBER(VALUE(TRIM($DZ675)))),VALUE(TRIM($DZ675)),"")))),""))</f>
        <v/>
      </c>
      <c r="EB675">
        <f>IF($DM675=0,"",IF($L$18=0,"",IFERROR(IF(UPPER(TRIM(SUBSTITUTE(SUBSTITUTE(SUBSTITUTE(SUBSTITUTE(INDEX(PASTE_ALL,$DF675,$L$18)," "," "),CHAR(9)," "),CHAR(10)," "),CHAR(13)," ")))="READY","Ready",IF(UPPER(TRIM(SUBSTITUTE(SUBSTITUTE(SUBSTITUTE(SUBSTITUTE(INDEX(PASTE_ALL,$DF675,$L$18)," "," "),CHAR(9)," "),CHAR(10)," "),CHAR(13)," ")))="PM","PM",IF(OR(UPPER(TRIM(SUBSTITUTE(SUBSTITUTE(SUBSTITUTE(SUBSTITUTE(INDEX(PASTE_ALL,$DF675,$L$18)," "," "),CHAR(9)," "),CHAR(10)," "),CHAR(13)," ")))="OT",UPPER(TRIM(SUBSTITUTE(SUBSTITUTE(SUBSTITUTE(SUBSTITUTE(INDEX(PASTE_ALL,$DF675,$L$18)," "," "),CHAR(9)," "),CHAR(10)," "),CHAR(13)," ")))="OVERTIME",UPPER(TRIM(SUBSTITUTE(SUBSTITUTE(SUBSTITUTE(SUBSTITUTE(INDEX(PASTE_ALL,$DF675,$L$18)," "," "),CHAR(9)," "),CHAR(10)," "),CHAR(13)," ")))="TRIAL"),"OT",TRIM(SUBSTITUTE(SUBSTITUTE(SUBSTITUTE(SUBSTITUTE(INDEX(PASTE_ALL,$DF675,$L$18)," "," "),CHAR(9)," "),CHAR(10)," "),CHAR(13)," "))))),"")))</f>
        <v/>
      </c>
      <c r="EC675">
        <f>IF($DM675=0,"",IF($L$19=0,"",IFERROR(IF(ISNUMBER(INDEX(PASTE_ALL,$DF675,$L$19)),INDEX(PASTE_ALL,$DF675,$L$19),TRIM(SUBSTITUTE(SUBSTITUTE(SUBSTITUTE(SUBSTITUTE(INDEX(PASTE_ALL,$DF675,$L$19)," "," "),CHAR(9)," "),CHAR(10)," "),CHAR(13)," "))),"")))</f>
        <v/>
      </c>
      <c r="ED675">
        <f>IF($DM675=0,"",MATCH(1,INDEX(EXACT($DH$5:DH675,$DH675)*$DM$5:DM675,0),0))</f>
        <v/>
      </c>
      <c r="EE675">
        <f>IF($DM675=0,0,IF($ED675=$DE675,1,0))</f>
        <v/>
      </c>
      <c r="EF675">
        <f>EF674+$EE675</f>
        <v/>
      </c>
      <c r="EG675">
        <f>IF($DM675=0,"",INDEX($EF$5:$EF$1003,$ED675))</f>
        <v/>
      </c>
      <c r="EH675">
        <f>IF($DM675=0,"",IF($DO675&lt;&gt;"","",IFERROR(LOOKUP(2,1/(($EG$4:EG674=$EG675)*($DO$4:DO674&lt;&gt;"")),$DO$4:DO674),"")))</f>
        <v/>
      </c>
      <c r="EI675">
        <f>IF($DM675=0,"",IF($DO675&lt;&gt;"",$DO675,$EH675))</f>
        <v/>
      </c>
      <c r="EJ675">
        <f>IF($DM675=0,"",IF($EI675="",0,IF(OR(ISNUMBER($EI675),AND(AND(SUBSTITUTE(SUBSTITUTE(SUBSTITUTE(SUBSTITUTE(SUBSTITUTE(SUBSTITUTE(SUBSTITUTE(SUBSTITUTE(SUBSTITUTE(SUBSTITUTE(SUBSTITUTE(SUBSTITUTE(SUBSTITUTE(SUBSTITUTE(UPPER($EI675),"0",""),"1",""),"2",""),"3",""),"4",""),"5",""),"6",""),"7",""),"8",""),"9",""),".",""),"+",""),"-",""),"E","")="",LEN(SUBSTITUTE(SUBSTITUTE(MID(UPPER($EI675),1+OR(LEFT(UPPER($EI675),1)="+",LEFT(UPPER($EI675),1)="-"),999),"E+","E"),"E-","E"))=LEN(SUBSTITUTE(SUBSTITUTE(SUBSTITUTE(SUBSTITUTE(MID(UPPER($EI675),1+OR(LEFT(UPPER($EI675),1)="+",LEFT(UPPER($EI675),1)="-"),999),"E+","E"),"E-","E"),"+",""),"-","")),LEN(UPPER($EI675))-LEN(SUBSTITUTE(UPPER($EI675),"E",""))&lt;2,LEN(UPPER($EI675))-LEN(SUBSTITUTE(UPPER($EI675),".",""))&lt;2,IFERROR(FIND(".",UPPER($EI675)),0)&lt;IFERROR(FIND("E",UPPER($EI675)),999)),ISNUMBER(VALUE($EI675)))),1,2)))</f>
        <v/>
      </c>
      <c r="EK675">
        <f>IF($DM675=0,"",IF($EJ675=1,IF(ISNUMBER($EI675),$EI675,VALUE($EI675)),IF($EJ675=2,$DE675,0)))</f>
        <v/>
      </c>
      <c r="EL675">
        <f>IF($DM675=0,"",COUNTIF($EG$5:$EG$1003,"&lt;"&amp;$EG675)+SUMPRODUCT(($EG$5:$EG$1003=$EG675)*(($EJ$5:$EJ$1003&lt;$EJ675)+($EJ$5:$EJ$1003=$EJ675)*(($EK$5:$EK$1003&lt;$EK675)+($EK$5:$EK$1003=$EK675)*($DE$5:$DE$1003&lt;$DE675))))+1)</f>
        <v/>
      </c>
      <c r="EM675">
        <f>IF($DM675=0,"",$EL675+$EG675-1)</f>
        <v/>
      </c>
      <c r="EN675">
        <f>IF($DM675=0,0,IFERROR(MATCH(1,INDEX(--(TRIM(SUBSTITUTE(SUBSTITUTE(SUBSTITUTE(SUBSTITUTE(LINES_NAME&amp;""," "," "),CHAR(9)," "),CHAR(10)," "),CHAR(13)," "))=$DH675),0),0),0))</f>
        <v/>
      </c>
      <c r="EO675">
        <f>IF($EN675=0,0,IF(OR(UPPER(TRIM(INDEX(LINES_SCHEDULED,$EN675)&amp;""))="YES",UPPER(TRIM(INDEX(LINES_SCHEDULED,$EN675)&amp;""))="Y",UPPER(TRIM(INDEX(LINES_SCHEDULED,$EN675)&amp;""))="X"),1,0))</f>
        <v/>
      </c>
      <c r="EP675">
        <f>IF($DM675=0,"",IF(COUNTIFS($EG$5:$EG$1003,$EG675,$EB$5:$EB$1003,"Ready")&gt;0,"READY",IF(COUNTIFS($EG$5:$EG$1003,$EG675,$EB$5:$EB$1003,"PM")&gt;0,"PM",IF(COUNTIFS($EG$5:$EG$1003,$EG675,$EB$5:$EB$1003,"OT")&gt;0,"OT",""))))</f>
        <v/>
      </c>
      <c r="EQ675">
        <f>IF($EN675=0,"",UPPER(TRIM(INDEX(LINES_STATUS,$EN675)&amp;"")))</f>
        <v/>
      </c>
      <c r="ER675">
        <f>IF($DM675=0,"",IF(OR($EQ675="READY",$EQ675="PM",$EQ675="OT"),$EQ675,$EP675))</f>
        <v/>
      </c>
      <c r="ES675">
        <f>IF($DM675=0,"",IF(AND($DV675&lt;&gt;"",UPPER($DV675)&lt;&gt;"N"),"allergen",IF(ISNUMBER(SEARCH("oil",$DQ675)),"oil",IF(OR(EXACT($DS675,"A662"),EXACT($DS675,"A624")),"bulk",""))))</f>
        <v/>
      </c>
      <c r="ET675">
        <f>IF($DM675=0,"",IF(OR($EA675="",$EA675=0),"",$EA675/100))</f>
        <v/>
      </c>
      <c r="EU675">
        <f>IF(OR($ET675="",$DY675=""),"",INT($DY675*(1-$ET675)+0.5))</f>
        <v/>
      </c>
      <c r="EW675" t="n">
        <v>671</v>
      </c>
      <c r="EX675">
        <f>IFERROR(MATCH($EW675,$EM$5:$EM$1003,0),0)</f>
        <v/>
      </c>
      <c r="EY675">
        <f>IF($EW675&gt;$B$12,"",IF($EX675&gt;0,"row","spacer"))</f>
        <v/>
      </c>
      <c r="EZ675">
        <f>IF(AND($EY675="row",$EY674&lt;&gt;"row"),1,0)</f>
        <v/>
      </c>
      <c r="FA675">
        <f>IF(AND($EY675="row",$EY676&lt;&gt;"row"),1,0)</f>
        <v/>
      </c>
      <c r="FB675">
        <f>IF($EZ675=1,IFERROR(IF(ISNUMBER(INDEX(PASTE_ALL,INDEX($DF$5:$DF$1003,$EX675),$B$37)),INDEX(PASTE_ALL,INDEX($DF$5:$DF$1003,$EX675),$B$37),INDEX($DH$5:$DH$1003,$EX675)),INDEX($DH$5:$DH$1003,$EX675)),"")</f>
        <v/>
      </c>
      <c r="FC675">
        <f>IF($EY675="row",INDEX($ER$5:$ER$1003,$EX675),"")</f>
        <v/>
      </c>
      <c r="FD675">
        <f>IF($EY675="row",INDEX($DN$5:$DN$1003,$EX675),"")</f>
        <v/>
      </c>
      <c r="FE675">
        <f>IF($EY675="row",INDEX($DO$5:$DO$1003,$EX675),"")</f>
        <v/>
      </c>
      <c r="FF675">
        <f>IF($EY675="row",INDEX($DP$5:$DP$1003,$EX675),"")</f>
        <v/>
      </c>
      <c r="FG675">
        <f>IF($EY675="row",INDEX($DQ$5:$DQ$1003,$EX675),"")</f>
        <v/>
      </c>
      <c r="FH675">
        <f>IF($EY675="row",INDEX($DR$5:$DR$1003,$EX675),"")</f>
        <v/>
      </c>
      <c r="FI675">
        <f>IF($EY675="row",INDEX($DS$5:$DS$1003,$EX675),"")</f>
        <v/>
      </c>
      <c r="FJ675">
        <f>IF($EY675="row",INDEX($DT$5:$DT$1003,$EX675),"")</f>
        <v/>
      </c>
      <c r="FK675">
        <f>IF($EY675="row",INDEX($DU$5:$DU$1003,$EX675),"")</f>
        <v/>
      </c>
      <c r="FL675">
        <f>IF($EY675="row",INDEX($DV$5:$DV$1003,$EX675),"")</f>
        <v/>
      </c>
      <c r="FM675">
        <f>IF($EY675="row",INDEX($DW$5:$DW$1003,$EX675),"")</f>
        <v/>
      </c>
      <c r="FN675">
        <f>IF($EY675="row",INDEX($DY$5:$DY$1003,$EX675),"")</f>
        <v/>
      </c>
      <c r="FO675">
        <f>IF($EY675="row",INDEX($EA$5:$EA$1003,$EX675),"")</f>
        <v/>
      </c>
      <c r="FP675">
        <f>IF($EY675="row",INDEX($EC$5:$EC$1003,$EX675),"")</f>
        <v/>
      </c>
      <c r="FQ675">
        <f>IF($EY675="row",INDEX($ET$5:$ET$1003,$EX675),"")</f>
        <v/>
      </c>
      <c r="FR675">
        <f>IF($EY675="row",INDEX($EU$5:$EU$1003,$EX675),"")</f>
        <v/>
      </c>
      <c r="FS675">
        <f>IF(AND($EY675="row",$EY674="row"),IF(OR(INDEX($DT$5:$DT$1003,$EX674)="",INDEX($DT$5:$DT$1003,$EX675)=""),"",IF(NOT(EXACT(INDEX($DT$5:$DT$1003,$EX674),INDEX($DT$5:$DT$1003,$EX675))),"S4",IF(NOT(EXACT(INDEX($DS$5:$DS$1003,$EX674),INDEX($DS$5:$DS$1003,$EX675))),"S3",IF(NOT(EXACT(INDEX($DR$5:$DR$1003,$EX674),INDEX($DR$5:$DR$1003,$EX675))),"S1 Count Change","S1")))),"")</f>
        <v/>
      </c>
      <c r="FT675">
        <f>IF($EY675="row",INDEX($ES$5:$ES$1003,$EX675),"")</f>
        <v/>
      </c>
      <c r="FU675">
        <f>IF($EY675="row",INDEX($EO$5:$EO$1003,$EX675),0)</f>
        <v/>
      </c>
      <c r="FV675">
        <f>IF($FS675="S1 Count Change",1,0)</f>
        <v/>
      </c>
    </row>
    <row r="676">
      <c r="DA676" t="n">
        <v>672</v>
      </c>
      <c r="DB676">
        <f>IF($B$37=0,"",IFERROR(TRIM(SUBSTITUTE(SUBSTITUTE(SUBSTITUTE(SUBSTITUTE(INDEX(PASTE_ALL,672,$B$37)," "," "),CHAR(9)," "),CHAR(10)," "),CHAR(13)," ")),""))</f>
        <v/>
      </c>
      <c r="DC676">
        <f>IF(AND(672&gt;HEADER_ROW,UPPER(DB676)="LEGEND"),1,0)</f>
        <v/>
      </c>
      <c r="DE676" t="n">
        <v>672</v>
      </c>
      <c r="DF676">
        <f>HEADER_ROW+$DE676</f>
        <v/>
      </c>
      <c r="DG676">
        <f>IF(AND($DF676&lt;=1000,$DF676&lt;$B$8),1,0)</f>
        <v/>
      </c>
      <c r="DH676">
        <f>IF($DG676=1,IFERROR(INDEX($DB$5:$DB$1004,$DF676),""),"")</f>
        <v/>
      </c>
      <c r="DI676">
        <f>IF(AND($DG676=1,$DH676&lt;&gt;""),IFERROR(SUBSTITUTE(SUBSTITUTE(TRIM(SUBSTITUTE(SUBSTITUTE(SUBSTITUTE(SUBSTITUTE(IFERROR(INDEX(PASTE_ALL,$DF676,1)&amp;"","")&amp;"␟"&amp;IFERROR(INDEX(PASTE_ALL,$DF676,2)&amp;"","")&amp;"␟"&amp;IFERROR(INDEX(PASTE_ALL,$DF676,3)&amp;"","")&amp;"␟"&amp;IFERROR(INDEX(PASTE_ALL,$DF676,4)&amp;"","")&amp;"␟"&amp;IFERROR(INDEX(PASTE_ALL,$DF676,5)&amp;"","")&amp;"␟"&amp;IFERROR(INDEX(PASTE_ALL,$DF676,6)&amp;"","")&amp;"␟"&amp;IFERROR(INDEX(PASTE_ALL,$DF676,7)&amp;"","")&amp;"␟"&amp;IFERROR(INDEX(PASTE_ALL,$DF676,8)&amp;"","")&amp;"␟"&amp;IFERROR(INDEX(PASTE_ALL,$DF676,9)&amp;"","")&amp;"␟"&amp;IFERROR(INDEX(PASTE_ALL,$DF676,10)&amp;"","")&amp;"␟"&amp;IFERROR(INDEX(PASTE_ALL,$DF676,11)&amp;"","")&amp;"␟"&amp;IFERROR(INDEX(PASTE_ALL,$DF676,12)&amp;"","")&amp;"␟"&amp;IFERROR(INDEX(PASTE_ALL,$DF676,13)&amp;"","")&amp;"␟"&amp;IFERROR(INDEX(PASTE_ALL,$DF676,14)&amp;"","")&amp;"␟"&amp;IFERROR(INDEX(PASTE_ALL,$DF676,15)&amp;"","")&amp;"␟"&amp;IFERROR(INDEX(PASTE_ALL,$DF676,16)&amp;"","")&amp;"␟"&amp;IFERROR(INDEX(PASTE_ALL,$DF676,17)&amp;"","")&amp;"␟"&amp;IFERROR(INDEX(PASTE_ALL,$DF676,18)&amp;"","")&amp;"␟"&amp;IFERROR(INDEX(PASTE_ALL,$DF676,19)&amp;"","")&amp;"␟"&amp;IFERROR(INDEX(PASTE_ALL,$DF676,20)&amp;"","")&amp;"␟"&amp;IFERROR(INDEX(PASTE_ALL,$DF676,21)&amp;"","")&amp;"␟"&amp;IFERROR(INDEX(PASTE_ALL,$DF676,22)&amp;"","")&amp;"␟"&amp;IFERROR(INDEX(PASTE_ALL,$DF676,23)&amp;"","")&amp;"␟"&amp;IFERROR(INDEX(PASTE_ALL,$DF676,24)&amp;"","")&amp;"␟"&amp;IFERROR(INDEX(PASTE_ALL,$DF676,25)&amp;"","")&amp;"␟"&amp;IFERROR(INDEX(PASTE_ALL,$DF676,26)&amp;"","")&amp;"␟"&amp;IFERROR(INDEX(PASTE_ALL,$DF676,27)&amp;"","")&amp;"␟"&amp;IFERROR(INDEX(PASTE_ALL,$DF676,28)&amp;"","")&amp;"␟"&amp;IFERROR(INDEX(PASTE_ALL,$DF676,29)&amp;"","")&amp;"␟"&amp;IFERROR(INDEX(PASTE_ALL,$DF676,30)&amp;"","")&amp;"␟"&amp;IFERROR(INDEX(PASTE_ALL,$DF676,31)&amp;"","")&amp;"␟"&amp;IFERROR(INDEX(PASTE_ALL,$DF676,32)&amp;"","")&amp;"␟"&amp;IFERROR(INDEX(PASTE_ALL,$DF676,33)&amp;"","")&amp;"␟"&amp;IFERROR(INDEX(PASTE_ALL,$DF676,34)&amp;"","")&amp;"␟"&amp;IFERROR(INDEX(PASTE_ALL,$DF676,35)&amp;"","")&amp;"␟"&amp;IFERROR(INDEX(PASTE_ALL,$DF676,36)&amp;"","")&amp;"␟"&amp;IFERROR(INDEX(PASTE_ALL,$DF676,37)&amp;"","")&amp;"␟"&amp;IFERROR(INDEX(PASTE_ALL,$DF676,38)&amp;"","")&amp;"␟"&amp;IFERROR(INDEX(PASTE_ALL,$DF676,39)&amp;"","")&amp;"␟"&amp;IFERROR(INDEX(PASTE_ALL,$DF676,40)&amp;"","")&amp;"␟"&amp;IFERROR(INDEX(PASTE_ALL,$DF676,41)&amp;"","")&amp;"␟"&amp;IFERROR(INDEX(PASTE_ALL,$DF676,42)&amp;"","")&amp;"␟"&amp;IFERROR(INDEX(PASTE_ALL,$DF676,43)&amp;"","")&amp;"␟"&amp;IFERROR(INDEX(PASTE_ALL,$DF676,44)&amp;"","")&amp;"␟"&amp;IFERROR(INDEX(PASTE_ALL,$DF676,45)&amp;"","")&amp;"␟"&amp;IFERROR(INDEX(PASTE_ALL,$DF676,46)&amp;"","")&amp;"␟"&amp;IFERROR(INDEX(PASTE_ALL,$DF676,47)&amp;"","")&amp;"␟"&amp;IFERROR(INDEX(PASTE_ALL,$DF676,48)&amp;"","")&amp;"␟"&amp;IFERROR(INDEX(PASTE_ALL,$DF676,49)&amp;"","")&amp;"␟"&amp;IFERROR(INDEX(PASTE_ALL,$DF676,50)&amp;"","")&amp;"␟"&amp;IFERROR(INDEX(PASTE_ALL,$DF676,51)&amp;"","")&amp;"␟"&amp;IFERROR(INDEX(PASTE_ALL,$DF676,52)&amp;"","")&amp;"␟"&amp;IFERROR(INDEX(PASTE_ALL,$DF676,53)&amp;"","")&amp;"␟"&amp;IFERROR(INDEX(PASTE_ALL,$DF676,54)&amp;"","")&amp;"␟"&amp;IFERROR(INDEX(PASTE_ALL,$DF676,55)&amp;"","")&amp;"␟"&amp;IFERROR(INDEX(PASTE_ALL,$DF676,56)&amp;"","")&amp;"␟"&amp;IFERROR(INDEX(PASTE_ALL,$DF676,57)&amp;"","")&amp;"␟"&amp;IFERROR(INDEX(PASTE_ALL,$DF676,58)&amp;"","")&amp;"␟"&amp;IFERROR(INDEX(PASTE_ALL,$DF676,59)&amp;"","")&amp;"␟"&amp;IFERROR(INDEX(PASTE_ALL,$DF676,60)&amp;"","")," "," "),CHAR(9)," "),CHAR(10)," "),CHAR(13)," "))," ␟","␟"),"␟ ","␟"),"#"&amp;$DE676),"")</f>
        <v/>
      </c>
      <c r="DJ676">
        <f>IF($DI676="",0,IF(SUMPRODUCT(--EXACT($DI$4:DI675,$DI676))&gt;0,1,0))</f>
        <v/>
      </c>
      <c r="DK676">
        <f>IF(AND($DI676&lt;&gt;"",$DJ676=0),1,0)</f>
        <v/>
      </c>
      <c r="DL676">
        <f>DL675+$DK676</f>
        <v/>
      </c>
      <c r="DM676">
        <f>IF(AND($DK676=1,$DL676&lt;=600),1,0)</f>
        <v/>
      </c>
      <c r="DN676">
        <f>IF($DM676=0,"",IF($L$6=0,"",IFERROR(IF(ISNUMBER(INDEX(PASTE_ALL,$DF676,$L$6)),INDEX(PASTE_ALL,$DF676,$L$6),TRIM(SUBSTITUTE(SUBSTITUTE(SUBSTITUTE(SUBSTITUTE(INDEX(PASTE_ALL,$DF676,$L$6)," "," "),CHAR(9)," "),CHAR(10)," "),CHAR(13)," "))),"")))</f>
        <v/>
      </c>
      <c r="DO676">
        <f>IF($DM676=0,"",IF($L$7=0,"",IFERROR(IF(ISNUMBER(INDEX(PASTE_ALL,$DF676,$L$7)),INDEX(PASTE_ALL,$DF676,$L$7),TRIM(SUBSTITUTE(SUBSTITUTE(SUBSTITUTE(SUBSTITUTE(INDEX(PASTE_ALL,$DF676,$L$7)," "," "),CHAR(9)," "),CHAR(10)," "),CHAR(13)," "))),"")))</f>
        <v/>
      </c>
      <c r="DP676">
        <f>IF($DM676=0,"",IF($L$8=0,"",IFERROR(IF(ISNUMBER(INDEX(PASTE_ALL,$DF676,$L$8)),INDEX(PASTE_ALL,$DF676,$L$8),TRIM(SUBSTITUTE(SUBSTITUTE(SUBSTITUTE(SUBSTITUTE(INDEX(PASTE_ALL,$DF676,$L$8)," "," "),CHAR(9)," "),CHAR(10)," "),CHAR(13)," "))),"")))</f>
        <v/>
      </c>
      <c r="DQ676">
        <f>IF($DM676=0,"",IF($L$9=0,"",IFERROR(IF(ISNUMBER(INDEX(PASTE_ALL,$DF676,$L$9)),INDEX(PASTE_ALL,$DF676,$L$9),TRIM(SUBSTITUTE(SUBSTITUTE(SUBSTITUTE(SUBSTITUTE(INDEX(PASTE_ALL,$DF676,$L$9)," "," "),CHAR(9)," "),CHAR(10)," "),CHAR(13)," "))),"")))</f>
        <v/>
      </c>
      <c r="DR676">
        <f>IF($DM676=0,"",IF($L$10=0,"",IFERROR(IF(ISNUMBER(INDEX(PASTE_ALL,$DF676,$L$10)),INDEX(PASTE_ALL,$DF676,$L$10),TRIM(SUBSTITUTE(SUBSTITUTE(SUBSTITUTE(SUBSTITUTE(INDEX(PASTE_ALL,$DF676,$L$10)," "," "),CHAR(9)," "),CHAR(10)," "),CHAR(13)," "))),"")))</f>
        <v/>
      </c>
      <c r="DS676">
        <f>IF($DM676=0,"",IF($L$11=0,"",IFERROR(IF(ISNUMBER(INDEX(PASTE_ALL,$DF676,$L$11)),INDEX(PASTE_ALL,$DF676,$L$11),TRIM(SUBSTITUTE(SUBSTITUTE(SUBSTITUTE(SUBSTITUTE(INDEX(PASTE_ALL,$DF676,$L$11)," "," "),CHAR(9)," "),CHAR(10)," "),CHAR(13)," "))),"")))</f>
        <v/>
      </c>
      <c r="DT676">
        <f>IF($DM676=0,"",IF($L$12=0,"",IFERROR(IF(ISNUMBER(INDEX(PASTE_ALL,$DF676,$L$12)),INDEX(PASTE_ALL,$DF676,$L$12),TRIM(SUBSTITUTE(SUBSTITUTE(SUBSTITUTE(SUBSTITUTE(INDEX(PASTE_ALL,$DF676,$L$12)," "," "),CHAR(9)," "),CHAR(10)," "),CHAR(13)," "))),"")))</f>
        <v/>
      </c>
      <c r="DU676">
        <f>IF($DM676=0,"",IF($L$13=0,"",IFERROR(IF(ISNUMBER(INDEX(PASTE_ALL,$DF676,$L$13)),INDEX(PASTE_ALL,$DF676,$L$13),TRIM(SUBSTITUTE(SUBSTITUTE(SUBSTITUTE(SUBSTITUTE(INDEX(PASTE_ALL,$DF676,$L$13)," "," "),CHAR(9)," "),CHAR(10)," "),CHAR(13)," "))),"")))</f>
        <v/>
      </c>
      <c r="DV676">
        <f>IF($DM676=0,"",IF($L$14=0,"",IFERROR(IF(ISNUMBER(INDEX(PASTE_ALL,$DF676,$L$14)),INDEX(PASTE_ALL,$DF676,$L$14),TRIM(SUBSTITUTE(SUBSTITUTE(SUBSTITUTE(SUBSTITUTE(INDEX(PASTE_ALL,$DF676,$L$14)," "," "),CHAR(9)," "),CHAR(10)," "),CHAR(13)," "))),"")))</f>
        <v/>
      </c>
      <c r="DW676">
        <f>IF($DM676=0,"",IF($L$15=0,"",IFERROR(IF(ISNUMBER(INDEX(PASTE_ALL,$DF676,$L$15)),INDEX(PASTE_ALL,$DF676,$L$15),IF(SUMPRODUCT(--ISNUMBER(FIND({"A","B","C","D","E","F","G","H","I","J","K","L","M","N","O","P","Q","R","S","T","U","V","W","X","Y","Z","0","1","2","3","4","5","6","7","8","9"},UPPER(TRIM(SUBSTITUTE(SUBSTITUTE(SUBSTITUTE(SUBSTITUTE(INDEX(PASTE_ALL,$DF676,$L$15)," "," "),CHAR(9)," "),CHAR(10)," "),CHAR(13)," "))))))&gt;0,TRIM(SUBSTITUTE(SUBSTITUTE(SUBSTITUTE(SUBSTITUTE(INDEX(PASTE_ALL,$DF676,$L$15)," "," "),CHAR(9)," "),CHAR(10)," "),CHAR(13)," ")),"")),"")))</f>
        <v/>
      </c>
      <c r="DX676">
        <f>IF($DM676=0,"",IF($L$16=0,"",IFERROR(IF(ISNUMBER(INDEX(PASTE_ALL,$DF676,$L$16)),INDEX(PASTE_ALL,$DF676,$L$16),SUBSTITUTE(SUBSTITUTE(TRIM(SUBSTITUTE(SUBSTITUTE(SUBSTITUTE(SUBSTITUTE(INDEX(PASTE_ALL,$DF676,$L$16)," "," "),CHAR(9)," "),CHAR(10)," "),CHAR(13)," ")),",",""),"%","")),"")))</f>
        <v/>
      </c>
      <c r="DY676">
        <f>IF($DM676=0,"",IFERROR(IF(ISNUMBER($DX676),$DX676,IF($DX676="","",IF(TRIM($DX676)="",0,IF(AND(AND(SUBSTITUTE(SUBSTITUTE(SUBSTITUTE(SUBSTITUTE(SUBSTITUTE(SUBSTITUTE(SUBSTITUTE(SUBSTITUTE(SUBSTITUTE(SUBSTITUTE(SUBSTITUTE(SUBSTITUTE(SUBSTITUTE(SUBSTITUTE(UPPER(TRIM($DX676)),"0",""),"1",""),"2",""),"3",""),"4",""),"5",""),"6",""),"7",""),"8",""),"9",""),".",""),"+",""),"-",""),"E","")="",LEN(SUBSTITUTE(SUBSTITUTE(MID(UPPER(TRIM($DX676)),1+OR(LEFT(UPPER(TRIM($DX676)),1)="+",LEFT(UPPER(TRIM($DX676)),1)="-"),999),"E+","E"),"E-","E"))=LEN(SUBSTITUTE(SUBSTITUTE(SUBSTITUTE(SUBSTITUTE(MID(UPPER(TRIM($DX676)),1+OR(LEFT(UPPER(TRIM($DX676)),1)="+",LEFT(UPPER(TRIM($DX676)),1)="-"),999),"E+","E"),"E-","E"),"+",""),"-","")),LEN(UPPER(TRIM($DX676)))-LEN(SUBSTITUTE(UPPER(TRIM($DX676)),"E",""))&lt;2,LEN(UPPER(TRIM($DX676)))-LEN(SUBSTITUTE(UPPER(TRIM($DX676)),".",""))&lt;2,IFERROR(FIND(".",UPPER(TRIM($DX676))),0)&lt;IFERROR(FIND("E",UPPER(TRIM($DX676))),999)),ISNUMBER(VALUE(TRIM($DX676)))),VALUE(TRIM($DX676)),"")))),""))</f>
        <v/>
      </c>
      <c r="DZ676">
        <f>IF($DM676=0,"",IF($L$17=0,"",IFERROR(IF(ISNUMBER(INDEX(PASTE_ALL,$DF676,$L$17)),INDEX(PASTE_ALL,$DF676,$L$17),SUBSTITUTE(SUBSTITUTE(TRIM(SUBSTITUTE(SUBSTITUTE(SUBSTITUTE(SUBSTITUTE(INDEX(PASTE_ALL,$DF676,$L$17)," "," "),CHAR(9)," "),CHAR(10)," "),CHAR(13)," ")),",",""),"%","")),"")))</f>
        <v/>
      </c>
      <c r="EA676">
        <f>IF($DM676=0,"",IFERROR(IF(ISNUMBER($DZ676),$DZ676,IF($DZ676="","",IF(TRIM($DZ676)="",0,IF(AND(AND(SUBSTITUTE(SUBSTITUTE(SUBSTITUTE(SUBSTITUTE(SUBSTITUTE(SUBSTITUTE(SUBSTITUTE(SUBSTITUTE(SUBSTITUTE(SUBSTITUTE(SUBSTITUTE(SUBSTITUTE(SUBSTITUTE(SUBSTITUTE(UPPER(TRIM($DZ676)),"0",""),"1",""),"2",""),"3",""),"4",""),"5",""),"6",""),"7",""),"8",""),"9",""),".",""),"+",""),"-",""),"E","")="",LEN(SUBSTITUTE(SUBSTITUTE(MID(UPPER(TRIM($DZ676)),1+OR(LEFT(UPPER(TRIM($DZ676)),1)="+",LEFT(UPPER(TRIM($DZ676)),1)="-"),999),"E+","E"),"E-","E"))=LEN(SUBSTITUTE(SUBSTITUTE(SUBSTITUTE(SUBSTITUTE(MID(UPPER(TRIM($DZ676)),1+OR(LEFT(UPPER(TRIM($DZ676)),1)="+",LEFT(UPPER(TRIM($DZ676)),1)="-"),999),"E+","E"),"E-","E"),"+",""),"-","")),LEN(UPPER(TRIM($DZ676)))-LEN(SUBSTITUTE(UPPER(TRIM($DZ676)),"E",""))&lt;2,LEN(UPPER(TRIM($DZ676)))-LEN(SUBSTITUTE(UPPER(TRIM($DZ676)),".",""))&lt;2,IFERROR(FIND(".",UPPER(TRIM($DZ676))),0)&lt;IFERROR(FIND("E",UPPER(TRIM($DZ676))),999)),ISNUMBER(VALUE(TRIM($DZ676)))),VALUE(TRIM($DZ676)),"")))),""))</f>
        <v/>
      </c>
      <c r="EB676">
        <f>IF($DM676=0,"",IF($L$18=0,"",IFERROR(IF(UPPER(TRIM(SUBSTITUTE(SUBSTITUTE(SUBSTITUTE(SUBSTITUTE(INDEX(PASTE_ALL,$DF676,$L$18)," "," "),CHAR(9)," "),CHAR(10)," "),CHAR(13)," ")))="READY","Ready",IF(UPPER(TRIM(SUBSTITUTE(SUBSTITUTE(SUBSTITUTE(SUBSTITUTE(INDEX(PASTE_ALL,$DF676,$L$18)," "," "),CHAR(9)," "),CHAR(10)," "),CHAR(13)," ")))="PM","PM",IF(OR(UPPER(TRIM(SUBSTITUTE(SUBSTITUTE(SUBSTITUTE(SUBSTITUTE(INDEX(PASTE_ALL,$DF676,$L$18)," "," "),CHAR(9)," "),CHAR(10)," "),CHAR(13)," ")))="OT",UPPER(TRIM(SUBSTITUTE(SUBSTITUTE(SUBSTITUTE(SUBSTITUTE(INDEX(PASTE_ALL,$DF676,$L$18)," "," "),CHAR(9)," "),CHAR(10)," "),CHAR(13)," ")))="OVERTIME",UPPER(TRIM(SUBSTITUTE(SUBSTITUTE(SUBSTITUTE(SUBSTITUTE(INDEX(PASTE_ALL,$DF676,$L$18)," "," "),CHAR(9)," "),CHAR(10)," "),CHAR(13)," ")))="TRIAL"),"OT",TRIM(SUBSTITUTE(SUBSTITUTE(SUBSTITUTE(SUBSTITUTE(INDEX(PASTE_ALL,$DF676,$L$18)," "," "),CHAR(9)," "),CHAR(10)," "),CHAR(13)," "))))),"")))</f>
        <v/>
      </c>
      <c r="EC676">
        <f>IF($DM676=0,"",IF($L$19=0,"",IFERROR(IF(ISNUMBER(INDEX(PASTE_ALL,$DF676,$L$19)),INDEX(PASTE_ALL,$DF676,$L$19),TRIM(SUBSTITUTE(SUBSTITUTE(SUBSTITUTE(SUBSTITUTE(INDEX(PASTE_ALL,$DF676,$L$19)," "," "),CHAR(9)," "),CHAR(10)," "),CHAR(13)," "))),"")))</f>
        <v/>
      </c>
      <c r="ED676">
        <f>IF($DM676=0,"",MATCH(1,INDEX(EXACT($DH$5:DH676,$DH676)*$DM$5:DM676,0),0))</f>
        <v/>
      </c>
      <c r="EE676">
        <f>IF($DM676=0,0,IF($ED676=$DE676,1,0))</f>
        <v/>
      </c>
      <c r="EF676">
        <f>EF675+$EE676</f>
        <v/>
      </c>
      <c r="EG676">
        <f>IF($DM676=0,"",INDEX($EF$5:$EF$1003,$ED676))</f>
        <v/>
      </c>
      <c r="EH676">
        <f>IF($DM676=0,"",IF($DO676&lt;&gt;"","",IFERROR(LOOKUP(2,1/(($EG$4:EG675=$EG676)*($DO$4:DO675&lt;&gt;"")),$DO$4:DO675),"")))</f>
        <v/>
      </c>
      <c r="EI676">
        <f>IF($DM676=0,"",IF($DO676&lt;&gt;"",$DO676,$EH676))</f>
        <v/>
      </c>
      <c r="EJ676">
        <f>IF($DM676=0,"",IF($EI676="",0,IF(OR(ISNUMBER($EI676),AND(AND(SUBSTITUTE(SUBSTITUTE(SUBSTITUTE(SUBSTITUTE(SUBSTITUTE(SUBSTITUTE(SUBSTITUTE(SUBSTITUTE(SUBSTITUTE(SUBSTITUTE(SUBSTITUTE(SUBSTITUTE(SUBSTITUTE(SUBSTITUTE(UPPER($EI676),"0",""),"1",""),"2",""),"3",""),"4",""),"5",""),"6",""),"7",""),"8",""),"9",""),".",""),"+",""),"-",""),"E","")="",LEN(SUBSTITUTE(SUBSTITUTE(MID(UPPER($EI676),1+OR(LEFT(UPPER($EI676),1)="+",LEFT(UPPER($EI676),1)="-"),999),"E+","E"),"E-","E"))=LEN(SUBSTITUTE(SUBSTITUTE(SUBSTITUTE(SUBSTITUTE(MID(UPPER($EI676),1+OR(LEFT(UPPER($EI676),1)="+",LEFT(UPPER($EI676),1)="-"),999),"E+","E"),"E-","E"),"+",""),"-","")),LEN(UPPER($EI676))-LEN(SUBSTITUTE(UPPER($EI676),"E",""))&lt;2,LEN(UPPER($EI676))-LEN(SUBSTITUTE(UPPER($EI676),".",""))&lt;2,IFERROR(FIND(".",UPPER($EI676)),0)&lt;IFERROR(FIND("E",UPPER($EI676)),999)),ISNUMBER(VALUE($EI676)))),1,2)))</f>
        <v/>
      </c>
      <c r="EK676">
        <f>IF($DM676=0,"",IF($EJ676=1,IF(ISNUMBER($EI676),$EI676,VALUE($EI676)),IF($EJ676=2,$DE676,0)))</f>
        <v/>
      </c>
      <c r="EL676">
        <f>IF($DM676=0,"",COUNTIF($EG$5:$EG$1003,"&lt;"&amp;$EG676)+SUMPRODUCT(($EG$5:$EG$1003=$EG676)*(($EJ$5:$EJ$1003&lt;$EJ676)+($EJ$5:$EJ$1003=$EJ676)*(($EK$5:$EK$1003&lt;$EK676)+($EK$5:$EK$1003=$EK676)*($DE$5:$DE$1003&lt;$DE676))))+1)</f>
        <v/>
      </c>
      <c r="EM676">
        <f>IF($DM676=0,"",$EL676+$EG676-1)</f>
        <v/>
      </c>
      <c r="EN676">
        <f>IF($DM676=0,0,IFERROR(MATCH(1,INDEX(--(TRIM(SUBSTITUTE(SUBSTITUTE(SUBSTITUTE(SUBSTITUTE(LINES_NAME&amp;""," "," "),CHAR(9)," "),CHAR(10)," "),CHAR(13)," "))=$DH676),0),0),0))</f>
        <v/>
      </c>
      <c r="EO676">
        <f>IF($EN676=0,0,IF(OR(UPPER(TRIM(INDEX(LINES_SCHEDULED,$EN676)&amp;""))="YES",UPPER(TRIM(INDEX(LINES_SCHEDULED,$EN676)&amp;""))="Y",UPPER(TRIM(INDEX(LINES_SCHEDULED,$EN676)&amp;""))="X"),1,0))</f>
        <v/>
      </c>
      <c r="EP676">
        <f>IF($DM676=0,"",IF(COUNTIFS($EG$5:$EG$1003,$EG676,$EB$5:$EB$1003,"Ready")&gt;0,"READY",IF(COUNTIFS($EG$5:$EG$1003,$EG676,$EB$5:$EB$1003,"PM")&gt;0,"PM",IF(COUNTIFS($EG$5:$EG$1003,$EG676,$EB$5:$EB$1003,"OT")&gt;0,"OT",""))))</f>
        <v/>
      </c>
      <c r="EQ676">
        <f>IF($EN676=0,"",UPPER(TRIM(INDEX(LINES_STATUS,$EN676)&amp;"")))</f>
        <v/>
      </c>
      <c r="ER676">
        <f>IF($DM676=0,"",IF(OR($EQ676="READY",$EQ676="PM",$EQ676="OT"),$EQ676,$EP676))</f>
        <v/>
      </c>
      <c r="ES676">
        <f>IF($DM676=0,"",IF(AND($DV676&lt;&gt;"",UPPER($DV676)&lt;&gt;"N"),"allergen",IF(ISNUMBER(SEARCH("oil",$DQ676)),"oil",IF(OR(EXACT($DS676,"A662"),EXACT($DS676,"A624")),"bulk",""))))</f>
        <v/>
      </c>
      <c r="ET676">
        <f>IF($DM676=0,"",IF(OR($EA676="",$EA676=0),"",$EA676/100))</f>
        <v/>
      </c>
      <c r="EU676">
        <f>IF(OR($ET676="",$DY676=""),"",INT($DY676*(1-$ET676)+0.5))</f>
        <v/>
      </c>
      <c r="EW676" t="n">
        <v>672</v>
      </c>
      <c r="EX676">
        <f>IFERROR(MATCH($EW676,$EM$5:$EM$1003,0),0)</f>
        <v/>
      </c>
      <c r="EY676">
        <f>IF($EW676&gt;$B$12,"",IF($EX676&gt;0,"row","spacer"))</f>
        <v/>
      </c>
      <c r="EZ676">
        <f>IF(AND($EY676="row",$EY675&lt;&gt;"row"),1,0)</f>
        <v/>
      </c>
      <c r="FA676">
        <f>IF(AND($EY676="row",$EY677&lt;&gt;"row"),1,0)</f>
        <v/>
      </c>
      <c r="FB676">
        <f>IF($EZ676=1,IFERROR(IF(ISNUMBER(INDEX(PASTE_ALL,INDEX($DF$5:$DF$1003,$EX676),$B$37)),INDEX(PASTE_ALL,INDEX($DF$5:$DF$1003,$EX676),$B$37),INDEX($DH$5:$DH$1003,$EX676)),INDEX($DH$5:$DH$1003,$EX676)),"")</f>
        <v/>
      </c>
      <c r="FC676">
        <f>IF($EY676="row",INDEX($ER$5:$ER$1003,$EX676),"")</f>
        <v/>
      </c>
      <c r="FD676">
        <f>IF($EY676="row",INDEX($DN$5:$DN$1003,$EX676),"")</f>
        <v/>
      </c>
      <c r="FE676">
        <f>IF($EY676="row",INDEX($DO$5:$DO$1003,$EX676),"")</f>
        <v/>
      </c>
      <c r="FF676">
        <f>IF($EY676="row",INDEX($DP$5:$DP$1003,$EX676),"")</f>
        <v/>
      </c>
      <c r="FG676">
        <f>IF($EY676="row",INDEX($DQ$5:$DQ$1003,$EX676),"")</f>
        <v/>
      </c>
      <c r="FH676">
        <f>IF($EY676="row",INDEX($DR$5:$DR$1003,$EX676),"")</f>
        <v/>
      </c>
      <c r="FI676">
        <f>IF($EY676="row",INDEX($DS$5:$DS$1003,$EX676),"")</f>
        <v/>
      </c>
      <c r="FJ676">
        <f>IF($EY676="row",INDEX($DT$5:$DT$1003,$EX676),"")</f>
        <v/>
      </c>
      <c r="FK676">
        <f>IF($EY676="row",INDEX($DU$5:$DU$1003,$EX676),"")</f>
        <v/>
      </c>
      <c r="FL676">
        <f>IF($EY676="row",INDEX($DV$5:$DV$1003,$EX676),"")</f>
        <v/>
      </c>
      <c r="FM676">
        <f>IF($EY676="row",INDEX($DW$5:$DW$1003,$EX676),"")</f>
        <v/>
      </c>
      <c r="FN676">
        <f>IF($EY676="row",INDEX($DY$5:$DY$1003,$EX676),"")</f>
        <v/>
      </c>
      <c r="FO676">
        <f>IF($EY676="row",INDEX($EA$5:$EA$1003,$EX676),"")</f>
        <v/>
      </c>
      <c r="FP676">
        <f>IF($EY676="row",INDEX($EC$5:$EC$1003,$EX676),"")</f>
        <v/>
      </c>
      <c r="FQ676">
        <f>IF($EY676="row",INDEX($ET$5:$ET$1003,$EX676),"")</f>
        <v/>
      </c>
      <c r="FR676">
        <f>IF($EY676="row",INDEX($EU$5:$EU$1003,$EX676),"")</f>
        <v/>
      </c>
      <c r="FS676">
        <f>IF(AND($EY676="row",$EY675="row"),IF(OR(INDEX($DT$5:$DT$1003,$EX675)="",INDEX($DT$5:$DT$1003,$EX676)=""),"",IF(NOT(EXACT(INDEX($DT$5:$DT$1003,$EX675),INDEX($DT$5:$DT$1003,$EX676))),"S4",IF(NOT(EXACT(INDEX($DS$5:$DS$1003,$EX675),INDEX($DS$5:$DS$1003,$EX676))),"S3",IF(NOT(EXACT(INDEX($DR$5:$DR$1003,$EX675),INDEX($DR$5:$DR$1003,$EX676))),"S1 Count Change","S1")))),"")</f>
        <v/>
      </c>
      <c r="FT676">
        <f>IF($EY676="row",INDEX($ES$5:$ES$1003,$EX676),"")</f>
        <v/>
      </c>
      <c r="FU676">
        <f>IF($EY676="row",INDEX($EO$5:$EO$1003,$EX676),0)</f>
        <v/>
      </c>
      <c r="FV676">
        <f>IF($FS676="S1 Count Change",1,0)</f>
        <v/>
      </c>
    </row>
    <row r="677">
      <c r="DA677" t="n">
        <v>673</v>
      </c>
      <c r="DB677">
        <f>IF($B$37=0,"",IFERROR(TRIM(SUBSTITUTE(SUBSTITUTE(SUBSTITUTE(SUBSTITUTE(INDEX(PASTE_ALL,673,$B$37)," "," "),CHAR(9)," "),CHAR(10)," "),CHAR(13)," ")),""))</f>
        <v/>
      </c>
      <c r="DC677">
        <f>IF(AND(673&gt;HEADER_ROW,UPPER(DB677)="LEGEND"),1,0)</f>
        <v/>
      </c>
      <c r="DE677" t="n">
        <v>673</v>
      </c>
      <c r="DF677">
        <f>HEADER_ROW+$DE677</f>
        <v/>
      </c>
      <c r="DG677">
        <f>IF(AND($DF677&lt;=1000,$DF677&lt;$B$8),1,0)</f>
        <v/>
      </c>
      <c r="DH677">
        <f>IF($DG677=1,IFERROR(INDEX($DB$5:$DB$1004,$DF677),""),"")</f>
        <v/>
      </c>
      <c r="DI677">
        <f>IF(AND($DG677=1,$DH677&lt;&gt;""),IFERROR(SUBSTITUTE(SUBSTITUTE(TRIM(SUBSTITUTE(SUBSTITUTE(SUBSTITUTE(SUBSTITUTE(IFERROR(INDEX(PASTE_ALL,$DF677,1)&amp;"","")&amp;"␟"&amp;IFERROR(INDEX(PASTE_ALL,$DF677,2)&amp;"","")&amp;"␟"&amp;IFERROR(INDEX(PASTE_ALL,$DF677,3)&amp;"","")&amp;"␟"&amp;IFERROR(INDEX(PASTE_ALL,$DF677,4)&amp;"","")&amp;"␟"&amp;IFERROR(INDEX(PASTE_ALL,$DF677,5)&amp;"","")&amp;"␟"&amp;IFERROR(INDEX(PASTE_ALL,$DF677,6)&amp;"","")&amp;"␟"&amp;IFERROR(INDEX(PASTE_ALL,$DF677,7)&amp;"","")&amp;"␟"&amp;IFERROR(INDEX(PASTE_ALL,$DF677,8)&amp;"","")&amp;"␟"&amp;IFERROR(INDEX(PASTE_ALL,$DF677,9)&amp;"","")&amp;"␟"&amp;IFERROR(INDEX(PASTE_ALL,$DF677,10)&amp;"","")&amp;"␟"&amp;IFERROR(INDEX(PASTE_ALL,$DF677,11)&amp;"","")&amp;"␟"&amp;IFERROR(INDEX(PASTE_ALL,$DF677,12)&amp;"","")&amp;"␟"&amp;IFERROR(INDEX(PASTE_ALL,$DF677,13)&amp;"","")&amp;"␟"&amp;IFERROR(INDEX(PASTE_ALL,$DF677,14)&amp;"","")&amp;"␟"&amp;IFERROR(INDEX(PASTE_ALL,$DF677,15)&amp;"","")&amp;"␟"&amp;IFERROR(INDEX(PASTE_ALL,$DF677,16)&amp;"","")&amp;"␟"&amp;IFERROR(INDEX(PASTE_ALL,$DF677,17)&amp;"","")&amp;"␟"&amp;IFERROR(INDEX(PASTE_ALL,$DF677,18)&amp;"","")&amp;"␟"&amp;IFERROR(INDEX(PASTE_ALL,$DF677,19)&amp;"","")&amp;"␟"&amp;IFERROR(INDEX(PASTE_ALL,$DF677,20)&amp;"","")&amp;"␟"&amp;IFERROR(INDEX(PASTE_ALL,$DF677,21)&amp;"","")&amp;"␟"&amp;IFERROR(INDEX(PASTE_ALL,$DF677,22)&amp;"","")&amp;"␟"&amp;IFERROR(INDEX(PASTE_ALL,$DF677,23)&amp;"","")&amp;"␟"&amp;IFERROR(INDEX(PASTE_ALL,$DF677,24)&amp;"","")&amp;"␟"&amp;IFERROR(INDEX(PASTE_ALL,$DF677,25)&amp;"","")&amp;"␟"&amp;IFERROR(INDEX(PASTE_ALL,$DF677,26)&amp;"","")&amp;"␟"&amp;IFERROR(INDEX(PASTE_ALL,$DF677,27)&amp;"","")&amp;"␟"&amp;IFERROR(INDEX(PASTE_ALL,$DF677,28)&amp;"","")&amp;"␟"&amp;IFERROR(INDEX(PASTE_ALL,$DF677,29)&amp;"","")&amp;"␟"&amp;IFERROR(INDEX(PASTE_ALL,$DF677,30)&amp;"","")&amp;"␟"&amp;IFERROR(INDEX(PASTE_ALL,$DF677,31)&amp;"","")&amp;"␟"&amp;IFERROR(INDEX(PASTE_ALL,$DF677,32)&amp;"","")&amp;"␟"&amp;IFERROR(INDEX(PASTE_ALL,$DF677,33)&amp;"","")&amp;"␟"&amp;IFERROR(INDEX(PASTE_ALL,$DF677,34)&amp;"","")&amp;"␟"&amp;IFERROR(INDEX(PASTE_ALL,$DF677,35)&amp;"","")&amp;"␟"&amp;IFERROR(INDEX(PASTE_ALL,$DF677,36)&amp;"","")&amp;"␟"&amp;IFERROR(INDEX(PASTE_ALL,$DF677,37)&amp;"","")&amp;"␟"&amp;IFERROR(INDEX(PASTE_ALL,$DF677,38)&amp;"","")&amp;"␟"&amp;IFERROR(INDEX(PASTE_ALL,$DF677,39)&amp;"","")&amp;"␟"&amp;IFERROR(INDEX(PASTE_ALL,$DF677,40)&amp;"","")&amp;"␟"&amp;IFERROR(INDEX(PASTE_ALL,$DF677,41)&amp;"","")&amp;"␟"&amp;IFERROR(INDEX(PASTE_ALL,$DF677,42)&amp;"","")&amp;"␟"&amp;IFERROR(INDEX(PASTE_ALL,$DF677,43)&amp;"","")&amp;"␟"&amp;IFERROR(INDEX(PASTE_ALL,$DF677,44)&amp;"","")&amp;"␟"&amp;IFERROR(INDEX(PASTE_ALL,$DF677,45)&amp;"","")&amp;"␟"&amp;IFERROR(INDEX(PASTE_ALL,$DF677,46)&amp;"","")&amp;"␟"&amp;IFERROR(INDEX(PASTE_ALL,$DF677,47)&amp;"","")&amp;"␟"&amp;IFERROR(INDEX(PASTE_ALL,$DF677,48)&amp;"","")&amp;"␟"&amp;IFERROR(INDEX(PASTE_ALL,$DF677,49)&amp;"","")&amp;"␟"&amp;IFERROR(INDEX(PASTE_ALL,$DF677,50)&amp;"","")&amp;"␟"&amp;IFERROR(INDEX(PASTE_ALL,$DF677,51)&amp;"","")&amp;"␟"&amp;IFERROR(INDEX(PASTE_ALL,$DF677,52)&amp;"","")&amp;"␟"&amp;IFERROR(INDEX(PASTE_ALL,$DF677,53)&amp;"","")&amp;"␟"&amp;IFERROR(INDEX(PASTE_ALL,$DF677,54)&amp;"","")&amp;"␟"&amp;IFERROR(INDEX(PASTE_ALL,$DF677,55)&amp;"","")&amp;"␟"&amp;IFERROR(INDEX(PASTE_ALL,$DF677,56)&amp;"","")&amp;"␟"&amp;IFERROR(INDEX(PASTE_ALL,$DF677,57)&amp;"","")&amp;"␟"&amp;IFERROR(INDEX(PASTE_ALL,$DF677,58)&amp;"","")&amp;"␟"&amp;IFERROR(INDEX(PASTE_ALL,$DF677,59)&amp;"","")&amp;"␟"&amp;IFERROR(INDEX(PASTE_ALL,$DF677,60)&amp;"","")," "," "),CHAR(9)," "),CHAR(10)," "),CHAR(13)," "))," ␟","␟"),"␟ ","␟"),"#"&amp;$DE677),"")</f>
        <v/>
      </c>
      <c r="DJ677">
        <f>IF($DI677="",0,IF(SUMPRODUCT(--EXACT($DI$4:DI676,$DI677))&gt;0,1,0))</f>
        <v/>
      </c>
      <c r="DK677">
        <f>IF(AND($DI677&lt;&gt;"",$DJ677=0),1,0)</f>
        <v/>
      </c>
      <c r="DL677">
        <f>DL676+$DK677</f>
        <v/>
      </c>
      <c r="DM677">
        <f>IF(AND($DK677=1,$DL677&lt;=600),1,0)</f>
        <v/>
      </c>
      <c r="DN677">
        <f>IF($DM677=0,"",IF($L$6=0,"",IFERROR(IF(ISNUMBER(INDEX(PASTE_ALL,$DF677,$L$6)),INDEX(PASTE_ALL,$DF677,$L$6),TRIM(SUBSTITUTE(SUBSTITUTE(SUBSTITUTE(SUBSTITUTE(INDEX(PASTE_ALL,$DF677,$L$6)," "," "),CHAR(9)," "),CHAR(10)," "),CHAR(13)," "))),"")))</f>
        <v/>
      </c>
      <c r="DO677">
        <f>IF($DM677=0,"",IF($L$7=0,"",IFERROR(IF(ISNUMBER(INDEX(PASTE_ALL,$DF677,$L$7)),INDEX(PASTE_ALL,$DF677,$L$7),TRIM(SUBSTITUTE(SUBSTITUTE(SUBSTITUTE(SUBSTITUTE(INDEX(PASTE_ALL,$DF677,$L$7)," "," "),CHAR(9)," "),CHAR(10)," "),CHAR(13)," "))),"")))</f>
        <v/>
      </c>
      <c r="DP677">
        <f>IF($DM677=0,"",IF($L$8=0,"",IFERROR(IF(ISNUMBER(INDEX(PASTE_ALL,$DF677,$L$8)),INDEX(PASTE_ALL,$DF677,$L$8),TRIM(SUBSTITUTE(SUBSTITUTE(SUBSTITUTE(SUBSTITUTE(INDEX(PASTE_ALL,$DF677,$L$8)," "," "),CHAR(9)," "),CHAR(10)," "),CHAR(13)," "))),"")))</f>
        <v/>
      </c>
      <c r="DQ677">
        <f>IF($DM677=0,"",IF($L$9=0,"",IFERROR(IF(ISNUMBER(INDEX(PASTE_ALL,$DF677,$L$9)),INDEX(PASTE_ALL,$DF677,$L$9),TRIM(SUBSTITUTE(SUBSTITUTE(SUBSTITUTE(SUBSTITUTE(INDEX(PASTE_ALL,$DF677,$L$9)," "," "),CHAR(9)," "),CHAR(10)," "),CHAR(13)," "))),"")))</f>
        <v/>
      </c>
      <c r="DR677">
        <f>IF($DM677=0,"",IF($L$10=0,"",IFERROR(IF(ISNUMBER(INDEX(PASTE_ALL,$DF677,$L$10)),INDEX(PASTE_ALL,$DF677,$L$10),TRIM(SUBSTITUTE(SUBSTITUTE(SUBSTITUTE(SUBSTITUTE(INDEX(PASTE_ALL,$DF677,$L$10)," "," "),CHAR(9)," "),CHAR(10)," "),CHAR(13)," "))),"")))</f>
        <v/>
      </c>
      <c r="DS677">
        <f>IF($DM677=0,"",IF($L$11=0,"",IFERROR(IF(ISNUMBER(INDEX(PASTE_ALL,$DF677,$L$11)),INDEX(PASTE_ALL,$DF677,$L$11),TRIM(SUBSTITUTE(SUBSTITUTE(SUBSTITUTE(SUBSTITUTE(INDEX(PASTE_ALL,$DF677,$L$11)," "," "),CHAR(9)," "),CHAR(10)," "),CHAR(13)," "))),"")))</f>
        <v/>
      </c>
      <c r="DT677">
        <f>IF($DM677=0,"",IF($L$12=0,"",IFERROR(IF(ISNUMBER(INDEX(PASTE_ALL,$DF677,$L$12)),INDEX(PASTE_ALL,$DF677,$L$12),TRIM(SUBSTITUTE(SUBSTITUTE(SUBSTITUTE(SUBSTITUTE(INDEX(PASTE_ALL,$DF677,$L$12)," "," "),CHAR(9)," "),CHAR(10)," "),CHAR(13)," "))),"")))</f>
        <v/>
      </c>
      <c r="DU677">
        <f>IF($DM677=0,"",IF($L$13=0,"",IFERROR(IF(ISNUMBER(INDEX(PASTE_ALL,$DF677,$L$13)),INDEX(PASTE_ALL,$DF677,$L$13),TRIM(SUBSTITUTE(SUBSTITUTE(SUBSTITUTE(SUBSTITUTE(INDEX(PASTE_ALL,$DF677,$L$13)," "," "),CHAR(9)," "),CHAR(10)," "),CHAR(13)," "))),"")))</f>
        <v/>
      </c>
      <c r="DV677">
        <f>IF($DM677=0,"",IF($L$14=0,"",IFERROR(IF(ISNUMBER(INDEX(PASTE_ALL,$DF677,$L$14)),INDEX(PASTE_ALL,$DF677,$L$14),TRIM(SUBSTITUTE(SUBSTITUTE(SUBSTITUTE(SUBSTITUTE(INDEX(PASTE_ALL,$DF677,$L$14)," "," "),CHAR(9)," "),CHAR(10)," "),CHAR(13)," "))),"")))</f>
        <v/>
      </c>
      <c r="DW677">
        <f>IF($DM677=0,"",IF($L$15=0,"",IFERROR(IF(ISNUMBER(INDEX(PASTE_ALL,$DF677,$L$15)),INDEX(PASTE_ALL,$DF677,$L$15),IF(SUMPRODUCT(--ISNUMBER(FIND({"A","B","C","D","E","F","G","H","I","J","K","L","M","N","O","P","Q","R","S","T","U","V","W","X","Y","Z","0","1","2","3","4","5","6","7","8","9"},UPPER(TRIM(SUBSTITUTE(SUBSTITUTE(SUBSTITUTE(SUBSTITUTE(INDEX(PASTE_ALL,$DF677,$L$15)," "," "),CHAR(9)," "),CHAR(10)," "),CHAR(13)," "))))))&gt;0,TRIM(SUBSTITUTE(SUBSTITUTE(SUBSTITUTE(SUBSTITUTE(INDEX(PASTE_ALL,$DF677,$L$15)," "," "),CHAR(9)," "),CHAR(10)," "),CHAR(13)," ")),"")),"")))</f>
        <v/>
      </c>
      <c r="DX677">
        <f>IF($DM677=0,"",IF($L$16=0,"",IFERROR(IF(ISNUMBER(INDEX(PASTE_ALL,$DF677,$L$16)),INDEX(PASTE_ALL,$DF677,$L$16),SUBSTITUTE(SUBSTITUTE(TRIM(SUBSTITUTE(SUBSTITUTE(SUBSTITUTE(SUBSTITUTE(INDEX(PASTE_ALL,$DF677,$L$16)," "," "),CHAR(9)," "),CHAR(10)," "),CHAR(13)," ")),",",""),"%","")),"")))</f>
        <v/>
      </c>
      <c r="DY677">
        <f>IF($DM677=0,"",IFERROR(IF(ISNUMBER($DX677),$DX677,IF($DX677="","",IF(TRIM($DX677)="",0,IF(AND(AND(SUBSTITUTE(SUBSTITUTE(SUBSTITUTE(SUBSTITUTE(SUBSTITUTE(SUBSTITUTE(SUBSTITUTE(SUBSTITUTE(SUBSTITUTE(SUBSTITUTE(SUBSTITUTE(SUBSTITUTE(SUBSTITUTE(SUBSTITUTE(UPPER(TRIM($DX677)),"0",""),"1",""),"2",""),"3",""),"4",""),"5",""),"6",""),"7",""),"8",""),"9",""),".",""),"+",""),"-",""),"E","")="",LEN(SUBSTITUTE(SUBSTITUTE(MID(UPPER(TRIM($DX677)),1+OR(LEFT(UPPER(TRIM($DX677)),1)="+",LEFT(UPPER(TRIM($DX677)),1)="-"),999),"E+","E"),"E-","E"))=LEN(SUBSTITUTE(SUBSTITUTE(SUBSTITUTE(SUBSTITUTE(MID(UPPER(TRIM($DX677)),1+OR(LEFT(UPPER(TRIM($DX677)),1)="+",LEFT(UPPER(TRIM($DX677)),1)="-"),999),"E+","E"),"E-","E"),"+",""),"-","")),LEN(UPPER(TRIM($DX677)))-LEN(SUBSTITUTE(UPPER(TRIM($DX677)),"E",""))&lt;2,LEN(UPPER(TRIM($DX677)))-LEN(SUBSTITUTE(UPPER(TRIM($DX677)),".",""))&lt;2,IFERROR(FIND(".",UPPER(TRIM($DX677))),0)&lt;IFERROR(FIND("E",UPPER(TRIM($DX677))),999)),ISNUMBER(VALUE(TRIM($DX677)))),VALUE(TRIM($DX677)),"")))),""))</f>
        <v/>
      </c>
      <c r="DZ677">
        <f>IF($DM677=0,"",IF($L$17=0,"",IFERROR(IF(ISNUMBER(INDEX(PASTE_ALL,$DF677,$L$17)),INDEX(PASTE_ALL,$DF677,$L$17),SUBSTITUTE(SUBSTITUTE(TRIM(SUBSTITUTE(SUBSTITUTE(SUBSTITUTE(SUBSTITUTE(INDEX(PASTE_ALL,$DF677,$L$17)," "," "),CHAR(9)," "),CHAR(10)," "),CHAR(13)," ")),",",""),"%","")),"")))</f>
        <v/>
      </c>
      <c r="EA677">
        <f>IF($DM677=0,"",IFERROR(IF(ISNUMBER($DZ677),$DZ677,IF($DZ677="","",IF(TRIM($DZ677)="",0,IF(AND(AND(SUBSTITUTE(SUBSTITUTE(SUBSTITUTE(SUBSTITUTE(SUBSTITUTE(SUBSTITUTE(SUBSTITUTE(SUBSTITUTE(SUBSTITUTE(SUBSTITUTE(SUBSTITUTE(SUBSTITUTE(SUBSTITUTE(SUBSTITUTE(UPPER(TRIM($DZ677)),"0",""),"1",""),"2",""),"3",""),"4",""),"5",""),"6",""),"7",""),"8",""),"9",""),".",""),"+",""),"-",""),"E","")="",LEN(SUBSTITUTE(SUBSTITUTE(MID(UPPER(TRIM($DZ677)),1+OR(LEFT(UPPER(TRIM($DZ677)),1)="+",LEFT(UPPER(TRIM($DZ677)),1)="-"),999),"E+","E"),"E-","E"))=LEN(SUBSTITUTE(SUBSTITUTE(SUBSTITUTE(SUBSTITUTE(MID(UPPER(TRIM($DZ677)),1+OR(LEFT(UPPER(TRIM($DZ677)),1)="+",LEFT(UPPER(TRIM($DZ677)),1)="-"),999),"E+","E"),"E-","E"),"+",""),"-","")),LEN(UPPER(TRIM($DZ677)))-LEN(SUBSTITUTE(UPPER(TRIM($DZ677)),"E",""))&lt;2,LEN(UPPER(TRIM($DZ677)))-LEN(SUBSTITUTE(UPPER(TRIM($DZ677)),".",""))&lt;2,IFERROR(FIND(".",UPPER(TRIM($DZ677))),0)&lt;IFERROR(FIND("E",UPPER(TRIM($DZ677))),999)),ISNUMBER(VALUE(TRIM($DZ677)))),VALUE(TRIM($DZ677)),"")))),""))</f>
        <v/>
      </c>
      <c r="EB677">
        <f>IF($DM677=0,"",IF($L$18=0,"",IFERROR(IF(UPPER(TRIM(SUBSTITUTE(SUBSTITUTE(SUBSTITUTE(SUBSTITUTE(INDEX(PASTE_ALL,$DF677,$L$18)," "," "),CHAR(9)," "),CHAR(10)," "),CHAR(13)," ")))="READY","Ready",IF(UPPER(TRIM(SUBSTITUTE(SUBSTITUTE(SUBSTITUTE(SUBSTITUTE(INDEX(PASTE_ALL,$DF677,$L$18)," "," "),CHAR(9)," "),CHAR(10)," "),CHAR(13)," ")))="PM","PM",IF(OR(UPPER(TRIM(SUBSTITUTE(SUBSTITUTE(SUBSTITUTE(SUBSTITUTE(INDEX(PASTE_ALL,$DF677,$L$18)," "," "),CHAR(9)," "),CHAR(10)," "),CHAR(13)," ")))="OT",UPPER(TRIM(SUBSTITUTE(SUBSTITUTE(SUBSTITUTE(SUBSTITUTE(INDEX(PASTE_ALL,$DF677,$L$18)," "," "),CHAR(9)," "),CHAR(10)," "),CHAR(13)," ")))="OVERTIME",UPPER(TRIM(SUBSTITUTE(SUBSTITUTE(SUBSTITUTE(SUBSTITUTE(INDEX(PASTE_ALL,$DF677,$L$18)," "," "),CHAR(9)," "),CHAR(10)," "),CHAR(13)," ")))="TRIAL"),"OT",TRIM(SUBSTITUTE(SUBSTITUTE(SUBSTITUTE(SUBSTITUTE(INDEX(PASTE_ALL,$DF677,$L$18)," "," "),CHAR(9)," "),CHAR(10)," "),CHAR(13)," "))))),"")))</f>
        <v/>
      </c>
      <c r="EC677">
        <f>IF($DM677=0,"",IF($L$19=0,"",IFERROR(IF(ISNUMBER(INDEX(PASTE_ALL,$DF677,$L$19)),INDEX(PASTE_ALL,$DF677,$L$19),TRIM(SUBSTITUTE(SUBSTITUTE(SUBSTITUTE(SUBSTITUTE(INDEX(PASTE_ALL,$DF677,$L$19)," "," "),CHAR(9)," "),CHAR(10)," "),CHAR(13)," "))),"")))</f>
        <v/>
      </c>
      <c r="ED677">
        <f>IF($DM677=0,"",MATCH(1,INDEX(EXACT($DH$5:DH677,$DH677)*$DM$5:DM677,0),0))</f>
        <v/>
      </c>
      <c r="EE677">
        <f>IF($DM677=0,0,IF($ED677=$DE677,1,0))</f>
        <v/>
      </c>
      <c r="EF677">
        <f>EF676+$EE677</f>
        <v/>
      </c>
      <c r="EG677">
        <f>IF($DM677=0,"",INDEX($EF$5:$EF$1003,$ED677))</f>
        <v/>
      </c>
      <c r="EH677">
        <f>IF($DM677=0,"",IF($DO677&lt;&gt;"","",IFERROR(LOOKUP(2,1/(($EG$4:EG676=$EG677)*($DO$4:DO676&lt;&gt;"")),$DO$4:DO676),"")))</f>
        <v/>
      </c>
      <c r="EI677">
        <f>IF($DM677=0,"",IF($DO677&lt;&gt;"",$DO677,$EH677))</f>
        <v/>
      </c>
      <c r="EJ677">
        <f>IF($DM677=0,"",IF($EI677="",0,IF(OR(ISNUMBER($EI677),AND(AND(SUBSTITUTE(SUBSTITUTE(SUBSTITUTE(SUBSTITUTE(SUBSTITUTE(SUBSTITUTE(SUBSTITUTE(SUBSTITUTE(SUBSTITUTE(SUBSTITUTE(SUBSTITUTE(SUBSTITUTE(SUBSTITUTE(SUBSTITUTE(UPPER($EI677),"0",""),"1",""),"2",""),"3",""),"4",""),"5",""),"6",""),"7",""),"8",""),"9",""),".",""),"+",""),"-",""),"E","")="",LEN(SUBSTITUTE(SUBSTITUTE(MID(UPPER($EI677),1+OR(LEFT(UPPER($EI677),1)="+",LEFT(UPPER($EI677),1)="-"),999),"E+","E"),"E-","E"))=LEN(SUBSTITUTE(SUBSTITUTE(SUBSTITUTE(SUBSTITUTE(MID(UPPER($EI677),1+OR(LEFT(UPPER($EI677),1)="+",LEFT(UPPER($EI677),1)="-"),999),"E+","E"),"E-","E"),"+",""),"-","")),LEN(UPPER($EI677))-LEN(SUBSTITUTE(UPPER($EI677),"E",""))&lt;2,LEN(UPPER($EI677))-LEN(SUBSTITUTE(UPPER($EI677),".",""))&lt;2,IFERROR(FIND(".",UPPER($EI677)),0)&lt;IFERROR(FIND("E",UPPER($EI677)),999)),ISNUMBER(VALUE($EI677)))),1,2)))</f>
        <v/>
      </c>
      <c r="EK677">
        <f>IF($DM677=0,"",IF($EJ677=1,IF(ISNUMBER($EI677),$EI677,VALUE($EI677)),IF($EJ677=2,$DE677,0)))</f>
        <v/>
      </c>
      <c r="EL677">
        <f>IF($DM677=0,"",COUNTIF($EG$5:$EG$1003,"&lt;"&amp;$EG677)+SUMPRODUCT(($EG$5:$EG$1003=$EG677)*(($EJ$5:$EJ$1003&lt;$EJ677)+($EJ$5:$EJ$1003=$EJ677)*(($EK$5:$EK$1003&lt;$EK677)+($EK$5:$EK$1003=$EK677)*($DE$5:$DE$1003&lt;$DE677))))+1)</f>
        <v/>
      </c>
      <c r="EM677">
        <f>IF($DM677=0,"",$EL677+$EG677-1)</f>
        <v/>
      </c>
      <c r="EN677">
        <f>IF($DM677=0,0,IFERROR(MATCH(1,INDEX(--(TRIM(SUBSTITUTE(SUBSTITUTE(SUBSTITUTE(SUBSTITUTE(LINES_NAME&amp;""," "," "),CHAR(9)," "),CHAR(10)," "),CHAR(13)," "))=$DH677),0),0),0))</f>
        <v/>
      </c>
      <c r="EO677">
        <f>IF($EN677=0,0,IF(OR(UPPER(TRIM(INDEX(LINES_SCHEDULED,$EN677)&amp;""))="YES",UPPER(TRIM(INDEX(LINES_SCHEDULED,$EN677)&amp;""))="Y",UPPER(TRIM(INDEX(LINES_SCHEDULED,$EN677)&amp;""))="X"),1,0))</f>
        <v/>
      </c>
      <c r="EP677">
        <f>IF($DM677=0,"",IF(COUNTIFS($EG$5:$EG$1003,$EG677,$EB$5:$EB$1003,"Ready")&gt;0,"READY",IF(COUNTIFS($EG$5:$EG$1003,$EG677,$EB$5:$EB$1003,"PM")&gt;0,"PM",IF(COUNTIFS($EG$5:$EG$1003,$EG677,$EB$5:$EB$1003,"OT")&gt;0,"OT",""))))</f>
        <v/>
      </c>
      <c r="EQ677">
        <f>IF($EN677=0,"",UPPER(TRIM(INDEX(LINES_STATUS,$EN677)&amp;"")))</f>
        <v/>
      </c>
      <c r="ER677">
        <f>IF($DM677=0,"",IF(OR($EQ677="READY",$EQ677="PM",$EQ677="OT"),$EQ677,$EP677))</f>
        <v/>
      </c>
      <c r="ES677">
        <f>IF($DM677=0,"",IF(AND($DV677&lt;&gt;"",UPPER($DV677)&lt;&gt;"N"),"allergen",IF(ISNUMBER(SEARCH("oil",$DQ677)),"oil",IF(OR(EXACT($DS677,"A662"),EXACT($DS677,"A624")),"bulk",""))))</f>
        <v/>
      </c>
      <c r="ET677">
        <f>IF($DM677=0,"",IF(OR($EA677="",$EA677=0),"",$EA677/100))</f>
        <v/>
      </c>
      <c r="EU677">
        <f>IF(OR($ET677="",$DY677=""),"",INT($DY677*(1-$ET677)+0.5))</f>
        <v/>
      </c>
      <c r="EW677" t="n">
        <v>673</v>
      </c>
      <c r="EX677">
        <f>IFERROR(MATCH($EW677,$EM$5:$EM$1003,0),0)</f>
        <v/>
      </c>
      <c r="EY677">
        <f>IF($EW677&gt;$B$12,"",IF($EX677&gt;0,"row","spacer"))</f>
        <v/>
      </c>
      <c r="EZ677">
        <f>IF(AND($EY677="row",$EY676&lt;&gt;"row"),1,0)</f>
        <v/>
      </c>
      <c r="FA677">
        <f>IF(AND($EY677="row",$EY678&lt;&gt;"row"),1,0)</f>
        <v/>
      </c>
      <c r="FB677">
        <f>IF($EZ677=1,IFERROR(IF(ISNUMBER(INDEX(PASTE_ALL,INDEX($DF$5:$DF$1003,$EX677),$B$37)),INDEX(PASTE_ALL,INDEX($DF$5:$DF$1003,$EX677),$B$37),INDEX($DH$5:$DH$1003,$EX677)),INDEX($DH$5:$DH$1003,$EX677)),"")</f>
        <v/>
      </c>
      <c r="FC677">
        <f>IF($EY677="row",INDEX($ER$5:$ER$1003,$EX677),"")</f>
        <v/>
      </c>
      <c r="FD677">
        <f>IF($EY677="row",INDEX($DN$5:$DN$1003,$EX677),"")</f>
        <v/>
      </c>
      <c r="FE677">
        <f>IF($EY677="row",INDEX($DO$5:$DO$1003,$EX677),"")</f>
        <v/>
      </c>
      <c r="FF677">
        <f>IF($EY677="row",INDEX($DP$5:$DP$1003,$EX677),"")</f>
        <v/>
      </c>
      <c r="FG677">
        <f>IF($EY677="row",INDEX($DQ$5:$DQ$1003,$EX677),"")</f>
        <v/>
      </c>
      <c r="FH677">
        <f>IF($EY677="row",INDEX($DR$5:$DR$1003,$EX677),"")</f>
        <v/>
      </c>
      <c r="FI677">
        <f>IF($EY677="row",INDEX($DS$5:$DS$1003,$EX677),"")</f>
        <v/>
      </c>
      <c r="FJ677">
        <f>IF($EY677="row",INDEX($DT$5:$DT$1003,$EX677),"")</f>
        <v/>
      </c>
      <c r="FK677">
        <f>IF($EY677="row",INDEX($DU$5:$DU$1003,$EX677),"")</f>
        <v/>
      </c>
      <c r="FL677">
        <f>IF($EY677="row",INDEX($DV$5:$DV$1003,$EX677),"")</f>
        <v/>
      </c>
      <c r="FM677">
        <f>IF($EY677="row",INDEX($DW$5:$DW$1003,$EX677),"")</f>
        <v/>
      </c>
      <c r="FN677">
        <f>IF($EY677="row",INDEX($DY$5:$DY$1003,$EX677),"")</f>
        <v/>
      </c>
      <c r="FO677">
        <f>IF($EY677="row",INDEX($EA$5:$EA$1003,$EX677),"")</f>
        <v/>
      </c>
      <c r="FP677">
        <f>IF($EY677="row",INDEX($EC$5:$EC$1003,$EX677),"")</f>
        <v/>
      </c>
      <c r="FQ677">
        <f>IF($EY677="row",INDEX($ET$5:$ET$1003,$EX677),"")</f>
        <v/>
      </c>
      <c r="FR677">
        <f>IF($EY677="row",INDEX($EU$5:$EU$1003,$EX677),"")</f>
        <v/>
      </c>
      <c r="FS677">
        <f>IF(AND($EY677="row",$EY676="row"),IF(OR(INDEX($DT$5:$DT$1003,$EX676)="",INDEX($DT$5:$DT$1003,$EX677)=""),"",IF(NOT(EXACT(INDEX($DT$5:$DT$1003,$EX676),INDEX($DT$5:$DT$1003,$EX677))),"S4",IF(NOT(EXACT(INDEX($DS$5:$DS$1003,$EX676),INDEX($DS$5:$DS$1003,$EX677))),"S3",IF(NOT(EXACT(INDEX($DR$5:$DR$1003,$EX676),INDEX($DR$5:$DR$1003,$EX677))),"S1 Count Change","S1")))),"")</f>
        <v/>
      </c>
      <c r="FT677">
        <f>IF($EY677="row",INDEX($ES$5:$ES$1003,$EX677),"")</f>
        <v/>
      </c>
      <c r="FU677">
        <f>IF($EY677="row",INDEX($EO$5:$EO$1003,$EX677),0)</f>
        <v/>
      </c>
      <c r="FV677">
        <f>IF($FS677="S1 Count Change",1,0)</f>
        <v/>
      </c>
    </row>
    <row r="678">
      <c r="DA678" t="n">
        <v>674</v>
      </c>
      <c r="DB678">
        <f>IF($B$37=0,"",IFERROR(TRIM(SUBSTITUTE(SUBSTITUTE(SUBSTITUTE(SUBSTITUTE(INDEX(PASTE_ALL,674,$B$37)," "," "),CHAR(9)," "),CHAR(10)," "),CHAR(13)," ")),""))</f>
        <v/>
      </c>
      <c r="DC678">
        <f>IF(AND(674&gt;HEADER_ROW,UPPER(DB678)="LEGEND"),1,0)</f>
        <v/>
      </c>
      <c r="DE678" t="n">
        <v>674</v>
      </c>
      <c r="DF678">
        <f>HEADER_ROW+$DE678</f>
        <v/>
      </c>
      <c r="DG678">
        <f>IF(AND($DF678&lt;=1000,$DF678&lt;$B$8),1,0)</f>
        <v/>
      </c>
      <c r="DH678">
        <f>IF($DG678=1,IFERROR(INDEX($DB$5:$DB$1004,$DF678),""),"")</f>
        <v/>
      </c>
      <c r="DI678">
        <f>IF(AND($DG678=1,$DH678&lt;&gt;""),IFERROR(SUBSTITUTE(SUBSTITUTE(TRIM(SUBSTITUTE(SUBSTITUTE(SUBSTITUTE(SUBSTITUTE(IFERROR(INDEX(PASTE_ALL,$DF678,1)&amp;"","")&amp;"␟"&amp;IFERROR(INDEX(PASTE_ALL,$DF678,2)&amp;"","")&amp;"␟"&amp;IFERROR(INDEX(PASTE_ALL,$DF678,3)&amp;"","")&amp;"␟"&amp;IFERROR(INDEX(PASTE_ALL,$DF678,4)&amp;"","")&amp;"␟"&amp;IFERROR(INDEX(PASTE_ALL,$DF678,5)&amp;"","")&amp;"␟"&amp;IFERROR(INDEX(PASTE_ALL,$DF678,6)&amp;"","")&amp;"␟"&amp;IFERROR(INDEX(PASTE_ALL,$DF678,7)&amp;"","")&amp;"␟"&amp;IFERROR(INDEX(PASTE_ALL,$DF678,8)&amp;"","")&amp;"␟"&amp;IFERROR(INDEX(PASTE_ALL,$DF678,9)&amp;"","")&amp;"␟"&amp;IFERROR(INDEX(PASTE_ALL,$DF678,10)&amp;"","")&amp;"␟"&amp;IFERROR(INDEX(PASTE_ALL,$DF678,11)&amp;"","")&amp;"␟"&amp;IFERROR(INDEX(PASTE_ALL,$DF678,12)&amp;"","")&amp;"␟"&amp;IFERROR(INDEX(PASTE_ALL,$DF678,13)&amp;"","")&amp;"␟"&amp;IFERROR(INDEX(PASTE_ALL,$DF678,14)&amp;"","")&amp;"␟"&amp;IFERROR(INDEX(PASTE_ALL,$DF678,15)&amp;"","")&amp;"␟"&amp;IFERROR(INDEX(PASTE_ALL,$DF678,16)&amp;"","")&amp;"␟"&amp;IFERROR(INDEX(PASTE_ALL,$DF678,17)&amp;"","")&amp;"␟"&amp;IFERROR(INDEX(PASTE_ALL,$DF678,18)&amp;"","")&amp;"␟"&amp;IFERROR(INDEX(PASTE_ALL,$DF678,19)&amp;"","")&amp;"␟"&amp;IFERROR(INDEX(PASTE_ALL,$DF678,20)&amp;"","")&amp;"␟"&amp;IFERROR(INDEX(PASTE_ALL,$DF678,21)&amp;"","")&amp;"␟"&amp;IFERROR(INDEX(PASTE_ALL,$DF678,22)&amp;"","")&amp;"␟"&amp;IFERROR(INDEX(PASTE_ALL,$DF678,23)&amp;"","")&amp;"␟"&amp;IFERROR(INDEX(PASTE_ALL,$DF678,24)&amp;"","")&amp;"␟"&amp;IFERROR(INDEX(PASTE_ALL,$DF678,25)&amp;"","")&amp;"␟"&amp;IFERROR(INDEX(PASTE_ALL,$DF678,26)&amp;"","")&amp;"␟"&amp;IFERROR(INDEX(PASTE_ALL,$DF678,27)&amp;"","")&amp;"␟"&amp;IFERROR(INDEX(PASTE_ALL,$DF678,28)&amp;"","")&amp;"␟"&amp;IFERROR(INDEX(PASTE_ALL,$DF678,29)&amp;"","")&amp;"␟"&amp;IFERROR(INDEX(PASTE_ALL,$DF678,30)&amp;"","")&amp;"␟"&amp;IFERROR(INDEX(PASTE_ALL,$DF678,31)&amp;"","")&amp;"␟"&amp;IFERROR(INDEX(PASTE_ALL,$DF678,32)&amp;"","")&amp;"␟"&amp;IFERROR(INDEX(PASTE_ALL,$DF678,33)&amp;"","")&amp;"␟"&amp;IFERROR(INDEX(PASTE_ALL,$DF678,34)&amp;"","")&amp;"␟"&amp;IFERROR(INDEX(PASTE_ALL,$DF678,35)&amp;"","")&amp;"␟"&amp;IFERROR(INDEX(PASTE_ALL,$DF678,36)&amp;"","")&amp;"␟"&amp;IFERROR(INDEX(PASTE_ALL,$DF678,37)&amp;"","")&amp;"␟"&amp;IFERROR(INDEX(PASTE_ALL,$DF678,38)&amp;"","")&amp;"␟"&amp;IFERROR(INDEX(PASTE_ALL,$DF678,39)&amp;"","")&amp;"␟"&amp;IFERROR(INDEX(PASTE_ALL,$DF678,40)&amp;"","")&amp;"␟"&amp;IFERROR(INDEX(PASTE_ALL,$DF678,41)&amp;"","")&amp;"␟"&amp;IFERROR(INDEX(PASTE_ALL,$DF678,42)&amp;"","")&amp;"␟"&amp;IFERROR(INDEX(PASTE_ALL,$DF678,43)&amp;"","")&amp;"␟"&amp;IFERROR(INDEX(PASTE_ALL,$DF678,44)&amp;"","")&amp;"␟"&amp;IFERROR(INDEX(PASTE_ALL,$DF678,45)&amp;"","")&amp;"␟"&amp;IFERROR(INDEX(PASTE_ALL,$DF678,46)&amp;"","")&amp;"␟"&amp;IFERROR(INDEX(PASTE_ALL,$DF678,47)&amp;"","")&amp;"␟"&amp;IFERROR(INDEX(PASTE_ALL,$DF678,48)&amp;"","")&amp;"␟"&amp;IFERROR(INDEX(PASTE_ALL,$DF678,49)&amp;"","")&amp;"␟"&amp;IFERROR(INDEX(PASTE_ALL,$DF678,50)&amp;"","")&amp;"␟"&amp;IFERROR(INDEX(PASTE_ALL,$DF678,51)&amp;"","")&amp;"␟"&amp;IFERROR(INDEX(PASTE_ALL,$DF678,52)&amp;"","")&amp;"␟"&amp;IFERROR(INDEX(PASTE_ALL,$DF678,53)&amp;"","")&amp;"␟"&amp;IFERROR(INDEX(PASTE_ALL,$DF678,54)&amp;"","")&amp;"␟"&amp;IFERROR(INDEX(PASTE_ALL,$DF678,55)&amp;"","")&amp;"␟"&amp;IFERROR(INDEX(PASTE_ALL,$DF678,56)&amp;"","")&amp;"␟"&amp;IFERROR(INDEX(PASTE_ALL,$DF678,57)&amp;"","")&amp;"␟"&amp;IFERROR(INDEX(PASTE_ALL,$DF678,58)&amp;"","")&amp;"␟"&amp;IFERROR(INDEX(PASTE_ALL,$DF678,59)&amp;"","")&amp;"␟"&amp;IFERROR(INDEX(PASTE_ALL,$DF678,60)&amp;"","")," "," "),CHAR(9)," "),CHAR(10)," "),CHAR(13)," "))," ␟","␟"),"␟ ","␟"),"#"&amp;$DE678),"")</f>
        <v/>
      </c>
      <c r="DJ678">
        <f>IF($DI678="",0,IF(SUMPRODUCT(--EXACT($DI$4:DI677,$DI678))&gt;0,1,0))</f>
        <v/>
      </c>
      <c r="DK678">
        <f>IF(AND($DI678&lt;&gt;"",$DJ678=0),1,0)</f>
        <v/>
      </c>
      <c r="DL678">
        <f>DL677+$DK678</f>
        <v/>
      </c>
      <c r="DM678">
        <f>IF(AND($DK678=1,$DL678&lt;=600),1,0)</f>
        <v/>
      </c>
      <c r="DN678">
        <f>IF($DM678=0,"",IF($L$6=0,"",IFERROR(IF(ISNUMBER(INDEX(PASTE_ALL,$DF678,$L$6)),INDEX(PASTE_ALL,$DF678,$L$6),TRIM(SUBSTITUTE(SUBSTITUTE(SUBSTITUTE(SUBSTITUTE(INDEX(PASTE_ALL,$DF678,$L$6)," "," "),CHAR(9)," "),CHAR(10)," "),CHAR(13)," "))),"")))</f>
        <v/>
      </c>
      <c r="DO678">
        <f>IF($DM678=0,"",IF($L$7=0,"",IFERROR(IF(ISNUMBER(INDEX(PASTE_ALL,$DF678,$L$7)),INDEX(PASTE_ALL,$DF678,$L$7),TRIM(SUBSTITUTE(SUBSTITUTE(SUBSTITUTE(SUBSTITUTE(INDEX(PASTE_ALL,$DF678,$L$7)," "," "),CHAR(9)," "),CHAR(10)," "),CHAR(13)," "))),"")))</f>
        <v/>
      </c>
      <c r="DP678">
        <f>IF($DM678=0,"",IF($L$8=0,"",IFERROR(IF(ISNUMBER(INDEX(PASTE_ALL,$DF678,$L$8)),INDEX(PASTE_ALL,$DF678,$L$8),TRIM(SUBSTITUTE(SUBSTITUTE(SUBSTITUTE(SUBSTITUTE(INDEX(PASTE_ALL,$DF678,$L$8)," "," "),CHAR(9)," "),CHAR(10)," "),CHAR(13)," "))),"")))</f>
        <v/>
      </c>
      <c r="DQ678">
        <f>IF($DM678=0,"",IF($L$9=0,"",IFERROR(IF(ISNUMBER(INDEX(PASTE_ALL,$DF678,$L$9)),INDEX(PASTE_ALL,$DF678,$L$9),TRIM(SUBSTITUTE(SUBSTITUTE(SUBSTITUTE(SUBSTITUTE(INDEX(PASTE_ALL,$DF678,$L$9)," "," "),CHAR(9)," "),CHAR(10)," "),CHAR(13)," "))),"")))</f>
        <v/>
      </c>
      <c r="DR678">
        <f>IF($DM678=0,"",IF($L$10=0,"",IFERROR(IF(ISNUMBER(INDEX(PASTE_ALL,$DF678,$L$10)),INDEX(PASTE_ALL,$DF678,$L$10),TRIM(SUBSTITUTE(SUBSTITUTE(SUBSTITUTE(SUBSTITUTE(INDEX(PASTE_ALL,$DF678,$L$10)," "," "),CHAR(9)," "),CHAR(10)," "),CHAR(13)," "))),"")))</f>
        <v/>
      </c>
      <c r="DS678">
        <f>IF($DM678=0,"",IF($L$11=0,"",IFERROR(IF(ISNUMBER(INDEX(PASTE_ALL,$DF678,$L$11)),INDEX(PASTE_ALL,$DF678,$L$11),TRIM(SUBSTITUTE(SUBSTITUTE(SUBSTITUTE(SUBSTITUTE(INDEX(PASTE_ALL,$DF678,$L$11)," "," "),CHAR(9)," "),CHAR(10)," "),CHAR(13)," "))),"")))</f>
        <v/>
      </c>
      <c r="DT678">
        <f>IF($DM678=0,"",IF($L$12=0,"",IFERROR(IF(ISNUMBER(INDEX(PASTE_ALL,$DF678,$L$12)),INDEX(PASTE_ALL,$DF678,$L$12),TRIM(SUBSTITUTE(SUBSTITUTE(SUBSTITUTE(SUBSTITUTE(INDEX(PASTE_ALL,$DF678,$L$12)," "," "),CHAR(9)," "),CHAR(10)," "),CHAR(13)," "))),"")))</f>
        <v/>
      </c>
      <c r="DU678">
        <f>IF($DM678=0,"",IF($L$13=0,"",IFERROR(IF(ISNUMBER(INDEX(PASTE_ALL,$DF678,$L$13)),INDEX(PASTE_ALL,$DF678,$L$13),TRIM(SUBSTITUTE(SUBSTITUTE(SUBSTITUTE(SUBSTITUTE(INDEX(PASTE_ALL,$DF678,$L$13)," "," "),CHAR(9)," "),CHAR(10)," "),CHAR(13)," "))),"")))</f>
        <v/>
      </c>
      <c r="DV678">
        <f>IF($DM678=0,"",IF($L$14=0,"",IFERROR(IF(ISNUMBER(INDEX(PASTE_ALL,$DF678,$L$14)),INDEX(PASTE_ALL,$DF678,$L$14),TRIM(SUBSTITUTE(SUBSTITUTE(SUBSTITUTE(SUBSTITUTE(INDEX(PASTE_ALL,$DF678,$L$14)," "," "),CHAR(9)," "),CHAR(10)," "),CHAR(13)," "))),"")))</f>
        <v/>
      </c>
      <c r="DW678">
        <f>IF($DM678=0,"",IF($L$15=0,"",IFERROR(IF(ISNUMBER(INDEX(PASTE_ALL,$DF678,$L$15)),INDEX(PASTE_ALL,$DF678,$L$15),IF(SUMPRODUCT(--ISNUMBER(FIND({"A","B","C","D","E","F","G","H","I","J","K","L","M","N","O","P","Q","R","S","T","U","V","W","X","Y","Z","0","1","2","3","4","5","6","7","8","9"},UPPER(TRIM(SUBSTITUTE(SUBSTITUTE(SUBSTITUTE(SUBSTITUTE(INDEX(PASTE_ALL,$DF678,$L$15)," "," "),CHAR(9)," "),CHAR(10)," "),CHAR(13)," "))))))&gt;0,TRIM(SUBSTITUTE(SUBSTITUTE(SUBSTITUTE(SUBSTITUTE(INDEX(PASTE_ALL,$DF678,$L$15)," "," "),CHAR(9)," "),CHAR(10)," "),CHAR(13)," ")),"")),"")))</f>
        <v/>
      </c>
      <c r="DX678">
        <f>IF($DM678=0,"",IF($L$16=0,"",IFERROR(IF(ISNUMBER(INDEX(PASTE_ALL,$DF678,$L$16)),INDEX(PASTE_ALL,$DF678,$L$16),SUBSTITUTE(SUBSTITUTE(TRIM(SUBSTITUTE(SUBSTITUTE(SUBSTITUTE(SUBSTITUTE(INDEX(PASTE_ALL,$DF678,$L$16)," "," "),CHAR(9)," "),CHAR(10)," "),CHAR(13)," ")),",",""),"%","")),"")))</f>
        <v/>
      </c>
      <c r="DY678">
        <f>IF($DM678=0,"",IFERROR(IF(ISNUMBER($DX678),$DX678,IF($DX678="","",IF(TRIM($DX678)="",0,IF(AND(AND(SUBSTITUTE(SUBSTITUTE(SUBSTITUTE(SUBSTITUTE(SUBSTITUTE(SUBSTITUTE(SUBSTITUTE(SUBSTITUTE(SUBSTITUTE(SUBSTITUTE(SUBSTITUTE(SUBSTITUTE(SUBSTITUTE(SUBSTITUTE(UPPER(TRIM($DX678)),"0",""),"1",""),"2",""),"3",""),"4",""),"5",""),"6",""),"7",""),"8",""),"9",""),".",""),"+",""),"-",""),"E","")="",LEN(SUBSTITUTE(SUBSTITUTE(MID(UPPER(TRIM($DX678)),1+OR(LEFT(UPPER(TRIM($DX678)),1)="+",LEFT(UPPER(TRIM($DX678)),1)="-"),999),"E+","E"),"E-","E"))=LEN(SUBSTITUTE(SUBSTITUTE(SUBSTITUTE(SUBSTITUTE(MID(UPPER(TRIM($DX678)),1+OR(LEFT(UPPER(TRIM($DX678)),1)="+",LEFT(UPPER(TRIM($DX678)),1)="-"),999),"E+","E"),"E-","E"),"+",""),"-","")),LEN(UPPER(TRIM($DX678)))-LEN(SUBSTITUTE(UPPER(TRIM($DX678)),"E",""))&lt;2,LEN(UPPER(TRIM($DX678)))-LEN(SUBSTITUTE(UPPER(TRIM($DX678)),".",""))&lt;2,IFERROR(FIND(".",UPPER(TRIM($DX678))),0)&lt;IFERROR(FIND("E",UPPER(TRIM($DX678))),999)),ISNUMBER(VALUE(TRIM($DX678)))),VALUE(TRIM($DX678)),"")))),""))</f>
        <v/>
      </c>
      <c r="DZ678">
        <f>IF($DM678=0,"",IF($L$17=0,"",IFERROR(IF(ISNUMBER(INDEX(PASTE_ALL,$DF678,$L$17)),INDEX(PASTE_ALL,$DF678,$L$17),SUBSTITUTE(SUBSTITUTE(TRIM(SUBSTITUTE(SUBSTITUTE(SUBSTITUTE(SUBSTITUTE(INDEX(PASTE_ALL,$DF678,$L$17)," "," "),CHAR(9)," "),CHAR(10)," "),CHAR(13)," ")),",",""),"%","")),"")))</f>
        <v/>
      </c>
      <c r="EA678">
        <f>IF($DM678=0,"",IFERROR(IF(ISNUMBER($DZ678),$DZ678,IF($DZ678="","",IF(TRIM($DZ678)="",0,IF(AND(AND(SUBSTITUTE(SUBSTITUTE(SUBSTITUTE(SUBSTITUTE(SUBSTITUTE(SUBSTITUTE(SUBSTITUTE(SUBSTITUTE(SUBSTITUTE(SUBSTITUTE(SUBSTITUTE(SUBSTITUTE(SUBSTITUTE(SUBSTITUTE(UPPER(TRIM($DZ678)),"0",""),"1",""),"2",""),"3",""),"4",""),"5",""),"6",""),"7",""),"8",""),"9",""),".",""),"+",""),"-",""),"E","")="",LEN(SUBSTITUTE(SUBSTITUTE(MID(UPPER(TRIM($DZ678)),1+OR(LEFT(UPPER(TRIM($DZ678)),1)="+",LEFT(UPPER(TRIM($DZ678)),1)="-"),999),"E+","E"),"E-","E"))=LEN(SUBSTITUTE(SUBSTITUTE(SUBSTITUTE(SUBSTITUTE(MID(UPPER(TRIM($DZ678)),1+OR(LEFT(UPPER(TRIM($DZ678)),1)="+",LEFT(UPPER(TRIM($DZ678)),1)="-"),999),"E+","E"),"E-","E"),"+",""),"-","")),LEN(UPPER(TRIM($DZ678)))-LEN(SUBSTITUTE(UPPER(TRIM($DZ678)),"E",""))&lt;2,LEN(UPPER(TRIM($DZ678)))-LEN(SUBSTITUTE(UPPER(TRIM($DZ678)),".",""))&lt;2,IFERROR(FIND(".",UPPER(TRIM($DZ678))),0)&lt;IFERROR(FIND("E",UPPER(TRIM($DZ678))),999)),ISNUMBER(VALUE(TRIM($DZ678)))),VALUE(TRIM($DZ678)),"")))),""))</f>
        <v/>
      </c>
      <c r="EB678">
        <f>IF($DM678=0,"",IF($L$18=0,"",IFERROR(IF(UPPER(TRIM(SUBSTITUTE(SUBSTITUTE(SUBSTITUTE(SUBSTITUTE(INDEX(PASTE_ALL,$DF678,$L$18)," "," "),CHAR(9)," "),CHAR(10)," "),CHAR(13)," ")))="READY","Ready",IF(UPPER(TRIM(SUBSTITUTE(SUBSTITUTE(SUBSTITUTE(SUBSTITUTE(INDEX(PASTE_ALL,$DF678,$L$18)," "," "),CHAR(9)," "),CHAR(10)," "),CHAR(13)," ")))="PM","PM",IF(OR(UPPER(TRIM(SUBSTITUTE(SUBSTITUTE(SUBSTITUTE(SUBSTITUTE(INDEX(PASTE_ALL,$DF678,$L$18)," "," "),CHAR(9)," "),CHAR(10)," "),CHAR(13)," ")))="OT",UPPER(TRIM(SUBSTITUTE(SUBSTITUTE(SUBSTITUTE(SUBSTITUTE(INDEX(PASTE_ALL,$DF678,$L$18)," "," "),CHAR(9)," "),CHAR(10)," "),CHAR(13)," ")))="OVERTIME",UPPER(TRIM(SUBSTITUTE(SUBSTITUTE(SUBSTITUTE(SUBSTITUTE(INDEX(PASTE_ALL,$DF678,$L$18)," "," "),CHAR(9)," "),CHAR(10)," "),CHAR(13)," ")))="TRIAL"),"OT",TRIM(SUBSTITUTE(SUBSTITUTE(SUBSTITUTE(SUBSTITUTE(INDEX(PASTE_ALL,$DF678,$L$18)," "," "),CHAR(9)," "),CHAR(10)," "),CHAR(13)," "))))),"")))</f>
        <v/>
      </c>
      <c r="EC678">
        <f>IF($DM678=0,"",IF($L$19=0,"",IFERROR(IF(ISNUMBER(INDEX(PASTE_ALL,$DF678,$L$19)),INDEX(PASTE_ALL,$DF678,$L$19),TRIM(SUBSTITUTE(SUBSTITUTE(SUBSTITUTE(SUBSTITUTE(INDEX(PASTE_ALL,$DF678,$L$19)," "," "),CHAR(9)," "),CHAR(10)," "),CHAR(13)," "))),"")))</f>
        <v/>
      </c>
      <c r="ED678">
        <f>IF($DM678=0,"",MATCH(1,INDEX(EXACT($DH$5:DH678,$DH678)*$DM$5:DM678,0),0))</f>
        <v/>
      </c>
      <c r="EE678">
        <f>IF($DM678=0,0,IF($ED678=$DE678,1,0))</f>
        <v/>
      </c>
      <c r="EF678">
        <f>EF677+$EE678</f>
        <v/>
      </c>
      <c r="EG678">
        <f>IF($DM678=0,"",INDEX($EF$5:$EF$1003,$ED678))</f>
        <v/>
      </c>
      <c r="EH678">
        <f>IF($DM678=0,"",IF($DO678&lt;&gt;"","",IFERROR(LOOKUP(2,1/(($EG$4:EG677=$EG678)*($DO$4:DO677&lt;&gt;"")),$DO$4:DO677),"")))</f>
        <v/>
      </c>
      <c r="EI678">
        <f>IF($DM678=0,"",IF($DO678&lt;&gt;"",$DO678,$EH678))</f>
        <v/>
      </c>
      <c r="EJ678">
        <f>IF($DM678=0,"",IF($EI678="",0,IF(OR(ISNUMBER($EI678),AND(AND(SUBSTITUTE(SUBSTITUTE(SUBSTITUTE(SUBSTITUTE(SUBSTITUTE(SUBSTITUTE(SUBSTITUTE(SUBSTITUTE(SUBSTITUTE(SUBSTITUTE(SUBSTITUTE(SUBSTITUTE(SUBSTITUTE(SUBSTITUTE(UPPER($EI678),"0",""),"1",""),"2",""),"3",""),"4",""),"5",""),"6",""),"7",""),"8",""),"9",""),".",""),"+",""),"-",""),"E","")="",LEN(SUBSTITUTE(SUBSTITUTE(MID(UPPER($EI678),1+OR(LEFT(UPPER($EI678),1)="+",LEFT(UPPER($EI678),1)="-"),999),"E+","E"),"E-","E"))=LEN(SUBSTITUTE(SUBSTITUTE(SUBSTITUTE(SUBSTITUTE(MID(UPPER($EI678),1+OR(LEFT(UPPER($EI678),1)="+",LEFT(UPPER($EI678),1)="-"),999),"E+","E"),"E-","E"),"+",""),"-","")),LEN(UPPER($EI678))-LEN(SUBSTITUTE(UPPER($EI678),"E",""))&lt;2,LEN(UPPER($EI678))-LEN(SUBSTITUTE(UPPER($EI678),".",""))&lt;2,IFERROR(FIND(".",UPPER($EI678)),0)&lt;IFERROR(FIND("E",UPPER($EI678)),999)),ISNUMBER(VALUE($EI678)))),1,2)))</f>
        <v/>
      </c>
      <c r="EK678">
        <f>IF($DM678=0,"",IF($EJ678=1,IF(ISNUMBER($EI678),$EI678,VALUE($EI678)),IF($EJ678=2,$DE678,0)))</f>
        <v/>
      </c>
      <c r="EL678">
        <f>IF($DM678=0,"",COUNTIF($EG$5:$EG$1003,"&lt;"&amp;$EG678)+SUMPRODUCT(($EG$5:$EG$1003=$EG678)*(($EJ$5:$EJ$1003&lt;$EJ678)+($EJ$5:$EJ$1003=$EJ678)*(($EK$5:$EK$1003&lt;$EK678)+($EK$5:$EK$1003=$EK678)*($DE$5:$DE$1003&lt;$DE678))))+1)</f>
        <v/>
      </c>
      <c r="EM678">
        <f>IF($DM678=0,"",$EL678+$EG678-1)</f>
        <v/>
      </c>
      <c r="EN678">
        <f>IF($DM678=0,0,IFERROR(MATCH(1,INDEX(--(TRIM(SUBSTITUTE(SUBSTITUTE(SUBSTITUTE(SUBSTITUTE(LINES_NAME&amp;""," "," "),CHAR(9)," "),CHAR(10)," "),CHAR(13)," "))=$DH678),0),0),0))</f>
        <v/>
      </c>
      <c r="EO678">
        <f>IF($EN678=0,0,IF(OR(UPPER(TRIM(INDEX(LINES_SCHEDULED,$EN678)&amp;""))="YES",UPPER(TRIM(INDEX(LINES_SCHEDULED,$EN678)&amp;""))="Y",UPPER(TRIM(INDEX(LINES_SCHEDULED,$EN678)&amp;""))="X"),1,0))</f>
        <v/>
      </c>
      <c r="EP678">
        <f>IF($DM678=0,"",IF(COUNTIFS($EG$5:$EG$1003,$EG678,$EB$5:$EB$1003,"Ready")&gt;0,"READY",IF(COUNTIFS($EG$5:$EG$1003,$EG678,$EB$5:$EB$1003,"PM")&gt;0,"PM",IF(COUNTIFS($EG$5:$EG$1003,$EG678,$EB$5:$EB$1003,"OT")&gt;0,"OT",""))))</f>
        <v/>
      </c>
      <c r="EQ678">
        <f>IF($EN678=0,"",UPPER(TRIM(INDEX(LINES_STATUS,$EN678)&amp;"")))</f>
        <v/>
      </c>
      <c r="ER678">
        <f>IF($DM678=0,"",IF(OR($EQ678="READY",$EQ678="PM",$EQ678="OT"),$EQ678,$EP678))</f>
        <v/>
      </c>
      <c r="ES678">
        <f>IF($DM678=0,"",IF(AND($DV678&lt;&gt;"",UPPER($DV678)&lt;&gt;"N"),"allergen",IF(ISNUMBER(SEARCH("oil",$DQ678)),"oil",IF(OR(EXACT($DS678,"A662"),EXACT($DS678,"A624")),"bulk",""))))</f>
        <v/>
      </c>
      <c r="ET678">
        <f>IF($DM678=0,"",IF(OR($EA678="",$EA678=0),"",$EA678/100))</f>
        <v/>
      </c>
      <c r="EU678">
        <f>IF(OR($ET678="",$DY678=""),"",INT($DY678*(1-$ET678)+0.5))</f>
        <v/>
      </c>
      <c r="EW678" t="n">
        <v>674</v>
      </c>
      <c r="EX678">
        <f>IFERROR(MATCH($EW678,$EM$5:$EM$1003,0),0)</f>
        <v/>
      </c>
      <c r="EY678">
        <f>IF($EW678&gt;$B$12,"",IF($EX678&gt;0,"row","spacer"))</f>
        <v/>
      </c>
      <c r="EZ678">
        <f>IF(AND($EY678="row",$EY677&lt;&gt;"row"),1,0)</f>
        <v/>
      </c>
      <c r="FA678">
        <f>IF(AND($EY678="row",$EY679&lt;&gt;"row"),1,0)</f>
        <v/>
      </c>
      <c r="FB678">
        <f>IF($EZ678=1,IFERROR(IF(ISNUMBER(INDEX(PASTE_ALL,INDEX($DF$5:$DF$1003,$EX678),$B$37)),INDEX(PASTE_ALL,INDEX($DF$5:$DF$1003,$EX678),$B$37),INDEX($DH$5:$DH$1003,$EX678)),INDEX($DH$5:$DH$1003,$EX678)),"")</f>
        <v/>
      </c>
      <c r="FC678">
        <f>IF($EY678="row",INDEX($ER$5:$ER$1003,$EX678),"")</f>
        <v/>
      </c>
      <c r="FD678">
        <f>IF($EY678="row",INDEX($DN$5:$DN$1003,$EX678),"")</f>
        <v/>
      </c>
      <c r="FE678">
        <f>IF($EY678="row",INDEX($DO$5:$DO$1003,$EX678),"")</f>
        <v/>
      </c>
      <c r="FF678">
        <f>IF($EY678="row",INDEX($DP$5:$DP$1003,$EX678),"")</f>
        <v/>
      </c>
      <c r="FG678">
        <f>IF($EY678="row",INDEX($DQ$5:$DQ$1003,$EX678),"")</f>
        <v/>
      </c>
      <c r="FH678">
        <f>IF($EY678="row",INDEX($DR$5:$DR$1003,$EX678),"")</f>
        <v/>
      </c>
      <c r="FI678">
        <f>IF($EY678="row",INDEX($DS$5:$DS$1003,$EX678),"")</f>
        <v/>
      </c>
      <c r="FJ678">
        <f>IF($EY678="row",INDEX($DT$5:$DT$1003,$EX678),"")</f>
        <v/>
      </c>
      <c r="FK678">
        <f>IF($EY678="row",INDEX($DU$5:$DU$1003,$EX678),"")</f>
        <v/>
      </c>
      <c r="FL678">
        <f>IF($EY678="row",INDEX($DV$5:$DV$1003,$EX678),"")</f>
        <v/>
      </c>
      <c r="FM678">
        <f>IF($EY678="row",INDEX($DW$5:$DW$1003,$EX678),"")</f>
        <v/>
      </c>
      <c r="FN678">
        <f>IF($EY678="row",INDEX($DY$5:$DY$1003,$EX678),"")</f>
        <v/>
      </c>
      <c r="FO678">
        <f>IF($EY678="row",INDEX($EA$5:$EA$1003,$EX678),"")</f>
        <v/>
      </c>
      <c r="FP678">
        <f>IF($EY678="row",INDEX($EC$5:$EC$1003,$EX678),"")</f>
        <v/>
      </c>
      <c r="FQ678">
        <f>IF($EY678="row",INDEX($ET$5:$ET$1003,$EX678),"")</f>
        <v/>
      </c>
      <c r="FR678">
        <f>IF($EY678="row",INDEX($EU$5:$EU$1003,$EX678),"")</f>
        <v/>
      </c>
      <c r="FS678">
        <f>IF(AND($EY678="row",$EY677="row"),IF(OR(INDEX($DT$5:$DT$1003,$EX677)="",INDEX($DT$5:$DT$1003,$EX678)=""),"",IF(NOT(EXACT(INDEX($DT$5:$DT$1003,$EX677),INDEX($DT$5:$DT$1003,$EX678))),"S4",IF(NOT(EXACT(INDEX($DS$5:$DS$1003,$EX677),INDEX($DS$5:$DS$1003,$EX678))),"S3",IF(NOT(EXACT(INDEX($DR$5:$DR$1003,$EX677),INDEX($DR$5:$DR$1003,$EX678))),"S1 Count Change","S1")))),"")</f>
        <v/>
      </c>
      <c r="FT678">
        <f>IF($EY678="row",INDEX($ES$5:$ES$1003,$EX678),"")</f>
        <v/>
      </c>
      <c r="FU678">
        <f>IF($EY678="row",INDEX($EO$5:$EO$1003,$EX678),0)</f>
        <v/>
      </c>
      <c r="FV678">
        <f>IF($FS678="S1 Count Change",1,0)</f>
        <v/>
      </c>
    </row>
    <row r="679">
      <c r="DA679" t="n">
        <v>675</v>
      </c>
      <c r="DB679">
        <f>IF($B$37=0,"",IFERROR(TRIM(SUBSTITUTE(SUBSTITUTE(SUBSTITUTE(SUBSTITUTE(INDEX(PASTE_ALL,675,$B$37)," "," "),CHAR(9)," "),CHAR(10)," "),CHAR(13)," ")),""))</f>
        <v/>
      </c>
      <c r="DC679">
        <f>IF(AND(675&gt;HEADER_ROW,UPPER(DB679)="LEGEND"),1,0)</f>
        <v/>
      </c>
      <c r="DE679" t="n">
        <v>675</v>
      </c>
      <c r="DF679">
        <f>HEADER_ROW+$DE679</f>
        <v/>
      </c>
      <c r="DG679">
        <f>IF(AND($DF679&lt;=1000,$DF679&lt;$B$8),1,0)</f>
        <v/>
      </c>
      <c r="DH679">
        <f>IF($DG679=1,IFERROR(INDEX($DB$5:$DB$1004,$DF679),""),"")</f>
        <v/>
      </c>
      <c r="DI679">
        <f>IF(AND($DG679=1,$DH679&lt;&gt;""),IFERROR(SUBSTITUTE(SUBSTITUTE(TRIM(SUBSTITUTE(SUBSTITUTE(SUBSTITUTE(SUBSTITUTE(IFERROR(INDEX(PASTE_ALL,$DF679,1)&amp;"","")&amp;"␟"&amp;IFERROR(INDEX(PASTE_ALL,$DF679,2)&amp;"","")&amp;"␟"&amp;IFERROR(INDEX(PASTE_ALL,$DF679,3)&amp;"","")&amp;"␟"&amp;IFERROR(INDEX(PASTE_ALL,$DF679,4)&amp;"","")&amp;"␟"&amp;IFERROR(INDEX(PASTE_ALL,$DF679,5)&amp;"","")&amp;"␟"&amp;IFERROR(INDEX(PASTE_ALL,$DF679,6)&amp;"","")&amp;"␟"&amp;IFERROR(INDEX(PASTE_ALL,$DF679,7)&amp;"","")&amp;"␟"&amp;IFERROR(INDEX(PASTE_ALL,$DF679,8)&amp;"","")&amp;"␟"&amp;IFERROR(INDEX(PASTE_ALL,$DF679,9)&amp;"","")&amp;"␟"&amp;IFERROR(INDEX(PASTE_ALL,$DF679,10)&amp;"","")&amp;"␟"&amp;IFERROR(INDEX(PASTE_ALL,$DF679,11)&amp;"","")&amp;"␟"&amp;IFERROR(INDEX(PASTE_ALL,$DF679,12)&amp;"","")&amp;"␟"&amp;IFERROR(INDEX(PASTE_ALL,$DF679,13)&amp;"","")&amp;"␟"&amp;IFERROR(INDEX(PASTE_ALL,$DF679,14)&amp;"","")&amp;"␟"&amp;IFERROR(INDEX(PASTE_ALL,$DF679,15)&amp;"","")&amp;"␟"&amp;IFERROR(INDEX(PASTE_ALL,$DF679,16)&amp;"","")&amp;"␟"&amp;IFERROR(INDEX(PASTE_ALL,$DF679,17)&amp;"","")&amp;"␟"&amp;IFERROR(INDEX(PASTE_ALL,$DF679,18)&amp;"","")&amp;"␟"&amp;IFERROR(INDEX(PASTE_ALL,$DF679,19)&amp;"","")&amp;"␟"&amp;IFERROR(INDEX(PASTE_ALL,$DF679,20)&amp;"","")&amp;"␟"&amp;IFERROR(INDEX(PASTE_ALL,$DF679,21)&amp;"","")&amp;"␟"&amp;IFERROR(INDEX(PASTE_ALL,$DF679,22)&amp;"","")&amp;"␟"&amp;IFERROR(INDEX(PASTE_ALL,$DF679,23)&amp;"","")&amp;"␟"&amp;IFERROR(INDEX(PASTE_ALL,$DF679,24)&amp;"","")&amp;"␟"&amp;IFERROR(INDEX(PASTE_ALL,$DF679,25)&amp;"","")&amp;"␟"&amp;IFERROR(INDEX(PASTE_ALL,$DF679,26)&amp;"","")&amp;"␟"&amp;IFERROR(INDEX(PASTE_ALL,$DF679,27)&amp;"","")&amp;"␟"&amp;IFERROR(INDEX(PASTE_ALL,$DF679,28)&amp;"","")&amp;"␟"&amp;IFERROR(INDEX(PASTE_ALL,$DF679,29)&amp;"","")&amp;"␟"&amp;IFERROR(INDEX(PASTE_ALL,$DF679,30)&amp;"","")&amp;"␟"&amp;IFERROR(INDEX(PASTE_ALL,$DF679,31)&amp;"","")&amp;"␟"&amp;IFERROR(INDEX(PASTE_ALL,$DF679,32)&amp;"","")&amp;"␟"&amp;IFERROR(INDEX(PASTE_ALL,$DF679,33)&amp;"","")&amp;"␟"&amp;IFERROR(INDEX(PASTE_ALL,$DF679,34)&amp;"","")&amp;"␟"&amp;IFERROR(INDEX(PASTE_ALL,$DF679,35)&amp;"","")&amp;"␟"&amp;IFERROR(INDEX(PASTE_ALL,$DF679,36)&amp;"","")&amp;"␟"&amp;IFERROR(INDEX(PASTE_ALL,$DF679,37)&amp;"","")&amp;"␟"&amp;IFERROR(INDEX(PASTE_ALL,$DF679,38)&amp;"","")&amp;"␟"&amp;IFERROR(INDEX(PASTE_ALL,$DF679,39)&amp;"","")&amp;"␟"&amp;IFERROR(INDEX(PASTE_ALL,$DF679,40)&amp;"","")&amp;"␟"&amp;IFERROR(INDEX(PASTE_ALL,$DF679,41)&amp;"","")&amp;"␟"&amp;IFERROR(INDEX(PASTE_ALL,$DF679,42)&amp;"","")&amp;"␟"&amp;IFERROR(INDEX(PASTE_ALL,$DF679,43)&amp;"","")&amp;"␟"&amp;IFERROR(INDEX(PASTE_ALL,$DF679,44)&amp;"","")&amp;"␟"&amp;IFERROR(INDEX(PASTE_ALL,$DF679,45)&amp;"","")&amp;"␟"&amp;IFERROR(INDEX(PASTE_ALL,$DF679,46)&amp;"","")&amp;"␟"&amp;IFERROR(INDEX(PASTE_ALL,$DF679,47)&amp;"","")&amp;"␟"&amp;IFERROR(INDEX(PASTE_ALL,$DF679,48)&amp;"","")&amp;"␟"&amp;IFERROR(INDEX(PASTE_ALL,$DF679,49)&amp;"","")&amp;"␟"&amp;IFERROR(INDEX(PASTE_ALL,$DF679,50)&amp;"","")&amp;"␟"&amp;IFERROR(INDEX(PASTE_ALL,$DF679,51)&amp;"","")&amp;"␟"&amp;IFERROR(INDEX(PASTE_ALL,$DF679,52)&amp;"","")&amp;"␟"&amp;IFERROR(INDEX(PASTE_ALL,$DF679,53)&amp;"","")&amp;"␟"&amp;IFERROR(INDEX(PASTE_ALL,$DF679,54)&amp;"","")&amp;"␟"&amp;IFERROR(INDEX(PASTE_ALL,$DF679,55)&amp;"","")&amp;"␟"&amp;IFERROR(INDEX(PASTE_ALL,$DF679,56)&amp;"","")&amp;"␟"&amp;IFERROR(INDEX(PASTE_ALL,$DF679,57)&amp;"","")&amp;"␟"&amp;IFERROR(INDEX(PASTE_ALL,$DF679,58)&amp;"","")&amp;"␟"&amp;IFERROR(INDEX(PASTE_ALL,$DF679,59)&amp;"","")&amp;"␟"&amp;IFERROR(INDEX(PASTE_ALL,$DF679,60)&amp;"","")," "," "),CHAR(9)," "),CHAR(10)," "),CHAR(13)," "))," ␟","␟"),"␟ ","␟"),"#"&amp;$DE679),"")</f>
        <v/>
      </c>
      <c r="DJ679">
        <f>IF($DI679="",0,IF(SUMPRODUCT(--EXACT($DI$4:DI678,$DI679))&gt;0,1,0))</f>
        <v/>
      </c>
      <c r="DK679">
        <f>IF(AND($DI679&lt;&gt;"",$DJ679=0),1,0)</f>
        <v/>
      </c>
      <c r="DL679">
        <f>DL678+$DK679</f>
        <v/>
      </c>
      <c r="DM679">
        <f>IF(AND($DK679=1,$DL679&lt;=600),1,0)</f>
        <v/>
      </c>
      <c r="DN679">
        <f>IF($DM679=0,"",IF($L$6=0,"",IFERROR(IF(ISNUMBER(INDEX(PASTE_ALL,$DF679,$L$6)),INDEX(PASTE_ALL,$DF679,$L$6),TRIM(SUBSTITUTE(SUBSTITUTE(SUBSTITUTE(SUBSTITUTE(INDEX(PASTE_ALL,$DF679,$L$6)," "," "),CHAR(9)," "),CHAR(10)," "),CHAR(13)," "))),"")))</f>
        <v/>
      </c>
      <c r="DO679">
        <f>IF($DM679=0,"",IF($L$7=0,"",IFERROR(IF(ISNUMBER(INDEX(PASTE_ALL,$DF679,$L$7)),INDEX(PASTE_ALL,$DF679,$L$7),TRIM(SUBSTITUTE(SUBSTITUTE(SUBSTITUTE(SUBSTITUTE(INDEX(PASTE_ALL,$DF679,$L$7)," "," "),CHAR(9)," "),CHAR(10)," "),CHAR(13)," "))),"")))</f>
        <v/>
      </c>
      <c r="DP679">
        <f>IF($DM679=0,"",IF($L$8=0,"",IFERROR(IF(ISNUMBER(INDEX(PASTE_ALL,$DF679,$L$8)),INDEX(PASTE_ALL,$DF679,$L$8),TRIM(SUBSTITUTE(SUBSTITUTE(SUBSTITUTE(SUBSTITUTE(INDEX(PASTE_ALL,$DF679,$L$8)," "," "),CHAR(9)," "),CHAR(10)," "),CHAR(13)," "))),"")))</f>
        <v/>
      </c>
      <c r="DQ679">
        <f>IF($DM679=0,"",IF($L$9=0,"",IFERROR(IF(ISNUMBER(INDEX(PASTE_ALL,$DF679,$L$9)),INDEX(PASTE_ALL,$DF679,$L$9),TRIM(SUBSTITUTE(SUBSTITUTE(SUBSTITUTE(SUBSTITUTE(INDEX(PASTE_ALL,$DF679,$L$9)," "," "),CHAR(9)," "),CHAR(10)," "),CHAR(13)," "))),"")))</f>
        <v/>
      </c>
      <c r="DR679">
        <f>IF($DM679=0,"",IF($L$10=0,"",IFERROR(IF(ISNUMBER(INDEX(PASTE_ALL,$DF679,$L$10)),INDEX(PASTE_ALL,$DF679,$L$10),TRIM(SUBSTITUTE(SUBSTITUTE(SUBSTITUTE(SUBSTITUTE(INDEX(PASTE_ALL,$DF679,$L$10)," "," "),CHAR(9)," "),CHAR(10)," "),CHAR(13)," "))),"")))</f>
        <v/>
      </c>
      <c r="DS679">
        <f>IF($DM679=0,"",IF($L$11=0,"",IFERROR(IF(ISNUMBER(INDEX(PASTE_ALL,$DF679,$L$11)),INDEX(PASTE_ALL,$DF679,$L$11),TRIM(SUBSTITUTE(SUBSTITUTE(SUBSTITUTE(SUBSTITUTE(INDEX(PASTE_ALL,$DF679,$L$11)," "," "),CHAR(9)," "),CHAR(10)," "),CHAR(13)," "))),"")))</f>
        <v/>
      </c>
      <c r="DT679">
        <f>IF($DM679=0,"",IF($L$12=0,"",IFERROR(IF(ISNUMBER(INDEX(PASTE_ALL,$DF679,$L$12)),INDEX(PASTE_ALL,$DF679,$L$12),TRIM(SUBSTITUTE(SUBSTITUTE(SUBSTITUTE(SUBSTITUTE(INDEX(PASTE_ALL,$DF679,$L$12)," "," "),CHAR(9)," "),CHAR(10)," "),CHAR(13)," "))),"")))</f>
        <v/>
      </c>
      <c r="DU679">
        <f>IF($DM679=0,"",IF($L$13=0,"",IFERROR(IF(ISNUMBER(INDEX(PASTE_ALL,$DF679,$L$13)),INDEX(PASTE_ALL,$DF679,$L$13),TRIM(SUBSTITUTE(SUBSTITUTE(SUBSTITUTE(SUBSTITUTE(INDEX(PASTE_ALL,$DF679,$L$13)," "," "),CHAR(9)," "),CHAR(10)," "),CHAR(13)," "))),"")))</f>
        <v/>
      </c>
      <c r="DV679">
        <f>IF($DM679=0,"",IF($L$14=0,"",IFERROR(IF(ISNUMBER(INDEX(PASTE_ALL,$DF679,$L$14)),INDEX(PASTE_ALL,$DF679,$L$14),TRIM(SUBSTITUTE(SUBSTITUTE(SUBSTITUTE(SUBSTITUTE(INDEX(PASTE_ALL,$DF679,$L$14)," "," "),CHAR(9)," "),CHAR(10)," "),CHAR(13)," "))),"")))</f>
        <v/>
      </c>
      <c r="DW679">
        <f>IF($DM679=0,"",IF($L$15=0,"",IFERROR(IF(ISNUMBER(INDEX(PASTE_ALL,$DF679,$L$15)),INDEX(PASTE_ALL,$DF679,$L$15),IF(SUMPRODUCT(--ISNUMBER(FIND({"A","B","C","D","E","F","G","H","I","J","K","L","M","N","O","P","Q","R","S","T","U","V","W","X","Y","Z","0","1","2","3","4","5","6","7","8","9"},UPPER(TRIM(SUBSTITUTE(SUBSTITUTE(SUBSTITUTE(SUBSTITUTE(INDEX(PASTE_ALL,$DF679,$L$15)," "," "),CHAR(9)," "),CHAR(10)," "),CHAR(13)," "))))))&gt;0,TRIM(SUBSTITUTE(SUBSTITUTE(SUBSTITUTE(SUBSTITUTE(INDEX(PASTE_ALL,$DF679,$L$15)," "," "),CHAR(9)," "),CHAR(10)," "),CHAR(13)," ")),"")),"")))</f>
        <v/>
      </c>
      <c r="DX679">
        <f>IF($DM679=0,"",IF($L$16=0,"",IFERROR(IF(ISNUMBER(INDEX(PASTE_ALL,$DF679,$L$16)),INDEX(PASTE_ALL,$DF679,$L$16),SUBSTITUTE(SUBSTITUTE(TRIM(SUBSTITUTE(SUBSTITUTE(SUBSTITUTE(SUBSTITUTE(INDEX(PASTE_ALL,$DF679,$L$16)," "," "),CHAR(9)," "),CHAR(10)," "),CHAR(13)," ")),",",""),"%","")),"")))</f>
        <v/>
      </c>
      <c r="DY679">
        <f>IF($DM679=0,"",IFERROR(IF(ISNUMBER($DX679),$DX679,IF($DX679="","",IF(TRIM($DX679)="",0,IF(AND(AND(SUBSTITUTE(SUBSTITUTE(SUBSTITUTE(SUBSTITUTE(SUBSTITUTE(SUBSTITUTE(SUBSTITUTE(SUBSTITUTE(SUBSTITUTE(SUBSTITUTE(SUBSTITUTE(SUBSTITUTE(SUBSTITUTE(SUBSTITUTE(UPPER(TRIM($DX679)),"0",""),"1",""),"2",""),"3",""),"4",""),"5",""),"6",""),"7",""),"8",""),"9",""),".",""),"+",""),"-",""),"E","")="",LEN(SUBSTITUTE(SUBSTITUTE(MID(UPPER(TRIM($DX679)),1+OR(LEFT(UPPER(TRIM($DX679)),1)="+",LEFT(UPPER(TRIM($DX679)),1)="-"),999),"E+","E"),"E-","E"))=LEN(SUBSTITUTE(SUBSTITUTE(SUBSTITUTE(SUBSTITUTE(MID(UPPER(TRIM($DX679)),1+OR(LEFT(UPPER(TRIM($DX679)),1)="+",LEFT(UPPER(TRIM($DX679)),1)="-"),999),"E+","E"),"E-","E"),"+",""),"-","")),LEN(UPPER(TRIM($DX679)))-LEN(SUBSTITUTE(UPPER(TRIM($DX679)),"E",""))&lt;2,LEN(UPPER(TRIM($DX679)))-LEN(SUBSTITUTE(UPPER(TRIM($DX679)),".",""))&lt;2,IFERROR(FIND(".",UPPER(TRIM($DX679))),0)&lt;IFERROR(FIND("E",UPPER(TRIM($DX679))),999)),ISNUMBER(VALUE(TRIM($DX679)))),VALUE(TRIM($DX679)),"")))),""))</f>
        <v/>
      </c>
      <c r="DZ679">
        <f>IF($DM679=0,"",IF($L$17=0,"",IFERROR(IF(ISNUMBER(INDEX(PASTE_ALL,$DF679,$L$17)),INDEX(PASTE_ALL,$DF679,$L$17),SUBSTITUTE(SUBSTITUTE(TRIM(SUBSTITUTE(SUBSTITUTE(SUBSTITUTE(SUBSTITUTE(INDEX(PASTE_ALL,$DF679,$L$17)," "," "),CHAR(9)," "),CHAR(10)," "),CHAR(13)," ")),",",""),"%","")),"")))</f>
        <v/>
      </c>
      <c r="EA679">
        <f>IF($DM679=0,"",IFERROR(IF(ISNUMBER($DZ679),$DZ679,IF($DZ679="","",IF(TRIM($DZ679)="",0,IF(AND(AND(SUBSTITUTE(SUBSTITUTE(SUBSTITUTE(SUBSTITUTE(SUBSTITUTE(SUBSTITUTE(SUBSTITUTE(SUBSTITUTE(SUBSTITUTE(SUBSTITUTE(SUBSTITUTE(SUBSTITUTE(SUBSTITUTE(SUBSTITUTE(UPPER(TRIM($DZ679)),"0",""),"1",""),"2",""),"3",""),"4",""),"5",""),"6",""),"7",""),"8",""),"9",""),".",""),"+",""),"-",""),"E","")="",LEN(SUBSTITUTE(SUBSTITUTE(MID(UPPER(TRIM($DZ679)),1+OR(LEFT(UPPER(TRIM($DZ679)),1)="+",LEFT(UPPER(TRIM($DZ679)),1)="-"),999),"E+","E"),"E-","E"))=LEN(SUBSTITUTE(SUBSTITUTE(SUBSTITUTE(SUBSTITUTE(MID(UPPER(TRIM($DZ679)),1+OR(LEFT(UPPER(TRIM($DZ679)),1)="+",LEFT(UPPER(TRIM($DZ679)),1)="-"),999),"E+","E"),"E-","E"),"+",""),"-","")),LEN(UPPER(TRIM($DZ679)))-LEN(SUBSTITUTE(UPPER(TRIM($DZ679)),"E",""))&lt;2,LEN(UPPER(TRIM($DZ679)))-LEN(SUBSTITUTE(UPPER(TRIM($DZ679)),".",""))&lt;2,IFERROR(FIND(".",UPPER(TRIM($DZ679))),0)&lt;IFERROR(FIND("E",UPPER(TRIM($DZ679))),999)),ISNUMBER(VALUE(TRIM($DZ679)))),VALUE(TRIM($DZ679)),"")))),""))</f>
        <v/>
      </c>
      <c r="EB679">
        <f>IF($DM679=0,"",IF($L$18=0,"",IFERROR(IF(UPPER(TRIM(SUBSTITUTE(SUBSTITUTE(SUBSTITUTE(SUBSTITUTE(INDEX(PASTE_ALL,$DF679,$L$18)," "," "),CHAR(9)," "),CHAR(10)," "),CHAR(13)," ")))="READY","Ready",IF(UPPER(TRIM(SUBSTITUTE(SUBSTITUTE(SUBSTITUTE(SUBSTITUTE(INDEX(PASTE_ALL,$DF679,$L$18)," "," "),CHAR(9)," "),CHAR(10)," "),CHAR(13)," ")))="PM","PM",IF(OR(UPPER(TRIM(SUBSTITUTE(SUBSTITUTE(SUBSTITUTE(SUBSTITUTE(INDEX(PASTE_ALL,$DF679,$L$18)," "," "),CHAR(9)," "),CHAR(10)," "),CHAR(13)," ")))="OT",UPPER(TRIM(SUBSTITUTE(SUBSTITUTE(SUBSTITUTE(SUBSTITUTE(INDEX(PASTE_ALL,$DF679,$L$18)," "," "),CHAR(9)," "),CHAR(10)," "),CHAR(13)," ")))="OVERTIME",UPPER(TRIM(SUBSTITUTE(SUBSTITUTE(SUBSTITUTE(SUBSTITUTE(INDEX(PASTE_ALL,$DF679,$L$18)," "," "),CHAR(9)," "),CHAR(10)," "),CHAR(13)," ")))="TRIAL"),"OT",TRIM(SUBSTITUTE(SUBSTITUTE(SUBSTITUTE(SUBSTITUTE(INDEX(PASTE_ALL,$DF679,$L$18)," "," "),CHAR(9)," "),CHAR(10)," "),CHAR(13)," "))))),"")))</f>
        <v/>
      </c>
      <c r="EC679">
        <f>IF($DM679=0,"",IF($L$19=0,"",IFERROR(IF(ISNUMBER(INDEX(PASTE_ALL,$DF679,$L$19)),INDEX(PASTE_ALL,$DF679,$L$19),TRIM(SUBSTITUTE(SUBSTITUTE(SUBSTITUTE(SUBSTITUTE(INDEX(PASTE_ALL,$DF679,$L$19)," "," "),CHAR(9)," "),CHAR(10)," "),CHAR(13)," "))),"")))</f>
        <v/>
      </c>
      <c r="ED679">
        <f>IF($DM679=0,"",MATCH(1,INDEX(EXACT($DH$5:DH679,$DH679)*$DM$5:DM679,0),0))</f>
        <v/>
      </c>
      <c r="EE679">
        <f>IF($DM679=0,0,IF($ED679=$DE679,1,0))</f>
        <v/>
      </c>
      <c r="EF679">
        <f>EF678+$EE679</f>
        <v/>
      </c>
      <c r="EG679">
        <f>IF($DM679=0,"",INDEX($EF$5:$EF$1003,$ED679))</f>
        <v/>
      </c>
      <c r="EH679">
        <f>IF($DM679=0,"",IF($DO679&lt;&gt;"","",IFERROR(LOOKUP(2,1/(($EG$4:EG678=$EG679)*($DO$4:DO678&lt;&gt;"")),$DO$4:DO678),"")))</f>
        <v/>
      </c>
      <c r="EI679">
        <f>IF($DM679=0,"",IF($DO679&lt;&gt;"",$DO679,$EH679))</f>
        <v/>
      </c>
      <c r="EJ679">
        <f>IF($DM679=0,"",IF($EI679="",0,IF(OR(ISNUMBER($EI679),AND(AND(SUBSTITUTE(SUBSTITUTE(SUBSTITUTE(SUBSTITUTE(SUBSTITUTE(SUBSTITUTE(SUBSTITUTE(SUBSTITUTE(SUBSTITUTE(SUBSTITUTE(SUBSTITUTE(SUBSTITUTE(SUBSTITUTE(SUBSTITUTE(UPPER($EI679),"0",""),"1",""),"2",""),"3",""),"4",""),"5",""),"6",""),"7",""),"8",""),"9",""),".",""),"+",""),"-",""),"E","")="",LEN(SUBSTITUTE(SUBSTITUTE(MID(UPPER($EI679),1+OR(LEFT(UPPER($EI679),1)="+",LEFT(UPPER($EI679),1)="-"),999),"E+","E"),"E-","E"))=LEN(SUBSTITUTE(SUBSTITUTE(SUBSTITUTE(SUBSTITUTE(MID(UPPER($EI679),1+OR(LEFT(UPPER($EI679),1)="+",LEFT(UPPER($EI679),1)="-"),999),"E+","E"),"E-","E"),"+",""),"-","")),LEN(UPPER($EI679))-LEN(SUBSTITUTE(UPPER($EI679),"E",""))&lt;2,LEN(UPPER($EI679))-LEN(SUBSTITUTE(UPPER($EI679),".",""))&lt;2,IFERROR(FIND(".",UPPER($EI679)),0)&lt;IFERROR(FIND("E",UPPER($EI679)),999)),ISNUMBER(VALUE($EI679)))),1,2)))</f>
        <v/>
      </c>
      <c r="EK679">
        <f>IF($DM679=0,"",IF($EJ679=1,IF(ISNUMBER($EI679),$EI679,VALUE($EI679)),IF($EJ679=2,$DE679,0)))</f>
        <v/>
      </c>
      <c r="EL679">
        <f>IF($DM679=0,"",COUNTIF($EG$5:$EG$1003,"&lt;"&amp;$EG679)+SUMPRODUCT(($EG$5:$EG$1003=$EG679)*(($EJ$5:$EJ$1003&lt;$EJ679)+($EJ$5:$EJ$1003=$EJ679)*(($EK$5:$EK$1003&lt;$EK679)+($EK$5:$EK$1003=$EK679)*($DE$5:$DE$1003&lt;$DE679))))+1)</f>
        <v/>
      </c>
      <c r="EM679">
        <f>IF($DM679=0,"",$EL679+$EG679-1)</f>
        <v/>
      </c>
      <c r="EN679">
        <f>IF($DM679=0,0,IFERROR(MATCH(1,INDEX(--(TRIM(SUBSTITUTE(SUBSTITUTE(SUBSTITUTE(SUBSTITUTE(LINES_NAME&amp;""," "," "),CHAR(9)," "),CHAR(10)," "),CHAR(13)," "))=$DH679),0),0),0))</f>
        <v/>
      </c>
      <c r="EO679">
        <f>IF($EN679=0,0,IF(OR(UPPER(TRIM(INDEX(LINES_SCHEDULED,$EN679)&amp;""))="YES",UPPER(TRIM(INDEX(LINES_SCHEDULED,$EN679)&amp;""))="Y",UPPER(TRIM(INDEX(LINES_SCHEDULED,$EN679)&amp;""))="X"),1,0))</f>
        <v/>
      </c>
      <c r="EP679">
        <f>IF($DM679=0,"",IF(COUNTIFS($EG$5:$EG$1003,$EG679,$EB$5:$EB$1003,"Ready")&gt;0,"READY",IF(COUNTIFS($EG$5:$EG$1003,$EG679,$EB$5:$EB$1003,"PM")&gt;0,"PM",IF(COUNTIFS($EG$5:$EG$1003,$EG679,$EB$5:$EB$1003,"OT")&gt;0,"OT",""))))</f>
        <v/>
      </c>
      <c r="EQ679">
        <f>IF($EN679=0,"",UPPER(TRIM(INDEX(LINES_STATUS,$EN679)&amp;"")))</f>
        <v/>
      </c>
      <c r="ER679">
        <f>IF($DM679=0,"",IF(OR($EQ679="READY",$EQ679="PM",$EQ679="OT"),$EQ679,$EP679))</f>
        <v/>
      </c>
      <c r="ES679">
        <f>IF($DM679=0,"",IF(AND($DV679&lt;&gt;"",UPPER($DV679)&lt;&gt;"N"),"allergen",IF(ISNUMBER(SEARCH("oil",$DQ679)),"oil",IF(OR(EXACT($DS679,"A662"),EXACT($DS679,"A624")),"bulk",""))))</f>
        <v/>
      </c>
      <c r="ET679">
        <f>IF($DM679=0,"",IF(OR($EA679="",$EA679=0),"",$EA679/100))</f>
        <v/>
      </c>
      <c r="EU679">
        <f>IF(OR($ET679="",$DY679=""),"",INT($DY679*(1-$ET679)+0.5))</f>
        <v/>
      </c>
      <c r="EW679" t="n">
        <v>675</v>
      </c>
      <c r="EX679">
        <f>IFERROR(MATCH($EW679,$EM$5:$EM$1003,0),0)</f>
        <v/>
      </c>
      <c r="EY679">
        <f>IF($EW679&gt;$B$12,"",IF($EX679&gt;0,"row","spacer"))</f>
        <v/>
      </c>
      <c r="EZ679">
        <f>IF(AND($EY679="row",$EY678&lt;&gt;"row"),1,0)</f>
        <v/>
      </c>
      <c r="FA679">
        <f>IF(AND($EY679="row",$EY680&lt;&gt;"row"),1,0)</f>
        <v/>
      </c>
      <c r="FB679">
        <f>IF($EZ679=1,IFERROR(IF(ISNUMBER(INDEX(PASTE_ALL,INDEX($DF$5:$DF$1003,$EX679),$B$37)),INDEX(PASTE_ALL,INDEX($DF$5:$DF$1003,$EX679),$B$37),INDEX($DH$5:$DH$1003,$EX679)),INDEX($DH$5:$DH$1003,$EX679)),"")</f>
        <v/>
      </c>
      <c r="FC679">
        <f>IF($EY679="row",INDEX($ER$5:$ER$1003,$EX679),"")</f>
        <v/>
      </c>
      <c r="FD679">
        <f>IF($EY679="row",INDEX($DN$5:$DN$1003,$EX679),"")</f>
        <v/>
      </c>
      <c r="FE679">
        <f>IF($EY679="row",INDEX($DO$5:$DO$1003,$EX679),"")</f>
        <v/>
      </c>
      <c r="FF679">
        <f>IF($EY679="row",INDEX($DP$5:$DP$1003,$EX679),"")</f>
        <v/>
      </c>
      <c r="FG679">
        <f>IF($EY679="row",INDEX($DQ$5:$DQ$1003,$EX679),"")</f>
        <v/>
      </c>
      <c r="FH679">
        <f>IF($EY679="row",INDEX($DR$5:$DR$1003,$EX679),"")</f>
        <v/>
      </c>
      <c r="FI679">
        <f>IF($EY679="row",INDEX($DS$5:$DS$1003,$EX679),"")</f>
        <v/>
      </c>
      <c r="FJ679">
        <f>IF($EY679="row",INDEX($DT$5:$DT$1003,$EX679),"")</f>
        <v/>
      </c>
      <c r="FK679">
        <f>IF($EY679="row",INDEX($DU$5:$DU$1003,$EX679),"")</f>
        <v/>
      </c>
      <c r="FL679">
        <f>IF($EY679="row",INDEX($DV$5:$DV$1003,$EX679),"")</f>
        <v/>
      </c>
      <c r="FM679">
        <f>IF($EY679="row",INDEX($DW$5:$DW$1003,$EX679),"")</f>
        <v/>
      </c>
      <c r="FN679">
        <f>IF($EY679="row",INDEX($DY$5:$DY$1003,$EX679),"")</f>
        <v/>
      </c>
      <c r="FO679">
        <f>IF($EY679="row",INDEX($EA$5:$EA$1003,$EX679),"")</f>
        <v/>
      </c>
      <c r="FP679">
        <f>IF($EY679="row",INDEX($EC$5:$EC$1003,$EX679),"")</f>
        <v/>
      </c>
      <c r="FQ679">
        <f>IF($EY679="row",INDEX($ET$5:$ET$1003,$EX679),"")</f>
        <v/>
      </c>
      <c r="FR679">
        <f>IF($EY679="row",INDEX($EU$5:$EU$1003,$EX679),"")</f>
        <v/>
      </c>
      <c r="FS679">
        <f>IF(AND($EY679="row",$EY678="row"),IF(OR(INDEX($DT$5:$DT$1003,$EX678)="",INDEX($DT$5:$DT$1003,$EX679)=""),"",IF(NOT(EXACT(INDEX($DT$5:$DT$1003,$EX678),INDEX($DT$5:$DT$1003,$EX679))),"S4",IF(NOT(EXACT(INDEX($DS$5:$DS$1003,$EX678),INDEX($DS$5:$DS$1003,$EX679))),"S3",IF(NOT(EXACT(INDEX($DR$5:$DR$1003,$EX678),INDEX($DR$5:$DR$1003,$EX679))),"S1 Count Change","S1")))),"")</f>
        <v/>
      </c>
      <c r="FT679">
        <f>IF($EY679="row",INDEX($ES$5:$ES$1003,$EX679),"")</f>
        <v/>
      </c>
      <c r="FU679">
        <f>IF($EY679="row",INDEX($EO$5:$EO$1003,$EX679),0)</f>
        <v/>
      </c>
      <c r="FV679">
        <f>IF($FS679="S1 Count Change",1,0)</f>
        <v/>
      </c>
    </row>
    <row r="680">
      <c r="DA680" t="n">
        <v>676</v>
      </c>
      <c r="DB680">
        <f>IF($B$37=0,"",IFERROR(TRIM(SUBSTITUTE(SUBSTITUTE(SUBSTITUTE(SUBSTITUTE(INDEX(PASTE_ALL,676,$B$37)," "," "),CHAR(9)," "),CHAR(10)," "),CHAR(13)," ")),""))</f>
        <v/>
      </c>
      <c r="DC680">
        <f>IF(AND(676&gt;HEADER_ROW,UPPER(DB680)="LEGEND"),1,0)</f>
        <v/>
      </c>
      <c r="DE680" t="n">
        <v>676</v>
      </c>
      <c r="DF680">
        <f>HEADER_ROW+$DE680</f>
        <v/>
      </c>
      <c r="DG680">
        <f>IF(AND($DF680&lt;=1000,$DF680&lt;$B$8),1,0)</f>
        <v/>
      </c>
      <c r="DH680">
        <f>IF($DG680=1,IFERROR(INDEX($DB$5:$DB$1004,$DF680),""),"")</f>
        <v/>
      </c>
      <c r="DI680">
        <f>IF(AND($DG680=1,$DH680&lt;&gt;""),IFERROR(SUBSTITUTE(SUBSTITUTE(TRIM(SUBSTITUTE(SUBSTITUTE(SUBSTITUTE(SUBSTITUTE(IFERROR(INDEX(PASTE_ALL,$DF680,1)&amp;"","")&amp;"␟"&amp;IFERROR(INDEX(PASTE_ALL,$DF680,2)&amp;"","")&amp;"␟"&amp;IFERROR(INDEX(PASTE_ALL,$DF680,3)&amp;"","")&amp;"␟"&amp;IFERROR(INDEX(PASTE_ALL,$DF680,4)&amp;"","")&amp;"␟"&amp;IFERROR(INDEX(PASTE_ALL,$DF680,5)&amp;"","")&amp;"␟"&amp;IFERROR(INDEX(PASTE_ALL,$DF680,6)&amp;"","")&amp;"␟"&amp;IFERROR(INDEX(PASTE_ALL,$DF680,7)&amp;"","")&amp;"␟"&amp;IFERROR(INDEX(PASTE_ALL,$DF680,8)&amp;"","")&amp;"␟"&amp;IFERROR(INDEX(PASTE_ALL,$DF680,9)&amp;"","")&amp;"␟"&amp;IFERROR(INDEX(PASTE_ALL,$DF680,10)&amp;"","")&amp;"␟"&amp;IFERROR(INDEX(PASTE_ALL,$DF680,11)&amp;"","")&amp;"␟"&amp;IFERROR(INDEX(PASTE_ALL,$DF680,12)&amp;"","")&amp;"␟"&amp;IFERROR(INDEX(PASTE_ALL,$DF680,13)&amp;"","")&amp;"␟"&amp;IFERROR(INDEX(PASTE_ALL,$DF680,14)&amp;"","")&amp;"␟"&amp;IFERROR(INDEX(PASTE_ALL,$DF680,15)&amp;"","")&amp;"␟"&amp;IFERROR(INDEX(PASTE_ALL,$DF680,16)&amp;"","")&amp;"␟"&amp;IFERROR(INDEX(PASTE_ALL,$DF680,17)&amp;"","")&amp;"␟"&amp;IFERROR(INDEX(PASTE_ALL,$DF680,18)&amp;"","")&amp;"␟"&amp;IFERROR(INDEX(PASTE_ALL,$DF680,19)&amp;"","")&amp;"␟"&amp;IFERROR(INDEX(PASTE_ALL,$DF680,20)&amp;"","")&amp;"␟"&amp;IFERROR(INDEX(PASTE_ALL,$DF680,21)&amp;"","")&amp;"␟"&amp;IFERROR(INDEX(PASTE_ALL,$DF680,22)&amp;"","")&amp;"␟"&amp;IFERROR(INDEX(PASTE_ALL,$DF680,23)&amp;"","")&amp;"␟"&amp;IFERROR(INDEX(PASTE_ALL,$DF680,24)&amp;"","")&amp;"␟"&amp;IFERROR(INDEX(PASTE_ALL,$DF680,25)&amp;"","")&amp;"␟"&amp;IFERROR(INDEX(PASTE_ALL,$DF680,26)&amp;"","")&amp;"␟"&amp;IFERROR(INDEX(PASTE_ALL,$DF680,27)&amp;"","")&amp;"␟"&amp;IFERROR(INDEX(PASTE_ALL,$DF680,28)&amp;"","")&amp;"␟"&amp;IFERROR(INDEX(PASTE_ALL,$DF680,29)&amp;"","")&amp;"␟"&amp;IFERROR(INDEX(PASTE_ALL,$DF680,30)&amp;"","")&amp;"␟"&amp;IFERROR(INDEX(PASTE_ALL,$DF680,31)&amp;"","")&amp;"␟"&amp;IFERROR(INDEX(PASTE_ALL,$DF680,32)&amp;"","")&amp;"␟"&amp;IFERROR(INDEX(PASTE_ALL,$DF680,33)&amp;"","")&amp;"␟"&amp;IFERROR(INDEX(PASTE_ALL,$DF680,34)&amp;"","")&amp;"␟"&amp;IFERROR(INDEX(PASTE_ALL,$DF680,35)&amp;"","")&amp;"␟"&amp;IFERROR(INDEX(PASTE_ALL,$DF680,36)&amp;"","")&amp;"␟"&amp;IFERROR(INDEX(PASTE_ALL,$DF680,37)&amp;"","")&amp;"␟"&amp;IFERROR(INDEX(PASTE_ALL,$DF680,38)&amp;"","")&amp;"␟"&amp;IFERROR(INDEX(PASTE_ALL,$DF680,39)&amp;"","")&amp;"␟"&amp;IFERROR(INDEX(PASTE_ALL,$DF680,40)&amp;"","")&amp;"␟"&amp;IFERROR(INDEX(PASTE_ALL,$DF680,41)&amp;"","")&amp;"␟"&amp;IFERROR(INDEX(PASTE_ALL,$DF680,42)&amp;"","")&amp;"␟"&amp;IFERROR(INDEX(PASTE_ALL,$DF680,43)&amp;"","")&amp;"␟"&amp;IFERROR(INDEX(PASTE_ALL,$DF680,44)&amp;"","")&amp;"␟"&amp;IFERROR(INDEX(PASTE_ALL,$DF680,45)&amp;"","")&amp;"␟"&amp;IFERROR(INDEX(PASTE_ALL,$DF680,46)&amp;"","")&amp;"␟"&amp;IFERROR(INDEX(PASTE_ALL,$DF680,47)&amp;"","")&amp;"␟"&amp;IFERROR(INDEX(PASTE_ALL,$DF680,48)&amp;"","")&amp;"␟"&amp;IFERROR(INDEX(PASTE_ALL,$DF680,49)&amp;"","")&amp;"␟"&amp;IFERROR(INDEX(PASTE_ALL,$DF680,50)&amp;"","")&amp;"␟"&amp;IFERROR(INDEX(PASTE_ALL,$DF680,51)&amp;"","")&amp;"␟"&amp;IFERROR(INDEX(PASTE_ALL,$DF680,52)&amp;"","")&amp;"␟"&amp;IFERROR(INDEX(PASTE_ALL,$DF680,53)&amp;"","")&amp;"␟"&amp;IFERROR(INDEX(PASTE_ALL,$DF680,54)&amp;"","")&amp;"␟"&amp;IFERROR(INDEX(PASTE_ALL,$DF680,55)&amp;"","")&amp;"␟"&amp;IFERROR(INDEX(PASTE_ALL,$DF680,56)&amp;"","")&amp;"␟"&amp;IFERROR(INDEX(PASTE_ALL,$DF680,57)&amp;"","")&amp;"␟"&amp;IFERROR(INDEX(PASTE_ALL,$DF680,58)&amp;"","")&amp;"␟"&amp;IFERROR(INDEX(PASTE_ALL,$DF680,59)&amp;"","")&amp;"␟"&amp;IFERROR(INDEX(PASTE_ALL,$DF680,60)&amp;"","")," "," "),CHAR(9)," "),CHAR(10)," "),CHAR(13)," "))," ␟","␟"),"␟ ","␟"),"#"&amp;$DE680),"")</f>
        <v/>
      </c>
      <c r="DJ680">
        <f>IF($DI680="",0,IF(SUMPRODUCT(--EXACT($DI$4:DI679,$DI680))&gt;0,1,0))</f>
        <v/>
      </c>
      <c r="DK680">
        <f>IF(AND($DI680&lt;&gt;"",$DJ680=0),1,0)</f>
        <v/>
      </c>
      <c r="DL680">
        <f>DL679+$DK680</f>
        <v/>
      </c>
      <c r="DM680">
        <f>IF(AND($DK680=1,$DL680&lt;=600),1,0)</f>
        <v/>
      </c>
      <c r="DN680">
        <f>IF($DM680=0,"",IF($L$6=0,"",IFERROR(IF(ISNUMBER(INDEX(PASTE_ALL,$DF680,$L$6)),INDEX(PASTE_ALL,$DF680,$L$6),TRIM(SUBSTITUTE(SUBSTITUTE(SUBSTITUTE(SUBSTITUTE(INDEX(PASTE_ALL,$DF680,$L$6)," "," "),CHAR(9)," "),CHAR(10)," "),CHAR(13)," "))),"")))</f>
        <v/>
      </c>
      <c r="DO680">
        <f>IF($DM680=0,"",IF($L$7=0,"",IFERROR(IF(ISNUMBER(INDEX(PASTE_ALL,$DF680,$L$7)),INDEX(PASTE_ALL,$DF680,$L$7),TRIM(SUBSTITUTE(SUBSTITUTE(SUBSTITUTE(SUBSTITUTE(INDEX(PASTE_ALL,$DF680,$L$7)," "," "),CHAR(9)," "),CHAR(10)," "),CHAR(13)," "))),"")))</f>
        <v/>
      </c>
      <c r="DP680">
        <f>IF($DM680=0,"",IF($L$8=0,"",IFERROR(IF(ISNUMBER(INDEX(PASTE_ALL,$DF680,$L$8)),INDEX(PASTE_ALL,$DF680,$L$8),TRIM(SUBSTITUTE(SUBSTITUTE(SUBSTITUTE(SUBSTITUTE(INDEX(PASTE_ALL,$DF680,$L$8)," "," "),CHAR(9)," "),CHAR(10)," "),CHAR(13)," "))),"")))</f>
        <v/>
      </c>
      <c r="DQ680">
        <f>IF($DM680=0,"",IF($L$9=0,"",IFERROR(IF(ISNUMBER(INDEX(PASTE_ALL,$DF680,$L$9)),INDEX(PASTE_ALL,$DF680,$L$9),TRIM(SUBSTITUTE(SUBSTITUTE(SUBSTITUTE(SUBSTITUTE(INDEX(PASTE_ALL,$DF680,$L$9)," "," "),CHAR(9)," "),CHAR(10)," "),CHAR(13)," "))),"")))</f>
        <v/>
      </c>
      <c r="DR680">
        <f>IF($DM680=0,"",IF($L$10=0,"",IFERROR(IF(ISNUMBER(INDEX(PASTE_ALL,$DF680,$L$10)),INDEX(PASTE_ALL,$DF680,$L$10),TRIM(SUBSTITUTE(SUBSTITUTE(SUBSTITUTE(SUBSTITUTE(INDEX(PASTE_ALL,$DF680,$L$10)," "," "),CHAR(9)," "),CHAR(10)," "),CHAR(13)," "))),"")))</f>
        <v/>
      </c>
      <c r="DS680">
        <f>IF($DM680=0,"",IF($L$11=0,"",IFERROR(IF(ISNUMBER(INDEX(PASTE_ALL,$DF680,$L$11)),INDEX(PASTE_ALL,$DF680,$L$11),TRIM(SUBSTITUTE(SUBSTITUTE(SUBSTITUTE(SUBSTITUTE(INDEX(PASTE_ALL,$DF680,$L$11)," "," "),CHAR(9)," "),CHAR(10)," "),CHAR(13)," "))),"")))</f>
        <v/>
      </c>
      <c r="DT680">
        <f>IF($DM680=0,"",IF($L$12=0,"",IFERROR(IF(ISNUMBER(INDEX(PASTE_ALL,$DF680,$L$12)),INDEX(PASTE_ALL,$DF680,$L$12),TRIM(SUBSTITUTE(SUBSTITUTE(SUBSTITUTE(SUBSTITUTE(INDEX(PASTE_ALL,$DF680,$L$12)," "," "),CHAR(9)," "),CHAR(10)," "),CHAR(13)," "))),"")))</f>
        <v/>
      </c>
      <c r="DU680">
        <f>IF($DM680=0,"",IF($L$13=0,"",IFERROR(IF(ISNUMBER(INDEX(PASTE_ALL,$DF680,$L$13)),INDEX(PASTE_ALL,$DF680,$L$13),TRIM(SUBSTITUTE(SUBSTITUTE(SUBSTITUTE(SUBSTITUTE(INDEX(PASTE_ALL,$DF680,$L$13)," "," "),CHAR(9)," "),CHAR(10)," "),CHAR(13)," "))),"")))</f>
        <v/>
      </c>
      <c r="DV680">
        <f>IF($DM680=0,"",IF($L$14=0,"",IFERROR(IF(ISNUMBER(INDEX(PASTE_ALL,$DF680,$L$14)),INDEX(PASTE_ALL,$DF680,$L$14),TRIM(SUBSTITUTE(SUBSTITUTE(SUBSTITUTE(SUBSTITUTE(INDEX(PASTE_ALL,$DF680,$L$14)," "," "),CHAR(9)," "),CHAR(10)," "),CHAR(13)," "))),"")))</f>
        <v/>
      </c>
      <c r="DW680">
        <f>IF($DM680=0,"",IF($L$15=0,"",IFERROR(IF(ISNUMBER(INDEX(PASTE_ALL,$DF680,$L$15)),INDEX(PASTE_ALL,$DF680,$L$15),IF(SUMPRODUCT(--ISNUMBER(FIND({"A","B","C","D","E","F","G","H","I","J","K","L","M","N","O","P","Q","R","S","T","U","V","W","X","Y","Z","0","1","2","3","4","5","6","7","8","9"},UPPER(TRIM(SUBSTITUTE(SUBSTITUTE(SUBSTITUTE(SUBSTITUTE(INDEX(PASTE_ALL,$DF680,$L$15)," "," "),CHAR(9)," "),CHAR(10)," "),CHAR(13)," "))))))&gt;0,TRIM(SUBSTITUTE(SUBSTITUTE(SUBSTITUTE(SUBSTITUTE(INDEX(PASTE_ALL,$DF680,$L$15)," "," "),CHAR(9)," "),CHAR(10)," "),CHAR(13)," ")),"")),"")))</f>
        <v/>
      </c>
      <c r="DX680">
        <f>IF($DM680=0,"",IF($L$16=0,"",IFERROR(IF(ISNUMBER(INDEX(PASTE_ALL,$DF680,$L$16)),INDEX(PASTE_ALL,$DF680,$L$16),SUBSTITUTE(SUBSTITUTE(TRIM(SUBSTITUTE(SUBSTITUTE(SUBSTITUTE(SUBSTITUTE(INDEX(PASTE_ALL,$DF680,$L$16)," "," "),CHAR(9)," "),CHAR(10)," "),CHAR(13)," ")),",",""),"%","")),"")))</f>
        <v/>
      </c>
      <c r="DY680">
        <f>IF($DM680=0,"",IFERROR(IF(ISNUMBER($DX680),$DX680,IF($DX680="","",IF(TRIM($DX680)="",0,IF(AND(AND(SUBSTITUTE(SUBSTITUTE(SUBSTITUTE(SUBSTITUTE(SUBSTITUTE(SUBSTITUTE(SUBSTITUTE(SUBSTITUTE(SUBSTITUTE(SUBSTITUTE(SUBSTITUTE(SUBSTITUTE(SUBSTITUTE(SUBSTITUTE(UPPER(TRIM($DX680)),"0",""),"1",""),"2",""),"3",""),"4",""),"5",""),"6",""),"7",""),"8",""),"9",""),".",""),"+",""),"-",""),"E","")="",LEN(SUBSTITUTE(SUBSTITUTE(MID(UPPER(TRIM($DX680)),1+OR(LEFT(UPPER(TRIM($DX680)),1)="+",LEFT(UPPER(TRIM($DX680)),1)="-"),999),"E+","E"),"E-","E"))=LEN(SUBSTITUTE(SUBSTITUTE(SUBSTITUTE(SUBSTITUTE(MID(UPPER(TRIM($DX680)),1+OR(LEFT(UPPER(TRIM($DX680)),1)="+",LEFT(UPPER(TRIM($DX680)),1)="-"),999),"E+","E"),"E-","E"),"+",""),"-","")),LEN(UPPER(TRIM($DX680)))-LEN(SUBSTITUTE(UPPER(TRIM($DX680)),"E",""))&lt;2,LEN(UPPER(TRIM($DX680)))-LEN(SUBSTITUTE(UPPER(TRIM($DX680)),".",""))&lt;2,IFERROR(FIND(".",UPPER(TRIM($DX680))),0)&lt;IFERROR(FIND("E",UPPER(TRIM($DX680))),999)),ISNUMBER(VALUE(TRIM($DX680)))),VALUE(TRIM($DX680)),"")))),""))</f>
        <v/>
      </c>
      <c r="DZ680">
        <f>IF($DM680=0,"",IF($L$17=0,"",IFERROR(IF(ISNUMBER(INDEX(PASTE_ALL,$DF680,$L$17)),INDEX(PASTE_ALL,$DF680,$L$17),SUBSTITUTE(SUBSTITUTE(TRIM(SUBSTITUTE(SUBSTITUTE(SUBSTITUTE(SUBSTITUTE(INDEX(PASTE_ALL,$DF680,$L$17)," "," "),CHAR(9)," "),CHAR(10)," "),CHAR(13)," ")),",",""),"%","")),"")))</f>
        <v/>
      </c>
      <c r="EA680">
        <f>IF($DM680=0,"",IFERROR(IF(ISNUMBER($DZ680),$DZ680,IF($DZ680="","",IF(TRIM($DZ680)="",0,IF(AND(AND(SUBSTITUTE(SUBSTITUTE(SUBSTITUTE(SUBSTITUTE(SUBSTITUTE(SUBSTITUTE(SUBSTITUTE(SUBSTITUTE(SUBSTITUTE(SUBSTITUTE(SUBSTITUTE(SUBSTITUTE(SUBSTITUTE(SUBSTITUTE(UPPER(TRIM($DZ680)),"0",""),"1",""),"2",""),"3",""),"4",""),"5",""),"6",""),"7",""),"8",""),"9",""),".",""),"+",""),"-",""),"E","")="",LEN(SUBSTITUTE(SUBSTITUTE(MID(UPPER(TRIM($DZ680)),1+OR(LEFT(UPPER(TRIM($DZ680)),1)="+",LEFT(UPPER(TRIM($DZ680)),1)="-"),999),"E+","E"),"E-","E"))=LEN(SUBSTITUTE(SUBSTITUTE(SUBSTITUTE(SUBSTITUTE(MID(UPPER(TRIM($DZ680)),1+OR(LEFT(UPPER(TRIM($DZ680)),1)="+",LEFT(UPPER(TRIM($DZ680)),1)="-"),999),"E+","E"),"E-","E"),"+",""),"-","")),LEN(UPPER(TRIM($DZ680)))-LEN(SUBSTITUTE(UPPER(TRIM($DZ680)),"E",""))&lt;2,LEN(UPPER(TRIM($DZ680)))-LEN(SUBSTITUTE(UPPER(TRIM($DZ680)),".",""))&lt;2,IFERROR(FIND(".",UPPER(TRIM($DZ680))),0)&lt;IFERROR(FIND("E",UPPER(TRIM($DZ680))),999)),ISNUMBER(VALUE(TRIM($DZ680)))),VALUE(TRIM($DZ680)),"")))),""))</f>
        <v/>
      </c>
      <c r="EB680">
        <f>IF($DM680=0,"",IF($L$18=0,"",IFERROR(IF(UPPER(TRIM(SUBSTITUTE(SUBSTITUTE(SUBSTITUTE(SUBSTITUTE(INDEX(PASTE_ALL,$DF680,$L$18)," "," "),CHAR(9)," "),CHAR(10)," "),CHAR(13)," ")))="READY","Ready",IF(UPPER(TRIM(SUBSTITUTE(SUBSTITUTE(SUBSTITUTE(SUBSTITUTE(INDEX(PASTE_ALL,$DF680,$L$18)," "," "),CHAR(9)," "),CHAR(10)," "),CHAR(13)," ")))="PM","PM",IF(OR(UPPER(TRIM(SUBSTITUTE(SUBSTITUTE(SUBSTITUTE(SUBSTITUTE(INDEX(PASTE_ALL,$DF680,$L$18)," "," "),CHAR(9)," "),CHAR(10)," "),CHAR(13)," ")))="OT",UPPER(TRIM(SUBSTITUTE(SUBSTITUTE(SUBSTITUTE(SUBSTITUTE(INDEX(PASTE_ALL,$DF680,$L$18)," "," "),CHAR(9)," "),CHAR(10)," "),CHAR(13)," ")))="OVERTIME",UPPER(TRIM(SUBSTITUTE(SUBSTITUTE(SUBSTITUTE(SUBSTITUTE(INDEX(PASTE_ALL,$DF680,$L$18)," "," "),CHAR(9)," "),CHAR(10)," "),CHAR(13)," ")))="TRIAL"),"OT",TRIM(SUBSTITUTE(SUBSTITUTE(SUBSTITUTE(SUBSTITUTE(INDEX(PASTE_ALL,$DF680,$L$18)," "," "),CHAR(9)," "),CHAR(10)," "),CHAR(13)," "))))),"")))</f>
        <v/>
      </c>
      <c r="EC680">
        <f>IF($DM680=0,"",IF($L$19=0,"",IFERROR(IF(ISNUMBER(INDEX(PASTE_ALL,$DF680,$L$19)),INDEX(PASTE_ALL,$DF680,$L$19),TRIM(SUBSTITUTE(SUBSTITUTE(SUBSTITUTE(SUBSTITUTE(INDEX(PASTE_ALL,$DF680,$L$19)," "," "),CHAR(9)," "),CHAR(10)," "),CHAR(13)," "))),"")))</f>
        <v/>
      </c>
      <c r="ED680">
        <f>IF($DM680=0,"",MATCH(1,INDEX(EXACT($DH$5:DH680,$DH680)*$DM$5:DM680,0),0))</f>
        <v/>
      </c>
      <c r="EE680">
        <f>IF($DM680=0,0,IF($ED680=$DE680,1,0))</f>
        <v/>
      </c>
      <c r="EF680">
        <f>EF679+$EE680</f>
        <v/>
      </c>
      <c r="EG680">
        <f>IF($DM680=0,"",INDEX($EF$5:$EF$1003,$ED680))</f>
        <v/>
      </c>
      <c r="EH680">
        <f>IF($DM680=0,"",IF($DO680&lt;&gt;"","",IFERROR(LOOKUP(2,1/(($EG$4:EG679=$EG680)*($DO$4:DO679&lt;&gt;"")),$DO$4:DO679),"")))</f>
        <v/>
      </c>
      <c r="EI680">
        <f>IF($DM680=0,"",IF($DO680&lt;&gt;"",$DO680,$EH680))</f>
        <v/>
      </c>
      <c r="EJ680">
        <f>IF($DM680=0,"",IF($EI680="",0,IF(OR(ISNUMBER($EI680),AND(AND(SUBSTITUTE(SUBSTITUTE(SUBSTITUTE(SUBSTITUTE(SUBSTITUTE(SUBSTITUTE(SUBSTITUTE(SUBSTITUTE(SUBSTITUTE(SUBSTITUTE(SUBSTITUTE(SUBSTITUTE(SUBSTITUTE(SUBSTITUTE(UPPER($EI680),"0",""),"1",""),"2",""),"3",""),"4",""),"5",""),"6",""),"7",""),"8",""),"9",""),".",""),"+",""),"-",""),"E","")="",LEN(SUBSTITUTE(SUBSTITUTE(MID(UPPER($EI680),1+OR(LEFT(UPPER($EI680),1)="+",LEFT(UPPER($EI680),1)="-"),999),"E+","E"),"E-","E"))=LEN(SUBSTITUTE(SUBSTITUTE(SUBSTITUTE(SUBSTITUTE(MID(UPPER($EI680),1+OR(LEFT(UPPER($EI680),1)="+",LEFT(UPPER($EI680),1)="-"),999),"E+","E"),"E-","E"),"+",""),"-","")),LEN(UPPER($EI680))-LEN(SUBSTITUTE(UPPER($EI680),"E",""))&lt;2,LEN(UPPER($EI680))-LEN(SUBSTITUTE(UPPER($EI680),".",""))&lt;2,IFERROR(FIND(".",UPPER($EI680)),0)&lt;IFERROR(FIND("E",UPPER($EI680)),999)),ISNUMBER(VALUE($EI680)))),1,2)))</f>
        <v/>
      </c>
      <c r="EK680">
        <f>IF($DM680=0,"",IF($EJ680=1,IF(ISNUMBER($EI680),$EI680,VALUE($EI680)),IF($EJ680=2,$DE680,0)))</f>
        <v/>
      </c>
      <c r="EL680">
        <f>IF($DM680=0,"",COUNTIF($EG$5:$EG$1003,"&lt;"&amp;$EG680)+SUMPRODUCT(($EG$5:$EG$1003=$EG680)*(($EJ$5:$EJ$1003&lt;$EJ680)+($EJ$5:$EJ$1003=$EJ680)*(($EK$5:$EK$1003&lt;$EK680)+($EK$5:$EK$1003=$EK680)*($DE$5:$DE$1003&lt;$DE680))))+1)</f>
        <v/>
      </c>
      <c r="EM680">
        <f>IF($DM680=0,"",$EL680+$EG680-1)</f>
        <v/>
      </c>
      <c r="EN680">
        <f>IF($DM680=0,0,IFERROR(MATCH(1,INDEX(--(TRIM(SUBSTITUTE(SUBSTITUTE(SUBSTITUTE(SUBSTITUTE(LINES_NAME&amp;""," "," "),CHAR(9)," "),CHAR(10)," "),CHAR(13)," "))=$DH680),0),0),0))</f>
        <v/>
      </c>
      <c r="EO680">
        <f>IF($EN680=0,0,IF(OR(UPPER(TRIM(INDEX(LINES_SCHEDULED,$EN680)&amp;""))="YES",UPPER(TRIM(INDEX(LINES_SCHEDULED,$EN680)&amp;""))="Y",UPPER(TRIM(INDEX(LINES_SCHEDULED,$EN680)&amp;""))="X"),1,0))</f>
        <v/>
      </c>
      <c r="EP680">
        <f>IF($DM680=0,"",IF(COUNTIFS($EG$5:$EG$1003,$EG680,$EB$5:$EB$1003,"Ready")&gt;0,"READY",IF(COUNTIFS($EG$5:$EG$1003,$EG680,$EB$5:$EB$1003,"PM")&gt;0,"PM",IF(COUNTIFS($EG$5:$EG$1003,$EG680,$EB$5:$EB$1003,"OT")&gt;0,"OT",""))))</f>
        <v/>
      </c>
      <c r="EQ680">
        <f>IF($EN680=0,"",UPPER(TRIM(INDEX(LINES_STATUS,$EN680)&amp;"")))</f>
        <v/>
      </c>
      <c r="ER680">
        <f>IF($DM680=0,"",IF(OR($EQ680="READY",$EQ680="PM",$EQ680="OT"),$EQ680,$EP680))</f>
        <v/>
      </c>
      <c r="ES680">
        <f>IF($DM680=0,"",IF(AND($DV680&lt;&gt;"",UPPER($DV680)&lt;&gt;"N"),"allergen",IF(ISNUMBER(SEARCH("oil",$DQ680)),"oil",IF(OR(EXACT($DS680,"A662"),EXACT($DS680,"A624")),"bulk",""))))</f>
        <v/>
      </c>
      <c r="ET680">
        <f>IF($DM680=0,"",IF(OR($EA680="",$EA680=0),"",$EA680/100))</f>
        <v/>
      </c>
      <c r="EU680">
        <f>IF(OR($ET680="",$DY680=""),"",INT($DY680*(1-$ET680)+0.5))</f>
        <v/>
      </c>
      <c r="EW680" t="n">
        <v>676</v>
      </c>
      <c r="EX680">
        <f>IFERROR(MATCH($EW680,$EM$5:$EM$1003,0),0)</f>
        <v/>
      </c>
      <c r="EY680">
        <f>IF($EW680&gt;$B$12,"",IF($EX680&gt;0,"row","spacer"))</f>
        <v/>
      </c>
      <c r="EZ680">
        <f>IF(AND($EY680="row",$EY679&lt;&gt;"row"),1,0)</f>
        <v/>
      </c>
      <c r="FA680">
        <f>IF(AND($EY680="row",$EY681&lt;&gt;"row"),1,0)</f>
        <v/>
      </c>
      <c r="FB680">
        <f>IF($EZ680=1,IFERROR(IF(ISNUMBER(INDEX(PASTE_ALL,INDEX($DF$5:$DF$1003,$EX680),$B$37)),INDEX(PASTE_ALL,INDEX($DF$5:$DF$1003,$EX680),$B$37),INDEX($DH$5:$DH$1003,$EX680)),INDEX($DH$5:$DH$1003,$EX680)),"")</f>
        <v/>
      </c>
      <c r="FC680">
        <f>IF($EY680="row",INDEX($ER$5:$ER$1003,$EX680),"")</f>
        <v/>
      </c>
      <c r="FD680">
        <f>IF($EY680="row",INDEX($DN$5:$DN$1003,$EX680),"")</f>
        <v/>
      </c>
      <c r="FE680">
        <f>IF($EY680="row",INDEX($DO$5:$DO$1003,$EX680),"")</f>
        <v/>
      </c>
      <c r="FF680">
        <f>IF($EY680="row",INDEX($DP$5:$DP$1003,$EX680),"")</f>
        <v/>
      </c>
      <c r="FG680">
        <f>IF($EY680="row",INDEX($DQ$5:$DQ$1003,$EX680),"")</f>
        <v/>
      </c>
      <c r="FH680">
        <f>IF($EY680="row",INDEX($DR$5:$DR$1003,$EX680),"")</f>
        <v/>
      </c>
      <c r="FI680">
        <f>IF($EY680="row",INDEX($DS$5:$DS$1003,$EX680),"")</f>
        <v/>
      </c>
      <c r="FJ680">
        <f>IF($EY680="row",INDEX($DT$5:$DT$1003,$EX680),"")</f>
        <v/>
      </c>
      <c r="FK680">
        <f>IF($EY680="row",INDEX($DU$5:$DU$1003,$EX680),"")</f>
        <v/>
      </c>
      <c r="FL680">
        <f>IF($EY680="row",INDEX($DV$5:$DV$1003,$EX680),"")</f>
        <v/>
      </c>
      <c r="FM680">
        <f>IF($EY680="row",INDEX($DW$5:$DW$1003,$EX680),"")</f>
        <v/>
      </c>
      <c r="FN680">
        <f>IF($EY680="row",INDEX($DY$5:$DY$1003,$EX680),"")</f>
        <v/>
      </c>
      <c r="FO680">
        <f>IF($EY680="row",INDEX($EA$5:$EA$1003,$EX680),"")</f>
        <v/>
      </c>
      <c r="FP680">
        <f>IF($EY680="row",INDEX($EC$5:$EC$1003,$EX680),"")</f>
        <v/>
      </c>
      <c r="FQ680">
        <f>IF($EY680="row",INDEX($ET$5:$ET$1003,$EX680),"")</f>
        <v/>
      </c>
      <c r="FR680">
        <f>IF($EY680="row",INDEX($EU$5:$EU$1003,$EX680),"")</f>
        <v/>
      </c>
      <c r="FS680">
        <f>IF(AND($EY680="row",$EY679="row"),IF(OR(INDEX($DT$5:$DT$1003,$EX679)="",INDEX($DT$5:$DT$1003,$EX680)=""),"",IF(NOT(EXACT(INDEX($DT$5:$DT$1003,$EX679),INDEX($DT$5:$DT$1003,$EX680))),"S4",IF(NOT(EXACT(INDEX($DS$5:$DS$1003,$EX679),INDEX($DS$5:$DS$1003,$EX680))),"S3",IF(NOT(EXACT(INDEX($DR$5:$DR$1003,$EX679),INDEX($DR$5:$DR$1003,$EX680))),"S1 Count Change","S1")))),"")</f>
        <v/>
      </c>
      <c r="FT680">
        <f>IF($EY680="row",INDEX($ES$5:$ES$1003,$EX680),"")</f>
        <v/>
      </c>
      <c r="FU680">
        <f>IF($EY680="row",INDEX($EO$5:$EO$1003,$EX680),0)</f>
        <v/>
      </c>
      <c r="FV680">
        <f>IF($FS680="S1 Count Change",1,0)</f>
        <v/>
      </c>
    </row>
    <row r="681">
      <c r="DA681" t="n">
        <v>677</v>
      </c>
      <c r="DB681">
        <f>IF($B$37=0,"",IFERROR(TRIM(SUBSTITUTE(SUBSTITUTE(SUBSTITUTE(SUBSTITUTE(INDEX(PASTE_ALL,677,$B$37)," "," "),CHAR(9)," "),CHAR(10)," "),CHAR(13)," ")),""))</f>
        <v/>
      </c>
      <c r="DC681">
        <f>IF(AND(677&gt;HEADER_ROW,UPPER(DB681)="LEGEND"),1,0)</f>
        <v/>
      </c>
      <c r="DE681" t="n">
        <v>677</v>
      </c>
      <c r="DF681">
        <f>HEADER_ROW+$DE681</f>
        <v/>
      </c>
      <c r="DG681">
        <f>IF(AND($DF681&lt;=1000,$DF681&lt;$B$8),1,0)</f>
        <v/>
      </c>
      <c r="DH681">
        <f>IF($DG681=1,IFERROR(INDEX($DB$5:$DB$1004,$DF681),""),"")</f>
        <v/>
      </c>
      <c r="DI681">
        <f>IF(AND($DG681=1,$DH681&lt;&gt;""),IFERROR(SUBSTITUTE(SUBSTITUTE(TRIM(SUBSTITUTE(SUBSTITUTE(SUBSTITUTE(SUBSTITUTE(IFERROR(INDEX(PASTE_ALL,$DF681,1)&amp;"","")&amp;"␟"&amp;IFERROR(INDEX(PASTE_ALL,$DF681,2)&amp;"","")&amp;"␟"&amp;IFERROR(INDEX(PASTE_ALL,$DF681,3)&amp;"","")&amp;"␟"&amp;IFERROR(INDEX(PASTE_ALL,$DF681,4)&amp;"","")&amp;"␟"&amp;IFERROR(INDEX(PASTE_ALL,$DF681,5)&amp;"","")&amp;"␟"&amp;IFERROR(INDEX(PASTE_ALL,$DF681,6)&amp;"","")&amp;"␟"&amp;IFERROR(INDEX(PASTE_ALL,$DF681,7)&amp;"","")&amp;"␟"&amp;IFERROR(INDEX(PASTE_ALL,$DF681,8)&amp;"","")&amp;"␟"&amp;IFERROR(INDEX(PASTE_ALL,$DF681,9)&amp;"","")&amp;"␟"&amp;IFERROR(INDEX(PASTE_ALL,$DF681,10)&amp;"","")&amp;"␟"&amp;IFERROR(INDEX(PASTE_ALL,$DF681,11)&amp;"","")&amp;"␟"&amp;IFERROR(INDEX(PASTE_ALL,$DF681,12)&amp;"","")&amp;"␟"&amp;IFERROR(INDEX(PASTE_ALL,$DF681,13)&amp;"","")&amp;"␟"&amp;IFERROR(INDEX(PASTE_ALL,$DF681,14)&amp;"","")&amp;"␟"&amp;IFERROR(INDEX(PASTE_ALL,$DF681,15)&amp;"","")&amp;"␟"&amp;IFERROR(INDEX(PASTE_ALL,$DF681,16)&amp;"","")&amp;"␟"&amp;IFERROR(INDEX(PASTE_ALL,$DF681,17)&amp;"","")&amp;"␟"&amp;IFERROR(INDEX(PASTE_ALL,$DF681,18)&amp;"","")&amp;"␟"&amp;IFERROR(INDEX(PASTE_ALL,$DF681,19)&amp;"","")&amp;"␟"&amp;IFERROR(INDEX(PASTE_ALL,$DF681,20)&amp;"","")&amp;"␟"&amp;IFERROR(INDEX(PASTE_ALL,$DF681,21)&amp;"","")&amp;"␟"&amp;IFERROR(INDEX(PASTE_ALL,$DF681,22)&amp;"","")&amp;"␟"&amp;IFERROR(INDEX(PASTE_ALL,$DF681,23)&amp;"","")&amp;"␟"&amp;IFERROR(INDEX(PASTE_ALL,$DF681,24)&amp;"","")&amp;"␟"&amp;IFERROR(INDEX(PASTE_ALL,$DF681,25)&amp;"","")&amp;"␟"&amp;IFERROR(INDEX(PASTE_ALL,$DF681,26)&amp;"","")&amp;"␟"&amp;IFERROR(INDEX(PASTE_ALL,$DF681,27)&amp;"","")&amp;"␟"&amp;IFERROR(INDEX(PASTE_ALL,$DF681,28)&amp;"","")&amp;"␟"&amp;IFERROR(INDEX(PASTE_ALL,$DF681,29)&amp;"","")&amp;"␟"&amp;IFERROR(INDEX(PASTE_ALL,$DF681,30)&amp;"","")&amp;"␟"&amp;IFERROR(INDEX(PASTE_ALL,$DF681,31)&amp;"","")&amp;"␟"&amp;IFERROR(INDEX(PASTE_ALL,$DF681,32)&amp;"","")&amp;"␟"&amp;IFERROR(INDEX(PASTE_ALL,$DF681,33)&amp;"","")&amp;"␟"&amp;IFERROR(INDEX(PASTE_ALL,$DF681,34)&amp;"","")&amp;"␟"&amp;IFERROR(INDEX(PASTE_ALL,$DF681,35)&amp;"","")&amp;"␟"&amp;IFERROR(INDEX(PASTE_ALL,$DF681,36)&amp;"","")&amp;"␟"&amp;IFERROR(INDEX(PASTE_ALL,$DF681,37)&amp;"","")&amp;"␟"&amp;IFERROR(INDEX(PASTE_ALL,$DF681,38)&amp;"","")&amp;"␟"&amp;IFERROR(INDEX(PASTE_ALL,$DF681,39)&amp;"","")&amp;"␟"&amp;IFERROR(INDEX(PASTE_ALL,$DF681,40)&amp;"","")&amp;"␟"&amp;IFERROR(INDEX(PASTE_ALL,$DF681,41)&amp;"","")&amp;"␟"&amp;IFERROR(INDEX(PASTE_ALL,$DF681,42)&amp;"","")&amp;"␟"&amp;IFERROR(INDEX(PASTE_ALL,$DF681,43)&amp;"","")&amp;"␟"&amp;IFERROR(INDEX(PASTE_ALL,$DF681,44)&amp;"","")&amp;"␟"&amp;IFERROR(INDEX(PASTE_ALL,$DF681,45)&amp;"","")&amp;"␟"&amp;IFERROR(INDEX(PASTE_ALL,$DF681,46)&amp;"","")&amp;"␟"&amp;IFERROR(INDEX(PASTE_ALL,$DF681,47)&amp;"","")&amp;"␟"&amp;IFERROR(INDEX(PASTE_ALL,$DF681,48)&amp;"","")&amp;"␟"&amp;IFERROR(INDEX(PASTE_ALL,$DF681,49)&amp;"","")&amp;"␟"&amp;IFERROR(INDEX(PASTE_ALL,$DF681,50)&amp;"","")&amp;"␟"&amp;IFERROR(INDEX(PASTE_ALL,$DF681,51)&amp;"","")&amp;"␟"&amp;IFERROR(INDEX(PASTE_ALL,$DF681,52)&amp;"","")&amp;"␟"&amp;IFERROR(INDEX(PASTE_ALL,$DF681,53)&amp;"","")&amp;"␟"&amp;IFERROR(INDEX(PASTE_ALL,$DF681,54)&amp;"","")&amp;"␟"&amp;IFERROR(INDEX(PASTE_ALL,$DF681,55)&amp;"","")&amp;"␟"&amp;IFERROR(INDEX(PASTE_ALL,$DF681,56)&amp;"","")&amp;"␟"&amp;IFERROR(INDEX(PASTE_ALL,$DF681,57)&amp;"","")&amp;"␟"&amp;IFERROR(INDEX(PASTE_ALL,$DF681,58)&amp;"","")&amp;"␟"&amp;IFERROR(INDEX(PASTE_ALL,$DF681,59)&amp;"","")&amp;"␟"&amp;IFERROR(INDEX(PASTE_ALL,$DF681,60)&amp;"","")," "," "),CHAR(9)," "),CHAR(10)," "),CHAR(13)," "))," ␟","␟"),"␟ ","␟"),"#"&amp;$DE681),"")</f>
        <v/>
      </c>
      <c r="DJ681">
        <f>IF($DI681="",0,IF(SUMPRODUCT(--EXACT($DI$4:DI680,$DI681))&gt;0,1,0))</f>
        <v/>
      </c>
      <c r="DK681">
        <f>IF(AND($DI681&lt;&gt;"",$DJ681=0),1,0)</f>
        <v/>
      </c>
      <c r="DL681">
        <f>DL680+$DK681</f>
        <v/>
      </c>
      <c r="DM681">
        <f>IF(AND($DK681=1,$DL681&lt;=600),1,0)</f>
        <v/>
      </c>
      <c r="DN681">
        <f>IF($DM681=0,"",IF($L$6=0,"",IFERROR(IF(ISNUMBER(INDEX(PASTE_ALL,$DF681,$L$6)),INDEX(PASTE_ALL,$DF681,$L$6),TRIM(SUBSTITUTE(SUBSTITUTE(SUBSTITUTE(SUBSTITUTE(INDEX(PASTE_ALL,$DF681,$L$6)," "," "),CHAR(9)," "),CHAR(10)," "),CHAR(13)," "))),"")))</f>
        <v/>
      </c>
      <c r="DO681">
        <f>IF($DM681=0,"",IF($L$7=0,"",IFERROR(IF(ISNUMBER(INDEX(PASTE_ALL,$DF681,$L$7)),INDEX(PASTE_ALL,$DF681,$L$7),TRIM(SUBSTITUTE(SUBSTITUTE(SUBSTITUTE(SUBSTITUTE(INDEX(PASTE_ALL,$DF681,$L$7)," "," "),CHAR(9)," "),CHAR(10)," "),CHAR(13)," "))),"")))</f>
        <v/>
      </c>
      <c r="DP681">
        <f>IF($DM681=0,"",IF($L$8=0,"",IFERROR(IF(ISNUMBER(INDEX(PASTE_ALL,$DF681,$L$8)),INDEX(PASTE_ALL,$DF681,$L$8),TRIM(SUBSTITUTE(SUBSTITUTE(SUBSTITUTE(SUBSTITUTE(INDEX(PASTE_ALL,$DF681,$L$8)," "," "),CHAR(9)," "),CHAR(10)," "),CHAR(13)," "))),"")))</f>
        <v/>
      </c>
      <c r="DQ681">
        <f>IF($DM681=0,"",IF($L$9=0,"",IFERROR(IF(ISNUMBER(INDEX(PASTE_ALL,$DF681,$L$9)),INDEX(PASTE_ALL,$DF681,$L$9),TRIM(SUBSTITUTE(SUBSTITUTE(SUBSTITUTE(SUBSTITUTE(INDEX(PASTE_ALL,$DF681,$L$9)," "," "),CHAR(9)," "),CHAR(10)," "),CHAR(13)," "))),"")))</f>
        <v/>
      </c>
      <c r="DR681">
        <f>IF($DM681=0,"",IF($L$10=0,"",IFERROR(IF(ISNUMBER(INDEX(PASTE_ALL,$DF681,$L$10)),INDEX(PASTE_ALL,$DF681,$L$10),TRIM(SUBSTITUTE(SUBSTITUTE(SUBSTITUTE(SUBSTITUTE(INDEX(PASTE_ALL,$DF681,$L$10)," "," "),CHAR(9)," "),CHAR(10)," "),CHAR(13)," "))),"")))</f>
        <v/>
      </c>
      <c r="DS681">
        <f>IF($DM681=0,"",IF($L$11=0,"",IFERROR(IF(ISNUMBER(INDEX(PASTE_ALL,$DF681,$L$11)),INDEX(PASTE_ALL,$DF681,$L$11),TRIM(SUBSTITUTE(SUBSTITUTE(SUBSTITUTE(SUBSTITUTE(INDEX(PASTE_ALL,$DF681,$L$11)," "," "),CHAR(9)," "),CHAR(10)," "),CHAR(13)," "))),"")))</f>
        <v/>
      </c>
      <c r="DT681">
        <f>IF($DM681=0,"",IF($L$12=0,"",IFERROR(IF(ISNUMBER(INDEX(PASTE_ALL,$DF681,$L$12)),INDEX(PASTE_ALL,$DF681,$L$12),TRIM(SUBSTITUTE(SUBSTITUTE(SUBSTITUTE(SUBSTITUTE(INDEX(PASTE_ALL,$DF681,$L$12)," "," "),CHAR(9)," "),CHAR(10)," "),CHAR(13)," "))),"")))</f>
        <v/>
      </c>
      <c r="DU681">
        <f>IF($DM681=0,"",IF($L$13=0,"",IFERROR(IF(ISNUMBER(INDEX(PASTE_ALL,$DF681,$L$13)),INDEX(PASTE_ALL,$DF681,$L$13),TRIM(SUBSTITUTE(SUBSTITUTE(SUBSTITUTE(SUBSTITUTE(INDEX(PASTE_ALL,$DF681,$L$13)," "," "),CHAR(9)," "),CHAR(10)," "),CHAR(13)," "))),"")))</f>
        <v/>
      </c>
      <c r="DV681">
        <f>IF($DM681=0,"",IF($L$14=0,"",IFERROR(IF(ISNUMBER(INDEX(PASTE_ALL,$DF681,$L$14)),INDEX(PASTE_ALL,$DF681,$L$14),TRIM(SUBSTITUTE(SUBSTITUTE(SUBSTITUTE(SUBSTITUTE(INDEX(PASTE_ALL,$DF681,$L$14)," "," "),CHAR(9)," "),CHAR(10)," "),CHAR(13)," "))),"")))</f>
        <v/>
      </c>
      <c r="DW681">
        <f>IF($DM681=0,"",IF($L$15=0,"",IFERROR(IF(ISNUMBER(INDEX(PASTE_ALL,$DF681,$L$15)),INDEX(PASTE_ALL,$DF681,$L$15),IF(SUMPRODUCT(--ISNUMBER(FIND({"A","B","C","D","E","F","G","H","I","J","K","L","M","N","O","P","Q","R","S","T","U","V","W","X","Y","Z","0","1","2","3","4","5","6","7","8","9"},UPPER(TRIM(SUBSTITUTE(SUBSTITUTE(SUBSTITUTE(SUBSTITUTE(INDEX(PASTE_ALL,$DF681,$L$15)," "," "),CHAR(9)," "),CHAR(10)," "),CHAR(13)," "))))))&gt;0,TRIM(SUBSTITUTE(SUBSTITUTE(SUBSTITUTE(SUBSTITUTE(INDEX(PASTE_ALL,$DF681,$L$15)," "," "),CHAR(9)," "),CHAR(10)," "),CHAR(13)," ")),"")),"")))</f>
        <v/>
      </c>
      <c r="DX681">
        <f>IF($DM681=0,"",IF($L$16=0,"",IFERROR(IF(ISNUMBER(INDEX(PASTE_ALL,$DF681,$L$16)),INDEX(PASTE_ALL,$DF681,$L$16),SUBSTITUTE(SUBSTITUTE(TRIM(SUBSTITUTE(SUBSTITUTE(SUBSTITUTE(SUBSTITUTE(INDEX(PASTE_ALL,$DF681,$L$16)," "," "),CHAR(9)," "),CHAR(10)," "),CHAR(13)," ")),",",""),"%","")),"")))</f>
        <v/>
      </c>
      <c r="DY681">
        <f>IF($DM681=0,"",IFERROR(IF(ISNUMBER($DX681),$DX681,IF($DX681="","",IF(TRIM($DX681)="",0,IF(AND(AND(SUBSTITUTE(SUBSTITUTE(SUBSTITUTE(SUBSTITUTE(SUBSTITUTE(SUBSTITUTE(SUBSTITUTE(SUBSTITUTE(SUBSTITUTE(SUBSTITUTE(SUBSTITUTE(SUBSTITUTE(SUBSTITUTE(SUBSTITUTE(UPPER(TRIM($DX681)),"0",""),"1",""),"2",""),"3",""),"4",""),"5",""),"6",""),"7",""),"8",""),"9",""),".",""),"+",""),"-",""),"E","")="",LEN(SUBSTITUTE(SUBSTITUTE(MID(UPPER(TRIM($DX681)),1+OR(LEFT(UPPER(TRIM($DX681)),1)="+",LEFT(UPPER(TRIM($DX681)),1)="-"),999),"E+","E"),"E-","E"))=LEN(SUBSTITUTE(SUBSTITUTE(SUBSTITUTE(SUBSTITUTE(MID(UPPER(TRIM($DX681)),1+OR(LEFT(UPPER(TRIM($DX681)),1)="+",LEFT(UPPER(TRIM($DX681)),1)="-"),999),"E+","E"),"E-","E"),"+",""),"-","")),LEN(UPPER(TRIM($DX681)))-LEN(SUBSTITUTE(UPPER(TRIM($DX681)),"E",""))&lt;2,LEN(UPPER(TRIM($DX681)))-LEN(SUBSTITUTE(UPPER(TRIM($DX681)),".",""))&lt;2,IFERROR(FIND(".",UPPER(TRIM($DX681))),0)&lt;IFERROR(FIND("E",UPPER(TRIM($DX681))),999)),ISNUMBER(VALUE(TRIM($DX681)))),VALUE(TRIM($DX681)),"")))),""))</f>
        <v/>
      </c>
      <c r="DZ681">
        <f>IF($DM681=0,"",IF($L$17=0,"",IFERROR(IF(ISNUMBER(INDEX(PASTE_ALL,$DF681,$L$17)),INDEX(PASTE_ALL,$DF681,$L$17),SUBSTITUTE(SUBSTITUTE(TRIM(SUBSTITUTE(SUBSTITUTE(SUBSTITUTE(SUBSTITUTE(INDEX(PASTE_ALL,$DF681,$L$17)," "," "),CHAR(9)," "),CHAR(10)," "),CHAR(13)," ")),",",""),"%","")),"")))</f>
        <v/>
      </c>
      <c r="EA681">
        <f>IF($DM681=0,"",IFERROR(IF(ISNUMBER($DZ681),$DZ681,IF($DZ681="","",IF(TRIM($DZ681)="",0,IF(AND(AND(SUBSTITUTE(SUBSTITUTE(SUBSTITUTE(SUBSTITUTE(SUBSTITUTE(SUBSTITUTE(SUBSTITUTE(SUBSTITUTE(SUBSTITUTE(SUBSTITUTE(SUBSTITUTE(SUBSTITUTE(SUBSTITUTE(SUBSTITUTE(UPPER(TRIM($DZ681)),"0",""),"1",""),"2",""),"3",""),"4",""),"5",""),"6",""),"7",""),"8",""),"9",""),".",""),"+",""),"-",""),"E","")="",LEN(SUBSTITUTE(SUBSTITUTE(MID(UPPER(TRIM($DZ681)),1+OR(LEFT(UPPER(TRIM($DZ681)),1)="+",LEFT(UPPER(TRIM($DZ681)),1)="-"),999),"E+","E"),"E-","E"))=LEN(SUBSTITUTE(SUBSTITUTE(SUBSTITUTE(SUBSTITUTE(MID(UPPER(TRIM($DZ681)),1+OR(LEFT(UPPER(TRIM($DZ681)),1)="+",LEFT(UPPER(TRIM($DZ681)),1)="-"),999),"E+","E"),"E-","E"),"+",""),"-","")),LEN(UPPER(TRIM($DZ681)))-LEN(SUBSTITUTE(UPPER(TRIM($DZ681)),"E",""))&lt;2,LEN(UPPER(TRIM($DZ681)))-LEN(SUBSTITUTE(UPPER(TRIM($DZ681)),".",""))&lt;2,IFERROR(FIND(".",UPPER(TRIM($DZ681))),0)&lt;IFERROR(FIND("E",UPPER(TRIM($DZ681))),999)),ISNUMBER(VALUE(TRIM($DZ681)))),VALUE(TRIM($DZ681)),"")))),""))</f>
        <v/>
      </c>
      <c r="EB681">
        <f>IF($DM681=0,"",IF($L$18=0,"",IFERROR(IF(UPPER(TRIM(SUBSTITUTE(SUBSTITUTE(SUBSTITUTE(SUBSTITUTE(INDEX(PASTE_ALL,$DF681,$L$18)," "," "),CHAR(9)," "),CHAR(10)," "),CHAR(13)," ")))="READY","Ready",IF(UPPER(TRIM(SUBSTITUTE(SUBSTITUTE(SUBSTITUTE(SUBSTITUTE(INDEX(PASTE_ALL,$DF681,$L$18)," "," "),CHAR(9)," "),CHAR(10)," "),CHAR(13)," ")))="PM","PM",IF(OR(UPPER(TRIM(SUBSTITUTE(SUBSTITUTE(SUBSTITUTE(SUBSTITUTE(INDEX(PASTE_ALL,$DF681,$L$18)," "," "),CHAR(9)," "),CHAR(10)," "),CHAR(13)," ")))="OT",UPPER(TRIM(SUBSTITUTE(SUBSTITUTE(SUBSTITUTE(SUBSTITUTE(INDEX(PASTE_ALL,$DF681,$L$18)," "," "),CHAR(9)," "),CHAR(10)," "),CHAR(13)," ")))="OVERTIME",UPPER(TRIM(SUBSTITUTE(SUBSTITUTE(SUBSTITUTE(SUBSTITUTE(INDEX(PASTE_ALL,$DF681,$L$18)," "," "),CHAR(9)," "),CHAR(10)," "),CHAR(13)," ")))="TRIAL"),"OT",TRIM(SUBSTITUTE(SUBSTITUTE(SUBSTITUTE(SUBSTITUTE(INDEX(PASTE_ALL,$DF681,$L$18)," "," "),CHAR(9)," "),CHAR(10)," "),CHAR(13)," "))))),"")))</f>
        <v/>
      </c>
      <c r="EC681">
        <f>IF($DM681=0,"",IF($L$19=0,"",IFERROR(IF(ISNUMBER(INDEX(PASTE_ALL,$DF681,$L$19)),INDEX(PASTE_ALL,$DF681,$L$19),TRIM(SUBSTITUTE(SUBSTITUTE(SUBSTITUTE(SUBSTITUTE(INDEX(PASTE_ALL,$DF681,$L$19)," "," "),CHAR(9)," "),CHAR(10)," "),CHAR(13)," "))),"")))</f>
        <v/>
      </c>
      <c r="ED681">
        <f>IF($DM681=0,"",MATCH(1,INDEX(EXACT($DH$5:DH681,$DH681)*$DM$5:DM681,0),0))</f>
        <v/>
      </c>
      <c r="EE681">
        <f>IF($DM681=0,0,IF($ED681=$DE681,1,0))</f>
        <v/>
      </c>
      <c r="EF681">
        <f>EF680+$EE681</f>
        <v/>
      </c>
      <c r="EG681">
        <f>IF($DM681=0,"",INDEX($EF$5:$EF$1003,$ED681))</f>
        <v/>
      </c>
      <c r="EH681">
        <f>IF($DM681=0,"",IF($DO681&lt;&gt;"","",IFERROR(LOOKUP(2,1/(($EG$4:EG680=$EG681)*($DO$4:DO680&lt;&gt;"")),$DO$4:DO680),"")))</f>
        <v/>
      </c>
      <c r="EI681">
        <f>IF($DM681=0,"",IF($DO681&lt;&gt;"",$DO681,$EH681))</f>
        <v/>
      </c>
      <c r="EJ681">
        <f>IF($DM681=0,"",IF($EI681="",0,IF(OR(ISNUMBER($EI681),AND(AND(SUBSTITUTE(SUBSTITUTE(SUBSTITUTE(SUBSTITUTE(SUBSTITUTE(SUBSTITUTE(SUBSTITUTE(SUBSTITUTE(SUBSTITUTE(SUBSTITUTE(SUBSTITUTE(SUBSTITUTE(SUBSTITUTE(SUBSTITUTE(UPPER($EI681),"0",""),"1",""),"2",""),"3",""),"4",""),"5",""),"6",""),"7",""),"8",""),"9",""),".",""),"+",""),"-",""),"E","")="",LEN(SUBSTITUTE(SUBSTITUTE(MID(UPPER($EI681),1+OR(LEFT(UPPER($EI681),1)="+",LEFT(UPPER($EI681),1)="-"),999),"E+","E"),"E-","E"))=LEN(SUBSTITUTE(SUBSTITUTE(SUBSTITUTE(SUBSTITUTE(MID(UPPER($EI681),1+OR(LEFT(UPPER($EI681),1)="+",LEFT(UPPER($EI681),1)="-"),999),"E+","E"),"E-","E"),"+",""),"-","")),LEN(UPPER($EI681))-LEN(SUBSTITUTE(UPPER($EI681),"E",""))&lt;2,LEN(UPPER($EI681))-LEN(SUBSTITUTE(UPPER($EI681),".",""))&lt;2,IFERROR(FIND(".",UPPER($EI681)),0)&lt;IFERROR(FIND("E",UPPER($EI681)),999)),ISNUMBER(VALUE($EI681)))),1,2)))</f>
        <v/>
      </c>
      <c r="EK681">
        <f>IF($DM681=0,"",IF($EJ681=1,IF(ISNUMBER($EI681),$EI681,VALUE($EI681)),IF($EJ681=2,$DE681,0)))</f>
        <v/>
      </c>
      <c r="EL681">
        <f>IF($DM681=0,"",COUNTIF($EG$5:$EG$1003,"&lt;"&amp;$EG681)+SUMPRODUCT(($EG$5:$EG$1003=$EG681)*(($EJ$5:$EJ$1003&lt;$EJ681)+($EJ$5:$EJ$1003=$EJ681)*(($EK$5:$EK$1003&lt;$EK681)+($EK$5:$EK$1003=$EK681)*($DE$5:$DE$1003&lt;$DE681))))+1)</f>
        <v/>
      </c>
      <c r="EM681">
        <f>IF($DM681=0,"",$EL681+$EG681-1)</f>
        <v/>
      </c>
      <c r="EN681">
        <f>IF($DM681=0,0,IFERROR(MATCH(1,INDEX(--(TRIM(SUBSTITUTE(SUBSTITUTE(SUBSTITUTE(SUBSTITUTE(LINES_NAME&amp;""," "," "),CHAR(9)," "),CHAR(10)," "),CHAR(13)," "))=$DH681),0),0),0))</f>
        <v/>
      </c>
      <c r="EO681">
        <f>IF($EN681=0,0,IF(OR(UPPER(TRIM(INDEX(LINES_SCHEDULED,$EN681)&amp;""))="YES",UPPER(TRIM(INDEX(LINES_SCHEDULED,$EN681)&amp;""))="Y",UPPER(TRIM(INDEX(LINES_SCHEDULED,$EN681)&amp;""))="X"),1,0))</f>
        <v/>
      </c>
      <c r="EP681">
        <f>IF($DM681=0,"",IF(COUNTIFS($EG$5:$EG$1003,$EG681,$EB$5:$EB$1003,"Ready")&gt;0,"READY",IF(COUNTIFS($EG$5:$EG$1003,$EG681,$EB$5:$EB$1003,"PM")&gt;0,"PM",IF(COUNTIFS($EG$5:$EG$1003,$EG681,$EB$5:$EB$1003,"OT")&gt;0,"OT",""))))</f>
        <v/>
      </c>
      <c r="EQ681">
        <f>IF($EN681=0,"",UPPER(TRIM(INDEX(LINES_STATUS,$EN681)&amp;"")))</f>
        <v/>
      </c>
      <c r="ER681">
        <f>IF($DM681=0,"",IF(OR($EQ681="READY",$EQ681="PM",$EQ681="OT"),$EQ681,$EP681))</f>
        <v/>
      </c>
      <c r="ES681">
        <f>IF($DM681=0,"",IF(AND($DV681&lt;&gt;"",UPPER($DV681)&lt;&gt;"N"),"allergen",IF(ISNUMBER(SEARCH("oil",$DQ681)),"oil",IF(OR(EXACT($DS681,"A662"),EXACT($DS681,"A624")),"bulk",""))))</f>
        <v/>
      </c>
      <c r="ET681">
        <f>IF($DM681=0,"",IF(OR($EA681="",$EA681=0),"",$EA681/100))</f>
        <v/>
      </c>
      <c r="EU681">
        <f>IF(OR($ET681="",$DY681=""),"",INT($DY681*(1-$ET681)+0.5))</f>
        <v/>
      </c>
      <c r="EW681" t="n">
        <v>677</v>
      </c>
      <c r="EX681">
        <f>IFERROR(MATCH($EW681,$EM$5:$EM$1003,0),0)</f>
        <v/>
      </c>
      <c r="EY681">
        <f>IF($EW681&gt;$B$12,"",IF($EX681&gt;0,"row","spacer"))</f>
        <v/>
      </c>
      <c r="EZ681">
        <f>IF(AND($EY681="row",$EY680&lt;&gt;"row"),1,0)</f>
        <v/>
      </c>
      <c r="FA681">
        <f>IF(AND($EY681="row",$EY682&lt;&gt;"row"),1,0)</f>
        <v/>
      </c>
      <c r="FB681">
        <f>IF($EZ681=1,IFERROR(IF(ISNUMBER(INDEX(PASTE_ALL,INDEX($DF$5:$DF$1003,$EX681),$B$37)),INDEX(PASTE_ALL,INDEX($DF$5:$DF$1003,$EX681),$B$37),INDEX($DH$5:$DH$1003,$EX681)),INDEX($DH$5:$DH$1003,$EX681)),"")</f>
        <v/>
      </c>
      <c r="FC681">
        <f>IF($EY681="row",INDEX($ER$5:$ER$1003,$EX681),"")</f>
        <v/>
      </c>
      <c r="FD681">
        <f>IF($EY681="row",INDEX($DN$5:$DN$1003,$EX681),"")</f>
        <v/>
      </c>
      <c r="FE681">
        <f>IF($EY681="row",INDEX($DO$5:$DO$1003,$EX681),"")</f>
        <v/>
      </c>
      <c r="FF681">
        <f>IF($EY681="row",INDEX($DP$5:$DP$1003,$EX681),"")</f>
        <v/>
      </c>
      <c r="FG681">
        <f>IF($EY681="row",INDEX($DQ$5:$DQ$1003,$EX681),"")</f>
        <v/>
      </c>
      <c r="FH681">
        <f>IF($EY681="row",INDEX($DR$5:$DR$1003,$EX681),"")</f>
        <v/>
      </c>
      <c r="FI681">
        <f>IF($EY681="row",INDEX($DS$5:$DS$1003,$EX681),"")</f>
        <v/>
      </c>
      <c r="FJ681">
        <f>IF($EY681="row",INDEX($DT$5:$DT$1003,$EX681),"")</f>
        <v/>
      </c>
      <c r="FK681">
        <f>IF($EY681="row",INDEX($DU$5:$DU$1003,$EX681),"")</f>
        <v/>
      </c>
      <c r="FL681">
        <f>IF($EY681="row",INDEX($DV$5:$DV$1003,$EX681),"")</f>
        <v/>
      </c>
      <c r="FM681">
        <f>IF($EY681="row",INDEX($DW$5:$DW$1003,$EX681),"")</f>
        <v/>
      </c>
      <c r="FN681">
        <f>IF($EY681="row",INDEX($DY$5:$DY$1003,$EX681),"")</f>
        <v/>
      </c>
      <c r="FO681">
        <f>IF($EY681="row",INDEX($EA$5:$EA$1003,$EX681),"")</f>
        <v/>
      </c>
      <c r="FP681">
        <f>IF($EY681="row",INDEX($EC$5:$EC$1003,$EX681),"")</f>
        <v/>
      </c>
      <c r="FQ681">
        <f>IF($EY681="row",INDEX($ET$5:$ET$1003,$EX681),"")</f>
        <v/>
      </c>
      <c r="FR681">
        <f>IF($EY681="row",INDEX($EU$5:$EU$1003,$EX681),"")</f>
        <v/>
      </c>
      <c r="FS681">
        <f>IF(AND($EY681="row",$EY680="row"),IF(OR(INDEX($DT$5:$DT$1003,$EX680)="",INDEX($DT$5:$DT$1003,$EX681)=""),"",IF(NOT(EXACT(INDEX($DT$5:$DT$1003,$EX680),INDEX($DT$5:$DT$1003,$EX681))),"S4",IF(NOT(EXACT(INDEX($DS$5:$DS$1003,$EX680),INDEX($DS$5:$DS$1003,$EX681))),"S3",IF(NOT(EXACT(INDEX($DR$5:$DR$1003,$EX680),INDEX($DR$5:$DR$1003,$EX681))),"S1 Count Change","S1")))),"")</f>
        <v/>
      </c>
      <c r="FT681">
        <f>IF($EY681="row",INDEX($ES$5:$ES$1003,$EX681),"")</f>
        <v/>
      </c>
      <c r="FU681">
        <f>IF($EY681="row",INDEX($EO$5:$EO$1003,$EX681),0)</f>
        <v/>
      </c>
      <c r="FV681">
        <f>IF($FS681="S1 Count Change",1,0)</f>
        <v/>
      </c>
    </row>
    <row r="682">
      <c r="DA682" t="n">
        <v>678</v>
      </c>
      <c r="DB682">
        <f>IF($B$37=0,"",IFERROR(TRIM(SUBSTITUTE(SUBSTITUTE(SUBSTITUTE(SUBSTITUTE(INDEX(PASTE_ALL,678,$B$37)," "," "),CHAR(9)," "),CHAR(10)," "),CHAR(13)," ")),""))</f>
        <v/>
      </c>
      <c r="DC682">
        <f>IF(AND(678&gt;HEADER_ROW,UPPER(DB682)="LEGEND"),1,0)</f>
        <v/>
      </c>
      <c r="DE682" t="n">
        <v>678</v>
      </c>
      <c r="DF682">
        <f>HEADER_ROW+$DE682</f>
        <v/>
      </c>
      <c r="DG682">
        <f>IF(AND($DF682&lt;=1000,$DF682&lt;$B$8),1,0)</f>
        <v/>
      </c>
      <c r="DH682">
        <f>IF($DG682=1,IFERROR(INDEX($DB$5:$DB$1004,$DF682),""),"")</f>
        <v/>
      </c>
      <c r="DI682">
        <f>IF(AND($DG682=1,$DH682&lt;&gt;""),IFERROR(SUBSTITUTE(SUBSTITUTE(TRIM(SUBSTITUTE(SUBSTITUTE(SUBSTITUTE(SUBSTITUTE(IFERROR(INDEX(PASTE_ALL,$DF682,1)&amp;"","")&amp;"␟"&amp;IFERROR(INDEX(PASTE_ALL,$DF682,2)&amp;"","")&amp;"␟"&amp;IFERROR(INDEX(PASTE_ALL,$DF682,3)&amp;"","")&amp;"␟"&amp;IFERROR(INDEX(PASTE_ALL,$DF682,4)&amp;"","")&amp;"␟"&amp;IFERROR(INDEX(PASTE_ALL,$DF682,5)&amp;"","")&amp;"␟"&amp;IFERROR(INDEX(PASTE_ALL,$DF682,6)&amp;"","")&amp;"␟"&amp;IFERROR(INDEX(PASTE_ALL,$DF682,7)&amp;"","")&amp;"␟"&amp;IFERROR(INDEX(PASTE_ALL,$DF682,8)&amp;"","")&amp;"␟"&amp;IFERROR(INDEX(PASTE_ALL,$DF682,9)&amp;"","")&amp;"␟"&amp;IFERROR(INDEX(PASTE_ALL,$DF682,10)&amp;"","")&amp;"␟"&amp;IFERROR(INDEX(PASTE_ALL,$DF682,11)&amp;"","")&amp;"␟"&amp;IFERROR(INDEX(PASTE_ALL,$DF682,12)&amp;"","")&amp;"␟"&amp;IFERROR(INDEX(PASTE_ALL,$DF682,13)&amp;"","")&amp;"␟"&amp;IFERROR(INDEX(PASTE_ALL,$DF682,14)&amp;"","")&amp;"␟"&amp;IFERROR(INDEX(PASTE_ALL,$DF682,15)&amp;"","")&amp;"␟"&amp;IFERROR(INDEX(PASTE_ALL,$DF682,16)&amp;"","")&amp;"␟"&amp;IFERROR(INDEX(PASTE_ALL,$DF682,17)&amp;"","")&amp;"␟"&amp;IFERROR(INDEX(PASTE_ALL,$DF682,18)&amp;"","")&amp;"␟"&amp;IFERROR(INDEX(PASTE_ALL,$DF682,19)&amp;"","")&amp;"␟"&amp;IFERROR(INDEX(PASTE_ALL,$DF682,20)&amp;"","")&amp;"␟"&amp;IFERROR(INDEX(PASTE_ALL,$DF682,21)&amp;"","")&amp;"␟"&amp;IFERROR(INDEX(PASTE_ALL,$DF682,22)&amp;"","")&amp;"␟"&amp;IFERROR(INDEX(PASTE_ALL,$DF682,23)&amp;"","")&amp;"␟"&amp;IFERROR(INDEX(PASTE_ALL,$DF682,24)&amp;"","")&amp;"␟"&amp;IFERROR(INDEX(PASTE_ALL,$DF682,25)&amp;"","")&amp;"␟"&amp;IFERROR(INDEX(PASTE_ALL,$DF682,26)&amp;"","")&amp;"␟"&amp;IFERROR(INDEX(PASTE_ALL,$DF682,27)&amp;"","")&amp;"␟"&amp;IFERROR(INDEX(PASTE_ALL,$DF682,28)&amp;"","")&amp;"␟"&amp;IFERROR(INDEX(PASTE_ALL,$DF682,29)&amp;"","")&amp;"␟"&amp;IFERROR(INDEX(PASTE_ALL,$DF682,30)&amp;"","")&amp;"␟"&amp;IFERROR(INDEX(PASTE_ALL,$DF682,31)&amp;"","")&amp;"␟"&amp;IFERROR(INDEX(PASTE_ALL,$DF682,32)&amp;"","")&amp;"␟"&amp;IFERROR(INDEX(PASTE_ALL,$DF682,33)&amp;"","")&amp;"␟"&amp;IFERROR(INDEX(PASTE_ALL,$DF682,34)&amp;"","")&amp;"␟"&amp;IFERROR(INDEX(PASTE_ALL,$DF682,35)&amp;"","")&amp;"␟"&amp;IFERROR(INDEX(PASTE_ALL,$DF682,36)&amp;"","")&amp;"␟"&amp;IFERROR(INDEX(PASTE_ALL,$DF682,37)&amp;"","")&amp;"␟"&amp;IFERROR(INDEX(PASTE_ALL,$DF682,38)&amp;"","")&amp;"␟"&amp;IFERROR(INDEX(PASTE_ALL,$DF682,39)&amp;"","")&amp;"␟"&amp;IFERROR(INDEX(PASTE_ALL,$DF682,40)&amp;"","")&amp;"␟"&amp;IFERROR(INDEX(PASTE_ALL,$DF682,41)&amp;"","")&amp;"␟"&amp;IFERROR(INDEX(PASTE_ALL,$DF682,42)&amp;"","")&amp;"␟"&amp;IFERROR(INDEX(PASTE_ALL,$DF682,43)&amp;"","")&amp;"␟"&amp;IFERROR(INDEX(PASTE_ALL,$DF682,44)&amp;"","")&amp;"␟"&amp;IFERROR(INDEX(PASTE_ALL,$DF682,45)&amp;"","")&amp;"␟"&amp;IFERROR(INDEX(PASTE_ALL,$DF682,46)&amp;"","")&amp;"␟"&amp;IFERROR(INDEX(PASTE_ALL,$DF682,47)&amp;"","")&amp;"␟"&amp;IFERROR(INDEX(PASTE_ALL,$DF682,48)&amp;"","")&amp;"␟"&amp;IFERROR(INDEX(PASTE_ALL,$DF682,49)&amp;"","")&amp;"␟"&amp;IFERROR(INDEX(PASTE_ALL,$DF682,50)&amp;"","")&amp;"␟"&amp;IFERROR(INDEX(PASTE_ALL,$DF682,51)&amp;"","")&amp;"␟"&amp;IFERROR(INDEX(PASTE_ALL,$DF682,52)&amp;"","")&amp;"␟"&amp;IFERROR(INDEX(PASTE_ALL,$DF682,53)&amp;"","")&amp;"␟"&amp;IFERROR(INDEX(PASTE_ALL,$DF682,54)&amp;"","")&amp;"␟"&amp;IFERROR(INDEX(PASTE_ALL,$DF682,55)&amp;"","")&amp;"␟"&amp;IFERROR(INDEX(PASTE_ALL,$DF682,56)&amp;"","")&amp;"␟"&amp;IFERROR(INDEX(PASTE_ALL,$DF682,57)&amp;"","")&amp;"␟"&amp;IFERROR(INDEX(PASTE_ALL,$DF682,58)&amp;"","")&amp;"␟"&amp;IFERROR(INDEX(PASTE_ALL,$DF682,59)&amp;"","")&amp;"␟"&amp;IFERROR(INDEX(PASTE_ALL,$DF682,60)&amp;"","")," "," "),CHAR(9)," "),CHAR(10)," "),CHAR(13)," "))," ␟","␟"),"␟ ","␟"),"#"&amp;$DE682),"")</f>
        <v/>
      </c>
      <c r="DJ682">
        <f>IF($DI682="",0,IF(SUMPRODUCT(--EXACT($DI$4:DI681,$DI682))&gt;0,1,0))</f>
        <v/>
      </c>
      <c r="DK682">
        <f>IF(AND($DI682&lt;&gt;"",$DJ682=0),1,0)</f>
        <v/>
      </c>
      <c r="DL682">
        <f>DL681+$DK682</f>
        <v/>
      </c>
      <c r="DM682">
        <f>IF(AND($DK682=1,$DL682&lt;=600),1,0)</f>
        <v/>
      </c>
      <c r="DN682">
        <f>IF($DM682=0,"",IF($L$6=0,"",IFERROR(IF(ISNUMBER(INDEX(PASTE_ALL,$DF682,$L$6)),INDEX(PASTE_ALL,$DF682,$L$6),TRIM(SUBSTITUTE(SUBSTITUTE(SUBSTITUTE(SUBSTITUTE(INDEX(PASTE_ALL,$DF682,$L$6)," "," "),CHAR(9)," "),CHAR(10)," "),CHAR(13)," "))),"")))</f>
        <v/>
      </c>
      <c r="DO682">
        <f>IF($DM682=0,"",IF($L$7=0,"",IFERROR(IF(ISNUMBER(INDEX(PASTE_ALL,$DF682,$L$7)),INDEX(PASTE_ALL,$DF682,$L$7),TRIM(SUBSTITUTE(SUBSTITUTE(SUBSTITUTE(SUBSTITUTE(INDEX(PASTE_ALL,$DF682,$L$7)," "," "),CHAR(9)," "),CHAR(10)," "),CHAR(13)," "))),"")))</f>
        <v/>
      </c>
      <c r="DP682">
        <f>IF($DM682=0,"",IF($L$8=0,"",IFERROR(IF(ISNUMBER(INDEX(PASTE_ALL,$DF682,$L$8)),INDEX(PASTE_ALL,$DF682,$L$8),TRIM(SUBSTITUTE(SUBSTITUTE(SUBSTITUTE(SUBSTITUTE(INDEX(PASTE_ALL,$DF682,$L$8)," "," "),CHAR(9)," "),CHAR(10)," "),CHAR(13)," "))),"")))</f>
        <v/>
      </c>
      <c r="DQ682">
        <f>IF($DM682=0,"",IF($L$9=0,"",IFERROR(IF(ISNUMBER(INDEX(PASTE_ALL,$DF682,$L$9)),INDEX(PASTE_ALL,$DF682,$L$9),TRIM(SUBSTITUTE(SUBSTITUTE(SUBSTITUTE(SUBSTITUTE(INDEX(PASTE_ALL,$DF682,$L$9)," "," "),CHAR(9)," "),CHAR(10)," "),CHAR(13)," "))),"")))</f>
        <v/>
      </c>
      <c r="DR682">
        <f>IF($DM682=0,"",IF($L$10=0,"",IFERROR(IF(ISNUMBER(INDEX(PASTE_ALL,$DF682,$L$10)),INDEX(PASTE_ALL,$DF682,$L$10),TRIM(SUBSTITUTE(SUBSTITUTE(SUBSTITUTE(SUBSTITUTE(INDEX(PASTE_ALL,$DF682,$L$10)," "," "),CHAR(9)," "),CHAR(10)," "),CHAR(13)," "))),"")))</f>
        <v/>
      </c>
      <c r="DS682">
        <f>IF($DM682=0,"",IF($L$11=0,"",IFERROR(IF(ISNUMBER(INDEX(PASTE_ALL,$DF682,$L$11)),INDEX(PASTE_ALL,$DF682,$L$11),TRIM(SUBSTITUTE(SUBSTITUTE(SUBSTITUTE(SUBSTITUTE(INDEX(PASTE_ALL,$DF682,$L$11)," "," "),CHAR(9)," "),CHAR(10)," "),CHAR(13)," "))),"")))</f>
        <v/>
      </c>
      <c r="DT682">
        <f>IF($DM682=0,"",IF($L$12=0,"",IFERROR(IF(ISNUMBER(INDEX(PASTE_ALL,$DF682,$L$12)),INDEX(PASTE_ALL,$DF682,$L$12),TRIM(SUBSTITUTE(SUBSTITUTE(SUBSTITUTE(SUBSTITUTE(INDEX(PASTE_ALL,$DF682,$L$12)," "," "),CHAR(9)," "),CHAR(10)," "),CHAR(13)," "))),"")))</f>
        <v/>
      </c>
      <c r="DU682">
        <f>IF($DM682=0,"",IF($L$13=0,"",IFERROR(IF(ISNUMBER(INDEX(PASTE_ALL,$DF682,$L$13)),INDEX(PASTE_ALL,$DF682,$L$13),TRIM(SUBSTITUTE(SUBSTITUTE(SUBSTITUTE(SUBSTITUTE(INDEX(PASTE_ALL,$DF682,$L$13)," "," "),CHAR(9)," "),CHAR(10)," "),CHAR(13)," "))),"")))</f>
        <v/>
      </c>
      <c r="DV682">
        <f>IF($DM682=0,"",IF($L$14=0,"",IFERROR(IF(ISNUMBER(INDEX(PASTE_ALL,$DF682,$L$14)),INDEX(PASTE_ALL,$DF682,$L$14),TRIM(SUBSTITUTE(SUBSTITUTE(SUBSTITUTE(SUBSTITUTE(INDEX(PASTE_ALL,$DF682,$L$14)," "," "),CHAR(9)," "),CHAR(10)," "),CHAR(13)," "))),"")))</f>
        <v/>
      </c>
      <c r="DW682">
        <f>IF($DM682=0,"",IF($L$15=0,"",IFERROR(IF(ISNUMBER(INDEX(PASTE_ALL,$DF682,$L$15)),INDEX(PASTE_ALL,$DF682,$L$15),IF(SUMPRODUCT(--ISNUMBER(FIND({"A","B","C","D","E","F","G","H","I","J","K","L","M","N","O","P","Q","R","S","T","U","V","W","X","Y","Z","0","1","2","3","4","5","6","7","8","9"},UPPER(TRIM(SUBSTITUTE(SUBSTITUTE(SUBSTITUTE(SUBSTITUTE(INDEX(PASTE_ALL,$DF682,$L$15)," "," "),CHAR(9)," "),CHAR(10)," "),CHAR(13)," "))))))&gt;0,TRIM(SUBSTITUTE(SUBSTITUTE(SUBSTITUTE(SUBSTITUTE(INDEX(PASTE_ALL,$DF682,$L$15)," "," "),CHAR(9)," "),CHAR(10)," "),CHAR(13)," ")),"")),"")))</f>
        <v/>
      </c>
      <c r="DX682">
        <f>IF($DM682=0,"",IF($L$16=0,"",IFERROR(IF(ISNUMBER(INDEX(PASTE_ALL,$DF682,$L$16)),INDEX(PASTE_ALL,$DF682,$L$16),SUBSTITUTE(SUBSTITUTE(TRIM(SUBSTITUTE(SUBSTITUTE(SUBSTITUTE(SUBSTITUTE(INDEX(PASTE_ALL,$DF682,$L$16)," "," "),CHAR(9)," "),CHAR(10)," "),CHAR(13)," ")),",",""),"%","")),"")))</f>
        <v/>
      </c>
      <c r="DY682">
        <f>IF($DM682=0,"",IFERROR(IF(ISNUMBER($DX682),$DX682,IF($DX682="","",IF(TRIM($DX682)="",0,IF(AND(AND(SUBSTITUTE(SUBSTITUTE(SUBSTITUTE(SUBSTITUTE(SUBSTITUTE(SUBSTITUTE(SUBSTITUTE(SUBSTITUTE(SUBSTITUTE(SUBSTITUTE(SUBSTITUTE(SUBSTITUTE(SUBSTITUTE(SUBSTITUTE(UPPER(TRIM($DX682)),"0",""),"1",""),"2",""),"3",""),"4",""),"5",""),"6",""),"7",""),"8",""),"9",""),".",""),"+",""),"-",""),"E","")="",LEN(SUBSTITUTE(SUBSTITUTE(MID(UPPER(TRIM($DX682)),1+OR(LEFT(UPPER(TRIM($DX682)),1)="+",LEFT(UPPER(TRIM($DX682)),1)="-"),999),"E+","E"),"E-","E"))=LEN(SUBSTITUTE(SUBSTITUTE(SUBSTITUTE(SUBSTITUTE(MID(UPPER(TRIM($DX682)),1+OR(LEFT(UPPER(TRIM($DX682)),1)="+",LEFT(UPPER(TRIM($DX682)),1)="-"),999),"E+","E"),"E-","E"),"+",""),"-","")),LEN(UPPER(TRIM($DX682)))-LEN(SUBSTITUTE(UPPER(TRIM($DX682)),"E",""))&lt;2,LEN(UPPER(TRIM($DX682)))-LEN(SUBSTITUTE(UPPER(TRIM($DX682)),".",""))&lt;2,IFERROR(FIND(".",UPPER(TRIM($DX682))),0)&lt;IFERROR(FIND("E",UPPER(TRIM($DX682))),999)),ISNUMBER(VALUE(TRIM($DX682)))),VALUE(TRIM($DX682)),"")))),""))</f>
        <v/>
      </c>
      <c r="DZ682">
        <f>IF($DM682=0,"",IF($L$17=0,"",IFERROR(IF(ISNUMBER(INDEX(PASTE_ALL,$DF682,$L$17)),INDEX(PASTE_ALL,$DF682,$L$17),SUBSTITUTE(SUBSTITUTE(TRIM(SUBSTITUTE(SUBSTITUTE(SUBSTITUTE(SUBSTITUTE(INDEX(PASTE_ALL,$DF682,$L$17)," "," "),CHAR(9)," "),CHAR(10)," "),CHAR(13)," ")),",",""),"%","")),"")))</f>
        <v/>
      </c>
      <c r="EA682">
        <f>IF($DM682=0,"",IFERROR(IF(ISNUMBER($DZ682),$DZ682,IF($DZ682="","",IF(TRIM($DZ682)="",0,IF(AND(AND(SUBSTITUTE(SUBSTITUTE(SUBSTITUTE(SUBSTITUTE(SUBSTITUTE(SUBSTITUTE(SUBSTITUTE(SUBSTITUTE(SUBSTITUTE(SUBSTITUTE(SUBSTITUTE(SUBSTITUTE(SUBSTITUTE(SUBSTITUTE(UPPER(TRIM($DZ682)),"0",""),"1",""),"2",""),"3",""),"4",""),"5",""),"6",""),"7",""),"8",""),"9",""),".",""),"+",""),"-",""),"E","")="",LEN(SUBSTITUTE(SUBSTITUTE(MID(UPPER(TRIM($DZ682)),1+OR(LEFT(UPPER(TRIM($DZ682)),1)="+",LEFT(UPPER(TRIM($DZ682)),1)="-"),999),"E+","E"),"E-","E"))=LEN(SUBSTITUTE(SUBSTITUTE(SUBSTITUTE(SUBSTITUTE(MID(UPPER(TRIM($DZ682)),1+OR(LEFT(UPPER(TRIM($DZ682)),1)="+",LEFT(UPPER(TRIM($DZ682)),1)="-"),999),"E+","E"),"E-","E"),"+",""),"-","")),LEN(UPPER(TRIM($DZ682)))-LEN(SUBSTITUTE(UPPER(TRIM($DZ682)),"E",""))&lt;2,LEN(UPPER(TRIM($DZ682)))-LEN(SUBSTITUTE(UPPER(TRIM($DZ682)),".",""))&lt;2,IFERROR(FIND(".",UPPER(TRIM($DZ682))),0)&lt;IFERROR(FIND("E",UPPER(TRIM($DZ682))),999)),ISNUMBER(VALUE(TRIM($DZ682)))),VALUE(TRIM($DZ682)),"")))),""))</f>
        <v/>
      </c>
      <c r="EB682">
        <f>IF($DM682=0,"",IF($L$18=0,"",IFERROR(IF(UPPER(TRIM(SUBSTITUTE(SUBSTITUTE(SUBSTITUTE(SUBSTITUTE(INDEX(PASTE_ALL,$DF682,$L$18)," "," "),CHAR(9)," "),CHAR(10)," "),CHAR(13)," ")))="READY","Ready",IF(UPPER(TRIM(SUBSTITUTE(SUBSTITUTE(SUBSTITUTE(SUBSTITUTE(INDEX(PASTE_ALL,$DF682,$L$18)," "," "),CHAR(9)," "),CHAR(10)," "),CHAR(13)," ")))="PM","PM",IF(OR(UPPER(TRIM(SUBSTITUTE(SUBSTITUTE(SUBSTITUTE(SUBSTITUTE(INDEX(PASTE_ALL,$DF682,$L$18)," "," "),CHAR(9)," "),CHAR(10)," "),CHAR(13)," ")))="OT",UPPER(TRIM(SUBSTITUTE(SUBSTITUTE(SUBSTITUTE(SUBSTITUTE(INDEX(PASTE_ALL,$DF682,$L$18)," "," "),CHAR(9)," "),CHAR(10)," "),CHAR(13)," ")))="OVERTIME",UPPER(TRIM(SUBSTITUTE(SUBSTITUTE(SUBSTITUTE(SUBSTITUTE(INDEX(PASTE_ALL,$DF682,$L$18)," "," "),CHAR(9)," "),CHAR(10)," "),CHAR(13)," ")))="TRIAL"),"OT",TRIM(SUBSTITUTE(SUBSTITUTE(SUBSTITUTE(SUBSTITUTE(INDEX(PASTE_ALL,$DF682,$L$18)," "," "),CHAR(9)," "),CHAR(10)," "),CHAR(13)," "))))),"")))</f>
        <v/>
      </c>
      <c r="EC682">
        <f>IF($DM682=0,"",IF($L$19=0,"",IFERROR(IF(ISNUMBER(INDEX(PASTE_ALL,$DF682,$L$19)),INDEX(PASTE_ALL,$DF682,$L$19),TRIM(SUBSTITUTE(SUBSTITUTE(SUBSTITUTE(SUBSTITUTE(INDEX(PASTE_ALL,$DF682,$L$19)," "," "),CHAR(9)," "),CHAR(10)," "),CHAR(13)," "))),"")))</f>
        <v/>
      </c>
      <c r="ED682">
        <f>IF($DM682=0,"",MATCH(1,INDEX(EXACT($DH$5:DH682,$DH682)*$DM$5:DM682,0),0))</f>
        <v/>
      </c>
      <c r="EE682">
        <f>IF($DM682=0,0,IF($ED682=$DE682,1,0))</f>
        <v/>
      </c>
      <c r="EF682">
        <f>EF681+$EE682</f>
        <v/>
      </c>
      <c r="EG682">
        <f>IF($DM682=0,"",INDEX($EF$5:$EF$1003,$ED682))</f>
        <v/>
      </c>
      <c r="EH682">
        <f>IF($DM682=0,"",IF($DO682&lt;&gt;"","",IFERROR(LOOKUP(2,1/(($EG$4:EG681=$EG682)*($DO$4:DO681&lt;&gt;"")),$DO$4:DO681),"")))</f>
        <v/>
      </c>
      <c r="EI682">
        <f>IF($DM682=0,"",IF($DO682&lt;&gt;"",$DO682,$EH682))</f>
        <v/>
      </c>
      <c r="EJ682">
        <f>IF($DM682=0,"",IF($EI682="",0,IF(OR(ISNUMBER($EI682),AND(AND(SUBSTITUTE(SUBSTITUTE(SUBSTITUTE(SUBSTITUTE(SUBSTITUTE(SUBSTITUTE(SUBSTITUTE(SUBSTITUTE(SUBSTITUTE(SUBSTITUTE(SUBSTITUTE(SUBSTITUTE(SUBSTITUTE(SUBSTITUTE(UPPER($EI682),"0",""),"1",""),"2",""),"3",""),"4",""),"5",""),"6",""),"7",""),"8",""),"9",""),".",""),"+",""),"-",""),"E","")="",LEN(SUBSTITUTE(SUBSTITUTE(MID(UPPER($EI682),1+OR(LEFT(UPPER($EI682),1)="+",LEFT(UPPER($EI682),1)="-"),999),"E+","E"),"E-","E"))=LEN(SUBSTITUTE(SUBSTITUTE(SUBSTITUTE(SUBSTITUTE(MID(UPPER($EI682),1+OR(LEFT(UPPER($EI682),1)="+",LEFT(UPPER($EI682),1)="-"),999),"E+","E"),"E-","E"),"+",""),"-","")),LEN(UPPER($EI682))-LEN(SUBSTITUTE(UPPER($EI682),"E",""))&lt;2,LEN(UPPER($EI682))-LEN(SUBSTITUTE(UPPER($EI682),".",""))&lt;2,IFERROR(FIND(".",UPPER($EI682)),0)&lt;IFERROR(FIND("E",UPPER($EI682)),999)),ISNUMBER(VALUE($EI682)))),1,2)))</f>
        <v/>
      </c>
      <c r="EK682">
        <f>IF($DM682=0,"",IF($EJ682=1,IF(ISNUMBER($EI682),$EI682,VALUE($EI682)),IF($EJ682=2,$DE682,0)))</f>
        <v/>
      </c>
      <c r="EL682">
        <f>IF($DM682=0,"",COUNTIF($EG$5:$EG$1003,"&lt;"&amp;$EG682)+SUMPRODUCT(($EG$5:$EG$1003=$EG682)*(($EJ$5:$EJ$1003&lt;$EJ682)+($EJ$5:$EJ$1003=$EJ682)*(($EK$5:$EK$1003&lt;$EK682)+($EK$5:$EK$1003=$EK682)*($DE$5:$DE$1003&lt;$DE682))))+1)</f>
        <v/>
      </c>
      <c r="EM682">
        <f>IF($DM682=0,"",$EL682+$EG682-1)</f>
        <v/>
      </c>
      <c r="EN682">
        <f>IF($DM682=0,0,IFERROR(MATCH(1,INDEX(--(TRIM(SUBSTITUTE(SUBSTITUTE(SUBSTITUTE(SUBSTITUTE(LINES_NAME&amp;""," "," "),CHAR(9)," "),CHAR(10)," "),CHAR(13)," "))=$DH682),0),0),0))</f>
        <v/>
      </c>
      <c r="EO682">
        <f>IF($EN682=0,0,IF(OR(UPPER(TRIM(INDEX(LINES_SCHEDULED,$EN682)&amp;""))="YES",UPPER(TRIM(INDEX(LINES_SCHEDULED,$EN682)&amp;""))="Y",UPPER(TRIM(INDEX(LINES_SCHEDULED,$EN682)&amp;""))="X"),1,0))</f>
        <v/>
      </c>
      <c r="EP682">
        <f>IF($DM682=0,"",IF(COUNTIFS($EG$5:$EG$1003,$EG682,$EB$5:$EB$1003,"Ready")&gt;0,"READY",IF(COUNTIFS($EG$5:$EG$1003,$EG682,$EB$5:$EB$1003,"PM")&gt;0,"PM",IF(COUNTIFS($EG$5:$EG$1003,$EG682,$EB$5:$EB$1003,"OT")&gt;0,"OT",""))))</f>
        <v/>
      </c>
      <c r="EQ682">
        <f>IF($EN682=0,"",UPPER(TRIM(INDEX(LINES_STATUS,$EN682)&amp;"")))</f>
        <v/>
      </c>
      <c r="ER682">
        <f>IF($DM682=0,"",IF(OR($EQ682="READY",$EQ682="PM",$EQ682="OT"),$EQ682,$EP682))</f>
        <v/>
      </c>
      <c r="ES682">
        <f>IF($DM682=0,"",IF(AND($DV682&lt;&gt;"",UPPER($DV682)&lt;&gt;"N"),"allergen",IF(ISNUMBER(SEARCH("oil",$DQ682)),"oil",IF(OR(EXACT($DS682,"A662"),EXACT($DS682,"A624")),"bulk",""))))</f>
        <v/>
      </c>
      <c r="ET682">
        <f>IF($DM682=0,"",IF(OR($EA682="",$EA682=0),"",$EA682/100))</f>
        <v/>
      </c>
      <c r="EU682">
        <f>IF(OR($ET682="",$DY682=""),"",INT($DY682*(1-$ET682)+0.5))</f>
        <v/>
      </c>
      <c r="EW682" t="n">
        <v>678</v>
      </c>
      <c r="EX682">
        <f>IFERROR(MATCH($EW682,$EM$5:$EM$1003,0),0)</f>
        <v/>
      </c>
      <c r="EY682">
        <f>IF($EW682&gt;$B$12,"",IF($EX682&gt;0,"row","spacer"))</f>
        <v/>
      </c>
      <c r="EZ682">
        <f>IF(AND($EY682="row",$EY681&lt;&gt;"row"),1,0)</f>
        <v/>
      </c>
      <c r="FA682">
        <f>IF(AND($EY682="row",$EY683&lt;&gt;"row"),1,0)</f>
        <v/>
      </c>
      <c r="FB682">
        <f>IF($EZ682=1,IFERROR(IF(ISNUMBER(INDEX(PASTE_ALL,INDEX($DF$5:$DF$1003,$EX682),$B$37)),INDEX(PASTE_ALL,INDEX($DF$5:$DF$1003,$EX682),$B$37),INDEX($DH$5:$DH$1003,$EX682)),INDEX($DH$5:$DH$1003,$EX682)),"")</f>
        <v/>
      </c>
      <c r="FC682">
        <f>IF($EY682="row",INDEX($ER$5:$ER$1003,$EX682),"")</f>
        <v/>
      </c>
      <c r="FD682">
        <f>IF($EY682="row",INDEX($DN$5:$DN$1003,$EX682),"")</f>
        <v/>
      </c>
      <c r="FE682">
        <f>IF($EY682="row",INDEX($DO$5:$DO$1003,$EX682),"")</f>
        <v/>
      </c>
      <c r="FF682">
        <f>IF($EY682="row",INDEX($DP$5:$DP$1003,$EX682),"")</f>
        <v/>
      </c>
      <c r="FG682">
        <f>IF($EY682="row",INDEX($DQ$5:$DQ$1003,$EX682),"")</f>
        <v/>
      </c>
      <c r="FH682">
        <f>IF($EY682="row",INDEX($DR$5:$DR$1003,$EX682),"")</f>
        <v/>
      </c>
      <c r="FI682">
        <f>IF($EY682="row",INDEX($DS$5:$DS$1003,$EX682),"")</f>
        <v/>
      </c>
      <c r="FJ682">
        <f>IF($EY682="row",INDEX($DT$5:$DT$1003,$EX682),"")</f>
        <v/>
      </c>
      <c r="FK682">
        <f>IF($EY682="row",INDEX($DU$5:$DU$1003,$EX682),"")</f>
        <v/>
      </c>
      <c r="FL682">
        <f>IF($EY682="row",INDEX($DV$5:$DV$1003,$EX682),"")</f>
        <v/>
      </c>
      <c r="FM682">
        <f>IF($EY682="row",INDEX($DW$5:$DW$1003,$EX682),"")</f>
        <v/>
      </c>
      <c r="FN682">
        <f>IF($EY682="row",INDEX($DY$5:$DY$1003,$EX682),"")</f>
        <v/>
      </c>
      <c r="FO682">
        <f>IF($EY682="row",INDEX($EA$5:$EA$1003,$EX682),"")</f>
        <v/>
      </c>
      <c r="FP682">
        <f>IF($EY682="row",INDEX($EC$5:$EC$1003,$EX682),"")</f>
        <v/>
      </c>
      <c r="FQ682">
        <f>IF($EY682="row",INDEX($ET$5:$ET$1003,$EX682),"")</f>
        <v/>
      </c>
      <c r="FR682">
        <f>IF($EY682="row",INDEX($EU$5:$EU$1003,$EX682),"")</f>
        <v/>
      </c>
      <c r="FS682">
        <f>IF(AND($EY682="row",$EY681="row"),IF(OR(INDEX($DT$5:$DT$1003,$EX681)="",INDEX($DT$5:$DT$1003,$EX682)=""),"",IF(NOT(EXACT(INDEX($DT$5:$DT$1003,$EX681),INDEX($DT$5:$DT$1003,$EX682))),"S4",IF(NOT(EXACT(INDEX($DS$5:$DS$1003,$EX681),INDEX($DS$5:$DS$1003,$EX682))),"S3",IF(NOT(EXACT(INDEX($DR$5:$DR$1003,$EX681),INDEX($DR$5:$DR$1003,$EX682))),"S1 Count Change","S1")))),"")</f>
        <v/>
      </c>
      <c r="FT682">
        <f>IF($EY682="row",INDEX($ES$5:$ES$1003,$EX682),"")</f>
        <v/>
      </c>
      <c r="FU682">
        <f>IF($EY682="row",INDEX($EO$5:$EO$1003,$EX682),0)</f>
        <v/>
      </c>
      <c r="FV682">
        <f>IF($FS682="S1 Count Change",1,0)</f>
        <v/>
      </c>
    </row>
    <row r="683">
      <c r="DA683" t="n">
        <v>679</v>
      </c>
      <c r="DB683">
        <f>IF($B$37=0,"",IFERROR(TRIM(SUBSTITUTE(SUBSTITUTE(SUBSTITUTE(SUBSTITUTE(INDEX(PASTE_ALL,679,$B$37)," "," "),CHAR(9)," "),CHAR(10)," "),CHAR(13)," ")),""))</f>
        <v/>
      </c>
      <c r="DC683">
        <f>IF(AND(679&gt;HEADER_ROW,UPPER(DB683)="LEGEND"),1,0)</f>
        <v/>
      </c>
      <c r="DE683" t="n">
        <v>679</v>
      </c>
      <c r="DF683">
        <f>HEADER_ROW+$DE683</f>
        <v/>
      </c>
      <c r="DG683">
        <f>IF(AND($DF683&lt;=1000,$DF683&lt;$B$8),1,0)</f>
        <v/>
      </c>
      <c r="DH683">
        <f>IF($DG683=1,IFERROR(INDEX($DB$5:$DB$1004,$DF683),""),"")</f>
        <v/>
      </c>
      <c r="DI683">
        <f>IF(AND($DG683=1,$DH683&lt;&gt;""),IFERROR(SUBSTITUTE(SUBSTITUTE(TRIM(SUBSTITUTE(SUBSTITUTE(SUBSTITUTE(SUBSTITUTE(IFERROR(INDEX(PASTE_ALL,$DF683,1)&amp;"","")&amp;"␟"&amp;IFERROR(INDEX(PASTE_ALL,$DF683,2)&amp;"","")&amp;"␟"&amp;IFERROR(INDEX(PASTE_ALL,$DF683,3)&amp;"","")&amp;"␟"&amp;IFERROR(INDEX(PASTE_ALL,$DF683,4)&amp;"","")&amp;"␟"&amp;IFERROR(INDEX(PASTE_ALL,$DF683,5)&amp;"","")&amp;"␟"&amp;IFERROR(INDEX(PASTE_ALL,$DF683,6)&amp;"","")&amp;"␟"&amp;IFERROR(INDEX(PASTE_ALL,$DF683,7)&amp;"","")&amp;"␟"&amp;IFERROR(INDEX(PASTE_ALL,$DF683,8)&amp;"","")&amp;"␟"&amp;IFERROR(INDEX(PASTE_ALL,$DF683,9)&amp;"","")&amp;"␟"&amp;IFERROR(INDEX(PASTE_ALL,$DF683,10)&amp;"","")&amp;"␟"&amp;IFERROR(INDEX(PASTE_ALL,$DF683,11)&amp;"","")&amp;"␟"&amp;IFERROR(INDEX(PASTE_ALL,$DF683,12)&amp;"","")&amp;"␟"&amp;IFERROR(INDEX(PASTE_ALL,$DF683,13)&amp;"","")&amp;"␟"&amp;IFERROR(INDEX(PASTE_ALL,$DF683,14)&amp;"","")&amp;"␟"&amp;IFERROR(INDEX(PASTE_ALL,$DF683,15)&amp;"","")&amp;"␟"&amp;IFERROR(INDEX(PASTE_ALL,$DF683,16)&amp;"","")&amp;"␟"&amp;IFERROR(INDEX(PASTE_ALL,$DF683,17)&amp;"","")&amp;"␟"&amp;IFERROR(INDEX(PASTE_ALL,$DF683,18)&amp;"","")&amp;"␟"&amp;IFERROR(INDEX(PASTE_ALL,$DF683,19)&amp;"","")&amp;"␟"&amp;IFERROR(INDEX(PASTE_ALL,$DF683,20)&amp;"","")&amp;"␟"&amp;IFERROR(INDEX(PASTE_ALL,$DF683,21)&amp;"","")&amp;"␟"&amp;IFERROR(INDEX(PASTE_ALL,$DF683,22)&amp;"","")&amp;"␟"&amp;IFERROR(INDEX(PASTE_ALL,$DF683,23)&amp;"","")&amp;"␟"&amp;IFERROR(INDEX(PASTE_ALL,$DF683,24)&amp;"","")&amp;"␟"&amp;IFERROR(INDEX(PASTE_ALL,$DF683,25)&amp;"","")&amp;"␟"&amp;IFERROR(INDEX(PASTE_ALL,$DF683,26)&amp;"","")&amp;"␟"&amp;IFERROR(INDEX(PASTE_ALL,$DF683,27)&amp;"","")&amp;"␟"&amp;IFERROR(INDEX(PASTE_ALL,$DF683,28)&amp;"","")&amp;"␟"&amp;IFERROR(INDEX(PASTE_ALL,$DF683,29)&amp;"","")&amp;"␟"&amp;IFERROR(INDEX(PASTE_ALL,$DF683,30)&amp;"","")&amp;"␟"&amp;IFERROR(INDEX(PASTE_ALL,$DF683,31)&amp;"","")&amp;"␟"&amp;IFERROR(INDEX(PASTE_ALL,$DF683,32)&amp;"","")&amp;"␟"&amp;IFERROR(INDEX(PASTE_ALL,$DF683,33)&amp;"","")&amp;"␟"&amp;IFERROR(INDEX(PASTE_ALL,$DF683,34)&amp;"","")&amp;"␟"&amp;IFERROR(INDEX(PASTE_ALL,$DF683,35)&amp;"","")&amp;"␟"&amp;IFERROR(INDEX(PASTE_ALL,$DF683,36)&amp;"","")&amp;"␟"&amp;IFERROR(INDEX(PASTE_ALL,$DF683,37)&amp;"","")&amp;"␟"&amp;IFERROR(INDEX(PASTE_ALL,$DF683,38)&amp;"","")&amp;"␟"&amp;IFERROR(INDEX(PASTE_ALL,$DF683,39)&amp;"","")&amp;"␟"&amp;IFERROR(INDEX(PASTE_ALL,$DF683,40)&amp;"","")&amp;"␟"&amp;IFERROR(INDEX(PASTE_ALL,$DF683,41)&amp;"","")&amp;"␟"&amp;IFERROR(INDEX(PASTE_ALL,$DF683,42)&amp;"","")&amp;"␟"&amp;IFERROR(INDEX(PASTE_ALL,$DF683,43)&amp;"","")&amp;"␟"&amp;IFERROR(INDEX(PASTE_ALL,$DF683,44)&amp;"","")&amp;"␟"&amp;IFERROR(INDEX(PASTE_ALL,$DF683,45)&amp;"","")&amp;"␟"&amp;IFERROR(INDEX(PASTE_ALL,$DF683,46)&amp;"","")&amp;"␟"&amp;IFERROR(INDEX(PASTE_ALL,$DF683,47)&amp;"","")&amp;"␟"&amp;IFERROR(INDEX(PASTE_ALL,$DF683,48)&amp;"","")&amp;"␟"&amp;IFERROR(INDEX(PASTE_ALL,$DF683,49)&amp;"","")&amp;"␟"&amp;IFERROR(INDEX(PASTE_ALL,$DF683,50)&amp;"","")&amp;"␟"&amp;IFERROR(INDEX(PASTE_ALL,$DF683,51)&amp;"","")&amp;"␟"&amp;IFERROR(INDEX(PASTE_ALL,$DF683,52)&amp;"","")&amp;"␟"&amp;IFERROR(INDEX(PASTE_ALL,$DF683,53)&amp;"","")&amp;"␟"&amp;IFERROR(INDEX(PASTE_ALL,$DF683,54)&amp;"","")&amp;"␟"&amp;IFERROR(INDEX(PASTE_ALL,$DF683,55)&amp;"","")&amp;"␟"&amp;IFERROR(INDEX(PASTE_ALL,$DF683,56)&amp;"","")&amp;"␟"&amp;IFERROR(INDEX(PASTE_ALL,$DF683,57)&amp;"","")&amp;"␟"&amp;IFERROR(INDEX(PASTE_ALL,$DF683,58)&amp;"","")&amp;"␟"&amp;IFERROR(INDEX(PASTE_ALL,$DF683,59)&amp;"","")&amp;"␟"&amp;IFERROR(INDEX(PASTE_ALL,$DF683,60)&amp;"","")," "," "),CHAR(9)," "),CHAR(10)," "),CHAR(13)," "))," ␟","␟"),"␟ ","␟"),"#"&amp;$DE683),"")</f>
        <v/>
      </c>
      <c r="DJ683">
        <f>IF($DI683="",0,IF(SUMPRODUCT(--EXACT($DI$4:DI682,$DI683))&gt;0,1,0))</f>
        <v/>
      </c>
      <c r="DK683">
        <f>IF(AND($DI683&lt;&gt;"",$DJ683=0),1,0)</f>
        <v/>
      </c>
      <c r="DL683">
        <f>DL682+$DK683</f>
        <v/>
      </c>
      <c r="DM683">
        <f>IF(AND($DK683=1,$DL683&lt;=600),1,0)</f>
        <v/>
      </c>
      <c r="DN683">
        <f>IF($DM683=0,"",IF($L$6=0,"",IFERROR(IF(ISNUMBER(INDEX(PASTE_ALL,$DF683,$L$6)),INDEX(PASTE_ALL,$DF683,$L$6),TRIM(SUBSTITUTE(SUBSTITUTE(SUBSTITUTE(SUBSTITUTE(INDEX(PASTE_ALL,$DF683,$L$6)," "," "),CHAR(9)," "),CHAR(10)," "),CHAR(13)," "))),"")))</f>
        <v/>
      </c>
      <c r="DO683">
        <f>IF($DM683=0,"",IF($L$7=0,"",IFERROR(IF(ISNUMBER(INDEX(PASTE_ALL,$DF683,$L$7)),INDEX(PASTE_ALL,$DF683,$L$7),TRIM(SUBSTITUTE(SUBSTITUTE(SUBSTITUTE(SUBSTITUTE(INDEX(PASTE_ALL,$DF683,$L$7)," "," "),CHAR(9)," "),CHAR(10)," "),CHAR(13)," "))),"")))</f>
        <v/>
      </c>
      <c r="DP683">
        <f>IF($DM683=0,"",IF($L$8=0,"",IFERROR(IF(ISNUMBER(INDEX(PASTE_ALL,$DF683,$L$8)),INDEX(PASTE_ALL,$DF683,$L$8),TRIM(SUBSTITUTE(SUBSTITUTE(SUBSTITUTE(SUBSTITUTE(INDEX(PASTE_ALL,$DF683,$L$8)," "," "),CHAR(9)," "),CHAR(10)," "),CHAR(13)," "))),"")))</f>
        <v/>
      </c>
      <c r="DQ683">
        <f>IF($DM683=0,"",IF($L$9=0,"",IFERROR(IF(ISNUMBER(INDEX(PASTE_ALL,$DF683,$L$9)),INDEX(PASTE_ALL,$DF683,$L$9),TRIM(SUBSTITUTE(SUBSTITUTE(SUBSTITUTE(SUBSTITUTE(INDEX(PASTE_ALL,$DF683,$L$9)," "," "),CHAR(9)," "),CHAR(10)," "),CHAR(13)," "))),"")))</f>
        <v/>
      </c>
      <c r="DR683">
        <f>IF($DM683=0,"",IF($L$10=0,"",IFERROR(IF(ISNUMBER(INDEX(PASTE_ALL,$DF683,$L$10)),INDEX(PASTE_ALL,$DF683,$L$10),TRIM(SUBSTITUTE(SUBSTITUTE(SUBSTITUTE(SUBSTITUTE(INDEX(PASTE_ALL,$DF683,$L$10)," "," "),CHAR(9)," "),CHAR(10)," "),CHAR(13)," "))),"")))</f>
        <v/>
      </c>
      <c r="DS683">
        <f>IF($DM683=0,"",IF($L$11=0,"",IFERROR(IF(ISNUMBER(INDEX(PASTE_ALL,$DF683,$L$11)),INDEX(PASTE_ALL,$DF683,$L$11),TRIM(SUBSTITUTE(SUBSTITUTE(SUBSTITUTE(SUBSTITUTE(INDEX(PASTE_ALL,$DF683,$L$11)," "," "),CHAR(9)," "),CHAR(10)," "),CHAR(13)," "))),"")))</f>
        <v/>
      </c>
      <c r="DT683">
        <f>IF($DM683=0,"",IF($L$12=0,"",IFERROR(IF(ISNUMBER(INDEX(PASTE_ALL,$DF683,$L$12)),INDEX(PASTE_ALL,$DF683,$L$12),TRIM(SUBSTITUTE(SUBSTITUTE(SUBSTITUTE(SUBSTITUTE(INDEX(PASTE_ALL,$DF683,$L$12)," "," "),CHAR(9)," "),CHAR(10)," "),CHAR(13)," "))),"")))</f>
        <v/>
      </c>
      <c r="DU683">
        <f>IF($DM683=0,"",IF($L$13=0,"",IFERROR(IF(ISNUMBER(INDEX(PASTE_ALL,$DF683,$L$13)),INDEX(PASTE_ALL,$DF683,$L$13),TRIM(SUBSTITUTE(SUBSTITUTE(SUBSTITUTE(SUBSTITUTE(INDEX(PASTE_ALL,$DF683,$L$13)," "," "),CHAR(9)," "),CHAR(10)," "),CHAR(13)," "))),"")))</f>
        <v/>
      </c>
      <c r="DV683">
        <f>IF($DM683=0,"",IF($L$14=0,"",IFERROR(IF(ISNUMBER(INDEX(PASTE_ALL,$DF683,$L$14)),INDEX(PASTE_ALL,$DF683,$L$14),TRIM(SUBSTITUTE(SUBSTITUTE(SUBSTITUTE(SUBSTITUTE(INDEX(PASTE_ALL,$DF683,$L$14)," "," "),CHAR(9)," "),CHAR(10)," "),CHAR(13)," "))),"")))</f>
        <v/>
      </c>
      <c r="DW683">
        <f>IF($DM683=0,"",IF($L$15=0,"",IFERROR(IF(ISNUMBER(INDEX(PASTE_ALL,$DF683,$L$15)),INDEX(PASTE_ALL,$DF683,$L$15),IF(SUMPRODUCT(--ISNUMBER(FIND({"A","B","C","D","E","F","G","H","I","J","K","L","M","N","O","P","Q","R","S","T","U","V","W","X","Y","Z","0","1","2","3","4","5","6","7","8","9"},UPPER(TRIM(SUBSTITUTE(SUBSTITUTE(SUBSTITUTE(SUBSTITUTE(INDEX(PASTE_ALL,$DF683,$L$15)," "," "),CHAR(9)," "),CHAR(10)," "),CHAR(13)," "))))))&gt;0,TRIM(SUBSTITUTE(SUBSTITUTE(SUBSTITUTE(SUBSTITUTE(INDEX(PASTE_ALL,$DF683,$L$15)," "," "),CHAR(9)," "),CHAR(10)," "),CHAR(13)," ")),"")),"")))</f>
        <v/>
      </c>
      <c r="DX683">
        <f>IF($DM683=0,"",IF($L$16=0,"",IFERROR(IF(ISNUMBER(INDEX(PASTE_ALL,$DF683,$L$16)),INDEX(PASTE_ALL,$DF683,$L$16),SUBSTITUTE(SUBSTITUTE(TRIM(SUBSTITUTE(SUBSTITUTE(SUBSTITUTE(SUBSTITUTE(INDEX(PASTE_ALL,$DF683,$L$16)," "," "),CHAR(9)," "),CHAR(10)," "),CHAR(13)," ")),",",""),"%","")),"")))</f>
        <v/>
      </c>
      <c r="DY683">
        <f>IF($DM683=0,"",IFERROR(IF(ISNUMBER($DX683),$DX683,IF($DX683="","",IF(TRIM($DX683)="",0,IF(AND(AND(SUBSTITUTE(SUBSTITUTE(SUBSTITUTE(SUBSTITUTE(SUBSTITUTE(SUBSTITUTE(SUBSTITUTE(SUBSTITUTE(SUBSTITUTE(SUBSTITUTE(SUBSTITUTE(SUBSTITUTE(SUBSTITUTE(SUBSTITUTE(UPPER(TRIM($DX683)),"0",""),"1",""),"2",""),"3",""),"4",""),"5",""),"6",""),"7",""),"8",""),"9",""),".",""),"+",""),"-",""),"E","")="",LEN(SUBSTITUTE(SUBSTITUTE(MID(UPPER(TRIM($DX683)),1+OR(LEFT(UPPER(TRIM($DX683)),1)="+",LEFT(UPPER(TRIM($DX683)),1)="-"),999),"E+","E"),"E-","E"))=LEN(SUBSTITUTE(SUBSTITUTE(SUBSTITUTE(SUBSTITUTE(MID(UPPER(TRIM($DX683)),1+OR(LEFT(UPPER(TRIM($DX683)),1)="+",LEFT(UPPER(TRIM($DX683)),1)="-"),999),"E+","E"),"E-","E"),"+",""),"-","")),LEN(UPPER(TRIM($DX683)))-LEN(SUBSTITUTE(UPPER(TRIM($DX683)),"E",""))&lt;2,LEN(UPPER(TRIM($DX683)))-LEN(SUBSTITUTE(UPPER(TRIM($DX683)),".",""))&lt;2,IFERROR(FIND(".",UPPER(TRIM($DX683))),0)&lt;IFERROR(FIND("E",UPPER(TRIM($DX683))),999)),ISNUMBER(VALUE(TRIM($DX683)))),VALUE(TRIM($DX683)),"")))),""))</f>
        <v/>
      </c>
      <c r="DZ683">
        <f>IF($DM683=0,"",IF($L$17=0,"",IFERROR(IF(ISNUMBER(INDEX(PASTE_ALL,$DF683,$L$17)),INDEX(PASTE_ALL,$DF683,$L$17),SUBSTITUTE(SUBSTITUTE(TRIM(SUBSTITUTE(SUBSTITUTE(SUBSTITUTE(SUBSTITUTE(INDEX(PASTE_ALL,$DF683,$L$17)," "," "),CHAR(9)," "),CHAR(10)," "),CHAR(13)," ")),",",""),"%","")),"")))</f>
        <v/>
      </c>
      <c r="EA683">
        <f>IF($DM683=0,"",IFERROR(IF(ISNUMBER($DZ683),$DZ683,IF($DZ683="","",IF(TRIM($DZ683)="",0,IF(AND(AND(SUBSTITUTE(SUBSTITUTE(SUBSTITUTE(SUBSTITUTE(SUBSTITUTE(SUBSTITUTE(SUBSTITUTE(SUBSTITUTE(SUBSTITUTE(SUBSTITUTE(SUBSTITUTE(SUBSTITUTE(SUBSTITUTE(SUBSTITUTE(UPPER(TRIM($DZ683)),"0",""),"1",""),"2",""),"3",""),"4",""),"5",""),"6",""),"7",""),"8",""),"9",""),".",""),"+",""),"-",""),"E","")="",LEN(SUBSTITUTE(SUBSTITUTE(MID(UPPER(TRIM($DZ683)),1+OR(LEFT(UPPER(TRIM($DZ683)),1)="+",LEFT(UPPER(TRIM($DZ683)),1)="-"),999),"E+","E"),"E-","E"))=LEN(SUBSTITUTE(SUBSTITUTE(SUBSTITUTE(SUBSTITUTE(MID(UPPER(TRIM($DZ683)),1+OR(LEFT(UPPER(TRIM($DZ683)),1)="+",LEFT(UPPER(TRIM($DZ683)),1)="-"),999),"E+","E"),"E-","E"),"+",""),"-","")),LEN(UPPER(TRIM($DZ683)))-LEN(SUBSTITUTE(UPPER(TRIM($DZ683)),"E",""))&lt;2,LEN(UPPER(TRIM($DZ683)))-LEN(SUBSTITUTE(UPPER(TRIM($DZ683)),".",""))&lt;2,IFERROR(FIND(".",UPPER(TRIM($DZ683))),0)&lt;IFERROR(FIND("E",UPPER(TRIM($DZ683))),999)),ISNUMBER(VALUE(TRIM($DZ683)))),VALUE(TRIM($DZ683)),"")))),""))</f>
        <v/>
      </c>
      <c r="EB683">
        <f>IF($DM683=0,"",IF($L$18=0,"",IFERROR(IF(UPPER(TRIM(SUBSTITUTE(SUBSTITUTE(SUBSTITUTE(SUBSTITUTE(INDEX(PASTE_ALL,$DF683,$L$18)," "," "),CHAR(9)," "),CHAR(10)," "),CHAR(13)," ")))="READY","Ready",IF(UPPER(TRIM(SUBSTITUTE(SUBSTITUTE(SUBSTITUTE(SUBSTITUTE(INDEX(PASTE_ALL,$DF683,$L$18)," "," "),CHAR(9)," "),CHAR(10)," "),CHAR(13)," ")))="PM","PM",IF(OR(UPPER(TRIM(SUBSTITUTE(SUBSTITUTE(SUBSTITUTE(SUBSTITUTE(INDEX(PASTE_ALL,$DF683,$L$18)," "," "),CHAR(9)," "),CHAR(10)," "),CHAR(13)," ")))="OT",UPPER(TRIM(SUBSTITUTE(SUBSTITUTE(SUBSTITUTE(SUBSTITUTE(INDEX(PASTE_ALL,$DF683,$L$18)," "," "),CHAR(9)," "),CHAR(10)," "),CHAR(13)," ")))="OVERTIME",UPPER(TRIM(SUBSTITUTE(SUBSTITUTE(SUBSTITUTE(SUBSTITUTE(INDEX(PASTE_ALL,$DF683,$L$18)," "," "),CHAR(9)," "),CHAR(10)," "),CHAR(13)," ")))="TRIAL"),"OT",TRIM(SUBSTITUTE(SUBSTITUTE(SUBSTITUTE(SUBSTITUTE(INDEX(PASTE_ALL,$DF683,$L$18)," "," "),CHAR(9)," "),CHAR(10)," "),CHAR(13)," "))))),"")))</f>
        <v/>
      </c>
      <c r="EC683">
        <f>IF($DM683=0,"",IF($L$19=0,"",IFERROR(IF(ISNUMBER(INDEX(PASTE_ALL,$DF683,$L$19)),INDEX(PASTE_ALL,$DF683,$L$19),TRIM(SUBSTITUTE(SUBSTITUTE(SUBSTITUTE(SUBSTITUTE(INDEX(PASTE_ALL,$DF683,$L$19)," "," "),CHAR(9)," "),CHAR(10)," "),CHAR(13)," "))),"")))</f>
        <v/>
      </c>
      <c r="ED683">
        <f>IF($DM683=0,"",MATCH(1,INDEX(EXACT($DH$5:DH683,$DH683)*$DM$5:DM683,0),0))</f>
        <v/>
      </c>
      <c r="EE683">
        <f>IF($DM683=0,0,IF($ED683=$DE683,1,0))</f>
        <v/>
      </c>
      <c r="EF683">
        <f>EF682+$EE683</f>
        <v/>
      </c>
      <c r="EG683">
        <f>IF($DM683=0,"",INDEX($EF$5:$EF$1003,$ED683))</f>
        <v/>
      </c>
      <c r="EH683">
        <f>IF($DM683=0,"",IF($DO683&lt;&gt;"","",IFERROR(LOOKUP(2,1/(($EG$4:EG682=$EG683)*($DO$4:DO682&lt;&gt;"")),$DO$4:DO682),"")))</f>
        <v/>
      </c>
      <c r="EI683">
        <f>IF($DM683=0,"",IF($DO683&lt;&gt;"",$DO683,$EH683))</f>
        <v/>
      </c>
      <c r="EJ683">
        <f>IF($DM683=0,"",IF($EI683="",0,IF(OR(ISNUMBER($EI683),AND(AND(SUBSTITUTE(SUBSTITUTE(SUBSTITUTE(SUBSTITUTE(SUBSTITUTE(SUBSTITUTE(SUBSTITUTE(SUBSTITUTE(SUBSTITUTE(SUBSTITUTE(SUBSTITUTE(SUBSTITUTE(SUBSTITUTE(SUBSTITUTE(UPPER($EI683),"0",""),"1",""),"2",""),"3",""),"4",""),"5",""),"6",""),"7",""),"8",""),"9",""),".",""),"+",""),"-",""),"E","")="",LEN(SUBSTITUTE(SUBSTITUTE(MID(UPPER($EI683),1+OR(LEFT(UPPER($EI683),1)="+",LEFT(UPPER($EI683),1)="-"),999),"E+","E"),"E-","E"))=LEN(SUBSTITUTE(SUBSTITUTE(SUBSTITUTE(SUBSTITUTE(MID(UPPER($EI683),1+OR(LEFT(UPPER($EI683),1)="+",LEFT(UPPER($EI683),1)="-"),999),"E+","E"),"E-","E"),"+",""),"-","")),LEN(UPPER($EI683))-LEN(SUBSTITUTE(UPPER($EI683),"E",""))&lt;2,LEN(UPPER($EI683))-LEN(SUBSTITUTE(UPPER($EI683),".",""))&lt;2,IFERROR(FIND(".",UPPER($EI683)),0)&lt;IFERROR(FIND("E",UPPER($EI683)),999)),ISNUMBER(VALUE($EI683)))),1,2)))</f>
        <v/>
      </c>
      <c r="EK683">
        <f>IF($DM683=0,"",IF($EJ683=1,IF(ISNUMBER($EI683),$EI683,VALUE($EI683)),IF($EJ683=2,$DE683,0)))</f>
        <v/>
      </c>
      <c r="EL683">
        <f>IF($DM683=0,"",COUNTIF($EG$5:$EG$1003,"&lt;"&amp;$EG683)+SUMPRODUCT(($EG$5:$EG$1003=$EG683)*(($EJ$5:$EJ$1003&lt;$EJ683)+($EJ$5:$EJ$1003=$EJ683)*(($EK$5:$EK$1003&lt;$EK683)+($EK$5:$EK$1003=$EK683)*($DE$5:$DE$1003&lt;$DE683))))+1)</f>
        <v/>
      </c>
      <c r="EM683">
        <f>IF($DM683=0,"",$EL683+$EG683-1)</f>
        <v/>
      </c>
      <c r="EN683">
        <f>IF($DM683=0,0,IFERROR(MATCH(1,INDEX(--(TRIM(SUBSTITUTE(SUBSTITUTE(SUBSTITUTE(SUBSTITUTE(LINES_NAME&amp;""," "," "),CHAR(9)," "),CHAR(10)," "),CHAR(13)," "))=$DH683),0),0),0))</f>
        <v/>
      </c>
      <c r="EO683">
        <f>IF($EN683=0,0,IF(OR(UPPER(TRIM(INDEX(LINES_SCHEDULED,$EN683)&amp;""))="YES",UPPER(TRIM(INDEX(LINES_SCHEDULED,$EN683)&amp;""))="Y",UPPER(TRIM(INDEX(LINES_SCHEDULED,$EN683)&amp;""))="X"),1,0))</f>
        <v/>
      </c>
      <c r="EP683">
        <f>IF($DM683=0,"",IF(COUNTIFS($EG$5:$EG$1003,$EG683,$EB$5:$EB$1003,"Ready")&gt;0,"READY",IF(COUNTIFS($EG$5:$EG$1003,$EG683,$EB$5:$EB$1003,"PM")&gt;0,"PM",IF(COUNTIFS($EG$5:$EG$1003,$EG683,$EB$5:$EB$1003,"OT")&gt;0,"OT",""))))</f>
        <v/>
      </c>
      <c r="EQ683">
        <f>IF($EN683=0,"",UPPER(TRIM(INDEX(LINES_STATUS,$EN683)&amp;"")))</f>
        <v/>
      </c>
      <c r="ER683">
        <f>IF($DM683=0,"",IF(OR($EQ683="READY",$EQ683="PM",$EQ683="OT"),$EQ683,$EP683))</f>
        <v/>
      </c>
      <c r="ES683">
        <f>IF($DM683=0,"",IF(AND($DV683&lt;&gt;"",UPPER($DV683)&lt;&gt;"N"),"allergen",IF(ISNUMBER(SEARCH("oil",$DQ683)),"oil",IF(OR(EXACT($DS683,"A662"),EXACT($DS683,"A624")),"bulk",""))))</f>
        <v/>
      </c>
      <c r="ET683">
        <f>IF($DM683=0,"",IF(OR($EA683="",$EA683=0),"",$EA683/100))</f>
        <v/>
      </c>
      <c r="EU683">
        <f>IF(OR($ET683="",$DY683=""),"",INT($DY683*(1-$ET683)+0.5))</f>
        <v/>
      </c>
      <c r="EW683" t="n">
        <v>679</v>
      </c>
      <c r="EX683">
        <f>IFERROR(MATCH($EW683,$EM$5:$EM$1003,0),0)</f>
        <v/>
      </c>
      <c r="EY683">
        <f>IF($EW683&gt;$B$12,"",IF($EX683&gt;0,"row","spacer"))</f>
        <v/>
      </c>
      <c r="EZ683">
        <f>IF(AND($EY683="row",$EY682&lt;&gt;"row"),1,0)</f>
        <v/>
      </c>
      <c r="FA683">
        <f>IF(AND($EY683="row",$EY684&lt;&gt;"row"),1,0)</f>
        <v/>
      </c>
      <c r="FB683">
        <f>IF($EZ683=1,IFERROR(IF(ISNUMBER(INDEX(PASTE_ALL,INDEX($DF$5:$DF$1003,$EX683),$B$37)),INDEX(PASTE_ALL,INDEX($DF$5:$DF$1003,$EX683),$B$37),INDEX($DH$5:$DH$1003,$EX683)),INDEX($DH$5:$DH$1003,$EX683)),"")</f>
        <v/>
      </c>
      <c r="FC683">
        <f>IF($EY683="row",INDEX($ER$5:$ER$1003,$EX683),"")</f>
        <v/>
      </c>
      <c r="FD683">
        <f>IF($EY683="row",INDEX($DN$5:$DN$1003,$EX683),"")</f>
        <v/>
      </c>
      <c r="FE683">
        <f>IF($EY683="row",INDEX($DO$5:$DO$1003,$EX683),"")</f>
        <v/>
      </c>
      <c r="FF683">
        <f>IF($EY683="row",INDEX($DP$5:$DP$1003,$EX683),"")</f>
        <v/>
      </c>
      <c r="FG683">
        <f>IF($EY683="row",INDEX($DQ$5:$DQ$1003,$EX683),"")</f>
        <v/>
      </c>
      <c r="FH683">
        <f>IF($EY683="row",INDEX($DR$5:$DR$1003,$EX683),"")</f>
        <v/>
      </c>
      <c r="FI683">
        <f>IF($EY683="row",INDEX($DS$5:$DS$1003,$EX683),"")</f>
        <v/>
      </c>
      <c r="FJ683">
        <f>IF($EY683="row",INDEX($DT$5:$DT$1003,$EX683),"")</f>
        <v/>
      </c>
      <c r="FK683">
        <f>IF($EY683="row",INDEX($DU$5:$DU$1003,$EX683),"")</f>
        <v/>
      </c>
      <c r="FL683">
        <f>IF($EY683="row",INDEX($DV$5:$DV$1003,$EX683),"")</f>
        <v/>
      </c>
      <c r="FM683">
        <f>IF($EY683="row",INDEX($DW$5:$DW$1003,$EX683),"")</f>
        <v/>
      </c>
      <c r="FN683">
        <f>IF($EY683="row",INDEX($DY$5:$DY$1003,$EX683),"")</f>
        <v/>
      </c>
      <c r="FO683">
        <f>IF($EY683="row",INDEX($EA$5:$EA$1003,$EX683),"")</f>
        <v/>
      </c>
      <c r="FP683">
        <f>IF($EY683="row",INDEX($EC$5:$EC$1003,$EX683),"")</f>
        <v/>
      </c>
      <c r="FQ683">
        <f>IF($EY683="row",INDEX($ET$5:$ET$1003,$EX683),"")</f>
        <v/>
      </c>
      <c r="FR683">
        <f>IF($EY683="row",INDEX($EU$5:$EU$1003,$EX683),"")</f>
        <v/>
      </c>
      <c r="FS683">
        <f>IF(AND($EY683="row",$EY682="row"),IF(OR(INDEX($DT$5:$DT$1003,$EX682)="",INDEX($DT$5:$DT$1003,$EX683)=""),"",IF(NOT(EXACT(INDEX($DT$5:$DT$1003,$EX682),INDEX($DT$5:$DT$1003,$EX683))),"S4",IF(NOT(EXACT(INDEX($DS$5:$DS$1003,$EX682),INDEX($DS$5:$DS$1003,$EX683))),"S3",IF(NOT(EXACT(INDEX($DR$5:$DR$1003,$EX682),INDEX($DR$5:$DR$1003,$EX683))),"S1 Count Change","S1")))),"")</f>
        <v/>
      </c>
      <c r="FT683">
        <f>IF($EY683="row",INDEX($ES$5:$ES$1003,$EX683),"")</f>
        <v/>
      </c>
      <c r="FU683">
        <f>IF($EY683="row",INDEX($EO$5:$EO$1003,$EX683),0)</f>
        <v/>
      </c>
      <c r="FV683">
        <f>IF($FS683="S1 Count Change",1,0)</f>
        <v/>
      </c>
    </row>
    <row r="684">
      <c r="DA684" t="n">
        <v>680</v>
      </c>
      <c r="DB684">
        <f>IF($B$37=0,"",IFERROR(TRIM(SUBSTITUTE(SUBSTITUTE(SUBSTITUTE(SUBSTITUTE(INDEX(PASTE_ALL,680,$B$37)," "," "),CHAR(9)," "),CHAR(10)," "),CHAR(13)," ")),""))</f>
        <v/>
      </c>
      <c r="DC684">
        <f>IF(AND(680&gt;HEADER_ROW,UPPER(DB684)="LEGEND"),1,0)</f>
        <v/>
      </c>
      <c r="DE684" t="n">
        <v>680</v>
      </c>
      <c r="DF684">
        <f>HEADER_ROW+$DE684</f>
        <v/>
      </c>
      <c r="DG684">
        <f>IF(AND($DF684&lt;=1000,$DF684&lt;$B$8),1,0)</f>
        <v/>
      </c>
      <c r="DH684">
        <f>IF($DG684=1,IFERROR(INDEX($DB$5:$DB$1004,$DF684),""),"")</f>
        <v/>
      </c>
      <c r="DI684">
        <f>IF(AND($DG684=1,$DH684&lt;&gt;""),IFERROR(SUBSTITUTE(SUBSTITUTE(TRIM(SUBSTITUTE(SUBSTITUTE(SUBSTITUTE(SUBSTITUTE(IFERROR(INDEX(PASTE_ALL,$DF684,1)&amp;"","")&amp;"␟"&amp;IFERROR(INDEX(PASTE_ALL,$DF684,2)&amp;"","")&amp;"␟"&amp;IFERROR(INDEX(PASTE_ALL,$DF684,3)&amp;"","")&amp;"␟"&amp;IFERROR(INDEX(PASTE_ALL,$DF684,4)&amp;"","")&amp;"␟"&amp;IFERROR(INDEX(PASTE_ALL,$DF684,5)&amp;"","")&amp;"␟"&amp;IFERROR(INDEX(PASTE_ALL,$DF684,6)&amp;"","")&amp;"␟"&amp;IFERROR(INDEX(PASTE_ALL,$DF684,7)&amp;"","")&amp;"␟"&amp;IFERROR(INDEX(PASTE_ALL,$DF684,8)&amp;"","")&amp;"␟"&amp;IFERROR(INDEX(PASTE_ALL,$DF684,9)&amp;"","")&amp;"␟"&amp;IFERROR(INDEX(PASTE_ALL,$DF684,10)&amp;"","")&amp;"␟"&amp;IFERROR(INDEX(PASTE_ALL,$DF684,11)&amp;"","")&amp;"␟"&amp;IFERROR(INDEX(PASTE_ALL,$DF684,12)&amp;"","")&amp;"␟"&amp;IFERROR(INDEX(PASTE_ALL,$DF684,13)&amp;"","")&amp;"␟"&amp;IFERROR(INDEX(PASTE_ALL,$DF684,14)&amp;"","")&amp;"␟"&amp;IFERROR(INDEX(PASTE_ALL,$DF684,15)&amp;"","")&amp;"␟"&amp;IFERROR(INDEX(PASTE_ALL,$DF684,16)&amp;"","")&amp;"␟"&amp;IFERROR(INDEX(PASTE_ALL,$DF684,17)&amp;"","")&amp;"␟"&amp;IFERROR(INDEX(PASTE_ALL,$DF684,18)&amp;"","")&amp;"␟"&amp;IFERROR(INDEX(PASTE_ALL,$DF684,19)&amp;"","")&amp;"␟"&amp;IFERROR(INDEX(PASTE_ALL,$DF684,20)&amp;"","")&amp;"␟"&amp;IFERROR(INDEX(PASTE_ALL,$DF684,21)&amp;"","")&amp;"␟"&amp;IFERROR(INDEX(PASTE_ALL,$DF684,22)&amp;"","")&amp;"␟"&amp;IFERROR(INDEX(PASTE_ALL,$DF684,23)&amp;"","")&amp;"␟"&amp;IFERROR(INDEX(PASTE_ALL,$DF684,24)&amp;"","")&amp;"␟"&amp;IFERROR(INDEX(PASTE_ALL,$DF684,25)&amp;"","")&amp;"␟"&amp;IFERROR(INDEX(PASTE_ALL,$DF684,26)&amp;"","")&amp;"␟"&amp;IFERROR(INDEX(PASTE_ALL,$DF684,27)&amp;"","")&amp;"␟"&amp;IFERROR(INDEX(PASTE_ALL,$DF684,28)&amp;"","")&amp;"␟"&amp;IFERROR(INDEX(PASTE_ALL,$DF684,29)&amp;"","")&amp;"␟"&amp;IFERROR(INDEX(PASTE_ALL,$DF684,30)&amp;"","")&amp;"␟"&amp;IFERROR(INDEX(PASTE_ALL,$DF684,31)&amp;"","")&amp;"␟"&amp;IFERROR(INDEX(PASTE_ALL,$DF684,32)&amp;"","")&amp;"␟"&amp;IFERROR(INDEX(PASTE_ALL,$DF684,33)&amp;"","")&amp;"␟"&amp;IFERROR(INDEX(PASTE_ALL,$DF684,34)&amp;"","")&amp;"␟"&amp;IFERROR(INDEX(PASTE_ALL,$DF684,35)&amp;"","")&amp;"␟"&amp;IFERROR(INDEX(PASTE_ALL,$DF684,36)&amp;"","")&amp;"␟"&amp;IFERROR(INDEX(PASTE_ALL,$DF684,37)&amp;"","")&amp;"␟"&amp;IFERROR(INDEX(PASTE_ALL,$DF684,38)&amp;"","")&amp;"␟"&amp;IFERROR(INDEX(PASTE_ALL,$DF684,39)&amp;"","")&amp;"␟"&amp;IFERROR(INDEX(PASTE_ALL,$DF684,40)&amp;"","")&amp;"␟"&amp;IFERROR(INDEX(PASTE_ALL,$DF684,41)&amp;"","")&amp;"␟"&amp;IFERROR(INDEX(PASTE_ALL,$DF684,42)&amp;"","")&amp;"␟"&amp;IFERROR(INDEX(PASTE_ALL,$DF684,43)&amp;"","")&amp;"␟"&amp;IFERROR(INDEX(PASTE_ALL,$DF684,44)&amp;"","")&amp;"␟"&amp;IFERROR(INDEX(PASTE_ALL,$DF684,45)&amp;"","")&amp;"␟"&amp;IFERROR(INDEX(PASTE_ALL,$DF684,46)&amp;"","")&amp;"␟"&amp;IFERROR(INDEX(PASTE_ALL,$DF684,47)&amp;"","")&amp;"␟"&amp;IFERROR(INDEX(PASTE_ALL,$DF684,48)&amp;"","")&amp;"␟"&amp;IFERROR(INDEX(PASTE_ALL,$DF684,49)&amp;"","")&amp;"␟"&amp;IFERROR(INDEX(PASTE_ALL,$DF684,50)&amp;"","")&amp;"␟"&amp;IFERROR(INDEX(PASTE_ALL,$DF684,51)&amp;"","")&amp;"␟"&amp;IFERROR(INDEX(PASTE_ALL,$DF684,52)&amp;"","")&amp;"␟"&amp;IFERROR(INDEX(PASTE_ALL,$DF684,53)&amp;"","")&amp;"␟"&amp;IFERROR(INDEX(PASTE_ALL,$DF684,54)&amp;"","")&amp;"␟"&amp;IFERROR(INDEX(PASTE_ALL,$DF684,55)&amp;"","")&amp;"␟"&amp;IFERROR(INDEX(PASTE_ALL,$DF684,56)&amp;"","")&amp;"␟"&amp;IFERROR(INDEX(PASTE_ALL,$DF684,57)&amp;"","")&amp;"␟"&amp;IFERROR(INDEX(PASTE_ALL,$DF684,58)&amp;"","")&amp;"␟"&amp;IFERROR(INDEX(PASTE_ALL,$DF684,59)&amp;"","")&amp;"␟"&amp;IFERROR(INDEX(PASTE_ALL,$DF684,60)&amp;"","")," "," "),CHAR(9)," "),CHAR(10)," "),CHAR(13)," "))," ␟","␟"),"␟ ","␟"),"#"&amp;$DE684),"")</f>
        <v/>
      </c>
      <c r="DJ684">
        <f>IF($DI684="",0,IF(SUMPRODUCT(--EXACT($DI$4:DI683,$DI684))&gt;0,1,0))</f>
        <v/>
      </c>
      <c r="DK684">
        <f>IF(AND($DI684&lt;&gt;"",$DJ684=0),1,0)</f>
        <v/>
      </c>
      <c r="DL684">
        <f>DL683+$DK684</f>
        <v/>
      </c>
      <c r="DM684">
        <f>IF(AND($DK684=1,$DL684&lt;=600),1,0)</f>
        <v/>
      </c>
      <c r="DN684">
        <f>IF($DM684=0,"",IF($L$6=0,"",IFERROR(IF(ISNUMBER(INDEX(PASTE_ALL,$DF684,$L$6)),INDEX(PASTE_ALL,$DF684,$L$6),TRIM(SUBSTITUTE(SUBSTITUTE(SUBSTITUTE(SUBSTITUTE(INDEX(PASTE_ALL,$DF684,$L$6)," "," "),CHAR(9)," "),CHAR(10)," "),CHAR(13)," "))),"")))</f>
        <v/>
      </c>
      <c r="DO684">
        <f>IF($DM684=0,"",IF($L$7=0,"",IFERROR(IF(ISNUMBER(INDEX(PASTE_ALL,$DF684,$L$7)),INDEX(PASTE_ALL,$DF684,$L$7),TRIM(SUBSTITUTE(SUBSTITUTE(SUBSTITUTE(SUBSTITUTE(INDEX(PASTE_ALL,$DF684,$L$7)," "," "),CHAR(9)," "),CHAR(10)," "),CHAR(13)," "))),"")))</f>
        <v/>
      </c>
      <c r="DP684">
        <f>IF($DM684=0,"",IF($L$8=0,"",IFERROR(IF(ISNUMBER(INDEX(PASTE_ALL,$DF684,$L$8)),INDEX(PASTE_ALL,$DF684,$L$8),TRIM(SUBSTITUTE(SUBSTITUTE(SUBSTITUTE(SUBSTITUTE(INDEX(PASTE_ALL,$DF684,$L$8)," "," "),CHAR(9)," "),CHAR(10)," "),CHAR(13)," "))),"")))</f>
        <v/>
      </c>
      <c r="DQ684">
        <f>IF($DM684=0,"",IF($L$9=0,"",IFERROR(IF(ISNUMBER(INDEX(PASTE_ALL,$DF684,$L$9)),INDEX(PASTE_ALL,$DF684,$L$9),TRIM(SUBSTITUTE(SUBSTITUTE(SUBSTITUTE(SUBSTITUTE(INDEX(PASTE_ALL,$DF684,$L$9)," "," "),CHAR(9)," "),CHAR(10)," "),CHAR(13)," "))),"")))</f>
        <v/>
      </c>
      <c r="DR684">
        <f>IF($DM684=0,"",IF($L$10=0,"",IFERROR(IF(ISNUMBER(INDEX(PASTE_ALL,$DF684,$L$10)),INDEX(PASTE_ALL,$DF684,$L$10),TRIM(SUBSTITUTE(SUBSTITUTE(SUBSTITUTE(SUBSTITUTE(INDEX(PASTE_ALL,$DF684,$L$10)," "," "),CHAR(9)," "),CHAR(10)," "),CHAR(13)," "))),"")))</f>
        <v/>
      </c>
      <c r="DS684">
        <f>IF($DM684=0,"",IF($L$11=0,"",IFERROR(IF(ISNUMBER(INDEX(PASTE_ALL,$DF684,$L$11)),INDEX(PASTE_ALL,$DF684,$L$11),TRIM(SUBSTITUTE(SUBSTITUTE(SUBSTITUTE(SUBSTITUTE(INDEX(PASTE_ALL,$DF684,$L$11)," "," "),CHAR(9)," "),CHAR(10)," "),CHAR(13)," "))),"")))</f>
        <v/>
      </c>
      <c r="DT684">
        <f>IF($DM684=0,"",IF($L$12=0,"",IFERROR(IF(ISNUMBER(INDEX(PASTE_ALL,$DF684,$L$12)),INDEX(PASTE_ALL,$DF684,$L$12),TRIM(SUBSTITUTE(SUBSTITUTE(SUBSTITUTE(SUBSTITUTE(INDEX(PASTE_ALL,$DF684,$L$12)," "," "),CHAR(9)," "),CHAR(10)," "),CHAR(13)," "))),"")))</f>
        <v/>
      </c>
      <c r="DU684">
        <f>IF($DM684=0,"",IF($L$13=0,"",IFERROR(IF(ISNUMBER(INDEX(PASTE_ALL,$DF684,$L$13)),INDEX(PASTE_ALL,$DF684,$L$13),TRIM(SUBSTITUTE(SUBSTITUTE(SUBSTITUTE(SUBSTITUTE(INDEX(PASTE_ALL,$DF684,$L$13)," "," "),CHAR(9)," "),CHAR(10)," "),CHAR(13)," "))),"")))</f>
        <v/>
      </c>
      <c r="DV684">
        <f>IF($DM684=0,"",IF($L$14=0,"",IFERROR(IF(ISNUMBER(INDEX(PASTE_ALL,$DF684,$L$14)),INDEX(PASTE_ALL,$DF684,$L$14),TRIM(SUBSTITUTE(SUBSTITUTE(SUBSTITUTE(SUBSTITUTE(INDEX(PASTE_ALL,$DF684,$L$14)," "," "),CHAR(9)," "),CHAR(10)," "),CHAR(13)," "))),"")))</f>
        <v/>
      </c>
      <c r="DW684">
        <f>IF($DM684=0,"",IF($L$15=0,"",IFERROR(IF(ISNUMBER(INDEX(PASTE_ALL,$DF684,$L$15)),INDEX(PASTE_ALL,$DF684,$L$15),IF(SUMPRODUCT(--ISNUMBER(FIND({"A","B","C","D","E","F","G","H","I","J","K","L","M","N","O","P","Q","R","S","T","U","V","W","X","Y","Z","0","1","2","3","4","5","6","7","8","9"},UPPER(TRIM(SUBSTITUTE(SUBSTITUTE(SUBSTITUTE(SUBSTITUTE(INDEX(PASTE_ALL,$DF684,$L$15)," "," "),CHAR(9)," "),CHAR(10)," "),CHAR(13)," "))))))&gt;0,TRIM(SUBSTITUTE(SUBSTITUTE(SUBSTITUTE(SUBSTITUTE(INDEX(PASTE_ALL,$DF684,$L$15)," "," "),CHAR(9)," "),CHAR(10)," "),CHAR(13)," ")),"")),"")))</f>
        <v/>
      </c>
      <c r="DX684">
        <f>IF($DM684=0,"",IF($L$16=0,"",IFERROR(IF(ISNUMBER(INDEX(PASTE_ALL,$DF684,$L$16)),INDEX(PASTE_ALL,$DF684,$L$16),SUBSTITUTE(SUBSTITUTE(TRIM(SUBSTITUTE(SUBSTITUTE(SUBSTITUTE(SUBSTITUTE(INDEX(PASTE_ALL,$DF684,$L$16)," "," "),CHAR(9)," "),CHAR(10)," "),CHAR(13)," ")),",",""),"%","")),"")))</f>
        <v/>
      </c>
      <c r="DY684">
        <f>IF($DM684=0,"",IFERROR(IF(ISNUMBER($DX684),$DX684,IF($DX684="","",IF(TRIM($DX684)="",0,IF(AND(AND(SUBSTITUTE(SUBSTITUTE(SUBSTITUTE(SUBSTITUTE(SUBSTITUTE(SUBSTITUTE(SUBSTITUTE(SUBSTITUTE(SUBSTITUTE(SUBSTITUTE(SUBSTITUTE(SUBSTITUTE(SUBSTITUTE(SUBSTITUTE(UPPER(TRIM($DX684)),"0",""),"1",""),"2",""),"3",""),"4",""),"5",""),"6",""),"7",""),"8",""),"9",""),".",""),"+",""),"-",""),"E","")="",LEN(SUBSTITUTE(SUBSTITUTE(MID(UPPER(TRIM($DX684)),1+OR(LEFT(UPPER(TRIM($DX684)),1)="+",LEFT(UPPER(TRIM($DX684)),1)="-"),999),"E+","E"),"E-","E"))=LEN(SUBSTITUTE(SUBSTITUTE(SUBSTITUTE(SUBSTITUTE(MID(UPPER(TRIM($DX684)),1+OR(LEFT(UPPER(TRIM($DX684)),1)="+",LEFT(UPPER(TRIM($DX684)),1)="-"),999),"E+","E"),"E-","E"),"+",""),"-","")),LEN(UPPER(TRIM($DX684)))-LEN(SUBSTITUTE(UPPER(TRIM($DX684)),"E",""))&lt;2,LEN(UPPER(TRIM($DX684)))-LEN(SUBSTITUTE(UPPER(TRIM($DX684)),".",""))&lt;2,IFERROR(FIND(".",UPPER(TRIM($DX684))),0)&lt;IFERROR(FIND("E",UPPER(TRIM($DX684))),999)),ISNUMBER(VALUE(TRIM($DX684)))),VALUE(TRIM($DX684)),"")))),""))</f>
        <v/>
      </c>
      <c r="DZ684">
        <f>IF($DM684=0,"",IF($L$17=0,"",IFERROR(IF(ISNUMBER(INDEX(PASTE_ALL,$DF684,$L$17)),INDEX(PASTE_ALL,$DF684,$L$17),SUBSTITUTE(SUBSTITUTE(TRIM(SUBSTITUTE(SUBSTITUTE(SUBSTITUTE(SUBSTITUTE(INDEX(PASTE_ALL,$DF684,$L$17)," "," "),CHAR(9)," "),CHAR(10)," "),CHAR(13)," ")),",",""),"%","")),"")))</f>
        <v/>
      </c>
      <c r="EA684">
        <f>IF($DM684=0,"",IFERROR(IF(ISNUMBER($DZ684),$DZ684,IF($DZ684="","",IF(TRIM($DZ684)="",0,IF(AND(AND(SUBSTITUTE(SUBSTITUTE(SUBSTITUTE(SUBSTITUTE(SUBSTITUTE(SUBSTITUTE(SUBSTITUTE(SUBSTITUTE(SUBSTITUTE(SUBSTITUTE(SUBSTITUTE(SUBSTITUTE(SUBSTITUTE(SUBSTITUTE(UPPER(TRIM($DZ684)),"0",""),"1",""),"2",""),"3",""),"4",""),"5",""),"6",""),"7",""),"8",""),"9",""),".",""),"+",""),"-",""),"E","")="",LEN(SUBSTITUTE(SUBSTITUTE(MID(UPPER(TRIM($DZ684)),1+OR(LEFT(UPPER(TRIM($DZ684)),1)="+",LEFT(UPPER(TRIM($DZ684)),1)="-"),999),"E+","E"),"E-","E"))=LEN(SUBSTITUTE(SUBSTITUTE(SUBSTITUTE(SUBSTITUTE(MID(UPPER(TRIM($DZ684)),1+OR(LEFT(UPPER(TRIM($DZ684)),1)="+",LEFT(UPPER(TRIM($DZ684)),1)="-"),999),"E+","E"),"E-","E"),"+",""),"-","")),LEN(UPPER(TRIM($DZ684)))-LEN(SUBSTITUTE(UPPER(TRIM($DZ684)),"E",""))&lt;2,LEN(UPPER(TRIM($DZ684)))-LEN(SUBSTITUTE(UPPER(TRIM($DZ684)),".",""))&lt;2,IFERROR(FIND(".",UPPER(TRIM($DZ684))),0)&lt;IFERROR(FIND("E",UPPER(TRIM($DZ684))),999)),ISNUMBER(VALUE(TRIM($DZ684)))),VALUE(TRIM($DZ684)),"")))),""))</f>
        <v/>
      </c>
      <c r="EB684">
        <f>IF($DM684=0,"",IF($L$18=0,"",IFERROR(IF(UPPER(TRIM(SUBSTITUTE(SUBSTITUTE(SUBSTITUTE(SUBSTITUTE(INDEX(PASTE_ALL,$DF684,$L$18)," "," "),CHAR(9)," "),CHAR(10)," "),CHAR(13)," ")))="READY","Ready",IF(UPPER(TRIM(SUBSTITUTE(SUBSTITUTE(SUBSTITUTE(SUBSTITUTE(INDEX(PASTE_ALL,$DF684,$L$18)," "," "),CHAR(9)," "),CHAR(10)," "),CHAR(13)," ")))="PM","PM",IF(OR(UPPER(TRIM(SUBSTITUTE(SUBSTITUTE(SUBSTITUTE(SUBSTITUTE(INDEX(PASTE_ALL,$DF684,$L$18)," "," "),CHAR(9)," "),CHAR(10)," "),CHAR(13)," ")))="OT",UPPER(TRIM(SUBSTITUTE(SUBSTITUTE(SUBSTITUTE(SUBSTITUTE(INDEX(PASTE_ALL,$DF684,$L$18)," "," "),CHAR(9)," "),CHAR(10)," "),CHAR(13)," ")))="OVERTIME",UPPER(TRIM(SUBSTITUTE(SUBSTITUTE(SUBSTITUTE(SUBSTITUTE(INDEX(PASTE_ALL,$DF684,$L$18)," "," "),CHAR(9)," "),CHAR(10)," "),CHAR(13)," ")))="TRIAL"),"OT",TRIM(SUBSTITUTE(SUBSTITUTE(SUBSTITUTE(SUBSTITUTE(INDEX(PASTE_ALL,$DF684,$L$18)," "," "),CHAR(9)," "),CHAR(10)," "),CHAR(13)," "))))),"")))</f>
        <v/>
      </c>
      <c r="EC684">
        <f>IF($DM684=0,"",IF($L$19=0,"",IFERROR(IF(ISNUMBER(INDEX(PASTE_ALL,$DF684,$L$19)),INDEX(PASTE_ALL,$DF684,$L$19),TRIM(SUBSTITUTE(SUBSTITUTE(SUBSTITUTE(SUBSTITUTE(INDEX(PASTE_ALL,$DF684,$L$19)," "," "),CHAR(9)," "),CHAR(10)," "),CHAR(13)," "))),"")))</f>
        <v/>
      </c>
      <c r="ED684">
        <f>IF($DM684=0,"",MATCH(1,INDEX(EXACT($DH$5:DH684,$DH684)*$DM$5:DM684,0),0))</f>
        <v/>
      </c>
      <c r="EE684">
        <f>IF($DM684=0,0,IF($ED684=$DE684,1,0))</f>
        <v/>
      </c>
      <c r="EF684">
        <f>EF683+$EE684</f>
        <v/>
      </c>
      <c r="EG684">
        <f>IF($DM684=0,"",INDEX($EF$5:$EF$1003,$ED684))</f>
        <v/>
      </c>
      <c r="EH684">
        <f>IF($DM684=0,"",IF($DO684&lt;&gt;"","",IFERROR(LOOKUP(2,1/(($EG$4:EG683=$EG684)*($DO$4:DO683&lt;&gt;"")),$DO$4:DO683),"")))</f>
        <v/>
      </c>
      <c r="EI684">
        <f>IF($DM684=0,"",IF($DO684&lt;&gt;"",$DO684,$EH684))</f>
        <v/>
      </c>
      <c r="EJ684">
        <f>IF($DM684=0,"",IF($EI684="",0,IF(OR(ISNUMBER($EI684),AND(AND(SUBSTITUTE(SUBSTITUTE(SUBSTITUTE(SUBSTITUTE(SUBSTITUTE(SUBSTITUTE(SUBSTITUTE(SUBSTITUTE(SUBSTITUTE(SUBSTITUTE(SUBSTITUTE(SUBSTITUTE(SUBSTITUTE(SUBSTITUTE(UPPER($EI684),"0",""),"1",""),"2",""),"3",""),"4",""),"5",""),"6",""),"7",""),"8",""),"9",""),".",""),"+",""),"-",""),"E","")="",LEN(SUBSTITUTE(SUBSTITUTE(MID(UPPER($EI684),1+OR(LEFT(UPPER($EI684),1)="+",LEFT(UPPER($EI684),1)="-"),999),"E+","E"),"E-","E"))=LEN(SUBSTITUTE(SUBSTITUTE(SUBSTITUTE(SUBSTITUTE(MID(UPPER($EI684),1+OR(LEFT(UPPER($EI684),1)="+",LEFT(UPPER($EI684),1)="-"),999),"E+","E"),"E-","E"),"+",""),"-","")),LEN(UPPER($EI684))-LEN(SUBSTITUTE(UPPER($EI684),"E",""))&lt;2,LEN(UPPER($EI684))-LEN(SUBSTITUTE(UPPER($EI684),".",""))&lt;2,IFERROR(FIND(".",UPPER($EI684)),0)&lt;IFERROR(FIND("E",UPPER($EI684)),999)),ISNUMBER(VALUE($EI684)))),1,2)))</f>
        <v/>
      </c>
      <c r="EK684">
        <f>IF($DM684=0,"",IF($EJ684=1,IF(ISNUMBER($EI684),$EI684,VALUE($EI684)),IF($EJ684=2,$DE684,0)))</f>
        <v/>
      </c>
      <c r="EL684">
        <f>IF($DM684=0,"",COUNTIF($EG$5:$EG$1003,"&lt;"&amp;$EG684)+SUMPRODUCT(($EG$5:$EG$1003=$EG684)*(($EJ$5:$EJ$1003&lt;$EJ684)+($EJ$5:$EJ$1003=$EJ684)*(($EK$5:$EK$1003&lt;$EK684)+($EK$5:$EK$1003=$EK684)*($DE$5:$DE$1003&lt;$DE684))))+1)</f>
        <v/>
      </c>
      <c r="EM684">
        <f>IF($DM684=0,"",$EL684+$EG684-1)</f>
        <v/>
      </c>
      <c r="EN684">
        <f>IF($DM684=0,0,IFERROR(MATCH(1,INDEX(--(TRIM(SUBSTITUTE(SUBSTITUTE(SUBSTITUTE(SUBSTITUTE(LINES_NAME&amp;""," "," "),CHAR(9)," "),CHAR(10)," "),CHAR(13)," "))=$DH684),0),0),0))</f>
        <v/>
      </c>
      <c r="EO684">
        <f>IF($EN684=0,0,IF(OR(UPPER(TRIM(INDEX(LINES_SCHEDULED,$EN684)&amp;""))="YES",UPPER(TRIM(INDEX(LINES_SCHEDULED,$EN684)&amp;""))="Y",UPPER(TRIM(INDEX(LINES_SCHEDULED,$EN684)&amp;""))="X"),1,0))</f>
        <v/>
      </c>
      <c r="EP684">
        <f>IF($DM684=0,"",IF(COUNTIFS($EG$5:$EG$1003,$EG684,$EB$5:$EB$1003,"Ready")&gt;0,"READY",IF(COUNTIFS($EG$5:$EG$1003,$EG684,$EB$5:$EB$1003,"PM")&gt;0,"PM",IF(COUNTIFS($EG$5:$EG$1003,$EG684,$EB$5:$EB$1003,"OT")&gt;0,"OT",""))))</f>
        <v/>
      </c>
      <c r="EQ684">
        <f>IF($EN684=0,"",UPPER(TRIM(INDEX(LINES_STATUS,$EN684)&amp;"")))</f>
        <v/>
      </c>
      <c r="ER684">
        <f>IF($DM684=0,"",IF(OR($EQ684="READY",$EQ684="PM",$EQ684="OT"),$EQ684,$EP684))</f>
        <v/>
      </c>
      <c r="ES684">
        <f>IF($DM684=0,"",IF(AND($DV684&lt;&gt;"",UPPER($DV684)&lt;&gt;"N"),"allergen",IF(ISNUMBER(SEARCH("oil",$DQ684)),"oil",IF(OR(EXACT($DS684,"A662"),EXACT($DS684,"A624")),"bulk",""))))</f>
        <v/>
      </c>
      <c r="ET684">
        <f>IF($DM684=0,"",IF(OR($EA684="",$EA684=0),"",$EA684/100))</f>
        <v/>
      </c>
      <c r="EU684">
        <f>IF(OR($ET684="",$DY684=""),"",INT($DY684*(1-$ET684)+0.5))</f>
        <v/>
      </c>
      <c r="EW684" t="n">
        <v>680</v>
      </c>
      <c r="EX684">
        <f>IFERROR(MATCH($EW684,$EM$5:$EM$1003,0),0)</f>
        <v/>
      </c>
      <c r="EY684">
        <f>IF($EW684&gt;$B$12,"",IF($EX684&gt;0,"row","spacer"))</f>
        <v/>
      </c>
      <c r="EZ684">
        <f>IF(AND($EY684="row",$EY683&lt;&gt;"row"),1,0)</f>
        <v/>
      </c>
      <c r="FA684">
        <f>IF(AND($EY684="row",$EY685&lt;&gt;"row"),1,0)</f>
        <v/>
      </c>
      <c r="FB684">
        <f>IF($EZ684=1,IFERROR(IF(ISNUMBER(INDEX(PASTE_ALL,INDEX($DF$5:$DF$1003,$EX684),$B$37)),INDEX(PASTE_ALL,INDEX($DF$5:$DF$1003,$EX684),$B$37),INDEX($DH$5:$DH$1003,$EX684)),INDEX($DH$5:$DH$1003,$EX684)),"")</f>
        <v/>
      </c>
      <c r="FC684">
        <f>IF($EY684="row",INDEX($ER$5:$ER$1003,$EX684),"")</f>
        <v/>
      </c>
      <c r="FD684">
        <f>IF($EY684="row",INDEX($DN$5:$DN$1003,$EX684),"")</f>
        <v/>
      </c>
      <c r="FE684">
        <f>IF($EY684="row",INDEX($DO$5:$DO$1003,$EX684),"")</f>
        <v/>
      </c>
      <c r="FF684">
        <f>IF($EY684="row",INDEX($DP$5:$DP$1003,$EX684),"")</f>
        <v/>
      </c>
      <c r="FG684">
        <f>IF($EY684="row",INDEX($DQ$5:$DQ$1003,$EX684),"")</f>
        <v/>
      </c>
      <c r="FH684">
        <f>IF($EY684="row",INDEX($DR$5:$DR$1003,$EX684),"")</f>
        <v/>
      </c>
      <c r="FI684">
        <f>IF($EY684="row",INDEX($DS$5:$DS$1003,$EX684),"")</f>
        <v/>
      </c>
      <c r="FJ684">
        <f>IF($EY684="row",INDEX($DT$5:$DT$1003,$EX684),"")</f>
        <v/>
      </c>
      <c r="FK684">
        <f>IF($EY684="row",INDEX($DU$5:$DU$1003,$EX684),"")</f>
        <v/>
      </c>
      <c r="FL684">
        <f>IF($EY684="row",INDEX($DV$5:$DV$1003,$EX684),"")</f>
        <v/>
      </c>
      <c r="FM684">
        <f>IF($EY684="row",INDEX($DW$5:$DW$1003,$EX684),"")</f>
        <v/>
      </c>
      <c r="FN684">
        <f>IF($EY684="row",INDEX($DY$5:$DY$1003,$EX684),"")</f>
        <v/>
      </c>
      <c r="FO684">
        <f>IF($EY684="row",INDEX($EA$5:$EA$1003,$EX684),"")</f>
        <v/>
      </c>
      <c r="FP684">
        <f>IF($EY684="row",INDEX($EC$5:$EC$1003,$EX684),"")</f>
        <v/>
      </c>
      <c r="FQ684">
        <f>IF($EY684="row",INDEX($ET$5:$ET$1003,$EX684),"")</f>
        <v/>
      </c>
      <c r="FR684">
        <f>IF($EY684="row",INDEX($EU$5:$EU$1003,$EX684),"")</f>
        <v/>
      </c>
      <c r="FS684">
        <f>IF(AND($EY684="row",$EY683="row"),IF(OR(INDEX($DT$5:$DT$1003,$EX683)="",INDEX($DT$5:$DT$1003,$EX684)=""),"",IF(NOT(EXACT(INDEX($DT$5:$DT$1003,$EX683),INDEX($DT$5:$DT$1003,$EX684))),"S4",IF(NOT(EXACT(INDEX($DS$5:$DS$1003,$EX683),INDEX($DS$5:$DS$1003,$EX684))),"S3",IF(NOT(EXACT(INDEX($DR$5:$DR$1003,$EX683),INDEX($DR$5:$DR$1003,$EX684))),"S1 Count Change","S1")))),"")</f>
        <v/>
      </c>
      <c r="FT684">
        <f>IF($EY684="row",INDEX($ES$5:$ES$1003,$EX684),"")</f>
        <v/>
      </c>
      <c r="FU684">
        <f>IF($EY684="row",INDEX($EO$5:$EO$1003,$EX684),0)</f>
        <v/>
      </c>
      <c r="FV684">
        <f>IF($FS684="S1 Count Change",1,0)</f>
        <v/>
      </c>
    </row>
    <row r="685">
      <c r="DA685" t="n">
        <v>681</v>
      </c>
      <c r="DB685">
        <f>IF($B$37=0,"",IFERROR(TRIM(SUBSTITUTE(SUBSTITUTE(SUBSTITUTE(SUBSTITUTE(INDEX(PASTE_ALL,681,$B$37)," "," "),CHAR(9)," "),CHAR(10)," "),CHAR(13)," ")),""))</f>
        <v/>
      </c>
      <c r="DC685">
        <f>IF(AND(681&gt;HEADER_ROW,UPPER(DB685)="LEGEND"),1,0)</f>
        <v/>
      </c>
      <c r="DE685" t="n">
        <v>681</v>
      </c>
      <c r="DF685">
        <f>HEADER_ROW+$DE685</f>
        <v/>
      </c>
      <c r="DG685">
        <f>IF(AND($DF685&lt;=1000,$DF685&lt;$B$8),1,0)</f>
        <v/>
      </c>
      <c r="DH685">
        <f>IF($DG685=1,IFERROR(INDEX($DB$5:$DB$1004,$DF685),""),"")</f>
        <v/>
      </c>
      <c r="DI685">
        <f>IF(AND($DG685=1,$DH685&lt;&gt;""),IFERROR(SUBSTITUTE(SUBSTITUTE(TRIM(SUBSTITUTE(SUBSTITUTE(SUBSTITUTE(SUBSTITUTE(IFERROR(INDEX(PASTE_ALL,$DF685,1)&amp;"","")&amp;"␟"&amp;IFERROR(INDEX(PASTE_ALL,$DF685,2)&amp;"","")&amp;"␟"&amp;IFERROR(INDEX(PASTE_ALL,$DF685,3)&amp;"","")&amp;"␟"&amp;IFERROR(INDEX(PASTE_ALL,$DF685,4)&amp;"","")&amp;"␟"&amp;IFERROR(INDEX(PASTE_ALL,$DF685,5)&amp;"","")&amp;"␟"&amp;IFERROR(INDEX(PASTE_ALL,$DF685,6)&amp;"","")&amp;"␟"&amp;IFERROR(INDEX(PASTE_ALL,$DF685,7)&amp;"","")&amp;"␟"&amp;IFERROR(INDEX(PASTE_ALL,$DF685,8)&amp;"","")&amp;"␟"&amp;IFERROR(INDEX(PASTE_ALL,$DF685,9)&amp;"","")&amp;"␟"&amp;IFERROR(INDEX(PASTE_ALL,$DF685,10)&amp;"","")&amp;"␟"&amp;IFERROR(INDEX(PASTE_ALL,$DF685,11)&amp;"","")&amp;"␟"&amp;IFERROR(INDEX(PASTE_ALL,$DF685,12)&amp;"","")&amp;"␟"&amp;IFERROR(INDEX(PASTE_ALL,$DF685,13)&amp;"","")&amp;"␟"&amp;IFERROR(INDEX(PASTE_ALL,$DF685,14)&amp;"","")&amp;"␟"&amp;IFERROR(INDEX(PASTE_ALL,$DF685,15)&amp;"","")&amp;"␟"&amp;IFERROR(INDEX(PASTE_ALL,$DF685,16)&amp;"","")&amp;"␟"&amp;IFERROR(INDEX(PASTE_ALL,$DF685,17)&amp;"","")&amp;"␟"&amp;IFERROR(INDEX(PASTE_ALL,$DF685,18)&amp;"","")&amp;"␟"&amp;IFERROR(INDEX(PASTE_ALL,$DF685,19)&amp;"","")&amp;"␟"&amp;IFERROR(INDEX(PASTE_ALL,$DF685,20)&amp;"","")&amp;"␟"&amp;IFERROR(INDEX(PASTE_ALL,$DF685,21)&amp;"","")&amp;"␟"&amp;IFERROR(INDEX(PASTE_ALL,$DF685,22)&amp;"","")&amp;"␟"&amp;IFERROR(INDEX(PASTE_ALL,$DF685,23)&amp;"","")&amp;"␟"&amp;IFERROR(INDEX(PASTE_ALL,$DF685,24)&amp;"","")&amp;"␟"&amp;IFERROR(INDEX(PASTE_ALL,$DF685,25)&amp;"","")&amp;"␟"&amp;IFERROR(INDEX(PASTE_ALL,$DF685,26)&amp;"","")&amp;"␟"&amp;IFERROR(INDEX(PASTE_ALL,$DF685,27)&amp;"","")&amp;"␟"&amp;IFERROR(INDEX(PASTE_ALL,$DF685,28)&amp;"","")&amp;"␟"&amp;IFERROR(INDEX(PASTE_ALL,$DF685,29)&amp;"","")&amp;"␟"&amp;IFERROR(INDEX(PASTE_ALL,$DF685,30)&amp;"","")&amp;"␟"&amp;IFERROR(INDEX(PASTE_ALL,$DF685,31)&amp;"","")&amp;"␟"&amp;IFERROR(INDEX(PASTE_ALL,$DF685,32)&amp;"","")&amp;"␟"&amp;IFERROR(INDEX(PASTE_ALL,$DF685,33)&amp;"","")&amp;"␟"&amp;IFERROR(INDEX(PASTE_ALL,$DF685,34)&amp;"","")&amp;"␟"&amp;IFERROR(INDEX(PASTE_ALL,$DF685,35)&amp;"","")&amp;"␟"&amp;IFERROR(INDEX(PASTE_ALL,$DF685,36)&amp;"","")&amp;"␟"&amp;IFERROR(INDEX(PASTE_ALL,$DF685,37)&amp;"","")&amp;"␟"&amp;IFERROR(INDEX(PASTE_ALL,$DF685,38)&amp;"","")&amp;"␟"&amp;IFERROR(INDEX(PASTE_ALL,$DF685,39)&amp;"","")&amp;"␟"&amp;IFERROR(INDEX(PASTE_ALL,$DF685,40)&amp;"","")&amp;"␟"&amp;IFERROR(INDEX(PASTE_ALL,$DF685,41)&amp;"","")&amp;"␟"&amp;IFERROR(INDEX(PASTE_ALL,$DF685,42)&amp;"","")&amp;"␟"&amp;IFERROR(INDEX(PASTE_ALL,$DF685,43)&amp;"","")&amp;"␟"&amp;IFERROR(INDEX(PASTE_ALL,$DF685,44)&amp;"","")&amp;"␟"&amp;IFERROR(INDEX(PASTE_ALL,$DF685,45)&amp;"","")&amp;"␟"&amp;IFERROR(INDEX(PASTE_ALL,$DF685,46)&amp;"","")&amp;"␟"&amp;IFERROR(INDEX(PASTE_ALL,$DF685,47)&amp;"","")&amp;"␟"&amp;IFERROR(INDEX(PASTE_ALL,$DF685,48)&amp;"","")&amp;"␟"&amp;IFERROR(INDEX(PASTE_ALL,$DF685,49)&amp;"","")&amp;"␟"&amp;IFERROR(INDEX(PASTE_ALL,$DF685,50)&amp;"","")&amp;"␟"&amp;IFERROR(INDEX(PASTE_ALL,$DF685,51)&amp;"","")&amp;"␟"&amp;IFERROR(INDEX(PASTE_ALL,$DF685,52)&amp;"","")&amp;"␟"&amp;IFERROR(INDEX(PASTE_ALL,$DF685,53)&amp;"","")&amp;"␟"&amp;IFERROR(INDEX(PASTE_ALL,$DF685,54)&amp;"","")&amp;"␟"&amp;IFERROR(INDEX(PASTE_ALL,$DF685,55)&amp;"","")&amp;"␟"&amp;IFERROR(INDEX(PASTE_ALL,$DF685,56)&amp;"","")&amp;"␟"&amp;IFERROR(INDEX(PASTE_ALL,$DF685,57)&amp;"","")&amp;"␟"&amp;IFERROR(INDEX(PASTE_ALL,$DF685,58)&amp;"","")&amp;"␟"&amp;IFERROR(INDEX(PASTE_ALL,$DF685,59)&amp;"","")&amp;"␟"&amp;IFERROR(INDEX(PASTE_ALL,$DF685,60)&amp;"","")," "," "),CHAR(9)," "),CHAR(10)," "),CHAR(13)," "))," ␟","␟"),"␟ ","␟"),"#"&amp;$DE685),"")</f>
        <v/>
      </c>
      <c r="DJ685">
        <f>IF($DI685="",0,IF(SUMPRODUCT(--EXACT($DI$4:DI684,$DI685))&gt;0,1,0))</f>
        <v/>
      </c>
      <c r="DK685">
        <f>IF(AND($DI685&lt;&gt;"",$DJ685=0),1,0)</f>
        <v/>
      </c>
      <c r="DL685">
        <f>DL684+$DK685</f>
        <v/>
      </c>
      <c r="DM685">
        <f>IF(AND($DK685=1,$DL685&lt;=600),1,0)</f>
        <v/>
      </c>
      <c r="DN685">
        <f>IF($DM685=0,"",IF($L$6=0,"",IFERROR(IF(ISNUMBER(INDEX(PASTE_ALL,$DF685,$L$6)),INDEX(PASTE_ALL,$DF685,$L$6),TRIM(SUBSTITUTE(SUBSTITUTE(SUBSTITUTE(SUBSTITUTE(INDEX(PASTE_ALL,$DF685,$L$6)," "," "),CHAR(9)," "),CHAR(10)," "),CHAR(13)," "))),"")))</f>
        <v/>
      </c>
      <c r="DO685">
        <f>IF($DM685=0,"",IF($L$7=0,"",IFERROR(IF(ISNUMBER(INDEX(PASTE_ALL,$DF685,$L$7)),INDEX(PASTE_ALL,$DF685,$L$7),TRIM(SUBSTITUTE(SUBSTITUTE(SUBSTITUTE(SUBSTITUTE(INDEX(PASTE_ALL,$DF685,$L$7)," "," "),CHAR(9)," "),CHAR(10)," "),CHAR(13)," "))),"")))</f>
        <v/>
      </c>
      <c r="DP685">
        <f>IF($DM685=0,"",IF($L$8=0,"",IFERROR(IF(ISNUMBER(INDEX(PASTE_ALL,$DF685,$L$8)),INDEX(PASTE_ALL,$DF685,$L$8),TRIM(SUBSTITUTE(SUBSTITUTE(SUBSTITUTE(SUBSTITUTE(INDEX(PASTE_ALL,$DF685,$L$8)," "," "),CHAR(9)," "),CHAR(10)," "),CHAR(13)," "))),"")))</f>
        <v/>
      </c>
      <c r="DQ685">
        <f>IF($DM685=0,"",IF($L$9=0,"",IFERROR(IF(ISNUMBER(INDEX(PASTE_ALL,$DF685,$L$9)),INDEX(PASTE_ALL,$DF685,$L$9),TRIM(SUBSTITUTE(SUBSTITUTE(SUBSTITUTE(SUBSTITUTE(INDEX(PASTE_ALL,$DF685,$L$9)," "," "),CHAR(9)," "),CHAR(10)," "),CHAR(13)," "))),"")))</f>
        <v/>
      </c>
      <c r="DR685">
        <f>IF($DM685=0,"",IF($L$10=0,"",IFERROR(IF(ISNUMBER(INDEX(PASTE_ALL,$DF685,$L$10)),INDEX(PASTE_ALL,$DF685,$L$10),TRIM(SUBSTITUTE(SUBSTITUTE(SUBSTITUTE(SUBSTITUTE(INDEX(PASTE_ALL,$DF685,$L$10)," "," "),CHAR(9)," "),CHAR(10)," "),CHAR(13)," "))),"")))</f>
        <v/>
      </c>
      <c r="DS685">
        <f>IF($DM685=0,"",IF($L$11=0,"",IFERROR(IF(ISNUMBER(INDEX(PASTE_ALL,$DF685,$L$11)),INDEX(PASTE_ALL,$DF685,$L$11),TRIM(SUBSTITUTE(SUBSTITUTE(SUBSTITUTE(SUBSTITUTE(INDEX(PASTE_ALL,$DF685,$L$11)," "," "),CHAR(9)," "),CHAR(10)," "),CHAR(13)," "))),"")))</f>
        <v/>
      </c>
      <c r="DT685">
        <f>IF($DM685=0,"",IF($L$12=0,"",IFERROR(IF(ISNUMBER(INDEX(PASTE_ALL,$DF685,$L$12)),INDEX(PASTE_ALL,$DF685,$L$12),TRIM(SUBSTITUTE(SUBSTITUTE(SUBSTITUTE(SUBSTITUTE(INDEX(PASTE_ALL,$DF685,$L$12)," "," "),CHAR(9)," "),CHAR(10)," "),CHAR(13)," "))),"")))</f>
        <v/>
      </c>
      <c r="DU685">
        <f>IF($DM685=0,"",IF($L$13=0,"",IFERROR(IF(ISNUMBER(INDEX(PASTE_ALL,$DF685,$L$13)),INDEX(PASTE_ALL,$DF685,$L$13),TRIM(SUBSTITUTE(SUBSTITUTE(SUBSTITUTE(SUBSTITUTE(INDEX(PASTE_ALL,$DF685,$L$13)," "," "),CHAR(9)," "),CHAR(10)," "),CHAR(13)," "))),"")))</f>
        <v/>
      </c>
      <c r="DV685">
        <f>IF($DM685=0,"",IF($L$14=0,"",IFERROR(IF(ISNUMBER(INDEX(PASTE_ALL,$DF685,$L$14)),INDEX(PASTE_ALL,$DF685,$L$14),TRIM(SUBSTITUTE(SUBSTITUTE(SUBSTITUTE(SUBSTITUTE(INDEX(PASTE_ALL,$DF685,$L$14)," "," "),CHAR(9)," "),CHAR(10)," "),CHAR(13)," "))),"")))</f>
        <v/>
      </c>
      <c r="DW685">
        <f>IF($DM685=0,"",IF($L$15=0,"",IFERROR(IF(ISNUMBER(INDEX(PASTE_ALL,$DF685,$L$15)),INDEX(PASTE_ALL,$DF685,$L$15),IF(SUMPRODUCT(--ISNUMBER(FIND({"A","B","C","D","E","F","G","H","I","J","K","L","M","N","O","P","Q","R","S","T","U","V","W","X","Y","Z","0","1","2","3","4","5","6","7","8","9"},UPPER(TRIM(SUBSTITUTE(SUBSTITUTE(SUBSTITUTE(SUBSTITUTE(INDEX(PASTE_ALL,$DF685,$L$15)," "," "),CHAR(9)," "),CHAR(10)," "),CHAR(13)," "))))))&gt;0,TRIM(SUBSTITUTE(SUBSTITUTE(SUBSTITUTE(SUBSTITUTE(INDEX(PASTE_ALL,$DF685,$L$15)," "," "),CHAR(9)," "),CHAR(10)," "),CHAR(13)," ")),"")),"")))</f>
        <v/>
      </c>
      <c r="DX685">
        <f>IF($DM685=0,"",IF($L$16=0,"",IFERROR(IF(ISNUMBER(INDEX(PASTE_ALL,$DF685,$L$16)),INDEX(PASTE_ALL,$DF685,$L$16),SUBSTITUTE(SUBSTITUTE(TRIM(SUBSTITUTE(SUBSTITUTE(SUBSTITUTE(SUBSTITUTE(INDEX(PASTE_ALL,$DF685,$L$16)," "," "),CHAR(9)," "),CHAR(10)," "),CHAR(13)," ")),",",""),"%","")),"")))</f>
        <v/>
      </c>
      <c r="DY685">
        <f>IF($DM685=0,"",IFERROR(IF(ISNUMBER($DX685),$DX685,IF($DX685="","",IF(TRIM($DX685)="",0,IF(AND(AND(SUBSTITUTE(SUBSTITUTE(SUBSTITUTE(SUBSTITUTE(SUBSTITUTE(SUBSTITUTE(SUBSTITUTE(SUBSTITUTE(SUBSTITUTE(SUBSTITUTE(SUBSTITUTE(SUBSTITUTE(SUBSTITUTE(SUBSTITUTE(UPPER(TRIM($DX685)),"0",""),"1",""),"2",""),"3",""),"4",""),"5",""),"6",""),"7",""),"8",""),"9",""),".",""),"+",""),"-",""),"E","")="",LEN(SUBSTITUTE(SUBSTITUTE(MID(UPPER(TRIM($DX685)),1+OR(LEFT(UPPER(TRIM($DX685)),1)="+",LEFT(UPPER(TRIM($DX685)),1)="-"),999),"E+","E"),"E-","E"))=LEN(SUBSTITUTE(SUBSTITUTE(SUBSTITUTE(SUBSTITUTE(MID(UPPER(TRIM($DX685)),1+OR(LEFT(UPPER(TRIM($DX685)),1)="+",LEFT(UPPER(TRIM($DX685)),1)="-"),999),"E+","E"),"E-","E"),"+",""),"-","")),LEN(UPPER(TRIM($DX685)))-LEN(SUBSTITUTE(UPPER(TRIM($DX685)),"E",""))&lt;2,LEN(UPPER(TRIM($DX685)))-LEN(SUBSTITUTE(UPPER(TRIM($DX685)),".",""))&lt;2,IFERROR(FIND(".",UPPER(TRIM($DX685))),0)&lt;IFERROR(FIND("E",UPPER(TRIM($DX685))),999)),ISNUMBER(VALUE(TRIM($DX685)))),VALUE(TRIM($DX685)),"")))),""))</f>
        <v/>
      </c>
      <c r="DZ685">
        <f>IF($DM685=0,"",IF($L$17=0,"",IFERROR(IF(ISNUMBER(INDEX(PASTE_ALL,$DF685,$L$17)),INDEX(PASTE_ALL,$DF685,$L$17),SUBSTITUTE(SUBSTITUTE(TRIM(SUBSTITUTE(SUBSTITUTE(SUBSTITUTE(SUBSTITUTE(INDEX(PASTE_ALL,$DF685,$L$17)," "," "),CHAR(9)," "),CHAR(10)," "),CHAR(13)," ")),",",""),"%","")),"")))</f>
        <v/>
      </c>
      <c r="EA685">
        <f>IF($DM685=0,"",IFERROR(IF(ISNUMBER($DZ685),$DZ685,IF($DZ685="","",IF(TRIM($DZ685)="",0,IF(AND(AND(SUBSTITUTE(SUBSTITUTE(SUBSTITUTE(SUBSTITUTE(SUBSTITUTE(SUBSTITUTE(SUBSTITUTE(SUBSTITUTE(SUBSTITUTE(SUBSTITUTE(SUBSTITUTE(SUBSTITUTE(SUBSTITUTE(SUBSTITUTE(UPPER(TRIM($DZ685)),"0",""),"1",""),"2",""),"3",""),"4",""),"5",""),"6",""),"7",""),"8",""),"9",""),".",""),"+",""),"-",""),"E","")="",LEN(SUBSTITUTE(SUBSTITUTE(MID(UPPER(TRIM($DZ685)),1+OR(LEFT(UPPER(TRIM($DZ685)),1)="+",LEFT(UPPER(TRIM($DZ685)),1)="-"),999),"E+","E"),"E-","E"))=LEN(SUBSTITUTE(SUBSTITUTE(SUBSTITUTE(SUBSTITUTE(MID(UPPER(TRIM($DZ685)),1+OR(LEFT(UPPER(TRIM($DZ685)),1)="+",LEFT(UPPER(TRIM($DZ685)),1)="-"),999),"E+","E"),"E-","E"),"+",""),"-","")),LEN(UPPER(TRIM($DZ685)))-LEN(SUBSTITUTE(UPPER(TRIM($DZ685)),"E",""))&lt;2,LEN(UPPER(TRIM($DZ685)))-LEN(SUBSTITUTE(UPPER(TRIM($DZ685)),".",""))&lt;2,IFERROR(FIND(".",UPPER(TRIM($DZ685))),0)&lt;IFERROR(FIND("E",UPPER(TRIM($DZ685))),999)),ISNUMBER(VALUE(TRIM($DZ685)))),VALUE(TRIM($DZ685)),"")))),""))</f>
        <v/>
      </c>
      <c r="EB685">
        <f>IF($DM685=0,"",IF($L$18=0,"",IFERROR(IF(UPPER(TRIM(SUBSTITUTE(SUBSTITUTE(SUBSTITUTE(SUBSTITUTE(INDEX(PASTE_ALL,$DF685,$L$18)," "," "),CHAR(9)," "),CHAR(10)," "),CHAR(13)," ")))="READY","Ready",IF(UPPER(TRIM(SUBSTITUTE(SUBSTITUTE(SUBSTITUTE(SUBSTITUTE(INDEX(PASTE_ALL,$DF685,$L$18)," "," "),CHAR(9)," "),CHAR(10)," "),CHAR(13)," ")))="PM","PM",IF(OR(UPPER(TRIM(SUBSTITUTE(SUBSTITUTE(SUBSTITUTE(SUBSTITUTE(INDEX(PASTE_ALL,$DF685,$L$18)," "," "),CHAR(9)," "),CHAR(10)," "),CHAR(13)," ")))="OT",UPPER(TRIM(SUBSTITUTE(SUBSTITUTE(SUBSTITUTE(SUBSTITUTE(INDEX(PASTE_ALL,$DF685,$L$18)," "," "),CHAR(9)," "),CHAR(10)," "),CHAR(13)," ")))="OVERTIME",UPPER(TRIM(SUBSTITUTE(SUBSTITUTE(SUBSTITUTE(SUBSTITUTE(INDEX(PASTE_ALL,$DF685,$L$18)," "," "),CHAR(9)," "),CHAR(10)," "),CHAR(13)," ")))="TRIAL"),"OT",TRIM(SUBSTITUTE(SUBSTITUTE(SUBSTITUTE(SUBSTITUTE(INDEX(PASTE_ALL,$DF685,$L$18)," "," "),CHAR(9)," "),CHAR(10)," "),CHAR(13)," "))))),"")))</f>
        <v/>
      </c>
      <c r="EC685">
        <f>IF($DM685=0,"",IF($L$19=0,"",IFERROR(IF(ISNUMBER(INDEX(PASTE_ALL,$DF685,$L$19)),INDEX(PASTE_ALL,$DF685,$L$19),TRIM(SUBSTITUTE(SUBSTITUTE(SUBSTITUTE(SUBSTITUTE(INDEX(PASTE_ALL,$DF685,$L$19)," "," "),CHAR(9)," "),CHAR(10)," "),CHAR(13)," "))),"")))</f>
        <v/>
      </c>
      <c r="ED685">
        <f>IF($DM685=0,"",MATCH(1,INDEX(EXACT($DH$5:DH685,$DH685)*$DM$5:DM685,0),0))</f>
        <v/>
      </c>
      <c r="EE685">
        <f>IF($DM685=0,0,IF($ED685=$DE685,1,0))</f>
        <v/>
      </c>
      <c r="EF685">
        <f>EF684+$EE685</f>
        <v/>
      </c>
      <c r="EG685">
        <f>IF($DM685=0,"",INDEX($EF$5:$EF$1003,$ED685))</f>
        <v/>
      </c>
      <c r="EH685">
        <f>IF($DM685=0,"",IF($DO685&lt;&gt;"","",IFERROR(LOOKUP(2,1/(($EG$4:EG684=$EG685)*($DO$4:DO684&lt;&gt;"")),$DO$4:DO684),"")))</f>
        <v/>
      </c>
      <c r="EI685">
        <f>IF($DM685=0,"",IF($DO685&lt;&gt;"",$DO685,$EH685))</f>
        <v/>
      </c>
      <c r="EJ685">
        <f>IF($DM685=0,"",IF($EI685="",0,IF(OR(ISNUMBER($EI685),AND(AND(SUBSTITUTE(SUBSTITUTE(SUBSTITUTE(SUBSTITUTE(SUBSTITUTE(SUBSTITUTE(SUBSTITUTE(SUBSTITUTE(SUBSTITUTE(SUBSTITUTE(SUBSTITUTE(SUBSTITUTE(SUBSTITUTE(SUBSTITUTE(UPPER($EI685),"0",""),"1",""),"2",""),"3",""),"4",""),"5",""),"6",""),"7",""),"8",""),"9",""),".",""),"+",""),"-",""),"E","")="",LEN(SUBSTITUTE(SUBSTITUTE(MID(UPPER($EI685),1+OR(LEFT(UPPER($EI685),1)="+",LEFT(UPPER($EI685),1)="-"),999),"E+","E"),"E-","E"))=LEN(SUBSTITUTE(SUBSTITUTE(SUBSTITUTE(SUBSTITUTE(MID(UPPER($EI685),1+OR(LEFT(UPPER($EI685),1)="+",LEFT(UPPER($EI685),1)="-"),999),"E+","E"),"E-","E"),"+",""),"-","")),LEN(UPPER($EI685))-LEN(SUBSTITUTE(UPPER($EI685),"E",""))&lt;2,LEN(UPPER($EI685))-LEN(SUBSTITUTE(UPPER($EI685),".",""))&lt;2,IFERROR(FIND(".",UPPER($EI685)),0)&lt;IFERROR(FIND("E",UPPER($EI685)),999)),ISNUMBER(VALUE($EI685)))),1,2)))</f>
        <v/>
      </c>
      <c r="EK685">
        <f>IF($DM685=0,"",IF($EJ685=1,IF(ISNUMBER($EI685),$EI685,VALUE($EI685)),IF($EJ685=2,$DE685,0)))</f>
        <v/>
      </c>
      <c r="EL685">
        <f>IF($DM685=0,"",COUNTIF($EG$5:$EG$1003,"&lt;"&amp;$EG685)+SUMPRODUCT(($EG$5:$EG$1003=$EG685)*(($EJ$5:$EJ$1003&lt;$EJ685)+($EJ$5:$EJ$1003=$EJ685)*(($EK$5:$EK$1003&lt;$EK685)+($EK$5:$EK$1003=$EK685)*($DE$5:$DE$1003&lt;$DE685))))+1)</f>
        <v/>
      </c>
      <c r="EM685">
        <f>IF($DM685=0,"",$EL685+$EG685-1)</f>
        <v/>
      </c>
      <c r="EN685">
        <f>IF($DM685=0,0,IFERROR(MATCH(1,INDEX(--(TRIM(SUBSTITUTE(SUBSTITUTE(SUBSTITUTE(SUBSTITUTE(LINES_NAME&amp;""," "," "),CHAR(9)," "),CHAR(10)," "),CHAR(13)," "))=$DH685),0),0),0))</f>
        <v/>
      </c>
      <c r="EO685">
        <f>IF($EN685=0,0,IF(OR(UPPER(TRIM(INDEX(LINES_SCHEDULED,$EN685)&amp;""))="YES",UPPER(TRIM(INDEX(LINES_SCHEDULED,$EN685)&amp;""))="Y",UPPER(TRIM(INDEX(LINES_SCHEDULED,$EN685)&amp;""))="X"),1,0))</f>
        <v/>
      </c>
      <c r="EP685">
        <f>IF($DM685=0,"",IF(COUNTIFS($EG$5:$EG$1003,$EG685,$EB$5:$EB$1003,"Ready")&gt;0,"READY",IF(COUNTIFS($EG$5:$EG$1003,$EG685,$EB$5:$EB$1003,"PM")&gt;0,"PM",IF(COUNTIFS($EG$5:$EG$1003,$EG685,$EB$5:$EB$1003,"OT")&gt;0,"OT",""))))</f>
        <v/>
      </c>
      <c r="EQ685">
        <f>IF($EN685=0,"",UPPER(TRIM(INDEX(LINES_STATUS,$EN685)&amp;"")))</f>
        <v/>
      </c>
      <c r="ER685">
        <f>IF($DM685=0,"",IF(OR($EQ685="READY",$EQ685="PM",$EQ685="OT"),$EQ685,$EP685))</f>
        <v/>
      </c>
      <c r="ES685">
        <f>IF($DM685=0,"",IF(AND($DV685&lt;&gt;"",UPPER($DV685)&lt;&gt;"N"),"allergen",IF(ISNUMBER(SEARCH("oil",$DQ685)),"oil",IF(OR(EXACT($DS685,"A662"),EXACT($DS685,"A624")),"bulk",""))))</f>
        <v/>
      </c>
      <c r="ET685">
        <f>IF($DM685=0,"",IF(OR($EA685="",$EA685=0),"",$EA685/100))</f>
        <v/>
      </c>
      <c r="EU685">
        <f>IF(OR($ET685="",$DY685=""),"",INT($DY685*(1-$ET685)+0.5))</f>
        <v/>
      </c>
      <c r="EW685" t="n">
        <v>681</v>
      </c>
      <c r="EX685">
        <f>IFERROR(MATCH($EW685,$EM$5:$EM$1003,0),0)</f>
        <v/>
      </c>
      <c r="EY685">
        <f>IF($EW685&gt;$B$12,"",IF($EX685&gt;0,"row","spacer"))</f>
        <v/>
      </c>
      <c r="EZ685">
        <f>IF(AND($EY685="row",$EY684&lt;&gt;"row"),1,0)</f>
        <v/>
      </c>
      <c r="FA685">
        <f>IF(AND($EY685="row",$EY686&lt;&gt;"row"),1,0)</f>
        <v/>
      </c>
      <c r="FB685">
        <f>IF($EZ685=1,IFERROR(IF(ISNUMBER(INDEX(PASTE_ALL,INDEX($DF$5:$DF$1003,$EX685),$B$37)),INDEX(PASTE_ALL,INDEX($DF$5:$DF$1003,$EX685),$B$37),INDEX($DH$5:$DH$1003,$EX685)),INDEX($DH$5:$DH$1003,$EX685)),"")</f>
        <v/>
      </c>
      <c r="FC685">
        <f>IF($EY685="row",INDEX($ER$5:$ER$1003,$EX685),"")</f>
        <v/>
      </c>
      <c r="FD685">
        <f>IF($EY685="row",INDEX($DN$5:$DN$1003,$EX685),"")</f>
        <v/>
      </c>
      <c r="FE685">
        <f>IF($EY685="row",INDEX($DO$5:$DO$1003,$EX685),"")</f>
        <v/>
      </c>
      <c r="FF685">
        <f>IF($EY685="row",INDEX($DP$5:$DP$1003,$EX685),"")</f>
        <v/>
      </c>
      <c r="FG685">
        <f>IF($EY685="row",INDEX($DQ$5:$DQ$1003,$EX685),"")</f>
        <v/>
      </c>
      <c r="FH685">
        <f>IF($EY685="row",INDEX($DR$5:$DR$1003,$EX685),"")</f>
        <v/>
      </c>
      <c r="FI685">
        <f>IF($EY685="row",INDEX($DS$5:$DS$1003,$EX685),"")</f>
        <v/>
      </c>
      <c r="FJ685">
        <f>IF($EY685="row",INDEX($DT$5:$DT$1003,$EX685),"")</f>
        <v/>
      </c>
      <c r="FK685">
        <f>IF($EY685="row",INDEX($DU$5:$DU$1003,$EX685),"")</f>
        <v/>
      </c>
      <c r="FL685">
        <f>IF($EY685="row",INDEX($DV$5:$DV$1003,$EX685),"")</f>
        <v/>
      </c>
      <c r="FM685">
        <f>IF($EY685="row",INDEX($DW$5:$DW$1003,$EX685),"")</f>
        <v/>
      </c>
      <c r="FN685">
        <f>IF($EY685="row",INDEX($DY$5:$DY$1003,$EX685),"")</f>
        <v/>
      </c>
      <c r="FO685">
        <f>IF($EY685="row",INDEX($EA$5:$EA$1003,$EX685),"")</f>
        <v/>
      </c>
      <c r="FP685">
        <f>IF($EY685="row",INDEX($EC$5:$EC$1003,$EX685),"")</f>
        <v/>
      </c>
      <c r="FQ685">
        <f>IF($EY685="row",INDEX($ET$5:$ET$1003,$EX685),"")</f>
        <v/>
      </c>
      <c r="FR685">
        <f>IF($EY685="row",INDEX($EU$5:$EU$1003,$EX685),"")</f>
        <v/>
      </c>
      <c r="FS685">
        <f>IF(AND($EY685="row",$EY684="row"),IF(OR(INDEX($DT$5:$DT$1003,$EX684)="",INDEX($DT$5:$DT$1003,$EX685)=""),"",IF(NOT(EXACT(INDEX($DT$5:$DT$1003,$EX684),INDEX($DT$5:$DT$1003,$EX685))),"S4",IF(NOT(EXACT(INDEX($DS$5:$DS$1003,$EX684),INDEX($DS$5:$DS$1003,$EX685))),"S3",IF(NOT(EXACT(INDEX($DR$5:$DR$1003,$EX684),INDEX($DR$5:$DR$1003,$EX685))),"S1 Count Change","S1")))),"")</f>
        <v/>
      </c>
      <c r="FT685">
        <f>IF($EY685="row",INDEX($ES$5:$ES$1003,$EX685),"")</f>
        <v/>
      </c>
      <c r="FU685">
        <f>IF($EY685="row",INDEX($EO$5:$EO$1003,$EX685),0)</f>
        <v/>
      </c>
      <c r="FV685">
        <f>IF($FS685="S1 Count Change",1,0)</f>
        <v/>
      </c>
    </row>
    <row r="686">
      <c r="DA686" t="n">
        <v>682</v>
      </c>
      <c r="DB686">
        <f>IF($B$37=0,"",IFERROR(TRIM(SUBSTITUTE(SUBSTITUTE(SUBSTITUTE(SUBSTITUTE(INDEX(PASTE_ALL,682,$B$37)," "," "),CHAR(9)," "),CHAR(10)," "),CHAR(13)," ")),""))</f>
        <v/>
      </c>
      <c r="DC686">
        <f>IF(AND(682&gt;HEADER_ROW,UPPER(DB686)="LEGEND"),1,0)</f>
        <v/>
      </c>
      <c r="DE686" t="n">
        <v>682</v>
      </c>
      <c r="DF686">
        <f>HEADER_ROW+$DE686</f>
        <v/>
      </c>
      <c r="DG686">
        <f>IF(AND($DF686&lt;=1000,$DF686&lt;$B$8),1,0)</f>
        <v/>
      </c>
      <c r="DH686">
        <f>IF($DG686=1,IFERROR(INDEX($DB$5:$DB$1004,$DF686),""),"")</f>
        <v/>
      </c>
      <c r="DI686">
        <f>IF(AND($DG686=1,$DH686&lt;&gt;""),IFERROR(SUBSTITUTE(SUBSTITUTE(TRIM(SUBSTITUTE(SUBSTITUTE(SUBSTITUTE(SUBSTITUTE(IFERROR(INDEX(PASTE_ALL,$DF686,1)&amp;"","")&amp;"␟"&amp;IFERROR(INDEX(PASTE_ALL,$DF686,2)&amp;"","")&amp;"␟"&amp;IFERROR(INDEX(PASTE_ALL,$DF686,3)&amp;"","")&amp;"␟"&amp;IFERROR(INDEX(PASTE_ALL,$DF686,4)&amp;"","")&amp;"␟"&amp;IFERROR(INDEX(PASTE_ALL,$DF686,5)&amp;"","")&amp;"␟"&amp;IFERROR(INDEX(PASTE_ALL,$DF686,6)&amp;"","")&amp;"␟"&amp;IFERROR(INDEX(PASTE_ALL,$DF686,7)&amp;"","")&amp;"␟"&amp;IFERROR(INDEX(PASTE_ALL,$DF686,8)&amp;"","")&amp;"␟"&amp;IFERROR(INDEX(PASTE_ALL,$DF686,9)&amp;"","")&amp;"␟"&amp;IFERROR(INDEX(PASTE_ALL,$DF686,10)&amp;"","")&amp;"␟"&amp;IFERROR(INDEX(PASTE_ALL,$DF686,11)&amp;"","")&amp;"␟"&amp;IFERROR(INDEX(PASTE_ALL,$DF686,12)&amp;"","")&amp;"␟"&amp;IFERROR(INDEX(PASTE_ALL,$DF686,13)&amp;"","")&amp;"␟"&amp;IFERROR(INDEX(PASTE_ALL,$DF686,14)&amp;"","")&amp;"␟"&amp;IFERROR(INDEX(PASTE_ALL,$DF686,15)&amp;"","")&amp;"␟"&amp;IFERROR(INDEX(PASTE_ALL,$DF686,16)&amp;"","")&amp;"␟"&amp;IFERROR(INDEX(PASTE_ALL,$DF686,17)&amp;"","")&amp;"␟"&amp;IFERROR(INDEX(PASTE_ALL,$DF686,18)&amp;"","")&amp;"␟"&amp;IFERROR(INDEX(PASTE_ALL,$DF686,19)&amp;"","")&amp;"␟"&amp;IFERROR(INDEX(PASTE_ALL,$DF686,20)&amp;"","")&amp;"␟"&amp;IFERROR(INDEX(PASTE_ALL,$DF686,21)&amp;"","")&amp;"␟"&amp;IFERROR(INDEX(PASTE_ALL,$DF686,22)&amp;"","")&amp;"␟"&amp;IFERROR(INDEX(PASTE_ALL,$DF686,23)&amp;"","")&amp;"␟"&amp;IFERROR(INDEX(PASTE_ALL,$DF686,24)&amp;"","")&amp;"␟"&amp;IFERROR(INDEX(PASTE_ALL,$DF686,25)&amp;"","")&amp;"␟"&amp;IFERROR(INDEX(PASTE_ALL,$DF686,26)&amp;"","")&amp;"␟"&amp;IFERROR(INDEX(PASTE_ALL,$DF686,27)&amp;"","")&amp;"␟"&amp;IFERROR(INDEX(PASTE_ALL,$DF686,28)&amp;"","")&amp;"␟"&amp;IFERROR(INDEX(PASTE_ALL,$DF686,29)&amp;"","")&amp;"␟"&amp;IFERROR(INDEX(PASTE_ALL,$DF686,30)&amp;"","")&amp;"␟"&amp;IFERROR(INDEX(PASTE_ALL,$DF686,31)&amp;"","")&amp;"␟"&amp;IFERROR(INDEX(PASTE_ALL,$DF686,32)&amp;"","")&amp;"␟"&amp;IFERROR(INDEX(PASTE_ALL,$DF686,33)&amp;"","")&amp;"␟"&amp;IFERROR(INDEX(PASTE_ALL,$DF686,34)&amp;"","")&amp;"␟"&amp;IFERROR(INDEX(PASTE_ALL,$DF686,35)&amp;"","")&amp;"␟"&amp;IFERROR(INDEX(PASTE_ALL,$DF686,36)&amp;"","")&amp;"␟"&amp;IFERROR(INDEX(PASTE_ALL,$DF686,37)&amp;"","")&amp;"␟"&amp;IFERROR(INDEX(PASTE_ALL,$DF686,38)&amp;"","")&amp;"␟"&amp;IFERROR(INDEX(PASTE_ALL,$DF686,39)&amp;"","")&amp;"␟"&amp;IFERROR(INDEX(PASTE_ALL,$DF686,40)&amp;"","")&amp;"␟"&amp;IFERROR(INDEX(PASTE_ALL,$DF686,41)&amp;"","")&amp;"␟"&amp;IFERROR(INDEX(PASTE_ALL,$DF686,42)&amp;"","")&amp;"␟"&amp;IFERROR(INDEX(PASTE_ALL,$DF686,43)&amp;"","")&amp;"␟"&amp;IFERROR(INDEX(PASTE_ALL,$DF686,44)&amp;"","")&amp;"␟"&amp;IFERROR(INDEX(PASTE_ALL,$DF686,45)&amp;"","")&amp;"␟"&amp;IFERROR(INDEX(PASTE_ALL,$DF686,46)&amp;"","")&amp;"␟"&amp;IFERROR(INDEX(PASTE_ALL,$DF686,47)&amp;"","")&amp;"␟"&amp;IFERROR(INDEX(PASTE_ALL,$DF686,48)&amp;"","")&amp;"␟"&amp;IFERROR(INDEX(PASTE_ALL,$DF686,49)&amp;"","")&amp;"␟"&amp;IFERROR(INDEX(PASTE_ALL,$DF686,50)&amp;"","")&amp;"␟"&amp;IFERROR(INDEX(PASTE_ALL,$DF686,51)&amp;"","")&amp;"␟"&amp;IFERROR(INDEX(PASTE_ALL,$DF686,52)&amp;"","")&amp;"␟"&amp;IFERROR(INDEX(PASTE_ALL,$DF686,53)&amp;"","")&amp;"␟"&amp;IFERROR(INDEX(PASTE_ALL,$DF686,54)&amp;"","")&amp;"␟"&amp;IFERROR(INDEX(PASTE_ALL,$DF686,55)&amp;"","")&amp;"␟"&amp;IFERROR(INDEX(PASTE_ALL,$DF686,56)&amp;"","")&amp;"␟"&amp;IFERROR(INDEX(PASTE_ALL,$DF686,57)&amp;"","")&amp;"␟"&amp;IFERROR(INDEX(PASTE_ALL,$DF686,58)&amp;"","")&amp;"␟"&amp;IFERROR(INDEX(PASTE_ALL,$DF686,59)&amp;"","")&amp;"␟"&amp;IFERROR(INDEX(PASTE_ALL,$DF686,60)&amp;"","")," "," "),CHAR(9)," "),CHAR(10)," "),CHAR(13)," "))," ␟","␟"),"␟ ","␟"),"#"&amp;$DE686),"")</f>
        <v/>
      </c>
      <c r="DJ686">
        <f>IF($DI686="",0,IF(SUMPRODUCT(--EXACT($DI$4:DI685,$DI686))&gt;0,1,0))</f>
        <v/>
      </c>
      <c r="DK686">
        <f>IF(AND($DI686&lt;&gt;"",$DJ686=0),1,0)</f>
        <v/>
      </c>
      <c r="DL686">
        <f>DL685+$DK686</f>
        <v/>
      </c>
      <c r="DM686">
        <f>IF(AND($DK686=1,$DL686&lt;=600),1,0)</f>
        <v/>
      </c>
      <c r="DN686">
        <f>IF($DM686=0,"",IF($L$6=0,"",IFERROR(IF(ISNUMBER(INDEX(PASTE_ALL,$DF686,$L$6)),INDEX(PASTE_ALL,$DF686,$L$6),TRIM(SUBSTITUTE(SUBSTITUTE(SUBSTITUTE(SUBSTITUTE(INDEX(PASTE_ALL,$DF686,$L$6)," "," "),CHAR(9)," "),CHAR(10)," "),CHAR(13)," "))),"")))</f>
        <v/>
      </c>
      <c r="DO686">
        <f>IF($DM686=0,"",IF($L$7=0,"",IFERROR(IF(ISNUMBER(INDEX(PASTE_ALL,$DF686,$L$7)),INDEX(PASTE_ALL,$DF686,$L$7),TRIM(SUBSTITUTE(SUBSTITUTE(SUBSTITUTE(SUBSTITUTE(INDEX(PASTE_ALL,$DF686,$L$7)," "," "),CHAR(9)," "),CHAR(10)," "),CHAR(13)," "))),"")))</f>
        <v/>
      </c>
      <c r="DP686">
        <f>IF($DM686=0,"",IF($L$8=0,"",IFERROR(IF(ISNUMBER(INDEX(PASTE_ALL,$DF686,$L$8)),INDEX(PASTE_ALL,$DF686,$L$8),TRIM(SUBSTITUTE(SUBSTITUTE(SUBSTITUTE(SUBSTITUTE(INDEX(PASTE_ALL,$DF686,$L$8)," "," "),CHAR(9)," "),CHAR(10)," "),CHAR(13)," "))),"")))</f>
        <v/>
      </c>
      <c r="DQ686">
        <f>IF($DM686=0,"",IF($L$9=0,"",IFERROR(IF(ISNUMBER(INDEX(PASTE_ALL,$DF686,$L$9)),INDEX(PASTE_ALL,$DF686,$L$9),TRIM(SUBSTITUTE(SUBSTITUTE(SUBSTITUTE(SUBSTITUTE(INDEX(PASTE_ALL,$DF686,$L$9)," "," "),CHAR(9)," "),CHAR(10)," "),CHAR(13)," "))),"")))</f>
        <v/>
      </c>
      <c r="DR686">
        <f>IF($DM686=0,"",IF($L$10=0,"",IFERROR(IF(ISNUMBER(INDEX(PASTE_ALL,$DF686,$L$10)),INDEX(PASTE_ALL,$DF686,$L$10),TRIM(SUBSTITUTE(SUBSTITUTE(SUBSTITUTE(SUBSTITUTE(INDEX(PASTE_ALL,$DF686,$L$10)," "," "),CHAR(9)," "),CHAR(10)," "),CHAR(13)," "))),"")))</f>
        <v/>
      </c>
      <c r="DS686">
        <f>IF($DM686=0,"",IF($L$11=0,"",IFERROR(IF(ISNUMBER(INDEX(PASTE_ALL,$DF686,$L$11)),INDEX(PASTE_ALL,$DF686,$L$11),TRIM(SUBSTITUTE(SUBSTITUTE(SUBSTITUTE(SUBSTITUTE(INDEX(PASTE_ALL,$DF686,$L$11)," "," "),CHAR(9)," "),CHAR(10)," "),CHAR(13)," "))),"")))</f>
        <v/>
      </c>
      <c r="DT686">
        <f>IF($DM686=0,"",IF($L$12=0,"",IFERROR(IF(ISNUMBER(INDEX(PASTE_ALL,$DF686,$L$12)),INDEX(PASTE_ALL,$DF686,$L$12),TRIM(SUBSTITUTE(SUBSTITUTE(SUBSTITUTE(SUBSTITUTE(INDEX(PASTE_ALL,$DF686,$L$12)," "," "),CHAR(9)," "),CHAR(10)," "),CHAR(13)," "))),"")))</f>
        <v/>
      </c>
      <c r="DU686">
        <f>IF($DM686=0,"",IF($L$13=0,"",IFERROR(IF(ISNUMBER(INDEX(PASTE_ALL,$DF686,$L$13)),INDEX(PASTE_ALL,$DF686,$L$13),TRIM(SUBSTITUTE(SUBSTITUTE(SUBSTITUTE(SUBSTITUTE(INDEX(PASTE_ALL,$DF686,$L$13)," "," "),CHAR(9)," "),CHAR(10)," "),CHAR(13)," "))),"")))</f>
        <v/>
      </c>
      <c r="DV686">
        <f>IF($DM686=0,"",IF($L$14=0,"",IFERROR(IF(ISNUMBER(INDEX(PASTE_ALL,$DF686,$L$14)),INDEX(PASTE_ALL,$DF686,$L$14),TRIM(SUBSTITUTE(SUBSTITUTE(SUBSTITUTE(SUBSTITUTE(INDEX(PASTE_ALL,$DF686,$L$14)," "," "),CHAR(9)," "),CHAR(10)," "),CHAR(13)," "))),"")))</f>
        <v/>
      </c>
      <c r="DW686">
        <f>IF($DM686=0,"",IF($L$15=0,"",IFERROR(IF(ISNUMBER(INDEX(PASTE_ALL,$DF686,$L$15)),INDEX(PASTE_ALL,$DF686,$L$15),IF(SUMPRODUCT(--ISNUMBER(FIND({"A","B","C","D","E","F","G","H","I","J","K","L","M","N","O","P","Q","R","S","T","U","V","W","X","Y","Z","0","1","2","3","4","5","6","7","8","9"},UPPER(TRIM(SUBSTITUTE(SUBSTITUTE(SUBSTITUTE(SUBSTITUTE(INDEX(PASTE_ALL,$DF686,$L$15)," "," "),CHAR(9)," "),CHAR(10)," "),CHAR(13)," "))))))&gt;0,TRIM(SUBSTITUTE(SUBSTITUTE(SUBSTITUTE(SUBSTITUTE(INDEX(PASTE_ALL,$DF686,$L$15)," "," "),CHAR(9)," "),CHAR(10)," "),CHAR(13)," ")),"")),"")))</f>
        <v/>
      </c>
      <c r="DX686">
        <f>IF($DM686=0,"",IF($L$16=0,"",IFERROR(IF(ISNUMBER(INDEX(PASTE_ALL,$DF686,$L$16)),INDEX(PASTE_ALL,$DF686,$L$16),SUBSTITUTE(SUBSTITUTE(TRIM(SUBSTITUTE(SUBSTITUTE(SUBSTITUTE(SUBSTITUTE(INDEX(PASTE_ALL,$DF686,$L$16)," "," "),CHAR(9)," "),CHAR(10)," "),CHAR(13)," ")),",",""),"%","")),"")))</f>
        <v/>
      </c>
      <c r="DY686">
        <f>IF($DM686=0,"",IFERROR(IF(ISNUMBER($DX686),$DX686,IF($DX686="","",IF(TRIM($DX686)="",0,IF(AND(AND(SUBSTITUTE(SUBSTITUTE(SUBSTITUTE(SUBSTITUTE(SUBSTITUTE(SUBSTITUTE(SUBSTITUTE(SUBSTITUTE(SUBSTITUTE(SUBSTITUTE(SUBSTITUTE(SUBSTITUTE(SUBSTITUTE(SUBSTITUTE(UPPER(TRIM($DX686)),"0",""),"1",""),"2",""),"3",""),"4",""),"5",""),"6",""),"7",""),"8",""),"9",""),".",""),"+",""),"-",""),"E","")="",LEN(SUBSTITUTE(SUBSTITUTE(MID(UPPER(TRIM($DX686)),1+OR(LEFT(UPPER(TRIM($DX686)),1)="+",LEFT(UPPER(TRIM($DX686)),1)="-"),999),"E+","E"),"E-","E"))=LEN(SUBSTITUTE(SUBSTITUTE(SUBSTITUTE(SUBSTITUTE(MID(UPPER(TRIM($DX686)),1+OR(LEFT(UPPER(TRIM($DX686)),1)="+",LEFT(UPPER(TRIM($DX686)),1)="-"),999),"E+","E"),"E-","E"),"+",""),"-","")),LEN(UPPER(TRIM($DX686)))-LEN(SUBSTITUTE(UPPER(TRIM($DX686)),"E",""))&lt;2,LEN(UPPER(TRIM($DX686)))-LEN(SUBSTITUTE(UPPER(TRIM($DX686)),".",""))&lt;2,IFERROR(FIND(".",UPPER(TRIM($DX686))),0)&lt;IFERROR(FIND("E",UPPER(TRIM($DX686))),999)),ISNUMBER(VALUE(TRIM($DX686)))),VALUE(TRIM($DX686)),"")))),""))</f>
        <v/>
      </c>
      <c r="DZ686">
        <f>IF($DM686=0,"",IF($L$17=0,"",IFERROR(IF(ISNUMBER(INDEX(PASTE_ALL,$DF686,$L$17)),INDEX(PASTE_ALL,$DF686,$L$17),SUBSTITUTE(SUBSTITUTE(TRIM(SUBSTITUTE(SUBSTITUTE(SUBSTITUTE(SUBSTITUTE(INDEX(PASTE_ALL,$DF686,$L$17)," "," "),CHAR(9)," "),CHAR(10)," "),CHAR(13)," ")),",",""),"%","")),"")))</f>
        <v/>
      </c>
      <c r="EA686">
        <f>IF($DM686=0,"",IFERROR(IF(ISNUMBER($DZ686),$DZ686,IF($DZ686="","",IF(TRIM($DZ686)="",0,IF(AND(AND(SUBSTITUTE(SUBSTITUTE(SUBSTITUTE(SUBSTITUTE(SUBSTITUTE(SUBSTITUTE(SUBSTITUTE(SUBSTITUTE(SUBSTITUTE(SUBSTITUTE(SUBSTITUTE(SUBSTITUTE(SUBSTITUTE(SUBSTITUTE(UPPER(TRIM($DZ686)),"0",""),"1",""),"2",""),"3",""),"4",""),"5",""),"6",""),"7",""),"8",""),"9",""),".",""),"+",""),"-",""),"E","")="",LEN(SUBSTITUTE(SUBSTITUTE(MID(UPPER(TRIM($DZ686)),1+OR(LEFT(UPPER(TRIM($DZ686)),1)="+",LEFT(UPPER(TRIM($DZ686)),1)="-"),999),"E+","E"),"E-","E"))=LEN(SUBSTITUTE(SUBSTITUTE(SUBSTITUTE(SUBSTITUTE(MID(UPPER(TRIM($DZ686)),1+OR(LEFT(UPPER(TRIM($DZ686)),1)="+",LEFT(UPPER(TRIM($DZ686)),1)="-"),999),"E+","E"),"E-","E"),"+",""),"-","")),LEN(UPPER(TRIM($DZ686)))-LEN(SUBSTITUTE(UPPER(TRIM($DZ686)),"E",""))&lt;2,LEN(UPPER(TRIM($DZ686)))-LEN(SUBSTITUTE(UPPER(TRIM($DZ686)),".",""))&lt;2,IFERROR(FIND(".",UPPER(TRIM($DZ686))),0)&lt;IFERROR(FIND("E",UPPER(TRIM($DZ686))),999)),ISNUMBER(VALUE(TRIM($DZ686)))),VALUE(TRIM($DZ686)),"")))),""))</f>
        <v/>
      </c>
      <c r="EB686">
        <f>IF($DM686=0,"",IF($L$18=0,"",IFERROR(IF(UPPER(TRIM(SUBSTITUTE(SUBSTITUTE(SUBSTITUTE(SUBSTITUTE(INDEX(PASTE_ALL,$DF686,$L$18)," "," "),CHAR(9)," "),CHAR(10)," "),CHAR(13)," ")))="READY","Ready",IF(UPPER(TRIM(SUBSTITUTE(SUBSTITUTE(SUBSTITUTE(SUBSTITUTE(INDEX(PASTE_ALL,$DF686,$L$18)," "," "),CHAR(9)," "),CHAR(10)," "),CHAR(13)," ")))="PM","PM",IF(OR(UPPER(TRIM(SUBSTITUTE(SUBSTITUTE(SUBSTITUTE(SUBSTITUTE(INDEX(PASTE_ALL,$DF686,$L$18)," "," "),CHAR(9)," "),CHAR(10)," "),CHAR(13)," ")))="OT",UPPER(TRIM(SUBSTITUTE(SUBSTITUTE(SUBSTITUTE(SUBSTITUTE(INDEX(PASTE_ALL,$DF686,$L$18)," "," "),CHAR(9)," "),CHAR(10)," "),CHAR(13)," ")))="OVERTIME",UPPER(TRIM(SUBSTITUTE(SUBSTITUTE(SUBSTITUTE(SUBSTITUTE(INDEX(PASTE_ALL,$DF686,$L$18)," "," "),CHAR(9)," "),CHAR(10)," "),CHAR(13)," ")))="TRIAL"),"OT",TRIM(SUBSTITUTE(SUBSTITUTE(SUBSTITUTE(SUBSTITUTE(INDEX(PASTE_ALL,$DF686,$L$18)," "," "),CHAR(9)," "),CHAR(10)," "),CHAR(13)," "))))),"")))</f>
        <v/>
      </c>
      <c r="EC686">
        <f>IF($DM686=0,"",IF($L$19=0,"",IFERROR(IF(ISNUMBER(INDEX(PASTE_ALL,$DF686,$L$19)),INDEX(PASTE_ALL,$DF686,$L$19),TRIM(SUBSTITUTE(SUBSTITUTE(SUBSTITUTE(SUBSTITUTE(INDEX(PASTE_ALL,$DF686,$L$19)," "," "),CHAR(9)," "),CHAR(10)," "),CHAR(13)," "))),"")))</f>
        <v/>
      </c>
      <c r="ED686">
        <f>IF($DM686=0,"",MATCH(1,INDEX(EXACT($DH$5:DH686,$DH686)*$DM$5:DM686,0),0))</f>
        <v/>
      </c>
      <c r="EE686">
        <f>IF($DM686=0,0,IF($ED686=$DE686,1,0))</f>
        <v/>
      </c>
      <c r="EF686">
        <f>EF685+$EE686</f>
        <v/>
      </c>
      <c r="EG686">
        <f>IF($DM686=0,"",INDEX($EF$5:$EF$1003,$ED686))</f>
        <v/>
      </c>
      <c r="EH686">
        <f>IF($DM686=0,"",IF($DO686&lt;&gt;"","",IFERROR(LOOKUP(2,1/(($EG$4:EG685=$EG686)*($DO$4:DO685&lt;&gt;"")),$DO$4:DO685),"")))</f>
        <v/>
      </c>
      <c r="EI686">
        <f>IF($DM686=0,"",IF($DO686&lt;&gt;"",$DO686,$EH686))</f>
        <v/>
      </c>
      <c r="EJ686">
        <f>IF($DM686=0,"",IF($EI686="",0,IF(OR(ISNUMBER($EI686),AND(AND(SUBSTITUTE(SUBSTITUTE(SUBSTITUTE(SUBSTITUTE(SUBSTITUTE(SUBSTITUTE(SUBSTITUTE(SUBSTITUTE(SUBSTITUTE(SUBSTITUTE(SUBSTITUTE(SUBSTITUTE(SUBSTITUTE(SUBSTITUTE(UPPER($EI686),"0",""),"1",""),"2",""),"3",""),"4",""),"5",""),"6",""),"7",""),"8",""),"9",""),".",""),"+",""),"-",""),"E","")="",LEN(SUBSTITUTE(SUBSTITUTE(MID(UPPER($EI686),1+OR(LEFT(UPPER($EI686),1)="+",LEFT(UPPER($EI686),1)="-"),999),"E+","E"),"E-","E"))=LEN(SUBSTITUTE(SUBSTITUTE(SUBSTITUTE(SUBSTITUTE(MID(UPPER($EI686),1+OR(LEFT(UPPER($EI686),1)="+",LEFT(UPPER($EI686),1)="-"),999),"E+","E"),"E-","E"),"+",""),"-","")),LEN(UPPER($EI686))-LEN(SUBSTITUTE(UPPER($EI686),"E",""))&lt;2,LEN(UPPER($EI686))-LEN(SUBSTITUTE(UPPER($EI686),".",""))&lt;2,IFERROR(FIND(".",UPPER($EI686)),0)&lt;IFERROR(FIND("E",UPPER($EI686)),999)),ISNUMBER(VALUE($EI686)))),1,2)))</f>
        <v/>
      </c>
      <c r="EK686">
        <f>IF($DM686=0,"",IF($EJ686=1,IF(ISNUMBER($EI686),$EI686,VALUE($EI686)),IF($EJ686=2,$DE686,0)))</f>
        <v/>
      </c>
      <c r="EL686">
        <f>IF($DM686=0,"",COUNTIF($EG$5:$EG$1003,"&lt;"&amp;$EG686)+SUMPRODUCT(($EG$5:$EG$1003=$EG686)*(($EJ$5:$EJ$1003&lt;$EJ686)+($EJ$5:$EJ$1003=$EJ686)*(($EK$5:$EK$1003&lt;$EK686)+($EK$5:$EK$1003=$EK686)*($DE$5:$DE$1003&lt;$DE686))))+1)</f>
        <v/>
      </c>
      <c r="EM686">
        <f>IF($DM686=0,"",$EL686+$EG686-1)</f>
        <v/>
      </c>
      <c r="EN686">
        <f>IF($DM686=0,0,IFERROR(MATCH(1,INDEX(--(TRIM(SUBSTITUTE(SUBSTITUTE(SUBSTITUTE(SUBSTITUTE(LINES_NAME&amp;""," "," "),CHAR(9)," "),CHAR(10)," "),CHAR(13)," "))=$DH686),0),0),0))</f>
        <v/>
      </c>
      <c r="EO686">
        <f>IF($EN686=0,0,IF(OR(UPPER(TRIM(INDEX(LINES_SCHEDULED,$EN686)&amp;""))="YES",UPPER(TRIM(INDEX(LINES_SCHEDULED,$EN686)&amp;""))="Y",UPPER(TRIM(INDEX(LINES_SCHEDULED,$EN686)&amp;""))="X"),1,0))</f>
        <v/>
      </c>
      <c r="EP686">
        <f>IF($DM686=0,"",IF(COUNTIFS($EG$5:$EG$1003,$EG686,$EB$5:$EB$1003,"Ready")&gt;0,"READY",IF(COUNTIFS($EG$5:$EG$1003,$EG686,$EB$5:$EB$1003,"PM")&gt;0,"PM",IF(COUNTIFS($EG$5:$EG$1003,$EG686,$EB$5:$EB$1003,"OT")&gt;0,"OT",""))))</f>
        <v/>
      </c>
      <c r="EQ686">
        <f>IF($EN686=0,"",UPPER(TRIM(INDEX(LINES_STATUS,$EN686)&amp;"")))</f>
        <v/>
      </c>
      <c r="ER686">
        <f>IF($DM686=0,"",IF(OR($EQ686="READY",$EQ686="PM",$EQ686="OT"),$EQ686,$EP686))</f>
        <v/>
      </c>
      <c r="ES686">
        <f>IF($DM686=0,"",IF(AND($DV686&lt;&gt;"",UPPER($DV686)&lt;&gt;"N"),"allergen",IF(ISNUMBER(SEARCH("oil",$DQ686)),"oil",IF(OR(EXACT($DS686,"A662"),EXACT($DS686,"A624")),"bulk",""))))</f>
        <v/>
      </c>
      <c r="ET686">
        <f>IF($DM686=0,"",IF(OR($EA686="",$EA686=0),"",$EA686/100))</f>
        <v/>
      </c>
      <c r="EU686">
        <f>IF(OR($ET686="",$DY686=""),"",INT($DY686*(1-$ET686)+0.5))</f>
        <v/>
      </c>
      <c r="EW686" t="n">
        <v>682</v>
      </c>
      <c r="EX686">
        <f>IFERROR(MATCH($EW686,$EM$5:$EM$1003,0),0)</f>
        <v/>
      </c>
      <c r="EY686">
        <f>IF($EW686&gt;$B$12,"",IF($EX686&gt;0,"row","spacer"))</f>
        <v/>
      </c>
      <c r="EZ686">
        <f>IF(AND($EY686="row",$EY685&lt;&gt;"row"),1,0)</f>
        <v/>
      </c>
      <c r="FA686">
        <f>IF(AND($EY686="row",$EY687&lt;&gt;"row"),1,0)</f>
        <v/>
      </c>
      <c r="FB686">
        <f>IF($EZ686=1,IFERROR(IF(ISNUMBER(INDEX(PASTE_ALL,INDEX($DF$5:$DF$1003,$EX686),$B$37)),INDEX(PASTE_ALL,INDEX($DF$5:$DF$1003,$EX686),$B$37),INDEX($DH$5:$DH$1003,$EX686)),INDEX($DH$5:$DH$1003,$EX686)),"")</f>
        <v/>
      </c>
      <c r="FC686">
        <f>IF($EY686="row",INDEX($ER$5:$ER$1003,$EX686),"")</f>
        <v/>
      </c>
      <c r="FD686">
        <f>IF($EY686="row",INDEX($DN$5:$DN$1003,$EX686),"")</f>
        <v/>
      </c>
      <c r="FE686">
        <f>IF($EY686="row",INDEX($DO$5:$DO$1003,$EX686),"")</f>
        <v/>
      </c>
      <c r="FF686">
        <f>IF($EY686="row",INDEX($DP$5:$DP$1003,$EX686),"")</f>
        <v/>
      </c>
      <c r="FG686">
        <f>IF($EY686="row",INDEX($DQ$5:$DQ$1003,$EX686),"")</f>
        <v/>
      </c>
      <c r="FH686">
        <f>IF($EY686="row",INDEX($DR$5:$DR$1003,$EX686),"")</f>
        <v/>
      </c>
      <c r="FI686">
        <f>IF($EY686="row",INDEX($DS$5:$DS$1003,$EX686),"")</f>
        <v/>
      </c>
      <c r="FJ686">
        <f>IF($EY686="row",INDEX($DT$5:$DT$1003,$EX686),"")</f>
        <v/>
      </c>
      <c r="FK686">
        <f>IF($EY686="row",INDEX($DU$5:$DU$1003,$EX686),"")</f>
        <v/>
      </c>
      <c r="FL686">
        <f>IF($EY686="row",INDEX($DV$5:$DV$1003,$EX686),"")</f>
        <v/>
      </c>
      <c r="FM686">
        <f>IF($EY686="row",INDEX($DW$5:$DW$1003,$EX686),"")</f>
        <v/>
      </c>
      <c r="FN686">
        <f>IF($EY686="row",INDEX($DY$5:$DY$1003,$EX686),"")</f>
        <v/>
      </c>
      <c r="FO686">
        <f>IF($EY686="row",INDEX($EA$5:$EA$1003,$EX686),"")</f>
        <v/>
      </c>
      <c r="FP686">
        <f>IF($EY686="row",INDEX($EC$5:$EC$1003,$EX686),"")</f>
        <v/>
      </c>
      <c r="FQ686">
        <f>IF($EY686="row",INDEX($ET$5:$ET$1003,$EX686),"")</f>
        <v/>
      </c>
      <c r="FR686">
        <f>IF($EY686="row",INDEX($EU$5:$EU$1003,$EX686),"")</f>
        <v/>
      </c>
      <c r="FS686">
        <f>IF(AND($EY686="row",$EY685="row"),IF(OR(INDEX($DT$5:$DT$1003,$EX685)="",INDEX($DT$5:$DT$1003,$EX686)=""),"",IF(NOT(EXACT(INDEX($DT$5:$DT$1003,$EX685),INDEX($DT$5:$DT$1003,$EX686))),"S4",IF(NOT(EXACT(INDEX($DS$5:$DS$1003,$EX685),INDEX($DS$5:$DS$1003,$EX686))),"S3",IF(NOT(EXACT(INDEX($DR$5:$DR$1003,$EX685),INDEX($DR$5:$DR$1003,$EX686))),"S1 Count Change","S1")))),"")</f>
        <v/>
      </c>
      <c r="FT686">
        <f>IF($EY686="row",INDEX($ES$5:$ES$1003,$EX686),"")</f>
        <v/>
      </c>
      <c r="FU686">
        <f>IF($EY686="row",INDEX($EO$5:$EO$1003,$EX686),0)</f>
        <v/>
      </c>
      <c r="FV686">
        <f>IF($FS686="S1 Count Change",1,0)</f>
        <v/>
      </c>
    </row>
    <row r="687">
      <c r="DA687" t="n">
        <v>683</v>
      </c>
      <c r="DB687">
        <f>IF($B$37=0,"",IFERROR(TRIM(SUBSTITUTE(SUBSTITUTE(SUBSTITUTE(SUBSTITUTE(INDEX(PASTE_ALL,683,$B$37)," "," "),CHAR(9)," "),CHAR(10)," "),CHAR(13)," ")),""))</f>
        <v/>
      </c>
      <c r="DC687">
        <f>IF(AND(683&gt;HEADER_ROW,UPPER(DB687)="LEGEND"),1,0)</f>
        <v/>
      </c>
      <c r="DE687" t="n">
        <v>683</v>
      </c>
      <c r="DF687">
        <f>HEADER_ROW+$DE687</f>
        <v/>
      </c>
      <c r="DG687">
        <f>IF(AND($DF687&lt;=1000,$DF687&lt;$B$8),1,0)</f>
        <v/>
      </c>
      <c r="DH687">
        <f>IF($DG687=1,IFERROR(INDEX($DB$5:$DB$1004,$DF687),""),"")</f>
        <v/>
      </c>
      <c r="DI687">
        <f>IF(AND($DG687=1,$DH687&lt;&gt;""),IFERROR(SUBSTITUTE(SUBSTITUTE(TRIM(SUBSTITUTE(SUBSTITUTE(SUBSTITUTE(SUBSTITUTE(IFERROR(INDEX(PASTE_ALL,$DF687,1)&amp;"","")&amp;"␟"&amp;IFERROR(INDEX(PASTE_ALL,$DF687,2)&amp;"","")&amp;"␟"&amp;IFERROR(INDEX(PASTE_ALL,$DF687,3)&amp;"","")&amp;"␟"&amp;IFERROR(INDEX(PASTE_ALL,$DF687,4)&amp;"","")&amp;"␟"&amp;IFERROR(INDEX(PASTE_ALL,$DF687,5)&amp;"","")&amp;"␟"&amp;IFERROR(INDEX(PASTE_ALL,$DF687,6)&amp;"","")&amp;"␟"&amp;IFERROR(INDEX(PASTE_ALL,$DF687,7)&amp;"","")&amp;"␟"&amp;IFERROR(INDEX(PASTE_ALL,$DF687,8)&amp;"","")&amp;"␟"&amp;IFERROR(INDEX(PASTE_ALL,$DF687,9)&amp;"","")&amp;"␟"&amp;IFERROR(INDEX(PASTE_ALL,$DF687,10)&amp;"","")&amp;"␟"&amp;IFERROR(INDEX(PASTE_ALL,$DF687,11)&amp;"","")&amp;"␟"&amp;IFERROR(INDEX(PASTE_ALL,$DF687,12)&amp;"","")&amp;"␟"&amp;IFERROR(INDEX(PASTE_ALL,$DF687,13)&amp;"","")&amp;"␟"&amp;IFERROR(INDEX(PASTE_ALL,$DF687,14)&amp;"","")&amp;"␟"&amp;IFERROR(INDEX(PASTE_ALL,$DF687,15)&amp;"","")&amp;"␟"&amp;IFERROR(INDEX(PASTE_ALL,$DF687,16)&amp;"","")&amp;"␟"&amp;IFERROR(INDEX(PASTE_ALL,$DF687,17)&amp;"","")&amp;"␟"&amp;IFERROR(INDEX(PASTE_ALL,$DF687,18)&amp;"","")&amp;"␟"&amp;IFERROR(INDEX(PASTE_ALL,$DF687,19)&amp;"","")&amp;"␟"&amp;IFERROR(INDEX(PASTE_ALL,$DF687,20)&amp;"","")&amp;"␟"&amp;IFERROR(INDEX(PASTE_ALL,$DF687,21)&amp;"","")&amp;"␟"&amp;IFERROR(INDEX(PASTE_ALL,$DF687,22)&amp;"","")&amp;"␟"&amp;IFERROR(INDEX(PASTE_ALL,$DF687,23)&amp;"","")&amp;"␟"&amp;IFERROR(INDEX(PASTE_ALL,$DF687,24)&amp;"","")&amp;"␟"&amp;IFERROR(INDEX(PASTE_ALL,$DF687,25)&amp;"","")&amp;"␟"&amp;IFERROR(INDEX(PASTE_ALL,$DF687,26)&amp;"","")&amp;"␟"&amp;IFERROR(INDEX(PASTE_ALL,$DF687,27)&amp;"","")&amp;"␟"&amp;IFERROR(INDEX(PASTE_ALL,$DF687,28)&amp;"","")&amp;"␟"&amp;IFERROR(INDEX(PASTE_ALL,$DF687,29)&amp;"","")&amp;"␟"&amp;IFERROR(INDEX(PASTE_ALL,$DF687,30)&amp;"","")&amp;"␟"&amp;IFERROR(INDEX(PASTE_ALL,$DF687,31)&amp;"","")&amp;"␟"&amp;IFERROR(INDEX(PASTE_ALL,$DF687,32)&amp;"","")&amp;"␟"&amp;IFERROR(INDEX(PASTE_ALL,$DF687,33)&amp;"","")&amp;"␟"&amp;IFERROR(INDEX(PASTE_ALL,$DF687,34)&amp;"","")&amp;"␟"&amp;IFERROR(INDEX(PASTE_ALL,$DF687,35)&amp;"","")&amp;"␟"&amp;IFERROR(INDEX(PASTE_ALL,$DF687,36)&amp;"","")&amp;"␟"&amp;IFERROR(INDEX(PASTE_ALL,$DF687,37)&amp;"","")&amp;"␟"&amp;IFERROR(INDEX(PASTE_ALL,$DF687,38)&amp;"","")&amp;"␟"&amp;IFERROR(INDEX(PASTE_ALL,$DF687,39)&amp;"","")&amp;"␟"&amp;IFERROR(INDEX(PASTE_ALL,$DF687,40)&amp;"","")&amp;"␟"&amp;IFERROR(INDEX(PASTE_ALL,$DF687,41)&amp;"","")&amp;"␟"&amp;IFERROR(INDEX(PASTE_ALL,$DF687,42)&amp;"","")&amp;"␟"&amp;IFERROR(INDEX(PASTE_ALL,$DF687,43)&amp;"","")&amp;"␟"&amp;IFERROR(INDEX(PASTE_ALL,$DF687,44)&amp;"","")&amp;"␟"&amp;IFERROR(INDEX(PASTE_ALL,$DF687,45)&amp;"","")&amp;"␟"&amp;IFERROR(INDEX(PASTE_ALL,$DF687,46)&amp;"","")&amp;"␟"&amp;IFERROR(INDEX(PASTE_ALL,$DF687,47)&amp;"","")&amp;"␟"&amp;IFERROR(INDEX(PASTE_ALL,$DF687,48)&amp;"","")&amp;"␟"&amp;IFERROR(INDEX(PASTE_ALL,$DF687,49)&amp;"","")&amp;"␟"&amp;IFERROR(INDEX(PASTE_ALL,$DF687,50)&amp;"","")&amp;"␟"&amp;IFERROR(INDEX(PASTE_ALL,$DF687,51)&amp;"","")&amp;"␟"&amp;IFERROR(INDEX(PASTE_ALL,$DF687,52)&amp;"","")&amp;"␟"&amp;IFERROR(INDEX(PASTE_ALL,$DF687,53)&amp;"","")&amp;"␟"&amp;IFERROR(INDEX(PASTE_ALL,$DF687,54)&amp;"","")&amp;"␟"&amp;IFERROR(INDEX(PASTE_ALL,$DF687,55)&amp;"","")&amp;"␟"&amp;IFERROR(INDEX(PASTE_ALL,$DF687,56)&amp;"","")&amp;"␟"&amp;IFERROR(INDEX(PASTE_ALL,$DF687,57)&amp;"","")&amp;"␟"&amp;IFERROR(INDEX(PASTE_ALL,$DF687,58)&amp;"","")&amp;"␟"&amp;IFERROR(INDEX(PASTE_ALL,$DF687,59)&amp;"","")&amp;"␟"&amp;IFERROR(INDEX(PASTE_ALL,$DF687,60)&amp;"","")," "," "),CHAR(9)," "),CHAR(10)," "),CHAR(13)," "))," ␟","␟"),"␟ ","␟"),"#"&amp;$DE687),"")</f>
        <v/>
      </c>
      <c r="DJ687">
        <f>IF($DI687="",0,IF(SUMPRODUCT(--EXACT($DI$4:DI686,$DI687))&gt;0,1,0))</f>
        <v/>
      </c>
      <c r="DK687">
        <f>IF(AND($DI687&lt;&gt;"",$DJ687=0),1,0)</f>
        <v/>
      </c>
      <c r="DL687">
        <f>DL686+$DK687</f>
        <v/>
      </c>
      <c r="DM687">
        <f>IF(AND($DK687=1,$DL687&lt;=600),1,0)</f>
        <v/>
      </c>
      <c r="DN687">
        <f>IF($DM687=0,"",IF($L$6=0,"",IFERROR(IF(ISNUMBER(INDEX(PASTE_ALL,$DF687,$L$6)),INDEX(PASTE_ALL,$DF687,$L$6),TRIM(SUBSTITUTE(SUBSTITUTE(SUBSTITUTE(SUBSTITUTE(INDEX(PASTE_ALL,$DF687,$L$6)," "," "),CHAR(9)," "),CHAR(10)," "),CHAR(13)," "))),"")))</f>
        <v/>
      </c>
      <c r="DO687">
        <f>IF($DM687=0,"",IF($L$7=0,"",IFERROR(IF(ISNUMBER(INDEX(PASTE_ALL,$DF687,$L$7)),INDEX(PASTE_ALL,$DF687,$L$7),TRIM(SUBSTITUTE(SUBSTITUTE(SUBSTITUTE(SUBSTITUTE(INDEX(PASTE_ALL,$DF687,$L$7)," "," "),CHAR(9)," "),CHAR(10)," "),CHAR(13)," "))),"")))</f>
        <v/>
      </c>
      <c r="DP687">
        <f>IF($DM687=0,"",IF($L$8=0,"",IFERROR(IF(ISNUMBER(INDEX(PASTE_ALL,$DF687,$L$8)),INDEX(PASTE_ALL,$DF687,$L$8),TRIM(SUBSTITUTE(SUBSTITUTE(SUBSTITUTE(SUBSTITUTE(INDEX(PASTE_ALL,$DF687,$L$8)," "," "),CHAR(9)," "),CHAR(10)," "),CHAR(13)," "))),"")))</f>
        <v/>
      </c>
      <c r="DQ687">
        <f>IF($DM687=0,"",IF($L$9=0,"",IFERROR(IF(ISNUMBER(INDEX(PASTE_ALL,$DF687,$L$9)),INDEX(PASTE_ALL,$DF687,$L$9),TRIM(SUBSTITUTE(SUBSTITUTE(SUBSTITUTE(SUBSTITUTE(INDEX(PASTE_ALL,$DF687,$L$9)," "," "),CHAR(9)," "),CHAR(10)," "),CHAR(13)," "))),"")))</f>
        <v/>
      </c>
      <c r="DR687">
        <f>IF($DM687=0,"",IF($L$10=0,"",IFERROR(IF(ISNUMBER(INDEX(PASTE_ALL,$DF687,$L$10)),INDEX(PASTE_ALL,$DF687,$L$10),TRIM(SUBSTITUTE(SUBSTITUTE(SUBSTITUTE(SUBSTITUTE(INDEX(PASTE_ALL,$DF687,$L$10)," "," "),CHAR(9)," "),CHAR(10)," "),CHAR(13)," "))),"")))</f>
        <v/>
      </c>
      <c r="DS687">
        <f>IF($DM687=0,"",IF($L$11=0,"",IFERROR(IF(ISNUMBER(INDEX(PASTE_ALL,$DF687,$L$11)),INDEX(PASTE_ALL,$DF687,$L$11),TRIM(SUBSTITUTE(SUBSTITUTE(SUBSTITUTE(SUBSTITUTE(INDEX(PASTE_ALL,$DF687,$L$11)," "," "),CHAR(9)," "),CHAR(10)," "),CHAR(13)," "))),"")))</f>
        <v/>
      </c>
      <c r="DT687">
        <f>IF($DM687=0,"",IF($L$12=0,"",IFERROR(IF(ISNUMBER(INDEX(PASTE_ALL,$DF687,$L$12)),INDEX(PASTE_ALL,$DF687,$L$12),TRIM(SUBSTITUTE(SUBSTITUTE(SUBSTITUTE(SUBSTITUTE(INDEX(PASTE_ALL,$DF687,$L$12)," "," "),CHAR(9)," "),CHAR(10)," "),CHAR(13)," "))),"")))</f>
        <v/>
      </c>
      <c r="DU687">
        <f>IF($DM687=0,"",IF($L$13=0,"",IFERROR(IF(ISNUMBER(INDEX(PASTE_ALL,$DF687,$L$13)),INDEX(PASTE_ALL,$DF687,$L$13),TRIM(SUBSTITUTE(SUBSTITUTE(SUBSTITUTE(SUBSTITUTE(INDEX(PASTE_ALL,$DF687,$L$13)," "," "),CHAR(9)," "),CHAR(10)," "),CHAR(13)," "))),"")))</f>
        <v/>
      </c>
      <c r="DV687">
        <f>IF($DM687=0,"",IF($L$14=0,"",IFERROR(IF(ISNUMBER(INDEX(PASTE_ALL,$DF687,$L$14)),INDEX(PASTE_ALL,$DF687,$L$14),TRIM(SUBSTITUTE(SUBSTITUTE(SUBSTITUTE(SUBSTITUTE(INDEX(PASTE_ALL,$DF687,$L$14)," "," "),CHAR(9)," "),CHAR(10)," "),CHAR(13)," "))),"")))</f>
        <v/>
      </c>
      <c r="DW687">
        <f>IF($DM687=0,"",IF($L$15=0,"",IFERROR(IF(ISNUMBER(INDEX(PASTE_ALL,$DF687,$L$15)),INDEX(PASTE_ALL,$DF687,$L$15),IF(SUMPRODUCT(--ISNUMBER(FIND({"A","B","C","D","E","F","G","H","I","J","K","L","M","N","O","P","Q","R","S","T","U","V","W","X","Y","Z","0","1","2","3","4","5","6","7","8","9"},UPPER(TRIM(SUBSTITUTE(SUBSTITUTE(SUBSTITUTE(SUBSTITUTE(INDEX(PASTE_ALL,$DF687,$L$15)," "," "),CHAR(9)," "),CHAR(10)," "),CHAR(13)," "))))))&gt;0,TRIM(SUBSTITUTE(SUBSTITUTE(SUBSTITUTE(SUBSTITUTE(INDEX(PASTE_ALL,$DF687,$L$15)," "," "),CHAR(9)," "),CHAR(10)," "),CHAR(13)," ")),"")),"")))</f>
        <v/>
      </c>
      <c r="DX687">
        <f>IF($DM687=0,"",IF($L$16=0,"",IFERROR(IF(ISNUMBER(INDEX(PASTE_ALL,$DF687,$L$16)),INDEX(PASTE_ALL,$DF687,$L$16),SUBSTITUTE(SUBSTITUTE(TRIM(SUBSTITUTE(SUBSTITUTE(SUBSTITUTE(SUBSTITUTE(INDEX(PASTE_ALL,$DF687,$L$16)," "," "),CHAR(9)," "),CHAR(10)," "),CHAR(13)," ")),",",""),"%","")),"")))</f>
        <v/>
      </c>
      <c r="DY687">
        <f>IF($DM687=0,"",IFERROR(IF(ISNUMBER($DX687),$DX687,IF($DX687="","",IF(TRIM($DX687)="",0,IF(AND(AND(SUBSTITUTE(SUBSTITUTE(SUBSTITUTE(SUBSTITUTE(SUBSTITUTE(SUBSTITUTE(SUBSTITUTE(SUBSTITUTE(SUBSTITUTE(SUBSTITUTE(SUBSTITUTE(SUBSTITUTE(SUBSTITUTE(SUBSTITUTE(UPPER(TRIM($DX687)),"0",""),"1",""),"2",""),"3",""),"4",""),"5",""),"6",""),"7",""),"8",""),"9",""),".",""),"+",""),"-",""),"E","")="",LEN(SUBSTITUTE(SUBSTITUTE(MID(UPPER(TRIM($DX687)),1+OR(LEFT(UPPER(TRIM($DX687)),1)="+",LEFT(UPPER(TRIM($DX687)),1)="-"),999),"E+","E"),"E-","E"))=LEN(SUBSTITUTE(SUBSTITUTE(SUBSTITUTE(SUBSTITUTE(MID(UPPER(TRIM($DX687)),1+OR(LEFT(UPPER(TRIM($DX687)),1)="+",LEFT(UPPER(TRIM($DX687)),1)="-"),999),"E+","E"),"E-","E"),"+",""),"-","")),LEN(UPPER(TRIM($DX687)))-LEN(SUBSTITUTE(UPPER(TRIM($DX687)),"E",""))&lt;2,LEN(UPPER(TRIM($DX687)))-LEN(SUBSTITUTE(UPPER(TRIM($DX687)),".",""))&lt;2,IFERROR(FIND(".",UPPER(TRIM($DX687))),0)&lt;IFERROR(FIND("E",UPPER(TRIM($DX687))),999)),ISNUMBER(VALUE(TRIM($DX687)))),VALUE(TRIM($DX687)),"")))),""))</f>
        <v/>
      </c>
      <c r="DZ687">
        <f>IF($DM687=0,"",IF($L$17=0,"",IFERROR(IF(ISNUMBER(INDEX(PASTE_ALL,$DF687,$L$17)),INDEX(PASTE_ALL,$DF687,$L$17),SUBSTITUTE(SUBSTITUTE(TRIM(SUBSTITUTE(SUBSTITUTE(SUBSTITUTE(SUBSTITUTE(INDEX(PASTE_ALL,$DF687,$L$17)," "," "),CHAR(9)," "),CHAR(10)," "),CHAR(13)," ")),",",""),"%","")),"")))</f>
        <v/>
      </c>
      <c r="EA687">
        <f>IF($DM687=0,"",IFERROR(IF(ISNUMBER($DZ687),$DZ687,IF($DZ687="","",IF(TRIM($DZ687)="",0,IF(AND(AND(SUBSTITUTE(SUBSTITUTE(SUBSTITUTE(SUBSTITUTE(SUBSTITUTE(SUBSTITUTE(SUBSTITUTE(SUBSTITUTE(SUBSTITUTE(SUBSTITUTE(SUBSTITUTE(SUBSTITUTE(SUBSTITUTE(SUBSTITUTE(UPPER(TRIM($DZ687)),"0",""),"1",""),"2",""),"3",""),"4",""),"5",""),"6",""),"7",""),"8",""),"9",""),".",""),"+",""),"-",""),"E","")="",LEN(SUBSTITUTE(SUBSTITUTE(MID(UPPER(TRIM($DZ687)),1+OR(LEFT(UPPER(TRIM($DZ687)),1)="+",LEFT(UPPER(TRIM($DZ687)),1)="-"),999),"E+","E"),"E-","E"))=LEN(SUBSTITUTE(SUBSTITUTE(SUBSTITUTE(SUBSTITUTE(MID(UPPER(TRIM($DZ687)),1+OR(LEFT(UPPER(TRIM($DZ687)),1)="+",LEFT(UPPER(TRIM($DZ687)),1)="-"),999),"E+","E"),"E-","E"),"+",""),"-","")),LEN(UPPER(TRIM($DZ687)))-LEN(SUBSTITUTE(UPPER(TRIM($DZ687)),"E",""))&lt;2,LEN(UPPER(TRIM($DZ687)))-LEN(SUBSTITUTE(UPPER(TRIM($DZ687)),".",""))&lt;2,IFERROR(FIND(".",UPPER(TRIM($DZ687))),0)&lt;IFERROR(FIND("E",UPPER(TRIM($DZ687))),999)),ISNUMBER(VALUE(TRIM($DZ687)))),VALUE(TRIM($DZ687)),"")))),""))</f>
        <v/>
      </c>
      <c r="EB687">
        <f>IF($DM687=0,"",IF($L$18=0,"",IFERROR(IF(UPPER(TRIM(SUBSTITUTE(SUBSTITUTE(SUBSTITUTE(SUBSTITUTE(INDEX(PASTE_ALL,$DF687,$L$18)," "," "),CHAR(9)," "),CHAR(10)," "),CHAR(13)," ")))="READY","Ready",IF(UPPER(TRIM(SUBSTITUTE(SUBSTITUTE(SUBSTITUTE(SUBSTITUTE(INDEX(PASTE_ALL,$DF687,$L$18)," "," "),CHAR(9)," "),CHAR(10)," "),CHAR(13)," ")))="PM","PM",IF(OR(UPPER(TRIM(SUBSTITUTE(SUBSTITUTE(SUBSTITUTE(SUBSTITUTE(INDEX(PASTE_ALL,$DF687,$L$18)," "," "),CHAR(9)," "),CHAR(10)," "),CHAR(13)," ")))="OT",UPPER(TRIM(SUBSTITUTE(SUBSTITUTE(SUBSTITUTE(SUBSTITUTE(INDEX(PASTE_ALL,$DF687,$L$18)," "," "),CHAR(9)," "),CHAR(10)," "),CHAR(13)," ")))="OVERTIME",UPPER(TRIM(SUBSTITUTE(SUBSTITUTE(SUBSTITUTE(SUBSTITUTE(INDEX(PASTE_ALL,$DF687,$L$18)," "," "),CHAR(9)," "),CHAR(10)," "),CHAR(13)," ")))="TRIAL"),"OT",TRIM(SUBSTITUTE(SUBSTITUTE(SUBSTITUTE(SUBSTITUTE(INDEX(PASTE_ALL,$DF687,$L$18)," "," "),CHAR(9)," "),CHAR(10)," "),CHAR(13)," "))))),"")))</f>
        <v/>
      </c>
      <c r="EC687">
        <f>IF($DM687=0,"",IF($L$19=0,"",IFERROR(IF(ISNUMBER(INDEX(PASTE_ALL,$DF687,$L$19)),INDEX(PASTE_ALL,$DF687,$L$19),TRIM(SUBSTITUTE(SUBSTITUTE(SUBSTITUTE(SUBSTITUTE(INDEX(PASTE_ALL,$DF687,$L$19)," "," "),CHAR(9)," "),CHAR(10)," "),CHAR(13)," "))),"")))</f>
        <v/>
      </c>
      <c r="ED687">
        <f>IF($DM687=0,"",MATCH(1,INDEX(EXACT($DH$5:DH687,$DH687)*$DM$5:DM687,0),0))</f>
        <v/>
      </c>
      <c r="EE687">
        <f>IF($DM687=0,0,IF($ED687=$DE687,1,0))</f>
        <v/>
      </c>
      <c r="EF687">
        <f>EF686+$EE687</f>
        <v/>
      </c>
      <c r="EG687">
        <f>IF($DM687=0,"",INDEX($EF$5:$EF$1003,$ED687))</f>
        <v/>
      </c>
      <c r="EH687">
        <f>IF($DM687=0,"",IF($DO687&lt;&gt;"","",IFERROR(LOOKUP(2,1/(($EG$4:EG686=$EG687)*($DO$4:DO686&lt;&gt;"")),$DO$4:DO686),"")))</f>
        <v/>
      </c>
      <c r="EI687">
        <f>IF($DM687=0,"",IF($DO687&lt;&gt;"",$DO687,$EH687))</f>
        <v/>
      </c>
      <c r="EJ687">
        <f>IF($DM687=0,"",IF($EI687="",0,IF(OR(ISNUMBER($EI687),AND(AND(SUBSTITUTE(SUBSTITUTE(SUBSTITUTE(SUBSTITUTE(SUBSTITUTE(SUBSTITUTE(SUBSTITUTE(SUBSTITUTE(SUBSTITUTE(SUBSTITUTE(SUBSTITUTE(SUBSTITUTE(SUBSTITUTE(SUBSTITUTE(UPPER($EI687),"0",""),"1",""),"2",""),"3",""),"4",""),"5",""),"6",""),"7",""),"8",""),"9",""),".",""),"+",""),"-",""),"E","")="",LEN(SUBSTITUTE(SUBSTITUTE(MID(UPPER($EI687),1+OR(LEFT(UPPER($EI687),1)="+",LEFT(UPPER($EI687),1)="-"),999),"E+","E"),"E-","E"))=LEN(SUBSTITUTE(SUBSTITUTE(SUBSTITUTE(SUBSTITUTE(MID(UPPER($EI687),1+OR(LEFT(UPPER($EI687),1)="+",LEFT(UPPER($EI687),1)="-"),999),"E+","E"),"E-","E"),"+",""),"-","")),LEN(UPPER($EI687))-LEN(SUBSTITUTE(UPPER($EI687),"E",""))&lt;2,LEN(UPPER($EI687))-LEN(SUBSTITUTE(UPPER($EI687),".",""))&lt;2,IFERROR(FIND(".",UPPER($EI687)),0)&lt;IFERROR(FIND("E",UPPER($EI687)),999)),ISNUMBER(VALUE($EI687)))),1,2)))</f>
        <v/>
      </c>
      <c r="EK687">
        <f>IF($DM687=0,"",IF($EJ687=1,IF(ISNUMBER($EI687),$EI687,VALUE($EI687)),IF($EJ687=2,$DE687,0)))</f>
        <v/>
      </c>
      <c r="EL687">
        <f>IF($DM687=0,"",COUNTIF($EG$5:$EG$1003,"&lt;"&amp;$EG687)+SUMPRODUCT(($EG$5:$EG$1003=$EG687)*(($EJ$5:$EJ$1003&lt;$EJ687)+($EJ$5:$EJ$1003=$EJ687)*(($EK$5:$EK$1003&lt;$EK687)+($EK$5:$EK$1003=$EK687)*($DE$5:$DE$1003&lt;$DE687))))+1)</f>
        <v/>
      </c>
      <c r="EM687">
        <f>IF($DM687=0,"",$EL687+$EG687-1)</f>
        <v/>
      </c>
      <c r="EN687">
        <f>IF($DM687=0,0,IFERROR(MATCH(1,INDEX(--(TRIM(SUBSTITUTE(SUBSTITUTE(SUBSTITUTE(SUBSTITUTE(LINES_NAME&amp;""," "," "),CHAR(9)," "),CHAR(10)," "),CHAR(13)," "))=$DH687),0),0),0))</f>
        <v/>
      </c>
      <c r="EO687">
        <f>IF($EN687=0,0,IF(OR(UPPER(TRIM(INDEX(LINES_SCHEDULED,$EN687)&amp;""))="YES",UPPER(TRIM(INDEX(LINES_SCHEDULED,$EN687)&amp;""))="Y",UPPER(TRIM(INDEX(LINES_SCHEDULED,$EN687)&amp;""))="X"),1,0))</f>
        <v/>
      </c>
      <c r="EP687">
        <f>IF($DM687=0,"",IF(COUNTIFS($EG$5:$EG$1003,$EG687,$EB$5:$EB$1003,"Ready")&gt;0,"READY",IF(COUNTIFS($EG$5:$EG$1003,$EG687,$EB$5:$EB$1003,"PM")&gt;0,"PM",IF(COUNTIFS($EG$5:$EG$1003,$EG687,$EB$5:$EB$1003,"OT")&gt;0,"OT",""))))</f>
        <v/>
      </c>
      <c r="EQ687">
        <f>IF($EN687=0,"",UPPER(TRIM(INDEX(LINES_STATUS,$EN687)&amp;"")))</f>
        <v/>
      </c>
      <c r="ER687">
        <f>IF($DM687=0,"",IF(OR($EQ687="READY",$EQ687="PM",$EQ687="OT"),$EQ687,$EP687))</f>
        <v/>
      </c>
      <c r="ES687">
        <f>IF($DM687=0,"",IF(AND($DV687&lt;&gt;"",UPPER($DV687)&lt;&gt;"N"),"allergen",IF(ISNUMBER(SEARCH("oil",$DQ687)),"oil",IF(OR(EXACT($DS687,"A662"),EXACT($DS687,"A624")),"bulk",""))))</f>
        <v/>
      </c>
      <c r="ET687">
        <f>IF($DM687=0,"",IF(OR($EA687="",$EA687=0),"",$EA687/100))</f>
        <v/>
      </c>
      <c r="EU687">
        <f>IF(OR($ET687="",$DY687=""),"",INT($DY687*(1-$ET687)+0.5))</f>
        <v/>
      </c>
      <c r="EW687" t="n">
        <v>683</v>
      </c>
      <c r="EX687">
        <f>IFERROR(MATCH($EW687,$EM$5:$EM$1003,0),0)</f>
        <v/>
      </c>
      <c r="EY687">
        <f>IF($EW687&gt;$B$12,"",IF($EX687&gt;0,"row","spacer"))</f>
        <v/>
      </c>
      <c r="EZ687">
        <f>IF(AND($EY687="row",$EY686&lt;&gt;"row"),1,0)</f>
        <v/>
      </c>
      <c r="FA687">
        <f>IF(AND($EY687="row",$EY688&lt;&gt;"row"),1,0)</f>
        <v/>
      </c>
      <c r="FB687">
        <f>IF($EZ687=1,IFERROR(IF(ISNUMBER(INDEX(PASTE_ALL,INDEX($DF$5:$DF$1003,$EX687),$B$37)),INDEX(PASTE_ALL,INDEX($DF$5:$DF$1003,$EX687),$B$37),INDEX($DH$5:$DH$1003,$EX687)),INDEX($DH$5:$DH$1003,$EX687)),"")</f>
        <v/>
      </c>
      <c r="FC687">
        <f>IF($EY687="row",INDEX($ER$5:$ER$1003,$EX687),"")</f>
        <v/>
      </c>
      <c r="FD687">
        <f>IF($EY687="row",INDEX($DN$5:$DN$1003,$EX687),"")</f>
        <v/>
      </c>
      <c r="FE687">
        <f>IF($EY687="row",INDEX($DO$5:$DO$1003,$EX687),"")</f>
        <v/>
      </c>
      <c r="FF687">
        <f>IF($EY687="row",INDEX($DP$5:$DP$1003,$EX687),"")</f>
        <v/>
      </c>
      <c r="FG687">
        <f>IF($EY687="row",INDEX($DQ$5:$DQ$1003,$EX687),"")</f>
        <v/>
      </c>
      <c r="FH687">
        <f>IF($EY687="row",INDEX($DR$5:$DR$1003,$EX687),"")</f>
        <v/>
      </c>
      <c r="FI687">
        <f>IF($EY687="row",INDEX($DS$5:$DS$1003,$EX687),"")</f>
        <v/>
      </c>
      <c r="FJ687">
        <f>IF($EY687="row",INDEX($DT$5:$DT$1003,$EX687),"")</f>
        <v/>
      </c>
      <c r="FK687">
        <f>IF($EY687="row",INDEX($DU$5:$DU$1003,$EX687),"")</f>
        <v/>
      </c>
      <c r="FL687">
        <f>IF($EY687="row",INDEX($DV$5:$DV$1003,$EX687),"")</f>
        <v/>
      </c>
      <c r="FM687">
        <f>IF($EY687="row",INDEX($DW$5:$DW$1003,$EX687),"")</f>
        <v/>
      </c>
      <c r="FN687">
        <f>IF($EY687="row",INDEX($DY$5:$DY$1003,$EX687),"")</f>
        <v/>
      </c>
      <c r="FO687">
        <f>IF($EY687="row",INDEX($EA$5:$EA$1003,$EX687),"")</f>
        <v/>
      </c>
      <c r="FP687">
        <f>IF($EY687="row",INDEX($EC$5:$EC$1003,$EX687),"")</f>
        <v/>
      </c>
      <c r="FQ687">
        <f>IF($EY687="row",INDEX($ET$5:$ET$1003,$EX687),"")</f>
        <v/>
      </c>
      <c r="FR687">
        <f>IF($EY687="row",INDEX($EU$5:$EU$1003,$EX687),"")</f>
        <v/>
      </c>
      <c r="FS687">
        <f>IF(AND($EY687="row",$EY686="row"),IF(OR(INDEX($DT$5:$DT$1003,$EX686)="",INDEX($DT$5:$DT$1003,$EX687)=""),"",IF(NOT(EXACT(INDEX($DT$5:$DT$1003,$EX686),INDEX($DT$5:$DT$1003,$EX687))),"S4",IF(NOT(EXACT(INDEX($DS$5:$DS$1003,$EX686),INDEX($DS$5:$DS$1003,$EX687))),"S3",IF(NOT(EXACT(INDEX($DR$5:$DR$1003,$EX686),INDEX($DR$5:$DR$1003,$EX687))),"S1 Count Change","S1")))),"")</f>
        <v/>
      </c>
      <c r="FT687">
        <f>IF($EY687="row",INDEX($ES$5:$ES$1003,$EX687),"")</f>
        <v/>
      </c>
      <c r="FU687">
        <f>IF($EY687="row",INDEX($EO$5:$EO$1003,$EX687),0)</f>
        <v/>
      </c>
      <c r="FV687">
        <f>IF($FS687="S1 Count Change",1,0)</f>
        <v/>
      </c>
    </row>
    <row r="688">
      <c r="DA688" t="n">
        <v>684</v>
      </c>
      <c r="DB688">
        <f>IF($B$37=0,"",IFERROR(TRIM(SUBSTITUTE(SUBSTITUTE(SUBSTITUTE(SUBSTITUTE(INDEX(PASTE_ALL,684,$B$37)," "," "),CHAR(9)," "),CHAR(10)," "),CHAR(13)," ")),""))</f>
        <v/>
      </c>
      <c r="DC688">
        <f>IF(AND(684&gt;HEADER_ROW,UPPER(DB688)="LEGEND"),1,0)</f>
        <v/>
      </c>
      <c r="DE688" t="n">
        <v>684</v>
      </c>
      <c r="DF688">
        <f>HEADER_ROW+$DE688</f>
        <v/>
      </c>
      <c r="DG688">
        <f>IF(AND($DF688&lt;=1000,$DF688&lt;$B$8),1,0)</f>
        <v/>
      </c>
      <c r="DH688">
        <f>IF($DG688=1,IFERROR(INDEX($DB$5:$DB$1004,$DF688),""),"")</f>
        <v/>
      </c>
      <c r="DI688">
        <f>IF(AND($DG688=1,$DH688&lt;&gt;""),IFERROR(SUBSTITUTE(SUBSTITUTE(TRIM(SUBSTITUTE(SUBSTITUTE(SUBSTITUTE(SUBSTITUTE(IFERROR(INDEX(PASTE_ALL,$DF688,1)&amp;"","")&amp;"␟"&amp;IFERROR(INDEX(PASTE_ALL,$DF688,2)&amp;"","")&amp;"␟"&amp;IFERROR(INDEX(PASTE_ALL,$DF688,3)&amp;"","")&amp;"␟"&amp;IFERROR(INDEX(PASTE_ALL,$DF688,4)&amp;"","")&amp;"␟"&amp;IFERROR(INDEX(PASTE_ALL,$DF688,5)&amp;"","")&amp;"␟"&amp;IFERROR(INDEX(PASTE_ALL,$DF688,6)&amp;"","")&amp;"␟"&amp;IFERROR(INDEX(PASTE_ALL,$DF688,7)&amp;"","")&amp;"␟"&amp;IFERROR(INDEX(PASTE_ALL,$DF688,8)&amp;"","")&amp;"␟"&amp;IFERROR(INDEX(PASTE_ALL,$DF688,9)&amp;"","")&amp;"␟"&amp;IFERROR(INDEX(PASTE_ALL,$DF688,10)&amp;"","")&amp;"␟"&amp;IFERROR(INDEX(PASTE_ALL,$DF688,11)&amp;"","")&amp;"␟"&amp;IFERROR(INDEX(PASTE_ALL,$DF688,12)&amp;"","")&amp;"␟"&amp;IFERROR(INDEX(PASTE_ALL,$DF688,13)&amp;"","")&amp;"␟"&amp;IFERROR(INDEX(PASTE_ALL,$DF688,14)&amp;"","")&amp;"␟"&amp;IFERROR(INDEX(PASTE_ALL,$DF688,15)&amp;"","")&amp;"␟"&amp;IFERROR(INDEX(PASTE_ALL,$DF688,16)&amp;"","")&amp;"␟"&amp;IFERROR(INDEX(PASTE_ALL,$DF688,17)&amp;"","")&amp;"␟"&amp;IFERROR(INDEX(PASTE_ALL,$DF688,18)&amp;"","")&amp;"␟"&amp;IFERROR(INDEX(PASTE_ALL,$DF688,19)&amp;"","")&amp;"␟"&amp;IFERROR(INDEX(PASTE_ALL,$DF688,20)&amp;"","")&amp;"␟"&amp;IFERROR(INDEX(PASTE_ALL,$DF688,21)&amp;"","")&amp;"␟"&amp;IFERROR(INDEX(PASTE_ALL,$DF688,22)&amp;"","")&amp;"␟"&amp;IFERROR(INDEX(PASTE_ALL,$DF688,23)&amp;"","")&amp;"␟"&amp;IFERROR(INDEX(PASTE_ALL,$DF688,24)&amp;"","")&amp;"␟"&amp;IFERROR(INDEX(PASTE_ALL,$DF688,25)&amp;"","")&amp;"␟"&amp;IFERROR(INDEX(PASTE_ALL,$DF688,26)&amp;"","")&amp;"␟"&amp;IFERROR(INDEX(PASTE_ALL,$DF688,27)&amp;"","")&amp;"␟"&amp;IFERROR(INDEX(PASTE_ALL,$DF688,28)&amp;"","")&amp;"␟"&amp;IFERROR(INDEX(PASTE_ALL,$DF688,29)&amp;"","")&amp;"␟"&amp;IFERROR(INDEX(PASTE_ALL,$DF688,30)&amp;"","")&amp;"␟"&amp;IFERROR(INDEX(PASTE_ALL,$DF688,31)&amp;"","")&amp;"␟"&amp;IFERROR(INDEX(PASTE_ALL,$DF688,32)&amp;"","")&amp;"␟"&amp;IFERROR(INDEX(PASTE_ALL,$DF688,33)&amp;"","")&amp;"␟"&amp;IFERROR(INDEX(PASTE_ALL,$DF688,34)&amp;"","")&amp;"␟"&amp;IFERROR(INDEX(PASTE_ALL,$DF688,35)&amp;"","")&amp;"␟"&amp;IFERROR(INDEX(PASTE_ALL,$DF688,36)&amp;"","")&amp;"␟"&amp;IFERROR(INDEX(PASTE_ALL,$DF688,37)&amp;"","")&amp;"␟"&amp;IFERROR(INDEX(PASTE_ALL,$DF688,38)&amp;"","")&amp;"␟"&amp;IFERROR(INDEX(PASTE_ALL,$DF688,39)&amp;"","")&amp;"␟"&amp;IFERROR(INDEX(PASTE_ALL,$DF688,40)&amp;"","")&amp;"␟"&amp;IFERROR(INDEX(PASTE_ALL,$DF688,41)&amp;"","")&amp;"␟"&amp;IFERROR(INDEX(PASTE_ALL,$DF688,42)&amp;"","")&amp;"␟"&amp;IFERROR(INDEX(PASTE_ALL,$DF688,43)&amp;"","")&amp;"␟"&amp;IFERROR(INDEX(PASTE_ALL,$DF688,44)&amp;"","")&amp;"␟"&amp;IFERROR(INDEX(PASTE_ALL,$DF688,45)&amp;"","")&amp;"␟"&amp;IFERROR(INDEX(PASTE_ALL,$DF688,46)&amp;"","")&amp;"␟"&amp;IFERROR(INDEX(PASTE_ALL,$DF688,47)&amp;"","")&amp;"␟"&amp;IFERROR(INDEX(PASTE_ALL,$DF688,48)&amp;"","")&amp;"␟"&amp;IFERROR(INDEX(PASTE_ALL,$DF688,49)&amp;"","")&amp;"␟"&amp;IFERROR(INDEX(PASTE_ALL,$DF688,50)&amp;"","")&amp;"␟"&amp;IFERROR(INDEX(PASTE_ALL,$DF688,51)&amp;"","")&amp;"␟"&amp;IFERROR(INDEX(PASTE_ALL,$DF688,52)&amp;"","")&amp;"␟"&amp;IFERROR(INDEX(PASTE_ALL,$DF688,53)&amp;"","")&amp;"␟"&amp;IFERROR(INDEX(PASTE_ALL,$DF688,54)&amp;"","")&amp;"␟"&amp;IFERROR(INDEX(PASTE_ALL,$DF688,55)&amp;"","")&amp;"␟"&amp;IFERROR(INDEX(PASTE_ALL,$DF688,56)&amp;"","")&amp;"␟"&amp;IFERROR(INDEX(PASTE_ALL,$DF688,57)&amp;"","")&amp;"␟"&amp;IFERROR(INDEX(PASTE_ALL,$DF688,58)&amp;"","")&amp;"␟"&amp;IFERROR(INDEX(PASTE_ALL,$DF688,59)&amp;"","")&amp;"␟"&amp;IFERROR(INDEX(PASTE_ALL,$DF688,60)&amp;"","")," "," "),CHAR(9)," "),CHAR(10)," "),CHAR(13)," "))," ␟","␟"),"␟ ","␟"),"#"&amp;$DE688),"")</f>
        <v/>
      </c>
      <c r="DJ688">
        <f>IF($DI688="",0,IF(SUMPRODUCT(--EXACT($DI$4:DI687,$DI688))&gt;0,1,0))</f>
        <v/>
      </c>
      <c r="DK688">
        <f>IF(AND($DI688&lt;&gt;"",$DJ688=0),1,0)</f>
        <v/>
      </c>
      <c r="DL688">
        <f>DL687+$DK688</f>
        <v/>
      </c>
      <c r="DM688">
        <f>IF(AND($DK688=1,$DL688&lt;=600),1,0)</f>
        <v/>
      </c>
      <c r="DN688">
        <f>IF($DM688=0,"",IF($L$6=0,"",IFERROR(IF(ISNUMBER(INDEX(PASTE_ALL,$DF688,$L$6)),INDEX(PASTE_ALL,$DF688,$L$6),TRIM(SUBSTITUTE(SUBSTITUTE(SUBSTITUTE(SUBSTITUTE(INDEX(PASTE_ALL,$DF688,$L$6)," "," "),CHAR(9)," "),CHAR(10)," "),CHAR(13)," "))),"")))</f>
        <v/>
      </c>
      <c r="DO688">
        <f>IF($DM688=0,"",IF($L$7=0,"",IFERROR(IF(ISNUMBER(INDEX(PASTE_ALL,$DF688,$L$7)),INDEX(PASTE_ALL,$DF688,$L$7),TRIM(SUBSTITUTE(SUBSTITUTE(SUBSTITUTE(SUBSTITUTE(INDEX(PASTE_ALL,$DF688,$L$7)," "," "),CHAR(9)," "),CHAR(10)," "),CHAR(13)," "))),"")))</f>
        <v/>
      </c>
      <c r="DP688">
        <f>IF($DM688=0,"",IF($L$8=0,"",IFERROR(IF(ISNUMBER(INDEX(PASTE_ALL,$DF688,$L$8)),INDEX(PASTE_ALL,$DF688,$L$8),TRIM(SUBSTITUTE(SUBSTITUTE(SUBSTITUTE(SUBSTITUTE(INDEX(PASTE_ALL,$DF688,$L$8)," "," "),CHAR(9)," "),CHAR(10)," "),CHAR(13)," "))),"")))</f>
        <v/>
      </c>
      <c r="DQ688">
        <f>IF($DM688=0,"",IF($L$9=0,"",IFERROR(IF(ISNUMBER(INDEX(PASTE_ALL,$DF688,$L$9)),INDEX(PASTE_ALL,$DF688,$L$9),TRIM(SUBSTITUTE(SUBSTITUTE(SUBSTITUTE(SUBSTITUTE(INDEX(PASTE_ALL,$DF688,$L$9)," "," "),CHAR(9)," "),CHAR(10)," "),CHAR(13)," "))),"")))</f>
        <v/>
      </c>
      <c r="DR688">
        <f>IF($DM688=0,"",IF($L$10=0,"",IFERROR(IF(ISNUMBER(INDEX(PASTE_ALL,$DF688,$L$10)),INDEX(PASTE_ALL,$DF688,$L$10),TRIM(SUBSTITUTE(SUBSTITUTE(SUBSTITUTE(SUBSTITUTE(INDEX(PASTE_ALL,$DF688,$L$10)," "," "),CHAR(9)," "),CHAR(10)," "),CHAR(13)," "))),"")))</f>
        <v/>
      </c>
      <c r="DS688">
        <f>IF($DM688=0,"",IF($L$11=0,"",IFERROR(IF(ISNUMBER(INDEX(PASTE_ALL,$DF688,$L$11)),INDEX(PASTE_ALL,$DF688,$L$11),TRIM(SUBSTITUTE(SUBSTITUTE(SUBSTITUTE(SUBSTITUTE(INDEX(PASTE_ALL,$DF688,$L$11)," "," "),CHAR(9)," "),CHAR(10)," "),CHAR(13)," "))),"")))</f>
        <v/>
      </c>
      <c r="DT688">
        <f>IF($DM688=0,"",IF($L$12=0,"",IFERROR(IF(ISNUMBER(INDEX(PASTE_ALL,$DF688,$L$12)),INDEX(PASTE_ALL,$DF688,$L$12),TRIM(SUBSTITUTE(SUBSTITUTE(SUBSTITUTE(SUBSTITUTE(INDEX(PASTE_ALL,$DF688,$L$12)," "," "),CHAR(9)," "),CHAR(10)," "),CHAR(13)," "))),"")))</f>
        <v/>
      </c>
      <c r="DU688">
        <f>IF($DM688=0,"",IF($L$13=0,"",IFERROR(IF(ISNUMBER(INDEX(PASTE_ALL,$DF688,$L$13)),INDEX(PASTE_ALL,$DF688,$L$13),TRIM(SUBSTITUTE(SUBSTITUTE(SUBSTITUTE(SUBSTITUTE(INDEX(PASTE_ALL,$DF688,$L$13)," "," "),CHAR(9)," "),CHAR(10)," "),CHAR(13)," "))),"")))</f>
        <v/>
      </c>
      <c r="DV688">
        <f>IF($DM688=0,"",IF($L$14=0,"",IFERROR(IF(ISNUMBER(INDEX(PASTE_ALL,$DF688,$L$14)),INDEX(PASTE_ALL,$DF688,$L$14),TRIM(SUBSTITUTE(SUBSTITUTE(SUBSTITUTE(SUBSTITUTE(INDEX(PASTE_ALL,$DF688,$L$14)," "," "),CHAR(9)," "),CHAR(10)," "),CHAR(13)," "))),"")))</f>
        <v/>
      </c>
      <c r="DW688">
        <f>IF($DM688=0,"",IF($L$15=0,"",IFERROR(IF(ISNUMBER(INDEX(PASTE_ALL,$DF688,$L$15)),INDEX(PASTE_ALL,$DF688,$L$15),IF(SUMPRODUCT(--ISNUMBER(FIND({"A","B","C","D","E","F","G","H","I","J","K","L","M","N","O","P","Q","R","S","T","U","V","W","X","Y","Z","0","1","2","3","4","5","6","7","8","9"},UPPER(TRIM(SUBSTITUTE(SUBSTITUTE(SUBSTITUTE(SUBSTITUTE(INDEX(PASTE_ALL,$DF688,$L$15)," "," "),CHAR(9)," "),CHAR(10)," "),CHAR(13)," "))))))&gt;0,TRIM(SUBSTITUTE(SUBSTITUTE(SUBSTITUTE(SUBSTITUTE(INDEX(PASTE_ALL,$DF688,$L$15)," "," "),CHAR(9)," "),CHAR(10)," "),CHAR(13)," ")),"")),"")))</f>
        <v/>
      </c>
      <c r="DX688">
        <f>IF($DM688=0,"",IF($L$16=0,"",IFERROR(IF(ISNUMBER(INDEX(PASTE_ALL,$DF688,$L$16)),INDEX(PASTE_ALL,$DF688,$L$16),SUBSTITUTE(SUBSTITUTE(TRIM(SUBSTITUTE(SUBSTITUTE(SUBSTITUTE(SUBSTITUTE(INDEX(PASTE_ALL,$DF688,$L$16)," "," "),CHAR(9)," "),CHAR(10)," "),CHAR(13)," ")),",",""),"%","")),"")))</f>
        <v/>
      </c>
      <c r="DY688">
        <f>IF($DM688=0,"",IFERROR(IF(ISNUMBER($DX688),$DX688,IF($DX688="","",IF(TRIM($DX688)="",0,IF(AND(AND(SUBSTITUTE(SUBSTITUTE(SUBSTITUTE(SUBSTITUTE(SUBSTITUTE(SUBSTITUTE(SUBSTITUTE(SUBSTITUTE(SUBSTITUTE(SUBSTITUTE(SUBSTITUTE(SUBSTITUTE(SUBSTITUTE(SUBSTITUTE(UPPER(TRIM($DX688)),"0",""),"1",""),"2",""),"3",""),"4",""),"5",""),"6",""),"7",""),"8",""),"9",""),".",""),"+",""),"-",""),"E","")="",LEN(SUBSTITUTE(SUBSTITUTE(MID(UPPER(TRIM($DX688)),1+OR(LEFT(UPPER(TRIM($DX688)),1)="+",LEFT(UPPER(TRIM($DX688)),1)="-"),999),"E+","E"),"E-","E"))=LEN(SUBSTITUTE(SUBSTITUTE(SUBSTITUTE(SUBSTITUTE(MID(UPPER(TRIM($DX688)),1+OR(LEFT(UPPER(TRIM($DX688)),1)="+",LEFT(UPPER(TRIM($DX688)),1)="-"),999),"E+","E"),"E-","E"),"+",""),"-","")),LEN(UPPER(TRIM($DX688)))-LEN(SUBSTITUTE(UPPER(TRIM($DX688)),"E",""))&lt;2,LEN(UPPER(TRIM($DX688)))-LEN(SUBSTITUTE(UPPER(TRIM($DX688)),".",""))&lt;2,IFERROR(FIND(".",UPPER(TRIM($DX688))),0)&lt;IFERROR(FIND("E",UPPER(TRIM($DX688))),999)),ISNUMBER(VALUE(TRIM($DX688)))),VALUE(TRIM($DX688)),"")))),""))</f>
        <v/>
      </c>
      <c r="DZ688">
        <f>IF($DM688=0,"",IF($L$17=0,"",IFERROR(IF(ISNUMBER(INDEX(PASTE_ALL,$DF688,$L$17)),INDEX(PASTE_ALL,$DF688,$L$17),SUBSTITUTE(SUBSTITUTE(TRIM(SUBSTITUTE(SUBSTITUTE(SUBSTITUTE(SUBSTITUTE(INDEX(PASTE_ALL,$DF688,$L$17)," "," "),CHAR(9)," "),CHAR(10)," "),CHAR(13)," ")),",",""),"%","")),"")))</f>
        <v/>
      </c>
      <c r="EA688">
        <f>IF($DM688=0,"",IFERROR(IF(ISNUMBER($DZ688),$DZ688,IF($DZ688="","",IF(TRIM($DZ688)="",0,IF(AND(AND(SUBSTITUTE(SUBSTITUTE(SUBSTITUTE(SUBSTITUTE(SUBSTITUTE(SUBSTITUTE(SUBSTITUTE(SUBSTITUTE(SUBSTITUTE(SUBSTITUTE(SUBSTITUTE(SUBSTITUTE(SUBSTITUTE(SUBSTITUTE(UPPER(TRIM($DZ688)),"0",""),"1",""),"2",""),"3",""),"4",""),"5",""),"6",""),"7",""),"8",""),"9",""),".",""),"+",""),"-",""),"E","")="",LEN(SUBSTITUTE(SUBSTITUTE(MID(UPPER(TRIM($DZ688)),1+OR(LEFT(UPPER(TRIM($DZ688)),1)="+",LEFT(UPPER(TRIM($DZ688)),1)="-"),999),"E+","E"),"E-","E"))=LEN(SUBSTITUTE(SUBSTITUTE(SUBSTITUTE(SUBSTITUTE(MID(UPPER(TRIM($DZ688)),1+OR(LEFT(UPPER(TRIM($DZ688)),1)="+",LEFT(UPPER(TRIM($DZ688)),1)="-"),999),"E+","E"),"E-","E"),"+",""),"-","")),LEN(UPPER(TRIM($DZ688)))-LEN(SUBSTITUTE(UPPER(TRIM($DZ688)),"E",""))&lt;2,LEN(UPPER(TRIM($DZ688)))-LEN(SUBSTITUTE(UPPER(TRIM($DZ688)),".",""))&lt;2,IFERROR(FIND(".",UPPER(TRIM($DZ688))),0)&lt;IFERROR(FIND("E",UPPER(TRIM($DZ688))),999)),ISNUMBER(VALUE(TRIM($DZ688)))),VALUE(TRIM($DZ688)),"")))),""))</f>
        <v/>
      </c>
      <c r="EB688">
        <f>IF($DM688=0,"",IF($L$18=0,"",IFERROR(IF(UPPER(TRIM(SUBSTITUTE(SUBSTITUTE(SUBSTITUTE(SUBSTITUTE(INDEX(PASTE_ALL,$DF688,$L$18)," "," "),CHAR(9)," "),CHAR(10)," "),CHAR(13)," ")))="READY","Ready",IF(UPPER(TRIM(SUBSTITUTE(SUBSTITUTE(SUBSTITUTE(SUBSTITUTE(INDEX(PASTE_ALL,$DF688,$L$18)," "," "),CHAR(9)," "),CHAR(10)," "),CHAR(13)," ")))="PM","PM",IF(OR(UPPER(TRIM(SUBSTITUTE(SUBSTITUTE(SUBSTITUTE(SUBSTITUTE(INDEX(PASTE_ALL,$DF688,$L$18)," "," "),CHAR(9)," "),CHAR(10)," "),CHAR(13)," ")))="OT",UPPER(TRIM(SUBSTITUTE(SUBSTITUTE(SUBSTITUTE(SUBSTITUTE(INDEX(PASTE_ALL,$DF688,$L$18)," "," "),CHAR(9)," "),CHAR(10)," "),CHAR(13)," ")))="OVERTIME",UPPER(TRIM(SUBSTITUTE(SUBSTITUTE(SUBSTITUTE(SUBSTITUTE(INDEX(PASTE_ALL,$DF688,$L$18)," "," "),CHAR(9)," "),CHAR(10)," "),CHAR(13)," ")))="TRIAL"),"OT",TRIM(SUBSTITUTE(SUBSTITUTE(SUBSTITUTE(SUBSTITUTE(INDEX(PASTE_ALL,$DF688,$L$18)," "," "),CHAR(9)," "),CHAR(10)," "),CHAR(13)," "))))),"")))</f>
        <v/>
      </c>
      <c r="EC688">
        <f>IF($DM688=0,"",IF($L$19=0,"",IFERROR(IF(ISNUMBER(INDEX(PASTE_ALL,$DF688,$L$19)),INDEX(PASTE_ALL,$DF688,$L$19),TRIM(SUBSTITUTE(SUBSTITUTE(SUBSTITUTE(SUBSTITUTE(INDEX(PASTE_ALL,$DF688,$L$19)," "," "),CHAR(9)," "),CHAR(10)," "),CHAR(13)," "))),"")))</f>
        <v/>
      </c>
      <c r="ED688">
        <f>IF($DM688=0,"",MATCH(1,INDEX(EXACT($DH$5:DH688,$DH688)*$DM$5:DM688,0),0))</f>
        <v/>
      </c>
      <c r="EE688">
        <f>IF($DM688=0,0,IF($ED688=$DE688,1,0))</f>
        <v/>
      </c>
      <c r="EF688">
        <f>EF687+$EE688</f>
        <v/>
      </c>
      <c r="EG688">
        <f>IF($DM688=0,"",INDEX($EF$5:$EF$1003,$ED688))</f>
        <v/>
      </c>
      <c r="EH688">
        <f>IF($DM688=0,"",IF($DO688&lt;&gt;"","",IFERROR(LOOKUP(2,1/(($EG$4:EG687=$EG688)*($DO$4:DO687&lt;&gt;"")),$DO$4:DO687),"")))</f>
        <v/>
      </c>
      <c r="EI688">
        <f>IF($DM688=0,"",IF($DO688&lt;&gt;"",$DO688,$EH688))</f>
        <v/>
      </c>
      <c r="EJ688">
        <f>IF($DM688=0,"",IF($EI688="",0,IF(OR(ISNUMBER($EI688),AND(AND(SUBSTITUTE(SUBSTITUTE(SUBSTITUTE(SUBSTITUTE(SUBSTITUTE(SUBSTITUTE(SUBSTITUTE(SUBSTITUTE(SUBSTITUTE(SUBSTITUTE(SUBSTITUTE(SUBSTITUTE(SUBSTITUTE(SUBSTITUTE(UPPER($EI688),"0",""),"1",""),"2",""),"3",""),"4",""),"5",""),"6",""),"7",""),"8",""),"9",""),".",""),"+",""),"-",""),"E","")="",LEN(SUBSTITUTE(SUBSTITUTE(MID(UPPER($EI688),1+OR(LEFT(UPPER($EI688),1)="+",LEFT(UPPER($EI688),1)="-"),999),"E+","E"),"E-","E"))=LEN(SUBSTITUTE(SUBSTITUTE(SUBSTITUTE(SUBSTITUTE(MID(UPPER($EI688),1+OR(LEFT(UPPER($EI688),1)="+",LEFT(UPPER($EI688),1)="-"),999),"E+","E"),"E-","E"),"+",""),"-","")),LEN(UPPER($EI688))-LEN(SUBSTITUTE(UPPER($EI688),"E",""))&lt;2,LEN(UPPER($EI688))-LEN(SUBSTITUTE(UPPER($EI688),".",""))&lt;2,IFERROR(FIND(".",UPPER($EI688)),0)&lt;IFERROR(FIND("E",UPPER($EI688)),999)),ISNUMBER(VALUE($EI688)))),1,2)))</f>
        <v/>
      </c>
      <c r="EK688">
        <f>IF($DM688=0,"",IF($EJ688=1,IF(ISNUMBER($EI688),$EI688,VALUE($EI688)),IF($EJ688=2,$DE688,0)))</f>
        <v/>
      </c>
      <c r="EL688">
        <f>IF($DM688=0,"",COUNTIF($EG$5:$EG$1003,"&lt;"&amp;$EG688)+SUMPRODUCT(($EG$5:$EG$1003=$EG688)*(($EJ$5:$EJ$1003&lt;$EJ688)+($EJ$5:$EJ$1003=$EJ688)*(($EK$5:$EK$1003&lt;$EK688)+($EK$5:$EK$1003=$EK688)*($DE$5:$DE$1003&lt;$DE688))))+1)</f>
        <v/>
      </c>
      <c r="EM688">
        <f>IF($DM688=0,"",$EL688+$EG688-1)</f>
        <v/>
      </c>
      <c r="EN688">
        <f>IF($DM688=0,0,IFERROR(MATCH(1,INDEX(--(TRIM(SUBSTITUTE(SUBSTITUTE(SUBSTITUTE(SUBSTITUTE(LINES_NAME&amp;""," "," "),CHAR(9)," "),CHAR(10)," "),CHAR(13)," "))=$DH688),0),0),0))</f>
        <v/>
      </c>
      <c r="EO688">
        <f>IF($EN688=0,0,IF(OR(UPPER(TRIM(INDEX(LINES_SCHEDULED,$EN688)&amp;""))="YES",UPPER(TRIM(INDEX(LINES_SCHEDULED,$EN688)&amp;""))="Y",UPPER(TRIM(INDEX(LINES_SCHEDULED,$EN688)&amp;""))="X"),1,0))</f>
        <v/>
      </c>
      <c r="EP688">
        <f>IF($DM688=0,"",IF(COUNTIFS($EG$5:$EG$1003,$EG688,$EB$5:$EB$1003,"Ready")&gt;0,"READY",IF(COUNTIFS($EG$5:$EG$1003,$EG688,$EB$5:$EB$1003,"PM")&gt;0,"PM",IF(COUNTIFS($EG$5:$EG$1003,$EG688,$EB$5:$EB$1003,"OT")&gt;0,"OT",""))))</f>
        <v/>
      </c>
      <c r="EQ688">
        <f>IF($EN688=0,"",UPPER(TRIM(INDEX(LINES_STATUS,$EN688)&amp;"")))</f>
        <v/>
      </c>
      <c r="ER688">
        <f>IF($DM688=0,"",IF(OR($EQ688="READY",$EQ688="PM",$EQ688="OT"),$EQ688,$EP688))</f>
        <v/>
      </c>
      <c r="ES688">
        <f>IF($DM688=0,"",IF(AND($DV688&lt;&gt;"",UPPER($DV688)&lt;&gt;"N"),"allergen",IF(ISNUMBER(SEARCH("oil",$DQ688)),"oil",IF(OR(EXACT($DS688,"A662"),EXACT($DS688,"A624")),"bulk",""))))</f>
        <v/>
      </c>
      <c r="ET688">
        <f>IF($DM688=0,"",IF(OR($EA688="",$EA688=0),"",$EA688/100))</f>
        <v/>
      </c>
      <c r="EU688">
        <f>IF(OR($ET688="",$DY688=""),"",INT($DY688*(1-$ET688)+0.5))</f>
        <v/>
      </c>
      <c r="EW688" t="n">
        <v>684</v>
      </c>
      <c r="EX688">
        <f>IFERROR(MATCH($EW688,$EM$5:$EM$1003,0),0)</f>
        <v/>
      </c>
      <c r="EY688">
        <f>IF($EW688&gt;$B$12,"",IF($EX688&gt;0,"row","spacer"))</f>
        <v/>
      </c>
      <c r="EZ688">
        <f>IF(AND($EY688="row",$EY687&lt;&gt;"row"),1,0)</f>
        <v/>
      </c>
      <c r="FA688">
        <f>IF(AND($EY688="row",$EY689&lt;&gt;"row"),1,0)</f>
        <v/>
      </c>
      <c r="FB688">
        <f>IF($EZ688=1,IFERROR(IF(ISNUMBER(INDEX(PASTE_ALL,INDEX($DF$5:$DF$1003,$EX688),$B$37)),INDEX(PASTE_ALL,INDEX($DF$5:$DF$1003,$EX688),$B$37),INDEX($DH$5:$DH$1003,$EX688)),INDEX($DH$5:$DH$1003,$EX688)),"")</f>
        <v/>
      </c>
      <c r="FC688">
        <f>IF($EY688="row",INDEX($ER$5:$ER$1003,$EX688),"")</f>
        <v/>
      </c>
      <c r="FD688">
        <f>IF($EY688="row",INDEX($DN$5:$DN$1003,$EX688),"")</f>
        <v/>
      </c>
      <c r="FE688">
        <f>IF($EY688="row",INDEX($DO$5:$DO$1003,$EX688),"")</f>
        <v/>
      </c>
      <c r="FF688">
        <f>IF($EY688="row",INDEX($DP$5:$DP$1003,$EX688),"")</f>
        <v/>
      </c>
      <c r="FG688">
        <f>IF($EY688="row",INDEX($DQ$5:$DQ$1003,$EX688),"")</f>
        <v/>
      </c>
      <c r="FH688">
        <f>IF($EY688="row",INDEX($DR$5:$DR$1003,$EX688),"")</f>
        <v/>
      </c>
      <c r="FI688">
        <f>IF($EY688="row",INDEX($DS$5:$DS$1003,$EX688),"")</f>
        <v/>
      </c>
      <c r="FJ688">
        <f>IF($EY688="row",INDEX($DT$5:$DT$1003,$EX688),"")</f>
        <v/>
      </c>
      <c r="FK688">
        <f>IF($EY688="row",INDEX($DU$5:$DU$1003,$EX688),"")</f>
        <v/>
      </c>
      <c r="FL688">
        <f>IF($EY688="row",INDEX($DV$5:$DV$1003,$EX688),"")</f>
        <v/>
      </c>
      <c r="FM688">
        <f>IF($EY688="row",INDEX($DW$5:$DW$1003,$EX688),"")</f>
        <v/>
      </c>
      <c r="FN688">
        <f>IF($EY688="row",INDEX($DY$5:$DY$1003,$EX688),"")</f>
        <v/>
      </c>
      <c r="FO688">
        <f>IF($EY688="row",INDEX($EA$5:$EA$1003,$EX688),"")</f>
        <v/>
      </c>
      <c r="FP688">
        <f>IF($EY688="row",INDEX($EC$5:$EC$1003,$EX688),"")</f>
        <v/>
      </c>
      <c r="FQ688">
        <f>IF($EY688="row",INDEX($ET$5:$ET$1003,$EX688),"")</f>
        <v/>
      </c>
      <c r="FR688">
        <f>IF($EY688="row",INDEX($EU$5:$EU$1003,$EX688),"")</f>
        <v/>
      </c>
      <c r="FS688">
        <f>IF(AND($EY688="row",$EY687="row"),IF(OR(INDEX($DT$5:$DT$1003,$EX687)="",INDEX($DT$5:$DT$1003,$EX688)=""),"",IF(NOT(EXACT(INDEX($DT$5:$DT$1003,$EX687),INDEX($DT$5:$DT$1003,$EX688))),"S4",IF(NOT(EXACT(INDEX($DS$5:$DS$1003,$EX687),INDEX($DS$5:$DS$1003,$EX688))),"S3",IF(NOT(EXACT(INDEX($DR$5:$DR$1003,$EX687),INDEX($DR$5:$DR$1003,$EX688))),"S1 Count Change","S1")))),"")</f>
        <v/>
      </c>
      <c r="FT688">
        <f>IF($EY688="row",INDEX($ES$5:$ES$1003,$EX688),"")</f>
        <v/>
      </c>
      <c r="FU688">
        <f>IF($EY688="row",INDEX($EO$5:$EO$1003,$EX688),0)</f>
        <v/>
      </c>
      <c r="FV688">
        <f>IF($FS688="S1 Count Change",1,0)</f>
        <v/>
      </c>
    </row>
    <row r="689">
      <c r="DA689" t="n">
        <v>685</v>
      </c>
      <c r="DB689">
        <f>IF($B$37=0,"",IFERROR(TRIM(SUBSTITUTE(SUBSTITUTE(SUBSTITUTE(SUBSTITUTE(INDEX(PASTE_ALL,685,$B$37)," "," "),CHAR(9)," "),CHAR(10)," "),CHAR(13)," ")),""))</f>
        <v/>
      </c>
      <c r="DC689">
        <f>IF(AND(685&gt;HEADER_ROW,UPPER(DB689)="LEGEND"),1,0)</f>
        <v/>
      </c>
      <c r="DE689" t="n">
        <v>685</v>
      </c>
      <c r="DF689">
        <f>HEADER_ROW+$DE689</f>
        <v/>
      </c>
      <c r="DG689">
        <f>IF(AND($DF689&lt;=1000,$DF689&lt;$B$8),1,0)</f>
        <v/>
      </c>
      <c r="DH689">
        <f>IF($DG689=1,IFERROR(INDEX($DB$5:$DB$1004,$DF689),""),"")</f>
        <v/>
      </c>
      <c r="DI689">
        <f>IF(AND($DG689=1,$DH689&lt;&gt;""),IFERROR(SUBSTITUTE(SUBSTITUTE(TRIM(SUBSTITUTE(SUBSTITUTE(SUBSTITUTE(SUBSTITUTE(IFERROR(INDEX(PASTE_ALL,$DF689,1)&amp;"","")&amp;"␟"&amp;IFERROR(INDEX(PASTE_ALL,$DF689,2)&amp;"","")&amp;"␟"&amp;IFERROR(INDEX(PASTE_ALL,$DF689,3)&amp;"","")&amp;"␟"&amp;IFERROR(INDEX(PASTE_ALL,$DF689,4)&amp;"","")&amp;"␟"&amp;IFERROR(INDEX(PASTE_ALL,$DF689,5)&amp;"","")&amp;"␟"&amp;IFERROR(INDEX(PASTE_ALL,$DF689,6)&amp;"","")&amp;"␟"&amp;IFERROR(INDEX(PASTE_ALL,$DF689,7)&amp;"","")&amp;"␟"&amp;IFERROR(INDEX(PASTE_ALL,$DF689,8)&amp;"","")&amp;"␟"&amp;IFERROR(INDEX(PASTE_ALL,$DF689,9)&amp;"","")&amp;"␟"&amp;IFERROR(INDEX(PASTE_ALL,$DF689,10)&amp;"","")&amp;"␟"&amp;IFERROR(INDEX(PASTE_ALL,$DF689,11)&amp;"","")&amp;"␟"&amp;IFERROR(INDEX(PASTE_ALL,$DF689,12)&amp;"","")&amp;"␟"&amp;IFERROR(INDEX(PASTE_ALL,$DF689,13)&amp;"","")&amp;"␟"&amp;IFERROR(INDEX(PASTE_ALL,$DF689,14)&amp;"","")&amp;"␟"&amp;IFERROR(INDEX(PASTE_ALL,$DF689,15)&amp;"","")&amp;"␟"&amp;IFERROR(INDEX(PASTE_ALL,$DF689,16)&amp;"","")&amp;"␟"&amp;IFERROR(INDEX(PASTE_ALL,$DF689,17)&amp;"","")&amp;"␟"&amp;IFERROR(INDEX(PASTE_ALL,$DF689,18)&amp;"","")&amp;"␟"&amp;IFERROR(INDEX(PASTE_ALL,$DF689,19)&amp;"","")&amp;"␟"&amp;IFERROR(INDEX(PASTE_ALL,$DF689,20)&amp;"","")&amp;"␟"&amp;IFERROR(INDEX(PASTE_ALL,$DF689,21)&amp;"","")&amp;"␟"&amp;IFERROR(INDEX(PASTE_ALL,$DF689,22)&amp;"","")&amp;"␟"&amp;IFERROR(INDEX(PASTE_ALL,$DF689,23)&amp;"","")&amp;"␟"&amp;IFERROR(INDEX(PASTE_ALL,$DF689,24)&amp;"","")&amp;"␟"&amp;IFERROR(INDEX(PASTE_ALL,$DF689,25)&amp;"","")&amp;"␟"&amp;IFERROR(INDEX(PASTE_ALL,$DF689,26)&amp;"","")&amp;"␟"&amp;IFERROR(INDEX(PASTE_ALL,$DF689,27)&amp;"","")&amp;"␟"&amp;IFERROR(INDEX(PASTE_ALL,$DF689,28)&amp;"","")&amp;"␟"&amp;IFERROR(INDEX(PASTE_ALL,$DF689,29)&amp;"","")&amp;"␟"&amp;IFERROR(INDEX(PASTE_ALL,$DF689,30)&amp;"","")&amp;"␟"&amp;IFERROR(INDEX(PASTE_ALL,$DF689,31)&amp;"","")&amp;"␟"&amp;IFERROR(INDEX(PASTE_ALL,$DF689,32)&amp;"","")&amp;"␟"&amp;IFERROR(INDEX(PASTE_ALL,$DF689,33)&amp;"","")&amp;"␟"&amp;IFERROR(INDEX(PASTE_ALL,$DF689,34)&amp;"","")&amp;"␟"&amp;IFERROR(INDEX(PASTE_ALL,$DF689,35)&amp;"","")&amp;"␟"&amp;IFERROR(INDEX(PASTE_ALL,$DF689,36)&amp;"","")&amp;"␟"&amp;IFERROR(INDEX(PASTE_ALL,$DF689,37)&amp;"","")&amp;"␟"&amp;IFERROR(INDEX(PASTE_ALL,$DF689,38)&amp;"","")&amp;"␟"&amp;IFERROR(INDEX(PASTE_ALL,$DF689,39)&amp;"","")&amp;"␟"&amp;IFERROR(INDEX(PASTE_ALL,$DF689,40)&amp;"","")&amp;"␟"&amp;IFERROR(INDEX(PASTE_ALL,$DF689,41)&amp;"","")&amp;"␟"&amp;IFERROR(INDEX(PASTE_ALL,$DF689,42)&amp;"","")&amp;"␟"&amp;IFERROR(INDEX(PASTE_ALL,$DF689,43)&amp;"","")&amp;"␟"&amp;IFERROR(INDEX(PASTE_ALL,$DF689,44)&amp;"","")&amp;"␟"&amp;IFERROR(INDEX(PASTE_ALL,$DF689,45)&amp;"","")&amp;"␟"&amp;IFERROR(INDEX(PASTE_ALL,$DF689,46)&amp;"","")&amp;"␟"&amp;IFERROR(INDEX(PASTE_ALL,$DF689,47)&amp;"","")&amp;"␟"&amp;IFERROR(INDEX(PASTE_ALL,$DF689,48)&amp;"","")&amp;"␟"&amp;IFERROR(INDEX(PASTE_ALL,$DF689,49)&amp;"","")&amp;"␟"&amp;IFERROR(INDEX(PASTE_ALL,$DF689,50)&amp;"","")&amp;"␟"&amp;IFERROR(INDEX(PASTE_ALL,$DF689,51)&amp;"","")&amp;"␟"&amp;IFERROR(INDEX(PASTE_ALL,$DF689,52)&amp;"","")&amp;"␟"&amp;IFERROR(INDEX(PASTE_ALL,$DF689,53)&amp;"","")&amp;"␟"&amp;IFERROR(INDEX(PASTE_ALL,$DF689,54)&amp;"","")&amp;"␟"&amp;IFERROR(INDEX(PASTE_ALL,$DF689,55)&amp;"","")&amp;"␟"&amp;IFERROR(INDEX(PASTE_ALL,$DF689,56)&amp;"","")&amp;"␟"&amp;IFERROR(INDEX(PASTE_ALL,$DF689,57)&amp;"","")&amp;"␟"&amp;IFERROR(INDEX(PASTE_ALL,$DF689,58)&amp;"","")&amp;"␟"&amp;IFERROR(INDEX(PASTE_ALL,$DF689,59)&amp;"","")&amp;"␟"&amp;IFERROR(INDEX(PASTE_ALL,$DF689,60)&amp;"","")," "," "),CHAR(9)," "),CHAR(10)," "),CHAR(13)," "))," ␟","␟"),"␟ ","␟"),"#"&amp;$DE689),"")</f>
        <v/>
      </c>
      <c r="DJ689">
        <f>IF($DI689="",0,IF(SUMPRODUCT(--EXACT($DI$4:DI688,$DI689))&gt;0,1,0))</f>
        <v/>
      </c>
      <c r="DK689">
        <f>IF(AND($DI689&lt;&gt;"",$DJ689=0),1,0)</f>
        <v/>
      </c>
      <c r="DL689">
        <f>DL688+$DK689</f>
        <v/>
      </c>
      <c r="DM689">
        <f>IF(AND($DK689=1,$DL689&lt;=600),1,0)</f>
        <v/>
      </c>
      <c r="DN689">
        <f>IF($DM689=0,"",IF($L$6=0,"",IFERROR(IF(ISNUMBER(INDEX(PASTE_ALL,$DF689,$L$6)),INDEX(PASTE_ALL,$DF689,$L$6),TRIM(SUBSTITUTE(SUBSTITUTE(SUBSTITUTE(SUBSTITUTE(INDEX(PASTE_ALL,$DF689,$L$6)," "," "),CHAR(9)," "),CHAR(10)," "),CHAR(13)," "))),"")))</f>
        <v/>
      </c>
      <c r="DO689">
        <f>IF($DM689=0,"",IF($L$7=0,"",IFERROR(IF(ISNUMBER(INDEX(PASTE_ALL,$DF689,$L$7)),INDEX(PASTE_ALL,$DF689,$L$7),TRIM(SUBSTITUTE(SUBSTITUTE(SUBSTITUTE(SUBSTITUTE(INDEX(PASTE_ALL,$DF689,$L$7)," "," "),CHAR(9)," "),CHAR(10)," "),CHAR(13)," "))),"")))</f>
        <v/>
      </c>
      <c r="DP689">
        <f>IF($DM689=0,"",IF($L$8=0,"",IFERROR(IF(ISNUMBER(INDEX(PASTE_ALL,$DF689,$L$8)),INDEX(PASTE_ALL,$DF689,$L$8),TRIM(SUBSTITUTE(SUBSTITUTE(SUBSTITUTE(SUBSTITUTE(INDEX(PASTE_ALL,$DF689,$L$8)," "," "),CHAR(9)," "),CHAR(10)," "),CHAR(13)," "))),"")))</f>
        <v/>
      </c>
      <c r="DQ689">
        <f>IF($DM689=0,"",IF($L$9=0,"",IFERROR(IF(ISNUMBER(INDEX(PASTE_ALL,$DF689,$L$9)),INDEX(PASTE_ALL,$DF689,$L$9),TRIM(SUBSTITUTE(SUBSTITUTE(SUBSTITUTE(SUBSTITUTE(INDEX(PASTE_ALL,$DF689,$L$9)," "," "),CHAR(9)," "),CHAR(10)," "),CHAR(13)," "))),"")))</f>
        <v/>
      </c>
      <c r="DR689">
        <f>IF($DM689=0,"",IF($L$10=0,"",IFERROR(IF(ISNUMBER(INDEX(PASTE_ALL,$DF689,$L$10)),INDEX(PASTE_ALL,$DF689,$L$10),TRIM(SUBSTITUTE(SUBSTITUTE(SUBSTITUTE(SUBSTITUTE(INDEX(PASTE_ALL,$DF689,$L$10)," "," "),CHAR(9)," "),CHAR(10)," "),CHAR(13)," "))),"")))</f>
        <v/>
      </c>
      <c r="DS689">
        <f>IF($DM689=0,"",IF($L$11=0,"",IFERROR(IF(ISNUMBER(INDEX(PASTE_ALL,$DF689,$L$11)),INDEX(PASTE_ALL,$DF689,$L$11),TRIM(SUBSTITUTE(SUBSTITUTE(SUBSTITUTE(SUBSTITUTE(INDEX(PASTE_ALL,$DF689,$L$11)," "," "),CHAR(9)," "),CHAR(10)," "),CHAR(13)," "))),"")))</f>
        <v/>
      </c>
      <c r="DT689">
        <f>IF($DM689=0,"",IF($L$12=0,"",IFERROR(IF(ISNUMBER(INDEX(PASTE_ALL,$DF689,$L$12)),INDEX(PASTE_ALL,$DF689,$L$12),TRIM(SUBSTITUTE(SUBSTITUTE(SUBSTITUTE(SUBSTITUTE(INDEX(PASTE_ALL,$DF689,$L$12)," "," "),CHAR(9)," "),CHAR(10)," "),CHAR(13)," "))),"")))</f>
        <v/>
      </c>
      <c r="DU689">
        <f>IF($DM689=0,"",IF($L$13=0,"",IFERROR(IF(ISNUMBER(INDEX(PASTE_ALL,$DF689,$L$13)),INDEX(PASTE_ALL,$DF689,$L$13),TRIM(SUBSTITUTE(SUBSTITUTE(SUBSTITUTE(SUBSTITUTE(INDEX(PASTE_ALL,$DF689,$L$13)," "," "),CHAR(9)," "),CHAR(10)," "),CHAR(13)," "))),"")))</f>
        <v/>
      </c>
      <c r="DV689">
        <f>IF($DM689=0,"",IF($L$14=0,"",IFERROR(IF(ISNUMBER(INDEX(PASTE_ALL,$DF689,$L$14)),INDEX(PASTE_ALL,$DF689,$L$14),TRIM(SUBSTITUTE(SUBSTITUTE(SUBSTITUTE(SUBSTITUTE(INDEX(PASTE_ALL,$DF689,$L$14)," "," "),CHAR(9)," "),CHAR(10)," "),CHAR(13)," "))),"")))</f>
        <v/>
      </c>
      <c r="DW689">
        <f>IF($DM689=0,"",IF($L$15=0,"",IFERROR(IF(ISNUMBER(INDEX(PASTE_ALL,$DF689,$L$15)),INDEX(PASTE_ALL,$DF689,$L$15),IF(SUMPRODUCT(--ISNUMBER(FIND({"A","B","C","D","E","F","G","H","I","J","K","L","M","N","O","P","Q","R","S","T","U","V","W","X","Y","Z","0","1","2","3","4","5","6","7","8","9"},UPPER(TRIM(SUBSTITUTE(SUBSTITUTE(SUBSTITUTE(SUBSTITUTE(INDEX(PASTE_ALL,$DF689,$L$15)," "," "),CHAR(9)," "),CHAR(10)," "),CHAR(13)," "))))))&gt;0,TRIM(SUBSTITUTE(SUBSTITUTE(SUBSTITUTE(SUBSTITUTE(INDEX(PASTE_ALL,$DF689,$L$15)," "," "),CHAR(9)," "),CHAR(10)," "),CHAR(13)," ")),"")),"")))</f>
        <v/>
      </c>
      <c r="DX689">
        <f>IF($DM689=0,"",IF($L$16=0,"",IFERROR(IF(ISNUMBER(INDEX(PASTE_ALL,$DF689,$L$16)),INDEX(PASTE_ALL,$DF689,$L$16),SUBSTITUTE(SUBSTITUTE(TRIM(SUBSTITUTE(SUBSTITUTE(SUBSTITUTE(SUBSTITUTE(INDEX(PASTE_ALL,$DF689,$L$16)," "," "),CHAR(9)," "),CHAR(10)," "),CHAR(13)," ")),",",""),"%","")),"")))</f>
        <v/>
      </c>
      <c r="DY689">
        <f>IF($DM689=0,"",IFERROR(IF(ISNUMBER($DX689),$DX689,IF($DX689="","",IF(TRIM($DX689)="",0,IF(AND(AND(SUBSTITUTE(SUBSTITUTE(SUBSTITUTE(SUBSTITUTE(SUBSTITUTE(SUBSTITUTE(SUBSTITUTE(SUBSTITUTE(SUBSTITUTE(SUBSTITUTE(SUBSTITUTE(SUBSTITUTE(SUBSTITUTE(SUBSTITUTE(UPPER(TRIM($DX689)),"0",""),"1",""),"2",""),"3",""),"4",""),"5",""),"6",""),"7",""),"8",""),"9",""),".",""),"+",""),"-",""),"E","")="",LEN(SUBSTITUTE(SUBSTITUTE(MID(UPPER(TRIM($DX689)),1+OR(LEFT(UPPER(TRIM($DX689)),1)="+",LEFT(UPPER(TRIM($DX689)),1)="-"),999),"E+","E"),"E-","E"))=LEN(SUBSTITUTE(SUBSTITUTE(SUBSTITUTE(SUBSTITUTE(MID(UPPER(TRIM($DX689)),1+OR(LEFT(UPPER(TRIM($DX689)),1)="+",LEFT(UPPER(TRIM($DX689)),1)="-"),999),"E+","E"),"E-","E"),"+",""),"-","")),LEN(UPPER(TRIM($DX689)))-LEN(SUBSTITUTE(UPPER(TRIM($DX689)),"E",""))&lt;2,LEN(UPPER(TRIM($DX689)))-LEN(SUBSTITUTE(UPPER(TRIM($DX689)),".",""))&lt;2,IFERROR(FIND(".",UPPER(TRIM($DX689))),0)&lt;IFERROR(FIND("E",UPPER(TRIM($DX689))),999)),ISNUMBER(VALUE(TRIM($DX689)))),VALUE(TRIM($DX689)),"")))),""))</f>
        <v/>
      </c>
      <c r="DZ689">
        <f>IF($DM689=0,"",IF($L$17=0,"",IFERROR(IF(ISNUMBER(INDEX(PASTE_ALL,$DF689,$L$17)),INDEX(PASTE_ALL,$DF689,$L$17),SUBSTITUTE(SUBSTITUTE(TRIM(SUBSTITUTE(SUBSTITUTE(SUBSTITUTE(SUBSTITUTE(INDEX(PASTE_ALL,$DF689,$L$17)," "," "),CHAR(9)," "),CHAR(10)," "),CHAR(13)," ")),",",""),"%","")),"")))</f>
        <v/>
      </c>
      <c r="EA689">
        <f>IF($DM689=0,"",IFERROR(IF(ISNUMBER($DZ689),$DZ689,IF($DZ689="","",IF(TRIM($DZ689)="",0,IF(AND(AND(SUBSTITUTE(SUBSTITUTE(SUBSTITUTE(SUBSTITUTE(SUBSTITUTE(SUBSTITUTE(SUBSTITUTE(SUBSTITUTE(SUBSTITUTE(SUBSTITUTE(SUBSTITUTE(SUBSTITUTE(SUBSTITUTE(SUBSTITUTE(UPPER(TRIM($DZ689)),"0",""),"1",""),"2",""),"3",""),"4",""),"5",""),"6",""),"7",""),"8",""),"9",""),".",""),"+",""),"-",""),"E","")="",LEN(SUBSTITUTE(SUBSTITUTE(MID(UPPER(TRIM($DZ689)),1+OR(LEFT(UPPER(TRIM($DZ689)),1)="+",LEFT(UPPER(TRIM($DZ689)),1)="-"),999),"E+","E"),"E-","E"))=LEN(SUBSTITUTE(SUBSTITUTE(SUBSTITUTE(SUBSTITUTE(MID(UPPER(TRIM($DZ689)),1+OR(LEFT(UPPER(TRIM($DZ689)),1)="+",LEFT(UPPER(TRIM($DZ689)),1)="-"),999),"E+","E"),"E-","E"),"+",""),"-","")),LEN(UPPER(TRIM($DZ689)))-LEN(SUBSTITUTE(UPPER(TRIM($DZ689)),"E",""))&lt;2,LEN(UPPER(TRIM($DZ689)))-LEN(SUBSTITUTE(UPPER(TRIM($DZ689)),".",""))&lt;2,IFERROR(FIND(".",UPPER(TRIM($DZ689))),0)&lt;IFERROR(FIND("E",UPPER(TRIM($DZ689))),999)),ISNUMBER(VALUE(TRIM($DZ689)))),VALUE(TRIM($DZ689)),"")))),""))</f>
        <v/>
      </c>
      <c r="EB689">
        <f>IF($DM689=0,"",IF($L$18=0,"",IFERROR(IF(UPPER(TRIM(SUBSTITUTE(SUBSTITUTE(SUBSTITUTE(SUBSTITUTE(INDEX(PASTE_ALL,$DF689,$L$18)," "," "),CHAR(9)," "),CHAR(10)," "),CHAR(13)," ")))="READY","Ready",IF(UPPER(TRIM(SUBSTITUTE(SUBSTITUTE(SUBSTITUTE(SUBSTITUTE(INDEX(PASTE_ALL,$DF689,$L$18)," "," "),CHAR(9)," "),CHAR(10)," "),CHAR(13)," ")))="PM","PM",IF(OR(UPPER(TRIM(SUBSTITUTE(SUBSTITUTE(SUBSTITUTE(SUBSTITUTE(INDEX(PASTE_ALL,$DF689,$L$18)," "," "),CHAR(9)," "),CHAR(10)," "),CHAR(13)," ")))="OT",UPPER(TRIM(SUBSTITUTE(SUBSTITUTE(SUBSTITUTE(SUBSTITUTE(INDEX(PASTE_ALL,$DF689,$L$18)," "," "),CHAR(9)," "),CHAR(10)," "),CHAR(13)," ")))="OVERTIME",UPPER(TRIM(SUBSTITUTE(SUBSTITUTE(SUBSTITUTE(SUBSTITUTE(INDEX(PASTE_ALL,$DF689,$L$18)," "," "),CHAR(9)," "),CHAR(10)," "),CHAR(13)," ")))="TRIAL"),"OT",TRIM(SUBSTITUTE(SUBSTITUTE(SUBSTITUTE(SUBSTITUTE(INDEX(PASTE_ALL,$DF689,$L$18)," "," "),CHAR(9)," "),CHAR(10)," "),CHAR(13)," "))))),"")))</f>
        <v/>
      </c>
      <c r="EC689">
        <f>IF($DM689=0,"",IF($L$19=0,"",IFERROR(IF(ISNUMBER(INDEX(PASTE_ALL,$DF689,$L$19)),INDEX(PASTE_ALL,$DF689,$L$19),TRIM(SUBSTITUTE(SUBSTITUTE(SUBSTITUTE(SUBSTITUTE(INDEX(PASTE_ALL,$DF689,$L$19)," "," "),CHAR(9)," "),CHAR(10)," "),CHAR(13)," "))),"")))</f>
        <v/>
      </c>
      <c r="ED689">
        <f>IF($DM689=0,"",MATCH(1,INDEX(EXACT($DH$5:DH689,$DH689)*$DM$5:DM689,0),0))</f>
        <v/>
      </c>
      <c r="EE689">
        <f>IF($DM689=0,0,IF($ED689=$DE689,1,0))</f>
        <v/>
      </c>
      <c r="EF689">
        <f>EF688+$EE689</f>
        <v/>
      </c>
      <c r="EG689">
        <f>IF($DM689=0,"",INDEX($EF$5:$EF$1003,$ED689))</f>
        <v/>
      </c>
      <c r="EH689">
        <f>IF($DM689=0,"",IF($DO689&lt;&gt;"","",IFERROR(LOOKUP(2,1/(($EG$4:EG688=$EG689)*($DO$4:DO688&lt;&gt;"")),$DO$4:DO688),"")))</f>
        <v/>
      </c>
      <c r="EI689">
        <f>IF($DM689=0,"",IF($DO689&lt;&gt;"",$DO689,$EH689))</f>
        <v/>
      </c>
      <c r="EJ689">
        <f>IF($DM689=0,"",IF($EI689="",0,IF(OR(ISNUMBER($EI689),AND(AND(SUBSTITUTE(SUBSTITUTE(SUBSTITUTE(SUBSTITUTE(SUBSTITUTE(SUBSTITUTE(SUBSTITUTE(SUBSTITUTE(SUBSTITUTE(SUBSTITUTE(SUBSTITUTE(SUBSTITUTE(SUBSTITUTE(SUBSTITUTE(UPPER($EI689),"0",""),"1",""),"2",""),"3",""),"4",""),"5",""),"6",""),"7",""),"8",""),"9",""),".",""),"+",""),"-",""),"E","")="",LEN(SUBSTITUTE(SUBSTITUTE(MID(UPPER($EI689),1+OR(LEFT(UPPER($EI689),1)="+",LEFT(UPPER($EI689),1)="-"),999),"E+","E"),"E-","E"))=LEN(SUBSTITUTE(SUBSTITUTE(SUBSTITUTE(SUBSTITUTE(MID(UPPER($EI689),1+OR(LEFT(UPPER($EI689),1)="+",LEFT(UPPER($EI689),1)="-"),999),"E+","E"),"E-","E"),"+",""),"-","")),LEN(UPPER($EI689))-LEN(SUBSTITUTE(UPPER($EI689),"E",""))&lt;2,LEN(UPPER($EI689))-LEN(SUBSTITUTE(UPPER($EI689),".",""))&lt;2,IFERROR(FIND(".",UPPER($EI689)),0)&lt;IFERROR(FIND("E",UPPER($EI689)),999)),ISNUMBER(VALUE($EI689)))),1,2)))</f>
        <v/>
      </c>
      <c r="EK689">
        <f>IF($DM689=0,"",IF($EJ689=1,IF(ISNUMBER($EI689),$EI689,VALUE($EI689)),IF($EJ689=2,$DE689,0)))</f>
        <v/>
      </c>
      <c r="EL689">
        <f>IF($DM689=0,"",COUNTIF($EG$5:$EG$1003,"&lt;"&amp;$EG689)+SUMPRODUCT(($EG$5:$EG$1003=$EG689)*(($EJ$5:$EJ$1003&lt;$EJ689)+($EJ$5:$EJ$1003=$EJ689)*(($EK$5:$EK$1003&lt;$EK689)+($EK$5:$EK$1003=$EK689)*($DE$5:$DE$1003&lt;$DE689))))+1)</f>
        <v/>
      </c>
      <c r="EM689">
        <f>IF($DM689=0,"",$EL689+$EG689-1)</f>
        <v/>
      </c>
      <c r="EN689">
        <f>IF($DM689=0,0,IFERROR(MATCH(1,INDEX(--(TRIM(SUBSTITUTE(SUBSTITUTE(SUBSTITUTE(SUBSTITUTE(LINES_NAME&amp;""," "," "),CHAR(9)," "),CHAR(10)," "),CHAR(13)," "))=$DH689),0),0),0))</f>
        <v/>
      </c>
      <c r="EO689">
        <f>IF($EN689=0,0,IF(OR(UPPER(TRIM(INDEX(LINES_SCHEDULED,$EN689)&amp;""))="YES",UPPER(TRIM(INDEX(LINES_SCHEDULED,$EN689)&amp;""))="Y",UPPER(TRIM(INDEX(LINES_SCHEDULED,$EN689)&amp;""))="X"),1,0))</f>
        <v/>
      </c>
      <c r="EP689">
        <f>IF($DM689=0,"",IF(COUNTIFS($EG$5:$EG$1003,$EG689,$EB$5:$EB$1003,"Ready")&gt;0,"READY",IF(COUNTIFS($EG$5:$EG$1003,$EG689,$EB$5:$EB$1003,"PM")&gt;0,"PM",IF(COUNTIFS($EG$5:$EG$1003,$EG689,$EB$5:$EB$1003,"OT")&gt;0,"OT",""))))</f>
        <v/>
      </c>
      <c r="EQ689">
        <f>IF($EN689=0,"",UPPER(TRIM(INDEX(LINES_STATUS,$EN689)&amp;"")))</f>
        <v/>
      </c>
      <c r="ER689">
        <f>IF($DM689=0,"",IF(OR($EQ689="READY",$EQ689="PM",$EQ689="OT"),$EQ689,$EP689))</f>
        <v/>
      </c>
      <c r="ES689">
        <f>IF($DM689=0,"",IF(AND($DV689&lt;&gt;"",UPPER($DV689)&lt;&gt;"N"),"allergen",IF(ISNUMBER(SEARCH("oil",$DQ689)),"oil",IF(OR(EXACT($DS689,"A662"),EXACT($DS689,"A624")),"bulk",""))))</f>
        <v/>
      </c>
      <c r="ET689">
        <f>IF($DM689=0,"",IF(OR($EA689="",$EA689=0),"",$EA689/100))</f>
        <v/>
      </c>
      <c r="EU689">
        <f>IF(OR($ET689="",$DY689=""),"",INT($DY689*(1-$ET689)+0.5))</f>
        <v/>
      </c>
      <c r="EW689" t="n">
        <v>685</v>
      </c>
      <c r="EX689">
        <f>IFERROR(MATCH($EW689,$EM$5:$EM$1003,0),0)</f>
        <v/>
      </c>
      <c r="EY689">
        <f>IF($EW689&gt;$B$12,"",IF($EX689&gt;0,"row","spacer"))</f>
        <v/>
      </c>
      <c r="EZ689">
        <f>IF(AND($EY689="row",$EY688&lt;&gt;"row"),1,0)</f>
        <v/>
      </c>
      <c r="FA689">
        <f>IF(AND($EY689="row",$EY690&lt;&gt;"row"),1,0)</f>
        <v/>
      </c>
      <c r="FB689">
        <f>IF($EZ689=1,IFERROR(IF(ISNUMBER(INDEX(PASTE_ALL,INDEX($DF$5:$DF$1003,$EX689),$B$37)),INDEX(PASTE_ALL,INDEX($DF$5:$DF$1003,$EX689),$B$37),INDEX($DH$5:$DH$1003,$EX689)),INDEX($DH$5:$DH$1003,$EX689)),"")</f>
        <v/>
      </c>
      <c r="FC689">
        <f>IF($EY689="row",INDEX($ER$5:$ER$1003,$EX689),"")</f>
        <v/>
      </c>
      <c r="FD689">
        <f>IF($EY689="row",INDEX($DN$5:$DN$1003,$EX689),"")</f>
        <v/>
      </c>
      <c r="FE689">
        <f>IF($EY689="row",INDEX($DO$5:$DO$1003,$EX689),"")</f>
        <v/>
      </c>
      <c r="FF689">
        <f>IF($EY689="row",INDEX($DP$5:$DP$1003,$EX689),"")</f>
        <v/>
      </c>
      <c r="FG689">
        <f>IF($EY689="row",INDEX($DQ$5:$DQ$1003,$EX689),"")</f>
        <v/>
      </c>
      <c r="FH689">
        <f>IF($EY689="row",INDEX($DR$5:$DR$1003,$EX689),"")</f>
        <v/>
      </c>
      <c r="FI689">
        <f>IF($EY689="row",INDEX($DS$5:$DS$1003,$EX689),"")</f>
        <v/>
      </c>
      <c r="FJ689">
        <f>IF($EY689="row",INDEX($DT$5:$DT$1003,$EX689),"")</f>
        <v/>
      </c>
      <c r="FK689">
        <f>IF($EY689="row",INDEX($DU$5:$DU$1003,$EX689),"")</f>
        <v/>
      </c>
      <c r="FL689">
        <f>IF($EY689="row",INDEX($DV$5:$DV$1003,$EX689),"")</f>
        <v/>
      </c>
      <c r="FM689">
        <f>IF($EY689="row",INDEX($DW$5:$DW$1003,$EX689),"")</f>
        <v/>
      </c>
      <c r="FN689">
        <f>IF($EY689="row",INDEX($DY$5:$DY$1003,$EX689),"")</f>
        <v/>
      </c>
      <c r="FO689">
        <f>IF($EY689="row",INDEX($EA$5:$EA$1003,$EX689),"")</f>
        <v/>
      </c>
      <c r="FP689">
        <f>IF($EY689="row",INDEX($EC$5:$EC$1003,$EX689),"")</f>
        <v/>
      </c>
      <c r="FQ689">
        <f>IF($EY689="row",INDEX($ET$5:$ET$1003,$EX689),"")</f>
        <v/>
      </c>
      <c r="FR689">
        <f>IF($EY689="row",INDEX($EU$5:$EU$1003,$EX689),"")</f>
        <v/>
      </c>
      <c r="FS689">
        <f>IF(AND($EY689="row",$EY688="row"),IF(OR(INDEX($DT$5:$DT$1003,$EX688)="",INDEX($DT$5:$DT$1003,$EX689)=""),"",IF(NOT(EXACT(INDEX($DT$5:$DT$1003,$EX688),INDEX($DT$5:$DT$1003,$EX689))),"S4",IF(NOT(EXACT(INDEX($DS$5:$DS$1003,$EX688),INDEX($DS$5:$DS$1003,$EX689))),"S3",IF(NOT(EXACT(INDEX($DR$5:$DR$1003,$EX688),INDEX($DR$5:$DR$1003,$EX689))),"S1 Count Change","S1")))),"")</f>
        <v/>
      </c>
      <c r="FT689">
        <f>IF($EY689="row",INDEX($ES$5:$ES$1003,$EX689),"")</f>
        <v/>
      </c>
      <c r="FU689">
        <f>IF($EY689="row",INDEX($EO$5:$EO$1003,$EX689),0)</f>
        <v/>
      </c>
      <c r="FV689">
        <f>IF($FS689="S1 Count Change",1,0)</f>
        <v/>
      </c>
    </row>
    <row r="690">
      <c r="DA690" t="n">
        <v>686</v>
      </c>
      <c r="DB690">
        <f>IF($B$37=0,"",IFERROR(TRIM(SUBSTITUTE(SUBSTITUTE(SUBSTITUTE(SUBSTITUTE(INDEX(PASTE_ALL,686,$B$37)," "," "),CHAR(9)," "),CHAR(10)," "),CHAR(13)," ")),""))</f>
        <v/>
      </c>
      <c r="DC690">
        <f>IF(AND(686&gt;HEADER_ROW,UPPER(DB690)="LEGEND"),1,0)</f>
        <v/>
      </c>
      <c r="DE690" t="n">
        <v>686</v>
      </c>
      <c r="DF690">
        <f>HEADER_ROW+$DE690</f>
        <v/>
      </c>
      <c r="DG690">
        <f>IF(AND($DF690&lt;=1000,$DF690&lt;$B$8),1,0)</f>
        <v/>
      </c>
      <c r="DH690">
        <f>IF($DG690=1,IFERROR(INDEX($DB$5:$DB$1004,$DF690),""),"")</f>
        <v/>
      </c>
      <c r="DI690">
        <f>IF(AND($DG690=1,$DH690&lt;&gt;""),IFERROR(SUBSTITUTE(SUBSTITUTE(TRIM(SUBSTITUTE(SUBSTITUTE(SUBSTITUTE(SUBSTITUTE(IFERROR(INDEX(PASTE_ALL,$DF690,1)&amp;"","")&amp;"␟"&amp;IFERROR(INDEX(PASTE_ALL,$DF690,2)&amp;"","")&amp;"␟"&amp;IFERROR(INDEX(PASTE_ALL,$DF690,3)&amp;"","")&amp;"␟"&amp;IFERROR(INDEX(PASTE_ALL,$DF690,4)&amp;"","")&amp;"␟"&amp;IFERROR(INDEX(PASTE_ALL,$DF690,5)&amp;"","")&amp;"␟"&amp;IFERROR(INDEX(PASTE_ALL,$DF690,6)&amp;"","")&amp;"␟"&amp;IFERROR(INDEX(PASTE_ALL,$DF690,7)&amp;"","")&amp;"␟"&amp;IFERROR(INDEX(PASTE_ALL,$DF690,8)&amp;"","")&amp;"␟"&amp;IFERROR(INDEX(PASTE_ALL,$DF690,9)&amp;"","")&amp;"␟"&amp;IFERROR(INDEX(PASTE_ALL,$DF690,10)&amp;"","")&amp;"␟"&amp;IFERROR(INDEX(PASTE_ALL,$DF690,11)&amp;"","")&amp;"␟"&amp;IFERROR(INDEX(PASTE_ALL,$DF690,12)&amp;"","")&amp;"␟"&amp;IFERROR(INDEX(PASTE_ALL,$DF690,13)&amp;"","")&amp;"␟"&amp;IFERROR(INDEX(PASTE_ALL,$DF690,14)&amp;"","")&amp;"␟"&amp;IFERROR(INDEX(PASTE_ALL,$DF690,15)&amp;"","")&amp;"␟"&amp;IFERROR(INDEX(PASTE_ALL,$DF690,16)&amp;"","")&amp;"␟"&amp;IFERROR(INDEX(PASTE_ALL,$DF690,17)&amp;"","")&amp;"␟"&amp;IFERROR(INDEX(PASTE_ALL,$DF690,18)&amp;"","")&amp;"␟"&amp;IFERROR(INDEX(PASTE_ALL,$DF690,19)&amp;"","")&amp;"␟"&amp;IFERROR(INDEX(PASTE_ALL,$DF690,20)&amp;"","")&amp;"␟"&amp;IFERROR(INDEX(PASTE_ALL,$DF690,21)&amp;"","")&amp;"␟"&amp;IFERROR(INDEX(PASTE_ALL,$DF690,22)&amp;"","")&amp;"␟"&amp;IFERROR(INDEX(PASTE_ALL,$DF690,23)&amp;"","")&amp;"␟"&amp;IFERROR(INDEX(PASTE_ALL,$DF690,24)&amp;"","")&amp;"␟"&amp;IFERROR(INDEX(PASTE_ALL,$DF690,25)&amp;"","")&amp;"␟"&amp;IFERROR(INDEX(PASTE_ALL,$DF690,26)&amp;"","")&amp;"␟"&amp;IFERROR(INDEX(PASTE_ALL,$DF690,27)&amp;"","")&amp;"␟"&amp;IFERROR(INDEX(PASTE_ALL,$DF690,28)&amp;"","")&amp;"␟"&amp;IFERROR(INDEX(PASTE_ALL,$DF690,29)&amp;"","")&amp;"␟"&amp;IFERROR(INDEX(PASTE_ALL,$DF690,30)&amp;"","")&amp;"␟"&amp;IFERROR(INDEX(PASTE_ALL,$DF690,31)&amp;"","")&amp;"␟"&amp;IFERROR(INDEX(PASTE_ALL,$DF690,32)&amp;"","")&amp;"␟"&amp;IFERROR(INDEX(PASTE_ALL,$DF690,33)&amp;"","")&amp;"␟"&amp;IFERROR(INDEX(PASTE_ALL,$DF690,34)&amp;"","")&amp;"␟"&amp;IFERROR(INDEX(PASTE_ALL,$DF690,35)&amp;"","")&amp;"␟"&amp;IFERROR(INDEX(PASTE_ALL,$DF690,36)&amp;"","")&amp;"␟"&amp;IFERROR(INDEX(PASTE_ALL,$DF690,37)&amp;"","")&amp;"␟"&amp;IFERROR(INDEX(PASTE_ALL,$DF690,38)&amp;"","")&amp;"␟"&amp;IFERROR(INDEX(PASTE_ALL,$DF690,39)&amp;"","")&amp;"␟"&amp;IFERROR(INDEX(PASTE_ALL,$DF690,40)&amp;"","")&amp;"␟"&amp;IFERROR(INDEX(PASTE_ALL,$DF690,41)&amp;"","")&amp;"␟"&amp;IFERROR(INDEX(PASTE_ALL,$DF690,42)&amp;"","")&amp;"␟"&amp;IFERROR(INDEX(PASTE_ALL,$DF690,43)&amp;"","")&amp;"␟"&amp;IFERROR(INDEX(PASTE_ALL,$DF690,44)&amp;"","")&amp;"␟"&amp;IFERROR(INDEX(PASTE_ALL,$DF690,45)&amp;"","")&amp;"␟"&amp;IFERROR(INDEX(PASTE_ALL,$DF690,46)&amp;"","")&amp;"␟"&amp;IFERROR(INDEX(PASTE_ALL,$DF690,47)&amp;"","")&amp;"␟"&amp;IFERROR(INDEX(PASTE_ALL,$DF690,48)&amp;"","")&amp;"␟"&amp;IFERROR(INDEX(PASTE_ALL,$DF690,49)&amp;"","")&amp;"␟"&amp;IFERROR(INDEX(PASTE_ALL,$DF690,50)&amp;"","")&amp;"␟"&amp;IFERROR(INDEX(PASTE_ALL,$DF690,51)&amp;"","")&amp;"␟"&amp;IFERROR(INDEX(PASTE_ALL,$DF690,52)&amp;"","")&amp;"␟"&amp;IFERROR(INDEX(PASTE_ALL,$DF690,53)&amp;"","")&amp;"␟"&amp;IFERROR(INDEX(PASTE_ALL,$DF690,54)&amp;"","")&amp;"␟"&amp;IFERROR(INDEX(PASTE_ALL,$DF690,55)&amp;"","")&amp;"␟"&amp;IFERROR(INDEX(PASTE_ALL,$DF690,56)&amp;"","")&amp;"␟"&amp;IFERROR(INDEX(PASTE_ALL,$DF690,57)&amp;"","")&amp;"␟"&amp;IFERROR(INDEX(PASTE_ALL,$DF690,58)&amp;"","")&amp;"␟"&amp;IFERROR(INDEX(PASTE_ALL,$DF690,59)&amp;"","")&amp;"␟"&amp;IFERROR(INDEX(PASTE_ALL,$DF690,60)&amp;"","")," "," "),CHAR(9)," "),CHAR(10)," "),CHAR(13)," "))," ␟","␟"),"␟ ","␟"),"#"&amp;$DE690),"")</f>
        <v/>
      </c>
      <c r="DJ690">
        <f>IF($DI690="",0,IF(SUMPRODUCT(--EXACT($DI$4:DI689,$DI690))&gt;0,1,0))</f>
        <v/>
      </c>
      <c r="DK690">
        <f>IF(AND($DI690&lt;&gt;"",$DJ690=0),1,0)</f>
        <v/>
      </c>
      <c r="DL690">
        <f>DL689+$DK690</f>
        <v/>
      </c>
      <c r="DM690">
        <f>IF(AND($DK690=1,$DL690&lt;=600),1,0)</f>
        <v/>
      </c>
      <c r="DN690">
        <f>IF($DM690=0,"",IF($L$6=0,"",IFERROR(IF(ISNUMBER(INDEX(PASTE_ALL,$DF690,$L$6)),INDEX(PASTE_ALL,$DF690,$L$6),TRIM(SUBSTITUTE(SUBSTITUTE(SUBSTITUTE(SUBSTITUTE(INDEX(PASTE_ALL,$DF690,$L$6)," "," "),CHAR(9)," "),CHAR(10)," "),CHAR(13)," "))),"")))</f>
        <v/>
      </c>
      <c r="DO690">
        <f>IF($DM690=0,"",IF($L$7=0,"",IFERROR(IF(ISNUMBER(INDEX(PASTE_ALL,$DF690,$L$7)),INDEX(PASTE_ALL,$DF690,$L$7),TRIM(SUBSTITUTE(SUBSTITUTE(SUBSTITUTE(SUBSTITUTE(INDEX(PASTE_ALL,$DF690,$L$7)," "," "),CHAR(9)," "),CHAR(10)," "),CHAR(13)," "))),"")))</f>
        <v/>
      </c>
      <c r="DP690">
        <f>IF($DM690=0,"",IF($L$8=0,"",IFERROR(IF(ISNUMBER(INDEX(PASTE_ALL,$DF690,$L$8)),INDEX(PASTE_ALL,$DF690,$L$8),TRIM(SUBSTITUTE(SUBSTITUTE(SUBSTITUTE(SUBSTITUTE(INDEX(PASTE_ALL,$DF690,$L$8)," "," "),CHAR(9)," "),CHAR(10)," "),CHAR(13)," "))),"")))</f>
        <v/>
      </c>
      <c r="DQ690">
        <f>IF($DM690=0,"",IF($L$9=0,"",IFERROR(IF(ISNUMBER(INDEX(PASTE_ALL,$DF690,$L$9)),INDEX(PASTE_ALL,$DF690,$L$9),TRIM(SUBSTITUTE(SUBSTITUTE(SUBSTITUTE(SUBSTITUTE(INDEX(PASTE_ALL,$DF690,$L$9)," "," "),CHAR(9)," "),CHAR(10)," "),CHAR(13)," "))),"")))</f>
        <v/>
      </c>
      <c r="DR690">
        <f>IF($DM690=0,"",IF($L$10=0,"",IFERROR(IF(ISNUMBER(INDEX(PASTE_ALL,$DF690,$L$10)),INDEX(PASTE_ALL,$DF690,$L$10),TRIM(SUBSTITUTE(SUBSTITUTE(SUBSTITUTE(SUBSTITUTE(INDEX(PASTE_ALL,$DF690,$L$10)," "," "),CHAR(9)," "),CHAR(10)," "),CHAR(13)," "))),"")))</f>
        <v/>
      </c>
      <c r="DS690">
        <f>IF($DM690=0,"",IF($L$11=0,"",IFERROR(IF(ISNUMBER(INDEX(PASTE_ALL,$DF690,$L$11)),INDEX(PASTE_ALL,$DF690,$L$11),TRIM(SUBSTITUTE(SUBSTITUTE(SUBSTITUTE(SUBSTITUTE(INDEX(PASTE_ALL,$DF690,$L$11)," "," "),CHAR(9)," "),CHAR(10)," "),CHAR(13)," "))),"")))</f>
        <v/>
      </c>
      <c r="DT690">
        <f>IF($DM690=0,"",IF($L$12=0,"",IFERROR(IF(ISNUMBER(INDEX(PASTE_ALL,$DF690,$L$12)),INDEX(PASTE_ALL,$DF690,$L$12),TRIM(SUBSTITUTE(SUBSTITUTE(SUBSTITUTE(SUBSTITUTE(INDEX(PASTE_ALL,$DF690,$L$12)," "," "),CHAR(9)," "),CHAR(10)," "),CHAR(13)," "))),"")))</f>
        <v/>
      </c>
      <c r="DU690">
        <f>IF($DM690=0,"",IF($L$13=0,"",IFERROR(IF(ISNUMBER(INDEX(PASTE_ALL,$DF690,$L$13)),INDEX(PASTE_ALL,$DF690,$L$13),TRIM(SUBSTITUTE(SUBSTITUTE(SUBSTITUTE(SUBSTITUTE(INDEX(PASTE_ALL,$DF690,$L$13)," "," "),CHAR(9)," "),CHAR(10)," "),CHAR(13)," "))),"")))</f>
        <v/>
      </c>
      <c r="DV690">
        <f>IF($DM690=0,"",IF($L$14=0,"",IFERROR(IF(ISNUMBER(INDEX(PASTE_ALL,$DF690,$L$14)),INDEX(PASTE_ALL,$DF690,$L$14),TRIM(SUBSTITUTE(SUBSTITUTE(SUBSTITUTE(SUBSTITUTE(INDEX(PASTE_ALL,$DF690,$L$14)," "," "),CHAR(9)," "),CHAR(10)," "),CHAR(13)," "))),"")))</f>
        <v/>
      </c>
      <c r="DW690">
        <f>IF($DM690=0,"",IF($L$15=0,"",IFERROR(IF(ISNUMBER(INDEX(PASTE_ALL,$DF690,$L$15)),INDEX(PASTE_ALL,$DF690,$L$15),IF(SUMPRODUCT(--ISNUMBER(FIND({"A","B","C","D","E","F","G","H","I","J","K","L","M","N","O","P","Q","R","S","T","U","V","W","X","Y","Z","0","1","2","3","4","5","6","7","8","9"},UPPER(TRIM(SUBSTITUTE(SUBSTITUTE(SUBSTITUTE(SUBSTITUTE(INDEX(PASTE_ALL,$DF690,$L$15)," "," "),CHAR(9)," "),CHAR(10)," "),CHAR(13)," "))))))&gt;0,TRIM(SUBSTITUTE(SUBSTITUTE(SUBSTITUTE(SUBSTITUTE(INDEX(PASTE_ALL,$DF690,$L$15)," "," "),CHAR(9)," "),CHAR(10)," "),CHAR(13)," ")),"")),"")))</f>
        <v/>
      </c>
      <c r="DX690">
        <f>IF($DM690=0,"",IF($L$16=0,"",IFERROR(IF(ISNUMBER(INDEX(PASTE_ALL,$DF690,$L$16)),INDEX(PASTE_ALL,$DF690,$L$16),SUBSTITUTE(SUBSTITUTE(TRIM(SUBSTITUTE(SUBSTITUTE(SUBSTITUTE(SUBSTITUTE(INDEX(PASTE_ALL,$DF690,$L$16)," "," "),CHAR(9)," "),CHAR(10)," "),CHAR(13)," ")),",",""),"%","")),"")))</f>
        <v/>
      </c>
      <c r="DY690">
        <f>IF($DM690=0,"",IFERROR(IF(ISNUMBER($DX690),$DX690,IF($DX690="","",IF(TRIM($DX690)="",0,IF(AND(AND(SUBSTITUTE(SUBSTITUTE(SUBSTITUTE(SUBSTITUTE(SUBSTITUTE(SUBSTITUTE(SUBSTITUTE(SUBSTITUTE(SUBSTITUTE(SUBSTITUTE(SUBSTITUTE(SUBSTITUTE(SUBSTITUTE(SUBSTITUTE(UPPER(TRIM($DX690)),"0",""),"1",""),"2",""),"3",""),"4",""),"5",""),"6",""),"7",""),"8",""),"9",""),".",""),"+",""),"-",""),"E","")="",LEN(SUBSTITUTE(SUBSTITUTE(MID(UPPER(TRIM($DX690)),1+OR(LEFT(UPPER(TRIM($DX690)),1)="+",LEFT(UPPER(TRIM($DX690)),1)="-"),999),"E+","E"),"E-","E"))=LEN(SUBSTITUTE(SUBSTITUTE(SUBSTITUTE(SUBSTITUTE(MID(UPPER(TRIM($DX690)),1+OR(LEFT(UPPER(TRIM($DX690)),1)="+",LEFT(UPPER(TRIM($DX690)),1)="-"),999),"E+","E"),"E-","E"),"+",""),"-","")),LEN(UPPER(TRIM($DX690)))-LEN(SUBSTITUTE(UPPER(TRIM($DX690)),"E",""))&lt;2,LEN(UPPER(TRIM($DX690)))-LEN(SUBSTITUTE(UPPER(TRIM($DX690)),".",""))&lt;2,IFERROR(FIND(".",UPPER(TRIM($DX690))),0)&lt;IFERROR(FIND("E",UPPER(TRIM($DX690))),999)),ISNUMBER(VALUE(TRIM($DX690)))),VALUE(TRIM($DX690)),"")))),""))</f>
        <v/>
      </c>
      <c r="DZ690">
        <f>IF($DM690=0,"",IF($L$17=0,"",IFERROR(IF(ISNUMBER(INDEX(PASTE_ALL,$DF690,$L$17)),INDEX(PASTE_ALL,$DF690,$L$17),SUBSTITUTE(SUBSTITUTE(TRIM(SUBSTITUTE(SUBSTITUTE(SUBSTITUTE(SUBSTITUTE(INDEX(PASTE_ALL,$DF690,$L$17)," "," "),CHAR(9)," "),CHAR(10)," "),CHAR(13)," ")),",",""),"%","")),"")))</f>
        <v/>
      </c>
      <c r="EA690">
        <f>IF($DM690=0,"",IFERROR(IF(ISNUMBER($DZ690),$DZ690,IF($DZ690="","",IF(TRIM($DZ690)="",0,IF(AND(AND(SUBSTITUTE(SUBSTITUTE(SUBSTITUTE(SUBSTITUTE(SUBSTITUTE(SUBSTITUTE(SUBSTITUTE(SUBSTITUTE(SUBSTITUTE(SUBSTITUTE(SUBSTITUTE(SUBSTITUTE(SUBSTITUTE(SUBSTITUTE(UPPER(TRIM($DZ690)),"0",""),"1",""),"2",""),"3",""),"4",""),"5",""),"6",""),"7",""),"8",""),"9",""),".",""),"+",""),"-",""),"E","")="",LEN(SUBSTITUTE(SUBSTITUTE(MID(UPPER(TRIM($DZ690)),1+OR(LEFT(UPPER(TRIM($DZ690)),1)="+",LEFT(UPPER(TRIM($DZ690)),1)="-"),999),"E+","E"),"E-","E"))=LEN(SUBSTITUTE(SUBSTITUTE(SUBSTITUTE(SUBSTITUTE(MID(UPPER(TRIM($DZ690)),1+OR(LEFT(UPPER(TRIM($DZ690)),1)="+",LEFT(UPPER(TRIM($DZ690)),1)="-"),999),"E+","E"),"E-","E"),"+",""),"-","")),LEN(UPPER(TRIM($DZ690)))-LEN(SUBSTITUTE(UPPER(TRIM($DZ690)),"E",""))&lt;2,LEN(UPPER(TRIM($DZ690)))-LEN(SUBSTITUTE(UPPER(TRIM($DZ690)),".",""))&lt;2,IFERROR(FIND(".",UPPER(TRIM($DZ690))),0)&lt;IFERROR(FIND("E",UPPER(TRIM($DZ690))),999)),ISNUMBER(VALUE(TRIM($DZ690)))),VALUE(TRIM($DZ690)),"")))),""))</f>
        <v/>
      </c>
      <c r="EB690">
        <f>IF($DM690=0,"",IF($L$18=0,"",IFERROR(IF(UPPER(TRIM(SUBSTITUTE(SUBSTITUTE(SUBSTITUTE(SUBSTITUTE(INDEX(PASTE_ALL,$DF690,$L$18)," "," "),CHAR(9)," "),CHAR(10)," "),CHAR(13)," ")))="READY","Ready",IF(UPPER(TRIM(SUBSTITUTE(SUBSTITUTE(SUBSTITUTE(SUBSTITUTE(INDEX(PASTE_ALL,$DF690,$L$18)," "," "),CHAR(9)," "),CHAR(10)," "),CHAR(13)," ")))="PM","PM",IF(OR(UPPER(TRIM(SUBSTITUTE(SUBSTITUTE(SUBSTITUTE(SUBSTITUTE(INDEX(PASTE_ALL,$DF690,$L$18)," "," "),CHAR(9)," "),CHAR(10)," "),CHAR(13)," ")))="OT",UPPER(TRIM(SUBSTITUTE(SUBSTITUTE(SUBSTITUTE(SUBSTITUTE(INDEX(PASTE_ALL,$DF690,$L$18)," "," "),CHAR(9)," "),CHAR(10)," "),CHAR(13)," ")))="OVERTIME",UPPER(TRIM(SUBSTITUTE(SUBSTITUTE(SUBSTITUTE(SUBSTITUTE(INDEX(PASTE_ALL,$DF690,$L$18)," "," "),CHAR(9)," "),CHAR(10)," "),CHAR(13)," ")))="TRIAL"),"OT",TRIM(SUBSTITUTE(SUBSTITUTE(SUBSTITUTE(SUBSTITUTE(INDEX(PASTE_ALL,$DF690,$L$18)," "," "),CHAR(9)," "),CHAR(10)," "),CHAR(13)," "))))),"")))</f>
        <v/>
      </c>
      <c r="EC690">
        <f>IF($DM690=0,"",IF($L$19=0,"",IFERROR(IF(ISNUMBER(INDEX(PASTE_ALL,$DF690,$L$19)),INDEX(PASTE_ALL,$DF690,$L$19),TRIM(SUBSTITUTE(SUBSTITUTE(SUBSTITUTE(SUBSTITUTE(INDEX(PASTE_ALL,$DF690,$L$19)," "," "),CHAR(9)," "),CHAR(10)," "),CHAR(13)," "))),"")))</f>
        <v/>
      </c>
      <c r="ED690">
        <f>IF($DM690=0,"",MATCH(1,INDEX(EXACT($DH$5:DH690,$DH690)*$DM$5:DM690,0),0))</f>
        <v/>
      </c>
      <c r="EE690">
        <f>IF($DM690=0,0,IF($ED690=$DE690,1,0))</f>
        <v/>
      </c>
      <c r="EF690">
        <f>EF689+$EE690</f>
        <v/>
      </c>
      <c r="EG690">
        <f>IF($DM690=0,"",INDEX($EF$5:$EF$1003,$ED690))</f>
        <v/>
      </c>
      <c r="EH690">
        <f>IF($DM690=0,"",IF($DO690&lt;&gt;"","",IFERROR(LOOKUP(2,1/(($EG$4:EG689=$EG690)*($DO$4:DO689&lt;&gt;"")),$DO$4:DO689),"")))</f>
        <v/>
      </c>
      <c r="EI690">
        <f>IF($DM690=0,"",IF($DO690&lt;&gt;"",$DO690,$EH690))</f>
        <v/>
      </c>
      <c r="EJ690">
        <f>IF($DM690=0,"",IF($EI690="",0,IF(OR(ISNUMBER($EI690),AND(AND(SUBSTITUTE(SUBSTITUTE(SUBSTITUTE(SUBSTITUTE(SUBSTITUTE(SUBSTITUTE(SUBSTITUTE(SUBSTITUTE(SUBSTITUTE(SUBSTITUTE(SUBSTITUTE(SUBSTITUTE(SUBSTITUTE(SUBSTITUTE(UPPER($EI690),"0",""),"1",""),"2",""),"3",""),"4",""),"5",""),"6",""),"7",""),"8",""),"9",""),".",""),"+",""),"-",""),"E","")="",LEN(SUBSTITUTE(SUBSTITUTE(MID(UPPER($EI690),1+OR(LEFT(UPPER($EI690),1)="+",LEFT(UPPER($EI690),1)="-"),999),"E+","E"),"E-","E"))=LEN(SUBSTITUTE(SUBSTITUTE(SUBSTITUTE(SUBSTITUTE(MID(UPPER($EI690),1+OR(LEFT(UPPER($EI690),1)="+",LEFT(UPPER($EI690),1)="-"),999),"E+","E"),"E-","E"),"+",""),"-","")),LEN(UPPER($EI690))-LEN(SUBSTITUTE(UPPER($EI690),"E",""))&lt;2,LEN(UPPER($EI690))-LEN(SUBSTITUTE(UPPER($EI690),".",""))&lt;2,IFERROR(FIND(".",UPPER($EI690)),0)&lt;IFERROR(FIND("E",UPPER($EI690)),999)),ISNUMBER(VALUE($EI690)))),1,2)))</f>
        <v/>
      </c>
      <c r="EK690">
        <f>IF($DM690=0,"",IF($EJ690=1,IF(ISNUMBER($EI690),$EI690,VALUE($EI690)),IF($EJ690=2,$DE690,0)))</f>
        <v/>
      </c>
      <c r="EL690">
        <f>IF($DM690=0,"",COUNTIF($EG$5:$EG$1003,"&lt;"&amp;$EG690)+SUMPRODUCT(($EG$5:$EG$1003=$EG690)*(($EJ$5:$EJ$1003&lt;$EJ690)+($EJ$5:$EJ$1003=$EJ690)*(($EK$5:$EK$1003&lt;$EK690)+($EK$5:$EK$1003=$EK690)*($DE$5:$DE$1003&lt;$DE690))))+1)</f>
        <v/>
      </c>
      <c r="EM690">
        <f>IF($DM690=0,"",$EL690+$EG690-1)</f>
        <v/>
      </c>
      <c r="EN690">
        <f>IF($DM690=0,0,IFERROR(MATCH(1,INDEX(--(TRIM(SUBSTITUTE(SUBSTITUTE(SUBSTITUTE(SUBSTITUTE(LINES_NAME&amp;""," "," "),CHAR(9)," "),CHAR(10)," "),CHAR(13)," "))=$DH690),0),0),0))</f>
        <v/>
      </c>
      <c r="EO690">
        <f>IF($EN690=0,0,IF(OR(UPPER(TRIM(INDEX(LINES_SCHEDULED,$EN690)&amp;""))="YES",UPPER(TRIM(INDEX(LINES_SCHEDULED,$EN690)&amp;""))="Y",UPPER(TRIM(INDEX(LINES_SCHEDULED,$EN690)&amp;""))="X"),1,0))</f>
        <v/>
      </c>
      <c r="EP690">
        <f>IF($DM690=0,"",IF(COUNTIFS($EG$5:$EG$1003,$EG690,$EB$5:$EB$1003,"Ready")&gt;0,"READY",IF(COUNTIFS($EG$5:$EG$1003,$EG690,$EB$5:$EB$1003,"PM")&gt;0,"PM",IF(COUNTIFS($EG$5:$EG$1003,$EG690,$EB$5:$EB$1003,"OT")&gt;0,"OT",""))))</f>
        <v/>
      </c>
      <c r="EQ690">
        <f>IF($EN690=0,"",UPPER(TRIM(INDEX(LINES_STATUS,$EN690)&amp;"")))</f>
        <v/>
      </c>
      <c r="ER690">
        <f>IF($DM690=0,"",IF(OR($EQ690="READY",$EQ690="PM",$EQ690="OT"),$EQ690,$EP690))</f>
        <v/>
      </c>
      <c r="ES690">
        <f>IF($DM690=0,"",IF(AND($DV690&lt;&gt;"",UPPER($DV690)&lt;&gt;"N"),"allergen",IF(ISNUMBER(SEARCH("oil",$DQ690)),"oil",IF(OR(EXACT($DS690,"A662"),EXACT($DS690,"A624")),"bulk",""))))</f>
        <v/>
      </c>
      <c r="ET690">
        <f>IF($DM690=0,"",IF(OR($EA690="",$EA690=0),"",$EA690/100))</f>
        <v/>
      </c>
      <c r="EU690">
        <f>IF(OR($ET690="",$DY690=""),"",INT($DY690*(1-$ET690)+0.5))</f>
        <v/>
      </c>
      <c r="EW690" t="n">
        <v>686</v>
      </c>
      <c r="EX690">
        <f>IFERROR(MATCH($EW690,$EM$5:$EM$1003,0),0)</f>
        <v/>
      </c>
      <c r="EY690">
        <f>IF($EW690&gt;$B$12,"",IF($EX690&gt;0,"row","spacer"))</f>
        <v/>
      </c>
      <c r="EZ690">
        <f>IF(AND($EY690="row",$EY689&lt;&gt;"row"),1,0)</f>
        <v/>
      </c>
      <c r="FA690">
        <f>IF(AND($EY690="row",$EY691&lt;&gt;"row"),1,0)</f>
        <v/>
      </c>
      <c r="FB690">
        <f>IF($EZ690=1,IFERROR(IF(ISNUMBER(INDEX(PASTE_ALL,INDEX($DF$5:$DF$1003,$EX690),$B$37)),INDEX(PASTE_ALL,INDEX($DF$5:$DF$1003,$EX690),$B$37),INDEX($DH$5:$DH$1003,$EX690)),INDEX($DH$5:$DH$1003,$EX690)),"")</f>
        <v/>
      </c>
      <c r="FC690">
        <f>IF($EY690="row",INDEX($ER$5:$ER$1003,$EX690),"")</f>
        <v/>
      </c>
      <c r="FD690">
        <f>IF($EY690="row",INDEX($DN$5:$DN$1003,$EX690),"")</f>
        <v/>
      </c>
      <c r="FE690">
        <f>IF($EY690="row",INDEX($DO$5:$DO$1003,$EX690),"")</f>
        <v/>
      </c>
      <c r="FF690">
        <f>IF($EY690="row",INDEX($DP$5:$DP$1003,$EX690),"")</f>
        <v/>
      </c>
      <c r="FG690">
        <f>IF($EY690="row",INDEX($DQ$5:$DQ$1003,$EX690),"")</f>
        <v/>
      </c>
      <c r="FH690">
        <f>IF($EY690="row",INDEX($DR$5:$DR$1003,$EX690),"")</f>
        <v/>
      </c>
      <c r="FI690">
        <f>IF($EY690="row",INDEX($DS$5:$DS$1003,$EX690),"")</f>
        <v/>
      </c>
      <c r="FJ690">
        <f>IF($EY690="row",INDEX($DT$5:$DT$1003,$EX690),"")</f>
        <v/>
      </c>
      <c r="FK690">
        <f>IF($EY690="row",INDEX($DU$5:$DU$1003,$EX690),"")</f>
        <v/>
      </c>
      <c r="FL690">
        <f>IF($EY690="row",INDEX($DV$5:$DV$1003,$EX690),"")</f>
        <v/>
      </c>
      <c r="FM690">
        <f>IF($EY690="row",INDEX($DW$5:$DW$1003,$EX690),"")</f>
        <v/>
      </c>
      <c r="FN690">
        <f>IF($EY690="row",INDEX($DY$5:$DY$1003,$EX690),"")</f>
        <v/>
      </c>
      <c r="FO690">
        <f>IF($EY690="row",INDEX($EA$5:$EA$1003,$EX690),"")</f>
        <v/>
      </c>
      <c r="FP690">
        <f>IF($EY690="row",INDEX($EC$5:$EC$1003,$EX690),"")</f>
        <v/>
      </c>
      <c r="FQ690">
        <f>IF($EY690="row",INDEX($ET$5:$ET$1003,$EX690),"")</f>
        <v/>
      </c>
      <c r="FR690">
        <f>IF($EY690="row",INDEX($EU$5:$EU$1003,$EX690),"")</f>
        <v/>
      </c>
      <c r="FS690">
        <f>IF(AND($EY690="row",$EY689="row"),IF(OR(INDEX($DT$5:$DT$1003,$EX689)="",INDEX($DT$5:$DT$1003,$EX690)=""),"",IF(NOT(EXACT(INDEX($DT$5:$DT$1003,$EX689),INDEX($DT$5:$DT$1003,$EX690))),"S4",IF(NOT(EXACT(INDEX($DS$5:$DS$1003,$EX689),INDEX($DS$5:$DS$1003,$EX690))),"S3",IF(NOT(EXACT(INDEX($DR$5:$DR$1003,$EX689),INDEX($DR$5:$DR$1003,$EX690))),"S1 Count Change","S1")))),"")</f>
        <v/>
      </c>
      <c r="FT690">
        <f>IF($EY690="row",INDEX($ES$5:$ES$1003,$EX690),"")</f>
        <v/>
      </c>
      <c r="FU690">
        <f>IF($EY690="row",INDEX($EO$5:$EO$1003,$EX690),0)</f>
        <v/>
      </c>
      <c r="FV690">
        <f>IF($FS690="S1 Count Change",1,0)</f>
        <v/>
      </c>
    </row>
    <row r="691">
      <c r="DA691" t="n">
        <v>687</v>
      </c>
      <c r="DB691">
        <f>IF($B$37=0,"",IFERROR(TRIM(SUBSTITUTE(SUBSTITUTE(SUBSTITUTE(SUBSTITUTE(INDEX(PASTE_ALL,687,$B$37)," "," "),CHAR(9)," "),CHAR(10)," "),CHAR(13)," ")),""))</f>
        <v/>
      </c>
      <c r="DC691">
        <f>IF(AND(687&gt;HEADER_ROW,UPPER(DB691)="LEGEND"),1,0)</f>
        <v/>
      </c>
      <c r="DE691" t="n">
        <v>687</v>
      </c>
      <c r="DF691">
        <f>HEADER_ROW+$DE691</f>
        <v/>
      </c>
      <c r="DG691">
        <f>IF(AND($DF691&lt;=1000,$DF691&lt;$B$8),1,0)</f>
        <v/>
      </c>
      <c r="DH691">
        <f>IF($DG691=1,IFERROR(INDEX($DB$5:$DB$1004,$DF691),""),"")</f>
        <v/>
      </c>
      <c r="DI691">
        <f>IF(AND($DG691=1,$DH691&lt;&gt;""),IFERROR(SUBSTITUTE(SUBSTITUTE(TRIM(SUBSTITUTE(SUBSTITUTE(SUBSTITUTE(SUBSTITUTE(IFERROR(INDEX(PASTE_ALL,$DF691,1)&amp;"","")&amp;"␟"&amp;IFERROR(INDEX(PASTE_ALL,$DF691,2)&amp;"","")&amp;"␟"&amp;IFERROR(INDEX(PASTE_ALL,$DF691,3)&amp;"","")&amp;"␟"&amp;IFERROR(INDEX(PASTE_ALL,$DF691,4)&amp;"","")&amp;"␟"&amp;IFERROR(INDEX(PASTE_ALL,$DF691,5)&amp;"","")&amp;"␟"&amp;IFERROR(INDEX(PASTE_ALL,$DF691,6)&amp;"","")&amp;"␟"&amp;IFERROR(INDEX(PASTE_ALL,$DF691,7)&amp;"","")&amp;"␟"&amp;IFERROR(INDEX(PASTE_ALL,$DF691,8)&amp;"","")&amp;"␟"&amp;IFERROR(INDEX(PASTE_ALL,$DF691,9)&amp;"","")&amp;"␟"&amp;IFERROR(INDEX(PASTE_ALL,$DF691,10)&amp;"","")&amp;"␟"&amp;IFERROR(INDEX(PASTE_ALL,$DF691,11)&amp;"","")&amp;"␟"&amp;IFERROR(INDEX(PASTE_ALL,$DF691,12)&amp;"","")&amp;"␟"&amp;IFERROR(INDEX(PASTE_ALL,$DF691,13)&amp;"","")&amp;"␟"&amp;IFERROR(INDEX(PASTE_ALL,$DF691,14)&amp;"","")&amp;"␟"&amp;IFERROR(INDEX(PASTE_ALL,$DF691,15)&amp;"","")&amp;"␟"&amp;IFERROR(INDEX(PASTE_ALL,$DF691,16)&amp;"","")&amp;"␟"&amp;IFERROR(INDEX(PASTE_ALL,$DF691,17)&amp;"","")&amp;"␟"&amp;IFERROR(INDEX(PASTE_ALL,$DF691,18)&amp;"","")&amp;"␟"&amp;IFERROR(INDEX(PASTE_ALL,$DF691,19)&amp;"","")&amp;"␟"&amp;IFERROR(INDEX(PASTE_ALL,$DF691,20)&amp;"","")&amp;"␟"&amp;IFERROR(INDEX(PASTE_ALL,$DF691,21)&amp;"","")&amp;"␟"&amp;IFERROR(INDEX(PASTE_ALL,$DF691,22)&amp;"","")&amp;"␟"&amp;IFERROR(INDEX(PASTE_ALL,$DF691,23)&amp;"","")&amp;"␟"&amp;IFERROR(INDEX(PASTE_ALL,$DF691,24)&amp;"","")&amp;"␟"&amp;IFERROR(INDEX(PASTE_ALL,$DF691,25)&amp;"","")&amp;"␟"&amp;IFERROR(INDEX(PASTE_ALL,$DF691,26)&amp;"","")&amp;"␟"&amp;IFERROR(INDEX(PASTE_ALL,$DF691,27)&amp;"","")&amp;"␟"&amp;IFERROR(INDEX(PASTE_ALL,$DF691,28)&amp;"","")&amp;"␟"&amp;IFERROR(INDEX(PASTE_ALL,$DF691,29)&amp;"","")&amp;"␟"&amp;IFERROR(INDEX(PASTE_ALL,$DF691,30)&amp;"","")&amp;"␟"&amp;IFERROR(INDEX(PASTE_ALL,$DF691,31)&amp;"","")&amp;"␟"&amp;IFERROR(INDEX(PASTE_ALL,$DF691,32)&amp;"","")&amp;"␟"&amp;IFERROR(INDEX(PASTE_ALL,$DF691,33)&amp;"","")&amp;"␟"&amp;IFERROR(INDEX(PASTE_ALL,$DF691,34)&amp;"","")&amp;"␟"&amp;IFERROR(INDEX(PASTE_ALL,$DF691,35)&amp;"","")&amp;"␟"&amp;IFERROR(INDEX(PASTE_ALL,$DF691,36)&amp;"","")&amp;"␟"&amp;IFERROR(INDEX(PASTE_ALL,$DF691,37)&amp;"","")&amp;"␟"&amp;IFERROR(INDEX(PASTE_ALL,$DF691,38)&amp;"","")&amp;"␟"&amp;IFERROR(INDEX(PASTE_ALL,$DF691,39)&amp;"","")&amp;"␟"&amp;IFERROR(INDEX(PASTE_ALL,$DF691,40)&amp;"","")&amp;"␟"&amp;IFERROR(INDEX(PASTE_ALL,$DF691,41)&amp;"","")&amp;"␟"&amp;IFERROR(INDEX(PASTE_ALL,$DF691,42)&amp;"","")&amp;"␟"&amp;IFERROR(INDEX(PASTE_ALL,$DF691,43)&amp;"","")&amp;"␟"&amp;IFERROR(INDEX(PASTE_ALL,$DF691,44)&amp;"","")&amp;"␟"&amp;IFERROR(INDEX(PASTE_ALL,$DF691,45)&amp;"","")&amp;"␟"&amp;IFERROR(INDEX(PASTE_ALL,$DF691,46)&amp;"","")&amp;"␟"&amp;IFERROR(INDEX(PASTE_ALL,$DF691,47)&amp;"","")&amp;"␟"&amp;IFERROR(INDEX(PASTE_ALL,$DF691,48)&amp;"","")&amp;"␟"&amp;IFERROR(INDEX(PASTE_ALL,$DF691,49)&amp;"","")&amp;"␟"&amp;IFERROR(INDEX(PASTE_ALL,$DF691,50)&amp;"","")&amp;"␟"&amp;IFERROR(INDEX(PASTE_ALL,$DF691,51)&amp;"","")&amp;"␟"&amp;IFERROR(INDEX(PASTE_ALL,$DF691,52)&amp;"","")&amp;"␟"&amp;IFERROR(INDEX(PASTE_ALL,$DF691,53)&amp;"","")&amp;"␟"&amp;IFERROR(INDEX(PASTE_ALL,$DF691,54)&amp;"","")&amp;"␟"&amp;IFERROR(INDEX(PASTE_ALL,$DF691,55)&amp;"","")&amp;"␟"&amp;IFERROR(INDEX(PASTE_ALL,$DF691,56)&amp;"","")&amp;"␟"&amp;IFERROR(INDEX(PASTE_ALL,$DF691,57)&amp;"","")&amp;"␟"&amp;IFERROR(INDEX(PASTE_ALL,$DF691,58)&amp;"","")&amp;"␟"&amp;IFERROR(INDEX(PASTE_ALL,$DF691,59)&amp;"","")&amp;"␟"&amp;IFERROR(INDEX(PASTE_ALL,$DF691,60)&amp;"","")," "," "),CHAR(9)," "),CHAR(10)," "),CHAR(13)," "))," ␟","␟"),"␟ ","␟"),"#"&amp;$DE691),"")</f>
        <v/>
      </c>
      <c r="DJ691">
        <f>IF($DI691="",0,IF(SUMPRODUCT(--EXACT($DI$4:DI690,$DI691))&gt;0,1,0))</f>
        <v/>
      </c>
      <c r="DK691">
        <f>IF(AND($DI691&lt;&gt;"",$DJ691=0),1,0)</f>
        <v/>
      </c>
      <c r="DL691">
        <f>DL690+$DK691</f>
        <v/>
      </c>
      <c r="DM691">
        <f>IF(AND($DK691=1,$DL691&lt;=600),1,0)</f>
        <v/>
      </c>
      <c r="DN691">
        <f>IF($DM691=0,"",IF($L$6=0,"",IFERROR(IF(ISNUMBER(INDEX(PASTE_ALL,$DF691,$L$6)),INDEX(PASTE_ALL,$DF691,$L$6),TRIM(SUBSTITUTE(SUBSTITUTE(SUBSTITUTE(SUBSTITUTE(INDEX(PASTE_ALL,$DF691,$L$6)," "," "),CHAR(9)," "),CHAR(10)," "),CHAR(13)," "))),"")))</f>
        <v/>
      </c>
      <c r="DO691">
        <f>IF($DM691=0,"",IF($L$7=0,"",IFERROR(IF(ISNUMBER(INDEX(PASTE_ALL,$DF691,$L$7)),INDEX(PASTE_ALL,$DF691,$L$7),TRIM(SUBSTITUTE(SUBSTITUTE(SUBSTITUTE(SUBSTITUTE(INDEX(PASTE_ALL,$DF691,$L$7)," "," "),CHAR(9)," "),CHAR(10)," "),CHAR(13)," "))),"")))</f>
        <v/>
      </c>
      <c r="DP691">
        <f>IF($DM691=0,"",IF($L$8=0,"",IFERROR(IF(ISNUMBER(INDEX(PASTE_ALL,$DF691,$L$8)),INDEX(PASTE_ALL,$DF691,$L$8),TRIM(SUBSTITUTE(SUBSTITUTE(SUBSTITUTE(SUBSTITUTE(INDEX(PASTE_ALL,$DF691,$L$8)," "," "),CHAR(9)," "),CHAR(10)," "),CHAR(13)," "))),"")))</f>
        <v/>
      </c>
      <c r="DQ691">
        <f>IF($DM691=0,"",IF($L$9=0,"",IFERROR(IF(ISNUMBER(INDEX(PASTE_ALL,$DF691,$L$9)),INDEX(PASTE_ALL,$DF691,$L$9),TRIM(SUBSTITUTE(SUBSTITUTE(SUBSTITUTE(SUBSTITUTE(INDEX(PASTE_ALL,$DF691,$L$9)," "," "),CHAR(9)," "),CHAR(10)," "),CHAR(13)," "))),"")))</f>
        <v/>
      </c>
      <c r="DR691">
        <f>IF($DM691=0,"",IF($L$10=0,"",IFERROR(IF(ISNUMBER(INDEX(PASTE_ALL,$DF691,$L$10)),INDEX(PASTE_ALL,$DF691,$L$10),TRIM(SUBSTITUTE(SUBSTITUTE(SUBSTITUTE(SUBSTITUTE(INDEX(PASTE_ALL,$DF691,$L$10)," "," "),CHAR(9)," "),CHAR(10)," "),CHAR(13)," "))),"")))</f>
        <v/>
      </c>
      <c r="DS691">
        <f>IF($DM691=0,"",IF($L$11=0,"",IFERROR(IF(ISNUMBER(INDEX(PASTE_ALL,$DF691,$L$11)),INDEX(PASTE_ALL,$DF691,$L$11),TRIM(SUBSTITUTE(SUBSTITUTE(SUBSTITUTE(SUBSTITUTE(INDEX(PASTE_ALL,$DF691,$L$11)," "," "),CHAR(9)," "),CHAR(10)," "),CHAR(13)," "))),"")))</f>
        <v/>
      </c>
      <c r="DT691">
        <f>IF($DM691=0,"",IF($L$12=0,"",IFERROR(IF(ISNUMBER(INDEX(PASTE_ALL,$DF691,$L$12)),INDEX(PASTE_ALL,$DF691,$L$12),TRIM(SUBSTITUTE(SUBSTITUTE(SUBSTITUTE(SUBSTITUTE(INDEX(PASTE_ALL,$DF691,$L$12)," "," "),CHAR(9)," "),CHAR(10)," "),CHAR(13)," "))),"")))</f>
        <v/>
      </c>
      <c r="DU691">
        <f>IF($DM691=0,"",IF($L$13=0,"",IFERROR(IF(ISNUMBER(INDEX(PASTE_ALL,$DF691,$L$13)),INDEX(PASTE_ALL,$DF691,$L$13),TRIM(SUBSTITUTE(SUBSTITUTE(SUBSTITUTE(SUBSTITUTE(INDEX(PASTE_ALL,$DF691,$L$13)," "," "),CHAR(9)," "),CHAR(10)," "),CHAR(13)," "))),"")))</f>
        <v/>
      </c>
      <c r="DV691">
        <f>IF($DM691=0,"",IF($L$14=0,"",IFERROR(IF(ISNUMBER(INDEX(PASTE_ALL,$DF691,$L$14)),INDEX(PASTE_ALL,$DF691,$L$14),TRIM(SUBSTITUTE(SUBSTITUTE(SUBSTITUTE(SUBSTITUTE(INDEX(PASTE_ALL,$DF691,$L$14)," "," "),CHAR(9)," "),CHAR(10)," "),CHAR(13)," "))),"")))</f>
        <v/>
      </c>
      <c r="DW691">
        <f>IF($DM691=0,"",IF($L$15=0,"",IFERROR(IF(ISNUMBER(INDEX(PASTE_ALL,$DF691,$L$15)),INDEX(PASTE_ALL,$DF691,$L$15),IF(SUMPRODUCT(--ISNUMBER(FIND({"A","B","C","D","E","F","G","H","I","J","K","L","M","N","O","P","Q","R","S","T","U","V","W","X","Y","Z","0","1","2","3","4","5","6","7","8","9"},UPPER(TRIM(SUBSTITUTE(SUBSTITUTE(SUBSTITUTE(SUBSTITUTE(INDEX(PASTE_ALL,$DF691,$L$15)," "," "),CHAR(9)," "),CHAR(10)," "),CHAR(13)," "))))))&gt;0,TRIM(SUBSTITUTE(SUBSTITUTE(SUBSTITUTE(SUBSTITUTE(INDEX(PASTE_ALL,$DF691,$L$15)," "," "),CHAR(9)," "),CHAR(10)," "),CHAR(13)," ")),"")),"")))</f>
        <v/>
      </c>
      <c r="DX691">
        <f>IF($DM691=0,"",IF($L$16=0,"",IFERROR(IF(ISNUMBER(INDEX(PASTE_ALL,$DF691,$L$16)),INDEX(PASTE_ALL,$DF691,$L$16),SUBSTITUTE(SUBSTITUTE(TRIM(SUBSTITUTE(SUBSTITUTE(SUBSTITUTE(SUBSTITUTE(INDEX(PASTE_ALL,$DF691,$L$16)," "," "),CHAR(9)," "),CHAR(10)," "),CHAR(13)," ")),",",""),"%","")),"")))</f>
        <v/>
      </c>
      <c r="DY691">
        <f>IF($DM691=0,"",IFERROR(IF(ISNUMBER($DX691),$DX691,IF($DX691="","",IF(TRIM($DX691)="",0,IF(AND(AND(SUBSTITUTE(SUBSTITUTE(SUBSTITUTE(SUBSTITUTE(SUBSTITUTE(SUBSTITUTE(SUBSTITUTE(SUBSTITUTE(SUBSTITUTE(SUBSTITUTE(SUBSTITUTE(SUBSTITUTE(SUBSTITUTE(SUBSTITUTE(UPPER(TRIM($DX691)),"0",""),"1",""),"2",""),"3",""),"4",""),"5",""),"6",""),"7",""),"8",""),"9",""),".",""),"+",""),"-",""),"E","")="",LEN(SUBSTITUTE(SUBSTITUTE(MID(UPPER(TRIM($DX691)),1+OR(LEFT(UPPER(TRIM($DX691)),1)="+",LEFT(UPPER(TRIM($DX691)),1)="-"),999),"E+","E"),"E-","E"))=LEN(SUBSTITUTE(SUBSTITUTE(SUBSTITUTE(SUBSTITUTE(MID(UPPER(TRIM($DX691)),1+OR(LEFT(UPPER(TRIM($DX691)),1)="+",LEFT(UPPER(TRIM($DX691)),1)="-"),999),"E+","E"),"E-","E"),"+",""),"-","")),LEN(UPPER(TRIM($DX691)))-LEN(SUBSTITUTE(UPPER(TRIM($DX691)),"E",""))&lt;2,LEN(UPPER(TRIM($DX691)))-LEN(SUBSTITUTE(UPPER(TRIM($DX691)),".",""))&lt;2,IFERROR(FIND(".",UPPER(TRIM($DX691))),0)&lt;IFERROR(FIND("E",UPPER(TRIM($DX691))),999)),ISNUMBER(VALUE(TRIM($DX691)))),VALUE(TRIM($DX691)),"")))),""))</f>
        <v/>
      </c>
      <c r="DZ691">
        <f>IF($DM691=0,"",IF($L$17=0,"",IFERROR(IF(ISNUMBER(INDEX(PASTE_ALL,$DF691,$L$17)),INDEX(PASTE_ALL,$DF691,$L$17),SUBSTITUTE(SUBSTITUTE(TRIM(SUBSTITUTE(SUBSTITUTE(SUBSTITUTE(SUBSTITUTE(INDEX(PASTE_ALL,$DF691,$L$17)," "," "),CHAR(9)," "),CHAR(10)," "),CHAR(13)," ")),",",""),"%","")),"")))</f>
        <v/>
      </c>
      <c r="EA691">
        <f>IF($DM691=0,"",IFERROR(IF(ISNUMBER($DZ691),$DZ691,IF($DZ691="","",IF(TRIM($DZ691)="",0,IF(AND(AND(SUBSTITUTE(SUBSTITUTE(SUBSTITUTE(SUBSTITUTE(SUBSTITUTE(SUBSTITUTE(SUBSTITUTE(SUBSTITUTE(SUBSTITUTE(SUBSTITUTE(SUBSTITUTE(SUBSTITUTE(SUBSTITUTE(SUBSTITUTE(UPPER(TRIM($DZ691)),"0",""),"1",""),"2",""),"3",""),"4",""),"5",""),"6",""),"7",""),"8",""),"9",""),".",""),"+",""),"-",""),"E","")="",LEN(SUBSTITUTE(SUBSTITUTE(MID(UPPER(TRIM($DZ691)),1+OR(LEFT(UPPER(TRIM($DZ691)),1)="+",LEFT(UPPER(TRIM($DZ691)),1)="-"),999),"E+","E"),"E-","E"))=LEN(SUBSTITUTE(SUBSTITUTE(SUBSTITUTE(SUBSTITUTE(MID(UPPER(TRIM($DZ691)),1+OR(LEFT(UPPER(TRIM($DZ691)),1)="+",LEFT(UPPER(TRIM($DZ691)),1)="-"),999),"E+","E"),"E-","E"),"+",""),"-","")),LEN(UPPER(TRIM($DZ691)))-LEN(SUBSTITUTE(UPPER(TRIM($DZ691)),"E",""))&lt;2,LEN(UPPER(TRIM($DZ691)))-LEN(SUBSTITUTE(UPPER(TRIM($DZ691)),".",""))&lt;2,IFERROR(FIND(".",UPPER(TRIM($DZ691))),0)&lt;IFERROR(FIND("E",UPPER(TRIM($DZ691))),999)),ISNUMBER(VALUE(TRIM($DZ691)))),VALUE(TRIM($DZ691)),"")))),""))</f>
        <v/>
      </c>
      <c r="EB691">
        <f>IF($DM691=0,"",IF($L$18=0,"",IFERROR(IF(UPPER(TRIM(SUBSTITUTE(SUBSTITUTE(SUBSTITUTE(SUBSTITUTE(INDEX(PASTE_ALL,$DF691,$L$18)," "," "),CHAR(9)," "),CHAR(10)," "),CHAR(13)," ")))="READY","Ready",IF(UPPER(TRIM(SUBSTITUTE(SUBSTITUTE(SUBSTITUTE(SUBSTITUTE(INDEX(PASTE_ALL,$DF691,$L$18)," "," "),CHAR(9)," "),CHAR(10)," "),CHAR(13)," ")))="PM","PM",IF(OR(UPPER(TRIM(SUBSTITUTE(SUBSTITUTE(SUBSTITUTE(SUBSTITUTE(INDEX(PASTE_ALL,$DF691,$L$18)," "," "),CHAR(9)," "),CHAR(10)," "),CHAR(13)," ")))="OT",UPPER(TRIM(SUBSTITUTE(SUBSTITUTE(SUBSTITUTE(SUBSTITUTE(INDEX(PASTE_ALL,$DF691,$L$18)," "," "),CHAR(9)," "),CHAR(10)," "),CHAR(13)," ")))="OVERTIME",UPPER(TRIM(SUBSTITUTE(SUBSTITUTE(SUBSTITUTE(SUBSTITUTE(INDEX(PASTE_ALL,$DF691,$L$18)," "," "),CHAR(9)," "),CHAR(10)," "),CHAR(13)," ")))="TRIAL"),"OT",TRIM(SUBSTITUTE(SUBSTITUTE(SUBSTITUTE(SUBSTITUTE(INDEX(PASTE_ALL,$DF691,$L$18)," "," "),CHAR(9)," "),CHAR(10)," "),CHAR(13)," "))))),"")))</f>
        <v/>
      </c>
      <c r="EC691">
        <f>IF($DM691=0,"",IF($L$19=0,"",IFERROR(IF(ISNUMBER(INDEX(PASTE_ALL,$DF691,$L$19)),INDEX(PASTE_ALL,$DF691,$L$19),TRIM(SUBSTITUTE(SUBSTITUTE(SUBSTITUTE(SUBSTITUTE(INDEX(PASTE_ALL,$DF691,$L$19)," "," "),CHAR(9)," "),CHAR(10)," "),CHAR(13)," "))),"")))</f>
        <v/>
      </c>
      <c r="ED691">
        <f>IF($DM691=0,"",MATCH(1,INDEX(EXACT($DH$5:DH691,$DH691)*$DM$5:DM691,0),0))</f>
        <v/>
      </c>
      <c r="EE691">
        <f>IF($DM691=0,0,IF($ED691=$DE691,1,0))</f>
        <v/>
      </c>
      <c r="EF691">
        <f>EF690+$EE691</f>
        <v/>
      </c>
      <c r="EG691">
        <f>IF($DM691=0,"",INDEX($EF$5:$EF$1003,$ED691))</f>
        <v/>
      </c>
      <c r="EH691">
        <f>IF($DM691=0,"",IF($DO691&lt;&gt;"","",IFERROR(LOOKUP(2,1/(($EG$4:EG690=$EG691)*($DO$4:DO690&lt;&gt;"")),$DO$4:DO690),"")))</f>
        <v/>
      </c>
      <c r="EI691">
        <f>IF($DM691=0,"",IF($DO691&lt;&gt;"",$DO691,$EH691))</f>
        <v/>
      </c>
      <c r="EJ691">
        <f>IF($DM691=0,"",IF($EI691="",0,IF(OR(ISNUMBER($EI691),AND(AND(SUBSTITUTE(SUBSTITUTE(SUBSTITUTE(SUBSTITUTE(SUBSTITUTE(SUBSTITUTE(SUBSTITUTE(SUBSTITUTE(SUBSTITUTE(SUBSTITUTE(SUBSTITUTE(SUBSTITUTE(SUBSTITUTE(SUBSTITUTE(UPPER($EI691),"0",""),"1",""),"2",""),"3",""),"4",""),"5",""),"6",""),"7",""),"8",""),"9",""),".",""),"+",""),"-",""),"E","")="",LEN(SUBSTITUTE(SUBSTITUTE(MID(UPPER($EI691),1+OR(LEFT(UPPER($EI691),1)="+",LEFT(UPPER($EI691),1)="-"),999),"E+","E"),"E-","E"))=LEN(SUBSTITUTE(SUBSTITUTE(SUBSTITUTE(SUBSTITUTE(MID(UPPER($EI691),1+OR(LEFT(UPPER($EI691),1)="+",LEFT(UPPER($EI691),1)="-"),999),"E+","E"),"E-","E"),"+",""),"-","")),LEN(UPPER($EI691))-LEN(SUBSTITUTE(UPPER($EI691),"E",""))&lt;2,LEN(UPPER($EI691))-LEN(SUBSTITUTE(UPPER($EI691),".",""))&lt;2,IFERROR(FIND(".",UPPER($EI691)),0)&lt;IFERROR(FIND("E",UPPER($EI691)),999)),ISNUMBER(VALUE($EI691)))),1,2)))</f>
        <v/>
      </c>
      <c r="EK691">
        <f>IF($DM691=0,"",IF($EJ691=1,IF(ISNUMBER($EI691),$EI691,VALUE($EI691)),IF($EJ691=2,$DE691,0)))</f>
        <v/>
      </c>
      <c r="EL691">
        <f>IF($DM691=0,"",COUNTIF($EG$5:$EG$1003,"&lt;"&amp;$EG691)+SUMPRODUCT(($EG$5:$EG$1003=$EG691)*(($EJ$5:$EJ$1003&lt;$EJ691)+($EJ$5:$EJ$1003=$EJ691)*(($EK$5:$EK$1003&lt;$EK691)+($EK$5:$EK$1003=$EK691)*($DE$5:$DE$1003&lt;$DE691))))+1)</f>
        <v/>
      </c>
      <c r="EM691">
        <f>IF($DM691=0,"",$EL691+$EG691-1)</f>
        <v/>
      </c>
      <c r="EN691">
        <f>IF($DM691=0,0,IFERROR(MATCH(1,INDEX(--(TRIM(SUBSTITUTE(SUBSTITUTE(SUBSTITUTE(SUBSTITUTE(LINES_NAME&amp;""," "," "),CHAR(9)," "),CHAR(10)," "),CHAR(13)," "))=$DH691),0),0),0))</f>
        <v/>
      </c>
      <c r="EO691">
        <f>IF($EN691=0,0,IF(OR(UPPER(TRIM(INDEX(LINES_SCHEDULED,$EN691)&amp;""))="YES",UPPER(TRIM(INDEX(LINES_SCHEDULED,$EN691)&amp;""))="Y",UPPER(TRIM(INDEX(LINES_SCHEDULED,$EN691)&amp;""))="X"),1,0))</f>
        <v/>
      </c>
      <c r="EP691">
        <f>IF($DM691=0,"",IF(COUNTIFS($EG$5:$EG$1003,$EG691,$EB$5:$EB$1003,"Ready")&gt;0,"READY",IF(COUNTIFS($EG$5:$EG$1003,$EG691,$EB$5:$EB$1003,"PM")&gt;0,"PM",IF(COUNTIFS($EG$5:$EG$1003,$EG691,$EB$5:$EB$1003,"OT")&gt;0,"OT",""))))</f>
        <v/>
      </c>
      <c r="EQ691">
        <f>IF($EN691=0,"",UPPER(TRIM(INDEX(LINES_STATUS,$EN691)&amp;"")))</f>
        <v/>
      </c>
      <c r="ER691">
        <f>IF($DM691=0,"",IF(OR($EQ691="READY",$EQ691="PM",$EQ691="OT"),$EQ691,$EP691))</f>
        <v/>
      </c>
      <c r="ES691">
        <f>IF($DM691=0,"",IF(AND($DV691&lt;&gt;"",UPPER($DV691)&lt;&gt;"N"),"allergen",IF(ISNUMBER(SEARCH("oil",$DQ691)),"oil",IF(OR(EXACT($DS691,"A662"),EXACT($DS691,"A624")),"bulk",""))))</f>
        <v/>
      </c>
      <c r="ET691">
        <f>IF($DM691=0,"",IF(OR($EA691="",$EA691=0),"",$EA691/100))</f>
        <v/>
      </c>
      <c r="EU691">
        <f>IF(OR($ET691="",$DY691=""),"",INT($DY691*(1-$ET691)+0.5))</f>
        <v/>
      </c>
      <c r="EW691" t="n">
        <v>687</v>
      </c>
      <c r="EX691">
        <f>IFERROR(MATCH($EW691,$EM$5:$EM$1003,0),0)</f>
        <v/>
      </c>
      <c r="EY691">
        <f>IF($EW691&gt;$B$12,"",IF($EX691&gt;0,"row","spacer"))</f>
        <v/>
      </c>
      <c r="EZ691">
        <f>IF(AND($EY691="row",$EY690&lt;&gt;"row"),1,0)</f>
        <v/>
      </c>
      <c r="FA691">
        <f>IF(AND($EY691="row",$EY692&lt;&gt;"row"),1,0)</f>
        <v/>
      </c>
      <c r="FB691">
        <f>IF($EZ691=1,IFERROR(IF(ISNUMBER(INDEX(PASTE_ALL,INDEX($DF$5:$DF$1003,$EX691),$B$37)),INDEX(PASTE_ALL,INDEX($DF$5:$DF$1003,$EX691),$B$37),INDEX($DH$5:$DH$1003,$EX691)),INDEX($DH$5:$DH$1003,$EX691)),"")</f>
        <v/>
      </c>
      <c r="FC691">
        <f>IF($EY691="row",INDEX($ER$5:$ER$1003,$EX691),"")</f>
        <v/>
      </c>
      <c r="FD691">
        <f>IF($EY691="row",INDEX($DN$5:$DN$1003,$EX691),"")</f>
        <v/>
      </c>
      <c r="FE691">
        <f>IF($EY691="row",INDEX($DO$5:$DO$1003,$EX691),"")</f>
        <v/>
      </c>
      <c r="FF691">
        <f>IF($EY691="row",INDEX($DP$5:$DP$1003,$EX691),"")</f>
        <v/>
      </c>
      <c r="FG691">
        <f>IF($EY691="row",INDEX($DQ$5:$DQ$1003,$EX691),"")</f>
        <v/>
      </c>
      <c r="FH691">
        <f>IF($EY691="row",INDEX($DR$5:$DR$1003,$EX691),"")</f>
        <v/>
      </c>
      <c r="FI691">
        <f>IF($EY691="row",INDEX($DS$5:$DS$1003,$EX691),"")</f>
        <v/>
      </c>
      <c r="FJ691">
        <f>IF($EY691="row",INDEX($DT$5:$DT$1003,$EX691),"")</f>
        <v/>
      </c>
      <c r="FK691">
        <f>IF($EY691="row",INDEX($DU$5:$DU$1003,$EX691),"")</f>
        <v/>
      </c>
      <c r="FL691">
        <f>IF($EY691="row",INDEX($DV$5:$DV$1003,$EX691),"")</f>
        <v/>
      </c>
      <c r="FM691">
        <f>IF($EY691="row",INDEX($DW$5:$DW$1003,$EX691),"")</f>
        <v/>
      </c>
      <c r="FN691">
        <f>IF($EY691="row",INDEX($DY$5:$DY$1003,$EX691),"")</f>
        <v/>
      </c>
      <c r="FO691">
        <f>IF($EY691="row",INDEX($EA$5:$EA$1003,$EX691),"")</f>
        <v/>
      </c>
      <c r="FP691">
        <f>IF($EY691="row",INDEX($EC$5:$EC$1003,$EX691),"")</f>
        <v/>
      </c>
      <c r="FQ691">
        <f>IF($EY691="row",INDEX($ET$5:$ET$1003,$EX691),"")</f>
        <v/>
      </c>
      <c r="FR691">
        <f>IF($EY691="row",INDEX($EU$5:$EU$1003,$EX691),"")</f>
        <v/>
      </c>
      <c r="FS691">
        <f>IF(AND($EY691="row",$EY690="row"),IF(OR(INDEX($DT$5:$DT$1003,$EX690)="",INDEX($DT$5:$DT$1003,$EX691)=""),"",IF(NOT(EXACT(INDEX($DT$5:$DT$1003,$EX690),INDEX($DT$5:$DT$1003,$EX691))),"S4",IF(NOT(EXACT(INDEX($DS$5:$DS$1003,$EX690),INDEX($DS$5:$DS$1003,$EX691))),"S3",IF(NOT(EXACT(INDEX($DR$5:$DR$1003,$EX690),INDEX($DR$5:$DR$1003,$EX691))),"S1 Count Change","S1")))),"")</f>
        <v/>
      </c>
      <c r="FT691">
        <f>IF($EY691="row",INDEX($ES$5:$ES$1003,$EX691),"")</f>
        <v/>
      </c>
      <c r="FU691">
        <f>IF($EY691="row",INDEX($EO$5:$EO$1003,$EX691),0)</f>
        <v/>
      </c>
      <c r="FV691">
        <f>IF($FS691="S1 Count Change",1,0)</f>
        <v/>
      </c>
    </row>
    <row r="692">
      <c r="DA692" t="n">
        <v>688</v>
      </c>
      <c r="DB692">
        <f>IF($B$37=0,"",IFERROR(TRIM(SUBSTITUTE(SUBSTITUTE(SUBSTITUTE(SUBSTITUTE(INDEX(PASTE_ALL,688,$B$37)," "," "),CHAR(9)," "),CHAR(10)," "),CHAR(13)," ")),""))</f>
        <v/>
      </c>
      <c r="DC692">
        <f>IF(AND(688&gt;HEADER_ROW,UPPER(DB692)="LEGEND"),1,0)</f>
        <v/>
      </c>
      <c r="DE692" t="n">
        <v>688</v>
      </c>
      <c r="DF692">
        <f>HEADER_ROW+$DE692</f>
        <v/>
      </c>
      <c r="DG692">
        <f>IF(AND($DF692&lt;=1000,$DF692&lt;$B$8),1,0)</f>
        <v/>
      </c>
      <c r="DH692">
        <f>IF($DG692=1,IFERROR(INDEX($DB$5:$DB$1004,$DF692),""),"")</f>
        <v/>
      </c>
      <c r="DI692">
        <f>IF(AND($DG692=1,$DH692&lt;&gt;""),IFERROR(SUBSTITUTE(SUBSTITUTE(TRIM(SUBSTITUTE(SUBSTITUTE(SUBSTITUTE(SUBSTITUTE(IFERROR(INDEX(PASTE_ALL,$DF692,1)&amp;"","")&amp;"␟"&amp;IFERROR(INDEX(PASTE_ALL,$DF692,2)&amp;"","")&amp;"␟"&amp;IFERROR(INDEX(PASTE_ALL,$DF692,3)&amp;"","")&amp;"␟"&amp;IFERROR(INDEX(PASTE_ALL,$DF692,4)&amp;"","")&amp;"␟"&amp;IFERROR(INDEX(PASTE_ALL,$DF692,5)&amp;"","")&amp;"␟"&amp;IFERROR(INDEX(PASTE_ALL,$DF692,6)&amp;"","")&amp;"␟"&amp;IFERROR(INDEX(PASTE_ALL,$DF692,7)&amp;"","")&amp;"␟"&amp;IFERROR(INDEX(PASTE_ALL,$DF692,8)&amp;"","")&amp;"␟"&amp;IFERROR(INDEX(PASTE_ALL,$DF692,9)&amp;"","")&amp;"␟"&amp;IFERROR(INDEX(PASTE_ALL,$DF692,10)&amp;"","")&amp;"␟"&amp;IFERROR(INDEX(PASTE_ALL,$DF692,11)&amp;"","")&amp;"␟"&amp;IFERROR(INDEX(PASTE_ALL,$DF692,12)&amp;"","")&amp;"␟"&amp;IFERROR(INDEX(PASTE_ALL,$DF692,13)&amp;"","")&amp;"␟"&amp;IFERROR(INDEX(PASTE_ALL,$DF692,14)&amp;"","")&amp;"␟"&amp;IFERROR(INDEX(PASTE_ALL,$DF692,15)&amp;"","")&amp;"␟"&amp;IFERROR(INDEX(PASTE_ALL,$DF692,16)&amp;"","")&amp;"␟"&amp;IFERROR(INDEX(PASTE_ALL,$DF692,17)&amp;"","")&amp;"␟"&amp;IFERROR(INDEX(PASTE_ALL,$DF692,18)&amp;"","")&amp;"␟"&amp;IFERROR(INDEX(PASTE_ALL,$DF692,19)&amp;"","")&amp;"␟"&amp;IFERROR(INDEX(PASTE_ALL,$DF692,20)&amp;"","")&amp;"␟"&amp;IFERROR(INDEX(PASTE_ALL,$DF692,21)&amp;"","")&amp;"␟"&amp;IFERROR(INDEX(PASTE_ALL,$DF692,22)&amp;"","")&amp;"␟"&amp;IFERROR(INDEX(PASTE_ALL,$DF692,23)&amp;"","")&amp;"␟"&amp;IFERROR(INDEX(PASTE_ALL,$DF692,24)&amp;"","")&amp;"␟"&amp;IFERROR(INDEX(PASTE_ALL,$DF692,25)&amp;"","")&amp;"␟"&amp;IFERROR(INDEX(PASTE_ALL,$DF692,26)&amp;"","")&amp;"␟"&amp;IFERROR(INDEX(PASTE_ALL,$DF692,27)&amp;"","")&amp;"␟"&amp;IFERROR(INDEX(PASTE_ALL,$DF692,28)&amp;"","")&amp;"␟"&amp;IFERROR(INDEX(PASTE_ALL,$DF692,29)&amp;"","")&amp;"␟"&amp;IFERROR(INDEX(PASTE_ALL,$DF692,30)&amp;"","")&amp;"␟"&amp;IFERROR(INDEX(PASTE_ALL,$DF692,31)&amp;"","")&amp;"␟"&amp;IFERROR(INDEX(PASTE_ALL,$DF692,32)&amp;"","")&amp;"␟"&amp;IFERROR(INDEX(PASTE_ALL,$DF692,33)&amp;"","")&amp;"␟"&amp;IFERROR(INDEX(PASTE_ALL,$DF692,34)&amp;"","")&amp;"␟"&amp;IFERROR(INDEX(PASTE_ALL,$DF692,35)&amp;"","")&amp;"␟"&amp;IFERROR(INDEX(PASTE_ALL,$DF692,36)&amp;"","")&amp;"␟"&amp;IFERROR(INDEX(PASTE_ALL,$DF692,37)&amp;"","")&amp;"␟"&amp;IFERROR(INDEX(PASTE_ALL,$DF692,38)&amp;"","")&amp;"␟"&amp;IFERROR(INDEX(PASTE_ALL,$DF692,39)&amp;"","")&amp;"␟"&amp;IFERROR(INDEX(PASTE_ALL,$DF692,40)&amp;"","")&amp;"␟"&amp;IFERROR(INDEX(PASTE_ALL,$DF692,41)&amp;"","")&amp;"␟"&amp;IFERROR(INDEX(PASTE_ALL,$DF692,42)&amp;"","")&amp;"␟"&amp;IFERROR(INDEX(PASTE_ALL,$DF692,43)&amp;"","")&amp;"␟"&amp;IFERROR(INDEX(PASTE_ALL,$DF692,44)&amp;"","")&amp;"␟"&amp;IFERROR(INDEX(PASTE_ALL,$DF692,45)&amp;"","")&amp;"␟"&amp;IFERROR(INDEX(PASTE_ALL,$DF692,46)&amp;"","")&amp;"␟"&amp;IFERROR(INDEX(PASTE_ALL,$DF692,47)&amp;"","")&amp;"␟"&amp;IFERROR(INDEX(PASTE_ALL,$DF692,48)&amp;"","")&amp;"␟"&amp;IFERROR(INDEX(PASTE_ALL,$DF692,49)&amp;"","")&amp;"␟"&amp;IFERROR(INDEX(PASTE_ALL,$DF692,50)&amp;"","")&amp;"␟"&amp;IFERROR(INDEX(PASTE_ALL,$DF692,51)&amp;"","")&amp;"␟"&amp;IFERROR(INDEX(PASTE_ALL,$DF692,52)&amp;"","")&amp;"␟"&amp;IFERROR(INDEX(PASTE_ALL,$DF692,53)&amp;"","")&amp;"␟"&amp;IFERROR(INDEX(PASTE_ALL,$DF692,54)&amp;"","")&amp;"␟"&amp;IFERROR(INDEX(PASTE_ALL,$DF692,55)&amp;"","")&amp;"␟"&amp;IFERROR(INDEX(PASTE_ALL,$DF692,56)&amp;"","")&amp;"␟"&amp;IFERROR(INDEX(PASTE_ALL,$DF692,57)&amp;"","")&amp;"␟"&amp;IFERROR(INDEX(PASTE_ALL,$DF692,58)&amp;"","")&amp;"␟"&amp;IFERROR(INDEX(PASTE_ALL,$DF692,59)&amp;"","")&amp;"␟"&amp;IFERROR(INDEX(PASTE_ALL,$DF692,60)&amp;"","")," "," "),CHAR(9)," "),CHAR(10)," "),CHAR(13)," "))," ␟","␟"),"␟ ","␟"),"#"&amp;$DE692),"")</f>
        <v/>
      </c>
      <c r="DJ692">
        <f>IF($DI692="",0,IF(SUMPRODUCT(--EXACT($DI$4:DI691,$DI692))&gt;0,1,0))</f>
        <v/>
      </c>
      <c r="DK692">
        <f>IF(AND($DI692&lt;&gt;"",$DJ692=0),1,0)</f>
        <v/>
      </c>
      <c r="DL692">
        <f>DL691+$DK692</f>
        <v/>
      </c>
      <c r="DM692">
        <f>IF(AND($DK692=1,$DL692&lt;=600),1,0)</f>
        <v/>
      </c>
      <c r="DN692">
        <f>IF($DM692=0,"",IF($L$6=0,"",IFERROR(IF(ISNUMBER(INDEX(PASTE_ALL,$DF692,$L$6)),INDEX(PASTE_ALL,$DF692,$L$6),TRIM(SUBSTITUTE(SUBSTITUTE(SUBSTITUTE(SUBSTITUTE(INDEX(PASTE_ALL,$DF692,$L$6)," "," "),CHAR(9)," "),CHAR(10)," "),CHAR(13)," "))),"")))</f>
        <v/>
      </c>
      <c r="DO692">
        <f>IF($DM692=0,"",IF($L$7=0,"",IFERROR(IF(ISNUMBER(INDEX(PASTE_ALL,$DF692,$L$7)),INDEX(PASTE_ALL,$DF692,$L$7),TRIM(SUBSTITUTE(SUBSTITUTE(SUBSTITUTE(SUBSTITUTE(INDEX(PASTE_ALL,$DF692,$L$7)," "," "),CHAR(9)," "),CHAR(10)," "),CHAR(13)," "))),"")))</f>
        <v/>
      </c>
      <c r="DP692">
        <f>IF($DM692=0,"",IF($L$8=0,"",IFERROR(IF(ISNUMBER(INDEX(PASTE_ALL,$DF692,$L$8)),INDEX(PASTE_ALL,$DF692,$L$8),TRIM(SUBSTITUTE(SUBSTITUTE(SUBSTITUTE(SUBSTITUTE(INDEX(PASTE_ALL,$DF692,$L$8)," "," "),CHAR(9)," "),CHAR(10)," "),CHAR(13)," "))),"")))</f>
        <v/>
      </c>
      <c r="DQ692">
        <f>IF($DM692=0,"",IF($L$9=0,"",IFERROR(IF(ISNUMBER(INDEX(PASTE_ALL,$DF692,$L$9)),INDEX(PASTE_ALL,$DF692,$L$9),TRIM(SUBSTITUTE(SUBSTITUTE(SUBSTITUTE(SUBSTITUTE(INDEX(PASTE_ALL,$DF692,$L$9)," "," "),CHAR(9)," "),CHAR(10)," "),CHAR(13)," "))),"")))</f>
        <v/>
      </c>
      <c r="DR692">
        <f>IF($DM692=0,"",IF($L$10=0,"",IFERROR(IF(ISNUMBER(INDEX(PASTE_ALL,$DF692,$L$10)),INDEX(PASTE_ALL,$DF692,$L$10),TRIM(SUBSTITUTE(SUBSTITUTE(SUBSTITUTE(SUBSTITUTE(INDEX(PASTE_ALL,$DF692,$L$10)," "," "),CHAR(9)," "),CHAR(10)," "),CHAR(13)," "))),"")))</f>
        <v/>
      </c>
      <c r="DS692">
        <f>IF($DM692=0,"",IF($L$11=0,"",IFERROR(IF(ISNUMBER(INDEX(PASTE_ALL,$DF692,$L$11)),INDEX(PASTE_ALL,$DF692,$L$11),TRIM(SUBSTITUTE(SUBSTITUTE(SUBSTITUTE(SUBSTITUTE(INDEX(PASTE_ALL,$DF692,$L$11)," "," "),CHAR(9)," "),CHAR(10)," "),CHAR(13)," "))),"")))</f>
        <v/>
      </c>
      <c r="DT692">
        <f>IF($DM692=0,"",IF($L$12=0,"",IFERROR(IF(ISNUMBER(INDEX(PASTE_ALL,$DF692,$L$12)),INDEX(PASTE_ALL,$DF692,$L$12),TRIM(SUBSTITUTE(SUBSTITUTE(SUBSTITUTE(SUBSTITUTE(INDEX(PASTE_ALL,$DF692,$L$12)," "," "),CHAR(9)," "),CHAR(10)," "),CHAR(13)," "))),"")))</f>
        <v/>
      </c>
      <c r="DU692">
        <f>IF($DM692=0,"",IF($L$13=0,"",IFERROR(IF(ISNUMBER(INDEX(PASTE_ALL,$DF692,$L$13)),INDEX(PASTE_ALL,$DF692,$L$13),TRIM(SUBSTITUTE(SUBSTITUTE(SUBSTITUTE(SUBSTITUTE(INDEX(PASTE_ALL,$DF692,$L$13)," "," "),CHAR(9)," "),CHAR(10)," "),CHAR(13)," "))),"")))</f>
        <v/>
      </c>
      <c r="DV692">
        <f>IF($DM692=0,"",IF($L$14=0,"",IFERROR(IF(ISNUMBER(INDEX(PASTE_ALL,$DF692,$L$14)),INDEX(PASTE_ALL,$DF692,$L$14),TRIM(SUBSTITUTE(SUBSTITUTE(SUBSTITUTE(SUBSTITUTE(INDEX(PASTE_ALL,$DF692,$L$14)," "," "),CHAR(9)," "),CHAR(10)," "),CHAR(13)," "))),"")))</f>
        <v/>
      </c>
      <c r="DW692">
        <f>IF($DM692=0,"",IF($L$15=0,"",IFERROR(IF(ISNUMBER(INDEX(PASTE_ALL,$DF692,$L$15)),INDEX(PASTE_ALL,$DF692,$L$15),IF(SUMPRODUCT(--ISNUMBER(FIND({"A","B","C","D","E","F","G","H","I","J","K","L","M","N","O","P","Q","R","S","T","U","V","W","X","Y","Z","0","1","2","3","4","5","6","7","8","9"},UPPER(TRIM(SUBSTITUTE(SUBSTITUTE(SUBSTITUTE(SUBSTITUTE(INDEX(PASTE_ALL,$DF692,$L$15)," "," "),CHAR(9)," "),CHAR(10)," "),CHAR(13)," "))))))&gt;0,TRIM(SUBSTITUTE(SUBSTITUTE(SUBSTITUTE(SUBSTITUTE(INDEX(PASTE_ALL,$DF692,$L$15)," "," "),CHAR(9)," "),CHAR(10)," "),CHAR(13)," ")),"")),"")))</f>
        <v/>
      </c>
      <c r="DX692">
        <f>IF($DM692=0,"",IF($L$16=0,"",IFERROR(IF(ISNUMBER(INDEX(PASTE_ALL,$DF692,$L$16)),INDEX(PASTE_ALL,$DF692,$L$16),SUBSTITUTE(SUBSTITUTE(TRIM(SUBSTITUTE(SUBSTITUTE(SUBSTITUTE(SUBSTITUTE(INDEX(PASTE_ALL,$DF692,$L$16)," "," "),CHAR(9)," "),CHAR(10)," "),CHAR(13)," ")),",",""),"%","")),"")))</f>
        <v/>
      </c>
      <c r="DY692">
        <f>IF($DM692=0,"",IFERROR(IF(ISNUMBER($DX692),$DX692,IF($DX692="","",IF(TRIM($DX692)="",0,IF(AND(AND(SUBSTITUTE(SUBSTITUTE(SUBSTITUTE(SUBSTITUTE(SUBSTITUTE(SUBSTITUTE(SUBSTITUTE(SUBSTITUTE(SUBSTITUTE(SUBSTITUTE(SUBSTITUTE(SUBSTITUTE(SUBSTITUTE(SUBSTITUTE(UPPER(TRIM($DX692)),"0",""),"1",""),"2",""),"3",""),"4",""),"5",""),"6",""),"7",""),"8",""),"9",""),".",""),"+",""),"-",""),"E","")="",LEN(SUBSTITUTE(SUBSTITUTE(MID(UPPER(TRIM($DX692)),1+OR(LEFT(UPPER(TRIM($DX692)),1)="+",LEFT(UPPER(TRIM($DX692)),1)="-"),999),"E+","E"),"E-","E"))=LEN(SUBSTITUTE(SUBSTITUTE(SUBSTITUTE(SUBSTITUTE(MID(UPPER(TRIM($DX692)),1+OR(LEFT(UPPER(TRIM($DX692)),1)="+",LEFT(UPPER(TRIM($DX692)),1)="-"),999),"E+","E"),"E-","E"),"+",""),"-","")),LEN(UPPER(TRIM($DX692)))-LEN(SUBSTITUTE(UPPER(TRIM($DX692)),"E",""))&lt;2,LEN(UPPER(TRIM($DX692)))-LEN(SUBSTITUTE(UPPER(TRIM($DX692)),".",""))&lt;2,IFERROR(FIND(".",UPPER(TRIM($DX692))),0)&lt;IFERROR(FIND("E",UPPER(TRIM($DX692))),999)),ISNUMBER(VALUE(TRIM($DX692)))),VALUE(TRIM($DX692)),"")))),""))</f>
        <v/>
      </c>
      <c r="DZ692">
        <f>IF($DM692=0,"",IF($L$17=0,"",IFERROR(IF(ISNUMBER(INDEX(PASTE_ALL,$DF692,$L$17)),INDEX(PASTE_ALL,$DF692,$L$17),SUBSTITUTE(SUBSTITUTE(TRIM(SUBSTITUTE(SUBSTITUTE(SUBSTITUTE(SUBSTITUTE(INDEX(PASTE_ALL,$DF692,$L$17)," "," "),CHAR(9)," "),CHAR(10)," "),CHAR(13)," ")),",",""),"%","")),"")))</f>
        <v/>
      </c>
      <c r="EA692">
        <f>IF($DM692=0,"",IFERROR(IF(ISNUMBER($DZ692),$DZ692,IF($DZ692="","",IF(TRIM($DZ692)="",0,IF(AND(AND(SUBSTITUTE(SUBSTITUTE(SUBSTITUTE(SUBSTITUTE(SUBSTITUTE(SUBSTITUTE(SUBSTITUTE(SUBSTITUTE(SUBSTITUTE(SUBSTITUTE(SUBSTITUTE(SUBSTITUTE(SUBSTITUTE(SUBSTITUTE(UPPER(TRIM($DZ692)),"0",""),"1",""),"2",""),"3",""),"4",""),"5",""),"6",""),"7",""),"8",""),"9",""),".",""),"+",""),"-",""),"E","")="",LEN(SUBSTITUTE(SUBSTITUTE(MID(UPPER(TRIM($DZ692)),1+OR(LEFT(UPPER(TRIM($DZ692)),1)="+",LEFT(UPPER(TRIM($DZ692)),1)="-"),999),"E+","E"),"E-","E"))=LEN(SUBSTITUTE(SUBSTITUTE(SUBSTITUTE(SUBSTITUTE(MID(UPPER(TRIM($DZ692)),1+OR(LEFT(UPPER(TRIM($DZ692)),1)="+",LEFT(UPPER(TRIM($DZ692)),1)="-"),999),"E+","E"),"E-","E"),"+",""),"-","")),LEN(UPPER(TRIM($DZ692)))-LEN(SUBSTITUTE(UPPER(TRIM($DZ692)),"E",""))&lt;2,LEN(UPPER(TRIM($DZ692)))-LEN(SUBSTITUTE(UPPER(TRIM($DZ692)),".",""))&lt;2,IFERROR(FIND(".",UPPER(TRIM($DZ692))),0)&lt;IFERROR(FIND("E",UPPER(TRIM($DZ692))),999)),ISNUMBER(VALUE(TRIM($DZ692)))),VALUE(TRIM($DZ692)),"")))),""))</f>
        <v/>
      </c>
      <c r="EB692">
        <f>IF($DM692=0,"",IF($L$18=0,"",IFERROR(IF(UPPER(TRIM(SUBSTITUTE(SUBSTITUTE(SUBSTITUTE(SUBSTITUTE(INDEX(PASTE_ALL,$DF692,$L$18)," "," "),CHAR(9)," "),CHAR(10)," "),CHAR(13)," ")))="READY","Ready",IF(UPPER(TRIM(SUBSTITUTE(SUBSTITUTE(SUBSTITUTE(SUBSTITUTE(INDEX(PASTE_ALL,$DF692,$L$18)," "," "),CHAR(9)," "),CHAR(10)," "),CHAR(13)," ")))="PM","PM",IF(OR(UPPER(TRIM(SUBSTITUTE(SUBSTITUTE(SUBSTITUTE(SUBSTITUTE(INDEX(PASTE_ALL,$DF692,$L$18)," "," "),CHAR(9)," "),CHAR(10)," "),CHAR(13)," ")))="OT",UPPER(TRIM(SUBSTITUTE(SUBSTITUTE(SUBSTITUTE(SUBSTITUTE(INDEX(PASTE_ALL,$DF692,$L$18)," "," "),CHAR(9)," "),CHAR(10)," "),CHAR(13)," ")))="OVERTIME",UPPER(TRIM(SUBSTITUTE(SUBSTITUTE(SUBSTITUTE(SUBSTITUTE(INDEX(PASTE_ALL,$DF692,$L$18)," "," "),CHAR(9)," "),CHAR(10)," "),CHAR(13)," ")))="TRIAL"),"OT",TRIM(SUBSTITUTE(SUBSTITUTE(SUBSTITUTE(SUBSTITUTE(INDEX(PASTE_ALL,$DF692,$L$18)," "," "),CHAR(9)," "),CHAR(10)," "),CHAR(13)," "))))),"")))</f>
        <v/>
      </c>
      <c r="EC692">
        <f>IF($DM692=0,"",IF($L$19=0,"",IFERROR(IF(ISNUMBER(INDEX(PASTE_ALL,$DF692,$L$19)),INDEX(PASTE_ALL,$DF692,$L$19),TRIM(SUBSTITUTE(SUBSTITUTE(SUBSTITUTE(SUBSTITUTE(INDEX(PASTE_ALL,$DF692,$L$19)," "," "),CHAR(9)," "),CHAR(10)," "),CHAR(13)," "))),"")))</f>
        <v/>
      </c>
      <c r="ED692">
        <f>IF($DM692=0,"",MATCH(1,INDEX(EXACT($DH$5:DH692,$DH692)*$DM$5:DM692,0),0))</f>
        <v/>
      </c>
      <c r="EE692">
        <f>IF($DM692=0,0,IF($ED692=$DE692,1,0))</f>
        <v/>
      </c>
      <c r="EF692">
        <f>EF691+$EE692</f>
        <v/>
      </c>
      <c r="EG692">
        <f>IF($DM692=0,"",INDEX($EF$5:$EF$1003,$ED692))</f>
        <v/>
      </c>
      <c r="EH692">
        <f>IF($DM692=0,"",IF($DO692&lt;&gt;"","",IFERROR(LOOKUP(2,1/(($EG$4:EG691=$EG692)*($DO$4:DO691&lt;&gt;"")),$DO$4:DO691),"")))</f>
        <v/>
      </c>
      <c r="EI692">
        <f>IF($DM692=0,"",IF($DO692&lt;&gt;"",$DO692,$EH692))</f>
        <v/>
      </c>
      <c r="EJ692">
        <f>IF($DM692=0,"",IF($EI692="",0,IF(OR(ISNUMBER($EI692),AND(AND(SUBSTITUTE(SUBSTITUTE(SUBSTITUTE(SUBSTITUTE(SUBSTITUTE(SUBSTITUTE(SUBSTITUTE(SUBSTITUTE(SUBSTITUTE(SUBSTITUTE(SUBSTITUTE(SUBSTITUTE(SUBSTITUTE(SUBSTITUTE(UPPER($EI692),"0",""),"1",""),"2",""),"3",""),"4",""),"5",""),"6",""),"7",""),"8",""),"9",""),".",""),"+",""),"-",""),"E","")="",LEN(SUBSTITUTE(SUBSTITUTE(MID(UPPER($EI692),1+OR(LEFT(UPPER($EI692),1)="+",LEFT(UPPER($EI692),1)="-"),999),"E+","E"),"E-","E"))=LEN(SUBSTITUTE(SUBSTITUTE(SUBSTITUTE(SUBSTITUTE(MID(UPPER($EI692),1+OR(LEFT(UPPER($EI692),1)="+",LEFT(UPPER($EI692),1)="-"),999),"E+","E"),"E-","E"),"+",""),"-","")),LEN(UPPER($EI692))-LEN(SUBSTITUTE(UPPER($EI692),"E",""))&lt;2,LEN(UPPER($EI692))-LEN(SUBSTITUTE(UPPER($EI692),".",""))&lt;2,IFERROR(FIND(".",UPPER($EI692)),0)&lt;IFERROR(FIND("E",UPPER($EI692)),999)),ISNUMBER(VALUE($EI692)))),1,2)))</f>
        <v/>
      </c>
      <c r="EK692">
        <f>IF($DM692=0,"",IF($EJ692=1,IF(ISNUMBER($EI692),$EI692,VALUE($EI692)),IF($EJ692=2,$DE692,0)))</f>
        <v/>
      </c>
      <c r="EL692">
        <f>IF($DM692=0,"",COUNTIF($EG$5:$EG$1003,"&lt;"&amp;$EG692)+SUMPRODUCT(($EG$5:$EG$1003=$EG692)*(($EJ$5:$EJ$1003&lt;$EJ692)+($EJ$5:$EJ$1003=$EJ692)*(($EK$5:$EK$1003&lt;$EK692)+($EK$5:$EK$1003=$EK692)*($DE$5:$DE$1003&lt;$DE692))))+1)</f>
        <v/>
      </c>
      <c r="EM692">
        <f>IF($DM692=0,"",$EL692+$EG692-1)</f>
        <v/>
      </c>
      <c r="EN692">
        <f>IF($DM692=0,0,IFERROR(MATCH(1,INDEX(--(TRIM(SUBSTITUTE(SUBSTITUTE(SUBSTITUTE(SUBSTITUTE(LINES_NAME&amp;""," "," "),CHAR(9)," "),CHAR(10)," "),CHAR(13)," "))=$DH692),0),0),0))</f>
        <v/>
      </c>
      <c r="EO692">
        <f>IF($EN692=0,0,IF(OR(UPPER(TRIM(INDEX(LINES_SCHEDULED,$EN692)&amp;""))="YES",UPPER(TRIM(INDEX(LINES_SCHEDULED,$EN692)&amp;""))="Y",UPPER(TRIM(INDEX(LINES_SCHEDULED,$EN692)&amp;""))="X"),1,0))</f>
        <v/>
      </c>
      <c r="EP692">
        <f>IF($DM692=0,"",IF(COUNTIFS($EG$5:$EG$1003,$EG692,$EB$5:$EB$1003,"Ready")&gt;0,"READY",IF(COUNTIFS($EG$5:$EG$1003,$EG692,$EB$5:$EB$1003,"PM")&gt;0,"PM",IF(COUNTIFS($EG$5:$EG$1003,$EG692,$EB$5:$EB$1003,"OT")&gt;0,"OT",""))))</f>
        <v/>
      </c>
      <c r="EQ692">
        <f>IF($EN692=0,"",UPPER(TRIM(INDEX(LINES_STATUS,$EN692)&amp;"")))</f>
        <v/>
      </c>
      <c r="ER692">
        <f>IF($DM692=0,"",IF(OR($EQ692="READY",$EQ692="PM",$EQ692="OT"),$EQ692,$EP692))</f>
        <v/>
      </c>
      <c r="ES692">
        <f>IF($DM692=0,"",IF(AND($DV692&lt;&gt;"",UPPER($DV692)&lt;&gt;"N"),"allergen",IF(ISNUMBER(SEARCH("oil",$DQ692)),"oil",IF(OR(EXACT($DS692,"A662"),EXACT($DS692,"A624")),"bulk",""))))</f>
        <v/>
      </c>
      <c r="ET692">
        <f>IF($DM692=0,"",IF(OR($EA692="",$EA692=0),"",$EA692/100))</f>
        <v/>
      </c>
      <c r="EU692">
        <f>IF(OR($ET692="",$DY692=""),"",INT($DY692*(1-$ET692)+0.5))</f>
        <v/>
      </c>
      <c r="EW692" t="n">
        <v>688</v>
      </c>
      <c r="EX692">
        <f>IFERROR(MATCH($EW692,$EM$5:$EM$1003,0),0)</f>
        <v/>
      </c>
      <c r="EY692">
        <f>IF($EW692&gt;$B$12,"",IF($EX692&gt;0,"row","spacer"))</f>
        <v/>
      </c>
      <c r="EZ692">
        <f>IF(AND($EY692="row",$EY691&lt;&gt;"row"),1,0)</f>
        <v/>
      </c>
      <c r="FA692">
        <f>IF(AND($EY692="row",$EY693&lt;&gt;"row"),1,0)</f>
        <v/>
      </c>
      <c r="FB692">
        <f>IF($EZ692=1,IFERROR(IF(ISNUMBER(INDEX(PASTE_ALL,INDEX($DF$5:$DF$1003,$EX692),$B$37)),INDEX(PASTE_ALL,INDEX($DF$5:$DF$1003,$EX692),$B$37),INDEX($DH$5:$DH$1003,$EX692)),INDEX($DH$5:$DH$1003,$EX692)),"")</f>
        <v/>
      </c>
      <c r="FC692">
        <f>IF($EY692="row",INDEX($ER$5:$ER$1003,$EX692),"")</f>
        <v/>
      </c>
      <c r="FD692">
        <f>IF($EY692="row",INDEX($DN$5:$DN$1003,$EX692),"")</f>
        <v/>
      </c>
      <c r="FE692">
        <f>IF($EY692="row",INDEX($DO$5:$DO$1003,$EX692),"")</f>
        <v/>
      </c>
      <c r="FF692">
        <f>IF($EY692="row",INDEX($DP$5:$DP$1003,$EX692),"")</f>
        <v/>
      </c>
      <c r="FG692">
        <f>IF($EY692="row",INDEX($DQ$5:$DQ$1003,$EX692),"")</f>
        <v/>
      </c>
      <c r="FH692">
        <f>IF($EY692="row",INDEX($DR$5:$DR$1003,$EX692),"")</f>
        <v/>
      </c>
      <c r="FI692">
        <f>IF($EY692="row",INDEX($DS$5:$DS$1003,$EX692),"")</f>
        <v/>
      </c>
      <c r="FJ692">
        <f>IF($EY692="row",INDEX($DT$5:$DT$1003,$EX692),"")</f>
        <v/>
      </c>
      <c r="FK692">
        <f>IF($EY692="row",INDEX($DU$5:$DU$1003,$EX692),"")</f>
        <v/>
      </c>
      <c r="FL692">
        <f>IF($EY692="row",INDEX($DV$5:$DV$1003,$EX692),"")</f>
        <v/>
      </c>
      <c r="FM692">
        <f>IF($EY692="row",INDEX($DW$5:$DW$1003,$EX692),"")</f>
        <v/>
      </c>
      <c r="FN692">
        <f>IF($EY692="row",INDEX($DY$5:$DY$1003,$EX692),"")</f>
        <v/>
      </c>
      <c r="FO692">
        <f>IF($EY692="row",INDEX($EA$5:$EA$1003,$EX692),"")</f>
        <v/>
      </c>
      <c r="FP692">
        <f>IF($EY692="row",INDEX($EC$5:$EC$1003,$EX692),"")</f>
        <v/>
      </c>
      <c r="FQ692">
        <f>IF($EY692="row",INDEX($ET$5:$ET$1003,$EX692),"")</f>
        <v/>
      </c>
      <c r="FR692">
        <f>IF($EY692="row",INDEX($EU$5:$EU$1003,$EX692),"")</f>
        <v/>
      </c>
      <c r="FS692">
        <f>IF(AND($EY692="row",$EY691="row"),IF(OR(INDEX($DT$5:$DT$1003,$EX691)="",INDEX($DT$5:$DT$1003,$EX692)=""),"",IF(NOT(EXACT(INDEX($DT$5:$DT$1003,$EX691),INDEX($DT$5:$DT$1003,$EX692))),"S4",IF(NOT(EXACT(INDEX($DS$5:$DS$1003,$EX691),INDEX($DS$5:$DS$1003,$EX692))),"S3",IF(NOT(EXACT(INDEX($DR$5:$DR$1003,$EX691),INDEX($DR$5:$DR$1003,$EX692))),"S1 Count Change","S1")))),"")</f>
        <v/>
      </c>
      <c r="FT692">
        <f>IF($EY692="row",INDEX($ES$5:$ES$1003,$EX692),"")</f>
        <v/>
      </c>
      <c r="FU692">
        <f>IF($EY692="row",INDEX($EO$5:$EO$1003,$EX692),0)</f>
        <v/>
      </c>
      <c r="FV692">
        <f>IF($FS692="S1 Count Change",1,0)</f>
        <v/>
      </c>
    </row>
    <row r="693">
      <c r="DA693" t="n">
        <v>689</v>
      </c>
      <c r="DB693">
        <f>IF($B$37=0,"",IFERROR(TRIM(SUBSTITUTE(SUBSTITUTE(SUBSTITUTE(SUBSTITUTE(INDEX(PASTE_ALL,689,$B$37)," "," "),CHAR(9)," "),CHAR(10)," "),CHAR(13)," ")),""))</f>
        <v/>
      </c>
      <c r="DC693">
        <f>IF(AND(689&gt;HEADER_ROW,UPPER(DB693)="LEGEND"),1,0)</f>
        <v/>
      </c>
      <c r="DE693" t="n">
        <v>689</v>
      </c>
      <c r="DF693">
        <f>HEADER_ROW+$DE693</f>
        <v/>
      </c>
      <c r="DG693">
        <f>IF(AND($DF693&lt;=1000,$DF693&lt;$B$8),1,0)</f>
        <v/>
      </c>
      <c r="DH693">
        <f>IF($DG693=1,IFERROR(INDEX($DB$5:$DB$1004,$DF693),""),"")</f>
        <v/>
      </c>
      <c r="DI693">
        <f>IF(AND($DG693=1,$DH693&lt;&gt;""),IFERROR(SUBSTITUTE(SUBSTITUTE(TRIM(SUBSTITUTE(SUBSTITUTE(SUBSTITUTE(SUBSTITUTE(IFERROR(INDEX(PASTE_ALL,$DF693,1)&amp;"","")&amp;"␟"&amp;IFERROR(INDEX(PASTE_ALL,$DF693,2)&amp;"","")&amp;"␟"&amp;IFERROR(INDEX(PASTE_ALL,$DF693,3)&amp;"","")&amp;"␟"&amp;IFERROR(INDEX(PASTE_ALL,$DF693,4)&amp;"","")&amp;"␟"&amp;IFERROR(INDEX(PASTE_ALL,$DF693,5)&amp;"","")&amp;"␟"&amp;IFERROR(INDEX(PASTE_ALL,$DF693,6)&amp;"","")&amp;"␟"&amp;IFERROR(INDEX(PASTE_ALL,$DF693,7)&amp;"","")&amp;"␟"&amp;IFERROR(INDEX(PASTE_ALL,$DF693,8)&amp;"","")&amp;"␟"&amp;IFERROR(INDEX(PASTE_ALL,$DF693,9)&amp;"","")&amp;"␟"&amp;IFERROR(INDEX(PASTE_ALL,$DF693,10)&amp;"","")&amp;"␟"&amp;IFERROR(INDEX(PASTE_ALL,$DF693,11)&amp;"","")&amp;"␟"&amp;IFERROR(INDEX(PASTE_ALL,$DF693,12)&amp;"","")&amp;"␟"&amp;IFERROR(INDEX(PASTE_ALL,$DF693,13)&amp;"","")&amp;"␟"&amp;IFERROR(INDEX(PASTE_ALL,$DF693,14)&amp;"","")&amp;"␟"&amp;IFERROR(INDEX(PASTE_ALL,$DF693,15)&amp;"","")&amp;"␟"&amp;IFERROR(INDEX(PASTE_ALL,$DF693,16)&amp;"","")&amp;"␟"&amp;IFERROR(INDEX(PASTE_ALL,$DF693,17)&amp;"","")&amp;"␟"&amp;IFERROR(INDEX(PASTE_ALL,$DF693,18)&amp;"","")&amp;"␟"&amp;IFERROR(INDEX(PASTE_ALL,$DF693,19)&amp;"","")&amp;"␟"&amp;IFERROR(INDEX(PASTE_ALL,$DF693,20)&amp;"","")&amp;"␟"&amp;IFERROR(INDEX(PASTE_ALL,$DF693,21)&amp;"","")&amp;"␟"&amp;IFERROR(INDEX(PASTE_ALL,$DF693,22)&amp;"","")&amp;"␟"&amp;IFERROR(INDEX(PASTE_ALL,$DF693,23)&amp;"","")&amp;"␟"&amp;IFERROR(INDEX(PASTE_ALL,$DF693,24)&amp;"","")&amp;"␟"&amp;IFERROR(INDEX(PASTE_ALL,$DF693,25)&amp;"","")&amp;"␟"&amp;IFERROR(INDEX(PASTE_ALL,$DF693,26)&amp;"","")&amp;"␟"&amp;IFERROR(INDEX(PASTE_ALL,$DF693,27)&amp;"","")&amp;"␟"&amp;IFERROR(INDEX(PASTE_ALL,$DF693,28)&amp;"","")&amp;"␟"&amp;IFERROR(INDEX(PASTE_ALL,$DF693,29)&amp;"","")&amp;"␟"&amp;IFERROR(INDEX(PASTE_ALL,$DF693,30)&amp;"","")&amp;"␟"&amp;IFERROR(INDEX(PASTE_ALL,$DF693,31)&amp;"","")&amp;"␟"&amp;IFERROR(INDEX(PASTE_ALL,$DF693,32)&amp;"","")&amp;"␟"&amp;IFERROR(INDEX(PASTE_ALL,$DF693,33)&amp;"","")&amp;"␟"&amp;IFERROR(INDEX(PASTE_ALL,$DF693,34)&amp;"","")&amp;"␟"&amp;IFERROR(INDEX(PASTE_ALL,$DF693,35)&amp;"","")&amp;"␟"&amp;IFERROR(INDEX(PASTE_ALL,$DF693,36)&amp;"","")&amp;"␟"&amp;IFERROR(INDEX(PASTE_ALL,$DF693,37)&amp;"","")&amp;"␟"&amp;IFERROR(INDEX(PASTE_ALL,$DF693,38)&amp;"","")&amp;"␟"&amp;IFERROR(INDEX(PASTE_ALL,$DF693,39)&amp;"","")&amp;"␟"&amp;IFERROR(INDEX(PASTE_ALL,$DF693,40)&amp;"","")&amp;"␟"&amp;IFERROR(INDEX(PASTE_ALL,$DF693,41)&amp;"","")&amp;"␟"&amp;IFERROR(INDEX(PASTE_ALL,$DF693,42)&amp;"","")&amp;"␟"&amp;IFERROR(INDEX(PASTE_ALL,$DF693,43)&amp;"","")&amp;"␟"&amp;IFERROR(INDEX(PASTE_ALL,$DF693,44)&amp;"","")&amp;"␟"&amp;IFERROR(INDEX(PASTE_ALL,$DF693,45)&amp;"","")&amp;"␟"&amp;IFERROR(INDEX(PASTE_ALL,$DF693,46)&amp;"","")&amp;"␟"&amp;IFERROR(INDEX(PASTE_ALL,$DF693,47)&amp;"","")&amp;"␟"&amp;IFERROR(INDEX(PASTE_ALL,$DF693,48)&amp;"","")&amp;"␟"&amp;IFERROR(INDEX(PASTE_ALL,$DF693,49)&amp;"","")&amp;"␟"&amp;IFERROR(INDEX(PASTE_ALL,$DF693,50)&amp;"","")&amp;"␟"&amp;IFERROR(INDEX(PASTE_ALL,$DF693,51)&amp;"","")&amp;"␟"&amp;IFERROR(INDEX(PASTE_ALL,$DF693,52)&amp;"","")&amp;"␟"&amp;IFERROR(INDEX(PASTE_ALL,$DF693,53)&amp;"","")&amp;"␟"&amp;IFERROR(INDEX(PASTE_ALL,$DF693,54)&amp;"","")&amp;"␟"&amp;IFERROR(INDEX(PASTE_ALL,$DF693,55)&amp;"","")&amp;"␟"&amp;IFERROR(INDEX(PASTE_ALL,$DF693,56)&amp;"","")&amp;"␟"&amp;IFERROR(INDEX(PASTE_ALL,$DF693,57)&amp;"","")&amp;"␟"&amp;IFERROR(INDEX(PASTE_ALL,$DF693,58)&amp;"","")&amp;"␟"&amp;IFERROR(INDEX(PASTE_ALL,$DF693,59)&amp;"","")&amp;"␟"&amp;IFERROR(INDEX(PASTE_ALL,$DF693,60)&amp;"","")," "," "),CHAR(9)," "),CHAR(10)," "),CHAR(13)," "))," ␟","␟"),"␟ ","␟"),"#"&amp;$DE693),"")</f>
        <v/>
      </c>
      <c r="DJ693">
        <f>IF($DI693="",0,IF(SUMPRODUCT(--EXACT($DI$4:DI692,$DI693))&gt;0,1,0))</f>
        <v/>
      </c>
      <c r="DK693">
        <f>IF(AND($DI693&lt;&gt;"",$DJ693=0),1,0)</f>
        <v/>
      </c>
      <c r="DL693">
        <f>DL692+$DK693</f>
        <v/>
      </c>
      <c r="DM693">
        <f>IF(AND($DK693=1,$DL693&lt;=600),1,0)</f>
        <v/>
      </c>
      <c r="DN693">
        <f>IF($DM693=0,"",IF($L$6=0,"",IFERROR(IF(ISNUMBER(INDEX(PASTE_ALL,$DF693,$L$6)),INDEX(PASTE_ALL,$DF693,$L$6),TRIM(SUBSTITUTE(SUBSTITUTE(SUBSTITUTE(SUBSTITUTE(INDEX(PASTE_ALL,$DF693,$L$6)," "," "),CHAR(9)," "),CHAR(10)," "),CHAR(13)," "))),"")))</f>
        <v/>
      </c>
      <c r="DO693">
        <f>IF($DM693=0,"",IF($L$7=0,"",IFERROR(IF(ISNUMBER(INDEX(PASTE_ALL,$DF693,$L$7)),INDEX(PASTE_ALL,$DF693,$L$7),TRIM(SUBSTITUTE(SUBSTITUTE(SUBSTITUTE(SUBSTITUTE(INDEX(PASTE_ALL,$DF693,$L$7)," "," "),CHAR(9)," "),CHAR(10)," "),CHAR(13)," "))),"")))</f>
        <v/>
      </c>
      <c r="DP693">
        <f>IF($DM693=0,"",IF($L$8=0,"",IFERROR(IF(ISNUMBER(INDEX(PASTE_ALL,$DF693,$L$8)),INDEX(PASTE_ALL,$DF693,$L$8),TRIM(SUBSTITUTE(SUBSTITUTE(SUBSTITUTE(SUBSTITUTE(INDEX(PASTE_ALL,$DF693,$L$8)," "," "),CHAR(9)," "),CHAR(10)," "),CHAR(13)," "))),"")))</f>
        <v/>
      </c>
      <c r="DQ693">
        <f>IF($DM693=0,"",IF($L$9=0,"",IFERROR(IF(ISNUMBER(INDEX(PASTE_ALL,$DF693,$L$9)),INDEX(PASTE_ALL,$DF693,$L$9),TRIM(SUBSTITUTE(SUBSTITUTE(SUBSTITUTE(SUBSTITUTE(INDEX(PASTE_ALL,$DF693,$L$9)," "," "),CHAR(9)," "),CHAR(10)," "),CHAR(13)," "))),"")))</f>
        <v/>
      </c>
      <c r="DR693">
        <f>IF($DM693=0,"",IF($L$10=0,"",IFERROR(IF(ISNUMBER(INDEX(PASTE_ALL,$DF693,$L$10)),INDEX(PASTE_ALL,$DF693,$L$10),TRIM(SUBSTITUTE(SUBSTITUTE(SUBSTITUTE(SUBSTITUTE(INDEX(PASTE_ALL,$DF693,$L$10)," "," "),CHAR(9)," "),CHAR(10)," "),CHAR(13)," "))),"")))</f>
        <v/>
      </c>
      <c r="DS693">
        <f>IF($DM693=0,"",IF($L$11=0,"",IFERROR(IF(ISNUMBER(INDEX(PASTE_ALL,$DF693,$L$11)),INDEX(PASTE_ALL,$DF693,$L$11),TRIM(SUBSTITUTE(SUBSTITUTE(SUBSTITUTE(SUBSTITUTE(INDEX(PASTE_ALL,$DF693,$L$11)," "," "),CHAR(9)," "),CHAR(10)," "),CHAR(13)," "))),"")))</f>
        <v/>
      </c>
      <c r="DT693">
        <f>IF($DM693=0,"",IF($L$12=0,"",IFERROR(IF(ISNUMBER(INDEX(PASTE_ALL,$DF693,$L$12)),INDEX(PASTE_ALL,$DF693,$L$12),TRIM(SUBSTITUTE(SUBSTITUTE(SUBSTITUTE(SUBSTITUTE(INDEX(PASTE_ALL,$DF693,$L$12)," "," "),CHAR(9)," "),CHAR(10)," "),CHAR(13)," "))),"")))</f>
        <v/>
      </c>
      <c r="DU693">
        <f>IF($DM693=0,"",IF($L$13=0,"",IFERROR(IF(ISNUMBER(INDEX(PASTE_ALL,$DF693,$L$13)),INDEX(PASTE_ALL,$DF693,$L$13),TRIM(SUBSTITUTE(SUBSTITUTE(SUBSTITUTE(SUBSTITUTE(INDEX(PASTE_ALL,$DF693,$L$13)," "," "),CHAR(9)," "),CHAR(10)," "),CHAR(13)," "))),"")))</f>
        <v/>
      </c>
      <c r="DV693">
        <f>IF($DM693=0,"",IF($L$14=0,"",IFERROR(IF(ISNUMBER(INDEX(PASTE_ALL,$DF693,$L$14)),INDEX(PASTE_ALL,$DF693,$L$14),TRIM(SUBSTITUTE(SUBSTITUTE(SUBSTITUTE(SUBSTITUTE(INDEX(PASTE_ALL,$DF693,$L$14)," "," "),CHAR(9)," "),CHAR(10)," "),CHAR(13)," "))),"")))</f>
        <v/>
      </c>
      <c r="DW693">
        <f>IF($DM693=0,"",IF($L$15=0,"",IFERROR(IF(ISNUMBER(INDEX(PASTE_ALL,$DF693,$L$15)),INDEX(PASTE_ALL,$DF693,$L$15),IF(SUMPRODUCT(--ISNUMBER(FIND({"A","B","C","D","E","F","G","H","I","J","K","L","M","N","O","P","Q","R","S","T","U","V","W","X","Y","Z","0","1","2","3","4","5","6","7","8","9"},UPPER(TRIM(SUBSTITUTE(SUBSTITUTE(SUBSTITUTE(SUBSTITUTE(INDEX(PASTE_ALL,$DF693,$L$15)," "," "),CHAR(9)," "),CHAR(10)," "),CHAR(13)," "))))))&gt;0,TRIM(SUBSTITUTE(SUBSTITUTE(SUBSTITUTE(SUBSTITUTE(INDEX(PASTE_ALL,$DF693,$L$15)," "," "),CHAR(9)," "),CHAR(10)," "),CHAR(13)," ")),"")),"")))</f>
        <v/>
      </c>
      <c r="DX693">
        <f>IF($DM693=0,"",IF($L$16=0,"",IFERROR(IF(ISNUMBER(INDEX(PASTE_ALL,$DF693,$L$16)),INDEX(PASTE_ALL,$DF693,$L$16),SUBSTITUTE(SUBSTITUTE(TRIM(SUBSTITUTE(SUBSTITUTE(SUBSTITUTE(SUBSTITUTE(INDEX(PASTE_ALL,$DF693,$L$16)," "," "),CHAR(9)," "),CHAR(10)," "),CHAR(13)," ")),",",""),"%","")),"")))</f>
        <v/>
      </c>
      <c r="DY693">
        <f>IF($DM693=0,"",IFERROR(IF(ISNUMBER($DX693),$DX693,IF($DX693="","",IF(TRIM($DX693)="",0,IF(AND(AND(SUBSTITUTE(SUBSTITUTE(SUBSTITUTE(SUBSTITUTE(SUBSTITUTE(SUBSTITUTE(SUBSTITUTE(SUBSTITUTE(SUBSTITUTE(SUBSTITUTE(SUBSTITUTE(SUBSTITUTE(SUBSTITUTE(SUBSTITUTE(UPPER(TRIM($DX693)),"0",""),"1",""),"2",""),"3",""),"4",""),"5",""),"6",""),"7",""),"8",""),"9",""),".",""),"+",""),"-",""),"E","")="",LEN(SUBSTITUTE(SUBSTITUTE(MID(UPPER(TRIM($DX693)),1+OR(LEFT(UPPER(TRIM($DX693)),1)="+",LEFT(UPPER(TRIM($DX693)),1)="-"),999),"E+","E"),"E-","E"))=LEN(SUBSTITUTE(SUBSTITUTE(SUBSTITUTE(SUBSTITUTE(MID(UPPER(TRIM($DX693)),1+OR(LEFT(UPPER(TRIM($DX693)),1)="+",LEFT(UPPER(TRIM($DX693)),1)="-"),999),"E+","E"),"E-","E"),"+",""),"-","")),LEN(UPPER(TRIM($DX693)))-LEN(SUBSTITUTE(UPPER(TRIM($DX693)),"E",""))&lt;2,LEN(UPPER(TRIM($DX693)))-LEN(SUBSTITUTE(UPPER(TRIM($DX693)),".",""))&lt;2,IFERROR(FIND(".",UPPER(TRIM($DX693))),0)&lt;IFERROR(FIND("E",UPPER(TRIM($DX693))),999)),ISNUMBER(VALUE(TRIM($DX693)))),VALUE(TRIM($DX693)),"")))),""))</f>
        <v/>
      </c>
      <c r="DZ693">
        <f>IF($DM693=0,"",IF($L$17=0,"",IFERROR(IF(ISNUMBER(INDEX(PASTE_ALL,$DF693,$L$17)),INDEX(PASTE_ALL,$DF693,$L$17),SUBSTITUTE(SUBSTITUTE(TRIM(SUBSTITUTE(SUBSTITUTE(SUBSTITUTE(SUBSTITUTE(INDEX(PASTE_ALL,$DF693,$L$17)," "," "),CHAR(9)," "),CHAR(10)," "),CHAR(13)," ")),",",""),"%","")),"")))</f>
        <v/>
      </c>
      <c r="EA693">
        <f>IF($DM693=0,"",IFERROR(IF(ISNUMBER($DZ693),$DZ693,IF($DZ693="","",IF(TRIM($DZ693)="",0,IF(AND(AND(SUBSTITUTE(SUBSTITUTE(SUBSTITUTE(SUBSTITUTE(SUBSTITUTE(SUBSTITUTE(SUBSTITUTE(SUBSTITUTE(SUBSTITUTE(SUBSTITUTE(SUBSTITUTE(SUBSTITUTE(SUBSTITUTE(SUBSTITUTE(UPPER(TRIM($DZ693)),"0",""),"1",""),"2",""),"3",""),"4",""),"5",""),"6",""),"7",""),"8",""),"9",""),".",""),"+",""),"-",""),"E","")="",LEN(SUBSTITUTE(SUBSTITUTE(MID(UPPER(TRIM($DZ693)),1+OR(LEFT(UPPER(TRIM($DZ693)),1)="+",LEFT(UPPER(TRIM($DZ693)),1)="-"),999),"E+","E"),"E-","E"))=LEN(SUBSTITUTE(SUBSTITUTE(SUBSTITUTE(SUBSTITUTE(MID(UPPER(TRIM($DZ693)),1+OR(LEFT(UPPER(TRIM($DZ693)),1)="+",LEFT(UPPER(TRIM($DZ693)),1)="-"),999),"E+","E"),"E-","E"),"+",""),"-","")),LEN(UPPER(TRIM($DZ693)))-LEN(SUBSTITUTE(UPPER(TRIM($DZ693)),"E",""))&lt;2,LEN(UPPER(TRIM($DZ693)))-LEN(SUBSTITUTE(UPPER(TRIM($DZ693)),".",""))&lt;2,IFERROR(FIND(".",UPPER(TRIM($DZ693))),0)&lt;IFERROR(FIND("E",UPPER(TRIM($DZ693))),999)),ISNUMBER(VALUE(TRIM($DZ693)))),VALUE(TRIM($DZ693)),"")))),""))</f>
        <v/>
      </c>
      <c r="EB693">
        <f>IF($DM693=0,"",IF($L$18=0,"",IFERROR(IF(UPPER(TRIM(SUBSTITUTE(SUBSTITUTE(SUBSTITUTE(SUBSTITUTE(INDEX(PASTE_ALL,$DF693,$L$18)," "," "),CHAR(9)," "),CHAR(10)," "),CHAR(13)," ")))="READY","Ready",IF(UPPER(TRIM(SUBSTITUTE(SUBSTITUTE(SUBSTITUTE(SUBSTITUTE(INDEX(PASTE_ALL,$DF693,$L$18)," "," "),CHAR(9)," "),CHAR(10)," "),CHAR(13)," ")))="PM","PM",IF(OR(UPPER(TRIM(SUBSTITUTE(SUBSTITUTE(SUBSTITUTE(SUBSTITUTE(INDEX(PASTE_ALL,$DF693,$L$18)," "," "),CHAR(9)," "),CHAR(10)," "),CHAR(13)," ")))="OT",UPPER(TRIM(SUBSTITUTE(SUBSTITUTE(SUBSTITUTE(SUBSTITUTE(INDEX(PASTE_ALL,$DF693,$L$18)," "," "),CHAR(9)," "),CHAR(10)," "),CHAR(13)," ")))="OVERTIME",UPPER(TRIM(SUBSTITUTE(SUBSTITUTE(SUBSTITUTE(SUBSTITUTE(INDEX(PASTE_ALL,$DF693,$L$18)," "," "),CHAR(9)," "),CHAR(10)," "),CHAR(13)," ")))="TRIAL"),"OT",TRIM(SUBSTITUTE(SUBSTITUTE(SUBSTITUTE(SUBSTITUTE(INDEX(PASTE_ALL,$DF693,$L$18)," "," "),CHAR(9)," "),CHAR(10)," "),CHAR(13)," "))))),"")))</f>
        <v/>
      </c>
      <c r="EC693">
        <f>IF($DM693=0,"",IF($L$19=0,"",IFERROR(IF(ISNUMBER(INDEX(PASTE_ALL,$DF693,$L$19)),INDEX(PASTE_ALL,$DF693,$L$19),TRIM(SUBSTITUTE(SUBSTITUTE(SUBSTITUTE(SUBSTITUTE(INDEX(PASTE_ALL,$DF693,$L$19)," "," "),CHAR(9)," "),CHAR(10)," "),CHAR(13)," "))),"")))</f>
        <v/>
      </c>
      <c r="ED693">
        <f>IF($DM693=0,"",MATCH(1,INDEX(EXACT($DH$5:DH693,$DH693)*$DM$5:DM693,0),0))</f>
        <v/>
      </c>
      <c r="EE693">
        <f>IF($DM693=0,0,IF($ED693=$DE693,1,0))</f>
        <v/>
      </c>
      <c r="EF693">
        <f>EF692+$EE693</f>
        <v/>
      </c>
      <c r="EG693">
        <f>IF($DM693=0,"",INDEX($EF$5:$EF$1003,$ED693))</f>
        <v/>
      </c>
      <c r="EH693">
        <f>IF($DM693=0,"",IF($DO693&lt;&gt;"","",IFERROR(LOOKUP(2,1/(($EG$4:EG692=$EG693)*($DO$4:DO692&lt;&gt;"")),$DO$4:DO692),"")))</f>
        <v/>
      </c>
      <c r="EI693">
        <f>IF($DM693=0,"",IF($DO693&lt;&gt;"",$DO693,$EH693))</f>
        <v/>
      </c>
      <c r="EJ693">
        <f>IF($DM693=0,"",IF($EI693="",0,IF(OR(ISNUMBER($EI693),AND(AND(SUBSTITUTE(SUBSTITUTE(SUBSTITUTE(SUBSTITUTE(SUBSTITUTE(SUBSTITUTE(SUBSTITUTE(SUBSTITUTE(SUBSTITUTE(SUBSTITUTE(SUBSTITUTE(SUBSTITUTE(SUBSTITUTE(SUBSTITUTE(UPPER($EI693),"0",""),"1",""),"2",""),"3",""),"4",""),"5",""),"6",""),"7",""),"8",""),"9",""),".",""),"+",""),"-",""),"E","")="",LEN(SUBSTITUTE(SUBSTITUTE(MID(UPPER($EI693),1+OR(LEFT(UPPER($EI693),1)="+",LEFT(UPPER($EI693),1)="-"),999),"E+","E"),"E-","E"))=LEN(SUBSTITUTE(SUBSTITUTE(SUBSTITUTE(SUBSTITUTE(MID(UPPER($EI693),1+OR(LEFT(UPPER($EI693),1)="+",LEFT(UPPER($EI693),1)="-"),999),"E+","E"),"E-","E"),"+",""),"-","")),LEN(UPPER($EI693))-LEN(SUBSTITUTE(UPPER($EI693),"E",""))&lt;2,LEN(UPPER($EI693))-LEN(SUBSTITUTE(UPPER($EI693),".",""))&lt;2,IFERROR(FIND(".",UPPER($EI693)),0)&lt;IFERROR(FIND("E",UPPER($EI693)),999)),ISNUMBER(VALUE($EI693)))),1,2)))</f>
        <v/>
      </c>
      <c r="EK693">
        <f>IF($DM693=0,"",IF($EJ693=1,IF(ISNUMBER($EI693),$EI693,VALUE($EI693)),IF($EJ693=2,$DE693,0)))</f>
        <v/>
      </c>
      <c r="EL693">
        <f>IF($DM693=0,"",COUNTIF($EG$5:$EG$1003,"&lt;"&amp;$EG693)+SUMPRODUCT(($EG$5:$EG$1003=$EG693)*(($EJ$5:$EJ$1003&lt;$EJ693)+($EJ$5:$EJ$1003=$EJ693)*(($EK$5:$EK$1003&lt;$EK693)+($EK$5:$EK$1003=$EK693)*($DE$5:$DE$1003&lt;$DE693))))+1)</f>
        <v/>
      </c>
      <c r="EM693">
        <f>IF($DM693=0,"",$EL693+$EG693-1)</f>
        <v/>
      </c>
      <c r="EN693">
        <f>IF($DM693=0,0,IFERROR(MATCH(1,INDEX(--(TRIM(SUBSTITUTE(SUBSTITUTE(SUBSTITUTE(SUBSTITUTE(LINES_NAME&amp;""," "," "),CHAR(9)," "),CHAR(10)," "),CHAR(13)," "))=$DH693),0),0),0))</f>
        <v/>
      </c>
      <c r="EO693">
        <f>IF($EN693=0,0,IF(OR(UPPER(TRIM(INDEX(LINES_SCHEDULED,$EN693)&amp;""))="YES",UPPER(TRIM(INDEX(LINES_SCHEDULED,$EN693)&amp;""))="Y",UPPER(TRIM(INDEX(LINES_SCHEDULED,$EN693)&amp;""))="X"),1,0))</f>
        <v/>
      </c>
      <c r="EP693">
        <f>IF($DM693=0,"",IF(COUNTIFS($EG$5:$EG$1003,$EG693,$EB$5:$EB$1003,"Ready")&gt;0,"READY",IF(COUNTIFS($EG$5:$EG$1003,$EG693,$EB$5:$EB$1003,"PM")&gt;0,"PM",IF(COUNTIFS($EG$5:$EG$1003,$EG693,$EB$5:$EB$1003,"OT")&gt;0,"OT",""))))</f>
        <v/>
      </c>
      <c r="EQ693">
        <f>IF($EN693=0,"",UPPER(TRIM(INDEX(LINES_STATUS,$EN693)&amp;"")))</f>
        <v/>
      </c>
      <c r="ER693">
        <f>IF($DM693=0,"",IF(OR($EQ693="READY",$EQ693="PM",$EQ693="OT"),$EQ693,$EP693))</f>
        <v/>
      </c>
      <c r="ES693">
        <f>IF($DM693=0,"",IF(AND($DV693&lt;&gt;"",UPPER($DV693)&lt;&gt;"N"),"allergen",IF(ISNUMBER(SEARCH("oil",$DQ693)),"oil",IF(OR(EXACT($DS693,"A662"),EXACT($DS693,"A624")),"bulk",""))))</f>
        <v/>
      </c>
      <c r="ET693">
        <f>IF($DM693=0,"",IF(OR($EA693="",$EA693=0),"",$EA693/100))</f>
        <v/>
      </c>
      <c r="EU693">
        <f>IF(OR($ET693="",$DY693=""),"",INT($DY693*(1-$ET693)+0.5))</f>
        <v/>
      </c>
      <c r="EW693" t="n">
        <v>689</v>
      </c>
      <c r="EX693">
        <f>IFERROR(MATCH($EW693,$EM$5:$EM$1003,0),0)</f>
        <v/>
      </c>
      <c r="EY693">
        <f>IF($EW693&gt;$B$12,"",IF($EX693&gt;0,"row","spacer"))</f>
        <v/>
      </c>
      <c r="EZ693">
        <f>IF(AND($EY693="row",$EY692&lt;&gt;"row"),1,0)</f>
        <v/>
      </c>
      <c r="FA693">
        <f>IF(AND($EY693="row",$EY694&lt;&gt;"row"),1,0)</f>
        <v/>
      </c>
      <c r="FB693">
        <f>IF($EZ693=1,IFERROR(IF(ISNUMBER(INDEX(PASTE_ALL,INDEX($DF$5:$DF$1003,$EX693),$B$37)),INDEX(PASTE_ALL,INDEX($DF$5:$DF$1003,$EX693),$B$37),INDEX($DH$5:$DH$1003,$EX693)),INDEX($DH$5:$DH$1003,$EX693)),"")</f>
        <v/>
      </c>
      <c r="FC693">
        <f>IF($EY693="row",INDEX($ER$5:$ER$1003,$EX693),"")</f>
        <v/>
      </c>
      <c r="FD693">
        <f>IF($EY693="row",INDEX($DN$5:$DN$1003,$EX693),"")</f>
        <v/>
      </c>
      <c r="FE693">
        <f>IF($EY693="row",INDEX($DO$5:$DO$1003,$EX693),"")</f>
        <v/>
      </c>
      <c r="FF693">
        <f>IF($EY693="row",INDEX($DP$5:$DP$1003,$EX693),"")</f>
        <v/>
      </c>
      <c r="FG693">
        <f>IF($EY693="row",INDEX($DQ$5:$DQ$1003,$EX693),"")</f>
        <v/>
      </c>
      <c r="FH693">
        <f>IF($EY693="row",INDEX($DR$5:$DR$1003,$EX693),"")</f>
        <v/>
      </c>
      <c r="FI693">
        <f>IF($EY693="row",INDEX($DS$5:$DS$1003,$EX693),"")</f>
        <v/>
      </c>
      <c r="FJ693">
        <f>IF($EY693="row",INDEX($DT$5:$DT$1003,$EX693),"")</f>
        <v/>
      </c>
      <c r="FK693">
        <f>IF($EY693="row",INDEX($DU$5:$DU$1003,$EX693),"")</f>
        <v/>
      </c>
      <c r="FL693">
        <f>IF($EY693="row",INDEX($DV$5:$DV$1003,$EX693),"")</f>
        <v/>
      </c>
      <c r="FM693">
        <f>IF($EY693="row",INDEX($DW$5:$DW$1003,$EX693),"")</f>
        <v/>
      </c>
      <c r="FN693">
        <f>IF($EY693="row",INDEX($DY$5:$DY$1003,$EX693),"")</f>
        <v/>
      </c>
      <c r="FO693">
        <f>IF($EY693="row",INDEX($EA$5:$EA$1003,$EX693),"")</f>
        <v/>
      </c>
      <c r="FP693">
        <f>IF($EY693="row",INDEX($EC$5:$EC$1003,$EX693),"")</f>
        <v/>
      </c>
      <c r="FQ693">
        <f>IF($EY693="row",INDEX($ET$5:$ET$1003,$EX693),"")</f>
        <v/>
      </c>
      <c r="FR693">
        <f>IF($EY693="row",INDEX($EU$5:$EU$1003,$EX693),"")</f>
        <v/>
      </c>
      <c r="FS693">
        <f>IF(AND($EY693="row",$EY692="row"),IF(OR(INDEX($DT$5:$DT$1003,$EX692)="",INDEX($DT$5:$DT$1003,$EX693)=""),"",IF(NOT(EXACT(INDEX($DT$5:$DT$1003,$EX692),INDEX($DT$5:$DT$1003,$EX693))),"S4",IF(NOT(EXACT(INDEX($DS$5:$DS$1003,$EX692),INDEX($DS$5:$DS$1003,$EX693))),"S3",IF(NOT(EXACT(INDEX($DR$5:$DR$1003,$EX692),INDEX($DR$5:$DR$1003,$EX693))),"S1 Count Change","S1")))),"")</f>
        <v/>
      </c>
      <c r="FT693">
        <f>IF($EY693="row",INDEX($ES$5:$ES$1003,$EX693),"")</f>
        <v/>
      </c>
      <c r="FU693">
        <f>IF($EY693="row",INDEX($EO$5:$EO$1003,$EX693),0)</f>
        <v/>
      </c>
      <c r="FV693">
        <f>IF($FS693="S1 Count Change",1,0)</f>
        <v/>
      </c>
    </row>
    <row r="694">
      <c r="DA694" t="n">
        <v>690</v>
      </c>
      <c r="DB694">
        <f>IF($B$37=0,"",IFERROR(TRIM(SUBSTITUTE(SUBSTITUTE(SUBSTITUTE(SUBSTITUTE(INDEX(PASTE_ALL,690,$B$37)," "," "),CHAR(9)," "),CHAR(10)," "),CHAR(13)," ")),""))</f>
        <v/>
      </c>
      <c r="DC694">
        <f>IF(AND(690&gt;HEADER_ROW,UPPER(DB694)="LEGEND"),1,0)</f>
        <v/>
      </c>
      <c r="DE694" t="n">
        <v>690</v>
      </c>
      <c r="DF694">
        <f>HEADER_ROW+$DE694</f>
        <v/>
      </c>
      <c r="DG694">
        <f>IF(AND($DF694&lt;=1000,$DF694&lt;$B$8),1,0)</f>
        <v/>
      </c>
      <c r="DH694">
        <f>IF($DG694=1,IFERROR(INDEX($DB$5:$DB$1004,$DF694),""),"")</f>
        <v/>
      </c>
      <c r="DI694">
        <f>IF(AND($DG694=1,$DH694&lt;&gt;""),IFERROR(SUBSTITUTE(SUBSTITUTE(TRIM(SUBSTITUTE(SUBSTITUTE(SUBSTITUTE(SUBSTITUTE(IFERROR(INDEX(PASTE_ALL,$DF694,1)&amp;"","")&amp;"␟"&amp;IFERROR(INDEX(PASTE_ALL,$DF694,2)&amp;"","")&amp;"␟"&amp;IFERROR(INDEX(PASTE_ALL,$DF694,3)&amp;"","")&amp;"␟"&amp;IFERROR(INDEX(PASTE_ALL,$DF694,4)&amp;"","")&amp;"␟"&amp;IFERROR(INDEX(PASTE_ALL,$DF694,5)&amp;"","")&amp;"␟"&amp;IFERROR(INDEX(PASTE_ALL,$DF694,6)&amp;"","")&amp;"␟"&amp;IFERROR(INDEX(PASTE_ALL,$DF694,7)&amp;"","")&amp;"␟"&amp;IFERROR(INDEX(PASTE_ALL,$DF694,8)&amp;"","")&amp;"␟"&amp;IFERROR(INDEX(PASTE_ALL,$DF694,9)&amp;"","")&amp;"␟"&amp;IFERROR(INDEX(PASTE_ALL,$DF694,10)&amp;"","")&amp;"␟"&amp;IFERROR(INDEX(PASTE_ALL,$DF694,11)&amp;"","")&amp;"␟"&amp;IFERROR(INDEX(PASTE_ALL,$DF694,12)&amp;"","")&amp;"␟"&amp;IFERROR(INDEX(PASTE_ALL,$DF694,13)&amp;"","")&amp;"␟"&amp;IFERROR(INDEX(PASTE_ALL,$DF694,14)&amp;"","")&amp;"␟"&amp;IFERROR(INDEX(PASTE_ALL,$DF694,15)&amp;"","")&amp;"␟"&amp;IFERROR(INDEX(PASTE_ALL,$DF694,16)&amp;"","")&amp;"␟"&amp;IFERROR(INDEX(PASTE_ALL,$DF694,17)&amp;"","")&amp;"␟"&amp;IFERROR(INDEX(PASTE_ALL,$DF694,18)&amp;"","")&amp;"␟"&amp;IFERROR(INDEX(PASTE_ALL,$DF694,19)&amp;"","")&amp;"␟"&amp;IFERROR(INDEX(PASTE_ALL,$DF694,20)&amp;"","")&amp;"␟"&amp;IFERROR(INDEX(PASTE_ALL,$DF694,21)&amp;"","")&amp;"␟"&amp;IFERROR(INDEX(PASTE_ALL,$DF694,22)&amp;"","")&amp;"␟"&amp;IFERROR(INDEX(PASTE_ALL,$DF694,23)&amp;"","")&amp;"␟"&amp;IFERROR(INDEX(PASTE_ALL,$DF694,24)&amp;"","")&amp;"␟"&amp;IFERROR(INDEX(PASTE_ALL,$DF694,25)&amp;"","")&amp;"␟"&amp;IFERROR(INDEX(PASTE_ALL,$DF694,26)&amp;"","")&amp;"␟"&amp;IFERROR(INDEX(PASTE_ALL,$DF694,27)&amp;"","")&amp;"␟"&amp;IFERROR(INDEX(PASTE_ALL,$DF694,28)&amp;"","")&amp;"␟"&amp;IFERROR(INDEX(PASTE_ALL,$DF694,29)&amp;"","")&amp;"␟"&amp;IFERROR(INDEX(PASTE_ALL,$DF694,30)&amp;"","")&amp;"␟"&amp;IFERROR(INDEX(PASTE_ALL,$DF694,31)&amp;"","")&amp;"␟"&amp;IFERROR(INDEX(PASTE_ALL,$DF694,32)&amp;"","")&amp;"␟"&amp;IFERROR(INDEX(PASTE_ALL,$DF694,33)&amp;"","")&amp;"␟"&amp;IFERROR(INDEX(PASTE_ALL,$DF694,34)&amp;"","")&amp;"␟"&amp;IFERROR(INDEX(PASTE_ALL,$DF694,35)&amp;"","")&amp;"␟"&amp;IFERROR(INDEX(PASTE_ALL,$DF694,36)&amp;"","")&amp;"␟"&amp;IFERROR(INDEX(PASTE_ALL,$DF694,37)&amp;"","")&amp;"␟"&amp;IFERROR(INDEX(PASTE_ALL,$DF694,38)&amp;"","")&amp;"␟"&amp;IFERROR(INDEX(PASTE_ALL,$DF694,39)&amp;"","")&amp;"␟"&amp;IFERROR(INDEX(PASTE_ALL,$DF694,40)&amp;"","")&amp;"␟"&amp;IFERROR(INDEX(PASTE_ALL,$DF694,41)&amp;"","")&amp;"␟"&amp;IFERROR(INDEX(PASTE_ALL,$DF694,42)&amp;"","")&amp;"␟"&amp;IFERROR(INDEX(PASTE_ALL,$DF694,43)&amp;"","")&amp;"␟"&amp;IFERROR(INDEX(PASTE_ALL,$DF694,44)&amp;"","")&amp;"␟"&amp;IFERROR(INDEX(PASTE_ALL,$DF694,45)&amp;"","")&amp;"␟"&amp;IFERROR(INDEX(PASTE_ALL,$DF694,46)&amp;"","")&amp;"␟"&amp;IFERROR(INDEX(PASTE_ALL,$DF694,47)&amp;"","")&amp;"␟"&amp;IFERROR(INDEX(PASTE_ALL,$DF694,48)&amp;"","")&amp;"␟"&amp;IFERROR(INDEX(PASTE_ALL,$DF694,49)&amp;"","")&amp;"␟"&amp;IFERROR(INDEX(PASTE_ALL,$DF694,50)&amp;"","")&amp;"␟"&amp;IFERROR(INDEX(PASTE_ALL,$DF694,51)&amp;"","")&amp;"␟"&amp;IFERROR(INDEX(PASTE_ALL,$DF694,52)&amp;"","")&amp;"␟"&amp;IFERROR(INDEX(PASTE_ALL,$DF694,53)&amp;"","")&amp;"␟"&amp;IFERROR(INDEX(PASTE_ALL,$DF694,54)&amp;"","")&amp;"␟"&amp;IFERROR(INDEX(PASTE_ALL,$DF694,55)&amp;"","")&amp;"␟"&amp;IFERROR(INDEX(PASTE_ALL,$DF694,56)&amp;"","")&amp;"␟"&amp;IFERROR(INDEX(PASTE_ALL,$DF694,57)&amp;"","")&amp;"␟"&amp;IFERROR(INDEX(PASTE_ALL,$DF694,58)&amp;"","")&amp;"␟"&amp;IFERROR(INDEX(PASTE_ALL,$DF694,59)&amp;"","")&amp;"␟"&amp;IFERROR(INDEX(PASTE_ALL,$DF694,60)&amp;"","")," "," "),CHAR(9)," "),CHAR(10)," "),CHAR(13)," "))," ␟","␟"),"␟ ","␟"),"#"&amp;$DE694),"")</f>
        <v/>
      </c>
      <c r="DJ694">
        <f>IF($DI694="",0,IF(SUMPRODUCT(--EXACT($DI$4:DI693,$DI694))&gt;0,1,0))</f>
        <v/>
      </c>
      <c r="DK694">
        <f>IF(AND($DI694&lt;&gt;"",$DJ694=0),1,0)</f>
        <v/>
      </c>
      <c r="DL694">
        <f>DL693+$DK694</f>
        <v/>
      </c>
      <c r="DM694">
        <f>IF(AND($DK694=1,$DL694&lt;=600),1,0)</f>
        <v/>
      </c>
      <c r="DN694">
        <f>IF($DM694=0,"",IF($L$6=0,"",IFERROR(IF(ISNUMBER(INDEX(PASTE_ALL,$DF694,$L$6)),INDEX(PASTE_ALL,$DF694,$L$6),TRIM(SUBSTITUTE(SUBSTITUTE(SUBSTITUTE(SUBSTITUTE(INDEX(PASTE_ALL,$DF694,$L$6)," "," "),CHAR(9)," "),CHAR(10)," "),CHAR(13)," "))),"")))</f>
        <v/>
      </c>
      <c r="DO694">
        <f>IF($DM694=0,"",IF($L$7=0,"",IFERROR(IF(ISNUMBER(INDEX(PASTE_ALL,$DF694,$L$7)),INDEX(PASTE_ALL,$DF694,$L$7),TRIM(SUBSTITUTE(SUBSTITUTE(SUBSTITUTE(SUBSTITUTE(INDEX(PASTE_ALL,$DF694,$L$7)," "," "),CHAR(9)," "),CHAR(10)," "),CHAR(13)," "))),"")))</f>
        <v/>
      </c>
      <c r="DP694">
        <f>IF($DM694=0,"",IF($L$8=0,"",IFERROR(IF(ISNUMBER(INDEX(PASTE_ALL,$DF694,$L$8)),INDEX(PASTE_ALL,$DF694,$L$8),TRIM(SUBSTITUTE(SUBSTITUTE(SUBSTITUTE(SUBSTITUTE(INDEX(PASTE_ALL,$DF694,$L$8)," "," "),CHAR(9)," "),CHAR(10)," "),CHAR(13)," "))),"")))</f>
        <v/>
      </c>
      <c r="DQ694">
        <f>IF($DM694=0,"",IF($L$9=0,"",IFERROR(IF(ISNUMBER(INDEX(PASTE_ALL,$DF694,$L$9)),INDEX(PASTE_ALL,$DF694,$L$9),TRIM(SUBSTITUTE(SUBSTITUTE(SUBSTITUTE(SUBSTITUTE(INDEX(PASTE_ALL,$DF694,$L$9)," "," "),CHAR(9)," "),CHAR(10)," "),CHAR(13)," "))),"")))</f>
        <v/>
      </c>
      <c r="DR694">
        <f>IF($DM694=0,"",IF($L$10=0,"",IFERROR(IF(ISNUMBER(INDEX(PASTE_ALL,$DF694,$L$10)),INDEX(PASTE_ALL,$DF694,$L$10),TRIM(SUBSTITUTE(SUBSTITUTE(SUBSTITUTE(SUBSTITUTE(INDEX(PASTE_ALL,$DF694,$L$10)," "," "),CHAR(9)," "),CHAR(10)," "),CHAR(13)," "))),"")))</f>
        <v/>
      </c>
      <c r="DS694">
        <f>IF($DM694=0,"",IF($L$11=0,"",IFERROR(IF(ISNUMBER(INDEX(PASTE_ALL,$DF694,$L$11)),INDEX(PASTE_ALL,$DF694,$L$11),TRIM(SUBSTITUTE(SUBSTITUTE(SUBSTITUTE(SUBSTITUTE(INDEX(PASTE_ALL,$DF694,$L$11)," "," "),CHAR(9)," "),CHAR(10)," "),CHAR(13)," "))),"")))</f>
        <v/>
      </c>
      <c r="DT694">
        <f>IF($DM694=0,"",IF($L$12=0,"",IFERROR(IF(ISNUMBER(INDEX(PASTE_ALL,$DF694,$L$12)),INDEX(PASTE_ALL,$DF694,$L$12),TRIM(SUBSTITUTE(SUBSTITUTE(SUBSTITUTE(SUBSTITUTE(INDEX(PASTE_ALL,$DF694,$L$12)," "," "),CHAR(9)," "),CHAR(10)," "),CHAR(13)," "))),"")))</f>
        <v/>
      </c>
      <c r="DU694">
        <f>IF($DM694=0,"",IF($L$13=0,"",IFERROR(IF(ISNUMBER(INDEX(PASTE_ALL,$DF694,$L$13)),INDEX(PASTE_ALL,$DF694,$L$13),TRIM(SUBSTITUTE(SUBSTITUTE(SUBSTITUTE(SUBSTITUTE(INDEX(PASTE_ALL,$DF694,$L$13)," "," "),CHAR(9)," "),CHAR(10)," "),CHAR(13)," "))),"")))</f>
        <v/>
      </c>
      <c r="DV694">
        <f>IF($DM694=0,"",IF($L$14=0,"",IFERROR(IF(ISNUMBER(INDEX(PASTE_ALL,$DF694,$L$14)),INDEX(PASTE_ALL,$DF694,$L$14),TRIM(SUBSTITUTE(SUBSTITUTE(SUBSTITUTE(SUBSTITUTE(INDEX(PASTE_ALL,$DF694,$L$14)," "," "),CHAR(9)," "),CHAR(10)," "),CHAR(13)," "))),"")))</f>
        <v/>
      </c>
      <c r="DW694">
        <f>IF($DM694=0,"",IF($L$15=0,"",IFERROR(IF(ISNUMBER(INDEX(PASTE_ALL,$DF694,$L$15)),INDEX(PASTE_ALL,$DF694,$L$15),IF(SUMPRODUCT(--ISNUMBER(FIND({"A","B","C","D","E","F","G","H","I","J","K","L","M","N","O","P","Q","R","S","T","U","V","W","X","Y","Z","0","1","2","3","4","5","6","7","8","9"},UPPER(TRIM(SUBSTITUTE(SUBSTITUTE(SUBSTITUTE(SUBSTITUTE(INDEX(PASTE_ALL,$DF694,$L$15)," "," "),CHAR(9)," "),CHAR(10)," "),CHAR(13)," "))))))&gt;0,TRIM(SUBSTITUTE(SUBSTITUTE(SUBSTITUTE(SUBSTITUTE(INDEX(PASTE_ALL,$DF694,$L$15)," "," "),CHAR(9)," "),CHAR(10)," "),CHAR(13)," ")),"")),"")))</f>
        <v/>
      </c>
      <c r="DX694">
        <f>IF($DM694=0,"",IF($L$16=0,"",IFERROR(IF(ISNUMBER(INDEX(PASTE_ALL,$DF694,$L$16)),INDEX(PASTE_ALL,$DF694,$L$16),SUBSTITUTE(SUBSTITUTE(TRIM(SUBSTITUTE(SUBSTITUTE(SUBSTITUTE(SUBSTITUTE(INDEX(PASTE_ALL,$DF694,$L$16)," "," "),CHAR(9)," "),CHAR(10)," "),CHAR(13)," ")),",",""),"%","")),"")))</f>
        <v/>
      </c>
      <c r="DY694">
        <f>IF($DM694=0,"",IFERROR(IF(ISNUMBER($DX694),$DX694,IF($DX694="","",IF(TRIM($DX694)="",0,IF(AND(AND(SUBSTITUTE(SUBSTITUTE(SUBSTITUTE(SUBSTITUTE(SUBSTITUTE(SUBSTITUTE(SUBSTITUTE(SUBSTITUTE(SUBSTITUTE(SUBSTITUTE(SUBSTITUTE(SUBSTITUTE(SUBSTITUTE(SUBSTITUTE(UPPER(TRIM($DX694)),"0",""),"1",""),"2",""),"3",""),"4",""),"5",""),"6",""),"7",""),"8",""),"9",""),".",""),"+",""),"-",""),"E","")="",LEN(SUBSTITUTE(SUBSTITUTE(MID(UPPER(TRIM($DX694)),1+OR(LEFT(UPPER(TRIM($DX694)),1)="+",LEFT(UPPER(TRIM($DX694)),1)="-"),999),"E+","E"),"E-","E"))=LEN(SUBSTITUTE(SUBSTITUTE(SUBSTITUTE(SUBSTITUTE(MID(UPPER(TRIM($DX694)),1+OR(LEFT(UPPER(TRIM($DX694)),1)="+",LEFT(UPPER(TRIM($DX694)),1)="-"),999),"E+","E"),"E-","E"),"+",""),"-","")),LEN(UPPER(TRIM($DX694)))-LEN(SUBSTITUTE(UPPER(TRIM($DX694)),"E",""))&lt;2,LEN(UPPER(TRIM($DX694)))-LEN(SUBSTITUTE(UPPER(TRIM($DX694)),".",""))&lt;2,IFERROR(FIND(".",UPPER(TRIM($DX694))),0)&lt;IFERROR(FIND("E",UPPER(TRIM($DX694))),999)),ISNUMBER(VALUE(TRIM($DX694)))),VALUE(TRIM($DX694)),"")))),""))</f>
        <v/>
      </c>
      <c r="DZ694">
        <f>IF($DM694=0,"",IF($L$17=0,"",IFERROR(IF(ISNUMBER(INDEX(PASTE_ALL,$DF694,$L$17)),INDEX(PASTE_ALL,$DF694,$L$17),SUBSTITUTE(SUBSTITUTE(TRIM(SUBSTITUTE(SUBSTITUTE(SUBSTITUTE(SUBSTITUTE(INDEX(PASTE_ALL,$DF694,$L$17)," "," "),CHAR(9)," "),CHAR(10)," "),CHAR(13)," ")),",",""),"%","")),"")))</f>
        <v/>
      </c>
      <c r="EA694">
        <f>IF($DM694=0,"",IFERROR(IF(ISNUMBER($DZ694),$DZ694,IF($DZ694="","",IF(TRIM($DZ694)="",0,IF(AND(AND(SUBSTITUTE(SUBSTITUTE(SUBSTITUTE(SUBSTITUTE(SUBSTITUTE(SUBSTITUTE(SUBSTITUTE(SUBSTITUTE(SUBSTITUTE(SUBSTITUTE(SUBSTITUTE(SUBSTITUTE(SUBSTITUTE(SUBSTITUTE(UPPER(TRIM($DZ694)),"0",""),"1",""),"2",""),"3",""),"4",""),"5",""),"6",""),"7",""),"8",""),"9",""),".",""),"+",""),"-",""),"E","")="",LEN(SUBSTITUTE(SUBSTITUTE(MID(UPPER(TRIM($DZ694)),1+OR(LEFT(UPPER(TRIM($DZ694)),1)="+",LEFT(UPPER(TRIM($DZ694)),1)="-"),999),"E+","E"),"E-","E"))=LEN(SUBSTITUTE(SUBSTITUTE(SUBSTITUTE(SUBSTITUTE(MID(UPPER(TRIM($DZ694)),1+OR(LEFT(UPPER(TRIM($DZ694)),1)="+",LEFT(UPPER(TRIM($DZ694)),1)="-"),999),"E+","E"),"E-","E"),"+",""),"-","")),LEN(UPPER(TRIM($DZ694)))-LEN(SUBSTITUTE(UPPER(TRIM($DZ694)),"E",""))&lt;2,LEN(UPPER(TRIM($DZ694)))-LEN(SUBSTITUTE(UPPER(TRIM($DZ694)),".",""))&lt;2,IFERROR(FIND(".",UPPER(TRIM($DZ694))),0)&lt;IFERROR(FIND("E",UPPER(TRIM($DZ694))),999)),ISNUMBER(VALUE(TRIM($DZ694)))),VALUE(TRIM($DZ694)),"")))),""))</f>
        <v/>
      </c>
      <c r="EB694">
        <f>IF($DM694=0,"",IF($L$18=0,"",IFERROR(IF(UPPER(TRIM(SUBSTITUTE(SUBSTITUTE(SUBSTITUTE(SUBSTITUTE(INDEX(PASTE_ALL,$DF694,$L$18)," "," "),CHAR(9)," "),CHAR(10)," "),CHAR(13)," ")))="READY","Ready",IF(UPPER(TRIM(SUBSTITUTE(SUBSTITUTE(SUBSTITUTE(SUBSTITUTE(INDEX(PASTE_ALL,$DF694,$L$18)," "," "),CHAR(9)," "),CHAR(10)," "),CHAR(13)," ")))="PM","PM",IF(OR(UPPER(TRIM(SUBSTITUTE(SUBSTITUTE(SUBSTITUTE(SUBSTITUTE(INDEX(PASTE_ALL,$DF694,$L$18)," "," "),CHAR(9)," "),CHAR(10)," "),CHAR(13)," ")))="OT",UPPER(TRIM(SUBSTITUTE(SUBSTITUTE(SUBSTITUTE(SUBSTITUTE(INDEX(PASTE_ALL,$DF694,$L$18)," "," "),CHAR(9)," "),CHAR(10)," "),CHAR(13)," ")))="OVERTIME",UPPER(TRIM(SUBSTITUTE(SUBSTITUTE(SUBSTITUTE(SUBSTITUTE(INDEX(PASTE_ALL,$DF694,$L$18)," "," "),CHAR(9)," "),CHAR(10)," "),CHAR(13)," ")))="TRIAL"),"OT",TRIM(SUBSTITUTE(SUBSTITUTE(SUBSTITUTE(SUBSTITUTE(INDEX(PASTE_ALL,$DF694,$L$18)," "," "),CHAR(9)," "),CHAR(10)," "),CHAR(13)," "))))),"")))</f>
        <v/>
      </c>
      <c r="EC694">
        <f>IF($DM694=0,"",IF($L$19=0,"",IFERROR(IF(ISNUMBER(INDEX(PASTE_ALL,$DF694,$L$19)),INDEX(PASTE_ALL,$DF694,$L$19),TRIM(SUBSTITUTE(SUBSTITUTE(SUBSTITUTE(SUBSTITUTE(INDEX(PASTE_ALL,$DF694,$L$19)," "," "),CHAR(9)," "),CHAR(10)," "),CHAR(13)," "))),"")))</f>
        <v/>
      </c>
      <c r="ED694">
        <f>IF($DM694=0,"",MATCH(1,INDEX(EXACT($DH$5:DH694,$DH694)*$DM$5:DM694,0),0))</f>
        <v/>
      </c>
      <c r="EE694">
        <f>IF($DM694=0,0,IF($ED694=$DE694,1,0))</f>
        <v/>
      </c>
      <c r="EF694">
        <f>EF693+$EE694</f>
        <v/>
      </c>
      <c r="EG694">
        <f>IF($DM694=0,"",INDEX($EF$5:$EF$1003,$ED694))</f>
        <v/>
      </c>
      <c r="EH694">
        <f>IF($DM694=0,"",IF($DO694&lt;&gt;"","",IFERROR(LOOKUP(2,1/(($EG$4:EG693=$EG694)*($DO$4:DO693&lt;&gt;"")),$DO$4:DO693),"")))</f>
        <v/>
      </c>
      <c r="EI694">
        <f>IF($DM694=0,"",IF($DO694&lt;&gt;"",$DO694,$EH694))</f>
        <v/>
      </c>
      <c r="EJ694">
        <f>IF($DM694=0,"",IF($EI694="",0,IF(OR(ISNUMBER($EI694),AND(AND(SUBSTITUTE(SUBSTITUTE(SUBSTITUTE(SUBSTITUTE(SUBSTITUTE(SUBSTITUTE(SUBSTITUTE(SUBSTITUTE(SUBSTITUTE(SUBSTITUTE(SUBSTITUTE(SUBSTITUTE(SUBSTITUTE(SUBSTITUTE(UPPER($EI694),"0",""),"1",""),"2",""),"3",""),"4",""),"5",""),"6",""),"7",""),"8",""),"9",""),".",""),"+",""),"-",""),"E","")="",LEN(SUBSTITUTE(SUBSTITUTE(MID(UPPER($EI694),1+OR(LEFT(UPPER($EI694),1)="+",LEFT(UPPER($EI694),1)="-"),999),"E+","E"),"E-","E"))=LEN(SUBSTITUTE(SUBSTITUTE(SUBSTITUTE(SUBSTITUTE(MID(UPPER($EI694),1+OR(LEFT(UPPER($EI694),1)="+",LEFT(UPPER($EI694),1)="-"),999),"E+","E"),"E-","E"),"+",""),"-","")),LEN(UPPER($EI694))-LEN(SUBSTITUTE(UPPER($EI694),"E",""))&lt;2,LEN(UPPER($EI694))-LEN(SUBSTITUTE(UPPER($EI694),".",""))&lt;2,IFERROR(FIND(".",UPPER($EI694)),0)&lt;IFERROR(FIND("E",UPPER($EI694)),999)),ISNUMBER(VALUE($EI694)))),1,2)))</f>
        <v/>
      </c>
      <c r="EK694">
        <f>IF($DM694=0,"",IF($EJ694=1,IF(ISNUMBER($EI694),$EI694,VALUE($EI694)),IF($EJ694=2,$DE694,0)))</f>
        <v/>
      </c>
      <c r="EL694">
        <f>IF($DM694=0,"",COUNTIF($EG$5:$EG$1003,"&lt;"&amp;$EG694)+SUMPRODUCT(($EG$5:$EG$1003=$EG694)*(($EJ$5:$EJ$1003&lt;$EJ694)+($EJ$5:$EJ$1003=$EJ694)*(($EK$5:$EK$1003&lt;$EK694)+($EK$5:$EK$1003=$EK694)*($DE$5:$DE$1003&lt;$DE694))))+1)</f>
        <v/>
      </c>
      <c r="EM694">
        <f>IF($DM694=0,"",$EL694+$EG694-1)</f>
        <v/>
      </c>
      <c r="EN694">
        <f>IF($DM694=0,0,IFERROR(MATCH(1,INDEX(--(TRIM(SUBSTITUTE(SUBSTITUTE(SUBSTITUTE(SUBSTITUTE(LINES_NAME&amp;""," "," "),CHAR(9)," "),CHAR(10)," "),CHAR(13)," "))=$DH694),0),0),0))</f>
        <v/>
      </c>
      <c r="EO694">
        <f>IF($EN694=0,0,IF(OR(UPPER(TRIM(INDEX(LINES_SCHEDULED,$EN694)&amp;""))="YES",UPPER(TRIM(INDEX(LINES_SCHEDULED,$EN694)&amp;""))="Y",UPPER(TRIM(INDEX(LINES_SCHEDULED,$EN694)&amp;""))="X"),1,0))</f>
        <v/>
      </c>
      <c r="EP694">
        <f>IF($DM694=0,"",IF(COUNTIFS($EG$5:$EG$1003,$EG694,$EB$5:$EB$1003,"Ready")&gt;0,"READY",IF(COUNTIFS($EG$5:$EG$1003,$EG694,$EB$5:$EB$1003,"PM")&gt;0,"PM",IF(COUNTIFS($EG$5:$EG$1003,$EG694,$EB$5:$EB$1003,"OT")&gt;0,"OT",""))))</f>
        <v/>
      </c>
      <c r="EQ694">
        <f>IF($EN694=0,"",UPPER(TRIM(INDEX(LINES_STATUS,$EN694)&amp;"")))</f>
        <v/>
      </c>
      <c r="ER694">
        <f>IF($DM694=0,"",IF(OR($EQ694="READY",$EQ694="PM",$EQ694="OT"),$EQ694,$EP694))</f>
        <v/>
      </c>
      <c r="ES694">
        <f>IF($DM694=0,"",IF(AND($DV694&lt;&gt;"",UPPER($DV694)&lt;&gt;"N"),"allergen",IF(ISNUMBER(SEARCH("oil",$DQ694)),"oil",IF(OR(EXACT($DS694,"A662"),EXACT($DS694,"A624")),"bulk",""))))</f>
        <v/>
      </c>
      <c r="ET694">
        <f>IF($DM694=0,"",IF(OR($EA694="",$EA694=0),"",$EA694/100))</f>
        <v/>
      </c>
      <c r="EU694">
        <f>IF(OR($ET694="",$DY694=""),"",INT($DY694*(1-$ET694)+0.5))</f>
        <v/>
      </c>
      <c r="EW694" t="n">
        <v>690</v>
      </c>
      <c r="EX694">
        <f>IFERROR(MATCH($EW694,$EM$5:$EM$1003,0),0)</f>
        <v/>
      </c>
      <c r="EY694">
        <f>IF($EW694&gt;$B$12,"",IF($EX694&gt;0,"row","spacer"))</f>
        <v/>
      </c>
      <c r="EZ694">
        <f>IF(AND($EY694="row",$EY693&lt;&gt;"row"),1,0)</f>
        <v/>
      </c>
      <c r="FA694">
        <f>IF(AND($EY694="row",$EY695&lt;&gt;"row"),1,0)</f>
        <v/>
      </c>
      <c r="FB694">
        <f>IF($EZ694=1,IFERROR(IF(ISNUMBER(INDEX(PASTE_ALL,INDEX($DF$5:$DF$1003,$EX694),$B$37)),INDEX(PASTE_ALL,INDEX($DF$5:$DF$1003,$EX694),$B$37),INDEX($DH$5:$DH$1003,$EX694)),INDEX($DH$5:$DH$1003,$EX694)),"")</f>
        <v/>
      </c>
      <c r="FC694">
        <f>IF($EY694="row",INDEX($ER$5:$ER$1003,$EX694),"")</f>
        <v/>
      </c>
      <c r="FD694">
        <f>IF($EY694="row",INDEX($DN$5:$DN$1003,$EX694),"")</f>
        <v/>
      </c>
      <c r="FE694">
        <f>IF($EY694="row",INDEX($DO$5:$DO$1003,$EX694),"")</f>
        <v/>
      </c>
      <c r="FF694">
        <f>IF($EY694="row",INDEX($DP$5:$DP$1003,$EX694),"")</f>
        <v/>
      </c>
      <c r="FG694">
        <f>IF($EY694="row",INDEX($DQ$5:$DQ$1003,$EX694),"")</f>
        <v/>
      </c>
      <c r="FH694">
        <f>IF($EY694="row",INDEX($DR$5:$DR$1003,$EX694),"")</f>
        <v/>
      </c>
      <c r="FI694">
        <f>IF($EY694="row",INDEX($DS$5:$DS$1003,$EX694),"")</f>
        <v/>
      </c>
      <c r="FJ694">
        <f>IF($EY694="row",INDEX($DT$5:$DT$1003,$EX694),"")</f>
        <v/>
      </c>
      <c r="FK694">
        <f>IF($EY694="row",INDEX($DU$5:$DU$1003,$EX694),"")</f>
        <v/>
      </c>
      <c r="FL694">
        <f>IF($EY694="row",INDEX($DV$5:$DV$1003,$EX694),"")</f>
        <v/>
      </c>
      <c r="FM694">
        <f>IF($EY694="row",INDEX($DW$5:$DW$1003,$EX694),"")</f>
        <v/>
      </c>
      <c r="FN694">
        <f>IF($EY694="row",INDEX($DY$5:$DY$1003,$EX694),"")</f>
        <v/>
      </c>
      <c r="FO694">
        <f>IF($EY694="row",INDEX($EA$5:$EA$1003,$EX694),"")</f>
        <v/>
      </c>
      <c r="FP694">
        <f>IF($EY694="row",INDEX($EC$5:$EC$1003,$EX694),"")</f>
        <v/>
      </c>
      <c r="FQ694">
        <f>IF($EY694="row",INDEX($ET$5:$ET$1003,$EX694),"")</f>
        <v/>
      </c>
      <c r="FR694">
        <f>IF($EY694="row",INDEX($EU$5:$EU$1003,$EX694),"")</f>
        <v/>
      </c>
      <c r="FS694">
        <f>IF(AND($EY694="row",$EY693="row"),IF(OR(INDEX($DT$5:$DT$1003,$EX693)="",INDEX($DT$5:$DT$1003,$EX694)=""),"",IF(NOT(EXACT(INDEX($DT$5:$DT$1003,$EX693),INDEX($DT$5:$DT$1003,$EX694))),"S4",IF(NOT(EXACT(INDEX($DS$5:$DS$1003,$EX693),INDEX($DS$5:$DS$1003,$EX694))),"S3",IF(NOT(EXACT(INDEX($DR$5:$DR$1003,$EX693),INDEX($DR$5:$DR$1003,$EX694))),"S1 Count Change","S1")))),"")</f>
        <v/>
      </c>
      <c r="FT694">
        <f>IF($EY694="row",INDEX($ES$5:$ES$1003,$EX694),"")</f>
        <v/>
      </c>
      <c r="FU694">
        <f>IF($EY694="row",INDEX($EO$5:$EO$1003,$EX694),0)</f>
        <v/>
      </c>
      <c r="FV694">
        <f>IF($FS694="S1 Count Change",1,0)</f>
        <v/>
      </c>
    </row>
    <row r="695">
      <c r="DA695" t="n">
        <v>691</v>
      </c>
      <c r="DB695">
        <f>IF($B$37=0,"",IFERROR(TRIM(SUBSTITUTE(SUBSTITUTE(SUBSTITUTE(SUBSTITUTE(INDEX(PASTE_ALL,691,$B$37)," "," "),CHAR(9)," "),CHAR(10)," "),CHAR(13)," ")),""))</f>
        <v/>
      </c>
      <c r="DC695">
        <f>IF(AND(691&gt;HEADER_ROW,UPPER(DB695)="LEGEND"),1,0)</f>
        <v/>
      </c>
      <c r="DE695" t="n">
        <v>691</v>
      </c>
      <c r="DF695">
        <f>HEADER_ROW+$DE695</f>
        <v/>
      </c>
      <c r="DG695">
        <f>IF(AND($DF695&lt;=1000,$DF695&lt;$B$8),1,0)</f>
        <v/>
      </c>
      <c r="DH695">
        <f>IF($DG695=1,IFERROR(INDEX($DB$5:$DB$1004,$DF695),""),"")</f>
        <v/>
      </c>
      <c r="DI695">
        <f>IF(AND($DG695=1,$DH695&lt;&gt;""),IFERROR(SUBSTITUTE(SUBSTITUTE(TRIM(SUBSTITUTE(SUBSTITUTE(SUBSTITUTE(SUBSTITUTE(IFERROR(INDEX(PASTE_ALL,$DF695,1)&amp;"","")&amp;"␟"&amp;IFERROR(INDEX(PASTE_ALL,$DF695,2)&amp;"","")&amp;"␟"&amp;IFERROR(INDEX(PASTE_ALL,$DF695,3)&amp;"","")&amp;"␟"&amp;IFERROR(INDEX(PASTE_ALL,$DF695,4)&amp;"","")&amp;"␟"&amp;IFERROR(INDEX(PASTE_ALL,$DF695,5)&amp;"","")&amp;"␟"&amp;IFERROR(INDEX(PASTE_ALL,$DF695,6)&amp;"","")&amp;"␟"&amp;IFERROR(INDEX(PASTE_ALL,$DF695,7)&amp;"","")&amp;"␟"&amp;IFERROR(INDEX(PASTE_ALL,$DF695,8)&amp;"","")&amp;"␟"&amp;IFERROR(INDEX(PASTE_ALL,$DF695,9)&amp;"","")&amp;"␟"&amp;IFERROR(INDEX(PASTE_ALL,$DF695,10)&amp;"","")&amp;"␟"&amp;IFERROR(INDEX(PASTE_ALL,$DF695,11)&amp;"","")&amp;"␟"&amp;IFERROR(INDEX(PASTE_ALL,$DF695,12)&amp;"","")&amp;"␟"&amp;IFERROR(INDEX(PASTE_ALL,$DF695,13)&amp;"","")&amp;"␟"&amp;IFERROR(INDEX(PASTE_ALL,$DF695,14)&amp;"","")&amp;"␟"&amp;IFERROR(INDEX(PASTE_ALL,$DF695,15)&amp;"","")&amp;"␟"&amp;IFERROR(INDEX(PASTE_ALL,$DF695,16)&amp;"","")&amp;"␟"&amp;IFERROR(INDEX(PASTE_ALL,$DF695,17)&amp;"","")&amp;"␟"&amp;IFERROR(INDEX(PASTE_ALL,$DF695,18)&amp;"","")&amp;"␟"&amp;IFERROR(INDEX(PASTE_ALL,$DF695,19)&amp;"","")&amp;"␟"&amp;IFERROR(INDEX(PASTE_ALL,$DF695,20)&amp;"","")&amp;"␟"&amp;IFERROR(INDEX(PASTE_ALL,$DF695,21)&amp;"","")&amp;"␟"&amp;IFERROR(INDEX(PASTE_ALL,$DF695,22)&amp;"","")&amp;"␟"&amp;IFERROR(INDEX(PASTE_ALL,$DF695,23)&amp;"","")&amp;"␟"&amp;IFERROR(INDEX(PASTE_ALL,$DF695,24)&amp;"","")&amp;"␟"&amp;IFERROR(INDEX(PASTE_ALL,$DF695,25)&amp;"","")&amp;"␟"&amp;IFERROR(INDEX(PASTE_ALL,$DF695,26)&amp;"","")&amp;"␟"&amp;IFERROR(INDEX(PASTE_ALL,$DF695,27)&amp;"","")&amp;"␟"&amp;IFERROR(INDEX(PASTE_ALL,$DF695,28)&amp;"","")&amp;"␟"&amp;IFERROR(INDEX(PASTE_ALL,$DF695,29)&amp;"","")&amp;"␟"&amp;IFERROR(INDEX(PASTE_ALL,$DF695,30)&amp;"","")&amp;"␟"&amp;IFERROR(INDEX(PASTE_ALL,$DF695,31)&amp;"","")&amp;"␟"&amp;IFERROR(INDEX(PASTE_ALL,$DF695,32)&amp;"","")&amp;"␟"&amp;IFERROR(INDEX(PASTE_ALL,$DF695,33)&amp;"","")&amp;"␟"&amp;IFERROR(INDEX(PASTE_ALL,$DF695,34)&amp;"","")&amp;"␟"&amp;IFERROR(INDEX(PASTE_ALL,$DF695,35)&amp;"","")&amp;"␟"&amp;IFERROR(INDEX(PASTE_ALL,$DF695,36)&amp;"","")&amp;"␟"&amp;IFERROR(INDEX(PASTE_ALL,$DF695,37)&amp;"","")&amp;"␟"&amp;IFERROR(INDEX(PASTE_ALL,$DF695,38)&amp;"","")&amp;"␟"&amp;IFERROR(INDEX(PASTE_ALL,$DF695,39)&amp;"","")&amp;"␟"&amp;IFERROR(INDEX(PASTE_ALL,$DF695,40)&amp;"","")&amp;"␟"&amp;IFERROR(INDEX(PASTE_ALL,$DF695,41)&amp;"","")&amp;"␟"&amp;IFERROR(INDEX(PASTE_ALL,$DF695,42)&amp;"","")&amp;"␟"&amp;IFERROR(INDEX(PASTE_ALL,$DF695,43)&amp;"","")&amp;"␟"&amp;IFERROR(INDEX(PASTE_ALL,$DF695,44)&amp;"","")&amp;"␟"&amp;IFERROR(INDEX(PASTE_ALL,$DF695,45)&amp;"","")&amp;"␟"&amp;IFERROR(INDEX(PASTE_ALL,$DF695,46)&amp;"","")&amp;"␟"&amp;IFERROR(INDEX(PASTE_ALL,$DF695,47)&amp;"","")&amp;"␟"&amp;IFERROR(INDEX(PASTE_ALL,$DF695,48)&amp;"","")&amp;"␟"&amp;IFERROR(INDEX(PASTE_ALL,$DF695,49)&amp;"","")&amp;"␟"&amp;IFERROR(INDEX(PASTE_ALL,$DF695,50)&amp;"","")&amp;"␟"&amp;IFERROR(INDEX(PASTE_ALL,$DF695,51)&amp;"","")&amp;"␟"&amp;IFERROR(INDEX(PASTE_ALL,$DF695,52)&amp;"","")&amp;"␟"&amp;IFERROR(INDEX(PASTE_ALL,$DF695,53)&amp;"","")&amp;"␟"&amp;IFERROR(INDEX(PASTE_ALL,$DF695,54)&amp;"","")&amp;"␟"&amp;IFERROR(INDEX(PASTE_ALL,$DF695,55)&amp;"","")&amp;"␟"&amp;IFERROR(INDEX(PASTE_ALL,$DF695,56)&amp;"","")&amp;"␟"&amp;IFERROR(INDEX(PASTE_ALL,$DF695,57)&amp;"","")&amp;"␟"&amp;IFERROR(INDEX(PASTE_ALL,$DF695,58)&amp;"","")&amp;"␟"&amp;IFERROR(INDEX(PASTE_ALL,$DF695,59)&amp;"","")&amp;"␟"&amp;IFERROR(INDEX(PASTE_ALL,$DF695,60)&amp;"","")," "," "),CHAR(9)," "),CHAR(10)," "),CHAR(13)," "))," ␟","␟"),"␟ ","␟"),"#"&amp;$DE695),"")</f>
        <v/>
      </c>
      <c r="DJ695">
        <f>IF($DI695="",0,IF(SUMPRODUCT(--EXACT($DI$4:DI694,$DI695))&gt;0,1,0))</f>
        <v/>
      </c>
      <c r="DK695">
        <f>IF(AND($DI695&lt;&gt;"",$DJ695=0),1,0)</f>
        <v/>
      </c>
      <c r="DL695">
        <f>DL694+$DK695</f>
        <v/>
      </c>
      <c r="DM695">
        <f>IF(AND($DK695=1,$DL695&lt;=600),1,0)</f>
        <v/>
      </c>
      <c r="DN695">
        <f>IF($DM695=0,"",IF($L$6=0,"",IFERROR(IF(ISNUMBER(INDEX(PASTE_ALL,$DF695,$L$6)),INDEX(PASTE_ALL,$DF695,$L$6),TRIM(SUBSTITUTE(SUBSTITUTE(SUBSTITUTE(SUBSTITUTE(INDEX(PASTE_ALL,$DF695,$L$6)," "," "),CHAR(9)," "),CHAR(10)," "),CHAR(13)," "))),"")))</f>
        <v/>
      </c>
      <c r="DO695">
        <f>IF($DM695=0,"",IF($L$7=0,"",IFERROR(IF(ISNUMBER(INDEX(PASTE_ALL,$DF695,$L$7)),INDEX(PASTE_ALL,$DF695,$L$7),TRIM(SUBSTITUTE(SUBSTITUTE(SUBSTITUTE(SUBSTITUTE(INDEX(PASTE_ALL,$DF695,$L$7)," "," "),CHAR(9)," "),CHAR(10)," "),CHAR(13)," "))),"")))</f>
        <v/>
      </c>
      <c r="DP695">
        <f>IF($DM695=0,"",IF($L$8=0,"",IFERROR(IF(ISNUMBER(INDEX(PASTE_ALL,$DF695,$L$8)),INDEX(PASTE_ALL,$DF695,$L$8),TRIM(SUBSTITUTE(SUBSTITUTE(SUBSTITUTE(SUBSTITUTE(INDEX(PASTE_ALL,$DF695,$L$8)," "," "),CHAR(9)," "),CHAR(10)," "),CHAR(13)," "))),"")))</f>
        <v/>
      </c>
      <c r="DQ695">
        <f>IF($DM695=0,"",IF($L$9=0,"",IFERROR(IF(ISNUMBER(INDEX(PASTE_ALL,$DF695,$L$9)),INDEX(PASTE_ALL,$DF695,$L$9),TRIM(SUBSTITUTE(SUBSTITUTE(SUBSTITUTE(SUBSTITUTE(INDEX(PASTE_ALL,$DF695,$L$9)," "," "),CHAR(9)," "),CHAR(10)," "),CHAR(13)," "))),"")))</f>
        <v/>
      </c>
      <c r="DR695">
        <f>IF($DM695=0,"",IF($L$10=0,"",IFERROR(IF(ISNUMBER(INDEX(PASTE_ALL,$DF695,$L$10)),INDEX(PASTE_ALL,$DF695,$L$10),TRIM(SUBSTITUTE(SUBSTITUTE(SUBSTITUTE(SUBSTITUTE(INDEX(PASTE_ALL,$DF695,$L$10)," "," "),CHAR(9)," "),CHAR(10)," "),CHAR(13)," "))),"")))</f>
        <v/>
      </c>
      <c r="DS695">
        <f>IF($DM695=0,"",IF($L$11=0,"",IFERROR(IF(ISNUMBER(INDEX(PASTE_ALL,$DF695,$L$11)),INDEX(PASTE_ALL,$DF695,$L$11),TRIM(SUBSTITUTE(SUBSTITUTE(SUBSTITUTE(SUBSTITUTE(INDEX(PASTE_ALL,$DF695,$L$11)," "," "),CHAR(9)," "),CHAR(10)," "),CHAR(13)," "))),"")))</f>
        <v/>
      </c>
      <c r="DT695">
        <f>IF($DM695=0,"",IF($L$12=0,"",IFERROR(IF(ISNUMBER(INDEX(PASTE_ALL,$DF695,$L$12)),INDEX(PASTE_ALL,$DF695,$L$12),TRIM(SUBSTITUTE(SUBSTITUTE(SUBSTITUTE(SUBSTITUTE(INDEX(PASTE_ALL,$DF695,$L$12)," "," "),CHAR(9)," "),CHAR(10)," "),CHAR(13)," "))),"")))</f>
        <v/>
      </c>
      <c r="DU695">
        <f>IF($DM695=0,"",IF($L$13=0,"",IFERROR(IF(ISNUMBER(INDEX(PASTE_ALL,$DF695,$L$13)),INDEX(PASTE_ALL,$DF695,$L$13),TRIM(SUBSTITUTE(SUBSTITUTE(SUBSTITUTE(SUBSTITUTE(INDEX(PASTE_ALL,$DF695,$L$13)," "," "),CHAR(9)," "),CHAR(10)," "),CHAR(13)," "))),"")))</f>
        <v/>
      </c>
      <c r="DV695">
        <f>IF($DM695=0,"",IF($L$14=0,"",IFERROR(IF(ISNUMBER(INDEX(PASTE_ALL,$DF695,$L$14)),INDEX(PASTE_ALL,$DF695,$L$14),TRIM(SUBSTITUTE(SUBSTITUTE(SUBSTITUTE(SUBSTITUTE(INDEX(PASTE_ALL,$DF695,$L$14)," "," "),CHAR(9)," "),CHAR(10)," "),CHAR(13)," "))),"")))</f>
        <v/>
      </c>
      <c r="DW695">
        <f>IF($DM695=0,"",IF($L$15=0,"",IFERROR(IF(ISNUMBER(INDEX(PASTE_ALL,$DF695,$L$15)),INDEX(PASTE_ALL,$DF695,$L$15),IF(SUMPRODUCT(--ISNUMBER(FIND({"A","B","C","D","E","F","G","H","I","J","K","L","M","N","O","P","Q","R","S","T","U","V","W","X","Y","Z","0","1","2","3","4","5","6","7","8","9"},UPPER(TRIM(SUBSTITUTE(SUBSTITUTE(SUBSTITUTE(SUBSTITUTE(INDEX(PASTE_ALL,$DF695,$L$15)," "," "),CHAR(9)," "),CHAR(10)," "),CHAR(13)," "))))))&gt;0,TRIM(SUBSTITUTE(SUBSTITUTE(SUBSTITUTE(SUBSTITUTE(INDEX(PASTE_ALL,$DF695,$L$15)," "," "),CHAR(9)," "),CHAR(10)," "),CHAR(13)," ")),"")),"")))</f>
        <v/>
      </c>
      <c r="DX695">
        <f>IF($DM695=0,"",IF($L$16=0,"",IFERROR(IF(ISNUMBER(INDEX(PASTE_ALL,$DF695,$L$16)),INDEX(PASTE_ALL,$DF695,$L$16),SUBSTITUTE(SUBSTITUTE(TRIM(SUBSTITUTE(SUBSTITUTE(SUBSTITUTE(SUBSTITUTE(INDEX(PASTE_ALL,$DF695,$L$16)," "," "),CHAR(9)," "),CHAR(10)," "),CHAR(13)," ")),",",""),"%","")),"")))</f>
        <v/>
      </c>
      <c r="DY695">
        <f>IF($DM695=0,"",IFERROR(IF(ISNUMBER($DX695),$DX695,IF($DX695="","",IF(TRIM($DX695)="",0,IF(AND(AND(SUBSTITUTE(SUBSTITUTE(SUBSTITUTE(SUBSTITUTE(SUBSTITUTE(SUBSTITUTE(SUBSTITUTE(SUBSTITUTE(SUBSTITUTE(SUBSTITUTE(SUBSTITUTE(SUBSTITUTE(SUBSTITUTE(SUBSTITUTE(UPPER(TRIM($DX695)),"0",""),"1",""),"2",""),"3",""),"4",""),"5",""),"6",""),"7",""),"8",""),"9",""),".",""),"+",""),"-",""),"E","")="",LEN(SUBSTITUTE(SUBSTITUTE(MID(UPPER(TRIM($DX695)),1+OR(LEFT(UPPER(TRIM($DX695)),1)="+",LEFT(UPPER(TRIM($DX695)),1)="-"),999),"E+","E"),"E-","E"))=LEN(SUBSTITUTE(SUBSTITUTE(SUBSTITUTE(SUBSTITUTE(MID(UPPER(TRIM($DX695)),1+OR(LEFT(UPPER(TRIM($DX695)),1)="+",LEFT(UPPER(TRIM($DX695)),1)="-"),999),"E+","E"),"E-","E"),"+",""),"-","")),LEN(UPPER(TRIM($DX695)))-LEN(SUBSTITUTE(UPPER(TRIM($DX695)),"E",""))&lt;2,LEN(UPPER(TRIM($DX695)))-LEN(SUBSTITUTE(UPPER(TRIM($DX695)),".",""))&lt;2,IFERROR(FIND(".",UPPER(TRIM($DX695))),0)&lt;IFERROR(FIND("E",UPPER(TRIM($DX695))),999)),ISNUMBER(VALUE(TRIM($DX695)))),VALUE(TRIM($DX695)),"")))),""))</f>
        <v/>
      </c>
      <c r="DZ695">
        <f>IF($DM695=0,"",IF($L$17=0,"",IFERROR(IF(ISNUMBER(INDEX(PASTE_ALL,$DF695,$L$17)),INDEX(PASTE_ALL,$DF695,$L$17),SUBSTITUTE(SUBSTITUTE(TRIM(SUBSTITUTE(SUBSTITUTE(SUBSTITUTE(SUBSTITUTE(INDEX(PASTE_ALL,$DF695,$L$17)," "," "),CHAR(9)," "),CHAR(10)," "),CHAR(13)," ")),",",""),"%","")),"")))</f>
        <v/>
      </c>
      <c r="EA695">
        <f>IF($DM695=0,"",IFERROR(IF(ISNUMBER($DZ695),$DZ695,IF($DZ695="","",IF(TRIM($DZ695)="",0,IF(AND(AND(SUBSTITUTE(SUBSTITUTE(SUBSTITUTE(SUBSTITUTE(SUBSTITUTE(SUBSTITUTE(SUBSTITUTE(SUBSTITUTE(SUBSTITUTE(SUBSTITUTE(SUBSTITUTE(SUBSTITUTE(SUBSTITUTE(SUBSTITUTE(UPPER(TRIM($DZ695)),"0",""),"1",""),"2",""),"3",""),"4",""),"5",""),"6",""),"7",""),"8",""),"9",""),".",""),"+",""),"-",""),"E","")="",LEN(SUBSTITUTE(SUBSTITUTE(MID(UPPER(TRIM($DZ695)),1+OR(LEFT(UPPER(TRIM($DZ695)),1)="+",LEFT(UPPER(TRIM($DZ695)),1)="-"),999),"E+","E"),"E-","E"))=LEN(SUBSTITUTE(SUBSTITUTE(SUBSTITUTE(SUBSTITUTE(MID(UPPER(TRIM($DZ695)),1+OR(LEFT(UPPER(TRIM($DZ695)),1)="+",LEFT(UPPER(TRIM($DZ695)),1)="-"),999),"E+","E"),"E-","E"),"+",""),"-","")),LEN(UPPER(TRIM($DZ695)))-LEN(SUBSTITUTE(UPPER(TRIM($DZ695)),"E",""))&lt;2,LEN(UPPER(TRIM($DZ695)))-LEN(SUBSTITUTE(UPPER(TRIM($DZ695)),".",""))&lt;2,IFERROR(FIND(".",UPPER(TRIM($DZ695))),0)&lt;IFERROR(FIND("E",UPPER(TRIM($DZ695))),999)),ISNUMBER(VALUE(TRIM($DZ695)))),VALUE(TRIM($DZ695)),"")))),""))</f>
        <v/>
      </c>
      <c r="EB695">
        <f>IF($DM695=0,"",IF($L$18=0,"",IFERROR(IF(UPPER(TRIM(SUBSTITUTE(SUBSTITUTE(SUBSTITUTE(SUBSTITUTE(INDEX(PASTE_ALL,$DF695,$L$18)," "," "),CHAR(9)," "),CHAR(10)," "),CHAR(13)," ")))="READY","Ready",IF(UPPER(TRIM(SUBSTITUTE(SUBSTITUTE(SUBSTITUTE(SUBSTITUTE(INDEX(PASTE_ALL,$DF695,$L$18)," "," "),CHAR(9)," "),CHAR(10)," "),CHAR(13)," ")))="PM","PM",IF(OR(UPPER(TRIM(SUBSTITUTE(SUBSTITUTE(SUBSTITUTE(SUBSTITUTE(INDEX(PASTE_ALL,$DF695,$L$18)," "," "),CHAR(9)," "),CHAR(10)," "),CHAR(13)," ")))="OT",UPPER(TRIM(SUBSTITUTE(SUBSTITUTE(SUBSTITUTE(SUBSTITUTE(INDEX(PASTE_ALL,$DF695,$L$18)," "," "),CHAR(9)," "),CHAR(10)," "),CHAR(13)," ")))="OVERTIME",UPPER(TRIM(SUBSTITUTE(SUBSTITUTE(SUBSTITUTE(SUBSTITUTE(INDEX(PASTE_ALL,$DF695,$L$18)," "," "),CHAR(9)," "),CHAR(10)," "),CHAR(13)," ")))="TRIAL"),"OT",TRIM(SUBSTITUTE(SUBSTITUTE(SUBSTITUTE(SUBSTITUTE(INDEX(PASTE_ALL,$DF695,$L$18)," "," "),CHAR(9)," "),CHAR(10)," "),CHAR(13)," "))))),"")))</f>
        <v/>
      </c>
      <c r="EC695">
        <f>IF($DM695=0,"",IF($L$19=0,"",IFERROR(IF(ISNUMBER(INDEX(PASTE_ALL,$DF695,$L$19)),INDEX(PASTE_ALL,$DF695,$L$19),TRIM(SUBSTITUTE(SUBSTITUTE(SUBSTITUTE(SUBSTITUTE(INDEX(PASTE_ALL,$DF695,$L$19)," "," "),CHAR(9)," "),CHAR(10)," "),CHAR(13)," "))),"")))</f>
        <v/>
      </c>
      <c r="ED695">
        <f>IF($DM695=0,"",MATCH(1,INDEX(EXACT($DH$5:DH695,$DH695)*$DM$5:DM695,0),0))</f>
        <v/>
      </c>
      <c r="EE695">
        <f>IF($DM695=0,0,IF($ED695=$DE695,1,0))</f>
        <v/>
      </c>
      <c r="EF695">
        <f>EF694+$EE695</f>
        <v/>
      </c>
      <c r="EG695">
        <f>IF($DM695=0,"",INDEX($EF$5:$EF$1003,$ED695))</f>
        <v/>
      </c>
      <c r="EH695">
        <f>IF($DM695=0,"",IF($DO695&lt;&gt;"","",IFERROR(LOOKUP(2,1/(($EG$4:EG694=$EG695)*($DO$4:DO694&lt;&gt;"")),$DO$4:DO694),"")))</f>
        <v/>
      </c>
      <c r="EI695">
        <f>IF($DM695=0,"",IF($DO695&lt;&gt;"",$DO695,$EH695))</f>
        <v/>
      </c>
      <c r="EJ695">
        <f>IF($DM695=0,"",IF($EI695="",0,IF(OR(ISNUMBER($EI695),AND(AND(SUBSTITUTE(SUBSTITUTE(SUBSTITUTE(SUBSTITUTE(SUBSTITUTE(SUBSTITUTE(SUBSTITUTE(SUBSTITUTE(SUBSTITUTE(SUBSTITUTE(SUBSTITUTE(SUBSTITUTE(SUBSTITUTE(SUBSTITUTE(UPPER($EI695),"0",""),"1",""),"2",""),"3",""),"4",""),"5",""),"6",""),"7",""),"8",""),"9",""),".",""),"+",""),"-",""),"E","")="",LEN(SUBSTITUTE(SUBSTITUTE(MID(UPPER($EI695),1+OR(LEFT(UPPER($EI695),1)="+",LEFT(UPPER($EI695),1)="-"),999),"E+","E"),"E-","E"))=LEN(SUBSTITUTE(SUBSTITUTE(SUBSTITUTE(SUBSTITUTE(MID(UPPER($EI695),1+OR(LEFT(UPPER($EI695),1)="+",LEFT(UPPER($EI695),1)="-"),999),"E+","E"),"E-","E"),"+",""),"-","")),LEN(UPPER($EI695))-LEN(SUBSTITUTE(UPPER($EI695),"E",""))&lt;2,LEN(UPPER($EI695))-LEN(SUBSTITUTE(UPPER($EI695),".",""))&lt;2,IFERROR(FIND(".",UPPER($EI695)),0)&lt;IFERROR(FIND("E",UPPER($EI695)),999)),ISNUMBER(VALUE($EI695)))),1,2)))</f>
        <v/>
      </c>
      <c r="EK695">
        <f>IF($DM695=0,"",IF($EJ695=1,IF(ISNUMBER($EI695),$EI695,VALUE($EI695)),IF($EJ695=2,$DE695,0)))</f>
        <v/>
      </c>
      <c r="EL695">
        <f>IF($DM695=0,"",COUNTIF($EG$5:$EG$1003,"&lt;"&amp;$EG695)+SUMPRODUCT(($EG$5:$EG$1003=$EG695)*(($EJ$5:$EJ$1003&lt;$EJ695)+($EJ$5:$EJ$1003=$EJ695)*(($EK$5:$EK$1003&lt;$EK695)+($EK$5:$EK$1003=$EK695)*($DE$5:$DE$1003&lt;$DE695))))+1)</f>
        <v/>
      </c>
      <c r="EM695">
        <f>IF($DM695=0,"",$EL695+$EG695-1)</f>
        <v/>
      </c>
      <c r="EN695">
        <f>IF($DM695=0,0,IFERROR(MATCH(1,INDEX(--(TRIM(SUBSTITUTE(SUBSTITUTE(SUBSTITUTE(SUBSTITUTE(LINES_NAME&amp;""," "," "),CHAR(9)," "),CHAR(10)," "),CHAR(13)," "))=$DH695),0),0),0))</f>
        <v/>
      </c>
      <c r="EO695">
        <f>IF($EN695=0,0,IF(OR(UPPER(TRIM(INDEX(LINES_SCHEDULED,$EN695)&amp;""))="YES",UPPER(TRIM(INDEX(LINES_SCHEDULED,$EN695)&amp;""))="Y",UPPER(TRIM(INDEX(LINES_SCHEDULED,$EN695)&amp;""))="X"),1,0))</f>
        <v/>
      </c>
      <c r="EP695">
        <f>IF($DM695=0,"",IF(COUNTIFS($EG$5:$EG$1003,$EG695,$EB$5:$EB$1003,"Ready")&gt;0,"READY",IF(COUNTIFS($EG$5:$EG$1003,$EG695,$EB$5:$EB$1003,"PM")&gt;0,"PM",IF(COUNTIFS($EG$5:$EG$1003,$EG695,$EB$5:$EB$1003,"OT")&gt;0,"OT",""))))</f>
        <v/>
      </c>
      <c r="EQ695">
        <f>IF($EN695=0,"",UPPER(TRIM(INDEX(LINES_STATUS,$EN695)&amp;"")))</f>
        <v/>
      </c>
      <c r="ER695">
        <f>IF($DM695=0,"",IF(OR($EQ695="READY",$EQ695="PM",$EQ695="OT"),$EQ695,$EP695))</f>
        <v/>
      </c>
      <c r="ES695">
        <f>IF($DM695=0,"",IF(AND($DV695&lt;&gt;"",UPPER($DV695)&lt;&gt;"N"),"allergen",IF(ISNUMBER(SEARCH("oil",$DQ695)),"oil",IF(OR(EXACT($DS695,"A662"),EXACT($DS695,"A624")),"bulk",""))))</f>
        <v/>
      </c>
      <c r="ET695">
        <f>IF($DM695=0,"",IF(OR($EA695="",$EA695=0),"",$EA695/100))</f>
        <v/>
      </c>
      <c r="EU695">
        <f>IF(OR($ET695="",$DY695=""),"",INT($DY695*(1-$ET695)+0.5))</f>
        <v/>
      </c>
      <c r="EW695" t="n">
        <v>691</v>
      </c>
      <c r="EX695">
        <f>IFERROR(MATCH($EW695,$EM$5:$EM$1003,0),0)</f>
        <v/>
      </c>
      <c r="EY695">
        <f>IF($EW695&gt;$B$12,"",IF($EX695&gt;0,"row","spacer"))</f>
        <v/>
      </c>
      <c r="EZ695">
        <f>IF(AND($EY695="row",$EY694&lt;&gt;"row"),1,0)</f>
        <v/>
      </c>
      <c r="FA695">
        <f>IF(AND($EY695="row",$EY696&lt;&gt;"row"),1,0)</f>
        <v/>
      </c>
      <c r="FB695">
        <f>IF($EZ695=1,IFERROR(IF(ISNUMBER(INDEX(PASTE_ALL,INDEX($DF$5:$DF$1003,$EX695),$B$37)),INDEX(PASTE_ALL,INDEX($DF$5:$DF$1003,$EX695),$B$37),INDEX($DH$5:$DH$1003,$EX695)),INDEX($DH$5:$DH$1003,$EX695)),"")</f>
        <v/>
      </c>
      <c r="FC695">
        <f>IF($EY695="row",INDEX($ER$5:$ER$1003,$EX695),"")</f>
        <v/>
      </c>
      <c r="FD695">
        <f>IF($EY695="row",INDEX($DN$5:$DN$1003,$EX695),"")</f>
        <v/>
      </c>
      <c r="FE695">
        <f>IF($EY695="row",INDEX($DO$5:$DO$1003,$EX695),"")</f>
        <v/>
      </c>
      <c r="FF695">
        <f>IF($EY695="row",INDEX($DP$5:$DP$1003,$EX695),"")</f>
        <v/>
      </c>
      <c r="FG695">
        <f>IF($EY695="row",INDEX($DQ$5:$DQ$1003,$EX695),"")</f>
        <v/>
      </c>
      <c r="FH695">
        <f>IF($EY695="row",INDEX($DR$5:$DR$1003,$EX695),"")</f>
        <v/>
      </c>
      <c r="FI695">
        <f>IF($EY695="row",INDEX($DS$5:$DS$1003,$EX695),"")</f>
        <v/>
      </c>
      <c r="FJ695">
        <f>IF($EY695="row",INDEX($DT$5:$DT$1003,$EX695),"")</f>
        <v/>
      </c>
      <c r="FK695">
        <f>IF($EY695="row",INDEX($DU$5:$DU$1003,$EX695),"")</f>
        <v/>
      </c>
      <c r="FL695">
        <f>IF($EY695="row",INDEX($DV$5:$DV$1003,$EX695),"")</f>
        <v/>
      </c>
      <c r="FM695">
        <f>IF($EY695="row",INDEX($DW$5:$DW$1003,$EX695),"")</f>
        <v/>
      </c>
      <c r="FN695">
        <f>IF($EY695="row",INDEX($DY$5:$DY$1003,$EX695),"")</f>
        <v/>
      </c>
      <c r="FO695">
        <f>IF($EY695="row",INDEX($EA$5:$EA$1003,$EX695),"")</f>
        <v/>
      </c>
      <c r="FP695">
        <f>IF($EY695="row",INDEX($EC$5:$EC$1003,$EX695),"")</f>
        <v/>
      </c>
      <c r="FQ695">
        <f>IF($EY695="row",INDEX($ET$5:$ET$1003,$EX695),"")</f>
        <v/>
      </c>
      <c r="FR695">
        <f>IF($EY695="row",INDEX($EU$5:$EU$1003,$EX695),"")</f>
        <v/>
      </c>
      <c r="FS695">
        <f>IF(AND($EY695="row",$EY694="row"),IF(OR(INDEX($DT$5:$DT$1003,$EX694)="",INDEX($DT$5:$DT$1003,$EX695)=""),"",IF(NOT(EXACT(INDEX($DT$5:$DT$1003,$EX694),INDEX($DT$5:$DT$1003,$EX695))),"S4",IF(NOT(EXACT(INDEX($DS$5:$DS$1003,$EX694),INDEX($DS$5:$DS$1003,$EX695))),"S3",IF(NOT(EXACT(INDEX($DR$5:$DR$1003,$EX694),INDEX($DR$5:$DR$1003,$EX695))),"S1 Count Change","S1")))),"")</f>
        <v/>
      </c>
      <c r="FT695">
        <f>IF($EY695="row",INDEX($ES$5:$ES$1003,$EX695),"")</f>
        <v/>
      </c>
      <c r="FU695">
        <f>IF($EY695="row",INDEX($EO$5:$EO$1003,$EX695),0)</f>
        <v/>
      </c>
      <c r="FV695">
        <f>IF($FS695="S1 Count Change",1,0)</f>
        <v/>
      </c>
    </row>
    <row r="696">
      <c r="DA696" t="n">
        <v>692</v>
      </c>
      <c r="DB696">
        <f>IF($B$37=0,"",IFERROR(TRIM(SUBSTITUTE(SUBSTITUTE(SUBSTITUTE(SUBSTITUTE(INDEX(PASTE_ALL,692,$B$37)," "," "),CHAR(9)," "),CHAR(10)," "),CHAR(13)," ")),""))</f>
        <v/>
      </c>
      <c r="DC696">
        <f>IF(AND(692&gt;HEADER_ROW,UPPER(DB696)="LEGEND"),1,0)</f>
        <v/>
      </c>
      <c r="DE696" t="n">
        <v>692</v>
      </c>
      <c r="DF696">
        <f>HEADER_ROW+$DE696</f>
        <v/>
      </c>
      <c r="DG696">
        <f>IF(AND($DF696&lt;=1000,$DF696&lt;$B$8),1,0)</f>
        <v/>
      </c>
      <c r="DH696">
        <f>IF($DG696=1,IFERROR(INDEX($DB$5:$DB$1004,$DF696),""),"")</f>
        <v/>
      </c>
      <c r="DI696">
        <f>IF(AND($DG696=1,$DH696&lt;&gt;""),IFERROR(SUBSTITUTE(SUBSTITUTE(TRIM(SUBSTITUTE(SUBSTITUTE(SUBSTITUTE(SUBSTITUTE(IFERROR(INDEX(PASTE_ALL,$DF696,1)&amp;"","")&amp;"␟"&amp;IFERROR(INDEX(PASTE_ALL,$DF696,2)&amp;"","")&amp;"␟"&amp;IFERROR(INDEX(PASTE_ALL,$DF696,3)&amp;"","")&amp;"␟"&amp;IFERROR(INDEX(PASTE_ALL,$DF696,4)&amp;"","")&amp;"␟"&amp;IFERROR(INDEX(PASTE_ALL,$DF696,5)&amp;"","")&amp;"␟"&amp;IFERROR(INDEX(PASTE_ALL,$DF696,6)&amp;"","")&amp;"␟"&amp;IFERROR(INDEX(PASTE_ALL,$DF696,7)&amp;"","")&amp;"␟"&amp;IFERROR(INDEX(PASTE_ALL,$DF696,8)&amp;"","")&amp;"␟"&amp;IFERROR(INDEX(PASTE_ALL,$DF696,9)&amp;"","")&amp;"␟"&amp;IFERROR(INDEX(PASTE_ALL,$DF696,10)&amp;"","")&amp;"␟"&amp;IFERROR(INDEX(PASTE_ALL,$DF696,11)&amp;"","")&amp;"␟"&amp;IFERROR(INDEX(PASTE_ALL,$DF696,12)&amp;"","")&amp;"␟"&amp;IFERROR(INDEX(PASTE_ALL,$DF696,13)&amp;"","")&amp;"␟"&amp;IFERROR(INDEX(PASTE_ALL,$DF696,14)&amp;"","")&amp;"␟"&amp;IFERROR(INDEX(PASTE_ALL,$DF696,15)&amp;"","")&amp;"␟"&amp;IFERROR(INDEX(PASTE_ALL,$DF696,16)&amp;"","")&amp;"␟"&amp;IFERROR(INDEX(PASTE_ALL,$DF696,17)&amp;"","")&amp;"␟"&amp;IFERROR(INDEX(PASTE_ALL,$DF696,18)&amp;"","")&amp;"␟"&amp;IFERROR(INDEX(PASTE_ALL,$DF696,19)&amp;"","")&amp;"␟"&amp;IFERROR(INDEX(PASTE_ALL,$DF696,20)&amp;"","")&amp;"␟"&amp;IFERROR(INDEX(PASTE_ALL,$DF696,21)&amp;"","")&amp;"␟"&amp;IFERROR(INDEX(PASTE_ALL,$DF696,22)&amp;"","")&amp;"␟"&amp;IFERROR(INDEX(PASTE_ALL,$DF696,23)&amp;"","")&amp;"␟"&amp;IFERROR(INDEX(PASTE_ALL,$DF696,24)&amp;"","")&amp;"␟"&amp;IFERROR(INDEX(PASTE_ALL,$DF696,25)&amp;"","")&amp;"␟"&amp;IFERROR(INDEX(PASTE_ALL,$DF696,26)&amp;"","")&amp;"␟"&amp;IFERROR(INDEX(PASTE_ALL,$DF696,27)&amp;"","")&amp;"␟"&amp;IFERROR(INDEX(PASTE_ALL,$DF696,28)&amp;"","")&amp;"␟"&amp;IFERROR(INDEX(PASTE_ALL,$DF696,29)&amp;"","")&amp;"␟"&amp;IFERROR(INDEX(PASTE_ALL,$DF696,30)&amp;"","")&amp;"␟"&amp;IFERROR(INDEX(PASTE_ALL,$DF696,31)&amp;"","")&amp;"␟"&amp;IFERROR(INDEX(PASTE_ALL,$DF696,32)&amp;"","")&amp;"␟"&amp;IFERROR(INDEX(PASTE_ALL,$DF696,33)&amp;"","")&amp;"␟"&amp;IFERROR(INDEX(PASTE_ALL,$DF696,34)&amp;"","")&amp;"␟"&amp;IFERROR(INDEX(PASTE_ALL,$DF696,35)&amp;"","")&amp;"␟"&amp;IFERROR(INDEX(PASTE_ALL,$DF696,36)&amp;"","")&amp;"␟"&amp;IFERROR(INDEX(PASTE_ALL,$DF696,37)&amp;"","")&amp;"␟"&amp;IFERROR(INDEX(PASTE_ALL,$DF696,38)&amp;"","")&amp;"␟"&amp;IFERROR(INDEX(PASTE_ALL,$DF696,39)&amp;"","")&amp;"␟"&amp;IFERROR(INDEX(PASTE_ALL,$DF696,40)&amp;"","")&amp;"␟"&amp;IFERROR(INDEX(PASTE_ALL,$DF696,41)&amp;"","")&amp;"␟"&amp;IFERROR(INDEX(PASTE_ALL,$DF696,42)&amp;"","")&amp;"␟"&amp;IFERROR(INDEX(PASTE_ALL,$DF696,43)&amp;"","")&amp;"␟"&amp;IFERROR(INDEX(PASTE_ALL,$DF696,44)&amp;"","")&amp;"␟"&amp;IFERROR(INDEX(PASTE_ALL,$DF696,45)&amp;"","")&amp;"␟"&amp;IFERROR(INDEX(PASTE_ALL,$DF696,46)&amp;"","")&amp;"␟"&amp;IFERROR(INDEX(PASTE_ALL,$DF696,47)&amp;"","")&amp;"␟"&amp;IFERROR(INDEX(PASTE_ALL,$DF696,48)&amp;"","")&amp;"␟"&amp;IFERROR(INDEX(PASTE_ALL,$DF696,49)&amp;"","")&amp;"␟"&amp;IFERROR(INDEX(PASTE_ALL,$DF696,50)&amp;"","")&amp;"␟"&amp;IFERROR(INDEX(PASTE_ALL,$DF696,51)&amp;"","")&amp;"␟"&amp;IFERROR(INDEX(PASTE_ALL,$DF696,52)&amp;"","")&amp;"␟"&amp;IFERROR(INDEX(PASTE_ALL,$DF696,53)&amp;"","")&amp;"␟"&amp;IFERROR(INDEX(PASTE_ALL,$DF696,54)&amp;"","")&amp;"␟"&amp;IFERROR(INDEX(PASTE_ALL,$DF696,55)&amp;"","")&amp;"␟"&amp;IFERROR(INDEX(PASTE_ALL,$DF696,56)&amp;"","")&amp;"␟"&amp;IFERROR(INDEX(PASTE_ALL,$DF696,57)&amp;"","")&amp;"␟"&amp;IFERROR(INDEX(PASTE_ALL,$DF696,58)&amp;"","")&amp;"␟"&amp;IFERROR(INDEX(PASTE_ALL,$DF696,59)&amp;"","")&amp;"␟"&amp;IFERROR(INDEX(PASTE_ALL,$DF696,60)&amp;"","")," "," "),CHAR(9)," "),CHAR(10)," "),CHAR(13)," "))," ␟","␟"),"␟ ","␟"),"#"&amp;$DE696),"")</f>
        <v/>
      </c>
      <c r="DJ696">
        <f>IF($DI696="",0,IF(SUMPRODUCT(--EXACT($DI$4:DI695,$DI696))&gt;0,1,0))</f>
        <v/>
      </c>
      <c r="DK696">
        <f>IF(AND($DI696&lt;&gt;"",$DJ696=0),1,0)</f>
        <v/>
      </c>
      <c r="DL696">
        <f>DL695+$DK696</f>
        <v/>
      </c>
      <c r="DM696">
        <f>IF(AND($DK696=1,$DL696&lt;=600),1,0)</f>
        <v/>
      </c>
      <c r="DN696">
        <f>IF($DM696=0,"",IF($L$6=0,"",IFERROR(IF(ISNUMBER(INDEX(PASTE_ALL,$DF696,$L$6)),INDEX(PASTE_ALL,$DF696,$L$6),TRIM(SUBSTITUTE(SUBSTITUTE(SUBSTITUTE(SUBSTITUTE(INDEX(PASTE_ALL,$DF696,$L$6)," "," "),CHAR(9)," "),CHAR(10)," "),CHAR(13)," "))),"")))</f>
        <v/>
      </c>
      <c r="DO696">
        <f>IF($DM696=0,"",IF($L$7=0,"",IFERROR(IF(ISNUMBER(INDEX(PASTE_ALL,$DF696,$L$7)),INDEX(PASTE_ALL,$DF696,$L$7),TRIM(SUBSTITUTE(SUBSTITUTE(SUBSTITUTE(SUBSTITUTE(INDEX(PASTE_ALL,$DF696,$L$7)," "," "),CHAR(9)," "),CHAR(10)," "),CHAR(13)," "))),"")))</f>
        <v/>
      </c>
      <c r="DP696">
        <f>IF($DM696=0,"",IF($L$8=0,"",IFERROR(IF(ISNUMBER(INDEX(PASTE_ALL,$DF696,$L$8)),INDEX(PASTE_ALL,$DF696,$L$8),TRIM(SUBSTITUTE(SUBSTITUTE(SUBSTITUTE(SUBSTITUTE(INDEX(PASTE_ALL,$DF696,$L$8)," "," "),CHAR(9)," "),CHAR(10)," "),CHAR(13)," "))),"")))</f>
        <v/>
      </c>
      <c r="DQ696">
        <f>IF($DM696=0,"",IF($L$9=0,"",IFERROR(IF(ISNUMBER(INDEX(PASTE_ALL,$DF696,$L$9)),INDEX(PASTE_ALL,$DF696,$L$9),TRIM(SUBSTITUTE(SUBSTITUTE(SUBSTITUTE(SUBSTITUTE(INDEX(PASTE_ALL,$DF696,$L$9)," "," "),CHAR(9)," "),CHAR(10)," "),CHAR(13)," "))),"")))</f>
        <v/>
      </c>
      <c r="DR696">
        <f>IF($DM696=0,"",IF($L$10=0,"",IFERROR(IF(ISNUMBER(INDEX(PASTE_ALL,$DF696,$L$10)),INDEX(PASTE_ALL,$DF696,$L$10),TRIM(SUBSTITUTE(SUBSTITUTE(SUBSTITUTE(SUBSTITUTE(INDEX(PASTE_ALL,$DF696,$L$10)," "," "),CHAR(9)," "),CHAR(10)," "),CHAR(13)," "))),"")))</f>
        <v/>
      </c>
      <c r="DS696">
        <f>IF($DM696=0,"",IF($L$11=0,"",IFERROR(IF(ISNUMBER(INDEX(PASTE_ALL,$DF696,$L$11)),INDEX(PASTE_ALL,$DF696,$L$11),TRIM(SUBSTITUTE(SUBSTITUTE(SUBSTITUTE(SUBSTITUTE(INDEX(PASTE_ALL,$DF696,$L$11)," "," "),CHAR(9)," "),CHAR(10)," "),CHAR(13)," "))),"")))</f>
        <v/>
      </c>
      <c r="DT696">
        <f>IF($DM696=0,"",IF($L$12=0,"",IFERROR(IF(ISNUMBER(INDEX(PASTE_ALL,$DF696,$L$12)),INDEX(PASTE_ALL,$DF696,$L$12),TRIM(SUBSTITUTE(SUBSTITUTE(SUBSTITUTE(SUBSTITUTE(INDEX(PASTE_ALL,$DF696,$L$12)," "," "),CHAR(9)," "),CHAR(10)," "),CHAR(13)," "))),"")))</f>
        <v/>
      </c>
      <c r="DU696">
        <f>IF($DM696=0,"",IF($L$13=0,"",IFERROR(IF(ISNUMBER(INDEX(PASTE_ALL,$DF696,$L$13)),INDEX(PASTE_ALL,$DF696,$L$13),TRIM(SUBSTITUTE(SUBSTITUTE(SUBSTITUTE(SUBSTITUTE(INDEX(PASTE_ALL,$DF696,$L$13)," "," "),CHAR(9)," "),CHAR(10)," "),CHAR(13)," "))),"")))</f>
        <v/>
      </c>
      <c r="DV696">
        <f>IF($DM696=0,"",IF($L$14=0,"",IFERROR(IF(ISNUMBER(INDEX(PASTE_ALL,$DF696,$L$14)),INDEX(PASTE_ALL,$DF696,$L$14),TRIM(SUBSTITUTE(SUBSTITUTE(SUBSTITUTE(SUBSTITUTE(INDEX(PASTE_ALL,$DF696,$L$14)," "," "),CHAR(9)," "),CHAR(10)," "),CHAR(13)," "))),"")))</f>
        <v/>
      </c>
      <c r="DW696">
        <f>IF($DM696=0,"",IF($L$15=0,"",IFERROR(IF(ISNUMBER(INDEX(PASTE_ALL,$DF696,$L$15)),INDEX(PASTE_ALL,$DF696,$L$15),IF(SUMPRODUCT(--ISNUMBER(FIND({"A","B","C","D","E","F","G","H","I","J","K","L","M","N","O","P","Q","R","S","T","U","V","W","X","Y","Z","0","1","2","3","4","5","6","7","8","9"},UPPER(TRIM(SUBSTITUTE(SUBSTITUTE(SUBSTITUTE(SUBSTITUTE(INDEX(PASTE_ALL,$DF696,$L$15)," "," "),CHAR(9)," "),CHAR(10)," "),CHAR(13)," "))))))&gt;0,TRIM(SUBSTITUTE(SUBSTITUTE(SUBSTITUTE(SUBSTITUTE(INDEX(PASTE_ALL,$DF696,$L$15)," "," "),CHAR(9)," "),CHAR(10)," "),CHAR(13)," ")),"")),"")))</f>
        <v/>
      </c>
      <c r="DX696">
        <f>IF($DM696=0,"",IF($L$16=0,"",IFERROR(IF(ISNUMBER(INDEX(PASTE_ALL,$DF696,$L$16)),INDEX(PASTE_ALL,$DF696,$L$16),SUBSTITUTE(SUBSTITUTE(TRIM(SUBSTITUTE(SUBSTITUTE(SUBSTITUTE(SUBSTITUTE(INDEX(PASTE_ALL,$DF696,$L$16)," "," "),CHAR(9)," "),CHAR(10)," "),CHAR(13)," ")),",",""),"%","")),"")))</f>
        <v/>
      </c>
      <c r="DY696">
        <f>IF($DM696=0,"",IFERROR(IF(ISNUMBER($DX696),$DX696,IF($DX696="","",IF(TRIM($DX696)="",0,IF(AND(AND(SUBSTITUTE(SUBSTITUTE(SUBSTITUTE(SUBSTITUTE(SUBSTITUTE(SUBSTITUTE(SUBSTITUTE(SUBSTITUTE(SUBSTITUTE(SUBSTITUTE(SUBSTITUTE(SUBSTITUTE(SUBSTITUTE(SUBSTITUTE(UPPER(TRIM($DX696)),"0",""),"1",""),"2",""),"3",""),"4",""),"5",""),"6",""),"7",""),"8",""),"9",""),".",""),"+",""),"-",""),"E","")="",LEN(SUBSTITUTE(SUBSTITUTE(MID(UPPER(TRIM($DX696)),1+OR(LEFT(UPPER(TRIM($DX696)),1)="+",LEFT(UPPER(TRIM($DX696)),1)="-"),999),"E+","E"),"E-","E"))=LEN(SUBSTITUTE(SUBSTITUTE(SUBSTITUTE(SUBSTITUTE(MID(UPPER(TRIM($DX696)),1+OR(LEFT(UPPER(TRIM($DX696)),1)="+",LEFT(UPPER(TRIM($DX696)),1)="-"),999),"E+","E"),"E-","E"),"+",""),"-","")),LEN(UPPER(TRIM($DX696)))-LEN(SUBSTITUTE(UPPER(TRIM($DX696)),"E",""))&lt;2,LEN(UPPER(TRIM($DX696)))-LEN(SUBSTITUTE(UPPER(TRIM($DX696)),".",""))&lt;2,IFERROR(FIND(".",UPPER(TRIM($DX696))),0)&lt;IFERROR(FIND("E",UPPER(TRIM($DX696))),999)),ISNUMBER(VALUE(TRIM($DX696)))),VALUE(TRIM($DX696)),"")))),""))</f>
        <v/>
      </c>
      <c r="DZ696">
        <f>IF($DM696=0,"",IF($L$17=0,"",IFERROR(IF(ISNUMBER(INDEX(PASTE_ALL,$DF696,$L$17)),INDEX(PASTE_ALL,$DF696,$L$17),SUBSTITUTE(SUBSTITUTE(TRIM(SUBSTITUTE(SUBSTITUTE(SUBSTITUTE(SUBSTITUTE(INDEX(PASTE_ALL,$DF696,$L$17)," "," "),CHAR(9)," "),CHAR(10)," "),CHAR(13)," ")),",",""),"%","")),"")))</f>
        <v/>
      </c>
      <c r="EA696">
        <f>IF($DM696=0,"",IFERROR(IF(ISNUMBER($DZ696),$DZ696,IF($DZ696="","",IF(TRIM($DZ696)="",0,IF(AND(AND(SUBSTITUTE(SUBSTITUTE(SUBSTITUTE(SUBSTITUTE(SUBSTITUTE(SUBSTITUTE(SUBSTITUTE(SUBSTITUTE(SUBSTITUTE(SUBSTITUTE(SUBSTITUTE(SUBSTITUTE(SUBSTITUTE(SUBSTITUTE(UPPER(TRIM($DZ696)),"0",""),"1",""),"2",""),"3",""),"4",""),"5",""),"6",""),"7",""),"8",""),"9",""),".",""),"+",""),"-",""),"E","")="",LEN(SUBSTITUTE(SUBSTITUTE(MID(UPPER(TRIM($DZ696)),1+OR(LEFT(UPPER(TRIM($DZ696)),1)="+",LEFT(UPPER(TRIM($DZ696)),1)="-"),999),"E+","E"),"E-","E"))=LEN(SUBSTITUTE(SUBSTITUTE(SUBSTITUTE(SUBSTITUTE(MID(UPPER(TRIM($DZ696)),1+OR(LEFT(UPPER(TRIM($DZ696)),1)="+",LEFT(UPPER(TRIM($DZ696)),1)="-"),999),"E+","E"),"E-","E"),"+",""),"-","")),LEN(UPPER(TRIM($DZ696)))-LEN(SUBSTITUTE(UPPER(TRIM($DZ696)),"E",""))&lt;2,LEN(UPPER(TRIM($DZ696)))-LEN(SUBSTITUTE(UPPER(TRIM($DZ696)),".",""))&lt;2,IFERROR(FIND(".",UPPER(TRIM($DZ696))),0)&lt;IFERROR(FIND("E",UPPER(TRIM($DZ696))),999)),ISNUMBER(VALUE(TRIM($DZ696)))),VALUE(TRIM($DZ696)),"")))),""))</f>
        <v/>
      </c>
      <c r="EB696">
        <f>IF($DM696=0,"",IF($L$18=0,"",IFERROR(IF(UPPER(TRIM(SUBSTITUTE(SUBSTITUTE(SUBSTITUTE(SUBSTITUTE(INDEX(PASTE_ALL,$DF696,$L$18)," "," "),CHAR(9)," "),CHAR(10)," "),CHAR(13)," ")))="READY","Ready",IF(UPPER(TRIM(SUBSTITUTE(SUBSTITUTE(SUBSTITUTE(SUBSTITUTE(INDEX(PASTE_ALL,$DF696,$L$18)," "," "),CHAR(9)," "),CHAR(10)," "),CHAR(13)," ")))="PM","PM",IF(OR(UPPER(TRIM(SUBSTITUTE(SUBSTITUTE(SUBSTITUTE(SUBSTITUTE(INDEX(PASTE_ALL,$DF696,$L$18)," "," "),CHAR(9)," "),CHAR(10)," "),CHAR(13)," ")))="OT",UPPER(TRIM(SUBSTITUTE(SUBSTITUTE(SUBSTITUTE(SUBSTITUTE(INDEX(PASTE_ALL,$DF696,$L$18)," "," "),CHAR(9)," "),CHAR(10)," "),CHAR(13)," ")))="OVERTIME",UPPER(TRIM(SUBSTITUTE(SUBSTITUTE(SUBSTITUTE(SUBSTITUTE(INDEX(PASTE_ALL,$DF696,$L$18)," "," "),CHAR(9)," "),CHAR(10)," "),CHAR(13)," ")))="TRIAL"),"OT",TRIM(SUBSTITUTE(SUBSTITUTE(SUBSTITUTE(SUBSTITUTE(INDEX(PASTE_ALL,$DF696,$L$18)," "," "),CHAR(9)," "),CHAR(10)," "),CHAR(13)," "))))),"")))</f>
        <v/>
      </c>
      <c r="EC696">
        <f>IF($DM696=0,"",IF($L$19=0,"",IFERROR(IF(ISNUMBER(INDEX(PASTE_ALL,$DF696,$L$19)),INDEX(PASTE_ALL,$DF696,$L$19),TRIM(SUBSTITUTE(SUBSTITUTE(SUBSTITUTE(SUBSTITUTE(INDEX(PASTE_ALL,$DF696,$L$19)," "," "),CHAR(9)," "),CHAR(10)," "),CHAR(13)," "))),"")))</f>
        <v/>
      </c>
      <c r="ED696">
        <f>IF($DM696=0,"",MATCH(1,INDEX(EXACT($DH$5:DH696,$DH696)*$DM$5:DM696,0),0))</f>
        <v/>
      </c>
      <c r="EE696">
        <f>IF($DM696=0,0,IF($ED696=$DE696,1,0))</f>
        <v/>
      </c>
      <c r="EF696">
        <f>EF695+$EE696</f>
        <v/>
      </c>
      <c r="EG696">
        <f>IF($DM696=0,"",INDEX($EF$5:$EF$1003,$ED696))</f>
        <v/>
      </c>
      <c r="EH696">
        <f>IF($DM696=0,"",IF($DO696&lt;&gt;"","",IFERROR(LOOKUP(2,1/(($EG$4:EG695=$EG696)*($DO$4:DO695&lt;&gt;"")),$DO$4:DO695),"")))</f>
        <v/>
      </c>
      <c r="EI696">
        <f>IF($DM696=0,"",IF($DO696&lt;&gt;"",$DO696,$EH696))</f>
        <v/>
      </c>
      <c r="EJ696">
        <f>IF($DM696=0,"",IF($EI696="",0,IF(OR(ISNUMBER($EI696),AND(AND(SUBSTITUTE(SUBSTITUTE(SUBSTITUTE(SUBSTITUTE(SUBSTITUTE(SUBSTITUTE(SUBSTITUTE(SUBSTITUTE(SUBSTITUTE(SUBSTITUTE(SUBSTITUTE(SUBSTITUTE(SUBSTITUTE(SUBSTITUTE(UPPER($EI696),"0",""),"1",""),"2",""),"3",""),"4",""),"5",""),"6",""),"7",""),"8",""),"9",""),".",""),"+",""),"-",""),"E","")="",LEN(SUBSTITUTE(SUBSTITUTE(MID(UPPER($EI696),1+OR(LEFT(UPPER($EI696),1)="+",LEFT(UPPER($EI696),1)="-"),999),"E+","E"),"E-","E"))=LEN(SUBSTITUTE(SUBSTITUTE(SUBSTITUTE(SUBSTITUTE(MID(UPPER($EI696),1+OR(LEFT(UPPER($EI696),1)="+",LEFT(UPPER($EI696),1)="-"),999),"E+","E"),"E-","E"),"+",""),"-","")),LEN(UPPER($EI696))-LEN(SUBSTITUTE(UPPER($EI696),"E",""))&lt;2,LEN(UPPER($EI696))-LEN(SUBSTITUTE(UPPER($EI696),".",""))&lt;2,IFERROR(FIND(".",UPPER($EI696)),0)&lt;IFERROR(FIND("E",UPPER($EI696)),999)),ISNUMBER(VALUE($EI696)))),1,2)))</f>
        <v/>
      </c>
      <c r="EK696">
        <f>IF($DM696=0,"",IF($EJ696=1,IF(ISNUMBER($EI696),$EI696,VALUE($EI696)),IF($EJ696=2,$DE696,0)))</f>
        <v/>
      </c>
      <c r="EL696">
        <f>IF($DM696=0,"",COUNTIF($EG$5:$EG$1003,"&lt;"&amp;$EG696)+SUMPRODUCT(($EG$5:$EG$1003=$EG696)*(($EJ$5:$EJ$1003&lt;$EJ696)+($EJ$5:$EJ$1003=$EJ696)*(($EK$5:$EK$1003&lt;$EK696)+($EK$5:$EK$1003=$EK696)*($DE$5:$DE$1003&lt;$DE696))))+1)</f>
        <v/>
      </c>
      <c r="EM696">
        <f>IF($DM696=0,"",$EL696+$EG696-1)</f>
        <v/>
      </c>
      <c r="EN696">
        <f>IF($DM696=0,0,IFERROR(MATCH(1,INDEX(--(TRIM(SUBSTITUTE(SUBSTITUTE(SUBSTITUTE(SUBSTITUTE(LINES_NAME&amp;""," "," "),CHAR(9)," "),CHAR(10)," "),CHAR(13)," "))=$DH696),0),0),0))</f>
        <v/>
      </c>
      <c r="EO696">
        <f>IF($EN696=0,0,IF(OR(UPPER(TRIM(INDEX(LINES_SCHEDULED,$EN696)&amp;""))="YES",UPPER(TRIM(INDEX(LINES_SCHEDULED,$EN696)&amp;""))="Y",UPPER(TRIM(INDEX(LINES_SCHEDULED,$EN696)&amp;""))="X"),1,0))</f>
        <v/>
      </c>
      <c r="EP696">
        <f>IF($DM696=0,"",IF(COUNTIFS($EG$5:$EG$1003,$EG696,$EB$5:$EB$1003,"Ready")&gt;0,"READY",IF(COUNTIFS($EG$5:$EG$1003,$EG696,$EB$5:$EB$1003,"PM")&gt;0,"PM",IF(COUNTIFS($EG$5:$EG$1003,$EG696,$EB$5:$EB$1003,"OT")&gt;0,"OT",""))))</f>
        <v/>
      </c>
      <c r="EQ696">
        <f>IF($EN696=0,"",UPPER(TRIM(INDEX(LINES_STATUS,$EN696)&amp;"")))</f>
        <v/>
      </c>
      <c r="ER696">
        <f>IF($DM696=0,"",IF(OR($EQ696="READY",$EQ696="PM",$EQ696="OT"),$EQ696,$EP696))</f>
        <v/>
      </c>
      <c r="ES696">
        <f>IF($DM696=0,"",IF(AND($DV696&lt;&gt;"",UPPER($DV696)&lt;&gt;"N"),"allergen",IF(ISNUMBER(SEARCH("oil",$DQ696)),"oil",IF(OR(EXACT($DS696,"A662"),EXACT($DS696,"A624")),"bulk",""))))</f>
        <v/>
      </c>
      <c r="ET696">
        <f>IF($DM696=0,"",IF(OR($EA696="",$EA696=0),"",$EA696/100))</f>
        <v/>
      </c>
      <c r="EU696">
        <f>IF(OR($ET696="",$DY696=""),"",INT($DY696*(1-$ET696)+0.5))</f>
        <v/>
      </c>
      <c r="EW696" t="n">
        <v>692</v>
      </c>
      <c r="EX696">
        <f>IFERROR(MATCH($EW696,$EM$5:$EM$1003,0),0)</f>
        <v/>
      </c>
      <c r="EY696">
        <f>IF($EW696&gt;$B$12,"",IF($EX696&gt;0,"row","spacer"))</f>
        <v/>
      </c>
      <c r="EZ696">
        <f>IF(AND($EY696="row",$EY695&lt;&gt;"row"),1,0)</f>
        <v/>
      </c>
      <c r="FA696">
        <f>IF(AND($EY696="row",$EY697&lt;&gt;"row"),1,0)</f>
        <v/>
      </c>
      <c r="FB696">
        <f>IF($EZ696=1,IFERROR(IF(ISNUMBER(INDEX(PASTE_ALL,INDEX($DF$5:$DF$1003,$EX696),$B$37)),INDEX(PASTE_ALL,INDEX($DF$5:$DF$1003,$EX696),$B$37),INDEX($DH$5:$DH$1003,$EX696)),INDEX($DH$5:$DH$1003,$EX696)),"")</f>
        <v/>
      </c>
      <c r="FC696">
        <f>IF($EY696="row",INDEX($ER$5:$ER$1003,$EX696),"")</f>
        <v/>
      </c>
      <c r="FD696">
        <f>IF($EY696="row",INDEX($DN$5:$DN$1003,$EX696),"")</f>
        <v/>
      </c>
      <c r="FE696">
        <f>IF($EY696="row",INDEX($DO$5:$DO$1003,$EX696),"")</f>
        <v/>
      </c>
      <c r="FF696">
        <f>IF($EY696="row",INDEX($DP$5:$DP$1003,$EX696),"")</f>
        <v/>
      </c>
      <c r="FG696">
        <f>IF($EY696="row",INDEX($DQ$5:$DQ$1003,$EX696),"")</f>
        <v/>
      </c>
      <c r="FH696">
        <f>IF($EY696="row",INDEX($DR$5:$DR$1003,$EX696),"")</f>
        <v/>
      </c>
      <c r="FI696">
        <f>IF($EY696="row",INDEX($DS$5:$DS$1003,$EX696),"")</f>
        <v/>
      </c>
      <c r="FJ696">
        <f>IF($EY696="row",INDEX($DT$5:$DT$1003,$EX696),"")</f>
        <v/>
      </c>
      <c r="FK696">
        <f>IF($EY696="row",INDEX($DU$5:$DU$1003,$EX696),"")</f>
        <v/>
      </c>
      <c r="FL696">
        <f>IF($EY696="row",INDEX($DV$5:$DV$1003,$EX696),"")</f>
        <v/>
      </c>
      <c r="FM696">
        <f>IF($EY696="row",INDEX($DW$5:$DW$1003,$EX696),"")</f>
        <v/>
      </c>
      <c r="FN696">
        <f>IF($EY696="row",INDEX($DY$5:$DY$1003,$EX696),"")</f>
        <v/>
      </c>
      <c r="FO696">
        <f>IF($EY696="row",INDEX($EA$5:$EA$1003,$EX696),"")</f>
        <v/>
      </c>
      <c r="FP696">
        <f>IF($EY696="row",INDEX($EC$5:$EC$1003,$EX696),"")</f>
        <v/>
      </c>
      <c r="FQ696">
        <f>IF($EY696="row",INDEX($ET$5:$ET$1003,$EX696),"")</f>
        <v/>
      </c>
      <c r="FR696">
        <f>IF($EY696="row",INDEX($EU$5:$EU$1003,$EX696),"")</f>
        <v/>
      </c>
      <c r="FS696">
        <f>IF(AND($EY696="row",$EY695="row"),IF(OR(INDEX($DT$5:$DT$1003,$EX695)="",INDEX($DT$5:$DT$1003,$EX696)=""),"",IF(NOT(EXACT(INDEX($DT$5:$DT$1003,$EX695),INDEX($DT$5:$DT$1003,$EX696))),"S4",IF(NOT(EXACT(INDEX($DS$5:$DS$1003,$EX695),INDEX($DS$5:$DS$1003,$EX696))),"S3",IF(NOT(EXACT(INDEX($DR$5:$DR$1003,$EX695),INDEX($DR$5:$DR$1003,$EX696))),"S1 Count Change","S1")))),"")</f>
        <v/>
      </c>
      <c r="FT696">
        <f>IF($EY696="row",INDEX($ES$5:$ES$1003,$EX696),"")</f>
        <v/>
      </c>
      <c r="FU696">
        <f>IF($EY696="row",INDEX($EO$5:$EO$1003,$EX696),0)</f>
        <v/>
      </c>
      <c r="FV696">
        <f>IF($FS696="S1 Count Change",1,0)</f>
        <v/>
      </c>
    </row>
    <row r="697">
      <c r="DA697" t="n">
        <v>693</v>
      </c>
      <c r="DB697">
        <f>IF($B$37=0,"",IFERROR(TRIM(SUBSTITUTE(SUBSTITUTE(SUBSTITUTE(SUBSTITUTE(INDEX(PASTE_ALL,693,$B$37)," "," "),CHAR(9)," "),CHAR(10)," "),CHAR(13)," ")),""))</f>
        <v/>
      </c>
      <c r="DC697">
        <f>IF(AND(693&gt;HEADER_ROW,UPPER(DB697)="LEGEND"),1,0)</f>
        <v/>
      </c>
      <c r="DE697" t="n">
        <v>693</v>
      </c>
      <c r="DF697">
        <f>HEADER_ROW+$DE697</f>
        <v/>
      </c>
      <c r="DG697">
        <f>IF(AND($DF697&lt;=1000,$DF697&lt;$B$8),1,0)</f>
        <v/>
      </c>
      <c r="DH697">
        <f>IF($DG697=1,IFERROR(INDEX($DB$5:$DB$1004,$DF697),""),"")</f>
        <v/>
      </c>
      <c r="DI697">
        <f>IF(AND($DG697=1,$DH697&lt;&gt;""),IFERROR(SUBSTITUTE(SUBSTITUTE(TRIM(SUBSTITUTE(SUBSTITUTE(SUBSTITUTE(SUBSTITUTE(IFERROR(INDEX(PASTE_ALL,$DF697,1)&amp;"","")&amp;"␟"&amp;IFERROR(INDEX(PASTE_ALL,$DF697,2)&amp;"","")&amp;"␟"&amp;IFERROR(INDEX(PASTE_ALL,$DF697,3)&amp;"","")&amp;"␟"&amp;IFERROR(INDEX(PASTE_ALL,$DF697,4)&amp;"","")&amp;"␟"&amp;IFERROR(INDEX(PASTE_ALL,$DF697,5)&amp;"","")&amp;"␟"&amp;IFERROR(INDEX(PASTE_ALL,$DF697,6)&amp;"","")&amp;"␟"&amp;IFERROR(INDEX(PASTE_ALL,$DF697,7)&amp;"","")&amp;"␟"&amp;IFERROR(INDEX(PASTE_ALL,$DF697,8)&amp;"","")&amp;"␟"&amp;IFERROR(INDEX(PASTE_ALL,$DF697,9)&amp;"","")&amp;"␟"&amp;IFERROR(INDEX(PASTE_ALL,$DF697,10)&amp;"","")&amp;"␟"&amp;IFERROR(INDEX(PASTE_ALL,$DF697,11)&amp;"","")&amp;"␟"&amp;IFERROR(INDEX(PASTE_ALL,$DF697,12)&amp;"","")&amp;"␟"&amp;IFERROR(INDEX(PASTE_ALL,$DF697,13)&amp;"","")&amp;"␟"&amp;IFERROR(INDEX(PASTE_ALL,$DF697,14)&amp;"","")&amp;"␟"&amp;IFERROR(INDEX(PASTE_ALL,$DF697,15)&amp;"","")&amp;"␟"&amp;IFERROR(INDEX(PASTE_ALL,$DF697,16)&amp;"","")&amp;"␟"&amp;IFERROR(INDEX(PASTE_ALL,$DF697,17)&amp;"","")&amp;"␟"&amp;IFERROR(INDEX(PASTE_ALL,$DF697,18)&amp;"","")&amp;"␟"&amp;IFERROR(INDEX(PASTE_ALL,$DF697,19)&amp;"","")&amp;"␟"&amp;IFERROR(INDEX(PASTE_ALL,$DF697,20)&amp;"","")&amp;"␟"&amp;IFERROR(INDEX(PASTE_ALL,$DF697,21)&amp;"","")&amp;"␟"&amp;IFERROR(INDEX(PASTE_ALL,$DF697,22)&amp;"","")&amp;"␟"&amp;IFERROR(INDEX(PASTE_ALL,$DF697,23)&amp;"","")&amp;"␟"&amp;IFERROR(INDEX(PASTE_ALL,$DF697,24)&amp;"","")&amp;"␟"&amp;IFERROR(INDEX(PASTE_ALL,$DF697,25)&amp;"","")&amp;"␟"&amp;IFERROR(INDEX(PASTE_ALL,$DF697,26)&amp;"","")&amp;"␟"&amp;IFERROR(INDEX(PASTE_ALL,$DF697,27)&amp;"","")&amp;"␟"&amp;IFERROR(INDEX(PASTE_ALL,$DF697,28)&amp;"","")&amp;"␟"&amp;IFERROR(INDEX(PASTE_ALL,$DF697,29)&amp;"","")&amp;"␟"&amp;IFERROR(INDEX(PASTE_ALL,$DF697,30)&amp;"","")&amp;"␟"&amp;IFERROR(INDEX(PASTE_ALL,$DF697,31)&amp;"","")&amp;"␟"&amp;IFERROR(INDEX(PASTE_ALL,$DF697,32)&amp;"","")&amp;"␟"&amp;IFERROR(INDEX(PASTE_ALL,$DF697,33)&amp;"","")&amp;"␟"&amp;IFERROR(INDEX(PASTE_ALL,$DF697,34)&amp;"","")&amp;"␟"&amp;IFERROR(INDEX(PASTE_ALL,$DF697,35)&amp;"","")&amp;"␟"&amp;IFERROR(INDEX(PASTE_ALL,$DF697,36)&amp;"","")&amp;"␟"&amp;IFERROR(INDEX(PASTE_ALL,$DF697,37)&amp;"","")&amp;"␟"&amp;IFERROR(INDEX(PASTE_ALL,$DF697,38)&amp;"","")&amp;"␟"&amp;IFERROR(INDEX(PASTE_ALL,$DF697,39)&amp;"","")&amp;"␟"&amp;IFERROR(INDEX(PASTE_ALL,$DF697,40)&amp;"","")&amp;"␟"&amp;IFERROR(INDEX(PASTE_ALL,$DF697,41)&amp;"","")&amp;"␟"&amp;IFERROR(INDEX(PASTE_ALL,$DF697,42)&amp;"","")&amp;"␟"&amp;IFERROR(INDEX(PASTE_ALL,$DF697,43)&amp;"","")&amp;"␟"&amp;IFERROR(INDEX(PASTE_ALL,$DF697,44)&amp;"","")&amp;"␟"&amp;IFERROR(INDEX(PASTE_ALL,$DF697,45)&amp;"","")&amp;"␟"&amp;IFERROR(INDEX(PASTE_ALL,$DF697,46)&amp;"","")&amp;"␟"&amp;IFERROR(INDEX(PASTE_ALL,$DF697,47)&amp;"","")&amp;"␟"&amp;IFERROR(INDEX(PASTE_ALL,$DF697,48)&amp;"","")&amp;"␟"&amp;IFERROR(INDEX(PASTE_ALL,$DF697,49)&amp;"","")&amp;"␟"&amp;IFERROR(INDEX(PASTE_ALL,$DF697,50)&amp;"","")&amp;"␟"&amp;IFERROR(INDEX(PASTE_ALL,$DF697,51)&amp;"","")&amp;"␟"&amp;IFERROR(INDEX(PASTE_ALL,$DF697,52)&amp;"","")&amp;"␟"&amp;IFERROR(INDEX(PASTE_ALL,$DF697,53)&amp;"","")&amp;"␟"&amp;IFERROR(INDEX(PASTE_ALL,$DF697,54)&amp;"","")&amp;"␟"&amp;IFERROR(INDEX(PASTE_ALL,$DF697,55)&amp;"","")&amp;"␟"&amp;IFERROR(INDEX(PASTE_ALL,$DF697,56)&amp;"","")&amp;"␟"&amp;IFERROR(INDEX(PASTE_ALL,$DF697,57)&amp;"","")&amp;"␟"&amp;IFERROR(INDEX(PASTE_ALL,$DF697,58)&amp;"","")&amp;"␟"&amp;IFERROR(INDEX(PASTE_ALL,$DF697,59)&amp;"","")&amp;"␟"&amp;IFERROR(INDEX(PASTE_ALL,$DF697,60)&amp;"","")," "," "),CHAR(9)," "),CHAR(10)," "),CHAR(13)," "))," ␟","␟"),"␟ ","␟"),"#"&amp;$DE697),"")</f>
        <v/>
      </c>
      <c r="DJ697">
        <f>IF($DI697="",0,IF(SUMPRODUCT(--EXACT($DI$4:DI696,$DI697))&gt;0,1,0))</f>
        <v/>
      </c>
      <c r="DK697">
        <f>IF(AND($DI697&lt;&gt;"",$DJ697=0),1,0)</f>
        <v/>
      </c>
      <c r="DL697">
        <f>DL696+$DK697</f>
        <v/>
      </c>
      <c r="DM697">
        <f>IF(AND($DK697=1,$DL697&lt;=600),1,0)</f>
        <v/>
      </c>
      <c r="DN697">
        <f>IF($DM697=0,"",IF($L$6=0,"",IFERROR(IF(ISNUMBER(INDEX(PASTE_ALL,$DF697,$L$6)),INDEX(PASTE_ALL,$DF697,$L$6),TRIM(SUBSTITUTE(SUBSTITUTE(SUBSTITUTE(SUBSTITUTE(INDEX(PASTE_ALL,$DF697,$L$6)," "," "),CHAR(9)," "),CHAR(10)," "),CHAR(13)," "))),"")))</f>
        <v/>
      </c>
      <c r="DO697">
        <f>IF($DM697=0,"",IF($L$7=0,"",IFERROR(IF(ISNUMBER(INDEX(PASTE_ALL,$DF697,$L$7)),INDEX(PASTE_ALL,$DF697,$L$7),TRIM(SUBSTITUTE(SUBSTITUTE(SUBSTITUTE(SUBSTITUTE(INDEX(PASTE_ALL,$DF697,$L$7)," "," "),CHAR(9)," "),CHAR(10)," "),CHAR(13)," "))),"")))</f>
        <v/>
      </c>
      <c r="DP697">
        <f>IF($DM697=0,"",IF($L$8=0,"",IFERROR(IF(ISNUMBER(INDEX(PASTE_ALL,$DF697,$L$8)),INDEX(PASTE_ALL,$DF697,$L$8),TRIM(SUBSTITUTE(SUBSTITUTE(SUBSTITUTE(SUBSTITUTE(INDEX(PASTE_ALL,$DF697,$L$8)," "," "),CHAR(9)," "),CHAR(10)," "),CHAR(13)," "))),"")))</f>
        <v/>
      </c>
      <c r="DQ697">
        <f>IF($DM697=0,"",IF($L$9=0,"",IFERROR(IF(ISNUMBER(INDEX(PASTE_ALL,$DF697,$L$9)),INDEX(PASTE_ALL,$DF697,$L$9),TRIM(SUBSTITUTE(SUBSTITUTE(SUBSTITUTE(SUBSTITUTE(INDEX(PASTE_ALL,$DF697,$L$9)," "," "),CHAR(9)," "),CHAR(10)," "),CHAR(13)," "))),"")))</f>
        <v/>
      </c>
      <c r="DR697">
        <f>IF($DM697=0,"",IF($L$10=0,"",IFERROR(IF(ISNUMBER(INDEX(PASTE_ALL,$DF697,$L$10)),INDEX(PASTE_ALL,$DF697,$L$10),TRIM(SUBSTITUTE(SUBSTITUTE(SUBSTITUTE(SUBSTITUTE(INDEX(PASTE_ALL,$DF697,$L$10)," "," "),CHAR(9)," "),CHAR(10)," "),CHAR(13)," "))),"")))</f>
        <v/>
      </c>
      <c r="DS697">
        <f>IF($DM697=0,"",IF($L$11=0,"",IFERROR(IF(ISNUMBER(INDEX(PASTE_ALL,$DF697,$L$11)),INDEX(PASTE_ALL,$DF697,$L$11),TRIM(SUBSTITUTE(SUBSTITUTE(SUBSTITUTE(SUBSTITUTE(INDEX(PASTE_ALL,$DF697,$L$11)," "," "),CHAR(9)," "),CHAR(10)," "),CHAR(13)," "))),"")))</f>
        <v/>
      </c>
      <c r="DT697">
        <f>IF($DM697=0,"",IF($L$12=0,"",IFERROR(IF(ISNUMBER(INDEX(PASTE_ALL,$DF697,$L$12)),INDEX(PASTE_ALL,$DF697,$L$12),TRIM(SUBSTITUTE(SUBSTITUTE(SUBSTITUTE(SUBSTITUTE(INDEX(PASTE_ALL,$DF697,$L$12)," "," "),CHAR(9)," "),CHAR(10)," "),CHAR(13)," "))),"")))</f>
        <v/>
      </c>
      <c r="DU697">
        <f>IF($DM697=0,"",IF($L$13=0,"",IFERROR(IF(ISNUMBER(INDEX(PASTE_ALL,$DF697,$L$13)),INDEX(PASTE_ALL,$DF697,$L$13),TRIM(SUBSTITUTE(SUBSTITUTE(SUBSTITUTE(SUBSTITUTE(INDEX(PASTE_ALL,$DF697,$L$13)," "," "),CHAR(9)," "),CHAR(10)," "),CHAR(13)," "))),"")))</f>
        <v/>
      </c>
      <c r="DV697">
        <f>IF($DM697=0,"",IF($L$14=0,"",IFERROR(IF(ISNUMBER(INDEX(PASTE_ALL,$DF697,$L$14)),INDEX(PASTE_ALL,$DF697,$L$14),TRIM(SUBSTITUTE(SUBSTITUTE(SUBSTITUTE(SUBSTITUTE(INDEX(PASTE_ALL,$DF697,$L$14)," "," "),CHAR(9)," "),CHAR(10)," "),CHAR(13)," "))),"")))</f>
        <v/>
      </c>
      <c r="DW697">
        <f>IF($DM697=0,"",IF($L$15=0,"",IFERROR(IF(ISNUMBER(INDEX(PASTE_ALL,$DF697,$L$15)),INDEX(PASTE_ALL,$DF697,$L$15),IF(SUMPRODUCT(--ISNUMBER(FIND({"A","B","C","D","E","F","G","H","I","J","K","L","M","N","O","P","Q","R","S","T","U","V","W","X","Y","Z","0","1","2","3","4","5","6","7","8","9"},UPPER(TRIM(SUBSTITUTE(SUBSTITUTE(SUBSTITUTE(SUBSTITUTE(INDEX(PASTE_ALL,$DF697,$L$15)," "," "),CHAR(9)," "),CHAR(10)," "),CHAR(13)," "))))))&gt;0,TRIM(SUBSTITUTE(SUBSTITUTE(SUBSTITUTE(SUBSTITUTE(INDEX(PASTE_ALL,$DF697,$L$15)," "," "),CHAR(9)," "),CHAR(10)," "),CHAR(13)," ")),"")),"")))</f>
        <v/>
      </c>
      <c r="DX697">
        <f>IF($DM697=0,"",IF($L$16=0,"",IFERROR(IF(ISNUMBER(INDEX(PASTE_ALL,$DF697,$L$16)),INDEX(PASTE_ALL,$DF697,$L$16),SUBSTITUTE(SUBSTITUTE(TRIM(SUBSTITUTE(SUBSTITUTE(SUBSTITUTE(SUBSTITUTE(INDEX(PASTE_ALL,$DF697,$L$16)," "," "),CHAR(9)," "),CHAR(10)," "),CHAR(13)," ")),",",""),"%","")),"")))</f>
        <v/>
      </c>
      <c r="DY697">
        <f>IF($DM697=0,"",IFERROR(IF(ISNUMBER($DX697),$DX697,IF($DX697="","",IF(TRIM($DX697)="",0,IF(AND(AND(SUBSTITUTE(SUBSTITUTE(SUBSTITUTE(SUBSTITUTE(SUBSTITUTE(SUBSTITUTE(SUBSTITUTE(SUBSTITUTE(SUBSTITUTE(SUBSTITUTE(SUBSTITUTE(SUBSTITUTE(SUBSTITUTE(SUBSTITUTE(UPPER(TRIM($DX697)),"0",""),"1",""),"2",""),"3",""),"4",""),"5",""),"6",""),"7",""),"8",""),"9",""),".",""),"+",""),"-",""),"E","")="",LEN(SUBSTITUTE(SUBSTITUTE(MID(UPPER(TRIM($DX697)),1+OR(LEFT(UPPER(TRIM($DX697)),1)="+",LEFT(UPPER(TRIM($DX697)),1)="-"),999),"E+","E"),"E-","E"))=LEN(SUBSTITUTE(SUBSTITUTE(SUBSTITUTE(SUBSTITUTE(MID(UPPER(TRIM($DX697)),1+OR(LEFT(UPPER(TRIM($DX697)),1)="+",LEFT(UPPER(TRIM($DX697)),1)="-"),999),"E+","E"),"E-","E"),"+",""),"-","")),LEN(UPPER(TRIM($DX697)))-LEN(SUBSTITUTE(UPPER(TRIM($DX697)),"E",""))&lt;2,LEN(UPPER(TRIM($DX697)))-LEN(SUBSTITUTE(UPPER(TRIM($DX697)),".",""))&lt;2,IFERROR(FIND(".",UPPER(TRIM($DX697))),0)&lt;IFERROR(FIND("E",UPPER(TRIM($DX697))),999)),ISNUMBER(VALUE(TRIM($DX697)))),VALUE(TRIM($DX697)),"")))),""))</f>
        <v/>
      </c>
      <c r="DZ697">
        <f>IF($DM697=0,"",IF($L$17=0,"",IFERROR(IF(ISNUMBER(INDEX(PASTE_ALL,$DF697,$L$17)),INDEX(PASTE_ALL,$DF697,$L$17),SUBSTITUTE(SUBSTITUTE(TRIM(SUBSTITUTE(SUBSTITUTE(SUBSTITUTE(SUBSTITUTE(INDEX(PASTE_ALL,$DF697,$L$17)," "," "),CHAR(9)," "),CHAR(10)," "),CHAR(13)," ")),",",""),"%","")),"")))</f>
        <v/>
      </c>
      <c r="EA697">
        <f>IF($DM697=0,"",IFERROR(IF(ISNUMBER($DZ697),$DZ697,IF($DZ697="","",IF(TRIM($DZ697)="",0,IF(AND(AND(SUBSTITUTE(SUBSTITUTE(SUBSTITUTE(SUBSTITUTE(SUBSTITUTE(SUBSTITUTE(SUBSTITUTE(SUBSTITUTE(SUBSTITUTE(SUBSTITUTE(SUBSTITUTE(SUBSTITUTE(SUBSTITUTE(SUBSTITUTE(UPPER(TRIM($DZ697)),"0",""),"1",""),"2",""),"3",""),"4",""),"5",""),"6",""),"7",""),"8",""),"9",""),".",""),"+",""),"-",""),"E","")="",LEN(SUBSTITUTE(SUBSTITUTE(MID(UPPER(TRIM($DZ697)),1+OR(LEFT(UPPER(TRIM($DZ697)),1)="+",LEFT(UPPER(TRIM($DZ697)),1)="-"),999),"E+","E"),"E-","E"))=LEN(SUBSTITUTE(SUBSTITUTE(SUBSTITUTE(SUBSTITUTE(MID(UPPER(TRIM($DZ697)),1+OR(LEFT(UPPER(TRIM($DZ697)),1)="+",LEFT(UPPER(TRIM($DZ697)),1)="-"),999),"E+","E"),"E-","E"),"+",""),"-","")),LEN(UPPER(TRIM($DZ697)))-LEN(SUBSTITUTE(UPPER(TRIM($DZ697)),"E",""))&lt;2,LEN(UPPER(TRIM($DZ697)))-LEN(SUBSTITUTE(UPPER(TRIM($DZ697)),".",""))&lt;2,IFERROR(FIND(".",UPPER(TRIM($DZ697))),0)&lt;IFERROR(FIND("E",UPPER(TRIM($DZ697))),999)),ISNUMBER(VALUE(TRIM($DZ697)))),VALUE(TRIM($DZ697)),"")))),""))</f>
        <v/>
      </c>
      <c r="EB697">
        <f>IF($DM697=0,"",IF($L$18=0,"",IFERROR(IF(UPPER(TRIM(SUBSTITUTE(SUBSTITUTE(SUBSTITUTE(SUBSTITUTE(INDEX(PASTE_ALL,$DF697,$L$18)," "," "),CHAR(9)," "),CHAR(10)," "),CHAR(13)," ")))="READY","Ready",IF(UPPER(TRIM(SUBSTITUTE(SUBSTITUTE(SUBSTITUTE(SUBSTITUTE(INDEX(PASTE_ALL,$DF697,$L$18)," "," "),CHAR(9)," "),CHAR(10)," "),CHAR(13)," ")))="PM","PM",IF(OR(UPPER(TRIM(SUBSTITUTE(SUBSTITUTE(SUBSTITUTE(SUBSTITUTE(INDEX(PASTE_ALL,$DF697,$L$18)," "," "),CHAR(9)," "),CHAR(10)," "),CHAR(13)," ")))="OT",UPPER(TRIM(SUBSTITUTE(SUBSTITUTE(SUBSTITUTE(SUBSTITUTE(INDEX(PASTE_ALL,$DF697,$L$18)," "," "),CHAR(9)," "),CHAR(10)," "),CHAR(13)," ")))="OVERTIME",UPPER(TRIM(SUBSTITUTE(SUBSTITUTE(SUBSTITUTE(SUBSTITUTE(INDEX(PASTE_ALL,$DF697,$L$18)," "," "),CHAR(9)," "),CHAR(10)," "),CHAR(13)," ")))="TRIAL"),"OT",TRIM(SUBSTITUTE(SUBSTITUTE(SUBSTITUTE(SUBSTITUTE(INDEX(PASTE_ALL,$DF697,$L$18)," "," "),CHAR(9)," "),CHAR(10)," "),CHAR(13)," "))))),"")))</f>
        <v/>
      </c>
      <c r="EC697">
        <f>IF($DM697=0,"",IF($L$19=0,"",IFERROR(IF(ISNUMBER(INDEX(PASTE_ALL,$DF697,$L$19)),INDEX(PASTE_ALL,$DF697,$L$19),TRIM(SUBSTITUTE(SUBSTITUTE(SUBSTITUTE(SUBSTITUTE(INDEX(PASTE_ALL,$DF697,$L$19)," "," "),CHAR(9)," "),CHAR(10)," "),CHAR(13)," "))),"")))</f>
        <v/>
      </c>
      <c r="ED697">
        <f>IF($DM697=0,"",MATCH(1,INDEX(EXACT($DH$5:DH697,$DH697)*$DM$5:DM697,0),0))</f>
        <v/>
      </c>
      <c r="EE697">
        <f>IF($DM697=0,0,IF($ED697=$DE697,1,0))</f>
        <v/>
      </c>
      <c r="EF697">
        <f>EF696+$EE697</f>
        <v/>
      </c>
      <c r="EG697">
        <f>IF($DM697=0,"",INDEX($EF$5:$EF$1003,$ED697))</f>
        <v/>
      </c>
      <c r="EH697">
        <f>IF($DM697=0,"",IF($DO697&lt;&gt;"","",IFERROR(LOOKUP(2,1/(($EG$4:EG696=$EG697)*($DO$4:DO696&lt;&gt;"")),$DO$4:DO696),"")))</f>
        <v/>
      </c>
      <c r="EI697">
        <f>IF($DM697=0,"",IF($DO697&lt;&gt;"",$DO697,$EH697))</f>
        <v/>
      </c>
      <c r="EJ697">
        <f>IF($DM697=0,"",IF($EI697="",0,IF(OR(ISNUMBER($EI697),AND(AND(SUBSTITUTE(SUBSTITUTE(SUBSTITUTE(SUBSTITUTE(SUBSTITUTE(SUBSTITUTE(SUBSTITUTE(SUBSTITUTE(SUBSTITUTE(SUBSTITUTE(SUBSTITUTE(SUBSTITUTE(SUBSTITUTE(SUBSTITUTE(UPPER($EI697),"0",""),"1",""),"2",""),"3",""),"4",""),"5",""),"6",""),"7",""),"8",""),"9",""),".",""),"+",""),"-",""),"E","")="",LEN(SUBSTITUTE(SUBSTITUTE(MID(UPPER($EI697),1+OR(LEFT(UPPER($EI697),1)="+",LEFT(UPPER($EI697),1)="-"),999),"E+","E"),"E-","E"))=LEN(SUBSTITUTE(SUBSTITUTE(SUBSTITUTE(SUBSTITUTE(MID(UPPER($EI697),1+OR(LEFT(UPPER($EI697),1)="+",LEFT(UPPER($EI697),1)="-"),999),"E+","E"),"E-","E"),"+",""),"-","")),LEN(UPPER($EI697))-LEN(SUBSTITUTE(UPPER($EI697),"E",""))&lt;2,LEN(UPPER($EI697))-LEN(SUBSTITUTE(UPPER($EI697),".",""))&lt;2,IFERROR(FIND(".",UPPER($EI697)),0)&lt;IFERROR(FIND("E",UPPER($EI697)),999)),ISNUMBER(VALUE($EI697)))),1,2)))</f>
        <v/>
      </c>
      <c r="EK697">
        <f>IF($DM697=0,"",IF($EJ697=1,IF(ISNUMBER($EI697),$EI697,VALUE($EI697)),IF($EJ697=2,$DE697,0)))</f>
        <v/>
      </c>
      <c r="EL697">
        <f>IF($DM697=0,"",COUNTIF($EG$5:$EG$1003,"&lt;"&amp;$EG697)+SUMPRODUCT(($EG$5:$EG$1003=$EG697)*(($EJ$5:$EJ$1003&lt;$EJ697)+($EJ$5:$EJ$1003=$EJ697)*(($EK$5:$EK$1003&lt;$EK697)+($EK$5:$EK$1003=$EK697)*($DE$5:$DE$1003&lt;$DE697))))+1)</f>
        <v/>
      </c>
      <c r="EM697">
        <f>IF($DM697=0,"",$EL697+$EG697-1)</f>
        <v/>
      </c>
      <c r="EN697">
        <f>IF($DM697=0,0,IFERROR(MATCH(1,INDEX(--(TRIM(SUBSTITUTE(SUBSTITUTE(SUBSTITUTE(SUBSTITUTE(LINES_NAME&amp;""," "," "),CHAR(9)," "),CHAR(10)," "),CHAR(13)," "))=$DH697),0),0),0))</f>
        <v/>
      </c>
      <c r="EO697">
        <f>IF($EN697=0,0,IF(OR(UPPER(TRIM(INDEX(LINES_SCHEDULED,$EN697)&amp;""))="YES",UPPER(TRIM(INDEX(LINES_SCHEDULED,$EN697)&amp;""))="Y",UPPER(TRIM(INDEX(LINES_SCHEDULED,$EN697)&amp;""))="X"),1,0))</f>
        <v/>
      </c>
      <c r="EP697">
        <f>IF($DM697=0,"",IF(COUNTIFS($EG$5:$EG$1003,$EG697,$EB$5:$EB$1003,"Ready")&gt;0,"READY",IF(COUNTIFS($EG$5:$EG$1003,$EG697,$EB$5:$EB$1003,"PM")&gt;0,"PM",IF(COUNTIFS($EG$5:$EG$1003,$EG697,$EB$5:$EB$1003,"OT")&gt;0,"OT",""))))</f>
        <v/>
      </c>
      <c r="EQ697">
        <f>IF($EN697=0,"",UPPER(TRIM(INDEX(LINES_STATUS,$EN697)&amp;"")))</f>
        <v/>
      </c>
      <c r="ER697">
        <f>IF($DM697=0,"",IF(OR($EQ697="READY",$EQ697="PM",$EQ697="OT"),$EQ697,$EP697))</f>
        <v/>
      </c>
      <c r="ES697">
        <f>IF($DM697=0,"",IF(AND($DV697&lt;&gt;"",UPPER($DV697)&lt;&gt;"N"),"allergen",IF(ISNUMBER(SEARCH("oil",$DQ697)),"oil",IF(OR(EXACT($DS697,"A662"),EXACT($DS697,"A624")),"bulk",""))))</f>
        <v/>
      </c>
      <c r="ET697">
        <f>IF($DM697=0,"",IF(OR($EA697="",$EA697=0),"",$EA697/100))</f>
        <v/>
      </c>
      <c r="EU697">
        <f>IF(OR($ET697="",$DY697=""),"",INT($DY697*(1-$ET697)+0.5))</f>
        <v/>
      </c>
      <c r="EW697" t="n">
        <v>693</v>
      </c>
      <c r="EX697">
        <f>IFERROR(MATCH($EW697,$EM$5:$EM$1003,0),0)</f>
        <v/>
      </c>
      <c r="EY697">
        <f>IF($EW697&gt;$B$12,"",IF($EX697&gt;0,"row","spacer"))</f>
        <v/>
      </c>
      <c r="EZ697">
        <f>IF(AND($EY697="row",$EY696&lt;&gt;"row"),1,0)</f>
        <v/>
      </c>
      <c r="FA697">
        <f>IF(AND($EY697="row",$EY698&lt;&gt;"row"),1,0)</f>
        <v/>
      </c>
      <c r="FB697">
        <f>IF($EZ697=1,IFERROR(IF(ISNUMBER(INDEX(PASTE_ALL,INDEX($DF$5:$DF$1003,$EX697),$B$37)),INDEX(PASTE_ALL,INDEX($DF$5:$DF$1003,$EX697),$B$37),INDEX($DH$5:$DH$1003,$EX697)),INDEX($DH$5:$DH$1003,$EX697)),"")</f>
        <v/>
      </c>
      <c r="FC697">
        <f>IF($EY697="row",INDEX($ER$5:$ER$1003,$EX697),"")</f>
        <v/>
      </c>
      <c r="FD697">
        <f>IF($EY697="row",INDEX($DN$5:$DN$1003,$EX697),"")</f>
        <v/>
      </c>
      <c r="FE697">
        <f>IF($EY697="row",INDEX($DO$5:$DO$1003,$EX697),"")</f>
        <v/>
      </c>
      <c r="FF697">
        <f>IF($EY697="row",INDEX($DP$5:$DP$1003,$EX697),"")</f>
        <v/>
      </c>
      <c r="FG697">
        <f>IF($EY697="row",INDEX($DQ$5:$DQ$1003,$EX697),"")</f>
        <v/>
      </c>
      <c r="FH697">
        <f>IF($EY697="row",INDEX($DR$5:$DR$1003,$EX697),"")</f>
        <v/>
      </c>
      <c r="FI697">
        <f>IF($EY697="row",INDEX($DS$5:$DS$1003,$EX697),"")</f>
        <v/>
      </c>
      <c r="FJ697">
        <f>IF($EY697="row",INDEX($DT$5:$DT$1003,$EX697),"")</f>
        <v/>
      </c>
      <c r="FK697">
        <f>IF($EY697="row",INDEX($DU$5:$DU$1003,$EX697),"")</f>
        <v/>
      </c>
      <c r="FL697">
        <f>IF($EY697="row",INDEX($DV$5:$DV$1003,$EX697),"")</f>
        <v/>
      </c>
      <c r="FM697">
        <f>IF($EY697="row",INDEX($DW$5:$DW$1003,$EX697),"")</f>
        <v/>
      </c>
      <c r="FN697">
        <f>IF($EY697="row",INDEX($DY$5:$DY$1003,$EX697),"")</f>
        <v/>
      </c>
      <c r="FO697">
        <f>IF($EY697="row",INDEX($EA$5:$EA$1003,$EX697),"")</f>
        <v/>
      </c>
      <c r="FP697">
        <f>IF($EY697="row",INDEX($EC$5:$EC$1003,$EX697),"")</f>
        <v/>
      </c>
      <c r="FQ697">
        <f>IF($EY697="row",INDEX($ET$5:$ET$1003,$EX697),"")</f>
        <v/>
      </c>
      <c r="FR697">
        <f>IF($EY697="row",INDEX($EU$5:$EU$1003,$EX697),"")</f>
        <v/>
      </c>
      <c r="FS697">
        <f>IF(AND($EY697="row",$EY696="row"),IF(OR(INDEX($DT$5:$DT$1003,$EX696)="",INDEX($DT$5:$DT$1003,$EX697)=""),"",IF(NOT(EXACT(INDEX($DT$5:$DT$1003,$EX696),INDEX($DT$5:$DT$1003,$EX697))),"S4",IF(NOT(EXACT(INDEX($DS$5:$DS$1003,$EX696),INDEX($DS$5:$DS$1003,$EX697))),"S3",IF(NOT(EXACT(INDEX($DR$5:$DR$1003,$EX696),INDEX($DR$5:$DR$1003,$EX697))),"S1 Count Change","S1")))),"")</f>
        <v/>
      </c>
      <c r="FT697">
        <f>IF($EY697="row",INDEX($ES$5:$ES$1003,$EX697),"")</f>
        <v/>
      </c>
      <c r="FU697">
        <f>IF($EY697="row",INDEX($EO$5:$EO$1003,$EX697),0)</f>
        <v/>
      </c>
      <c r="FV697">
        <f>IF($FS697="S1 Count Change",1,0)</f>
        <v/>
      </c>
    </row>
    <row r="698">
      <c r="DA698" t="n">
        <v>694</v>
      </c>
      <c r="DB698">
        <f>IF($B$37=0,"",IFERROR(TRIM(SUBSTITUTE(SUBSTITUTE(SUBSTITUTE(SUBSTITUTE(INDEX(PASTE_ALL,694,$B$37)," "," "),CHAR(9)," "),CHAR(10)," "),CHAR(13)," ")),""))</f>
        <v/>
      </c>
      <c r="DC698">
        <f>IF(AND(694&gt;HEADER_ROW,UPPER(DB698)="LEGEND"),1,0)</f>
        <v/>
      </c>
      <c r="DE698" t="n">
        <v>694</v>
      </c>
      <c r="DF698">
        <f>HEADER_ROW+$DE698</f>
        <v/>
      </c>
      <c r="DG698">
        <f>IF(AND($DF698&lt;=1000,$DF698&lt;$B$8),1,0)</f>
        <v/>
      </c>
      <c r="DH698">
        <f>IF($DG698=1,IFERROR(INDEX($DB$5:$DB$1004,$DF698),""),"")</f>
        <v/>
      </c>
      <c r="DI698">
        <f>IF(AND($DG698=1,$DH698&lt;&gt;""),IFERROR(SUBSTITUTE(SUBSTITUTE(TRIM(SUBSTITUTE(SUBSTITUTE(SUBSTITUTE(SUBSTITUTE(IFERROR(INDEX(PASTE_ALL,$DF698,1)&amp;"","")&amp;"␟"&amp;IFERROR(INDEX(PASTE_ALL,$DF698,2)&amp;"","")&amp;"␟"&amp;IFERROR(INDEX(PASTE_ALL,$DF698,3)&amp;"","")&amp;"␟"&amp;IFERROR(INDEX(PASTE_ALL,$DF698,4)&amp;"","")&amp;"␟"&amp;IFERROR(INDEX(PASTE_ALL,$DF698,5)&amp;"","")&amp;"␟"&amp;IFERROR(INDEX(PASTE_ALL,$DF698,6)&amp;"","")&amp;"␟"&amp;IFERROR(INDEX(PASTE_ALL,$DF698,7)&amp;"","")&amp;"␟"&amp;IFERROR(INDEX(PASTE_ALL,$DF698,8)&amp;"","")&amp;"␟"&amp;IFERROR(INDEX(PASTE_ALL,$DF698,9)&amp;"","")&amp;"␟"&amp;IFERROR(INDEX(PASTE_ALL,$DF698,10)&amp;"","")&amp;"␟"&amp;IFERROR(INDEX(PASTE_ALL,$DF698,11)&amp;"","")&amp;"␟"&amp;IFERROR(INDEX(PASTE_ALL,$DF698,12)&amp;"","")&amp;"␟"&amp;IFERROR(INDEX(PASTE_ALL,$DF698,13)&amp;"","")&amp;"␟"&amp;IFERROR(INDEX(PASTE_ALL,$DF698,14)&amp;"","")&amp;"␟"&amp;IFERROR(INDEX(PASTE_ALL,$DF698,15)&amp;"","")&amp;"␟"&amp;IFERROR(INDEX(PASTE_ALL,$DF698,16)&amp;"","")&amp;"␟"&amp;IFERROR(INDEX(PASTE_ALL,$DF698,17)&amp;"","")&amp;"␟"&amp;IFERROR(INDEX(PASTE_ALL,$DF698,18)&amp;"","")&amp;"␟"&amp;IFERROR(INDEX(PASTE_ALL,$DF698,19)&amp;"","")&amp;"␟"&amp;IFERROR(INDEX(PASTE_ALL,$DF698,20)&amp;"","")&amp;"␟"&amp;IFERROR(INDEX(PASTE_ALL,$DF698,21)&amp;"","")&amp;"␟"&amp;IFERROR(INDEX(PASTE_ALL,$DF698,22)&amp;"","")&amp;"␟"&amp;IFERROR(INDEX(PASTE_ALL,$DF698,23)&amp;"","")&amp;"␟"&amp;IFERROR(INDEX(PASTE_ALL,$DF698,24)&amp;"","")&amp;"␟"&amp;IFERROR(INDEX(PASTE_ALL,$DF698,25)&amp;"","")&amp;"␟"&amp;IFERROR(INDEX(PASTE_ALL,$DF698,26)&amp;"","")&amp;"␟"&amp;IFERROR(INDEX(PASTE_ALL,$DF698,27)&amp;"","")&amp;"␟"&amp;IFERROR(INDEX(PASTE_ALL,$DF698,28)&amp;"","")&amp;"␟"&amp;IFERROR(INDEX(PASTE_ALL,$DF698,29)&amp;"","")&amp;"␟"&amp;IFERROR(INDEX(PASTE_ALL,$DF698,30)&amp;"","")&amp;"␟"&amp;IFERROR(INDEX(PASTE_ALL,$DF698,31)&amp;"","")&amp;"␟"&amp;IFERROR(INDEX(PASTE_ALL,$DF698,32)&amp;"","")&amp;"␟"&amp;IFERROR(INDEX(PASTE_ALL,$DF698,33)&amp;"","")&amp;"␟"&amp;IFERROR(INDEX(PASTE_ALL,$DF698,34)&amp;"","")&amp;"␟"&amp;IFERROR(INDEX(PASTE_ALL,$DF698,35)&amp;"","")&amp;"␟"&amp;IFERROR(INDEX(PASTE_ALL,$DF698,36)&amp;"","")&amp;"␟"&amp;IFERROR(INDEX(PASTE_ALL,$DF698,37)&amp;"","")&amp;"␟"&amp;IFERROR(INDEX(PASTE_ALL,$DF698,38)&amp;"","")&amp;"␟"&amp;IFERROR(INDEX(PASTE_ALL,$DF698,39)&amp;"","")&amp;"␟"&amp;IFERROR(INDEX(PASTE_ALL,$DF698,40)&amp;"","")&amp;"␟"&amp;IFERROR(INDEX(PASTE_ALL,$DF698,41)&amp;"","")&amp;"␟"&amp;IFERROR(INDEX(PASTE_ALL,$DF698,42)&amp;"","")&amp;"␟"&amp;IFERROR(INDEX(PASTE_ALL,$DF698,43)&amp;"","")&amp;"␟"&amp;IFERROR(INDEX(PASTE_ALL,$DF698,44)&amp;"","")&amp;"␟"&amp;IFERROR(INDEX(PASTE_ALL,$DF698,45)&amp;"","")&amp;"␟"&amp;IFERROR(INDEX(PASTE_ALL,$DF698,46)&amp;"","")&amp;"␟"&amp;IFERROR(INDEX(PASTE_ALL,$DF698,47)&amp;"","")&amp;"␟"&amp;IFERROR(INDEX(PASTE_ALL,$DF698,48)&amp;"","")&amp;"␟"&amp;IFERROR(INDEX(PASTE_ALL,$DF698,49)&amp;"","")&amp;"␟"&amp;IFERROR(INDEX(PASTE_ALL,$DF698,50)&amp;"","")&amp;"␟"&amp;IFERROR(INDEX(PASTE_ALL,$DF698,51)&amp;"","")&amp;"␟"&amp;IFERROR(INDEX(PASTE_ALL,$DF698,52)&amp;"","")&amp;"␟"&amp;IFERROR(INDEX(PASTE_ALL,$DF698,53)&amp;"","")&amp;"␟"&amp;IFERROR(INDEX(PASTE_ALL,$DF698,54)&amp;"","")&amp;"␟"&amp;IFERROR(INDEX(PASTE_ALL,$DF698,55)&amp;"","")&amp;"␟"&amp;IFERROR(INDEX(PASTE_ALL,$DF698,56)&amp;"","")&amp;"␟"&amp;IFERROR(INDEX(PASTE_ALL,$DF698,57)&amp;"","")&amp;"␟"&amp;IFERROR(INDEX(PASTE_ALL,$DF698,58)&amp;"","")&amp;"␟"&amp;IFERROR(INDEX(PASTE_ALL,$DF698,59)&amp;"","")&amp;"␟"&amp;IFERROR(INDEX(PASTE_ALL,$DF698,60)&amp;"","")," "," "),CHAR(9)," "),CHAR(10)," "),CHAR(13)," "))," ␟","␟"),"␟ ","␟"),"#"&amp;$DE698),"")</f>
        <v/>
      </c>
      <c r="DJ698">
        <f>IF($DI698="",0,IF(SUMPRODUCT(--EXACT($DI$4:DI697,$DI698))&gt;0,1,0))</f>
        <v/>
      </c>
      <c r="DK698">
        <f>IF(AND($DI698&lt;&gt;"",$DJ698=0),1,0)</f>
        <v/>
      </c>
      <c r="DL698">
        <f>DL697+$DK698</f>
        <v/>
      </c>
      <c r="DM698">
        <f>IF(AND($DK698=1,$DL698&lt;=600),1,0)</f>
        <v/>
      </c>
      <c r="DN698">
        <f>IF($DM698=0,"",IF($L$6=0,"",IFERROR(IF(ISNUMBER(INDEX(PASTE_ALL,$DF698,$L$6)),INDEX(PASTE_ALL,$DF698,$L$6),TRIM(SUBSTITUTE(SUBSTITUTE(SUBSTITUTE(SUBSTITUTE(INDEX(PASTE_ALL,$DF698,$L$6)," "," "),CHAR(9)," "),CHAR(10)," "),CHAR(13)," "))),"")))</f>
        <v/>
      </c>
      <c r="DO698">
        <f>IF($DM698=0,"",IF($L$7=0,"",IFERROR(IF(ISNUMBER(INDEX(PASTE_ALL,$DF698,$L$7)),INDEX(PASTE_ALL,$DF698,$L$7),TRIM(SUBSTITUTE(SUBSTITUTE(SUBSTITUTE(SUBSTITUTE(INDEX(PASTE_ALL,$DF698,$L$7)," "," "),CHAR(9)," "),CHAR(10)," "),CHAR(13)," "))),"")))</f>
        <v/>
      </c>
      <c r="DP698">
        <f>IF($DM698=0,"",IF($L$8=0,"",IFERROR(IF(ISNUMBER(INDEX(PASTE_ALL,$DF698,$L$8)),INDEX(PASTE_ALL,$DF698,$L$8),TRIM(SUBSTITUTE(SUBSTITUTE(SUBSTITUTE(SUBSTITUTE(INDEX(PASTE_ALL,$DF698,$L$8)," "," "),CHAR(9)," "),CHAR(10)," "),CHAR(13)," "))),"")))</f>
        <v/>
      </c>
      <c r="DQ698">
        <f>IF($DM698=0,"",IF($L$9=0,"",IFERROR(IF(ISNUMBER(INDEX(PASTE_ALL,$DF698,$L$9)),INDEX(PASTE_ALL,$DF698,$L$9),TRIM(SUBSTITUTE(SUBSTITUTE(SUBSTITUTE(SUBSTITUTE(INDEX(PASTE_ALL,$DF698,$L$9)," "," "),CHAR(9)," "),CHAR(10)," "),CHAR(13)," "))),"")))</f>
        <v/>
      </c>
      <c r="DR698">
        <f>IF($DM698=0,"",IF($L$10=0,"",IFERROR(IF(ISNUMBER(INDEX(PASTE_ALL,$DF698,$L$10)),INDEX(PASTE_ALL,$DF698,$L$10),TRIM(SUBSTITUTE(SUBSTITUTE(SUBSTITUTE(SUBSTITUTE(INDEX(PASTE_ALL,$DF698,$L$10)," "," "),CHAR(9)," "),CHAR(10)," "),CHAR(13)," "))),"")))</f>
        <v/>
      </c>
      <c r="DS698">
        <f>IF($DM698=0,"",IF($L$11=0,"",IFERROR(IF(ISNUMBER(INDEX(PASTE_ALL,$DF698,$L$11)),INDEX(PASTE_ALL,$DF698,$L$11),TRIM(SUBSTITUTE(SUBSTITUTE(SUBSTITUTE(SUBSTITUTE(INDEX(PASTE_ALL,$DF698,$L$11)," "," "),CHAR(9)," "),CHAR(10)," "),CHAR(13)," "))),"")))</f>
        <v/>
      </c>
      <c r="DT698">
        <f>IF($DM698=0,"",IF($L$12=0,"",IFERROR(IF(ISNUMBER(INDEX(PASTE_ALL,$DF698,$L$12)),INDEX(PASTE_ALL,$DF698,$L$12),TRIM(SUBSTITUTE(SUBSTITUTE(SUBSTITUTE(SUBSTITUTE(INDEX(PASTE_ALL,$DF698,$L$12)," "," "),CHAR(9)," "),CHAR(10)," "),CHAR(13)," "))),"")))</f>
        <v/>
      </c>
      <c r="DU698">
        <f>IF($DM698=0,"",IF($L$13=0,"",IFERROR(IF(ISNUMBER(INDEX(PASTE_ALL,$DF698,$L$13)),INDEX(PASTE_ALL,$DF698,$L$13),TRIM(SUBSTITUTE(SUBSTITUTE(SUBSTITUTE(SUBSTITUTE(INDEX(PASTE_ALL,$DF698,$L$13)," "," "),CHAR(9)," "),CHAR(10)," "),CHAR(13)," "))),"")))</f>
        <v/>
      </c>
      <c r="DV698">
        <f>IF($DM698=0,"",IF($L$14=0,"",IFERROR(IF(ISNUMBER(INDEX(PASTE_ALL,$DF698,$L$14)),INDEX(PASTE_ALL,$DF698,$L$14),TRIM(SUBSTITUTE(SUBSTITUTE(SUBSTITUTE(SUBSTITUTE(INDEX(PASTE_ALL,$DF698,$L$14)," "," "),CHAR(9)," "),CHAR(10)," "),CHAR(13)," "))),"")))</f>
        <v/>
      </c>
      <c r="DW698">
        <f>IF($DM698=0,"",IF($L$15=0,"",IFERROR(IF(ISNUMBER(INDEX(PASTE_ALL,$DF698,$L$15)),INDEX(PASTE_ALL,$DF698,$L$15),IF(SUMPRODUCT(--ISNUMBER(FIND({"A","B","C","D","E","F","G","H","I","J","K","L","M","N","O","P","Q","R","S","T","U","V","W","X","Y","Z","0","1","2","3","4","5","6","7","8","9"},UPPER(TRIM(SUBSTITUTE(SUBSTITUTE(SUBSTITUTE(SUBSTITUTE(INDEX(PASTE_ALL,$DF698,$L$15)," "," "),CHAR(9)," "),CHAR(10)," "),CHAR(13)," "))))))&gt;0,TRIM(SUBSTITUTE(SUBSTITUTE(SUBSTITUTE(SUBSTITUTE(INDEX(PASTE_ALL,$DF698,$L$15)," "," "),CHAR(9)," "),CHAR(10)," "),CHAR(13)," ")),"")),"")))</f>
        <v/>
      </c>
      <c r="DX698">
        <f>IF($DM698=0,"",IF($L$16=0,"",IFERROR(IF(ISNUMBER(INDEX(PASTE_ALL,$DF698,$L$16)),INDEX(PASTE_ALL,$DF698,$L$16),SUBSTITUTE(SUBSTITUTE(TRIM(SUBSTITUTE(SUBSTITUTE(SUBSTITUTE(SUBSTITUTE(INDEX(PASTE_ALL,$DF698,$L$16)," "," "),CHAR(9)," "),CHAR(10)," "),CHAR(13)," ")),",",""),"%","")),"")))</f>
        <v/>
      </c>
      <c r="DY698">
        <f>IF($DM698=0,"",IFERROR(IF(ISNUMBER($DX698),$DX698,IF($DX698="","",IF(TRIM($DX698)="",0,IF(AND(AND(SUBSTITUTE(SUBSTITUTE(SUBSTITUTE(SUBSTITUTE(SUBSTITUTE(SUBSTITUTE(SUBSTITUTE(SUBSTITUTE(SUBSTITUTE(SUBSTITUTE(SUBSTITUTE(SUBSTITUTE(SUBSTITUTE(SUBSTITUTE(UPPER(TRIM($DX698)),"0",""),"1",""),"2",""),"3",""),"4",""),"5",""),"6",""),"7",""),"8",""),"9",""),".",""),"+",""),"-",""),"E","")="",LEN(SUBSTITUTE(SUBSTITUTE(MID(UPPER(TRIM($DX698)),1+OR(LEFT(UPPER(TRIM($DX698)),1)="+",LEFT(UPPER(TRIM($DX698)),1)="-"),999),"E+","E"),"E-","E"))=LEN(SUBSTITUTE(SUBSTITUTE(SUBSTITUTE(SUBSTITUTE(MID(UPPER(TRIM($DX698)),1+OR(LEFT(UPPER(TRIM($DX698)),1)="+",LEFT(UPPER(TRIM($DX698)),1)="-"),999),"E+","E"),"E-","E"),"+",""),"-","")),LEN(UPPER(TRIM($DX698)))-LEN(SUBSTITUTE(UPPER(TRIM($DX698)),"E",""))&lt;2,LEN(UPPER(TRIM($DX698)))-LEN(SUBSTITUTE(UPPER(TRIM($DX698)),".",""))&lt;2,IFERROR(FIND(".",UPPER(TRIM($DX698))),0)&lt;IFERROR(FIND("E",UPPER(TRIM($DX698))),999)),ISNUMBER(VALUE(TRIM($DX698)))),VALUE(TRIM($DX698)),"")))),""))</f>
        <v/>
      </c>
      <c r="DZ698">
        <f>IF($DM698=0,"",IF($L$17=0,"",IFERROR(IF(ISNUMBER(INDEX(PASTE_ALL,$DF698,$L$17)),INDEX(PASTE_ALL,$DF698,$L$17),SUBSTITUTE(SUBSTITUTE(TRIM(SUBSTITUTE(SUBSTITUTE(SUBSTITUTE(SUBSTITUTE(INDEX(PASTE_ALL,$DF698,$L$17)," "," "),CHAR(9)," "),CHAR(10)," "),CHAR(13)," ")),",",""),"%","")),"")))</f>
        <v/>
      </c>
      <c r="EA698">
        <f>IF($DM698=0,"",IFERROR(IF(ISNUMBER($DZ698),$DZ698,IF($DZ698="","",IF(TRIM($DZ698)="",0,IF(AND(AND(SUBSTITUTE(SUBSTITUTE(SUBSTITUTE(SUBSTITUTE(SUBSTITUTE(SUBSTITUTE(SUBSTITUTE(SUBSTITUTE(SUBSTITUTE(SUBSTITUTE(SUBSTITUTE(SUBSTITUTE(SUBSTITUTE(SUBSTITUTE(UPPER(TRIM($DZ698)),"0",""),"1",""),"2",""),"3",""),"4",""),"5",""),"6",""),"7",""),"8",""),"9",""),".",""),"+",""),"-",""),"E","")="",LEN(SUBSTITUTE(SUBSTITUTE(MID(UPPER(TRIM($DZ698)),1+OR(LEFT(UPPER(TRIM($DZ698)),1)="+",LEFT(UPPER(TRIM($DZ698)),1)="-"),999),"E+","E"),"E-","E"))=LEN(SUBSTITUTE(SUBSTITUTE(SUBSTITUTE(SUBSTITUTE(MID(UPPER(TRIM($DZ698)),1+OR(LEFT(UPPER(TRIM($DZ698)),1)="+",LEFT(UPPER(TRIM($DZ698)),1)="-"),999),"E+","E"),"E-","E"),"+",""),"-","")),LEN(UPPER(TRIM($DZ698)))-LEN(SUBSTITUTE(UPPER(TRIM($DZ698)),"E",""))&lt;2,LEN(UPPER(TRIM($DZ698)))-LEN(SUBSTITUTE(UPPER(TRIM($DZ698)),".",""))&lt;2,IFERROR(FIND(".",UPPER(TRIM($DZ698))),0)&lt;IFERROR(FIND("E",UPPER(TRIM($DZ698))),999)),ISNUMBER(VALUE(TRIM($DZ698)))),VALUE(TRIM($DZ698)),"")))),""))</f>
        <v/>
      </c>
      <c r="EB698">
        <f>IF($DM698=0,"",IF($L$18=0,"",IFERROR(IF(UPPER(TRIM(SUBSTITUTE(SUBSTITUTE(SUBSTITUTE(SUBSTITUTE(INDEX(PASTE_ALL,$DF698,$L$18)," "," "),CHAR(9)," "),CHAR(10)," "),CHAR(13)," ")))="READY","Ready",IF(UPPER(TRIM(SUBSTITUTE(SUBSTITUTE(SUBSTITUTE(SUBSTITUTE(INDEX(PASTE_ALL,$DF698,$L$18)," "," "),CHAR(9)," "),CHAR(10)," "),CHAR(13)," ")))="PM","PM",IF(OR(UPPER(TRIM(SUBSTITUTE(SUBSTITUTE(SUBSTITUTE(SUBSTITUTE(INDEX(PASTE_ALL,$DF698,$L$18)," "," "),CHAR(9)," "),CHAR(10)," "),CHAR(13)," ")))="OT",UPPER(TRIM(SUBSTITUTE(SUBSTITUTE(SUBSTITUTE(SUBSTITUTE(INDEX(PASTE_ALL,$DF698,$L$18)," "," "),CHAR(9)," "),CHAR(10)," "),CHAR(13)," ")))="OVERTIME",UPPER(TRIM(SUBSTITUTE(SUBSTITUTE(SUBSTITUTE(SUBSTITUTE(INDEX(PASTE_ALL,$DF698,$L$18)," "," "),CHAR(9)," "),CHAR(10)," "),CHAR(13)," ")))="TRIAL"),"OT",TRIM(SUBSTITUTE(SUBSTITUTE(SUBSTITUTE(SUBSTITUTE(INDEX(PASTE_ALL,$DF698,$L$18)," "," "),CHAR(9)," "),CHAR(10)," "),CHAR(13)," "))))),"")))</f>
        <v/>
      </c>
      <c r="EC698">
        <f>IF($DM698=0,"",IF($L$19=0,"",IFERROR(IF(ISNUMBER(INDEX(PASTE_ALL,$DF698,$L$19)),INDEX(PASTE_ALL,$DF698,$L$19),TRIM(SUBSTITUTE(SUBSTITUTE(SUBSTITUTE(SUBSTITUTE(INDEX(PASTE_ALL,$DF698,$L$19)," "," "),CHAR(9)," "),CHAR(10)," "),CHAR(13)," "))),"")))</f>
        <v/>
      </c>
      <c r="ED698">
        <f>IF($DM698=0,"",MATCH(1,INDEX(EXACT($DH$5:DH698,$DH698)*$DM$5:DM698,0),0))</f>
        <v/>
      </c>
      <c r="EE698">
        <f>IF($DM698=0,0,IF($ED698=$DE698,1,0))</f>
        <v/>
      </c>
      <c r="EF698">
        <f>EF697+$EE698</f>
        <v/>
      </c>
      <c r="EG698">
        <f>IF($DM698=0,"",INDEX($EF$5:$EF$1003,$ED698))</f>
        <v/>
      </c>
      <c r="EH698">
        <f>IF($DM698=0,"",IF($DO698&lt;&gt;"","",IFERROR(LOOKUP(2,1/(($EG$4:EG697=$EG698)*($DO$4:DO697&lt;&gt;"")),$DO$4:DO697),"")))</f>
        <v/>
      </c>
      <c r="EI698">
        <f>IF($DM698=0,"",IF($DO698&lt;&gt;"",$DO698,$EH698))</f>
        <v/>
      </c>
      <c r="EJ698">
        <f>IF($DM698=0,"",IF($EI698="",0,IF(OR(ISNUMBER($EI698),AND(AND(SUBSTITUTE(SUBSTITUTE(SUBSTITUTE(SUBSTITUTE(SUBSTITUTE(SUBSTITUTE(SUBSTITUTE(SUBSTITUTE(SUBSTITUTE(SUBSTITUTE(SUBSTITUTE(SUBSTITUTE(SUBSTITUTE(SUBSTITUTE(UPPER($EI698),"0",""),"1",""),"2",""),"3",""),"4",""),"5",""),"6",""),"7",""),"8",""),"9",""),".",""),"+",""),"-",""),"E","")="",LEN(SUBSTITUTE(SUBSTITUTE(MID(UPPER($EI698),1+OR(LEFT(UPPER($EI698),1)="+",LEFT(UPPER($EI698),1)="-"),999),"E+","E"),"E-","E"))=LEN(SUBSTITUTE(SUBSTITUTE(SUBSTITUTE(SUBSTITUTE(MID(UPPER($EI698),1+OR(LEFT(UPPER($EI698),1)="+",LEFT(UPPER($EI698),1)="-"),999),"E+","E"),"E-","E"),"+",""),"-","")),LEN(UPPER($EI698))-LEN(SUBSTITUTE(UPPER($EI698),"E",""))&lt;2,LEN(UPPER($EI698))-LEN(SUBSTITUTE(UPPER($EI698),".",""))&lt;2,IFERROR(FIND(".",UPPER($EI698)),0)&lt;IFERROR(FIND("E",UPPER($EI698)),999)),ISNUMBER(VALUE($EI698)))),1,2)))</f>
        <v/>
      </c>
      <c r="EK698">
        <f>IF($DM698=0,"",IF($EJ698=1,IF(ISNUMBER($EI698),$EI698,VALUE($EI698)),IF($EJ698=2,$DE698,0)))</f>
        <v/>
      </c>
      <c r="EL698">
        <f>IF($DM698=0,"",COUNTIF($EG$5:$EG$1003,"&lt;"&amp;$EG698)+SUMPRODUCT(($EG$5:$EG$1003=$EG698)*(($EJ$5:$EJ$1003&lt;$EJ698)+($EJ$5:$EJ$1003=$EJ698)*(($EK$5:$EK$1003&lt;$EK698)+($EK$5:$EK$1003=$EK698)*($DE$5:$DE$1003&lt;$DE698))))+1)</f>
        <v/>
      </c>
      <c r="EM698">
        <f>IF($DM698=0,"",$EL698+$EG698-1)</f>
        <v/>
      </c>
      <c r="EN698">
        <f>IF($DM698=0,0,IFERROR(MATCH(1,INDEX(--(TRIM(SUBSTITUTE(SUBSTITUTE(SUBSTITUTE(SUBSTITUTE(LINES_NAME&amp;""," "," "),CHAR(9)," "),CHAR(10)," "),CHAR(13)," "))=$DH698),0),0),0))</f>
        <v/>
      </c>
      <c r="EO698">
        <f>IF($EN698=0,0,IF(OR(UPPER(TRIM(INDEX(LINES_SCHEDULED,$EN698)&amp;""))="YES",UPPER(TRIM(INDEX(LINES_SCHEDULED,$EN698)&amp;""))="Y",UPPER(TRIM(INDEX(LINES_SCHEDULED,$EN698)&amp;""))="X"),1,0))</f>
        <v/>
      </c>
      <c r="EP698">
        <f>IF($DM698=0,"",IF(COUNTIFS($EG$5:$EG$1003,$EG698,$EB$5:$EB$1003,"Ready")&gt;0,"READY",IF(COUNTIFS($EG$5:$EG$1003,$EG698,$EB$5:$EB$1003,"PM")&gt;0,"PM",IF(COUNTIFS($EG$5:$EG$1003,$EG698,$EB$5:$EB$1003,"OT")&gt;0,"OT",""))))</f>
        <v/>
      </c>
      <c r="EQ698">
        <f>IF($EN698=0,"",UPPER(TRIM(INDEX(LINES_STATUS,$EN698)&amp;"")))</f>
        <v/>
      </c>
      <c r="ER698">
        <f>IF($DM698=0,"",IF(OR($EQ698="READY",$EQ698="PM",$EQ698="OT"),$EQ698,$EP698))</f>
        <v/>
      </c>
      <c r="ES698">
        <f>IF($DM698=0,"",IF(AND($DV698&lt;&gt;"",UPPER($DV698)&lt;&gt;"N"),"allergen",IF(ISNUMBER(SEARCH("oil",$DQ698)),"oil",IF(OR(EXACT($DS698,"A662"),EXACT($DS698,"A624")),"bulk",""))))</f>
        <v/>
      </c>
      <c r="ET698">
        <f>IF($DM698=0,"",IF(OR($EA698="",$EA698=0),"",$EA698/100))</f>
        <v/>
      </c>
      <c r="EU698">
        <f>IF(OR($ET698="",$DY698=""),"",INT($DY698*(1-$ET698)+0.5))</f>
        <v/>
      </c>
      <c r="EW698" t="n">
        <v>694</v>
      </c>
      <c r="EX698">
        <f>IFERROR(MATCH($EW698,$EM$5:$EM$1003,0),0)</f>
        <v/>
      </c>
      <c r="EY698">
        <f>IF($EW698&gt;$B$12,"",IF($EX698&gt;0,"row","spacer"))</f>
        <v/>
      </c>
      <c r="EZ698">
        <f>IF(AND($EY698="row",$EY697&lt;&gt;"row"),1,0)</f>
        <v/>
      </c>
      <c r="FA698">
        <f>IF(AND($EY698="row",$EY699&lt;&gt;"row"),1,0)</f>
        <v/>
      </c>
      <c r="FB698">
        <f>IF($EZ698=1,IFERROR(IF(ISNUMBER(INDEX(PASTE_ALL,INDEX($DF$5:$DF$1003,$EX698),$B$37)),INDEX(PASTE_ALL,INDEX($DF$5:$DF$1003,$EX698),$B$37),INDEX($DH$5:$DH$1003,$EX698)),INDEX($DH$5:$DH$1003,$EX698)),"")</f>
        <v/>
      </c>
      <c r="FC698">
        <f>IF($EY698="row",INDEX($ER$5:$ER$1003,$EX698),"")</f>
        <v/>
      </c>
      <c r="FD698">
        <f>IF($EY698="row",INDEX($DN$5:$DN$1003,$EX698),"")</f>
        <v/>
      </c>
      <c r="FE698">
        <f>IF($EY698="row",INDEX($DO$5:$DO$1003,$EX698),"")</f>
        <v/>
      </c>
      <c r="FF698">
        <f>IF($EY698="row",INDEX($DP$5:$DP$1003,$EX698),"")</f>
        <v/>
      </c>
      <c r="FG698">
        <f>IF($EY698="row",INDEX($DQ$5:$DQ$1003,$EX698),"")</f>
        <v/>
      </c>
      <c r="FH698">
        <f>IF($EY698="row",INDEX($DR$5:$DR$1003,$EX698),"")</f>
        <v/>
      </c>
      <c r="FI698">
        <f>IF($EY698="row",INDEX($DS$5:$DS$1003,$EX698),"")</f>
        <v/>
      </c>
      <c r="FJ698">
        <f>IF($EY698="row",INDEX($DT$5:$DT$1003,$EX698),"")</f>
        <v/>
      </c>
      <c r="FK698">
        <f>IF($EY698="row",INDEX($DU$5:$DU$1003,$EX698),"")</f>
        <v/>
      </c>
      <c r="FL698">
        <f>IF($EY698="row",INDEX($DV$5:$DV$1003,$EX698),"")</f>
        <v/>
      </c>
      <c r="FM698">
        <f>IF($EY698="row",INDEX($DW$5:$DW$1003,$EX698),"")</f>
        <v/>
      </c>
      <c r="FN698">
        <f>IF($EY698="row",INDEX($DY$5:$DY$1003,$EX698),"")</f>
        <v/>
      </c>
      <c r="FO698">
        <f>IF($EY698="row",INDEX($EA$5:$EA$1003,$EX698),"")</f>
        <v/>
      </c>
      <c r="FP698">
        <f>IF($EY698="row",INDEX($EC$5:$EC$1003,$EX698),"")</f>
        <v/>
      </c>
      <c r="FQ698">
        <f>IF($EY698="row",INDEX($ET$5:$ET$1003,$EX698),"")</f>
        <v/>
      </c>
      <c r="FR698">
        <f>IF($EY698="row",INDEX($EU$5:$EU$1003,$EX698),"")</f>
        <v/>
      </c>
      <c r="FS698">
        <f>IF(AND($EY698="row",$EY697="row"),IF(OR(INDEX($DT$5:$DT$1003,$EX697)="",INDEX($DT$5:$DT$1003,$EX698)=""),"",IF(NOT(EXACT(INDEX($DT$5:$DT$1003,$EX697),INDEX($DT$5:$DT$1003,$EX698))),"S4",IF(NOT(EXACT(INDEX($DS$5:$DS$1003,$EX697),INDEX($DS$5:$DS$1003,$EX698))),"S3",IF(NOT(EXACT(INDEX($DR$5:$DR$1003,$EX697),INDEX($DR$5:$DR$1003,$EX698))),"S1 Count Change","S1")))),"")</f>
        <v/>
      </c>
      <c r="FT698">
        <f>IF($EY698="row",INDEX($ES$5:$ES$1003,$EX698),"")</f>
        <v/>
      </c>
      <c r="FU698">
        <f>IF($EY698="row",INDEX($EO$5:$EO$1003,$EX698),0)</f>
        <v/>
      </c>
      <c r="FV698">
        <f>IF($FS698="S1 Count Change",1,0)</f>
        <v/>
      </c>
    </row>
    <row r="699">
      <c r="DA699" t="n">
        <v>695</v>
      </c>
      <c r="DB699">
        <f>IF($B$37=0,"",IFERROR(TRIM(SUBSTITUTE(SUBSTITUTE(SUBSTITUTE(SUBSTITUTE(INDEX(PASTE_ALL,695,$B$37)," "," "),CHAR(9)," "),CHAR(10)," "),CHAR(13)," ")),""))</f>
        <v/>
      </c>
      <c r="DC699">
        <f>IF(AND(695&gt;HEADER_ROW,UPPER(DB699)="LEGEND"),1,0)</f>
        <v/>
      </c>
      <c r="DE699" t="n">
        <v>695</v>
      </c>
      <c r="DF699">
        <f>HEADER_ROW+$DE699</f>
        <v/>
      </c>
      <c r="DG699">
        <f>IF(AND($DF699&lt;=1000,$DF699&lt;$B$8),1,0)</f>
        <v/>
      </c>
      <c r="DH699">
        <f>IF($DG699=1,IFERROR(INDEX($DB$5:$DB$1004,$DF699),""),"")</f>
        <v/>
      </c>
      <c r="DI699">
        <f>IF(AND($DG699=1,$DH699&lt;&gt;""),IFERROR(SUBSTITUTE(SUBSTITUTE(TRIM(SUBSTITUTE(SUBSTITUTE(SUBSTITUTE(SUBSTITUTE(IFERROR(INDEX(PASTE_ALL,$DF699,1)&amp;"","")&amp;"␟"&amp;IFERROR(INDEX(PASTE_ALL,$DF699,2)&amp;"","")&amp;"␟"&amp;IFERROR(INDEX(PASTE_ALL,$DF699,3)&amp;"","")&amp;"␟"&amp;IFERROR(INDEX(PASTE_ALL,$DF699,4)&amp;"","")&amp;"␟"&amp;IFERROR(INDEX(PASTE_ALL,$DF699,5)&amp;"","")&amp;"␟"&amp;IFERROR(INDEX(PASTE_ALL,$DF699,6)&amp;"","")&amp;"␟"&amp;IFERROR(INDEX(PASTE_ALL,$DF699,7)&amp;"","")&amp;"␟"&amp;IFERROR(INDEX(PASTE_ALL,$DF699,8)&amp;"","")&amp;"␟"&amp;IFERROR(INDEX(PASTE_ALL,$DF699,9)&amp;"","")&amp;"␟"&amp;IFERROR(INDEX(PASTE_ALL,$DF699,10)&amp;"","")&amp;"␟"&amp;IFERROR(INDEX(PASTE_ALL,$DF699,11)&amp;"","")&amp;"␟"&amp;IFERROR(INDEX(PASTE_ALL,$DF699,12)&amp;"","")&amp;"␟"&amp;IFERROR(INDEX(PASTE_ALL,$DF699,13)&amp;"","")&amp;"␟"&amp;IFERROR(INDEX(PASTE_ALL,$DF699,14)&amp;"","")&amp;"␟"&amp;IFERROR(INDEX(PASTE_ALL,$DF699,15)&amp;"","")&amp;"␟"&amp;IFERROR(INDEX(PASTE_ALL,$DF699,16)&amp;"","")&amp;"␟"&amp;IFERROR(INDEX(PASTE_ALL,$DF699,17)&amp;"","")&amp;"␟"&amp;IFERROR(INDEX(PASTE_ALL,$DF699,18)&amp;"","")&amp;"␟"&amp;IFERROR(INDEX(PASTE_ALL,$DF699,19)&amp;"","")&amp;"␟"&amp;IFERROR(INDEX(PASTE_ALL,$DF699,20)&amp;"","")&amp;"␟"&amp;IFERROR(INDEX(PASTE_ALL,$DF699,21)&amp;"","")&amp;"␟"&amp;IFERROR(INDEX(PASTE_ALL,$DF699,22)&amp;"","")&amp;"␟"&amp;IFERROR(INDEX(PASTE_ALL,$DF699,23)&amp;"","")&amp;"␟"&amp;IFERROR(INDEX(PASTE_ALL,$DF699,24)&amp;"","")&amp;"␟"&amp;IFERROR(INDEX(PASTE_ALL,$DF699,25)&amp;"","")&amp;"␟"&amp;IFERROR(INDEX(PASTE_ALL,$DF699,26)&amp;"","")&amp;"␟"&amp;IFERROR(INDEX(PASTE_ALL,$DF699,27)&amp;"","")&amp;"␟"&amp;IFERROR(INDEX(PASTE_ALL,$DF699,28)&amp;"","")&amp;"␟"&amp;IFERROR(INDEX(PASTE_ALL,$DF699,29)&amp;"","")&amp;"␟"&amp;IFERROR(INDEX(PASTE_ALL,$DF699,30)&amp;"","")&amp;"␟"&amp;IFERROR(INDEX(PASTE_ALL,$DF699,31)&amp;"","")&amp;"␟"&amp;IFERROR(INDEX(PASTE_ALL,$DF699,32)&amp;"","")&amp;"␟"&amp;IFERROR(INDEX(PASTE_ALL,$DF699,33)&amp;"","")&amp;"␟"&amp;IFERROR(INDEX(PASTE_ALL,$DF699,34)&amp;"","")&amp;"␟"&amp;IFERROR(INDEX(PASTE_ALL,$DF699,35)&amp;"","")&amp;"␟"&amp;IFERROR(INDEX(PASTE_ALL,$DF699,36)&amp;"","")&amp;"␟"&amp;IFERROR(INDEX(PASTE_ALL,$DF699,37)&amp;"","")&amp;"␟"&amp;IFERROR(INDEX(PASTE_ALL,$DF699,38)&amp;"","")&amp;"␟"&amp;IFERROR(INDEX(PASTE_ALL,$DF699,39)&amp;"","")&amp;"␟"&amp;IFERROR(INDEX(PASTE_ALL,$DF699,40)&amp;"","")&amp;"␟"&amp;IFERROR(INDEX(PASTE_ALL,$DF699,41)&amp;"","")&amp;"␟"&amp;IFERROR(INDEX(PASTE_ALL,$DF699,42)&amp;"","")&amp;"␟"&amp;IFERROR(INDEX(PASTE_ALL,$DF699,43)&amp;"","")&amp;"␟"&amp;IFERROR(INDEX(PASTE_ALL,$DF699,44)&amp;"","")&amp;"␟"&amp;IFERROR(INDEX(PASTE_ALL,$DF699,45)&amp;"","")&amp;"␟"&amp;IFERROR(INDEX(PASTE_ALL,$DF699,46)&amp;"","")&amp;"␟"&amp;IFERROR(INDEX(PASTE_ALL,$DF699,47)&amp;"","")&amp;"␟"&amp;IFERROR(INDEX(PASTE_ALL,$DF699,48)&amp;"","")&amp;"␟"&amp;IFERROR(INDEX(PASTE_ALL,$DF699,49)&amp;"","")&amp;"␟"&amp;IFERROR(INDEX(PASTE_ALL,$DF699,50)&amp;"","")&amp;"␟"&amp;IFERROR(INDEX(PASTE_ALL,$DF699,51)&amp;"","")&amp;"␟"&amp;IFERROR(INDEX(PASTE_ALL,$DF699,52)&amp;"","")&amp;"␟"&amp;IFERROR(INDEX(PASTE_ALL,$DF699,53)&amp;"","")&amp;"␟"&amp;IFERROR(INDEX(PASTE_ALL,$DF699,54)&amp;"","")&amp;"␟"&amp;IFERROR(INDEX(PASTE_ALL,$DF699,55)&amp;"","")&amp;"␟"&amp;IFERROR(INDEX(PASTE_ALL,$DF699,56)&amp;"","")&amp;"␟"&amp;IFERROR(INDEX(PASTE_ALL,$DF699,57)&amp;"","")&amp;"␟"&amp;IFERROR(INDEX(PASTE_ALL,$DF699,58)&amp;"","")&amp;"␟"&amp;IFERROR(INDEX(PASTE_ALL,$DF699,59)&amp;"","")&amp;"␟"&amp;IFERROR(INDEX(PASTE_ALL,$DF699,60)&amp;"","")," "," "),CHAR(9)," "),CHAR(10)," "),CHAR(13)," "))," ␟","␟"),"␟ ","␟"),"#"&amp;$DE699),"")</f>
        <v/>
      </c>
      <c r="DJ699">
        <f>IF($DI699="",0,IF(SUMPRODUCT(--EXACT($DI$4:DI698,$DI699))&gt;0,1,0))</f>
        <v/>
      </c>
      <c r="DK699">
        <f>IF(AND($DI699&lt;&gt;"",$DJ699=0),1,0)</f>
        <v/>
      </c>
      <c r="DL699">
        <f>DL698+$DK699</f>
        <v/>
      </c>
      <c r="DM699">
        <f>IF(AND($DK699=1,$DL699&lt;=600),1,0)</f>
        <v/>
      </c>
      <c r="DN699">
        <f>IF($DM699=0,"",IF($L$6=0,"",IFERROR(IF(ISNUMBER(INDEX(PASTE_ALL,$DF699,$L$6)),INDEX(PASTE_ALL,$DF699,$L$6),TRIM(SUBSTITUTE(SUBSTITUTE(SUBSTITUTE(SUBSTITUTE(INDEX(PASTE_ALL,$DF699,$L$6)," "," "),CHAR(9)," "),CHAR(10)," "),CHAR(13)," "))),"")))</f>
        <v/>
      </c>
      <c r="DO699">
        <f>IF($DM699=0,"",IF($L$7=0,"",IFERROR(IF(ISNUMBER(INDEX(PASTE_ALL,$DF699,$L$7)),INDEX(PASTE_ALL,$DF699,$L$7),TRIM(SUBSTITUTE(SUBSTITUTE(SUBSTITUTE(SUBSTITUTE(INDEX(PASTE_ALL,$DF699,$L$7)," "," "),CHAR(9)," "),CHAR(10)," "),CHAR(13)," "))),"")))</f>
        <v/>
      </c>
      <c r="DP699">
        <f>IF($DM699=0,"",IF($L$8=0,"",IFERROR(IF(ISNUMBER(INDEX(PASTE_ALL,$DF699,$L$8)),INDEX(PASTE_ALL,$DF699,$L$8),TRIM(SUBSTITUTE(SUBSTITUTE(SUBSTITUTE(SUBSTITUTE(INDEX(PASTE_ALL,$DF699,$L$8)," "," "),CHAR(9)," "),CHAR(10)," "),CHAR(13)," "))),"")))</f>
        <v/>
      </c>
      <c r="DQ699">
        <f>IF($DM699=0,"",IF($L$9=0,"",IFERROR(IF(ISNUMBER(INDEX(PASTE_ALL,$DF699,$L$9)),INDEX(PASTE_ALL,$DF699,$L$9),TRIM(SUBSTITUTE(SUBSTITUTE(SUBSTITUTE(SUBSTITUTE(INDEX(PASTE_ALL,$DF699,$L$9)," "," "),CHAR(9)," "),CHAR(10)," "),CHAR(13)," "))),"")))</f>
        <v/>
      </c>
      <c r="DR699">
        <f>IF($DM699=0,"",IF($L$10=0,"",IFERROR(IF(ISNUMBER(INDEX(PASTE_ALL,$DF699,$L$10)),INDEX(PASTE_ALL,$DF699,$L$10),TRIM(SUBSTITUTE(SUBSTITUTE(SUBSTITUTE(SUBSTITUTE(INDEX(PASTE_ALL,$DF699,$L$10)," "," "),CHAR(9)," "),CHAR(10)," "),CHAR(13)," "))),"")))</f>
        <v/>
      </c>
      <c r="DS699">
        <f>IF($DM699=0,"",IF($L$11=0,"",IFERROR(IF(ISNUMBER(INDEX(PASTE_ALL,$DF699,$L$11)),INDEX(PASTE_ALL,$DF699,$L$11),TRIM(SUBSTITUTE(SUBSTITUTE(SUBSTITUTE(SUBSTITUTE(INDEX(PASTE_ALL,$DF699,$L$11)," "," "),CHAR(9)," "),CHAR(10)," "),CHAR(13)," "))),"")))</f>
        <v/>
      </c>
      <c r="DT699">
        <f>IF($DM699=0,"",IF($L$12=0,"",IFERROR(IF(ISNUMBER(INDEX(PASTE_ALL,$DF699,$L$12)),INDEX(PASTE_ALL,$DF699,$L$12),TRIM(SUBSTITUTE(SUBSTITUTE(SUBSTITUTE(SUBSTITUTE(INDEX(PASTE_ALL,$DF699,$L$12)," "," "),CHAR(9)," "),CHAR(10)," "),CHAR(13)," "))),"")))</f>
        <v/>
      </c>
      <c r="DU699">
        <f>IF($DM699=0,"",IF($L$13=0,"",IFERROR(IF(ISNUMBER(INDEX(PASTE_ALL,$DF699,$L$13)),INDEX(PASTE_ALL,$DF699,$L$13),TRIM(SUBSTITUTE(SUBSTITUTE(SUBSTITUTE(SUBSTITUTE(INDEX(PASTE_ALL,$DF699,$L$13)," "," "),CHAR(9)," "),CHAR(10)," "),CHAR(13)," "))),"")))</f>
        <v/>
      </c>
      <c r="DV699">
        <f>IF($DM699=0,"",IF($L$14=0,"",IFERROR(IF(ISNUMBER(INDEX(PASTE_ALL,$DF699,$L$14)),INDEX(PASTE_ALL,$DF699,$L$14),TRIM(SUBSTITUTE(SUBSTITUTE(SUBSTITUTE(SUBSTITUTE(INDEX(PASTE_ALL,$DF699,$L$14)," "," "),CHAR(9)," "),CHAR(10)," "),CHAR(13)," "))),"")))</f>
        <v/>
      </c>
      <c r="DW699">
        <f>IF($DM699=0,"",IF($L$15=0,"",IFERROR(IF(ISNUMBER(INDEX(PASTE_ALL,$DF699,$L$15)),INDEX(PASTE_ALL,$DF699,$L$15),IF(SUMPRODUCT(--ISNUMBER(FIND({"A","B","C","D","E","F","G","H","I","J","K","L","M","N","O","P","Q","R","S","T","U","V","W","X","Y","Z","0","1","2","3","4","5","6","7","8","9"},UPPER(TRIM(SUBSTITUTE(SUBSTITUTE(SUBSTITUTE(SUBSTITUTE(INDEX(PASTE_ALL,$DF699,$L$15)," "," "),CHAR(9)," "),CHAR(10)," "),CHAR(13)," "))))))&gt;0,TRIM(SUBSTITUTE(SUBSTITUTE(SUBSTITUTE(SUBSTITUTE(INDEX(PASTE_ALL,$DF699,$L$15)," "," "),CHAR(9)," "),CHAR(10)," "),CHAR(13)," ")),"")),"")))</f>
        <v/>
      </c>
      <c r="DX699">
        <f>IF($DM699=0,"",IF($L$16=0,"",IFERROR(IF(ISNUMBER(INDEX(PASTE_ALL,$DF699,$L$16)),INDEX(PASTE_ALL,$DF699,$L$16),SUBSTITUTE(SUBSTITUTE(TRIM(SUBSTITUTE(SUBSTITUTE(SUBSTITUTE(SUBSTITUTE(INDEX(PASTE_ALL,$DF699,$L$16)," "," "),CHAR(9)," "),CHAR(10)," "),CHAR(13)," ")),",",""),"%","")),"")))</f>
        <v/>
      </c>
      <c r="DY699">
        <f>IF($DM699=0,"",IFERROR(IF(ISNUMBER($DX699),$DX699,IF($DX699="","",IF(TRIM($DX699)="",0,IF(AND(AND(SUBSTITUTE(SUBSTITUTE(SUBSTITUTE(SUBSTITUTE(SUBSTITUTE(SUBSTITUTE(SUBSTITUTE(SUBSTITUTE(SUBSTITUTE(SUBSTITUTE(SUBSTITUTE(SUBSTITUTE(SUBSTITUTE(SUBSTITUTE(UPPER(TRIM($DX699)),"0",""),"1",""),"2",""),"3",""),"4",""),"5",""),"6",""),"7",""),"8",""),"9",""),".",""),"+",""),"-",""),"E","")="",LEN(SUBSTITUTE(SUBSTITUTE(MID(UPPER(TRIM($DX699)),1+OR(LEFT(UPPER(TRIM($DX699)),1)="+",LEFT(UPPER(TRIM($DX699)),1)="-"),999),"E+","E"),"E-","E"))=LEN(SUBSTITUTE(SUBSTITUTE(SUBSTITUTE(SUBSTITUTE(MID(UPPER(TRIM($DX699)),1+OR(LEFT(UPPER(TRIM($DX699)),1)="+",LEFT(UPPER(TRIM($DX699)),1)="-"),999),"E+","E"),"E-","E"),"+",""),"-","")),LEN(UPPER(TRIM($DX699)))-LEN(SUBSTITUTE(UPPER(TRIM($DX699)),"E",""))&lt;2,LEN(UPPER(TRIM($DX699)))-LEN(SUBSTITUTE(UPPER(TRIM($DX699)),".",""))&lt;2,IFERROR(FIND(".",UPPER(TRIM($DX699))),0)&lt;IFERROR(FIND("E",UPPER(TRIM($DX699))),999)),ISNUMBER(VALUE(TRIM($DX699)))),VALUE(TRIM($DX699)),"")))),""))</f>
        <v/>
      </c>
      <c r="DZ699">
        <f>IF($DM699=0,"",IF($L$17=0,"",IFERROR(IF(ISNUMBER(INDEX(PASTE_ALL,$DF699,$L$17)),INDEX(PASTE_ALL,$DF699,$L$17),SUBSTITUTE(SUBSTITUTE(TRIM(SUBSTITUTE(SUBSTITUTE(SUBSTITUTE(SUBSTITUTE(INDEX(PASTE_ALL,$DF699,$L$17)," "," "),CHAR(9)," "),CHAR(10)," "),CHAR(13)," ")),",",""),"%","")),"")))</f>
        <v/>
      </c>
      <c r="EA699">
        <f>IF($DM699=0,"",IFERROR(IF(ISNUMBER($DZ699),$DZ699,IF($DZ699="","",IF(TRIM($DZ699)="",0,IF(AND(AND(SUBSTITUTE(SUBSTITUTE(SUBSTITUTE(SUBSTITUTE(SUBSTITUTE(SUBSTITUTE(SUBSTITUTE(SUBSTITUTE(SUBSTITUTE(SUBSTITUTE(SUBSTITUTE(SUBSTITUTE(SUBSTITUTE(SUBSTITUTE(UPPER(TRIM($DZ699)),"0",""),"1",""),"2",""),"3",""),"4",""),"5",""),"6",""),"7",""),"8",""),"9",""),".",""),"+",""),"-",""),"E","")="",LEN(SUBSTITUTE(SUBSTITUTE(MID(UPPER(TRIM($DZ699)),1+OR(LEFT(UPPER(TRIM($DZ699)),1)="+",LEFT(UPPER(TRIM($DZ699)),1)="-"),999),"E+","E"),"E-","E"))=LEN(SUBSTITUTE(SUBSTITUTE(SUBSTITUTE(SUBSTITUTE(MID(UPPER(TRIM($DZ699)),1+OR(LEFT(UPPER(TRIM($DZ699)),1)="+",LEFT(UPPER(TRIM($DZ699)),1)="-"),999),"E+","E"),"E-","E"),"+",""),"-","")),LEN(UPPER(TRIM($DZ699)))-LEN(SUBSTITUTE(UPPER(TRIM($DZ699)),"E",""))&lt;2,LEN(UPPER(TRIM($DZ699)))-LEN(SUBSTITUTE(UPPER(TRIM($DZ699)),".",""))&lt;2,IFERROR(FIND(".",UPPER(TRIM($DZ699))),0)&lt;IFERROR(FIND("E",UPPER(TRIM($DZ699))),999)),ISNUMBER(VALUE(TRIM($DZ699)))),VALUE(TRIM($DZ699)),"")))),""))</f>
        <v/>
      </c>
      <c r="EB699">
        <f>IF($DM699=0,"",IF($L$18=0,"",IFERROR(IF(UPPER(TRIM(SUBSTITUTE(SUBSTITUTE(SUBSTITUTE(SUBSTITUTE(INDEX(PASTE_ALL,$DF699,$L$18)," "," "),CHAR(9)," "),CHAR(10)," "),CHAR(13)," ")))="READY","Ready",IF(UPPER(TRIM(SUBSTITUTE(SUBSTITUTE(SUBSTITUTE(SUBSTITUTE(INDEX(PASTE_ALL,$DF699,$L$18)," "," "),CHAR(9)," "),CHAR(10)," "),CHAR(13)," ")))="PM","PM",IF(OR(UPPER(TRIM(SUBSTITUTE(SUBSTITUTE(SUBSTITUTE(SUBSTITUTE(INDEX(PASTE_ALL,$DF699,$L$18)," "," "),CHAR(9)," "),CHAR(10)," "),CHAR(13)," ")))="OT",UPPER(TRIM(SUBSTITUTE(SUBSTITUTE(SUBSTITUTE(SUBSTITUTE(INDEX(PASTE_ALL,$DF699,$L$18)," "," "),CHAR(9)," "),CHAR(10)," "),CHAR(13)," ")))="OVERTIME",UPPER(TRIM(SUBSTITUTE(SUBSTITUTE(SUBSTITUTE(SUBSTITUTE(INDEX(PASTE_ALL,$DF699,$L$18)," "," "),CHAR(9)," "),CHAR(10)," "),CHAR(13)," ")))="TRIAL"),"OT",TRIM(SUBSTITUTE(SUBSTITUTE(SUBSTITUTE(SUBSTITUTE(INDEX(PASTE_ALL,$DF699,$L$18)," "," "),CHAR(9)," "),CHAR(10)," "),CHAR(13)," "))))),"")))</f>
        <v/>
      </c>
      <c r="EC699">
        <f>IF($DM699=0,"",IF($L$19=0,"",IFERROR(IF(ISNUMBER(INDEX(PASTE_ALL,$DF699,$L$19)),INDEX(PASTE_ALL,$DF699,$L$19),TRIM(SUBSTITUTE(SUBSTITUTE(SUBSTITUTE(SUBSTITUTE(INDEX(PASTE_ALL,$DF699,$L$19)," "," "),CHAR(9)," "),CHAR(10)," "),CHAR(13)," "))),"")))</f>
        <v/>
      </c>
      <c r="ED699">
        <f>IF($DM699=0,"",MATCH(1,INDEX(EXACT($DH$5:DH699,$DH699)*$DM$5:DM699,0),0))</f>
        <v/>
      </c>
      <c r="EE699">
        <f>IF($DM699=0,0,IF($ED699=$DE699,1,0))</f>
        <v/>
      </c>
      <c r="EF699">
        <f>EF698+$EE699</f>
        <v/>
      </c>
      <c r="EG699">
        <f>IF($DM699=0,"",INDEX($EF$5:$EF$1003,$ED699))</f>
        <v/>
      </c>
      <c r="EH699">
        <f>IF($DM699=0,"",IF($DO699&lt;&gt;"","",IFERROR(LOOKUP(2,1/(($EG$4:EG698=$EG699)*($DO$4:DO698&lt;&gt;"")),$DO$4:DO698),"")))</f>
        <v/>
      </c>
      <c r="EI699">
        <f>IF($DM699=0,"",IF($DO699&lt;&gt;"",$DO699,$EH699))</f>
        <v/>
      </c>
      <c r="EJ699">
        <f>IF($DM699=0,"",IF($EI699="",0,IF(OR(ISNUMBER($EI699),AND(AND(SUBSTITUTE(SUBSTITUTE(SUBSTITUTE(SUBSTITUTE(SUBSTITUTE(SUBSTITUTE(SUBSTITUTE(SUBSTITUTE(SUBSTITUTE(SUBSTITUTE(SUBSTITUTE(SUBSTITUTE(SUBSTITUTE(SUBSTITUTE(UPPER($EI699),"0",""),"1",""),"2",""),"3",""),"4",""),"5",""),"6",""),"7",""),"8",""),"9",""),".",""),"+",""),"-",""),"E","")="",LEN(SUBSTITUTE(SUBSTITUTE(MID(UPPER($EI699),1+OR(LEFT(UPPER($EI699),1)="+",LEFT(UPPER($EI699),1)="-"),999),"E+","E"),"E-","E"))=LEN(SUBSTITUTE(SUBSTITUTE(SUBSTITUTE(SUBSTITUTE(MID(UPPER($EI699),1+OR(LEFT(UPPER($EI699),1)="+",LEFT(UPPER($EI699),1)="-"),999),"E+","E"),"E-","E"),"+",""),"-","")),LEN(UPPER($EI699))-LEN(SUBSTITUTE(UPPER($EI699),"E",""))&lt;2,LEN(UPPER($EI699))-LEN(SUBSTITUTE(UPPER($EI699),".",""))&lt;2,IFERROR(FIND(".",UPPER($EI699)),0)&lt;IFERROR(FIND("E",UPPER($EI699)),999)),ISNUMBER(VALUE($EI699)))),1,2)))</f>
        <v/>
      </c>
      <c r="EK699">
        <f>IF($DM699=0,"",IF($EJ699=1,IF(ISNUMBER($EI699),$EI699,VALUE($EI699)),IF($EJ699=2,$DE699,0)))</f>
        <v/>
      </c>
      <c r="EL699">
        <f>IF($DM699=0,"",COUNTIF($EG$5:$EG$1003,"&lt;"&amp;$EG699)+SUMPRODUCT(($EG$5:$EG$1003=$EG699)*(($EJ$5:$EJ$1003&lt;$EJ699)+($EJ$5:$EJ$1003=$EJ699)*(($EK$5:$EK$1003&lt;$EK699)+($EK$5:$EK$1003=$EK699)*($DE$5:$DE$1003&lt;$DE699))))+1)</f>
        <v/>
      </c>
      <c r="EM699">
        <f>IF($DM699=0,"",$EL699+$EG699-1)</f>
        <v/>
      </c>
      <c r="EN699">
        <f>IF($DM699=0,0,IFERROR(MATCH(1,INDEX(--(TRIM(SUBSTITUTE(SUBSTITUTE(SUBSTITUTE(SUBSTITUTE(LINES_NAME&amp;""," "," "),CHAR(9)," "),CHAR(10)," "),CHAR(13)," "))=$DH699),0),0),0))</f>
        <v/>
      </c>
      <c r="EO699">
        <f>IF($EN699=0,0,IF(OR(UPPER(TRIM(INDEX(LINES_SCHEDULED,$EN699)&amp;""))="YES",UPPER(TRIM(INDEX(LINES_SCHEDULED,$EN699)&amp;""))="Y",UPPER(TRIM(INDEX(LINES_SCHEDULED,$EN699)&amp;""))="X"),1,0))</f>
        <v/>
      </c>
      <c r="EP699">
        <f>IF($DM699=0,"",IF(COUNTIFS($EG$5:$EG$1003,$EG699,$EB$5:$EB$1003,"Ready")&gt;0,"READY",IF(COUNTIFS($EG$5:$EG$1003,$EG699,$EB$5:$EB$1003,"PM")&gt;0,"PM",IF(COUNTIFS($EG$5:$EG$1003,$EG699,$EB$5:$EB$1003,"OT")&gt;0,"OT",""))))</f>
        <v/>
      </c>
      <c r="EQ699">
        <f>IF($EN699=0,"",UPPER(TRIM(INDEX(LINES_STATUS,$EN699)&amp;"")))</f>
        <v/>
      </c>
      <c r="ER699">
        <f>IF($DM699=0,"",IF(OR($EQ699="READY",$EQ699="PM",$EQ699="OT"),$EQ699,$EP699))</f>
        <v/>
      </c>
      <c r="ES699">
        <f>IF($DM699=0,"",IF(AND($DV699&lt;&gt;"",UPPER($DV699)&lt;&gt;"N"),"allergen",IF(ISNUMBER(SEARCH("oil",$DQ699)),"oil",IF(OR(EXACT($DS699,"A662"),EXACT($DS699,"A624")),"bulk",""))))</f>
        <v/>
      </c>
      <c r="ET699">
        <f>IF($DM699=0,"",IF(OR($EA699="",$EA699=0),"",$EA699/100))</f>
        <v/>
      </c>
      <c r="EU699">
        <f>IF(OR($ET699="",$DY699=""),"",INT($DY699*(1-$ET699)+0.5))</f>
        <v/>
      </c>
      <c r="EW699" t="n">
        <v>695</v>
      </c>
      <c r="EX699">
        <f>IFERROR(MATCH($EW699,$EM$5:$EM$1003,0),0)</f>
        <v/>
      </c>
      <c r="EY699">
        <f>IF($EW699&gt;$B$12,"",IF($EX699&gt;0,"row","spacer"))</f>
        <v/>
      </c>
      <c r="EZ699">
        <f>IF(AND($EY699="row",$EY698&lt;&gt;"row"),1,0)</f>
        <v/>
      </c>
      <c r="FA699">
        <f>IF(AND($EY699="row",$EY700&lt;&gt;"row"),1,0)</f>
        <v/>
      </c>
      <c r="FB699">
        <f>IF($EZ699=1,IFERROR(IF(ISNUMBER(INDEX(PASTE_ALL,INDEX($DF$5:$DF$1003,$EX699),$B$37)),INDEX(PASTE_ALL,INDEX($DF$5:$DF$1003,$EX699),$B$37),INDEX($DH$5:$DH$1003,$EX699)),INDEX($DH$5:$DH$1003,$EX699)),"")</f>
        <v/>
      </c>
      <c r="FC699">
        <f>IF($EY699="row",INDEX($ER$5:$ER$1003,$EX699),"")</f>
        <v/>
      </c>
      <c r="FD699">
        <f>IF($EY699="row",INDEX($DN$5:$DN$1003,$EX699),"")</f>
        <v/>
      </c>
      <c r="FE699">
        <f>IF($EY699="row",INDEX($DO$5:$DO$1003,$EX699),"")</f>
        <v/>
      </c>
      <c r="FF699">
        <f>IF($EY699="row",INDEX($DP$5:$DP$1003,$EX699),"")</f>
        <v/>
      </c>
      <c r="FG699">
        <f>IF($EY699="row",INDEX($DQ$5:$DQ$1003,$EX699),"")</f>
        <v/>
      </c>
      <c r="FH699">
        <f>IF($EY699="row",INDEX($DR$5:$DR$1003,$EX699),"")</f>
        <v/>
      </c>
      <c r="FI699">
        <f>IF($EY699="row",INDEX($DS$5:$DS$1003,$EX699),"")</f>
        <v/>
      </c>
      <c r="FJ699">
        <f>IF($EY699="row",INDEX($DT$5:$DT$1003,$EX699),"")</f>
        <v/>
      </c>
      <c r="FK699">
        <f>IF($EY699="row",INDEX($DU$5:$DU$1003,$EX699),"")</f>
        <v/>
      </c>
      <c r="FL699">
        <f>IF($EY699="row",INDEX($DV$5:$DV$1003,$EX699),"")</f>
        <v/>
      </c>
      <c r="FM699">
        <f>IF($EY699="row",INDEX($DW$5:$DW$1003,$EX699),"")</f>
        <v/>
      </c>
      <c r="FN699">
        <f>IF($EY699="row",INDEX($DY$5:$DY$1003,$EX699),"")</f>
        <v/>
      </c>
      <c r="FO699">
        <f>IF($EY699="row",INDEX($EA$5:$EA$1003,$EX699),"")</f>
        <v/>
      </c>
      <c r="FP699">
        <f>IF($EY699="row",INDEX($EC$5:$EC$1003,$EX699),"")</f>
        <v/>
      </c>
      <c r="FQ699">
        <f>IF($EY699="row",INDEX($ET$5:$ET$1003,$EX699),"")</f>
        <v/>
      </c>
      <c r="FR699">
        <f>IF($EY699="row",INDEX($EU$5:$EU$1003,$EX699),"")</f>
        <v/>
      </c>
      <c r="FS699">
        <f>IF(AND($EY699="row",$EY698="row"),IF(OR(INDEX($DT$5:$DT$1003,$EX698)="",INDEX($DT$5:$DT$1003,$EX699)=""),"",IF(NOT(EXACT(INDEX($DT$5:$DT$1003,$EX698),INDEX($DT$5:$DT$1003,$EX699))),"S4",IF(NOT(EXACT(INDEX($DS$5:$DS$1003,$EX698),INDEX($DS$5:$DS$1003,$EX699))),"S3",IF(NOT(EXACT(INDEX($DR$5:$DR$1003,$EX698),INDEX($DR$5:$DR$1003,$EX699))),"S1 Count Change","S1")))),"")</f>
        <v/>
      </c>
      <c r="FT699">
        <f>IF($EY699="row",INDEX($ES$5:$ES$1003,$EX699),"")</f>
        <v/>
      </c>
      <c r="FU699">
        <f>IF($EY699="row",INDEX($EO$5:$EO$1003,$EX699),0)</f>
        <v/>
      </c>
      <c r="FV699">
        <f>IF($FS699="S1 Count Change",1,0)</f>
        <v/>
      </c>
    </row>
    <row r="700">
      <c r="DA700" t="n">
        <v>696</v>
      </c>
      <c r="DB700">
        <f>IF($B$37=0,"",IFERROR(TRIM(SUBSTITUTE(SUBSTITUTE(SUBSTITUTE(SUBSTITUTE(INDEX(PASTE_ALL,696,$B$37)," "," "),CHAR(9)," "),CHAR(10)," "),CHAR(13)," ")),""))</f>
        <v/>
      </c>
      <c r="DC700">
        <f>IF(AND(696&gt;HEADER_ROW,UPPER(DB700)="LEGEND"),1,0)</f>
        <v/>
      </c>
      <c r="DE700" t="n">
        <v>696</v>
      </c>
      <c r="DF700">
        <f>HEADER_ROW+$DE700</f>
        <v/>
      </c>
      <c r="DG700">
        <f>IF(AND($DF700&lt;=1000,$DF700&lt;$B$8),1,0)</f>
        <v/>
      </c>
      <c r="DH700">
        <f>IF($DG700=1,IFERROR(INDEX($DB$5:$DB$1004,$DF700),""),"")</f>
        <v/>
      </c>
      <c r="DI700">
        <f>IF(AND($DG700=1,$DH700&lt;&gt;""),IFERROR(SUBSTITUTE(SUBSTITUTE(TRIM(SUBSTITUTE(SUBSTITUTE(SUBSTITUTE(SUBSTITUTE(IFERROR(INDEX(PASTE_ALL,$DF700,1)&amp;"","")&amp;"␟"&amp;IFERROR(INDEX(PASTE_ALL,$DF700,2)&amp;"","")&amp;"␟"&amp;IFERROR(INDEX(PASTE_ALL,$DF700,3)&amp;"","")&amp;"␟"&amp;IFERROR(INDEX(PASTE_ALL,$DF700,4)&amp;"","")&amp;"␟"&amp;IFERROR(INDEX(PASTE_ALL,$DF700,5)&amp;"","")&amp;"␟"&amp;IFERROR(INDEX(PASTE_ALL,$DF700,6)&amp;"","")&amp;"␟"&amp;IFERROR(INDEX(PASTE_ALL,$DF700,7)&amp;"","")&amp;"␟"&amp;IFERROR(INDEX(PASTE_ALL,$DF700,8)&amp;"","")&amp;"␟"&amp;IFERROR(INDEX(PASTE_ALL,$DF700,9)&amp;"","")&amp;"␟"&amp;IFERROR(INDEX(PASTE_ALL,$DF700,10)&amp;"","")&amp;"␟"&amp;IFERROR(INDEX(PASTE_ALL,$DF700,11)&amp;"","")&amp;"␟"&amp;IFERROR(INDEX(PASTE_ALL,$DF700,12)&amp;"","")&amp;"␟"&amp;IFERROR(INDEX(PASTE_ALL,$DF700,13)&amp;"","")&amp;"␟"&amp;IFERROR(INDEX(PASTE_ALL,$DF700,14)&amp;"","")&amp;"␟"&amp;IFERROR(INDEX(PASTE_ALL,$DF700,15)&amp;"","")&amp;"␟"&amp;IFERROR(INDEX(PASTE_ALL,$DF700,16)&amp;"","")&amp;"␟"&amp;IFERROR(INDEX(PASTE_ALL,$DF700,17)&amp;"","")&amp;"␟"&amp;IFERROR(INDEX(PASTE_ALL,$DF700,18)&amp;"","")&amp;"␟"&amp;IFERROR(INDEX(PASTE_ALL,$DF700,19)&amp;"","")&amp;"␟"&amp;IFERROR(INDEX(PASTE_ALL,$DF700,20)&amp;"","")&amp;"␟"&amp;IFERROR(INDEX(PASTE_ALL,$DF700,21)&amp;"","")&amp;"␟"&amp;IFERROR(INDEX(PASTE_ALL,$DF700,22)&amp;"","")&amp;"␟"&amp;IFERROR(INDEX(PASTE_ALL,$DF700,23)&amp;"","")&amp;"␟"&amp;IFERROR(INDEX(PASTE_ALL,$DF700,24)&amp;"","")&amp;"␟"&amp;IFERROR(INDEX(PASTE_ALL,$DF700,25)&amp;"","")&amp;"␟"&amp;IFERROR(INDEX(PASTE_ALL,$DF700,26)&amp;"","")&amp;"␟"&amp;IFERROR(INDEX(PASTE_ALL,$DF700,27)&amp;"","")&amp;"␟"&amp;IFERROR(INDEX(PASTE_ALL,$DF700,28)&amp;"","")&amp;"␟"&amp;IFERROR(INDEX(PASTE_ALL,$DF700,29)&amp;"","")&amp;"␟"&amp;IFERROR(INDEX(PASTE_ALL,$DF700,30)&amp;"","")&amp;"␟"&amp;IFERROR(INDEX(PASTE_ALL,$DF700,31)&amp;"","")&amp;"␟"&amp;IFERROR(INDEX(PASTE_ALL,$DF700,32)&amp;"","")&amp;"␟"&amp;IFERROR(INDEX(PASTE_ALL,$DF700,33)&amp;"","")&amp;"␟"&amp;IFERROR(INDEX(PASTE_ALL,$DF700,34)&amp;"","")&amp;"␟"&amp;IFERROR(INDEX(PASTE_ALL,$DF700,35)&amp;"","")&amp;"␟"&amp;IFERROR(INDEX(PASTE_ALL,$DF700,36)&amp;"","")&amp;"␟"&amp;IFERROR(INDEX(PASTE_ALL,$DF700,37)&amp;"","")&amp;"␟"&amp;IFERROR(INDEX(PASTE_ALL,$DF700,38)&amp;"","")&amp;"␟"&amp;IFERROR(INDEX(PASTE_ALL,$DF700,39)&amp;"","")&amp;"␟"&amp;IFERROR(INDEX(PASTE_ALL,$DF700,40)&amp;"","")&amp;"␟"&amp;IFERROR(INDEX(PASTE_ALL,$DF700,41)&amp;"","")&amp;"␟"&amp;IFERROR(INDEX(PASTE_ALL,$DF700,42)&amp;"","")&amp;"␟"&amp;IFERROR(INDEX(PASTE_ALL,$DF700,43)&amp;"","")&amp;"␟"&amp;IFERROR(INDEX(PASTE_ALL,$DF700,44)&amp;"","")&amp;"␟"&amp;IFERROR(INDEX(PASTE_ALL,$DF700,45)&amp;"","")&amp;"␟"&amp;IFERROR(INDEX(PASTE_ALL,$DF700,46)&amp;"","")&amp;"␟"&amp;IFERROR(INDEX(PASTE_ALL,$DF700,47)&amp;"","")&amp;"␟"&amp;IFERROR(INDEX(PASTE_ALL,$DF700,48)&amp;"","")&amp;"␟"&amp;IFERROR(INDEX(PASTE_ALL,$DF700,49)&amp;"","")&amp;"␟"&amp;IFERROR(INDEX(PASTE_ALL,$DF700,50)&amp;"","")&amp;"␟"&amp;IFERROR(INDEX(PASTE_ALL,$DF700,51)&amp;"","")&amp;"␟"&amp;IFERROR(INDEX(PASTE_ALL,$DF700,52)&amp;"","")&amp;"␟"&amp;IFERROR(INDEX(PASTE_ALL,$DF700,53)&amp;"","")&amp;"␟"&amp;IFERROR(INDEX(PASTE_ALL,$DF700,54)&amp;"","")&amp;"␟"&amp;IFERROR(INDEX(PASTE_ALL,$DF700,55)&amp;"","")&amp;"␟"&amp;IFERROR(INDEX(PASTE_ALL,$DF700,56)&amp;"","")&amp;"␟"&amp;IFERROR(INDEX(PASTE_ALL,$DF700,57)&amp;"","")&amp;"␟"&amp;IFERROR(INDEX(PASTE_ALL,$DF700,58)&amp;"","")&amp;"␟"&amp;IFERROR(INDEX(PASTE_ALL,$DF700,59)&amp;"","")&amp;"␟"&amp;IFERROR(INDEX(PASTE_ALL,$DF700,60)&amp;"","")," "," "),CHAR(9)," "),CHAR(10)," "),CHAR(13)," "))," ␟","␟"),"␟ ","␟"),"#"&amp;$DE700),"")</f>
        <v/>
      </c>
      <c r="DJ700">
        <f>IF($DI700="",0,IF(SUMPRODUCT(--EXACT($DI$4:DI699,$DI700))&gt;0,1,0))</f>
        <v/>
      </c>
      <c r="DK700">
        <f>IF(AND($DI700&lt;&gt;"",$DJ700=0),1,0)</f>
        <v/>
      </c>
      <c r="DL700">
        <f>DL699+$DK700</f>
        <v/>
      </c>
      <c r="DM700">
        <f>IF(AND($DK700=1,$DL700&lt;=600),1,0)</f>
        <v/>
      </c>
      <c r="DN700">
        <f>IF($DM700=0,"",IF($L$6=0,"",IFERROR(IF(ISNUMBER(INDEX(PASTE_ALL,$DF700,$L$6)),INDEX(PASTE_ALL,$DF700,$L$6),TRIM(SUBSTITUTE(SUBSTITUTE(SUBSTITUTE(SUBSTITUTE(INDEX(PASTE_ALL,$DF700,$L$6)," "," "),CHAR(9)," "),CHAR(10)," "),CHAR(13)," "))),"")))</f>
        <v/>
      </c>
      <c r="DO700">
        <f>IF($DM700=0,"",IF($L$7=0,"",IFERROR(IF(ISNUMBER(INDEX(PASTE_ALL,$DF700,$L$7)),INDEX(PASTE_ALL,$DF700,$L$7),TRIM(SUBSTITUTE(SUBSTITUTE(SUBSTITUTE(SUBSTITUTE(INDEX(PASTE_ALL,$DF700,$L$7)," "," "),CHAR(9)," "),CHAR(10)," "),CHAR(13)," "))),"")))</f>
        <v/>
      </c>
      <c r="DP700">
        <f>IF($DM700=0,"",IF($L$8=0,"",IFERROR(IF(ISNUMBER(INDEX(PASTE_ALL,$DF700,$L$8)),INDEX(PASTE_ALL,$DF700,$L$8),TRIM(SUBSTITUTE(SUBSTITUTE(SUBSTITUTE(SUBSTITUTE(INDEX(PASTE_ALL,$DF700,$L$8)," "," "),CHAR(9)," "),CHAR(10)," "),CHAR(13)," "))),"")))</f>
        <v/>
      </c>
      <c r="DQ700">
        <f>IF($DM700=0,"",IF($L$9=0,"",IFERROR(IF(ISNUMBER(INDEX(PASTE_ALL,$DF700,$L$9)),INDEX(PASTE_ALL,$DF700,$L$9),TRIM(SUBSTITUTE(SUBSTITUTE(SUBSTITUTE(SUBSTITUTE(INDEX(PASTE_ALL,$DF700,$L$9)," "," "),CHAR(9)," "),CHAR(10)," "),CHAR(13)," "))),"")))</f>
        <v/>
      </c>
      <c r="DR700">
        <f>IF($DM700=0,"",IF($L$10=0,"",IFERROR(IF(ISNUMBER(INDEX(PASTE_ALL,$DF700,$L$10)),INDEX(PASTE_ALL,$DF700,$L$10),TRIM(SUBSTITUTE(SUBSTITUTE(SUBSTITUTE(SUBSTITUTE(INDEX(PASTE_ALL,$DF700,$L$10)," "," "),CHAR(9)," "),CHAR(10)," "),CHAR(13)," "))),"")))</f>
        <v/>
      </c>
      <c r="DS700">
        <f>IF($DM700=0,"",IF($L$11=0,"",IFERROR(IF(ISNUMBER(INDEX(PASTE_ALL,$DF700,$L$11)),INDEX(PASTE_ALL,$DF700,$L$11),TRIM(SUBSTITUTE(SUBSTITUTE(SUBSTITUTE(SUBSTITUTE(INDEX(PASTE_ALL,$DF700,$L$11)," "," "),CHAR(9)," "),CHAR(10)," "),CHAR(13)," "))),"")))</f>
        <v/>
      </c>
      <c r="DT700">
        <f>IF($DM700=0,"",IF($L$12=0,"",IFERROR(IF(ISNUMBER(INDEX(PASTE_ALL,$DF700,$L$12)),INDEX(PASTE_ALL,$DF700,$L$12),TRIM(SUBSTITUTE(SUBSTITUTE(SUBSTITUTE(SUBSTITUTE(INDEX(PASTE_ALL,$DF700,$L$12)," "," "),CHAR(9)," "),CHAR(10)," "),CHAR(13)," "))),"")))</f>
        <v/>
      </c>
      <c r="DU700">
        <f>IF($DM700=0,"",IF($L$13=0,"",IFERROR(IF(ISNUMBER(INDEX(PASTE_ALL,$DF700,$L$13)),INDEX(PASTE_ALL,$DF700,$L$13),TRIM(SUBSTITUTE(SUBSTITUTE(SUBSTITUTE(SUBSTITUTE(INDEX(PASTE_ALL,$DF700,$L$13)," "," "),CHAR(9)," "),CHAR(10)," "),CHAR(13)," "))),"")))</f>
        <v/>
      </c>
      <c r="DV700">
        <f>IF($DM700=0,"",IF($L$14=0,"",IFERROR(IF(ISNUMBER(INDEX(PASTE_ALL,$DF700,$L$14)),INDEX(PASTE_ALL,$DF700,$L$14),TRIM(SUBSTITUTE(SUBSTITUTE(SUBSTITUTE(SUBSTITUTE(INDEX(PASTE_ALL,$DF700,$L$14)," "," "),CHAR(9)," "),CHAR(10)," "),CHAR(13)," "))),"")))</f>
        <v/>
      </c>
      <c r="DW700">
        <f>IF($DM700=0,"",IF($L$15=0,"",IFERROR(IF(ISNUMBER(INDEX(PASTE_ALL,$DF700,$L$15)),INDEX(PASTE_ALL,$DF700,$L$15),IF(SUMPRODUCT(--ISNUMBER(FIND({"A","B","C","D","E","F","G","H","I","J","K","L","M","N","O","P","Q","R","S","T","U","V","W","X","Y","Z","0","1","2","3","4","5","6","7","8","9"},UPPER(TRIM(SUBSTITUTE(SUBSTITUTE(SUBSTITUTE(SUBSTITUTE(INDEX(PASTE_ALL,$DF700,$L$15)," "," "),CHAR(9)," "),CHAR(10)," "),CHAR(13)," "))))))&gt;0,TRIM(SUBSTITUTE(SUBSTITUTE(SUBSTITUTE(SUBSTITUTE(INDEX(PASTE_ALL,$DF700,$L$15)," "," "),CHAR(9)," "),CHAR(10)," "),CHAR(13)," ")),"")),"")))</f>
        <v/>
      </c>
      <c r="DX700">
        <f>IF($DM700=0,"",IF($L$16=0,"",IFERROR(IF(ISNUMBER(INDEX(PASTE_ALL,$DF700,$L$16)),INDEX(PASTE_ALL,$DF700,$L$16),SUBSTITUTE(SUBSTITUTE(TRIM(SUBSTITUTE(SUBSTITUTE(SUBSTITUTE(SUBSTITUTE(INDEX(PASTE_ALL,$DF700,$L$16)," "," "),CHAR(9)," "),CHAR(10)," "),CHAR(13)," ")),",",""),"%","")),"")))</f>
        <v/>
      </c>
      <c r="DY700">
        <f>IF($DM700=0,"",IFERROR(IF(ISNUMBER($DX700),$DX700,IF($DX700="","",IF(TRIM($DX700)="",0,IF(AND(AND(SUBSTITUTE(SUBSTITUTE(SUBSTITUTE(SUBSTITUTE(SUBSTITUTE(SUBSTITUTE(SUBSTITUTE(SUBSTITUTE(SUBSTITUTE(SUBSTITUTE(SUBSTITUTE(SUBSTITUTE(SUBSTITUTE(SUBSTITUTE(UPPER(TRIM($DX700)),"0",""),"1",""),"2",""),"3",""),"4",""),"5",""),"6",""),"7",""),"8",""),"9",""),".",""),"+",""),"-",""),"E","")="",LEN(SUBSTITUTE(SUBSTITUTE(MID(UPPER(TRIM($DX700)),1+OR(LEFT(UPPER(TRIM($DX700)),1)="+",LEFT(UPPER(TRIM($DX700)),1)="-"),999),"E+","E"),"E-","E"))=LEN(SUBSTITUTE(SUBSTITUTE(SUBSTITUTE(SUBSTITUTE(MID(UPPER(TRIM($DX700)),1+OR(LEFT(UPPER(TRIM($DX700)),1)="+",LEFT(UPPER(TRIM($DX700)),1)="-"),999),"E+","E"),"E-","E"),"+",""),"-","")),LEN(UPPER(TRIM($DX700)))-LEN(SUBSTITUTE(UPPER(TRIM($DX700)),"E",""))&lt;2,LEN(UPPER(TRIM($DX700)))-LEN(SUBSTITUTE(UPPER(TRIM($DX700)),".",""))&lt;2,IFERROR(FIND(".",UPPER(TRIM($DX700))),0)&lt;IFERROR(FIND("E",UPPER(TRIM($DX700))),999)),ISNUMBER(VALUE(TRIM($DX700)))),VALUE(TRIM($DX700)),"")))),""))</f>
        <v/>
      </c>
      <c r="DZ700">
        <f>IF($DM700=0,"",IF($L$17=0,"",IFERROR(IF(ISNUMBER(INDEX(PASTE_ALL,$DF700,$L$17)),INDEX(PASTE_ALL,$DF700,$L$17),SUBSTITUTE(SUBSTITUTE(TRIM(SUBSTITUTE(SUBSTITUTE(SUBSTITUTE(SUBSTITUTE(INDEX(PASTE_ALL,$DF700,$L$17)," "," "),CHAR(9)," "),CHAR(10)," "),CHAR(13)," ")),",",""),"%","")),"")))</f>
        <v/>
      </c>
      <c r="EA700">
        <f>IF($DM700=0,"",IFERROR(IF(ISNUMBER($DZ700),$DZ700,IF($DZ700="","",IF(TRIM($DZ700)="",0,IF(AND(AND(SUBSTITUTE(SUBSTITUTE(SUBSTITUTE(SUBSTITUTE(SUBSTITUTE(SUBSTITUTE(SUBSTITUTE(SUBSTITUTE(SUBSTITUTE(SUBSTITUTE(SUBSTITUTE(SUBSTITUTE(SUBSTITUTE(SUBSTITUTE(UPPER(TRIM($DZ700)),"0",""),"1",""),"2",""),"3",""),"4",""),"5",""),"6",""),"7",""),"8",""),"9",""),".",""),"+",""),"-",""),"E","")="",LEN(SUBSTITUTE(SUBSTITUTE(MID(UPPER(TRIM($DZ700)),1+OR(LEFT(UPPER(TRIM($DZ700)),1)="+",LEFT(UPPER(TRIM($DZ700)),1)="-"),999),"E+","E"),"E-","E"))=LEN(SUBSTITUTE(SUBSTITUTE(SUBSTITUTE(SUBSTITUTE(MID(UPPER(TRIM($DZ700)),1+OR(LEFT(UPPER(TRIM($DZ700)),1)="+",LEFT(UPPER(TRIM($DZ700)),1)="-"),999),"E+","E"),"E-","E"),"+",""),"-","")),LEN(UPPER(TRIM($DZ700)))-LEN(SUBSTITUTE(UPPER(TRIM($DZ700)),"E",""))&lt;2,LEN(UPPER(TRIM($DZ700)))-LEN(SUBSTITUTE(UPPER(TRIM($DZ700)),".",""))&lt;2,IFERROR(FIND(".",UPPER(TRIM($DZ700))),0)&lt;IFERROR(FIND("E",UPPER(TRIM($DZ700))),999)),ISNUMBER(VALUE(TRIM($DZ700)))),VALUE(TRIM($DZ700)),"")))),""))</f>
        <v/>
      </c>
      <c r="EB700">
        <f>IF($DM700=0,"",IF($L$18=0,"",IFERROR(IF(UPPER(TRIM(SUBSTITUTE(SUBSTITUTE(SUBSTITUTE(SUBSTITUTE(INDEX(PASTE_ALL,$DF700,$L$18)," "," "),CHAR(9)," "),CHAR(10)," "),CHAR(13)," ")))="READY","Ready",IF(UPPER(TRIM(SUBSTITUTE(SUBSTITUTE(SUBSTITUTE(SUBSTITUTE(INDEX(PASTE_ALL,$DF700,$L$18)," "," "),CHAR(9)," "),CHAR(10)," "),CHAR(13)," ")))="PM","PM",IF(OR(UPPER(TRIM(SUBSTITUTE(SUBSTITUTE(SUBSTITUTE(SUBSTITUTE(INDEX(PASTE_ALL,$DF700,$L$18)," "," "),CHAR(9)," "),CHAR(10)," "),CHAR(13)," ")))="OT",UPPER(TRIM(SUBSTITUTE(SUBSTITUTE(SUBSTITUTE(SUBSTITUTE(INDEX(PASTE_ALL,$DF700,$L$18)," "," "),CHAR(9)," "),CHAR(10)," "),CHAR(13)," ")))="OVERTIME",UPPER(TRIM(SUBSTITUTE(SUBSTITUTE(SUBSTITUTE(SUBSTITUTE(INDEX(PASTE_ALL,$DF700,$L$18)," "," "),CHAR(9)," "),CHAR(10)," "),CHAR(13)," ")))="TRIAL"),"OT",TRIM(SUBSTITUTE(SUBSTITUTE(SUBSTITUTE(SUBSTITUTE(INDEX(PASTE_ALL,$DF700,$L$18)," "," "),CHAR(9)," "),CHAR(10)," "),CHAR(13)," "))))),"")))</f>
        <v/>
      </c>
      <c r="EC700">
        <f>IF($DM700=0,"",IF($L$19=0,"",IFERROR(IF(ISNUMBER(INDEX(PASTE_ALL,$DF700,$L$19)),INDEX(PASTE_ALL,$DF700,$L$19),TRIM(SUBSTITUTE(SUBSTITUTE(SUBSTITUTE(SUBSTITUTE(INDEX(PASTE_ALL,$DF700,$L$19)," "," "),CHAR(9)," "),CHAR(10)," "),CHAR(13)," "))),"")))</f>
        <v/>
      </c>
      <c r="ED700">
        <f>IF($DM700=0,"",MATCH(1,INDEX(EXACT($DH$5:DH700,$DH700)*$DM$5:DM700,0),0))</f>
        <v/>
      </c>
      <c r="EE700">
        <f>IF($DM700=0,0,IF($ED700=$DE700,1,0))</f>
        <v/>
      </c>
      <c r="EF700">
        <f>EF699+$EE700</f>
        <v/>
      </c>
      <c r="EG700">
        <f>IF($DM700=0,"",INDEX($EF$5:$EF$1003,$ED700))</f>
        <v/>
      </c>
      <c r="EH700">
        <f>IF($DM700=0,"",IF($DO700&lt;&gt;"","",IFERROR(LOOKUP(2,1/(($EG$4:EG699=$EG700)*($DO$4:DO699&lt;&gt;"")),$DO$4:DO699),"")))</f>
        <v/>
      </c>
      <c r="EI700">
        <f>IF($DM700=0,"",IF($DO700&lt;&gt;"",$DO700,$EH700))</f>
        <v/>
      </c>
      <c r="EJ700">
        <f>IF($DM700=0,"",IF($EI700="",0,IF(OR(ISNUMBER($EI700),AND(AND(SUBSTITUTE(SUBSTITUTE(SUBSTITUTE(SUBSTITUTE(SUBSTITUTE(SUBSTITUTE(SUBSTITUTE(SUBSTITUTE(SUBSTITUTE(SUBSTITUTE(SUBSTITUTE(SUBSTITUTE(SUBSTITUTE(SUBSTITUTE(UPPER($EI700),"0",""),"1",""),"2",""),"3",""),"4",""),"5",""),"6",""),"7",""),"8",""),"9",""),".",""),"+",""),"-",""),"E","")="",LEN(SUBSTITUTE(SUBSTITUTE(MID(UPPER($EI700),1+OR(LEFT(UPPER($EI700),1)="+",LEFT(UPPER($EI700),1)="-"),999),"E+","E"),"E-","E"))=LEN(SUBSTITUTE(SUBSTITUTE(SUBSTITUTE(SUBSTITUTE(MID(UPPER($EI700),1+OR(LEFT(UPPER($EI700),1)="+",LEFT(UPPER($EI700),1)="-"),999),"E+","E"),"E-","E"),"+",""),"-","")),LEN(UPPER($EI700))-LEN(SUBSTITUTE(UPPER($EI700),"E",""))&lt;2,LEN(UPPER($EI700))-LEN(SUBSTITUTE(UPPER($EI700),".",""))&lt;2,IFERROR(FIND(".",UPPER($EI700)),0)&lt;IFERROR(FIND("E",UPPER($EI700)),999)),ISNUMBER(VALUE($EI700)))),1,2)))</f>
        <v/>
      </c>
      <c r="EK700">
        <f>IF($DM700=0,"",IF($EJ700=1,IF(ISNUMBER($EI700),$EI700,VALUE($EI700)),IF($EJ700=2,$DE700,0)))</f>
        <v/>
      </c>
      <c r="EL700">
        <f>IF($DM700=0,"",COUNTIF($EG$5:$EG$1003,"&lt;"&amp;$EG700)+SUMPRODUCT(($EG$5:$EG$1003=$EG700)*(($EJ$5:$EJ$1003&lt;$EJ700)+($EJ$5:$EJ$1003=$EJ700)*(($EK$5:$EK$1003&lt;$EK700)+($EK$5:$EK$1003=$EK700)*($DE$5:$DE$1003&lt;$DE700))))+1)</f>
        <v/>
      </c>
      <c r="EM700">
        <f>IF($DM700=0,"",$EL700+$EG700-1)</f>
        <v/>
      </c>
      <c r="EN700">
        <f>IF($DM700=0,0,IFERROR(MATCH(1,INDEX(--(TRIM(SUBSTITUTE(SUBSTITUTE(SUBSTITUTE(SUBSTITUTE(LINES_NAME&amp;""," "," "),CHAR(9)," "),CHAR(10)," "),CHAR(13)," "))=$DH700),0),0),0))</f>
        <v/>
      </c>
      <c r="EO700">
        <f>IF($EN700=0,0,IF(OR(UPPER(TRIM(INDEX(LINES_SCHEDULED,$EN700)&amp;""))="YES",UPPER(TRIM(INDEX(LINES_SCHEDULED,$EN700)&amp;""))="Y",UPPER(TRIM(INDEX(LINES_SCHEDULED,$EN700)&amp;""))="X"),1,0))</f>
        <v/>
      </c>
      <c r="EP700">
        <f>IF($DM700=0,"",IF(COUNTIFS($EG$5:$EG$1003,$EG700,$EB$5:$EB$1003,"Ready")&gt;0,"READY",IF(COUNTIFS($EG$5:$EG$1003,$EG700,$EB$5:$EB$1003,"PM")&gt;0,"PM",IF(COUNTIFS($EG$5:$EG$1003,$EG700,$EB$5:$EB$1003,"OT")&gt;0,"OT",""))))</f>
        <v/>
      </c>
      <c r="EQ700">
        <f>IF($EN700=0,"",UPPER(TRIM(INDEX(LINES_STATUS,$EN700)&amp;"")))</f>
        <v/>
      </c>
      <c r="ER700">
        <f>IF($DM700=0,"",IF(OR($EQ700="READY",$EQ700="PM",$EQ700="OT"),$EQ700,$EP700))</f>
        <v/>
      </c>
      <c r="ES700">
        <f>IF($DM700=0,"",IF(AND($DV700&lt;&gt;"",UPPER($DV700)&lt;&gt;"N"),"allergen",IF(ISNUMBER(SEARCH("oil",$DQ700)),"oil",IF(OR(EXACT($DS700,"A662"),EXACT($DS700,"A624")),"bulk",""))))</f>
        <v/>
      </c>
      <c r="ET700">
        <f>IF($DM700=0,"",IF(OR($EA700="",$EA700=0),"",$EA700/100))</f>
        <v/>
      </c>
      <c r="EU700">
        <f>IF(OR($ET700="",$DY700=""),"",INT($DY700*(1-$ET700)+0.5))</f>
        <v/>
      </c>
      <c r="EW700" t="n">
        <v>696</v>
      </c>
      <c r="EX700">
        <f>IFERROR(MATCH($EW700,$EM$5:$EM$1003,0),0)</f>
        <v/>
      </c>
      <c r="EY700">
        <f>IF($EW700&gt;$B$12,"",IF($EX700&gt;0,"row","spacer"))</f>
        <v/>
      </c>
      <c r="EZ700">
        <f>IF(AND($EY700="row",$EY699&lt;&gt;"row"),1,0)</f>
        <v/>
      </c>
      <c r="FA700">
        <f>IF(AND($EY700="row",$EY701&lt;&gt;"row"),1,0)</f>
        <v/>
      </c>
      <c r="FB700">
        <f>IF($EZ700=1,IFERROR(IF(ISNUMBER(INDEX(PASTE_ALL,INDEX($DF$5:$DF$1003,$EX700),$B$37)),INDEX(PASTE_ALL,INDEX($DF$5:$DF$1003,$EX700),$B$37),INDEX($DH$5:$DH$1003,$EX700)),INDEX($DH$5:$DH$1003,$EX700)),"")</f>
        <v/>
      </c>
      <c r="FC700">
        <f>IF($EY700="row",INDEX($ER$5:$ER$1003,$EX700),"")</f>
        <v/>
      </c>
      <c r="FD700">
        <f>IF($EY700="row",INDEX($DN$5:$DN$1003,$EX700),"")</f>
        <v/>
      </c>
      <c r="FE700">
        <f>IF($EY700="row",INDEX($DO$5:$DO$1003,$EX700),"")</f>
        <v/>
      </c>
      <c r="FF700">
        <f>IF($EY700="row",INDEX($DP$5:$DP$1003,$EX700),"")</f>
        <v/>
      </c>
      <c r="FG700">
        <f>IF($EY700="row",INDEX($DQ$5:$DQ$1003,$EX700),"")</f>
        <v/>
      </c>
      <c r="FH700">
        <f>IF($EY700="row",INDEX($DR$5:$DR$1003,$EX700),"")</f>
        <v/>
      </c>
      <c r="FI700">
        <f>IF($EY700="row",INDEX($DS$5:$DS$1003,$EX700),"")</f>
        <v/>
      </c>
      <c r="FJ700">
        <f>IF($EY700="row",INDEX($DT$5:$DT$1003,$EX700),"")</f>
        <v/>
      </c>
      <c r="FK700">
        <f>IF($EY700="row",INDEX($DU$5:$DU$1003,$EX700),"")</f>
        <v/>
      </c>
      <c r="FL700">
        <f>IF($EY700="row",INDEX($DV$5:$DV$1003,$EX700),"")</f>
        <v/>
      </c>
      <c r="FM700">
        <f>IF($EY700="row",INDEX($DW$5:$DW$1003,$EX700),"")</f>
        <v/>
      </c>
      <c r="FN700">
        <f>IF($EY700="row",INDEX($DY$5:$DY$1003,$EX700),"")</f>
        <v/>
      </c>
      <c r="FO700">
        <f>IF($EY700="row",INDEX($EA$5:$EA$1003,$EX700),"")</f>
        <v/>
      </c>
      <c r="FP700">
        <f>IF($EY700="row",INDEX($EC$5:$EC$1003,$EX700),"")</f>
        <v/>
      </c>
      <c r="FQ700">
        <f>IF($EY700="row",INDEX($ET$5:$ET$1003,$EX700),"")</f>
        <v/>
      </c>
      <c r="FR700">
        <f>IF($EY700="row",INDEX($EU$5:$EU$1003,$EX700),"")</f>
        <v/>
      </c>
      <c r="FS700">
        <f>IF(AND($EY700="row",$EY699="row"),IF(OR(INDEX($DT$5:$DT$1003,$EX699)="",INDEX($DT$5:$DT$1003,$EX700)=""),"",IF(NOT(EXACT(INDEX($DT$5:$DT$1003,$EX699),INDEX($DT$5:$DT$1003,$EX700))),"S4",IF(NOT(EXACT(INDEX($DS$5:$DS$1003,$EX699),INDEX($DS$5:$DS$1003,$EX700))),"S3",IF(NOT(EXACT(INDEX($DR$5:$DR$1003,$EX699),INDEX($DR$5:$DR$1003,$EX700))),"S1 Count Change","S1")))),"")</f>
        <v/>
      </c>
      <c r="FT700">
        <f>IF($EY700="row",INDEX($ES$5:$ES$1003,$EX700),"")</f>
        <v/>
      </c>
      <c r="FU700">
        <f>IF($EY700="row",INDEX($EO$5:$EO$1003,$EX700),0)</f>
        <v/>
      </c>
      <c r="FV700">
        <f>IF($FS700="S1 Count Change",1,0)</f>
        <v/>
      </c>
    </row>
    <row r="701">
      <c r="DA701" t="n">
        <v>697</v>
      </c>
      <c r="DB701">
        <f>IF($B$37=0,"",IFERROR(TRIM(SUBSTITUTE(SUBSTITUTE(SUBSTITUTE(SUBSTITUTE(INDEX(PASTE_ALL,697,$B$37)," "," "),CHAR(9)," "),CHAR(10)," "),CHAR(13)," ")),""))</f>
        <v/>
      </c>
      <c r="DC701">
        <f>IF(AND(697&gt;HEADER_ROW,UPPER(DB701)="LEGEND"),1,0)</f>
        <v/>
      </c>
      <c r="DE701" t="n">
        <v>697</v>
      </c>
      <c r="DF701">
        <f>HEADER_ROW+$DE701</f>
        <v/>
      </c>
      <c r="DG701">
        <f>IF(AND($DF701&lt;=1000,$DF701&lt;$B$8),1,0)</f>
        <v/>
      </c>
      <c r="DH701">
        <f>IF($DG701=1,IFERROR(INDEX($DB$5:$DB$1004,$DF701),""),"")</f>
        <v/>
      </c>
      <c r="DI701">
        <f>IF(AND($DG701=1,$DH701&lt;&gt;""),IFERROR(SUBSTITUTE(SUBSTITUTE(TRIM(SUBSTITUTE(SUBSTITUTE(SUBSTITUTE(SUBSTITUTE(IFERROR(INDEX(PASTE_ALL,$DF701,1)&amp;"","")&amp;"␟"&amp;IFERROR(INDEX(PASTE_ALL,$DF701,2)&amp;"","")&amp;"␟"&amp;IFERROR(INDEX(PASTE_ALL,$DF701,3)&amp;"","")&amp;"␟"&amp;IFERROR(INDEX(PASTE_ALL,$DF701,4)&amp;"","")&amp;"␟"&amp;IFERROR(INDEX(PASTE_ALL,$DF701,5)&amp;"","")&amp;"␟"&amp;IFERROR(INDEX(PASTE_ALL,$DF701,6)&amp;"","")&amp;"␟"&amp;IFERROR(INDEX(PASTE_ALL,$DF701,7)&amp;"","")&amp;"␟"&amp;IFERROR(INDEX(PASTE_ALL,$DF701,8)&amp;"","")&amp;"␟"&amp;IFERROR(INDEX(PASTE_ALL,$DF701,9)&amp;"","")&amp;"␟"&amp;IFERROR(INDEX(PASTE_ALL,$DF701,10)&amp;"","")&amp;"␟"&amp;IFERROR(INDEX(PASTE_ALL,$DF701,11)&amp;"","")&amp;"␟"&amp;IFERROR(INDEX(PASTE_ALL,$DF701,12)&amp;"","")&amp;"␟"&amp;IFERROR(INDEX(PASTE_ALL,$DF701,13)&amp;"","")&amp;"␟"&amp;IFERROR(INDEX(PASTE_ALL,$DF701,14)&amp;"","")&amp;"␟"&amp;IFERROR(INDEX(PASTE_ALL,$DF701,15)&amp;"","")&amp;"␟"&amp;IFERROR(INDEX(PASTE_ALL,$DF701,16)&amp;"","")&amp;"␟"&amp;IFERROR(INDEX(PASTE_ALL,$DF701,17)&amp;"","")&amp;"␟"&amp;IFERROR(INDEX(PASTE_ALL,$DF701,18)&amp;"","")&amp;"␟"&amp;IFERROR(INDEX(PASTE_ALL,$DF701,19)&amp;"","")&amp;"␟"&amp;IFERROR(INDEX(PASTE_ALL,$DF701,20)&amp;"","")&amp;"␟"&amp;IFERROR(INDEX(PASTE_ALL,$DF701,21)&amp;"","")&amp;"␟"&amp;IFERROR(INDEX(PASTE_ALL,$DF701,22)&amp;"","")&amp;"␟"&amp;IFERROR(INDEX(PASTE_ALL,$DF701,23)&amp;"","")&amp;"␟"&amp;IFERROR(INDEX(PASTE_ALL,$DF701,24)&amp;"","")&amp;"␟"&amp;IFERROR(INDEX(PASTE_ALL,$DF701,25)&amp;"","")&amp;"␟"&amp;IFERROR(INDEX(PASTE_ALL,$DF701,26)&amp;"","")&amp;"␟"&amp;IFERROR(INDEX(PASTE_ALL,$DF701,27)&amp;"","")&amp;"␟"&amp;IFERROR(INDEX(PASTE_ALL,$DF701,28)&amp;"","")&amp;"␟"&amp;IFERROR(INDEX(PASTE_ALL,$DF701,29)&amp;"","")&amp;"␟"&amp;IFERROR(INDEX(PASTE_ALL,$DF701,30)&amp;"","")&amp;"␟"&amp;IFERROR(INDEX(PASTE_ALL,$DF701,31)&amp;"","")&amp;"␟"&amp;IFERROR(INDEX(PASTE_ALL,$DF701,32)&amp;"","")&amp;"␟"&amp;IFERROR(INDEX(PASTE_ALL,$DF701,33)&amp;"","")&amp;"␟"&amp;IFERROR(INDEX(PASTE_ALL,$DF701,34)&amp;"","")&amp;"␟"&amp;IFERROR(INDEX(PASTE_ALL,$DF701,35)&amp;"","")&amp;"␟"&amp;IFERROR(INDEX(PASTE_ALL,$DF701,36)&amp;"","")&amp;"␟"&amp;IFERROR(INDEX(PASTE_ALL,$DF701,37)&amp;"","")&amp;"␟"&amp;IFERROR(INDEX(PASTE_ALL,$DF701,38)&amp;"","")&amp;"␟"&amp;IFERROR(INDEX(PASTE_ALL,$DF701,39)&amp;"","")&amp;"␟"&amp;IFERROR(INDEX(PASTE_ALL,$DF701,40)&amp;"","")&amp;"␟"&amp;IFERROR(INDEX(PASTE_ALL,$DF701,41)&amp;"","")&amp;"␟"&amp;IFERROR(INDEX(PASTE_ALL,$DF701,42)&amp;"","")&amp;"␟"&amp;IFERROR(INDEX(PASTE_ALL,$DF701,43)&amp;"","")&amp;"␟"&amp;IFERROR(INDEX(PASTE_ALL,$DF701,44)&amp;"","")&amp;"␟"&amp;IFERROR(INDEX(PASTE_ALL,$DF701,45)&amp;"","")&amp;"␟"&amp;IFERROR(INDEX(PASTE_ALL,$DF701,46)&amp;"","")&amp;"␟"&amp;IFERROR(INDEX(PASTE_ALL,$DF701,47)&amp;"","")&amp;"␟"&amp;IFERROR(INDEX(PASTE_ALL,$DF701,48)&amp;"","")&amp;"␟"&amp;IFERROR(INDEX(PASTE_ALL,$DF701,49)&amp;"","")&amp;"␟"&amp;IFERROR(INDEX(PASTE_ALL,$DF701,50)&amp;"","")&amp;"␟"&amp;IFERROR(INDEX(PASTE_ALL,$DF701,51)&amp;"","")&amp;"␟"&amp;IFERROR(INDEX(PASTE_ALL,$DF701,52)&amp;"","")&amp;"␟"&amp;IFERROR(INDEX(PASTE_ALL,$DF701,53)&amp;"","")&amp;"␟"&amp;IFERROR(INDEX(PASTE_ALL,$DF701,54)&amp;"","")&amp;"␟"&amp;IFERROR(INDEX(PASTE_ALL,$DF701,55)&amp;"","")&amp;"␟"&amp;IFERROR(INDEX(PASTE_ALL,$DF701,56)&amp;"","")&amp;"␟"&amp;IFERROR(INDEX(PASTE_ALL,$DF701,57)&amp;"","")&amp;"␟"&amp;IFERROR(INDEX(PASTE_ALL,$DF701,58)&amp;"","")&amp;"␟"&amp;IFERROR(INDEX(PASTE_ALL,$DF701,59)&amp;"","")&amp;"␟"&amp;IFERROR(INDEX(PASTE_ALL,$DF701,60)&amp;"","")," "," "),CHAR(9)," "),CHAR(10)," "),CHAR(13)," "))," ␟","␟"),"␟ ","␟"),"#"&amp;$DE701),"")</f>
        <v/>
      </c>
      <c r="DJ701">
        <f>IF($DI701="",0,IF(SUMPRODUCT(--EXACT($DI$4:DI700,$DI701))&gt;0,1,0))</f>
        <v/>
      </c>
      <c r="DK701">
        <f>IF(AND($DI701&lt;&gt;"",$DJ701=0),1,0)</f>
        <v/>
      </c>
      <c r="DL701">
        <f>DL700+$DK701</f>
        <v/>
      </c>
      <c r="DM701">
        <f>IF(AND($DK701=1,$DL701&lt;=600),1,0)</f>
        <v/>
      </c>
      <c r="DN701">
        <f>IF($DM701=0,"",IF($L$6=0,"",IFERROR(IF(ISNUMBER(INDEX(PASTE_ALL,$DF701,$L$6)),INDEX(PASTE_ALL,$DF701,$L$6),TRIM(SUBSTITUTE(SUBSTITUTE(SUBSTITUTE(SUBSTITUTE(INDEX(PASTE_ALL,$DF701,$L$6)," "," "),CHAR(9)," "),CHAR(10)," "),CHAR(13)," "))),"")))</f>
        <v/>
      </c>
      <c r="DO701">
        <f>IF($DM701=0,"",IF($L$7=0,"",IFERROR(IF(ISNUMBER(INDEX(PASTE_ALL,$DF701,$L$7)),INDEX(PASTE_ALL,$DF701,$L$7),TRIM(SUBSTITUTE(SUBSTITUTE(SUBSTITUTE(SUBSTITUTE(INDEX(PASTE_ALL,$DF701,$L$7)," "," "),CHAR(9)," "),CHAR(10)," "),CHAR(13)," "))),"")))</f>
        <v/>
      </c>
      <c r="DP701">
        <f>IF($DM701=0,"",IF($L$8=0,"",IFERROR(IF(ISNUMBER(INDEX(PASTE_ALL,$DF701,$L$8)),INDEX(PASTE_ALL,$DF701,$L$8),TRIM(SUBSTITUTE(SUBSTITUTE(SUBSTITUTE(SUBSTITUTE(INDEX(PASTE_ALL,$DF701,$L$8)," "," "),CHAR(9)," "),CHAR(10)," "),CHAR(13)," "))),"")))</f>
        <v/>
      </c>
      <c r="DQ701">
        <f>IF($DM701=0,"",IF($L$9=0,"",IFERROR(IF(ISNUMBER(INDEX(PASTE_ALL,$DF701,$L$9)),INDEX(PASTE_ALL,$DF701,$L$9),TRIM(SUBSTITUTE(SUBSTITUTE(SUBSTITUTE(SUBSTITUTE(INDEX(PASTE_ALL,$DF701,$L$9)," "," "),CHAR(9)," "),CHAR(10)," "),CHAR(13)," "))),"")))</f>
        <v/>
      </c>
      <c r="DR701">
        <f>IF($DM701=0,"",IF($L$10=0,"",IFERROR(IF(ISNUMBER(INDEX(PASTE_ALL,$DF701,$L$10)),INDEX(PASTE_ALL,$DF701,$L$10),TRIM(SUBSTITUTE(SUBSTITUTE(SUBSTITUTE(SUBSTITUTE(INDEX(PASTE_ALL,$DF701,$L$10)," "," "),CHAR(9)," "),CHAR(10)," "),CHAR(13)," "))),"")))</f>
        <v/>
      </c>
      <c r="DS701">
        <f>IF($DM701=0,"",IF($L$11=0,"",IFERROR(IF(ISNUMBER(INDEX(PASTE_ALL,$DF701,$L$11)),INDEX(PASTE_ALL,$DF701,$L$11),TRIM(SUBSTITUTE(SUBSTITUTE(SUBSTITUTE(SUBSTITUTE(INDEX(PASTE_ALL,$DF701,$L$11)," "," "),CHAR(9)," "),CHAR(10)," "),CHAR(13)," "))),"")))</f>
        <v/>
      </c>
      <c r="DT701">
        <f>IF($DM701=0,"",IF($L$12=0,"",IFERROR(IF(ISNUMBER(INDEX(PASTE_ALL,$DF701,$L$12)),INDEX(PASTE_ALL,$DF701,$L$12),TRIM(SUBSTITUTE(SUBSTITUTE(SUBSTITUTE(SUBSTITUTE(INDEX(PASTE_ALL,$DF701,$L$12)," "," "),CHAR(9)," "),CHAR(10)," "),CHAR(13)," "))),"")))</f>
        <v/>
      </c>
      <c r="DU701">
        <f>IF($DM701=0,"",IF($L$13=0,"",IFERROR(IF(ISNUMBER(INDEX(PASTE_ALL,$DF701,$L$13)),INDEX(PASTE_ALL,$DF701,$L$13),TRIM(SUBSTITUTE(SUBSTITUTE(SUBSTITUTE(SUBSTITUTE(INDEX(PASTE_ALL,$DF701,$L$13)," "," "),CHAR(9)," "),CHAR(10)," "),CHAR(13)," "))),"")))</f>
        <v/>
      </c>
      <c r="DV701">
        <f>IF($DM701=0,"",IF($L$14=0,"",IFERROR(IF(ISNUMBER(INDEX(PASTE_ALL,$DF701,$L$14)),INDEX(PASTE_ALL,$DF701,$L$14),TRIM(SUBSTITUTE(SUBSTITUTE(SUBSTITUTE(SUBSTITUTE(INDEX(PASTE_ALL,$DF701,$L$14)," "," "),CHAR(9)," "),CHAR(10)," "),CHAR(13)," "))),"")))</f>
        <v/>
      </c>
      <c r="DW701">
        <f>IF($DM701=0,"",IF($L$15=0,"",IFERROR(IF(ISNUMBER(INDEX(PASTE_ALL,$DF701,$L$15)),INDEX(PASTE_ALL,$DF701,$L$15),IF(SUMPRODUCT(--ISNUMBER(FIND({"A","B","C","D","E","F","G","H","I","J","K","L","M","N","O","P","Q","R","S","T","U","V","W","X","Y","Z","0","1","2","3","4","5","6","7","8","9"},UPPER(TRIM(SUBSTITUTE(SUBSTITUTE(SUBSTITUTE(SUBSTITUTE(INDEX(PASTE_ALL,$DF701,$L$15)," "," "),CHAR(9)," "),CHAR(10)," "),CHAR(13)," "))))))&gt;0,TRIM(SUBSTITUTE(SUBSTITUTE(SUBSTITUTE(SUBSTITUTE(INDEX(PASTE_ALL,$DF701,$L$15)," "," "),CHAR(9)," "),CHAR(10)," "),CHAR(13)," ")),"")),"")))</f>
        <v/>
      </c>
      <c r="DX701">
        <f>IF($DM701=0,"",IF($L$16=0,"",IFERROR(IF(ISNUMBER(INDEX(PASTE_ALL,$DF701,$L$16)),INDEX(PASTE_ALL,$DF701,$L$16),SUBSTITUTE(SUBSTITUTE(TRIM(SUBSTITUTE(SUBSTITUTE(SUBSTITUTE(SUBSTITUTE(INDEX(PASTE_ALL,$DF701,$L$16)," "," "),CHAR(9)," "),CHAR(10)," "),CHAR(13)," ")),",",""),"%","")),"")))</f>
        <v/>
      </c>
      <c r="DY701">
        <f>IF($DM701=0,"",IFERROR(IF(ISNUMBER($DX701),$DX701,IF($DX701="","",IF(TRIM($DX701)="",0,IF(AND(AND(SUBSTITUTE(SUBSTITUTE(SUBSTITUTE(SUBSTITUTE(SUBSTITUTE(SUBSTITUTE(SUBSTITUTE(SUBSTITUTE(SUBSTITUTE(SUBSTITUTE(SUBSTITUTE(SUBSTITUTE(SUBSTITUTE(SUBSTITUTE(UPPER(TRIM($DX701)),"0",""),"1",""),"2",""),"3",""),"4",""),"5",""),"6",""),"7",""),"8",""),"9",""),".",""),"+",""),"-",""),"E","")="",LEN(SUBSTITUTE(SUBSTITUTE(MID(UPPER(TRIM($DX701)),1+OR(LEFT(UPPER(TRIM($DX701)),1)="+",LEFT(UPPER(TRIM($DX701)),1)="-"),999),"E+","E"),"E-","E"))=LEN(SUBSTITUTE(SUBSTITUTE(SUBSTITUTE(SUBSTITUTE(MID(UPPER(TRIM($DX701)),1+OR(LEFT(UPPER(TRIM($DX701)),1)="+",LEFT(UPPER(TRIM($DX701)),1)="-"),999),"E+","E"),"E-","E"),"+",""),"-","")),LEN(UPPER(TRIM($DX701)))-LEN(SUBSTITUTE(UPPER(TRIM($DX701)),"E",""))&lt;2,LEN(UPPER(TRIM($DX701)))-LEN(SUBSTITUTE(UPPER(TRIM($DX701)),".",""))&lt;2,IFERROR(FIND(".",UPPER(TRIM($DX701))),0)&lt;IFERROR(FIND("E",UPPER(TRIM($DX701))),999)),ISNUMBER(VALUE(TRIM($DX701)))),VALUE(TRIM($DX701)),"")))),""))</f>
        <v/>
      </c>
      <c r="DZ701">
        <f>IF($DM701=0,"",IF($L$17=0,"",IFERROR(IF(ISNUMBER(INDEX(PASTE_ALL,$DF701,$L$17)),INDEX(PASTE_ALL,$DF701,$L$17),SUBSTITUTE(SUBSTITUTE(TRIM(SUBSTITUTE(SUBSTITUTE(SUBSTITUTE(SUBSTITUTE(INDEX(PASTE_ALL,$DF701,$L$17)," "," "),CHAR(9)," "),CHAR(10)," "),CHAR(13)," ")),",",""),"%","")),"")))</f>
        <v/>
      </c>
      <c r="EA701">
        <f>IF($DM701=0,"",IFERROR(IF(ISNUMBER($DZ701),$DZ701,IF($DZ701="","",IF(TRIM($DZ701)="",0,IF(AND(AND(SUBSTITUTE(SUBSTITUTE(SUBSTITUTE(SUBSTITUTE(SUBSTITUTE(SUBSTITUTE(SUBSTITUTE(SUBSTITUTE(SUBSTITUTE(SUBSTITUTE(SUBSTITUTE(SUBSTITUTE(SUBSTITUTE(SUBSTITUTE(UPPER(TRIM($DZ701)),"0",""),"1",""),"2",""),"3",""),"4",""),"5",""),"6",""),"7",""),"8",""),"9",""),".",""),"+",""),"-",""),"E","")="",LEN(SUBSTITUTE(SUBSTITUTE(MID(UPPER(TRIM($DZ701)),1+OR(LEFT(UPPER(TRIM($DZ701)),1)="+",LEFT(UPPER(TRIM($DZ701)),1)="-"),999),"E+","E"),"E-","E"))=LEN(SUBSTITUTE(SUBSTITUTE(SUBSTITUTE(SUBSTITUTE(MID(UPPER(TRIM($DZ701)),1+OR(LEFT(UPPER(TRIM($DZ701)),1)="+",LEFT(UPPER(TRIM($DZ701)),1)="-"),999),"E+","E"),"E-","E"),"+",""),"-","")),LEN(UPPER(TRIM($DZ701)))-LEN(SUBSTITUTE(UPPER(TRIM($DZ701)),"E",""))&lt;2,LEN(UPPER(TRIM($DZ701)))-LEN(SUBSTITUTE(UPPER(TRIM($DZ701)),".",""))&lt;2,IFERROR(FIND(".",UPPER(TRIM($DZ701))),0)&lt;IFERROR(FIND("E",UPPER(TRIM($DZ701))),999)),ISNUMBER(VALUE(TRIM($DZ701)))),VALUE(TRIM($DZ701)),"")))),""))</f>
        <v/>
      </c>
      <c r="EB701">
        <f>IF($DM701=0,"",IF($L$18=0,"",IFERROR(IF(UPPER(TRIM(SUBSTITUTE(SUBSTITUTE(SUBSTITUTE(SUBSTITUTE(INDEX(PASTE_ALL,$DF701,$L$18)," "," "),CHAR(9)," "),CHAR(10)," "),CHAR(13)," ")))="READY","Ready",IF(UPPER(TRIM(SUBSTITUTE(SUBSTITUTE(SUBSTITUTE(SUBSTITUTE(INDEX(PASTE_ALL,$DF701,$L$18)," "," "),CHAR(9)," "),CHAR(10)," "),CHAR(13)," ")))="PM","PM",IF(OR(UPPER(TRIM(SUBSTITUTE(SUBSTITUTE(SUBSTITUTE(SUBSTITUTE(INDEX(PASTE_ALL,$DF701,$L$18)," "," "),CHAR(9)," "),CHAR(10)," "),CHAR(13)," ")))="OT",UPPER(TRIM(SUBSTITUTE(SUBSTITUTE(SUBSTITUTE(SUBSTITUTE(INDEX(PASTE_ALL,$DF701,$L$18)," "," "),CHAR(9)," "),CHAR(10)," "),CHAR(13)," ")))="OVERTIME",UPPER(TRIM(SUBSTITUTE(SUBSTITUTE(SUBSTITUTE(SUBSTITUTE(INDEX(PASTE_ALL,$DF701,$L$18)," "," "),CHAR(9)," "),CHAR(10)," "),CHAR(13)," ")))="TRIAL"),"OT",TRIM(SUBSTITUTE(SUBSTITUTE(SUBSTITUTE(SUBSTITUTE(INDEX(PASTE_ALL,$DF701,$L$18)," "," "),CHAR(9)," "),CHAR(10)," "),CHAR(13)," "))))),"")))</f>
        <v/>
      </c>
      <c r="EC701">
        <f>IF($DM701=0,"",IF($L$19=0,"",IFERROR(IF(ISNUMBER(INDEX(PASTE_ALL,$DF701,$L$19)),INDEX(PASTE_ALL,$DF701,$L$19),TRIM(SUBSTITUTE(SUBSTITUTE(SUBSTITUTE(SUBSTITUTE(INDEX(PASTE_ALL,$DF701,$L$19)," "," "),CHAR(9)," "),CHAR(10)," "),CHAR(13)," "))),"")))</f>
        <v/>
      </c>
      <c r="ED701">
        <f>IF($DM701=0,"",MATCH(1,INDEX(EXACT($DH$5:DH701,$DH701)*$DM$5:DM701,0),0))</f>
        <v/>
      </c>
      <c r="EE701">
        <f>IF($DM701=0,0,IF($ED701=$DE701,1,0))</f>
        <v/>
      </c>
      <c r="EF701">
        <f>EF700+$EE701</f>
        <v/>
      </c>
      <c r="EG701">
        <f>IF($DM701=0,"",INDEX($EF$5:$EF$1003,$ED701))</f>
        <v/>
      </c>
      <c r="EH701">
        <f>IF($DM701=0,"",IF($DO701&lt;&gt;"","",IFERROR(LOOKUP(2,1/(($EG$4:EG700=$EG701)*($DO$4:DO700&lt;&gt;"")),$DO$4:DO700),"")))</f>
        <v/>
      </c>
      <c r="EI701">
        <f>IF($DM701=0,"",IF($DO701&lt;&gt;"",$DO701,$EH701))</f>
        <v/>
      </c>
      <c r="EJ701">
        <f>IF($DM701=0,"",IF($EI701="",0,IF(OR(ISNUMBER($EI701),AND(AND(SUBSTITUTE(SUBSTITUTE(SUBSTITUTE(SUBSTITUTE(SUBSTITUTE(SUBSTITUTE(SUBSTITUTE(SUBSTITUTE(SUBSTITUTE(SUBSTITUTE(SUBSTITUTE(SUBSTITUTE(SUBSTITUTE(SUBSTITUTE(UPPER($EI701),"0",""),"1",""),"2",""),"3",""),"4",""),"5",""),"6",""),"7",""),"8",""),"9",""),".",""),"+",""),"-",""),"E","")="",LEN(SUBSTITUTE(SUBSTITUTE(MID(UPPER($EI701),1+OR(LEFT(UPPER($EI701),1)="+",LEFT(UPPER($EI701),1)="-"),999),"E+","E"),"E-","E"))=LEN(SUBSTITUTE(SUBSTITUTE(SUBSTITUTE(SUBSTITUTE(MID(UPPER($EI701),1+OR(LEFT(UPPER($EI701),1)="+",LEFT(UPPER($EI701),1)="-"),999),"E+","E"),"E-","E"),"+",""),"-","")),LEN(UPPER($EI701))-LEN(SUBSTITUTE(UPPER($EI701),"E",""))&lt;2,LEN(UPPER($EI701))-LEN(SUBSTITUTE(UPPER($EI701),".",""))&lt;2,IFERROR(FIND(".",UPPER($EI701)),0)&lt;IFERROR(FIND("E",UPPER($EI701)),999)),ISNUMBER(VALUE($EI701)))),1,2)))</f>
        <v/>
      </c>
      <c r="EK701">
        <f>IF($DM701=0,"",IF($EJ701=1,IF(ISNUMBER($EI701),$EI701,VALUE($EI701)),IF($EJ701=2,$DE701,0)))</f>
        <v/>
      </c>
      <c r="EL701">
        <f>IF($DM701=0,"",COUNTIF($EG$5:$EG$1003,"&lt;"&amp;$EG701)+SUMPRODUCT(($EG$5:$EG$1003=$EG701)*(($EJ$5:$EJ$1003&lt;$EJ701)+($EJ$5:$EJ$1003=$EJ701)*(($EK$5:$EK$1003&lt;$EK701)+($EK$5:$EK$1003=$EK701)*($DE$5:$DE$1003&lt;$DE701))))+1)</f>
        <v/>
      </c>
      <c r="EM701">
        <f>IF($DM701=0,"",$EL701+$EG701-1)</f>
        <v/>
      </c>
      <c r="EN701">
        <f>IF($DM701=0,0,IFERROR(MATCH(1,INDEX(--(TRIM(SUBSTITUTE(SUBSTITUTE(SUBSTITUTE(SUBSTITUTE(LINES_NAME&amp;""," "," "),CHAR(9)," "),CHAR(10)," "),CHAR(13)," "))=$DH701),0),0),0))</f>
        <v/>
      </c>
      <c r="EO701">
        <f>IF($EN701=0,0,IF(OR(UPPER(TRIM(INDEX(LINES_SCHEDULED,$EN701)&amp;""))="YES",UPPER(TRIM(INDEX(LINES_SCHEDULED,$EN701)&amp;""))="Y",UPPER(TRIM(INDEX(LINES_SCHEDULED,$EN701)&amp;""))="X"),1,0))</f>
        <v/>
      </c>
      <c r="EP701">
        <f>IF($DM701=0,"",IF(COUNTIFS($EG$5:$EG$1003,$EG701,$EB$5:$EB$1003,"Ready")&gt;0,"READY",IF(COUNTIFS($EG$5:$EG$1003,$EG701,$EB$5:$EB$1003,"PM")&gt;0,"PM",IF(COUNTIFS($EG$5:$EG$1003,$EG701,$EB$5:$EB$1003,"OT")&gt;0,"OT",""))))</f>
        <v/>
      </c>
      <c r="EQ701">
        <f>IF($EN701=0,"",UPPER(TRIM(INDEX(LINES_STATUS,$EN701)&amp;"")))</f>
        <v/>
      </c>
      <c r="ER701">
        <f>IF($DM701=0,"",IF(OR($EQ701="READY",$EQ701="PM",$EQ701="OT"),$EQ701,$EP701))</f>
        <v/>
      </c>
      <c r="ES701">
        <f>IF($DM701=0,"",IF(AND($DV701&lt;&gt;"",UPPER($DV701)&lt;&gt;"N"),"allergen",IF(ISNUMBER(SEARCH("oil",$DQ701)),"oil",IF(OR(EXACT($DS701,"A662"),EXACT($DS701,"A624")),"bulk",""))))</f>
        <v/>
      </c>
      <c r="ET701">
        <f>IF($DM701=0,"",IF(OR($EA701="",$EA701=0),"",$EA701/100))</f>
        <v/>
      </c>
      <c r="EU701">
        <f>IF(OR($ET701="",$DY701=""),"",INT($DY701*(1-$ET701)+0.5))</f>
        <v/>
      </c>
      <c r="EW701" t="n">
        <v>697</v>
      </c>
      <c r="EX701">
        <f>IFERROR(MATCH($EW701,$EM$5:$EM$1003,0),0)</f>
        <v/>
      </c>
      <c r="EY701">
        <f>IF($EW701&gt;$B$12,"",IF($EX701&gt;0,"row","spacer"))</f>
        <v/>
      </c>
      <c r="EZ701">
        <f>IF(AND($EY701="row",$EY700&lt;&gt;"row"),1,0)</f>
        <v/>
      </c>
      <c r="FA701">
        <f>IF(AND($EY701="row",$EY702&lt;&gt;"row"),1,0)</f>
        <v/>
      </c>
      <c r="FB701">
        <f>IF($EZ701=1,IFERROR(IF(ISNUMBER(INDEX(PASTE_ALL,INDEX($DF$5:$DF$1003,$EX701),$B$37)),INDEX(PASTE_ALL,INDEX($DF$5:$DF$1003,$EX701),$B$37),INDEX($DH$5:$DH$1003,$EX701)),INDEX($DH$5:$DH$1003,$EX701)),"")</f>
        <v/>
      </c>
      <c r="FC701">
        <f>IF($EY701="row",INDEX($ER$5:$ER$1003,$EX701),"")</f>
        <v/>
      </c>
      <c r="FD701">
        <f>IF($EY701="row",INDEX($DN$5:$DN$1003,$EX701),"")</f>
        <v/>
      </c>
      <c r="FE701">
        <f>IF($EY701="row",INDEX($DO$5:$DO$1003,$EX701),"")</f>
        <v/>
      </c>
      <c r="FF701">
        <f>IF($EY701="row",INDEX($DP$5:$DP$1003,$EX701),"")</f>
        <v/>
      </c>
      <c r="FG701">
        <f>IF($EY701="row",INDEX($DQ$5:$DQ$1003,$EX701),"")</f>
        <v/>
      </c>
      <c r="FH701">
        <f>IF($EY701="row",INDEX($DR$5:$DR$1003,$EX701),"")</f>
        <v/>
      </c>
      <c r="FI701">
        <f>IF($EY701="row",INDEX($DS$5:$DS$1003,$EX701),"")</f>
        <v/>
      </c>
      <c r="FJ701">
        <f>IF($EY701="row",INDEX($DT$5:$DT$1003,$EX701),"")</f>
        <v/>
      </c>
      <c r="FK701">
        <f>IF($EY701="row",INDEX($DU$5:$DU$1003,$EX701),"")</f>
        <v/>
      </c>
      <c r="FL701">
        <f>IF($EY701="row",INDEX($DV$5:$DV$1003,$EX701),"")</f>
        <v/>
      </c>
      <c r="FM701">
        <f>IF($EY701="row",INDEX($DW$5:$DW$1003,$EX701),"")</f>
        <v/>
      </c>
      <c r="FN701">
        <f>IF($EY701="row",INDEX($DY$5:$DY$1003,$EX701),"")</f>
        <v/>
      </c>
      <c r="FO701">
        <f>IF($EY701="row",INDEX($EA$5:$EA$1003,$EX701),"")</f>
        <v/>
      </c>
      <c r="FP701">
        <f>IF($EY701="row",INDEX($EC$5:$EC$1003,$EX701),"")</f>
        <v/>
      </c>
      <c r="FQ701">
        <f>IF($EY701="row",INDEX($ET$5:$ET$1003,$EX701),"")</f>
        <v/>
      </c>
      <c r="FR701">
        <f>IF($EY701="row",INDEX($EU$5:$EU$1003,$EX701),"")</f>
        <v/>
      </c>
      <c r="FS701">
        <f>IF(AND($EY701="row",$EY700="row"),IF(OR(INDEX($DT$5:$DT$1003,$EX700)="",INDEX($DT$5:$DT$1003,$EX701)=""),"",IF(NOT(EXACT(INDEX($DT$5:$DT$1003,$EX700),INDEX($DT$5:$DT$1003,$EX701))),"S4",IF(NOT(EXACT(INDEX($DS$5:$DS$1003,$EX700),INDEX($DS$5:$DS$1003,$EX701))),"S3",IF(NOT(EXACT(INDEX($DR$5:$DR$1003,$EX700),INDEX($DR$5:$DR$1003,$EX701))),"S1 Count Change","S1")))),"")</f>
        <v/>
      </c>
      <c r="FT701">
        <f>IF($EY701="row",INDEX($ES$5:$ES$1003,$EX701),"")</f>
        <v/>
      </c>
      <c r="FU701">
        <f>IF($EY701="row",INDEX($EO$5:$EO$1003,$EX701),0)</f>
        <v/>
      </c>
      <c r="FV701">
        <f>IF($FS701="S1 Count Change",1,0)</f>
        <v/>
      </c>
    </row>
    <row r="702">
      <c r="DA702" t="n">
        <v>698</v>
      </c>
      <c r="DB702">
        <f>IF($B$37=0,"",IFERROR(TRIM(SUBSTITUTE(SUBSTITUTE(SUBSTITUTE(SUBSTITUTE(INDEX(PASTE_ALL,698,$B$37)," "," "),CHAR(9)," "),CHAR(10)," "),CHAR(13)," ")),""))</f>
        <v/>
      </c>
      <c r="DC702">
        <f>IF(AND(698&gt;HEADER_ROW,UPPER(DB702)="LEGEND"),1,0)</f>
        <v/>
      </c>
      <c r="DE702" t="n">
        <v>698</v>
      </c>
      <c r="DF702">
        <f>HEADER_ROW+$DE702</f>
        <v/>
      </c>
      <c r="DG702">
        <f>IF(AND($DF702&lt;=1000,$DF702&lt;$B$8),1,0)</f>
        <v/>
      </c>
      <c r="DH702">
        <f>IF($DG702=1,IFERROR(INDEX($DB$5:$DB$1004,$DF702),""),"")</f>
        <v/>
      </c>
      <c r="DI702">
        <f>IF(AND($DG702=1,$DH702&lt;&gt;""),IFERROR(SUBSTITUTE(SUBSTITUTE(TRIM(SUBSTITUTE(SUBSTITUTE(SUBSTITUTE(SUBSTITUTE(IFERROR(INDEX(PASTE_ALL,$DF702,1)&amp;"","")&amp;"␟"&amp;IFERROR(INDEX(PASTE_ALL,$DF702,2)&amp;"","")&amp;"␟"&amp;IFERROR(INDEX(PASTE_ALL,$DF702,3)&amp;"","")&amp;"␟"&amp;IFERROR(INDEX(PASTE_ALL,$DF702,4)&amp;"","")&amp;"␟"&amp;IFERROR(INDEX(PASTE_ALL,$DF702,5)&amp;"","")&amp;"␟"&amp;IFERROR(INDEX(PASTE_ALL,$DF702,6)&amp;"","")&amp;"␟"&amp;IFERROR(INDEX(PASTE_ALL,$DF702,7)&amp;"","")&amp;"␟"&amp;IFERROR(INDEX(PASTE_ALL,$DF702,8)&amp;"","")&amp;"␟"&amp;IFERROR(INDEX(PASTE_ALL,$DF702,9)&amp;"","")&amp;"␟"&amp;IFERROR(INDEX(PASTE_ALL,$DF702,10)&amp;"","")&amp;"␟"&amp;IFERROR(INDEX(PASTE_ALL,$DF702,11)&amp;"","")&amp;"␟"&amp;IFERROR(INDEX(PASTE_ALL,$DF702,12)&amp;"","")&amp;"␟"&amp;IFERROR(INDEX(PASTE_ALL,$DF702,13)&amp;"","")&amp;"␟"&amp;IFERROR(INDEX(PASTE_ALL,$DF702,14)&amp;"","")&amp;"␟"&amp;IFERROR(INDEX(PASTE_ALL,$DF702,15)&amp;"","")&amp;"␟"&amp;IFERROR(INDEX(PASTE_ALL,$DF702,16)&amp;"","")&amp;"␟"&amp;IFERROR(INDEX(PASTE_ALL,$DF702,17)&amp;"","")&amp;"␟"&amp;IFERROR(INDEX(PASTE_ALL,$DF702,18)&amp;"","")&amp;"␟"&amp;IFERROR(INDEX(PASTE_ALL,$DF702,19)&amp;"","")&amp;"␟"&amp;IFERROR(INDEX(PASTE_ALL,$DF702,20)&amp;"","")&amp;"␟"&amp;IFERROR(INDEX(PASTE_ALL,$DF702,21)&amp;"","")&amp;"␟"&amp;IFERROR(INDEX(PASTE_ALL,$DF702,22)&amp;"","")&amp;"␟"&amp;IFERROR(INDEX(PASTE_ALL,$DF702,23)&amp;"","")&amp;"␟"&amp;IFERROR(INDEX(PASTE_ALL,$DF702,24)&amp;"","")&amp;"␟"&amp;IFERROR(INDEX(PASTE_ALL,$DF702,25)&amp;"","")&amp;"␟"&amp;IFERROR(INDEX(PASTE_ALL,$DF702,26)&amp;"","")&amp;"␟"&amp;IFERROR(INDEX(PASTE_ALL,$DF702,27)&amp;"","")&amp;"␟"&amp;IFERROR(INDEX(PASTE_ALL,$DF702,28)&amp;"","")&amp;"␟"&amp;IFERROR(INDEX(PASTE_ALL,$DF702,29)&amp;"","")&amp;"␟"&amp;IFERROR(INDEX(PASTE_ALL,$DF702,30)&amp;"","")&amp;"␟"&amp;IFERROR(INDEX(PASTE_ALL,$DF702,31)&amp;"","")&amp;"␟"&amp;IFERROR(INDEX(PASTE_ALL,$DF702,32)&amp;"","")&amp;"␟"&amp;IFERROR(INDEX(PASTE_ALL,$DF702,33)&amp;"","")&amp;"␟"&amp;IFERROR(INDEX(PASTE_ALL,$DF702,34)&amp;"","")&amp;"␟"&amp;IFERROR(INDEX(PASTE_ALL,$DF702,35)&amp;"","")&amp;"␟"&amp;IFERROR(INDEX(PASTE_ALL,$DF702,36)&amp;"","")&amp;"␟"&amp;IFERROR(INDEX(PASTE_ALL,$DF702,37)&amp;"","")&amp;"␟"&amp;IFERROR(INDEX(PASTE_ALL,$DF702,38)&amp;"","")&amp;"␟"&amp;IFERROR(INDEX(PASTE_ALL,$DF702,39)&amp;"","")&amp;"␟"&amp;IFERROR(INDEX(PASTE_ALL,$DF702,40)&amp;"","")&amp;"␟"&amp;IFERROR(INDEX(PASTE_ALL,$DF702,41)&amp;"","")&amp;"␟"&amp;IFERROR(INDEX(PASTE_ALL,$DF702,42)&amp;"","")&amp;"␟"&amp;IFERROR(INDEX(PASTE_ALL,$DF702,43)&amp;"","")&amp;"␟"&amp;IFERROR(INDEX(PASTE_ALL,$DF702,44)&amp;"","")&amp;"␟"&amp;IFERROR(INDEX(PASTE_ALL,$DF702,45)&amp;"","")&amp;"␟"&amp;IFERROR(INDEX(PASTE_ALL,$DF702,46)&amp;"","")&amp;"␟"&amp;IFERROR(INDEX(PASTE_ALL,$DF702,47)&amp;"","")&amp;"␟"&amp;IFERROR(INDEX(PASTE_ALL,$DF702,48)&amp;"","")&amp;"␟"&amp;IFERROR(INDEX(PASTE_ALL,$DF702,49)&amp;"","")&amp;"␟"&amp;IFERROR(INDEX(PASTE_ALL,$DF702,50)&amp;"","")&amp;"␟"&amp;IFERROR(INDEX(PASTE_ALL,$DF702,51)&amp;"","")&amp;"␟"&amp;IFERROR(INDEX(PASTE_ALL,$DF702,52)&amp;"","")&amp;"␟"&amp;IFERROR(INDEX(PASTE_ALL,$DF702,53)&amp;"","")&amp;"␟"&amp;IFERROR(INDEX(PASTE_ALL,$DF702,54)&amp;"","")&amp;"␟"&amp;IFERROR(INDEX(PASTE_ALL,$DF702,55)&amp;"","")&amp;"␟"&amp;IFERROR(INDEX(PASTE_ALL,$DF702,56)&amp;"","")&amp;"␟"&amp;IFERROR(INDEX(PASTE_ALL,$DF702,57)&amp;"","")&amp;"␟"&amp;IFERROR(INDEX(PASTE_ALL,$DF702,58)&amp;"","")&amp;"␟"&amp;IFERROR(INDEX(PASTE_ALL,$DF702,59)&amp;"","")&amp;"␟"&amp;IFERROR(INDEX(PASTE_ALL,$DF702,60)&amp;"","")," "," "),CHAR(9)," "),CHAR(10)," "),CHAR(13)," "))," ␟","␟"),"␟ ","␟"),"#"&amp;$DE702),"")</f>
        <v/>
      </c>
      <c r="DJ702">
        <f>IF($DI702="",0,IF(SUMPRODUCT(--EXACT($DI$4:DI701,$DI702))&gt;0,1,0))</f>
        <v/>
      </c>
      <c r="DK702">
        <f>IF(AND($DI702&lt;&gt;"",$DJ702=0),1,0)</f>
        <v/>
      </c>
      <c r="DL702">
        <f>DL701+$DK702</f>
        <v/>
      </c>
      <c r="DM702">
        <f>IF(AND($DK702=1,$DL702&lt;=600),1,0)</f>
        <v/>
      </c>
      <c r="DN702">
        <f>IF($DM702=0,"",IF($L$6=0,"",IFERROR(IF(ISNUMBER(INDEX(PASTE_ALL,$DF702,$L$6)),INDEX(PASTE_ALL,$DF702,$L$6),TRIM(SUBSTITUTE(SUBSTITUTE(SUBSTITUTE(SUBSTITUTE(INDEX(PASTE_ALL,$DF702,$L$6)," "," "),CHAR(9)," "),CHAR(10)," "),CHAR(13)," "))),"")))</f>
        <v/>
      </c>
      <c r="DO702">
        <f>IF($DM702=0,"",IF($L$7=0,"",IFERROR(IF(ISNUMBER(INDEX(PASTE_ALL,$DF702,$L$7)),INDEX(PASTE_ALL,$DF702,$L$7),TRIM(SUBSTITUTE(SUBSTITUTE(SUBSTITUTE(SUBSTITUTE(INDEX(PASTE_ALL,$DF702,$L$7)," "," "),CHAR(9)," "),CHAR(10)," "),CHAR(13)," "))),"")))</f>
        <v/>
      </c>
      <c r="DP702">
        <f>IF($DM702=0,"",IF($L$8=0,"",IFERROR(IF(ISNUMBER(INDEX(PASTE_ALL,$DF702,$L$8)),INDEX(PASTE_ALL,$DF702,$L$8),TRIM(SUBSTITUTE(SUBSTITUTE(SUBSTITUTE(SUBSTITUTE(INDEX(PASTE_ALL,$DF702,$L$8)," "," "),CHAR(9)," "),CHAR(10)," "),CHAR(13)," "))),"")))</f>
        <v/>
      </c>
      <c r="DQ702">
        <f>IF($DM702=0,"",IF($L$9=0,"",IFERROR(IF(ISNUMBER(INDEX(PASTE_ALL,$DF702,$L$9)),INDEX(PASTE_ALL,$DF702,$L$9),TRIM(SUBSTITUTE(SUBSTITUTE(SUBSTITUTE(SUBSTITUTE(INDEX(PASTE_ALL,$DF702,$L$9)," "," "),CHAR(9)," "),CHAR(10)," "),CHAR(13)," "))),"")))</f>
        <v/>
      </c>
      <c r="DR702">
        <f>IF($DM702=0,"",IF($L$10=0,"",IFERROR(IF(ISNUMBER(INDEX(PASTE_ALL,$DF702,$L$10)),INDEX(PASTE_ALL,$DF702,$L$10),TRIM(SUBSTITUTE(SUBSTITUTE(SUBSTITUTE(SUBSTITUTE(INDEX(PASTE_ALL,$DF702,$L$10)," "," "),CHAR(9)," "),CHAR(10)," "),CHAR(13)," "))),"")))</f>
        <v/>
      </c>
      <c r="DS702">
        <f>IF($DM702=0,"",IF($L$11=0,"",IFERROR(IF(ISNUMBER(INDEX(PASTE_ALL,$DF702,$L$11)),INDEX(PASTE_ALL,$DF702,$L$11),TRIM(SUBSTITUTE(SUBSTITUTE(SUBSTITUTE(SUBSTITUTE(INDEX(PASTE_ALL,$DF702,$L$11)," "," "),CHAR(9)," "),CHAR(10)," "),CHAR(13)," "))),"")))</f>
        <v/>
      </c>
      <c r="DT702">
        <f>IF($DM702=0,"",IF($L$12=0,"",IFERROR(IF(ISNUMBER(INDEX(PASTE_ALL,$DF702,$L$12)),INDEX(PASTE_ALL,$DF702,$L$12),TRIM(SUBSTITUTE(SUBSTITUTE(SUBSTITUTE(SUBSTITUTE(INDEX(PASTE_ALL,$DF702,$L$12)," "," "),CHAR(9)," "),CHAR(10)," "),CHAR(13)," "))),"")))</f>
        <v/>
      </c>
      <c r="DU702">
        <f>IF($DM702=0,"",IF($L$13=0,"",IFERROR(IF(ISNUMBER(INDEX(PASTE_ALL,$DF702,$L$13)),INDEX(PASTE_ALL,$DF702,$L$13),TRIM(SUBSTITUTE(SUBSTITUTE(SUBSTITUTE(SUBSTITUTE(INDEX(PASTE_ALL,$DF702,$L$13)," "," "),CHAR(9)," "),CHAR(10)," "),CHAR(13)," "))),"")))</f>
        <v/>
      </c>
      <c r="DV702">
        <f>IF($DM702=0,"",IF($L$14=0,"",IFERROR(IF(ISNUMBER(INDEX(PASTE_ALL,$DF702,$L$14)),INDEX(PASTE_ALL,$DF702,$L$14),TRIM(SUBSTITUTE(SUBSTITUTE(SUBSTITUTE(SUBSTITUTE(INDEX(PASTE_ALL,$DF702,$L$14)," "," "),CHAR(9)," "),CHAR(10)," "),CHAR(13)," "))),"")))</f>
        <v/>
      </c>
      <c r="DW702">
        <f>IF($DM702=0,"",IF($L$15=0,"",IFERROR(IF(ISNUMBER(INDEX(PASTE_ALL,$DF702,$L$15)),INDEX(PASTE_ALL,$DF702,$L$15),IF(SUMPRODUCT(--ISNUMBER(FIND({"A","B","C","D","E","F","G","H","I","J","K","L","M","N","O","P","Q","R","S","T","U","V","W","X","Y","Z","0","1","2","3","4","5","6","7","8","9"},UPPER(TRIM(SUBSTITUTE(SUBSTITUTE(SUBSTITUTE(SUBSTITUTE(INDEX(PASTE_ALL,$DF702,$L$15)," "," "),CHAR(9)," "),CHAR(10)," "),CHAR(13)," "))))))&gt;0,TRIM(SUBSTITUTE(SUBSTITUTE(SUBSTITUTE(SUBSTITUTE(INDEX(PASTE_ALL,$DF702,$L$15)," "," "),CHAR(9)," "),CHAR(10)," "),CHAR(13)," ")),"")),"")))</f>
        <v/>
      </c>
      <c r="DX702">
        <f>IF($DM702=0,"",IF($L$16=0,"",IFERROR(IF(ISNUMBER(INDEX(PASTE_ALL,$DF702,$L$16)),INDEX(PASTE_ALL,$DF702,$L$16),SUBSTITUTE(SUBSTITUTE(TRIM(SUBSTITUTE(SUBSTITUTE(SUBSTITUTE(SUBSTITUTE(INDEX(PASTE_ALL,$DF702,$L$16)," "," "),CHAR(9)," "),CHAR(10)," "),CHAR(13)," ")),",",""),"%","")),"")))</f>
        <v/>
      </c>
      <c r="DY702">
        <f>IF($DM702=0,"",IFERROR(IF(ISNUMBER($DX702),$DX702,IF($DX702="","",IF(TRIM($DX702)="",0,IF(AND(AND(SUBSTITUTE(SUBSTITUTE(SUBSTITUTE(SUBSTITUTE(SUBSTITUTE(SUBSTITUTE(SUBSTITUTE(SUBSTITUTE(SUBSTITUTE(SUBSTITUTE(SUBSTITUTE(SUBSTITUTE(SUBSTITUTE(SUBSTITUTE(UPPER(TRIM($DX702)),"0",""),"1",""),"2",""),"3",""),"4",""),"5",""),"6",""),"7",""),"8",""),"9",""),".",""),"+",""),"-",""),"E","")="",LEN(SUBSTITUTE(SUBSTITUTE(MID(UPPER(TRIM($DX702)),1+OR(LEFT(UPPER(TRIM($DX702)),1)="+",LEFT(UPPER(TRIM($DX702)),1)="-"),999),"E+","E"),"E-","E"))=LEN(SUBSTITUTE(SUBSTITUTE(SUBSTITUTE(SUBSTITUTE(MID(UPPER(TRIM($DX702)),1+OR(LEFT(UPPER(TRIM($DX702)),1)="+",LEFT(UPPER(TRIM($DX702)),1)="-"),999),"E+","E"),"E-","E"),"+",""),"-","")),LEN(UPPER(TRIM($DX702)))-LEN(SUBSTITUTE(UPPER(TRIM($DX702)),"E",""))&lt;2,LEN(UPPER(TRIM($DX702)))-LEN(SUBSTITUTE(UPPER(TRIM($DX702)),".",""))&lt;2,IFERROR(FIND(".",UPPER(TRIM($DX702))),0)&lt;IFERROR(FIND("E",UPPER(TRIM($DX702))),999)),ISNUMBER(VALUE(TRIM($DX702)))),VALUE(TRIM($DX702)),"")))),""))</f>
        <v/>
      </c>
      <c r="DZ702">
        <f>IF($DM702=0,"",IF($L$17=0,"",IFERROR(IF(ISNUMBER(INDEX(PASTE_ALL,$DF702,$L$17)),INDEX(PASTE_ALL,$DF702,$L$17),SUBSTITUTE(SUBSTITUTE(TRIM(SUBSTITUTE(SUBSTITUTE(SUBSTITUTE(SUBSTITUTE(INDEX(PASTE_ALL,$DF702,$L$17)," "," "),CHAR(9)," "),CHAR(10)," "),CHAR(13)," ")),",",""),"%","")),"")))</f>
        <v/>
      </c>
      <c r="EA702">
        <f>IF($DM702=0,"",IFERROR(IF(ISNUMBER($DZ702),$DZ702,IF($DZ702="","",IF(TRIM($DZ702)="",0,IF(AND(AND(SUBSTITUTE(SUBSTITUTE(SUBSTITUTE(SUBSTITUTE(SUBSTITUTE(SUBSTITUTE(SUBSTITUTE(SUBSTITUTE(SUBSTITUTE(SUBSTITUTE(SUBSTITUTE(SUBSTITUTE(SUBSTITUTE(SUBSTITUTE(UPPER(TRIM($DZ702)),"0",""),"1",""),"2",""),"3",""),"4",""),"5",""),"6",""),"7",""),"8",""),"9",""),".",""),"+",""),"-",""),"E","")="",LEN(SUBSTITUTE(SUBSTITUTE(MID(UPPER(TRIM($DZ702)),1+OR(LEFT(UPPER(TRIM($DZ702)),1)="+",LEFT(UPPER(TRIM($DZ702)),1)="-"),999),"E+","E"),"E-","E"))=LEN(SUBSTITUTE(SUBSTITUTE(SUBSTITUTE(SUBSTITUTE(MID(UPPER(TRIM($DZ702)),1+OR(LEFT(UPPER(TRIM($DZ702)),1)="+",LEFT(UPPER(TRIM($DZ702)),1)="-"),999),"E+","E"),"E-","E"),"+",""),"-","")),LEN(UPPER(TRIM($DZ702)))-LEN(SUBSTITUTE(UPPER(TRIM($DZ702)),"E",""))&lt;2,LEN(UPPER(TRIM($DZ702)))-LEN(SUBSTITUTE(UPPER(TRIM($DZ702)),".",""))&lt;2,IFERROR(FIND(".",UPPER(TRIM($DZ702))),0)&lt;IFERROR(FIND("E",UPPER(TRIM($DZ702))),999)),ISNUMBER(VALUE(TRIM($DZ702)))),VALUE(TRIM($DZ702)),"")))),""))</f>
        <v/>
      </c>
      <c r="EB702">
        <f>IF($DM702=0,"",IF($L$18=0,"",IFERROR(IF(UPPER(TRIM(SUBSTITUTE(SUBSTITUTE(SUBSTITUTE(SUBSTITUTE(INDEX(PASTE_ALL,$DF702,$L$18)," "," "),CHAR(9)," "),CHAR(10)," "),CHAR(13)," ")))="READY","Ready",IF(UPPER(TRIM(SUBSTITUTE(SUBSTITUTE(SUBSTITUTE(SUBSTITUTE(INDEX(PASTE_ALL,$DF702,$L$18)," "," "),CHAR(9)," "),CHAR(10)," "),CHAR(13)," ")))="PM","PM",IF(OR(UPPER(TRIM(SUBSTITUTE(SUBSTITUTE(SUBSTITUTE(SUBSTITUTE(INDEX(PASTE_ALL,$DF702,$L$18)," "," "),CHAR(9)," "),CHAR(10)," "),CHAR(13)," ")))="OT",UPPER(TRIM(SUBSTITUTE(SUBSTITUTE(SUBSTITUTE(SUBSTITUTE(INDEX(PASTE_ALL,$DF702,$L$18)," "," "),CHAR(9)," "),CHAR(10)," "),CHAR(13)," ")))="OVERTIME",UPPER(TRIM(SUBSTITUTE(SUBSTITUTE(SUBSTITUTE(SUBSTITUTE(INDEX(PASTE_ALL,$DF702,$L$18)," "," "),CHAR(9)," "),CHAR(10)," "),CHAR(13)," ")))="TRIAL"),"OT",TRIM(SUBSTITUTE(SUBSTITUTE(SUBSTITUTE(SUBSTITUTE(INDEX(PASTE_ALL,$DF702,$L$18)," "," "),CHAR(9)," "),CHAR(10)," "),CHAR(13)," "))))),"")))</f>
        <v/>
      </c>
      <c r="EC702">
        <f>IF($DM702=0,"",IF($L$19=0,"",IFERROR(IF(ISNUMBER(INDEX(PASTE_ALL,$DF702,$L$19)),INDEX(PASTE_ALL,$DF702,$L$19),TRIM(SUBSTITUTE(SUBSTITUTE(SUBSTITUTE(SUBSTITUTE(INDEX(PASTE_ALL,$DF702,$L$19)," "," "),CHAR(9)," "),CHAR(10)," "),CHAR(13)," "))),"")))</f>
        <v/>
      </c>
      <c r="ED702">
        <f>IF($DM702=0,"",MATCH(1,INDEX(EXACT($DH$5:DH702,$DH702)*$DM$5:DM702,0),0))</f>
        <v/>
      </c>
      <c r="EE702">
        <f>IF($DM702=0,0,IF($ED702=$DE702,1,0))</f>
        <v/>
      </c>
      <c r="EF702">
        <f>EF701+$EE702</f>
        <v/>
      </c>
      <c r="EG702">
        <f>IF($DM702=0,"",INDEX($EF$5:$EF$1003,$ED702))</f>
        <v/>
      </c>
      <c r="EH702">
        <f>IF($DM702=0,"",IF($DO702&lt;&gt;"","",IFERROR(LOOKUP(2,1/(($EG$4:EG701=$EG702)*($DO$4:DO701&lt;&gt;"")),$DO$4:DO701),"")))</f>
        <v/>
      </c>
      <c r="EI702">
        <f>IF($DM702=0,"",IF($DO702&lt;&gt;"",$DO702,$EH702))</f>
        <v/>
      </c>
      <c r="EJ702">
        <f>IF($DM702=0,"",IF($EI702="",0,IF(OR(ISNUMBER($EI702),AND(AND(SUBSTITUTE(SUBSTITUTE(SUBSTITUTE(SUBSTITUTE(SUBSTITUTE(SUBSTITUTE(SUBSTITUTE(SUBSTITUTE(SUBSTITUTE(SUBSTITUTE(SUBSTITUTE(SUBSTITUTE(SUBSTITUTE(SUBSTITUTE(UPPER($EI702),"0",""),"1",""),"2",""),"3",""),"4",""),"5",""),"6",""),"7",""),"8",""),"9",""),".",""),"+",""),"-",""),"E","")="",LEN(SUBSTITUTE(SUBSTITUTE(MID(UPPER($EI702),1+OR(LEFT(UPPER($EI702),1)="+",LEFT(UPPER($EI702),1)="-"),999),"E+","E"),"E-","E"))=LEN(SUBSTITUTE(SUBSTITUTE(SUBSTITUTE(SUBSTITUTE(MID(UPPER($EI702),1+OR(LEFT(UPPER($EI702),1)="+",LEFT(UPPER($EI702),1)="-"),999),"E+","E"),"E-","E"),"+",""),"-","")),LEN(UPPER($EI702))-LEN(SUBSTITUTE(UPPER($EI702),"E",""))&lt;2,LEN(UPPER($EI702))-LEN(SUBSTITUTE(UPPER($EI702),".",""))&lt;2,IFERROR(FIND(".",UPPER($EI702)),0)&lt;IFERROR(FIND("E",UPPER($EI702)),999)),ISNUMBER(VALUE($EI702)))),1,2)))</f>
        <v/>
      </c>
      <c r="EK702">
        <f>IF($DM702=0,"",IF($EJ702=1,IF(ISNUMBER($EI702),$EI702,VALUE($EI702)),IF($EJ702=2,$DE702,0)))</f>
        <v/>
      </c>
      <c r="EL702">
        <f>IF($DM702=0,"",COUNTIF($EG$5:$EG$1003,"&lt;"&amp;$EG702)+SUMPRODUCT(($EG$5:$EG$1003=$EG702)*(($EJ$5:$EJ$1003&lt;$EJ702)+($EJ$5:$EJ$1003=$EJ702)*(($EK$5:$EK$1003&lt;$EK702)+($EK$5:$EK$1003=$EK702)*($DE$5:$DE$1003&lt;$DE702))))+1)</f>
        <v/>
      </c>
      <c r="EM702">
        <f>IF($DM702=0,"",$EL702+$EG702-1)</f>
        <v/>
      </c>
      <c r="EN702">
        <f>IF($DM702=0,0,IFERROR(MATCH(1,INDEX(--(TRIM(SUBSTITUTE(SUBSTITUTE(SUBSTITUTE(SUBSTITUTE(LINES_NAME&amp;""," "," "),CHAR(9)," "),CHAR(10)," "),CHAR(13)," "))=$DH702),0),0),0))</f>
        <v/>
      </c>
      <c r="EO702">
        <f>IF($EN702=0,0,IF(OR(UPPER(TRIM(INDEX(LINES_SCHEDULED,$EN702)&amp;""))="YES",UPPER(TRIM(INDEX(LINES_SCHEDULED,$EN702)&amp;""))="Y",UPPER(TRIM(INDEX(LINES_SCHEDULED,$EN702)&amp;""))="X"),1,0))</f>
        <v/>
      </c>
      <c r="EP702">
        <f>IF($DM702=0,"",IF(COUNTIFS($EG$5:$EG$1003,$EG702,$EB$5:$EB$1003,"Ready")&gt;0,"READY",IF(COUNTIFS($EG$5:$EG$1003,$EG702,$EB$5:$EB$1003,"PM")&gt;0,"PM",IF(COUNTIFS($EG$5:$EG$1003,$EG702,$EB$5:$EB$1003,"OT")&gt;0,"OT",""))))</f>
        <v/>
      </c>
      <c r="EQ702">
        <f>IF($EN702=0,"",UPPER(TRIM(INDEX(LINES_STATUS,$EN702)&amp;"")))</f>
        <v/>
      </c>
      <c r="ER702">
        <f>IF($DM702=0,"",IF(OR($EQ702="READY",$EQ702="PM",$EQ702="OT"),$EQ702,$EP702))</f>
        <v/>
      </c>
      <c r="ES702">
        <f>IF($DM702=0,"",IF(AND($DV702&lt;&gt;"",UPPER($DV702)&lt;&gt;"N"),"allergen",IF(ISNUMBER(SEARCH("oil",$DQ702)),"oil",IF(OR(EXACT($DS702,"A662"),EXACT($DS702,"A624")),"bulk",""))))</f>
        <v/>
      </c>
      <c r="ET702">
        <f>IF($DM702=0,"",IF(OR($EA702="",$EA702=0),"",$EA702/100))</f>
        <v/>
      </c>
      <c r="EU702">
        <f>IF(OR($ET702="",$DY702=""),"",INT($DY702*(1-$ET702)+0.5))</f>
        <v/>
      </c>
      <c r="EW702" t="n">
        <v>698</v>
      </c>
      <c r="EX702">
        <f>IFERROR(MATCH($EW702,$EM$5:$EM$1003,0),0)</f>
        <v/>
      </c>
      <c r="EY702">
        <f>IF($EW702&gt;$B$12,"",IF($EX702&gt;0,"row","spacer"))</f>
        <v/>
      </c>
      <c r="EZ702">
        <f>IF(AND($EY702="row",$EY701&lt;&gt;"row"),1,0)</f>
        <v/>
      </c>
      <c r="FA702">
        <f>IF(AND($EY702="row",$EY703&lt;&gt;"row"),1,0)</f>
        <v/>
      </c>
      <c r="FB702">
        <f>IF($EZ702=1,IFERROR(IF(ISNUMBER(INDEX(PASTE_ALL,INDEX($DF$5:$DF$1003,$EX702),$B$37)),INDEX(PASTE_ALL,INDEX($DF$5:$DF$1003,$EX702),$B$37),INDEX($DH$5:$DH$1003,$EX702)),INDEX($DH$5:$DH$1003,$EX702)),"")</f>
        <v/>
      </c>
      <c r="FC702">
        <f>IF($EY702="row",INDEX($ER$5:$ER$1003,$EX702),"")</f>
        <v/>
      </c>
      <c r="FD702">
        <f>IF($EY702="row",INDEX($DN$5:$DN$1003,$EX702),"")</f>
        <v/>
      </c>
      <c r="FE702">
        <f>IF($EY702="row",INDEX($DO$5:$DO$1003,$EX702),"")</f>
        <v/>
      </c>
      <c r="FF702">
        <f>IF($EY702="row",INDEX($DP$5:$DP$1003,$EX702),"")</f>
        <v/>
      </c>
      <c r="FG702">
        <f>IF($EY702="row",INDEX($DQ$5:$DQ$1003,$EX702),"")</f>
        <v/>
      </c>
      <c r="FH702">
        <f>IF($EY702="row",INDEX($DR$5:$DR$1003,$EX702),"")</f>
        <v/>
      </c>
      <c r="FI702">
        <f>IF($EY702="row",INDEX($DS$5:$DS$1003,$EX702),"")</f>
        <v/>
      </c>
      <c r="FJ702">
        <f>IF($EY702="row",INDEX($DT$5:$DT$1003,$EX702),"")</f>
        <v/>
      </c>
      <c r="FK702">
        <f>IF($EY702="row",INDEX($DU$5:$DU$1003,$EX702),"")</f>
        <v/>
      </c>
      <c r="FL702">
        <f>IF($EY702="row",INDEX($DV$5:$DV$1003,$EX702),"")</f>
        <v/>
      </c>
      <c r="FM702">
        <f>IF($EY702="row",INDEX($DW$5:$DW$1003,$EX702),"")</f>
        <v/>
      </c>
      <c r="FN702">
        <f>IF($EY702="row",INDEX($DY$5:$DY$1003,$EX702),"")</f>
        <v/>
      </c>
      <c r="FO702">
        <f>IF($EY702="row",INDEX($EA$5:$EA$1003,$EX702),"")</f>
        <v/>
      </c>
      <c r="FP702">
        <f>IF($EY702="row",INDEX($EC$5:$EC$1003,$EX702),"")</f>
        <v/>
      </c>
      <c r="FQ702">
        <f>IF($EY702="row",INDEX($ET$5:$ET$1003,$EX702),"")</f>
        <v/>
      </c>
      <c r="FR702">
        <f>IF($EY702="row",INDEX($EU$5:$EU$1003,$EX702),"")</f>
        <v/>
      </c>
      <c r="FS702">
        <f>IF(AND($EY702="row",$EY701="row"),IF(OR(INDEX($DT$5:$DT$1003,$EX701)="",INDEX($DT$5:$DT$1003,$EX702)=""),"",IF(NOT(EXACT(INDEX($DT$5:$DT$1003,$EX701),INDEX($DT$5:$DT$1003,$EX702))),"S4",IF(NOT(EXACT(INDEX($DS$5:$DS$1003,$EX701),INDEX($DS$5:$DS$1003,$EX702))),"S3",IF(NOT(EXACT(INDEX($DR$5:$DR$1003,$EX701),INDEX($DR$5:$DR$1003,$EX702))),"S1 Count Change","S1")))),"")</f>
        <v/>
      </c>
      <c r="FT702">
        <f>IF($EY702="row",INDEX($ES$5:$ES$1003,$EX702),"")</f>
        <v/>
      </c>
      <c r="FU702">
        <f>IF($EY702="row",INDEX($EO$5:$EO$1003,$EX702),0)</f>
        <v/>
      </c>
      <c r="FV702">
        <f>IF($FS702="S1 Count Change",1,0)</f>
        <v/>
      </c>
    </row>
    <row r="703">
      <c r="DA703" t="n">
        <v>699</v>
      </c>
      <c r="DB703">
        <f>IF($B$37=0,"",IFERROR(TRIM(SUBSTITUTE(SUBSTITUTE(SUBSTITUTE(SUBSTITUTE(INDEX(PASTE_ALL,699,$B$37)," "," "),CHAR(9)," "),CHAR(10)," "),CHAR(13)," ")),""))</f>
        <v/>
      </c>
      <c r="DC703">
        <f>IF(AND(699&gt;HEADER_ROW,UPPER(DB703)="LEGEND"),1,0)</f>
        <v/>
      </c>
      <c r="DE703" t="n">
        <v>699</v>
      </c>
      <c r="DF703">
        <f>HEADER_ROW+$DE703</f>
        <v/>
      </c>
      <c r="DG703">
        <f>IF(AND($DF703&lt;=1000,$DF703&lt;$B$8),1,0)</f>
        <v/>
      </c>
      <c r="DH703">
        <f>IF($DG703=1,IFERROR(INDEX($DB$5:$DB$1004,$DF703),""),"")</f>
        <v/>
      </c>
      <c r="DI703">
        <f>IF(AND($DG703=1,$DH703&lt;&gt;""),IFERROR(SUBSTITUTE(SUBSTITUTE(TRIM(SUBSTITUTE(SUBSTITUTE(SUBSTITUTE(SUBSTITUTE(IFERROR(INDEX(PASTE_ALL,$DF703,1)&amp;"","")&amp;"␟"&amp;IFERROR(INDEX(PASTE_ALL,$DF703,2)&amp;"","")&amp;"␟"&amp;IFERROR(INDEX(PASTE_ALL,$DF703,3)&amp;"","")&amp;"␟"&amp;IFERROR(INDEX(PASTE_ALL,$DF703,4)&amp;"","")&amp;"␟"&amp;IFERROR(INDEX(PASTE_ALL,$DF703,5)&amp;"","")&amp;"␟"&amp;IFERROR(INDEX(PASTE_ALL,$DF703,6)&amp;"","")&amp;"␟"&amp;IFERROR(INDEX(PASTE_ALL,$DF703,7)&amp;"","")&amp;"␟"&amp;IFERROR(INDEX(PASTE_ALL,$DF703,8)&amp;"","")&amp;"␟"&amp;IFERROR(INDEX(PASTE_ALL,$DF703,9)&amp;"","")&amp;"␟"&amp;IFERROR(INDEX(PASTE_ALL,$DF703,10)&amp;"","")&amp;"␟"&amp;IFERROR(INDEX(PASTE_ALL,$DF703,11)&amp;"","")&amp;"␟"&amp;IFERROR(INDEX(PASTE_ALL,$DF703,12)&amp;"","")&amp;"␟"&amp;IFERROR(INDEX(PASTE_ALL,$DF703,13)&amp;"","")&amp;"␟"&amp;IFERROR(INDEX(PASTE_ALL,$DF703,14)&amp;"","")&amp;"␟"&amp;IFERROR(INDEX(PASTE_ALL,$DF703,15)&amp;"","")&amp;"␟"&amp;IFERROR(INDEX(PASTE_ALL,$DF703,16)&amp;"","")&amp;"␟"&amp;IFERROR(INDEX(PASTE_ALL,$DF703,17)&amp;"","")&amp;"␟"&amp;IFERROR(INDEX(PASTE_ALL,$DF703,18)&amp;"","")&amp;"␟"&amp;IFERROR(INDEX(PASTE_ALL,$DF703,19)&amp;"","")&amp;"␟"&amp;IFERROR(INDEX(PASTE_ALL,$DF703,20)&amp;"","")&amp;"␟"&amp;IFERROR(INDEX(PASTE_ALL,$DF703,21)&amp;"","")&amp;"␟"&amp;IFERROR(INDEX(PASTE_ALL,$DF703,22)&amp;"","")&amp;"␟"&amp;IFERROR(INDEX(PASTE_ALL,$DF703,23)&amp;"","")&amp;"␟"&amp;IFERROR(INDEX(PASTE_ALL,$DF703,24)&amp;"","")&amp;"␟"&amp;IFERROR(INDEX(PASTE_ALL,$DF703,25)&amp;"","")&amp;"␟"&amp;IFERROR(INDEX(PASTE_ALL,$DF703,26)&amp;"","")&amp;"␟"&amp;IFERROR(INDEX(PASTE_ALL,$DF703,27)&amp;"","")&amp;"␟"&amp;IFERROR(INDEX(PASTE_ALL,$DF703,28)&amp;"","")&amp;"␟"&amp;IFERROR(INDEX(PASTE_ALL,$DF703,29)&amp;"","")&amp;"␟"&amp;IFERROR(INDEX(PASTE_ALL,$DF703,30)&amp;"","")&amp;"␟"&amp;IFERROR(INDEX(PASTE_ALL,$DF703,31)&amp;"","")&amp;"␟"&amp;IFERROR(INDEX(PASTE_ALL,$DF703,32)&amp;"","")&amp;"␟"&amp;IFERROR(INDEX(PASTE_ALL,$DF703,33)&amp;"","")&amp;"␟"&amp;IFERROR(INDEX(PASTE_ALL,$DF703,34)&amp;"","")&amp;"␟"&amp;IFERROR(INDEX(PASTE_ALL,$DF703,35)&amp;"","")&amp;"␟"&amp;IFERROR(INDEX(PASTE_ALL,$DF703,36)&amp;"","")&amp;"␟"&amp;IFERROR(INDEX(PASTE_ALL,$DF703,37)&amp;"","")&amp;"␟"&amp;IFERROR(INDEX(PASTE_ALL,$DF703,38)&amp;"","")&amp;"␟"&amp;IFERROR(INDEX(PASTE_ALL,$DF703,39)&amp;"","")&amp;"␟"&amp;IFERROR(INDEX(PASTE_ALL,$DF703,40)&amp;"","")&amp;"␟"&amp;IFERROR(INDEX(PASTE_ALL,$DF703,41)&amp;"","")&amp;"␟"&amp;IFERROR(INDEX(PASTE_ALL,$DF703,42)&amp;"","")&amp;"␟"&amp;IFERROR(INDEX(PASTE_ALL,$DF703,43)&amp;"","")&amp;"␟"&amp;IFERROR(INDEX(PASTE_ALL,$DF703,44)&amp;"","")&amp;"␟"&amp;IFERROR(INDEX(PASTE_ALL,$DF703,45)&amp;"","")&amp;"␟"&amp;IFERROR(INDEX(PASTE_ALL,$DF703,46)&amp;"","")&amp;"␟"&amp;IFERROR(INDEX(PASTE_ALL,$DF703,47)&amp;"","")&amp;"␟"&amp;IFERROR(INDEX(PASTE_ALL,$DF703,48)&amp;"","")&amp;"␟"&amp;IFERROR(INDEX(PASTE_ALL,$DF703,49)&amp;"","")&amp;"␟"&amp;IFERROR(INDEX(PASTE_ALL,$DF703,50)&amp;"","")&amp;"␟"&amp;IFERROR(INDEX(PASTE_ALL,$DF703,51)&amp;"","")&amp;"␟"&amp;IFERROR(INDEX(PASTE_ALL,$DF703,52)&amp;"","")&amp;"␟"&amp;IFERROR(INDEX(PASTE_ALL,$DF703,53)&amp;"","")&amp;"␟"&amp;IFERROR(INDEX(PASTE_ALL,$DF703,54)&amp;"","")&amp;"␟"&amp;IFERROR(INDEX(PASTE_ALL,$DF703,55)&amp;"","")&amp;"␟"&amp;IFERROR(INDEX(PASTE_ALL,$DF703,56)&amp;"","")&amp;"␟"&amp;IFERROR(INDEX(PASTE_ALL,$DF703,57)&amp;"","")&amp;"␟"&amp;IFERROR(INDEX(PASTE_ALL,$DF703,58)&amp;"","")&amp;"␟"&amp;IFERROR(INDEX(PASTE_ALL,$DF703,59)&amp;"","")&amp;"␟"&amp;IFERROR(INDEX(PASTE_ALL,$DF703,60)&amp;"","")," "," "),CHAR(9)," "),CHAR(10)," "),CHAR(13)," "))," ␟","␟"),"␟ ","␟"),"#"&amp;$DE703),"")</f>
        <v/>
      </c>
      <c r="DJ703">
        <f>IF($DI703="",0,IF(SUMPRODUCT(--EXACT($DI$4:DI702,$DI703))&gt;0,1,0))</f>
        <v/>
      </c>
      <c r="DK703">
        <f>IF(AND($DI703&lt;&gt;"",$DJ703=0),1,0)</f>
        <v/>
      </c>
      <c r="DL703">
        <f>DL702+$DK703</f>
        <v/>
      </c>
      <c r="DM703">
        <f>IF(AND($DK703=1,$DL703&lt;=600),1,0)</f>
        <v/>
      </c>
      <c r="DN703">
        <f>IF($DM703=0,"",IF($L$6=0,"",IFERROR(IF(ISNUMBER(INDEX(PASTE_ALL,$DF703,$L$6)),INDEX(PASTE_ALL,$DF703,$L$6),TRIM(SUBSTITUTE(SUBSTITUTE(SUBSTITUTE(SUBSTITUTE(INDEX(PASTE_ALL,$DF703,$L$6)," "," "),CHAR(9)," "),CHAR(10)," "),CHAR(13)," "))),"")))</f>
        <v/>
      </c>
      <c r="DO703">
        <f>IF($DM703=0,"",IF($L$7=0,"",IFERROR(IF(ISNUMBER(INDEX(PASTE_ALL,$DF703,$L$7)),INDEX(PASTE_ALL,$DF703,$L$7),TRIM(SUBSTITUTE(SUBSTITUTE(SUBSTITUTE(SUBSTITUTE(INDEX(PASTE_ALL,$DF703,$L$7)," "," "),CHAR(9)," "),CHAR(10)," "),CHAR(13)," "))),"")))</f>
        <v/>
      </c>
      <c r="DP703">
        <f>IF($DM703=0,"",IF($L$8=0,"",IFERROR(IF(ISNUMBER(INDEX(PASTE_ALL,$DF703,$L$8)),INDEX(PASTE_ALL,$DF703,$L$8),TRIM(SUBSTITUTE(SUBSTITUTE(SUBSTITUTE(SUBSTITUTE(INDEX(PASTE_ALL,$DF703,$L$8)," "," "),CHAR(9)," "),CHAR(10)," "),CHAR(13)," "))),"")))</f>
        <v/>
      </c>
      <c r="DQ703">
        <f>IF($DM703=0,"",IF($L$9=0,"",IFERROR(IF(ISNUMBER(INDEX(PASTE_ALL,$DF703,$L$9)),INDEX(PASTE_ALL,$DF703,$L$9),TRIM(SUBSTITUTE(SUBSTITUTE(SUBSTITUTE(SUBSTITUTE(INDEX(PASTE_ALL,$DF703,$L$9)," "," "),CHAR(9)," "),CHAR(10)," "),CHAR(13)," "))),"")))</f>
        <v/>
      </c>
      <c r="DR703">
        <f>IF($DM703=0,"",IF($L$10=0,"",IFERROR(IF(ISNUMBER(INDEX(PASTE_ALL,$DF703,$L$10)),INDEX(PASTE_ALL,$DF703,$L$10),TRIM(SUBSTITUTE(SUBSTITUTE(SUBSTITUTE(SUBSTITUTE(INDEX(PASTE_ALL,$DF703,$L$10)," "," "),CHAR(9)," "),CHAR(10)," "),CHAR(13)," "))),"")))</f>
        <v/>
      </c>
      <c r="DS703">
        <f>IF($DM703=0,"",IF($L$11=0,"",IFERROR(IF(ISNUMBER(INDEX(PASTE_ALL,$DF703,$L$11)),INDEX(PASTE_ALL,$DF703,$L$11),TRIM(SUBSTITUTE(SUBSTITUTE(SUBSTITUTE(SUBSTITUTE(INDEX(PASTE_ALL,$DF703,$L$11)," "," "),CHAR(9)," "),CHAR(10)," "),CHAR(13)," "))),"")))</f>
        <v/>
      </c>
      <c r="DT703">
        <f>IF($DM703=0,"",IF($L$12=0,"",IFERROR(IF(ISNUMBER(INDEX(PASTE_ALL,$DF703,$L$12)),INDEX(PASTE_ALL,$DF703,$L$12),TRIM(SUBSTITUTE(SUBSTITUTE(SUBSTITUTE(SUBSTITUTE(INDEX(PASTE_ALL,$DF703,$L$12)," "," "),CHAR(9)," "),CHAR(10)," "),CHAR(13)," "))),"")))</f>
        <v/>
      </c>
      <c r="DU703">
        <f>IF($DM703=0,"",IF($L$13=0,"",IFERROR(IF(ISNUMBER(INDEX(PASTE_ALL,$DF703,$L$13)),INDEX(PASTE_ALL,$DF703,$L$13),TRIM(SUBSTITUTE(SUBSTITUTE(SUBSTITUTE(SUBSTITUTE(INDEX(PASTE_ALL,$DF703,$L$13)," "," "),CHAR(9)," "),CHAR(10)," "),CHAR(13)," "))),"")))</f>
        <v/>
      </c>
      <c r="DV703">
        <f>IF($DM703=0,"",IF($L$14=0,"",IFERROR(IF(ISNUMBER(INDEX(PASTE_ALL,$DF703,$L$14)),INDEX(PASTE_ALL,$DF703,$L$14),TRIM(SUBSTITUTE(SUBSTITUTE(SUBSTITUTE(SUBSTITUTE(INDEX(PASTE_ALL,$DF703,$L$14)," "," "),CHAR(9)," "),CHAR(10)," "),CHAR(13)," "))),"")))</f>
        <v/>
      </c>
      <c r="DW703">
        <f>IF($DM703=0,"",IF($L$15=0,"",IFERROR(IF(ISNUMBER(INDEX(PASTE_ALL,$DF703,$L$15)),INDEX(PASTE_ALL,$DF703,$L$15),IF(SUMPRODUCT(--ISNUMBER(FIND({"A","B","C","D","E","F","G","H","I","J","K","L","M","N","O","P","Q","R","S","T","U","V","W","X","Y","Z","0","1","2","3","4","5","6","7","8","9"},UPPER(TRIM(SUBSTITUTE(SUBSTITUTE(SUBSTITUTE(SUBSTITUTE(INDEX(PASTE_ALL,$DF703,$L$15)," "," "),CHAR(9)," "),CHAR(10)," "),CHAR(13)," "))))))&gt;0,TRIM(SUBSTITUTE(SUBSTITUTE(SUBSTITUTE(SUBSTITUTE(INDEX(PASTE_ALL,$DF703,$L$15)," "," "),CHAR(9)," "),CHAR(10)," "),CHAR(13)," ")),"")),"")))</f>
        <v/>
      </c>
      <c r="DX703">
        <f>IF($DM703=0,"",IF($L$16=0,"",IFERROR(IF(ISNUMBER(INDEX(PASTE_ALL,$DF703,$L$16)),INDEX(PASTE_ALL,$DF703,$L$16),SUBSTITUTE(SUBSTITUTE(TRIM(SUBSTITUTE(SUBSTITUTE(SUBSTITUTE(SUBSTITUTE(INDEX(PASTE_ALL,$DF703,$L$16)," "," "),CHAR(9)," "),CHAR(10)," "),CHAR(13)," ")),",",""),"%","")),"")))</f>
        <v/>
      </c>
      <c r="DY703">
        <f>IF($DM703=0,"",IFERROR(IF(ISNUMBER($DX703),$DX703,IF($DX703="","",IF(TRIM($DX703)="",0,IF(AND(AND(SUBSTITUTE(SUBSTITUTE(SUBSTITUTE(SUBSTITUTE(SUBSTITUTE(SUBSTITUTE(SUBSTITUTE(SUBSTITUTE(SUBSTITUTE(SUBSTITUTE(SUBSTITUTE(SUBSTITUTE(SUBSTITUTE(SUBSTITUTE(UPPER(TRIM($DX703)),"0",""),"1",""),"2",""),"3",""),"4",""),"5",""),"6",""),"7",""),"8",""),"9",""),".",""),"+",""),"-",""),"E","")="",LEN(SUBSTITUTE(SUBSTITUTE(MID(UPPER(TRIM($DX703)),1+OR(LEFT(UPPER(TRIM($DX703)),1)="+",LEFT(UPPER(TRIM($DX703)),1)="-"),999),"E+","E"),"E-","E"))=LEN(SUBSTITUTE(SUBSTITUTE(SUBSTITUTE(SUBSTITUTE(MID(UPPER(TRIM($DX703)),1+OR(LEFT(UPPER(TRIM($DX703)),1)="+",LEFT(UPPER(TRIM($DX703)),1)="-"),999),"E+","E"),"E-","E"),"+",""),"-","")),LEN(UPPER(TRIM($DX703)))-LEN(SUBSTITUTE(UPPER(TRIM($DX703)),"E",""))&lt;2,LEN(UPPER(TRIM($DX703)))-LEN(SUBSTITUTE(UPPER(TRIM($DX703)),".",""))&lt;2,IFERROR(FIND(".",UPPER(TRIM($DX703))),0)&lt;IFERROR(FIND("E",UPPER(TRIM($DX703))),999)),ISNUMBER(VALUE(TRIM($DX703)))),VALUE(TRIM($DX703)),"")))),""))</f>
        <v/>
      </c>
      <c r="DZ703">
        <f>IF($DM703=0,"",IF($L$17=0,"",IFERROR(IF(ISNUMBER(INDEX(PASTE_ALL,$DF703,$L$17)),INDEX(PASTE_ALL,$DF703,$L$17),SUBSTITUTE(SUBSTITUTE(TRIM(SUBSTITUTE(SUBSTITUTE(SUBSTITUTE(SUBSTITUTE(INDEX(PASTE_ALL,$DF703,$L$17)," "," "),CHAR(9)," "),CHAR(10)," "),CHAR(13)," ")),",",""),"%","")),"")))</f>
        <v/>
      </c>
      <c r="EA703">
        <f>IF($DM703=0,"",IFERROR(IF(ISNUMBER($DZ703),$DZ703,IF($DZ703="","",IF(TRIM($DZ703)="",0,IF(AND(AND(SUBSTITUTE(SUBSTITUTE(SUBSTITUTE(SUBSTITUTE(SUBSTITUTE(SUBSTITUTE(SUBSTITUTE(SUBSTITUTE(SUBSTITUTE(SUBSTITUTE(SUBSTITUTE(SUBSTITUTE(SUBSTITUTE(SUBSTITUTE(UPPER(TRIM($DZ703)),"0",""),"1",""),"2",""),"3",""),"4",""),"5",""),"6",""),"7",""),"8",""),"9",""),".",""),"+",""),"-",""),"E","")="",LEN(SUBSTITUTE(SUBSTITUTE(MID(UPPER(TRIM($DZ703)),1+OR(LEFT(UPPER(TRIM($DZ703)),1)="+",LEFT(UPPER(TRIM($DZ703)),1)="-"),999),"E+","E"),"E-","E"))=LEN(SUBSTITUTE(SUBSTITUTE(SUBSTITUTE(SUBSTITUTE(MID(UPPER(TRIM($DZ703)),1+OR(LEFT(UPPER(TRIM($DZ703)),1)="+",LEFT(UPPER(TRIM($DZ703)),1)="-"),999),"E+","E"),"E-","E"),"+",""),"-","")),LEN(UPPER(TRIM($DZ703)))-LEN(SUBSTITUTE(UPPER(TRIM($DZ703)),"E",""))&lt;2,LEN(UPPER(TRIM($DZ703)))-LEN(SUBSTITUTE(UPPER(TRIM($DZ703)),".",""))&lt;2,IFERROR(FIND(".",UPPER(TRIM($DZ703))),0)&lt;IFERROR(FIND("E",UPPER(TRIM($DZ703))),999)),ISNUMBER(VALUE(TRIM($DZ703)))),VALUE(TRIM($DZ703)),"")))),""))</f>
        <v/>
      </c>
      <c r="EB703">
        <f>IF($DM703=0,"",IF($L$18=0,"",IFERROR(IF(UPPER(TRIM(SUBSTITUTE(SUBSTITUTE(SUBSTITUTE(SUBSTITUTE(INDEX(PASTE_ALL,$DF703,$L$18)," "," "),CHAR(9)," "),CHAR(10)," "),CHAR(13)," ")))="READY","Ready",IF(UPPER(TRIM(SUBSTITUTE(SUBSTITUTE(SUBSTITUTE(SUBSTITUTE(INDEX(PASTE_ALL,$DF703,$L$18)," "," "),CHAR(9)," "),CHAR(10)," "),CHAR(13)," ")))="PM","PM",IF(OR(UPPER(TRIM(SUBSTITUTE(SUBSTITUTE(SUBSTITUTE(SUBSTITUTE(INDEX(PASTE_ALL,$DF703,$L$18)," "," "),CHAR(9)," "),CHAR(10)," "),CHAR(13)," ")))="OT",UPPER(TRIM(SUBSTITUTE(SUBSTITUTE(SUBSTITUTE(SUBSTITUTE(INDEX(PASTE_ALL,$DF703,$L$18)," "," "),CHAR(9)," "),CHAR(10)," "),CHAR(13)," ")))="OVERTIME",UPPER(TRIM(SUBSTITUTE(SUBSTITUTE(SUBSTITUTE(SUBSTITUTE(INDEX(PASTE_ALL,$DF703,$L$18)," "," "),CHAR(9)," "),CHAR(10)," "),CHAR(13)," ")))="TRIAL"),"OT",TRIM(SUBSTITUTE(SUBSTITUTE(SUBSTITUTE(SUBSTITUTE(INDEX(PASTE_ALL,$DF703,$L$18)," "," "),CHAR(9)," "),CHAR(10)," "),CHAR(13)," "))))),"")))</f>
        <v/>
      </c>
      <c r="EC703">
        <f>IF($DM703=0,"",IF($L$19=0,"",IFERROR(IF(ISNUMBER(INDEX(PASTE_ALL,$DF703,$L$19)),INDEX(PASTE_ALL,$DF703,$L$19),TRIM(SUBSTITUTE(SUBSTITUTE(SUBSTITUTE(SUBSTITUTE(INDEX(PASTE_ALL,$DF703,$L$19)," "," "),CHAR(9)," "),CHAR(10)," "),CHAR(13)," "))),"")))</f>
        <v/>
      </c>
      <c r="ED703">
        <f>IF($DM703=0,"",MATCH(1,INDEX(EXACT($DH$5:DH703,$DH703)*$DM$5:DM703,0),0))</f>
        <v/>
      </c>
      <c r="EE703">
        <f>IF($DM703=0,0,IF($ED703=$DE703,1,0))</f>
        <v/>
      </c>
      <c r="EF703">
        <f>EF702+$EE703</f>
        <v/>
      </c>
      <c r="EG703">
        <f>IF($DM703=0,"",INDEX($EF$5:$EF$1003,$ED703))</f>
        <v/>
      </c>
      <c r="EH703">
        <f>IF($DM703=0,"",IF($DO703&lt;&gt;"","",IFERROR(LOOKUP(2,1/(($EG$4:EG702=$EG703)*($DO$4:DO702&lt;&gt;"")),$DO$4:DO702),"")))</f>
        <v/>
      </c>
      <c r="EI703">
        <f>IF($DM703=0,"",IF($DO703&lt;&gt;"",$DO703,$EH703))</f>
        <v/>
      </c>
      <c r="EJ703">
        <f>IF($DM703=0,"",IF($EI703="",0,IF(OR(ISNUMBER($EI703),AND(AND(SUBSTITUTE(SUBSTITUTE(SUBSTITUTE(SUBSTITUTE(SUBSTITUTE(SUBSTITUTE(SUBSTITUTE(SUBSTITUTE(SUBSTITUTE(SUBSTITUTE(SUBSTITUTE(SUBSTITUTE(SUBSTITUTE(SUBSTITUTE(UPPER($EI703),"0",""),"1",""),"2",""),"3",""),"4",""),"5",""),"6",""),"7",""),"8",""),"9",""),".",""),"+",""),"-",""),"E","")="",LEN(SUBSTITUTE(SUBSTITUTE(MID(UPPER($EI703),1+OR(LEFT(UPPER($EI703),1)="+",LEFT(UPPER($EI703),1)="-"),999),"E+","E"),"E-","E"))=LEN(SUBSTITUTE(SUBSTITUTE(SUBSTITUTE(SUBSTITUTE(MID(UPPER($EI703),1+OR(LEFT(UPPER($EI703),1)="+",LEFT(UPPER($EI703),1)="-"),999),"E+","E"),"E-","E"),"+",""),"-","")),LEN(UPPER($EI703))-LEN(SUBSTITUTE(UPPER($EI703),"E",""))&lt;2,LEN(UPPER($EI703))-LEN(SUBSTITUTE(UPPER($EI703),".",""))&lt;2,IFERROR(FIND(".",UPPER($EI703)),0)&lt;IFERROR(FIND("E",UPPER($EI703)),999)),ISNUMBER(VALUE($EI703)))),1,2)))</f>
        <v/>
      </c>
      <c r="EK703">
        <f>IF($DM703=0,"",IF($EJ703=1,IF(ISNUMBER($EI703),$EI703,VALUE($EI703)),IF($EJ703=2,$DE703,0)))</f>
        <v/>
      </c>
      <c r="EL703">
        <f>IF($DM703=0,"",COUNTIF($EG$5:$EG$1003,"&lt;"&amp;$EG703)+SUMPRODUCT(($EG$5:$EG$1003=$EG703)*(($EJ$5:$EJ$1003&lt;$EJ703)+($EJ$5:$EJ$1003=$EJ703)*(($EK$5:$EK$1003&lt;$EK703)+($EK$5:$EK$1003=$EK703)*($DE$5:$DE$1003&lt;$DE703))))+1)</f>
        <v/>
      </c>
      <c r="EM703">
        <f>IF($DM703=0,"",$EL703+$EG703-1)</f>
        <v/>
      </c>
      <c r="EN703">
        <f>IF($DM703=0,0,IFERROR(MATCH(1,INDEX(--(TRIM(SUBSTITUTE(SUBSTITUTE(SUBSTITUTE(SUBSTITUTE(LINES_NAME&amp;""," "," "),CHAR(9)," "),CHAR(10)," "),CHAR(13)," "))=$DH703),0),0),0))</f>
        <v/>
      </c>
      <c r="EO703">
        <f>IF($EN703=0,0,IF(OR(UPPER(TRIM(INDEX(LINES_SCHEDULED,$EN703)&amp;""))="YES",UPPER(TRIM(INDEX(LINES_SCHEDULED,$EN703)&amp;""))="Y",UPPER(TRIM(INDEX(LINES_SCHEDULED,$EN703)&amp;""))="X"),1,0))</f>
        <v/>
      </c>
      <c r="EP703">
        <f>IF($DM703=0,"",IF(COUNTIFS($EG$5:$EG$1003,$EG703,$EB$5:$EB$1003,"Ready")&gt;0,"READY",IF(COUNTIFS($EG$5:$EG$1003,$EG703,$EB$5:$EB$1003,"PM")&gt;0,"PM",IF(COUNTIFS($EG$5:$EG$1003,$EG703,$EB$5:$EB$1003,"OT")&gt;0,"OT",""))))</f>
        <v/>
      </c>
      <c r="EQ703">
        <f>IF($EN703=0,"",UPPER(TRIM(INDEX(LINES_STATUS,$EN703)&amp;"")))</f>
        <v/>
      </c>
      <c r="ER703">
        <f>IF($DM703=0,"",IF(OR($EQ703="READY",$EQ703="PM",$EQ703="OT"),$EQ703,$EP703))</f>
        <v/>
      </c>
      <c r="ES703">
        <f>IF($DM703=0,"",IF(AND($DV703&lt;&gt;"",UPPER($DV703)&lt;&gt;"N"),"allergen",IF(ISNUMBER(SEARCH("oil",$DQ703)),"oil",IF(OR(EXACT($DS703,"A662"),EXACT($DS703,"A624")),"bulk",""))))</f>
        <v/>
      </c>
      <c r="ET703">
        <f>IF($DM703=0,"",IF(OR($EA703="",$EA703=0),"",$EA703/100))</f>
        <v/>
      </c>
      <c r="EU703">
        <f>IF(OR($ET703="",$DY703=""),"",INT($DY703*(1-$ET703)+0.5))</f>
        <v/>
      </c>
      <c r="EW703" t="n">
        <v>699</v>
      </c>
      <c r="EX703">
        <f>IFERROR(MATCH($EW703,$EM$5:$EM$1003,0),0)</f>
        <v/>
      </c>
      <c r="EY703">
        <f>IF($EW703&gt;$B$12,"",IF($EX703&gt;0,"row","spacer"))</f>
        <v/>
      </c>
      <c r="EZ703">
        <f>IF(AND($EY703="row",$EY702&lt;&gt;"row"),1,0)</f>
        <v/>
      </c>
      <c r="FA703">
        <f>IF(AND($EY703="row",$EY704&lt;&gt;"row"),1,0)</f>
        <v/>
      </c>
      <c r="FB703">
        <f>IF($EZ703=1,IFERROR(IF(ISNUMBER(INDEX(PASTE_ALL,INDEX($DF$5:$DF$1003,$EX703),$B$37)),INDEX(PASTE_ALL,INDEX($DF$5:$DF$1003,$EX703),$B$37),INDEX($DH$5:$DH$1003,$EX703)),INDEX($DH$5:$DH$1003,$EX703)),"")</f>
        <v/>
      </c>
      <c r="FC703">
        <f>IF($EY703="row",INDEX($ER$5:$ER$1003,$EX703),"")</f>
        <v/>
      </c>
      <c r="FD703">
        <f>IF($EY703="row",INDEX($DN$5:$DN$1003,$EX703),"")</f>
        <v/>
      </c>
      <c r="FE703">
        <f>IF($EY703="row",INDEX($DO$5:$DO$1003,$EX703),"")</f>
        <v/>
      </c>
      <c r="FF703">
        <f>IF($EY703="row",INDEX($DP$5:$DP$1003,$EX703),"")</f>
        <v/>
      </c>
      <c r="FG703">
        <f>IF($EY703="row",INDEX($DQ$5:$DQ$1003,$EX703),"")</f>
        <v/>
      </c>
      <c r="FH703">
        <f>IF($EY703="row",INDEX($DR$5:$DR$1003,$EX703),"")</f>
        <v/>
      </c>
      <c r="FI703">
        <f>IF($EY703="row",INDEX($DS$5:$DS$1003,$EX703),"")</f>
        <v/>
      </c>
      <c r="FJ703">
        <f>IF($EY703="row",INDEX($DT$5:$DT$1003,$EX703),"")</f>
        <v/>
      </c>
      <c r="FK703">
        <f>IF($EY703="row",INDEX($DU$5:$DU$1003,$EX703),"")</f>
        <v/>
      </c>
      <c r="FL703">
        <f>IF($EY703="row",INDEX($DV$5:$DV$1003,$EX703),"")</f>
        <v/>
      </c>
      <c r="FM703">
        <f>IF($EY703="row",INDEX($DW$5:$DW$1003,$EX703),"")</f>
        <v/>
      </c>
      <c r="FN703">
        <f>IF($EY703="row",INDEX($DY$5:$DY$1003,$EX703),"")</f>
        <v/>
      </c>
      <c r="FO703">
        <f>IF($EY703="row",INDEX($EA$5:$EA$1003,$EX703),"")</f>
        <v/>
      </c>
      <c r="FP703">
        <f>IF($EY703="row",INDEX($EC$5:$EC$1003,$EX703),"")</f>
        <v/>
      </c>
      <c r="FQ703">
        <f>IF($EY703="row",INDEX($ET$5:$ET$1003,$EX703),"")</f>
        <v/>
      </c>
      <c r="FR703">
        <f>IF($EY703="row",INDEX($EU$5:$EU$1003,$EX703),"")</f>
        <v/>
      </c>
      <c r="FS703">
        <f>IF(AND($EY703="row",$EY702="row"),IF(OR(INDEX($DT$5:$DT$1003,$EX702)="",INDEX($DT$5:$DT$1003,$EX703)=""),"",IF(NOT(EXACT(INDEX($DT$5:$DT$1003,$EX702),INDEX($DT$5:$DT$1003,$EX703))),"S4",IF(NOT(EXACT(INDEX($DS$5:$DS$1003,$EX702),INDEX($DS$5:$DS$1003,$EX703))),"S3",IF(NOT(EXACT(INDEX($DR$5:$DR$1003,$EX702),INDEX($DR$5:$DR$1003,$EX703))),"S1 Count Change","S1")))),"")</f>
        <v/>
      </c>
      <c r="FT703">
        <f>IF($EY703="row",INDEX($ES$5:$ES$1003,$EX703),"")</f>
        <v/>
      </c>
      <c r="FU703">
        <f>IF($EY703="row",INDEX($EO$5:$EO$1003,$EX703),0)</f>
        <v/>
      </c>
      <c r="FV703">
        <f>IF($FS703="S1 Count Change",1,0)</f>
        <v/>
      </c>
    </row>
    <row r="704">
      <c r="DA704" t="n">
        <v>700</v>
      </c>
      <c r="DB704">
        <f>IF($B$37=0,"",IFERROR(TRIM(SUBSTITUTE(SUBSTITUTE(SUBSTITUTE(SUBSTITUTE(INDEX(PASTE_ALL,700,$B$37)," "," "),CHAR(9)," "),CHAR(10)," "),CHAR(13)," ")),""))</f>
        <v/>
      </c>
      <c r="DC704">
        <f>IF(AND(700&gt;HEADER_ROW,UPPER(DB704)="LEGEND"),1,0)</f>
        <v/>
      </c>
      <c r="DE704" t="n">
        <v>700</v>
      </c>
      <c r="DF704">
        <f>HEADER_ROW+$DE704</f>
        <v/>
      </c>
      <c r="DG704">
        <f>IF(AND($DF704&lt;=1000,$DF704&lt;$B$8),1,0)</f>
        <v/>
      </c>
      <c r="DH704">
        <f>IF($DG704=1,IFERROR(INDEX($DB$5:$DB$1004,$DF704),""),"")</f>
        <v/>
      </c>
      <c r="DI704">
        <f>IF(AND($DG704=1,$DH704&lt;&gt;""),IFERROR(SUBSTITUTE(SUBSTITUTE(TRIM(SUBSTITUTE(SUBSTITUTE(SUBSTITUTE(SUBSTITUTE(IFERROR(INDEX(PASTE_ALL,$DF704,1)&amp;"","")&amp;"␟"&amp;IFERROR(INDEX(PASTE_ALL,$DF704,2)&amp;"","")&amp;"␟"&amp;IFERROR(INDEX(PASTE_ALL,$DF704,3)&amp;"","")&amp;"␟"&amp;IFERROR(INDEX(PASTE_ALL,$DF704,4)&amp;"","")&amp;"␟"&amp;IFERROR(INDEX(PASTE_ALL,$DF704,5)&amp;"","")&amp;"␟"&amp;IFERROR(INDEX(PASTE_ALL,$DF704,6)&amp;"","")&amp;"␟"&amp;IFERROR(INDEX(PASTE_ALL,$DF704,7)&amp;"","")&amp;"␟"&amp;IFERROR(INDEX(PASTE_ALL,$DF704,8)&amp;"","")&amp;"␟"&amp;IFERROR(INDEX(PASTE_ALL,$DF704,9)&amp;"","")&amp;"␟"&amp;IFERROR(INDEX(PASTE_ALL,$DF704,10)&amp;"","")&amp;"␟"&amp;IFERROR(INDEX(PASTE_ALL,$DF704,11)&amp;"","")&amp;"␟"&amp;IFERROR(INDEX(PASTE_ALL,$DF704,12)&amp;"","")&amp;"␟"&amp;IFERROR(INDEX(PASTE_ALL,$DF704,13)&amp;"","")&amp;"␟"&amp;IFERROR(INDEX(PASTE_ALL,$DF704,14)&amp;"","")&amp;"␟"&amp;IFERROR(INDEX(PASTE_ALL,$DF704,15)&amp;"","")&amp;"␟"&amp;IFERROR(INDEX(PASTE_ALL,$DF704,16)&amp;"","")&amp;"␟"&amp;IFERROR(INDEX(PASTE_ALL,$DF704,17)&amp;"","")&amp;"␟"&amp;IFERROR(INDEX(PASTE_ALL,$DF704,18)&amp;"","")&amp;"␟"&amp;IFERROR(INDEX(PASTE_ALL,$DF704,19)&amp;"","")&amp;"␟"&amp;IFERROR(INDEX(PASTE_ALL,$DF704,20)&amp;"","")&amp;"␟"&amp;IFERROR(INDEX(PASTE_ALL,$DF704,21)&amp;"","")&amp;"␟"&amp;IFERROR(INDEX(PASTE_ALL,$DF704,22)&amp;"","")&amp;"␟"&amp;IFERROR(INDEX(PASTE_ALL,$DF704,23)&amp;"","")&amp;"␟"&amp;IFERROR(INDEX(PASTE_ALL,$DF704,24)&amp;"","")&amp;"␟"&amp;IFERROR(INDEX(PASTE_ALL,$DF704,25)&amp;"","")&amp;"␟"&amp;IFERROR(INDEX(PASTE_ALL,$DF704,26)&amp;"","")&amp;"␟"&amp;IFERROR(INDEX(PASTE_ALL,$DF704,27)&amp;"","")&amp;"␟"&amp;IFERROR(INDEX(PASTE_ALL,$DF704,28)&amp;"","")&amp;"␟"&amp;IFERROR(INDEX(PASTE_ALL,$DF704,29)&amp;"","")&amp;"␟"&amp;IFERROR(INDEX(PASTE_ALL,$DF704,30)&amp;"","")&amp;"␟"&amp;IFERROR(INDEX(PASTE_ALL,$DF704,31)&amp;"","")&amp;"␟"&amp;IFERROR(INDEX(PASTE_ALL,$DF704,32)&amp;"","")&amp;"␟"&amp;IFERROR(INDEX(PASTE_ALL,$DF704,33)&amp;"","")&amp;"␟"&amp;IFERROR(INDEX(PASTE_ALL,$DF704,34)&amp;"","")&amp;"␟"&amp;IFERROR(INDEX(PASTE_ALL,$DF704,35)&amp;"","")&amp;"␟"&amp;IFERROR(INDEX(PASTE_ALL,$DF704,36)&amp;"","")&amp;"␟"&amp;IFERROR(INDEX(PASTE_ALL,$DF704,37)&amp;"","")&amp;"␟"&amp;IFERROR(INDEX(PASTE_ALL,$DF704,38)&amp;"","")&amp;"␟"&amp;IFERROR(INDEX(PASTE_ALL,$DF704,39)&amp;"","")&amp;"␟"&amp;IFERROR(INDEX(PASTE_ALL,$DF704,40)&amp;"","")&amp;"␟"&amp;IFERROR(INDEX(PASTE_ALL,$DF704,41)&amp;"","")&amp;"␟"&amp;IFERROR(INDEX(PASTE_ALL,$DF704,42)&amp;"","")&amp;"␟"&amp;IFERROR(INDEX(PASTE_ALL,$DF704,43)&amp;"","")&amp;"␟"&amp;IFERROR(INDEX(PASTE_ALL,$DF704,44)&amp;"","")&amp;"␟"&amp;IFERROR(INDEX(PASTE_ALL,$DF704,45)&amp;"","")&amp;"␟"&amp;IFERROR(INDEX(PASTE_ALL,$DF704,46)&amp;"","")&amp;"␟"&amp;IFERROR(INDEX(PASTE_ALL,$DF704,47)&amp;"","")&amp;"␟"&amp;IFERROR(INDEX(PASTE_ALL,$DF704,48)&amp;"","")&amp;"␟"&amp;IFERROR(INDEX(PASTE_ALL,$DF704,49)&amp;"","")&amp;"␟"&amp;IFERROR(INDEX(PASTE_ALL,$DF704,50)&amp;"","")&amp;"␟"&amp;IFERROR(INDEX(PASTE_ALL,$DF704,51)&amp;"","")&amp;"␟"&amp;IFERROR(INDEX(PASTE_ALL,$DF704,52)&amp;"","")&amp;"␟"&amp;IFERROR(INDEX(PASTE_ALL,$DF704,53)&amp;"","")&amp;"␟"&amp;IFERROR(INDEX(PASTE_ALL,$DF704,54)&amp;"","")&amp;"␟"&amp;IFERROR(INDEX(PASTE_ALL,$DF704,55)&amp;"","")&amp;"␟"&amp;IFERROR(INDEX(PASTE_ALL,$DF704,56)&amp;"","")&amp;"␟"&amp;IFERROR(INDEX(PASTE_ALL,$DF704,57)&amp;"","")&amp;"␟"&amp;IFERROR(INDEX(PASTE_ALL,$DF704,58)&amp;"","")&amp;"␟"&amp;IFERROR(INDEX(PASTE_ALL,$DF704,59)&amp;"","")&amp;"␟"&amp;IFERROR(INDEX(PASTE_ALL,$DF704,60)&amp;"","")," "," "),CHAR(9)," "),CHAR(10)," "),CHAR(13)," "))," ␟","␟"),"␟ ","␟"),"#"&amp;$DE704),"")</f>
        <v/>
      </c>
      <c r="DJ704">
        <f>IF($DI704="",0,IF(SUMPRODUCT(--EXACT($DI$4:DI703,$DI704))&gt;0,1,0))</f>
        <v/>
      </c>
      <c r="DK704">
        <f>IF(AND($DI704&lt;&gt;"",$DJ704=0),1,0)</f>
        <v/>
      </c>
      <c r="DL704">
        <f>DL703+$DK704</f>
        <v/>
      </c>
      <c r="DM704">
        <f>IF(AND($DK704=1,$DL704&lt;=600),1,0)</f>
        <v/>
      </c>
      <c r="DN704">
        <f>IF($DM704=0,"",IF($L$6=0,"",IFERROR(IF(ISNUMBER(INDEX(PASTE_ALL,$DF704,$L$6)),INDEX(PASTE_ALL,$DF704,$L$6),TRIM(SUBSTITUTE(SUBSTITUTE(SUBSTITUTE(SUBSTITUTE(INDEX(PASTE_ALL,$DF704,$L$6)," "," "),CHAR(9)," "),CHAR(10)," "),CHAR(13)," "))),"")))</f>
        <v/>
      </c>
      <c r="DO704">
        <f>IF($DM704=0,"",IF($L$7=0,"",IFERROR(IF(ISNUMBER(INDEX(PASTE_ALL,$DF704,$L$7)),INDEX(PASTE_ALL,$DF704,$L$7),TRIM(SUBSTITUTE(SUBSTITUTE(SUBSTITUTE(SUBSTITUTE(INDEX(PASTE_ALL,$DF704,$L$7)," "," "),CHAR(9)," "),CHAR(10)," "),CHAR(13)," "))),"")))</f>
        <v/>
      </c>
      <c r="DP704">
        <f>IF($DM704=0,"",IF($L$8=0,"",IFERROR(IF(ISNUMBER(INDEX(PASTE_ALL,$DF704,$L$8)),INDEX(PASTE_ALL,$DF704,$L$8),TRIM(SUBSTITUTE(SUBSTITUTE(SUBSTITUTE(SUBSTITUTE(INDEX(PASTE_ALL,$DF704,$L$8)," "," "),CHAR(9)," "),CHAR(10)," "),CHAR(13)," "))),"")))</f>
        <v/>
      </c>
      <c r="DQ704">
        <f>IF($DM704=0,"",IF($L$9=0,"",IFERROR(IF(ISNUMBER(INDEX(PASTE_ALL,$DF704,$L$9)),INDEX(PASTE_ALL,$DF704,$L$9),TRIM(SUBSTITUTE(SUBSTITUTE(SUBSTITUTE(SUBSTITUTE(INDEX(PASTE_ALL,$DF704,$L$9)," "," "),CHAR(9)," "),CHAR(10)," "),CHAR(13)," "))),"")))</f>
        <v/>
      </c>
      <c r="DR704">
        <f>IF($DM704=0,"",IF($L$10=0,"",IFERROR(IF(ISNUMBER(INDEX(PASTE_ALL,$DF704,$L$10)),INDEX(PASTE_ALL,$DF704,$L$10),TRIM(SUBSTITUTE(SUBSTITUTE(SUBSTITUTE(SUBSTITUTE(INDEX(PASTE_ALL,$DF704,$L$10)," "," "),CHAR(9)," "),CHAR(10)," "),CHAR(13)," "))),"")))</f>
        <v/>
      </c>
      <c r="DS704">
        <f>IF($DM704=0,"",IF($L$11=0,"",IFERROR(IF(ISNUMBER(INDEX(PASTE_ALL,$DF704,$L$11)),INDEX(PASTE_ALL,$DF704,$L$11),TRIM(SUBSTITUTE(SUBSTITUTE(SUBSTITUTE(SUBSTITUTE(INDEX(PASTE_ALL,$DF704,$L$11)," "," "),CHAR(9)," "),CHAR(10)," "),CHAR(13)," "))),"")))</f>
        <v/>
      </c>
      <c r="DT704">
        <f>IF($DM704=0,"",IF($L$12=0,"",IFERROR(IF(ISNUMBER(INDEX(PASTE_ALL,$DF704,$L$12)),INDEX(PASTE_ALL,$DF704,$L$12),TRIM(SUBSTITUTE(SUBSTITUTE(SUBSTITUTE(SUBSTITUTE(INDEX(PASTE_ALL,$DF704,$L$12)," "," "),CHAR(9)," "),CHAR(10)," "),CHAR(13)," "))),"")))</f>
        <v/>
      </c>
      <c r="DU704">
        <f>IF($DM704=0,"",IF($L$13=0,"",IFERROR(IF(ISNUMBER(INDEX(PASTE_ALL,$DF704,$L$13)),INDEX(PASTE_ALL,$DF704,$L$13),TRIM(SUBSTITUTE(SUBSTITUTE(SUBSTITUTE(SUBSTITUTE(INDEX(PASTE_ALL,$DF704,$L$13)," "," "),CHAR(9)," "),CHAR(10)," "),CHAR(13)," "))),"")))</f>
        <v/>
      </c>
      <c r="DV704">
        <f>IF($DM704=0,"",IF($L$14=0,"",IFERROR(IF(ISNUMBER(INDEX(PASTE_ALL,$DF704,$L$14)),INDEX(PASTE_ALL,$DF704,$L$14),TRIM(SUBSTITUTE(SUBSTITUTE(SUBSTITUTE(SUBSTITUTE(INDEX(PASTE_ALL,$DF704,$L$14)," "," "),CHAR(9)," "),CHAR(10)," "),CHAR(13)," "))),"")))</f>
        <v/>
      </c>
      <c r="DW704">
        <f>IF($DM704=0,"",IF($L$15=0,"",IFERROR(IF(ISNUMBER(INDEX(PASTE_ALL,$DF704,$L$15)),INDEX(PASTE_ALL,$DF704,$L$15),IF(SUMPRODUCT(--ISNUMBER(FIND({"A","B","C","D","E","F","G","H","I","J","K","L","M","N","O","P","Q","R","S","T","U","V","W","X","Y","Z","0","1","2","3","4","5","6","7","8","9"},UPPER(TRIM(SUBSTITUTE(SUBSTITUTE(SUBSTITUTE(SUBSTITUTE(INDEX(PASTE_ALL,$DF704,$L$15)," "," "),CHAR(9)," "),CHAR(10)," "),CHAR(13)," "))))))&gt;0,TRIM(SUBSTITUTE(SUBSTITUTE(SUBSTITUTE(SUBSTITUTE(INDEX(PASTE_ALL,$DF704,$L$15)," "," "),CHAR(9)," "),CHAR(10)," "),CHAR(13)," ")),"")),"")))</f>
        <v/>
      </c>
      <c r="DX704">
        <f>IF($DM704=0,"",IF($L$16=0,"",IFERROR(IF(ISNUMBER(INDEX(PASTE_ALL,$DF704,$L$16)),INDEX(PASTE_ALL,$DF704,$L$16),SUBSTITUTE(SUBSTITUTE(TRIM(SUBSTITUTE(SUBSTITUTE(SUBSTITUTE(SUBSTITUTE(INDEX(PASTE_ALL,$DF704,$L$16)," "," "),CHAR(9)," "),CHAR(10)," "),CHAR(13)," ")),",",""),"%","")),"")))</f>
        <v/>
      </c>
      <c r="DY704">
        <f>IF($DM704=0,"",IFERROR(IF(ISNUMBER($DX704),$DX704,IF($DX704="","",IF(TRIM($DX704)="",0,IF(AND(AND(SUBSTITUTE(SUBSTITUTE(SUBSTITUTE(SUBSTITUTE(SUBSTITUTE(SUBSTITUTE(SUBSTITUTE(SUBSTITUTE(SUBSTITUTE(SUBSTITUTE(SUBSTITUTE(SUBSTITUTE(SUBSTITUTE(SUBSTITUTE(UPPER(TRIM($DX704)),"0",""),"1",""),"2",""),"3",""),"4",""),"5",""),"6",""),"7",""),"8",""),"9",""),".",""),"+",""),"-",""),"E","")="",LEN(SUBSTITUTE(SUBSTITUTE(MID(UPPER(TRIM($DX704)),1+OR(LEFT(UPPER(TRIM($DX704)),1)="+",LEFT(UPPER(TRIM($DX704)),1)="-"),999),"E+","E"),"E-","E"))=LEN(SUBSTITUTE(SUBSTITUTE(SUBSTITUTE(SUBSTITUTE(MID(UPPER(TRIM($DX704)),1+OR(LEFT(UPPER(TRIM($DX704)),1)="+",LEFT(UPPER(TRIM($DX704)),1)="-"),999),"E+","E"),"E-","E"),"+",""),"-","")),LEN(UPPER(TRIM($DX704)))-LEN(SUBSTITUTE(UPPER(TRIM($DX704)),"E",""))&lt;2,LEN(UPPER(TRIM($DX704)))-LEN(SUBSTITUTE(UPPER(TRIM($DX704)),".",""))&lt;2,IFERROR(FIND(".",UPPER(TRIM($DX704))),0)&lt;IFERROR(FIND("E",UPPER(TRIM($DX704))),999)),ISNUMBER(VALUE(TRIM($DX704)))),VALUE(TRIM($DX704)),"")))),""))</f>
        <v/>
      </c>
      <c r="DZ704">
        <f>IF($DM704=0,"",IF($L$17=0,"",IFERROR(IF(ISNUMBER(INDEX(PASTE_ALL,$DF704,$L$17)),INDEX(PASTE_ALL,$DF704,$L$17),SUBSTITUTE(SUBSTITUTE(TRIM(SUBSTITUTE(SUBSTITUTE(SUBSTITUTE(SUBSTITUTE(INDEX(PASTE_ALL,$DF704,$L$17)," "," "),CHAR(9)," "),CHAR(10)," "),CHAR(13)," ")),",",""),"%","")),"")))</f>
        <v/>
      </c>
      <c r="EA704">
        <f>IF($DM704=0,"",IFERROR(IF(ISNUMBER($DZ704),$DZ704,IF($DZ704="","",IF(TRIM($DZ704)="",0,IF(AND(AND(SUBSTITUTE(SUBSTITUTE(SUBSTITUTE(SUBSTITUTE(SUBSTITUTE(SUBSTITUTE(SUBSTITUTE(SUBSTITUTE(SUBSTITUTE(SUBSTITUTE(SUBSTITUTE(SUBSTITUTE(SUBSTITUTE(SUBSTITUTE(UPPER(TRIM($DZ704)),"0",""),"1",""),"2",""),"3",""),"4",""),"5",""),"6",""),"7",""),"8",""),"9",""),".",""),"+",""),"-",""),"E","")="",LEN(SUBSTITUTE(SUBSTITUTE(MID(UPPER(TRIM($DZ704)),1+OR(LEFT(UPPER(TRIM($DZ704)),1)="+",LEFT(UPPER(TRIM($DZ704)),1)="-"),999),"E+","E"),"E-","E"))=LEN(SUBSTITUTE(SUBSTITUTE(SUBSTITUTE(SUBSTITUTE(MID(UPPER(TRIM($DZ704)),1+OR(LEFT(UPPER(TRIM($DZ704)),1)="+",LEFT(UPPER(TRIM($DZ704)),1)="-"),999),"E+","E"),"E-","E"),"+",""),"-","")),LEN(UPPER(TRIM($DZ704)))-LEN(SUBSTITUTE(UPPER(TRIM($DZ704)),"E",""))&lt;2,LEN(UPPER(TRIM($DZ704)))-LEN(SUBSTITUTE(UPPER(TRIM($DZ704)),".",""))&lt;2,IFERROR(FIND(".",UPPER(TRIM($DZ704))),0)&lt;IFERROR(FIND("E",UPPER(TRIM($DZ704))),999)),ISNUMBER(VALUE(TRIM($DZ704)))),VALUE(TRIM($DZ704)),"")))),""))</f>
        <v/>
      </c>
      <c r="EB704">
        <f>IF($DM704=0,"",IF($L$18=0,"",IFERROR(IF(UPPER(TRIM(SUBSTITUTE(SUBSTITUTE(SUBSTITUTE(SUBSTITUTE(INDEX(PASTE_ALL,$DF704,$L$18)," "," "),CHAR(9)," "),CHAR(10)," "),CHAR(13)," ")))="READY","Ready",IF(UPPER(TRIM(SUBSTITUTE(SUBSTITUTE(SUBSTITUTE(SUBSTITUTE(INDEX(PASTE_ALL,$DF704,$L$18)," "," "),CHAR(9)," "),CHAR(10)," "),CHAR(13)," ")))="PM","PM",IF(OR(UPPER(TRIM(SUBSTITUTE(SUBSTITUTE(SUBSTITUTE(SUBSTITUTE(INDEX(PASTE_ALL,$DF704,$L$18)," "," "),CHAR(9)," "),CHAR(10)," "),CHAR(13)," ")))="OT",UPPER(TRIM(SUBSTITUTE(SUBSTITUTE(SUBSTITUTE(SUBSTITUTE(INDEX(PASTE_ALL,$DF704,$L$18)," "," "),CHAR(9)," "),CHAR(10)," "),CHAR(13)," ")))="OVERTIME",UPPER(TRIM(SUBSTITUTE(SUBSTITUTE(SUBSTITUTE(SUBSTITUTE(INDEX(PASTE_ALL,$DF704,$L$18)," "," "),CHAR(9)," "),CHAR(10)," "),CHAR(13)," ")))="TRIAL"),"OT",TRIM(SUBSTITUTE(SUBSTITUTE(SUBSTITUTE(SUBSTITUTE(INDEX(PASTE_ALL,$DF704,$L$18)," "," "),CHAR(9)," "),CHAR(10)," "),CHAR(13)," "))))),"")))</f>
        <v/>
      </c>
      <c r="EC704">
        <f>IF($DM704=0,"",IF($L$19=0,"",IFERROR(IF(ISNUMBER(INDEX(PASTE_ALL,$DF704,$L$19)),INDEX(PASTE_ALL,$DF704,$L$19),TRIM(SUBSTITUTE(SUBSTITUTE(SUBSTITUTE(SUBSTITUTE(INDEX(PASTE_ALL,$DF704,$L$19)," "," "),CHAR(9)," "),CHAR(10)," "),CHAR(13)," "))),"")))</f>
        <v/>
      </c>
      <c r="ED704">
        <f>IF($DM704=0,"",MATCH(1,INDEX(EXACT($DH$5:DH704,$DH704)*$DM$5:DM704,0),0))</f>
        <v/>
      </c>
      <c r="EE704">
        <f>IF($DM704=0,0,IF($ED704=$DE704,1,0))</f>
        <v/>
      </c>
      <c r="EF704">
        <f>EF703+$EE704</f>
        <v/>
      </c>
      <c r="EG704">
        <f>IF($DM704=0,"",INDEX($EF$5:$EF$1003,$ED704))</f>
        <v/>
      </c>
      <c r="EH704">
        <f>IF($DM704=0,"",IF($DO704&lt;&gt;"","",IFERROR(LOOKUP(2,1/(($EG$4:EG703=$EG704)*($DO$4:DO703&lt;&gt;"")),$DO$4:DO703),"")))</f>
        <v/>
      </c>
      <c r="EI704">
        <f>IF($DM704=0,"",IF($DO704&lt;&gt;"",$DO704,$EH704))</f>
        <v/>
      </c>
      <c r="EJ704">
        <f>IF($DM704=0,"",IF($EI704="",0,IF(OR(ISNUMBER($EI704),AND(AND(SUBSTITUTE(SUBSTITUTE(SUBSTITUTE(SUBSTITUTE(SUBSTITUTE(SUBSTITUTE(SUBSTITUTE(SUBSTITUTE(SUBSTITUTE(SUBSTITUTE(SUBSTITUTE(SUBSTITUTE(SUBSTITUTE(SUBSTITUTE(UPPER($EI704),"0",""),"1",""),"2",""),"3",""),"4",""),"5",""),"6",""),"7",""),"8",""),"9",""),".",""),"+",""),"-",""),"E","")="",LEN(SUBSTITUTE(SUBSTITUTE(MID(UPPER($EI704),1+OR(LEFT(UPPER($EI704),1)="+",LEFT(UPPER($EI704),1)="-"),999),"E+","E"),"E-","E"))=LEN(SUBSTITUTE(SUBSTITUTE(SUBSTITUTE(SUBSTITUTE(MID(UPPER($EI704),1+OR(LEFT(UPPER($EI704),1)="+",LEFT(UPPER($EI704),1)="-"),999),"E+","E"),"E-","E"),"+",""),"-","")),LEN(UPPER($EI704))-LEN(SUBSTITUTE(UPPER($EI704),"E",""))&lt;2,LEN(UPPER($EI704))-LEN(SUBSTITUTE(UPPER($EI704),".",""))&lt;2,IFERROR(FIND(".",UPPER($EI704)),0)&lt;IFERROR(FIND("E",UPPER($EI704)),999)),ISNUMBER(VALUE($EI704)))),1,2)))</f>
        <v/>
      </c>
      <c r="EK704">
        <f>IF($DM704=0,"",IF($EJ704=1,IF(ISNUMBER($EI704),$EI704,VALUE($EI704)),IF($EJ704=2,$DE704,0)))</f>
        <v/>
      </c>
      <c r="EL704">
        <f>IF($DM704=0,"",COUNTIF($EG$5:$EG$1003,"&lt;"&amp;$EG704)+SUMPRODUCT(($EG$5:$EG$1003=$EG704)*(($EJ$5:$EJ$1003&lt;$EJ704)+($EJ$5:$EJ$1003=$EJ704)*(($EK$5:$EK$1003&lt;$EK704)+($EK$5:$EK$1003=$EK704)*($DE$5:$DE$1003&lt;$DE704))))+1)</f>
        <v/>
      </c>
      <c r="EM704">
        <f>IF($DM704=0,"",$EL704+$EG704-1)</f>
        <v/>
      </c>
      <c r="EN704">
        <f>IF($DM704=0,0,IFERROR(MATCH(1,INDEX(--(TRIM(SUBSTITUTE(SUBSTITUTE(SUBSTITUTE(SUBSTITUTE(LINES_NAME&amp;""," "," "),CHAR(9)," "),CHAR(10)," "),CHAR(13)," "))=$DH704),0),0),0))</f>
        <v/>
      </c>
      <c r="EO704">
        <f>IF($EN704=0,0,IF(OR(UPPER(TRIM(INDEX(LINES_SCHEDULED,$EN704)&amp;""))="YES",UPPER(TRIM(INDEX(LINES_SCHEDULED,$EN704)&amp;""))="Y",UPPER(TRIM(INDEX(LINES_SCHEDULED,$EN704)&amp;""))="X"),1,0))</f>
        <v/>
      </c>
      <c r="EP704">
        <f>IF($DM704=0,"",IF(COUNTIFS($EG$5:$EG$1003,$EG704,$EB$5:$EB$1003,"Ready")&gt;0,"READY",IF(COUNTIFS($EG$5:$EG$1003,$EG704,$EB$5:$EB$1003,"PM")&gt;0,"PM",IF(COUNTIFS($EG$5:$EG$1003,$EG704,$EB$5:$EB$1003,"OT")&gt;0,"OT",""))))</f>
        <v/>
      </c>
      <c r="EQ704">
        <f>IF($EN704=0,"",UPPER(TRIM(INDEX(LINES_STATUS,$EN704)&amp;"")))</f>
        <v/>
      </c>
      <c r="ER704">
        <f>IF($DM704=0,"",IF(OR($EQ704="READY",$EQ704="PM",$EQ704="OT"),$EQ704,$EP704))</f>
        <v/>
      </c>
      <c r="ES704">
        <f>IF($DM704=0,"",IF(AND($DV704&lt;&gt;"",UPPER($DV704)&lt;&gt;"N"),"allergen",IF(ISNUMBER(SEARCH("oil",$DQ704)),"oil",IF(OR(EXACT($DS704,"A662"),EXACT($DS704,"A624")),"bulk",""))))</f>
        <v/>
      </c>
      <c r="ET704">
        <f>IF($DM704=0,"",IF(OR($EA704="",$EA704=0),"",$EA704/100))</f>
        <v/>
      </c>
      <c r="EU704">
        <f>IF(OR($ET704="",$DY704=""),"",INT($DY704*(1-$ET704)+0.5))</f>
        <v/>
      </c>
      <c r="EW704" t="n">
        <v>700</v>
      </c>
      <c r="EX704">
        <f>IFERROR(MATCH($EW704,$EM$5:$EM$1003,0),0)</f>
        <v/>
      </c>
      <c r="EY704">
        <f>IF($EW704&gt;$B$12,"",IF($EX704&gt;0,"row","spacer"))</f>
        <v/>
      </c>
      <c r="EZ704">
        <f>IF(AND($EY704="row",$EY703&lt;&gt;"row"),1,0)</f>
        <v/>
      </c>
      <c r="FA704">
        <f>IF(AND($EY704="row",$EY705&lt;&gt;"row"),1,0)</f>
        <v/>
      </c>
      <c r="FB704">
        <f>IF($EZ704=1,IFERROR(IF(ISNUMBER(INDEX(PASTE_ALL,INDEX($DF$5:$DF$1003,$EX704),$B$37)),INDEX(PASTE_ALL,INDEX($DF$5:$DF$1003,$EX704),$B$37),INDEX($DH$5:$DH$1003,$EX704)),INDEX($DH$5:$DH$1003,$EX704)),"")</f>
        <v/>
      </c>
      <c r="FC704">
        <f>IF($EY704="row",INDEX($ER$5:$ER$1003,$EX704),"")</f>
        <v/>
      </c>
      <c r="FD704">
        <f>IF($EY704="row",INDEX($DN$5:$DN$1003,$EX704),"")</f>
        <v/>
      </c>
      <c r="FE704">
        <f>IF($EY704="row",INDEX($DO$5:$DO$1003,$EX704),"")</f>
        <v/>
      </c>
      <c r="FF704">
        <f>IF($EY704="row",INDEX($DP$5:$DP$1003,$EX704),"")</f>
        <v/>
      </c>
      <c r="FG704">
        <f>IF($EY704="row",INDEX($DQ$5:$DQ$1003,$EX704),"")</f>
        <v/>
      </c>
      <c r="FH704">
        <f>IF($EY704="row",INDEX($DR$5:$DR$1003,$EX704),"")</f>
        <v/>
      </c>
      <c r="FI704">
        <f>IF($EY704="row",INDEX($DS$5:$DS$1003,$EX704),"")</f>
        <v/>
      </c>
      <c r="FJ704">
        <f>IF($EY704="row",INDEX($DT$5:$DT$1003,$EX704),"")</f>
        <v/>
      </c>
      <c r="FK704">
        <f>IF($EY704="row",INDEX($DU$5:$DU$1003,$EX704),"")</f>
        <v/>
      </c>
      <c r="FL704">
        <f>IF($EY704="row",INDEX($DV$5:$DV$1003,$EX704),"")</f>
        <v/>
      </c>
      <c r="FM704">
        <f>IF($EY704="row",INDEX($DW$5:$DW$1003,$EX704),"")</f>
        <v/>
      </c>
      <c r="FN704">
        <f>IF($EY704="row",INDEX($DY$5:$DY$1003,$EX704),"")</f>
        <v/>
      </c>
      <c r="FO704">
        <f>IF($EY704="row",INDEX($EA$5:$EA$1003,$EX704),"")</f>
        <v/>
      </c>
      <c r="FP704">
        <f>IF($EY704="row",INDEX($EC$5:$EC$1003,$EX704),"")</f>
        <v/>
      </c>
      <c r="FQ704">
        <f>IF($EY704="row",INDEX($ET$5:$ET$1003,$EX704),"")</f>
        <v/>
      </c>
      <c r="FR704">
        <f>IF($EY704="row",INDEX($EU$5:$EU$1003,$EX704),"")</f>
        <v/>
      </c>
      <c r="FS704">
        <f>IF(AND($EY704="row",$EY703="row"),IF(OR(INDEX($DT$5:$DT$1003,$EX703)="",INDEX($DT$5:$DT$1003,$EX704)=""),"",IF(NOT(EXACT(INDEX($DT$5:$DT$1003,$EX703),INDEX($DT$5:$DT$1003,$EX704))),"S4",IF(NOT(EXACT(INDEX($DS$5:$DS$1003,$EX703),INDEX($DS$5:$DS$1003,$EX704))),"S3",IF(NOT(EXACT(INDEX($DR$5:$DR$1003,$EX703),INDEX($DR$5:$DR$1003,$EX704))),"S1 Count Change","S1")))),"")</f>
        <v/>
      </c>
      <c r="FT704">
        <f>IF($EY704="row",INDEX($ES$5:$ES$1003,$EX704),"")</f>
        <v/>
      </c>
      <c r="FU704">
        <f>IF($EY704="row",INDEX($EO$5:$EO$1003,$EX704),0)</f>
        <v/>
      </c>
      <c r="FV704">
        <f>IF($FS704="S1 Count Change",1,0)</f>
        <v/>
      </c>
    </row>
    <row r="705">
      <c r="DA705" t="n">
        <v>701</v>
      </c>
      <c r="DB705">
        <f>IF($B$37=0,"",IFERROR(TRIM(SUBSTITUTE(SUBSTITUTE(SUBSTITUTE(SUBSTITUTE(INDEX(PASTE_ALL,701,$B$37)," "," "),CHAR(9)," "),CHAR(10)," "),CHAR(13)," ")),""))</f>
        <v/>
      </c>
      <c r="DC705">
        <f>IF(AND(701&gt;HEADER_ROW,UPPER(DB705)="LEGEND"),1,0)</f>
        <v/>
      </c>
      <c r="DE705" t="n">
        <v>701</v>
      </c>
      <c r="DF705">
        <f>HEADER_ROW+$DE705</f>
        <v/>
      </c>
      <c r="DG705">
        <f>IF(AND($DF705&lt;=1000,$DF705&lt;$B$8),1,0)</f>
        <v/>
      </c>
      <c r="DH705">
        <f>IF($DG705=1,IFERROR(INDEX($DB$5:$DB$1004,$DF705),""),"")</f>
        <v/>
      </c>
      <c r="DI705">
        <f>IF(AND($DG705=1,$DH705&lt;&gt;""),IFERROR(SUBSTITUTE(SUBSTITUTE(TRIM(SUBSTITUTE(SUBSTITUTE(SUBSTITUTE(SUBSTITUTE(IFERROR(INDEX(PASTE_ALL,$DF705,1)&amp;"","")&amp;"␟"&amp;IFERROR(INDEX(PASTE_ALL,$DF705,2)&amp;"","")&amp;"␟"&amp;IFERROR(INDEX(PASTE_ALL,$DF705,3)&amp;"","")&amp;"␟"&amp;IFERROR(INDEX(PASTE_ALL,$DF705,4)&amp;"","")&amp;"␟"&amp;IFERROR(INDEX(PASTE_ALL,$DF705,5)&amp;"","")&amp;"␟"&amp;IFERROR(INDEX(PASTE_ALL,$DF705,6)&amp;"","")&amp;"␟"&amp;IFERROR(INDEX(PASTE_ALL,$DF705,7)&amp;"","")&amp;"␟"&amp;IFERROR(INDEX(PASTE_ALL,$DF705,8)&amp;"","")&amp;"␟"&amp;IFERROR(INDEX(PASTE_ALL,$DF705,9)&amp;"","")&amp;"␟"&amp;IFERROR(INDEX(PASTE_ALL,$DF705,10)&amp;"","")&amp;"␟"&amp;IFERROR(INDEX(PASTE_ALL,$DF705,11)&amp;"","")&amp;"␟"&amp;IFERROR(INDEX(PASTE_ALL,$DF705,12)&amp;"","")&amp;"␟"&amp;IFERROR(INDEX(PASTE_ALL,$DF705,13)&amp;"","")&amp;"␟"&amp;IFERROR(INDEX(PASTE_ALL,$DF705,14)&amp;"","")&amp;"␟"&amp;IFERROR(INDEX(PASTE_ALL,$DF705,15)&amp;"","")&amp;"␟"&amp;IFERROR(INDEX(PASTE_ALL,$DF705,16)&amp;"","")&amp;"␟"&amp;IFERROR(INDEX(PASTE_ALL,$DF705,17)&amp;"","")&amp;"␟"&amp;IFERROR(INDEX(PASTE_ALL,$DF705,18)&amp;"","")&amp;"␟"&amp;IFERROR(INDEX(PASTE_ALL,$DF705,19)&amp;"","")&amp;"␟"&amp;IFERROR(INDEX(PASTE_ALL,$DF705,20)&amp;"","")&amp;"␟"&amp;IFERROR(INDEX(PASTE_ALL,$DF705,21)&amp;"","")&amp;"␟"&amp;IFERROR(INDEX(PASTE_ALL,$DF705,22)&amp;"","")&amp;"␟"&amp;IFERROR(INDEX(PASTE_ALL,$DF705,23)&amp;"","")&amp;"␟"&amp;IFERROR(INDEX(PASTE_ALL,$DF705,24)&amp;"","")&amp;"␟"&amp;IFERROR(INDEX(PASTE_ALL,$DF705,25)&amp;"","")&amp;"␟"&amp;IFERROR(INDEX(PASTE_ALL,$DF705,26)&amp;"","")&amp;"␟"&amp;IFERROR(INDEX(PASTE_ALL,$DF705,27)&amp;"","")&amp;"␟"&amp;IFERROR(INDEX(PASTE_ALL,$DF705,28)&amp;"","")&amp;"␟"&amp;IFERROR(INDEX(PASTE_ALL,$DF705,29)&amp;"","")&amp;"␟"&amp;IFERROR(INDEX(PASTE_ALL,$DF705,30)&amp;"","")&amp;"␟"&amp;IFERROR(INDEX(PASTE_ALL,$DF705,31)&amp;"","")&amp;"␟"&amp;IFERROR(INDEX(PASTE_ALL,$DF705,32)&amp;"","")&amp;"␟"&amp;IFERROR(INDEX(PASTE_ALL,$DF705,33)&amp;"","")&amp;"␟"&amp;IFERROR(INDEX(PASTE_ALL,$DF705,34)&amp;"","")&amp;"␟"&amp;IFERROR(INDEX(PASTE_ALL,$DF705,35)&amp;"","")&amp;"␟"&amp;IFERROR(INDEX(PASTE_ALL,$DF705,36)&amp;"","")&amp;"␟"&amp;IFERROR(INDEX(PASTE_ALL,$DF705,37)&amp;"","")&amp;"␟"&amp;IFERROR(INDEX(PASTE_ALL,$DF705,38)&amp;"","")&amp;"␟"&amp;IFERROR(INDEX(PASTE_ALL,$DF705,39)&amp;"","")&amp;"␟"&amp;IFERROR(INDEX(PASTE_ALL,$DF705,40)&amp;"","")&amp;"␟"&amp;IFERROR(INDEX(PASTE_ALL,$DF705,41)&amp;"","")&amp;"␟"&amp;IFERROR(INDEX(PASTE_ALL,$DF705,42)&amp;"","")&amp;"␟"&amp;IFERROR(INDEX(PASTE_ALL,$DF705,43)&amp;"","")&amp;"␟"&amp;IFERROR(INDEX(PASTE_ALL,$DF705,44)&amp;"","")&amp;"␟"&amp;IFERROR(INDEX(PASTE_ALL,$DF705,45)&amp;"","")&amp;"␟"&amp;IFERROR(INDEX(PASTE_ALL,$DF705,46)&amp;"","")&amp;"␟"&amp;IFERROR(INDEX(PASTE_ALL,$DF705,47)&amp;"","")&amp;"␟"&amp;IFERROR(INDEX(PASTE_ALL,$DF705,48)&amp;"","")&amp;"␟"&amp;IFERROR(INDEX(PASTE_ALL,$DF705,49)&amp;"","")&amp;"␟"&amp;IFERROR(INDEX(PASTE_ALL,$DF705,50)&amp;"","")&amp;"␟"&amp;IFERROR(INDEX(PASTE_ALL,$DF705,51)&amp;"","")&amp;"␟"&amp;IFERROR(INDEX(PASTE_ALL,$DF705,52)&amp;"","")&amp;"␟"&amp;IFERROR(INDEX(PASTE_ALL,$DF705,53)&amp;"","")&amp;"␟"&amp;IFERROR(INDEX(PASTE_ALL,$DF705,54)&amp;"","")&amp;"␟"&amp;IFERROR(INDEX(PASTE_ALL,$DF705,55)&amp;"","")&amp;"␟"&amp;IFERROR(INDEX(PASTE_ALL,$DF705,56)&amp;"","")&amp;"␟"&amp;IFERROR(INDEX(PASTE_ALL,$DF705,57)&amp;"","")&amp;"␟"&amp;IFERROR(INDEX(PASTE_ALL,$DF705,58)&amp;"","")&amp;"␟"&amp;IFERROR(INDEX(PASTE_ALL,$DF705,59)&amp;"","")&amp;"␟"&amp;IFERROR(INDEX(PASTE_ALL,$DF705,60)&amp;"","")," "," "),CHAR(9)," "),CHAR(10)," "),CHAR(13)," "))," ␟","␟"),"␟ ","␟"),"#"&amp;$DE705),"")</f>
        <v/>
      </c>
      <c r="DJ705">
        <f>IF($DI705="",0,IF(SUMPRODUCT(--EXACT($DI$4:DI704,$DI705))&gt;0,1,0))</f>
        <v/>
      </c>
      <c r="DK705">
        <f>IF(AND($DI705&lt;&gt;"",$DJ705=0),1,0)</f>
        <v/>
      </c>
      <c r="DL705">
        <f>DL704+$DK705</f>
        <v/>
      </c>
      <c r="DM705">
        <f>IF(AND($DK705=1,$DL705&lt;=600),1,0)</f>
        <v/>
      </c>
      <c r="DN705">
        <f>IF($DM705=0,"",IF($L$6=0,"",IFERROR(IF(ISNUMBER(INDEX(PASTE_ALL,$DF705,$L$6)),INDEX(PASTE_ALL,$DF705,$L$6),TRIM(SUBSTITUTE(SUBSTITUTE(SUBSTITUTE(SUBSTITUTE(INDEX(PASTE_ALL,$DF705,$L$6)," "," "),CHAR(9)," "),CHAR(10)," "),CHAR(13)," "))),"")))</f>
        <v/>
      </c>
      <c r="DO705">
        <f>IF($DM705=0,"",IF($L$7=0,"",IFERROR(IF(ISNUMBER(INDEX(PASTE_ALL,$DF705,$L$7)),INDEX(PASTE_ALL,$DF705,$L$7),TRIM(SUBSTITUTE(SUBSTITUTE(SUBSTITUTE(SUBSTITUTE(INDEX(PASTE_ALL,$DF705,$L$7)," "," "),CHAR(9)," "),CHAR(10)," "),CHAR(13)," "))),"")))</f>
        <v/>
      </c>
      <c r="DP705">
        <f>IF($DM705=0,"",IF($L$8=0,"",IFERROR(IF(ISNUMBER(INDEX(PASTE_ALL,$DF705,$L$8)),INDEX(PASTE_ALL,$DF705,$L$8),TRIM(SUBSTITUTE(SUBSTITUTE(SUBSTITUTE(SUBSTITUTE(INDEX(PASTE_ALL,$DF705,$L$8)," "," "),CHAR(9)," "),CHAR(10)," "),CHAR(13)," "))),"")))</f>
        <v/>
      </c>
      <c r="DQ705">
        <f>IF($DM705=0,"",IF($L$9=0,"",IFERROR(IF(ISNUMBER(INDEX(PASTE_ALL,$DF705,$L$9)),INDEX(PASTE_ALL,$DF705,$L$9),TRIM(SUBSTITUTE(SUBSTITUTE(SUBSTITUTE(SUBSTITUTE(INDEX(PASTE_ALL,$DF705,$L$9)," "," "),CHAR(9)," "),CHAR(10)," "),CHAR(13)," "))),"")))</f>
        <v/>
      </c>
      <c r="DR705">
        <f>IF($DM705=0,"",IF($L$10=0,"",IFERROR(IF(ISNUMBER(INDEX(PASTE_ALL,$DF705,$L$10)),INDEX(PASTE_ALL,$DF705,$L$10),TRIM(SUBSTITUTE(SUBSTITUTE(SUBSTITUTE(SUBSTITUTE(INDEX(PASTE_ALL,$DF705,$L$10)," "," "),CHAR(9)," "),CHAR(10)," "),CHAR(13)," "))),"")))</f>
        <v/>
      </c>
      <c r="DS705">
        <f>IF($DM705=0,"",IF($L$11=0,"",IFERROR(IF(ISNUMBER(INDEX(PASTE_ALL,$DF705,$L$11)),INDEX(PASTE_ALL,$DF705,$L$11),TRIM(SUBSTITUTE(SUBSTITUTE(SUBSTITUTE(SUBSTITUTE(INDEX(PASTE_ALL,$DF705,$L$11)," "," "),CHAR(9)," "),CHAR(10)," "),CHAR(13)," "))),"")))</f>
        <v/>
      </c>
      <c r="DT705">
        <f>IF($DM705=0,"",IF($L$12=0,"",IFERROR(IF(ISNUMBER(INDEX(PASTE_ALL,$DF705,$L$12)),INDEX(PASTE_ALL,$DF705,$L$12),TRIM(SUBSTITUTE(SUBSTITUTE(SUBSTITUTE(SUBSTITUTE(INDEX(PASTE_ALL,$DF705,$L$12)," "," "),CHAR(9)," "),CHAR(10)," "),CHAR(13)," "))),"")))</f>
        <v/>
      </c>
      <c r="DU705">
        <f>IF($DM705=0,"",IF($L$13=0,"",IFERROR(IF(ISNUMBER(INDEX(PASTE_ALL,$DF705,$L$13)),INDEX(PASTE_ALL,$DF705,$L$13),TRIM(SUBSTITUTE(SUBSTITUTE(SUBSTITUTE(SUBSTITUTE(INDEX(PASTE_ALL,$DF705,$L$13)," "," "),CHAR(9)," "),CHAR(10)," "),CHAR(13)," "))),"")))</f>
        <v/>
      </c>
      <c r="DV705">
        <f>IF($DM705=0,"",IF($L$14=0,"",IFERROR(IF(ISNUMBER(INDEX(PASTE_ALL,$DF705,$L$14)),INDEX(PASTE_ALL,$DF705,$L$14),TRIM(SUBSTITUTE(SUBSTITUTE(SUBSTITUTE(SUBSTITUTE(INDEX(PASTE_ALL,$DF705,$L$14)," "," "),CHAR(9)," "),CHAR(10)," "),CHAR(13)," "))),"")))</f>
        <v/>
      </c>
      <c r="DW705">
        <f>IF($DM705=0,"",IF($L$15=0,"",IFERROR(IF(ISNUMBER(INDEX(PASTE_ALL,$DF705,$L$15)),INDEX(PASTE_ALL,$DF705,$L$15),IF(SUMPRODUCT(--ISNUMBER(FIND({"A","B","C","D","E","F","G","H","I","J","K","L","M","N","O","P","Q","R","S","T","U","V","W","X","Y","Z","0","1","2","3","4","5","6","7","8","9"},UPPER(TRIM(SUBSTITUTE(SUBSTITUTE(SUBSTITUTE(SUBSTITUTE(INDEX(PASTE_ALL,$DF705,$L$15)," "," "),CHAR(9)," "),CHAR(10)," "),CHAR(13)," "))))))&gt;0,TRIM(SUBSTITUTE(SUBSTITUTE(SUBSTITUTE(SUBSTITUTE(INDEX(PASTE_ALL,$DF705,$L$15)," "," "),CHAR(9)," "),CHAR(10)," "),CHAR(13)," ")),"")),"")))</f>
        <v/>
      </c>
      <c r="DX705">
        <f>IF($DM705=0,"",IF($L$16=0,"",IFERROR(IF(ISNUMBER(INDEX(PASTE_ALL,$DF705,$L$16)),INDEX(PASTE_ALL,$DF705,$L$16),SUBSTITUTE(SUBSTITUTE(TRIM(SUBSTITUTE(SUBSTITUTE(SUBSTITUTE(SUBSTITUTE(INDEX(PASTE_ALL,$DF705,$L$16)," "," "),CHAR(9)," "),CHAR(10)," "),CHAR(13)," ")),",",""),"%","")),"")))</f>
        <v/>
      </c>
      <c r="DY705">
        <f>IF($DM705=0,"",IFERROR(IF(ISNUMBER($DX705),$DX705,IF($DX705="","",IF(TRIM($DX705)="",0,IF(AND(AND(SUBSTITUTE(SUBSTITUTE(SUBSTITUTE(SUBSTITUTE(SUBSTITUTE(SUBSTITUTE(SUBSTITUTE(SUBSTITUTE(SUBSTITUTE(SUBSTITUTE(SUBSTITUTE(SUBSTITUTE(SUBSTITUTE(SUBSTITUTE(UPPER(TRIM($DX705)),"0",""),"1",""),"2",""),"3",""),"4",""),"5",""),"6",""),"7",""),"8",""),"9",""),".",""),"+",""),"-",""),"E","")="",LEN(SUBSTITUTE(SUBSTITUTE(MID(UPPER(TRIM($DX705)),1+OR(LEFT(UPPER(TRIM($DX705)),1)="+",LEFT(UPPER(TRIM($DX705)),1)="-"),999),"E+","E"),"E-","E"))=LEN(SUBSTITUTE(SUBSTITUTE(SUBSTITUTE(SUBSTITUTE(MID(UPPER(TRIM($DX705)),1+OR(LEFT(UPPER(TRIM($DX705)),1)="+",LEFT(UPPER(TRIM($DX705)),1)="-"),999),"E+","E"),"E-","E"),"+",""),"-","")),LEN(UPPER(TRIM($DX705)))-LEN(SUBSTITUTE(UPPER(TRIM($DX705)),"E",""))&lt;2,LEN(UPPER(TRIM($DX705)))-LEN(SUBSTITUTE(UPPER(TRIM($DX705)),".",""))&lt;2,IFERROR(FIND(".",UPPER(TRIM($DX705))),0)&lt;IFERROR(FIND("E",UPPER(TRIM($DX705))),999)),ISNUMBER(VALUE(TRIM($DX705)))),VALUE(TRIM($DX705)),"")))),""))</f>
        <v/>
      </c>
      <c r="DZ705">
        <f>IF($DM705=0,"",IF($L$17=0,"",IFERROR(IF(ISNUMBER(INDEX(PASTE_ALL,$DF705,$L$17)),INDEX(PASTE_ALL,$DF705,$L$17),SUBSTITUTE(SUBSTITUTE(TRIM(SUBSTITUTE(SUBSTITUTE(SUBSTITUTE(SUBSTITUTE(INDEX(PASTE_ALL,$DF705,$L$17)," "," "),CHAR(9)," "),CHAR(10)," "),CHAR(13)," ")),",",""),"%","")),"")))</f>
        <v/>
      </c>
      <c r="EA705">
        <f>IF($DM705=0,"",IFERROR(IF(ISNUMBER($DZ705),$DZ705,IF($DZ705="","",IF(TRIM($DZ705)="",0,IF(AND(AND(SUBSTITUTE(SUBSTITUTE(SUBSTITUTE(SUBSTITUTE(SUBSTITUTE(SUBSTITUTE(SUBSTITUTE(SUBSTITUTE(SUBSTITUTE(SUBSTITUTE(SUBSTITUTE(SUBSTITUTE(SUBSTITUTE(SUBSTITUTE(UPPER(TRIM($DZ705)),"0",""),"1",""),"2",""),"3",""),"4",""),"5",""),"6",""),"7",""),"8",""),"9",""),".",""),"+",""),"-",""),"E","")="",LEN(SUBSTITUTE(SUBSTITUTE(MID(UPPER(TRIM($DZ705)),1+OR(LEFT(UPPER(TRIM($DZ705)),1)="+",LEFT(UPPER(TRIM($DZ705)),1)="-"),999),"E+","E"),"E-","E"))=LEN(SUBSTITUTE(SUBSTITUTE(SUBSTITUTE(SUBSTITUTE(MID(UPPER(TRIM($DZ705)),1+OR(LEFT(UPPER(TRIM($DZ705)),1)="+",LEFT(UPPER(TRIM($DZ705)),1)="-"),999),"E+","E"),"E-","E"),"+",""),"-","")),LEN(UPPER(TRIM($DZ705)))-LEN(SUBSTITUTE(UPPER(TRIM($DZ705)),"E",""))&lt;2,LEN(UPPER(TRIM($DZ705)))-LEN(SUBSTITUTE(UPPER(TRIM($DZ705)),".",""))&lt;2,IFERROR(FIND(".",UPPER(TRIM($DZ705))),0)&lt;IFERROR(FIND("E",UPPER(TRIM($DZ705))),999)),ISNUMBER(VALUE(TRIM($DZ705)))),VALUE(TRIM($DZ705)),"")))),""))</f>
        <v/>
      </c>
      <c r="EB705">
        <f>IF($DM705=0,"",IF($L$18=0,"",IFERROR(IF(UPPER(TRIM(SUBSTITUTE(SUBSTITUTE(SUBSTITUTE(SUBSTITUTE(INDEX(PASTE_ALL,$DF705,$L$18)," "," "),CHAR(9)," "),CHAR(10)," "),CHAR(13)," ")))="READY","Ready",IF(UPPER(TRIM(SUBSTITUTE(SUBSTITUTE(SUBSTITUTE(SUBSTITUTE(INDEX(PASTE_ALL,$DF705,$L$18)," "," "),CHAR(9)," "),CHAR(10)," "),CHAR(13)," ")))="PM","PM",IF(OR(UPPER(TRIM(SUBSTITUTE(SUBSTITUTE(SUBSTITUTE(SUBSTITUTE(INDEX(PASTE_ALL,$DF705,$L$18)," "," "),CHAR(9)," "),CHAR(10)," "),CHAR(13)," ")))="OT",UPPER(TRIM(SUBSTITUTE(SUBSTITUTE(SUBSTITUTE(SUBSTITUTE(INDEX(PASTE_ALL,$DF705,$L$18)," "," "),CHAR(9)," "),CHAR(10)," "),CHAR(13)," ")))="OVERTIME",UPPER(TRIM(SUBSTITUTE(SUBSTITUTE(SUBSTITUTE(SUBSTITUTE(INDEX(PASTE_ALL,$DF705,$L$18)," "," "),CHAR(9)," "),CHAR(10)," "),CHAR(13)," ")))="TRIAL"),"OT",TRIM(SUBSTITUTE(SUBSTITUTE(SUBSTITUTE(SUBSTITUTE(INDEX(PASTE_ALL,$DF705,$L$18)," "," "),CHAR(9)," "),CHAR(10)," "),CHAR(13)," "))))),"")))</f>
        <v/>
      </c>
      <c r="EC705">
        <f>IF($DM705=0,"",IF($L$19=0,"",IFERROR(IF(ISNUMBER(INDEX(PASTE_ALL,$DF705,$L$19)),INDEX(PASTE_ALL,$DF705,$L$19),TRIM(SUBSTITUTE(SUBSTITUTE(SUBSTITUTE(SUBSTITUTE(INDEX(PASTE_ALL,$DF705,$L$19)," "," "),CHAR(9)," "),CHAR(10)," "),CHAR(13)," "))),"")))</f>
        <v/>
      </c>
      <c r="ED705">
        <f>IF($DM705=0,"",MATCH(1,INDEX(EXACT($DH$5:DH705,$DH705)*$DM$5:DM705,0),0))</f>
        <v/>
      </c>
      <c r="EE705">
        <f>IF($DM705=0,0,IF($ED705=$DE705,1,0))</f>
        <v/>
      </c>
      <c r="EF705">
        <f>EF704+$EE705</f>
        <v/>
      </c>
      <c r="EG705">
        <f>IF($DM705=0,"",INDEX($EF$5:$EF$1003,$ED705))</f>
        <v/>
      </c>
      <c r="EH705">
        <f>IF($DM705=0,"",IF($DO705&lt;&gt;"","",IFERROR(LOOKUP(2,1/(($EG$4:EG704=$EG705)*($DO$4:DO704&lt;&gt;"")),$DO$4:DO704),"")))</f>
        <v/>
      </c>
      <c r="EI705">
        <f>IF($DM705=0,"",IF($DO705&lt;&gt;"",$DO705,$EH705))</f>
        <v/>
      </c>
      <c r="EJ705">
        <f>IF($DM705=0,"",IF($EI705="",0,IF(OR(ISNUMBER($EI705),AND(AND(SUBSTITUTE(SUBSTITUTE(SUBSTITUTE(SUBSTITUTE(SUBSTITUTE(SUBSTITUTE(SUBSTITUTE(SUBSTITUTE(SUBSTITUTE(SUBSTITUTE(SUBSTITUTE(SUBSTITUTE(SUBSTITUTE(SUBSTITUTE(UPPER($EI705),"0",""),"1",""),"2",""),"3",""),"4",""),"5",""),"6",""),"7",""),"8",""),"9",""),".",""),"+",""),"-",""),"E","")="",LEN(SUBSTITUTE(SUBSTITUTE(MID(UPPER($EI705),1+OR(LEFT(UPPER($EI705),1)="+",LEFT(UPPER($EI705),1)="-"),999),"E+","E"),"E-","E"))=LEN(SUBSTITUTE(SUBSTITUTE(SUBSTITUTE(SUBSTITUTE(MID(UPPER($EI705),1+OR(LEFT(UPPER($EI705),1)="+",LEFT(UPPER($EI705),1)="-"),999),"E+","E"),"E-","E"),"+",""),"-","")),LEN(UPPER($EI705))-LEN(SUBSTITUTE(UPPER($EI705),"E",""))&lt;2,LEN(UPPER($EI705))-LEN(SUBSTITUTE(UPPER($EI705),".",""))&lt;2,IFERROR(FIND(".",UPPER($EI705)),0)&lt;IFERROR(FIND("E",UPPER($EI705)),999)),ISNUMBER(VALUE($EI705)))),1,2)))</f>
        <v/>
      </c>
      <c r="EK705">
        <f>IF($DM705=0,"",IF($EJ705=1,IF(ISNUMBER($EI705),$EI705,VALUE($EI705)),IF($EJ705=2,$DE705,0)))</f>
        <v/>
      </c>
      <c r="EL705">
        <f>IF($DM705=0,"",COUNTIF($EG$5:$EG$1003,"&lt;"&amp;$EG705)+SUMPRODUCT(($EG$5:$EG$1003=$EG705)*(($EJ$5:$EJ$1003&lt;$EJ705)+($EJ$5:$EJ$1003=$EJ705)*(($EK$5:$EK$1003&lt;$EK705)+($EK$5:$EK$1003=$EK705)*($DE$5:$DE$1003&lt;$DE705))))+1)</f>
        <v/>
      </c>
      <c r="EM705">
        <f>IF($DM705=0,"",$EL705+$EG705-1)</f>
        <v/>
      </c>
      <c r="EN705">
        <f>IF($DM705=0,0,IFERROR(MATCH(1,INDEX(--(TRIM(SUBSTITUTE(SUBSTITUTE(SUBSTITUTE(SUBSTITUTE(LINES_NAME&amp;""," "," "),CHAR(9)," "),CHAR(10)," "),CHAR(13)," "))=$DH705),0),0),0))</f>
        <v/>
      </c>
      <c r="EO705">
        <f>IF($EN705=0,0,IF(OR(UPPER(TRIM(INDEX(LINES_SCHEDULED,$EN705)&amp;""))="YES",UPPER(TRIM(INDEX(LINES_SCHEDULED,$EN705)&amp;""))="Y",UPPER(TRIM(INDEX(LINES_SCHEDULED,$EN705)&amp;""))="X"),1,0))</f>
        <v/>
      </c>
      <c r="EP705">
        <f>IF($DM705=0,"",IF(COUNTIFS($EG$5:$EG$1003,$EG705,$EB$5:$EB$1003,"Ready")&gt;0,"READY",IF(COUNTIFS($EG$5:$EG$1003,$EG705,$EB$5:$EB$1003,"PM")&gt;0,"PM",IF(COUNTIFS($EG$5:$EG$1003,$EG705,$EB$5:$EB$1003,"OT")&gt;0,"OT",""))))</f>
        <v/>
      </c>
      <c r="EQ705">
        <f>IF($EN705=0,"",UPPER(TRIM(INDEX(LINES_STATUS,$EN705)&amp;"")))</f>
        <v/>
      </c>
      <c r="ER705">
        <f>IF($DM705=0,"",IF(OR($EQ705="READY",$EQ705="PM",$EQ705="OT"),$EQ705,$EP705))</f>
        <v/>
      </c>
      <c r="ES705">
        <f>IF($DM705=0,"",IF(AND($DV705&lt;&gt;"",UPPER($DV705)&lt;&gt;"N"),"allergen",IF(ISNUMBER(SEARCH("oil",$DQ705)),"oil",IF(OR(EXACT($DS705,"A662"),EXACT($DS705,"A624")),"bulk",""))))</f>
        <v/>
      </c>
      <c r="ET705">
        <f>IF($DM705=0,"",IF(OR($EA705="",$EA705=0),"",$EA705/100))</f>
        <v/>
      </c>
      <c r="EU705">
        <f>IF(OR($ET705="",$DY705=""),"",INT($DY705*(1-$ET705)+0.5))</f>
        <v/>
      </c>
    </row>
    <row r="706">
      <c r="DA706" t="n">
        <v>702</v>
      </c>
      <c r="DB706">
        <f>IF($B$37=0,"",IFERROR(TRIM(SUBSTITUTE(SUBSTITUTE(SUBSTITUTE(SUBSTITUTE(INDEX(PASTE_ALL,702,$B$37)," "," "),CHAR(9)," "),CHAR(10)," "),CHAR(13)," ")),""))</f>
        <v/>
      </c>
      <c r="DC706">
        <f>IF(AND(702&gt;HEADER_ROW,UPPER(DB706)="LEGEND"),1,0)</f>
        <v/>
      </c>
      <c r="DE706" t="n">
        <v>702</v>
      </c>
      <c r="DF706">
        <f>HEADER_ROW+$DE706</f>
        <v/>
      </c>
      <c r="DG706">
        <f>IF(AND($DF706&lt;=1000,$DF706&lt;$B$8),1,0)</f>
        <v/>
      </c>
      <c r="DH706">
        <f>IF($DG706=1,IFERROR(INDEX($DB$5:$DB$1004,$DF706),""),"")</f>
        <v/>
      </c>
      <c r="DI706">
        <f>IF(AND($DG706=1,$DH706&lt;&gt;""),IFERROR(SUBSTITUTE(SUBSTITUTE(TRIM(SUBSTITUTE(SUBSTITUTE(SUBSTITUTE(SUBSTITUTE(IFERROR(INDEX(PASTE_ALL,$DF706,1)&amp;"","")&amp;"␟"&amp;IFERROR(INDEX(PASTE_ALL,$DF706,2)&amp;"","")&amp;"␟"&amp;IFERROR(INDEX(PASTE_ALL,$DF706,3)&amp;"","")&amp;"␟"&amp;IFERROR(INDEX(PASTE_ALL,$DF706,4)&amp;"","")&amp;"␟"&amp;IFERROR(INDEX(PASTE_ALL,$DF706,5)&amp;"","")&amp;"␟"&amp;IFERROR(INDEX(PASTE_ALL,$DF706,6)&amp;"","")&amp;"␟"&amp;IFERROR(INDEX(PASTE_ALL,$DF706,7)&amp;"","")&amp;"␟"&amp;IFERROR(INDEX(PASTE_ALL,$DF706,8)&amp;"","")&amp;"␟"&amp;IFERROR(INDEX(PASTE_ALL,$DF706,9)&amp;"","")&amp;"␟"&amp;IFERROR(INDEX(PASTE_ALL,$DF706,10)&amp;"","")&amp;"␟"&amp;IFERROR(INDEX(PASTE_ALL,$DF706,11)&amp;"","")&amp;"␟"&amp;IFERROR(INDEX(PASTE_ALL,$DF706,12)&amp;"","")&amp;"␟"&amp;IFERROR(INDEX(PASTE_ALL,$DF706,13)&amp;"","")&amp;"␟"&amp;IFERROR(INDEX(PASTE_ALL,$DF706,14)&amp;"","")&amp;"␟"&amp;IFERROR(INDEX(PASTE_ALL,$DF706,15)&amp;"","")&amp;"␟"&amp;IFERROR(INDEX(PASTE_ALL,$DF706,16)&amp;"","")&amp;"␟"&amp;IFERROR(INDEX(PASTE_ALL,$DF706,17)&amp;"","")&amp;"␟"&amp;IFERROR(INDEX(PASTE_ALL,$DF706,18)&amp;"","")&amp;"␟"&amp;IFERROR(INDEX(PASTE_ALL,$DF706,19)&amp;"","")&amp;"␟"&amp;IFERROR(INDEX(PASTE_ALL,$DF706,20)&amp;"","")&amp;"␟"&amp;IFERROR(INDEX(PASTE_ALL,$DF706,21)&amp;"","")&amp;"␟"&amp;IFERROR(INDEX(PASTE_ALL,$DF706,22)&amp;"","")&amp;"␟"&amp;IFERROR(INDEX(PASTE_ALL,$DF706,23)&amp;"","")&amp;"␟"&amp;IFERROR(INDEX(PASTE_ALL,$DF706,24)&amp;"","")&amp;"␟"&amp;IFERROR(INDEX(PASTE_ALL,$DF706,25)&amp;"","")&amp;"␟"&amp;IFERROR(INDEX(PASTE_ALL,$DF706,26)&amp;"","")&amp;"␟"&amp;IFERROR(INDEX(PASTE_ALL,$DF706,27)&amp;"","")&amp;"␟"&amp;IFERROR(INDEX(PASTE_ALL,$DF706,28)&amp;"","")&amp;"␟"&amp;IFERROR(INDEX(PASTE_ALL,$DF706,29)&amp;"","")&amp;"␟"&amp;IFERROR(INDEX(PASTE_ALL,$DF706,30)&amp;"","")&amp;"␟"&amp;IFERROR(INDEX(PASTE_ALL,$DF706,31)&amp;"","")&amp;"␟"&amp;IFERROR(INDEX(PASTE_ALL,$DF706,32)&amp;"","")&amp;"␟"&amp;IFERROR(INDEX(PASTE_ALL,$DF706,33)&amp;"","")&amp;"␟"&amp;IFERROR(INDEX(PASTE_ALL,$DF706,34)&amp;"","")&amp;"␟"&amp;IFERROR(INDEX(PASTE_ALL,$DF706,35)&amp;"","")&amp;"␟"&amp;IFERROR(INDEX(PASTE_ALL,$DF706,36)&amp;"","")&amp;"␟"&amp;IFERROR(INDEX(PASTE_ALL,$DF706,37)&amp;"","")&amp;"␟"&amp;IFERROR(INDEX(PASTE_ALL,$DF706,38)&amp;"","")&amp;"␟"&amp;IFERROR(INDEX(PASTE_ALL,$DF706,39)&amp;"","")&amp;"␟"&amp;IFERROR(INDEX(PASTE_ALL,$DF706,40)&amp;"","")&amp;"␟"&amp;IFERROR(INDEX(PASTE_ALL,$DF706,41)&amp;"","")&amp;"␟"&amp;IFERROR(INDEX(PASTE_ALL,$DF706,42)&amp;"","")&amp;"␟"&amp;IFERROR(INDEX(PASTE_ALL,$DF706,43)&amp;"","")&amp;"␟"&amp;IFERROR(INDEX(PASTE_ALL,$DF706,44)&amp;"","")&amp;"␟"&amp;IFERROR(INDEX(PASTE_ALL,$DF706,45)&amp;"","")&amp;"␟"&amp;IFERROR(INDEX(PASTE_ALL,$DF706,46)&amp;"","")&amp;"␟"&amp;IFERROR(INDEX(PASTE_ALL,$DF706,47)&amp;"","")&amp;"␟"&amp;IFERROR(INDEX(PASTE_ALL,$DF706,48)&amp;"","")&amp;"␟"&amp;IFERROR(INDEX(PASTE_ALL,$DF706,49)&amp;"","")&amp;"␟"&amp;IFERROR(INDEX(PASTE_ALL,$DF706,50)&amp;"","")&amp;"␟"&amp;IFERROR(INDEX(PASTE_ALL,$DF706,51)&amp;"","")&amp;"␟"&amp;IFERROR(INDEX(PASTE_ALL,$DF706,52)&amp;"","")&amp;"␟"&amp;IFERROR(INDEX(PASTE_ALL,$DF706,53)&amp;"","")&amp;"␟"&amp;IFERROR(INDEX(PASTE_ALL,$DF706,54)&amp;"","")&amp;"␟"&amp;IFERROR(INDEX(PASTE_ALL,$DF706,55)&amp;"","")&amp;"␟"&amp;IFERROR(INDEX(PASTE_ALL,$DF706,56)&amp;"","")&amp;"␟"&amp;IFERROR(INDEX(PASTE_ALL,$DF706,57)&amp;"","")&amp;"␟"&amp;IFERROR(INDEX(PASTE_ALL,$DF706,58)&amp;"","")&amp;"␟"&amp;IFERROR(INDEX(PASTE_ALL,$DF706,59)&amp;"","")&amp;"␟"&amp;IFERROR(INDEX(PASTE_ALL,$DF706,60)&amp;"","")," "," "),CHAR(9)," "),CHAR(10)," "),CHAR(13)," "))," ␟","␟"),"␟ ","␟"),"#"&amp;$DE706),"")</f>
        <v/>
      </c>
      <c r="DJ706">
        <f>IF($DI706="",0,IF(SUMPRODUCT(--EXACT($DI$4:DI705,$DI706))&gt;0,1,0))</f>
        <v/>
      </c>
      <c r="DK706">
        <f>IF(AND($DI706&lt;&gt;"",$DJ706=0),1,0)</f>
        <v/>
      </c>
      <c r="DL706">
        <f>DL705+$DK706</f>
        <v/>
      </c>
      <c r="DM706">
        <f>IF(AND($DK706=1,$DL706&lt;=600),1,0)</f>
        <v/>
      </c>
      <c r="DN706">
        <f>IF($DM706=0,"",IF($L$6=0,"",IFERROR(IF(ISNUMBER(INDEX(PASTE_ALL,$DF706,$L$6)),INDEX(PASTE_ALL,$DF706,$L$6),TRIM(SUBSTITUTE(SUBSTITUTE(SUBSTITUTE(SUBSTITUTE(INDEX(PASTE_ALL,$DF706,$L$6)," "," "),CHAR(9)," "),CHAR(10)," "),CHAR(13)," "))),"")))</f>
        <v/>
      </c>
      <c r="DO706">
        <f>IF($DM706=0,"",IF($L$7=0,"",IFERROR(IF(ISNUMBER(INDEX(PASTE_ALL,$DF706,$L$7)),INDEX(PASTE_ALL,$DF706,$L$7),TRIM(SUBSTITUTE(SUBSTITUTE(SUBSTITUTE(SUBSTITUTE(INDEX(PASTE_ALL,$DF706,$L$7)," "," "),CHAR(9)," "),CHAR(10)," "),CHAR(13)," "))),"")))</f>
        <v/>
      </c>
      <c r="DP706">
        <f>IF($DM706=0,"",IF($L$8=0,"",IFERROR(IF(ISNUMBER(INDEX(PASTE_ALL,$DF706,$L$8)),INDEX(PASTE_ALL,$DF706,$L$8),TRIM(SUBSTITUTE(SUBSTITUTE(SUBSTITUTE(SUBSTITUTE(INDEX(PASTE_ALL,$DF706,$L$8)," "," "),CHAR(9)," "),CHAR(10)," "),CHAR(13)," "))),"")))</f>
        <v/>
      </c>
      <c r="DQ706">
        <f>IF($DM706=0,"",IF($L$9=0,"",IFERROR(IF(ISNUMBER(INDEX(PASTE_ALL,$DF706,$L$9)),INDEX(PASTE_ALL,$DF706,$L$9),TRIM(SUBSTITUTE(SUBSTITUTE(SUBSTITUTE(SUBSTITUTE(INDEX(PASTE_ALL,$DF706,$L$9)," "," "),CHAR(9)," "),CHAR(10)," "),CHAR(13)," "))),"")))</f>
        <v/>
      </c>
      <c r="DR706">
        <f>IF($DM706=0,"",IF($L$10=0,"",IFERROR(IF(ISNUMBER(INDEX(PASTE_ALL,$DF706,$L$10)),INDEX(PASTE_ALL,$DF706,$L$10),TRIM(SUBSTITUTE(SUBSTITUTE(SUBSTITUTE(SUBSTITUTE(INDEX(PASTE_ALL,$DF706,$L$10)," "," "),CHAR(9)," "),CHAR(10)," "),CHAR(13)," "))),"")))</f>
        <v/>
      </c>
      <c r="DS706">
        <f>IF($DM706=0,"",IF($L$11=0,"",IFERROR(IF(ISNUMBER(INDEX(PASTE_ALL,$DF706,$L$11)),INDEX(PASTE_ALL,$DF706,$L$11),TRIM(SUBSTITUTE(SUBSTITUTE(SUBSTITUTE(SUBSTITUTE(INDEX(PASTE_ALL,$DF706,$L$11)," "," "),CHAR(9)," "),CHAR(10)," "),CHAR(13)," "))),"")))</f>
        <v/>
      </c>
      <c r="DT706">
        <f>IF($DM706=0,"",IF($L$12=0,"",IFERROR(IF(ISNUMBER(INDEX(PASTE_ALL,$DF706,$L$12)),INDEX(PASTE_ALL,$DF706,$L$12),TRIM(SUBSTITUTE(SUBSTITUTE(SUBSTITUTE(SUBSTITUTE(INDEX(PASTE_ALL,$DF706,$L$12)," "," "),CHAR(9)," "),CHAR(10)," "),CHAR(13)," "))),"")))</f>
        <v/>
      </c>
      <c r="DU706">
        <f>IF($DM706=0,"",IF($L$13=0,"",IFERROR(IF(ISNUMBER(INDEX(PASTE_ALL,$DF706,$L$13)),INDEX(PASTE_ALL,$DF706,$L$13),TRIM(SUBSTITUTE(SUBSTITUTE(SUBSTITUTE(SUBSTITUTE(INDEX(PASTE_ALL,$DF706,$L$13)," "," "),CHAR(9)," "),CHAR(10)," "),CHAR(13)," "))),"")))</f>
        <v/>
      </c>
      <c r="DV706">
        <f>IF($DM706=0,"",IF($L$14=0,"",IFERROR(IF(ISNUMBER(INDEX(PASTE_ALL,$DF706,$L$14)),INDEX(PASTE_ALL,$DF706,$L$14),TRIM(SUBSTITUTE(SUBSTITUTE(SUBSTITUTE(SUBSTITUTE(INDEX(PASTE_ALL,$DF706,$L$14)," "," "),CHAR(9)," "),CHAR(10)," "),CHAR(13)," "))),"")))</f>
        <v/>
      </c>
      <c r="DW706">
        <f>IF($DM706=0,"",IF($L$15=0,"",IFERROR(IF(ISNUMBER(INDEX(PASTE_ALL,$DF706,$L$15)),INDEX(PASTE_ALL,$DF706,$L$15),IF(SUMPRODUCT(--ISNUMBER(FIND({"A","B","C","D","E","F","G","H","I","J","K","L","M","N","O","P","Q","R","S","T","U","V","W","X","Y","Z","0","1","2","3","4","5","6","7","8","9"},UPPER(TRIM(SUBSTITUTE(SUBSTITUTE(SUBSTITUTE(SUBSTITUTE(INDEX(PASTE_ALL,$DF706,$L$15)," "," "),CHAR(9)," "),CHAR(10)," "),CHAR(13)," "))))))&gt;0,TRIM(SUBSTITUTE(SUBSTITUTE(SUBSTITUTE(SUBSTITUTE(INDEX(PASTE_ALL,$DF706,$L$15)," "," "),CHAR(9)," "),CHAR(10)," "),CHAR(13)," ")),"")),"")))</f>
        <v/>
      </c>
      <c r="DX706">
        <f>IF($DM706=0,"",IF($L$16=0,"",IFERROR(IF(ISNUMBER(INDEX(PASTE_ALL,$DF706,$L$16)),INDEX(PASTE_ALL,$DF706,$L$16),SUBSTITUTE(SUBSTITUTE(TRIM(SUBSTITUTE(SUBSTITUTE(SUBSTITUTE(SUBSTITUTE(INDEX(PASTE_ALL,$DF706,$L$16)," "," "),CHAR(9)," "),CHAR(10)," "),CHAR(13)," ")),",",""),"%","")),"")))</f>
        <v/>
      </c>
      <c r="DY706">
        <f>IF($DM706=0,"",IFERROR(IF(ISNUMBER($DX706),$DX706,IF($DX706="","",IF(TRIM($DX706)="",0,IF(AND(AND(SUBSTITUTE(SUBSTITUTE(SUBSTITUTE(SUBSTITUTE(SUBSTITUTE(SUBSTITUTE(SUBSTITUTE(SUBSTITUTE(SUBSTITUTE(SUBSTITUTE(SUBSTITUTE(SUBSTITUTE(SUBSTITUTE(SUBSTITUTE(UPPER(TRIM($DX706)),"0",""),"1",""),"2",""),"3",""),"4",""),"5",""),"6",""),"7",""),"8",""),"9",""),".",""),"+",""),"-",""),"E","")="",LEN(SUBSTITUTE(SUBSTITUTE(MID(UPPER(TRIM($DX706)),1+OR(LEFT(UPPER(TRIM($DX706)),1)="+",LEFT(UPPER(TRIM($DX706)),1)="-"),999),"E+","E"),"E-","E"))=LEN(SUBSTITUTE(SUBSTITUTE(SUBSTITUTE(SUBSTITUTE(MID(UPPER(TRIM($DX706)),1+OR(LEFT(UPPER(TRIM($DX706)),1)="+",LEFT(UPPER(TRIM($DX706)),1)="-"),999),"E+","E"),"E-","E"),"+",""),"-","")),LEN(UPPER(TRIM($DX706)))-LEN(SUBSTITUTE(UPPER(TRIM($DX706)),"E",""))&lt;2,LEN(UPPER(TRIM($DX706)))-LEN(SUBSTITUTE(UPPER(TRIM($DX706)),".",""))&lt;2,IFERROR(FIND(".",UPPER(TRIM($DX706))),0)&lt;IFERROR(FIND("E",UPPER(TRIM($DX706))),999)),ISNUMBER(VALUE(TRIM($DX706)))),VALUE(TRIM($DX706)),"")))),""))</f>
        <v/>
      </c>
      <c r="DZ706">
        <f>IF($DM706=0,"",IF($L$17=0,"",IFERROR(IF(ISNUMBER(INDEX(PASTE_ALL,$DF706,$L$17)),INDEX(PASTE_ALL,$DF706,$L$17),SUBSTITUTE(SUBSTITUTE(TRIM(SUBSTITUTE(SUBSTITUTE(SUBSTITUTE(SUBSTITUTE(INDEX(PASTE_ALL,$DF706,$L$17)," "," "),CHAR(9)," "),CHAR(10)," "),CHAR(13)," ")),",",""),"%","")),"")))</f>
        <v/>
      </c>
      <c r="EA706">
        <f>IF($DM706=0,"",IFERROR(IF(ISNUMBER($DZ706),$DZ706,IF($DZ706="","",IF(TRIM($DZ706)="",0,IF(AND(AND(SUBSTITUTE(SUBSTITUTE(SUBSTITUTE(SUBSTITUTE(SUBSTITUTE(SUBSTITUTE(SUBSTITUTE(SUBSTITUTE(SUBSTITUTE(SUBSTITUTE(SUBSTITUTE(SUBSTITUTE(SUBSTITUTE(SUBSTITUTE(UPPER(TRIM($DZ706)),"0",""),"1",""),"2",""),"3",""),"4",""),"5",""),"6",""),"7",""),"8",""),"9",""),".",""),"+",""),"-",""),"E","")="",LEN(SUBSTITUTE(SUBSTITUTE(MID(UPPER(TRIM($DZ706)),1+OR(LEFT(UPPER(TRIM($DZ706)),1)="+",LEFT(UPPER(TRIM($DZ706)),1)="-"),999),"E+","E"),"E-","E"))=LEN(SUBSTITUTE(SUBSTITUTE(SUBSTITUTE(SUBSTITUTE(MID(UPPER(TRIM($DZ706)),1+OR(LEFT(UPPER(TRIM($DZ706)),1)="+",LEFT(UPPER(TRIM($DZ706)),1)="-"),999),"E+","E"),"E-","E"),"+",""),"-","")),LEN(UPPER(TRIM($DZ706)))-LEN(SUBSTITUTE(UPPER(TRIM($DZ706)),"E",""))&lt;2,LEN(UPPER(TRIM($DZ706)))-LEN(SUBSTITUTE(UPPER(TRIM($DZ706)),".",""))&lt;2,IFERROR(FIND(".",UPPER(TRIM($DZ706))),0)&lt;IFERROR(FIND("E",UPPER(TRIM($DZ706))),999)),ISNUMBER(VALUE(TRIM($DZ706)))),VALUE(TRIM($DZ706)),"")))),""))</f>
        <v/>
      </c>
      <c r="EB706">
        <f>IF($DM706=0,"",IF($L$18=0,"",IFERROR(IF(UPPER(TRIM(SUBSTITUTE(SUBSTITUTE(SUBSTITUTE(SUBSTITUTE(INDEX(PASTE_ALL,$DF706,$L$18)," "," "),CHAR(9)," "),CHAR(10)," "),CHAR(13)," ")))="READY","Ready",IF(UPPER(TRIM(SUBSTITUTE(SUBSTITUTE(SUBSTITUTE(SUBSTITUTE(INDEX(PASTE_ALL,$DF706,$L$18)," "," "),CHAR(9)," "),CHAR(10)," "),CHAR(13)," ")))="PM","PM",IF(OR(UPPER(TRIM(SUBSTITUTE(SUBSTITUTE(SUBSTITUTE(SUBSTITUTE(INDEX(PASTE_ALL,$DF706,$L$18)," "," "),CHAR(9)," "),CHAR(10)," "),CHAR(13)," ")))="OT",UPPER(TRIM(SUBSTITUTE(SUBSTITUTE(SUBSTITUTE(SUBSTITUTE(INDEX(PASTE_ALL,$DF706,$L$18)," "," "),CHAR(9)," "),CHAR(10)," "),CHAR(13)," ")))="OVERTIME",UPPER(TRIM(SUBSTITUTE(SUBSTITUTE(SUBSTITUTE(SUBSTITUTE(INDEX(PASTE_ALL,$DF706,$L$18)," "," "),CHAR(9)," "),CHAR(10)," "),CHAR(13)," ")))="TRIAL"),"OT",TRIM(SUBSTITUTE(SUBSTITUTE(SUBSTITUTE(SUBSTITUTE(INDEX(PASTE_ALL,$DF706,$L$18)," "," "),CHAR(9)," "),CHAR(10)," "),CHAR(13)," "))))),"")))</f>
        <v/>
      </c>
      <c r="EC706">
        <f>IF($DM706=0,"",IF($L$19=0,"",IFERROR(IF(ISNUMBER(INDEX(PASTE_ALL,$DF706,$L$19)),INDEX(PASTE_ALL,$DF706,$L$19),TRIM(SUBSTITUTE(SUBSTITUTE(SUBSTITUTE(SUBSTITUTE(INDEX(PASTE_ALL,$DF706,$L$19)," "," "),CHAR(9)," "),CHAR(10)," "),CHAR(13)," "))),"")))</f>
        <v/>
      </c>
      <c r="ED706">
        <f>IF($DM706=0,"",MATCH(1,INDEX(EXACT($DH$5:DH706,$DH706)*$DM$5:DM706,0),0))</f>
        <v/>
      </c>
      <c r="EE706">
        <f>IF($DM706=0,0,IF($ED706=$DE706,1,0))</f>
        <v/>
      </c>
      <c r="EF706">
        <f>EF705+$EE706</f>
        <v/>
      </c>
      <c r="EG706">
        <f>IF($DM706=0,"",INDEX($EF$5:$EF$1003,$ED706))</f>
        <v/>
      </c>
      <c r="EH706">
        <f>IF($DM706=0,"",IF($DO706&lt;&gt;"","",IFERROR(LOOKUP(2,1/(($EG$4:EG705=$EG706)*($DO$4:DO705&lt;&gt;"")),$DO$4:DO705),"")))</f>
        <v/>
      </c>
      <c r="EI706">
        <f>IF($DM706=0,"",IF($DO706&lt;&gt;"",$DO706,$EH706))</f>
        <v/>
      </c>
      <c r="EJ706">
        <f>IF($DM706=0,"",IF($EI706="",0,IF(OR(ISNUMBER($EI706),AND(AND(SUBSTITUTE(SUBSTITUTE(SUBSTITUTE(SUBSTITUTE(SUBSTITUTE(SUBSTITUTE(SUBSTITUTE(SUBSTITUTE(SUBSTITUTE(SUBSTITUTE(SUBSTITUTE(SUBSTITUTE(SUBSTITUTE(SUBSTITUTE(UPPER($EI706),"0",""),"1",""),"2",""),"3",""),"4",""),"5",""),"6",""),"7",""),"8",""),"9",""),".",""),"+",""),"-",""),"E","")="",LEN(SUBSTITUTE(SUBSTITUTE(MID(UPPER($EI706),1+OR(LEFT(UPPER($EI706),1)="+",LEFT(UPPER($EI706),1)="-"),999),"E+","E"),"E-","E"))=LEN(SUBSTITUTE(SUBSTITUTE(SUBSTITUTE(SUBSTITUTE(MID(UPPER($EI706),1+OR(LEFT(UPPER($EI706),1)="+",LEFT(UPPER($EI706),1)="-"),999),"E+","E"),"E-","E"),"+",""),"-","")),LEN(UPPER($EI706))-LEN(SUBSTITUTE(UPPER($EI706),"E",""))&lt;2,LEN(UPPER($EI706))-LEN(SUBSTITUTE(UPPER($EI706),".",""))&lt;2,IFERROR(FIND(".",UPPER($EI706)),0)&lt;IFERROR(FIND("E",UPPER($EI706)),999)),ISNUMBER(VALUE($EI706)))),1,2)))</f>
        <v/>
      </c>
      <c r="EK706">
        <f>IF($DM706=0,"",IF($EJ706=1,IF(ISNUMBER($EI706),$EI706,VALUE($EI706)),IF($EJ706=2,$DE706,0)))</f>
        <v/>
      </c>
      <c r="EL706">
        <f>IF($DM706=0,"",COUNTIF($EG$5:$EG$1003,"&lt;"&amp;$EG706)+SUMPRODUCT(($EG$5:$EG$1003=$EG706)*(($EJ$5:$EJ$1003&lt;$EJ706)+($EJ$5:$EJ$1003=$EJ706)*(($EK$5:$EK$1003&lt;$EK706)+($EK$5:$EK$1003=$EK706)*($DE$5:$DE$1003&lt;$DE706))))+1)</f>
        <v/>
      </c>
      <c r="EM706">
        <f>IF($DM706=0,"",$EL706+$EG706-1)</f>
        <v/>
      </c>
      <c r="EN706">
        <f>IF($DM706=0,0,IFERROR(MATCH(1,INDEX(--(TRIM(SUBSTITUTE(SUBSTITUTE(SUBSTITUTE(SUBSTITUTE(LINES_NAME&amp;""," "," "),CHAR(9)," "),CHAR(10)," "),CHAR(13)," "))=$DH706),0),0),0))</f>
        <v/>
      </c>
      <c r="EO706">
        <f>IF($EN706=0,0,IF(OR(UPPER(TRIM(INDEX(LINES_SCHEDULED,$EN706)&amp;""))="YES",UPPER(TRIM(INDEX(LINES_SCHEDULED,$EN706)&amp;""))="Y",UPPER(TRIM(INDEX(LINES_SCHEDULED,$EN706)&amp;""))="X"),1,0))</f>
        <v/>
      </c>
      <c r="EP706">
        <f>IF($DM706=0,"",IF(COUNTIFS($EG$5:$EG$1003,$EG706,$EB$5:$EB$1003,"Ready")&gt;0,"READY",IF(COUNTIFS($EG$5:$EG$1003,$EG706,$EB$5:$EB$1003,"PM")&gt;0,"PM",IF(COUNTIFS($EG$5:$EG$1003,$EG706,$EB$5:$EB$1003,"OT")&gt;0,"OT",""))))</f>
        <v/>
      </c>
      <c r="EQ706">
        <f>IF($EN706=0,"",UPPER(TRIM(INDEX(LINES_STATUS,$EN706)&amp;"")))</f>
        <v/>
      </c>
      <c r="ER706">
        <f>IF($DM706=0,"",IF(OR($EQ706="READY",$EQ706="PM",$EQ706="OT"),$EQ706,$EP706))</f>
        <v/>
      </c>
      <c r="ES706">
        <f>IF($DM706=0,"",IF(AND($DV706&lt;&gt;"",UPPER($DV706)&lt;&gt;"N"),"allergen",IF(ISNUMBER(SEARCH("oil",$DQ706)),"oil",IF(OR(EXACT($DS706,"A662"),EXACT($DS706,"A624")),"bulk",""))))</f>
        <v/>
      </c>
      <c r="ET706">
        <f>IF($DM706=0,"",IF(OR($EA706="",$EA706=0),"",$EA706/100))</f>
        <v/>
      </c>
      <c r="EU706">
        <f>IF(OR($ET706="",$DY706=""),"",INT($DY706*(1-$ET706)+0.5))</f>
        <v/>
      </c>
    </row>
    <row r="707">
      <c r="DA707" t="n">
        <v>703</v>
      </c>
      <c r="DB707">
        <f>IF($B$37=0,"",IFERROR(TRIM(SUBSTITUTE(SUBSTITUTE(SUBSTITUTE(SUBSTITUTE(INDEX(PASTE_ALL,703,$B$37)," "," "),CHAR(9)," "),CHAR(10)," "),CHAR(13)," ")),""))</f>
        <v/>
      </c>
      <c r="DC707">
        <f>IF(AND(703&gt;HEADER_ROW,UPPER(DB707)="LEGEND"),1,0)</f>
        <v/>
      </c>
      <c r="DE707" t="n">
        <v>703</v>
      </c>
      <c r="DF707">
        <f>HEADER_ROW+$DE707</f>
        <v/>
      </c>
      <c r="DG707">
        <f>IF(AND($DF707&lt;=1000,$DF707&lt;$B$8),1,0)</f>
        <v/>
      </c>
      <c r="DH707">
        <f>IF($DG707=1,IFERROR(INDEX($DB$5:$DB$1004,$DF707),""),"")</f>
        <v/>
      </c>
      <c r="DI707">
        <f>IF(AND($DG707=1,$DH707&lt;&gt;""),IFERROR(SUBSTITUTE(SUBSTITUTE(TRIM(SUBSTITUTE(SUBSTITUTE(SUBSTITUTE(SUBSTITUTE(IFERROR(INDEX(PASTE_ALL,$DF707,1)&amp;"","")&amp;"␟"&amp;IFERROR(INDEX(PASTE_ALL,$DF707,2)&amp;"","")&amp;"␟"&amp;IFERROR(INDEX(PASTE_ALL,$DF707,3)&amp;"","")&amp;"␟"&amp;IFERROR(INDEX(PASTE_ALL,$DF707,4)&amp;"","")&amp;"␟"&amp;IFERROR(INDEX(PASTE_ALL,$DF707,5)&amp;"","")&amp;"␟"&amp;IFERROR(INDEX(PASTE_ALL,$DF707,6)&amp;"","")&amp;"␟"&amp;IFERROR(INDEX(PASTE_ALL,$DF707,7)&amp;"","")&amp;"␟"&amp;IFERROR(INDEX(PASTE_ALL,$DF707,8)&amp;"","")&amp;"␟"&amp;IFERROR(INDEX(PASTE_ALL,$DF707,9)&amp;"","")&amp;"␟"&amp;IFERROR(INDEX(PASTE_ALL,$DF707,10)&amp;"","")&amp;"␟"&amp;IFERROR(INDEX(PASTE_ALL,$DF707,11)&amp;"","")&amp;"␟"&amp;IFERROR(INDEX(PASTE_ALL,$DF707,12)&amp;"","")&amp;"␟"&amp;IFERROR(INDEX(PASTE_ALL,$DF707,13)&amp;"","")&amp;"␟"&amp;IFERROR(INDEX(PASTE_ALL,$DF707,14)&amp;"","")&amp;"␟"&amp;IFERROR(INDEX(PASTE_ALL,$DF707,15)&amp;"","")&amp;"␟"&amp;IFERROR(INDEX(PASTE_ALL,$DF707,16)&amp;"","")&amp;"␟"&amp;IFERROR(INDEX(PASTE_ALL,$DF707,17)&amp;"","")&amp;"␟"&amp;IFERROR(INDEX(PASTE_ALL,$DF707,18)&amp;"","")&amp;"␟"&amp;IFERROR(INDEX(PASTE_ALL,$DF707,19)&amp;"","")&amp;"␟"&amp;IFERROR(INDEX(PASTE_ALL,$DF707,20)&amp;"","")&amp;"␟"&amp;IFERROR(INDEX(PASTE_ALL,$DF707,21)&amp;"","")&amp;"␟"&amp;IFERROR(INDEX(PASTE_ALL,$DF707,22)&amp;"","")&amp;"␟"&amp;IFERROR(INDEX(PASTE_ALL,$DF707,23)&amp;"","")&amp;"␟"&amp;IFERROR(INDEX(PASTE_ALL,$DF707,24)&amp;"","")&amp;"␟"&amp;IFERROR(INDEX(PASTE_ALL,$DF707,25)&amp;"","")&amp;"␟"&amp;IFERROR(INDEX(PASTE_ALL,$DF707,26)&amp;"","")&amp;"␟"&amp;IFERROR(INDEX(PASTE_ALL,$DF707,27)&amp;"","")&amp;"␟"&amp;IFERROR(INDEX(PASTE_ALL,$DF707,28)&amp;"","")&amp;"␟"&amp;IFERROR(INDEX(PASTE_ALL,$DF707,29)&amp;"","")&amp;"␟"&amp;IFERROR(INDEX(PASTE_ALL,$DF707,30)&amp;"","")&amp;"␟"&amp;IFERROR(INDEX(PASTE_ALL,$DF707,31)&amp;"","")&amp;"␟"&amp;IFERROR(INDEX(PASTE_ALL,$DF707,32)&amp;"","")&amp;"␟"&amp;IFERROR(INDEX(PASTE_ALL,$DF707,33)&amp;"","")&amp;"␟"&amp;IFERROR(INDEX(PASTE_ALL,$DF707,34)&amp;"","")&amp;"␟"&amp;IFERROR(INDEX(PASTE_ALL,$DF707,35)&amp;"","")&amp;"␟"&amp;IFERROR(INDEX(PASTE_ALL,$DF707,36)&amp;"","")&amp;"␟"&amp;IFERROR(INDEX(PASTE_ALL,$DF707,37)&amp;"","")&amp;"␟"&amp;IFERROR(INDEX(PASTE_ALL,$DF707,38)&amp;"","")&amp;"␟"&amp;IFERROR(INDEX(PASTE_ALL,$DF707,39)&amp;"","")&amp;"␟"&amp;IFERROR(INDEX(PASTE_ALL,$DF707,40)&amp;"","")&amp;"␟"&amp;IFERROR(INDEX(PASTE_ALL,$DF707,41)&amp;"","")&amp;"␟"&amp;IFERROR(INDEX(PASTE_ALL,$DF707,42)&amp;"","")&amp;"␟"&amp;IFERROR(INDEX(PASTE_ALL,$DF707,43)&amp;"","")&amp;"␟"&amp;IFERROR(INDEX(PASTE_ALL,$DF707,44)&amp;"","")&amp;"␟"&amp;IFERROR(INDEX(PASTE_ALL,$DF707,45)&amp;"","")&amp;"␟"&amp;IFERROR(INDEX(PASTE_ALL,$DF707,46)&amp;"","")&amp;"␟"&amp;IFERROR(INDEX(PASTE_ALL,$DF707,47)&amp;"","")&amp;"␟"&amp;IFERROR(INDEX(PASTE_ALL,$DF707,48)&amp;"","")&amp;"␟"&amp;IFERROR(INDEX(PASTE_ALL,$DF707,49)&amp;"","")&amp;"␟"&amp;IFERROR(INDEX(PASTE_ALL,$DF707,50)&amp;"","")&amp;"␟"&amp;IFERROR(INDEX(PASTE_ALL,$DF707,51)&amp;"","")&amp;"␟"&amp;IFERROR(INDEX(PASTE_ALL,$DF707,52)&amp;"","")&amp;"␟"&amp;IFERROR(INDEX(PASTE_ALL,$DF707,53)&amp;"","")&amp;"␟"&amp;IFERROR(INDEX(PASTE_ALL,$DF707,54)&amp;"","")&amp;"␟"&amp;IFERROR(INDEX(PASTE_ALL,$DF707,55)&amp;"","")&amp;"␟"&amp;IFERROR(INDEX(PASTE_ALL,$DF707,56)&amp;"","")&amp;"␟"&amp;IFERROR(INDEX(PASTE_ALL,$DF707,57)&amp;"","")&amp;"␟"&amp;IFERROR(INDEX(PASTE_ALL,$DF707,58)&amp;"","")&amp;"␟"&amp;IFERROR(INDEX(PASTE_ALL,$DF707,59)&amp;"","")&amp;"␟"&amp;IFERROR(INDEX(PASTE_ALL,$DF707,60)&amp;"","")," "," "),CHAR(9)," "),CHAR(10)," "),CHAR(13)," "))," ␟","␟"),"␟ ","␟"),"#"&amp;$DE707),"")</f>
        <v/>
      </c>
      <c r="DJ707">
        <f>IF($DI707="",0,IF(SUMPRODUCT(--EXACT($DI$4:DI706,$DI707))&gt;0,1,0))</f>
        <v/>
      </c>
      <c r="DK707">
        <f>IF(AND($DI707&lt;&gt;"",$DJ707=0),1,0)</f>
        <v/>
      </c>
      <c r="DL707">
        <f>DL706+$DK707</f>
        <v/>
      </c>
      <c r="DM707">
        <f>IF(AND($DK707=1,$DL707&lt;=600),1,0)</f>
        <v/>
      </c>
      <c r="DN707">
        <f>IF($DM707=0,"",IF($L$6=0,"",IFERROR(IF(ISNUMBER(INDEX(PASTE_ALL,$DF707,$L$6)),INDEX(PASTE_ALL,$DF707,$L$6),TRIM(SUBSTITUTE(SUBSTITUTE(SUBSTITUTE(SUBSTITUTE(INDEX(PASTE_ALL,$DF707,$L$6)," "," "),CHAR(9)," "),CHAR(10)," "),CHAR(13)," "))),"")))</f>
        <v/>
      </c>
      <c r="DO707">
        <f>IF($DM707=0,"",IF($L$7=0,"",IFERROR(IF(ISNUMBER(INDEX(PASTE_ALL,$DF707,$L$7)),INDEX(PASTE_ALL,$DF707,$L$7),TRIM(SUBSTITUTE(SUBSTITUTE(SUBSTITUTE(SUBSTITUTE(INDEX(PASTE_ALL,$DF707,$L$7)," "," "),CHAR(9)," "),CHAR(10)," "),CHAR(13)," "))),"")))</f>
        <v/>
      </c>
      <c r="DP707">
        <f>IF($DM707=0,"",IF($L$8=0,"",IFERROR(IF(ISNUMBER(INDEX(PASTE_ALL,$DF707,$L$8)),INDEX(PASTE_ALL,$DF707,$L$8),TRIM(SUBSTITUTE(SUBSTITUTE(SUBSTITUTE(SUBSTITUTE(INDEX(PASTE_ALL,$DF707,$L$8)," "," "),CHAR(9)," "),CHAR(10)," "),CHAR(13)," "))),"")))</f>
        <v/>
      </c>
      <c r="DQ707">
        <f>IF($DM707=0,"",IF($L$9=0,"",IFERROR(IF(ISNUMBER(INDEX(PASTE_ALL,$DF707,$L$9)),INDEX(PASTE_ALL,$DF707,$L$9),TRIM(SUBSTITUTE(SUBSTITUTE(SUBSTITUTE(SUBSTITUTE(INDEX(PASTE_ALL,$DF707,$L$9)," "," "),CHAR(9)," "),CHAR(10)," "),CHAR(13)," "))),"")))</f>
        <v/>
      </c>
      <c r="DR707">
        <f>IF($DM707=0,"",IF($L$10=0,"",IFERROR(IF(ISNUMBER(INDEX(PASTE_ALL,$DF707,$L$10)),INDEX(PASTE_ALL,$DF707,$L$10),TRIM(SUBSTITUTE(SUBSTITUTE(SUBSTITUTE(SUBSTITUTE(INDEX(PASTE_ALL,$DF707,$L$10)," "," "),CHAR(9)," "),CHAR(10)," "),CHAR(13)," "))),"")))</f>
        <v/>
      </c>
      <c r="DS707">
        <f>IF($DM707=0,"",IF($L$11=0,"",IFERROR(IF(ISNUMBER(INDEX(PASTE_ALL,$DF707,$L$11)),INDEX(PASTE_ALL,$DF707,$L$11),TRIM(SUBSTITUTE(SUBSTITUTE(SUBSTITUTE(SUBSTITUTE(INDEX(PASTE_ALL,$DF707,$L$11)," "," "),CHAR(9)," "),CHAR(10)," "),CHAR(13)," "))),"")))</f>
        <v/>
      </c>
      <c r="DT707">
        <f>IF($DM707=0,"",IF($L$12=0,"",IFERROR(IF(ISNUMBER(INDEX(PASTE_ALL,$DF707,$L$12)),INDEX(PASTE_ALL,$DF707,$L$12),TRIM(SUBSTITUTE(SUBSTITUTE(SUBSTITUTE(SUBSTITUTE(INDEX(PASTE_ALL,$DF707,$L$12)," "," "),CHAR(9)," "),CHAR(10)," "),CHAR(13)," "))),"")))</f>
        <v/>
      </c>
      <c r="DU707">
        <f>IF($DM707=0,"",IF($L$13=0,"",IFERROR(IF(ISNUMBER(INDEX(PASTE_ALL,$DF707,$L$13)),INDEX(PASTE_ALL,$DF707,$L$13),TRIM(SUBSTITUTE(SUBSTITUTE(SUBSTITUTE(SUBSTITUTE(INDEX(PASTE_ALL,$DF707,$L$13)," "," "),CHAR(9)," "),CHAR(10)," "),CHAR(13)," "))),"")))</f>
        <v/>
      </c>
      <c r="DV707">
        <f>IF($DM707=0,"",IF($L$14=0,"",IFERROR(IF(ISNUMBER(INDEX(PASTE_ALL,$DF707,$L$14)),INDEX(PASTE_ALL,$DF707,$L$14),TRIM(SUBSTITUTE(SUBSTITUTE(SUBSTITUTE(SUBSTITUTE(INDEX(PASTE_ALL,$DF707,$L$14)," "," "),CHAR(9)," "),CHAR(10)," "),CHAR(13)," "))),"")))</f>
        <v/>
      </c>
      <c r="DW707">
        <f>IF($DM707=0,"",IF($L$15=0,"",IFERROR(IF(ISNUMBER(INDEX(PASTE_ALL,$DF707,$L$15)),INDEX(PASTE_ALL,$DF707,$L$15),IF(SUMPRODUCT(--ISNUMBER(FIND({"A","B","C","D","E","F","G","H","I","J","K","L","M","N","O","P","Q","R","S","T","U","V","W","X","Y","Z","0","1","2","3","4","5","6","7","8","9"},UPPER(TRIM(SUBSTITUTE(SUBSTITUTE(SUBSTITUTE(SUBSTITUTE(INDEX(PASTE_ALL,$DF707,$L$15)," "," "),CHAR(9)," "),CHAR(10)," "),CHAR(13)," "))))))&gt;0,TRIM(SUBSTITUTE(SUBSTITUTE(SUBSTITUTE(SUBSTITUTE(INDEX(PASTE_ALL,$DF707,$L$15)," "," "),CHAR(9)," "),CHAR(10)," "),CHAR(13)," ")),"")),"")))</f>
        <v/>
      </c>
      <c r="DX707">
        <f>IF($DM707=0,"",IF($L$16=0,"",IFERROR(IF(ISNUMBER(INDEX(PASTE_ALL,$DF707,$L$16)),INDEX(PASTE_ALL,$DF707,$L$16),SUBSTITUTE(SUBSTITUTE(TRIM(SUBSTITUTE(SUBSTITUTE(SUBSTITUTE(SUBSTITUTE(INDEX(PASTE_ALL,$DF707,$L$16)," "," "),CHAR(9)," "),CHAR(10)," "),CHAR(13)," ")),",",""),"%","")),"")))</f>
        <v/>
      </c>
      <c r="DY707">
        <f>IF($DM707=0,"",IFERROR(IF(ISNUMBER($DX707),$DX707,IF($DX707="","",IF(TRIM($DX707)="",0,IF(AND(AND(SUBSTITUTE(SUBSTITUTE(SUBSTITUTE(SUBSTITUTE(SUBSTITUTE(SUBSTITUTE(SUBSTITUTE(SUBSTITUTE(SUBSTITUTE(SUBSTITUTE(SUBSTITUTE(SUBSTITUTE(SUBSTITUTE(SUBSTITUTE(UPPER(TRIM($DX707)),"0",""),"1",""),"2",""),"3",""),"4",""),"5",""),"6",""),"7",""),"8",""),"9",""),".",""),"+",""),"-",""),"E","")="",LEN(SUBSTITUTE(SUBSTITUTE(MID(UPPER(TRIM($DX707)),1+OR(LEFT(UPPER(TRIM($DX707)),1)="+",LEFT(UPPER(TRIM($DX707)),1)="-"),999),"E+","E"),"E-","E"))=LEN(SUBSTITUTE(SUBSTITUTE(SUBSTITUTE(SUBSTITUTE(MID(UPPER(TRIM($DX707)),1+OR(LEFT(UPPER(TRIM($DX707)),1)="+",LEFT(UPPER(TRIM($DX707)),1)="-"),999),"E+","E"),"E-","E"),"+",""),"-","")),LEN(UPPER(TRIM($DX707)))-LEN(SUBSTITUTE(UPPER(TRIM($DX707)),"E",""))&lt;2,LEN(UPPER(TRIM($DX707)))-LEN(SUBSTITUTE(UPPER(TRIM($DX707)),".",""))&lt;2,IFERROR(FIND(".",UPPER(TRIM($DX707))),0)&lt;IFERROR(FIND("E",UPPER(TRIM($DX707))),999)),ISNUMBER(VALUE(TRIM($DX707)))),VALUE(TRIM($DX707)),"")))),""))</f>
        <v/>
      </c>
      <c r="DZ707">
        <f>IF($DM707=0,"",IF($L$17=0,"",IFERROR(IF(ISNUMBER(INDEX(PASTE_ALL,$DF707,$L$17)),INDEX(PASTE_ALL,$DF707,$L$17),SUBSTITUTE(SUBSTITUTE(TRIM(SUBSTITUTE(SUBSTITUTE(SUBSTITUTE(SUBSTITUTE(INDEX(PASTE_ALL,$DF707,$L$17)," "," "),CHAR(9)," "),CHAR(10)," "),CHAR(13)," ")),",",""),"%","")),"")))</f>
        <v/>
      </c>
      <c r="EA707">
        <f>IF($DM707=0,"",IFERROR(IF(ISNUMBER($DZ707),$DZ707,IF($DZ707="","",IF(TRIM($DZ707)="",0,IF(AND(AND(SUBSTITUTE(SUBSTITUTE(SUBSTITUTE(SUBSTITUTE(SUBSTITUTE(SUBSTITUTE(SUBSTITUTE(SUBSTITUTE(SUBSTITUTE(SUBSTITUTE(SUBSTITUTE(SUBSTITUTE(SUBSTITUTE(SUBSTITUTE(UPPER(TRIM($DZ707)),"0",""),"1",""),"2",""),"3",""),"4",""),"5",""),"6",""),"7",""),"8",""),"9",""),".",""),"+",""),"-",""),"E","")="",LEN(SUBSTITUTE(SUBSTITUTE(MID(UPPER(TRIM($DZ707)),1+OR(LEFT(UPPER(TRIM($DZ707)),1)="+",LEFT(UPPER(TRIM($DZ707)),1)="-"),999),"E+","E"),"E-","E"))=LEN(SUBSTITUTE(SUBSTITUTE(SUBSTITUTE(SUBSTITUTE(MID(UPPER(TRIM($DZ707)),1+OR(LEFT(UPPER(TRIM($DZ707)),1)="+",LEFT(UPPER(TRIM($DZ707)),1)="-"),999),"E+","E"),"E-","E"),"+",""),"-","")),LEN(UPPER(TRIM($DZ707)))-LEN(SUBSTITUTE(UPPER(TRIM($DZ707)),"E",""))&lt;2,LEN(UPPER(TRIM($DZ707)))-LEN(SUBSTITUTE(UPPER(TRIM($DZ707)),".",""))&lt;2,IFERROR(FIND(".",UPPER(TRIM($DZ707))),0)&lt;IFERROR(FIND("E",UPPER(TRIM($DZ707))),999)),ISNUMBER(VALUE(TRIM($DZ707)))),VALUE(TRIM($DZ707)),"")))),""))</f>
        <v/>
      </c>
      <c r="EB707">
        <f>IF($DM707=0,"",IF($L$18=0,"",IFERROR(IF(UPPER(TRIM(SUBSTITUTE(SUBSTITUTE(SUBSTITUTE(SUBSTITUTE(INDEX(PASTE_ALL,$DF707,$L$18)," "," "),CHAR(9)," "),CHAR(10)," "),CHAR(13)," ")))="READY","Ready",IF(UPPER(TRIM(SUBSTITUTE(SUBSTITUTE(SUBSTITUTE(SUBSTITUTE(INDEX(PASTE_ALL,$DF707,$L$18)," "," "),CHAR(9)," "),CHAR(10)," "),CHAR(13)," ")))="PM","PM",IF(OR(UPPER(TRIM(SUBSTITUTE(SUBSTITUTE(SUBSTITUTE(SUBSTITUTE(INDEX(PASTE_ALL,$DF707,$L$18)," "," "),CHAR(9)," "),CHAR(10)," "),CHAR(13)," ")))="OT",UPPER(TRIM(SUBSTITUTE(SUBSTITUTE(SUBSTITUTE(SUBSTITUTE(INDEX(PASTE_ALL,$DF707,$L$18)," "," "),CHAR(9)," "),CHAR(10)," "),CHAR(13)," ")))="OVERTIME",UPPER(TRIM(SUBSTITUTE(SUBSTITUTE(SUBSTITUTE(SUBSTITUTE(INDEX(PASTE_ALL,$DF707,$L$18)," "," "),CHAR(9)," "),CHAR(10)," "),CHAR(13)," ")))="TRIAL"),"OT",TRIM(SUBSTITUTE(SUBSTITUTE(SUBSTITUTE(SUBSTITUTE(INDEX(PASTE_ALL,$DF707,$L$18)," "," "),CHAR(9)," "),CHAR(10)," "),CHAR(13)," "))))),"")))</f>
        <v/>
      </c>
      <c r="EC707">
        <f>IF($DM707=0,"",IF($L$19=0,"",IFERROR(IF(ISNUMBER(INDEX(PASTE_ALL,$DF707,$L$19)),INDEX(PASTE_ALL,$DF707,$L$19),TRIM(SUBSTITUTE(SUBSTITUTE(SUBSTITUTE(SUBSTITUTE(INDEX(PASTE_ALL,$DF707,$L$19)," "," "),CHAR(9)," "),CHAR(10)," "),CHAR(13)," "))),"")))</f>
        <v/>
      </c>
      <c r="ED707">
        <f>IF($DM707=0,"",MATCH(1,INDEX(EXACT($DH$5:DH707,$DH707)*$DM$5:DM707,0),0))</f>
        <v/>
      </c>
      <c r="EE707">
        <f>IF($DM707=0,0,IF($ED707=$DE707,1,0))</f>
        <v/>
      </c>
      <c r="EF707">
        <f>EF706+$EE707</f>
        <v/>
      </c>
      <c r="EG707">
        <f>IF($DM707=0,"",INDEX($EF$5:$EF$1003,$ED707))</f>
        <v/>
      </c>
      <c r="EH707">
        <f>IF($DM707=0,"",IF($DO707&lt;&gt;"","",IFERROR(LOOKUP(2,1/(($EG$4:EG706=$EG707)*($DO$4:DO706&lt;&gt;"")),$DO$4:DO706),"")))</f>
        <v/>
      </c>
      <c r="EI707">
        <f>IF($DM707=0,"",IF($DO707&lt;&gt;"",$DO707,$EH707))</f>
        <v/>
      </c>
      <c r="EJ707">
        <f>IF($DM707=0,"",IF($EI707="",0,IF(OR(ISNUMBER($EI707),AND(AND(SUBSTITUTE(SUBSTITUTE(SUBSTITUTE(SUBSTITUTE(SUBSTITUTE(SUBSTITUTE(SUBSTITUTE(SUBSTITUTE(SUBSTITUTE(SUBSTITUTE(SUBSTITUTE(SUBSTITUTE(SUBSTITUTE(SUBSTITUTE(UPPER($EI707),"0",""),"1",""),"2",""),"3",""),"4",""),"5",""),"6",""),"7",""),"8",""),"9",""),".",""),"+",""),"-",""),"E","")="",LEN(SUBSTITUTE(SUBSTITUTE(MID(UPPER($EI707),1+OR(LEFT(UPPER($EI707),1)="+",LEFT(UPPER($EI707),1)="-"),999),"E+","E"),"E-","E"))=LEN(SUBSTITUTE(SUBSTITUTE(SUBSTITUTE(SUBSTITUTE(MID(UPPER($EI707),1+OR(LEFT(UPPER($EI707),1)="+",LEFT(UPPER($EI707),1)="-"),999),"E+","E"),"E-","E"),"+",""),"-","")),LEN(UPPER($EI707))-LEN(SUBSTITUTE(UPPER($EI707),"E",""))&lt;2,LEN(UPPER($EI707))-LEN(SUBSTITUTE(UPPER($EI707),".",""))&lt;2,IFERROR(FIND(".",UPPER($EI707)),0)&lt;IFERROR(FIND("E",UPPER($EI707)),999)),ISNUMBER(VALUE($EI707)))),1,2)))</f>
        <v/>
      </c>
      <c r="EK707">
        <f>IF($DM707=0,"",IF($EJ707=1,IF(ISNUMBER($EI707),$EI707,VALUE($EI707)),IF($EJ707=2,$DE707,0)))</f>
        <v/>
      </c>
      <c r="EL707">
        <f>IF($DM707=0,"",COUNTIF($EG$5:$EG$1003,"&lt;"&amp;$EG707)+SUMPRODUCT(($EG$5:$EG$1003=$EG707)*(($EJ$5:$EJ$1003&lt;$EJ707)+($EJ$5:$EJ$1003=$EJ707)*(($EK$5:$EK$1003&lt;$EK707)+($EK$5:$EK$1003=$EK707)*($DE$5:$DE$1003&lt;$DE707))))+1)</f>
        <v/>
      </c>
      <c r="EM707">
        <f>IF($DM707=0,"",$EL707+$EG707-1)</f>
        <v/>
      </c>
      <c r="EN707">
        <f>IF($DM707=0,0,IFERROR(MATCH(1,INDEX(--(TRIM(SUBSTITUTE(SUBSTITUTE(SUBSTITUTE(SUBSTITUTE(LINES_NAME&amp;""," "," "),CHAR(9)," "),CHAR(10)," "),CHAR(13)," "))=$DH707),0),0),0))</f>
        <v/>
      </c>
      <c r="EO707">
        <f>IF($EN707=0,0,IF(OR(UPPER(TRIM(INDEX(LINES_SCHEDULED,$EN707)&amp;""))="YES",UPPER(TRIM(INDEX(LINES_SCHEDULED,$EN707)&amp;""))="Y",UPPER(TRIM(INDEX(LINES_SCHEDULED,$EN707)&amp;""))="X"),1,0))</f>
        <v/>
      </c>
      <c r="EP707">
        <f>IF($DM707=0,"",IF(COUNTIFS($EG$5:$EG$1003,$EG707,$EB$5:$EB$1003,"Ready")&gt;0,"READY",IF(COUNTIFS($EG$5:$EG$1003,$EG707,$EB$5:$EB$1003,"PM")&gt;0,"PM",IF(COUNTIFS($EG$5:$EG$1003,$EG707,$EB$5:$EB$1003,"OT")&gt;0,"OT",""))))</f>
        <v/>
      </c>
      <c r="EQ707">
        <f>IF($EN707=0,"",UPPER(TRIM(INDEX(LINES_STATUS,$EN707)&amp;"")))</f>
        <v/>
      </c>
      <c r="ER707">
        <f>IF($DM707=0,"",IF(OR($EQ707="READY",$EQ707="PM",$EQ707="OT"),$EQ707,$EP707))</f>
        <v/>
      </c>
      <c r="ES707">
        <f>IF($DM707=0,"",IF(AND($DV707&lt;&gt;"",UPPER($DV707)&lt;&gt;"N"),"allergen",IF(ISNUMBER(SEARCH("oil",$DQ707)),"oil",IF(OR(EXACT($DS707,"A662"),EXACT($DS707,"A624")),"bulk",""))))</f>
        <v/>
      </c>
      <c r="ET707">
        <f>IF($DM707=0,"",IF(OR($EA707="",$EA707=0),"",$EA707/100))</f>
        <v/>
      </c>
      <c r="EU707">
        <f>IF(OR($ET707="",$DY707=""),"",INT($DY707*(1-$ET707)+0.5))</f>
        <v/>
      </c>
    </row>
    <row r="708">
      <c r="DA708" t="n">
        <v>704</v>
      </c>
      <c r="DB708">
        <f>IF($B$37=0,"",IFERROR(TRIM(SUBSTITUTE(SUBSTITUTE(SUBSTITUTE(SUBSTITUTE(INDEX(PASTE_ALL,704,$B$37)," "," "),CHAR(9)," "),CHAR(10)," "),CHAR(13)," ")),""))</f>
        <v/>
      </c>
      <c r="DC708">
        <f>IF(AND(704&gt;HEADER_ROW,UPPER(DB708)="LEGEND"),1,0)</f>
        <v/>
      </c>
      <c r="DE708" t="n">
        <v>704</v>
      </c>
      <c r="DF708">
        <f>HEADER_ROW+$DE708</f>
        <v/>
      </c>
      <c r="DG708">
        <f>IF(AND($DF708&lt;=1000,$DF708&lt;$B$8),1,0)</f>
        <v/>
      </c>
      <c r="DH708">
        <f>IF($DG708=1,IFERROR(INDEX($DB$5:$DB$1004,$DF708),""),"")</f>
        <v/>
      </c>
      <c r="DI708">
        <f>IF(AND($DG708=1,$DH708&lt;&gt;""),IFERROR(SUBSTITUTE(SUBSTITUTE(TRIM(SUBSTITUTE(SUBSTITUTE(SUBSTITUTE(SUBSTITUTE(IFERROR(INDEX(PASTE_ALL,$DF708,1)&amp;"","")&amp;"␟"&amp;IFERROR(INDEX(PASTE_ALL,$DF708,2)&amp;"","")&amp;"␟"&amp;IFERROR(INDEX(PASTE_ALL,$DF708,3)&amp;"","")&amp;"␟"&amp;IFERROR(INDEX(PASTE_ALL,$DF708,4)&amp;"","")&amp;"␟"&amp;IFERROR(INDEX(PASTE_ALL,$DF708,5)&amp;"","")&amp;"␟"&amp;IFERROR(INDEX(PASTE_ALL,$DF708,6)&amp;"","")&amp;"␟"&amp;IFERROR(INDEX(PASTE_ALL,$DF708,7)&amp;"","")&amp;"␟"&amp;IFERROR(INDEX(PASTE_ALL,$DF708,8)&amp;"","")&amp;"␟"&amp;IFERROR(INDEX(PASTE_ALL,$DF708,9)&amp;"","")&amp;"␟"&amp;IFERROR(INDEX(PASTE_ALL,$DF708,10)&amp;"","")&amp;"␟"&amp;IFERROR(INDEX(PASTE_ALL,$DF708,11)&amp;"","")&amp;"␟"&amp;IFERROR(INDEX(PASTE_ALL,$DF708,12)&amp;"","")&amp;"␟"&amp;IFERROR(INDEX(PASTE_ALL,$DF708,13)&amp;"","")&amp;"␟"&amp;IFERROR(INDEX(PASTE_ALL,$DF708,14)&amp;"","")&amp;"␟"&amp;IFERROR(INDEX(PASTE_ALL,$DF708,15)&amp;"","")&amp;"␟"&amp;IFERROR(INDEX(PASTE_ALL,$DF708,16)&amp;"","")&amp;"␟"&amp;IFERROR(INDEX(PASTE_ALL,$DF708,17)&amp;"","")&amp;"␟"&amp;IFERROR(INDEX(PASTE_ALL,$DF708,18)&amp;"","")&amp;"␟"&amp;IFERROR(INDEX(PASTE_ALL,$DF708,19)&amp;"","")&amp;"␟"&amp;IFERROR(INDEX(PASTE_ALL,$DF708,20)&amp;"","")&amp;"␟"&amp;IFERROR(INDEX(PASTE_ALL,$DF708,21)&amp;"","")&amp;"␟"&amp;IFERROR(INDEX(PASTE_ALL,$DF708,22)&amp;"","")&amp;"␟"&amp;IFERROR(INDEX(PASTE_ALL,$DF708,23)&amp;"","")&amp;"␟"&amp;IFERROR(INDEX(PASTE_ALL,$DF708,24)&amp;"","")&amp;"␟"&amp;IFERROR(INDEX(PASTE_ALL,$DF708,25)&amp;"","")&amp;"␟"&amp;IFERROR(INDEX(PASTE_ALL,$DF708,26)&amp;"","")&amp;"␟"&amp;IFERROR(INDEX(PASTE_ALL,$DF708,27)&amp;"","")&amp;"␟"&amp;IFERROR(INDEX(PASTE_ALL,$DF708,28)&amp;"","")&amp;"␟"&amp;IFERROR(INDEX(PASTE_ALL,$DF708,29)&amp;"","")&amp;"␟"&amp;IFERROR(INDEX(PASTE_ALL,$DF708,30)&amp;"","")&amp;"␟"&amp;IFERROR(INDEX(PASTE_ALL,$DF708,31)&amp;"","")&amp;"␟"&amp;IFERROR(INDEX(PASTE_ALL,$DF708,32)&amp;"","")&amp;"␟"&amp;IFERROR(INDEX(PASTE_ALL,$DF708,33)&amp;"","")&amp;"␟"&amp;IFERROR(INDEX(PASTE_ALL,$DF708,34)&amp;"","")&amp;"␟"&amp;IFERROR(INDEX(PASTE_ALL,$DF708,35)&amp;"","")&amp;"␟"&amp;IFERROR(INDEX(PASTE_ALL,$DF708,36)&amp;"","")&amp;"␟"&amp;IFERROR(INDEX(PASTE_ALL,$DF708,37)&amp;"","")&amp;"␟"&amp;IFERROR(INDEX(PASTE_ALL,$DF708,38)&amp;"","")&amp;"␟"&amp;IFERROR(INDEX(PASTE_ALL,$DF708,39)&amp;"","")&amp;"␟"&amp;IFERROR(INDEX(PASTE_ALL,$DF708,40)&amp;"","")&amp;"␟"&amp;IFERROR(INDEX(PASTE_ALL,$DF708,41)&amp;"","")&amp;"␟"&amp;IFERROR(INDEX(PASTE_ALL,$DF708,42)&amp;"","")&amp;"␟"&amp;IFERROR(INDEX(PASTE_ALL,$DF708,43)&amp;"","")&amp;"␟"&amp;IFERROR(INDEX(PASTE_ALL,$DF708,44)&amp;"","")&amp;"␟"&amp;IFERROR(INDEX(PASTE_ALL,$DF708,45)&amp;"","")&amp;"␟"&amp;IFERROR(INDEX(PASTE_ALL,$DF708,46)&amp;"","")&amp;"␟"&amp;IFERROR(INDEX(PASTE_ALL,$DF708,47)&amp;"","")&amp;"␟"&amp;IFERROR(INDEX(PASTE_ALL,$DF708,48)&amp;"","")&amp;"␟"&amp;IFERROR(INDEX(PASTE_ALL,$DF708,49)&amp;"","")&amp;"␟"&amp;IFERROR(INDEX(PASTE_ALL,$DF708,50)&amp;"","")&amp;"␟"&amp;IFERROR(INDEX(PASTE_ALL,$DF708,51)&amp;"","")&amp;"␟"&amp;IFERROR(INDEX(PASTE_ALL,$DF708,52)&amp;"","")&amp;"␟"&amp;IFERROR(INDEX(PASTE_ALL,$DF708,53)&amp;"","")&amp;"␟"&amp;IFERROR(INDEX(PASTE_ALL,$DF708,54)&amp;"","")&amp;"␟"&amp;IFERROR(INDEX(PASTE_ALL,$DF708,55)&amp;"","")&amp;"␟"&amp;IFERROR(INDEX(PASTE_ALL,$DF708,56)&amp;"","")&amp;"␟"&amp;IFERROR(INDEX(PASTE_ALL,$DF708,57)&amp;"","")&amp;"␟"&amp;IFERROR(INDEX(PASTE_ALL,$DF708,58)&amp;"","")&amp;"␟"&amp;IFERROR(INDEX(PASTE_ALL,$DF708,59)&amp;"","")&amp;"␟"&amp;IFERROR(INDEX(PASTE_ALL,$DF708,60)&amp;"","")," "," "),CHAR(9)," "),CHAR(10)," "),CHAR(13)," "))," ␟","␟"),"␟ ","␟"),"#"&amp;$DE708),"")</f>
        <v/>
      </c>
      <c r="DJ708">
        <f>IF($DI708="",0,IF(SUMPRODUCT(--EXACT($DI$4:DI707,$DI708))&gt;0,1,0))</f>
        <v/>
      </c>
      <c r="DK708">
        <f>IF(AND($DI708&lt;&gt;"",$DJ708=0),1,0)</f>
        <v/>
      </c>
      <c r="DL708">
        <f>DL707+$DK708</f>
        <v/>
      </c>
      <c r="DM708">
        <f>IF(AND($DK708=1,$DL708&lt;=600),1,0)</f>
        <v/>
      </c>
      <c r="DN708">
        <f>IF($DM708=0,"",IF($L$6=0,"",IFERROR(IF(ISNUMBER(INDEX(PASTE_ALL,$DF708,$L$6)),INDEX(PASTE_ALL,$DF708,$L$6),TRIM(SUBSTITUTE(SUBSTITUTE(SUBSTITUTE(SUBSTITUTE(INDEX(PASTE_ALL,$DF708,$L$6)," "," "),CHAR(9)," "),CHAR(10)," "),CHAR(13)," "))),"")))</f>
        <v/>
      </c>
      <c r="DO708">
        <f>IF($DM708=0,"",IF($L$7=0,"",IFERROR(IF(ISNUMBER(INDEX(PASTE_ALL,$DF708,$L$7)),INDEX(PASTE_ALL,$DF708,$L$7),TRIM(SUBSTITUTE(SUBSTITUTE(SUBSTITUTE(SUBSTITUTE(INDEX(PASTE_ALL,$DF708,$L$7)," "," "),CHAR(9)," "),CHAR(10)," "),CHAR(13)," "))),"")))</f>
        <v/>
      </c>
      <c r="DP708">
        <f>IF($DM708=0,"",IF($L$8=0,"",IFERROR(IF(ISNUMBER(INDEX(PASTE_ALL,$DF708,$L$8)),INDEX(PASTE_ALL,$DF708,$L$8),TRIM(SUBSTITUTE(SUBSTITUTE(SUBSTITUTE(SUBSTITUTE(INDEX(PASTE_ALL,$DF708,$L$8)," "," "),CHAR(9)," "),CHAR(10)," "),CHAR(13)," "))),"")))</f>
        <v/>
      </c>
      <c r="DQ708">
        <f>IF($DM708=0,"",IF($L$9=0,"",IFERROR(IF(ISNUMBER(INDEX(PASTE_ALL,$DF708,$L$9)),INDEX(PASTE_ALL,$DF708,$L$9),TRIM(SUBSTITUTE(SUBSTITUTE(SUBSTITUTE(SUBSTITUTE(INDEX(PASTE_ALL,$DF708,$L$9)," "," "),CHAR(9)," "),CHAR(10)," "),CHAR(13)," "))),"")))</f>
        <v/>
      </c>
      <c r="DR708">
        <f>IF($DM708=0,"",IF($L$10=0,"",IFERROR(IF(ISNUMBER(INDEX(PASTE_ALL,$DF708,$L$10)),INDEX(PASTE_ALL,$DF708,$L$10),TRIM(SUBSTITUTE(SUBSTITUTE(SUBSTITUTE(SUBSTITUTE(INDEX(PASTE_ALL,$DF708,$L$10)," "," "),CHAR(9)," "),CHAR(10)," "),CHAR(13)," "))),"")))</f>
        <v/>
      </c>
      <c r="DS708">
        <f>IF($DM708=0,"",IF($L$11=0,"",IFERROR(IF(ISNUMBER(INDEX(PASTE_ALL,$DF708,$L$11)),INDEX(PASTE_ALL,$DF708,$L$11),TRIM(SUBSTITUTE(SUBSTITUTE(SUBSTITUTE(SUBSTITUTE(INDEX(PASTE_ALL,$DF708,$L$11)," "," "),CHAR(9)," "),CHAR(10)," "),CHAR(13)," "))),"")))</f>
        <v/>
      </c>
      <c r="DT708">
        <f>IF($DM708=0,"",IF($L$12=0,"",IFERROR(IF(ISNUMBER(INDEX(PASTE_ALL,$DF708,$L$12)),INDEX(PASTE_ALL,$DF708,$L$12),TRIM(SUBSTITUTE(SUBSTITUTE(SUBSTITUTE(SUBSTITUTE(INDEX(PASTE_ALL,$DF708,$L$12)," "," "),CHAR(9)," "),CHAR(10)," "),CHAR(13)," "))),"")))</f>
        <v/>
      </c>
      <c r="DU708">
        <f>IF($DM708=0,"",IF($L$13=0,"",IFERROR(IF(ISNUMBER(INDEX(PASTE_ALL,$DF708,$L$13)),INDEX(PASTE_ALL,$DF708,$L$13),TRIM(SUBSTITUTE(SUBSTITUTE(SUBSTITUTE(SUBSTITUTE(INDEX(PASTE_ALL,$DF708,$L$13)," "," "),CHAR(9)," "),CHAR(10)," "),CHAR(13)," "))),"")))</f>
        <v/>
      </c>
      <c r="DV708">
        <f>IF($DM708=0,"",IF($L$14=0,"",IFERROR(IF(ISNUMBER(INDEX(PASTE_ALL,$DF708,$L$14)),INDEX(PASTE_ALL,$DF708,$L$14),TRIM(SUBSTITUTE(SUBSTITUTE(SUBSTITUTE(SUBSTITUTE(INDEX(PASTE_ALL,$DF708,$L$14)," "," "),CHAR(9)," "),CHAR(10)," "),CHAR(13)," "))),"")))</f>
        <v/>
      </c>
      <c r="DW708">
        <f>IF($DM708=0,"",IF($L$15=0,"",IFERROR(IF(ISNUMBER(INDEX(PASTE_ALL,$DF708,$L$15)),INDEX(PASTE_ALL,$DF708,$L$15),IF(SUMPRODUCT(--ISNUMBER(FIND({"A","B","C","D","E","F","G","H","I","J","K","L","M","N","O","P","Q","R","S","T","U","V","W","X","Y","Z","0","1","2","3","4","5","6","7","8","9"},UPPER(TRIM(SUBSTITUTE(SUBSTITUTE(SUBSTITUTE(SUBSTITUTE(INDEX(PASTE_ALL,$DF708,$L$15)," "," "),CHAR(9)," "),CHAR(10)," "),CHAR(13)," "))))))&gt;0,TRIM(SUBSTITUTE(SUBSTITUTE(SUBSTITUTE(SUBSTITUTE(INDEX(PASTE_ALL,$DF708,$L$15)," "," "),CHAR(9)," "),CHAR(10)," "),CHAR(13)," ")),"")),"")))</f>
        <v/>
      </c>
      <c r="DX708">
        <f>IF($DM708=0,"",IF($L$16=0,"",IFERROR(IF(ISNUMBER(INDEX(PASTE_ALL,$DF708,$L$16)),INDEX(PASTE_ALL,$DF708,$L$16),SUBSTITUTE(SUBSTITUTE(TRIM(SUBSTITUTE(SUBSTITUTE(SUBSTITUTE(SUBSTITUTE(INDEX(PASTE_ALL,$DF708,$L$16)," "," "),CHAR(9)," "),CHAR(10)," "),CHAR(13)," ")),",",""),"%","")),"")))</f>
        <v/>
      </c>
      <c r="DY708">
        <f>IF($DM708=0,"",IFERROR(IF(ISNUMBER($DX708),$DX708,IF($DX708="","",IF(TRIM($DX708)="",0,IF(AND(AND(SUBSTITUTE(SUBSTITUTE(SUBSTITUTE(SUBSTITUTE(SUBSTITUTE(SUBSTITUTE(SUBSTITUTE(SUBSTITUTE(SUBSTITUTE(SUBSTITUTE(SUBSTITUTE(SUBSTITUTE(SUBSTITUTE(SUBSTITUTE(UPPER(TRIM($DX708)),"0",""),"1",""),"2",""),"3",""),"4",""),"5",""),"6",""),"7",""),"8",""),"9",""),".",""),"+",""),"-",""),"E","")="",LEN(SUBSTITUTE(SUBSTITUTE(MID(UPPER(TRIM($DX708)),1+OR(LEFT(UPPER(TRIM($DX708)),1)="+",LEFT(UPPER(TRIM($DX708)),1)="-"),999),"E+","E"),"E-","E"))=LEN(SUBSTITUTE(SUBSTITUTE(SUBSTITUTE(SUBSTITUTE(MID(UPPER(TRIM($DX708)),1+OR(LEFT(UPPER(TRIM($DX708)),1)="+",LEFT(UPPER(TRIM($DX708)),1)="-"),999),"E+","E"),"E-","E"),"+",""),"-","")),LEN(UPPER(TRIM($DX708)))-LEN(SUBSTITUTE(UPPER(TRIM($DX708)),"E",""))&lt;2,LEN(UPPER(TRIM($DX708)))-LEN(SUBSTITUTE(UPPER(TRIM($DX708)),".",""))&lt;2,IFERROR(FIND(".",UPPER(TRIM($DX708))),0)&lt;IFERROR(FIND("E",UPPER(TRIM($DX708))),999)),ISNUMBER(VALUE(TRIM($DX708)))),VALUE(TRIM($DX708)),"")))),""))</f>
        <v/>
      </c>
      <c r="DZ708">
        <f>IF($DM708=0,"",IF($L$17=0,"",IFERROR(IF(ISNUMBER(INDEX(PASTE_ALL,$DF708,$L$17)),INDEX(PASTE_ALL,$DF708,$L$17),SUBSTITUTE(SUBSTITUTE(TRIM(SUBSTITUTE(SUBSTITUTE(SUBSTITUTE(SUBSTITUTE(INDEX(PASTE_ALL,$DF708,$L$17)," "," "),CHAR(9)," "),CHAR(10)," "),CHAR(13)," ")),",",""),"%","")),"")))</f>
        <v/>
      </c>
      <c r="EA708">
        <f>IF($DM708=0,"",IFERROR(IF(ISNUMBER($DZ708),$DZ708,IF($DZ708="","",IF(TRIM($DZ708)="",0,IF(AND(AND(SUBSTITUTE(SUBSTITUTE(SUBSTITUTE(SUBSTITUTE(SUBSTITUTE(SUBSTITUTE(SUBSTITUTE(SUBSTITUTE(SUBSTITUTE(SUBSTITUTE(SUBSTITUTE(SUBSTITUTE(SUBSTITUTE(SUBSTITUTE(UPPER(TRIM($DZ708)),"0",""),"1",""),"2",""),"3",""),"4",""),"5",""),"6",""),"7",""),"8",""),"9",""),".",""),"+",""),"-",""),"E","")="",LEN(SUBSTITUTE(SUBSTITUTE(MID(UPPER(TRIM($DZ708)),1+OR(LEFT(UPPER(TRIM($DZ708)),1)="+",LEFT(UPPER(TRIM($DZ708)),1)="-"),999),"E+","E"),"E-","E"))=LEN(SUBSTITUTE(SUBSTITUTE(SUBSTITUTE(SUBSTITUTE(MID(UPPER(TRIM($DZ708)),1+OR(LEFT(UPPER(TRIM($DZ708)),1)="+",LEFT(UPPER(TRIM($DZ708)),1)="-"),999),"E+","E"),"E-","E"),"+",""),"-","")),LEN(UPPER(TRIM($DZ708)))-LEN(SUBSTITUTE(UPPER(TRIM($DZ708)),"E",""))&lt;2,LEN(UPPER(TRIM($DZ708)))-LEN(SUBSTITUTE(UPPER(TRIM($DZ708)),".",""))&lt;2,IFERROR(FIND(".",UPPER(TRIM($DZ708))),0)&lt;IFERROR(FIND("E",UPPER(TRIM($DZ708))),999)),ISNUMBER(VALUE(TRIM($DZ708)))),VALUE(TRIM($DZ708)),"")))),""))</f>
        <v/>
      </c>
      <c r="EB708">
        <f>IF($DM708=0,"",IF($L$18=0,"",IFERROR(IF(UPPER(TRIM(SUBSTITUTE(SUBSTITUTE(SUBSTITUTE(SUBSTITUTE(INDEX(PASTE_ALL,$DF708,$L$18)," "," "),CHAR(9)," "),CHAR(10)," "),CHAR(13)," ")))="READY","Ready",IF(UPPER(TRIM(SUBSTITUTE(SUBSTITUTE(SUBSTITUTE(SUBSTITUTE(INDEX(PASTE_ALL,$DF708,$L$18)," "," "),CHAR(9)," "),CHAR(10)," "),CHAR(13)," ")))="PM","PM",IF(OR(UPPER(TRIM(SUBSTITUTE(SUBSTITUTE(SUBSTITUTE(SUBSTITUTE(INDEX(PASTE_ALL,$DF708,$L$18)," "," "),CHAR(9)," "),CHAR(10)," "),CHAR(13)," ")))="OT",UPPER(TRIM(SUBSTITUTE(SUBSTITUTE(SUBSTITUTE(SUBSTITUTE(INDEX(PASTE_ALL,$DF708,$L$18)," "," "),CHAR(9)," "),CHAR(10)," "),CHAR(13)," ")))="OVERTIME",UPPER(TRIM(SUBSTITUTE(SUBSTITUTE(SUBSTITUTE(SUBSTITUTE(INDEX(PASTE_ALL,$DF708,$L$18)," "," "),CHAR(9)," "),CHAR(10)," "),CHAR(13)," ")))="TRIAL"),"OT",TRIM(SUBSTITUTE(SUBSTITUTE(SUBSTITUTE(SUBSTITUTE(INDEX(PASTE_ALL,$DF708,$L$18)," "," "),CHAR(9)," "),CHAR(10)," "),CHAR(13)," "))))),"")))</f>
        <v/>
      </c>
      <c r="EC708">
        <f>IF($DM708=0,"",IF($L$19=0,"",IFERROR(IF(ISNUMBER(INDEX(PASTE_ALL,$DF708,$L$19)),INDEX(PASTE_ALL,$DF708,$L$19),TRIM(SUBSTITUTE(SUBSTITUTE(SUBSTITUTE(SUBSTITUTE(INDEX(PASTE_ALL,$DF708,$L$19)," "," "),CHAR(9)," "),CHAR(10)," "),CHAR(13)," "))),"")))</f>
        <v/>
      </c>
      <c r="ED708">
        <f>IF($DM708=0,"",MATCH(1,INDEX(EXACT($DH$5:DH708,$DH708)*$DM$5:DM708,0),0))</f>
        <v/>
      </c>
      <c r="EE708">
        <f>IF($DM708=0,0,IF($ED708=$DE708,1,0))</f>
        <v/>
      </c>
      <c r="EF708">
        <f>EF707+$EE708</f>
        <v/>
      </c>
      <c r="EG708">
        <f>IF($DM708=0,"",INDEX($EF$5:$EF$1003,$ED708))</f>
        <v/>
      </c>
      <c r="EH708">
        <f>IF($DM708=0,"",IF($DO708&lt;&gt;"","",IFERROR(LOOKUP(2,1/(($EG$4:EG707=$EG708)*($DO$4:DO707&lt;&gt;"")),$DO$4:DO707),"")))</f>
        <v/>
      </c>
      <c r="EI708">
        <f>IF($DM708=0,"",IF($DO708&lt;&gt;"",$DO708,$EH708))</f>
        <v/>
      </c>
      <c r="EJ708">
        <f>IF($DM708=0,"",IF($EI708="",0,IF(OR(ISNUMBER($EI708),AND(AND(SUBSTITUTE(SUBSTITUTE(SUBSTITUTE(SUBSTITUTE(SUBSTITUTE(SUBSTITUTE(SUBSTITUTE(SUBSTITUTE(SUBSTITUTE(SUBSTITUTE(SUBSTITUTE(SUBSTITUTE(SUBSTITUTE(SUBSTITUTE(UPPER($EI708),"0",""),"1",""),"2",""),"3",""),"4",""),"5",""),"6",""),"7",""),"8",""),"9",""),".",""),"+",""),"-",""),"E","")="",LEN(SUBSTITUTE(SUBSTITUTE(MID(UPPER($EI708),1+OR(LEFT(UPPER($EI708),1)="+",LEFT(UPPER($EI708),1)="-"),999),"E+","E"),"E-","E"))=LEN(SUBSTITUTE(SUBSTITUTE(SUBSTITUTE(SUBSTITUTE(MID(UPPER($EI708),1+OR(LEFT(UPPER($EI708),1)="+",LEFT(UPPER($EI708),1)="-"),999),"E+","E"),"E-","E"),"+",""),"-","")),LEN(UPPER($EI708))-LEN(SUBSTITUTE(UPPER($EI708),"E",""))&lt;2,LEN(UPPER($EI708))-LEN(SUBSTITUTE(UPPER($EI708),".",""))&lt;2,IFERROR(FIND(".",UPPER($EI708)),0)&lt;IFERROR(FIND("E",UPPER($EI708)),999)),ISNUMBER(VALUE($EI708)))),1,2)))</f>
        <v/>
      </c>
      <c r="EK708">
        <f>IF($DM708=0,"",IF($EJ708=1,IF(ISNUMBER($EI708),$EI708,VALUE($EI708)),IF($EJ708=2,$DE708,0)))</f>
        <v/>
      </c>
      <c r="EL708">
        <f>IF($DM708=0,"",COUNTIF($EG$5:$EG$1003,"&lt;"&amp;$EG708)+SUMPRODUCT(($EG$5:$EG$1003=$EG708)*(($EJ$5:$EJ$1003&lt;$EJ708)+($EJ$5:$EJ$1003=$EJ708)*(($EK$5:$EK$1003&lt;$EK708)+($EK$5:$EK$1003=$EK708)*($DE$5:$DE$1003&lt;$DE708))))+1)</f>
        <v/>
      </c>
      <c r="EM708">
        <f>IF($DM708=0,"",$EL708+$EG708-1)</f>
        <v/>
      </c>
      <c r="EN708">
        <f>IF($DM708=0,0,IFERROR(MATCH(1,INDEX(--(TRIM(SUBSTITUTE(SUBSTITUTE(SUBSTITUTE(SUBSTITUTE(LINES_NAME&amp;""," "," "),CHAR(9)," "),CHAR(10)," "),CHAR(13)," "))=$DH708),0),0),0))</f>
        <v/>
      </c>
      <c r="EO708">
        <f>IF($EN708=0,0,IF(OR(UPPER(TRIM(INDEX(LINES_SCHEDULED,$EN708)&amp;""))="YES",UPPER(TRIM(INDEX(LINES_SCHEDULED,$EN708)&amp;""))="Y",UPPER(TRIM(INDEX(LINES_SCHEDULED,$EN708)&amp;""))="X"),1,0))</f>
        <v/>
      </c>
      <c r="EP708">
        <f>IF($DM708=0,"",IF(COUNTIFS($EG$5:$EG$1003,$EG708,$EB$5:$EB$1003,"Ready")&gt;0,"READY",IF(COUNTIFS($EG$5:$EG$1003,$EG708,$EB$5:$EB$1003,"PM")&gt;0,"PM",IF(COUNTIFS($EG$5:$EG$1003,$EG708,$EB$5:$EB$1003,"OT")&gt;0,"OT",""))))</f>
        <v/>
      </c>
      <c r="EQ708">
        <f>IF($EN708=0,"",UPPER(TRIM(INDEX(LINES_STATUS,$EN708)&amp;"")))</f>
        <v/>
      </c>
      <c r="ER708">
        <f>IF($DM708=0,"",IF(OR($EQ708="READY",$EQ708="PM",$EQ708="OT"),$EQ708,$EP708))</f>
        <v/>
      </c>
      <c r="ES708">
        <f>IF($DM708=0,"",IF(AND($DV708&lt;&gt;"",UPPER($DV708)&lt;&gt;"N"),"allergen",IF(ISNUMBER(SEARCH("oil",$DQ708)),"oil",IF(OR(EXACT($DS708,"A662"),EXACT($DS708,"A624")),"bulk",""))))</f>
        <v/>
      </c>
      <c r="ET708">
        <f>IF($DM708=0,"",IF(OR($EA708="",$EA708=0),"",$EA708/100))</f>
        <v/>
      </c>
      <c r="EU708">
        <f>IF(OR($ET708="",$DY708=""),"",INT($DY708*(1-$ET708)+0.5))</f>
        <v/>
      </c>
    </row>
    <row r="709">
      <c r="DA709" t="n">
        <v>705</v>
      </c>
      <c r="DB709">
        <f>IF($B$37=0,"",IFERROR(TRIM(SUBSTITUTE(SUBSTITUTE(SUBSTITUTE(SUBSTITUTE(INDEX(PASTE_ALL,705,$B$37)," "," "),CHAR(9)," "),CHAR(10)," "),CHAR(13)," ")),""))</f>
        <v/>
      </c>
      <c r="DC709">
        <f>IF(AND(705&gt;HEADER_ROW,UPPER(DB709)="LEGEND"),1,0)</f>
        <v/>
      </c>
      <c r="DE709" t="n">
        <v>705</v>
      </c>
      <c r="DF709">
        <f>HEADER_ROW+$DE709</f>
        <v/>
      </c>
      <c r="DG709">
        <f>IF(AND($DF709&lt;=1000,$DF709&lt;$B$8),1,0)</f>
        <v/>
      </c>
      <c r="DH709">
        <f>IF($DG709=1,IFERROR(INDEX($DB$5:$DB$1004,$DF709),""),"")</f>
        <v/>
      </c>
      <c r="DI709">
        <f>IF(AND($DG709=1,$DH709&lt;&gt;""),IFERROR(SUBSTITUTE(SUBSTITUTE(TRIM(SUBSTITUTE(SUBSTITUTE(SUBSTITUTE(SUBSTITUTE(IFERROR(INDEX(PASTE_ALL,$DF709,1)&amp;"","")&amp;"␟"&amp;IFERROR(INDEX(PASTE_ALL,$DF709,2)&amp;"","")&amp;"␟"&amp;IFERROR(INDEX(PASTE_ALL,$DF709,3)&amp;"","")&amp;"␟"&amp;IFERROR(INDEX(PASTE_ALL,$DF709,4)&amp;"","")&amp;"␟"&amp;IFERROR(INDEX(PASTE_ALL,$DF709,5)&amp;"","")&amp;"␟"&amp;IFERROR(INDEX(PASTE_ALL,$DF709,6)&amp;"","")&amp;"␟"&amp;IFERROR(INDEX(PASTE_ALL,$DF709,7)&amp;"","")&amp;"␟"&amp;IFERROR(INDEX(PASTE_ALL,$DF709,8)&amp;"","")&amp;"␟"&amp;IFERROR(INDEX(PASTE_ALL,$DF709,9)&amp;"","")&amp;"␟"&amp;IFERROR(INDEX(PASTE_ALL,$DF709,10)&amp;"","")&amp;"␟"&amp;IFERROR(INDEX(PASTE_ALL,$DF709,11)&amp;"","")&amp;"␟"&amp;IFERROR(INDEX(PASTE_ALL,$DF709,12)&amp;"","")&amp;"␟"&amp;IFERROR(INDEX(PASTE_ALL,$DF709,13)&amp;"","")&amp;"␟"&amp;IFERROR(INDEX(PASTE_ALL,$DF709,14)&amp;"","")&amp;"␟"&amp;IFERROR(INDEX(PASTE_ALL,$DF709,15)&amp;"","")&amp;"␟"&amp;IFERROR(INDEX(PASTE_ALL,$DF709,16)&amp;"","")&amp;"␟"&amp;IFERROR(INDEX(PASTE_ALL,$DF709,17)&amp;"","")&amp;"␟"&amp;IFERROR(INDEX(PASTE_ALL,$DF709,18)&amp;"","")&amp;"␟"&amp;IFERROR(INDEX(PASTE_ALL,$DF709,19)&amp;"","")&amp;"␟"&amp;IFERROR(INDEX(PASTE_ALL,$DF709,20)&amp;"","")&amp;"␟"&amp;IFERROR(INDEX(PASTE_ALL,$DF709,21)&amp;"","")&amp;"␟"&amp;IFERROR(INDEX(PASTE_ALL,$DF709,22)&amp;"","")&amp;"␟"&amp;IFERROR(INDEX(PASTE_ALL,$DF709,23)&amp;"","")&amp;"␟"&amp;IFERROR(INDEX(PASTE_ALL,$DF709,24)&amp;"","")&amp;"␟"&amp;IFERROR(INDEX(PASTE_ALL,$DF709,25)&amp;"","")&amp;"␟"&amp;IFERROR(INDEX(PASTE_ALL,$DF709,26)&amp;"","")&amp;"␟"&amp;IFERROR(INDEX(PASTE_ALL,$DF709,27)&amp;"","")&amp;"␟"&amp;IFERROR(INDEX(PASTE_ALL,$DF709,28)&amp;"","")&amp;"␟"&amp;IFERROR(INDEX(PASTE_ALL,$DF709,29)&amp;"","")&amp;"␟"&amp;IFERROR(INDEX(PASTE_ALL,$DF709,30)&amp;"","")&amp;"␟"&amp;IFERROR(INDEX(PASTE_ALL,$DF709,31)&amp;"","")&amp;"␟"&amp;IFERROR(INDEX(PASTE_ALL,$DF709,32)&amp;"","")&amp;"␟"&amp;IFERROR(INDEX(PASTE_ALL,$DF709,33)&amp;"","")&amp;"␟"&amp;IFERROR(INDEX(PASTE_ALL,$DF709,34)&amp;"","")&amp;"␟"&amp;IFERROR(INDEX(PASTE_ALL,$DF709,35)&amp;"","")&amp;"␟"&amp;IFERROR(INDEX(PASTE_ALL,$DF709,36)&amp;"","")&amp;"␟"&amp;IFERROR(INDEX(PASTE_ALL,$DF709,37)&amp;"","")&amp;"␟"&amp;IFERROR(INDEX(PASTE_ALL,$DF709,38)&amp;"","")&amp;"␟"&amp;IFERROR(INDEX(PASTE_ALL,$DF709,39)&amp;"","")&amp;"␟"&amp;IFERROR(INDEX(PASTE_ALL,$DF709,40)&amp;"","")&amp;"␟"&amp;IFERROR(INDEX(PASTE_ALL,$DF709,41)&amp;"","")&amp;"␟"&amp;IFERROR(INDEX(PASTE_ALL,$DF709,42)&amp;"","")&amp;"␟"&amp;IFERROR(INDEX(PASTE_ALL,$DF709,43)&amp;"","")&amp;"␟"&amp;IFERROR(INDEX(PASTE_ALL,$DF709,44)&amp;"","")&amp;"␟"&amp;IFERROR(INDEX(PASTE_ALL,$DF709,45)&amp;"","")&amp;"␟"&amp;IFERROR(INDEX(PASTE_ALL,$DF709,46)&amp;"","")&amp;"␟"&amp;IFERROR(INDEX(PASTE_ALL,$DF709,47)&amp;"","")&amp;"␟"&amp;IFERROR(INDEX(PASTE_ALL,$DF709,48)&amp;"","")&amp;"␟"&amp;IFERROR(INDEX(PASTE_ALL,$DF709,49)&amp;"","")&amp;"␟"&amp;IFERROR(INDEX(PASTE_ALL,$DF709,50)&amp;"","")&amp;"␟"&amp;IFERROR(INDEX(PASTE_ALL,$DF709,51)&amp;"","")&amp;"␟"&amp;IFERROR(INDEX(PASTE_ALL,$DF709,52)&amp;"","")&amp;"␟"&amp;IFERROR(INDEX(PASTE_ALL,$DF709,53)&amp;"","")&amp;"␟"&amp;IFERROR(INDEX(PASTE_ALL,$DF709,54)&amp;"","")&amp;"␟"&amp;IFERROR(INDEX(PASTE_ALL,$DF709,55)&amp;"","")&amp;"␟"&amp;IFERROR(INDEX(PASTE_ALL,$DF709,56)&amp;"","")&amp;"␟"&amp;IFERROR(INDEX(PASTE_ALL,$DF709,57)&amp;"","")&amp;"␟"&amp;IFERROR(INDEX(PASTE_ALL,$DF709,58)&amp;"","")&amp;"␟"&amp;IFERROR(INDEX(PASTE_ALL,$DF709,59)&amp;"","")&amp;"␟"&amp;IFERROR(INDEX(PASTE_ALL,$DF709,60)&amp;"","")," "," "),CHAR(9)," "),CHAR(10)," "),CHAR(13)," "))," ␟","␟"),"␟ ","␟"),"#"&amp;$DE709),"")</f>
        <v/>
      </c>
      <c r="DJ709">
        <f>IF($DI709="",0,IF(SUMPRODUCT(--EXACT($DI$4:DI708,$DI709))&gt;0,1,0))</f>
        <v/>
      </c>
      <c r="DK709">
        <f>IF(AND($DI709&lt;&gt;"",$DJ709=0),1,0)</f>
        <v/>
      </c>
      <c r="DL709">
        <f>DL708+$DK709</f>
        <v/>
      </c>
      <c r="DM709">
        <f>IF(AND($DK709=1,$DL709&lt;=600),1,0)</f>
        <v/>
      </c>
      <c r="DN709">
        <f>IF($DM709=0,"",IF($L$6=0,"",IFERROR(IF(ISNUMBER(INDEX(PASTE_ALL,$DF709,$L$6)),INDEX(PASTE_ALL,$DF709,$L$6),TRIM(SUBSTITUTE(SUBSTITUTE(SUBSTITUTE(SUBSTITUTE(INDEX(PASTE_ALL,$DF709,$L$6)," "," "),CHAR(9)," "),CHAR(10)," "),CHAR(13)," "))),"")))</f>
        <v/>
      </c>
      <c r="DO709">
        <f>IF($DM709=0,"",IF($L$7=0,"",IFERROR(IF(ISNUMBER(INDEX(PASTE_ALL,$DF709,$L$7)),INDEX(PASTE_ALL,$DF709,$L$7),TRIM(SUBSTITUTE(SUBSTITUTE(SUBSTITUTE(SUBSTITUTE(INDEX(PASTE_ALL,$DF709,$L$7)," "," "),CHAR(9)," "),CHAR(10)," "),CHAR(13)," "))),"")))</f>
        <v/>
      </c>
      <c r="DP709">
        <f>IF($DM709=0,"",IF($L$8=0,"",IFERROR(IF(ISNUMBER(INDEX(PASTE_ALL,$DF709,$L$8)),INDEX(PASTE_ALL,$DF709,$L$8),TRIM(SUBSTITUTE(SUBSTITUTE(SUBSTITUTE(SUBSTITUTE(INDEX(PASTE_ALL,$DF709,$L$8)," "," "),CHAR(9)," "),CHAR(10)," "),CHAR(13)," "))),"")))</f>
        <v/>
      </c>
      <c r="DQ709">
        <f>IF($DM709=0,"",IF($L$9=0,"",IFERROR(IF(ISNUMBER(INDEX(PASTE_ALL,$DF709,$L$9)),INDEX(PASTE_ALL,$DF709,$L$9),TRIM(SUBSTITUTE(SUBSTITUTE(SUBSTITUTE(SUBSTITUTE(INDEX(PASTE_ALL,$DF709,$L$9)," "," "),CHAR(9)," "),CHAR(10)," "),CHAR(13)," "))),"")))</f>
        <v/>
      </c>
      <c r="DR709">
        <f>IF($DM709=0,"",IF($L$10=0,"",IFERROR(IF(ISNUMBER(INDEX(PASTE_ALL,$DF709,$L$10)),INDEX(PASTE_ALL,$DF709,$L$10),TRIM(SUBSTITUTE(SUBSTITUTE(SUBSTITUTE(SUBSTITUTE(INDEX(PASTE_ALL,$DF709,$L$10)," "," "),CHAR(9)," "),CHAR(10)," "),CHAR(13)," "))),"")))</f>
        <v/>
      </c>
      <c r="DS709">
        <f>IF($DM709=0,"",IF($L$11=0,"",IFERROR(IF(ISNUMBER(INDEX(PASTE_ALL,$DF709,$L$11)),INDEX(PASTE_ALL,$DF709,$L$11),TRIM(SUBSTITUTE(SUBSTITUTE(SUBSTITUTE(SUBSTITUTE(INDEX(PASTE_ALL,$DF709,$L$11)," "," "),CHAR(9)," "),CHAR(10)," "),CHAR(13)," "))),"")))</f>
        <v/>
      </c>
      <c r="DT709">
        <f>IF($DM709=0,"",IF($L$12=0,"",IFERROR(IF(ISNUMBER(INDEX(PASTE_ALL,$DF709,$L$12)),INDEX(PASTE_ALL,$DF709,$L$12),TRIM(SUBSTITUTE(SUBSTITUTE(SUBSTITUTE(SUBSTITUTE(INDEX(PASTE_ALL,$DF709,$L$12)," "," "),CHAR(9)," "),CHAR(10)," "),CHAR(13)," "))),"")))</f>
        <v/>
      </c>
      <c r="DU709">
        <f>IF($DM709=0,"",IF($L$13=0,"",IFERROR(IF(ISNUMBER(INDEX(PASTE_ALL,$DF709,$L$13)),INDEX(PASTE_ALL,$DF709,$L$13),TRIM(SUBSTITUTE(SUBSTITUTE(SUBSTITUTE(SUBSTITUTE(INDEX(PASTE_ALL,$DF709,$L$13)," "," "),CHAR(9)," "),CHAR(10)," "),CHAR(13)," "))),"")))</f>
        <v/>
      </c>
      <c r="DV709">
        <f>IF($DM709=0,"",IF($L$14=0,"",IFERROR(IF(ISNUMBER(INDEX(PASTE_ALL,$DF709,$L$14)),INDEX(PASTE_ALL,$DF709,$L$14),TRIM(SUBSTITUTE(SUBSTITUTE(SUBSTITUTE(SUBSTITUTE(INDEX(PASTE_ALL,$DF709,$L$14)," "," "),CHAR(9)," "),CHAR(10)," "),CHAR(13)," "))),"")))</f>
        <v/>
      </c>
      <c r="DW709">
        <f>IF($DM709=0,"",IF($L$15=0,"",IFERROR(IF(ISNUMBER(INDEX(PASTE_ALL,$DF709,$L$15)),INDEX(PASTE_ALL,$DF709,$L$15),IF(SUMPRODUCT(--ISNUMBER(FIND({"A","B","C","D","E","F","G","H","I","J","K","L","M","N","O","P","Q","R","S","T","U","V","W","X","Y","Z","0","1","2","3","4","5","6","7","8","9"},UPPER(TRIM(SUBSTITUTE(SUBSTITUTE(SUBSTITUTE(SUBSTITUTE(INDEX(PASTE_ALL,$DF709,$L$15)," "," "),CHAR(9)," "),CHAR(10)," "),CHAR(13)," "))))))&gt;0,TRIM(SUBSTITUTE(SUBSTITUTE(SUBSTITUTE(SUBSTITUTE(INDEX(PASTE_ALL,$DF709,$L$15)," "," "),CHAR(9)," "),CHAR(10)," "),CHAR(13)," ")),"")),"")))</f>
        <v/>
      </c>
      <c r="DX709">
        <f>IF($DM709=0,"",IF($L$16=0,"",IFERROR(IF(ISNUMBER(INDEX(PASTE_ALL,$DF709,$L$16)),INDEX(PASTE_ALL,$DF709,$L$16),SUBSTITUTE(SUBSTITUTE(TRIM(SUBSTITUTE(SUBSTITUTE(SUBSTITUTE(SUBSTITUTE(INDEX(PASTE_ALL,$DF709,$L$16)," "," "),CHAR(9)," "),CHAR(10)," "),CHAR(13)," ")),",",""),"%","")),"")))</f>
        <v/>
      </c>
      <c r="DY709">
        <f>IF($DM709=0,"",IFERROR(IF(ISNUMBER($DX709),$DX709,IF($DX709="","",IF(TRIM($DX709)="",0,IF(AND(AND(SUBSTITUTE(SUBSTITUTE(SUBSTITUTE(SUBSTITUTE(SUBSTITUTE(SUBSTITUTE(SUBSTITUTE(SUBSTITUTE(SUBSTITUTE(SUBSTITUTE(SUBSTITUTE(SUBSTITUTE(SUBSTITUTE(SUBSTITUTE(UPPER(TRIM($DX709)),"0",""),"1",""),"2",""),"3",""),"4",""),"5",""),"6",""),"7",""),"8",""),"9",""),".",""),"+",""),"-",""),"E","")="",LEN(SUBSTITUTE(SUBSTITUTE(MID(UPPER(TRIM($DX709)),1+OR(LEFT(UPPER(TRIM($DX709)),1)="+",LEFT(UPPER(TRIM($DX709)),1)="-"),999),"E+","E"),"E-","E"))=LEN(SUBSTITUTE(SUBSTITUTE(SUBSTITUTE(SUBSTITUTE(MID(UPPER(TRIM($DX709)),1+OR(LEFT(UPPER(TRIM($DX709)),1)="+",LEFT(UPPER(TRIM($DX709)),1)="-"),999),"E+","E"),"E-","E"),"+",""),"-","")),LEN(UPPER(TRIM($DX709)))-LEN(SUBSTITUTE(UPPER(TRIM($DX709)),"E",""))&lt;2,LEN(UPPER(TRIM($DX709)))-LEN(SUBSTITUTE(UPPER(TRIM($DX709)),".",""))&lt;2,IFERROR(FIND(".",UPPER(TRIM($DX709))),0)&lt;IFERROR(FIND("E",UPPER(TRIM($DX709))),999)),ISNUMBER(VALUE(TRIM($DX709)))),VALUE(TRIM($DX709)),"")))),""))</f>
        <v/>
      </c>
      <c r="DZ709">
        <f>IF($DM709=0,"",IF($L$17=0,"",IFERROR(IF(ISNUMBER(INDEX(PASTE_ALL,$DF709,$L$17)),INDEX(PASTE_ALL,$DF709,$L$17),SUBSTITUTE(SUBSTITUTE(TRIM(SUBSTITUTE(SUBSTITUTE(SUBSTITUTE(SUBSTITUTE(INDEX(PASTE_ALL,$DF709,$L$17)," "," "),CHAR(9)," "),CHAR(10)," "),CHAR(13)," ")),",",""),"%","")),"")))</f>
        <v/>
      </c>
      <c r="EA709">
        <f>IF($DM709=0,"",IFERROR(IF(ISNUMBER($DZ709),$DZ709,IF($DZ709="","",IF(TRIM($DZ709)="",0,IF(AND(AND(SUBSTITUTE(SUBSTITUTE(SUBSTITUTE(SUBSTITUTE(SUBSTITUTE(SUBSTITUTE(SUBSTITUTE(SUBSTITUTE(SUBSTITUTE(SUBSTITUTE(SUBSTITUTE(SUBSTITUTE(SUBSTITUTE(SUBSTITUTE(UPPER(TRIM($DZ709)),"0",""),"1",""),"2",""),"3",""),"4",""),"5",""),"6",""),"7",""),"8",""),"9",""),".",""),"+",""),"-",""),"E","")="",LEN(SUBSTITUTE(SUBSTITUTE(MID(UPPER(TRIM($DZ709)),1+OR(LEFT(UPPER(TRIM($DZ709)),1)="+",LEFT(UPPER(TRIM($DZ709)),1)="-"),999),"E+","E"),"E-","E"))=LEN(SUBSTITUTE(SUBSTITUTE(SUBSTITUTE(SUBSTITUTE(MID(UPPER(TRIM($DZ709)),1+OR(LEFT(UPPER(TRIM($DZ709)),1)="+",LEFT(UPPER(TRIM($DZ709)),1)="-"),999),"E+","E"),"E-","E"),"+",""),"-","")),LEN(UPPER(TRIM($DZ709)))-LEN(SUBSTITUTE(UPPER(TRIM($DZ709)),"E",""))&lt;2,LEN(UPPER(TRIM($DZ709)))-LEN(SUBSTITUTE(UPPER(TRIM($DZ709)),".",""))&lt;2,IFERROR(FIND(".",UPPER(TRIM($DZ709))),0)&lt;IFERROR(FIND("E",UPPER(TRIM($DZ709))),999)),ISNUMBER(VALUE(TRIM($DZ709)))),VALUE(TRIM($DZ709)),"")))),""))</f>
        <v/>
      </c>
      <c r="EB709">
        <f>IF($DM709=0,"",IF($L$18=0,"",IFERROR(IF(UPPER(TRIM(SUBSTITUTE(SUBSTITUTE(SUBSTITUTE(SUBSTITUTE(INDEX(PASTE_ALL,$DF709,$L$18)," "," "),CHAR(9)," "),CHAR(10)," "),CHAR(13)," ")))="READY","Ready",IF(UPPER(TRIM(SUBSTITUTE(SUBSTITUTE(SUBSTITUTE(SUBSTITUTE(INDEX(PASTE_ALL,$DF709,$L$18)," "," "),CHAR(9)," "),CHAR(10)," "),CHAR(13)," ")))="PM","PM",IF(OR(UPPER(TRIM(SUBSTITUTE(SUBSTITUTE(SUBSTITUTE(SUBSTITUTE(INDEX(PASTE_ALL,$DF709,$L$18)," "," "),CHAR(9)," "),CHAR(10)," "),CHAR(13)," ")))="OT",UPPER(TRIM(SUBSTITUTE(SUBSTITUTE(SUBSTITUTE(SUBSTITUTE(INDEX(PASTE_ALL,$DF709,$L$18)," "," "),CHAR(9)," "),CHAR(10)," "),CHAR(13)," ")))="OVERTIME",UPPER(TRIM(SUBSTITUTE(SUBSTITUTE(SUBSTITUTE(SUBSTITUTE(INDEX(PASTE_ALL,$DF709,$L$18)," "," "),CHAR(9)," "),CHAR(10)," "),CHAR(13)," ")))="TRIAL"),"OT",TRIM(SUBSTITUTE(SUBSTITUTE(SUBSTITUTE(SUBSTITUTE(INDEX(PASTE_ALL,$DF709,$L$18)," "," "),CHAR(9)," "),CHAR(10)," "),CHAR(13)," "))))),"")))</f>
        <v/>
      </c>
      <c r="EC709">
        <f>IF($DM709=0,"",IF($L$19=0,"",IFERROR(IF(ISNUMBER(INDEX(PASTE_ALL,$DF709,$L$19)),INDEX(PASTE_ALL,$DF709,$L$19),TRIM(SUBSTITUTE(SUBSTITUTE(SUBSTITUTE(SUBSTITUTE(INDEX(PASTE_ALL,$DF709,$L$19)," "," "),CHAR(9)," "),CHAR(10)," "),CHAR(13)," "))),"")))</f>
        <v/>
      </c>
      <c r="ED709">
        <f>IF($DM709=0,"",MATCH(1,INDEX(EXACT($DH$5:DH709,$DH709)*$DM$5:DM709,0),0))</f>
        <v/>
      </c>
      <c r="EE709">
        <f>IF($DM709=0,0,IF($ED709=$DE709,1,0))</f>
        <v/>
      </c>
      <c r="EF709">
        <f>EF708+$EE709</f>
        <v/>
      </c>
      <c r="EG709">
        <f>IF($DM709=0,"",INDEX($EF$5:$EF$1003,$ED709))</f>
        <v/>
      </c>
      <c r="EH709">
        <f>IF($DM709=0,"",IF($DO709&lt;&gt;"","",IFERROR(LOOKUP(2,1/(($EG$4:EG708=$EG709)*($DO$4:DO708&lt;&gt;"")),$DO$4:DO708),"")))</f>
        <v/>
      </c>
      <c r="EI709">
        <f>IF($DM709=0,"",IF($DO709&lt;&gt;"",$DO709,$EH709))</f>
        <v/>
      </c>
      <c r="EJ709">
        <f>IF($DM709=0,"",IF($EI709="",0,IF(OR(ISNUMBER($EI709),AND(AND(SUBSTITUTE(SUBSTITUTE(SUBSTITUTE(SUBSTITUTE(SUBSTITUTE(SUBSTITUTE(SUBSTITUTE(SUBSTITUTE(SUBSTITUTE(SUBSTITUTE(SUBSTITUTE(SUBSTITUTE(SUBSTITUTE(SUBSTITUTE(UPPER($EI709),"0",""),"1",""),"2",""),"3",""),"4",""),"5",""),"6",""),"7",""),"8",""),"9",""),".",""),"+",""),"-",""),"E","")="",LEN(SUBSTITUTE(SUBSTITUTE(MID(UPPER($EI709),1+OR(LEFT(UPPER($EI709),1)="+",LEFT(UPPER($EI709),1)="-"),999),"E+","E"),"E-","E"))=LEN(SUBSTITUTE(SUBSTITUTE(SUBSTITUTE(SUBSTITUTE(MID(UPPER($EI709),1+OR(LEFT(UPPER($EI709),1)="+",LEFT(UPPER($EI709),1)="-"),999),"E+","E"),"E-","E"),"+",""),"-","")),LEN(UPPER($EI709))-LEN(SUBSTITUTE(UPPER($EI709),"E",""))&lt;2,LEN(UPPER($EI709))-LEN(SUBSTITUTE(UPPER($EI709),".",""))&lt;2,IFERROR(FIND(".",UPPER($EI709)),0)&lt;IFERROR(FIND("E",UPPER($EI709)),999)),ISNUMBER(VALUE($EI709)))),1,2)))</f>
        <v/>
      </c>
      <c r="EK709">
        <f>IF($DM709=0,"",IF($EJ709=1,IF(ISNUMBER($EI709),$EI709,VALUE($EI709)),IF($EJ709=2,$DE709,0)))</f>
        <v/>
      </c>
      <c r="EL709">
        <f>IF($DM709=0,"",COUNTIF($EG$5:$EG$1003,"&lt;"&amp;$EG709)+SUMPRODUCT(($EG$5:$EG$1003=$EG709)*(($EJ$5:$EJ$1003&lt;$EJ709)+($EJ$5:$EJ$1003=$EJ709)*(($EK$5:$EK$1003&lt;$EK709)+($EK$5:$EK$1003=$EK709)*($DE$5:$DE$1003&lt;$DE709))))+1)</f>
        <v/>
      </c>
      <c r="EM709">
        <f>IF($DM709=0,"",$EL709+$EG709-1)</f>
        <v/>
      </c>
      <c r="EN709">
        <f>IF($DM709=0,0,IFERROR(MATCH(1,INDEX(--(TRIM(SUBSTITUTE(SUBSTITUTE(SUBSTITUTE(SUBSTITUTE(LINES_NAME&amp;""," "," "),CHAR(9)," "),CHAR(10)," "),CHAR(13)," "))=$DH709),0),0),0))</f>
        <v/>
      </c>
      <c r="EO709">
        <f>IF($EN709=0,0,IF(OR(UPPER(TRIM(INDEX(LINES_SCHEDULED,$EN709)&amp;""))="YES",UPPER(TRIM(INDEX(LINES_SCHEDULED,$EN709)&amp;""))="Y",UPPER(TRIM(INDEX(LINES_SCHEDULED,$EN709)&amp;""))="X"),1,0))</f>
        <v/>
      </c>
      <c r="EP709">
        <f>IF($DM709=0,"",IF(COUNTIFS($EG$5:$EG$1003,$EG709,$EB$5:$EB$1003,"Ready")&gt;0,"READY",IF(COUNTIFS($EG$5:$EG$1003,$EG709,$EB$5:$EB$1003,"PM")&gt;0,"PM",IF(COUNTIFS($EG$5:$EG$1003,$EG709,$EB$5:$EB$1003,"OT")&gt;0,"OT",""))))</f>
        <v/>
      </c>
      <c r="EQ709">
        <f>IF($EN709=0,"",UPPER(TRIM(INDEX(LINES_STATUS,$EN709)&amp;"")))</f>
        <v/>
      </c>
      <c r="ER709">
        <f>IF($DM709=0,"",IF(OR($EQ709="READY",$EQ709="PM",$EQ709="OT"),$EQ709,$EP709))</f>
        <v/>
      </c>
      <c r="ES709">
        <f>IF($DM709=0,"",IF(AND($DV709&lt;&gt;"",UPPER($DV709)&lt;&gt;"N"),"allergen",IF(ISNUMBER(SEARCH("oil",$DQ709)),"oil",IF(OR(EXACT($DS709,"A662"),EXACT($DS709,"A624")),"bulk",""))))</f>
        <v/>
      </c>
      <c r="ET709">
        <f>IF($DM709=0,"",IF(OR($EA709="",$EA709=0),"",$EA709/100))</f>
        <v/>
      </c>
      <c r="EU709">
        <f>IF(OR($ET709="",$DY709=""),"",INT($DY709*(1-$ET709)+0.5))</f>
        <v/>
      </c>
    </row>
    <row r="710">
      <c r="DA710" t="n">
        <v>706</v>
      </c>
      <c r="DB710">
        <f>IF($B$37=0,"",IFERROR(TRIM(SUBSTITUTE(SUBSTITUTE(SUBSTITUTE(SUBSTITUTE(INDEX(PASTE_ALL,706,$B$37)," "," "),CHAR(9)," "),CHAR(10)," "),CHAR(13)," ")),""))</f>
        <v/>
      </c>
      <c r="DC710">
        <f>IF(AND(706&gt;HEADER_ROW,UPPER(DB710)="LEGEND"),1,0)</f>
        <v/>
      </c>
      <c r="DE710" t="n">
        <v>706</v>
      </c>
      <c r="DF710">
        <f>HEADER_ROW+$DE710</f>
        <v/>
      </c>
      <c r="DG710">
        <f>IF(AND($DF710&lt;=1000,$DF710&lt;$B$8),1,0)</f>
        <v/>
      </c>
      <c r="DH710">
        <f>IF($DG710=1,IFERROR(INDEX($DB$5:$DB$1004,$DF710),""),"")</f>
        <v/>
      </c>
      <c r="DI710">
        <f>IF(AND($DG710=1,$DH710&lt;&gt;""),IFERROR(SUBSTITUTE(SUBSTITUTE(TRIM(SUBSTITUTE(SUBSTITUTE(SUBSTITUTE(SUBSTITUTE(IFERROR(INDEX(PASTE_ALL,$DF710,1)&amp;"","")&amp;"␟"&amp;IFERROR(INDEX(PASTE_ALL,$DF710,2)&amp;"","")&amp;"␟"&amp;IFERROR(INDEX(PASTE_ALL,$DF710,3)&amp;"","")&amp;"␟"&amp;IFERROR(INDEX(PASTE_ALL,$DF710,4)&amp;"","")&amp;"␟"&amp;IFERROR(INDEX(PASTE_ALL,$DF710,5)&amp;"","")&amp;"␟"&amp;IFERROR(INDEX(PASTE_ALL,$DF710,6)&amp;"","")&amp;"␟"&amp;IFERROR(INDEX(PASTE_ALL,$DF710,7)&amp;"","")&amp;"␟"&amp;IFERROR(INDEX(PASTE_ALL,$DF710,8)&amp;"","")&amp;"␟"&amp;IFERROR(INDEX(PASTE_ALL,$DF710,9)&amp;"","")&amp;"␟"&amp;IFERROR(INDEX(PASTE_ALL,$DF710,10)&amp;"","")&amp;"␟"&amp;IFERROR(INDEX(PASTE_ALL,$DF710,11)&amp;"","")&amp;"␟"&amp;IFERROR(INDEX(PASTE_ALL,$DF710,12)&amp;"","")&amp;"␟"&amp;IFERROR(INDEX(PASTE_ALL,$DF710,13)&amp;"","")&amp;"␟"&amp;IFERROR(INDEX(PASTE_ALL,$DF710,14)&amp;"","")&amp;"␟"&amp;IFERROR(INDEX(PASTE_ALL,$DF710,15)&amp;"","")&amp;"␟"&amp;IFERROR(INDEX(PASTE_ALL,$DF710,16)&amp;"","")&amp;"␟"&amp;IFERROR(INDEX(PASTE_ALL,$DF710,17)&amp;"","")&amp;"␟"&amp;IFERROR(INDEX(PASTE_ALL,$DF710,18)&amp;"","")&amp;"␟"&amp;IFERROR(INDEX(PASTE_ALL,$DF710,19)&amp;"","")&amp;"␟"&amp;IFERROR(INDEX(PASTE_ALL,$DF710,20)&amp;"","")&amp;"␟"&amp;IFERROR(INDEX(PASTE_ALL,$DF710,21)&amp;"","")&amp;"␟"&amp;IFERROR(INDEX(PASTE_ALL,$DF710,22)&amp;"","")&amp;"␟"&amp;IFERROR(INDEX(PASTE_ALL,$DF710,23)&amp;"","")&amp;"␟"&amp;IFERROR(INDEX(PASTE_ALL,$DF710,24)&amp;"","")&amp;"␟"&amp;IFERROR(INDEX(PASTE_ALL,$DF710,25)&amp;"","")&amp;"␟"&amp;IFERROR(INDEX(PASTE_ALL,$DF710,26)&amp;"","")&amp;"␟"&amp;IFERROR(INDEX(PASTE_ALL,$DF710,27)&amp;"","")&amp;"␟"&amp;IFERROR(INDEX(PASTE_ALL,$DF710,28)&amp;"","")&amp;"␟"&amp;IFERROR(INDEX(PASTE_ALL,$DF710,29)&amp;"","")&amp;"␟"&amp;IFERROR(INDEX(PASTE_ALL,$DF710,30)&amp;"","")&amp;"␟"&amp;IFERROR(INDEX(PASTE_ALL,$DF710,31)&amp;"","")&amp;"␟"&amp;IFERROR(INDEX(PASTE_ALL,$DF710,32)&amp;"","")&amp;"␟"&amp;IFERROR(INDEX(PASTE_ALL,$DF710,33)&amp;"","")&amp;"␟"&amp;IFERROR(INDEX(PASTE_ALL,$DF710,34)&amp;"","")&amp;"␟"&amp;IFERROR(INDEX(PASTE_ALL,$DF710,35)&amp;"","")&amp;"␟"&amp;IFERROR(INDEX(PASTE_ALL,$DF710,36)&amp;"","")&amp;"␟"&amp;IFERROR(INDEX(PASTE_ALL,$DF710,37)&amp;"","")&amp;"␟"&amp;IFERROR(INDEX(PASTE_ALL,$DF710,38)&amp;"","")&amp;"␟"&amp;IFERROR(INDEX(PASTE_ALL,$DF710,39)&amp;"","")&amp;"␟"&amp;IFERROR(INDEX(PASTE_ALL,$DF710,40)&amp;"","")&amp;"␟"&amp;IFERROR(INDEX(PASTE_ALL,$DF710,41)&amp;"","")&amp;"␟"&amp;IFERROR(INDEX(PASTE_ALL,$DF710,42)&amp;"","")&amp;"␟"&amp;IFERROR(INDEX(PASTE_ALL,$DF710,43)&amp;"","")&amp;"␟"&amp;IFERROR(INDEX(PASTE_ALL,$DF710,44)&amp;"","")&amp;"␟"&amp;IFERROR(INDEX(PASTE_ALL,$DF710,45)&amp;"","")&amp;"␟"&amp;IFERROR(INDEX(PASTE_ALL,$DF710,46)&amp;"","")&amp;"␟"&amp;IFERROR(INDEX(PASTE_ALL,$DF710,47)&amp;"","")&amp;"␟"&amp;IFERROR(INDEX(PASTE_ALL,$DF710,48)&amp;"","")&amp;"␟"&amp;IFERROR(INDEX(PASTE_ALL,$DF710,49)&amp;"","")&amp;"␟"&amp;IFERROR(INDEX(PASTE_ALL,$DF710,50)&amp;"","")&amp;"␟"&amp;IFERROR(INDEX(PASTE_ALL,$DF710,51)&amp;"","")&amp;"␟"&amp;IFERROR(INDEX(PASTE_ALL,$DF710,52)&amp;"","")&amp;"␟"&amp;IFERROR(INDEX(PASTE_ALL,$DF710,53)&amp;"","")&amp;"␟"&amp;IFERROR(INDEX(PASTE_ALL,$DF710,54)&amp;"","")&amp;"␟"&amp;IFERROR(INDEX(PASTE_ALL,$DF710,55)&amp;"","")&amp;"␟"&amp;IFERROR(INDEX(PASTE_ALL,$DF710,56)&amp;"","")&amp;"␟"&amp;IFERROR(INDEX(PASTE_ALL,$DF710,57)&amp;"","")&amp;"␟"&amp;IFERROR(INDEX(PASTE_ALL,$DF710,58)&amp;"","")&amp;"␟"&amp;IFERROR(INDEX(PASTE_ALL,$DF710,59)&amp;"","")&amp;"␟"&amp;IFERROR(INDEX(PASTE_ALL,$DF710,60)&amp;"","")," "," "),CHAR(9)," "),CHAR(10)," "),CHAR(13)," "))," ␟","␟"),"␟ ","␟"),"#"&amp;$DE710),"")</f>
        <v/>
      </c>
      <c r="DJ710">
        <f>IF($DI710="",0,IF(SUMPRODUCT(--EXACT($DI$4:DI709,$DI710))&gt;0,1,0))</f>
        <v/>
      </c>
      <c r="DK710">
        <f>IF(AND($DI710&lt;&gt;"",$DJ710=0),1,0)</f>
        <v/>
      </c>
      <c r="DL710">
        <f>DL709+$DK710</f>
        <v/>
      </c>
      <c r="DM710">
        <f>IF(AND($DK710=1,$DL710&lt;=600),1,0)</f>
        <v/>
      </c>
      <c r="DN710">
        <f>IF($DM710=0,"",IF($L$6=0,"",IFERROR(IF(ISNUMBER(INDEX(PASTE_ALL,$DF710,$L$6)),INDEX(PASTE_ALL,$DF710,$L$6),TRIM(SUBSTITUTE(SUBSTITUTE(SUBSTITUTE(SUBSTITUTE(INDEX(PASTE_ALL,$DF710,$L$6)," "," "),CHAR(9)," "),CHAR(10)," "),CHAR(13)," "))),"")))</f>
        <v/>
      </c>
      <c r="DO710">
        <f>IF($DM710=0,"",IF($L$7=0,"",IFERROR(IF(ISNUMBER(INDEX(PASTE_ALL,$DF710,$L$7)),INDEX(PASTE_ALL,$DF710,$L$7),TRIM(SUBSTITUTE(SUBSTITUTE(SUBSTITUTE(SUBSTITUTE(INDEX(PASTE_ALL,$DF710,$L$7)," "," "),CHAR(9)," "),CHAR(10)," "),CHAR(13)," "))),"")))</f>
        <v/>
      </c>
      <c r="DP710">
        <f>IF($DM710=0,"",IF($L$8=0,"",IFERROR(IF(ISNUMBER(INDEX(PASTE_ALL,$DF710,$L$8)),INDEX(PASTE_ALL,$DF710,$L$8),TRIM(SUBSTITUTE(SUBSTITUTE(SUBSTITUTE(SUBSTITUTE(INDEX(PASTE_ALL,$DF710,$L$8)," "," "),CHAR(9)," "),CHAR(10)," "),CHAR(13)," "))),"")))</f>
        <v/>
      </c>
      <c r="DQ710">
        <f>IF($DM710=0,"",IF($L$9=0,"",IFERROR(IF(ISNUMBER(INDEX(PASTE_ALL,$DF710,$L$9)),INDEX(PASTE_ALL,$DF710,$L$9),TRIM(SUBSTITUTE(SUBSTITUTE(SUBSTITUTE(SUBSTITUTE(INDEX(PASTE_ALL,$DF710,$L$9)," "," "),CHAR(9)," "),CHAR(10)," "),CHAR(13)," "))),"")))</f>
        <v/>
      </c>
      <c r="DR710">
        <f>IF($DM710=0,"",IF($L$10=0,"",IFERROR(IF(ISNUMBER(INDEX(PASTE_ALL,$DF710,$L$10)),INDEX(PASTE_ALL,$DF710,$L$10),TRIM(SUBSTITUTE(SUBSTITUTE(SUBSTITUTE(SUBSTITUTE(INDEX(PASTE_ALL,$DF710,$L$10)," "," "),CHAR(9)," "),CHAR(10)," "),CHAR(13)," "))),"")))</f>
        <v/>
      </c>
      <c r="DS710">
        <f>IF($DM710=0,"",IF($L$11=0,"",IFERROR(IF(ISNUMBER(INDEX(PASTE_ALL,$DF710,$L$11)),INDEX(PASTE_ALL,$DF710,$L$11),TRIM(SUBSTITUTE(SUBSTITUTE(SUBSTITUTE(SUBSTITUTE(INDEX(PASTE_ALL,$DF710,$L$11)," "," "),CHAR(9)," "),CHAR(10)," "),CHAR(13)," "))),"")))</f>
        <v/>
      </c>
      <c r="DT710">
        <f>IF($DM710=0,"",IF($L$12=0,"",IFERROR(IF(ISNUMBER(INDEX(PASTE_ALL,$DF710,$L$12)),INDEX(PASTE_ALL,$DF710,$L$12),TRIM(SUBSTITUTE(SUBSTITUTE(SUBSTITUTE(SUBSTITUTE(INDEX(PASTE_ALL,$DF710,$L$12)," "," "),CHAR(9)," "),CHAR(10)," "),CHAR(13)," "))),"")))</f>
        <v/>
      </c>
      <c r="DU710">
        <f>IF($DM710=0,"",IF($L$13=0,"",IFERROR(IF(ISNUMBER(INDEX(PASTE_ALL,$DF710,$L$13)),INDEX(PASTE_ALL,$DF710,$L$13),TRIM(SUBSTITUTE(SUBSTITUTE(SUBSTITUTE(SUBSTITUTE(INDEX(PASTE_ALL,$DF710,$L$13)," "," "),CHAR(9)," "),CHAR(10)," "),CHAR(13)," "))),"")))</f>
        <v/>
      </c>
      <c r="DV710">
        <f>IF($DM710=0,"",IF($L$14=0,"",IFERROR(IF(ISNUMBER(INDEX(PASTE_ALL,$DF710,$L$14)),INDEX(PASTE_ALL,$DF710,$L$14),TRIM(SUBSTITUTE(SUBSTITUTE(SUBSTITUTE(SUBSTITUTE(INDEX(PASTE_ALL,$DF710,$L$14)," "," "),CHAR(9)," "),CHAR(10)," "),CHAR(13)," "))),"")))</f>
        <v/>
      </c>
      <c r="DW710">
        <f>IF($DM710=0,"",IF($L$15=0,"",IFERROR(IF(ISNUMBER(INDEX(PASTE_ALL,$DF710,$L$15)),INDEX(PASTE_ALL,$DF710,$L$15),IF(SUMPRODUCT(--ISNUMBER(FIND({"A","B","C","D","E","F","G","H","I","J","K","L","M","N","O","P","Q","R","S","T","U","V","W","X","Y","Z","0","1","2","3","4","5","6","7","8","9"},UPPER(TRIM(SUBSTITUTE(SUBSTITUTE(SUBSTITUTE(SUBSTITUTE(INDEX(PASTE_ALL,$DF710,$L$15)," "," "),CHAR(9)," "),CHAR(10)," "),CHAR(13)," "))))))&gt;0,TRIM(SUBSTITUTE(SUBSTITUTE(SUBSTITUTE(SUBSTITUTE(INDEX(PASTE_ALL,$DF710,$L$15)," "," "),CHAR(9)," "),CHAR(10)," "),CHAR(13)," ")),"")),"")))</f>
        <v/>
      </c>
      <c r="DX710">
        <f>IF($DM710=0,"",IF($L$16=0,"",IFERROR(IF(ISNUMBER(INDEX(PASTE_ALL,$DF710,$L$16)),INDEX(PASTE_ALL,$DF710,$L$16),SUBSTITUTE(SUBSTITUTE(TRIM(SUBSTITUTE(SUBSTITUTE(SUBSTITUTE(SUBSTITUTE(INDEX(PASTE_ALL,$DF710,$L$16)," "," "),CHAR(9)," "),CHAR(10)," "),CHAR(13)," ")),",",""),"%","")),"")))</f>
        <v/>
      </c>
      <c r="DY710">
        <f>IF($DM710=0,"",IFERROR(IF(ISNUMBER($DX710),$DX710,IF($DX710="","",IF(TRIM($DX710)="",0,IF(AND(AND(SUBSTITUTE(SUBSTITUTE(SUBSTITUTE(SUBSTITUTE(SUBSTITUTE(SUBSTITUTE(SUBSTITUTE(SUBSTITUTE(SUBSTITUTE(SUBSTITUTE(SUBSTITUTE(SUBSTITUTE(SUBSTITUTE(SUBSTITUTE(UPPER(TRIM($DX710)),"0",""),"1",""),"2",""),"3",""),"4",""),"5",""),"6",""),"7",""),"8",""),"9",""),".",""),"+",""),"-",""),"E","")="",LEN(SUBSTITUTE(SUBSTITUTE(MID(UPPER(TRIM($DX710)),1+OR(LEFT(UPPER(TRIM($DX710)),1)="+",LEFT(UPPER(TRIM($DX710)),1)="-"),999),"E+","E"),"E-","E"))=LEN(SUBSTITUTE(SUBSTITUTE(SUBSTITUTE(SUBSTITUTE(MID(UPPER(TRIM($DX710)),1+OR(LEFT(UPPER(TRIM($DX710)),1)="+",LEFT(UPPER(TRIM($DX710)),1)="-"),999),"E+","E"),"E-","E"),"+",""),"-","")),LEN(UPPER(TRIM($DX710)))-LEN(SUBSTITUTE(UPPER(TRIM($DX710)),"E",""))&lt;2,LEN(UPPER(TRIM($DX710)))-LEN(SUBSTITUTE(UPPER(TRIM($DX710)),".",""))&lt;2,IFERROR(FIND(".",UPPER(TRIM($DX710))),0)&lt;IFERROR(FIND("E",UPPER(TRIM($DX710))),999)),ISNUMBER(VALUE(TRIM($DX710)))),VALUE(TRIM($DX710)),"")))),""))</f>
        <v/>
      </c>
      <c r="DZ710">
        <f>IF($DM710=0,"",IF($L$17=0,"",IFERROR(IF(ISNUMBER(INDEX(PASTE_ALL,$DF710,$L$17)),INDEX(PASTE_ALL,$DF710,$L$17),SUBSTITUTE(SUBSTITUTE(TRIM(SUBSTITUTE(SUBSTITUTE(SUBSTITUTE(SUBSTITUTE(INDEX(PASTE_ALL,$DF710,$L$17)," "," "),CHAR(9)," "),CHAR(10)," "),CHAR(13)," ")),",",""),"%","")),"")))</f>
        <v/>
      </c>
      <c r="EA710">
        <f>IF($DM710=0,"",IFERROR(IF(ISNUMBER($DZ710),$DZ710,IF($DZ710="","",IF(TRIM($DZ710)="",0,IF(AND(AND(SUBSTITUTE(SUBSTITUTE(SUBSTITUTE(SUBSTITUTE(SUBSTITUTE(SUBSTITUTE(SUBSTITUTE(SUBSTITUTE(SUBSTITUTE(SUBSTITUTE(SUBSTITUTE(SUBSTITUTE(SUBSTITUTE(SUBSTITUTE(UPPER(TRIM($DZ710)),"0",""),"1",""),"2",""),"3",""),"4",""),"5",""),"6",""),"7",""),"8",""),"9",""),".",""),"+",""),"-",""),"E","")="",LEN(SUBSTITUTE(SUBSTITUTE(MID(UPPER(TRIM($DZ710)),1+OR(LEFT(UPPER(TRIM($DZ710)),1)="+",LEFT(UPPER(TRIM($DZ710)),1)="-"),999),"E+","E"),"E-","E"))=LEN(SUBSTITUTE(SUBSTITUTE(SUBSTITUTE(SUBSTITUTE(MID(UPPER(TRIM($DZ710)),1+OR(LEFT(UPPER(TRIM($DZ710)),1)="+",LEFT(UPPER(TRIM($DZ710)),1)="-"),999),"E+","E"),"E-","E"),"+",""),"-","")),LEN(UPPER(TRIM($DZ710)))-LEN(SUBSTITUTE(UPPER(TRIM($DZ710)),"E",""))&lt;2,LEN(UPPER(TRIM($DZ710)))-LEN(SUBSTITUTE(UPPER(TRIM($DZ710)),".",""))&lt;2,IFERROR(FIND(".",UPPER(TRIM($DZ710))),0)&lt;IFERROR(FIND("E",UPPER(TRIM($DZ710))),999)),ISNUMBER(VALUE(TRIM($DZ710)))),VALUE(TRIM($DZ710)),"")))),""))</f>
        <v/>
      </c>
      <c r="EB710">
        <f>IF($DM710=0,"",IF($L$18=0,"",IFERROR(IF(UPPER(TRIM(SUBSTITUTE(SUBSTITUTE(SUBSTITUTE(SUBSTITUTE(INDEX(PASTE_ALL,$DF710,$L$18)," "," "),CHAR(9)," "),CHAR(10)," "),CHAR(13)," ")))="READY","Ready",IF(UPPER(TRIM(SUBSTITUTE(SUBSTITUTE(SUBSTITUTE(SUBSTITUTE(INDEX(PASTE_ALL,$DF710,$L$18)," "," "),CHAR(9)," "),CHAR(10)," "),CHAR(13)," ")))="PM","PM",IF(OR(UPPER(TRIM(SUBSTITUTE(SUBSTITUTE(SUBSTITUTE(SUBSTITUTE(INDEX(PASTE_ALL,$DF710,$L$18)," "," "),CHAR(9)," "),CHAR(10)," "),CHAR(13)," ")))="OT",UPPER(TRIM(SUBSTITUTE(SUBSTITUTE(SUBSTITUTE(SUBSTITUTE(INDEX(PASTE_ALL,$DF710,$L$18)," "," "),CHAR(9)," "),CHAR(10)," "),CHAR(13)," ")))="OVERTIME",UPPER(TRIM(SUBSTITUTE(SUBSTITUTE(SUBSTITUTE(SUBSTITUTE(INDEX(PASTE_ALL,$DF710,$L$18)," "," "),CHAR(9)," "),CHAR(10)," "),CHAR(13)," ")))="TRIAL"),"OT",TRIM(SUBSTITUTE(SUBSTITUTE(SUBSTITUTE(SUBSTITUTE(INDEX(PASTE_ALL,$DF710,$L$18)," "," "),CHAR(9)," "),CHAR(10)," "),CHAR(13)," "))))),"")))</f>
        <v/>
      </c>
      <c r="EC710">
        <f>IF($DM710=0,"",IF($L$19=0,"",IFERROR(IF(ISNUMBER(INDEX(PASTE_ALL,$DF710,$L$19)),INDEX(PASTE_ALL,$DF710,$L$19),TRIM(SUBSTITUTE(SUBSTITUTE(SUBSTITUTE(SUBSTITUTE(INDEX(PASTE_ALL,$DF710,$L$19)," "," "),CHAR(9)," "),CHAR(10)," "),CHAR(13)," "))),"")))</f>
        <v/>
      </c>
      <c r="ED710">
        <f>IF($DM710=0,"",MATCH(1,INDEX(EXACT($DH$5:DH710,$DH710)*$DM$5:DM710,0),0))</f>
        <v/>
      </c>
      <c r="EE710">
        <f>IF($DM710=0,0,IF($ED710=$DE710,1,0))</f>
        <v/>
      </c>
      <c r="EF710">
        <f>EF709+$EE710</f>
        <v/>
      </c>
      <c r="EG710">
        <f>IF($DM710=0,"",INDEX($EF$5:$EF$1003,$ED710))</f>
        <v/>
      </c>
      <c r="EH710">
        <f>IF($DM710=0,"",IF($DO710&lt;&gt;"","",IFERROR(LOOKUP(2,1/(($EG$4:EG709=$EG710)*($DO$4:DO709&lt;&gt;"")),$DO$4:DO709),"")))</f>
        <v/>
      </c>
      <c r="EI710">
        <f>IF($DM710=0,"",IF($DO710&lt;&gt;"",$DO710,$EH710))</f>
        <v/>
      </c>
      <c r="EJ710">
        <f>IF($DM710=0,"",IF($EI710="",0,IF(OR(ISNUMBER($EI710),AND(AND(SUBSTITUTE(SUBSTITUTE(SUBSTITUTE(SUBSTITUTE(SUBSTITUTE(SUBSTITUTE(SUBSTITUTE(SUBSTITUTE(SUBSTITUTE(SUBSTITUTE(SUBSTITUTE(SUBSTITUTE(SUBSTITUTE(SUBSTITUTE(UPPER($EI710),"0",""),"1",""),"2",""),"3",""),"4",""),"5",""),"6",""),"7",""),"8",""),"9",""),".",""),"+",""),"-",""),"E","")="",LEN(SUBSTITUTE(SUBSTITUTE(MID(UPPER($EI710),1+OR(LEFT(UPPER($EI710),1)="+",LEFT(UPPER($EI710),1)="-"),999),"E+","E"),"E-","E"))=LEN(SUBSTITUTE(SUBSTITUTE(SUBSTITUTE(SUBSTITUTE(MID(UPPER($EI710),1+OR(LEFT(UPPER($EI710),1)="+",LEFT(UPPER($EI710),1)="-"),999),"E+","E"),"E-","E"),"+",""),"-","")),LEN(UPPER($EI710))-LEN(SUBSTITUTE(UPPER($EI710),"E",""))&lt;2,LEN(UPPER($EI710))-LEN(SUBSTITUTE(UPPER($EI710),".",""))&lt;2,IFERROR(FIND(".",UPPER($EI710)),0)&lt;IFERROR(FIND("E",UPPER($EI710)),999)),ISNUMBER(VALUE($EI710)))),1,2)))</f>
        <v/>
      </c>
      <c r="EK710">
        <f>IF($DM710=0,"",IF($EJ710=1,IF(ISNUMBER($EI710),$EI710,VALUE($EI710)),IF($EJ710=2,$DE710,0)))</f>
        <v/>
      </c>
      <c r="EL710">
        <f>IF($DM710=0,"",COUNTIF($EG$5:$EG$1003,"&lt;"&amp;$EG710)+SUMPRODUCT(($EG$5:$EG$1003=$EG710)*(($EJ$5:$EJ$1003&lt;$EJ710)+($EJ$5:$EJ$1003=$EJ710)*(($EK$5:$EK$1003&lt;$EK710)+($EK$5:$EK$1003=$EK710)*($DE$5:$DE$1003&lt;$DE710))))+1)</f>
        <v/>
      </c>
      <c r="EM710">
        <f>IF($DM710=0,"",$EL710+$EG710-1)</f>
        <v/>
      </c>
      <c r="EN710">
        <f>IF($DM710=0,0,IFERROR(MATCH(1,INDEX(--(TRIM(SUBSTITUTE(SUBSTITUTE(SUBSTITUTE(SUBSTITUTE(LINES_NAME&amp;""," "," "),CHAR(9)," "),CHAR(10)," "),CHAR(13)," "))=$DH710),0),0),0))</f>
        <v/>
      </c>
      <c r="EO710">
        <f>IF($EN710=0,0,IF(OR(UPPER(TRIM(INDEX(LINES_SCHEDULED,$EN710)&amp;""))="YES",UPPER(TRIM(INDEX(LINES_SCHEDULED,$EN710)&amp;""))="Y",UPPER(TRIM(INDEX(LINES_SCHEDULED,$EN710)&amp;""))="X"),1,0))</f>
        <v/>
      </c>
      <c r="EP710">
        <f>IF($DM710=0,"",IF(COUNTIFS($EG$5:$EG$1003,$EG710,$EB$5:$EB$1003,"Ready")&gt;0,"READY",IF(COUNTIFS($EG$5:$EG$1003,$EG710,$EB$5:$EB$1003,"PM")&gt;0,"PM",IF(COUNTIFS($EG$5:$EG$1003,$EG710,$EB$5:$EB$1003,"OT")&gt;0,"OT",""))))</f>
        <v/>
      </c>
      <c r="EQ710">
        <f>IF($EN710=0,"",UPPER(TRIM(INDEX(LINES_STATUS,$EN710)&amp;"")))</f>
        <v/>
      </c>
      <c r="ER710">
        <f>IF($DM710=0,"",IF(OR($EQ710="READY",$EQ710="PM",$EQ710="OT"),$EQ710,$EP710))</f>
        <v/>
      </c>
      <c r="ES710">
        <f>IF($DM710=0,"",IF(AND($DV710&lt;&gt;"",UPPER($DV710)&lt;&gt;"N"),"allergen",IF(ISNUMBER(SEARCH("oil",$DQ710)),"oil",IF(OR(EXACT($DS710,"A662"),EXACT($DS710,"A624")),"bulk",""))))</f>
        <v/>
      </c>
      <c r="ET710">
        <f>IF($DM710=0,"",IF(OR($EA710="",$EA710=0),"",$EA710/100))</f>
        <v/>
      </c>
      <c r="EU710">
        <f>IF(OR($ET710="",$DY710=""),"",INT($DY710*(1-$ET710)+0.5))</f>
        <v/>
      </c>
    </row>
    <row r="711">
      <c r="DA711" t="n">
        <v>707</v>
      </c>
      <c r="DB711">
        <f>IF($B$37=0,"",IFERROR(TRIM(SUBSTITUTE(SUBSTITUTE(SUBSTITUTE(SUBSTITUTE(INDEX(PASTE_ALL,707,$B$37)," "," "),CHAR(9)," "),CHAR(10)," "),CHAR(13)," ")),""))</f>
        <v/>
      </c>
      <c r="DC711">
        <f>IF(AND(707&gt;HEADER_ROW,UPPER(DB711)="LEGEND"),1,0)</f>
        <v/>
      </c>
      <c r="DE711" t="n">
        <v>707</v>
      </c>
      <c r="DF711">
        <f>HEADER_ROW+$DE711</f>
        <v/>
      </c>
      <c r="DG711">
        <f>IF(AND($DF711&lt;=1000,$DF711&lt;$B$8),1,0)</f>
        <v/>
      </c>
      <c r="DH711">
        <f>IF($DG711=1,IFERROR(INDEX($DB$5:$DB$1004,$DF711),""),"")</f>
        <v/>
      </c>
      <c r="DI711">
        <f>IF(AND($DG711=1,$DH711&lt;&gt;""),IFERROR(SUBSTITUTE(SUBSTITUTE(TRIM(SUBSTITUTE(SUBSTITUTE(SUBSTITUTE(SUBSTITUTE(IFERROR(INDEX(PASTE_ALL,$DF711,1)&amp;"","")&amp;"␟"&amp;IFERROR(INDEX(PASTE_ALL,$DF711,2)&amp;"","")&amp;"␟"&amp;IFERROR(INDEX(PASTE_ALL,$DF711,3)&amp;"","")&amp;"␟"&amp;IFERROR(INDEX(PASTE_ALL,$DF711,4)&amp;"","")&amp;"␟"&amp;IFERROR(INDEX(PASTE_ALL,$DF711,5)&amp;"","")&amp;"␟"&amp;IFERROR(INDEX(PASTE_ALL,$DF711,6)&amp;"","")&amp;"␟"&amp;IFERROR(INDEX(PASTE_ALL,$DF711,7)&amp;"","")&amp;"␟"&amp;IFERROR(INDEX(PASTE_ALL,$DF711,8)&amp;"","")&amp;"␟"&amp;IFERROR(INDEX(PASTE_ALL,$DF711,9)&amp;"","")&amp;"␟"&amp;IFERROR(INDEX(PASTE_ALL,$DF711,10)&amp;"","")&amp;"␟"&amp;IFERROR(INDEX(PASTE_ALL,$DF711,11)&amp;"","")&amp;"␟"&amp;IFERROR(INDEX(PASTE_ALL,$DF711,12)&amp;"","")&amp;"␟"&amp;IFERROR(INDEX(PASTE_ALL,$DF711,13)&amp;"","")&amp;"␟"&amp;IFERROR(INDEX(PASTE_ALL,$DF711,14)&amp;"","")&amp;"␟"&amp;IFERROR(INDEX(PASTE_ALL,$DF711,15)&amp;"","")&amp;"␟"&amp;IFERROR(INDEX(PASTE_ALL,$DF711,16)&amp;"","")&amp;"␟"&amp;IFERROR(INDEX(PASTE_ALL,$DF711,17)&amp;"","")&amp;"␟"&amp;IFERROR(INDEX(PASTE_ALL,$DF711,18)&amp;"","")&amp;"␟"&amp;IFERROR(INDEX(PASTE_ALL,$DF711,19)&amp;"","")&amp;"␟"&amp;IFERROR(INDEX(PASTE_ALL,$DF711,20)&amp;"","")&amp;"␟"&amp;IFERROR(INDEX(PASTE_ALL,$DF711,21)&amp;"","")&amp;"␟"&amp;IFERROR(INDEX(PASTE_ALL,$DF711,22)&amp;"","")&amp;"␟"&amp;IFERROR(INDEX(PASTE_ALL,$DF711,23)&amp;"","")&amp;"␟"&amp;IFERROR(INDEX(PASTE_ALL,$DF711,24)&amp;"","")&amp;"␟"&amp;IFERROR(INDEX(PASTE_ALL,$DF711,25)&amp;"","")&amp;"␟"&amp;IFERROR(INDEX(PASTE_ALL,$DF711,26)&amp;"","")&amp;"␟"&amp;IFERROR(INDEX(PASTE_ALL,$DF711,27)&amp;"","")&amp;"␟"&amp;IFERROR(INDEX(PASTE_ALL,$DF711,28)&amp;"","")&amp;"␟"&amp;IFERROR(INDEX(PASTE_ALL,$DF711,29)&amp;"","")&amp;"␟"&amp;IFERROR(INDEX(PASTE_ALL,$DF711,30)&amp;"","")&amp;"␟"&amp;IFERROR(INDEX(PASTE_ALL,$DF711,31)&amp;"","")&amp;"␟"&amp;IFERROR(INDEX(PASTE_ALL,$DF711,32)&amp;"","")&amp;"␟"&amp;IFERROR(INDEX(PASTE_ALL,$DF711,33)&amp;"","")&amp;"␟"&amp;IFERROR(INDEX(PASTE_ALL,$DF711,34)&amp;"","")&amp;"␟"&amp;IFERROR(INDEX(PASTE_ALL,$DF711,35)&amp;"","")&amp;"␟"&amp;IFERROR(INDEX(PASTE_ALL,$DF711,36)&amp;"","")&amp;"␟"&amp;IFERROR(INDEX(PASTE_ALL,$DF711,37)&amp;"","")&amp;"␟"&amp;IFERROR(INDEX(PASTE_ALL,$DF711,38)&amp;"","")&amp;"␟"&amp;IFERROR(INDEX(PASTE_ALL,$DF711,39)&amp;"","")&amp;"␟"&amp;IFERROR(INDEX(PASTE_ALL,$DF711,40)&amp;"","")&amp;"␟"&amp;IFERROR(INDEX(PASTE_ALL,$DF711,41)&amp;"","")&amp;"␟"&amp;IFERROR(INDEX(PASTE_ALL,$DF711,42)&amp;"","")&amp;"␟"&amp;IFERROR(INDEX(PASTE_ALL,$DF711,43)&amp;"","")&amp;"␟"&amp;IFERROR(INDEX(PASTE_ALL,$DF711,44)&amp;"","")&amp;"␟"&amp;IFERROR(INDEX(PASTE_ALL,$DF711,45)&amp;"","")&amp;"␟"&amp;IFERROR(INDEX(PASTE_ALL,$DF711,46)&amp;"","")&amp;"␟"&amp;IFERROR(INDEX(PASTE_ALL,$DF711,47)&amp;"","")&amp;"␟"&amp;IFERROR(INDEX(PASTE_ALL,$DF711,48)&amp;"","")&amp;"␟"&amp;IFERROR(INDEX(PASTE_ALL,$DF711,49)&amp;"","")&amp;"␟"&amp;IFERROR(INDEX(PASTE_ALL,$DF711,50)&amp;"","")&amp;"␟"&amp;IFERROR(INDEX(PASTE_ALL,$DF711,51)&amp;"","")&amp;"␟"&amp;IFERROR(INDEX(PASTE_ALL,$DF711,52)&amp;"","")&amp;"␟"&amp;IFERROR(INDEX(PASTE_ALL,$DF711,53)&amp;"","")&amp;"␟"&amp;IFERROR(INDEX(PASTE_ALL,$DF711,54)&amp;"","")&amp;"␟"&amp;IFERROR(INDEX(PASTE_ALL,$DF711,55)&amp;"","")&amp;"␟"&amp;IFERROR(INDEX(PASTE_ALL,$DF711,56)&amp;"","")&amp;"␟"&amp;IFERROR(INDEX(PASTE_ALL,$DF711,57)&amp;"","")&amp;"␟"&amp;IFERROR(INDEX(PASTE_ALL,$DF711,58)&amp;"","")&amp;"␟"&amp;IFERROR(INDEX(PASTE_ALL,$DF711,59)&amp;"","")&amp;"␟"&amp;IFERROR(INDEX(PASTE_ALL,$DF711,60)&amp;"","")," "," "),CHAR(9)," "),CHAR(10)," "),CHAR(13)," "))," ␟","␟"),"␟ ","␟"),"#"&amp;$DE711),"")</f>
        <v/>
      </c>
      <c r="DJ711">
        <f>IF($DI711="",0,IF(SUMPRODUCT(--EXACT($DI$4:DI710,$DI711))&gt;0,1,0))</f>
        <v/>
      </c>
      <c r="DK711">
        <f>IF(AND($DI711&lt;&gt;"",$DJ711=0),1,0)</f>
        <v/>
      </c>
      <c r="DL711">
        <f>DL710+$DK711</f>
        <v/>
      </c>
      <c r="DM711">
        <f>IF(AND($DK711=1,$DL711&lt;=600),1,0)</f>
        <v/>
      </c>
      <c r="DN711">
        <f>IF($DM711=0,"",IF($L$6=0,"",IFERROR(IF(ISNUMBER(INDEX(PASTE_ALL,$DF711,$L$6)),INDEX(PASTE_ALL,$DF711,$L$6),TRIM(SUBSTITUTE(SUBSTITUTE(SUBSTITUTE(SUBSTITUTE(INDEX(PASTE_ALL,$DF711,$L$6)," "," "),CHAR(9)," "),CHAR(10)," "),CHAR(13)," "))),"")))</f>
        <v/>
      </c>
      <c r="DO711">
        <f>IF($DM711=0,"",IF($L$7=0,"",IFERROR(IF(ISNUMBER(INDEX(PASTE_ALL,$DF711,$L$7)),INDEX(PASTE_ALL,$DF711,$L$7),TRIM(SUBSTITUTE(SUBSTITUTE(SUBSTITUTE(SUBSTITUTE(INDEX(PASTE_ALL,$DF711,$L$7)," "," "),CHAR(9)," "),CHAR(10)," "),CHAR(13)," "))),"")))</f>
        <v/>
      </c>
      <c r="DP711">
        <f>IF($DM711=0,"",IF($L$8=0,"",IFERROR(IF(ISNUMBER(INDEX(PASTE_ALL,$DF711,$L$8)),INDEX(PASTE_ALL,$DF711,$L$8),TRIM(SUBSTITUTE(SUBSTITUTE(SUBSTITUTE(SUBSTITUTE(INDEX(PASTE_ALL,$DF711,$L$8)," "," "),CHAR(9)," "),CHAR(10)," "),CHAR(13)," "))),"")))</f>
        <v/>
      </c>
      <c r="DQ711">
        <f>IF($DM711=0,"",IF($L$9=0,"",IFERROR(IF(ISNUMBER(INDEX(PASTE_ALL,$DF711,$L$9)),INDEX(PASTE_ALL,$DF711,$L$9),TRIM(SUBSTITUTE(SUBSTITUTE(SUBSTITUTE(SUBSTITUTE(INDEX(PASTE_ALL,$DF711,$L$9)," "," "),CHAR(9)," "),CHAR(10)," "),CHAR(13)," "))),"")))</f>
        <v/>
      </c>
      <c r="DR711">
        <f>IF($DM711=0,"",IF($L$10=0,"",IFERROR(IF(ISNUMBER(INDEX(PASTE_ALL,$DF711,$L$10)),INDEX(PASTE_ALL,$DF711,$L$10),TRIM(SUBSTITUTE(SUBSTITUTE(SUBSTITUTE(SUBSTITUTE(INDEX(PASTE_ALL,$DF711,$L$10)," "," "),CHAR(9)," "),CHAR(10)," "),CHAR(13)," "))),"")))</f>
        <v/>
      </c>
      <c r="DS711">
        <f>IF($DM711=0,"",IF($L$11=0,"",IFERROR(IF(ISNUMBER(INDEX(PASTE_ALL,$DF711,$L$11)),INDEX(PASTE_ALL,$DF711,$L$11),TRIM(SUBSTITUTE(SUBSTITUTE(SUBSTITUTE(SUBSTITUTE(INDEX(PASTE_ALL,$DF711,$L$11)," "," "),CHAR(9)," "),CHAR(10)," "),CHAR(13)," "))),"")))</f>
        <v/>
      </c>
      <c r="DT711">
        <f>IF($DM711=0,"",IF($L$12=0,"",IFERROR(IF(ISNUMBER(INDEX(PASTE_ALL,$DF711,$L$12)),INDEX(PASTE_ALL,$DF711,$L$12),TRIM(SUBSTITUTE(SUBSTITUTE(SUBSTITUTE(SUBSTITUTE(INDEX(PASTE_ALL,$DF711,$L$12)," "," "),CHAR(9)," "),CHAR(10)," "),CHAR(13)," "))),"")))</f>
        <v/>
      </c>
      <c r="DU711">
        <f>IF($DM711=0,"",IF($L$13=0,"",IFERROR(IF(ISNUMBER(INDEX(PASTE_ALL,$DF711,$L$13)),INDEX(PASTE_ALL,$DF711,$L$13),TRIM(SUBSTITUTE(SUBSTITUTE(SUBSTITUTE(SUBSTITUTE(INDEX(PASTE_ALL,$DF711,$L$13)," "," "),CHAR(9)," "),CHAR(10)," "),CHAR(13)," "))),"")))</f>
        <v/>
      </c>
      <c r="DV711">
        <f>IF($DM711=0,"",IF($L$14=0,"",IFERROR(IF(ISNUMBER(INDEX(PASTE_ALL,$DF711,$L$14)),INDEX(PASTE_ALL,$DF711,$L$14),TRIM(SUBSTITUTE(SUBSTITUTE(SUBSTITUTE(SUBSTITUTE(INDEX(PASTE_ALL,$DF711,$L$14)," "," "),CHAR(9)," "),CHAR(10)," "),CHAR(13)," "))),"")))</f>
        <v/>
      </c>
      <c r="DW711">
        <f>IF($DM711=0,"",IF($L$15=0,"",IFERROR(IF(ISNUMBER(INDEX(PASTE_ALL,$DF711,$L$15)),INDEX(PASTE_ALL,$DF711,$L$15),IF(SUMPRODUCT(--ISNUMBER(FIND({"A","B","C","D","E","F","G","H","I","J","K","L","M","N","O","P","Q","R","S","T","U","V","W","X","Y","Z","0","1","2","3","4","5","6","7","8","9"},UPPER(TRIM(SUBSTITUTE(SUBSTITUTE(SUBSTITUTE(SUBSTITUTE(INDEX(PASTE_ALL,$DF711,$L$15)," "," "),CHAR(9)," "),CHAR(10)," "),CHAR(13)," "))))))&gt;0,TRIM(SUBSTITUTE(SUBSTITUTE(SUBSTITUTE(SUBSTITUTE(INDEX(PASTE_ALL,$DF711,$L$15)," "," "),CHAR(9)," "),CHAR(10)," "),CHAR(13)," ")),"")),"")))</f>
        <v/>
      </c>
      <c r="DX711">
        <f>IF($DM711=0,"",IF($L$16=0,"",IFERROR(IF(ISNUMBER(INDEX(PASTE_ALL,$DF711,$L$16)),INDEX(PASTE_ALL,$DF711,$L$16),SUBSTITUTE(SUBSTITUTE(TRIM(SUBSTITUTE(SUBSTITUTE(SUBSTITUTE(SUBSTITUTE(INDEX(PASTE_ALL,$DF711,$L$16)," "," "),CHAR(9)," "),CHAR(10)," "),CHAR(13)," ")),",",""),"%","")),"")))</f>
        <v/>
      </c>
      <c r="DY711">
        <f>IF($DM711=0,"",IFERROR(IF(ISNUMBER($DX711),$DX711,IF($DX711="","",IF(TRIM($DX711)="",0,IF(AND(AND(SUBSTITUTE(SUBSTITUTE(SUBSTITUTE(SUBSTITUTE(SUBSTITUTE(SUBSTITUTE(SUBSTITUTE(SUBSTITUTE(SUBSTITUTE(SUBSTITUTE(SUBSTITUTE(SUBSTITUTE(SUBSTITUTE(SUBSTITUTE(UPPER(TRIM($DX711)),"0",""),"1",""),"2",""),"3",""),"4",""),"5",""),"6",""),"7",""),"8",""),"9",""),".",""),"+",""),"-",""),"E","")="",LEN(SUBSTITUTE(SUBSTITUTE(MID(UPPER(TRIM($DX711)),1+OR(LEFT(UPPER(TRIM($DX711)),1)="+",LEFT(UPPER(TRIM($DX711)),1)="-"),999),"E+","E"),"E-","E"))=LEN(SUBSTITUTE(SUBSTITUTE(SUBSTITUTE(SUBSTITUTE(MID(UPPER(TRIM($DX711)),1+OR(LEFT(UPPER(TRIM($DX711)),1)="+",LEFT(UPPER(TRIM($DX711)),1)="-"),999),"E+","E"),"E-","E"),"+",""),"-","")),LEN(UPPER(TRIM($DX711)))-LEN(SUBSTITUTE(UPPER(TRIM($DX711)),"E",""))&lt;2,LEN(UPPER(TRIM($DX711)))-LEN(SUBSTITUTE(UPPER(TRIM($DX711)),".",""))&lt;2,IFERROR(FIND(".",UPPER(TRIM($DX711))),0)&lt;IFERROR(FIND("E",UPPER(TRIM($DX711))),999)),ISNUMBER(VALUE(TRIM($DX711)))),VALUE(TRIM($DX711)),"")))),""))</f>
        <v/>
      </c>
      <c r="DZ711">
        <f>IF($DM711=0,"",IF($L$17=0,"",IFERROR(IF(ISNUMBER(INDEX(PASTE_ALL,$DF711,$L$17)),INDEX(PASTE_ALL,$DF711,$L$17),SUBSTITUTE(SUBSTITUTE(TRIM(SUBSTITUTE(SUBSTITUTE(SUBSTITUTE(SUBSTITUTE(INDEX(PASTE_ALL,$DF711,$L$17)," "," "),CHAR(9)," "),CHAR(10)," "),CHAR(13)," ")),",",""),"%","")),"")))</f>
        <v/>
      </c>
      <c r="EA711">
        <f>IF($DM711=0,"",IFERROR(IF(ISNUMBER($DZ711),$DZ711,IF($DZ711="","",IF(TRIM($DZ711)="",0,IF(AND(AND(SUBSTITUTE(SUBSTITUTE(SUBSTITUTE(SUBSTITUTE(SUBSTITUTE(SUBSTITUTE(SUBSTITUTE(SUBSTITUTE(SUBSTITUTE(SUBSTITUTE(SUBSTITUTE(SUBSTITUTE(SUBSTITUTE(SUBSTITUTE(UPPER(TRIM($DZ711)),"0",""),"1",""),"2",""),"3",""),"4",""),"5",""),"6",""),"7",""),"8",""),"9",""),".",""),"+",""),"-",""),"E","")="",LEN(SUBSTITUTE(SUBSTITUTE(MID(UPPER(TRIM($DZ711)),1+OR(LEFT(UPPER(TRIM($DZ711)),1)="+",LEFT(UPPER(TRIM($DZ711)),1)="-"),999),"E+","E"),"E-","E"))=LEN(SUBSTITUTE(SUBSTITUTE(SUBSTITUTE(SUBSTITUTE(MID(UPPER(TRIM($DZ711)),1+OR(LEFT(UPPER(TRIM($DZ711)),1)="+",LEFT(UPPER(TRIM($DZ711)),1)="-"),999),"E+","E"),"E-","E"),"+",""),"-","")),LEN(UPPER(TRIM($DZ711)))-LEN(SUBSTITUTE(UPPER(TRIM($DZ711)),"E",""))&lt;2,LEN(UPPER(TRIM($DZ711)))-LEN(SUBSTITUTE(UPPER(TRIM($DZ711)),".",""))&lt;2,IFERROR(FIND(".",UPPER(TRIM($DZ711))),0)&lt;IFERROR(FIND("E",UPPER(TRIM($DZ711))),999)),ISNUMBER(VALUE(TRIM($DZ711)))),VALUE(TRIM($DZ711)),"")))),""))</f>
        <v/>
      </c>
      <c r="EB711">
        <f>IF($DM711=0,"",IF($L$18=0,"",IFERROR(IF(UPPER(TRIM(SUBSTITUTE(SUBSTITUTE(SUBSTITUTE(SUBSTITUTE(INDEX(PASTE_ALL,$DF711,$L$18)," "," "),CHAR(9)," "),CHAR(10)," "),CHAR(13)," ")))="READY","Ready",IF(UPPER(TRIM(SUBSTITUTE(SUBSTITUTE(SUBSTITUTE(SUBSTITUTE(INDEX(PASTE_ALL,$DF711,$L$18)," "," "),CHAR(9)," "),CHAR(10)," "),CHAR(13)," ")))="PM","PM",IF(OR(UPPER(TRIM(SUBSTITUTE(SUBSTITUTE(SUBSTITUTE(SUBSTITUTE(INDEX(PASTE_ALL,$DF711,$L$18)," "," "),CHAR(9)," "),CHAR(10)," "),CHAR(13)," ")))="OT",UPPER(TRIM(SUBSTITUTE(SUBSTITUTE(SUBSTITUTE(SUBSTITUTE(INDEX(PASTE_ALL,$DF711,$L$18)," "," "),CHAR(9)," "),CHAR(10)," "),CHAR(13)," ")))="OVERTIME",UPPER(TRIM(SUBSTITUTE(SUBSTITUTE(SUBSTITUTE(SUBSTITUTE(INDEX(PASTE_ALL,$DF711,$L$18)," "," "),CHAR(9)," "),CHAR(10)," "),CHAR(13)," ")))="TRIAL"),"OT",TRIM(SUBSTITUTE(SUBSTITUTE(SUBSTITUTE(SUBSTITUTE(INDEX(PASTE_ALL,$DF711,$L$18)," "," "),CHAR(9)," "),CHAR(10)," "),CHAR(13)," "))))),"")))</f>
        <v/>
      </c>
      <c r="EC711">
        <f>IF($DM711=0,"",IF($L$19=0,"",IFERROR(IF(ISNUMBER(INDEX(PASTE_ALL,$DF711,$L$19)),INDEX(PASTE_ALL,$DF711,$L$19),TRIM(SUBSTITUTE(SUBSTITUTE(SUBSTITUTE(SUBSTITUTE(INDEX(PASTE_ALL,$DF711,$L$19)," "," "),CHAR(9)," "),CHAR(10)," "),CHAR(13)," "))),"")))</f>
        <v/>
      </c>
      <c r="ED711">
        <f>IF($DM711=0,"",MATCH(1,INDEX(EXACT($DH$5:DH711,$DH711)*$DM$5:DM711,0),0))</f>
        <v/>
      </c>
      <c r="EE711">
        <f>IF($DM711=0,0,IF($ED711=$DE711,1,0))</f>
        <v/>
      </c>
      <c r="EF711">
        <f>EF710+$EE711</f>
        <v/>
      </c>
      <c r="EG711">
        <f>IF($DM711=0,"",INDEX($EF$5:$EF$1003,$ED711))</f>
        <v/>
      </c>
      <c r="EH711">
        <f>IF($DM711=0,"",IF($DO711&lt;&gt;"","",IFERROR(LOOKUP(2,1/(($EG$4:EG710=$EG711)*($DO$4:DO710&lt;&gt;"")),$DO$4:DO710),"")))</f>
        <v/>
      </c>
      <c r="EI711">
        <f>IF($DM711=0,"",IF($DO711&lt;&gt;"",$DO711,$EH711))</f>
        <v/>
      </c>
      <c r="EJ711">
        <f>IF($DM711=0,"",IF($EI711="",0,IF(OR(ISNUMBER($EI711),AND(AND(SUBSTITUTE(SUBSTITUTE(SUBSTITUTE(SUBSTITUTE(SUBSTITUTE(SUBSTITUTE(SUBSTITUTE(SUBSTITUTE(SUBSTITUTE(SUBSTITUTE(SUBSTITUTE(SUBSTITUTE(SUBSTITUTE(SUBSTITUTE(UPPER($EI711),"0",""),"1",""),"2",""),"3",""),"4",""),"5",""),"6",""),"7",""),"8",""),"9",""),".",""),"+",""),"-",""),"E","")="",LEN(SUBSTITUTE(SUBSTITUTE(MID(UPPER($EI711),1+OR(LEFT(UPPER($EI711),1)="+",LEFT(UPPER($EI711),1)="-"),999),"E+","E"),"E-","E"))=LEN(SUBSTITUTE(SUBSTITUTE(SUBSTITUTE(SUBSTITUTE(MID(UPPER($EI711),1+OR(LEFT(UPPER($EI711),1)="+",LEFT(UPPER($EI711),1)="-"),999),"E+","E"),"E-","E"),"+",""),"-","")),LEN(UPPER($EI711))-LEN(SUBSTITUTE(UPPER($EI711),"E",""))&lt;2,LEN(UPPER($EI711))-LEN(SUBSTITUTE(UPPER($EI711),".",""))&lt;2,IFERROR(FIND(".",UPPER($EI711)),0)&lt;IFERROR(FIND("E",UPPER($EI711)),999)),ISNUMBER(VALUE($EI711)))),1,2)))</f>
        <v/>
      </c>
      <c r="EK711">
        <f>IF($DM711=0,"",IF($EJ711=1,IF(ISNUMBER($EI711),$EI711,VALUE($EI711)),IF($EJ711=2,$DE711,0)))</f>
        <v/>
      </c>
      <c r="EL711">
        <f>IF($DM711=0,"",COUNTIF($EG$5:$EG$1003,"&lt;"&amp;$EG711)+SUMPRODUCT(($EG$5:$EG$1003=$EG711)*(($EJ$5:$EJ$1003&lt;$EJ711)+($EJ$5:$EJ$1003=$EJ711)*(($EK$5:$EK$1003&lt;$EK711)+($EK$5:$EK$1003=$EK711)*($DE$5:$DE$1003&lt;$DE711))))+1)</f>
        <v/>
      </c>
      <c r="EM711">
        <f>IF($DM711=0,"",$EL711+$EG711-1)</f>
        <v/>
      </c>
      <c r="EN711">
        <f>IF($DM711=0,0,IFERROR(MATCH(1,INDEX(--(TRIM(SUBSTITUTE(SUBSTITUTE(SUBSTITUTE(SUBSTITUTE(LINES_NAME&amp;""," "," "),CHAR(9)," "),CHAR(10)," "),CHAR(13)," "))=$DH711),0),0),0))</f>
        <v/>
      </c>
      <c r="EO711">
        <f>IF($EN711=0,0,IF(OR(UPPER(TRIM(INDEX(LINES_SCHEDULED,$EN711)&amp;""))="YES",UPPER(TRIM(INDEX(LINES_SCHEDULED,$EN711)&amp;""))="Y",UPPER(TRIM(INDEX(LINES_SCHEDULED,$EN711)&amp;""))="X"),1,0))</f>
        <v/>
      </c>
      <c r="EP711">
        <f>IF($DM711=0,"",IF(COUNTIFS($EG$5:$EG$1003,$EG711,$EB$5:$EB$1003,"Ready")&gt;0,"READY",IF(COUNTIFS($EG$5:$EG$1003,$EG711,$EB$5:$EB$1003,"PM")&gt;0,"PM",IF(COUNTIFS($EG$5:$EG$1003,$EG711,$EB$5:$EB$1003,"OT")&gt;0,"OT",""))))</f>
        <v/>
      </c>
      <c r="EQ711">
        <f>IF($EN711=0,"",UPPER(TRIM(INDEX(LINES_STATUS,$EN711)&amp;"")))</f>
        <v/>
      </c>
      <c r="ER711">
        <f>IF($DM711=0,"",IF(OR($EQ711="READY",$EQ711="PM",$EQ711="OT"),$EQ711,$EP711))</f>
        <v/>
      </c>
      <c r="ES711">
        <f>IF($DM711=0,"",IF(AND($DV711&lt;&gt;"",UPPER($DV711)&lt;&gt;"N"),"allergen",IF(ISNUMBER(SEARCH("oil",$DQ711)),"oil",IF(OR(EXACT($DS711,"A662"),EXACT($DS711,"A624")),"bulk",""))))</f>
        <v/>
      </c>
      <c r="ET711">
        <f>IF($DM711=0,"",IF(OR($EA711="",$EA711=0),"",$EA711/100))</f>
        <v/>
      </c>
      <c r="EU711">
        <f>IF(OR($ET711="",$DY711=""),"",INT($DY711*(1-$ET711)+0.5))</f>
        <v/>
      </c>
    </row>
    <row r="712">
      <c r="DA712" t="n">
        <v>708</v>
      </c>
      <c r="DB712">
        <f>IF($B$37=0,"",IFERROR(TRIM(SUBSTITUTE(SUBSTITUTE(SUBSTITUTE(SUBSTITUTE(INDEX(PASTE_ALL,708,$B$37)," "," "),CHAR(9)," "),CHAR(10)," "),CHAR(13)," ")),""))</f>
        <v/>
      </c>
      <c r="DC712">
        <f>IF(AND(708&gt;HEADER_ROW,UPPER(DB712)="LEGEND"),1,0)</f>
        <v/>
      </c>
      <c r="DE712" t="n">
        <v>708</v>
      </c>
      <c r="DF712">
        <f>HEADER_ROW+$DE712</f>
        <v/>
      </c>
      <c r="DG712">
        <f>IF(AND($DF712&lt;=1000,$DF712&lt;$B$8),1,0)</f>
        <v/>
      </c>
      <c r="DH712">
        <f>IF($DG712=1,IFERROR(INDEX($DB$5:$DB$1004,$DF712),""),"")</f>
        <v/>
      </c>
      <c r="DI712">
        <f>IF(AND($DG712=1,$DH712&lt;&gt;""),IFERROR(SUBSTITUTE(SUBSTITUTE(TRIM(SUBSTITUTE(SUBSTITUTE(SUBSTITUTE(SUBSTITUTE(IFERROR(INDEX(PASTE_ALL,$DF712,1)&amp;"","")&amp;"␟"&amp;IFERROR(INDEX(PASTE_ALL,$DF712,2)&amp;"","")&amp;"␟"&amp;IFERROR(INDEX(PASTE_ALL,$DF712,3)&amp;"","")&amp;"␟"&amp;IFERROR(INDEX(PASTE_ALL,$DF712,4)&amp;"","")&amp;"␟"&amp;IFERROR(INDEX(PASTE_ALL,$DF712,5)&amp;"","")&amp;"␟"&amp;IFERROR(INDEX(PASTE_ALL,$DF712,6)&amp;"","")&amp;"␟"&amp;IFERROR(INDEX(PASTE_ALL,$DF712,7)&amp;"","")&amp;"␟"&amp;IFERROR(INDEX(PASTE_ALL,$DF712,8)&amp;"","")&amp;"␟"&amp;IFERROR(INDEX(PASTE_ALL,$DF712,9)&amp;"","")&amp;"␟"&amp;IFERROR(INDEX(PASTE_ALL,$DF712,10)&amp;"","")&amp;"␟"&amp;IFERROR(INDEX(PASTE_ALL,$DF712,11)&amp;"","")&amp;"␟"&amp;IFERROR(INDEX(PASTE_ALL,$DF712,12)&amp;"","")&amp;"␟"&amp;IFERROR(INDEX(PASTE_ALL,$DF712,13)&amp;"","")&amp;"␟"&amp;IFERROR(INDEX(PASTE_ALL,$DF712,14)&amp;"","")&amp;"␟"&amp;IFERROR(INDEX(PASTE_ALL,$DF712,15)&amp;"","")&amp;"␟"&amp;IFERROR(INDEX(PASTE_ALL,$DF712,16)&amp;"","")&amp;"␟"&amp;IFERROR(INDEX(PASTE_ALL,$DF712,17)&amp;"","")&amp;"␟"&amp;IFERROR(INDEX(PASTE_ALL,$DF712,18)&amp;"","")&amp;"␟"&amp;IFERROR(INDEX(PASTE_ALL,$DF712,19)&amp;"","")&amp;"␟"&amp;IFERROR(INDEX(PASTE_ALL,$DF712,20)&amp;"","")&amp;"␟"&amp;IFERROR(INDEX(PASTE_ALL,$DF712,21)&amp;"","")&amp;"␟"&amp;IFERROR(INDEX(PASTE_ALL,$DF712,22)&amp;"","")&amp;"␟"&amp;IFERROR(INDEX(PASTE_ALL,$DF712,23)&amp;"","")&amp;"␟"&amp;IFERROR(INDEX(PASTE_ALL,$DF712,24)&amp;"","")&amp;"␟"&amp;IFERROR(INDEX(PASTE_ALL,$DF712,25)&amp;"","")&amp;"␟"&amp;IFERROR(INDEX(PASTE_ALL,$DF712,26)&amp;"","")&amp;"␟"&amp;IFERROR(INDEX(PASTE_ALL,$DF712,27)&amp;"","")&amp;"␟"&amp;IFERROR(INDEX(PASTE_ALL,$DF712,28)&amp;"","")&amp;"␟"&amp;IFERROR(INDEX(PASTE_ALL,$DF712,29)&amp;"","")&amp;"␟"&amp;IFERROR(INDEX(PASTE_ALL,$DF712,30)&amp;"","")&amp;"␟"&amp;IFERROR(INDEX(PASTE_ALL,$DF712,31)&amp;"","")&amp;"␟"&amp;IFERROR(INDEX(PASTE_ALL,$DF712,32)&amp;"","")&amp;"␟"&amp;IFERROR(INDEX(PASTE_ALL,$DF712,33)&amp;"","")&amp;"␟"&amp;IFERROR(INDEX(PASTE_ALL,$DF712,34)&amp;"","")&amp;"␟"&amp;IFERROR(INDEX(PASTE_ALL,$DF712,35)&amp;"","")&amp;"␟"&amp;IFERROR(INDEX(PASTE_ALL,$DF712,36)&amp;"","")&amp;"␟"&amp;IFERROR(INDEX(PASTE_ALL,$DF712,37)&amp;"","")&amp;"␟"&amp;IFERROR(INDEX(PASTE_ALL,$DF712,38)&amp;"","")&amp;"␟"&amp;IFERROR(INDEX(PASTE_ALL,$DF712,39)&amp;"","")&amp;"␟"&amp;IFERROR(INDEX(PASTE_ALL,$DF712,40)&amp;"","")&amp;"␟"&amp;IFERROR(INDEX(PASTE_ALL,$DF712,41)&amp;"","")&amp;"␟"&amp;IFERROR(INDEX(PASTE_ALL,$DF712,42)&amp;"","")&amp;"␟"&amp;IFERROR(INDEX(PASTE_ALL,$DF712,43)&amp;"","")&amp;"␟"&amp;IFERROR(INDEX(PASTE_ALL,$DF712,44)&amp;"","")&amp;"␟"&amp;IFERROR(INDEX(PASTE_ALL,$DF712,45)&amp;"","")&amp;"␟"&amp;IFERROR(INDEX(PASTE_ALL,$DF712,46)&amp;"","")&amp;"␟"&amp;IFERROR(INDEX(PASTE_ALL,$DF712,47)&amp;"","")&amp;"␟"&amp;IFERROR(INDEX(PASTE_ALL,$DF712,48)&amp;"","")&amp;"␟"&amp;IFERROR(INDEX(PASTE_ALL,$DF712,49)&amp;"","")&amp;"␟"&amp;IFERROR(INDEX(PASTE_ALL,$DF712,50)&amp;"","")&amp;"␟"&amp;IFERROR(INDEX(PASTE_ALL,$DF712,51)&amp;"","")&amp;"␟"&amp;IFERROR(INDEX(PASTE_ALL,$DF712,52)&amp;"","")&amp;"␟"&amp;IFERROR(INDEX(PASTE_ALL,$DF712,53)&amp;"","")&amp;"␟"&amp;IFERROR(INDEX(PASTE_ALL,$DF712,54)&amp;"","")&amp;"␟"&amp;IFERROR(INDEX(PASTE_ALL,$DF712,55)&amp;"","")&amp;"␟"&amp;IFERROR(INDEX(PASTE_ALL,$DF712,56)&amp;"","")&amp;"␟"&amp;IFERROR(INDEX(PASTE_ALL,$DF712,57)&amp;"","")&amp;"␟"&amp;IFERROR(INDEX(PASTE_ALL,$DF712,58)&amp;"","")&amp;"␟"&amp;IFERROR(INDEX(PASTE_ALL,$DF712,59)&amp;"","")&amp;"␟"&amp;IFERROR(INDEX(PASTE_ALL,$DF712,60)&amp;"","")," "," "),CHAR(9)," "),CHAR(10)," "),CHAR(13)," "))," ␟","␟"),"␟ ","␟"),"#"&amp;$DE712),"")</f>
        <v/>
      </c>
      <c r="DJ712">
        <f>IF($DI712="",0,IF(SUMPRODUCT(--EXACT($DI$4:DI711,$DI712))&gt;0,1,0))</f>
        <v/>
      </c>
      <c r="DK712">
        <f>IF(AND($DI712&lt;&gt;"",$DJ712=0),1,0)</f>
        <v/>
      </c>
      <c r="DL712">
        <f>DL711+$DK712</f>
        <v/>
      </c>
      <c r="DM712">
        <f>IF(AND($DK712=1,$DL712&lt;=600),1,0)</f>
        <v/>
      </c>
      <c r="DN712">
        <f>IF($DM712=0,"",IF($L$6=0,"",IFERROR(IF(ISNUMBER(INDEX(PASTE_ALL,$DF712,$L$6)),INDEX(PASTE_ALL,$DF712,$L$6),TRIM(SUBSTITUTE(SUBSTITUTE(SUBSTITUTE(SUBSTITUTE(INDEX(PASTE_ALL,$DF712,$L$6)," "," "),CHAR(9)," "),CHAR(10)," "),CHAR(13)," "))),"")))</f>
        <v/>
      </c>
      <c r="DO712">
        <f>IF($DM712=0,"",IF($L$7=0,"",IFERROR(IF(ISNUMBER(INDEX(PASTE_ALL,$DF712,$L$7)),INDEX(PASTE_ALL,$DF712,$L$7),TRIM(SUBSTITUTE(SUBSTITUTE(SUBSTITUTE(SUBSTITUTE(INDEX(PASTE_ALL,$DF712,$L$7)," "," "),CHAR(9)," "),CHAR(10)," "),CHAR(13)," "))),"")))</f>
        <v/>
      </c>
      <c r="DP712">
        <f>IF($DM712=0,"",IF($L$8=0,"",IFERROR(IF(ISNUMBER(INDEX(PASTE_ALL,$DF712,$L$8)),INDEX(PASTE_ALL,$DF712,$L$8),TRIM(SUBSTITUTE(SUBSTITUTE(SUBSTITUTE(SUBSTITUTE(INDEX(PASTE_ALL,$DF712,$L$8)," "," "),CHAR(9)," "),CHAR(10)," "),CHAR(13)," "))),"")))</f>
        <v/>
      </c>
      <c r="DQ712">
        <f>IF($DM712=0,"",IF($L$9=0,"",IFERROR(IF(ISNUMBER(INDEX(PASTE_ALL,$DF712,$L$9)),INDEX(PASTE_ALL,$DF712,$L$9),TRIM(SUBSTITUTE(SUBSTITUTE(SUBSTITUTE(SUBSTITUTE(INDEX(PASTE_ALL,$DF712,$L$9)," "," "),CHAR(9)," "),CHAR(10)," "),CHAR(13)," "))),"")))</f>
        <v/>
      </c>
      <c r="DR712">
        <f>IF($DM712=0,"",IF($L$10=0,"",IFERROR(IF(ISNUMBER(INDEX(PASTE_ALL,$DF712,$L$10)),INDEX(PASTE_ALL,$DF712,$L$10),TRIM(SUBSTITUTE(SUBSTITUTE(SUBSTITUTE(SUBSTITUTE(INDEX(PASTE_ALL,$DF712,$L$10)," "," "),CHAR(9)," "),CHAR(10)," "),CHAR(13)," "))),"")))</f>
        <v/>
      </c>
      <c r="DS712">
        <f>IF($DM712=0,"",IF($L$11=0,"",IFERROR(IF(ISNUMBER(INDEX(PASTE_ALL,$DF712,$L$11)),INDEX(PASTE_ALL,$DF712,$L$11),TRIM(SUBSTITUTE(SUBSTITUTE(SUBSTITUTE(SUBSTITUTE(INDEX(PASTE_ALL,$DF712,$L$11)," "," "),CHAR(9)," "),CHAR(10)," "),CHAR(13)," "))),"")))</f>
        <v/>
      </c>
      <c r="DT712">
        <f>IF($DM712=0,"",IF($L$12=0,"",IFERROR(IF(ISNUMBER(INDEX(PASTE_ALL,$DF712,$L$12)),INDEX(PASTE_ALL,$DF712,$L$12),TRIM(SUBSTITUTE(SUBSTITUTE(SUBSTITUTE(SUBSTITUTE(INDEX(PASTE_ALL,$DF712,$L$12)," "," "),CHAR(9)," "),CHAR(10)," "),CHAR(13)," "))),"")))</f>
        <v/>
      </c>
      <c r="DU712">
        <f>IF($DM712=0,"",IF($L$13=0,"",IFERROR(IF(ISNUMBER(INDEX(PASTE_ALL,$DF712,$L$13)),INDEX(PASTE_ALL,$DF712,$L$13),TRIM(SUBSTITUTE(SUBSTITUTE(SUBSTITUTE(SUBSTITUTE(INDEX(PASTE_ALL,$DF712,$L$13)," "," "),CHAR(9)," "),CHAR(10)," "),CHAR(13)," "))),"")))</f>
        <v/>
      </c>
      <c r="DV712">
        <f>IF($DM712=0,"",IF($L$14=0,"",IFERROR(IF(ISNUMBER(INDEX(PASTE_ALL,$DF712,$L$14)),INDEX(PASTE_ALL,$DF712,$L$14),TRIM(SUBSTITUTE(SUBSTITUTE(SUBSTITUTE(SUBSTITUTE(INDEX(PASTE_ALL,$DF712,$L$14)," "," "),CHAR(9)," "),CHAR(10)," "),CHAR(13)," "))),"")))</f>
        <v/>
      </c>
      <c r="DW712">
        <f>IF($DM712=0,"",IF($L$15=0,"",IFERROR(IF(ISNUMBER(INDEX(PASTE_ALL,$DF712,$L$15)),INDEX(PASTE_ALL,$DF712,$L$15),IF(SUMPRODUCT(--ISNUMBER(FIND({"A","B","C","D","E","F","G","H","I","J","K","L","M","N","O","P","Q","R","S","T","U","V","W","X","Y","Z","0","1","2","3","4","5","6","7","8","9"},UPPER(TRIM(SUBSTITUTE(SUBSTITUTE(SUBSTITUTE(SUBSTITUTE(INDEX(PASTE_ALL,$DF712,$L$15)," "," "),CHAR(9)," "),CHAR(10)," "),CHAR(13)," "))))))&gt;0,TRIM(SUBSTITUTE(SUBSTITUTE(SUBSTITUTE(SUBSTITUTE(INDEX(PASTE_ALL,$DF712,$L$15)," "," "),CHAR(9)," "),CHAR(10)," "),CHAR(13)," ")),"")),"")))</f>
        <v/>
      </c>
      <c r="DX712">
        <f>IF($DM712=0,"",IF($L$16=0,"",IFERROR(IF(ISNUMBER(INDEX(PASTE_ALL,$DF712,$L$16)),INDEX(PASTE_ALL,$DF712,$L$16),SUBSTITUTE(SUBSTITUTE(TRIM(SUBSTITUTE(SUBSTITUTE(SUBSTITUTE(SUBSTITUTE(INDEX(PASTE_ALL,$DF712,$L$16)," "," "),CHAR(9)," "),CHAR(10)," "),CHAR(13)," ")),",",""),"%","")),"")))</f>
        <v/>
      </c>
      <c r="DY712">
        <f>IF($DM712=0,"",IFERROR(IF(ISNUMBER($DX712),$DX712,IF($DX712="","",IF(TRIM($DX712)="",0,IF(AND(AND(SUBSTITUTE(SUBSTITUTE(SUBSTITUTE(SUBSTITUTE(SUBSTITUTE(SUBSTITUTE(SUBSTITUTE(SUBSTITUTE(SUBSTITUTE(SUBSTITUTE(SUBSTITUTE(SUBSTITUTE(SUBSTITUTE(SUBSTITUTE(UPPER(TRIM($DX712)),"0",""),"1",""),"2",""),"3",""),"4",""),"5",""),"6",""),"7",""),"8",""),"9",""),".",""),"+",""),"-",""),"E","")="",LEN(SUBSTITUTE(SUBSTITUTE(MID(UPPER(TRIM($DX712)),1+OR(LEFT(UPPER(TRIM($DX712)),1)="+",LEFT(UPPER(TRIM($DX712)),1)="-"),999),"E+","E"),"E-","E"))=LEN(SUBSTITUTE(SUBSTITUTE(SUBSTITUTE(SUBSTITUTE(MID(UPPER(TRIM($DX712)),1+OR(LEFT(UPPER(TRIM($DX712)),1)="+",LEFT(UPPER(TRIM($DX712)),1)="-"),999),"E+","E"),"E-","E"),"+",""),"-","")),LEN(UPPER(TRIM($DX712)))-LEN(SUBSTITUTE(UPPER(TRIM($DX712)),"E",""))&lt;2,LEN(UPPER(TRIM($DX712)))-LEN(SUBSTITUTE(UPPER(TRIM($DX712)),".",""))&lt;2,IFERROR(FIND(".",UPPER(TRIM($DX712))),0)&lt;IFERROR(FIND("E",UPPER(TRIM($DX712))),999)),ISNUMBER(VALUE(TRIM($DX712)))),VALUE(TRIM($DX712)),"")))),""))</f>
        <v/>
      </c>
      <c r="DZ712">
        <f>IF($DM712=0,"",IF($L$17=0,"",IFERROR(IF(ISNUMBER(INDEX(PASTE_ALL,$DF712,$L$17)),INDEX(PASTE_ALL,$DF712,$L$17),SUBSTITUTE(SUBSTITUTE(TRIM(SUBSTITUTE(SUBSTITUTE(SUBSTITUTE(SUBSTITUTE(INDEX(PASTE_ALL,$DF712,$L$17)," "," "),CHAR(9)," "),CHAR(10)," "),CHAR(13)," ")),",",""),"%","")),"")))</f>
        <v/>
      </c>
      <c r="EA712">
        <f>IF($DM712=0,"",IFERROR(IF(ISNUMBER($DZ712),$DZ712,IF($DZ712="","",IF(TRIM($DZ712)="",0,IF(AND(AND(SUBSTITUTE(SUBSTITUTE(SUBSTITUTE(SUBSTITUTE(SUBSTITUTE(SUBSTITUTE(SUBSTITUTE(SUBSTITUTE(SUBSTITUTE(SUBSTITUTE(SUBSTITUTE(SUBSTITUTE(SUBSTITUTE(SUBSTITUTE(UPPER(TRIM($DZ712)),"0",""),"1",""),"2",""),"3",""),"4",""),"5",""),"6",""),"7",""),"8",""),"9",""),".",""),"+",""),"-",""),"E","")="",LEN(SUBSTITUTE(SUBSTITUTE(MID(UPPER(TRIM($DZ712)),1+OR(LEFT(UPPER(TRIM($DZ712)),1)="+",LEFT(UPPER(TRIM($DZ712)),1)="-"),999),"E+","E"),"E-","E"))=LEN(SUBSTITUTE(SUBSTITUTE(SUBSTITUTE(SUBSTITUTE(MID(UPPER(TRIM($DZ712)),1+OR(LEFT(UPPER(TRIM($DZ712)),1)="+",LEFT(UPPER(TRIM($DZ712)),1)="-"),999),"E+","E"),"E-","E"),"+",""),"-","")),LEN(UPPER(TRIM($DZ712)))-LEN(SUBSTITUTE(UPPER(TRIM($DZ712)),"E",""))&lt;2,LEN(UPPER(TRIM($DZ712)))-LEN(SUBSTITUTE(UPPER(TRIM($DZ712)),".",""))&lt;2,IFERROR(FIND(".",UPPER(TRIM($DZ712))),0)&lt;IFERROR(FIND("E",UPPER(TRIM($DZ712))),999)),ISNUMBER(VALUE(TRIM($DZ712)))),VALUE(TRIM($DZ712)),"")))),""))</f>
        <v/>
      </c>
      <c r="EB712">
        <f>IF($DM712=0,"",IF($L$18=0,"",IFERROR(IF(UPPER(TRIM(SUBSTITUTE(SUBSTITUTE(SUBSTITUTE(SUBSTITUTE(INDEX(PASTE_ALL,$DF712,$L$18)," "," "),CHAR(9)," "),CHAR(10)," "),CHAR(13)," ")))="READY","Ready",IF(UPPER(TRIM(SUBSTITUTE(SUBSTITUTE(SUBSTITUTE(SUBSTITUTE(INDEX(PASTE_ALL,$DF712,$L$18)," "," "),CHAR(9)," "),CHAR(10)," "),CHAR(13)," ")))="PM","PM",IF(OR(UPPER(TRIM(SUBSTITUTE(SUBSTITUTE(SUBSTITUTE(SUBSTITUTE(INDEX(PASTE_ALL,$DF712,$L$18)," "," "),CHAR(9)," "),CHAR(10)," "),CHAR(13)," ")))="OT",UPPER(TRIM(SUBSTITUTE(SUBSTITUTE(SUBSTITUTE(SUBSTITUTE(INDEX(PASTE_ALL,$DF712,$L$18)," "," "),CHAR(9)," "),CHAR(10)," "),CHAR(13)," ")))="OVERTIME",UPPER(TRIM(SUBSTITUTE(SUBSTITUTE(SUBSTITUTE(SUBSTITUTE(INDEX(PASTE_ALL,$DF712,$L$18)," "," "),CHAR(9)," "),CHAR(10)," "),CHAR(13)," ")))="TRIAL"),"OT",TRIM(SUBSTITUTE(SUBSTITUTE(SUBSTITUTE(SUBSTITUTE(INDEX(PASTE_ALL,$DF712,$L$18)," "," "),CHAR(9)," "),CHAR(10)," "),CHAR(13)," "))))),"")))</f>
        <v/>
      </c>
      <c r="EC712">
        <f>IF($DM712=0,"",IF($L$19=0,"",IFERROR(IF(ISNUMBER(INDEX(PASTE_ALL,$DF712,$L$19)),INDEX(PASTE_ALL,$DF712,$L$19),TRIM(SUBSTITUTE(SUBSTITUTE(SUBSTITUTE(SUBSTITUTE(INDEX(PASTE_ALL,$DF712,$L$19)," "," "),CHAR(9)," "),CHAR(10)," "),CHAR(13)," "))),"")))</f>
        <v/>
      </c>
      <c r="ED712">
        <f>IF($DM712=0,"",MATCH(1,INDEX(EXACT($DH$5:DH712,$DH712)*$DM$5:DM712,0),0))</f>
        <v/>
      </c>
      <c r="EE712">
        <f>IF($DM712=0,0,IF($ED712=$DE712,1,0))</f>
        <v/>
      </c>
      <c r="EF712">
        <f>EF711+$EE712</f>
        <v/>
      </c>
      <c r="EG712">
        <f>IF($DM712=0,"",INDEX($EF$5:$EF$1003,$ED712))</f>
        <v/>
      </c>
      <c r="EH712">
        <f>IF($DM712=0,"",IF($DO712&lt;&gt;"","",IFERROR(LOOKUP(2,1/(($EG$4:EG711=$EG712)*($DO$4:DO711&lt;&gt;"")),$DO$4:DO711),"")))</f>
        <v/>
      </c>
      <c r="EI712">
        <f>IF($DM712=0,"",IF($DO712&lt;&gt;"",$DO712,$EH712))</f>
        <v/>
      </c>
      <c r="EJ712">
        <f>IF($DM712=0,"",IF($EI712="",0,IF(OR(ISNUMBER($EI712),AND(AND(SUBSTITUTE(SUBSTITUTE(SUBSTITUTE(SUBSTITUTE(SUBSTITUTE(SUBSTITUTE(SUBSTITUTE(SUBSTITUTE(SUBSTITUTE(SUBSTITUTE(SUBSTITUTE(SUBSTITUTE(SUBSTITUTE(SUBSTITUTE(UPPER($EI712),"0",""),"1",""),"2",""),"3",""),"4",""),"5",""),"6",""),"7",""),"8",""),"9",""),".",""),"+",""),"-",""),"E","")="",LEN(SUBSTITUTE(SUBSTITUTE(MID(UPPER($EI712),1+OR(LEFT(UPPER($EI712),1)="+",LEFT(UPPER($EI712),1)="-"),999),"E+","E"),"E-","E"))=LEN(SUBSTITUTE(SUBSTITUTE(SUBSTITUTE(SUBSTITUTE(MID(UPPER($EI712),1+OR(LEFT(UPPER($EI712),1)="+",LEFT(UPPER($EI712),1)="-"),999),"E+","E"),"E-","E"),"+",""),"-","")),LEN(UPPER($EI712))-LEN(SUBSTITUTE(UPPER($EI712),"E",""))&lt;2,LEN(UPPER($EI712))-LEN(SUBSTITUTE(UPPER($EI712),".",""))&lt;2,IFERROR(FIND(".",UPPER($EI712)),0)&lt;IFERROR(FIND("E",UPPER($EI712)),999)),ISNUMBER(VALUE($EI712)))),1,2)))</f>
        <v/>
      </c>
      <c r="EK712">
        <f>IF($DM712=0,"",IF($EJ712=1,IF(ISNUMBER($EI712),$EI712,VALUE($EI712)),IF($EJ712=2,$DE712,0)))</f>
        <v/>
      </c>
      <c r="EL712">
        <f>IF($DM712=0,"",COUNTIF($EG$5:$EG$1003,"&lt;"&amp;$EG712)+SUMPRODUCT(($EG$5:$EG$1003=$EG712)*(($EJ$5:$EJ$1003&lt;$EJ712)+($EJ$5:$EJ$1003=$EJ712)*(($EK$5:$EK$1003&lt;$EK712)+($EK$5:$EK$1003=$EK712)*($DE$5:$DE$1003&lt;$DE712))))+1)</f>
        <v/>
      </c>
      <c r="EM712">
        <f>IF($DM712=0,"",$EL712+$EG712-1)</f>
        <v/>
      </c>
      <c r="EN712">
        <f>IF($DM712=0,0,IFERROR(MATCH(1,INDEX(--(TRIM(SUBSTITUTE(SUBSTITUTE(SUBSTITUTE(SUBSTITUTE(LINES_NAME&amp;""," "," "),CHAR(9)," "),CHAR(10)," "),CHAR(13)," "))=$DH712),0),0),0))</f>
        <v/>
      </c>
      <c r="EO712">
        <f>IF($EN712=0,0,IF(OR(UPPER(TRIM(INDEX(LINES_SCHEDULED,$EN712)&amp;""))="YES",UPPER(TRIM(INDEX(LINES_SCHEDULED,$EN712)&amp;""))="Y",UPPER(TRIM(INDEX(LINES_SCHEDULED,$EN712)&amp;""))="X"),1,0))</f>
        <v/>
      </c>
      <c r="EP712">
        <f>IF($DM712=0,"",IF(COUNTIFS($EG$5:$EG$1003,$EG712,$EB$5:$EB$1003,"Ready")&gt;0,"READY",IF(COUNTIFS($EG$5:$EG$1003,$EG712,$EB$5:$EB$1003,"PM")&gt;0,"PM",IF(COUNTIFS($EG$5:$EG$1003,$EG712,$EB$5:$EB$1003,"OT")&gt;0,"OT",""))))</f>
        <v/>
      </c>
      <c r="EQ712">
        <f>IF($EN712=0,"",UPPER(TRIM(INDEX(LINES_STATUS,$EN712)&amp;"")))</f>
        <v/>
      </c>
      <c r="ER712">
        <f>IF($DM712=0,"",IF(OR($EQ712="READY",$EQ712="PM",$EQ712="OT"),$EQ712,$EP712))</f>
        <v/>
      </c>
      <c r="ES712">
        <f>IF($DM712=0,"",IF(AND($DV712&lt;&gt;"",UPPER($DV712)&lt;&gt;"N"),"allergen",IF(ISNUMBER(SEARCH("oil",$DQ712)),"oil",IF(OR(EXACT($DS712,"A662"),EXACT($DS712,"A624")),"bulk",""))))</f>
        <v/>
      </c>
      <c r="ET712">
        <f>IF($DM712=0,"",IF(OR($EA712="",$EA712=0),"",$EA712/100))</f>
        <v/>
      </c>
      <c r="EU712">
        <f>IF(OR($ET712="",$DY712=""),"",INT($DY712*(1-$ET712)+0.5))</f>
        <v/>
      </c>
    </row>
    <row r="713">
      <c r="DA713" t="n">
        <v>709</v>
      </c>
      <c r="DB713">
        <f>IF($B$37=0,"",IFERROR(TRIM(SUBSTITUTE(SUBSTITUTE(SUBSTITUTE(SUBSTITUTE(INDEX(PASTE_ALL,709,$B$37)," "," "),CHAR(9)," "),CHAR(10)," "),CHAR(13)," ")),""))</f>
        <v/>
      </c>
      <c r="DC713">
        <f>IF(AND(709&gt;HEADER_ROW,UPPER(DB713)="LEGEND"),1,0)</f>
        <v/>
      </c>
      <c r="DE713" t="n">
        <v>709</v>
      </c>
      <c r="DF713">
        <f>HEADER_ROW+$DE713</f>
        <v/>
      </c>
      <c r="DG713">
        <f>IF(AND($DF713&lt;=1000,$DF713&lt;$B$8),1,0)</f>
        <v/>
      </c>
      <c r="DH713">
        <f>IF($DG713=1,IFERROR(INDEX($DB$5:$DB$1004,$DF713),""),"")</f>
        <v/>
      </c>
      <c r="DI713">
        <f>IF(AND($DG713=1,$DH713&lt;&gt;""),IFERROR(SUBSTITUTE(SUBSTITUTE(TRIM(SUBSTITUTE(SUBSTITUTE(SUBSTITUTE(SUBSTITUTE(IFERROR(INDEX(PASTE_ALL,$DF713,1)&amp;"","")&amp;"␟"&amp;IFERROR(INDEX(PASTE_ALL,$DF713,2)&amp;"","")&amp;"␟"&amp;IFERROR(INDEX(PASTE_ALL,$DF713,3)&amp;"","")&amp;"␟"&amp;IFERROR(INDEX(PASTE_ALL,$DF713,4)&amp;"","")&amp;"␟"&amp;IFERROR(INDEX(PASTE_ALL,$DF713,5)&amp;"","")&amp;"␟"&amp;IFERROR(INDEX(PASTE_ALL,$DF713,6)&amp;"","")&amp;"␟"&amp;IFERROR(INDEX(PASTE_ALL,$DF713,7)&amp;"","")&amp;"␟"&amp;IFERROR(INDEX(PASTE_ALL,$DF713,8)&amp;"","")&amp;"␟"&amp;IFERROR(INDEX(PASTE_ALL,$DF713,9)&amp;"","")&amp;"␟"&amp;IFERROR(INDEX(PASTE_ALL,$DF713,10)&amp;"","")&amp;"␟"&amp;IFERROR(INDEX(PASTE_ALL,$DF713,11)&amp;"","")&amp;"␟"&amp;IFERROR(INDEX(PASTE_ALL,$DF713,12)&amp;"","")&amp;"␟"&amp;IFERROR(INDEX(PASTE_ALL,$DF713,13)&amp;"","")&amp;"␟"&amp;IFERROR(INDEX(PASTE_ALL,$DF713,14)&amp;"","")&amp;"␟"&amp;IFERROR(INDEX(PASTE_ALL,$DF713,15)&amp;"","")&amp;"␟"&amp;IFERROR(INDEX(PASTE_ALL,$DF713,16)&amp;"","")&amp;"␟"&amp;IFERROR(INDEX(PASTE_ALL,$DF713,17)&amp;"","")&amp;"␟"&amp;IFERROR(INDEX(PASTE_ALL,$DF713,18)&amp;"","")&amp;"␟"&amp;IFERROR(INDEX(PASTE_ALL,$DF713,19)&amp;"","")&amp;"␟"&amp;IFERROR(INDEX(PASTE_ALL,$DF713,20)&amp;"","")&amp;"␟"&amp;IFERROR(INDEX(PASTE_ALL,$DF713,21)&amp;"","")&amp;"␟"&amp;IFERROR(INDEX(PASTE_ALL,$DF713,22)&amp;"","")&amp;"␟"&amp;IFERROR(INDEX(PASTE_ALL,$DF713,23)&amp;"","")&amp;"␟"&amp;IFERROR(INDEX(PASTE_ALL,$DF713,24)&amp;"","")&amp;"␟"&amp;IFERROR(INDEX(PASTE_ALL,$DF713,25)&amp;"","")&amp;"␟"&amp;IFERROR(INDEX(PASTE_ALL,$DF713,26)&amp;"","")&amp;"␟"&amp;IFERROR(INDEX(PASTE_ALL,$DF713,27)&amp;"","")&amp;"␟"&amp;IFERROR(INDEX(PASTE_ALL,$DF713,28)&amp;"","")&amp;"␟"&amp;IFERROR(INDEX(PASTE_ALL,$DF713,29)&amp;"","")&amp;"␟"&amp;IFERROR(INDEX(PASTE_ALL,$DF713,30)&amp;"","")&amp;"␟"&amp;IFERROR(INDEX(PASTE_ALL,$DF713,31)&amp;"","")&amp;"␟"&amp;IFERROR(INDEX(PASTE_ALL,$DF713,32)&amp;"","")&amp;"␟"&amp;IFERROR(INDEX(PASTE_ALL,$DF713,33)&amp;"","")&amp;"␟"&amp;IFERROR(INDEX(PASTE_ALL,$DF713,34)&amp;"","")&amp;"␟"&amp;IFERROR(INDEX(PASTE_ALL,$DF713,35)&amp;"","")&amp;"␟"&amp;IFERROR(INDEX(PASTE_ALL,$DF713,36)&amp;"","")&amp;"␟"&amp;IFERROR(INDEX(PASTE_ALL,$DF713,37)&amp;"","")&amp;"␟"&amp;IFERROR(INDEX(PASTE_ALL,$DF713,38)&amp;"","")&amp;"␟"&amp;IFERROR(INDEX(PASTE_ALL,$DF713,39)&amp;"","")&amp;"␟"&amp;IFERROR(INDEX(PASTE_ALL,$DF713,40)&amp;"","")&amp;"␟"&amp;IFERROR(INDEX(PASTE_ALL,$DF713,41)&amp;"","")&amp;"␟"&amp;IFERROR(INDEX(PASTE_ALL,$DF713,42)&amp;"","")&amp;"␟"&amp;IFERROR(INDEX(PASTE_ALL,$DF713,43)&amp;"","")&amp;"␟"&amp;IFERROR(INDEX(PASTE_ALL,$DF713,44)&amp;"","")&amp;"␟"&amp;IFERROR(INDEX(PASTE_ALL,$DF713,45)&amp;"","")&amp;"␟"&amp;IFERROR(INDEX(PASTE_ALL,$DF713,46)&amp;"","")&amp;"␟"&amp;IFERROR(INDEX(PASTE_ALL,$DF713,47)&amp;"","")&amp;"␟"&amp;IFERROR(INDEX(PASTE_ALL,$DF713,48)&amp;"","")&amp;"␟"&amp;IFERROR(INDEX(PASTE_ALL,$DF713,49)&amp;"","")&amp;"␟"&amp;IFERROR(INDEX(PASTE_ALL,$DF713,50)&amp;"","")&amp;"␟"&amp;IFERROR(INDEX(PASTE_ALL,$DF713,51)&amp;"","")&amp;"␟"&amp;IFERROR(INDEX(PASTE_ALL,$DF713,52)&amp;"","")&amp;"␟"&amp;IFERROR(INDEX(PASTE_ALL,$DF713,53)&amp;"","")&amp;"␟"&amp;IFERROR(INDEX(PASTE_ALL,$DF713,54)&amp;"","")&amp;"␟"&amp;IFERROR(INDEX(PASTE_ALL,$DF713,55)&amp;"","")&amp;"␟"&amp;IFERROR(INDEX(PASTE_ALL,$DF713,56)&amp;"","")&amp;"␟"&amp;IFERROR(INDEX(PASTE_ALL,$DF713,57)&amp;"","")&amp;"␟"&amp;IFERROR(INDEX(PASTE_ALL,$DF713,58)&amp;"","")&amp;"␟"&amp;IFERROR(INDEX(PASTE_ALL,$DF713,59)&amp;"","")&amp;"␟"&amp;IFERROR(INDEX(PASTE_ALL,$DF713,60)&amp;"","")," "," "),CHAR(9)," "),CHAR(10)," "),CHAR(13)," "))," ␟","␟"),"␟ ","␟"),"#"&amp;$DE713),"")</f>
        <v/>
      </c>
      <c r="DJ713">
        <f>IF($DI713="",0,IF(SUMPRODUCT(--EXACT($DI$4:DI712,$DI713))&gt;0,1,0))</f>
        <v/>
      </c>
      <c r="DK713">
        <f>IF(AND($DI713&lt;&gt;"",$DJ713=0),1,0)</f>
        <v/>
      </c>
      <c r="DL713">
        <f>DL712+$DK713</f>
        <v/>
      </c>
      <c r="DM713">
        <f>IF(AND($DK713=1,$DL713&lt;=600),1,0)</f>
        <v/>
      </c>
      <c r="DN713">
        <f>IF($DM713=0,"",IF($L$6=0,"",IFERROR(IF(ISNUMBER(INDEX(PASTE_ALL,$DF713,$L$6)),INDEX(PASTE_ALL,$DF713,$L$6),TRIM(SUBSTITUTE(SUBSTITUTE(SUBSTITUTE(SUBSTITUTE(INDEX(PASTE_ALL,$DF713,$L$6)," "," "),CHAR(9)," "),CHAR(10)," "),CHAR(13)," "))),"")))</f>
        <v/>
      </c>
      <c r="DO713">
        <f>IF($DM713=0,"",IF($L$7=0,"",IFERROR(IF(ISNUMBER(INDEX(PASTE_ALL,$DF713,$L$7)),INDEX(PASTE_ALL,$DF713,$L$7),TRIM(SUBSTITUTE(SUBSTITUTE(SUBSTITUTE(SUBSTITUTE(INDEX(PASTE_ALL,$DF713,$L$7)," "," "),CHAR(9)," "),CHAR(10)," "),CHAR(13)," "))),"")))</f>
        <v/>
      </c>
      <c r="DP713">
        <f>IF($DM713=0,"",IF($L$8=0,"",IFERROR(IF(ISNUMBER(INDEX(PASTE_ALL,$DF713,$L$8)),INDEX(PASTE_ALL,$DF713,$L$8),TRIM(SUBSTITUTE(SUBSTITUTE(SUBSTITUTE(SUBSTITUTE(INDEX(PASTE_ALL,$DF713,$L$8)," "," "),CHAR(9)," "),CHAR(10)," "),CHAR(13)," "))),"")))</f>
        <v/>
      </c>
      <c r="DQ713">
        <f>IF($DM713=0,"",IF($L$9=0,"",IFERROR(IF(ISNUMBER(INDEX(PASTE_ALL,$DF713,$L$9)),INDEX(PASTE_ALL,$DF713,$L$9),TRIM(SUBSTITUTE(SUBSTITUTE(SUBSTITUTE(SUBSTITUTE(INDEX(PASTE_ALL,$DF713,$L$9)," "," "),CHAR(9)," "),CHAR(10)," "),CHAR(13)," "))),"")))</f>
        <v/>
      </c>
      <c r="DR713">
        <f>IF($DM713=0,"",IF($L$10=0,"",IFERROR(IF(ISNUMBER(INDEX(PASTE_ALL,$DF713,$L$10)),INDEX(PASTE_ALL,$DF713,$L$10),TRIM(SUBSTITUTE(SUBSTITUTE(SUBSTITUTE(SUBSTITUTE(INDEX(PASTE_ALL,$DF713,$L$10)," "," "),CHAR(9)," "),CHAR(10)," "),CHAR(13)," "))),"")))</f>
        <v/>
      </c>
      <c r="DS713">
        <f>IF($DM713=0,"",IF($L$11=0,"",IFERROR(IF(ISNUMBER(INDEX(PASTE_ALL,$DF713,$L$11)),INDEX(PASTE_ALL,$DF713,$L$11),TRIM(SUBSTITUTE(SUBSTITUTE(SUBSTITUTE(SUBSTITUTE(INDEX(PASTE_ALL,$DF713,$L$11)," "," "),CHAR(9)," "),CHAR(10)," "),CHAR(13)," "))),"")))</f>
        <v/>
      </c>
      <c r="DT713">
        <f>IF($DM713=0,"",IF($L$12=0,"",IFERROR(IF(ISNUMBER(INDEX(PASTE_ALL,$DF713,$L$12)),INDEX(PASTE_ALL,$DF713,$L$12),TRIM(SUBSTITUTE(SUBSTITUTE(SUBSTITUTE(SUBSTITUTE(INDEX(PASTE_ALL,$DF713,$L$12)," "," "),CHAR(9)," "),CHAR(10)," "),CHAR(13)," "))),"")))</f>
        <v/>
      </c>
      <c r="DU713">
        <f>IF($DM713=0,"",IF($L$13=0,"",IFERROR(IF(ISNUMBER(INDEX(PASTE_ALL,$DF713,$L$13)),INDEX(PASTE_ALL,$DF713,$L$13),TRIM(SUBSTITUTE(SUBSTITUTE(SUBSTITUTE(SUBSTITUTE(INDEX(PASTE_ALL,$DF713,$L$13)," "," "),CHAR(9)," "),CHAR(10)," "),CHAR(13)," "))),"")))</f>
        <v/>
      </c>
      <c r="DV713">
        <f>IF($DM713=0,"",IF($L$14=0,"",IFERROR(IF(ISNUMBER(INDEX(PASTE_ALL,$DF713,$L$14)),INDEX(PASTE_ALL,$DF713,$L$14),TRIM(SUBSTITUTE(SUBSTITUTE(SUBSTITUTE(SUBSTITUTE(INDEX(PASTE_ALL,$DF713,$L$14)," "," "),CHAR(9)," "),CHAR(10)," "),CHAR(13)," "))),"")))</f>
        <v/>
      </c>
      <c r="DW713">
        <f>IF($DM713=0,"",IF($L$15=0,"",IFERROR(IF(ISNUMBER(INDEX(PASTE_ALL,$DF713,$L$15)),INDEX(PASTE_ALL,$DF713,$L$15),IF(SUMPRODUCT(--ISNUMBER(FIND({"A","B","C","D","E","F","G","H","I","J","K","L","M","N","O","P","Q","R","S","T","U","V","W","X","Y","Z","0","1","2","3","4","5","6","7","8","9"},UPPER(TRIM(SUBSTITUTE(SUBSTITUTE(SUBSTITUTE(SUBSTITUTE(INDEX(PASTE_ALL,$DF713,$L$15)," "," "),CHAR(9)," "),CHAR(10)," "),CHAR(13)," "))))))&gt;0,TRIM(SUBSTITUTE(SUBSTITUTE(SUBSTITUTE(SUBSTITUTE(INDEX(PASTE_ALL,$DF713,$L$15)," "," "),CHAR(9)," "),CHAR(10)," "),CHAR(13)," ")),"")),"")))</f>
        <v/>
      </c>
      <c r="DX713">
        <f>IF($DM713=0,"",IF($L$16=0,"",IFERROR(IF(ISNUMBER(INDEX(PASTE_ALL,$DF713,$L$16)),INDEX(PASTE_ALL,$DF713,$L$16),SUBSTITUTE(SUBSTITUTE(TRIM(SUBSTITUTE(SUBSTITUTE(SUBSTITUTE(SUBSTITUTE(INDEX(PASTE_ALL,$DF713,$L$16)," "," "),CHAR(9)," "),CHAR(10)," "),CHAR(13)," ")),",",""),"%","")),"")))</f>
        <v/>
      </c>
      <c r="DY713">
        <f>IF($DM713=0,"",IFERROR(IF(ISNUMBER($DX713),$DX713,IF($DX713="","",IF(TRIM($DX713)="",0,IF(AND(AND(SUBSTITUTE(SUBSTITUTE(SUBSTITUTE(SUBSTITUTE(SUBSTITUTE(SUBSTITUTE(SUBSTITUTE(SUBSTITUTE(SUBSTITUTE(SUBSTITUTE(SUBSTITUTE(SUBSTITUTE(SUBSTITUTE(SUBSTITUTE(UPPER(TRIM($DX713)),"0",""),"1",""),"2",""),"3",""),"4",""),"5",""),"6",""),"7",""),"8",""),"9",""),".",""),"+",""),"-",""),"E","")="",LEN(SUBSTITUTE(SUBSTITUTE(MID(UPPER(TRIM($DX713)),1+OR(LEFT(UPPER(TRIM($DX713)),1)="+",LEFT(UPPER(TRIM($DX713)),1)="-"),999),"E+","E"),"E-","E"))=LEN(SUBSTITUTE(SUBSTITUTE(SUBSTITUTE(SUBSTITUTE(MID(UPPER(TRIM($DX713)),1+OR(LEFT(UPPER(TRIM($DX713)),1)="+",LEFT(UPPER(TRIM($DX713)),1)="-"),999),"E+","E"),"E-","E"),"+",""),"-","")),LEN(UPPER(TRIM($DX713)))-LEN(SUBSTITUTE(UPPER(TRIM($DX713)),"E",""))&lt;2,LEN(UPPER(TRIM($DX713)))-LEN(SUBSTITUTE(UPPER(TRIM($DX713)),".",""))&lt;2,IFERROR(FIND(".",UPPER(TRIM($DX713))),0)&lt;IFERROR(FIND("E",UPPER(TRIM($DX713))),999)),ISNUMBER(VALUE(TRIM($DX713)))),VALUE(TRIM($DX713)),"")))),""))</f>
        <v/>
      </c>
      <c r="DZ713">
        <f>IF($DM713=0,"",IF($L$17=0,"",IFERROR(IF(ISNUMBER(INDEX(PASTE_ALL,$DF713,$L$17)),INDEX(PASTE_ALL,$DF713,$L$17),SUBSTITUTE(SUBSTITUTE(TRIM(SUBSTITUTE(SUBSTITUTE(SUBSTITUTE(SUBSTITUTE(INDEX(PASTE_ALL,$DF713,$L$17)," "," "),CHAR(9)," "),CHAR(10)," "),CHAR(13)," ")),",",""),"%","")),"")))</f>
        <v/>
      </c>
      <c r="EA713">
        <f>IF($DM713=0,"",IFERROR(IF(ISNUMBER($DZ713),$DZ713,IF($DZ713="","",IF(TRIM($DZ713)="",0,IF(AND(AND(SUBSTITUTE(SUBSTITUTE(SUBSTITUTE(SUBSTITUTE(SUBSTITUTE(SUBSTITUTE(SUBSTITUTE(SUBSTITUTE(SUBSTITUTE(SUBSTITUTE(SUBSTITUTE(SUBSTITUTE(SUBSTITUTE(SUBSTITUTE(UPPER(TRIM($DZ713)),"0",""),"1",""),"2",""),"3",""),"4",""),"5",""),"6",""),"7",""),"8",""),"9",""),".",""),"+",""),"-",""),"E","")="",LEN(SUBSTITUTE(SUBSTITUTE(MID(UPPER(TRIM($DZ713)),1+OR(LEFT(UPPER(TRIM($DZ713)),1)="+",LEFT(UPPER(TRIM($DZ713)),1)="-"),999),"E+","E"),"E-","E"))=LEN(SUBSTITUTE(SUBSTITUTE(SUBSTITUTE(SUBSTITUTE(MID(UPPER(TRIM($DZ713)),1+OR(LEFT(UPPER(TRIM($DZ713)),1)="+",LEFT(UPPER(TRIM($DZ713)),1)="-"),999),"E+","E"),"E-","E"),"+",""),"-","")),LEN(UPPER(TRIM($DZ713)))-LEN(SUBSTITUTE(UPPER(TRIM($DZ713)),"E",""))&lt;2,LEN(UPPER(TRIM($DZ713)))-LEN(SUBSTITUTE(UPPER(TRIM($DZ713)),".",""))&lt;2,IFERROR(FIND(".",UPPER(TRIM($DZ713))),0)&lt;IFERROR(FIND("E",UPPER(TRIM($DZ713))),999)),ISNUMBER(VALUE(TRIM($DZ713)))),VALUE(TRIM($DZ713)),"")))),""))</f>
        <v/>
      </c>
      <c r="EB713">
        <f>IF($DM713=0,"",IF($L$18=0,"",IFERROR(IF(UPPER(TRIM(SUBSTITUTE(SUBSTITUTE(SUBSTITUTE(SUBSTITUTE(INDEX(PASTE_ALL,$DF713,$L$18)," "," "),CHAR(9)," "),CHAR(10)," "),CHAR(13)," ")))="READY","Ready",IF(UPPER(TRIM(SUBSTITUTE(SUBSTITUTE(SUBSTITUTE(SUBSTITUTE(INDEX(PASTE_ALL,$DF713,$L$18)," "," "),CHAR(9)," "),CHAR(10)," "),CHAR(13)," ")))="PM","PM",IF(OR(UPPER(TRIM(SUBSTITUTE(SUBSTITUTE(SUBSTITUTE(SUBSTITUTE(INDEX(PASTE_ALL,$DF713,$L$18)," "," "),CHAR(9)," "),CHAR(10)," "),CHAR(13)," ")))="OT",UPPER(TRIM(SUBSTITUTE(SUBSTITUTE(SUBSTITUTE(SUBSTITUTE(INDEX(PASTE_ALL,$DF713,$L$18)," "," "),CHAR(9)," "),CHAR(10)," "),CHAR(13)," ")))="OVERTIME",UPPER(TRIM(SUBSTITUTE(SUBSTITUTE(SUBSTITUTE(SUBSTITUTE(INDEX(PASTE_ALL,$DF713,$L$18)," "," "),CHAR(9)," "),CHAR(10)," "),CHAR(13)," ")))="TRIAL"),"OT",TRIM(SUBSTITUTE(SUBSTITUTE(SUBSTITUTE(SUBSTITUTE(INDEX(PASTE_ALL,$DF713,$L$18)," "," "),CHAR(9)," "),CHAR(10)," "),CHAR(13)," "))))),"")))</f>
        <v/>
      </c>
      <c r="EC713">
        <f>IF($DM713=0,"",IF($L$19=0,"",IFERROR(IF(ISNUMBER(INDEX(PASTE_ALL,$DF713,$L$19)),INDEX(PASTE_ALL,$DF713,$L$19),TRIM(SUBSTITUTE(SUBSTITUTE(SUBSTITUTE(SUBSTITUTE(INDEX(PASTE_ALL,$DF713,$L$19)," "," "),CHAR(9)," "),CHAR(10)," "),CHAR(13)," "))),"")))</f>
        <v/>
      </c>
      <c r="ED713">
        <f>IF($DM713=0,"",MATCH(1,INDEX(EXACT($DH$5:DH713,$DH713)*$DM$5:DM713,0),0))</f>
        <v/>
      </c>
      <c r="EE713">
        <f>IF($DM713=0,0,IF($ED713=$DE713,1,0))</f>
        <v/>
      </c>
      <c r="EF713">
        <f>EF712+$EE713</f>
        <v/>
      </c>
      <c r="EG713">
        <f>IF($DM713=0,"",INDEX($EF$5:$EF$1003,$ED713))</f>
        <v/>
      </c>
      <c r="EH713">
        <f>IF($DM713=0,"",IF($DO713&lt;&gt;"","",IFERROR(LOOKUP(2,1/(($EG$4:EG712=$EG713)*($DO$4:DO712&lt;&gt;"")),$DO$4:DO712),"")))</f>
        <v/>
      </c>
      <c r="EI713">
        <f>IF($DM713=0,"",IF($DO713&lt;&gt;"",$DO713,$EH713))</f>
        <v/>
      </c>
      <c r="EJ713">
        <f>IF($DM713=0,"",IF($EI713="",0,IF(OR(ISNUMBER($EI713),AND(AND(SUBSTITUTE(SUBSTITUTE(SUBSTITUTE(SUBSTITUTE(SUBSTITUTE(SUBSTITUTE(SUBSTITUTE(SUBSTITUTE(SUBSTITUTE(SUBSTITUTE(SUBSTITUTE(SUBSTITUTE(SUBSTITUTE(SUBSTITUTE(UPPER($EI713),"0",""),"1",""),"2",""),"3",""),"4",""),"5",""),"6",""),"7",""),"8",""),"9",""),".",""),"+",""),"-",""),"E","")="",LEN(SUBSTITUTE(SUBSTITUTE(MID(UPPER($EI713),1+OR(LEFT(UPPER($EI713),1)="+",LEFT(UPPER($EI713),1)="-"),999),"E+","E"),"E-","E"))=LEN(SUBSTITUTE(SUBSTITUTE(SUBSTITUTE(SUBSTITUTE(MID(UPPER($EI713),1+OR(LEFT(UPPER($EI713),1)="+",LEFT(UPPER($EI713),1)="-"),999),"E+","E"),"E-","E"),"+",""),"-","")),LEN(UPPER($EI713))-LEN(SUBSTITUTE(UPPER($EI713),"E",""))&lt;2,LEN(UPPER($EI713))-LEN(SUBSTITUTE(UPPER($EI713),".",""))&lt;2,IFERROR(FIND(".",UPPER($EI713)),0)&lt;IFERROR(FIND("E",UPPER($EI713)),999)),ISNUMBER(VALUE($EI713)))),1,2)))</f>
        <v/>
      </c>
      <c r="EK713">
        <f>IF($DM713=0,"",IF($EJ713=1,IF(ISNUMBER($EI713),$EI713,VALUE($EI713)),IF($EJ713=2,$DE713,0)))</f>
        <v/>
      </c>
      <c r="EL713">
        <f>IF($DM713=0,"",COUNTIF($EG$5:$EG$1003,"&lt;"&amp;$EG713)+SUMPRODUCT(($EG$5:$EG$1003=$EG713)*(($EJ$5:$EJ$1003&lt;$EJ713)+($EJ$5:$EJ$1003=$EJ713)*(($EK$5:$EK$1003&lt;$EK713)+($EK$5:$EK$1003=$EK713)*($DE$5:$DE$1003&lt;$DE713))))+1)</f>
        <v/>
      </c>
      <c r="EM713">
        <f>IF($DM713=0,"",$EL713+$EG713-1)</f>
        <v/>
      </c>
      <c r="EN713">
        <f>IF($DM713=0,0,IFERROR(MATCH(1,INDEX(--(TRIM(SUBSTITUTE(SUBSTITUTE(SUBSTITUTE(SUBSTITUTE(LINES_NAME&amp;""," "," "),CHAR(9)," "),CHAR(10)," "),CHAR(13)," "))=$DH713),0),0),0))</f>
        <v/>
      </c>
      <c r="EO713">
        <f>IF($EN713=0,0,IF(OR(UPPER(TRIM(INDEX(LINES_SCHEDULED,$EN713)&amp;""))="YES",UPPER(TRIM(INDEX(LINES_SCHEDULED,$EN713)&amp;""))="Y",UPPER(TRIM(INDEX(LINES_SCHEDULED,$EN713)&amp;""))="X"),1,0))</f>
        <v/>
      </c>
      <c r="EP713">
        <f>IF($DM713=0,"",IF(COUNTIFS($EG$5:$EG$1003,$EG713,$EB$5:$EB$1003,"Ready")&gt;0,"READY",IF(COUNTIFS($EG$5:$EG$1003,$EG713,$EB$5:$EB$1003,"PM")&gt;0,"PM",IF(COUNTIFS($EG$5:$EG$1003,$EG713,$EB$5:$EB$1003,"OT")&gt;0,"OT",""))))</f>
        <v/>
      </c>
      <c r="EQ713">
        <f>IF($EN713=0,"",UPPER(TRIM(INDEX(LINES_STATUS,$EN713)&amp;"")))</f>
        <v/>
      </c>
      <c r="ER713">
        <f>IF($DM713=0,"",IF(OR($EQ713="READY",$EQ713="PM",$EQ713="OT"),$EQ713,$EP713))</f>
        <v/>
      </c>
      <c r="ES713">
        <f>IF($DM713=0,"",IF(AND($DV713&lt;&gt;"",UPPER($DV713)&lt;&gt;"N"),"allergen",IF(ISNUMBER(SEARCH("oil",$DQ713)),"oil",IF(OR(EXACT($DS713,"A662"),EXACT($DS713,"A624")),"bulk",""))))</f>
        <v/>
      </c>
      <c r="ET713">
        <f>IF($DM713=0,"",IF(OR($EA713="",$EA713=0),"",$EA713/100))</f>
        <v/>
      </c>
      <c r="EU713">
        <f>IF(OR($ET713="",$DY713=""),"",INT($DY713*(1-$ET713)+0.5))</f>
        <v/>
      </c>
    </row>
    <row r="714">
      <c r="DA714" t="n">
        <v>710</v>
      </c>
      <c r="DB714">
        <f>IF($B$37=0,"",IFERROR(TRIM(SUBSTITUTE(SUBSTITUTE(SUBSTITUTE(SUBSTITUTE(INDEX(PASTE_ALL,710,$B$37)," "," "),CHAR(9)," "),CHAR(10)," "),CHAR(13)," ")),""))</f>
        <v/>
      </c>
      <c r="DC714">
        <f>IF(AND(710&gt;HEADER_ROW,UPPER(DB714)="LEGEND"),1,0)</f>
        <v/>
      </c>
      <c r="DE714" t="n">
        <v>710</v>
      </c>
      <c r="DF714">
        <f>HEADER_ROW+$DE714</f>
        <v/>
      </c>
      <c r="DG714">
        <f>IF(AND($DF714&lt;=1000,$DF714&lt;$B$8),1,0)</f>
        <v/>
      </c>
      <c r="DH714">
        <f>IF($DG714=1,IFERROR(INDEX($DB$5:$DB$1004,$DF714),""),"")</f>
        <v/>
      </c>
      <c r="DI714">
        <f>IF(AND($DG714=1,$DH714&lt;&gt;""),IFERROR(SUBSTITUTE(SUBSTITUTE(TRIM(SUBSTITUTE(SUBSTITUTE(SUBSTITUTE(SUBSTITUTE(IFERROR(INDEX(PASTE_ALL,$DF714,1)&amp;"","")&amp;"␟"&amp;IFERROR(INDEX(PASTE_ALL,$DF714,2)&amp;"","")&amp;"␟"&amp;IFERROR(INDEX(PASTE_ALL,$DF714,3)&amp;"","")&amp;"␟"&amp;IFERROR(INDEX(PASTE_ALL,$DF714,4)&amp;"","")&amp;"␟"&amp;IFERROR(INDEX(PASTE_ALL,$DF714,5)&amp;"","")&amp;"␟"&amp;IFERROR(INDEX(PASTE_ALL,$DF714,6)&amp;"","")&amp;"␟"&amp;IFERROR(INDEX(PASTE_ALL,$DF714,7)&amp;"","")&amp;"␟"&amp;IFERROR(INDEX(PASTE_ALL,$DF714,8)&amp;"","")&amp;"␟"&amp;IFERROR(INDEX(PASTE_ALL,$DF714,9)&amp;"","")&amp;"␟"&amp;IFERROR(INDEX(PASTE_ALL,$DF714,10)&amp;"","")&amp;"␟"&amp;IFERROR(INDEX(PASTE_ALL,$DF714,11)&amp;"","")&amp;"␟"&amp;IFERROR(INDEX(PASTE_ALL,$DF714,12)&amp;"","")&amp;"␟"&amp;IFERROR(INDEX(PASTE_ALL,$DF714,13)&amp;"","")&amp;"␟"&amp;IFERROR(INDEX(PASTE_ALL,$DF714,14)&amp;"","")&amp;"␟"&amp;IFERROR(INDEX(PASTE_ALL,$DF714,15)&amp;"","")&amp;"␟"&amp;IFERROR(INDEX(PASTE_ALL,$DF714,16)&amp;"","")&amp;"␟"&amp;IFERROR(INDEX(PASTE_ALL,$DF714,17)&amp;"","")&amp;"␟"&amp;IFERROR(INDEX(PASTE_ALL,$DF714,18)&amp;"","")&amp;"␟"&amp;IFERROR(INDEX(PASTE_ALL,$DF714,19)&amp;"","")&amp;"␟"&amp;IFERROR(INDEX(PASTE_ALL,$DF714,20)&amp;"","")&amp;"␟"&amp;IFERROR(INDEX(PASTE_ALL,$DF714,21)&amp;"","")&amp;"␟"&amp;IFERROR(INDEX(PASTE_ALL,$DF714,22)&amp;"","")&amp;"␟"&amp;IFERROR(INDEX(PASTE_ALL,$DF714,23)&amp;"","")&amp;"␟"&amp;IFERROR(INDEX(PASTE_ALL,$DF714,24)&amp;"","")&amp;"␟"&amp;IFERROR(INDEX(PASTE_ALL,$DF714,25)&amp;"","")&amp;"␟"&amp;IFERROR(INDEX(PASTE_ALL,$DF714,26)&amp;"","")&amp;"␟"&amp;IFERROR(INDEX(PASTE_ALL,$DF714,27)&amp;"","")&amp;"␟"&amp;IFERROR(INDEX(PASTE_ALL,$DF714,28)&amp;"","")&amp;"␟"&amp;IFERROR(INDEX(PASTE_ALL,$DF714,29)&amp;"","")&amp;"␟"&amp;IFERROR(INDEX(PASTE_ALL,$DF714,30)&amp;"","")&amp;"␟"&amp;IFERROR(INDEX(PASTE_ALL,$DF714,31)&amp;"","")&amp;"␟"&amp;IFERROR(INDEX(PASTE_ALL,$DF714,32)&amp;"","")&amp;"␟"&amp;IFERROR(INDEX(PASTE_ALL,$DF714,33)&amp;"","")&amp;"␟"&amp;IFERROR(INDEX(PASTE_ALL,$DF714,34)&amp;"","")&amp;"␟"&amp;IFERROR(INDEX(PASTE_ALL,$DF714,35)&amp;"","")&amp;"␟"&amp;IFERROR(INDEX(PASTE_ALL,$DF714,36)&amp;"","")&amp;"␟"&amp;IFERROR(INDEX(PASTE_ALL,$DF714,37)&amp;"","")&amp;"␟"&amp;IFERROR(INDEX(PASTE_ALL,$DF714,38)&amp;"","")&amp;"␟"&amp;IFERROR(INDEX(PASTE_ALL,$DF714,39)&amp;"","")&amp;"␟"&amp;IFERROR(INDEX(PASTE_ALL,$DF714,40)&amp;"","")&amp;"␟"&amp;IFERROR(INDEX(PASTE_ALL,$DF714,41)&amp;"","")&amp;"␟"&amp;IFERROR(INDEX(PASTE_ALL,$DF714,42)&amp;"","")&amp;"␟"&amp;IFERROR(INDEX(PASTE_ALL,$DF714,43)&amp;"","")&amp;"␟"&amp;IFERROR(INDEX(PASTE_ALL,$DF714,44)&amp;"","")&amp;"␟"&amp;IFERROR(INDEX(PASTE_ALL,$DF714,45)&amp;"","")&amp;"␟"&amp;IFERROR(INDEX(PASTE_ALL,$DF714,46)&amp;"","")&amp;"␟"&amp;IFERROR(INDEX(PASTE_ALL,$DF714,47)&amp;"","")&amp;"␟"&amp;IFERROR(INDEX(PASTE_ALL,$DF714,48)&amp;"","")&amp;"␟"&amp;IFERROR(INDEX(PASTE_ALL,$DF714,49)&amp;"","")&amp;"␟"&amp;IFERROR(INDEX(PASTE_ALL,$DF714,50)&amp;"","")&amp;"␟"&amp;IFERROR(INDEX(PASTE_ALL,$DF714,51)&amp;"","")&amp;"␟"&amp;IFERROR(INDEX(PASTE_ALL,$DF714,52)&amp;"","")&amp;"␟"&amp;IFERROR(INDEX(PASTE_ALL,$DF714,53)&amp;"","")&amp;"␟"&amp;IFERROR(INDEX(PASTE_ALL,$DF714,54)&amp;"","")&amp;"␟"&amp;IFERROR(INDEX(PASTE_ALL,$DF714,55)&amp;"","")&amp;"␟"&amp;IFERROR(INDEX(PASTE_ALL,$DF714,56)&amp;"","")&amp;"␟"&amp;IFERROR(INDEX(PASTE_ALL,$DF714,57)&amp;"","")&amp;"␟"&amp;IFERROR(INDEX(PASTE_ALL,$DF714,58)&amp;"","")&amp;"␟"&amp;IFERROR(INDEX(PASTE_ALL,$DF714,59)&amp;"","")&amp;"␟"&amp;IFERROR(INDEX(PASTE_ALL,$DF714,60)&amp;"","")," "," "),CHAR(9)," "),CHAR(10)," "),CHAR(13)," "))," ␟","␟"),"␟ ","␟"),"#"&amp;$DE714),"")</f>
        <v/>
      </c>
      <c r="DJ714">
        <f>IF($DI714="",0,IF(SUMPRODUCT(--EXACT($DI$4:DI713,$DI714))&gt;0,1,0))</f>
        <v/>
      </c>
      <c r="DK714">
        <f>IF(AND($DI714&lt;&gt;"",$DJ714=0),1,0)</f>
        <v/>
      </c>
      <c r="DL714">
        <f>DL713+$DK714</f>
        <v/>
      </c>
      <c r="DM714">
        <f>IF(AND($DK714=1,$DL714&lt;=600),1,0)</f>
        <v/>
      </c>
      <c r="DN714">
        <f>IF($DM714=0,"",IF($L$6=0,"",IFERROR(IF(ISNUMBER(INDEX(PASTE_ALL,$DF714,$L$6)),INDEX(PASTE_ALL,$DF714,$L$6),TRIM(SUBSTITUTE(SUBSTITUTE(SUBSTITUTE(SUBSTITUTE(INDEX(PASTE_ALL,$DF714,$L$6)," "," "),CHAR(9)," "),CHAR(10)," "),CHAR(13)," "))),"")))</f>
        <v/>
      </c>
      <c r="DO714">
        <f>IF($DM714=0,"",IF($L$7=0,"",IFERROR(IF(ISNUMBER(INDEX(PASTE_ALL,$DF714,$L$7)),INDEX(PASTE_ALL,$DF714,$L$7),TRIM(SUBSTITUTE(SUBSTITUTE(SUBSTITUTE(SUBSTITUTE(INDEX(PASTE_ALL,$DF714,$L$7)," "," "),CHAR(9)," "),CHAR(10)," "),CHAR(13)," "))),"")))</f>
        <v/>
      </c>
      <c r="DP714">
        <f>IF($DM714=0,"",IF($L$8=0,"",IFERROR(IF(ISNUMBER(INDEX(PASTE_ALL,$DF714,$L$8)),INDEX(PASTE_ALL,$DF714,$L$8),TRIM(SUBSTITUTE(SUBSTITUTE(SUBSTITUTE(SUBSTITUTE(INDEX(PASTE_ALL,$DF714,$L$8)," "," "),CHAR(9)," "),CHAR(10)," "),CHAR(13)," "))),"")))</f>
        <v/>
      </c>
      <c r="DQ714">
        <f>IF($DM714=0,"",IF($L$9=0,"",IFERROR(IF(ISNUMBER(INDEX(PASTE_ALL,$DF714,$L$9)),INDEX(PASTE_ALL,$DF714,$L$9),TRIM(SUBSTITUTE(SUBSTITUTE(SUBSTITUTE(SUBSTITUTE(INDEX(PASTE_ALL,$DF714,$L$9)," "," "),CHAR(9)," "),CHAR(10)," "),CHAR(13)," "))),"")))</f>
        <v/>
      </c>
      <c r="DR714">
        <f>IF($DM714=0,"",IF($L$10=0,"",IFERROR(IF(ISNUMBER(INDEX(PASTE_ALL,$DF714,$L$10)),INDEX(PASTE_ALL,$DF714,$L$10),TRIM(SUBSTITUTE(SUBSTITUTE(SUBSTITUTE(SUBSTITUTE(INDEX(PASTE_ALL,$DF714,$L$10)," "," "),CHAR(9)," "),CHAR(10)," "),CHAR(13)," "))),"")))</f>
        <v/>
      </c>
      <c r="DS714">
        <f>IF($DM714=0,"",IF($L$11=0,"",IFERROR(IF(ISNUMBER(INDEX(PASTE_ALL,$DF714,$L$11)),INDEX(PASTE_ALL,$DF714,$L$11),TRIM(SUBSTITUTE(SUBSTITUTE(SUBSTITUTE(SUBSTITUTE(INDEX(PASTE_ALL,$DF714,$L$11)," "," "),CHAR(9)," "),CHAR(10)," "),CHAR(13)," "))),"")))</f>
        <v/>
      </c>
      <c r="DT714">
        <f>IF($DM714=0,"",IF($L$12=0,"",IFERROR(IF(ISNUMBER(INDEX(PASTE_ALL,$DF714,$L$12)),INDEX(PASTE_ALL,$DF714,$L$12),TRIM(SUBSTITUTE(SUBSTITUTE(SUBSTITUTE(SUBSTITUTE(INDEX(PASTE_ALL,$DF714,$L$12)," "," "),CHAR(9)," "),CHAR(10)," "),CHAR(13)," "))),"")))</f>
        <v/>
      </c>
      <c r="DU714">
        <f>IF($DM714=0,"",IF($L$13=0,"",IFERROR(IF(ISNUMBER(INDEX(PASTE_ALL,$DF714,$L$13)),INDEX(PASTE_ALL,$DF714,$L$13),TRIM(SUBSTITUTE(SUBSTITUTE(SUBSTITUTE(SUBSTITUTE(INDEX(PASTE_ALL,$DF714,$L$13)," "," "),CHAR(9)," "),CHAR(10)," "),CHAR(13)," "))),"")))</f>
        <v/>
      </c>
      <c r="DV714">
        <f>IF($DM714=0,"",IF($L$14=0,"",IFERROR(IF(ISNUMBER(INDEX(PASTE_ALL,$DF714,$L$14)),INDEX(PASTE_ALL,$DF714,$L$14),TRIM(SUBSTITUTE(SUBSTITUTE(SUBSTITUTE(SUBSTITUTE(INDEX(PASTE_ALL,$DF714,$L$14)," "," "),CHAR(9)," "),CHAR(10)," "),CHAR(13)," "))),"")))</f>
        <v/>
      </c>
      <c r="DW714">
        <f>IF($DM714=0,"",IF($L$15=0,"",IFERROR(IF(ISNUMBER(INDEX(PASTE_ALL,$DF714,$L$15)),INDEX(PASTE_ALL,$DF714,$L$15),IF(SUMPRODUCT(--ISNUMBER(FIND({"A","B","C","D","E","F","G","H","I","J","K","L","M","N","O","P","Q","R","S","T","U","V","W","X","Y","Z","0","1","2","3","4","5","6","7","8","9"},UPPER(TRIM(SUBSTITUTE(SUBSTITUTE(SUBSTITUTE(SUBSTITUTE(INDEX(PASTE_ALL,$DF714,$L$15)," "," "),CHAR(9)," "),CHAR(10)," "),CHAR(13)," "))))))&gt;0,TRIM(SUBSTITUTE(SUBSTITUTE(SUBSTITUTE(SUBSTITUTE(INDEX(PASTE_ALL,$DF714,$L$15)," "," "),CHAR(9)," "),CHAR(10)," "),CHAR(13)," ")),"")),"")))</f>
        <v/>
      </c>
      <c r="DX714">
        <f>IF($DM714=0,"",IF($L$16=0,"",IFERROR(IF(ISNUMBER(INDEX(PASTE_ALL,$DF714,$L$16)),INDEX(PASTE_ALL,$DF714,$L$16),SUBSTITUTE(SUBSTITUTE(TRIM(SUBSTITUTE(SUBSTITUTE(SUBSTITUTE(SUBSTITUTE(INDEX(PASTE_ALL,$DF714,$L$16)," "," "),CHAR(9)," "),CHAR(10)," "),CHAR(13)," ")),",",""),"%","")),"")))</f>
        <v/>
      </c>
      <c r="DY714">
        <f>IF($DM714=0,"",IFERROR(IF(ISNUMBER($DX714),$DX714,IF($DX714="","",IF(TRIM($DX714)="",0,IF(AND(AND(SUBSTITUTE(SUBSTITUTE(SUBSTITUTE(SUBSTITUTE(SUBSTITUTE(SUBSTITUTE(SUBSTITUTE(SUBSTITUTE(SUBSTITUTE(SUBSTITUTE(SUBSTITUTE(SUBSTITUTE(SUBSTITUTE(SUBSTITUTE(UPPER(TRIM($DX714)),"0",""),"1",""),"2",""),"3",""),"4",""),"5",""),"6",""),"7",""),"8",""),"9",""),".",""),"+",""),"-",""),"E","")="",LEN(SUBSTITUTE(SUBSTITUTE(MID(UPPER(TRIM($DX714)),1+OR(LEFT(UPPER(TRIM($DX714)),1)="+",LEFT(UPPER(TRIM($DX714)),1)="-"),999),"E+","E"),"E-","E"))=LEN(SUBSTITUTE(SUBSTITUTE(SUBSTITUTE(SUBSTITUTE(MID(UPPER(TRIM($DX714)),1+OR(LEFT(UPPER(TRIM($DX714)),1)="+",LEFT(UPPER(TRIM($DX714)),1)="-"),999),"E+","E"),"E-","E"),"+",""),"-","")),LEN(UPPER(TRIM($DX714)))-LEN(SUBSTITUTE(UPPER(TRIM($DX714)),"E",""))&lt;2,LEN(UPPER(TRIM($DX714)))-LEN(SUBSTITUTE(UPPER(TRIM($DX714)),".",""))&lt;2,IFERROR(FIND(".",UPPER(TRIM($DX714))),0)&lt;IFERROR(FIND("E",UPPER(TRIM($DX714))),999)),ISNUMBER(VALUE(TRIM($DX714)))),VALUE(TRIM($DX714)),"")))),""))</f>
        <v/>
      </c>
      <c r="DZ714">
        <f>IF($DM714=0,"",IF($L$17=0,"",IFERROR(IF(ISNUMBER(INDEX(PASTE_ALL,$DF714,$L$17)),INDEX(PASTE_ALL,$DF714,$L$17),SUBSTITUTE(SUBSTITUTE(TRIM(SUBSTITUTE(SUBSTITUTE(SUBSTITUTE(SUBSTITUTE(INDEX(PASTE_ALL,$DF714,$L$17)," "," "),CHAR(9)," "),CHAR(10)," "),CHAR(13)," ")),",",""),"%","")),"")))</f>
        <v/>
      </c>
      <c r="EA714">
        <f>IF($DM714=0,"",IFERROR(IF(ISNUMBER($DZ714),$DZ714,IF($DZ714="","",IF(TRIM($DZ714)="",0,IF(AND(AND(SUBSTITUTE(SUBSTITUTE(SUBSTITUTE(SUBSTITUTE(SUBSTITUTE(SUBSTITUTE(SUBSTITUTE(SUBSTITUTE(SUBSTITUTE(SUBSTITUTE(SUBSTITUTE(SUBSTITUTE(SUBSTITUTE(SUBSTITUTE(UPPER(TRIM($DZ714)),"0",""),"1",""),"2",""),"3",""),"4",""),"5",""),"6",""),"7",""),"8",""),"9",""),".",""),"+",""),"-",""),"E","")="",LEN(SUBSTITUTE(SUBSTITUTE(MID(UPPER(TRIM($DZ714)),1+OR(LEFT(UPPER(TRIM($DZ714)),1)="+",LEFT(UPPER(TRIM($DZ714)),1)="-"),999),"E+","E"),"E-","E"))=LEN(SUBSTITUTE(SUBSTITUTE(SUBSTITUTE(SUBSTITUTE(MID(UPPER(TRIM($DZ714)),1+OR(LEFT(UPPER(TRIM($DZ714)),1)="+",LEFT(UPPER(TRIM($DZ714)),1)="-"),999),"E+","E"),"E-","E"),"+",""),"-","")),LEN(UPPER(TRIM($DZ714)))-LEN(SUBSTITUTE(UPPER(TRIM($DZ714)),"E",""))&lt;2,LEN(UPPER(TRIM($DZ714)))-LEN(SUBSTITUTE(UPPER(TRIM($DZ714)),".",""))&lt;2,IFERROR(FIND(".",UPPER(TRIM($DZ714))),0)&lt;IFERROR(FIND("E",UPPER(TRIM($DZ714))),999)),ISNUMBER(VALUE(TRIM($DZ714)))),VALUE(TRIM($DZ714)),"")))),""))</f>
        <v/>
      </c>
      <c r="EB714">
        <f>IF($DM714=0,"",IF($L$18=0,"",IFERROR(IF(UPPER(TRIM(SUBSTITUTE(SUBSTITUTE(SUBSTITUTE(SUBSTITUTE(INDEX(PASTE_ALL,$DF714,$L$18)," "," "),CHAR(9)," "),CHAR(10)," "),CHAR(13)," ")))="READY","Ready",IF(UPPER(TRIM(SUBSTITUTE(SUBSTITUTE(SUBSTITUTE(SUBSTITUTE(INDEX(PASTE_ALL,$DF714,$L$18)," "," "),CHAR(9)," "),CHAR(10)," "),CHAR(13)," ")))="PM","PM",IF(OR(UPPER(TRIM(SUBSTITUTE(SUBSTITUTE(SUBSTITUTE(SUBSTITUTE(INDEX(PASTE_ALL,$DF714,$L$18)," "," "),CHAR(9)," "),CHAR(10)," "),CHAR(13)," ")))="OT",UPPER(TRIM(SUBSTITUTE(SUBSTITUTE(SUBSTITUTE(SUBSTITUTE(INDEX(PASTE_ALL,$DF714,$L$18)," "," "),CHAR(9)," "),CHAR(10)," "),CHAR(13)," ")))="OVERTIME",UPPER(TRIM(SUBSTITUTE(SUBSTITUTE(SUBSTITUTE(SUBSTITUTE(INDEX(PASTE_ALL,$DF714,$L$18)," "," "),CHAR(9)," "),CHAR(10)," "),CHAR(13)," ")))="TRIAL"),"OT",TRIM(SUBSTITUTE(SUBSTITUTE(SUBSTITUTE(SUBSTITUTE(INDEX(PASTE_ALL,$DF714,$L$18)," "," "),CHAR(9)," "),CHAR(10)," "),CHAR(13)," "))))),"")))</f>
        <v/>
      </c>
      <c r="EC714">
        <f>IF($DM714=0,"",IF($L$19=0,"",IFERROR(IF(ISNUMBER(INDEX(PASTE_ALL,$DF714,$L$19)),INDEX(PASTE_ALL,$DF714,$L$19),TRIM(SUBSTITUTE(SUBSTITUTE(SUBSTITUTE(SUBSTITUTE(INDEX(PASTE_ALL,$DF714,$L$19)," "," "),CHAR(9)," "),CHAR(10)," "),CHAR(13)," "))),"")))</f>
        <v/>
      </c>
      <c r="ED714">
        <f>IF($DM714=0,"",MATCH(1,INDEX(EXACT($DH$5:DH714,$DH714)*$DM$5:DM714,0),0))</f>
        <v/>
      </c>
      <c r="EE714">
        <f>IF($DM714=0,0,IF($ED714=$DE714,1,0))</f>
        <v/>
      </c>
      <c r="EF714">
        <f>EF713+$EE714</f>
        <v/>
      </c>
      <c r="EG714">
        <f>IF($DM714=0,"",INDEX($EF$5:$EF$1003,$ED714))</f>
        <v/>
      </c>
      <c r="EH714">
        <f>IF($DM714=0,"",IF($DO714&lt;&gt;"","",IFERROR(LOOKUP(2,1/(($EG$4:EG713=$EG714)*($DO$4:DO713&lt;&gt;"")),$DO$4:DO713),"")))</f>
        <v/>
      </c>
      <c r="EI714">
        <f>IF($DM714=0,"",IF($DO714&lt;&gt;"",$DO714,$EH714))</f>
        <v/>
      </c>
      <c r="EJ714">
        <f>IF($DM714=0,"",IF($EI714="",0,IF(OR(ISNUMBER($EI714),AND(AND(SUBSTITUTE(SUBSTITUTE(SUBSTITUTE(SUBSTITUTE(SUBSTITUTE(SUBSTITUTE(SUBSTITUTE(SUBSTITUTE(SUBSTITUTE(SUBSTITUTE(SUBSTITUTE(SUBSTITUTE(SUBSTITUTE(SUBSTITUTE(UPPER($EI714),"0",""),"1",""),"2",""),"3",""),"4",""),"5",""),"6",""),"7",""),"8",""),"9",""),".",""),"+",""),"-",""),"E","")="",LEN(SUBSTITUTE(SUBSTITUTE(MID(UPPER($EI714),1+OR(LEFT(UPPER($EI714),1)="+",LEFT(UPPER($EI714),1)="-"),999),"E+","E"),"E-","E"))=LEN(SUBSTITUTE(SUBSTITUTE(SUBSTITUTE(SUBSTITUTE(MID(UPPER($EI714),1+OR(LEFT(UPPER($EI714),1)="+",LEFT(UPPER($EI714),1)="-"),999),"E+","E"),"E-","E"),"+",""),"-","")),LEN(UPPER($EI714))-LEN(SUBSTITUTE(UPPER($EI714),"E",""))&lt;2,LEN(UPPER($EI714))-LEN(SUBSTITUTE(UPPER($EI714),".",""))&lt;2,IFERROR(FIND(".",UPPER($EI714)),0)&lt;IFERROR(FIND("E",UPPER($EI714)),999)),ISNUMBER(VALUE($EI714)))),1,2)))</f>
        <v/>
      </c>
      <c r="EK714">
        <f>IF($DM714=0,"",IF($EJ714=1,IF(ISNUMBER($EI714),$EI714,VALUE($EI714)),IF($EJ714=2,$DE714,0)))</f>
        <v/>
      </c>
      <c r="EL714">
        <f>IF($DM714=0,"",COUNTIF($EG$5:$EG$1003,"&lt;"&amp;$EG714)+SUMPRODUCT(($EG$5:$EG$1003=$EG714)*(($EJ$5:$EJ$1003&lt;$EJ714)+($EJ$5:$EJ$1003=$EJ714)*(($EK$5:$EK$1003&lt;$EK714)+($EK$5:$EK$1003=$EK714)*($DE$5:$DE$1003&lt;$DE714))))+1)</f>
        <v/>
      </c>
      <c r="EM714">
        <f>IF($DM714=0,"",$EL714+$EG714-1)</f>
        <v/>
      </c>
      <c r="EN714">
        <f>IF($DM714=0,0,IFERROR(MATCH(1,INDEX(--(TRIM(SUBSTITUTE(SUBSTITUTE(SUBSTITUTE(SUBSTITUTE(LINES_NAME&amp;""," "," "),CHAR(9)," "),CHAR(10)," "),CHAR(13)," "))=$DH714),0),0),0))</f>
        <v/>
      </c>
      <c r="EO714">
        <f>IF($EN714=0,0,IF(OR(UPPER(TRIM(INDEX(LINES_SCHEDULED,$EN714)&amp;""))="YES",UPPER(TRIM(INDEX(LINES_SCHEDULED,$EN714)&amp;""))="Y",UPPER(TRIM(INDEX(LINES_SCHEDULED,$EN714)&amp;""))="X"),1,0))</f>
        <v/>
      </c>
      <c r="EP714">
        <f>IF($DM714=0,"",IF(COUNTIFS($EG$5:$EG$1003,$EG714,$EB$5:$EB$1003,"Ready")&gt;0,"READY",IF(COUNTIFS($EG$5:$EG$1003,$EG714,$EB$5:$EB$1003,"PM")&gt;0,"PM",IF(COUNTIFS($EG$5:$EG$1003,$EG714,$EB$5:$EB$1003,"OT")&gt;0,"OT",""))))</f>
        <v/>
      </c>
      <c r="EQ714">
        <f>IF($EN714=0,"",UPPER(TRIM(INDEX(LINES_STATUS,$EN714)&amp;"")))</f>
        <v/>
      </c>
      <c r="ER714">
        <f>IF($DM714=0,"",IF(OR($EQ714="READY",$EQ714="PM",$EQ714="OT"),$EQ714,$EP714))</f>
        <v/>
      </c>
      <c r="ES714">
        <f>IF($DM714=0,"",IF(AND($DV714&lt;&gt;"",UPPER($DV714)&lt;&gt;"N"),"allergen",IF(ISNUMBER(SEARCH("oil",$DQ714)),"oil",IF(OR(EXACT($DS714,"A662"),EXACT($DS714,"A624")),"bulk",""))))</f>
        <v/>
      </c>
      <c r="ET714">
        <f>IF($DM714=0,"",IF(OR($EA714="",$EA714=0),"",$EA714/100))</f>
        <v/>
      </c>
      <c r="EU714">
        <f>IF(OR($ET714="",$DY714=""),"",INT($DY714*(1-$ET714)+0.5))</f>
        <v/>
      </c>
    </row>
    <row r="715">
      <c r="DA715" t="n">
        <v>711</v>
      </c>
      <c r="DB715">
        <f>IF($B$37=0,"",IFERROR(TRIM(SUBSTITUTE(SUBSTITUTE(SUBSTITUTE(SUBSTITUTE(INDEX(PASTE_ALL,711,$B$37)," "," "),CHAR(9)," "),CHAR(10)," "),CHAR(13)," ")),""))</f>
        <v/>
      </c>
      <c r="DC715">
        <f>IF(AND(711&gt;HEADER_ROW,UPPER(DB715)="LEGEND"),1,0)</f>
        <v/>
      </c>
      <c r="DE715" t="n">
        <v>711</v>
      </c>
      <c r="DF715">
        <f>HEADER_ROW+$DE715</f>
        <v/>
      </c>
      <c r="DG715">
        <f>IF(AND($DF715&lt;=1000,$DF715&lt;$B$8),1,0)</f>
        <v/>
      </c>
      <c r="DH715">
        <f>IF($DG715=1,IFERROR(INDEX($DB$5:$DB$1004,$DF715),""),"")</f>
        <v/>
      </c>
      <c r="DI715">
        <f>IF(AND($DG715=1,$DH715&lt;&gt;""),IFERROR(SUBSTITUTE(SUBSTITUTE(TRIM(SUBSTITUTE(SUBSTITUTE(SUBSTITUTE(SUBSTITUTE(IFERROR(INDEX(PASTE_ALL,$DF715,1)&amp;"","")&amp;"␟"&amp;IFERROR(INDEX(PASTE_ALL,$DF715,2)&amp;"","")&amp;"␟"&amp;IFERROR(INDEX(PASTE_ALL,$DF715,3)&amp;"","")&amp;"␟"&amp;IFERROR(INDEX(PASTE_ALL,$DF715,4)&amp;"","")&amp;"␟"&amp;IFERROR(INDEX(PASTE_ALL,$DF715,5)&amp;"","")&amp;"␟"&amp;IFERROR(INDEX(PASTE_ALL,$DF715,6)&amp;"","")&amp;"␟"&amp;IFERROR(INDEX(PASTE_ALL,$DF715,7)&amp;"","")&amp;"␟"&amp;IFERROR(INDEX(PASTE_ALL,$DF715,8)&amp;"","")&amp;"␟"&amp;IFERROR(INDEX(PASTE_ALL,$DF715,9)&amp;"","")&amp;"␟"&amp;IFERROR(INDEX(PASTE_ALL,$DF715,10)&amp;"","")&amp;"␟"&amp;IFERROR(INDEX(PASTE_ALL,$DF715,11)&amp;"","")&amp;"␟"&amp;IFERROR(INDEX(PASTE_ALL,$DF715,12)&amp;"","")&amp;"␟"&amp;IFERROR(INDEX(PASTE_ALL,$DF715,13)&amp;"","")&amp;"␟"&amp;IFERROR(INDEX(PASTE_ALL,$DF715,14)&amp;"","")&amp;"␟"&amp;IFERROR(INDEX(PASTE_ALL,$DF715,15)&amp;"","")&amp;"␟"&amp;IFERROR(INDEX(PASTE_ALL,$DF715,16)&amp;"","")&amp;"␟"&amp;IFERROR(INDEX(PASTE_ALL,$DF715,17)&amp;"","")&amp;"␟"&amp;IFERROR(INDEX(PASTE_ALL,$DF715,18)&amp;"","")&amp;"␟"&amp;IFERROR(INDEX(PASTE_ALL,$DF715,19)&amp;"","")&amp;"␟"&amp;IFERROR(INDEX(PASTE_ALL,$DF715,20)&amp;"","")&amp;"␟"&amp;IFERROR(INDEX(PASTE_ALL,$DF715,21)&amp;"","")&amp;"␟"&amp;IFERROR(INDEX(PASTE_ALL,$DF715,22)&amp;"","")&amp;"␟"&amp;IFERROR(INDEX(PASTE_ALL,$DF715,23)&amp;"","")&amp;"␟"&amp;IFERROR(INDEX(PASTE_ALL,$DF715,24)&amp;"","")&amp;"␟"&amp;IFERROR(INDEX(PASTE_ALL,$DF715,25)&amp;"","")&amp;"␟"&amp;IFERROR(INDEX(PASTE_ALL,$DF715,26)&amp;"","")&amp;"␟"&amp;IFERROR(INDEX(PASTE_ALL,$DF715,27)&amp;"","")&amp;"␟"&amp;IFERROR(INDEX(PASTE_ALL,$DF715,28)&amp;"","")&amp;"␟"&amp;IFERROR(INDEX(PASTE_ALL,$DF715,29)&amp;"","")&amp;"␟"&amp;IFERROR(INDEX(PASTE_ALL,$DF715,30)&amp;"","")&amp;"␟"&amp;IFERROR(INDEX(PASTE_ALL,$DF715,31)&amp;"","")&amp;"␟"&amp;IFERROR(INDEX(PASTE_ALL,$DF715,32)&amp;"","")&amp;"␟"&amp;IFERROR(INDEX(PASTE_ALL,$DF715,33)&amp;"","")&amp;"␟"&amp;IFERROR(INDEX(PASTE_ALL,$DF715,34)&amp;"","")&amp;"␟"&amp;IFERROR(INDEX(PASTE_ALL,$DF715,35)&amp;"","")&amp;"␟"&amp;IFERROR(INDEX(PASTE_ALL,$DF715,36)&amp;"","")&amp;"␟"&amp;IFERROR(INDEX(PASTE_ALL,$DF715,37)&amp;"","")&amp;"␟"&amp;IFERROR(INDEX(PASTE_ALL,$DF715,38)&amp;"","")&amp;"␟"&amp;IFERROR(INDEX(PASTE_ALL,$DF715,39)&amp;"","")&amp;"␟"&amp;IFERROR(INDEX(PASTE_ALL,$DF715,40)&amp;"","")&amp;"␟"&amp;IFERROR(INDEX(PASTE_ALL,$DF715,41)&amp;"","")&amp;"␟"&amp;IFERROR(INDEX(PASTE_ALL,$DF715,42)&amp;"","")&amp;"␟"&amp;IFERROR(INDEX(PASTE_ALL,$DF715,43)&amp;"","")&amp;"␟"&amp;IFERROR(INDEX(PASTE_ALL,$DF715,44)&amp;"","")&amp;"␟"&amp;IFERROR(INDEX(PASTE_ALL,$DF715,45)&amp;"","")&amp;"␟"&amp;IFERROR(INDEX(PASTE_ALL,$DF715,46)&amp;"","")&amp;"␟"&amp;IFERROR(INDEX(PASTE_ALL,$DF715,47)&amp;"","")&amp;"␟"&amp;IFERROR(INDEX(PASTE_ALL,$DF715,48)&amp;"","")&amp;"␟"&amp;IFERROR(INDEX(PASTE_ALL,$DF715,49)&amp;"","")&amp;"␟"&amp;IFERROR(INDEX(PASTE_ALL,$DF715,50)&amp;"","")&amp;"␟"&amp;IFERROR(INDEX(PASTE_ALL,$DF715,51)&amp;"","")&amp;"␟"&amp;IFERROR(INDEX(PASTE_ALL,$DF715,52)&amp;"","")&amp;"␟"&amp;IFERROR(INDEX(PASTE_ALL,$DF715,53)&amp;"","")&amp;"␟"&amp;IFERROR(INDEX(PASTE_ALL,$DF715,54)&amp;"","")&amp;"␟"&amp;IFERROR(INDEX(PASTE_ALL,$DF715,55)&amp;"","")&amp;"␟"&amp;IFERROR(INDEX(PASTE_ALL,$DF715,56)&amp;"","")&amp;"␟"&amp;IFERROR(INDEX(PASTE_ALL,$DF715,57)&amp;"","")&amp;"␟"&amp;IFERROR(INDEX(PASTE_ALL,$DF715,58)&amp;"","")&amp;"␟"&amp;IFERROR(INDEX(PASTE_ALL,$DF715,59)&amp;"","")&amp;"␟"&amp;IFERROR(INDEX(PASTE_ALL,$DF715,60)&amp;"","")," "," "),CHAR(9)," "),CHAR(10)," "),CHAR(13)," "))," ␟","␟"),"␟ ","␟"),"#"&amp;$DE715),"")</f>
        <v/>
      </c>
      <c r="DJ715">
        <f>IF($DI715="",0,IF(SUMPRODUCT(--EXACT($DI$4:DI714,$DI715))&gt;0,1,0))</f>
        <v/>
      </c>
      <c r="DK715">
        <f>IF(AND($DI715&lt;&gt;"",$DJ715=0),1,0)</f>
        <v/>
      </c>
      <c r="DL715">
        <f>DL714+$DK715</f>
        <v/>
      </c>
      <c r="DM715">
        <f>IF(AND($DK715=1,$DL715&lt;=600),1,0)</f>
        <v/>
      </c>
      <c r="DN715">
        <f>IF($DM715=0,"",IF($L$6=0,"",IFERROR(IF(ISNUMBER(INDEX(PASTE_ALL,$DF715,$L$6)),INDEX(PASTE_ALL,$DF715,$L$6),TRIM(SUBSTITUTE(SUBSTITUTE(SUBSTITUTE(SUBSTITUTE(INDEX(PASTE_ALL,$DF715,$L$6)," "," "),CHAR(9)," "),CHAR(10)," "),CHAR(13)," "))),"")))</f>
        <v/>
      </c>
      <c r="DO715">
        <f>IF($DM715=0,"",IF($L$7=0,"",IFERROR(IF(ISNUMBER(INDEX(PASTE_ALL,$DF715,$L$7)),INDEX(PASTE_ALL,$DF715,$L$7),TRIM(SUBSTITUTE(SUBSTITUTE(SUBSTITUTE(SUBSTITUTE(INDEX(PASTE_ALL,$DF715,$L$7)," "," "),CHAR(9)," "),CHAR(10)," "),CHAR(13)," "))),"")))</f>
        <v/>
      </c>
      <c r="DP715">
        <f>IF($DM715=0,"",IF($L$8=0,"",IFERROR(IF(ISNUMBER(INDEX(PASTE_ALL,$DF715,$L$8)),INDEX(PASTE_ALL,$DF715,$L$8),TRIM(SUBSTITUTE(SUBSTITUTE(SUBSTITUTE(SUBSTITUTE(INDEX(PASTE_ALL,$DF715,$L$8)," "," "),CHAR(9)," "),CHAR(10)," "),CHAR(13)," "))),"")))</f>
        <v/>
      </c>
      <c r="DQ715">
        <f>IF($DM715=0,"",IF($L$9=0,"",IFERROR(IF(ISNUMBER(INDEX(PASTE_ALL,$DF715,$L$9)),INDEX(PASTE_ALL,$DF715,$L$9),TRIM(SUBSTITUTE(SUBSTITUTE(SUBSTITUTE(SUBSTITUTE(INDEX(PASTE_ALL,$DF715,$L$9)," "," "),CHAR(9)," "),CHAR(10)," "),CHAR(13)," "))),"")))</f>
        <v/>
      </c>
      <c r="DR715">
        <f>IF($DM715=0,"",IF($L$10=0,"",IFERROR(IF(ISNUMBER(INDEX(PASTE_ALL,$DF715,$L$10)),INDEX(PASTE_ALL,$DF715,$L$10),TRIM(SUBSTITUTE(SUBSTITUTE(SUBSTITUTE(SUBSTITUTE(INDEX(PASTE_ALL,$DF715,$L$10)," "," "),CHAR(9)," "),CHAR(10)," "),CHAR(13)," "))),"")))</f>
        <v/>
      </c>
      <c r="DS715">
        <f>IF($DM715=0,"",IF($L$11=0,"",IFERROR(IF(ISNUMBER(INDEX(PASTE_ALL,$DF715,$L$11)),INDEX(PASTE_ALL,$DF715,$L$11),TRIM(SUBSTITUTE(SUBSTITUTE(SUBSTITUTE(SUBSTITUTE(INDEX(PASTE_ALL,$DF715,$L$11)," "," "),CHAR(9)," "),CHAR(10)," "),CHAR(13)," "))),"")))</f>
        <v/>
      </c>
      <c r="DT715">
        <f>IF($DM715=0,"",IF($L$12=0,"",IFERROR(IF(ISNUMBER(INDEX(PASTE_ALL,$DF715,$L$12)),INDEX(PASTE_ALL,$DF715,$L$12),TRIM(SUBSTITUTE(SUBSTITUTE(SUBSTITUTE(SUBSTITUTE(INDEX(PASTE_ALL,$DF715,$L$12)," "," "),CHAR(9)," "),CHAR(10)," "),CHAR(13)," "))),"")))</f>
        <v/>
      </c>
      <c r="DU715">
        <f>IF($DM715=0,"",IF($L$13=0,"",IFERROR(IF(ISNUMBER(INDEX(PASTE_ALL,$DF715,$L$13)),INDEX(PASTE_ALL,$DF715,$L$13),TRIM(SUBSTITUTE(SUBSTITUTE(SUBSTITUTE(SUBSTITUTE(INDEX(PASTE_ALL,$DF715,$L$13)," "," "),CHAR(9)," "),CHAR(10)," "),CHAR(13)," "))),"")))</f>
        <v/>
      </c>
      <c r="DV715">
        <f>IF($DM715=0,"",IF($L$14=0,"",IFERROR(IF(ISNUMBER(INDEX(PASTE_ALL,$DF715,$L$14)),INDEX(PASTE_ALL,$DF715,$L$14),TRIM(SUBSTITUTE(SUBSTITUTE(SUBSTITUTE(SUBSTITUTE(INDEX(PASTE_ALL,$DF715,$L$14)," "," "),CHAR(9)," "),CHAR(10)," "),CHAR(13)," "))),"")))</f>
        <v/>
      </c>
      <c r="DW715">
        <f>IF($DM715=0,"",IF($L$15=0,"",IFERROR(IF(ISNUMBER(INDEX(PASTE_ALL,$DF715,$L$15)),INDEX(PASTE_ALL,$DF715,$L$15),IF(SUMPRODUCT(--ISNUMBER(FIND({"A","B","C","D","E","F","G","H","I","J","K","L","M","N","O","P","Q","R","S","T","U","V","W","X","Y","Z","0","1","2","3","4","5","6","7","8","9"},UPPER(TRIM(SUBSTITUTE(SUBSTITUTE(SUBSTITUTE(SUBSTITUTE(INDEX(PASTE_ALL,$DF715,$L$15)," "," "),CHAR(9)," "),CHAR(10)," "),CHAR(13)," "))))))&gt;0,TRIM(SUBSTITUTE(SUBSTITUTE(SUBSTITUTE(SUBSTITUTE(INDEX(PASTE_ALL,$DF715,$L$15)," "," "),CHAR(9)," "),CHAR(10)," "),CHAR(13)," ")),"")),"")))</f>
        <v/>
      </c>
      <c r="DX715">
        <f>IF($DM715=0,"",IF($L$16=0,"",IFERROR(IF(ISNUMBER(INDEX(PASTE_ALL,$DF715,$L$16)),INDEX(PASTE_ALL,$DF715,$L$16),SUBSTITUTE(SUBSTITUTE(TRIM(SUBSTITUTE(SUBSTITUTE(SUBSTITUTE(SUBSTITUTE(INDEX(PASTE_ALL,$DF715,$L$16)," "," "),CHAR(9)," "),CHAR(10)," "),CHAR(13)," ")),",",""),"%","")),"")))</f>
        <v/>
      </c>
      <c r="DY715">
        <f>IF($DM715=0,"",IFERROR(IF(ISNUMBER($DX715),$DX715,IF($DX715="","",IF(TRIM($DX715)="",0,IF(AND(AND(SUBSTITUTE(SUBSTITUTE(SUBSTITUTE(SUBSTITUTE(SUBSTITUTE(SUBSTITUTE(SUBSTITUTE(SUBSTITUTE(SUBSTITUTE(SUBSTITUTE(SUBSTITUTE(SUBSTITUTE(SUBSTITUTE(SUBSTITUTE(UPPER(TRIM($DX715)),"0",""),"1",""),"2",""),"3",""),"4",""),"5",""),"6",""),"7",""),"8",""),"9",""),".",""),"+",""),"-",""),"E","")="",LEN(SUBSTITUTE(SUBSTITUTE(MID(UPPER(TRIM($DX715)),1+OR(LEFT(UPPER(TRIM($DX715)),1)="+",LEFT(UPPER(TRIM($DX715)),1)="-"),999),"E+","E"),"E-","E"))=LEN(SUBSTITUTE(SUBSTITUTE(SUBSTITUTE(SUBSTITUTE(MID(UPPER(TRIM($DX715)),1+OR(LEFT(UPPER(TRIM($DX715)),1)="+",LEFT(UPPER(TRIM($DX715)),1)="-"),999),"E+","E"),"E-","E"),"+",""),"-","")),LEN(UPPER(TRIM($DX715)))-LEN(SUBSTITUTE(UPPER(TRIM($DX715)),"E",""))&lt;2,LEN(UPPER(TRIM($DX715)))-LEN(SUBSTITUTE(UPPER(TRIM($DX715)),".",""))&lt;2,IFERROR(FIND(".",UPPER(TRIM($DX715))),0)&lt;IFERROR(FIND("E",UPPER(TRIM($DX715))),999)),ISNUMBER(VALUE(TRIM($DX715)))),VALUE(TRIM($DX715)),"")))),""))</f>
        <v/>
      </c>
      <c r="DZ715">
        <f>IF($DM715=0,"",IF($L$17=0,"",IFERROR(IF(ISNUMBER(INDEX(PASTE_ALL,$DF715,$L$17)),INDEX(PASTE_ALL,$DF715,$L$17),SUBSTITUTE(SUBSTITUTE(TRIM(SUBSTITUTE(SUBSTITUTE(SUBSTITUTE(SUBSTITUTE(INDEX(PASTE_ALL,$DF715,$L$17)," "," "),CHAR(9)," "),CHAR(10)," "),CHAR(13)," ")),",",""),"%","")),"")))</f>
        <v/>
      </c>
      <c r="EA715">
        <f>IF($DM715=0,"",IFERROR(IF(ISNUMBER($DZ715),$DZ715,IF($DZ715="","",IF(TRIM($DZ715)="",0,IF(AND(AND(SUBSTITUTE(SUBSTITUTE(SUBSTITUTE(SUBSTITUTE(SUBSTITUTE(SUBSTITUTE(SUBSTITUTE(SUBSTITUTE(SUBSTITUTE(SUBSTITUTE(SUBSTITUTE(SUBSTITUTE(SUBSTITUTE(SUBSTITUTE(UPPER(TRIM($DZ715)),"0",""),"1",""),"2",""),"3",""),"4",""),"5",""),"6",""),"7",""),"8",""),"9",""),".",""),"+",""),"-",""),"E","")="",LEN(SUBSTITUTE(SUBSTITUTE(MID(UPPER(TRIM($DZ715)),1+OR(LEFT(UPPER(TRIM($DZ715)),1)="+",LEFT(UPPER(TRIM($DZ715)),1)="-"),999),"E+","E"),"E-","E"))=LEN(SUBSTITUTE(SUBSTITUTE(SUBSTITUTE(SUBSTITUTE(MID(UPPER(TRIM($DZ715)),1+OR(LEFT(UPPER(TRIM($DZ715)),1)="+",LEFT(UPPER(TRIM($DZ715)),1)="-"),999),"E+","E"),"E-","E"),"+",""),"-","")),LEN(UPPER(TRIM($DZ715)))-LEN(SUBSTITUTE(UPPER(TRIM($DZ715)),"E",""))&lt;2,LEN(UPPER(TRIM($DZ715)))-LEN(SUBSTITUTE(UPPER(TRIM($DZ715)),".",""))&lt;2,IFERROR(FIND(".",UPPER(TRIM($DZ715))),0)&lt;IFERROR(FIND("E",UPPER(TRIM($DZ715))),999)),ISNUMBER(VALUE(TRIM($DZ715)))),VALUE(TRIM($DZ715)),"")))),""))</f>
        <v/>
      </c>
      <c r="EB715">
        <f>IF($DM715=0,"",IF($L$18=0,"",IFERROR(IF(UPPER(TRIM(SUBSTITUTE(SUBSTITUTE(SUBSTITUTE(SUBSTITUTE(INDEX(PASTE_ALL,$DF715,$L$18)," "," "),CHAR(9)," "),CHAR(10)," "),CHAR(13)," ")))="READY","Ready",IF(UPPER(TRIM(SUBSTITUTE(SUBSTITUTE(SUBSTITUTE(SUBSTITUTE(INDEX(PASTE_ALL,$DF715,$L$18)," "," "),CHAR(9)," "),CHAR(10)," "),CHAR(13)," ")))="PM","PM",IF(OR(UPPER(TRIM(SUBSTITUTE(SUBSTITUTE(SUBSTITUTE(SUBSTITUTE(INDEX(PASTE_ALL,$DF715,$L$18)," "," "),CHAR(9)," "),CHAR(10)," "),CHAR(13)," ")))="OT",UPPER(TRIM(SUBSTITUTE(SUBSTITUTE(SUBSTITUTE(SUBSTITUTE(INDEX(PASTE_ALL,$DF715,$L$18)," "," "),CHAR(9)," "),CHAR(10)," "),CHAR(13)," ")))="OVERTIME",UPPER(TRIM(SUBSTITUTE(SUBSTITUTE(SUBSTITUTE(SUBSTITUTE(INDEX(PASTE_ALL,$DF715,$L$18)," "," "),CHAR(9)," "),CHAR(10)," "),CHAR(13)," ")))="TRIAL"),"OT",TRIM(SUBSTITUTE(SUBSTITUTE(SUBSTITUTE(SUBSTITUTE(INDEX(PASTE_ALL,$DF715,$L$18)," "," "),CHAR(9)," "),CHAR(10)," "),CHAR(13)," "))))),"")))</f>
        <v/>
      </c>
      <c r="EC715">
        <f>IF($DM715=0,"",IF($L$19=0,"",IFERROR(IF(ISNUMBER(INDEX(PASTE_ALL,$DF715,$L$19)),INDEX(PASTE_ALL,$DF715,$L$19),TRIM(SUBSTITUTE(SUBSTITUTE(SUBSTITUTE(SUBSTITUTE(INDEX(PASTE_ALL,$DF715,$L$19)," "," "),CHAR(9)," "),CHAR(10)," "),CHAR(13)," "))),"")))</f>
        <v/>
      </c>
      <c r="ED715">
        <f>IF($DM715=0,"",MATCH(1,INDEX(EXACT($DH$5:DH715,$DH715)*$DM$5:DM715,0),0))</f>
        <v/>
      </c>
      <c r="EE715">
        <f>IF($DM715=0,0,IF($ED715=$DE715,1,0))</f>
        <v/>
      </c>
      <c r="EF715">
        <f>EF714+$EE715</f>
        <v/>
      </c>
      <c r="EG715">
        <f>IF($DM715=0,"",INDEX($EF$5:$EF$1003,$ED715))</f>
        <v/>
      </c>
      <c r="EH715">
        <f>IF($DM715=0,"",IF($DO715&lt;&gt;"","",IFERROR(LOOKUP(2,1/(($EG$4:EG714=$EG715)*($DO$4:DO714&lt;&gt;"")),$DO$4:DO714),"")))</f>
        <v/>
      </c>
      <c r="EI715">
        <f>IF($DM715=0,"",IF($DO715&lt;&gt;"",$DO715,$EH715))</f>
        <v/>
      </c>
      <c r="EJ715">
        <f>IF($DM715=0,"",IF($EI715="",0,IF(OR(ISNUMBER($EI715),AND(AND(SUBSTITUTE(SUBSTITUTE(SUBSTITUTE(SUBSTITUTE(SUBSTITUTE(SUBSTITUTE(SUBSTITUTE(SUBSTITUTE(SUBSTITUTE(SUBSTITUTE(SUBSTITUTE(SUBSTITUTE(SUBSTITUTE(SUBSTITUTE(UPPER($EI715),"0",""),"1",""),"2",""),"3",""),"4",""),"5",""),"6",""),"7",""),"8",""),"9",""),".",""),"+",""),"-",""),"E","")="",LEN(SUBSTITUTE(SUBSTITUTE(MID(UPPER($EI715),1+OR(LEFT(UPPER($EI715),1)="+",LEFT(UPPER($EI715),1)="-"),999),"E+","E"),"E-","E"))=LEN(SUBSTITUTE(SUBSTITUTE(SUBSTITUTE(SUBSTITUTE(MID(UPPER($EI715),1+OR(LEFT(UPPER($EI715),1)="+",LEFT(UPPER($EI715),1)="-"),999),"E+","E"),"E-","E"),"+",""),"-","")),LEN(UPPER($EI715))-LEN(SUBSTITUTE(UPPER($EI715),"E",""))&lt;2,LEN(UPPER($EI715))-LEN(SUBSTITUTE(UPPER($EI715),".",""))&lt;2,IFERROR(FIND(".",UPPER($EI715)),0)&lt;IFERROR(FIND("E",UPPER($EI715)),999)),ISNUMBER(VALUE($EI715)))),1,2)))</f>
        <v/>
      </c>
      <c r="EK715">
        <f>IF($DM715=0,"",IF($EJ715=1,IF(ISNUMBER($EI715),$EI715,VALUE($EI715)),IF($EJ715=2,$DE715,0)))</f>
        <v/>
      </c>
      <c r="EL715">
        <f>IF($DM715=0,"",COUNTIF($EG$5:$EG$1003,"&lt;"&amp;$EG715)+SUMPRODUCT(($EG$5:$EG$1003=$EG715)*(($EJ$5:$EJ$1003&lt;$EJ715)+($EJ$5:$EJ$1003=$EJ715)*(($EK$5:$EK$1003&lt;$EK715)+($EK$5:$EK$1003=$EK715)*($DE$5:$DE$1003&lt;$DE715))))+1)</f>
        <v/>
      </c>
      <c r="EM715">
        <f>IF($DM715=0,"",$EL715+$EG715-1)</f>
        <v/>
      </c>
      <c r="EN715">
        <f>IF($DM715=0,0,IFERROR(MATCH(1,INDEX(--(TRIM(SUBSTITUTE(SUBSTITUTE(SUBSTITUTE(SUBSTITUTE(LINES_NAME&amp;""," "," "),CHAR(9)," "),CHAR(10)," "),CHAR(13)," "))=$DH715),0),0),0))</f>
        <v/>
      </c>
      <c r="EO715">
        <f>IF($EN715=0,0,IF(OR(UPPER(TRIM(INDEX(LINES_SCHEDULED,$EN715)&amp;""))="YES",UPPER(TRIM(INDEX(LINES_SCHEDULED,$EN715)&amp;""))="Y",UPPER(TRIM(INDEX(LINES_SCHEDULED,$EN715)&amp;""))="X"),1,0))</f>
        <v/>
      </c>
      <c r="EP715">
        <f>IF($DM715=0,"",IF(COUNTIFS($EG$5:$EG$1003,$EG715,$EB$5:$EB$1003,"Ready")&gt;0,"READY",IF(COUNTIFS($EG$5:$EG$1003,$EG715,$EB$5:$EB$1003,"PM")&gt;0,"PM",IF(COUNTIFS($EG$5:$EG$1003,$EG715,$EB$5:$EB$1003,"OT")&gt;0,"OT",""))))</f>
        <v/>
      </c>
      <c r="EQ715">
        <f>IF($EN715=0,"",UPPER(TRIM(INDEX(LINES_STATUS,$EN715)&amp;"")))</f>
        <v/>
      </c>
      <c r="ER715">
        <f>IF($DM715=0,"",IF(OR($EQ715="READY",$EQ715="PM",$EQ715="OT"),$EQ715,$EP715))</f>
        <v/>
      </c>
      <c r="ES715">
        <f>IF($DM715=0,"",IF(AND($DV715&lt;&gt;"",UPPER($DV715)&lt;&gt;"N"),"allergen",IF(ISNUMBER(SEARCH("oil",$DQ715)),"oil",IF(OR(EXACT($DS715,"A662"),EXACT($DS715,"A624")),"bulk",""))))</f>
        <v/>
      </c>
      <c r="ET715">
        <f>IF($DM715=0,"",IF(OR($EA715="",$EA715=0),"",$EA715/100))</f>
        <v/>
      </c>
      <c r="EU715">
        <f>IF(OR($ET715="",$DY715=""),"",INT($DY715*(1-$ET715)+0.5))</f>
        <v/>
      </c>
    </row>
    <row r="716">
      <c r="DA716" t="n">
        <v>712</v>
      </c>
      <c r="DB716">
        <f>IF($B$37=0,"",IFERROR(TRIM(SUBSTITUTE(SUBSTITUTE(SUBSTITUTE(SUBSTITUTE(INDEX(PASTE_ALL,712,$B$37)," "," "),CHAR(9)," "),CHAR(10)," "),CHAR(13)," ")),""))</f>
        <v/>
      </c>
      <c r="DC716">
        <f>IF(AND(712&gt;HEADER_ROW,UPPER(DB716)="LEGEND"),1,0)</f>
        <v/>
      </c>
      <c r="DE716" t="n">
        <v>712</v>
      </c>
      <c r="DF716">
        <f>HEADER_ROW+$DE716</f>
        <v/>
      </c>
      <c r="DG716">
        <f>IF(AND($DF716&lt;=1000,$DF716&lt;$B$8),1,0)</f>
        <v/>
      </c>
      <c r="DH716">
        <f>IF($DG716=1,IFERROR(INDEX($DB$5:$DB$1004,$DF716),""),"")</f>
        <v/>
      </c>
      <c r="DI716">
        <f>IF(AND($DG716=1,$DH716&lt;&gt;""),IFERROR(SUBSTITUTE(SUBSTITUTE(TRIM(SUBSTITUTE(SUBSTITUTE(SUBSTITUTE(SUBSTITUTE(IFERROR(INDEX(PASTE_ALL,$DF716,1)&amp;"","")&amp;"␟"&amp;IFERROR(INDEX(PASTE_ALL,$DF716,2)&amp;"","")&amp;"␟"&amp;IFERROR(INDEX(PASTE_ALL,$DF716,3)&amp;"","")&amp;"␟"&amp;IFERROR(INDEX(PASTE_ALL,$DF716,4)&amp;"","")&amp;"␟"&amp;IFERROR(INDEX(PASTE_ALL,$DF716,5)&amp;"","")&amp;"␟"&amp;IFERROR(INDEX(PASTE_ALL,$DF716,6)&amp;"","")&amp;"␟"&amp;IFERROR(INDEX(PASTE_ALL,$DF716,7)&amp;"","")&amp;"␟"&amp;IFERROR(INDEX(PASTE_ALL,$DF716,8)&amp;"","")&amp;"␟"&amp;IFERROR(INDEX(PASTE_ALL,$DF716,9)&amp;"","")&amp;"␟"&amp;IFERROR(INDEX(PASTE_ALL,$DF716,10)&amp;"","")&amp;"␟"&amp;IFERROR(INDEX(PASTE_ALL,$DF716,11)&amp;"","")&amp;"␟"&amp;IFERROR(INDEX(PASTE_ALL,$DF716,12)&amp;"","")&amp;"␟"&amp;IFERROR(INDEX(PASTE_ALL,$DF716,13)&amp;"","")&amp;"␟"&amp;IFERROR(INDEX(PASTE_ALL,$DF716,14)&amp;"","")&amp;"␟"&amp;IFERROR(INDEX(PASTE_ALL,$DF716,15)&amp;"","")&amp;"␟"&amp;IFERROR(INDEX(PASTE_ALL,$DF716,16)&amp;"","")&amp;"␟"&amp;IFERROR(INDEX(PASTE_ALL,$DF716,17)&amp;"","")&amp;"␟"&amp;IFERROR(INDEX(PASTE_ALL,$DF716,18)&amp;"","")&amp;"␟"&amp;IFERROR(INDEX(PASTE_ALL,$DF716,19)&amp;"","")&amp;"␟"&amp;IFERROR(INDEX(PASTE_ALL,$DF716,20)&amp;"","")&amp;"␟"&amp;IFERROR(INDEX(PASTE_ALL,$DF716,21)&amp;"","")&amp;"␟"&amp;IFERROR(INDEX(PASTE_ALL,$DF716,22)&amp;"","")&amp;"␟"&amp;IFERROR(INDEX(PASTE_ALL,$DF716,23)&amp;"","")&amp;"␟"&amp;IFERROR(INDEX(PASTE_ALL,$DF716,24)&amp;"","")&amp;"␟"&amp;IFERROR(INDEX(PASTE_ALL,$DF716,25)&amp;"","")&amp;"␟"&amp;IFERROR(INDEX(PASTE_ALL,$DF716,26)&amp;"","")&amp;"␟"&amp;IFERROR(INDEX(PASTE_ALL,$DF716,27)&amp;"","")&amp;"␟"&amp;IFERROR(INDEX(PASTE_ALL,$DF716,28)&amp;"","")&amp;"␟"&amp;IFERROR(INDEX(PASTE_ALL,$DF716,29)&amp;"","")&amp;"␟"&amp;IFERROR(INDEX(PASTE_ALL,$DF716,30)&amp;"","")&amp;"␟"&amp;IFERROR(INDEX(PASTE_ALL,$DF716,31)&amp;"","")&amp;"␟"&amp;IFERROR(INDEX(PASTE_ALL,$DF716,32)&amp;"","")&amp;"␟"&amp;IFERROR(INDEX(PASTE_ALL,$DF716,33)&amp;"","")&amp;"␟"&amp;IFERROR(INDEX(PASTE_ALL,$DF716,34)&amp;"","")&amp;"␟"&amp;IFERROR(INDEX(PASTE_ALL,$DF716,35)&amp;"","")&amp;"␟"&amp;IFERROR(INDEX(PASTE_ALL,$DF716,36)&amp;"","")&amp;"␟"&amp;IFERROR(INDEX(PASTE_ALL,$DF716,37)&amp;"","")&amp;"␟"&amp;IFERROR(INDEX(PASTE_ALL,$DF716,38)&amp;"","")&amp;"␟"&amp;IFERROR(INDEX(PASTE_ALL,$DF716,39)&amp;"","")&amp;"␟"&amp;IFERROR(INDEX(PASTE_ALL,$DF716,40)&amp;"","")&amp;"␟"&amp;IFERROR(INDEX(PASTE_ALL,$DF716,41)&amp;"","")&amp;"␟"&amp;IFERROR(INDEX(PASTE_ALL,$DF716,42)&amp;"","")&amp;"␟"&amp;IFERROR(INDEX(PASTE_ALL,$DF716,43)&amp;"","")&amp;"␟"&amp;IFERROR(INDEX(PASTE_ALL,$DF716,44)&amp;"","")&amp;"␟"&amp;IFERROR(INDEX(PASTE_ALL,$DF716,45)&amp;"","")&amp;"␟"&amp;IFERROR(INDEX(PASTE_ALL,$DF716,46)&amp;"","")&amp;"␟"&amp;IFERROR(INDEX(PASTE_ALL,$DF716,47)&amp;"","")&amp;"␟"&amp;IFERROR(INDEX(PASTE_ALL,$DF716,48)&amp;"","")&amp;"␟"&amp;IFERROR(INDEX(PASTE_ALL,$DF716,49)&amp;"","")&amp;"␟"&amp;IFERROR(INDEX(PASTE_ALL,$DF716,50)&amp;"","")&amp;"␟"&amp;IFERROR(INDEX(PASTE_ALL,$DF716,51)&amp;"","")&amp;"␟"&amp;IFERROR(INDEX(PASTE_ALL,$DF716,52)&amp;"","")&amp;"␟"&amp;IFERROR(INDEX(PASTE_ALL,$DF716,53)&amp;"","")&amp;"␟"&amp;IFERROR(INDEX(PASTE_ALL,$DF716,54)&amp;"","")&amp;"␟"&amp;IFERROR(INDEX(PASTE_ALL,$DF716,55)&amp;"","")&amp;"␟"&amp;IFERROR(INDEX(PASTE_ALL,$DF716,56)&amp;"","")&amp;"␟"&amp;IFERROR(INDEX(PASTE_ALL,$DF716,57)&amp;"","")&amp;"␟"&amp;IFERROR(INDEX(PASTE_ALL,$DF716,58)&amp;"","")&amp;"␟"&amp;IFERROR(INDEX(PASTE_ALL,$DF716,59)&amp;"","")&amp;"␟"&amp;IFERROR(INDEX(PASTE_ALL,$DF716,60)&amp;"","")," "," "),CHAR(9)," "),CHAR(10)," "),CHAR(13)," "))," ␟","␟"),"␟ ","␟"),"#"&amp;$DE716),"")</f>
        <v/>
      </c>
      <c r="DJ716">
        <f>IF($DI716="",0,IF(SUMPRODUCT(--EXACT($DI$4:DI715,$DI716))&gt;0,1,0))</f>
        <v/>
      </c>
      <c r="DK716">
        <f>IF(AND($DI716&lt;&gt;"",$DJ716=0),1,0)</f>
        <v/>
      </c>
      <c r="DL716">
        <f>DL715+$DK716</f>
        <v/>
      </c>
      <c r="DM716">
        <f>IF(AND($DK716=1,$DL716&lt;=600),1,0)</f>
        <v/>
      </c>
      <c r="DN716">
        <f>IF($DM716=0,"",IF($L$6=0,"",IFERROR(IF(ISNUMBER(INDEX(PASTE_ALL,$DF716,$L$6)),INDEX(PASTE_ALL,$DF716,$L$6),TRIM(SUBSTITUTE(SUBSTITUTE(SUBSTITUTE(SUBSTITUTE(INDEX(PASTE_ALL,$DF716,$L$6)," "," "),CHAR(9)," "),CHAR(10)," "),CHAR(13)," "))),"")))</f>
        <v/>
      </c>
      <c r="DO716">
        <f>IF($DM716=0,"",IF($L$7=0,"",IFERROR(IF(ISNUMBER(INDEX(PASTE_ALL,$DF716,$L$7)),INDEX(PASTE_ALL,$DF716,$L$7),TRIM(SUBSTITUTE(SUBSTITUTE(SUBSTITUTE(SUBSTITUTE(INDEX(PASTE_ALL,$DF716,$L$7)," "," "),CHAR(9)," "),CHAR(10)," "),CHAR(13)," "))),"")))</f>
        <v/>
      </c>
      <c r="DP716">
        <f>IF($DM716=0,"",IF($L$8=0,"",IFERROR(IF(ISNUMBER(INDEX(PASTE_ALL,$DF716,$L$8)),INDEX(PASTE_ALL,$DF716,$L$8),TRIM(SUBSTITUTE(SUBSTITUTE(SUBSTITUTE(SUBSTITUTE(INDEX(PASTE_ALL,$DF716,$L$8)," "," "),CHAR(9)," "),CHAR(10)," "),CHAR(13)," "))),"")))</f>
        <v/>
      </c>
      <c r="DQ716">
        <f>IF($DM716=0,"",IF($L$9=0,"",IFERROR(IF(ISNUMBER(INDEX(PASTE_ALL,$DF716,$L$9)),INDEX(PASTE_ALL,$DF716,$L$9),TRIM(SUBSTITUTE(SUBSTITUTE(SUBSTITUTE(SUBSTITUTE(INDEX(PASTE_ALL,$DF716,$L$9)," "," "),CHAR(9)," "),CHAR(10)," "),CHAR(13)," "))),"")))</f>
        <v/>
      </c>
      <c r="DR716">
        <f>IF($DM716=0,"",IF($L$10=0,"",IFERROR(IF(ISNUMBER(INDEX(PASTE_ALL,$DF716,$L$10)),INDEX(PASTE_ALL,$DF716,$L$10),TRIM(SUBSTITUTE(SUBSTITUTE(SUBSTITUTE(SUBSTITUTE(INDEX(PASTE_ALL,$DF716,$L$10)," "," "),CHAR(9)," "),CHAR(10)," "),CHAR(13)," "))),"")))</f>
        <v/>
      </c>
      <c r="DS716">
        <f>IF($DM716=0,"",IF($L$11=0,"",IFERROR(IF(ISNUMBER(INDEX(PASTE_ALL,$DF716,$L$11)),INDEX(PASTE_ALL,$DF716,$L$11),TRIM(SUBSTITUTE(SUBSTITUTE(SUBSTITUTE(SUBSTITUTE(INDEX(PASTE_ALL,$DF716,$L$11)," "," "),CHAR(9)," "),CHAR(10)," "),CHAR(13)," "))),"")))</f>
        <v/>
      </c>
      <c r="DT716">
        <f>IF($DM716=0,"",IF($L$12=0,"",IFERROR(IF(ISNUMBER(INDEX(PASTE_ALL,$DF716,$L$12)),INDEX(PASTE_ALL,$DF716,$L$12),TRIM(SUBSTITUTE(SUBSTITUTE(SUBSTITUTE(SUBSTITUTE(INDEX(PASTE_ALL,$DF716,$L$12)," "," "),CHAR(9)," "),CHAR(10)," "),CHAR(13)," "))),"")))</f>
        <v/>
      </c>
      <c r="DU716">
        <f>IF($DM716=0,"",IF($L$13=0,"",IFERROR(IF(ISNUMBER(INDEX(PASTE_ALL,$DF716,$L$13)),INDEX(PASTE_ALL,$DF716,$L$13),TRIM(SUBSTITUTE(SUBSTITUTE(SUBSTITUTE(SUBSTITUTE(INDEX(PASTE_ALL,$DF716,$L$13)," "," "),CHAR(9)," "),CHAR(10)," "),CHAR(13)," "))),"")))</f>
        <v/>
      </c>
      <c r="DV716">
        <f>IF($DM716=0,"",IF($L$14=0,"",IFERROR(IF(ISNUMBER(INDEX(PASTE_ALL,$DF716,$L$14)),INDEX(PASTE_ALL,$DF716,$L$14),TRIM(SUBSTITUTE(SUBSTITUTE(SUBSTITUTE(SUBSTITUTE(INDEX(PASTE_ALL,$DF716,$L$14)," "," "),CHAR(9)," "),CHAR(10)," "),CHAR(13)," "))),"")))</f>
        <v/>
      </c>
      <c r="DW716">
        <f>IF($DM716=0,"",IF($L$15=0,"",IFERROR(IF(ISNUMBER(INDEX(PASTE_ALL,$DF716,$L$15)),INDEX(PASTE_ALL,$DF716,$L$15),IF(SUMPRODUCT(--ISNUMBER(FIND({"A","B","C","D","E","F","G","H","I","J","K","L","M","N","O","P","Q","R","S","T","U","V","W","X","Y","Z","0","1","2","3","4","5","6","7","8","9"},UPPER(TRIM(SUBSTITUTE(SUBSTITUTE(SUBSTITUTE(SUBSTITUTE(INDEX(PASTE_ALL,$DF716,$L$15)," "," "),CHAR(9)," "),CHAR(10)," "),CHAR(13)," "))))))&gt;0,TRIM(SUBSTITUTE(SUBSTITUTE(SUBSTITUTE(SUBSTITUTE(INDEX(PASTE_ALL,$DF716,$L$15)," "," "),CHAR(9)," "),CHAR(10)," "),CHAR(13)," ")),"")),"")))</f>
        <v/>
      </c>
      <c r="DX716">
        <f>IF($DM716=0,"",IF($L$16=0,"",IFERROR(IF(ISNUMBER(INDEX(PASTE_ALL,$DF716,$L$16)),INDEX(PASTE_ALL,$DF716,$L$16),SUBSTITUTE(SUBSTITUTE(TRIM(SUBSTITUTE(SUBSTITUTE(SUBSTITUTE(SUBSTITUTE(INDEX(PASTE_ALL,$DF716,$L$16)," "," "),CHAR(9)," "),CHAR(10)," "),CHAR(13)," ")),",",""),"%","")),"")))</f>
        <v/>
      </c>
      <c r="DY716">
        <f>IF($DM716=0,"",IFERROR(IF(ISNUMBER($DX716),$DX716,IF($DX716="","",IF(TRIM($DX716)="",0,IF(AND(AND(SUBSTITUTE(SUBSTITUTE(SUBSTITUTE(SUBSTITUTE(SUBSTITUTE(SUBSTITUTE(SUBSTITUTE(SUBSTITUTE(SUBSTITUTE(SUBSTITUTE(SUBSTITUTE(SUBSTITUTE(SUBSTITUTE(SUBSTITUTE(UPPER(TRIM($DX716)),"0",""),"1",""),"2",""),"3",""),"4",""),"5",""),"6",""),"7",""),"8",""),"9",""),".",""),"+",""),"-",""),"E","")="",LEN(SUBSTITUTE(SUBSTITUTE(MID(UPPER(TRIM($DX716)),1+OR(LEFT(UPPER(TRIM($DX716)),1)="+",LEFT(UPPER(TRIM($DX716)),1)="-"),999),"E+","E"),"E-","E"))=LEN(SUBSTITUTE(SUBSTITUTE(SUBSTITUTE(SUBSTITUTE(MID(UPPER(TRIM($DX716)),1+OR(LEFT(UPPER(TRIM($DX716)),1)="+",LEFT(UPPER(TRIM($DX716)),1)="-"),999),"E+","E"),"E-","E"),"+",""),"-","")),LEN(UPPER(TRIM($DX716)))-LEN(SUBSTITUTE(UPPER(TRIM($DX716)),"E",""))&lt;2,LEN(UPPER(TRIM($DX716)))-LEN(SUBSTITUTE(UPPER(TRIM($DX716)),".",""))&lt;2,IFERROR(FIND(".",UPPER(TRIM($DX716))),0)&lt;IFERROR(FIND("E",UPPER(TRIM($DX716))),999)),ISNUMBER(VALUE(TRIM($DX716)))),VALUE(TRIM($DX716)),"")))),""))</f>
        <v/>
      </c>
      <c r="DZ716">
        <f>IF($DM716=0,"",IF($L$17=0,"",IFERROR(IF(ISNUMBER(INDEX(PASTE_ALL,$DF716,$L$17)),INDEX(PASTE_ALL,$DF716,$L$17),SUBSTITUTE(SUBSTITUTE(TRIM(SUBSTITUTE(SUBSTITUTE(SUBSTITUTE(SUBSTITUTE(INDEX(PASTE_ALL,$DF716,$L$17)," "," "),CHAR(9)," "),CHAR(10)," "),CHAR(13)," ")),",",""),"%","")),"")))</f>
        <v/>
      </c>
      <c r="EA716">
        <f>IF($DM716=0,"",IFERROR(IF(ISNUMBER($DZ716),$DZ716,IF($DZ716="","",IF(TRIM($DZ716)="",0,IF(AND(AND(SUBSTITUTE(SUBSTITUTE(SUBSTITUTE(SUBSTITUTE(SUBSTITUTE(SUBSTITUTE(SUBSTITUTE(SUBSTITUTE(SUBSTITUTE(SUBSTITUTE(SUBSTITUTE(SUBSTITUTE(SUBSTITUTE(SUBSTITUTE(UPPER(TRIM($DZ716)),"0",""),"1",""),"2",""),"3",""),"4",""),"5",""),"6",""),"7",""),"8",""),"9",""),".",""),"+",""),"-",""),"E","")="",LEN(SUBSTITUTE(SUBSTITUTE(MID(UPPER(TRIM($DZ716)),1+OR(LEFT(UPPER(TRIM($DZ716)),1)="+",LEFT(UPPER(TRIM($DZ716)),1)="-"),999),"E+","E"),"E-","E"))=LEN(SUBSTITUTE(SUBSTITUTE(SUBSTITUTE(SUBSTITUTE(MID(UPPER(TRIM($DZ716)),1+OR(LEFT(UPPER(TRIM($DZ716)),1)="+",LEFT(UPPER(TRIM($DZ716)),1)="-"),999),"E+","E"),"E-","E"),"+",""),"-","")),LEN(UPPER(TRIM($DZ716)))-LEN(SUBSTITUTE(UPPER(TRIM($DZ716)),"E",""))&lt;2,LEN(UPPER(TRIM($DZ716)))-LEN(SUBSTITUTE(UPPER(TRIM($DZ716)),".",""))&lt;2,IFERROR(FIND(".",UPPER(TRIM($DZ716))),0)&lt;IFERROR(FIND("E",UPPER(TRIM($DZ716))),999)),ISNUMBER(VALUE(TRIM($DZ716)))),VALUE(TRIM($DZ716)),"")))),""))</f>
        <v/>
      </c>
      <c r="EB716">
        <f>IF($DM716=0,"",IF($L$18=0,"",IFERROR(IF(UPPER(TRIM(SUBSTITUTE(SUBSTITUTE(SUBSTITUTE(SUBSTITUTE(INDEX(PASTE_ALL,$DF716,$L$18)," "," "),CHAR(9)," "),CHAR(10)," "),CHAR(13)," ")))="READY","Ready",IF(UPPER(TRIM(SUBSTITUTE(SUBSTITUTE(SUBSTITUTE(SUBSTITUTE(INDEX(PASTE_ALL,$DF716,$L$18)," "," "),CHAR(9)," "),CHAR(10)," "),CHAR(13)," ")))="PM","PM",IF(OR(UPPER(TRIM(SUBSTITUTE(SUBSTITUTE(SUBSTITUTE(SUBSTITUTE(INDEX(PASTE_ALL,$DF716,$L$18)," "," "),CHAR(9)," "),CHAR(10)," "),CHAR(13)," ")))="OT",UPPER(TRIM(SUBSTITUTE(SUBSTITUTE(SUBSTITUTE(SUBSTITUTE(INDEX(PASTE_ALL,$DF716,$L$18)," "," "),CHAR(9)," "),CHAR(10)," "),CHAR(13)," ")))="OVERTIME",UPPER(TRIM(SUBSTITUTE(SUBSTITUTE(SUBSTITUTE(SUBSTITUTE(INDEX(PASTE_ALL,$DF716,$L$18)," "," "),CHAR(9)," "),CHAR(10)," "),CHAR(13)," ")))="TRIAL"),"OT",TRIM(SUBSTITUTE(SUBSTITUTE(SUBSTITUTE(SUBSTITUTE(INDEX(PASTE_ALL,$DF716,$L$18)," "," "),CHAR(9)," "),CHAR(10)," "),CHAR(13)," "))))),"")))</f>
        <v/>
      </c>
      <c r="EC716">
        <f>IF($DM716=0,"",IF($L$19=0,"",IFERROR(IF(ISNUMBER(INDEX(PASTE_ALL,$DF716,$L$19)),INDEX(PASTE_ALL,$DF716,$L$19),TRIM(SUBSTITUTE(SUBSTITUTE(SUBSTITUTE(SUBSTITUTE(INDEX(PASTE_ALL,$DF716,$L$19)," "," "),CHAR(9)," "),CHAR(10)," "),CHAR(13)," "))),"")))</f>
        <v/>
      </c>
      <c r="ED716">
        <f>IF($DM716=0,"",MATCH(1,INDEX(EXACT($DH$5:DH716,$DH716)*$DM$5:DM716,0),0))</f>
        <v/>
      </c>
      <c r="EE716">
        <f>IF($DM716=0,0,IF($ED716=$DE716,1,0))</f>
        <v/>
      </c>
      <c r="EF716">
        <f>EF715+$EE716</f>
        <v/>
      </c>
      <c r="EG716">
        <f>IF($DM716=0,"",INDEX($EF$5:$EF$1003,$ED716))</f>
        <v/>
      </c>
      <c r="EH716">
        <f>IF($DM716=0,"",IF($DO716&lt;&gt;"","",IFERROR(LOOKUP(2,1/(($EG$4:EG715=$EG716)*($DO$4:DO715&lt;&gt;"")),$DO$4:DO715),"")))</f>
        <v/>
      </c>
      <c r="EI716">
        <f>IF($DM716=0,"",IF($DO716&lt;&gt;"",$DO716,$EH716))</f>
        <v/>
      </c>
      <c r="EJ716">
        <f>IF($DM716=0,"",IF($EI716="",0,IF(OR(ISNUMBER($EI716),AND(AND(SUBSTITUTE(SUBSTITUTE(SUBSTITUTE(SUBSTITUTE(SUBSTITUTE(SUBSTITUTE(SUBSTITUTE(SUBSTITUTE(SUBSTITUTE(SUBSTITUTE(SUBSTITUTE(SUBSTITUTE(SUBSTITUTE(SUBSTITUTE(UPPER($EI716),"0",""),"1",""),"2",""),"3",""),"4",""),"5",""),"6",""),"7",""),"8",""),"9",""),".",""),"+",""),"-",""),"E","")="",LEN(SUBSTITUTE(SUBSTITUTE(MID(UPPER($EI716),1+OR(LEFT(UPPER($EI716),1)="+",LEFT(UPPER($EI716),1)="-"),999),"E+","E"),"E-","E"))=LEN(SUBSTITUTE(SUBSTITUTE(SUBSTITUTE(SUBSTITUTE(MID(UPPER($EI716),1+OR(LEFT(UPPER($EI716),1)="+",LEFT(UPPER($EI716),1)="-"),999),"E+","E"),"E-","E"),"+",""),"-","")),LEN(UPPER($EI716))-LEN(SUBSTITUTE(UPPER($EI716),"E",""))&lt;2,LEN(UPPER($EI716))-LEN(SUBSTITUTE(UPPER($EI716),".",""))&lt;2,IFERROR(FIND(".",UPPER($EI716)),0)&lt;IFERROR(FIND("E",UPPER($EI716)),999)),ISNUMBER(VALUE($EI716)))),1,2)))</f>
        <v/>
      </c>
      <c r="EK716">
        <f>IF($DM716=0,"",IF($EJ716=1,IF(ISNUMBER($EI716),$EI716,VALUE($EI716)),IF($EJ716=2,$DE716,0)))</f>
        <v/>
      </c>
      <c r="EL716">
        <f>IF($DM716=0,"",COUNTIF($EG$5:$EG$1003,"&lt;"&amp;$EG716)+SUMPRODUCT(($EG$5:$EG$1003=$EG716)*(($EJ$5:$EJ$1003&lt;$EJ716)+($EJ$5:$EJ$1003=$EJ716)*(($EK$5:$EK$1003&lt;$EK716)+($EK$5:$EK$1003=$EK716)*($DE$5:$DE$1003&lt;$DE716))))+1)</f>
        <v/>
      </c>
      <c r="EM716">
        <f>IF($DM716=0,"",$EL716+$EG716-1)</f>
        <v/>
      </c>
      <c r="EN716">
        <f>IF($DM716=0,0,IFERROR(MATCH(1,INDEX(--(TRIM(SUBSTITUTE(SUBSTITUTE(SUBSTITUTE(SUBSTITUTE(LINES_NAME&amp;""," "," "),CHAR(9)," "),CHAR(10)," "),CHAR(13)," "))=$DH716),0),0),0))</f>
        <v/>
      </c>
      <c r="EO716">
        <f>IF($EN716=0,0,IF(OR(UPPER(TRIM(INDEX(LINES_SCHEDULED,$EN716)&amp;""))="YES",UPPER(TRIM(INDEX(LINES_SCHEDULED,$EN716)&amp;""))="Y",UPPER(TRIM(INDEX(LINES_SCHEDULED,$EN716)&amp;""))="X"),1,0))</f>
        <v/>
      </c>
      <c r="EP716">
        <f>IF($DM716=0,"",IF(COUNTIFS($EG$5:$EG$1003,$EG716,$EB$5:$EB$1003,"Ready")&gt;0,"READY",IF(COUNTIFS($EG$5:$EG$1003,$EG716,$EB$5:$EB$1003,"PM")&gt;0,"PM",IF(COUNTIFS($EG$5:$EG$1003,$EG716,$EB$5:$EB$1003,"OT")&gt;0,"OT",""))))</f>
        <v/>
      </c>
      <c r="EQ716">
        <f>IF($EN716=0,"",UPPER(TRIM(INDEX(LINES_STATUS,$EN716)&amp;"")))</f>
        <v/>
      </c>
      <c r="ER716">
        <f>IF($DM716=0,"",IF(OR($EQ716="READY",$EQ716="PM",$EQ716="OT"),$EQ716,$EP716))</f>
        <v/>
      </c>
      <c r="ES716">
        <f>IF($DM716=0,"",IF(AND($DV716&lt;&gt;"",UPPER($DV716)&lt;&gt;"N"),"allergen",IF(ISNUMBER(SEARCH("oil",$DQ716)),"oil",IF(OR(EXACT($DS716,"A662"),EXACT($DS716,"A624")),"bulk",""))))</f>
        <v/>
      </c>
      <c r="ET716">
        <f>IF($DM716=0,"",IF(OR($EA716="",$EA716=0),"",$EA716/100))</f>
        <v/>
      </c>
      <c r="EU716">
        <f>IF(OR($ET716="",$DY716=""),"",INT($DY716*(1-$ET716)+0.5))</f>
        <v/>
      </c>
    </row>
    <row r="717">
      <c r="DA717" t="n">
        <v>713</v>
      </c>
      <c r="DB717">
        <f>IF($B$37=0,"",IFERROR(TRIM(SUBSTITUTE(SUBSTITUTE(SUBSTITUTE(SUBSTITUTE(INDEX(PASTE_ALL,713,$B$37)," "," "),CHAR(9)," "),CHAR(10)," "),CHAR(13)," ")),""))</f>
        <v/>
      </c>
      <c r="DC717">
        <f>IF(AND(713&gt;HEADER_ROW,UPPER(DB717)="LEGEND"),1,0)</f>
        <v/>
      </c>
      <c r="DE717" t="n">
        <v>713</v>
      </c>
      <c r="DF717">
        <f>HEADER_ROW+$DE717</f>
        <v/>
      </c>
      <c r="DG717">
        <f>IF(AND($DF717&lt;=1000,$DF717&lt;$B$8),1,0)</f>
        <v/>
      </c>
      <c r="DH717">
        <f>IF($DG717=1,IFERROR(INDEX($DB$5:$DB$1004,$DF717),""),"")</f>
        <v/>
      </c>
      <c r="DI717">
        <f>IF(AND($DG717=1,$DH717&lt;&gt;""),IFERROR(SUBSTITUTE(SUBSTITUTE(TRIM(SUBSTITUTE(SUBSTITUTE(SUBSTITUTE(SUBSTITUTE(IFERROR(INDEX(PASTE_ALL,$DF717,1)&amp;"","")&amp;"␟"&amp;IFERROR(INDEX(PASTE_ALL,$DF717,2)&amp;"","")&amp;"␟"&amp;IFERROR(INDEX(PASTE_ALL,$DF717,3)&amp;"","")&amp;"␟"&amp;IFERROR(INDEX(PASTE_ALL,$DF717,4)&amp;"","")&amp;"␟"&amp;IFERROR(INDEX(PASTE_ALL,$DF717,5)&amp;"","")&amp;"␟"&amp;IFERROR(INDEX(PASTE_ALL,$DF717,6)&amp;"","")&amp;"␟"&amp;IFERROR(INDEX(PASTE_ALL,$DF717,7)&amp;"","")&amp;"␟"&amp;IFERROR(INDEX(PASTE_ALL,$DF717,8)&amp;"","")&amp;"␟"&amp;IFERROR(INDEX(PASTE_ALL,$DF717,9)&amp;"","")&amp;"␟"&amp;IFERROR(INDEX(PASTE_ALL,$DF717,10)&amp;"","")&amp;"␟"&amp;IFERROR(INDEX(PASTE_ALL,$DF717,11)&amp;"","")&amp;"␟"&amp;IFERROR(INDEX(PASTE_ALL,$DF717,12)&amp;"","")&amp;"␟"&amp;IFERROR(INDEX(PASTE_ALL,$DF717,13)&amp;"","")&amp;"␟"&amp;IFERROR(INDEX(PASTE_ALL,$DF717,14)&amp;"","")&amp;"␟"&amp;IFERROR(INDEX(PASTE_ALL,$DF717,15)&amp;"","")&amp;"␟"&amp;IFERROR(INDEX(PASTE_ALL,$DF717,16)&amp;"","")&amp;"␟"&amp;IFERROR(INDEX(PASTE_ALL,$DF717,17)&amp;"","")&amp;"␟"&amp;IFERROR(INDEX(PASTE_ALL,$DF717,18)&amp;"","")&amp;"␟"&amp;IFERROR(INDEX(PASTE_ALL,$DF717,19)&amp;"","")&amp;"␟"&amp;IFERROR(INDEX(PASTE_ALL,$DF717,20)&amp;"","")&amp;"␟"&amp;IFERROR(INDEX(PASTE_ALL,$DF717,21)&amp;"","")&amp;"␟"&amp;IFERROR(INDEX(PASTE_ALL,$DF717,22)&amp;"","")&amp;"␟"&amp;IFERROR(INDEX(PASTE_ALL,$DF717,23)&amp;"","")&amp;"␟"&amp;IFERROR(INDEX(PASTE_ALL,$DF717,24)&amp;"","")&amp;"␟"&amp;IFERROR(INDEX(PASTE_ALL,$DF717,25)&amp;"","")&amp;"␟"&amp;IFERROR(INDEX(PASTE_ALL,$DF717,26)&amp;"","")&amp;"␟"&amp;IFERROR(INDEX(PASTE_ALL,$DF717,27)&amp;"","")&amp;"␟"&amp;IFERROR(INDEX(PASTE_ALL,$DF717,28)&amp;"","")&amp;"␟"&amp;IFERROR(INDEX(PASTE_ALL,$DF717,29)&amp;"","")&amp;"␟"&amp;IFERROR(INDEX(PASTE_ALL,$DF717,30)&amp;"","")&amp;"␟"&amp;IFERROR(INDEX(PASTE_ALL,$DF717,31)&amp;"","")&amp;"␟"&amp;IFERROR(INDEX(PASTE_ALL,$DF717,32)&amp;"","")&amp;"␟"&amp;IFERROR(INDEX(PASTE_ALL,$DF717,33)&amp;"","")&amp;"␟"&amp;IFERROR(INDEX(PASTE_ALL,$DF717,34)&amp;"","")&amp;"␟"&amp;IFERROR(INDEX(PASTE_ALL,$DF717,35)&amp;"","")&amp;"␟"&amp;IFERROR(INDEX(PASTE_ALL,$DF717,36)&amp;"","")&amp;"␟"&amp;IFERROR(INDEX(PASTE_ALL,$DF717,37)&amp;"","")&amp;"␟"&amp;IFERROR(INDEX(PASTE_ALL,$DF717,38)&amp;"","")&amp;"␟"&amp;IFERROR(INDEX(PASTE_ALL,$DF717,39)&amp;"","")&amp;"␟"&amp;IFERROR(INDEX(PASTE_ALL,$DF717,40)&amp;"","")&amp;"␟"&amp;IFERROR(INDEX(PASTE_ALL,$DF717,41)&amp;"","")&amp;"␟"&amp;IFERROR(INDEX(PASTE_ALL,$DF717,42)&amp;"","")&amp;"␟"&amp;IFERROR(INDEX(PASTE_ALL,$DF717,43)&amp;"","")&amp;"␟"&amp;IFERROR(INDEX(PASTE_ALL,$DF717,44)&amp;"","")&amp;"␟"&amp;IFERROR(INDEX(PASTE_ALL,$DF717,45)&amp;"","")&amp;"␟"&amp;IFERROR(INDEX(PASTE_ALL,$DF717,46)&amp;"","")&amp;"␟"&amp;IFERROR(INDEX(PASTE_ALL,$DF717,47)&amp;"","")&amp;"␟"&amp;IFERROR(INDEX(PASTE_ALL,$DF717,48)&amp;"","")&amp;"␟"&amp;IFERROR(INDEX(PASTE_ALL,$DF717,49)&amp;"","")&amp;"␟"&amp;IFERROR(INDEX(PASTE_ALL,$DF717,50)&amp;"","")&amp;"␟"&amp;IFERROR(INDEX(PASTE_ALL,$DF717,51)&amp;"","")&amp;"␟"&amp;IFERROR(INDEX(PASTE_ALL,$DF717,52)&amp;"","")&amp;"␟"&amp;IFERROR(INDEX(PASTE_ALL,$DF717,53)&amp;"","")&amp;"␟"&amp;IFERROR(INDEX(PASTE_ALL,$DF717,54)&amp;"","")&amp;"␟"&amp;IFERROR(INDEX(PASTE_ALL,$DF717,55)&amp;"","")&amp;"␟"&amp;IFERROR(INDEX(PASTE_ALL,$DF717,56)&amp;"","")&amp;"␟"&amp;IFERROR(INDEX(PASTE_ALL,$DF717,57)&amp;"","")&amp;"␟"&amp;IFERROR(INDEX(PASTE_ALL,$DF717,58)&amp;"","")&amp;"␟"&amp;IFERROR(INDEX(PASTE_ALL,$DF717,59)&amp;"","")&amp;"␟"&amp;IFERROR(INDEX(PASTE_ALL,$DF717,60)&amp;"","")," "," "),CHAR(9)," "),CHAR(10)," "),CHAR(13)," "))," ␟","␟"),"␟ ","␟"),"#"&amp;$DE717),"")</f>
        <v/>
      </c>
      <c r="DJ717">
        <f>IF($DI717="",0,IF(SUMPRODUCT(--EXACT($DI$4:DI716,$DI717))&gt;0,1,0))</f>
        <v/>
      </c>
      <c r="DK717">
        <f>IF(AND($DI717&lt;&gt;"",$DJ717=0),1,0)</f>
        <v/>
      </c>
      <c r="DL717">
        <f>DL716+$DK717</f>
        <v/>
      </c>
      <c r="DM717">
        <f>IF(AND($DK717=1,$DL717&lt;=600),1,0)</f>
        <v/>
      </c>
      <c r="DN717">
        <f>IF($DM717=0,"",IF($L$6=0,"",IFERROR(IF(ISNUMBER(INDEX(PASTE_ALL,$DF717,$L$6)),INDEX(PASTE_ALL,$DF717,$L$6),TRIM(SUBSTITUTE(SUBSTITUTE(SUBSTITUTE(SUBSTITUTE(INDEX(PASTE_ALL,$DF717,$L$6)," "," "),CHAR(9)," "),CHAR(10)," "),CHAR(13)," "))),"")))</f>
        <v/>
      </c>
      <c r="DO717">
        <f>IF($DM717=0,"",IF($L$7=0,"",IFERROR(IF(ISNUMBER(INDEX(PASTE_ALL,$DF717,$L$7)),INDEX(PASTE_ALL,$DF717,$L$7),TRIM(SUBSTITUTE(SUBSTITUTE(SUBSTITUTE(SUBSTITUTE(INDEX(PASTE_ALL,$DF717,$L$7)," "," "),CHAR(9)," "),CHAR(10)," "),CHAR(13)," "))),"")))</f>
        <v/>
      </c>
      <c r="DP717">
        <f>IF($DM717=0,"",IF($L$8=0,"",IFERROR(IF(ISNUMBER(INDEX(PASTE_ALL,$DF717,$L$8)),INDEX(PASTE_ALL,$DF717,$L$8),TRIM(SUBSTITUTE(SUBSTITUTE(SUBSTITUTE(SUBSTITUTE(INDEX(PASTE_ALL,$DF717,$L$8)," "," "),CHAR(9)," "),CHAR(10)," "),CHAR(13)," "))),"")))</f>
        <v/>
      </c>
      <c r="DQ717">
        <f>IF($DM717=0,"",IF($L$9=0,"",IFERROR(IF(ISNUMBER(INDEX(PASTE_ALL,$DF717,$L$9)),INDEX(PASTE_ALL,$DF717,$L$9),TRIM(SUBSTITUTE(SUBSTITUTE(SUBSTITUTE(SUBSTITUTE(INDEX(PASTE_ALL,$DF717,$L$9)," "," "),CHAR(9)," "),CHAR(10)," "),CHAR(13)," "))),"")))</f>
        <v/>
      </c>
      <c r="DR717">
        <f>IF($DM717=0,"",IF($L$10=0,"",IFERROR(IF(ISNUMBER(INDEX(PASTE_ALL,$DF717,$L$10)),INDEX(PASTE_ALL,$DF717,$L$10),TRIM(SUBSTITUTE(SUBSTITUTE(SUBSTITUTE(SUBSTITUTE(INDEX(PASTE_ALL,$DF717,$L$10)," "," "),CHAR(9)," "),CHAR(10)," "),CHAR(13)," "))),"")))</f>
        <v/>
      </c>
      <c r="DS717">
        <f>IF($DM717=0,"",IF($L$11=0,"",IFERROR(IF(ISNUMBER(INDEX(PASTE_ALL,$DF717,$L$11)),INDEX(PASTE_ALL,$DF717,$L$11),TRIM(SUBSTITUTE(SUBSTITUTE(SUBSTITUTE(SUBSTITUTE(INDEX(PASTE_ALL,$DF717,$L$11)," "," "),CHAR(9)," "),CHAR(10)," "),CHAR(13)," "))),"")))</f>
        <v/>
      </c>
      <c r="DT717">
        <f>IF($DM717=0,"",IF($L$12=0,"",IFERROR(IF(ISNUMBER(INDEX(PASTE_ALL,$DF717,$L$12)),INDEX(PASTE_ALL,$DF717,$L$12),TRIM(SUBSTITUTE(SUBSTITUTE(SUBSTITUTE(SUBSTITUTE(INDEX(PASTE_ALL,$DF717,$L$12)," "," "),CHAR(9)," "),CHAR(10)," "),CHAR(13)," "))),"")))</f>
        <v/>
      </c>
      <c r="DU717">
        <f>IF($DM717=0,"",IF($L$13=0,"",IFERROR(IF(ISNUMBER(INDEX(PASTE_ALL,$DF717,$L$13)),INDEX(PASTE_ALL,$DF717,$L$13),TRIM(SUBSTITUTE(SUBSTITUTE(SUBSTITUTE(SUBSTITUTE(INDEX(PASTE_ALL,$DF717,$L$13)," "," "),CHAR(9)," "),CHAR(10)," "),CHAR(13)," "))),"")))</f>
        <v/>
      </c>
      <c r="DV717">
        <f>IF($DM717=0,"",IF($L$14=0,"",IFERROR(IF(ISNUMBER(INDEX(PASTE_ALL,$DF717,$L$14)),INDEX(PASTE_ALL,$DF717,$L$14),TRIM(SUBSTITUTE(SUBSTITUTE(SUBSTITUTE(SUBSTITUTE(INDEX(PASTE_ALL,$DF717,$L$14)," "," "),CHAR(9)," "),CHAR(10)," "),CHAR(13)," "))),"")))</f>
        <v/>
      </c>
      <c r="DW717">
        <f>IF($DM717=0,"",IF($L$15=0,"",IFERROR(IF(ISNUMBER(INDEX(PASTE_ALL,$DF717,$L$15)),INDEX(PASTE_ALL,$DF717,$L$15),IF(SUMPRODUCT(--ISNUMBER(FIND({"A","B","C","D","E","F","G","H","I","J","K","L","M","N","O","P","Q","R","S","T","U","V","W","X","Y","Z","0","1","2","3","4","5","6","7","8","9"},UPPER(TRIM(SUBSTITUTE(SUBSTITUTE(SUBSTITUTE(SUBSTITUTE(INDEX(PASTE_ALL,$DF717,$L$15)," "," "),CHAR(9)," "),CHAR(10)," "),CHAR(13)," "))))))&gt;0,TRIM(SUBSTITUTE(SUBSTITUTE(SUBSTITUTE(SUBSTITUTE(INDEX(PASTE_ALL,$DF717,$L$15)," "," "),CHAR(9)," "),CHAR(10)," "),CHAR(13)," ")),"")),"")))</f>
        <v/>
      </c>
      <c r="DX717">
        <f>IF($DM717=0,"",IF($L$16=0,"",IFERROR(IF(ISNUMBER(INDEX(PASTE_ALL,$DF717,$L$16)),INDEX(PASTE_ALL,$DF717,$L$16),SUBSTITUTE(SUBSTITUTE(TRIM(SUBSTITUTE(SUBSTITUTE(SUBSTITUTE(SUBSTITUTE(INDEX(PASTE_ALL,$DF717,$L$16)," "," "),CHAR(9)," "),CHAR(10)," "),CHAR(13)," ")),",",""),"%","")),"")))</f>
        <v/>
      </c>
      <c r="DY717">
        <f>IF($DM717=0,"",IFERROR(IF(ISNUMBER($DX717),$DX717,IF($DX717="","",IF(TRIM($DX717)="",0,IF(AND(AND(SUBSTITUTE(SUBSTITUTE(SUBSTITUTE(SUBSTITUTE(SUBSTITUTE(SUBSTITUTE(SUBSTITUTE(SUBSTITUTE(SUBSTITUTE(SUBSTITUTE(SUBSTITUTE(SUBSTITUTE(SUBSTITUTE(SUBSTITUTE(UPPER(TRIM($DX717)),"0",""),"1",""),"2",""),"3",""),"4",""),"5",""),"6",""),"7",""),"8",""),"9",""),".",""),"+",""),"-",""),"E","")="",LEN(SUBSTITUTE(SUBSTITUTE(MID(UPPER(TRIM($DX717)),1+OR(LEFT(UPPER(TRIM($DX717)),1)="+",LEFT(UPPER(TRIM($DX717)),1)="-"),999),"E+","E"),"E-","E"))=LEN(SUBSTITUTE(SUBSTITUTE(SUBSTITUTE(SUBSTITUTE(MID(UPPER(TRIM($DX717)),1+OR(LEFT(UPPER(TRIM($DX717)),1)="+",LEFT(UPPER(TRIM($DX717)),1)="-"),999),"E+","E"),"E-","E"),"+",""),"-","")),LEN(UPPER(TRIM($DX717)))-LEN(SUBSTITUTE(UPPER(TRIM($DX717)),"E",""))&lt;2,LEN(UPPER(TRIM($DX717)))-LEN(SUBSTITUTE(UPPER(TRIM($DX717)),".",""))&lt;2,IFERROR(FIND(".",UPPER(TRIM($DX717))),0)&lt;IFERROR(FIND("E",UPPER(TRIM($DX717))),999)),ISNUMBER(VALUE(TRIM($DX717)))),VALUE(TRIM($DX717)),"")))),""))</f>
        <v/>
      </c>
      <c r="DZ717">
        <f>IF($DM717=0,"",IF($L$17=0,"",IFERROR(IF(ISNUMBER(INDEX(PASTE_ALL,$DF717,$L$17)),INDEX(PASTE_ALL,$DF717,$L$17),SUBSTITUTE(SUBSTITUTE(TRIM(SUBSTITUTE(SUBSTITUTE(SUBSTITUTE(SUBSTITUTE(INDEX(PASTE_ALL,$DF717,$L$17)," "," "),CHAR(9)," "),CHAR(10)," "),CHAR(13)," ")),",",""),"%","")),"")))</f>
        <v/>
      </c>
      <c r="EA717">
        <f>IF($DM717=0,"",IFERROR(IF(ISNUMBER($DZ717),$DZ717,IF($DZ717="","",IF(TRIM($DZ717)="",0,IF(AND(AND(SUBSTITUTE(SUBSTITUTE(SUBSTITUTE(SUBSTITUTE(SUBSTITUTE(SUBSTITUTE(SUBSTITUTE(SUBSTITUTE(SUBSTITUTE(SUBSTITUTE(SUBSTITUTE(SUBSTITUTE(SUBSTITUTE(SUBSTITUTE(UPPER(TRIM($DZ717)),"0",""),"1",""),"2",""),"3",""),"4",""),"5",""),"6",""),"7",""),"8",""),"9",""),".",""),"+",""),"-",""),"E","")="",LEN(SUBSTITUTE(SUBSTITUTE(MID(UPPER(TRIM($DZ717)),1+OR(LEFT(UPPER(TRIM($DZ717)),1)="+",LEFT(UPPER(TRIM($DZ717)),1)="-"),999),"E+","E"),"E-","E"))=LEN(SUBSTITUTE(SUBSTITUTE(SUBSTITUTE(SUBSTITUTE(MID(UPPER(TRIM($DZ717)),1+OR(LEFT(UPPER(TRIM($DZ717)),1)="+",LEFT(UPPER(TRIM($DZ717)),1)="-"),999),"E+","E"),"E-","E"),"+",""),"-","")),LEN(UPPER(TRIM($DZ717)))-LEN(SUBSTITUTE(UPPER(TRIM($DZ717)),"E",""))&lt;2,LEN(UPPER(TRIM($DZ717)))-LEN(SUBSTITUTE(UPPER(TRIM($DZ717)),".",""))&lt;2,IFERROR(FIND(".",UPPER(TRIM($DZ717))),0)&lt;IFERROR(FIND("E",UPPER(TRIM($DZ717))),999)),ISNUMBER(VALUE(TRIM($DZ717)))),VALUE(TRIM($DZ717)),"")))),""))</f>
        <v/>
      </c>
      <c r="EB717">
        <f>IF($DM717=0,"",IF($L$18=0,"",IFERROR(IF(UPPER(TRIM(SUBSTITUTE(SUBSTITUTE(SUBSTITUTE(SUBSTITUTE(INDEX(PASTE_ALL,$DF717,$L$18)," "," "),CHAR(9)," "),CHAR(10)," "),CHAR(13)," ")))="READY","Ready",IF(UPPER(TRIM(SUBSTITUTE(SUBSTITUTE(SUBSTITUTE(SUBSTITUTE(INDEX(PASTE_ALL,$DF717,$L$18)," "," "),CHAR(9)," "),CHAR(10)," "),CHAR(13)," ")))="PM","PM",IF(OR(UPPER(TRIM(SUBSTITUTE(SUBSTITUTE(SUBSTITUTE(SUBSTITUTE(INDEX(PASTE_ALL,$DF717,$L$18)," "," "),CHAR(9)," "),CHAR(10)," "),CHAR(13)," ")))="OT",UPPER(TRIM(SUBSTITUTE(SUBSTITUTE(SUBSTITUTE(SUBSTITUTE(INDEX(PASTE_ALL,$DF717,$L$18)," "," "),CHAR(9)," "),CHAR(10)," "),CHAR(13)," ")))="OVERTIME",UPPER(TRIM(SUBSTITUTE(SUBSTITUTE(SUBSTITUTE(SUBSTITUTE(INDEX(PASTE_ALL,$DF717,$L$18)," "," "),CHAR(9)," "),CHAR(10)," "),CHAR(13)," ")))="TRIAL"),"OT",TRIM(SUBSTITUTE(SUBSTITUTE(SUBSTITUTE(SUBSTITUTE(INDEX(PASTE_ALL,$DF717,$L$18)," "," "),CHAR(9)," "),CHAR(10)," "),CHAR(13)," "))))),"")))</f>
        <v/>
      </c>
      <c r="EC717">
        <f>IF($DM717=0,"",IF($L$19=0,"",IFERROR(IF(ISNUMBER(INDEX(PASTE_ALL,$DF717,$L$19)),INDEX(PASTE_ALL,$DF717,$L$19),TRIM(SUBSTITUTE(SUBSTITUTE(SUBSTITUTE(SUBSTITUTE(INDEX(PASTE_ALL,$DF717,$L$19)," "," "),CHAR(9)," "),CHAR(10)," "),CHAR(13)," "))),"")))</f>
        <v/>
      </c>
      <c r="ED717">
        <f>IF($DM717=0,"",MATCH(1,INDEX(EXACT($DH$5:DH717,$DH717)*$DM$5:DM717,0),0))</f>
        <v/>
      </c>
      <c r="EE717">
        <f>IF($DM717=0,0,IF($ED717=$DE717,1,0))</f>
        <v/>
      </c>
      <c r="EF717">
        <f>EF716+$EE717</f>
        <v/>
      </c>
      <c r="EG717">
        <f>IF($DM717=0,"",INDEX($EF$5:$EF$1003,$ED717))</f>
        <v/>
      </c>
      <c r="EH717">
        <f>IF($DM717=0,"",IF($DO717&lt;&gt;"","",IFERROR(LOOKUP(2,1/(($EG$4:EG716=$EG717)*($DO$4:DO716&lt;&gt;"")),$DO$4:DO716),"")))</f>
        <v/>
      </c>
      <c r="EI717">
        <f>IF($DM717=0,"",IF($DO717&lt;&gt;"",$DO717,$EH717))</f>
        <v/>
      </c>
      <c r="EJ717">
        <f>IF($DM717=0,"",IF($EI717="",0,IF(OR(ISNUMBER($EI717),AND(AND(SUBSTITUTE(SUBSTITUTE(SUBSTITUTE(SUBSTITUTE(SUBSTITUTE(SUBSTITUTE(SUBSTITUTE(SUBSTITUTE(SUBSTITUTE(SUBSTITUTE(SUBSTITUTE(SUBSTITUTE(SUBSTITUTE(SUBSTITUTE(UPPER($EI717),"0",""),"1",""),"2",""),"3",""),"4",""),"5",""),"6",""),"7",""),"8",""),"9",""),".",""),"+",""),"-",""),"E","")="",LEN(SUBSTITUTE(SUBSTITUTE(MID(UPPER($EI717),1+OR(LEFT(UPPER($EI717),1)="+",LEFT(UPPER($EI717),1)="-"),999),"E+","E"),"E-","E"))=LEN(SUBSTITUTE(SUBSTITUTE(SUBSTITUTE(SUBSTITUTE(MID(UPPER($EI717),1+OR(LEFT(UPPER($EI717),1)="+",LEFT(UPPER($EI717),1)="-"),999),"E+","E"),"E-","E"),"+",""),"-","")),LEN(UPPER($EI717))-LEN(SUBSTITUTE(UPPER($EI717),"E",""))&lt;2,LEN(UPPER($EI717))-LEN(SUBSTITUTE(UPPER($EI717),".",""))&lt;2,IFERROR(FIND(".",UPPER($EI717)),0)&lt;IFERROR(FIND("E",UPPER($EI717)),999)),ISNUMBER(VALUE($EI717)))),1,2)))</f>
        <v/>
      </c>
      <c r="EK717">
        <f>IF($DM717=0,"",IF($EJ717=1,IF(ISNUMBER($EI717),$EI717,VALUE($EI717)),IF($EJ717=2,$DE717,0)))</f>
        <v/>
      </c>
      <c r="EL717">
        <f>IF($DM717=0,"",COUNTIF($EG$5:$EG$1003,"&lt;"&amp;$EG717)+SUMPRODUCT(($EG$5:$EG$1003=$EG717)*(($EJ$5:$EJ$1003&lt;$EJ717)+($EJ$5:$EJ$1003=$EJ717)*(($EK$5:$EK$1003&lt;$EK717)+($EK$5:$EK$1003=$EK717)*($DE$5:$DE$1003&lt;$DE717))))+1)</f>
        <v/>
      </c>
      <c r="EM717">
        <f>IF($DM717=0,"",$EL717+$EG717-1)</f>
        <v/>
      </c>
      <c r="EN717">
        <f>IF($DM717=0,0,IFERROR(MATCH(1,INDEX(--(TRIM(SUBSTITUTE(SUBSTITUTE(SUBSTITUTE(SUBSTITUTE(LINES_NAME&amp;""," "," "),CHAR(9)," "),CHAR(10)," "),CHAR(13)," "))=$DH717),0),0),0))</f>
        <v/>
      </c>
      <c r="EO717">
        <f>IF($EN717=0,0,IF(OR(UPPER(TRIM(INDEX(LINES_SCHEDULED,$EN717)&amp;""))="YES",UPPER(TRIM(INDEX(LINES_SCHEDULED,$EN717)&amp;""))="Y",UPPER(TRIM(INDEX(LINES_SCHEDULED,$EN717)&amp;""))="X"),1,0))</f>
        <v/>
      </c>
      <c r="EP717">
        <f>IF($DM717=0,"",IF(COUNTIFS($EG$5:$EG$1003,$EG717,$EB$5:$EB$1003,"Ready")&gt;0,"READY",IF(COUNTIFS($EG$5:$EG$1003,$EG717,$EB$5:$EB$1003,"PM")&gt;0,"PM",IF(COUNTIFS($EG$5:$EG$1003,$EG717,$EB$5:$EB$1003,"OT")&gt;0,"OT",""))))</f>
        <v/>
      </c>
      <c r="EQ717">
        <f>IF($EN717=0,"",UPPER(TRIM(INDEX(LINES_STATUS,$EN717)&amp;"")))</f>
        <v/>
      </c>
      <c r="ER717">
        <f>IF($DM717=0,"",IF(OR($EQ717="READY",$EQ717="PM",$EQ717="OT"),$EQ717,$EP717))</f>
        <v/>
      </c>
      <c r="ES717">
        <f>IF($DM717=0,"",IF(AND($DV717&lt;&gt;"",UPPER($DV717)&lt;&gt;"N"),"allergen",IF(ISNUMBER(SEARCH("oil",$DQ717)),"oil",IF(OR(EXACT($DS717,"A662"),EXACT($DS717,"A624")),"bulk",""))))</f>
        <v/>
      </c>
      <c r="ET717">
        <f>IF($DM717=0,"",IF(OR($EA717="",$EA717=0),"",$EA717/100))</f>
        <v/>
      </c>
      <c r="EU717">
        <f>IF(OR($ET717="",$DY717=""),"",INT($DY717*(1-$ET717)+0.5))</f>
        <v/>
      </c>
    </row>
    <row r="718">
      <c r="DA718" t="n">
        <v>714</v>
      </c>
      <c r="DB718">
        <f>IF($B$37=0,"",IFERROR(TRIM(SUBSTITUTE(SUBSTITUTE(SUBSTITUTE(SUBSTITUTE(INDEX(PASTE_ALL,714,$B$37)," "," "),CHAR(9)," "),CHAR(10)," "),CHAR(13)," ")),""))</f>
        <v/>
      </c>
      <c r="DC718">
        <f>IF(AND(714&gt;HEADER_ROW,UPPER(DB718)="LEGEND"),1,0)</f>
        <v/>
      </c>
      <c r="DE718" t="n">
        <v>714</v>
      </c>
      <c r="DF718">
        <f>HEADER_ROW+$DE718</f>
        <v/>
      </c>
      <c r="DG718">
        <f>IF(AND($DF718&lt;=1000,$DF718&lt;$B$8),1,0)</f>
        <v/>
      </c>
      <c r="DH718">
        <f>IF($DG718=1,IFERROR(INDEX($DB$5:$DB$1004,$DF718),""),"")</f>
        <v/>
      </c>
      <c r="DI718">
        <f>IF(AND($DG718=1,$DH718&lt;&gt;""),IFERROR(SUBSTITUTE(SUBSTITUTE(TRIM(SUBSTITUTE(SUBSTITUTE(SUBSTITUTE(SUBSTITUTE(IFERROR(INDEX(PASTE_ALL,$DF718,1)&amp;"","")&amp;"␟"&amp;IFERROR(INDEX(PASTE_ALL,$DF718,2)&amp;"","")&amp;"␟"&amp;IFERROR(INDEX(PASTE_ALL,$DF718,3)&amp;"","")&amp;"␟"&amp;IFERROR(INDEX(PASTE_ALL,$DF718,4)&amp;"","")&amp;"␟"&amp;IFERROR(INDEX(PASTE_ALL,$DF718,5)&amp;"","")&amp;"␟"&amp;IFERROR(INDEX(PASTE_ALL,$DF718,6)&amp;"","")&amp;"␟"&amp;IFERROR(INDEX(PASTE_ALL,$DF718,7)&amp;"","")&amp;"␟"&amp;IFERROR(INDEX(PASTE_ALL,$DF718,8)&amp;"","")&amp;"␟"&amp;IFERROR(INDEX(PASTE_ALL,$DF718,9)&amp;"","")&amp;"␟"&amp;IFERROR(INDEX(PASTE_ALL,$DF718,10)&amp;"","")&amp;"␟"&amp;IFERROR(INDEX(PASTE_ALL,$DF718,11)&amp;"","")&amp;"␟"&amp;IFERROR(INDEX(PASTE_ALL,$DF718,12)&amp;"","")&amp;"␟"&amp;IFERROR(INDEX(PASTE_ALL,$DF718,13)&amp;"","")&amp;"␟"&amp;IFERROR(INDEX(PASTE_ALL,$DF718,14)&amp;"","")&amp;"␟"&amp;IFERROR(INDEX(PASTE_ALL,$DF718,15)&amp;"","")&amp;"␟"&amp;IFERROR(INDEX(PASTE_ALL,$DF718,16)&amp;"","")&amp;"␟"&amp;IFERROR(INDEX(PASTE_ALL,$DF718,17)&amp;"","")&amp;"␟"&amp;IFERROR(INDEX(PASTE_ALL,$DF718,18)&amp;"","")&amp;"␟"&amp;IFERROR(INDEX(PASTE_ALL,$DF718,19)&amp;"","")&amp;"␟"&amp;IFERROR(INDEX(PASTE_ALL,$DF718,20)&amp;"","")&amp;"␟"&amp;IFERROR(INDEX(PASTE_ALL,$DF718,21)&amp;"","")&amp;"␟"&amp;IFERROR(INDEX(PASTE_ALL,$DF718,22)&amp;"","")&amp;"␟"&amp;IFERROR(INDEX(PASTE_ALL,$DF718,23)&amp;"","")&amp;"␟"&amp;IFERROR(INDEX(PASTE_ALL,$DF718,24)&amp;"","")&amp;"␟"&amp;IFERROR(INDEX(PASTE_ALL,$DF718,25)&amp;"","")&amp;"␟"&amp;IFERROR(INDEX(PASTE_ALL,$DF718,26)&amp;"","")&amp;"␟"&amp;IFERROR(INDEX(PASTE_ALL,$DF718,27)&amp;"","")&amp;"␟"&amp;IFERROR(INDEX(PASTE_ALL,$DF718,28)&amp;"","")&amp;"␟"&amp;IFERROR(INDEX(PASTE_ALL,$DF718,29)&amp;"","")&amp;"␟"&amp;IFERROR(INDEX(PASTE_ALL,$DF718,30)&amp;"","")&amp;"␟"&amp;IFERROR(INDEX(PASTE_ALL,$DF718,31)&amp;"","")&amp;"␟"&amp;IFERROR(INDEX(PASTE_ALL,$DF718,32)&amp;"","")&amp;"␟"&amp;IFERROR(INDEX(PASTE_ALL,$DF718,33)&amp;"","")&amp;"␟"&amp;IFERROR(INDEX(PASTE_ALL,$DF718,34)&amp;"","")&amp;"␟"&amp;IFERROR(INDEX(PASTE_ALL,$DF718,35)&amp;"","")&amp;"␟"&amp;IFERROR(INDEX(PASTE_ALL,$DF718,36)&amp;"","")&amp;"␟"&amp;IFERROR(INDEX(PASTE_ALL,$DF718,37)&amp;"","")&amp;"␟"&amp;IFERROR(INDEX(PASTE_ALL,$DF718,38)&amp;"","")&amp;"␟"&amp;IFERROR(INDEX(PASTE_ALL,$DF718,39)&amp;"","")&amp;"␟"&amp;IFERROR(INDEX(PASTE_ALL,$DF718,40)&amp;"","")&amp;"␟"&amp;IFERROR(INDEX(PASTE_ALL,$DF718,41)&amp;"","")&amp;"␟"&amp;IFERROR(INDEX(PASTE_ALL,$DF718,42)&amp;"","")&amp;"␟"&amp;IFERROR(INDEX(PASTE_ALL,$DF718,43)&amp;"","")&amp;"␟"&amp;IFERROR(INDEX(PASTE_ALL,$DF718,44)&amp;"","")&amp;"␟"&amp;IFERROR(INDEX(PASTE_ALL,$DF718,45)&amp;"","")&amp;"␟"&amp;IFERROR(INDEX(PASTE_ALL,$DF718,46)&amp;"","")&amp;"␟"&amp;IFERROR(INDEX(PASTE_ALL,$DF718,47)&amp;"","")&amp;"␟"&amp;IFERROR(INDEX(PASTE_ALL,$DF718,48)&amp;"","")&amp;"␟"&amp;IFERROR(INDEX(PASTE_ALL,$DF718,49)&amp;"","")&amp;"␟"&amp;IFERROR(INDEX(PASTE_ALL,$DF718,50)&amp;"","")&amp;"␟"&amp;IFERROR(INDEX(PASTE_ALL,$DF718,51)&amp;"","")&amp;"␟"&amp;IFERROR(INDEX(PASTE_ALL,$DF718,52)&amp;"","")&amp;"␟"&amp;IFERROR(INDEX(PASTE_ALL,$DF718,53)&amp;"","")&amp;"␟"&amp;IFERROR(INDEX(PASTE_ALL,$DF718,54)&amp;"","")&amp;"␟"&amp;IFERROR(INDEX(PASTE_ALL,$DF718,55)&amp;"","")&amp;"␟"&amp;IFERROR(INDEX(PASTE_ALL,$DF718,56)&amp;"","")&amp;"␟"&amp;IFERROR(INDEX(PASTE_ALL,$DF718,57)&amp;"","")&amp;"␟"&amp;IFERROR(INDEX(PASTE_ALL,$DF718,58)&amp;"","")&amp;"␟"&amp;IFERROR(INDEX(PASTE_ALL,$DF718,59)&amp;"","")&amp;"␟"&amp;IFERROR(INDEX(PASTE_ALL,$DF718,60)&amp;"","")," "," "),CHAR(9)," "),CHAR(10)," "),CHAR(13)," "))," ␟","␟"),"␟ ","␟"),"#"&amp;$DE718),"")</f>
        <v/>
      </c>
      <c r="DJ718">
        <f>IF($DI718="",0,IF(SUMPRODUCT(--EXACT($DI$4:DI717,$DI718))&gt;0,1,0))</f>
        <v/>
      </c>
      <c r="DK718">
        <f>IF(AND($DI718&lt;&gt;"",$DJ718=0),1,0)</f>
        <v/>
      </c>
      <c r="DL718">
        <f>DL717+$DK718</f>
        <v/>
      </c>
      <c r="DM718">
        <f>IF(AND($DK718=1,$DL718&lt;=600),1,0)</f>
        <v/>
      </c>
      <c r="DN718">
        <f>IF($DM718=0,"",IF($L$6=0,"",IFERROR(IF(ISNUMBER(INDEX(PASTE_ALL,$DF718,$L$6)),INDEX(PASTE_ALL,$DF718,$L$6),TRIM(SUBSTITUTE(SUBSTITUTE(SUBSTITUTE(SUBSTITUTE(INDEX(PASTE_ALL,$DF718,$L$6)," "," "),CHAR(9)," "),CHAR(10)," "),CHAR(13)," "))),"")))</f>
        <v/>
      </c>
      <c r="DO718">
        <f>IF($DM718=0,"",IF($L$7=0,"",IFERROR(IF(ISNUMBER(INDEX(PASTE_ALL,$DF718,$L$7)),INDEX(PASTE_ALL,$DF718,$L$7),TRIM(SUBSTITUTE(SUBSTITUTE(SUBSTITUTE(SUBSTITUTE(INDEX(PASTE_ALL,$DF718,$L$7)," "," "),CHAR(9)," "),CHAR(10)," "),CHAR(13)," "))),"")))</f>
        <v/>
      </c>
      <c r="DP718">
        <f>IF($DM718=0,"",IF($L$8=0,"",IFERROR(IF(ISNUMBER(INDEX(PASTE_ALL,$DF718,$L$8)),INDEX(PASTE_ALL,$DF718,$L$8),TRIM(SUBSTITUTE(SUBSTITUTE(SUBSTITUTE(SUBSTITUTE(INDEX(PASTE_ALL,$DF718,$L$8)," "," "),CHAR(9)," "),CHAR(10)," "),CHAR(13)," "))),"")))</f>
        <v/>
      </c>
      <c r="DQ718">
        <f>IF($DM718=0,"",IF($L$9=0,"",IFERROR(IF(ISNUMBER(INDEX(PASTE_ALL,$DF718,$L$9)),INDEX(PASTE_ALL,$DF718,$L$9),TRIM(SUBSTITUTE(SUBSTITUTE(SUBSTITUTE(SUBSTITUTE(INDEX(PASTE_ALL,$DF718,$L$9)," "," "),CHAR(9)," "),CHAR(10)," "),CHAR(13)," "))),"")))</f>
        <v/>
      </c>
      <c r="DR718">
        <f>IF($DM718=0,"",IF($L$10=0,"",IFERROR(IF(ISNUMBER(INDEX(PASTE_ALL,$DF718,$L$10)),INDEX(PASTE_ALL,$DF718,$L$10),TRIM(SUBSTITUTE(SUBSTITUTE(SUBSTITUTE(SUBSTITUTE(INDEX(PASTE_ALL,$DF718,$L$10)," "," "),CHAR(9)," "),CHAR(10)," "),CHAR(13)," "))),"")))</f>
        <v/>
      </c>
      <c r="DS718">
        <f>IF($DM718=0,"",IF($L$11=0,"",IFERROR(IF(ISNUMBER(INDEX(PASTE_ALL,$DF718,$L$11)),INDEX(PASTE_ALL,$DF718,$L$11),TRIM(SUBSTITUTE(SUBSTITUTE(SUBSTITUTE(SUBSTITUTE(INDEX(PASTE_ALL,$DF718,$L$11)," "," "),CHAR(9)," "),CHAR(10)," "),CHAR(13)," "))),"")))</f>
        <v/>
      </c>
      <c r="DT718">
        <f>IF($DM718=0,"",IF($L$12=0,"",IFERROR(IF(ISNUMBER(INDEX(PASTE_ALL,$DF718,$L$12)),INDEX(PASTE_ALL,$DF718,$L$12),TRIM(SUBSTITUTE(SUBSTITUTE(SUBSTITUTE(SUBSTITUTE(INDEX(PASTE_ALL,$DF718,$L$12)," "," "),CHAR(9)," "),CHAR(10)," "),CHAR(13)," "))),"")))</f>
        <v/>
      </c>
      <c r="DU718">
        <f>IF($DM718=0,"",IF($L$13=0,"",IFERROR(IF(ISNUMBER(INDEX(PASTE_ALL,$DF718,$L$13)),INDEX(PASTE_ALL,$DF718,$L$13),TRIM(SUBSTITUTE(SUBSTITUTE(SUBSTITUTE(SUBSTITUTE(INDEX(PASTE_ALL,$DF718,$L$13)," "," "),CHAR(9)," "),CHAR(10)," "),CHAR(13)," "))),"")))</f>
        <v/>
      </c>
      <c r="DV718">
        <f>IF($DM718=0,"",IF($L$14=0,"",IFERROR(IF(ISNUMBER(INDEX(PASTE_ALL,$DF718,$L$14)),INDEX(PASTE_ALL,$DF718,$L$14),TRIM(SUBSTITUTE(SUBSTITUTE(SUBSTITUTE(SUBSTITUTE(INDEX(PASTE_ALL,$DF718,$L$14)," "," "),CHAR(9)," "),CHAR(10)," "),CHAR(13)," "))),"")))</f>
        <v/>
      </c>
      <c r="DW718">
        <f>IF($DM718=0,"",IF($L$15=0,"",IFERROR(IF(ISNUMBER(INDEX(PASTE_ALL,$DF718,$L$15)),INDEX(PASTE_ALL,$DF718,$L$15),IF(SUMPRODUCT(--ISNUMBER(FIND({"A","B","C","D","E","F","G","H","I","J","K","L","M","N","O","P","Q","R","S","T","U","V","W","X","Y","Z","0","1","2","3","4","5","6","7","8","9"},UPPER(TRIM(SUBSTITUTE(SUBSTITUTE(SUBSTITUTE(SUBSTITUTE(INDEX(PASTE_ALL,$DF718,$L$15)," "," "),CHAR(9)," "),CHAR(10)," "),CHAR(13)," "))))))&gt;0,TRIM(SUBSTITUTE(SUBSTITUTE(SUBSTITUTE(SUBSTITUTE(INDEX(PASTE_ALL,$DF718,$L$15)," "," "),CHAR(9)," "),CHAR(10)," "),CHAR(13)," ")),"")),"")))</f>
        <v/>
      </c>
      <c r="DX718">
        <f>IF($DM718=0,"",IF($L$16=0,"",IFERROR(IF(ISNUMBER(INDEX(PASTE_ALL,$DF718,$L$16)),INDEX(PASTE_ALL,$DF718,$L$16),SUBSTITUTE(SUBSTITUTE(TRIM(SUBSTITUTE(SUBSTITUTE(SUBSTITUTE(SUBSTITUTE(INDEX(PASTE_ALL,$DF718,$L$16)," "," "),CHAR(9)," "),CHAR(10)," "),CHAR(13)," ")),",",""),"%","")),"")))</f>
        <v/>
      </c>
      <c r="DY718">
        <f>IF($DM718=0,"",IFERROR(IF(ISNUMBER($DX718),$DX718,IF($DX718="","",IF(TRIM($DX718)="",0,IF(AND(AND(SUBSTITUTE(SUBSTITUTE(SUBSTITUTE(SUBSTITUTE(SUBSTITUTE(SUBSTITUTE(SUBSTITUTE(SUBSTITUTE(SUBSTITUTE(SUBSTITUTE(SUBSTITUTE(SUBSTITUTE(SUBSTITUTE(SUBSTITUTE(UPPER(TRIM($DX718)),"0",""),"1",""),"2",""),"3",""),"4",""),"5",""),"6",""),"7",""),"8",""),"9",""),".",""),"+",""),"-",""),"E","")="",LEN(SUBSTITUTE(SUBSTITUTE(MID(UPPER(TRIM($DX718)),1+OR(LEFT(UPPER(TRIM($DX718)),1)="+",LEFT(UPPER(TRIM($DX718)),1)="-"),999),"E+","E"),"E-","E"))=LEN(SUBSTITUTE(SUBSTITUTE(SUBSTITUTE(SUBSTITUTE(MID(UPPER(TRIM($DX718)),1+OR(LEFT(UPPER(TRIM($DX718)),1)="+",LEFT(UPPER(TRIM($DX718)),1)="-"),999),"E+","E"),"E-","E"),"+",""),"-","")),LEN(UPPER(TRIM($DX718)))-LEN(SUBSTITUTE(UPPER(TRIM($DX718)),"E",""))&lt;2,LEN(UPPER(TRIM($DX718)))-LEN(SUBSTITUTE(UPPER(TRIM($DX718)),".",""))&lt;2,IFERROR(FIND(".",UPPER(TRIM($DX718))),0)&lt;IFERROR(FIND("E",UPPER(TRIM($DX718))),999)),ISNUMBER(VALUE(TRIM($DX718)))),VALUE(TRIM($DX718)),"")))),""))</f>
        <v/>
      </c>
      <c r="DZ718">
        <f>IF($DM718=0,"",IF($L$17=0,"",IFERROR(IF(ISNUMBER(INDEX(PASTE_ALL,$DF718,$L$17)),INDEX(PASTE_ALL,$DF718,$L$17),SUBSTITUTE(SUBSTITUTE(TRIM(SUBSTITUTE(SUBSTITUTE(SUBSTITUTE(SUBSTITUTE(INDEX(PASTE_ALL,$DF718,$L$17)," "," "),CHAR(9)," "),CHAR(10)," "),CHAR(13)," ")),",",""),"%","")),"")))</f>
        <v/>
      </c>
      <c r="EA718">
        <f>IF($DM718=0,"",IFERROR(IF(ISNUMBER($DZ718),$DZ718,IF($DZ718="","",IF(TRIM($DZ718)="",0,IF(AND(AND(SUBSTITUTE(SUBSTITUTE(SUBSTITUTE(SUBSTITUTE(SUBSTITUTE(SUBSTITUTE(SUBSTITUTE(SUBSTITUTE(SUBSTITUTE(SUBSTITUTE(SUBSTITUTE(SUBSTITUTE(SUBSTITUTE(SUBSTITUTE(UPPER(TRIM($DZ718)),"0",""),"1",""),"2",""),"3",""),"4",""),"5",""),"6",""),"7",""),"8",""),"9",""),".",""),"+",""),"-",""),"E","")="",LEN(SUBSTITUTE(SUBSTITUTE(MID(UPPER(TRIM($DZ718)),1+OR(LEFT(UPPER(TRIM($DZ718)),1)="+",LEFT(UPPER(TRIM($DZ718)),1)="-"),999),"E+","E"),"E-","E"))=LEN(SUBSTITUTE(SUBSTITUTE(SUBSTITUTE(SUBSTITUTE(MID(UPPER(TRIM($DZ718)),1+OR(LEFT(UPPER(TRIM($DZ718)),1)="+",LEFT(UPPER(TRIM($DZ718)),1)="-"),999),"E+","E"),"E-","E"),"+",""),"-","")),LEN(UPPER(TRIM($DZ718)))-LEN(SUBSTITUTE(UPPER(TRIM($DZ718)),"E",""))&lt;2,LEN(UPPER(TRIM($DZ718)))-LEN(SUBSTITUTE(UPPER(TRIM($DZ718)),".",""))&lt;2,IFERROR(FIND(".",UPPER(TRIM($DZ718))),0)&lt;IFERROR(FIND("E",UPPER(TRIM($DZ718))),999)),ISNUMBER(VALUE(TRIM($DZ718)))),VALUE(TRIM($DZ718)),"")))),""))</f>
        <v/>
      </c>
      <c r="EB718">
        <f>IF($DM718=0,"",IF($L$18=0,"",IFERROR(IF(UPPER(TRIM(SUBSTITUTE(SUBSTITUTE(SUBSTITUTE(SUBSTITUTE(INDEX(PASTE_ALL,$DF718,$L$18)," "," "),CHAR(9)," "),CHAR(10)," "),CHAR(13)," ")))="READY","Ready",IF(UPPER(TRIM(SUBSTITUTE(SUBSTITUTE(SUBSTITUTE(SUBSTITUTE(INDEX(PASTE_ALL,$DF718,$L$18)," "," "),CHAR(9)," "),CHAR(10)," "),CHAR(13)," ")))="PM","PM",IF(OR(UPPER(TRIM(SUBSTITUTE(SUBSTITUTE(SUBSTITUTE(SUBSTITUTE(INDEX(PASTE_ALL,$DF718,$L$18)," "," "),CHAR(9)," "),CHAR(10)," "),CHAR(13)," ")))="OT",UPPER(TRIM(SUBSTITUTE(SUBSTITUTE(SUBSTITUTE(SUBSTITUTE(INDEX(PASTE_ALL,$DF718,$L$18)," "," "),CHAR(9)," "),CHAR(10)," "),CHAR(13)," ")))="OVERTIME",UPPER(TRIM(SUBSTITUTE(SUBSTITUTE(SUBSTITUTE(SUBSTITUTE(INDEX(PASTE_ALL,$DF718,$L$18)," "," "),CHAR(9)," "),CHAR(10)," "),CHAR(13)," ")))="TRIAL"),"OT",TRIM(SUBSTITUTE(SUBSTITUTE(SUBSTITUTE(SUBSTITUTE(INDEX(PASTE_ALL,$DF718,$L$18)," "," "),CHAR(9)," "),CHAR(10)," "),CHAR(13)," "))))),"")))</f>
        <v/>
      </c>
      <c r="EC718">
        <f>IF($DM718=0,"",IF($L$19=0,"",IFERROR(IF(ISNUMBER(INDEX(PASTE_ALL,$DF718,$L$19)),INDEX(PASTE_ALL,$DF718,$L$19),TRIM(SUBSTITUTE(SUBSTITUTE(SUBSTITUTE(SUBSTITUTE(INDEX(PASTE_ALL,$DF718,$L$19)," "," "),CHAR(9)," "),CHAR(10)," "),CHAR(13)," "))),"")))</f>
        <v/>
      </c>
      <c r="ED718">
        <f>IF($DM718=0,"",MATCH(1,INDEX(EXACT($DH$5:DH718,$DH718)*$DM$5:DM718,0),0))</f>
        <v/>
      </c>
      <c r="EE718">
        <f>IF($DM718=0,0,IF($ED718=$DE718,1,0))</f>
        <v/>
      </c>
      <c r="EF718">
        <f>EF717+$EE718</f>
        <v/>
      </c>
      <c r="EG718">
        <f>IF($DM718=0,"",INDEX($EF$5:$EF$1003,$ED718))</f>
        <v/>
      </c>
      <c r="EH718">
        <f>IF($DM718=0,"",IF($DO718&lt;&gt;"","",IFERROR(LOOKUP(2,1/(($EG$4:EG717=$EG718)*($DO$4:DO717&lt;&gt;"")),$DO$4:DO717),"")))</f>
        <v/>
      </c>
      <c r="EI718">
        <f>IF($DM718=0,"",IF($DO718&lt;&gt;"",$DO718,$EH718))</f>
        <v/>
      </c>
      <c r="EJ718">
        <f>IF($DM718=0,"",IF($EI718="",0,IF(OR(ISNUMBER($EI718),AND(AND(SUBSTITUTE(SUBSTITUTE(SUBSTITUTE(SUBSTITUTE(SUBSTITUTE(SUBSTITUTE(SUBSTITUTE(SUBSTITUTE(SUBSTITUTE(SUBSTITUTE(SUBSTITUTE(SUBSTITUTE(SUBSTITUTE(SUBSTITUTE(UPPER($EI718),"0",""),"1",""),"2",""),"3",""),"4",""),"5",""),"6",""),"7",""),"8",""),"9",""),".",""),"+",""),"-",""),"E","")="",LEN(SUBSTITUTE(SUBSTITUTE(MID(UPPER($EI718),1+OR(LEFT(UPPER($EI718),1)="+",LEFT(UPPER($EI718),1)="-"),999),"E+","E"),"E-","E"))=LEN(SUBSTITUTE(SUBSTITUTE(SUBSTITUTE(SUBSTITUTE(MID(UPPER($EI718),1+OR(LEFT(UPPER($EI718),1)="+",LEFT(UPPER($EI718),1)="-"),999),"E+","E"),"E-","E"),"+",""),"-","")),LEN(UPPER($EI718))-LEN(SUBSTITUTE(UPPER($EI718),"E",""))&lt;2,LEN(UPPER($EI718))-LEN(SUBSTITUTE(UPPER($EI718),".",""))&lt;2,IFERROR(FIND(".",UPPER($EI718)),0)&lt;IFERROR(FIND("E",UPPER($EI718)),999)),ISNUMBER(VALUE($EI718)))),1,2)))</f>
        <v/>
      </c>
      <c r="EK718">
        <f>IF($DM718=0,"",IF($EJ718=1,IF(ISNUMBER($EI718),$EI718,VALUE($EI718)),IF($EJ718=2,$DE718,0)))</f>
        <v/>
      </c>
      <c r="EL718">
        <f>IF($DM718=0,"",COUNTIF($EG$5:$EG$1003,"&lt;"&amp;$EG718)+SUMPRODUCT(($EG$5:$EG$1003=$EG718)*(($EJ$5:$EJ$1003&lt;$EJ718)+($EJ$5:$EJ$1003=$EJ718)*(($EK$5:$EK$1003&lt;$EK718)+($EK$5:$EK$1003=$EK718)*($DE$5:$DE$1003&lt;$DE718))))+1)</f>
        <v/>
      </c>
      <c r="EM718">
        <f>IF($DM718=0,"",$EL718+$EG718-1)</f>
        <v/>
      </c>
      <c r="EN718">
        <f>IF($DM718=0,0,IFERROR(MATCH(1,INDEX(--(TRIM(SUBSTITUTE(SUBSTITUTE(SUBSTITUTE(SUBSTITUTE(LINES_NAME&amp;""," "," "),CHAR(9)," "),CHAR(10)," "),CHAR(13)," "))=$DH718),0),0),0))</f>
        <v/>
      </c>
      <c r="EO718">
        <f>IF($EN718=0,0,IF(OR(UPPER(TRIM(INDEX(LINES_SCHEDULED,$EN718)&amp;""))="YES",UPPER(TRIM(INDEX(LINES_SCHEDULED,$EN718)&amp;""))="Y",UPPER(TRIM(INDEX(LINES_SCHEDULED,$EN718)&amp;""))="X"),1,0))</f>
        <v/>
      </c>
      <c r="EP718">
        <f>IF($DM718=0,"",IF(COUNTIFS($EG$5:$EG$1003,$EG718,$EB$5:$EB$1003,"Ready")&gt;0,"READY",IF(COUNTIFS($EG$5:$EG$1003,$EG718,$EB$5:$EB$1003,"PM")&gt;0,"PM",IF(COUNTIFS($EG$5:$EG$1003,$EG718,$EB$5:$EB$1003,"OT")&gt;0,"OT",""))))</f>
        <v/>
      </c>
      <c r="EQ718">
        <f>IF($EN718=0,"",UPPER(TRIM(INDEX(LINES_STATUS,$EN718)&amp;"")))</f>
        <v/>
      </c>
      <c r="ER718">
        <f>IF($DM718=0,"",IF(OR($EQ718="READY",$EQ718="PM",$EQ718="OT"),$EQ718,$EP718))</f>
        <v/>
      </c>
      <c r="ES718">
        <f>IF($DM718=0,"",IF(AND($DV718&lt;&gt;"",UPPER($DV718)&lt;&gt;"N"),"allergen",IF(ISNUMBER(SEARCH("oil",$DQ718)),"oil",IF(OR(EXACT($DS718,"A662"),EXACT($DS718,"A624")),"bulk",""))))</f>
        <v/>
      </c>
      <c r="ET718">
        <f>IF($DM718=0,"",IF(OR($EA718="",$EA718=0),"",$EA718/100))</f>
        <v/>
      </c>
      <c r="EU718">
        <f>IF(OR($ET718="",$DY718=""),"",INT($DY718*(1-$ET718)+0.5))</f>
        <v/>
      </c>
    </row>
    <row r="719">
      <c r="DA719" t="n">
        <v>715</v>
      </c>
      <c r="DB719">
        <f>IF($B$37=0,"",IFERROR(TRIM(SUBSTITUTE(SUBSTITUTE(SUBSTITUTE(SUBSTITUTE(INDEX(PASTE_ALL,715,$B$37)," "," "),CHAR(9)," "),CHAR(10)," "),CHAR(13)," ")),""))</f>
        <v/>
      </c>
      <c r="DC719">
        <f>IF(AND(715&gt;HEADER_ROW,UPPER(DB719)="LEGEND"),1,0)</f>
        <v/>
      </c>
      <c r="DE719" t="n">
        <v>715</v>
      </c>
      <c r="DF719">
        <f>HEADER_ROW+$DE719</f>
        <v/>
      </c>
      <c r="DG719">
        <f>IF(AND($DF719&lt;=1000,$DF719&lt;$B$8),1,0)</f>
        <v/>
      </c>
      <c r="DH719">
        <f>IF($DG719=1,IFERROR(INDEX($DB$5:$DB$1004,$DF719),""),"")</f>
        <v/>
      </c>
      <c r="DI719">
        <f>IF(AND($DG719=1,$DH719&lt;&gt;""),IFERROR(SUBSTITUTE(SUBSTITUTE(TRIM(SUBSTITUTE(SUBSTITUTE(SUBSTITUTE(SUBSTITUTE(IFERROR(INDEX(PASTE_ALL,$DF719,1)&amp;"","")&amp;"␟"&amp;IFERROR(INDEX(PASTE_ALL,$DF719,2)&amp;"","")&amp;"␟"&amp;IFERROR(INDEX(PASTE_ALL,$DF719,3)&amp;"","")&amp;"␟"&amp;IFERROR(INDEX(PASTE_ALL,$DF719,4)&amp;"","")&amp;"␟"&amp;IFERROR(INDEX(PASTE_ALL,$DF719,5)&amp;"","")&amp;"␟"&amp;IFERROR(INDEX(PASTE_ALL,$DF719,6)&amp;"","")&amp;"␟"&amp;IFERROR(INDEX(PASTE_ALL,$DF719,7)&amp;"","")&amp;"␟"&amp;IFERROR(INDEX(PASTE_ALL,$DF719,8)&amp;"","")&amp;"␟"&amp;IFERROR(INDEX(PASTE_ALL,$DF719,9)&amp;"","")&amp;"␟"&amp;IFERROR(INDEX(PASTE_ALL,$DF719,10)&amp;"","")&amp;"␟"&amp;IFERROR(INDEX(PASTE_ALL,$DF719,11)&amp;"","")&amp;"␟"&amp;IFERROR(INDEX(PASTE_ALL,$DF719,12)&amp;"","")&amp;"␟"&amp;IFERROR(INDEX(PASTE_ALL,$DF719,13)&amp;"","")&amp;"␟"&amp;IFERROR(INDEX(PASTE_ALL,$DF719,14)&amp;"","")&amp;"␟"&amp;IFERROR(INDEX(PASTE_ALL,$DF719,15)&amp;"","")&amp;"␟"&amp;IFERROR(INDEX(PASTE_ALL,$DF719,16)&amp;"","")&amp;"␟"&amp;IFERROR(INDEX(PASTE_ALL,$DF719,17)&amp;"","")&amp;"␟"&amp;IFERROR(INDEX(PASTE_ALL,$DF719,18)&amp;"","")&amp;"␟"&amp;IFERROR(INDEX(PASTE_ALL,$DF719,19)&amp;"","")&amp;"␟"&amp;IFERROR(INDEX(PASTE_ALL,$DF719,20)&amp;"","")&amp;"␟"&amp;IFERROR(INDEX(PASTE_ALL,$DF719,21)&amp;"","")&amp;"␟"&amp;IFERROR(INDEX(PASTE_ALL,$DF719,22)&amp;"","")&amp;"␟"&amp;IFERROR(INDEX(PASTE_ALL,$DF719,23)&amp;"","")&amp;"␟"&amp;IFERROR(INDEX(PASTE_ALL,$DF719,24)&amp;"","")&amp;"␟"&amp;IFERROR(INDEX(PASTE_ALL,$DF719,25)&amp;"","")&amp;"␟"&amp;IFERROR(INDEX(PASTE_ALL,$DF719,26)&amp;"","")&amp;"␟"&amp;IFERROR(INDEX(PASTE_ALL,$DF719,27)&amp;"","")&amp;"␟"&amp;IFERROR(INDEX(PASTE_ALL,$DF719,28)&amp;"","")&amp;"␟"&amp;IFERROR(INDEX(PASTE_ALL,$DF719,29)&amp;"","")&amp;"␟"&amp;IFERROR(INDEX(PASTE_ALL,$DF719,30)&amp;"","")&amp;"␟"&amp;IFERROR(INDEX(PASTE_ALL,$DF719,31)&amp;"","")&amp;"␟"&amp;IFERROR(INDEX(PASTE_ALL,$DF719,32)&amp;"","")&amp;"␟"&amp;IFERROR(INDEX(PASTE_ALL,$DF719,33)&amp;"","")&amp;"␟"&amp;IFERROR(INDEX(PASTE_ALL,$DF719,34)&amp;"","")&amp;"␟"&amp;IFERROR(INDEX(PASTE_ALL,$DF719,35)&amp;"","")&amp;"␟"&amp;IFERROR(INDEX(PASTE_ALL,$DF719,36)&amp;"","")&amp;"␟"&amp;IFERROR(INDEX(PASTE_ALL,$DF719,37)&amp;"","")&amp;"␟"&amp;IFERROR(INDEX(PASTE_ALL,$DF719,38)&amp;"","")&amp;"␟"&amp;IFERROR(INDEX(PASTE_ALL,$DF719,39)&amp;"","")&amp;"␟"&amp;IFERROR(INDEX(PASTE_ALL,$DF719,40)&amp;"","")&amp;"␟"&amp;IFERROR(INDEX(PASTE_ALL,$DF719,41)&amp;"","")&amp;"␟"&amp;IFERROR(INDEX(PASTE_ALL,$DF719,42)&amp;"","")&amp;"␟"&amp;IFERROR(INDEX(PASTE_ALL,$DF719,43)&amp;"","")&amp;"␟"&amp;IFERROR(INDEX(PASTE_ALL,$DF719,44)&amp;"","")&amp;"␟"&amp;IFERROR(INDEX(PASTE_ALL,$DF719,45)&amp;"","")&amp;"␟"&amp;IFERROR(INDEX(PASTE_ALL,$DF719,46)&amp;"","")&amp;"␟"&amp;IFERROR(INDEX(PASTE_ALL,$DF719,47)&amp;"","")&amp;"␟"&amp;IFERROR(INDEX(PASTE_ALL,$DF719,48)&amp;"","")&amp;"␟"&amp;IFERROR(INDEX(PASTE_ALL,$DF719,49)&amp;"","")&amp;"␟"&amp;IFERROR(INDEX(PASTE_ALL,$DF719,50)&amp;"","")&amp;"␟"&amp;IFERROR(INDEX(PASTE_ALL,$DF719,51)&amp;"","")&amp;"␟"&amp;IFERROR(INDEX(PASTE_ALL,$DF719,52)&amp;"","")&amp;"␟"&amp;IFERROR(INDEX(PASTE_ALL,$DF719,53)&amp;"","")&amp;"␟"&amp;IFERROR(INDEX(PASTE_ALL,$DF719,54)&amp;"","")&amp;"␟"&amp;IFERROR(INDEX(PASTE_ALL,$DF719,55)&amp;"","")&amp;"␟"&amp;IFERROR(INDEX(PASTE_ALL,$DF719,56)&amp;"","")&amp;"␟"&amp;IFERROR(INDEX(PASTE_ALL,$DF719,57)&amp;"","")&amp;"␟"&amp;IFERROR(INDEX(PASTE_ALL,$DF719,58)&amp;"","")&amp;"␟"&amp;IFERROR(INDEX(PASTE_ALL,$DF719,59)&amp;"","")&amp;"␟"&amp;IFERROR(INDEX(PASTE_ALL,$DF719,60)&amp;"","")," "," "),CHAR(9)," "),CHAR(10)," "),CHAR(13)," "))," ␟","␟"),"␟ ","␟"),"#"&amp;$DE719),"")</f>
        <v/>
      </c>
      <c r="DJ719">
        <f>IF($DI719="",0,IF(SUMPRODUCT(--EXACT($DI$4:DI718,$DI719))&gt;0,1,0))</f>
        <v/>
      </c>
      <c r="DK719">
        <f>IF(AND($DI719&lt;&gt;"",$DJ719=0),1,0)</f>
        <v/>
      </c>
      <c r="DL719">
        <f>DL718+$DK719</f>
        <v/>
      </c>
      <c r="DM719">
        <f>IF(AND($DK719=1,$DL719&lt;=600),1,0)</f>
        <v/>
      </c>
      <c r="DN719">
        <f>IF($DM719=0,"",IF($L$6=0,"",IFERROR(IF(ISNUMBER(INDEX(PASTE_ALL,$DF719,$L$6)),INDEX(PASTE_ALL,$DF719,$L$6),TRIM(SUBSTITUTE(SUBSTITUTE(SUBSTITUTE(SUBSTITUTE(INDEX(PASTE_ALL,$DF719,$L$6)," "," "),CHAR(9)," "),CHAR(10)," "),CHAR(13)," "))),"")))</f>
        <v/>
      </c>
      <c r="DO719">
        <f>IF($DM719=0,"",IF($L$7=0,"",IFERROR(IF(ISNUMBER(INDEX(PASTE_ALL,$DF719,$L$7)),INDEX(PASTE_ALL,$DF719,$L$7),TRIM(SUBSTITUTE(SUBSTITUTE(SUBSTITUTE(SUBSTITUTE(INDEX(PASTE_ALL,$DF719,$L$7)," "," "),CHAR(9)," "),CHAR(10)," "),CHAR(13)," "))),"")))</f>
        <v/>
      </c>
      <c r="DP719">
        <f>IF($DM719=0,"",IF($L$8=0,"",IFERROR(IF(ISNUMBER(INDEX(PASTE_ALL,$DF719,$L$8)),INDEX(PASTE_ALL,$DF719,$L$8),TRIM(SUBSTITUTE(SUBSTITUTE(SUBSTITUTE(SUBSTITUTE(INDEX(PASTE_ALL,$DF719,$L$8)," "," "),CHAR(9)," "),CHAR(10)," "),CHAR(13)," "))),"")))</f>
        <v/>
      </c>
      <c r="DQ719">
        <f>IF($DM719=0,"",IF($L$9=0,"",IFERROR(IF(ISNUMBER(INDEX(PASTE_ALL,$DF719,$L$9)),INDEX(PASTE_ALL,$DF719,$L$9),TRIM(SUBSTITUTE(SUBSTITUTE(SUBSTITUTE(SUBSTITUTE(INDEX(PASTE_ALL,$DF719,$L$9)," "," "),CHAR(9)," "),CHAR(10)," "),CHAR(13)," "))),"")))</f>
        <v/>
      </c>
      <c r="DR719">
        <f>IF($DM719=0,"",IF($L$10=0,"",IFERROR(IF(ISNUMBER(INDEX(PASTE_ALL,$DF719,$L$10)),INDEX(PASTE_ALL,$DF719,$L$10),TRIM(SUBSTITUTE(SUBSTITUTE(SUBSTITUTE(SUBSTITUTE(INDEX(PASTE_ALL,$DF719,$L$10)," "," "),CHAR(9)," "),CHAR(10)," "),CHAR(13)," "))),"")))</f>
        <v/>
      </c>
      <c r="DS719">
        <f>IF($DM719=0,"",IF($L$11=0,"",IFERROR(IF(ISNUMBER(INDEX(PASTE_ALL,$DF719,$L$11)),INDEX(PASTE_ALL,$DF719,$L$11),TRIM(SUBSTITUTE(SUBSTITUTE(SUBSTITUTE(SUBSTITUTE(INDEX(PASTE_ALL,$DF719,$L$11)," "," "),CHAR(9)," "),CHAR(10)," "),CHAR(13)," "))),"")))</f>
        <v/>
      </c>
      <c r="DT719">
        <f>IF($DM719=0,"",IF($L$12=0,"",IFERROR(IF(ISNUMBER(INDEX(PASTE_ALL,$DF719,$L$12)),INDEX(PASTE_ALL,$DF719,$L$12),TRIM(SUBSTITUTE(SUBSTITUTE(SUBSTITUTE(SUBSTITUTE(INDEX(PASTE_ALL,$DF719,$L$12)," "," "),CHAR(9)," "),CHAR(10)," "),CHAR(13)," "))),"")))</f>
        <v/>
      </c>
      <c r="DU719">
        <f>IF($DM719=0,"",IF($L$13=0,"",IFERROR(IF(ISNUMBER(INDEX(PASTE_ALL,$DF719,$L$13)),INDEX(PASTE_ALL,$DF719,$L$13),TRIM(SUBSTITUTE(SUBSTITUTE(SUBSTITUTE(SUBSTITUTE(INDEX(PASTE_ALL,$DF719,$L$13)," "," "),CHAR(9)," "),CHAR(10)," "),CHAR(13)," "))),"")))</f>
        <v/>
      </c>
      <c r="DV719">
        <f>IF($DM719=0,"",IF($L$14=0,"",IFERROR(IF(ISNUMBER(INDEX(PASTE_ALL,$DF719,$L$14)),INDEX(PASTE_ALL,$DF719,$L$14),TRIM(SUBSTITUTE(SUBSTITUTE(SUBSTITUTE(SUBSTITUTE(INDEX(PASTE_ALL,$DF719,$L$14)," "," "),CHAR(9)," "),CHAR(10)," "),CHAR(13)," "))),"")))</f>
        <v/>
      </c>
      <c r="DW719">
        <f>IF($DM719=0,"",IF($L$15=0,"",IFERROR(IF(ISNUMBER(INDEX(PASTE_ALL,$DF719,$L$15)),INDEX(PASTE_ALL,$DF719,$L$15),IF(SUMPRODUCT(--ISNUMBER(FIND({"A","B","C","D","E","F","G","H","I","J","K","L","M","N","O","P","Q","R","S","T","U","V","W","X","Y","Z","0","1","2","3","4","5","6","7","8","9"},UPPER(TRIM(SUBSTITUTE(SUBSTITUTE(SUBSTITUTE(SUBSTITUTE(INDEX(PASTE_ALL,$DF719,$L$15)," "," "),CHAR(9)," "),CHAR(10)," "),CHAR(13)," "))))))&gt;0,TRIM(SUBSTITUTE(SUBSTITUTE(SUBSTITUTE(SUBSTITUTE(INDEX(PASTE_ALL,$DF719,$L$15)," "," "),CHAR(9)," "),CHAR(10)," "),CHAR(13)," ")),"")),"")))</f>
        <v/>
      </c>
      <c r="DX719">
        <f>IF($DM719=0,"",IF($L$16=0,"",IFERROR(IF(ISNUMBER(INDEX(PASTE_ALL,$DF719,$L$16)),INDEX(PASTE_ALL,$DF719,$L$16),SUBSTITUTE(SUBSTITUTE(TRIM(SUBSTITUTE(SUBSTITUTE(SUBSTITUTE(SUBSTITUTE(INDEX(PASTE_ALL,$DF719,$L$16)," "," "),CHAR(9)," "),CHAR(10)," "),CHAR(13)," ")),",",""),"%","")),"")))</f>
        <v/>
      </c>
      <c r="DY719">
        <f>IF($DM719=0,"",IFERROR(IF(ISNUMBER($DX719),$DX719,IF($DX719="","",IF(TRIM($DX719)="",0,IF(AND(AND(SUBSTITUTE(SUBSTITUTE(SUBSTITUTE(SUBSTITUTE(SUBSTITUTE(SUBSTITUTE(SUBSTITUTE(SUBSTITUTE(SUBSTITUTE(SUBSTITUTE(SUBSTITUTE(SUBSTITUTE(SUBSTITUTE(SUBSTITUTE(UPPER(TRIM($DX719)),"0",""),"1",""),"2",""),"3",""),"4",""),"5",""),"6",""),"7",""),"8",""),"9",""),".",""),"+",""),"-",""),"E","")="",LEN(SUBSTITUTE(SUBSTITUTE(MID(UPPER(TRIM($DX719)),1+OR(LEFT(UPPER(TRIM($DX719)),1)="+",LEFT(UPPER(TRIM($DX719)),1)="-"),999),"E+","E"),"E-","E"))=LEN(SUBSTITUTE(SUBSTITUTE(SUBSTITUTE(SUBSTITUTE(MID(UPPER(TRIM($DX719)),1+OR(LEFT(UPPER(TRIM($DX719)),1)="+",LEFT(UPPER(TRIM($DX719)),1)="-"),999),"E+","E"),"E-","E"),"+",""),"-","")),LEN(UPPER(TRIM($DX719)))-LEN(SUBSTITUTE(UPPER(TRIM($DX719)),"E",""))&lt;2,LEN(UPPER(TRIM($DX719)))-LEN(SUBSTITUTE(UPPER(TRIM($DX719)),".",""))&lt;2,IFERROR(FIND(".",UPPER(TRIM($DX719))),0)&lt;IFERROR(FIND("E",UPPER(TRIM($DX719))),999)),ISNUMBER(VALUE(TRIM($DX719)))),VALUE(TRIM($DX719)),"")))),""))</f>
        <v/>
      </c>
      <c r="DZ719">
        <f>IF($DM719=0,"",IF($L$17=0,"",IFERROR(IF(ISNUMBER(INDEX(PASTE_ALL,$DF719,$L$17)),INDEX(PASTE_ALL,$DF719,$L$17),SUBSTITUTE(SUBSTITUTE(TRIM(SUBSTITUTE(SUBSTITUTE(SUBSTITUTE(SUBSTITUTE(INDEX(PASTE_ALL,$DF719,$L$17)," "," "),CHAR(9)," "),CHAR(10)," "),CHAR(13)," ")),",",""),"%","")),"")))</f>
        <v/>
      </c>
      <c r="EA719">
        <f>IF($DM719=0,"",IFERROR(IF(ISNUMBER($DZ719),$DZ719,IF($DZ719="","",IF(TRIM($DZ719)="",0,IF(AND(AND(SUBSTITUTE(SUBSTITUTE(SUBSTITUTE(SUBSTITUTE(SUBSTITUTE(SUBSTITUTE(SUBSTITUTE(SUBSTITUTE(SUBSTITUTE(SUBSTITUTE(SUBSTITUTE(SUBSTITUTE(SUBSTITUTE(SUBSTITUTE(UPPER(TRIM($DZ719)),"0",""),"1",""),"2",""),"3",""),"4",""),"5",""),"6",""),"7",""),"8",""),"9",""),".",""),"+",""),"-",""),"E","")="",LEN(SUBSTITUTE(SUBSTITUTE(MID(UPPER(TRIM($DZ719)),1+OR(LEFT(UPPER(TRIM($DZ719)),1)="+",LEFT(UPPER(TRIM($DZ719)),1)="-"),999),"E+","E"),"E-","E"))=LEN(SUBSTITUTE(SUBSTITUTE(SUBSTITUTE(SUBSTITUTE(MID(UPPER(TRIM($DZ719)),1+OR(LEFT(UPPER(TRIM($DZ719)),1)="+",LEFT(UPPER(TRIM($DZ719)),1)="-"),999),"E+","E"),"E-","E"),"+",""),"-","")),LEN(UPPER(TRIM($DZ719)))-LEN(SUBSTITUTE(UPPER(TRIM($DZ719)),"E",""))&lt;2,LEN(UPPER(TRIM($DZ719)))-LEN(SUBSTITUTE(UPPER(TRIM($DZ719)),".",""))&lt;2,IFERROR(FIND(".",UPPER(TRIM($DZ719))),0)&lt;IFERROR(FIND("E",UPPER(TRIM($DZ719))),999)),ISNUMBER(VALUE(TRIM($DZ719)))),VALUE(TRIM($DZ719)),"")))),""))</f>
        <v/>
      </c>
      <c r="EB719">
        <f>IF($DM719=0,"",IF($L$18=0,"",IFERROR(IF(UPPER(TRIM(SUBSTITUTE(SUBSTITUTE(SUBSTITUTE(SUBSTITUTE(INDEX(PASTE_ALL,$DF719,$L$18)," "," "),CHAR(9)," "),CHAR(10)," "),CHAR(13)," ")))="READY","Ready",IF(UPPER(TRIM(SUBSTITUTE(SUBSTITUTE(SUBSTITUTE(SUBSTITUTE(INDEX(PASTE_ALL,$DF719,$L$18)," "," "),CHAR(9)," "),CHAR(10)," "),CHAR(13)," ")))="PM","PM",IF(OR(UPPER(TRIM(SUBSTITUTE(SUBSTITUTE(SUBSTITUTE(SUBSTITUTE(INDEX(PASTE_ALL,$DF719,$L$18)," "," "),CHAR(9)," "),CHAR(10)," "),CHAR(13)," ")))="OT",UPPER(TRIM(SUBSTITUTE(SUBSTITUTE(SUBSTITUTE(SUBSTITUTE(INDEX(PASTE_ALL,$DF719,$L$18)," "," "),CHAR(9)," "),CHAR(10)," "),CHAR(13)," ")))="OVERTIME",UPPER(TRIM(SUBSTITUTE(SUBSTITUTE(SUBSTITUTE(SUBSTITUTE(INDEX(PASTE_ALL,$DF719,$L$18)," "," "),CHAR(9)," "),CHAR(10)," "),CHAR(13)," ")))="TRIAL"),"OT",TRIM(SUBSTITUTE(SUBSTITUTE(SUBSTITUTE(SUBSTITUTE(INDEX(PASTE_ALL,$DF719,$L$18)," "," "),CHAR(9)," "),CHAR(10)," "),CHAR(13)," "))))),"")))</f>
        <v/>
      </c>
      <c r="EC719">
        <f>IF($DM719=0,"",IF($L$19=0,"",IFERROR(IF(ISNUMBER(INDEX(PASTE_ALL,$DF719,$L$19)),INDEX(PASTE_ALL,$DF719,$L$19),TRIM(SUBSTITUTE(SUBSTITUTE(SUBSTITUTE(SUBSTITUTE(INDEX(PASTE_ALL,$DF719,$L$19)," "," "),CHAR(9)," "),CHAR(10)," "),CHAR(13)," "))),"")))</f>
        <v/>
      </c>
      <c r="ED719">
        <f>IF($DM719=0,"",MATCH(1,INDEX(EXACT($DH$5:DH719,$DH719)*$DM$5:DM719,0),0))</f>
        <v/>
      </c>
      <c r="EE719">
        <f>IF($DM719=0,0,IF($ED719=$DE719,1,0))</f>
        <v/>
      </c>
      <c r="EF719">
        <f>EF718+$EE719</f>
        <v/>
      </c>
      <c r="EG719">
        <f>IF($DM719=0,"",INDEX($EF$5:$EF$1003,$ED719))</f>
        <v/>
      </c>
      <c r="EH719">
        <f>IF($DM719=0,"",IF($DO719&lt;&gt;"","",IFERROR(LOOKUP(2,1/(($EG$4:EG718=$EG719)*($DO$4:DO718&lt;&gt;"")),$DO$4:DO718),"")))</f>
        <v/>
      </c>
      <c r="EI719">
        <f>IF($DM719=0,"",IF($DO719&lt;&gt;"",$DO719,$EH719))</f>
        <v/>
      </c>
      <c r="EJ719">
        <f>IF($DM719=0,"",IF($EI719="",0,IF(OR(ISNUMBER($EI719),AND(AND(SUBSTITUTE(SUBSTITUTE(SUBSTITUTE(SUBSTITUTE(SUBSTITUTE(SUBSTITUTE(SUBSTITUTE(SUBSTITUTE(SUBSTITUTE(SUBSTITUTE(SUBSTITUTE(SUBSTITUTE(SUBSTITUTE(SUBSTITUTE(UPPER($EI719),"0",""),"1",""),"2",""),"3",""),"4",""),"5",""),"6",""),"7",""),"8",""),"9",""),".",""),"+",""),"-",""),"E","")="",LEN(SUBSTITUTE(SUBSTITUTE(MID(UPPER($EI719),1+OR(LEFT(UPPER($EI719),1)="+",LEFT(UPPER($EI719),1)="-"),999),"E+","E"),"E-","E"))=LEN(SUBSTITUTE(SUBSTITUTE(SUBSTITUTE(SUBSTITUTE(MID(UPPER($EI719),1+OR(LEFT(UPPER($EI719),1)="+",LEFT(UPPER($EI719),1)="-"),999),"E+","E"),"E-","E"),"+",""),"-","")),LEN(UPPER($EI719))-LEN(SUBSTITUTE(UPPER($EI719),"E",""))&lt;2,LEN(UPPER($EI719))-LEN(SUBSTITUTE(UPPER($EI719),".",""))&lt;2,IFERROR(FIND(".",UPPER($EI719)),0)&lt;IFERROR(FIND("E",UPPER($EI719)),999)),ISNUMBER(VALUE($EI719)))),1,2)))</f>
        <v/>
      </c>
      <c r="EK719">
        <f>IF($DM719=0,"",IF($EJ719=1,IF(ISNUMBER($EI719),$EI719,VALUE($EI719)),IF($EJ719=2,$DE719,0)))</f>
        <v/>
      </c>
      <c r="EL719">
        <f>IF($DM719=0,"",COUNTIF($EG$5:$EG$1003,"&lt;"&amp;$EG719)+SUMPRODUCT(($EG$5:$EG$1003=$EG719)*(($EJ$5:$EJ$1003&lt;$EJ719)+($EJ$5:$EJ$1003=$EJ719)*(($EK$5:$EK$1003&lt;$EK719)+($EK$5:$EK$1003=$EK719)*($DE$5:$DE$1003&lt;$DE719))))+1)</f>
        <v/>
      </c>
      <c r="EM719">
        <f>IF($DM719=0,"",$EL719+$EG719-1)</f>
        <v/>
      </c>
      <c r="EN719">
        <f>IF($DM719=0,0,IFERROR(MATCH(1,INDEX(--(TRIM(SUBSTITUTE(SUBSTITUTE(SUBSTITUTE(SUBSTITUTE(LINES_NAME&amp;""," "," "),CHAR(9)," "),CHAR(10)," "),CHAR(13)," "))=$DH719),0),0),0))</f>
        <v/>
      </c>
      <c r="EO719">
        <f>IF($EN719=0,0,IF(OR(UPPER(TRIM(INDEX(LINES_SCHEDULED,$EN719)&amp;""))="YES",UPPER(TRIM(INDEX(LINES_SCHEDULED,$EN719)&amp;""))="Y",UPPER(TRIM(INDEX(LINES_SCHEDULED,$EN719)&amp;""))="X"),1,0))</f>
        <v/>
      </c>
      <c r="EP719">
        <f>IF($DM719=0,"",IF(COUNTIFS($EG$5:$EG$1003,$EG719,$EB$5:$EB$1003,"Ready")&gt;0,"READY",IF(COUNTIFS($EG$5:$EG$1003,$EG719,$EB$5:$EB$1003,"PM")&gt;0,"PM",IF(COUNTIFS($EG$5:$EG$1003,$EG719,$EB$5:$EB$1003,"OT")&gt;0,"OT",""))))</f>
        <v/>
      </c>
      <c r="EQ719">
        <f>IF($EN719=0,"",UPPER(TRIM(INDEX(LINES_STATUS,$EN719)&amp;"")))</f>
        <v/>
      </c>
      <c r="ER719">
        <f>IF($DM719=0,"",IF(OR($EQ719="READY",$EQ719="PM",$EQ719="OT"),$EQ719,$EP719))</f>
        <v/>
      </c>
      <c r="ES719">
        <f>IF($DM719=0,"",IF(AND($DV719&lt;&gt;"",UPPER($DV719)&lt;&gt;"N"),"allergen",IF(ISNUMBER(SEARCH("oil",$DQ719)),"oil",IF(OR(EXACT($DS719,"A662"),EXACT($DS719,"A624")),"bulk",""))))</f>
        <v/>
      </c>
      <c r="ET719">
        <f>IF($DM719=0,"",IF(OR($EA719="",$EA719=0),"",$EA719/100))</f>
        <v/>
      </c>
      <c r="EU719">
        <f>IF(OR($ET719="",$DY719=""),"",INT($DY719*(1-$ET719)+0.5))</f>
        <v/>
      </c>
    </row>
    <row r="720">
      <c r="DA720" t="n">
        <v>716</v>
      </c>
      <c r="DB720">
        <f>IF($B$37=0,"",IFERROR(TRIM(SUBSTITUTE(SUBSTITUTE(SUBSTITUTE(SUBSTITUTE(INDEX(PASTE_ALL,716,$B$37)," "," "),CHAR(9)," "),CHAR(10)," "),CHAR(13)," ")),""))</f>
        <v/>
      </c>
      <c r="DC720">
        <f>IF(AND(716&gt;HEADER_ROW,UPPER(DB720)="LEGEND"),1,0)</f>
        <v/>
      </c>
      <c r="DE720" t="n">
        <v>716</v>
      </c>
      <c r="DF720">
        <f>HEADER_ROW+$DE720</f>
        <v/>
      </c>
      <c r="DG720">
        <f>IF(AND($DF720&lt;=1000,$DF720&lt;$B$8),1,0)</f>
        <v/>
      </c>
      <c r="DH720">
        <f>IF($DG720=1,IFERROR(INDEX($DB$5:$DB$1004,$DF720),""),"")</f>
        <v/>
      </c>
      <c r="DI720">
        <f>IF(AND($DG720=1,$DH720&lt;&gt;""),IFERROR(SUBSTITUTE(SUBSTITUTE(TRIM(SUBSTITUTE(SUBSTITUTE(SUBSTITUTE(SUBSTITUTE(IFERROR(INDEX(PASTE_ALL,$DF720,1)&amp;"","")&amp;"␟"&amp;IFERROR(INDEX(PASTE_ALL,$DF720,2)&amp;"","")&amp;"␟"&amp;IFERROR(INDEX(PASTE_ALL,$DF720,3)&amp;"","")&amp;"␟"&amp;IFERROR(INDEX(PASTE_ALL,$DF720,4)&amp;"","")&amp;"␟"&amp;IFERROR(INDEX(PASTE_ALL,$DF720,5)&amp;"","")&amp;"␟"&amp;IFERROR(INDEX(PASTE_ALL,$DF720,6)&amp;"","")&amp;"␟"&amp;IFERROR(INDEX(PASTE_ALL,$DF720,7)&amp;"","")&amp;"␟"&amp;IFERROR(INDEX(PASTE_ALL,$DF720,8)&amp;"","")&amp;"␟"&amp;IFERROR(INDEX(PASTE_ALL,$DF720,9)&amp;"","")&amp;"␟"&amp;IFERROR(INDEX(PASTE_ALL,$DF720,10)&amp;"","")&amp;"␟"&amp;IFERROR(INDEX(PASTE_ALL,$DF720,11)&amp;"","")&amp;"␟"&amp;IFERROR(INDEX(PASTE_ALL,$DF720,12)&amp;"","")&amp;"␟"&amp;IFERROR(INDEX(PASTE_ALL,$DF720,13)&amp;"","")&amp;"␟"&amp;IFERROR(INDEX(PASTE_ALL,$DF720,14)&amp;"","")&amp;"␟"&amp;IFERROR(INDEX(PASTE_ALL,$DF720,15)&amp;"","")&amp;"␟"&amp;IFERROR(INDEX(PASTE_ALL,$DF720,16)&amp;"","")&amp;"␟"&amp;IFERROR(INDEX(PASTE_ALL,$DF720,17)&amp;"","")&amp;"␟"&amp;IFERROR(INDEX(PASTE_ALL,$DF720,18)&amp;"","")&amp;"␟"&amp;IFERROR(INDEX(PASTE_ALL,$DF720,19)&amp;"","")&amp;"␟"&amp;IFERROR(INDEX(PASTE_ALL,$DF720,20)&amp;"","")&amp;"␟"&amp;IFERROR(INDEX(PASTE_ALL,$DF720,21)&amp;"","")&amp;"␟"&amp;IFERROR(INDEX(PASTE_ALL,$DF720,22)&amp;"","")&amp;"␟"&amp;IFERROR(INDEX(PASTE_ALL,$DF720,23)&amp;"","")&amp;"␟"&amp;IFERROR(INDEX(PASTE_ALL,$DF720,24)&amp;"","")&amp;"␟"&amp;IFERROR(INDEX(PASTE_ALL,$DF720,25)&amp;"","")&amp;"␟"&amp;IFERROR(INDEX(PASTE_ALL,$DF720,26)&amp;"","")&amp;"␟"&amp;IFERROR(INDEX(PASTE_ALL,$DF720,27)&amp;"","")&amp;"␟"&amp;IFERROR(INDEX(PASTE_ALL,$DF720,28)&amp;"","")&amp;"␟"&amp;IFERROR(INDEX(PASTE_ALL,$DF720,29)&amp;"","")&amp;"␟"&amp;IFERROR(INDEX(PASTE_ALL,$DF720,30)&amp;"","")&amp;"␟"&amp;IFERROR(INDEX(PASTE_ALL,$DF720,31)&amp;"","")&amp;"␟"&amp;IFERROR(INDEX(PASTE_ALL,$DF720,32)&amp;"","")&amp;"␟"&amp;IFERROR(INDEX(PASTE_ALL,$DF720,33)&amp;"","")&amp;"␟"&amp;IFERROR(INDEX(PASTE_ALL,$DF720,34)&amp;"","")&amp;"␟"&amp;IFERROR(INDEX(PASTE_ALL,$DF720,35)&amp;"","")&amp;"␟"&amp;IFERROR(INDEX(PASTE_ALL,$DF720,36)&amp;"","")&amp;"␟"&amp;IFERROR(INDEX(PASTE_ALL,$DF720,37)&amp;"","")&amp;"␟"&amp;IFERROR(INDEX(PASTE_ALL,$DF720,38)&amp;"","")&amp;"␟"&amp;IFERROR(INDEX(PASTE_ALL,$DF720,39)&amp;"","")&amp;"␟"&amp;IFERROR(INDEX(PASTE_ALL,$DF720,40)&amp;"","")&amp;"␟"&amp;IFERROR(INDEX(PASTE_ALL,$DF720,41)&amp;"","")&amp;"␟"&amp;IFERROR(INDEX(PASTE_ALL,$DF720,42)&amp;"","")&amp;"␟"&amp;IFERROR(INDEX(PASTE_ALL,$DF720,43)&amp;"","")&amp;"␟"&amp;IFERROR(INDEX(PASTE_ALL,$DF720,44)&amp;"","")&amp;"␟"&amp;IFERROR(INDEX(PASTE_ALL,$DF720,45)&amp;"","")&amp;"␟"&amp;IFERROR(INDEX(PASTE_ALL,$DF720,46)&amp;"","")&amp;"␟"&amp;IFERROR(INDEX(PASTE_ALL,$DF720,47)&amp;"","")&amp;"␟"&amp;IFERROR(INDEX(PASTE_ALL,$DF720,48)&amp;"","")&amp;"␟"&amp;IFERROR(INDEX(PASTE_ALL,$DF720,49)&amp;"","")&amp;"␟"&amp;IFERROR(INDEX(PASTE_ALL,$DF720,50)&amp;"","")&amp;"␟"&amp;IFERROR(INDEX(PASTE_ALL,$DF720,51)&amp;"","")&amp;"␟"&amp;IFERROR(INDEX(PASTE_ALL,$DF720,52)&amp;"","")&amp;"␟"&amp;IFERROR(INDEX(PASTE_ALL,$DF720,53)&amp;"","")&amp;"␟"&amp;IFERROR(INDEX(PASTE_ALL,$DF720,54)&amp;"","")&amp;"␟"&amp;IFERROR(INDEX(PASTE_ALL,$DF720,55)&amp;"","")&amp;"␟"&amp;IFERROR(INDEX(PASTE_ALL,$DF720,56)&amp;"","")&amp;"␟"&amp;IFERROR(INDEX(PASTE_ALL,$DF720,57)&amp;"","")&amp;"␟"&amp;IFERROR(INDEX(PASTE_ALL,$DF720,58)&amp;"","")&amp;"␟"&amp;IFERROR(INDEX(PASTE_ALL,$DF720,59)&amp;"","")&amp;"␟"&amp;IFERROR(INDEX(PASTE_ALL,$DF720,60)&amp;"","")," "," "),CHAR(9)," "),CHAR(10)," "),CHAR(13)," "))," ␟","␟"),"␟ ","␟"),"#"&amp;$DE720),"")</f>
        <v/>
      </c>
      <c r="DJ720">
        <f>IF($DI720="",0,IF(SUMPRODUCT(--EXACT($DI$4:DI719,$DI720))&gt;0,1,0))</f>
        <v/>
      </c>
      <c r="DK720">
        <f>IF(AND($DI720&lt;&gt;"",$DJ720=0),1,0)</f>
        <v/>
      </c>
      <c r="DL720">
        <f>DL719+$DK720</f>
        <v/>
      </c>
      <c r="DM720">
        <f>IF(AND($DK720=1,$DL720&lt;=600),1,0)</f>
        <v/>
      </c>
      <c r="DN720">
        <f>IF($DM720=0,"",IF($L$6=0,"",IFERROR(IF(ISNUMBER(INDEX(PASTE_ALL,$DF720,$L$6)),INDEX(PASTE_ALL,$DF720,$L$6),TRIM(SUBSTITUTE(SUBSTITUTE(SUBSTITUTE(SUBSTITUTE(INDEX(PASTE_ALL,$DF720,$L$6)," "," "),CHAR(9)," "),CHAR(10)," "),CHAR(13)," "))),"")))</f>
        <v/>
      </c>
      <c r="DO720">
        <f>IF($DM720=0,"",IF($L$7=0,"",IFERROR(IF(ISNUMBER(INDEX(PASTE_ALL,$DF720,$L$7)),INDEX(PASTE_ALL,$DF720,$L$7),TRIM(SUBSTITUTE(SUBSTITUTE(SUBSTITUTE(SUBSTITUTE(INDEX(PASTE_ALL,$DF720,$L$7)," "," "),CHAR(9)," "),CHAR(10)," "),CHAR(13)," "))),"")))</f>
        <v/>
      </c>
      <c r="DP720">
        <f>IF($DM720=0,"",IF($L$8=0,"",IFERROR(IF(ISNUMBER(INDEX(PASTE_ALL,$DF720,$L$8)),INDEX(PASTE_ALL,$DF720,$L$8),TRIM(SUBSTITUTE(SUBSTITUTE(SUBSTITUTE(SUBSTITUTE(INDEX(PASTE_ALL,$DF720,$L$8)," "," "),CHAR(9)," "),CHAR(10)," "),CHAR(13)," "))),"")))</f>
        <v/>
      </c>
      <c r="DQ720">
        <f>IF($DM720=0,"",IF($L$9=0,"",IFERROR(IF(ISNUMBER(INDEX(PASTE_ALL,$DF720,$L$9)),INDEX(PASTE_ALL,$DF720,$L$9),TRIM(SUBSTITUTE(SUBSTITUTE(SUBSTITUTE(SUBSTITUTE(INDEX(PASTE_ALL,$DF720,$L$9)," "," "),CHAR(9)," "),CHAR(10)," "),CHAR(13)," "))),"")))</f>
        <v/>
      </c>
      <c r="DR720">
        <f>IF($DM720=0,"",IF($L$10=0,"",IFERROR(IF(ISNUMBER(INDEX(PASTE_ALL,$DF720,$L$10)),INDEX(PASTE_ALL,$DF720,$L$10),TRIM(SUBSTITUTE(SUBSTITUTE(SUBSTITUTE(SUBSTITUTE(INDEX(PASTE_ALL,$DF720,$L$10)," "," "),CHAR(9)," "),CHAR(10)," "),CHAR(13)," "))),"")))</f>
        <v/>
      </c>
      <c r="DS720">
        <f>IF($DM720=0,"",IF($L$11=0,"",IFERROR(IF(ISNUMBER(INDEX(PASTE_ALL,$DF720,$L$11)),INDEX(PASTE_ALL,$DF720,$L$11),TRIM(SUBSTITUTE(SUBSTITUTE(SUBSTITUTE(SUBSTITUTE(INDEX(PASTE_ALL,$DF720,$L$11)," "," "),CHAR(9)," "),CHAR(10)," "),CHAR(13)," "))),"")))</f>
        <v/>
      </c>
      <c r="DT720">
        <f>IF($DM720=0,"",IF($L$12=0,"",IFERROR(IF(ISNUMBER(INDEX(PASTE_ALL,$DF720,$L$12)),INDEX(PASTE_ALL,$DF720,$L$12),TRIM(SUBSTITUTE(SUBSTITUTE(SUBSTITUTE(SUBSTITUTE(INDEX(PASTE_ALL,$DF720,$L$12)," "," "),CHAR(9)," "),CHAR(10)," "),CHAR(13)," "))),"")))</f>
        <v/>
      </c>
      <c r="DU720">
        <f>IF($DM720=0,"",IF($L$13=0,"",IFERROR(IF(ISNUMBER(INDEX(PASTE_ALL,$DF720,$L$13)),INDEX(PASTE_ALL,$DF720,$L$13),TRIM(SUBSTITUTE(SUBSTITUTE(SUBSTITUTE(SUBSTITUTE(INDEX(PASTE_ALL,$DF720,$L$13)," "," "),CHAR(9)," "),CHAR(10)," "),CHAR(13)," "))),"")))</f>
        <v/>
      </c>
      <c r="DV720">
        <f>IF($DM720=0,"",IF($L$14=0,"",IFERROR(IF(ISNUMBER(INDEX(PASTE_ALL,$DF720,$L$14)),INDEX(PASTE_ALL,$DF720,$L$14),TRIM(SUBSTITUTE(SUBSTITUTE(SUBSTITUTE(SUBSTITUTE(INDEX(PASTE_ALL,$DF720,$L$14)," "," "),CHAR(9)," "),CHAR(10)," "),CHAR(13)," "))),"")))</f>
        <v/>
      </c>
      <c r="DW720">
        <f>IF($DM720=0,"",IF($L$15=0,"",IFERROR(IF(ISNUMBER(INDEX(PASTE_ALL,$DF720,$L$15)),INDEX(PASTE_ALL,$DF720,$L$15),IF(SUMPRODUCT(--ISNUMBER(FIND({"A","B","C","D","E","F","G","H","I","J","K","L","M","N","O","P","Q","R","S","T","U","V","W","X","Y","Z","0","1","2","3","4","5","6","7","8","9"},UPPER(TRIM(SUBSTITUTE(SUBSTITUTE(SUBSTITUTE(SUBSTITUTE(INDEX(PASTE_ALL,$DF720,$L$15)," "," "),CHAR(9)," "),CHAR(10)," "),CHAR(13)," "))))))&gt;0,TRIM(SUBSTITUTE(SUBSTITUTE(SUBSTITUTE(SUBSTITUTE(INDEX(PASTE_ALL,$DF720,$L$15)," "," "),CHAR(9)," "),CHAR(10)," "),CHAR(13)," ")),"")),"")))</f>
        <v/>
      </c>
      <c r="DX720">
        <f>IF($DM720=0,"",IF($L$16=0,"",IFERROR(IF(ISNUMBER(INDEX(PASTE_ALL,$DF720,$L$16)),INDEX(PASTE_ALL,$DF720,$L$16),SUBSTITUTE(SUBSTITUTE(TRIM(SUBSTITUTE(SUBSTITUTE(SUBSTITUTE(SUBSTITUTE(INDEX(PASTE_ALL,$DF720,$L$16)," "," "),CHAR(9)," "),CHAR(10)," "),CHAR(13)," ")),",",""),"%","")),"")))</f>
        <v/>
      </c>
      <c r="DY720">
        <f>IF($DM720=0,"",IFERROR(IF(ISNUMBER($DX720),$DX720,IF($DX720="","",IF(TRIM($DX720)="",0,IF(AND(AND(SUBSTITUTE(SUBSTITUTE(SUBSTITUTE(SUBSTITUTE(SUBSTITUTE(SUBSTITUTE(SUBSTITUTE(SUBSTITUTE(SUBSTITUTE(SUBSTITUTE(SUBSTITUTE(SUBSTITUTE(SUBSTITUTE(SUBSTITUTE(UPPER(TRIM($DX720)),"0",""),"1",""),"2",""),"3",""),"4",""),"5",""),"6",""),"7",""),"8",""),"9",""),".",""),"+",""),"-",""),"E","")="",LEN(SUBSTITUTE(SUBSTITUTE(MID(UPPER(TRIM($DX720)),1+OR(LEFT(UPPER(TRIM($DX720)),1)="+",LEFT(UPPER(TRIM($DX720)),1)="-"),999),"E+","E"),"E-","E"))=LEN(SUBSTITUTE(SUBSTITUTE(SUBSTITUTE(SUBSTITUTE(MID(UPPER(TRIM($DX720)),1+OR(LEFT(UPPER(TRIM($DX720)),1)="+",LEFT(UPPER(TRIM($DX720)),1)="-"),999),"E+","E"),"E-","E"),"+",""),"-","")),LEN(UPPER(TRIM($DX720)))-LEN(SUBSTITUTE(UPPER(TRIM($DX720)),"E",""))&lt;2,LEN(UPPER(TRIM($DX720)))-LEN(SUBSTITUTE(UPPER(TRIM($DX720)),".",""))&lt;2,IFERROR(FIND(".",UPPER(TRIM($DX720))),0)&lt;IFERROR(FIND("E",UPPER(TRIM($DX720))),999)),ISNUMBER(VALUE(TRIM($DX720)))),VALUE(TRIM($DX720)),"")))),""))</f>
        <v/>
      </c>
      <c r="DZ720">
        <f>IF($DM720=0,"",IF($L$17=0,"",IFERROR(IF(ISNUMBER(INDEX(PASTE_ALL,$DF720,$L$17)),INDEX(PASTE_ALL,$DF720,$L$17),SUBSTITUTE(SUBSTITUTE(TRIM(SUBSTITUTE(SUBSTITUTE(SUBSTITUTE(SUBSTITUTE(INDEX(PASTE_ALL,$DF720,$L$17)," "," "),CHAR(9)," "),CHAR(10)," "),CHAR(13)," ")),",",""),"%","")),"")))</f>
        <v/>
      </c>
      <c r="EA720">
        <f>IF($DM720=0,"",IFERROR(IF(ISNUMBER($DZ720),$DZ720,IF($DZ720="","",IF(TRIM($DZ720)="",0,IF(AND(AND(SUBSTITUTE(SUBSTITUTE(SUBSTITUTE(SUBSTITUTE(SUBSTITUTE(SUBSTITUTE(SUBSTITUTE(SUBSTITUTE(SUBSTITUTE(SUBSTITUTE(SUBSTITUTE(SUBSTITUTE(SUBSTITUTE(SUBSTITUTE(UPPER(TRIM($DZ720)),"0",""),"1",""),"2",""),"3",""),"4",""),"5",""),"6",""),"7",""),"8",""),"9",""),".",""),"+",""),"-",""),"E","")="",LEN(SUBSTITUTE(SUBSTITUTE(MID(UPPER(TRIM($DZ720)),1+OR(LEFT(UPPER(TRIM($DZ720)),1)="+",LEFT(UPPER(TRIM($DZ720)),1)="-"),999),"E+","E"),"E-","E"))=LEN(SUBSTITUTE(SUBSTITUTE(SUBSTITUTE(SUBSTITUTE(MID(UPPER(TRIM($DZ720)),1+OR(LEFT(UPPER(TRIM($DZ720)),1)="+",LEFT(UPPER(TRIM($DZ720)),1)="-"),999),"E+","E"),"E-","E"),"+",""),"-","")),LEN(UPPER(TRIM($DZ720)))-LEN(SUBSTITUTE(UPPER(TRIM($DZ720)),"E",""))&lt;2,LEN(UPPER(TRIM($DZ720)))-LEN(SUBSTITUTE(UPPER(TRIM($DZ720)),".",""))&lt;2,IFERROR(FIND(".",UPPER(TRIM($DZ720))),0)&lt;IFERROR(FIND("E",UPPER(TRIM($DZ720))),999)),ISNUMBER(VALUE(TRIM($DZ720)))),VALUE(TRIM($DZ720)),"")))),""))</f>
        <v/>
      </c>
      <c r="EB720">
        <f>IF($DM720=0,"",IF($L$18=0,"",IFERROR(IF(UPPER(TRIM(SUBSTITUTE(SUBSTITUTE(SUBSTITUTE(SUBSTITUTE(INDEX(PASTE_ALL,$DF720,$L$18)," "," "),CHAR(9)," "),CHAR(10)," "),CHAR(13)," ")))="READY","Ready",IF(UPPER(TRIM(SUBSTITUTE(SUBSTITUTE(SUBSTITUTE(SUBSTITUTE(INDEX(PASTE_ALL,$DF720,$L$18)," "," "),CHAR(9)," "),CHAR(10)," "),CHAR(13)," ")))="PM","PM",IF(OR(UPPER(TRIM(SUBSTITUTE(SUBSTITUTE(SUBSTITUTE(SUBSTITUTE(INDEX(PASTE_ALL,$DF720,$L$18)," "," "),CHAR(9)," "),CHAR(10)," "),CHAR(13)," ")))="OT",UPPER(TRIM(SUBSTITUTE(SUBSTITUTE(SUBSTITUTE(SUBSTITUTE(INDEX(PASTE_ALL,$DF720,$L$18)," "," "),CHAR(9)," "),CHAR(10)," "),CHAR(13)," ")))="OVERTIME",UPPER(TRIM(SUBSTITUTE(SUBSTITUTE(SUBSTITUTE(SUBSTITUTE(INDEX(PASTE_ALL,$DF720,$L$18)," "," "),CHAR(9)," "),CHAR(10)," "),CHAR(13)," ")))="TRIAL"),"OT",TRIM(SUBSTITUTE(SUBSTITUTE(SUBSTITUTE(SUBSTITUTE(INDEX(PASTE_ALL,$DF720,$L$18)," "," "),CHAR(9)," "),CHAR(10)," "),CHAR(13)," "))))),"")))</f>
        <v/>
      </c>
      <c r="EC720">
        <f>IF($DM720=0,"",IF($L$19=0,"",IFERROR(IF(ISNUMBER(INDEX(PASTE_ALL,$DF720,$L$19)),INDEX(PASTE_ALL,$DF720,$L$19),TRIM(SUBSTITUTE(SUBSTITUTE(SUBSTITUTE(SUBSTITUTE(INDEX(PASTE_ALL,$DF720,$L$19)," "," "),CHAR(9)," "),CHAR(10)," "),CHAR(13)," "))),"")))</f>
        <v/>
      </c>
      <c r="ED720">
        <f>IF($DM720=0,"",MATCH(1,INDEX(EXACT($DH$5:DH720,$DH720)*$DM$5:DM720,0),0))</f>
        <v/>
      </c>
      <c r="EE720">
        <f>IF($DM720=0,0,IF($ED720=$DE720,1,0))</f>
        <v/>
      </c>
      <c r="EF720">
        <f>EF719+$EE720</f>
        <v/>
      </c>
      <c r="EG720">
        <f>IF($DM720=0,"",INDEX($EF$5:$EF$1003,$ED720))</f>
        <v/>
      </c>
      <c r="EH720">
        <f>IF($DM720=0,"",IF($DO720&lt;&gt;"","",IFERROR(LOOKUP(2,1/(($EG$4:EG719=$EG720)*($DO$4:DO719&lt;&gt;"")),$DO$4:DO719),"")))</f>
        <v/>
      </c>
      <c r="EI720">
        <f>IF($DM720=0,"",IF($DO720&lt;&gt;"",$DO720,$EH720))</f>
        <v/>
      </c>
      <c r="EJ720">
        <f>IF($DM720=0,"",IF($EI720="",0,IF(OR(ISNUMBER($EI720),AND(AND(SUBSTITUTE(SUBSTITUTE(SUBSTITUTE(SUBSTITUTE(SUBSTITUTE(SUBSTITUTE(SUBSTITUTE(SUBSTITUTE(SUBSTITUTE(SUBSTITUTE(SUBSTITUTE(SUBSTITUTE(SUBSTITUTE(SUBSTITUTE(UPPER($EI720),"0",""),"1",""),"2",""),"3",""),"4",""),"5",""),"6",""),"7",""),"8",""),"9",""),".",""),"+",""),"-",""),"E","")="",LEN(SUBSTITUTE(SUBSTITUTE(MID(UPPER($EI720),1+OR(LEFT(UPPER($EI720),1)="+",LEFT(UPPER($EI720),1)="-"),999),"E+","E"),"E-","E"))=LEN(SUBSTITUTE(SUBSTITUTE(SUBSTITUTE(SUBSTITUTE(MID(UPPER($EI720),1+OR(LEFT(UPPER($EI720),1)="+",LEFT(UPPER($EI720),1)="-"),999),"E+","E"),"E-","E"),"+",""),"-","")),LEN(UPPER($EI720))-LEN(SUBSTITUTE(UPPER($EI720),"E",""))&lt;2,LEN(UPPER($EI720))-LEN(SUBSTITUTE(UPPER($EI720),".",""))&lt;2,IFERROR(FIND(".",UPPER($EI720)),0)&lt;IFERROR(FIND("E",UPPER($EI720)),999)),ISNUMBER(VALUE($EI720)))),1,2)))</f>
        <v/>
      </c>
      <c r="EK720">
        <f>IF($DM720=0,"",IF($EJ720=1,IF(ISNUMBER($EI720),$EI720,VALUE($EI720)),IF($EJ720=2,$DE720,0)))</f>
        <v/>
      </c>
      <c r="EL720">
        <f>IF($DM720=0,"",COUNTIF($EG$5:$EG$1003,"&lt;"&amp;$EG720)+SUMPRODUCT(($EG$5:$EG$1003=$EG720)*(($EJ$5:$EJ$1003&lt;$EJ720)+($EJ$5:$EJ$1003=$EJ720)*(($EK$5:$EK$1003&lt;$EK720)+($EK$5:$EK$1003=$EK720)*($DE$5:$DE$1003&lt;$DE720))))+1)</f>
        <v/>
      </c>
      <c r="EM720">
        <f>IF($DM720=0,"",$EL720+$EG720-1)</f>
        <v/>
      </c>
      <c r="EN720">
        <f>IF($DM720=0,0,IFERROR(MATCH(1,INDEX(--(TRIM(SUBSTITUTE(SUBSTITUTE(SUBSTITUTE(SUBSTITUTE(LINES_NAME&amp;""," "," "),CHAR(9)," "),CHAR(10)," "),CHAR(13)," "))=$DH720),0),0),0))</f>
        <v/>
      </c>
      <c r="EO720">
        <f>IF($EN720=0,0,IF(OR(UPPER(TRIM(INDEX(LINES_SCHEDULED,$EN720)&amp;""))="YES",UPPER(TRIM(INDEX(LINES_SCHEDULED,$EN720)&amp;""))="Y",UPPER(TRIM(INDEX(LINES_SCHEDULED,$EN720)&amp;""))="X"),1,0))</f>
        <v/>
      </c>
      <c r="EP720">
        <f>IF($DM720=0,"",IF(COUNTIFS($EG$5:$EG$1003,$EG720,$EB$5:$EB$1003,"Ready")&gt;0,"READY",IF(COUNTIFS($EG$5:$EG$1003,$EG720,$EB$5:$EB$1003,"PM")&gt;0,"PM",IF(COUNTIFS($EG$5:$EG$1003,$EG720,$EB$5:$EB$1003,"OT")&gt;0,"OT",""))))</f>
        <v/>
      </c>
      <c r="EQ720">
        <f>IF($EN720=0,"",UPPER(TRIM(INDEX(LINES_STATUS,$EN720)&amp;"")))</f>
        <v/>
      </c>
      <c r="ER720">
        <f>IF($DM720=0,"",IF(OR($EQ720="READY",$EQ720="PM",$EQ720="OT"),$EQ720,$EP720))</f>
        <v/>
      </c>
      <c r="ES720">
        <f>IF($DM720=0,"",IF(AND($DV720&lt;&gt;"",UPPER($DV720)&lt;&gt;"N"),"allergen",IF(ISNUMBER(SEARCH("oil",$DQ720)),"oil",IF(OR(EXACT($DS720,"A662"),EXACT($DS720,"A624")),"bulk",""))))</f>
        <v/>
      </c>
      <c r="ET720">
        <f>IF($DM720=0,"",IF(OR($EA720="",$EA720=0),"",$EA720/100))</f>
        <v/>
      </c>
      <c r="EU720">
        <f>IF(OR($ET720="",$DY720=""),"",INT($DY720*(1-$ET720)+0.5))</f>
        <v/>
      </c>
    </row>
    <row r="721">
      <c r="DA721" t="n">
        <v>717</v>
      </c>
      <c r="DB721">
        <f>IF($B$37=0,"",IFERROR(TRIM(SUBSTITUTE(SUBSTITUTE(SUBSTITUTE(SUBSTITUTE(INDEX(PASTE_ALL,717,$B$37)," "," "),CHAR(9)," "),CHAR(10)," "),CHAR(13)," ")),""))</f>
        <v/>
      </c>
      <c r="DC721">
        <f>IF(AND(717&gt;HEADER_ROW,UPPER(DB721)="LEGEND"),1,0)</f>
        <v/>
      </c>
      <c r="DE721" t="n">
        <v>717</v>
      </c>
      <c r="DF721">
        <f>HEADER_ROW+$DE721</f>
        <v/>
      </c>
      <c r="DG721">
        <f>IF(AND($DF721&lt;=1000,$DF721&lt;$B$8),1,0)</f>
        <v/>
      </c>
      <c r="DH721">
        <f>IF($DG721=1,IFERROR(INDEX($DB$5:$DB$1004,$DF721),""),"")</f>
        <v/>
      </c>
      <c r="DI721">
        <f>IF(AND($DG721=1,$DH721&lt;&gt;""),IFERROR(SUBSTITUTE(SUBSTITUTE(TRIM(SUBSTITUTE(SUBSTITUTE(SUBSTITUTE(SUBSTITUTE(IFERROR(INDEX(PASTE_ALL,$DF721,1)&amp;"","")&amp;"␟"&amp;IFERROR(INDEX(PASTE_ALL,$DF721,2)&amp;"","")&amp;"␟"&amp;IFERROR(INDEX(PASTE_ALL,$DF721,3)&amp;"","")&amp;"␟"&amp;IFERROR(INDEX(PASTE_ALL,$DF721,4)&amp;"","")&amp;"␟"&amp;IFERROR(INDEX(PASTE_ALL,$DF721,5)&amp;"","")&amp;"␟"&amp;IFERROR(INDEX(PASTE_ALL,$DF721,6)&amp;"","")&amp;"␟"&amp;IFERROR(INDEX(PASTE_ALL,$DF721,7)&amp;"","")&amp;"␟"&amp;IFERROR(INDEX(PASTE_ALL,$DF721,8)&amp;"","")&amp;"␟"&amp;IFERROR(INDEX(PASTE_ALL,$DF721,9)&amp;"","")&amp;"␟"&amp;IFERROR(INDEX(PASTE_ALL,$DF721,10)&amp;"","")&amp;"␟"&amp;IFERROR(INDEX(PASTE_ALL,$DF721,11)&amp;"","")&amp;"␟"&amp;IFERROR(INDEX(PASTE_ALL,$DF721,12)&amp;"","")&amp;"␟"&amp;IFERROR(INDEX(PASTE_ALL,$DF721,13)&amp;"","")&amp;"␟"&amp;IFERROR(INDEX(PASTE_ALL,$DF721,14)&amp;"","")&amp;"␟"&amp;IFERROR(INDEX(PASTE_ALL,$DF721,15)&amp;"","")&amp;"␟"&amp;IFERROR(INDEX(PASTE_ALL,$DF721,16)&amp;"","")&amp;"␟"&amp;IFERROR(INDEX(PASTE_ALL,$DF721,17)&amp;"","")&amp;"␟"&amp;IFERROR(INDEX(PASTE_ALL,$DF721,18)&amp;"","")&amp;"␟"&amp;IFERROR(INDEX(PASTE_ALL,$DF721,19)&amp;"","")&amp;"␟"&amp;IFERROR(INDEX(PASTE_ALL,$DF721,20)&amp;"","")&amp;"␟"&amp;IFERROR(INDEX(PASTE_ALL,$DF721,21)&amp;"","")&amp;"␟"&amp;IFERROR(INDEX(PASTE_ALL,$DF721,22)&amp;"","")&amp;"␟"&amp;IFERROR(INDEX(PASTE_ALL,$DF721,23)&amp;"","")&amp;"␟"&amp;IFERROR(INDEX(PASTE_ALL,$DF721,24)&amp;"","")&amp;"␟"&amp;IFERROR(INDEX(PASTE_ALL,$DF721,25)&amp;"","")&amp;"␟"&amp;IFERROR(INDEX(PASTE_ALL,$DF721,26)&amp;"","")&amp;"␟"&amp;IFERROR(INDEX(PASTE_ALL,$DF721,27)&amp;"","")&amp;"␟"&amp;IFERROR(INDEX(PASTE_ALL,$DF721,28)&amp;"","")&amp;"␟"&amp;IFERROR(INDEX(PASTE_ALL,$DF721,29)&amp;"","")&amp;"␟"&amp;IFERROR(INDEX(PASTE_ALL,$DF721,30)&amp;"","")&amp;"␟"&amp;IFERROR(INDEX(PASTE_ALL,$DF721,31)&amp;"","")&amp;"␟"&amp;IFERROR(INDEX(PASTE_ALL,$DF721,32)&amp;"","")&amp;"␟"&amp;IFERROR(INDEX(PASTE_ALL,$DF721,33)&amp;"","")&amp;"␟"&amp;IFERROR(INDEX(PASTE_ALL,$DF721,34)&amp;"","")&amp;"␟"&amp;IFERROR(INDEX(PASTE_ALL,$DF721,35)&amp;"","")&amp;"␟"&amp;IFERROR(INDEX(PASTE_ALL,$DF721,36)&amp;"","")&amp;"␟"&amp;IFERROR(INDEX(PASTE_ALL,$DF721,37)&amp;"","")&amp;"␟"&amp;IFERROR(INDEX(PASTE_ALL,$DF721,38)&amp;"","")&amp;"␟"&amp;IFERROR(INDEX(PASTE_ALL,$DF721,39)&amp;"","")&amp;"␟"&amp;IFERROR(INDEX(PASTE_ALL,$DF721,40)&amp;"","")&amp;"␟"&amp;IFERROR(INDEX(PASTE_ALL,$DF721,41)&amp;"","")&amp;"␟"&amp;IFERROR(INDEX(PASTE_ALL,$DF721,42)&amp;"","")&amp;"␟"&amp;IFERROR(INDEX(PASTE_ALL,$DF721,43)&amp;"","")&amp;"␟"&amp;IFERROR(INDEX(PASTE_ALL,$DF721,44)&amp;"","")&amp;"␟"&amp;IFERROR(INDEX(PASTE_ALL,$DF721,45)&amp;"","")&amp;"␟"&amp;IFERROR(INDEX(PASTE_ALL,$DF721,46)&amp;"","")&amp;"␟"&amp;IFERROR(INDEX(PASTE_ALL,$DF721,47)&amp;"","")&amp;"␟"&amp;IFERROR(INDEX(PASTE_ALL,$DF721,48)&amp;"","")&amp;"␟"&amp;IFERROR(INDEX(PASTE_ALL,$DF721,49)&amp;"","")&amp;"␟"&amp;IFERROR(INDEX(PASTE_ALL,$DF721,50)&amp;"","")&amp;"␟"&amp;IFERROR(INDEX(PASTE_ALL,$DF721,51)&amp;"","")&amp;"␟"&amp;IFERROR(INDEX(PASTE_ALL,$DF721,52)&amp;"","")&amp;"␟"&amp;IFERROR(INDEX(PASTE_ALL,$DF721,53)&amp;"","")&amp;"␟"&amp;IFERROR(INDEX(PASTE_ALL,$DF721,54)&amp;"","")&amp;"␟"&amp;IFERROR(INDEX(PASTE_ALL,$DF721,55)&amp;"","")&amp;"␟"&amp;IFERROR(INDEX(PASTE_ALL,$DF721,56)&amp;"","")&amp;"␟"&amp;IFERROR(INDEX(PASTE_ALL,$DF721,57)&amp;"","")&amp;"␟"&amp;IFERROR(INDEX(PASTE_ALL,$DF721,58)&amp;"","")&amp;"␟"&amp;IFERROR(INDEX(PASTE_ALL,$DF721,59)&amp;"","")&amp;"␟"&amp;IFERROR(INDEX(PASTE_ALL,$DF721,60)&amp;"","")," "," "),CHAR(9)," "),CHAR(10)," "),CHAR(13)," "))," ␟","␟"),"␟ ","␟"),"#"&amp;$DE721),"")</f>
        <v/>
      </c>
      <c r="DJ721">
        <f>IF($DI721="",0,IF(SUMPRODUCT(--EXACT($DI$4:DI720,$DI721))&gt;0,1,0))</f>
        <v/>
      </c>
      <c r="DK721">
        <f>IF(AND($DI721&lt;&gt;"",$DJ721=0),1,0)</f>
        <v/>
      </c>
      <c r="DL721">
        <f>DL720+$DK721</f>
        <v/>
      </c>
      <c r="DM721">
        <f>IF(AND($DK721=1,$DL721&lt;=600),1,0)</f>
        <v/>
      </c>
      <c r="DN721">
        <f>IF($DM721=0,"",IF($L$6=0,"",IFERROR(IF(ISNUMBER(INDEX(PASTE_ALL,$DF721,$L$6)),INDEX(PASTE_ALL,$DF721,$L$6),TRIM(SUBSTITUTE(SUBSTITUTE(SUBSTITUTE(SUBSTITUTE(INDEX(PASTE_ALL,$DF721,$L$6)," "," "),CHAR(9)," "),CHAR(10)," "),CHAR(13)," "))),"")))</f>
        <v/>
      </c>
      <c r="DO721">
        <f>IF($DM721=0,"",IF($L$7=0,"",IFERROR(IF(ISNUMBER(INDEX(PASTE_ALL,$DF721,$L$7)),INDEX(PASTE_ALL,$DF721,$L$7),TRIM(SUBSTITUTE(SUBSTITUTE(SUBSTITUTE(SUBSTITUTE(INDEX(PASTE_ALL,$DF721,$L$7)," "," "),CHAR(9)," "),CHAR(10)," "),CHAR(13)," "))),"")))</f>
        <v/>
      </c>
      <c r="DP721">
        <f>IF($DM721=0,"",IF($L$8=0,"",IFERROR(IF(ISNUMBER(INDEX(PASTE_ALL,$DF721,$L$8)),INDEX(PASTE_ALL,$DF721,$L$8),TRIM(SUBSTITUTE(SUBSTITUTE(SUBSTITUTE(SUBSTITUTE(INDEX(PASTE_ALL,$DF721,$L$8)," "," "),CHAR(9)," "),CHAR(10)," "),CHAR(13)," "))),"")))</f>
        <v/>
      </c>
      <c r="DQ721">
        <f>IF($DM721=0,"",IF($L$9=0,"",IFERROR(IF(ISNUMBER(INDEX(PASTE_ALL,$DF721,$L$9)),INDEX(PASTE_ALL,$DF721,$L$9),TRIM(SUBSTITUTE(SUBSTITUTE(SUBSTITUTE(SUBSTITUTE(INDEX(PASTE_ALL,$DF721,$L$9)," "," "),CHAR(9)," "),CHAR(10)," "),CHAR(13)," "))),"")))</f>
        <v/>
      </c>
      <c r="DR721">
        <f>IF($DM721=0,"",IF($L$10=0,"",IFERROR(IF(ISNUMBER(INDEX(PASTE_ALL,$DF721,$L$10)),INDEX(PASTE_ALL,$DF721,$L$10),TRIM(SUBSTITUTE(SUBSTITUTE(SUBSTITUTE(SUBSTITUTE(INDEX(PASTE_ALL,$DF721,$L$10)," "," "),CHAR(9)," "),CHAR(10)," "),CHAR(13)," "))),"")))</f>
        <v/>
      </c>
      <c r="DS721">
        <f>IF($DM721=0,"",IF($L$11=0,"",IFERROR(IF(ISNUMBER(INDEX(PASTE_ALL,$DF721,$L$11)),INDEX(PASTE_ALL,$DF721,$L$11),TRIM(SUBSTITUTE(SUBSTITUTE(SUBSTITUTE(SUBSTITUTE(INDEX(PASTE_ALL,$DF721,$L$11)," "," "),CHAR(9)," "),CHAR(10)," "),CHAR(13)," "))),"")))</f>
        <v/>
      </c>
      <c r="DT721">
        <f>IF($DM721=0,"",IF($L$12=0,"",IFERROR(IF(ISNUMBER(INDEX(PASTE_ALL,$DF721,$L$12)),INDEX(PASTE_ALL,$DF721,$L$12),TRIM(SUBSTITUTE(SUBSTITUTE(SUBSTITUTE(SUBSTITUTE(INDEX(PASTE_ALL,$DF721,$L$12)," "," "),CHAR(9)," "),CHAR(10)," "),CHAR(13)," "))),"")))</f>
        <v/>
      </c>
      <c r="DU721">
        <f>IF($DM721=0,"",IF($L$13=0,"",IFERROR(IF(ISNUMBER(INDEX(PASTE_ALL,$DF721,$L$13)),INDEX(PASTE_ALL,$DF721,$L$13),TRIM(SUBSTITUTE(SUBSTITUTE(SUBSTITUTE(SUBSTITUTE(INDEX(PASTE_ALL,$DF721,$L$13)," "," "),CHAR(9)," "),CHAR(10)," "),CHAR(13)," "))),"")))</f>
        <v/>
      </c>
      <c r="DV721">
        <f>IF($DM721=0,"",IF($L$14=0,"",IFERROR(IF(ISNUMBER(INDEX(PASTE_ALL,$DF721,$L$14)),INDEX(PASTE_ALL,$DF721,$L$14),TRIM(SUBSTITUTE(SUBSTITUTE(SUBSTITUTE(SUBSTITUTE(INDEX(PASTE_ALL,$DF721,$L$14)," "," "),CHAR(9)," "),CHAR(10)," "),CHAR(13)," "))),"")))</f>
        <v/>
      </c>
      <c r="DW721">
        <f>IF($DM721=0,"",IF($L$15=0,"",IFERROR(IF(ISNUMBER(INDEX(PASTE_ALL,$DF721,$L$15)),INDEX(PASTE_ALL,$DF721,$L$15),IF(SUMPRODUCT(--ISNUMBER(FIND({"A","B","C","D","E","F","G","H","I","J","K","L","M","N","O","P","Q","R","S","T","U","V","W","X","Y","Z","0","1","2","3","4","5","6","7","8","9"},UPPER(TRIM(SUBSTITUTE(SUBSTITUTE(SUBSTITUTE(SUBSTITUTE(INDEX(PASTE_ALL,$DF721,$L$15)," "," "),CHAR(9)," "),CHAR(10)," "),CHAR(13)," "))))))&gt;0,TRIM(SUBSTITUTE(SUBSTITUTE(SUBSTITUTE(SUBSTITUTE(INDEX(PASTE_ALL,$DF721,$L$15)," "," "),CHAR(9)," "),CHAR(10)," "),CHAR(13)," ")),"")),"")))</f>
        <v/>
      </c>
      <c r="DX721">
        <f>IF($DM721=0,"",IF($L$16=0,"",IFERROR(IF(ISNUMBER(INDEX(PASTE_ALL,$DF721,$L$16)),INDEX(PASTE_ALL,$DF721,$L$16),SUBSTITUTE(SUBSTITUTE(TRIM(SUBSTITUTE(SUBSTITUTE(SUBSTITUTE(SUBSTITUTE(INDEX(PASTE_ALL,$DF721,$L$16)," "," "),CHAR(9)," "),CHAR(10)," "),CHAR(13)," ")),",",""),"%","")),"")))</f>
        <v/>
      </c>
      <c r="DY721">
        <f>IF($DM721=0,"",IFERROR(IF(ISNUMBER($DX721),$DX721,IF($DX721="","",IF(TRIM($DX721)="",0,IF(AND(AND(SUBSTITUTE(SUBSTITUTE(SUBSTITUTE(SUBSTITUTE(SUBSTITUTE(SUBSTITUTE(SUBSTITUTE(SUBSTITUTE(SUBSTITUTE(SUBSTITUTE(SUBSTITUTE(SUBSTITUTE(SUBSTITUTE(SUBSTITUTE(UPPER(TRIM($DX721)),"0",""),"1",""),"2",""),"3",""),"4",""),"5",""),"6",""),"7",""),"8",""),"9",""),".",""),"+",""),"-",""),"E","")="",LEN(SUBSTITUTE(SUBSTITUTE(MID(UPPER(TRIM($DX721)),1+OR(LEFT(UPPER(TRIM($DX721)),1)="+",LEFT(UPPER(TRIM($DX721)),1)="-"),999),"E+","E"),"E-","E"))=LEN(SUBSTITUTE(SUBSTITUTE(SUBSTITUTE(SUBSTITUTE(MID(UPPER(TRIM($DX721)),1+OR(LEFT(UPPER(TRIM($DX721)),1)="+",LEFT(UPPER(TRIM($DX721)),1)="-"),999),"E+","E"),"E-","E"),"+",""),"-","")),LEN(UPPER(TRIM($DX721)))-LEN(SUBSTITUTE(UPPER(TRIM($DX721)),"E",""))&lt;2,LEN(UPPER(TRIM($DX721)))-LEN(SUBSTITUTE(UPPER(TRIM($DX721)),".",""))&lt;2,IFERROR(FIND(".",UPPER(TRIM($DX721))),0)&lt;IFERROR(FIND("E",UPPER(TRIM($DX721))),999)),ISNUMBER(VALUE(TRIM($DX721)))),VALUE(TRIM($DX721)),"")))),""))</f>
        <v/>
      </c>
      <c r="DZ721">
        <f>IF($DM721=0,"",IF($L$17=0,"",IFERROR(IF(ISNUMBER(INDEX(PASTE_ALL,$DF721,$L$17)),INDEX(PASTE_ALL,$DF721,$L$17),SUBSTITUTE(SUBSTITUTE(TRIM(SUBSTITUTE(SUBSTITUTE(SUBSTITUTE(SUBSTITUTE(INDEX(PASTE_ALL,$DF721,$L$17)," "," "),CHAR(9)," "),CHAR(10)," "),CHAR(13)," ")),",",""),"%","")),"")))</f>
        <v/>
      </c>
      <c r="EA721">
        <f>IF($DM721=0,"",IFERROR(IF(ISNUMBER($DZ721),$DZ721,IF($DZ721="","",IF(TRIM($DZ721)="",0,IF(AND(AND(SUBSTITUTE(SUBSTITUTE(SUBSTITUTE(SUBSTITUTE(SUBSTITUTE(SUBSTITUTE(SUBSTITUTE(SUBSTITUTE(SUBSTITUTE(SUBSTITUTE(SUBSTITUTE(SUBSTITUTE(SUBSTITUTE(SUBSTITUTE(UPPER(TRIM($DZ721)),"0",""),"1",""),"2",""),"3",""),"4",""),"5",""),"6",""),"7",""),"8",""),"9",""),".",""),"+",""),"-",""),"E","")="",LEN(SUBSTITUTE(SUBSTITUTE(MID(UPPER(TRIM($DZ721)),1+OR(LEFT(UPPER(TRIM($DZ721)),1)="+",LEFT(UPPER(TRIM($DZ721)),1)="-"),999),"E+","E"),"E-","E"))=LEN(SUBSTITUTE(SUBSTITUTE(SUBSTITUTE(SUBSTITUTE(MID(UPPER(TRIM($DZ721)),1+OR(LEFT(UPPER(TRIM($DZ721)),1)="+",LEFT(UPPER(TRIM($DZ721)),1)="-"),999),"E+","E"),"E-","E"),"+",""),"-","")),LEN(UPPER(TRIM($DZ721)))-LEN(SUBSTITUTE(UPPER(TRIM($DZ721)),"E",""))&lt;2,LEN(UPPER(TRIM($DZ721)))-LEN(SUBSTITUTE(UPPER(TRIM($DZ721)),".",""))&lt;2,IFERROR(FIND(".",UPPER(TRIM($DZ721))),0)&lt;IFERROR(FIND("E",UPPER(TRIM($DZ721))),999)),ISNUMBER(VALUE(TRIM($DZ721)))),VALUE(TRIM($DZ721)),"")))),""))</f>
        <v/>
      </c>
      <c r="EB721">
        <f>IF($DM721=0,"",IF($L$18=0,"",IFERROR(IF(UPPER(TRIM(SUBSTITUTE(SUBSTITUTE(SUBSTITUTE(SUBSTITUTE(INDEX(PASTE_ALL,$DF721,$L$18)," "," "),CHAR(9)," "),CHAR(10)," "),CHAR(13)," ")))="READY","Ready",IF(UPPER(TRIM(SUBSTITUTE(SUBSTITUTE(SUBSTITUTE(SUBSTITUTE(INDEX(PASTE_ALL,$DF721,$L$18)," "," "),CHAR(9)," "),CHAR(10)," "),CHAR(13)," ")))="PM","PM",IF(OR(UPPER(TRIM(SUBSTITUTE(SUBSTITUTE(SUBSTITUTE(SUBSTITUTE(INDEX(PASTE_ALL,$DF721,$L$18)," "," "),CHAR(9)," "),CHAR(10)," "),CHAR(13)," ")))="OT",UPPER(TRIM(SUBSTITUTE(SUBSTITUTE(SUBSTITUTE(SUBSTITUTE(INDEX(PASTE_ALL,$DF721,$L$18)," "," "),CHAR(9)," "),CHAR(10)," "),CHAR(13)," ")))="OVERTIME",UPPER(TRIM(SUBSTITUTE(SUBSTITUTE(SUBSTITUTE(SUBSTITUTE(INDEX(PASTE_ALL,$DF721,$L$18)," "," "),CHAR(9)," "),CHAR(10)," "),CHAR(13)," ")))="TRIAL"),"OT",TRIM(SUBSTITUTE(SUBSTITUTE(SUBSTITUTE(SUBSTITUTE(INDEX(PASTE_ALL,$DF721,$L$18)," "," "),CHAR(9)," "),CHAR(10)," "),CHAR(13)," "))))),"")))</f>
        <v/>
      </c>
      <c r="EC721">
        <f>IF($DM721=0,"",IF($L$19=0,"",IFERROR(IF(ISNUMBER(INDEX(PASTE_ALL,$DF721,$L$19)),INDEX(PASTE_ALL,$DF721,$L$19),TRIM(SUBSTITUTE(SUBSTITUTE(SUBSTITUTE(SUBSTITUTE(INDEX(PASTE_ALL,$DF721,$L$19)," "," "),CHAR(9)," "),CHAR(10)," "),CHAR(13)," "))),"")))</f>
        <v/>
      </c>
      <c r="ED721">
        <f>IF($DM721=0,"",MATCH(1,INDEX(EXACT($DH$5:DH721,$DH721)*$DM$5:DM721,0),0))</f>
        <v/>
      </c>
      <c r="EE721">
        <f>IF($DM721=0,0,IF($ED721=$DE721,1,0))</f>
        <v/>
      </c>
      <c r="EF721">
        <f>EF720+$EE721</f>
        <v/>
      </c>
      <c r="EG721">
        <f>IF($DM721=0,"",INDEX($EF$5:$EF$1003,$ED721))</f>
        <v/>
      </c>
      <c r="EH721">
        <f>IF($DM721=0,"",IF($DO721&lt;&gt;"","",IFERROR(LOOKUP(2,1/(($EG$4:EG720=$EG721)*($DO$4:DO720&lt;&gt;"")),$DO$4:DO720),"")))</f>
        <v/>
      </c>
      <c r="EI721">
        <f>IF($DM721=0,"",IF($DO721&lt;&gt;"",$DO721,$EH721))</f>
        <v/>
      </c>
      <c r="EJ721">
        <f>IF($DM721=0,"",IF($EI721="",0,IF(OR(ISNUMBER($EI721),AND(AND(SUBSTITUTE(SUBSTITUTE(SUBSTITUTE(SUBSTITUTE(SUBSTITUTE(SUBSTITUTE(SUBSTITUTE(SUBSTITUTE(SUBSTITUTE(SUBSTITUTE(SUBSTITUTE(SUBSTITUTE(SUBSTITUTE(SUBSTITUTE(UPPER($EI721),"0",""),"1",""),"2",""),"3",""),"4",""),"5",""),"6",""),"7",""),"8",""),"9",""),".",""),"+",""),"-",""),"E","")="",LEN(SUBSTITUTE(SUBSTITUTE(MID(UPPER($EI721),1+OR(LEFT(UPPER($EI721),1)="+",LEFT(UPPER($EI721),1)="-"),999),"E+","E"),"E-","E"))=LEN(SUBSTITUTE(SUBSTITUTE(SUBSTITUTE(SUBSTITUTE(MID(UPPER($EI721),1+OR(LEFT(UPPER($EI721),1)="+",LEFT(UPPER($EI721),1)="-"),999),"E+","E"),"E-","E"),"+",""),"-","")),LEN(UPPER($EI721))-LEN(SUBSTITUTE(UPPER($EI721),"E",""))&lt;2,LEN(UPPER($EI721))-LEN(SUBSTITUTE(UPPER($EI721),".",""))&lt;2,IFERROR(FIND(".",UPPER($EI721)),0)&lt;IFERROR(FIND("E",UPPER($EI721)),999)),ISNUMBER(VALUE($EI721)))),1,2)))</f>
        <v/>
      </c>
      <c r="EK721">
        <f>IF($DM721=0,"",IF($EJ721=1,IF(ISNUMBER($EI721),$EI721,VALUE($EI721)),IF($EJ721=2,$DE721,0)))</f>
        <v/>
      </c>
      <c r="EL721">
        <f>IF($DM721=0,"",COUNTIF($EG$5:$EG$1003,"&lt;"&amp;$EG721)+SUMPRODUCT(($EG$5:$EG$1003=$EG721)*(($EJ$5:$EJ$1003&lt;$EJ721)+($EJ$5:$EJ$1003=$EJ721)*(($EK$5:$EK$1003&lt;$EK721)+($EK$5:$EK$1003=$EK721)*($DE$5:$DE$1003&lt;$DE721))))+1)</f>
        <v/>
      </c>
      <c r="EM721">
        <f>IF($DM721=0,"",$EL721+$EG721-1)</f>
        <v/>
      </c>
      <c r="EN721">
        <f>IF($DM721=0,0,IFERROR(MATCH(1,INDEX(--(TRIM(SUBSTITUTE(SUBSTITUTE(SUBSTITUTE(SUBSTITUTE(LINES_NAME&amp;""," "," "),CHAR(9)," "),CHAR(10)," "),CHAR(13)," "))=$DH721),0),0),0))</f>
        <v/>
      </c>
      <c r="EO721">
        <f>IF($EN721=0,0,IF(OR(UPPER(TRIM(INDEX(LINES_SCHEDULED,$EN721)&amp;""))="YES",UPPER(TRIM(INDEX(LINES_SCHEDULED,$EN721)&amp;""))="Y",UPPER(TRIM(INDEX(LINES_SCHEDULED,$EN721)&amp;""))="X"),1,0))</f>
        <v/>
      </c>
      <c r="EP721">
        <f>IF($DM721=0,"",IF(COUNTIFS($EG$5:$EG$1003,$EG721,$EB$5:$EB$1003,"Ready")&gt;0,"READY",IF(COUNTIFS($EG$5:$EG$1003,$EG721,$EB$5:$EB$1003,"PM")&gt;0,"PM",IF(COUNTIFS($EG$5:$EG$1003,$EG721,$EB$5:$EB$1003,"OT")&gt;0,"OT",""))))</f>
        <v/>
      </c>
      <c r="EQ721">
        <f>IF($EN721=0,"",UPPER(TRIM(INDEX(LINES_STATUS,$EN721)&amp;"")))</f>
        <v/>
      </c>
      <c r="ER721">
        <f>IF($DM721=0,"",IF(OR($EQ721="READY",$EQ721="PM",$EQ721="OT"),$EQ721,$EP721))</f>
        <v/>
      </c>
      <c r="ES721">
        <f>IF($DM721=0,"",IF(AND($DV721&lt;&gt;"",UPPER($DV721)&lt;&gt;"N"),"allergen",IF(ISNUMBER(SEARCH("oil",$DQ721)),"oil",IF(OR(EXACT($DS721,"A662"),EXACT($DS721,"A624")),"bulk",""))))</f>
        <v/>
      </c>
      <c r="ET721">
        <f>IF($DM721=0,"",IF(OR($EA721="",$EA721=0),"",$EA721/100))</f>
        <v/>
      </c>
      <c r="EU721">
        <f>IF(OR($ET721="",$DY721=""),"",INT($DY721*(1-$ET721)+0.5))</f>
        <v/>
      </c>
    </row>
    <row r="722">
      <c r="DA722" t="n">
        <v>718</v>
      </c>
      <c r="DB722">
        <f>IF($B$37=0,"",IFERROR(TRIM(SUBSTITUTE(SUBSTITUTE(SUBSTITUTE(SUBSTITUTE(INDEX(PASTE_ALL,718,$B$37)," "," "),CHAR(9)," "),CHAR(10)," "),CHAR(13)," ")),""))</f>
        <v/>
      </c>
      <c r="DC722">
        <f>IF(AND(718&gt;HEADER_ROW,UPPER(DB722)="LEGEND"),1,0)</f>
        <v/>
      </c>
      <c r="DE722" t="n">
        <v>718</v>
      </c>
      <c r="DF722">
        <f>HEADER_ROW+$DE722</f>
        <v/>
      </c>
      <c r="DG722">
        <f>IF(AND($DF722&lt;=1000,$DF722&lt;$B$8),1,0)</f>
        <v/>
      </c>
      <c r="DH722">
        <f>IF($DG722=1,IFERROR(INDEX($DB$5:$DB$1004,$DF722),""),"")</f>
        <v/>
      </c>
      <c r="DI722">
        <f>IF(AND($DG722=1,$DH722&lt;&gt;""),IFERROR(SUBSTITUTE(SUBSTITUTE(TRIM(SUBSTITUTE(SUBSTITUTE(SUBSTITUTE(SUBSTITUTE(IFERROR(INDEX(PASTE_ALL,$DF722,1)&amp;"","")&amp;"␟"&amp;IFERROR(INDEX(PASTE_ALL,$DF722,2)&amp;"","")&amp;"␟"&amp;IFERROR(INDEX(PASTE_ALL,$DF722,3)&amp;"","")&amp;"␟"&amp;IFERROR(INDEX(PASTE_ALL,$DF722,4)&amp;"","")&amp;"␟"&amp;IFERROR(INDEX(PASTE_ALL,$DF722,5)&amp;"","")&amp;"␟"&amp;IFERROR(INDEX(PASTE_ALL,$DF722,6)&amp;"","")&amp;"␟"&amp;IFERROR(INDEX(PASTE_ALL,$DF722,7)&amp;"","")&amp;"␟"&amp;IFERROR(INDEX(PASTE_ALL,$DF722,8)&amp;"","")&amp;"␟"&amp;IFERROR(INDEX(PASTE_ALL,$DF722,9)&amp;"","")&amp;"␟"&amp;IFERROR(INDEX(PASTE_ALL,$DF722,10)&amp;"","")&amp;"␟"&amp;IFERROR(INDEX(PASTE_ALL,$DF722,11)&amp;"","")&amp;"␟"&amp;IFERROR(INDEX(PASTE_ALL,$DF722,12)&amp;"","")&amp;"␟"&amp;IFERROR(INDEX(PASTE_ALL,$DF722,13)&amp;"","")&amp;"␟"&amp;IFERROR(INDEX(PASTE_ALL,$DF722,14)&amp;"","")&amp;"␟"&amp;IFERROR(INDEX(PASTE_ALL,$DF722,15)&amp;"","")&amp;"␟"&amp;IFERROR(INDEX(PASTE_ALL,$DF722,16)&amp;"","")&amp;"␟"&amp;IFERROR(INDEX(PASTE_ALL,$DF722,17)&amp;"","")&amp;"␟"&amp;IFERROR(INDEX(PASTE_ALL,$DF722,18)&amp;"","")&amp;"␟"&amp;IFERROR(INDEX(PASTE_ALL,$DF722,19)&amp;"","")&amp;"␟"&amp;IFERROR(INDEX(PASTE_ALL,$DF722,20)&amp;"","")&amp;"␟"&amp;IFERROR(INDEX(PASTE_ALL,$DF722,21)&amp;"","")&amp;"␟"&amp;IFERROR(INDEX(PASTE_ALL,$DF722,22)&amp;"","")&amp;"␟"&amp;IFERROR(INDEX(PASTE_ALL,$DF722,23)&amp;"","")&amp;"␟"&amp;IFERROR(INDEX(PASTE_ALL,$DF722,24)&amp;"","")&amp;"␟"&amp;IFERROR(INDEX(PASTE_ALL,$DF722,25)&amp;"","")&amp;"␟"&amp;IFERROR(INDEX(PASTE_ALL,$DF722,26)&amp;"","")&amp;"␟"&amp;IFERROR(INDEX(PASTE_ALL,$DF722,27)&amp;"","")&amp;"␟"&amp;IFERROR(INDEX(PASTE_ALL,$DF722,28)&amp;"","")&amp;"␟"&amp;IFERROR(INDEX(PASTE_ALL,$DF722,29)&amp;"","")&amp;"␟"&amp;IFERROR(INDEX(PASTE_ALL,$DF722,30)&amp;"","")&amp;"␟"&amp;IFERROR(INDEX(PASTE_ALL,$DF722,31)&amp;"","")&amp;"␟"&amp;IFERROR(INDEX(PASTE_ALL,$DF722,32)&amp;"","")&amp;"␟"&amp;IFERROR(INDEX(PASTE_ALL,$DF722,33)&amp;"","")&amp;"␟"&amp;IFERROR(INDEX(PASTE_ALL,$DF722,34)&amp;"","")&amp;"␟"&amp;IFERROR(INDEX(PASTE_ALL,$DF722,35)&amp;"","")&amp;"␟"&amp;IFERROR(INDEX(PASTE_ALL,$DF722,36)&amp;"","")&amp;"␟"&amp;IFERROR(INDEX(PASTE_ALL,$DF722,37)&amp;"","")&amp;"␟"&amp;IFERROR(INDEX(PASTE_ALL,$DF722,38)&amp;"","")&amp;"␟"&amp;IFERROR(INDEX(PASTE_ALL,$DF722,39)&amp;"","")&amp;"␟"&amp;IFERROR(INDEX(PASTE_ALL,$DF722,40)&amp;"","")&amp;"␟"&amp;IFERROR(INDEX(PASTE_ALL,$DF722,41)&amp;"","")&amp;"␟"&amp;IFERROR(INDEX(PASTE_ALL,$DF722,42)&amp;"","")&amp;"␟"&amp;IFERROR(INDEX(PASTE_ALL,$DF722,43)&amp;"","")&amp;"␟"&amp;IFERROR(INDEX(PASTE_ALL,$DF722,44)&amp;"","")&amp;"␟"&amp;IFERROR(INDEX(PASTE_ALL,$DF722,45)&amp;"","")&amp;"␟"&amp;IFERROR(INDEX(PASTE_ALL,$DF722,46)&amp;"","")&amp;"␟"&amp;IFERROR(INDEX(PASTE_ALL,$DF722,47)&amp;"","")&amp;"␟"&amp;IFERROR(INDEX(PASTE_ALL,$DF722,48)&amp;"","")&amp;"␟"&amp;IFERROR(INDEX(PASTE_ALL,$DF722,49)&amp;"","")&amp;"␟"&amp;IFERROR(INDEX(PASTE_ALL,$DF722,50)&amp;"","")&amp;"␟"&amp;IFERROR(INDEX(PASTE_ALL,$DF722,51)&amp;"","")&amp;"␟"&amp;IFERROR(INDEX(PASTE_ALL,$DF722,52)&amp;"","")&amp;"␟"&amp;IFERROR(INDEX(PASTE_ALL,$DF722,53)&amp;"","")&amp;"␟"&amp;IFERROR(INDEX(PASTE_ALL,$DF722,54)&amp;"","")&amp;"␟"&amp;IFERROR(INDEX(PASTE_ALL,$DF722,55)&amp;"","")&amp;"␟"&amp;IFERROR(INDEX(PASTE_ALL,$DF722,56)&amp;"","")&amp;"␟"&amp;IFERROR(INDEX(PASTE_ALL,$DF722,57)&amp;"","")&amp;"␟"&amp;IFERROR(INDEX(PASTE_ALL,$DF722,58)&amp;"","")&amp;"␟"&amp;IFERROR(INDEX(PASTE_ALL,$DF722,59)&amp;"","")&amp;"␟"&amp;IFERROR(INDEX(PASTE_ALL,$DF722,60)&amp;"","")," "," "),CHAR(9)," "),CHAR(10)," "),CHAR(13)," "))," ␟","␟"),"␟ ","␟"),"#"&amp;$DE722),"")</f>
        <v/>
      </c>
      <c r="DJ722">
        <f>IF($DI722="",0,IF(SUMPRODUCT(--EXACT($DI$4:DI721,$DI722))&gt;0,1,0))</f>
        <v/>
      </c>
      <c r="DK722">
        <f>IF(AND($DI722&lt;&gt;"",$DJ722=0),1,0)</f>
        <v/>
      </c>
      <c r="DL722">
        <f>DL721+$DK722</f>
        <v/>
      </c>
      <c r="DM722">
        <f>IF(AND($DK722=1,$DL722&lt;=600),1,0)</f>
        <v/>
      </c>
      <c r="DN722">
        <f>IF($DM722=0,"",IF($L$6=0,"",IFERROR(IF(ISNUMBER(INDEX(PASTE_ALL,$DF722,$L$6)),INDEX(PASTE_ALL,$DF722,$L$6),TRIM(SUBSTITUTE(SUBSTITUTE(SUBSTITUTE(SUBSTITUTE(INDEX(PASTE_ALL,$DF722,$L$6)," "," "),CHAR(9)," "),CHAR(10)," "),CHAR(13)," "))),"")))</f>
        <v/>
      </c>
      <c r="DO722">
        <f>IF($DM722=0,"",IF($L$7=0,"",IFERROR(IF(ISNUMBER(INDEX(PASTE_ALL,$DF722,$L$7)),INDEX(PASTE_ALL,$DF722,$L$7),TRIM(SUBSTITUTE(SUBSTITUTE(SUBSTITUTE(SUBSTITUTE(INDEX(PASTE_ALL,$DF722,$L$7)," "," "),CHAR(9)," "),CHAR(10)," "),CHAR(13)," "))),"")))</f>
        <v/>
      </c>
      <c r="DP722">
        <f>IF($DM722=0,"",IF($L$8=0,"",IFERROR(IF(ISNUMBER(INDEX(PASTE_ALL,$DF722,$L$8)),INDEX(PASTE_ALL,$DF722,$L$8),TRIM(SUBSTITUTE(SUBSTITUTE(SUBSTITUTE(SUBSTITUTE(INDEX(PASTE_ALL,$DF722,$L$8)," "," "),CHAR(9)," "),CHAR(10)," "),CHAR(13)," "))),"")))</f>
        <v/>
      </c>
      <c r="DQ722">
        <f>IF($DM722=0,"",IF($L$9=0,"",IFERROR(IF(ISNUMBER(INDEX(PASTE_ALL,$DF722,$L$9)),INDEX(PASTE_ALL,$DF722,$L$9),TRIM(SUBSTITUTE(SUBSTITUTE(SUBSTITUTE(SUBSTITUTE(INDEX(PASTE_ALL,$DF722,$L$9)," "," "),CHAR(9)," "),CHAR(10)," "),CHAR(13)," "))),"")))</f>
        <v/>
      </c>
      <c r="DR722">
        <f>IF($DM722=0,"",IF($L$10=0,"",IFERROR(IF(ISNUMBER(INDEX(PASTE_ALL,$DF722,$L$10)),INDEX(PASTE_ALL,$DF722,$L$10),TRIM(SUBSTITUTE(SUBSTITUTE(SUBSTITUTE(SUBSTITUTE(INDEX(PASTE_ALL,$DF722,$L$10)," "," "),CHAR(9)," "),CHAR(10)," "),CHAR(13)," "))),"")))</f>
        <v/>
      </c>
      <c r="DS722">
        <f>IF($DM722=0,"",IF($L$11=0,"",IFERROR(IF(ISNUMBER(INDEX(PASTE_ALL,$DF722,$L$11)),INDEX(PASTE_ALL,$DF722,$L$11),TRIM(SUBSTITUTE(SUBSTITUTE(SUBSTITUTE(SUBSTITUTE(INDEX(PASTE_ALL,$DF722,$L$11)," "," "),CHAR(9)," "),CHAR(10)," "),CHAR(13)," "))),"")))</f>
        <v/>
      </c>
      <c r="DT722">
        <f>IF($DM722=0,"",IF($L$12=0,"",IFERROR(IF(ISNUMBER(INDEX(PASTE_ALL,$DF722,$L$12)),INDEX(PASTE_ALL,$DF722,$L$12),TRIM(SUBSTITUTE(SUBSTITUTE(SUBSTITUTE(SUBSTITUTE(INDEX(PASTE_ALL,$DF722,$L$12)," "," "),CHAR(9)," "),CHAR(10)," "),CHAR(13)," "))),"")))</f>
        <v/>
      </c>
      <c r="DU722">
        <f>IF($DM722=0,"",IF($L$13=0,"",IFERROR(IF(ISNUMBER(INDEX(PASTE_ALL,$DF722,$L$13)),INDEX(PASTE_ALL,$DF722,$L$13),TRIM(SUBSTITUTE(SUBSTITUTE(SUBSTITUTE(SUBSTITUTE(INDEX(PASTE_ALL,$DF722,$L$13)," "," "),CHAR(9)," "),CHAR(10)," "),CHAR(13)," "))),"")))</f>
        <v/>
      </c>
      <c r="DV722">
        <f>IF($DM722=0,"",IF($L$14=0,"",IFERROR(IF(ISNUMBER(INDEX(PASTE_ALL,$DF722,$L$14)),INDEX(PASTE_ALL,$DF722,$L$14),TRIM(SUBSTITUTE(SUBSTITUTE(SUBSTITUTE(SUBSTITUTE(INDEX(PASTE_ALL,$DF722,$L$14)," "," "),CHAR(9)," "),CHAR(10)," "),CHAR(13)," "))),"")))</f>
        <v/>
      </c>
      <c r="DW722">
        <f>IF($DM722=0,"",IF($L$15=0,"",IFERROR(IF(ISNUMBER(INDEX(PASTE_ALL,$DF722,$L$15)),INDEX(PASTE_ALL,$DF722,$L$15),IF(SUMPRODUCT(--ISNUMBER(FIND({"A","B","C","D","E","F","G","H","I","J","K","L","M","N","O","P","Q","R","S","T","U","V","W","X","Y","Z","0","1","2","3","4","5","6","7","8","9"},UPPER(TRIM(SUBSTITUTE(SUBSTITUTE(SUBSTITUTE(SUBSTITUTE(INDEX(PASTE_ALL,$DF722,$L$15)," "," "),CHAR(9)," "),CHAR(10)," "),CHAR(13)," "))))))&gt;0,TRIM(SUBSTITUTE(SUBSTITUTE(SUBSTITUTE(SUBSTITUTE(INDEX(PASTE_ALL,$DF722,$L$15)," "," "),CHAR(9)," "),CHAR(10)," "),CHAR(13)," ")),"")),"")))</f>
        <v/>
      </c>
      <c r="DX722">
        <f>IF($DM722=0,"",IF($L$16=0,"",IFERROR(IF(ISNUMBER(INDEX(PASTE_ALL,$DF722,$L$16)),INDEX(PASTE_ALL,$DF722,$L$16),SUBSTITUTE(SUBSTITUTE(TRIM(SUBSTITUTE(SUBSTITUTE(SUBSTITUTE(SUBSTITUTE(INDEX(PASTE_ALL,$DF722,$L$16)," "," "),CHAR(9)," "),CHAR(10)," "),CHAR(13)," ")),",",""),"%","")),"")))</f>
        <v/>
      </c>
      <c r="DY722">
        <f>IF($DM722=0,"",IFERROR(IF(ISNUMBER($DX722),$DX722,IF($DX722="","",IF(TRIM($DX722)="",0,IF(AND(AND(SUBSTITUTE(SUBSTITUTE(SUBSTITUTE(SUBSTITUTE(SUBSTITUTE(SUBSTITUTE(SUBSTITUTE(SUBSTITUTE(SUBSTITUTE(SUBSTITUTE(SUBSTITUTE(SUBSTITUTE(SUBSTITUTE(SUBSTITUTE(UPPER(TRIM($DX722)),"0",""),"1",""),"2",""),"3",""),"4",""),"5",""),"6",""),"7",""),"8",""),"9",""),".",""),"+",""),"-",""),"E","")="",LEN(SUBSTITUTE(SUBSTITUTE(MID(UPPER(TRIM($DX722)),1+OR(LEFT(UPPER(TRIM($DX722)),1)="+",LEFT(UPPER(TRIM($DX722)),1)="-"),999),"E+","E"),"E-","E"))=LEN(SUBSTITUTE(SUBSTITUTE(SUBSTITUTE(SUBSTITUTE(MID(UPPER(TRIM($DX722)),1+OR(LEFT(UPPER(TRIM($DX722)),1)="+",LEFT(UPPER(TRIM($DX722)),1)="-"),999),"E+","E"),"E-","E"),"+",""),"-","")),LEN(UPPER(TRIM($DX722)))-LEN(SUBSTITUTE(UPPER(TRIM($DX722)),"E",""))&lt;2,LEN(UPPER(TRIM($DX722)))-LEN(SUBSTITUTE(UPPER(TRIM($DX722)),".",""))&lt;2,IFERROR(FIND(".",UPPER(TRIM($DX722))),0)&lt;IFERROR(FIND("E",UPPER(TRIM($DX722))),999)),ISNUMBER(VALUE(TRIM($DX722)))),VALUE(TRIM($DX722)),"")))),""))</f>
        <v/>
      </c>
      <c r="DZ722">
        <f>IF($DM722=0,"",IF($L$17=0,"",IFERROR(IF(ISNUMBER(INDEX(PASTE_ALL,$DF722,$L$17)),INDEX(PASTE_ALL,$DF722,$L$17),SUBSTITUTE(SUBSTITUTE(TRIM(SUBSTITUTE(SUBSTITUTE(SUBSTITUTE(SUBSTITUTE(INDEX(PASTE_ALL,$DF722,$L$17)," "," "),CHAR(9)," "),CHAR(10)," "),CHAR(13)," ")),",",""),"%","")),"")))</f>
        <v/>
      </c>
      <c r="EA722">
        <f>IF($DM722=0,"",IFERROR(IF(ISNUMBER($DZ722),$DZ722,IF($DZ722="","",IF(TRIM($DZ722)="",0,IF(AND(AND(SUBSTITUTE(SUBSTITUTE(SUBSTITUTE(SUBSTITUTE(SUBSTITUTE(SUBSTITUTE(SUBSTITUTE(SUBSTITUTE(SUBSTITUTE(SUBSTITUTE(SUBSTITUTE(SUBSTITUTE(SUBSTITUTE(SUBSTITUTE(UPPER(TRIM($DZ722)),"0",""),"1",""),"2",""),"3",""),"4",""),"5",""),"6",""),"7",""),"8",""),"9",""),".",""),"+",""),"-",""),"E","")="",LEN(SUBSTITUTE(SUBSTITUTE(MID(UPPER(TRIM($DZ722)),1+OR(LEFT(UPPER(TRIM($DZ722)),1)="+",LEFT(UPPER(TRIM($DZ722)),1)="-"),999),"E+","E"),"E-","E"))=LEN(SUBSTITUTE(SUBSTITUTE(SUBSTITUTE(SUBSTITUTE(MID(UPPER(TRIM($DZ722)),1+OR(LEFT(UPPER(TRIM($DZ722)),1)="+",LEFT(UPPER(TRIM($DZ722)),1)="-"),999),"E+","E"),"E-","E"),"+",""),"-","")),LEN(UPPER(TRIM($DZ722)))-LEN(SUBSTITUTE(UPPER(TRIM($DZ722)),"E",""))&lt;2,LEN(UPPER(TRIM($DZ722)))-LEN(SUBSTITUTE(UPPER(TRIM($DZ722)),".",""))&lt;2,IFERROR(FIND(".",UPPER(TRIM($DZ722))),0)&lt;IFERROR(FIND("E",UPPER(TRIM($DZ722))),999)),ISNUMBER(VALUE(TRIM($DZ722)))),VALUE(TRIM($DZ722)),"")))),""))</f>
        <v/>
      </c>
      <c r="EB722">
        <f>IF($DM722=0,"",IF($L$18=0,"",IFERROR(IF(UPPER(TRIM(SUBSTITUTE(SUBSTITUTE(SUBSTITUTE(SUBSTITUTE(INDEX(PASTE_ALL,$DF722,$L$18)," "," "),CHAR(9)," "),CHAR(10)," "),CHAR(13)," ")))="READY","Ready",IF(UPPER(TRIM(SUBSTITUTE(SUBSTITUTE(SUBSTITUTE(SUBSTITUTE(INDEX(PASTE_ALL,$DF722,$L$18)," "," "),CHAR(9)," "),CHAR(10)," "),CHAR(13)," ")))="PM","PM",IF(OR(UPPER(TRIM(SUBSTITUTE(SUBSTITUTE(SUBSTITUTE(SUBSTITUTE(INDEX(PASTE_ALL,$DF722,$L$18)," "," "),CHAR(9)," "),CHAR(10)," "),CHAR(13)," ")))="OT",UPPER(TRIM(SUBSTITUTE(SUBSTITUTE(SUBSTITUTE(SUBSTITUTE(INDEX(PASTE_ALL,$DF722,$L$18)," "," "),CHAR(9)," "),CHAR(10)," "),CHAR(13)," ")))="OVERTIME",UPPER(TRIM(SUBSTITUTE(SUBSTITUTE(SUBSTITUTE(SUBSTITUTE(INDEX(PASTE_ALL,$DF722,$L$18)," "," "),CHAR(9)," "),CHAR(10)," "),CHAR(13)," ")))="TRIAL"),"OT",TRIM(SUBSTITUTE(SUBSTITUTE(SUBSTITUTE(SUBSTITUTE(INDEX(PASTE_ALL,$DF722,$L$18)," "," "),CHAR(9)," "),CHAR(10)," "),CHAR(13)," "))))),"")))</f>
        <v/>
      </c>
      <c r="EC722">
        <f>IF($DM722=0,"",IF($L$19=0,"",IFERROR(IF(ISNUMBER(INDEX(PASTE_ALL,$DF722,$L$19)),INDEX(PASTE_ALL,$DF722,$L$19),TRIM(SUBSTITUTE(SUBSTITUTE(SUBSTITUTE(SUBSTITUTE(INDEX(PASTE_ALL,$DF722,$L$19)," "," "),CHAR(9)," "),CHAR(10)," "),CHAR(13)," "))),"")))</f>
        <v/>
      </c>
      <c r="ED722">
        <f>IF($DM722=0,"",MATCH(1,INDEX(EXACT($DH$5:DH722,$DH722)*$DM$5:DM722,0),0))</f>
        <v/>
      </c>
      <c r="EE722">
        <f>IF($DM722=0,0,IF($ED722=$DE722,1,0))</f>
        <v/>
      </c>
      <c r="EF722">
        <f>EF721+$EE722</f>
        <v/>
      </c>
      <c r="EG722">
        <f>IF($DM722=0,"",INDEX($EF$5:$EF$1003,$ED722))</f>
        <v/>
      </c>
      <c r="EH722">
        <f>IF($DM722=0,"",IF($DO722&lt;&gt;"","",IFERROR(LOOKUP(2,1/(($EG$4:EG721=$EG722)*($DO$4:DO721&lt;&gt;"")),$DO$4:DO721),"")))</f>
        <v/>
      </c>
      <c r="EI722">
        <f>IF($DM722=0,"",IF($DO722&lt;&gt;"",$DO722,$EH722))</f>
        <v/>
      </c>
      <c r="EJ722">
        <f>IF($DM722=0,"",IF($EI722="",0,IF(OR(ISNUMBER($EI722),AND(AND(SUBSTITUTE(SUBSTITUTE(SUBSTITUTE(SUBSTITUTE(SUBSTITUTE(SUBSTITUTE(SUBSTITUTE(SUBSTITUTE(SUBSTITUTE(SUBSTITUTE(SUBSTITUTE(SUBSTITUTE(SUBSTITUTE(SUBSTITUTE(UPPER($EI722),"0",""),"1",""),"2",""),"3",""),"4",""),"5",""),"6",""),"7",""),"8",""),"9",""),".",""),"+",""),"-",""),"E","")="",LEN(SUBSTITUTE(SUBSTITUTE(MID(UPPER($EI722),1+OR(LEFT(UPPER($EI722),1)="+",LEFT(UPPER($EI722),1)="-"),999),"E+","E"),"E-","E"))=LEN(SUBSTITUTE(SUBSTITUTE(SUBSTITUTE(SUBSTITUTE(MID(UPPER($EI722),1+OR(LEFT(UPPER($EI722),1)="+",LEFT(UPPER($EI722),1)="-"),999),"E+","E"),"E-","E"),"+",""),"-","")),LEN(UPPER($EI722))-LEN(SUBSTITUTE(UPPER($EI722),"E",""))&lt;2,LEN(UPPER($EI722))-LEN(SUBSTITUTE(UPPER($EI722),".",""))&lt;2,IFERROR(FIND(".",UPPER($EI722)),0)&lt;IFERROR(FIND("E",UPPER($EI722)),999)),ISNUMBER(VALUE($EI722)))),1,2)))</f>
        <v/>
      </c>
      <c r="EK722">
        <f>IF($DM722=0,"",IF($EJ722=1,IF(ISNUMBER($EI722),$EI722,VALUE($EI722)),IF($EJ722=2,$DE722,0)))</f>
        <v/>
      </c>
      <c r="EL722">
        <f>IF($DM722=0,"",COUNTIF($EG$5:$EG$1003,"&lt;"&amp;$EG722)+SUMPRODUCT(($EG$5:$EG$1003=$EG722)*(($EJ$5:$EJ$1003&lt;$EJ722)+($EJ$5:$EJ$1003=$EJ722)*(($EK$5:$EK$1003&lt;$EK722)+($EK$5:$EK$1003=$EK722)*($DE$5:$DE$1003&lt;$DE722))))+1)</f>
        <v/>
      </c>
      <c r="EM722">
        <f>IF($DM722=0,"",$EL722+$EG722-1)</f>
        <v/>
      </c>
      <c r="EN722">
        <f>IF($DM722=0,0,IFERROR(MATCH(1,INDEX(--(TRIM(SUBSTITUTE(SUBSTITUTE(SUBSTITUTE(SUBSTITUTE(LINES_NAME&amp;""," "," "),CHAR(9)," "),CHAR(10)," "),CHAR(13)," "))=$DH722),0),0),0))</f>
        <v/>
      </c>
      <c r="EO722">
        <f>IF($EN722=0,0,IF(OR(UPPER(TRIM(INDEX(LINES_SCHEDULED,$EN722)&amp;""))="YES",UPPER(TRIM(INDEX(LINES_SCHEDULED,$EN722)&amp;""))="Y",UPPER(TRIM(INDEX(LINES_SCHEDULED,$EN722)&amp;""))="X"),1,0))</f>
        <v/>
      </c>
      <c r="EP722">
        <f>IF($DM722=0,"",IF(COUNTIFS($EG$5:$EG$1003,$EG722,$EB$5:$EB$1003,"Ready")&gt;0,"READY",IF(COUNTIFS($EG$5:$EG$1003,$EG722,$EB$5:$EB$1003,"PM")&gt;0,"PM",IF(COUNTIFS($EG$5:$EG$1003,$EG722,$EB$5:$EB$1003,"OT")&gt;0,"OT",""))))</f>
        <v/>
      </c>
      <c r="EQ722">
        <f>IF($EN722=0,"",UPPER(TRIM(INDEX(LINES_STATUS,$EN722)&amp;"")))</f>
        <v/>
      </c>
      <c r="ER722">
        <f>IF($DM722=0,"",IF(OR($EQ722="READY",$EQ722="PM",$EQ722="OT"),$EQ722,$EP722))</f>
        <v/>
      </c>
      <c r="ES722">
        <f>IF($DM722=0,"",IF(AND($DV722&lt;&gt;"",UPPER($DV722)&lt;&gt;"N"),"allergen",IF(ISNUMBER(SEARCH("oil",$DQ722)),"oil",IF(OR(EXACT($DS722,"A662"),EXACT($DS722,"A624")),"bulk",""))))</f>
        <v/>
      </c>
      <c r="ET722">
        <f>IF($DM722=0,"",IF(OR($EA722="",$EA722=0),"",$EA722/100))</f>
        <v/>
      </c>
      <c r="EU722">
        <f>IF(OR($ET722="",$DY722=""),"",INT($DY722*(1-$ET722)+0.5))</f>
        <v/>
      </c>
    </row>
    <row r="723">
      <c r="DA723" t="n">
        <v>719</v>
      </c>
      <c r="DB723">
        <f>IF($B$37=0,"",IFERROR(TRIM(SUBSTITUTE(SUBSTITUTE(SUBSTITUTE(SUBSTITUTE(INDEX(PASTE_ALL,719,$B$37)," "," "),CHAR(9)," "),CHAR(10)," "),CHAR(13)," ")),""))</f>
        <v/>
      </c>
      <c r="DC723">
        <f>IF(AND(719&gt;HEADER_ROW,UPPER(DB723)="LEGEND"),1,0)</f>
        <v/>
      </c>
      <c r="DE723" t="n">
        <v>719</v>
      </c>
      <c r="DF723">
        <f>HEADER_ROW+$DE723</f>
        <v/>
      </c>
      <c r="DG723">
        <f>IF(AND($DF723&lt;=1000,$DF723&lt;$B$8),1,0)</f>
        <v/>
      </c>
      <c r="DH723">
        <f>IF($DG723=1,IFERROR(INDEX($DB$5:$DB$1004,$DF723),""),"")</f>
        <v/>
      </c>
      <c r="DI723">
        <f>IF(AND($DG723=1,$DH723&lt;&gt;""),IFERROR(SUBSTITUTE(SUBSTITUTE(TRIM(SUBSTITUTE(SUBSTITUTE(SUBSTITUTE(SUBSTITUTE(IFERROR(INDEX(PASTE_ALL,$DF723,1)&amp;"","")&amp;"␟"&amp;IFERROR(INDEX(PASTE_ALL,$DF723,2)&amp;"","")&amp;"␟"&amp;IFERROR(INDEX(PASTE_ALL,$DF723,3)&amp;"","")&amp;"␟"&amp;IFERROR(INDEX(PASTE_ALL,$DF723,4)&amp;"","")&amp;"␟"&amp;IFERROR(INDEX(PASTE_ALL,$DF723,5)&amp;"","")&amp;"␟"&amp;IFERROR(INDEX(PASTE_ALL,$DF723,6)&amp;"","")&amp;"␟"&amp;IFERROR(INDEX(PASTE_ALL,$DF723,7)&amp;"","")&amp;"␟"&amp;IFERROR(INDEX(PASTE_ALL,$DF723,8)&amp;"","")&amp;"␟"&amp;IFERROR(INDEX(PASTE_ALL,$DF723,9)&amp;"","")&amp;"␟"&amp;IFERROR(INDEX(PASTE_ALL,$DF723,10)&amp;"","")&amp;"␟"&amp;IFERROR(INDEX(PASTE_ALL,$DF723,11)&amp;"","")&amp;"␟"&amp;IFERROR(INDEX(PASTE_ALL,$DF723,12)&amp;"","")&amp;"␟"&amp;IFERROR(INDEX(PASTE_ALL,$DF723,13)&amp;"","")&amp;"␟"&amp;IFERROR(INDEX(PASTE_ALL,$DF723,14)&amp;"","")&amp;"␟"&amp;IFERROR(INDEX(PASTE_ALL,$DF723,15)&amp;"","")&amp;"␟"&amp;IFERROR(INDEX(PASTE_ALL,$DF723,16)&amp;"","")&amp;"␟"&amp;IFERROR(INDEX(PASTE_ALL,$DF723,17)&amp;"","")&amp;"␟"&amp;IFERROR(INDEX(PASTE_ALL,$DF723,18)&amp;"","")&amp;"␟"&amp;IFERROR(INDEX(PASTE_ALL,$DF723,19)&amp;"","")&amp;"␟"&amp;IFERROR(INDEX(PASTE_ALL,$DF723,20)&amp;"","")&amp;"␟"&amp;IFERROR(INDEX(PASTE_ALL,$DF723,21)&amp;"","")&amp;"␟"&amp;IFERROR(INDEX(PASTE_ALL,$DF723,22)&amp;"","")&amp;"␟"&amp;IFERROR(INDEX(PASTE_ALL,$DF723,23)&amp;"","")&amp;"␟"&amp;IFERROR(INDEX(PASTE_ALL,$DF723,24)&amp;"","")&amp;"␟"&amp;IFERROR(INDEX(PASTE_ALL,$DF723,25)&amp;"","")&amp;"␟"&amp;IFERROR(INDEX(PASTE_ALL,$DF723,26)&amp;"","")&amp;"␟"&amp;IFERROR(INDEX(PASTE_ALL,$DF723,27)&amp;"","")&amp;"␟"&amp;IFERROR(INDEX(PASTE_ALL,$DF723,28)&amp;"","")&amp;"␟"&amp;IFERROR(INDEX(PASTE_ALL,$DF723,29)&amp;"","")&amp;"␟"&amp;IFERROR(INDEX(PASTE_ALL,$DF723,30)&amp;"","")&amp;"␟"&amp;IFERROR(INDEX(PASTE_ALL,$DF723,31)&amp;"","")&amp;"␟"&amp;IFERROR(INDEX(PASTE_ALL,$DF723,32)&amp;"","")&amp;"␟"&amp;IFERROR(INDEX(PASTE_ALL,$DF723,33)&amp;"","")&amp;"␟"&amp;IFERROR(INDEX(PASTE_ALL,$DF723,34)&amp;"","")&amp;"␟"&amp;IFERROR(INDEX(PASTE_ALL,$DF723,35)&amp;"","")&amp;"␟"&amp;IFERROR(INDEX(PASTE_ALL,$DF723,36)&amp;"","")&amp;"␟"&amp;IFERROR(INDEX(PASTE_ALL,$DF723,37)&amp;"","")&amp;"␟"&amp;IFERROR(INDEX(PASTE_ALL,$DF723,38)&amp;"","")&amp;"␟"&amp;IFERROR(INDEX(PASTE_ALL,$DF723,39)&amp;"","")&amp;"␟"&amp;IFERROR(INDEX(PASTE_ALL,$DF723,40)&amp;"","")&amp;"␟"&amp;IFERROR(INDEX(PASTE_ALL,$DF723,41)&amp;"","")&amp;"␟"&amp;IFERROR(INDEX(PASTE_ALL,$DF723,42)&amp;"","")&amp;"␟"&amp;IFERROR(INDEX(PASTE_ALL,$DF723,43)&amp;"","")&amp;"␟"&amp;IFERROR(INDEX(PASTE_ALL,$DF723,44)&amp;"","")&amp;"␟"&amp;IFERROR(INDEX(PASTE_ALL,$DF723,45)&amp;"","")&amp;"␟"&amp;IFERROR(INDEX(PASTE_ALL,$DF723,46)&amp;"","")&amp;"␟"&amp;IFERROR(INDEX(PASTE_ALL,$DF723,47)&amp;"","")&amp;"␟"&amp;IFERROR(INDEX(PASTE_ALL,$DF723,48)&amp;"","")&amp;"␟"&amp;IFERROR(INDEX(PASTE_ALL,$DF723,49)&amp;"","")&amp;"␟"&amp;IFERROR(INDEX(PASTE_ALL,$DF723,50)&amp;"","")&amp;"␟"&amp;IFERROR(INDEX(PASTE_ALL,$DF723,51)&amp;"","")&amp;"␟"&amp;IFERROR(INDEX(PASTE_ALL,$DF723,52)&amp;"","")&amp;"␟"&amp;IFERROR(INDEX(PASTE_ALL,$DF723,53)&amp;"","")&amp;"␟"&amp;IFERROR(INDEX(PASTE_ALL,$DF723,54)&amp;"","")&amp;"␟"&amp;IFERROR(INDEX(PASTE_ALL,$DF723,55)&amp;"","")&amp;"␟"&amp;IFERROR(INDEX(PASTE_ALL,$DF723,56)&amp;"","")&amp;"␟"&amp;IFERROR(INDEX(PASTE_ALL,$DF723,57)&amp;"","")&amp;"␟"&amp;IFERROR(INDEX(PASTE_ALL,$DF723,58)&amp;"","")&amp;"␟"&amp;IFERROR(INDEX(PASTE_ALL,$DF723,59)&amp;"","")&amp;"␟"&amp;IFERROR(INDEX(PASTE_ALL,$DF723,60)&amp;"","")," "," "),CHAR(9)," "),CHAR(10)," "),CHAR(13)," "))," ␟","␟"),"␟ ","␟"),"#"&amp;$DE723),"")</f>
        <v/>
      </c>
      <c r="DJ723">
        <f>IF($DI723="",0,IF(SUMPRODUCT(--EXACT($DI$4:DI722,$DI723))&gt;0,1,0))</f>
        <v/>
      </c>
      <c r="DK723">
        <f>IF(AND($DI723&lt;&gt;"",$DJ723=0),1,0)</f>
        <v/>
      </c>
      <c r="DL723">
        <f>DL722+$DK723</f>
        <v/>
      </c>
      <c r="DM723">
        <f>IF(AND($DK723=1,$DL723&lt;=600),1,0)</f>
        <v/>
      </c>
      <c r="DN723">
        <f>IF($DM723=0,"",IF($L$6=0,"",IFERROR(IF(ISNUMBER(INDEX(PASTE_ALL,$DF723,$L$6)),INDEX(PASTE_ALL,$DF723,$L$6),TRIM(SUBSTITUTE(SUBSTITUTE(SUBSTITUTE(SUBSTITUTE(INDEX(PASTE_ALL,$DF723,$L$6)," "," "),CHAR(9)," "),CHAR(10)," "),CHAR(13)," "))),"")))</f>
        <v/>
      </c>
      <c r="DO723">
        <f>IF($DM723=0,"",IF($L$7=0,"",IFERROR(IF(ISNUMBER(INDEX(PASTE_ALL,$DF723,$L$7)),INDEX(PASTE_ALL,$DF723,$L$7),TRIM(SUBSTITUTE(SUBSTITUTE(SUBSTITUTE(SUBSTITUTE(INDEX(PASTE_ALL,$DF723,$L$7)," "," "),CHAR(9)," "),CHAR(10)," "),CHAR(13)," "))),"")))</f>
        <v/>
      </c>
      <c r="DP723">
        <f>IF($DM723=0,"",IF($L$8=0,"",IFERROR(IF(ISNUMBER(INDEX(PASTE_ALL,$DF723,$L$8)),INDEX(PASTE_ALL,$DF723,$L$8),TRIM(SUBSTITUTE(SUBSTITUTE(SUBSTITUTE(SUBSTITUTE(INDEX(PASTE_ALL,$DF723,$L$8)," "," "),CHAR(9)," "),CHAR(10)," "),CHAR(13)," "))),"")))</f>
        <v/>
      </c>
      <c r="DQ723">
        <f>IF($DM723=0,"",IF($L$9=0,"",IFERROR(IF(ISNUMBER(INDEX(PASTE_ALL,$DF723,$L$9)),INDEX(PASTE_ALL,$DF723,$L$9),TRIM(SUBSTITUTE(SUBSTITUTE(SUBSTITUTE(SUBSTITUTE(INDEX(PASTE_ALL,$DF723,$L$9)," "," "),CHAR(9)," "),CHAR(10)," "),CHAR(13)," "))),"")))</f>
        <v/>
      </c>
      <c r="DR723">
        <f>IF($DM723=0,"",IF($L$10=0,"",IFERROR(IF(ISNUMBER(INDEX(PASTE_ALL,$DF723,$L$10)),INDEX(PASTE_ALL,$DF723,$L$10),TRIM(SUBSTITUTE(SUBSTITUTE(SUBSTITUTE(SUBSTITUTE(INDEX(PASTE_ALL,$DF723,$L$10)," "," "),CHAR(9)," "),CHAR(10)," "),CHAR(13)," "))),"")))</f>
        <v/>
      </c>
      <c r="DS723">
        <f>IF($DM723=0,"",IF($L$11=0,"",IFERROR(IF(ISNUMBER(INDEX(PASTE_ALL,$DF723,$L$11)),INDEX(PASTE_ALL,$DF723,$L$11),TRIM(SUBSTITUTE(SUBSTITUTE(SUBSTITUTE(SUBSTITUTE(INDEX(PASTE_ALL,$DF723,$L$11)," "," "),CHAR(9)," "),CHAR(10)," "),CHAR(13)," "))),"")))</f>
        <v/>
      </c>
      <c r="DT723">
        <f>IF($DM723=0,"",IF($L$12=0,"",IFERROR(IF(ISNUMBER(INDEX(PASTE_ALL,$DF723,$L$12)),INDEX(PASTE_ALL,$DF723,$L$12),TRIM(SUBSTITUTE(SUBSTITUTE(SUBSTITUTE(SUBSTITUTE(INDEX(PASTE_ALL,$DF723,$L$12)," "," "),CHAR(9)," "),CHAR(10)," "),CHAR(13)," "))),"")))</f>
        <v/>
      </c>
      <c r="DU723">
        <f>IF($DM723=0,"",IF($L$13=0,"",IFERROR(IF(ISNUMBER(INDEX(PASTE_ALL,$DF723,$L$13)),INDEX(PASTE_ALL,$DF723,$L$13),TRIM(SUBSTITUTE(SUBSTITUTE(SUBSTITUTE(SUBSTITUTE(INDEX(PASTE_ALL,$DF723,$L$13)," "," "),CHAR(9)," "),CHAR(10)," "),CHAR(13)," "))),"")))</f>
        <v/>
      </c>
      <c r="DV723">
        <f>IF($DM723=0,"",IF($L$14=0,"",IFERROR(IF(ISNUMBER(INDEX(PASTE_ALL,$DF723,$L$14)),INDEX(PASTE_ALL,$DF723,$L$14),TRIM(SUBSTITUTE(SUBSTITUTE(SUBSTITUTE(SUBSTITUTE(INDEX(PASTE_ALL,$DF723,$L$14)," "," "),CHAR(9)," "),CHAR(10)," "),CHAR(13)," "))),"")))</f>
        <v/>
      </c>
      <c r="DW723">
        <f>IF($DM723=0,"",IF($L$15=0,"",IFERROR(IF(ISNUMBER(INDEX(PASTE_ALL,$DF723,$L$15)),INDEX(PASTE_ALL,$DF723,$L$15),IF(SUMPRODUCT(--ISNUMBER(FIND({"A","B","C","D","E","F","G","H","I","J","K","L","M","N","O","P","Q","R","S","T","U","V","W","X","Y","Z","0","1","2","3","4","5","6","7","8","9"},UPPER(TRIM(SUBSTITUTE(SUBSTITUTE(SUBSTITUTE(SUBSTITUTE(INDEX(PASTE_ALL,$DF723,$L$15)," "," "),CHAR(9)," "),CHAR(10)," "),CHAR(13)," "))))))&gt;0,TRIM(SUBSTITUTE(SUBSTITUTE(SUBSTITUTE(SUBSTITUTE(INDEX(PASTE_ALL,$DF723,$L$15)," "," "),CHAR(9)," "),CHAR(10)," "),CHAR(13)," ")),"")),"")))</f>
        <v/>
      </c>
      <c r="DX723">
        <f>IF($DM723=0,"",IF($L$16=0,"",IFERROR(IF(ISNUMBER(INDEX(PASTE_ALL,$DF723,$L$16)),INDEX(PASTE_ALL,$DF723,$L$16),SUBSTITUTE(SUBSTITUTE(TRIM(SUBSTITUTE(SUBSTITUTE(SUBSTITUTE(SUBSTITUTE(INDEX(PASTE_ALL,$DF723,$L$16)," "," "),CHAR(9)," "),CHAR(10)," "),CHAR(13)," ")),",",""),"%","")),"")))</f>
        <v/>
      </c>
      <c r="DY723">
        <f>IF($DM723=0,"",IFERROR(IF(ISNUMBER($DX723),$DX723,IF($DX723="","",IF(TRIM($DX723)="",0,IF(AND(AND(SUBSTITUTE(SUBSTITUTE(SUBSTITUTE(SUBSTITUTE(SUBSTITUTE(SUBSTITUTE(SUBSTITUTE(SUBSTITUTE(SUBSTITUTE(SUBSTITUTE(SUBSTITUTE(SUBSTITUTE(SUBSTITUTE(SUBSTITUTE(UPPER(TRIM($DX723)),"0",""),"1",""),"2",""),"3",""),"4",""),"5",""),"6",""),"7",""),"8",""),"9",""),".",""),"+",""),"-",""),"E","")="",LEN(SUBSTITUTE(SUBSTITUTE(MID(UPPER(TRIM($DX723)),1+OR(LEFT(UPPER(TRIM($DX723)),1)="+",LEFT(UPPER(TRIM($DX723)),1)="-"),999),"E+","E"),"E-","E"))=LEN(SUBSTITUTE(SUBSTITUTE(SUBSTITUTE(SUBSTITUTE(MID(UPPER(TRIM($DX723)),1+OR(LEFT(UPPER(TRIM($DX723)),1)="+",LEFT(UPPER(TRIM($DX723)),1)="-"),999),"E+","E"),"E-","E"),"+",""),"-","")),LEN(UPPER(TRIM($DX723)))-LEN(SUBSTITUTE(UPPER(TRIM($DX723)),"E",""))&lt;2,LEN(UPPER(TRIM($DX723)))-LEN(SUBSTITUTE(UPPER(TRIM($DX723)),".",""))&lt;2,IFERROR(FIND(".",UPPER(TRIM($DX723))),0)&lt;IFERROR(FIND("E",UPPER(TRIM($DX723))),999)),ISNUMBER(VALUE(TRIM($DX723)))),VALUE(TRIM($DX723)),"")))),""))</f>
        <v/>
      </c>
      <c r="DZ723">
        <f>IF($DM723=0,"",IF($L$17=0,"",IFERROR(IF(ISNUMBER(INDEX(PASTE_ALL,$DF723,$L$17)),INDEX(PASTE_ALL,$DF723,$L$17),SUBSTITUTE(SUBSTITUTE(TRIM(SUBSTITUTE(SUBSTITUTE(SUBSTITUTE(SUBSTITUTE(INDEX(PASTE_ALL,$DF723,$L$17)," "," "),CHAR(9)," "),CHAR(10)," "),CHAR(13)," ")),",",""),"%","")),"")))</f>
        <v/>
      </c>
      <c r="EA723">
        <f>IF($DM723=0,"",IFERROR(IF(ISNUMBER($DZ723),$DZ723,IF($DZ723="","",IF(TRIM($DZ723)="",0,IF(AND(AND(SUBSTITUTE(SUBSTITUTE(SUBSTITUTE(SUBSTITUTE(SUBSTITUTE(SUBSTITUTE(SUBSTITUTE(SUBSTITUTE(SUBSTITUTE(SUBSTITUTE(SUBSTITUTE(SUBSTITUTE(SUBSTITUTE(SUBSTITUTE(UPPER(TRIM($DZ723)),"0",""),"1",""),"2",""),"3",""),"4",""),"5",""),"6",""),"7",""),"8",""),"9",""),".",""),"+",""),"-",""),"E","")="",LEN(SUBSTITUTE(SUBSTITUTE(MID(UPPER(TRIM($DZ723)),1+OR(LEFT(UPPER(TRIM($DZ723)),1)="+",LEFT(UPPER(TRIM($DZ723)),1)="-"),999),"E+","E"),"E-","E"))=LEN(SUBSTITUTE(SUBSTITUTE(SUBSTITUTE(SUBSTITUTE(MID(UPPER(TRIM($DZ723)),1+OR(LEFT(UPPER(TRIM($DZ723)),1)="+",LEFT(UPPER(TRIM($DZ723)),1)="-"),999),"E+","E"),"E-","E"),"+",""),"-","")),LEN(UPPER(TRIM($DZ723)))-LEN(SUBSTITUTE(UPPER(TRIM($DZ723)),"E",""))&lt;2,LEN(UPPER(TRIM($DZ723)))-LEN(SUBSTITUTE(UPPER(TRIM($DZ723)),".",""))&lt;2,IFERROR(FIND(".",UPPER(TRIM($DZ723))),0)&lt;IFERROR(FIND("E",UPPER(TRIM($DZ723))),999)),ISNUMBER(VALUE(TRIM($DZ723)))),VALUE(TRIM($DZ723)),"")))),""))</f>
        <v/>
      </c>
      <c r="EB723">
        <f>IF($DM723=0,"",IF($L$18=0,"",IFERROR(IF(UPPER(TRIM(SUBSTITUTE(SUBSTITUTE(SUBSTITUTE(SUBSTITUTE(INDEX(PASTE_ALL,$DF723,$L$18)," "," "),CHAR(9)," "),CHAR(10)," "),CHAR(13)," ")))="READY","Ready",IF(UPPER(TRIM(SUBSTITUTE(SUBSTITUTE(SUBSTITUTE(SUBSTITUTE(INDEX(PASTE_ALL,$DF723,$L$18)," "," "),CHAR(9)," "),CHAR(10)," "),CHAR(13)," ")))="PM","PM",IF(OR(UPPER(TRIM(SUBSTITUTE(SUBSTITUTE(SUBSTITUTE(SUBSTITUTE(INDEX(PASTE_ALL,$DF723,$L$18)," "," "),CHAR(9)," "),CHAR(10)," "),CHAR(13)," ")))="OT",UPPER(TRIM(SUBSTITUTE(SUBSTITUTE(SUBSTITUTE(SUBSTITUTE(INDEX(PASTE_ALL,$DF723,$L$18)," "," "),CHAR(9)," "),CHAR(10)," "),CHAR(13)," ")))="OVERTIME",UPPER(TRIM(SUBSTITUTE(SUBSTITUTE(SUBSTITUTE(SUBSTITUTE(INDEX(PASTE_ALL,$DF723,$L$18)," "," "),CHAR(9)," "),CHAR(10)," "),CHAR(13)," ")))="TRIAL"),"OT",TRIM(SUBSTITUTE(SUBSTITUTE(SUBSTITUTE(SUBSTITUTE(INDEX(PASTE_ALL,$DF723,$L$18)," "," "),CHAR(9)," "),CHAR(10)," "),CHAR(13)," "))))),"")))</f>
        <v/>
      </c>
      <c r="EC723">
        <f>IF($DM723=0,"",IF($L$19=0,"",IFERROR(IF(ISNUMBER(INDEX(PASTE_ALL,$DF723,$L$19)),INDEX(PASTE_ALL,$DF723,$L$19),TRIM(SUBSTITUTE(SUBSTITUTE(SUBSTITUTE(SUBSTITUTE(INDEX(PASTE_ALL,$DF723,$L$19)," "," "),CHAR(9)," "),CHAR(10)," "),CHAR(13)," "))),"")))</f>
        <v/>
      </c>
      <c r="ED723">
        <f>IF($DM723=0,"",MATCH(1,INDEX(EXACT($DH$5:DH723,$DH723)*$DM$5:DM723,0),0))</f>
        <v/>
      </c>
      <c r="EE723">
        <f>IF($DM723=0,0,IF($ED723=$DE723,1,0))</f>
        <v/>
      </c>
      <c r="EF723">
        <f>EF722+$EE723</f>
        <v/>
      </c>
      <c r="EG723">
        <f>IF($DM723=0,"",INDEX($EF$5:$EF$1003,$ED723))</f>
        <v/>
      </c>
      <c r="EH723">
        <f>IF($DM723=0,"",IF($DO723&lt;&gt;"","",IFERROR(LOOKUP(2,1/(($EG$4:EG722=$EG723)*($DO$4:DO722&lt;&gt;"")),$DO$4:DO722),"")))</f>
        <v/>
      </c>
      <c r="EI723">
        <f>IF($DM723=0,"",IF($DO723&lt;&gt;"",$DO723,$EH723))</f>
        <v/>
      </c>
      <c r="EJ723">
        <f>IF($DM723=0,"",IF($EI723="",0,IF(OR(ISNUMBER($EI723),AND(AND(SUBSTITUTE(SUBSTITUTE(SUBSTITUTE(SUBSTITUTE(SUBSTITUTE(SUBSTITUTE(SUBSTITUTE(SUBSTITUTE(SUBSTITUTE(SUBSTITUTE(SUBSTITUTE(SUBSTITUTE(SUBSTITUTE(SUBSTITUTE(UPPER($EI723),"0",""),"1",""),"2",""),"3",""),"4",""),"5",""),"6",""),"7",""),"8",""),"9",""),".",""),"+",""),"-",""),"E","")="",LEN(SUBSTITUTE(SUBSTITUTE(MID(UPPER($EI723),1+OR(LEFT(UPPER($EI723),1)="+",LEFT(UPPER($EI723),1)="-"),999),"E+","E"),"E-","E"))=LEN(SUBSTITUTE(SUBSTITUTE(SUBSTITUTE(SUBSTITUTE(MID(UPPER($EI723),1+OR(LEFT(UPPER($EI723),1)="+",LEFT(UPPER($EI723),1)="-"),999),"E+","E"),"E-","E"),"+",""),"-","")),LEN(UPPER($EI723))-LEN(SUBSTITUTE(UPPER($EI723),"E",""))&lt;2,LEN(UPPER($EI723))-LEN(SUBSTITUTE(UPPER($EI723),".",""))&lt;2,IFERROR(FIND(".",UPPER($EI723)),0)&lt;IFERROR(FIND("E",UPPER($EI723)),999)),ISNUMBER(VALUE($EI723)))),1,2)))</f>
        <v/>
      </c>
      <c r="EK723">
        <f>IF($DM723=0,"",IF($EJ723=1,IF(ISNUMBER($EI723),$EI723,VALUE($EI723)),IF($EJ723=2,$DE723,0)))</f>
        <v/>
      </c>
      <c r="EL723">
        <f>IF($DM723=0,"",COUNTIF($EG$5:$EG$1003,"&lt;"&amp;$EG723)+SUMPRODUCT(($EG$5:$EG$1003=$EG723)*(($EJ$5:$EJ$1003&lt;$EJ723)+($EJ$5:$EJ$1003=$EJ723)*(($EK$5:$EK$1003&lt;$EK723)+($EK$5:$EK$1003=$EK723)*($DE$5:$DE$1003&lt;$DE723))))+1)</f>
        <v/>
      </c>
      <c r="EM723">
        <f>IF($DM723=0,"",$EL723+$EG723-1)</f>
        <v/>
      </c>
      <c r="EN723">
        <f>IF($DM723=0,0,IFERROR(MATCH(1,INDEX(--(TRIM(SUBSTITUTE(SUBSTITUTE(SUBSTITUTE(SUBSTITUTE(LINES_NAME&amp;""," "," "),CHAR(9)," "),CHAR(10)," "),CHAR(13)," "))=$DH723),0),0),0))</f>
        <v/>
      </c>
      <c r="EO723">
        <f>IF($EN723=0,0,IF(OR(UPPER(TRIM(INDEX(LINES_SCHEDULED,$EN723)&amp;""))="YES",UPPER(TRIM(INDEX(LINES_SCHEDULED,$EN723)&amp;""))="Y",UPPER(TRIM(INDEX(LINES_SCHEDULED,$EN723)&amp;""))="X"),1,0))</f>
        <v/>
      </c>
      <c r="EP723">
        <f>IF($DM723=0,"",IF(COUNTIFS($EG$5:$EG$1003,$EG723,$EB$5:$EB$1003,"Ready")&gt;0,"READY",IF(COUNTIFS($EG$5:$EG$1003,$EG723,$EB$5:$EB$1003,"PM")&gt;0,"PM",IF(COUNTIFS($EG$5:$EG$1003,$EG723,$EB$5:$EB$1003,"OT")&gt;0,"OT",""))))</f>
        <v/>
      </c>
      <c r="EQ723">
        <f>IF($EN723=0,"",UPPER(TRIM(INDEX(LINES_STATUS,$EN723)&amp;"")))</f>
        <v/>
      </c>
      <c r="ER723">
        <f>IF($DM723=0,"",IF(OR($EQ723="READY",$EQ723="PM",$EQ723="OT"),$EQ723,$EP723))</f>
        <v/>
      </c>
      <c r="ES723">
        <f>IF($DM723=0,"",IF(AND($DV723&lt;&gt;"",UPPER($DV723)&lt;&gt;"N"),"allergen",IF(ISNUMBER(SEARCH("oil",$DQ723)),"oil",IF(OR(EXACT($DS723,"A662"),EXACT($DS723,"A624")),"bulk",""))))</f>
        <v/>
      </c>
      <c r="ET723">
        <f>IF($DM723=0,"",IF(OR($EA723="",$EA723=0),"",$EA723/100))</f>
        <v/>
      </c>
      <c r="EU723">
        <f>IF(OR($ET723="",$DY723=""),"",INT($DY723*(1-$ET723)+0.5))</f>
        <v/>
      </c>
    </row>
    <row r="724">
      <c r="DA724" t="n">
        <v>720</v>
      </c>
      <c r="DB724">
        <f>IF($B$37=0,"",IFERROR(TRIM(SUBSTITUTE(SUBSTITUTE(SUBSTITUTE(SUBSTITUTE(INDEX(PASTE_ALL,720,$B$37)," "," "),CHAR(9)," "),CHAR(10)," "),CHAR(13)," ")),""))</f>
        <v/>
      </c>
      <c r="DC724">
        <f>IF(AND(720&gt;HEADER_ROW,UPPER(DB724)="LEGEND"),1,0)</f>
        <v/>
      </c>
      <c r="DE724" t="n">
        <v>720</v>
      </c>
      <c r="DF724">
        <f>HEADER_ROW+$DE724</f>
        <v/>
      </c>
      <c r="DG724">
        <f>IF(AND($DF724&lt;=1000,$DF724&lt;$B$8),1,0)</f>
        <v/>
      </c>
      <c r="DH724">
        <f>IF($DG724=1,IFERROR(INDEX($DB$5:$DB$1004,$DF724),""),"")</f>
        <v/>
      </c>
      <c r="DI724">
        <f>IF(AND($DG724=1,$DH724&lt;&gt;""),IFERROR(SUBSTITUTE(SUBSTITUTE(TRIM(SUBSTITUTE(SUBSTITUTE(SUBSTITUTE(SUBSTITUTE(IFERROR(INDEX(PASTE_ALL,$DF724,1)&amp;"","")&amp;"␟"&amp;IFERROR(INDEX(PASTE_ALL,$DF724,2)&amp;"","")&amp;"␟"&amp;IFERROR(INDEX(PASTE_ALL,$DF724,3)&amp;"","")&amp;"␟"&amp;IFERROR(INDEX(PASTE_ALL,$DF724,4)&amp;"","")&amp;"␟"&amp;IFERROR(INDEX(PASTE_ALL,$DF724,5)&amp;"","")&amp;"␟"&amp;IFERROR(INDEX(PASTE_ALL,$DF724,6)&amp;"","")&amp;"␟"&amp;IFERROR(INDEX(PASTE_ALL,$DF724,7)&amp;"","")&amp;"␟"&amp;IFERROR(INDEX(PASTE_ALL,$DF724,8)&amp;"","")&amp;"␟"&amp;IFERROR(INDEX(PASTE_ALL,$DF724,9)&amp;"","")&amp;"␟"&amp;IFERROR(INDEX(PASTE_ALL,$DF724,10)&amp;"","")&amp;"␟"&amp;IFERROR(INDEX(PASTE_ALL,$DF724,11)&amp;"","")&amp;"␟"&amp;IFERROR(INDEX(PASTE_ALL,$DF724,12)&amp;"","")&amp;"␟"&amp;IFERROR(INDEX(PASTE_ALL,$DF724,13)&amp;"","")&amp;"␟"&amp;IFERROR(INDEX(PASTE_ALL,$DF724,14)&amp;"","")&amp;"␟"&amp;IFERROR(INDEX(PASTE_ALL,$DF724,15)&amp;"","")&amp;"␟"&amp;IFERROR(INDEX(PASTE_ALL,$DF724,16)&amp;"","")&amp;"␟"&amp;IFERROR(INDEX(PASTE_ALL,$DF724,17)&amp;"","")&amp;"␟"&amp;IFERROR(INDEX(PASTE_ALL,$DF724,18)&amp;"","")&amp;"␟"&amp;IFERROR(INDEX(PASTE_ALL,$DF724,19)&amp;"","")&amp;"␟"&amp;IFERROR(INDEX(PASTE_ALL,$DF724,20)&amp;"","")&amp;"␟"&amp;IFERROR(INDEX(PASTE_ALL,$DF724,21)&amp;"","")&amp;"␟"&amp;IFERROR(INDEX(PASTE_ALL,$DF724,22)&amp;"","")&amp;"␟"&amp;IFERROR(INDEX(PASTE_ALL,$DF724,23)&amp;"","")&amp;"␟"&amp;IFERROR(INDEX(PASTE_ALL,$DF724,24)&amp;"","")&amp;"␟"&amp;IFERROR(INDEX(PASTE_ALL,$DF724,25)&amp;"","")&amp;"␟"&amp;IFERROR(INDEX(PASTE_ALL,$DF724,26)&amp;"","")&amp;"␟"&amp;IFERROR(INDEX(PASTE_ALL,$DF724,27)&amp;"","")&amp;"␟"&amp;IFERROR(INDEX(PASTE_ALL,$DF724,28)&amp;"","")&amp;"␟"&amp;IFERROR(INDEX(PASTE_ALL,$DF724,29)&amp;"","")&amp;"␟"&amp;IFERROR(INDEX(PASTE_ALL,$DF724,30)&amp;"","")&amp;"␟"&amp;IFERROR(INDEX(PASTE_ALL,$DF724,31)&amp;"","")&amp;"␟"&amp;IFERROR(INDEX(PASTE_ALL,$DF724,32)&amp;"","")&amp;"␟"&amp;IFERROR(INDEX(PASTE_ALL,$DF724,33)&amp;"","")&amp;"␟"&amp;IFERROR(INDEX(PASTE_ALL,$DF724,34)&amp;"","")&amp;"␟"&amp;IFERROR(INDEX(PASTE_ALL,$DF724,35)&amp;"","")&amp;"␟"&amp;IFERROR(INDEX(PASTE_ALL,$DF724,36)&amp;"","")&amp;"␟"&amp;IFERROR(INDEX(PASTE_ALL,$DF724,37)&amp;"","")&amp;"␟"&amp;IFERROR(INDEX(PASTE_ALL,$DF724,38)&amp;"","")&amp;"␟"&amp;IFERROR(INDEX(PASTE_ALL,$DF724,39)&amp;"","")&amp;"␟"&amp;IFERROR(INDEX(PASTE_ALL,$DF724,40)&amp;"","")&amp;"␟"&amp;IFERROR(INDEX(PASTE_ALL,$DF724,41)&amp;"","")&amp;"␟"&amp;IFERROR(INDEX(PASTE_ALL,$DF724,42)&amp;"","")&amp;"␟"&amp;IFERROR(INDEX(PASTE_ALL,$DF724,43)&amp;"","")&amp;"␟"&amp;IFERROR(INDEX(PASTE_ALL,$DF724,44)&amp;"","")&amp;"␟"&amp;IFERROR(INDEX(PASTE_ALL,$DF724,45)&amp;"","")&amp;"␟"&amp;IFERROR(INDEX(PASTE_ALL,$DF724,46)&amp;"","")&amp;"␟"&amp;IFERROR(INDEX(PASTE_ALL,$DF724,47)&amp;"","")&amp;"␟"&amp;IFERROR(INDEX(PASTE_ALL,$DF724,48)&amp;"","")&amp;"␟"&amp;IFERROR(INDEX(PASTE_ALL,$DF724,49)&amp;"","")&amp;"␟"&amp;IFERROR(INDEX(PASTE_ALL,$DF724,50)&amp;"","")&amp;"␟"&amp;IFERROR(INDEX(PASTE_ALL,$DF724,51)&amp;"","")&amp;"␟"&amp;IFERROR(INDEX(PASTE_ALL,$DF724,52)&amp;"","")&amp;"␟"&amp;IFERROR(INDEX(PASTE_ALL,$DF724,53)&amp;"","")&amp;"␟"&amp;IFERROR(INDEX(PASTE_ALL,$DF724,54)&amp;"","")&amp;"␟"&amp;IFERROR(INDEX(PASTE_ALL,$DF724,55)&amp;"","")&amp;"␟"&amp;IFERROR(INDEX(PASTE_ALL,$DF724,56)&amp;"","")&amp;"␟"&amp;IFERROR(INDEX(PASTE_ALL,$DF724,57)&amp;"","")&amp;"␟"&amp;IFERROR(INDEX(PASTE_ALL,$DF724,58)&amp;"","")&amp;"␟"&amp;IFERROR(INDEX(PASTE_ALL,$DF724,59)&amp;"","")&amp;"␟"&amp;IFERROR(INDEX(PASTE_ALL,$DF724,60)&amp;"","")," "," "),CHAR(9)," "),CHAR(10)," "),CHAR(13)," "))," ␟","␟"),"␟ ","␟"),"#"&amp;$DE724),"")</f>
        <v/>
      </c>
      <c r="DJ724">
        <f>IF($DI724="",0,IF(SUMPRODUCT(--EXACT($DI$4:DI723,$DI724))&gt;0,1,0))</f>
        <v/>
      </c>
      <c r="DK724">
        <f>IF(AND($DI724&lt;&gt;"",$DJ724=0),1,0)</f>
        <v/>
      </c>
      <c r="DL724">
        <f>DL723+$DK724</f>
        <v/>
      </c>
      <c r="DM724">
        <f>IF(AND($DK724=1,$DL724&lt;=600),1,0)</f>
        <v/>
      </c>
      <c r="DN724">
        <f>IF($DM724=0,"",IF($L$6=0,"",IFERROR(IF(ISNUMBER(INDEX(PASTE_ALL,$DF724,$L$6)),INDEX(PASTE_ALL,$DF724,$L$6),TRIM(SUBSTITUTE(SUBSTITUTE(SUBSTITUTE(SUBSTITUTE(INDEX(PASTE_ALL,$DF724,$L$6)," "," "),CHAR(9)," "),CHAR(10)," "),CHAR(13)," "))),"")))</f>
        <v/>
      </c>
      <c r="DO724">
        <f>IF($DM724=0,"",IF($L$7=0,"",IFERROR(IF(ISNUMBER(INDEX(PASTE_ALL,$DF724,$L$7)),INDEX(PASTE_ALL,$DF724,$L$7),TRIM(SUBSTITUTE(SUBSTITUTE(SUBSTITUTE(SUBSTITUTE(INDEX(PASTE_ALL,$DF724,$L$7)," "," "),CHAR(9)," "),CHAR(10)," "),CHAR(13)," "))),"")))</f>
        <v/>
      </c>
      <c r="DP724">
        <f>IF($DM724=0,"",IF($L$8=0,"",IFERROR(IF(ISNUMBER(INDEX(PASTE_ALL,$DF724,$L$8)),INDEX(PASTE_ALL,$DF724,$L$8),TRIM(SUBSTITUTE(SUBSTITUTE(SUBSTITUTE(SUBSTITUTE(INDEX(PASTE_ALL,$DF724,$L$8)," "," "),CHAR(9)," "),CHAR(10)," "),CHAR(13)," "))),"")))</f>
        <v/>
      </c>
      <c r="DQ724">
        <f>IF($DM724=0,"",IF($L$9=0,"",IFERROR(IF(ISNUMBER(INDEX(PASTE_ALL,$DF724,$L$9)),INDEX(PASTE_ALL,$DF724,$L$9),TRIM(SUBSTITUTE(SUBSTITUTE(SUBSTITUTE(SUBSTITUTE(INDEX(PASTE_ALL,$DF724,$L$9)," "," "),CHAR(9)," "),CHAR(10)," "),CHAR(13)," "))),"")))</f>
        <v/>
      </c>
      <c r="DR724">
        <f>IF($DM724=0,"",IF($L$10=0,"",IFERROR(IF(ISNUMBER(INDEX(PASTE_ALL,$DF724,$L$10)),INDEX(PASTE_ALL,$DF724,$L$10),TRIM(SUBSTITUTE(SUBSTITUTE(SUBSTITUTE(SUBSTITUTE(INDEX(PASTE_ALL,$DF724,$L$10)," "," "),CHAR(9)," "),CHAR(10)," "),CHAR(13)," "))),"")))</f>
        <v/>
      </c>
      <c r="DS724">
        <f>IF($DM724=0,"",IF($L$11=0,"",IFERROR(IF(ISNUMBER(INDEX(PASTE_ALL,$DF724,$L$11)),INDEX(PASTE_ALL,$DF724,$L$11),TRIM(SUBSTITUTE(SUBSTITUTE(SUBSTITUTE(SUBSTITUTE(INDEX(PASTE_ALL,$DF724,$L$11)," "," "),CHAR(9)," "),CHAR(10)," "),CHAR(13)," "))),"")))</f>
        <v/>
      </c>
      <c r="DT724">
        <f>IF($DM724=0,"",IF($L$12=0,"",IFERROR(IF(ISNUMBER(INDEX(PASTE_ALL,$DF724,$L$12)),INDEX(PASTE_ALL,$DF724,$L$12),TRIM(SUBSTITUTE(SUBSTITUTE(SUBSTITUTE(SUBSTITUTE(INDEX(PASTE_ALL,$DF724,$L$12)," "," "),CHAR(9)," "),CHAR(10)," "),CHAR(13)," "))),"")))</f>
        <v/>
      </c>
      <c r="DU724">
        <f>IF($DM724=0,"",IF($L$13=0,"",IFERROR(IF(ISNUMBER(INDEX(PASTE_ALL,$DF724,$L$13)),INDEX(PASTE_ALL,$DF724,$L$13),TRIM(SUBSTITUTE(SUBSTITUTE(SUBSTITUTE(SUBSTITUTE(INDEX(PASTE_ALL,$DF724,$L$13)," "," "),CHAR(9)," "),CHAR(10)," "),CHAR(13)," "))),"")))</f>
        <v/>
      </c>
      <c r="DV724">
        <f>IF($DM724=0,"",IF($L$14=0,"",IFERROR(IF(ISNUMBER(INDEX(PASTE_ALL,$DF724,$L$14)),INDEX(PASTE_ALL,$DF724,$L$14),TRIM(SUBSTITUTE(SUBSTITUTE(SUBSTITUTE(SUBSTITUTE(INDEX(PASTE_ALL,$DF724,$L$14)," "," "),CHAR(9)," "),CHAR(10)," "),CHAR(13)," "))),"")))</f>
        <v/>
      </c>
      <c r="DW724">
        <f>IF($DM724=0,"",IF($L$15=0,"",IFERROR(IF(ISNUMBER(INDEX(PASTE_ALL,$DF724,$L$15)),INDEX(PASTE_ALL,$DF724,$L$15),IF(SUMPRODUCT(--ISNUMBER(FIND({"A","B","C","D","E","F","G","H","I","J","K","L","M","N","O","P","Q","R","S","T","U","V","W","X","Y","Z","0","1","2","3","4","5","6","7","8","9"},UPPER(TRIM(SUBSTITUTE(SUBSTITUTE(SUBSTITUTE(SUBSTITUTE(INDEX(PASTE_ALL,$DF724,$L$15)," "," "),CHAR(9)," "),CHAR(10)," "),CHAR(13)," "))))))&gt;0,TRIM(SUBSTITUTE(SUBSTITUTE(SUBSTITUTE(SUBSTITUTE(INDEX(PASTE_ALL,$DF724,$L$15)," "," "),CHAR(9)," "),CHAR(10)," "),CHAR(13)," ")),"")),"")))</f>
        <v/>
      </c>
      <c r="DX724">
        <f>IF($DM724=0,"",IF($L$16=0,"",IFERROR(IF(ISNUMBER(INDEX(PASTE_ALL,$DF724,$L$16)),INDEX(PASTE_ALL,$DF724,$L$16),SUBSTITUTE(SUBSTITUTE(TRIM(SUBSTITUTE(SUBSTITUTE(SUBSTITUTE(SUBSTITUTE(INDEX(PASTE_ALL,$DF724,$L$16)," "," "),CHAR(9)," "),CHAR(10)," "),CHAR(13)," ")),",",""),"%","")),"")))</f>
        <v/>
      </c>
      <c r="DY724">
        <f>IF($DM724=0,"",IFERROR(IF(ISNUMBER($DX724),$DX724,IF($DX724="","",IF(TRIM($DX724)="",0,IF(AND(AND(SUBSTITUTE(SUBSTITUTE(SUBSTITUTE(SUBSTITUTE(SUBSTITUTE(SUBSTITUTE(SUBSTITUTE(SUBSTITUTE(SUBSTITUTE(SUBSTITUTE(SUBSTITUTE(SUBSTITUTE(SUBSTITUTE(SUBSTITUTE(UPPER(TRIM($DX724)),"0",""),"1",""),"2",""),"3",""),"4",""),"5",""),"6",""),"7",""),"8",""),"9",""),".",""),"+",""),"-",""),"E","")="",LEN(SUBSTITUTE(SUBSTITUTE(MID(UPPER(TRIM($DX724)),1+OR(LEFT(UPPER(TRIM($DX724)),1)="+",LEFT(UPPER(TRIM($DX724)),1)="-"),999),"E+","E"),"E-","E"))=LEN(SUBSTITUTE(SUBSTITUTE(SUBSTITUTE(SUBSTITUTE(MID(UPPER(TRIM($DX724)),1+OR(LEFT(UPPER(TRIM($DX724)),1)="+",LEFT(UPPER(TRIM($DX724)),1)="-"),999),"E+","E"),"E-","E"),"+",""),"-","")),LEN(UPPER(TRIM($DX724)))-LEN(SUBSTITUTE(UPPER(TRIM($DX724)),"E",""))&lt;2,LEN(UPPER(TRIM($DX724)))-LEN(SUBSTITUTE(UPPER(TRIM($DX724)),".",""))&lt;2,IFERROR(FIND(".",UPPER(TRIM($DX724))),0)&lt;IFERROR(FIND("E",UPPER(TRIM($DX724))),999)),ISNUMBER(VALUE(TRIM($DX724)))),VALUE(TRIM($DX724)),"")))),""))</f>
        <v/>
      </c>
      <c r="DZ724">
        <f>IF($DM724=0,"",IF($L$17=0,"",IFERROR(IF(ISNUMBER(INDEX(PASTE_ALL,$DF724,$L$17)),INDEX(PASTE_ALL,$DF724,$L$17),SUBSTITUTE(SUBSTITUTE(TRIM(SUBSTITUTE(SUBSTITUTE(SUBSTITUTE(SUBSTITUTE(INDEX(PASTE_ALL,$DF724,$L$17)," "," "),CHAR(9)," "),CHAR(10)," "),CHAR(13)," ")),",",""),"%","")),"")))</f>
        <v/>
      </c>
      <c r="EA724">
        <f>IF($DM724=0,"",IFERROR(IF(ISNUMBER($DZ724),$DZ724,IF($DZ724="","",IF(TRIM($DZ724)="",0,IF(AND(AND(SUBSTITUTE(SUBSTITUTE(SUBSTITUTE(SUBSTITUTE(SUBSTITUTE(SUBSTITUTE(SUBSTITUTE(SUBSTITUTE(SUBSTITUTE(SUBSTITUTE(SUBSTITUTE(SUBSTITUTE(SUBSTITUTE(SUBSTITUTE(UPPER(TRIM($DZ724)),"0",""),"1",""),"2",""),"3",""),"4",""),"5",""),"6",""),"7",""),"8",""),"9",""),".",""),"+",""),"-",""),"E","")="",LEN(SUBSTITUTE(SUBSTITUTE(MID(UPPER(TRIM($DZ724)),1+OR(LEFT(UPPER(TRIM($DZ724)),1)="+",LEFT(UPPER(TRIM($DZ724)),1)="-"),999),"E+","E"),"E-","E"))=LEN(SUBSTITUTE(SUBSTITUTE(SUBSTITUTE(SUBSTITUTE(MID(UPPER(TRIM($DZ724)),1+OR(LEFT(UPPER(TRIM($DZ724)),1)="+",LEFT(UPPER(TRIM($DZ724)),1)="-"),999),"E+","E"),"E-","E"),"+",""),"-","")),LEN(UPPER(TRIM($DZ724)))-LEN(SUBSTITUTE(UPPER(TRIM($DZ724)),"E",""))&lt;2,LEN(UPPER(TRIM($DZ724)))-LEN(SUBSTITUTE(UPPER(TRIM($DZ724)),".",""))&lt;2,IFERROR(FIND(".",UPPER(TRIM($DZ724))),0)&lt;IFERROR(FIND("E",UPPER(TRIM($DZ724))),999)),ISNUMBER(VALUE(TRIM($DZ724)))),VALUE(TRIM($DZ724)),"")))),""))</f>
        <v/>
      </c>
      <c r="EB724">
        <f>IF($DM724=0,"",IF($L$18=0,"",IFERROR(IF(UPPER(TRIM(SUBSTITUTE(SUBSTITUTE(SUBSTITUTE(SUBSTITUTE(INDEX(PASTE_ALL,$DF724,$L$18)," "," "),CHAR(9)," "),CHAR(10)," "),CHAR(13)," ")))="READY","Ready",IF(UPPER(TRIM(SUBSTITUTE(SUBSTITUTE(SUBSTITUTE(SUBSTITUTE(INDEX(PASTE_ALL,$DF724,$L$18)," "," "),CHAR(9)," "),CHAR(10)," "),CHAR(13)," ")))="PM","PM",IF(OR(UPPER(TRIM(SUBSTITUTE(SUBSTITUTE(SUBSTITUTE(SUBSTITUTE(INDEX(PASTE_ALL,$DF724,$L$18)," "," "),CHAR(9)," "),CHAR(10)," "),CHAR(13)," ")))="OT",UPPER(TRIM(SUBSTITUTE(SUBSTITUTE(SUBSTITUTE(SUBSTITUTE(INDEX(PASTE_ALL,$DF724,$L$18)," "," "),CHAR(9)," "),CHAR(10)," "),CHAR(13)," ")))="OVERTIME",UPPER(TRIM(SUBSTITUTE(SUBSTITUTE(SUBSTITUTE(SUBSTITUTE(INDEX(PASTE_ALL,$DF724,$L$18)," "," "),CHAR(9)," "),CHAR(10)," "),CHAR(13)," ")))="TRIAL"),"OT",TRIM(SUBSTITUTE(SUBSTITUTE(SUBSTITUTE(SUBSTITUTE(INDEX(PASTE_ALL,$DF724,$L$18)," "," "),CHAR(9)," "),CHAR(10)," "),CHAR(13)," "))))),"")))</f>
        <v/>
      </c>
      <c r="EC724">
        <f>IF($DM724=0,"",IF($L$19=0,"",IFERROR(IF(ISNUMBER(INDEX(PASTE_ALL,$DF724,$L$19)),INDEX(PASTE_ALL,$DF724,$L$19),TRIM(SUBSTITUTE(SUBSTITUTE(SUBSTITUTE(SUBSTITUTE(INDEX(PASTE_ALL,$DF724,$L$19)," "," "),CHAR(9)," "),CHAR(10)," "),CHAR(13)," "))),"")))</f>
        <v/>
      </c>
      <c r="ED724">
        <f>IF($DM724=0,"",MATCH(1,INDEX(EXACT($DH$5:DH724,$DH724)*$DM$5:DM724,0),0))</f>
        <v/>
      </c>
      <c r="EE724">
        <f>IF($DM724=0,0,IF($ED724=$DE724,1,0))</f>
        <v/>
      </c>
      <c r="EF724">
        <f>EF723+$EE724</f>
        <v/>
      </c>
      <c r="EG724">
        <f>IF($DM724=0,"",INDEX($EF$5:$EF$1003,$ED724))</f>
        <v/>
      </c>
      <c r="EH724">
        <f>IF($DM724=0,"",IF($DO724&lt;&gt;"","",IFERROR(LOOKUP(2,1/(($EG$4:EG723=$EG724)*($DO$4:DO723&lt;&gt;"")),$DO$4:DO723),"")))</f>
        <v/>
      </c>
      <c r="EI724">
        <f>IF($DM724=0,"",IF($DO724&lt;&gt;"",$DO724,$EH724))</f>
        <v/>
      </c>
      <c r="EJ724">
        <f>IF($DM724=0,"",IF($EI724="",0,IF(OR(ISNUMBER($EI724),AND(AND(SUBSTITUTE(SUBSTITUTE(SUBSTITUTE(SUBSTITUTE(SUBSTITUTE(SUBSTITUTE(SUBSTITUTE(SUBSTITUTE(SUBSTITUTE(SUBSTITUTE(SUBSTITUTE(SUBSTITUTE(SUBSTITUTE(SUBSTITUTE(UPPER($EI724),"0",""),"1",""),"2",""),"3",""),"4",""),"5",""),"6",""),"7",""),"8",""),"9",""),".",""),"+",""),"-",""),"E","")="",LEN(SUBSTITUTE(SUBSTITUTE(MID(UPPER($EI724),1+OR(LEFT(UPPER($EI724),1)="+",LEFT(UPPER($EI724),1)="-"),999),"E+","E"),"E-","E"))=LEN(SUBSTITUTE(SUBSTITUTE(SUBSTITUTE(SUBSTITUTE(MID(UPPER($EI724),1+OR(LEFT(UPPER($EI724),1)="+",LEFT(UPPER($EI724),1)="-"),999),"E+","E"),"E-","E"),"+",""),"-","")),LEN(UPPER($EI724))-LEN(SUBSTITUTE(UPPER($EI724),"E",""))&lt;2,LEN(UPPER($EI724))-LEN(SUBSTITUTE(UPPER($EI724),".",""))&lt;2,IFERROR(FIND(".",UPPER($EI724)),0)&lt;IFERROR(FIND("E",UPPER($EI724)),999)),ISNUMBER(VALUE($EI724)))),1,2)))</f>
        <v/>
      </c>
      <c r="EK724">
        <f>IF($DM724=0,"",IF($EJ724=1,IF(ISNUMBER($EI724),$EI724,VALUE($EI724)),IF($EJ724=2,$DE724,0)))</f>
        <v/>
      </c>
      <c r="EL724">
        <f>IF($DM724=0,"",COUNTIF($EG$5:$EG$1003,"&lt;"&amp;$EG724)+SUMPRODUCT(($EG$5:$EG$1003=$EG724)*(($EJ$5:$EJ$1003&lt;$EJ724)+($EJ$5:$EJ$1003=$EJ724)*(($EK$5:$EK$1003&lt;$EK724)+($EK$5:$EK$1003=$EK724)*($DE$5:$DE$1003&lt;$DE724))))+1)</f>
        <v/>
      </c>
      <c r="EM724">
        <f>IF($DM724=0,"",$EL724+$EG724-1)</f>
        <v/>
      </c>
      <c r="EN724">
        <f>IF($DM724=0,0,IFERROR(MATCH(1,INDEX(--(TRIM(SUBSTITUTE(SUBSTITUTE(SUBSTITUTE(SUBSTITUTE(LINES_NAME&amp;""," "," "),CHAR(9)," "),CHAR(10)," "),CHAR(13)," "))=$DH724),0),0),0))</f>
        <v/>
      </c>
      <c r="EO724">
        <f>IF($EN724=0,0,IF(OR(UPPER(TRIM(INDEX(LINES_SCHEDULED,$EN724)&amp;""))="YES",UPPER(TRIM(INDEX(LINES_SCHEDULED,$EN724)&amp;""))="Y",UPPER(TRIM(INDEX(LINES_SCHEDULED,$EN724)&amp;""))="X"),1,0))</f>
        <v/>
      </c>
      <c r="EP724">
        <f>IF($DM724=0,"",IF(COUNTIFS($EG$5:$EG$1003,$EG724,$EB$5:$EB$1003,"Ready")&gt;0,"READY",IF(COUNTIFS($EG$5:$EG$1003,$EG724,$EB$5:$EB$1003,"PM")&gt;0,"PM",IF(COUNTIFS($EG$5:$EG$1003,$EG724,$EB$5:$EB$1003,"OT")&gt;0,"OT",""))))</f>
        <v/>
      </c>
      <c r="EQ724">
        <f>IF($EN724=0,"",UPPER(TRIM(INDEX(LINES_STATUS,$EN724)&amp;"")))</f>
        <v/>
      </c>
      <c r="ER724">
        <f>IF($DM724=0,"",IF(OR($EQ724="READY",$EQ724="PM",$EQ724="OT"),$EQ724,$EP724))</f>
        <v/>
      </c>
      <c r="ES724">
        <f>IF($DM724=0,"",IF(AND($DV724&lt;&gt;"",UPPER($DV724)&lt;&gt;"N"),"allergen",IF(ISNUMBER(SEARCH("oil",$DQ724)),"oil",IF(OR(EXACT($DS724,"A662"),EXACT($DS724,"A624")),"bulk",""))))</f>
        <v/>
      </c>
      <c r="ET724">
        <f>IF($DM724=0,"",IF(OR($EA724="",$EA724=0),"",$EA724/100))</f>
        <v/>
      </c>
      <c r="EU724">
        <f>IF(OR($ET724="",$DY724=""),"",INT($DY724*(1-$ET724)+0.5))</f>
        <v/>
      </c>
    </row>
    <row r="725">
      <c r="DA725" t="n">
        <v>721</v>
      </c>
      <c r="DB725">
        <f>IF($B$37=0,"",IFERROR(TRIM(SUBSTITUTE(SUBSTITUTE(SUBSTITUTE(SUBSTITUTE(INDEX(PASTE_ALL,721,$B$37)," "," "),CHAR(9)," "),CHAR(10)," "),CHAR(13)," ")),""))</f>
        <v/>
      </c>
      <c r="DC725">
        <f>IF(AND(721&gt;HEADER_ROW,UPPER(DB725)="LEGEND"),1,0)</f>
        <v/>
      </c>
      <c r="DE725" t="n">
        <v>721</v>
      </c>
      <c r="DF725">
        <f>HEADER_ROW+$DE725</f>
        <v/>
      </c>
      <c r="DG725">
        <f>IF(AND($DF725&lt;=1000,$DF725&lt;$B$8),1,0)</f>
        <v/>
      </c>
      <c r="DH725">
        <f>IF($DG725=1,IFERROR(INDEX($DB$5:$DB$1004,$DF725),""),"")</f>
        <v/>
      </c>
      <c r="DI725">
        <f>IF(AND($DG725=1,$DH725&lt;&gt;""),IFERROR(SUBSTITUTE(SUBSTITUTE(TRIM(SUBSTITUTE(SUBSTITUTE(SUBSTITUTE(SUBSTITUTE(IFERROR(INDEX(PASTE_ALL,$DF725,1)&amp;"","")&amp;"␟"&amp;IFERROR(INDEX(PASTE_ALL,$DF725,2)&amp;"","")&amp;"␟"&amp;IFERROR(INDEX(PASTE_ALL,$DF725,3)&amp;"","")&amp;"␟"&amp;IFERROR(INDEX(PASTE_ALL,$DF725,4)&amp;"","")&amp;"␟"&amp;IFERROR(INDEX(PASTE_ALL,$DF725,5)&amp;"","")&amp;"␟"&amp;IFERROR(INDEX(PASTE_ALL,$DF725,6)&amp;"","")&amp;"␟"&amp;IFERROR(INDEX(PASTE_ALL,$DF725,7)&amp;"","")&amp;"␟"&amp;IFERROR(INDEX(PASTE_ALL,$DF725,8)&amp;"","")&amp;"␟"&amp;IFERROR(INDEX(PASTE_ALL,$DF725,9)&amp;"","")&amp;"␟"&amp;IFERROR(INDEX(PASTE_ALL,$DF725,10)&amp;"","")&amp;"␟"&amp;IFERROR(INDEX(PASTE_ALL,$DF725,11)&amp;"","")&amp;"␟"&amp;IFERROR(INDEX(PASTE_ALL,$DF725,12)&amp;"","")&amp;"␟"&amp;IFERROR(INDEX(PASTE_ALL,$DF725,13)&amp;"","")&amp;"␟"&amp;IFERROR(INDEX(PASTE_ALL,$DF725,14)&amp;"","")&amp;"␟"&amp;IFERROR(INDEX(PASTE_ALL,$DF725,15)&amp;"","")&amp;"␟"&amp;IFERROR(INDEX(PASTE_ALL,$DF725,16)&amp;"","")&amp;"␟"&amp;IFERROR(INDEX(PASTE_ALL,$DF725,17)&amp;"","")&amp;"␟"&amp;IFERROR(INDEX(PASTE_ALL,$DF725,18)&amp;"","")&amp;"␟"&amp;IFERROR(INDEX(PASTE_ALL,$DF725,19)&amp;"","")&amp;"␟"&amp;IFERROR(INDEX(PASTE_ALL,$DF725,20)&amp;"","")&amp;"␟"&amp;IFERROR(INDEX(PASTE_ALL,$DF725,21)&amp;"","")&amp;"␟"&amp;IFERROR(INDEX(PASTE_ALL,$DF725,22)&amp;"","")&amp;"␟"&amp;IFERROR(INDEX(PASTE_ALL,$DF725,23)&amp;"","")&amp;"␟"&amp;IFERROR(INDEX(PASTE_ALL,$DF725,24)&amp;"","")&amp;"␟"&amp;IFERROR(INDEX(PASTE_ALL,$DF725,25)&amp;"","")&amp;"␟"&amp;IFERROR(INDEX(PASTE_ALL,$DF725,26)&amp;"","")&amp;"␟"&amp;IFERROR(INDEX(PASTE_ALL,$DF725,27)&amp;"","")&amp;"␟"&amp;IFERROR(INDEX(PASTE_ALL,$DF725,28)&amp;"","")&amp;"␟"&amp;IFERROR(INDEX(PASTE_ALL,$DF725,29)&amp;"","")&amp;"␟"&amp;IFERROR(INDEX(PASTE_ALL,$DF725,30)&amp;"","")&amp;"␟"&amp;IFERROR(INDEX(PASTE_ALL,$DF725,31)&amp;"","")&amp;"␟"&amp;IFERROR(INDEX(PASTE_ALL,$DF725,32)&amp;"","")&amp;"␟"&amp;IFERROR(INDEX(PASTE_ALL,$DF725,33)&amp;"","")&amp;"␟"&amp;IFERROR(INDEX(PASTE_ALL,$DF725,34)&amp;"","")&amp;"␟"&amp;IFERROR(INDEX(PASTE_ALL,$DF725,35)&amp;"","")&amp;"␟"&amp;IFERROR(INDEX(PASTE_ALL,$DF725,36)&amp;"","")&amp;"␟"&amp;IFERROR(INDEX(PASTE_ALL,$DF725,37)&amp;"","")&amp;"␟"&amp;IFERROR(INDEX(PASTE_ALL,$DF725,38)&amp;"","")&amp;"␟"&amp;IFERROR(INDEX(PASTE_ALL,$DF725,39)&amp;"","")&amp;"␟"&amp;IFERROR(INDEX(PASTE_ALL,$DF725,40)&amp;"","")&amp;"␟"&amp;IFERROR(INDEX(PASTE_ALL,$DF725,41)&amp;"","")&amp;"␟"&amp;IFERROR(INDEX(PASTE_ALL,$DF725,42)&amp;"","")&amp;"␟"&amp;IFERROR(INDEX(PASTE_ALL,$DF725,43)&amp;"","")&amp;"␟"&amp;IFERROR(INDEX(PASTE_ALL,$DF725,44)&amp;"","")&amp;"␟"&amp;IFERROR(INDEX(PASTE_ALL,$DF725,45)&amp;"","")&amp;"␟"&amp;IFERROR(INDEX(PASTE_ALL,$DF725,46)&amp;"","")&amp;"␟"&amp;IFERROR(INDEX(PASTE_ALL,$DF725,47)&amp;"","")&amp;"␟"&amp;IFERROR(INDEX(PASTE_ALL,$DF725,48)&amp;"","")&amp;"␟"&amp;IFERROR(INDEX(PASTE_ALL,$DF725,49)&amp;"","")&amp;"␟"&amp;IFERROR(INDEX(PASTE_ALL,$DF725,50)&amp;"","")&amp;"␟"&amp;IFERROR(INDEX(PASTE_ALL,$DF725,51)&amp;"","")&amp;"␟"&amp;IFERROR(INDEX(PASTE_ALL,$DF725,52)&amp;"","")&amp;"␟"&amp;IFERROR(INDEX(PASTE_ALL,$DF725,53)&amp;"","")&amp;"␟"&amp;IFERROR(INDEX(PASTE_ALL,$DF725,54)&amp;"","")&amp;"␟"&amp;IFERROR(INDEX(PASTE_ALL,$DF725,55)&amp;"","")&amp;"␟"&amp;IFERROR(INDEX(PASTE_ALL,$DF725,56)&amp;"","")&amp;"␟"&amp;IFERROR(INDEX(PASTE_ALL,$DF725,57)&amp;"","")&amp;"␟"&amp;IFERROR(INDEX(PASTE_ALL,$DF725,58)&amp;"","")&amp;"␟"&amp;IFERROR(INDEX(PASTE_ALL,$DF725,59)&amp;"","")&amp;"␟"&amp;IFERROR(INDEX(PASTE_ALL,$DF725,60)&amp;"","")," "," "),CHAR(9)," "),CHAR(10)," "),CHAR(13)," "))," ␟","␟"),"␟ ","␟"),"#"&amp;$DE725),"")</f>
        <v/>
      </c>
      <c r="DJ725">
        <f>IF($DI725="",0,IF(SUMPRODUCT(--EXACT($DI$4:DI724,$DI725))&gt;0,1,0))</f>
        <v/>
      </c>
      <c r="DK725">
        <f>IF(AND($DI725&lt;&gt;"",$DJ725=0),1,0)</f>
        <v/>
      </c>
      <c r="DL725">
        <f>DL724+$DK725</f>
        <v/>
      </c>
      <c r="DM725">
        <f>IF(AND($DK725=1,$DL725&lt;=600),1,0)</f>
        <v/>
      </c>
      <c r="DN725">
        <f>IF($DM725=0,"",IF($L$6=0,"",IFERROR(IF(ISNUMBER(INDEX(PASTE_ALL,$DF725,$L$6)),INDEX(PASTE_ALL,$DF725,$L$6),TRIM(SUBSTITUTE(SUBSTITUTE(SUBSTITUTE(SUBSTITUTE(INDEX(PASTE_ALL,$DF725,$L$6)," "," "),CHAR(9)," "),CHAR(10)," "),CHAR(13)," "))),"")))</f>
        <v/>
      </c>
      <c r="DO725">
        <f>IF($DM725=0,"",IF($L$7=0,"",IFERROR(IF(ISNUMBER(INDEX(PASTE_ALL,$DF725,$L$7)),INDEX(PASTE_ALL,$DF725,$L$7),TRIM(SUBSTITUTE(SUBSTITUTE(SUBSTITUTE(SUBSTITUTE(INDEX(PASTE_ALL,$DF725,$L$7)," "," "),CHAR(9)," "),CHAR(10)," "),CHAR(13)," "))),"")))</f>
        <v/>
      </c>
      <c r="DP725">
        <f>IF($DM725=0,"",IF($L$8=0,"",IFERROR(IF(ISNUMBER(INDEX(PASTE_ALL,$DF725,$L$8)),INDEX(PASTE_ALL,$DF725,$L$8),TRIM(SUBSTITUTE(SUBSTITUTE(SUBSTITUTE(SUBSTITUTE(INDEX(PASTE_ALL,$DF725,$L$8)," "," "),CHAR(9)," "),CHAR(10)," "),CHAR(13)," "))),"")))</f>
        <v/>
      </c>
      <c r="DQ725">
        <f>IF($DM725=0,"",IF($L$9=0,"",IFERROR(IF(ISNUMBER(INDEX(PASTE_ALL,$DF725,$L$9)),INDEX(PASTE_ALL,$DF725,$L$9),TRIM(SUBSTITUTE(SUBSTITUTE(SUBSTITUTE(SUBSTITUTE(INDEX(PASTE_ALL,$DF725,$L$9)," "," "),CHAR(9)," "),CHAR(10)," "),CHAR(13)," "))),"")))</f>
        <v/>
      </c>
      <c r="DR725">
        <f>IF($DM725=0,"",IF($L$10=0,"",IFERROR(IF(ISNUMBER(INDEX(PASTE_ALL,$DF725,$L$10)),INDEX(PASTE_ALL,$DF725,$L$10),TRIM(SUBSTITUTE(SUBSTITUTE(SUBSTITUTE(SUBSTITUTE(INDEX(PASTE_ALL,$DF725,$L$10)," "," "),CHAR(9)," "),CHAR(10)," "),CHAR(13)," "))),"")))</f>
        <v/>
      </c>
      <c r="DS725">
        <f>IF($DM725=0,"",IF($L$11=0,"",IFERROR(IF(ISNUMBER(INDEX(PASTE_ALL,$DF725,$L$11)),INDEX(PASTE_ALL,$DF725,$L$11),TRIM(SUBSTITUTE(SUBSTITUTE(SUBSTITUTE(SUBSTITUTE(INDEX(PASTE_ALL,$DF725,$L$11)," "," "),CHAR(9)," "),CHAR(10)," "),CHAR(13)," "))),"")))</f>
        <v/>
      </c>
      <c r="DT725">
        <f>IF($DM725=0,"",IF($L$12=0,"",IFERROR(IF(ISNUMBER(INDEX(PASTE_ALL,$DF725,$L$12)),INDEX(PASTE_ALL,$DF725,$L$12),TRIM(SUBSTITUTE(SUBSTITUTE(SUBSTITUTE(SUBSTITUTE(INDEX(PASTE_ALL,$DF725,$L$12)," "," "),CHAR(9)," "),CHAR(10)," "),CHAR(13)," "))),"")))</f>
        <v/>
      </c>
      <c r="DU725">
        <f>IF($DM725=0,"",IF($L$13=0,"",IFERROR(IF(ISNUMBER(INDEX(PASTE_ALL,$DF725,$L$13)),INDEX(PASTE_ALL,$DF725,$L$13),TRIM(SUBSTITUTE(SUBSTITUTE(SUBSTITUTE(SUBSTITUTE(INDEX(PASTE_ALL,$DF725,$L$13)," "," "),CHAR(9)," "),CHAR(10)," "),CHAR(13)," "))),"")))</f>
        <v/>
      </c>
      <c r="DV725">
        <f>IF($DM725=0,"",IF($L$14=0,"",IFERROR(IF(ISNUMBER(INDEX(PASTE_ALL,$DF725,$L$14)),INDEX(PASTE_ALL,$DF725,$L$14),TRIM(SUBSTITUTE(SUBSTITUTE(SUBSTITUTE(SUBSTITUTE(INDEX(PASTE_ALL,$DF725,$L$14)," "," "),CHAR(9)," "),CHAR(10)," "),CHAR(13)," "))),"")))</f>
        <v/>
      </c>
      <c r="DW725">
        <f>IF($DM725=0,"",IF($L$15=0,"",IFERROR(IF(ISNUMBER(INDEX(PASTE_ALL,$DF725,$L$15)),INDEX(PASTE_ALL,$DF725,$L$15),IF(SUMPRODUCT(--ISNUMBER(FIND({"A","B","C","D","E","F","G","H","I","J","K","L","M","N","O","P","Q","R","S","T","U","V","W","X","Y","Z","0","1","2","3","4","5","6","7","8","9"},UPPER(TRIM(SUBSTITUTE(SUBSTITUTE(SUBSTITUTE(SUBSTITUTE(INDEX(PASTE_ALL,$DF725,$L$15)," "," "),CHAR(9)," "),CHAR(10)," "),CHAR(13)," "))))))&gt;0,TRIM(SUBSTITUTE(SUBSTITUTE(SUBSTITUTE(SUBSTITUTE(INDEX(PASTE_ALL,$DF725,$L$15)," "," "),CHAR(9)," "),CHAR(10)," "),CHAR(13)," ")),"")),"")))</f>
        <v/>
      </c>
      <c r="DX725">
        <f>IF($DM725=0,"",IF($L$16=0,"",IFERROR(IF(ISNUMBER(INDEX(PASTE_ALL,$DF725,$L$16)),INDEX(PASTE_ALL,$DF725,$L$16),SUBSTITUTE(SUBSTITUTE(TRIM(SUBSTITUTE(SUBSTITUTE(SUBSTITUTE(SUBSTITUTE(INDEX(PASTE_ALL,$DF725,$L$16)," "," "),CHAR(9)," "),CHAR(10)," "),CHAR(13)," ")),",",""),"%","")),"")))</f>
        <v/>
      </c>
      <c r="DY725">
        <f>IF($DM725=0,"",IFERROR(IF(ISNUMBER($DX725),$DX725,IF($DX725="","",IF(TRIM($DX725)="",0,IF(AND(AND(SUBSTITUTE(SUBSTITUTE(SUBSTITUTE(SUBSTITUTE(SUBSTITUTE(SUBSTITUTE(SUBSTITUTE(SUBSTITUTE(SUBSTITUTE(SUBSTITUTE(SUBSTITUTE(SUBSTITUTE(SUBSTITUTE(SUBSTITUTE(UPPER(TRIM($DX725)),"0",""),"1",""),"2",""),"3",""),"4",""),"5",""),"6",""),"7",""),"8",""),"9",""),".",""),"+",""),"-",""),"E","")="",LEN(SUBSTITUTE(SUBSTITUTE(MID(UPPER(TRIM($DX725)),1+OR(LEFT(UPPER(TRIM($DX725)),1)="+",LEFT(UPPER(TRIM($DX725)),1)="-"),999),"E+","E"),"E-","E"))=LEN(SUBSTITUTE(SUBSTITUTE(SUBSTITUTE(SUBSTITUTE(MID(UPPER(TRIM($DX725)),1+OR(LEFT(UPPER(TRIM($DX725)),1)="+",LEFT(UPPER(TRIM($DX725)),1)="-"),999),"E+","E"),"E-","E"),"+",""),"-","")),LEN(UPPER(TRIM($DX725)))-LEN(SUBSTITUTE(UPPER(TRIM($DX725)),"E",""))&lt;2,LEN(UPPER(TRIM($DX725)))-LEN(SUBSTITUTE(UPPER(TRIM($DX725)),".",""))&lt;2,IFERROR(FIND(".",UPPER(TRIM($DX725))),0)&lt;IFERROR(FIND("E",UPPER(TRIM($DX725))),999)),ISNUMBER(VALUE(TRIM($DX725)))),VALUE(TRIM($DX725)),"")))),""))</f>
        <v/>
      </c>
      <c r="DZ725">
        <f>IF($DM725=0,"",IF($L$17=0,"",IFERROR(IF(ISNUMBER(INDEX(PASTE_ALL,$DF725,$L$17)),INDEX(PASTE_ALL,$DF725,$L$17),SUBSTITUTE(SUBSTITUTE(TRIM(SUBSTITUTE(SUBSTITUTE(SUBSTITUTE(SUBSTITUTE(INDEX(PASTE_ALL,$DF725,$L$17)," "," "),CHAR(9)," "),CHAR(10)," "),CHAR(13)," ")),",",""),"%","")),"")))</f>
        <v/>
      </c>
      <c r="EA725">
        <f>IF($DM725=0,"",IFERROR(IF(ISNUMBER($DZ725),$DZ725,IF($DZ725="","",IF(TRIM($DZ725)="",0,IF(AND(AND(SUBSTITUTE(SUBSTITUTE(SUBSTITUTE(SUBSTITUTE(SUBSTITUTE(SUBSTITUTE(SUBSTITUTE(SUBSTITUTE(SUBSTITUTE(SUBSTITUTE(SUBSTITUTE(SUBSTITUTE(SUBSTITUTE(SUBSTITUTE(UPPER(TRIM($DZ725)),"0",""),"1",""),"2",""),"3",""),"4",""),"5",""),"6",""),"7",""),"8",""),"9",""),".",""),"+",""),"-",""),"E","")="",LEN(SUBSTITUTE(SUBSTITUTE(MID(UPPER(TRIM($DZ725)),1+OR(LEFT(UPPER(TRIM($DZ725)),1)="+",LEFT(UPPER(TRIM($DZ725)),1)="-"),999),"E+","E"),"E-","E"))=LEN(SUBSTITUTE(SUBSTITUTE(SUBSTITUTE(SUBSTITUTE(MID(UPPER(TRIM($DZ725)),1+OR(LEFT(UPPER(TRIM($DZ725)),1)="+",LEFT(UPPER(TRIM($DZ725)),1)="-"),999),"E+","E"),"E-","E"),"+",""),"-","")),LEN(UPPER(TRIM($DZ725)))-LEN(SUBSTITUTE(UPPER(TRIM($DZ725)),"E",""))&lt;2,LEN(UPPER(TRIM($DZ725)))-LEN(SUBSTITUTE(UPPER(TRIM($DZ725)),".",""))&lt;2,IFERROR(FIND(".",UPPER(TRIM($DZ725))),0)&lt;IFERROR(FIND("E",UPPER(TRIM($DZ725))),999)),ISNUMBER(VALUE(TRIM($DZ725)))),VALUE(TRIM($DZ725)),"")))),""))</f>
        <v/>
      </c>
      <c r="EB725">
        <f>IF($DM725=0,"",IF($L$18=0,"",IFERROR(IF(UPPER(TRIM(SUBSTITUTE(SUBSTITUTE(SUBSTITUTE(SUBSTITUTE(INDEX(PASTE_ALL,$DF725,$L$18)," "," "),CHAR(9)," "),CHAR(10)," "),CHAR(13)," ")))="READY","Ready",IF(UPPER(TRIM(SUBSTITUTE(SUBSTITUTE(SUBSTITUTE(SUBSTITUTE(INDEX(PASTE_ALL,$DF725,$L$18)," "," "),CHAR(9)," "),CHAR(10)," "),CHAR(13)," ")))="PM","PM",IF(OR(UPPER(TRIM(SUBSTITUTE(SUBSTITUTE(SUBSTITUTE(SUBSTITUTE(INDEX(PASTE_ALL,$DF725,$L$18)," "," "),CHAR(9)," "),CHAR(10)," "),CHAR(13)," ")))="OT",UPPER(TRIM(SUBSTITUTE(SUBSTITUTE(SUBSTITUTE(SUBSTITUTE(INDEX(PASTE_ALL,$DF725,$L$18)," "," "),CHAR(9)," "),CHAR(10)," "),CHAR(13)," ")))="OVERTIME",UPPER(TRIM(SUBSTITUTE(SUBSTITUTE(SUBSTITUTE(SUBSTITUTE(INDEX(PASTE_ALL,$DF725,$L$18)," "," "),CHAR(9)," "),CHAR(10)," "),CHAR(13)," ")))="TRIAL"),"OT",TRIM(SUBSTITUTE(SUBSTITUTE(SUBSTITUTE(SUBSTITUTE(INDEX(PASTE_ALL,$DF725,$L$18)," "," "),CHAR(9)," "),CHAR(10)," "),CHAR(13)," "))))),"")))</f>
        <v/>
      </c>
      <c r="EC725">
        <f>IF($DM725=0,"",IF($L$19=0,"",IFERROR(IF(ISNUMBER(INDEX(PASTE_ALL,$DF725,$L$19)),INDEX(PASTE_ALL,$DF725,$L$19),TRIM(SUBSTITUTE(SUBSTITUTE(SUBSTITUTE(SUBSTITUTE(INDEX(PASTE_ALL,$DF725,$L$19)," "," "),CHAR(9)," "),CHAR(10)," "),CHAR(13)," "))),"")))</f>
        <v/>
      </c>
      <c r="ED725">
        <f>IF($DM725=0,"",MATCH(1,INDEX(EXACT($DH$5:DH725,$DH725)*$DM$5:DM725,0),0))</f>
        <v/>
      </c>
      <c r="EE725">
        <f>IF($DM725=0,0,IF($ED725=$DE725,1,0))</f>
        <v/>
      </c>
      <c r="EF725">
        <f>EF724+$EE725</f>
        <v/>
      </c>
      <c r="EG725">
        <f>IF($DM725=0,"",INDEX($EF$5:$EF$1003,$ED725))</f>
        <v/>
      </c>
      <c r="EH725">
        <f>IF($DM725=0,"",IF($DO725&lt;&gt;"","",IFERROR(LOOKUP(2,1/(($EG$4:EG724=$EG725)*($DO$4:DO724&lt;&gt;"")),$DO$4:DO724),"")))</f>
        <v/>
      </c>
      <c r="EI725">
        <f>IF($DM725=0,"",IF($DO725&lt;&gt;"",$DO725,$EH725))</f>
        <v/>
      </c>
      <c r="EJ725">
        <f>IF($DM725=0,"",IF($EI725="",0,IF(OR(ISNUMBER($EI725),AND(AND(SUBSTITUTE(SUBSTITUTE(SUBSTITUTE(SUBSTITUTE(SUBSTITUTE(SUBSTITUTE(SUBSTITUTE(SUBSTITUTE(SUBSTITUTE(SUBSTITUTE(SUBSTITUTE(SUBSTITUTE(SUBSTITUTE(SUBSTITUTE(UPPER($EI725),"0",""),"1",""),"2",""),"3",""),"4",""),"5",""),"6",""),"7",""),"8",""),"9",""),".",""),"+",""),"-",""),"E","")="",LEN(SUBSTITUTE(SUBSTITUTE(MID(UPPER($EI725),1+OR(LEFT(UPPER($EI725),1)="+",LEFT(UPPER($EI725),1)="-"),999),"E+","E"),"E-","E"))=LEN(SUBSTITUTE(SUBSTITUTE(SUBSTITUTE(SUBSTITUTE(MID(UPPER($EI725),1+OR(LEFT(UPPER($EI725),1)="+",LEFT(UPPER($EI725),1)="-"),999),"E+","E"),"E-","E"),"+",""),"-","")),LEN(UPPER($EI725))-LEN(SUBSTITUTE(UPPER($EI725),"E",""))&lt;2,LEN(UPPER($EI725))-LEN(SUBSTITUTE(UPPER($EI725),".",""))&lt;2,IFERROR(FIND(".",UPPER($EI725)),0)&lt;IFERROR(FIND("E",UPPER($EI725)),999)),ISNUMBER(VALUE($EI725)))),1,2)))</f>
        <v/>
      </c>
      <c r="EK725">
        <f>IF($DM725=0,"",IF($EJ725=1,IF(ISNUMBER($EI725),$EI725,VALUE($EI725)),IF($EJ725=2,$DE725,0)))</f>
        <v/>
      </c>
      <c r="EL725">
        <f>IF($DM725=0,"",COUNTIF($EG$5:$EG$1003,"&lt;"&amp;$EG725)+SUMPRODUCT(($EG$5:$EG$1003=$EG725)*(($EJ$5:$EJ$1003&lt;$EJ725)+($EJ$5:$EJ$1003=$EJ725)*(($EK$5:$EK$1003&lt;$EK725)+($EK$5:$EK$1003=$EK725)*($DE$5:$DE$1003&lt;$DE725))))+1)</f>
        <v/>
      </c>
      <c r="EM725">
        <f>IF($DM725=0,"",$EL725+$EG725-1)</f>
        <v/>
      </c>
      <c r="EN725">
        <f>IF($DM725=0,0,IFERROR(MATCH(1,INDEX(--(TRIM(SUBSTITUTE(SUBSTITUTE(SUBSTITUTE(SUBSTITUTE(LINES_NAME&amp;""," "," "),CHAR(9)," "),CHAR(10)," "),CHAR(13)," "))=$DH725),0),0),0))</f>
        <v/>
      </c>
      <c r="EO725">
        <f>IF($EN725=0,0,IF(OR(UPPER(TRIM(INDEX(LINES_SCHEDULED,$EN725)&amp;""))="YES",UPPER(TRIM(INDEX(LINES_SCHEDULED,$EN725)&amp;""))="Y",UPPER(TRIM(INDEX(LINES_SCHEDULED,$EN725)&amp;""))="X"),1,0))</f>
        <v/>
      </c>
      <c r="EP725">
        <f>IF($DM725=0,"",IF(COUNTIFS($EG$5:$EG$1003,$EG725,$EB$5:$EB$1003,"Ready")&gt;0,"READY",IF(COUNTIFS($EG$5:$EG$1003,$EG725,$EB$5:$EB$1003,"PM")&gt;0,"PM",IF(COUNTIFS($EG$5:$EG$1003,$EG725,$EB$5:$EB$1003,"OT")&gt;0,"OT",""))))</f>
        <v/>
      </c>
      <c r="EQ725">
        <f>IF($EN725=0,"",UPPER(TRIM(INDEX(LINES_STATUS,$EN725)&amp;"")))</f>
        <v/>
      </c>
      <c r="ER725">
        <f>IF($DM725=0,"",IF(OR($EQ725="READY",$EQ725="PM",$EQ725="OT"),$EQ725,$EP725))</f>
        <v/>
      </c>
      <c r="ES725">
        <f>IF($DM725=0,"",IF(AND($DV725&lt;&gt;"",UPPER($DV725)&lt;&gt;"N"),"allergen",IF(ISNUMBER(SEARCH("oil",$DQ725)),"oil",IF(OR(EXACT($DS725,"A662"),EXACT($DS725,"A624")),"bulk",""))))</f>
        <v/>
      </c>
      <c r="ET725">
        <f>IF($DM725=0,"",IF(OR($EA725="",$EA725=0),"",$EA725/100))</f>
        <v/>
      </c>
      <c r="EU725">
        <f>IF(OR($ET725="",$DY725=""),"",INT($DY725*(1-$ET725)+0.5))</f>
        <v/>
      </c>
    </row>
    <row r="726">
      <c r="DA726" t="n">
        <v>722</v>
      </c>
      <c r="DB726">
        <f>IF($B$37=0,"",IFERROR(TRIM(SUBSTITUTE(SUBSTITUTE(SUBSTITUTE(SUBSTITUTE(INDEX(PASTE_ALL,722,$B$37)," "," "),CHAR(9)," "),CHAR(10)," "),CHAR(13)," ")),""))</f>
        <v/>
      </c>
      <c r="DC726">
        <f>IF(AND(722&gt;HEADER_ROW,UPPER(DB726)="LEGEND"),1,0)</f>
        <v/>
      </c>
      <c r="DE726" t="n">
        <v>722</v>
      </c>
      <c r="DF726">
        <f>HEADER_ROW+$DE726</f>
        <v/>
      </c>
      <c r="DG726">
        <f>IF(AND($DF726&lt;=1000,$DF726&lt;$B$8),1,0)</f>
        <v/>
      </c>
      <c r="DH726">
        <f>IF($DG726=1,IFERROR(INDEX($DB$5:$DB$1004,$DF726),""),"")</f>
        <v/>
      </c>
      <c r="DI726">
        <f>IF(AND($DG726=1,$DH726&lt;&gt;""),IFERROR(SUBSTITUTE(SUBSTITUTE(TRIM(SUBSTITUTE(SUBSTITUTE(SUBSTITUTE(SUBSTITUTE(IFERROR(INDEX(PASTE_ALL,$DF726,1)&amp;"","")&amp;"␟"&amp;IFERROR(INDEX(PASTE_ALL,$DF726,2)&amp;"","")&amp;"␟"&amp;IFERROR(INDEX(PASTE_ALL,$DF726,3)&amp;"","")&amp;"␟"&amp;IFERROR(INDEX(PASTE_ALL,$DF726,4)&amp;"","")&amp;"␟"&amp;IFERROR(INDEX(PASTE_ALL,$DF726,5)&amp;"","")&amp;"␟"&amp;IFERROR(INDEX(PASTE_ALL,$DF726,6)&amp;"","")&amp;"␟"&amp;IFERROR(INDEX(PASTE_ALL,$DF726,7)&amp;"","")&amp;"␟"&amp;IFERROR(INDEX(PASTE_ALL,$DF726,8)&amp;"","")&amp;"␟"&amp;IFERROR(INDEX(PASTE_ALL,$DF726,9)&amp;"","")&amp;"␟"&amp;IFERROR(INDEX(PASTE_ALL,$DF726,10)&amp;"","")&amp;"␟"&amp;IFERROR(INDEX(PASTE_ALL,$DF726,11)&amp;"","")&amp;"␟"&amp;IFERROR(INDEX(PASTE_ALL,$DF726,12)&amp;"","")&amp;"␟"&amp;IFERROR(INDEX(PASTE_ALL,$DF726,13)&amp;"","")&amp;"␟"&amp;IFERROR(INDEX(PASTE_ALL,$DF726,14)&amp;"","")&amp;"␟"&amp;IFERROR(INDEX(PASTE_ALL,$DF726,15)&amp;"","")&amp;"␟"&amp;IFERROR(INDEX(PASTE_ALL,$DF726,16)&amp;"","")&amp;"␟"&amp;IFERROR(INDEX(PASTE_ALL,$DF726,17)&amp;"","")&amp;"␟"&amp;IFERROR(INDEX(PASTE_ALL,$DF726,18)&amp;"","")&amp;"␟"&amp;IFERROR(INDEX(PASTE_ALL,$DF726,19)&amp;"","")&amp;"␟"&amp;IFERROR(INDEX(PASTE_ALL,$DF726,20)&amp;"","")&amp;"␟"&amp;IFERROR(INDEX(PASTE_ALL,$DF726,21)&amp;"","")&amp;"␟"&amp;IFERROR(INDEX(PASTE_ALL,$DF726,22)&amp;"","")&amp;"␟"&amp;IFERROR(INDEX(PASTE_ALL,$DF726,23)&amp;"","")&amp;"␟"&amp;IFERROR(INDEX(PASTE_ALL,$DF726,24)&amp;"","")&amp;"␟"&amp;IFERROR(INDEX(PASTE_ALL,$DF726,25)&amp;"","")&amp;"␟"&amp;IFERROR(INDEX(PASTE_ALL,$DF726,26)&amp;"","")&amp;"␟"&amp;IFERROR(INDEX(PASTE_ALL,$DF726,27)&amp;"","")&amp;"␟"&amp;IFERROR(INDEX(PASTE_ALL,$DF726,28)&amp;"","")&amp;"␟"&amp;IFERROR(INDEX(PASTE_ALL,$DF726,29)&amp;"","")&amp;"␟"&amp;IFERROR(INDEX(PASTE_ALL,$DF726,30)&amp;"","")&amp;"␟"&amp;IFERROR(INDEX(PASTE_ALL,$DF726,31)&amp;"","")&amp;"␟"&amp;IFERROR(INDEX(PASTE_ALL,$DF726,32)&amp;"","")&amp;"␟"&amp;IFERROR(INDEX(PASTE_ALL,$DF726,33)&amp;"","")&amp;"␟"&amp;IFERROR(INDEX(PASTE_ALL,$DF726,34)&amp;"","")&amp;"␟"&amp;IFERROR(INDEX(PASTE_ALL,$DF726,35)&amp;"","")&amp;"␟"&amp;IFERROR(INDEX(PASTE_ALL,$DF726,36)&amp;"","")&amp;"␟"&amp;IFERROR(INDEX(PASTE_ALL,$DF726,37)&amp;"","")&amp;"␟"&amp;IFERROR(INDEX(PASTE_ALL,$DF726,38)&amp;"","")&amp;"␟"&amp;IFERROR(INDEX(PASTE_ALL,$DF726,39)&amp;"","")&amp;"␟"&amp;IFERROR(INDEX(PASTE_ALL,$DF726,40)&amp;"","")&amp;"␟"&amp;IFERROR(INDEX(PASTE_ALL,$DF726,41)&amp;"","")&amp;"␟"&amp;IFERROR(INDEX(PASTE_ALL,$DF726,42)&amp;"","")&amp;"␟"&amp;IFERROR(INDEX(PASTE_ALL,$DF726,43)&amp;"","")&amp;"␟"&amp;IFERROR(INDEX(PASTE_ALL,$DF726,44)&amp;"","")&amp;"␟"&amp;IFERROR(INDEX(PASTE_ALL,$DF726,45)&amp;"","")&amp;"␟"&amp;IFERROR(INDEX(PASTE_ALL,$DF726,46)&amp;"","")&amp;"␟"&amp;IFERROR(INDEX(PASTE_ALL,$DF726,47)&amp;"","")&amp;"␟"&amp;IFERROR(INDEX(PASTE_ALL,$DF726,48)&amp;"","")&amp;"␟"&amp;IFERROR(INDEX(PASTE_ALL,$DF726,49)&amp;"","")&amp;"␟"&amp;IFERROR(INDEX(PASTE_ALL,$DF726,50)&amp;"","")&amp;"␟"&amp;IFERROR(INDEX(PASTE_ALL,$DF726,51)&amp;"","")&amp;"␟"&amp;IFERROR(INDEX(PASTE_ALL,$DF726,52)&amp;"","")&amp;"␟"&amp;IFERROR(INDEX(PASTE_ALL,$DF726,53)&amp;"","")&amp;"␟"&amp;IFERROR(INDEX(PASTE_ALL,$DF726,54)&amp;"","")&amp;"␟"&amp;IFERROR(INDEX(PASTE_ALL,$DF726,55)&amp;"","")&amp;"␟"&amp;IFERROR(INDEX(PASTE_ALL,$DF726,56)&amp;"","")&amp;"␟"&amp;IFERROR(INDEX(PASTE_ALL,$DF726,57)&amp;"","")&amp;"␟"&amp;IFERROR(INDEX(PASTE_ALL,$DF726,58)&amp;"","")&amp;"␟"&amp;IFERROR(INDEX(PASTE_ALL,$DF726,59)&amp;"","")&amp;"␟"&amp;IFERROR(INDEX(PASTE_ALL,$DF726,60)&amp;"","")," "," "),CHAR(9)," "),CHAR(10)," "),CHAR(13)," "))," ␟","␟"),"␟ ","␟"),"#"&amp;$DE726),"")</f>
        <v/>
      </c>
      <c r="DJ726">
        <f>IF($DI726="",0,IF(SUMPRODUCT(--EXACT($DI$4:DI725,$DI726))&gt;0,1,0))</f>
        <v/>
      </c>
      <c r="DK726">
        <f>IF(AND($DI726&lt;&gt;"",$DJ726=0),1,0)</f>
        <v/>
      </c>
      <c r="DL726">
        <f>DL725+$DK726</f>
        <v/>
      </c>
      <c r="DM726">
        <f>IF(AND($DK726=1,$DL726&lt;=600),1,0)</f>
        <v/>
      </c>
      <c r="DN726">
        <f>IF($DM726=0,"",IF($L$6=0,"",IFERROR(IF(ISNUMBER(INDEX(PASTE_ALL,$DF726,$L$6)),INDEX(PASTE_ALL,$DF726,$L$6),TRIM(SUBSTITUTE(SUBSTITUTE(SUBSTITUTE(SUBSTITUTE(INDEX(PASTE_ALL,$DF726,$L$6)," "," "),CHAR(9)," "),CHAR(10)," "),CHAR(13)," "))),"")))</f>
        <v/>
      </c>
      <c r="DO726">
        <f>IF($DM726=0,"",IF($L$7=0,"",IFERROR(IF(ISNUMBER(INDEX(PASTE_ALL,$DF726,$L$7)),INDEX(PASTE_ALL,$DF726,$L$7),TRIM(SUBSTITUTE(SUBSTITUTE(SUBSTITUTE(SUBSTITUTE(INDEX(PASTE_ALL,$DF726,$L$7)," "," "),CHAR(9)," "),CHAR(10)," "),CHAR(13)," "))),"")))</f>
        <v/>
      </c>
      <c r="DP726">
        <f>IF($DM726=0,"",IF($L$8=0,"",IFERROR(IF(ISNUMBER(INDEX(PASTE_ALL,$DF726,$L$8)),INDEX(PASTE_ALL,$DF726,$L$8),TRIM(SUBSTITUTE(SUBSTITUTE(SUBSTITUTE(SUBSTITUTE(INDEX(PASTE_ALL,$DF726,$L$8)," "," "),CHAR(9)," "),CHAR(10)," "),CHAR(13)," "))),"")))</f>
        <v/>
      </c>
      <c r="DQ726">
        <f>IF($DM726=0,"",IF($L$9=0,"",IFERROR(IF(ISNUMBER(INDEX(PASTE_ALL,$DF726,$L$9)),INDEX(PASTE_ALL,$DF726,$L$9),TRIM(SUBSTITUTE(SUBSTITUTE(SUBSTITUTE(SUBSTITUTE(INDEX(PASTE_ALL,$DF726,$L$9)," "," "),CHAR(9)," "),CHAR(10)," "),CHAR(13)," "))),"")))</f>
        <v/>
      </c>
      <c r="DR726">
        <f>IF($DM726=0,"",IF($L$10=0,"",IFERROR(IF(ISNUMBER(INDEX(PASTE_ALL,$DF726,$L$10)),INDEX(PASTE_ALL,$DF726,$L$10),TRIM(SUBSTITUTE(SUBSTITUTE(SUBSTITUTE(SUBSTITUTE(INDEX(PASTE_ALL,$DF726,$L$10)," "," "),CHAR(9)," "),CHAR(10)," "),CHAR(13)," "))),"")))</f>
        <v/>
      </c>
      <c r="DS726">
        <f>IF($DM726=0,"",IF($L$11=0,"",IFERROR(IF(ISNUMBER(INDEX(PASTE_ALL,$DF726,$L$11)),INDEX(PASTE_ALL,$DF726,$L$11),TRIM(SUBSTITUTE(SUBSTITUTE(SUBSTITUTE(SUBSTITUTE(INDEX(PASTE_ALL,$DF726,$L$11)," "," "),CHAR(9)," "),CHAR(10)," "),CHAR(13)," "))),"")))</f>
        <v/>
      </c>
      <c r="DT726">
        <f>IF($DM726=0,"",IF($L$12=0,"",IFERROR(IF(ISNUMBER(INDEX(PASTE_ALL,$DF726,$L$12)),INDEX(PASTE_ALL,$DF726,$L$12),TRIM(SUBSTITUTE(SUBSTITUTE(SUBSTITUTE(SUBSTITUTE(INDEX(PASTE_ALL,$DF726,$L$12)," "," "),CHAR(9)," "),CHAR(10)," "),CHAR(13)," "))),"")))</f>
        <v/>
      </c>
      <c r="DU726">
        <f>IF($DM726=0,"",IF($L$13=0,"",IFERROR(IF(ISNUMBER(INDEX(PASTE_ALL,$DF726,$L$13)),INDEX(PASTE_ALL,$DF726,$L$13),TRIM(SUBSTITUTE(SUBSTITUTE(SUBSTITUTE(SUBSTITUTE(INDEX(PASTE_ALL,$DF726,$L$13)," "," "),CHAR(9)," "),CHAR(10)," "),CHAR(13)," "))),"")))</f>
        <v/>
      </c>
      <c r="DV726">
        <f>IF($DM726=0,"",IF($L$14=0,"",IFERROR(IF(ISNUMBER(INDEX(PASTE_ALL,$DF726,$L$14)),INDEX(PASTE_ALL,$DF726,$L$14),TRIM(SUBSTITUTE(SUBSTITUTE(SUBSTITUTE(SUBSTITUTE(INDEX(PASTE_ALL,$DF726,$L$14)," "," "),CHAR(9)," "),CHAR(10)," "),CHAR(13)," "))),"")))</f>
        <v/>
      </c>
      <c r="DW726">
        <f>IF($DM726=0,"",IF($L$15=0,"",IFERROR(IF(ISNUMBER(INDEX(PASTE_ALL,$DF726,$L$15)),INDEX(PASTE_ALL,$DF726,$L$15),IF(SUMPRODUCT(--ISNUMBER(FIND({"A","B","C","D","E","F","G","H","I","J","K","L","M","N","O","P","Q","R","S","T","U","V","W","X","Y","Z","0","1","2","3","4","5","6","7","8","9"},UPPER(TRIM(SUBSTITUTE(SUBSTITUTE(SUBSTITUTE(SUBSTITUTE(INDEX(PASTE_ALL,$DF726,$L$15)," "," "),CHAR(9)," "),CHAR(10)," "),CHAR(13)," "))))))&gt;0,TRIM(SUBSTITUTE(SUBSTITUTE(SUBSTITUTE(SUBSTITUTE(INDEX(PASTE_ALL,$DF726,$L$15)," "," "),CHAR(9)," "),CHAR(10)," "),CHAR(13)," ")),"")),"")))</f>
        <v/>
      </c>
      <c r="DX726">
        <f>IF($DM726=0,"",IF($L$16=0,"",IFERROR(IF(ISNUMBER(INDEX(PASTE_ALL,$DF726,$L$16)),INDEX(PASTE_ALL,$DF726,$L$16),SUBSTITUTE(SUBSTITUTE(TRIM(SUBSTITUTE(SUBSTITUTE(SUBSTITUTE(SUBSTITUTE(INDEX(PASTE_ALL,$DF726,$L$16)," "," "),CHAR(9)," "),CHAR(10)," "),CHAR(13)," ")),",",""),"%","")),"")))</f>
        <v/>
      </c>
      <c r="DY726">
        <f>IF($DM726=0,"",IFERROR(IF(ISNUMBER($DX726),$DX726,IF($DX726="","",IF(TRIM($DX726)="",0,IF(AND(AND(SUBSTITUTE(SUBSTITUTE(SUBSTITUTE(SUBSTITUTE(SUBSTITUTE(SUBSTITUTE(SUBSTITUTE(SUBSTITUTE(SUBSTITUTE(SUBSTITUTE(SUBSTITUTE(SUBSTITUTE(SUBSTITUTE(SUBSTITUTE(UPPER(TRIM($DX726)),"0",""),"1",""),"2",""),"3",""),"4",""),"5",""),"6",""),"7",""),"8",""),"9",""),".",""),"+",""),"-",""),"E","")="",LEN(SUBSTITUTE(SUBSTITUTE(MID(UPPER(TRIM($DX726)),1+OR(LEFT(UPPER(TRIM($DX726)),1)="+",LEFT(UPPER(TRIM($DX726)),1)="-"),999),"E+","E"),"E-","E"))=LEN(SUBSTITUTE(SUBSTITUTE(SUBSTITUTE(SUBSTITUTE(MID(UPPER(TRIM($DX726)),1+OR(LEFT(UPPER(TRIM($DX726)),1)="+",LEFT(UPPER(TRIM($DX726)),1)="-"),999),"E+","E"),"E-","E"),"+",""),"-","")),LEN(UPPER(TRIM($DX726)))-LEN(SUBSTITUTE(UPPER(TRIM($DX726)),"E",""))&lt;2,LEN(UPPER(TRIM($DX726)))-LEN(SUBSTITUTE(UPPER(TRIM($DX726)),".",""))&lt;2,IFERROR(FIND(".",UPPER(TRIM($DX726))),0)&lt;IFERROR(FIND("E",UPPER(TRIM($DX726))),999)),ISNUMBER(VALUE(TRIM($DX726)))),VALUE(TRIM($DX726)),"")))),""))</f>
        <v/>
      </c>
      <c r="DZ726">
        <f>IF($DM726=0,"",IF($L$17=0,"",IFERROR(IF(ISNUMBER(INDEX(PASTE_ALL,$DF726,$L$17)),INDEX(PASTE_ALL,$DF726,$L$17),SUBSTITUTE(SUBSTITUTE(TRIM(SUBSTITUTE(SUBSTITUTE(SUBSTITUTE(SUBSTITUTE(INDEX(PASTE_ALL,$DF726,$L$17)," "," "),CHAR(9)," "),CHAR(10)," "),CHAR(13)," ")),",",""),"%","")),"")))</f>
        <v/>
      </c>
      <c r="EA726">
        <f>IF($DM726=0,"",IFERROR(IF(ISNUMBER($DZ726),$DZ726,IF($DZ726="","",IF(TRIM($DZ726)="",0,IF(AND(AND(SUBSTITUTE(SUBSTITUTE(SUBSTITUTE(SUBSTITUTE(SUBSTITUTE(SUBSTITUTE(SUBSTITUTE(SUBSTITUTE(SUBSTITUTE(SUBSTITUTE(SUBSTITUTE(SUBSTITUTE(SUBSTITUTE(SUBSTITUTE(UPPER(TRIM($DZ726)),"0",""),"1",""),"2",""),"3",""),"4",""),"5",""),"6",""),"7",""),"8",""),"9",""),".",""),"+",""),"-",""),"E","")="",LEN(SUBSTITUTE(SUBSTITUTE(MID(UPPER(TRIM($DZ726)),1+OR(LEFT(UPPER(TRIM($DZ726)),1)="+",LEFT(UPPER(TRIM($DZ726)),1)="-"),999),"E+","E"),"E-","E"))=LEN(SUBSTITUTE(SUBSTITUTE(SUBSTITUTE(SUBSTITUTE(MID(UPPER(TRIM($DZ726)),1+OR(LEFT(UPPER(TRIM($DZ726)),1)="+",LEFT(UPPER(TRIM($DZ726)),1)="-"),999),"E+","E"),"E-","E"),"+",""),"-","")),LEN(UPPER(TRIM($DZ726)))-LEN(SUBSTITUTE(UPPER(TRIM($DZ726)),"E",""))&lt;2,LEN(UPPER(TRIM($DZ726)))-LEN(SUBSTITUTE(UPPER(TRIM($DZ726)),".",""))&lt;2,IFERROR(FIND(".",UPPER(TRIM($DZ726))),0)&lt;IFERROR(FIND("E",UPPER(TRIM($DZ726))),999)),ISNUMBER(VALUE(TRIM($DZ726)))),VALUE(TRIM($DZ726)),"")))),""))</f>
        <v/>
      </c>
      <c r="EB726">
        <f>IF($DM726=0,"",IF($L$18=0,"",IFERROR(IF(UPPER(TRIM(SUBSTITUTE(SUBSTITUTE(SUBSTITUTE(SUBSTITUTE(INDEX(PASTE_ALL,$DF726,$L$18)," "," "),CHAR(9)," "),CHAR(10)," "),CHAR(13)," ")))="READY","Ready",IF(UPPER(TRIM(SUBSTITUTE(SUBSTITUTE(SUBSTITUTE(SUBSTITUTE(INDEX(PASTE_ALL,$DF726,$L$18)," "," "),CHAR(9)," "),CHAR(10)," "),CHAR(13)," ")))="PM","PM",IF(OR(UPPER(TRIM(SUBSTITUTE(SUBSTITUTE(SUBSTITUTE(SUBSTITUTE(INDEX(PASTE_ALL,$DF726,$L$18)," "," "),CHAR(9)," "),CHAR(10)," "),CHAR(13)," ")))="OT",UPPER(TRIM(SUBSTITUTE(SUBSTITUTE(SUBSTITUTE(SUBSTITUTE(INDEX(PASTE_ALL,$DF726,$L$18)," "," "),CHAR(9)," "),CHAR(10)," "),CHAR(13)," ")))="OVERTIME",UPPER(TRIM(SUBSTITUTE(SUBSTITUTE(SUBSTITUTE(SUBSTITUTE(INDEX(PASTE_ALL,$DF726,$L$18)," "," "),CHAR(9)," "),CHAR(10)," "),CHAR(13)," ")))="TRIAL"),"OT",TRIM(SUBSTITUTE(SUBSTITUTE(SUBSTITUTE(SUBSTITUTE(INDEX(PASTE_ALL,$DF726,$L$18)," "," "),CHAR(9)," "),CHAR(10)," "),CHAR(13)," "))))),"")))</f>
        <v/>
      </c>
      <c r="EC726">
        <f>IF($DM726=0,"",IF($L$19=0,"",IFERROR(IF(ISNUMBER(INDEX(PASTE_ALL,$DF726,$L$19)),INDEX(PASTE_ALL,$DF726,$L$19),TRIM(SUBSTITUTE(SUBSTITUTE(SUBSTITUTE(SUBSTITUTE(INDEX(PASTE_ALL,$DF726,$L$19)," "," "),CHAR(9)," "),CHAR(10)," "),CHAR(13)," "))),"")))</f>
        <v/>
      </c>
      <c r="ED726">
        <f>IF($DM726=0,"",MATCH(1,INDEX(EXACT($DH$5:DH726,$DH726)*$DM$5:DM726,0),0))</f>
        <v/>
      </c>
      <c r="EE726">
        <f>IF($DM726=0,0,IF($ED726=$DE726,1,0))</f>
        <v/>
      </c>
      <c r="EF726">
        <f>EF725+$EE726</f>
        <v/>
      </c>
      <c r="EG726">
        <f>IF($DM726=0,"",INDEX($EF$5:$EF$1003,$ED726))</f>
        <v/>
      </c>
      <c r="EH726">
        <f>IF($DM726=0,"",IF($DO726&lt;&gt;"","",IFERROR(LOOKUP(2,1/(($EG$4:EG725=$EG726)*($DO$4:DO725&lt;&gt;"")),$DO$4:DO725),"")))</f>
        <v/>
      </c>
      <c r="EI726">
        <f>IF($DM726=0,"",IF($DO726&lt;&gt;"",$DO726,$EH726))</f>
        <v/>
      </c>
      <c r="EJ726">
        <f>IF($DM726=0,"",IF($EI726="",0,IF(OR(ISNUMBER($EI726),AND(AND(SUBSTITUTE(SUBSTITUTE(SUBSTITUTE(SUBSTITUTE(SUBSTITUTE(SUBSTITUTE(SUBSTITUTE(SUBSTITUTE(SUBSTITUTE(SUBSTITUTE(SUBSTITUTE(SUBSTITUTE(SUBSTITUTE(SUBSTITUTE(UPPER($EI726),"0",""),"1",""),"2",""),"3",""),"4",""),"5",""),"6",""),"7",""),"8",""),"9",""),".",""),"+",""),"-",""),"E","")="",LEN(SUBSTITUTE(SUBSTITUTE(MID(UPPER($EI726),1+OR(LEFT(UPPER($EI726),1)="+",LEFT(UPPER($EI726),1)="-"),999),"E+","E"),"E-","E"))=LEN(SUBSTITUTE(SUBSTITUTE(SUBSTITUTE(SUBSTITUTE(MID(UPPER($EI726),1+OR(LEFT(UPPER($EI726),1)="+",LEFT(UPPER($EI726),1)="-"),999),"E+","E"),"E-","E"),"+",""),"-","")),LEN(UPPER($EI726))-LEN(SUBSTITUTE(UPPER($EI726),"E",""))&lt;2,LEN(UPPER($EI726))-LEN(SUBSTITUTE(UPPER($EI726),".",""))&lt;2,IFERROR(FIND(".",UPPER($EI726)),0)&lt;IFERROR(FIND("E",UPPER($EI726)),999)),ISNUMBER(VALUE($EI726)))),1,2)))</f>
        <v/>
      </c>
      <c r="EK726">
        <f>IF($DM726=0,"",IF($EJ726=1,IF(ISNUMBER($EI726),$EI726,VALUE($EI726)),IF($EJ726=2,$DE726,0)))</f>
        <v/>
      </c>
      <c r="EL726">
        <f>IF($DM726=0,"",COUNTIF($EG$5:$EG$1003,"&lt;"&amp;$EG726)+SUMPRODUCT(($EG$5:$EG$1003=$EG726)*(($EJ$5:$EJ$1003&lt;$EJ726)+($EJ$5:$EJ$1003=$EJ726)*(($EK$5:$EK$1003&lt;$EK726)+($EK$5:$EK$1003=$EK726)*($DE$5:$DE$1003&lt;$DE726))))+1)</f>
        <v/>
      </c>
      <c r="EM726">
        <f>IF($DM726=0,"",$EL726+$EG726-1)</f>
        <v/>
      </c>
      <c r="EN726">
        <f>IF($DM726=0,0,IFERROR(MATCH(1,INDEX(--(TRIM(SUBSTITUTE(SUBSTITUTE(SUBSTITUTE(SUBSTITUTE(LINES_NAME&amp;""," "," "),CHAR(9)," "),CHAR(10)," "),CHAR(13)," "))=$DH726),0),0),0))</f>
        <v/>
      </c>
      <c r="EO726">
        <f>IF($EN726=0,0,IF(OR(UPPER(TRIM(INDEX(LINES_SCHEDULED,$EN726)&amp;""))="YES",UPPER(TRIM(INDEX(LINES_SCHEDULED,$EN726)&amp;""))="Y",UPPER(TRIM(INDEX(LINES_SCHEDULED,$EN726)&amp;""))="X"),1,0))</f>
        <v/>
      </c>
      <c r="EP726">
        <f>IF($DM726=0,"",IF(COUNTIFS($EG$5:$EG$1003,$EG726,$EB$5:$EB$1003,"Ready")&gt;0,"READY",IF(COUNTIFS($EG$5:$EG$1003,$EG726,$EB$5:$EB$1003,"PM")&gt;0,"PM",IF(COUNTIFS($EG$5:$EG$1003,$EG726,$EB$5:$EB$1003,"OT")&gt;0,"OT",""))))</f>
        <v/>
      </c>
      <c r="EQ726">
        <f>IF($EN726=0,"",UPPER(TRIM(INDEX(LINES_STATUS,$EN726)&amp;"")))</f>
        <v/>
      </c>
      <c r="ER726">
        <f>IF($DM726=0,"",IF(OR($EQ726="READY",$EQ726="PM",$EQ726="OT"),$EQ726,$EP726))</f>
        <v/>
      </c>
      <c r="ES726">
        <f>IF($DM726=0,"",IF(AND($DV726&lt;&gt;"",UPPER($DV726)&lt;&gt;"N"),"allergen",IF(ISNUMBER(SEARCH("oil",$DQ726)),"oil",IF(OR(EXACT($DS726,"A662"),EXACT($DS726,"A624")),"bulk",""))))</f>
        <v/>
      </c>
      <c r="ET726">
        <f>IF($DM726=0,"",IF(OR($EA726="",$EA726=0),"",$EA726/100))</f>
        <v/>
      </c>
      <c r="EU726">
        <f>IF(OR($ET726="",$DY726=""),"",INT($DY726*(1-$ET726)+0.5))</f>
        <v/>
      </c>
    </row>
    <row r="727">
      <c r="DA727" t="n">
        <v>723</v>
      </c>
      <c r="DB727">
        <f>IF($B$37=0,"",IFERROR(TRIM(SUBSTITUTE(SUBSTITUTE(SUBSTITUTE(SUBSTITUTE(INDEX(PASTE_ALL,723,$B$37)," "," "),CHAR(9)," "),CHAR(10)," "),CHAR(13)," ")),""))</f>
        <v/>
      </c>
      <c r="DC727">
        <f>IF(AND(723&gt;HEADER_ROW,UPPER(DB727)="LEGEND"),1,0)</f>
        <v/>
      </c>
      <c r="DE727" t="n">
        <v>723</v>
      </c>
      <c r="DF727">
        <f>HEADER_ROW+$DE727</f>
        <v/>
      </c>
      <c r="DG727">
        <f>IF(AND($DF727&lt;=1000,$DF727&lt;$B$8),1,0)</f>
        <v/>
      </c>
      <c r="DH727">
        <f>IF($DG727=1,IFERROR(INDEX($DB$5:$DB$1004,$DF727),""),"")</f>
        <v/>
      </c>
      <c r="DI727">
        <f>IF(AND($DG727=1,$DH727&lt;&gt;""),IFERROR(SUBSTITUTE(SUBSTITUTE(TRIM(SUBSTITUTE(SUBSTITUTE(SUBSTITUTE(SUBSTITUTE(IFERROR(INDEX(PASTE_ALL,$DF727,1)&amp;"","")&amp;"␟"&amp;IFERROR(INDEX(PASTE_ALL,$DF727,2)&amp;"","")&amp;"␟"&amp;IFERROR(INDEX(PASTE_ALL,$DF727,3)&amp;"","")&amp;"␟"&amp;IFERROR(INDEX(PASTE_ALL,$DF727,4)&amp;"","")&amp;"␟"&amp;IFERROR(INDEX(PASTE_ALL,$DF727,5)&amp;"","")&amp;"␟"&amp;IFERROR(INDEX(PASTE_ALL,$DF727,6)&amp;"","")&amp;"␟"&amp;IFERROR(INDEX(PASTE_ALL,$DF727,7)&amp;"","")&amp;"␟"&amp;IFERROR(INDEX(PASTE_ALL,$DF727,8)&amp;"","")&amp;"␟"&amp;IFERROR(INDEX(PASTE_ALL,$DF727,9)&amp;"","")&amp;"␟"&amp;IFERROR(INDEX(PASTE_ALL,$DF727,10)&amp;"","")&amp;"␟"&amp;IFERROR(INDEX(PASTE_ALL,$DF727,11)&amp;"","")&amp;"␟"&amp;IFERROR(INDEX(PASTE_ALL,$DF727,12)&amp;"","")&amp;"␟"&amp;IFERROR(INDEX(PASTE_ALL,$DF727,13)&amp;"","")&amp;"␟"&amp;IFERROR(INDEX(PASTE_ALL,$DF727,14)&amp;"","")&amp;"␟"&amp;IFERROR(INDEX(PASTE_ALL,$DF727,15)&amp;"","")&amp;"␟"&amp;IFERROR(INDEX(PASTE_ALL,$DF727,16)&amp;"","")&amp;"␟"&amp;IFERROR(INDEX(PASTE_ALL,$DF727,17)&amp;"","")&amp;"␟"&amp;IFERROR(INDEX(PASTE_ALL,$DF727,18)&amp;"","")&amp;"␟"&amp;IFERROR(INDEX(PASTE_ALL,$DF727,19)&amp;"","")&amp;"␟"&amp;IFERROR(INDEX(PASTE_ALL,$DF727,20)&amp;"","")&amp;"␟"&amp;IFERROR(INDEX(PASTE_ALL,$DF727,21)&amp;"","")&amp;"␟"&amp;IFERROR(INDEX(PASTE_ALL,$DF727,22)&amp;"","")&amp;"␟"&amp;IFERROR(INDEX(PASTE_ALL,$DF727,23)&amp;"","")&amp;"␟"&amp;IFERROR(INDEX(PASTE_ALL,$DF727,24)&amp;"","")&amp;"␟"&amp;IFERROR(INDEX(PASTE_ALL,$DF727,25)&amp;"","")&amp;"␟"&amp;IFERROR(INDEX(PASTE_ALL,$DF727,26)&amp;"","")&amp;"␟"&amp;IFERROR(INDEX(PASTE_ALL,$DF727,27)&amp;"","")&amp;"␟"&amp;IFERROR(INDEX(PASTE_ALL,$DF727,28)&amp;"","")&amp;"␟"&amp;IFERROR(INDEX(PASTE_ALL,$DF727,29)&amp;"","")&amp;"␟"&amp;IFERROR(INDEX(PASTE_ALL,$DF727,30)&amp;"","")&amp;"␟"&amp;IFERROR(INDEX(PASTE_ALL,$DF727,31)&amp;"","")&amp;"␟"&amp;IFERROR(INDEX(PASTE_ALL,$DF727,32)&amp;"","")&amp;"␟"&amp;IFERROR(INDEX(PASTE_ALL,$DF727,33)&amp;"","")&amp;"␟"&amp;IFERROR(INDEX(PASTE_ALL,$DF727,34)&amp;"","")&amp;"␟"&amp;IFERROR(INDEX(PASTE_ALL,$DF727,35)&amp;"","")&amp;"␟"&amp;IFERROR(INDEX(PASTE_ALL,$DF727,36)&amp;"","")&amp;"␟"&amp;IFERROR(INDEX(PASTE_ALL,$DF727,37)&amp;"","")&amp;"␟"&amp;IFERROR(INDEX(PASTE_ALL,$DF727,38)&amp;"","")&amp;"␟"&amp;IFERROR(INDEX(PASTE_ALL,$DF727,39)&amp;"","")&amp;"␟"&amp;IFERROR(INDEX(PASTE_ALL,$DF727,40)&amp;"","")&amp;"␟"&amp;IFERROR(INDEX(PASTE_ALL,$DF727,41)&amp;"","")&amp;"␟"&amp;IFERROR(INDEX(PASTE_ALL,$DF727,42)&amp;"","")&amp;"␟"&amp;IFERROR(INDEX(PASTE_ALL,$DF727,43)&amp;"","")&amp;"␟"&amp;IFERROR(INDEX(PASTE_ALL,$DF727,44)&amp;"","")&amp;"␟"&amp;IFERROR(INDEX(PASTE_ALL,$DF727,45)&amp;"","")&amp;"␟"&amp;IFERROR(INDEX(PASTE_ALL,$DF727,46)&amp;"","")&amp;"␟"&amp;IFERROR(INDEX(PASTE_ALL,$DF727,47)&amp;"","")&amp;"␟"&amp;IFERROR(INDEX(PASTE_ALL,$DF727,48)&amp;"","")&amp;"␟"&amp;IFERROR(INDEX(PASTE_ALL,$DF727,49)&amp;"","")&amp;"␟"&amp;IFERROR(INDEX(PASTE_ALL,$DF727,50)&amp;"","")&amp;"␟"&amp;IFERROR(INDEX(PASTE_ALL,$DF727,51)&amp;"","")&amp;"␟"&amp;IFERROR(INDEX(PASTE_ALL,$DF727,52)&amp;"","")&amp;"␟"&amp;IFERROR(INDEX(PASTE_ALL,$DF727,53)&amp;"","")&amp;"␟"&amp;IFERROR(INDEX(PASTE_ALL,$DF727,54)&amp;"","")&amp;"␟"&amp;IFERROR(INDEX(PASTE_ALL,$DF727,55)&amp;"","")&amp;"␟"&amp;IFERROR(INDEX(PASTE_ALL,$DF727,56)&amp;"","")&amp;"␟"&amp;IFERROR(INDEX(PASTE_ALL,$DF727,57)&amp;"","")&amp;"␟"&amp;IFERROR(INDEX(PASTE_ALL,$DF727,58)&amp;"","")&amp;"␟"&amp;IFERROR(INDEX(PASTE_ALL,$DF727,59)&amp;"","")&amp;"␟"&amp;IFERROR(INDEX(PASTE_ALL,$DF727,60)&amp;"","")," "," "),CHAR(9)," "),CHAR(10)," "),CHAR(13)," "))," ␟","␟"),"␟ ","␟"),"#"&amp;$DE727),"")</f>
        <v/>
      </c>
      <c r="DJ727">
        <f>IF($DI727="",0,IF(SUMPRODUCT(--EXACT($DI$4:DI726,$DI727))&gt;0,1,0))</f>
        <v/>
      </c>
      <c r="DK727">
        <f>IF(AND($DI727&lt;&gt;"",$DJ727=0),1,0)</f>
        <v/>
      </c>
      <c r="DL727">
        <f>DL726+$DK727</f>
        <v/>
      </c>
      <c r="DM727">
        <f>IF(AND($DK727=1,$DL727&lt;=600),1,0)</f>
        <v/>
      </c>
      <c r="DN727">
        <f>IF($DM727=0,"",IF($L$6=0,"",IFERROR(IF(ISNUMBER(INDEX(PASTE_ALL,$DF727,$L$6)),INDEX(PASTE_ALL,$DF727,$L$6),TRIM(SUBSTITUTE(SUBSTITUTE(SUBSTITUTE(SUBSTITUTE(INDEX(PASTE_ALL,$DF727,$L$6)," "," "),CHAR(9)," "),CHAR(10)," "),CHAR(13)," "))),"")))</f>
        <v/>
      </c>
      <c r="DO727">
        <f>IF($DM727=0,"",IF($L$7=0,"",IFERROR(IF(ISNUMBER(INDEX(PASTE_ALL,$DF727,$L$7)),INDEX(PASTE_ALL,$DF727,$L$7),TRIM(SUBSTITUTE(SUBSTITUTE(SUBSTITUTE(SUBSTITUTE(INDEX(PASTE_ALL,$DF727,$L$7)," "," "),CHAR(9)," "),CHAR(10)," "),CHAR(13)," "))),"")))</f>
        <v/>
      </c>
      <c r="DP727">
        <f>IF($DM727=0,"",IF($L$8=0,"",IFERROR(IF(ISNUMBER(INDEX(PASTE_ALL,$DF727,$L$8)),INDEX(PASTE_ALL,$DF727,$L$8),TRIM(SUBSTITUTE(SUBSTITUTE(SUBSTITUTE(SUBSTITUTE(INDEX(PASTE_ALL,$DF727,$L$8)," "," "),CHAR(9)," "),CHAR(10)," "),CHAR(13)," "))),"")))</f>
        <v/>
      </c>
      <c r="DQ727">
        <f>IF($DM727=0,"",IF($L$9=0,"",IFERROR(IF(ISNUMBER(INDEX(PASTE_ALL,$DF727,$L$9)),INDEX(PASTE_ALL,$DF727,$L$9),TRIM(SUBSTITUTE(SUBSTITUTE(SUBSTITUTE(SUBSTITUTE(INDEX(PASTE_ALL,$DF727,$L$9)," "," "),CHAR(9)," "),CHAR(10)," "),CHAR(13)," "))),"")))</f>
        <v/>
      </c>
      <c r="DR727">
        <f>IF($DM727=0,"",IF($L$10=0,"",IFERROR(IF(ISNUMBER(INDEX(PASTE_ALL,$DF727,$L$10)),INDEX(PASTE_ALL,$DF727,$L$10),TRIM(SUBSTITUTE(SUBSTITUTE(SUBSTITUTE(SUBSTITUTE(INDEX(PASTE_ALL,$DF727,$L$10)," "," "),CHAR(9)," "),CHAR(10)," "),CHAR(13)," "))),"")))</f>
        <v/>
      </c>
      <c r="DS727">
        <f>IF($DM727=0,"",IF($L$11=0,"",IFERROR(IF(ISNUMBER(INDEX(PASTE_ALL,$DF727,$L$11)),INDEX(PASTE_ALL,$DF727,$L$11),TRIM(SUBSTITUTE(SUBSTITUTE(SUBSTITUTE(SUBSTITUTE(INDEX(PASTE_ALL,$DF727,$L$11)," "," "),CHAR(9)," "),CHAR(10)," "),CHAR(13)," "))),"")))</f>
        <v/>
      </c>
      <c r="DT727">
        <f>IF($DM727=0,"",IF($L$12=0,"",IFERROR(IF(ISNUMBER(INDEX(PASTE_ALL,$DF727,$L$12)),INDEX(PASTE_ALL,$DF727,$L$12),TRIM(SUBSTITUTE(SUBSTITUTE(SUBSTITUTE(SUBSTITUTE(INDEX(PASTE_ALL,$DF727,$L$12)," "," "),CHAR(9)," "),CHAR(10)," "),CHAR(13)," "))),"")))</f>
        <v/>
      </c>
      <c r="DU727">
        <f>IF($DM727=0,"",IF($L$13=0,"",IFERROR(IF(ISNUMBER(INDEX(PASTE_ALL,$DF727,$L$13)),INDEX(PASTE_ALL,$DF727,$L$13),TRIM(SUBSTITUTE(SUBSTITUTE(SUBSTITUTE(SUBSTITUTE(INDEX(PASTE_ALL,$DF727,$L$13)," "," "),CHAR(9)," "),CHAR(10)," "),CHAR(13)," "))),"")))</f>
        <v/>
      </c>
      <c r="DV727">
        <f>IF($DM727=0,"",IF($L$14=0,"",IFERROR(IF(ISNUMBER(INDEX(PASTE_ALL,$DF727,$L$14)),INDEX(PASTE_ALL,$DF727,$L$14),TRIM(SUBSTITUTE(SUBSTITUTE(SUBSTITUTE(SUBSTITUTE(INDEX(PASTE_ALL,$DF727,$L$14)," "," "),CHAR(9)," "),CHAR(10)," "),CHAR(13)," "))),"")))</f>
        <v/>
      </c>
      <c r="DW727">
        <f>IF($DM727=0,"",IF($L$15=0,"",IFERROR(IF(ISNUMBER(INDEX(PASTE_ALL,$DF727,$L$15)),INDEX(PASTE_ALL,$DF727,$L$15),IF(SUMPRODUCT(--ISNUMBER(FIND({"A","B","C","D","E","F","G","H","I","J","K","L","M","N","O","P","Q","R","S","T","U","V","W","X","Y","Z","0","1","2","3","4","5","6","7","8","9"},UPPER(TRIM(SUBSTITUTE(SUBSTITUTE(SUBSTITUTE(SUBSTITUTE(INDEX(PASTE_ALL,$DF727,$L$15)," "," "),CHAR(9)," "),CHAR(10)," "),CHAR(13)," "))))))&gt;0,TRIM(SUBSTITUTE(SUBSTITUTE(SUBSTITUTE(SUBSTITUTE(INDEX(PASTE_ALL,$DF727,$L$15)," "," "),CHAR(9)," "),CHAR(10)," "),CHAR(13)," ")),"")),"")))</f>
        <v/>
      </c>
      <c r="DX727">
        <f>IF($DM727=0,"",IF($L$16=0,"",IFERROR(IF(ISNUMBER(INDEX(PASTE_ALL,$DF727,$L$16)),INDEX(PASTE_ALL,$DF727,$L$16),SUBSTITUTE(SUBSTITUTE(TRIM(SUBSTITUTE(SUBSTITUTE(SUBSTITUTE(SUBSTITUTE(INDEX(PASTE_ALL,$DF727,$L$16)," "," "),CHAR(9)," "),CHAR(10)," "),CHAR(13)," ")),",",""),"%","")),"")))</f>
        <v/>
      </c>
      <c r="DY727">
        <f>IF($DM727=0,"",IFERROR(IF(ISNUMBER($DX727),$DX727,IF($DX727="","",IF(TRIM($DX727)="",0,IF(AND(AND(SUBSTITUTE(SUBSTITUTE(SUBSTITUTE(SUBSTITUTE(SUBSTITUTE(SUBSTITUTE(SUBSTITUTE(SUBSTITUTE(SUBSTITUTE(SUBSTITUTE(SUBSTITUTE(SUBSTITUTE(SUBSTITUTE(SUBSTITUTE(UPPER(TRIM($DX727)),"0",""),"1",""),"2",""),"3",""),"4",""),"5",""),"6",""),"7",""),"8",""),"9",""),".",""),"+",""),"-",""),"E","")="",LEN(SUBSTITUTE(SUBSTITUTE(MID(UPPER(TRIM($DX727)),1+OR(LEFT(UPPER(TRIM($DX727)),1)="+",LEFT(UPPER(TRIM($DX727)),1)="-"),999),"E+","E"),"E-","E"))=LEN(SUBSTITUTE(SUBSTITUTE(SUBSTITUTE(SUBSTITUTE(MID(UPPER(TRIM($DX727)),1+OR(LEFT(UPPER(TRIM($DX727)),1)="+",LEFT(UPPER(TRIM($DX727)),1)="-"),999),"E+","E"),"E-","E"),"+",""),"-","")),LEN(UPPER(TRIM($DX727)))-LEN(SUBSTITUTE(UPPER(TRIM($DX727)),"E",""))&lt;2,LEN(UPPER(TRIM($DX727)))-LEN(SUBSTITUTE(UPPER(TRIM($DX727)),".",""))&lt;2,IFERROR(FIND(".",UPPER(TRIM($DX727))),0)&lt;IFERROR(FIND("E",UPPER(TRIM($DX727))),999)),ISNUMBER(VALUE(TRIM($DX727)))),VALUE(TRIM($DX727)),"")))),""))</f>
        <v/>
      </c>
      <c r="DZ727">
        <f>IF($DM727=0,"",IF($L$17=0,"",IFERROR(IF(ISNUMBER(INDEX(PASTE_ALL,$DF727,$L$17)),INDEX(PASTE_ALL,$DF727,$L$17),SUBSTITUTE(SUBSTITUTE(TRIM(SUBSTITUTE(SUBSTITUTE(SUBSTITUTE(SUBSTITUTE(INDEX(PASTE_ALL,$DF727,$L$17)," "," "),CHAR(9)," "),CHAR(10)," "),CHAR(13)," ")),",",""),"%","")),"")))</f>
        <v/>
      </c>
      <c r="EA727">
        <f>IF($DM727=0,"",IFERROR(IF(ISNUMBER($DZ727),$DZ727,IF($DZ727="","",IF(TRIM($DZ727)="",0,IF(AND(AND(SUBSTITUTE(SUBSTITUTE(SUBSTITUTE(SUBSTITUTE(SUBSTITUTE(SUBSTITUTE(SUBSTITUTE(SUBSTITUTE(SUBSTITUTE(SUBSTITUTE(SUBSTITUTE(SUBSTITUTE(SUBSTITUTE(SUBSTITUTE(UPPER(TRIM($DZ727)),"0",""),"1",""),"2",""),"3",""),"4",""),"5",""),"6",""),"7",""),"8",""),"9",""),".",""),"+",""),"-",""),"E","")="",LEN(SUBSTITUTE(SUBSTITUTE(MID(UPPER(TRIM($DZ727)),1+OR(LEFT(UPPER(TRIM($DZ727)),1)="+",LEFT(UPPER(TRIM($DZ727)),1)="-"),999),"E+","E"),"E-","E"))=LEN(SUBSTITUTE(SUBSTITUTE(SUBSTITUTE(SUBSTITUTE(MID(UPPER(TRIM($DZ727)),1+OR(LEFT(UPPER(TRIM($DZ727)),1)="+",LEFT(UPPER(TRIM($DZ727)),1)="-"),999),"E+","E"),"E-","E"),"+",""),"-","")),LEN(UPPER(TRIM($DZ727)))-LEN(SUBSTITUTE(UPPER(TRIM($DZ727)),"E",""))&lt;2,LEN(UPPER(TRIM($DZ727)))-LEN(SUBSTITUTE(UPPER(TRIM($DZ727)),".",""))&lt;2,IFERROR(FIND(".",UPPER(TRIM($DZ727))),0)&lt;IFERROR(FIND("E",UPPER(TRIM($DZ727))),999)),ISNUMBER(VALUE(TRIM($DZ727)))),VALUE(TRIM($DZ727)),"")))),""))</f>
        <v/>
      </c>
      <c r="EB727">
        <f>IF($DM727=0,"",IF($L$18=0,"",IFERROR(IF(UPPER(TRIM(SUBSTITUTE(SUBSTITUTE(SUBSTITUTE(SUBSTITUTE(INDEX(PASTE_ALL,$DF727,$L$18)," "," "),CHAR(9)," "),CHAR(10)," "),CHAR(13)," ")))="READY","Ready",IF(UPPER(TRIM(SUBSTITUTE(SUBSTITUTE(SUBSTITUTE(SUBSTITUTE(INDEX(PASTE_ALL,$DF727,$L$18)," "," "),CHAR(9)," "),CHAR(10)," "),CHAR(13)," ")))="PM","PM",IF(OR(UPPER(TRIM(SUBSTITUTE(SUBSTITUTE(SUBSTITUTE(SUBSTITUTE(INDEX(PASTE_ALL,$DF727,$L$18)," "," "),CHAR(9)," "),CHAR(10)," "),CHAR(13)," ")))="OT",UPPER(TRIM(SUBSTITUTE(SUBSTITUTE(SUBSTITUTE(SUBSTITUTE(INDEX(PASTE_ALL,$DF727,$L$18)," "," "),CHAR(9)," "),CHAR(10)," "),CHAR(13)," ")))="OVERTIME",UPPER(TRIM(SUBSTITUTE(SUBSTITUTE(SUBSTITUTE(SUBSTITUTE(INDEX(PASTE_ALL,$DF727,$L$18)," "," "),CHAR(9)," "),CHAR(10)," "),CHAR(13)," ")))="TRIAL"),"OT",TRIM(SUBSTITUTE(SUBSTITUTE(SUBSTITUTE(SUBSTITUTE(INDEX(PASTE_ALL,$DF727,$L$18)," "," "),CHAR(9)," "),CHAR(10)," "),CHAR(13)," "))))),"")))</f>
        <v/>
      </c>
      <c r="EC727">
        <f>IF($DM727=0,"",IF($L$19=0,"",IFERROR(IF(ISNUMBER(INDEX(PASTE_ALL,$DF727,$L$19)),INDEX(PASTE_ALL,$DF727,$L$19),TRIM(SUBSTITUTE(SUBSTITUTE(SUBSTITUTE(SUBSTITUTE(INDEX(PASTE_ALL,$DF727,$L$19)," "," "),CHAR(9)," "),CHAR(10)," "),CHAR(13)," "))),"")))</f>
        <v/>
      </c>
      <c r="ED727">
        <f>IF($DM727=0,"",MATCH(1,INDEX(EXACT($DH$5:DH727,$DH727)*$DM$5:DM727,0),0))</f>
        <v/>
      </c>
      <c r="EE727">
        <f>IF($DM727=0,0,IF($ED727=$DE727,1,0))</f>
        <v/>
      </c>
      <c r="EF727">
        <f>EF726+$EE727</f>
        <v/>
      </c>
      <c r="EG727">
        <f>IF($DM727=0,"",INDEX($EF$5:$EF$1003,$ED727))</f>
        <v/>
      </c>
      <c r="EH727">
        <f>IF($DM727=0,"",IF($DO727&lt;&gt;"","",IFERROR(LOOKUP(2,1/(($EG$4:EG726=$EG727)*($DO$4:DO726&lt;&gt;"")),$DO$4:DO726),"")))</f>
        <v/>
      </c>
      <c r="EI727">
        <f>IF($DM727=0,"",IF($DO727&lt;&gt;"",$DO727,$EH727))</f>
        <v/>
      </c>
      <c r="EJ727">
        <f>IF($DM727=0,"",IF($EI727="",0,IF(OR(ISNUMBER($EI727),AND(AND(SUBSTITUTE(SUBSTITUTE(SUBSTITUTE(SUBSTITUTE(SUBSTITUTE(SUBSTITUTE(SUBSTITUTE(SUBSTITUTE(SUBSTITUTE(SUBSTITUTE(SUBSTITUTE(SUBSTITUTE(SUBSTITUTE(SUBSTITUTE(UPPER($EI727),"0",""),"1",""),"2",""),"3",""),"4",""),"5",""),"6",""),"7",""),"8",""),"9",""),".",""),"+",""),"-",""),"E","")="",LEN(SUBSTITUTE(SUBSTITUTE(MID(UPPER($EI727),1+OR(LEFT(UPPER($EI727),1)="+",LEFT(UPPER($EI727),1)="-"),999),"E+","E"),"E-","E"))=LEN(SUBSTITUTE(SUBSTITUTE(SUBSTITUTE(SUBSTITUTE(MID(UPPER($EI727),1+OR(LEFT(UPPER($EI727),1)="+",LEFT(UPPER($EI727),1)="-"),999),"E+","E"),"E-","E"),"+",""),"-","")),LEN(UPPER($EI727))-LEN(SUBSTITUTE(UPPER($EI727),"E",""))&lt;2,LEN(UPPER($EI727))-LEN(SUBSTITUTE(UPPER($EI727),".",""))&lt;2,IFERROR(FIND(".",UPPER($EI727)),0)&lt;IFERROR(FIND("E",UPPER($EI727)),999)),ISNUMBER(VALUE($EI727)))),1,2)))</f>
        <v/>
      </c>
      <c r="EK727">
        <f>IF($DM727=0,"",IF($EJ727=1,IF(ISNUMBER($EI727),$EI727,VALUE($EI727)),IF($EJ727=2,$DE727,0)))</f>
        <v/>
      </c>
      <c r="EL727">
        <f>IF($DM727=0,"",COUNTIF($EG$5:$EG$1003,"&lt;"&amp;$EG727)+SUMPRODUCT(($EG$5:$EG$1003=$EG727)*(($EJ$5:$EJ$1003&lt;$EJ727)+($EJ$5:$EJ$1003=$EJ727)*(($EK$5:$EK$1003&lt;$EK727)+($EK$5:$EK$1003=$EK727)*($DE$5:$DE$1003&lt;$DE727))))+1)</f>
        <v/>
      </c>
      <c r="EM727">
        <f>IF($DM727=0,"",$EL727+$EG727-1)</f>
        <v/>
      </c>
      <c r="EN727">
        <f>IF($DM727=0,0,IFERROR(MATCH(1,INDEX(--(TRIM(SUBSTITUTE(SUBSTITUTE(SUBSTITUTE(SUBSTITUTE(LINES_NAME&amp;""," "," "),CHAR(9)," "),CHAR(10)," "),CHAR(13)," "))=$DH727),0),0),0))</f>
        <v/>
      </c>
      <c r="EO727">
        <f>IF($EN727=0,0,IF(OR(UPPER(TRIM(INDEX(LINES_SCHEDULED,$EN727)&amp;""))="YES",UPPER(TRIM(INDEX(LINES_SCHEDULED,$EN727)&amp;""))="Y",UPPER(TRIM(INDEX(LINES_SCHEDULED,$EN727)&amp;""))="X"),1,0))</f>
        <v/>
      </c>
      <c r="EP727">
        <f>IF($DM727=0,"",IF(COUNTIFS($EG$5:$EG$1003,$EG727,$EB$5:$EB$1003,"Ready")&gt;0,"READY",IF(COUNTIFS($EG$5:$EG$1003,$EG727,$EB$5:$EB$1003,"PM")&gt;0,"PM",IF(COUNTIFS($EG$5:$EG$1003,$EG727,$EB$5:$EB$1003,"OT")&gt;0,"OT",""))))</f>
        <v/>
      </c>
      <c r="EQ727">
        <f>IF($EN727=0,"",UPPER(TRIM(INDEX(LINES_STATUS,$EN727)&amp;"")))</f>
        <v/>
      </c>
      <c r="ER727">
        <f>IF($DM727=0,"",IF(OR($EQ727="READY",$EQ727="PM",$EQ727="OT"),$EQ727,$EP727))</f>
        <v/>
      </c>
      <c r="ES727">
        <f>IF($DM727=0,"",IF(AND($DV727&lt;&gt;"",UPPER($DV727)&lt;&gt;"N"),"allergen",IF(ISNUMBER(SEARCH("oil",$DQ727)),"oil",IF(OR(EXACT($DS727,"A662"),EXACT($DS727,"A624")),"bulk",""))))</f>
        <v/>
      </c>
      <c r="ET727">
        <f>IF($DM727=0,"",IF(OR($EA727="",$EA727=0),"",$EA727/100))</f>
        <v/>
      </c>
      <c r="EU727">
        <f>IF(OR($ET727="",$DY727=""),"",INT($DY727*(1-$ET727)+0.5))</f>
        <v/>
      </c>
    </row>
    <row r="728">
      <c r="DA728" t="n">
        <v>724</v>
      </c>
      <c r="DB728">
        <f>IF($B$37=0,"",IFERROR(TRIM(SUBSTITUTE(SUBSTITUTE(SUBSTITUTE(SUBSTITUTE(INDEX(PASTE_ALL,724,$B$37)," "," "),CHAR(9)," "),CHAR(10)," "),CHAR(13)," ")),""))</f>
        <v/>
      </c>
      <c r="DC728">
        <f>IF(AND(724&gt;HEADER_ROW,UPPER(DB728)="LEGEND"),1,0)</f>
        <v/>
      </c>
      <c r="DE728" t="n">
        <v>724</v>
      </c>
      <c r="DF728">
        <f>HEADER_ROW+$DE728</f>
        <v/>
      </c>
      <c r="DG728">
        <f>IF(AND($DF728&lt;=1000,$DF728&lt;$B$8),1,0)</f>
        <v/>
      </c>
      <c r="DH728">
        <f>IF($DG728=1,IFERROR(INDEX($DB$5:$DB$1004,$DF728),""),"")</f>
        <v/>
      </c>
      <c r="DI728">
        <f>IF(AND($DG728=1,$DH728&lt;&gt;""),IFERROR(SUBSTITUTE(SUBSTITUTE(TRIM(SUBSTITUTE(SUBSTITUTE(SUBSTITUTE(SUBSTITUTE(IFERROR(INDEX(PASTE_ALL,$DF728,1)&amp;"","")&amp;"␟"&amp;IFERROR(INDEX(PASTE_ALL,$DF728,2)&amp;"","")&amp;"␟"&amp;IFERROR(INDEX(PASTE_ALL,$DF728,3)&amp;"","")&amp;"␟"&amp;IFERROR(INDEX(PASTE_ALL,$DF728,4)&amp;"","")&amp;"␟"&amp;IFERROR(INDEX(PASTE_ALL,$DF728,5)&amp;"","")&amp;"␟"&amp;IFERROR(INDEX(PASTE_ALL,$DF728,6)&amp;"","")&amp;"␟"&amp;IFERROR(INDEX(PASTE_ALL,$DF728,7)&amp;"","")&amp;"␟"&amp;IFERROR(INDEX(PASTE_ALL,$DF728,8)&amp;"","")&amp;"␟"&amp;IFERROR(INDEX(PASTE_ALL,$DF728,9)&amp;"","")&amp;"␟"&amp;IFERROR(INDEX(PASTE_ALL,$DF728,10)&amp;"","")&amp;"␟"&amp;IFERROR(INDEX(PASTE_ALL,$DF728,11)&amp;"","")&amp;"␟"&amp;IFERROR(INDEX(PASTE_ALL,$DF728,12)&amp;"","")&amp;"␟"&amp;IFERROR(INDEX(PASTE_ALL,$DF728,13)&amp;"","")&amp;"␟"&amp;IFERROR(INDEX(PASTE_ALL,$DF728,14)&amp;"","")&amp;"␟"&amp;IFERROR(INDEX(PASTE_ALL,$DF728,15)&amp;"","")&amp;"␟"&amp;IFERROR(INDEX(PASTE_ALL,$DF728,16)&amp;"","")&amp;"␟"&amp;IFERROR(INDEX(PASTE_ALL,$DF728,17)&amp;"","")&amp;"␟"&amp;IFERROR(INDEX(PASTE_ALL,$DF728,18)&amp;"","")&amp;"␟"&amp;IFERROR(INDEX(PASTE_ALL,$DF728,19)&amp;"","")&amp;"␟"&amp;IFERROR(INDEX(PASTE_ALL,$DF728,20)&amp;"","")&amp;"␟"&amp;IFERROR(INDEX(PASTE_ALL,$DF728,21)&amp;"","")&amp;"␟"&amp;IFERROR(INDEX(PASTE_ALL,$DF728,22)&amp;"","")&amp;"␟"&amp;IFERROR(INDEX(PASTE_ALL,$DF728,23)&amp;"","")&amp;"␟"&amp;IFERROR(INDEX(PASTE_ALL,$DF728,24)&amp;"","")&amp;"␟"&amp;IFERROR(INDEX(PASTE_ALL,$DF728,25)&amp;"","")&amp;"␟"&amp;IFERROR(INDEX(PASTE_ALL,$DF728,26)&amp;"","")&amp;"␟"&amp;IFERROR(INDEX(PASTE_ALL,$DF728,27)&amp;"","")&amp;"␟"&amp;IFERROR(INDEX(PASTE_ALL,$DF728,28)&amp;"","")&amp;"␟"&amp;IFERROR(INDEX(PASTE_ALL,$DF728,29)&amp;"","")&amp;"␟"&amp;IFERROR(INDEX(PASTE_ALL,$DF728,30)&amp;"","")&amp;"␟"&amp;IFERROR(INDEX(PASTE_ALL,$DF728,31)&amp;"","")&amp;"␟"&amp;IFERROR(INDEX(PASTE_ALL,$DF728,32)&amp;"","")&amp;"␟"&amp;IFERROR(INDEX(PASTE_ALL,$DF728,33)&amp;"","")&amp;"␟"&amp;IFERROR(INDEX(PASTE_ALL,$DF728,34)&amp;"","")&amp;"␟"&amp;IFERROR(INDEX(PASTE_ALL,$DF728,35)&amp;"","")&amp;"␟"&amp;IFERROR(INDEX(PASTE_ALL,$DF728,36)&amp;"","")&amp;"␟"&amp;IFERROR(INDEX(PASTE_ALL,$DF728,37)&amp;"","")&amp;"␟"&amp;IFERROR(INDEX(PASTE_ALL,$DF728,38)&amp;"","")&amp;"␟"&amp;IFERROR(INDEX(PASTE_ALL,$DF728,39)&amp;"","")&amp;"␟"&amp;IFERROR(INDEX(PASTE_ALL,$DF728,40)&amp;"","")&amp;"␟"&amp;IFERROR(INDEX(PASTE_ALL,$DF728,41)&amp;"","")&amp;"␟"&amp;IFERROR(INDEX(PASTE_ALL,$DF728,42)&amp;"","")&amp;"␟"&amp;IFERROR(INDEX(PASTE_ALL,$DF728,43)&amp;"","")&amp;"␟"&amp;IFERROR(INDEX(PASTE_ALL,$DF728,44)&amp;"","")&amp;"␟"&amp;IFERROR(INDEX(PASTE_ALL,$DF728,45)&amp;"","")&amp;"␟"&amp;IFERROR(INDEX(PASTE_ALL,$DF728,46)&amp;"","")&amp;"␟"&amp;IFERROR(INDEX(PASTE_ALL,$DF728,47)&amp;"","")&amp;"␟"&amp;IFERROR(INDEX(PASTE_ALL,$DF728,48)&amp;"","")&amp;"␟"&amp;IFERROR(INDEX(PASTE_ALL,$DF728,49)&amp;"","")&amp;"␟"&amp;IFERROR(INDEX(PASTE_ALL,$DF728,50)&amp;"","")&amp;"␟"&amp;IFERROR(INDEX(PASTE_ALL,$DF728,51)&amp;"","")&amp;"␟"&amp;IFERROR(INDEX(PASTE_ALL,$DF728,52)&amp;"","")&amp;"␟"&amp;IFERROR(INDEX(PASTE_ALL,$DF728,53)&amp;"","")&amp;"␟"&amp;IFERROR(INDEX(PASTE_ALL,$DF728,54)&amp;"","")&amp;"␟"&amp;IFERROR(INDEX(PASTE_ALL,$DF728,55)&amp;"","")&amp;"␟"&amp;IFERROR(INDEX(PASTE_ALL,$DF728,56)&amp;"","")&amp;"␟"&amp;IFERROR(INDEX(PASTE_ALL,$DF728,57)&amp;"","")&amp;"␟"&amp;IFERROR(INDEX(PASTE_ALL,$DF728,58)&amp;"","")&amp;"␟"&amp;IFERROR(INDEX(PASTE_ALL,$DF728,59)&amp;"","")&amp;"␟"&amp;IFERROR(INDEX(PASTE_ALL,$DF728,60)&amp;"","")," "," "),CHAR(9)," "),CHAR(10)," "),CHAR(13)," "))," ␟","␟"),"␟ ","␟"),"#"&amp;$DE728),"")</f>
        <v/>
      </c>
      <c r="DJ728">
        <f>IF($DI728="",0,IF(SUMPRODUCT(--EXACT($DI$4:DI727,$DI728))&gt;0,1,0))</f>
        <v/>
      </c>
      <c r="DK728">
        <f>IF(AND($DI728&lt;&gt;"",$DJ728=0),1,0)</f>
        <v/>
      </c>
      <c r="DL728">
        <f>DL727+$DK728</f>
        <v/>
      </c>
      <c r="DM728">
        <f>IF(AND($DK728=1,$DL728&lt;=600),1,0)</f>
        <v/>
      </c>
      <c r="DN728">
        <f>IF($DM728=0,"",IF($L$6=0,"",IFERROR(IF(ISNUMBER(INDEX(PASTE_ALL,$DF728,$L$6)),INDEX(PASTE_ALL,$DF728,$L$6),TRIM(SUBSTITUTE(SUBSTITUTE(SUBSTITUTE(SUBSTITUTE(INDEX(PASTE_ALL,$DF728,$L$6)," "," "),CHAR(9)," "),CHAR(10)," "),CHAR(13)," "))),"")))</f>
        <v/>
      </c>
      <c r="DO728">
        <f>IF($DM728=0,"",IF($L$7=0,"",IFERROR(IF(ISNUMBER(INDEX(PASTE_ALL,$DF728,$L$7)),INDEX(PASTE_ALL,$DF728,$L$7),TRIM(SUBSTITUTE(SUBSTITUTE(SUBSTITUTE(SUBSTITUTE(INDEX(PASTE_ALL,$DF728,$L$7)," "," "),CHAR(9)," "),CHAR(10)," "),CHAR(13)," "))),"")))</f>
        <v/>
      </c>
      <c r="DP728">
        <f>IF($DM728=0,"",IF($L$8=0,"",IFERROR(IF(ISNUMBER(INDEX(PASTE_ALL,$DF728,$L$8)),INDEX(PASTE_ALL,$DF728,$L$8),TRIM(SUBSTITUTE(SUBSTITUTE(SUBSTITUTE(SUBSTITUTE(INDEX(PASTE_ALL,$DF728,$L$8)," "," "),CHAR(9)," "),CHAR(10)," "),CHAR(13)," "))),"")))</f>
        <v/>
      </c>
      <c r="DQ728">
        <f>IF($DM728=0,"",IF($L$9=0,"",IFERROR(IF(ISNUMBER(INDEX(PASTE_ALL,$DF728,$L$9)),INDEX(PASTE_ALL,$DF728,$L$9),TRIM(SUBSTITUTE(SUBSTITUTE(SUBSTITUTE(SUBSTITUTE(INDEX(PASTE_ALL,$DF728,$L$9)," "," "),CHAR(9)," "),CHAR(10)," "),CHAR(13)," "))),"")))</f>
        <v/>
      </c>
      <c r="DR728">
        <f>IF($DM728=0,"",IF($L$10=0,"",IFERROR(IF(ISNUMBER(INDEX(PASTE_ALL,$DF728,$L$10)),INDEX(PASTE_ALL,$DF728,$L$10),TRIM(SUBSTITUTE(SUBSTITUTE(SUBSTITUTE(SUBSTITUTE(INDEX(PASTE_ALL,$DF728,$L$10)," "," "),CHAR(9)," "),CHAR(10)," "),CHAR(13)," "))),"")))</f>
        <v/>
      </c>
      <c r="DS728">
        <f>IF($DM728=0,"",IF($L$11=0,"",IFERROR(IF(ISNUMBER(INDEX(PASTE_ALL,$DF728,$L$11)),INDEX(PASTE_ALL,$DF728,$L$11),TRIM(SUBSTITUTE(SUBSTITUTE(SUBSTITUTE(SUBSTITUTE(INDEX(PASTE_ALL,$DF728,$L$11)," "," "),CHAR(9)," "),CHAR(10)," "),CHAR(13)," "))),"")))</f>
        <v/>
      </c>
      <c r="DT728">
        <f>IF($DM728=0,"",IF($L$12=0,"",IFERROR(IF(ISNUMBER(INDEX(PASTE_ALL,$DF728,$L$12)),INDEX(PASTE_ALL,$DF728,$L$12),TRIM(SUBSTITUTE(SUBSTITUTE(SUBSTITUTE(SUBSTITUTE(INDEX(PASTE_ALL,$DF728,$L$12)," "," "),CHAR(9)," "),CHAR(10)," "),CHAR(13)," "))),"")))</f>
        <v/>
      </c>
      <c r="DU728">
        <f>IF($DM728=0,"",IF($L$13=0,"",IFERROR(IF(ISNUMBER(INDEX(PASTE_ALL,$DF728,$L$13)),INDEX(PASTE_ALL,$DF728,$L$13),TRIM(SUBSTITUTE(SUBSTITUTE(SUBSTITUTE(SUBSTITUTE(INDEX(PASTE_ALL,$DF728,$L$13)," "," "),CHAR(9)," "),CHAR(10)," "),CHAR(13)," "))),"")))</f>
        <v/>
      </c>
      <c r="DV728">
        <f>IF($DM728=0,"",IF($L$14=0,"",IFERROR(IF(ISNUMBER(INDEX(PASTE_ALL,$DF728,$L$14)),INDEX(PASTE_ALL,$DF728,$L$14),TRIM(SUBSTITUTE(SUBSTITUTE(SUBSTITUTE(SUBSTITUTE(INDEX(PASTE_ALL,$DF728,$L$14)," "," "),CHAR(9)," "),CHAR(10)," "),CHAR(13)," "))),"")))</f>
        <v/>
      </c>
      <c r="DW728">
        <f>IF($DM728=0,"",IF($L$15=0,"",IFERROR(IF(ISNUMBER(INDEX(PASTE_ALL,$DF728,$L$15)),INDEX(PASTE_ALL,$DF728,$L$15),IF(SUMPRODUCT(--ISNUMBER(FIND({"A","B","C","D","E","F","G","H","I","J","K","L","M","N","O","P","Q","R","S","T","U","V","W","X","Y","Z","0","1","2","3","4","5","6","7","8","9"},UPPER(TRIM(SUBSTITUTE(SUBSTITUTE(SUBSTITUTE(SUBSTITUTE(INDEX(PASTE_ALL,$DF728,$L$15)," "," "),CHAR(9)," "),CHAR(10)," "),CHAR(13)," "))))))&gt;0,TRIM(SUBSTITUTE(SUBSTITUTE(SUBSTITUTE(SUBSTITUTE(INDEX(PASTE_ALL,$DF728,$L$15)," "," "),CHAR(9)," "),CHAR(10)," "),CHAR(13)," ")),"")),"")))</f>
        <v/>
      </c>
      <c r="DX728">
        <f>IF($DM728=0,"",IF($L$16=0,"",IFERROR(IF(ISNUMBER(INDEX(PASTE_ALL,$DF728,$L$16)),INDEX(PASTE_ALL,$DF728,$L$16),SUBSTITUTE(SUBSTITUTE(TRIM(SUBSTITUTE(SUBSTITUTE(SUBSTITUTE(SUBSTITUTE(INDEX(PASTE_ALL,$DF728,$L$16)," "," "),CHAR(9)," "),CHAR(10)," "),CHAR(13)," ")),",",""),"%","")),"")))</f>
        <v/>
      </c>
      <c r="DY728">
        <f>IF($DM728=0,"",IFERROR(IF(ISNUMBER($DX728),$DX728,IF($DX728="","",IF(TRIM($DX728)="",0,IF(AND(AND(SUBSTITUTE(SUBSTITUTE(SUBSTITUTE(SUBSTITUTE(SUBSTITUTE(SUBSTITUTE(SUBSTITUTE(SUBSTITUTE(SUBSTITUTE(SUBSTITUTE(SUBSTITUTE(SUBSTITUTE(SUBSTITUTE(SUBSTITUTE(UPPER(TRIM($DX728)),"0",""),"1",""),"2",""),"3",""),"4",""),"5",""),"6",""),"7",""),"8",""),"9",""),".",""),"+",""),"-",""),"E","")="",LEN(SUBSTITUTE(SUBSTITUTE(MID(UPPER(TRIM($DX728)),1+OR(LEFT(UPPER(TRIM($DX728)),1)="+",LEFT(UPPER(TRIM($DX728)),1)="-"),999),"E+","E"),"E-","E"))=LEN(SUBSTITUTE(SUBSTITUTE(SUBSTITUTE(SUBSTITUTE(MID(UPPER(TRIM($DX728)),1+OR(LEFT(UPPER(TRIM($DX728)),1)="+",LEFT(UPPER(TRIM($DX728)),1)="-"),999),"E+","E"),"E-","E"),"+",""),"-","")),LEN(UPPER(TRIM($DX728)))-LEN(SUBSTITUTE(UPPER(TRIM($DX728)),"E",""))&lt;2,LEN(UPPER(TRIM($DX728)))-LEN(SUBSTITUTE(UPPER(TRIM($DX728)),".",""))&lt;2,IFERROR(FIND(".",UPPER(TRIM($DX728))),0)&lt;IFERROR(FIND("E",UPPER(TRIM($DX728))),999)),ISNUMBER(VALUE(TRIM($DX728)))),VALUE(TRIM($DX728)),"")))),""))</f>
        <v/>
      </c>
      <c r="DZ728">
        <f>IF($DM728=0,"",IF($L$17=0,"",IFERROR(IF(ISNUMBER(INDEX(PASTE_ALL,$DF728,$L$17)),INDEX(PASTE_ALL,$DF728,$L$17),SUBSTITUTE(SUBSTITUTE(TRIM(SUBSTITUTE(SUBSTITUTE(SUBSTITUTE(SUBSTITUTE(INDEX(PASTE_ALL,$DF728,$L$17)," "," "),CHAR(9)," "),CHAR(10)," "),CHAR(13)," ")),",",""),"%","")),"")))</f>
        <v/>
      </c>
      <c r="EA728">
        <f>IF($DM728=0,"",IFERROR(IF(ISNUMBER($DZ728),$DZ728,IF($DZ728="","",IF(TRIM($DZ728)="",0,IF(AND(AND(SUBSTITUTE(SUBSTITUTE(SUBSTITUTE(SUBSTITUTE(SUBSTITUTE(SUBSTITUTE(SUBSTITUTE(SUBSTITUTE(SUBSTITUTE(SUBSTITUTE(SUBSTITUTE(SUBSTITUTE(SUBSTITUTE(SUBSTITUTE(UPPER(TRIM($DZ728)),"0",""),"1",""),"2",""),"3",""),"4",""),"5",""),"6",""),"7",""),"8",""),"9",""),".",""),"+",""),"-",""),"E","")="",LEN(SUBSTITUTE(SUBSTITUTE(MID(UPPER(TRIM($DZ728)),1+OR(LEFT(UPPER(TRIM($DZ728)),1)="+",LEFT(UPPER(TRIM($DZ728)),1)="-"),999),"E+","E"),"E-","E"))=LEN(SUBSTITUTE(SUBSTITUTE(SUBSTITUTE(SUBSTITUTE(MID(UPPER(TRIM($DZ728)),1+OR(LEFT(UPPER(TRIM($DZ728)),1)="+",LEFT(UPPER(TRIM($DZ728)),1)="-"),999),"E+","E"),"E-","E"),"+",""),"-","")),LEN(UPPER(TRIM($DZ728)))-LEN(SUBSTITUTE(UPPER(TRIM($DZ728)),"E",""))&lt;2,LEN(UPPER(TRIM($DZ728)))-LEN(SUBSTITUTE(UPPER(TRIM($DZ728)),".",""))&lt;2,IFERROR(FIND(".",UPPER(TRIM($DZ728))),0)&lt;IFERROR(FIND("E",UPPER(TRIM($DZ728))),999)),ISNUMBER(VALUE(TRIM($DZ728)))),VALUE(TRIM($DZ728)),"")))),""))</f>
        <v/>
      </c>
      <c r="EB728">
        <f>IF($DM728=0,"",IF($L$18=0,"",IFERROR(IF(UPPER(TRIM(SUBSTITUTE(SUBSTITUTE(SUBSTITUTE(SUBSTITUTE(INDEX(PASTE_ALL,$DF728,$L$18)," "," "),CHAR(9)," "),CHAR(10)," "),CHAR(13)," ")))="READY","Ready",IF(UPPER(TRIM(SUBSTITUTE(SUBSTITUTE(SUBSTITUTE(SUBSTITUTE(INDEX(PASTE_ALL,$DF728,$L$18)," "," "),CHAR(9)," "),CHAR(10)," "),CHAR(13)," ")))="PM","PM",IF(OR(UPPER(TRIM(SUBSTITUTE(SUBSTITUTE(SUBSTITUTE(SUBSTITUTE(INDEX(PASTE_ALL,$DF728,$L$18)," "," "),CHAR(9)," "),CHAR(10)," "),CHAR(13)," ")))="OT",UPPER(TRIM(SUBSTITUTE(SUBSTITUTE(SUBSTITUTE(SUBSTITUTE(INDEX(PASTE_ALL,$DF728,$L$18)," "," "),CHAR(9)," "),CHAR(10)," "),CHAR(13)," ")))="OVERTIME",UPPER(TRIM(SUBSTITUTE(SUBSTITUTE(SUBSTITUTE(SUBSTITUTE(INDEX(PASTE_ALL,$DF728,$L$18)," "," "),CHAR(9)," "),CHAR(10)," "),CHAR(13)," ")))="TRIAL"),"OT",TRIM(SUBSTITUTE(SUBSTITUTE(SUBSTITUTE(SUBSTITUTE(INDEX(PASTE_ALL,$DF728,$L$18)," "," "),CHAR(9)," "),CHAR(10)," "),CHAR(13)," "))))),"")))</f>
        <v/>
      </c>
      <c r="EC728">
        <f>IF($DM728=0,"",IF($L$19=0,"",IFERROR(IF(ISNUMBER(INDEX(PASTE_ALL,$DF728,$L$19)),INDEX(PASTE_ALL,$DF728,$L$19),TRIM(SUBSTITUTE(SUBSTITUTE(SUBSTITUTE(SUBSTITUTE(INDEX(PASTE_ALL,$DF728,$L$19)," "," "),CHAR(9)," "),CHAR(10)," "),CHAR(13)," "))),"")))</f>
        <v/>
      </c>
      <c r="ED728">
        <f>IF($DM728=0,"",MATCH(1,INDEX(EXACT($DH$5:DH728,$DH728)*$DM$5:DM728,0),0))</f>
        <v/>
      </c>
      <c r="EE728">
        <f>IF($DM728=0,0,IF($ED728=$DE728,1,0))</f>
        <v/>
      </c>
      <c r="EF728">
        <f>EF727+$EE728</f>
        <v/>
      </c>
      <c r="EG728">
        <f>IF($DM728=0,"",INDEX($EF$5:$EF$1003,$ED728))</f>
        <v/>
      </c>
      <c r="EH728">
        <f>IF($DM728=0,"",IF($DO728&lt;&gt;"","",IFERROR(LOOKUP(2,1/(($EG$4:EG727=$EG728)*($DO$4:DO727&lt;&gt;"")),$DO$4:DO727),"")))</f>
        <v/>
      </c>
      <c r="EI728">
        <f>IF($DM728=0,"",IF($DO728&lt;&gt;"",$DO728,$EH728))</f>
        <v/>
      </c>
      <c r="EJ728">
        <f>IF($DM728=0,"",IF($EI728="",0,IF(OR(ISNUMBER($EI728),AND(AND(SUBSTITUTE(SUBSTITUTE(SUBSTITUTE(SUBSTITUTE(SUBSTITUTE(SUBSTITUTE(SUBSTITUTE(SUBSTITUTE(SUBSTITUTE(SUBSTITUTE(SUBSTITUTE(SUBSTITUTE(SUBSTITUTE(SUBSTITUTE(UPPER($EI728),"0",""),"1",""),"2",""),"3",""),"4",""),"5",""),"6",""),"7",""),"8",""),"9",""),".",""),"+",""),"-",""),"E","")="",LEN(SUBSTITUTE(SUBSTITUTE(MID(UPPER($EI728),1+OR(LEFT(UPPER($EI728),1)="+",LEFT(UPPER($EI728),1)="-"),999),"E+","E"),"E-","E"))=LEN(SUBSTITUTE(SUBSTITUTE(SUBSTITUTE(SUBSTITUTE(MID(UPPER($EI728),1+OR(LEFT(UPPER($EI728),1)="+",LEFT(UPPER($EI728),1)="-"),999),"E+","E"),"E-","E"),"+",""),"-","")),LEN(UPPER($EI728))-LEN(SUBSTITUTE(UPPER($EI728),"E",""))&lt;2,LEN(UPPER($EI728))-LEN(SUBSTITUTE(UPPER($EI728),".",""))&lt;2,IFERROR(FIND(".",UPPER($EI728)),0)&lt;IFERROR(FIND("E",UPPER($EI728)),999)),ISNUMBER(VALUE($EI728)))),1,2)))</f>
        <v/>
      </c>
      <c r="EK728">
        <f>IF($DM728=0,"",IF($EJ728=1,IF(ISNUMBER($EI728),$EI728,VALUE($EI728)),IF($EJ728=2,$DE728,0)))</f>
        <v/>
      </c>
      <c r="EL728">
        <f>IF($DM728=0,"",COUNTIF($EG$5:$EG$1003,"&lt;"&amp;$EG728)+SUMPRODUCT(($EG$5:$EG$1003=$EG728)*(($EJ$5:$EJ$1003&lt;$EJ728)+($EJ$5:$EJ$1003=$EJ728)*(($EK$5:$EK$1003&lt;$EK728)+($EK$5:$EK$1003=$EK728)*($DE$5:$DE$1003&lt;$DE728))))+1)</f>
        <v/>
      </c>
      <c r="EM728">
        <f>IF($DM728=0,"",$EL728+$EG728-1)</f>
        <v/>
      </c>
      <c r="EN728">
        <f>IF($DM728=0,0,IFERROR(MATCH(1,INDEX(--(TRIM(SUBSTITUTE(SUBSTITUTE(SUBSTITUTE(SUBSTITUTE(LINES_NAME&amp;""," "," "),CHAR(9)," "),CHAR(10)," "),CHAR(13)," "))=$DH728),0),0),0))</f>
        <v/>
      </c>
      <c r="EO728">
        <f>IF($EN728=0,0,IF(OR(UPPER(TRIM(INDEX(LINES_SCHEDULED,$EN728)&amp;""))="YES",UPPER(TRIM(INDEX(LINES_SCHEDULED,$EN728)&amp;""))="Y",UPPER(TRIM(INDEX(LINES_SCHEDULED,$EN728)&amp;""))="X"),1,0))</f>
        <v/>
      </c>
      <c r="EP728">
        <f>IF($DM728=0,"",IF(COUNTIFS($EG$5:$EG$1003,$EG728,$EB$5:$EB$1003,"Ready")&gt;0,"READY",IF(COUNTIFS($EG$5:$EG$1003,$EG728,$EB$5:$EB$1003,"PM")&gt;0,"PM",IF(COUNTIFS($EG$5:$EG$1003,$EG728,$EB$5:$EB$1003,"OT")&gt;0,"OT",""))))</f>
        <v/>
      </c>
      <c r="EQ728">
        <f>IF($EN728=0,"",UPPER(TRIM(INDEX(LINES_STATUS,$EN728)&amp;"")))</f>
        <v/>
      </c>
      <c r="ER728">
        <f>IF($DM728=0,"",IF(OR($EQ728="READY",$EQ728="PM",$EQ728="OT"),$EQ728,$EP728))</f>
        <v/>
      </c>
      <c r="ES728">
        <f>IF($DM728=0,"",IF(AND($DV728&lt;&gt;"",UPPER($DV728)&lt;&gt;"N"),"allergen",IF(ISNUMBER(SEARCH("oil",$DQ728)),"oil",IF(OR(EXACT($DS728,"A662"),EXACT($DS728,"A624")),"bulk",""))))</f>
        <v/>
      </c>
      <c r="ET728">
        <f>IF($DM728=0,"",IF(OR($EA728="",$EA728=0),"",$EA728/100))</f>
        <v/>
      </c>
      <c r="EU728">
        <f>IF(OR($ET728="",$DY728=""),"",INT($DY728*(1-$ET728)+0.5))</f>
        <v/>
      </c>
    </row>
    <row r="729">
      <c r="DA729" t="n">
        <v>725</v>
      </c>
      <c r="DB729">
        <f>IF($B$37=0,"",IFERROR(TRIM(SUBSTITUTE(SUBSTITUTE(SUBSTITUTE(SUBSTITUTE(INDEX(PASTE_ALL,725,$B$37)," "," "),CHAR(9)," "),CHAR(10)," "),CHAR(13)," ")),""))</f>
        <v/>
      </c>
      <c r="DC729">
        <f>IF(AND(725&gt;HEADER_ROW,UPPER(DB729)="LEGEND"),1,0)</f>
        <v/>
      </c>
      <c r="DE729" t="n">
        <v>725</v>
      </c>
      <c r="DF729">
        <f>HEADER_ROW+$DE729</f>
        <v/>
      </c>
      <c r="DG729">
        <f>IF(AND($DF729&lt;=1000,$DF729&lt;$B$8),1,0)</f>
        <v/>
      </c>
      <c r="DH729">
        <f>IF($DG729=1,IFERROR(INDEX($DB$5:$DB$1004,$DF729),""),"")</f>
        <v/>
      </c>
      <c r="DI729">
        <f>IF(AND($DG729=1,$DH729&lt;&gt;""),IFERROR(SUBSTITUTE(SUBSTITUTE(TRIM(SUBSTITUTE(SUBSTITUTE(SUBSTITUTE(SUBSTITUTE(IFERROR(INDEX(PASTE_ALL,$DF729,1)&amp;"","")&amp;"␟"&amp;IFERROR(INDEX(PASTE_ALL,$DF729,2)&amp;"","")&amp;"␟"&amp;IFERROR(INDEX(PASTE_ALL,$DF729,3)&amp;"","")&amp;"␟"&amp;IFERROR(INDEX(PASTE_ALL,$DF729,4)&amp;"","")&amp;"␟"&amp;IFERROR(INDEX(PASTE_ALL,$DF729,5)&amp;"","")&amp;"␟"&amp;IFERROR(INDEX(PASTE_ALL,$DF729,6)&amp;"","")&amp;"␟"&amp;IFERROR(INDEX(PASTE_ALL,$DF729,7)&amp;"","")&amp;"␟"&amp;IFERROR(INDEX(PASTE_ALL,$DF729,8)&amp;"","")&amp;"␟"&amp;IFERROR(INDEX(PASTE_ALL,$DF729,9)&amp;"","")&amp;"␟"&amp;IFERROR(INDEX(PASTE_ALL,$DF729,10)&amp;"","")&amp;"␟"&amp;IFERROR(INDEX(PASTE_ALL,$DF729,11)&amp;"","")&amp;"␟"&amp;IFERROR(INDEX(PASTE_ALL,$DF729,12)&amp;"","")&amp;"␟"&amp;IFERROR(INDEX(PASTE_ALL,$DF729,13)&amp;"","")&amp;"␟"&amp;IFERROR(INDEX(PASTE_ALL,$DF729,14)&amp;"","")&amp;"␟"&amp;IFERROR(INDEX(PASTE_ALL,$DF729,15)&amp;"","")&amp;"␟"&amp;IFERROR(INDEX(PASTE_ALL,$DF729,16)&amp;"","")&amp;"␟"&amp;IFERROR(INDEX(PASTE_ALL,$DF729,17)&amp;"","")&amp;"␟"&amp;IFERROR(INDEX(PASTE_ALL,$DF729,18)&amp;"","")&amp;"␟"&amp;IFERROR(INDEX(PASTE_ALL,$DF729,19)&amp;"","")&amp;"␟"&amp;IFERROR(INDEX(PASTE_ALL,$DF729,20)&amp;"","")&amp;"␟"&amp;IFERROR(INDEX(PASTE_ALL,$DF729,21)&amp;"","")&amp;"␟"&amp;IFERROR(INDEX(PASTE_ALL,$DF729,22)&amp;"","")&amp;"␟"&amp;IFERROR(INDEX(PASTE_ALL,$DF729,23)&amp;"","")&amp;"␟"&amp;IFERROR(INDEX(PASTE_ALL,$DF729,24)&amp;"","")&amp;"␟"&amp;IFERROR(INDEX(PASTE_ALL,$DF729,25)&amp;"","")&amp;"␟"&amp;IFERROR(INDEX(PASTE_ALL,$DF729,26)&amp;"","")&amp;"␟"&amp;IFERROR(INDEX(PASTE_ALL,$DF729,27)&amp;"","")&amp;"␟"&amp;IFERROR(INDEX(PASTE_ALL,$DF729,28)&amp;"","")&amp;"␟"&amp;IFERROR(INDEX(PASTE_ALL,$DF729,29)&amp;"","")&amp;"␟"&amp;IFERROR(INDEX(PASTE_ALL,$DF729,30)&amp;"","")&amp;"␟"&amp;IFERROR(INDEX(PASTE_ALL,$DF729,31)&amp;"","")&amp;"␟"&amp;IFERROR(INDEX(PASTE_ALL,$DF729,32)&amp;"","")&amp;"␟"&amp;IFERROR(INDEX(PASTE_ALL,$DF729,33)&amp;"","")&amp;"␟"&amp;IFERROR(INDEX(PASTE_ALL,$DF729,34)&amp;"","")&amp;"␟"&amp;IFERROR(INDEX(PASTE_ALL,$DF729,35)&amp;"","")&amp;"␟"&amp;IFERROR(INDEX(PASTE_ALL,$DF729,36)&amp;"","")&amp;"␟"&amp;IFERROR(INDEX(PASTE_ALL,$DF729,37)&amp;"","")&amp;"␟"&amp;IFERROR(INDEX(PASTE_ALL,$DF729,38)&amp;"","")&amp;"␟"&amp;IFERROR(INDEX(PASTE_ALL,$DF729,39)&amp;"","")&amp;"␟"&amp;IFERROR(INDEX(PASTE_ALL,$DF729,40)&amp;"","")&amp;"␟"&amp;IFERROR(INDEX(PASTE_ALL,$DF729,41)&amp;"","")&amp;"␟"&amp;IFERROR(INDEX(PASTE_ALL,$DF729,42)&amp;"","")&amp;"␟"&amp;IFERROR(INDEX(PASTE_ALL,$DF729,43)&amp;"","")&amp;"␟"&amp;IFERROR(INDEX(PASTE_ALL,$DF729,44)&amp;"","")&amp;"␟"&amp;IFERROR(INDEX(PASTE_ALL,$DF729,45)&amp;"","")&amp;"␟"&amp;IFERROR(INDEX(PASTE_ALL,$DF729,46)&amp;"","")&amp;"␟"&amp;IFERROR(INDEX(PASTE_ALL,$DF729,47)&amp;"","")&amp;"␟"&amp;IFERROR(INDEX(PASTE_ALL,$DF729,48)&amp;"","")&amp;"␟"&amp;IFERROR(INDEX(PASTE_ALL,$DF729,49)&amp;"","")&amp;"␟"&amp;IFERROR(INDEX(PASTE_ALL,$DF729,50)&amp;"","")&amp;"␟"&amp;IFERROR(INDEX(PASTE_ALL,$DF729,51)&amp;"","")&amp;"␟"&amp;IFERROR(INDEX(PASTE_ALL,$DF729,52)&amp;"","")&amp;"␟"&amp;IFERROR(INDEX(PASTE_ALL,$DF729,53)&amp;"","")&amp;"␟"&amp;IFERROR(INDEX(PASTE_ALL,$DF729,54)&amp;"","")&amp;"␟"&amp;IFERROR(INDEX(PASTE_ALL,$DF729,55)&amp;"","")&amp;"␟"&amp;IFERROR(INDEX(PASTE_ALL,$DF729,56)&amp;"","")&amp;"␟"&amp;IFERROR(INDEX(PASTE_ALL,$DF729,57)&amp;"","")&amp;"␟"&amp;IFERROR(INDEX(PASTE_ALL,$DF729,58)&amp;"","")&amp;"␟"&amp;IFERROR(INDEX(PASTE_ALL,$DF729,59)&amp;"","")&amp;"␟"&amp;IFERROR(INDEX(PASTE_ALL,$DF729,60)&amp;"","")," "," "),CHAR(9)," "),CHAR(10)," "),CHAR(13)," "))," ␟","␟"),"␟ ","␟"),"#"&amp;$DE729),"")</f>
        <v/>
      </c>
      <c r="DJ729">
        <f>IF($DI729="",0,IF(SUMPRODUCT(--EXACT($DI$4:DI728,$DI729))&gt;0,1,0))</f>
        <v/>
      </c>
      <c r="DK729">
        <f>IF(AND($DI729&lt;&gt;"",$DJ729=0),1,0)</f>
        <v/>
      </c>
      <c r="DL729">
        <f>DL728+$DK729</f>
        <v/>
      </c>
      <c r="DM729">
        <f>IF(AND($DK729=1,$DL729&lt;=600),1,0)</f>
        <v/>
      </c>
      <c r="DN729">
        <f>IF($DM729=0,"",IF($L$6=0,"",IFERROR(IF(ISNUMBER(INDEX(PASTE_ALL,$DF729,$L$6)),INDEX(PASTE_ALL,$DF729,$L$6),TRIM(SUBSTITUTE(SUBSTITUTE(SUBSTITUTE(SUBSTITUTE(INDEX(PASTE_ALL,$DF729,$L$6)," "," "),CHAR(9)," "),CHAR(10)," "),CHAR(13)," "))),"")))</f>
        <v/>
      </c>
      <c r="DO729">
        <f>IF($DM729=0,"",IF($L$7=0,"",IFERROR(IF(ISNUMBER(INDEX(PASTE_ALL,$DF729,$L$7)),INDEX(PASTE_ALL,$DF729,$L$7),TRIM(SUBSTITUTE(SUBSTITUTE(SUBSTITUTE(SUBSTITUTE(INDEX(PASTE_ALL,$DF729,$L$7)," "," "),CHAR(9)," "),CHAR(10)," "),CHAR(13)," "))),"")))</f>
        <v/>
      </c>
      <c r="DP729">
        <f>IF($DM729=0,"",IF($L$8=0,"",IFERROR(IF(ISNUMBER(INDEX(PASTE_ALL,$DF729,$L$8)),INDEX(PASTE_ALL,$DF729,$L$8),TRIM(SUBSTITUTE(SUBSTITUTE(SUBSTITUTE(SUBSTITUTE(INDEX(PASTE_ALL,$DF729,$L$8)," "," "),CHAR(9)," "),CHAR(10)," "),CHAR(13)," "))),"")))</f>
        <v/>
      </c>
      <c r="DQ729">
        <f>IF($DM729=0,"",IF($L$9=0,"",IFERROR(IF(ISNUMBER(INDEX(PASTE_ALL,$DF729,$L$9)),INDEX(PASTE_ALL,$DF729,$L$9),TRIM(SUBSTITUTE(SUBSTITUTE(SUBSTITUTE(SUBSTITUTE(INDEX(PASTE_ALL,$DF729,$L$9)," "," "),CHAR(9)," "),CHAR(10)," "),CHAR(13)," "))),"")))</f>
        <v/>
      </c>
      <c r="DR729">
        <f>IF($DM729=0,"",IF($L$10=0,"",IFERROR(IF(ISNUMBER(INDEX(PASTE_ALL,$DF729,$L$10)),INDEX(PASTE_ALL,$DF729,$L$10),TRIM(SUBSTITUTE(SUBSTITUTE(SUBSTITUTE(SUBSTITUTE(INDEX(PASTE_ALL,$DF729,$L$10)," "," "),CHAR(9)," "),CHAR(10)," "),CHAR(13)," "))),"")))</f>
        <v/>
      </c>
      <c r="DS729">
        <f>IF($DM729=0,"",IF($L$11=0,"",IFERROR(IF(ISNUMBER(INDEX(PASTE_ALL,$DF729,$L$11)),INDEX(PASTE_ALL,$DF729,$L$11),TRIM(SUBSTITUTE(SUBSTITUTE(SUBSTITUTE(SUBSTITUTE(INDEX(PASTE_ALL,$DF729,$L$11)," "," "),CHAR(9)," "),CHAR(10)," "),CHAR(13)," "))),"")))</f>
        <v/>
      </c>
      <c r="DT729">
        <f>IF($DM729=0,"",IF($L$12=0,"",IFERROR(IF(ISNUMBER(INDEX(PASTE_ALL,$DF729,$L$12)),INDEX(PASTE_ALL,$DF729,$L$12),TRIM(SUBSTITUTE(SUBSTITUTE(SUBSTITUTE(SUBSTITUTE(INDEX(PASTE_ALL,$DF729,$L$12)," "," "),CHAR(9)," "),CHAR(10)," "),CHAR(13)," "))),"")))</f>
        <v/>
      </c>
      <c r="DU729">
        <f>IF($DM729=0,"",IF($L$13=0,"",IFERROR(IF(ISNUMBER(INDEX(PASTE_ALL,$DF729,$L$13)),INDEX(PASTE_ALL,$DF729,$L$13),TRIM(SUBSTITUTE(SUBSTITUTE(SUBSTITUTE(SUBSTITUTE(INDEX(PASTE_ALL,$DF729,$L$13)," "," "),CHAR(9)," "),CHAR(10)," "),CHAR(13)," "))),"")))</f>
        <v/>
      </c>
      <c r="DV729">
        <f>IF($DM729=0,"",IF($L$14=0,"",IFERROR(IF(ISNUMBER(INDEX(PASTE_ALL,$DF729,$L$14)),INDEX(PASTE_ALL,$DF729,$L$14),TRIM(SUBSTITUTE(SUBSTITUTE(SUBSTITUTE(SUBSTITUTE(INDEX(PASTE_ALL,$DF729,$L$14)," "," "),CHAR(9)," "),CHAR(10)," "),CHAR(13)," "))),"")))</f>
        <v/>
      </c>
      <c r="DW729">
        <f>IF($DM729=0,"",IF($L$15=0,"",IFERROR(IF(ISNUMBER(INDEX(PASTE_ALL,$DF729,$L$15)),INDEX(PASTE_ALL,$DF729,$L$15),IF(SUMPRODUCT(--ISNUMBER(FIND({"A","B","C","D","E","F","G","H","I","J","K","L","M","N","O","P","Q","R","S","T","U","V","W","X","Y","Z","0","1","2","3","4","5","6","7","8","9"},UPPER(TRIM(SUBSTITUTE(SUBSTITUTE(SUBSTITUTE(SUBSTITUTE(INDEX(PASTE_ALL,$DF729,$L$15)," "," "),CHAR(9)," "),CHAR(10)," "),CHAR(13)," "))))))&gt;0,TRIM(SUBSTITUTE(SUBSTITUTE(SUBSTITUTE(SUBSTITUTE(INDEX(PASTE_ALL,$DF729,$L$15)," "," "),CHAR(9)," "),CHAR(10)," "),CHAR(13)," ")),"")),"")))</f>
        <v/>
      </c>
      <c r="DX729">
        <f>IF($DM729=0,"",IF($L$16=0,"",IFERROR(IF(ISNUMBER(INDEX(PASTE_ALL,$DF729,$L$16)),INDEX(PASTE_ALL,$DF729,$L$16),SUBSTITUTE(SUBSTITUTE(TRIM(SUBSTITUTE(SUBSTITUTE(SUBSTITUTE(SUBSTITUTE(INDEX(PASTE_ALL,$DF729,$L$16)," "," "),CHAR(9)," "),CHAR(10)," "),CHAR(13)," ")),",",""),"%","")),"")))</f>
        <v/>
      </c>
      <c r="DY729">
        <f>IF($DM729=0,"",IFERROR(IF(ISNUMBER($DX729),$DX729,IF($DX729="","",IF(TRIM($DX729)="",0,IF(AND(AND(SUBSTITUTE(SUBSTITUTE(SUBSTITUTE(SUBSTITUTE(SUBSTITUTE(SUBSTITUTE(SUBSTITUTE(SUBSTITUTE(SUBSTITUTE(SUBSTITUTE(SUBSTITUTE(SUBSTITUTE(SUBSTITUTE(SUBSTITUTE(UPPER(TRIM($DX729)),"0",""),"1",""),"2",""),"3",""),"4",""),"5",""),"6",""),"7",""),"8",""),"9",""),".",""),"+",""),"-",""),"E","")="",LEN(SUBSTITUTE(SUBSTITUTE(MID(UPPER(TRIM($DX729)),1+OR(LEFT(UPPER(TRIM($DX729)),1)="+",LEFT(UPPER(TRIM($DX729)),1)="-"),999),"E+","E"),"E-","E"))=LEN(SUBSTITUTE(SUBSTITUTE(SUBSTITUTE(SUBSTITUTE(MID(UPPER(TRIM($DX729)),1+OR(LEFT(UPPER(TRIM($DX729)),1)="+",LEFT(UPPER(TRIM($DX729)),1)="-"),999),"E+","E"),"E-","E"),"+",""),"-","")),LEN(UPPER(TRIM($DX729)))-LEN(SUBSTITUTE(UPPER(TRIM($DX729)),"E",""))&lt;2,LEN(UPPER(TRIM($DX729)))-LEN(SUBSTITUTE(UPPER(TRIM($DX729)),".",""))&lt;2,IFERROR(FIND(".",UPPER(TRIM($DX729))),0)&lt;IFERROR(FIND("E",UPPER(TRIM($DX729))),999)),ISNUMBER(VALUE(TRIM($DX729)))),VALUE(TRIM($DX729)),"")))),""))</f>
        <v/>
      </c>
      <c r="DZ729">
        <f>IF($DM729=0,"",IF($L$17=0,"",IFERROR(IF(ISNUMBER(INDEX(PASTE_ALL,$DF729,$L$17)),INDEX(PASTE_ALL,$DF729,$L$17),SUBSTITUTE(SUBSTITUTE(TRIM(SUBSTITUTE(SUBSTITUTE(SUBSTITUTE(SUBSTITUTE(INDEX(PASTE_ALL,$DF729,$L$17)," "," "),CHAR(9)," "),CHAR(10)," "),CHAR(13)," ")),",",""),"%","")),"")))</f>
        <v/>
      </c>
      <c r="EA729">
        <f>IF($DM729=0,"",IFERROR(IF(ISNUMBER($DZ729),$DZ729,IF($DZ729="","",IF(TRIM($DZ729)="",0,IF(AND(AND(SUBSTITUTE(SUBSTITUTE(SUBSTITUTE(SUBSTITUTE(SUBSTITUTE(SUBSTITUTE(SUBSTITUTE(SUBSTITUTE(SUBSTITUTE(SUBSTITUTE(SUBSTITUTE(SUBSTITUTE(SUBSTITUTE(SUBSTITUTE(UPPER(TRIM($DZ729)),"0",""),"1",""),"2",""),"3",""),"4",""),"5",""),"6",""),"7",""),"8",""),"9",""),".",""),"+",""),"-",""),"E","")="",LEN(SUBSTITUTE(SUBSTITUTE(MID(UPPER(TRIM($DZ729)),1+OR(LEFT(UPPER(TRIM($DZ729)),1)="+",LEFT(UPPER(TRIM($DZ729)),1)="-"),999),"E+","E"),"E-","E"))=LEN(SUBSTITUTE(SUBSTITUTE(SUBSTITUTE(SUBSTITUTE(MID(UPPER(TRIM($DZ729)),1+OR(LEFT(UPPER(TRIM($DZ729)),1)="+",LEFT(UPPER(TRIM($DZ729)),1)="-"),999),"E+","E"),"E-","E"),"+",""),"-","")),LEN(UPPER(TRIM($DZ729)))-LEN(SUBSTITUTE(UPPER(TRIM($DZ729)),"E",""))&lt;2,LEN(UPPER(TRIM($DZ729)))-LEN(SUBSTITUTE(UPPER(TRIM($DZ729)),".",""))&lt;2,IFERROR(FIND(".",UPPER(TRIM($DZ729))),0)&lt;IFERROR(FIND("E",UPPER(TRIM($DZ729))),999)),ISNUMBER(VALUE(TRIM($DZ729)))),VALUE(TRIM($DZ729)),"")))),""))</f>
        <v/>
      </c>
      <c r="EB729">
        <f>IF($DM729=0,"",IF($L$18=0,"",IFERROR(IF(UPPER(TRIM(SUBSTITUTE(SUBSTITUTE(SUBSTITUTE(SUBSTITUTE(INDEX(PASTE_ALL,$DF729,$L$18)," "," "),CHAR(9)," "),CHAR(10)," "),CHAR(13)," ")))="READY","Ready",IF(UPPER(TRIM(SUBSTITUTE(SUBSTITUTE(SUBSTITUTE(SUBSTITUTE(INDEX(PASTE_ALL,$DF729,$L$18)," "," "),CHAR(9)," "),CHAR(10)," "),CHAR(13)," ")))="PM","PM",IF(OR(UPPER(TRIM(SUBSTITUTE(SUBSTITUTE(SUBSTITUTE(SUBSTITUTE(INDEX(PASTE_ALL,$DF729,$L$18)," "," "),CHAR(9)," "),CHAR(10)," "),CHAR(13)," ")))="OT",UPPER(TRIM(SUBSTITUTE(SUBSTITUTE(SUBSTITUTE(SUBSTITUTE(INDEX(PASTE_ALL,$DF729,$L$18)," "," "),CHAR(9)," "),CHAR(10)," "),CHAR(13)," ")))="OVERTIME",UPPER(TRIM(SUBSTITUTE(SUBSTITUTE(SUBSTITUTE(SUBSTITUTE(INDEX(PASTE_ALL,$DF729,$L$18)," "," "),CHAR(9)," "),CHAR(10)," "),CHAR(13)," ")))="TRIAL"),"OT",TRIM(SUBSTITUTE(SUBSTITUTE(SUBSTITUTE(SUBSTITUTE(INDEX(PASTE_ALL,$DF729,$L$18)," "," "),CHAR(9)," "),CHAR(10)," "),CHAR(13)," "))))),"")))</f>
        <v/>
      </c>
      <c r="EC729">
        <f>IF($DM729=0,"",IF($L$19=0,"",IFERROR(IF(ISNUMBER(INDEX(PASTE_ALL,$DF729,$L$19)),INDEX(PASTE_ALL,$DF729,$L$19),TRIM(SUBSTITUTE(SUBSTITUTE(SUBSTITUTE(SUBSTITUTE(INDEX(PASTE_ALL,$DF729,$L$19)," "," "),CHAR(9)," "),CHAR(10)," "),CHAR(13)," "))),"")))</f>
        <v/>
      </c>
      <c r="ED729">
        <f>IF($DM729=0,"",MATCH(1,INDEX(EXACT($DH$5:DH729,$DH729)*$DM$5:DM729,0),0))</f>
        <v/>
      </c>
      <c r="EE729">
        <f>IF($DM729=0,0,IF($ED729=$DE729,1,0))</f>
        <v/>
      </c>
      <c r="EF729">
        <f>EF728+$EE729</f>
        <v/>
      </c>
      <c r="EG729">
        <f>IF($DM729=0,"",INDEX($EF$5:$EF$1003,$ED729))</f>
        <v/>
      </c>
      <c r="EH729">
        <f>IF($DM729=0,"",IF($DO729&lt;&gt;"","",IFERROR(LOOKUP(2,1/(($EG$4:EG728=$EG729)*($DO$4:DO728&lt;&gt;"")),$DO$4:DO728),"")))</f>
        <v/>
      </c>
      <c r="EI729">
        <f>IF($DM729=0,"",IF($DO729&lt;&gt;"",$DO729,$EH729))</f>
        <v/>
      </c>
      <c r="EJ729">
        <f>IF($DM729=0,"",IF($EI729="",0,IF(OR(ISNUMBER($EI729),AND(AND(SUBSTITUTE(SUBSTITUTE(SUBSTITUTE(SUBSTITUTE(SUBSTITUTE(SUBSTITUTE(SUBSTITUTE(SUBSTITUTE(SUBSTITUTE(SUBSTITUTE(SUBSTITUTE(SUBSTITUTE(SUBSTITUTE(SUBSTITUTE(UPPER($EI729),"0",""),"1",""),"2",""),"3",""),"4",""),"5",""),"6",""),"7",""),"8",""),"9",""),".",""),"+",""),"-",""),"E","")="",LEN(SUBSTITUTE(SUBSTITUTE(MID(UPPER($EI729),1+OR(LEFT(UPPER($EI729),1)="+",LEFT(UPPER($EI729),1)="-"),999),"E+","E"),"E-","E"))=LEN(SUBSTITUTE(SUBSTITUTE(SUBSTITUTE(SUBSTITUTE(MID(UPPER($EI729),1+OR(LEFT(UPPER($EI729),1)="+",LEFT(UPPER($EI729),1)="-"),999),"E+","E"),"E-","E"),"+",""),"-","")),LEN(UPPER($EI729))-LEN(SUBSTITUTE(UPPER($EI729),"E",""))&lt;2,LEN(UPPER($EI729))-LEN(SUBSTITUTE(UPPER($EI729),".",""))&lt;2,IFERROR(FIND(".",UPPER($EI729)),0)&lt;IFERROR(FIND("E",UPPER($EI729)),999)),ISNUMBER(VALUE($EI729)))),1,2)))</f>
        <v/>
      </c>
      <c r="EK729">
        <f>IF($DM729=0,"",IF($EJ729=1,IF(ISNUMBER($EI729),$EI729,VALUE($EI729)),IF($EJ729=2,$DE729,0)))</f>
        <v/>
      </c>
      <c r="EL729">
        <f>IF($DM729=0,"",COUNTIF($EG$5:$EG$1003,"&lt;"&amp;$EG729)+SUMPRODUCT(($EG$5:$EG$1003=$EG729)*(($EJ$5:$EJ$1003&lt;$EJ729)+($EJ$5:$EJ$1003=$EJ729)*(($EK$5:$EK$1003&lt;$EK729)+($EK$5:$EK$1003=$EK729)*($DE$5:$DE$1003&lt;$DE729))))+1)</f>
        <v/>
      </c>
      <c r="EM729">
        <f>IF($DM729=0,"",$EL729+$EG729-1)</f>
        <v/>
      </c>
      <c r="EN729">
        <f>IF($DM729=0,0,IFERROR(MATCH(1,INDEX(--(TRIM(SUBSTITUTE(SUBSTITUTE(SUBSTITUTE(SUBSTITUTE(LINES_NAME&amp;""," "," "),CHAR(9)," "),CHAR(10)," "),CHAR(13)," "))=$DH729),0),0),0))</f>
        <v/>
      </c>
      <c r="EO729">
        <f>IF($EN729=0,0,IF(OR(UPPER(TRIM(INDEX(LINES_SCHEDULED,$EN729)&amp;""))="YES",UPPER(TRIM(INDEX(LINES_SCHEDULED,$EN729)&amp;""))="Y",UPPER(TRIM(INDEX(LINES_SCHEDULED,$EN729)&amp;""))="X"),1,0))</f>
        <v/>
      </c>
      <c r="EP729">
        <f>IF($DM729=0,"",IF(COUNTIFS($EG$5:$EG$1003,$EG729,$EB$5:$EB$1003,"Ready")&gt;0,"READY",IF(COUNTIFS($EG$5:$EG$1003,$EG729,$EB$5:$EB$1003,"PM")&gt;0,"PM",IF(COUNTIFS($EG$5:$EG$1003,$EG729,$EB$5:$EB$1003,"OT")&gt;0,"OT",""))))</f>
        <v/>
      </c>
      <c r="EQ729">
        <f>IF($EN729=0,"",UPPER(TRIM(INDEX(LINES_STATUS,$EN729)&amp;"")))</f>
        <v/>
      </c>
      <c r="ER729">
        <f>IF($DM729=0,"",IF(OR($EQ729="READY",$EQ729="PM",$EQ729="OT"),$EQ729,$EP729))</f>
        <v/>
      </c>
      <c r="ES729">
        <f>IF($DM729=0,"",IF(AND($DV729&lt;&gt;"",UPPER($DV729)&lt;&gt;"N"),"allergen",IF(ISNUMBER(SEARCH("oil",$DQ729)),"oil",IF(OR(EXACT($DS729,"A662"),EXACT($DS729,"A624")),"bulk",""))))</f>
        <v/>
      </c>
      <c r="ET729">
        <f>IF($DM729=0,"",IF(OR($EA729="",$EA729=0),"",$EA729/100))</f>
        <v/>
      </c>
      <c r="EU729">
        <f>IF(OR($ET729="",$DY729=""),"",INT($DY729*(1-$ET729)+0.5))</f>
        <v/>
      </c>
    </row>
    <row r="730">
      <c r="DA730" t="n">
        <v>726</v>
      </c>
      <c r="DB730">
        <f>IF($B$37=0,"",IFERROR(TRIM(SUBSTITUTE(SUBSTITUTE(SUBSTITUTE(SUBSTITUTE(INDEX(PASTE_ALL,726,$B$37)," "," "),CHAR(9)," "),CHAR(10)," "),CHAR(13)," ")),""))</f>
        <v/>
      </c>
      <c r="DC730">
        <f>IF(AND(726&gt;HEADER_ROW,UPPER(DB730)="LEGEND"),1,0)</f>
        <v/>
      </c>
      <c r="DE730" t="n">
        <v>726</v>
      </c>
      <c r="DF730">
        <f>HEADER_ROW+$DE730</f>
        <v/>
      </c>
      <c r="DG730">
        <f>IF(AND($DF730&lt;=1000,$DF730&lt;$B$8),1,0)</f>
        <v/>
      </c>
      <c r="DH730">
        <f>IF($DG730=1,IFERROR(INDEX($DB$5:$DB$1004,$DF730),""),"")</f>
        <v/>
      </c>
      <c r="DI730">
        <f>IF(AND($DG730=1,$DH730&lt;&gt;""),IFERROR(SUBSTITUTE(SUBSTITUTE(TRIM(SUBSTITUTE(SUBSTITUTE(SUBSTITUTE(SUBSTITUTE(IFERROR(INDEX(PASTE_ALL,$DF730,1)&amp;"","")&amp;"␟"&amp;IFERROR(INDEX(PASTE_ALL,$DF730,2)&amp;"","")&amp;"␟"&amp;IFERROR(INDEX(PASTE_ALL,$DF730,3)&amp;"","")&amp;"␟"&amp;IFERROR(INDEX(PASTE_ALL,$DF730,4)&amp;"","")&amp;"␟"&amp;IFERROR(INDEX(PASTE_ALL,$DF730,5)&amp;"","")&amp;"␟"&amp;IFERROR(INDEX(PASTE_ALL,$DF730,6)&amp;"","")&amp;"␟"&amp;IFERROR(INDEX(PASTE_ALL,$DF730,7)&amp;"","")&amp;"␟"&amp;IFERROR(INDEX(PASTE_ALL,$DF730,8)&amp;"","")&amp;"␟"&amp;IFERROR(INDEX(PASTE_ALL,$DF730,9)&amp;"","")&amp;"␟"&amp;IFERROR(INDEX(PASTE_ALL,$DF730,10)&amp;"","")&amp;"␟"&amp;IFERROR(INDEX(PASTE_ALL,$DF730,11)&amp;"","")&amp;"␟"&amp;IFERROR(INDEX(PASTE_ALL,$DF730,12)&amp;"","")&amp;"␟"&amp;IFERROR(INDEX(PASTE_ALL,$DF730,13)&amp;"","")&amp;"␟"&amp;IFERROR(INDEX(PASTE_ALL,$DF730,14)&amp;"","")&amp;"␟"&amp;IFERROR(INDEX(PASTE_ALL,$DF730,15)&amp;"","")&amp;"␟"&amp;IFERROR(INDEX(PASTE_ALL,$DF730,16)&amp;"","")&amp;"␟"&amp;IFERROR(INDEX(PASTE_ALL,$DF730,17)&amp;"","")&amp;"␟"&amp;IFERROR(INDEX(PASTE_ALL,$DF730,18)&amp;"","")&amp;"␟"&amp;IFERROR(INDEX(PASTE_ALL,$DF730,19)&amp;"","")&amp;"␟"&amp;IFERROR(INDEX(PASTE_ALL,$DF730,20)&amp;"","")&amp;"␟"&amp;IFERROR(INDEX(PASTE_ALL,$DF730,21)&amp;"","")&amp;"␟"&amp;IFERROR(INDEX(PASTE_ALL,$DF730,22)&amp;"","")&amp;"␟"&amp;IFERROR(INDEX(PASTE_ALL,$DF730,23)&amp;"","")&amp;"␟"&amp;IFERROR(INDEX(PASTE_ALL,$DF730,24)&amp;"","")&amp;"␟"&amp;IFERROR(INDEX(PASTE_ALL,$DF730,25)&amp;"","")&amp;"␟"&amp;IFERROR(INDEX(PASTE_ALL,$DF730,26)&amp;"","")&amp;"␟"&amp;IFERROR(INDEX(PASTE_ALL,$DF730,27)&amp;"","")&amp;"␟"&amp;IFERROR(INDEX(PASTE_ALL,$DF730,28)&amp;"","")&amp;"␟"&amp;IFERROR(INDEX(PASTE_ALL,$DF730,29)&amp;"","")&amp;"␟"&amp;IFERROR(INDEX(PASTE_ALL,$DF730,30)&amp;"","")&amp;"␟"&amp;IFERROR(INDEX(PASTE_ALL,$DF730,31)&amp;"","")&amp;"␟"&amp;IFERROR(INDEX(PASTE_ALL,$DF730,32)&amp;"","")&amp;"␟"&amp;IFERROR(INDEX(PASTE_ALL,$DF730,33)&amp;"","")&amp;"␟"&amp;IFERROR(INDEX(PASTE_ALL,$DF730,34)&amp;"","")&amp;"␟"&amp;IFERROR(INDEX(PASTE_ALL,$DF730,35)&amp;"","")&amp;"␟"&amp;IFERROR(INDEX(PASTE_ALL,$DF730,36)&amp;"","")&amp;"␟"&amp;IFERROR(INDEX(PASTE_ALL,$DF730,37)&amp;"","")&amp;"␟"&amp;IFERROR(INDEX(PASTE_ALL,$DF730,38)&amp;"","")&amp;"␟"&amp;IFERROR(INDEX(PASTE_ALL,$DF730,39)&amp;"","")&amp;"␟"&amp;IFERROR(INDEX(PASTE_ALL,$DF730,40)&amp;"","")&amp;"␟"&amp;IFERROR(INDEX(PASTE_ALL,$DF730,41)&amp;"","")&amp;"␟"&amp;IFERROR(INDEX(PASTE_ALL,$DF730,42)&amp;"","")&amp;"␟"&amp;IFERROR(INDEX(PASTE_ALL,$DF730,43)&amp;"","")&amp;"␟"&amp;IFERROR(INDEX(PASTE_ALL,$DF730,44)&amp;"","")&amp;"␟"&amp;IFERROR(INDEX(PASTE_ALL,$DF730,45)&amp;"","")&amp;"␟"&amp;IFERROR(INDEX(PASTE_ALL,$DF730,46)&amp;"","")&amp;"␟"&amp;IFERROR(INDEX(PASTE_ALL,$DF730,47)&amp;"","")&amp;"␟"&amp;IFERROR(INDEX(PASTE_ALL,$DF730,48)&amp;"","")&amp;"␟"&amp;IFERROR(INDEX(PASTE_ALL,$DF730,49)&amp;"","")&amp;"␟"&amp;IFERROR(INDEX(PASTE_ALL,$DF730,50)&amp;"","")&amp;"␟"&amp;IFERROR(INDEX(PASTE_ALL,$DF730,51)&amp;"","")&amp;"␟"&amp;IFERROR(INDEX(PASTE_ALL,$DF730,52)&amp;"","")&amp;"␟"&amp;IFERROR(INDEX(PASTE_ALL,$DF730,53)&amp;"","")&amp;"␟"&amp;IFERROR(INDEX(PASTE_ALL,$DF730,54)&amp;"","")&amp;"␟"&amp;IFERROR(INDEX(PASTE_ALL,$DF730,55)&amp;"","")&amp;"␟"&amp;IFERROR(INDEX(PASTE_ALL,$DF730,56)&amp;"","")&amp;"␟"&amp;IFERROR(INDEX(PASTE_ALL,$DF730,57)&amp;"","")&amp;"␟"&amp;IFERROR(INDEX(PASTE_ALL,$DF730,58)&amp;"","")&amp;"␟"&amp;IFERROR(INDEX(PASTE_ALL,$DF730,59)&amp;"","")&amp;"␟"&amp;IFERROR(INDEX(PASTE_ALL,$DF730,60)&amp;"","")," "," "),CHAR(9)," "),CHAR(10)," "),CHAR(13)," "))," ␟","␟"),"␟ ","␟"),"#"&amp;$DE730),"")</f>
        <v/>
      </c>
      <c r="DJ730">
        <f>IF($DI730="",0,IF(SUMPRODUCT(--EXACT($DI$4:DI729,$DI730))&gt;0,1,0))</f>
        <v/>
      </c>
      <c r="DK730">
        <f>IF(AND($DI730&lt;&gt;"",$DJ730=0),1,0)</f>
        <v/>
      </c>
      <c r="DL730">
        <f>DL729+$DK730</f>
        <v/>
      </c>
      <c r="DM730">
        <f>IF(AND($DK730=1,$DL730&lt;=600),1,0)</f>
        <v/>
      </c>
      <c r="DN730">
        <f>IF($DM730=0,"",IF($L$6=0,"",IFERROR(IF(ISNUMBER(INDEX(PASTE_ALL,$DF730,$L$6)),INDEX(PASTE_ALL,$DF730,$L$6),TRIM(SUBSTITUTE(SUBSTITUTE(SUBSTITUTE(SUBSTITUTE(INDEX(PASTE_ALL,$DF730,$L$6)," "," "),CHAR(9)," "),CHAR(10)," "),CHAR(13)," "))),"")))</f>
        <v/>
      </c>
      <c r="DO730">
        <f>IF($DM730=0,"",IF($L$7=0,"",IFERROR(IF(ISNUMBER(INDEX(PASTE_ALL,$DF730,$L$7)),INDEX(PASTE_ALL,$DF730,$L$7),TRIM(SUBSTITUTE(SUBSTITUTE(SUBSTITUTE(SUBSTITUTE(INDEX(PASTE_ALL,$DF730,$L$7)," "," "),CHAR(9)," "),CHAR(10)," "),CHAR(13)," "))),"")))</f>
        <v/>
      </c>
      <c r="DP730">
        <f>IF($DM730=0,"",IF($L$8=0,"",IFERROR(IF(ISNUMBER(INDEX(PASTE_ALL,$DF730,$L$8)),INDEX(PASTE_ALL,$DF730,$L$8),TRIM(SUBSTITUTE(SUBSTITUTE(SUBSTITUTE(SUBSTITUTE(INDEX(PASTE_ALL,$DF730,$L$8)," "," "),CHAR(9)," "),CHAR(10)," "),CHAR(13)," "))),"")))</f>
        <v/>
      </c>
      <c r="DQ730">
        <f>IF($DM730=0,"",IF($L$9=0,"",IFERROR(IF(ISNUMBER(INDEX(PASTE_ALL,$DF730,$L$9)),INDEX(PASTE_ALL,$DF730,$L$9),TRIM(SUBSTITUTE(SUBSTITUTE(SUBSTITUTE(SUBSTITUTE(INDEX(PASTE_ALL,$DF730,$L$9)," "," "),CHAR(9)," "),CHAR(10)," "),CHAR(13)," "))),"")))</f>
        <v/>
      </c>
      <c r="DR730">
        <f>IF($DM730=0,"",IF($L$10=0,"",IFERROR(IF(ISNUMBER(INDEX(PASTE_ALL,$DF730,$L$10)),INDEX(PASTE_ALL,$DF730,$L$10),TRIM(SUBSTITUTE(SUBSTITUTE(SUBSTITUTE(SUBSTITUTE(INDEX(PASTE_ALL,$DF730,$L$10)," "," "),CHAR(9)," "),CHAR(10)," "),CHAR(13)," "))),"")))</f>
        <v/>
      </c>
      <c r="DS730">
        <f>IF($DM730=0,"",IF($L$11=0,"",IFERROR(IF(ISNUMBER(INDEX(PASTE_ALL,$DF730,$L$11)),INDEX(PASTE_ALL,$DF730,$L$11),TRIM(SUBSTITUTE(SUBSTITUTE(SUBSTITUTE(SUBSTITUTE(INDEX(PASTE_ALL,$DF730,$L$11)," "," "),CHAR(9)," "),CHAR(10)," "),CHAR(13)," "))),"")))</f>
        <v/>
      </c>
      <c r="DT730">
        <f>IF($DM730=0,"",IF($L$12=0,"",IFERROR(IF(ISNUMBER(INDEX(PASTE_ALL,$DF730,$L$12)),INDEX(PASTE_ALL,$DF730,$L$12),TRIM(SUBSTITUTE(SUBSTITUTE(SUBSTITUTE(SUBSTITUTE(INDEX(PASTE_ALL,$DF730,$L$12)," "," "),CHAR(9)," "),CHAR(10)," "),CHAR(13)," "))),"")))</f>
        <v/>
      </c>
      <c r="DU730">
        <f>IF($DM730=0,"",IF($L$13=0,"",IFERROR(IF(ISNUMBER(INDEX(PASTE_ALL,$DF730,$L$13)),INDEX(PASTE_ALL,$DF730,$L$13),TRIM(SUBSTITUTE(SUBSTITUTE(SUBSTITUTE(SUBSTITUTE(INDEX(PASTE_ALL,$DF730,$L$13)," "," "),CHAR(9)," "),CHAR(10)," "),CHAR(13)," "))),"")))</f>
        <v/>
      </c>
      <c r="DV730">
        <f>IF($DM730=0,"",IF($L$14=0,"",IFERROR(IF(ISNUMBER(INDEX(PASTE_ALL,$DF730,$L$14)),INDEX(PASTE_ALL,$DF730,$L$14),TRIM(SUBSTITUTE(SUBSTITUTE(SUBSTITUTE(SUBSTITUTE(INDEX(PASTE_ALL,$DF730,$L$14)," "," "),CHAR(9)," "),CHAR(10)," "),CHAR(13)," "))),"")))</f>
        <v/>
      </c>
      <c r="DW730">
        <f>IF($DM730=0,"",IF($L$15=0,"",IFERROR(IF(ISNUMBER(INDEX(PASTE_ALL,$DF730,$L$15)),INDEX(PASTE_ALL,$DF730,$L$15),IF(SUMPRODUCT(--ISNUMBER(FIND({"A","B","C","D","E","F","G","H","I","J","K","L","M","N","O","P","Q","R","S","T","U","V","W","X","Y","Z","0","1","2","3","4","5","6","7","8","9"},UPPER(TRIM(SUBSTITUTE(SUBSTITUTE(SUBSTITUTE(SUBSTITUTE(INDEX(PASTE_ALL,$DF730,$L$15)," "," "),CHAR(9)," "),CHAR(10)," "),CHAR(13)," "))))))&gt;0,TRIM(SUBSTITUTE(SUBSTITUTE(SUBSTITUTE(SUBSTITUTE(INDEX(PASTE_ALL,$DF730,$L$15)," "," "),CHAR(9)," "),CHAR(10)," "),CHAR(13)," ")),"")),"")))</f>
        <v/>
      </c>
      <c r="DX730">
        <f>IF($DM730=0,"",IF($L$16=0,"",IFERROR(IF(ISNUMBER(INDEX(PASTE_ALL,$DF730,$L$16)),INDEX(PASTE_ALL,$DF730,$L$16),SUBSTITUTE(SUBSTITUTE(TRIM(SUBSTITUTE(SUBSTITUTE(SUBSTITUTE(SUBSTITUTE(INDEX(PASTE_ALL,$DF730,$L$16)," "," "),CHAR(9)," "),CHAR(10)," "),CHAR(13)," ")),",",""),"%","")),"")))</f>
        <v/>
      </c>
      <c r="DY730">
        <f>IF($DM730=0,"",IFERROR(IF(ISNUMBER($DX730),$DX730,IF($DX730="","",IF(TRIM($DX730)="",0,IF(AND(AND(SUBSTITUTE(SUBSTITUTE(SUBSTITUTE(SUBSTITUTE(SUBSTITUTE(SUBSTITUTE(SUBSTITUTE(SUBSTITUTE(SUBSTITUTE(SUBSTITUTE(SUBSTITUTE(SUBSTITUTE(SUBSTITUTE(SUBSTITUTE(UPPER(TRIM($DX730)),"0",""),"1",""),"2",""),"3",""),"4",""),"5",""),"6",""),"7",""),"8",""),"9",""),".",""),"+",""),"-",""),"E","")="",LEN(SUBSTITUTE(SUBSTITUTE(MID(UPPER(TRIM($DX730)),1+OR(LEFT(UPPER(TRIM($DX730)),1)="+",LEFT(UPPER(TRIM($DX730)),1)="-"),999),"E+","E"),"E-","E"))=LEN(SUBSTITUTE(SUBSTITUTE(SUBSTITUTE(SUBSTITUTE(MID(UPPER(TRIM($DX730)),1+OR(LEFT(UPPER(TRIM($DX730)),1)="+",LEFT(UPPER(TRIM($DX730)),1)="-"),999),"E+","E"),"E-","E"),"+",""),"-","")),LEN(UPPER(TRIM($DX730)))-LEN(SUBSTITUTE(UPPER(TRIM($DX730)),"E",""))&lt;2,LEN(UPPER(TRIM($DX730)))-LEN(SUBSTITUTE(UPPER(TRIM($DX730)),".",""))&lt;2,IFERROR(FIND(".",UPPER(TRIM($DX730))),0)&lt;IFERROR(FIND("E",UPPER(TRIM($DX730))),999)),ISNUMBER(VALUE(TRIM($DX730)))),VALUE(TRIM($DX730)),"")))),""))</f>
        <v/>
      </c>
      <c r="DZ730">
        <f>IF($DM730=0,"",IF($L$17=0,"",IFERROR(IF(ISNUMBER(INDEX(PASTE_ALL,$DF730,$L$17)),INDEX(PASTE_ALL,$DF730,$L$17),SUBSTITUTE(SUBSTITUTE(TRIM(SUBSTITUTE(SUBSTITUTE(SUBSTITUTE(SUBSTITUTE(INDEX(PASTE_ALL,$DF730,$L$17)," "," "),CHAR(9)," "),CHAR(10)," "),CHAR(13)," ")),",",""),"%","")),"")))</f>
        <v/>
      </c>
      <c r="EA730">
        <f>IF($DM730=0,"",IFERROR(IF(ISNUMBER($DZ730),$DZ730,IF($DZ730="","",IF(TRIM($DZ730)="",0,IF(AND(AND(SUBSTITUTE(SUBSTITUTE(SUBSTITUTE(SUBSTITUTE(SUBSTITUTE(SUBSTITUTE(SUBSTITUTE(SUBSTITUTE(SUBSTITUTE(SUBSTITUTE(SUBSTITUTE(SUBSTITUTE(SUBSTITUTE(SUBSTITUTE(UPPER(TRIM($DZ730)),"0",""),"1",""),"2",""),"3",""),"4",""),"5",""),"6",""),"7",""),"8",""),"9",""),".",""),"+",""),"-",""),"E","")="",LEN(SUBSTITUTE(SUBSTITUTE(MID(UPPER(TRIM($DZ730)),1+OR(LEFT(UPPER(TRIM($DZ730)),1)="+",LEFT(UPPER(TRIM($DZ730)),1)="-"),999),"E+","E"),"E-","E"))=LEN(SUBSTITUTE(SUBSTITUTE(SUBSTITUTE(SUBSTITUTE(MID(UPPER(TRIM($DZ730)),1+OR(LEFT(UPPER(TRIM($DZ730)),1)="+",LEFT(UPPER(TRIM($DZ730)),1)="-"),999),"E+","E"),"E-","E"),"+",""),"-","")),LEN(UPPER(TRIM($DZ730)))-LEN(SUBSTITUTE(UPPER(TRIM($DZ730)),"E",""))&lt;2,LEN(UPPER(TRIM($DZ730)))-LEN(SUBSTITUTE(UPPER(TRIM($DZ730)),".",""))&lt;2,IFERROR(FIND(".",UPPER(TRIM($DZ730))),0)&lt;IFERROR(FIND("E",UPPER(TRIM($DZ730))),999)),ISNUMBER(VALUE(TRIM($DZ730)))),VALUE(TRIM($DZ730)),"")))),""))</f>
        <v/>
      </c>
      <c r="EB730">
        <f>IF($DM730=0,"",IF($L$18=0,"",IFERROR(IF(UPPER(TRIM(SUBSTITUTE(SUBSTITUTE(SUBSTITUTE(SUBSTITUTE(INDEX(PASTE_ALL,$DF730,$L$18)," "," "),CHAR(9)," "),CHAR(10)," "),CHAR(13)," ")))="READY","Ready",IF(UPPER(TRIM(SUBSTITUTE(SUBSTITUTE(SUBSTITUTE(SUBSTITUTE(INDEX(PASTE_ALL,$DF730,$L$18)," "," "),CHAR(9)," "),CHAR(10)," "),CHAR(13)," ")))="PM","PM",IF(OR(UPPER(TRIM(SUBSTITUTE(SUBSTITUTE(SUBSTITUTE(SUBSTITUTE(INDEX(PASTE_ALL,$DF730,$L$18)," "," "),CHAR(9)," "),CHAR(10)," "),CHAR(13)," ")))="OT",UPPER(TRIM(SUBSTITUTE(SUBSTITUTE(SUBSTITUTE(SUBSTITUTE(INDEX(PASTE_ALL,$DF730,$L$18)," "," "),CHAR(9)," "),CHAR(10)," "),CHAR(13)," ")))="OVERTIME",UPPER(TRIM(SUBSTITUTE(SUBSTITUTE(SUBSTITUTE(SUBSTITUTE(INDEX(PASTE_ALL,$DF730,$L$18)," "," "),CHAR(9)," "),CHAR(10)," "),CHAR(13)," ")))="TRIAL"),"OT",TRIM(SUBSTITUTE(SUBSTITUTE(SUBSTITUTE(SUBSTITUTE(INDEX(PASTE_ALL,$DF730,$L$18)," "," "),CHAR(9)," "),CHAR(10)," "),CHAR(13)," "))))),"")))</f>
        <v/>
      </c>
      <c r="EC730">
        <f>IF($DM730=0,"",IF($L$19=0,"",IFERROR(IF(ISNUMBER(INDEX(PASTE_ALL,$DF730,$L$19)),INDEX(PASTE_ALL,$DF730,$L$19),TRIM(SUBSTITUTE(SUBSTITUTE(SUBSTITUTE(SUBSTITUTE(INDEX(PASTE_ALL,$DF730,$L$19)," "," "),CHAR(9)," "),CHAR(10)," "),CHAR(13)," "))),"")))</f>
        <v/>
      </c>
      <c r="ED730">
        <f>IF($DM730=0,"",MATCH(1,INDEX(EXACT($DH$5:DH730,$DH730)*$DM$5:DM730,0),0))</f>
        <v/>
      </c>
      <c r="EE730">
        <f>IF($DM730=0,0,IF($ED730=$DE730,1,0))</f>
        <v/>
      </c>
      <c r="EF730">
        <f>EF729+$EE730</f>
        <v/>
      </c>
      <c r="EG730">
        <f>IF($DM730=0,"",INDEX($EF$5:$EF$1003,$ED730))</f>
        <v/>
      </c>
      <c r="EH730">
        <f>IF($DM730=0,"",IF($DO730&lt;&gt;"","",IFERROR(LOOKUP(2,1/(($EG$4:EG729=$EG730)*($DO$4:DO729&lt;&gt;"")),$DO$4:DO729),"")))</f>
        <v/>
      </c>
      <c r="EI730">
        <f>IF($DM730=0,"",IF($DO730&lt;&gt;"",$DO730,$EH730))</f>
        <v/>
      </c>
      <c r="EJ730">
        <f>IF($DM730=0,"",IF($EI730="",0,IF(OR(ISNUMBER($EI730),AND(AND(SUBSTITUTE(SUBSTITUTE(SUBSTITUTE(SUBSTITUTE(SUBSTITUTE(SUBSTITUTE(SUBSTITUTE(SUBSTITUTE(SUBSTITUTE(SUBSTITUTE(SUBSTITUTE(SUBSTITUTE(SUBSTITUTE(SUBSTITUTE(UPPER($EI730),"0",""),"1",""),"2",""),"3",""),"4",""),"5",""),"6",""),"7",""),"8",""),"9",""),".",""),"+",""),"-",""),"E","")="",LEN(SUBSTITUTE(SUBSTITUTE(MID(UPPER($EI730),1+OR(LEFT(UPPER($EI730),1)="+",LEFT(UPPER($EI730),1)="-"),999),"E+","E"),"E-","E"))=LEN(SUBSTITUTE(SUBSTITUTE(SUBSTITUTE(SUBSTITUTE(MID(UPPER($EI730),1+OR(LEFT(UPPER($EI730),1)="+",LEFT(UPPER($EI730),1)="-"),999),"E+","E"),"E-","E"),"+",""),"-","")),LEN(UPPER($EI730))-LEN(SUBSTITUTE(UPPER($EI730),"E",""))&lt;2,LEN(UPPER($EI730))-LEN(SUBSTITUTE(UPPER($EI730),".",""))&lt;2,IFERROR(FIND(".",UPPER($EI730)),0)&lt;IFERROR(FIND("E",UPPER($EI730)),999)),ISNUMBER(VALUE($EI730)))),1,2)))</f>
        <v/>
      </c>
      <c r="EK730">
        <f>IF($DM730=0,"",IF($EJ730=1,IF(ISNUMBER($EI730),$EI730,VALUE($EI730)),IF($EJ730=2,$DE730,0)))</f>
        <v/>
      </c>
      <c r="EL730">
        <f>IF($DM730=0,"",COUNTIF($EG$5:$EG$1003,"&lt;"&amp;$EG730)+SUMPRODUCT(($EG$5:$EG$1003=$EG730)*(($EJ$5:$EJ$1003&lt;$EJ730)+($EJ$5:$EJ$1003=$EJ730)*(($EK$5:$EK$1003&lt;$EK730)+($EK$5:$EK$1003=$EK730)*($DE$5:$DE$1003&lt;$DE730))))+1)</f>
        <v/>
      </c>
      <c r="EM730">
        <f>IF($DM730=0,"",$EL730+$EG730-1)</f>
        <v/>
      </c>
      <c r="EN730">
        <f>IF($DM730=0,0,IFERROR(MATCH(1,INDEX(--(TRIM(SUBSTITUTE(SUBSTITUTE(SUBSTITUTE(SUBSTITUTE(LINES_NAME&amp;""," "," "),CHAR(9)," "),CHAR(10)," "),CHAR(13)," "))=$DH730),0),0),0))</f>
        <v/>
      </c>
      <c r="EO730">
        <f>IF($EN730=0,0,IF(OR(UPPER(TRIM(INDEX(LINES_SCHEDULED,$EN730)&amp;""))="YES",UPPER(TRIM(INDEX(LINES_SCHEDULED,$EN730)&amp;""))="Y",UPPER(TRIM(INDEX(LINES_SCHEDULED,$EN730)&amp;""))="X"),1,0))</f>
        <v/>
      </c>
      <c r="EP730">
        <f>IF($DM730=0,"",IF(COUNTIFS($EG$5:$EG$1003,$EG730,$EB$5:$EB$1003,"Ready")&gt;0,"READY",IF(COUNTIFS($EG$5:$EG$1003,$EG730,$EB$5:$EB$1003,"PM")&gt;0,"PM",IF(COUNTIFS($EG$5:$EG$1003,$EG730,$EB$5:$EB$1003,"OT")&gt;0,"OT",""))))</f>
        <v/>
      </c>
      <c r="EQ730">
        <f>IF($EN730=0,"",UPPER(TRIM(INDEX(LINES_STATUS,$EN730)&amp;"")))</f>
        <v/>
      </c>
      <c r="ER730">
        <f>IF($DM730=0,"",IF(OR($EQ730="READY",$EQ730="PM",$EQ730="OT"),$EQ730,$EP730))</f>
        <v/>
      </c>
      <c r="ES730">
        <f>IF($DM730=0,"",IF(AND($DV730&lt;&gt;"",UPPER($DV730)&lt;&gt;"N"),"allergen",IF(ISNUMBER(SEARCH("oil",$DQ730)),"oil",IF(OR(EXACT($DS730,"A662"),EXACT($DS730,"A624")),"bulk",""))))</f>
        <v/>
      </c>
      <c r="ET730">
        <f>IF($DM730=0,"",IF(OR($EA730="",$EA730=0),"",$EA730/100))</f>
        <v/>
      </c>
      <c r="EU730">
        <f>IF(OR($ET730="",$DY730=""),"",INT($DY730*(1-$ET730)+0.5))</f>
        <v/>
      </c>
    </row>
    <row r="731">
      <c r="DA731" t="n">
        <v>727</v>
      </c>
      <c r="DB731">
        <f>IF($B$37=0,"",IFERROR(TRIM(SUBSTITUTE(SUBSTITUTE(SUBSTITUTE(SUBSTITUTE(INDEX(PASTE_ALL,727,$B$37)," "," "),CHAR(9)," "),CHAR(10)," "),CHAR(13)," ")),""))</f>
        <v/>
      </c>
      <c r="DC731">
        <f>IF(AND(727&gt;HEADER_ROW,UPPER(DB731)="LEGEND"),1,0)</f>
        <v/>
      </c>
      <c r="DE731" t="n">
        <v>727</v>
      </c>
      <c r="DF731">
        <f>HEADER_ROW+$DE731</f>
        <v/>
      </c>
      <c r="DG731">
        <f>IF(AND($DF731&lt;=1000,$DF731&lt;$B$8),1,0)</f>
        <v/>
      </c>
      <c r="DH731">
        <f>IF($DG731=1,IFERROR(INDEX($DB$5:$DB$1004,$DF731),""),"")</f>
        <v/>
      </c>
      <c r="DI731">
        <f>IF(AND($DG731=1,$DH731&lt;&gt;""),IFERROR(SUBSTITUTE(SUBSTITUTE(TRIM(SUBSTITUTE(SUBSTITUTE(SUBSTITUTE(SUBSTITUTE(IFERROR(INDEX(PASTE_ALL,$DF731,1)&amp;"","")&amp;"␟"&amp;IFERROR(INDEX(PASTE_ALL,$DF731,2)&amp;"","")&amp;"␟"&amp;IFERROR(INDEX(PASTE_ALL,$DF731,3)&amp;"","")&amp;"␟"&amp;IFERROR(INDEX(PASTE_ALL,$DF731,4)&amp;"","")&amp;"␟"&amp;IFERROR(INDEX(PASTE_ALL,$DF731,5)&amp;"","")&amp;"␟"&amp;IFERROR(INDEX(PASTE_ALL,$DF731,6)&amp;"","")&amp;"␟"&amp;IFERROR(INDEX(PASTE_ALL,$DF731,7)&amp;"","")&amp;"␟"&amp;IFERROR(INDEX(PASTE_ALL,$DF731,8)&amp;"","")&amp;"␟"&amp;IFERROR(INDEX(PASTE_ALL,$DF731,9)&amp;"","")&amp;"␟"&amp;IFERROR(INDEX(PASTE_ALL,$DF731,10)&amp;"","")&amp;"␟"&amp;IFERROR(INDEX(PASTE_ALL,$DF731,11)&amp;"","")&amp;"␟"&amp;IFERROR(INDEX(PASTE_ALL,$DF731,12)&amp;"","")&amp;"␟"&amp;IFERROR(INDEX(PASTE_ALL,$DF731,13)&amp;"","")&amp;"␟"&amp;IFERROR(INDEX(PASTE_ALL,$DF731,14)&amp;"","")&amp;"␟"&amp;IFERROR(INDEX(PASTE_ALL,$DF731,15)&amp;"","")&amp;"␟"&amp;IFERROR(INDEX(PASTE_ALL,$DF731,16)&amp;"","")&amp;"␟"&amp;IFERROR(INDEX(PASTE_ALL,$DF731,17)&amp;"","")&amp;"␟"&amp;IFERROR(INDEX(PASTE_ALL,$DF731,18)&amp;"","")&amp;"␟"&amp;IFERROR(INDEX(PASTE_ALL,$DF731,19)&amp;"","")&amp;"␟"&amp;IFERROR(INDEX(PASTE_ALL,$DF731,20)&amp;"","")&amp;"␟"&amp;IFERROR(INDEX(PASTE_ALL,$DF731,21)&amp;"","")&amp;"␟"&amp;IFERROR(INDEX(PASTE_ALL,$DF731,22)&amp;"","")&amp;"␟"&amp;IFERROR(INDEX(PASTE_ALL,$DF731,23)&amp;"","")&amp;"␟"&amp;IFERROR(INDEX(PASTE_ALL,$DF731,24)&amp;"","")&amp;"␟"&amp;IFERROR(INDEX(PASTE_ALL,$DF731,25)&amp;"","")&amp;"␟"&amp;IFERROR(INDEX(PASTE_ALL,$DF731,26)&amp;"","")&amp;"␟"&amp;IFERROR(INDEX(PASTE_ALL,$DF731,27)&amp;"","")&amp;"␟"&amp;IFERROR(INDEX(PASTE_ALL,$DF731,28)&amp;"","")&amp;"␟"&amp;IFERROR(INDEX(PASTE_ALL,$DF731,29)&amp;"","")&amp;"␟"&amp;IFERROR(INDEX(PASTE_ALL,$DF731,30)&amp;"","")&amp;"␟"&amp;IFERROR(INDEX(PASTE_ALL,$DF731,31)&amp;"","")&amp;"␟"&amp;IFERROR(INDEX(PASTE_ALL,$DF731,32)&amp;"","")&amp;"␟"&amp;IFERROR(INDEX(PASTE_ALL,$DF731,33)&amp;"","")&amp;"␟"&amp;IFERROR(INDEX(PASTE_ALL,$DF731,34)&amp;"","")&amp;"␟"&amp;IFERROR(INDEX(PASTE_ALL,$DF731,35)&amp;"","")&amp;"␟"&amp;IFERROR(INDEX(PASTE_ALL,$DF731,36)&amp;"","")&amp;"␟"&amp;IFERROR(INDEX(PASTE_ALL,$DF731,37)&amp;"","")&amp;"␟"&amp;IFERROR(INDEX(PASTE_ALL,$DF731,38)&amp;"","")&amp;"␟"&amp;IFERROR(INDEX(PASTE_ALL,$DF731,39)&amp;"","")&amp;"␟"&amp;IFERROR(INDEX(PASTE_ALL,$DF731,40)&amp;"","")&amp;"␟"&amp;IFERROR(INDEX(PASTE_ALL,$DF731,41)&amp;"","")&amp;"␟"&amp;IFERROR(INDEX(PASTE_ALL,$DF731,42)&amp;"","")&amp;"␟"&amp;IFERROR(INDEX(PASTE_ALL,$DF731,43)&amp;"","")&amp;"␟"&amp;IFERROR(INDEX(PASTE_ALL,$DF731,44)&amp;"","")&amp;"␟"&amp;IFERROR(INDEX(PASTE_ALL,$DF731,45)&amp;"","")&amp;"␟"&amp;IFERROR(INDEX(PASTE_ALL,$DF731,46)&amp;"","")&amp;"␟"&amp;IFERROR(INDEX(PASTE_ALL,$DF731,47)&amp;"","")&amp;"␟"&amp;IFERROR(INDEX(PASTE_ALL,$DF731,48)&amp;"","")&amp;"␟"&amp;IFERROR(INDEX(PASTE_ALL,$DF731,49)&amp;"","")&amp;"␟"&amp;IFERROR(INDEX(PASTE_ALL,$DF731,50)&amp;"","")&amp;"␟"&amp;IFERROR(INDEX(PASTE_ALL,$DF731,51)&amp;"","")&amp;"␟"&amp;IFERROR(INDEX(PASTE_ALL,$DF731,52)&amp;"","")&amp;"␟"&amp;IFERROR(INDEX(PASTE_ALL,$DF731,53)&amp;"","")&amp;"␟"&amp;IFERROR(INDEX(PASTE_ALL,$DF731,54)&amp;"","")&amp;"␟"&amp;IFERROR(INDEX(PASTE_ALL,$DF731,55)&amp;"","")&amp;"␟"&amp;IFERROR(INDEX(PASTE_ALL,$DF731,56)&amp;"","")&amp;"␟"&amp;IFERROR(INDEX(PASTE_ALL,$DF731,57)&amp;"","")&amp;"␟"&amp;IFERROR(INDEX(PASTE_ALL,$DF731,58)&amp;"","")&amp;"␟"&amp;IFERROR(INDEX(PASTE_ALL,$DF731,59)&amp;"","")&amp;"␟"&amp;IFERROR(INDEX(PASTE_ALL,$DF731,60)&amp;"","")," "," "),CHAR(9)," "),CHAR(10)," "),CHAR(13)," "))," ␟","␟"),"␟ ","␟"),"#"&amp;$DE731),"")</f>
        <v/>
      </c>
      <c r="DJ731">
        <f>IF($DI731="",0,IF(SUMPRODUCT(--EXACT($DI$4:DI730,$DI731))&gt;0,1,0))</f>
        <v/>
      </c>
      <c r="DK731">
        <f>IF(AND($DI731&lt;&gt;"",$DJ731=0),1,0)</f>
        <v/>
      </c>
      <c r="DL731">
        <f>DL730+$DK731</f>
        <v/>
      </c>
      <c r="DM731">
        <f>IF(AND($DK731=1,$DL731&lt;=600),1,0)</f>
        <v/>
      </c>
      <c r="DN731">
        <f>IF($DM731=0,"",IF($L$6=0,"",IFERROR(IF(ISNUMBER(INDEX(PASTE_ALL,$DF731,$L$6)),INDEX(PASTE_ALL,$DF731,$L$6),TRIM(SUBSTITUTE(SUBSTITUTE(SUBSTITUTE(SUBSTITUTE(INDEX(PASTE_ALL,$DF731,$L$6)," "," "),CHAR(9)," "),CHAR(10)," "),CHAR(13)," "))),"")))</f>
        <v/>
      </c>
      <c r="DO731">
        <f>IF($DM731=0,"",IF($L$7=0,"",IFERROR(IF(ISNUMBER(INDEX(PASTE_ALL,$DF731,$L$7)),INDEX(PASTE_ALL,$DF731,$L$7),TRIM(SUBSTITUTE(SUBSTITUTE(SUBSTITUTE(SUBSTITUTE(INDEX(PASTE_ALL,$DF731,$L$7)," "," "),CHAR(9)," "),CHAR(10)," "),CHAR(13)," "))),"")))</f>
        <v/>
      </c>
      <c r="DP731">
        <f>IF($DM731=0,"",IF($L$8=0,"",IFERROR(IF(ISNUMBER(INDEX(PASTE_ALL,$DF731,$L$8)),INDEX(PASTE_ALL,$DF731,$L$8),TRIM(SUBSTITUTE(SUBSTITUTE(SUBSTITUTE(SUBSTITUTE(INDEX(PASTE_ALL,$DF731,$L$8)," "," "),CHAR(9)," "),CHAR(10)," "),CHAR(13)," "))),"")))</f>
        <v/>
      </c>
      <c r="DQ731">
        <f>IF($DM731=0,"",IF($L$9=0,"",IFERROR(IF(ISNUMBER(INDEX(PASTE_ALL,$DF731,$L$9)),INDEX(PASTE_ALL,$DF731,$L$9),TRIM(SUBSTITUTE(SUBSTITUTE(SUBSTITUTE(SUBSTITUTE(INDEX(PASTE_ALL,$DF731,$L$9)," "," "),CHAR(9)," "),CHAR(10)," "),CHAR(13)," "))),"")))</f>
        <v/>
      </c>
      <c r="DR731">
        <f>IF($DM731=0,"",IF($L$10=0,"",IFERROR(IF(ISNUMBER(INDEX(PASTE_ALL,$DF731,$L$10)),INDEX(PASTE_ALL,$DF731,$L$10),TRIM(SUBSTITUTE(SUBSTITUTE(SUBSTITUTE(SUBSTITUTE(INDEX(PASTE_ALL,$DF731,$L$10)," "," "),CHAR(9)," "),CHAR(10)," "),CHAR(13)," "))),"")))</f>
        <v/>
      </c>
      <c r="DS731">
        <f>IF($DM731=0,"",IF($L$11=0,"",IFERROR(IF(ISNUMBER(INDEX(PASTE_ALL,$DF731,$L$11)),INDEX(PASTE_ALL,$DF731,$L$11),TRIM(SUBSTITUTE(SUBSTITUTE(SUBSTITUTE(SUBSTITUTE(INDEX(PASTE_ALL,$DF731,$L$11)," "," "),CHAR(9)," "),CHAR(10)," "),CHAR(13)," "))),"")))</f>
        <v/>
      </c>
      <c r="DT731">
        <f>IF($DM731=0,"",IF($L$12=0,"",IFERROR(IF(ISNUMBER(INDEX(PASTE_ALL,$DF731,$L$12)),INDEX(PASTE_ALL,$DF731,$L$12),TRIM(SUBSTITUTE(SUBSTITUTE(SUBSTITUTE(SUBSTITUTE(INDEX(PASTE_ALL,$DF731,$L$12)," "," "),CHAR(9)," "),CHAR(10)," "),CHAR(13)," "))),"")))</f>
        <v/>
      </c>
      <c r="DU731">
        <f>IF($DM731=0,"",IF($L$13=0,"",IFERROR(IF(ISNUMBER(INDEX(PASTE_ALL,$DF731,$L$13)),INDEX(PASTE_ALL,$DF731,$L$13),TRIM(SUBSTITUTE(SUBSTITUTE(SUBSTITUTE(SUBSTITUTE(INDEX(PASTE_ALL,$DF731,$L$13)," "," "),CHAR(9)," "),CHAR(10)," "),CHAR(13)," "))),"")))</f>
        <v/>
      </c>
      <c r="DV731">
        <f>IF($DM731=0,"",IF($L$14=0,"",IFERROR(IF(ISNUMBER(INDEX(PASTE_ALL,$DF731,$L$14)),INDEX(PASTE_ALL,$DF731,$L$14),TRIM(SUBSTITUTE(SUBSTITUTE(SUBSTITUTE(SUBSTITUTE(INDEX(PASTE_ALL,$DF731,$L$14)," "," "),CHAR(9)," "),CHAR(10)," "),CHAR(13)," "))),"")))</f>
        <v/>
      </c>
      <c r="DW731">
        <f>IF($DM731=0,"",IF($L$15=0,"",IFERROR(IF(ISNUMBER(INDEX(PASTE_ALL,$DF731,$L$15)),INDEX(PASTE_ALL,$DF731,$L$15),IF(SUMPRODUCT(--ISNUMBER(FIND({"A","B","C","D","E","F","G","H","I","J","K","L","M","N","O","P","Q","R","S","T","U","V","W","X","Y","Z","0","1","2","3","4","5","6","7","8","9"},UPPER(TRIM(SUBSTITUTE(SUBSTITUTE(SUBSTITUTE(SUBSTITUTE(INDEX(PASTE_ALL,$DF731,$L$15)," "," "),CHAR(9)," "),CHAR(10)," "),CHAR(13)," "))))))&gt;0,TRIM(SUBSTITUTE(SUBSTITUTE(SUBSTITUTE(SUBSTITUTE(INDEX(PASTE_ALL,$DF731,$L$15)," "," "),CHAR(9)," "),CHAR(10)," "),CHAR(13)," ")),"")),"")))</f>
        <v/>
      </c>
      <c r="DX731">
        <f>IF($DM731=0,"",IF($L$16=0,"",IFERROR(IF(ISNUMBER(INDEX(PASTE_ALL,$DF731,$L$16)),INDEX(PASTE_ALL,$DF731,$L$16),SUBSTITUTE(SUBSTITUTE(TRIM(SUBSTITUTE(SUBSTITUTE(SUBSTITUTE(SUBSTITUTE(INDEX(PASTE_ALL,$DF731,$L$16)," "," "),CHAR(9)," "),CHAR(10)," "),CHAR(13)," ")),",",""),"%","")),"")))</f>
        <v/>
      </c>
      <c r="DY731">
        <f>IF($DM731=0,"",IFERROR(IF(ISNUMBER($DX731),$DX731,IF($DX731="","",IF(TRIM($DX731)="",0,IF(AND(AND(SUBSTITUTE(SUBSTITUTE(SUBSTITUTE(SUBSTITUTE(SUBSTITUTE(SUBSTITUTE(SUBSTITUTE(SUBSTITUTE(SUBSTITUTE(SUBSTITUTE(SUBSTITUTE(SUBSTITUTE(SUBSTITUTE(SUBSTITUTE(UPPER(TRIM($DX731)),"0",""),"1",""),"2",""),"3",""),"4",""),"5",""),"6",""),"7",""),"8",""),"9",""),".",""),"+",""),"-",""),"E","")="",LEN(SUBSTITUTE(SUBSTITUTE(MID(UPPER(TRIM($DX731)),1+OR(LEFT(UPPER(TRIM($DX731)),1)="+",LEFT(UPPER(TRIM($DX731)),1)="-"),999),"E+","E"),"E-","E"))=LEN(SUBSTITUTE(SUBSTITUTE(SUBSTITUTE(SUBSTITUTE(MID(UPPER(TRIM($DX731)),1+OR(LEFT(UPPER(TRIM($DX731)),1)="+",LEFT(UPPER(TRIM($DX731)),1)="-"),999),"E+","E"),"E-","E"),"+",""),"-","")),LEN(UPPER(TRIM($DX731)))-LEN(SUBSTITUTE(UPPER(TRIM($DX731)),"E",""))&lt;2,LEN(UPPER(TRIM($DX731)))-LEN(SUBSTITUTE(UPPER(TRIM($DX731)),".",""))&lt;2,IFERROR(FIND(".",UPPER(TRIM($DX731))),0)&lt;IFERROR(FIND("E",UPPER(TRIM($DX731))),999)),ISNUMBER(VALUE(TRIM($DX731)))),VALUE(TRIM($DX731)),"")))),""))</f>
        <v/>
      </c>
      <c r="DZ731">
        <f>IF($DM731=0,"",IF($L$17=0,"",IFERROR(IF(ISNUMBER(INDEX(PASTE_ALL,$DF731,$L$17)),INDEX(PASTE_ALL,$DF731,$L$17),SUBSTITUTE(SUBSTITUTE(TRIM(SUBSTITUTE(SUBSTITUTE(SUBSTITUTE(SUBSTITUTE(INDEX(PASTE_ALL,$DF731,$L$17)," "," "),CHAR(9)," "),CHAR(10)," "),CHAR(13)," ")),",",""),"%","")),"")))</f>
        <v/>
      </c>
      <c r="EA731">
        <f>IF($DM731=0,"",IFERROR(IF(ISNUMBER($DZ731),$DZ731,IF($DZ731="","",IF(TRIM($DZ731)="",0,IF(AND(AND(SUBSTITUTE(SUBSTITUTE(SUBSTITUTE(SUBSTITUTE(SUBSTITUTE(SUBSTITUTE(SUBSTITUTE(SUBSTITUTE(SUBSTITUTE(SUBSTITUTE(SUBSTITUTE(SUBSTITUTE(SUBSTITUTE(SUBSTITUTE(UPPER(TRIM($DZ731)),"0",""),"1",""),"2",""),"3",""),"4",""),"5",""),"6",""),"7",""),"8",""),"9",""),".",""),"+",""),"-",""),"E","")="",LEN(SUBSTITUTE(SUBSTITUTE(MID(UPPER(TRIM($DZ731)),1+OR(LEFT(UPPER(TRIM($DZ731)),1)="+",LEFT(UPPER(TRIM($DZ731)),1)="-"),999),"E+","E"),"E-","E"))=LEN(SUBSTITUTE(SUBSTITUTE(SUBSTITUTE(SUBSTITUTE(MID(UPPER(TRIM($DZ731)),1+OR(LEFT(UPPER(TRIM($DZ731)),1)="+",LEFT(UPPER(TRIM($DZ731)),1)="-"),999),"E+","E"),"E-","E"),"+",""),"-","")),LEN(UPPER(TRIM($DZ731)))-LEN(SUBSTITUTE(UPPER(TRIM($DZ731)),"E",""))&lt;2,LEN(UPPER(TRIM($DZ731)))-LEN(SUBSTITUTE(UPPER(TRIM($DZ731)),".",""))&lt;2,IFERROR(FIND(".",UPPER(TRIM($DZ731))),0)&lt;IFERROR(FIND("E",UPPER(TRIM($DZ731))),999)),ISNUMBER(VALUE(TRIM($DZ731)))),VALUE(TRIM($DZ731)),"")))),""))</f>
        <v/>
      </c>
      <c r="EB731">
        <f>IF($DM731=0,"",IF($L$18=0,"",IFERROR(IF(UPPER(TRIM(SUBSTITUTE(SUBSTITUTE(SUBSTITUTE(SUBSTITUTE(INDEX(PASTE_ALL,$DF731,$L$18)," "," "),CHAR(9)," "),CHAR(10)," "),CHAR(13)," ")))="READY","Ready",IF(UPPER(TRIM(SUBSTITUTE(SUBSTITUTE(SUBSTITUTE(SUBSTITUTE(INDEX(PASTE_ALL,$DF731,$L$18)," "," "),CHAR(9)," "),CHAR(10)," "),CHAR(13)," ")))="PM","PM",IF(OR(UPPER(TRIM(SUBSTITUTE(SUBSTITUTE(SUBSTITUTE(SUBSTITUTE(INDEX(PASTE_ALL,$DF731,$L$18)," "," "),CHAR(9)," "),CHAR(10)," "),CHAR(13)," ")))="OT",UPPER(TRIM(SUBSTITUTE(SUBSTITUTE(SUBSTITUTE(SUBSTITUTE(INDEX(PASTE_ALL,$DF731,$L$18)," "," "),CHAR(9)," "),CHAR(10)," "),CHAR(13)," ")))="OVERTIME",UPPER(TRIM(SUBSTITUTE(SUBSTITUTE(SUBSTITUTE(SUBSTITUTE(INDEX(PASTE_ALL,$DF731,$L$18)," "," "),CHAR(9)," "),CHAR(10)," "),CHAR(13)," ")))="TRIAL"),"OT",TRIM(SUBSTITUTE(SUBSTITUTE(SUBSTITUTE(SUBSTITUTE(INDEX(PASTE_ALL,$DF731,$L$18)," "," "),CHAR(9)," "),CHAR(10)," "),CHAR(13)," "))))),"")))</f>
        <v/>
      </c>
      <c r="EC731">
        <f>IF($DM731=0,"",IF($L$19=0,"",IFERROR(IF(ISNUMBER(INDEX(PASTE_ALL,$DF731,$L$19)),INDEX(PASTE_ALL,$DF731,$L$19),TRIM(SUBSTITUTE(SUBSTITUTE(SUBSTITUTE(SUBSTITUTE(INDEX(PASTE_ALL,$DF731,$L$19)," "," "),CHAR(9)," "),CHAR(10)," "),CHAR(13)," "))),"")))</f>
        <v/>
      </c>
      <c r="ED731">
        <f>IF($DM731=0,"",MATCH(1,INDEX(EXACT($DH$5:DH731,$DH731)*$DM$5:DM731,0),0))</f>
        <v/>
      </c>
      <c r="EE731">
        <f>IF($DM731=0,0,IF($ED731=$DE731,1,0))</f>
        <v/>
      </c>
      <c r="EF731">
        <f>EF730+$EE731</f>
        <v/>
      </c>
      <c r="EG731">
        <f>IF($DM731=0,"",INDEX($EF$5:$EF$1003,$ED731))</f>
        <v/>
      </c>
      <c r="EH731">
        <f>IF($DM731=0,"",IF($DO731&lt;&gt;"","",IFERROR(LOOKUP(2,1/(($EG$4:EG730=$EG731)*($DO$4:DO730&lt;&gt;"")),$DO$4:DO730),"")))</f>
        <v/>
      </c>
      <c r="EI731">
        <f>IF($DM731=0,"",IF($DO731&lt;&gt;"",$DO731,$EH731))</f>
        <v/>
      </c>
      <c r="EJ731">
        <f>IF($DM731=0,"",IF($EI731="",0,IF(OR(ISNUMBER($EI731),AND(AND(SUBSTITUTE(SUBSTITUTE(SUBSTITUTE(SUBSTITUTE(SUBSTITUTE(SUBSTITUTE(SUBSTITUTE(SUBSTITUTE(SUBSTITUTE(SUBSTITUTE(SUBSTITUTE(SUBSTITUTE(SUBSTITUTE(SUBSTITUTE(UPPER($EI731),"0",""),"1",""),"2",""),"3",""),"4",""),"5",""),"6",""),"7",""),"8",""),"9",""),".",""),"+",""),"-",""),"E","")="",LEN(SUBSTITUTE(SUBSTITUTE(MID(UPPER($EI731),1+OR(LEFT(UPPER($EI731),1)="+",LEFT(UPPER($EI731),1)="-"),999),"E+","E"),"E-","E"))=LEN(SUBSTITUTE(SUBSTITUTE(SUBSTITUTE(SUBSTITUTE(MID(UPPER($EI731),1+OR(LEFT(UPPER($EI731),1)="+",LEFT(UPPER($EI731),1)="-"),999),"E+","E"),"E-","E"),"+",""),"-","")),LEN(UPPER($EI731))-LEN(SUBSTITUTE(UPPER($EI731),"E",""))&lt;2,LEN(UPPER($EI731))-LEN(SUBSTITUTE(UPPER($EI731),".",""))&lt;2,IFERROR(FIND(".",UPPER($EI731)),0)&lt;IFERROR(FIND("E",UPPER($EI731)),999)),ISNUMBER(VALUE($EI731)))),1,2)))</f>
        <v/>
      </c>
      <c r="EK731">
        <f>IF($DM731=0,"",IF($EJ731=1,IF(ISNUMBER($EI731),$EI731,VALUE($EI731)),IF($EJ731=2,$DE731,0)))</f>
        <v/>
      </c>
      <c r="EL731">
        <f>IF($DM731=0,"",COUNTIF($EG$5:$EG$1003,"&lt;"&amp;$EG731)+SUMPRODUCT(($EG$5:$EG$1003=$EG731)*(($EJ$5:$EJ$1003&lt;$EJ731)+($EJ$5:$EJ$1003=$EJ731)*(($EK$5:$EK$1003&lt;$EK731)+($EK$5:$EK$1003=$EK731)*($DE$5:$DE$1003&lt;$DE731))))+1)</f>
        <v/>
      </c>
      <c r="EM731">
        <f>IF($DM731=0,"",$EL731+$EG731-1)</f>
        <v/>
      </c>
      <c r="EN731">
        <f>IF($DM731=0,0,IFERROR(MATCH(1,INDEX(--(TRIM(SUBSTITUTE(SUBSTITUTE(SUBSTITUTE(SUBSTITUTE(LINES_NAME&amp;""," "," "),CHAR(9)," "),CHAR(10)," "),CHAR(13)," "))=$DH731),0),0),0))</f>
        <v/>
      </c>
      <c r="EO731">
        <f>IF($EN731=0,0,IF(OR(UPPER(TRIM(INDEX(LINES_SCHEDULED,$EN731)&amp;""))="YES",UPPER(TRIM(INDEX(LINES_SCHEDULED,$EN731)&amp;""))="Y",UPPER(TRIM(INDEX(LINES_SCHEDULED,$EN731)&amp;""))="X"),1,0))</f>
        <v/>
      </c>
      <c r="EP731">
        <f>IF($DM731=0,"",IF(COUNTIFS($EG$5:$EG$1003,$EG731,$EB$5:$EB$1003,"Ready")&gt;0,"READY",IF(COUNTIFS($EG$5:$EG$1003,$EG731,$EB$5:$EB$1003,"PM")&gt;0,"PM",IF(COUNTIFS($EG$5:$EG$1003,$EG731,$EB$5:$EB$1003,"OT")&gt;0,"OT",""))))</f>
        <v/>
      </c>
      <c r="EQ731">
        <f>IF($EN731=0,"",UPPER(TRIM(INDEX(LINES_STATUS,$EN731)&amp;"")))</f>
        <v/>
      </c>
      <c r="ER731">
        <f>IF($DM731=0,"",IF(OR($EQ731="READY",$EQ731="PM",$EQ731="OT"),$EQ731,$EP731))</f>
        <v/>
      </c>
      <c r="ES731">
        <f>IF($DM731=0,"",IF(AND($DV731&lt;&gt;"",UPPER($DV731)&lt;&gt;"N"),"allergen",IF(ISNUMBER(SEARCH("oil",$DQ731)),"oil",IF(OR(EXACT($DS731,"A662"),EXACT($DS731,"A624")),"bulk",""))))</f>
        <v/>
      </c>
      <c r="ET731">
        <f>IF($DM731=0,"",IF(OR($EA731="",$EA731=0),"",$EA731/100))</f>
        <v/>
      </c>
      <c r="EU731">
        <f>IF(OR($ET731="",$DY731=""),"",INT($DY731*(1-$ET731)+0.5))</f>
        <v/>
      </c>
    </row>
    <row r="732">
      <c r="DA732" t="n">
        <v>728</v>
      </c>
      <c r="DB732">
        <f>IF($B$37=0,"",IFERROR(TRIM(SUBSTITUTE(SUBSTITUTE(SUBSTITUTE(SUBSTITUTE(INDEX(PASTE_ALL,728,$B$37)," "," "),CHAR(9)," "),CHAR(10)," "),CHAR(13)," ")),""))</f>
        <v/>
      </c>
      <c r="DC732">
        <f>IF(AND(728&gt;HEADER_ROW,UPPER(DB732)="LEGEND"),1,0)</f>
        <v/>
      </c>
      <c r="DE732" t="n">
        <v>728</v>
      </c>
      <c r="DF732">
        <f>HEADER_ROW+$DE732</f>
        <v/>
      </c>
      <c r="DG732">
        <f>IF(AND($DF732&lt;=1000,$DF732&lt;$B$8),1,0)</f>
        <v/>
      </c>
      <c r="DH732">
        <f>IF($DG732=1,IFERROR(INDEX($DB$5:$DB$1004,$DF732),""),"")</f>
        <v/>
      </c>
      <c r="DI732">
        <f>IF(AND($DG732=1,$DH732&lt;&gt;""),IFERROR(SUBSTITUTE(SUBSTITUTE(TRIM(SUBSTITUTE(SUBSTITUTE(SUBSTITUTE(SUBSTITUTE(IFERROR(INDEX(PASTE_ALL,$DF732,1)&amp;"","")&amp;"␟"&amp;IFERROR(INDEX(PASTE_ALL,$DF732,2)&amp;"","")&amp;"␟"&amp;IFERROR(INDEX(PASTE_ALL,$DF732,3)&amp;"","")&amp;"␟"&amp;IFERROR(INDEX(PASTE_ALL,$DF732,4)&amp;"","")&amp;"␟"&amp;IFERROR(INDEX(PASTE_ALL,$DF732,5)&amp;"","")&amp;"␟"&amp;IFERROR(INDEX(PASTE_ALL,$DF732,6)&amp;"","")&amp;"␟"&amp;IFERROR(INDEX(PASTE_ALL,$DF732,7)&amp;"","")&amp;"␟"&amp;IFERROR(INDEX(PASTE_ALL,$DF732,8)&amp;"","")&amp;"␟"&amp;IFERROR(INDEX(PASTE_ALL,$DF732,9)&amp;"","")&amp;"␟"&amp;IFERROR(INDEX(PASTE_ALL,$DF732,10)&amp;"","")&amp;"␟"&amp;IFERROR(INDEX(PASTE_ALL,$DF732,11)&amp;"","")&amp;"␟"&amp;IFERROR(INDEX(PASTE_ALL,$DF732,12)&amp;"","")&amp;"␟"&amp;IFERROR(INDEX(PASTE_ALL,$DF732,13)&amp;"","")&amp;"␟"&amp;IFERROR(INDEX(PASTE_ALL,$DF732,14)&amp;"","")&amp;"␟"&amp;IFERROR(INDEX(PASTE_ALL,$DF732,15)&amp;"","")&amp;"␟"&amp;IFERROR(INDEX(PASTE_ALL,$DF732,16)&amp;"","")&amp;"␟"&amp;IFERROR(INDEX(PASTE_ALL,$DF732,17)&amp;"","")&amp;"␟"&amp;IFERROR(INDEX(PASTE_ALL,$DF732,18)&amp;"","")&amp;"␟"&amp;IFERROR(INDEX(PASTE_ALL,$DF732,19)&amp;"","")&amp;"␟"&amp;IFERROR(INDEX(PASTE_ALL,$DF732,20)&amp;"","")&amp;"␟"&amp;IFERROR(INDEX(PASTE_ALL,$DF732,21)&amp;"","")&amp;"␟"&amp;IFERROR(INDEX(PASTE_ALL,$DF732,22)&amp;"","")&amp;"␟"&amp;IFERROR(INDEX(PASTE_ALL,$DF732,23)&amp;"","")&amp;"␟"&amp;IFERROR(INDEX(PASTE_ALL,$DF732,24)&amp;"","")&amp;"␟"&amp;IFERROR(INDEX(PASTE_ALL,$DF732,25)&amp;"","")&amp;"␟"&amp;IFERROR(INDEX(PASTE_ALL,$DF732,26)&amp;"","")&amp;"␟"&amp;IFERROR(INDEX(PASTE_ALL,$DF732,27)&amp;"","")&amp;"␟"&amp;IFERROR(INDEX(PASTE_ALL,$DF732,28)&amp;"","")&amp;"␟"&amp;IFERROR(INDEX(PASTE_ALL,$DF732,29)&amp;"","")&amp;"␟"&amp;IFERROR(INDEX(PASTE_ALL,$DF732,30)&amp;"","")&amp;"␟"&amp;IFERROR(INDEX(PASTE_ALL,$DF732,31)&amp;"","")&amp;"␟"&amp;IFERROR(INDEX(PASTE_ALL,$DF732,32)&amp;"","")&amp;"␟"&amp;IFERROR(INDEX(PASTE_ALL,$DF732,33)&amp;"","")&amp;"␟"&amp;IFERROR(INDEX(PASTE_ALL,$DF732,34)&amp;"","")&amp;"␟"&amp;IFERROR(INDEX(PASTE_ALL,$DF732,35)&amp;"","")&amp;"␟"&amp;IFERROR(INDEX(PASTE_ALL,$DF732,36)&amp;"","")&amp;"␟"&amp;IFERROR(INDEX(PASTE_ALL,$DF732,37)&amp;"","")&amp;"␟"&amp;IFERROR(INDEX(PASTE_ALL,$DF732,38)&amp;"","")&amp;"␟"&amp;IFERROR(INDEX(PASTE_ALL,$DF732,39)&amp;"","")&amp;"␟"&amp;IFERROR(INDEX(PASTE_ALL,$DF732,40)&amp;"","")&amp;"␟"&amp;IFERROR(INDEX(PASTE_ALL,$DF732,41)&amp;"","")&amp;"␟"&amp;IFERROR(INDEX(PASTE_ALL,$DF732,42)&amp;"","")&amp;"␟"&amp;IFERROR(INDEX(PASTE_ALL,$DF732,43)&amp;"","")&amp;"␟"&amp;IFERROR(INDEX(PASTE_ALL,$DF732,44)&amp;"","")&amp;"␟"&amp;IFERROR(INDEX(PASTE_ALL,$DF732,45)&amp;"","")&amp;"␟"&amp;IFERROR(INDEX(PASTE_ALL,$DF732,46)&amp;"","")&amp;"␟"&amp;IFERROR(INDEX(PASTE_ALL,$DF732,47)&amp;"","")&amp;"␟"&amp;IFERROR(INDEX(PASTE_ALL,$DF732,48)&amp;"","")&amp;"␟"&amp;IFERROR(INDEX(PASTE_ALL,$DF732,49)&amp;"","")&amp;"␟"&amp;IFERROR(INDEX(PASTE_ALL,$DF732,50)&amp;"","")&amp;"␟"&amp;IFERROR(INDEX(PASTE_ALL,$DF732,51)&amp;"","")&amp;"␟"&amp;IFERROR(INDEX(PASTE_ALL,$DF732,52)&amp;"","")&amp;"␟"&amp;IFERROR(INDEX(PASTE_ALL,$DF732,53)&amp;"","")&amp;"␟"&amp;IFERROR(INDEX(PASTE_ALL,$DF732,54)&amp;"","")&amp;"␟"&amp;IFERROR(INDEX(PASTE_ALL,$DF732,55)&amp;"","")&amp;"␟"&amp;IFERROR(INDEX(PASTE_ALL,$DF732,56)&amp;"","")&amp;"␟"&amp;IFERROR(INDEX(PASTE_ALL,$DF732,57)&amp;"","")&amp;"␟"&amp;IFERROR(INDEX(PASTE_ALL,$DF732,58)&amp;"","")&amp;"␟"&amp;IFERROR(INDEX(PASTE_ALL,$DF732,59)&amp;"","")&amp;"␟"&amp;IFERROR(INDEX(PASTE_ALL,$DF732,60)&amp;"","")," "," "),CHAR(9)," "),CHAR(10)," "),CHAR(13)," "))," ␟","␟"),"␟ ","␟"),"#"&amp;$DE732),"")</f>
        <v/>
      </c>
      <c r="DJ732">
        <f>IF($DI732="",0,IF(SUMPRODUCT(--EXACT($DI$4:DI731,$DI732))&gt;0,1,0))</f>
        <v/>
      </c>
      <c r="DK732">
        <f>IF(AND($DI732&lt;&gt;"",$DJ732=0),1,0)</f>
        <v/>
      </c>
      <c r="DL732">
        <f>DL731+$DK732</f>
        <v/>
      </c>
      <c r="DM732">
        <f>IF(AND($DK732=1,$DL732&lt;=600),1,0)</f>
        <v/>
      </c>
      <c r="DN732">
        <f>IF($DM732=0,"",IF($L$6=0,"",IFERROR(IF(ISNUMBER(INDEX(PASTE_ALL,$DF732,$L$6)),INDEX(PASTE_ALL,$DF732,$L$6),TRIM(SUBSTITUTE(SUBSTITUTE(SUBSTITUTE(SUBSTITUTE(INDEX(PASTE_ALL,$DF732,$L$6)," "," "),CHAR(9)," "),CHAR(10)," "),CHAR(13)," "))),"")))</f>
        <v/>
      </c>
      <c r="DO732">
        <f>IF($DM732=0,"",IF($L$7=0,"",IFERROR(IF(ISNUMBER(INDEX(PASTE_ALL,$DF732,$L$7)),INDEX(PASTE_ALL,$DF732,$L$7),TRIM(SUBSTITUTE(SUBSTITUTE(SUBSTITUTE(SUBSTITUTE(INDEX(PASTE_ALL,$DF732,$L$7)," "," "),CHAR(9)," "),CHAR(10)," "),CHAR(13)," "))),"")))</f>
        <v/>
      </c>
      <c r="DP732">
        <f>IF($DM732=0,"",IF($L$8=0,"",IFERROR(IF(ISNUMBER(INDEX(PASTE_ALL,$DF732,$L$8)),INDEX(PASTE_ALL,$DF732,$L$8),TRIM(SUBSTITUTE(SUBSTITUTE(SUBSTITUTE(SUBSTITUTE(INDEX(PASTE_ALL,$DF732,$L$8)," "," "),CHAR(9)," "),CHAR(10)," "),CHAR(13)," "))),"")))</f>
        <v/>
      </c>
      <c r="DQ732">
        <f>IF($DM732=0,"",IF($L$9=0,"",IFERROR(IF(ISNUMBER(INDEX(PASTE_ALL,$DF732,$L$9)),INDEX(PASTE_ALL,$DF732,$L$9),TRIM(SUBSTITUTE(SUBSTITUTE(SUBSTITUTE(SUBSTITUTE(INDEX(PASTE_ALL,$DF732,$L$9)," "," "),CHAR(9)," "),CHAR(10)," "),CHAR(13)," "))),"")))</f>
        <v/>
      </c>
      <c r="DR732">
        <f>IF($DM732=0,"",IF($L$10=0,"",IFERROR(IF(ISNUMBER(INDEX(PASTE_ALL,$DF732,$L$10)),INDEX(PASTE_ALL,$DF732,$L$10),TRIM(SUBSTITUTE(SUBSTITUTE(SUBSTITUTE(SUBSTITUTE(INDEX(PASTE_ALL,$DF732,$L$10)," "," "),CHAR(9)," "),CHAR(10)," "),CHAR(13)," "))),"")))</f>
        <v/>
      </c>
      <c r="DS732">
        <f>IF($DM732=0,"",IF($L$11=0,"",IFERROR(IF(ISNUMBER(INDEX(PASTE_ALL,$DF732,$L$11)),INDEX(PASTE_ALL,$DF732,$L$11),TRIM(SUBSTITUTE(SUBSTITUTE(SUBSTITUTE(SUBSTITUTE(INDEX(PASTE_ALL,$DF732,$L$11)," "," "),CHAR(9)," "),CHAR(10)," "),CHAR(13)," "))),"")))</f>
        <v/>
      </c>
      <c r="DT732">
        <f>IF($DM732=0,"",IF($L$12=0,"",IFERROR(IF(ISNUMBER(INDEX(PASTE_ALL,$DF732,$L$12)),INDEX(PASTE_ALL,$DF732,$L$12),TRIM(SUBSTITUTE(SUBSTITUTE(SUBSTITUTE(SUBSTITUTE(INDEX(PASTE_ALL,$DF732,$L$12)," "," "),CHAR(9)," "),CHAR(10)," "),CHAR(13)," "))),"")))</f>
        <v/>
      </c>
      <c r="DU732">
        <f>IF($DM732=0,"",IF($L$13=0,"",IFERROR(IF(ISNUMBER(INDEX(PASTE_ALL,$DF732,$L$13)),INDEX(PASTE_ALL,$DF732,$L$13),TRIM(SUBSTITUTE(SUBSTITUTE(SUBSTITUTE(SUBSTITUTE(INDEX(PASTE_ALL,$DF732,$L$13)," "," "),CHAR(9)," "),CHAR(10)," "),CHAR(13)," "))),"")))</f>
        <v/>
      </c>
      <c r="DV732">
        <f>IF($DM732=0,"",IF($L$14=0,"",IFERROR(IF(ISNUMBER(INDEX(PASTE_ALL,$DF732,$L$14)),INDEX(PASTE_ALL,$DF732,$L$14),TRIM(SUBSTITUTE(SUBSTITUTE(SUBSTITUTE(SUBSTITUTE(INDEX(PASTE_ALL,$DF732,$L$14)," "," "),CHAR(9)," "),CHAR(10)," "),CHAR(13)," "))),"")))</f>
        <v/>
      </c>
      <c r="DW732">
        <f>IF($DM732=0,"",IF($L$15=0,"",IFERROR(IF(ISNUMBER(INDEX(PASTE_ALL,$DF732,$L$15)),INDEX(PASTE_ALL,$DF732,$L$15),IF(SUMPRODUCT(--ISNUMBER(FIND({"A","B","C","D","E","F","G","H","I","J","K","L","M","N","O","P","Q","R","S","T","U","V","W","X","Y","Z","0","1","2","3","4","5","6","7","8","9"},UPPER(TRIM(SUBSTITUTE(SUBSTITUTE(SUBSTITUTE(SUBSTITUTE(INDEX(PASTE_ALL,$DF732,$L$15)," "," "),CHAR(9)," "),CHAR(10)," "),CHAR(13)," "))))))&gt;0,TRIM(SUBSTITUTE(SUBSTITUTE(SUBSTITUTE(SUBSTITUTE(INDEX(PASTE_ALL,$DF732,$L$15)," "," "),CHAR(9)," "),CHAR(10)," "),CHAR(13)," ")),"")),"")))</f>
        <v/>
      </c>
      <c r="DX732">
        <f>IF($DM732=0,"",IF($L$16=0,"",IFERROR(IF(ISNUMBER(INDEX(PASTE_ALL,$DF732,$L$16)),INDEX(PASTE_ALL,$DF732,$L$16),SUBSTITUTE(SUBSTITUTE(TRIM(SUBSTITUTE(SUBSTITUTE(SUBSTITUTE(SUBSTITUTE(INDEX(PASTE_ALL,$DF732,$L$16)," "," "),CHAR(9)," "),CHAR(10)," "),CHAR(13)," ")),",",""),"%","")),"")))</f>
        <v/>
      </c>
      <c r="DY732">
        <f>IF($DM732=0,"",IFERROR(IF(ISNUMBER($DX732),$DX732,IF($DX732="","",IF(TRIM($DX732)="",0,IF(AND(AND(SUBSTITUTE(SUBSTITUTE(SUBSTITUTE(SUBSTITUTE(SUBSTITUTE(SUBSTITUTE(SUBSTITUTE(SUBSTITUTE(SUBSTITUTE(SUBSTITUTE(SUBSTITUTE(SUBSTITUTE(SUBSTITUTE(SUBSTITUTE(UPPER(TRIM($DX732)),"0",""),"1",""),"2",""),"3",""),"4",""),"5",""),"6",""),"7",""),"8",""),"9",""),".",""),"+",""),"-",""),"E","")="",LEN(SUBSTITUTE(SUBSTITUTE(MID(UPPER(TRIM($DX732)),1+OR(LEFT(UPPER(TRIM($DX732)),1)="+",LEFT(UPPER(TRIM($DX732)),1)="-"),999),"E+","E"),"E-","E"))=LEN(SUBSTITUTE(SUBSTITUTE(SUBSTITUTE(SUBSTITUTE(MID(UPPER(TRIM($DX732)),1+OR(LEFT(UPPER(TRIM($DX732)),1)="+",LEFT(UPPER(TRIM($DX732)),1)="-"),999),"E+","E"),"E-","E"),"+",""),"-","")),LEN(UPPER(TRIM($DX732)))-LEN(SUBSTITUTE(UPPER(TRIM($DX732)),"E",""))&lt;2,LEN(UPPER(TRIM($DX732)))-LEN(SUBSTITUTE(UPPER(TRIM($DX732)),".",""))&lt;2,IFERROR(FIND(".",UPPER(TRIM($DX732))),0)&lt;IFERROR(FIND("E",UPPER(TRIM($DX732))),999)),ISNUMBER(VALUE(TRIM($DX732)))),VALUE(TRIM($DX732)),"")))),""))</f>
        <v/>
      </c>
      <c r="DZ732">
        <f>IF($DM732=0,"",IF($L$17=0,"",IFERROR(IF(ISNUMBER(INDEX(PASTE_ALL,$DF732,$L$17)),INDEX(PASTE_ALL,$DF732,$L$17),SUBSTITUTE(SUBSTITUTE(TRIM(SUBSTITUTE(SUBSTITUTE(SUBSTITUTE(SUBSTITUTE(INDEX(PASTE_ALL,$DF732,$L$17)," "," "),CHAR(9)," "),CHAR(10)," "),CHAR(13)," ")),",",""),"%","")),"")))</f>
        <v/>
      </c>
      <c r="EA732">
        <f>IF($DM732=0,"",IFERROR(IF(ISNUMBER($DZ732),$DZ732,IF($DZ732="","",IF(TRIM($DZ732)="",0,IF(AND(AND(SUBSTITUTE(SUBSTITUTE(SUBSTITUTE(SUBSTITUTE(SUBSTITUTE(SUBSTITUTE(SUBSTITUTE(SUBSTITUTE(SUBSTITUTE(SUBSTITUTE(SUBSTITUTE(SUBSTITUTE(SUBSTITUTE(SUBSTITUTE(UPPER(TRIM($DZ732)),"0",""),"1",""),"2",""),"3",""),"4",""),"5",""),"6",""),"7",""),"8",""),"9",""),".",""),"+",""),"-",""),"E","")="",LEN(SUBSTITUTE(SUBSTITUTE(MID(UPPER(TRIM($DZ732)),1+OR(LEFT(UPPER(TRIM($DZ732)),1)="+",LEFT(UPPER(TRIM($DZ732)),1)="-"),999),"E+","E"),"E-","E"))=LEN(SUBSTITUTE(SUBSTITUTE(SUBSTITUTE(SUBSTITUTE(MID(UPPER(TRIM($DZ732)),1+OR(LEFT(UPPER(TRIM($DZ732)),1)="+",LEFT(UPPER(TRIM($DZ732)),1)="-"),999),"E+","E"),"E-","E"),"+",""),"-","")),LEN(UPPER(TRIM($DZ732)))-LEN(SUBSTITUTE(UPPER(TRIM($DZ732)),"E",""))&lt;2,LEN(UPPER(TRIM($DZ732)))-LEN(SUBSTITUTE(UPPER(TRIM($DZ732)),".",""))&lt;2,IFERROR(FIND(".",UPPER(TRIM($DZ732))),0)&lt;IFERROR(FIND("E",UPPER(TRIM($DZ732))),999)),ISNUMBER(VALUE(TRIM($DZ732)))),VALUE(TRIM($DZ732)),"")))),""))</f>
        <v/>
      </c>
      <c r="EB732">
        <f>IF($DM732=0,"",IF($L$18=0,"",IFERROR(IF(UPPER(TRIM(SUBSTITUTE(SUBSTITUTE(SUBSTITUTE(SUBSTITUTE(INDEX(PASTE_ALL,$DF732,$L$18)," "," "),CHAR(9)," "),CHAR(10)," "),CHAR(13)," ")))="READY","Ready",IF(UPPER(TRIM(SUBSTITUTE(SUBSTITUTE(SUBSTITUTE(SUBSTITUTE(INDEX(PASTE_ALL,$DF732,$L$18)," "," "),CHAR(9)," "),CHAR(10)," "),CHAR(13)," ")))="PM","PM",IF(OR(UPPER(TRIM(SUBSTITUTE(SUBSTITUTE(SUBSTITUTE(SUBSTITUTE(INDEX(PASTE_ALL,$DF732,$L$18)," "," "),CHAR(9)," "),CHAR(10)," "),CHAR(13)," ")))="OT",UPPER(TRIM(SUBSTITUTE(SUBSTITUTE(SUBSTITUTE(SUBSTITUTE(INDEX(PASTE_ALL,$DF732,$L$18)," "," "),CHAR(9)," "),CHAR(10)," "),CHAR(13)," ")))="OVERTIME",UPPER(TRIM(SUBSTITUTE(SUBSTITUTE(SUBSTITUTE(SUBSTITUTE(INDEX(PASTE_ALL,$DF732,$L$18)," "," "),CHAR(9)," "),CHAR(10)," "),CHAR(13)," ")))="TRIAL"),"OT",TRIM(SUBSTITUTE(SUBSTITUTE(SUBSTITUTE(SUBSTITUTE(INDEX(PASTE_ALL,$DF732,$L$18)," "," "),CHAR(9)," "),CHAR(10)," "),CHAR(13)," "))))),"")))</f>
        <v/>
      </c>
      <c r="EC732">
        <f>IF($DM732=0,"",IF($L$19=0,"",IFERROR(IF(ISNUMBER(INDEX(PASTE_ALL,$DF732,$L$19)),INDEX(PASTE_ALL,$DF732,$L$19),TRIM(SUBSTITUTE(SUBSTITUTE(SUBSTITUTE(SUBSTITUTE(INDEX(PASTE_ALL,$DF732,$L$19)," "," "),CHAR(9)," "),CHAR(10)," "),CHAR(13)," "))),"")))</f>
        <v/>
      </c>
      <c r="ED732">
        <f>IF($DM732=0,"",MATCH(1,INDEX(EXACT($DH$5:DH732,$DH732)*$DM$5:DM732,0),0))</f>
        <v/>
      </c>
      <c r="EE732">
        <f>IF($DM732=0,0,IF($ED732=$DE732,1,0))</f>
        <v/>
      </c>
      <c r="EF732">
        <f>EF731+$EE732</f>
        <v/>
      </c>
      <c r="EG732">
        <f>IF($DM732=0,"",INDEX($EF$5:$EF$1003,$ED732))</f>
        <v/>
      </c>
      <c r="EH732">
        <f>IF($DM732=0,"",IF($DO732&lt;&gt;"","",IFERROR(LOOKUP(2,1/(($EG$4:EG731=$EG732)*($DO$4:DO731&lt;&gt;"")),$DO$4:DO731),"")))</f>
        <v/>
      </c>
      <c r="EI732">
        <f>IF($DM732=0,"",IF($DO732&lt;&gt;"",$DO732,$EH732))</f>
        <v/>
      </c>
      <c r="EJ732">
        <f>IF($DM732=0,"",IF($EI732="",0,IF(OR(ISNUMBER($EI732),AND(AND(SUBSTITUTE(SUBSTITUTE(SUBSTITUTE(SUBSTITUTE(SUBSTITUTE(SUBSTITUTE(SUBSTITUTE(SUBSTITUTE(SUBSTITUTE(SUBSTITUTE(SUBSTITUTE(SUBSTITUTE(SUBSTITUTE(SUBSTITUTE(UPPER($EI732),"0",""),"1",""),"2",""),"3",""),"4",""),"5",""),"6",""),"7",""),"8",""),"9",""),".",""),"+",""),"-",""),"E","")="",LEN(SUBSTITUTE(SUBSTITUTE(MID(UPPER($EI732),1+OR(LEFT(UPPER($EI732),1)="+",LEFT(UPPER($EI732),1)="-"),999),"E+","E"),"E-","E"))=LEN(SUBSTITUTE(SUBSTITUTE(SUBSTITUTE(SUBSTITUTE(MID(UPPER($EI732),1+OR(LEFT(UPPER($EI732),1)="+",LEFT(UPPER($EI732),1)="-"),999),"E+","E"),"E-","E"),"+",""),"-","")),LEN(UPPER($EI732))-LEN(SUBSTITUTE(UPPER($EI732),"E",""))&lt;2,LEN(UPPER($EI732))-LEN(SUBSTITUTE(UPPER($EI732),".",""))&lt;2,IFERROR(FIND(".",UPPER($EI732)),0)&lt;IFERROR(FIND("E",UPPER($EI732)),999)),ISNUMBER(VALUE($EI732)))),1,2)))</f>
        <v/>
      </c>
      <c r="EK732">
        <f>IF($DM732=0,"",IF($EJ732=1,IF(ISNUMBER($EI732),$EI732,VALUE($EI732)),IF($EJ732=2,$DE732,0)))</f>
        <v/>
      </c>
      <c r="EL732">
        <f>IF($DM732=0,"",COUNTIF($EG$5:$EG$1003,"&lt;"&amp;$EG732)+SUMPRODUCT(($EG$5:$EG$1003=$EG732)*(($EJ$5:$EJ$1003&lt;$EJ732)+($EJ$5:$EJ$1003=$EJ732)*(($EK$5:$EK$1003&lt;$EK732)+($EK$5:$EK$1003=$EK732)*($DE$5:$DE$1003&lt;$DE732))))+1)</f>
        <v/>
      </c>
      <c r="EM732">
        <f>IF($DM732=0,"",$EL732+$EG732-1)</f>
        <v/>
      </c>
      <c r="EN732">
        <f>IF($DM732=0,0,IFERROR(MATCH(1,INDEX(--(TRIM(SUBSTITUTE(SUBSTITUTE(SUBSTITUTE(SUBSTITUTE(LINES_NAME&amp;""," "," "),CHAR(9)," "),CHAR(10)," "),CHAR(13)," "))=$DH732),0),0),0))</f>
        <v/>
      </c>
      <c r="EO732">
        <f>IF($EN732=0,0,IF(OR(UPPER(TRIM(INDEX(LINES_SCHEDULED,$EN732)&amp;""))="YES",UPPER(TRIM(INDEX(LINES_SCHEDULED,$EN732)&amp;""))="Y",UPPER(TRIM(INDEX(LINES_SCHEDULED,$EN732)&amp;""))="X"),1,0))</f>
        <v/>
      </c>
      <c r="EP732">
        <f>IF($DM732=0,"",IF(COUNTIFS($EG$5:$EG$1003,$EG732,$EB$5:$EB$1003,"Ready")&gt;0,"READY",IF(COUNTIFS($EG$5:$EG$1003,$EG732,$EB$5:$EB$1003,"PM")&gt;0,"PM",IF(COUNTIFS($EG$5:$EG$1003,$EG732,$EB$5:$EB$1003,"OT")&gt;0,"OT",""))))</f>
        <v/>
      </c>
      <c r="EQ732">
        <f>IF($EN732=0,"",UPPER(TRIM(INDEX(LINES_STATUS,$EN732)&amp;"")))</f>
        <v/>
      </c>
      <c r="ER732">
        <f>IF($DM732=0,"",IF(OR($EQ732="READY",$EQ732="PM",$EQ732="OT"),$EQ732,$EP732))</f>
        <v/>
      </c>
      <c r="ES732">
        <f>IF($DM732=0,"",IF(AND($DV732&lt;&gt;"",UPPER($DV732)&lt;&gt;"N"),"allergen",IF(ISNUMBER(SEARCH("oil",$DQ732)),"oil",IF(OR(EXACT($DS732,"A662"),EXACT($DS732,"A624")),"bulk",""))))</f>
        <v/>
      </c>
      <c r="ET732">
        <f>IF($DM732=0,"",IF(OR($EA732="",$EA732=0),"",$EA732/100))</f>
        <v/>
      </c>
      <c r="EU732">
        <f>IF(OR($ET732="",$DY732=""),"",INT($DY732*(1-$ET732)+0.5))</f>
        <v/>
      </c>
    </row>
    <row r="733">
      <c r="DA733" t="n">
        <v>729</v>
      </c>
      <c r="DB733">
        <f>IF($B$37=0,"",IFERROR(TRIM(SUBSTITUTE(SUBSTITUTE(SUBSTITUTE(SUBSTITUTE(INDEX(PASTE_ALL,729,$B$37)," "," "),CHAR(9)," "),CHAR(10)," "),CHAR(13)," ")),""))</f>
        <v/>
      </c>
      <c r="DC733">
        <f>IF(AND(729&gt;HEADER_ROW,UPPER(DB733)="LEGEND"),1,0)</f>
        <v/>
      </c>
      <c r="DE733" t="n">
        <v>729</v>
      </c>
      <c r="DF733">
        <f>HEADER_ROW+$DE733</f>
        <v/>
      </c>
      <c r="DG733">
        <f>IF(AND($DF733&lt;=1000,$DF733&lt;$B$8),1,0)</f>
        <v/>
      </c>
      <c r="DH733">
        <f>IF($DG733=1,IFERROR(INDEX($DB$5:$DB$1004,$DF733),""),"")</f>
        <v/>
      </c>
      <c r="DI733">
        <f>IF(AND($DG733=1,$DH733&lt;&gt;""),IFERROR(SUBSTITUTE(SUBSTITUTE(TRIM(SUBSTITUTE(SUBSTITUTE(SUBSTITUTE(SUBSTITUTE(IFERROR(INDEX(PASTE_ALL,$DF733,1)&amp;"","")&amp;"␟"&amp;IFERROR(INDEX(PASTE_ALL,$DF733,2)&amp;"","")&amp;"␟"&amp;IFERROR(INDEX(PASTE_ALL,$DF733,3)&amp;"","")&amp;"␟"&amp;IFERROR(INDEX(PASTE_ALL,$DF733,4)&amp;"","")&amp;"␟"&amp;IFERROR(INDEX(PASTE_ALL,$DF733,5)&amp;"","")&amp;"␟"&amp;IFERROR(INDEX(PASTE_ALL,$DF733,6)&amp;"","")&amp;"␟"&amp;IFERROR(INDEX(PASTE_ALL,$DF733,7)&amp;"","")&amp;"␟"&amp;IFERROR(INDEX(PASTE_ALL,$DF733,8)&amp;"","")&amp;"␟"&amp;IFERROR(INDEX(PASTE_ALL,$DF733,9)&amp;"","")&amp;"␟"&amp;IFERROR(INDEX(PASTE_ALL,$DF733,10)&amp;"","")&amp;"␟"&amp;IFERROR(INDEX(PASTE_ALL,$DF733,11)&amp;"","")&amp;"␟"&amp;IFERROR(INDEX(PASTE_ALL,$DF733,12)&amp;"","")&amp;"␟"&amp;IFERROR(INDEX(PASTE_ALL,$DF733,13)&amp;"","")&amp;"␟"&amp;IFERROR(INDEX(PASTE_ALL,$DF733,14)&amp;"","")&amp;"␟"&amp;IFERROR(INDEX(PASTE_ALL,$DF733,15)&amp;"","")&amp;"␟"&amp;IFERROR(INDEX(PASTE_ALL,$DF733,16)&amp;"","")&amp;"␟"&amp;IFERROR(INDEX(PASTE_ALL,$DF733,17)&amp;"","")&amp;"␟"&amp;IFERROR(INDEX(PASTE_ALL,$DF733,18)&amp;"","")&amp;"␟"&amp;IFERROR(INDEX(PASTE_ALL,$DF733,19)&amp;"","")&amp;"␟"&amp;IFERROR(INDEX(PASTE_ALL,$DF733,20)&amp;"","")&amp;"␟"&amp;IFERROR(INDEX(PASTE_ALL,$DF733,21)&amp;"","")&amp;"␟"&amp;IFERROR(INDEX(PASTE_ALL,$DF733,22)&amp;"","")&amp;"␟"&amp;IFERROR(INDEX(PASTE_ALL,$DF733,23)&amp;"","")&amp;"␟"&amp;IFERROR(INDEX(PASTE_ALL,$DF733,24)&amp;"","")&amp;"␟"&amp;IFERROR(INDEX(PASTE_ALL,$DF733,25)&amp;"","")&amp;"␟"&amp;IFERROR(INDEX(PASTE_ALL,$DF733,26)&amp;"","")&amp;"␟"&amp;IFERROR(INDEX(PASTE_ALL,$DF733,27)&amp;"","")&amp;"␟"&amp;IFERROR(INDEX(PASTE_ALL,$DF733,28)&amp;"","")&amp;"␟"&amp;IFERROR(INDEX(PASTE_ALL,$DF733,29)&amp;"","")&amp;"␟"&amp;IFERROR(INDEX(PASTE_ALL,$DF733,30)&amp;"","")&amp;"␟"&amp;IFERROR(INDEX(PASTE_ALL,$DF733,31)&amp;"","")&amp;"␟"&amp;IFERROR(INDEX(PASTE_ALL,$DF733,32)&amp;"","")&amp;"␟"&amp;IFERROR(INDEX(PASTE_ALL,$DF733,33)&amp;"","")&amp;"␟"&amp;IFERROR(INDEX(PASTE_ALL,$DF733,34)&amp;"","")&amp;"␟"&amp;IFERROR(INDEX(PASTE_ALL,$DF733,35)&amp;"","")&amp;"␟"&amp;IFERROR(INDEX(PASTE_ALL,$DF733,36)&amp;"","")&amp;"␟"&amp;IFERROR(INDEX(PASTE_ALL,$DF733,37)&amp;"","")&amp;"␟"&amp;IFERROR(INDEX(PASTE_ALL,$DF733,38)&amp;"","")&amp;"␟"&amp;IFERROR(INDEX(PASTE_ALL,$DF733,39)&amp;"","")&amp;"␟"&amp;IFERROR(INDEX(PASTE_ALL,$DF733,40)&amp;"","")&amp;"␟"&amp;IFERROR(INDEX(PASTE_ALL,$DF733,41)&amp;"","")&amp;"␟"&amp;IFERROR(INDEX(PASTE_ALL,$DF733,42)&amp;"","")&amp;"␟"&amp;IFERROR(INDEX(PASTE_ALL,$DF733,43)&amp;"","")&amp;"␟"&amp;IFERROR(INDEX(PASTE_ALL,$DF733,44)&amp;"","")&amp;"␟"&amp;IFERROR(INDEX(PASTE_ALL,$DF733,45)&amp;"","")&amp;"␟"&amp;IFERROR(INDEX(PASTE_ALL,$DF733,46)&amp;"","")&amp;"␟"&amp;IFERROR(INDEX(PASTE_ALL,$DF733,47)&amp;"","")&amp;"␟"&amp;IFERROR(INDEX(PASTE_ALL,$DF733,48)&amp;"","")&amp;"␟"&amp;IFERROR(INDEX(PASTE_ALL,$DF733,49)&amp;"","")&amp;"␟"&amp;IFERROR(INDEX(PASTE_ALL,$DF733,50)&amp;"","")&amp;"␟"&amp;IFERROR(INDEX(PASTE_ALL,$DF733,51)&amp;"","")&amp;"␟"&amp;IFERROR(INDEX(PASTE_ALL,$DF733,52)&amp;"","")&amp;"␟"&amp;IFERROR(INDEX(PASTE_ALL,$DF733,53)&amp;"","")&amp;"␟"&amp;IFERROR(INDEX(PASTE_ALL,$DF733,54)&amp;"","")&amp;"␟"&amp;IFERROR(INDEX(PASTE_ALL,$DF733,55)&amp;"","")&amp;"␟"&amp;IFERROR(INDEX(PASTE_ALL,$DF733,56)&amp;"","")&amp;"␟"&amp;IFERROR(INDEX(PASTE_ALL,$DF733,57)&amp;"","")&amp;"␟"&amp;IFERROR(INDEX(PASTE_ALL,$DF733,58)&amp;"","")&amp;"␟"&amp;IFERROR(INDEX(PASTE_ALL,$DF733,59)&amp;"","")&amp;"␟"&amp;IFERROR(INDEX(PASTE_ALL,$DF733,60)&amp;"","")," "," "),CHAR(9)," "),CHAR(10)," "),CHAR(13)," "))," ␟","␟"),"␟ ","␟"),"#"&amp;$DE733),"")</f>
        <v/>
      </c>
      <c r="DJ733">
        <f>IF($DI733="",0,IF(SUMPRODUCT(--EXACT($DI$4:DI732,$DI733))&gt;0,1,0))</f>
        <v/>
      </c>
      <c r="DK733">
        <f>IF(AND($DI733&lt;&gt;"",$DJ733=0),1,0)</f>
        <v/>
      </c>
      <c r="DL733">
        <f>DL732+$DK733</f>
        <v/>
      </c>
      <c r="DM733">
        <f>IF(AND($DK733=1,$DL733&lt;=600),1,0)</f>
        <v/>
      </c>
      <c r="DN733">
        <f>IF($DM733=0,"",IF($L$6=0,"",IFERROR(IF(ISNUMBER(INDEX(PASTE_ALL,$DF733,$L$6)),INDEX(PASTE_ALL,$DF733,$L$6),TRIM(SUBSTITUTE(SUBSTITUTE(SUBSTITUTE(SUBSTITUTE(INDEX(PASTE_ALL,$DF733,$L$6)," "," "),CHAR(9)," "),CHAR(10)," "),CHAR(13)," "))),"")))</f>
        <v/>
      </c>
      <c r="DO733">
        <f>IF($DM733=0,"",IF($L$7=0,"",IFERROR(IF(ISNUMBER(INDEX(PASTE_ALL,$DF733,$L$7)),INDEX(PASTE_ALL,$DF733,$L$7),TRIM(SUBSTITUTE(SUBSTITUTE(SUBSTITUTE(SUBSTITUTE(INDEX(PASTE_ALL,$DF733,$L$7)," "," "),CHAR(9)," "),CHAR(10)," "),CHAR(13)," "))),"")))</f>
        <v/>
      </c>
      <c r="DP733">
        <f>IF($DM733=0,"",IF($L$8=0,"",IFERROR(IF(ISNUMBER(INDEX(PASTE_ALL,$DF733,$L$8)),INDEX(PASTE_ALL,$DF733,$L$8),TRIM(SUBSTITUTE(SUBSTITUTE(SUBSTITUTE(SUBSTITUTE(INDEX(PASTE_ALL,$DF733,$L$8)," "," "),CHAR(9)," "),CHAR(10)," "),CHAR(13)," "))),"")))</f>
        <v/>
      </c>
      <c r="DQ733">
        <f>IF($DM733=0,"",IF($L$9=0,"",IFERROR(IF(ISNUMBER(INDEX(PASTE_ALL,$DF733,$L$9)),INDEX(PASTE_ALL,$DF733,$L$9),TRIM(SUBSTITUTE(SUBSTITUTE(SUBSTITUTE(SUBSTITUTE(INDEX(PASTE_ALL,$DF733,$L$9)," "," "),CHAR(9)," "),CHAR(10)," "),CHAR(13)," "))),"")))</f>
        <v/>
      </c>
      <c r="DR733">
        <f>IF($DM733=0,"",IF($L$10=0,"",IFERROR(IF(ISNUMBER(INDEX(PASTE_ALL,$DF733,$L$10)),INDEX(PASTE_ALL,$DF733,$L$10),TRIM(SUBSTITUTE(SUBSTITUTE(SUBSTITUTE(SUBSTITUTE(INDEX(PASTE_ALL,$DF733,$L$10)," "," "),CHAR(9)," "),CHAR(10)," "),CHAR(13)," "))),"")))</f>
        <v/>
      </c>
      <c r="DS733">
        <f>IF($DM733=0,"",IF($L$11=0,"",IFERROR(IF(ISNUMBER(INDEX(PASTE_ALL,$DF733,$L$11)),INDEX(PASTE_ALL,$DF733,$L$11),TRIM(SUBSTITUTE(SUBSTITUTE(SUBSTITUTE(SUBSTITUTE(INDEX(PASTE_ALL,$DF733,$L$11)," "," "),CHAR(9)," "),CHAR(10)," "),CHAR(13)," "))),"")))</f>
        <v/>
      </c>
      <c r="DT733">
        <f>IF($DM733=0,"",IF($L$12=0,"",IFERROR(IF(ISNUMBER(INDEX(PASTE_ALL,$DF733,$L$12)),INDEX(PASTE_ALL,$DF733,$L$12),TRIM(SUBSTITUTE(SUBSTITUTE(SUBSTITUTE(SUBSTITUTE(INDEX(PASTE_ALL,$DF733,$L$12)," "," "),CHAR(9)," "),CHAR(10)," "),CHAR(13)," "))),"")))</f>
        <v/>
      </c>
      <c r="DU733">
        <f>IF($DM733=0,"",IF($L$13=0,"",IFERROR(IF(ISNUMBER(INDEX(PASTE_ALL,$DF733,$L$13)),INDEX(PASTE_ALL,$DF733,$L$13),TRIM(SUBSTITUTE(SUBSTITUTE(SUBSTITUTE(SUBSTITUTE(INDEX(PASTE_ALL,$DF733,$L$13)," "," "),CHAR(9)," "),CHAR(10)," "),CHAR(13)," "))),"")))</f>
        <v/>
      </c>
      <c r="DV733">
        <f>IF($DM733=0,"",IF($L$14=0,"",IFERROR(IF(ISNUMBER(INDEX(PASTE_ALL,$DF733,$L$14)),INDEX(PASTE_ALL,$DF733,$L$14),TRIM(SUBSTITUTE(SUBSTITUTE(SUBSTITUTE(SUBSTITUTE(INDEX(PASTE_ALL,$DF733,$L$14)," "," "),CHAR(9)," "),CHAR(10)," "),CHAR(13)," "))),"")))</f>
        <v/>
      </c>
      <c r="DW733">
        <f>IF($DM733=0,"",IF($L$15=0,"",IFERROR(IF(ISNUMBER(INDEX(PASTE_ALL,$DF733,$L$15)),INDEX(PASTE_ALL,$DF733,$L$15),IF(SUMPRODUCT(--ISNUMBER(FIND({"A","B","C","D","E","F","G","H","I","J","K","L","M","N","O","P","Q","R","S","T","U","V","W","X","Y","Z","0","1","2","3","4","5","6","7","8","9"},UPPER(TRIM(SUBSTITUTE(SUBSTITUTE(SUBSTITUTE(SUBSTITUTE(INDEX(PASTE_ALL,$DF733,$L$15)," "," "),CHAR(9)," "),CHAR(10)," "),CHAR(13)," "))))))&gt;0,TRIM(SUBSTITUTE(SUBSTITUTE(SUBSTITUTE(SUBSTITUTE(INDEX(PASTE_ALL,$DF733,$L$15)," "," "),CHAR(9)," "),CHAR(10)," "),CHAR(13)," ")),"")),"")))</f>
        <v/>
      </c>
      <c r="DX733">
        <f>IF($DM733=0,"",IF($L$16=0,"",IFERROR(IF(ISNUMBER(INDEX(PASTE_ALL,$DF733,$L$16)),INDEX(PASTE_ALL,$DF733,$L$16),SUBSTITUTE(SUBSTITUTE(TRIM(SUBSTITUTE(SUBSTITUTE(SUBSTITUTE(SUBSTITUTE(INDEX(PASTE_ALL,$DF733,$L$16)," "," "),CHAR(9)," "),CHAR(10)," "),CHAR(13)," ")),",",""),"%","")),"")))</f>
        <v/>
      </c>
      <c r="DY733">
        <f>IF($DM733=0,"",IFERROR(IF(ISNUMBER($DX733),$DX733,IF($DX733="","",IF(TRIM($DX733)="",0,IF(AND(AND(SUBSTITUTE(SUBSTITUTE(SUBSTITUTE(SUBSTITUTE(SUBSTITUTE(SUBSTITUTE(SUBSTITUTE(SUBSTITUTE(SUBSTITUTE(SUBSTITUTE(SUBSTITUTE(SUBSTITUTE(SUBSTITUTE(SUBSTITUTE(UPPER(TRIM($DX733)),"0",""),"1",""),"2",""),"3",""),"4",""),"5",""),"6",""),"7",""),"8",""),"9",""),".",""),"+",""),"-",""),"E","")="",LEN(SUBSTITUTE(SUBSTITUTE(MID(UPPER(TRIM($DX733)),1+OR(LEFT(UPPER(TRIM($DX733)),1)="+",LEFT(UPPER(TRIM($DX733)),1)="-"),999),"E+","E"),"E-","E"))=LEN(SUBSTITUTE(SUBSTITUTE(SUBSTITUTE(SUBSTITUTE(MID(UPPER(TRIM($DX733)),1+OR(LEFT(UPPER(TRIM($DX733)),1)="+",LEFT(UPPER(TRIM($DX733)),1)="-"),999),"E+","E"),"E-","E"),"+",""),"-","")),LEN(UPPER(TRIM($DX733)))-LEN(SUBSTITUTE(UPPER(TRIM($DX733)),"E",""))&lt;2,LEN(UPPER(TRIM($DX733)))-LEN(SUBSTITUTE(UPPER(TRIM($DX733)),".",""))&lt;2,IFERROR(FIND(".",UPPER(TRIM($DX733))),0)&lt;IFERROR(FIND("E",UPPER(TRIM($DX733))),999)),ISNUMBER(VALUE(TRIM($DX733)))),VALUE(TRIM($DX733)),"")))),""))</f>
        <v/>
      </c>
      <c r="DZ733">
        <f>IF($DM733=0,"",IF($L$17=0,"",IFERROR(IF(ISNUMBER(INDEX(PASTE_ALL,$DF733,$L$17)),INDEX(PASTE_ALL,$DF733,$L$17),SUBSTITUTE(SUBSTITUTE(TRIM(SUBSTITUTE(SUBSTITUTE(SUBSTITUTE(SUBSTITUTE(INDEX(PASTE_ALL,$DF733,$L$17)," "," "),CHAR(9)," "),CHAR(10)," "),CHAR(13)," ")),",",""),"%","")),"")))</f>
        <v/>
      </c>
      <c r="EA733">
        <f>IF($DM733=0,"",IFERROR(IF(ISNUMBER($DZ733),$DZ733,IF($DZ733="","",IF(TRIM($DZ733)="",0,IF(AND(AND(SUBSTITUTE(SUBSTITUTE(SUBSTITUTE(SUBSTITUTE(SUBSTITUTE(SUBSTITUTE(SUBSTITUTE(SUBSTITUTE(SUBSTITUTE(SUBSTITUTE(SUBSTITUTE(SUBSTITUTE(SUBSTITUTE(SUBSTITUTE(UPPER(TRIM($DZ733)),"0",""),"1",""),"2",""),"3",""),"4",""),"5",""),"6",""),"7",""),"8",""),"9",""),".",""),"+",""),"-",""),"E","")="",LEN(SUBSTITUTE(SUBSTITUTE(MID(UPPER(TRIM($DZ733)),1+OR(LEFT(UPPER(TRIM($DZ733)),1)="+",LEFT(UPPER(TRIM($DZ733)),1)="-"),999),"E+","E"),"E-","E"))=LEN(SUBSTITUTE(SUBSTITUTE(SUBSTITUTE(SUBSTITUTE(MID(UPPER(TRIM($DZ733)),1+OR(LEFT(UPPER(TRIM($DZ733)),1)="+",LEFT(UPPER(TRIM($DZ733)),1)="-"),999),"E+","E"),"E-","E"),"+",""),"-","")),LEN(UPPER(TRIM($DZ733)))-LEN(SUBSTITUTE(UPPER(TRIM($DZ733)),"E",""))&lt;2,LEN(UPPER(TRIM($DZ733)))-LEN(SUBSTITUTE(UPPER(TRIM($DZ733)),".",""))&lt;2,IFERROR(FIND(".",UPPER(TRIM($DZ733))),0)&lt;IFERROR(FIND("E",UPPER(TRIM($DZ733))),999)),ISNUMBER(VALUE(TRIM($DZ733)))),VALUE(TRIM($DZ733)),"")))),""))</f>
        <v/>
      </c>
      <c r="EB733">
        <f>IF($DM733=0,"",IF($L$18=0,"",IFERROR(IF(UPPER(TRIM(SUBSTITUTE(SUBSTITUTE(SUBSTITUTE(SUBSTITUTE(INDEX(PASTE_ALL,$DF733,$L$18)," "," "),CHAR(9)," "),CHAR(10)," "),CHAR(13)," ")))="READY","Ready",IF(UPPER(TRIM(SUBSTITUTE(SUBSTITUTE(SUBSTITUTE(SUBSTITUTE(INDEX(PASTE_ALL,$DF733,$L$18)," "," "),CHAR(9)," "),CHAR(10)," "),CHAR(13)," ")))="PM","PM",IF(OR(UPPER(TRIM(SUBSTITUTE(SUBSTITUTE(SUBSTITUTE(SUBSTITUTE(INDEX(PASTE_ALL,$DF733,$L$18)," "," "),CHAR(9)," "),CHAR(10)," "),CHAR(13)," ")))="OT",UPPER(TRIM(SUBSTITUTE(SUBSTITUTE(SUBSTITUTE(SUBSTITUTE(INDEX(PASTE_ALL,$DF733,$L$18)," "," "),CHAR(9)," "),CHAR(10)," "),CHAR(13)," ")))="OVERTIME",UPPER(TRIM(SUBSTITUTE(SUBSTITUTE(SUBSTITUTE(SUBSTITUTE(INDEX(PASTE_ALL,$DF733,$L$18)," "," "),CHAR(9)," "),CHAR(10)," "),CHAR(13)," ")))="TRIAL"),"OT",TRIM(SUBSTITUTE(SUBSTITUTE(SUBSTITUTE(SUBSTITUTE(INDEX(PASTE_ALL,$DF733,$L$18)," "," "),CHAR(9)," "),CHAR(10)," "),CHAR(13)," "))))),"")))</f>
        <v/>
      </c>
      <c r="EC733">
        <f>IF($DM733=0,"",IF($L$19=0,"",IFERROR(IF(ISNUMBER(INDEX(PASTE_ALL,$DF733,$L$19)),INDEX(PASTE_ALL,$DF733,$L$19),TRIM(SUBSTITUTE(SUBSTITUTE(SUBSTITUTE(SUBSTITUTE(INDEX(PASTE_ALL,$DF733,$L$19)," "," "),CHAR(9)," "),CHAR(10)," "),CHAR(13)," "))),"")))</f>
        <v/>
      </c>
      <c r="ED733">
        <f>IF($DM733=0,"",MATCH(1,INDEX(EXACT($DH$5:DH733,$DH733)*$DM$5:DM733,0),0))</f>
        <v/>
      </c>
      <c r="EE733">
        <f>IF($DM733=0,0,IF($ED733=$DE733,1,0))</f>
        <v/>
      </c>
      <c r="EF733">
        <f>EF732+$EE733</f>
        <v/>
      </c>
      <c r="EG733">
        <f>IF($DM733=0,"",INDEX($EF$5:$EF$1003,$ED733))</f>
        <v/>
      </c>
      <c r="EH733">
        <f>IF($DM733=0,"",IF($DO733&lt;&gt;"","",IFERROR(LOOKUP(2,1/(($EG$4:EG732=$EG733)*($DO$4:DO732&lt;&gt;"")),$DO$4:DO732),"")))</f>
        <v/>
      </c>
      <c r="EI733">
        <f>IF($DM733=0,"",IF($DO733&lt;&gt;"",$DO733,$EH733))</f>
        <v/>
      </c>
      <c r="EJ733">
        <f>IF($DM733=0,"",IF($EI733="",0,IF(OR(ISNUMBER($EI733),AND(AND(SUBSTITUTE(SUBSTITUTE(SUBSTITUTE(SUBSTITUTE(SUBSTITUTE(SUBSTITUTE(SUBSTITUTE(SUBSTITUTE(SUBSTITUTE(SUBSTITUTE(SUBSTITUTE(SUBSTITUTE(SUBSTITUTE(SUBSTITUTE(UPPER($EI733),"0",""),"1",""),"2",""),"3",""),"4",""),"5",""),"6",""),"7",""),"8",""),"9",""),".",""),"+",""),"-",""),"E","")="",LEN(SUBSTITUTE(SUBSTITUTE(MID(UPPER($EI733),1+OR(LEFT(UPPER($EI733),1)="+",LEFT(UPPER($EI733),1)="-"),999),"E+","E"),"E-","E"))=LEN(SUBSTITUTE(SUBSTITUTE(SUBSTITUTE(SUBSTITUTE(MID(UPPER($EI733),1+OR(LEFT(UPPER($EI733),1)="+",LEFT(UPPER($EI733),1)="-"),999),"E+","E"),"E-","E"),"+",""),"-","")),LEN(UPPER($EI733))-LEN(SUBSTITUTE(UPPER($EI733),"E",""))&lt;2,LEN(UPPER($EI733))-LEN(SUBSTITUTE(UPPER($EI733),".",""))&lt;2,IFERROR(FIND(".",UPPER($EI733)),0)&lt;IFERROR(FIND("E",UPPER($EI733)),999)),ISNUMBER(VALUE($EI733)))),1,2)))</f>
        <v/>
      </c>
      <c r="EK733">
        <f>IF($DM733=0,"",IF($EJ733=1,IF(ISNUMBER($EI733),$EI733,VALUE($EI733)),IF($EJ733=2,$DE733,0)))</f>
        <v/>
      </c>
      <c r="EL733">
        <f>IF($DM733=0,"",COUNTIF($EG$5:$EG$1003,"&lt;"&amp;$EG733)+SUMPRODUCT(($EG$5:$EG$1003=$EG733)*(($EJ$5:$EJ$1003&lt;$EJ733)+($EJ$5:$EJ$1003=$EJ733)*(($EK$5:$EK$1003&lt;$EK733)+($EK$5:$EK$1003=$EK733)*($DE$5:$DE$1003&lt;$DE733))))+1)</f>
        <v/>
      </c>
      <c r="EM733">
        <f>IF($DM733=0,"",$EL733+$EG733-1)</f>
        <v/>
      </c>
      <c r="EN733">
        <f>IF($DM733=0,0,IFERROR(MATCH(1,INDEX(--(TRIM(SUBSTITUTE(SUBSTITUTE(SUBSTITUTE(SUBSTITUTE(LINES_NAME&amp;""," "," "),CHAR(9)," "),CHAR(10)," "),CHAR(13)," "))=$DH733),0),0),0))</f>
        <v/>
      </c>
      <c r="EO733">
        <f>IF($EN733=0,0,IF(OR(UPPER(TRIM(INDEX(LINES_SCHEDULED,$EN733)&amp;""))="YES",UPPER(TRIM(INDEX(LINES_SCHEDULED,$EN733)&amp;""))="Y",UPPER(TRIM(INDEX(LINES_SCHEDULED,$EN733)&amp;""))="X"),1,0))</f>
        <v/>
      </c>
      <c r="EP733">
        <f>IF($DM733=0,"",IF(COUNTIFS($EG$5:$EG$1003,$EG733,$EB$5:$EB$1003,"Ready")&gt;0,"READY",IF(COUNTIFS($EG$5:$EG$1003,$EG733,$EB$5:$EB$1003,"PM")&gt;0,"PM",IF(COUNTIFS($EG$5:$EG$1003,$EG733,$EB$5:$EB$1003,"OT")&gt;0,"OT",""))))</f>
        <v/>
      </c>
      <c r="EQ733">
        <f>IF($EN733=0,"",UPPER(TRIM(INDEX(LINES_STATUS,$EN733)&amp;"")))</f>
        <v/>
      </c>
      <c r="ER733">
        <f>IF($DM733=0,"",IF(OR($EQ733="READY",$EQ733="PM",$EQ733="OT"),$EQ733,$EP733))</f>
        <v/>
      </c>
      <c r="ES733">
        <f>IF($DM733=0,"",IF(AND($DV733&lt;&gt;"",UPPER($DV733)&lt;&gt;"N"),"allergen",IF(ISNUMBER(SEARCH("oil",$DQ733)),"oil",IF(OR(EXACT($DS733,"A662"),EXACT($DS733,"A624")),"bulk",""))))</f>
        <v/>
      </c>
      <c r="ET733">
        <f>IF($DM733=0,"",IF(OR($EA733="",$EA733=0),"",$EA733/100))</f>
        <v/>
      </c>
      <c r="EU733">
        <f>IF(OR($ET733="",$DY733=""),"",INT($DY733*(1-$ET733)+0.5))</f>
        <v/>
      </c>
    </row>
    <row r="734">
      <c r="DA734" t="n">
        <v>730</v>
      </c>
      <c r="DB734">
        <f>IF($B$37=0,"",IFERROR(TRIM(SUBSTITUTE(SUBSTITUTE(SUBSTITUTE(SUBSTITUTE(INDEX(PASTE_ALL,730,$B$37)," "," "),CHAR(9)," "),CHAR(10)," "),CHAR(13)," ")),""))</f>
        <v/>
      </c>
      <c r="DC734">
        <f>IF(AND(730&gt;HEADER_ROW,UPPER(DB734)="LEGEND"),1,0)</f>
        <v/>
      </c>
      <c r="DE734" t="n">
        <v>730</v>
      </c>
      <c r="DF734">
        <f>HEADER_ROW+$DE734</f>
        <v/>
      </c>
      <c r="DG734">
        <f>IF(AND($DF734&lt;=1000,$DF734&lt;$B$8),1,0)</f>
        <v/>
      </c>
      <c r="DH734">
        <f>IF($DG734=1,IFERROR(INDEX($DB$5:$DB$1004,$DF734),""),"")</f>
        <v/>
      </c>
      <c r="DI734">
        <f>IF(AND($DG734=1,$DH734&lt;&gt;""),IFERROR(SUBSTITUTE(SUBSTITUTE(TRIM(SUBSTITUTE(SUBSTITUTE(SUBSTITUTE(SUBSTITUTE(IFERROR(INDEX(PASTE_ALL,$DF734,1)&amp;"","")&amp;"␟"&amp;IFERROR(INDEX(PASTE_ALL,$DF734,2)&amp;"","")&amp;"␟"&amp;IFERROR(INDEX(PASTE_ALL,$DF734,3)&amp;"","")&amp;"␟"&amp;IFERROR(INDEX(PASTE_ALL,$DF734,4)&amp;"","")&amp;"␟"&amp;IFERROR(INDEX(PASTE_ALL,$DF734,5)&amp;"","")&amp;"␟"&amp;IFERROR(INDEX(PASTE_ALL,$DF734,6)&amp;"","")&amp;"␟"&amp;IFERROR(INDEX(PASTE_ALL,$DF734,7)&amp;"","")&amp;"␟"&amp;IFERROR(INDEX(PASTE_ALL,$DF734,8)&amp;"","")&amp;"␟"&amp;IFERROR(INDEX(PASTE_ALL,$DF734,9)&amp;"","")&amp;"␟"&amp;IFERROR(INDEX(PASTE_ALL,$DF734,10)&amp;"","")&amp;"␟"&amp;IFERROR(INDEX(PASTE_ALL,$DF734,11)&amp;"","")&amp;"␟"&amp;IFERROR(INDEX(PASTE_ALL,$DF734,12)&amp;"","")&amp;"␟"&amp;IFERROR(INDEX(PASTE_ALL,$DF734,13)&amp;"","")&amp;"␟"&amp;IFERROR(INDEX(PASTE_ALL,$DF734,14)&amp;"","")&amp;"␟"&amp;IFERROR(INDEX(PASTE_ALL,$DF734,15)&amp;"","")&amp;"␟"&amp;IFERROR(INDEX(PASTE_ALL,$DF734,16)&amp;"","")&amp;"␟"&amp;IFERROR(INDEX(PASTE_ALL,$DF734,17)&amp;"","")&amp;"␟"&amp;IFERROR(INDEX(PASTE_ALL,$DF734,18)&amp;"","")&amp;"␟"&amp;IFERROR(INDEX(PASTE_ALL,$DF734,19)&amp;"","")&amp;"␟"&amp;IFERROR(INDEX(PASTE_ALL,$DF734,20)&amp;"","")&amp;"␟"&amp;IFERROR(INDEX(PASTE_ALL,$DF734,21)&amp;"","")&amp;"␟"&amp;IFERROR(INDEX(PASTE_ALL,$DF734,22)&amp;"","")&amp;"␟"&amp;IFERROR(INDEX(PASTE_ALL,$DF734,23)&amp;"","")&amp;"␟"&amp;IFERROR(INDEX(PASTE_ALL,$DF734,24)&amp;"","")&amp;"␟"&amp;IFERROR(INDEX(PASTE_ALL,$DF734,25)&amp;"","")&amp;"␟"&amp;IFERROR(INDEX(PASTE_ALL,$DF734,26)&amp;"","")&amp;"␟"&amp;IFERROR(INDEX(PASTE_ALL,$DF734,27)&amp;"","")&amp;"␟"&amp;IFERROR(INDEX(PASTE_ALL,$DF734,28)&amp;"","")&amp;"␟"&amp;IFERROR(INDEX(PASTE_ALL,$DF734,29)&amp;"","")&amp;"␟"&amp;IFERROR(INDEX(PASTE_ALL,$DF734,30)&amp;"","")&amp;"␟"&amp;IFERROR(INDEX(PASTE_ALL,$DF734,31)&amp;"","")&amp;"␟"&amp;IFERROR(INDEX(PASTE_ALL,$DF734,32)&amp;"","")&amp;"␟"&amp;IFERROR(INDEX(PASTE_ALL,$DF734,33)&amp;"","")&amp;"␟"&amp;IFERROR(INDEX(PASTE_ALL,$DF734,34)&amp;"","")&amp;"␟"&amp;IFERROR(INDEX(PASTE_ALL,$DF734,35)&amp;"","")&amp;"␟"&amp;IFERROR(INDEX(PASTE_ALL,$DF734,36)&amp;"","")&amp;"␟"&amp;IFERROR(INDEX(PASTE_ALL,$DF734,37)&amp;"","")&amp;"␟"&amp;IFERROR(INDEX(PASTE_ALL,$DF734,38)&amp;"","")&amp;"␟"&amp;IFERROR(INDEX(PASTE_ALL,$DF734,39)&amp;"","")&amp;"␟"&amp;IFERROR(INDEX(PASTE_ALL,$DF734,40)&amp;"","")&amp;"␟"&amp;IFERROR(INDEX(PASTE_ALL,$DF734,41)&amp;"","")&amp;"␟"&amp;IFERROR(INDEX(PASTE_ALL,$DF734,42)&amp;"","")&amp;"␟"&amp;IFERROR(INDEX(PASTE_ALL,$DF734,43)&amp;"","")&amp;"␟"&amp;IFERROR(INDEX(PASTE_ALL,$DF734,44)&amp;"","")&amp;"␟"&amp;IFERROR(INDEX(PASTE_ALL,$DF734,45)&amp;"","")&amp;"␟"&amp;IFERROR(INDEX(PASTE_ALL,$DF734,46)&amp;"","")&amp;"␟"&amp;IFERROR(INDEX(PASTE_ALL,$DF734,47)&amp;"","")&amp;"␟"&amp;IFERROR(INDEX(PASTE_ALL,$DF734,48)&amp;"","")&amp;"␟"&amp;IFERROR(INDEX(PASTE_ALL,$DF734,49)&amp;"","")&amp;"␟"&amp;IFERROR(INDEX(PASTE_ALL,$DF734,50)&amp;"","")&amp;"␟"&amp;IFERROR(INDEX(PASTE_ALL,$DF734,51)&amp;"","")&amp;"␟"&amp;IFERROR(INDEX(PASTE_ALL,$DF734,52)&amp;"","")&amp;"␟"&amp;IFERROR(INDEX(PASTE_ALL,$DF734,53)&amp;"","")&amp;"␟"&amp;IFERROR(INDEX(PASTE_ALL,$DF734,54)&amp;"","")&amp;"␟"&amp;IFERROR(INDEX(PASTE_ALL,$DF734,55)&amp;"","")&amp;"␟"&amp;IFERROR(INDEX(PASTE_ALL,$DF734,56)&amp;"","")&amp;"␟"&amp;IFERROR(INDEX(PASTE_ALL,$DF734,57)&amp;"","")&amp;"␟"&amp;IFERROR(INDEX(PASTE_ALL,$DF734,58)&amp;"","")&amp;"␟"&amp;IFERROR(INDEX(PASTE_ALL,$DF734,59)&amp;"","")&amp;"␟"&amp;IFERROR(INDEX(PASTE_ALL,$DF734,60)&amp;"","")," "," "),CHAR(9)," "),CHAR(10)," "),CHAR(13)," "))," ␟","␟"),"␟ ","␟"),"#"&amp;$DE734),"")</f>
        <v/>
      </c>
      <c r="DJ734">
        <f>IF($DI734="",0,IF(SUMPRODUCT(--EXACT($DI$4:DI733,$DI734))&gt;0,1,0))</f>
        <v/>
      </c>
      <c r="DK734">
        <f>IF(AND($DI734&lt;&gt;"",$DJ734=0),1,0)</f>
        <v/>
      </c>
      <c r="DL734">
        <f>DL733+$DK734</f>
        <v/>
      </c>
      <c r="DM734">
        <f>IF(AND($DK734=1,$DL734&lt;=600),1,0)</f>
        <v/>
      </c>
      <c r="DN734">
        <f>IF($DM734=0,"",IF($L$6=0,"",IFERROR(IF(ISNUMBER(INDEX(PASTE_ALL,$DF734,$L$6)),INDEX(PASTE_ALL,$DF734,$L$6),TRIM(SUBSTITUTE(SUBSTITUTE(SUBSTITUTE(SUBSTITUTE(INDEX(PASTE_ALL,$DF734,$L$6)," "," "),CHAR(9)," "),CHAR(10)," "),CHAR(13)," "))),"")))</f>
        <v/>
      </c>
      <c r="DO734">
        <f>IF($DM734=0,"",IF($L$7=0,"",IFERROR(IF(ISNUMBER(INDEX(PASTE_ALL,$DF734,$L$7)),INDEX(PASTE_ALL,$DF734,$L$7),TRIM(SUBSTITUTE(SUBSTITUTE(SUBSTITUTE(SUBSTITUTE(INDEX(PASTE_ALL,$DF734,$L$7)," "," "),CHAR(9)," "),CHAR(10)," "),CHAR(13)," "))),"")))</f>
        <v/>
      </c>
      <c r="DP734">
        <f>IF($DM734=0,"",IF($L$8=0,"",IFERROR(IF(ISNUMBER(INDEX(PASTE_ALL,$DF734,$L$8)),INDEX(PASTE_ALL,$DF734,$L$8),TRIM(SUBSTITUTE(SUBSTITUTE(SUBSTITUTE(SUBSTITUTE(INDEX(PASTE_ALL,$DF734,$L$8)," "," "),CHAR(9)," "),CHAR(10)," "),CHAR(13)," "))),"")))</f>
        <v/>
      </c>
      <c r="DQ734">
        <f>IF($DM734=0,"",IF($L$9=0,"",IFERROR(IF(ISNUMBER(INDEX(PASTE_ALL,$DF734,$L$9)),INDEX(PASTE_ALL,$DF734,$L$9),TRIM(SUBSTITUTE(SUBSTITUTE(SUBSTITUTE(SUBSTITUTE(INDEX(PASTE_ALL,$DF734,$L$9)," "," "),CHAR(9)," "),CHAR(10)," "),CHAR(13)," "))),"")))</f>
        <v/>
      </c>
      <c r="DR734">
        <f>IF($DM734=0,"",IF($L$10=0,"",IFERROR(IF(ISNUMBER(INDEX(PASTE_ALL,$DF734,$L$10)),INDEX(PASTE_ALL,$DF734,$L$10),TRIM(SUBSTITUTE(SUBSTITUTE(SUBSTITUTE(SUBSTITUTE(INDEX(PASTE_ALL,$DF734,$L$10)," "," "),CHAR(9)," "),CHAR(10)," "),CHAR(13)," "))),"")))</f>
        <v/>
      </c>
      <c r="DS734">
        <f>IF($DM734=0,"",IF($L$11=0,"",IFERROR(IF(ISNUMBER(INDEX(PASTE_ALL,$DF734,$L$11)),INDEX(PASTE_ALL,$DF734,$L$11),TRIM(SUBSTITUTE(SUBSTITUTE(SUBSTITUTE(SUBSTITUTE(INDEX(PASTE_ALL,$DF734,$L$11)," "," "),CHAR(9)," "),CHAR(10)," "),CHAR(13)," "))),"")))</f>
        <v/>
      </c>
      <c r="DT734">
        <f>IF($DM734=0,"",IF($L$12=0,"",IFERROR(IF(ISNUMBER(INDEX(PASTE_ALL,$DF734,$L$12)),INDEX(PASTE_ALL,$DF734,$L$12),TRIM(SUBSTITUTE(SUBSTITUTE(SUBSTITUTE(SUBSTITUTE(INDEX(PASTE_ALL,$DF734,$L$12)," "," "),CHAR(9)," "),CHAR(10)," "),CHAR(13)," "))),"")))</f>
        <v/>
      </c>
      <c r="DU734">
        <f>IF($DM734=0,"",IF($L$13=0,"",IFERROR(IF(ISNUMBER(INDEX(PASTE_ALL,$DF734,$L$13)),INDEX(PASTE_ALL,$DF734,$L$13),TRIM(SUBSTITUTE(SUBSTITUTE(SUBSTITUTE(SUBSTITUTE(INDEX(PASTE_ALL,$DF734,$L$13)," "," "),CHAR(9)," "),CHAR(10)," "),CHAR(13)," "))),"")))</f>
        <v/>
      </c>
      <c r="DV734">
        <f>IF($DM734=0,"",IF($L$14=0,"",IFERROR(IF(ISNUMBER(INDEX(PASTE_ALL,$DF734,$L$14)),INDEX(PASTE_ALL,$DF734,$L$14),TRIM(SUBSTITUTE(SUBSTITUTE(SUBSTITUTE(SUBSTITUTE(INDEX(PASTE_ALL,$DF734,$L$14)," "," "),CHAR(9)," "),CHAR(10)," "),CHAR(13)," "))),"")))</f>
        <v/>
      </c>
      <c r="DW734">
        <f>IF($DM734=0,"",IF($L$15=0,"",IFERROR(IF(ISNUMBER(INDEX(PASTE_ALL,$DF734,$L$15)),INDEX(PASTE_ALL,$DF734,$L$15),IF(SUMPRODUCT(--ISNUMBER(FIND({"A","B","C","D","E","F","G","H","I","J","K","L","M","N","O","P","Q","R","S","T","U","V","W","X","Y","Z","0","1","2","3","4","5","6","7","8","9"},UPPER(TRIM(SUBSTITUTE(SUBSTITUTE(SUBSTITUTE(SUBSTITUTE(INDEX(PASTE_ALL,$DF734,$L$15)," "," "),CHAR(9)," "),CHAR(10)," "),CHAR(13)," "))))))&gt;0,TRIM(SUBSTITUTE(SUBSTITUTE(SUBSTITUTE(SUBSTITUTE(INDEX(PASTE_ALL,$DF734,$L$15)," "," "),CHAR(9)," "),CHAR(10)," "),CHAR(13)," ")),"")),"")))</f>
        <v/>
      </c>
      <c r="DX734">
        <f>IF($DM734=0,"",IF($L$16=0,"",IFERROR(IF(ISNUMBER(INDEX(PASTE_ALL,$DF734,$L$16)),INDEX(PASTE_ALL,$DF734,$L$16),SUBSTITUTE(SUBSTITUTE(TRIM(SUBSTITUTE(SUBSTITUTE(SUBSTITUTE(SUBSTITUTE(INDEX(PASTE_ALL,$DF734,$L$16)," "," "),CHAR(9)," "),CHAR(10)," "),CHAR(13)," ")),",",""),"%","")),"")))</f>
        <v/>
      </c>
      <c r="DY734">
        <f>IF($DM734=0,"",IFERROR(IF(ISNUMBER($DX734),$DX734,IF($DX734="","",IF(TRIM($DX734)="",0,IF(AND(AND(SUBSTITUTE(SUBSTITUTE(SUBSTITUTE(SUBSTITUTE(SUBSTITUTE(SUBSTITUTE(SUBSTITUTE(SUBSTITUTE(SUBSTITUTE(SUBSTITUTE(SUBSTITUTE(SUBSTITUTE(SUBSTITUTE(SUBSTITUTE(UPPER(TRIM($DX734)),"0",""),"1",""),"2",""),"3",""),"4",""),"5",""),"6",""),"7",""),"8",""),"9",""),".",""),"+",""),"-",""),"E","")="",LEN(SUBSTITUTE(SUBSTITUTE(MID(UPPER(TRIM($DX734)),1+OR(LEFT(UPPER(TRIM($DX734)),1)="+",LEFT(UPPER(TRIM($DX734)),1)="-"),999),"E+","E"),"E-","E"))=LEN(SUBSTITUTE(SUBSTITUTE(SUBSTITUTE(SUBSTITUTE(MID(UPPER(TRIM($DX734)),1+OR(LEFT(UPPER(TRIM($DX734)),1)="+",LEFT(UPPER(TRIM($DX734)),1)="-"),999),"E+","E"),"E-","E"),"+",""),"-","")),LEN(UPPER(TRIM($DX734)))-LEN(SUBSTITUTE(UPPER(TRIM($DX734)),"E",""))&lt;2,LEN(UPPER(TRIM($DX734)))-LEN(SUBSTITUTE(UPPER(TRIM($DX734)),".",""))&lt;2,IFERROR(FIND(".",UPPER(TRIM($DX734))),0)&lt;IFERROR(FIND("E",UPPER(TRIM($DX734))),999)),ISNUMBER(VALUE(TRIM($DX734)))),VALUE(TRIM($DX734)),"")))),""))</f>
        <v/>
      </c>
      <c r="DZ734">
        <f>IF($DM734=0,"",IF($L$17=0,"",IFERROR(IF(ISNUMBER(INDEX(PASTE_ALL,$DF734,$L$17)),INDEX(PASTE_ALL,$DF734,$L$17),SUBSTITUTE(SUBSTITUTE(TRIM(SUBSTITUTE(SUBSTITUTE(SUBSTITUTE(SUBSTITUTE(INDEX(PASTE_ALL,$DF734,$L$17)," "," "),CHAR(9)," "),CHAR(10)," "),CHAR(13)," ")),",",""),"%","")),"")))</f>
        <v/>
      </c>
      <c r="EA734">
        <f>IF($DM734=0,"",IFERROR(IF(ISNUMBER($DZ734),$DZ734,IF($DZ734="","",IF(TRIM($DZ734)="",0,IF(AND(AND(SUBSTITUTE(SUBSTITUTE(SUBSTITUTE(SUBSTITUTE(SUBSTITUTE(SUBSTITUTE(SUBSTITUTE(SUBSTITUTE(SUBSTITUTE(SUBSTITUTE(SUBSTITUTE(SUBSTITUTE(SUBSTITUTE(SUBSTITUTE(UPPER(TRIM($DZ734)),"0",""),"1",""),"2",""),"3",""),"4",""),"5",""),"6",""),"7",""),"8",""),"9",""),".",""),"+",""),"-",""),"E","")="",LEN(SUBSTITUTE(SUBSTITUTE(MID(UPPER(TRIM($DZ734)),1+OR(LEFT(UPPER(TRIM($DZ734)),1)="+",LEFT(UPPER(TRIM($DZ734)),1)="-"),999),"E+","E"),"E-","E"))=LEN(SUBSTITUTE(SUBSTITUTE(SUBSTITUTE(SUBSTITUTE(MID(UPPER(TRIM($DZ734)),1+OR(LEFT(UPPER(TRIM($DZ734)),1)="+",LEFT(UPPER(TRIM($DZ734)),1)="-"),999),"E+","E"),"E-","E"),"+",""),"-","")),LEN(UPPER(TRIM($DZ734)))-LEN(SUBSTITUTE(UPPER(TRIM($DZ734)),"E",""))&lt;2,LEN(UPPER(TRIM($DZ734)))-LEN(SUBSTITUTE(UPPER(TRIM($DZ734)),".",""))&lt;2,IFERROR(FIND(".",UPPER(TRIM($DZ734))),0)&lt;IFERROR(FIND("E",UPPER(TRIM($DZ734))),999)),ISNUMBER(VALUE(TRIM($DZ734)))),VALUE(TRIM($DZ734)),"")))),""))</f>
        <v/>
      </c>
      <c r="EB734">
        <f>IF($DM734=0,"",IF($L$18=0,"",IFERROR(IF(UPPER(TRIM(SUBSTITUTE(SUBSTITUTE(SUBSTITUTE(SUBSTITUTE(INDEX(PASTE_ALL,$DF734,$L$18)," "," "),CHAR(9)," "),CHAR(10)," "),CHAR(13)," ")))="READY","Ready",IF(UPPER(TRIM(SUBSTITUTE(SUBSTITUTE(SUBSTITUTE(SUBSTITUTE(INDEX(PASTE_ALL,$DF734,$L$18)," "," "),CHAR(9)," "),CHAR(10)," "),CHAR(13)," ")))="PM","PM",IF(OR(UPPER(TRIM(SUBSTITUTE(SUBSTITUTE(SUBSTITUTE(SUBSTITUTE(INDEX(PASTE_ALL,$DF734,$L$18)," "," "),CHAR(9)," "),CHAR(10)," "),CHAR(13)," ")))="OT",UPPER(TRIM(SUBSTITUTE(SUBSTITUTE(SUBSTITUTE(SUBSTITUTE(INDEX(PASTE_ALL,$DF734,$L$18)," "," "),CHAR(9)," "),CHAR(10)," "),CHAR(13)," ")))="OVERTIME",UPPER(TRIM(SUBSTITUTE(SUBSTITUTE(SUBSTITUTE(SUBSTITUTE(INDEX(PASTE_ALL,$DF734,$L$18)," "," "),CHAR(9)," "),CHAR(10)," "),CHAR(13)," ")))="TRIAL"),"OT",TRIM(SUBSTITUTE(SUBSTITUTE(SUBSTITUTE(SUBSTITUTE(INDEX(PASTE_ALL,$DF734,$L$18)," "," "),CHAR(9)," "),CHAR(10)," "),CHAR(13)," "))))),"")))</f>
        <v/>
      </c>
      <c r="EC734">
        <f>IF($DM734=0,"",IF($L$19=0,"",IFERROR(IF(ISNUMBER(INDEX(PASTE_ALL,$DF734,$L$19)),INDEX(PASTE_ALL,$DF734,$L$19),TRIM(SUBSTITUTE(SUBSTITUTE(SUBSTITUTE(SUBSTITUTE(INDEX(PASTE_ALL,$DF734,$L$19)," "," "),CHAR(9)," "),CHAR(10)," "),CHAR(13)," "))),"")))</f>
        <v/>
      </c>
      <c r="ED734">
        <f>IF($DM734=0,"",MATCH(1,INDEX(EXACT($DH$5:DH734,$DH734)*$DM$5:DM734,0),0))</f>
        <v/>
      </c>
      <c r="EE734">
        <f>IF($DM734=0,0,IF($ED734=$DE734,1,0))</f>
        <v/>
      </c>
      <c r="EF734">
        <f>EF733+$EE734</f>
        <v/>
      </c>
      <c r="EG734">
        <f>IF($DM734=0,"",INDEX($EF$5:$EF$1003,$ED734))</f>
        <v/>
      </c>
      <c r="EH734">
        <f>IF($DM734=0,"",IF($DO734&lt;&gt;"","",IFERROR(LOOKUP(2,1/(($EG$4:EG733=$EG734)*($DO$4:DO733&lt;&gt;"")),$DO$4:DO733),"")))</f>
        <v/>
      </c>
      <c r="EI734">
        <f>IF($DM734=0,"",IF($DO734&lt;&gt;"",$DO734,$EH734))</f>
        <v/>
      </c>
      <c r="EJ734">
        <f>IF($DM734=0,"",IF($EI734="",0,IF(OR(ISNUMBER($EI734),AND(AND(SUBSTITUTE(SUBSTITUTE(SUBSTITUTE(SUBSTITUTE(SUBSTITUTE(SUBSTITUTE(SUBSTITUTE(SUBSTITUTE(SUBSTITUTE(SUBSTITUTE(SUBSTITUTE(SUBSTITUTE(SUBSTITUTE(SUBSTITUTE(UPPER($EI734),"0",""),"1",""),"2",""),"3",""),"4",""),"5",""),"6",""),"7",""),"8",""),"9",""),".",""),"+",""),"-",""),"E","")="",LEN(SUBSTITUTE(SUBSTITUTE(MID(UPPER($EI734),1+OR(LEFT(UPPER($EI734),1)="+",LEFT(UPPER($EI734),1)="-"),999),"E+","E"),"E-","E"))=LEN(SUBSTITUTE(SUBSTITUTE(SUBSTITUTE(SUBSTITUTE(MID(UPPER($EI734),1+OR(LEFT(UPPER($EI734),1)="+",LEFT(UPPER($EI734),1)="-"),999),"E+","E"),"E-","E"),"+",""),"-","")),LEN(UPPER($EI734))-LEN(SUBSTITUTE(UPPER($EI734),"E",""))&lt;2,LEN(UPPER($EI734))-LEN(SUBSTITUTE(UPPER($EI734),".",""))&lt;2,IFERROR(FIND(".",UPPER($EI734)),0)&lt;IFERROR(FIND("E",UPPER($EI734)),999)),ISNUMBER(VALUE($EI734)))),1,2)))</f>
        <v/>
      </c>
      <c r="EK734">
        <f>IF($DM734=0,"",IF($EJ734=1,IF(ISNUMBER($EI734),$EI734,VALUE($EI734)),IF($EJ734=2,$DE734,0)))</f>
        <v/>
      </c>
      <c r="EL734">
        <f>IF($DM734=0,"",COUNTIF($EG$5:$EG$1003,"&lt;"&amp;$EG734)+SUMPRODUCT(($EG$5:$EG$1003=$EG734)*(($EJ$5:$EJ$1003&lt;$EJ734)+($EJ$5:$EJ$1003=$EJ734)*(($EK$5:$EK$1003&lt;$EK734)+($EK$5:$EK$1003=$EK734)*($DE$5:$DE$1003&lt;$DE734))))+1)</f>
        <v/>
      </c>
      <c r="EM734">
        <f>IF($DM734=0,"",$EL734+$EG734-1)</f>
        <v/>
      </c>
      <c r="EN734">
        <f>IF($DM734=0,0,IFERROR(MATCH(1,INDEX(--(TRIM(SUBSTITUTE(SUBSTITUTE(SUBSTITUTE(SUBSTITUTE(LINES_NAME&amp;""," "," "),CHAR(9)," "),CHAR(10)," "),CHAR(13)," "))=$DH734),0),0),0))</f>
        <v/>
      </c>
      <c r="EO734">
        <f>IF($EN734=0,0,IF(OR(UPPER(TRIM(INDEX(LINES_SCHEDULED,$EN734)&amp;""))="YES",UPPER(TRIM(INDEX(LINES_SCHEDULED,$EN734)&amp;""))="Y",UPPER(TRIM(INDEX(LINES_SCHEDULED,$EN734)&amp;""))="X"),1,0))</f>
        <v/>
      </c>
      <c r="EP734">
        <f>IF($DM734=0,"",IF(COUNTIFS($EG$5:$EG$1003,$EG734,$EB$5:$EB$1003,"Ready")&gt;0,"READY",IF(COUNTIFS($EG$5:$EG$1003,$EG734,$EB$5:$EB$1003,"PM")&gt;0,"PM",IF(COUNTIFS($EG$5:$EG$1003,$EG734,$EB$5:$EB$1003,"OT")&gt;0,"OT",""))))</f>
        <v/>
      </c>
      <c r="EQ734">
        <f>IF($EN734=0,"",UPPER(TRIM(INDEX(LINES_STATUS,$EN734)&amp;"")))</f>
        <v/>
      </c>
      <c r="ER734">
        <f>IF($DM734=0,"",IF(OR($EQ734="READY",$EQ734="PM",$EQ734="OT"),$EQ734,$EP734))</f>
        <v/>
      </c>
      <c r="ES734">
        <f>IF($DM734=0,"",IF(AND($DV734&lt;&gt;"",UPPER($DV734)&lt;&gt;"N"),"allergen",IF(ISNUMBER(SEARCH("oil",$DQ734)),"oil",IF(OR(EXACT($DS734,"A662"),EXACT($DS734,"A624")),"bulk",""))))</f>
        <v/>
      </c>
      <c r="ET734">
        <f>IF($DM734=0,"",IF(OR($EA734="",$EA734=0),"",$EA734/100))</f>
        <v/>
      </c>
      <c r="EU734">
        <f>IF(OR($ET734="",$DY734=""),"",INT($DY734*(1-$ET734)+0.5))</f>
        <v/>
      </c>
    </row>
    <row r="735">
      <c r="DA735" t="n">
        <v>731</v>
      </c>
      <c r="DB735">
        <f>IF($B$37=0,"",IFERROR(TRIM(SUBSTITUTE(SUBSTITUTE(SUBSTITUTE(SUBSTITUTE(INDEX(PASTE_ALL,731,$B$37)," "," "),CHAR(9)," "),CHAR(10)," "),CHAR(13)," ")),""))</f>
        <v/>
      </c>
      <c r="DC735">
        <f>IF(AND(731&gt;HEADER_ROW,UPPER(DB735)="LEGEND"),1,0)</f>
        <v/>
      </c>
      <c r="DE735" t="n">
        <v>731</v>
      </c>
      <c r="DF735">
        <f>HEADER_ROW+$DE735</f>
        <v/>
      </c>
      <c r="DG735">
        <f>IF(AND($DF735&lt;=1000,$DF735&lt;$B$8),1,0)</f>
        <v/>
      </c>
      <c r="DH735">
        <f>IF($DG735=1,IFERROR(INDEX($DB$5:$DB$1004,$DF735),""),"")</f>
        <v/>
      </c>
      <c r="DI735">
        <f>IF(AND($DG735=1,$DH735&lt;&gt;""),IFERROR(SUBSTITUTE(SUBSTITUTE(TRIM(SUBSTITUTE(SUBSTITUTE(SUBSTITUTE(SUBSTITUTE(IFERROR(INDEX(PASTE_ALL,$DF735,1)&amp;"","")&amp;"␟"&amp;IFERROR(INDEX(PASTE_ALL,$DF735,2)&amp;"","")&amp;"␟"&amp;IFERROR(INDEX(PASTE_ALL,$DF735,3)&amp;"","")&amp;"␟"&amp;IFERROR(INDEX(PASTE_ALL,$DF735,4)&amp;"","")&amp;"␟"&amp;IFERROR(INDEX(PASTE_ALL,$DF735,5)&amp;"","")&amp;"␟"&amp;IFERROR(INDEX(PASTE_ALL,$DF735,6)&amp;"","")&amp;"␟"&amp;IFERROR(INDEX(PASTE_ALL,$DF735,7)&amp;"","")&amp;"␟"&amp;IFERROR(INDEX(PASTE_ALL,$DF735,8)&amp;"","")&amp;"␟"&amp;IFERROR(INDEX(PASTE_ALL,$DF735,9)&amp;"","")&amp;"␟"&amp;IFERROR(INDEX(PASTE_ALL,$DF735,10)&amp;"","")&amp;"␟"&amp;IFERROR(INDEX(PASTE_ALL,$DF735,11)&amp;"","")&amp;"␟"&amp;IFERROR(INDEX(PASTE_ALL,$DF735,12)&amp;"","")&amp;"␟"&amp;IFERROR(INDEX(PASTE_ALL,$DF735,13)&amp;"","")&amp;"␟"&amp;IFERROR(INDEX(PASTE_ALL,$DF735,14)&amp;"","")&amp;"␟"&amp;IFERROR(INDEX(PASTE_ALL,$DF735,15)&amp;"","")&amp;"␟"&amp;IFERROR(INDEX(PASTE_ALL,$DF735,16)&amp;"","")&amp;"␟"&amp;IFERROR(INDEX(PASTE_ALL,$DF735,17)&amp;"","")&amp;"␟"&amp;IFERROR(INDEX(PASTE_ALL,$DF735,18)&amp;"","")&amp;"␟"&amp;IFERROR(INDEX(PASTE_ALL,$DF735,19)&amp;"","")&amp;"␟"&amp;IFERROR(INDEX(PASTE_ALL,$DF735,20)&amp;"","")&amp;"␟"&amp;IFERROR(INDEX(PASTE_ALL,$DF735,21)&amp;"","")&amp;"␟"&amp;IFERROR(INDEX(PASTE_ALL,$DF735,22)&amp;"","")&amp;"␟"&amp;IFERROR(INDEX(PASTE_ALL,$DF735,23)&amp;"","")&amp;"␟"&amp;IFERROR(INDEX(PASTE_ALL,$DF735,24)&amp;"","")&amp;"␟"&amp;IFERROR(INDEX(PASTE_ALL,$DF735,25)&amp;"","")&amp;"␟"&amp;IFERROR(INDEX(PASTE_ALL,$DF735,26)&amp;"","")&amp;"␟"&amp;IFERROR(INDEX(PASTE_ALL,$DF735,27)&amp;"","")&amp;"␟"&amp;IFERROR(INDEX(PASTE_ALL,$DF735,28)&amp;"","")&amp;"␟"&amp;IFERROR(INDEX(PASTE_ALL,$DF735,29)&amp;"","")&amp;"␟"&amp;IFERROR(INDEX(PASTE_ALL,$DF735,30)&amp;"","")&amp;"␟"&amp;IFERROR(INDEX(PASTE_ALL,$DF735,31)&amp;"","")&amp;"␟"&amp;IFERROR(INDEX(PASTE_ALL,$DF735,32)&amp;"","")&amp;"␟"&amp;IFERROR(INDEX(PASTE_ALL,$DF735,33)&amp;"","")&amp;"␟"&amp;IFERROR(INDEX(PASTE_ALL,$DF735,34)&amp;"","")&amp;"␟"&amp;IFERROR(INDEX(PASTE_ALL,$DF735,35)&amp;"","")&amp;"␟"&amp;IFERROR(INDEX(PASTE_ALL,$DF735,36)&amp;"","")&amp;"␟"&amp;IFERROR(INDEX(PASTE_ALL,$DF735,37)&amp;"","")&amp;"␟"&amp;IFERROR(INDEX(PASTE_ALL,$DF735,38)&amp;"","")&amp;"␟"&amp;IFERROR(INDEX(PASTE_ALL,$DF735,39)&amp;"","")&amp;"␟"&amp;IFERROR(INDEX(PASTE_ALL,$DF735,40)&amp;"","")&amp;"␟"&amp;IFERROR(INDEX(PASTE_ALL,$DF735,41)&amp;"","")&amp;"␟"&amp;IFERROR(INDEX(PASTE_ALL,$DF735,42)&amp;"","")&amp;"␟"&amp;IFERROR(INDEX(PASTE_ALL,$DF735,43)&amp;"","")&amp;"␟"&amp;IFERROR(INDEX(PASTE_ALL,$DF735,44)&amp;"","")&amp;"␟"&amp;IFERROR(INDEX(PASTE_ALL,$DF735,45)&amp;"","")&amp;"␟"&amp;IFERROR(INDEX(PASTE_ALL,$DF735,46)&amp;"","")&amp;"␟"&amp;IFERROR(INDEX(PASTE_ALL,$DF735,47)&amp;"","")&amp;"␟"&amp;IFERROR(INDEX(PASTE_ALL,$DF735,48)&amp;"","")&amp;"␟"&amp;IFERROR(INDEX(PASTE_ALL,$DF735,49)&amp;"","")&amp;"␟"&amp;IFERROR(INDEX(PASTE_ALL,$DF735,50)&amp;"","")&amp;"␟"&amp;IFERROR(INDEX(PASTE_ALL,$DF735,51)&amp;"","")&amp;"␟"&amp;IFERROR(INDEX(PASTE_ALL,$DF735,52)&amp;"","")&amp;"␟"&amp;IFERROR(INDEX(PASTE_ALL,$DF735,53)&amp;"","")&amp;"␟"&amp;IFERROR(INDEX(PASTE_ALL,$DF735,54)&amp;"","")&amp;"␟"&amp;IFERROR(INDEX(PASTE_ALL,$DF735,55)&amp;"","")&amp;"␟"&amp;IFERROR(INDEX(PASTE_ALL,$DF735,56)&amp;"","")&amp;"␟"&amp;IFERROR(INDEX(PASTE_ALL,$DF735,57)&amp;"","")&amp;"␟"&amp;IFERROR(INDEX(PASTE_ALL,$DF735,58)&amp;"","")&amp;"␟"&amp;IFERROR(INDEX(PASTE_ALL,$DF735,59)&amp;"","")&amp;"␟"&amp;IFERROR(INDEX(PASTE_ALL,$DF735,60)&amp;"","")," "," "),CHAR(9)," "),CHAR(10)," "),CHAR(13)," "))," ␟","␟"),"␟ ","␟"),"#"&amp;$DE735),"")</f>
        <v/>
      </c>
      <c r="DJ735">
        <f>IF($DI735="",0,IF(SUMPRODUCT(--EXACT($DI$4:DI734,$DI735))&gt;0,1,0))</f>
        <v/>
      </c>
      <c r="DK735">
        <f>IF(AND($DI735&lt;&gt;"",$DJ735=0),1,0)</f>
        <v/>
      </c>
      <c r="DL735">
        <f>DL734+$DK735</f>
        <v/>
      </c>
      <c r="DM735">
        <f>IF(AND($DK735=1,$DL735&lt;=600),1,0)</f>
        <v/>
      </c>
      <c r="DN735">
        <f>IF($DM735=0,"",IF($L$6=0,"",IFERROR(IF(ISNUMBER(INDEX(PASTE_ALL,$DF735,$L$6)),INDEX(PASTE_ALL,$DF735,$L$6),TRIM(SUBSTITUTE(SUBSTITUTE(SUBSTITUTE(SUBSTITUTE(INDEX(PASTE_ALL,$DF735,$L$6)," "," "),CHAR(9)," "),CHAR(10)," "),CHAR(13)," "))),"")))</f>
        <v/>
      </c>
      <c r="DO735">
        <f>IF($DM735=0,"",IF($L$7=0,"",IFERROR(IF(ISNUMBER(INDEX(PASTE_ALL,$DF735,$L$7)),INDEX(PASTE_ALL,$DF735,$L$7),TRIM(SUBSTITUTE(SUBSTITUTE(SUBSTITUTE(SUBSTITUTE(INDEX(PASTE_ALL,$DF735,$L$7)," "," "),CHAR(9)," "),CHAR(10)," "),CHAR(13)," "))),"")))</f>
        <v/>
      </c>
      <c r="DP735">
        <f>IF($DM735=0,"",IF($L$8=0,"",IFERROR(IF(ISNUMBER(INDEX(PASTE_ALL,$DF735,$L$8)),INDEX(PASTE_ALL,$DF735,$L$8),TRIM(SUBSTITUTE(SUBSTITUTE(SUBSTITUTE(SUBSTITUTE(INDEX(PASTE_ALL,$DF735,$L$8)," "," "),CHAR(9)," "),CHAR(10)," "),CHAR(13)," "))),"")))</f>
        <v/>
      </c>
      <c r="DQ735">
        <f>IF($DM735=0,"",IF($L$9=0,"",IFERROR(IF(ISNUMBER(INDEX(PASTE_ALL,$DF735,$L$9)),INDEX(PASTE_ALL,$DF735,$L$9),TRIM(SUBSTITUTE(SUBSTITUTE(SUBSTITUTE(SUBSTITUTE(INDEX(PASTE_ALL,$DF735,$L$9)," "," "),CHAR(9)," "),CHAR(10)," "),CHAR(13)," "))),"")))</f>
        <v/>
      </c>
      <c r="DR735">
        <f>IF($DM735=0,"",IF($L$10=0,"",IFERROR(IF(ISNUMBER(INDEX(PASTE_ALL,$DF735,$L$10)),INDEX(PASTE_ALL,$DF735,$L$10),TRIM(SUBSTITUTE(SUBSTITUTE(SUBSTITUTE(SUBSTITUTE(INDEX(PASTE_ALL,$DF735,$L$10)," "," "),CHAR(9)," "),CHAR(10)," "),CHAR(13)," "))),"")))</f>
        <v/>
      </c>
      <c r="DS735">
        <f>IF($DM735=0,"",IF($L$11=0,"",IFERROR(IF(ISNUMBER(INDEX(PASTE_ALL,$DF735,$L$11)),INDEX(PASTE_ALL,$DF735,$L$11),TRIM(SUBSTITUTE(SUBSTITUTE(SUBSTITUTE(SUBSTITUTE(INDEX(PASTE_ALL,$DF735,$L$11)," "," "),CHAR(9)," "),CHAR(10)," "),CHAR(13)," "))),"")))</f>
        <v/>
      </c>
      <c r="DT735">
        <f>IF($DM735=0,"",IF($L$12=0,"",IFERROR(IF(ISNUMBER(INDEX(PASTE_ALL,$DF735,$L$12)),INDEX(PASTE_ALL,$DF735,$L$12),TRIM(SUBSTITUTE(SUBSTITUTE(SUBSTITUTE(SUBSTITUTE(INDEX(PASTE_ALL,$DF735,$L$12)," "," "),CHAR(9)," "),CHAR(10)," "),CHAR(13)," "))),"")))</f>
        <v/>
      </c>
      <c r="DU735">
        <f>IF($DM735=0,"",IF($L$13=0,"",IFERROR(IF(ISNUMBER(INDEX(PASTE_ALL,$DF735,$L$13)),INDEX(PASTE_ALL,$DF735,$L$13),TRIM(SUBSTITUTE(SUBSTITUTE(SUBSTITUTE(SUBSTITUTE(INDEX(PASTE_ALL,$DF735,$L$13)," "," "),CHAR(9)," "),CHAR(10)," "),CHAR(13)," "))),"")))</f>
        <v/>
      </c>
      <c r="DV735">
        <f>IF($DM735=0,"",IF($L$14=0,"",IFERROR(IF(ISNUMBER(INDEX(PASTE_ALL,$DF735,$L$14)),INDEX(PASTE_ALL,$DF735,$L$14),TRIM(SUBSTITUTE(SUBSTITUTE(SUBSTITUTE(SUBSTITUTE(INDEX(PASTE_ALL,$DF735,$L$14)," "," "),CHAR(9)," "),CHAR(10)," "),CHAR(13)," "))),"")))</f>
        <v/>
      </c>
      <c r="DW735">
        <f>IF($DM735=0,"",IF($L$15=0,"",IFERROR(IF(ISNUMBER(INDEX(PASTE_ALL,$DF735,$L$15)),INDEX(PASTE_ALL,$DF735,$L$15),IF(SUMPRODUCT(--ISNUMBER(FIND({"A","B","C","D","E","F","G","H","I","J","K","L","M","N","O","P","Q","R","S","T","U","V","W","X","Y","Z","0","1","2","3","4","5","6","7","8","9"},UPPER(TRIM(SUBSTITUTE(SUBSTITUTE(SUBSTITUTE(SUBSTITUTE(INDEX(PASTE_ALL,$DF735,$L$15)," "," "),CHAR(9)," "),CHAR(10)," "),CHAR(13)," "))))))&gt;0,TRIM(SUBSTITUTE(SUBSTITUTE(SUBSTITUTE(SUBSTITUTE(INDEX(PASTE_ALL,$DF735,$L$15)," "," "),CHAR(9)," "),CHAR(10)," "),CHAR(13)," ")),"")),"")))</f>
        <v/>
      </c>
      <c r="DX735">
        <f>IF($DM735=0,"",IF($L$16=0,"",IFERROR(IF(ISNUMBER(INDEX(PASTE_ALL,$DF735,$L$16)),INDEX(PASTE_ALL,$DF735,$L$16),SUBSTITUTE(SUBSTITUTE(TRIM(SUBSTITUTE(SUBSTITUTE(SUBSTITUTE(SUBSTITUTE(INDEX(PASTE_ALL,$DF735,$L$16)," "," "),CHAR(9)," "),CHAR(10)," "),CHAR(13)," ")),",",""),"%","")),"")))</f>
        <v/>
      </c>
      <c r="DY735">
        <f>IF($DM735=0,"",IFERROR(IF(ISNUMBER($DX735),$DX735,IF($DX735="","",IF(TRIM($DX735)="",0,IF(AND(AND(SUBSTITUTE(SUBSTITUTE(SUBSTITUTE(SUBSTITUTE(SUBSTITUTE(SUBSTITUTE(SUBSTITUTE(SUBSTITUTE(SUBSTITUTE(SUBSTITUTE(SUBSTITUTE(SUBSTITUTE(SUBSTITUTE(SUBSTITUTE(UPPER(TRIM($DX735)),"0",""),"1",""),"2",""),"3",""),"4",""),"5",""),"6",""),"7",""),"8",""),"9",""),".",""),"+",""),"-",""),"E","")="",LEN(SUBSTITUTE(SUBSTITUTE(MID(UPPER(TRIM($DX735)),1+OR(LEFT(UPPER(TRIM($DX735)),1)="+",LEFT(UPPER(TRIM($DX735)),1)="-"),999),"E+","E"),"E-","E"))=LEN(SUBSTITUTE(SUBSTITUTE(SUBSTITUTE(SUBSTITUTE(MID(UPPER(TRIM($DX735)),1+OR(LEFT(UPPER(TRIM($DX735)),1)="+",LEFT(UPPER(TRIM($DX735)),1)="-"),999),"E+","E"),"E-","E"),"+",""),"-","")),LEN(UPPER(TRIM($DX735)))-LEN(SUBSTITUTE(UPPER(TRIM($DX735)),"E",""))&lt;2,LEN(UPPER(TRIM($DX735)))-LEN(SUBSTITUTE(UPPER(TRIM($DX735)),".",""))&lt;2,IFERROR(FIND(".",UPPER(TRIM($DX735))),0)&lt;IFERROR(FIND("E",UPPER(TRIM($DX735))),999)),ISNUMBER(VALUE(TRIM($DX735)))),VALUE(TRIM($DX735)),"")))),""))</f>
        <v/>
      </c>
      <c r="DZ735">
        <f>IF($DM735=0,"",IF($L$17=0,"",IFERROR(IF(ISNUMBER(INDEX(PASTE_ALL,$DF735,$L$17)),INDEX(PASTE_ALL,$DF735,$L$17),SUBSTITUTE(SUBSTITUTE(TRIM(SUBSTITUTE(SUBSTITUTE(SUBSTITUTE(SUBSTITUTE(INDEX(PASTE_ALL,$DF735,$L$17)," "," "),CHAR(9)," "),CHAR(10)," "),CHAR(13)," ")),",",""),"%","")),"")))</f>
        <v/>
      </c>
      <c r="EA735">
        <f>IF($DM735=0,"",IFERROR(IF(ISNUMBER($DZ735),$DZ735,IF($DZ735="","",IF(TRIM($DZ735)="",0,IF(AND(AND(SUBSTITUTE(SUBSTITUTE(SUBSTITUTE(SUBSTITUTE(SUBSTITUTE(SUBSTITUTE(SUBSTITUTE(SUBSTITUTE(SUBSTITUTE(SUBSTITUTE(SUBSTITUTE(SUBSTITUTE(SUBSTITUTE(SUBSTITUTE(UPPER(TRIM($DZ735)),"0",""),"1",""),"2",""),"3",""),"4",""),"5",""),"6",""),"7",""),"8",""),"9",""),".",""),"+",""),"-",""),"E","")="",LEN(SUBSTITUTE(SUBSTITUTE(MID(UPPER(TRIM($DZ735)),1+OR(LEFT(UPPER(TRIM($DZ735)),1)="+",LEFT(UPPER(TRIM($DZ735)),1)="-"),999),"E+","E"),"E-","E"))=LEN(SUBSTITUTE(SUBSTITUTE(SUBSTITUTE(SUBSTITUTE(MID(UPPER(TRIM($DZ735)),1+OR(LEFT(UPPER(TRIM($DZ735)),1)="+",LEFT(UPPER(TRIM($DZ735)),1)="-"),999),"E+","E"),"E-","E"),"+",""),"-","")),LEN(UPPER(TRIM($DZ735)))-LEN(SUBSTITUTE(UPPER(TRIM($DZ735)),"E",""))&lt;2,LEN(UPPER(TRIM($DZ735)))-LEN(SUBSTITUTE(UPPER(TRIM($DZ735)),".",""))&lt;2,IFERROR(FIND(".",UPPER(TRIM($DZ735))),0)&lt;IFERROR(FIND("E",UPPER(TRIM($DZ735))),999)),ISNUMBER(VALUE(TRIM($DZ735)))),VALUE(TRIM($DZ735)),"")))),""))</f>
        <v/>
      </c>
      <c r="EB735">
        <f>IF($DM735=0,"",IF($L$18=0,"",IFERROR(IF(UPPER(TRIM(SUBSTITUTE(SUBSTITUTE(SUBSTITUTE(SUBSTITUTE(INDEX(PASTE_ALL,$DF735,$L$18)," "," "),CHAR(9)," "),CHAR(10)," "),CHAR(13)," ")))="READY","Ready",IF(UPPER(TRIM(SUBSTITUTE(SUBSTITUTE(SUBSTITUTE(SUBSTITUTE(INDEX(PASTE_ALL,$DF735,$L$18)," "," "),CHAR(9)," "),CHAR(10)," "),CHAR(13)," ")))="PM","PM",IF(OR(UPPER(TRIM(SUBSTITUTE(SUBSTITUTE(SUBSTITUTE(SUBSTITUTE(INDEX(PASTE_ALL,$DF735,$L$18)," "," "),CHAR(9)," "),CHAR(10)," "),CHAR(13)," ")))="OT",UPPER(TRIM(SUBSTITUTE(SUBSTITUTE(SUBSTITUTE(SUBSTITUTE(INDEX(PASTE_ALL,$DF735,$L$18)," "," "),CHAR(9)," "),CHAR(10)," "),CHAR(13)," ")))="OVERTIME",UPPER(TRIM(SUBSTITUTE(SUBSTITUTE(SUBSTITUTE(SUBSTITUTE(INDEX(PASTE_ALL,$DF735,$L$18)," "," "),CHAR(9)," "),CHAR(10)," "),CHAR(13)," ")))="TRIAL"),"OT",TRIM(SUBSTITUTE(SUBSTITUTE(SUBSTITUTE(SUBSTITUTE(INDEX(PASTE_ALL,$DF735,$L$18)," "," "),CHAR(9)," "),CHAR(10)," "),CHAR(13)," "))))),"")))</f>
        <v/>
      </c>
      <c r="EC735">
        <f>IF($DM735=0,"",IF($L$19=0,"",IFERROR(IF(ISNUMBER(INDEX(PASTE_ALL,$DF735,$L$19)),INDEX(PASTE_ALL,$DF735,$L$19),TRIM(SUBSTITUTE(SUBSTITUTE(SUBSTITUTE(SUBSTITUTE(INDEX(PASTE_ALL,$DF735,$L$19)," "," "),CHAR(9)," "),CHAR(10)," "),CHAR(13)," "))),"")))</f>
        <v/>
      </c>
      <c r="ED735">
        <f>IF($DM735=0,"",MATCH(1,INDEX(EXACT($DH$5:DH735,$DH735)*$DM$5:DM735,0),0))</f>
        <v/>
      </c>
      <c r="EE735">
        <f>IF($DM735=0,0,IF($ED735=$DE735,1,0))</f>
        <v/>
      </c>
      <c r="EF735">
        <f>EF734+$EE735</f>
        <v/>
      </c>
      <c r="EG735">
        <f>IF($DM735=0,"",INDEX($EF$5:$EF$1003,$ED735))</f>
        <v/>
      </c>
      <c r="EH735">
        <f>IF($DM735=0,"",IF($DO735&lt;&gt;"","",IFERROR(LOOKUP(2,1/(($EG$4:EG734=$EG735)*($DO$4:DO734&lt;&gt;"")),$DO$4:DO734),"")))</f>
        <v/>
      </c>
      <c r="EI735">
        <f>IF($DM735=0,"",IF($DO735&lt;&gt;"",$DO735,$EH735))</f>
        <v/>
      </c>
      <c r="EJ735">
        <f>IF($DM735=0,"",IF($EI735="",0,IF(OR(ISNUMBER($EI735),AND(AND(SUBSTITUTE(SUBSTITUTE(SUBSTITUTE(SUBSTITUTE(SUBSTITUTE(SUBSTITUTE(SUBSTITUTE(SUBSTITUTE(SUBSTITUTE(SUBSTITUTE(SUBSTITUTE(SUBSTITUTE(SUBSTITUTE(SUBSTITUTE(UPPER($EI735),"0",""),"1",""),"2",""),"3",""),"4",""),"5",""),"6",""),"7",""),"8",""),"9",""),".",""),"+",""),"-",""),"E","")="",LEN(SUBSTITUTE(SUBSTITUTE(MID(UPPER($EI735),1+OR(LEFT(UPPER($EI735),1)="+",LEFT(UPPER($EI735),1)="-"),999),"E+","E"),"E-","E"))=LEN(SUBSTITUTE(SUBSTITUTE(SUBSTITUTE(SUBSTITUTE(MID(UPPER($EI735),1+OR(LEFT(UPPER($EI735),1)="+",LEFT(UPPER($EI735),1)="-"),999),"E+","E"),"E-","E"),"+",""),"-","")),LEN(UPPER($EI735))-LEN(SUBSTITUTE(UPPER($EI735),"E",""))&lt;2,LEN(UPPER($EI735))-LEN(SUBSTITUTE(UPPER($EI735),".",""))&lt;2,IFERROR(FIND(".",UPPER($EI735)),0)&lt;IFERROR(FIND("E",UPPER($EI735)),999)),ISNUMBER(VALUE($EI735)))),1,2)))</f>
        <v/>
      </c>
      <c r="EK735">
        <f>IF($DM735=0,"",IF($EJ735=1,IF(ISNUMBER($EI735),$EI735,VALUE($EI735)),IF($EJ735=2,$DE735,0)))</f>
        <v/>
      </c>
      <c r="EL735">
        <f>IF($DM735=0,"",COUNTIF($EG$5:$EG$1003,"&lt;"&amp;$EG735)+SUMPRODUCT(($EG$5:$EG$1003=$EG735)*(($EJ$5:$EJ$1003&lt;$EJ735)+($EJ$5:$EJ$1003=$EJ735)*(($EK$5:$EK$1003&lt;$EK735)+($EK$5:$EK$1003=$EK735)*($DE$5:$DE$1003&lt;$DE735))))+1)</f>
        <v/>
      </c>
      <c r="EM735">
        <f>IF($DM735=0,"",$EL735+$EG735-1)</f>
        <v/>
      </c>
      <c r="EN735">
        <f>IF($DM735=0,0,IFERROR(MATCH(1,INDEX(--(TRIM(SUBSTITUTE(SUBSTITUTE(SUBSTITUTE(SUBSTITUTE(LINES_NAME&amp;""," "," "),CHAR(9)," "),CHAR(10)," "),CHAR(13)," "))=$DH735),0),0),0))</f>
        <v/>
      </c>
      <c r="EO735">
        <f>IF($EN735=0,0,IF(OR(UPPER(TRIM(INDEX(LINES_SCHEDULED,$EN735)&amp;""))="YES",UPPER(TRIM(INDEX(LINES_SCHEDULED,$EN735)&amp;""))="Y",UPPER(TRIM(INDEX(LINES_SCHEDULED,$EN735)&amp;""))="X"),1,0))</f>
        <v/>
      </c>
      <c r="EP735">
        <f>IF($DM735=0,"",IF(COUNTIFS($EG$5:$EG$1003,$EG735,$EB$5:$EB$1003,"Ready")&gt;0,"READY",IF(COUNTIFS($EG$5:$EG$1003,$EG735,$EB$5:$EB$1003,"PM")&gt;0,"PM",IF(COUNTIFS($EG$5:$EG$1003,$EG735,$EB$5:$EB$1003,"OT")&gt;0,"OT",""))))</f>
        <v/>
      </c>
      <c r="EQ735">
        <f>IF($EN735=0,"",UPPER(TRIM(INDEX(LINES_STATUS,$EN735)&amp;"")))</f>
        <v/>
      </c>
      <c r="ER735">
        <f>IF($DM735=0,"",IF(OR($EQ735="READY",$EQ735="PM",$EQ735="OT"),$EQ735,$EP735))</f>
        <v/>
      </c>
      <c r="ES735">
        <f>IF($DM735=0,"",IF(AND($DV735&lt;&gt;"",UPPER($DV735)&lt;&gt;"N"),"allergen",IF(ISNUMBER(SEARCH("oil",$DQ735)),"oil",IF(OR(EXACT($DS735,"A662"),EXACT($DS735,"A624")),"bulk",""))))</f>
        <v/>
      </c>
      <c r="ET735">
        <f>IF($DM735=0,"",IF(OR($EA735="",$EA735=0),"",$EA735/100))</f>
        <v/>
      </c>
      <c r="EU735">
        <f>IF(OR($ET735="",$DY735=""),"",INT($DY735*(1-$ET735)+0.5))</f>
        <v/>
      </c>
    </row>
    <row r="736">
      <c r="DA736" t="n">
        <v>732</v>
      </c>
      <c r="DB736">
        <f>IF($B$37=0,"",IFERROR(TRIM(SUBSTITUTE(SUBSTITUTE(SUBSTITUTE(SUBSTITUTE(INDEX(PASTE_ALL,732,$B$37)," "," "),CHAR(9)," "),CHAR(10)," "),CHAR(13)," ")),""))</f>
        <v/>
      </c>
      <c r="DC736">
        <f>IF(AND(732&gt;HEADER_ROW,UPPER(DB736)="LEGEND"),1,0)</f>
        <v/>
      </c>
      <c r="DE736" t="n">
        <v>732</v>
      </c>
      <c r="DF736">
        <f>HEADER_ROW+$DE736</f>
        <v/>
      </c>
      <c r="DG736">
        <f>IF(AND($DF736&lt;=1000,$DF736&lt;$B$8),1,0)</f>
        <v/>
      </c>
      <c r="DH736">
        <f>IF($DG736=1,IFERROR(INDEX($DB$5:$DB$1004,$DF736),""),"")</f>
        <v/>
      </c>
      <c r="DI736">
        <f>IF(AND($DG736=1,$DH736&lt;&gt;""),IFERROR(SUBSTITUTE(SUBSTITUTE(TRIM(SUBSTITUTE(SUBSTITUTE(SUBSTITUTE(SUBSTITUTE(IFERROR(INDEX(PASTE_ALL,$DF736,1)&amp;"","")&amp;"␟"&amp;IFERROR(INDEX(PASTE_ALL,$DF736,2)&amp;"","")&amp;"␟"&amp;IFERROR(INDEX(PASTE_ALL,$DF736,3)&amp;"","")&amp;"␟"&amp;IFERROR(INDEX(PASTE_ALL,$DF736,4)&amp;"","")&amp;"␟"&amp;IFERROR(INDEX(PASTE_ALL,$DF736,5)&amp;"","")&amp;"␟"&amp;IFERROR(INDEX(PASTE_ALL,$DF736,6)&amp;"","")&amp;"␟"&amp;IFERROR(INDEX(PASTE_ALL,$DF736,7)&amp;"","")&amp;"␟"&amp;IFERROR(INDEX(PASTE_ALL,$DF736,8)&amp;"","")&amp;"␟"&amp;IFERROR(INDEX(PASTE_ALL,$DF736,9)&amp;"","")&amp;"␟"&amp;IFERROR(INDEX(PASTE_ALL,$DF736,10)&amp;"","")&amp;"␟"&amp;IFERROR(INDEX(PASTE_ALL,$DF736,11)&amp;"","")&amp;"␟"&amp;IFERROR(INDEX(PASTE_ALL,$DF736,12)&amp;"","")&amp;"␟"&amp;IFERROR(INDEX(PASTE_ALL,$DF736,13)&amp;"","")&amp;"␟"&amp;IFERROR(INDEX(PASTE_ALL,$DF736,14)&amp;"","")&amp;"␟"&amp;IFERROR(INDEX(PASTE_ALL,$DF736,15)&amp;"","")&amp;"␟"&amp;IFERROR(INDEX(PASTE_ALL,$DF736,16)&amp;"","")&amp;"␟"&amp;IFERROR(INDEX(PASTE_ALL,$DF736,17)&amp;"","")&amp;"␟"&amp;IFERROR(INDEX(PASTE_ALL,$DF736,18)&amp;"","")&amp;"␟"&amp;IFERROR(INDEX(PASTE_ALL,$DF736,19)&amp;"","")&amp;"␟"&amp;IFERROR(INDEX(PASTE_ALL,$DF736,20)&amp;"","")&amp;"␟"&amp;IFERROR(INDEX(PASTE_ALL,$DF736,21)&amp;"","")&amp;"␟"&amp;IFERROR(INDEX(PASTE_ALL,$DF736,22)&amp;"","")&amp;"␟"&amp;IFERROR(INDEX(PASTE_ALL,$DF736,23)&amp;"","")&amp;"␟"&amp;IFERROR(INDEX(PASTE_ALL,$DF736,24)&amp;"","")&amp;"␟"&amp;IFERROR(INDEX(PASTE_ALL,$DF736,25)&amp;"","")&amp;"␟"&amp;IFERROR(INDEX(PASTE_ALL,$DF736,26)&amp;"","")&amp;"␟"&amp;IFERROR(INDEX(PASTE_ALL,$DF736,27)&amp;"","")&amp;"␟"&amp;IFERROR(INDEX(PASTE_ALL,$DF736,28)&amp;"","")&amp;"␟"&amp;IFERROR(INDEX(PASTE_ALL,$DF736,29)&amp;"","")&amp;"␟"&amp;IFERROR(INDEX(PASTE_ALL,$DF736,30)&amp;"","")&amp;"␟"&amp;IFERROR(INDEX(PASTE_ALL,$DF736,31)&amp;"","")&amp;"␟"&amp;IFERROR(INDEX(PASTE_ALL,$DF736,32)&amp;"","")&amp;"␟"&amp;IFERROR(INDEX(PASTE_ALL,$DF736,33)&amp;"","")&amp;"␟"&amp;IFERROR(INDEX(PASTE_ALL,$DF736,34)&amp;"","")&amp;"␟"&amp;IFERROR(INDEX(PASTE_ALL,$DF736,35)&amp;"","")&amp;"␟"&amp;IFERROR(INDEX(PASTE_ALL,$DF736,36)&amp;"","")&amp;"␟"&amp;IFERROR(INDEX(PASTE_ALL,$DF736,37)&amp;"","")&amp;"␟"&amp;IFERROR(INDEX(PASTE_ALL,$DF736,38)&amp;"","")&amp;"␟"&amp;IFERROR(INDEX(PASTE_ALL,$DF736,39)&amp;"","")&amp;"␟"&amp;IFERROR(INDEX(PASTE_ALL,$DF736,40)&amp;"","")&amp;"␟"&amp;IFERROR(INDEX(PASTE_ALL,$DF736,41)&amp;"","")&amp;"␟"&amp;IFERROR(INDEX(PASTE_ALL,$DF736,42)&amp;"","")&amp;"␟"&amp;IFERROR(INDEX(PASTE_ALL,$DF736,43)&amp;"","")&amp;"␟"&amp;IFERROR(INDEX(PASTE_ALL,$DF736,44)&amp;"","")&amp;"␟"&amp;IFERROR(INDEX(PASTE_ALL,$DF736,45)&amp;"","")&amp;"␟"&amp;IFERROR(INDEX(PASTE_ALL,$DF736,46)&amp;"","")&amp;"␟"&amp;IFERROR(INDEX(PASTE_ALL,$DF736,47)&amp;"","")&amp;"␟"&amp;IFERROR(INDEX(PASTE_ALL,$DF736,48)&amp;"","")&amp;"␟"&amp;IFERROR(INDEX(PASTE_ALL,$DF736,49)&amp;"","")&amp;"␟"&amp;IFERROR(INDEX(PASTE_ALL,$DF736,50)&amp;"","")&amp;"␟"&amp;IFERROR(INDEX(PASTE_ALL,$DF736,51)&amp;"","")&amp;"␟"&amp;IFERROR(INDEX(PASTE_ALL,$DF736,52)&amp;"","")&amp;"␟"&amp;IFERROR(INDEX(PASTE_ALL,$DF736,53)&amp;"","")&amp;"␟"&amp;IFERROR(INDEX(PASTE_ALL,$DF736,54)&amp;"","")&amp;"␟"&amp;IFERROR(INDEX(PASTE_ALL,$DF736,55)&amp;"","")&amp;"␟"&amp;IFERROR(INDEX(PASTE_ALL,$DF736,56)&amp;"","")&amp;"␟"&amp;IFERROR(INDEX(PASTE_ALL,$DF736,57)&amp;"","")&amp;"␟"&amp;IFERROR(INDEX(PASTE_ALL,$DF736,58)&amp;"","")&amp;"␟"&amp;IFERROR(INDEX(PASTE_ALL,$DF736,59)&amp;"","")&amp;"␟"&amp;IFERROR(INDEX(PASTE_ALL,$DF736,60)&amp;"","")," "," "),CHAR(9)," "),CHAR(10)," "),CHAR(13)," "))," ␟","␟"),"␟ ","␟"),"#"&amp;$DE736),"")</f>
        <v/>
      </c>
      <c r="DJ736">
        <f>IF($DI736="",0,IF(SUMPRODUCT(--EXACT($DI$4:DI735,$DI736))&gt;0,1,0))</f>
        <v/>
      </c>
      <c r="DK736">
        <f>IF(AND($DI736&lt;&gt;"",$DJ736=0),1,0)</f>
        <v/>
      </c>
      <c r="DL736">
        <f>DL735+$DK736</f>
        <v/>
      </c>
      <c r="DM736">
        <f>IF(AND($DK736=1,$DL736&lt;=600),1,0)</f>
        <v/>
      </c>
      <c r="DN736">
        <f>IF($DM736=0,"",IF($L$6=0,"",IFERROR(IF(ISNUMBER(INDEX(PASTE_ALL,$DF736,$L$6)),INDEX(PASTE_ALL,$DF736,$L$6),TRIM(SUBSTITUTE(SUBSTITUTE(SUBSTITUTE(SUBSTITUTE(INDEX(PASTE_ALL,$DF736,$L$6)," "," "),CHAR(9)," "),CHAR(10)," "),CHAR(13)," "))),"")))</f>
        <v/>
      </c>
      <c r="DO736">
        <f>IF($DM736=0,"",IF($L$7=0,"",IFERROR(IF(ISNUMBER(INDEX(PASTE_ALL,$DF736,$L$7)),INDEX(PASTE_ALL,$DF736,$L$7),TRIM(SUBSTITUTE(SUBSTITUTE(SUBSTITUTE(SUBSTITUTE(INDEX(PASTE_ALL,$DF736,$L$7)," "," "),CHAR(9)," "),CHAR(10)," "),CHAR(13)," "))),"")))</f>
        <v/>
      </c>
      <c r="DP736">
        <f>IF($DM736=0,"",IF($L$8=0,"",IFERROR(IF(ISNUMBER(INDEX(PASTE_ALL,$DF736,$L$8)),INDEX(PASTE_ALL,$DF736,$L$8),TRIM(SUBSTITUTE(SUBSTITUTE(SUBSTITUTE(SUBSTITUTE(INDEX(PASTE_ALL,$DF736,$L$8)," "," "),CHAR(9)," "),CHAR(10)," "),CHAR(13)," "))),"")))</f>
        <v/>
      </c>
      <c r="DQ736">
        <f>IF($DM736=0,"",IF($L$9=0,"",IFERROR(IF(ISNUMBER(INDEX(PASTE_ALL,$DF736,$L$9)),INDEX(PASTE_ALL,$DF736,$L$9),TRIM(SUBSTITUTE(SUBSTITUTE(SUBSTITUTE(SUBSTITUTE(INDEX(PASTE_ALL,$DF736,$L$9)," "," "),CHAR(9)," "),CHAR(10)," "),CHAR(13)," "))),"")))</f>
        <v/>
      </c>
      <c r="DR736">
        <f>IF($DM736=0,"",IF($L$10=0,"",IFERROR(IF(ISNUMBER(INDEX(PASTE_ALL,$DF736,$L$10)),INDEX(PASTE_ALL,$DF736,$L$10),TRIM(SUBSTITUTE(SUBSTITUTE(SUBSTITUTE(SUBSTITUTE(INDEX(PASTE_ALL,$DF736,$L$10)," "," "),CHAR(9)," "),CHAR(10)," "),CHAR(13)," "))),"")))</f>
        <v/>
      </c>
      <c r="DS736">
        <f>IF($DM736=0,"",IF($L$11=0,"",IFERROR(IF(ISNUMBER(INDEX(PASTE_ALL,$DF736,$L$11)),INDEX(PASTE_ALL,$DF736,$L$11),TRIM(SUBSTITUTE(SUBSTITUTE(SUBSTITUTE(SUBSTITUTE(INDEX(PASTE_ALL,$DF736,$L$11)," "," "),CHAR(9)," "),CHAR(10)," "),CHAR(13)," "))),"")))</f>
        <v/>
      </c>
      <c r="DT736">
        <f>IF($DM736=0,"",IF($L$12=0,"",IFERROR(IF(ISNUMBER(INDEX(PASTE_ALL,$DF736,$L$12)),INDEX(PASTE_ALL,$DF736,$L$12),TRIM(SUBSTITUTE(SUBSTITUTE(SUBSTITUTE(SUBSTITUTE(INDEX(PASTE_ALL,$DF736,$L$12)," "," "),CHAR(9)," "),CHAR(10)," "),CHAR(13)," "))),"")))</f>
        <v/>
      </c>
      <c r="DU736">
        <f>IF($DM736=0,"",IF($L$13=0,"",IFERROR(IF(ISNUMBER(INDEX(PASTE_ALL,$DF736,$L$13)),INDEX(PASTE_ALL,$DF736,$L$13),TRIM(SUBSTITUTE(SUBSTITUTE(SUBSTITUTE(SUBSTITUTE(INDEX(PASTE_ALL,$DF736,$L$13)," "," "),CHAR(9)," "),CHAR(10)," "),CHAR(13)," "))),"")))</f>
        <v/>
      </c>
      <c r="DV736">
        <f>IF($DM736=0,"",IF($L$14=0,"",IFERROR(IF(ISNUMBER(INDEX(PASTE_ALL,$DF736,$L$14)),INDEX(PASTE_ALL,$DF736,$L$14),TRIM(SUBSTITUTE(SUBSTITUTE(SUBSTITUTE(SUBSTITUTE(INDEX(PASTE_ALL,$DF736,$L$14)," "," "),CHAR(9)," "),CHAR(10)," "),CHAR(13)," "))),"")))</f>
        <v/>
      </c>
      <c r="DW736">
        <f>IF($DM736=0,"",IF($L$15=0,"",IFERROR(IF(ISNUMBER(INDEX(PASTE_ALL,$DF736,$L$15)),INDEX(PASTE_ALL,$DF736,$L$15),IF(SUMPRODUCT(--ISNUMBER(FIND({"A","B","C","D","E","F","G","H","I","J","K","L","M","N","O","P","Q","R","S","T","U","V","W","X","Y","Z","0","1","2","3","4","5","6","7","8","9"},UPPER(TRIM(SUBSTITUTE(SUBSTITUTE(SUBSTITUTE(SUBSTITUTE(INDEX(PASTE_ALL,$DF736,$L$15)," "," "),CHAR(9)," "),CHAR(10)," "),CHAR(13)," "))))))&gt;0,TRIM(SUBSTITUTE(SUBSTITUTE(SUBSTITUTE(SUBSTITUTE(INDEX(PASTE_ALL,$DF736,$L$15)," "," "),CHAR(9)," "),CHAR(10)," "),CHAR(13)," ")),"")),"")))</f>
        <v/>
      </c>
      <c r="DX736">
        <f>IF($DM736=0,"",IF($L$16=0,"",IFERROR(IF(ISNUMBER(INDEX(PASTE_ALL,$DF736,$L$16)),INDEX(PASTE_ALL,$DF736,$L$16),SUBSTITUTE(SUBSTITUTE(TRIM(SUBSTITUTE(SUBSTITUTE(SUBSTITUTE(SUBSTITUTE(INDEX(PASTE_ALL,$DF736,$L$16)," "," "),CHAR(9)," "),CHAR(10)," "),CHAR(13)," ")),",",""),"%","")),"")))</f>
        <v/>
      </c>
      <c r="DY736">
        <f>IF($DM736=0,"",IFERROR(IF(ISNUMBER($DX736),$DX736,IF($DX736="","",IF(TRIM($DX736)="",0,IF(AND(AND(SUBSTITUTE(SUBSTITUTE(SUBSTITUTE(SUBSTITUTE(SUBSTITUTE(SUBSTITUTE(SUBSTITUTE(SUBSTITUTE(SUBSTITUTE(SUBSTITUTE(SUBSTITUTE(SUBSTITUTE(SUBSTITUTE(SUBSTITUTE(UPPER(TRIM($DX736)),"0",""),"1",""),"2",""),"3",""),"4",""),"5",""),"6",""),"7",""),"8",""),"9",""),".",""),"+",""),"-",""),"E","")="",LEN(SUBSTITUTE(SUBSTITUTE(MID(UPPER(TRIM($DX736)),1+OR(LEFT(UPPER(TRIM($DX736)),1)="+",LEFT(UPPER(TRIM($DX736)),1)="-"),999),"E+","E"),"E-","E"))=LEN(SUBSTITUTE(SUBSTITUTE(SUBSTITUTE(SUBSTITUTE(MID(UPPER(TRIM($DX736)),1+OR(LEFT(UPPER(TRIM($DX736)),1)="+",LEFT(UPPER(TRIM($DX736)),1)="-"),999),"E+","E"),"E-","E"),"+",""),"-","")),LEN(UPPER(TRIM($DX736)))-LEN(SUBSTITUTE(UPPER(TRIM($DX736)),"E",""))&lt;2,LEN(UPPER(TRIM($DX736)))-LEN(SUBSTITUTE(UPPER(TRIM($DX736)),".",""))&lt;2,IFERROR(FIND(".",UPPER(TRIM($DX736))),0)&lt;IFERROR(FIND("E",UPPER(TRIM($DX736))),999)),ISNUMBER(VALUE(TRIM($DX736)))),VALUE(TRIM($DX736)),"")))),""))</f>
        <v/>
      </c>
      <c r="DZ736">
        <f>IF($DM736=0,"",IF($L$17=0,"",IFERROR(IF(ISNUMBER(INDEX(PASTE_ALL,$DF736,$L$17)),INDEX(PASTE_ALL,$DF736,$L$17),SUBSTITUTE(SUBSTITUTE(TRIM(SUBSTITUTE(SUBSTITUTE(SUBSTITUTE(SUBSTITUTE(INDEX(PASTE_ALL,$DF736,$L$17)," "," "),CHAR(9)," "),CHAR(10)," "),CHAR(13)," ")),",",""),"%","")),"")))</f>
        <v/>
      </c>
      <c r="EA736">
        <f>IF($DM736=0,"",IFERROR(IF(ISNUMBER($DZ736),$DZ736,IF($DZ736="","",IF(TRIM($DZ736)="",0,IF(AND(AND(SUBSTITUTE(SUBSTITUTE(SUBSTITUTE(SUBSTITUTE(SUBSTITUTE(SUBSTITUTE(SUBSTITUTE(SUBSTITUTE(SUBSTITUTE(SUBSTITUTE(SUBSTITUTE(SUBSTITUTE(SUBSTITUTE(SUBSTITUTE(UPPER(TRIM($DZ736)),"0",""),"1",""),"2",""),"3",""),"4",""),"5",""),"6",""),"7",""),"8",""),"9",""),".",""),"+",""),"-",""),"E","")="",LEN(SUBSTITUTE(SUBSTITUTE(MID(UPPER(TRIM($DZ736)),1+OR(LEFT(UPPER(TRIM($DZ736)),1)="+",LEFT(UPPER(TRIM($DZ736)),1)="-"),999),"E+","E"),"E-","E"))=LEN(SUBSTITUTE(SUBSTITUTE(SUBSTITUTE(SUBSTITUTE(MID(UPPER(TRIM($DZ736)),1+OR(LEFT(UPPER(TRIM($DZ736)),1)="+",LEFT(UPPER(TRIM($DZ736)),1)="-"),999),"E+","E"),"E-","E"),"+",""),"-","")),LEN(UPPER(TRIM($DZ736)))-LEN(SUBSTITUTE(UPPER(TRIM($DZ736)),"E",""))&lt;2,LEN(UPPER(TRIM($DZ736)))-LEN(SUBSTITUTE(UPPER(TRIM($DZ736)),".",""))&lt;2,IFERROR(FIND(".",UPPER(TRIM($DZ736))),0)&lt;IFERROR(FIND("E",UPPER(TRIM($DZ736))),999)),ISNUMBER(VALUE(TRIM($DZ736)))),VALUE(TRIM($DZ736)),"")))),""))</f>
        <v/>
      </c>
      <c r="EB736">
        <f>IF($DM736=0,"",IF($L$18=0,"",IFERROR(IF(UPPER(TRIM(SUBSTITUTE(SUBSTITUTE(SUBSTITUTE(SUBSTITUTE(INDEX(PASTE_ALL,$DF736,$L$18)," "," "),CHAR(9)," "),CHAR(10)," "),CHAR(13)," ")))="READY","Ready",IF(UPPER(TRIM(SUBSTITUTE(SUBSTITUTE(SUBSTITUTE(SUBSTITUTE(INDEX(PASTE_ALL,$DF736,$L$18)," "," "),CHAR(9)," "),CHAR(10)," "),CHAR(13)," ")))="PM","PM",IF(OR(UPPER(TRIM(SUBSTITUTE(SUBSTITUTE(SUBSTITUTE(SUBSTITUTE(INDEX(PASTE_ALL,$DF736,$L$18)," "," "),CHAR(9)," "),CHAR(10)," "),CHAR(13)," ")))="OT",UPPER(TRIM(SUBSTITUTE(SUBSTITUTE(SUBSTITUTE(SUBSTITUTE(INDEX(PASTE_ALL,$DF736,$L$18)," "," "),CHAR(9)," "),CHAR(10)," "),CHAR(13)," ")))="OVERTIME",UPPER(TRIM(SUBSTITUTE(SUBSTITUTE(SUBSTITUTE(SUBSTITUTE(INDEX(PASTE_ALL,$DF736,$L$18)," "," "),CHAR(9)," "),CHAR(10)," "),CHAR(13)," ")))="TRIAL"),"OT",TRIM(SUBSTITUTE(SUBSTITUTE(SUBSTITUTE(SUBSTITUTE(INDEX(PASTE_ALL,$DF736,$L$18)," "," "),CHAR(9)," "),CHAR(10)," "),CHAR(13)," "))))),"")))</f>
        <v/>
      </c>
      <c r="EC736">
        <f>IF($DM736=0,"",IF($L$19=0,"",IFERROR(IF(ISNUMBER(INDEX(PASTE_ALL,$DF736,$L$19)),INDEX(PASTE_ALL,$DF736,$L$19),TRIM(SUBSTITUTE(SUBSTITUTE(SUBSTITUTE(SUBSTITUTE(INDEX(PASTE_ALL,$DF736,$L$19)," "," "),CHAR(9)," "),CHAR(10)," "),CHAR(13)," "))),"")))</f>
        <v/>
      </c>
      <c r="ED736">
        <f>IF($DM736=0,"",MATCH(1,INDEX(EXACT($DH$5:DH736,$DH736)*$DM$5:DM736,0),0))</f>
        <v/>
      </c>
      <c r="EE736">
        <f>IF($DM736=0,0,IF($ED736=$DE736,1,0))</f>
        <v/>
      </c>
      <c r="EF736">
        <f>EF735+$EE736</f>
        <v/>
      </c>
      <c r="EG736">
        <f>IF($DM736=0,"",INDEX($EF$5:$EF$1003,$ED736))</f>
        <v/>
      </c>
      <c r="EH736">
        <f>IF($DM736=0,"",IF($DO736&lt;&gt;"","",IFERROR(LOOKUP(2,1/(($EG$4:EG735=$EG736)*($DO$4:DO735&lt;&gt;"")),$DO$4:DO735),"")))</f>
        <v/>
      </c>
      <c r="EI736">
        <f>IF($DM736=0,"",IF($DO736&lt;&gt;"",$DO736,$EH736))</f>
        <v/>
      </c>
      <c r="EJ736">
        <f>IF($DM736=0,"",IF($EI736="",0,IF(OR(ISNUMBER($EI736),AND(AND(SUBSTITUTE(SUBSTITUTE(SUBSTITUTE(SUBSTITUTE(SUBSTITUTE(SUBSTITUTE(SUBSTITUTE(SUBSTITUTE(SUBSTITUTE(SUBSTITUTE(SUBSTITUTE(SUBSTITUTE(SUBSTITUTE(SUBSTITUTE(UPPER($EI736),"0",""),"1",""),"2",""),"3",""),"4",""),"5",""),"6",""),"7",""),"8",""),"9",""),".",""),"+",""),"-",""),"E","")="",LEN(SUBSTITUTE(SUBSTITUTE(MID(UPPER($EI736),1+OR(LEFT(UPPER($EI736),1)="+",LEFT(UPPER($EI736),1)="-"),999),"E+","E"),"E-","E"))=LEN(SUBSTITUTE(SUBSTITUTE(SUBSTITUTE(SUBSTITUTE(MID(UPPER($EI736),1+OR(LEFT(UPPER($EI736),1)="+",LEFT(UPPER($EI736),1)="-"),999),"E+","E"),"E-","E"),"+",""),"-","")),LEN(UPPER($EI736))-LEN(SUBSTITUTE(UPPER($EI736),"E",""))&lt;2,LEN(UPPER($EI736))-LEN(SUBSTITUTE(UPPER($EI736),".",""))&lt;2,IFERROR(FIND(".",UPPER($EI736)),0)&lt;IFERROR(FIND("E",UPPER($EI736)),999)),ISNUMBER(VALUE($EI736)))),1,2)))</f>
        <v/>
      </c>
      <c r="EK736">
        <f>IF($DM736=0,"",IF($EJ736=1,IF(ISNUMBER($EI736),$EI736,VALUE($EI736)),IF($EJ736=2,$DE736,0)))</f>
        <v/>
      </c>
      <c r="EL736">
        <f>IF($DM736=0,"",COUNTIF($EG$5:$EG$1003,"&lt;"&amp;$EG736)+SUMPRODUCT(($EG$5:$EG$1003=$EG736)*(($EJ$5:$EJ$1003&lt;$EJ736)+($EJ$5:$EJ$1003=$EJ736)*(($EK$5:$EK$1003&lt;$EK736)+($EK$5:$EK$1003=$EK736)*($DE$5:$DE$1003&lt;$DE736))))+1)</f>
        <v/>
      </c>
      <c r="EM736">
        <f>IF($DM736=0,"",$EL736+$EG736-1)</f>
        <v/>
      </c>
      <c r="EN736">
        <f>IF($DM736=0,0,IFERROR(MATCH(1,INDEX(--(TRIM(SUBSTITUTE(SUBSTITUTE(SUBSTITUTE(SUBSTITUTE(LINES_NAME&amp;""," "," "),CHAR(9)," "),CHAR(10)," "),CHAR(13)," "))=$DH736),0),0),0))</f>
        <v/>
      </c>
      <c r="EO736">
        <f>IF($EN736=0,0,IF(OR(UPPER(TRIM(INDEX(LINES_SCHEDULED,$EN736)&amp;""))="YES",UPPER(TRIM(INDEX(LINES_SCHEDULED,$EN736)&amp;""))="Y",UPPER(TRIM(INDEX(LINES_SCHEDULED,$EN736)&amp;""))="X"),1,0))</f>
        <v/>
      </c>
      <c r="EP736">
        <f>IF($DM736=0,"",IF(COUNTIFS($EG$5:$EG$1003,$EG736,$EB$5:$EB$1003,"Ready")&gt;0,"READY",IF(COUNTIFS($EG$5:$EG$1003,$EG736,$EB$5:$EB$1003,"PM")&gt;0,"PM",IF(COUNTIFS($EG$5:$EG$1003,$EG736,$EB$5:$EB$1003,"OT")&gt;0,"OT",""))))</f>
        <v/>
      </c>
      <c r="EQ736">
        <f>IF($EN736=0,"",UPPER(TRIM(INDEX(LINES_STATUS,$EN736)&amp;"")))</f>
        <v/>
      </c>
      <c r="ER736">
        <f>IF($DM736=0,"",IF(OR($EQ736="READY",$EQ736="PM",$EQ736="OT"),$EQ736,$EP736))</f>
        <v/>
      </c>
      <c r="ES736">
        <f>IF($DM736=0,"",IF(AND($DV736&lt;&gt;"",UPPER($DV736)&lt;&gt;"N"),"allergen",IF(ISNUMBER(SEARCH("oil",$DQ736)),"oil",IF(OR(EXACT($DS736,"A662"),EXACT($DS736,"A624")),"bulk",""))))</f>
        <v/>
      </c>
      <c r="ET736">
        <f>IF($DM736=0,"",IF(OR($EA736="",$EA736=0),"",$EA736/100))</f>
        <v/>
      </c>
      <c r="EU736">
        <f>IF(OR($ET736="",$DY736=""),"",INT($DY736*(1-$ET736)+0.5))</f>
        <v/>
      </c>
    </row>
    <row r="737">
      <c r="DA737" t="n">
        <v>733</v>
      </c>
      <c r="DB737">
        <f>IF($B$37=0,"",IFERROR(TRIM(SUBSTITUTE(SUBSTITUTE(SUBSTITUTE(SUBSTITUTE(INDEX(PASTE_ALL,733,$B$37)," "," "),CHAR(9)," "),CHAR(10)," "),CHAR(13)," ")),""))</f>
        <v/>
      </c>
      <c r="DC737">
        <f>IF(AND(733&gt;HEADER_ROW,UPPER(DB737)="LEGEND"),1,0)</f>
        <v/>
      </c>
      <c r="DE737" t="n">
        <v>733</v>
      </c>
      <c r="DF737">
        <f>HEADER_ROW+$DE737</f>
        <v/>
      </c>
      <c r="DG737">
        <f>IF(AND($DF737&lt;=1000,$DF737&lt;$B$8),1,0)</f>
        <v/>
      </c>
      <c r="DH737">
        <f>IF($DG737=1,IFERROR(INDEX($DB$5:$DB$1004,$DF737),""),"")</f>
        <v/>
      </c>
      <c r="DI737">
        <f>IF(AND($DG737=1,$DH737&lt;&gt;""),IFERROR(SUBSTITUTE(SUBSTITUTE(TRIM(SUBSTITUTE(SUBSTITUTE(SUBSTITUTE(SUBSTITUTE(IFERROR(INDEX(PASTE_ALL,$DF737,1)&amp;"","")&amp;"␟"&amp;IFERROR(INDEX(PASTE_ALL,$DF737,2)&amp;"","")&amp;"␟"&amp;IFERROR(INDEX(PASTE_ALL,$DF737,3)&amp;"","")&amp;"␟"&amp;IFERROR(INDEX(PASTE_ALL,$DF737,4)&amp;"","")&amp;"␟"&amp;IFERROR(INDEX(PASTE_ALL,$DF737,5)&amp;"","")&amp;"␟"&amp;IFERROR(INDEX(PASTE_ALL,$DF737,6)&amp;"","")&amp;"␟"&amp;IFERROR(INDEX(PASTE_ALL,$DF737,7)&amp;"","")&amp;"␟"&amp;IFERROR(INDEX(PASTE_ALL,$DF737,8)&amp;"","")&amp;"␟"&amp;IFERROR(INDEX(PASTE_ALL,$DF737,9)&amp;"","")&amp;"␟"&amp;IFERROR(INDEX(PASTE_ALL,$DF737,10)&amp;"","")&amp;"␟"&amp;IFERROR(INDEX(PASTE_ALL,$DF737,11)&amp;"","")&amp;"␟"&amp;IFERROR(INDEX(PASTE_ALL,$DF737,12)&amp;"","")&amp;"␟"&amp;IFERROR(INDEX(PASTE_ALL,$DF737,13)&amp;"","")&amp;"␟"&amp;IFERROR(INDEX(PASTE_ALL,$DF737,14)&amp;"","")&amp;"␟"&amp;IFERROR(INDEX(PASTE_ALL,$DF737,15)&amp;"","")&amp;"␟"&amp;IFERROR(INDEX(PASTE_ALL,$DF737,16)&amp;"","")&amp;"␟"&amp;IFERROR(INDEX(PASTE_ALL,$DF737,17)&amp;"","")&amp;"␟"&amp;IFERROR(INDEX(PASTE_ALL,$DF737,18)&amp;"","")&amp;"␟"&amp;IFERROR(INDEX(PASTE_ALL,$DF737,19)&amp;"","")&amp;"␟"&amp;IFERROR(INDEX(PASTE_ALL,$DF737,20)&amp;"","")&amp;"␟"&amp;IFERROR(INDEX(PASTE_ALL,$DF737,21)&amp;"","")&amp;"␟"&amp;IFERROR(INDEX(PASTE_ALL,$DF737,22)&amp;"","")&amp;"␟"&amp;IFERROR(INDEX(PASTE_ALL,$DF737,23)&amp;"","")&amp;"␟"&amp;IFERROR(INDEX(PASTE_ALL,$DF737,24)&amp;"","")&amp;"␟"&amp;IFERROR(INDEX(PASTE_ALL,$DF737,25)&amp;"","")&amp;"␟"&amp;IFERROR(INDEX(PASTE_ALL,$DF737,26)&amp;"","")&amp;"␟"&amp;IFERROR(INDEX(PASTE_ALL,$DF737,27)&amp;"","")&amp;"␟"&amp;IFERROR(INDEX(PASTE_ALL,$DF737,28)&amp;"","")&amp;"␟"&amp;IFERROR(INDEX(PASTE_ALL,$DF737,29)&amp;"","")&amp;"␟"&amp;IFERROR(INDEX(PASTE_ALL,$DF737,30)&amp;"","")&amp;"␟"&amp;IFERROR(INDEX(PASTE_ALL,$DF737,31)&amp;"","")&amp;"␟"&amp;IFERROR(INDEX(PASTE_ALL,$DF737,32)&amp;"","")&amp;"␟"&amp;IFERROR(INDEX(PASTE_ALL,$DF737,33)&amp;"","")&amp;"␟"&amp;IFERROR(INDEX(PASTE_ALL,$DF737,34)&amp;"","")&amp;"␟"&amp;IFERROR(INDEX(PASTE_ALL,$DF737,35)&amp;"","")&amp;"␟"&amp;IFERROR(INDEX(PASTE_ALL,$DF737,36)&amp;"","")&amp;"␟"&amp;IFERROR(INDEX(PASTE_ALL,$DF737,37)&amp;"","")&amp;"␟"&amp;IFERROR(INDEX(PASTE_ALL,$DF737,38)&amp;"","")&amp;"␟"&amp;IFERROR(INDEX(PASTE_ALL,$DF737,39)&amp;"","")&amp;"␟"&amp;IFERROR(INDEX(PASTE_ALL,$DF737,40)&amp;"","")&amp;"␟"&amp;IFERROR(INDEX(PASTE_ALL,$DF737,41)&amp;"","")&amp;"␟"&amp;IFERROR(INDEX(PASTE_ALL,$DF737,42)&amp;"","")&amp;"␟"&amp;IFERROR(INDEX(PASTE_ALL,$DF737,43)&amp;"","")&amp;"␟"&amp;IFERROR(INDEX(PASTE_ALL,$DF737,44)&amp;"","")&amp;"␟"&amp;IFERROR(INDEX(PASTE_ALL,$DF737,45)&amp;"","")&amp;"␟"&amp;IFERROR(INDEX(PASTE_ALL,$DF737,46)&amp;"","")&amp;"␟"&amp;IFERROR(INDEX(PASTE_ALL,$DF737,47)&amp;"","")&amp;"␟"&amp;IFERROR(INDEX(PASTE_ALL,$DF737,48)&amp;"","")&amp;"␟"&amp;IFERROR(INDEX(PASTE_ALL,$DF737,49)&amp;"","")&amp;"␟"&amp;IFERROR(INDEX(PASTE_ALL,$DF737,50)&amp;"","")&amp;"␟"&amp;IFERROR(INDEX(PASTE_ALL,$DF737,51)&amp;"","")&amp;"␟"&amp;IFERROR(INDEX(PASTE_ALL,$DF737,52)&amp;"","")&amp;"␟"&amp;IFERROR(INDEX(PASTE_ALL,$DF737,53)&amp;"","")&amp;"␟"&amp;IFERROR(INDEX(PASTE_ALL,$DF737,54)&amp;"","")&amp;"␟"&amp;IFERROR(INDEX(PASTE_ALL,$DF737,55)&amp;"","")&amp;"␟"&amp;IFERROR(INDEX(PASTE_ALL,$DF737,56)&amp;"","")&amp;"␟"&amp;IFERROR(INDEX(PASTE_ALL,$DF737,57)&amp;"","")&amp;"␟"&amp;IFERROR(INDEX(PASTE_ALL,$DF737,58)&amp;"","")&amp;"␟"&amp;IFERROR(INDEX(PASTE_ALL,$DF737,59)&amp;"","")&amp;"␟"&amp;IFERROR(INDEX(PASTE_ALL,$DF737,60)&amp;"","")," "," "),CHAR(9)," "),CHAR(10)," "),CHAR(13)," "))," ␟","␟"),"␟ ","␟"),"#"&amp;$DE737),"")</f>
        <v/>
      </c>
      <c r="DJ737">
        <f>IF($DI737="",0,IF(SUMPRODUCT(--EXACT($DI$4:DI736,$DI737))&gt;0,1,0))</f>
        <v/>
      </c>
      <c r="DK737">
        <f>IF(AND($DI737&lt;&gt;"",$DJ737=0),1,0)</f>
        <v/>
      </c>
      <c r="DL737">
        <f>DL736+$DK737</f>
        <v/>
      </c>
      <c r="DM737">
        <f>IF(AND($DK737=1,$DL737&lt;=600),1,0)</f>
        <v/>
      </c>
      <c r="DN737">
        <f>IF($DM737=0,"",IF($L$6=0,"",IFERROR(IF(ISNUMBER(INDEX(PASTE_ALL,$DF737,$L$6)),INDEX(PASTE_ALL,$DF737,$L$6),TRIM(SUBSTITUTE(SUBSTITUTE(SUBSTITUTE(SUBSTITUTE(INDEX(PASTE_ALL,$DF737,$L$6)," "," "),CHAR(9)," "),CHAR(10)," "),CHAR(13)," "))),"")))</f>
        <v/>
      </c>
      <c r="DO737">
        <f>IF($DM737=0,"",IF($L$7=0,"",IFERROR(IF(ISNUMBER(INDEX(PASTE_ALL,$DF737,$L$7)),INDEX(PASTE_ALL,$DF737,$L$7),TRIM(SUBSTITUTE(SUBSTITUTE(SUBSTITUTE(SUBSTITUTE(INDEX(PASTE_ALL,$DF737,$L$7)," "," "),CHAR(9)," "),CHAR(10)," "),CHAR(13)," "))),"")))</f>
        <v/>
      </c>
      <c r="DP737">
        <f>IF($DM737=0,"",IF($L$8=0,"",IFERROR(IF(ISNUMBER(INDEX(PASTE_ALL,$DF737,$L$8)),INDEX(PASTE_ALL,$DF737,$L$8),TRIM(SUBSTITUTE(SUBSTITUTE(SUBSTITUTE(SUBSTITUTE(INDEX(PASTE_ALL,$DF737,$L$8)," "," "),CHAR(9)," "),CHAR(10)," "),CHAR(13)," "))),"")))</f>
        <v/>
      </c>
      <c r="DQ737">
        <f>IF($DM737=0,"",IF($L$9=0,"",IFERROR(IF(ISNUMBER(INDEX(PASTE_ALL,$DF737,$L$9)),INDEX(PASTE_ALL,$DF737,$L$9),TRIM(SUBSTITUTE(SUBSTITUTE(SUBSTITUTE(SUBSTITUTE(INDEX(PASTE_ALL,$DF737,$L$9)," "," "),CHAR(9)," "),CHAR(10)," "),CHAR(13)," "))),"")))</f>
        <v/>
      </c>
      <c r="DR737">
        <f>IF($DM737=0,"",IF($L$10=0,"",IFERROR(IF(ISNUMBER(INDEX(PASTE_ALL,$DF737,$L$10)),INDEX(PASTE_ALL,$DF737,$L$10),TRIM(SUBSTITUTE(SUBSTITUTE(SUBSTITUTE(SUBSTITUTE(INDEX(PASTE_ALL,$DF737,$L$10)," "," "),CHAR(9)," "),CHAR(10)," "),CHAR(13)," "))),"")))</f>
        <v/>
      </c>
      <c r="DS737">
        <f>IF($DM737=0,"",IF($L$11=0,"",IFERROR(IF(ISNUMBER(INDEX(PASTE_ALL,$DF737,$L$11)),INDEX(PASTE_ALL,$DF737,$L$11),TRIM(SUBSTITUTE(SUBSTITUTE(SUBSTITUTE(SUBSTITUTE(INDEX(PASTE_ALL,$DF737,$L$11)," "," "),CHAR(9)," "),CHAR(10)," "),CHAR(13)," "))),"")))</f>
        <v/>
      </c>
      <c r="DT737">
        <f>IF($DM737=0,"",IF($L$12=0,"",IFERROR(IF(ISNUMBER(INDEX(PASTE_ALL,$DF737,$L$12)),INDEX(PASTE_ALL,$DF737,$L$12),TRIM(SUBSTITUTE(SUBSTITUTE(SUBSTITUTE(SUBSTITUTE(INDEX(PASTE_ALL,$DF737,$L$12)," "," "),CHAR(9)," "),CHAR(10)," "),CHAR(13)," "))),"")))</f>
        <v/>
      </c>
      <c r="DU737">
        <f>IF($DM737=0,"",IF($L$13=0,"",IFERROR(IF(ISNUMBER(INDEX(PASTE_ALL,$DF737,$L$13)),INDEX(PASTE_ALL,$DF737,$L$13),TRIM(SUBSTITUTE(SUBSTITUTE(SUBSTITUTE(SUBSTITUTE(INDEX(PASTE_ALL,$DF737,$L$13)," "," "),CHAR(9)," "),CHAR(10)," "),CHAR(13)," "))),"")))</f>
        <v/>
      </c>
      <c r="DV737">
        <f>IF($DM737=0,"",IF($L$14=0,"",IFERROR(IF(ISNUMBER(INDEX(PASTE_ALL,$DF737,$L$14)),INDEX(PASTE_ALL,$DF737,$L$14),TRIM(SUBSTITUTE(SUBSTITUTE(SUBSTITUTE(SUBSTITUTE(INDEX(PASTE_ALL,$DF737,$L$14)," "," "),CHAR(9)," "),CHAR(10)," "),CHAR(13)," "))),"")))</f>
        <v/>
      </c>
      <c r="DW737">
        <f>IF($DM737=0,"",IF($L$15=0,"",IFERROR(IF(ISNUMBER(INDEX(PASTE_ALL,$DF737,$L$15)),INDEX(PASTE_ALL,$DF737,$L$15),IF(SUMPRODUCT(--ISNUMBER(FIND({"A","B","C","D","E","F","G","H","I","J","K","L","M","N","O","P","Q","R","S","T","U","V","W","X","Y","Z","0","1","2","3","4","5","6","7","8","9"},UPPER(TRIM(SUBSTITUTE(SUBSTITUTE(SUBSTITUTE(SUBSTITUTE(INDEX(PASTE_ALL,$DF737,$L$15)," "," "),CHAR(9)," "),CHAR(10)," "),CHAR(13)," "))))))&gt;0,TRIM(SUBSTITUTE(SUBSTITUTE(SUBSTITUTE(SUBSTITUTE(INDEX(PASTE_ALL,$DF737,$L$15)," "," "),CHAR(9)," "),CHAR(10)," "),CHAR(13)," ")),"")),"")))</f>
        <v/>
      </c>
      <c r="DX737">
        <f>IF($DM737=0,"",IF($L$16=0,"",IFERROR(IF(ISNUMBER(INDEX(PASTE_ALL,$DF737,$L$16)),INDEX(PASTE_ALL,$DF737,$L$16),SUBSTITUTE(SUBSTITUTE(TRIM(SUBSTITUTE(SUBSTITUTE(SUBSTITUTE(SUBSTITUTE(INDEX(PASTE_ALL,$DF737,$L$16)," "," "),CHAR(9)," "),CHAR(10)," "),CHAR(13)," ")),",",""),"%","")),"")))</f>
        <v/>
      </c>
      <c r="DY737">
        <f>IF($DM737=0,"",IFERROR(IF(ISNUMBER($DX737),$DX737,IF($DX737="","",IF(TRIM($DX737)="",0,IF(AND(AND(SUBSTITUTE(SUBSTITUTE(SUBSTITUTE(SUBSTITUTE(SUBSTITUTE(SUBSTITUTE(SUBSTITUTE(SUBSTITUTE(SUBSTITUTE(SUBSTITUTE(SUBSTITUTE(SUBSTITUTE(SUBSTITUTE(SUBSTITUTE(UPPER(TRIM($DX737)),"0",""),"1",""),"2",""),"3",""),"4",""),"5",""),"6",""),"7",""),"8",""),"9",""),".",""),"+",""),"-",""),"E","")="",LEN(SUBSTITUTE(SUBSTITUTE(MID(UPPER(TRIM($DX737)),1+OR(LEFT(UPPER(TRIM($DX737)),1)="+",LEFT(UPPER(TRIM($DX737)),1)="-"),999),"E+","E"),"E-","E"))=LEN(SUBSTITUTE(SUBSTITUTE(SUBSTITUTE(SUBSTITUTE(MID(UPPER(TRIM($DX737)),1+OR(LEFT(UPPER(TRIM($DX737)),1)="+",LEFT(UPPER(TRIM($DX737)),1)="-"),999),"E+","E"),"E-","E"),"+",""),"-","")),LEN(UPPER(TRIM($DX737)))-LEN(SUBSTITUTE(UPPER(TRIM($DX737)),"E",""))&lt;2,LEN(UPPER(TRIM($DX737)))-LEN(SUBSTITUTE(UPPER(TRIM($DX737)),".",""))&lt;2,IFERROR(FIND(".",UPPER(TRIM($DX737))),0)&lt;IFERROR(FIND("E",UPPER(TRIM($DX737))),999)),ISNUMBER(VALUE(TRIM($DX737)))),VALUE(TRIM($DX737)),"")))),""))</f>
        <v/>
      </c>
      <c r="DZ737">
        <f>IF($DM737=0,"",IF($L$17=0,"",IFERROR(IF(ISNUMBER(INDEX(PASTE_ALL,$DF737,$L$17)),INDEX(PASTE_ALL,$DF737,$L$17),SUBSTITUTE(SUBSTITUTE(TRIM(SUBSTITUTE(SUBSTITUTE(SUBSTITUTE(SUBSTITUTE(INDEX(PASTE_ALL,$DF737,$L$17)," "," "),CHAR(9)," "),CHAR(10)," "),CHAR(13)," ")),",",""),"%","")),"")))</f>
        <v/>
      </c>
      <c r="EA737">
        <f>IF($DM737=0,"",IFERROR(IF(ISNUMBER($DZ737),$DZ737,IF($DZ737="","",IF(TRIM($DZ737)="",0,IF(AND(AND(SUBSTITUTE(SUBSTITUTE(SUBSTITUTE(SUBSTITUTE(SUBSTITUTE(SUBSTITUTE(SUBSTITUTE(SUBSTITUTE(SUBSTITUTE(SUBSTITUTE(SUBSTITUTE(SUBSTITUTE(SUBSTITUTE(SUBSTITUTE(UPPER(TRIM($DZ737)),"0",""),"1",""),"2",""),"3",""),"4",""),"5",""),"6",""),"7",""),"8",""),"9",""),".",""),"+",""),"-",""),"E","")="",LEN(SUBSTITUTE(SUBSTITUTE(MID(UPPER(TRIM($DZ737)),1+OR(LEFT(UPPER(TRIM($DZ737)),1)="+",LEFT(UPPER(TRIM($DZ737)),1)="-"),999),"E+","E"),"E-","E"))=LEN(SUBSTITUTE(SUBSTITUTE(SUBSTITUTE(SUBSTITUTE(MID(UPPER(TRIM($DZ737)),1+OR(LEFT(UPPER(TRIM($DZ737)),1)="+",LEFT(UPPER(TRIM($DZ737)),1)="-"),999),"E+","E"),"E-","E"),"+",""),"-","")),LEN(UPPER(TRIM($DZ737)))-LEN(SUBSTITUTE(UPPER(TRIM($DZ737)),"E",""))&lt;2,LEN(UPPER(TRIM($DZ737)))-LEN(SUBSTITUTE(UPPER(TRIM($DZ737)),".",""))&lt;2,IFERROR(FIND(".",UPPER(TRIM($DZ737))),0)&lt;IFERROR(FIND("E",UPPER(TRIM($DZ737))),999)),ISNUMBER(VALUE(TRIM($DZ737)))),VALUE(TRIM($DZ737)),"")))),""))</f>
        <v/>
      </c>
      <c r="EB737">
        <f>IF($DM737=0,"",IF($L$18=0,"",IFERROR(IF(UPPER(TRIM(SUBSTITUTE(SUBSTITUTE(SUBSTITUTE(SUBSTITUTE(INDEX(PASTE_ALL,$DF737,$L$18)," "," "),CHAR(9)," "),CHAR(10)," "),CHAR(13)," ")))="READY","Ready",IF(UPPER(TRIM(SUBSTITUTE(SUBSTITUTE(SUBSTITUTE(SUBSTITUTE(INDEX(PASTE_ALL,$DF737,$L$18)," "," "),CHAR(9)," "),CHAR(10)," "),CHAR(13)," ")))="PM","PM",IF(OR(UPPER(TRIM(SUBSTITUTE(SUBSTITUTE(SUBSTITUTE(SUBSTITUTE(INDEX(PASTE_ALL,$DF737,$L$18)," "," "),CHAR(9)," "),CHAR(10)," "),CHAR(13)," ")))="OT",UPPER(TRIM(SUBSTITUTE(SUBSTITUTE(SUBSTITUTE(SUBSTITUTE(INDEX(PASTE_ALL,$DF737,$L$18)," "," "),CHAR(9)," "),CHAR(10)," "),CHAR(13)," ")))="OVERTIME",UPPER(TRIM(SUBSTITUTE(SUBSTITUTE(SUBSTITUTE(SUBSTITUTE(INDEX(PASTE_ALL,$DF737,$L$18)," "," "),CHAR(9)," "),CHAR(10)," "),CHAR(13)," ")))="TRIAL"),"OT",TRIM(SUBSTITUTE(SUBSTITUTE(SUBSTITUTE(SUBSTITUTE(INDEX(PASTE_ALL,$DF737,$L$18)," "," "),CHAR(9)," "),CHAR(10)," "),CHAR(13)," "))))),"")))</f>
        <v/>
      </c>
      <c r="EC737">
        <f>IF($DM737=0,"",IF($L$19=0,"",IFERROR(IF(ISNUMBER(INDEX(PASTE_ALL,$DF737,$L$19)),INDEX(PASTE_ALL,$DF737,$L$19),TRIM(SUBSTITUTE(SUBSTITUTE(SUBSTITUTE(SUBSTITUTE(INDEX(PASTE_ALL,$DF737,$L$19)," "," "),CHAR(9)," "),CHAR(10)," "),CHAR(13)," "))),"")))</f>
        <v/>
      </c>
      <c r="ED737">
        <f>IF($DM737=0,"",MATCH(1,INDEX(EXACT($DH$5:DH737,$DH737)*$DM$5:DM737,0),0))</f>
        <v/>
      </c>
      <c r="EE737">
        <f>IF($DM737=0,0,IF($ED737=$DE737,1,0))</f>
        <v/>
      </c>
      <c r="EF737">
        <f>EF736+$EE737</f>
        <v/>
      </c>
      <c r="EG737">
        <f>IF($DM737=0,"",INDEX($EF$5:$EF$1003,$ED737))</f>
        <v/>
      </c>
      <c r="EH737">
        <f>IF($DM737=0,"",IF($DO737&lt;&gt;"","",IFERROR(LOOKUP(2,1/(($EG$4:EG736=$EG737)*($DO$4:DO736&lt;&gt;"")),$DO$4:DO736),"")))</f>
        <v/>
      </c>
      <c r="EI737">
        <f>IF($DM737=0,"",IF($DO737&lt;&gt;"",$DO737,$EH737))</f>
        <v/>
      </c>
      <c r="EJ737">
        <f>IF($DM737=0,"",IF($EI737="",0,IF(OR(ISNUMBER($EI737),AND(AND(SUBSTITUTE(SUBSTITUTE(SUBSTITUTE(SUBSTITUTE(SUBSTITUTE(SUBSTITUTE(SUBSTITUTE(SUBSTITUTE(SUBSTITUTE(SUBSTITUTE(SUBSTITUTE(SUBSTITUTE(SUBSTITUTE(SUBSTITUTE(UPPER($EI737),"0",""),"1",""),"2",""),"3",""),"4",""),"5",""),"6",""),"7",""),"8",""),"9",""),".",""),"+",""),"-",""),"E","")="",LEN(SUBSTITUTE(SUBSTITUTE(MID(UPPER($EI737),1+OR(LEFT(UPPER($EI737),1)="+",LEFT(UPPER($EI737),1)="-"),999),"E+","E"),"E-","E"))=LEN(SUBSTITUTE(SUBSTITUTE(SUBSTITUTE(SUBSTITUTE(MID(UPPER($EI737),1+OR(LEFT(UPPER($EI737),1)="+",LEFT(UPPER($EI737),1)="-"),999),"E+","E"),"E-","E"),"+",""),"-","")),LEN(UPPER($EI737))-LEN(SUBSTITUTE(UPPER($EI737),"E",""))&lt;2,LEN(UPPER($EI737))-LEN(SUBSTITUTE(UPPER($EI737),".",""))&lt;2,IFERROR(FIND(".",UPPER($EI737)),0)&lt;IFERROR(FIND("E",UPPER($EI737)),999)),ISNUMBER(VALUE($EI737)))),1,2)))</f>
        <v/>
      </c>
      <c r="EK737">
        <f>IF($DM737=0,"",IF($EJ737=1,IF(ISNUMBER($EI737),$EI737,VALUE($EI737)),IF($EJ737=2,$DE737,0)))</f>
        <v/>
      </c>
      <c r="EL737">
        <f>IF($DM737=0,"",COUNTIF($EG$5:$EG$1003,"&lt;"&amp;$EG737)+SUMPRODUCT(($EG$5:$EG$1003=$EG737)*(($EJ$5:$EJ$1003&lt;$EJ737)+($EJ$5:$EJ$1003=$EJ737)*(($EK$5:$EK$1003&lt;$EK737)+($EK$5:$EK$1003=$EK737)*($DE$5:$DE$1003&lt;$DE737))))+1)</f>
        <v/>
      </c>
      <c r="EM737">
        <f>IF($DM737=0,"",$EL737+$EG737-1)</f>
        <v/>
      </c>
      <c r="EN737">
        <f>IF($DM737=0,0,IFERROR(MATCH(1,INDEX(--(TRIM(SUBSTITUTE(SUBSTITUTE(SUBSTITUTE(SUBSTITUTE(LINES_NAME&amp;""," "," "),CHAR(9)," "),CHAR(10)," "),CHAR(13)," "))=$DH737),0),0),0))</f>
        <v/>
      </c>
      <c r="EO737">
        <f>IF($EN737=0,0,IF(OR(UPPER(TRIM(INDEX(LINES_SCHEDULED,$EN737)&amp;""))="YES",UPPER(TRIM(INDEX(LINES_SCHEDULED,$EN737)&amp;""))="Y",UPPER(TRIM(INDEX(LINES_SCHEDULED,$EN737)&amp;""))="X"),1,0))</f>
        <v/>
      </c>
      <c r="EP737">
        <f>IF($DM737=0,"",IF(COUNTIFS($EG$5:$EG$1003,$EG737,$EB$5:$EB$1003,"Ready")&gt;0,"READY",IF(COUNTIFS($EG$5:$EG$1003,$EG737,$EB$5:$EB$1003,"PM")&gt;0,"PM",IF(COUNTIFS($EG$5:$EG$1003,$EG737,$EB$5:$EB$1003,"OT")&gt;0,"OT",""))))</f>
        <v/>
      </c>
      <c r="EQ737">
        <f>IF($EN737=0,"",UPPER(TRIM(INDEX(LINES_STATUS,$EN737)&amp;"")))</f>
        <v/>
      </c>
      <c r="ER737">
        <f>IF($DM737=0,"",IF(OR($EQ737="READY",$EQ737="PM",$EQ737="OT"),$EQ737,$EP737))</f>
        <v/>
      </c>
      <c r="ES737">
        <f>IF($DM737=0,"",IF(AND($DV737&lt;&gt;"",UPPER($DV737)&lt;&gt;"N"),"allergen",IF(ISNUMBER(SEARCH("oil",$DQ737)),"oil",IF(OR(EXACT($DS737,"A662"),EXACT($DS737,"A624")),"bulk",""))))</f>
        <v/>
      </c>
      <c r="ET737">
        <f>IF($DM737=0,"",IF(OR($EA737="",$EA737=0),"",$EA737/100))</f>
        <v/>
      </c>
      <c r="EU737">
        <f>IF(OR($ET737="",$DY737=""),"",INT($DY737*(1-$ET737)+0.5))</f>
        <v/>
      </c>
    </row>
    <row r="738">
      <c r="DA738" t="n">
        <v>734</v>
      </c>
      <c r="DB738">
        <f>IF($B$37=0,"",IFERROR(TRIM(SUBSTITUTE(SUBSTITUTE(SUBSTITUTE(SUBSTITUTE(INDEX(PASTE_ALL,734,$B$37)," "," "),CHAR(9)," "),CHAR(10)," "),CHAR(13)," ")),""))</f>
        <v/>
      </c>
      <c r="DC738">
        <f>IF(AND(734&gt;HEADER_ROW,UPPER(DB738)="LEGEND"),1,0)</f>
        <v/>
      </c>
      <c r="DE738" t="n">
        <v>734</v>
      </c>
      <c r="DF738">
        <f>HEADER_ROW+$DE738</f>
        <v/>
      </c>
      <c r="DG738">
        <f>IF(AND($DF738&lt;=1000,$DF738&lt;$B$8),1,0)</f>
        <v/>
      </c>
      <c r="DH738">
        <f>IF($DG738=1,IFERROR(INDEX($DB$5:$DB$1004,$DF738),""),"")</f>
        <v/>
      </c>
      <c r="DI738">
        <f>IF(AND($DG738=1,$DH738&lt;&gt;""),IFERROR(SUBSTITUTE(SUBSTITUTE(TRIM(SUBSTITUTE(SUBSTITUTE(SUBSTITUTE(SUBSTITUTE(IFERROR(INDEX(PASTE_ALL,$DF738,1)&amp;"","")&amp;"␟"&amp;IFERROR(INDEX(PASTE_ALL,$DF738,2)&amp;"","")&amp;"␟"&amp;IFERROR(INDEX(PASTE_ALL,$DF738,3)&amp;"","")&amp;"␟"&amp;IFERROR(INDEX(PASTE_ALL,$DF738,4)&amp;"","")&amp;"␟"&amp;IFERROR(INDEX(PASTE_ALL,$DF738,5)&amp;"","")&amp;"␟"&amp;IFERROR(INDEX(PASTE_ALL,$DF738,6)&amp;"","")&amp;"␟"&amp;IFERROR(INDEX(PASTE_ALL,$DF738,7)&amp;"","")&amp;"␟"&amp;IFERROR(INDEX(PASTE_ALL,$DF738,8)&amp;"","")&amp;"␟"&amp;IFERROR(INDEX(PASTE_ALL,$DF738,9)&amp;"","")&amp;"␟"&amp;IFERROR(INDEX(PASTE_ALL,$DF738,10)&amp;"","")&amp;"␟"&amp;IFERROR(INDEX(PASTE_ALL,$DF738,11)&amp;"","")&amp;"␟"&amp;IFERROR(INDEX(PASTE_ALL,$DF738,12)&amp;"","")&amp;"␟"&amp;IFERROR(INDEX(PASTE_ALL,$DF738,13)&amp;"","")&amp;"␟"&amp;IFERROR(INDEX(PASTE_ALL,$DF738,14)&amp;"","")&amp;"␟"&amp;IFERROR(INDEX(PASTE_ALL,$DF738,15)&amp;"","")&amp;"␟"&amp;IFERROR(INDEX(PASTE_ALL,$DF738,16)&amp;"","")&amp;"␟"&amp;IFERROR(INDEX(PASTE_ALL,$DF738,17)&amp;"","")&amp;"␟"&amp;IFERROR(INDEX(PASTE_ALL,$DF738,18)&amp;"","")&amp;"␟"&amp;IFERROR(INDEX(PASTE_ALL,$DF738,19)&amp;"","")&amp;"␟"&amp;IFERROR(INDEX(PASTE_ALL,$DF738,20)&amp;"","")&amp;"␟"&amp;IFERROR(INDEX(PASTE_ALL,$DF738,21)&amp;"","")&amp;"␟"&amp;IFERROR(INDEX(PASTE_ALL,$DF738,22)&amp;"","")&amp;"␟"&amp;IFERROR(INDEX(PASTE_ALL,$DF738,23)&amp;"","")&amp;"␟"&amp;IFERROR(INDEX(PASTE_ALL,$DF738,24)&amp;"","")&amp;"␟"&amp;IFERROR(INDEX(PASTE_ALL,$DF738,25)&amp;"","")&amp;"␟"&amp;IFERROR(INDEX(PASTE_ALL,$DF738,26)&amp;"","")&amp;"␟"&amp;IFERROR(INDEX(PASTE_ALL,$DF738,27)&amp;"","")&amp;"␟"&amp;IFERROR(INDEX(PASTE_ALL,$DF738,28)&amp;"","")&amp;"␟"&amp;IFERROR(INDEX(PASTE_ALL,$DF738,29)&amp;"","")&amp;"␟"&amp;IFERROR(INDEX(PASTE_ALL,$DF738,30)&amp;"","")&amp;"␟"&amp;IFERROR(INDEX(PASTE_ALL,$DF738,31)&amp;"","")&amp;"␟"&amp;IFERROR(INDEX(PASTE_ALL,$DF738,32)&amp;"","")&amp;"␟"&amp;IFERROR(INDEX(PASTE_ALL,$DF738,33)&amp;"","")&amp;"␟"&amp;IFERROR(INDEX(PASTE_ALL,$DF738,34)&amp;"","")&amp;"␟"&amp;IFERROR(INDEX(PASTE_ALL,$DF738,35)&amp;"","")&amp;"␟"&amp;IFERROR(INDEX(PASTE_ALL,$DF738,36)&amp;"","")&amp;"␟"&amp;IFERROR(INDEX(PASTE_ALL,$DF738,37)&amp;"","")&amp;"␟"&amp;IFERROR(INDEX(PASTE_ALL,$DF738,38)&amp;"","")&amp;"␟"&amp;IFERROR(INDEX(PASTE_ALL,$DF738,39)&amp;"","")&amp;"␟"&amp;IFERROR(INDEX(PASTE_ALL,$DF738,40)&amp;"","")&amp;"␟"&amp;IFERROR(INDEX(PASTE_ALL,$DF738,41)&amp;"","")&amp;"␟"&amp;IFERROR(INDEX(PASTE_ALL,$DF738,42)&amp;"","")&amp;"␟"&amp;IFERROR(INDEX(PASTE_ALL,$DF738,43)&amp;"","")&amp;"␟"&amp;IFERROR(INDEX(PASTE_ALL,$DF738,44)&amp;"","")&amp;"␟"&amp;IFERROR(INDEX(PASTE_ALL,$DF738,45)&amp;"","")&amp;"␟"&amp;IFERROR(INDEX(PASTE_ALL,$DF738,46)&amp;"","")&amp;"␟"&amp;IFERROR(INDEX(PASTE_ALL,$DF738,47)&amp;"","")&amp;"␟"&amp;IFERROR(INDEX(PASTE_ALL,$DF738,48)&amp;"","")&amp;"␟"&amp;IFERROR(INDEX(PASTE_ALL,$DF738,49)&amp;"","")&amp;"␟"&amp;IFERROR(INDEX(PASTE_ALL,$DF738,50)&amp;"","")&amp;"␟"&amp;IFERROR(INDEX(PASTE_ALL,$DF738,51)&amp;"","")&amp;"␟"&amp;IFERROR(INDEX(PASTE_ALL,$DF738,52)&amp;"","")&amp;"␟"&amp;IFERROR(INDEX(PASTE_ALL,$DF738,53)&amp;"","")&amp;"␟"&amp;IFERROR(INDEX(PASTE_ALL,$DF738,54)&amp;"","")&amp;"␟"&amp;IFERROR(INDEX(PASTE_ALL,$DF738,55)&amp;"","")&amp;"␟"&amp;IFERROR(INDEX(PASTE_ALL,$DF738,56)&amp;"","")&amp;"␟"&amp;IFERROR(INDEX(PASTE_ALL,$DF738,57)&amp;"","")&amp;"␟"&amp;IFERROR(INDEX(PASTE_ALL,$DF738,58)&amp;"","")&amp;"␟"&amp;IFERROR(INDEX(PASTE_ALL,$DF738,59)&amp;"","")&amp;"␟"&amp;IFERROR(INDEX(PASTE_ALL,$DF738,60)&amp;"","")," "," "),CHAR(9)," "),CHAR(10)," "),CHAR(13)," "))," ␟","␟"),"␟ ","␟"),"#"&amp;$DE738),"")</f>
        <v/>
      </c>
      <c r="DJ738">
        <f>IF($DI738="",0,IF(SUMPRODUCT(--EXACT($DI$4:DI737,$DI738))&gt;0,1,0))</f>
        <v/>
      </c>
      <c r="DK738">
        <f>IF(AND($DI738&lt;&gt;"",$DJ738=0),1,0)</f>
        <v/>
      </c>
      <c r="DL738">
        <f>DL737+$DK738</f>
        <v/>
      </c>
      <c r="DM738">
        <f>IF(AND($DK738=1,$DL738&lt;=600),1,0)</f>
        <v/>
      </c>
      <c r="DN738">
        <f>IF($DM738=0,"",IF($L$6=0,"",IFERROR(IF(ISNUMBER(INDEX(PASTE_ALL,$DF738,$L$6)),INDEX(PASTE_ALL,$DF738,$L$6),TRIM(SUBSTITUTE(SUBSTITUTE(SUBSTITUTE(SUBSTITUTE(INDEX(PASTE_ALL,$DF738,$L$6)," "," "),CHAR(9)," "),CHAR(10)," "),CHAR(13)," "))),"")))</f>
        <v/>
      </c>
      <c r="DO738">
        <f>IF($DM738=0,"",IF($L$7=0,"",IFERROR(IF(ISNUMBER(INDEX(PASTE_ALL,$DF738,$L$7)),INDEX(PASTE_ALL,$DF738,$L$7),TRIM(SUBSTITUTE(SUBSTITUTE(SUBSTITUTE(SUBSTITUTE(INDEX(PASTE_ALL,$DF738,$L$7)," "," "),CHAR(9)," "),CHAR(10)," "),CHAR(13)," "))),"")))</f>
        <v/>
      </c>
      <c r="DP738">
        <f>IF($DM738=0,"",IF($L$8=0,"",IFERROR(IF(ISNUMBER(INDEX(PASTE_ALL,$DF738,$L$8)),INDEX(PASTE_ALL,$DF738,$L$8),TRIM(SUBSTITUTE(SUBSTITUTE(SUBSTITUTE(SUBSTITUTE(INDEX(PASTE_ALL,$DF738,$L$8)," "," "),CHAR(9)," "),CHAR(10)," "),CHAR(13)," "))),"")))</f>
        <v/>
      </c>
      <c r="DQ738">
        <f>IF($DM738=0,"",IF($L$9=0,"",IFERROR(IF(ISNUMBER(INDEX(PASTE_ALL,$DF738,$L$9)),INDEX(PASTE_ALL,$DF738,$L$9),TRIM(SUBSTITUTE(SUBSTITUTE(SUBSTITUTE(SUBSTITUTE(INDEX(PASTE_ALL,$DF738,$L$9)," "," "),CHAR(9)," "),CHAR(10)," "),CHAR(13)," "))),"")))</f>
        <v/>
      </c>
      <c r="DR738">
        <f>IF($DM738=0,"",IF($L$10=0,"",IFERROR(IF(ISNUMBER(INDEX(PASTE_ALL,$DF738,$L$10)),INDEX(PASTE_ALL,$DF738,$L$10),TRIM(SUBSTITUTE(SUBSTITUTE(SUBSTITUTE(SUBSTITUTE(INDEX(PASTE_ALL,$DF738,$L$10)," "," "),CHAR(9)," "),CHAR(10)," "),CHAR(13)," "))),"")))</f>
        <v/>
      </c>
      <c r="DS738">
        <f>IF($DM738=0,"",IF($L$11=0,"",IFERROR(IF(ISNUMBER(INDEX(PASTE_ALL,$DF738,$L$11)),INDEX(PASTE_ALL,$DF738,$L$11),TRIM(SUBSTITUTE(SUBSTITUTE(SUBSTITUTE(SUBSTITUTE(INDEX(PASTE_ALL,$DF738,$L$11)," "," "),CHAR(9)," "),CHAR(10)," "),CHAR(13)," "))),"")))</f>
        <v/>
      </c>
      <c r="DT738">
        <f>IF($DM738=0,"",IF($L$12=0,"",IFERROR(IF(ISNUMBER(INDEX(PASTE_ALL,$DF738,$L$12)),INDEX(PASTE_ALL,$DF738,$L$12),TRIM(SUBSTITUTE(SUBSTITUTE(SUBSTITUTE(SUBSTITUTE(INDEX(PASTE_ALL,$DF738,$L$12)," "," "),CHAR(9)," "),CHAR(10)," "),CHAR(13)," "))),"")))</f>
        <v/>
      </c>
      <c r="DU738">
        <f>IF($DM738=0,"",IF($L$13=0,"",IFERROR(IF(ISNUMBER(INDEX(PASTE_ALL,$DF738,$L$13)),INDEX(PASTE_ALL,$DF738,$L$13),TRIM(SUBSTITUTE(SUBSTITUTE(SUBSTITUTE(SUBSTITUTE(INDEX(PASTE_ALL,$DF738,$L$13)," "," "),CHAR(9)," "),CHAR(10)," "),CHAR(13)," "))),"")))</f>
        <v/>
      </c>
      <c r="DV738">
        <f>IF($DM738=0,"",IF($L$14=0,"",IFERROR(IF(ISNUMBER(INDEX(PASTE_ALL,$DF738,$L$14)),INDEX(PASTE_ALL,$DF738,$L$14),TRIM(SUBSTITUTE(SUBSTITUTE(SUBSTITUTE(SUBSTITUTE(INDEX(PASTE_ALL,$DF738,$L$14)," "," "),CHAR(9)," "),CHAR(10)," "),CHAR(13)," "))),"")))</f>
        <v/>
      </c>
      <c r="DW738">
        <f>IF($DM738=0,"",IF($L$15=0,"",IFERROR(IF(ISNUMBER(INDEX(PASTE_ALL,$DF738,$L$15)),INDEX(PASTE_ALL,$DF738,$L$15),IF(SUMPRODUCT(--ISNUMBER(FIND({"A","B","C","D","E","F","G","H","I","J","K","L","M","N","O","P","Q","R","S","T","U","V","W","X","Y","Z","0","1","2","3","4","5","6","7","8","9"},UPPER(TRIM(SUBSTITUTE(SUBSTITUTE(SUBSTITUTE(SUBSTITUTE(INDEX(PASTE_ALL,$DF738,$L$15)," "," "),CHAR(9)," "),CHAR(10)," "),CHAR(13)," "))))))&gt;0,TRIM(SUBSTITUTE(SUBSTITUTE(SUBSTITUTE(SUBSTITUTE(INDEX(PASTE_ALL,$DF738,$L$15)," "," "),CHAR(9)," "),CHAR(10)," "),CHAR(13)," ")),"")),"")))</f>
        <v/>
      </c>
      <c r="DX738">
        <f>IF($DM738=0,"",IF($L$16=0,"",IFERROR(IF(ISNUMBER(INDEX(PASTE_ALL,$DF738,$L$16)),INDEX(PASTE_ALL,$DF738,$L$16),SUBSTITUTE(SUBSTITUTE(TRIM(SUBSTITUTE(SUBSTITUTE(SUBSTITUTE(SUBSTITUTE(INDEX(PASTE_ALL,$DF738,$L$16)," "," "),CHAR(9)," "),CHAR(10)," "),CHAR(13)," ")),",",""),"%","")),"")))</f>
        <v/>
      </c>
      <c r="DY738">
        <f>IF($DM738=0,"",IFERROR(IF(ISNUMBER($DX738),$DX738,IF($DX738="","",IF(TRIM($DX738)="",0,IF(AND(AND(SUBSTITUTE(SUBSTITUTE(SUBSTITUTE(SUBSTITUTE(SUBSTITUTE(SUBSTITUTE(SUBSTITUTE(SUBSTITUTE(SUBSTITUTE(SUBSTITUTE(SUBSTITUTE(SUBSTITUTE(SUBSTITUTE(SUBSTITUTE(UPPER(TRIM($DX738)),"0",""),"1",""),"2",""),"3",""),"4",""),"5",""),"6",""),"7",""),"8",""),"9",""),".",""),"+",""),"-",""),"E","")="",LEN(SUBSTITUTE(SUBSTITUTE(MID(UPPER(TRIM($DX738)),1+OR(LEFT(UPPER(TRIM($DX738)),1)="+",LEFT(UPPER(TRIM($DX738)),1)="-"),999),"E+","E"),"E-","E"))=LEN(SUBSTITUTE(SUBSTITUTE(SUBSTITUTE(SUBSTITUTE(MID(UPPER(TRIM($DX738)),1+OR(LEFT(UPPER(TRIM($DX738)),1)="+",LEFT(UPPER(TRIM($DX738)),1)="-"),999),"E+","E"),"E-","E"),"+",""),"-","")),LEN(UPPER(TRIM($DX738)))-LEN(SUBSTITUTE(UPPER(TRIM($DX738)),"E",""))&lt;2,LEN(UPPER(TRIM($DX738)))-LEN(SUBSTITUTE(UPPER(TRIM($DX738)),".",""))&lt;2,IFERROR(FIND(".",UPPER(TRIM($DX738))),0)&lt;IFERROR(FIND("E",UPPER(TRIM($DX738))),999)),ISNUMBER(VALUE(TRIM($DX738)))),VALUE(TRIM($DX738)),"")))),""))</f>
        <v/>
      </c>
      <c r="DZ738">
        <f>IF($DM738=0,"",IF($L$17=0,"",IFERROR(IF(ISNUMBER(INDEX(PASTE_ALL,$DF738,$L$17)),INDEX(PASTE_ALL,$DF738,$L$17),SUBSTITUTE(SUBSTITUTE(TRIM(SUBSTITUTE(SUBSTITUTE(SUBSTITUTE(SUBSTITUTE(INDEX(PASTE_ALL,$DF738,$L$17)," "," "),CHAR(9)," "),CHAR(10)," "),CHAR(13)," ")),",",""),"%","")),"")))</f>
        <v/>
      </c>
      <c r="EA738">
        <f>IF($DM738=0,"",IFERROR(IF(ISNUMBER($DZ738),$DZ738,IF($DZ738="","",IF(TRIM($DZ738)="",0,IF(AND(AND(SUBSTITUTE(SUBSTITUTE(SUBSTITUTE(SUBSTITUTE(SUBSTITUTE(SUBSTITUTE(SUBSTITUTE(SUBSTITUTE(SUBSTITUTE(SUBSTITUTE(SUBSTITUTE(SUBSTITUTE(SUBSTITUTE(SUBSTITUTE(UPPER(TRIM($DZ738)),"0",""),"1",""),"2",""),"3",""),"4",""),"5",""),"6",""),"7",""),"8",""),"9",""),".",""),"+",""),"-",""),"E","")="",LEN(SUBSTITUTE(SUBSTITUTE(MID(UPPER(TRIM($DZ738)),1+OR(LEFT(UPPER(TRIM($DZ738)),1)="+",LEFT(UPPER(TRIM($DZ738)),1)="-"),999),"E+","E"),"E-","E"))=LEN(SUBSTITUTE(SUBSTITUTE(SUBSTITUTE(SUBSTITUTE(MID(UPPER(TRIM($DZ738)),1+OR(LEFT(UPPER(TRIM($DZ738)),1)="+",LEFT(UPPER(TRIM($DZ738)),1)="-"),999),"E+","E"),"E-","E"),"+",""),"-","")),LEN(UPPER(TRIM($DZ738)))-LEN(SUBSTITUTE(UPPER(TRIM($DZ738)),"E",""))&lt;2,LEN(UPPER(TRIM($DZ738)))-LEN(SUBSTITUTE(UPPER(TRIM($DZ738)),".",""))&lt;2,IFERROR(FIND(".",UPPER(TRIM($DZ738))),0)&lt;IFERROR(FIND("E",UPPER(TRIM($DZ738))),999)),ISNUMBER(VALUE(TRIM($DZ738)))),VALUE(TRIM($DZ738)),"")))),""))</f>
        <v/>
      </c>
      <c r="EB738">
        <f>IF($DM738=0,"",IF($L$18=0,"",IFERROR(IF(UPPER(TRIM(SUBSTITUTE(SUBSTITUTE(SUBSTITUTE(SUBSTITUTE(INDEX(PASTE_ALL,$DF738,$L$18)," "," "),CHAR(9)," "),CHAR(10)," "),CHAR(13)," ")))="READY","Ready",IF(UPPER(TRIM(SUBSTITUTE(SUBSTITUTE(SUBSTITUTE(SUBSTITUTE(INDEX(PASTE_ALL,$DF738,$L$18)," "," "),CHAR(9)," "),CHAR(10)," "),CHAR(13)," ")))="PM","PM",IF(OR(UPPER(TRIM(SUBSTITUTE(SUBSTITUTE(SUBSTITUTE(SUBSTITUTE(INDEX(PASTE_ALL,$DF738,$L$18)," "," "),CHAR(9)," "),CHAR(10)," "),CHAR(13)," ")))="OT",UPPER(TRIM(SUBSTITUTE(SUBSTITUTE(SUBSTITUTE(SUBSTITUTE(INDEX(PASTE_ALL,$DF738,$L$18)," "," "),CHAR(9)," "),CHAR(10)," "),CHAR(13)," ")))="OVERTIME",UPPER(TRIM(SUBSTITUTE(SUBSTITUTE(SUBSTITUTE(SUBSTITUTE(INDEX(PASTE_ALL,$DF738,$L$18)," "," "),CHAR(9)," "),CHAR(10)," "),CHAR(13)," ")))="TRIAL"),"OT",TRIM(SUBSTITUTE(SUBSTITUTE(SUBSTITUTE(SUBSTITUTE(INDEX(PASTE_ALL,$DF738,$L$18)," "," "),CHAR(9)," "),CHAR(10)," "),CHAR(13)," "))))),"")))</f>
        <v/>
      </c>
      <c r="EC738">
        <f>IF($DM738=0,"",IF($L$19=0,"",IFERROR(IF(ISNUMBER(INDEX(PASTE_ALL,$DF738,$L$19)),INDEX(PASTE_ALL,$DF738,$L$19),TRIM(SUBSTITUTE(SUBSTITUTE(SUBSTITUTE(SUBSTITUTE(INDEX(PASTE_ALL,$DF738,$L$19)," "," "),CHAR(9)," "),CHAR(10)," "),CHAR(13)," "))),"")))</f>
        <v/>
      </c>
      <c r="ED738">
        <f>IF($DM738=0,"",MATCH(1,INDEX(EXACT($DH$5:DH738,$DH738)*$DM$5:DM738,0),0))</f>
        <v/>
      </c>
      <c r="EE738">
        <f>IF($DM738=0,0,IF($ED738=$DE738,1,0))</f>
        <v/>
      </c>
      <c r="EF738">
        <f>EF737+$EE738</f>
        <v/>
      </c>
      <c r="EG738">
        <f>IF($DM738=0,"",INDEX($EF$5:$EF$1003,$ED738))</f>
        <v/>
      </c>
      <c r="EH738">
        <f>IF($DM738=0,"",IF($DO738&lt;&gt;"","",IFERROR(LOOKUP(2,1/(($EG$4:EG737=$EG738)*($DO$4:DO737&lt;&gt;"")),$DO$4:DO737),"")))</f>
        <v/>
      </c>
      <c r="EI738">
        <f>IF($DM738=0,"",IF($DO738&lt;&gt;"",$DO738,$EH738))</f>
        <v/>
      </c>
      <c r="EJ738">
        <f>IF($DM738=0,"",IF($EI738="",0,IF(OR(ISNUMBER($EI738),AND(AND(SUBSTITUTE(SUBSTITUTE(SUBSTITUTE(SUBSTITUTE(SUBSTITUTE(SUBSTITUTE(SUBSTITUTE(SUBSTITUTE(SUBSTITUTE(SUBSTITUTE(SUBSTITUTE(SUBSTITUTE(SUBSTITUTE(SUBSTITUTE(UPPER($EI738),"0",""),"1",""),"2",""),"3",""),"4",""),"5",""),"6",""),"7",""),"8",""),"9",""),".",""),"+",""),"-",""),"E","")="",LEN(SUBSTITUTE(SUBSTITUTE(MID(UPPER($EI738),1+OR(LEFT(UPPER($EI738),1)="+",LEFT(UPPER($EI738),1)="-"),999),"E+","E"),"E-","E"))=LEN(SUBSTITUTE(SUBSTITUTE(SUBSTITUTE(SUBSTITUTE(MID(UPPER($EI738),1+OR(LEFT(UPPER($EI738),1)="+",LEFT(UPPER($EI738),1)="-"),999),"E+","E"),"E-","E"),"+",""),"-","")),LEN(UPPER($EI738))-LEN(SUBSTITUTE(UPPER($EI738),"E",""))&lt;2,LEN(UPPER($EI738))-LEN(SUBSTITUTE(UPPER($EI738),".",""))&lt;2,IFERROR(FIND(".",UPPER($EI738)),0)&lt;IFERROR(FIND("E",UPPER($EI738)),999)),ISNUMBER(VALUE($EI738)))),1,2)))</f>
        <v/>
      </c>
      <c r="EK738">
        <f>IF($DM738=0,"",IF($EJ738=1,IF(ISNUMBER($EI738),$EI738,VALUE($EI738)),IF($EJ738=2,$DE738,0)))</f>
        <v/>
      </c>
      <c r="EL738">
        <f>IF($DM738=0,"",COUNTIF($EG$5:$EG$1003,"&lt;"&amp;$EG738)+SUMPRODUCT(($EG$5:$EG$1003=$EG738)*(($EJ$5:$EJ$1003&lt;$EJ738)+($EJ$5:$EJ$1003=$EJ738)*(($EK$5:$EK$1003&lt;$EK738)+($EK$5:$EK$1003=$EK738)*($DE$5:$DE$1003&lt;$DE738))))+1)</f>
        <v/>
      </c>
      <c r="EM738">
        <f>IF($DM738=0,"",$EL738+$EG738-1)</f>
        <v/>
      </c>
      <c r="EN738">
        <f>IF($DM738=0,0,IFERROR(MATCH(1,INDEX(--(TRIM(SUBSTITUTE(SUBSTITUTE(SUBSTITUTE(SUBSTITUTE(LINES_NAME&amp;""," "," "),CHAR(9)," "),CHAR(10)," "),CHAR(13)," "))=$DH738),0),0),0))</f>
        <v/>
      </c>
      <c r="EO738">
        <f>IF($EN738=0,0,IF(OR(UPPER(TRIM(INDEX(LINES_SCHEDULED,$EN738)&amp;""))="YES",UPPER(TRIM(INDEX(LINES_SCHEDULED,$EN738)&amp;""))="Y",UPPER(TRIM(INDEX(LINES_SCHEDULED,$EN738)&amp;""))="X"),1,0))</f>
        <v/>
      </c>
      <c r="EP738">
        <f>IF($DM738=0,"",IF(COUNTIFS($EG$5:$EG$1003,$EG738,$EB$5:$EB$1003,"Ready")&gt;0,"READY",IF(COUNTIFS($EG$5:$EG$1003,$EG738,$EB$5:$EB$1003,"PM")&gt;0,"PM",IF(COUNTIFS($EG$5:$EG$1003,$EG738,$EB$5:$EB$1003,"OT")&gt;0,"OT",""))))</f>
        <v/>
      </c>
      <c r="EQ738">
        <f>IF($EN738=0,"",UPPER(TRIM(INDEX(LINES_STATUS,$EN738)&amp;"")))</f>
        <v/>
      </c>
      <c r="ER738">
        <f>IF($DM738=0,"",IF(OR($EQ738="READY",$EQ738="PM",$EQ738="OT"),$EQ738,$EP738))</f>
        <v/>
      </c>
      <c r="ES738">
        <f>IF($DM738=0,"",IF(AND($DV738&lt;&gt;"",UPPER($DV738)&lt;&gt;"N"),"allergen",IF(ISNUMBER(SEARCH("oil",$DQ738)),"oil",IF(OR(EXACT($DS738,"A662"),EXACT($DS738,"A624")),"bulk",""))))</f>
        <v/>
      </c>
      <c r="ET738">
        <f>IF($DM738=0,"",IF(OR($EA738="",$EA738=0),"",$EA738/100))</f>
        <v/>
      </c>
      <c r="EU738">
        <f>IF(OR($ET738="",$DY738=""),"",INT($DY738*(1-$ET738)+0.5))</f>
        <v/>
      </c>
    </row>
    <row r="739">
      <c r="DA739" t="n">
        <v>735</v>
      </c>
      <c r="DB739">
        <f>IF($B$37=0,"",IFERROR(TRIM(SUBSTITUTE(SUBSTITUTE(SUBSTITUTE(SUBSTITUTE(INDEX(PASTE_ALL,735,$B$37)," "," "),CHAR(9)," "),CHAR(10)," "),CHAR(13)," ")),""))</f>
        <v/>
      </c>
      <c r="DC739">
        <f>IF(AND(735&gt;HEADER_ROW,UPPER(DB739)="LEGEND"),1,0)</f>
        <v/>
      </c>
      <c r="DE739" t="n">
        <v>735</v>
      </c>
      <c r="DF739">
        <f>HEADER_ROW+$DE739</f>
        <v/>
      </c>
      <c r="DG739">
        <f>IF(AND($DF739&lt;=1000,$DF739&lt;$B$8),1,0)</f>
        <v/>
      </c>
      <c r="DH739">
        <f>IF($DG739=1,IFERROR(INDEX($DB$5:$DB$1004,$DF739),""),"")</f>
        <v/>
      </c>
      <c r="DI739">
        <f>IF(AND($DG739=1,$DH739&lt;&gt;""),IFERROR(SUBSTITUTE(SUBSTITUTE(TRIM(SUBSTITUTE(SUBSTITUTE(SUBSTITUTE(SUBSTITUTE(IFERROR(INDEX(PASTE_ALL,$DF739,1)&amp;"","")&amp;"␟"&amp;IFERROR(INDEX(PASTE_ALL,$DF739,2)&amp;"","")&amp;"␟"&amp;IFERROR(INDEX(PASTE_ALL,$DF739,3)&amp;"","")&amp;"␟"&amp;IFERROR(INDEX(PASTE_ALL,$DF739,4)&amp;"","")&amp;"␟"&amp;IFERROR(INDEX(PASTE_ALL,$DF739,5)&amp;"","")&amp;"␟"&amp;IFERROR(INDEX(PASTE_ALL,$DF739,6)&amp;"","")&amp;"␟"&amp;IFERROR(INDEX(PASTE_ALL,$DF739,7)&amp;"","")&amp;"␟"&amp;IFERROR(INDEX(PASTE_ALL,$DF739,8)&amp;"","")&amp;"␟"&amp;IFERROR(INDEX(PASTE_ALL,$DF739,9)&amp;"","")&amp;"␟"&amp;IFERROR(INDEX(PASTE_ALL,$DF739,10)&amp;"","")&amp;"␟"&amp;IFERROR(INDEX(PASTE_ALL,$DF739,11)&amp;"","")&amp;"␟"&amp;IFERROR(INDEX(PASTE_ALL,$DF739,12)&amp;"","")&amp;"␟"&amp;IFERROR(INDEX(PASTE_ALL,$DF739,13)&amp;"","")&amp;"␟"&amp;IFERROR(INDEX(PASTE_ALL,$DF739,14)&amp;"","")&amp;"␟"&amp;IFERROR(INDEX(PASTE_ALL,$DF739,15)&amp;"","")&amp;"␟"&amp;IFERROR(INDEX(PASTE_ALL,$DF739,16)&amp;"","")&amp;"␟"&amp;IFERROR(INDEX(PASTE_ALL,$DF739,17)&amp;"","")&amp;"␟"&amp;IFERROR(INDEX(PASTE_ALL,$DF739,18)&amp;"","")&amp;"␟"&amp;IFERROR(INDEX(PASTE_ALL,$DF739,19)&amp;"","")&amp;"␟"&amp;IFERROR(INDEX(PASTE_ALL,$DF739,20)&amp;"","")&amp;"␟"&amp;IFERROR(INDEX(PASTE_ALL,$DF739,21)&amp;"","")&amp;"␟"&amp;IFERROR(INDEX(PASTE_ALL,$DF739,22)&amp;"","")&amp;"␟"&amp;IFERROR(INDEX(PASTE_ALL,$DF739,23)&amp;"","")&amp;"␟"&amp;IFERROR(INDEX(PASTE_ALL,$DF739,24)&amp;"","")&amp;"␟"&amp;IFERROR(INDEX(PASTE_ALL,$DF739,25)&amp;"","")&amp;"␟"&amp;IFERROR(INDEX(PASTE_ALL,$DF739,26)&amp;"","")&amp;"␟"&amp;IFERROR(INDEX(PASTE_ALL,$DF739,27)&amp;"","")&amp;"␟"&amp;IFERROR(INDEX(PASTE_ALL,$DF739,28)&amp;"","")&amp;"␟"&amp;IFERROR(INDEX(PASTE_ALL,$DF739,29)&amp;"","")&amp;"␟"&amp;IFERROR(INDEX(PASTE_ALL,$DF739,30)&amp;"","")&amp;"␟"&amp;IFERROR(INDEX(PASTE_ALL,$DF739,31)&amp;"","")&amp;"␟"&amp;IFERROR(INDEX(PASTE_ALL,$DF739,32)&amp;"","")&amp;"␟"&amp;IFERROR(INDEX(PASTE_ALL,$DF739,33)&amp;"","")&amp;"␟"&amp;IFERROR(INDEX(PASTE_ALL,$DF739,34)&amp;"","")&amp;"␟"&amp;IFERROR(INDEX(PASTE_ALL,$DF739,35)&amp;"","")&amp;"␟"&amp;IFERROR(INDEX(PASTE_ALL,$DF739,36)&amp;"","")&amp;"␟"&amp;IFERROR(INDEX(PASTE_ALL,$DF739,37)&amp;"","")&amp;"␟"&amp;IFERROR(INDEX(PASTE_ALL,$DF739,38)&amp;"","")&amp;"␟"&amp;IFERROR(INDEX(PASTE_ALL,$DF739,39)&amp;"","")&amp;"␟"&amp;IFERROR(INDEX(PASTE_ALL,$DF739,40)&amp;"","")&amp;"␟"&amp;IFERROR(INDEX(PASTE_ALL,$DF739,41)&amp;"","")&amp;"␟"&amp;IFERROR(INDEX(PASTE_ALL,$DF739,42)&amp;"","")&amp;"␟"&amp;IFERROR(INDEX(PASTE_ALL,$DF739,43)&amp;"","")&amp;"␟"&amp;IFERROR(INDEX(PASTE_ALL,$DF739,44)&amp;"","")&amp;"␟"&amp;IFERROR(INDEX(PASTE_ALL,$DF739,45)&amp;"","")&amp;"␟"&amp;IFERROR(INDEX(PASTE_ALL,$DF739,46)&amp;"","")&amp;"␟"&amp;IFERROR(INDEX(PASTE_ALL,$DF739,47)&amp;"","")&amp;"␟"&amp;IFERROR(INDEX(PASTE_ALL,$DF739,48)&amp;"","")&amp;"␟"&amp;IFERROR(INDEX(PASTE_ALL,$DF739,49)&amp;"","")&amp;"␟"&amp;IFERROR(INDEX(PASTE_ALL,$DF739,50)&amp;"","")&amp;"␟"&amp;IFERROR(INDEX(PASTE_ALL,$DF739,51)&amp;"","")&amp;"␟"&amp;IFERROR(INDEX(PASTE_ALL,$DF739,52)&amp;"","")&amp;"␟"&amp;IFERROR(INDEX(PASTE_ALL,$DF739,53)&amp;"","")&amp;"␟"&amp;IFERROR(INDEX(PASTE_ALL,$DF739,54)&amp;"","")&amp;"␟"&amp;IFERROR(INDEX(PASTE_ALL,$DF739,55)&amp;"","")&amp;"␟"&amp;IFERROR(INDEX(PASTE_ALL,$DF739,56)&amp;"","")&amp;"␟"&amp;IFERROR(INDEX(PASTE_ALL,$DF739,57)&amp;"","")&amp;"␟"&amp;IFERROR(INDEX(PASTE_ALL,$DF739,58)&amp;"","")&amp;"␟"&amp;IFERROR(INDEX(PASTE_ALL,$DF739,59)&amp;"","")&amp;"␟"&amp;IFERROR(INDEX(PASTE_ALL,$DF739,60)&amp;"","")," "," "),CHAR(9)," "),CHAR(10)," "),CHAR(13)," "))," ␟","␟"),"␟ ","␟"),"#"&amp;$DE739),"")</f>
        <v/>
      </c>
      <c r="DJ739">
        <f>IF($DI739="",0,IF(SUMPRODUCT(--EXACT($DI$4:DI738,$DI739))&gt;0,1,0))</f>
        <v/>
      </c>
      <c r="DK739">
        <f>IF(AND($DI739&lt;&gt;"",$DJ739=0),1,0)</f>
        <v/>
      </c>
      <c r="DL739">
        <f>DL738+$DK739</f>
        <v/>
      </c>
      <c r="DM739">
        <f>IF(AND($DK739=1,$DL739&lt;=600),1,0)</f>
        <v/>
      </c>
      <c r="DN739">
        <f>IF($DM739=0,"",IF($L$6=0,"",IFERROR(IF(ISNUMBER(INDEX(PASTE_ALL,$DF739,$L$6)),INDEX(PASTE_ALL,$DF739,$L$6),TRIM(SUBSTITUTE(SUBSTITUTE(SUBSTITUTE(SUBSTITUTE(INDEX(PASTE_ALL,$DF739,$L$6)," "," "),CHAR(9)," "),CHAR(10)," "),CHAR(13)," "))),"")))</f>
        <v/>
      </c>
      <c r="DO739">
        <f>IF($DM739=0,"",IF($L$7=0,"",IFERROR(IF(ISNUMBER(INDEX(PASTE_ALL,$DF739,$L$7)),INDEX(PASTE_ALL,$DF739,$L$7),TRIM(SUBSTITUTE(SUBSTITUTE(SUBSTITUTE(SUBSTITUTE(INDEX(PASTE_ALL,$DF739,$L$7)," "," "),CHAR(9)," "),CHAR(10)," "),CHAR(13)," "))),"")))</f>
        <v/>
      </c>
      <c r="DP739">
        <f>IF($DM739=0,"",IF($L$8=0,"",IFERROR(IF(ISNUMBER(INDEX(PASTE_ALL,$DF739,$L$8)),INDEX(PASTE_ALL,$DF739,$L$8),TRIM(SUBSTITUTE(SUBSTITUTE(SUBSTITUTE(SUBSTITUTE(INDEX(PASTE_ALL,$DF739,$L$8)," "," "),CHAR(9)," "),CHAR(10)," "),CHAR(13)," "))),"")))</f>
        <v/>
      </c>
      <c r="DQ739">
        <f>IF($DM739=0,"",IF($L$9=0,"",IFERROR(IF(ISNUMBER(INDEX(PASTE_ALL,$DF739,$L$9)),INDEX(PASTE_ALL,$DF739,$L$9),TRIM(SUBSTITUTE(SUBSTITUTE(SUBSTITUTE(SUBSTITUTE(INDEX(PASTE_ALL,$DF739,$L$9)," "," "),CHAR(9)," "),CHAR(10)," "),CHAR(13)," "))),"")))</f>
        <v/>
      </c>
      <c r="DR739">
        <f>IF($DM739=0,"",IF($L$10=0,"",IFERROR(IF(ISNUMBER(INDEX(PASTE_ALL,$DF739,$L$10)),INDEX(PASTE_ALL,$DF739,$L$10),TRIM(SUBSTITUTE(SUBSTITUTE(SUBSTITUTE(SUBSTITUTE(INDEX(PASTE_ALL,$DF739,$L$10)," "," "),CHAR(9)," "),CHAR(10)," "),CHAR(13)," "))),"")))</f>
        <v/>
      </c>
      <c r="DS739">
        <f>IF($DM739=0,"",IF($L$11=0,"",IFERROR(IF(ISNUMBER(INDEX(PASTE_ALL,$DF739,$L$11)),INDEX(PASTE_ALL,$DF739,$L$11),TRIM(SUBSTITUTE(SUBSTITUTE(SUBSTITUTE(SUBSTITUTE(INDEX(PASTE_ALL,$DF739,$L$11)," "," "),CHAR(9)," "),CHAR(10)," "),CHAR(13)," "))),"")))</f>
        <v/>
      </c>
      <c r="DT739">
        <f>IF($DM739=0,"",IF($L$12=0,"",IFERROR(IF(ISNUMBER(INDEX(PASTE_ALL,$DF739,$L$12)),INDEX(PASTE_ALL,$DF739,$L$12),TRIM(SUBSTITUTE(SUBSTITUTE(SUBSTITUTE(SUBSTITUTE(INDEX(PASTE_ALL,$DF739,$L$12)," "," "),CHAR(9)," "),CHAR(10)," "),CHAR(13)," "))),"")))</f>
        <v/>
      </c>
      <c r="DU739">
        <f>IF($DM739=0,"",IF($L$13=0,"",IFERROR(IF(ISNUMBER(INDEX(PASTE_ALL,$DF739,$L$13)),INDEX(PASTE_ALL,$DF739,$L$13),TRIM(SUBSTITUTE(SUBSTITUTE(SUBSTITUTE(SUBSTITUTE(INDEX(PASTE_ALL,$DF739,$L$13)," "," "),CHAR(9)," "),CHAR(10)," "),CHAR(13)," "))),"")))</f>
        <v/>
      </c>
      <c r="DV739">
        <f>IF($DM739=0,"",IF($L$14=0,"",IFERROR(IF(ISNUMBER(INDEX(PASTE_ALL,$DF739,$L$14)),INDEX(PASTE_ALL,$DF739,$L$14),TRIM(SUBSTITUTE(SUBSTITUTE(SUBSTITUTE(SUBSTITUTE(INDEX(PASTE_ALL,$DF739,$L$14)," "," "),CHAR(9)," "),CHAR(10)," "),CHAR(13)," "))),"")))</f>
        <v/>
      </c>
      <c r="DW739">
        <f>IF($DM739=0,"",IF($L$15=0,"",IFERROR(IF(ISNUMBER(INDEX(PASTE_ALL,$DF739,$L$15)),INDEX(PASTE_ALL,$DF739,$L$15),IF(SUMPRODUCT(--ISNUMBER(FIND({"A","B","C","D","E","F","G","H","I","J","K","L","M","N","O","P","Q","R","S","T","U","V","W","X","Y","Z","0","1","2","3","4","5","6","7","8","9"},UPPER(TRIM(SUBSTITUTE(SUBSTITUTE(SUBSTITUTE(SUBSTITUTE(INDEX(PASTE_ALL,$DF739,$L$15)," "," "),CHAR(9)," "),CHAR(10)," "),CHAR(13)," "))))))&gt;0,TRIM(SUBSTITUTE(SUBSTITUTE(SUBSTITUTE(SUBSTITUTE(INDEX(PASTE_ALL,$DF739,$L$15)," "," "),CHAR(9)," "),CHAR(10)," "),CHAR(13)," ")),"")),"")))</f>
        <v/>
      </c>
      <c r="DX739">
        <f>IF($DM739=0,"",IF($L$16=0,"",IFERROR(IF(ISNUMBER(INDEX(PASTE_ALL,$DF739,$L$16)),INDEX(PASTE_ALL,$DF739,$L$16),SUBSTITUTE(SUBSTITUTE(TRIM(SUBSTITUTE(SUBSTITUTE(SUBSTITUTE(SUBSTITUTE(INDEX(PASTE_ALL,$DF739,$L$16)," "," "),CHAR(9)," "),CHAR(10)," "),CHAR(13)," ")),",",""),"%","")),"")))</f>
        <v/>
      </c>
      <c r="DY739">
        <f>IF($DM739=0,"",IFERROR(IF(ISNUMBER($DX739),$DX739,IF($DX739="","",IF(TRIM($DX739)="",0,IF(AND(AND(SUBSTITUTE(SUBSTITUTE(SUBSTITUTE(SUBSTITUTE(SUBSTITUTE(SUBSTITUTE(SUBSTITUTE(SUBSTITUTE(SUBSTITUTE(SUBSTITUTE(SUBSTITUTE(SUBSTITUTE(SUBSTITUTE(SUBSTITUTE(UPPER(TRIM($DX739)),"0",""),"1",""),"2",""),"3",""),"4",""),"5",""),"6",""),"7",""),"8",""),"9",""),".",""),"+",""),"-",""),"E","")="",LEN(SUBSTITUTE(SUBSTITUTE(MID(UPPER(TRIM($DX739)),1+OR(LEFT(UPPER(TRIM($DX739)),1)="+",LEFT(UPPER(TRIM($DX739)),1)="-"),999),"E+","E"),"E-","E"))=LEN(SUBSTITUTE(SUBSTITUTE(SUBSTITUTE(SUBSTITUTE(MID(UPPER(TRIM($DX739)),1+OR(LEFT(UPPER(TRIM($DX739)),1)="+",LEFT(UPPER(TRIM($DX739)),1)="-"),999),"E+","E"),"E-","E"),"+",""),"-","")),LEN(UPPER(TRIM($DX739)))-LEN(SUBSTITUTE(UPPER(TRIM($DX739)),"E",""))&lt;2,LEN(UPPER(TRIM($DX739)))-LEN(SUBSTITUTE(UPPER(TRIM($DX739)),".",""))&lt;2,IFERROR(FIND(".",UPPER(TRIM($DX739))),0)&lt;IFERROR(FIND("E",UPPER(TRIM($DX739))),999)),ISNUMBER(VALUE(TRIM($DX739)))),VALUE(TRIM($DX739)),"")))),""))</f>
        <v/>
      </c>
      <c r="DZ739">
        <f>IF($DM739=0,"",IF($L$17=0,"",IFERROR(IF(ISNUMBER(INDEX(PASTE_ALL,$DF739,$L$17)),INDEX(PASTE_ALL,$DF739,$L$17),SUBSTITUTE(SUBSTITUTE(TRIM(SUBSTITUTE(SUBSTITUTE(SUBSTITUTE(SUBSTITUTE(INDEX(PASTE_ALL,$DF739,$L$17)," "," "),CHAR(9)," "),CHAR(10)," "),CHAR(13)," ")),",",""),"%","")),"")))</f>
        <v/>
      </c>
      <c r="EA739">
        <f>IF($DM739=0,"",IFERROR(IF(ISNUMBER($DZ739),$DZ739,IF($DZ739="","",IF(TRIM($DZ739)="",0,IF(AND(AND(SUBSTITUTE(SUBSTITUTE(SUBSTITUTE(SUBSTITUTE(SUBSTITUTE(SUBSTITUTE(SUBSTITUTE(SUBSTITUTE(SUBSTITUTE(SUBSTITUTE(SUBSTITUTE(SUBSTITUTE(SUBSTITUTE(SUBSTITUTE(UPPER(TRIM($DZ739)),"0",""),"1",""),"2",""),"3",""),"4",""),"5",""),"6",""),"7",""),"8",""),"9",""),".",""),"+",""),"-",""),"E","")="",LEN(SUBSTITUTE(SUBSTITUTE(MID(UPPER(TRIM($DZ739)),1+OR(LEFT(UPPER(TRIM($DZ739)),1)="+",LEFT(UPPER(TRIM($DZ739)),1)="-"),999),"E+","E"),"E-","E"))=LEN(SUBSTITUTE(SUBSTITUTE(SUBSTITUTE(SUBSTITUTE(MID(UPPER(TRIM($DZ739)),1+OR(LEFT(UPPER(TRIM($DZ739)),1)="+",LEFT(UPPER(TRIM($DZ739)),1)="-"),999),"E+","E"),"E-","E"),"+",""),"-","")),LEN(UPPER(TRIM($DZ739)))-LEN(SUBSTITUTE(UPPER(TRIM($DZ739)),"E",""))&lt;2,LEN(UPPER(TRIM($DZ739)))-LEN(SUBSTITUTE(UPPER(TRIM($DZ739)),".",""))&lt;2,IFERROR(FIND(".",UPPER(TRIM($DZ739))),0)&lt;IFERROR(FIND("E",UPPER(TRIM($DZ739))),999)),ISNUMBER(VALUE(TRIM($DZ739)))),VALUE(TRIM($DZ739)),"")))),""))</f>
        <v/>
      </c>
      <c r="EB739">
        <f>IF($DM739=0,"",IF($L$18=0,"",IFERROR(IF(UPPER(TRIM(SUBSTITUTE(SUBSTITUTE(SUBSTITUTE(SUBSTITUTE(INDEX(PASTE_ALL,$DF739,$L$18)," "," "),CHAR(9)," "),CHAR(10)," "),CHAR(13)," ")))="READY","Ready",IF(UPPER(TRIM(SUBSTITUTE(SUBSTITUTE(SUBSTITUTE(SUBSTITUTE(INDEX(PASTE_ALL,$DF739,$L$18)," "," "),CHAR(9)," "),CHAR(10)," "),CHAR(13)," ")))="PM","PM",IF(OR(UPPER(TRIM(SUBSTITUTE(SUBSTITUTE(SUBSTITUTE(SUBSTITUTE(INDEX(PASTE_ALL,$DF739,$L$18)," "," "),CHAR(9)," "),CHAR(10)," "),CHAR(13)," ")))="OT",UPPER(TRIM(SUBSTITUTE(SUBSTITUTE(SUBSTITUTE(SUBSTITUTE(INDEX(PASTE_ALL,$DF739,$L$18)," "," "),CHAR(9)," "),CHAR(10)," "),CHAR(13)," ")))="OVERTIME",UPPER(TRIM(SUBSTITUTE(SUBSTITUTE(SUBSTITUTE(SUBSTITUTE(INDEX(PASTE_ALL,$DF739,$L$18)," "," "),CHAR(9)," "),CHAR(10)," "),CHAR(13)," ")))="TRIAL"),"OT",TRIM(SUBSTITUTE(SUBSTITUTE(SUBSTITUTE(SUBSTITUTE(INDEX(PASTE_ALL,$DF739,$L$18)," "," "),CHAR(9)," "),CHAR(10)," "),CHAR(13)," "))))),"")))</f>
        <v/>
      </c>
      <c r="EC739">
        <f>IF($DM739=0,"",IF($L$19=0,"",IFERROR(IF(ISNUMBER(INDEX(PASTE_ALL,$DF739,$L$19)),INDEX(PASTE_ALL,$DF739,$L$19),TRIM(SUBSTITUTE(SUBSTITUTE(SUBSTITUTE(SUBSTITUTE(INDEX(PASTE_ALL,$DF739,$L$19)," "," "),CHAR(9)," "),CHAR(10)," "),CHAR(13)," "))),"")))</f>
        <v/>
      </c>
      <c r="ED739">
        <f>IF($DM739=0,"",MATCH(1,INDEX(EXACT($DH$5:DH739,$DH739)*$DM$5:DM739,0),0))</f>
        <v/>
      </c>
      <c r="EE739">
        <f>IF($DM739=0,0,IF($ED739=$DE739,1,0))</f>
        <v/>
      </c>
      <c r="EF739">
        <f>EF738+$EE739</f>
        <v/>
      </c>
      <c r="EG739">
        <f>IF($DM739=0,"",INDEX($EF$5:$EF$1003,$ED739))</f>
        <v/>
      </c>
      <c r="EH739">
        <f>IF($DM739=0,"",IF($DO739&lt;&gt;"","",IFERROR(LOOKUP(2,1/(($EG$4:EG738=$EG739)*($DO$4:DO738&lt;&gt;"")),$DO$4:DO738),"")))</f>
        <v/>
      </c>
      <c r="EI739">
        <f>IF($DM739=0,"",IF($DO739&lt;&gt;"",$DO739,$EH739))</f>
        <v/>
      </c>
      <c r="EJ739">
        <f>IF($DM739=0,"",IF($EI739="",0,IF(OR(ISNUMBER($EI739),AND(AND(SUBSTITUTE(SUBSTITUTE(SUBSTITUTE(SUBSTITUTE(SUBSTITUTE(SUBSTITUTE(SUBSTITUTE(SUBSTITUTE(SUBSTITUTE(SUBSTITUTE(SUBSTITUTE(SUBSTITUTE(SUBSTITUTE(SUBSTITUTE(UPPER($EI739),"0",""),"1",""),"2",""),"3",""),"4",""),"5",""),"6",""),"7",""),"8",""),"9",""),".",""),"+",""),"-",""),"E","")="",LEN(SUBSTITUTE(SUBSTITUTE(MID(UPPER($EI739),1+OR(LEFT(UPPER($EI739),1)="+",LEFT(UPPER($EI739),1)="-"),999),"E+","E"),"E-","E"))=LEN(SUBSTITUTE(SUBSTITUTE(SUBSTITUTE(SUBSTITUTE(MID(UPPER($EI739),1+OR(LEFT(UPPER($EI739),1)="+",LEFT(UPPER($EI739),1)="-"),999),"E+","E"),"E-","E"),"+",""),"-","")),LEN(UPPER($EI739))-LEN(SUBSTITUTE(UPPER($EI739),"E",""))&lt;2,LEN(UPPER($EI739))-LEN(SUBSTITUTE(UPPER($EI739),".",""))&lt;2,IFERROR(FIND(".",UPPER($EI739)),0)&lt;IFERROR(FIND("E",UPPER($EI739)),999)),ISNUMBER(VALUE($EI739)))),1,2)))</f>
        <v/>
      </c>
      <c r="EK739">
        <f>IF($DM739=0,"",IF($EJ739=1,IF(ISNUMBER($EI739),$EI739,VALUE($EI739)),IF($EJ739=2,$DE739,0)))</f>
        <v/>
      </c>
      <c r="EL739">
        <f>IF($DM739=0,"",COUNTIF($EG$5:$EG$1003,"&lt;"&amp;$EG739)+SUMPRODUCT(($EG$5:$EG$1003=$EG739)*(($EJ$5:$EJ$1003&lt;$EJ739)+($EJ$5:$EJ$1003=$EJ739)*(($EK$5:$EK$1003&lt;$EK739)+($EK$5:$EK$1003=$EK739)*($DE$5:$DE$1003&lt;$DE739))))+1)</f>
        <v/>
      </c>
      <c r="EM739">
        <f>IF($DM739=0,"",$EL739+$EG739-1)</f>
        <v/>
      </c>
      <c r="EN739">
        <f>IF($DM739=0,0,IFERROR(MATCH(1,INDEX(--(TRIM(SUBSTITUTE(SUBSTITUTE(SUBSTITUTE(SUBSTITUTE(LINES_NAME&amp;""," "," "),CHAR(9)," "),CHAR(10)," "),CHAR(13)," "))=$DH739),0),0),0))</f>
        <v/>
      </c>
      <c r="EO739">
        <f>IF($EN739=0,0,IF(OR(UPPER(TRIM(INDEX(LINES_SCHEDULED,$EN739)&amp;""))="YES",UPPER(TRIM(INDEX(LINES_SCHEDULED,$EN739)&amp;""))="Y",UPPER(TRIM(INDEX(LINES_SCHEDULED,$EN739)&amp;""))="X"),1,0))</f>
        <v/>
      </c>
      <c r="EP739">
        <f>IF($DM739=0,"",IF(COUNTIFS($EG$5:$EG$1003,$EG739,$EB$5:$EB$1003,"Ready")&gt;0,"READY",IF(COUNTIFS($EG$5:$EG$1003,$EG739,$EB$5:$EB$1003,"PM")&gt;0,"PM",IF(COUNTIFS($EG$5:$EG$1003,$EG739,$EB$5:$EB$1003,"OT")&gt;0,"OT",""))))</f>
        <v/>
      </c>
      <c r="EQ739">
        <f>IF($EN739=0,"",UPPER(TRIM(INDEX(LINES_STATUS,$EN739)&amp;"")))</f>
        <v/>
      </c>
      <c r="ER739">
        <f>IF($DM739=0,"",IF(OR($EQ739="READY",$EQ739="PM",$EQ739="OT"),$EQ739,$EP739))</f>
        <v/>
      </c>
      <c r="ES739">
        <f>IF($DM739=0,"",IF(AND($DV739&lt;&gt;"",UPPER($DV739)&lt;&gt;"N"),"allergen",IF(ISNUMBER(SEARCH("oil",$DQ739)),"oil",IF(OR(EXACT($DS739,"A662"),EXACT($DS739,"A624")),"bulk",""))))</f>
        <v/>
      </c>
      <c r="ET739">
        <f>IF($DM739=0,"",IF(OR($EA739="",$EA739=0),"",$EA739/100))</f>
        <v/>
      </c>
      <c r="EU739">
        <f>IF(OR($ET739="",$DY739=""),"",INT($DY739*(1-$ET739)+0.5))</f>
        <v/>
      </c>
    </row>
    <row r="740">
      <c r="DA740" t="n">
        <v>736</v>
      </c>
      <c r="DB740">
        <f>IF($B$37=0,"",IFERROR(TRIM(SUBSTITUTE(SUBSTITUTE(SUBSTITUTE(SUBSTITUTE(INDEX(PASTE_ALL,736,$B$37)," "," "),CHAR(9)," "),CHAR(10)," "),CHAR(13)," ")),""))</f>
        <v/>
      </c>
      <c r="DC740">
        <f>IF(AND(736&gt;HEADER_ROW,UPPER(DB740)="LEGEND"),1,0)</f>
        <v/>
      </c>
      <c r="DE740" t="n">
        <v>736</v>
      </c>
      <c r="DF740">
        <f>HEADER_ROW+$DE740</f>
        <v/>
      </c>
      <c r="DG740">
        <f>IF(AND($DF740&lt;=1000,$DF740&lt;$B$8),1,0)</f>
        <v/>
      </c>
      <c r="DH740">
        <f>IF($DG740=1,IFERROR(INDEX($DB$5:$DB$1004,$DF740),""),"")</f>
        <v/>
      </c>
      <c r="DI740">
        <f>IF(AND($DG740=1,$DH740&lt;&gt;""),IFERROR(SUBSTITUTE(SUBSTITUTE(TRIM(SUBSTITUTE(SUBSTITUTE(SUBSTITUTE(SUBSTITUTE(IFERROR(INDEX(PASTE_ALL,$DF740,1)&amp;"","")&amp;"␟"&amp;IFERROR(INDEX(PASTE_ALL,$DF740,2)&amp;"","")&amp;"␟"&amp;IFERROR(INDEX(PASTE_ALL,$DF740,3)&amp;"","")&amp;"␟"&amp;IFERROR(INDEX(PASTE_ALL,$DF740,4)&amp;"","")&amp;"␟"&amp;IFERROR(INDEX(PASTE_ALL,$DF740,5)&amp;"","")&amp;"␟"&amp;IFERROR(INDEX(PASTE_ALL,$DF740,6)&amp;"","")&amp;"␟"&amp;IFERROR(INDEX(PASTE_ALL,$DF740,7)&amp;"","")&amp;"␟"&amp;IFERROR(INDEX(PASTE_ALL,$DF740,8)&amp;"","")&amp;"␟"&amp;IFERROR(INDEX(PASTE_ALL,$DF740,9)&amp;"","")&amp;"␟"&amp;IFERROR(INDEX(PASTE_ALL,$DF740,10)&amp;"","")&amp;"␟"&amp;IFERROR(INDEX(PASTE_ALL,$DF740,11)&amp;"","")&amp;"␟"&amp;IFERROR(INDEX(PASTE_ALL,$DF740,12)&amp;"","")&amp;"␟"&amp;IFERROR(INDEX(PASTE_ALL,$DF740,13)&amp;"","")&amp;"␟"&amp;IFERROR(INDEX(PASTE_ALL,$DF740,14)&amp;"","")&amp;"␟"&amp;IFERROR(INDEX(PASTE_ALL,$DF740,15)&amp;"","")&amp;"␟"&amp;IFERROR(INDEX(PASTE_ALL,$DF740,16)&amp;"","")&amp;"␟"&amp;IFERROR(INDEX(PASTE_ALL,$DF740,17)&amp;"","")&amp;"␟"&amp;IFERROR(INDEX(PASTE_ALL,$DF740,18)&amp;"","")&amp;"␟"&amp;IFERROR(INDEX(PASTE_ALL,$DF740,19)&amp;"","")&amp;"␟"&amp;IFERROR(INDEX(PASTE_ALL,$DF740,20)&amp;"","")&amp;"␟"&amp;IFERROR(INDEX(PASTE_ALL,$DF740,21)&amp;"","")&amp;"␟"&amp;IFERROR(INDEX(PASTE_ALL,$DF740,22)&amp;"","")&amp;"␟"&amp;IFERROR(INDEX(PASTE_ALL,$DF740,23)&amp;"","")&amp;"␟"&amp;IFERROR(INDEX(PASTE_ALL,$DF740,24)&amp;"","")&amp;"␟"&amp;IFERROR(INDEX(PASTE_ALL,$DF740,25)&amp;"","")&amp;"␟"&amp;IFERROR(INDEX(PASTE_ALL,$DF740,26)&amp;"","")&amp;"␟"&amp;IFERROR(INDEX(PASTE_ALL,$DF740,27)&amp;"","")&amp;"␟"&amp;IFERROR(INDEX(PASTE_ALL,$DF740,28)&amp;"","")&amp;"␟"&amp;IFERROR(INDEX(PASTE_ALL,$DF740,29)&amp;"","")&amp;"␟"&amp;IFERROR(INDEX(PASTE_ALL,$DF740,30)&amp;"","")&amp;"␟"&amp;IFERROR(INDEX(PASTE_ALL,$DF740,31)&amp;"","")&amp;"␟"&amp;IFERROR(INDEX(PASTE_ALL,$DF740,32)&amp;"","")&amp;"␟"&amp;IFERROR(INDEX(PASTE_ALL,$DF740,33)&amp;"","")&amp;"␟"&amp;IFERROR(INDEX(PASTE_ALL,$DF740,34)&amp;"","")&amp;"␟"&amp;IFERROR(INDEX(PASTE_ALL,$DF740,35)&amp;"","")&amp;"␟"&amp;IFERROR(INDEX(PASTE_ALL,$DF740,36)&amp;"","")&amp;"␟"&amp;IFERROR(INDEX(PASTE_ALL,$DF740,37)&amp;"","")&amp;"␟"&amp;IFERROR(INDEX(PASTE_ALL,$DF740,38)&amp;"","")&amp;"␟"&amp;IFERROR(INDEX(PASTE_ALL,$DF740,39)&amp;"","")&amp;"␟"&amp;IFERROR(INDEX(PASTE_ALL,$DF740,40)&amp;"","")&amp;"␟"&amp;IFERROR(INDEX(PASTE_ALL,$DF740,41)&amp;"","")&amp;"␟"&amp;IFERROR(INDEX(PASTE_ALL,$DF740,42)&amp;"","")&amp;"␟"&amp;IFERROR(INDEX(PASTE_ALL,$DF740,43)&amp;"","")&amp;"␟"&amp;IFERROR(INDEX(PASTE_ALL,$DF740,44)&amp;"","")&amp;"␟"&amp;IFERROR(INDEX(PASTE_ALL,$DF740,45)&amp;"","")&amp;"␟"&amp;IFERROR(INDEX(PASTE_ALL,$DF740,46)&amp;"","")&amp;"␟"&amp;IFERROR(INDEX(PASTE_ALL,$DF740,47)&amp;"","")&amp;"␟"&amp;IFERROR(INDEX(PASTE_ALL,$DF740,48)&amp;"","")&amp;"␟"&amp;IFERROR(INDEX(PASTE_ALL,$DF740,49)&amp;"","")&amp;"␟"&amp;IFERROR(INDEX(PASTE_ALL,$DF740,50)&amp;"","")&amp;"␟"&amp;IFERROR(INDEX(PASTE_ALL,$DF740,51)&amp;"","")&amp;"␟"&amp;IFERROR(INDEX(PASTE_ALL,$DF740,52)&amp;"","")&amp;"␟"&amp;IFERROR(INDEX(PASTE_ALL,$DF740,53)&amp;"","")&amp;"␟"&amp;IFERROR(INDEX(PASTE_ALL,$DF740,54)&amp;"","")&amp;"␟"&amp;IFERROR(INDEX(PASTE_ALL,$DF740,55)&amp;"","")&amp;"␟"&amp;IFERROR(INDEX(PASTE_ALL,$DF740,56)&amp;"","")&amp;"␟"&amp;IFERROR(INDEX(PASTE_ALL,$DF740,57)&amp;"","")&amp;"␟"&amp;IFERROR(INDEX(PASTE_ALL,$DF740,58)&amp;"","")&amp;"␟"&amp;IFERROR(INDEX(PASTE_ALL,$DF740,59)&amp;"","")&amp;"␟"&amp;IFERROR(INDEX(PASTE_ALL,$DF740,60)&amp;"","")," "," "),CHAR(9)," "),CHAR(10)," "),CHAR(13)," "))," ␟","␟"),"␟ ","␟"),"#"&amp;$DE740),"")</f>
        <v/>
      </c>
      <c r="DJ740">
        <f>IF($DI740="",0,IF(SUMPRODUCT(--EXACT($DI$4:DI739,$DI740))&gt;0,1,0))</f>
        <v/>
      </c>
      <c r="DK740">
        <f>IF(AND($DI740&lt;&gt;"",$DJ740=0),1,0)</f>
        <v/>
      </c>
      <c r="DL740">
        <f>DL739+$DK740</f>
        <v/>
      </c>
      <c r="DM740">
        <f>IF(AND($DK740=1,$DL740&lt;=600),1,0)</f>
        <v/>
      </c>
      <c r="DN740">
        <f>IF($DM740=0,"",IF($L$6=0,"",IFERROR(IF(ISNUMBER(INDEX(PASTE_ALL,$DF740,$L$6)),INDEX(PASTE_ALL,$DF740,$L$6),TRIM(SUBSTITUTE(SUBSTITUTE(SUBSTITUTE(SUBSTITUTE(INDEX(PASTE_ALL,$DF740,$L$6)," "," "),CHAR(9)," "),CHAR(10)," "),CHAR(13)," "))),"")))</f>
        <v/>
      </c>
      <c r="DO740">
        <f>IF($DM740=0,"",IF($L$7=0,"",IFERROR(IF(ISNUMBER(INDEX(PASTE_ALL,$DF740,$L$7)),INDEX(PASTE_ALL,$DF740,$L$7),TRIM(SUBSTITUTE(SUBSTITUTE(SUBSTITUTE(SUBSTITUTE(INDEX(PASTE_ALL,$DF740,$L$7)," "," "),CHAR(9)," "),CHAR(10)," "),CHAR(13)," "))),"")))</f>
        <v/>
      </c>
      <c r="DP740">
        <f>IF($DM740=0,"",IF($L$8=0,"",IFERROR(IF(ISNUMBER(INDEX(PASTE_ALL,$DF740,$L$8)),INDEX(PASTE_ALL,$DF740,$L$8),TRIM(SUBSTITUTE(SUBSTITUTE(SUBSTITUTE(SUBSTITUTE(INDEX(PASTE_ALL,$DF740,$L$8)," "," "),CHAR(9)," "),CHAR(10)," "),CHAR(13)," "))),"")))</f>
        <v/>
      </c>
      <c r="DQ740">
        <f>IF($DM740=0,"",IF($L$9=0,"",IFERROR(IF(ISNUMBER(INDEX(PASTE_ALL,$DF740,$L$9)),INDEX(PASTE_ALL,$DF740,$L$9),TRIM(SUBSTITUTE(SUBSTITUTE(SUBSTITUTE(SUBSTITUTE(INDEX(PASTE_ALL,$DF740,$L$9)," "," "),CHAR(9)," "),CHAR(10)," "),CHAR(13)," "))),"")))</f>
        <v/>
      </c>
      <c r="DR740">
        <f>IF($DM740=0,"",IF($L$10=0,"",IFERROR(IF(ISNUMBER(INDEX(PASTE_ALL,$DF740,$L$10)),INDEX(PASTE_ALL,$DF740,$L$10),TRIM(SUBSTITUTE(SUBSTITUTE(SUBSTITUTE(SUBSTITUTE(INDEX(PASTE_ALL,$DF740,$L$10)," "," "),CHAR(9)," "),CHAR(10)," "),CHAR(13)," "))),"")))</f>
        <v/>
      </c>
      <c r="DS740">
        <f>IF($DM740=0,"",IF($L$11=0,"",IFERROR(IF(ISNUMBER(INDEX(PASTE_ALL,$DF740,$L$11)),INDEX(PASTE_ALL,$DF740,$L$11),TRIM(SUBSTITUTE(SUBSTITUTE(SUBSTITUTE(SUBSTITUTE(INDEX(PASTE_ALL,$DF740,$L$11)," "," "),CHAR(9)," "),CHAR(10)," "),CHAR(13)," "))),"")))</f>
        <v/>
      </c>
      <c r="DT740">
        <f>IF($DM740=0,"",IF($L$12=0,"",IFERROR(IF(ISNUMBER(INDEX(PASTE_ALL,$DF740,$L$12)),INDEX(PASTE_ALL,$DF740,$L$12),TRIM(SUBSTITUTE(SUBSTITUTE(SUBSTITUTE(SUBSTITUTE(INDEX(PASTE_ALL,$DF740,$L$12)," "," "),CHAR(9)," "),CHAR(10)," "),CHAR(13)," "))),"")))</f>
        <v/>
      </c>
      <c r="DU740">
        <f>IF($DM740=0,"",IF($L$13=0,"",IFERROR(IF(ISNUMBER(INDEX(PASTE_ALL,$DF740,$L$13)),INDEX(PASTE_ALL,$DF740,$L$13),TRIM(SUBSTITUTE(SUBSTITUTE(SUBSTITUTE(SUBSTITUTE(INDEX(PASTE_ALL,$DF740,$L$13)," "," "),CHAR(9)," "),CHAR(10)," "),CHAR(13)," "))),"")))</f>
        <v/>
      </c>
      <c r="DV740">
        <f>IF($DM740=0,"",IF($L$14=0,"",IFERROR(IF(ISNUMBER(INDEX(PASTE_ALL,$DF740,$L$14)),INDEX(PASTE_ALL,$DF740,$L$14),TRIM(SUBSTITUTE(SUBSTITUTE(SUBSTITUTE(SUBSTITUTE(INDEX(PASTE_ALL,$DF740,$L$14)," "," "),CHAR(9)," "),CHAR(10)," "),CHAR(13)," "))),"")))</f>
        <v/>
      </c>
      <c r="DW740">
        <f>IF($DM740=0,"",IF($L$15=0,"",IFERROR(IF(ISNUMBER(INDEX(PASTE_ALL,$DF740,$L$15)),INDEX(PASTE_ALL,$DF740,$L$15),IF(SUMPRODUCT(--ISNUMBER(FIND({"A","B","C","D","E","F","G","H","I","J","K","L","M","N","O","P","Q","R","S","T","U","V","W","X","Y","Z","0","1","2","3","4","5","6","7","8","9"},UPPER(TRIM(SUBSTITUTE(SUBSTITUTE(SUBSTITUTE(SUBSTITUTE(INDEX(PASTE_ALL,$DF740,$L$15)," "," "),CHAR(9)," "),CHAR(10)," "),CHAR(13)," "))))))&gt;0,TRIM(SUBSTITUTE(SUBSTITUTE(SUBSTITUTE(SUBSTITUTE(INDEX(PASTE_ALL,$DF740,$L$15)," "," "),CHAR(9)," "),CHAR(10)," "),CHAR(13)," ")),"")),"")))</f>
        <v/>
      </c>
      <c r="DX740">
        <f>IF($DM740=0,"",IF($L$16=0,"",IFERROR(IF(ISNUMBER(INDEX(PASTE_ALL,$DF740,$L$16)),INDEX(PASTE_ALL,$DF740,$L$16),SUBSTITUTE(SUBSTITUTE(TRIM(SUBSTITUTE(SUBSTITUTE(SUBSTITUTE(SUBSTITUTE(INDEX(PASTE_ALL,$DF740,$L$16)," "," "),CHAR(9)," "),CHAR(10)," "),CHAR(13)," ")),",",""),"%","")),"")))</f>
        <v/>
      </c>
      <c r="DY740">
        <f>IF($DM740=0,"",IFERROR(IF(ISNUMBER($DX740),$DX740,IF($DX740="","",IF(TRIM($DX740)="",0,IF(AND(AND(SUBSTITUTE(SUBSTITUTE(SUBSTITUTE(SUBSTITUTE(SUBSTITUTE(SUBSTITUTE(SUBSTITUTE(SUBSTITUTE(SUBSTITUTE(SUBSTITUTE(SUBSTITUTE(SUBSTITUTE(SUBSTITUTE(SUBSTITUTE(UPPER(TRIM($DX740)),"0",""),"1",""),"2",""),"3",""),"4",""),"5",""),"6",""),"7",""),"8",""),"9",""),".",""),"+",""),"-",""),"E","")="",LEN(SUBSTITUTE(SUBSTITUTE(MID(UPPER(TRIM($DX740)),1+OR(LEFT(UPPER(TRIM($DX740)),1)="+",LEFT(UPPER(TRIM($DX740)),1)="-"),999),"E+","E"),"E-","E"))=LEN(SUBSTITUTE(SUBSTITUTE(SUBSTITUTE(SUBSTITUTE(MID(UPPER(TRIM($DX740)),1+OR(LEFT(UPPER(TRIM($DX740)),1)="+",LEFT(UPPER(TRIM($DX740)),1)="-"),999),"E+","E"),"E-","E"),"+",""),"-","")),LEN(UPPER(TRIM($DX740)))-LEN(SUBSTITUTE(UPPER(TRIM($DX740)),"E",""))&lt;2,LEN(UPPER(TRIM($DX740)))-LEN(SUBSTITUTE(UPPER(TRIM($DX740)),".",""))&lt;2,IFERROR(FIND(".",UPPER(TRIM($DX740))),0)&lt;IFERROR(FIND("E",UPPER(TRIM($DX740))),999)),ISNUMBER(VALUE(TRIM($DX740)))),VALUE(TRIM($DX740)),"")))),""))</f>
        <v/>
      </c>
      <c r="DZ740">
        <f>IF($DM740=0,"",IF($L$17=0,"",IFERROR(IF(ISNUMBER(INDEX(PASTE_ALL,$DF740,$L$17)),INDEX(PASTE_ALL,$DF740,$L$17),SUBSTITUTE(SUBSTITUTE(TRIM(SUBSTITUTE(SUBSTITUTE(SUBSTITUTE(SUBSTITUTE(INDEX(PASTE_ALL,$DF740,$L$17)," "," "),CHAR(9)," "),CHAR(10)," "),CHAR(13)," ")),",",""),"%","")),"")))</f>
        <v/>
      </c>
      <c r="EA740">
        <f>IF($DM740=0,"",IFERROR(IF(ISNUMBER($DZ740),$DZ740,IF($DZ740="","",IF(TRIM($DZ740)="",0,IF(AND(AND(SUBSTITUTE(SUBSTITUTE(SUBSTITUTE(SUBSTITUTE(SUBSTITUTE(SUBSTITUTE(SUBSTITUTE(SUBSTITUTE(SUBSTITUTE(SUBSTITUTE(SUBSTITUTE(SUBSTITUTE(SUBSTITUTE(SUBSTITUTE(UPPER(TRIM($DZ740)),"0",""),"1",""),"2",""),"3",""),"4",""),"5",""),"6",""),"7",""),"8",""),"9",""),".",""),"+",""),"-",""),"E","")="",LEN(SUBSTITUTE(SUBSTITUTE(MID(UPPER(TRIM($DZ740)),1+OR(LEFT(UPPER(TRIM($DZ740)),1)="+",LEFT(UPPER(TRIM($DZ740)),1)="-"),999),"E+","E"),"E-","E"))=LEN(SUBSTITUTE(SUBSTITUTE(SUBSTITUTE(SUBSTITUTE(MID(UPPER(TRIM($DZ740)),1+OR(LEFT(UPPER(TRIM($DZ740)),1)="+",LEFT(UPPER(TRIM($DZ740)),1)="-"),999),"E+","E"),"E-","E"),"+",""),"-","")),LEN(UPPER(TRIM($DZ740)))-LEN(SUBSTITUTE(UPPER(TRIM($DZ740)),"E",""))&lt;2,LEN(UPPER(TRIM($DZ740)))-LEN(SUBSTITUTE(UPPER(TRIM($DZ740)),".",""))&lt;2,IFERROR(FIND(".",UPPER(TRIM($DZ740))),0)&lt;IFERROR(FIND("E",UPPER(TRIM($DZ740))),999)),ISNUMBER(VALUE(TRIM($DZ740)))),VALUE(TRIM($DZ740)),"")))),""))</f>
        <v/>
      </c>
      <c r="EB740">
        <f>IF($DM740=0,"",IF($L$18=0,"",IFERROR(IF(UPPER(TRIM(SUBSTITUTE(SUBSTITUTE(SUBSTITUTE(SUBSTITUTE(INDEX(PASTE_ALL,$DF740,$L$18)," "," "),CHAR(9)," "),CHAR(10)," "),CHAR(13)," ")))="READY","Ready",IF(UPPER(TRIM(SUBSTITUTE(SUBSTITUTE(SUBSTITUTE(SUBSTITUTE(INDEX(PASTE_ALL,$DF740,$L$18)," "," "),CHAR(9)," "),CHAR(10)," "),CHAR(13)," ")))="PM","PM",IF(OR(UPPER(TRIM(SUBSTITUTE(SUBSTITUTE(SUBSTITUTE(SUBSTITUTE(INDEX(PASTE_ALL,$DF740,$L$18)," "," "),CHAR(9)," "),CHAR(10)," "),CHAR(13)," ")))="OT",UPPER(TRIM(SUBSTITUTE(SUBSTITUTE(SUBSTITUTE(SUBSTITUTE(INDEX(PASTE_ALL,$DF740,$L$18)," "," "),CHAR(9)," "),CHAR(10)," "),CHAR(13)," ")))="OVERTIME",UPPER(TRIM(SUBSTITUTE(SUBSTITUTE(SUBSTITUTE(SUBSTITUTE(INDEX(PASTE_ALL,$DF740,$L$18)," "," "),CHAR(9)," "),CHAR(10)," "),CHAR(13)," ")))="TRIAL"),"OT",TRIM(SUBSTITUTE(SUBSTITUTE(SUBSTITUTE(SUBSTITUTE(INDEX(PASTE_ALL,$DF740,$L$18)," "," "),CHAR(9)," "),CHAR(10)," "),CHAR(13)," "))))),"")))</f>
        <v/>
      </c>
      <c r="EC740">
        <f>IF($DM740=0,"",IF($L$19=0,"",IFERROR(IF(ISNUMBER(INDEX(PASTE_ALL,$DF740,$L$19)),INDEX(PASTE_ALL,$DF740,$L$19),TRIM(SUBSTITUTE(SUBSTITUTE(SUBSTITUTE(SUBSTITUTE(INDEX(PASTE_ALL,$DF740,$L$19)," "," "),CHAR(9)," "),CHAR(10)," "),CHAR(13)," "))),"")))</f>
        <v/>
      </c>
      <c r="ED740">
        <f>IF($DM740=0,"",MATCH(1,INDEX(EXACT($DH$5:DH740,$DH740)*$DM$5:DM740,0),0))</f>
        <v/>
      </c>
      <c r="EE740">
        <f>IF($DM740=0,0,IF($ED740=$DE740,1,0))</f>
        <v/>
      </c>
      <c r="EF740">
        <f>EF739+$EE740</f>
        <v/>
      </c>
      <c r="EG740">
        <f>IF($DM740=0,"",INDEX($EF$5:$EF$1003,$ED740))</f>
        <v/>
      </c>
      <c r="EH740">
        <f>IF($DM740=0,"",IF($DO740&lt;&gt;"","",IFERROR(LOOKUP(2,1/(($EG$4:EG739=$EG740)*($DO$4:DO739&lt;&gt;"")),$DO$4:DO739),"")))</f>
        <v/>
      </c>
      <c r="EI740">
        <f>IF($DM740=0,"",IF($DO740&lt;&gt;"",$DO740,$EH740))</f>
        <v/>
      </c>
      <c r="EJ740">
        <f>IF($DM740=0,"",IF($EI740="",0,IF(OR(ISNUMBER($EI740),AND(AND(SUBSTITUTE(SUBSTITUTE(SUBSTITUTE(SUBSTITUTE(SUBSTITUTE(SUBSTITUTE(SUBSTITUTE(SUBSTITUTE(SUBSTITUTE(SUBSTITUTE(SUBSTITUTE(SUBSTITUTE(SUBSTITUTE(SUBSTITUTE(UPPER($EI740),"0",""),"1",""),"2",""),"3",""),"4",""),"5",""),"6",""),"7",""),"8",""),"9",""),".",""),"+",""),"-",""),"E","")="",LEN(SUBSTITUTE(SUBSTITUTE(MID(UPPER($EI740),1+OR(LEFT(UPPER($EI740),1)="+",LEFT(UPPER($EI740),1)="-"),999),"E+","E"),"E-","E"))=LEN(SUBSTITUTE(SUBSTITUTE(SUBSTITUTE(SUBSTITUTE(MID(UPPER($EI740),1+OR(LEFT(UPPER($EI740),1)="+",LEFT(UPPER($EI740),1)="-"),999),"E+","E"),"E-","E"),"+",""),"-","")),LEN(UPPER($EI740))-LEN(SUBSTITUTE(UPPER($EI740),"E",""))&lt;2,LEN(UPPER($EI740))-LEN(SUBSTITUTE(UPPER($EI740),".",""))&lt;2,IFERROR(FIND(".",UPPER($EI740)),0)&lt;IFERROR(FIND("E",UPPER($EI740)),999)),ISNUMBER(VALUE($EI740)))),1,2)))</f>
        <v/>
      </c>
      <c r="EK740">
        <f>IF($DM740=0,"",IF($EJ740=1,IF(ISNUMBER($EI740),$EI740,VALUE($EI740)),IF($EJ740=2,$DE740,0)))</f>
        <v/>
      </c>
      <c r="EL740">
        <f>IF($DM740=0,"",COUNTIF($EG$5:$EG$1003,"&lt;"&amp;$EG740)+SUMPRODUCT(($EG$5:$EG$1003=$EG740)*(($EJ$5:$EJ$1003&lt;$EJ740)+($EJ$5:$EJ$1003=$EJ740)*(($EK$5:$EK$1003&lt;$EK740)+($EK$5:$EK$1003=$EK740)*($DE$5:$DE$1003&lt;$DE740))))+1)</f>
        <v/>
      </c>
      <c r="EM740">
        <f>IF($DM740=0,"",$EL740+$EG740-1)</f>
        <v/>
      </c>
      <c r="EN740">
        <f>IF($DM740=0,0,IFERROR(MATCH(1,INDEX(--(TRIM(SUBSTITUTE(SUBSTITUTE(SUBSTITUTE(SUBSTITUTE(LINES_NAME&amp;""," "," "),CHAR(9)," "),CHAR(10)," "),CHAR(13)," "))=$DH740),0),0),0))</f>
        <v/>
      </c>
      <c r="EO740">
        <f>IF($EN740=0,0,IF(OR(UPPER(TRIM(INDEX(LINES_SCHEDULED,$EN740)&amp;""))="YES",UPPER(TRIM(INDEX(LINES_SCHEDULED,$EN740)&amp;""))="Y",UPPER(TRIM(INDEX(LINES_SCHEDULED,$EN740)&amp;""))="X"),1,0))</f>
        <v/>
      </c>
      <c r="EP740">
        <f>IF($DM740=0,"",IF(COUNTIFS($EG$5:$EG$1003,$EG740,$EB$5:$EB$1003,"Ready")&gt;0,"READY",IF(COUNTIFS($EG$5:$EG$1003,$EG740,$EB$5:$EB$1003,"PM")&gt;0,"PM",IF(COUNTIFS($EG$5:$EG$1003,$EG740,$EB$5:$EB$1003,"OT")&gt;0,"OT",""))))</f>
        <v/>
      </c>
      <c r="EQ740">
        <f>IF($EN740=0,"",UPPER(TRIM(INDEX(LINES_STATUS,$EN740)&amp;"")))</f>
        <v/>
      </c>
      <c r="ER740">
        <f>IF($DM740=0,"",IF(OR($EQ740="READY",$EQ740="PM",$EQ740="OT"),$EQ740,$EP740))</f>
        <v/>
      </c>
      <c r="ES740">
        <f>IF($DM740=0,"",IF(AND($DV740&lt;&gt;"",UPPER($DV740)&lt;&gt;"N"),"allergen",IF(ISNUMBER(SEARCH("oil",$DQ740)),"oil",IF(OR(EXACT($DS740,"A662"),EXACT($DS740,"A624")),"bulk",""))))</f>
        <v/>
      </c>
      <c r="ET740">
        <f>IF($DM740=0,"",IF(OR($EA740="",$EA740=0),"",$EA740/100))</f>
        <v/>
      </c>
      <c r="EU740">
        <f>IF(OR($ET740="",$DY740=""),"",INT($DY740*(1-$ET740)+0.5))</f>
        <v/>
      </c>
    </row>
    <row r="741">
      <c r="DA741" t="n">
        <v>737</v>
      </c>
      <c r="DB741">
        <f>IF($B$37=0,"",IFERROR(TRIM(SUBSTITUTE(SUBSTITUTE(SUBSTITUTE(SUBSTITUTE(INDEX(PASTE_ALL,737,$B$37)," "," "),CHAR(9)," "),CHAR(10)," "),CHAR(13)," ")),""))</f>
        <v/>
      </c>
      <c r="DC741">
        <f>IF(AND(737&gt;HEADER_ROW,UPPER(DB741)="LEGEND"),1,0)</f>
        <v/>
      </c>
      <c r="DE741" t="n">
        <v>737</v>
      </c>
      <c r="DF741">
        <f>HEADER_ROW+$DE741</f>
        <v/>
      </c>
      <c r="DG741">
        <f>IF(AND($DF741&lt;=1000,$DF741&lt;$B$8),1,0)</f>
        <v/>
      </c>
      <c r="DH741">
        <f>IF($DG741=1,IFERROR(INDEX($DB$5:$DB$1004,$DF741),""),"")</f>
        <v/>
      </c>
      <c r="DI741">
        <f>IF(AND($DG741=1,$DH741&lt;&gt;""),IFERROR(SUBSTITUTE(SUBSTITUTE(TRIM(SUBSTITUTE(SUBSTITUTE(SUBSTITUTE(SUBSTITUTE(IFERROR(INDEX(PASTE_ALL,$DF741,1)&amp;"","")&amp;"␟"&amp;IFERROR(INDEX(PASTE_ALL,$DF741,2)&amp;"","")&amp;"␟"&amp;IFERROR(INDEX(PASTE_ALL,$DF741,3)&amp;"","")&amp;"␟"&amp;IFERROR(INDEX(PASTE_ALL,$DF741,4)&amp;"","")&amp;"␟"&amp;IFERROR(INDEX(PASTE_ALL,$DF741,5)&amp;"","")&amp;"␟"&amp;IFERROR(INDEX(PASTE_ALL,$DF741,6)&amp;"","")&amp;"␟"&amp;IFERROR(INDEX(PASTE_ALL,$DF741,7)&amp;"","")&amp;"␟"&amp;IFERROR(INDEX(PASTE_ALL,$DF741,8)&amp;"","")&amp;"␟"&amp;IFERROR(INDEX(PASTE_ALL,$DF741,9)&amp;"","")&amp;"␟"&amp;IFERROR(INDEX(PASTE_ALL,$DF741,10)&amp;"","")&amp;"␟"&amp;IFERROR(INDEX(PASTE_ALL,$DF741,11)&amp;"","")&amp;"␟"&amp;IFERROR(INDEX(PASTE_ALL,$DF741,12)&amp;"","")&amp;"␟"&amp;IFERROR(INDEX(PASTE_ALL,$DF741,13)&amp;"","")&amp;"␟"&amp;IFERROR(INDEX(PASTE_ALL,$DF741,14)&amp;"","")&amp;"␟"&amp;IFERROR(INDEX(PASTE_ALL,$DF741,15)&amp;"","")&amp;"␟"&amp;IFERROR(INDEX(PASTE_ALL,$DF741,16)&amp;"","")&amp;"␟"&amp;IFERROR(INDEX(PASTE_ALL,$DF741,17)&amp;"","")&amp;"␟"&amp;IFERROR(INDEX(PASTE_ALL,$DF741,18)&amp;"","")&amp;"␟"&amp;IFERROR(INDEX(PASTE_ALL,$DF741,19)&amp;"","")&amp;"␟"&amp;IFERROR(INDEX(PASTE_ALL,$DF741,20)&amp;"","")&amp;"␟"&amp;IFERROR(INDEX(PASTE_ALL,$DF741,21)&amp;"","")&amp;"␟"&amp;IFERROR(INDEX(PASTE_ALL,$DF741,22)&amp;"","")&amp;"␟"&amp;IFERROR(INDEX(PASTE_ALL,$DF741,23)&amp;"","")&amp;"␟"&amp;IFERROR(INDEX(PASTE_ALL,$DF741,24)&amp;"","")&amp;"␟"&amp;IFERROR(INDEX(PASTE_ALL,$DF741,25)&amp;"","")&amp;"␟"&amp;IFERROR(INDEX(PASTE_ALL,$DF741,26)&amp;"","")&amp;"␟"&amp;IFERROR(INDEX(PASTE_ALL,$DF741,27)&amp;"","")&amp;"␟"&amp;IFERROR(INDEX(PASTE_ALL,$DF741,28)&amp;"","")&amp;"␟"&amp;IFERROR(INDEX(PASTE_ALL,$DF741,29)&amp;"","")&amp;"␟"&amp;IFERROR(INDEX(PASTE_ALL,$DF741,30)&amp;"","")&amp;"␟"&amp;IFERROR(INDEX(PASTE_ALL,$DF741,31)&amp;"","")&amp;"␟"&amp;IFERROR(INDEX(PASTE_ALL,$DF741,32)&amp;"","")&amp;"␟"&amp;IFERROR(INDEX(PASTE_ALL,$DF741,33)&amp;"","")&amp;"␟"&amp;IFERROR(INDEX(PASTE_ALL,$DF741,34)&amp;"","")&amp;"␟"&amp;IFERROR(INDEX(PASTE_ALL,$DF741,35)&amp;"","")&amp;"␟"&amp;IFERROR(INDEX(PASTE_ALL,$DF741,36)&amp;"","")&amp;"␟"&amp;IFERROR(INDEX(PASTE_ALL,$DF741,37)&amp;"","")&amp;"␟"&amp;IFERROR(INDEX(PASTE_ALL,$DF741,38)&amp;"","")&amp;"␟"&amp;IFERROR(INDEX(PASTE_ALL,$DF741,39)&amp;"","")&amp;"␟"&amp;IFERROR(INDEX(PASTE_ALL,$DF741,40)&amp;"","")&amp;"␟"&amp;IFERROR(INDEX(PASTE_ALL,$DF741,41)&amp;"","")&amp;"␟"&amp;IFERROR(INDEX(PASTE_ALL,$DF741,42)&amp;"","")&amp;"␟"&amp;IFERROR(INDEX(PASTE_ALL,$DF741,43)&amp;"","")&amp;"␟"&amp;IFERROR(INDEX(PASTE_ALL,$DF741,44)&amp;"","")&amp;"␟"&amp;IFERROR(INDEX(PASTE_ALL,$DF741,45)&amp;"","")&amp;"␟"&amp;IFERROR(INDEX(PASTE_ALL,$DF741,46)&amp;"","")&amp;"␟"&amp;IFERROR(INDEX(PASTE_ALL,$DF741,47)&amp;"","")&amp;"␟"&amp;IFERROR(INDEX(PASTE_ALL,$DF741,48)&amp;"","")&amp;"␟"&amp;IFERROR(INDEX(PASTE_ALL,$DF741,49)&amp;"","")&amp;"␟"&amp;IFERROR(INDEX(PASTE_ALL,$DF741,50)&amp;"","")&amp;"␟"&amp;IFERROR(INDEX(PASTE_ALL,$DF741,51)&amp;"","")&amp;"␟"&amp;IFERROR(INDEX(PASTE_ALL,$DF741,52)&amp;"","")&amp;"␟"&amp;IFERROR(INDEX(PASTE_ALL,$DF741,53)&amp;"","")&amp;"␟"&amp;IFERROR(INDEX(PASTE_ALL,$DF741,54)&amp;"","")&amp;"␟"&amp;IFERROR(INDEX(PASTE_ALL,$DF741,55)&amp;"","")&amp;"␟"&amp;IFERROR(INDEX(PASTE_ALL,$DF741,56)&amp;"","")&amp;"␟"&amp;IFERROR(INDEX(PASTE_ALL,$DF741,57)&amp;"","")&amp;"␟"&amp;IFERROR(INDEX(PASTE_ALL,$DF741,58)&amp;"","")&amp;"␟"&amp;IFERROR(INDEX(PASTE_ALL,$DF741,59)&amp;"","")&amp;"␟"&amp;IFERROR(INDEX(PASTE_ALL,$DF741,60)&amp;"","")," "," "),CHAR(9)," "),CHAR(10)," "),CHAR(13)," "))," ␟","␟"),"␟ ","␟"),"#"&amp;$DE741),"")</f>
        <v/>
      </c>
      <c r="DJ741">
        <f>IF($DI741="",0,IF(SUMPRODUCT(--EXACT($DI$4:DI740,$DI741))&gt;0,1,0))</f>
        <v/>
      </c>
      <c r="DK741">
        <f>IF(AND($DI741&lt;&gt;"",$DJ741=0),1,0)</f>
        <v/>
      </c>
      <c r="DL741">
        <f>DL740+$DK741</f>
        <v/>
      </c>
      <c r="DM741">
        <f>IF(AND($DK741=1,$DL741&lt;=600),1,0)</f>
        <v/>
      </c>
      <c r="DN741">
        <f>IF($DM741=0,"",IF($L$6=0,"",IFERROR(IF(ISNUMBER(INDEX(PASTE_ALL,$DF741,$L$6)),INDEX(PASTE_ALL,$DF741,$L$6),TRIM(SUBSTITUTE(SUBSTITUTE(SUBSTITUTE(SUBSTITUTE(INDEX(PASTE_ALL,$DF741,$L$6)," "," "),CHAR(9)," "),CHAR(10)," "),CHAR(13)," "))),"")))</f>
        <v/>
      </c>
      <c r="DO741">
        <f>IF($DM741=0,"",IF($L$7=0,"",IFERROR(IF(ISNUMBER(INDEX(PASTE_ALL,$DF741,$L$7)),INDEX(PASTE_ALL,$DF741,$L$7),TRIM(SUBSTITUTE(SUBSTITUTE(SUBSTITUTE(SUBSTITUTE(INDEX(PASTE_ALL,$DF741,$L$7)," "," "),CHAR(9)," "),CHAR(10)," "),CHAR(13)," "))),"")))</f>
        <v/>
      </c>
      <c r="DP741">
        <f>IF($DM741=0,"",IF($L$8=0,"",IFERROR(IF(ISNUMBER(INDEX(PASTE_ALL,$DF741,$L$8)),INDEX(PASTE_ALL,$DF741,$L$8),TRIM(SUBSTITUTE(SUBSTITUTE(SUBSTITUTE(SUBSTITUTE(INDEX(PASTE_ALL,$DF741,$L$8)," "," "),CHAR(9)," "),CHAR(10)," "),CHAR(13)," "))),"")))</f>
        <v/>
      </c>
      <c r="DQ741">
        <f>IF($DM741=0,"",IF($L$9=0,"",IFERROR(IF(ISNUMBER(INDEX(PASTE_ALL,$DF741,$L$9)),INDEX(PASTE_ALL,$DF741,$L$9),TRIM(SUBSTITUTE(SUBSTITUTE(SUBSTITUTE(SUBSTITUTE(INDEX(PASTE_ALL,$DF741,$L$9)," "," "),CHAR(9)," "),CHAR(10)," "),CHAR(13)," "))),"")))</f>
        <v/>
      </c>
      <c r="DR741">
        <f>IF($DM741=0,"",IF($L$10=0,"",IFERROR(IF(ISNUMBER(INDEX(PASTE_ALL,$DF741,$L$10)),INDEX(PASTE_ALL,$DF741,$L$10),TRIM(SUBSTITUTE(SUBSTITUTE(SUBSTITUTE(SUBSTITUTE(INDEX(PASTE_ALL,$DF741,$L$10)," "," "),CHAR(9)," "),CHAR(10)," "),CHAR(13)," "))),"")))</f>
        <v/>
      </c>
      <c r="DS741">
        <f>IF($DM741=0,"",IF($L$11=0,"",IFERROR(IF(ISNUMBER(INDEX(PASTE_ALL,$DF741,$L$11)),INDEX(PASTE_ALL,$DF741,$L$11),TRIM(SUBSTITUTE(SUBSTITUTE(SUBSTITUTE(SUBSTITUTE(INDEX(PASTE_ALL,$DF741,$L$11)," "," "),CHAR(9)," "),CHAR(10)," "),CHAR(13)," "))),"")))</f>
        <v/>
      </c>
      <c r="DT741">
        <f>IF($DM741=0,"",IF($L$12=0,"",IFERROR(IF(ISNUMBER(INDEX(PASTE_ALL,$DF741,$L$12)),INDEX(PASTE_ALL,$DF741,$L$12),TRIM(SUBSTITUTE(SUBSTITUTE(SUBSTITUTE(SUBSTITUTE(INDEX(PASTE_ALL,$DF741,$L$12)," "," "),CHAR(9)," "),CHAR(10)," "),CHAR(13)," "))),"")))</f>
        <v/>
      </c>
      <c r="DU741">
        <f>IF($DM741=0,"",IF($L$13=0,"",IFERROR(IF(ISNUMBER(INDEX(PASTE_ALL,$DF741,$L$13)),INDEX(PASTE_ALL,$DF741,$L$13),TRIM(SUBSTITUTE(SUBSTITUTE(SUBSTITUTE(SUBSTITUTE(INDEX(PASTE_ALL,$DF741,$L$13)," "," "),CHAR(9)," "),CHAR(10)," "),CHAR(13)," "))),"")))</f>
        <v/>
      </c>
      <c r="DV741">
        <f>IF($DM741=0,"",IF($L$14=0,"",IFERROR(IF(ISNUMBER(INDEX(PASTE_ALL,$DF741,$L$14)),INDEX(PASTE_ALL,$DF741,$L$14),TRIM(SUBSTITUTE(SUBSTITUTE(SUBSTITUTE(SUBSTITUTE(INDEX(PASTE_ALL,$DF741,$L$14)," "," "),CHAR(9)," "),CHAR(10)," "),CHAR(13)," "))),"")))</f>
        <v/>
      </c>
      <c r="DW741">
        <f>IF($DM741=0,"",IF($L$15=0,"",IFERROR(IF(ISNUMBER(INDEX(PASTE_ALL,$DF741,$L$15)),INDEX(PASTE_ALL,$DF741,$L$15),IF(SUMPRODUCT(--ISNUMBER(FIND({"A","B","C","D","E","F","G","H","I","J","K","L","M","N","O","P","Q","R","S","T","U","V","W","X","Y","Z","0","1","2","3","4","5","6","7","8","9"},UPPER(TRIM(SUBSTITUTE(SUBSTITUTE(SUBSTITUTE(SUBSTITUTE(INDEX(PASTE_ALL,$DF741,$L$15)," "," "),CHAR(9)," "),CHAR(10)," "),CHAR(13)," "))))))&gt;0,TRIM(SUBSTITUTE(SUBSTITUTE(SUBSTITUTE(SUBSTITUTE(INDEX(PASTE_ALL,$DF741,$L$15)," "," "),CHAR(9)," "),CHAR(10)," "),CHAR(13)," ")),"")),"")))</f>
        <v/>
      </c>
      <c r="DX741">
        <f>IF($DM741=0,"",IF($L$16=0,"",IFERROR(IF(ISNUMBER(INDEX(PASTE_ALL,$DF741,$L$16)),INDEX(PASTE_ALL,$DF741,$L$16),SUBSTITUTE(SUBSTITUTE(TRIM(SUBSTITUTE(SUBSTITUTE(SUBSTITUTE(SUBSTITUTE(INDEX(PASTE_ALL,$DF741,$L$16)," "," "),CHAR(9)," "),CHAR(10)," "),CHAR(13)," ")),",",""),"%","")),"")))</f>
        <v/>
      </c>
      <c r="DY741">
        <f>IF($DM741=0,"",IFERROR(IF(ISNUMBER($DX741),$DX741,IF($DX741="","",IF(TRIM($DX741)="",0,IF(AND(AND(SUBSTITUTE(SUBSTITUTE(SUBSTITUTE(SUBSTITUTE(SUBSTITUTE(SUBSTITUTE(SUBSTITUTE(SUBSTITUTE(SUBSTITUTE(SUBSTITUTE(SUBSTITUTE(SUBSTITUTE(SUBSTITUTE(SUBSTITUTE(UPPER(TRIM($DX741)),"0",""),"1",""),"2",""),"3",""),"4",""),"5",""),"6",""),"7",""),"8",""),"9",""),".",""),"+",""),"-",""),"E","")="",LEN(SUBSTITUTE(SUBSTITUTE(MID(UPPER(TRIM($DX741)),1+OR(LEFT(UPPER(TRIM($DX741)),1)="+",LEFT(UPPER(TRIM($DX741)),1)="-"),999),"E+","E"),"E-","E"))=LEN(SUBSTITUTE(SUBSTITUTE(SUBSTITUTE(SUBSTITUTE(MID(UPPER(TRIM($DX741)),1+OR(LEFT(UPPER(TRIM($DX741)),1)="+",LEFT(UPPER(TRIM($DX741)),1)="-"),999),"E+","E"),"E-","E"),"+",""),"-","")),LEN(UPPER(TRIM($DX741)))-LEN(SUBSTITUTE(UPPER(TRIM($DX741)),"E",""))&lt;2,LEN(UPPER(TRIM($DX741)))-LEN(SUBSTITUTE(UPPER(TRIM($DX741)),".",""))&lt;2,IFERROR(FIND(".",UPPER(TRIM($DX741))),0)&lt;IFERROR(FIND("E",UPPER(TRIM($DX741))),999)),ISNUMBER(VALUE(TRIM($DX741)))),VALUE(TRIM($DX741)),"")))),""))</f>
        <v/>
      </c>
      <c r="DZ741">
        <f>IF($DM741=0,"",IF($L$17=0,"",IFERROR(IF(ISNUMBER(INDEX(PASTE_ALL,$DF741,$L$17)),INDEX(PASTE_ALL,$DF741,$L$17),SUBSTITUTE(SUBSTITUTE(TRIM(SUBSTITUTE(SUBSTITUTE(SUBSTITUTE(SUBSTITUTE(INDEX(PASTE_ALL,$DF741,$L$17)," "," "),CHAR(9)," "),CHAR(10)," "),CHAR(13)," ")),",",""),"%","")),"")))</f>
        <v/>
      </c>
      <c r="EA741">
        <f>IF($DM741=0,"",IFERROR(IF(ISNUMBER($DZ741),$DZ741,IF($DZ741="","",IF(TRIM($DZ741)="",0,IF(AND(AND(SUBSTITUTE(SUBSTITUTE(SUBSTITUTE(SUBSTITUTE(SUBSTITUTE(SUBSTITUTE(SUBSTITUTE(SUBSTITUTE(SUBSTITUTE(SUBSTITUTE(SUBSTITUTE(SUBSTITUTE(SUBSTITUTE(SUBSTITUTE(UPPER(TRIM($DZ741)),"0",""),"1",""),"2",""),"3",""),"4",""),"5",""),"6",""),"7",""),"8",""),"9",""),".",""),"+",""),"-",""),"E","")="",LEN(SUBSTITUTE(SUBSTITUTE(MID(UPPER(TRIM($DZ741)),1+OR(LEFT(UPPER(TRIM($DZ741)),1)="+",LEFT(UPPER(TRIM($DZ741)),1)="-"),999),"E+","E"),"E-","E"))=LEN(SUBSTITUTE(SUBSTITUTE(SUBSTITUTE(SUBSTITUTE(MID(UPPER(TRIM($DZ741)),1+OR(LEFT(UPPER(TRIM($DZ741)),1)="+",LEFT(UPPER(TRIM($DZ741)),1)="-"),999),"E+","E"),"E-","E"),"+",""),"-","")),LEN(UPPER(TRIM($DZ741)))-LEN(SUBSTITUTE(UPPER(TRIM($DZ741)),"E",""))&lt;2,LEN(UPPER(TRIM($DZ741)))-LEN(SUBSTITUTE(UPPER(TRIM($DZ741)),".",""))&lt;2,IFERROR(FIND(".",UPPER(TRIM($DZ741))),0)&lt;IFERROR(FIND("E",UPPER(TRIM($DZ741))),999)),ISNUMBER(VALUE(TRIM($DZ741)))),VALUE(TRIM($DZ741)),"")))),""))</f>
        <v/>
      </c>
      <c r="EB741">
        <f>IF($DM741=0,"",IF($L$18=0,"",IFERROR(IF(UPPER(TRIM(SUBSTITUTE(SUBSTITUTE(SUBSTITUTE(SUBSTITUTE(INDEX(PASTE_ALL,$DF741,$L$18)," "," "),CHAR(9)," "),CHAR(10)," "),CHAR(13)," ")))="READY","Ready",IF(UPPER(TRIM(SUBSTITUTE(SUBSTITUTE(SUBSTITUTE(SUBSTITUTE(INDEX(PASTE_ALL,$DF741,$L$18)," "," "),CHAR(9)," "),CHAR(10)," "),CHAR(13)," ")))="PM","PM",IF(OR(UPPER(TRIM(SUBSTITUTE(SUBSTITUTE(SUBSTITUTE(SUBSTITUTE(INDEX(PASTE_ALL,$DF741,$L$18)," "," "),CHAR(9)," "),CHAR(10)," "),CHAR(13)," ")))="OT",UPPER(TRIM(SUBSTITUTE(SUBSTITUTE(SUBSTITUTE(SUBSTITUTE(INDEX(PASTE_ALL,$DF741,$L$18)," "," "),CHAR(9)," "),CHAR(10)," "),CHAR(13)," ")))="OVERTIME",UPPER(TRIM(SUBSTITUTE(SUBSTITUTE(SUBSTITUTE(SUBSTITUTE(INDEX(PASTE_ALL,$DF741,$L$18)," "," "),CHAR(9)," "),CHAR(10)," "),CHAR(13)," ")))="TRIAL"),"OT",TRIM(SUBSTITUTE(SUBSTITUTE(SUBSTITUTE(SUBSTITUTE(INDEX(PASTE_ALL,$DF741,$L$18)," "," "),CHAR(9)," "),CHAR(10)," "),CHAR(13)," "))))),"")))</f>
        <v/>
      </c>
      <c r="EC741">
        <f>IF($DM741=0,"",IF($L$19=0,"",IFERROR(IF(ISNUMBER(INDEX(PASTE_ALL,$DF741,$L$19)),INDEX(PASTE_ALL,$DF741,$L$19),TRIM(SUBSTITUTE(SUBSTITUTE(SUBSTITUTE(SUBSTITUTE(INDEX(PASTE_ALL,$DF741,$L$19)," "," "),CHAR(9)," "),CHAR(10)," "),CHAR(13)," "))),"")))</f>
        <v/>
      </c>
      <c r="ED741">
        <f>IF($DM741=0,"",MATCH(1,INDEX(EXACT($DH$5:DH741,$DH741)*$DM$5:DM741,0),0))</f>
        <v/>
      </c>
      <c r="EE741">
        <f>IF($DM741=0,0,IF($ED741=$DE741,1,0))</f>
        <v/>
      </c>
      <c r="EF741">
        <f>EF740+$EE741</f>
        <v/>
      </c>
      <c r="EG741">
        <f>IF($DM741=0,"",INDEX($EF$5:$EF$1003,$ED741))</f>
        <v/>
      </c>
      <c r="EH741">
        <f>IF($DM741=0,"",IF($DO741&lt;&gt;"","",IFERROR(LOOKUP(2,1/(($EG$4:EG740=$EG741)*($DO$4:DO740&lt;&gt;"")),$DO$4:DO740),"")))</f>
        <v/>
      </c>
      <c r="EI741">
        <f>IF($DM741=0,"",IF($DO741&lt;&gt;"",$DO741,$EH741))</f>
        <v/>
      </c>
      <c r="EJ741">
        <f>IF($DM741=0,"",IF($EI741="",0,IF(OR(ISNUMBER($EI741),AND(AND(SUBSTITUTE(SUBSTITUTE(SUBSTITUTE(SUBSTITUTE(SUBSTITUTE(SUBSTITUTE(SUBSTITUTE(SUBSTITUTE(SUBSTITUTE(SUBSTITUTE(SUBSTITUTE(SUBSTITUTE(SUBSTITUTE(SUBSTITUTE(UPPER($EI741),"0",""),"1",""),"2",""),"3",""),"4",""),"5",""),"6",""),"7",""),"8",""),"9",""),".",""),"+",""),"-",""),"E","")="",LEN(SUBSTITUTE(SUBSTITUTE(MID(UPPER($EI741),1+OR(LEFT(UPPER($EI741),1)="+",LEFT(UPPER($EI741),1)="-"),999),"E+","E"),"E-","E"))=LEN(SUBSTITUTE(SUBSTITUTE(SUBSTITUTE(SUBSTITUTE(MID(UPPER($EI741),1+OR(LEFT(UPPER($EI741),1)="+",LEFT(UPPER($EI741),1)="-"),999),"E+","E"),"E-","E"),"+",""),"-","")),LEN(UPPER($EI741))-LEN(SUBSTITUTE(UPPER($EI741),"E",""))&lt;2,LEN(UPPER($EI741))-LEN(SUBSTITUTE(UPPER($EI741),".",""))&lt;2,IFERROR(FIND(".",UPPER($EI741)),0)&lt;IFERROR(FIND("E",UPPER($EI741)),999)),ISNUMBER(VALUE($EI741)))),1,2)))</f>
        <v/>
      </c>
      <c r="EK741">
        <f>IF($DM741=0,"",IF($EJ741=1,IF(ISNUMBER($EI741),$EI741,VALUE($EI741)),IF($EJ741=2,$DE741,0)))</f>
        <v/>
      </c>
      <c r="EL741">
        <f>IF($DM741=0,"",COUNTIF($EG$5:$EG$1003,"&lt;"&amp;$EG741)+SUMPRODUCT(($EG$5:$EG$1003=$EG741)*(($EJ$5:$EJ$1003&lt;$EJ741)+($EJ$5:$EJ$1003=$EJ741)*(($EK$5:$EK$1003&lt;$EK741)+($EK$5:$EK$1003=$EK741)*($DE$5:$DE$1003&lt;$DE741))))+1)</f>
        <v/>
      </c>
      <c r="EM741">
        <f>IF($DM741=0,"",$EL741+$EG741-1)</f>
        <v/>
      </c>
      <c r="EN741">
        <f>IF($DM741=0,0,IFERROR(MATCH(1,INDEX(--(TRIM(SUBSTITUTE(SUBSTITUTE(SUBSTITUTE(SUBSTITUTE(LINES_NAME&amp;""," "," "),CHAR(9)," "),CHAR(10)," "),CHAR(13)," "))=$DH741),0),0),0))</f>
        <v/>
      </c>
      <c r="EO741">
        <f>IF($EN741=0,0,IF(OR(UPPER(TRIM(INDEX(LINES_SCHEDULED,$EN741)&amp;""))="YES",UPPER(TRIM(INDEX(LINES_SCHEDULED,$EN741)&amp;""))="Y",UPPER(TRIM(INDEX(LINES_SCHEDULED,$EN741)&amp;""))="X"),1,0))</f>
        <v/>
      </c>
      <c r="EP741">
        <f>IF($DM741=0,"",IF(COUNTIFS($EG$5:$EG$1003,$EG741,$EB$5:$EB$1003,"Ready")&gt;0,"READY",IF(COUNTIFS($EG$5:$EG$1003,$EG741,$EB$5:$EB$1003,"PM")&gt;0,"PM",IF(COUNTIFS($EG$5:$EG$1003,$EG741,$EB$5:$EB$1003,"OT")&gt;0,"OT",""))))</f>
        <v/>
      </c>
      <c r="EQ741">
        <f>IF($EN741=0,"",UPPER(TRIM(INDEX(LINES_STATUS,$EN741)&amp;"")))</f>
        <v/>
      </c>
      <c r="ER741">
        <f>IF($DM741=0,"",IF(OR($EQ741="READY",$EQ741="PM",$EQ741="OT"),$EQ741,$EP741))</f>
        <v/>
      </c>
      <c r="ES741">
        <f>IF($DM741=0,"",IF(AND($DV741&lt;&gt;"",UPPER($DV741)&lt;&gt;"N"),"allergen",IF(ISNUMBER(SEARCH("oil",$DQ741)),"oil",IF(OR(EXACT($DS741,"A662"),EXACT($DS741,"A624")),"bulk",""))))</f>
        <v/>
      </c>
      <c r="ET741">
        <f>IF($DM741=0,"",IF(OR($EA741="",$EA741=0),"",$EA741/100))</f>
        <v/>
      </c>
      <c r="EU741">
        <f>IF(OR($ET741="",$DY741=""),"",INT($DY741*(1-$ET741)+0.5))</f>
        <v/>
      </c>
    </row>
    <row r="742">
      <c r="DA742" t="n">
        <v>738</v>
      </c>
      <c r="DB742">
        <f>IF($B$37=0,"",IFERROR(TRIM(SUBSTITUTE(SUBSTITUTE(SUBSTITUTE(SUBSTITUTE(INDEX(PASTE_ALL,738,$B$37)," "," "),CHAR(9)," "),CHAR(10)," "),CHAR(13)," ")),""))</f>
        <v/>
      </c>
      <c r="DC742">
        <f>IF(AND(738&gt;HEADER_ROW,UPPER(DB742)="LEGEND"),1,0)</f>
        <v/>
      </c>
      <c r="DE742" t="n">
        <v>738</v>
      </c>
      <c r="DF742">
        <f>HEADER_ROW+$DE742</f>
        <v/>
      </c>
      <c r="DG742">
        <f>IF(AND($DF742&lt;=1000,$DF742&lt;$B$8),1,0)</f>
        <v/>
      </c>
      <c r="DH742">
        <f>IF($DG742=1,IFERROR(INDEX($DB$5:$DB$1004,$DF742),""),"")</f>
        <v/>
      </c>
      <c r="DI742">
        <f>IF(AND($DG742=1,$DH742&lt;&gt;""),IFERROR(SUBSTITUTE(SUBSTITUTE(TRIM(SUBSTITUTE(SUBSTITUTE(SUBSTITUTE(SUBSTITUTE(IFERROR(INDEX(PASTE_ALL,$DF742,1)&amp;"","")&amp;"␟"&amp;IFERROR(INDEX(PASTE_ALL,$DF742,2)&amp;"","")&amp;"␟"&amp;IFERROR(INDEX(PASTE_ALL,$DF742,3)&amp;"","")&amp;"␟"&amp;IFERROR(INDEX(PASTE_ALL,$DF742,4)&amp;"","")&amp;"␟"&amp;IFERROR(INDEX(PASTE_ALL,$DF742,5)&amp;"","")&amp;"␟"&amp;IFERROR(INDEX(PASTE_ALL,$DF742,6)&amp;"","")&amp;"␟"&amp;IFERROR(INDEX(PASTE_ALL,$DF742,7)&amp;"","")&amp;"␟"&amp;IFERROR(INDEX(PASTE_ALL,$DF742,8)&amp;"","")&amp;"␟"&amp;IFERROR(INDEX(PASTE_ALL,$DF742,9)&amp;"","")&amp;"␟"&amp;IFERROR(INDEX(PASTE_ALL,$DF742,10)&amp;"","")&amp;"␟"&amp;IFERROR(INDEX(PASTE_ALL,$DF742,11)&amp;"","")&amp;"␟"&amp;IFERROR(INDEX(PASTE_ALL,$DF742,12)&amp;"","")&amp;"␟"&amp;IFERROR(INDEX(PASTE_ALL,$DF742,13)&amp;"","")&amp;"␟"&amp;IFERROR(INDEX(PASTE_ALL,$DF742,14)&amp;"","")&amp;"␟"&amp;IFERROR(INDEX(PASTE_ALL,$DF742,15)&amp;"","")&amp;"␟"&amp;IFERROR(INDEX(PASTE_ALL,$DF742,16)&amp;"","")&amp;"␟"&amp;IFERROR(INDEX(PASTE_ALL,$DF742,17)&amp;"","")&amp;"␟"&amp;IFERROR(INDEX(PASTE_ALL,$DF742,18)&amp;"","")&amp;"␟"&amp;IFERROR(INDEX(PASTE_ALL,$DF742,19)&amp;"","")&amp;"␟"&amp;IFERROR(INDEX(PASTE_ALL,$DF742,20)&amp;"","")&amp;"␟"&amp;IFERROR(INDEX(PASTE_ALL,$DF742,21)&amp;"","")&amp;"␟"&amp;IFERROR(INDEX(PASTE_ALL,$DF742,22)&amp;"","")&amp;"␟"&amp;IFERROR(INDEX(PASTE_ALL,$DF742,23)&amp;"","")&amp;"␟"&amp;IFERROR(INDEX(PASTE_ALL,$DF742,24)&amp;"","")&amp;"␟"&amp;IFERROR(INDEX(PASTE_ALL,$DF742,25)&amp;"","")&amp;"␟"&amp;IFERROR(INDEX(PASTE_ALL,$DF742,26)&amp;"","")&amp;"␟"&amp;IFERROR(INDEX(PASTE_ALL,$DF742,27)&amp;"","")&amp;"␟"&amp;IFERROR(INDEX(PASTE_ALL,$DF742,28)&amp;"","")&amp;"␟"&amp;IFERROR(INDEX(PASTE_ALL,$DF742,29)&amp;"","")&amp;"␟"&amp;IFERROR(INDEX(PASTE_ALL,$DF742,30)&amp;"","")&amp;"␟"&amp;IFERROR(INDEX(PASTE_ALL,$DF742,31)&amp;"","")&amp;"␟"&amp;IFERROR(INDEX(PASTE_ALL,$DF742,32)&amp;"","")&amp;"␟"&amp;IFERROR(INDEX(PASTE_ALL,$DF742,33)&amp;"","")&amp;"␟"&amp;IFERROR(INDEX(PASTE_ALL,$DF742,34)&amp;"","")&amp;"␟"&amp;IFERROR(INDEX(PASTE_ALL,$DF742,35)&amp;"","")&amp;"␟"&amp;IFERROR(INDEX(PASTE_ALL,$DF742,36)&amp;"","")&amp;"␟"&amp;IFERROR(INDEX(PASTE_ALL,$DF742,37)&amp;"","")&amp;"␟"&amp;IFERROR(INDEX(PASTE_ALL,$DF742,38)&amp;"","")&amp;"␟"&amp;IFERROR(INDEX(PASTE_ALL,$DF742,39)&amp;"","")&amp;"␟"&amp;IFERROR(INDEX(PASTE_ALL,$DF742,40)&amp;"","")&amp;"␟"&amp;IFERROR(INDEX(PASTE_ALL,$DF742,41)&amp;"","")&amp;"␟"&amp;IFERROR(INDEX(PASTE_ALL,$DF742,42)&amp;"","")&amp;"␟"&amp;IFERROR(INDEX(PASTE_ALL,$DF742,43)&amp;"","")&amp;"␟"&amp;IFERROR(INDEX(PASTE_ALL,$DF742,44)&amp;"","")&amp;"␟"&amp;IFERROR(INDEX(PASTE_ALL,$DF742,45)&amp;"","")&amp;"␟"&amp;IFERROR(INDEX(PASTE_ALL,$DF742,46)&amp;"","")&amp;"␟"&amp;IFERROR(INDEX(PASTE_ALL,$DF742,47)&amp;"","")&amp;"␟"&amp;IFERROR(INDEX(PASTE_ALL,$DF742,48)&amp;"","")&amp;"␟"&amp;IFERROR(INDEX(PASTE_ALL,$DF742,49)&amp;"","")&amp;"␟"&amp;IFERROR(INDEX(PASTE_ALL,$DF742,50)&amp;"","")&amp;"␟"&amp;IFERROR(INDEX(PASTE_ALL,$DF742,51)&amp;"","")&amp;"␟"&amp;IFERROR(INDEX(PASTE_ALL,$DF742,52)&amp;"","")&amp;"␟"&amp;IFERROR(INDEX(PASTE_ALL,$DF742,53)&amp;"","")&amp;"␟"&amp;IFERROR(INDEX(PASTE_ALL,$DF742,54)&amp;"","")&amp;"␟"&amp;IFERROR(INDEX(PASTE_ALL,$DF742,55)&amp;"","")&amp;"␟"&amp;IFERROR(INDEX(PASTE_ALL,$DF742,56)&amp;"","")&amp;"␟"&amp;IFERROR(INDEX(PASTE_ALL,$DF742,57)&amp;"","")&amp;"␟"&amp;IFERROR(INDEX(PASTE_ALL,$DF742,58)&amp;"","")&amp;"␟"&amp;IFERROR(INDEX(PASTE_ALL,$DF742,59)&amp;"","")&amp;"␟"&amp;IFERROR(INDEX(PASTE_ALL,$DF742,60)&amp;"","")," "," "),CHAR(9)," "),CHAR(10)," "),CHAR(13)," "))," ␟","␟"),"␟ ","␟"),"#"&amp;$DE742),"")</f>
        <v/>
      </c>
      <c r="DJ742">
        <f>IF($DI742="",0,IF(SUMPRODUCT(--EXACT($DI$4:DI741,$DI742))&gt;0,1,0))</f>
        <v/>
      </c>
      <c r="DK742">
        <f>IF(AND($DI742&lt;&gt;"",$DJ742=0),1,0)</f>
        <v/>
      </c>
      <c r="DL742">
        <f>DL741+$DK742</f>
        <v/>
      </c>
      <c r="DM742">
        <f>IF(AND($DK742=1,$DL742&lt;=600),1,0)</f>
        <v/>
      </c>
      <c r="DN742">
        <f>IF($DM742=0,"",IF($L$6=0,"",IFERROR(IF(ISNUMBER(INDEX(PASTE_ALL,$DF742,$L$6)),INDEX(PASTE_ALL,$DF742,$L$6),TRIM(SUBSTITUTE(SUBSTITUTE(SUBSTITUTE(SUBSTITUTE(INDEX(PASTE_ALL,$DF742,$L$6)," "," "),CHAR(9)," "),CHAR(10)," "),CHAR(13)," "))),"")))</f>
        <v/>
      </c>
      <c r="DO742">
        <f>IF($DM742=0,"",IF($L$7=0,"",IFERROR(IF(ISNUMBER(INDEX(PASTE_ALL,$DF742,$L$7)),INDEX(PASTE_ALL,$DF742,$L$7),TRIM(SUBSTITUTE(SUBSTITUTE(SUBSTITUTE(SUBSTITUTE(INDEX(PASTE_ALL,$DF742,$L$7)," "," "),CHAR(9)," "),CHAR(10)," "),CHAR(13)," "))),"")))</f>
        <v/>
      </c>
      <c r="DP742">
        <f>IF($DM742=0,"",IF($L$8=0,"",IFERROR(IF(ISNUMBER(INDEX(PASTE_ALL,$DF742,$L$8)),INDEX(PASTE_ALL,$DF742,$L$8),TRIM(SUBSTITUTE(SUBSTITUTE(SUBSTITUTE(SUBSTITUTE(INDEX(PASTE_ALL,$DF742,$L$8)," "," "),CHAR(9)," "),CHAR(10)," "),CHAR(13)," "))),"")))</f>
        <v/>
      </c>
      <c r="DQ742">
        <f>IF($DM742=0,"",IF($L$9=0,"",IFERROR(IF(ISNUMBER(INDEX(PASTE_ALL,$DF742,$L$9)),INDEX(PASTE_ALL,$DF742,$L$9),TRIM(SUBSTITUTE(SUBSTITUTE(SUBSTITUTE(SUBSTITUTE(INDEX(PASTE_ALL,$DF742,$L$9)," "," "),CHAR(9)," "),CHAR(10)," "),CHAR(13)," "))),"")))</f>
        <v/>
      </c>
      <c r="DR742">
        <f>IF($DM742=0,"",IF($L$10=0,"",IFERROR(IF(ISNUMBER(INDEX(PASTE_ALL,$DF742,$L$10)),INDEX(PASTE_ALL,$DF742,$L$10),TRIM(SUBSTITUTE(SUBSTITUTE(SUBSTITUTE(SUBSTITUTE(INDEX(PASTE_ALL,$DF742,$L$10)," "," "),CHAR(9)," "),CHAR(10)," "),CHAR(13)," "))),"")))</f>
        <v/>
      </c>
      <c r="DS742">
        <f>IF($DM742=0,"",IF($L$11=0,"",IFERROR(IF(ISNUMBER(INDEX(PASTE_ALL,$DF742,$L$11)),INDEX(PASTE_ALL,$DF742,$L$11),TRIM(SUBSTITUTE(SUBSTITUTE(SUBSTITUTE(SUBSTITUTE(INDEX(PASTE_ALL,$DF742,$L$11)," "," "),CHAR(9)," "),CHAR(10)," "),CHAR(13)," "))),"")))</f>
        <v/>
      </c>
      <c r="DT742">
        <f>IF($DM742=0,"",IF($L$12=0,"",IFERROR(IF(ISNUMBER(INDEX(PASTE_ALL,$DF742,$L$12)),INDEX(PASTE_ALL,$DF742,$L$12),TRIM(SUBSTITUTE(SUBSTITUTE(SUBSTITUTE(SUBSTITUTE(INDEX(PASTE_ALL,$DF742,$L$12)," "," "),CHAR(9)," "),CHAR(10)," "),CHAR(13)," "))),"")))</f>
        <v/>
      </c>
      <c r="DU742">
        <f>IF($DM742=0,"",IF($L$13=0,"",IFERROR(IF(ISNUMBER(INDEX(PASTE_ALL,$DF742,$L$13)),INDEX(PASTE_ALL,$DF742,$L$13),TRIM(SUBSTITUTE(SUBSTITUTE(SUBSTITUTE(SUBSTITUTE(INDEX(PASTE_ALL,$DF742,$L$13)," "," "),CHAR(9)," "),CHAR(10)," "),CHAR(13)," "))),"")))</f>
        <v/>
      </c>
      <c r="DV742">
        <f>IF($DM742=0,"",IF($L$14=0,"",IFERROR(IF(ISNUMBER(INDEX(PASTE_ALL,$DF742,$L$14)),INDEX(PASTE_ALL,$DF742,$L$14),TRIM(SUBSTITUTE(SUBSTITUTE(SUBSTITUTE(SUBSTITUTE(INDEX(PASTE_ALL,$DF742,$L$14)," "," "),CHAR(9)," "),CHAR(10)," "),CHAR(13)," "))),"")))</f>
        <v/>
      </c>
      <c r="DW742">
        <f>IF($DM742=0,"",IF($L$15=0,"",IFERROR(IF(ISNUMBER(INDEX(PASTE_ALL,$DF742,$L$15)),INDEX(PASTE_ALL,$DF742,$L$15),IF(SUMPRODUCT(--ISNUMBER(FIND({"A","B","C","D","E","F","G","H","I","J","K","L","M","N","O","P","Q","R","S","T","U","V","W","X","Y","Z","0","1","2","3","4","5","6","7","8","9"},UPPER(TRIM(SUBSTITUTE(SUBSTITUTE(SUBSTITUTE(SUBSTITUTE(INDEX(PASTE_ALL,$DF742,$L$15)," "," "),CHAR(9)," "),CHAR(10)," "),CHAR(13)," "))))))&gt;0,TRIM(SUBSTITUTE(SUBSTITUTE(SUBSTITUTE(SUBSTITUTE(INDEX(PASTE_ALL,$DF742,$L$15)," "," "),CHAR(9)," "),CHAR(10)," "),CHAR(13)," ")),"")),"")))</f>
        <v/>
      </c>
      <c r="DX742">
        <f>IF($DM742=0,"",IF($L$16=0,"",IFERROR(IF(ISNUMBER(INDEX(PASTE_ALL,$DF742,$L$16)),INDEX(PASTE_ALL,$DF742,$L$16),SUBSTITUTE(SUBSTITUTE(TRIM(SUBSTITUTE(SUBSTITUTE(SUBSTITUTE(SUBSTITUTE(INDEX(PASTE_ALL,$DF742,$L$16)," "," "),CHAR(9)," "),CHAR(10)," "),CHAR(13)," ")),",",""),"%","")),"")))</f>
        <v/>
      </c>
      <c r="DY742">
        <f>IF($DM742=0,"",IFERROR(IF(ISNUMBER($DX742),$DX742,IF($DX742="","",IF(TRIM($DX742)="",0,IF(AND(AND(SUBSTITUTE(SUBSTITUTE(SUBSTITUTE(SUBSTITUTE(SUBSTITUTE(SUBSTITUTE(SUBSTITUTE(SUBSTITUTE(SUBSTITUTE(SUBSTITUTE(SUBSTITUTE(SUBSTITUTE(SUBSTITUTE(SUBSTITUTE(UPPER(TRIM($DX742)),"0",""),"1",""),"2",""),"3",""),"4",""),"5",""),"6",""),"7",""),"8",""),"9",""),".",""),"+",""),"-",""),"E","")="",LEN(SUBSTITUTE(SUBSTITUTE(MID(UPPER(TRIM($DX742)),1+OR(LEFT(UPPER(TRIM($DX742)),1)="+",LEFT(UPPER(TRIM($DX742)),1)="-"),999),"E+","E"),"E-","E"))=LEN(SUBSTITUTE(SUBSTITUTE(SUBSTITUTE(SUBSTITUTE(MID(UPPER(TRIM($DX742)),1+OR(LEFT(UPPER(TRIM($DX742)),1)="+",LEFT(UPPER(TRIM($DX742)),1)="-"),999),"E+","E"),"E-","E"),"+",""),"-","")),LEN(UPPER(TRIM($DX742)))-LEN(SUBSTITUTE(UPPER(TRIM($DX742)),"E",""))&lt;2,LEN(UPPER(TRIM($DX742)))-LEN(SUBSTITUTE(UPPER(TRIM($DX742)),".",""))&lt;2,IFERROR(FIND(".",UPPER(TRIM($DX742))),0)&lt;IFERROR(FIND("E",UPPER(TRIM($DX742))),999)),ISNUMBER(VALUE(TRIM($DX742)))),VALUE(TRIM($DX742)),"")))),""))</f>
        <v/>
      </c>
      <c r="DZ742">
        <f>IF($DM742=0,"",IF($L$17=0,"",IFERROR(IF(ISNUMBER(INDEX(PASTE_ALL,$DF742,$L$17)),INDEX(PASTE_ALL,$DF742,$L$17),SUBSTITUTE(SUBSTITUTE(TRIM(SUBSTITUTE(SUBSTITUTE(SUBSTITUTE(SUBSTITUTE(INDEX(PASTE_ALL,$DF742,$L$17)," "," "),CHAR(9)," "),CHAR(10)," "),CHAR(13)," ")),",",""),"%","")),"")))</f>
        <v/>
      </c>
      <c r="EA742">
        <f>IF($DM742=0,"",IFERROR(IF(ISNUMBER($DZ742),$DZ742,IF($DZ742="","",IF(TRIM($DZ742)="",0,IF(AND(AND(SUBSTITUTE(SUBSTITUTE(SUBSTITUTE(SUBSTITUTE(SUBSTITUTE(SUBSTITUTE(SUBSTITUTE(SUBSTITUTE(SUBSTITUTE(SUBSTITUTE(SUBSTITUTE(SUBSTITUTE(SUBSTITUTE(SUBSTITUTE(UPPER(TRIM($DZ742)),"0",""),"1",""),"2",""),"3",""),"4",""),"5",""),"6",""),"7",""),"8",""),"9",""),".",""),"+",""),"-",""),"E","")="",LEN(SUBSTITUTE(SUBSTITUTE(MID(UPPER(TRIM($DZ742)),1+OR(LEFT(UPPER(TRIM($DZ742)),1)="+",LEFT(UPPER(TRIM($DZ742)),1)="-"),999),"E+","E"),"E-","E"))=LEN(SUBSTITUTE(SUBSTITUTE(SUBSTITUTE(SUBSTITUTE(MID(UPPER(TRIM($DZ742)),1+OR(LEFT(UPPER(TRIM($DZ742)),1)="+",LEFT(UPPER(TRIM($DZ742)),1)="-"),999),"E+","E"),"E-","E"),"+",""),"-","")),LEN(UPPER(TRIM($DZ742)))-LEN(SUBSTITUTE(UPPER(TRIM($DZ742)),"E",""))&lt;2,LEN(UPPER(TRIM($DZ742)))-LEN(SUBSTITUTE(UPPER(TRIM($DZ742)),".",""))&lt;2,IFERROR(FIND(".",UPPER(TRIM($DZ742))),0)&lt;IFERROR(FIND("E",UPPER(TRIM($DZ742))),999)),ISNUMBER(VALUE(TRIM($DZ742)))),VALUE(TRIM($DZ742)),"")))),""))</f>
        <v/>
      </c>
      <c r="EB742">
        <f>IF($DM742=0,"",IF($L$18=0,"",IFERROR(IF(UPPER(TRIM(SUBSTITUTE(SUBSTITUTE(SUBSTITUTE(SUBSTITUTE(INDEX(PASTE_ALL,$DF742,$L$18)," "," "),CHAR(9)," "),CHAR(10)," "),CHAR(13)," ")))="READY","Ready",IF(UPPER(TRIM(SUBSTITUTE(SUBSTITUTE(SUBSTITUTE(SUBSTITUTE(INDEX(PASTE_ALL,$DF742,$L$18)," "," "),CHAR(9)," "),CHAR(10)," "),CHAR(13)," ")))="PM","PM",IF(OR(UPPER(TRIM(SUBSTITUTE(SUBSTITUTE(SUBSTITUTE(SUBSTITUTE(INDEX(PASTE_ALL,$DF742,$L$18)," "," "),CHAR(9)," "),CHAR(10)," "),CHAR(13)," ")))="OT",UPPER(TRIM(SUBSTITUTE(SUBSTITUTE(SUBSTITUTE(SUBSTITUTE(INDEX(PASTE_ALL,$DF742,$L$18)," "," "),CHAR(9)," "),CHAR(10)," "),CHAR(13)," ")))="OVERTIME",UPPER(TRIM(SUBSTITUTE(SUBSTITUTE(SUBSTITUTE(SUBSTITUTE(INDEX(PASTE_ALL,$DF742,$L$18)," "," "),CHAR(9)," "),CHAR(10)," "),CHAR(13)," ")))="TRIAL"),"OT",TRIM(SUBSTITUTE(SUBSTITUTE(SUBSTITUTE(SUBSTITUTE(INDEX(PASTE_ALL,$DF742,$L$18)," "," "),CHAR(9)," "),CHAR(10)," "),CHAR(13)," "))))),"")))</f>
        <v/>
      </c>
      <c r="EC742">
        <f>IF($DM742=0,"",IF($L$19=0,"",IFERROR(IF(ISNUMBER(INDEX(PASTE_ALL,$DF742,$L$19)),INDEX(PASTE_ALL,$DF742,$L$19),TRIM(SUBSTITUTE(SUBSTITUTE(SUBSTITUTE(SUBSTITUTE(INDEX(PASTE_ALL,$DF742,$L$19)," "," "),CHAR(9)," "),CHAR(10)," "),CHAR(13)," "))),"")))</f>
        <v/>
      </c>
      <c r="ED742">
        <f>IF($DM742=0,"",MATCH(1,INDEX(EXACT($DH$5:DH742,$DH742)*$DM$5:DM742,0),0))</f>
        <v/>
      </c>
      <c r="EE742">
        <f>IF($DM742=0,0,IF($ED742=$DE742,1,0))</f>
        <v/>
      </c>
      <c r="EF742">
        <f>EF741+$EE742</f>
        <v/>
      </c>
      <c r="EG742">
        <f>IF($DM742=0,"",INDEX($EF$5:$EF$1003,$ED742))</f>
        <v/>
      </c>
      <c r="EH742">
        <f>IF($DM742=0,"",IF($DO742&lt;&gt;"","",IFERROR(LOOKUP(2,1/(($EG$4:EG741=$EG742)*($DO$4:DO741&lt;&gt;"")),$DO$4:DO741),"")))</f>
        <v/>
      </c>
      <c r="EI742">
        <f>IF($DM742=0,"",IF($DO742&lt;&gt;"",$DO742,$EH742))</f>
        <v/>
      </c>
      <c r="EJ742">
        <f>IF($DM742=0,"",IF($EI742="",0,IF(OR(ISNUMBER($EI742),AND(AND(SUBSTITUTE(SUBSTITUTE(SUBSTITUTE(SUBSTITUTE(SUBSTITUTE(SUBSTITUTE(SUBSTITUTE(SUBSTITUTE(SUBSTITUTE(SUBSTITUTE(SUBSTITUTE(SUBSTITUTE(SUBSTITUTE(SUBSTITUTE(UPPER($EI742),"0",""),"1",""),"2",""),"3",""),"4",""),"5",""),"6",""),"7",""),"8",""),"9",""),".",""),"+",""),"-",""),"E","")="",LEN(SUBSTITUTE(SUBSTITUTE(MID(UPPER($EI742),1+OR(LEFT(UPPER($EI742),1)="+",LEFT(UPPER($EI742),1)="-"),999),"E+","E"),"E-","E"))=LEN(SUBSTITUTE(SUBSTITUTE(SUBSTITUTE(SUBSTITUTE(MID(UPPER($EI742),1+OR(LEFT(UPPER($EI742),1)="+",LEFT(UPPER($EI742),1)="-"),999),"E+","E"),"E-","E"),"+",""),"-","")),LEN(UPPER($EI742))-LEN(SUBSTITUTE(UPPER($EI742),"E",""))&lt;2,LEN(UPPER($EI742))-LEN(SUBSTITUTE(UPPER($EI742),".",""))&lt;2,IFERROR(FIND(".",UPPER($EI742)),0)&lt;IFERROR(FIND("E",UPPER($EI742)),999)),ISNUMBER(VALUE($EI742)))),1,2)))</f>
        <v/>
      </c>
      <c r="EK742">
        <f>IF($DM742=0,"",IF($EJ742=1,IF(ISNUMBER($EI742),$EI742,VALUE($EI742)),IF($EJ742=2,$DE742,0)))</f>
        <v/>
      </c>
      <c r="EL742">
        <f>IF($DM742=0,"",COUNTIF($EG$5:$EG$1003,"&lt;"&amp;$EG742)+SUMPRODUCT(($EG$5:$EG$1003=$EG742)*(($EJ$5:$EJ$1003&lt;$EJ742)+($EJ$5:$EJ$1003=$EJ742)*(($EK$5:$EK$1003&lt;$EK742)+($EK$5:$EK$1003=$EK742)*($DE$5:$DE$1003&lt;$DE742))))+1)</f>
        <v/>
      </c>
      <c r="EM742">
        <f>IF($DM742=0,"",$EL742+$EG742-1)</f>
        <v/>
      </c>
      <c r="EN742">
        <f>IF($DM742=0,0,IFERROR(MATCH(1,INDEX(--(TRIM(SUBSTITUTE(SUBSTITUTE(SUBSTITUTE(SUBSTITUTE(LINES_NAME&amp;""," "," "),CHAR(9)," "),CHAR(10)," "),CHAR(13)," "))=$DH742),0),0),0))</f>
        <v/>
      </c>
      <c r="EO742">
        <f>IF($EN742=0,0,IF(OR(UPPER(TRIM(INDEX(LINES_SCHEDULED,$EN742)&amp;""))="YES",UPPER(TRIM(INDEX(LINES_SCHEDULED,$EN742)&amp;""))="Y",UPPER(TRIM(INDEX(LINES_SCHEDULED,$EN742)&amp;""))="X"),1,0))</f>
        <v/>
      </c>
      <c r="EP742">
        <f>IF($DM742=0,"",IF(COUNTIFS($EG$5:$EG$1003,$EG742,$EB$5:$EB$1003,"Ready")&gt;0,"READY",IF(COUNTIFS($EG$5:$EG$1003,$EG742,$EB$5:$EB$1003,"PM")&gt;0,"PM",IF(COUNTIFS($EG$5:$EG$1003,$EG742,$EB$5:$EB$1003,"OT")&gt;0,"OT",""))))</f>
        <v/>
      </c>
      <c r="EQ742">
        <f>IF($EN742=0,"",UPPER(TRIM(INDEX(LINES_STATUS,$EN742)&amp;"")))</f>
        <v/>
      </c>
      <c r="ER742">
        <f>IF($DM742=0,"",IF(OR($EQ742="READY",$EQ742="PM",$EQ742="OT"),$EQ742,$EP742))</f>
        <v/>
      </c>
      <c r="ES742">
        <f>IF($DM742=0,"",IF(AND($DV742&lt;&gt;"",UPPER($DV742)&lt;&gt;"N"),"allergen",IF(ISNUMBER(SEARCH("oil",$DQ742)),"oil",IF(OR(EXACT($DS742,"A662"),EXACT($DS742,"A624")),"bulk",""))))</f>
        <v/>
      </c>
      <c r="ET742">
        <f>IF($DM742=0,"",IF(OR($EA742="",$EA742=0),"",$EA742/100))</f>
        <v/>
      </c>
      <c r="EU742">
        <f>IF(OR($ET742="",$DY742=""),"",INT($DY742*(1-$ET742)+0.5))</f>
        <v/>
      </c>
    </row>
    <row r="743">
      <c r="DA743" t="n">
        <v>739</v>
      </c>
      <c r="DB743">
        <f>IF($B$37=0,"",IFERROR(TRIM(SUBSTITUTE(SUBSTITUTE(SUBSTITUTE(SUBSTITUTE(INDEX(PASTE_ALL,739,$B$37)," "," "),CHAR(9)," "),CHAR(10)," "),CHAR(13)," ")),""))</f>
        <v/>
      </c>
      <c r="DC743">
        <f>IF(AND(739&gt;HEADER_ROW,UPPER(DB743)="LEGEND"),1,0)</f>
        <v/>
      </c>
      <c r="DE743" t="n">
        <v>739</v>
      </c>
      <c r="DF743">
        <f>HEADER_ROW+$DE743</f>
        <v/>
      </c>
      <c r="DG743">
        <f>IF(AND($DF743&lt;=1000,$DF743&lt;$B$8),1,0)</f>
        <v/>
      </c>
      <c r="DH743">
        <f>IF($DG743=1,IFERROR(INDEX($DB$5:$DB$1004,$DF743),""),"")</f>
        <v/>
      </c>
      <c r="DI743">
        <f>IF(AND($DG743=1,$DH743&lt;&gt;""),IFERROR(SUBSTITUTE(SUBSTITUTE(TRIM(SUBSTITUTE(SUBSTITUTE(SUBSTITUTE(SUBSTITUTE(IFERROR(INDEX(PASTE_ALL,$DF743,1)&amp;"","")&amp;"␟"&amp;IFERROR(INDEX(PASTE_ALL,$DF743,2)&amp;"","")&amp;"␟"&amp;IFERROR(INDEX(PASTE_ALL,$DF743,3)&amp;"","")&amp;"␟"&amp;IFERROR(INDEX(PASTE_ALL,$DF743,4)&amp;"","")&amp;"␟"&amp;IFERROR(INDEX(PASTE_ALL,$DF743,5)&amp;"","")&amp;"␟"&amp;IFERROR(INDEX(PASTE_ALL,$DF743,6)&amp;"","")&amp;"␟"&amp;IFERROR(INDEX(PASTE_ALL,$DF743,7)&amp;"","")&amp;"␟"&amp;IFERROR(INDEX(PASTE_ALL,$DF743,8)&amp;"","")&amp;"␟"&amp;IFERROR(INDEX(PASTE_ALL,$DF743,9)&amp;"","")&amp;"␟"&amp;IFERROR(INDEX(PASTE_ALL,$DF743,10)&amp;"","")&amp;"␟"&amp;IFERROR(INDEX(PASTE_ALL,$DF743,11)&amp;"","")&amp;"␟"&amp;IFERROR(INDEX(PASTE_ALL,$DF743,12)&amp;"","")&amp;"␟"&amp;IFERROR(INDEX(PASTE_ALL,$DF743,13)&amp;"","")&amp;"␟"&amp;IFERROR(INDEX(PASTE_ALL,$DF743,14)&amp;"","")&amp;"␟"&amp;IFERROR(INDEX(PASTE_ALL,$DF743,15)&amp;"","")&amp;"␟"&amp;IFERROR(INDEX(PASTE_ALL,$DF743,16)&amp;"","")&amp;"␟"&amp;IFERROR(INDEX(PASTE_ALL,$DF743,17)&amp;"","")&amp;"␟"&amp;IFERROR(INDEX(PASTE_ALL,$DF743,18)&amp;"","")&amp;"␟"&amp;IFERROR(INDEX(PASTE_ALL,$DF743,19)&amp;"","")&amp;"␟"&amp;IFERROR(INDEX(PASTE_ALL,$DF743,20)&amp;"","")&amp;"␟"&amp;IFERROR(INDEX(PASTE_ALL,$DF743,21)&amp;"","")&amp;"␟"&amp;IFERROR(INDEX(PASTE_ALL,$DF743,22)&amp;"","")&amp;"␟"&amp;IFERROR(INDEX(PASTE_ALL,$DF743,23)&amp;"","")&amp;"␟"&amp;IFERROR(INDEX(PASTE_ALL,$DF743,24)&amp;"","")&amp;"␟"&amp;IFERROR(INDEX(PASTE_ALL,$DF743,25)&amp;"","")&amp;"␟"&amp;IFERROR(INDEX(PASTE_ALL,$DF743,26)&amp;"","")&amp;"␟"&amp;IFERROR(INDEX(PASTE_ALL,$DF743,27)&amp;"","")&amp;"␟"&amp;IFERROR(INDEX(PASTE_ALL,$DF743,28)&amp;"","")&amp;"␟"&amp;IFERROR(INDEX(PASTE_ALL,$DF743,29)&amp;"","")&amp;"␟"&amp;IFERROR(INDEX(PASTE_ALL,$DF743,30)&amp;"","")&amp;"␟"&amp;IFERROR(INDEX(PASTE_ALL,$DF743,31)&amp;"","")&amp;"␟"&amp;IFERROR(INDEX(PASTE_ALL,$DF743,32)&amp;"","")&amp;"␟"&amp;IFERROR(INDEX(PASTE_ALL,$DF743,33)&amp;"","")&amp;"␟"&amp;IFERROR(INDEX(PASTE_ALL,$DF743,34)&amp;"","")&amp;"␟"&amp;IFERROR(INDEX(PASTE_ALL,$DF743,35)&amp;"","")&amp;"␟"&amp;IFERROR(INDEX(PASTE_ALL,$DF743,36)&amp;"","")&amp;"␟"&amp;IFERROR(INDEX(PASTE_ALL,$DF743,37)&amp;"","")&amp;"␟"&amp;IFERROR(INDEX(PASTE_ALL,$DF743,38)&amp;"","")&amp;"␟"&amp;IFERROR(INDEX(PASTE_ALL,$DF743,39)&amp;"","")&amp;"␟"&amp;IFERROR(INDEX(PASTE_ALL,$DF743,40)&amp;"","")&amp;"␟"&amp;IFERROR(INDEX(PASTE_ALL,$DF743,41)&amp;"","")&amp;"␟"&amp;IFERROR(INDEX(PASTE_ALL,$DF743,42)&amp;"","")&amp;"␟"&amp;IFERROR(INDEX(PASTE_ALL,$DF743,43)&amp;"","")&amp;"␟"&amp;IFERROR(INDEX(PASTE_ALL,$DF743,44)&amp;"","")&amp;"␟"&amp;IFERROR(INDEX(PASTE_ALL,$DF743,45)&amp;"","")&amp;"␟"&amp;IFERROR(INDEX(PASTE_ALL,$DF743,46)&amp;"","")&amp;"␟"&amp;IFERROR(INDEX(PASTE_ALL,$DF743,47)&amp;"","")&amp;"␟"&amp;IFERROR(INDEX(PASTE_ALL,$DF743,48)&amp;"","")&amp;"␟"&amp;IFERROR(INDEX(PASTE_ALL,$DF743,49)&amp;"","")&amp;"␟"&amp;IFERROR(INDEX(PASTE_ALL,$DF743,50)&amp;"","")&amp;"␟"&amp;IFERROR(INDEX(PASTE_ALL,$DF743,51)&amp;"","")&amp;"␟"&amp;IFERROR(INDEX(PASTE_ALL,$DF743,52)&amp;"","")&amp;"␟"&amp;IFERROR(INDEX(PASTE_ALL,$DF743,53)&amp;"","")&amp;"␟"&amp;IFERROR(INDEX(PASTE_ALL,$DF743,54)&amp;"","")&amp;"␟"&amp;IFERROR(INDEX(PASTE_ALL,$DF743,55)&amp;"","")&amp;"␟"&amp;IFERROR(INDEX(PASTE_ALL,$DF743,56)&amp;"","")&amp;"␟"&amp;IFERROR(INDEX(PASTE_ALL,$DF743,57)&amp;"","")&amp;"␟"&amp;IFERROR(INDEX(PASTE_ALL,$DF743,58)&amp;"","")&amp;"␟"&amp;IFERROR(INDEX(PASTE_ALL,$DF743,59)&amp;"","")&amp;"␟"&amp;IFERROR(INDEX(PASTE_ALL,$DF743,60)&amp;"","")," "," "),CHAR(9)," "),CHAR(10)," "),CHAR(13)," "))," ␟","␟"),"␟ ","␟"),"#"&amp;$DE743),"")</f>
        <v/>
      </c>
      <c r="DJ743">
        <f>IF($DI743="",0,IF(SUMPRODUCT(--EXACT($DI$4:DI742,$DI743))&gt;0,1,0))</f>
        <v/>
      </c>
      <c r="DK743">
        <f>IF(AND($DI743&lt;&gt;"",$DJ743=0),1,0)</f>
        <v/>
      </c>
      <c r="DL743">
        <f>DL742+$DK743</f>
        <v/>
      </c>
      <c r="DM743">
        <f>IF(AND($DK743=1,$DL743&lt;=600),1,0)</f>
        <v/>
      </c>
      <c r="DN743">
        <f>IF($DM743=0,"",IF($L$6=0,"",IFERROR(IF(ISNUMBER(INDEX(PASTE_ALL,$DF743,$L$6)),INDEX(PASTE_ALL,$DF743,$L$6),TRIM(SUBSTITUTE(SUBSTITUTE(SUBSTITUTE(SUBSTITUTE(INDEX(PASTE_ALL,$DF743,$L$6)," "," "),CHAR(9)," "),CHAR(10)," "),CHAR(13)," "))),"")))</f>
        <v/>
      </c>
      <c r="DO743">
        <f>IF($DM743=0,"",IF($L$7=0,"",IFERROR(IF(ISNUMBER(INDEX(PASTE_ALL,$DF743,$L$7)),INDEX(PASTE_ALL,$DF743,$L$7),TRIM(SUBSTITUTE(SUBSTITUTE(SUBSTITUTE(SUBSTITUTE(INDEX(PASTE_ALL,$DF743,$L$7)," "," "),CHAR(9)," "),CHAR(10)," "),CHAR(13)," "))),"")))</f>
        <v/>
      </c>
      <c r="DP743">
        <f>IF($DM743=0,"",IF($L$8=0,"",IFERROR(IF(ISNUMBER(INDEX(PASTE_ALL,$DF743,$L$8)),INDEX(PASTE_ALL,$DF743,$L$8),TRIM(SUBSTITUTE(SUBSTITUTE(SUBSTITUTE(SUBSTITUTE(INDEX(PASTE_ALL,$DF743,$L$8)," "," "),CHAR(9)," "),CHAR(10)," "),CHAR(13)," "))),"")))</f>
        <v/>
      </c>
      <c r="DQ743">
        <f>IF($DM743=0,"",IF($L$9=0,"",IFERROR(IF(ISNUMBER(INDEX(PASTE_ALL,$DF743,$L$9)),INDEX(PASTE_ALL,$DF743,$L$9),TRIM(SUBSTITUTE(SUBSTITUTE(SUBSTITUTE(SUBSTITUTE(INDEX(PASTE_ALL,$DF743,$L$9)," "," "),CHAR(9)," "),CHAR(10)," "),CHAR(13)," "))),"")))</f>
        <v/>
      </c>
      <c r="DR743">
        <f>IF($DM743=0,"",IF($L$10=0,"",IFERROR(IF(ISNUMBER(INDEX(PASTE_ALL,$DF743,$L$10)),INDEX(PASTE_ALL,$DF743,$L$10),TRIM(SUBSTITUTE(SUBSTITUTE(SUBSTITUTE(SUBSTITUTE(INDEX(PASTE_ALL,$DF743,$L$10)," "," "),CHAR(9)," "),CHAR(10)," "),CHAR(13)," "))),"")))</f>
        <v/>
      </c>
      <c r="DS743">
        <f>IF($DM743=0,"",IF($L$11=0,"",IFERROR(IF(ISNUMBER(INDEX(PASTE_ALL,$DF743,$L$11)),INDEX(PASTE_ALL,$DF743,$L$11),TRIM(SUBSTITUTE(SUBSTITUTE(SUBSTITUTE(SUBSTITUTE(INDEX(PASTE_ALL,$DF743,$L$11)," "," "),CHAR(9)," "),CHAR(10)," "),CHAR(13)," "))),"")))</f>
        <v/>
      </c>
      <c r="DT743">
        <f>IF($DM743=0,"",IF($L$12=0,"",IFERROR(IF(ISNUMBER(INDEX(PASTE_ALL,$DF743,$L$12)),INDEX(PASTE_ALL,$DF743,$L$12),TRIM(SUBSTITUTE(SUBSTITUTE(SUBSTITUTE(SUBSTITUTE(INDEX(PASTE_ALL,$DF743,$L$12)," "," "),CHAR(9)," "),CHAR(10)," "),CHAR(13)," "))),"")))</f>
        <v/>
      </c>
      <c r="DU743">
        <f>IF($DM743=0,"",IF($L$13=0,"",IFERROR(IF(ISNUMBER(INDEX(PASTE_ALL,$DF743,$L$13)),INDEX(PASTE_ALL,$DF743,$L$13),TRIM(SUBSTITUTE(SUBSTITUTE(SUBSTITUTE(SUBSTITUTE(INDEX(PASTE_ALL,$DF743,$L$13)," "," "),CHAR(9)," "),CHAR(10)," "),CHAR(13)," "))),"")))</f>
        <v/>
      </c>
      <c r="DV743">
        <f>IF($DM743=0,"",IF($L$14=0,"",IFERROR(IF(ISNUMBER(INDEX(PASTE_ALL,$DF743,$L$14)),INDEX(PASTE_ALL,$DF743,$L$14),TRIM(SUBSTITUTE(SUBSTITUTE(SUBSTITUTE(SUBSTITUTE(INDEX(PASTE_ALL,$DF743,$L$14)," "," "),CHAR(9)," "),CHAR(10)," "),CHAR(13)," "))),"")))</f>
        <v/>
      </c>
      <c r="DW743">
        <f>IF($DM743=0,"",IF($L$15=0,"",IFERROR(IF(ISNUMBER(INDEX(PASTE_ALL,$DF743,$L$15)),INDEX(PASTE_ALL,$DF743,$L$15),IF(SUMPRODUCT(--ISNUMBER(FIND({"A","B","C","D","E","F","G","H","I","J","K","L","M","N","O","P","Q","R","S","T","U","V","W","X","Y","Z","0","1","2","3","4","5","6","7","8","9"},UPPER(TRIM(SUBSTITUTE(SUBSTITUTE(SUBSTITUTE(SUBSTITUTE(INDEX(PASTE_ALL,$DF743,$L$15)," "," "),CHAR(9)," "),CHAR(10)," "),CHAR(13)," "))))))&gt;0,TRIM(SUBSTITUTE(SUBSTITUTE(SUBSTITUTE(SUBSTITUTE(INDEX(PASTE_ALL,$DF743,$L$15)," "," "),CHAR(9)," "),CHAR(10)," "),CHAR(13)," ")),"")),"")))</f>
        <v/>
      </c>
      <c r="DX743">
        <f>IF($DM743=0,"",IF($L$16=0,"",IFERROR(IF(ISNUMBER(INDEX(PASTE_ALL,$DF743,$L$16)),INDEX(PASTE_ALL,$DF743,$L$16),SUBSTITUTE(SUBSTITUTE(TRIM(SUBSTITUTE(SUBSTITUTE(SUBSTITUTE(SUBSTITUTE(INDEX(PASTE_ALL,$DF743,$L$16)," "," "),CHAR(9)," "),CHAR(10)," "),CHAR(13)," ")),",",""),"%","")),"")))</f>
        <v/>
      </c>
      <c r="DY743">
        <f>IF($DM743=0,"",IFERROR(IF(ISNUMBER($DX743),$DX743,IF($DX743="","",IF(TRIM($DX743)="",0,IF(AND(AND(SUBSTITUTE(SUBSTITUTE(SUBSTITUTE(SUBSTITUTE(SUBSTITUTE(SUBSTITUTE(SUBSTITUTE(SUBSTITUTE(SUBSTITUTE(SUBSTITUTE(SUBSTITUTE(SUBSTITUTE(SUBSTITUTE(SUBSTITUTE(UPPER(TRIM($DX743)),"0",""),"1",""),"2",""),"3",""),"4",""),"5",""),"6",""),"7",""),"8",""),"9",""),".",""),"+",""),"-",""),"E","")="",LEN(SUBSTITUTE(SUBSTITUTE(MID(UPPER(TRIM($DX743)),1+OR(LEFT(UPPER(TRIM($DX743)),1)="+",LEFT(UPPER(TRIM($DX743)),1)="-"),999),"E+","E"),"E-","E"))=LEN(SUBSTITUTE(SUBSTITUTE(SUBSTITUTE(SUBSTITUTE(MID(UPPER(TRIM($DX743)),1+OR(LEFT(UPPER(TRIM($DX743)),1)="+",LEFT(UPPER(TRIM($DX743)),1)="-"),999),"E+","E"),"E-","E"),"+",""),"-","")),LEN(UPPER(TRIM($DX743)))-LEN(SUBSTITUTE(UPPER(TRIM($DX743)),"E",""))&lt;2,LEN(UPPER(TRIM($DX743)))-LEN(SUBSTITUTE(UPPER(TRIM($DX743)),".",""))&lt;2,IFERROR(FIND(".",UPPER(TRIM($DX743))),0)&lt;IFERROR(FIND("E",UPPER(TRIM($DX743))),999)),ISNUMBER(VALUE(TRIM($DX743)))),VALUE(TRIM($DX743)),"")))),""))</f>
        <v/>
      </c>
      <c r="DZ743">
        <f>IF($DM743=0,"",IF($L$17=0,"",IFERROR(IF(ISNUMBER(INDEX(PASTE_ALL,$DF743,$L$17)),INDEX(PASTE_ALL,$DF743,$L$17),SUBSTITUTE(SUBSTITUTE(TRIM(SUBSTITUTE(SUBSTITUTE(SUBSTITUTE(SUBSTITUTE(INDEX(PASTE_ALL,$DF743,$L$17)," "," "),CHAR(9)," "),CHAR(10)," "),CHAR(13)," ")),",",""),"%","")),"")))</f>
        <v/>
      </c>
      <c r="EA743">
        <f>IF($DM743=0,"",IFERROR(IF(ISNUMBER($DZ743),$DZ743,IF($DZ743="","",IF(TRIM($DZ743)="",0,IF(AND(AND(SUBSTITUTE(SUBSTITUTE(SUBSTITUTE(SUBSTITUTE(SUBSTITUTE(SUBSTITUTE(SUBSTITUTE(SUBSTITUTE(SUBSTITUTE(SUBSTITUTE(SUBSTITUTE(SUBSTITUTE(SUBSTITUTE(SUBSTITUTE(UPPER(TRIM($DZ743)),"0",""),"1",""),"2",""),"3",""),"4",""),"5",""),"6",""),"7",""),"8",""),"9",""),".",""),"+",""),"-",""),"E","")="",LEN(SUBSTITUTE(SUBSTITUTE(MID(UPPER(TRIM($DZ743)),1+OR(LEFT(UPPER(TRIM($DZ743)),1)="+",LEFT(UPPER(TRIM($DZ743)),1)="-"),999),"E+","E"),"E-","E"))=LEN(SUBSTITUTE(SUBSTITUTE(SUBSTITUTE(SUBSTITUTE(MID(UPPER(TRIM($DZ743)),1+OR(LEFT(UPPER(TRIM($DZ743)),1)="+",LEFT(UPPER(TRIM($DZ743)),1)="-"),999),"E+","E"),"E-","E"),"+",""),"-","")),LEN(UPPER(TRIM($DZ743)))-LEN(SUBSTITUTE(UPPER(TRIM($DZ743)),"E",""))&lt;2,LEN(UPPER(TRIM($DZ743)))-LEN(SUBSTITUTE(UPPER(TRIM($DZ743)),".",""))&lt;2,IFERROR(FIND(".",UPPER(TRIM($DZ743))),0)&lt;IFERROR(FIND("E",UPPER(TRIM($DZ743))),999)),ISNUMBER(VALUE(TRIM($DZ743)))),VALUE(TRIM($DZ743)),"")))),""))</f>
        <v/>
      </c>
      <c r="EB743">
        <f>IF($DM743=0,"",IF($L$18=0,"",IFERROR(IF(UPPER(TRIM(SUBSTITUTE(SUBSTITUTE(SUBSTITUTE(SUBSTITUTE(INDEX(PASTE_ALL,$DF743,$L$18)," "," "),CHAR(9)," "),CHAR(10)," "),CHAR(13)," ")))="READY","Ready",IF(UPPER(TRIM(SUBSTITUTE(SUBSTITUTE(SUBSTITUTE(SUBSTITUTE(INDEX(PASTE_ALL,$DF743,$L$18)," "," "),CHAR(9)," "),CHAR(10)," "),CHAR(13)," ")))="PM","PM",IF(OR(UPPER(TRIM(SUBSTITUTE(SUBSTITUTE(SUBSTITUTE(SUBSTITUTE(INDEX(PASTE_ALL,$DF743,$L$18)," "," "),CHAR(9)," "),CHAR(10)," "),CHAR(13)," ")))="OT",UPPER(TRIM(SUBSTITUTE(SUBSTITUTE(SUBSTITUTE(SUBSTITUTE(INDEX(PASTE_ALL,$DF743,$L$18)," "," "),CHAR(9)," "),CHAR(10)," "),CHAR(13)," ")))="OVERTIME",UPPER(TRIM(SUBSTITUTE(SUBSTITUTE(SUBSTITUTE(SUBSTITUTE(INDEX(PASTE_ALL,$DF743,$L$18)," "," "),CHAR(9)," "),CHAR(10)," "),CHAR(13)," ")))="TRIAL"),"OT",TRIM(SUBSTITUTE(SUBSTITUTE(SUBSTITUTE(SUBSTITUTE(INDEX(PASTE_ALL,$DF743,$L$18)," "," "),CHAR(9)," "),CHAR(10)," "),CHAR(13)," "))))),"")))</f>
        <v/>
      </c>
      <c r="EC743">
        <f>IF($DM743=0,"",IF($L$19=0,"",IFERROR(IF(ISNUMBER(INDEX(PASTE_ALL,$DF743,$L$19)),INDEX(PASTE_ALL,$DF743,$L$19),TRIM(SUBSTITUTE(SUBSTITUTE(SUBSTITUTE(SUBSTITUTE(INDEX(PASTE_ALL,$DF743,$L$19)," "," "),CHAR(9)," "),CHAR(10)," "),CHAR(13)," "))),"")))</f>
        <v/>
      </c>
      <c r="ED743">
        <f>IF($DM743=0,"",MATCH(1,INDEX(EXACT($DH$5:DH743,$DH743)*$DM$5:DM743,0),0))</f>
        <v/>
      </c>
      <c r="EE743">
        <f>IF($DM743=0,0,IF($ED743=$DE743,1,0))</f>
        <v/>
      </c>
      <c r="EF743">
        <f>EF742+$EE743</f>
        <v/>
      </c>
      <c r="EG743">
        <f>IF($DM743=0,"",INDEX($EF$5:$EF$1003,$ED743))</f>
        <v/>
      </c>
      <c r="EH743">
        <f>IF($DM743=0,"",IF($DO743&lt;&gt;"","",IFERROR(LOOKUP(2,1/(($EG$4:EG742=$EG743)*($DO$4:DO742&lt;&gt;"")),$DO$4:DO742),"")))</f>
        <v/>
      </c>
      <c r="EI743">
        <f>IF($DM743=0,"",IF($DO743&lt;&gt;"",$DO743,$EH743))</f>
        <v/>
      </c>
      <c r="EJ743">
        <f>IF($DM743=0,"",IF($EI743="",0,IF(OR(ISNUMBER($EI743),AND(AND(SUBSTITUTE(SUBSTITUTE(SUBSTITUTE(SUBSTITUTE(SUBSTITUTE(SUBSTITUTE(SUBSTITUTE(SUBSTITUTE(SUBSTITUTE(SUBSTITUTE(SUBSTITUTE(SUBSTITUTE(SUBSTITUTE(SUBSTITUTE(UPPER($EI743),"0",""),"1",""),"2",""),"3",""),"4",""),"5",""),"6",""),"7",""),"8",""),"9",""),".",""),"+",""),"-",""),"E","")="",LEN(SUBSTITUTE(SUBSTITUTE(MID(UPPER($EI743),1+OR(LEFT(UPPER($EI743),1)="+",LEFT(UPPER($EI743),1)="-"),999),"E+","E"),"E-","E"))=LEN(SUBSTITUTE(SUBSTITUTE(SUBSTITUTE(SUBSTITUTE(MID(UPPER($EI743),1+OR(LEFT(UPPER($EI743),1)="+",LEFT(UPPER($EI743),1)="-"),999),"E+","E"),"E-","E"),"+",""),"-","")),LEN(UPPER($EI743))-LEN(SUBSTITUTE(UPPER($EI743),"E",""))&lt;2,LEN(UPPER($EI743))-LEN(SUBSTITUTE(UPPER($EI743),".",""))&lt;2,IFERROR(FIND(".",UPPER($EI743)),0)&lt;IFERROR(FIND("E",UPPER($EI743)),999)),ISNUMBER(VALUE($EI743)))),1,2)))</f>
        <v/>
      </c>
      <c r="EK743">
        <f>IF($DM743=0,"",IF($EJ743=1,IF(ISNUMBER($EI743),$EI743,VALUE($EI743)),IF($EJ743=2,$DE743,0)))</f>
        <v/>
      </c>
      <c r="EL743">
        <f>IF($DM743=0,"",COUNTIF($EG$5:$EG$1003,"&lt;"&amp;$EG743)+SUMPRODUCT(($EG$5:$EG$1003=$EG743)*(($EJ$5:$EJ$1003&lt;$EJ743)+($EJ$5:$EJ$1003=$EJ743)*(($EK$5:$EK$1003&lt;$EK743)+($EK$5:$EK$1003=$EK743)*($DE$5:$DE$1003&lt;$DE743))))+1)</f>
        <v/>
      </c>
      <c r="EM743">
        <f>IF($DM743=0,"",$EL743+$EG743-1)</f>
        <v/>
      </c>
      <c r="EN743">
        <f>IF($DM743=0,0,IFERROR(MATCH(1,INDEX(--(TRIM(SUBSTITUTE(SUBSTITUTE(SUBSTITUTE(SUBSTITUTE(LINES_NAME&amp;""," "," "),CHAR(9)," "),CHAR(10)," "),CHAR(13)," "))=$DH743),0),0),0))</f>
        <v/>
      </c>
      <c r="EO743">
        <f>IF($EN743=0,0,IF(OR(UPPER(TRIM(INDEX(LINES_SCHEDULED,$EN743)&amp;""))="YES",UPPER(TRIM(INDEX(LINES_SCHEDULED,$EN743)&amp;""))="Y",UPPER(TRIM(INDEX(LINES_SCHEDULED,$EN743)&amp;""))="X"),1,0))</f>
        <v/>
      </c>
      <c r="EP743">
        <f>IF($DM743=0,"",IF(COUNTIFS($EG$5:$EG$1003,$EG743,$EB$5:$EB$1003,"Ready")&gt;0,"READY",IF(COUNTIFS($EG$5:$EG$1003,$EG743,$EB$5:$EB$1003,"PM")&gt;0,"PM",IF(COUNTIFS($EG$5:$EG$1003,$EG743,$EB$5:$EB$1003,"OT")&gt;0,"OT",""))))</f>
        <v/>
      </c>
      <c r="EQ743">
        <f>IF($EN743=0,"",UPPER(TRIM(INDEX(LINES_STATUS,$EN743)&amp;"")))</f>
        <v/>
      </c>
      <c r="ER743">
        <f>IF($DM743=0,"",IF(OR($EQ743="READY",$EQ743="PM",$EQ743="OT"),$EQ743,$EP743))</f>
        <v/>
      </c>
      <c r="ES743">
        <f>IF($DM743=0,"",IF(AND($DV743&lt;&gt;"",UPPER($DV743)&lt;&gt;"N"),"allergen",IF(ISNUMBER(SEARCH("oil",$DQ743)),"oil",IF(OR(EXACT($DS743,"A662"),EXACT($DS743,"A624")),"bulk",""))))</f>
        <v/>
      </c>
      <c r="ET743">
        <f>IF($DM743=0,"",IF(OR($EA743="",$EA743=0),"",$EA743/100))</f>
        <v/>
      </c>
      <c r="EU743">
        <f>IF(OR($ET743="",$DY743=""),"",INT($DY743*(1-$ET743)+0.5))</f>
        <v/>
      </c>
    </row>
    <row r="744">
      <c r="DA744" t="n">
        <v>740</v>
      </c>
      <c r="DB744">
        <f>IF($B$37=0,"",IFERROR(TRIM(SUBSTITUTE(SUBSTITUTE(SUBSTITUTE(SUBSTITUTE(INDEX(PASTE_ALL,740,$B$37)," "," "),CHAR(9)," "),CHAR(10)," "),CHAR(13)," ")),""))</f>
        <v/>
      </c>
      <c r="DC744">
        <f>IF(AND(740&gt;HEADER_ROW,UPPER(DB744)="LEGEND"),1,0)</f>
        <v/>
      </c>
      <c r="DE744" t="n">
        <v>740</v>
      </c>
      <c r="DF744">
        <f>HEADER_ROW+$DE744</f>
        <v/>
      </c>
      <c r="DG744">
        <f>IF(AND($DF744&lt;=1000,$DF744&lt;$B$8),1,0)</f>
        <v/>
      </c>
      <c r="DH744">
        <f>IF($DG744=1,IFERROR(INDEX($DB$5:$DB$1004,$DF744),""),"")</f>
        <v/>
      </c>
      <c r="DI744">
        <f>IF(AND($DG744=1,$DH744&lt;&gt;""),IFERROR(SUBSTITUTE(SUBSTITUTE(TRIM(SUBSTITUTE(SUBSTITUTE(SUBSTITUTE(SUBSTITUTE(IFERROR(INDEX(PASTE_ALL,$DF744,1)&amp;"","")&amp;"␟"&amp;IFERROR(INDEX(PASTE_ALL,$DF744,2)&amp;"","")&amp;"␟"&amp;IFERROR(INDEX(PASTE_ALL,$DF744,3)&amp;"","")&amp;"␟"&amp;IFERROR(INDEX(PASTE_ALL,$DF744,4)&amp;"","")&amp;"␟"&amp;IFERROR(INDEX(PASTE_ALL,$DF744,5)&amp;"","")&amp;"␟"&amp;IFERROR(INDEX(PASTE_ALL,$DF744,6)&amp;"","")&amp;"␟"&amp;IFERROR(INDEX(PASTE_ALL,$DF744,7)&amp;"","")&amp;"␟"&amp;IFERROR(INDEX(PASTE_ALL,$DF744,8)&amp;"","")&amp;"␟"&amp;IFERROR(INDEX(PASTE_ALL,$DF744,9)&amp;"","")&amp;"␟"&amp;IFERROR(INDEX(PASTE_ALL,$DF744,10)&amp;"","")&amp;"␟"&amp;IFERROR(INDEX(PASTE_ALL,$DF744,11)&amp;"","")&amp;"␟"&amp;IFERROR(INDEX(PASTE_ALL,$DF744,12)&amp;"","")&amp;"␟"&amp;IFERROR(INDEX(PASTE_ALL,$DF744,13)&amp;"","")&amp;"␟"&amp;IFERROR(INDEX(PASTE_ALL,$DF744,14)&amp;"","")&amp;"␟"&amp;IFERROR(INDEX(PASTE_ALL,$DF744,15)&amp;"","")&amp;"␟"&amp;IFERROR(INDEX(PASTE_ALL,$DF744,16)&amp;"","")&amp;"␟"&amp;IFERROR(INDEX(PASTE_ALL,$DF744,17)&amp;"","")&amp;"␟"&amp;IFERROR(INDEX(PASTE_ALL,$DF744,18)&amp;"","")&amp;"␟"&amp;IFERROR(INDEX(PASTE_ALL,$DF744,19)&amp;"","")&amp;"␟"&amp;IFERROR(INDEX(PASTE_ALL,$DF744,20)&amp;"","")&amp;"␟"&amp;IFERROR(INDEX(PASTE_ALL,$DF744,21)&amp;"","")&amp;"␟"&amp;IFERROR(INDEX(PASTE_ALL,$DF744,22)&amp;"","")&amp;"␟"&amp;IFERROR(INDEX(PASTE_ALL,$DF744,23)&amp;"","")&amp;"␟"&amp;IFERROR(INDEX(PASTE_ALL,$DF744,24)&amp;"","")&amp;"␟"&amp;IFERROR(INDEX(PASTE_ALL,$DF744,25)&amp;"","")&amp;"␟"&amp;IFERROR(INDEX(PASTE_ALL,$DF744,26)&amp;"","")&amp;"␟"&amp;IFERROR(INDEX(PASTE_ALL,$DF744,27)&amp;"","")&amp;"␟"&amp;IFERROR(INDEX(PASTE_ALL,$DF744,28)&amp;"","")&amp;"␟"&amp;IFERROR(INDEX(PASTE_ALL,$DF744,29)&amp;"","")&amp;"␟"&amp;IFERROR(INDEX(PASTE_ALL,$DF744,30)&amp;"","")&amp;"␟"&amp;IFERROR(INDEX(PASTE_ALL,$DF744,31)&amp;"","")&amp;"␟"&amp;IFERROR(INDEX(PASTE_ALL,$DF744,32)&amp;"","")&amp;"␟"&amp;IFERROR(INDEX(PASTE_ALL,$DF744,33)&amp;"","")&amp;"␟"&amp;IFERROR(INDEX(PASTE_ALL,$DF744,34)&amp;"","")&amp;"␟"&amp;IFERROR(INDEX(PASTE_ALL,$DF744,35)&amp;"","")&amp;"␟"&amp;IFERROR(INDEX(PASTE_ALL,$DF744,36)&amp;"","")&amp;"␟"&amp;IFERROR(INDEX(PASTE_ALL,$DF744,37)&amp;"","")&amp;"␟"&amp;IFERROR(INDEX(PASTE_ALL,$DF744,38)&amp;"","")&amp;"␟"&amp;IFERROR(INDEX(PASTE_ALL,$DF744,39)&amp;"","")&amp;"␟"&amp;IFERROR(INDEX(PASTE_ALL,$DF744,40)&amp;"","")&amp;"␟"&amp;IFERROR(INDEX(PASTE_ALL,$DF744,41)&amp;"","")&amp;"␟"&amp;IFERROR(INDEX(PASTE_ALL,$DF744,42)&amp;"","")&amp;"␟"&amp;IFERROR(INDEX(PASTE_ALL,$DF744,43)&amp;"","")&amp;"␟"&amp;IFERROR(INDEX(PASTE_ALL,$DF744,44)&amp;"","")&amp;"␟"&amp;IFERROR(INDEX(PASTE_ALL,$DF744,45)&amp;"","")&amp;"␟"&amp;IFERROR(INDEX(PASTE_ALL,$DF744,46)&amp;"","")&amp;"␟"&amp;IFERROR(INDEX(PASTE_ALL,$DF744,47)&amp;"","")&amp;"␟"&amp;IFERROR(INDEX(PASTE_ALL,$DF744,48)&amp;"","")&amp;"␟"&amp;IFERROR(INDEX(PASTE_ALL,$DF744,49)&amp;"","")&amp;"␟"&amp;IFERROR(INDEX(PASTE_ALL,$DF744,50)&amp;"","")&amp;"␟"&amp;IFERROR(INDEX(PASTE_ALL,$DF744,51)&amp;"","")&amp;"␟"&amp;IFERROR(INDEX(PASTE_ALL,$DF744,52)&amp;"","")&amp;"␟"&amp;IFERROR(INDEX(PASTE_ALL,$DF744,53)&amp;"","")&amp;"␟"&amp;IFERROR(INDEX(PASTE_ALL,$DF744,54)&amp;"","")&amp;"␟"&amp;IFERROR(INDEX(PASTE_ALL,$DF744,55)&amp;"","")&amp;"␟"&amp;IFERROR(INDEX(PASTE_ALL,$DF744,56)&amp;"","")&amp;"␟"&amp;IFERROR(INDEX(PASTE_ALL,$DF744,57)&amp;"","")&amp;"␟"&amp;IFERROR(INDEX(PASTE_ALL,$DF744,58)&amp;"","")&amp;"␟"&amp;IFERROR(INDEX(PASTE_ALL,$DF744,59)&amp;"","")&amp;"␟"&amp;IFERROR(INDEX(PASTE_ALL,$DF744,60)&amp;"","")," "," "),CHAR(9)," "),CHAR(10)," "),CHAR(13)," "))," ␟","␟"),"␟ ","␟"),"#"&amp;$DE744),"")</f>
        <v/>
      </c>
      <c r="DJ744">
        <f>IF($DI744="",0,IF(SUMPRODUCT(--EXACT($DI$4:DI743,$DI744))&gt;0,1,0))</f>
        <v/>
      </c>
      <c r="DK744">
        <f>IF(AND($DI744&lt;&gt;"",$DJ744=0),1,0)</f>
        <v/>
      </c>
      <c r="DL744">
        <f>DL743+$DK744</f>
        <v/>
      </c>
      <c r="DM744">
        <f>IF(AND($DK744=1,$DL744&lt;=600),1,0)</f>
        <v/>
      </c>
      <c r="DN744">
        <f>IF($DM744=0,"",IF($L$6=0,"",IFERROR(IF(ISNUMBER(INDEX(PASTE_ALL,$DF744,$L$6)),INDEX(PASTE_ALL,$DF744,$L$6),TRIM(SUBSTITUTE(SUBSTITUTE(SUBSTITUTE(SUBSTITUTE(INDEX(PASTE_ALL,$DF744,$L$6)," "," "),CHAR(9)," "),CHAR(10)," "),CHAR(13)," "))),"")))</f>
        <v/>
      </c>
      <c r="DO744">
        <f>IF($DM744=0,"",IF($L$7=0,"",IFERROR(IF(ISNUMBER(INDEX(PASTE_ALL,$DF744,$L$7)),INDEX(PASTE_ALL,$DF744,$L$7),TRIM(SUBSTITUTE(SUBSTITUTE(SUBSTITUTE(SUBSTITUTE(INDEX(PASTE_ALL,$DF744,$L$7)," "," "),CHAR(9)," "),CHAR(10)," "),CHAR(13)," "))),"")))</f>
        <v/>
      </c>
      <c r="DP744">
        <f>IF($DM744=0,"",IF($L$8=0,"",IFERROR(IF(ISNUMBER(INDEX(PASTE_ALL,$DF744,$L$8)),INDEX(PASTE_ALL,$DF744,$L$8),TRIM(SUBSTITUTE(SUBSTITUTE(SUBSTITUTE(SUBSTITUTE(INDEX(PASTE_ALL,$DF744,$L$8)," "," "),CHAR(9)," "),CHAR(10)," "),CHAR(13)," "))),"")))</f>
        <v/>
      </c>
      <c r="DQ744">
        <f>IF($DM744=0,"",IF($L$9=0,"",IFERROR(IF(ISNUMBER(INDEX(PASTE_ALL,$DF744,$L$9)),INDEX(PASTE_ALL,$DF744,$L$9),TRIM(SUBSTITUTE(SUBSTITUTE(SUBSTITUTE(SUBSTITUTE(INDEX(PASTE_ALL,$DF744,$L$9)," "," "),CHAR(9)," "),CHAR(10)," "),CHAR(13)," "))),"")))</f>
        <v/>
      </c>
      <c r="DR744">
        <f>IF($DM744=0,"",IF($L$10=0,"",IFERROR(IF(ISNUMBER(INDEX(PASTE_ALL,$DF744,$L$10)),INDEX(PASTE_ALL,$DF744,$L$10),TRIM(SUBSTITUTE(SUBSTITUTE(SUBSTITUTE(SUBSTITUTE(INDEX(PASTE_ALL,$DF744,$L$10)," "," "),CHAR(9)," "),CHAR(10)," "),CHAR(13)," "))),"")))</f>
        <v/>
      </c>
      <c r="DS744">
        <f>IF($DM744=0,"",IF($L$11=0,"",IFERROR(IF(ISNUMBER(INDEX(PASTE_ALL,$DF744,$L$11)),INDEX(PASTE_ALL,$DF744,$L$11),TRIM(SUBSTITUTE(SUBSTITUTE(SUBSTITUTE(SUBSTITUTE(INDEX(PASTE_ALL,$DF744,$L$11)," "," "),CHAR(9)," "),CHAR(10)," "),CHAR(13)," "))),"")))</f>
        <v/>
      </c>
      <c r="DT744">
        <f>IF($DM744=0,"",IF($L$12=0,"",IFERROR(IF(ISNUMBER(INDEX(PASTE_ALL,$DF744,$L$12)),INDEX(PASTE_ALL,$DF744,$L$12),TRIM(SUBSTITUTE(SUBSTITUTE(SUBSTITUTE(SUBSTITUTE(INDEX(PASTE_ALL,$DF744,$L$12)," "," "),CHAR(9)," "),CHAR(10)," "),CHAR(13)," "))),"")))</f>
        <v/>
      </c>
      <c r="DU744">
        <f>IF($DM744=0,"",IF($L$13=0,"",IFERROR(IF(ISNUMBER(INDEX(PASTE_ALL,$DF744,$L$13)),INDEX(PASTE_ALL,$DF744,$L$13),TRIM(SUBSTITUTE(SUBSTITUTE(SUBSTITUTE(SUBSTITUTE(INDEX(PASTE_ALL,$DF744,$L$13)," "," "),CHAR(9)," "),CHAR(10)," "),CHAR(13)," "))),"")))</f>
        <v/>
      </c>
      <c r="DV744">
        <f>IF($DM744=0,"",IF($L$14=0,"",IFERROR(IF(ISNUMBER(INDEX(PASTE_ALL,$DF744,$L$14)),INDEX(PASTE_ALL,$DF744,$L$14),TRIM(SUBSTITUTE(SUBSTITUTE(SUBSTITUTE(SUBSTITUTE(INDEX(PASTE_ALL,$DF744,$L$14)," "," "),CHAR(9)," "),CHAR(10)," "),CHAR(13)," "))),"")))</f>
        <v/>
      </c>
      <c r="DW744">
        <f>IF($DM744=0,"",IF($L$15=0,"",IFERROR(IF(ISNUMBER(INDEX(PASTE_ALL,$DF744,$L$15)),INDEX(PASTE_ALL,$DF744,$L$15),IF(SUMPRODUCT(--ISNUMBER(FIND({"A","B","C","D","E","F","G","H","I","J","K","L","M","N","O","P","Q","R","S","T","U","V","W","X","Y","Z","0","1","2","3","4","5","6","7","8","9"},UPPER(TRIM(SUBSTITUTE(SUBSTITUTE(SUBSTITUTE(SUBSTITUTE(INDEX(PASTE_ALL,$DF744,$L$15)," "," "),CHAR(9)," "),CHAR(10)," "),CHAR(13)," "))))))&gt;0,TRIM(SUBSTITUTE(SUBSTITUTE(SUBSTITUTE(SUBSTITUTE(INDEX(PASTE_ALL,$DF744,$L$15)," "," "),CHAR(9)," "),CHAR(10)," "),CHAR(13)," ")),"")),"")))</f>
        <v/>
      </c>
      <c r="DX744">
        <f>IF($DM744=0,"",IF($L$16=0,"",IFERROR(IF(ISNUMBER(INDEX(PASTE_ALL,$DF744,$L$16)),INDEX(PASTE_ALL,$DF744,$L$16),SUBSTITUTE(SUBSTITUTE(TRIM(SUBSTITUTE(SUBSTITUTE(SUBSTITUTE(SUBSTITUTE(INDEX(PASTE_ALL,$DF744,$L$16)," "," "),CHAR(9)," "),CHAR(10)," "),CHAR(13)," ")),",",""),"%","")),"")))</f>
        <v/>
      </c>
      <c r="DY744">
        <f>IF($DM744=0,"",IFERROR(IF(ISNUMBER($DX744),$DX744,IF($DX744="","",IF(TRIM($DX744)="",0,IF(AND(AND(SUBSTITUTE(SUBSTITUTE(SUBSTITUTE(SUBSTITUTE(SUBSTITUTE(SUBSTITUTE(SUBSTITUTE(SUBSTITUTE(SUBSTITUTE(SUBSTITUTE(SUBSTITUTE(SUBSTITUTE(SUBSTITUTE(SUBSTITUTE(UPPER(TRIM($DX744)),"0",""),"1",""),"2",""),"3",""),"4",""),"5",""),"6",""),"7",""),"8",""),"9",""),".",""),"+",""),"-",""),"E","")="",LEN(SUBSTITUTE(SUBSTITUTE(MID(UPPER(TRIM($DX744)),1+OR(LEFT(UPPER(TRIM($DX744)),1)="+",LEFT(UPPER(TRIM($DX744)),1)="-"),999),"E+","E"),"E-","E"))=LEN(SUBSTITUTE(SUBSTITUTE(SUBSTITUTE(SUBSTITUTE(MID(UPPER(TRIM($DX744)),1+OR(LEFT(UPPER(TRIM($DX744)),1)="+",LEFT(UPPER(TRIM($DX744)),1)="-"),999),"E+","E"),"E-","E"),"+",""),"-","")),LEN(UPPER(TRIM($DX744)))-LEN(SUBSTITUTE(UPPER(TRIM($DX744)),"E",""))&lt;2,LEN(UPPER(TRIM($DX744)))-LEN(SUBSTITUTE(UPPER(TRIM($DX744)),".",""))&lt;2,IFERROR(FIND(".",UPPER(TRIM($DX744))),0)&lt;IFERROR(FIND("E",UPPER(TRIM($DX744))),999)),ISNUMBER(VALUE(TRIM($DX744)))),VALUE(TRIM($DX744)),"")))),""))</f>
        <v/>
      </c>
      <c r="DZ744">
        <f>IF($DM744=0,"",IF($L$17=0,"",IFERROR(IF(ISNUMBER(INDEX(PASTE_ALL,$DF744,$L$17)),INDEX(PASTE_ALL,$DF744,$L$17),SUBSTITUTE(SUBSTITUTE(TRIM(SUBSTITUTE(SUBSTITUTE(SUBSTITUTE(SUBSTITUTE(INDEX(PASTE_ALL,$DF744,$L$17)," "," "),CHAR(9)," "),CHAR(10)," "),CHAR(13)," ")),",",""),"%","")),"")))</f>
        <v/>
      </c>
      <c r="EA744">
        <f>IF($DM744=0,"",IFERROR(IF(ISNUMBER($DZ744),$DZ744,IF($DZ744="","",IF(TRIM($DZ744)="",0,IF(AND(AND(SUBSTITUTE(SUBSTITUTE(SUBSTITUTE(SUBSTITUTE(SUBSTITUTE(SUBSTITUTE(SUBSTITUTE(SUBSTITUTE(SUBSTITUTE(SUBSTITUTE(SUBSTITUTE(SUBSTITUTE(SUBSTITUTE(SUBSTITUTE(UPPER(TRIM($DZ744)),"0",""),"1",""),"2",""),"3",""),"4",""),"5",""),"6",""),"7",""),"8",""),"9",""),".",""),"+",""),"-",""),"E","")="",LEN(SUBSTITUTE(SUBSTITUTE(MID(UPPER(TRIM($DZ744)),1+OR(LEFT(UPPER(TRIM($DZ744)),1)="+",LEFT(UPPER(TRIM($DZ744)),1)="-"),999),"E+","E"),"E-","E"))=LEN(SUBSTITUTE(SUBSTITUTE(SUBSTITUTE(SUBSTITUTE(MID(UPPER(TRIM($DZ744)),1+OR(LEFT(UPPER(TRIM($DZ744)),1)="+",LEFT(UPPER(TRIM($DZ744)),1)="-"),999),"E+","E"),"E-","E"),"+",""),"-","")),LEN(UPPER(TRIM($DZ744)))-LEN(SUBSTITUTE(UPPER(TRIM($DZ744)),"E",""))&lt;2,LEN(UPPER(TRIM($DZ744)))-LEN(SUBSTITUTE(UPPER(TRIM($DZ744)),".",""))&lt;2,IFERROR(FIND(".",UPPER(TRIM($DZ744))),0)&lt;IFERROR(FIND("E",UPPER(TRIM($DZ744))),999)),ISNUMBER(VALUE(TRIM($DZ744)))),VALUE(TRIM($DZ744)),"")))),""))</f>
        <v/>
      </c>
      <c r="EB744">
        <f>IF($DM744=0,"",IF($L$18=0,"",IFERROR(IF(UPPER(TRIM(SUBSTITUTE(SUBSTITUTE(SUBSTITUTE(SUBSTITUTE(INDEX(PASTE_ALL,$DF744,$L$18)," "," "),CHAR(9)," "),CHAR(10)," "),CHAR(13)," ")))="READY","Ready",IF(UPPER(TRIM(SUBSTITUTE(SUBSTITUTE(SUBSTITUTE(SUBSTITUTE(INDEX(PASTE_ALL,$DF744,$L$18)," "," "),CHAR(9)," "),CHAR(10)," "),CHAR(13)," ")))="PM","PM",IF(OR(UPPER(TRIM(SUBSTITUTE(SUBSTITUTE(SUBSTITUTE(SUBSTITUTE(INDEX(PASTE_ALL,$DF744,$L$18)," "," "),CHAR(9)," "),CHAR(10)," "),CHAR(13)," ")))="OT",UPPER(TRIM(SUBSTITUTE(SUBSTITUTE(SUBSTITUTE(SUBSTITUTE(INDEX(PASTE_ALL,$DF744,$L$18)," "," "),CHAR(9)," "),CHAR(10)," "),CHAR(13)," ")))="OVERTIME",UPPER(TRIM(SUBSTITUTE(SUBSTITUTE(SUBSTITUTE(SUBSTITUTE(INDEX(PASTE_ALL,$DF744,$L$18)," "," "),CHAR(9)," "),CHAR(10)," "),CHAR(13)," ")))="TRIAL"),"OT",TRIM(SUBSTITUTE(SUBSTITUTE(SUBSTITUTE(SUBSTITUTE(INDEX(PASTE_ALL,$DF744,$L$18)," "," "),CHAR(9)," "),CHAR(10)," "),CHAR(13)," "))))),"")))</f>
        <v/>
      </c>
      <c r="EC744">
        <f>IF($DM744=0,"",IF($L$19=0,"",IFERROR(IF(ISNUMBER(INDEX(PASTE_ALL,$DF744,$L$19)),INDEX(PASTE_ALL,$DF744,$L$19),TRIM(SUBSTITUTE(SUBSTITUTE(SUBSTITUTE(SUBSTITUTE(INDEX(PASTE_ALL,$DF744,$L$19)," "," "),CHAR(9)," "),CHAR(10)," "),CHAR(13)," "))),"")))</f>
        <v/>
      </c>
      <c r="ED744">
        <f>IF($DM744=0,"",MATCH(1,INDEX(EXACT($DH$5:DH744,$DH744)*$DM$5:DM744,0),0))</f>
        <v/>
      </c>
      <c r="EE744">
        <f>IF($DM744=0,0,IF($ED744=$DE744,1,0))</f>
        <v/>
      </c>
      <c r="EF744">
        <f>EF743+$EE744</f>
        <v/>
      </c>
      <c r="EG744">
        <f>IF($DM744=0,"",INDEX($EF$5:$EF$1003,$ED744))</f>
        <v/>
      </c>
      <c r="EH744">
        <f>IF($DM744=0,"",IF($DO744&lt;&gt;"","",IFERROR(LOOKUP(2,1/(($EG$4:EG743=$EG744)*($DO$4:DO743&lt;&gt;"")),$DO$4:DO743),"")))</f>
        <v/>
      </c>
      <c r="EI744">
        <f>IF($DM744=0,"",IF($DO744&lt;&gt;"",$DO744,$EH744))</f>
        <v/>
      </c>
      <c r="EJ744">
        <f>IF($DM744=0,"",IF($EI744="",0,IF(OR(ISNUMBER($EI744),AND(AND(SUBSTITUTE(SUBSTITUTE(SUBSTITUTE(SUBSTITUTE(SUBSTITUTE(SUBSTITUTE(SUBSTITUTE(SUBSTITUTE(SUBSTITUTE(SUBSTITUTE(SUBSTITUTE(SUBSTITUTE(SUBSTITUTE(SUBSTITUTE(UPPER($EI744),"0",""),"1",""),"2",""),"3",""),"4",""),"5",""),"6",""),"7",""),"8",""),"9",""),".",""),"+",""),"-",""),"E","")="",LEN(SUBSTITUTE(SUBSTITUTE(MID(UPPER($EI744),1+OR(LEFT(UPPER($EI744),1)="+",LEFT(UPPER($EI744),1)="-"),999),"E+","E"),"E-","E"))=LEN(SUBSTITUTE(SUBSTITUTE(SUBSTITUTE(SUBSTITUTE(MID(UPPER($EI744),1+OR(LEFT(UPPER($EI744),1)="+",LEFT(UPPER($EI744),1)="-"),999),"E+","E"),"E-","E"),"+",""),"-","")),LEN(UPPER($EI744))-LEN(SUBSTITUTE(UPPER($EI744),"E",""))&lt;2,LEN(UPPER($EI744))-LEN(SUBSTITUTE(UPPER($EI744),".",""))&lt;2,IFERROR(FIND(".",UPPER($EI744)),0)&lt;IFERROR(FIND("E",UPPER($EI744)),999)),ISNUMBER(VALUE($EI744)))),1,2)))</f>
        <v/>
      </c>
      <c r="EK744">
        <f>IF($DM744=0,"",IF($EJ744=1,IF(ISNUMBER($EI744),$EI744,VALUE($EI744)),IF($EJ744=2,$DE744,0)))</f>
        <v/>
      </c>
      <c r="EL744">
        <f>IF($DM744=0,"",COUNTIF($EG$5:$EG$1003,"&lt;"&amp;$EG744)+SUMPRODUCT(($EG$5:$EG$1003=$EG744)*(($EJ$5:$EJ$1003&lt;$EJ744)+($EJ$5:$EJ$1003=$EJ744)*(($EK$5:$EK$1003&lt;$EK744)+($EK$5:$EK$1003=$EK744)*($DE$5:$DE$1003&lt;$DE744))))+1)</f>
        <v/>
      </c>
      <c r="EM744">
        <f>IF($DM744=0,"",$EL744+$EG744-1)</f>
        <v/>
      </c>
      <c r="EN744">
        <f>IF($DM744=0,0,IFERROR(MATCH(1,INDEX(--(TRIM(SUBSTITUTE(SUBSTITUTE(SUBSTITUTE(SUBSTITUTE(LINES_NAME&amp;""," "," "),CHAR(9)," "),CHAR(10)," "),CHAR(13)," "))=$DH744),0),0),0))</f>
        <v/>
      </c>
      <c r="EO744">
        <f>IF($EN744=0,0,IF(OR(UPPER(TRIM(INDEX(LINES_SCHEDULED,$EN744)&amp;""))="YES",UPPER(TRIM(INDEX(LINES_SCHEDULED,$EN744)&amp;""))="Y",UPPER(TRIM(INDEX(LINES_SCHEDULED,$EN744)&amp;""))="X"),1,0))</f>
        <v/>
      </c>
      <c r="EP744">
        <f>IF($DM744=0,"",IF(COUNTIFS($EG$5:$EG$1003,$EG744,$EB$5:$EB$1003,"Ready")&gt;0,"READY",IF(COUNTIFS($EG$5:$EG$1003,$EG744,$EB$5:$EB$1003,"PM")&gt;0,"PM",IF(COUNTIFS($EG$5:$EG$1003,$EG744,$EB$5:$EB$1003,"OT")&gt;0,"OT",""))))</f>
        <v/>
      </c>
      <c r="EQ744">
        <f>IF($EN744=0,"",UPPER(TRIM(INDEX(LINES_STATUS,$EN744)&amp;"")))</f>
        <v/>
      </c>
      <c r="ER744">
        <f>IF($DM744=0,"",IF(OR($EQ744="READY",$EQ744="PM",$EQ744="OT"),$EQ744,$EP744))</f>
        <v/>
      </c>
      <c r="ES744">
        <f>IF($DM744=0,"",IF(AND($DV744&lt;&gt;"",UPPER($DV744)&lt;&gt;"N"),"allergen",IF(ISNUMBER(SEARCH("oil",$DQ744)),"oil",IF(OR(EXACT($DS744,"A662"),EXACT($DS744,"A624")),"bulk",""))))</f>
        <v/>
      </c>
      <c r="ET744">
        <f>IF($DM744=0,"",IF(OR($EA744="",$EA744=0),"",$EA744/100))</f>
        <v/>
      </c>
      <c r="EU744">
        <f>IF(OR($ET744="",$DY744=""),"",INT($DY744*(1-$ET744)+0.5))</f>
        <v/>
      </c>
    </row>
    <row r="745">
      <c r="DA745" t="n">
        <v>741</v>
      </c>
      <c r="DB745">
        <f>IF($B$37=0,"",IFERROR(TRIM(SUBSTITUTE(SUBSTITUTE(SUBSTITUTE(SUBSTITUTE(INDEX(PASTE_ALL,741,$B$37)," "," "),CHAR(9)," "),CHAR(10)," "),CHAR(13)," ")),""))</f>
        <v/>
      </c>
      <c r="DC745">
        <f>IF(AND(741&gt;HEADER_ROW,UPPER(DB745)="LEGEND"),1,0)</f>
        <v/>
      </c>
      <c r="DE745" t="n">
        <v>741</v>
      </c>
      <c r="DF745">
        <f>HEADER_ROW+$DE745</f>
        <v/>
      </c>
      <c r="DG745">
        <f>IF(AND($DF745&lt;=1000,$DF745&lt;$B$8),1,0)</f>
        <v/>
      </c>
      <c r="DH745">
        <f>IF($DG745=1,IFERROR(INDEX($DB$5:$DB$1004,$DF745),""),"")</f>
        <v/>
      </c>
      <c r="DI745">
        <f>IF(AND($DG745=1,$DH745&lt;&gt;""),IFERROR(SUBSTITUTE(SUBSTITUTE(TRIM(SUBSTITUTE(SUBSTITUTE(SUBSTITUTE(SUBSTITUTE(IFERROR(INDEX(PASTE_ALL,$DF745,1)&amp;"","")&amp;"␟"&amp;IFERROR(INDEX(PASTE_ALL,$DF745,2)&amp;"","")&amp;"␟"&amp;IFERROR(INDEX(PASTE_ALL,$DF745,3)&amp;"","")&amp;"␟"&amp;IFERROR(INDEX(PASTE_ALL,$DF745,4)&amp;"","")&amp;"␟"&amp;IFERROR(INDEX(PASTE_ALL,$DF745,5)&amp;"","")&amp;"␟"&amp;IFERROR(INDEX(PASTE_ALL,$DF745,6)&amp;"","")&amp;"␟"&amp;IFERROR(INDEX(PASTE_ALL,$DF745,7)&amp;"","")&amp;"␟"&amp;IFERROR(INDEX(PASTE_ALL,$DF745,8)&amp;"","")&amp;"␟"&amp;IFERROR(INDEX(PASTE_ALL,$DF745,9)&amp;"","")&amp;"␟"&amp;IFERROR(INDEX(PASTE_ALL,$DF745,10)&amp;"","")&amp;"␟"&amp;IFERROR(INDEX(PASTE_ALL,$DF745,11)&amp;"","")&amp;"␟"&amp;IFERROR(INDEX(PASTE_ALL,$DF745,12)&amp;"","")&amp;"␟"&amp;IFERROR(INDEX(PASTE_ALL,$DF745,13)&amp;"","")&amp;"␟"&amp;IFERROR(INDEX(PASTE_ALL,$DF745,14)&amp;"","")&amp;"␟"&amp;IFERROR(INDEX(PASTE_ALL,$DF745,15)&amp;"","")&amp;"␟"&amp;IFERROR(INDEX(PASTE_ALL,$DF745,16)&amp;"","")&amp;"␟"&amp;IFERROR(INDEX(PASTE_ALL,$DF745,17)&amp;"","")&amp;"␟"&amp;IFERROR(INDEX(PASTE_ALL,$DF745,18)&amp;"","")&amp;"␟"&amp;IFERROR(INDEX(PASTE_ALL,$DF745,19)&amp;"","")&amp;"␟"&amp;IFERROR(INDEX(PASTE_ALL,$DF745,20)&amp;"","")&amp;"␟"&amp;IFERROR(INDEX(PASTE_ALL,$DF745,21)&amp;"","")&amp;"␟"&amp;IFERROR(INDEX(PASTE_ALL,$DF745,22)&amp;"","")&amp;"␟"&amp;IFERROR(INDEX(PASTE_ALL,$DF745,23)&amp;"","")&amp;"␟"&amp;IFERROR(INDEX(PASTE_ALL,$DF745,24)&amp;"","")&amp;"␟"&amp;IFERROR(INDEX(PASTE_ALL,$DF745,25)&amp;"","")&amp;"␟"&amp;IFERROR(INDEX(PASTE_ALL,$DF745,26)&amp;"","")&amp;"␟"&amp;IFERROR(INDEX(PASTE_ALL,$DF745,27)&amp;"","")&amp;"␟"&amp;IFERROR(INDEX(PASTE_ALL,$DF745,28)&amp;"","")&amp;"␟"&amp;IFERROR(INDEX(PASTE_ALL,$DF745,29)&amp;"","")&amp;"␟"&amp;IFERROR(INDEX(PASTE_ALL,$DF745,30)&amp;"","")&amp;"␟"&amp;IFERROR(INDEX(PASTE_ALL,$DF745,31)&amp;"","")&amp;"␟"&amp;IFERROR(INDEX(PASTE_ALL,$DF745,32)&amp;"","")&amp;"␟"&amp;IFERROR(INDEX(PASTE_ALL,$DF745,33)&amp;"","")&amp;"␟"&amp;IFERROR(INDEX(PASTE_ALL,$DF745,34)&amp;"","")&amp;"␟"&amp;IFERROR(INDEX(PASTE_ALL,$DF745,35)&amp;"","")&amp;"␟"&amp;IFERROR(INDEX(PASTE_ALL,$DF745,36)&amp;"","")&amp;"␟"&amp;IFERROR(INDEX(PASTE_ALL,$DF745,37)&amp;"","")&amp;"␟"&amp;IFERROR(INDEX(PASTE_ALL,$DF745,38)&amp;"","")&amp;"␟"&amp;IFERROR(INDEX(PASTE_ALL,$DF745,39)&amp;"","")&amp;"␟"&amp;IFERROR(INDEX(PASTE_ALL,$DF745,40)&amp;"","")&amp;"␟"&amp;IFERROR(INDEX(PASTE_ALL,$DF745,41)&amp;"","")&amp;"␟"&amp;IFERROR(INDEX(PASTE_ALL,$DF745,42)&amp;"","")&amp;"␟"&amp;IFERROR(INDEX(PASTE_ALL,$DF745,43)&amp;"","")&amp;"␟"&amp;IFERROR(INDEX(PASTE_ALL,$DF745,44)&amp;"","")&amp;"␟"&amp;IFERROR(INDEX(PASTE_ALL,$DF745,45)&amp;"","")&amp;"␟"&amp;IFERROR(INDEX(PASTE_ALL,$DF745,46)&amp;"","")&amp;"␟"&amp;IFERROR(INDEX(PASTE_ALL,$DF745,47)&amp;"","")&amp;"␟"&amp;IFERROR(INDEX(PASTE_ALL,$DF745,48)&amp;"","")&amp;"␟"&amp;IFERROR(INDEX(PASTE_ALL,$DF745,49)&amp;"","")&amp;"␟"&amp;IFERROR(INDEX(PASTE_ALL,$DF745,50)&amp;"","")&amp;"␟"&amp;IFERROR(INDEX(PASTE_ALL,$DF745,51)&amp;"","")&amp;"␟"&amp;IFERROR(INDEX(PASTE_ALL,$DF745,52)&amp;"","")&amp;"␟"&amp;IFERROR(INDEX(PASTE_ALL,$DF745,53)&amp;"","")&amp;"␟"&amp;IFERROR(INDEX(PASTE_ALL,$DF745,54)&amp;"","")&amp;"␟"&amp;IFERROR(INDEX(PASTE_ALL,$DF745,55)&amp;"","")&amp;"␟"&amp;IFERROR(INDEX(PASTE_ALL,$DF745,56)&amp;"","")&amp;"␟"&amp;IFERROR(INDEX(PASTE_ALL,$DF745,57)&amp;"","")&amp;"␟"&amp;IFERROR(INDEX(PASTE_ALL,$DF745,58)&amp;"","")&amp;"␟"&amp;IFERROR(INDEX(PASTE_ALL,$DF745,59)&amp;"","")&amp;"␟"&amp;IFERROR(INDEX(PASTE_ALL,$DF745,60)&amp;"","")," "," "),CHAR(9)," "),CHAR(10)," "),CHAR(13)," "))," ␟","␟"),"␟ ","␟"),"#"&amp;$DE745),"")</f>
        <v/>
      </c>
      <c r="DJ745">
        <f>IF($DI745="",0,IF(SUMPRODUCT(--EXACT($DI$4:DI744,$DI745))&gt;0,1,0))</f>
        <v/>
      </c>
      <c r="DK745">
        <f>IF(AND($DI745&lt;&gt;"",$DJ745=0),1,0)</f>
        <v/>
      </c>
      <c r="DL745">
        <f>DL744+$DK745</f>
        <v/>
      </c>
      <c r="DM745">
        <f>IF(AND($DK745=1,$DL745&lt;=600),1,0)</f>
        <v/>
      </c>
      <c r="DN745">
        <f>IF($DM745=0,"",IF($L$6=0,"",IFERROR(IF(ISNUMBER(INDEX(PASTE_ALL,$DF745,$L$6)),INDEX(PASTE_ALL,$DF745,$L$6),TRIM(SUBSTITUTE(SUBSTITUTE(SUBSTITUTE(SUBSTITUTE(INDEX(PASTE_ALL,$DF745,$L$6)," "," "),CHAR(9)," "),CHAR(10)," "),CHAR(13)," "))),"")))</f>
        <v/>
      </c>
      <c r="DO745">
        <f>IF($DM745=0,"",IF($L$7=0,"",IFERROR(IF(ISNUMBER(INDEX(PASTE_ALL,$DF745,$L$7)),INDEX(PASTE_ALL,$DF745,$L$7),TRIM(SUBSTITUTE(SUBSTITUTE(SUBSTITUTE(SUBSTITUTE(INDEX(PASTE_ALL,$DF745,$L$7)," "," "),CHAR(9)," "),CHAR(10)," "),CHAR(13)," "))),"")))</f>
        <v/>
      </c>
      <c r="DP745">
        <f>IF($DM745=0,"",IF($L$8=0,"",IFERROR(IF(ISNUMBER(INDEX(PASTE_ALL,$DF745,$L$8)),INDEX(PASTE_ALL,$DF745,$L$8),TRIM(SUBSTITUTE(SUBSTITUTE(SUBSTITUTE(SUBSTITUTE(INDEX(PASTE_ALL,$DF745,$L$8)," "," "),CHAR(9)," "),CHAR(10)," "),CHAR(13)," "))),"")))</f>
        <v/>
      </c>
      <c r="DQ745">
        <f>IF($DM745=0,"",IF($L$9=0,"",IFERROR(IF(ISNUMBER(INDEX(PASTE_ALL,$DF745,$L$9)),INDEX(PASTE_ALL,$DF745,$L$9),TRIM(SUBSTITUTE(SUBSTITUTE(SUBSTITUTE(SUBSTITUTE(INDEX(PASTE_ALL,$DF745,$L$9)," "," "),CHAR(9)," "),CHAR(10)," "),CHAR(13)," "))),"")))</f>
        <v/>
      </c>
      <c r="DR745">
        <f>IF($DM745=0,"",IF($L$10=0,"",IFERROR(IF(ISNUMBER(INDEX(PASTE_ALL,$DF745,$L$10)),INDEX(PASTE_ALL,$DF745,$L$10),TRIM(SUBSTITUTE(SUBSTITUTE(SUBSTITUTE(SUBSTITUTE(INDEX(PASTE_ALL,$DF745,$L$10)," "," "),CHAR(9)," "),CHAR(10)," "),CHAR(13)," "))),"")))</f>
        <v/>
      </c>
      <c r="DS745">
        <f>IF($DM745=0,"",IF($L$11=0,"",IFERROR(IF(ISNUMBER(INDEX(PASTE_ALL,$DF745,$L$11)),INDEX(PASTE_ALL,$DF745,$L$11),TRIM(SUBSTITUTE(SUBSTITUTE(SUBSTITUTE(SUBSTITUTE(INDEX(PASTE_ALL,$DF745,$L$11)," "," "),CHAR(9)," "),CHAR(10)," "),CHAR(13)," "))),"")))</f>
        <v/>
      </c>
      <c r="DT745">
        <f>IF($DM745=0,"",IF($L$12=0,"",IFERROR(IF(ISNUMBER(INDEX(PASTE_ALL,$DF745,$L$12)),INDEX(PASTE_ALL,$DF745,$L$12),TRIM(SUBSTITUTE(SUBSTITUTE(SUBSTITUTE(SUBSTITUTE(INDEX(PASTE_ALL,$DF745,$L$12)," "," "),CHAR(9)," "),CHAR(10)," "),CHAR(13)," "))),"")))</f>
        <v/>
      </c>
      <c r="DU745">
        <f>IF($DM745=0,"",IF($L$13=0,"",IFERROR(IF(ISNUMBER(INDEX(PASTE_ALL,$DF745,$L$13)),INDEX(PASTE_ALL,$DF745,$L$13),TRIM(SUBSTITUTE(SUBSTITUTE(SUBSTITUTE(SUBSTITUTE(INDEX(PASTE_ALL,$DF745,$L$13)," "," "),CHAR(9)," "),CHAR(10)," "),CHAR(13)," "))),"")))</f>
        <v/>
      </c>
      <c r="DV745">
        <f>IF($DM745=0,"",IF($L$14=0,"",IFERROR(IF(ISNUMBER(INDEX(PASTE_ALL,$DF745,$L$14)),INDEX(PASTE_ALL,$DF745,$L$14),TRIM(SUBSTITUTE(SUBSTITUTE(SUBSTITUTE(SUBSTITUTE(INDEX(PASTE_ALL,$DF745,$L$14)," "," "),CHAR(9)," "),CHAR(10)," "),CHAR(13)," "))),"")))</f>
        <v/>
      </c>
      <c r="DW745">
        <f>IF($DM745=0,"",IF($L$15=0,"",IFERROR(IF(ISNUMBER(INDEX(PASTE_ALL,$DF745,$L$15)),INDEX(PASTE_ALL,$DF745,$L$15),IF(SUMPRODUCT(--ISNUMBER(FIND({"A","B","C","D","E","F","G","H","I","J","K","L","M","N","O","P","Q","R","S","T","U","V","W","X","Y","Z","0","1","2","3","4","5","6","7","8","9"},UPPER(TRIM(SUBSTITUTE(SUBSTITUTE(SUBSTITUTE(SUBSTITUTE(INDEX(PASTE_ALL,$DF745,$L$15)," "," "),CHAR(9)," "),CHAR(10)," "),CHAR(13)," "))))))&gt;0,TRIM(SUBSTITUTE(SUBSTITUTE(SUBSTITUTE(SUBSTITUTE(INDEX(PASTE_ALL,$DF745,$L$15)," "," "),CHAR(9)," "),CHAR(10)," "),CHAR(13)," ")),"")),"")))</f>
        <v/>
      </c>
      <c r="DX745">
        <f>IF($DM745=0,"",IF($L$16=0,"",IFERROR(IF(ISNUMBER(INDEX(PASTE_ALL,$DF745,$L$16)),INDEX(PASTE_ALL,$DF745,$L$16),SUBSTITUTE(SUBSTITUTE(TRIM(SUBSTITUTE(SUBSTITUTE(SUBSTITUTE(SUBSTITUTE(INDEX(PASTE_ALL,$DF745,$L$16)," "," "),CHAR(9)," "),CHAR(10)," "),CHAR(13)," ")),",",""),"%","")),"")))</f>
        <v/>
      </c>
      <c r="DY745">
        <f>IF($DM745=0,"",IFERROR(IF(ISNUMBER($DX745),$DX745,IF($DX745="","",IF(TRIM($DX745)="",0,IF(AND(AND(SUBSTITUTE(SUBSTITUTE(SUBSTITUTE(SUBSTITUTE(SUBSTITUTE(SUBSTITUTE(SUBSTITUTE(SUBSTITUTE(SUBSTITUTE(SUBSTITUTE(SUBSTITUTE(SUBSTITUTE(SUBSTITUTE(SUBSTITUTE(UPPER(TRIM($DX745)),"0",""),"1",""),"2",""),"3",""),"4",""),"5",""),"6",""),"7",""),"8",""),"9",""),".",""),"+",""),"-",""),"E","")="",LEN(SUBSTITUTE(SUBSTITUTE(MID(UPPER(TRIM($DX745)),1+OR(LEFT(UPPER(TRIM($DX745)),1)="+",LEFT(UPPER(TRIM($DX745)),1)="-"),999),"E+","E"),"E-","E"))=LEN(SUBSTITUTE(SUBSTITUTE(SUBSTITUTE(SUBSTITUTE(MID(UPPER(TRIM($DX745)),1+OR(LEFT(UPPER(TRIM($DX745)),1)="+",LEFT(UPPER(TRIM($DX745)),1)="-"),999),"E+","E"),"E-","E"),"+",""),"-","")),LEN(UPPER(TRIM($DX745)))-LEN(SUBSTITUTE(UPPER(TRIM($DX745)),"E",""))&lt;2,LEN(UPPER(TRIM($DX745)))-LEN(SUBSTITUTE(UPPER(TRIM($DX745)),".",""))&lt;2,IFERROR(FIND(".",UPPER(TRIM($DX745))),0)&lt;IFERROR(FIND("E",UPPER(TRIM($DX745))),999)),ISNUMBER(VALUE(TRIM($DX745)))),VALUE(TRIM($DX745)),"")))),""))</f>
        <v/>
      </c>
      <c r="DZ745">
        <f>IF($DM745=0,"",IF($L$17=0,"",IFERROR(IF(ISNUMBER(INDEX(PASTE_ALL,$DF745,$L$17)),INDEX(PASTE_ALL,$DF745,$L$17),SUBSTITUTE(SUBSTITUTE(TRIM(SUBSTITUTE(SUBSTITUTE(SUBSTITUTE(SUBSTITUTE(INDEX(PASTE_ALL,$DF745,$L$17)," "," "),CHAR(9)," "),CHAR(10)," "),CHAR(13)," ")),",",""),"%","")),"")))</f>
        <v/>
      </c>
      <c r="EA745">
        <f>IF($DM745=0,"",IFERROR(IF(ISNUMBER($DZ745),$DZ745,IF($DZ745="","",IF(TRIM($DZ745)="",0,IF(AND(AND(SUBSTITUTE(SUBSTITUTE(SUBSTITUTE(SUBSTITUTE(SUBSTITUTE(SUBSTITUTE(SUBSTITUTE(SUBSTITUTE(SUBSTITUTE(SUBSTITUTE(SUBSTITUTE(SUBSTITUTE(SUBSTITUTE(SUBSTITUTE(UPPER(TRIM($DZ745)),"0",""),"1",""),"2",""),"3",""),"4",""),"5",""),"6",""),"7",""),"8",""),"9",""),".",""),"+",""),"-",""),"E","")="",LEN(SUBSTITUTE(SUBSTITUTE(MID(UPPER(TRIM($DZ745)),1+OR(LEFT(UPPER(TRIM($DZ745)),1)="+",LEFT(UPPER(TRIM($DZ745)),1)="-"),999),"E+","E"),"E-","E"))=LEN(SUBSTITUTE(SUBSTITUTE(SUBSTITUTE(SUBSTITUTE(MID(UPPER(TRIM($DZ745)),1+OR(LEFT(UPPER(TRIM($DZ745)),1)="+",LEFT(UPPER(TRIM($DZ745)),1)="-"),999),"E+","E"),"E-","E"),"+",""),"-","")),LEN(UPPER(TRIM($DZ745)))-LEN(SUBSTITUTE(UPPER(TRIM($DZ745)),"E",""))&lt;2,LEN(UPPER(TRIM($DZ745)))-LEN(SUBSTITUTE(UPPER(TRIM($DZ745)),".",""))&lt;2,IFERROR(FIND(".",UPPER(TRIM($DZ745))),0)&lt;IFERROR(FIND("E",UPPER(TRIM($DZ745))),999)),ISNUMBER(VALUE(TRIM($DZ745)))),VALUE(TRIM($DZ745)),"")))),""))</f>
        <v/>
      </c>
      <c r="EB745">
        <f>IF($DM745=0,"",IF($L$18=0,"",IFERROR(IF(UPPER(TRIM(SUBSTITUTE(SUBSTITUTE(SUBSTITUTE(SUBSTITUTE(INDEX(PASTE_ALL,$DF745,$L$18)," "," "),CHAR(9)," "),CHAR(10)," "),CHAR(13)," ")))="READY","Ready",IF(UPPER(TRIM(SUBSTITUTE(SUBSTITUTE(SUBSTITUTE(SUBSTITUTE(INDEX(PASTE_ALL,$DF745,$L$18)," "," "),CHAR(9)," "),CHAR(10)," "),CHAR(13)," ")))="PM","PM",IF(OR(UPPER(TRIM(SUBSTITUTE(SUBSTITUTE(SUBSTITUTE(SUBSTITUTE(INDEX(PASTE_ALL,$DF745,$L$18)," "," "),CHAR(9)," "),CHAR(10)," "),CHAR(13)," ")))="OT",UPPER(TRIM(SUBSTITUTE(SUBSTITUTE(SUBSTITUTE(SUBSTITUTE(INDEX(PASTE_ALL,$DF745,$L$18)," "," "),CHAR(9)," "),CHAR(10)," "),CHAR(13)," ")))="OVERTIME",UPPER(TRIM(SUBSTITUTE(SUBSTITUTE(SUBSTITUTE(SUBSTITUTE(INDEX(PASTE_ALL,$DF745,$L$18)," "," "),CHAR(9)," "),CHAR(10)," "),CHAR(13)," ")))="TRIAL"),"OT",TRIM(SUBSTITUTE(SUBSTITUTE(SUBSTITUTE(SUBSTITUTE(INDEX(PASTE_ALL,$DF745,$L$18)," "," "),CHAR(9)," "),CHAR(10)," "),CHAR(13)," "))))),"")))</f>
        <v/>
      </c>
      <c r="EC745">
        <f>IF($DM745=0,"",IF($L$19=0,"",IFERROR(IF(ISNUMBER(INDEX(PASTE_ALL,$DF745,$L$19)),INDEX(PASTE_ALL,$DF745,$L$19),TRIM(SUBSTITUTE(SUBSTITUTE(SUBSTITUTE(SUBSTITUTE(INDEX(PASTE_ALL,$DF745,$L$19)," "," "),CHAR(9)," "),CHAR(10)," "),CHAR(13)," "))),"")))</f>
        <v/>
      </c>
      <c r="ED745">
        <f>IF($DM745=0,"",MATCH(1,INDEX(EXACT($DH$5:DH745,$DH745)*$DM$5:DM745,0),0))</f>
        <v/>
      </c>
      <c r="EE745">
        <f>IF($DM745=0,0,IF($ED745=$DE745,1,0))</f>
        <v/>
      </c>
      <c r="EF745">
        <f>EF744+$EE745</f>
        <v/>
      </c>
      <c r="EG745">
        <f>IF($DM745=0,"",INDEX($EF$5:$EF$1003,$ED745))</f>
        <v/>
      </c>
      <c r="EH745">
        <f>IF($DM745=0,"",IF($DO745&lt;&gt;"","",IFERROR(LOOKUP(2,1/(($EG$4:EG744=$EG745)*($DO$4:DO744&lt;&gt;"")),$DO$4:DO744),"")))</f>
        <v/>
      </c>
      <c r="EI745">
        <f>IF($DM745=0,"",IF($DO745&lt;&gt;"",$DO745,$EH745))</f>
        <v/>
      </c>
      <c r="EJ745">
        <f>IF($DM745=0,"",IF($EI745="",0,IF(OR(ISNUMBER($EI745),AND(AND(SUBSTITUTE(SUBSTITUTE(SUBSTITUTE(SUBSTITUTE(SUBSTITUTE(SUBSTITUTE(SUBSTITUTE(SUBSTITUTE(SUBSTITUTE(SUBSTITUTE(SUBSTITUTE(SUBSTITUTE(SUBSTITUTE(SUBSTITUTE(UPPER($EI745),"0",""),"1",""),"2",""),"3",""),"4",""),"5",""),"6",""),"7",""),"8",""),"9",""),".",""),"+",""),"-",""),"E","")="",LEN(SUBSTITUTE(SUBSTITUTE(MID(UPPER($EI745),1+OR(LEFT(UPPER($EI745),1)="+",LEFT(UPPER($EI745),1)="-"),999),"E+","E"),"E-","E"))=LEN(SUBSTITUTE(SUBSTITUTE(SUBSTITUTE(SUBSTITUTE(MID(UPPER($EI745),1+OR(LEFT(UPPER($EI745),1)="+",LEFT(UPPER($EI745),1)="-"),999),"E+","E"),"E-","E"),"+",""),"-","")),LEN(UPPER($EI745))-LEN(SUBSTITUTE(UPPER($EI745),"E",""))&lt;2,LEN(UPPER($EI745))-LEN(SUBSTITUTE(UPPER($EI745),".",""))&lt;2,IFERROR(FIND(".",UPPER($EI745)),0)&lt;IFERROR(FIND("E",UPPER($EI745)),999)),ISNUMBER(VALUE($EI745)))),1,2)))</f>
        <v/>
      </c>
      <c r="EK745">
        <f>IF($DM745=0,"",IF($EJ745=1,IF(ISNUMBER($EI745),$EI745,VALUE($EI745)),IF($EJ745=2,$DE745,0)))</f>
        <v/>
      </c>
      <c r="EL745">
        <f>IF($DM745=0,"",COUNTIF($EG$5:$EG$1003,"&lt;"&amp;$EG745)+SUMPRODUCT(($EG$5:$EG$1003=$EG745)*(($EJ$5:$EJ$1003&lt;$EJ745)+($EJ$5:$EJ$1003=$EJ745)*(($EK$5:$EK$1003&lt;$EK745)+($EK$5:$EK$1003=$EK745)*($DE$5:$DE$1003&lt;$DE745))))+1)</f>
        <v/>
      </c>
      <c r="EM745">
        <f>IF($DM745=0,"",$EL745+$EG745-1)</f>
        <v/>
      </c>
      <c r="EN745">
        <f>IF($DM745=0,0,IFERROR(MATCH(1,INDEX(--(TRIM(SUBSTITUTE(SUBSTITUTE(SUBSTITUTE(SUBSTITUTE(LINES_NAME&amp;""," "," "),CHAR(9)," "),CHAR(10)," "),CHAR(13)," "))=$DH745),0),0),0))</f>
        <v/>
      </c>
      <c r="EO745">
        <f>IF($EN745=0,0,IF(OR(UPPER(TRIM(INDEX(LINES_SCHEDULED,$EN745)&amp;""))="YES",UPPER(TRIM(INDEX(LINES_SCHEDULED,$EN745)&amp;""))="Y",UPPER(TRIM(INDEX(LINES_SCHEDULED,$EN745)&amp;""))="X"),1,0))</f>
        <v/>
      </c>
      <c r="EP745">
        <f>IF($DM745=0,"",IF(COUNTIFS($EG$5:$EG$1003,$EG745,$EB$5:$EB$1003,"Ready")&gt;0,"READY",IF(COUNTIFS($EG$5:$EG$1003,$EG745,$EB$5:$EB$1003,"PM")&gt;0,"PM",IF(COUNTIFS($EG$5:$EG$1003,$EG745,$EB$5:$EB$1003,"OT")&gt;0,"OT",""))))</f>
        <v/>
      </c>
      <c r="EQ745">
        <f>IF($EN745=0,"",UPPER(TRIM(INDEX(LINES_STATUS,$EN745)&amp;"")))</f>
        <v/>
      </c>
      <c r="ER745">
        <f>IF($DM745=0,"",IF(OR($EQ745="READY",$EQ745="PM",$EQ745="OT"),$EQ745,$EP745))</f>
        <v/>
      </c>
      <c r="ES745">
        <f>IF($DM745=0,"",IF(AND($DV745&lt;&gt;"",UPPER($DV745)&lt;&gt;"N"),"allergen",IF(ISNUMBER(SEARCH("oil",$DQ745)),"oil",IF(OR(EXACT($DS745,"A662"),EXACT($DS745,"A624")),"bulk",""))))</f>
        <v/>
      </c>
      <c r="ET745">
        <f>IF($DM745=0,"",IF(OR($EA745="",$EA745=0),"",$EA745/100))</f>
        <v/>
      </c>
      <c r="EU745">
        <f>IF(OR($ET745="",$DY745=""),"",INT($DY745*(1-$ET745)+0.5))</f>
        <v/>
      </c>
    </row>
    <row r="746">
      <c r="DA746" t="n">
        <v>742</v>
      </c>
      <c r="DB746">
        <f>IF($B$37=0,"",IFERROR(TRIM(SUBSTITUTE(SUBSTITUTE(SUBSTITUTE(SUBSTITUTE(INDEX(PASTE_ALL,742,$B$37)," "," "),CHAR(9)," "),CHAR(10)," "),CHAR(13)," ")),""))</f>
        <v/>
      </c>
      <c r="DC746">
        <f>IF(AND(742&gt;HEADER_ROW,UPPER(DB746)="LEGEND"),1,0)</f>
        <v/>
      </c>
      <c r="DE746" t="n">
        <v>742</v>
      </c>
      <c r="DF746">
        <f>HEADER_ROW+$DE746</f>
        <v/>
      </c>
      <c r="DG746">
        <f>IF(AND($DF746&lt;=1000,$DF746&lt;$B$8),1,0)</f>
        <v/>
      </c>
      <c r="DH746">
        <f>IF($DG746=1,IFERROR(INDEX($DB$5:$DB$1004,$DF746),""),"")</f>
        <v/>
      </c>
      <c r="DI746">
        <f>IF(AND($DG746=1,$DH746&lt;&gt;""),IFERROR(SUBSTITUTE(SUBSTITUTE(TRIM(SUBSTITUTE(SUBSTITUTE(SUBSTITUTE(SUBSTITUTE(IFERROR(INDEX(PASTE_ALL,$DF746,1)&amp;"","")&amp;"␟"&amp;IFERROR(INDEX(PASTE_ALL,$DF746,2)&amp;"","")&amp;"␟"&amp;IFERROR(INDEX(PASTE_ALL,$DF746,3)&amp;"","")&amp;"␟"&amp;IFERROR(INDEX(PASTE_ALL,$DF746,4)&amp;"","")&amp;"␟"&amp;IFERROR(INDEX(PASTE_ALL,$DF746,5)&amp;"","")&amp;"␟"&amp;IFERROR(INDEX(PASTE_ALL,$DF746,6)&amp;"","")&amp;"␟"&amp;IFERROR(INDEX(PASTE_ALL,$DF746,7)&amp;"","")&amp;"␟"&amp;IFERROR(INDEX(PASTE_ALL,$DF746,8)&amp;"","")&amp;"␟"&amp;IFERROR(INDEX(PASTE_ALL,$DF746,9)&amp;"","")&amp;"␟"&amp;IFERROR(INDEX(PASTE_ALL,$DF746,10)&amp;"","")&amp;"␟"&amp;IFERROR(INDEX(PASTE_ALL,$DF746,11)&amp;"","")&amp;"␟"&amp;IFERROR(INDEX(PASTE_ALL,$DF746,12)&amp;"","")&amp;"␟"&amp;IFERROR(INDEX(PASTE_ALL,$DF746,13)&amp;"","")&amp;"␟"&amp;IFERROR(INDEX(PASTE_ALL,$DF746,14)&amp;"","")&amp;"␟"&amp;IFERROR(INDEX(PASTE_ALL,$DF746,15)&amp;"","")&amp;"␟"&amp;IFERROR(INDEX(PASTE_ALL,$DF746,16)&amp;"","")&amp;"␟"&amp;IFERROR(INDEX(PASTE_ALL,$DF746,17)&amp;"","")&amp;"␟"&amp;IFERROR(INDEX(PASTE_ALL,$DF746,18)&amp;"","")&amp;"␟"&amp;IFERROR(INDEX(PASTE_ALL,$DF746,19)&amp;"","")&amp;"␟"&amp;IFERROR(INDEX(PASTE_ALL,$DF746,20)&amp;"","")&amp;"␟"&amp;IFERROR(INDEX(PASTE_ALL,$DF746,21)&amp;"","")&amp;"␟"&amp;IFERROR(INDEX(PASTE_ALL,$DF746,22)&amp;"","")&amp;"␟"&amp;IFERROR(INDEX(PASTE_ALL,$DF746,23)&amp;"","")&amp;"␟"&amp;IFERROR(INDEX(PASTE_ALL,$DF746,24)&amp;"","")&amp;"␟"&amp;IFERROR(INDEX(PASTE_ALL,$DF746,25)&amp;"","")&amp;"␟"&amp;IFERROR(INDEX(PASTE_ALL,$DF746,26)&amp;"","")&amp;"␟"&amp;IFERROR(INDEX(PASTE_ALL,$DF746,27)&amp;"","")&amp;"␟"&amp;IFERROR(INDEX(PASTE_ALL,$DF746,28)&amp;"","")&amp;"␟"&amp;IFERROR(INDEX(PASTE_ALL,$DF746,29)&amp;"","")&amp;"␟"&amp;IFERROR(INDEX(PASTE_ALL,$DF746,30)&amp;"","")&amp;"␟"&amp;IFERROR(INDEX(PASTE_ALL,$DF746,31)&amp;"","")&amp;"␟"&amp;IFERROR(INDEX(PASTE_ALL,$DF746,32)&amp;"","")&amp;"␟"&amp;IFERROR(INDEX(PASTE_ALL,$DF746,33)&amp;"","")&amp;"␟"&amp;IFERROR(INDEX(PASTE_ALL,$DF746,34)&amp;"","")&amp;"␟"&amp;IFERROR(INDEX(PASTE_ALL,$DF746,35)&amp;"","")&amp;"␟"&amp;IFERROR(INDEX(PASTE_ALL,$DF746,36)&amp;"","")&amp;"␟"&amp;IFERROR(INDEX(PASTE_ALL,$DF746,37)&amp;"","")&amp;"␟"&amp;IFERROR(INDEX(PASTE_ALL,$DF746,38)&amp;"","")&amp;"␟"&amp;IFERROR(INDEX(PASTE_ALL,$DF746,39)&amp;"","")&amp;"␟"&amp;IFERROR(INDEX(PASTE_ALL,$DF746,40)&amp;"","")&amp;"␟"&amp;IFERROR(INDEX(PASTE_ALL,$DF746,41)&amp;"","")&amp;"␟"&amp;IFERROR(INDEX(PASTE_ALL,$DF746,42)&amp;"","")&amp;"␟"&amp;IFERROR(INDEX(PASTE_ALL,$DF746,43)&amp;"","")&amp;"␟"&amp;IFERROR(INDEX(PASTE_ALL,$DF746,44)&amp;"","")&amp;"␟"&amp;IFERROR(INDEX(PASTE_ALL,$DF746,45)&amp;"","")&amp;"␟"&amp;IFERROR(INDEX(PASTE_ALL,$DF746,46)&amp;"","")&amp;"␟"&amp;IFERROR(INDEX(PASTE_ALL,$DF746,47)&amp;"","")&amp;"␟"&amp;IFERROR(INDEX(PASTE_ALL,$DF746,48)&amp;"","")&amp;"␟"&amp;IFERROR(INDEX(PASTE_ALL,$DF746,49)&amp;"","")&amp;"␟"&amp;IFERROR(INDEX(PASTE_ALL,$DF746,50)&amp;"","")&amp;"␟"&amp;IFERROR(INDEX(PASTE_ALL,$DF746,51)&amp;"","")&amp;"␟"&amp;IFERROR(INDEX(PASTE_ALL,$DF746,52)&amp;"","")&amp;"␟"&amp;IFERROR(INDEX(PASTE_ALL,$DF746,53)&amp;"","")&amp;"␟"&amp;IFERROR(INDEX(PASTE_ALL,$DF746,54)&amp;"","")&amp;"␟"&amp;IFERROR(INDEX(PASTE_ALL,$DF746,55)&amp;"","")&amp;"␟"&amp;IFERROR(INDEX(PASTE_ALL,$DF746,56)&amp;"","")&amp;"␟"&amp;IFERROR(INDEX(PASTE_ALL,$DF746,57)&amp;"","")&amp;"␟"&amp;IFERROR(INDEX(PASTE_ALL,$DF746,58)&amp;"","")&amp;"␟"&amp;IFERROR(INDEX(PASTE_ALL,$DF746,59)&amp;"","")&amp;"␟"&amp;IFERROR(INDEX(PASTE_ALL,$DF746,60)&amp;"","")," "," "),CHAR(9)," "),CHAR(10)," "),CHAR(13)," "))," ␟","␟"),"␟ ","␟"),"#"&amp;$DE746),"")</f>
        <v/>
      </c>
      <c r="DJ746">
        <f>IF($DI746="",0,IF(SUMPRODUCT(--EXACT($DI$4:DI745,$DI746))&gt;0,1,0))</f>
        <v/>
      </c>
      <c r="DK746">
        <f>IF(AND($DI746&lt;&gt;"",$DJ746=0),1,0)</f>
        <v/>
      </c>
      <c r="DL746">
        <f>DL745+$DK746</f>
        <v/>
      </c>
      <c r="DM746">
        <f>IF(AND($DK746=1,$DL746&lt;=600),1,0)</f>
        <v/>
      </c>
      <c r="DN746">
        <f>IF($DM746=0,"",IF($L$6=0,"",IFERROR(IF(ISNUMBER(INDEX(PASTE_ALL,$DF746,$L$6)),INDEX(PASTE_ALL,$DF746,$L$6),TRIM(SUBSTITUTE(SUBSTITUTE(SUBSTITUTE(SUBSTITUTE(INDEX(PASTE_ALL,$DF746,$L$6)," "," "),CHAR(9)," "),CHAR(10)," "),CHAR(13)," "))),"")))</f>
        <v/>
      </c>
      <c r="DO746">
        <f>IF($DM746=0,"",IF($L$7=0,"",IFERROR(IF(ISNUMBER(INDEX(PASTE_ALL,$DF746,$L$7)),INDEX(PASTE_ALL,$DF746,$L$7),TRIM(SUBSTITUTE(SUBSTITUTE(SUBSTITUTE(SUBSTITUTE(INDEX(PASTE_ALL,$DF746,$L$7)," "," "),CHAR(9)," "),CHAR(10)," "),CHAR(13)," "))),"")))</f>
        <v/>
      </c>
      <c r="DP746">
        <f>IF($DM746=0,"",IF($L$8=0,"",IFERROR(IF(ISNUMBER(INDEX(PASTE_ALL,$DF746,$L$8)),INDEX(PASTE_ALL,$DF746,$L$8),TRIM(SUBSTITUTE(SUBSTITUTE(SUBSTITUTE(SUBSTITUTE(INDEX(PASTE_ALL,$DF746,$L$8)," "," "),CHAR(9)," "),CHAR(10)," "),CHAR(13)," "))),"")))</f>
        <v/>
      </c>
      <c r="DQ746">
        <f>IF($DM746=0,"",IF($L$9=0,"",IFERROR(IF(ISNUMBER(INDEX(PASTE_ALL,$DF746,$L$9)),INDEX(PASTE_ALL,$DF746,$L$9),TRIM(SUBSTITUTE(SUBSTITUTE(SUBSTITUTE(SUBSTITUTE(INDEX(PASTE_ALL,$DF746,$L$9)," "," "),CHAR(9)," "),CHAR(10)," "),CHAR(13)," "))),"")))</f>
        <v/>
      </c>
      <c r="DR746">
        <f>IF($DM746=0,"",IF($L$10=0,"",IFERROR(IF(ISNUMBER(INDEX(PASTE_ALL,$DF746,$L$10)),INDEX(PASTE_ALL,$DF746,$L$10),TRIM(SUBSTITUTE(SUBSTITUTE(SUBSTITUTE(SUBSTITUTE(INDEX(PASTE_ALL,$DF746,$L$10)," "," "),CHAR(9)," "),CHAR(10)," "),CHAR(13)," "))),"")))</f>
        <v/>
      </c>
      <c r="DS746">
        <f>IF($DM746=0,"",IF($L$11=0,"",IFERROR(IF(ISNUMBER(INDEX(PASTE_ALL,$DF746,$L$11)),INDEX(PASTE_ALL,$DF746,$L$11),TRIM(SUBSTITUTE(SUBSTITUTE(SUBSTITUTE(SUBSTITUTE(INDEX(PASTE_ALL,$DF746,$L$11)," "," "),CHAR(9)," "),CHAR(10)," "),CHAR(13)," "))),"")))</f>
        <v/>
      </c>
      <c r="DT746">
        <f>IF($DM746=0,"",IF($L$12=0,"",IFERROR(IF(ISNUMBER(INDEX(PASTE_ALL,$DF746,$L$12)),INDEX(PASTE_ALL,$DF746,$L$12),TRIM(SUBSTITUTE(SUBSTITUTE(SUBSTITUTE(SUBSTITUTE(INDEX(PASTE_ALL,$DF746,$L$12)," "," "),CHAR(9)," "),CHAR(10)," "),CHAR(13)," "))),"")))</f>
        <v/>
      </c>
      <c r="DU746">
        <f>IF($DM746=0,"",IF($L$13=0,"",IFERROR(IF(ISNUMBER(INDEX(PASTE_ALL,$DF746,$L$13)),INDEX(PASTE_ALL,$DF746,$L$13),TRIM(SUBSTITUTE(SUBSTITUTE(SUBSTITUTE(SUBSTITUTE(INDEX(PASTE_ALL,$DF746,$L$13)," "," "),CHAR(9)," "),CHAR(10)," "),CHAR(13)," "))),"")))</f>
        <v/>
      </c>
      <c r="DV746">
        <f>IF($DM746=0,"",IF($L$14=0,"",IFERROR(IF(ISNUMBER(INDEX(PASTE_ALL,$DF746,$L$14)),INDEX(PASTE_ALL,$DF746,$L$14),TRIM(SUBSTITUTE(SUBSTITUTE(SUBSTITUTE(SUBSTITUTE(INDEX(PASTE_ALL,$DF746,$L$14)," "," "),CHAR(9)," "),CHAR(10)," "),CHAR(13)," "))),"")))</f>
        <v/>
      </c>
      <c r="DW746">
        <f>IF($DM746=0,"",IF($L$15=0,"",IFERROR(IF(ISNUMBER(INDEX(PASTE_ALL,$DF746,$L$15)),INDEX(PASTE_ALL,$DF746,$L$15),IF(SUMPRODUCT(--ISNUMBER(FIND({"A","B","C","D","E","F","G","H","I","J","K","L","M","N","O","P","Q","R","S","T","U","V","W","X","Y","Z","0","1","2","3","4","5","6","7","8","9"},UPPER(TRIM(SUBSTITUTE(SUBSTITUTE(SUBSTITUTE(SUBSTITUTE(INDEX(PASTE_ALL,$DF746,$L$15)," "," "),CHAR(9)," "),CHAR(10)," "),CHAR(13)," "))))))&gt;0,TRIM(SUBSTITUTE(SUBSTITUTE(SUBSTITUTE(SUBSTITUTE(INDEX(PASTE_ALL,$DF746,$L$15)," "," "),CHAR(9)," "),CHAR(10)," "),CHAR(13)," ")),"")),"")))</f>
        <v/>
      </c>
      <c r="DX746">
        <f>IF($DM746=0,"",IF($L$16=0,"",IFERROR(IF(ISNUMBER(INDEX(PASTE_ALL,$DF746,$L$16)),INDEX(PASTE_ALL,$DF746,$L$16),SUBSTITUTE(SUBSTITUTE(TRIM(SUBSTITUTE(SUBSTITUTE(SUBSTITUTE(SUBSTITUTE(INDEX(PASTE_ALL,$DF746,$L$16)," "," "),CHAR(9)," "),CHAR(10)," "),CHAR(13)," ")),",",""),"%","")),"")))</f>
        <v/>
      </c>
      <c r="DY746">
        <f>IF($DM746=0,"",IFERROR(IF(ISNUMBER($DX746),$DX746,IF($DX746="","",IF(TRIM($DX746)="",0,IF(AND(AND(SUBSTITUTE(SUBSTITUTE(SUBSTITUTE(SUBSTITUTE(SUBSTITUTE(SUBSTITUTE(SUBSTITUTE(SUBSTITUTE(SUBSTITUTE(SUBSTITUTE(SUBSTITUTE(SUBSTITUTE(SUBSTITUTE(SUBSTITUTE(UPPER(TRIM($DX746)),"0",""),"1",""),"2",""),"3",""),"4",""),"5",""),"6",""),"7",""),"8",""),"9",""),".",""),"+",""),"-",""),"E","")="",LEN(SUBSTITUTE(SUBSTITUTE(MID(UPPER(TRIM($DX746)),1+OR(LEFT(UPPER(TRIM($DX746)),1)="+",LEFT(UPPER(TRIM($DX746)),1)="-"),999),"E+","E"),"E-","E"))=LEN(SUBSTITUTE(SUBSTITUTE(SUBSTITUTE(SUBSTITUTE(MID(UPPER(TRIM($DX746)),1+OR(LEFT(UPPER(TRIM($DX746)),1)="+",LEFT(UPPER(TRIM($DX746)),1)="-"),999),"E+","E"),"E-","E"),"+",""),"-","")),LEN(UPPER(TRIM($DX746)))-LEN(SUBSTITUTE(UPPER(TRIM($DX746)),"E",""))&lt;2,LEN(UPPER(TRIM($DX746)))-LEN(SUBSTITUTE(UPPER(TRIM($DX746)),".",""))&lt;2,IFERROR(FIND(".",UPPER(TRIM($DX746))),0)&lt;IFERROR(FIND("E",UPPER(TRIM($DX746))),999)),ISNUMBER(VALUE(TRIM($DX746)))),VALUE(TRIM($DX746)),"")))),""))</f>
        <v/>
      </c>
      <c r="DZ746">
        <f>IF($DM746=0,"",IF($L$17=0,"",IFERROR(IF(ISNUMBER(INDEX(PASTE_ALL,$DF746,$L$17)),INDEX(PASTE_ALL,$DF746,$L$17),SUBSTITUTE(SUBSTITUTE(TRIM(SUBSTITUTE(SUBSTITUTE(SUBSTITUTE(SUBSTITUTE(INDEX(PASTE_ALL,$DF746,$L$17)," "," "),CHAR(9)," "),CHAR(10)," "),CHAR(13)," ")),",",""),"%","")),"")))</f>
        <v/>
      </c>
      <c r="EA746">
        <f>IF($DM746=0,"",IFERROR(IF(ISNUMBER($DZ746),$DZ746,IF($DZ746="","",IF(TRIM($DZ746)="",0,IF(AND(AND(SUBSTITUTE(SUBSTITUTE(SUBSTITUTE(SUBSTITUTE(SUBSTITUTE(SUBSTITUTE(SUBSTITUTE(SUBSTITUTE(SUBSTITUTE(SUBSTITUTE(SUBSTITUTE(SUBSTITUTE(SUBSTITUTE(SUBSTITUTE(UPPER(TRIM($DZ746)),"0",""),"1",""),"2",""),"3",""),"4",""),"5",""),"6",""),"7",""),"8",""),"9",""),".",""),"+",""),"-",""),"E","")="",LEN(SUBSTITUTE(SUBSTITUTE(MID(UPPER(TRIM($DZ746)),1+OR(LEFT(UPPER(TRIM($DZ746)),1)="+",LEFT(UPPER(TRIM($DZ746)),1)="-"),999),"E+","E"),"E-","E"))=LEN(SUBSTITUTE(SUBSTITUTE(SUBSTITUTE(SUBSTITUTE(MID(UPPER(TRIM($DZ746)),1+OR(LEFT(UPPER(TRIM($DZ746)),1)="+",LEFT(UPPER(TRIM($DZ746)),1)="-"),999),"E+","E"),"E-","E"),"+",""),"-","")),LEN(UPPER(TRIM($DZ746)))-LEN(SUBSTITUTE(UPPER(TRIM($DZ746)),"E",""))&lt;2,LEN(UPPER(TRIM($DZ746)))-LEN(SUBSTITUTE(UPPER(TRIM($DZ746)),".",""))&lt;2,IFERROR(FIND(".",UPPER(TRIM($DZ746))),0)&lt;IFERROR(FIND("E",UPPER(TRIM($DZ746))),999)),ISNUMBER(VALUE(TRIM($DZ746)))),VALUE(TRIM($DZ746)),"")))),""))</f>
        <v/>
      </c>
      <c r="EB746">
        <f>IF($DM746=0,"",IF($L$18=0,"",IFERROR(IF(UPPER(TRIM(SUBSTITUTE(SUBSTITUTE(SUBSTITUTE(SUBSTITUTE(INDEX(PASTE_ALL,$DF746,$L$18)," "," "),CHAR(9)," "),CHAR(10)," "),CHAR(13)," ")))="READY","Ready",IF(UPPER(TRIM(SUBSTITUTE(SUBSTITUTE(SUBSTITUTE(SUBSTITUTE(INDEX(PASTE_ALL,$DF746,$L$18)," "," "),CHAR(9)," "),CHAR(10)," "),CHAR(13)," ")))="PM","PM",IF(OR(UPPER(TRIM(SUBSTITUTE(SUBSTITUTE(SUBSTITUTE(SUBSTITUTE(INDEX(PASTE_ALL,$DF746,$L$18)," "," "),CHAR(9)," "),CHAR(10)," "),CHAR(13)," ")))="OT",UPPER(TRIM(SUBSTITUTE(SUBSTITUTE(SUBSTITUTE(SUBSTITUTE(INDEX(PASTE_ALL,$DF746,$L$18)," "," "),CHAR(9)," "),CHAR(10)," "),CHAR(13)," ")))="OVERTIME",UPPER(TRIM(SUBSTITUTE(SUBSTITUTE(SUBSTITUTE(SUBSTITUTE(INDEX(PASTE_ALL,$DF746,$L$18)," "," "),CHAR(9)," "),CHAR(10)," "),CHAR(13)," ")))="TRIAL"),"OT",TRIM(SUBSTITUTE(SUBSTITUTE(SUBSTITUTE(SUBSTITUTE(INDEX(PASTE_ALL,$DF746,$L$18)," "," "),CHAR(9)," "),CHAR(10)," "),CHAR(13)," "))))),"")))</f>
        <v/>
      </c>
      <c r="EC746">
        <f>IF($DM746=0,"",IF($L$19=0,"",IFERROR(IF(ISNUMBER(INDEX(PASTE_ALL,$DF746,$L$19)),INDEX(PASTE_ALL,$DF746,$L$19),TRIM(SUBSTITUTE(SUBSTITUTE(SUBSTITUTE(SUBSTITUTE(INDEX(PASTE_ALL,$DF746,$L$19)," "," "),CHAR(9)," "),CHAR(10)," "),CHAR(13)," "))),"")))</f>
        <v/>
      </c>
      <c r="ED746">
        <f>IF($DM746=0,"",MATCH(1,INDEX(EXACT($DH$5:DH746,$DH746)*$DM$5:DM746,0),0))</f>
        <v/>
      </c>
      <c r="EE746">
        <f>IF($DM746=0,0,IF($ED746=$DE746,1,0))</f>
        <v/>
      </c>
      <c r="EF746">
        <f>EF745+$EE746</f>
        <v/>
      </c>
      <c r="EG746">
        <f>IF($DM746=0,"",INDEX($EF$5:$EF$1003,$ED746))</f>
        <v/>
      </c>
      <c r="EH746">
        <f>IF($DM746=0,"",IF($DO746&lt;&gt;"","",IFERROR(LOOKUP(2,1/(($EG$4:EG745=$EG746)*($DO$4:DO745&lt;&gt;"")),$DO$4:DO745),"")))</f>
        <v/>
      </c>
      <c r="EI746">
        <f>IF($DM746=0,"",IF($DO746&lt;&gt;"",$DO746,$EH746))</f>
        <v/>
      </c>
      <c r="EJ746">
        <f>IF($DM746=0,"",IF($EI746="",0,IF(OR(ISNUMBER($EI746),AND(AND(SUBSTITUTE(SUBSTITUTE(SUBSTITUTE(SUBSTITUTE(SUBSTITUTE(SUBSTITUTE(SUBSTITUTE(SUBSTITUTE(SUBSTITUTE(SUBSTITUTE(SUBSTITUTE(SUBSTITUTE(SUBSTITUTE(SUBSTITUTE(UPPER($EI746),"0",""),"1",""),"2",""),"3",""),"4",""),"5",""),"6",""),"7",""),"8",""),"9",""),".",""),"+",""),"-",""),"E","")="",LEN(SUBSTITUTE(SUBSTITUTE(MID(UPPER($EI746),1+OR(LEFT(UPPER($EI746),1)="+",LEFT(UPPER($EI746),1)="-"),999),"E+","E"),"E-","E"))=LEN(SUBSTITUTE(SUBSTITUTE(SUBSTITUTE(SUBSTITUTE(MID(UPPER($EI746),1+OR(LEFT(UPPER($EI746),1)="+",LEFT(UPPER($EI746),1)="-"),999),"E+","E"),"E-","E"),"+",""),"-","")),LEN(UPPER($EI746))-LEN(SUBSTITUTE(UPPER($EI746),"E",""))&lt;2,LEN(UPPER($EI746))-LEN(SUBSTITUTE(UPPER($EI746),".",""))&lt;2,IFERROR(FIND(".",UPPER($EI746)),0)&lt;IFERROR(FIND("E",UPPER($EI746)),999)),ISNUMBER(VALUE($EI746)))),1,2)))</f>
        <v/>
      </c>
      <c r="EK746">
        <f>IF($DM746=0,"",IF($EJ746=1,IF(ISNUMBER($EI746),$EI746,VALUE($EI746)),IF($EJ746=2,$DE746,0)))</f>
        <v/>
      </c>
      <c r="EL746">
        <f>IF($DM746=0,"",COUNTIF($EG$5:$EG$1003,"&lt;"&amp;$EG746)+SUMPRODUCT(($EG$5:$EG$1003=$EG746)*(($EJ$5:$EJ$1003&lt;$EJ746)+($EJ$5:$EJ$1003=$EJ746)*(($EK$5:$EK$1003&lt;$EK746)+($EK$5:$EK$1003=$EK746)*($DE$5:$DE$1003&lt;$DE746))))+1)</f>
        <v/>
      </c>
      <c r="EM746">
        <f>IF($DM746=0,"",$EL746+$EG746-1)</f>
        <v/>
      </c>
      <c r="EN746">
        <f>IF($DM746=0,0,IFERROR(MATCH(1,INDEX(--(TRIM(SUBSTITUTE(SUBSTITUTE(SUBSTITUTE(SUBSTITUTE(LINES_NAME&amp;""," "," "),CHAR(9)," "),CHAR(10)," "),CHAR(13)," "))=$DH746),0),0),0))</f>
        <v/>
      </c>
      <c r="EO746">
        <f>IF($EN746=0,0,IF(OR(UPPER(TRIM(INDEX(LINES_SCHEDULED,$EN746)&amp;""))="YES",UPPER(TRIM(INDEX(LINES_SCHEDULED,$EN746)&amp;""))="Y",UPPER(TRIM(INDEX(LINES_SCHEDULED,$EN746)&amp;""))="X"),1,0))</f>
        <v/>
      </c>
      <c r="EP746">
        <f>IF($DM746=0,"",IF(COUNTIFS($EG$5:$EG$1003,$EG746,$EB$5:$EB$1003,"Ready")&gt;0,"READY",IF(COUNTIFS($EG$5:$EG$1003,$EG746,$EB$5:$EB$1003,"PM")&gt;0,"PM",IF(COUNTIFS($EG$5:$EG$1003,$EG746,$EB$5:$EB$1003,"OT")&gt;0,"OT",""))))</f>
        <v/>
      </c>
      <c r="EQ746">
        <f>IF($EN746=0,"",UPPER(TRIM(INDEX(LINES_STATUS,$EN746)&amp;"")))</f>
        <v/>
      </c>
      <c r="ER746">
        <f>IF($DM746=0,"",IF(OR($EQ746="READY",$EQ746="PM",$EQ746="OT"),$EQ746,$EP746))</f>
        <v/>
      </c>
      <c r="ES746">
        <f>IF($DM746=0,"",IF(AND($DV746&lt;&gt;"",UPPER($DV746)&lt;&gt;"N"),"allergen",IF(ISNUMBER(SEARCH("oil",$DQ746)),"oil",IF(OR(EXACT($DS746,"A662"),EXACT($DS746,"A624")),"bulk",""))))</f>
        <v/>
      </c>
      <c r="ET746">
        <f>IF($DM746=0,"",IF(OR($EA746="",$EA746=0),"",$EA746/100))</f>
        <v/>
      </c>
      <c r="EU746">
        <f>IF(OR($ET746="",$DY746=""),"",INT($DY746*(1-$ET746)+0.5))</f>
        <v/>
      </c>
    </row>
    <row r="747">
      <c r="DA747" t="n">
        <v>743</v>
      </c>
      <c r="DB747">
        <f>IF($B$37=0,"",IFERROR(TRIM(SUBSTITUTE(SUBSTITUTE(SUBSTITUTE(SUBSTITUTE(INDEX(PASTE_ALL,743,$B$37)," "," "),CHAR(9)," "),CHAR(10)," "),CHAR(13)," ")),""))</f>
        <v/>
      </c>
      <c r="DC747">
        <f>IF(AND(743&gt;HEADER_ROW,UPPER(DB747)="LEGEND"),1,0)</f>
        <v/>
      </c>
      <c r="DE747" t="n">
        <v>743</v>
      </c>
      <c r="DF747">
        <f>HEADER_ROW+$DE747</f>
        <v/>
      </c>
      <c r="DG747">
        <f>IF(AND($DF747&lt;=1000,$DF747&lt;$B$8),1,0)</f>
        <v/>
      </c>
      <c r="DH747">
        <f>IF($DG747=1,IFERROR(INDEX($DB$5:$DB$1004,$DF747),""),"")</f>
        <v/>
      </c>
      <c r="DI747">
        <f>IF(AND($DG747=1,$DH747&lt;&gt;""),IFERROR(SUBSTITUTE(SUBSTITUTE(TRIM(SUBSTITUTE(SUBSTITUTE(SUBSTITUTE(SUBSTITUTE(IFERROR(INDEX(PASTE_ALL,$DF747,1)&amp;"","")&amp;"␟"&amp;IFERROR(INDEX(PASTE_ALL,$DF747,2)&amp;"","")&amp;"␟"&amp;IFERROR(INDEX(PASTE_ALL,$DF747,3)&amp;"","")&amp;"␟"&amp;IFERROR(INDEX(PASTE_ALL,$DF747,4)&amp;"","")&amp;"␟"&amp;IFERROR(INDEX(PASTE_ALL,$DF747,5)&amp;"","")&amp;"␟"&amp;IFERROR(INDEX(PASTE_ALL,$DF747,6)&amp;"","")&amp;"␟"&amp;IFERROR(INDEX(PASTE_ALL,$DF747,7)&amp;"","")&amp;"␟"&amp;IFERROR(INDEX(PASTE_ALL,$DF747,8)&amp;"","")&amp;"␟"&amp;IFERROR(INDEX(PASTE_ALL,$DF747,9)&amp;"","")&amp;"␟"&amp;IFERROR(INDEX(PASTE_ALL,$DF747,10)&amp;"","")&amp;"␟"&amp;IFERROR(INDEX(PASTE_ALL,$DF747,11)&amp;"","")&amp;"␟"&amp;IFERROR(INDEX(PASTE_ALL,$DF747,12)&amp;"","")&amp;"␟"&amp;IFERROR(INDEX(PASTE_ALL,$DF747,13)&amp;"","")&amp;"␟"&amp;IFERROR(INDEX(PASTE_ALL,$DF747,14)&amp;"","")&amp;"␟"&amp;IFERROR(INDEX(PASTE_ALL,$DF747,15)&amp;"","")&amp;"␟"&amp;IFERROR(INDEX(PASTE_ALL,$DF747,16)&amp;"","")&amp;"␟"&amp;IFERROR(INDEX(PASTE_ALL,$DF747,17)&amp;"","")&amp;"␟"&amp;IFERROR(INDEX(PASTE_ALL,$DF747,18)&amp;"","")&amp;"␟"&amp;IFERROR(INDEX(PASTE_ALL,$DF747,19)&amp;"","")&amp;"␟"&amp;IFERROR(INDEX(PASTE_ALL,$DF747,20)&amp;"","")&amp;"␟"&amp;IFERROR(INDEX(PASTE_ALL,$DF747,21)&amp;"","")&amp;"␟"&amp;IFERROR(INDEX(PASTE_ALL,$DF747,22)&amp;"","")&amp;"␟"&amp;IFERROR(INDEX(PASTE_ALL,$DF747,23)&amp;"","")&amp;"␟"&amp;IFERROR(INDEX(PASTE_ALL,$DF747,24)&amp;"","")&amp;"␟"&amp;IFERROR(INDEX(PASTE_ALL,$DF747,25)&amp;"","")&amp;"␟"&amp;IFERROR(INDEX(PASTE_ALL,$DF747,26)&amp;"","")&amp;"␟"&amp;IFERROR(INDEX(PASTE_ALL,$DF747,27)&amp;"","")&amp;"␟"&amp;IFERROR(INDEX(PASTE_ALL,$DF747,28)&amp;"","")&amp;"␟"&amp;IFERROR(INDEX(PASTE_ALL,$DF747,29)&amp;"","")&amp;"␟"&amp;IFERROR(INDEX(PASTE_ALL,$DF747,30)&amp;"","")&amp;"␟"&amp;IFERROR(INDEX(PASTE_ALL,$DF747,31)&amp;"","")&amp;"␟"&amp;IFERROR(INDEX(PASTE_ALL,$DF747,32)&amp;"","")&amp;"␟"&amp;IFERROR(INDEX(PASTE_ALL,$DF747,33)&amp;"","")&amp;"␟"&amp;IFERROR(INDEX(PASTE_ALL,$DF747,34)&amp;"","")&amp;"␟"&amp;IFERROR(INDEX(PASTE_ALL,$DF747,35)&amp;"","")&amp;"␟"&amp;IFERROR(INDEX(PASTE_ALL,$DF747,36)&amp;"","")&amp;"␟"&amp;IFERROR(INDEX(PASTE_ALL,$DF747,37)&amp;"","")&amp;"␟"&amp;IFERROR(INDEX(PASTE_ALL,$DF747,38)&amp;"","")&amp;"␟"&amp;IFERROR(INDEX(PASTE_ALL,$DF747,39)&amp;"","")&amp;"␟"&amp;IFERROR(INDEX(PASTE_ALL,$DF747,40)&amp;"","")&amp;"␟"&amp;IFERROR(INDEX(PASTE_ALL,$DF747,41)&amp;"","")&amp;"␟"&amp;IFERROR(INDEX(PASTE_ALL,$DF747,42)&amp;"","")&amp;"␟"&amp;IFERROR(INDEX(PASTE_ALL,$DF747,43)&amp;"","")&amp;"␟"&amp;IFERROR(INDEX(PASTE_ALL,$DF747,44)&amp;"","")&amp;"␟"&amp;IFERROR(INDEX(PASTE_ALL,$DF747,45)&amp;"","")&amp;"␟"&amp;IFERROR(INDEX(PASTE_ALL,$DF747,46)&amp;"","")&amp;"␟"&amp;IFERROR(INDEX(PASTE_ALL,$DF747,47)&amp;"","")&amp;"␟"&amp;IFERROR(INDEX(PASTE_ALL,$DF747,48)&amp;"","")&amp;"␟"&amp;IFERROR(INDEX(PASTE_ALL,$DF747,49)&amp;"","")&amp;"␟"&amp;IFERROR(INDEX(PASTE_ALL,$DF747,50)&amp;"","")&amp;"␟"&amp;IFERROR(INDEX(PASTE_ALL,$DF747,51)&amp;"","")&amp;"␟"&amp;IFERROR(INDEX(PASTE_ALL,$DF747,52)&amp;"","")&amp;"␟"&amp;IFERROR(INDEX(PASTE_ALL,$DF747,53)&amp;"","")&amp;"␟"&amp;IFERROR(INDEX(PASTE_ALL,$DF747,54)&amp;"","")&amp;"␟"&amp;IFERROR(INDEX(PASTE_ALL,$DF747,55)&amp;"","")&amp;"␟"&amp;IFERROR(INDEX(PASTE_ALL,$DF747,56)&amp;"","")&amp;"␟"&amp;IFERROR(INDEX(PASTE_ALL,$DF747,57)&amp;"","")&amp;"␟"&amp;IFERROR(INDEX(PASTE_ALL,$DF747,58)&amp;"","")&amp;"␟"&amp;IFERROR(INDEX(PASTE_ALL,$DF747,59)&amp;"","")&amp;"␟"&amp;IFERROR(INDEX(PASTE_ALL,$DF747,60)&amp;"","")," "," "),CHAR(9)," "),CHAR(10)," "),CHAR(13)," "))," ␟","␟"),"␟ ","␟"),"#"&amp;$DE747),"")</f>
        <v/>
      </c>
      <c r="DJ747">
        <f>IF($DI747="",0,IF(SUMPRODUCT(--EXACT($DI$4:DI746,$DI747))&gt;0,1,0))</f>
        <v/>
      </c>
      <c r="DK747">
        <f>IF(AND($DI747&lt;&gt;"",$DJ747=0),1,0)</f>
        <v/>
      </c>
      <c r="DL747">
        <f>DL746+$DK747</f>
        <v/>
      </c>
      <c r="DM747">
        <f>IF(AND($DK747=1,$DL747&lt;=600),1,0)</f>
        <v/>
      </c>
      <c r="DN747">
        <f>IF($DM747=0,"",IF($L$6=0,"",IFERROR(IF(ISNUMBER(INDEX(PASTE_ALL,$DF747,$L$6)),INDEX(PASTE_ALL,$DF747,$L$6),TRIM(SUBSTITUTE(SUBSTITUTE(SUBSTITUTE(SUBSTITUTE(INDEX(PASTE_ALL,$DF747,$L$6)," "," "),CHAR(9)," "),CHAR(10)," "),CHAR(13)," "))),"")))</f>
        <v/>
      </c>
      <c r="DO747">
        <f>IF($DM747=0,"",IF($L$7=0,"",IFERROR(IF(ISNUMBER(INDEX(PASTE_ALL,$DF747,$L$7)),INDEX(PASTE_ALL,$DF747,$L$7),TRIM(SUBSTITUTE(SUBSTITUTE(SUBSTITUTE(SUBSTITUTE(INDEX(PASTE_ALL,$DF747,$L$7)," "," "),CHAR(9)," "),CHAR(10)," "),CHAR(13)," "))),"")))</f>
        <v/>
      </c>
      <c r="DP747">
        <f>IF($DM747=0,"",IF($L$8=0,"",IFERROR(IF(ISNUMBER(INDEX(PASTE_ALL,$DF747,$L$8)),INDEX(PASTE_ALL,$DF747,$L$8),TRIM(SUBSTITUTE(SUBSTITUTE(SUBSTITUTE(SUBSTITUTE(INDEX(PASTE_ALL,$DF747,$L$8)," "," "),CHAR(9)," "),CHAR(10)," "),CHAR(13)," "))),"")))</f>
        <v/>
      </c>
      <c r="DQ747">
        <f>IF($DM747=0,"",IF($L$9=0,"",IFERROR(IF(ISNUMBER(INDEX(PASTE_ALL,$DF747,$L$9)),INDEX(PASTE_ALL,$DF747,$L$9),TRIM(SUBSTITUTE(SUBSTITUTE(SUBSTITUTE(SUBSTITUTE(INDEX(PASTE_ALL,$DF747,$L$9)," "," "),CHAR(9)," "),CHAR(10)," "),CHAR(13)," "))),"")))</f>
        <v/>
      </c>
      <c r="DR747">
        <f>IF($DM747=0,"",IF($L$10=0,"",IFERROR(IF(ISNUMBER(INDEX(PASTE_ALL,$DF747,$L$10)),INDEX(PASTE_ALL,$DF747,$L$10),TRIM(SUBSTITUTE(SUBSTITUTE(SUBSTITUTE(SUBSTITUTE(INDEX(PASTE_ALL,$DF747,$L$10)," "," "),CHAR(9)," "),CHAR(10)," "),CHAR(13)," "))),"")))</f>
        <v/>
      </c>
      <c r="DS747">
        <f>IF($DM747=0,"",IF($L$11=0,"",IFERROR(IF(ISNUMBER(INDEX(PASTE_ALL,$DF747,$L$11)),INDEX(PASTE_ALL,$DF747,$L$11),TRIM(SUBSTITUTE(SUBSTITUTE(SUBSTITUTE(SUBSTITUTE(INDEX(PASTE_ALL,$DF747,$L$11)," "," "),CHAR(9)," "),CHAR(10)," "),CHAR(13)," "))),"")))</f>
        <v/>
      </c>
      <c r="DT747">
        <f>IF($DM747=0,"",IF($L$12=0,"",IFERROR(IF(ISNUMBER(INDEX(PASTE_ALL,$DF747,$L$12)),INDEX(PASTE_ALL,$DF747,$L$12),TRIM(SUBSTITUTE(SUBSTITUTE(SUBSTITUTE(SUBSTITUTE(INDEX(PASTE_ALL,$DF747,$L$12)," "," "),CHAR(9)," "),CHAR(10)," "),CHAR(13)," "))),"")))</f>
        <v/>
      </c>
      <c r="DU747">
        <f>IF($DM747=0,"",IF($L$13=0,"",IFERROR(IF(ISNUMBER(INDEX(PASTE_ALL,$DF747,$L$13)),INDEX(PASTE_ALL,$DF747,$L$13),TRIM(SUBSTITUTE(SUBSTITUTE(SUBSTITUTE(SUBSTITUTE(INDEX(PASTE_ALL,$DF747,$L$13)," "," "),CHAR(9)," "),CHAR(10)," "),CHAR(13)," "))),"")))</f>
        <v/>
      </c>
      <c r="DV747">
        <f>IF($DM747=0,"",IF($L$14=0,"",IFERROR(IF(ISNUMBER(INDEX(PASTE_ALL,$DF747,$L$14)),INDEX(PASTE_ALL,$DF747,$L$14),TRIM(SUBSTITUTE(SUBSTITUTE(SUBSTITUTE(SUBSTITUTE(INDEX(PASTE_ALL,$DF747,$L$14)," "," "),CHAR(9)," "),CHAR(10)," "),CHAR(13)," "))),"")))</f>
        <v/>
      </c>
      <c r="DW747">
        <f>IF($DM747=0,"",IF($L$15=0,"",IFERROR(IF(ISNUMBER(INDEX(PASTE_ALL,$DF747,$L$15)),INDEX(PASTE_ALL,$DF747,$L$15),IF(SUMPRODUCT(--ISNUMBER(FIND({"A","B","C","D","E","F","G","H","I","J","K","L","M","N","O","P","Q","R","S","T","U","V","W","X","Y","Z","0","1","2","3","4","5","6","7","8","9"},UPPER(TRIM(SUBSTITUTE(SUBSTITUTE(SUBSTITUTE(SUBSTITUTE(INDEX(PASTE_ALL,$DF747,$L$15)," "," "),CHAR(9)," "),CHAR(10)," "),CHAR(13)," "))))))&gt;0,TRIM(SUBSTITUTE(SUBSTITUTE(SUBSTITUTE(SUBSTITUTE(INDEX(PASTE_ALL,$DF747,$L$15)," "," "),CHAR(9)," "),CHAR(10)," "),CHAR(13)," ")),"")),"")))</f>
        <v/>
      </c>
      <c r="DX747">
        <f>IF($DM747=0,"",IF($L$16=0,"",IFERROR(IF(ISNUMBER(INDEX(PASTE_ALL,$DF747,$L$16)),INDEX(PASTE_ALL,$DF747,$L$16),SUBSTITUTE(SUBSTITUTE(TRIM(SUBSTITUTE(SUBSTITUTE(SUBSTITUTE(SUBSTITUTE(INDEX(PASTE_ALL,$DF747,$L$16)," "," "),CHAR(9)," "),CHAR(10)," "),CHAR(13)," ")),",",""),"%","")),"")))</f>
        <v/>
      </c>
      <c r="DY747">
        <f>IF($DM747=0,"",IFERROR(IF(ISNUMBER($DX747),$DX747,IF($DX747="","",IF(TRIM($DX747)="",0,IF(AND(AND(SUBSTITUTE(SUBSTITUTE(SUBSTITUTE(SUBSTITUTE(SUBSTITUTE(SUBSTITUTE(SUBSTITUTE(SUBSTITUTE(SUBSTITUTE(SUBSTITUTE(SUBSTITUTE(SUBSTITUTE(SUBSTITUTE(SUBSTITUTE(UPPER(TRIM($DX747)),"0",""),"1",""),"2",""),"3",""),"4",""),"5",""),"6",""),"7",""),"8",""),"9",""),".",""),"+",""),"-",""),"E","")="",LEN(SUBSTITUTE(SUBSTITUTE(MID(UPPER(TRIM($DX747)),1+OR(LEFT(UPPER(TRIM($DX747)),1)="+",LEFT(UPPER(TRIM($DX747)),1)="-"),999),"E+","E"),"E-","E"))=LEN(SUBSTITUTE(SUBSTITUTE(SUBSTITUTE(SUBSTITUTE(MID(UPPER(TRIM($DX747)),1+OR(LEFT(UPPER(TRIM($DX747)),1)="+",LEFT(UPPER(TRIM($DX747)),1)="-"),999),"E+","E"),"E-","E"),"+",""),"-","")),LEN(UPPER(TRIM($DX747)))-LEN(SUBSTITUTE(UPPER(TRIM($DX747)),"E",""))&lt;2,LEN(UPPER(TRIM($DX747)))-LEN(SUBSTITUTE(UPPER(TRIM($DX747)),".",""))&lt;2,IFERROR(FIND(".",UPPER(TRIM($DX747))),0)&lt;IFERROR(FIND("E",UPPER(TRIM($DX747))),999)),ISNUMBER(VALUE(TRIM($DX747)))),VALUE(TRIM($DX747)),"")))),""))</f>
        <v/>
      </c>
      <c r="DZ747">
        <f>IF($DM747=0,"",IF($L$17=0,"",IFERROR(IF(ISNUMBER(INDEX(PASTE_ALL,$DF747,$L$17)),INDEX(PASTE_ALL,$DF747,$L$17),SUBSTITUTE(SUBSTITUTE(TRIM(SUBSTITUTE(SUBSTITUTE(SUBSTITUTE(SUBSTITUTE(INDEX(PASTE_ALL,$DF747,$L$17)," "," "),CHAR(9)," "),CHAR(10)," "),CHAR(13)," ")),",",""),"%","")),"")))</f>
        <v/>
      </c>
      <c r="EA747">
        <f>IF($DM747=0,"",IFERROR(IF(ISNUMBER($DZ747),$DZ747,IF($DZ747="","",IF(TRIM($DZ747)="",0,IF(AND(AND(SUBSTITUTE(SUBSTITUTE(SUBSTITUTE(SUBSTITUTE(SUBSTITUTE(SUBSTITUTE(SUBSTITUTE(SUBSTITUTE(SUBSTITUTE(SUBSTITUTE(SUBSTITUTE(SUBSTITUTE(SUBSTITUTE(SUBSTITUTE(UPPER(TRIM($DZ747)),"0",""),"1",""),"2",""),"3",""),"4",""),"5",""),"6",""),"7",""),"8",""),"9",""),".",""),"+",""),"-",""),"E","")="",LEN(SUBSTITUTE(SUBSTITUTE(MID(UPPER(TRIM($DZ747)),1+OR(LEFT(UPPER(TRIM($DZ747)),1)="+",LEFT(UPPER(TRIM($DZ747)),1)="-"),999),"E+","E"),"E-","E"))=LEN(SUBSTITUTE(SUBSTITUTE(SUBSTITUTE(SUBSTITUTE(MID(UPPER(TRIM($DZ747)),1+OR(LEFT(UPPER(TRIM($DZ747)),1)="+",LEFT(UPPER(TRIM($DZ747)),1)="-"),999),"E+","E"),"E-","E"),"+",""),"-","")),LEN(UPPER(TRIM($DZ747)))-LEN(SUBSTITUTE(UPPER(TRIM($DZ747)),"E",""))&lt;2,LEN(UPPER(TRIM($DZ747)))-LEN(SUBSTITUTE(UPPER(TRIM($DZ747)),".",""))&lt;2,IFERROR(FIND(".",UPPER(TRIM($DZ747))),0)&lt;IFERROR(FIND("E",UPPER(TRIM($DZ747))),999)),ISNUMBER(VALUE(TRIM($DZ747)))),VALUE(TRIM($DZ747)),"")))),""))</f>
        <v/>
      </c>
      <c r="EB747">
        <f>IF($DM747=0,"",IF($L$18=0,"",IFERROR(IF(UPPER(TRIM(SUBSTITUTE(SUBSTITUTE(SUBSTITUTE(SUBSTITUTE(INDEX(PASTE_ALL,$DF747,$L$18)," "," "),CHAR(9)," "),CHAR(10)," "),CHAR(13)," ")))="READY","Ready",IF(UPPER(TRIM(SUBSTITUTE(SUBSTITUTE(SUBSTITUTE(SUBSTITUTE(INDEX(PASTE_ALL,$DF747,$L$18)," "," "),CHAR(9)," "),CHAR(10)," "),CHAR(13)," ")))="PM","PM",IF(OR(UPPER(TRIM(SUBSTITUTE(SUBSTITUTE(SUBSTITUTE(SUBSTITUTE(INDEX(PASTE_ALL,$DF747,$L$18)," "," "),CHAR(9)," "),CHAR(10)," "),CHAR(13)," ")))="OT",UPPER(TRIM(SUBSTITUTE(SUBSTITUTE(SUBSTITUTE(SUBSTITUTE(INDEX(PASTE_ALL,$DF747,$L$18)," "," "),CHAR(9)," "),CHAR(10)," "),CHAR(13)," ")))="OVERTIME",UPPER(TRIM(SUBSTITUTE(SUBSTITUTE(SUBSTITUTE(SUBSTITUTE(INDEX(PASTE_ALL,$DF747,$L$18)," "," "),CHAR(9)," "),CHAR(10)," "),CHAR(13)," ")))="TRIAL"),"OT",TRIM(SUBSTITUTE(SUBSTITUTE(SUBSTITUTE(SUBSTITUTE(INDEX(PASTE_ALL,$DF747,$L$18)," "," "),CHAR(9)," "),CHAR(10)," "),CHAR(13)," "))))),"")))</f>
        <v/>
      </c>
      <c r="EC747">
        <f>IF($DM747=0,"",IF($L$19=0,"",IFERROR(IF(ISNUMBER(INDEX(PASTE_ALL,$DF747,$L$19)),INDEX(PASTE_ALL,$DF747,$L$19),TRIM(SUBSTITUTE(SUBSTITUTE(SUBSTITUTE(SUBSTITUTE(INDEX(PASTE_ALL,$DF747,$L$19)," "," "),CHAR(9)," "),CHAR(10)," "),CHAR(13)," "))),"")))</f>
        <v/>
      </c>
      <c r="ED747">
        <f>IF($DM747=0,"",MATCH(1,INDEX(EXACT($DH$5:DH747,$DH747)*$DM$5:DM747,0),0))</f>
        <v/>
      </c>
      <c r="EE747">
        <f>IF($DM747=0,0,IF($ED747=$DE747,1,0))</f>
        <v/>
      </c>
      <c r="EF747">
        <f>EF746+$EE747</f>
        <v/>
      </c>
      <c r="EG747">
        <f>IF($DM747=0,"",INDEX($EF$5:$EF$1003,$ED747))</f>
        <v/>
      </c>
      <c r="EH747">
        <f>IF($DM747=0,"",IF($DO747&lt;&gt;"","",IFERROR(LOOKUP(2,1/(($EG$4:EG746=$EG747)*($DO$4:DO746&lt;&gt;"")),$DO$4:DO746),"")))</f>
        <v/>
      </c>
      <c r="EI747">
        <f>IF($DM747=0,"",IF($DO747&lt;&gt;"",$DO747,$EH747))</f>
        <v/>
      </c>
      <c r="EJ747">
        <f>IF($DM747=0,"",IF($EI747="",0,IF(OR(ISNUMBER($EI747),AND(AND(SUBSTITUTE(SUBSTITUTE(SUBSTITUTE(SUBSTITUTE(SUBSTITUTE(SUBSTITUTE(SUBSTITUTE(SUBSTITUTE(SUBSTITUTE(SUBSTITUTE(SUBSTITUTE(SUBSTITUTE(SUBSTITUTE(SUBSTITUTE(UPPER($EI747),"0",""),"1",""),"2",""),"3",""),"4",""),"5",""),"6",""),"7",""),"8",""),"9",""),".",""),"+",""),"-",""),"E","")="",LEN(SUBSTITUTE(SUBSTITUTE(MID(UPPER($EI747),1+OR(LEFT(UPPER($EI747),1)="+",LEFT(UPPER($EI747),1)="-"),999),"E+","E"),"E-","E"))=LEN(SUBSTITUTE(SUBSTITUTE(SUBSTITUTE(SUBSTITUTE(MID(UPPER($EI747),1+OR(LEFT(UPPER($EI747),1)="+",LEFT(UPPER($EI747),1)="-"),999),"E+","E"),"E-","E"),"+",""),"-","")),LEN(UPPER($EI747))-LEN(SUBSTITUTE(UPPER($EI747),"E",""))&lt;2,LEN(UPPER($EI747))-LEN(SUBSTITUTE(UPPER($EI747),".",""))&lt;2,IFERROR(FIND(".",UPPER($EI747)),0)&lt;IFERROR(FIND("E",UPPER($EI747)),999)),ISNUMBER(VALUE($EI747)))),1,2)))</f>
        <v/>
      </c>
      <c r="EK747">
        <f>IF($DM747=0,"",IF($EJ747=1,IF(ISNUMBER($EI747),$EI747,VALUE($EI747)),IF($EJ747=2,$DE747,0)))</f>
        <v/>
      </c>
      <c r="EL747">
        <f>IF($DM747=0,"",COUNTIF($EG$5:$EG$1003,"&lt;"&amp;$EG747)+SUMPRODUCT(($EG$5:$EG$1003=$EG747)*(($EJ$5:$EJ$1003&lt;$EJ747)+($EJ$5:$EJ$1003=$EJ747)*(($EK$5:$EK$1003&lt;$EK747)+($EK$5:$EK$1003=$EK747)*($DE$5:$DE$1003&lt;$DE747))))+1)</f>
        <v/>
      </c>
      <c r="EM747">
        <f>IF($DM747=0,"",$EL747+$EG747-1)</f>
        <v/>
      </c>
      <c r="EN747">
        <f>IF($DM747=0,0,IFERROR(MATCH(1,INDEX(--(TRIM(SUBSTITUTE(SUBSTITUTE(SUBSTITUTE(SUBSTITUTE(LINES_NAME&amp;""," "," "),CHAR(9)," "),CHAR(10)," "),CHAR(13)," "))=$DH747),0),0),0))</f>
        <v/>
      </c>
      <c r="EO747">
        <f>IF($EN747=0,0,IF(OR(UPPER(TRIM(INDEX(LINES_SCHEDULED,$EN747)&amp;""))="YES",UPPER(TRIM(INDEX(LINES_SCHEDULED,$EN747)&amp;""))="Y",UPPER(TRIM(INDEX(LINES_SCHEDULED,$EN747)&amp;""))="X"),1,0))</f>
        <v/>
      </c>
      <c r="EP747">
        <f>IF($DM747=0,"",IF(COUNTIFS($EG$5:$EG$1003,$EG747,$EB$5:$EB$1003,"Ready")&gt;0,"READY",IF(COUNTIFS($EG$5:$EG$1003,$EG747,$EB$5:$EB$1003,"PM")&gt;0,"PM",IF(COUNTIFS($EG$5:$EG$1003,$EG747,$EB$5:$EB$1003,"OT")&gt;0,"OT",""))))</f>
        <v/>
      </c>
      <c r="EQ747">
        <f>IF($EN747=0,"",UPPER(TRIM(INDEX(LINES_STATUS,$EN747)&amp;"")))</f>
        <v/>
      </c>
      <c r="ER747">
        <f>IF($DM747=0,"",IF(OR($EQ747="READY",$EQ747="PM",$EQ747="OT"),$EQ747,$EP747))</f>
        <v/>
      </c>
      <c r="ES747">
        <f>IF($DM747=0,"",IF(AND($DV747&lt;&gt;"",UPPER($DV747)&lt;&gt;"N"),"allergen",IF(ISNUMBER(SEARCH("oil",$DQ747)),"oil",IF(OR(EXACT($DS747,"A662"),EXACT($DS747,"A624")),"bulk",""))))</f>
        <v/>
      </c>
      <c r="ET747">
        <f>IF($DM747=0,"",IF(OR($EA747="",$EA747=0),"",$EA747/100))</f>
        <v/>
      </c>
      <c r="EU747">
        <f>IF(OR($ET747="",$DY747=""),"",INT($DY747*(1-$ET747)+0.5))</f>
        <v/>
      </c>
    </row>
    <row r="748">
      <c r="DA748" t="n">
        <v>744</v>
      </c>
      <c r="DB748">
        <f>IF($B$37=0,"",IFERROR(TRIM(SUBSTITUTE(SUBSTITUTE(SUBSTITUTE(SUBSTITUTE(INDEX(PASTE_ALL,744,$B$37)," "," "),CHAR(9)," "),CHAR(10)," "),CHAR(13)," ")),""))</f>
        <v/>
      </c>
      <c r="DC748">
        <f>IF(AND(744&gt;HEADER_ROW,UPPER(DB748)="LEGEND"),1,0)</f>
        <v/>
      </c>
      <c r="DE748" t="n">
        <v>744</v>
      </c>
      <c r="DF748">
        <f>HEADER_ROW+$DE748</f>
        <v/>
      </c>
      <c r="DG748">
        <f>IF(AND($DF748&lt;=1000,$DF748&lt;$B$8),1,0)</f>
        <v/>
      </c>
      <c r="DH748">
        <f>IF($DG748=1,IFERROR(INDEX($DB$5:$DB$1004,$DF748),""),"")</f>
        <v/>
      </c>
      <c r="DI748">
        <f>IF(AND($DG748=1,$DH748&lt;&gt;""),IFERROR(SUBSTITUTE(SUBSTITUTE(TRIM(SUBSTITUTE(SUBSTITUTE(SUBSTITUTE(SUBSTITUTE(IFERROR(INDEX(PASTE_ALL,$DF748,1)&amp;"","")&amp;"␟"&amp;IFERROR(INDEX(PASTE_ALL,$DF748,2)&amp;"","")&amp;"␟"&amp;IFERROR(INDEX(PASTE_ALL,$DF748,3)&amp;"","")&amp;"␟"&amp;IFERROR(INDEX(PASTE_ALL,$DF748,4)&amp;"","")&amp;"␟"&amp;IFERROR(INDEX(PASTE_ALL,$DF748,5)&amp;"","")&amp;"␟"&amp;IFERROR(INDEX(PASTE_ALL,$DF748,6)&amp;"","")&amp;"␟"&amp;IFERROR(INDEX(PASTE_ALL,$DF748,7)&amp;"","")&amp;"␟"&amp;IFERROR(INDEX(PASTE_ALL,$DF748,8)&amp;"","")&amp;"␟"&amp;IFERROR(INDEX(PASTE_ALL,$DF748,9)&amp;"","")&amp;"␟"&amp;IFERROR(INDEX(PASTE_ALL,$DF748,10)&amp;"","")&amp;"␟"&amp;IFERROR(INDEX(PASTE_ALL,$DF748,11)&amp;"","")&amp;"␟"&amp;IFERROR(INDEX(PASTE_ALL,$DF748,12)&amp;"","")&amp;"␟"&amp;IFERROR(INDEX(PASTE_ALL,$DF748,13)&amp;"","")&amp;"␟"&amp;IFERROR(INDEX(PASTE_ALL,$DF748,14)&amp;"","")&amp;"␟"&amp;IFERROR(INDEX(PASTE_ALL,$DF748,15)&amp;"","")&amp;"␟"&amp;IFERROR(INDEX(PASTE_ALL,$DF748,16)&amp;"","")&amp;"␟"&amp;IFERROR(INDEX(PASTE_ALL,$DF748,17)&amp;"","")&amp;"␟"&amp;IFERROR(INDEX(PASTE_ALL,$DF748,18)&amp;"","")&amp;"␟"&amp;IFERROR(INDEX(PASTE_ALL,$DF748,19)&amp;"","")&amp;"␟"&amp;IFERROR(INDEX(PASTE_ALL,$DF748,20)&amp;"","")&amp;"␟"&amp;IFERROR(INDEX(PASTE_ALL,$DF748,21)&amp;"","")&amp;"␟"&amp;IFERROR(INDEX(PASTE_ALL,$DF748,22)&amp;"","")&amp;"␟"&amp;IFERROR(INDEX(PASTE_ALL,$DF748,23)&amp;"","")&amp;"␟"&amp;IFERROR(INDEX(PASTE_ALL,$DF748,24)&amp;"","")&amp;"␟"&amp;IFERROR(INDEX(PASTE_ALL,$DF748,25)&amp;"","")&amp;"␟"&amp;IFERROR(INDEX(PASTE_ALL,$DF748,26)&amp;"","")&amp;"␟"&amp;IFERROR(INDEX(PASTE_ALL,$DF748,27)&amp;"","")&amp;"␟"&amp;IFERROR(INDEX(PASTE_ALL,$DF748,28)&amp;"","")&amp;"␟"&amp;IFERROR(INDEX(PASTE_ALL,$DF748,29)&amp;"","")&amp;"␟"&amp;IFERROR(INDEX(PASTE_ALL,$DF748,30)&amp;"","")&amp;"␟"&amp;IFERROR(INDEX(PASTE_ALL,$DF748,31)&amp;"","")&amp;"␟"&amp;IFERROR(INDEX(PASTE_ALL,$DF748,32)&amp;"","")&amp;"␟"&amp;IFERROR(INDEX(PASTE_ALL,$DF748,33)&amp;"","")&amp;"␟"&amp;IFERROR(INDEX(PASTE_ALL,$DF748,34)&amp;"","")&amp;"␟"&amp;IFERROR(INDEX(PASTE_ALL,$DF748,35)&amp;"","")&amp;"␟"&amp;IFERROR(INDEX(PASTE_ALL,$DF748,36)&amp;"","")&amp;"␟"&amp;IFERROR(INDEX(PASTE_ALL,$DF748,37)&amp;"","")&amp;"␟"&amp;IFERROR(INDEX(PASTE_ALL,$DF748,38)&amp;"","")&amp;"␟"&amp;IFERROR(INDEX(PASTE_ALL,$DF748,39)&amp;"","")&amp;"␟"&amp;IFERROR(INDEX(PASTE_ALL,$DF748,40)&amp;"","")&amp;"␟"&amp;IFERROR(INDEX(PASTE_ALL,$DF748,41)&amp;"","")&amp;"␟"&amp;IFERROR(INDEX(PASTE_ALL,$DF748,42)&amp;"","")&amp;"␟"&amp;IFERROR(INDEX(PASTE_ALL,$DF748,43)&amp;"","")&amp;"␟"&amp;IFERROR(INDEX(PASTE_ALL,$DF748,44)&amp;"","")&amp;"␟"&amp;IFERROR(INDEX(PASTE_ALL,$DF748,45)&amp;"","")&amp;"␟"&amp;IFERROR(INDEX(PASTE_ALL,$DF748,46)&amp;"","")&amp;"␟"&amp;IFERROR(INDEX(PASTE_ALL,$DF748,47)&amp;"","")&amp;"␟"&amp;IFERROR(INDEX(PASTE_ALL,$DF748,48)&amp;"","")&amp;"␟"&amp;IFERROR(INDEX(PASTE_ALL,$DF748,49)&amp;"","")&amp;"␟"&amp;IFERROR(INDEX(PASTE_ALL,$DF748,50)&amp;"","")&amp;"␟"&amp;IFERROR(INDEX(PASTE_ALL,$DF748,51)&amp;"","")&amp;"␟"&amp;IFERROR(INDEX(PASTE_ALL,$DF748,52)&amp;"","")&amp;"␟"&amp;IFERROR(INDEX(PASTE_ALL,$DF748,53)&amp;"","")&amp;"␟"&amp;IFERROR(INDEX(PASTE_ALL,$DF748,54)&amp;"","")&amp;"␟"&amp;IFERROR(INDEX(PASTE_ALL,$DF748,55)&amp;"","")&amp;"␟"&amp;IFERROR(INDEX(PASTE_ALL,$DF748,56)&amp;"","")&amp;"␟"&amp;IFERROR(INDEX(PASTE_ALL,$DF748,57)&amp;"","")&amp;"␟"&amp;IFERROR(INDEX(PASTE_ALL,$DF748,58)&amp;"","")&amp;"␟"&amp;IFERROR(INDEX(PASTE_ALL,$DF748,59)&amp;"","")&amp;"␟"&amp;IFERROR(INDEX(PASTE_ALL,$DF748,60)&amp;"","")," "," "),CHAR(9)," "),CHAR(10)," "),CHAR(13)," "))," ␟","␟"),"␟ ","␟"),"#"&amp;$DE748),"")</f>
        <v/>
      </c>
      <c r="DJ748">
        <f>IF($DI748="",0,IF(SUMPRODUCT(--EXACT($DI$4:DI747,$DI748))&gt;0,1,0))</f>
        <v/>
      </c>
      <c r="DK748">
        <f>IF(AND($DI748&lt;&gt;"",$DJ748=0),1,0)</f>
        <v/>
      </c>
      <c r="DL748">
        <f>DL747+$DK748</f>
        <v/>
      </c>
      <c r="DM748">
        <f>IF(AND($DK748=1,$DL748&lt;=600),1,0)</f>
        <v/>
      </c>
      <c r="DN748">
        <f>IF($DM748=0,"",IF($L$6=0,"",IFERROR(IF(ISNUMBER(INDEX(PASTE_ALL,$DF748,$L$6)),INDEX(PASTE_ALL,$DF748,$L$6),TRIM(SUBSTITUTE(SUBSTITUTE(SUBSTITUTE(SUBSTITUTE(INDEX(PASTE_ALL,$DF748,$L$6)," "," "),CHAR(9)," "),CHAR(10)," "),CHAR(13)," "))),"")))</f>
        <v/>
      </c>
      <c r="DO748">
        <f>IF($DM748=0,"",IF($L$7=0,"",IFERROR(IF(ISNUMBER(INDEX(PASTE_ALL,$DF748,$L$7)),INDEX(PASTE_ALL,$DF748,$L$7),TRIM(SUBSTITUTE(SUBSTITUTE(SUBSTITUTE(SUBSTITUTE(INDEX(PASTE_ALL,$DF748,$L$7)," "," "),CHAR(9)," "),CHAR(10)," "),CHAR(13)," "))),"")))</f>
        <v/>
      </c>
      <c r="DP748">
        <f>IF($DM748=0,"",IF($L$8=0,"",IFERROR(IF(ISNUMBER(INDEX(PASTE_ALL,$DF748,$L$8)),INDEX(PASTE_ALL,$DF748,$L$8),TRIM(SUBSTITUTE(SUBSTITUTE(SUBSTITUTE(SUBSTITUTE(INDEX(PASTE_ALL,$DF748,$L$8)," "," "),CHAR(9)," "),CHAR(10)," "),CHAR(13)," "))),"")))</f>
        <v/>
      </c>
      <c r="DQ748">
        <f>IF($DM748=0,"",IF($L$9=0,"",IFERROR(IF(ISNUMBER(INDEX(PASTE_ALL,$DF748,$L$9)),INDEX(PASTE_ALL,$DF748,$L$9),TRIM(SUBSTITUTE(SUBSTITUTE(SUBSTITUTE(SUBSTITUTE(INDEX(PASTE_ALL,$DF748,$L$9)," "," "),CHAR(9)," "),CHAR(10)," "),CHAR(13)," "))),"")))</f>
        <v/>
      </c>
      <c r="DR748">
        <f>IF($DM748=0,"",IF($L$10=0,"",IFERROR(IF(ISNUMBER(INDEX(PASTE_ALL,$DF748,$L$10)),INDEX(PASTE_ALL,$DF748,$L$10),TRIM(SUBSTITUTE(SUBSTITUTE(SUBSTITUTE(SUBSTITUTE(INDEX(PASTE_ALL,$DF748,$L$10)," "," "),CHAR(9)," "),CHAR(10)," "),CHAR(13)," "))),"")))</f>
        <v/>
      </c>
      <c r="DS748">
        <f>IF($DM748=0,"",IF($L$11=0,"",IFERROR(IF(ISNUMBER(INDEX(PASTE_ALL,$DF748,$L$11)),INDEX(PASTE_ALL,$DF748,$L$11),TRIM(SUBSTITUTE(SUBSTITUTE(SUBSTITUTE(SUBSTITUTE(INDEX(PASTE_ALL,$DF748,$L$11)," "," "),CHAR(9)," "),CHAR(10)," "),CHAR(13)," "))),"")))</f>
        <v/>
      </c>
      <c r="DT748">
        <f>IF($DM748=0,"",IF($L$12=0,"",IFERROR(IF(ISNUMBER(INDEX(PASTE_ALL,$DF748,$L$12)),INDEX(PASTE_ALL,$DF748,$L$12),TRIM(SUBSTITUTE(SUBSTITUTE(SUBSTITUTE(SUBSTITUTE(INDEX(PASTE_ALL,$DF748,$L$12)," "," "),CHAR(9)," "),CHAR(10)," "),CHAR(13)," "))),"")))</f>
        <v/>
      </c>
      <c r="DU748">
        <f>IF($DM748=0,"",IF($L$13=0,"",IFERROR(IF(ISNUMBER(INDEX(PASTE_ALL,$DF748,$L$13)),INDEX(PASTE_ALL,$DF748,$L$13),TRIM(SUBSTITUTE(SUBSTITUTE(SUBSTITUTE(SUBSTITUTE(INDEX(PASTE_ALL,$DF748,$L$13)," "," "),CHAR(9)," "),CHAR(10)," "),CHAR(13)," "))),"")))</f>
        <v/>
      </c>
      <c r="DV748">
        <f>IF($DM748=0,"",IF($L$14=0,"",IFERROR(IF(ISNUMBER(INDEX(PASTE_ALL,$DF748,$L$14)),INDEX(PASTE_ALL,$DF748,$L$14),TRIM(SUBSTITUTE(SUBSTITUTE(SUBSTITUTE(SUBSTITUTE(INDEX(PASTE_ALL,$DF748,$L$14)," "," "),CHAR(9)," "),CHAR(10)," "),CHAR(13)," "))),"")))</f>
        <v/>
      </c>
      <c r="DW748">
        <f>IF($DM748=0,"",IF($L$15=0,"",IFERROR(IF(ISNUMBER(INDEX(PASTE_ALL,$DF748,$L$15)),INDEX(PASTE_ALL,$DF748,$L$15),IF(SUMPRODUCT(--ISNUMBER(FIND({"A","B","C","D","E","F","G","H","I","J","K","L","M","N","O","P","Q","R","S","T","U","V","W","X","Y","Z","0","1","2","3","4","5","6","7","8","9"},UPPER(TRIM(SUBSTITUTE(SUBSTITUTE(SUBSTITUTE(SUBSTITUTE(INDEX(PASTE_ALL,$DF748,$L$15)," "," "),CHAR(9)," "),CHAR(10)," "),CHAR(13)," "))))))&gt;0,TRIM(SUBSTITUTE(SUBSTITUTE(SUBSTITUTE(SUBSTITUTE(INDEX(PASTE_ALL,$DF748,$L$15)," "," "),CHAR(9)," "),CHAR(10)," "),CHAR(13)," ")),"")),"")))</f>
        <v/>
      </c>
      <c r="DX748">
        <f>IF($DM748=0,"",IF($L$16=0,"",IFERROR(IF(ISNUMBER(INDEX(PASTE_ALL,$DF748,$L$16)),INDEX(PASTE_ALL,$DF748,$L$16),SUBSTITUTE(SUBSTITUTE(TRIM(SUBSTITUTE(SUBSTITUTE(SUBSTITUTE(SUBSTITUTE(INDEX(PASTE_ALL,$DF748,$L$16)," "," "),CHAR(9)," "),CHAR(10)," "),CHAR(13)," ")),",",""),"%","")),"")))</f>
        <v/>
      </c>
      <c r="DY748">
        <f>IF($DM748=0,"",IFERROR(IF(ISNUMBER($DX748),$DX748,IF($DX748="","",IF(TRIM($DX748)="",0,IF(AND(AND(SUBSTITUTE(SUBSTITUTE(SUBSTITUTE(SUBSTITUTE(SUBSTITUTE(SUBSTITUTE(SUBSTITUTE(SUBSTITUTE(SUBSTITUTE(SUBSTITUTE(SUBSTITUTE(SUBSTITUTE(SUBSTITUTE(SUBSTITUTE(UPPER(TRIM($DX748)),"0",""),"1",""),"2",""),"3",""),"4",""),"5",""),"6",""),"7",""),"8",""),"9",""),".",""),"+",""),"-",""),"E","")="",LEN(SUBSTITUTE(SUBSTITUTE(MID(UPPER(TRIM($DX748)),1+OR(LEFT(UPPER(TRIM($DX748)),1)="+",LEFT(UPPER(TRIM($DX748)),1)="-"),999),"E+","E"),"E-","E"))=LEN(SUBSTITUTE(SUBSTITUTE(SUBSTITUTE(SUBSTITUTE(MID(UPPER(TRIM($DX748)),1+OR(LEFT(UPPER(TRIM($DX748)),1)="+",LEFT(UPPER(TRIM($DX748)),1)="-"),999),"E+","E"),"E-","E"),"+",""),"-","")),LEN(UPPER(TRIM($DX748)))-LEN(SUBSTITUTE(UPPER(TRIM($DX748)),"E",""))&lt;2,LEN(UPPER(TRIM($DX748)))-LEN(SUBSTITUTE(UPPER(TRIM($DX748)),".",""))&lt;2,IFERROR(FIND(".",UPPER(TRIM($DX748))),0)&lt;IFERROR(FIND("E",UPPER(TRIM($DX748))),999)),ISNUMBER(VALUE(TRIM($DX748)))),VALUE(TRIM($DX748)),"")))),""))</f>
        <v/>
      </c>
      <c r="DZ748">
        <f>IF($DM748=0,"",IF($L$17=0,"",IFERROR(IF(ISNUMBER(INDEX(PASTE_ALL,$DF748,$L$17)),INDEX(PASTE_ALL,$DF748,$L$17),SUBSTITUTE(SUBSTITUTE(TRIM(SUBSTITUTE(SUBSTITUTE(SUBSTITUTE(SUBSTITUTE(INDEX(PASTE_ALL,$DF748,$L$17)," "," "),CHAR(9)," "),CHAR(10)," "),CHAR(13)," ")),",",""),"%","")),"")))</f>
        <v/>
      </c>
      <c r="EA748">
        <f>IF($DM748=0,"",IFERROR(IF(ISNUMBER($DZ748),$DZ748,IF($DZ748="","",IF(TRIM($DZ748)="",0,IF(AND(AND(SUBSTITUTE(SUBSTITUTE(SUBSTITUTE(SUBSTITUTE(SUBSTITUTE(SUBSTITUTE(SUBSTITUTE(SUBSTITUTE(SUBSTITUTE(SUBSTITUTE(SUBSTITUTE(SUBSTITUTE(SUBSTITUTE(SUBSTITUTE(UPPER(TRIM($DZ748)),"0",""),"1",""),"2",""),"3",""),"4",""),"5",""),"6",""),"7",""),"8",""),"9",""),".",""),"+",""),"-",""),"E","")="",LEN(SUBSTITUTE(SUBSTITUTE(MID(UPPER(TRIM($DZ748)),1+OR(LEFT(UPPER(TRIM($DZ748)),1)="+",LEFT(UPPER(TRIM($DZ748)),1)="-"),999),"E+","E"),"E-","E"))=LEN(SUBSTITUTE(SUBSTITUTE(SUBSTITUTE(SUBSTITUTE(MID(UPPER(TRIM($DZ748)),1+OR(LEFT(UPPER(TRIM($DZ748)),1)="+",LEFT(UPPER(TRIM($DZ748)),1)="-"),999),"E+","E"),"E-","E"),"+",""),"-","")),LEN(UPPER(TRIM($DZ748)))-LEN(SUBSTITUTE(UPPER(TRIM($DZ748)),"E",""))&lt;2,LEN(UPPER(TRIM($DZ748)))-LEN(SUBSTITUTE(UPPER(TRIM($DZ748)),".",""))&lt;2,IFERROR(FIND(".",UPPER(TRIM($DZ748))),0)&lt;IFERROR(FIND("E",UPPER(TRIM($DZ748))),999)),ISNUMBER(VALUE(TRIM($DZ748)))),VALUE(TRIM($DZ748)),"")))),""))</f>
        <v/>
      </c>
      <c r="EB748">
        <f>IF($DM748=0,"",IF($L$18=0,"",IFERROR(IF(UPPER(TRIM(SUBSTITUTE(SUBSTITUTE(SUBSTITUTE(SUBSTITUTE(INDEX(PASTE_ALL,$DF748,$L$18)," "," "),CHAR(9)," "),CHAR(10)," "),CHAR(13)," ")))="READY","Ready",IF(UPPER(TRIM(SUBSTITUTE(SUBSTITUTE(SUBSTITUTE(SUBSTITUTE(INDEX(PASTE_ALL,$DF748,$L$18)," "," "),CHAR(9)," "),CHAR(10)," "),CHAR(13)," ")))="PM","PM",IF(OR(UPPER(TRIM(SUBSTITUTE(SUBSTITUTE(SUBSTITUTE(SUBSTITUTE(INDEX(PASTE_ALL,$DF748,$L$18)," "," "),CHAR(9)," "),CHAR(10)," "),CHAR(13)," ")))="OT",UPPER(TRIM(SUBSTITUTE(SUBSTITUTE(SUBSTITUTE(SUBSTITUTE(INDEX(PASTE_ALL,$DF748,$L$18)," "," "),CHAR(9)," "),CHAR(10)," "),CHAR(13)," ")))="OVERTIME",UPPER(TRIM(SUBSTITUTE(SUBSTITUTE(SUBSTITUTE(SUBSTITUTE(INDEX(PASTE_ALL,$DF748,$L$18)," "," "),CHAR(9)," "),CHAR(10)," "),CHAR(13)," ")))="TRIAL"),"OT",TRIM(SUBSTITUTE(SUBSTITUTE(SUBSTITUTE(SUBSTITUTE(INDEX(PASTE_ALL,$DF748,$L$18)," "," "),CHAR(9)," "),CHAR(10)," "),CHAR(13)," "))))),"")))</f>
        <v/>
      </c>
      <c r="EC748">
        <f>IF($DM748=0,"",IF($L$19=0,"",IFERROR(IF(ISNUMBER(INDEX(PASTE_ALL,$DF748,$L$19)),INDEX(PASTE_ALL,$DF748,$L$19),TRIM(SUBSTITUTE(SUBSTITUTE(SUBSTITUTE(SUBSTITUTE(INDEX(PASTE_ALL,$DF748,$L$19)," "," "),CHAR(9)," "),CHAR(10)," "),CHAR(13)," "))),"")))</f>
        <v/>
      </c>
      <c r="ED748">
        <f>IF($DM748=0,"",MATCH(1,INDEX(EXACT($DH$5:DH748,$DH748)*$DM$5:DM748,0),0))</f>
        <v/>
      </c>
      <c r="EE748">
        <f>IF($DM748=0,0,IF($ED748=$DE748,1,0))</f>
        <v/>
      </c>
      <c r="EF748">
        <f>EF747+$EE748</f>
        <v/>
      </c>
      <c r="EG748">
        <f>IF($DM748=0,"",INDEX($EF$5:$EF$1003,$ED748))</f>
        <v/>
      </c>
      <c r="EH748">
        <f>IF($DM748=0,"",IF($DO748&lt;&gt;"","",IFERROR(LOOKUP(2,1/(($EG$4:EG747=$EG748)*($DO$4:DO747&lt;&gt;"")),$DO$4:DO747),"")))</f>
        <v/>
      </c>
      <c r="EI748">
        <f>IF($DM748=0,"",IF($DO748&lt;&gt;"",$DO748,$EH748))</f>
        <v/>
      </c>
      <c r="EJ748">
        <f>IF($DM748=0,"",IF($EI748="",0,IF(OR(ISNUMBER($EI748),AND(AND(SUBSTITUTE(SUBSTITUTE(SUBSTITUTE(SUBSTITUTE(SUBSTITUTE(SUBSTITUTE(SUBSTITUTE(SUBSTITUTE(SUBSTITUTE(SUBSTITUTE(SUBSTITUTE(SUBSTITUTE(SUBSTITUTE(SUBSTITUTE(UPPER($EI748),"0",""),"1",""),"2",""),"3",""),"4",""),"5",""),"6",""),"7",""),"8",""),"9",""),".",""),"+",""),"-",""),"E","")="",LEN(SUBSTITUTE(SUBSTITUTE(MID(UPPER($EI748),1+OR(LEFT(UPPER($EI748),1)="+",LEFT(UPPER($EI748),1)="-"),999),"E+","E"),"E-","E"))=LEN(SUBSTITUTE(SUBSTITUTE(SUBSTITUTE(SUBSTITUTE(MID(UPPER($EI748),1+OR(LEFT(UPPER($EI748),1)="+",LEFT(UPPER($EI748),1)="-"),999),"E+","E"),"E-","E"),"+",""),"-","")),LEN(UPPER($EI748))-LEN(SUBSTITUTE(UPPER($EI748),"E",""))&lt;2,LEN(UPPER($EI748))-LEN(SUBSTITUTE(UPPER($EI748),".",""))&lt;2,IFERROR(FIND(".",UPPER($EI748)),0)&lt;IFERROR(FIND("E",UPPER($EI748)),999)),ISNUMBER(VALUE($EI748)))),1,2)))</f>
        <v/>
      </c>
      <c r="EK748">
        <f>IF($DM748=0,"",IF($EJ748=1,IF(ISNUMBER($EI748),$EI748,VALUE($EI748)),IF($EJ748=2,$DE748,0)))</f>
        <v/>
      </c>
      <c r="EL748">
        <f>IF($DM748=0,"",COUNTIF($EG$5:$EG$1003,"&lt;"&amp;$EG748)+SUMPRODUCT(($EG$5:$EG$1003=$EG748)*(($EJ$5:$EJ$1003&lt;$EJ748)+($EJ$5:$EJ$1003=$EJ748)*(($EK$5:$EK$1003&lt;$EK748)+($EK$5:$EK$1003=$EK748)*($DE$5:$DE$1003&lt;$DE748))))+1)</f>
        <v/>
      </c>
      <c r="EM748">
        <f>IF($DM748=0,"",$EL748+$EG748-1)</f>
        <v/>
      </c>
      <c r="EN748">
        <f>IF($DM748=0,0,IFERROR(MATCH(1,INDEX(--(TRIM(SUBSTITUTE(SUBSTITUTE(SUBSTITUTE(SUBSTITUTE(LINES_NAME&amp;""," "," "),CHAR(9)," "),CHAR(10)," "),CHAR(13)," "))=$DH748),0),0),0))</f>
        <v/>
      </c>
      <c r="EO748">
        <f>IF($EN748=0,0,IF(OR(UPPER(TRIM(INDEX(LINES_SCHEDULED,$EN748)&amp;""))="YES",UPPER(TRIM(INDEX(LINES_SCHEDULED,$EN748)&amp;""))="Y",UPPER(TRIM(INDEX(LINES_SCHEDULED,$EN748)&amp;""))="X"),1,0))</f>
        <v/>
      </c>
      <c r="EP748">
        <f>IF($DM748=0,"",IF(COUNTIFS($EG$5:$EG$1003,$EG748,$EB$5:$EB$1003,"Ready")&gt;0,"READY",IF(COUNTIFS($EG$5:$EG$1003,$EG748,$EB$5:$EB$1003,"PM")&gt;0,"PM",IF(COUNTIFS($EG$5:$EG$1003,$EG748,$EB$5:$EB$1003,"OT")&gt;0,"OT",""))))</f>
        <v/>
      </c>
      <c r="EQ748">
        <f>IF($EN748=0,"",UPPER(TRIM(INDEX(LINES_STATUS,$EN748)&amp;"")))</f>
        <v/>
      </c>
      <c r="ER748">
        <f>IF($DM748=0,"",IF(OR($EQ748="READY",$EQ748="PM",$EQ748="OT"),$EQ748,$EP748))</f>
        <v/>
      </c>
      <c r="ES748">
        <f>IF($DM748=0,"",IF(AND($DV748&lt;&gt;"",UPPER($DV748)&lt;&gt;"N"),"allergen",IF(ISNUMBER(SEARCH("oil",$DQ748)),"oil",IF(OR(EXACT($DS748,"A662"),EXACT($DS748,"A624")),"bulk",""))))</f>
        <v/>
      </c>
      <c r="ET748">
        <f>IF($DM748=0,"",IF(OR($EA748="",$EA748=0),"",$EA748/100))</f>
        <v/>
      </c>
      <c r="EU748">
        <f>IF(OR($ET748="",$DY748=""),"",INT($DY748*(1-$ET748)+0.5))</f>
        <v/>
      </c>
    </row>
    <row r="749">
      <c r="DA749" t="n">
        <v>745</v>
      </c>
      <c r="DB749">
        <f>IF($B$37=0,"",IFERROR(TRIM(SUBSTITUTE(SUBSTITUTE(SUBSTITUTE(SUBSTITUTE(INDEX(PASTE_ALL,745,$B$37)," "," "),CHAR(9)," "),CHAR(10)," "),CHAR(13)," ")),""))</f>
        <v/>
      </c>
      <c r="DC749">
        <f>IF(AND(745&gt;HEADER_ROW,UPPER(DB749)="LEGEND"),1,0)</f>
        <v/>
      </c>
      <c r="DE749" t="n">
        <v>745</v>
      </c>
      <c r="DF749">
        <f>HEADER_ROW+$DE749</f>
        <v/>
      </c>
      <c r="DG749">
        <f>IF(AND($DF749&lt;=1000,$DF749&lt;$B$8),1,0)</f>
        <v/>
      </c>
      <c r="DH749">
        <f>IF($DG749=1,IFERROR(INDEX($DB$5:$DB$1004,$DF749),""),"")</f>
        <v/>
      </c>
      <c r="DI749">
        <f>IF(AND($DG749=1,$DH749&lt;&gt;""),IFERROR(SUBSTITUTE(SUBSTITUTE(TRIM(SUBSTITUTE(SUBSTITUTE(SUBSTITUTE(SUBSTITUTE(IFERROR(INDEX(PASTE_ALL,$DF749,1)&amp;"","")&amp;"␟"&amp;IFERROR(INDEX(PASTE_ALL,$DF749,2)&amp;"","")&amp;"␟"&amp;IFERROR(INDEX(PASTE_ALL,$DF749,3)&amp;"","")&amp;"␟"&amp;IFERROR(INDEX(PASTE_ALL,$DF749,4)&amp;"","")&amp;"␟"&amp;IFERROR(INDEX(PASTE_ALL,$DF749,5)&amp;"","")&amp;"␟"&amp;IFERROR(INDEX(PASTE_ALL,$DF749,6)&amp;"","")&amp;"␟"&amp;IFERROR(INDEX(PASTE_ALL,$DF749,7)&amp;"","")&amp;"␟"&amp;IFERROR(INDEX(PASTE_ALL,$DF749,8)&amp;"","")&amp;"␟"&amp;IFERROR(INDEX(PASTE_ALL,$DF749,9)&amp;"","")&amp;"␟"&amp;IFERROR(INDEX(PASTE_ALL,$DF749,10)&amp;"","")&amp;"␟"&amp;IFERROR(INDEX(PASTE_ALL,$DF749,11)&amp;"","")&amp;"␟"&amp;IFERROR(INDEX(PASTE_ALL,$DF749,12)&amp;"","")&amp;"␟"&amp;IFERROR(INDEX(PASTE_ALL,$DF749,13)&amp;"","")&amp;"␟"&amp;IFERROR(INDEX(PASTE_ALL,$DF749,14)&amp;"","")&amp;"␟"&amp;IFERROR(INDEX(PASTE_ALL,$DF749,15)&amp;"","")&amp;"␟"&amp;IFERROR(INDEX(PASTE_ALL,$DF749,16)&amp;"","")&amp;"␟"&amp;IFERROR(INDEX(PASTE_ALL,$DF749,17)&amp;"","")&amp;"␟"&amp;IFERROR(INDEX(PASTE_ALL,$DF749,18)&amp;"","")&amp;"␟"&amp;IFERROR(INDEX(PASTE_ALL,$DF749,19)&amp;"","")&amp;"␟"&amp;IFERROR(INDEX(PASTE_ALL,$DF749,20)&amp;"","")&amp;"␟"&amp;IFERROR(INDEX(PASTE_ALL,$DF749,21)&amp;"","")&amp;"␟"&amp;IFERROR(INDEX(PASTE_ALL,$DF749,22)&amp;"","")&amp;"␟"&amp;IFERROR(INDEX(PASTE_ALL,$DF749,23)&amp;"","")&amp;"␟"&amp;IFERROR(INDEX(PASTE_ALL,$DF749,24)&amp;"","")&amp;"␟"&amp;IFERROR(INDEX(PASTE_ALL,$DF749,25)&amp;"","")&amp;"␟"&amp;IFERROR(INDEX(PASTE_ALL,$DF749,26)&amp;"","")&amp;"␟"&amp;IFERROR(INDEX(PASTE_ALL,$DF749,27)&amp;"","")&amp;"␟"&amp;IFERROR(INDEX(PASTE_ALL,$DF749,28)&amp;"","")&amp;"␟"&amp;IFERROR(INDEX(PASTE_ALL,$DF749,29)&amp;"","")&amp;"␟"&amp;IFERROR(INDEX(PASTE_ALL,$DF749,30)&amp;"","")&amp;"␟"&amp;IFERROR(INDEX(PASTE_ALL,$DF749,31)&amp;"","")&amp;"␟"&amp;IFERROR(INDEX(PASTE_ALL,$DF749,32)&amp;"","")&amp;"␟"&amp;IFERROR(INDEX(PASTE_ALL,$DF749,33)&amp;"","")&amp;"␟"&amp;IFERROR(INDEX(PASTE_ALL,$DF749,34)&amp;"","")&amp;"␟"&amp;IFERROR(INDEX(PASTE_ALL,$DF749,35)&amp;"","")&amp;"␟"&amp;IFERROR(INDEX(PASTE_ALL,$DF749,36)&amp;"","")&amp;"␟"&amp;IFERROR(INDEX(PASTE_ALL,$DF749,37)&amp;"","")&amp;"␟"&amp;IFERROR(INDEX(PASTE_ALL,$DF749,38)&amp;"","")&amp;"␟"&amp;IFERROR(INDEX(PASTE_ALL,$DF749,39)&amp;"","")&amp;"␟"&amp;IFERROR(INDEX(PASTE_ALL,$DF749,40)&amp;"","")&amp;"␟"&amp;IFERROR(INDEX(PASTE_ALL,$DF749,41)&amp;"","")&amp;"␟"&amp;IFERROR(INDEX(PASTE_ALL,$DF749,42)&amp;"","")&amp;"␟"&amp;IFERROR(INDEX(PASTE_ALL,$DF749,43)&amp;"","")&amp;"␟"&amp;IFERROR(INDEX(PASTE_ALL,$DF749,44)&amp;"","")&amp;"␟"&amp;IFERROR(INDEX(PASTE_ALL,$DF749,45)&amp;"","")&amp;"␟"&amp;IFERROR(INDEX(PASTE_ALL,$DF749,46)&amp;"","")&amp;"␟"&amp;IFERROR(INDEX(PASTE_ALL,$DF749,47)&amp;"","")&amp;"␟"&amp;IFERROR(INDEX(PASTE_ALL,$DF749,48)&amp;"","")&amp;"␟"&amp;IFERROR(INDEX(PASTE_ALL,$DF749,49)&amp;"","")&amp;"␟"&amp;IFERROR(INDEX(PASTE_ALL,$DF749,50)&amp;"","")&amp;"␟"&amp;IFERROR(INDEX(PASTE_ALL,$DF749,51)&amp;"","")&amp;"␟"&amp;IFERROR(INDEX(PASTE_ALL,$DF749,52)&amp;"","")&amp;"␟"&amp;IFERROR(INDEX(PASTE_ALL,$DF749,53)&amp;"","")&amp;"␟"&amp;IFERROR(INDEX(PASTE_ALL,$DF749,54)&amp;"","")&amp;"␟"&amp;IFERROR(INDEX(PASTE_ALL,$DF749,55)&amp;"","")&amp;"␟"&amp;IFERROR(INDEX(PASTE_ALL,$DF749,56)&amp;"","")&amp;"␟"&amp;IFERROR(INDEX(PASTE_ALL,$DF749,57)&amp;"","")&amp;"␟"&amp;IFERROR(INDEX(PASTE_ALL,$DF749,58)&amp;"","")&amp;"␟"&amp;IFERROR(INDEX(PASTE_ALL,$DF749,59)&amp;"","")&amp;"␟"&amp;IFERROR(INDEX(PASTE_ALL,$DF749,60)&amp;"","")," "," "),CHAR(9)," "),CHAR(10)," "),CHAR(13)," "))," ␟","␟"),"␟ ","␟"),"#"&amp;$DE749),"")</f>
        <v/>
      </c>
      <c r="DJ749">
        <f>IF($DI749="",0,IF(SUMPRODUCT(--EXACT($DI$4:DI748,$DI749))&gt;0,1,0))</f>
        <v/>
      </c>
      <c r="DK749">
        <f>IF(AND($DI749&lt;&gt;"",$DJ749=0),1,0)</f>
        <v/>
      </c>
      <c r="DL749">
        <f>DL748+$DK749</f>
        <v/>
      </c>
      <c r="DM749">
        <f>IF(AND($DK749=1,$DL749&lt;=600),1,0)</f>
        <v/>
      </c>
      <c r="DN749">
        <f>IF($DM749=0,"",IF($L$6=0,"",IFERROR(IF(ISNUMBER(INDEX(PASTE_ALL,$DF749,$L$6)),INDEX(PASTE_ALL,$DF749,$L$6),TRIM(SUBSTITUTE(SUBSTITUTE(SUBSTITUTE(SUBSTITUTE(INDEX(PASTE_ALL,$DF749,$L$6)," "," "),CHAR(9)," "),CHAR(10)," "),CHAR(13)," "))),"")))</f>
        <v/>
      </c>
      <c r="DO749">
        <f>IF($DM749=0,"",IF($L$7=0,"",IFERROR(IF(ISNUMBER(INDEX(PASTE_ALL,$DF749,$L$7)),INDEX(PASTE_ALL,$DF749,$L$7),TRIM(SUBSTITUTE(SUBSTITUTE(SUBSTITUTE(SUBSTITUTE(INDEX(PASTE_ALL,$DF749,$L$7)," "," "),CHAR(9)," "),CHAR(10)," "),CHAR(13)," "))),"")))</f>
        <v/>
      </c>
      <c r="DP749">
        <f>IF($DM749=0,"",IF($L$8=0,"",IFERROR(IF(ISNUMBER(INDEX(PASTE_ALL,$DF749,$L$8)),INDEX(PASTE_ALL,$DF749,$L$8),TRIM(SUBSTITUTE(SUBSTITUTE(SUBSTITUTE(SUBSTITUTE(INDEX(PASTE_ALL,$DF749,$L$8)," "," "),CHAR(9)," "),CHAR(10)," "),CHAR(13)," "))),"")))</f>
        <v/>
      </c>
      <c r="DQ749">
        <f>IF($DM749=0,"",IF($L$9=0,"",IFERROR(IF(ISNUMBER(INDEX(PASTE_ALL,$DF749,$L$9)),INDEX(PASTE_ALL,$DF749,$L$9),TRIM(SUBSTITUTE(SUBSTITUTE(SUBSTITUTE(SUBSTITUTE(INDEX(PASTE_ALL,$DF749,$L$9)," "," "),CHAR(9)," "),CHAR(10)," "),CHAR(13)," "))),"")))</f>
        <v/>
      </c>
      <c r="DR749">
        <f>IF($DM749=0,"",IF($L$10=0,"",IFERROR(IF(ISNUMBER(INDEX(PASTE_ALL,$DF749,$L$10)),INDEX(PASTE_ALL,$DF749,$L$10),TRIM(SUBSTITUTE(SUBSTITUTE(SUBSTITUTE(SUBSTITUTE(INDEX(PASTE_ALL,$DF749,$L$10)," "," "),CHAR(9)," "),CHAR(10)," "),CHAR(13)," "))),"")))</f>
        <v/>
      </c>
      <c r="DS749">
        <f>IF($DM749=0,"",IF($L$11=0,"",IFERROR(IF(ISNUMBER(INDEX(PASTE_ALL,$DF749,$L$11)),INDEX(PASTE_ALL,$DF749,$L$11),TRIM(SUBSTITUTE(SUBSTITUTE(SUBSTITUTE(SUBSTITUTE(INDEX(PASTE_ALL,$DF749,$L$11)," "," "),CHAR(9)," "),CHAR(10)," "),CHAR(13)," "))),"")))</f>
        <v/>
      </c>
      <c r="DT749">
        <f>IF($DM749=0,"",IF($L$12=0,"",IFERROR(IF(ISNUMBER(INDEX(PASTE_ALL,$DF749,$L$12)),INDEX(PASTE_ALL,$DF749,$L$12),TRIM(SUBSTITUTE(SUBSTITUTE(SUBSTITUTE(SUBSTITUTE(INDEX(PASTE_ALL,$DF749,$L$12)," "," "),CHAR(9)," "),CHAR(10)," "),CHAR(13)," "))),"")))</f>
        <v/>
      </c>
      <c r="DU749">
        <f>IF($DM749=0,"",IF($L$13=0,"",IFERROR(IF(ISNUMBER(INDEX(PASTE_ALL,$DF749,$L$13)),INDEX(PASTE_ALL,$DF749,$L$13),TRIM(SUBSTITUTE(SUBSTITUTE(SUBSTITUTE(SUBSTITUTE(INDEX(PASTE_ALL,$DF749,$L$13)," "," "),CHAR(9)," "),CHAR(10)," "),CHAR(13)," "))),"")))</f>
        <v/>
      </c>
      <c r="DV749">
        <f>IF($DM749=0,"",IF($L$14=0,"",IFERROR(IF(ISNUMBER(INDEX(PASTE_ALL,$DF749,$L$14)),INDEX(PASTE_ALL,$DF749,$L$14),TRIM(SUBSTITUTE(SUBSTITUTE(SUBSTITUTE(SUBSTITUTE(INDEX(PASTE_ALL,$DF749,$L$14)," "," "),CHAR(9)," "),CHAR(10)," "),CHAR(13)," "))),"")))</f>
        <v/>
      </c>
      <c r="DW749">
        <f>IF($DM749=0,"",IF($L$15=0,"",IFERROR(IF(ISNUMBER(INDEX(PASTE_ALL,$DF749,$L$15)),INDEX(PASTE_ALL,$DF749,$L$15),IF(SUMPRODUCT(--ISNUMBER(FIND({"A","B","C","D","E","F","G","H","I","J","K","L","M","N","O","P","Q","R","S","T","U","V","W","X","Y","Z","0","1","2","3","4","5","6","7","8","9"},UPPER(TRIM(SUBSTITUTE(SUBSTITUTE(SUBSTITUTE(SUBSTITUTE(INDEX(PASTE_ALL,$DF749,$L$15)," "," "),CHAR(9)," "),CHAR(10)," "),CHAR(13)," "))))))&gt;0,TRIM(SUBSTITUTE(SUBSTITUTE(SUBSTITUTE(SUBSTITUTE(INDEX(PASTE_ALL,$DF749,$L$15)," "," "),CHAR(9)," "),CHAR(10)," "),CHAR(13)," ")),"")),"")))</f>
        <v/>
      </c>
      <c r="DX749">
        <f>IF($DM749=0,"",IF($L$16=0,"",IFERROR(IF(ISNUMBER(INDEX(PASTE_ALL,$DF749,$L$16)),INDEX(PASTE_ALL,$DF749,$L$16),SUBSTITUTE(SUBSTITUTE(TRIM(SUBSTITUTE(SUBSTITUTE(SUBSTITUTE(SUBSTITUTE(INDEX(PASTE_ALL,$DF749,$L$16)," "," "),CHAR(9)," "),CHAR(10)," "),CHAR(13)," ")),",",""),"%","")),"")))</f>
        <v/>
      </c>
      <c r="DY749">
        <f>IF($DM749=0,"",IFERROR(IF(ISNUMBER($DX749),$DX749,IF($DX749="","",IF(TRIM($DX749)="",0,IF(AND(AND(SUBSTITUTE(SUBSTITUTE(SUBSTITUTE(SUBSTITUTE(SUBSTITUTE(SUBSTITUTE(SUBSTITUTE(SUBSTITUTE(SUBSTITUTE(SUBSTITUTE(SUBSTITUTE(SUBSTITUTE(SUBSTITUTE(SUBSTITUTE(UPPER(TRIM($DX749)),"0",""),"1",""),"2",""),"3",""),"4",""),"5",""),"6",""),"7",""),"8",""),"9",""),".",""),"+",""),"-",""),"E","")="",LEN(SUBSTITUTE(SUBSTITUTE(MID(UPPER(TRIM($DX749)),1+OR(LEFT(UPPER(TRIM($DX749)),1)="+",LEFT(UPPER(TRIM($DX749)),1)="-"),999),"E+","E"),"E-","E"))=LEN(SUBSTITUTE(SUBSTITUTE(SUBSTITUTE(SUBSTITUTE(MID(UPPER(TRIM($DX749)),1+OR(LEFT(UPPER(TRIM($DX749)),1)="+",LEFT(UPPER(TRIM($DX749)),1)="-"),999),"E+","E"),"E-","E"),"+",""),"-","")),LEN(UPPER(TRIM($DX749)))-LEN(SUBSTITUTE(UPPER(TRIM($DX749)),"E",""))&lt;2,LEN(UPPER(TRIM($DX749)))-LEN(SUBSTITUTE(UPPER(TRIM($DX749)),".",""))&lt;2,IFERROR(FIND(".",UPPER(TRIM($DX749))),0)&lt;IFERROR(FIND("E",UPPER(TRIM($DX749))),999)),ISNUMBER(VALUE(TRIM($DX749)))),VALUE(TRIM($DX749)),"")))),""))</f>
        <v/>
      </c>
      <c r="DZ749">
        <f>IF($DM749=0,"",IF($L$17=0,"",IFERROR(IF(ISNUMBER(INDEX(PASTE_ALL,$DF749,$L$17)),INDEX(PASTE_ALL,$DF749,$L$17),SUBSTITUTE(SUBSTITUTE(TRIM(SUBSTITUTE(SUBSTITUTE(SUBSTITUTE(SUBSTITUTE(INDEX(PASTE_ALL,$DF749,$L$17)," "," "),CHAR(9)," "),CHAR(10)," "),CHAR(13)," ")),",",""),"%","")),"")))</f>
        <v/>
      </c>
      <c r="EA749">
        <f>IF($DM749=0,"",IFERROR(IF(ISNUMBER($DZ749),$DZ749,IF($DZ749="","",IF(TRIM($DZ749)="",0,IF(AND(AND(SUBSTITUTE(SUBSTITUTE(SUBSTITUTE(SUBSTITUTE(SUBSTITUTE(SUBSTITUTE(SUBSTITUTE(SUBSTITUTE(SUBSTITUTE(SUBSTITUTE(SUBSTITUTE(SUBSTITUTE(SUBSTITUTE(SUBSTITUTE(UPPER(TRIM($DZ749)),"0",""),"1",""),"2",""),"3",""),"4",""),"5",""),"6",""),"7",""),"8",""),"9",""),".",""),"+",""),"-",""),"E","")="",LEN(SUBSTITUTE(SUBSTITUTE(MID(UPPER(TRIM($DZ749)),1+OR(LEFT(UPPER(TRIM($DZ749)),1)="+",LEFT(UPPER(TRIM($DZ749)),1)="-"),999),"E+","E"),"E-","E"))=LEN(SUBSTITUTE(SUBSTITUTE(SUBSTITUTE(SUBSTITUTE(MID(UPPER(TRIM($DZ749)),1+OR(LEFT(UPPER(TRIM($DZ749)),1)="+",LEFT(UPPER(TRIM($DZ749)),1)="-"),999),"E+","E"),"E-","E"),"+",""),"-","")),LEN(UPPER(TRIM($DZ749)))-LEN(SUBSTITUTE(UPPER(TRIM($DZ749)),"E",""))&lt;2,LEN(UPPER(TRIM($DZ749)))-LEN(SUBSTITUTE(UPPER(TRIM($DZ749)),".",""))&lt;2,IFERROR(FIND(".",UPPER(TRIM($DZ749))),0)&lt;IFERROR(FIND("E",UPPER(TRIM($DZ749))),999)),ISNUMBER(VALUE(TRIM($DZ749)))),VALUE(TRIM($DZ749)),"")))),""))</f>
        <v/>
      </c>
      <c r="EB749">
        <f>IF($DM749=0,"",IF($L$18=0,"",IFERROR(IF(UPPER(TRIM(SUBSTITUTE(SUBSTITUTE(SUBSTITUTE(SUBSTITUTE(INDEX(PASTE_ALL,$DF749,$L$18)," "," "),CHAR(9)," "),CHAR(10)," "),CHAR(13)," ")))="READY","Ready",IF(UPPER(TRIM(SUBSTITUTE(SUBSTITUTE(SUBSTITUTE(SUBSTITUTE(INDEX(PASTE_ALL,$DF749,$L$18)," "," "),CHAR(9)," "),CHAR(10)," "),CHAR(13)," ")))="PM","PM",IF(OR(UPPER(TRIM(SUBSTITUTE(SUBSTITUTE(SUBSTITUTE(SUBSTITUTE(INDEX(PASTE_ALL,$DF749,$L$18)," "," "),CHAR(9)," "),CHAR(10)," "),CHAR(13)," ")))="OT",UPPER(TRIM(SUBSTITUTE(SUBSTITUTE(SUBSTITUTE(SUBSTITUTE(INDEX(PASTE_ALL,$DF749,$L$18)," "," "),CHAR(9)," "),CHAR(10)," "),CHAR(13)," ")))="OVERTIME",UPPER(TRIM(SUBSTITUTE(SUBSTITUTE(SUBSTITUTE(SUBSTITUTE(INDEX(PASTE_ALL,$DF749,$L$18)," "," "),CHAR(9)," "),CHAR(10)," "),CHAR(13)," ")))="TRIAL"),"OT",TRIM(SUBSTITUTE(SUBSTITUTE(SUBSTITUTE(SUBSTITUTE(INDEX(PASTE_ALL,$DF749,$L$18)," "," "),CHAR(9)," "),CHAR(10)," "),CHAR(13)," "))))),"")))</f>
        <v/>
      </c>
      <c r="EC749">
        <f>IF($DM749=0,"",IF($L$19=0,"",IFERROR(IF(ISNUMBER(INDEX(PASTE_ALL,$DF749,$L$19)),INDEX(PASTE_ALL,$DF749,$L$19),TRIM(SUBSTITUTE(SUBSTITUTE(SUBSTITUTE(SUBSTITUTE(INDEX(PASTE_ALL,$DF749,$L$19)," "," "),CHAR(9)," "),CHAR(10)," "),CHAR(13)," "))),"")))</f>
        <v/>
      </c>
      <c r="ED749">
        <f>IF($DM749=0,"",MATCH(1,INDEX(EXACT($DH$5:DH749,$DH749)*$DM$5:DM749,0),0))</f>
        <v/>
      </c>
      <c r="EE749">
        <f>IF($DM749=0,0,IF($ED749=$DE749,1,0))</f>
        <v/>
      </c>
      <c r="EF749">
        <f>EF748+$EE749</f>
        <v/>
      </c>
      <c r="EG749">
        <f>IF($DM749=0,"",INDEX($EF$5:$EF$1003,$ED749))</f>
        <v/>
      </c>
      <c r="EH749">
        <f>IF($DM749=0,"",IF($DO749&lt;&gt;"","",IFERROR(LOOKUP(2,1/(($EG$4:EG748=$EG749)*($DO$4:DO748&lt;&gt;"")),$DO$4:DO748),"")))</f>
        <v/>
      </c>
      <c r="EI749">
        <f>IF($DM749=0,"",IF($DO749&lt;&gt;"",$DO749,$EH749))</f>
        <v/>
      </c>
      <c r="EJ749">
        <f>IF($DM749=0,"",IF($EI749="",0,IF(OR(ISNUMBER($EI749),AND(AND(SUBSTITUTE(SUBSTITUTE(SUBSTITUTE(SUBSTITUTE(SUBSTITUTE(SUBSTITUTE(SUBSTITUTE(SUBSTITUTE(SUBSTITUTE(SUBSTITUTE(SUBSTITUTE(SUBSTITUTE(SUBSTITUTE(SUBSTITUTE(UPPER($EI749),"0",""),"1",""),"2",""),"3",""),"4",""),"5",""),"6",""),"7",""),"8",""),"9",""),".",""),"+",""),"-",""),"E","")="",LEN(SUBSTITUTE(SUBSTITUTE(MID(UPPER($EI749),1+OR(LEFT(UPPER($EI749),1)="+",LEFT(UPPER($EI749),1)="-"),999),"E+","E"),"E-","E"))=LEN(SUBSTITUTE(SUBSTITUTE(SUBSTITUTE(SUBSTITUTE(MID(UPPER($EI749),1+OR(LEFT(UPPER($EI749),1)="+",LEFT(UPPER($EI749),1)="-"),999),"E+","E"),"E-","E"),"+",""),"-","")),LEN(UPPER($EI749))-LEN(SUBSTITUTE(UPPER($EI749),"E",""))&lt;2,LEN(UPPER($EI749))-LEN(SUBSTITUTE(UPPER($EI749),".",""))&lt;2,IFERROR(FIND(".",UPPER($EI749)),0)&lt;IFERROR(FIND("E",UPPER($EI749)),999)),ISNUMBER(VALUE($EI749)))),1,2)))</f>
        <v/>
      </c>
      <c r="EK749">
        <f>IF($DM749=0,"",IF($EJ749=1,IF(ISNUMBER($EI749),$EI749,VALUE($EI749)),IF($EJ749=2,$DE749,0)))</f>
        <v/>
      </c>
      <c r="EL749">
        <f>IF($DM749=0,"",COUNTIF($EG$5:$EG$1003,"&lt;"&amp;$EG749)+SUMPRODUCT(($EG$5:$EG$1003=$EG749)*(($EJ$5:$EJ$1003&lt;$EJ749)+($EJ$5:$EJ$1003=$EJ749)*(($EK$5:$EK$1003&lt;$EK749)+($EK$5:$EK$1003=$EK749)*($DE$5:$DE$1003&lt;$DE749))))+1)</f>
        <v/>
      </c>
      <c r="EM749">
        <f>IF($DM749=0,"",$EL749+$EG749-1)</f>
        <v/>
      </c>
      <c r="EN749">
        <f>IF($DM749=0,0,IFERROR(MATCH(1,INDEX(--(TRIM(SUBSTITUTE(SUBSTITUTE(SUBSTITUTE(SUBSTITUTE(LINES_NAME&amp;""," "," "),CHAR(9)," "),CHAR(10)," "),CHAR(13)," "))=$DH749),0),0),0))</f>
        <v/>
      </c>
      <c r="EO749">
        <f>IF($EN749=0,0,IF(OR(UPPER(TRIM(INDEX(LINES_SCHEDULED,$EN749)&amp;""))="YES",UPPER(TRIM(INDEX(LINES_SCHEDULED,$EN749)&amp;""))="Y",UPPER(TRIM(INDEX(LINES_SCHEDULED,$EN749)&amp;""))="X"),1,0))</f>
        <v/>
      </c>
      <c r="EP749">
        <f>IF($DM749=0,"",IF(COUNTIFS($EG$5:$EG$1003,$EG749,$EB$5:$EB$1003,"Ready")&gt;0,"READY",IF(COUNTIFS($EG$5:$EG$1003,$EG749,$EB$5:$EB$1003,"PM")&gt;0,"PM",IF(COUNTIFS($EG$5:$EG$1003,$EG749,$EB$5:$EB$1003,"OT")&gt;0,"OT",""))))</f>
        <v/>
      </c>
      <c r="EQ749">
        <f>IF($EN749=0,"",UPPER(TRIM(INDEX(LINES_STATUS,$EN749)&amp;"")))</f>
        <v/>
      </c>
      <c r="ER749">
        <f>IF($DM749=0,"",IF(OR($EQ749="READY",$EQ749="PM",$EQ749="OT"),$EQ749,$EP749))</f>
        <v/>
      </c>
      <c r="ES749">
        <f>IF($DM749=0,"",IF(AND($DV749&lt;&gt;"",UPPER($DV749)&lt;&gt;"N"),"allergen",IF(ISNUMBER(SEARCH("oil",$DQ749)),"oil",IF(OR(EXACT($DS749,"A662"),EXACT($DS749,"A624")),"bulk",""))))</f>
        <v/>
      </c>
      <c r="ET749">
        <f>IF($DM749=0,"",IF(OR($EA749="",$EA749=0),"",$EA749/100))</f>
        <v/>
      </c>
      <c r="EU749">
        <f>IF(OR($ET749="",$DY749=""),"",INT($DY749*(1-$ET749)+0.5))</f>
        <v/>
      </c>
    </row>
    <row r="750">
      <c r="DA750" t="n">
        <v>746</v>
      </c>
      <c r="DB750">
        <f>IF($B$37=0,"",IFERROR(TRIM(SUBSTITUTE(SUBSTITUTE(SUBSTITUTE(SUBSTITUTE(INDEX(PASTE_ALL,746,$B$37)," "," "),CHAR(9)," "),CHAR(10)," "),CHAR(13)," ")),""))</f>
        <v/>
      </c>
      <c r="DC750">
        <f>IF(AND(746&gt;HEADER_ROW,UPPER(DB750)="LEGEND"),1,0)</f>
        <v/>
      </c>
      <c r="DE750" t="n">
        <v>746</v>
      </c>
      <c r="DF750">
        <f>HEADER_ROW+$DE750</f>
        <v/>
      </c>
      <c r="DG750">
        <f>IF(AND($DF750&lt;=1000,$DF750&lt;$B$8),1,0)</f>
        <v/>
      </c>
      <c r="DH750">
        <f>IF($DG750=1,IFERROR(INDEX($DB$5:$DB$1004,$DF750),""),"")</f>
        <v/>
      </c>
      <c r="DI750">
        <f>IF(AND($DG750=1,$DH750&lt;&gt;""),IFERROR(SUBSTITUTE(SUBSTITUTE(TRIM(SUBSTITUTE(SUBSTITUTE(SUBSTITUTE(SUBSTITUTE(IFERROR(INDEX(PASTE_ALL,$DF750,1)&amp;"","")&amp;"␟"&amp;IFERROR(INDEX(PASTE_ALL,$DF750,2)&amp;"","")&amp;"␟"&amp;IFERROR(INDEX(PASTE_ALL,$DF750,3)&amp;"","")&amp;"␟"&amp;IFERROR(INDEX(PASTE_ALL,$DF750,4)&amp;"","")&amp;"␟"&amp;IFERROR(INDEX(PASTE_ALL,$DF750,5)&amp;"","")&amp;"␟"&amp;IFERROR(INDEX(PASTE_ALL,$DF750,6)&amp;"","")&amp;"␟"&amp;IFERROR(INDEX(PASTE_ALL,$DF750,7)&amp;"","")&amp;"␟"&amp;IFERROR(INDEX(PASTE_ALL,$DF750,8)&amp;"","")&amp;"␟"&amp;IFERROR(INDEX(PASTE_ALL,$DF750,9)&amp;"","")&amp;"␟"&amp;IFERROR(INDEX(PASTE_ALL,$DF750,10)&amp;"","")&amp;"␟"&amp;IFERROR(INDEX(PASTE_ALL,$DF750,11)&amp;"","")&amp;"␟"&amp;IFERROR(INDEX(PASTE_ALL,$DF750,12)&amp;"","")&amp;"␟"&amp;IFERROR(INDEX(PASTE_ALL,$DF750,13)&amp;"","")&amp;"␟"&amp;IFERROR(INDEX(PASTE_ALL,$DF750,14)&amp;"","")&amp;"␟"&amp;IFERROR(INDEX(PASTE_ALL,$DF750,15)&amp;"","")&amp;"␟"&amp;IFERROR(INDEX(PASTE_ALL,$DF750,16)&amp;"","")&amp;"␟"&amp;IFERROR(INDEX(PASTE_ALL,$DF750,17)&amp;"","")&amp;"␟"&amp;IFERROR(INDEX(PASTE_ALL,$DF750,18)&amp;"","")&amp;"␟"&amp;IFERROR(INDEX(PASTE_ALL,$DF750,19)&amp;"","")&amp;"␟"&amp;IFERROR(INDEX(PASTE_ALL,$DF750,20)&amp;"","")&amp;"␟"&amp;IFERROR(INDEX(PASTE_ALL,$DF750,21)&amp;"","")&amp;"␟"&amp;IFERROR(INDEX(PASTE_ALL,$DF750,22)&amp;"","")&amp;"␟"&amp;IFERROR(INDEX(PASTE_ALL,$DF750,23)&amp;"","")&amp;"␟"&amp;IFERROR(INDEX(PASTE_ALL,$DF750,24)&amp;"","")&amp;"␟"&amp;IFERROR(INDEX(PASTE_ALL,$DF750,25)&amp;"","")&amp;"␟"&amp;IFERROR(INDEX(PASTE_ALL,$DF750,26)&amp;"","")&amp;"␟"&amp;IFERROR(INDEX(PASTE_ALL,$DF750,27)&amp;"","")&amp;"␟"&amp;IFERROR(INDEX(PASTE_ALL,$DF750,28)&amp;"","")&amp;"␟"&amp;IFERROR(INDEX(PASTE_ALL,$DF750,29)&amp;"","")&amp;"␟"&amp;IFERROR(INDEX(PASTE_ALL,$DF750,30)&amp;"","")&amp;"␟"&amp;IFERROR(INDEX(PASTE_ALL,$DF750,31)&amp;"","")&amp;"␟"&amp;IFERROR(INDEX(PASTE_ALL,$DF750,32)&amp;"","")&amp;"␟"&amp;IFERROR(INDEX(PASTE_ALL,$DF750,33)&amp;"","")&amp;"␟"&amp;IFERROR(INDEX(PASTE_ALL,$DF750,34)&amp;"","")&amp;"␟"&amp;IFERROR(INDEX(PASTE_ALL,$DF750,35)&amp;"","")&amp;"␟"&amp;IFERROR(INDEX(PASTE_ALL,$DF750,36)&amp;"","")&amp;"␟"&amp;IFERROR(INDEX(PASTE_ALL,$DF750,37)&amp;"","")&amp;"␟"&amp;IFERROR(INDEX(PASTE_ALL,$DF750,38)&amp;"","")&amp;"␟"&amp;IFERROR(INDEX(PASTE_ALL,$DF750,39)&amp;"","")&amp;"␟"&amp;IFERROR(INDEX(PASTE_ALL,$DF750,40)&amp;"","")&amp;"␟"&amp;IFERROR(INDEX(PASTE_ALL,$DF750,41)&amp;"","")&amp;"␟"&amp;IFERROR(INDEX(PASTE_ALL,$DF750,42)&amp;"","")&amp;"␟"&amp;IFERROR(INDEX(PASTE_ALL,$DF750,43)&amp;"","")&amp;"␟"&amp;IFERROR(INDEX(PASTE_ALL,$DF750,44)&amp;"","")&amp;"␟"&amp;IFERROR(INDEX(PASTE_ALL,$DF750,45)&amp;"","")&amp;"␟"&amp;IFERROR(INDEX(PASTE_ALL,$DF750,46)&amp;"","")&amp;"␟"&amp;IFERROR(INDEX(PASTE_ALL,$DF750,47)&amp;"","")&amp;"␟"&amp;IFERROR(INDEX(PASTE_ALL,$DF750,48)&amp;"","")&amp;"␟"&amp;IFERROR(INDEX(PASTE_ALL,$DF750,49)&amp;"","")&amp;"␟"&amp;IFERROR(INDEX(PASTE_ALL,$DF750,50)&amp;"","")&amp;"␟"&amp;IFERROR(INDEX(PASTE_ALL,$DF750,51)&amp;"","")&amp;"␟"&amp;IFERROR(INDEX(PASTE_ALL,$DF750,52)&amp;"","")&amp;"␟"&amp;IFERROR(INDEX(PASTE_ALL,$DF750,53)&amp;"","")&amp;"␟"&amp;IFERROR(INDEX(PASTE_ALL,$DF750,54)&amp;"","")&amp;"␟"&amp;IFERROR(INDEX(PASTE_ALL,$DF750,55)&amp;"","")&amp;"␟"&amp;IFERROR(INDEX(PASTE_ALL,$DF750,56)&amp;"","")&amp;"␟"&amp;IFERROR(INDEX(PASTE_ALL,$DF750,57)&amp;"","")&amp;"␟"&amp;IFERROR(INDEX(PASTE_ALL,$DF750,58)&amp;"","")&amp;"␟"&amp;IFERROR(INDEX(PASTE_ALL,$DF750,59)&amp;"","")&amp;"␟"&amp;IFERROR(INDEX(PASTE_ALL,$DF750,60)&amp;"","")," "," "),CHAR(9)," "),CHAR(10)," "),CHAR(13)," "))," ␟","␟"),"␟ ","␟"),"#"&amp;$DE750),"")</f>
        <v/>
      </c>
      <c r="DJ750">
        <f>IF($DI750="",0,IF(SUMPRODUCT(--EXACT($DI$4:DI749,$DI750))&gt;0,1,0))</f>
        <v/>
      </c>
      <c r="DK750">
        <f>IF(AND($DI750&lt;&gt;"",$DJ750=0),1,0)</f>
        <v/>
      </c>
      <c r="DL750">
        <f>DL749+$DK750</f>
        <v/>
      </c>
      <c r="DM750">
        <f>IF(AND($DK750=1,$DL750&lt;=600),1,0)</f>
        <v/>
      </c>
      <c r="DN750">
        <f>IF($DM750=0,"",IF($L$6=0,"",IFERROR(IF(ISNUMBER(INDEX(PASTE_ALL,$DF750,$L$6)),INDEX(PASTE_ALL,$DF750,$L$6),TRIM(SUBSTITUTE(SUBSTITUTE(SUBSTITUTE(SUBSTITUTE(INDEX(PASTE_ALL,$DF750,$L$6)," "," "),CHAR(9)," "),CHAR(10)," "),CHAR(13)," "))),"")))</f>
        <v/>
      </c>
      <c r="DO750">
        <f>IF($DM750=0,"",IF($L$7=0,"",IFERROR(IF(ISNUMBER(INDEX(PASTE_ALL,$DF750,$L$7)),INDEX(PASTE_ALL,$DF750,$L$7),TRIM(SUBSTITUTE(SUBSTITUTE(SUBSTITUTE(SUBSTITUTE(INDEX(PASTE_ALL,$DF750,$L$7)," "," "),CHAR(9)," "),CHAR(10)," "),CHAR(13)," "))),"")))</f>
        <v/>
      </c>
      <c r="DP750">
        <f>IF($DM750=0,"",IF($L$8=0,"",IFERROR(IF(ISNUMBER(INDEX(PASTE_ALL,$DF750,$L$8)),INDEX(PASTE_ALL,$DF750,$L$8),TRIM(SUBSTITUTE(SUBSTITUTE(SUBSTITUTE(SUBSTITUTE(INDEX(PASTE_ALL,$DF750,$L$8)," "," "),CHAR(9)," "),CHAR(10)," "),CHAR(13)," "))),"")))</f>
        <v/>
      </c>
      <c r="DQ750">
        <f>IF($DM750=0,"",IF($L$9=0,"",IFERROR(IF(ISNUMBER(INDEX(PASTE_ALL,$DF750,$L$9)),INDEX(PASTE_ALL,$DF750,$L$9),TRIM(SUBSTITUTE(SUBSTITUTE(SUBSTITUTE(SUBSTITUTE(INDEX(PASTE_ALL,$DF750,$L$9)," "," "),CHAR(9)," "),CHAR(10)," "),CHAR(13)," "))),"")))</f>
        <v/>
      </c>
      <c r="DR750">
        <f>IF($DM750=0,"",IF($L$10=0,"",IFERROR(IF(ISNUMBER(INDEX(PASTE_ALL,$DF750,$L$10)),INDEX(PASTE_ALL,$DF750,$L$10),TRIM(SUBSTITUTE(SUBSTITUTE(SUBSTITUTE(SUBSTITUTE(INDEX(PASTE_ALL,$DF750,$L$10)," "," "),CHAR(9)," "),CHAR(10)," "),CHAR(13)," "))),"")))</f>
        <v/>
      </c>
      <c r="DS750">
        <f>IF($DM750=0,"",IF($L$11=0,"",IFERROR(IF(ISNUMBER(INDEX(PASTE_ALL,$DF750,$L$11)),INDEX(PASTE_ALL,$DF750,$L$11),TRIM(SUBSTITUTE(SUBSTITUTE(SUBSTITUTE(SUBSTITUTE(INDEX(PASTE_ALL,$DF750,$L$11)," "," "),CHAR(9)," "),CHAR(10)," "),CHAR(13)," "))),"")))</f>
        <v/>
      </c>
      <c r="DT750">
        <f>IF($DM750=0,"",IF($L$12=0,"",IFERROR(IF(ISNUMBER(INDEX(PASTE_ALL,$DF750,$L$12)),INDEX(PASTE_ALL,$DF750,$L$12),TRIM(SUBSTITUTE(SUBSTITUTE(SUBSTITUTE(SUBSTITUTE(INDEX(PASTE_ALL,$DF750,$L$12)," "," "),CHAR(9)," "),CHAR(10)," "),CHAR(13)," "))),"")))</f>
        <v/>
      </c>
      <c r="DU750">
        <f>IF($DM750=0,"",IF($L$13=0,"",IFERROR(IF(ISNUMBER(INDEX(PASTE_ALL,$DF750,$L$13)),INDEX(PASTE_ALL,$DF750,$L$13),TRIM(SUBSTITUTE(SUBSTITUTE(SUBSTITUTE(SUBSTITUTE(INDEX(PASTE_ALL,$DF750,$L$13)," "," "),CHAR(9)," "),CHAR(10)," "),CHAR(13)," "))),"")))</f>
        <v/>
      </c>
      <c r="DV750">
        <f>IF($DM750=0,"",IF($L$14=0,"",IFERROR(IF(ISNUMBER(INDEX(PASTE_ALL,$DF750,$L$14)),INDEX(PASTE_ALL,$DF750,$L$14),TRIM(SUBSTITUTE(SUBSTITUTE(SUBSTITUTE(SUBSTITUTE(INDEX(PASTE_ALL,$DF750,$L$14)," "," "),CHAR(9)," "),CHAR(10)," "),CHAR(13)," "))),"")))</f>
        <v/>
      </c>
      <c r="DW750">
        <f>IF($DM750=0,"",IF($L$15=0,"",IFERROR(IF(ISNUMBER(INDEX(PASTE_ALL,$DF750,$L$15)),INDEX(PASTE_ALL,$DF750,$L$15),IF(SUMPRODUCT(--ISNUMBER(FIND({"A","B","C","D","E","F","G","H","I","J","K","L","M","N","O","P","Q","R","S","T","U","V","W","X","Y","Z","0","1","2","3","4","5","6","7","8","9"},UPPER(TRIM(SUBSTITUTE(SUBSTITUTE(SUBSTITUTE(SUBSTITUTE(INDEX(PASTE_ALL,$DF750,$L$15)," "," "),CHAR(9)," "),CHAR(10)," "),CHAR(13)," "))))))&gt;0,TRIM(SUBSTITUTE(SUBSTITUTE(SUBSTITUTE(SUBSTITUTE(INDEX(PASTE_ALL,$DF750,$L$15)," "," "),CHAR(9)," "),CHAR(10)," "),CHAR(13)," ")),"")),"")))</f>
        <v/>
      </c>
      <c r="DX750">
        <f>IF($DM750=0,"",IF($L$16=0,"",IFERROR(IF(ISNUMBER(INDEX(PASTE_ALL,$DF750,$L$16)),INDEX(PASTE_ALL,$DF750,$L$16),SUBSTITUTE(SUBSTITUTE(TRIM(SUBSTITUTE(SUBSTITUTE(SUBSTITUTE(SUBSTITUTE(INDEX(PASTE_ALL,$DF750,$L$16)," "," "),CHAR(9)," "),CHAR(10)," "),CHAR(13)," ")),",",""),"%","")),"")))</f>
        <v/>
      </c>
      <c r="DY750">
        <f>IF($DM750=0,"",IFERROR(IF(ISNUMBER($DX750),$DX750,IF($DX750="","",IF(TRIM($DX750)="",0,IF(AND(AND(SUBSTITUTE(SUBSTITUTE(SUBSTITUTE(SUBSTITUTE(SUBSTITUTE(SUBSTITUTE(SUBSTITUTE(SUBSTITUTE(SUBSTITUTE(SUBSTITUTE(SUBSTITUTE(SUBSTITUTE(SUBSTITUTE(SUBSTITUTE(UPPER(TRIM($DX750)),"0",""),"1",""),"2",""),"3",""),"4",""),"5",""),"6",""),"7",""),"8",""),"9",""),".",""),"+",""),"-",""),"E","")="",LEN(SUBSTITUTE(SUBSTITUTE(MID(UPPER(TRIM($DX750)),1+OR(LEFT(UPPER(TRIM($DX750)),1)="+",LEFT(UPPER(TRIM($DX750)),1)="-"),999),"E+","E"),"E-","E"))=LEN(SUBSTITUTE(SUBSTITUTE(SUBSTITUTE(SUBSTITUTE(MID(UPPER(TRIM($DX750)),1+OR(LEFT(UPPER(TRIM($DX750)),1)="+",LEFT(UPPER(TRIM($DX750)),1)="-"),999),"E+","E"),"E-","E"),"+",""),"-","")),LEN(UPPER(TRIM($DX750)))-LEN(SUBSTITUTE(UPPER(TRIM($DX750)),"E",""))&lt;2,LEN(UPPER(TRIM($DX750)))-LEN(SUBSTITUTE(UPPER(TRIM($DX750)),".",""))&lt;2,IFERROR(FIND(".",UPPER(TRIM($DX750))),0)&lt;IFERROR(FIND("E",UPPER(TRIM($DX750))),999)),ISNUMBER(VALUE(TRIM($DX750)))),VALUE(TRIM($DX750)),"")))),""))</f>
        <v/>
      </c>
      <c r="DZ750">
        <f>IF($DM750=0,"",IF($L$17=0,"",IFERROR(IF(ISNUMBER(INDEX(PASTE_ALL,$DF750,$L$17)),INDEX(PASTE_ALL,$DF750,$L$17),SUBSTITUTE(SUBSTITUTE(TRIM(SUBSTITUTE(SUBSTITUTE(SUBSTITUTE(SUBSTITUTE(INDEX(PASTE_ALL,$DF750,$L$17)," "," "),CHAR(9)," "),CHAR(10)," "),CHAR(13)," ")),",",""),"%","")),"")))</f>
        <v/>
      </c>
      <c r="EA750">
        <f>IF($DM750=0,"",IFERROR(IF(ISNUMBER($DZ750),$DZ750,IF($DZ750="","",IF(TRIM($DZ750)="",0,IF(AND(AND(SUBSTITUTE(SUBSTITUTE(SUBSTITUTE(SUBSTITUTE(SUBSTITUTE(SUBSTITUTE(SUBSTITUTE(SUBSTITUTE(SUBSTITUTE(SUBSTITUTE(SUBSTITUTE(SUBSTITUTE(SUBSTITUTE(SUBSTITUTE(UPPER(TRIM($DZ750)),"0",""),"1",""),"2",""),"3",""),"4",""),"5",""),"6",""),"7",""),"8",""),"9",""),".",""),"+",""),"-",""),"E","")="",LEN(SUBSTITUTE(SUBSTITUTE(MID(UPPER(TRIM($DZ750)),1+OR(LEFT(UPPER(TRIM($DZ750)),1)="+",LEFT(UPPER(TRIM($DZ750)),1)="-"),999),"E+","E"),"E-","E"))=LEN(SUBSTITUTE(SUBSTITUTE(SUBSTITUTE(SUBSTITUTE(MID(UPPER(TRIM($DZ750)),1+OR(LEFT(UPPER(TRIM($DZ750)),1)="+",LEFT(UPPER(TRIM($DZ750)),1)="-"),999),"E+","E"),"E-","E"),"+",""),"-","")),LEN(UPPER(TRIM($DZ750)))-LEN(SUBSTITUTE(UPPER(TRIM($DZ750)),"E",""))&lt;2,LEN(UPPER(TRIM($DZ750)))-LEN(SUBSTITUTE(UPPER(TRIM($DZ750)),".",""))&lt;2,IFERROR(FIND(".",UPPER(TRIM($DZ750))),0)&lt;IFERROR(FIND("E",UPPER(TRIM($DZ750))),999)),ISNUMBER(VALUE(TRIM($DZ750)))),VALUE(TRIM($DZ750)),"")))),""))</f>
        <v/>
      </c>
      <c r="EB750">
        <f>IF($DM750=0,"",IF($L$18=0,"",IFERROR(IF(UPPER(TRIM(SUBSTITUTE(SUBSTITUTE(SUBSTITUTE(SUBSTITUTE(INDEX(PASTE_ALL,$DF750,$L$18)," "," "),CHAR(9)," "),CHAR(10)," "),CHAR(13)," ")))="READY","Ready",IF(UPPER(TRIM(SUBSTITUTE(SUBSTITUTE(SUBSTITUTE(SUBSTITUTE(INDEX(PASTE_ALL,$DF750,$L$18)," "," "),CHAR(9)," "),CHAR(10)," "),CHAR(13)," ")))="PM","PM",IF(OR(UPPER(TRIM(SUBSTITUTE(SUBSTITUTE(SUBSTITUTE(SUBSTITUTE(INDEX(PASTE_ALL,$DF750,$L$18)," "," "),CHAR(9)," "),CHAR(10)," "),CHAR(13)," ")))="OT",UPPER(TRIM(SUBSTITUTE(SUBSTITUTE(SUBSTITUTE(SUBSTITUTE(INDEX(PASTE_ALL,$DF750,$L$18)," "," "),CHAR(9)," "),CHAR(10)," "),CHAR(13)," ")))="OVERTIME",UPPER(TRIM(SUBSTITUTE(SUBSTITUTE(SUBSTITUTE(SUBSTITUTE(INDEX(PASTE_ALL,$DF750,$L$18)," "," "),CHAR(9)," "),CHAR(10)," "),CHAR(13)," ")))="TRIAL"),"OT",TRIM(SUBSTITUTE(SUBSTITUTE(SUBSTITUTE(SUBSTITUTE(INDEX(PASTE_ALL,$DF750,$L$18)," "," "),CHAR(9)," "),CHAR(10)," "),CHAR(13)," "))))),"")))</f>
        <v/>
      </c>
      <c r="EC750">
        <f>IF($DM750=0,"",IF($L$19=0,"",IFERROR(IF(ISNUMBER(INDEX(PASTE_ALL,$DF750,$L$19)),INDEX(PASTE_ALL,$DF750,$L$19),TRIM(SUBSTITUTE(SUBSTITUTE(SUBSTITUTE(SUBSTITUTE(INDEX(PASTE_ALL,$DF750,$L$19)," "," "),CHAR(9)," "),CHAR(10)," "),CHAR(13)," "))),"")))</f>
        <v/>
      </c>
      <c r="ED750">
        <f>IF($DM750=0,"",MATCH(1,INDEX(EXACT($DH$5:DH750,$DH750)*$DM$5:DM750,0),0))</f>
        <v/>
      </c>
      <c r="EE750">
        <f>IF($DM750=0,0,IF($ED750=$DE750,1,0))</f>
        <v/>
      </c>
      <c r="EF750">
        <f>EF749+$EE750</f>
        <v/>
      </c>
      <c r="EG750">
        <f>IF($DM750=0,"",INDEX($EF$5:$EF$1003,$ED750))</f>
        <v/>
      </c>
      <c r="EH750">
        <f>IF($DM750=0,"",IF($DO750&lt;&gt;"","",IFERROR(LOOKUP(2,1/(($EG$4:EG749=$EG750)*($DO$4:DO749&lt;&gt;"")),$DO$4:DO749),"")))</f>
        <v/>
      </c>
      <c r="EI750">
        <f>IF($DM750=0,"",IF($DO750&lt;&gt;"",$DO750,$EH750))</f>
        <v/>
      </c>
      <c r="EJ750">
        <f>IF($DM750=0,"",IF($EI750="",0,IF(OR(ISNUMBER($EI750),AND(AND(SUBSTITUTE(SUBSTITUTE(SUBSTITUTE(SUBSTITUTE(SUBSTITUTE(SUBSTITUTE(SUBSTITUTE(SUBSTITUTE(SUBSTITUTE(SUBSTITUTE(SUBSTITUTE(SUBSTITUTE(SUBSTITUTE(SUBSTITUTE(UPPER($EI750),"0",""),"1",""),"2",""),"3",""),"4",""),"5",""),"6",""),"7",""),"8",""),"9",""),".",""),"+",""),"-",""),"E","")="",LEN(SUBSTITUTE(SUBSTITUTE(MID(UPPER($EI750),1+OR(LEFT(UPPER($EI750),1)="+",LEFT(UPPER($EI750),1)="-"),999),"E+","E"),"E-","E"))=LEN(SUBSTITUTE(SUBSTITUTE(SUBSTITUTE(SUBSTITUTE(MID(UPPER($EI750),1+OR(LEFT(UPPER($EI750),1)="+",LEFT(UPPER($EI750),1)="-"),999),"E+","E"),"E-","E"),"+",""),"-","")),LEN(UPPER($EI750))-LEN(SUBSTITUTE(UPPER($EI750),"E",""))&lt;2,LEN(UPPER($EI750))-LEN(SUBSTITUTE(UPPER($EI750),".",""))&lt;2,IFERROR(FIND(".",UPPER($EI750)),0)&lt;IFERROR(FIND("E",UPPER($EI750)),999)),ISNUMBER(VALUE($EI750)))),1,2)))</f>
        <v/>
      </c>
      <c r="EK750">
        <f>IF($DM750=0,"",IF($EJ750=1,IF(ISNUMBER($EI750),$EI750,VALUE($EI750)),IF($EJ750=2,$DE750,0)))</f>
        <v/>
      </c>
      <c r="EL750">
        <f>IF($DM750=0,"",COUNTIF($EG$5:$EG$1003,"&lt;"&amp;$EG750)+SUMPRODUCT(($EG$5:$EG$1003=$EG750)*(($EJ$5:$EJ$1003&lt;$EJ750)+($EJ$5:$EJ$1003=$EJ750)*(($EK$5:$EK$1003&lt;$EK750)+($EK$5:$EK$1003=$EK750)*($DE$5:$DE$1003&lt;$DE750))))+1)</f>
        <v/>
      </c>
      <c r="EM750">
        <f>IF($DM750=0,"",$EL750+$EG750-1)</f>
        <v/>
      </c>
      <c r="EN750">
        <f>IF($DM750=0,0,IFERROR(MATCH(1,INDEX(--(TRIM(SUBSTITUTE(SUBSTITUTE(SUBSTITUTE(SUBSTITUTE(LINES_NAME&amp;""," "," "),CHAR(9)," "),CHAR(10)," "),CHAR(13)," "))=$DH750),0),0),0))</f>
        <v/>
      </c>
      <c r="EO750">
        <f>IF($EN750=0,0,IF(OR(UPPER(TRIM(INDEX(LINES_SCHEDULED,$EN750)&amp;""))="YES",UPPER(TRIM(INDEX(LINES_SCHEDULED,$EN750)&amp;""))="Y",UPPER(TRIM(INDEX(LINES_SCHEDULED,$EN750)&amp;""))="X"),1,0))</f>
        <v/>
      </c>
      <c r="EP750">
        <f>IF($DM750=0,"",IF(COUNTIFS($EG$5:$EG$1003,$EG750,$EB$5:$EB$1003,"Ready")&gt;0,"READY",IF(COUNTIFS($EG$5:$EG$1003,$EG750,$EB$5:$EB$1003,"PM")&gt;0,"PM",IF(COUNTIFS($EG$5:$EG$1003,$EG750,$EB$5:$EB$1003,"OT")&gt;0,"OT",""))))</f>
        <v/>
      </c>
      <c r="EQ750">
        <f>IF($EN750=0,"",UPPER(TRIM(INDEX(LINES_STATUS,$EN750)&amp;"")))</f>
        <v/>
      </c>
      <c r="ER750">
        <f>IF($DM750=0,"",IF(OR($EQ750="READY",$EQ750="PM",$EQ750="OT"),$EQ750,$EP750))</f>
        <v/>
      </c>
      <c r="ES750">
        <f>IF($DM750=0,"",IF(AND($DV750&lt;&gt;"",UPPER($DV750)&lt;&gt;"N"),"allergen",IF(ISNUMBER(SEARCH("oil",$DQ750)),"oil",IF(OR(EXACT($DS750,"A662"),EXACT($DS750,"A624")),"bulk",""))))</f>
        <v/>
      </c>
      <c r="ET750">
        <f>IF($DM750=0,"",IF(OR($EA750="",$EA750=0),"",$EA750/100))</f>
        <v/>
      </c>
      <c r="EU750">
        <f>IF(OR($ET750="",$DY750=""),"",INT($DY750*(1-$ET750)+0.5))</f>
        <v/>
      </c>
    </row>
    <row r="751">
      <c r="DA751" t="n">
        <v>747</v>
      </c>
      <c r="DB751">
        <f>IF($B$37=0,"",IFERROR(TRIM(SUBSTITUTE(SUBSTITUTE(SUBSTITUTE(SUBSTITUTE(INDEX(PASTE_ALL,747,$B$37)," "," "),CHAR(9)," "),CHAR(10)," "),CHAR(13)," ")),""))</f>
        <v/>
      </c>
      <c r="DC751">
        <f>IF(AND(747&gt;HEADER_ROW,UPPER(DB751)="LEGEND"),1,0)</f>
        <v/>
      </c>
      <c r="DE751" t="n">
        <v>747</v>
      </c>
      <c r="DF751">
        <f>HEADER_ROW+$DE751</f>
        <v/>
      </c>
      <c r="DG751">
        <f>IF(AND($DF751&lt;=1000,$DF751&lt;$B$8),1,0)</f>
        <v/>
      </c>
      <c r="DH751">
        <f>IF($DG751=1,IFERROR(INDEX($DB$5:$DB$1004,$DF751),""),"")</f>
        <v/>
      </c>
      <c r="DI751">
        <f>IF(AND($DG751=1,$DH751&lt;&gt;""),IFERROR(SUBSTITUTE(SUBSTITUTE(TRIM(SUBSTITUTE(SUBSTITUTE(SUBSTITUTE(SUBSTITUTE(IFERROR(INDEX(PASTE_ALL,$DF751,1)&amp;"","")&amp;"␟"&amp;IFERROR(INDEX(PASTE_ALL,$DF751,2)&amp;"","")&amp;"␟"&amp;IFERROR(INDEX(PASTE_ALL,$DF751,3)&amp;"","")&amp;"␟"&amp;IFERROR(INDEX(PASTE_ALL,$DF751,4)&amp;"","")&amp;"␟"&amp;IFERROR(INDEX(PASTE_ALL,$DF751,5)&amp;"","")&amp;"␟"&amp;IFERROR(INDEX(PASTE_ALL,$DF751,6)&amp;"","")&amp;"␟"&amp;IFERROR(INDEX(PASTE_ALL,$DF751,7)&amp;"","")&amp;"␟"&amp;IFERROR(INDEX(PASTE_ALL,$DF751,8)&amp;"","")&amp;"␟"&amp;IFERROR(INDEX(PASTE_ALL,$DF751,9)&amp;"","")&amp;"␟"&amp;IFERROR(INDEX(PASTE_ALL,$DF751,10)&amp;"","")&amp;"␟"&amp;IFERROR(INDEX(PASTE_ALL,$DF751,11)&amp;"","")&amp;"␟"&amp;IFERROR(INDEX(PASTE_ALL,$DF751,12)&amp;"","")&amp;"␟"&amp;IFERROR(INDEX(PASTE_ALL,$DF751,13)&amp;"","")&amp;"␟"&amp;IFERROR(INDEX(PASTE_ALL,$DF751,14)&amp;"","")&amp;"␟"&amp;IFERROR(INDEX(PASTE_ALL,$DF751,15)&amp;"","")&amp;"␟"&amp;IFERROR(INDEX(PASTE_ALL,$DF751,16)&amp;"","")&amp;"␟"&amp;IFERROR(INDEX(PASTE_ALL,$DF751,17)&amp;"","")&amp;"␟"&amp;IFERROR(INDEX(PASTE_ALL,$DF751,18)&amp;"","")&amp;"␟"&amp;IFERROR(INDEX(PASTE_ALL,$DF751,19)&amp;"","")&amp;"␟"&amp;IFERROR(INDEX(PASTE_ALL,$DF751,20)&amp;"","")&amp;"␟"&amp;IFERROR(INDEX(PASTE_ALL,$DF751,21)&amp;"","")&amp;"␟"&amp;IFERROR(INDEX(PASTE_ALL,$DF751,22)&amp;"","")&amp;"␟"&amp;IFERROR(INDEX(PASTE_ALL,$DF751,23)&amp;"","")&amp;"␟"&amp;IFERROR(INDEX(PASTE_ALL,$DF751,24)&amp;"","")&amp;"␟"&amp;IFERROR(INDEX(PASTE_ALL,$DF751,25)&amp;"","")&amp;"␟"&amp;IFERROR(INDEX(PASTE_ALL,$DF751,26)&amp;"","")&amp;"␟"&amp;IFERROR(INDEX(PASTE_ALL,$DF751,27)&amp;"","")&amp;"␟"&amp;IFERROR(INDEX(PASTE_ALL,$DF751,28)&amp;"","")&amp;"␟"&amp;IFERROR(INDEX(PASTE_ALL,$DF751,29)&amp;"","")&amp;"␟"&amp;IFERROR(INDEX(PASTE_ALL,$DF751,30)&amp;"","")&amp;"␟"&amp;IFERROR(INDEX(PASTE_ALL,$DF751,31)&amp;"","")&amp;"␟"&amp;IFERROR(INDEX(PASTE_ALL,$DF751,32)&amp;"","")&amp;"␟"&amp;IFERROR(INDEX(PASTE_ALL,$DF751,33)&amp;"","")&amp;"␟"&amp;IFERROR(INDEX(PASTE_ALL,$DF751,34)&amp;"","")&amp;"␟"&amp;IFERROR(INDEX(PASTE_ALL,$DF751,35)&amp;"","")&amp;"␟"&amp;IFERROR(INDEX(PASTE_ALL,$DF751,36)&amp;"","")&amp;"␟"&amp;IFERROR(INDEX(PASTE_ALL,$DF751,37)&amp;"","")&amp;"␟"&amp;IFERROR(INDEX(PASTE_ALL,$DF751,38)&amp;"","")&amp;"␟"&amp;IFERROR(INDEX(PASTE_ALL,$DF751,39)&amp;"","")&amp;"␟"&amp;IFERROR(INDEX(PASTE_ALL,$DF751,40)&amp;"","")&amp;"␟"&amp;IFERROR(INDEX(PASTE_ALL,$DF751,41)&amp;"","")&amp;"␟"&amp;IFERROR(INDEX(PASTE_ALL,$DF751,42)&amp;"","")&amp;"␟"&amp;IFERROR(INDEX(PASTE_ALL,$DF751,43)&amp;"","")&amp;"␟"&amp;IFERROR(INDEX(PASTE_ALL,$DF751,44)&amp;"","")&amp;"␟"&amp;IFERROR(INDEX(PASTE_ALL,$DF751,45)&amp;"","")&amp;"␟"&amp;IFERROR(INDEX(PASTE_ALL,$DF751,46)&amp;"","")&amp;"␟"&amp;IFERROR(INDEX(PASTE_ALL,$DF751,47)&amp;"","")&amp;"␟"&amp;IFERROR(INDEX(PASTE_ALL,$DF751,48)&amp;"","")&amp;"␟"&amp;IFERROR(INDEX(PASTE_ALL,$DF751,49)&amp;"","")&amp;"␟"&amp;IFERROR(INDEX(PASTE_ALL,$DF751,50)&amp;"","")&amp;"␟"&amp;IFERROR(INDEX(PASTE_ALL,$DF751,51)&amp;"","")&amp;"␟"&amp;IFERROR(INDEX(PASTE_ALL,$DF751,52)&amp;"","")&amp;"␟"&amp;IFERROR(INDEX(PASTE_ALL,$DF751,53)&amp;"","")&amp;"␟"&amp;IFERROR(INDEX(PASTE_ALL,$DF751,54)&amp;"","")&amp;"␟"&amp;IFERROR(INDEX(PASTE_ALL,$DF751,55)&amp;"","")&amp;"␟"&amp;IFERROR(INDEX(PASTE_ALL,$DF751,56)&amp;"","")&amp;"␟"&amp;IFERROR(INDEX(PASTE_ALL,$DF751,57)&amp;"","")&amp;"␟"&amp;IFERROR(INDEX(PASTE_ALL,$DF751,58)&amp;"","")&amp;"␟"&amp;IFERROR(INDEX(PASTE_ALL,$DF751,59)&amp;"","")&amp;"␟"&amp;IFERROR(INDEX(PASTE_ALL,$DF751,60)&amp;"","")," "," "),CHAR(9)," "),CHAR(10)," "),CHAR(13)," "))," ␟","␟"),"␟ ","␟"),"#"&amp;$DE751),"")</f>
        <v/>
      </c>
      <c r="DJ751">
        <f>IF($DI751="",0,IF(SUMPRODUCT(--EXACT($DI$4:DI750,$DI751))&gt;0,1,0))</f>
        <v/>
      </c>
      <c r="DK751">
        <f>IF(AND($DI751&lt;&gt;"",$DJ751=0),1,0)</f>
        <v/>
      </c>
      <c r="DL751">
        <f>DL750+$DK751</f>
        <v/>
      </c>
      <c r="DM751">
        <f>IF(AND($DK751=1,$DL751&lt;=600),1,0)</f>
        <v/>
      </c>
      <c r="DN751">
        <f>IF($DM751=0,"",IF($L$6=0,"",IFERROR(IF(ISNUMBER(INDEX(PASTE_ALL,$DF751,$L$6)),INDEX(PASTE_ALL,$DF751,$L$6),TRIM(SUBSTITUTE(SUBSTITUTE(SUBSTITUTE(SUBSTITUTE(INDEX(PASTE_ALL,$DF751,$L$6)," "," "),CHAR(9)," "),CHAR(10)," "),CHAR(13)," "))),"")))</f>
        <v/>
      </c>
      <c r="DO751">
        <f>IF($DM751=0,"",IF($L$7=0,"",IFERROR(IF(ISNUMBER(INDEX(PASTE_ALL,$DF751,$L$7)),INDEX(PASTE_ALL,$DF751,$L$7),TRIM(SUBSTITUTE(SUBSTITUTE(SUBSTITUTE(SUBSTITUTE(INDEX(PASTE_ALL,$DF751,$L$7)," "," "),CHAR(9)," "),CHAR(10)," "),CHAR(13)," "))),"")))</f>
        <v/>
      </c>
      <c r="DP751">
        <f>IF($DM751=0,"",IF($L$8=0,"",IFERROR(IF(ISNUMBER(INDEX(PASTE_ALL,$DF751,$L$8)),INDEX(PASTE_ALL,$DF751,$L$8),TRIM(SUBSTITUTE(SUBSTITUTE(SUBSTITUTE(SUBSTITUTE(INDEX(PASTE_ALL,$DF751,$L$8)," "," "),CHAR(9)," "),CHAR(10)," "),CHAR(13)," "))),"")))</f>
        <v/>
      </c>
      <c r="DQ751">
        <f>IF($DM751=0,"",IF($L$9=0,"",IFERROR(IF(ISNUMBER(INDEX(PASTE_ALL,$DF751,$L$9)),INDEX(PASTE_ALL,$DF751,$L$9),TRIM(SUBSTITUTE(SUBSTITUTE(SUBSTITUTE(SUBSTITUTE(INDEX(PASTE_ALL,$DF751,$L$9)," "," "),CHAR(9)," "),CHAR(10)," "),CHAR(13)," "))),"")))</f>
        <v/>
      </c>
      <c r="DR751">
        <f>IF($DM751=0,"",IF($L$10=0,"",IFERROR(IF(ISNUMBER(INDEX(PASTE_ALL,$DF751,$L$10)),INDEX(PASTE_ALL,$DF751,$L$10),TRIM(SUBSTITUTE(SUBSTITUTE(SUBSTITUTE(SUBSTITUTE(INDEX(PASTE_ALL,$DF751,$L$10)," "," "),CHAR(9)," "),CHAR(10)," "),CHAR(13)," "))),"")))</f>
        <v/>
      </c>
      <c r="DS751">
        <f>IF($DM751=0,"",IF($L$11=0,"",IFERROR(IF(ISNUMBER(INDEX(PASTE_ALL,$DF751,$L$11)),INDEX(PASTE_ALL,$DF751,$L$11),TRIM(SUBSTITUTE(SUBSTITUTE(SUBSTITUTE(SUBSTITUTE(INDEX(PASTE_ALL,$DF751,$L$11)," "," "),CHAR(9)," "),CHAR(10)," "),CHAR(13)," "))),"")))</f>
        <v/>
      </c>
      <c r="DT751">
        <f>IF($DM751=0,"",IF($L$12=0,"",IFERROR(IF(ISNUMBER(INDEX(PASTE_ALL,$DF751,$L$12)),INDEX(PASTE_ALL,$DF751,$L$12),TRIM(SUBSTITUTE(SUBSTITUTE(SUBSTITUTE(SUBSTITUTE(INDEX(PASTE_ALL,$DF751,$L$12)," "," "),CHAR(9)," "),CHAR(10)," "),CHAR(13)," "))),"")))</f>
        <v/>
      </c>
      <c r="DU751">
        <f>IF($DM751=0,"",IF($L$13=0,"",IFERROR(IF(ISNUMBER(INDEX(PASTE_ALL,$DF751,$L$13)),INDEX(PASTE_ALL,$DF751,$L$13),TRIM(SUBSTITUTE(SUBSTITUTE(SUBSTITUTE(SUBSTITUTE(INDEX(PASTE_ALL,$DF751,$L$13)," "," "),CHAR(9)," "),CHAR(10)," "),CHAR(13)," "))),"")))</f>
        <v/>
      </c>
      <c r="DV751">
        <f>IF($DM751=0,"",IF($L$14=0,"",IFERROR(IF(ISNUMBER(INDEX(PASTE_ALL,$DF751,$L$14)),INDEX(PASTE_ALL,$DF751,$L$14),TRIM(SUBSTITUTE(SUBSTITUTE(SUBSTITUTE(SUBSTITUTE(INDEX(PASTE_ALL,$DF751,$L$14)," "," "),CHAR(9)," "),CHAR(10)," "),CHAR(13)," "))),"")))</f>
        <v/>
      </c>
      <c r="DW751">
        <f>IF($DM751=0,"",IF($L$15=0,"",IFERROR(IF(ISNUMBER(INDEX(PASTE_ALL,$DF751,$L$15)),INDEX(PASTE_ALL,$DF751,$L$15),IF(SUMPRODUCT(--ISNUMBER(FIND({"A","B","C","D","E","F","G","H","I","J","K","L","M","N","O","P","Q","R","S","T","U","V","W","X","Y","Z","0","1","2","3","4","5","6","7","8","9"},UPPER(TRIM(SUBSTITUTE(SUBSTITUTE(SUBSTITUTE(SUBSTITUTE(INDEX(PASTE_ALL,$DF751,$L$15)," "," "),CHAR(9)," "),CHAR(10)," "),CHAR(13)," "))))))&gt;0,TRIM(SUBSTITUTE(SUBSTITUTE(SUBSTITUTE(SUBSTITUTE(INDEX(PASTE_ALL,$DF751,$L$15)," "," "),CHAR(9)," "),CHAR(10)," "),CHAR(13)," ")),"")),"")))</f>
        <v/>
      </c>
      <c r="DX751">
        <f>IF($DM751=0,"",IF($L$16=0,"",IFERROR(IF(ISNUMBER(INDEX(PASTE_ALL,$DF751,$L$16)),INDEX(PASTE_ALL,$DF751,$L$16),SUBSTITUTE(SUBSTITUTE(TRIM(SUBSTITUTE(SUBSTITUTE(SUBSTITUTE(SUBSTITUTE(INDEX(PASTE_ALL,$DF751,$L$16)," "," "),CHAR(9)," "),CHAR(10)," "),CHAR(13)," ")),",",""),"%","")),"")))</f>
        <v/>
      </c>
      <c r="DY751">
        <f>IF($DM751=0,"",IFERROR(IF(ISNUMBER($DX751),$DX751,IF($DX751="","",IF(TRIM($DX751)="",0,IF(AND(AND(SUBSTITUTE(SUBSTITUTE(SUBSTITUTE(SUBSTITUTE(SUBSTITUTE(SUBSTITUTE(SUBSTITUTE(SUBSTITUTE(SUBSTITUTE(SUBSTITUTE(SUBSTITUTE(SUBSTITUTE(SUBSTITUTE(SUBSTITUTE(UPPER(TRIM($DX751)),"0",""),"1",""),"2",""),"3",""),"4",""),"5",""),"6",""),"7",""),"8",""),"9",""),".",""),"+",""),"-",""),"E","")="",LEN(SUBSTITUTE(SUBSTITUTE(MID(UPPER(TRIM($DX751)),1+OR(LEFT(UPPER(TRIM($DX751)),1)="+",LEFT(UPPER(TRIM($DX751)),1)="-"),999),"E+","E"),"E-","E"))=LEN(SUBSTITUTE(SUBSTITUTE(SUBSTITUTE(SUBSTITUTE(MID(UPPER(TRIM($DX751)),1+OR(LEFT(UPPER(TRIM($DX751)),1)="+",LEFT(UPPER(TRIM($DX751)),1)="-"),999),"E+","E"),"E-","E"),"+",""),"-","")),LEN(UPPER(TRIM($DX751)))-LEN(SUBSTITUTE(UPPER(TRIM($DX751)),"E",""))&lt;2,LEN(UPPER(TRIM($DX751)))-LEN(SUBSTITUTE(UPPER(TRIM($DX751)),".",""))&lt;2,IFERROR(FIND(".",UPPER(TRIM($DX751))),0)&lt;IFERROR(FIND("E",UPPER(TRIM($DX751))),999)),ISNUMBER(VALUE(TRIM($DX751)))),VALUE(TRIM($DX751)),"")))),""))</f>
        <v/>
      </c>
      <c r="DZ751">
        <f>IF($DM751=0,"",IF($L$17=0,"",IFERROR(IF(ISNUMBER(INDEX(PASTE_ALL,$DF751,$L$17)),INDEX(PASTE_ALL,$DF751,$L$17),SUBSTITUTE(SUBSTITUTE(TRIM(SUBSTITUTE(SUBSTITUTE(SUBSTITUTE(SUBSTITUTE(INDEX(PASTE_ALL,$DF751,$L$17)," "," "),CHAR(9)," "),CHAR(10)," "),CHAR(13)," ")),",",""),"%","")),"")))</f>
        <v/>
      </c>
      <c r="EA751">
        <f>IF($DM751=0,"",IFERROR(IF(ISNUMBER($DZ751),$DZ751,IF($DZ751="","",IF(TRIM($DZ751)="",0,IF(AND(AND(SUBSTITUTE(SUBSTITUTE(SUBSTITUTE(SUBSTITUTE(SUBSTITUTE(SUBSTITUTE(SUBSTITUTE(SUBSTITUTE(SUBSTITUTE(SUBSTITUTE(SUBSTITUTE(SUBSTITUTE(SUBSTITUTE(SUBSTITUTE(UPPER(TRIM($DZ751)),"0",""),"1",""),"2",""),"3",""),"4",""),"5",""),"6",""),"7",""),"8",""),"9",""),".",""),"+",""),"-",""),"E","")="",LEN(SUBSTITUTE(SUBSTITUTE(MID(UPPER(TRIM($DZ751)),1+OR(LEFT(UPPER(TRIM($DZ751)),1)="+",LEFT(UPPER(TRIM($DZ751)),1)="-"),999),"E+","E"),"E-","E"))=LEN(SUBSTITUTE(SUBSTITUTE(SUBSTITUTE(SUBSTITUTE(MID(UPPER(TRIM($DZ751)),1+OR(LEFT(UPPER(TRIM($DZ751)),1)="+",LEFT(UPPER(TRIM($DZ751)),1)="-"),999),"E+","E"),"E-","E"),"+",""),"-","")),LEN(UPPER(TRIM($DZ751)))-LEN(SUBSTITUTE(UPPER(TRIM($DZ751)),"E",""))&lt;2,LEN(UPPER(TRIM($DZ751)))-LEN(SUBSTITUTE(UPPER(TRIM($DZ751)),".",""))&lt;2,IFERROR(FIND(".",UPPER(TRIM($DZ751))),0)&lt;IFERROR(FIND("E",UPPER(TRIM($DZ751))),999)),ISNUMBER(VALUE(TRIM($DZ751)))),VALUE(TRIM($DZ751)),"")))),""))</f>
        <v/>
      </c>
      <c r="EB751">
        <f>IF($DM751=0,"",IF($L$18=0,"",IFERROR(IF(UPPER(TRIM(SUBSTITUTE(SUBSTITUTE(SUBSTITUTE(SUBSTITUTE(INDEX(PASTE_ALL,$DF751,$L$18)," "," "),CHAR(9)," "),CHAR(10)," "),CHAR(13)," ")))="READY","Ready",IF(UPPER(TRIM(SUBSTITUTE(SUBSTITUTE(SUBSTITUTE(SUBSTITUTE(INDEX(PASTE_ALL,$DF751,$L$18)," "," "),CHAR(9)," "),CHAR(10)," "),CHAR(13)," ")))="PM","PM",IF(OR(UPPER(TRIM(SUBSTITUTE(SUBSTITUTE(SUBSTITUTE(SUBSTITUTE(INDEX(PASTE_ALL,$DF751,$L$18)," "," "),CHAR(9)," "),CHAR(10)," "),CHAR(13)," ")))="OT",UPPER(TRIM(SUBSTITUTE(SUBSTITUTE(SUBSTITUTE(SUBSTITUTE(INDEX(PASTE_ALL,$DF751,$L$18)," "," "),CHAR(9)," "),CHAR(10)," "),CHAR(13)," ")))="OVERTIME",UPPER(TRIM(SUBSTITUTE(SUBSTITUTE(SUBSTITUTE(SUBSTITUTE(INDEX(PASTE_ALL,$DF751,$L$18)," "," "),CHAR(9)," "),CHAR(10)," "),CHAR(13)," ")))="TRIAL"),"OT",TRIM(SUBSTITUTE(SUBSTITUTE(SUBSTITUTE(SUBSTITUTE(INDEX(PASTE_ALL,$DF751,$L$18)," "," "),CHAR(9)," "),CHAR(10)," "),CHAR(13)," "))))),"")))</f>
        <v/>
      </c>
      <c r="EC751">
        <f>IF($DM751=0,"",IF($L$19=0,"",IFERROR(IF(ISNUMBER(INDEX(PASTE_ALL,$DF751,$L$19)),INDEX(PASTE_ALL,$DF751,$L$19),TRIM(SUBSTITUTE(SUBSTITUTE(SUBSTITUTE(SUBSTITUTE(INDEX(PASTE_ALL,$DF751,$L$19)," "," "),CHAR(9)," "),CHAR(10)," "),CHAR(13)," "))),"")))</f>
        <v/>
      </c>
      <c r="ED751">
        <f>IF($DM751=0,"",MATCH(1,INDEX(EXACT($DH$5:DH751,$DH751)*$DM$5:DM751,0),0))</f>
        <v/>
      </c>
      <c r="EE751">
        <f>IF($DM751=0,0,IF($ED751=$DE751,1,0))</f>
        <v/>
      </c>
      <c r="EF751">
        <f>EF750+$EE751</f>
        <v/>
      </c>
      <c r="EG751">
        <f>IF($DM751=0,"",INDEX($EF$5:$EF$1003,$ED751))</f>
        <v/>
      </c>
      <c r="EH751">
        <f>IF($DM751=0,"",IF($DO751&lt;&gt;"","",IFERROR(LOOKUP(2,1/(($EG$4:EG750=$EG751)*($DO$4:DO750&lt;&gt;"")),$DO$4:DO750),"")))</f>
        <v/>
      </c>
      <c r="EI751">
        <f>IF($DM751=0,"",IF($DO751&lt;&gt;"",$DO751,$EH751))</f>
        <v/>
      </c>
      <c r="EJ751">
        <f>IF($DM751=0,"",IF($EI751="",0,IF(OR(ISNUMBER($EI751),AND(AND(SUBSTITUTE(SUBSTITUTE(SUBSTITUTE(SUBSTITUTE(SUBSTITUTE(SUBSTITUTE(SUBSTITUTE(SUBSTITUTE(SUBSTITUTE(SUBSTITUTE(SUBSTITUTE(SUBSTITUTE(SUBSTITUTE(SUBSTITUTE(UPPER($EI751),"0",""),"1",""),"2",""),"3",""),"4",""),"5",""),"6",""),"7",""),"8",""),"9",""),".",""),"+",""),"-",""),"E","")="",LEN(SUBSTITUTE(SUBSTITUTE(MID(UPPER($EI751),1+OR(LEFT(UPPER($EI751),1)="+",LEFT(UPPER($EI751),1)="-"),999),"E+","E"),"E-","E"))=LEN(SUBSTITUTE(SUBSTITUTE(SUBSTITUTE(SUBSTITUTE(MID(UPPER($EI751),1+OR(LEFT(UPPER($EI751),1)="+",LEFT(UPPER($EI751),1)="-"),999),"E+","E"),"E-","E"),"+",""),"-","")),LEN(UPPER($EI751))-LEN(SUBSTITUTE(UPPER($EI751),"E",""))&lt;2,LEN(UPPER($EI751))-LEN(SUBSTITUTE(UPPER($EI751),".",""))&lt;2,IFERROR(FIND(".",UPPER($EI751)),0)&lt;IFERROR(FIND("E",UPPER($EI751)),999)),ISNUMBER(VALUE($EI751)))),1,2)))</f>
        <v/>
      </c>
      <c r="EK751">
        <f>IF($DM751=0,"",IF($EJ751=1,IF(ISNUMBER($EI751),$EI751,VALUE($EI751)),IF($EJ751=2,$DE751,0)))</f>
        <v/>
      </c>
      <c r="EL751">
        <f>IF($DM751=0,"",COUNTIF($EG$5:$EG$1003,"&lt;"&amp;$EG751)+SUMPRODUCT(($EG$5:$EG$1003=$EG751)*(($EJ$5:$EJ$1003&lt;$EJ751)+($EJ$5:$EJ$1003=$EJ751)*(($EK$5:$EK$1003&lt;$EK751)+($EK$5:$EK$1003=$EK751)*($DE$5:$DE$1003&lt;$DE751))))+1)</f>
        <v/>
      </c>
      <c r="EM751">
        <f>IF($DM751=0,"",$EL751+$EG751-1)</f>
        <v/>
      </c>
      <c r="EN751">
        <f>IF($DM751=0,0,IFERROR(MATCH(1,INDEX(--(TRIM(SUBSTITUTE(SUBSTITUTE(SUBSTITUTE(SUBSTITUTE(LINES_NAME&amp;""," "," "),CHAR(9)," "),CHAR(10)," "),CHAR(13)," "))=$DH751),0),0),0))</f>
        <v/>
      </c>
      <c r="EO751">
        <f>IF($EN751=0,0,IF(OR(UPPER(TRIM(INDEX(LINES_SCHEDULED,$EN751)&amp;""))="YES",UPPER(TRIM(INDEX(LINES_SCHEDULED,$EN751)&amp;""))="Y",UPPER(TRIM(INDEX(LINES_SCHEDULED,$EN751)&amp;""))="X"),1,0))</f>
        <v/>
      </c>
      <c r="EP751">
        <f>IF($DM751=0,"",IF(COUNTIFS($EG$5:$EG$1003,$EG751,$EB$5:$EB$1003,"Ready")&gt;0,"READY",IF(COUNTIFS($EG$5:$EG$1003,$EG751,$EB$5:$EB$1003,"PM")&gt;0,"PM",IF(COUNTIFS($EG$5:$EG$1003,$EG751,$EB$5:$EB$1003,"OT")&gt;0,"OT",""))))</f>
        <v/>
      </c>
      <c r="EQ751">
        <f>IF($EN751=0,"",UPPER(TRIM(INDEX(LINES_STATUS,$EN751)&amp;"")))</f>
        <v/>
      </c>
      <c r="ER751">
        <f>IF($DM751=0,"",IF(OR($EQ751="READY",$EQ751="PM",$EQ751="OT"),$EQ751,$EP751))</f>
        <v/>
      </c>
      <c r="ES751">
        <f>IF($DM751=0,"",IF(AND($DV751&lt;&gt;"",UPPER($DV751)&lt;&gt;"N"),"allergen",IF(ISNUMBER(SEARCH("oil",$DQ751)),"oil",IF(OR(EXACT($DS751,"A662"),EXACT($DS751,"A624")),"bulk",""))))</f>
        <v/>
      </c>
      <c r="ET751">
        <f>IF($DM751=0,"",IF(OR($EA751="",$EA751=0),"",$EA751/100))</f>
        <v/>
      </c>
      <c r="EU751">
        <f>IF(OR($ET751="",$DY751=""),"",INT($DY751*(1-$ET751)+0.5))</f>
        <v/>
      </c>
    </row>
    <row r="752">
      <c r="DA752" t="n">
        <v>748</v>
      </c>
      <c r="DB752">
        <f>IF($B$37=0,"",IFERROR(TRIM(SUBSTITUTE(SUBSTITUTE(SUBSTITUTE(SUBSTITUTE(INDEX(PASTE_ALL,748,$B$37)," "," "),CHAR(9)," "),CHAR(10)," "),CHAR(13)," ")),""))</f>
        <v/>
      </c>
      <c r="DC752">
        <f>IF(AND(748&gt;HEADER_ROW,UPPER(DB752)="LEGEND"),1,0)</f>
        <v/>
      </c>
      <c r="DE752" t="n">
        <v>748</v>
      </c>
      <c r="DF752">
        <f>HEADER_ROW+$DE752</f>
        <v/>
      </c>
      <c r="DG752">
        <f>IF(AND($DF752&lt;=1000,$DF752&lt;$B$8),1,0)</f>
        <v/>
      </c>
      <c r="DH752">
        <f>IF($DG752=1,IFERROR(INDEX($DB$5:$DB$1004,$DF752),""),"")</f>
        <v/>
      </c>
      <c r="DI752">
        <f>IF(AND($DG752=1,$DH752&lt;&gt;""),IFERROR(SUBSTITUTE(SUBSTITUTE(TRIM(SUBSTITUTE(SUBSTITUTE(SUBSTITUTE(SUBSTITUTE(IFERROR(INDEX(PASTE_ALL,$DF752,1)&amp;"","")&amp;"␟"&amp;IFERROR(INDEX(PASTE_ALL,$DF752,2)&amp;"","")&amp;"␟"&amp;IFERROR(INDEX(PASTE_ALL,$DF752,3)&amp;"","")&amp;"␟"&amp;IFERROR(INDEX(PASTE_ALL,$DF752,4)&amp;"","")&amp;"␟"&amp;IFERROR(INDEX(PASTE_ALL,$DF752,5)&amp;"","")&amp;"␟"&amp;IFERROR(INDEX(PASTE_ALL,$DF752,6)&amp;"","")&amp;"␟"&amp;IFERROR(INDEX(PASTE_ALL,$DF752,7)&amp;"","")&amp;"␟"&amp;IFERROR(INDEX(PASTE_ALL,$DF752,8)&amp;"","")&amp;"␟"&amp;IFERROR(INDEX(PASTE_ALL,$DF752,9)&amp;"","")&amp;"␟"&amp;IFERROR(INDEX(PASTE_ALL,$DF752,10)&amp;"","")&amp;"␟"&amp;IFERROR(INDEX(PASTE_ALL,$DF752,11)&amp;"","")&amp;"␟"&amp;IFERROR(INDEX(PASTE_ALL,$DF752,12)&amp;"","")&amp;"␟"&amp;IFERROR(INDEX(PASTE_ALL,$DF752,13)&amp;"","")&amp;"␟"&amp;IFERROR(INDEX(PASTE_ALL,$DF752,14)&amp;"","")&amp;"␟"&amp;IFERROR(INDEX(PASTE_ALL,$DF752,15)&amp;"","")&amp;"␟"&amp;IFERROR(INDEX(PASTE_ALL,$DF752,16)&amp;"","")&amp;"␟"&amp;IFERROR(INDEX(PASTE_ALL,$DF752,17)&amp;"","")&amp;"␟"&amp;IFERROR(INDEX(PASTE_ALL,$DF752,18)&amp;"","")&amp;"␟"&amp;IFERROR(INDEX(PASTE_ALL,$DF752,19)&amp;"","")&amp;"␟"&amp;IFERROR(INDEX(PASTE_ALL,$DF752,20)&amp;"","")&amp;"␟"&amp;IFERROR(INDEX(PASTE_ALL,$DF752,21)&amp;"","")&amp;"␟"&amp;IFERROR(INDEX(PASTE_ALL,$DF752,22)&amp;"","")&amp;"␟"&amp;IFERROR(INDEX(PASTE_ALL,$DF752,23)&amp;"","")&amp;"␟"&amp;IFERROR(INDEX(PASTE_ALL,$DF752,24)&amp;"","")&amp;"␟"&amp;IFERROR(INDEX(PASTE_ALL,$DF752,25)&amp;"","")&amp;"␟"&amp;IFERROR(INDEX(PASTE_ALL,$DF752,26)&amp;"","")&amp;"␟"&amp;IFERROR(INDEX(PASTE_ALL,$DF752,27)&amp;"","")&amp;"␟"&amp;IFERROR(INDEX(PASTE_ALL,$DF752,28)&amp;"","")&amp;"␟"&amp;IFERROR(INDEX(PASTE_ALL,$DF752,29)&amp;"","")&amp;"␟"&amp;IFERROR(INDEX(PASTE_ALL,$DF752,30)&amp;"","")&amp;"␟"&amp;IFERROR(INDEX(PASTE_ALL,$DF752,31)&amp;"","")&amp;"␟"&amp;IFERROR(INDEX(PASTE_ALL,$DF752,32)&amp;"","")&amp;"␟"&amp;IFERROR(INDEX(PASTE_ALL,$DF752,33)&amp;"","")&amp;"␟"&amp;IFERROR(INDEX(PASTE_ALL,$DF752,34)&amp;"","")&amp;"␟"&amp;IFERROR(INDEX(PASTE_ALL,$DF752,35)&amp;"","")&amp;"␟"&amp;IFERROR(INDEX(PASTE_ALL,$DF752,36)&amp;"","")&amp;"␟"&amp;IFERROR(INDEX(PASTE_ALL,$DF752,37)&amp;"","")&amp;"␟"&amp;IFERROR(INDEX(PASTE_ALL,$DF752,38)&amp;"","")&amp;"␟"&amp;IFERROR(INDEX(PASTE_ALL,$DF752,39)&amp;"","")&amp;"␟"&amp;IFERROR(INDEX(PASTE_ALL,$DF752,40)&amp;"","")&amp;"␟"&amp;IFERROR(INDEX(PASTE_ALL,$DF752,41)&amp;"","")&amp;"␟"&amp;IFERROR(INDEX(PASTE_ALL,$DF752,42)&amp;"","")&amp;"␟"&amp;IFERROR(INDEX(PASTE_ALL,$DF752,43)&amp;"","")&amp;"␟"&amp;IFERROR(INDEX(PASTE_ALL,$DF752,44)&amp;"","")&amp;"␟"&amp;IFERROR(INDEX(PASTE_ALL,$DF752,45)&amp;"","")&amp;"␟"&amp;IFERROR(INDEX(PASTE_ALL,$DF752,46)&amp;"","")&amp;"␟"&amp;IFERROR(INDEX(PASTE_ALL,$DF752,47)&amp;"","")&amp;"␟"&amp;IFERROR(INDEX(PASTE_ALL,$DF752,48)&amp;"","")&amp;"␟"&amp;IFERROR(INDEX(PASTE_ALL,$DF752,49)&amp;"","")&amp;"␟"&amp;IFERROR(INDEX(PASTE_ALL,$DF752,50)&amp;"","")&amp;"␟"&amp;IFERROR(INDEX(PASTE_ALL,$DF752,51)&amp;"","")&amp;"␟"&amp;IFERROR(INDEX(PASTE_ALL,$DF752,52)&amp;"","")&amp;"␟"&amp;IFERROR(INDEX(PASTE_ALL,$DF752,53)&amp;"","")&amp;"␟"&amp;IFERROR(INDEX(PASTE_ALL,$DF752,54)&amp;"","")&amp;"␟"&amp;IFERROR(INDEX(PASTE_ALL,$DF752,55)&amp;"","")&amp;"␟"&amp;IFERROR(INDEX(PASTE_ALL,$DF752,56)&amp;"","")&amp;"␟"&amp;IFERROR(INDEX(PASTE_ALL,$DF752,57)&amp;"","")&amp;"␟"&amp;IFERROR(INDEX(PASTE_ALL,$DF752,58)&amp;"","")&amp;"␟"&amp;IFERROR(INDEX(PASTE_ALL,$DF752,59)&amp;"","")&amp;"␟"&amp;IFERROR(INDEX(PASTE_ALL,$DF752,60)&amp;"","")," "," "),CHAR(9)," "),CHAR(10)," "),CHAR(13)," "))," ␟","␟"),"␟ ","␟"),"#"&amp;$DE752),"")</f>
        <v/>
      </c>
      <c r="DJ752">
        <f>IF($DI752="",0,IF(SUMPRODUCT(--EXACT($DI$4:DI751,$DI752))&gt;0,1,0))</f>
        <v/>
      </c>
      <c r="DK752">
        <f>IF(AND($DI752&lt;&gt;"",$DJ752=0),1,0)</f>
        <v/>
      </c>
      <c r="DL752">
        <f>DL751+$DK752</f>
        <v/>
      </c>
      <c r="DM752">
        <f>IF(AND($DK752=1,$DL752&lt;=600),1,0)</f>
        <v/>
      </c>
      <c r="DN752">
        <f>IF($DM752=0,"",IF($L$6=0,"",IFERROR(IF(ISNUMBER(INDEX(PASTE_ALL,$DF752,$L$6)),INDEX(PASTE_ALL,$DF752,$L$6),TRIM(SUBSTITUTE(SUBSTITUTE(SUBSTITUTE(SUBSTITUTE(INDEX(PASTE_ALL,$DF752,$L$6)," "," "),CHAR(9)," "),CHAR(10)," "),CHAR(13)," "))),"")))</f>
        <v/>
      </c>
      <c r="DO752">
        <f>IF($DM752=0,"",IF($L$7=0,"",IFERROR(IF(ISNUMBER(INDEX(PASTE_ALL,$DF752,$L$7)),INDEX(PASTE_ALL,$DF752,$L$7),TRIM(SUBSTITUTE(SUBSTITUTE(SUBSTITUTE(SUBSTITUTE(INDEX(PASTE_ALL,$DF752,$L$7)," "," "),CHAR(9)," "),CHAR(10)," "),CHAR(13)," "))),"")))</f>
        <v/>
      </c>
      <c r="DP752">
        <f>IF($DM752=0,"",IF($L$8=0,"",IFERROR(IF(ISNUMBER(INDEX(PASTE_ALL,$DF752,$L$8)),INDEX(PASTE_ALL,$DF752,$L$8),TRIM(SUBSTITUTE(SUBSTITUTE(SUBSTITUTE(SUBSTITUTE(INDEX(PASTE_ALL,$DF752,$L$8)," "," "),CHAR(9)," "),CHAR(10)," "),CHAR(13)," "))),"")))</f>
        <v/>
      </c>
      <c r="DQ752">
        <f>IF($DM752=0,"",IF($L$9=0,"",IFERROR(IF(ISNUMBER(INDEX(PASTE_ALL,$DF752,$L$9)),INDEX(PASTE_ALL,$DF752,$L$9),TRIM(SUBSTITUTE(SUBSTITUTE(SUBSTITUTE(SUBSTITUTE(INDEX(PASTE_ALL,$DF752,$L$9)," "," "),CHAR(9)," "),CHAR(10)," "),CHAR(13)," "))),"")))</f>
        <v/>
      </c>
      <c r="DR752">
        <f>IF($DM752=0,"",IF($L$10=0,"",IFERROR(IF(ISNUMBER(INDEX(PASTE_ALL,$DF752,$L$10)),INDEX(PASTE_ALL,$DF752,$L$10),TRIM(SUBSTITUTE(SUBSTITUTE(SUBSTITUTE(SUBSTITUTE(INDEX(PASTE_ALL,$DF752,$L$10)," "," "),CHAR(9)," "),CHAR(10)," "),CHAR(13)," "))),"")))</f>
        <v/>
      </c>
      <c r="DS752">
        <f>IF($DM752=0,"",IF($L$11=0,"",IFERROR(IF(ISNUMBER(INDEX(PASTE_ALL,$DF752,$L$11)),INDEX(PASTE_ALL,$DF752,$L$11),TRIM(SUBSTITUTE(SUBSTITUTE(SUBSTITUTE(SUBSTITUTE(INDEX(PASTE_ALL,$DF752,$L$11)," "," "),CHAR(9)," "),CHAR(10)," "),CHAR(13)," "))),"")))</f>
        <v/>
      </c>
      <c r="DT752">
        <f>IF($DM752=0,"",IF($L$12=0,"",IFERROR(IF(ISNUMBER(INDEX(PASTE_ALL,$DF752,$L$12)),INDEX(PASTE_ALL,$DF752,$L$12),TRIM(SUBSTITUTE(SUBSTITUTE(SUBSTITUTE(SUBSTITUTE(INDEX(PASTE_ALL,$DF752,$L$12)," "," "),CHAR(9)," "),CHAR(10)," "),CHAR(13)," "))),"")))</f>
        <v/>
      </c>
      <c r="DU752">
        <f>IF($DM752=0,"",IF($L$13=0,"",IFERROR(IF(ISNUMBER(INDEX(PASTE_ALL,$DF752,$L$13)),INDEX(PASTE_ALL,$DF752,$L$13),TRIM(SUBSTITUTE(SUBSTITUTE(SUBSTITUTE(SUBSTITUTE(INDEX(PASTE_ALL,$DF752,$L$13)," "," "),CHAR(9)," "),CHAR(10)," "),CHAR(13)," "))),"")))</f>
        <v/>
      </c>
      <c r="DV752">
        <f>IF($DM752=0,"",IF($L$14=0,"",IFERROR(IF(ISNUMBER(INDEX(PASTE_ALL,$DF752,$L$14)),INDEX(PASTE_ALL,$DF752,$L$14),TRIM(SUBSTITUTE(SUBSTITUTE(SUBSTITUTE(SUBSTITUTE(INDEX(PASTE_ALL,$DF752,$L$14)," "," "),CHAR(9)," "),CHAR(10)," "),CHAR(13)," "))),"")))</f>
        <v/>
      </c>
      <c r="DW752">
        <f>IF($DM752=0,"",IF($L$15=0,"",IFERROR(IF(ISNUMBER(INDEX(PASTE_ALL,$DF752,$L$15)),INDEX(PASTE_ALL,$DF752,$L$15),IF(SUMPRODUCT(--ISNUMBER(FIND({"A","B","C","D","E","F","G","H","I","J","K","L","M","N","O","P","Q","R","S","T","U","V","W","X","Y","Z","0","1","2","3","4","5","6","7","8","9"},UPPER(TRIM(SUBSTITUTE(SUBSTITUTE(SUBSTITUTE(SUBSTITUTE(INDEX(PASTE_ALL,$DF752,$L$15)," "," "),CHAR(9)," "),CHAR(10)," "),CHAR(13)," "))))))&gt;0,TRIM(SUBSTITUTE(SUBSTITUTE(SUBSTITUTE(SUBSTITUTE(INDEX(PASTE_ALL,$DF752,$L$15)," "," "),CHAR(9)," "),CHAR(10)," "),CHAR(13)," ")),"")),"")))</f>
        <v/>
      </c>
      <c r="DX752">
        <f>IF($DM752=0,"",IF($L$16=0,"",IFERROR(IF(ISNUMBER(INDEX(PASTE_ALL,$DF752,$L$16)),INDEX(PASTE_ALL,$DF752,$L$16),SUBSTITUTE(SUBSTITUTE(TRIM(SUBSTITUTE(SUBSTITUTE(SUBSTITUTE(SUBSTITUTE(INDEX(PASTE_ALL,$DF752,$L$16)," "," "),CHAR(9)," "),CHAR(10)," "),CHAR(13)," ")),",",""),"%","")),"")))</f>
        <v/>
      </c>
      <c r="DY752">
        <f>IF($DM752=0,"",IFERROR(IF(ISNUMBER($DX752),$DX752,IF($DX752="","",IF(TRIM($DX752)="",0,IF(AND(AND(SUBSTITUTE(SUBSTITUTE(SUBSTITUTE(SUBSTITUTE(SUBSTITUTE(SUBSTITUTE(SUBSTITUTE(SUBSTITUTE(SUBSTITUTE(SUBSTITUTE(SUBSTITUTE(SUBSTITUTE(SUBSTITUTE(SUBSTITUTE(UPPER(TRIM($DX752)),"0",""),"1",""),"2",""),"3",""),"4",""),"5",""),"6",""),"7",""),"8",""),"9",""),".",""),"+",""),"-",""),"E","")="",LEN(SUBSTITUTE(SUBSTITUTE(MID(UPPER(TRIM($DX752)),1+OR(LEFT(UPPER(TRIM($DX752)),1)="+",LEFT(UPPER(TRIM($DX752)),1)="-"),999),"E+","E"),"E-","E"))=LEN(SUBSTITUTE(SUBSTITUTE(SUBSTITUTE(SUBSTITUTE(MID(UPPER(TRIM($DX752)),1+OR(LEFT(UPPER(TRIM($DX752)),1)="+",LEFT(UPPER(TRIM($DX752)),1)="-"),999),"E+","E"),"E-","E"),"+",""),"-","")),LEN(UPPER(TRIM($DX752)))-LEN(SUBSTITUTE(UPPER(TRIM($DX752)),"E",""))&lt;2,LEN(UPPER(TRIM($DX752)))-LEN(SUBSTITUTE(UPPER(TRIM($DX752)),".",""))&lt;2,IFERROR(FIND(".",UPPER(TRIM($DX752))),0)&lt;IFERROR(FIND("E",UPPER(TRIM($DX752))),999)),ISNUMBER(VALUE(TRIM($DX752)))),VALUE(TRIM($DX752)),"")))),""))</f>
        <v/>
      </c>
      <c r="DZ752">
        <f>IF($DM752=0,"",IF($L$17=0,"",IFERROR(IF(ISNUMBER(INDEX(PASTE_ALL,$DF752,$L$17)),INDEX(PASTE_ALL,$DF752,$L$17),SUBSTITUTE(SUBSTITUTE(TRIM(SUBSTITUTE(SUBSTITUTE(SUBSTITUTE(SUBSTITUTE(INDEX(PASTE_ALL,$DF752,$L$17)," "," "),CHAR(9)," "),CHAR(10)," "),CHAR(13)," ")),",",""),"%","")),"")))</f>
        <v/>
      </c>
      <c r="EA752">
        <f>IF($DM752=0,"",IFERROR(IF(ISNUMBER($DZ752),$DZ752,IF($DZ752="","",IF(TRIM($DZ752)="",0,IF(AND(AND(SUBSTITUTE(SUBSTITUTE(SUBSTITUTE(SUBSTITUTE(SUBSTITUTE(SUBSTITUTE(SUBSTITUTE(SUBSTITUTE(SUBSTITUTE(SUBSTITUTE(SUBSTITUTE(SUBSTITUTE(SUBSTITUTE(SUBSTITUTE(UPPER(TRIM($DZ752)),"0",""),"1",""),"2",""),"3",""),"4",""),"5",""),"6",""),"7",""),"8",""),"9",""),".",""),"+",""),"-",""),"E","")="",LEN(SUBSTITUTE(SUBSTITUTE(MID(UPPER(TRIM($DZ752)),1+OR(LEFT(UPPER(TRIM($DZ752)),1)="+",LEFT(UPPER(TRIM($DZ752)),1)="-"),999),"E+","E"),"E-","E"))=LEN(SUBSTITUTE(SUBSTITUTE(SUBSTITUTE(SUBSTITUTE(MID(UPPER(TRIM($DZ752)),1+OR(LEFT(UPPER(TRIM($DZ752)),1)="+",LEFT(UPPER(TRIM($DZ752)),1)="-"),999),"E+","E"),"E-","E"),"+",""),"-","")),LEN(UPPER(TRIM($DZ752)))-LEN(SUBSTITUTE(UPPER(TRIM($DZ752)),"E",""))&lt;2,LEN(UPPER(TRIM($DZ752)))-LEN(SUBSTITUTE(UPPER(TRIM($DZ752)),".",""))&lt;2,IFERROR(FIND(".",UPPER(TRIM($DZ752))),0)&lt;IFERROR(FIND("E",UPPER(TRIM($DZ752))),999)),ISNUMBER(VALUE(TRIM($DZ752)))),VALUE(TRIM($DZ752)),"")))),""))</f>
        <v/>
      </c>
      <c r="EB752">
        <f>IF($DM752=0,"",IF($L$18=0,"",IFERROR(IF(UPPER(TRIM(SUBSTITUTE(SUBSTITUTE(SUBSTITUTE(SUBSTITUTE(INDEX(PASTE_ALL,$DF752,$L$18)," "," "),CHAR(9)," "),CHAR(10)," "),CHAR(13)," ")))="READY","Ready",IF(UPPER(TRIM(SUBSTITUTE(SUBSTITUTE(SUBSTITUTE(SUBSTITUTE(INDEX(PASTE_ALL,$DF752,$L$18)," "," "),CHAR(9)," "),CHAR(10)," "),CHAR(13)," ")))="PM","PM",IF(OR(UPPER(TRIM(SUBSTITUTE(SUBSTITUTE(SUBSTITUTE(SUBSTITUTE(INDEX(PASTE_ALL,$DF752,$L$18)," "," "),CHAR(9)," "),CHAR(10)," "),CHAR(13)," ")))="OT",UPPER(TRIM(SUBSTITUTE(SUBSTITUTE(SUBSTITUTE(SUBSTITUTE(INDEX(PASTE_ALL,$DF752,$L$18)," "," "),CHAR(9)," "),CHAR(10)," "),CHAR(13)," ")))="OVERTIME",UPPER(TRIM(SUBSTITUTE(SUBSTITUTE(SUBSTITUTE(SUBSTITUTE(INDEX(PASTE_ALL,$DF752,$L$18)," "," "),CHAR(9)," "),CHAR(10)," "),CHAR(13)," ")))="TRIAL"),"OT",TRIM(SUBSTITUTE(SUBSTITUTE(SUBSTITUTE(SUBSTITUTE(INDEX(PASTE_ALL,$DF752,$L$18)," "," "),CHAR(9)," "),CHAR(10)," "),CHAR(13)," "))))),"")))</f>
        <v/>
      </c>
      <c r="EC752">
        <f>IF($DM752=0,"",IF($L$19=0,"",IFERROR(IF(ISNUMBER(INDEX(PASTE_ALL,$DF752,$L$19)),INDEX(PASTE_ALL,$DF752,$L$19),TRIM(SUBSTITUTE(SUBSTITUTE(SUBSTITUTE(SUBSTITUTE(INDEX(PASTE_ALL,$DF752,$L$19)," "," "),CHAR(9)," "),CHAR(10)," "),CHAR(13)," "))),"")))</f>
        <v/>
      </c>
      <c r="ED752">
        <f>IF($DM752=0,"",MATCH(1,INDEX(EXACT($DH$5:DH752,$DH752)*$DM$5:DM752,0),0))</f>
        <v/>
      </c>
      <c r="EE752">
        <f>IF($DM752=0,0,IF($ED752=$DE752,1,0))</f>
        <v/>
      </c>
      <c r="EF752">
        <f>EF751+$EE752</f>
        <v/>
      </c>
      <c r="EG752">
        <f>IF($DM752=0,"",INDEX($EF$5:$EF$1003,$ED752))</f>
        <v/>
      </c>
      <c r="EH752">
        <f>IF($DM752=0,"",IF($DO752&lt;&gt;"","",IFERROR(LOOKUP(2,1/(($EG$4:EG751=$EG752)*($DO$4:DO751&lt;&gt;"")),$DO$4:DO751),"")))</f>
        <v/>
      </c>
      <c r="EI752">
        <f>IF($DM752=0,"",IF($DO752&lt;&gt;"",$DO752,$EH752))</f>
        <v/>
      </c>
      <c r="EJ752">
        <f>IF($DM752=0,"",IF($EI752="",0,IF(OR(ISNUMBER($EI752),AND(AND(SUBSTITUTE(SUBSTITUTE(SUBSTITUTE(SUBSTITUTE(SUBSTITUTE(SUBSTITUTE(SUBSTITUTE(SUBSTITUTE(SUBSTITUTE(SUBSTITUTE(SUBSTITUTE(SUBSTITUTE(SUBSTITUTE(SUBSTITUTE(UPPER($EI752),"0",""),"1",""),"2",""),"3",""),"4",""),"5",""),"6",""),"7",""),"8",""),"9",""),".",""),"+",""),"-",""),"E","")="",LEN(SUBSTITUTE(SUBSTITUTE(MID(UPPER($EI752),1+OR(LEFT(UPPER($EI752),1)="+",LEFT(UPPER($EI752),1)="-"),999),"E+","E"),"E-","E"))=LEN(SUBSTITUTE(SUBSTITUTE(SUBSTITUTE(SUBSTITUTE(MID(UPPER($EI752),1+OR(LEFT(UPPER($EI752),1)="+",LEFT(UPPER($EI752),1)="-"),999),"E+","E"),"E-","E"),"+",""),"-","")),LEN(UPPER($EI752))-LEN(SUBSTITUTE(UPPER($EI752),"E",""))&lt;2,LEN(UPPER($EI752))-LEN(SUBSTITUTE(UPPER($EI752),".",""))&lt;2,IFERROR(FIND(".",UPPER($EI752)),0)&lt;IFERROR(FIND("E",UPPER($EI752)),999)),ISNUMBER(VALUE($EI752)))),1,2)))</f>
        <v/>
      </c>
      <c r="EK752">
        <f>IF($DM752=0,"",IF($EJ752=1,IF(ISNUMBER($EI752),$EI752,VALUE($EI752)),IF($EJ752=2,$DE752,0)))</f>
        <v/>
      </c>
      <c r="EL752">
        <f>IF($DM752=0,"",COUNTIF($EG$5:$EG$1003,"&lt;"&amp;$EG752)+SUMPRODUCT(($EG$5:$EG$1003=$EG752)*(($EJ$5:$EJ$1003&lt;$EJ752)+($EJ$5:$EJ$1003=$EJ752)*(($EK$5:$EK$1003&lt;$EK752)+($EK$5:$EK$1003=$EK752)*($DE$5:$DE$1003&lt;$DE752))))+1)</f>
        <v/>
      </c>
      <c r="EM752">
        <f>IF($DM752=0,"",$EL752+$EG752-1)</f>
        <v/>
      </c>
      <c r="EN752">
        <f>IF($DM752=0,0,IFERROR(MATCH(1,INDEX(--(TRIM(SUBSTITUTE(SUBSTITUTE(SUBSTITUTE(SUBSTITUTE(LINES_NAME&amp;""," "," "),CHAR(9)," "),CHAR(10)," "),CHAR(13)," "))=$DH752),0),0),0))</f>
        <v/>
      </c>
      <c r="EO752">
        <f>IF($EN752=0,0,IF(OR(UPPER(TRIM(INDEX(LINES_SCHEDULED,$EN752)&amp;""))="YES",UPPER(TRIM(INDEX(LINES_SCHEDULED,$EN752)&amp;""))="Y",UPPER(TRIM(INDEX(LINES_SCHEDULED,$EN752)&amp;""))="X"),1,0))</f>
        <v/>
      </c>
      <c r="EP752">
        <f>IF($DM752=0,"",IF(COUNTIFS($EG$5:$EG$1003,$EG752,$EB$5:$EB$1003,"Ready")&gt;0,"READY",IF(COUNTIFS($EG$5:$EG$1003,$EG752,$EB$5:$EB$1003,"PM")&gt;0,"PM",IF(COUNTIFS($EG$5:$EG$1003,$EG752,$EB$5:$EB$1003,"OT")&gt;0,"OT",""))))</f>
        <v/>
      </c>
      <c r="EQ752">
        <f>IF($EN752=0,"",UPPER(TRIM(INDEX(LINES_STATUS,$EN752)&amp;"")))</f>
        <v/>
      </c>
      <c r="ER752">
        <f>IF($DM752=0,"",IF(OR($EQ752="READY",$EQ752="PM",$EQ752="OT"),$EQ752,$EP752))</f>
        <v/>
      </c>
      <c r="ES752">
        <f>IF($DM752=0,"",IF(AND($DV752&lt;&gt;"",UPPER($DV752)&lt;&gt;"N"),"allergen",IF(ISNUMBER(SEARCH("oil",$DQ752)),"oil",IF(OR(EXACT($DS752,"A662"),EXACT($DS752,"A624")),"bulk",""))))</f>
        <v/>
      </c>
      <c r="ET752">
        <f>IF($DM752=0,"",IF(OR($EA752="",$EA752=0),"",$EA752/100))</f>
        <v/>
      </c>
      <c r="EU752">
        <f>IF(OR($ET752="",$DY752=""),"",INT($DY752*(1-$ET752)+0.5))</f>
        <v/>
      </c>
    </row>
    <row r="753">
      <c r="DA753" t="n">
        <v>749</v>
      </c>
      <c r="DB753">
        <f>IF($B$37=0,"",IFERROR(TRIM(SUBSTITUTE(SUBSTITUTE(SUBSTITUTE(SUBSTITUTE(INDEX(PASTE_ALL,749,$B$37)," "," "),CHAR(9)," "),CHAR(10)," "),CHAR(13)," ")),""))</f>
        <v/>
      </c>
      <c r="DC753">
        <f>IF(AND(749&gt;HEADER_ROW,UPPER(DB753)="LEGEND"),1,0)</f>
        <v/>
      </c>
      <c r="DE753" t="n">
        <v>749</v>
      </c>
      <c r="DF753">
        <f>HEADER_ROW+$DE753</f>
        <v/>
      </c>
      <c r="DG753">
        <f>IF(AND($DF753&lt;=1000,$DF753&lt;$B$8),1,0)</f>
        <v/>
      </c>
      <c r="DH753">
        <f>IF($DG753=1,IFERROR(INDEX($DB$5:$DB$1004,$DF753),""),"")</f>
        <v/>
      </c>
      <c r="DI753">
        <f>IF(AND($DG753=1,$DH753&lt;&gt;""),IFERROR(SUBSTITUTE(SUBSTITUTE(TRIM(SUBSTITUTE(SUBSTITUTE(SUBSTITUTE(SUBSTITUTE(IFERROR(INDEX(PASTE_ALL,$DF753,1)&amp;"","")&amp;"␟"&amp;IFERROR(INDEX(PASTE_ALL,$DF753,2)&amp;"","")&amp;"␟"&amp;IFERROR(INDEX(PASTE_ALL,$DF753,3)&amp;"","")&amp;"␟"&amp;IFERROR(INDEX(PASTE_ALL,$DF753,4)&amp;"","")&amp;"␟"&amp;IFERROR(INDEX(PASTE_ALL,$DF753,5)&amp;"","")&amp;"␟"&amp;IFERROR(INDEX(PASTE_ALL,$DF753,6)&amp;"","")&amp;"␟"&amp;IFERROR(INDEX(PASTE_ALL,$DF753,7)&amp;"","")&amp;"␟"&amp;IFERROR(INDEX(PASTE_ALL,$DF753,8)&amp;"","")&amp;"␟"&amp;IFERROR(INDEX(PASTE_ALL,$DF753,9)&amp;"","")&amp;"␟"&amp;IFERROR(INDEX(PASTE_ALL,$DF753,10)&amp;"","")&amp;"␟"&amp;IFERROR(INDEX(PASTE_ALL,$DF753,11)&amp;"","")&amp;"␟"&amp;IFERROR(INDEX(PASTE_ALL,$DF753,12)&amp;"","")&amp;"␟"&amp;IFERROR(INDEX(PASTE_ALL,$DF753,13)&amp;"","")&amp;"␟"&amp;IFERROR(INDEX(PASTE_ALL,$DF753,14)&amp;"","")&amp;"␟"&amp;IFERROR(INDEX(PASTE_ALL,$DF753,15)&amp;"","")&amp;"␟"&amp;IFERROR(INDEX(PASTE_ALL,$DF753,16)&amp;"","")&amp;"␟"&amp;IFERROR(INDEX(PASTE_ALL,$DF753,17)&amp;"","")&amp;"␟"&amp;IFERROR(INDEX(PASTE_ALL,$DF753,18)&amp;"","")&amp;"␟"&amp;IFERROR(INDEX(PASTE_ALL,$DF753,19)&amp;"","")&amp;"␟"&amp;IFERROR(INDEX(PASTE_ALL,$DF753,20)&amp;"","")&amp;"␟"&amp;IFERROR(INDEX(PASTE_ALL,$DF753,21)&amp;"","")&amp;"␟"&amp;IFERROR(INDEX(PASTE_ALL,$DF753,22)&amp;"","")&amp;"␟"&amp;IFERROR(INDEX(PASTE_ALL,$DF753,23)&amp;"","")&amp;"␟"&amp;IFERROR(INDEX(PASTE_ALL,$DF753,24)&amp;"","")&amp;"␟"&amp;IFERROR(INDEX(PASTE_ALL,$DF753,25)&amp;"","")&amp;"␟"&amp;IFERROR(INDEX(PASTE_ALL,$DF753,26)&amp;"","")&amp;"␟"&amp;IFERROR(INDEX(PASTE_ALL,$DF753,27)&amp;"","")&amp;"␟"&amp;IFERROR(INDEX(PASTE_ALL,$DF753,28)&amp;"","")&amp;"␟"&amp;IFERROR(INDEX(PASTE_ALL,$DF753,29)&amp;"","")&amp;"␟"&amp;IFERROR(INDEX(PASTE_ALL,$DF753,30)&amp;"","")&amp;"␟"&amp;IFERROR(INDEX(PASTE_ALL,$DF753,31)&amp;"","")&amp;"␟"&amp;IFERROR(INDEX(PASTE_ALL,$DF753,32)&amp;"","")&amp;"␟"&amp;IFERROR(INDEX(PASTE_ALL,$DF753,33)&amp;"","")&amp;"␟"&amp;IFERROR(INDEX(PASTE_ALL,$DF753,34)&amp;"","")&amp;"␟"&amp;IFERROR(INDEX(PASTE_ALL,$DF753,35)&amp;"","")&amp;"␟"&amp;IFERROR(INDEX(PASTE_ALL,$DF753,36)&amp;"","")&amp;"␟"&amp;IFERROR(INDEX(PASTE_ALL,$DF753,37)&amp;"","")&amp;"␟"&amp;IFERROR(INDEX(PASTE_ALL,$DF753,38)&amp;"","")&amp;"␟"&amp;IFERROR(INDEX(PASTE_ALL,$DF753,39)&amp;"","")&amp;"␟"&amp;IFERROR(INDEX(PASTE_ALL,$DF753,40)&amp;"","")&amp;"␟"&amp;IFERROR(INDEX(PASTE_ALL,$DF753,41)&amp;"","")&amp;"␟"&amp;IFERROR(INDEX(PASTE_ALL,$DF753,42)&amp;"","")&amp;"␟"&amp;IFERROR(INDEX(PASTE_ALL,$DF753,43)&amp;"","")&amp;"␟"&amp;IFERROR(INDEX(PASTE_ALL,$DF753,44)&amp;"","")&amp;"␟"&amp;IFERROR(INDEX(PASTE_ALL,$DF753,45)&amp;"","")&amp;"␟"&amp;IFERROR(INDEX(PASTE_ALL,$DF753,46)&amp;"","")&amp;"␟"&amp;IFERROR(INDEX(PASTE_ALL,$DF753,47)&amp;"","")&amp;"␟"&amp;IFERROR(INDEX(PASTE_ALL,$DF753,48)&amp;"","")&amp;"␟"&amp;IFERROR(INDEX(PASTE_ALL,$DF753,49)&amp;"","")&amp;"␟"&amp;IFERROR(INDEX(PASTE_ALL,$DF753,50)&amp;"","")&amp;"␟"&amp;IFERROR(INDEX(PASTE_ALL,$DF753,51)&amp;"","")&amp;"␟"&amp;IFERROR(INDEX(PASTE_ALL,$DF753,52)&amp;"","")&amp;"␟"&amp;IFERROR(INDEX(PASTE_ALL,$DF753,53)&amp;"","")&amp;"␟"&amp;IFERROR(INDEX(PASTE_ALL,$DF753,54)&amp;"","")&amp;"␟"&amp;IFERROR(INDEX(PASTE_ALL,$DF753,55)&amp;"","")&amp;"␟"&amp;IFERROR(INDEX(PASTE_ALL,$DF753,56)&amp;"","")&amp;"␟"&amp;IFERROR(INDEX(PASTE_ALL,$DF753,57)&amp;"","")&amp;"␟"&amp;IFERROR(INDEX(PASTE_ALL,$DF753,58)&amp;"","")&amp;"␟"&amp;IFERROR(INDEX(PASTE_ALL,$DF753,59)&amp;"","")&amp;"␟"&amp;IFERROR(INDEX(PASTE_ALL,$DF753,60)&amp;"","")," "," "),CHAR(9)," "),CHAR(10)," "),CHAR(13)," "))," ␟","␟"),"␟ ","␟"),"#"&amp;$DE753),"")</f>
        <v/>
      </c>
      <c r="DJ753">
        <f>IF($DI753="",0,IF(SUMPRODUCT(--EXACT($DI$4:DI752,$DI753))&gt;0,1,0))</f>
        <v/>
      </c>
      <c r="DK753">
        <f>IF(AND($DI753&lt;&gt;"",$DJ753=0),1,0)</f>
        <v/>
      </c>
      <c r="DL753">
        <f>DL752+$DK753</f>
        <v/>
      </c>
      <c r="DM753">
        <f>IF(AND($DK753=1,$DL753&lt;=600),1,0)</f>
        <v/>
      </c>
      <c r="DN753">
        <f>IF($DM753=0,"",IF($L$6=0,"",IFERROR(IF(ISNUMBER(INDEX(PASTE_ALL,$DF753,$L$6)),INDEX(PASTE_ALL,$DF753,$L$6),TRIM(SUBSTITUTE(SUBSTITUTE(SUBSTITUTE(SUBSTITUTE(INDEX(PASTE_ALL,$DF753,$L$6)," "," "),CHAR(9)," "),CHAR(10)," "),CHAR(13)," "))),"")))</f>
        <v/>
      </c>
      <c r="DO753">
        <f>IF($DM753=0,"",IF($L$7=0,"",IFERROR(IF(ISNUMBER(INDEX(PASTE_ALL,$DF753,$L$7)),INDEX(PASTE_ALL,$DF753,$L$7),TRIM(SUBSTITUTE(SUBSTITUTE(SUBSTITUTE(SUBSTITUTE(INDEX(PASTE_ALL,$DF753,$L$7)," "," "),CHAR(9)," "),CHAR(10)," "),CHAR(13)," "))),"")))</f>
        <v/>
      </c>
      <c r="DP753">
        <f>IF($DM753=0,"",IF($L$8=0,"",IFERROR(IF(ISNUMBER(INDEX(PASTE_ALL,$DF753,$L$8)),INDEX(PASTE_ALL,$DF753,$L$8),TRIM(SUBSTITUTE(SUBSTITUTE(SUBSTITUTE(SUBSTITUTE(INDEX(PASTE_ALL,$DF753,$L$8)," "," "),CHAR(9)," "),CHAR(10)," "),CHAR(13)," "))),"")))</f>
        <v/>
      </c>
      <c r="DQ753">
        <f>IF($DM753=0,"",IF($L$9=0,"",IFERROR(IF(ISNUMBER(INDEX(PASTE_ALL,$DF753,$L$9)),INDEX(PASTE_ALL,$DF753,$L$9),TRIM(SUBSTITUTE(SUBSTITUTE(SUBSTITUTE(SUBSTITUTE(INDEX(PASTE_ALL,$DF753,$L$9)," "," "),CHAR(9)," "),CHAR(10)," "),CHAR(13)," "))),"")))</f>
        <v/>
      </c>
      <c r="DR753">
        <f>IF($DM753=0,"",IF($L$10=0,"",IFERROR(IF(ISNUMBER(INDEX(PASTE_ALL,$DF753,$L$10)),INDEX(PASTE_ALL,$DF753,$L$10),TRIM(SUBSTITUTE(SUBSTITUTE(SUBSTITUTE(SUBSTITUTE(INDEX(PASTE_ALL,$DF753,$L$10)," "," "),CHAR(9)," "),CHAR(10)," "),CHAR(13)," "))),"")))</f>
        <v/>
      </c>
      <c r="DS753">
        <f>IF($DM753=0,"",IF($L$11=0,"",IFERROR(IF(ISNUMBER(INDEX(PASTE_ALL,$DF753,$L$11)),INDEX(PASTE_ALL,$DF753,$L$11),TRIM(SUBSTITUTE(SUBSTITUTE(SUBSTITUTE(SUBSTITUTE(INDEX(PASTE_ALL,$DF753,$L$11)," "," "),CHAR(9)," "),CHAR(10)," "),CHAR(13)," "))),"")))</f>
        <v/>
      </c>
      <c r="DT753">
        <f>IF($DM753=0,"",IF($L$12=0,"",IFERROR(IF(ISNUMBER(INDEX(PASTE_ALL,$DF753,$L$12)),INDEX(PASTE_ALL,$DF753,$L$12),TRIM(SUBSTITUTE(SUBSTITUTE(SUBSTITUTE(SUBSTITUTE(INDEX(PASTE_ALL,$DF753,$L$12)," "," "),CHAR(9)," "),CHAR(10)," "),CHAR(13)," "))),"")))</f>
        <v/>
      </c>
      <c r="DU753">
        <f>IF($DM753=0,"",IF($L$13=0,"",IFERROR(IF(ISNUMBER(INDEX(PASTE_ALL,$DF753,$L$13)),INDEX(PASTE_ALL,$DF753,$L$13),TRIM(SUBSTITUTE(SUBSTITUTE(SUBSTITUTE(SUBSTITUTE(INDEX(PASTE_ALL,$DF753,$L$13)," "," "),CHAR(9)," "),CHAR(10)," "),CHAR(13)," "))),"")))</f>
        <v/>
      </c>
      <c r="DV753">
        <f>IF($DM753=0,"",IF($L$14=0,"",IFERROR(IF(ISNUMBER(INDEX(PASTE_ALL,$DF753,$L$14)),INDEX(PASTE_ALL,$DF753,$L$14),TRIM(SUBSTITUTE(SUBSTITUTE(SUBSTITUTE(SUBSTITUTE(INDEX(PASTE_ALL,$DF753,$L$14)," "," "),CHAR(9)," "),CHAR(10)," "),CHAR(13)," "))),"")))</f>
        <v/>
      </c>
      <c r="DW753">
        <f>IF($DM753=0,"",IF($L$15=0,"",IFERROR(IF(ISNUMBER(INDEX(PASTE_ALL,$DF753,$L$15)),INDEX(PASTE_ALL,$DF753,$L$15),IF(SUMPRODUCT(--ISNUMBER(FIND({"A","B","C","D","E","F","G","H","I","J","K","L","M","N","O","P","Q","R","S","T","U","V","W","X","Y","Z","0","1","2","3","4","5","6","7","8","9"},UPPER(TRIM(SUBSTITUTE(SUBSTITUTE(SUBSTITUTE(SUBSTITUTE(INDEX(PASTE_ALL,$DF753,$L$15)," "," "),CHAR(9)," "),CHAR(10)," "),CHAR(13)," "))))))&gt;0,TRIM(SUBSTITUTE(SUBSTITUTE(SUBSTITUTE(SUBSTITUTE(INDEX(PASTE_ALL,$DF753,$L$15)," "," "),CHAR(9)," "),CHAR(10)," "),CHAR(13)," ")),"")),"")))</f>
        <v/>
      </c>
      <c r="DX753">
        <f>IF($DM753=0,"",IF($L$16=0,"",IFERROR(IF(ISNUMBER(INDEX(PASTE_ALL,$DF753,$L$16)),INDEX(PASTE_ALL,$DF753,$L$16),SUBSTITUTE(SUBSTITUTE(TRIM(SUBSTITUTE(SUBSTITUTE(SUBSTITUTE(SUBSTITUTE(INDEX(PASTE_ALL,$DF753,$L$16)," "," "),CHAR(9)," "),CHAR(10)," "),CHAR(13)," ")),",",""),"%","")),"")))</f>
        <v/>
      </c>
      <c r="DY753">
        <f>IF($DM753=0,"",IFERROR(IF(ISNUMBER($DX753),$DX753,IF($DX753="","",IF(TRIM($DX753)="",0,IF(AND(AND(SUBSTITUTE(SUBSTITUTE(SUBSTITUTE(SUBSTITUTE(SUBSTITUTE(SUBSTITUTE(SUBSTITUTE(SUBSTITUTE(SUBSTITUTE(SUBSTITUTE(SUBSTITUTE(SUBSTITUTE(SUBSTITUTE(SUBSTITUTE(UPPER(TRIM($DX753)),"0",""),"1",""),"2",""),"3",""),"4",""),"5",""),"6",""),"7",""),"8",""),"9",""),".",""),"+",""),"-",""),"E","")="",LEN(SUBSTITUTE(SUBSTITUTE(MID(UPPER(TRIM($DX753)),1+OR(LEFT(UPPER(TRIM($DX753)),1)="+",LEFT(UPPER(TRIM($DX753)),1)="-"),999),"E+","E"),"E-","E"))=LEN(SUBSTITUTE(SUBSTITUTE(SUBSTITUTE(SUBSTITUTE(MID(UPPER(TRIM($DX753)),1+OR(LEFT(UPPER(TRIM($DX753)),1)="+",LEFT(UPPER(TRIM($DX753)),1)="-"),999),"E+","E"),"E-","E"),"+",""),"-","")),LEN(UPPER(TRIM($DX753)))-LEN(SUBSTITUTE(UPPER(TRIM($DX753)),"E",""))&lt;2,LEN(UPPER(TRIM($DX753)))-LEN(SUBSTITUTE(UPPER(TRIM($DX753)),".",""))&lt;2,IFERROR(FIND(".",UPPER(TRIM($DX753))),0)&lt;IFERROR(FIND("E",UPPER(TRIM($DX753))),999)),ISNUMBER(VALUE(TRIM($DX753)))),VALUE(TRIM($DX753)),"")))),""))</f>
        <v/>
      </c>
      <c r="DZ753">
        <f>IF($DM753=0,"",IF($L$17=0,"",IFERROR(IF(ISNUMBER(INDEX(PASTE_ALL,$DF753,$L$17)),INDEX(PASTE_ALL,$DF753,$L$17),SUBSTITUTE(SUBSTITUTE(TRIM(SUBSTITUTE(SUBSTITUTE(SUBSTITUTE(SUBSTITUTE(INDEX(PASTE_ALL,$DF753,$L$17)," "," "),CHAR(9)," "),CHAR(10)," "),CHAR(13)," ")),",",""),"%","")),"")))</f>
        <v/>
      </c>
      <c r="EA753">
        <f>IF($DM753=0,"",IFERROR(IF(ISNUMBER($DZ753),$DZ753,IF($DZ753="","",IF(TRIM($DZ753)="",0,IF(AND(AND(SUBSTITUTE(SUBSTITUTE(SUBSTITUTE(SUBSTITUTE(SUBSTITUTE(SUBSTITUTE(SUBSTITUTE(SUBSTITUTE(SUBSTITUTE(SUBSTITUTE(SUBSTITUTE(SUBSTITUTE(SUBSTITUTE(SUBSTITUTE(UPPER(TRIM($DZ753)),"0",""),"1",""),"2",""),"3",""),"4",""),"5",""),"6",""),"7",""),"8",""),"9",""),".",""),"+",""),"-",""),"E","")="",LEN(SUBSTITUTE(SUBSTITUTE(MID(UPPER(TRIM($DZ753)),1+OR(LEFT(UPPER(TRIM($DZ753)),1)="+",LEFT(UPPER(TRIM($DZ753)),1)="-"),999),"E+","E"),"E-","E"))=LEN(SUBSTITUTE(SUBSTITUTE(SUBSTITUTE(SUBSTITUTE(MID(UPPER(TRIM($DZ753)),1+OR(LEFT(UPPER(TRIM($DZ753)),1)="+",LEFT(UPPER(TRIM($DZ753)),1)="-"),999),"E+","E"),"E-","E"),"+",""),"-","")),LEN(UPPER(TRIM($DZ753)))-LEN(SUBSTITUTE(UPPER(TRIM($DZ753)),"E",""))&lt;2,LEN(UPPER(TRIM($DZ753)))-LEN(SUBSTITUTE(UPPER(TRIM($DZ753)),".",""))&lt;2,IFERROR(FIND(".",UPPER(TRIM($DZ753))),0)&lt;IFERROR(FIND("E",UPPER(TRIM($DZ753))),999)),ISNUMBER(VALUE(TRIM($DZ753)))),VALUE(TRIM($DZ753)),"")))),""))</f>
        <v/>
      </c>
      <c r="EB753">
        <f>IF($DM753=0,"",IF($L$18=0,"",IFERROR(IF(UPPER(TRIM(SUBSTITUTE(SUBSTITUTE(SUBSTITUTE(SUBSTITUTE(INDEX(PASTE_ALL,$DF753,$L$18)," "," "),CHAR(9)," "),CHAR(10)," "),CHAR(13)," ")))="READY","Ready",IF(UPPER(TRIM(SUBSTITUTE(SUBSTITUTE(SUBSTITUTE(SUBSTITUTE(INDEX(PASTE_ALL,$DF753,$L$18)," "," "),CHAR(9)," "),CHAR(10)," "),CHAR(13)," ")))="PM","PM",IF(OR(UPPER(TRIM(SUBSTITUTE(SUBSTITUTE(SUBSTITUTE(SUBSTITUTE(INDEX(PASTE_ALL,$DF753,$L$18)," "," "),CHAR(9)," "),CHAR(10)," "),CHAR(13)," ")))="OT",UPPER(TRIM(SUBSTITUTE(SUBSTITUTE(SUBSTITUTE(SUBSTITUTE(INDEX(PASTE_ALL,$DF753,$L$18)," "," "),CHAR(9)," "),CHAR(10)," "),CHAR(13)," ")))="OVERTIME",UPPER(TRIM(SUBSTITUTE(SUBSTITUTE(SUBSTITUTE(SUBSTITUTE(INDEX(PASTE_ALL,$DF753,$L$18)," "," "),CHAR(9)," "),CHAR(10)," "),CHAR(13)," ")))="TRIAL"),"OT",TRIM(SUBSTITUTE(SUBSTITUTE(SUBSTITUTE(SUBSTITUTE(INDEX(PASTE_ALL,$DF753,$L$18)," "," "),CHAR(9)," "),CHAR(10)," "),CHAR(13)," "))))),"")))</f>
        <v/>
      </c>
      <c r="EC753">
        <f>IF($DM753=0,"",IF($L$19=0,"",IFERROR(IF(ISNUMBER(INDEX(PASTE_ALL,$DF753,$L$19)),INDEX(PASTE_ALL,$DF753,$L$19),TRIM(SUBSTITUTE(SUBSTITUTE(SUBSTITUTE(SUBSTITUTE(INDEX(PASTE_ALL,$DF753,$L$19)," "," "),CHAR(9)," "),CHAR(10)," "),CHAR(13)," "))),"")))</f>
        <v/>
      </c>
      <c r="ED753">
        <f>IF($DM753=0,"",MATCH(1,INDEX(EXACT($DH$5:DH753,$DH753)*$DM$5:DM753,0),0))</f>
        <v/>
      </c>
      <c r="EE753">
        <f>IF($DM753=0,0,IF($ED753=$DE753,1,0))</f>
        <v/>
      </c>
      <c r="EF753">
        <f>EF752+$EE753</f>
        <v/>
      </c>
      <c r="EG753">
        <f>IF($DM753=0,"",INDEX($EF$5:$EF$1003,$ED753))</f>
        <v/>
      </c>
      <c r="EH753">
        <f>IF($DM753=0,"",IF($DO753&lt;&gt;"","",IFERROR(LOOKUP(2,1/(($EG$4:EG752=$EG753)*($DO$4:DO752&lt;&gt;"")),$DO$4:DO752),"")))</f>
        <v/>
      </c>
      <c r="EI753">
        <f>IF($DM753=0,"",IF($DO753&lt;&gt;"",$DO753,$EH753))</f>
        <v/>
      </c>
      <c r="EJ753">
        <f>IF($DM753=0,"",IF($EI753="",0,IF(OR(ISNUMBER($EI753),AND(AND(SUBSTITUTE(SUBSTITUTE(SUBSTITUTE(SUBSTITUTE(SUBSTITUTE(SUBSTITUTE(SUBSTITUTE(SUBSTITUTE(SUBSTITUTE(SUBSTITUTE(SUBSTITUTE(SUBSTITUTE(SUBSTITUTE(SUBSTITUTE(UPPER($EI753),"0",""),"1",""),"2",""),"3",""),"4",""),"5",""),"6",""),"7",""),"8",""),"9",""),".",""),"+",""),"-",""),"E","")="",LEN(SUBSTITUTE(SUBSTITUTE(MID(UPPER($EI753),1+OR(LEFT(UPPER($EI753),1)="+",LEFT(UPPER($EI753),1)="-"),999),"E+","E"),"E-","E"))=LEN(SUBSTITUTE(SUBSTITUTE(SUBSTITUTE(SUBSTITUTE(MID(UPPER($EI753),1+OR(LEFT(UPPER($EI753),1)="+",LEFT(UPPER($EI753),1)="-"),999),"E+","E"),"E-","E"),"+",""),"-","")),LEN(UPPER($EI753))-LEN(SUBSTITUTE(UPPER($EI753),"E",""))&lt;2,LEN(UPPER($EI753))-LEN(SUBSTITUTE(UPPER($EI753),".",""))&lt;2,IFERROR(FIND(".",UPPER($EI753)),0)&lt;IFERROR(FIND("E",UPPER($EI753)),999)),ISNUMBER(VALUE($EI753)))),1,2)))</f>
        <v/>
      </c>
      <c r="EK753">
        <f>IF($DM753=0,"",IF($EJ753=1,IF(ISNUMBER($EI753),$EI753,VALUE($EI753)),IF($EJ753=2,$DE753,0)))</f>
        <v/>
      </c>
      <c r="EL753">
        <f>IF($DM753=0,"",COUNTIF($EG$5:$EG$1003,"&lt;"&amp;$EG753)+SUMPRODUCT(($EG$5:$EG$1003=$EG753)*(($EJ$5:$EJ$1003&lt;$EJ753)+($EJ$5:$EJ$1003=$EJ753)*(($EK$5:$EK$1003&lt;$EK753)+($EK$5:$EK$1003=$EK753)*($DE$5:$DE$1003&lt;$DE753))))+1)</f>
        <v/>
      </c>
      <c r="EM753">
        <f>IF($DM753=0,"",$EL753+$EG753-1)</f>
        <v/>
      </c>
      <c r="EN753">
        <f>IF($DM753=0,0,IFERROR(MATCH(1,INDEX(--(TRIM(SUBSTITUTE(SUBSTITUTE(SUBSTITUTE(SUBSTITUTE(LINES_NAME&amp;""," "," "),CHAR(9)," "),CHAR(10)," "),CHAR(13)," "))=$DH753),0),0),0))</f>
        <v/>
      </c>
      <c r="EO753">
        <f>IF($EN753=0,0,IF(OR(UPPER(TRIM(INDEX(LINES_SCHEDULED,$EN753)&amp;""))="YES",UPPER(TRIM(INDEX(LINES_SCHEDULED,$EN753)&amp;""))="Y",UPPER(TRIM(INDEX(LINES_SCHEDULED,$EN753)&amp;""))="X"),1,0))</f>
        <v/>
      </c>
      <c r="EP753">
        <f>IF($DM753=0,"",IF(COUNTIFS($EG$5:$EG$1003,$EG753,$EB$5:$EB$1003,"Ready")&gt;0,"READY",IF(COUNTIFS($EG$5:$EG$1003,$EG753,$EB$5:$EB$1003,"PM")&gt;0,"PM",IF(COUNTIFS($EG$5:$EG$1003,$EG753,$EB$5:$EB$1003,"OT")&gt;0,"OT",""))))</f>
        <v/>
      </c>
      <c r="EQ753">
        <f>IF($EN753=0,"",UPPER(TRIM(INDEX(LINES_STATUS,$EN753)&amp;"")))</f>
        <v/>
      </c>
      <c r="ER753">
        <f>IF($DM753=0,"",IF(OR($EQ753="READY",$EQ753="PM",$EQ753="OT"),$EQ753,$EP753))</f>
        <v/>
      </c>
      <c r="ES753">
        <f>IF($DM753=0,"",IF(AND($DV753&lt;&gt;"",UPPER($DV753)&lt;&gt;"N"),"allergen",IF(ISNUMBER(SEARCH("oil",$DQ753)),"oil",IF(OR(EXACT($DS753,"A662"),EXACT($DS753,"A624")),"bulk",""))))</f>
        <v/>
      </c>
      <c r="ET753">
        <f>IF($DM753=0,"",IF(OR($EA753="",$EA753=0),"",$EA753/100))</f>
        <v/>
      </c>
      <c r="EU753">
        <f>IF(OR($ET753="",$DY753=""),"",INT($DY753*(1-$ET753)+0.5))</f>
        <v/>
      </c>
    </row>
    <row r="754">
      <c r="DA754" t="n">
        <v>750</v>
      </c>
      <c r="DB754">
        <f>IF($B$37=0,"",IFERROR(TRIM(SUBSTITUTE(SUBSTITUTE(SUBSTITUTE(SUBSTITUTE(INDEX(PASTE_ALL,750,$B$37)," "," "),CHAR(9)," "),CHAR(10)," "),CHAR(13)," ")),""))</f>
        <v/>
      </c>
      <c r="DC754">
        <f>IF(AND(750&gt;HEADER_ROW,UPPER(DB754)="LEGEND"),1,0)</f>
        <v/>
      </c>
      <c r="DE754" t="n">
        <v>750</v>
      </c>
      <c r="DF754">
        <f>HEADER_ROW+$DE754</f>
        <v/>
      </c>
      <c r="DG754">
        <f>IF(AND($DF754&lt;=1000,$DF754&lt;$B$8),1,0)</f>
        <v/>
      </c>
      <c r="DH754">
        <f>IF($DG754=1,IFERROR(INDEX($DB$5:$DB$1004,$DF754),""),"")</f>
        <v/>
      </c>
      <c r="DI754">
        <f>IF(AND($DG754=1,$DH754&lt;&gt;""),IFERROR(SUBSTITUTE(SUBSTITUTE(TRIM(SUBSTITUTE(SUBSTITUTE(SUBSTITUTE(SUBSTITUTE(IFERROR(INDEX(PASTE_ALL,$DF754,1)&amp;"","")&amp;"␟"&amp;IFERROR(INDEX(PASTE_ALL,$DF754,2)&amp;"","")&amp;"␟"&amp;IFERROR(INDEX(PASTE_ALL,$DF754,3)&amp;"","")&amp;"␟"&amp;IFERROR(INDEX(PASTE_ALL,$DF754,4)&amp;"","")&amp;"␟"&amp;IFERROR(INDEX(PASTE_ALL,$DF754,5)&amp;"","")&amp;"␟"&amp;IFERROR(INDEX(PASTE_ALL,$DF754,6)&amp;"","")&amp;"␟"&amp;IFERROR(INDEX(PASTE_ALL,$DF754,7)&amp;"","")&amp;"␟"&amp;IFERROR(INDEX(PASTE_ALL,$DF754,8)&amp;"","")&amp;"␟"&amp;IFERROR(INDEX(PASTE_ALL,$DF754,9)&amp;"","")&amp;"␟"&amp;IFERROR(INDEX(PASTE_ALL,$DF754,10)&amp;"","")&amp;"␟"&amp;IFERROR(INDEX(PASTE_ALL,$DF754,11)&amp;"","")&amp;"␟"&amp;IFERROR(INDEX(PASTE_ALL,$DF754,12)&amp;"","")&amp;"␟"&amp;IFERROR(INDEX(PASTE_ALL,$DF754,13)&amp;"","")&amp;"␟"&amp;IFERROR(INDEX(PASTE_ALL,$DF754,14)&amp;"","")&amp;"␟"&amp;IFERROR(INDEX(PASTE_ALL,$DF754,15)&amp;"","")&amp;"␟"&amp;IFERROR(INDEX(PASTE_ALL,$DF754,16)&amp;"","")&amp;"␟"&amp;IFERROR(INDEX(PASTE_ALL,$DF754,17)&amp;"","")&amp;"␟"&amp;IFERROR(INDEX(PASTE_ALL,$DF754,18)&amp;"","")&amp;"␟"&amp;IFERROR(INDEX(PASTE_ALL,$DF754,19)&amp;"","")&amp;"␟"&amp;IFERROR(INDEX(PASTE_ALL,$DF754,20)&amp;"","")&amp;"␟"&amp;IFERROR(INDEX(PASTE_ALL,$DF754,21)&amp;"","")&amp;"␟"&amp;IFERROR(INDEX(PASTE_ALL,$DF754,22)&amp;"","")&amp;"␟"&amp;IFERROR(INDEX(PASTE_ALL,$DF754,23)&amp;"","")&amp;"␟"&amp;IFERROR(INDEX(PASTE_ALL,$DF754,24)&amp;"","")&amp;"␟"&amp;IFERROR(INDEX(PASTE_ALL,$DF754,25)&amp;"","")&amp;"␟"&amp;IFERROR(INDEX(PASTE_ALL,$DF754,26)&amp;"","")&amp;"␟"&amp;IFERROR(INDEX(PASTE_ALL,$DF754,27)&amp;"","")&amp;"␟"&amp;IFERROR(INDEX(PASTE_ALL,$DF754,28)&amp;"","")&amp;"␟"&amp;IFERROR(INDEX(PASTE_ALL,$DF754,29)&amp;"","")&amp;"␟"&amp;IFERROR(INDEX(PASTE_ALL,$DF754,30)&amp;"","")&amp;"␟"&amp;IFERROR(INDEX(PASTE_ALL,$DF754,31)&amp;"","")&amp;"␟"&amp;IFERROR(INDEX(PASTE_ALL,$DF754,32)&amp;"","")&amp;"␟"&amp;IFERROR(INDEX(PASTE_ALL,$DF754,33)&amp;"","")&amp;"␟"&amp;IFERROR(INDEX(PASTE_ALL,$DF754,34)&amp;"","")&amp;"␟"&amp;IFERROR(INDEX(PASTE_ALL,$DF754,35)&amp;"","")&amp;"␟"&amp;IFERROR(INDEX(PASTE_ALL,$DF754,36)&amp;"","")&amp;"␟"&amp;IFERROR(INDEX(PASTE_ALL,$DF754,37)&amp;"","")&amp;"␟"&amp;IFERROR(INDEX(PASTE_ALL,$DF754,38)&amp;"","")&amp;"␟"&amp;IFERROR(INDEX(PASTE_ALL,$DF754,39)&amp;"","")&amp;"␟"&amp;IFERROR(INDEX(PASTE_ALL,$DF754,40)&amp;"","")&amp;"␟"&amp;IFERROR(INDEX(PASTE_ALL,$DF754,41)&amp;"","")&amp;"␟"&amp;IFERROR(INDEX(PASTE_ALL,$DF754,42)&amp;"","")&amp;"␟"&amp;IFERROR(INDEX(PASTE_ALL,$DF754,43)&amp;"","")&amp;"␟"&amp;IFERROR(INDEX(PASTE_ALL,$DF754,44)&amp;"","")&amp;"␟"&amp;IFERROR(INDEX(PASTE_ALL,$DF754,45)&amp;"","")&amp;"␟"&amp;IFERROR(INDEX(PASTE_ALL,$DF754,46)&amp;"","")&amp;"␟"&amp;IFERROR(INDEX(PASTE_ALL,$DF754,47)&amp;"","")&amp;"␟"&amp;IFERROR(INDEX(PASTE_ALL,$DF754,48)&amp;"","")&amp;"␟"&amp;IFERROR(INDEX(PASTE_ALL,$DF754,49)&amp;"","")&amp;"␟"&amp;IFERROR(INDEX(PASTE_ALL,$DF754,50)&amp;"","")&amp;"␟"&amp;IFERROR(INDEX(PASTE_ALL,$DF754,51)&amp;"","")&amp;"␟"&amp;IFERROR(INDEX(PASTE_ALL,$DF754,52)&amp;"","")&amp;"␟"&amp;IFERROR(INDEX(PASTE_ALL,$DF754,53)&amp;"","")&amp;"␟"&amp;IFERROR(INDEX(PASTE_ALL,$DF754,54)&amp;"","")&amp;"␟"&amp;IFERROR(INDEX(PASTE_ALL,$DF754,55)&amp;"","")&amp;"␟"&amp;IFERROR(INDEX(PASTE_ALL,$DF754,56)&amp;"","")&amp;"␟"&amp;IFERROR(INDEX(PASTE_ALL,$DF754,57)&amp;"","")&amp;"␟"&amp;IFERROR(INDEX(PASTE_ALL,$DF754,58)&amp;"","")&amp;"␟"&amp;IFERROR(INDEX(PASTE_ALL,$DF754,59)&amp;"","")&amp;"␟"&amp;IFERROR(INDEX(PASTE_ALL,$DF754,60)&amp;"","")," "," "),CHAR(9)," "),CHAR(10)," "),CHAR(13)," "))," ␟","␟"),"␟ ","␟"),"#"&amp;$DE754),"")</f>
        <v/>
      </c>
      <c r="DJ754">
        <f>IF($DI754="",0,IF(SUMPRODUCT(--EXACT($DI$4:DI753,$DI754))&gt;0,1,0))</f>
        <v/>
      </c>
      <c r="DK754">
        <f>IF(AND($DI754&lt;&gt;"",$DJ754=0),1,0)</f>
        <v/>
      </c>
      <c r="DL754">
        <f>DL753+$DK754</f>
        <v/>
      </c>
      <c r="DM754">
        <f>IF(AND($DK754=1,$DL754&lt;=600),1,0)</f>
        <v/>
      </c>
      <c r="DN754">
        <f>IF($DM754=0,"",IF($L$6=0,"",IFERROR(IF(ISNUMBER(INDEX(PASTE_ALL,$DF754,$L$6)),INDEX(PASTE_ALL,$DF754,$L$6),TRIM(SUBSTITUTE(SUBSTITUTE(SUBSTITUTE(SUBSTITUTE(INDEX(PASTE_ALL,$DF754,$L$6)," "," "),CHAR(9)," "),CHAR(10)," "),CHAR(13)," "))),"")))</f>
        <v/>
      </c>
      <c r="DO754">
        <f>IF($DM754=0,"",IF($L$7=0,"",IFERROR(IF(ISNUMBER(INDEX(PASTE_ALL,$DF754,$L$7)),INDEX(PASTE_ALL,$DF754,$L$7),TRIM(SUBSTITUTE(SUBSTITUTE(SUBSTITUTE(SUBSTITUTE(INDEX(PASTE_ALL,$DF754,$L$7)," "," "),CHAR(9)," "),CHAR(10)," "),CHAR(13)," "))),"")))</f>
        <v/>
      </c>
      <c r="DP754">
        <f>IF($DM754=0,"",IF($L$8=0,"",IFERROR(IF(ISNUMBER(INDEX(PASTE_ALL,$DF754,$L$8)),INDEX(PASTE_ALL,$DF754,$L$8),TRIM(SUBSTITUTE(SUBSTITUTE(SUBSTITUTE(SUBSTITUTE(INDEX(PASTE_ALL,$DF754,$L$8)," "," "),CHAR(9)," "),CHAR(10)," "),CHAR(13)," "))),"")))</f>
        <v/>
      </c>
      <c r="DQ754">
        <f>IF($DM754=0,"",IF($L$9=0,"",IFERROR(IF(ISNUMBER(INDEX(PASTE_ALL,$DF754,$L$9)),INDEX(PASTE_ALL,$DF754,$L$9),TRIM(SUBSTITUTE(SUBSTITUTE(SUBSTITUTE(SUBSTITUTE(INDEX(PASTE_ALL,$DF754,$L$9)," "," "),CHAR(9)," "),CHAR(10)," "),CHAR(13)," "))),"")))</f>
        <v/>
      </c>
      <c r="DR754">
        <f>IF($DM754=0,"",IF($L$10=0,"",IFERROR(IF(ISNUMBER(INDEX(PASTE_ALL,$DF754,$L$10)),INDEX(PASTE_ALL,$DF754,$L$10),TRIM(SUBSTITUTE(SUBSTITUTE(SUBSTITUTE(SUBSTITUTE(INDEX(PASTE_ALL,$DF754,$L$10)," "," "),CHAR(9)," "),CHAR(10)," "),CHAR(13)," "))),"")))</f>
        <v/>
      </c>
      <c r="DS754">
        <f>IF($DM754=0,"",IF($L$11=0,"",IFERROR(IF(ISNUMBER(INDEX(PASTE_ALL,$DF754,$L$11)),INDEX(PASTE_ALL,$DF754,$L$11),TRIM(SUBSTITUTE(SUBSTITUTE(SUBSTITUTE(SUBSTITUTE(INDEX(PASTE_ALL,$DF754,$L$11)," "," "),CHAR(9)," "),CHAR(10)," "),CHAR(13)," "))),"")))</f>
        <v/>
      </c>
      <c r="DT754">
        <f>IF($DM754=0,"",IF($L$12=0,"",IFERROR(IF(ISNUMBER(INDEX(PASTE_ALL,$DF754,$L$12)),INDEX(PASTE_ALL,$DF754,$L$12),TRIM(SUBSTITUTE(SUBSTITUTE(SUBSTITUTE(SUBSTITUTE(INDEX(PASTE_ALL,$DF754,$L$12)," "," "),CHAR(9)," "),CHAR(10)," "),CHAR(13)," "))),"")))</f>
        <v/>
      </c>
      <c r="DU754">
        <f>IF($DM754=0,"",IF($L$13=0,"",IFERROR(IF(ISNUMBER(INDEX(PASTE_ALL,$DF754,$L$13)),INDEX(PASTE_ALL,$DF754,$L$13),TRIM(SUBSTITUTE(SUBSTITUTE(SUBSTITUTE(SUBSTITUTE(INDEX(PASTE_ALL,$DF754,$L$13)," "," "),CHAR(9)," "),CHAR(10)," "),CHAR(13)," "))),"")))</f>
        <v/>
      </c>
      <c r="DV754">
        <f>IF($DM754=0,"",IF($L$14=0,"",IFERROR(IF(ISNUMBER(INDEX(PASTE_ALL,$DF754,$L$14)),INDEX(PASTE_ALL,$DF754,$L$14),TRIM(SUBSTITUTE(SUBSTITUTE(SUBSTITUTE(SUBSTITUTE(INDEX(PASTE_ALL,$DF754,$L$14)," "," "),CHAR(9)," "),CHAR(10)," "),CHAR(13)," "))),"")))</f>
        <v/>
      </c>
      <c r="DW754">
        <f>IF($DM754=0,"",IF($L$15=0,"",IFERROR(IF(ISNUMBER(INDEX(PASTE_ALL,$DF754,$L$15)),INDEX(PASTE_ALL,$DF754,$L$15),IF(SUMPRODUCT(--ISNUMBER(FIND({"A","B","C","D","E","F","G","H","I","J","K","L","M","N","O","P","Q","R","S","T","U","V","W","X","Y","Z","0","1","2","3","4","5","6","7","8","9"},UPPER(TRIM(SUBSTITUTE(SUBSTITUTE(SUBSTITUTE(SUBSTITUTE(INDEX(PASTE_ALL,$DF754,$L$15)," "," "),CHAR(9)," "),CHAR(10)," "),CHAR(13)," "))))))&gt;0,TRIM(SUBSTITUTE(SUBSTITUTE(SUBSTITUTE(SUBSTITUTE(INDEX(PASTE_ALL,$DF754,$L$15)," "," "),CHAR(9)," "),CHAR(10)," "),CHAR(13)," ")),"")),"")))</f>
        <v/>
      </c>
      <c r="DX754">
        <f>IF($DM754=0,"",IF($L$16=0,"",IFERROR(IF(ISNUMBER(INDEX(PASTE_ALL,$DF754,$L$16)),INDEX(PASTE_ALL,$DF754,$L$16),SUBSTITUTE(SUBSTITUTE(TRIM(SUBSTITUTE(SUBSTITUTE(SUBSTITUTE(SUBSTITUTE(INDEX(PASTE_ALL,$DF754,$L$16)," "," "),CHAR(9)," "),CHAR(10)," "),CHAR(13)," ")),",",""),"%","")),"")))</f>
        <v/>
      </c>
      <c r="DY754">
        <f>IF($DM754=0,"",IFERROR(IF(ISNUMBER($DX754),$DX754,IF($DX754="","",IF(TRIM($DX754)="",0,IF(AND(AND(SUBSTITUTE(SUBSTITUTE(SUBSTITUTE(SUBSTITUTE(SUBSTITUTE(SUBSTITUTE(SUBSTITUTE(SUBSTITUTE(SUBSTITUTE(SUBSTITUTE(SUBSTITUTE(SUBSTITUTE(SUBSTITUTE(SUBSTITUTE(UPPER(TRIM($DX754)),"0",""),"1",""),"2",""),"3",""),"4",""),"5",""),"6",""),"7",""),"8",""),"9",""),".",""),"+",""),"-",""),"E","")="",LEN(SUBSTITUTE(SUBSTITUTE(MID(UPPER(TRIM($DX754)),1+OR(LEFT(UPPER(TRIM($DX754)),1)="+",LEFT(UPPER(TRIM($DX754)),1)="-"),999),"E+","E"),"E-","E"))=LEN(SUBSTITUTE(SUBSTITUTE(SUBSTITUTE(SUBSTITUTE(MID(UPPER(TRIM($DX754)),1+OR(LEFT(UPPER(TRIM($DX754)),1)="+",LEFT(UPPER(TRIM($DX754)),1)="-"),999),"E+","E"),"E-","E"),"+",""),"-","")),LEN(UPPER(TRIM($DX754)))-LEN(SUBSTITUTE(UPPER(TRIM($DX754)),"E",""))&lt;2,LEN(UPPER(TRIM($DX754)))-LEN(SUBSTITUTE(UPPER(TRIM($DX754)),".",""))&lt;2,IFERROR(FIND(".",UPPER(TRIM($DX754))),0)&lt;IFERROR(FIND("E",UPPER(TRIM($DX754))),999)),ISNUMBER(VALUE(TRIM($DX754)))),VALUE(TRIM($DX754)),"")))),""))</f>
        <v/>
      </c>
      <c r="DZ754">
        <f>IF($DM754=0,"",IF($L$17=0,"",IFERROR(IF(ISNUMBER(INDEX(PASTE_ALL,$DF754,$L$17)),INDEX(PASTE_ALL,$DF754,$L$17),SUBSTITUTE(SUBSTITUTE(TRIM(SUBSTITUTE(SUBSTITUTE(SUBSTITUTE(SUBSTITUTE(INDEX(PASTE_ALL,$DF754,$L$17)," "," "),CHAR(9)," "),CHAR(10)," "),CHAR(13)," ")),",",""),"%","")),"")))</f>
        <v/>
      </c>
      <c r="EA754">
        <f>IF($DM754=0,"",IFERROR(IF(ISNUMBER($DZ754),$DZ754,IF($DZ754="","",IF(TRIM($DZ754)="",0,IF(AND(AND(SUBSTITUTE(SUBSTITUTE(SUBSTITUTE(SUBSTITUTE(SUBSTITUTE(SUBSTITUTE(SUBSTITUTE(SUBSTITUTE(SUBSTITUTE(SUBSTITUTE(SUBSTITUTE(SUBSTITUTE(SUBSTITUTE(SUBSTITUTE(UPPER(TRIM($DZ754)),"0",""),"1",""),"2",""),"3",""),"4",""),"5",""),"6",""),"7",""),"8",""),"9",""),".",""),"+",""),"-",""),"E","")="",LEN(SUBSTITUTE(SUBSTITUTE(MID(UPPER(TRIM($DZ754)),1+OR(LEFT(UPPER(TRIM($DZ754)),1)="+",LEFT(UPPER(TRIM($DZ754)),1)="-"),999),"E+","E"),"E-","E"))=LEN(SUBSTITUTE(SUBSTITUTE(SUBSTITUTE(SUBSTITUTE(MID(UPPER(TRIM($DZ754)),1+OR(LEFT(UPPER(TRIM($DZ754)),1)="+",LEFT(UPPER(TRIM($DZ754)),1)="-"),999),"E+","E"),"E-","E"),"+",""),"-","")),LEN(UPPER(TRIM($DZ754)))-LEN(SUBSTITUTE(UPPER(TRIM($DZ754)),"E",""))&lt;2,LEN(UPPER(TRIM($DZ754)))-LEN(SUBSTITUTE(UPPER(TRIM($DZ754)),".",""))&lt;2,IFERROR(FIND(".",UPPER(TRIM($DZ754))),0)&lt;IFERROR(FIND("E",UPPER(TRIM($DZ754))),999)),ISNUMBER(VALUE(TRIM($DZ754)))),VALUE(TRIM($DZ754)),"")))),""))</f>
        <v/>
      </c>
      <c r="EB754">
        <f>IF($DM754=0,"",IF($L$18=0,"",IFERROR(IF(UPPER(TRIM(SUBSTITUTE(SUBSTITUTE(SUBSTITUTE(SUBSTITUTE(INDEX(PASTE_ALL,$DF754,$L$18)," "," "),CHAR(9)," "),CHAR(10)," "),CHAR(13)," ")))="READY","Ready",IF(UPPER(TRIM(SUBSTITUTE(SUBSTITUTE(SUBSTITUTE(SUBSTITUTE(INDEX(PASTE_ALL,$DF754,$L$18)," "," "),CHAR(9)," "),CHAR(10)," "),CHAR(13)," ")))="PM","PM",IF(OR(UPPER(TRIM(SUBSTITUTE(SUBSTITUTE(SUBSTITUTE(SUBSTITUTE(INDEX(PASTE_ALL,$DF754,$L$18)," "," "),CHAR(9)," "),CHAR(10)," "),CHAR(13)," ")))="OT",UPPER(TRIM(SUBSTITUTE(SUBSTITUTE(SUBSTITUTE(SUBSTITUTE(INDEX(PASTE_ALL,$DF754,$L$18)," "," "),CHAR(9)," "),CHAR(10)," "),CHAR(13)," ")))="OVERTIME",UPPER(TRIM(SUBSTITUTE(SUBSTITUTE(SUBSTITUTE(SUBSTITUTE(INDEX(PASTE_ALL,$DF754,$L$18)," "," "),CHAR(9)," "),CHAR(10)," "),CHAR(13)," ")))="TRIAL"),"OT",TRIM(SUBSTITUTE(SUBSTITUTE(SUBSTITUTE(SUBSTITUTE(INDEX(PASTE_ALL,$DF754,$L$18)," "," "),CHAR(9)," "),CHAR(10)," "),CHAR(13)," "))))),"")))</f>
        <v/>
      </c>
      <c r="EC754">
        <f>IF($DM754=0,"",IF($L$19=0,"",IFERROR(IF(ISNUMBER(INDEX(PASTE_ALL,$DF754,$L$19)),INDEX(PASTE_ALL,$DF754,$L$19),TRIM(SUBSTITUTE(SUBSTITUTE(SUBSTITUTE(SUBSTITUTE(INDEX(PASTE_ALL,$DF754,$L$19)," "," "),CHAR(9)," "),CHAR(10)," "),CHAR(13)," "))),"")))</f>
        <v/>
      </c>
      <c r="ED754">
        <f>IF($DM754=0,"",MATCH(1,INDEX(EXACT($DH$5:DH754,$DH754)*$DM$5:DM754,0),0))</f>
        <v/>
      </c>
      <c r="EE754">
        <f>IF($DM754=0,0,IF($ED754=$DE754,1,0))</f>
        <v/>
      </c>
      <c r="EF754">
        <f>EF753+$EE754</f>
        <v/>
      </c>
      <c r="EG754">
        <f>IF($DM754=0,"",INDEX($EF$5:$EF$1003,$ED754))</f>
        <v/>
      </c>
      <c r="EH754">
        <f>IF($DM754=0,"",IF($DO754&lt;&gt;"","",IFERROR(LOOKUP(2,1/(($EG$4:EG753=$EG754)*($DO$4:DO753&lt;&gt;"")),$DO$4:DO753),"")))</f>
        <v/>
      </c>
      <c r="EI754">
        <f>IF($DM754=0,"",IF($DO754&lt;&gt;"",$DO754,$EH754))</f>
        <v/>
      </c>
      <c r="EJ754">
        <f>IF($DM754=0,"",IF($EI754="",0,IF(OR(ISNUMBER($EI754),AND(AND(SUBSTITUTE(SUBSTITUTE(SUBSTITUTE(SUBSTITUTE(SUBSTITUTE(SUBSTITUTE(SUBSTITUTE(SUBSTITUTE(SUBSTITUTE(SUBSTITUTE(SUBSTITUTE(SUBSTITUTE(SUBSTITUTE(SUBSTITUTE(UPPER($EI754),"0",""),"1",""),"2",""),"3",""),"4",""),"5",""),"6",""),"7",""),"8",""),"9",""),".",""),"+",""),"-",""),"E","")="",LEN(SUBSTITUTE(SUBSTITUTE(MID(UPPER($EI754),1+OR(LEFT(UPPER($EI754),1)="+",LEFT(UPPER($EI754),1)="-"),999),"E+","E"),"E-","E"))=LEN(SUBSTITUTE(SUBSTITUTE(SUBSTITUTE(SUBSTITUTE(MID(UPPER($EI754),1+OR(LEFT(UPPER($EI754),1)="+",LEFT(UPPER($EI754),1)="-"),999),"E+","E"),"E-","E"),"+",""),"-","")),LEN(UPPER($EI754))-LEN(SUBSTITUTE(UPPER($EI754),"E",""))&lt;2,LEN(UPPER($EI754))-LEN(SUBSTITUTE(UPPER($EI754),".",""))&lt;2,IFERROR(FIND(".",UPPER($EI754)),0)&lt;IFERROR(FIND("E",UPPER($EI754)),999)),ISNUMBER(VALUE($EI754)))),1,2)))</f>
        <v/>
      </c>
      <c r="EK754">
        <f>IF($DM754=0,"",IF($EJ754=1,IF(ISNUMBER($EI754),$EI754,VALUE($EI754)),IF($EJ754=2,$DE754,0)))</f>
        <v/>
      </c>
      <c r="EL754">
        <f>IF($DM754=0,"",COUNTIF($EG$5:$EG$1003,"&lt;"&amp;$EG754)+SUMPRODUCT(($EG$5:$EG$1003=$EG754)*(($EJ$5:$EJ$1003&lt;$EJ754)+($EJ$5:$EJ$1003=$EJ754)*(($EK$5:$EK$1003&lt;$EK754)+($EK$5:$EK$1003=$EK754)*($DE$5:$DE$1003&lt;$DE754))))+1)</f>
        <v/>
      </c>
      <c r="EM754">
        <f>IF($DM754=0,"",$EL754+$EG754-1)</f>
        <v/>
      </c>
      <c r="EN754">
        <f>IF($DM754=0,0,IFERROR(MATCH(1,INDEX(--(TRIM(SUBSTITUTE(SUBSTITUTE(SUBSTITUTE(SUBSTITUTE(LINES_NAME&amp;""," "," "),CHAR(9)," "),CHAR(10)," "),CHAR(13)," "))=$DH754),0),0),0))</f>
        <v/>
      </c>
      <c r="EO754">
        <f>IF($EN754=0,0,IF(OR(UPPER(TRIM(INDEX(LINES_SCHEDULED,$EN754)&amp;""))="YES",UPPER(TRIM(INDEX(LINES_SCHEDULED,$EN754)&amp;""))="Y",UPPER(TRIM(INDEX(LINES_SCHEDULED,$EN754)&amp;""))="X"),1,0))</f>
        <v/>
      </c>
      <c r="EP754">
        <f>IF($DM754=0,"",IF(COUNTIFS($EG$5:$EG$1003,$EG754,$EB$5:$EB$1003,"Ready")&gt;0,"READY",IF(COUNTIFS($EG$5:$EG$1003,$EG754,$EB$5:$EB$1003,"PM")&gt;0,"PM",IF(COUNTIFS($EG$5:$EG$1003,$EG754,$EB$5:$EB$1003,"OT")&gt;0,"OT",""))))</f>
        <v/>
      </c>
      <c r="EQ754">
        <f>IF($EN754=0,"",UPPER(TRIM(INDEX(LINES_STATUS,$EN754)&amp;"")))</f>
        <v/>
      </c>
      <c r="ER754">
        <f>IF($DM754=0,"",IF(OR($EQ754="READY",$EQ754="PM",$EQ754="OT"),$EQ754,$EP754))</f>
        <v/>
      </c>
      <c r="ES754">
        <f>IF($DM754=0,"",IF(AND($DV754&lt;&gt;"",UPPER($DV754)&lt;&gt;"N"),"allergen",IF(ISNUMBER(SEARCH("oil",$DQ754)),"oil",IF(OR(EXACT($DS754,"A662"),EXACT($DS754,"A624")),"bulk",""))))</f>
        <v/>
      </c>
      <c r="ET754">
        <f>IF($DM754=0,"",IF(OR($EA754="",$EA754=0),"",$EA754/100))</f>
        <v/>
      </c>
      <c r="EU754">
        <f>IF(OR($ET754="",$DY754=""),"",INT($DY754*(1-$ET754)+0.5))</f>
        <v/>
      </c>
    </row>
    <row r="755">
      <c r="DA755" t="n">
        <v>751</v>
      </c>
      <c r="DB755">
        <f>IF($B$37=0,"",IFERROR(TRIM(SUBSTITUTE(SUBSTITUTE(SUBSTITUTE(SUBSTITUTE(INDEX(PASTE_ALL,751,$B$37)," "," "),CHAR(9)," "),CHAR(10)," "),CHAR(13)," ")),""))</f>
        <v/>
      </c>
      <c r="DC755">
        <f>IF(AND(751&gt;HEADER_ROW,UPPER(DB755)="LEGEND"),1,0)</f>
        <v/>
      </c>
      <c r="DE755" t="n">
        <v>751</v>
      </c>
      <c r="DF755">
        <f>HEADER_ROW+$DE755</f>
        <v/>
      </c>
      <c r="DG755">
        <f>IF(AND($DF755&lt;=1000,$DF755&lt;$B$8),1,0)</f>
        <v/>
      </c>
      <c r="DH755">
        <f>IF($DG755=1,IFERROR(INDEX($DB$5:$DB$1004,$DF755),""),"")</f>
        <v/>
      </c>
      <c r="DI755">
        <f>IF(AND($DG755=1,$DH755&lt;&gt;""),IFERROR(SUBSTITUTE(SUBSTITUTE(TRIM(SUBSTITUTE(SUBSTITUTE(SUBSTITUTE(SUBSTITUTE(IFERROR(INDEX(PASTE_ALL,$DF755,1)&amp;"","")&amp;"␟"&amp;IFERROR(INDEX(PASTE_ALL,$DF755,2)&amp;"","")&amp;"␟"&amp;IFERROR(INDEX(PASTE_ALL,$DF755,3)&amp;"","")&amp;"␟"&amp;IFERROR(INDEX(PASTE_ALL,$DF755,4)&amp;"","")&amp;"␟"&amp;IFERROR(INDEX(PASTE_ALL,$DF755,5)&amp;"","")&amp;"␟"&amp;IFERROR(INDEX(PASTE_ALL,$DF755,6)&amp;"","")&amp;"␟"&amp;IFERROR(INDEX(PASTE_ALL,$DF755,7)&amp;"","")&amp;"␟"&amp;IFERROR(INDEX(PASTE_ALL,$DF755,8)&amp;"","")&amp;"␟"&amp;IFERROR(INDEX(PASTE_ALL,$DF755,9)&amp;"","")&amp;"␟"&amp;IFERROR(INDEX(PASTE_ALL,$DF755,10)&amp;"","")&amp;"␟"&amp;IFERROR(INDEX(PASTE_ALL,$DF755,11)&amp;"","")&amp;"␟"&amp;IFERROR(INDEX(PASTE_ALL,$DF755,12)&amp;"","")&amp;"␟"&amp;IFERROR(INDEX(PASTE_ALL,$DF755,13)&amp;"","")&amp;"␟"&amp;IFERROR(INDEX(PASTE_ALL,$DF755,14)&amp;"","")&amp;"␟"&amp;IFERROR(INDEX(PASTE_ALL,$DF755,15)&amp;"","")&amp;"␟"&amp;IFERROR(INDEX(PASTE_ALL,$DF755,16)&amp;"","")&amp;"␟"&amp;IFERROR(INDEX(PASTE_ALL,$DF755,17)&amp;"","")&amp;"␟"&amp;IFERROR(INDEX(PASTE_ALL,$DF755,18)&amp;"","")&amp;"␟"&amp;IFERROR(INDEX(PASTE_ALL,$DF755,19)&amp;"","")&amp;"␟"&amp;IFERROR(INDEX(PASTE_ALL,$DF755,20)&amp;"","")&amp;"␟"&amp;IFERROR(INDEX(PASTE_ALL,$DF755,21)&amp;"","")&amp;"␟"&amp;IFERROR(INDEX(PASTE_ALL,$DF755,22)&amp;"","")&amp;"␟"&amp;IFERROR(INDEX(PASTE_ALL,$DF755,23)&amp;"","")&amp;"␟"&amp;IFERROR(INDEX(PASTE_ALL,$DF755,24)&amp;"","")&amp;"␟"&amp;IFERROR(INDEX(PASTE_ALL,$DF755,25)&amp;"","")&amp;"␟"&amp;IFERROR(INDEX(PASTE_ALL,$DF755,26)&amp;"","")&amp;"␟"&amp;IFERROR(INDEX(PASTE_ALL,$DF755,27)&amp;"","")&amp;"␟"&amp;IFERROR(INDEX(PASTE_ALL,$DF755,28)&amp;"","")&amp;"␟"&amp;IFERROR(INDEX(PASTE_ALL,$DF755,29)&amp;"","")&amp;"␟"&amp;IFERROR(INDEX(PASTE_ALL,$DF755,30)&amp;"","")&amp;"␟"&amp;IFERROR(INDEX(PASTE_ALL,$DF755,31)&amp;"","")&amp;"␟"&amp;IFERROR(INDEX(PASTE_ALL,$DF755,32)&amp;"","")&amp;"␟"&amp;IFERROR(INDEX(PASTE_ALL,$DF755,33)&amp;"","")&amp;"␟"&amp;IFERROR(INDEX(PASTE_ALL,$DF755,34)&amp;"","")&amp;"␟"&amp;IFERROR(INDEX(PASTE_ALL,$DF755,35)&amp;"","")&amp;"␟"&amp;IFERROR(INDEX(PASTE_ALL,$DF755,36)&amp;"","")&amp;"␟"&amp;IFERROR(INDEX(PASTE_ALL,$DF755,37)&amp;"","")&amp;"␟"&amp;IFERROR(INDEX(PASTE_ALL,$DF755,38)&amp;"","")&amp;"␟"&amp;IFERROR(INDEX(PASTE_ALL,$DF755,39)&amp;"","")&amp;"␟"&amp;IFERROR(INDEX(PASTE_ALL,$DF755,40)&amp;"","")&amp;"␟"&amp;IFERROR(INDEX(PASTE_ALL,$DF755,41)&amp;"","")&amp;"␟"&amp;IFERROR(INDEX(PASTE_ALL,$DF755,42)&amp;"","")&amp;"␟"&amp;IFERROR(INDEX(PASTE_ALL,$DF755,43)&amp;"","")&amp;"␟"&amp;IFERROR(INDEX(PASTE_ALL,$DF755,44)&amp;"","")&amp;"␟"&amp;IFERROR(INDEX(PASTE_ALL,$DF755,45)&amp;"","")&amp;"␟"&amp;IFERROR(INDEX(PASTE_ALL,$DF755,46)&amp;"","")&amp;"␟"&amp;IFERROR(INDEX(PASTE_ALL,$DF755,47)&amp;"","")&amp;"␟"&amp;IFERROR(INDEX(PASTE_ALL,$DF755,48)&amp;"","")&amp;"␟"&amp;IFERROR(INDEX(PASTE_ALL,$DF755,49)&amp;"","")&amp;"␟"&amp;IFERROR(INDEX(PASTE_ALL,$DF755,50)&amp;"","")&amp;"␟"&amp;IFERROR(INDEX(PASTE_ALL,$DF755,51)&amp;"","")&amp;"␟"&amp;IFERROR(INDEX(PASTE_ALL,$DF755,52)&amp;"","")&amp;"␟"&amp;IFERROR(INDEX(PASTE_ALL,$DF755,53)&amp;"","")&amp;"␟"&amp;IFERROR(INDEX(PASTE_ALL,$DF755,54)&amp;"","")&amp;"␟"&amp;IFERROR(INDEX(PASTE_ALL,$DF755,55)&amp;"","")&amp;"␟"&amp;IFERROR(INDEX(PASTE_ALL,$DF755,56)&amp;"","")&amp;"␟"&amp;IFERROR(INDEX(PASTE_ALL,$DF755,57)&amp;"","")&amp;"␟"&amp;IFERROR(INDEX(PASTE_ALL,$DF755,58)&amp;"","")&amp;"␟"&amp;IFERROR(INDEX(PASTE_ALL,$DF755,59)&amp;"","")&amp;"␟"&amp;IFERROR(INDEX(PASTE_ALL,$DF755,60)&amp;"","")," "," "),CHAR(9)," "),CHAR(10)," "),CHAR(13)," "))," ␟","␟"),"␟ ","␟"),"#"&amp;$DE755),"")</f>
        <v/>
      </c>
      <c r="DJ755">
        <f>IF($DI755="",0,IF(SUMPRODUCT(--EXACT($DI$4:DI754,$DI755))&gt;0,1,0))</f>
        <v/>
      </c>
      <c r="DK755">
        <f>IF(AND($DI755&lt;&gt;"",$DJ755=0),1,0)</f>
        <v/>
      </c>
      <c r="DL755">
        <f>DL754+$DK755</f>
        <v/>
      </c>
      <c r="DM755">
        <f>IF(AND($DK755=1,$DL755&lt;=600),1,0)</f>
        <v/>
      </c>
      <c r="DN755">
        <f>IF($DM755=0,"",IF($L$6=0,"",IFERROR(IF(ISNUMBER(INDEX(PASTE_ALL,$DF755,$L$6)),INDEX(PASTE_ALL,$DF755,$L$6),TRIM(SUBSTITUTE(SUBSTITUTE(SUBSTITUTE(SUBSTITUTE(INDEX(PASTE_ALL,$DF755,$L$6)," "," "),CHAR(9)," "),CHAR(10)," "),CHAR(13)," "))),"")))</f>
        <v/>
      </c>
      <c r="DO755">
        <f>IF($DM755=0,"",IF($L$7=0,"",IFERROR(IF(ISNUMBER(INDEX(PASTE_ALL,$DF755,$L$7)),INDEX(PASTE_ALL,$DF755,$L$7),TRIM(SUBSTITUTE(SUBSTITUTE(SUBSTITUTE(SUBSTITUTE(INDEX(PASTE_ALL,$DF755,$L$7)," "," "),CHAR(9)," "),CHAR(10)," "),CHAR(13)," "))),"")))</f>
        <v/>
      </c>
      <c r="DP755">
        <f>IF($DM755=0,"",IF($L$8=0,"",IFERROR(IF(ISNUMBER(INDEX(PASTE_ALL,$DF755,$L$8)),INDEX(PASTE_ALL,$DF755,$L$8),TRIM(SUBSTITUTE(SUBSTITUTE(SUBSTITUTE(SUBSTITUTE(INDEX(PASTE_ALL,$DF755,$L$8)," "," "),CHAR(9)," "),CHAR(10)," "),CHAR(13)," "))),"")))</f>
        <v/>
      </c>
      <c r="DQ755">
        <f>IF($DM755=0,"",IF($L$9=0,"",IFERROR(IF(ISNUMBER(INDEX(PASTE_ALL,$DF755,$L$9)),INDEX(PASTE_ALL,$DF755,$L$9),TRIM(SUBSTITUTE(SUBSTITUTE(SUBSTITUTE(SUBSTITUTE(INDEX(PASTE_ALL,$DF755,$L$9)," "," "),CHAR(9)," "),CHAR(10)," "),CHAR(13)," "))),"")))</f>
        <v/>
      </c>
      <c r="DR755">
        <f>IF($DM755=0,"",IF($L$10=0,"",IFERROR(IF(ISNUMBER(INDEX(PASTE_ALL,$DF755,$L$10)),INDEX(PASTE_ALL,$DF755,$L$10),TRIM(SUBSTITUTE(SUBSTITUTE(SUBSTITUTE(SUBSTITUTE(INDEX(PASTE_ALL,$DF755,$L$10)," "," "),CHAR(9)," "),CHAR(10)," "),CHAR(13)," "))),"")))</f>
        <v/>
      </c>
      <c r="DS755">
        <f>IF($DM755=0,"",IF($L$11=0,"",IFERROR(IF(ISNUMBER(INDEX(PASTE_ALL,$DF755,$L$11)),INDEX(PASTE_ALL,$DF755,$L$11),TRIM(SUBSTITUTE(SUBSTITUTE(SUBSTITUTE(SUBSTITUTE(INDEX(PASTE_ALL,$DF755,$L$11)," "," "),CHAR(9)," "),CHAR(10)," "),CHAR(13)," "))),"")))</f>
        <v/>
      </c>
      <c r="DT755">
        <f>IF($DM755=0,"",IF($L$12=0,"",IFERROR(IF(ISNUMBER(INDEX(PASTE_ALL,$DF755,$L$12)),INDEX(PASTE_ALL,$DF755,$L$12),TRIM(SUBSTITUTE(SUBSTITUTE(SUBSTITUTE(SUBSTITUTE(INDEX(PASTE_ALL,$DF755,$L$12)," "," "),CHAR(9)," "),CHAR(10)," "),CHAR(13)," "))),"")))</f>
        <v/>
      </c>
      <c r="DU755">
        <f>IF($DM755=0,"",IF($L$13=0,"",IFERROR(IF(ISNUMBER(INDEX(PASTE_ALL,$DF755,$L$13)),INDEX(PASTE_ALL,$DF755,$L$13),TRIM(SUBSTITUTE(SUBSTITUTE(SUBSTITUTE(SUBSTITUTE(INDEX(PASTE_ALL,$DF755,$L$13)," "," "),CHAR(9)," "),CHAR(10)," "),CHAR(13)," "))),"")))</f>
        <v/>
      </c>
      <c r="DV755">
        <f>IF($DM755=0,"",IF($L$14=0,"",IFERROR(IF(ISNUMBER(INDEX(PASTE_ALL,$DF755,$L$14)),INDEX(PASTE_ALL,$DF755,$L$14),TRIM(SUBSTITUTE(SUBSTITUTE(SUBSTITUTE(SUBSTITUTE(INDEX(PASTE_ALL,$DF755,$L$14)," "," "),CHAR(9)," "),CHAR(10)," "),CHAR(13)," "))),"")))</f>
        <v/>
      </c>
      <c r="DW755">
        <f>IF($DM755=0,"",IF($L$15=0,"",IFERROR(IF(ISNUMBER(INDEX(PASTE_ALL,$DF755,$L$15)),INDEX(PASTE_ALL,$DF755,$L$15),IF(SUMPRODUCT(--ISNUMBER(FIND({"A","B","C","D","E","F","G","H","I","J","K","L","M","N","O","P","Q","R","S","T","U","V","W","X","Y","Z","0","1","2","3","4","5","6","7","8","9"},UPPER(TRIM(SUBSTITUTE(SUBSTITUTE(SUBSTITUTE(SUBSTITUTE(INDEX(PASTE_ALL,$DF755,$L$15)," "," "),CHAR(9)," "),CHAR(10)," "),CHAR(13)," "))))))&gt;0,TRIM(SUBSTITUTE(SUBSTITUTE(SUBSTITUTE(SUBSTITUTE(INDEX(PASTE_ALL,$DF755,$L$15)," "," "),CHAR(9)," "),CHAR(10)," "),CHAR(13)," ")),"")),"")))</f>
        <v/>
      </c>
      <c r="DX755">
        <f>IF($DM755=0,"",IF($L$16=0,"",IFERROR(IF(ISNUMBER(INDEX(PASTE_ALL,$DF755,$L$16)),INDEX(PASTE_ALL,$DF755,$L$16),SUBSTITUTE(SUBSTITUTE(TRIM(SUBSTITUTE(SUBSTITUTE(SUBSTITUTE(SUBSTITUTE(INDEX(PASTE_ALL,$DF755,$L$16)," "," "),CHAR(9)," "),CHAR(10)," "),CHAR(13)," ")),",",""),"%","")),"")))</f>
        <v/>
      </c>
      <c r="DY755">
        <f>IF($DM755=0,"",IFERROR(IF(ISNUMBER($DX755),$DX755,IF($DX755="","",IF(TRIM($DX755)="",0,IF(AND(AND(SUBSTITUTE(SUBSTITUTE(SUBSTITUTE(SUBSTITUTE(SUBSTITUTE(SUBSTITUTE(SUBSTITUTE(SUBSTITUTE(SUBSTITUTE(SUBSTITUTE(SUBSTITUTE(SUBSTITUTE(SUBSTITUTE(SUBSTITUTE(UPPER(TRIM($DX755)),"0",""),"1",""),"2",""),"3",""),"4",""),"5",""),"6",""),"7",""),"8",""),"9",""),".",""),"+",""),"-",""),"E","")="",LEN(SUBSTITUTE(SUBSTITUTE(MID(UPPER(TRIM($DX755)),1+OR(LEFT(UPPER(TRIM($DX755)),1)="+",LEFT(UPPER(TRIM($DX755)),1)="-"),999),"E+","E"),"E-","E"))=LEN(SUBSTITUTE(SUBSTITUTE(SUBSTITUTE(SUBSTITUTE(MID(UPPER(TRIM($DX755)),1+OR(LEFT(UPPER(TRIM($DX755)),1)="+",LEFT(UPPER(TRIM($DX755)),1)="-"),999),"E+","E"),"E-","E"),"+",""),"-","")),LEN(UPPER(TRIM($DX755)))-LEN(SUBSTITUTE(UPPER(TRIM($DX755)),"E",""))&lt;2,LEN(UPPER(TRIM($DX755)))-LEN(SUBSTITUTE(UPPER(TRIM($DX755)),".",""))&lt;2,IFERROR(FIND(".",UPPER(TRIM($DX755))),0)&lt;IFERROR(FIND("E",UPPER(TRIM($DX755))),999)),ISNUMBER(VALUE(TRIM($DX755)))),VALUE(TRIM($DX755)),"")))),""))</f>
        <v/>
      </c>
      <c r="DZ755">
        <f>IF($DM755=0,"",IF($L$17=0,"",IFERROR(IF(ISNUMBER(INDEX(PASTE_ALL,$DF755,$L$17)),INDEX(PASTE_ALL,$DF755,$L$17),SUBSTITUTE(SUBSTITUTE(TRIM(SUBSTITUTE(SUBSTITUTE(SUBSTITUTE(SUBSTITUTE(INDEX(PASTE_ALL,$DF755,$L$17)," "," "),CHAR(9)," "),CHAR(10)," "),CHAR(13)," ")),",",""),"%","")),"")))</f>
        <v/>
      </c>
      <c r="EA755">
        <f>IF($DM755=0,"",IFERROR(IF(ISNUMBER($DZ755),$DZ755,IF($DZ755="","",IF(TRIM($DZ755)="",0,IF(AND(AND(SUBSTITUTE(SUBSTITUTE(SUBSTITUTE(SUBSTITUTE(SUBSTITUTE(SUBSTITUTE(SUBSTITUTE(SUBSTITUTE(SUBSTITUTE(SUBSTITUTE(SUBSTITUTE(SUBSTITUTE(SUBSTITUTE(SUBSTITUTE(UPPER(TRIM($DZ755)),"0",""),"1",""),"2",""),"3",""),"4",""),"5",""),"6",""),"7",""),"8",""),"9",""),".",""),"+",""),"-",""),"E","")="",LEN(SUBSTITUTE(SUBSTITUTE(MID(UPPER(TRIM($DZ755)),1+OR(LEFT(UPPER(TRIM($DZ755)),1)="+",LEFT(UPPER(TRIM($DZ755)),1)="-"),999),"E+","E"),"E-","E"))=LEN(SUBSTITUTE(SUBSTITUTE(SUBSTITUTE(SUBSTITUTE(MID(UPPER(TRIM($DZ755)),1+OR(LEFT(UPPER(TRIM($DZ755)),1)="+",LEFT(UPPER(TRIM($DZ755)),1)="-"),999),"E+","E"),"E-","E"),"+",""),"-","")),LEN(UPPER(TRIM($DZ755)))-LEN(SUBSTITUTE(UPPER(TRIM($DZ755)),"E",""))&lt;2,LEN(UPPER(TRIM($DZ755)))-LEN(SUBSTITUTE(UPPER(TRIM($DZ755)),".",""))&lt;2,IFERROR(FIND(".",UPPER(TRIM($DZ755))),0)&lt;IFERROR(FIND("E",UPPER(TRIM($DZ755))),999)),ISNUMBER(VALUE(TRIM($DZ755)))),VALUE(TRIM($DZ755)),"")))),""))</f>
        <v/>
      </c>
      <c r="EB755">
        <f>IF($DM755=0,"",IF($L$18=0,"",IFERROR(IF(UPPER(TRIM(SUBSTITUTE(SUBSTITUTE(SUBSTITUTE(SUBSTITUTE(INDEX(PASTE_ALL,$DF755,$L$18)," "," "),CHAR(9)," "),CHAR(10)," "),CHAR(13)," ")))="READY","Ready",IF(UPPER(TRIM(SUBSTITUTE(SUBSTITUTE(SUBSTITUTE(SUBSTITUTE(INDEX(PASTE_ALL,$DF755,$L$18)," "," "),CHAR(9)," "),CHAR(10)," "),CHAR(13)," ")))="PM","PM",IF(OR(UPPER(TRIM(SUBSTITUTE(SUBSTITUTE(SUBSTITUTE(SUBSTITUTE(INDEX(PASTE_ALL,$DF755,$L$18)," "," "),CHAR(9)," "),CHAR(10)," "),CHAR(13)," ")))="OT",UPPER(TRIM(SUBSTITUTE(SUBSTITUTE(SUBSTITUTE(SUBSTITUTE(INDEX(PASTE_ALL,$DF755,$L$18)," "," "),CHAR(9)," "),CHAR(10)," "),CHAR(13)," ")))="OVERTIME",UPPER(TRIM(SUBSTITUTE(SUBSTITUTE(SUBSTITUTE(SUBSTITUTE(INDEX(PASTE_ALL,$DF755,$L$18)," "," "),CHAR(9)," "),CHAR(10)," "),CHAR(13)," ")))="TRIAL"),"OT",TRIM(SUBSTITUTE(SUBSTITUTE(SUBSTITUTE(SUBSTITUTE(INDEX(PASTE_ALL,$DF755,$L$18)," "," "),CHAR(9)," "),CHAR(10)," "),CHAR(13)," "))))),"")))</f>
        <v/>
      </c>
      <c r="EC755">
        <f>IF($DM755=0,"",IF($L$19=0,"",IFERROR(IF(ISNUMBER(INDEX(PASTE_ALL,$DF755,$L$19)),INDEX(PASTE_ALL,$DF755,$L$19),TRIM(SUBSTITUTE(SUBSTITUTE(SUBSTITUTE(SUBSTITUTE(INDEX(PASTE_ALL,$DF755,$L$19)," "," "),CHAR(9)," "),CHAR(10)," "),CHAR(13)," "))),"")))</f>
        <v/>
      </c>
      <c r="ED755">
        <f>IF($DM755=0,"",MATCH(1,INDEX(EXACT($DH$5:DH755,$DH755)*$DM$5:DM755,0),0))</f>
        <v/>
      </c>
      <c r="EE755">
        <f>IF($DM755=0,0,IF($ED755=$DE755,1,0))</f>
        <v/>
      </c>
      <c r="EF755">
        <f>EF754+$EE755</f>
        <v/>
      </c>
      <c r="EG755">
        <f>IF($DM755=0,"",INDEX($EF$5:$EF$1003,$ED755))</f>
        <v/>
      </c>
      <c r="EH755">
        <f>IF($DM755=0,"",IF($DO755&lt;&gt;"","",IFERROR(LOOKUP(2,1/(($EG$4:EG754=$EG755)*($DO$4:DO754&lt;&gt;"")),$DO$4:DO754),"")))</f>
        <v/>
      </c>
      <c r="EI755">
        <f>IF($DM755=0,"",IF($DO755&lt;&gt;"",$DO755,$EH755))</f>
        <v/>
      </c>
      <c r="EJ755">
        <f>IF($DM755=0,"",IF($EI755="",0,IF(OR(ISNUMBER($EI755),AND(AND(SUBSTITUTE(SUBSTITUTE(SUBSTITUTE(SUBSTITUTE(SUBSTITUTE(SUBSTITUTE(SUBSTITUTE(SUBSTITUTE(SUBSTITUTE(SUBSTITUTE(SUBSTITUTE(SUBSTITUTE(SUBSTITUTE(SUBSTITUTE(UPPER($EI755),"0",""),"1",""),"2",""),"3",""),"4",""),"5",""),"6",""),"7",""),"8",""),"9",""),".",""),"+",""),"-",""),"E","")="",LEN(SUBSTITUTE(SUBSTITUTE(MID(UPPER($EI755),1+OR(LEFT(UPPER($EI755),1)="+",LEFT(UPPER($EI755),1)="-"),999),"E+","E"),"E-","E"))=LEN(SUBSTITUTE(SUBSTITUTE(SUBSTITUTE(SUBSTITUTE(MID(UPPER($EI755),1+OR(LEFT(UPPER($EI755),1)="+",LEFT(UPPER($EI755),1)="-"),999),"E+","E"),"E-","E"),"+",""),"-","")),LEN(UPPER($EI755))-LEN(SUBSTITUTE(UPPER($EI755),"E",""))&lt;2,LEN(UPPER($EI755))-LEN(SUBSTITUTE(UPPER($EI755),".",""))&lt;2,IFERROR(FIND(".",UPPER($EI755)),0)&lt;IFERROR(FIND("E",UPPER($EI755)),999)),ISNUMBER(VALUE($EI755)))),1,2)))</f>
        <v/>
      </c>
      <c r="EK755">
        <f>IF($DM755=0,"",IF($EJ755=1,IF(ISNUMBER($EI755),$EI755,VALUE($EI755)),IF($EJ755=2,$DE755,0)))</f>
        <v/>
      </c>
      <c r="EL755">
        <f>IF($DM755=0,"",COUNTIF($EG$5:$EG$1003,"&lt;"&amp;$EG755)+SUMPRODUCT(($EG$5:$EG$1003=$EG755)*(($EJ$5:$EJ$1003&lt;$EJ755)+($EJ$5:$EJ$1003=$EJ755)*(($EK$5:$EK$1003&lt;$EK755)+($EK$5:$EK$1003=$EK755)*($DE$5:$DE$1003&lt;$DE755))))+1)</f>
        <v/>
      </c>
      <c r="EM755">
        <f>IF($DM755=0,"",$EL755+$EG755-1)</f>
        <v/>
      </c>
      <c r="EN755">
        <f>IF($DM755=0,0,IFERROR(MATCH(1,INDEX(--(TRIM(SUBSTITUTE(SUBSTITUTE(SUBSTITUTE(SUBSTITUTE(LINES_NAME&amp;""," "," "),CHAR(9)," "),CHAR(10)," "),CHAR(13)," "))=$DH755),0),0),0))</f>
        <v/>
      </c>
      <c r="EO755">
        <f>IF($EN755=0,0,IF(OR(UPPER(TRIM(INDEX(LINES_SCHEDULED,$EN755)&amp;""))="YES",UPPER(TRIM(INDEX(LINES_SCHEDULED,$EN755)&amp;""))="Y",UPPER(TRIM(INDEX(LINES_SCHEDULED,$EN755)&amp;""))="X"),1,0))</f>
        <v/>
      </c>
      <c r="EP755">
        <f>IF($DM755=0,"",IF(COUNTIFS($EG$5:$EG$1003,$EG755,$EB$5:$EB$1003,"Ready")&gt;0,"READY",IF(COUNTIFS($EG$5:$EG$1003,$EG755,$EB$5:$EB$1003,"PM")&gt;0,"PM",IF(COUNTIFS($EG$5:$EG$1003,$EG755,$EB$5:$EB$1003,"OT")&gt;0,"OT",""))))</f>
        <v/>
      </c>
      <c r="EQ755">
        <f>IF($EN755=0,"",UPPER(TRIM(INDEX(LINES_STATUS,$EN755)&amp;"")))</f>
        <v/>
      </c>
      <c r="ER755">
        <f>IF($DM755=0,"",IF(OR($EQ755="READY",$EQ755="PM",$EQ755="OT"),$EQ755,$EP755))</f>
        <v/>
      </c>
      <c r="ES755">
        <f>IF($DM755=0,"",IF(AND($DV755&lt;&gt;"",UPPER($DV755)&lt;&gt;"N"),"allergen",IF(ISNUMBER(SEARCH("oil",$DQ755)),"oil",IF(OR(EXACT($DS755,"A662"),EXACT($DS755,"A624")),"bulk",""))))</f>
        <v/>
      </c>
      <c r="ET755">
        <f>IF($DM755=0,"",IF(OR($EA755="",$EA755=0),"",$EA755/100))</f>
        <v/>
      </c>
      <c r="EU755">
        <f>IF(OR($ET755="",$DY755=""),"",INT($DY755*(1-$ET755)+0.5))</f>
        <v/>
      </c>
    </row>
    <row r="756">
      <c r="DA756" t="n">
        <v>752</v>
      </c>
      <c r="DB756">
        <f>IF($B$37=0,"",IFERROR(TRIM(SUBSTITUTE(SUBSTITUTE(SUBSTITUTE(SUBSTITUTE(INDEX(PASTE_ALL,752,$B$37)," "," "),CHAR(9)," "),CHAR(10)," "),CHAR(13)," ")),""))</f>
        <v/>
      </c>
      <c r="DC756">
        <f>IF(AND(752&gt;HEADER_ROW,UPPER(DB756)="LEGEND"),1,0)</f>
        <v/>
      </c>
      <c r="DE756" t="n">
        <v>752</v>
      </c>
      <c r="DF756">
        <f>HEADER_ROW+$DE756</f>
        <v/>
      </c>
      <c r="DG756">
        <f>IF(AND($DF756&lt;=1000,$DF756&lt;$B$8),1,0)</f>
        <v/>
      </c>
      <c r="DH756">
        <f>IF($DG756=1,IFERROR(INDEX($DB$5:$DB$1004,$DF756),""),"")</f>
        <v/>
      </c>
      <c r="DI756">
        <f>IF(AND($DG756=1,$DH756&lt;&gt;""),IFERROR(SUBSTITUTE(SUBSTITUTE(TRIM(SUBSTITUTE(SUBSTITUTE(SUBSTITUTE(SUBSTITUTE(IFERROR(INDEX(PASTE_ALL,$DF756,1)&amp;"","")&amp;"␟"&amp;IFERROR(INDEX(PASTE_ALL,$DF756,2)&amp;"","")&amp;"␟"&amp;IFERROR(INDEX(PASTE_ALL,$DF756,3)&amp;"","")&amp;"␟"&amp;IFERROR(INDEX(PASTE_ALL,$DF756,4)&amp;"","")&amp;"␟"&amp;IFERROR(INDEX(PASTE_ALL,$DF756,5)&amp;"","")&amp;"␟"&amp;IFERROR(INDEX(PASTE_ALL,$DF756,6)&amp;"","")&amp;"␟"&amp;IFERROR(INDEX(PASTE_ALL,$DF756,7)&amp;"","")&amp;"␟"&amp;IFERROR(INDEX(PASTE_ALL,$DF756,8)&amp;"","")&amp;"␟"&amp;IFERROR(INDEX(PASTE_ALL,$DF756,9)&amp;"","")&amp;"␟"&amp;IFERROR(INDEX(PASTE_ALL,$DF756,10)&amp;"","")&amp;"␟"&amp;IFERROR(INDEX(PASTE_ALL,$DF756,11)&amp;"","")&amp;"␟"&amp;IFERROR(INDEX(PASTE_ALL,$DF756,12)&amp;"","")&amp;"␟"&amp;IFERROR(INDEX(PASTE_ALL,$DF756,13)&amp;"","")&amp;"␟"&amp;IFERROR(INDEX(PASTE_ALL,$DF756,14)&amp;"","")&amp;"␟"&amp;IFERROR(INDEX(PASTE_ALL,$DF756,15)&amp;"","")&amp;"␟"&amp;IFERROR(INDEX(PASTE_ALL,$DF756,16)&amp;"","")&amp;"␟"&amp;IFERROR(INDEX(PASTE_ALL,$DF756,17)&amp;"","")&amp;"␟"&amp;IFERROR(INDEX(PASTE_ALL,$DF756,18)&amp;"","")&amp;"␟"&amp;IFERROR(INDEX(PASTE_ALL,$DF756,19)&amp;"","")&amp;"␟"&amp;IFERROR(INDEX(PASTE_ALL,$DF756,20)&amp;"","")&amp;"␟"&amp;IFERROR(INDEX(PASTE_ALL,$DF756,21)&amp;"","")&amp;"␟"&amp;IFERROR(INDEX(PASTE_ALL,$DF756,22)&amp;"","")&amp;"␟"&amp;IFERROR(INDEX(PASTE_ALL,$DF756,23)&amp;"","")&amp;"␟"&amp;IFERROR(INDEX(PASTE_ALL,$DF756,24)&amp;"","")&amp;"␟"&amp;IFERROR(INDEX(PASTE_ALL,$DF756,25)&amp;"","")&amp;"␟"&amp;IFERROR(INDEX(PASTE_ALL,$DF756,26)&amp;"","")&amp;"␟"&amp;IFERROR(INDEX(PASTE_ALL,$DF756,27)&amp;"","")&amp;"␟"&amp;IFERROR(INDEX(PASTE_ALL,$DF756,28)&amp;"","")&amp;"␟"&amp;IFERROR(INDEX(PASTE_ALL,$DF756,29)&amp;"","")&amp;"␟"&amp;IFERROR(INDEX(PASTE_ALL,$DF756,30)&amp;"","")&amp;"␟"&amp;IFERROR(INDEX(PASTE_ALL,$DF756,31)&amp;"","")&amp;"␟"&amp;IFERROR(INDEX(PASTE_ALL,$DF756,32)&amp;"","")&amp;"␟"&amp;IFERROR(INDEX(PASTE_ALL,$DF756,33)&amp;"","")&amp;"␟"&amp;IFERROR(INDEX(PASTE_ALL,$DF756,34)&amp;"","")&amp;"␟"&amp;IFERROR(INDEX(PASTE_ALL,$DF756,35)&amp;"","")&amp;"␟"&amp;IFERROR(INDEX(PASTE_ALL,$DF756,36)&amp;"","")&amp;"␟"&amp;IFERROR(INDEX(PASTE_ALL,$DF756,37)&amp;"","")&amp;"␟"&amp;IFERROR(INDEX(PASTE_ALL,$DF756,38)&amp;"","")&amp;"␟"&amp;IFERROR(INDEX(PASTE_ALL,$DF756,39)&amp;"","")&amp;"␟"&amp;IFERROR(INDEX(PASTE_ALL,$DF756,40)&amp;"","")&amp;"␟"&amp;IFERROR(INDEX(PASTE_ALL,$DF756,41)&amp;"","")&amp;"␟"&amp;IFERROR(INDEX(PASTE_ALL,$DF756,42)&amp;"","")&amp;"␟"&amp;IFERROR(INDEX(PASTE_ALL,$DF756,43)&amp;"","")&amp;"␟"&amp;IFERROR(INDEX(PASTE_ALL,$DF756,44)&amp;"","")&amp;"␟"&amp;IFERROR(INDEX(PASTE_ALL,$DF756,45)&amp;"","")&amp;"␟"&amp;IFERROR(INDEX(PASTE_ALL,$DF756,46)&amp;"","")&amp;"␟"&amp;IFERROR(INDEX(PASTE_ALL,$DF756,47)&amp;"","")&amp;"␟"&amp;IFERROR(INDEX(PASTE_ALL,$DF756,48)&amp;"","")&amp;"␟"&amp;IFERROR(INDEX(PASTE_ALL,$DF756,49)&amp;"","")&amp;"␟"&amp;IFERROR(INDEX(PASTE_ALL,$DF756,50)&amp;"","")&amp;"␟"&amp;IFERROR(INDEX(PASTE_ALL,$DF756,51)&amp;"","")&amp;"␟"&amp;IFERROR(INDEX(PASTE_ALL,$DF756,52)&amp;"","")&amp;"␟"&amp;IFERROR(INDEX(PASTE_ALL,$DF756,53)&amp;"","")&amp;"␟"&amp;IFERROR(INDEX(PASTE_ALL,$DF756,54)&amp;"","")&amp;"␟"&amp;IFERROR(INDEX(PASTE_ALL,$DF756,55)&amp;"","")&amp;"␟"&amp;IFERROR(INDEX(PASTE_ALL,$DF756,56)&amp;"","")&amp;"␟"&amp;IFERROR(INDEX(PASTE_ALL,$DF756,57)&amp;"","")&amp;"␟"&amp;IFERROR(INDEX(PASTE_ALL,$DF756,58)&amp;"","")&amp;"␟"&amp;IFERROR(INDEX(PASTE_ALL,$DF756,59)&amp;"","")&amp;"␟"&amp;IFERROR(INDEX(PASTE_ALL,$DF756,60)&amp;"","")," "," "),CHAR(9)," "),CHAR(10)," "),CHAR(13)," "))," ␟","␟"),"␟ ","␟"),"#"&amp;$DE756),"")</f>
        <v/>
      </c>
      <c r="DJ756">
        <f>IF($DI756="",0,IF(SUMPRODUCT(--EXACT($DI$4:DI755,$DI756))&gt;0,1,0))</f>
        <v/>
      </c>
      <c r="DK756">
        <f>IF(AND($DI756&lt;&gt;"",$DJ756=0),1,0)</f>
        <v/>
      </c>
      <c r="DL756">
        <f>DL755+$DK756</f>
        <v/>
      </c>
      <c r="DM756">
        <f>IF(AND($DK756=1,$DL756&lt;=600),1,0)</f>
        <v/>
      </c>
      <c r="DN756">
        <f>IF($DM756=0,"",IF($L$6=0,"",IFERROR(IF(ISNUMBER(INDEX(PASTE_ALL,$DF756,$L$6)),INDEX(PASTE_ALL,$DF756,$L$6),TRIM(SUBSTITUTE(SUBSTITUTE(SUBSTITUTE(SUBSTITUTE(INDEX(PASTE_ALL,$DF756,$L$6)," "," "),CHAR(9)," "),CHAR(10)," "),CHAR(13)," "))),"")))</f>
        <v/>
      </c>
      <c r="DO756">
        <f>IF($DM756=0,"",IF($L$7=0,"",IFERROR(IF(ISNUMBER(INDEX(PASTE_ALL,$DF756,$L$7)),INDEX(PASTE_ALL,$DF756,$L$7),TRIM(SUBSTITUTE(SUBSTITUTE(SUBSTITUTE(SUBSTITUTE(INDEX(PASTE_ALL,$DF756,$L$7)," "," "),CHAR(9)," "),CHAR(10)," "),CHAR(13)," "))),"")))</f>
        <v/>
      </c>
      <c r="DP756">
        <f>IF($DM756=0,"",IF($L$8=0,"",IFERROR(IF(ISNUMBER(INDEX(PASTE_ALL,$DF756,$L$8)),INDEX(PASTE_ALL,$DF756,$L$8),TRIM(SUBSTITUTE(SUBSTITUTE(SUBSTITUTE(SUBSTITUTE(INDEX(PASTE_ALL,$DF756,$L$8)," "," "),CHAR(9)," "),CHAR(10)," "),CHAR(13)," "))),"")))</f>
        <v/>
      </c>
      <c r="DQ756">
        <f>IF($DM756=0,"",IF($L$9=0,"",IFERROR(IF(ISNUMBER(INDEX(PASTE_ALL,$DF756,$L$9)),INDEX(PASTE_ALL,$DF756,$L$9),TRIM(SUBSTITUTE(SUBSTITUTE(SUBSTITUTE(SUBSTITUTE(INDEX(PASTE_ALL,$DF756,$L$9)," "," "),CHAR(9)," "),CHAR(10)," "),CHAR(13)," "))),"")))</f>
        <v/>
      </c>
      <c r="DR756">
        <f>IF($DM756=0,"",IF($L$10=0,"",IFERROR(IF(ISNUMBER(INDEX(PASTE_ALL,$DF756,$L$10)),INDEX(PASTE_ALL,$DF756,$L$10),TRIM(SUBSTITUTE(SUBSTITUTE(SUBSTITUTE(SUBSTITUTE(INDEX(PASTE_ALL,$DF756,$L$10)," "," "),CHAR(9)," "),CHAR(10)," "),CHAR(13)," "))),"")))</f>
        <v/>
      </c>
      <c r="DS756">
        <f>IF($DM756=0,"",IF($L$11=0,"",IFERROR(IF(ISNUMBER(INDEX(PASTE_ALL,$DF756,$L$11)),INDEX(PASTE_ALL,$DF756,$L$11),TRIM(SUBSTITUTE(SUBSTITUTE(SUBSTITUTE(SUBSTITUTE(INDEX(PASTE_ALL,$DF756,$L$11)," "," "),CHAR(9)," "),CHAR(10)," "),CHAR(13)," "))),"")))</f>
        <v/>
      </c>
      <c r="DT756">
        <f>IF($DM756=0,"",IF($L$12=0,"",IFERROR(IF(ISNUMBER(INDEX(PASTE_ALL,$DF756,$L$12)),INDEX(PASTE_ALL,$DF756,$L$12),TRIM(SUBSTITUTE(SUBSTITUTE(SUBSTITUTE(SUBSTITUTE(INDEX(PASTE_ALL,$DF756,$L$12)," "," "),CHAR(9)," "),CHAR(10)," "),CHAR(13)," "))),"")))</f>
        <v/>
      </c>
      <c r="DU756">
        <f>IF($DM756=0,"",IF($L$13=0,"",IFERROR(IF(ISNUMBER(INDEX(PASTE_ALL,$DF756,$L$13)),INDEX(PASTE_ALL,$DF756,$L$13),TRIM(SUBSTITUTE(SUBSTITUTE(SUBSTITUTE(SUBSTITUTE(INDEX(PASTE_ALL,$DF756,$L$13)," "," "),CHAR(9)," "),CHAR(10)," "),CHAR(13)," "))),"")))</f>
        <v/>
      </c>
      <c r="DV756">
        <f>IF($DM756=0,"",IF($L$14=0,"",IFERROR(IF(ISNUMBER(INDEX(PASTE_ALL,$DF756,$L$14)),INDEX(PASTE_ALL,$DF756,$L$14),TRIM(SUBSTITUTE(SUBSTITUTE(SUBSTITUTE(SUBSTITUTE(INDEX(PASTE_ALL,$DF756,$L$14)," "," "),CHAR(9)," "),CHAR(10)," "),CHAR(13)," "))),"")))</f>
        <v/>
      </c>
      <c r="DW756">
        <f>IF($DM756=0,"",IF($L$15=0,"",IFERROR(IF(ISNUMBER(INDEX(PASTE_ALL,$DF756,$L$15)),INDEX(PASTE_ALL,$DF756,$L$15),IF(SUMPRODUCT(--ISNUMBER(FIND({"A","B","C","D","E","F","G","H","I","J","K","L","M","N","O","P","Q","R","S","T","U","V","W","X","Y","Z","0","1","2","3","4","5","6","7","8","9"},UPPER(TRIM(SUBSTITUTE(SUBSTITUTE(SUBSTITUTE(SUBSTITUTE(INDEX(PASTE_ALL,$DF756,$L$15)," "," "),CHAR(9)," "),CHAR(10)," "),CHAR(13)," "))))))&gt;0,TRIM(SUBSTITUTE(SUBSTITUTE(SUBSTITUTE(SUBSTITUTE(INDEX(PASTE_ALL,$DF756,$L$15)," "," "),CHAR(9)," "),CHAR(10)," "),CHAR(13)," ")),"")),"")))</f>
        <v/>
      </c>
      <c r="DX756">
        <f>IF($DM756=0,"",IF($L$16=0,"",IFERROR(IF(ISNUMBER(INDEX(PASTE_ALL,$DF756,$L$16)),INDEX(PASTE_ALL,$DF756,$L$16),SUBSTITUTE(SUBSTITUTE(TRIM(SUBSTITUTE(SUBSTITUTE(SUBSTITUTE(SUBSTITUTE(INDEX(PASTE_ALL,$DF756,$L$16)," "," "),CHAR(9)," "),CHAR(10)," "),CHAR(13)," ")),",",""),"%","")),"")))</f>
        <v/>
      </c>
      <c r="DY756">
        <f>IF($DM756=0,"",IFERROR(IF(ISNUMBER($DX756),$DX756,IF($DX756="","",IF(TRIM($DX756)="",0,IF(AND(AND(SUBSTITUTE(SUBSTITUTE(SUBSTITUTE(SUBSTITUTE(SUBSTITUTE(SUBSTITUTE(SUBSTITUTE(SUBSTITUTE(SUBSTITUTE(SUBSTITUTE(SUBSTITUTE(SUBSTITUTE(SUBSTITUTE(SUBSTITUTE(UPPER(TRIM($DX756)),"0",""),"1",""),"2",""),"3",""),"4",""),"5",""),"6",""),"7",""),"8",""),"9",""),".",""),"+",""),"-",""),"E","")="",LEN(SUBSTITUTE(SUBSTITUTE(MID(UPPER(TRIM($DX756)),1+OR(LEFT(UPPER(TRIM($DX756)),1)="+",LEFT(UPPER(TRIM($DX756)),1)="-"),999),"E+","E"),"E-","E"))=LEN(SUBSTITUTE(SUBSTITUTE(SUBSTITUTE(SUBSTITUTE(MID(UPPER(TRIM($DX756)),1+OR(LEFT(UPPER(TRIM($DX756)),1)="+",LEFT(UPPER(TRIM($DX756)),1)="-"),999),"E+","E"),"E-","E"),"+",""),"-","")),LEN(UPPER(TRIM($DX756)))-LEN(SUBSTITUTE(UPPER(TRIM($DX756)),"E",""))&lt;2,LEN(UPPER(TRIM($DX756)))-LEN(SUBSTITUTE(UPPER(TRIM($DX756)),".",""))&lt;2,IFERROR(FIND(".",UPPER(TRIM($DX756))),0)&lt;IFERROR(FIND("E",UPPER(TRIM($DX756))),999)),ISNUMBER(VALUE(TRIM($DX756)))),VALUE(TRIM($DX756)),"")))),""))</f>
        <v/>
      </c>
      <c r="DZ756">
        <f>IF($DM756=0,"",IF($L$17=0,"",IFERROR(IF(ISNUMBER(INDEX(PASTE_ALL,$DF756,$L$17)),INDEX(PASTE_ALL,$DF756,$L$17),SUBSTITUTE(SUBSTITUTE(TRIM(SUBSTITUTE(SUBSTITUTE(SUBSTITUTE(SUBSTITUTE(INDEX(PASTE_ALL,$DF756,$L$17)," "," "),CHAR(9)," "),CHAR(10)," "),CHAR(13)," ")),",",""),"%","")),"")))</f>
        <v/>
      </c>
      <c r="EA756">
        <f>IF($DM756=0,"",IFERROR(IF(ISNUMBER($DZ756),$DZ756,IF($DZ756="","",IF(TRIM($DZ756)="",0,IF(AND(AND(SUBSTITUTE(SUBSTITUTE(SUBSTITUTE(SUBSTITUTE(SUBSTITUTE(SUBSTITUTE(SUBSTITUTE(SUBSTITUTE(SUBSTITUTE(SUBSTITUTE(SUBSTITUTE(SUBSTITUTE(SUBSTITUTE(SUBSTITUTE(UPPER(TRIM($DZ756)),"0",""),"1",""),"2",""),"3",""),"4",""),"5",""),"6",""),"7",""),"8",""),"9",""),".",""),"+",""),"-",""),"E","")="",LEN(SUBSTITUTE(SUBSTITUTE(MID(UPPER(TRIM($DZ756)),1+OR(LEFT(UPPER(TRIM($DZ756)),1)="+",LEFT(UPPER(TRIM($DZ756)),1)="-"),999),"E+","E"),"E-","E"))=LEN(SUBSTITUTE(SUBSTITUTE(SUBSTITUTE(SUBSTITUTE(MID(UPPER(TRIM($DZ756)),1+OR(LEFT(UPPER(TRIM($DZ756)),1)="+",LEFT(UPPER(TRIM($DZ756)),1)="-"),999),"E+","E"),"E-","E"),"+",""),"-","")),LEN(UPPER(TRIM($DZ756)))-LEN(SUBSTITUTE(UPPER(TRIM($DZ756)),"E",""))&lt;2,LEN(UPPER(TRIM($DZ756)))-LEN(SUBSTITUTE(UPPER(TRIM($DZ756)),".",""))&lt;2,IFERROR(FIND(".",UPPER(TRIM($DZ756))),0)&lt;IFERROR(FIND("E",UPPER(TRIM($DZ756))),999)),ISNUMBER(VALUE(TRIM($DZ756)))),VALUE(TRIM($DZ756)),"")))),""))</f>
        <v/>
      </c>
      <c r="EB756">
        <f>IF($DM756=0,"",IF($L$18=0,"",IFERROR(IF(UPPER(TRIM(SUBSTITUTE(SUBSTITUTE(SUBSTITUTE(SUBSTITUTE(INDEX(PASTE_ALL,$DF756,$L$18)," "," "),CHAR(9)," "),CHAR(10)," "),CHAR(13)," ")))="READY","Ready",IF(UPPER(TRIM(SUBSTITUTE(SUBSTITUTE(SUBSTITUTE(SUBSTITUTE(INDEX(PASTE_ALL,$DF756,$L$18)," "," "),CHAR(9)," "),CHAR(10)," "),CHAR(13)," ")))="PM","PM",IF(OR(UPPER(TRIM(SUBSTITUTE(SUBSTITUTE(SUBSTITUTE(SUBSTITUTE(INDEX(PASTE_ALL,$DF756,$L$18)," "," "),CHAR(9)," "),CHAR(10)," "),CHAR(13)," ")))="OT",UPPER(TRIM(SUBSTITUTE(SUBSTITUTE(SUBSTITUTE(SUBSTITUTE(INDEX(PASTE_ALL,$DF756,$L$18)," "," "),CHAR(9)," "),CHAR(10)," "),CHAR(13)," ")))="OVERTIME",UPPER(TRIM(SUBSTITUTE(SUBSTITUTE(SUBSTITUTE(SUBSTITUTE(INDEX(PASTE_ALL,$DF756,$L$18)," "," "),CHAR(9)," "),CHAR(10)," "),CHAR(13)," ")))="TRIAL"),"OT",TRIM(SUBSTITUTE(SUBSTITUTE(SUBSTITUTE(SUBSTITUTE(INDEX(PASTE_ALL,$DF756,$L$18)," "," "),CHAR(9)," "),CHAR(10)," "),CHAR(13)," "))))),"")))</f>
        <v/>
      </c>
      <c r="EC756">
        <f>IF($DM756=0,"",IF($L$19=0,"",IFERROR(IF(ISNUMBER(INDEX(PASTE_ALL,$DF756,$L$19)),INDEX(PASTE_ALL,$DF756,$L$19),TRIM(SUBSTITUTE(SUBSTITUTE(SUBSTITUTE(SUBSTITUTE(INDEX(PASTE_ALL,$DF756,$L$19)," "," "),CHAR(9)," "),CHAR(10)," "),CHAR(13)," "))),"")))</f>
        <v/>
      </c>
      <c r="ED756">
        <f>IF($DM756=0,"",MATCH(1,INDEX(EXACT($DH$5:DH756,$DH756)*$DM$5:DM756,0),0))</f>
        <v/>
      </c>
      <c r="EE756">
        <f>IF($DM756=0,0,IF($ED756=$DE756,1,0))</f>
        <v/>
      </c>
      <c r="EF756">
        <f>EF755+$EE756</f>
        <v/>
      </c>
      <c r="EG756">
        <f>IF($DM756=0,"",INDEX($EF$5:$EF$1003,$ED756))</f>
        <v/>
      </c>
      <c r="EH756">
        <f>IF($DM756=0,"",IF($DO756&lt;&gt;"","",IFERROR(LOOKUP(2,1/(($EG$4:EG755=$EG756)*($DO$4:DO755&lt;&gt;"")),$DO$4:DO755),"")))</f>
        <v/>
      </c>
      <c r="EI756">
        <f>IF($DM756=0,"",IF($DO756&lt;&gt;"",$DO756,$EH756))</f>
        <v/>
      </c>
      <c r="EJ756">
        <f>IF($DM756=0,"",IF($EI756="",0,IF(OR(ISNUMBER($EI756),AND(AND(SUBSTITUTE(SUBSTITUTE(SUBSTITUTE(SUBSTITUTE(SUBSTITUTE(SUBSTITUTE(SUBSTITUTE(SUBSTITUTE(SUBSTITUTE(SUBSTITUTE(SUBSTITUTE(SUBSTITUTE(SUBSTITUTE(SUBSTITUTE(UPPER($EI756),"0",""),"1",""),"2",""),"3",""),"4",""),"5",""),"6",""),"7",""),"8",""),"9",""),".",""),"+",""),"-",""),"E","")="",LEN(SUBSTITUTE(SUBSTITUTE(MID(UPPER($EI756),1+OR(LEFT(UPPER($EI756),1)="+",LEFT(UPPER($EI756),1)="-"),999),"E+","E"),"E-","E"))=LEN(SUBSTITUTE(SUBSTITUTE(SUBSTITUTE(SUBSTITUTE(MID(UPPER($EI756),1+OR(LEFT(UPPER($EI756),1)="+",LEFT(UPPER($EI756),1)="-"),999),"E+","E"),"E-","E"),"+",""),"-","")),LEN(UPPER($EI756))-LEN(SUBSTITUTE(UPPER($EI756),"E",""))&lt;2,LEN(UPPER($EI756))-LEN(SUBSTITUTE(UPPER($EI756),".",""))&lt;2,IFERROR(FIND(".",UPPER($EI756)),0)&lt;IFERROR(FIND("E",UPPER($EI756)),999)),ISNUMBER(VALUE($EI756)))),1,2)))</f>
        <v/>
      </c>
      <c r="EK756">
        <f>IF($DM756=0,"",IF($EJ756=1,IF(ISNUMBER($EI756),$EI756,VALUE($EI756)),IF($EJ756=2,$DE756,0)))</f>
        <v/>
      </c>
      <c r="EL756">
        <f>IF($DM756=0,"",COUNTIF($EG$5:$EG$1003,"&lt;"&amp;$EG756)+SUMPRODUCT(($EG$5:$EG$1003=$EG756)*(($EJ$5:$EJ$1003&lt;$EJ756)+($EJ$5:$EJ$1003=$EJ756)*(($EK$5:$EK$1003&lt;$EK756)+($EK$5:$EK$1003=$EK756)*($DE$5:$DE$1003&lt;$DE756))))+1)</f>
        <v/>
      </c>
      <c r="EM756">
        <f>IF($DM756=0,"",$EL756+$EG756-1)</f>
        <v/>
      </c>
      <c r="EN756">
        <f>IF($DM756=0,0,IFERROR(MATCH(1,INDEX(--(TRIM(SUBSTITUTE(SUBSTITUTE(SUBSTITUTE(SUBSTITUTE(LINES_NAME&amp;""," "," "),CHAR(9)," "),CHAR(10)," "),CHAR(13)," "))=$DH756),0),0),0))</f>
        <v/>
      </c>
      <c r="EO756">
        <f>IF($EN756=0,0,IF(OR(UPPER(TRIM(INDEX(LINES_SCHEDULED,$EN756)&amp;""))="YES",UPPER(TRIM(INDEX(LINES_SCHEDULED,$EN756)&amp;""))="Y",UPPER(TRIM(INDEX(LINES_SCHEDULED,$EN756)&amp;""))="X"),1,0))</f>
        <v/>
      </c>
      <c r="EP756">
        <f>IF($DM756=0,"",IF(COUNTIFS($EG$5:$EG$1003,$EG756,$EB$5:$EB$1003,"Ready")&gt;0,"READY",IF(COUNTIFS($EG$5:$EG$1003,$EG756,$EB$5:$EB$1003,"PM")&gt;0,"PM",IF(COUNTIFS($EG$5:$EG$1003,$EG756,$EB$5:$EB$1003,"OT")&gt;0,"OT",""))))</f>
        <v/>
      </c>
      <c r="EQ756">
        <f>IF($EN756=0,"",UPPER(TRIM(INDEX(LINES_STATUS,$EN756)&amp;"")))</f>
        <v/>
      </c>
      <c r="ER756">
        <f>IF($DM756=0,"",IF(OR($EQ756="READY",$EQ756="PM",$EQ756="OT"),$EQ756,$EP756))</f>
        <v/>
      </c>
      <c r="ES756">
        <f>IF($DM756=0,"",IF(AND($DV756&lt;&gt;"",UPPER($DV756)&lt;&gt;"N"),"allergen",IF(ISNUMBER(SEARCH("oil",$DQ756)),"oil",IF(OR(EXACT($DS756,"A662"),EXACT($DS756,"A624")),"bulk",""))))</f>
        <v/>
      </c>
      <c r="ET756">
        <f>IF($DM756=0,"",IF(OR($EA756="",$EA756=0),"",$EA756/100))</f>
        <v/>
      </c>
      <c r="EU756">
        <f>IF(OR($ET756="",$DY756=""),"",INT($DY756*(1-$ET756)+0.5))</f>
        <v/>
      </c>
    </row>
    <row r="757">
      <c r="DA757" t="n">
        <v>753</v>
      </c>
      <c r="DB757">
        <f>IF($B$37=0,"",IFERROR(TRIM(SUBSTITUTE(SUBSTITUTE(SUBSTITUTE(SUBSTITUTE(INDEX(PASTE_ALL,753,$B$37)," "," "),CHAR(9)," "),CHAR(10)," "),CHAR(13)," ")),""))</f>
        <v/>
      </c>
      <c r="DC757">
        <f>IF(AND(753&gt;HEADER_ROW,UPPER(DB757)="LEGEND"),1,0)</f>
        <v/>
      </c>
      <c r="DE757" t="n">
        <v>753</v>
      </c>
      <c r="DF757">
        <f>HEADER_ROW+$DE757</f>
        <v/>
      </c>
      <c r="DG757">
        <f>IF(AND($DF757&lt;=1000,$DF757&lt;$B$8),1,0)</f>
        <v/>
      </c>
      <c r="DH757">
        <f>IF($DG757=1,IFERROR(INDEX($DB$5:$DB$1004,$DF757),""),"")</f>
        <v/>
      </c>
      <c r="DI757">
        <f>IF(AND($DG757=1,$DH757&lt;&gt;""),IFERROR(SUBSTITUTE(SUBSTITUTE(TRIM(SUBSTITUTE(SUBSTITUTE(SUBSTITUTE(SUBSTITUTE(IFERROR(INDEX(PASTE_ALL,$DF757,1)&amp;"","")&amp;"␟"&amp;IFERROR(INDEX(PASTE_ALL,$DF757,2)&amp;"","")&amp;"␟"&amp;IFERROR(INDEX(PASTE_ALL,$DF757,3)&amp;"","")&amp;"␟"&amp;IFERROR(INDEX(PASTE_ALL,$DF757,4)&amp;"","")&amp;"␟"&amp;IFERROR(INDEX(PASTE_ALL,$DF757,5)&amp;"","")&amp;"␟"&amp;IFERROR(INDEX(PASTE_ALL,$DF757,6)&amp;"","")&amp;"␟"&amp;IFERROR(INDEX(PASTE_ALL,$DF757,7)&amp;"","")&amp;"␟"&amp;IFERROR(INDEX(PASTE_ALL,$DF757,8)&amp;"","")&amp;"␟"&amp;IFERROR(INDEX(PASTE_ALL,$DF757,9)&amp;"","")&amp;"␟"&amp;IFERROR(INDEX(PASTE_ALL,$DF757,10)&amp;"","")&amp;"␟"&amp;IFERROR(INDEX(PASTE_ALL,$DF757,11)&amp;"","")&amp;"␟"&amp;IFERROR(INDEX(PASTE_ALL,$DF757,12)&amp;"","")&amp;"␟"&amp;IFERROR(INDEX(PASTE_ALL,$DF757,13)&amp;"","")&amp;"␟"&amp;IFERROR(INDEX(PASTE_ALL,$DF757,14)&amp;"","")&amp;"␟"&amp;IFERROR(INDEX(PASTE_ALL,$DF757,15)&amp;"","")&amp;"␟"&amp;IFERROR(INDEX(PASTE_ALL,$DF757,16)&amp;"","")&amp;"␟"&amp;IFERROR(INDEX(PASTE_ALL,$DF757,17)&amp;"","")&amp;"␟"&amp;IFERROR(INDEX(PASTE_ALL,$DF757,18)&amp;"","")&amp;"␟"&amp;IFERROR(INDEX(PASTE_ALL,$DF757,19)&amp;"","")&amp;"␟"&amp;IFERROR(INDEX(PASTE_ALL,$DF757,20)&amp;"","")&amp;"␟"&amp;IFERROR(INDEX(PASTE_ALL,$DF757,21)&amp;"","")&amp;"␟"&amp;IFERROR(INDEX(PASTE_ALL,$DF757,22)&amp;"","")&amp;"␟"&amp;IFERROR(INDEX(PASTE_ALL,$DF757,23)&amp;"","")&amp;"␟"&amp;IFERROR(INDEX(PASTE_ALL,$DF757,24)&amp;"","")&amp;"␟"&amp;IFERROR(INDEX(PASTE_ALL,$DF757,25)&amp;"","")&amp;"␟"&amp;IFERROR(INDEX(PASTE_ALL,$DF757,26)&amp;"","")&amp;"␟"&amp;IFERROR(INDEX(PASTE_ALL,$DF757,27)&amp;"","")&amp;"␟"&amp;IFERROR(INDEX(PASTE_ALL,$DF757,28)&amp;"","")&amp;"␟"&amp;IFERROR(INDEX(PASTE_ALL,$DF757,29)&amp;"","")&amp;"␟"&amp;IFERROR(INDEX(PASTE_ALL,$DF757,30)&amp;"","")&amp;"␟"&amp;IFERROR(INDEX(PASTE_ALL,$DF757,31)&amp;"","")&amp;"␟"&amp;IFERROR(INDEX(PASTE_ALL,$DF757,32)&amp;"","")&amp;"␟"&amp;IFERROR(INDEX(PASTE_ALL,$DF757,33)&amp;"","")&amp;"␟"&amp;IFERROR(INDEX(PASTE_ALL,$DF757,34)&amp;"","")&amp;"␟"&amp;IFERROR(INDEX(PASTE_ALL,$DF757,35)&amp;"","")&amp;"␟"&amp;IFERROR(INDEX(PASTE_ALL,$DF757,36)&amp;"","")&amp;"␟"&amp;IFERROR(INDEX(PASTE_ALL,$DF757,37)&amp;"","")&amp;"␟"&amp;IFERROR(INDEX(PASTE_ALL,$DF757,38)&amp;"","")&amp;"␟"&amp;IFERROR(INDEX(PASTE_ALL,$DF757,39)&amp;"","")&amp;"␟"&amp;IFERROR(INDEX(PASTE_ALL,$DF757,40)&amp;"","")&amp;"␟"&amp;IFERROR(INDEX(PASTE_ALL,$DF757,41)&amp;"","")&amp;"␟"&amp;IFERROR(INDEX(PASTE_ALL,$DF757,42)&amp;"","")&amp;"␟"&amp;IFERROR(INDEX(PASTE_ALL,$DF757,43)&amp;"","")&amp;"␟"&amp;IFERROR(INDEX(PASTE_ALL,$DF757,44)&amp;"","")&amp;"␟"&amp;IFERROR(INDEX(PASTE_ALL,$DF757,45)&amp;"","")&amp;"␟"&amp;IFERROR(INDEX(PASTE_ALL,$DF757,46)&amp;"","")&amp;"␟"&amp;IFERROR(INDEX(PASTE_ALL,$DF757,47)&amp;"","")&amp;"␟"&amp;IFERROR(INDEX(PASTE_ALL,$DF757,48)&amp;"","")&amp;"␟"&amp;IFERROR(INDEX(PASTE_ALL,$DF757,49)&amp;"","")&amp;"␟"&amp;IFERROR(INDEX(PASTE_ALL,$DF757,50)&amp;"","")&amp;"␟"&amp;IFERROR(INDEX(PASTE_ALL,$DF757,51)&amp;"","")&amp;"␟"&amp;IFERROR(INDEX(PASTE_ALL,$DF757,52)&amp;"","")&amp;"␟"&amp;IFERROR(INDEX(PASTE_ALL,$DF757,53)&amp;"","")&amp;"␟"&amp;IFERROR(INDEX(PASTE_ALL,$DF757,54)&amp;"","")&amp;"␟"&amp;IFERROR(INDEX(PASTE_ALL,$DF757,55)&amp;"","")&amp;"␟"&amp;IFERROR(INDEX(PASTE_ALL,$DF757,56)&amp;"","")&amp;"␟"&amp;IFERROR(INDEX(PASTE_ALL,$DF757,57)&amp;"","")&amp;"␟"&amp;IFERROR(INDEX(PASTE_ALL,$DF757,58)&amp;"","")&amp;"␟"&amp;IFERROR(INDEX(PASTE_ALL,$DF757,59)&amp;"","")&amp;"␟"&amp;IFERROR(INDEX(PASTE_ALL,$DF757,60)&amp;"","")," "," "),CHAR(9)," "),CHAR(10)," "),CHAR(13)," "))," ␟","␟"),"␟ ","␟"),"#"&amp;$DE757),"")</f>
        <v/>
      </c>
      <c r="DJ757">
        <f>IF($DI757="",0,IF(SUMPRODUCT(--EXACT($DI$4:DI756,$DI757))&gt;0,1,0))</f>
        <v/>
      </c>
      <c r="DK757">
        <f>IF(AND($DI757&lt;&gt;"",$DJ757=0),1,0)</f>
        <v/>
      </c>
      <c r="DL757">
        <f>DL756+$DK757</f>
        <v/>
      </c>
      <c r="DM757">
        <f>IF(AND($DK757=1,$DL757&lt;=600),1,0)</f>
        <v/>
      </c>
      <c r="DN757">
        <f>IF($DM757=0,"",IF($L$6=0,"",IFERROR(IF(ISNUMBER(INDEX(PASTE_ALL,$DF757,$L$6)),INDEX(PASTE_ALL,$DF757,$L$6),TRIM(SUBSTITUTE(SUBSTITUTE(SUBSTITUTE(SUBSTITUTE(INDEX(PASTE_ALL,$DF757,$L$6)," "," "),CHAR(9)," "),CHAR(10)," "),CHAR(13)," "))),"")))</f>
        <v/>
      </c>
      <c r="DO757">
        <f>IF($DM757=0,"",IF($L$7=0,"",IFERROR(IF(ISNUMBER(INDEX(PASTE_ALL,$DF757,$L$7)),INDEX(PASTE_ALL,$DF757,$L$7),TRIM(SUBSTITUTE(SUBSTITUTE(SUBSTITUTE(SUBSTITUTE(INDEX(PASTE_ALL,$DF757,$L$7)," "," "),CHAR(9)," "),CHAR(10)," "),CHAR(13)," "))),"")))</f>
        <v/>
      </c>
      <c r="DP757">
        <f>IF($DM757=0,"",IF($L$8=0,"",IFERROR(IF(ISNUMBER(INDEX(PASTE_ALL,$DF757,$L$8)),INDEX(PASTE_ALL,$DF757,$L$8),TRIM(SUBSTITUTE(SUBSTITUTE(SUBSTITUTE(SUBSTITUTE(INDEX(PASTE_ALL,$DF757,$L$8)," "," "),CHAR(9)," "),CHAR(10)," "),CHAR(13)," "))),"")))</f>
        <v/>
      </c>
      <c r="DQ757">
        <f>IF($DM757=0,"",IF($L$9=0,"",IFERROR(IF(ISNUMBER(INDEX(PASTE_ALL,$DF757,$L$9)),INDEX(PASTE_ALL,$DF757,$L$9),TRIM(SUBSTITUTE(SUBSTITUTE(SUBSTITUTE(SUBSTITUTE(INDEX(PASTE_ALL,$DF757,$L$9)," "," "),CHAR(9)," "),CHAR(10)," "),CHAR(13)," "))),"")))</f>
        <v/>
      </c>
      <c r="DR757">
        <f>IF($DM757=0,"",IF($L$10=0,"",IFERROR(IF(ISNUMBER(INDEX(PASTE_ALL,$DF757,$L$10)),INDEX(PASTE_ALL,$DF757,$L$10),TRIM(SUBSTITUTE(SUBSTITUTE(SUBSTITUTE(SUBSTITUTE(INDEX(PASTE_ALL,$DF757,$L$10)," "," "),CHAR(9)," "),CHAR(10)," "),CHAR(13)," "))),"")))</f>
        <v/>
      </c>
      <c r="DS757">
        <f>IF($DM757=0,"",IF($L$11=0,"",IFERROR(IF(ISNUMBER(INDEX(PASTE_ALL,$DF757,$L$11)),INDEX(PASTE_ALL,$DF757,$L$11),TRIM(SUBSTITUTE(SUBSTITUTE(SUBSTITUTE(SUBSTITUTE(INDEX(PASTE_ALL,$DF757,$L$11)," "," "),CHAR(9)," "),CHAR(10)," "),CHAR(13)," "))),"")))</f>
        <v/>
      </c>
      <c r="DT757">
        <f>IF($DM757=0,"",IF($L$12=0,"",IFERROR(IF(ISNUMBER(INDEX(PASTE_ALL,$DF757,$L$12)),INDEX(PASTE_ALL,$DF757,$L$12),TRIM(SUBSTITUTE(SUBSTITUTE(SUBSTITUTE(SUBSTITUTE(INDEX(PASTE_ALL,$DF757,$L$12)," "," "),CHAR(9)," "),CHAR(10)," "),CHAR(13)," "))),"")))</f>
        <v/>
      </c>
      <c r="DU757">
        <f>IF($DM757=0,"",IF($L$13=0,"",IFERROR(IF(ISNUMBER(INDEX(PASTE_ALL,$DF757,$L$13)),INDEX(PASTE_ALL,$DF757,$L$13),TRIM(SUBSTITUTE(SUBSTITUTE(SUBSTITUTE(SUBSTITUTE(INDEX(PASTE_ALL,$DF757,$L$13)," "," "),CHAR(9)," "),CHAR(10)," "),CHAR(13)," "))),"")))</f>
        <v/>
      </c>
      <c r="DV757">
        <f>IF($DM757=0,"",IF($L$14=0,"",IFERROR(IF(ISNUMBER(INDEX(PASTE_ALL,$DF757,$L$14)),INDEX(PASTE_ALL,$DF757,$L$14),TRIM(SUBSTITUTE(SUBSTITUTE(SUBSTITUTE(SUBSTITUTE(INDEX(PASTE_ALL,$DF757,$L$14)," "," "),CHAR(9)," "),CHAR(10)," "),CHAR(13)," "))),"")))</f>
        <v/>
      </c>
      <c r="DW757">
        <f>IF($DM757=0,"",IF($L$15=0,"",IFERROR(IF(ISNUMBER(INDEX(PASTE_ALL,$DF757,$L$15)),INDEX(PASTE_ALL,$DF757,$L$15),IF(SUMPRODUCT(--ISNUMBER(FIND({"A","B","C","D","E","F","G","H","I","J","K","L","M","N","O","P","Q","R","S","T","U","V","W","X","Y","Z","0","1","2","3","4","5","6","7","8","9"},UPPER(TRIM(SUBSTITUTE(SUBSTITUTE(SUBSTITUTE(SUBSTITUTE(INDEX(PASTE_ALL,$DF757,$L$15)," "," "),CHAR(9)," "),CHAR(10)," "),CHAR(13)," "))))))&gt;0,TRIM(SUBSTITUTE(SUBSTITUTE(SUBSTITUTE(SUBSTITUTE(INDEX(PASTE_ALL,$DF757,$L$15)," "," "),CHAR(9)," "),CHAR(10)," "),CHAR(13)," ")),"")),"")))</f>
        <v/>
      </c>
      <c r="DX757">
        <f>IF($DM757=0,"",IF($L$16=0,"",IFERROR(IF(ISNUMBER(INDEX(PASTE_ALL,$DF757,$L$16)),INDEX(PASTE_ALL,$DF757,$L$16),SUBSTITUTE(SUBSTITUTE(TRIM(SUBSTITUTE(SUBSTITUTE(SUBSTITUTE(SUBSTITUTE(INDEX(PASTE_ALL,$DF757,$L$16)," "," "),CHAR(9)," "),CHAR(10)," "),CHAR(13)," ")),",",""),"%","")),"")))</f>
        <v/>
      </c>
      <c r="DY757">
        <f>IF($DM757=0,"",IFERROR(IF(ISNUMBER($DX757),$DX757,IF($DX757="","",IF(TRIM($DX757)="",0,IF(AND(AND(SUBSTITUTE(SUBSTITUTE(SUBSTITUTE(SUBSTITUTE(SUBSTITUTE(SUBSTITUTE(SUBSTITUTE(SUBSTITUTE(SUBSTITUTE(SUBSTITUTE(SUBSTITUTE(SUBSTITUTE(SUBSTITUTE(SUBSTITUTE(UPPER(TRIM($DX757)),"0",""),"1",""),"2",""),"3",""),"4",""),"5",""),"6",""),"7",""),"8",""),"9",""),".",""),"+",""),"-",""),"E","")="",LEN(SUBSTITUTE(SUBSTITUTE(MID(UPPER(TRIM($DX757)),1+OR(LEFT(UPPER(TRIM($DX757)),1)="+",LEFT(UPPER(TRIM($DX757)),1)="-"),999),"E+","E"),"E-","E"))=LEN(SUBSTITUTE(SUBSTITUTE(SUBSTITUTE(SUBSTITUTE(MID(UPPER(TRIM($DX757)),1+OR(LEFT(UPPER(TRIM($DX757)),1)="+",LEFT(UPPER(TRIM($DX757)),1)="-"),999),"E+","E"),"E-","E"),"+",""),"-","")),LEN(UPPER(TRIM($DX757)))-LEN(SUBSTITUTE(UPPER(TRIM($DX757)),"E",""))&lt;2,LEN(UPPER(TRIM($DX757)))-LEN(SUBSTITUTE(UPPER(TRIM($DX757)),".",""))&lt;2,IFERROR(FIND(".",UPPER(TRIM($DX757))),0)&lt;IFERROR(FIND("E",UPPER(TRIM($DX757))),999)),ISNUMBER(VALUE(TRIM($DX757)))),VALUE(TRIM($DX757)),"")))),""))</f>
        <v/>
      </c>
      <c r="DZ757">
        <f>IF($DM757=0,"",IF($L$17=0,"",IFERROR(IF(ISNUMBER(INDEX(PASTE_ALL,$DF757,$L$17)),INDEX(PASTE_ALL,$DF757,$L$17),SUBSTITUTE(SUBSTITUTE(TRIM(SUBSTITUTE(SUBSTITUTE(SUBSTITUTE(SUBSTITUTE(INDEX(PASTE_ALL,$DF757,$L$17)," "," "),CHAR(9)," "),CHAR(10)," "),CHAR(13)," ")),",",""),"%","")),"")))</f>
        <v/>
      </c>
      <c r="EA757">
        <f>IF($DM757=0,"",IFERROR(IF(ISNUMBER($DZ757),$DZ757,IF($DZ757="","",IF(TRIM($DZ757)="",0,IF(AND(AND(SUBSTITUTE(SUBSTITUTE(SUBSTITUTE(SUBSTITUTE(SUBSTITUTE(SUBSTITUTE(SUBSTITUTE(SUBSTITUTE(SUBSTITUTE(SUBSTITUTE(SUBSTITUTE(SUBSTITUTE(SUBSTITUTE(SUBSTITUTE(UPPER(TRIM($DZ757)),"0",""),"1",""),"2",""),"3",""),"4",""),"5",""),"6",""),"7",""),"8",""),"9",""),".",""),"+",""),"-",""),"E","")="",LEN(SUBSTITUTE(SUBSTITUTE(MID(UPPER(TRIM($DZ757)),1+OR(LEFT(UPPER(TRIM($DZ757)),1)="+",LEFT(UPPER(TRIM($DZ757)),1)="-"),999),"E+","E"),"E-","E"))=LEN(SUBSTITUTE(SUBSTITUTE(SUBSTITUTE(SUBSTITUTE(MID(UPPER(TRIM($DZ757)),1+OR(LEFT(UPPER(TRIM($DZ757)),1)="+",LEFT(UPPER(TRIM($DZ757)),1)="-"),999),"E+","E"),"E-","E"),"+",""),"-","")),LEN(UPPER(TRIM($DZ757)))-LEN(SUBSTITUTE(UPPER(TRIM($DZ757)),"E",""))&lt;2,LEN(UPPER(TRIM($DZ757)))-LEN(SUBSTITUTE(UPPER(TRIM($DZ757)),".",""))&lt;2,IFERROR(FIND(".",UPPER(TRIM($DZ757))),0)&lt;IFERROR(FIND("E",UPPER(TRIM($DZ757))),999)),ISNUMBER(VALUE(TRIM($DZ757)))),VALUE(TRIM($DZ757)),"")))),""))</f>
        <v/>
      </c>
      <c r="EB757">
        <f>IF($DM757=0,"",IF($L$18=0,"",IFERROR(IF(UPPER(TRIM(SUBSTITUTE(SUBSTITUTE(SUBSTITUTE(SUBSTITUTE(INDEX(PASTE_ALL,$DF757,$L$18)," "," "),CHAR(9)," "),CHAR(10)," "),CHAR(13)," ")))="READY","Ready",IF(UPPER(TRIM(SUBSTITUTE(SUBSTITUTE(SUBSTITUTE(SUBSTITUTE(INDEX(PASTE_ALL,$DF757,$L$18)," "," "),CHAR(9)," "),CHAR(10)," "),CHAR(13)," ")))="PM","PM",IF(OR(UPPER(TRIM(SUBSTITUTE(SUBSTITUTE(SUBSTITUTE(SUBSTITUTE(INDEX(PASTE_ALL,$DF757,$L$18)," "," "),CHAR(9)," "),CHAR(10)," "),CHAR(13)," ")))="OT",UPPER(TRIM(SUBSTITUTE(SUBSTITUTE(SUBSTITUTE(SUBSTITUTE(INDEX(PASTE_ALL,$DF757,$L$18)," "," "),CHAR(9)," "),CHAR(10)," "),CHAR(13)," ")))="OVERTIME",UPPER(TRIM(SUBSTITUTE(SUBSTITUTE(SUBSTITUTE(SUBSTITUTE(INDEX(PASTE_ALL,$DF757,$L$18)," "," "),CHAR(9)," "),CHAR(10)," "),CHAR(13)," ")))="TRIAL"),"OT",TRIM(SUBSTITUTE(SUBSTITUTE(SUBSTITUTE(SUBSTITUTE(INDEX(PASTE_ALL,$DF757,$L$18)," "," "),CHAR(9)," "),CHAR(10)," "),CHAR(13)," "))))),"")))</f>
        <v/>
      </c>
      <c r="EC757">
        <f>IF($DM757=0,"",IF($L$19=0,"",IFERROR(IF(ISNUMBER(INDEX(PASTE_ALL,$DF757,$L$19)),INDEX(PASTE_ALL,$DF757,$L$19),TRIM(SUBSTITUTE(SUBSTITUTE(SUBSTITUTE(SUBSTITUTE(INDEX(PASTE_ALL,$DF757,$L$19)," "," "),CHAR(9)," "),CHAR(10)," "),CHAR(13)," "))),"")))</f>
        <v/>
      </c>
      <c r="ED757">
        <f>IF($DM757=0,"",MATCH(1,INDEX(EXACT($DH$5:DH757,$DH757)*$DM$5:DM757,0),0))</f>
        <v/>
      </c>
      <c r="EE757">
        <f>IF($DM757=0,0,IF($ED757=$DE757,1,0))</f>
        <v/>
      </c>
      <c r="EF757">
        <f>EF756+$EE757</f>
        <v/>
      </c>
      <c r="EG757">
        <f>IF($DM757=0,"",INDEX($EF$5:$EF$1003,$ED757))</f>
        <v/>
      </c>
      <c r="EH757">
        <f>IF($DM757=0,"",IF($DO757&lt;&gt;"","",IFERROR(LOOKUP(2,1/(($EG$4:EG756=$EG757)*($DO$4:DO756&lt;&gt;"")),$DO$4:DO756),"")))</f>
        <v/>
      </c>
      <c r="EI757">
        <f>IF($DM757=0,"",IF($DO757&lt;&gt;"",$DO757,$EH757))</f>
        <v/>
      </c>
      <c r="EJ757">
        <f>IF($DM757=0,"",IF($EI757="",0,IF(OR(ISNUMBER($EI757),AND(AND(SUBSTITUTE(SUBSTITUTE(SUBSTITUTE(SUBSTITUTE(SUBSTITUTE(SUBSTITUTE(SUBSTITUTE(SUBSTITUTE(SUBSTITUTE(SUBSTITUTE(SUBSTITUTE(SUBSTITUTE(SUBSTITUTE(SUBSTITUTE(UPPER($EI757),"0",""),"1",""),"2",""),"3",""),"4",""),"5",""),"6",""),"7",""),"8",""),"9",""),".",""),"+",""),"-",""),"E","")="",LEN(SUBSTITUTE(SUBSTITUTE(MID(UPPER($EI757),1+OR(LEFT(UPPER($EI757),1)="+",LEFT(UPPER($EI757),1)="-"),999),"E+","E"),"E-","E"))=LEN(SUBSTITUTE(SUBSTITUTE(SUBSTITUTE(SUBSTITUTE(MID(UPPER($EI757),1+OR(LEFT(UPPER($EI757),1)="+",LEFT(UPPER($EI757),1)="-"),999),"E+","E"),"E-","E"),"+",""),"-","")),LEN(UPPER($EI757))-LEN(SUBSTITUTE(UPPER($EI757),"E",""))&lt;2,LEN(UPPER($EI757))-LEN(SUBSTITUTE(UPPER($EI757),".",""))&lt;2,IFERROR(FIND(".",UPPER($EI757)),0)&lt;IFERROR(FIND("E",UPPER($EI757)),999)),ISNUMBER(VALUE($EI757)))),1,2)))</f>
        <v/>
      </c>
      <c r="EK757">
        <f>IF($DM757=0,"",IF($EJ757=1,IF(ISNUMBER($EI757),$EI757,VALUE($EI757)),IF($EJ757=2,$DE757,0)))</f>
        <v/>
      </c>
      <c r="EL757">
        <f>IF($DM757=0,"",COUNTIF($EG$5:$EG$1003,"&lt;"&amp;$EG757)+SUMPRODUCT(($EG$5:$EG$1003=$EG757)*(($EJ$5:$EJ$1003&lt;$EJ757)+($EJ$5:$EJ$1003=$EJ757)*(($EK$5:$EK$1003&lt;$EK757)+($EK$5:$EK$1003=$EK757)*($DE$5:$DE$1003&lt;$DE757))))+1)</f>
        <v/>
      </c>
      <c r="EM757">
        <f>IF($DM757=0,"",$EL757+$EG757-1)</f>
        <v/>
      </c>
      <c r="EN757">
        <f>IF($DM757=0,0,IFERROR(MATCH(1,INDEX(--(TRIM(SUBSTITUTE(SUBSTITUTE(SUBSTITUTE(SUBSTITUTE(LINES_NAME&amp;""," "," "),CHAR(9)," "),CHAR(10)," "),CHAR(13)," "))=$DH757),0),0),0))</f>
        <v/>
      </c>
      <c r="EO757">
        <f>IF($EN757=0,0,IF(OR(UPPER(TRIM(INDEX(LINES_SCHEDULED,$EN757)&amp;""))="YES",UPPER(TRIM(INDEX(LINES_SCHEDULED,$EN757)&amp;""))="Y",UPPER(TRIM(INDEX(LINES_SCHEDULED,$EN757)&amp;""))="X"),1,0))</f>
        <v/>
      </c>
      <c r="EP757">
        <f>IF($DM757=0,"",IF(COUNTIFS($EG$5:$EG$1003,$EG757,$EB$5:$EB$1003,"Ready")&gt;0,"READY",IF(COUNTIFS($EG$5:$EG$1003,$EG757,$EB$5:$EB$1003,"PM")&gt;0,"PM",IF(COUNTIFS($EG$5:$EG$1003,$EG757,$EB$5:$EB$1003,"OT")&gt;0,"OT",""))))</f>
        <v/>
      </c>
      <c r="EQ757">
        <f>IF($EN757=0,"",UPPER(TRIM(INDEX(LINES_STATUS,$EN757)&amp;"")))</f>
        <v/>
      </c>
      <c r="ER757">
        <f>IF($DM757=0,"",IF(OR($EQ757="READY",$EQ757="PM",$EQ757="OT"),$EQ757,$EP757))</f>
        <v/>
      </c>
      <c r="ES757">
        <f>IF($DM757=0,"",IF(AND($DV757&lt;&gt;"",UPPER($DV757)&lt;&gt;"N"),"allergen",IF(ISNUMBER(SEARCH("oil",$DQ757)),"oil",IF(OR(EXACT($DS757,"A662"),EXACT($DS757,"A624")),"bulk",""))))</f>
        <v/>
      </c>
      <c r="ET757">
        <f>IF($DM757=0,"",IF(OR($EA757="",$EA757=0),"",$EA757/100))</f>
        <v/>
      </c>
      <c r="EU757">
        <f>IF(OR($ET757="",$DY757=""),"",INT($DY757*(1-$ET757)+0.5))</f>
        <v/>
      </c>
    </row>
    <row r="758">
      <c r="DA758" t="n">
        <v>754</v>
      </c>
      <c r="DB758">
        <f>IF($B$37=0,"",IFERROR(TRIM(SUBSTITUTE(SUBSTITUTE(SUBSTITUTE(SUBSTITUTE(INDEX(PASTE_ALL,754,$B$37)," "," "),CHAR(9)," "),CHAR(10)," "),CHAR(13)," ")),""))</f>
        <v/>
      </c>
      <c r="DC758">
        <f>IF(AND(754&gt;HEADER_ROW,UPPER(DB758)="LEGEND"),1,0)</f>
        <v/>
      </c>
      <c r="DE758" t="n">
        <v>754</v>
      </c>
      <c r="DF758">
        <f>HEADER_ROW+$DE758</f>
        <v/>
      </c>
      <c r="DG758">
        <f>IF(AND($DF758&lt;=1000,$DF758&lt;$B$8),1,0)</f>
        <v/>
      </c>
      <c r="DH758">
        <f>IF($DG758=1,IFERROR(INDEX($DB$5:$DB$1004,$DF758),""),"")</f>
        <v/>
      </c>
      <c r="DI758">
        <f>IF(AND($DG758=1,$DH758&lt;&gt;""),IFERROR(SUBSTITUTE(SUBSTITUTE(TRIM(SUBSTITUTE(SUBSTITUTE(SUBSTITUTE(SUBSTITUTE(IFERROR(INDEX(PASTE_ALL,$DF758,1)&amp;"","")&amp;"␟"&amp;IFERROR(INDEX(PASTE_ALL,$DF758,2)&amp;"","")&amp;"␟"&amp;IFERROR(INDEX(PASTE_ALL,$DF758,3)&amp;"","")&amp;"␟"&amp;IFERROR(INDEX(PASTE_ALL,$DF758,4)&amp;"","")&amp;"␟"&amp;IFERROR(INDEX(PASTE_ALL,$DF758,5)&amp;"","")&amp;"␟"&amp;IFERROR(INDEX(PASTE_ALL,$DF758,6)&amp;"","")&amp;"␟"&amp;IFERROR(INDEX(PASTE_ALL,$DF758,7)&amp;"","")&amp;"␟"&amp;IFERROR(INDEX(PASTE_ALL,$DF758,8)&amp;"","")&amp;"␟"&amp;IFERROR(INDEX(PASTE_ALL,$DF758,9)&amp;"","")&amp;"␟"&amp;IFERROR(INDEX(PASTE_ALL,$DF758,10)&amp;"","")&amp;"␟"&amp;IFERROR(INDEX(PASTE_ALL,$DF758,11)&amp;"","")&amp;"␟"&amp;IFERROR(INDEX(PASTE_ALL,$DF758,12)&amp;"","")&amp;"␟"&amp;IFERROR(INDEX(PASTE_ALL,$DF758,13)&amp;"","")&amp;"␟"&amp;IFERROR(INDEX(PASTE_ALL,$DF758,14)&amp;"","")&amp;"␟"&amp;IFERROR(INDEX(PASTE_ALL,$DF758,15)&amp;"","")&amp;"␟"&amp;IFERROR(INDEX(PASTE_ALL,$DF758,16)&amp;"","")&amp;"␟"&amp;IFERROR(INDEX(PASTE_ALL,$DF758,17)&amp;"","")&amp;"␟"&amp;IFERROR(INDEX(PASTE_ALL,$DF758,18)&amp;"","")&amp;"␟"&amp;IFERROR(INDEX(PASTE_ALL,$DF758,19)&amp;"","")&amp;"␟"&amp;IFERROR(INDEX(PASTE_ALL,$DF758,20)&amp;"","")&amp;"␟"&amp;IFERROR(INDEX(PASTE_ALL,$DF758,21)&amp;"","")&amp;"␟"&amp;IFERROR(INDEX(PASTE_ALL,$DF758,22)&amp;"","")&amp;"␟"&amp;IFERROR(INDEX(PASTE_ALL,$DF758,23)&amp;"","")&amp;"␟"&amp;IFERROR(INDEX(PASTE_ALL,$DF758,24)&amp;"","")&amp;"␟"&amp;IFERROR(INDEX(PASTE_ALL,$DF758,25)&amp;"","")&amp;"␟"&amp;IFERROR(INDEX(PASTE_ALL,$DF758,26)&amp;"","")&amp;"␟"&amp;IFERROR(INDEX(PASTE_ALL,$DF758,27)&amp;"","")&amp;"␟"&amp;IFERROR(INDEX(PASTE_ALL,$DF758,28)&amp;"","")&amp;"␟"&amp;IFERROR(INDEX(PASTE_ALL,$DF758,29)&amp;"","")&amp;"␟"&amp;IFERROR(INDEX(PASTE_ALL,$DF758,30)&amp;"","")&amp;"␟"&amp;IFERROR(INDEX(PASTE_ALL,$DF758,31)&amp;"","")&amp;"␟"&amp;IFERROR(INDEX(PASTE_ALL,$DF758,32)&amp;"","")&amp;"␟"&amp;IFERROR(INDEX(PASTE_ALL,$DF758,33)&amp;"","")&amp;"␟"&amp;IFERROR(INDEX(PASTE_ALL,$DF758,34)&amp;"","")&amp;"␟"&amp;IFERROR(INDEX(PASTE_ALL,$DF758,35)&amp;"","")&amp;"␟"&amp;IFERROR(INDEX(PASTE_ALL,$DF758,36)&amp;"","")&amp;"␟"&amp;IFERROR(INDEX(PASTE_ALL,$DF758,37)&amp;"","")&amp;"␟"&amp;IFERROR(INDEX(PASTE_ALL,$DF758,38)&amp;"","")&amp;"␟"&amp;IFERROR(INDEX(PASTE_ALL,$DF758,39)&amp;"","")&amp;"␟"&amp;IFERROR(INDEX(PASTE_ALL,$DF758,40)&amp;"","")&amp;"␟"&amp;IFERROR(INDEX(PASTE_ALL,$DF758,41)&amp;"","")&amp;"␟"&amp;IFERROR(INDEX(PASTE_ALL,$DF758,42)&amp;"","")&amp;"␟"&amp;IFERROR(INDEX(PASTE_ALL,$DF758,43)&amp;"","")&amp;"␟"&amp;IFERROR(INDEX(PASTE_ALL,$DF758,44)&amp;"","")&amp;"␟"&amp;IFERROR(INDEX(PASTE_ALL,$DF758,45)&amp;"","")&amp;"␟"&amp;IFERROR(INDEX(PASTE_ALL,$DF758,46)&amp;"","")&amp;"␟"&amp;IFERROR(INDEX(PASTE_ALL,$DF758,47)&amp;"","")&amp;"␟"&amp;IFERROR(INDEX(PASTE_ALL,$DF758,48)&amp;"","")&amp;"␟"&amp;IFERROR(INDEX(PASTE_ALL,$DF758,49)&amp;"","")&amp;"␟"&amp;IFERROR(INDEX(PASTE_ALL,$DF758,50)&amp;"","")&amp;"␟"&amp;IFERROR(INDEX(PASTE_ALL,$DF758,51)&amp;"","")&amp;"␟"&amp;IFERROR(INDEX(PASTE_ALL,$DF758,52)&amp;"","")&amp;"␟"&amp;IFERROR(INDEX(PASTE_ALL,$DF758,53)&amp;"","")&amp;"␟"&amp;IFERROR(INDEX(PASTE_ALL,$DF758,54)&amp;"","")&amp;"␟"&amp;IFERROR(INDEX(PASTE_ALL,$DF758,55)&amp;"","")&amp;"␟"&amp;IFERROR(INDEX(PASTE_ALL,$DF758,56)&amp;"","")&amp;"␟"&amp;IFERROR(INDEX(PASTE_ALL,$DF758,57)&amp;"","")&amp;"␟"&amp;IFERROR(INDEX(PASTE_ALL,$DF758,58)&amp;"","")&amp;"␟"&amp;IFERROR(INDEX(PASTE_ALL,$DF758,59)&amp;"","")&amp;"␟"&amp;IFERROR(INDEX(PASTE_ALL,$DF758,60)&amp;"","")," "," "),CHAR(9)," "),CHAR(10)," "),CHAR(13)," "))," ␟","␟"),"␟ ","␟"),"#"&amp;$DE758),"")</f>
        <v/>
      </c>
      <c r="DJ758">
        <f>IF($DI758="",0,IF(SUMPRODUCT(--EXACT($DI$4:DI757,$DI758))&gt;0,1,0))</f>
        <v/>
      </c>
      <c r="DK758">
        <f>IF(AND($DI758&lt;&gt;"",$DJ758=0),1,0)</f>
        <v/>
      </c>
      <c r="DL758">
        <f>DL757+$DK758</f>
        <v/>
      </c>
      <c r="DM758">
        <f>IF(AND($DK758=1,$DL758&lt;=600),1,0)</f>
        <v/>
      </c>
      <c r="DN758">
        <f>IF($DM758=0,"",IF($L$6=0,"",IFERROR(IF(ISNUMBER(INDEX(PASTE_ALL,$DF758,$L$6)),INDEX(PASTE_ALL,$DF758,$L$6),TRIM(SUBSTITUTE(SUBSTITUTE(SUBSTITUTE(SUBSTITUTE(INDEX(PASTE_ALL,$DF758,$L$6)," "," "),CHAR(9)," "),CHAR(10)," "),CHAR(13)," "))),"")))</f>
        <v/>
      </c>
      <c r="DO758">
        <f>IF($DM758=0,"",IF($L$7=0,"",IFERROR(IF(ISNUMBER(INDEX(PASTE_ALL,$DF758,$L$7)),INDEX(PASTE_ALL,$DF758,$L$7),TRIM(SUBSTITUTE(SUBSTITUTE(SUBSTITUTE(SUBSTITUTE(INDEX(PASTE_ALL,$DF758,$L$7)," "," "),CHAR(9)," "),CHAR(10)," "),CHAR(13)," "))),"")))</f>
        <v/>
      </c>
      <c r="DP758">
        <f>IF($DM758=0,"",IF($L$8=0,"",IFERROR(IF(ISNUMBER(INDEX(PASTE_ALL,$DF758,$L$8)),INDEX(PASTE_ALL,$DF758,$L$8),TRIM(SUBSTITUTE(SUBSTITUTE(SUBSTITUTE(SUBSTITUTE(INDEX(PASTE_ALL,$DF758,$L$8)," "," "),CHAR(9)," "),CHAR(10)," "),CHAR(13)," "))),"")))</f>
        <v/>
      </c>
      <c r="DQ758">
        <f>IF($DM758=0,"",IF($L$9=0,"",IFERROR(IF(ISNUMBER(INDEX(PASTE_ALL,$DF758,$L$9)),INDEX(PASTE_ALL,$DF758,$L$9),TRIM(SUBSTITUTE(SUBSTITUTE(SUBSTITUTE(SUBSTITUTE(INDEX(PASTE_ALL,$DF758,$L$9)," "," "),CHAR(9)," "),CHAR(10)," "),CHAR(13)," "))),"")))</f>
        <v/>
      </c>
      <c r="DR758">
        <f>IF($DM758=0,"",IF($L$10=0,"",IFERROR(IF(ISNUMBER(INDEX(PASTE_ALL,$DF758,$L$10)),INDEX(PASTE_ALL,$DF758,$L$10),TRIM(SUBSTITUTE(SUBSTITUTE(SUBSTITUTE(SUBSTITUTE(INDEX(PASTE_ALL,$DF758,$L$10)," "," "),CHAR(9)," "),CHAR(10)," "),CHAR(13)," "))),"")))</f>
        <v/>
      </c>
      <c r="DS758">
        <f>IF($DM758=0,"",IF($L$11=0,"",IFERROR(IF(ISNUMBER(INDEX(PASTE_ALL,$DF758,$L$11)),INDEX(PASTE_ALL,$DF758,$L$11),TRIM(SUBSTITUTE(SUBSTITUTE(SUBSTITUTE(SUBSTITUTE(INDEX(PASTE_ALL,$DF758,$L$11)," "," "),CHAR(9)," "),CHAR(10)," "),CHAR(13)," "))),"")))</f>
        <v/>
      </c>
      <c r="DT758">
        <f>IF($DM758=0,"",IF($L$12=0,"",IFERROR(IF(ISNUMBER(INDEX(PASTE_ALL,$DF758,$L$12)),INDEX(PASTE_ALL,$DF758,$L$12),TRIM(SUBSTITUTE(SUBSTITUTE(SUBSTITUTE(SUBSTITUTE(INDEX(PASTE_ALL,$DF758,$L$12)," "," "),CHAR(9)," "),CHAR(10)," "),CHAR(13)," "))),"")))</f>
        <v/>
      </c>
      <c r="DU758">
        <f>IF($DM758=0,"",IF($L$13=0,"",IFERROR(IF(ISNUMBER(INDEX(PASTE_ALL,$DF758,$L$13)),INDEX(PASTE_ALL,$DF758,$L$13),TRIM(SUBSTITUTE(SUBSTITUTE(SUBSTITUTE(SUBSTITUTE(INDEX(PASTE_ALL,$DF758,$L$13)," "," "),CHAR(9)," "),CHAR(10)," "),CHAR(13)," "))),"")))</f>
        <v/>
      </c>
      <c r="DV758">
        <f>IF($DM758=0,"",IF($L$14=0,"",IFERROR(IF(ISNUMBER(INDEX(PASTE_ALL,$DF758,$L$14)),INDEX(PASTE_ALL,$DF758,$L$14),TRIM(SUBSTITUTE(SUBSTITUTE(SUBSTITUTE(SUBSTITUTE(INDEX(PASTE_ALL,$DF758,$L$14)," "," "),CHAR(9)," "),CHAR(10)," "),CHAR(13)," "))),"")))</f>
        <v/>
      </c>
      <c r="DW758">
        <f>IF($DM758=0,"",IF($L$15=0,"",IFERROR(IF(ISNUMBER(INDEX(PASTE_ALL,$DF758,$L$15)),INDEX(PASTE_ALL,$DF758,$L$15),IF(SUMPRODUCT(--ISNUMBER(FIND({"A","B","C","D","E","F","G","H","I","J","K","L","M","N","O","P","Q","R","S","T","U","V","W","X","Y","Z","0","1","2","3","4","5","6","7","8","9"},UPPER(TRIM(SUBSTITUTE(SUBSTITUTE(SUBSTITUTE(SUBSTITUTE(INDEX(PASTE_ALL,$DF758,$L$15)," "," "),CHAR(9)," "),CHAR(10)," "),CHAR(13)," "))))))&gt;0,TRIM(SUBSTITUTE(SUBSTITUTE(SUBSTITUTE(SUBSTITUTE(INDEX(PASTE_ALL,$DF758,$L$15)," "," "),CHAR(9)," "),CHAR(10)," "),CHAR(13)," ")),"")),"")))</f>
        <v/>
      </c>
      <c r="DX758">
        <f>IF($DM758=0,"",IF($L$16=0,"",IFERROR(IF(ISNUMBER(INDEX(PASTE_ALL,$DF758,$L$16)),INDEX(PASTE_ALL,$DF758,$L$16),SUBSTITUTE(SUBSTITUTE(TRIM(SUBSTITUTE(SUBSTITUTE(SUBSTITUTE(SUBSTITUTE(INDEX(PASTE_ALL,$DF758,$L$16)," "," "),CHAR(9)," "),CHAR(10)," "),CHAR(13)," ")),",",""),"%","")),"")))</f>
        <v/>
      </c>
      <c r="DY758">
        <f>IF($DM758=0,"",IFERROR(IF(ISNUMBER($DX758),$DX758,IF($DX758="","",IF(TRIM($DX758)="",0,IF(AND(AND(SUBSTITUTE(SUBSTITUTE(SUBSTITUTE(SUBSTITUTE(SUBSTITUTE(SUBSTITUTE(SUBSTITUTE(SUBSTITUTE(SUBSTITUTE(SUBSTITUTE(SUBSTITUTE(SUBSTITUTE(SUBSTITUTE(SUBSTITUTE(UPPER(TRIM($DX758)),"0",""),"1",""),"2",""),"3",""),"4",""),"5",""),"6",""),"7",""),"8",""),"9",""),".",""),"+",""),"-",""),"E","")="",LEN(SUBSTITUTE(SUBSTITUTE(MID(UPPER(TRIM($DX758)),1+OR(LEFT(UPPER(TRIM($DX758)),1)="+",LEFT(UPPER(TRIM($DX758)),1)="-"),999),"E+","E"),"E-","E"))=LEN(SUBSTITUTE(SUBSTITUTE(SUBSTITUTE(SUBSTITUTE(MID(UPPER(TRIM($DX758)),1+OR(LEFT(UPPER(TRIM($DX758)),1)="+",LEFT(UPPER(TRIM($DX758)),1)="-"),999),"E+","E"),"E-","E"),"+",""),"-","")),LEN(UPPER(TRIM($DX758)))-LEN(SUBSTITUTE(UPPER(TRIM($DX758)),"E",""))&lt;2,LEN(UPPER(TRIM($DX758)))-LEN(SUBSTITUTE(UPPER(TRIM($DX758)),".",""))&lt;2,IFERROR(FIND(".",UPPER(TRIM($DX758))),0)&lt;IFERROR(FIND("E",UPPER(TRIM($DX758))),999)),ISNUMBER(VALUE(TRIM($DX758)))),VALUE(TRIM($DX758)),"")))),""))</f>
        <v/>
      </c>
      <c r="DZ758">
        <f>IF($DM758=0,"",IF($L$17=0,"",IFERROR(IF(ISNUMBER(INDEX(PASTE_ALL,$DF758,$L$17)),INDEX(PASTE_ALL,$DF758,$L$17),SUBSTITUTE(SUBSTITUTE(TRIM(SUBSTITUTE(SUBSTITUTE(SUBSTITUTE(SUBSTITUTE(INDEX(PASTE_ALL,$DF758,$L$17)," "," "),CHAR(9)," "),CHAR(10)," "),CHAR(13)," ")),",",""),"%","")),"")))</f>
        <v/>
      </c>
      <c r="EA758">
        <f>IF($DM758=0,"",IFERROR(IF(ISNUMBER($DZ758),$DZ758,IF($DZ758="","",IF(TRIM($DZ758)="",0,IF(AND(AND(SUBSTITUTE(SUBSTITUTE(SUBSTITUTE(SUBSTITUTE(SUBSTITUTE(SUBSTITUTE(SUBSTITUTE(SUBSTITUTE(SUBSTITUTE(SUBSTITUTE(SUBSTITUTE(SUBSTITUTE(SUBSTITUTE(SUBSTITUTE(UPPER(TRIM($DZ758)),"0",""),"1",""),"2",""),"3",""),"4",""),"5",""),"6",""),"7",""),"8",""),"9",""),".",""),"+",""),"-",""),"E","")="",LEN(SUBSTITUTE(SUBSTITUTE(MID(UPPER(TRIM($DZ758)),1+OR(LEFT(UPPER(TRIM($DZ758)),1)="+",LEFT(UPPER(TRIM($DZ758)),1)="-"),999),"E+","E"),"E-","E"))=LEN(SUBSTITUTE(SUBSTITUTE(SUBSTITUTE(SUBSTITUTE(MID(UPPER(TRIM($DZ758)),1+OR(LEFT(UPPER(TRIM($DZ758)),1)="+",LEFT(UPPER(TRIM($DZ758)),1)="-"),999),"E+","E"),"E-","E"),"+",""),"-","")),LEN(UPPER(TRIM($DZ758)))-LEN(SUBSTITUTE(UPPER(TRIM($DZ758)),"E",""))&lt;2,LEN(UPPER(TRIM($DZ758)))-LEN(SUBSTITUTE(UPPER(TRIM($DZ758)),".",""))&lt;2,IFERROR(FIND(".",UPPER(TRIM($DZ758))),0)&lt;IFERROR(FIND("E",UPPER(TRIM($DZ758))),999)),ISNUMBER(VALUE(TRIM($DZ758)))),VALUE(TRIM($DZ758)),"")))),""))</f>
        <v/>
      </c>
      <c r="EB758">
        <f>IF($DM758=0,"",IF($L$18=0,"",IFERROR(IF(UPPER(TRIM(SUBSTITUTE(SUBSTITUTE(SUBSTITUTE(SUBSTITUTE(INDEX(PASTE_ALL,$DF758,$L$18)," "," "),CHAR(9)," "),CHAR(10)," "),CHAR(13)," ")))="READY","Ready",IF(UPPER(TRIM(SUBSTITUTE(SUBSTITUTE(SUBSTITUTE(SUBSTITUTE(INDEX(PASTE_ALL,$DF758,$L$18)," "," "),CHAR(9)," "),CHAR(10)," "),CHAR(13)," ")))="PM","PM",IF(OR(UPPER(TRIM(SUBSTITUTE(SUBSTITUTE(SUBSTITUTE(SUBSTITUTE(INDEX(PASTE_ALL,$DF758,$L$18)," "," "),CHAR(9)," "),CHAR(10)," "),CHAR(13)," ")))="OT",UPPER(TRIM(SUBSTITUTE(SUBSTITUTE(SUBSTITUTE(SUBSTITUTE(INDEX(PASTE_ALL,$DF758,$L$18)," "," "),CHAR(9)," "),CHAR(10)," "),CHAR(13)," ")))="OVERTIME",UPPER(TRIM(SUBSTITUTE(SUBSTITUTE(SUBSTITUTE(SUBSTITUTE(INDEX(PASTE_ALL,$DF758,$L$18)," "," "),CHAR(9)," "),CHAR(10)," "),CHAR(13)," ")))="TRIAL"),"OT",TRIM(SUBSTITUTE(SUBSTITUTE(SUBSTITUTE(SUBSTITUTE(INDEX(PASTE_ALL,$DF758,$L$18)," "," "),CHAR(9)," "),CHAR(10)," "),CHAR(13)," "))))),"")))</f>
        <v/>
      </c>
      <c r="EC758">
        <f>IF($DM758=0,"",IF($L$19=0,"",IFERROR(IF(ISNUMBER(INDEX(PASTE_ALL,$DF758,$L$19)),INDEX(PASTE_ALL,$DF758,$L$19),TRIM(SUBSTITUTE(SUBSTITUTE(SUBSTITUTE(SUBSTITUTE(INDEX(PASTE_ALL,$DF758,$L$19)," "," "),CHAR(9)," "),CHAR(10)," "),CHAR(13)," "))),"")))</f>
        <v/>
      </c>
      <c r="ED758">
        <f>IF($DM758=0,"",MATCH(1,INDEX(EXACT($DH$5:DH758,$DH758)*$DM$5:DM758,0),0))</f>
        <v/>
      </c>
      <c r="EE758">
        <f>IF($DM758=0,0,IF($ED758=$DE758,1,0))</f>
        <v/>
      </c>
      <c r="EF758">
        <f>EF757+$EE758</f>
        <v/>
      </c>
      <c r="EG758">
        <f>IF($DM758=0,"",INDEX($EF$5:$EF$1003,$ED758))</f>
        <v/>
      </c>
      <c r="EH758">
        <f>IF($DM758=0,"",IF($DO758&lt;&gt;"","",IFERROR(LOOKUP(2,1/(($EG$4:EG757=$EG758)*($DO$4:DO757&lt;&gt;"")),$DO$4:DO757),"")))</f>
        <v/>
      </c>
      <c r="EI758">
        <f>IF($DM758=0,"",IF($DO758&lt;&gt;"",$DO758,$EH758))</f>
        <v/>
      </c>
      <c r="EJ758">
        <f>IF($DM758=0,"",IF($EI758="",0,IF(OR(ISNUMBER($EI758),AND(AND(SUBSTITUTE(SUBSTITUTE(SUBSTITUTE(SUBSTITUTE(SUBSTITUTE(SUBSTITUTE(SUBSTITUTE(SUBSTITUTE(SUBSTITUTE(SUBSTITUTE(SUBSTITUTE(SUBSTITUTE(SUBSTITUTE(SUBSTITUTE(UPPER($EI758),"0",""),"1",""),"2",""),"3",""),"4",""),"5",""),"6",""),"7",""),"8",""),"9",""),".",""),"+",""),"-",""),"E","")="",LEN(SUBSTITUTE(SUBSTITUTE(MID(UPPER($EI758),1+OR(LEFT(UPPER($EI758),1)="+",LEFT(UPPER($EI758),1)="-"),999),"E+","E"),"E-","E"))=LEN(SUBSTITUTE(SUBSTITUTE(SUBSTITUTE(SUBSTITUTE(MID(UPPER($EI758),1+OR(LEFT(UPPER($EI758),1)="+",LEFT(UPPER($EI758),1)="-"),999),"E+","E"),"E-","E"),"+",""),"-","")),LEN(UPPER($EI758))-LEN(SUBSTITUTE(UPPER($EI758),"E",""))&lt;2,LEN(UPPER($EI758))-LEN(SUBSTITUTE(UPPER($EI758),".",""))&lt;2,IFERROR(FIND(".",UPPER($EI758)),0)&lt;IFERROR(FIND("E",UPPER($EI758)),999)),ISNUMBER(VALUE($EI758)))),1,2)))</f>
        <v/>
      </c>
      <c r="EK758">
        <f>IF($DM758=0,"",IF($EJ758=1,IF(ISNUMBER($EI758),$EI758,VALUE($EI758)),IF($EJ758=2,$DE758,0)))</f>
        <v/>
      </c>
      <c r="EL758">
        <f>IF($DM758=0,"",COUNTIF($EG$5:$EG$1003,"&lt;"&amp;$EG758)+SUMPRODUCT(($EG$5:$EG$1003=$EG758)*(($EJ$5:$EJ$1003&lt;$EJ758)+($EJ$5:$EJ$1003=$EJ758)*(($EK$5:$EK$1003&lt;$EK758)+($EK$5:$EK$1003=$EK758)*($DE$5:$DE$1003&lt;$DE758))))+1)</f>
        <v/>
      </c>
      <c r="EM758">
        <f>IF($DM758=0,"",$EL758+$EG758-1)</f>
        <v/>
      </c>
      <c r="EN758">
        <f>IF($DM758=0,0,IFERROR(MATCH(1,INDEX(--(TRIM(SUBSTITUTE(SUBSTITUTE(SUBSTITUTE(SUBSTITUTE(LINES_NAME&amp;""," "," "),CHAR(9)," "),CHAR(10)," "),CHAR(13)," "))=$DH758),0),0),0))</f>
        <v/>
      </c>
      <c r="EO758">
        <f>IF($EN758=0,0,IF(OR(UPPER(TRIM(INDEX(LINES_SCHEDULED,$EN758)&amp;""))="YES",UPPER(TRIM(INDEX(LINES_SCHEDULED,$EN758)&amp;""))="Y",UPPER(TRIM(INDEX(LINES_SCHEDULED,$EN758)&amp;""))="X"),1,0))</f>
        <v/>
      </c>
      <c r="EP758">
        <f>IF($DM758=0,"",IF(COUNTIFS($EG$5:$EG$1003,$EG758,$EB$5:$EB$1003,"Ready")&gt;0,"READY",IF(COUNTIFS($EG$5:$EG$1003,$EG758,$EB$5:$EB$1003,"PM")&gt;0,"PM",IF(COUNTIFS($EG$5:$EG$1003,$EG758,$EB$5:$EB$1003,"OT")&gt;0,"OT",""))))</f>
        <v/>
      </c>
      <c r="EQ758">
        <f>IF($EN758=0,"",UPPER(TRIM(INDEX(LINES_STATUS,$EN758)&amp;"")))</f>
        <v/>
      </c>
      <c r="ER758">
        <f>IF($DM758=0,"",IF(OR($EQ758="READY",$EQ758="PM",$EQ758="OT"),$EQ758,$EP758))</f>
        <v/>
      </c>
      <c r="ES758">
        <f>IF($DM758=0,"",IF(AND($DV758&lt;&gt;"",UPPER($DV758)&lt;&gt;"N"),"allergen",IF(ISNUMBER(SEARCH("oil",$DQ758)),"oil",IF(OR(EXACT($DS758,"A662"),EXACT($DS758,"A624")),"bulk",""))))</f>
        <v/>
      </c>
      <c r="ET758">
        <f>IF($DM758=0,"",IF(OR($EA758="",$EA758=0),"",$EA758/100))</f>
        <v/>
      </c>
      <c r="EU758">
        <f>IF(OR($ET758="",$DY758=""),"",INT($DY758*(1-$ET758)+0.5))</f>
        <v/>
      </c>
    </row>
    <row r="759">
      <c r="DA759" t="n">
        <v>755</v>
      </c>
      <c r="DB759">
        <f>IF($B$37=0,"",IFERROR(TRIM(SUBSTITUTE(SUBSTITUTE(SUBSTITUTE(SUBSTITUTE(INDEX(PASTE_ALL,755,$B$37)," "," "),CHAR(9)," "),CHAR(10)," "),CHAR(13)," ")),""))</f>
        <v/>
      </c>
      <c r="DC759">
        <f>IF(AND(755&gt;HEADER_ROW,UPPER(DB759)="LEGEND"),1,0)</f>
        <v/>
      </c>
      <c r="DE759" t="n">
        <v>755</v>
      </c>
      <c r="DF759">
        <f>HEADER_ROW+$DE759</f>
        <v/>
      </c>
      <c r="DG759">
        <f>IF(AND($DF759&lt;=1000,$DF759&lt;$B$8),1,0)</f>
        <v/>
      </c>
      <c r="DH759">
        <f>IF($DG759=1,IFERROR(INDEX($DB$5:$DB$1004,$DF759),""),"")</f>
        <v/>
      </c>
      <c r="DI759">
        <f>IF(AND($DG759=1,$DH759&lt;&gt;""),IFERROR(SUBSTITUTE(SUBSTITUTE(TRIM(SUBSTITUTE(SUBSTITUTE(SUBSTITUTE(SUBSTITUTE(IFERROR(INDEX(PASTE_ALL,$DF759,1)&amp;"","")&amp;"␟"&amp;IFERROR(INDEX(PASTE_ALL,$DF759,2)&amp;"","")&amp;"␟"&amp;IFERROR(INDEX(PASTE_ALL,$DF759,3)&amp;"","")&amp;"␟"&amp;IFERROR(INDEX(PASTE_ALL,$DF759,4)&amp;"","")&amp;"␟"&amp;IFERROR(INDEX(PASTE_ALL,$DF759,5)&amp;"","")&amp;"␟"&amp;IFERROR(INDEX(PASTE_ALL,$DF759,6)&amp;"","")&amp;"␟"&amp;IFERROR(INDEX(PASTE_ALL,$DF759,7)&amp;"","")&amp;"␟"&amp;IFERROR(INDEX(PASTE_ALL,$DF759,8)&amp;"","")&amp;"␟"&amp;IFERROR(INDEX(PASTE_ALL,$DF759,9)&amp;"","")&amp;"␟"&amp;IFERROR(INDEX(PASTE_ALL,$DF759,10)&amp;"","")&amp;"␟"&amp;IFERROR(INDEX(PASTE_ALL,$DF759,11)&amp;"","")&amp;"␟"&amp;IFERROR(INDEX(PASTE_ALL,$DF759,12)&amp;"","")&amp;"␟"&amp;IFERROR(INDEX(PASTE_ALL,$DF759,13)&amp;"","")&amp;"␟"&amp;IFERROR(INDEX(PASTE_ALL,$DF759,14)&amp;"","")&amp;"␟"&amp;IFERROR(INDEX(PASTE_ALL,$DF759,15)&amp;"","")&amp;"␟"&amp;IFERROR(INDEX(PASTE_ALL,$DF759,16)&amp;"","")&amp;"␟"&amp;IFERROR(INDEX(PASTE_ALL,$DF759,17)&amp;"","")&amp;"␟"&amp;IFERROR(INDEX(PASTE_ALL,$DF759,18)&amp;"","")&amp;"␟"&amp;IFERROR(INDEX(PASTE_ALL,$DF759,19)&amp;"","")&amp;"␟"&amp;IFERROR(INDEX(PASTE_ALL,$DF759,20)&amp;"","")&amp;"␟"&amp;IFERROR(INDEX(PASTE_ALL,$DF759,21)&amp;"","")&amp;"␟"&amp;IFERROR(INDEX(PASTE_ALL,$DF759,22)&amp;"","")&amp;"␟"&amp;IFERROR(INDEX(PASTE_ALL,$DF759,23)&amp;"","")&amp;"␟"&amp;IFERROR(INDEX(PASTE_ALL,$DF759,24)&amp;"","")&amp;"␟"&amp;IFERROR(INDEX(PASTE_ALL,$DF759,25)&amp;"","")&amp;"␟"&amp;IFERROR(INDEX(PASTE_ALL,$DF759,26)&amp;"","")&amp;"␟"&amp;IFERROR(INDEX(PASTE_ALL,$DF759,27)&amp;"","")&amp;"␟"&amp;IFERROR(INDEX(PASTE_ALL,$DF759,28)&amp;"","")&amp;"␟"&amp;IFERROR(INDEX(PASTE_ALL,$DF759,29)&amp;"","")&amp;"␟"&amp;IFERROR(INDEX(PASTE_ALL,$DF759,30)&amp;"","")&amp;"␟"&amp;IFERROR(INDEX(PASTE_ALL,$DF759,31)&amp;"","")&amp;"␟"&amp;IFERROR(INDEX(PASTE_ALL,$DF759,32)&amp;"","")&amp;"␟"&amp;IFERROR(INDEX(PASTE_ALL,$DF759,33)&amp;"","")&amp;"␟"&amp;IFERROR(INDEX(PASTE_ALL,$DF759,34)&amp;"","")&amp;"␟"&amp;IFERROR(INDEX(PASTE_ALL,$DF759,35)&amp;"","")&amp;"␟"&amp;IFERROR(INDEX(PASTE_ALL,$DF759,36)&amp;"","")&amp;"␟"&amp;IFERROR(INDEX(PASTE_ALL,$DF759,37)&amp;"","")&amp;"␟"&amp;IFERROR(INDEX(PASTE_ALL,$DF759,38)&amp;"","")&amp;"␟"&amp;IFERROR(INDEX(PASTE_ALL,$DF759,39)&amp;"","")&amp;"␟"&amp;IFERROR(INDEX(PASTE_ALL,$DF759,40)&amp;"","")&amp;"␟"&amp;IFERROR(INDEX(PASTE_ALL,$DF759,41)&amp;"","")&amp;"␟"&amp;IFERROR(INDEX(PASTE_ALL,$DF759,42)&amp;"","")&amp;"␟"&amp;IFERROR(INDEX(PASTE_ALL,$DF759,43)&amp;"","")&amp;"␟"&amp;IFERROR(INDEX(PASTE_ALL,$DF759,44)&amp;"","")&amp;"␟"&amp;IFERROR(INDEX(PASTE_ALL,$DF759,45)&amp;"","")&amp;"␟"&amp;IFERROR(INDEX(PASTE_ALL,$DF759,46)&amp;"","")&amp;"␟"&amp;IFERROR(INDEX(PASTE_ALL,$DF759,47)&amp;"","")&amp;"␟"&amp;IFERROR(INDEX(PASTE_ALL,$DF759,48)&amp;"","")&amp;"␟"&amp;IFERROR(INDEX(PASTE_ALL,$DF759,49)&amp;"","")&amp;"␟"&amp;IFERROR(INDEX(PASTE_ALL,$DF759,50)&amp;"","")&amp;"␟"&amp;IFERROR(INDEX(PASTE_ALL,$DF759,51)&amp;"","")&amp;"␟"&amp;IFERROR(INDEX(PASTE_ALL,$DF759,52)&amp;"","")&amp;"␟"&amp;IFERROR(INDEX(PASTE_ALL,$DF759,53)&amp;"","")&amp;"␟"&amp;IFERROR(INDEX(PASTE_ALL,$DF759,54)&amp;"","")&amp;"␟"&amp;IFERROR(INDEX(PASTE_ALL,$DF759,55)&amp;"","")&amp;"␟"&amp;IFERROR(INDEX(PASTE_ALL,$DF759,56)&amp;"","")&amp;"␟"&amp;IFERROR(INDEX(PASTE_ALL,$DF759,57)&amp;"","")&amp;"␟"&amp;IFERROR(INDEX(PASTE_ALL,$DF759,58)&amp;"","")&amp;"␟"&amp;IFERROR(INDEX(PASTE_ALL,$DF759,59)&amp;"","")&amp;"␟"&amp;IFERROR(INDEX(PASTE_ALL,$DF759,60)&amp;"","")," "," "),CHAR(9)," "),CHAR(10)," "),CHAR(13)," "))," ␟","␟"),"␟ ","␟"),"#"&amp;$DE759),"")</f>
        <v/>
      </c>
      <c r="DJ759">
        <f>IF($DI759="",0,IF(SUMPRODUCT(--EXACT($DI$4:DI758,$DI759))&gt;0,1,0))</f>
        <v/>
      </c>
      <c r="DK759">
        <f>IF(AND($DI759&lt;&gt;"",$DJ759=0),1,0)</f>
        <v/>
      </c>
      <c r="DL759">
        <f>DL758+$DK759</f>
        <v/>
      </c>
      <c r="DM759">
        <f>IF(AND($DK759=1,$DL759&lt;=600),1,0)</f>
        <v/>
      </c>
      <c r="DN759">
        <f>IF($DM759=0,"",IF($L$6=0,"",IFERROR(IF(ISNUMBER(INDEX(PASTE_ALL,$DF759,$L$6)),INDEX(PASTE_ALL,$DF759,$L$6),TRIM(SUBSTITUTE(SUBSTITUTE(SUBSTITUTE(SUBSTITUTE(INDEX(PASTE_ALL,$DF759,$L$6)," "," "),CHAR(9)," "),CHAR(10)," "),CHAR(13)," "))),"")))</f>
        <v/>
      </c>
      <c r="DO759">
        <f>IF($DM759=0,"",IF($L$7=0,"",IFERROR(IF(ISNUMBER(INDEX(PASTE_ALL,$DF759,$L$7)),INDEX(PASTE_ALL,$DF759,$L$7),TRIM(SUBSTITUTE(SUBSTITUTE(SUBSTITUTE(SUBSTITUTE(INDEX(PASTE_ALL,$DF759,$L$7)," "," "),CHAR(9)," "),CHAR(10)," "),CHAR(13)," "))),"")))</f>
        <v/>
      </c>
      <c r="DP759">
        <f>IF($DM759=0,"",IF($L$8=0,"",IFERROR(IF(ISNUMBER(INDEX(PASTE_ALL,$DF759,$L$8)),INDEX(PASTE_ALL,$DF759,$L$8),TRIM(SUBSTITUTE(SUBSTITUTE(SUBSTITUTE(SUBSTITUTE(INDEX(PASTE_ALL,$DF759,$L$8)," "," "),CHAR(9)," "),CHAR(10)," "),CHAR(13)," "))),"")))</f>
        <v/>
      </c>
      <c r="DQ759">
        <f>IF($DM759=0,"",IF($L$9=0,"",IFERROR(IF(ISNUMBER(INDEX(PASTE_ALL,$DF759,$L$9)),INDEX(PASTE_ALL,$DF759,$L$9),TRIM(SUBSTITUTE(SUBSTITUTE(SUBSTITUTE(SUBSTITUTE(INDEX(PASTE_ALL,$DF759,$L$9)," "," "),CHAR(9)," "),CHAR(10)," "),CHAR(13)," "))),"")))</f>
        <v/>
      </c>
      <c r="DR759">
        <f>IF($DM759=0,"",IF($L$10=0,"",IFERROR(IF(ISNUMBER(INDEX(PASTE_ALL,$DF759,$L$10)),INDEX(PASTE_ALL,$DF759,$L$10),TRIM(SUBSTITUTE(SUBSTITUTE(SUBSTITUTE(SUBSTITUTE(INDEX(PASTE_ALL,$DF759,$L$10)," "," "),CHAR(9)," "),CHAR(10)," "),CHAR(13)," "))),"")))</f>
        <v/>
      </c>
      <c r="DS759">
        <f>IF($DM759=0,"",IF($L$11=0,"",IFERROR(IF(ISNUMBER(INDEX(PASTE_ALL,$DF759,$L$11)),INDEX(PASTE_ALL,$DF759,$L$11),TRIM(SUBSTITUTE(SUBSTITUTE(SUBSTITUTE(SUBSTITUTE(INDEX(PASTE_ALL,$DF759,$L$11)," "," "),CHAR(9)," "),CHAR(10)," "),CHAR(13)," "))),"")))</f>
        <v/>
      </c>
      <c r="DT759">
        <f>IF($DM759=0,"",IF($L$12=0,"",IFERROR(IF(ISNUMBER(INDEX(PASTE_ALL,$DF759,$L$12)),INDEX(PASTE_ALL,$DF759,$L$12),TRIM(SUBSTITUTE(SUBSTITUTE(SUBSTITUTE(SUBSTITUTE(INDEX(PASTE_ALL,$DF759,$L$12)," "," "),CHAR(9)," "),CHAR(10)," "),CHAR(13)," "))),"")))</f>
        <v/>
      </c>
      <c r="DU759">
        <f>IF($DM759=0,"",IF($L$13=0,"",IFERROR(IF(ISNUMBER(INDEX(PASTE_ALL,$DF759,$L$13)),INDEX(PASTE_ALL,$DF759,$L$13),TRIM(SUBSTITUTE(SUBSTITUTE(SUBSTITUTE(SUBSTITUTE(INDEX(PASTE_ALL,$DF759,$L$13)," "," "),CHAR(9)," "),CHAR(10)," "),CHAR(13)," "))),"")))</f>
        <v/>
      </c>
      <c r="DV759">
        <f>IF($DM759=0,"",IF($L$14=0,"",IFERROR(IF(ISNUMBER(INDEX(PASTE_ALL,$DF759,$L$14)),INDEX(PASTE_ALL,$DF759,$L$14),TRIM(SUBSTITUTE(SUBSTITUTE(SUBSTITUTE(SUBSTITUTE(INDEX(PASTE_ALL,$DF759,$L$14)," "," "),CHAR(9)," "),CHAR(10)," "),CHAR(13)," "))),"")))</f>
        <v/>
      </c>
      <c r="DW759">
        <f>IF($DM759=0,"",IF($L$15=0,"",IFERROR(IF(ISNUMBER(INDEX(PASTE_ALL,$DF759,$L$15)),INDEX(PASTE_ALL,$DF759,$L$15),IF(SUMPRODUCT(--ISNUMBER(FIND({"A","B","C","D","E","F","G","H","I","J","K","L","M","N","O","P","Q","R","S","T","U","V","W","X","Y","Z","0","1","2","3","4","5","6","7","8","9"},UPPER(TRIM(SUBSTITUTE(SUBSTITUTE(SUBSTITUTE(SUBSTITUTE(INDEX(PASTE_ALL,$DF759,$L$15)," "," "),CHAR(9)," "),CHAR(10)," "),CHAR(13)," "))))))&gt;0,TRIM(SUBSTITUTE(SUBSTITUTE(SUBSTITUTE(SUBSTITUTE(INDEX(PASTE_ALL,$DF759,$L$15)," "," "),CHAR(9)," "),CHAR(10)," "),CHAR(13)," ")),"")),"")))</f>
        <v/>
      </c>
      <c r="DX759">
        <f>IF($DM759=0,"",IF($L$16=0,"",IFERROR(IF(ISNUMBER(INDEX(PASTE_ALL,$DF759,$L$16)),INDEX(PASTE_ALL,$DF759,$L$16),SUBSTITUTE(SUBSTITUTE(TRIM(SUBSTITUTE(SUBSTITUTE(SUBSTITUTE(SUBSTITUTE(INDEX(PASTE_ALL,$DF759,$L$16)," "," "),CHAR(9)," "),CHAR(10)," "),CHAR(13)," ")),",",""),"%","")),"")))</f>
        <v/>
      </c>
      <c r="DY759">
        <f>IF($DM759=0,"",IFERROR(IF(ISNUMBER($DX759),$DX759,IF($DX759="","",IF(TRIM($DX759)="",0,IF(AND(AND(SUBSTITUTE(SUBSTITUTE(SUBSTITUTE(SUBSTITUTE(SUBSTITUTE(SUBSTITUTE(SUBSTITUTE(SUBSTITUTE(SUBSTITUTE(SUBSTITUTE(SUBSTITUTE(SUBSTITUTE(SUBSTITUTE(SUBSTITUTE(UPPER(TRIM($DX759)),"0",""),"1",""),"2",""),"3",""),"4",""),"5",""),"6",""),"7",""),"8",""),"9",""),".",""),"+",""),"-",""),"E","")="",LEN(SUBSTITUTE(SUBSTITUTE(MID(UPPER(TRIM($DX759)),1+OR(LEFT(UPPER(TRIM($DX759)),1)="+",LEFT(UPPER(TRIM($DX759)),1)="-"),999),"E+","E"),"E-","E"))=LEN(SUBSTITUTE(SUBSTITUTE(SUBSTITUTE(SUBSTITUTE(MID(UPPER(TRIM($DX759)),1+OR(LEFT(UPPER(TRIM($DX759)),1)="+",LEFT(UPPER(TRIM($DX759)),1)="-"),999),"E+","E"),"E-","E"),"+",""),"-","")),LEN(UPPER(TRIM($DX759)))-LEN(SUBSTITUTE(UPPER(TRIM($DX759)),"E",""))&lt;2,LEN(UPPER(TRIM($DX759)))-LEN(SUBSTITUTE(UPPER(TRIM($DX759)),".",""))&lt;2,IFERROR(FIND(".",UPPER(TRIM($DX759))),0)&lt;IFERROR(FIND("E",UPPER(TRIM($DX759))),999)),ISNUMBER(VALUE(TRIM($DX759)))),VALUE(TRIM($DX759)),"")))),""))</f>
        <v/>
      </c>
      <c r="DZ759">
        <f>IF($DM759=0,"",IF($L$17=0,"",IFERROR(IF(ISNUMBER(INDEX(PASTE_ALL,$DF759,$L$17)),INDEX(PASTE_ALL,$DF759,$L$17),SUBSTITUTE(SUBSTITUTE(TRIM(SUBSTITUTE(SUBSTITUTE(SUBSTITUTE(SUBSTITUTE(INDEX(PASTE_ALL,$DF759,$L$17)," "," "),CHAR(9)," "),CHAR(10)," "),CHAR(13)," ")),",",""),"%","")),"")))</f>
        <v/>
      </c>
      <c r="EA759">
        <f>IF($DM759=0,"",IFERROR(IF(ISNUMBER($DZ759),$DZ759,IF($DZ759="","",IF(TRIM($DZ759)="",0,IF(AND(AND(SUBSTITUTE(SUBSTITUTE(SUBSTITUTE(SUBSTITUTE(SUBSTITUTE(SUBSTITUTE(SUBSTITUTE(SUBSTITUTE(SUBSTITUTE(SUBSTITUTE(SUBSTITUTE(SUBSTITUTE(SUBSTITUTE(SUBSTITUTE(UPPER(TRIM($DZ759)),"0",""),"1",""),"2",""),"3",""),"4",""),"5",""),"6",""),"7",""),"8",""),"9",""),".",""),"+",""),"-",""),"E","")="",LEN(SUBSTITUTE(SUBSTITUTE(MID(UPPER(TRIM($DZ759)),1+OR(LEFT(UPPER(TRIM($DZ759)),1)="+",LEFT(UPPER(TRIM($DZ759)),1)="-"),999),"E+","E"),"E-","E"))=LEN(SUBSTITUTE(SUBSTITUTE(SUBSTITUTE(SUBSTITUTE(MID(UPPER(TRIM($DZ759)),1+OR(LEFT(UPPER(TRIM($DZ759)),1)="+",LEFT(UPPER(TRIM($DZ759)),1)="-"),999),"E+","E"),"E-","E"),"+",""),"-","")),LEN(UPPER(TRIM($DZ759)))-LEN(SUBSTITUTE(UPPER(TRIM($DZ759)),"E",""))&lt;2,LEN(UPPER(TRIM($DZ759)))-LEN(SUBSTITUTE(UPPER(TRIM($DZ759)),".",""))&lt;2,IFERROR(FIND(".",UPPER(TRIM($DZ759))),0)&lt;IFERROR(FIND("E",UPPER(TRIM($DZ759))),999)),ISNUMBER(VALUE(TRIM($DZ759)))),VALUE(TRIM($DZ759)),"")))),""))</f>
        <v/>
      </c>
      <c r="EB759">
        <f>IF($DM759=0,"",IF($L$18=0,"",IFERROR(IF(UPPER(TRIM(SUBSTITUTE(SUBSTITUTE(SUBSTITUTE(SUBSTITUTE(INDEX(PASTE_ALL,$DF759,$L$18)," "," "),CHAR(9)," "),CHAR(10)," "),CHAR(13)," ")))="READY","Ready",IF(UPPER(TRIM(SUBSTITUTE(SUBSTITUTE(SUBSTITUTE(SUBSTITUTE(INDEX(PASTE_ALL,$DF759,$L$18)," "," "),CHAR(9)," "),CHAR(10)," "),CHAR(13)," ")))="PM","PM",IF(OR(UPPER(TRIM(SUBSTITUTE(SUBSTITUTE(SUBSTITUTE(SUBSTITUTE(INDEX(PASTE_ALL,$DF759,$L$18)," "," "),CHAR(9)," "),CHAR(10)," "),CHAR(13)," ")))="OT",UPPER(TRIM(SUBSTITUTE(SUBSTITUTE(SUBSTITUTE(SUBSTITUTE(INDEX(PASTE_ALL,$DF759,$L$18)," "," "),CHAR(9)," "),CHAR(10)," "),CHAR(13)," ")))="OVERTIME",UPPER(TRIM(SUBSTITUTE(SUBSTITUTE(SUBSTITUTE(SUBSTITUTE(INDEX(PASTE_ALL,$DF759,$L$18)," "," "),CHAR(9)," "),CHAR(10)," "),CHAR(13)," ")))="TRIAL"),"OT",TRIM(SUBSTITUTE(SUBSTITUTE(SUBSTITUTE(SUBSTITUTE(INDEX(PASTE_ALL,$DF759,$L$18)," "," "),CHAR(9)," "),CHAR(10)," "),CHAR(13)," "))))),"")))</f>
        <v/>
      </c>
      <c r="EC759">
        <f>IF($DM759=0,"",IF($L$19=0,"",IFERROR(IF(ISNUMBER(INDEX(PASTE_ALL,$DF759,$L$19)),INDEX(PASTE_ALL,$DF759,$L$19),TRIM(SUBSTITUTE(SUBSTITUTE(SUBSTITUTE(SUBSTITUTE(INDEX(PASTE_ALL,$DF759,$L$19)," "," "),CHAR(9)," "),CHAR(10)," "),CHAR(13)," "))),"")))</f>
        <v/>
      </c>
      <c r="ED759">
        <f>IF($DM759=0,"",MATCH(1,INDEX(EXACT($DH$5:DH759,$DH759)*$DM$5:DM759,0),0))</f>
        <v/>
      </c>
      <c r="EE759">
        <f>IF($DM759=0,0,IF($ED759=$DE759,1,0))</f>
        <v/>
      </c>
      <c r="EF759">
        <f>EF758+$EE759</f>
        <v/>
      </c>
      <c r="EG759">
        <f>IF($DM759=0,"",INDEX($EF$5:$EF$1003,$ED759))</f>
        <v/>
      </c>
      <c r="EH759">
        <f>IF($DM759=0,"",IF($DO759&lt;&gt;"","",IFERROR(LOOKUP(2,1/(($EG$4:EG758=$EG759)*($DO$4:DO758&lt;&gt;"")),$DO$4:DO758),"")))</f>
        <v/>
      </c>
      <c r="EI759">
        <f>IF($DM759=0,"",IF($DO759&lt;&gt;"",$DO759,$EH759))</f>
        <v/>
      </c>
      <c r="EJ759">
        <f>IF($DM759=0,"",IF($EI759="",0,IF(OR(ISNUMBER($EI759),AND(AND(SUBSTITUTE(SUBSTITUTE(SUBSTITUTE(SUBSTITUTE(SUBSTITUTE(SUBSTITUTE(SUBSTITUTE(SUBSTITUTE(SUBSTITUTE(SUBSTITUTE(SUBSTITUTE(SUBSTITUTE(SUBSTITUTE(SUBSTITUTE(UPPER($EI759),"0",""),"1",""),"2",""),"3",""),"4",""),"5",""),"6",""),"7",""),"8",""),"9",""),".",""),"+",""),"-",""),"E","")="",LEN(SUBSTITUTE(SUBSTITUTE(MID(UPPER($EI759),1+OR(LEFT(UPPER($EI759),1)="+",LEFT(UPPER($EI759),1)="-"),999),"E+","E"),"E-","E"))=LEN(SUBSTITUTE(SUBSTITUTE(SUBSTITUTE(SUBSTITUTE(MID(UPPER($EI759),1+OR(LEFT(UPPER($EI759),1)="+",LEFT(UPPER($EI759),1)="-"),999),"E+","E"),"E-","E"),"+",""),"-","")),LEN(UPPER($EI759))-LEN(SUBSTITUTE(UPPER($EI759),"E",""))&lt;2,LEN(UPPER($EI759))-LEN(SUBSTITUTE(UPPER($EI759),".",""))&lt;2,IFERROR(FIND(".",UPPER($EI759)),0)&lt;IFERROR(FIND("E",UPPER($EI759)),999)),ISNUMBER(VALUE($EI759)))),1,2)))</f>
        <v/>
      </c>
      <c r="EK759">
        <f>IF($DM759=0,"",IF($EJ759=1,IF(ISNUMBER($EI759),$EI759,VALUE($EI759)),IF($EJ759=2,$DE759,0)))</f>
        <v/>
      </c>
      <c r="EL759">
        <f>IF($DM759=0,"",COUNTIF($EG$5:$EG$1003,"&lt;"&amp;$EG759)+SUMPRODUCT(($EG$5:$EG$1003=$EG759)*(($EJ$5:$EJ$1003&lt;$EJ759)+($EJ$5:$EJ$1003=$EJ759)*(($EK$5:$EK$1003&lt;$EK759)+($EK$5:$EK$1003=$EK759)*($DE$5:$DE$1003&lt;$DE759))))+1)</f>
        <v/>
      </c>
      <c r="EM759">
        <f>IF($DM759=0,"",$EL759+$EG759-1)</f>
        <v/>
      </c>
      <c r="EN759">
        <f>IF($DM759=0,0,IFERROR(MATCH(1,INDEX(--(TRIM(SUBSTITUTE(SUBSTITUTE(SUBSTITUTE(SUBSTITUTE(LINES_NAME&amp;""," "," "),CHAR(9)," "),CHAR(10)," "),CHAR(13)," "))=$DH759),0),0),0))</f>
        <v/>
      </c>
      <c r="EO759">
        <f>IF($EN759=0,0,IF(OR(UPPER(TRIM(INDEX(LINES_SCHEDULED,$EN759)&amp;""))="YES",UPPER(TRIM(INDEX(LINES_SCHEDULED,$EN759)&amp;""))="Y",UPPER(TRIM(INDEX(LINES_SCHEDULED,$EN759)&amp;""))="X"),1,0))</f>
        <v/>
      </c>
      <c r="EP759">
        <f>IF($DM759=0,"",IF(COUNTIFS($EG$5:$EG$1003,$EG759,$EB$5:$EB$1003,"Ready")&gt;0,"READY",IF(COUNTIFS($EG$5:$EG$1003,$EG759,$EB$5:$EB$1003,"PM")&gt;0,"PM",IF(COUNTIFS($EG$5:$EG$1003,$EG759,$EB$5:$EB$1003,"OT")&gt;0,"OT",""))))</f>
        <v/>
      </c>
      <c r="EQ759">
        <f>IF($EN759=0,"",UPPER(TRIM(INDEX(LINES_STATUS,$EN759)&amp;"")))</f>
        <v/>
      </c>
      <c r="ER759">
        <f>IF($DM759=0,"",IF(OR($EQ759="READY",$EQ759="PM",$EQ759="OT"),$EQ759,$EP759))</f>
        <v/>
      </c>
      <c r="ES759">
        <f>IF($DM759=0,"",IF(AND($DV759&lt;&gt;"",UPPER($DV759)&lt;&gt;"N"),"allergen",IF(ISNUMBER(SEARCH("oil",$DQ759)),"oil",IF(OR(EXACT($DS759,"A662"),EXACT($DS759,"A624")),"bulk",""))))</f>
        <v/>
      </c>
      <c r="ET759">
        <f>IF($DM759=0,"",IF(OR($EA759="",$EA759=0),"",$EA759/100))</f>
        <v/>
      </c>
      <c r="EU759">
        <f>IF(OR($ET759="",$DY759=""),"",INT($DY759*(1-$ET759)+0.5))</f>
        <v/>
      </c>
    </row>
    <row r="760">
      <c r="DA760" t="n">
        <v>756</v>
      </c>
      <c r="DB760">
        <f>IF($B$37=0,"",IFERROR(TRIM(SUBSTITUTE(SUBSTITUTE(SUBSTITUTE(SUBSTITUTE(INDEX(PASTE_ALL,756,$B$37)," "," "),CHAR(9)," "),CHAR(10)," "),CHAR(13)," ")),""))</f>
        <v/>
      </c>
      <c r="DC760">
        <f>IF(AND(756&gt;HEADER_ROW,UPPER(DB760)="LEGEND"),1,0)</f>
        <v/>
      </c>
      <c r="DE760" t="n">
        <v>756</v>
      </c>
      <c r="DF760">
        <f>HEADER_ROW+$DE760</f>
        <v/>
      </c>
      <c r="DG760">
        <f>IF(AND($DF760&lt;=1000,$DF760&lt;$B$8),1,0)</f>
        <v/>
      </c>
      <c r="DH760">
        <f>IF($DG760=1,IFERROR(INDEX($DB$5:$DB$1004,$DF760),""),"")</f>
        <v/>
      </c>
      <c r="DI760">
        <f>IF(AND($DG760=1,$DH760&lt;&gt;""),IFERROR(SUBSTITUTE(SUBSTITUTE(TRIM(SUBSTITUTE(SUBSTITUTE(SUBSTITUTE(SUBSTITUTE(IFERROR(INDEX(PASTE_ALL,$DF760,1)&amp;"","")&amp;"␟"&amp;IFERROR(INDEX(PASTE_ALL,$DF760,2)&amp;"","")&amp;"␟"&amp;IFERROR(INDEX(PASTE_ALL,$DF760,3)&amp;"","")&amp;"␟"&amp;IFERROR(INDEX(PASTE_ALL,$DF760,4)&amp;"","")&amp;"␟"&amp;IFERROR(INDEX(PASTE_ALL,$DF760,5)&amp;"","")&amp;"␟"&amp;IFERROR(INDEX(PASTE_ALL,$DF760,6)&amp;"","")&amp;"␟"&amp;IFERROR(INDEX(PASTE_ALL,$DF760,7)&amp;"","")&amp;"␟"&amp;IFERROR(INDEX(PASTE_ALL,$DF760,8)&amp;"","")&amp;"␟"&amp;IFERROR(INDEX(PASTE_ALL,$DF760,9)&amp;"","")&amp;"␟"&amp;IFERROR(INDEX(PASTE_ALL,$DF760,10)&amp;"","")&amp;"␟"&amp;IFERROR(INDEX(PASTE_ALL,$DF760,11)&amp;"","")&amp;"␟"&amp;IFERROR(INDEX(PASTE_ALL,$DF760,12)&amp;"","")&amp;"␟"&amp;IFERROR(INDEX(PASTE_ALL,$DF760,13)&amp;"","")&amp;"␟"&amp;IFERROR(INDEX(PASTE_ALL,$DF760,14)&amp;"","")&amp;"␟"&amp;IFERROR(INDEX(PASTE_ALL,$DF760,15)&amp;"","")&amp;"␟"&amp;IFERROR(INDEX(PASTE_ALL,$DF760,16)&amp;"","")&amp;"␟"&amp;IFERROR(INDEX(PASTE_ALL,$DF760,17)&amp;"","")&amp;"␟"&amp;IFERROR(INDEX(PASTE_ALL,$DF760,18)&amp;"","")&amp;"␟"&amp;IFERROR(INDEX(PASTE_ALL,$DF760,19)&amp;"","")&amp;"␟"&amp;IFERROR(INDEX(PASTE_ALL,$DF760,20)&amp;"","")&amp;"␟"&amp;IFERROR(INDEX(PASTE_ALL,$DF760,21)&amp;"","")&amp;"␟"&amp;IFERROR(INDEX(PASTE_ALL,$DF760,22)&amp;"","")&amp;"␟"&amp;IFERROR(INDEX(PASTE_ALL,$DF760,23)&amp;"","")&amp;"␟"&amp;IFERROR(INDEX(PASTE_ALL,$DF760,24)&amp;"","")&amp;"␟"&amp;IFERROR(INDEX(PASTE_ALL,$DF760,25)&amp;"","")&amp;"␟"&amp;IFERROR(INDEX(PASTE_ALL,$DF760,26)&amp;"","")&amp;"␟"&amp;IFERROR(INDEX(PASTE_ALL,$DF760,27)&amp;"","")&amp;"␟"&amp;IFERROR(INDEX(PASTE_ALL,$DF760,28)&amp;"","")&amp;"␟"&amp;IFERROR(INDEX(PASTE_ALL,$DF760,29)&amp;"","")&amp;"␟"&amp;IFERROR(INDEX(PASTE_ALL,$DF760,30)&amp;"","")&amp;"␟"&amp;IFERROR(INDEX(PASTE_ALL,$DF760,31)&amp;"","")&amp;"␟"&amp;IFERROR(INDEX(PASTE_ALL,$DF760,32)&amp;"","")&amp;"␟"&amp;IFERROR(INDEX(PASTE_ALL,$DF760,33)&amp;"","")&amp;"␟"&amp;IFERROR(INDEX(PASTE_ALL,$DF760,34)&amp;"","")&amp;"␟"&amp;IFERROR(INDEX(PASTE_ALL,$DF760,35)&amp;"","")&amp;"␟"&amp;IFERROR(INDEX(PASTE_ALL,$DF760,36)&amp;"","")&amp;"␟"&amp;IFERROR(INDEX(PASTE_ALL,$DF760,37)&amp;"","")&amp;"␟"&amp;IFERROR(INDEX(PASTE_ALL,$DF760,38)&amp;"","")&amp;"␟"&amp;IFERROR(INDEX(PASTE_ALL,$DF760,39)&amp;"","")&amp;"␟"&amp;IFERROR(INDEX(PASTE_ALL,$DF760,40)&amp;"","")&amp;"␟"&amp;IFERROR(INDEX(PASTE_ALL,$DF760,41)&amp;"","")&amp;"␟"&amp;IFERROR(INDEX(PASTE_ALL,$DF760,42)&amp;"","")&amp;"␟"&amp;IFERROR(INDEX(PASTE_ALL,$DF760,43)&amp;"","")&amp;"␟"&amp;IFERROR(INDEX(PASTE_ALL,$DF760,44)&amp;"","")&amp;"␟"&amp;IFERROR(INDEX(PASTE_ALL,$DF760,45)&amp;"","")&amp;"␟"&amp;IFERROR(INDEX(PASTE_ALL,$DF760,46)&amp;"","")&amp;"␟"&amp;IFERROR(INDEX(PASTE_ALL,$DF760,47)&amp;"","")&amp;"␟"&amp;IFERROR(INDEX(PASTE_ALL,$DF760,48)&amp;"","")&amp;"␟"&amp;IFERROR(INDEX(PASTE_ALL,$DF760,49)&amp;"","")&amp;"␟"&amp;IFERROR(INDEX(PASTE_ALL,$DF760,50)&amp;"","")&amp;"␟"&amp;IFERROR(INDEX(PASTE_ALL,$DF760,51)&amp;"","")&amp;"␟"&amp;IFERROR(INDEX(PASTE_ALL,$DF760,52)&amp;"","")&amp;"␟"&amp;IFERROR(INDEX(PASTE_ALL,$DF760,53)&amp;"","")&amp;"␟"&amp;IFERROR(INDEX(PASTE_ALL,$DF760,54)&amp;"","")&amp;"␟"&amp;IFERROR(INDEX(PASTE_ALL,$DF760,55)&amp;"","")&amp;"␟"&amp;IFERROR(INDEX(PASTE_ALL,$DF760,56)&amp;"","")&amp;"␟"&amp;IFERROR(INDEX(PASTE_ALL,$DF760,57)&amp;"","")&amp;"␟"&amp;IFERROR(INDEX(PASTE_ALL,$DF760,58)&amp;"","")&amp;"␟"&amp;IFERROR(INDEX(PASTE_ALL,$DF760,59)&amp;"","")&amp;"␟"&amp;IFERROR(INDEX(PASTE_ALL,$DF760,60)&amp;"","")," "," "),CHAR(9)," "),CHAR(10)," "),CHAR(13)," "))," ␟","␟"),"␟ ","␟"),"#"&amp;$DE760),"")</f>
        <v/>
      </c>
      <c r="DJ760">
        <f>IF($DI760="",0,IF(SUMPRODUCT(--EXACT($DI$4:DI759,$DI760))&gt;0,1,0))</f>
        <v/>
      </c>
      <c r="DK760">
        <f>IF(AND($DI760&lt;&gt;"",$DJ760=0),1,0)</f>
        <v/>
      </c>
      <c r="DL760">
        <f>DL759+$DK760</f>
        <v/>
      </c>
      <c r="DM760">
        <f>IF(AND($DK760=1,$DL760&lt;=600),1,0)</f>
        <v/>
      </c>
      <c r="DN760">
        <f>IF($DM760=0,"",IF($L$6=0,"",IFERROR(IF(ISNUMBER(INDEX(PASTE_ALL,$DF760,$L$6)),INDEX(PASTE_ALL,$DF760,$L$6),TRIM(SUBSTITUTE(SUBSTITUTE(SUBSTITUTE(SUBSTITUTE(INDEX(PASTE_ALL,$DF760,$L$6)," "," "),CHAR(9)," "),CHAR(10)," "),CHAR(13)," "))),"")))</f>
        <v/>
      </c>
      <c r="DO760">
        <f>IF($DM760=0,"",IF($L$7=0,"",IFERROR(IF(ISNUMBER(INDEX(PASTE_ALL,$DF760,$L$7)),INDEX(PASTE_ALL,$DF760,$L$7),TRIM(SUBSTITUTE(SUBSTITUTE(SUBSTITUTE(SUBSTITUTE(INDEX(PASTE_ALL,$DF760,$L$7)," "," "),CHAR(9)," "),CHAR(10)," "),CHAR(13)," "))),"")))</f>
        <v/>
      </c>
      <c r="DP760">
        <f>IF($DM760=0,"",IF($L$8=0,"",IFERROR(IF(ISNUMBER(INDEX(PASTE_ALL,$DF760,$L$8)),INDEX(PASTE_ALL,$DF760,$L$8),TRIM(SUBSTITUTE(SUBSTITUTE(SUBSTITUTE(SUBSTITUTE(INDEX(PASTE_ALL,$DF760,$L$8)," "," "),CHAR(9)," "),CHAR(10)," "),CHAR(13)," "))),"")))</f>
        <v/>
      </c>
      <c r="DQ760">
        <f>IF($DM760=0,"",IF($L$9=0,"",IFERROR(IF(ISNUMBER(INDEX(PASTE_ALL,$DF760,$L$9)),INDEX(PASTE_ALL,$DF760,$L$9),TRIM(SUBSTITUTE(SUBSTITUTE(SUBSTITUTE(SUBSTITUTE(INDEX(PASTE_ALL,$DF760,$L$9)," "," "),CHAR(9)," "),CHAR(10)," "),CHAR(13)," "))),"")))</f>
        <v/>
      </c>
      <c r="DR760">
        <f>IF($DM760=0,"",IF($L$10=0,"",IFERROR(IF(ISNUMBER(INDEX(PASTE_ALL,$DF760,$L$10)),INDEX(PASTE_ALL,$DF760,$L$10),TRIM(SUBSTITUTE(SUBSTITUTE(SUBSTITUTE(SUBSTITUTE(INDEX(PASTE_ALL,$DF760,$L$10)," "," "),CHAR(9)," "),CHAR(10)," "),CHAR(13)," "))),"")))</f>
        <v/>
      </c>
      <c r="DS760">
        <f>IF($DM760=0,"",IF($L$11=0,"",IFERROR(IF(ISNUMBER(INDEX(PASTE_ALL,$DF760,$L$11)),INDEX(PASTE_ALL,$DF760,$L$11),TRIM(SUBSTITUTE(SUBSTITUTE(SUBSTITUTE(SUBSTITUTE(INDEX(PASTE_ALL,$DF760,$L$11)," "," "),CHAR(9)," "),CHAR(10)," "),CHAR(13)," "))),"")))</f>
        <v/>
      </c>
      <c r="DT760">
        <f>IF($DM760=0,"",IF($L$12=0,"",IFERROR(IF(ISNUMBER(INDEX(PASTE_ALL,$DF760,$L$12)),INDEX(PASTE_ALL,$DF760,$L$12),TRIM(SUBSTITUTE(SUBSTITUTE(SUBSTITUTE(SUBSTITUTE(INDEX(PASTE_ALL,$DF760,$L$12)," "," "),CHAR(9)," "),CHAR(10)," "),CHAR(13)," "))),"")))</f>
        <v/>
      </c>
      <c r="DU760">
        <f>IF($DM760=0,"",IF($L$13=0,"",IFERROR(IF(ISNUMBER(INDEX(PASTE_ALL,$DF760,$L$13)),INDEX(PASTE_ALL,$DF760,$L$13),TRIM(SUBSTITUTE(SUBSTITUTE(SUBSTITUTE(SUBSTITUTE(INDEX(PASTE_ALL,$DF760,$L$13)," "," "),CHAR(9)," "),CHAR(10)," "),CHAR(13)," "))),"")))</f>
        <v/>
      </c>
      <c r="DV760">
        <f>IF($DM760=0,"",IF($L$14=0,"",IFERROR(IF(ISNUMBER(INDEX(PASTE_ALL,$DF760,$L$14)),INDEX(PASTE_ALL,$DF760,$L$14),TRIM(SUBSTITUTE(SUBSTITUTE(SUBSTITUTE(SUBSTITUTE(INDEX(PASTE_ALL,$DF760,$L$14)," "," "),CHAR(9)," "),CHAR(10)," "),CHAR(13)," "))),"")))</f>
        <v/>
      </c>
      <c r="DW760">
        <f>IF($DM760=0,"",IF($L$15=0,"",IFERROR(IF(ISNUMBER(INDEX(PASTE_ALL,$DF760,$L$15)),INDEX(PASTE_ALL,$DF760,$L$15),IF(SUMPRODUCT(--ISNUMBER(FIND({"A","B","C","D","E","F","G","H","I","J","K","L","M","N","O","P","Q","R","S","T","U","V","W","X","Y","Z","0","1","2","3","4","5","6","7","8","9"},UPPER(TRIM(SUBSTITUTE(SUBSTITUTE(SUBSTITUTE(SUBSTITUTE(INDEX(PASTE_ALL,$DF760,$L$15)," "," "),CHAR(9)," "),CHAR(10)," "),CHAR(13)," "))))))&gt;0,TRIM(SUBSTITUTE(SUBSTITUTE(SUBSTITUTE(SUBSTITUTE(INDEX(PASTE_ALL,$DF760,$L$15)," "," "),CHAR(9)," "),CHAR(10)," "),CHAR(13)," ")),"")),"")))</f>
        <v/>
      </c>
      <c r="DX760">
        <f>IF($DM760=0,"",IF($L$16=0,"",IFERROR(IF(ISNUMBER(INDEX(PASTE_ALL,$DF760,$L$16)),INDEX(PASTE_ALL,$DF760,$L$16),SUBSTITUTE(SUBSTITUTE(TRIM(SUBSTITUTE(SUBSTITUTE(SUBSTITUTE(SUBSTITUTE(INDEX(PASTE_ALL,$DF760,$L$16)," "," "),CHAR(9)," "),CHAR(10)," "),CHAR(13)," ")),",",""),"%","")),"")))</f>
        <v/>
      </c>
      <c r="DY760">
        <f>IF($DM760=0,"",IFERROR(IF(ISNUMBER($DX760),$DX760,IF($DX760="","",IF(TRIM($DX760)="",0,IF(AND(AND(SUBSTITUTE(SUBSTITUTE(SUBSTITUTE(SUBSTITUTE(SUBSTITUTE(SUBSTITUTE(SUBSTITUTE(SUBSTITUTE(SUBSTITUTE(SUBSTITUTE(SUBSTITUTE(SUBSTITUTE(SUBSTITUTE(SUBSTITUTE(UPPER(TRIM($DX760)),"0",""),"1",""),"2",""),"3",""),"4",""),"5",""),"6",""),"7",""),"8",""),"9",""),".",""),"+",""),"-",""),"E","")="",LEN(SUBSTITUTE(SUBSTITUTE(MID(UPPER(TRIM($DX760)),1+OR(LEFT(UPPER(TRIM($DX760)),1)="+",LEFT(UPPER(TRIM($DX760)),1)="-"),999),"E+","E"),"E-","E"))=LEN(SUBSTITUTE(SUBSTITUTE(SUBSTITUTE(SUBSTITUTE(MID(UPPER(TRIM($DX760)),1+OR(LEFT(UPPER(TRIM($DX760)),1)="+",LEFT(UPPER(TRIM($DX760)),1)="-"),999),"E+","E"),"E-","E"),"+",""),"-","")),LEN(UPPER(TRIM($DX760)))-LEN(SUBSTITUTE(UPPER(TRIM($DX760)),"E",""))&lt;2,LEN(UPPER(TRIM($DX760)))-LEN(SUBSTITUTE(UPPER(TRIM($DX760)),".",""))&lt;2,IFERROR(FIND(".",UPPER(TRIM($DX760))),0)&lt;IFERROR(FIND("E",UPPER(TRIM($DX760))),999)),ISNUMBER(VALUE(TRIM($DX760)))),VALUE(TRIM($DX760)),"")))),""))</f>
        <v/>
      </c>
      <c r="DZ760">
        <f>IF($DM760=0,"",IF($L$17=0,"",IFERROR(IF(ISNUMBER(INDEX(PASTE_ALL,$DF760,$L$17)),INDEX(PASTE_ALL,$DF760,$L$17),SUBSTITUTE(SUBSTITUTE(TRIM(SUBSTITUTE(SUBSTITUTE(SUBSTITUTE(SUBSTITUTE(INDEX(PASTE_ALL,$DF760,$L$17)," "," "),CHAR(9)," "),CHAR(10)," "),CHAR(13)," ")),",",""),"%","")),"")))</f>
        <v/>
      </c>
      <c r="EA760">
        <f>IF($DM760=0,"",IFERROR(IF(ISNUMBER($DZ760),$DZ760,IF($DZ760="","",IF(TRIM($DZ760)="",0,IF(AND(AND(SUBSTITUTE(SUBSTITUTE(SUBSTITUTE(SUBSTITUTE(SUBSTITUTE(SUBSTITUTE(SUBSTITUTE(SUBSTITUTE(SUBSTITUTE(SUBSTITUTE(SUBSTITUTE(SUBSTITUTE(SUBSTITUTE(SUBSTITUTE(UPPER(TRIM($DZ760)),"0",""),"1",""),"2",""),"3",""),"4",""),"5",""),"6",""),"7",""),"8",""),"9",""),".",""),"+",""),"-",""),"E","")="",LEN(SUBSTITUTE(SUBSTITUTE(MID(UPPER(TRIM($DZ760)),1+OR(LEFT(UPPER(TRIM($DZ760)),1)="+",LEFT(UPPER(TRIM($DZ760)),1)="-"),999),"E+","E"),"E-","E"))=LEN(SUBSTITUTE(SUBSTITUTE(SUBSTITUTE(SUBSTITUTE(MID(UPPER(TRIM($DZ760)),1+OR(LEFT(UPPER(TRIM($DZ760)),1)="+",LEFT(UPPER(TRIM($DZ760)),1)="-"),999),"E+","E"),"E-","E"),"+",""),"-","")),LEN(UPPER(TRIM($DZ760)))-LEN(SUBSTITUTE(UPPER(TRIM($DZ760)),"E",""))&lt;2,LEN(UPPER(TRIM($DZ760)))-LEN(SUBSTITUTE(UPPER(TRIM($DZ760)),".",""))&lt;2,IFERROR(FIND(".",UPPER(TRIM($DZ760))),0)&lt;IFERROR(FIND("E",UPPER(TRIM($DZ760))),999)),ISNUMBER(VALUE(TRIM($DZ760)))),VALUE(TRIM($DZ760)),"")))),""))</f>
        <v/>
      </c>
      <c r="EB760">
        <f>IF($DM760=0,"",IF($L$18=0,"",IFERROR(IF(UPPER(TRIM(SUBSTITUTE(SUBSTITUTE(SUBSTITUTE(SUBSTITUTE(INDEX(PASTE_ALL,$DF760,$L$18)," "," "),CHAR(9)," "),CHAR(10)," "),CHAR(13)," ")))="READY","Ready",IF(UPPER(TRIM(SUBSTITUTE(SUBSTITUTE(SUBSTITUTE(SUBSTITUTE(INDEX(PASTE_ALL,$DF760,$L$18)," "," "),CHAR(9)," "),CHAR(10)," "),CHAR(13)," ")))="PM","PM",IF(OR(UPPER(TRIM(SUBSTITUTE(SUBSTITUTE(SUBSTITUTE(SUBSTITUTE(INDEX(PASTE_ALL,$DF760,$L$18)," "," "),CHAR(9)," "),CHAR(10)," "),CHAR(13)," ")))="OT",UPPER(TRIM(SUBSTITUTE(SUBSTITUTE(SUBSTITUTE(SUBSTITUTE(INDEX(PASTE_ALL,$DF760,$L$18)," "," "),CHAR(9)," "),CHAR(10)," "),CHAR(13)," ")))="OVERTIME",UPPER(TRIM(SUBSTITUTE(SUBSTITUTE(SUBSTITUTE(SUBSTITUTE(INDEX(PASTE_ALL,$DF760,$L$18)," "," "),CHAR(9)," "),CHAR(10)," "),CHAR(13)," ")))="TRIAL"),"OT",TRIM(SUBSTITUTE(SUBSTITUTE(SUBSTITUTE(SUBSTITUTE(INDEX(PASTE_ALL,$DF760,$L$18)," "," "),CHAR(9)," "),CHAR(10)," "),CHAR(13)," "))))),"")))</f>
        <v/>
      </c>
      <c r="EC760">
        <f>IF($DM760=0,"",IF($L$19=0,"",IFERROR(IF(ISNUMBER(INDEX(PASTE_ALL,$DF760,$L$19)),INDEX(PASTE_ALL,$DF760,$L$19),TRIM(SUBSTITUTE(SUBSTITUTE(SUBSTITUTE(SUBSTITUTE(INDEX(PASTE_ALL,$DF760,$L$19)," "," "),CHAR(9)," "),CHAR(10)," "),CHAR(13)," "))),"")))</f>
        <v/>
      </c>
      <c r="ED760">
        <f>IF($DM760=0,"",MATCH(1,INDEX(EXACT($DH$5:DH760,$DH760)*$DM$5:DM760,0),0))</f>
        <v/>
      </c>
      <c r="EE760">
        <f>IF($DM760=0,0,IF($ED760=$DE760,1,0))</f>
        <v/>
      </c>
      <c r="EF760">
        <f>EF759+$EE760</f>
        <v/>
      </c>
      <c r="EG760">
        <f>IF($DM760=0,"",INDEX($EF$5:$EF$1003,$ED760))</f>
        <v/>
      </c>
      <c r="EH760">
        <f>IF($DM760=0,"",IF($DO760&lt;&gt;"","",IFERROR(LOOKUP(2,1/(($EG$4:EG759=$EG760)*($DO$4:DO759&lt;&gt;"")),$DO$4:DO759),"")))</f>
        <v/>
      </c>
      <c r="EI760">
        <f>IF($DM760=0,"",IF($DO760&lt;&gt;"",$DO760,$EH760))</f>
        <v/>
      </c>
      <c r="EJ760">
        <f>IF($DM760=0,"",IF($EI760="",0,IF(OR(ISNUMBER($EI760),AND(AND(SUBSTITUTE(SUBSTITUTE(SUBSTITUTE(SUBSTITUTE(SUBSTITUTE(SUBSTITUTE(SUBSTITUTE(SUBSTITUTE(SUBSTITUTE(SUBSTITUTE(SUBSTITUTE(SUBSTITUTE(SUBSTITUTE(SUBSTITUTE(UPPER($EI760),"0",""),"1",""),"2",""),"3",""),"4",""),"5",""),"6",""),"7",""),"8",""),"9",""),".",""),"+",""),"-",""),"E","")="",LEN(SUBSTITUTE(SUBSTITUTE(MID(UPPER($EI760),1+OR(LEFT(UPPER($EI760),1)="+",LEFT(UPPER($EI760),1)="-"),999),"E+","E"),"E-","E"))=LEN(SUBSTITUTE(SUBSTITUTE(SUBSTITUTE(SUBSTITUTE(MID(UPPER($EI760),1+OR(LEFT(UPPER($EI760),1)="+",LEFT(UPPER($EI760),1)="-"),999),"E+","E"),"E-","E"),"+",""),"-","")),LEN(UPPER($EI760))-LEN(SUBSTITUTE(UPPER($EI760),"E",""))&lt;2,LEN(UPPER($EI760))-LEN(SUBSTITUTE(UPPER($EI760),".",""))&lt;2,IFERROR(FIND(".",UPPER($EI760)),0)&lt;IFERROR(FIND("E",UPPER($EI760)),999)),ISNUMBER(VALUE($EI760)))),1,2)))</f>
        <v/>
      </c>
      <c r="EK760">
        <f>IF($DM760=0,"",IF($EJ760=1,IF(ISNUMBER($EI760),$EI760,VALUE($EI760)),IF($EJ760=2,$DE760,0)))</f>
        <v/>
      </c>
      <c r="EL760">
        <f>IF($DM760=0,"",COUNTIF($EG$5:$EG$1003,"&lt;"&amp;$EG760)+SUMPRODUCT(($EG$5:$EG$1003=$EG760)*(($EJ$5:$EJ$1003&lt;$EJ760)+($EJ$5:$EJ$1003=$EJ760)*(($EK$5:$EK$1003&lt;$EK760)+($EK$5:$EK$1003=$EK760)*($DE$5:$DE$1003&lt;$DE760))))+1)</f>
        <v/>
      </c>
      <c r="EM760">
        <f>IF($DM760=0,"",$EL760+$EG760-1)</f>
        <v/>
      </c>
      <c r="EN760">
        <f>IF($DM760=0,0,IFERROR(MATCH(1,INDEX(--(TRIM(SUBSTITUTE(SUBSTITUTE(SUBSTITUTE(SUBSTITUTE(LINES_NAME&amp;""," "," "),CHAR(9)," "),CHAR(10)," "),CHAR(13)," "))=$DH760),0),0),0))</f>
        <v/>
      </c>
      <c r="EO760">
        <f>IF($EN760=0,0,IF(OR(UPPER(TRIM(INDEX(LINES_SCHEDULED,$EN760)&amp;""))="YES",UPPER(TRIM(INDEX(LINES_SCHEDULED,$EN760)&amp;""))="Y",UPPER(TRIM(INDEX(LINES_SCHEDULED,$EN760)&amp;""))="X"),1,0))</f>
        <v/>
      </c>
      <c r="EP760">
        <f>IF($DM760=0,"",IF(COUNTIFS($EG$5:$EG$1003,$EG760,$EB$5:$EB$1003,"Ready")&gt;0,"READY",IF(COUNTIFS($EG$5:$EG$1003,$EG760,$EB$5:$EB$1003,"PM")&gt;0,"PM",IF(COUNTIFS($EG$5:$EG$1003,$EG760,$EB$5:$EB$1003,"OT")&gt;0,"OT",""))))</f>
        <v/>
      </c>
      <c r="EQ760">
        <f>IF($EN760=0,"",UPPER(TRIM(INDEX(LINES_STATUS,$EN760)&amp;"")))</f>
        <v/>
      </c>
      <c r="ER760">
        <f>IF($DM760=0,"",IF(OR($EQ760="READY",$EQ760="PM",$EQ760="OT"),$EQ760,$EP760))</f>
        <v/>
      </c>
      <c r="ES760">
        <f>IF($DM760=0,"",IF(AND($DV760&lt;&gt;"",UPPER($DV760)&lt;&gt;"N"),"allergen",IF(ISNUMBER(SEARCH("oil",$DQ760)),"oil",IF(OR(EXACT($DS760,"A662"),EXACT($DS760,"A624")),"bulk",""))))</f>
        <v/>
      </c>
      <c r="ET760">
        <f>IF($DM760=0,"",IF(OR($EA760="",$EA760=0),"",$EA760/100))</f>
        <v/>
      </c>
      <c r="EU760">
        <f>IF(OR($ET760="",$DY760=""),"",INT($DY760*(1-$ET760)+0.5))</f>
        <v/>
      </c>
    </row>
    <row r="761">
      <c r="DA761" t="n">
        <v>757</v>
      </c>
      <c r="DB761">
        <f>IF($B$37=0,"",IFERROR(TRIM(SUBSTITUTE(SUBSTITUTE(SUBSTITUTE(SUBSTITUTE(INDEX(PASTE_ALL,757,$B$37)," "," "),CHAR(9)," "),CHAR(10)," "),CHAR(13)," ")),""))</f>
        <v/>
      </c>
      <c r="DC761">
        <f>IF(AND(757&gt;HEADER_ROW,UPPER(DB761)="LEGEND"),1,0)</f>
        <v/>
      </c>
      <c r="DE761" t="n">
        <v>757</v>
      </c>
      <c r="DF761">
        <f>HEADER_ROW+$DE761</f>
        <v/>
      </c>
      <c r="DG761">
        <f>IF(AND($DF761&lt;=1000,$DF761&lt;$B$8),1,0)</f>
        <v/>
      </c>
      <c r="DH761">
        <f>IF($DG761=1,IFERROR(INDEX($DB$5:$DB$1004,$DF761),""),"")</f>
        <v/>
      </c>
      <c r="DI761">
        <f>IF(AND($DG761=1,$DH761&lt;&gt;""),IFERROR(SUBSTITUTE(SUBSTITUTE(TRIM(SUBSTITUTE(SUBSTITUTE(SUBSTITUTE(SUBSTITUTE(IFERROR(INDEX(PASTE_ALL,$DF761,1)&amp;"","")&amp;"␟"&amp;IFERROR(INDEX(PASTE_ALL,$DF761,2)&amp;"","")&amp;"␟"&amp;IFERROR(INDEX(PASTE_ALL,$DF761,3)&amp;"","")&amp;"␟"&amp;IFERROR(INDEX(PASTE_ALL,$DF761,4)&amp;"","")&amp;"␟"&amp;IFERROR(INDEX(PASTE_ALL,$DF761,5)&amp;"","")&amp;"␟"&amp;IFERROR(INDEX(PASTE_ALL,$DF761,6)&amp;"","")&amp;"␟"&amp;IFERROR(INDEX(PASTE_ALL,$DF761,7)&amp;"","")&amp;"␟"&amp;IFERROR(INDEX(PASTE_ALL,$DF761,8)&amp;"","")&amp;"␟"&amp;IFERROR(INDEX(PASTE_ALL,$DF761,9)&amp;"","")&amp;"␟"&amp;IFERROR(INDEX(PASTE_ALL,$DF761,10)&amp;"","")&amp;"␟"&amp;IFERROR(INDEX(PASTE_ALL,$DF761,11)&amp;"","")&amp;"␟"&amp;IFERROR(INDEX(PASTE_ALL,$DF761,12)&amp;"","")&amp;"␟"&amp;IFERROR(INDEX(PASTE_ALL,$DF761,13)&amp;"","")&amp;"␟"&amp;IFERROR(INDEX(PASTE_ALL,$DF761,14)&amp;"","")&amp;"␟"&amp;IFERROR(INDEX(PASTE_ALL,$DF761,15)&amp;"","")&amp;"␟"&amp;IFERROR(INDEX(PASTE_ALL,$DF761,16)&amp;"","")&amp;"␟"&amp;IFERROR(INDEX(PASTE_ALL,$DF761,17)&amp;"","")&amp;"␟"&amp;IFERROR(INDEX(PASTE_ALL,$DF761,18)&amp;"","")&amp;"␟"&amp;IFERROR(INDEX(PASTE_ALL,$DF761,19)&amp;"","")&amp;"␟"&amp;IFERROR(INDEX(PASTE_ALL,$DF761,20)&amp;"","")&amp;"␟"&amp;IFERROR(INDEX(PASTE_ALL,$DF761,21)&amp;"","")&amp;"␟"&amp;IFERROR(INDEX(PASTE_ALL,$DF761,22)&amp;"","")&amp;"␟"&amp;IFERROR(INDEX(PASTE_ALL,$DF761,23)&amp;"","")&amp;"␟"&amp;IFERROR(INDEX(PASTE_ALL,$DF761,24)&amp;"","")&amp;"␟"&amp;IFERROR(INDEX(PASTE_ALL,$DF761,25)&amp;"","")&amp;"␟"&amp;IFERROR(INDEX(PASTE_ALL,$DF761,26)&amp;"","")&amp;"␟"&amp;IFERROR(INDEX(PASTE_ALL,$DF761,27)&amp;"","")&amp;"␟"&amp;IFERROR(INDEX(PASTE_ALL,$DF761,28)&amp;"","")&amp;"␟"&amp;IFERROR(INDEX(PASTE_ALL,$DF761,29)&amp;"","")&amp;"␟"&amp;IFERROR(INDEX(PASTE_ALL,$DF761,30)&amp;"","")&amp;"␟"&amp;IFERROR(INDEX(PASTE_ALL,$DF761,31)&amp;"","")&amp;"␟"&amp;IFERROR(INDEX(PASTE_ALL,$DF761,32)&amp;"","")&amp;"␟"&amp;IFERROR(INDEX(PASTE_ALL,$DF761,33)&amp;"","")&amp;"␟"&amp;IFERROR(INDEX(PASTE_ALL,$DF761,34)&amp;"","")&amp;"␟"&amp;IFERROR(INDEX(PASTE_ALL,$DF761,35)&amp;"","")&amp;"␟"&amp;IFERROR(INDEX(PASTE_ALL,$DF761,36)&amp;"","")&amp;"␟"&amp;IFERROR(INDEX(PASTE_ALL,$DF761,37)&amp;"","")&amp;"␟"&amp;IFERROR(INDEX(PASTE_ALL,$DF761,38)&amp;"","")&amp;"␟"&amp;IFERROR(INDEX(PASTE_ALL,$DF761,39)&amp;"","")&amp;"␟"&amp;IFERROR(INDEX(PASTE_ALL,$DF761,40)&amp;"","")&amp;"␟"&amp;IFERROR(INDEX(PASTE_ALL,$DF761,41)&amp;"","")&amp;"␟"&amp;IFERROR(INDEX(PASTE_ALL,$DF761,42)&amp;"","")&amp;"␟"&amp;IFERROR(INDEX(PASTE_ALL,$DF761,43)&amp;"","")&amp;"␟"&amp;IFERROR(INDEX(PASTE_ALL,$DF761,44)&amp;"","")&amp;"␟"&amp;IFERROR(INDEX(PASTE_ALL,$DF761,45)&amp;"","")&amp;"␟"&amp;IFERROR(INDEX(PASTE_ALL,$DF761,46)&amp;"","")&amp;"␟"&amp;IFERROR(INDEX(PASTE_ALL,$DF761,47)&amp;"","")&amp;"␟"&amp;IFERROR(INDEX(PASTE_ALL,$DF761,48)&amp;"","")&amp;"␟"&amp;IFERROR(INDEX(PASTE_ALL,$DF761,49)&amp;"","")&amp;"␟"&amp;IFERROR(INDEX(PASTE_ALL,$DF761,50)&amp;"","")&amp;"␟"&amp;IFERROR(INDEX(PASTE_ALL,$DF761,51)&amp;"","")&amp;"␟"&amp;IFERROR(INDEX(PASTE_ALL,$DF761,52)&amp;"","")&amp;"␟"&amp;IFERROR(INDEX(PASTE_ALL,$DF761,53)&amp;"","")&amp;"␟"&amp;IFERROR(INDEX(PASTE_ALL,$DF761,54)&amp;"","")&amp;"␟"&amp;IFERROR(INDEX(PASTE_ALL,$DF761,55)&amp;"","")&amp;"␟"&amp;IFERROR(INDEX(PASTE_ALL,$DF761,56)&amp;"","")&amp;"␟"&amp;IFERROR(INDEX(PASTE_ALL,$DF761,57)&amp;"","")&amp;"␟"&amp;IFERROR(INDEX(PASTE_ALL,$DF761,58)&amp;"","")&amp;"␟"&amp;IFERROR(INDEX(PASTE_ALL,$DF761,59)&amp;"","")&amp;"␟"&amp;IFERROR(INDEX(PASTE_ALL,$DF761,60)&amp;"","")," "," "),CHAR(9)," "),CHAR(10)," "),CHAR(13)," "))," ␟","␟"),"␟ ","␟"),"#"&amp;$DE761),"")</f>
        <v/>
      </c>
      <c r="DJ761">
        <f>IF($DI761="",0,IF(SUMPRODUCT(--EXACT($DI$4:DI760,$DI761))&gt;0,1,0))</f>
        <v/>
      </c>
      <c r="DK761">
        <f>IF(AND($DI761&lt;&gt;"",$DJ761=0),1,0)</f>
        <v/>
      </c>
      <c r="DL761">
        <f>DL760+$DK761</f>
        <v/>
      </c>
      <c r="DM761">
        <f>IF(AND($DK761=1,$DL761&lt;=600),1,0)</f>
        <v/>
      </c>
      <c r="DN761">
        <f>IF($DM761=0,"",IF($L$6=0,"",IFERROR(IF(ISNUMBER(INDEX(PASTE_ALL,$DF761,$L$6)),INDEX(PASTE_ALL,$DF761,$L$6),TRIM(SUBSTITUTE(SUBSTITUTE(SUBSTITUTE(SUBSTITUTE(INDEX(PASTE_ALL,$DF761,$L$6)," "," "),CHAR(9)," "),CHAR(10)," "),CHAR(13)," "))),"")))</f>
        <v/>
      </c>
      <c r="DO761">
        <f>IF($DM761=0,"",IF($L$7=0,"",IFERROR(IF(ISNUMBER(INDEX(PASTE_ALL,$DF761,$L$7)),INDEX(PASTE_ALL,$DF761,$L$7),TRIM(SUBSTITUTE(SUBSTITUTE(SUBSTITUTE(SUBSTITUTE(INDEX(PASTE_ALL,$DF761,$L$7)," "," "),CHAR(9)," "),CHAR(10)," "),CHAR(13)," "))),"")))</f>
        <v/>
      </c>
      <c r="DP761">
        <f>IF($DM761=0,"",IF($L$8=0,"",IFERROR(IF(ISNUMBER(INDEX(PASTE_ALL,$DF761,$L$8)),INDEX(PASTE_ALL,$DF761,$L$8),TRIM(SUBSTITUTE(SUBSTITUTE(SUBSTITUTE(SUBSTITUTE(INDEX(PASTE_ALL,$DF761,$L$8)," "," "),CHAR(9)," "),CHAR(10)," "),CHAR(13)," "))),"")))</f>
        <v/>
      </c>
      <c r="DQ761">
        <f>IF($DM761=0,"",IF($L$9=0,"",IFERROR(IF(ISNUMBER(INDEX(PASTE_ALL,$DF761,$L$9)),INDEX(PASTE_ALL,$DF761,$L$9),TRIM(SUBSTITUTE(SUBSTITUTE(SUBSTITUTE(SUBSTITUTE(INDEX(PASTE_ALL,$DF761,$L$9)," "," "),CHAR(9)," "),CHAR(10)," "),CHAR(13)," "))),"")))</f>
        <v/>
      </c>
      <c r="DR761">
        <f>IF($DM761=0,"",IF($L$10=0,"",IFERROR(IF(ISNUMBER(INDEX(PASTE_ALL,$DF761,$L$10)),INDEX(PASTE_ALL,$DF761,$L$10),TRIM(SUBSTITUTE(SUBSTITUTE(SUBSTITUTE(SUBSTITUTE(INDEX(PASTE_ALL,$DF761,$L$10)," "," "),CHAR(9)," "),CHAR(10)," "),CHAR(13)," "))),"")))</f>
        <v/>
      </c>
      <c r="DS761">
        <f>IF($DM761=0,"",IF($L$11=0,"",IFERROR(IF(ISNUMBER(INDEX(PASTE_ALL,$DF761,$L$11)),INDEX(PASTE_ALL,$DF761,$L$11),TRIM(SUBSTITUTE(SUBSTITUTE(SUBSTITUTE(SUBSTITUTE(INDEX(PASTE_ALL,$DF761,$L$11)," "," "),CHAR(9)," "),CHAR(10)," "),CHAR(13)," "))),"")))</f>
        <v/>
      </c>
      <c r="DT761">
        <f>IF($DM761=0,"",IF($L$12=0,"",IFERROR(IF(ISNUMBER(INDEX(PASTE_ALL,$DF761,$L$12)),INDEX(PASTE_ALL,$DF761,$L$12),TRIM(SUBSTITUTE(SUBSTITUTE(SUBSTITUTE(SUBSTITUTE(INDEX(PASTE_ALL,$DF761,$L$12)," "," "),CHAR(9)," "),CHAR(10)," "),CHAR(13)," "))),"")))</f>
        <v/>
      </c>
      <c r="DU761">
        <f>IF($DM761=0,"",IF($L$13=0,"",IFERROR(IF(ISNUMBER(INDEX(PASTE_ALL,$DF761,$L$13)),INDEX(PASTE_ALL,$DF761,$L$13),TRIM(SUBSTITUTE(SUBSTITUTE(SUBSTITUTE(SUBSTITUTE(INDEX(PASTE_ALL,$DF761,$L$13)," "," "),CHAR(9)," "),CHAR(10)," "),CHAR(13)," "))),"")))</f>
        <v/>
      </c>
      <c r="DV761">
        <f>IF($DM761=0,"",IF($L$14=0,"",IFERROR(IF(ISNUMBER(INDEX(PASTE_ALL,$DF761,$L$14)),INDEX(PASTE_ALL,$DF761,$L$14),TRIM(SUBSTITUTE(SUBSTITUTE(SUBSTITUTE(SUBSTITUTE(INDEX(PASTE_ALL,$DF761,$L$14)," "," "),CHAR(9)," "),CHAR(10)," "),CHAR(13)," "))),"")))</f>
        <v/>
      </c>
      <c r="DW761">
        <f>IF($DM761=0,"",IF($L$15=0,"",IFERROR(IF(ISNUMBER(INDEX(PASTE_ALL,$DF761,$L$15)),INDEX(PASTE_ALL,$DF761,$L$15),IF(SUMPRODUCT(--ISNUMBER(FIND({"A","B","C","D","E","F","G","H","I","J","K","L","M","N","O","P","Q","R","S","T","U","V","W","X","Y","Z","0","1","2","3","4","5","6","7","8","9"},UPPER(TRIM(SUBSTITUTE(SUBSTITUTE(SUBSTITUTE(SUBSTITUTE(INDEX(PASTE_ALL,$DF761,$L$15)," "," "),CHAR(9)," "),CHAR(10)," "),CHAR(13)," "))))))&gt;0,TRIM(SUBSTITUTE(SUBSTITUTE(SUBSTITUTE(SUBSTITUTE(INDEX(PASTE_ALL,$DF761,$L$15)," "," "),CHAR(9)," "),CHAR(10)," "),CHAR(13)," ")),"")),"")))</f>
        <v/>
      </c>
      <c r="DX761">
        <f>IF($DM761=0,"",IF($L$16=0,"",IFERROR(IF(ISNUMBER(INDEX(PASTE_ALL,$DF761,$L$16)),INDEX(PASTE_ALL,$DF761,$L$16),SUBSTITUTE(SUBSTITUTE(TRIM(SUBSTITUTE(SUBSTITUTE(SUBSTITUTE(SUBSTITUTE(INDEX(PASTE_ALL,$DF761,$L$16)," "," "),CHAR(9)," "),CHAR(10)," "),CHAR(13)," ")),",",""),"%","")),"")))</f>
        <v/>
      </c>
      <c r="DY761">
        <f>IF($DM761=0,"",IFERROR(IF(ISNUMBER($DX761),$DX761,IF($DX761="","",IF(TRIM($DX761)="",0,IF(AND(AND(SUBSTITUTE(SUBSTITUTE(SUBSTITUTE(SUBSTITUTE(SUBSTITUTE(SUBSTITUTE(SUBSTITUTE(SUBSTITUTE(SUBSTITUTE(SUBSTITUTE(SUBSTITUTE(SUBSTITUTE(SUBSTITUTE(SUBSTITUTE(UPPER(TRIM($DX761)),"0",""),"1",""),"2",""),"3",""),"4",""),"5",""),"6",""),"7",""),"8",""),"9",""),".",""),"+",""),"-",""),"E","")="",LEN(SUBSTITUTE(SUBSTITUTE(MID(UPPER(TRIM($DX761)),1+OR(LEFT(UPPER(TRIM($DX761)),1)="+",LEFT(UPPER(TRIM($DX761)),1)="-"),999),"E+","E"),"E-","E"))=LEN(SUBSTITUTE(SUBSTITUTE(SUBSTITUTE(SUBSTITUTE(MID(UPPER(TRIM($DX761)),1+OR(LEFT(UPPER(TRIM($DX761)),1)="+",LEFT(UPPER(TRIM($DX761)),1)="-"),999),"E+","E"),"E-","E"),"+",""),"-","")),LEN(UPPER(TRIM($DX761)))-LEN(SUBSTITUTE(UPPER(TRIM($DX761)),"E",""))&lt;2,LEN(UPPER(TRIM($DX761)))-LEN(SUBSTITUTE(UPPER(TRIM($DX761)),".",""))&lt;2,IFERROR(FIND(".",UPPER(TRIM($DX761))),0)&lt;IFERROR(FIND("E",UPPER(TRIM($DX761))),999)),ISNUMBER(VALUE(TRIM($DX761)))),VALUE(TRIM($DX761)),"")))),""))</f>
        <v/>
      </c>
      <c r="DZ761">
        <f>IF($DM761=0,"",IF($L$17=0,"",IFERROR(IF(ISNUMBER(INDEX(PASTE_ALL,$DF761,$L$17)),INDEX(PASTE_ALL,$DF761,$L$17),SUBSTITUTE(SUBSTITUTE(TRIM(SUBSTITUTE(SUBSTITUTE(SUBSTITUTE(SUBSTITUTE(INDEX(PASTE_ALL,$DF761,$L$17)," "," "),CHAR(9)," "),CHAR(10)," "),CHAR(13)," ")),",",""),"%","")),"")))</f>
        <v/>
      </c>
      <c r="EA761">
        <f>IF($DM761=0,"",IFERROR(IF(ISNUMBER($DZ761),$DZ761,IF($DZ761="","",IF(TRIM($DZ761)="",0,IF(AND(AND(SUBSTITUTE(SUBSTITUTE(SUBSTITUTE(SUBSTITUTE(SUBSTITUTE(SUBSTITUTE(SUBSTITUTE(SUBSTITUTE(SUBSTITUTE(SUBSTITUTE(SUBSTITUTE(SUBSTITUTE(SUBSTITUTE(SUBSTITUTE(UPPER(TRIM($DZ761)),"0",""),"1",""),"2",""),"3",""),"4",""),"5",""),"6",""),"7",""),"8",""),"9",""),".",""),"+",""),"-",""),"E","")="",LEN(SUBSTITUTE(SUBSTITUTE(MID(UPPER(TRIM($DZ761)),1+OR(LEFT(UPPER(TRIM($DZ761)),1)="+",LEFT(UPPER(TRIM($DZ761)),1)="-"),999),"E+","E"),"E-","E"))=LEN(SUBSTITUTE(SUBSTITUTE(SUBSTITUTE(SUBSTITUTE(MID(UPPER(TRIM($DZ761)),1+OR(LEFT(UPPER(TRIM($DZ761)),1)="+",LEFT(UPPER(TRIM($DZ761)),1)="-"),999),"E+","E"),"E-","E"),"+",""),"-","")),LEN(UPPER(TRIM($DZ761)))-LEN(SUBSTITUTE(UPPER(TRIM($DZ761)),"E",""))&lt;2,LEN(UPPER(TRIM($DZ761)))-LEN(SUBSTITUTE(UPPER(TRIM($DZ761)),".",""))&lt;2,IFERROR(FIND(".",UPPER(TRIM($DZ761))),0)&lt;IFERROR(FIND("E",UPPER(TRIM($DZ761))),999)),ISNUMBER(VALUE(TRIM($DZ761)))),VALUE(TRIM($DZ761)),"")))),""))</f>
        <v/>
      </c>
      <c r="EB761">
        <f>IF($DM761=0,"",IF($L$18=0,"",IFERROR(IF(UPPER(TRIM(SUBSTITUTE(SUBSTITUTE(SUBSTITUTE(SUBSTITUTE(INDEX(PASTE_ALL,$DF761,$L$18)," "," "),CHAR(9)," "),CHAR(10)," "),CHAR(13)," ")))="READY","Ready",IF(UPPER(TRIM(SUBSTITUTE(SUBSTITUTE(SUBSTITUTE(SUBSTITUTE(INDEX(PASTE_ALL,$DF761,$L$18)," "," "),CHAR(9)," "),CHAR(10)," "),CHAR(13)," ")))="PM","PM",IF(OR(UPPER(TRIM(SUBSTITUTE(SUBSTITUTE(SUBSTITUTE(SUBSTITUTE(INDEX(PASTE_ALL,$DF761,$L$18)," "," "),CHAR(9)," "),CHAR(10)," "),CHAR(13)," ")))="OT",UPPER(TRIM(SUBSTITUTE(SUBSTITUTE(SUBSTITUTE(SUBSTITUTE(INDEX(PASTE_ALL,$DF761,$L$18)," "," "),CHAR(9)," "),CHAR(10)," "),CHAR(13)," ")))="OVERTIME",UPPER(TRIM(SUBSTITUTE(SUBSTITUTE(SUBSTITUTE(SUBSTITUTE(INDEX(PASTE_ALL,$DF761,$L$18)," "," "),CHAR(9)," "),CHAR(10)," "),CHAR(13)," ")))="TRIAL"),"OT",TRIM(SUBSTITUTE(SUBSTITUTE(SUBSTITUTE(SUBSTITUTE(INDEX(PASTE_ALL,$DF761,$L$18)," "," "),CHAR(9)," "),CHAR(10)," "),CHAR(13)," "))))),"")))</f>
        <v/>
      </c>
      <c r="EC761">
        <f>IF($DM761=0,"",IF($L$19=0,"",IFERROR(IF(ISNUMBER(INDEX(PASTE_ALL,$DF761,$L$19)),INDEX(PASTE_ALL,$DF761,$L$19),TRIM(SUBSTITUTE(SUBSTITUTE(SUBSTITUTE(SUBSTITUTE(INDEX(PASTE_ALL,$DF761,$L$19)," "," "),CHAR(9)," "),CHAR(10)," "),CHAR(13)," "))),"")))</f>
        <v/>
      </c>
      <c r="ED761">
        <f>IF($DM761=0,"",MATCH(1,INDEX(EXACT($DH$5:DH761,$DH761)*$DM$5:DM761,0),0))</f>
        <v/>
      </c>
      <c r="EE761">
        <f>IF($DM761=0,0,IF($ED761=$DE761,1,0))</f>
        <v/>
      </c>
      <c r="EF761">
        <f>EF760+$EE761</f>
        <v/>
      </c>
      <c r="EG761">
        <f>IF($DM761=0,"",INDEX($EF$5:$EF$1003,$ED761))</f>
        <v/>
      </c>
      <c r="EH761">
        <f>IF($DM761=0,"",IF($DO761&lt;&gt;"","",IFERROR(LOOKUP(2,1/(($EG$4:EG760=$EG761)*($DO$4:DO760&lt;&gt;"")),$DO$4:DO760),"")))</f>
        <v/>
      </c>
      <c r="EI761">
        <f>IF($DM761=0,"",IF($DO761&lt;&gt;"",$DO761,$EH761))</f>
        <v/>
      </c>
      <c r="EJ761">
        <f>IF($DM761=0,"",IF($EI761="",0,IF(OR(ISNUMBER($EI761),AND(AND(SUBSTITUTE(SUBSTITUTE(SUBSTITUTE(SUBSTITUTE(SUBSTITUTE(SUBSTITUTE(SUBSTITUTE(SUBSTITUTE(SUBSTITUTE(SUBSTITUTE(SUBSTITUTE(SUBSTITUTE(SUBSTITUTE(SUBSTITUTE(UPPER($EI761),"0",""),"1",""),"2",""),"3",""),"4",""),"5",""),"6",""),"7",""),"8",""),"9",""),".",""),"+",""),"-",""),"E","")="",LEN(SUBSTITUTE(SUBSTITUTE(MID(UPPER($EI761),1+OR(LEFT(UPPER($EI761),1)="+",LEFT(UPPER($EI761),1)="-"),999),"E+","E"),"E-","E"))=LEN(SUBSTITUTE(SUBSTITUTE(SUBSTITUTE(SUBSTITUTE(MID(UPPER($EI761),1+OR(LEFT(UPPER($EI761),1)="+",LEFT(UPPER($EI761),1)="-"),999),"E+","E"),"E-","E"),"+",""),"-","")),LEN(UPPER($EI761))-LEN(SUBSTITUTE(UPPER($EI761),"E",""))&lt;2,LEN(UPPER($EI761))-LEN(SUBSTITUTE(UPPER($EI761),".",""))&lt;2,IFERROR(FIND(".",UPPER($EI761)),0)&lt;IFERROR(FIND("E",UPPER($EI761)),999)),ISNUMBER(VALUE($EI761)))),1,2)))</f>
        <v/>
      </c>
      <c r="EK761">
        <f>IF($DM761=0,"",IF($EJ761=1,IF(ISNUMBER($EI761),$EI761,VALUE($EI761)),IF($EJ761=2,$DE761,0)))</f>
        <v/>
      </c>
      <c r="EL761">
        <f>IF($DM761=0,"",COUNTIF($EG$5:$EG$1003,"&lt;"&amp;$EG761)+SUMPRODUCT(($EG$5:$EG$1003=$EG761)*(($EJ$5:$EJ$1003&lt;$EJ761)+($EJ$5:$EJ$1003=$EJ761)*(($EK$5:$EK$1003&lt;$EK761)+($EK$5:$EK$1003=$EK761)*($DE$5:$DE$1003&lt;$DE761))))+1)</f>
        <v/>
      </c>
      <c r="EM761">
        <f>IF($DM761=0,"",$EL761+$EG761-1)</f>
        <v/>
      </c>
      <c r="EN761">
        <f>IF($DM761=0,0,IFERROR(MATCH(1,INDEX(--(TRIM(SUBSTITUTE(SUBSTITUTE(SUBSTITUTE(SUBSTITUTE(LINES_NAME&amp;""," "," "),CHAR(9)," "),CHAR(10)," "),CHAR(13)," "))=$DH761),0),0),0))</f>
        <v/>
      </c>
      <c r="EO761">
        <f>IF($EN761=0,0,IF(OR(UPPER(TRIM(INDEX(LINES_SCHEDULED,$EN761)&amp;""))="YES",UPPER(TRIM(INDEX(LINES_SCHEDULED,$EN761)&amp;""))="Y",UPPER(TRIM(INDEX(LINES_SCHEDULED,$EN761)&amp;""))="X"),1,0))</f>
        <v/>
      </c>
      <c r="EP761">
        <f>IF($DM761=0,"",IF(COUNTIFS($EG$5:$EG$1003,$EG761,$EB$5:$EB$1003,"Ready")&gt;0,"READY",IF(COUNTIFS($EG$5:$EG$1003,$EG761,$EB$5:$EB$1003,"PM")&gt;0,"PM",IF(COUNTIFS($EG$5:$EG$1003,$EG761,$EB$5:$EB$1003,"OT")&gt;0,"OT",""))))</f>
        <v/>
      </c>
      <c r="EQ761">
        <f>IF($EN761=0,"",UPPER(TRIM(INDEX(LINES_STATUS,$EN761)&amp;"")))</f>
        <v/>
      </c>
      <c r="ER761">
        <f>IF($DM761=0,"",IF(OR($EQ761="READY",$EQ761="PM",$EQ761="OT"),$EQ761,$EP761))</f>
        <v/>
      </c>
      <c r="ES761">
        <f>IF($DM761=0,"",IF(AND($DV761&lt;&gt;"",UPPER($DV761)&lt;&gt;"N"),"allergen",IF(ISNUMBER(SEARCH("oil",$DQ761)),"oil",IF(OR(EXACT($DS761,"A662"),EXACT($DS761,"A624")),"bulk",""))))</f>
        <v/>
      </c>
      <c r="ET761">
        <f>IF($DM761=0,"",IF(OR($EA761="",$EA761=0),"",$EA761/100))</f>
        <v/>
      </c>
      <c r="EU761">
        <f>IF(OR($ET761="",$DY761=""),"",INT($DY761*(1-$ET761)+0.5))</f>
        <v/>
      </c>
    </row>
    <row r="762">
      <c r="DA762" t="n">
        <v>758</v>
      </c>
      <c r="DB762">
        <f>IF($B$37=0,"",IFERROR(TRIM(SUBSTITUTE(SUBSTITUTE(SUBSTITUTE(SUBSTITUTE(INDEX(PASTE_ALL,758,$B$37)," "," "),CHAR(9)," "),CHAR(10)," "),CHAR(13)," ")),""))</f>
        <v/>
      </c>
      <c r="DC762">
        <f>IF(AND(758&gt;HEADER_ROW,UPPER(DB762)="LEGEND"),1,0)</f>
        <v/>
      </c>
      <c r="DE762" t="n">
        <v>758</v>
      </c>
      <c r="DF762">
        <f>HEADER_ROW+$DE762</f>
        <v/>
      </c>
      <c r="DG762">
        <f>IF(AND($DF762&lt;=1000,$DF762&lt;$B$8),1,0)</f>
        <v/>
      </c>
      <c r="DH762">
        <f>IF($DG762=1,IFERROR(INDEX($DB$5:$DB$1004,$DF762),""),"")</f>
        <v/>
      </c>
      <c r="DI762">
        <f>IF(AND($DG762=1,$DH762&lt;&gt;""),IFERROR(SUBSTITUTE(SUBSTITUTE(TRIM(SUBSTITUTE(SUBSTITUTE(SUBSTITUTE(SUBSTITUTE(IFERROR(INDEX(PASTE_ALL,$DF762,1)&amp;"","")&amp;"␟"&amp;IFERROR(INDEX(PASTE_ALL,$DF762,2)&amp;"","")&amp;"␟"&amp;IFERROR(INDEX(PASTE_ALL,$DF762,3)&amp;"","")&amp;"␟"&amp;IFERROR(INDEX(PASTE_ALL,$DF762,4)&amp;"","")&amp;"␟"&amp;IFERROR(INDEX(PASTE_ALL,$DF762,5)&amp;"","")&amp;"␟"&amp;IFERROR(INDEX(PASTE_ALL,$DF762,6)&amp;"","")&amp;"␟"&amp;IFERROR(INDEX(PASTE_ALL,$DF762,7)&amp;"","")&amp;"␟"&amp;IFERROR(INDEX(PASTE_ALL,$DF762,8)&amp;"","")&amp;"␟"&amp;IFERROR(INDEX(PASTE_ALL,$DF762,9)&amp;"","")&amp;"␟"&amp;IFERROR(INDEX(PASTE_ALL,$DF762,10)&amp;"","")&amp;"␟"&amp;IFERROR(INDEX(PASTE_ALL,$DF762,11)&amp;"","")&amp;"␟"&amp;IFERROR(INDEX(PASTE_ALL,$DF762,12)&amp;"","")&amp;"␟"&amp;IFERROR(INDEX(PASTE_ALL,$DF762,13)&amp;"","")&amp;"␟"&amp;IFERROR(INDEX(PASTE_ALL,$DF762,14)&amp;"","")&amp;"␟"&amp;IFERROR(INDEX(PASTE_ALL,$DF762,15)&amp;"","")&amp;"␟"&amp;IFERROR(INDEX(PASTE_ALL,$DF762,16)&amp;"","")&amp;"␟"&amp;IFERROR(INDEX(PASTE_ALL,$DF762,17)&amp;"","")&amp;"␟"&amp;IFERROR(INDEX(PASTE_ALL,$DF762,18)&amp;"","")&amp;"␟"&amp;IFERROR(INDEX(PASTE_ALL,$DF762,19)&amp;"","")&amp;"␟"&amp;IFERROR(INDEX(PASTE_ALL,$DF762,20)&amp;"","")&amp;"␟"&amp;IFERROR(INDEX(PASTE_ALL,$DF762,21)&amp;"","")&amp;"␟"&amp;IFERROR(INDEX(PASTE_ALL,$DF762,22)&amp;"","")&amp;"␟"&amp;IFERROR(INDEX(PASTE_ALL,$DF762,23)&amp;"","")&amp;"␟"&amp;IFERROR(INDEX(PASTE_ALL,$DF762,24)&amp;"","")&amp;"␟"&amp;IFERROR(INDEX(PASTE_ALL,$DF762,25)&amp;"","")&amp;"␟"&amp;IFERROR(INDEX(PASTE_ALL,$DF762,26)&amp;"","")&amp;"␟"&amp;IFERROR(INDEX(PASTE_ALL,$DF762,27)&amp;"","")&amp;"␟"&amp;IFERROR(INDEX(PASTE_ALL,$DF762,28)&amp;"","")&amp;"␟"&amp;IFERROR(INDEX(PASTE_ALL,$DF762,29)&amp;"","")&amp;"␟"&amp;IFERROR(INDEX(PASTE_ALL,$DF762,30)&amp;"","")&amp;"␟"&amp;IFERROR(INDEX(PASTE_ALL,$DF762,31)&amp;"","")&amp;"␟"&amp;IFERROR(INDEX(PASTE_ALL,$DF762,32)&amp;"","")&amp;"␟"&amp;IFERROR(INDEX(PASTE_ALL,$DF762,33)&amp;"","")&amp;"␟"&amp;IFERROR(INDEX(PASTE_ALL,$DF762,34)&amp;"","")&amp;"␟"&amp;IFERROR(INDEX(PASTE_ALL,$DF762,35)&amp;"","")&amp;"␟"&amp;IFERROR(INDEX(PASTE_ALL,$DF762,36)&amp;"","")&amp;"␟"&amp;IFERROR(INDEX(PASTE_ALL,$DF762,37)&amp;"","")&amp;"␟"&amp;IFERROR(INDEX(PASTE_ALL,$DF762,38)&amp;"","")&amp;"␟"&amp;IFERROR(INDEX(PASTE_ALL,$DF762,39)&amp;"","")&amp;"␟"&amp;IFERROR(INDEX(PASTE_ALL,$DF762,40)&amp;"","")&amp;"␟"&amp;IFERROR(INDEX(PASTE_ALL,$DF762,41)&amp;"","")&amp;"␟"&amp;IFERROR(INDEX(PASTE_ALL,$DF762,42)&amp;"","")&amp;"␟"&amp;IFERROR(INDEX(PASTE_ALL,$DF762,43)&amp;"","")&amp;"␟"&amp;IFERROR(INDEX(PASTE_ALL,$DF762,44)&amp;"","")&amp;"␟"&amp;IFERROR(INDEX(PASTE_ALL,$DF762,45)&amp;"","")&amp;"␟"&amp;IFERROR(INDEX(PASTE_ALL,$DF762,46)&amp;"","")&amp;"␟"&amp;IFERROR(INDEX(PASTE_ALL,$DF762,47)&amp;"","")&amp;"␟"&amp;IFERROR(INDEX(PASTE_ALL,$DF762,48)&amp;"","")&amp;"␟"&amp;IFERROR(INDEX(PASTE_ALL,$DF762,49)&amp;"","")&amp;"␟"&amp;IFERROR(INDEX(PASTE_ALL,$DF762,50)&amp;"","")&amp;"␟"&amp;IFERROR(INDEX(PASTE_ALL,$DF762,51)&amp;"","")&amp;"␟"&amp;IFERROR(INDEX(PASTE_ALL,$DF762,52)&amp;"","")&amp;"␟"&amp;IFERROR(INDEX(PASTE_ALL,$DF762,53)&amp;"","")&amp;"␟"&amp;IFERROR(INDEX(PASTE_ALL,$DF762,54)&amp;"","")&amp;"␟"&amp;IFERROR(INDEX(PASTE_ALL,$DF762,55)&amp;"","")&amp;"␟"&amp;IFERROR(INDEX(PASTE_ALL,$DF762,56)&amp;"","")&amp;"␟"&amp;IFERROR(INDEX(PASTE_ALL,$DF762,57)&amp;"","")&amp;"␟"&amp;IFERROR(INDEX(PASTE_ALL,$DF762,58)&amp;"","")&amp;"␟"&amp;IFERROR(INDEX(PASTE_ALL,$DF762,59)&amp;"","")&amp;"␟"&amp;IFERROR(INDEX(PASTE_ALL,$DF762,60)&amp;"","")," "," "),CHAR(9)," "),CHAR(10)," "),CHAR(13)," "))," ␟","␟"),"␟ ","␟"),"#"&amp;$DE762),"")</f>
        <v/>
      </c>
      <c r="DJ762">
        <f>IF($DI762="",0,IF(SUMPRODUCT(--EXACT($DI$4:DI761,$DI762))&gt;0,1,0))</f>
        <v/>
      </c>
      <c r="DK762">
        <f>IF(AND($DI762&lt;&gt;"",$DJ762=0),1,0)</f>
        <v/>
      </c>
      <c r="DL762">
        <f>DL761+$DK762</f>
        <v/>
      </c>
      <c r="DM762">
        <f>IF(AND($DK762=1,$DL762&lt;=600),1,0)</f>
        <v/>
      </c>
      <c r="DN762">
        <f>IF($DM762=0,"",IF($L$6=0,"",IFERROR(IF(ISNUMBER(INDEX(PASTE_ALL,$DF762,$L$6)),INDEX(PASTE_ALL,$DF762,$L$6),TRIM(SUBSTITUTE(SUBSTITUTE(SUBSTITUTE(SUBSTITUTE(INDEX(PASTE_ALL,$DF762,$L$6)," "," "),CHAR(9)," "),CHAR(10)," "),CHAR(13)," "))),"")))</f>
        <v/>
      </c>
      <c r="DO762">
        <f>IF($DM762=0,"",IF($L$7=0,"",IFERROR(IF(ISNUMBER(INDEX(PASTE_ALL,$DF762,$L$7)),INDEX(PASTE_ALL,$DF762,$L$7),TRIM(SUBSTITUTE(SUBSTITUTE(SUBSTITUTE(SUBSTITUTE(INDEX(PASTE_ALL,$DF762,$L$7)," "," "),CHAR(9)," "),CHAR(10)," "),CHAR(13)," "))),"")))</f>
        <v/>
      </c>
      <c r="DP762">
        <f>IF($DM762=0,"",IF($L$8=0,"",IFERROR(IF(ISNUMBER(INDEX(PASTE_ALL,$DF762,$L$8)),INDEX(PASTE_ALL,$DF762,$L$8),TRIM(SUBSTITUTE(SUBSTITUTE(SUBSTITUTE(SUBSTITUTE(INDEX(PASTE_ALL,$DF762,$L$8)," "," "),CHAR(9)," "),CHAR(10)," "),CHAR(13)," "))),"")))</f>
        <v/>
      </c>
      <c r="DQ762">
        <f>IF($DM762=0,"",IF($L$9=0,"",IFERROR(IF(ISNUMBER(INDEX(PASTE_ALL,$DF762,$L$9)),INDEX(PASTE_ALL,$DF762,$L$9),TRIM(SUBSTITUTE(SUBSTITUTE(SUBSTITUTE(SUBSTITUTE(INDEX(PASTE_ALL,$DF762,$L$9)," "," "),CHAR(9)," "),CHAR(10)," "),CHAR(13)," "))),"")))</f>
        <v/>
      </c>
      <c r="DR762">
        <f>IF($DM762=0,"",IF($L$10=0,"",IFERROR(IF(ISNUMBER(INDEX(PASTE_ALL,$DF762,$L$10)),INDEX(PASTE_ALL,$DF762,$L$10),TRIM(SUBSTITUTE(SUBSTITUTE(SUBSTITUTE(SUBSTITUTE(INDEX(PASTE_ALL,$DF762,$L$10)," "," "),CHAR(9)," "),CHAR(10)," "),CHAR(13)," "))),"")))</f>
        <v/>
      </c>
      <c r="DS762">
        <f>IF($DM762=0,"",IF($L$11=0,"",IFERROR(IF(ISNUMBER(INDEX(PASTE_ALL,$DF762,$L$11)),INDEX(PASTE_ALL,$DF762,$L$11),TRIM(SUBSTITUTE(SUBSTITUTE(SUBSTITUTE(SUBSTITUTE(INDEX(PASTE_ALL,$DF762,$L$11)," "," "),CHAR(9)," "),CHAR(10)," "),CHAR(13)," "))),"")))</f>
        <v/>
      </c>
      <c r="DT762">
        <f>IF($DM762=0,"",IF($L$12=0,"",IFERROR(IF(ISNUMBER(INDEX(PASTE_ALL,$DF762,$L$12)),INDEX(PASTE_ALL,$DF762,$L$12),TRIM(SUBSTITUTE(SUBSTITUTE(SUBSTITUTE(SUBSTITUTE(INDEX(PASTE_ALL,$DF762,$L$12)," "," "),CHAR(9)," "),CHAR(10)," "),CHAR(13)," "))),"")))</f>
        <v/>
      </c>
      <c r="DU762">
        <f>IF($DM762=0,"",IF($L$13=0,"",IFERROR(IF(ISNUMBER(INDEX(PASTE_ALL,$DF762,$L$13)),INDEX(PASTE_ALL,$DF762,$L$13),TRIM(SUBSTITUTE(SUBSTITUTE(SUBSTITUTE(SUBSTITUTE(INDEX(PASTE_ALL,$DF762,$L$13)," "," "),CHAR(9)," "),CHAR(10)," "),CHAR(13)," "))),"")))</f>
        <v/>
      </c>
      <c r="DV762">
        <f>IF($DM762=0,"",IF($L$14=0,"",IFERROR(IF(ISNUMBER(INDEX(PASTE_ALL,$DF762,$L$14)),INDEX(PASTE_ALL,$DF762,$L$14),TRIM(SUBSTITUTE(SUBSTITUTE(SUBSTITUTE(SUBSTITUTE(INDEX(PASTE_ALL,$DF762,$L$14)," "," "),CHAR(9)," "),CHAR(10)," "),CHAR(13)," "))),"")))</f>
        <v/>
      </c>
      <c r="DW762">
        <f>IF($DM762=0,"",IF($L$15=0,"",IFERROR(IF(ISNUMBER(INDEX(PASTE_ALL,$DF762,$L$15)),INDEX(PASTE_ALL,$DF762,$L$15),IF(SUMPRODUCT(--ISNUMBER(FIND({"A","B","C","D","E","F","G","H","I","J","K","L","M","N","O","P","Q","R","S","T","U","V","W","X","Y","Z","0","1","2","3","4","5","6","7","8","9"},UPPER(TRIM(SUBSTITUTE(SUBSTITUTE(SUBSTITUTE(SUBSTITUTE(INDEX(PASTE_ALL,$DF762,$L$15)," "," "),CHAR(9)," "),CHAR(10)," "),CHAR(13)," "))))))&gt;0,TRIM(SUBSTITUTE(SUBSTITUTE(SUBSTITUTE(SUBSTITUTE(INDEX(PASTE_ALL,$DF762,$L$15)," "," "),CHAR(9)," "),CHAR(10)," "),CHAR(13)," ")),"")),"")))</f>
        <v/>
      </c>
      <c r="DX762">
        <f>IF($DM762=0,"",IF($L$16=0,"",IFERROR(IF(ISNUMBER(INDEX(PASTE_ALL,$DF762,$L$16)),INDEX(PASTE_ALL,$DF762,$L$16),SUBSTITUTE(SUBSTITUTE(TRIM(SUBSTITUTE(SUBSTITUTE(SUBSTITUTE(SUBSTITUTE(INDEX(PASTE_ALL,$DF762,$L$16)," "," "),CHAR(9)," "),CHAR(10)," "),CHAR(13)," ")),",",""),"%","")),"")))</f>
        <v/>
      </c>
      <c r="DY762">
        <f>IF($DM762=0,"",IFERROR(IF(ISNUMBER($DX762),$DX762,IF($DX762="","",IF(TRIM($DX762)="",0,IF(AND(AND(SUBSTITUTE(SUBSTITUTE(SUBSTITUTE(SUBSTITUTE(SUBSTITUTE(SUBSTITUTE(SUBSTITUTE(SUBSTITUTE(SUBSTITUTE(SUBSTITUTE(SUBSTITUTE(SUBSTITUTE(SUBSTITUTE(SUBSTITUTE(UPPER(TRIM($DX762)),"0",""),"1",""),"2",""),"3",""),"4",""),"5",""),"6",""),"7",""),"8",""),"9",""),".",""),"+",""),"-",""),"E","")="",LEN(SUBSTITUTE(SUBSTITUTE(MID(UPPER(TRIM($DX762)),1+OR(LEFT(UPPER(TRIM($DX762)),1)="+",LEFT(UPPER(TRIM($DX762)),1)="-"),999),"E+","E"),"E-","E"))=LEN(SUBSTITUTE(SUBSTITUTE(SUBSTITUTE(SUBSTITUTE(MID(UPPER(TRIM($DX762)),1+OR(LEFT(UPPER(TRIM($DX762)),1)="+",LEFT(UPPER(TRIM($DX762)),1)="-"),999),"E+","E"),"E-","E"),"+",""),"-","")),LEN(UPPER(TRIM($DX762)))-LEN(SUBSTITUTE(UPPER(TRIM($DX762)),"E",""))&lt;2,LEN(UPPER(TRIM($DX762)))-LEN(SUBSTITUTE(UPPER(TRIM($DX762)),".",""))&lt;2,IFERROR(FIND(".",UPPER(TRIM($DX762))),0)&lt;IFERROR(FIND("E",UPPER(TRIM($DX762))),999)),ISNUMBER(VALUE(TRIM($DX762)))),VALUE(TRIM($DX762)),"")))),""))</f>
        <v/>
      </c>
      <c r="DZ762">
        <f>IF($DM762=0,"",IF($L$17=0,"",IFERROR(IF(ISNUMBER(INDEX(PASTE_ALL,$DF762,$L$17)),INDEX(PASTE_ALL,$DF762,$L$17),SUBSTITUTE(SUBSTITUTE(TRIM(SUBSTITUTE(SUBSTITUTE(SUBSTITUTE(SUBSTITUTE(INDEX(PASTE_ALL,$DF762,$L$17)," "," "),CHAR(9)," "),CHAR(10)," "),CHAR(13)," ")),",",""),"%","")),"")))</f>
        <v/>
      </c>
      <c r="EA762">
        <f>IF($DM762=0,"",IFERROR(IF(ISNUMBER($DZ762),$DZ762,IF($DZ762="","",IF(TRIM($DZ762)="",0,IF(AND(AND(SUBSTITUTE(SUBSTITUTE(SUBSTITUTE(SUBSTITUTE(SUBSTITUTE(SUBSTITUTE(SUBSTITUTE(SUBSTITUTE(SUBSTITUTE(SUBSTITUTE(SUBSTITUTE(SUBSTITUTE(SUBSTITUTE(SUBSTITUTE(UPPER(TRIM($DZ762)),"0",""),"1",""),"2",""),"3",""),"4",""),"5",""),"6",""),"7",""),"8",""),"9",""),".",""),"+",""),"-",""),"E","")="",LEN(SUBSTITUTE(SUBSTITUTE(MID(UPPER(TRIM($DZ762)),1+OR(LEFT(UPPER(TRIM($DZ762)),1)="+",LEFT(UPPER(TRIM($DZ762)),1)="-"),999),"E+","E"),"E-","E"))=LEN(SUBSTITUTE(SUBSTITUTE(SUBSTITUTE(SUBSTITUTE(MID(UPPER(TRIM($DZ762)),1+OR(LEFT(UPPER(TRIM($DZ762)),1)="+",LEFT(UPPER(TRIM($DZ762)),1)="-"),999),"E+","E"),"E-","E"),"+",""),"-","")),LEN(UPPER(TRIM($DZ762)))-LEN(SUBSTITUTE(UPPER(TRIM($DZ762)),"E",""))&lt;2,LEN(UPPER(TRIM($DZ762)))-LEN(SUBSTITUTE(UPPER(TRIM($DZ762)),".",""))&lt;2,IFERROR(FIND(".",UPPER(TRIM($DZ762))),0)&lt;IFERROR(FIND("E",UPPER(TRIM($DZ762))),999)),ISNUMBER(VALUE(TRIM($DZ762)))),VALUE(TRIM($DZ762)),"")))),""))</f>
        <v/>
      </c>
      <c r="EB762">
        <f>IF($DM762=0,"",IF($L$18=0,"",IFERROR(IF(UPPER(TRIM(SUBSTITUTE(SUBSTITUTE(SUBSTITUTE(SUBSTITUTE(INDEX(PASTE_ALL,$DF762,$L$18)," "," "),CHAR(9)," "),CHAR(10)," "),CHAR(13)," ")))="READY","Ready",IF(UPPER(TRIM(SUBSTITUTE(SUBSTITUTE(SUBSTITUTE(SUBSTITUTE(INDEX(PASTE_ALL,$DF762,$L$18)," "," "),CHAR(9)," "),CHAR(10)," "),CHAR(13)," ")))="PM","PM",IF(OR(UPPER(TRIM(SUBSTITUTE(SUBSTITUTE(SUBSTITUTE(SUBSTITUTE(INDEX(PASTE_ALL,$DF762,$L$18)," "," "),CHAR(9)," "),CHAR(10)," "),CHAR(13)," ")))="OT",UPPER(TRIM(SUBSTITUTE(SUBSTITUTE(SUBSTITUTE(SUBSTITUTE(INDEX(PASTE_ALL,$DF762,$L$18)," "," "),CHAR(9)," "),CHAR(10)," "),CHAR(13)," ")))="OVERTIME",UPPER(TRIM(SUBSTITUTE(SUBSTITUTE(SUBSTITUTE(SUBSTITUTE(INDEX(PASTE_ALL,$DF762,$L$18)," "," "),CHAR(9)," "),CHAR(10)," "),CHAR(13)," ")))="TRIAL"),"OT",TRIM(SUBSTITUTE(SUBSTITUTE(SUBSTITUTE(SUBSTITUTE(INDEX(PASTE_ALL,$DF762,$L$18)," "," "),CHAR(9)," "),CHAR(10)," "),CHAR(13)," "))))),"")))</f>
        <v/>
      </c>
      <c r="EC762">
        <f>IF($DM762=0,"",IF($L$19=0,"",IFERROR(IF(ISNUMBER(INDEX(PASTE_ALL,$DF762,$L$19)),INDEX(PASTE_ALL,$DF762,$L$19),TRIM(SUBSTITUTE(SUBSTITUTE(SUBSTITUTE(SUBSTITUTE(INDEX(PASTE_ALL,$DF762,$L$19)," "," "),CHAR(9)," "),CHAR(10)," "),CHAR(13)," "))),"")))</f>
        <v/>
      </c>
      <c r="ED762">
        <f>IF($DM762=0,"",MATCH(1,INDEX(EXACT($DH$5:DH762,$DH762)*$DM$5:DM762,0),0))</f>
        <v/>
      </c>
      <c r="EE762">
        <f>IF($DM762=0,0,IF($ED762=$DE762,1,0))</f>
        <v/>
      </c>
      <c r="EF762">
        <f>EF761+$EE762</f>
        <v/>
      </c>
      <c r="EG762">
        <f>IF($DM762=0,"",INDEX($EF$5:$EF$1003,$ED762))</f>
        <v/>
      </c>
      <c r="EH762">
        <f>IF($DM762=0,"",IF($DO762&lt;&gt;"","",IFERROR(LOOKUP(2,1/(($EG$4:EG761=$EG762)*($DO$4:DO761&lt;&gt;"")),$DO$4:DO761),"")))</f>
        <v/>
      </c>
      <c r="EI762">
        <f>IF($DM762=0,"",IF($DO762&lt;&gt;"",$DO762,$EH762))</f>
        <v/>
      </c>
      <c r="EJ762">
        <f>IF($DM762=0,"",IF($EI762="",0,IF(OR(ISNUMBER($EI762),AND(AND(SUBSTITUTE(SUBSTITUTE(SUBSTITUTE(SUBSTITUTE(SUBSTITUTE(SUBSTITUTE(SUBSTITUTE(SUBSTITUTE(SUBSTITUTE(SUBSTITUTE(SUBSTITUTE(SUBSTITUTE(SUBSTITUTE(SUBSTITUTE(UPPER($EI762),"0",""),"1",""),"2",""),"3",""),"4",""),"5",""),"6",""),"7",""),"8",""),"9",""),".",""),"+",""),"-",""),"E","")="",LEN(SUBSTITUTE(SUBSTITUTE(MID(UPPER($EI762),1+OR(LEFT(UPPER($EI762),1)="+",LEFT(UPPER($EI762),1)="-"),999),"E+","E"),"E-","E"))=LEN(SUBSTITUTE(SUBSTITUTE(SUBSTITUTE(SUBSTITUTE(MID(UPPER($EI762),1+OR(LEFT(UPPER($EI762),1)="+",LEFT(UPPER($EI762),1)="-"),999),"E+","E"),"E-","E"),"+",""),"-","")),LEN(UPPER($EI762))-LEN(SUBSTITUTE(UPPER($EI762),"E",""))&lt;2,LEN(UPPER($EI762))-LEN(SUBSTITUTE(UPPER($EI762),".",""))&lt;2,IFERROR(FIND(".",UPPER($EI762)),0)&lt;IFERROR(FIND("E",UPPER($EI762)),999)),ISNUMBER(VALUE($EI762)))),1,2)))</f>
        <v/>
      </c>
      <c r="EK762">
        <f>IF($DM762=0,"",IF($EJ762=1,IF(ISNUMBER($EI762),$EI762,VALUE($EI762)),IF($EJ762=2,$DE762,0)))</f>
        <v/>
      </c>
      <c r="EL762">
        <f>IF($DM762=0,"",COUNTIF($EG$5:$EG$1003,"&lt;"&amp;$EG762)+SUMPRODUCT(($EG$5:$EG$1003=$EG762)*(($EJ$5:$EJ$1003&lt;$EJ762)+($EJ$5:$EJ$1003=$EJ762)*(($EK$5:$EK$1003&lt;$EK762)+($EK$5:$EK$1003=$EK762)*($DE$5:$DE$1003&lt;$DE762))))+1)</f>
        <v/>
      </c>
      <c r="EM762">
        <f>IF($DM762=0,"",$EL762+$EG762-1)</f>
        <v/>
      </c>
      <c r="EN762">
        <f>IF($DM762=0,0,IFERROR(MATCH(1,INDEX(--(TRIM(SUBSTITUTE(SUBSTITUTE(SUBSTITUTE(SUBSTITUTE(LINES_NAME&amp;""," "," "),CHAR(9)," "),CHAR(10)," "),CHAR(13)," "))=$DH762),0),0),0))</f>
        <v/>
      </c>
      <c r="EO762">
        <f>IF($EN762=0,0,IF(OR(UPPER(TRIM(INDEX(LINES_SCHEDULED,$EN762)&amp;""))="YES",UPPER(TRIM(INDEX(LINES_SCHEDULED,$EN762)&amp;""))="Y",UPPER(TRIM(INDEX(LINES_SCHEDULED,$EN762)&amp;""))="X"),1,0))</f>
        <v/>
      </c>
      <c r="EP762">
        <f>IF($DM762=0,"",IF(COUNTIFS($EG$5:$EG$1003,$EG762,$EB$5:$EB$1003,"Ready")&gt;0,"READY",IF(COUNTIFS($EG$5:$EG$1003,$EG762,$EB$5:$EB$1003,"PM")&gt;0,"PM",IF(COUNTIFS($EG$5:$EG$1003,$EG762,$EB$5:$EB$1003,"OT")&gt;0,"OT",""))))</f>
        <v/>
      </c>
      <c r="EQ762">
        <f>IF($EN762=0,"",UPPER(TRIM(INDEX(LINES_STATUS,$EN762)&amp;"")))</f>
        <v/>
      </c>
      <c r="ER762">
        <f>IF($DM762=0,"",IF(OR($EQ762="READY",$EQ762="PM",$EQ762="OT"),$EQ762,$EP762))</f>
        <v/>
      </c>
      <c r="ES762">
        <f>IF($DM762=0,"",IF(AND($DV762&lt;&gt;"",UPPER($DV762)&lt;&gt;"N"),"allergen",IF(ISNUMBER(SEARCH("oil",$DQ762)),"oil",IF(OR(EXACT($DS762,"A662"),EXACT($DS762,"A624")),"bulk",""))))</f>
        <v/>
      </c>
      <c r="ET762">
        <f>IF($DM762=0,"",IF(OR($EA762="",$EA762=0),"",$EA762/100))</f>
        <v/>
      </c>
      <c r="EU762">
        <f>IF(OR($ET762="",$DY762=""),"",INT($DY762*(1-$ET762)+0.5))</f>
        <v/>
      </c>
    </row>
    <row r="763">
      <c r="DA763" t="n">
        <v>759</v>
      </c>
      <c r="DB763">
        <f>IF($B$37=0,"",IFERROR(TRIM(SUBSTITUTE(SUBSTITUTE(SUBSTITUTE(SUBSTITUTE(INDEX(PASTE_ALL,759,$B$37)," "," "),CHAR(9)," "),CHAR(10)," "),CHAR(13)," ")),""))</f>
        <v/>
      </c>
      <c r="DC763">
        <f>IF(AND(759&gt;HEADER_ROW,UPPER(DB763)="LEGEND"),1,0)</f>
        <v/>
      </c>
      <c r="DE763" t="n">
        <v>759</v>
      </c>
      <c r="DF763">
        <f>HEADER_ROW+$DE763</f>
        <v/>
      </c>
      <c r="DG763">
        <f>IF(AND($DF763&lt;=1000,$DF763&lt;$B$8),1,0)</f>
        <v/>
      </c>
      <c r="DH763">
        <f>IF($DG763=1,IFERROR(INDEX($DB$5:$DB$1004,$DF763),""),"")</f>
        <v/>
      </c>
      <c r="DI763">
        <f>IF(AND($DG763=1,$DH763&lt;&gt;""),IFERROR(SUBSTITUTE(SUBSTITUTE(TRIM(SUBSTITUTE(SUBSTITUTE(SUBSTITUTE(SUBSTITUTE(IFERROR(INDEX(PASTE_ALL,$DF763,1)&amp;"","")&amp;"␟"&amp;IFERROR(INDEX(PASTE_ALL,$DF763,2)&amp;"","")&amp;"␟"&amp;IFERROR(INDEX(PASTE_ALL,$DF763,3)&amp;"","")&amp;"␟"&amp;IFERROR(INDEX(PASTE_ALL,$DF763,4)&amp;"","")&amp;"␟"&amp;IFERROR(INDEX(PASTE_ALL,$DF763,5)&amp;"","")&amp;"␟"&amp;IFERROR(INDEX(PASTE_ALL,$DF763,6)&amp;"","")&amp;"␟"&amp;IFERROR(INDEX(PASTE_ALL,$DF763,7)&amp;"","")&amp;"␟"&amp;IFERROR(INDEX(PASTE_ALL,$DF763,8)&amp;"","")&amp;"␟"&amp;IFERROR(INDEX(PASTE_ALL,$DF763,9)&amp;"","")&amp;"␟"&amp;IFERROR(INDEX(PASTE_ALL,$DF763,10)&amp;"","")&amp;"␟"&amp;IFERROR(INDEX(PASTE_ALL,$DF763,11)&amp;"","")&amp;"␟"&amp;IFERROR(INDEX(PASTE_ALL,$DF763,12)&amp;"","")&amp;"␟"&amp;IFERROR(INDEX(PASTE_ALL,$DF763,13)&amp;"","")&amp;"␟"&amp;IFERROR(INDEX(PASTE_ALL,$DF763,14)&amp;"","")&amp;"␟"&amp;IFERROR(INDEX(PASTE_ALL,$DF763,15)&amp;"","")&amp;"␟"&amp;IFERROR(INDEX(PASTE_ALL,$DF763,16)&amp;"","")&amp;"␟"&amp;IFERROR(INDEX(PASTE_ALL,$DF763,17)&amp;"","")&amp;"␟"&amp;IFERROR(INDEX(PASTE_ALL,$DF763,18)&amp;"","")&amp;"␟"&amp;IFERROR(INDEX(PASTE_ALL,$DF763,19)&amp;"","")&amp;"␟"&amp;IFERROR(INDEX(PASTE_ALL,$DF763,20)&amp;"","")&amp;"␟"&amp;IFERROR(INDEX(PASTE_ALL,$DF763,21)&amp;"","")&amp;"␟"&amp;IFERROR(INDEX(PASTE_ALL,$DF763,22)&amp;"","")&amp;"␟"&amp;IFERROR(INDEX(PASTE_ALL,$DF763,23)&amp;"","")&amp;"␟"&amp;IFERROR(INDEX(PASTE_ALL,$DF763,24)&amp;"","")&amp;"␟"&amp;IFERROR(INDEX(PASTE_ALL,$DF763,25)&amp;"","")&amp;"␟"&amp;IFERROR(INDEX(PASTE_ALL,$DF763,26)&amp;"","")&amp;"␟"&amp;IFERROR(INDEX(PASTE_ALL,$DF763,27)&amp;"","")&amp;"␟"&amp;IFERROR(INDEX(PASTE_ALL,$DF763,28)&amp;"","")&amp;"␟"&amp;IFERROR(INDEX(PASTE_ALL,$DF763,29)&amp;"","")&amp;"␟"&amp;IFERROR(INDEX(PASTE_ALL,$DF763,30)&amp;"","")&amp;"␟"&amp;IFERROR(INDEX(PASTE_ALL,$DF763,31)&amp;"","")&amp;"␟"&amp;IFERROR(INDEX(PASTE_ALL,$DF763,32)&amp;"","")&amp;"␟"&amp;IFERROR(INDEX(PASTE_ALL,$DF763,33)&amp;"","")&amp;"␟"&amp;IFERROR(INDEX(PASTE_ALL,$DF763,34)&amp;"","")&amp;"␟"&amp;IFERROR(INDEX(PASTE_ALL,$DF763,35)&amp;"","")&amp;"␟"&amp;IFERROR(INDEX(PASTE_ALL,$DF763,36)&amp;"","")&amp;"␟"&amp;IFERROR(INDEX(PASTE_ALL,$DF763,37)&amp;"","")&amp;"␟"&amp;IFERROR(INDEX(PASTE_ALL,$DF763,38)&amp;"","")&amp;"␟"&amp;IFERROR(INDEX(PASTE_ALL,$DF763,39)&amp;"","")&amp;"␟"&amp;IFERROR(INDEX(PASTE_ALL,$DF763,40)&amp;"","")&amp;"␟"&amp;IFERROR(INDEX(PASTE_ALL,$DF763,41)&amp;"","")&amp;"␟"&amp;IFERROR(INDEX(PASTE_ALL,$DF763,42)&amp;"","")&amp;"␟"&amp;IFERROR(INDEX(PASTE_ALL,$DF763,43)&amp;"","")&amp;"␟"&amp;IFERROR(INDEX(PASTE_ALL,$DF763,44)&amp;"","")&amp;"␟"&amp;IFERROR(INDEX(PASTE_ALL,$DF763,45)&amp;"","")&amp;"␟"&amp;IFERROR(INDEX(PASTE_ALL,$DF763,46)&amp;"","")&amp;"␟"&amp;IFERROR(INDEX(PASTE_ALL,$DF763,47)&amp;"","")&amp;"␟"&amp;IFERROR(INDEX(PASTE_ALL,$DF763,48)&amp;"","")&amp;"␟"&amp;IFERROR(INDEX(PASTE_ALL,$DF763,49)&amp;"","")&amp;"␟"&amp;IFERROR(INDEX(PASTE_ALL,$DF763,50)&amp;"","")&amp;"␟"&amp;IFERROR(INDEX(PASTE_ALL,$DF763,51)&amp;"","")&amp;"␟"&amp;IFERROR(INDEX(PASTE_ALL,$DF763,52)&amp;"","")&amp;"␟"&amp;IFERROR(INDEX(PASTE_ALL,$DF763,53)&amp;"","")&amp;"␟"&amp;IFERROR(INDEX(PASTE_ALL,$DF763,54)&amp;"","")&amp;"␟"&amp;IFERROR(INDEX(PASTE_ALL,$DF763,55)&amp;"","")&amp;"␟"&amp;IFERROR(INDEX(PASTE_ALL,$DF763,56)&amp;"","")&amp;"␟"&amp;IFERROR(INDEX(PASTE_ALL,$DF763,57)&amp;"","")&amp;"␟"&amp;IFERROR(INDEX(PASTE_ALL,$DF763,58)&amp;"","")&amp;"␟"&amp;IFERROR(INDEX(PASTE_ALL,$DF763,59)&amp;"","")&amp;"␟"&amp;IFERROR(INDEX(PASTE_ALL,$DF763,60)&amp;"","")," "," "),CHAR(9)," "),CHAR(10)," "),CHAR(13)," "))," ␟","␟"),"␟ ","␟"),"#"&amp;$DE763),"")</f>
        <v/>
      </c>
      <c r="DJ763">
        <f>IF($DI763="",0,IF(SUMPRODUCT(--EXACT($DI$4:DI762,$DI763))&gt;0,1,0))</f>
        <v/>
      </c>
      <c r="DK763">
        <f>IF(AND($DI763&lt;&gt;"",$DJ763=0),1,0)</f>
        <v/>
      </c>
      <c r="DL763">
        <f>DL762+$DK763</f>
        <v/>
      </c>
      <c r="DM763">
        <f>IF(AND($DK763=1,$DL763&lt;=600),1,0)</f>
        <v/>
      </c>
      <c r="DN763">
        <f>IF($DM763=0,"",IF($L$6=0,"",IFERROR(IF(ISNUMBER(INDEX(PASTE_ALL,$DF763,$L$6)),INDEX(PASTE_ALL,$DF763,$L$6),TRIM(SUBSTITUTE(SUBSTITUTE(SUBSTITUTE(SUBSTITUTE(INDEX(PASTE_ALL,$DF763,$L$6)," "," "),CHAR(9)," "),CHAR(10)," "),CHAR(13)," "))),"")))</f>
        <v/>
      </c>
      <c r="DO763">
        <f>IF($DM763=0,"",IF($L$7=0,"",IFERROR(IF(ISNUMBER(INDEX(PASTE_ALL,$DF763,$L$7)),INDEX(PASTE_ALL,$DF763,$L$7),TRIM(SUBSTITUTE(SUBSTITUTE(SUBSTITUTE(SUBSTITUTE(INDEX(PASTE_ALL,$DF763,$L$7)," "," "),CHAR(9)," "),CHAR(10)," "),CHAR(13)," "))),"")))</f>
        <v/>
      </c>
      <c r="DP763">
        <f>IF($DM763=0,"",IF($L$8=0,"",IFERROR(IF(ISNUMBER(INDEX(PASTE_ALL,$DF763,$L$8)),INDEX(PASTE_ALL,$DF763,$L$8),TRIM(SUBSTITUTE(SUBSTITUTE(SUBSTITUTE(SUBSTITUTE(INDEX(PASTE_ALL,$DF763,$L$8)," "," "),CHAR(9)," "),CHAR(10)," "),CHAR(13)," "))),"")))</f>
        <v/>
      </c>
      <c r="DQ763">
        <f>IF($DM763=0,"",IF($L$9=0,"",IFERROR(IF(ISNUMBER(INDEX(PASTE_ALL,$DF763,$L$9)),INDEX(PASTE_ALL,$DF763,$L$9),TRIM(SUBSTITUTE(SUBSTITUTE(SUBSTITUTE(SUBSTITUTE(INDEX(PASTE_ALL,$DF763,$L$9)," "," "),CHAR(9)," "),CHAR(10)," "),CHAR(13)," "))),"")))</f>
        <v/>
      </c>
      <c r="DR763">
        <f>IF($DM763=0,"",IF($L$10=0,"",IFERROR(IF(ISNUMBER(INDEX(PASTE_ALL,$DF763,$L$10)),INDEX(PASTE_ALL,$DF763,$L$10),TRIM(SUBSTITUTE(SUBSTITUTE(SUBSTITUTE(SUBSTITUTE(INDEX(PASTE_ALL,$DF763,$L$10)," "," "),CHAR(9)," "),CHAR(10)," "),CHAR(13)," "))),"")))</f>
        <v/>
      </c>
      <c r="DS763">
        <f>IF($DM763=0,"",IF($L$11=0,"",IFERROR(IF(ISNUMBER(INDEX(PASTE_ALL,$DF763,$L$11)),INDEX(PASTE_ALL,$DF763,$L$11),TRIM(SUBSTITUTE(SUBSTITUTE(SUBSTITUTE(SUBSTITUTE(INDEX(PASTE_ALL,$DF763,$L$11)," "," "),CHAR(9)," "),CHAR(10)," "),CHAR(13)," "))),"")))</f>
        <v/>
      </c>
      <c r="DT763">
        <f>IF($DM763=0,"",IF($L$12=0,"",IFERROR(IF(ISNUMBER(INDEX(PASTE_ALL,$DF763,$L$12)),INDEX(PASTE_ALL,$DF763,$L$12),TRIM(SUBSTITUTE(SUBSTITUTE(SUBSTITUTE(SUBSTITUTE(INDEX(PASTE_ALL,$DF763,$L$12)," "," "),CHAR(9)," "),CHAR(10)," "),CHAR(13)," "))),"")))</f>
        <v/>
      </c>
      <c r="DU763">
        <f>IF($DM763=0,"",IF($L$13=0,"",IFERROR(IF(ISNUMBER(INDEX(PASTE_ALL,$DF763,$L$13)),INDEX(PASTE_ALL,$DF763,$L$13),TRIM(SUBSTITUTE(SUBSTITUTE(SUBSTITUTE(SUBSTITUTE(INDEX(PASTE_ALL,$DF763,$L$13)," "," "),CHAR(9)," "),CHAR(10)," "),CHAR(13)," "))),"")))</f>
        <v/>
      </c>
      <c r="DV763">
        <f>IF($DM763=0,"",IF($L$14=0,"",IFERROR(IF(ISNUMBER(INDEX(PASTE_ALL,$DF763,$L$14)),INDEX(PASTE_ALL,$DF763,$L$14),TRIM(SUBSTITUTE(SUBSTITUTE(SUBSTITUTE(SUBSTITUTE(INDEX(PASTE_ALL,$DF763,$L$14)," "," "),CHAR(9)," "),CHAR(10)," "),CHAR(13)," "))),"")))</f>
        <v/>
      </c>
      <c r="DW763">
        <f>IF($DM763=0,"",IF($L$15=0,"",IFERROR(IF(ISNUMBER(INDEX(PASTE_ALL,$DF763,$L$15)),INDEX(PASTE_ALL,$DF763,$L$15),IF(SUMPRODUCT(--ISNUMBER(FIND({"A","B","C","D","E","F","G","H","I","J","K","L","M","N","O","P","Q","R","S","T","U","V","W","X","Y","Z","0","1","2","3","4","5","6","7","8","9"},UPPER(TRIM(SUBSTITUTE(SUBSTITUTE(SUBSTITUTE(SUBSTITUTE(INDEX(PASTE_ALL,$DF763,$L$15)," "," "),CHAR(9)," "),CHAR(10)," "),CHAR(13)," "))))))&gt;0,TRIM(SUBSTITUTE(SUBSTITUTE(SUBSTITUTE(SUBSTITUTE(INDEX(PASTE_ALL,$DF763,$L$15)," "," "),CHAR(9)," "),CHAR(10)," "),CHAR(13)," ")),"")),"")))</f>
        <v/>
      </c>
      <c r="DX763">
        <f>IF($DM763=0,"",IF($L$16=0,"",IFERROR(IF(ISNUMBER(INDEX(PASTE_ALL,$DF763,$L$16)),INDEX(PASTE_ALL,$DF763,$L$16),SUBSTITUTE(SUBSTITUTE(TRIM(SUBSTITUTE(SUBSTITUTE(SUBSTITUTE(SUBSTITUTE(INDEX(PASTE_ALL,$DF763,$L$16)," "," "),CHAR(9)," "),CHAR(10)," "),CHAR(13)," ")),",",""),"%","")),"")))</f>
        <v/>
      </c>
      <c r="DY763">
        <f>IF($DM763=0,"",IFERROR(IF(ISNUMBER($DX763),$DX763,IF($DX763="","",IF(TRIM($DX763)="",0,IF(AND(AND(SUBSTITUTE(SUBSTITUTE(SUBSTITUTE(SUBSTITUTE(SUBSTITUTE(SUBSTITUTE(SUBSTITUTE(SUBSTITUTE(SUBSTITUTE(SUBSTITUTE(SUBSTITUTE(SUBSTITUTE(SUBSTITUTE(SUBSTITUTE(UPPER(TRIM($DX763)),"0",""),"1",""),"2",""),"3",""),"4",""),"5",""),"6",""),"7",""),"8",""),"9",""),".",""),"+",""),"-",""),"E","")="",LEN(SUBSTITUTE(SUBSTITUTE(MID(UPPER(TRIM($DX763)),1+OR(LEFT(UPPER(TRIM($DX763)),1)="+",LEFT(UPPER(TRIM($DX763)),1)="-"),999),"E+","E"),"E-","E"))=LEN(SUBSTITUTE(SUBSTITUTE(SUBSTITUTE(SUBSTITUTE(MID(UPPER(TRIM($DX763)),1+OR(LEFT(UPPER(TRIM($DX763)),1)="+",LEFT(UPPER(TRIM($DX763)),1)="-"),999),"E+","E"),"E-","E"),"+",""),"-","")),LEN(UPPER(TRIM($DX763)))-LEN(SUBSTITUTE(UPPER(TRIM($DX763)),"E",""))&lt;2,LEN(UPPER(TRIM($DX763)))-LEN(SUBSTITUTE(UPPER(TRIM($DX763)),".",""))&lt;2,IFERROR(FIND(".",UPPER(TRIM($DX763))),0)&lt;IFERROR(FIND("E",UPPER(TRIM($DX763))),999)),ISNUMBER(VALUE(TRIM($DX763)))),VALUE(TRIM($DX763)),"")))),""))</f>
        <v/>
      </c>
      <c r="DZ763">
        <f>IF($DM763=0,"",IF($L$17=0,"",IFERROR(IF(ISNUMBER(INDEX(PASTE_ALL,$DF763,$L$17)),INDEX(PASTE_ALL,$DF763,$L$17),SUBSTITUTE(SUBSTITUTE(TRIM(SUBSTITUTE(SUBSTITUTE(SUBSTITUTE(SUBSTITUTE(INDEX(PASTE_ALL,$DF763,$L$17)," "," "),CHAR(9)," "),CHAR(10)," "),CHAR(13)," ")),",",""),"%","")),"")))</f>
        <v/>
      </c>
      <c r="EA763">
        <f>IF($DM763=0,"",IFERROR(IF(ISNUMBER($DZ763),$DZ763,IF($DZ763="","",IF(TRIM($DZ763)="",0,IF(AND(AND(SUBSTITUTE(SUBSTITUTE(SUBSTITUTE(SUBSTITUTE(SUBSTITUTE(SUBSTITUTE(SUBSTITUTE(SUBSTITUTE(SUBSTITUTE(SUBSTITUTE(SUBSTITUTE(SUBSTITUTE(SUBSTITUTE(SUBSTITUTE(UPPER(TRIM($DZ763)),"0",""),"1",""),"2",""),"3",""),"4",""),"5",""),"6",""),"7",""),"8",""),"9",""),".",""),"+",""),"-",""),"E","")="",LEN(SUBSTITUTE(SUBSTITUTE(MID(UPPER(TRIM($DZ763)),1+OR(LEFT(UPPER(TRIM($DZ763)),1)="+",LEFT(UPPER(TRIM($DZ763)),1)="-"),999),"E+","E"),"E-","E"))=LEN(SUBSTITUTE(SUBSTITUTE(SUBSTITUTE(SUBSTITUTE(MID(UPPER(TRIM($DZ763)),1+OR(LEFT(UPPER(TRIM($DZ763)),1)="+",LEFT(UPPER(TRIM($DZ763)),1)="-"),999),"E+","E"),"E-","E"),"+",""),"-","")),LEN(UPPER(TRIM($DZ763)))-LEN(SUBSTITUTE(UPPER(TRIM($DZ763)),"E",""))&lt;2,LEN(UPPER(TRIM($DZ763)))-LEN(SUBSTITUTE(UPPER(TRIM($DZ763)),".",""))&lt;2,IFERROR(FIND(".",UPPER(TRIM($DZ763))),0)&lt;IFERROR(FIND("E",UPPER(TRIM($DZ763))),999)),ISNUMBER(VALUE(TRIM($DZ763)))),VALUE(TRIM($DZ763)),"")))),""))</f>
        <v/>
      </c>
      <c r="EB763">
        <f>IF($DM763=0,"",IF($L$18=0,"",IFERROR(IF(UPPER(TRIM(SUBSTITUTE(SUBSTITUTE(SUBSTITUTE(SUBSTITUTE(INDEX(PASTE_ALL,$DF763,$L$18)," "," "),CHAR(9)," "),CHAR(10)," "),CHAR(13)," ")))="READY","Ready",IF(UPPER(TRIM(SUBSTITUTE(SUBSTITUTE(SUBSTITUTE(SUBSTITUTE(INDEX(PASTE_ALL,$DF763,$L$18)," "," "),CHAR(9)," "),CHAR(10)," "),CHAR(13)," ")))="PM","PM",IF(OR(UPPER(TRIM(SUBSTITUTE(SUBSTITUTE(SUBSTITUTE(SUBSTITUTE(INDEX(PASTE_ALL,$DF763,$L$18)," "," "),CHAR(9)," "),CHAR(10)," "),CHAR(13)," ")))="OT",UPPER(TRIM(SUBSTITUTE(SUBSTITUTE(SUBSTITUTE(SUBSTITUTE(INDEX(PASTE_ALL,$DF763,$L$18)," "," "),CHAR(9)," "),CHAR(10)," "),CHAR(13)," ")))="OVERTIME",UPPER(TRIM(SUBSTITUTE(SUBSTITUTE(SUBSTITUTE(SUBSTITUTE(INDEX(PASTE_ALL,$DF763,$L$18)," "," "),CHAR(9)," "),CHAR(10)," "),CHAR(13)," ")))="TRIAL"),"OT",TRIM(SUBSTITUTE(SUBSTITUTE(SUBSTITUTE(SUBSTITUTE(INDEX(PASTE_ALL,$DF763,$L$18)," "," "),CHAR(9)," "),CHAR(10)," "),CHAR(13)," "))))),"")))</f>
        <v/>
      </c>
      <c r="EC763">
        <f>IF($DM763=0,"",IF($L$19=0,"",IFERROR(IF(ISNUMBER(INDEX(PASTE_ALL,$DF763,$L$19)),INDEX(PASTE_ALL,$DF763,$L$19),TRIM(SUBSTITUTE(SUBSTITUTE(SUBSTITUTE(SUBSTITUTE(INDEX(PASTE_ALL,$DF763,$L$19)," "," "),CHAR(9)," "),CHAR(10)," "),CHAR(13)," "))),"")))</f>
        <v/>
      </c>
      <c r="ED763">
        <f>IF($DM763=0,"",MATCH(1,INDEX(EXACT($DH$5:DH763,$DH763)*$DM$5:DM763,0),0))</f>
        <v/>
      </c>
      <c r="EE763">
        <f>IF($DM763=0,0,IF($ED763=$DE763,1,0))</f>
        <v/>
      </c>
      <c r="EF763">
        <f>EF762+$EE763</f>
        <v/>
      </c>
      <c r="EG763">
        <f>IF($DM763=0,"",INDEX($EF$5:$EF$1003,$ED763))</f>
        <v/>
      </c>
      <c r="EH763">
        <f>IF($DM763=0,"",IF($DO763&lt;&gt;"","",IFERROR(LOOKUP(2,1/(($EG$4:EG762=$EG763)*($DO$4:DO762&lt;&gt;"")),$DO$4:DO762),"")))</f>
        <v/>
      </c>
      <c r="EI763">
        <f>IF($DM763=0,"",IF($DO763&lt;&gt;"",$DO763,$EH763))</f>
        <v/>
      </c>
      <c r="EJ763">
        <f>IF($DM763=0,"",IF($EI763="",0,IF(OR(ISNUMBER($EI763),AND(AND(SUBSTITUTE(SUBSTITUTE(SUBSTITUTE(SUBSTITUTE(SUBSTITUTE(SUBSTITUTE(SUBSTITUTE(SUBSTITUTE(SUBSTITUTE(SUBSTITUTE(SUBSTITUTE(SUBSTITUTE(SUBSTITUTE(SUBSTITUTE(UPPER($EI763),"0",""),"1",""),"2",""),"3",""),"4",""),"5",""),"6",""),"7",""),"8",""),"9",""),".",""),"+",""),"-",""),"E","")="",LEN(SUBSTITUTE(SUBSTITUTE(MID(UPPER($EI763),1+OR(LEFT(UPPER($EI763),1)="+",LEFT(UPPER($EI763),1)="-"),999),"E+","E"),"E-","E"))=LEN(SUBSTITUTE(SUBSTITUTE(SUBSTITUTE(SUBSTITUTE(MID(UPPER($EI763),1+OR(LEFT(UPPER($EI763),1)="+",LEFT(UPPER($EI763),1)="-"),999),"E+","E"),"E-","E"),"+",""),"-","")),LEN(UPPER($EI763))-LEN(SUBSTITUTE(UPPER($EI763),"E",""))&lt;2,LEN(UPPER($EI763))-LEN(SUBSTITUTE(UPPER($EI763),".",""))&lt;2,IFERROR(FIND(".",UPPER($EI763)),0)&lt;IFERROR(FIND("E",UPPER($EI763)),999)),ISNUMBER(VALUE($EI763)))),1,2)))</f>
        <v/>
      </c>
      <c r="EK763">
        <f>IF($DM763=0,"",IF($EJ763=1,IF(ISNUMBER($EI763),$EI763,VALUE($EI763)),IF($EJ763=2,$DE763,0)))</f>
        <v/>
      </c>
      <c r="EL763">
        <f>IF($DM763=0,"",COUNTIF($EG$5:$EG$1003,"&lt;"&amp;$EG763)+SUMPRODUCT(($EG$5:$EG$1003=$EG763)*(($EJ$5:$EJ$1003&lt;$EJ763)+($EJ$5:$EJ$1003=$EJ763)*(($EK$5:$EK$1003&lt;$EK763)+($EK$5:$EK$1003=$EK763)*($DE$5:$DE$1003&lt;$DE763))))+1)</f>
        <v/>
      </c>
      <c r="EM763">
        <f>IF($DM763=0,"",$EL763+$EG763-1)</f>
        <v/>
      </c>
      <c r="EN763">
        <f>IF($DM763=0,0,IFERROR(MATCH(1,INDEX(--(TRIM(SUBSTITUTE(SUBSTITUTE(SUBSTITUTE(SUBSTITUTE(LINES_NAME&amp;""," "," "),CHAR(9)," "),CHAR(10)," "),CHAR(13)," "))=$DH763),0),0),0))</f>
        <v/>
      </c>
      <c r="EO763">
        <f>IF($EN763=0,0,IF(OR(UPPER(TRIM(INDEX(LINES_SCHEDULED,$EN763)&amp;""))="YES",UPPER(TRIM(INDEX(LINES_SCHEDULED,$EN763)&amp;""))="Y",UPPER(TRIM(INDEX(LINES_SCHEDULED,$EN763)&amp;""))="X"),1,0))</f>
        <v/>
      </c>
      <c r="EP763">
        <f>IF($DM763=0,"",IF(COUNTIFS($EG$5:$EG$1003,$EG763,$EB$5:$EB$1003,"Ready")&gt;0,"READY",IF(COUNTIFS($EG$5:$EG$1003,$EG763,$EB$5:$EB$1003,"PM")&gt;0,"PM",IF(COUNTIFS($EG$5:$EG$1003,$EG763,$EB$5:$EB$1003,"OT")&gt;0,"OT",""))))</f>
        <v/>
      </c>
      <c r="EQ763">
        <f>IF($EN763=0,"",UPPER(TRIM(INDEX(LINES_STATUS,$EN763)&amp;"")))</f>
        <v/>
      </c>
      <c r="ER763">
        <f>IF($DM763=0,"",IF(OR($EQ763="READY",$EQ763="PM",$EQ763="OT"),$EQ763,$EP763))</f>
        <v/>
      </c>
      <c r="ES763">
        <f>IF($DM763=0,"",IF(AND($DV763&lt;&gt;"",UPPER($DV763)&lt;&gt;"N"),"allergen",IF(ISNUMBER(SEARCH("oil",$DQ763)),"oil",IF(OR(EXACT($DS763,"A662"),EXACT($DS763,"A624")),"bulk",""))))</f>
        <v/>
      </c>
      <c r="ET763">
        <f>IF($DM763=0,"",IF(OR($EA763="",$EA763=0),"",$EA763/100))</f>
        <v/>
      </c>
      <c r="EU763">
        <f>IF(OR($ET763="",$DY763=""),"",INT($DY763*(1-$ET763)+0.5))</f>
        <v/>
      </c>
    </row>
    <row r="764">
      <c r="DA764" t="n">
        <v>760</v>
      </c>
      <c r="DB764">
        <f>IF($B$37=0,"",IFERROR(TRIM(SUBSTITUTE(SUBSTITUTE(SUBSTITUTE(SUBSTITUTE(INDEX(PASTE_ALL,760,$B$37)," "," "),CHAR(9)," "),CHAR(10)," "),CHAR(13)," ")),""))</f>
        <v/>
      </c>
      <c r="DC764">
        <f>IF(AND(760&gt;HEADER_ROW,UPPER(DB764)="LEGEND"),1,0)</f>
        <v/>
      </c>
      <c r="DE764" t="n">
        <v>760</v>
      </c>
      <c r="DF764">
        <f>HEADER_ROW+$DE764</f>
        <v/>
      </c>
      <c r="DG764">
        <f>IF(AND($DF764&lt;=1000,$DF764&lt;$B$8),1,0)</f>
        <v/>
      </c>
      <c r="DH764">
        <f>IF($DG764=1,IFERROR(INDEX($DB$5:$DB$1004,$DF764),""),"")</f>
        <v/>
      </c>
      <c r="DI764">
        <f>IF(AND($DG764=1,$DH764&lt;&gt;""),IFERROR(SUBSTITUTE(SUBSTITUTE(TRIM(SUBSTITUTE(SUBSTITUTE(SUBSTITUTE(SUBSTITUTE(IFERROR(INDEX(PASTE_ALL,$DF764,1)&amp;"","")&amp;"␟"&amp;IFERROR(INDEX(PASTE_ALL,$DF764,2)&amp;"","")&amp;"␟"&amp;IFERROR(INDEX(PASTE_ALL,$DF764,3)&amp;"","")&amp;"␟"&amp;IFERROR(INDEX(PASTE_ALL,$DF764,4)&amp;"","")&amp;"␟"&amp;IFERROR(INDEX(PASTE_ALL,$DF764,5)&amp;"","")&amp;"␟"&amp;IFERROR(INDEX(PASTE_ALL,$DF764,6)&amp;"","")&amp;"␟"&amp;IFERROR(INDEX(PASTE_ALL,$DF764,7)&amp;"","")&amp;"␟"&amp;IFERROR(INDEX(PASTE_ALL,$DF764,8)&amp;"","")&amp;"␟"&amp;IFERROR(INDEX(PASTE_ALL,$DF764,9)&amp;"","")&amp;"␟"&amp;IFERROR(INDEX(PASTE_ALL,$DF764,10)&amp;"","")&amp;"␟"&amp;IFERROR(INDEX(PASTE_ALL,$DF764,11)&amp;"","")&amp;"␟"&amp;IFERROR(INDEX(PASTE_ALL,$DF764,12)&amp;"","")&amp;"␟"&amp;IFERROR(INDEX(PASTE_ALL,$DF764,13)&amp;"","")&amp;"␟"&amp;IFERROR(INDEX(PASTE_ALL,$DF764,14)&amp;"","")&amp;"␟"&amp;IFERROR(INDEX(PASTE_ALL,$DF764,15)&amp;"","")&amp;"␟"&amp;IFERROR(INDEX(PASTE_ALL,$DF764,16)&amp;"","")&amp;"␟"&amp;IFERROR(INDEX(PASTE_ALL,$DF764,17)&amp;"","")&amp;"␟"&amp;IFERROR(INDEX(PASTE_ALL,$DF764,18)&amp;"","")&amp;"␟"&amp;IFERROR(INDEX(PASTE_ALL,$DF764,19)&amp;"","")&amp;"␟"&amp;IFERROR(INDEX(PASTE_ALL,$DF764,20)&amp;"","")&amp;"␟"&amp;IFERROR(INDEX(PASTE_ALL,$DF764,21)&amp;"","")&amp;"␟"&amp;IFERROR(INDEX(PASTE_ALL,$DF764,22)&amp;"","")&amp;"␟"&amp;IFERROR(INDEX(PASTE_ALL,$DF764,23)&amp;"","")&amp;"␟"&amp;IFERROR(INDEX(PASTE_ALL,$DF764,24)&amp;"","")&amp;"␟"&amp;IFERROR(INDEX(PASTE_ALL,$DF764,25)&amp;"","")&amp;"␟"&amp;IFERROR(INDEX(PASTE_ALL,$DF764,26)&amp;"","")&amp;"␟"&amp;IFERROR(INDEX(PASTE_ALL,$DF764,27)&amp;"","")&amp;"␟"&amp;IFERROR(INDEX(PASTE_ALL,$DF764,28)&amp;"","")&amp;"␟"&amp;IFERROR(INDEX(PASTE_ALL,$DF764,29)&amp;"","")&amp;"␟"&amp;IFERROR(INDEX(PASTE_ALL,$DF764,30)&amp;"","")&amp;"␟"&amp;IFERROR(INDEX(PASTE_ALL,$DF764,31)&amp;"","")&amp;"␟"&amp;IFERROR(INDEX(PASTE_ALL,$DF764,32)&amp;"","")&amp;"␟"&amp;IFERROR(INDEX(PASTE_ALL,$DF764,33)&amp;"","")&amp;"␟"&amp;IFERROR(INDEX(PASTE_ALL,$DF764,34)&amp;"","")&amp;"␟"&amp;IFERROR(INDEX(PASTE_ALL,$DF764,35)&amp;"","")&amp;"␟"&amp;IFERROR(INDEX(PASTE_ALL,$DF764,36)&amp;"","")&amp;"␟"&amp;IFERROR(INDEX(PASTE_ALL,$DF764,37)&amp;"","")&amp;"␟"&amp;IFERROR(INDEX(PASTE_ALL,$DF764,38)&amp;"","")&amp;"␟"&amp;IFERROR(INDEX(PASTE_ALL,$DF764,39)&amp;"","")&amp;"␟"&amp;IFERROR(INDEX(PASTE_ALL,$DF764,40)&amp;"","")&amp;"␟"&amp;IFERROR(INDEX(PASTE_ALL,$DF764,41)&amp;"","")&amp;"␟"&amp;IFERROR(INDEX(PASTE_ALL,$DF764,42)&amp;"","")&amp;"␟"&amp;IFERROR(INDEX(PASTE_ALL,$DF764,43)&amp;"","")&amp;"␟"&amp;IFERROR(INDEX(PASTE_ALL,$DF764,44)&amp;"","")&amp;"␟"&amp;IFERROR(INDEX(PASTE_ALL,$DF764,45)&amp;"","")&amp;"␟"&amp;IFERROR(INDEX(PASTE_ALL,$DF764,46)&amp;"","")&amp;"␟"&amp;IFERROR(INDEX(PASTE_ALL,$DF764,47)&amp;"","")&amp;"␟"&amp;IFERROR(INDEX(PASTE_ALL,$DF764,48)&amp;"","")&amp;"␟"&amp;IFERROR(INDEX(PASTE_ALL,$DF764,49)&amp;"","")&amp;"␟"&amp;IFERROR(INDEX(PASTE_ALL,$DF764,50)&amp;"","")&amp;"␟"&amp;IFERROR(INDEX(PASTE_ALL,$DF764,51)&amp;"","")&amp;"␟"&amp;IFERROR(INDEX(PASTE_ALL,$DF764,52)&amp;"","")&amp;"␟"&amp;IFERROR(INDEX(PASTE_ALL,$DF764,53)&amp;"","")&amp;"␟"&amp;IFERROR(INDEX(PASTE_ALL,$DF764,54)&amp;"","")&amp;"␟"&amp;IFERROR(INDEX(PASTE_ALL,$DF764,55)&amp;"","")&amp;"␟"&amp;IFERROR(INDEX(PASTE_ALL,$DF764,56)&amp;"","")&amp;"␟"&amp;IFERROR(INDEX(PASTE_ALL,$DF764,57)&amp;"","")&amp;"␟"&amp;IFERROR(INDEX(PASTE_ALL,$DF764,58)&amp;"","")&amp;"␟"&amp;IFERROR(INDEX(PASTE_ALL,$DF764,59)&amp;"","")&amp;"␟"&amp;IFERROR(INDEX(PASTE_ALL,$DF764,60)&amp;"","")," "," "),CHAR(9)," "),CHAR(10)," "),CHAR(13)," "))," ␟","␟"),"␟ ","␟"),"#"&amp;$DE764),"")</f>
        <v/>
      </c>
      <c r="DJ764">
        <f>IF($DI764="",0,IF(SUMPRODUCT(--EXACT($DI$4:DI763,$DI764))&gt;0,1,0))</f>
        <v/>
      </c>
      <c r="DK764">
        <f>IF(AND($DI764&lt;&gt;"",$DJ764=0),1,0)</f>
        <v/>
      </c>
      <c r="DL764">
        <f>DL763+$DK764</f>
        <v/>
      </c>
      <c r="DM764">
        <f>IF(AND($DK764=1,$DL764&lt;=600),1,0)</f>
        <v/>
      </c>
      <c r="DN764">
        <f>IF($DM764=0,"",IF($L$6=0,"",IFERROR(IF(ISNUMBER(INDEX(PASTE_ALL,$DF764,$L$6)),INDEX(PASTE_ALL,$DF764,$L$6),TRIM(SUBSTITUTE(SUBSTITUTE(SUBSTITUTE(SUBSTITUTE(INDEX(PASTE_ALL,$DF764,$L$6)," "," "),CHAR(9)," "),CHAR(10)," "),CHAR(13)," "))),"")))</f>
        <v/>
      </c>
      <c r="DO764">
        <f>IF($DM764=0,"",IF($L$7=0,"",IFERROR(IF(ISNUMBER(INDEX(PASTE_ALL,$DF764,$L$7)),INDEX(PASTE_ALL,$DF764,$L$7),TRIM(SUBSTITUTE(SUBSTITUTE(SUBSTITUTE(SUBSTITUTE(INDEX(PASTE_ALL,$DF764,$L$7)," "," "),CHAR(9)," "),CHAR(10)," "),CHAR(13)," "))),"")))</f>
        <v/>
      </c>
      <c r="DP764">
        <f>IF($DM764=0,"",IF($L$8=0,"",IFERROR(IF(ISNUMBER(INDEX(PASTE_ALL,$DF764,$L$8)),INDEX(PASTE_ALL,$DF764,$L$8),TRIM(SUBSTITUTE(SUBSTITUTE(SUBSTITUTE(SUBSTITUTE(INDEX(PASTE_ALL,$DF764,$L$8)," "," "),CHAR(9)," "),CHAR(10)," "),CHAR(13)," "))),"")))</f>
        <v/>
      </c>
      <c r="DQ764">
        <f>IF($DM764=0,"",IF($L$9=0,"",IFERROR(IF(ISNUMBER(INDEX(PASTE_ALL,$DF764,$L$9)),INDEX(PASTE_ALL,$DF764,$L$9),TRIM(SUBSTITUTE(SUBSTITUTE(SUBSTITUTE(SUBSTITUTE(INDEX(PASTE_ALL,$DF764,$L$9)," "," "),CHAR(9)," "),CHAR(10)," "),CHAR(13)," "))),"")))</f>
        <v/>
      </c>
      <c r="DR764">
        <f>IF($DM764=0,"",IF($L$10=0,"",IFERROR(IF(ISNUMBER(INDEX(PASTE_ALL,$DF764,$L$10)),INDEX(PASTE_ALL,$DF764,$L$10),TRIM(SUBSTITUTE(SUBSTITUTE(SUBSTITUTE(SUBSTITUTE(INDEX(PASTE_ALL,$DF764,$L$10)," "," "),CHAR(9)," "),CHAR(10)," "),CHAR(13)," "))),"")))</f>
        <v/>
      </c>
      <c r="DS764">
        <f>IF($DM764=0,"",IF($L$11=0,"",IFERROR(IF(ISNUMBER(INDEX(PASTE_ALL,$DF764,$L$11)),INDEX(PASTE_ALL,$DF764,$L$11),TRIM(SUBSTITUTE(SUBSTITUTE(SUBSTITUTE(SUBSTITUTE(INDEX(PASTE_ALL,$DF764,$L$11)," "," "),CHAR(9)," "),CHAR(10)," "),CHAR(13)," "))),"")))</f>
        <v/>
      </c>
      <c r="DT764">
        <f>IF($DM764=0,"",IF($L$12=0,"",IFERROR(IF(ISNUMBER(INDEX(PASTE_ALL,$DF764,$L$12)),INDEX(PASTE_ALL,$DF764,$L$12),TRIM(SUBSTITUTE(SUBSTITUTE(SUBSTITUTE(SUBSTITUTE(INDEX(PASTE_ALL,$DF764,$L$12)," "," "),CHAR(9)," "),CHAR(10)," "),CHAR(13)," "))),"")))</f>
        <v/>
      </c>
      <c r="DU764">
        <f>IF($DM764=0,"",IF($L$13=0,"",IFERROR(IF(ISNUMBER(INDEX(PASTE_ALL,$DF764,$L$13)),INDEX(PASTE_ALL,$DF764,$L$13),TRIM(SUBSTITUTE(SUBSTITUTE(SUBSTITUTE(SUBSTITUTE(INDEX(PASTE_ALL,$DF764,$L$13)," "," "),CHAR(9)," "),CHAR(10)," "),CHAR(13)," "))),"")))</f>
        <v/>
      </c>
      <c r="DV764">
        <f>IF($DM764=0,"",IF($L$14=0,"",IFERROR(IF(ISNUMBER(INDEX(PASTE_ALL,$DF764,$L$14)),INDEX(PASTE_ALL,$DF764,$L$14),TRIM(SUBSTITUTE(SUBSTITUTE(SUBSTITUTE(SUBSTITUTE(INDEX(PASTE_ALL,$DF764,$L$14)," "," "),CHAR(9)," "),CHAR(10)," "),CHAR(13)," "))),"")))</f>
        <v/>
      </c>
      <c r="DW764">
        <f>IF($DM764=0,"",IF($L$15=0,"",IFERROR(IF(ISNUMBER(INDEX(PASTE_ALL,$DF764,$L$15)),INDEX(PASTE_ALL,$DF764,$L$15),IF(SUMPRODUCT(--ISNUMBER(FIND({"A","B","C","D","E","F","G","H","I","J","K","L","M","N","O","P","Q","R","S","T","U","V","W","X","Y","Z","0","1","2","3","4","5","6","7","8","9"},UPPER(TRIM(SUBSTITUTE(SUBSTITUTE(SUBSTITUTE(SUBSTITUTE(INDEX(PASTE_ALL,$DF764,$L$15)," "," "),CHAR(9)," "),CHAR(10)," "),CHAR(13)," "))))))&gt;0,TRIM(SUBSTITUTE(SUBSTITUTE(SUBSTITUTE(SUBSTITUTE(INDEX(PASTE_ALL,$DF764,$L$15)," "," "),CHAR(9)," "),CHAR(10)," "),CHAR(13)," ")),"")),"")))</f>
        <v/>
      </c>
      <c r="DX764">
        <f>IF($DM764=0,"",IF($L$16=0,"",IFERROR(IF(ISNUMBER(INDEX(PASTE_ALL,$DF764,$L$16)),INDEX(PASTE_ALL,$DF764,$L$16),SUBSTITUTE(SUBSTITUTE(TRIM(SUBSTITUTE(SUBSTITUTE(SUBSTITUTE(SUBSTITUTE(INDEX(PASTE_ALL,$DF764,$L$16)," "," "),CHAR(9)," "),CHAR(10)," "),CHAR(13)," ")),",",""),"%","")),"")))</f>
        <v/>
      </c>
      <c r="DY764">
        <f>IF($DM764=0,"",IFERROR(IF(ISNUMBER($DX764),$DX764,IF($DX764="","",IF(TRIM($DX764)="",0,IF(AND(AND(SUBSTITUTE(SUBSTITUTE(SUBSTITUTE(SUBSTITUTE(SUBSTITUTE(SUBSTITUTE(SUBSTITUTE(SUBSTITUTE(SUBSTITUTE(SUBSTITUTE(SUBSTITUTE(SUBSTITUTE(SUBSTITUTE(SUBSTITUTE(UPPER(TRIM($DX764)),"0",""),"1",""),"2",""),"3",""),"4",""),"5",""),"6",""),"7",""),"8",""),"9",""),".",""),"+",""),"-",""),"E","")="",LEN(SUBSTITUTE(SUBSTITUTE(MID(UPPER(TRIM($DX764)),1+OR(LEFT(UPPER(TRIM($DX764)),1)="+",LEFT(UPPER(TRIM($DX764)),1)="-"),999),"E+","E"),"E-","E"))=LEN(SUBSTITUTE(SUBSTITUTE(SUBSTITUTE(SUBSTITUTE(MID(UPPER(TRIM($DX764)),1+OR(LEFT(UPPER(TRIM($DX764)),1)="+",LEFT(UPPER(TRIM($DX764)),1)="-"),999),"E+","E"),"E-","E"),"+",""),"-","")),LEN(UPPER(TRIM($DX764)))-LEN(SUBSTITUTE(UPPER(TRIM($DX764)),"E",""))&lt;2,LEN(UPPER(TRIM($DX764)))-LEN(SUBSTITUTE(UPPER(TRIM($DX764)),".",""))&lt;2,IFERROR(FIND(".",UPPER(TRIM($DX764))),0)&lt;IFERROR(FIND("E",UPPER(TRIM($DX764))),999)),ISNUMBER(VALUE(TRIM($DX764)))),VALUE(TRIM($DX764)),"")))),""))</f>
        <v/>
      </c>
      <c r="DZ764">
        <f>IF($DM764=0,"",IF($L$17=0,"",IFERROR(IF(ISNUMBER(INDEX(PASTE_ALL,$DF764,$L$17)),INDEX(PASTE_ALL,$DF764,$L$17),SUBSTITUTE(SUBSTITUTE(TRIM(SUBSTITUTE(SUBSTITUTE(SUBSTITUTE(SUBSTITUTE(INDEX(PASTE_ALL,$DF764,$L$17)," "," "),CHAR(9)," "),CHAR(10)," "),CHAR(13)," ")),",",""),"%","")),"")))</f>
        <v/>
      </c>
      <c r="EA764">
        <f>IF($DM764=0,"",IFERROR(IF(ISNUMBER($DZ764),$DZ764,IF($DZ764="","",IF(TRIM($DZ764)="",0,IF(AND(AND(SUBSTITUTE(SUBSTITUTE(SUBSTITUTE(SUBSTITUTE(SUBSTITUTE(SUBSTITUTE(SUBSTITUTE(SUBSTITUTE(SUBSTITUTE(SUBSTITUTE(SUBSTITUTE(SUBSTITUTE(SUBSTITUTE(SUBSTITUTE(UPPER(TRIM($DZ764)),"0",""),"1",""),"2",""),"3",""),"4",""),"5",""),"6",""),"7",""),"8",""),"9",""),".",""),"+",""),"-",""),"E","")="",LEN(SUBSTITUTE(SUBSTITUTE(MID(UPPER(TRIM($DZ764)),1+OR(LEFT(UPPER(TRIM($DZ764)),1)="+",LEFT(UPPER(TRIM($DZ764)),1)="-"),999),"E+","E"),"E-","E"))=LEN(SUBSTITUTE(SUBSTITUTE(SUBSTITUTE(SUBSTITUTE(MID(UPPER(TRIM($DZ764)),1+OR(LEFT(UPPER(TRIM($DZ764)),1)="+",LEFT(UPPER(TRIM($DZ764)),1)="-"),999),"E+","E"),"E-","E"),"+",""),"-","")),LEN(UPPER(TRIM($DZ764)))-LEN(SUBSTITUTE(UPPER(TRIM($DZ764)),"E",""))&lt;2,LEN(UPPER(TRIM($DZ764)))-LEN(SUBSTITUTE(UPPER(TRIM($DZ764)),".",""))&lt;2,IFERROR(FIND(".",UPPER(TRIM($DZ764))),0)&lt;IFERROR(FIND("E",UPPER(TRIM($DZ764))),999)),ISNUMBER(VALUE(TRIM($DZ764)))),VALUE(TRIM($DZ764)),"")))),""))</f>
        <v/>
      </c>
      <c r="EB764">
        <f>IF($DM764=0,"",IF($L$18=0,"",IFERROR(IF(UPPER(TRIM(SUBSTITUTE(SUBSTITUTE(SUBSTITUTE(SUBSTITUTE(INDEX(PASTE_ALL,$DF764,$L$18)," "," "),CHAR(9)," "),CHAR(10)," "),CHAR(13)," ")))="READY","Ready",IF(UPPER(TRIM(SUBSTITUTE(SUBSTITUTE(SUBSTITUTE(SUBSTITUTE(INDEX(PASTE_ALL,$DF764,$L$18)," "," "),CHAR(9)," "),CHAR(10)," "),CHAR(13)," ")))="PM","PM",IF(OR(UPPER(TRIM(SUBSTITUTE(SUBSTITUTE(SUBSTITUTE(SUBSTITUTE(INDEX(PASTE_ALL,$DF764,$L$18)," "," "),CHAR(9)," "),CHAR(10)," "),CHAR(13)," ")))="OT",UPPER(TRIM(SUBSTITUTE(SUBSTITUTE(SUBSTITUTE(SUBSTITUTE(INDEX(PASTE_ALL,$DF764,$L$18)," "," "),CHAR(9)," "),CHAR(10)," "),CHAR(13)," ")))="OVERTIME",UPPER(TRIM(SUBSTITUTE(SUBSTITUTE(SUBSTITUTE(SUBSTITUTE(INDEX(PASTE_ALL,$DF764,$L$18)," "," "),CHAR(9)," "),CHAR(10)," "),CHAR(13)," ")))="TRIAL"),"OT",TRIM(SUBSTITUTE(SUBSTITUTE(SUBSTITUTE(SUBSTITUTE(INDEX(PASTE_ALL,$DF764,$L$18)," "," "),CHAR(9)," "),CHAR(10)," "),CHAR(13)," "))))),"")))</f>
        <v/>
      </c>
      <c r="EC764">
        <f>IF($DM764=0,"",IF($L$19=0,"",IFERROR(IF(ISNUMBER(INDEX(PASTE_ALL,$DF764,$L$19)),INDEX(PASTE_ALL,$DF764,$L$19),TRIM(SUBSTITUTE(SUBSTITUTE(SUBSTITUTE(SUBSTITUTE(INDEX(PASTE_ALL,$DF764,$L$19)," "," "),CHAR(9)," "),CHAR(10)," "),CHAR(13)," "))),"")))</f>
        <v/>
      </c>
      <c r="ED764">
        <f>IF($DM764=0,"",MATCH(1,INDEX(EXACT($DH$5:DH764,$DH764)*$DM$5:DM764,0),0))</f>
        <v/>
      </c>
      <c r="EE764">
        <f>IF($DM764=0,0,IF($ED764=$DE764,1,0))</f>
        <v/>
      </c>
      <c r="EF764">
        <f>EF763+$EE764</f>
        <v/>
      </c>
      <c r="EG764">
        <f>IF($DM764=0,"",INDEX($EF$5:$EF$1003,$ED764))</f>
        <v/>
      </c>
      <c r="EH764">
        <f>IF($DM764=0,"",IF($DO764&lt;&gt;"","",IFERROR(LOOKUP(2,1/(($EG$4:EG763=$EG764)*($DO$4:DO763&lt;&gt;"")),$DO$4:DO763),"")))</f>
        <v/>
      </c>
      <c r="EI764">
        <f>IF($DM764=0,"",IF($DO764&lt;&gt;"",$DO764,$EH764))</f>
        <v/>
      </c>
      <c r="EJ764">
        <f>IF($DM764=0,"",IF($EI764="",0,IF(OR(ISNUMBER($EI764),AND(AND(SUBSTITUTE(SUBSTITUTE(SUBSTITUTE(SUBSTITUTE(SUBSTITUTE(SUBSTITUTE(SUBSTITUTE(SUBSTITUTE(SUBSTITUTE(SUBSTITUTE(SUBSTITUTE(SUBSTITUTE(SUBSTITUTE(SUBSTITUTE(UPPER($EI764),"0",""),"1",""),"2",""),"3",""),"4",""),"5",""),"6",""),"7",""),"8",""),"9",""),".",""),"+",""),"-",""),"E","")="",LEN(SUBSTITUTE(SUBSTITUTE(MID(UPPER($EI764),1+OR(LEFT(UPPER($EI764),1)="+",LEFT(UPPER($EI764),1)="-"),999),"E+","E"),"E-","E"))=LEN(SUBSTITUTE(SUBSTITUTE(SUBSTITUTE(SUBSTITUTE(MID(UPPER($EI764),1+OR(LEFT(UPPER($EI764),1)="+",LEFT(UPPER($EI764),1)="-"),999),"E+","E"),"E-","E"),"+",""),"-","")),LEN(UPPER($EI764))-LEN(SUBSTITUTE(UPPER($EI764),"E",""))&lt;2,LEN(UPPER($EI764))-LEN(SUBSTITUTE(UPPER($EI764),".",""))&lt;2,IFERROR(FIND(".",UPPER($EI764)),0)&lt;IFERROR(FIND("E",UPPER($EI764)),999)),ISNUMBER(VALUE($EI764)))),1,2)))</f>
        <v/>
      </c>
      <c r="EK764">
        <f>IF($DM764=0,"",IF($EJ764=1,IF(ISNUMBER($EI764),$EI764,VALUE($EI764)),IF($EJ764=2,$DE764,0)))</f>
        <v/>
      </c>
      <c r="EL764">
        <f>IF($DM764=0,"",COUNTIF($EG$5:$EG$1003,"&lt;"&amp;$EG764)+SUMPRODUCT(($EG$5:$EG$1003=$EG764)*(($EJ$5:$EJ$1003&lt;$EJ764)+($EJ$5:$EJ$1003=$EJ764)*(($EK$5:$EK$1003&lt;$EK764)+($EK$5:$EK$1003=$EK764)*($DE$5:$DE$1003&lt;$DE764))))+1)</f>
        <v/>
      </c>
      <c r="EM764">
        <f>IF($DM764=0,"",$EL764+$EG764-1)</f>
        <v/>
      </c>
      <c r="EN764">
        <f>IF($DM764=0,0,IFERROR(MATCH(1,INDEX(--(TRIM(SUBSTITUTE(SUBSTITUTE(SUBSTITUTE(SUBSTITUTE(LINES_NAME&amp;""," "," "),CHAR(9)," "),CHAR(10)," "),CHAR(13)," "))=$DH764),0),0),0))</f>
        <v/>
      </c>
      <c r="EO764">
        <f>IF($EN764=0,0,IF(OR(UPPER(TRIM(INDEX(LINES_SCHEDULED,$EN764)&amp;""))="YES",UPPER(TRIM(INDEX(LINES_SCHEDULED,$EN764)&amp;""))="Y",UPPER(TRIM(INDEX(LINES_SCHEDULED,$EN764)&amp;""))="X"),1,0))</f>
        <v/>
      </c>
      <c r="EP764">
        <f>IF($DM764=0,"",IF(COUNTIFS($EG$5:$EG$1003,$EG764,$EB$5:$EB$1003,"Ready")&gt;0,"READY",IF(COUNTIFS($EG$5:$EG$1003,$EG764,$EB$5:$EB$1003,"PM")&gt;0,"PM",IF(COUNTIFS($EG$5:$EG$1003,$EG764,$EB$5:$EB$1003,"OT")&gt;0,"OT",""))))</f>
        <v/>
      </c>
      <c r="EQ764">
        <f>IF($EN764=0,"",UPPER(TRIM(INDEX(LINES_STATUS,$EN764)&amp;"")))</f>
        <v/>
      </c>
      <c r="ER764">
        <f>IF($DM764=0,"",IF(OR($EQ764="READY",$EQ764="PM",$EQ764="OT"),$EQ764,$EP764))</f>
        <v/>
      </c>
      <c r="ES764">
        <f>IF($DM764=0,"",IF(AND($DV764&lt;&gt;"",UPPER($DV764)&lt;&gt;"N"),"allergen",IF(ISNUMBER(SEARCH("oil",$DQ764)),"oil",IF(OR(EXACT($DS764,"A662"),EXACT($DS764,"A624")),"bulk",""))))</f>
        <v/>
      </c>
      <c r="ET764">
        <f>IF($DM764=0,"",IF(OR($EA764="",$EA764=0),"",$EA764/100))</f>
        <v/>
      </c>
      <c r="EU764">
        <f>IF(OR($ET764="",$DY764=""),"",INT($DY764*(1-$ET764)+0.5))</f>
        <v/>
      </c>
    </row>
    <row r="765">
      <c r="DA765" t="n">
        <v>761</v>
      </c>
      <c r="DB765">
        <f>IF($B$37=0,"",IFERROR(TRIM(SUBSTITUTE(SUBSTITUTE(SUBSTITUTE(SUBSTITUTE(INDEX(PASTE_ALL,761,$B$37)," "," "),CHAR(9)," "),CHAR(10)," "),CHAR(13)," ")),""))</f>
        <v/>
      </c>
      <c r="DC765">
        <f>IF(AND(761&gt;HEADER_ROW,UPPER(DB765)="LEGEND"),1,0)</f>
        <v/>
      </c>
      <c r="DE765" t="n">
        <v>761</v>
      </c>
      <c r="DF765">
        <f>HEADER_ROW+$DE765</f>
        <v/>
      </c>
      <c r="DG765">
        <f>IF(AND($DF765&lt;=1000,$DF765&lt;$B$8),1,0)</f>
        <v/>
      </c>
      <c r="DH765">
        <f>IF($DG765=1,IFERROR(INDEX($DB$5:$DB$1004,$DF765),""),"")</f>
        <v/>
      </c>
      <c r="DI765">
        <f>IF(AND($DG765=1,$DH765&lt;&gt;""),IFERROR(SUBSTITUTE(SUBSTITUTE(TRIM(SUBSTITUTE(SUBSTITUTE(SUBSTITUTE(SUBSTITUTE(IFERROR(INDEX(PASTE_ALL,$DF765,1)&amp;"","")&amp;"␟"&amp;IFERROR(INDEX(PASTE_ALL,$DF765,2)&amp;"","")&amp;"␟"&amp;IFERROR(INDEX(PASTE_ALL,$DF765,3)&amp;"","")&amp;"␟"&amp;IFERROR(INDEX(PASTE_ALL,$DF765,4)&amp;"","")&amp;"␟"&amp;IFERROR(INDEX(PASTE_ALL,$DF765,5)&amp;"","")&amp;"␟"&amp;IFERROR(INDEX(PASTE_ALL,$DF765,6)&amp;"","")&amp;"␟"&amp;IFERROR(INDEX(PASTE_ALL,$DF765,7)&amp;"","")&amp;"␟"&amp;IFERROR(INDEX(PASTE_ALL,$DF765,8)&amp;"","")&amp;"␟"&amp;IFERROR(INDEX(PASTE_ALL,$DF765,9)&amp;"","")&amp;"␟"&amp;IFERROR(INDEX(PASTE_ALL,$DF765,10)&amp;"","")&amp;"␟"&amp;IFERROR(INDEX(PASTE_ALL,$DF765,11)&amp;"","")&amp;"␟"&amp;IFERROR(INDEX(PASTE_ALL,$DF765,12)&amp;"","")&amp;"␟"&amp;IFERROR(INDEX(PASTE_ALL,$DF765,13)&amp;"","")&amp;"␟"&amp;IFERROR(INDEX(PASTE_ALL,$DF765,14)&amp;"","")&amp;"␟"&amp;IFERROR(INDEX(PASTE_ALL,$DF765,15)&amp;"","")&amp;"␟"&amp;IFERROR(INDEX(PASTE_ALL,$DF765,16)&amp;"","")&amp;"␟"&amp;IFERROR(INDEX(PASTE_ALL,$DF765,17)&amp;"","")&amp;"␟"&amp;IFERROR(INDEX(PASTE_ALL,$DF765,18)&amp;"","")&amp;"␟"&amp;IFERROR(INDEX(PASTE_ALL,$DF765,19)&amp;"","")&amp;"␟"&amp;IFERROR(INDEX(PASTE_ALL,$DF765,20)&amp;"","")&amp;"␟"&amp;IFERROR(INDEX(PASTE_ALL,$DF765,21)&amp;"","")&amp;"␟"&amp;IFERROR(INDEX(PASTE_ALL,$DF765,22)&amp;"","")&amp;"␟"&amp;IFERROR(INDEX(PASTE_ALL,$DF765,23)&amp;"","")&amp;"␟"&amp;IFERROR(INDEX(PASTE_ALL,$DF765,24)&amp;"","")&amp;"␟"&amp;IFERROR(INDEX(PASTE_ALL,$DF765,25)&amp;"","")&amp;"␟"&amp;IFERROR(INDEX(PASTE_ALL,$DF765,26)&amp;"","")&amp;"␟"&amp;IFERROR(INDEX(PASTE_ALL,$DF765,27)&amp;"","")&amp;"␟"&amp;IFERROR(INDEX(PASTE_ALL,$DF765,28)&amp;"","")&amp;"␟"&amp;IFERROR(INDEX(PASTE_ALL,$DF765,29)&amp;"","")&amp;"␟"&amp;IFERROR(INDEX(PASTE_ALL,$DF765,30)&amp;"","")&amp;"␟"&amp;IFERROR(INDEX(PASTE_ALL,$DF765,31)&amp;"","")&amp;"␟"&amp;IFERROR(INDEX(PASTE_ALL,$DF765,32)&amp;"","")&amp;"␟"&amp;IFERROR(INDEX(PASTE_ALL,$DF765,33)&amp;"","")&amp;"␟"&amp;IFERROR(INDEX(PASTE_ALL,$DF765,34)&amp;"","")&amp;"␟"&amp;IFERROR(INDEX(PASTE_ALL,$DF765,35)&amp;"","")&amp;"␟"&amp;IFERROR(INDEX(PASTE_ALL,$DF765,36)&amp;"","")&amp;"␟"&amp;IFERROR(INDEX(PASTE_ALL,$DF765,37)&amp;"","")&amp;"␟"&amp;IFERROR(INDEX(PASTE_ALL,$DF765,38)&amp;"","")&amp;"␟"&amp;IFERROR(INDEX(PASTE_ALL,$DF765,39)&amp;"","")&amp;"␟"&amp;IFERROR(INDEX(PASTE_ALL,$DF765,40)&amp;"","")&amp;"␟"&amp;IFERROR(INDEX(PASTE_ALL,$DF765,41)&amp;"","")&amp;"␟"&amp;IFERROR(INDEX(PASTE_ALL,$DF765,42)&amp;"","")&amp;"␟"&amp;IFERROR(INDEX(PASTE_ALL,$DF765,43)&amp;"","")&amp;"␟"&amp;IFERROR(INDEX(PASTE_ALL,$DF765,44)&amp;"","")&amp;"␟"&amp;IFERROR(INDEX(PASTE_ALL,$DF765,45)&amp;"","")&amp;"␟"&amp;IFERROR(INDEX(PASTE_ALL,$DF765,46)&amp;"","")&amp;"␟"&amp;IFERROR(INDEX(PASTE_ALL,$DF765,47)&amp;"","")&amp;"␟"&amp;IFERROR(INDEX(PASTE_ALL,$DF765,48)&amp;"","")&amp;"␟"&amp;IFERROR(INDEX(PASTE_ALL,$DF765,49)&amp;"","")&amp;"␟"&amp;IFERROR(INDEX(PASTE_ALL,$DF765,50)&amp;"","")&amp;"␟"&amp;IFERROR(INDEX(PASTE_ALL,$DF765,51)&amp;"","")&amp;"␟"&amp;IFERROR(INDEX(PASTE_ALL,$DF765,52)&amp;"","")&amp;"␟"&amp;IFERROR(INDEX(PASTE_ALL,$DF765,53)&amp;"","")&amp;"␟"&amp;IFERROR(INDEX(PASTE_ALL,$DF765,54)&amp;"","")&amp;"␟"&amp;IFERROR(INDEX(PASTE_ALL,$DF765,55)&amp;"","")&amp;"␟"&amp;IFERROR(INDEX(PASTE_ALL,$DF765,56)&amp;"","")&amp;"␟"&amp;IFERROR(INDEX(PASTE_ALL,$DF765,57)&amp;"","")&amp;"␟"&amp;IFERROR(INDEX(PASTE_ALL,$DF765,58)&amp;"","")&amp;"␟"&amp;IFERROR(INDEX(PASTE_ALL,$DF765,59)&amp;"","")&amp;"␟"&amp;IFERROR(INDEX(PASTE_ALL,$DF765,60)&amp;"","")," "," "),CHAR(9)," "),CHAR(10)," "),CHAR(13)," "))," ␟","␟"),"␟ ","␟"),"#"&amp;$DE765),"")</f>
        <v/>
      </c>
      <c r="DJ765">
        <f>IF($DI765="",0,IF(SUMPRODUCT(--EXACT($DI$4:DI764,$DI765))&gt;0,1,0))</f>
        <v/>
      </c>
      <c r="DK765">
        <f>IF(AND($DI765&lt;&gt;"",$DJ765=0),1,0)</f>
        <v/>
      </c>
      <c r="DL765">
        <f>DL764+$DK765</f>
        <v/>
      </c>
      <c r="DM765">
        <f>IF(AND($DK765=1,$DL765&lt;=600),1,0)</f>
        <v/>
      </c>
      <c r="DN765">
        <f>IF($DM765=0,"",IF($L$6=0,"",IFERROR(IF(ISNUMBER(INDEX(PASTE_ALL,$DF765,$L$6)),INDEX(PASTE_ALL,$DF765,$L$6),TRIM(SUBSTITUTE(SUBSTITUTE(SUBSTITUTE(SUBSTITUTE(INDEX(PASTE_ALL,$DF765,$L$6)," "," "),CHAR(9)," "),CHAR(10)," "),CHAR(13)," "))),"")))</f>
        <v/>
      </c>
      <c r="DO765">
        <f>IF($DM765=0,"",IF($L$7=0,"",IFERROR(IF(ISNUMBER(INDEX(PASTE_ALL,$DF765,$L$7)),INDEX(PASTE_ALL,$DF765,$L$7),TRIM(SUBSTITUTE(SUBSTITUTE(SUBSTITUTE(SUBSTITUTE(INDEX(PASTE_ALL,$DF765,$L$7)," "," "),CHAR(9)," "),CHAR(10)," "),CHAR(13)," "))),"")))</f>
        <v/>
      </c>
      <c r="DP765">
        <f>IF($DM765=0,"",IF($L$8=0,"",IFERROR(IF(ISNUMBER(INDEX(PASTE_ALL,$DF765,$L$8)),INDEX(PASTE_ALL,$DF765,$L$8),TRIM(SUBSTITUTE(SUBSTITUTE(SUBSTITUTE(SUBSTITUTE(INDEX(PASTE_ALL,$DF765,$L$8)," "," "),CHAR(9)," "),CHAR(10)," "),CHAR(13)," "))),"")))</f>
        <v/>
      </c>
      <c r="DQ765">
        <f>IF($DM765=0,"",IF($L$9=0,"",IFERROR(IF(ISNUMBER(INDEX(PASTE_ALL,$DF765,$L$9)),INDEX(PASTE_ALL,$DF765,$L$9),TRIM(SUBSTITUTE(SUBSTITUTE(SUBSTITUTE(SUBSTITUTE(INDEX(PASTE_ALL,$DF765,$L$9)," "," "),CHAR(9)," "),CHAR(10)," "),CHAR(13)," "))),"")))</f>
        <v/>
      </c>
      <c r="DR765">
        <f>IF($DM765=0,"",IF($L$10=0,"",IFERROR(IF(ISNUMBER(INDEX(PASTE_ALL,$DF765,$L$10)),INDEX(PASTE_ALL,$DF765,$L$10),TRIM(SUBSTITUTE(SUBSTITUTE(SUBSTITUTE(SUBSTITUTE(INDEX(PASTE_ALL,$DF765,$L$10)," "," "),CHAR(9)," "),CHAR(10)," "),CHAR(13)," "))),"")))</f>
        <v/>
      </c>
      <c r="DS765">
        <f>IF($DM765=0,"",IF($L$11=0,"",IFERROR(IF(ISNUMBER(INDEX(PASTE_ALL,$DF765,$L$11)),INDEX(PASTE_ALL,$DF765,$L$11),TRIM(SUBSTITUTE(SUBSTITUTE(SUBSTITUTE(SUBSTITUTE(INDEX(PASTE_ALL,$DF765,$L$11)," "," "),CHAR(9)," "),CHAR(10)," "),CHAR(13)," "))),"")))</f>
        <v/>
      </c>
      <c r="DT765">
        <f>IF($DM765=0,"",IF($L$12=0,"",IFERROR(IF(ISNUMBER(INDEX(PASTE_ALL,$DF765,$L$12)),INDEX(PASTE_ALL,$DF765,$L$12),TRIM(SUBSTITUTE(SUBSTITUTE(SUBSTITUTE(SUBSTITUTE(INDEX(PASTE_ALL,$DF765,$L$12)," "," "),CHAR(9)," "),CHAR(10)," "),CHAR(13)," "))),"")))</f>
        <v/>
      </c>
      <c r="DU765">
        <f>IF($DM765=0,"",IF($L$13=0,"",IFERROR(IF(ISNUMBER(INDEX(PASTE_ALL,$DF765,$L$13)),INDEX(PASTE_ALL,$DF765,$L$13),TRIM(SUBSTITUTE(SUBSTITUTE(SUBSTITUTE(SUBSTITUTE(INDEX(PASTE_ALL,$DF765,$L$13)," "," "),CHAR(9)," "),CHAR(10)," "),CHAR(13)," "))),"")))</f>
        <v/>
      </c>
      <c r="DV765">
        <f>IF($DM765=0,"",IF($L$14=0,"",IFERROR(IF(ISNUMBER(INDEX(PASTE_ALL,$DF765,$L$14)),INDEX(PASTE_ALL,$DF765,$L$14),TRIM(SUBSTITUTE(SUBSTITUTE(SUBSTITUTE(SUBSTITUTE(INDEX(PASTE_ALL,$DF765,$L$14)," "," "),CHAR(9)," "),CHAR(10)," "),CHAR(13)," "))),"")))</f>
        <v/>
      </c>
      <c r="DW765">
        <f>IF($DM765=0,"",IF($L$15=0,"",IFERROR(IF(ISNUMBER(INDEX(PASTE_ALL,$DF765,$L$15)),INDEX(PASTE_ALL,$DF765,$L$15),IF(SUMPRODUCT(--ISNUMBER(FIND({"A","B","C","D","E","F","G","H","I","J","K","L","M","N","O","P","Q","R","S","T","U","V","W","X","Y","Z","0","1","2","3","4","5","6","7","8","9"},UPPER(TRIM(SUBSTITUTE(SUBSTITUTE(SUBSTITUTE(SUBSTITUTE(INDEX(PASTE_ALL,$DF765,$L$15)," "," "),CHAR(9)," "),CHAR(10)," "),CHAR(13)," "))))))&gt;0,TRIM(SUBSTITUTE(SUBSTITUTE(SUBSTITUTE(SUBSTITUTE(INDEX(PASTE_ALL,$DF765,$L$15)," "," "),CHAR(9)," "),CHAR(10)," "),CHAR(13)," ")),"")),"")))</f>
        <v/>
      </c>
      <c r="DX765">
        <f>IF($DM765=0,"",IF($L$16=0,"",IFERROR(IF(ISNUMBER(INDEX(PASTE_ALL,$DF765,$L$16)),INDEX(PASTE_ALL,$DF765,$L$16),SUBSTITUTE(SUBSTITUTE(TRIM(SUBSTITUTE(SUBSTITUTE(SUBSTITUTE(SUBSTITUTE(INDEX(PASTE_ALL,$DF765,$L$16)," "," "),CHAR(9)," "),CHAR(10)," "),CHAR(13)," ")),",",""),"%","")),"")))</f>
        <v/>
      </c>
      <c r="DY765">
        <f>IF($DM765=0,"",IFERROR(IF(ISNUMBER($DX765),$DX765,IF($DX765="","",IF(TRIM($DX765)="",0,IF(AND(AND(SUBSTITUTE(SUBSTITUTE(SUBSTITUTE(SUBSTITUTE(SUBSTITUTE(SUBSTITUTE(SUBSTITUTE(SUBSTITUTE(SUBSTITUTE(SUBSTITUTE(SUBSTITUTE(SUBSTITUTE(SUBSTITUTE(SUBSTITUTE(UPPER(TRIM($DX765)),"0",""),"1",""),"2",""),"3",""),"4",""),"5",""),"6",""),"7",""),"8",""),"9",""),".",""),"+",""),"-",""),"E","")="",LEN(SUBSTITUTE(SUBSTITUTE(MID(UPPER(TRIM($DX765)),1+OR(LEFT(UPPER(TRIM($DX765)),1)="+",LEFT(UPPER(TRIM($DX765)),1)="-"),999),"E+","E"),"E-","E"))=LEN(SUBSTITUTE(SUBSTITUTE(SUBSTITUTE(SUBSTITUTE(MID(UPPER(TRIM($DX765)),1+OR(LEFT(UPPER(TRIM($DX765)),1)="+",LEFT(UPPER(TRIM($DX765)),1)="-"),999),"E+","E"),"E-","E"),"+",""),"-","")),LEN(UPPER(TRIM($DX765)))-LEN(SUBSTITUTE(UPPER(TRIM($DX765)),"E",""))&lt;2,LEN(UPPER(TRIM($DX765)))-LEN(SUBSTITUTE(UPPER(TRIM($DX765)),".",""))&lt;2,IFERROR(FIND(".",UPPER(TRIM($DX765))),0)&lt;IFERROR(FIND("E",UPPER(TRIM($DX765))),999)),ISNUMBER(VALUE(TRIM($DX765)))),VALUE(TRIM($DX765)),"")))),""))</f>
        <v/>
      </c>
      <c r="DZ765">
        <f>IF($DM765=0,"",IF($L$17=0,"",IFERROR(IF(ISNUMBER(INDEX(PASTE_ALL,$DF765,$L$17)),INDEX(PASTE_ALL,$DF765,$L$17),SUBSTITUTE(SUBSTITUTE(TRIM(SUBSTITUTE(SUBSTITUTE(SUBSTITUTE(SUBSTITUTE(INDEX(PASTE_ALL,$DF765,$L$17)," "," "),CHAR(9)," "),CHAR(10)," "),CHAR(13)," ")),",",""),"%","")),"")))</f>
        <v/>
      </c>
      <c r="EA765">
        <f>IF($DM765=0,"",IFERROR(IF(ISNUMBER($DZ765),$DZ765,IF($DZ765="","",IF(TRIM($DZ765)="",0,IF(AND(AND(SUBSTITUTE(SUBSTITUTE(SUBSTITUTE(SUBSTITUTE(SUBSTITUTE(SUBSTITUTE(SUBSTITUTE(SUBSTITUTE(SUBSTITUTE(SUBSTITUTE(SUBSTITUTE(SUBSTITUTE(SUBSTITUTE(SUBSTITUTE(UPPER(TRIM($DZ765)),"0",""),"1",""),"2",""),"3",""),"4",""),"5",""),"6",""),"7",""),"8",""),"9",""),".",""),"+",""),"-",""),"E","")="",LEN(SUBSTITUTE(SUBSTITUTE(MID(UPPER(TRIM($DZ765)),1+OR(LEFT(UPPER(TRIM($DZ765)),1)="+",LEFT(UPPER(TRIM($DZ765)),1)="-"),999),"E+","E"),"E-","E"))=LEN(SUBSTITUTE(SUBSTITUTE(SUBSTITUTE(SUBSTITUTE(MID(UPPER(TRIM($DZ765)),1+OR(LEFT(UPPER(TRIM($DZ765)),1)="+",LEFT(UPPER(TRIM($DZ765)),1)="-"),999),"E+","E"),"E-","E"),"+",""),"-","")),LEN(UPPER(TRIM($DZ765)))-LEN(SUBSTITUTE(UPPER(TRIM($DZ765)),"E",""))&lt;2,LEN(UPPER(TRIM($DZ765)))-LEN(SUBSTITUTE(UPPER(TRIM($DZ765)),".",""))&lt;2,IFERROR(FIND(".",UPPER(TRIM($DZ765))),0)&lt;IFERROR(FIND("E",UPPER(TRIM($DZ765))),999)),ISNUMBER(VALUE(TRIM($DZ765)))),VALUE(TRIM($DZ765)),"")))),""))</f>
        <v/>
      </c>
      <c r="EB765">
        <f>IF($DM765=0,"",IF($L$18=0,"",IFERROR(IF(UPPER(TRIM(SUBSTITUTE(SUBSTITUTE(SUBSTITUTE(SUBSTITUTE(INDEX(PASTE_ALL,$DF765,$L$18)," "," "),CHAR(9)," "),CHAR(10)," "),CHAR(13)," ")))="READY","Ready",IF(UPPER(TRIM(SUBSTITUTE(SUBSTITUTE(SUBSTITUTE(SUBSTITUTE(INDEX(PASTE_ALL,$DF765,$L$18)," "," "),CHAR(9)," "),CHAR(10)," "),CHAR(13)," ")))="PM","PM",IF(OR(UPPER(TRIM(SUBSTITUTE(SUBSTITUTE(SUBSTITUTE(SUBSTITUTE(INDEX(PASTE_ALL,$DF765,$L$18)," "," "),CHAR(9)," "),CHAR(10)," "),CHAR(13)," ")))="OT",UPPER(TRIM(SUBSTITUTE(SUBSTITUTE(SUBSTITUTE(SUBSTITUTE(INDEX(PASTE_ALL,$DF765,$L$18)," "," "),CHAR(9)," "),CHAR(10)," "),CHAR(13)," ")))="OVERTIME",UPPER(TRIM(SUBSTITUTE(SUBSTITUTE(SUBSTITUTE(SUBSTITUTE(INDEX(PASTE_ALL,$DF765,$L$18)," "," "),CHAR(9)," "),CHAR(10)," "),CHAR(13)," ")))="TRIAL"),"OT",TRIM(SUBSTITUTE(SUBSTITUTE(SUBSTITUTE(SUBSTITUTE(INDEX(PASTE_ALL,$DF765,$L$18)," "," "),CHAR(9)," "),CHAR(10)," "),CHAR(13)," "))))),"")))</f>
        <v/>
      </c>
      <c r="EC765">
        <f>IF($DM765=0,"",IF($L$19=0,"",IFERROR(IF(ISNUMBER(INDEX(PASTE_ALL,$DF765,$L$19)),INDEX(PASTE_ALL,$DF765,$L$19),TRIM(SUBSTITUTE(SUBSTITUTE(SUBSTITUTE(SUBSTITUTE(INDEX(PASTE_ALL,$DF765,$L$19)," "," "),CHAR(9)," "),CHAR(10)," "),CHAR(13)," "))),"")))</f>
        <v/>
      </c>
      <c r="ED765">
        <f>IF($DM765=0,"",MATCH(1,INDEX(EXACT($DH$5:DH765,$DH765)*$DM$5:DM765,0),0))</f>
        <v/>
      </c>
      <c r="EE765">
        <f>IF($DM765=0,0,IF($ED765=$DE765,1,0))</f>
        <v/>
      </c>
      <c r="EF765">
        <f>EF764+$EE765</f>
        <v/>
      </c>
      <c r="EG765">
        <f>IF($DM765=0,"",INDEX($EF$5:$EF$1003,$ED765))</f>
        <v/>
      </c>
      <c r="EH765">
        <f>IF($DM765=0,"",IF($DO765&lt;&gt;"","",IFERROR(LOOKUP(2,1/(($EG$4:EG764=$EG765)*($DO$4:DO764&lt;&gt;"")),$DO$4:DO764),"")))</f>
        <v/>
      </c>
      <c r="EI765">
        <f>IF($DM765=0,"",IF($DO765&lt;&gt;"",$DO765,$EH765))</f>
        <v/>
      </c>
      <c r="EJ765">
        <f>IF($DM765=0,"",IF($EI765="",0,IF(OR(ISNUMBER($EI765),AND(AND(SUBSTITUTE(SUBSTITUTE(SUBSTITUTE(SUBSTITUTE(SUBSTITUTE(SUBSTITUTE(SUBSTITUTE(SUBSTITUTE(SUBSTITUTE(SUBSTITUTE(SUBSTITUTE(SUBSTITUTE(SUBSTITUTE(SUBSTITUTE(UPPER($EI765),"0",""),"1",""),"2",""),"3",""),"4",""),"5",""),"6",""),"7",""),"8",""),"9",""),".",""),"+",""),"-",""),"E","")="",LEN(SUBSTITUTE(SUBSTITUTE(MID(UPPER($EI765),1+OR(LEFT(UPPER($EI765),1)="+",LEFT(UPPER($EI765),1)="-"),999),"E+","E"),"E-","E"))=LEN(SUBSTITUTE(SUBSTITUTE(SUBSTITUTE(SUBSTITUTE(MID(UPPER($EI765),1+OR(LEFT(UPPER($EI765),1)="+",LEFT(UPPER($EI765),1)="-"),999),"E+","E"),"E-","E"),"+",""),"-","")),LEN(UPPER($EI765))-LEN(SUBSTITUTE(UPPER($EI765),"E",""))&lt;2,LEN(UPPER($EI765))-LEN(SUBSTITUTE(UPPER($EI765),".",""))&lt;2,IFERROR(FIND(".",UPPER($EI765)),0)&lt;IFERROR(FIND("E",UPPER($EI765)),999)),ISNUMBER(VALUE($EI765)))),1,2)))</f>
        <v/>
      </c>
      <c r="EK765">
        <f>IF($DM765=0,"",IF($EJ765=1,IF(ISNUMBER($EI765),$EI765,VALUE($EI765)),IF($EJ765=2,$DE765,0)))</f>
        <v/>
      </c>
      <c r="EL765">
        <f>IF($DM765=0,"",COUNTIF($EG$5:$EG$1003,"&lt;"&amp;$EG765)+SUMPRODUCT(($EG$5:$EG$1003=$EG765)*(($EJ$5:$EJ$1003&lt;$EJ765)+($EJ$5:$EJ$1003=$EJ765)*(($EK$5:$EK$1003&lt;$EK765)+($EK$5:$EK$1003=$EK765)*($DE$5:$DE$1003&lt;$DE765))))+1)</f>
        <v/>
      </c>
      <c r="EM765">
        <f>IF($DM765=0,"",$EL765+$EG765-1)</f>
        <v/>
      </c>
      <c r="EN765">
        <f>IF($DM765=0,0,IFERROR(MATCH(1,INDEX(--(TRIM(SUBSTITUTE(SUBSTITUTE(SUBSTITUTE(SUBSTITUTE(LINES_NAME&amp;""," "," "),CHAR(9)," "),CHAR(10)," "),CHAR(13)," "))=$DH765),0),0),0))</f>
        <v/>
      </c>
      <c r="EO765">
        <f>IF($EN765=0,0,IF(OR(UPPER(TRIM(INDEX(LINES_SCHEDULED,$EN765)&amp;""))="YES",UPPER(TRIM(INDEX(LINES_SCHEDULED,$EN765)&amp;""))="Y",UPPER(TRIM(INDEX(LINES_SCHEDULED,$EN765)&amp;""))="X"),1,0))</f>
        <v/>
      </c>
      <c r="EP765">
        <f>IF($DM765=0,"",IF(COUNTIFS($EG$5:$EG$1003,$EG765,$EB$5:$EB$1003,"Ready")&gt;0,"READY",IF(COUNTIFS($EG$5:$EG$1003,$EG765,$EB$5:$EB$1003,"PM")&gt;0,"PM",IF(COUNTIFS($EG$5:$EG$1003,$EG765,$EB$5:$EB$1003,"OT")&gt;0,"OT",""))))</f>
        <v/>
      </c>
      <c r="EQ765">
        <f>IF($EN765=0,"",UPPER(TRIM(INDEX(LINES_STATUS,$EN765)&amp;"")))</f>
        <v/>
      </c>
      <c r="ER765">
        <f>IF($DM765=0,"",IF(OR($EQ765="READY",$EQ765="PM",$EQ765="OT"),$EQ765,$EP765))</f>
        <v/>
      </c>
      <c r="ES765">
        <f>IF($DM765=0,"",IF(AND($DV765&lt;&gt;"",UPPER($DV765)&lt;&gt;"N"),"allergen",IF(ISNUMBER(SEARCH("oil",$DQ765)),"oil",IF(OR(EXACT($DS765,"A662"),EXACT($DS765,"A624")),"bulk",""))))</f>
        <v/>
      </c>
      <c r="ET765">
        <f>IF($DM765=0,"",IF(OR($EA765="",$EA765=0),"",$EA765/100))</f>
        <v/>
      </c>
      <c r="EU765">
        <f>IF(OR($ET765="",$DY765=""),"",INT($DY765*(1-$ET765)+0.5))</f>
        <v/>
      </c>
    </row>
    <row r="766">
      <c r="DA766" t="n">
        <v>762</v>
      </c>
      <c r="DB766">
        <f>IF($B$37=0,"",IFERROR(TRIM(SUBSTITUTE(SUBSTITUTE(SUBSTITUTE(SUBSTITUTE(INDEX(PASTE_ALL,762,$B$37)," "," "),CHAR(9)," "),CHAR(10)," "),CHAR(13)," ")),""))</f>
        <v/>
      </c>
      <c r="DC766">
        <f>IF(AND(762&gt;HEADER_ROW,UPPER(DB766)="LEGEND"),1,0)</f>
        <v/>
      </c>
      <c r="DE766" t="n">
        <v>762</v>
      </c>
      <c r="DF766">
        <f>HEADER_ROW+$DE766</f>
        <v/>
      </c>
      <c r="DG766">
        <f>IF(AND($DF766&lt;=1000,$DF766&lt;$B$8),1,0)</f>
        <v/>
      </c>
      <c r="DH766">
        <f>IF($DG766=1,IFERROR(INDEX($DB$5:$DB$1004,$DF766),""),"")</f>
        <v/>
      </c>
      <c r="DI766">
        <f>IF(AND($DG766=1,$DH766&lt;&gt;""),IFERROR(SUBSTITUTE(SUBSTITUTE(TRIM(SUBSTITUTE(SUBSTITUTE(SUBSTITUTE(SUBSTITUTE(IFERROR(INDEX(PASTE_ALL,$DF766,1)&amp;"","")&amp;"␟"&amp;IFERROR(INDEX(PASTE_ALL,$DF766,2)&amp;"","")&amp;"␟"&amp;IFERROR(INDEX(PASTE_ALL,$DF766,3)&amp;"","")&amp;"␟"&amp;IFERROR(INDEX(PASTE_ALL,$DF766,4)&amp;"","")&amp;"␟"&amp;IFERROR(INDEX(PASTE_ALL,$DF766,5)&amp;"","")&amp;"␟"&amp;IFERROR(INDEX(PASTE_ALL,$DF766,6)&amp;"","")&amp;"␟"&amp;IFERROR(INDEX(PASTE_ALL,$DF766,7)&amp;"","")&amp;"␟"&amp;IFERROR(INDEX(PASTE_ALL,$DF766,8)&amp;"","")&amp;"␟"&amp;IFERROR(INDEX(PASTE_ALL,$DF766,9)&amp;"","")&amp;"␟"&amp;IFERROR(INDEX(PASTE_ALL,$DF766,10)&amp;"","")&amp;"␟"&amp;IFERROR(INDEX(PASTE_ALL,$DF766,11)&amp;"","")&amp;"␟"&amp;IFERROR(INDEX(PASTE_ALL,$DF766,12)&amp;"","")&amp;"␟"&amp;IFERROR(INDEX(PASTE_ALL,$DF766,13)&amp;"","")&amp;"␟"&amp;IFERROR(INDEX(PASTE_ALL,$DF766,14)&amp;"","")&amp;"␟"&amp;IFERROR(INDEX(PASTE_ALL,$DF766,15)&amp;"","")&amp;"␟"&amp;IFERROR(INDEX(PASTE_ALL,$DF766,16)&amp;"","")&amp;"␟"&amp;IFERROR(INDEX(PASTE_ALL,$DF766,17)&amp;"","")&amp;"␟"&amp;IFERROR(INDEX(PASTE_ALL,$DF766,18)&amp;"","")&amp;"␟"&amp;IFERROR(INDEX(PASTE_ALL,$DF766,19)&amp;"","")&amp;"␟"&amp;IFERROR(INDEX(PASTE_ALL,$DF766,20)&amp;"","")&amp;"␟"&amp;IFERROR(INDEX(PASTE_ALL,$DF766,21)&amp;"","")&amp;"␟"&amp;IFERROR(INDEX(PASTE_ALL,$DF766,22)&amp;"","")&amp;"␟"&amp;IFERROR(INDEX(PASTE_ALL,$DF766,23)&amp;"","")&amp;"␟"&amp;IFERROR(INDEX(PASTE_ALL,$DF766,24)&amp;"","")&amp;"␟"&amp;IFERROR(INDEX(PASTE_ALL,$DF766,25)&amp;"","")&amp;"␟"&amp;IFERROR(INDEX(PASTE_ALL,$DF766,26)&amp;"","")&amp;"␟"&amp;IFERROR(INDEX(PASTE_ALL,$DF766,27)&amp;"","")&amp;"␟"&amp;IFERROR(INDEX(PASTE_ALL,$DF766,28)&amp;"","")&amp;"␟"&amp;IFERROR(INDEX(PASTE_ALL,$DF766,29)&amp;"","")&amp;"␟"&amp;IFERROR(INDEX(PASTE_ALL,$DF766,30)&amp;"","")&amp;"␟"&amp;IFERROR(INDEX(PASTE_ALL,$DF766,31)&amp;"","")&amp;"␟"&amp;IFERROR(INDEX(PASTE_ALL,$DF766,32)&amp;"","")&amp;"␟"&amp;IFERROR(INDEX(PASTE_ALL,$DF766,33)&amp;"","")&amp;"␟"&amp;IFERROR(INDEX(PASTE_ALL,$DF766,34)&amp;"","")&amp;"␟"&amp;IFERROR(INDEX(PASTE_ALL,$DF766,35)&amp;"","")&amp;"␟"&amp;IFERROR(INDEX(PASTE_ALL,$DF766,36)&amp;"","")&amp;"␟"&amp;IFERROR(INDEX(PASTE_ALL,$DF766,37)&amp;"","")&amp;"␟"&amp;IFERROR(INDEX(PASTE_ALL,$DF766,38)&amp;"","")&amp;"␟"&amp;IFERROR(INDEX(PASTE_ALL,$DF766,39)&amp;"","")&amp;"␟"&amp;IFERROR(INDEX(PASTE_ALL,$DF766,40)&amp;"","")&amp;"␟"&amp;IFERROR(INDEX(PASTE_ALL,$DF766,41)&amp;"","")&amp;"␟"&amp;IFERROR(INDEX(PASTE_ALL,$DF766,42)&amp;"","")&amp;"␟"&amp;IFERROR(INDEX(PASTE_ALL,$DF766,43)&amp;"","")&amp;"␟"&amp;IFERROR(INDEX(PASTE_ALL,$DF766,44)&amp;"","")&amp;"␟"&amp;IFERROR(INDEX(PASTE_ALL,$DF766,45)&amp;"","")&amp;"␟"&amp;IFERROR(INDEX(PASTE_ALL,$DF766,46)&amp;"","")&amp;"␟"&amp;IFERROR(INDEX(PASTE_ALL,$DF766,47)&amp;"","")&amp;"␟"&amp;IFERROR(INDEX(PASTE_ALL,$DF766,48)&amp;"","")&amp;"␟"&amp;IFERROR(INDEX(PASTE_ALL,$DF766,49)&amp;"","")&amp;"␟"&amp;IFERROR(INDEX(PASTE_ALL,$DF766,50)&amp;"","")&amp;"␟"&amp;IFERROR(INDEX(PASTE_ALL,$DF766,51)&amp;"","")&amp;"␟"&amp;IFERROR(INDEX(PASTE_ALL,$DF766,52)&amp;"","")&amp;"␟"&amp;IFERROR(INDEX(PASTE_ALL,$DF766,53)&amp;"","")&amp;"␟"&amp;IFERROR(INDEX(PASTE_ALL,$DF766,54)&amp;"","")&amp;"␟"&amp;IFERROR(INDEX(PASTE_ALL,$DF766,55)&amp;"","")&amp;"␟"&amp;IFERROR(INDEX(PASTE_ALL,$DF766,56)&amp;"","")&amp;"␟"&amp;IFERROR(INDEX(PASTE_ALL,$DF766,57)&amp;"","")&amp;"␟"&amp;IFERROR(INDEX(PASTE_ALL,$DF766,58)&amp;"","")&amp;"␟"&amp;IFERROR(INDEX(PASTE_ALL,$DF766,59)&amp;"","")&amp;"␟"&amp;IFERROR(INDEX(PASTE_ALL,$DF766,60)&amp;"","")," "," "),CHAR(9)," "),CHAR(10)," "),CHAR(13)," "))," ␟","␟"),"␟ ","␟"),"#"&amp;$DE766),"")</f>
        <v/>
      </c>
      <c r="DJ766">
        <f>IF($DI766="",0,IF(SUMPRODUCT(--EXACT($DI$4:DI765,$DI766))&gt;0,1,0))</f>
        <v/>
      </c>
      <c r="DK766">
        <f>IF(AND($DI766&lt;&gt;"",$DJ766=0),1,0)</f>
        <v/>
      </c>
      <c r="DL766">
        <f>DL765+$DK766</f>
        <v/>
      </c>
      <c r="DM766">
        <f>IF(AND($DK766=1,$DL766&lt;=600),1,0)</f>
        <v/>
      </c>
      <c r="DN766">
        <f>IF($DM766=0,"",IF($L$6=0,"",IFERROR(IF(ISNUMBER(INDEX(PASTE_ALL,$DF766,$L$6)),INDEX(PASTE_ALL,$DF766,$L$6),TRIM(SUBSTITUTE(SUBSTITUTE(SUBSTITUTE(SUBSTITUTE(INDEX(PASTE_ALL,$DF766,$L$6)," "," "),CHAR(9)," "),CHAR(10)," "),CHAR(13)," "))),"")))</f>
        <v/>
      </c>
      <c r="DO766">
        <f>IF($DM766=0,"",IF($L$7=0,"",IFERROR(IF(ISNUMBER(INDEX(PASTE_ALL,$DF766,$L$7)),INDEX(PASTE_ALL,$DF766,$L$7),TRIM(SUBSTITUTE(SUBSTITUTE(SUBSTITUTE(SUBSTITUTE(INDEX(PASTE_ALL,$DF766,$L$7)," "," "),CHAR(9)," "),CHAR(10)," "),CHAR(13)," "))),"")))</f>
        <v/>
      </c>
      <c r="DP766">
        <f>IF($DM766=0,"",IF($L$8=0,"",IFERROR(IF(ISNUMBER(INDEX(PASTE_ALL,$DF766,$L$8)),INDEX(PASTE_ALL,$DF766,$L$8),TRIM(SUBSTITUTE(SUBSTITUTE(SUBSTITUTE(SUBSTITUTE(INDEX(PASTE_ALL,$DF766,$L$8)," "," "),CHAR(9)," "),CHAR(10)," "),CHAR(13)," "))),"")))</f>
        <v/>
      </c>
      <c r="DQ766">
        <f>IF($DM766=0,"",IF($L$9=0,"",IFERROR(IF(ISNUMBER(INDEX(PASTE_ALL,$DF766,$L$9)),INDEX(PASTE_ALL,$DF766,$L$9),TRIM(SUBSTITUTE(SUBSTITUTE(SUBSTITUTE(SUBSTITUTE(INDEX(PASTE_ALL,$DF766,$L$9)," "," "),CHAR(9)," "),CHAR(10)," "),CHAR(13)," "))),"")))</f>
        <v/>
      </c>
      <c r="DR766">
        <f>IF($DM766=0,"",IF($L$10=0,"",IFERROR(IF(ISNUMBER(INDEX(PASTE_ALL,$DF766,$L$10)),INDEX(PASTE_ALL,$DF766,$L$10),TRIM(SUBSTITUTE(SUBSTITUTE(SUBSTITUTE(SUBSTITUTE(INDEX(PASTE_ALL,$DF766,$L$10)," "," "),CHAR(9)," "),CHAR(10)," "),CHAR(13)," "))),"")))</f>
        <v/>
      </c>
      <c r="DS766">
        <f>IF($DM766=0,"",IF($L$11=0,"",IFERROR(IF(ISNUMBER(INDEX(PASTE_ALL,$DF766,$L$11)),INDEX(PASTE_ALL,$DF766,$L$11),TRIM(SUBSTITUTE(SUBSTITUTE(SUBSTITUTE(SUBSTITUTE(INDEX(PASTE_ALL,$DF766,$L$11)," "," "),CHAR(9)," "),CHAR(10)," "),CHAR(13)," "))),"")))</f>
        <v/>
      </c>
      <c r="DT766">
        <f>IF($DM766=0,"",IF($L$12=0,"",IFERROR(IF(ISNUMBER(INDEX(PASTE_ALL,$DF766,$L$12)),INDEX(PASTE_ALL,$DF766,$L$12),TRIM(SUBSTITUTE(SUBSTITUTE(SUBSTITUTE(SUBSTITUTE(INDEX(PASTE_ALL,$DF766,$L$12)," "," "),CHAR(9)," "),CHAR(10)," "),CHAR(13)," "))),"")))</f>
        <v/>
      </c>
      <c r="DU766">
        <f>IF($DM766=0,"",IF($L$13=0,"",IFERROR(IF(ISNUMBER(INDEX(PASTE_ALL,$DF766,$L$13)),INDEX(PASTE_ALL,$DF766,$L$13),TRIM(SUBSTITUTE(SUBSTITUTE(SUBSTITUTE(SUBSTITUTE(INDEX(PASTE_ALL,$DF766,$L$13)," "," "),CHAR(9)," "),CHAR(10)," "),CHAR(13)," "))),"")))</f>
        <v/>
      </c>
      <c r="DV766">
        <f>IF($DM766=0,"",IF($L$14=0,"",IFERROR(IF(ISNUMBER(INDEX(PASTE_ALL,$DF766,$L$14)),INDEX(PASTE_ALL,$DF766,$L$14),TRIM(SUBSTITUTE(SUBSTITUTE(SUBSTITUTE(SUBSTITUTE(INDEX(PASTE_ALL,$DF766,$L$14)," "," "),CHAR(9)," "),CHAR(10)," "),CHAR(13)," "))),"")))</f>
        <v/>
      </c>
      <c r="DW766">
        <f>IF($DM766=0,"",IF($L$15=0,"",IFERROR(IF(ISNUMBER(INDEX(PASTE_ALL,$DF766,$L$15)),INDEX(PASTE_ALL,$DF766,$L$15),IF(SUMPRODUCT(--ISNUMBER(FIND({"A","B","C","D","E","F","G","H","I","J","K","L","M","N","O","P","Q","R","S","T","U","V","W","X","Y","Z","0","1","2","3","4","5","6","7","8","9"},UPPER(TRIM(SUBSTITUTE(SUBSTITUTE(SUBSTITUTE(SUBSTITUTE(INDEX(PASTE_ALL,$DF766,$L$15)," "," "),CHAR(9)," "),CHAR(10)," "),CHAR(13)," "))))))&gt;0,TRIM(SUBSTITUTE(SUBSTITUTE(SUBSTITUTE(SUBSTITUTE(INDEX(PASTE_ALL,$DF766,$L$15)," "," "),CHAR(9)," "),CHAR(10)," "),CHAR(13)," ")),"")),"")))</f>
        <v/>
      </c>
      <c r="DX766">
        <f>IF($DM766=0,"",IF($L$16=0,"",IFERROR(IF(ISNUMBER(INDEX(PASTE_ALL,$DF766,$L$16)),INDEX(PASTE_ALL,$DF766,$L$16),SUBSTITUTE(SUBSTITUTE(TRIM(SUBSTITUTE(SUBSTITUTE(SUBSTITUTE(SUBSTITUTE(INDEX(PASTE_ALL,$DF766,$L$16)," "," "),CHAR(9)," "),CHAR(10)," "),CHAR(13)," ")),",",""),"%","")),"")))</f>
        <v/>
      </c>
      <c r="DY766">
        <f>IF($DM766=0,"",IFERROR(IF(ISNUMBER($DX766),$DX766,IF($DX766="","",IF(TRIM($DX766)="",0,IF(AND(AND(SUBSTITUTE(SUBSTITUTE(SUBSTITUTE(SUBSTITUTE(SUBSTITUTE(SUBSTITUTE(SUBSTITUTE(SUBSTITUTE(SUBSTITUTE(SUBSTITUTE(SUBSTITUTE(SUBSTITUTE(SUBSTITUTE(SUBSTITUTE(UPPER(TRIM($DX766)),"0",""),"1",""),"2",""),"3",""),"4",""),"5",""),"6",""),"7",""),"8",""),"9",""),".",""),"+",""),"-",""),"E","")="",LEN(SUBSTITUTE(SUBSTITUTE(MID(UPPER(TRIM($DX766)),1+OR(LEFT(UPPER(TRIM($DX766)),1)="+",LEFT(UPPER(TRIM($DX766)),1)="-"),999),"E+","E"),"E-","E"))=LEN(SUBSTITUTE(SUBSTITUTE(SUBSTITUTE(SUBSTITUTE(MID(UPPER(TRIM($DX766)),1+OR(LEFT(UPPER(TRIM($DX766)),1)="+",LEFT(UPPER(TRIM($DX766)),1)="-"),999),"E+","E"),"E-","E"),"+",""),"-","")),LEN(UPPER(TRIM($DX766)))-LEN(SUBSTITUTE(UPPER(TRIM($DX766)),"E",""))&lt;2,LEN(UPPER(TRIM($DX766)))-LEN(SUBSTITUTE(UPPER(TRIM($DX766)),".",""))&lt;2,IFERROR(FIND(".",UPPER(TRIM($DX766))),0)&lt;IFERROR(FIND("E",UPPER(TRIM($DX766))),999)),ISNUMBER(VALUE(TRIM($DX766)))),VALUE(TRIM($DX766)),"")))),""))</f>
        <v/>
      </c>
      <c r="DZ766">
        <f>IF($DM766=0,"",IF($L$17=0,"",IFERROR(IF(ISNUMBER(INDEX(PASTE_ALL,$DF766,$L$17)),INDEX(PASTE_ALL,$DF766,$L$17),SUBSTITUTE(SUBSTITUTE(TRIM(SUBSTITUTE(SUBSTITUTE(SUBSTITUTE(SUBSTITUTE(INDEX(PASTE_ALL,$DF766,$L$17)," "," "),CHAR(9)," "),CHAR(10)," "),CHAR(13)," ")),",",""),"%","")),"")))</f>
        <v/>
      </c>
      <c r="EA766">
        <f>IF($DM766=0,"",IFERROR(IF(ISNUMBER($DZ766),$DZ766,IF($DZ766="","",IF(TRIM($DZ766)="",0,IF(AND(AND(SUBSTITUTE(SUBSTITUTE(SUBSTITUTE(SUBSTITUTE(SUBSTITUTE(SUBSTITUTE(SUBSTITUTE(SUBSTITUTE(SUBSTITUTE(SUBSTITUTE(SUBSTITUTE(SUBSTITUTE(SUBSTITUTE(SUBSTITUTE(UPPER(TRIM($DZ766)),"0",""),"1",""),"2",""),"3",""),"4",""),"5",""),"6",""),"7",""),"8",""),"9",""),".",""),"+",""),"-",""),"E","")="",LEN(SUBSTITUTE(SUBSTITUTE(MID(UPPER(TRIM($DZ766)),1+OR(LEFT(UPPER(TRIM($DZ766)),1)="+",LEFT(UPPER(TRIM($DZ766)),1)="-"),999),"E+","E"),"E-","E"))=LEN(SUBSTITUTE(SUBSTITUTE(SUBSTITUTE(SUBSTITUTE(MID(UPPER(TRIM($DZ766)),1+OR(LEFT(UPPER(TRIM($DZ766)),1)="+",LEFT(UPPER(TRIM($DZ766)),1)="-"),999),"E+","E"),"E-","E"),"+",""),"-","")),LEN(UPPER(TRIM($DZ766)))-LEN(SUBSTITUTE(UPPER(TRIM($DZ766)),"E",""))&lt;2,LEN(UPPER(TRIM($DZ766)))-LEN(SUBSTITUTE(UPPER(TRIM($DZ766)),".",""))&lt;2,IFERROR(FIND(".",UPPER(TRIM($DZ766))),0)&lt;IFERROR(FIND("E",UPPER(TRIM($DZ766))),999)),ISNUMBER(VALUE(TRIM($DZ766)))),VALUE(TRIM($DZ766)),"")))),""))</f>
        <v/>
      </c>
      <c r="EB766">
        <f>IF($DM766=0,"",IF($L$18=0,"",IFERROR(IF(UPPER(TRIM(SUBSTITUTE(SUBSTITUTE(SUBSTITUTE(SUBSTITUTE(INDEX(PASTE_ALL,$DF766,$L$18)," "," "),CHAR(9)," "),CHAR(10)," "),CHAR(13)," ")))="READY","Ready",IF(UPPER(TRIM(SUBSTITUTE(SUBSTITUTE(SUBSTITUTE(SUBSTITUTE(INDEX(PASTE_ALL,$DF766,$L$18)," "," "),CHAR(9)," "),CHAR(10)," "),CHAR(13)," ")))="PM","PM",IF(OR(UPPER(TRIM(SUBSTITUTE(SUBSTITUTE(SUBSTITUTE(SUBSTITUTE(INDEX(PASTE_ALL,$DF766,$L$18)," "," "),CHAR(9)," "),CHAR(10)," "),CHAR(13)," ")))="OT",UPPER(TRIM(SUBSTITUTE(SUBSTITUTE(SUBSTITUTE(SUBSTITUTE(INDEX(PASTE_ALL,$DF766,$L$18)," "," "),CHAR(9)," "),CHAR(10)," "),CHAR(13)," ")))="OVERTIME",UPPER(TRIM(SUBSTITUTE(SUBSTITUTE(SUBSTITUTE(SUBSTITUTE(INDEX(PASTE_ALL,$DF766,$L$18)," "," "),CHAR(9)," "),CHAR(10)," "),CHAR(13)," ")))="TRIAL"),"OT",TRIM(SUBSTITUTE(SUBSTITUTE(SUBSTITUTE(SUBSTITUTE(INDEX(PASTE_ALL,$DF766,$L$18)," "," "),CHAR(9)," "),CHAR(10)," "),CHAR(13)," "))))),"")))</f>
        <v/>
      </c>
      <c r="EC766">
        <f>IF($DM766=0,"",IF($L$19=0,"",IFERROR(IF(ISNUMBER(INDEX(PASTE_ALL,$DF766,$L$19)),INDEX(PASTE_ALL,$DF766,$L$19),TRIM(SUBSTITUTE(SUBSTITUTE(SUBSTITUTE(SUBSTITUTE(INDEX(PASTE_ALL,$DF766,$L$19)," "," "),CHAR(9)," "),CHAR(10)," "),CHAR(13)," "))),"")))</f>
        <v/>
      </c>
      <c r="ED766">
        <f>IF($DM766=0,"",MATCH(1,INDEX(EXACT($DH$5:DH766,$DH766)*$DM$5:DM766,0),0))</f>
        <v/>
      </c>
      <c r="EE766">
        <f>IF($DM766=0,0,IF($ED766=$DE766,1,0))</f>
        <v/>
      </c>
      <c r="EF766">
        <f>EF765+$EE766</f>
        <v/>
      </c>
      <c r="EG766">
        <f>IF($DM766=0,"",INDEX($EF$5:$EF$1003,$ED766))</f>
        <v/>
      </c>
      <c r="EH766">
        <f>IF($DM766=0,"",IF($DO766&lt;&gt;"","",IFERROR(LOOKUP(2,1/(($EG$4:EG765=$EG766)*($DO$4:DO765&lt;&gt;"")),$DO$4:DO765),"")))</f>
        <v/>
      </c>
      <c r="EI766">
        <f>IF($DM766=0,"",IF($DO766&lt;&gt;"",$DO766,$EH766))</f>
        <v/>
      </c>
      <c r="EJ766">
        <f>IF($DM766=0,"",IF($EI766="",0,IF(OR(ISNUMBER($EI766),AND(AND(SUBSTITUTE(SUBSTITUTE(SUBSTITUTE(SUBSTITUTE(SUBSTITUTE(SUBSTITUTE(SUBSTITUTE(SUBSTITUTE(SUBSTITUTE(SUBSTITUTE(SUBSTITUTE(SUBSTITUTE(SUBSTITUTE(SUBSTITUTE(UPPER($EI766),"0",""),"1",""),"2",""),"3",""),"4",""),"5",""),"6",""),"7",""),"8",""),"9",""),".",""),"+",""),"-",""),"E","")="",LEN(SUBSTITUTE(SUBSTITUTE(MID(UPPER($EI766),1+OR(LEFT(UPPER($EI766),1)="+",LEFT(UPPER($EI766),1)="-"),999),"E+","E"),"E-","E"))=LEN(SUBSTITUTE(SUBSTITUTE(SUBSTITUTE(SUBSTITUTE(MID(UPPER($EI766),1+OR(LEFT(UPPER($EI766),1)="+",LEFT(UPPER($EI766),1)="-"),999),"E+","E"),"E-","E"),"+",""),"-","")),LEN(UPPER($EI766))-LEN(SUBSTITUTE(UPPER($EI766),"E",""))&lt;2,LEN(UPPER($EI766))-LEN(SUBSTITUTE(UPPER($EI766),".",""))&lt;2,IFERROR(FIND(".",UPPER($EI766)),0)&lt;IFERROR(FIND("E",UPPER($EI766)),999)),ISNUMBER(VALUE($EI766)))),1,2)))</f>
        <v/>
      </c>
      <c r="EK766">
        <f>IF($DM766=0,"",IF($EJ766=1,IF(ISNUMBER($EI766),$EI766,VALUE($EI766)),IF($EJ766=2,$DE766,0)))</f>
        <v/>
      </c>
      <c r="EL766">
        <f>IF($DM766=0,"",COUNTIF($EG$5:$EG$1003,"&lt;"&amp;$EG766)+SUMPRODUCT(($EG$5:$EG$1003=$EG766)*(($EJ$5:$EJ$1003&lt;$EJ766)+($EJ$5:$EJ$1003=$EJ766)*(($EK$5:$EK$1003&lt;$EK766)+($EK$5:$EK$1003=$EK766)*($DE$5:$DE$1003&lt;$DE766))))+1)</f>
        <v/>
      </c>
      <c r="EM766">
        <f>IF($DM766=0,"",$EL766+$EG766-1)</f>
        <v/>
      </c>
      <c r="EN766">
        <f>IF($DM766=0,0,IFERROR(MATCH(1,INDEX(--(TRIM(SUBSTITUTE(SUBSTITUTE(SUBSTITUTE(SUBSTITUTE(LINES_NAME&amp;""," "," "),CHAR(9)," "),CHAR(10)," "),CHAR(13)," "))=$DH766),0),0),0))</f>
        <v/>
      </c>
      <c r="EO766">
        <f>IF($EN766=0,0,IF(OR(UPPER(TRIM(INDEX(LINES_SCHEDULED,$EN766)&amp;""))="YES",UPPER(TRIM(INDEX(LINES_SCHEDULED,$EN766)&amp;""))="Y",UPPER(TRIM(INDEX(LINES_SCHEDULED,$EN766)&amp;""))="X"),1,0))</f>
        <v/>
      </c>
      <c r="EP766">
        <f>IF($DM766=0,"",IF(COUNTIFS($EG$5:$EG$1003,$EG766,$EB$5:$EB$1003,"Ready")&gt;0,"READY",IF(COUNTIFS($EG$5:$EG$1003,$EG766,$EB$5:$EB$1003,"PM")&gt;0,"PM",IF(COUNTIFS($EG$5:$EG$1003,$EG766,$EB$5:$EB$1003,"OT")&gt;0,"OT",""))))</f>
        <v/>
      </c>
      <c r="EQ766">
        <f>IF($EN766=0,"",UPPER(TRIM(INDEX(LINES_STATUS,$EN766)&amp;"")))</f>
        <v/>
      </c>
      <c r="ER766">
        <f>IF($DM766=0,"",IF(OR($EQ766="READY",$EQ766="PM",$EQ766="OT"),$EQ766,$EP766))</f>
        <v/>
      </c>
      <c r="ES766">
        <f>IF($DM766=0,"",IF(AND($DV766&lt;&gt;"",UPPER($DV766)&lt;&gt;"N"),"allergen",IF(ISNUMBER(SEARCH("oil",$DQ766)),"oil",IF(OR(EXACT($DS766,"A662"),EXACT($DS766,"A624")),"bulk",""))))</f>
        <v/>
      </c>
      <c r="ET766">
        <f>IF($DM766=0,"",IF(OR($EA766="",$EA766=0),"",$EA766/100))</f>
        <v/>
      </c>
      <c r="EU766">
        <f>IF(OR($ET766="",$DY766=""),"",INT($DY766*(1-$ET766)+0.5))</f>
        <v/>
      </c>
    </row>
    <row r="767">
      <c r="DA767" t="n">
        <v>763</v>
      </c>
      <c r="DB767">
        <f>IF($B$37=0,"",IFERROR(TRIM(SUBSTITUTE(SUBSTITUTE(SUBSTITUTE(SUBSTITUTE(INDEX(PASTE_ALL,763,$B$37)," "," "),CHAR(9)," "),CHAR(10)," "),CHAR(13)," ")),""))</f>
        <v/>
      </c>
      <c r="DC767">
        <f>IF(AND(763&gt;HEADER_ROW,UPPER(DB767)="LEGEND"),1,0)</f>
        <v/>
      </c>
      <c r="DE767" t="n">
        <v>763</v>
      </c>
      <c r="DF767">
        <f>HEADER_ROW+$DE767</f>
        <v/>
      </c>
      <c r="DG767">
        <f>IF(AND($DF767&lt;=1000,$DF767&lt;$B$8),1,0)</f>
        <v/>
      </c>
      <c r="DH767">
        <f>IF($DG767=1,IFERROR(INDEX($DB$5:$DB$1004,$DF767),""),"")</f>
        <v/>
      </c>
      <c r="DI767">
        <f>IF(AND($DG767=1,$DH767&lt;&gt;""),IFERROR(SUBSTITUTE(SUBSTITUTE(TRIM(SUBSTITUTE(SUBSTITUTE(SUBSTITUTE(SUBSTITUTE(IFERROR(INDEX(PASTE_ALL,$DF767,1)&amp;"","")&amp;"␟"&amp;IFERROR(INDEX(PASTE_ALL,$DF767,2)&amp;"","")&amp;"␟"&amp;IFERROR(INDEX(PASTE_ALL,$DF767,3)&amp;"","")&amp;"␟"&amp;IFERROR(INDEX(PASTE_ALL,$DF767,4)&amp;"","")&amp;"␟"&amp;IFERROR(INDEX(PASTE_ALL,$DF767,5)&amp;"","")&amp;"␟"&amp;IFERROR(INDEX(PASTE_ALL,$DF767,6)&amp;"","")&amp;"␟"&amp;IFERROR(INDEX(PASTE_ALL,$DF767,7)&amp;"","")&amp;"␟"&amp;IFERROR(INDEX(PASTE_ALL,$DF767,8)&amp;"","")&amp;"␟"&amp;IFERROR(INDEX(PASTE_ALL,$DF767,9)&amp;"","")&amp;"␟"&amp;IFERROR(INDEX(PASTE_ALL,$DF767,10)&amp;"","")&amp;"␟"&amp;IFERROR(INDEX(PASTE_ALL,$DF767,11)&amp;"","")&amp;"␟"&amp;IFERROR(INDEX(PASTE_ALL,$DF767,12)&amp;"","")&amp;"␟"&amp;IFERROR(INDEX(PASTE_ALL,$DF767,13)&amp;"","")&amp;"␟"&amp;IFERROR(INDEX(PASTE_ALL,$DF767,14)&amp;"","")&amp;"␟"&amp;IFERROR(INDEX(PASTE_ALL,$DF767,15)&amp;"","")&amp;"␟"&amp;IFERROR(INDEX(PASTE_ALL,$DF767,16)&amp;"","")&amp;"␟"&amp;IFERROR(INDEX(PASTE_ALL,$DF767,17)&amp;"","")&amp;"␟"&amp;IFERROR(INDEX(PASTE_ALL,$DF767,18)&amp;"","")&amp;"␟"&amp;IFERROR(INDEX(PASTE_ALL,$DF767,19)&amp;"","")&amp;"␟"&amp;IFERROR(INDEX(PASTE_ALL,$DF767,20)&amp;"","")&amp;"␟"&amp;IFERROR(INDEX(PASTE_ALL,$DF767,21)&amp;"","")&amp;"␟"&amp;IFERROR(INDEX(PASTE_ALL,$DF767,22)&amp;"","")&amp;"␟"&amp;IFERROR(INDEX(PASTE_ALL,$DF767,23)&amp;"","")&amp;"␟"&amp;IFERROR(INDEX(PASTE_ALL,$DF767,24)&amp;"","")&amp;"␟"&amp;IFERROR(INDEX(PASTE_ALL,$DF767,25)&amp;"","")&amp;"␟"&amp;IFERROR(INDEX(PASTE_ALL,$DF767,26)&amp;"","")&amp;"␟"&amp;IFERROR(INDEX(PASTE_ALL,$DF767,27)&amp;"","")&amp;"␟"&amp;IFERROR(INDEX(PASTE_ALL,$DF767,28)&amp;"","")&amp;"␟"&amp;IFERROR(INDEX(PASTE_ALL,$DF767,29)&amp;"","")&amp;"␟"&amp;IFERROR(INDEX(PASTE_ALL,$DF767,30)&amp;"","")&amp;"␟"&amp;IFERROR(INDEX(PASTE_ALL,$DF767,31)&amp;"","")&amp;"␟"&amp;IFERROR(INDEX(PASTE_ALL,$DF767,32)&amp;"","")&amp;"␟"&amp;IFERROR(INDEX(PASTE_ALL,$DF767,33)&amp;"","")&amp;"␟"&amp;IFERROR(INDEX(PASTE_ALL,$DF767,34)&amp;"","")&amp;"␟"&amp;IFERROR(INDEX(PASTE_ALL,$DF767,35)&amp;"","")&amp;"␟"&amp;IFERROR(INDEX(PASTE_ALL,$DF767,36)&amp;"","")&amp;"␟"&amp;IFERROR(INDEX(PASTE_ALL,$DF767,37)&amp;"","")&amp;"␟"&amp;IFERROR(INDEX(PASTE_ALL,$DF767,38)&amp;"","")&amp;"␟"&amp;IFERROR(INDEX(PASTE_ALL,$DF767,39)&amp;"","")&amp;"␟"&amp;IFERROR(INDEX(PASTE_ALL,$DF767,40)&amp;"","")&amp;"␟"&amp;IFERROR(INDEX(PASTE_ALL,$DF767,41)&amp;"","")&amp;"␟"&amp;IFERROR(INDEX(PASTE_ALL,$DF767,42)&amp;"","")&amp;"␟"&amp;IFERROR(INDEX(PASTE_ALL,$DF767,43)&amp;"","")&amp;"␟"&amp;IFERROR(INDEX(PASTE_ALL,$DF767,44)&amp;"","")&amp;"␟"&amp;IFERROR(INDEX(PASTE_ALL,$DF767,45)&amp;"","")&amp;"␟"&amp;IFERROR(INDEX(PASTE_ALL,$DF767,46)&amp;"","")&amp;"␟"&amp;IFERROR(INDEX(PASTE_ALL,$DF767,47)&amp;"","")&amp;"␟"&amp;IFERROR(INDEX(PASTE_ALL,$DF767,48)&amp;"","")&amp;"␟"&amp;IFERROR(INDEX(PASTE_ALL,$DF767,49)&amp;"","")&amp;"␟"&amp;IFERROR(INDEX(PASTE_ALL,$DF767,50)&amp;"","")&amp;"␟"&amp;IFERROR(INDEX(PASTE_ALL,$DF767,51)&amp;"","")&amp;"␟"&amp;IFERROR(INDEX(PASTE_ALL,$DF767,52)&amp;"","")&amp;"␟"&amp;IFERROR(INDEX(PASTE_ALL,$DF767,53)&amp;"","")&amp;"␟"&amp;IFERROR(INDEX(PASTE_ALL,$DF767,54)&amp;"","")&amp;"␟"&amp;IFERROR(INDEX(PASTE_ALL,$DF767,55)&amp;"","")&amp;"␟"&amp;IFERROR(INDEX(PASTE_ALL,$DF767,56)&amp;"","")&amp;"␟"&amp;IFERROR(INDEX(PASTE_ALL,$DF767,57)&amp;"","")&amp;"␟"&amp;IFERROR(INDEX(PASTE_ALL,$DF767,58)&amp;"","")&amp;"␟"&amp;IFERROR(INDEX(PASTE_ALL,$DF767,59)&amp;"","")&amp;"␟"&amp;IFERROR(INDEX(PASTE_ALL,$DF767,60)&amp;"","")," "," "),CHAR(9)," "),CHAR(10)," "),CHAR(13)," "))," ␟","␟"),"␟ ","␟"),"#"&amp;$DE767),"")</f>
        <v/>
      </c>
      <c r="DJ767">
        <f>IF($DI767="",0,IF(SUMPRODUCT(--EXACT($DI$4:DI766,$DI767))&gt;0,1,0))</f>
        <v/>
      </c>
      <c r="DK767">
        <f>IF(AND($DI767&lt;&gt;"",$DJ767=0),1,0)</f>
        <v/>
      </c>
      <c r="DL767">
        <f>DL766+$DK767</f>
        <v/>
      </c>
      <c r="DM767">
        <f>IF(AND($DK767=1,$DL767&lt;=600),1,0)</f>
        <v/>
      </c>
      <c r="DN767">
        <f>IF($DM767=0,"",IF($L$6=0,"",IFERROR(IF(ISNUMBER(INDEX(PASTE_ALL,$DF767,$L$6)),INDEX(PASTE_ALL,$DF767,$L$6),TRIM(SUBSTITUTE(SUBSTITUTE(SUBSTITUTE(SUBSTITUTE(INDEX(PASTE_ALL,$DF767,$L$6)," "," "),CHAR(9)," "),CHAR(10)," "),CHAR(13)," "))),"")))</f>
        <v/>
      </c>
      <c r="DO767">
        <f>IF($DM767=0,"",IF($L$7=0,"",IFERROR(IF(ISNUMBER(INDEX(PASTE_ALL,$DF767,$L$7)),INDEX(PASTE_ALL,$DF767,$L$7),TRIM(SUBSTITUTE(SUBSTITUTE(SUBSTITUTE(SUBSTITUTE(INDEX(PASTE_ALL,$DF767,$L$7)," "," "),CHAR(9)," "),CHAR(10)," "),CHAR(13)," "))),"")))</f>
        <v/>
      </c>
      <c r="DP767">
        <f>IF($DM767=0,"",IF($L$8=0,"",IFERROR(IF(ISNUMBER(INDEX(PASTE_ALL,$DF767,$L$8)),INDEX(PASTE_ALL,$DF767,$L$8),TRIM(SUBSTITUTE(SUBSTITUTE(SUBSTITUTE(SUBSTITUTE(INDEX(PASTE_ALL,$DF767,$L$8)," "," "),CHAR(9)," "),CHAR(10)," "),CHAR(13)," "))),"")))</f>
        <v/>
      </c>
      <c r="DQ767">
        <f>IF($DM767=0,"",IF($L$9=0,"",IFERROR(IF(ISNUMBER(INDEX(PASTE_ALL,$DF767,$L$9)),INDEX(PASTE_ALL,$DF767,$L$9),TRIM(SUBSTITUTE(SUBSTITUTE(SUBSTITUTE(SUBSTITUTE(INDEX(PASTE_ALL,$DF767,$L$9)," "," "),CHAR(9)," "),CHAR(10)," "),CHAR(13)," "))),"")))</f>
        <v/>
      </c>
      <c r="DR767">
        <f>IF($DM767=0,"",IF($L$10=0,"",IFERROR(IF(ISNUMBER(INDEX(PASTE_ALL,$DF767,$L$10)),INDEX(PASTE_ALL,$DF767,$L$10),TRIM(SUBSTITUTE(SUBSTITUTE(SUBSTITUTE(SUBSTITUTE(INDEX(PASTE_ALL,$DF767,$L$10)," "," "),CHAR(9)," "),CHAR(10)," "),CHAR(13)," "))),"")))</f>
        <v/>
      </c>
      <c r="DS767">
        <f>IF($DM767=0,"",IF($L$11=0,"",IFERROR(IF(ISNUMBER(INDEX(PASTE_ALL,$DF767,$L$11)),INDEX(PASTE_ALL,$DF767,$L$11),TRIM(SUBSTITUTE(SUBSTITUTE(SUBSTITUTE(SUBSTITUTE(INDEX(PASTE_ALL,$DF767,$L$11)," "," "),CHAR(9)," "),CHAR(10)," "),CHAR(13)," "))),"")))</f>
        <v/>
      </c>
      <c r="DT767">
        <f>IF($DM767=0,"",IF($L$12=0,"",IFERROR(IF(ISNUMBER(INDEX(PASTE_ALL,$DF767,$L$12)),INDEX(PASTE_ALL,$DF767,$L$12),TRIM(SUBSTITUTE(SUBSTITUTE(SUBSTITUTE(SUBSTITUTE(INDEX(PASTE_ALL,$DF767,$L$12)," "," "),CHAR(9)," "),CHAR(10)," "),CHAR(13)," "))),"")))</f>
        <v/>
      </c>
      <c r="DU767">
        <f>IF($DM767=0,"",IF($L$13=0,"",IFERROR(IF(ISNUMBER(INDEX(PASTE_ALL,$DF767,$L$13)),INDEX(PASTE_ALL,$DF767,$L$13),TRIM(SUBSTITUTE(SUBSTITUTE(SUBSTITUTE(SUBSTITUTE(INDEX(PASTE_ALL,$DF767,$L$13)," "," "),CHAR(9)," "),CHAR(10)," "),CHAR(13)," "))),"")))</f>
        <v/>
      </c>
      <c r="DV767">
        <f>IF($DM767=0,"",IF($L$14=0,"",IFERROR(IF(ISNUMBER(INDEX(PASTE_ALL,$DF767,$L$14)),INDEX(PASTE_ALL,$DF767,$L$14),TRIM(SUBSTITUTE(SUBSTITUTE(SUBSTITUTE(SUBSTITUTE(INDEX(PASTE_ALL,$DF767,$L$14)," "," "),CHAR(9)," "),CHAR(10)," "),CHAR(13)," "))),"")))</f>
        <v/>
      </c>
      <c r="DW767">
        <f>IF($DM767=0,"",IF($L$15=0,"",IFERROR(IF(ISNUMBER(INDEX(PASTE_ALL,$DF767,$L$15)),INDEX(PASTE_ALL,$DF767,$L$15),IF(SUMPRODUCT(--ISNUMBER(FIND({"A","B","C","D","E","F","G","H","I","J","K","L","M","N","O","P","Q","R","S","T","U","V","W","X","Y","Z","0","1","2","3","4","5","6","7","8","9"},UPPER(TRIM(SUBSTITUTE(SUBSTITUTE(SUBSTITUTE(SUBSTITUTE(INDEX(PASTE_ALL,$DF767,$L$15)," "," "),CHAR(9)," "),CHAR(10)," "),CHAR(13)," "))))))&gt;0,TRIM(SUBSTITUTE(SUBSTITUTE(SUBSTITUTE(SUBSTITUTE(INDEX(PASTE_ALL,$DF767,$L$15)," "," "),CHAR(9)," "),CHAR(10)," "),CHAR(13)," ")),"")),"")))</f>
        <v/>
      </c>
      <c r="DX767">
        <f>IF($DM767=0,"",IF($L$16=0,"",IFERROR(IF(ISNUMBER(INDEX(PASTE_ALL,$DF767,$L$16)),INDEX(PASTE_ALL,$DF767,$L$16),SUBSTITUTE(SUBSTITUTE(TRIM(SUBSTITUTE(SUBSTITUTE(SUBSTITUTE(SUBSTITUTE(INDEX(PASTE_ALL,$DF767,$L$16)," "," "),CHAR(9)," "),CHAR(10)," "),CHAR(13)," ")),",",""),"%","")),"")))</f>
        <v/>
      </c>
      <c r="DY767">
        <f>IF($DM767=0,"",IFERROR(IF(ISNUMBER($DX767),$DX767,IF($DX767="","",IF(TRIM($DX767)="",0,IF(AND(AND(SUBSTITUTE(SUBSTITUTE(SUBSTITUTE(SUBSTITUTE(SUBSTITUTE(SUBSTITUTE(SUBSTITUTE(SUBSTITUTE(SUBSTITUTE(SUBSTITUTE(SUBSTITUTE(SUBSTITUTE(SUBSTITUTE(SUBSTITUTE(UPPER(TRIM($DX767)),"0",""),"1",""),"2",""),"3",""),"4",""),"5",""),"6",""),"7",""),"8",""),"9",""),".",""),"+",""),"-",""),"E","")="",LEN(SUBSTITUTE(SUBSTITUTE(MID(UPPER(TRIM($DX767)),1+OR(LEFT(UPPER(TRIM($DX767)),1)="+",LEFT(UPPER(TRIM($DX767)),1)="-"),999),"E+","E"),"E-","E"))=LEN(SUBSTITUTE(SUBSTITUTE(SUBSTITUTE(SUBSTITUTE(MID(UPPER(TRIM($DX767)),1+OR(LEFT(UPPER(TRIM($DX767)),1)="+",LEFT(UPPER(TRIM($DX767)),1)="-"),999),"E+","E"),"E-","E"),"+",""),"-","")),LEN(UPPER(TRIM($DX767)))-LEN(SUBSTITUTE(UPPER(TRIM($DX767)),"E",""))&lt;2,LEN(UPPER(TRIM($DX767)))-LEN(SUBSTITUTE(UPPER(TRIM($DX767)),".",""))&lt;2,IFERROR(FIND(".",UPPER(TRIM($DX767))),0)&lt;IFERROR(FIND("E",UPPER(TRIM($DX767))),999)),ISNUMBER(VALUE(TRIM($DX767)))),VALUE(TRIM($DX767)),"")))),""))</f>
        <v/>
      </c>
      <c r="DZ767">
        <f>IF($DM767=0,"",IF($L$17=0,"",IFERROR(IF(ISNUMBER(INDEX(PASTE_ALL,$DF767,$L$17)),INDEX(PASTE_ALL,$DF767,$L$17),SUBSTITUTE(SUBSTITUTE(TRIM(SUBSTITUTE(SUBSTITUTE(SUBSTITUTE(SUBSTITUTE(INDEX(PASTE_ALL,$DF767,$L$17)," "," "),CHAR(9)," "),CHAR(10)," "),CHAR(13)," ")),",",""),"%","")),"")))</f>
        <v/>
      </c>
      <c r="EA767">
        <f>IF($DM767=0,"",IFERROR(IF(ISNUMBER($DZ767),$DZ767,IF($DZ767="","",IF(TRIM($DZ767)="",0,IF(AND(AND(SUBSTITUTE(SUBSTITUTE(SUBSTITUTE(SUBSTITUTE(SUBSTITUTE(SUBSTITUTE(SUBSTITUTE(SUBSTITUTE(SUBSTITUTE(SUBSTITUTE(SUBSTITUTE(SUBSTITUTE(SUBSTITUTE(SUBSTITUTE(UPPER(TRIM($DZ767)),"0",""),"1",""),"2",""),"3",""),"4",""),"5",""),"6",""),"7",""),"8",""),"9",""),".",""),"+",""),"-",""),"E","")="",LEN(SUBSTITUTE(SUBSTITUTE(MID(UPPER(TRIM($DZ767)),1+OR(LEFT(UPPER(TRIM($DZ767)),1)="+",LEFT(UPPER(TRIM($DZ767)),1)="-"),999),"E+","E"),"E-","E"))=LEN(SUBSTITUTE(SUBSTITUTE(SUBSTITUTE(SUBSTITUTE(MID(UPPER(TRIM($DZ767)),1+OR(LEFT(UPPER(TRIM($DZ767)),1)="+",LEFT(UPPER(TRIM($DZ767)),1)="-"),999),"E+","E"),"E-","E"),"+",""),"-","")),LEN(UPPER(TRIM($DZ767)))-LEN(SUBSTITUTE(UPPER(TRIM($DZ767)),"E",""))&lt;2,LEN(UPPER(TRIM($DZ767)))-LEN(SUBSTITUTE(UPPER(TRIM($DZ767)),".",""))&lt;2,IFERROR(FIND(".",UPPER(TRIM($DZ767))),0)&lt;IFERROR(FIND("E",UPPER(TRIM($DZ767))),999)),ISNUMBER(VALUE(TRIM($DZ767)))),VALUE(TRIM($DZ767)),"")))),""))</f>
        <v/>
      </c>
      <c r="EB767">
        <f>IF($DM767=0,"",IF($L$18=0,"",IFERROR(IF(UPPER(TRIM(SUBSTITUTE(SUBSTITUTE(SUBSTITUTE(SUBSTITUTE(INDEX(PASTE_ALL,$DF767,$L$18)," "," "),CHAR(9)," "),CHAR(10)," "),CHAR(13)," ")))="READY","Ready",IF(UPPER(TRIM(SUBSTITUTE(SUBSTITUTE(SUBSTITUTE(SUBSTITUTE(INDEX(PASTE_ALL,$DF767,$L$18)," "," "),CHAR(9)," "),CHAR(10)," "),CHAR(13)," ")))="PM","PM",IF(OR(UPPER(TRIM(SUBSTITUTE(SUBSTITUTE(SUBSTITUTE(SUBSTITUTE(INDEX(PASTE_ALL,$DF767,$L$18)," "," "),CHAR(9)," "),CHAR(10)," "),CHAR(13)," ")))="OT",UPPER(TRIM(SUBSTITUTE(SUBSTITUTE(SUBSTITUTE(SUBSTITUTE(INDEX(PASTE_ALL,$DF767,$L$18)," "," "),CHAR(9)," "),CHAR(10)," "),CHAR(13)," ")))="OVERTIME",UPPER(TRIM(SUBSTITUTE(SUBSTITUTE(SUBSTITUTE(SUBSTITUTE(INDEX(PASTE_ALL,$DF767,$L$18)," "," "),CHAR(9)," "),CHAR(10)," "),CHAR(13)," ")))="TRIAL"),"OT",TRIM(SUBSTITUTE(SUBSTITUTE(SUBSTITUTE(SUBSTITUTE(INDEX(PASTE_ALL,$DF767,$L$18)," "," "),CHAR(9)," "),CHAR(10)," "),CHAR(13)," "))))),"")))</f>
        <v/>
      </c>
      <c r="EC767">
        <f>IF($DM767=0,"",IF($L$19=0,"",IFERROR(IF(ISNUMBER(INDEX(PASTE_ALL,$DF767,$L$19)),INDEX(PASTE_ALL,$DF767,$L$19),TRIM(SUBSTITUTE(SUBSTITUTE(SUBSTITUTE(SUBSTITUTE(INDEX(PASTE_ALL,$DF767,$L$19)," "," "),CHAR(9)," "),CHAR(10)," "),CHAR(13)," "))),"")))</f>
        <v/>
      </c>
      <c r="ED767">
        <f>IF($DM767=0,"",MATCH(1,INDEX(EXACT($DH$5:DH767,$DH767)*$DM$5:DM767,0),0))</f>
        <v/>
      </c>
      <c r="EE767">
        <f>IF($DM767=0,0,IF($ED767=$DE767,1,0))</f>
        <v/>
      </c>
      <c r="EF767">
        <f>EF766+$EE767</f>
        <v/>
      </c>
      <c r="EG767">
        <f>IF($DM767=0,"",INDEX($EF$5:$EF$1003,$ED767))</f>
        <v/>
      </c>
      <c r="EH767">
        <f>IF($DM767=0,"",IF($DO767&lt;&gt;"","",IFERROR(LOOKUP(2,1/(($EG$4:EG766=$EG767)*($DO$4:DO766&lt;&gt;"")),$DO$4:DO766),"")))</f>
        <v/>
      </c>
      <c r="EI767">
        <f>IF($DM767=0,"",IF($DO767&lt;&gt;"",$DO767,$EH767))</f>
        <v/>
      </c>
      <c r="EJ767">
        <f>IF($DM767=0,"",IF($EI767="",0,IF(OR(ISNUMBER($EI767),AND(AND(SUBSTITUTE(SUBSTITUTE(SUBSTITUTE(SUBSTITUTE(SUBSTITUTE(SUBSTITUTE(SUBSTITUTE(SUBSTITUTE(SUBSTITUTE(SUBSTITUTE(SUBSTITUTE(SUBSTITUTE(SUBSTITUTE(SUBSTITUTE(UPPER($EI767),"0",""),"1",""),"2",""),"3",""),"4",""),"5",""),"6",""),"7",""),"8",""),"9",""),".",""),"+",""),"-",""),"E","")="",LEN(SUBSTITUTE(SUBSTITUTE(MID(UPPER($EI767),1+OR(LEFT(UPPER($EI767),1)="+",LEFT(UPPER($EI767),1)="-"),999),"E+","E"),"E-","E"))=LEN(SUBSTITUTE(SUBSTITUTE(SUBSTITUTE(SUBSTITUTE(MID(UPPER($EI767),1+OR(LEFT(UPPER($EI767),1)="+",LEFT(UPPER($EI767),1)="-"),999),"E+","E"),"E-","E"),"+",""),"-","")),LEN(UPPER($EI767))-LEN(SUBSTITUTE(UPPER($EI767),"E",""))&lt;2,LEN(UPPER($EI767))-LEN(SUBSTITUTE(UPPER($EI767),".",""))&lt;2,IFERROR(FIND(".",UPPER($EI767)),0)&lt;IFERROR(FIND("E",UPPER($EI767)),999)),ISNUMBER(VALUE($EI767)))),1,2)))</f>
        <v/>
      </c>
      <c r="EK767">
        <f>IF($DM767=0,"",IF($EJ767=1,IF(ISNUMBER($EI767),$EI767,VALUE($EI767)),IF($EJ767=2,$DE767,0)))</f>
        <v/>
      </c>
      <c r="EL767">
        <f>IF($DM767=0,"",COUNTIF($EG$5:$EG$1003,"&lt;"&amp;$EG767)+SUMPRODUCT(($EG$5:$EG$1003=$EG767)*(($EJ$5:$EJ$1003&lt;$EJ767)+($EJ$5:$EJ$1003=$EJ767)*(($EK$5:$EK$1003&lt;$EK767)+($EK$5:$EK$1003=$EK767)*($DE$5:$DE$1003&lt;$DE767))))+1)</f>
        <v/>
      </c>
      <c r="EM767">
        <f>IF($DM767=0,"",$EL767+$EG767-1)</f>
        <v/>
      </c>
      <c r="EN767">
        <f>IF($DM767=0,0,IFERROR(MATCH(1,INDEX(--(TRIM(SUBSTITUTE(SUBSTITUTE(SUBSTITUTE(SUBSTITUTE(LINES_NAME&amp;""," "," "),CHAR(9)," "),CHAR(10)," "),CHAR(13)," "))=$DH767),0),0),0))</f>
        <v/>
      </c>
      <c r="EO767">
        <f>IF($EN767=0,0,IF(OR(UPPER(TRIM(INDEX(LINES_SCHEDULED,$EN767)&amp;""))="YES",UPPER(TRIM(INDEX(LINES_SCHEDULED,$EN767)&amp;""))="Y",UPPER(TRIM(INDEX(LINES_SCHEDULED,$EN767)&amp;""))="X"),1,0))</f>
        <v/>
      </c>
      <c r="EP767">
        <f>IF($DM767=0,"",IF(COUNTIFS($EG$5:$EG$1003,$EG767,$EB$5:$EB$1003,"Ready")&gt;0,"READY",IF(COUNTIFS($EG$5:$EG$1003,$EG767,$EB$5:$EB$1003,"PM")&gt;0,"PM",IF(COUNTIFS($EG$5:$EG$1003,$EG767,$EB$5:$EB$1003,"OT")&gt;0,"OT",""))))</f>
        <v/>
      </c>
      <c r="EQ767">
        <f>IF($EN767=0,"",UPPER(TRIM(INDEX(LINES_STATUS,$EN767)&amp;"")))</f>
        <v/>
      </c>
      <c r="ER767">
        <f>IF($DM767=0,"",IF(OR($EQ767="READY",$EQ767="PM",$EQ767="OT"),$EQ767,$EP767))</f>
        <v/>
      </c>
      <c r="ES767">
        <f>IF($DM767=0,"",IF(AND($DV767&lt;&gt;"",UPPER($DV767)&lt;&gt;"N"),"allergen",IF(ISNUMBER(SEARCH("oil",$DQ767)),"oil",IF(OR(EXACT($DS767,"A662"),EXACT($DS767,"A624")),"bulk",""))))</f>
        <v/>
      </c>
      <c r="ET767">
        <f>IF($DM767=0,"",IF(OR($EA767="",$EA767=0),"",$EA767/100))</f>
        <v/>
      </c>
      <c r="EU767">
        <f>IF(OR($ET767="",$DY767=""),"",INT($DY767*(1-$ET767)+0.5))</f>
        <v/>
      </c>
    </row>
    <row r="768">
      <c r="DA768" t="n">
        <v>764</v>
      </c>
      <c r="DB768">
        <f>IF($B$37=0,"",IFERROR(TRIM(SUBSTITUTE(SUBSTITUTE(SUBSTITUTE(SUBSTITUTE(INDEX(PASTE_ALL,764,$B$37)," "," "),CHAR(9)," "),CHAR(10)," "),CHAR(13)," ")),""))</f>
        <v/>
      </c>
      <c r="DC768">
        <f>IF(AND(764&gt;HEADER_ROW,UPPER(DB768)="LEGEND"),1,0)</f>
        <v/>
      </c>
      <c r="DE768" t="n">
        <v>764</v>
      </c>
      <c r="DF768">
        <f>HEADER_ROW+$DE768</f>
        <v/>
      </c>
      <c r="DG768">
        <f>IF(AND($DF768&lt;=1000,$DF768&lt;$B$8),1,0)</f>
        <v/>
      </c>
      <c r="DH768">
        <f>IF($DG768=1,IFERROR(INDEX($DB$5:$DB$1004,$DF768),""),"")</f>
        <v/>
      </c>
      <c r="DI768">
        <f>IF(AND($DG768=1,$DH768&lt;&gt;""),IFERROR(SUBSTITUTE(SUBSTITUTE(TRIM(SUBSTITUTE(SUBSTITUTE(SUBSTITUTE(SUBSTITUTE(IFERROR(INDEX(PASTE_ALL,$DF768,1)&amp;"","")&amp;"␟"&amp;IFERROR(INDEX(PASTE_ALL,$DF768,2)&amp;"","")&amp;"␟"&amp;IFERROR(INDEX(PASTE_ALL,$DF768,3)&amp;"","")&amp;"␟"&amp;IFERROR(INDEX(PASTE_ALL,$DF768,4)&amp;"","")&amp;"␟"&amp;IFERROR(INDEX(PASTE_ALL,$DF768,5)&amp;"","")&amp;"␟"&amp;IFERROR(INDEX(PASTE_ALL,$DF768,6)&amp;"","")&amp;"␟"&amp;IFERROR(INDEX(PASTE_ALL,$DF768,7)&amp;"","")&amp;"␟"&amp;IFERROR(INDEX(PASTE_ALL,$DF768,8)&amp;"","")&amp;"␟"&amp;IFERROR(INDEX(PASTE_ALL,$DF768,9)&amp;"","")&amp;"␟"&amp;IFERROR(INDEX(PASTE_ALL,$DF768,10)&amp;"","")&amp;"␟"&amp;IFERROR(INDEX(PASTE_ALL,$DF768,11)&amp;"","")&amp;"␟"&amp;IFERROR(INDEX(PASTE_ALL,$DF768,12)&amp;"","")&amp;"␟"&amp;IFERROR(INDEX(PASTE_ALL,$DF768,13)&amp;"","")&amp;"␟"&amp;IFERROR(INDEX(PASTE_ALL,$DF768,14)&amp;"","")&amp;"␟"&amp;IFERROR(INDEX(PASTE_ALL,$DF768,15)&amp;"","")&amp;"␟"&amp;IFERROR(INDEX(PASTE_ALL,$DF768,16)&amp;"","")&amp;"␟"&amp;IFERROR(INDEX(PASTE_ALL,$DF768,17)&amp;"","")&amp;"␟"&amp;IFERROR(INDEX(PASTE_ALL,$DF768,18)&amp;"","")&amp;"␟"&amp;IFERROR(INDEX(PASTE_ALL,$DF768,19)&amp;"","")&amp;"␟"&amp;IFERROR(INDEX(PASTE_ALL,$DF768,20)&amp;"","")&amp;"␟"&amp;IFERROR(INDEX(PASTE_ALL,$DF768,21)&amp;"","")&amp;"␟"&amp;IFERROR(INDEX(PASTE_ALL,$DF768,22)&amp;"","")&amp;"␟"&amp;IFERROR(INDEX(PASTE_ALL,$DF768,23)&amp;"","")&amp;"␟"&amp;IFERROR(INDEX(PASTE_ALL,$DF768,24)&amp;"","")&amp;"␟"&amp;IFERROR(INDEX(PASTE_ALL,$DF768,25)&amp;"","")&amp;"␟"&amp;IFERROR(INDEX(PASTE_ALL,$DF768,26)&amp;"","")&amp;"␟"&amp;IFERROR(INDEX(PASTE_ALL,$DF768,27)&amp;"","")&amp;"␟"&amp;IFERROR(INDEX(PASTE_ALL,$DF768,28)&amp;"","")&amp;"␟"&amp;IFERROR(INDEX(PASTE_ALL,$DF768,29)&amp;"","")&amp;"␟"&amp;IFERROR(INDEX(PASTE_ALL,$DF768,30)&amp;"","")&amp;"␟"&amp;IFERROR(INDEX(PASTE_ALL,$DF768,31)&amp;"","")&amp;"␟"&amp;IFERROR(INDEX(PASTE_ALL,$DF768,32)&amp;"","")&amp;"␟"&amp;IFERROR(INDEX(PASTE_ALL,$DF768,33)&amp;"","")&amp;"␟"&amp;IFERROR(INDEX(PASTE_ALL,$DF768,34)&amp;"","")&amp;"␟"&amp;IFERROR(INDEX(PASTE_ALL,$DF768,35)&amp;"","")&amp;"␟"&amp;IFERROR(INDEX(PASTE_ALL,$DF768,36)&amp;"","")&amp;"␟"&amp;IFERROR(INDEX(PASTE_ALL,$DF768,37)&amp;"","")&amp;"␟"&amp;IFERROR(INDEX(PASTE_ALL,$DF768,38)&amp;"","")&amp;"␟"&amp;IFERROR(INDEX(PASTE_ALL,$DF768,39)&amp;"","")&amp;"␟"&amp;IFERROR(INDEX(PASTE_ALL,$DF768,40)&amp;"","")&amp;"␟"&amp;IFERROR(INDEX(PASTE_ALL,$DF768,41)&amp;"","")&amp;"␟"&amp;IFERROR(INDEX(PASTE_ALL,$DF768,42)&amp;"","")&amp;"␟"&amp;IFERROR(INDEX(PASTE_ALL,$DF768,43)&amp;"","")&amp;"␟"&amp;IFERROR(INDEX(PASTE_ALL,$DF768,44)&amp;"","")&amp;"␟"&amp;IFERROR(INDEX(PASTE_ALL,$DF768,45)&amp;"","")&amp;"␟"&amp;IFERROR(INDEX(PASTE_ALL,$DF768,46)&amp;"","")&amp;"␟"&amp;IFERROR(INDEX(PASTE_ALL,$DF768,47)&amp;"","")&amp;"␟"&amp;IFERROR(INDEX(PASTE_ALL,$DF768,48)&amp;"","")&amp;"␟"&amp;IFERROR(INDEX(PASTE_ALL,$DF768,49)&amp;"","")&amp;"␟"&amp;IFERROR(INDEX(PASTE_ALL,$DF768,50)&amp;"","")&amp;"␟"&amp;IFERROR(INDEX(PASTE_ALL,$DF768,51)&amp;"","")&amp;"␟"&amp;IFERROR(INDEX(PASTE_ALL,$DF768,52)&amp;"","")&amp;"␟"&amp;IFERROR(INDEX(PASTE_ALL,$DF768,53)&amp;"","")&amp;"␟"&amp;IFERROR(INDEX(PASTE_ALL,$DF768,54)&amp;"","")&amp;"␟"&amp;IFERROR(INDEX(PASTE_ALL,$DF768,55)&amp;"","")&amp;"␟"&amp;IFERROR(INDEX(PASTE_ALL,$DF768,56)&amp;"","")&amp;"␟"&amp;IFERROR(INDEX(PASTE_ALL,$DF768,57)&amp;"","")&amp;"␟"&amp;IFERROR(INDEX(PASTE_ALL,$DF768,58)&amp;"","")&amp;"␟"&amp;IFERROR(INDEX(PASTE_ALL,$DF768,59)&amp;"","")&amp;"␟"&amp;IFERROR(INDEX(PASTE_ALL,$DF768,60)&amp;"","")," "," "),CHAR(9)," "),CHAR(10)," "),CHAR(13)," "))," ␟","␟"),"␟ ","␟"),"#"&amp;$DE768),"")</f>
        <v/>
      </c>
      <c r="DJ768">
        <f>IF($DI768="",0,IF(SUMPRODUCT(--EXACT($DI$4:DI767,$DI768))&gt;0,1,0))</f>
        <v/>
      </c>
      <c r="DK768">
        <f>IF(AND($DI768&lt;&gt;"",$DJ768=0),1,0)</f>
        <v/>
      </c>
      <c r="DL768">
        <f>DL767+$DK768</f>
        <v/>
      </c>
      <c r="DM768">
        <f>IF(AND($DK768=1,$DL768&lt;=600),1,0)</f>
        <v/>
      </c>
      <c r="DN768">
        <f>IF($DM768=0,"",IF($L$6=0,"",IFERROR(IF(ISNUMBER(INDEX(PASTE_ALL,$DF768,$L$6)),INDEX(PASTE_ALL,$DF768,$L$6),TRIM(SUBSTITUTE(SUBSTITUTE(SUBSTITUTE(SUBSTITUTE(INDEX(PASTE_ALL,$DF768,$L$6)," "," "),CHAR(9)," "),CHAR(10)," "),CHAR(13)," "))),"")))</f>
        <v/>
      </c>
      <c r="DO768">
        <f>IF($DM768=0,"",IF($L$7=0,"",IFERROR(IF(ISNUMBER(INDEX(PASTE_ALL,$DF768,$L$7)),INDEX(PASTE_ALL,$DF768,$L$7),TRIM(SUBSTITUTE(SUBSTITUTE(SUBSTITUTE(SUBSTITUTE(INDEX(PASTE_ALL,$DF768,$L$7)," "," "),CHAR(9)," "),CHAR(10)," "),CHAR(13)," "))),"")))</f>
        <v/>
      </c>
      <c r="DP768">
        <f>IF($DM768=0,"",IF($L$8=0,"",IFERROR(IF(ISNUMBER(INDEX(PASTE_ALL,$DF768,$L$8)),INDEX(PASTE_ALL,$DF768,$L$8),TRIM(SUBSTITUTE(SUBSTITUTE(SUBSTITUTE(SUBSTITUTE(INDEX(PASTE_ALL,$DF768,$L$8)," "," "),CHAR(9)," "),CHAR(10)," "),CHAR(13)," "))),"")))</f>
        <v/>
      </c>
      <c r="DQ768">
        <f>IF($DM768=0,"",IF($L$9=0,"",IFERROR(IF(ISNUMBER(INDEX(PASTE_ALL,$DF768,$L$9)),INDEX(PASTE_ALL,$DF768,$L$9),TRIM(SUBSTITUTE(SUBSTITUTE(SUBSTITUTE(SUBSTITUTE(INDEX(PASTE_ALL,$DF768,$L$9)," "," "),CHAR(9)," "),CHAR(10)," "),CHAR(13)," "))),"")))</f>
        <v/>
      </c>
      <c r="DR768">
        <f>IF($DM768=0,"",IF($L$10=0,"",IFERROR(IF(ISNUMBER(INDEX(PASTE_ALL,$DF768,$L$10)),INDEX(PASTE_ALL,$DF768,$L$10),TRIM(SUBSTITUTE(SUBSTITUTE(SUBSTITUTE(SUBSTITUTE(INDEX(PASTE_ALL,$DF768,$L$10)," "," "),CHAR(9)," "),CHAR(10)," "),CHAR(13)," "))),"")))</f>
        <v/>
      </c>
      <c r="DS768">
        <f>IF($DM768=0,"",IF($L$11=0,"",IFERROR(IF(ISNUMBER(INDEX(PASTE_ALL,$DF768,$L$11)),INDEX(PASTE_ALL,$DF768,$L$11),TRIM(SUBSTITUTE(SUBSTITUTE(SUBSTITUTE(SUBSTITUTE(INDEX(PASTE_ALL,$DF768,$L$11)," "," "),CHAR(9)," "),CHAR(10)," "),CHAR(13)," "))),"")))</f>
        <v/>
      </c>
      <c r="DT768">
        <f>IF($DM768=0,"",IF($L$12=0,"",IFERROR(IF(ISNUMBER(INDEX(PASTE_ALL,$DF768,$L$12)),INDEX(PASTE_ALL,$DF768,$L$12),TRIM(SUBSTITUTE(SUBSTITUTE(SUBSTITUTE(SUBSTITUTE(INDEX(PASTE_ALL,$DF768,$L$12)," "," "),CHAR(9)," "),CHAR(10)," "),CHAR(13)," "))),"")))</f>
        <v/>
      </c>
      <c r="DU768">
        <f>IF($DM768=0,"",IF($L$13=0,"",IFERROR(IF(ISNUMBER(INDEX(PASTE_ALL,$DF768,$L$13)),INDEX(PASTE_ALL,$DF768,$L$13),TRIM(SUBSTITUTE(SUBSTITUTE(SUBSTITUTE(SUBSTITUTE(INDEX(PASTE_ALL,$DF768,$L$13)," "," "),CHAR(9)," "),CHAR(10)," "),CHAR(13)," "))),"")))</f>
        <v/>
      </c>
      <c r="DV768">
        <f>IF($DM768=0,"",IF($L$14=0,"",IFERROR(IF(ISNUMBER(INDEX(PASTE_ALL,$DF768,$L$14)),INDEX(PASTE_ALL,$DF768,$L$14),TRIM(SUBSTITUTE(SUBSTITUTE(SUBSTITUTE(SUBSTITUTE(INDEX(PASTE_ALL,$DF768,$L$14)," "," "),CHAR(9)," "),CHAR(10)," "),CHAR(13)," "))),"")))</f>
        <v/>
      </c>
      <c r="DW768">
        <f>IF($DM768=0,"",IF($L$15=0,"",IFERROR(IF(ISNUMBER(INDEX(PASTE_ALL,$DF768,$L$15)),INDEX(PASTE_ALL,$DF768,$L$15),IF(SUMPRODUCT(--ISNUMBER(FIND({"A","B","C","D","E","F","G","H","I","J","K","L","M","N","O","P","Q","R","S","T","U","V","W","X","Y","Z","0","1","2","3","4","5","6","7","8","9"},UPPER(TRIM(SUBSTITUTE(SUBSTITUTE(SUBSTITUTE(SUBSTITUTE(INDEX(PASTE_ALL,$DF768,$L$15)," "," "),CHAR(9)," "),CHAR(10)," "),CHAR(13)," "))))))&gt;0,TRIM(SUBSTITUTE(SUBSTITUTE(SUBSTITUTE(SUBSTITUTE(INDEX(PASTE_ALL,$DF768,$L$15)," "," "),CHAR(9)," "),CHAR(10)," "),CHAR(13)," ")),"")),"")))</f>
        <v/>
      </c>
      <c r="DX768">
        <f>IF($DM768=0,"",IF($L$16=0,"",IFERROR(IF(ISNUMBER(INDEX(PASTE_ALL,$DF768,$L$16)),INDEX(PASTE_ALL,$DF768,$L$16),SUBSTITUTE(SUBSTITUTE(TRIM(SUBSTITUTE(SUBSTITUTE(SUBSTITUTE(SUBSTITUTE(INDEX(PASTE_ALL,$DF768,$L$16)," "," "),CHAR(9)," "),CHAR(10)," "),CHAR(13)," ")),",",""),"%","")),"")))</f>
        <v/>
      </c>
      <c r="DY768">
        <f>IF($DM768=0,"",IFERROR(IF(ISNUMBER($DX768),$DX768,IF($DX768="","",IF(TRIM($DX768)="",0,IF(AND(AND(SUBSTITUTE(SUBSTITUTE(SUBSTITUTE(SUBSTITUTE(SUBSTITUTE(SUBSTITUTE(SUBSTITUTE(SUBSTITUTE(SUBSTITUTE(SUBSTITUTE(SUBSTITUTE(SUBSTITUTE(SUBSTITUTE(SUBSTITUTE(UPPER(TRIM($DX768)),"0",""),"1",""),"2",""),"3",""),"4",""),"5",""),"6",""),"7",""),"8",""),"9",""),".",""),"+",""),"-",""),"E","")="",LEN(SUBSTITUTE(SUBSTITUTE(MID(UPPER(TRIM($DX768)),1+OR(LEFT(UPPER(TRIM($DX768)),1)="+",LEFT(UPPER(TRIM($DX768)),1)="-"),999),"E+","E"),"E-","E"))=LEN(SUBSTITUTE(SUBSTITUTE(SUBSTITUTE(SUBSTITUTE(MID(UPPER(TRIM($DX768)),1+OR(LEFT(UPPER(TRIM($DX768)),1)="+",LEFT(UPPER(TRIM($DX768)),1)="-"),999),"E+","E"),"E-","E"),"+",""),"-","")),LEN(UPPER(TRIM($DX768)))-LEN(SUBSTITUTE(UPPER(TRIM($DX768)),"E",""))&lt;2,LEN(UPPER(TRIM($DX768)))-LEN(SUBSTITUTE(UPPER(TRIM($DX768)),".",""))&lt;2,IFERROR(FIND(".",UPPER(TRIM($DX768))),0)&lt;IFERROR(FIND("E",UPPER(TRIM($DX768))),999)),ISNUMBER(VALUE(TRIM($DX768)))),VALUE(TRIM($DX768)),"")))),""))</f>
        <v/>
      </c>
      <c r="DZ768">
        <f>IF($DM768=0,"",IF($L$17=0,"",IFERROR(IF(ISNUMBER(INDEX(PASTE_ALL,$DF768,$L$17)),INDEX(PASTE_ALL,$DF768,$L$17),SUBSTITUTE(SUBSTITUTE(TRIM(SUBSTITUTE(SUBSTITUTE(SUBSTITUTE(SUBSTITUTE(INDEX(PASTE_ALL,$DF768,$L$17)," "," "),CHAR(9)," "),CHAR(10)," "),CHAR(13)," ")),",",""),"%","")),"")))</f>
        <v/>
      </c>
      <c r="EA768">
        <f>IF($DM768=0,"",IFERROR(IF(ISNUMBER($DZ768),$DZ768,IF($DZ768="","",IF(TRIM($DZ768)="",0,IF(AND(AND(SUBSTITUTE(SUBSTITUTE(SUBSTITUTE(SUBSTITUTE(SUBSTITUTE(SUBSTITUTE(SUBSTITUTE(SUBSTITUTE(SUBSTITUTE(SUBSTITUTE(SUBSTITUTE(SUBSTITUTE(SUBSTITUTE(SUBSTITUTE(UPPER(TRIM($DZ768)),"0",""),"1",""),"2",""),"3",""),"4",""),"5",""),"6",""),"7",""),"8",""),"9",""),".",""),"+",""),"-",""),"E","")="",LEN(SUBSTITUTE(SUBSTITUTE(MID(UPPER(TRIM($DZ768)),1+OR(LEFT(UPPER(TRIM($DZ768)),1)="+",LEFT(UPPER(TRIM($DZ768)),1)="-"),999),"E+","E"),"E-","E"))=LEN(SUBSTITUTE(SUBSTITUTE(SUBSTITUTE(SUBSTITUTE(MID(UPPER(TRIM($DZ768)),1+OR(LEFT(UPPER(TRIM($DZ768)),1)="+",LEFT(UPPER(TRIM($DZ768)),1)="-"),999),"E+","E"),"E-","E"),"+",""),"-","")),LEN(UPPER(TRIM($DZ768)))-LEN(SUBSTITUTE(UPPER(TRIM($DZ768)),"E",""))&lt;2,LEN(UPPER(TRIM($DZ768)))-LEN(SUBSTITUTE(UPPER(TRIM($DZ768)),".",""))&lt;2,IFERROR(FIND(".",UPPER(TRIM($DZ768))),0)&lt;IFERROR(FIND("E",UPPER(TRIM($DZ768))),999)),ISNUMBER(VALUE(TRIM($DZ768)))),VALUE(TRIM($DZ768)),"")))),""))</f>
        <v/>
      </c>
      <c r="EB768">
        <f>IF($DM768=0,"",IF($L$18=0,"",IFERROR(IF(UPPER(TRIM(SUBSTITUTE(SUBSTITUTE(SUBSTITUTE(SUBSTITUTE(INDEX(PASTE_ALL,$DF768,$L$18)," "," "),CHAR(9)," "),CHAR(10)," "),CHAR(13)," ")))="READY","Ready",IF(UPPER(TRIM(SUBSTITUTE(SUBSTITUTE(SUBSTITUTE(SUBSTITUTE(INDEX(PASTE_ALL,$DF768,$L$18)," "," "),CHAR(9)," "),CHAR(10)," "),CHAR(13)," ")))="PM","PM",IF(OR(UPPER(TRIM(SUBSTITUTE(SUBSTITUTE(SUBSTITUTE(SUBSTITUTE(INDEX(PASTE_ALL,$DF768,$L$18)," "," "),CHAR(9)," "),CHAR(10)," "),CHAR(13)," ")))="OT",UPPER(TRIM(SUBSTITUTE(SUBSTITUTE(SUBSTITUTE(SUBSTITUTE(INDEX(PASTE_ALL,$DF768,$L$18)," "," "),CHAR(9)," "),CHAR(10)," "),CHAR(13)," ")))="OVERTIME",UPPER(TRIM(SUBSTITUTE(SUBSTITUTE(SUBSTITUTE(SUBSTITUTE(INDEX(PASTE_ALL,$DF768,$L$18)," "," "),CHAR(9)," "),CHAR(10)," "),CHAR(13)," ")))="TRIAL"),"OT",TRIM(SUBSTITUTE(SUBSTITUTE(SUBSTITUTE(SUBSTITUTE(INDEX(PASTE_ALL,$DF768,$L$18)," "," "),CHAR(9)," "),CHAR(10)," "),CHAR(13)," "))))),"")))</f>
        <v/>
      </c>
      <c r="EC768">
        <f>IF($DM768=0,"",IF($L$19=0,"",IFERROR(IF(ISNUMBER(INDEX(PASTE_ALL,$DF768,$L$19)),INDEX(PASTE_ALL,$DF768,$L$19),TRIM(SUBSTITUTE(SUBSTITUTE(SUBSTITUTE(SUBSTITUTE(INDEX(PASTE_ALL,$DF768,$L$19)," "," "),CHAR(9)," "),CHAR(10)," "),CHAR(13)," "))),"")))</f>
        <v/>
      </c>
      <c r="ED768">
        <f>IF($DM768=0,"",MATCH(1,INDEX(EXACT($DH$5:DH768,$DH768)*$DM$5:DM768,0),0))</f>
        <v/>
      </c>
      <c r="EE768">
        <f>IF($DM768=0,0,IF($ED768=$DE768,1,0))</f>
        <v/>
      </c>
      <c r="EF768">
        <f>EF767+$EE768</f>
        <v/>
      </c>
      <c r="EG768">
        <f>IF($DM768=0,"",INDEX($EF$5:$EF$1003,$ED768))</f>
        <v/>
      </c>
      <c r="EH768">
        <f>IF($DM768=0,"",IF($DO768&lt;&gt;"","",IFERROR(LOOKUP(2,1/(($EG$4:EG767=$EG768)*($DO$4:DO767&lt;&gt;"")),$DO$4:DO767),"")))</f>
        <v/>
      </c>
      <c r="EI768">
        <f>IF($DM768=0,"",IF($DO768&lt;&gt;"",$DO768,$EH768))</f>
        <v/>
      </c>
      <c r="EJ768">
        <f>IF($DM768=0,"",IF($EI768="",0,IF(OR(ISNUMBER($EI768),AND(AND(SUBSTITUTE(SUBSTITUTE(SUBSTITUTE(SUBSTITUTE(SUBSTITUTE(SUBSTITUTE(SUBSTITUTE(SUBSTITUTE(SUBSTITUTE(SUBSTITUTE(SUBSTITUTE(SUBSTITUTE(SUBSTITUTE(SUBSTITUTE(UPPER($EI768),"0",""),"1",""),"2",""),"3",""),"4",""),"5",""),"6",""),"7",""),"8",""),"9",""),".",""),"+",""),"-",""),"E","")="",LEN(SUBSTITUTE(SUBSTITUTE(MID(UPPER($EI768),1+OR(LEFT(UPPER($EI768),1)="+",LEFT(UPPER($EI768),1)="-"),999),"E+","E"),"E-","E"))=LEN(SUBSTITUTE(SUBSTITUTE(SUBSTITUTE(SUBSTITUTE(MID(UPPER($EI768),1+OR(LEFT(UPPER($EI768),1)="+",LEFT(UPPER($EI768),1)="-"),999),"E+","E"),"E-","E"),"+",""),"-","")),LEN(UPPER($EI768))-LEN(SUBSTITUTE(UPPER($EI768),"E",""))&lt;2,LEN(UPPER($EI768))-LEN(SUBSTITUTE(UPPER($EI768),".",""))&lt;2,IFERROR(FIND(".",UPPER($EI768)),0)&lt;IFERROR(FIND("E",UPPER($EI768)),999)),ISNUMBER(VALUE($EI768)))),1,2)))</f>
        <v/>
      </c>
      <c r="EK768">
        <f>IF($DM768=0,"",IF($EJ768=1,IF(ISNUMBER($EI768),$EI768,VALUE($EI768)),IF($EJ768=2,$DE768,0)))</f>
        <v/>
      </c>
      <c r="EL768">
        <f>IF($DM768=0,"",COUNTIF($EG$5:$EG$1003,"&lt;"&amp;$EG768)+SUMPRODUCT(($EG$5:$EG$1003=$EG768)*(($EJ$5:$EJ$1003&lt;$EJ768)+($EJ$5:$EJ$1003=$EJ768)*(($EK$5:$EK$1003&lt;$EK768)+($EK$5:$EK$1003=$EK768)*($DE$5:$DE$1003&lt;$DE768))))+1)</f>
        <v/>
      </c>
      <c r="EM768">
        <f>IF($DM768=0,"",$EL768+$EG768-1)</f>
        <v/>
      </c>
      <c r="EN768">
        <f>IF($DM768=0,0,IFERROR(MATCH(1,INDEX(--(TRIM(SUBSTITUTE(SUBSTITUTE(SUBSTITUTE(SUBSTITUTE(LINES_NAME&amp;""," "," "),CHAR(9)," "),CHAR(10)," "),CHAR(13)," "))=$DH768),0),0),0))</f>
        <v/>
      </c>
      <c r="EO768">
        <f>IF($EN768=0,0,IF(OR(UPPER(TRIM(INDEX(LINES_SCHEDULED,$EN768)&amp;""))="YES",UPPER(TRIM(INDEX(LINES_SCHEDULED,$EN768)&amp;""))="Y",UPPER(TRIM(INDEX(LINES_SCHEDULED,$EN768)&amp;""))="X"),1,0))</f>
        <v/>
      </c>
      <c r="EP768">
        <f>IF($DM768=0,"",IF(COUNTIFS($EG$5:$EG$1003,$EG768,$EB$5:$EB$1003,"Ready")&gt;0,"READY",IF(COUNTIFS($EG$5:$EG$1003,$EG768,$EB$5:$EB$1003,"PM")&gt;0,"PM",IF(COUNTIFS($EG$5:$EG$1003,$EG768,$EB$5:$EB$1003,"OT")&gt;0,"OT",""))))</f>
        <v/>
      </c>
      <c r="EQ768">
        <f>IF($EN768=0,"",UPPER(TRIM(INDEX(LINES_STATUS,$EN768)&amp;"")))</f>
        <v/>
      </c>
      <c r="ER768">
        <f>IF($DM768=0,"",IF(OR($EQ768="READY",$EQ768="PM",$EQ768="OT"),$EQ768,$EP768))</f>
        <v/>
      </c>
      <c r="ES768">
        <f>IF($DM768=0,"",IF(AND($DV768&lt;&gt;"",UPPER($DV768)&lt;&gt;"N"),"allergen",IF(ISNUMBER(SEARCH("oil",$DQ768)),"oil",IF(OR(EXACT($DS768,"A662"),EXACT($DS768,"A624")),"bulk",""))))</f>
        <v/>
      </c>
      <c r="ET768">
        <f>IF($DM768=0,"",IF(OR($EA768="",$EA768=0),"",$EA768/100))</f>
        <v/>
      </c>
      <c r="EU768">
        <f>IF(OR($ET768="",$DY768=""),"",INT($DY768*(1-$ET768)+0.5))</f>
        <v/>
      </c>
    </row>
    <row r="769">
      <c r="DA769" t="n">
        <v>765</v>
      </c>
      <c r="DB769">
        <f>IF($B$37=0,"",IFERROR(TRIM(SUBSTITUTE(SUBSTITUTE(SUBSTITUTE(SUBSTITUTE(INDEX(PASTE_ALL,765,$B$37)," "," "),CHAR(9)," "),CHAR(10)," "),CHAR(13)," ")),""))</f>
        <v/>
      </c>
      <c r="DC769">
        <f>IF(AND(765&gt;HEADER_ROW,UPPER(DB769)="LEGEND"),1,0)</f>
        <v/>
      </c>
      <c r="DE769" t="n">
        <v>765</v>
      </c>
      <c r="DF769">
        <f>HEADER_ROW+$DE769</f>
        <v/>
      </c>
      <c r="DG769">
        <f>IF(AND($DF769&lt;=1000,$DF769&lt;$B$8),1,0)</f>
        <v/>
      </c>
      <c r="DH769">
        <f>IF($DG769=1,IFERROR(INDEX($DB$5:$DB$1004,$DF769),""),"")</f>
        <v/>
      </c>
      <c r="DI769">
        <f>IF(AND($DG769=1,$DH769&lt;&gt;""),IFERROR(SUBSTITUTE(SUBSTITUTE(TRIM(SUBSTITUTE(SUBSTITUTE(SUBSTITUTE(SUBSTITUTE(IFERROR(INDEX(PASTE_ALL,$DF769,1)&amp;"","")&amp;"␟"&amp;IFERROR(INDEX(PASTE_ALL,$DF769,2)&amp;"","")&amp;"␟"&amp;IFERROR(INDEX(PASTE_ALL,$DF769,3)&amp;"","")&amp;"␟"&amp;IFERROR(INDEX(PASTE_ALL,$DF769,4)&amp;"","")&amp;"␟"&amp;IFERROR(INDEX(PASTE_ALL,$DF769,5)&amp;"","")&amp;"␟"&amp;IFERROR(INDEX(PASTE_ALL,$DF769,6)&amp;"","")&amp;"␟"&amp;IFERROR(INDEX(PASTE_ALL,$DF769,7)&amp;"","")&amp;"␟"&amp;IFERROR(INDEX(PASTE_ALL,$DF769,8)&amp;"","")&amp;"␟"&amp;IFERROR(INDEX(PASTE_ALL,$DF769,9)&amp;"","")&amp;"␟"&amp;IFERROR(INDEX(PASTE_ALL,$DF769,10)&amp;"","")&amp;"␟"&amp;IFERROR(INDEX(PASTE_ALL,$DF769,11)&amp;"","")&amp;"␟"&amp;IFERROR(INDEX(PASTE_ALL,$DF769,12)&amp;"","")&amp;"␟"&amp;IFERROR(INDEX(PASTE_ALL,$DF769,13)&amp;"","")&amp;"␟"&amp;IFERROR(INDEX(PASTE_ALL,$DF769,14)&amp;"","")&amp;"␟"&amp;IFERROR(INDEX(PASTE_ALL,$DF769,15)&amp;"","")&amp;"␟"&amp;IFERROR(INDEX(PASTE_ALL,$DF769,16)&amp;"","")&amp;"␟"&amp;IFERROR(INDEX(PASTE_ALL,$DF769,17)&amp;"","")&amp;"␟"&amp;IFERROR(INDEX(PASTE_ALL,$DF769,18)&amp;"","")&amp;"␟"&amp;IFERROR(INDEX(PASTE_ALL,$DF769,19)&amp;"","")&amp;"␟"&amp;IFERROR(INDEX(PASTE_ALL,$DF769,20)&amp;"","")&amp;"␟"&amp;IFERROR(INDEX(PASTE_ALL,$DF769,21)&amp;"","")&amp;"␟"&amp;IFERROR(INDEX(PASTE_ALL,$DF769,22)&amp;"","")&amp;"␟"&amp;IFERROR(INDEX(PASTE_ALL,$DF769,23)&amp;"","")&amp;"␟"&amp;IFERROR(INDEX(PASTE_ALL,$DF769,24)&amp;"","")&amp;"␟"&amp;IFERROR(INDEX(PASTE_ALL,$DF769,25)&amp;"","")&amp;"␟"&amp;IFERROR(INDEX(PASTE_ALL,$DF769,26)&amp;"","")&amp;"␟"&amp;IFERROR(INDEX(PASTE_ALL,$DF769,27)&amp;"","")&amp;"␟"&amp;IFERROR(INDEX(PASTE_ALL,$DF769,28)&amp;"","")&amp;"␟"&amp;IFERROR(INDEX(PASTE_ALL,$DF769,29)&amp;"","")&amp;"␟"&amp;IFERROR(INDEX(PASTE_ALL,$DF769,30)&amp;"","")&amp;"␟"&amp;IFERROR(INDEX(PASTE_ALL,$DF769,31)&amp;"","")&amp;"␟"&amp;IFERROR(INDEX(PASTE_ALL,$DF769,32)&amp;"","")&amp;"␟"&amp;IFERROR(INDEX(PASTE_ALL,$DF769,33)&amp;"","")&amp;"␟"&amp;IFERROR(INDEX(PASTE_ALL,$DF769,34)&amp;"","")&amp;"␟"&amp;IFERROR(INDEX(PASTE_ALL,$DF769,35)&amp;"","")&amp;"␟"&amp;IFERROR(INDEX(PASTE_ALL,$DF769,36)&amp;"","")&amp;"␟"&amp;IFERROR(INDEX(PASTE_ALL,$DF769,37)&amp;"","")&amp;"␟"&amp;IFERROR(INDEX(PASTE_ALL,$DF769,38)&amp;"","")&amp;"␟"&amp;IFERROR(INDEX(PASTE_ALL,$DF769,39)&amp;"","")&amp;"␟"&amp;IFERROR(INDEX(PASTE_ALL,$DF769,40)&amp;"","")&amp;"␟"&amp;IFERROR(INDEX(PASTE_ALL,$DF769,41)&amp;"","")&amp;"␟"&amp;IFERROR(INDEX(PASTE_ALL,$DF769,42)&amp;"","")&amp;"␟"&amp;IFERROR(INDEX(PASTE_ALL,$DF769,43)&amp;"","")&amp;"␟"&amp;IFERROR(INDEX(PASTE_ALL,$DF769,44)&amp;"","")&amp;"␟"&amp;IFERROR(INDEX(PASTE_ALL,$DF769,45)&amp;"","")&amp;"␟"&amp;IFERROR(INDEX(PASTE_ALL,$DF769,46)&amp;"","")&amp;"␟"&amp;IFERROR(INDEX(PASTE_ALL,$DF769,47)&amp;"","")&amp;"␟"&amp;IFERROR(INDEX(PASTE_ALL,$DF769,48)&amp;"","")&amp;"␟"&amp;IFERROR(INDEX(PASTE_ALL,$DF769,49)&amp;"","")&amp;"␟"&amp;IFERROR(INDEX(PASTE_ALL,$DF769,50)&amp;"","")&amp;"␟"&amp;IFERROR(INDEX(PASTE_ALL,$DF769,51)&amp;"","")&amp;"␟"&amp;IFERROR(INDEX(PASTE_ALL,$DF769,52)&amp;"","")&amp;"␟"&amp;IFERROR(INDEX(PASTE_ALL,$DF769,53)&amp;"","")&amp;"␟"&amp;IFERROR(INDEX(PASTE_ALL,$DF769,54)&amp;"","")&amp;"␟"&amp;IFERROR(INDEX(PASTE_ALL,$DF769,55)&amp;"","")&amp;"␟"&amp;IFERROR(INDEX(PASTE_ALL,$DF769,56)&amp;"","")&amp;"␟"&amp;IFERROR(INDEX(PASTE_ALL,$DF769,57)&amp;"","")&amp;"␟"&amp;IFERROR(INDEX(PASTE_ALL,$DF769,58)&amp;"","")&amp;"␟"&amp;IFERROR(INDEX(PASTE_ALL,$DF769,59)&amp;"","")&amp;"␟"&amp;IFERROR(INDEX(PASTE_ALL,$DF769,60)&amp;"","")," "," "),CHAR(9)," "),CHAR(10)," "),CHAR(13)," "))," ␟","␟"),"␟ ","␟"),"#"&amp;$DE769),"")</f>
        <v/>
      </c>
      <c r="DJ769">
        <f>IF($DI769="",0,IF(SUMPRODUCT(--EXACT($DI$4:DI768,$DI769))&gt;0,1,0))</f>
        <v/>
      </c>
      <c r="DK769">
        <f>IF(AND($DI769&lt;&gt;"",$DJ769=0),1,0)</f>
        <v/>
      </c>
      <c r="DL769">
        <f>DL768+$DK769</f>
        <v/>
      </c>
      <c r="DM769">
        <f>IF(AND($DK769=1,$DL769&lt;=600),1,0)</f>
        <v/>
      </c>
      <c r="DN769">
        <f>IF($DM769=0,"",IF($L$6=0,"",IFERROR(IF(ISNUMBER(INDEX(PASTE_ALL,$DF769,$L$6)),INDEX(PASTE_ALL,$DF769,$L$6),TRIM(SUBSTITUTE(SUBSTITUTE(SUBSTITUTE(SUBSTITUTE(INDEX(PASTE_ALL,$DF769,$L$6)," "," "),CHAR(9)," "),CHAR(10)," "),CHAR(13)," "))),"")))</f>
        <v/>
      </c>
      <c r="DO769">
        <f>IF($DM769=0,"",IF($L$7=0,"",IFERROR(IF(ISNUMBER(INDEX(PASTE_ALL,$DF769,$L$7)),INDEX(PASTE_ALL,$DF769,$L$7),TRIM(SUBSTITUTE(SUBSTITUTE(SUBSTITUTE(SUBSTITUTE(INDEX(PASTE_ALL,$DF769,$L$7)," "," "),CHAR(9)," "),CHAR(10)," "),CHAR(13)," "))),"")))</f>
        <v/>
      </c>
      <c r="DP769">
        <f>IF($DM769=0,"",IF($L$8=0,"",IFERROR(IF(ISNUMBER(INDEX(PASTE_ALL,$DF769,$L$8)),INDEX(PASTE_ALL,$DF769,$L$8),TRIM(SUBSTITUTE(SUBSTITUTE(SUBSTITUTE(SUBSTITUTE(INDEX(PASTE_ALL,$DF769,$L$8)," "," "),CHAR(9)," "),CHAR(10)," "),CHAR(13)," "))),"")))</f>
        <v/>
      </c>
      <c r="DQ769">
        <f>IF($DM769=0,"",IF($L$9=0,"",IFERROR(IF(ISNUMBER(INDEX(PASTE_ALL,$DF769,$L$9)),INDEX(PASTE_ALL,$DF769,$L$9),TRIM(SUBSTITUTE(SUBSTITUTE(SUBSTITUTE(SUBSTITUTE(INDEX(PASTE_ALL,$DF769,$L$9)," "," "),CHAR(9)," "),CHAR(10)," "),CHAR(13)," "))),"")))</f>
        <v/>
      </c>
      <c r="DR769">
        <f>IF($DM769=0,"",IF($L$10=0,"",IFERROR(IF(ISNUMBER(INDEX(PASTE_ALL,$DF769,$L$10)),INDEX(PASTE_ALL,$DF769,$L$10),TRIM(SUBSTITUTE(SUBSTITUTE(SUBSTITUTE(SUBSTITUTE(INDEX(PASTE_ALL,$DF769,$L$10)," "," "),CHAR(9)," "),CHAR(10)," "),CHAR(13)," "))),"")))</f>
        <v/>
      </c>
      <c r="DS769">
        <f>IF($DM769=0,"",IF($L$11=0,"",IFERROR(IF(ISNUMBER(INDEX(PASTE_ALL,$DF769,$L$11)),INDEX(PASTE_ALL,$DF769,$L$11),TRIM(SUBSTITUTE(SUBSTITUTE(SUBSTITUTE(SUBSTITUTE(INDEX(PASTE_ALL,$DF769,$L$11)," "," "),CHAR(9)," "),CHAR(10)," "),CHAR(13)," "))),"")))</f>
        <v/>
      </c>
      <c r="DT769">
        <f>IF($DM769=0,"",IF($L$12=0,"",IFERROR(IF(ISNUMBER(INDEX(PASTE_ALL,$DF769,$L$12)),INDEX(PASTE_ALL,$DF769,$L$12),TRIM(SUBSTITUTE(SUBSTITUTE(SUBSTITUTE(SUBSTITUTE(INDEX(PASTE_ALL,$DF769,$L$12)," "," "),CHAR(9)," "),CHAR(10)," "),CHAR(13)," "))),"")))</f>
        <v/>
      </c>
      <c r="DU769">
        <f>IF($DM769=0,"",IF($L$13=0,"",IFERROR(IF(ISNUMBER(INDEX(PASTE_ALL,$DF769,$L$13)),INDEX(PASTE_ALL,$DF769,$L$13),TRIM(SUBSTITUTE(SUBSTITUTE(SUBSTITUTE(SUBSTITUTE(INDEX(PASTE_ALL,$DF769,$L$13)," "," "),CHAR(9)," "),CHAR(10)," "),CHAR(13)," "))),"")))</f>
        <v/>
      </c>
      <c r="DV769">
        <f>IF($DM769=0,"",IF($L$14=0,"",IFERROR(IF(ISNUMBER(INDEX(PASTE_ALL,$DF769,$L$14)),INDEX(PASTE_ALL,$DF769,$L$14),TRIM(SUBSTITUTE(SUBSTITUTE(SUBSTITUTE(SUBSTITUTE(INDEX(PASTE_ALL,$DF769,$L$14)," "," "),CHAR(9)," "),CHAR(10)," "),CHAR(13)," "))),"")))</f>
        <v/>
      </c>
      <c r="DW769">
        <f>IF($DM769=0,"",IF($L$15=0,"",IFERROR(IF(ISNUMBER(INDEX(PASTE_ALL,$DF769,$L$15)),INDEX(PASTE_ALL,$DF769,$L$15),IF(SUMPRODUCT(--ISNUMBER(FIND({"A","B","C","D","E","F","G","H","I","J","K","L","M","N","O","P","Q","R","S","T","U","V","W","X","Y","Z","0","1","2","3","4","5","6","7","8","9"},UPPER(TRIM(SUBSTITUTE(SUBSTITUTE(SUBSTITUTE(SUBSTITUTE(INDEX(PASTE_ALL,$DF769,$L$15)," "," "),CHAR(9)," "),CHAR(10)," "),CHAR(13)," "))))))&gt;0,TRIM(SUBSTITUTE(SUBSTITUTE(SUBSTITUTE(SUBSTITUTE(INDEX(PASTE_ALL,$DF769,$L$15)," "," "),CHAR(9)," "),CHAR(10)," "),CHAR(13)," ")),"")),"")))</f>
        <v/>
      </c>
      <c r="DX769">
        <f>IF($DM769=0,"",IF($L$16=0,"",IFERROR(IF(ISNUMBER(INDEX(PASTE_ALL,$DF769,$L$16)),INDEX(PASTE_ALL,$DF769,$L$16),SUBSTITUTE(SUBSTITUTE(TRIM(SUBSTITUTE(SUBSTITUTE(SUBSTITUTE(SUBSTITUTE(INDEX(PASTE_ALL,$DF769,$L$16)," "," "),CHAR(9)," "),CHAR(10)," "),CHAR(13)," ")),",",""),"%","")),"")))</f>
        <v/>
      </c>
      <c r="DY769">
        <f>IF($DM769=0,"",IFERROR(IF(ISNUMBER($DX769),$DX769,IF($DX769="","",IF(TRIM($DX769)="",0,IF(AND(AND(SUBSTITUTE(SUBSTITUTE(SUBSTITUTE(SUBSTITUTE(SUBSTITUTE(SUBSTITUTE(SUBSTITUTE(SUBSTITUTE(SUBSTITUTE(SUBSTITUTE(SUBSTITUTE(SUBSTITUTE(SUBSTITUTE(SUBSTITUTE(UPPER(TRIM($DX769)),"0",""),"1",""),"2",""),"3",""),"4",""),"5",""),"6",""),"7",""),"8",""),"9",""),".",""),"+",""),"-",""),"E","")="",LEN(SUBSTITUTE(SUBSTITUTE(MID(UPPER(TRIM($DX769)),1+OR(LEFT(UPPER(TRIM($DX769)),1)="+",LEFT(UPPER(TRIM($DX769)),1)="-"),999),"E+","E"),"E-","E"))=LEN(SUBSTITUTE(SUBSTITUTE(SUBSTITUTE(SUBSTITUTE(MID(UPPER(TRIM($DX769)),1+OR(LEFT(UPPER(TRIM($DX769)),1)="+",LEFT(UPPER(TRIM($DX769)),1)="-"),999),"E+","E"),"E-","E"),"+",""),"-","")),LEN(UPPER(TRIM($DX769)))-LEN(SUBSTITUTE(UPPER(TRIM($DX769)),"E",""))&lt;2,LEN(UPPER(TRIM($DX769)))-LEN(SUBSTITUTE(UPPER(TRIM($DX769)),".",""))&lt;2,IFERROR(FIND(".",UPPER(TRIM($DX769))),0)&lt;IFERROR(FIND("E",UPPER(TRIM($DX769))),999)),ISNUMBER(VALUE(TRIM($DX769)))),VALUE(TRIM($DX769)),"")))),""))</f>
        <v/>
      </c>
      <c r="DZ769">
        <f>IF($DM769=0,"",IF($L$17=0,"",IFERROR(IF(ISNUMBER(INDEX(PASTE_ALL,$DF769,$L$17)),INDEX(PASTE_ALL,$DF769,$L$17),SUBSTITUTE(SUBSTITUTE(TRIM(SUBSTITUTE(SUBSTITUTE(SUBSTITUTE(SUBSTITUTE(INDEX(PASTE_ALL,$DF769,$L$17)," "," "),CHAR(9)," "),CHAR(10)," "),CHAR(13)," ")),",",""),"%","")),"")))</f>
        <v/>
      </c>
      <c r="EA769">
        <f>IF($DM769=0,"",IFERROR(IF(ISNUMBER($DZ769),$DZ769,IF($DZ769="","",IF(TRIM($DZ769)="",0,IF(AND(AND(SUBSTITUTE(SUBSTITUTE(SUBSTITUTE(SUBSTITUTE(SUBSTITUTE(SUBSTITUTE(SUBSTITUTE(SUBSTITUTE(SUBSTITUTE(SUBSTITUTE(SUBSTITUTE(SUBSTITUTE(SUBSTITUTE(SUBSTITUTE(UPPER(TRIM($DZ769)),"0",""),"1",""),"2",""),"3",""),"4",""),"5",""),"6",""),"7",""),"8",""),"9",""),".",""),"+",""),"-",""),"E","")="",LEN(SUBSTITUTE(SUBSTITUTE(MID(UPPER(TRIM($DZ769)),1+OR(LEFT(UPPER(TRIM($DZ769)),1)="+",LEFT(UPPER(TRIM($DZ769)),1)="-"),999),"E+","E"),"E-","E"))=LEN(SUBSTITUTE(SUBSTITUTE(SUBSTITUTE(SUBSTITUTE(MID(UPPER(TRIM($DZ769)),1+OR(LEFT(UPPER(TRIM($DZ769)),1)="+",LEFT(UPPER(TRIM($DZ769)),1)="-"),999),"E+","E"),"E-","E"),"+",""),"-","")),LEN(UPPER(TRIM($DZ769)))-LEN(SUBSTITUTE(UPPER(TRIM($DZ769)),"E",""))&lt;2,LEN(UPPER(TRIM($DZ769)))-LEN(SUBSTITUTE(UPPER(TRIM($DZ769)),".",""))&lt;2,IFERROR(FIND(".",UPPER(TRIM($DZ769))),0)&lt;IFERROR(FIND("E",UPPER(TRIM($DZ769))),999)),ISNUMBER(VALUE(TRIM($DZ769)))),VALUE(TRIM($DZ769)),"")))),""))</f>
        <v/>
      </c>
      <c r="EB769">
        <f>IF($DM769=0,"",IF($L$18=0,"",IFERROR(IF(UPPER(TRIM(SUBSTITUTE(SUBSTITUTE(SUBSTITUTE(SUBSTITUTE(INDEX(PASTE_ALL,$DF769,$L$18)," "," "),CHAR(9)," "),CHAR(10)," "),CHAR(13)," ")))="READY","Ready",IF(UPPER(TRIM(SUBSTITUTE(SUBSTITUTE(SUBSTITUTE(SUBSTITUTE(INDEX(PASTE_ALL,$DF769,$L$18)," "," "),CHAR(9)," "),CHAR(10)," "),CHAR(13)," ")))="PM","PM",IF(OR(UPPER(TRIM(SUBSTITUTE(SUBSTITUTE(SUBSTITUTE(SUBSTITUTE(INDEX(PASTE_ALL,$DF769,$L$18)," "," "),CHAR(9)," "),CHAR(10)," "),CHAR(13)," ")))="OT",UPPER(TRIM(SUBSTITUTE(SUBSTITUTE(SUBSTITUTE(SUBSTITUTE(INDEX(PASTE_ALL,$DF769,$L$18)," "," "),CHAR(9)," "),CHAR(10)," "),CHAR(13)," ")))="OVERTIME",UPPER(TRIM(SUBSTITUTE(SUBSTITUTE(SUBSTITUTE(SUBSTITUTE(INDEX(PASTE_ALL,$DF769,$L$18)," "," "),CHAR(9)," "),CHAR(10)," "),CHAR(13)," ")))="TRIAL"),"OT",TRIM(SUBSTITUTE(SUBSTITUTE(SUBSTITUTE(SUBSTITUTE(INDEX(PASTE_ALL,$DF769,$L$18)," "," "),CHAR(9)," "),CHAR(10)," "),CHAR(13)," "))))),"")))</f>
        <v/>
      </c>
      <c r="EC769">
        <f>IF($DM769=0,"",IF($L$19=0,"",IFERROR(IF(ISNUMBER(INDEX(PASTE_ALL,$DF769,$L$19)),INDEX(PASTE_ALL,$DF769,$L$19),TRIM(SUBSTITUTE(SUBSTITUTE(SUBSTITUTE(SUBSTITUTE(INDEX(PASTE_ALL,$DF769,$L$19)," "," "),CHAR(9)," "),CHAR(10)," "),CHAR(13)," "))),"")))</f>
        <v/>
      </c>
      <c r="ED769">
        <f>IF($DM769=0,"",MATCH(1,INDEX(EXACT($DH$5:DH769,$DH769)*$DM$5:DM769,0),0))</f>
        <v/>
      </c>
      <c r="EE769">
        <f>IF($DM769=0,0,IF($ED769=$DE769,1,0))</f>
        <v/>
      </c>
      <c r="EF769">
        <f>EF768+$EE769</f>
        <v/>
      </c>
      <c r="EG769">
        <f>IF($DM769=0,"",INDEX($EF$5:$EF$1003,$ED769))</f>
        <v/>
      </c>
      <c r="EH769">
        <f>IF($DM769=0,"",IF($DO769&lt;&gt;"","",IFERROR(LOOKUP(2,1/(($EG$4:EG768=$EG769)*($DO$4:DO768&lt;&gt;"")),$DO$4:DO768),"")))</f>
        <v/>
      </c>
      <c r="EI769">
        <f>IF($DM769=0,"",IF($DO769&lt;&gt;"",$DO769,$EH769))</f>
        <v/>
      </c>
      <c r="EJ769">
        <f>IF($DM769=0,"",IF($EI769="",0,IF(OR(ISNUMBER($EI769),AND(AND(SUBSTITUTE(SUBSTITUTE(SUBSTITUTE(SUBSTITUTE(SUBSTITUTE(SUBSTITUTE(SUBSTITUTE(SUBSTITUTE(SUBSTITUTE(SUBSTITUTE(SUBSTITUTE(SUBSTITUTE(SUBSTITUTE(SUBSTITUTE(UPPER($EI769),"0",""),"1",""),"2",""),"3",""),"4",""),"5",""),"6",""),"7",""),"8",""),"9",""),".",""),"+",""),"-",""),"E","")="",LEN(SUBSTITUTE(SUBSTITUTE(MID(UPPER($EI769),1+OR(LEFT(UPPER($EI769),1)="+",LEFT(UPPER($EI769),1)="-"),999),"E+","E"),"E-","E"))=LEN(SUBSTITUTE(SUBSTITUTE(SUBSTITUTE(SUBSTITUTE(MID(UPPER($EI769),1+OR(LEFT(UPPER($EI769),1)="+",LEFT(UPPER($EI769),1)="-"),999),"E+","E"),"E-","E"),"+",""),"-","")),LEN(UPPER($EI769))-LEN(SUBSTITUTE(UPPER($EI769),"E",""))&lt;2,LEN(UPPER($EI769))-LEN(SUBSTITUTE(UPPER($EI769),".",""))&lt;2,IFERROR(FIND(".",UPPER($EI769)),0)&lt;IFERROR(FIND("E",UPPER($EI769)),999)),ISNUMBER(VALUE($EI769)))),1,2)))</f>
        <v/>
      </c>
      <c r="EK769">
        <f>IF($DM769=0,"",IF($EJ769=1,IF(ISNUMBER($EI769),$EI769,VALUE($EI769)),IF($EJ769=2,$DE769,0)))</f>
        <v/>
      </c>
      <c r="EL769">
        <f>IF($DM769=0,"",COUNTIF($EG$5:$EG$1003,"&lt;"&amp;$EG769)+SUMPRODUCT(($EG$5:$EG$1003=$EG769)*(($EJ$5:$EJ$1003&lt;$EJ769)+($EJ$5:$EJ$1003=$EJ769)*(($EK$5:$EK$1003&lt;$EK769)+($EK$5:$EK$1003=$EK769)*($DE$5:$DE$1003&lt;$DE769))))+1)</f>
        <v/>
      </c>
      <c r="EM769">
        <f>IF($DM769=0,"",$EL769+$EG769-1)</f>
        <v/>
      </c>
      <c r="EN769">
        <f>IF($DM769=0,0,IFERROR(MATCH(1,INDEX(--(TRIM(SUBSTITUTE(SUBSTITUTE(SUBSTITUTE(SUBSTITUTE(LINES_NAME&amp;""," "," "),CHAR(9)," "),CHAR(10)," "),CHAR(13)," "))=$DH769),0),0),0))</f>
        <v/>
      </c>
      <c r="EO769">
        <f>IF($EN769=0,0,IF(OR(UPPER(TRIM(INDEX(LINES_SCHEDULED,$EN769)&amp;""))="YES",UPPER(TRIM(INDEX(LINES_SCHEDULED,$EN769)&amp;""))="Y",UPPER(TRIM(INDEX(LINES_SCHEDULED,$EN769)&amp;""))="X"),1,0))</f>
        <v/>
      </c>
      <c r="EP769">
        <f>IF($DM769=0,"",IF(COUNTIFS($EG$5:$EG$1003,$EG769,$EB$5:$EB$1003,"Ready")&gt;0,"READY",IF(COUNTIFS($EG$5:$EG$1003,$EG769,$EB$5:$EB$1003,"PM")&gt;0,"PM",IF(COUNTIFS($EG$5:$EG$1003,$EG769,$EB$5:$EB$1003,"OT")&gt;0,"OT",""))))</f>
        <v/>
      </c>
      <c r="EQ769">
        <f>IF($EN769=0,"",UPPER(TRIM(INDEX(LINES_STATUS,$EN769)&amp;"")))</f>
        <v/>
      </c>
      <c r="ER769">
        <f>IF($DM769=0,"",IF(OR($EQ769="READY",$EQ769="PM",$EQ769="OT"),$EQ769,$EP769))</f>
        <v/>
      </c>
      <c r="ES769">
        <f>IF($DM769=0,"",IF(AND($DV769&lt;&gt;"",UPPER($DV769)&lt;&gt;"N"),"allergen",IF(ISNUMBER(SEARCH("oil",$DQ769)),"oil",IF(OR(EXACT($DS769,"A662"),EXACT($DS769,"A624")),"bulk",""))))</f>
        <v/>
      </c>
      <c r="ET769">
        <f>IF($DM769=0,"",IF(OR($EA769="",$EA769=0),"",$EA769/100))</f>
        <v/>
      </c>
      <c r="EU769">
        <f>IF(OR($ET769="",$DY769=""),"",INT($DY769*(1-$ET769)+0.5))</f>
        <v/>
      </c>
    </row>
    <row r="770">
      <c r="DA770" t="n">
        <v>766</v>
      </c>
      <c r="DB770">
        <f>IF($B$37=0,"",IFERROR(TRIM(SUBSTITUTE(SUBSTITUTE(SUBSTITUTE(SUBSTITUTE(INDEX(PASTE_ALL,766,$B$37)," "," "),CHAR(9)," "),CHAR(10)," "),CHAR(13)," ")),""))</f>
        <v/>
      </c>
      <c r="DC770">
        <f>IF(AND(766&gt;HEADER_ROW,UPPER(DB770)="LEGEND"),1,0)</f>
        <v/>
      </c>
      <c r="DE770" t="n">
        <v>766</v>
      </c>
      <c r="DF770">
        <f>HEADER_ROW+$DE770</f>
        <v/>
      </c>
      <c r="DG770">
        <f>IF(AND($DF770&lt;=1000,$DF770&lt;$B$8),1,0)</f>
        <v/>
      </c>
      <c r="DH770">
        <f>IF($DG770=1,IFERROR(INDEX($DB$5:$DB$1004,$DF770),""),"")</f>
        <v/>
      </c>
      <c r="DI770">
        <f>IF(AND($DG770=1,$DH770&lt;&gt;""),IFERROR(SUBSTITUTE(SUBSTITUTE(TRIM(SUBSTITUTE(SUBSTITUTE(SUBSTITUTE(SUBSTITUTE(IFERROR(INDEX(PASTE_ALL,$DF770,1)&amp;"","")&amp;"␟"&amp;IFERROR(INDEX(PASTE_ALL,$DF770,2)&amp;"","")&amp;"␟"&amp;IFERROR(INDEX(PASTE_ALL,$DF770,3)&amp;"","")&amp;"␟"&amp;IFERROR(INDEX(PASTE_ALL,$DF770,4)&amp;"","")&amp;"␟"&amp;IFERROR(INDEX(PASTE_ALL,$DF770,5)&amp;"","")&amp;"␟"&amp;IFERROR(INDEX(PASTE_ALL,$DF770,6)&amp;"","")&amp;"␟"&amp;IFERROR(INDEX(PASTE_ALL,$DF770,7)&amp;"","")&amp;"␟"&amp;IFERROR(INDEX(PASTE_ALL,$DF770,8)&amp;"","")&amp;"␟"&amp;IFERROR(INDEX(PASTE_ALL,$DF770,9)&amp;"","")&amp;"␟"&amp;IFERROR(INDEX(PASTE_ALL,$DF770,10)&amp;"","")&amp;"␟"&amp;IFERROR(INDEX(PASTE_ALL,$DF770,11)&amp;"","")&amp;"␟"&amp;IFERROR(INDEX(PASTE_ALL,$DF770,12)&amp;"","")&amp;"␟"&amp;IFERROR(INDEX(PASTE_ALL,$DF770,13)&amp;"","")&amp;"␟"&amp;IFERROR(INDEX(PASTE_ALL,$DF770,14)&amp;"","")&amp;"␟"&amp;IFERROR(INDEX(PASTE_ALL,$DF770,15)&amp;"","")&amp;"␟"&amp;IFERROR(INDEX(PASTE_ALL,$DF770,16)&amp;"","")&amp;"␟"&amp;IFERROR(INDEX(PASTE_ALL,$DF770,17)&amp;"","")&amp;"␟"&amp;IFERROR(INDEX(PASTE_ALL,$DF770,18)&amp;"","")&amp;"␟"&amp;IFERROR(INDEX(PASTE_ALL,$DF770,19)&amp;"","")&amp;"␟"&amp;IFERROR(INDEX(PASTE_ALL,$DF770,20)&amp;"","")&amp;"␟"&amp;IFERROR(INDEX(PASTE_ALL,$DF770,21)&amp;"","")&amp;"␟"&amp;IFERROR(INDEX(PASTE_ALL,$DF770,22)&amp;"","")&amp;"␟"&amp;IFERROR(INDEX(PASTE_ALL,$DF770,23)&amp;"","")&amp;"␟"&amp;IFERROR(INDEX(PASTE_ALL,$DF770,24)&amp;"","")&amp;"␟"&amp;IFERROR(INDEX(PASTE_ALL,$DF770,25)&amp;"","")&amp;"␟"&amp;IFERROR(INDEX(PASTE_ALL,$DF770,26)&amp;"","")&amp;"␟"&amp;IFERROR(INDEX(PASTE_ALL,$DF770,27)&amp;"","")&amp;"␟"&amp;IFERROR(INDEX(PASTE_ALL,$DF770,28)&amp;"","")&amp;"␟"&amp;IFERROR(INDEX(PASTE_ALL,$DF770,29)&amp;"","")&amp;"␟"&amp;IFERROR(INDEX(PASTE_ALL,$DF770,30)&amp;"","")&amp;"␟"&amp;IFERROR(INDEX(PASTE_ALL,$DF770,31)&amp;"","")&amp;"␟"&amp;IFERROR(INDEX(PASTE_ALL,$DF770,32)&amp;"","")&amp;"␟"&amp;IFERROR(INDEX(PASTE_ALL,$DF770,33)&amp;"","")&amp;"␟"&amp;IFERROR(INDEX(PASTE_ALL,$DF770,34)&amp;"","")&amp;"␟"&amp;IFERROR(INDEX(PASTE_ALL,$DF770,35)&amp;"","")&amp;"␟"&amp;IFERROR(INDEX(PASTE_ALL,$DF770,36)&amp;"","")&amp;"␟"&amp;IFERROR(INDEX(PASTE_ALL,$DF770,37)&amp;"","")&amp;"␟"&amp;IFERROR(INDEX(PASTE_ALL,$DF770,38)&amp;"","")&amp;"␟"&amp;IFERROR(INDEX(PASTE_ALL,$DF770,39)&amp;"","")&amp;"␟"&amp;IFERROR(INDEX(PASTE_ALL,$DF770,40)&amp;"","")&amp;"␟"&amp;IFERROR(INDEX(PASTE_ALL,$DF770,41)&amp;"","")&amp;"␟"&amp;IFERROR(INDEX(PASTE_ALL,$DF770,42)&amp;"","")&amp;"␟"&amp;IFERROR(INDEX(PASTE_ALL,$DF770,43)&amp;"","")&amp;"␟"&amp;IFERROR(INDEX(PASTE_ALL,$DF770,44)&amp;"","")&amp;"␟"&amp;IFERROR(INDEX(PASTE_ALL,$DF770,45)&amp;"","")&amp;"␟"&amp;IFERROR(INDEX(PASTE_ALL,$DF770,46)&amp;"","")&amp;"␟"&amp;IFERROR(INDEX(PASTE_ALL,$DF770,47)&amp;"","")&amp;"␟"&amp;IFERROR(INDEX(PASTE_ALL,$DF770,48)&amp;"","")&amp;"␟"&amp;IFERROR(INDEX(PASTE_ALL,$DF770,49)&amp;"","")&amp;"␟"&amp;IFERROR(INDEX(PASTE_ALL,$DF770,50)&amp;"","")&amp;"␟"&amp;IFERROR(INDEX(PASTE_ALL,$DF770,51)&amp;"","")&amp;"␟"&amp;IFERROR(INDEX(PASTE_ALL,$DF770,52)&amp;"","")&amp;"␟"&amp;IFERROR(INDEX(PASTE_ALL,$DF770,53)&amp;"","")&amp;"␟"&amp;IFERROR(INDEX(PASTE_ALL,$DF770,54)&amp;"","")&amp;"␟"&amp;IFERROR(INDEX(PASTE_ALL,$DF770,55)&amp;"","")&amp;"␟"&amp;IFERROR(INDEX(PASTE_ALL,$DF770,56)&amp;"","")&amp;"␟"&amp;IFERROR(INDEX(PASTE_ALL,$DF770,57)&amp;"","")&amp;"␟"&amp;IFERROR(INDEX(PASTE_ALL,$DF770,58)&amp;"","")&amp;"␟"&amp;IFERROR(INDEX(PASTE_ALL,$DF770,59)&amp;"","")&amp;"␟"&amp;IFERROR(INDEX(PASTE_ALL,$DF770,60)&amp;"","")," "," "),CHAR(9)," "),CHAR(10)," "),CHAR(13)," "))," ␟","␟"),"␟ ","␟"),"#"&amp;$DE770),"")</f>
        <v/>
      </c>
      <c r="DJ770">
        <f>IF($DI770="",0,IF(SUMPRODUCT(--EXACT($DI$4:DI769,$DI770))&gt;0,1,0))</f>
        <v/>
      </c>
      <c r="DK770">
        <f>IF(AND($DI770&lt;&gt;"",$DJ770=0),1,0)</f>
        <v/>
      </c>
      <c r="DL770">
        <f>DL769+$DK770</f>
        <v/>
      </c>
      <c r="DM770">
        <f>IF(AND($DK770=1,$DL770&lt;=600),1,0)</f>
        <v/>
      </c>
      <c r="DN770">
        <f>IF($DM770=0,"",IF($L$6=0,"",IFERROR(IF(ISNUMBER(INDEX(PASTE_ALL,$DF770,$L$6)),INDEX(PASTE_ALL,$DF770,$L$6),TRIM(SUBSTITUTE(SUBSTITUTE(SUBSTITUTE(SUBSTITUTE(INDEX(PASTE_ALL,$DF770,$L$6)," "," "),CHAR(9)," "),CHAR(10)," "),CHAR(13)," "))),"")))</f>
        <v/>
      </c>
      <c r="DO770">
        <f>IF($DM770=0,"",IF($L$7=0,"",IFERROR(IF(ISNUMBER(INDEX(PASTE_ALL,$DF770,$L$7)),INDEX(PASTE_ALL,$DF770,$L$7),TRIM(SUBSTITUTE(SUBSTITUTE(SUBSTITUTE(SUBSTITUTE(INDEX(PASTE_ALL,$DF770,$L$7)," "," "),CHAR(9)," "),CHAR(10)," "),CHAR(13)," "))),"")))</f>
        <v/>
      </c>
      <c r="DP770">
        <f>IF($DM770=0,"",IF($L$8=0,"",IFERROR(IF(ISNUMBER(INDEX(PASTE_ALL,$DF770,$L$8)),INDEX(PASTE_ALL,$DF770,$L$8),TRIM(SUBSTITUTE(SUBSTITUTE(SUBSTITUTE(SUBSTITUTE(INDEX(PASTE_ALL,$DF770,$L$8)," "," "),CHAR(9)," "),CHAR(10)," "),CHAR(13)," "))),"")))</f>
        <v/>
      </c>
      <c r="DQ770">
        <f>IF($DM770=0,"",IF($L$9=0,"",IFERROR(IF(ISNUMBER(INDEX(PASTE_ALL,$DF770,$L$9)),INDEX(PASTE_ALL,$DF770,$L$9),TRIM(SUBSTITUTE(SUBSTITUTE(SUBSTITUTE(SUBSTITUTE(INDEX(PASTE_ALL,$DF770,$L$9)," "," "),CHAR(9)," "),CHAR(10)," "),CHAR(13)," "))),"")))</f>
        <v/>
      </c>
      <c r="DR770">
        <f>IF($DM770=0,"",IF($L$10=0,"",IFERROR(IF(ISNUMBER(INDEX(PASTE_ALL,$DF770,$L$10)),INDEX(PASTE_ALL,$DF770,$L$10),TRIM(SUBSTITUTE(SUBSTITUTE(SUBSTITUTE(SUBSTITUTE(INDEX(PASTE_ALL,$DF770,$L$10)," "," "),CHAR(9)," "),CHAR(10)," "),CHAR(13)," "))),"")))</f>
        <v/>
      </c>
      <c r="DS770">
        <f>IF($DM770=0,"",IF($L$11=0,"",IFERROR(IF(ISNUMBER(INDEX(PASTE_ALL,$DF770,$L$11)),INDEX(PASTE_ALL,$DF770,$L$11),TRIM(SUBSTITUTE(SUBSTITUTE(SUBSTITUTE(SUBSTITUTE(INDEX(PASTE_ALL,$DF770,$L$11)," "," "),CHAR(9)," "),CHAR(10)," "),CHAR(13)," "))),"")))</f>
        <v/>
      </c>
      <c r="DT770">
        <f>IF($DM770=0,"",IF($L$12=0,"",IFERROR(IF(ISNUMBER(INDEX(PASTE_ALL,$DF770,$L$12)),INDEX(PASTE_ALL,$DF770,$L$12),TRIM(SUBSTITUTE(SUBSTITUTE(SUBSTITUTE(SUBSTITUTE(INDEX(PASTE_ALL,$DF770,$L$12)," "," "),CHAR(9)," "),CHAR(10)," "),CHAR(13)," "))),"")))</f>
        <v/>
      </c>
      <c r="DU770">
        <f>IF($DM770=0,"",IF($L$13=0,"",IFERROR(IF(ISNUMBER(INDEX(PASTE_ALL,$DF770,$L$13)),INDEX(PASTE_ALL,$DF770,$L$13),TRIM(SUBSTITUTE(SUBSTITUTE(SUBSTITUTE(SUBSTITUTE(INDEX(PASTE_ALL,$DF770,$L$13)," "," "),CHAR(9)," "),CHAR(10)," "),CHAR(13)," "))),"")))</f>
        <v/>
      </c>
      <c r="DV770">
        <f>IF($DM770=0,"",IF($L$14=0,"",IFERROR(IF(ISNUMBER(INDEX(PASTE_ALL,$DF770,$L$14)),INDEX(PASTE_ALL,$DF770,$L$14),TRIM(SUBSTITUTE(SUBSTITUTE(SUBSTITUTE(SUBSTITUTE(INDEX(PASTE_ALL,$DF770,$L$14)," "," "),CHAR(9)," "),CHAR(10)," "),CHAR(13)," "))),"")))</f>
        <v/>
      </c>
      <c r="DW770">
        <f>IF($DM770=0,"",IF($L$15=0,"",IFERROR(IF(ISNUMBER(INDEX(PASTE_ALL,$DF770,$L$15)),INDEX(PASTE_ALL,$DF770,$L$15),IF(SUMPRODUCT(--ISNUMBER(FIND({"A","B","C","D","E","F","G","H","I","J","K","L","M","N","O","P","Q","R","S","T","U","V","W","X","Y","Z","0","1","2","3","4","5","6","7","8","9"},UPPER(TRIM(SUBSTITUTE(SUBSTITUTE(SUBSTITUTE(SUBSTITUTE(INDEX(PASTE_ALL,$DF770,$L$15)," "," "),CHAR(9)," "),CHAR(10)," "),CHAR(13)," "))))))&gt;0,TRIM(SUBSTITUTE(SUBSTITUTE(SUBSTITUTE(SUBSTITUTE(INDEX(PASTE_ALL,$DF770,$L$15)," "," "),CHAR(9)," "),CHAR(10)," "),CHAR(13)," ")),"")),"")))</f>
        <v/>
      </c>
      <c r="DX770">
        <f>IF($DM770=0,"",IF($L$16=0,"",IFERROR(IF(ISNUMBER(INDEX(PASTE_ALL,$DF770,$L$16)),INDEX(PASTE_ALL,$DF770,$L$16),SUBSTITUTE(SUBSTITUTE(TRIM(SUBSTITUTE(SUBSTITUTE(SUBSTITUTE(SUBSTITUTE(INDEX(PASTE_ALL,$DF770,$L$16)," "," "),CHAR(9)," "),CHAR(10)," "),CHAR(13)," ")),",",""),"%","")),"")))</f>
        <v/>
      </c>
      <c r="DY770">
        <f>IF($DM770=0,"",IFERROR(IF(ISNUMBER($DX770),$DX770,IF($DX770="","",IF(TRIM($DX770)="",0,IF(AND(AND(SUBSTITUTE(SUBSTITUTE(SUBSTITUTE(SUBSTITUTE(SUBSTITUTE(SUBSTITUTE(SUBSTITUTE(SUBSTITUTE(SUBSTITUTE(SUBSTITUTE(SUBSTITUTE(SUBSTITUTE(SUBSTITUTE(SUBSTITUTE(UPPER(TRIM($DX770)),"0",""),"1",""),"2",""),"3",""),"4",""),"5",""),"6",""),"7",""),"8",""),"9",""),".",""),"+",""),"-",""),"E","")="",LEN(SUBSTITUTE(SUBSTITUTE(MID(UPPER(TRIM($DX770)),1+OR(LEFT(UPPER(TRIM($DX770)),1)="+",LEFT(UPPER(TRIM($DX770)),1)="-"),999),"E+","E"),"E-","E"))=LEN(SUBSTITUTE(SUBSTITUTE(SUBSTITUTE(SUBSTITUTE(MID(UPPER(TRIM($DX770)),1+OR(LEFT(UPPER(TRIM($DX770)),1)="+",LEFT(UPPER(TRIM($DX770)),1)="-"),999),"E+","E"),"E-","E"),"+",""),"-","")),LEN(UPPER(TRIM($DX770)))-LEN(SUBSTITUTE(UPPER(TRIM($DX770)),"E",""))&lt;2,LEN(UPPER(TRIM($DX770)))-LEN(SUBSTITUTE(UPPER(TRIM($DX770)),".",""))&lt;2,IFERROR(FIND(".",UPPER(TRIM($DX770))),0)&lt;IFERROR(FIND("E",UPPER(TRIM($DX770))),999)),ISNUMBER(VALUE(TRIM($DX770)))),VALUE(TRIM($DX770)),"")))),""))</f>
        <v/>
      </c>
      <c r="DZ770">
        <f>IF($DM770=0,"",IF($L$17=0,"",IFERROR(IF(ISNUMBER(INDEX(PASTE_ALL,$DF770,$L$17)),INDEX(PASTE_ALL,$DF770,$L$17),SUBSTITUTE(SUBSTITUTE(TRIM(SUBSTITUTE(SUBSTITUTE(SUBSTITUTE(SUBSTITUTE(INDEX(PASTE_ALL,$DF770,$L$17)," "," "),CHAR(9)," "),CHAR(10)," "),CHAR(13)," ")),",",""),"%","")),"")))</f>
        <v/>
      </c>
      <c r="EA770">
        <f>IF($DM770=0,"",IFERROR(IF(ISNUMBER($DZ770),$DZ770,IF($DZ770="","",IF(TRIM($DZ770)="",0,IF(AND(AND(SUBSTITUTE(SUBSTITUTE(SUBSTITUTE(SUBSTITUTE(SUBSTITUTE(SUBSTITUTE(SUBSTITUTE(SUBSTITUTE(SUBSTITUTE(SUBSTITUTE(SUBSTITUTE(SUBSTITUTE(SUBSTITUTE(SUBSTITUTE(UPPER(TRIM($DZ770)),"0",""),"1",""),"2",""),"3",""),"4",""),"5",""),"6",""),"7",""),"8",""),"9",""),".",""),"+",""),"-",""),"E","")="",LEN(SUBSTITUTE(SUBSTITUTE(MID(UPPER(TRIM($DZ770)),1+OR(LEFT(UPPER(TRIM($DZ770)),1)="+",LEFT(UPPER(TRIM($DZ770)),1)="-"),999),"E+","E"),"E-","E"))=LEN(SUBSTITUTE(SUBSTITUTE(SUBSTITUTE(SUBSTITUTE(MID(UPPER(TRIM($DZ770)),1+OR(LEFT(UPPER(TRIM($DZ770)),1)="+",LEFT(UPPER(TRIM($DZ770)),1)="-"),999),"E+","E"),"E-","E"),"+",""),"-","")),LEN(UPPER(TRIM($DZ770)))-LEN(SUBSTITUTE(UPPER(TRIM($DZ770)),"E",""))&lt;2,LEN(UPPER(TRIM($DZ770)))-LEN(SUBSTITUTE(UPPER(TRIM($DZ770)),".",""))&lt;2,IFERROR(FIND(".",UPPER(TRIM($DZ770))),0)&lt;IFERROR(FIND("E",UPPER(TRIM($DZ770))),999)),ISNUMBER(VALUE(TRIM($DZ770)))),VALUE(TRIM($DZ770)),"")))),""))</f>
        <v/>
      </c>
      <c r="EB770">
        <f>IF($DM770=0,"",IF($L$18=0,"",IFERROR(IF(UPPER(TRIM(SUBSTITUTE(SUBSTITUTE(SUBSTITUTE(SUBSTITUTE(INDEX(PASTE_ALL,$DF770,$L$18)," "," "),CHAR(9)," "),CHAR(10)," "),CHAR(13)," ")))="READY","Ready",IF(UPPER(TRIM(SUBSTITUTE(SUBSTITUTE(SUBSTITUTE(SUBSTITUTE(INDEX(PASTE_ALL,$DF770,$L$18)," "," "),CHAR(9)," "),CHAR(10)," "),CHAR(13)," ")))="PM","PM",IF(OR(UPPER(TRIM(SUBSTITUTE(SUBSTITUTE(SUBSTITUTE(SUBSTITUTE(INDEX(PASTE_ALL,$DF770,$L$18)," "," "),CHAR(9)," "),CHAR(10)," "),CHAR(13)," ")))="OT",UPPER(TRIM(SUBSTITUTE(SUBSTITUTE(SUBSTITUTE(SUBSTITUTE(INDEX(PASTE_ALL,$DF770,$L$18)," "," "),CHAR(9)," "),CHAR(10)," "),CHAR(13)," ")))="OVERTIME",UPPER(TRIM(SUBSTITUTE(SUBSTITUTE(SUBSTITUTE(SUBSTITUTE(INDEX(PASTE_ALL,$DF770,$L$18)," "," "),CHAR(9)," "),CHAR(10)," "),CHAR(13)," ")))="TRIAL"),"OT",TRIM(SUBSTITUTE(SUBSTITUTE(SUBSTITUTE(SUBSTITUTE(INDEX(PASTE_ALL,$DF770,$L$18)," "," "),CHAR(9)," "),CHAR(10)," "),CHAR(13)," "))))),"")))</f>
        <v/>
      </c>
      <c r="EC770">
        <f>IF($DM770=0,"",IF($L$19=0,"",IFERROR(IF(ISNUMBER(INDEX(PASTE_ALL,$DF770,$L$19)),INDEX(PASTE_ALL,$DF770,$L$19),TRIM(SUBSTITUTE(SUBSTITUTE(SUBSTITUTE(SUBSTITUTE(INDEX(PASTE_ALL,$DF770,$L$19)," "," "),CHAR(9)," "),CHAR(10)," "),CHAR(13)," "))),"")))</f>
        <v/>
      </c>
      <c r="ED770">
        <f>IF($DM770=0,"",MATCH(1,INDEX(EXACT($DH$5:DH770,$DH770)*$DM$5:DM770,0),0))</f>
        <v/>
      </c>
      <c r="EE770">
        <f>IF($DM770=0,0,IF($ED770=$DE770,1,0))</f>
        <v/>
      </c>
      <c r="EF770">
        <f>EF769+$EE770</f>
        <v/>
      </c>
      <c r="EG770">
        <f>IF($DM770=0,"",INDEX($EF$5:$EF$1003,$ED770))</f>
        <v/>
      </c>
      <c r="EH770">
        <f>IF($DM770=0,"",IF($DO770&lt;&gt;"","",IFERROR(LOOKUP(2,1/(($EG$4:EG769=$EG770)*($DO$4:DO769&lt;&gt;"")),$DO$4:DO769),"")))</f>
        <v/>
      </c>
      <c r="EI770">
        <f>IF($DM770=0,"",IF($DO770&lt;&gt;"",$DO770,$EH770))</f>
        <v/>
      </c>
      <c r="EJ770">
        <f>IF($DM770=0,"",IF($EI770="",0,IF(OR(ISNUMBER($EI770),AND(AND(SUBSTITUTE(SUBSTITUTE(SUBSTITUTE(SUBSTITUTE(SUBSTITUTE(SUBSTITUTE(SUBSTITUTE(SUBSTITUTE(SUBSTITUTE(SUBSTITUTE(SUBSTITUTE(SUBSTITUTE(SUBSTITUTE(SUBSTITUTE(UPPER($EI770),"0",""),"1",""),"2",""),"3",""),"4",""),"5",""),"6",""),"7",""),"8",""),"9",""),".",""),"+",""),"-",""),"E","")="",LEN(SUBSTITUTE(SUBSTITUTE(MID(UPPER($EI770),1+OR(LEFT(UPPER($EI770),1)="+",LEFT(UPPER($EI770),1)="-"),999),"E+","E"),"E-","E"))=LEN(SUBSTITUTE(SUBSTITUTE(SUBSTITUTE(SUBSTITUTE(MID(UPPER($EI770),1+OR(LEFT(UPPER($EI770),1)="+",LEFT(UPPER($EI770),1)="-"),999),"E+","E"),"E-","E"),"+",""),"-","")),LEN(UPPER($EI770))-LEN(SUBSTITUTE(UPPER($EI770),"E",""))&lt;2,LEN(UPPER($EI770))-LEN(SUBSTITUTE(UPPER($EI770),".",""))&lt;2,IFERROR(FIND(".",UPPER($EI770)),0)&lt;IFERROR(FIND("E",UPPER($EI770)),999)),ISNUMBER(VALUE($EI770)))),1,2)))</f>
        <v/>
      </c>
      <c r="EK770">
        <f>IF($DM770=0,"",IF($EJ770=1,IF(ISNUMBER($EI770),$EI770,VALUE($EI770)),IF($EJ770=2,$DE770,0)))</f>
        <v/>
      </c>
      <c r="EL770">
        <f>IF($DM770=0,"",COUNTIF($EG$5:$EG$1003,"&lt;"&amp;$EG770)+SUMPRODUCT(($EG$5:$EG$1003=$EG770)*(($EJ$5:$EJ$1003&lt;$EJ770)+($EJ$5:$EJ$1003=$EJ770)*(($EK$5:$EK$1003&lt;$EK770)+($EK$5:$EK$1003=$EK770)*($DE$5:$DE$1003&lt;$DE770))))+1)</f>
        <v/>
      </c>
      <c r="EM770">
        <f>IF($DM770=0,"",$EL770+$EG770-1)</f>
        <v/>
      </c>
      <c r="EN770">
        <f>IF($DM770=0,0,IFERROR(MATCH(1,INDEX(--(TRIM(SUBSTITUTE(SUBSTITUTE(SUBSTITUTE(SUBSTITUTE(LINES_NAME&amp;""," "," "),CHAR(9)," "),CHAR(10)," "),CHAR(13)," "))=$DH770),0),0),0))</f>
        <v/>
      </c>
      <c r="EO770">
        <f>IF($EN770=0,0,IF(OR(UPPER(TRIM(INDEX(LINES_SCHEDULED,$EN770)&amp;""))="YES",UPPER(TRIM(INDEX(LINES_SCHEDULED,$EN770)&amp;""))="Y",UPPER(TRIM(INDEX(LINES_SCHEDULED,$EN770)&amp;""))="X"),1,0))</f>
        <v/>
      </c>
      <c r="EP770">
        <f>IF($DM770=0,"",IF(COUNTIFS($EG$5:$EG$1003,$EG770,$EB$5:$EB$1003,"Ready")&gt;0,"READY",IF(COUNTIFS($EG$5:$EG$1003,$EG770,$EB$5:$EB$1003,"PM")&gt;0,"PM",IF(COUNTIFS($EG$5:$EG$1003,$EG770,$EB$5:$EB$1003,"OT")&gt;0,"OT",""))))</f>
        <v/>
      </c>
      <c r="EQ770">
        <f>IF($EN770=0,"",UPPER(TRIM(INDEX(LINES_STATUS,$EN770)&amp;"")))</f>
        <v/>
      </c>
      <c r="ER770">
        <f>IF($DM770=0,"",IF(OR($EQ770="READY",$EQ770="PM",$EQ770="OT"),$EQ770,$EP770))</f>
        <v/>
      </c>
      <c r="ES770">
        <f>IF($DM770=0,"",IF(AND($DV770&lt;&gt;"",UPPER($DV770)&lt;&gt;"N"),"allergen",IF(ISNUMBER(SEARCH("oil",$DQ770)),"oil",IF(OR(EXACT($DS770,"A662"),EXACT($DS770,"A624")),"bulk",""))))</f>
        <v/>
      </c>
      <c r="ET770">
        <f>IF($DM770=0,"",IF(OR($EA770="",$EA770=0),"",$EA770/100))</f>
        <v/>
      </c>
      <c r="EU770">
        <f>IF(OR($ET770="",$DY770=""),"",INT($DY770*(1-$ET770)+0.5))</f>
        <v/>
      </c>
    </row>
    <row r="771">
      <c r="DA771" t="n">
        <v>767</v>
      </c>
      <c r="DB771">
        <f>IF($B$37=0,"",IFERROR(TRIM(SUBSTITUTE(SUBSTITUTE(SUBSTITUTE(SUBSTITUTE(INDEX(PASTE_ALL,767,$B$37)," "," "),CHAR(9)," "),CHAR(10)," "),CHAR(13)," ")),""))</f>
        <v/>
      </c>
      <c r="DC771">
        <f>IF(AND(767&gt;HEADER_ROW,UPPER(DB771)="LEGEND"),1,0)</f>
        <v/>
      </c>
      <c r="DE771" t="n">
        <v>767</v>
      </c>
      <c r="DF771">
        <f>HEADER_ROW+$DE771</f>
        <v/>
      </c>
      <c r="DG771">
        <f>IF(AND($DF771&lt;=1000,$DF771&lt;$B$8),1,0)</f>
        <v/>
      </c>
      <c r="DH771">
        <f>IF($DG771=1,IFERROR(INDEX($DB$5:$DB$1004,$DF771),""),"")</f>
        <v/>
      </c>
      <c r="DI771">
        <f>IF(AND($DG771=1,$DH771&lt;&gt;""),IFERROR(SUBSTITUTE(SUBSTITUTE(TRIM(SUBSTITUTE(SUBSTITUTE(SUBSTITUTE(SUBSTITUTE(IFERROR(INDEX(PASTE_ALL,$DF771,1)&amp;"","")&amp;"␟"&amp;IFERROR(INDEX(PASTE_ALL,$DF771,2)&amp;"","")&amp;"␟"&amp;IFERROR(INDEX(PASTE_ALL,$DF771,3)&amp;"","")&amp;"␟"&amp;IFERROR(INDEX(PASTE_ALL,$DF771,4)&amp;"","")&amp;"␟"&amp;IFERROR(INDEX(PASTE_ALL,$DF771,5)&amp;"","")&amp;"␟"&amp;IFERROR(INDEX(PASTE_ALL,$DF771,6)&amp;"","")&amp;"␟"&amp;IFERROR(INDEX(PASTE_ALL,$DF771,7)&amp;"","")&amp;"␟"&amp;IFERROR(INDEX(PASTE_ALL,$DF771,8)&amp;"","")&amp;"␟"&amp;IFERROR(INDEX(PASTE_ALL,$DF771,9)&amp;"","")&amp;"␟"&amp;IFERROR(INDEX(PASTE_ALL,$DF771,10)&amp;"","")&amp;"␟"&amp;IFERROR(INDEX(PASTE_ALL,$DF771,11)&amp;"","")&amp;"␟"&amp;IFERROR(INDEX(PASTE_ALL,$DF771,12)&amp;"","")&amp;"␟"&amp;IFERROR(INDEX(PASTE_ALL,$DF771,13)&amp;"","")&amp;"␟"&amp;IFERROR(INDEX(PASTE_ALL,$DF771,14)&amp;"","")&amp;"␟"&amp;IFERROR(INDEX(PASTE_ALL,$DF771,15)&amp;"","")&amp;"␟"&amp;IFERROR(INDEX(PASTE_ALL,$DF771,16)&amp;"","")&amp;"␟"&amp;IFERROR(INDEX(PASTE_ALL,$DF771,17)&amp;"","")&amp;"␟"&amp;IFERROR(INDEX(PASTE_ALL,$DF771,18)&amp;"","")&amp;"␟"&amp;IFERROR(INDEX(PASTE_ALL,$DF771,19)&amp;"","")&amp;"␟"&amp;IFERROR(INDEX(PASTE_ALL,$DF771,20)&amp;"","")&amp;"␟"&amp;IFERROR(INDEX(PASTE_ALL,$DF771,21)&amp;"","")&amp;"␟"&amp;IFERROR(INDEX(PASTE_ALL,$DF771,22)&amp;"","")&amp;"␟"&amp;IFERROR(INDEX(PASTE_ALL,$DF771,23)&amp;"","")&amp;"␟"&amp;IFERROR(INDEX(PASTE_ALL,$DF771,24)&amp;"","")&amp;"␟"&amp;IFERROR(INDEX(PASTE_ALL,$DF771,25)&amp;"","")&amp;"␟"&amp;IFERROR(INDEX(PASTE_ALL,$DF771,26)&amp;"","")&amp;"␟"&amp;IFERROR(INDEX(PASTE_ALL,$DF771,27)&amp;"","")&amp;"␟"&amp;IFERROR(INDEX(PASTE_ALL,$DF771,28)&amp;"","")&amp;"␟"&amp;IFERROR(INDEX(PASTE_ALL,$DF771,29)&amp;"","")&amp;"␟"&amp;IFERROR(INDEX(PASTE_ALL,$DF771,30)&amp;"","")&amp;"␟"&amp;IFERROR(INDEX(PASTE_ALL,$DF771,31)&amp;"","")&amp;"␟"&amp;IFERROR(INDEX(PASTE_ALL,$DF771,32)&amp;"","")&amp;"␟"&amp;IFERROR(INDEX(PASTE_ALL,$DF771,33)&amp;"","")&amp;"␟"&amp;IFERROR(INDEX(PASTE_ALL,$DF771,34)&amp;"","")&amp;"␟"&amp;IFERROR(INDEX(PASTE_ALL,$DF771,35)&amp;"","")&amp;"␟"&amp;IFERROR(INDEX(PASTE_ALL,$DF771,36)&amp;"","")&amp;"␟"&amp;IFERROR(INDEX(PASTE_ALL,$DF771,37)&amp;"","")&amp;"␟"&amp;IFERROR(INDEX(PASTE_ALL,$DF771,38)&amp;"","")&amp;"␟"&amp;IFERROR(INDEX(PASTE_ALL,$DF771,39)&amp;"","")&amp;"␟"&amp;IFERROR(INDEX(PASTE_ALL,$DF771,40)&amp;"","")&amp;"␟"&amp;IFERROR(INDEX(PASTE_ALL,$DF771,41)&amp;"","")&amp;"␟"&amp;IFERROR(INDEX(PASTE_ALL,$DF771,42)&amp;"","")&amp;"␟"&amp;IFERROR(INDEX(PASTE_ALL,$DF771,43)&amp;"","")&amp;"␟"&amp;IFERROR(INDEX(PASTE_ALL,$DF771,44)&amp;"","")&amp;"␟"&amp;IFERROR(INDEX(PASTE_ALL,$DF771,45)&amp;"","")&amp;"␟"&amp;IFERROR(INDEX(PASTE_ALL,$DF771,46)&amp;"","")&amp;"␟"&amp;IFERROR(INDEX(PASTE_ALL,$DF771,47)&amp;"","")&amp;"␟"&amp;IFERROR(INDEX(PASTE_ALL,$DF771,48)&amp;"","")&amp;"␟"&amp;IFERROR(INDEX(PASTE_ALL,$DF771,49)&amp;"","")&amp;"␟"&amp;IFERROR(INDEX(PASTE_ALL,$DF771,50)&amp;"","")&amp;"␟"&amp;IFERROR(INDEX(PASTE_ALL,$DF771,51)&amp;"","")&amp;"␟"&amp;IFERROR(INDEX(PASTE_ALL,$DF771,52)&amp;"","")&amp;"␟"&amp;IFERROR(INDEX(PASTE_ALL,$DF771,53)&amp;"","")&amp;"␟"&amp;IFERROR(INDEX(PASTE_ALL,$DF771,54)&amp;"","")&amp;"␟"&amp;IFERROR(INDEX(PASTE_ALL,$DF771,55)&amp;"","")&amp;"␟"&amp;IFERROR(INDEX(PASTE_ALL,$DF771,56)&amp;"","")&amp;"␟"&amp;IFERROR(INDEX(PASTE_ALL,$DF771,57)&amp;"","")&amp;"␟"&amp;IFERROR(INDEX(PASTE_ALL,$DF771,58)&amp;"","")&amp;"␟"&amp;IFERROR(INDEX(PASTE_ALL,$DF771,59)&amp;"","")&amp;"␟"&amp;IFERROR(INDEX(PASTE_ALL,$DF771,60)&amp;"","")," "," "),CHAR(9)," "),CHAR(10)," "),CHAR(13)," "))," ␟","␟"),"␟ ","␟"),"#"&amp;$DE771),"")</f>
        <v/>
      </c>
      <c r="DJ771">
        <f>IF($DI771="",0,IF(SUMPRODUCT(--EXACT($DI$4:DI770,$DI771))&gt;0,1,0))</f>
        <v/>
      </c>
      <c r="DK771">
        <f>IF(AND($DI771&lt;&gt;"",$DJ771=0),1,0)</f>
        <v/>
      </c>
      <c r="DL771">
        <f>DL770+$DK771</f>
        <v/>
      </c>
      <c r="DM771">
        <f>IF(AND($DK771=1,$DL771&lt;=600),1,0)</f>
        <v/>
      </c>
      <c r="DN771">
        <f>IF($DM771=0,"",IF($L$6=0,"",IFERROR(IF(ISNUMBER(INDEX(PASTE_ALL,$DF771,$L$6)),INDEX(PASTE_ALL,$DF771,$L$6),TRIM(SUBSTITUTE(SUBSTITUTE(SUBSTITUTE(SUBSTITUTE(INDEX(PASTE_ALL,$DF771,$L$6)," "," "),CHAR(9)," "),CHAR(10)," "),CHAR(13)," "))),"")))</f>
        <v/>
      </c>
      <c r="DO771">
        <f>IF($DM771=0,"",IF($L$7=0,"",IFERROR(IF(ISNUMBER(INDEX(PASTE_ALL,$DF771,$L$7)),INDEX(PASTE_ALL,$DF771,$L$7),TRIM(SUBSTITUTE(SUBSTITUTE(SUBSTITUTE(SUBSTITUTE(INDEX(PASTE_ALL,$DF771,$L$7)," "," "),CHAR(9)," "),CHAR(10)," "),CHAR(13)," "))),"")))</f>
        <v/>
      </c>
      <c r="DP771">
        <f>IF($DM771=0,"",IF($L$8=0,"",IFERROR(IF(ISNUMBER(INDEX(PASTE_ALL,$DF771,$L$8)),INDEX(PASTE_ALL,$DF771,$L$8),TRIM(SUBSTITUTE(SUBSTITUTE(SUBSTITUTE(SUBSTITUTE(INDEX(PASTE_ALL,$DF771,$L$8)," "," "),CHAR(9)," "),CHAR(10)," "),CHAR(13)," "))),"")))</f>
        <v/>
      </c>
      <c r="DQ771">
        <f>IF($DM771=0,"",IF($L$9=0,"",IFERROR(IF(ISNUMBER(INDEX(PASTE_ALL,$DF771,$L$9)),INDEX(PASTE_ALL,$DF771,$L$9),TRIM(SUBSTITUTE(SUBSTITUTE(SUBSTITUTE(SUBSTITUTE(INDEX(PASTE_ALL,$DF771,$L$9)," "," "),CHAR(9)," "),CHAR(10)," "),CHAR(13)," "))),"")))</f>
        <v/>
      </c>
      <c r="DR771">
        <f>IF($DM771=0,"",IF($L$10=0,"",IFERROR(IF(ISNUMBER(INDEX(PASTE_ALL,$DF771,$L$10)),INDEX(PASTE_ALL,$DF771,$L$10),TRIM(SUBSTITUTE(SUBSTITUTE(SUBSTITUTE(SUBSTITUTE(INDEX(PASTE_ALL,$DF771,$L$10)," "," "),CHAR(9)," "),CHAR(10)," "),CHAR(13)," "))),"")))</f>
        <v/>
      </c>
      <c r="DS771">
        <f>IF($DM771=0,"",IF($L$11=0,"",IFERROR(IF(ISNUMBER(INDEX(PASTE_ALL,$DF771,$L$11)),INDEX(PASTE_ALL,$DF771,$L$11),TRIM(SUBSTITUTE(SUBSTITUTE(SUBSTITUTE(SUBSTITUTE(INDEX(PASTE_ALL,$DF771,$L$11)," "," "),CHAR(9)," "),CHAR(10)," "),CHAR(13)," "))),"")))</f>
        <v/>
      </c>
      <c r="DT771">
        <f>IF($DM771=0,"",IF($L$12=0,"",IFERROR(IF(ISNUMBER(INDEX(PASTE_ALL,$DF771,$L$12)),INDEX(PASTE_ALL,$DF771,$L$12),TRIM(SUBSTITUTE(SUBSTITUTE(SUBSTITUTE(SUBSTITUTE(INDEX(PASTE_ALL,$DF771,$L$12)," "," "),CHAR(9)," "),CHAR(10)," "),CHAR(13)," "))),"")))</f>
        <v/>
      </c>
      <c r="DU771">
        <f>IF($DM771=0,"",IF($L$13=0,"",IFERROR(IF(ISNUMBER(INDEX(PASTE_ALL,$DF771,$L$13)),INDEX(PASTE_ALL,$DF771,$L$13),TRIM(SUBSTITUTE(SUBSTITUTE(SUBSTITUTE(SUBSTITUTE(INDEX(PASTE_ALL,$DF771,$L$13)," "," "),CHAR(9)," "),CHAR(10)," "),CHAR(13)," "))),"")))</f>
        <v/>
      </c>
      <c r="DV771">
        <f>IF($DM771=0,"",IF($L$14=0,"",IFERROR(IF(ISNUMBER(INDEX(PASTE_ALL,$DF771,$L$14)),INDEX(PASTE_ALL,$DF771,$L$14),TRIM(SUBSTITUTE(SUBSTITUTE(SUBSTITUTE(SUBSTITUTE(INDEX(PASTE_ALL,$DF771,$L$14)," "," "),CHAR(9)," "),CHAR(10)," "),CHAR(13)," "))),"")))</f>
        <v/>
      </c>
      <c r="DW771">
        <f>IF($DM771=0,"",IF($L$15=0,"",IFERROR(IF(ISNUMBER(INDEX(PASTE_ALL,$DF771,$L$15)),INDEX(PASTE_ALL,$DF771,$L$15),IF(SUMPRODUCT(--ISNUMBER(FIND({"A","B","C","D","E","F","G","H","I","J","K","L","M","N","O","P","Q","R","S","T","U","V","W","X","Y","Z","0","1","2","3","4","5","6","7","8","9"},UPPER(TRIM(SUBSTITUTE(SUBSTITUTE(SUBSTITUTE(SUBSTITUTE(INDEX(PASTE_ALL,$DF771,$L$15)," "," "),CHAR(9)," "),CHAR(10)," "),CHAR(13)," "))))))&gt;0,TRIM(SUBSTITUTE(SUBSTITUTE(SUBSTITUTE(SUBSTITUTE(INDEX(PASTE_ALL,$DF771,$L$15)," "," "),CHAR(9)," "),CHAR(10)," "),CHAR(13)," ")),"")),"")))</f>
        <v/>
      </c>
      <c r="DX771">
        <f>IF($DM771=0,"",IF($L$16=0,"",IFERROR(IF(ISNUMBER(INDEX(PASTE_ALL,$DF771,$L$16)),INDEX(PASTE_ALL,$DF771,$L$16),SUBSTITUTE(SUBSTITUTE(TRIM(SUBSTITUTE(SUBSTITUTE(SUBSTITUTE(SUBSTITUTE(INDEX(PASTE_ALL,$DF771,$L$16)," "," "),CHAR(9)," "),CHAR(10)," "),CHAR(13)," ")),",",""),"%","")),"")))</f>
        <v/>
      </c>
      <c r="DY771">
        <f>IF($DM771=0,"",IFERROR(IF(ISNUMBER($DX771),$DX771,IF($DX771="","",IF(TRIM($DX771)="",0,IF(AND(AND(SUBSTITUTE(SUBSTITUTE(SUBSTITUTE(SUBSTITUTE(SUBSTITUTE(SUBSTITUTE(SUBSTITUTE(SUBSTITUTE(SUBSTITUTE(SUBSTITUTE(SUBSTITUTE(SUBSTITUTE(SUBSTITUTE(SUBSTITUTE(UPPER(TRIM($DX771)),"0",""),"1",""),"2",""),"3",""),"4",""),"5",""),"6",""),"7",""),"8",""),"9",""),".",""),"+",""),"-",""),"E","")="",LEN(SUBSTITUTE(SUBSTITUTE(MID(UPPER(TRIM($DX771)),1+OR(LEFT(UPPER(TRIM($DX771)),1)="+",LEFT(UPPER(TRIM($DX771)),1)="-"),999),"E+","E"),"E-","E"))=LEN(SUBSTITUTE(SUBSTITUTE(SUBSTITUTE(SUBSTITUTE(MID(UPPER(TRIM($DX771)),1+OR(LEFT(UPPER(TRIM($DX771)),1)="+",LEFT(UPPER(TRIM($DX771)),1)="-"),999),"E+","E"),"E-","E"),"+",""),"-","")),LEN(UPPER(TRIM($DX771)))-LEN(SUBSTITUTE(UPPER(TRIM($DX771)),"E",""))&lt;2,LEN(UPPER(TRIM($DX771)))-LEN(SUBSTITUTE(UPPER(TRIM($DX771)),".",""))&lt;2,IFERROR(FIND(".",UPPER(TRIM($DX771))),0)&lt;IFERROR(FIND("E",UPPER(TRIM($DX771))),999)),ISNUMBER(VALUE(TRIM($DX771)))),VALUE(TRIM($DX771)),"")))),""))</f>
        <v/>
      </c>
      <c r="DZ771">
        <f>IF($DM771=0,"",IF($L$17=0,"",IFERROR(IF(ISNUMBER(INDEX(PASTE_ALL,$DF771,$L$17)),INDEX(PASTE_ALL,$DF771,$L$17),SUBSTITUTE(SUBSTITUTE(TRIM(SUBSTITUTE(SUBSTITUTE(SUBSTITUTE(SUBSTITUTE(INDEX(PASTE_ALL,$DF771,$L$17)," "," "),CHAR(9)," "),CHAR(10)," "),CHAR(13)," ")),",",""),"%","")),"")))</f>
        <v/>
      </c>
      <c r="EA771">
        <f>IF($DM771=0,"",IFERROR(IF(ISNUMBER($DZ771),$DZ771,IF($DZ771="","",IF(TRIM($DZ771)="",0,IF(AND(AND(SUBSTITUTE(SUBSTITUTE(SUBSTITUTE(SUBSTITUTE(SUBSTITUTE(SUBSTITUTE(SUBSTITUTE(SUBSTITUTE(SUBSTITUTE(SUBSTITUTE(SUBSTITUTE(SUBSTITUTE(SUBSTITUTE(SUBSTITUTE(UPPER(TRIM($DZ771)),"0",""),"1",""),"2",""),"3",""),"4",""),"5",""),"6",""),"7",""),"8",""),"9",""),".",""),"+",""),"-",""),"E","")="",LEN(SUBSTITUTE(SUBSTITUTE(MID(UPPER(TRIM($DZ771)),1+OR(LEFT(UPPER(TRIM($DZ771)),1)="+",LEFT(UPPER(TRIM($DZ771)),1)="-"),999),"E+","E"),"E-","E"))=LEN(SUBSTITUTE(SUBSTITUTE(SUBSTITUTE(SUBSTITUTE(MID(UPPER(TRIM($DZ771)),1+OR(LEFT(UPPER(TRIM($DZ771)),1)="+",LEFT(UPPER(TRIM($DZ771)),1)="-"),999),"E+","E"),"E-","E"),"+",""),"-","")),LEN(UPPER(TRIM($DZ771)))-LEN(SUBSTITUTE(UPPER(TRIM($DZ771)),"E",""))&lt;2,LEN(UPPER(TRIM($DZ771)))-LEN(SUBSTITUTE(UPPER(TRIM($DZ771)),".",""))&lt;2,IFERROR(FIND(".",UPPER(TRIM($DZ771))),0)&lt;IFERROR(FIND("E",UPPER(TRIM($DZ771))),999)),ISNUMBER(VALUE(TRIM($DZ771)))),VALUE(TRIM($DZ771)),"")))),""))</f>
        <v/>
      </c>
      <c r="EB771">
        <f>IF($DM771=0,"",IF($L$18=0,"",IFERROR(IF(UPPER(TRIM(SUBSTITUTE(SUBSTITUTE(SUBSTITUTE(SUBSTITUTE(INDEX(PASTE_ALL,$DF771,$L$18)," "," "),CHAR(9)," "),CHAR(10)," "),CHAR(13)," ")))="READY","Ready",IF(UPPER(TRIM(SUBSTITUTE(SUBSTITUTE(SUBSTITUTE(SUBSTITUTE(INDEX(PASTE_ALL,$DF771,$L$18)," "," "),CHAR(9)," "),CHAR(10)," "),CHAR(13)," ")))="PM","PM",IF(OR(UPPER(TRIM(SUBSTITUTE(SUBSTITUTE(SUBSTITUTE(SUBSTITUTE(INDEX(PASTE_ALL,$DF771,$L$18)," "," "),CHAR(9)," "),CHAR(10)," "),CHAR(13)," ")))="OT",UPPER(TRIM(SUBSTITUTE(SUBSTITUTE(SUBSTITUTE(SUBSTITUTE(INDEX(PASTE_ALL,$DF771,$L$18)," "," "),CHAR(9)," "),CHAR(10)," "),CHAR(13)," ")))="OVERTIME",UPPER(TRIM(SUBSTITUTE(SUBSTITUTE(SUBSTITUTE(SUBSTITUTE(INDEX(PASTE_ALL,$DF771,$L$18)," "," "),CHAR(9)," "),CHAR(10)," "),CHAR(13)," ")))="TRIAL"),"OT",TRIM(SUBSTITUTE(SUBSTITUTE(SUBSTITUTE(SUBSTITUTE(INDEX(PASTE_ALL,$DF771,$L$18)," "," "),CHAR(9)," "),CHAR(10)," "),CHAR(13)," "))))),"")))</f>
        <v/>
      </c>
      <c r="EC771">
        <f>IF($DM771=0,"",IF($L$19=0,"",IFERROR(IF(ISNUMBER(INDEX(PASTE_ALL,$DF771,$L$19)),INDEX(PASTE_ALL,$DF771,$L$19),TRIM(SUBSTITUTE(SUBSTITUTE(SUBSTITUTE(SUBSTITUTE(INDEX(PASTE_ALL,$DF771,$L$19)," "," "),CHAR(9)," "),CHAR(10)," "),CHAR(13)," "))),"")))</f>
        <v/>
      </c>
      <c r="ED771">
        <f>IF($DM771=0,"",MATCH(1,INDEX(EXACT($DH$5:DH771,$DH771)*$DM$5:DM771,0),0))</f>
        <v/>
      </c>
      <c r="EE771">
        <f>IF($DM771=0,0,IF($ED771=$DE771,1,0))</f>
        <v/>
      </c>
      <c r="EF771">
        <f>EF770+$EE771</f>
        <v/>
      </c>
      <c r="EG771">
        <f>IF($DM771=0,"",INDEX($EF$5:$EF$1003,$ED771))</f>
        <v/>
      </c>
      <c r="EH771">
        <f>IF($DM771=0,"",IF($DO771&lt;&gt;"","",IFERROR(LOOKUP(2,1/(($EG$4:EG770=$EG771)*($DO$4:DO770&lt;&gt;"")),$DO$4:DO770),"")))</f>
        <v/>
      </c>
      <c r="EI771">
        <f>IF($DM771=0,"",IF($DO771&lt;&gt;"",$DO771,$EH771))</f>
        <v/>
      </c>
      <c r="EJ771">
        <f>IF($DM771=0,"",IF($EI771="",0,IF(OR(ISNUMBER($EI771),AND(AND(SUBSTITUTE(SUBSTITUTE(SUBSTITUTE(SUBSTITUTE(SUBSTITUTE(SUBSTITUTE(SUBSTITUTE(SUBSTITUTE(SUBSTITUTE(SUBSTITUTE(SUBSTITUTE(SUBSTITUTE(SUBSTITUTE(SUBSTITUTE(UPPER($EI771),"0",""),"1",""),"2",""),"3",""),"4",""),"5",""),"6",""),"7",""),"8",""),"9",""),".",""),"+",""),"-",""),"E","")="",LEN(SUBSTITUTE(SUBSTITUTE(MID(UPPER($EI771),1+OR(LEFT(UPPER($EI771),1)="+",LEFT(UPPER($EI771),1)="-"),999),"E+","E"),"E-","E"))=LEN(SUBSTITUTE(SUBSTITUTE(SUBSTITUTE(SUBSTITUTE(MID(UPPER($EI771),1+OR(LEFT(UPPER($EI771),1)="+",LEFT(UPPER($EI771),1)="-"),999),"E+","E"),"E-","E"),"+",""),"-","")),LEN(UPPER($EI771))-LEN(SUBSTITUTE(UPPER($EI771),"E",""))&lt;2,LEN(UPPER($EI771))-LEN(SUBSTITUTE(UPPER($EI771),".",""))&lt;2,IFERROR(FIND(".",UPPER($EI771)),0)&lt;IFERROR(FIND("E",UPPER($EI771)),999)),ISNUMBER(VALUE($EI771)))),1,2)))</f>
        <v/>
      </c>
      <c r="EK771">
        <f>IF($DM771=0,"",IF($EJ771=1,IF(ISNUMBER($EI771),$EI771,VALUE($EI771)),IF($EJ771=2,$DE771,0)))</f>
        <v/>
      </c>
      <c r="EL771">
        <f>IF($DM771=0,"",COUNTIF($EG$5:$EG$1003,"&lt;"&amp;$EG771)+SUMPRODUCT(($EG$5:$EG$1003=$EG771)*(($EJ$5:$EJ$1003&lt;$EJ771)+($EJ$5:$EJ$1003=$EJ771)*(($EK$5:$EK$1003&lt;$EK771)+($EK$5:$EK$1003=$EK771)*($DE$5:$DE$1003&lt;$DE771))))+1)</f>
        <v/>
      </c>
      <c r="EM771">
        <f>IF($DM771=0,"",$EL771+$EG771-1)</f>
        <v/>
      </c>
      <c r="EN771">
        <f>IF($DM771=0,0,IFERROR(MATCH(1,INDEX(--(TRIM(SUBSTITUTE(SUBSTITUTE(SUBSTITUTE(SUBSTITUTE(LINES_NAME&amp;""," "," "),CHAR(9)," "),CHAR(10)," "),CHAR(13)," "))=$DH771),0),0),0))</f>
        <v/>
      </c>
      <c r="EO771">
        <f>IF($EN771=0,0,IF(OR(UPPER(TRIM(INDEX(LINES_SCHEDULED,$EN771)&amp;""))="YES",UPPER(TRIM(INDEX(LINES_SCHEDULED,$EN771)&amp;""))="Y",UPPER(TRIM(INDEX(LINES_SCHEDULED,$EN771)&amp;""))="X"),1,0))</f>
        <v/>
      </c>
      <c r="EP771">
        <f>IF($DM771=0,"",IF(COUNTIFS($EG$5:$EG$1003,$EG771,$EB$5:$EB$1003,"Ready")&gt;0,"READY",IF(COUNTIFS($EG$5:$EG$1003,$EG771,$EB$5:$EB$1003,"PM")&gt;0,"PM",IF(COUNTIFS($EG$5:$EG$1003,$EG771,$EB$5:$EB$1003,"OT")&gt;0,"OT",""))))</f>
        <v/>
      </c>
      <c r="EQ771">
        <f>IF($EN771=0,"",UPPER(TRIM(INDEX(LINES_STATUS,$EN771)&amp;"")))</f>
        <v/>
      </c>
      <c r="ER771">
        <f>IF($DM771=0,"",IF(OR($EQ771="READY",$EQ771="PM",$EQ771="OT"),$EQ771,$EP771))</f>
        <v/>
      </c>
      <c r="ES771">
        <f>IF($DM771=0,"",IF(AND($DV771&lt;&gt;"",UPPER($DV771)&lt;&gt;"N"),"allergen",IF(ISNUMBER(SEARCH("oil",$DQ771)),"oil",IF(OR(EXACT($DS771,"A662"),EXACT($DS771,"A624")),"bulk",""))))</f>
        <v/>
      </c>
      <c r="ET771">
        <f>IF($DM771=0,"",IF(OR($EA771="",$EA771=0),"",$EA771/100))</f>
        <v/>
      </c>
      <c r="EU771">
        <f>IF(OR($ET771="",$DY771=""),"",INT($DY771*(1-$ET771)+0.5))</f>
        <v/>
      </c>
    </row>
    <row r="772">
      <c r="DA772" t="n">
        <v>768</v>
      </c>
      <c r="DB772">
        <f>IF($B$37=0,"",IFERROR(TRIM(SUBSTITUTE(SUBSTITUTE(SUBSTITUTE(SUBSTITUTE(INDEX(PASTE_ALL,768,$B$37)," "," "),CHAR(9)," "),CHAR(10)," "),CHAR(13)," ")),""))</f>
        <v/>
      </c>
      <c r="DC772">
        <f>IF(AND(768&gt;HEADER_ROW,UPPER(DB772)="LEGEND"),1,0)</f>
        <v/>
      </c>
      <c r="DE772" t="n">
        <v>768</v>
      </c>
      <c r="DF772">
        <f>HEADER_ROW+$DE772</f>
        <v/>
      </c>
      <c r="DG772">
        <f>IF(AND($DF772&lt;=1000,$DF772&lt;$B$8),1,0)</f>
        <v/>
      </c>
      <c r="DH772">
        <f>IF($DG772=1,IFERROR(INDEX($DB$5:$DB$1004,$DF772),""),"")</f>
        <v/>
      </c>
      <c r="DI772">
        <f>IF(AND($DG772=1,$DH772&lt;&gt;""),IFERROR(SUBSTITUTE(SUBSTITUTE(TRIM(SUBSTITUTE(SUBSTITUTE(SUBSTITUTE(SUBSTITUTE(IFERROR(INDEX(PASTE_ALL,$DF772,1)&amp;"","")&amp;"␟"&amp;IFERROR(INDEX(PASTE_ALL,$DF772,2)&amp;"","")&amp;"␟"&amp;IFERROR(INDEX(PASTE_ALL,$DF772,3)&amp;"","")&amp;"␟"&amp;IFERROR(INDEX(PASTE_ALL,$DF772,4)&amp;"","")&amp;"␟"&amp;IFERROR(INDEX(PASTE_ALL,$DF772,5)&amp;"","")&amp;"␟"&amp;IFERROR(INDEX(PASTE_ALL,$DF772,6)&amp;"","")&amp;"␟"&amp;IFERROR(INDEX(PASTE_ALL,$DF772,7)&amp;"","")&amp;"␟"&amp;IFERROR(INDEX(PASTE_ALL,$DF772,8)&amp;"","")&amp;"␟"&amp;IFERROR(INDEX(PASTE_ALL,$DF772,9)&amp;"","")&amp;"␟"&amp;IFERROR(INDEX(PASTE_ALL,$DF772,10)&amp;"","")&amp;"␟"&amp;IFERROR(INDEX(PASTE_ALL,$DF772,11)&amp;"","")&amp;"␟"&amp;IFERROR(INDEX(PASTE_ALL,$DF772,12)&amp;"","")&amp;"␟"&amp;IFERROR(INDEX(PASTE_ALL,$DF772,13)&amp;"","")&amp;"␟"&amp;IFERROR(INDEX(PASTE_ALL,$DF772,14)&amp;"","")&amp;"␟"&amp;IFERROR(INDEX(PASTE_ALL,$DF772,15)&amp;"","")&amp;"␟"&amp;IFERROR(INDEX(PASTE_ALL,$DF772,16)&amp;"","")&amp;"␟"&amp;IFERROR(INDEX(PASTE_ALL,$DF772,17)&amp;"","")&amp;"␟"&amp;IFERROR(INDEX(PASTE_ALL,$DF772,18)&amp;"","")&amp;"␟"&amp;IFERROR(INDEX(PASTE_ALL,$DF772,19)&amp;"","")&amp;"␟"&amp;IFERROR(INDEX(PASTE_ALL,$DF772,20)&amp;"","")&amp;"␟"&amp;IFERROR(INDEX(PASTE_ALL,$DF772,21)&amp;"","")&amp;"␟"&amp;IFERROR(INDEX(PASTE_ALL,$DF772,22)&amp;"","")&amp;"␟"&amp;IFERROR(INDEX(PASTE_ALL,$DF772,23)&amp;"","")&amp;"␟"&amp;IFERROR(INDEX(PASTE_ALL,$DF772,24)&amp;"","")&amp;"␟"&amp;IFERROR(INDEX(PASTE_ALL,$DF772,25)&amp;"","")&amp;"␟"&amp;IFERROR(INDEX(PASTE_ALL,$DF772,26)&amp;"","")&amp;"␟"&amp;IFERROR(INDEX(PASTE_ALL,$DF772,27)&amp;"","")&amp;"␟"&amp;IFERROR(INDEX(PASTE_ALL,$DF772,28)&amp;"","")&amp;"␟"&amp;IFERROR(INDEX(PASTE_ALL,$DF772,29)&amp;"","")&amp;"␟"&amp;IFERROR(INDEX(PASTE_ALL,$DF772,30)&amp;"","")&amp;"␟"&amp;IFERROR(INDEX(PASTE_ALL,$DF772,31)&amp;"","")&amp;"␟"&amp;IFERROR(INDEX(PASTE_ALL,$DF772,32)&amp;"","")&amp;"␟"&amp;IFERROR(INDEX(PASTE_ALL,$DF772,33)&amp;"","")&amp;"␟"&amp;IFERROR(INDEX(PASTE_ALL,$DF772,34)&amp;"","")&amp;"␟"&amp;IFERROR(INDEX(PASTE_ALL,$DF772,35)&amp;"","")&amp;"␟"&amp;IFERROR(INDEX(PASTE_ALL,$DF772,36)&amp;"","")&amp;"␟"&amp;IFERROR(INDEX(PASTE_ALL,$DF772,37)&amp;"","")&amp;"␟"&amp;IFERROR(INDEX(PASTE_ALL,$DF772,38)&amp;"","")&amp;"␟"&amp;IFERROR(INDEX(PASTE_ALL,$DF772,39)&amp;"","")&amp;"␟"&amp;IFERROR(INDEX(PASTE_ALL,$DF772,40)&amp;"","")&amp;"␟"&amp;IFERROR(INDEX(PASTE_ALL,$DF772,41)&amp;"","")&amp;"␟"&amp;IFERROR(INDEX(PASTE_ALL,$DF772,42)&amp;"","")&amp;"␟"&amp;IFERROR(INDEX(PASTE_ALL,$DF772,43)&amp;"","")&amp;"␟"&amp;IFERROR(INDEX(PASTE_ALL,$DF772,44)&amp;"","")&amp;"␟"&amp;IFERROR(INDEX(PASTE_ALL,$DF772,45)&amp;"","")&amp;"␟"&amp;IFERROR(INDEX(PASTE_ALL,$DF772,46)&amp;"","")&amp;"␟"&amp;IFERROR(INDEX(PASTE_ALL,$DF772,47)&amp;"","")&amp;"␟"&amp;IFERROR(INDEX(PASTE_ALL,$DF772,48)&amp;"","")&amp;"␟"&amp;IFERROR(INDEX(PASTE_ALL,$DF772,49)&amp;"","")&amp;"␟"&amp;IFERROR(INDEX(PASTE_ALL,$DF772,50)&amp;"","")&amp;"␟"&amp;IFERROR(INDEX(PASTE_ALL,$DF772,51)&amp;"","")&amp;"␟"&amp;IFERROR(INDEX(PASTE_ALL,$DF772,52)&amp;"","")&amp;"␟"&amp;IFERROR(INDEX(PASTE_ALL,$DF772,53)&amp;"","")&amp;"␟"&amp;IFERROR(INDEX(PASTE_ALL,$DF772,54)&amp;"","")&amp;"␟"&amp;IFERROR(INDEX(PASTE_ALL,$DF772,55)&amp;"","")&amp;"␟"&amp;IFERROR(INDEX(PASTE_ALL,$DF772,56)&amp;"","")&amp;"␟"&amp;IFERROR(INDEX(PASTE_ALL,$DF772,57)&amp;"","")&amp;"␟"&amp;IFERROR(INDEX(PASTE_ALL,$DF772,58)&amp;"","")&amp;"␟"&amp;IFERROR(INDEX(PASTE_ALL,$DF772,59)&amp;"","")&amp;"␟"&amp;IFERROR(INDEX(PASTE_ALL,$DF772,60)&amp;"","")," "," "),CHAR(9)," "),CHAR(10)," "),CHAR(13)," "))," ␟","␟"),"␟ ","␟"),"#"&amp;$DE772),"")</f>
        <v/>
      </c>
      <c r="DJ772">
        <f>IF($DI772="",0,IF(SUMPRODUCT(--EXACT($DI$4:DI771,$DI772))&gt;0,1,0))</f>
        <v/>
      </c>
      <c r="DK772">
        <f>IF(AND($DI772&lt;&gt;"",$DJ772=0),1,0)</f>
        <v/>
      </c>
      <c r="DL772">
        <f>DL771+$DK772</f>
        <v/>
      </c>
      <c r="DM772">
        <f>IF(AND($DK772=1,$DL772&lt;=600),1,0)</f>
        <v/>
      </c>
      <c r="DN772">
        <f>IF($DM772=0,"",IF($L$6=0,"",IFERROR(IF(ISNUMBER(INDEX(PASTE_ALL,$DF772,$L$6)),INDEX(PASTE_ALL,$DF772,$L$6),TRIM(SUBSTITUTE(SUBSTITUTE(SUBSTITUTE(SUBSTITUTE(INDEX(PASTE_ALL,$DF772,$L$6)," "," "),CHAR(9)," "),CHAR(10)," "),CHAR(13)," "))),"")))</f>
        <v/>
      </c>
      <c r="DO772">
        <f>IF($DM772=0,"",IF($L$7=0,"",IFERROR(IF(ISNUMBER(INDEX(PASTE_ALL,$DF772,$L$7)),INDEX(PASTE_ALL,$DF772,$L$7),TRIM(SUBSTITUTE(SUBSTITUTE(SUBSTITUTE(SUBSTITUTE(INDEX(PASTE_ALL,$DF772,$L$7)," "," "),CHAR(9)," "),CHAR(10)," "),CHAR(13)," "))),"")))</f>
        <v/>
      </c>
      <c r="DP772">
        <f>IF($DM772=0,"",IF($L$8=0,"",IFERROR(IF(ISNUMBER(INDEX(PASTE_ALL,$DF772,$L$8)),INDEX(PASTE_ALL,$DF772,$L$8),TRIM(SUBSTITUTE(SUBSTITUTE(SUBSTITUTE(SUBSTITUTE(INDEX(PASTE_ALL,$DF772,$L$8)," "," "),CHAR(9)," "),CHAR(10)," "),CHAR(13)," "))),"")))</f>
        <v/>
      </c>
      <c r="DQ772">
        <f>IF($DM772=0,"",IF($L$9=0,"",IFERROR(IF(ISNUMBER(INDEX(PASTE_ALL,$DF772,$L$9)),INDEX(PASTE_ALL,$DF772,$L$9),TRIM(SUBSTITUTE(SUBSTITUTE(SUBSTITUTE(SUBSTITUTE(INDEX(PASTE_ALL,$DF772,$L$9)," "," "),CHAR(9)," "),CHAR(10)," "),CHAR(13)," "))),"")))</f>
        <v/>
      </c>
      <c r="DR772">
        <f>IF($DM772=0,"",IF($L$10=0,"",IFERROR(IF(ISNUMBER(INDEX(PASTE_ALL,$DF772,$L$10)),INDEX(PASTE_ALL,$DF772,$L$10),TRIM(SUBSTITUTE(SUBSTITUTE(SUBSTITUTE(SUBSTITUTE(INDEX(PASTE_ALL,$DF772,$L$10)," "," "),CHAR(9)," "),CHAR(10)," "),CHAR(13)," "))),"")))</f>
        <v/>
      </c>
      <c r="DS772">
        <f>IF($DM772=0,"",IF($L$11=0,"",IFERROR(IF(ISNUMBER(INDEX(PASTE_ALL,$DF772,$L$11)),INDEX(PASTE_ALL,$DF772,$L$11),TRIM(SUBSTITUTE(SUBSTITUTE(SUBSTITUTE(SUBSTITUTE(INDEX(PASTE_ALL,$DF772,$L$11)," "," "),CHAR(9)," "),CHAR(10)," "),CHAR(13)," "))),"")))</f>
        <v/>
      </c>
      <c r="DT772">
        <f>IF($DM772=0,"",IF($L$12=0,"",IFERROR(IF(ISNUMBER(INDEX(PASTE_ALL,$DF772,$L$12)),INDEX(PASTE_ALL,$DF772,$L$12),TRIM(SUBSTITUTE(SUBSTITUTE(SUBSTITUTE(SUBSTITUTE(INDEX(PASTE_ALL,$DF772,$L$12)," "," "),CHAR(9)," "),CHAR(10)," "),CHAR(13)," "))),"")))</f>
        <v/>
      </c>
      <c r="DU772">
        <f>IF($DM772=0,"",IF($L$13=0,"",IFERROR(IF(ISNUMBER(INDEX(PASTE_ALL,$DF772,$L$13)),INDEX(PASTE_ALL,$DF772,$L$13),TRIM(SUBSTITUTE(SUBSTITUTE(SUBSTITUTE(SUBSTITUTE(INDEX(PASTE_ALL,$DF772,$L$13)," "," "),CHAR(9)," "),CHAR(10)," "),CHAR(13)," "))),"")))</f>
        <v/>
      </c>
      <c r="DV772">
        <f>IF($DM772=0,"",IF($L$14=0,"",IFERROR(IF(ISNUMBER(INDEX(PASTE_ALL,$DF772,$L$14)),INDEX(PASTE_ALL,$DF772,$L$14),TRIM(SUBSTITUTE(SUBSTITUTE(SUBSTITUTE(SUBSTITUTE(INDEX(PASTE_ALL,$DF772,$L$14)," "," "),CHAR(9)," "),CHAR(10)," "),CHAR(13)," "))),"")))</f>
        <v/>
      </c>
      <c r="DW772">
        <f>IF($DM772=0,"",IF($L$15=0,"",IFERROR(IF(ISNUMBER(INDEX(PASTE_ALL,$DF772,$L$15)),INDEX(PASTE_ALL,$DF772,$L$15),IF(SUMPRODUCT(--ISNUMBER(FIND({"A","B","C","D","E","F","G","H","I","J","K","L","M","N","O","P","Q","R","S","T","U","V","W","X","Y","Z","0","1","2","3","4","5","6","7","8","9"},UPPER(TRIM(SUBSTITUTE(SUBSTITUTE(SUBSTITUTE(SUBSTITUTE(INDEX(PASTE_ALL,$DF772,$L$15)," "," "),CHAR(9)," "),CHAR(10)," "),CHAR(13)," "))))))&gt;0,TRIM(SUBSTITUTE(SUBSTITUTE(SUBSTITUTE(SUBSTITUTE(INDEX(PASTE_ALL,$DF772,$L$15)," "," "),CHAR(9)," "),CHAR(10)," "),CHAR(13)," ")),"")),"")))</f>
        <v/>
      </c>
      <c r="DX772">
        <f>IF($DM772=0,"",IF($L$16=0,"",IFERROR(IF(ISNUMBER(INDEX(PASTE_ALL,$DF772,$L$16)),INDEX(PASTE_ALL,$DF772,$L$16),SUBSTITUTE(SUBSTITUTE(TRIM(SUBSTITUTE(SUBSTITUTE(SUBSTITUTE(SUBSTITUTE(INDEX(PASTE_ALL,$DF772,$L$16)," "," "),CHAR(9)," "),CHAR(10)," "),CHAR(13)," ")),",",""),"%","")),"")))</f>
        <v/>
      </c>
      <c r="DY772">
        <f>IF($DM772=0,"",IFERROR(IF(ISNUMBER($DX772),$DX772,IF($DX772="","",IF(TRIM($DX772)="",0,IF(AND(AND(SUBSTITUTE(SUBSTITUTE(SUBSTITUTE(SUBSTITUTE(SUBSTITUTE(SUBSTITUTE(SUBSTITUTE(SUBSTITUTE(SUBSTITUTE(SUBSTITUTE(SUBSTITUTE(SUBSTITUTE(SUBSTITUTE(SUBSTITUTE(UPPER(TRIM($DX772)),"0",""),"1",""),"2",""),"3",""),"4",""),"5",""),"6",""),"7",""),"8",""),"9",""),".",""),"+",""),"-",""),"E","")="",LEN(SUBSTITUTE(SUBSTITUTE(MID(UPPER(TRIM($DX772)),1+OR(LEFT(UPPER(TRIM($DX772)),1)="+",LEFT(UPPER(TRIM($DX772)),1)="-"),999),"E+","E"),"E-","E"))=LEN(SUBSTITUTE(SUBSTITUTE(SUBSTITUTE(SUBSTITUTE(MID(UPPER(TRIM($DX772)),1+OR(LEFT(UPPER(TRIM($DX772)),1)="+",LEFT(UPPER(TRIM($DX772)),1)="-"),999),"E+","E"),"E-","E"),"+",""),"-","")),LEN(UPPER(TRIM($DX772)))-LEN(SUBSTITUTE(UPPER(TRIM($DX772)),"E",""))&lt;2,LEN(UPPER(TRIM($DX772)))-LEN(SUBSTITUTE(UPPER(TRIM($DX772)),".",""))&lt;2,IFERROR(FIND(".",UPPER(TRIM($DX772))),0)&lt;IFERROR(FIND("E",UPPER(TRIM($DX772))),999)),ISNUMBER(VALUE(TRIM($DX772)))),VALUE(TRIM($DX772)),"")))),""))</f>
        <v/>
      </c>
      <c r="DZ772">
        <f>IF($DM772=0,"",IF($L$17=0,"",IFERROR(IF(ISNUMBER(INDEX(PASTE_ALL,$DF772,$L$17)),INDEX(PASTE_ALL,$DF772,$L$17),SUBSTITUTE(SUBSTITUTE(TRIM(SUBSTITUTE(SUBSTITUTE(SUBSTITUTE(SUBSTITUTE(INDEX(PASTE_ALL,$DF772,$L$17)," "," "),CHAR(9)," "),CHAR(10)," "),CHAR(13)," ")),",",""),"%","")),"")))</f>
        <v/>
      </c>
      <c r="EA772">
        <f>IF($DM772=0,"",IFERROR(IF(ISNUMBER($DZ772),$DZ772,IF($DZ772="","",IF(TRIM($DZ772)="",0,IF(AND(AND(SUBSTITUTE(SUBSTITUTE(SUBSTITUTE(SUBSTITUTE(SUBSTITUTE(SUBSTITUTE(SUBSTITUTE(SUBSTITUTE(SUBSTITUTE(SUBSTITUTE(SUBSTITUTE(SUBSTITUTE(SUBSTITUTE(SUBSTITUTE(UPPER(TRIM($DZ772)),"0",""),"1",""),"2",""),"3",""),"4",""),"5",""),"6",""),"7",""),"8",""),"9",""),".",""),"+",""),"-",""),"E","")="",LEN(SUBSTITUTE(SUBSTITUTE(MID(UPPER(TRIM($DZ772)),1+OR(LEFT(UPPER(TRIM($DZ772)),1)="+",LEFT(UPPER(TRIM($DZ772)),1)="-"),999),"E+","E"),"E-","E"))=LEN(SUBSTITUTE(SUBSTITUTE(SUBSTITUTE(SUBSTITUTE(MID(UPPER(TRIM($DZ772)),1+OR(LEFT(UPPER(TRIM($DZ772)),1)="+",LEFT(UPPER(TRIM($DZ772)),1)="-"),999),"E+","E"),"E-","E"),"+",""),"-","")),LEN(UPPER(TRIM($DZ772)))-LEN(SUBSTITUTE(UPPER(TRIM($DZ772)),"E",""))&lt;2,LEN(UPPER(TRIM($DZ772)))-LEN(SUBSTITUTE(UPPER(TRIM($DZ772)),".",""))&lt;2,IFERROR(FIND(".",UPPER(TRIM($DZ772))),0)&lt;IFERROR(FIND("E",UPPER(TRIM($DZ772))),999)),ISNUMBER(VALUE(TRIM($DZ772)))),VALUE(TRIM($DZ772)),"")))),""))</f>
        <v/>
      </c>
      <c r="EB772">
        <f>IF($DM772=0,"",IF($L$18=0,"",IFERROR(IF(UPPER(TRIM(SUBSTITUTE(SUBSTITUTE(SUBSTITUTE(SUBSTITUTE(INDEX(PASTE_ALL,$DF772,$L$18)," "," "),CHAR(9)," "),CHAR(10)," "),CHAR(13)," ")))="READY","Ready",IF(UPPER(TRIM(SUBSTITUTE(SUBSTITUTE(SUBSTITUTE(SUBSTITUTE(INDEX(PASTE_ALL,$DF772,$L$18)," "," "),CHAR(9)," "),CHAR(10)," "),CHAR(13)," ")))="PM","PM",IF(OR(UPPER(TRIM(SUBSTITUTE(SUBSTITUTE(SUBSTITUTE(SUBSTITUTE(INDEX(PASTE_ALL,$DF772,$L$18)," "," "),CHAR(9)," "),CHAR(10)," "),CHAR(13)," ")))="OT",UPPER(TRIM(SUBSTITUTE(SUBSTITUTE(SUBSTITUTE(SUBSTITUTE(INDEX(PASTE_ALL,$DF772,$L$18)," "," "),CHAR(9)," "),CHAR(10)," "),CHAR(13)," ")))="OVERTIME",UPPER(TRIM(SUBSTITUTE(SUBSTITUTE(SUBSTITUTE(SUBSTITUTE(INDEX(PASTE_ALL,$DF772,$L$18)," "," "),CHAR(9)," "),CHAR(10)," "),CHAR(13)," ")))="TRIAL"),"OT",TRIM(SUBSTITUTE(SUBSTITUTE(SUBSTITUTE(SUBSTITUTE(INDEX(PASTE_ALL,$DF772,$L$18)," "," "),CHAR(9)," "),CHAR(10)," "),CHAR(13)," "))))),"")))</f>
        <v/>
      </c>
      <c r="EC772">
        <f>IF($DM772=0,"",IF($L$19=0,"",IFERROR(IF(ISNUMBER(INDEX(PASTE_ALL,$DF772,$L$19)),INDEX(PASTE_ALL,$DF772,$L$19),TRIM(SUBSTITUTE(SUBSTITUTE(SUBSTITUTE(SUBSTITUTE(INDEX(PASTE_ALL,$DF772,$L$19)," "," "),CHAR(9)," "),CHAR(10)," "),CHAR(13)," "))),"")))</f>
        <v/>
      </c>
      <c r="ED772">
        <f>IF($DM772=0,"",MATCH(1,INDEX(EXACT($DH$5:DH772,$DH772)*$DM$5:DM772,0),0))</f>
        <v/>
      </c>
      <c r="EE772">
        <f>IF($DM772=0,0,IF($ED772=$DE772,1,0))</f>
        <v/>
      </c>
      <c r="EF772">
        <f>EF771+$EE772</f>
        <v/>
      </c>
      <c r="EG772">
        <f>IF($DM772=0,"",INDEX($EF$5:$EF$1003,$ED772))</f>
        <v/>
      </c>
      <c r="EH772">
        <f>IF($DM772=0,"",IF($DO772&lt;&gt;"","",IFERROR(LOOKUP(2,1/(($EG$4:EG771=$EG772)*($DO$4:DO771&lt;&gt;"")),$DO$4:DO771),"")))</f>
        <v/>
      </c>
      <c r="EI772">
        <f>IF($DM772=0,"",IF($DO772&lt;&gt;"",$DO772,$EH772))</f>
        <v/>
      </c>
      <c r="EJ772">
        <f>IF($DM772=0,"",IF($EI772="",0,IF(OR(ISNUMBER($EI772),AND(AND(SUBSTITUTE(SUBSTITUTE(SUBSTITUTE(SUBSTITUTE(SUBSTITUTE(SUBSTITUTE(SUBSTITUTE(SUBSTITUTE(SUBSTITUTE(SUBSTITUTE(SUBSTITUTE(SUBSTITUTE(SUBSTITUTE(SUBSTITUTE(UPPER($EI772),"0",""),"1",""),"2",""),"3",""),"4",""),"5",""),"6",""),"7",""),"8",""),"9",""),".",""),"+",""),"-",""),"E","")="",LEN(SUBSTITUTE(SUBSTITUTE(MID(UPPER($EI772),1+OR(LEFT(UPPER($EI772),1)="+",LEFT(UPPER($EI772),1)="-"),999),"E+","E"),"E-","E"))=LEN(SUBSTITUTE(SUBSTITUTE(SUBSTITUTE(SUBSTITUTE(MID(UPPER($EI772),1+OR(LEFT(UPPER($EI772),1)="+",LEFT(UPPER($EI772),1)="-"),999),"E+","E"),"E-","E"),"+",""),"-","")),LEN(UPPER($EI772))-LEN(SUBSTITUTE(UPPER($EI772),"E",""))&lt;2,LEN(UPPER($EI772))-LEN(SUBSTITUTE(UPPER($EI772),".",""))&lt;2,IFERROR(FIND(".",UPPER($EI772)),0)&lt;IFERROR(FIND("E",UPPER($EI772)),999)),ISNUMBER(VALUE($EI772)))),1,2)))</f>
        <v/>
      </c>
      <c r="EK772">
        <f>IF($DM772=0,"",IF($EJ772=1,IF(ISNUMBER($EI772),$EI772,VALUE($EI772)),IF($EJ772=2,$DE772,0)))</f>
        <v/>
      </c>
      <c r="EL772">
        <f>IF($DM772=0,"",COUNTIF($EG$5:$EG$1003,"&lt;"&amp;$EG772)+SUMPRODUCT(($EG$5:$EG$1003=$EG772)*(($EJ$5:$EJ$1003&lt;$EJ772)+($EJ$5:$EJ$1003=$EJ772)*(($EK$5:$EK$1003&lt;$EK772)+($EK$5:$EK$1003=$EK772)*($DE$5:$DE$1003&lt;$DE772))))+1)</f>
        <v/>
      </c>
      <c r="EM772">
        <f>IF($DM772=0,"",$EL772+$EG772-1)</f>
        <v/>
      </c>
      <c r="EN772">
        <f>IF($DM772=0,0,IFERROR(MATCH(1,INDEX(--(TRIM(SUBSTITUTE(SUBSTITUTE(SUBSTITUTE(SUBSTITUTE(LINES_NAME&amp;""," "," "),CHAR(9)," "),CHAR(10)," "),CHAR(13)," "))=$DH772),0),0),0))</f>
        <v/>
      </c>
      <c r="EO772">
        <f>IF($EN772=0,0,IF(OR(UPPER(TRIM(INDEX(LINES_SCHEDULED,$EN772)&amp;""))="YES",UPPER(TRIM(INDEX(LINES_SCHEDULED,$EN772)&amp;""))="Y",UPPER(TRIM(INDEX(LINES_SCHEDULED,$EN772)&amp;""))="X"),1,0))</f>
        <v/>
      </c>
      <c r="EP772">
        <f>IF($DM772=0,"",IF(COUNTIFS($EG$5:$EG$1003,$EG772,$EB$5:$EB$1003,"Ready")&gt;0,"READY",IF(COUNTIFS($EG$5:$EG$1003,$EG772,$EB$5:$EB$1003,"PM")&gt;0,"PM",IF(COUNTIFS($EG$5:$EG$1003,$EG772,$EB$5:$EB$1003,"OT")&gt;0,"OT",""))))</f>
        <v/>
      </c>
      <c r="EQ772">
        <f>IF($EN772=0,"",UPPER(TRIM(INDEX(LINES_STATUS,$EN772)&amp;"")))</f>
        <v/>
      </c>
      <c r="ER772">
        <f>IF($DM772=0,"",IF(OR($EQ772="READY",$EQ772="PM",$EQ772="OT"),$EQ772,$EP772))</f>
        <v/>
      </c>
      <c r="ES772">
        <f>IF($DM772=0,"",IF(AND($DV772&lt;&gt;"",UPPER($DV772)&lt;&gt;"N"),"allergen",IF(ISNUMBER(SEARCH("oil",$DQ772)),"oil",IF(OR(EXACT($DS772,"A662"),EXACT($DS772,"A624")),"bulk",""))))</f>
        <v/>
      </c>
      <c r="ET772">
        <f>IF($DM772=0,"",IF(OR($EA772="",$EA772=0),"",$EA772/100))</f>
        <v/>
      </c>
      <c r="EU772">
        <f>IF(OR($ET772="",$DY772=""),"",INT($DY772*(1-$ET772)+0.5))</f>
        <v/>
      </c>
    </row>
    <row r="773">
      <c r="DA773" t="n">
        <v>769</v>
      </c>
      <c r="DB773">
        <f>IF($B$37=0,"",IFERROR(TRIM(SUBSTITUTE(SUBSTITUTE(SUBSTITUTE(SUBSTITUTE(INDEX(PASTE_ALL,769,$B$37)," "," "),CHAR(9)," "),CHAR(10)," "),CHAR(13)," ")),""))</f>
        <v/>
      </c>
      <c r="DC773">
        <f>IF(AND(769&gt;HEADER_ROW,UPPER(DB773)="LEGEND"),1,0)</f>
        <v/>
      </c>
      <c r="DE773" t="n">
        <v>769</v>
      </c>
      <c r="DF773">
        <f>HEADER_ROW+$DE773</f>
        <v/>
      </c>
      <c r="DG773">
        <f>IF(AND($DF773&lt;=1000,$DF773&lt;$B$8),1,0)</f>
        <v/>
      </c>
      <c r="DH773">
        <f>IF($DG773=1,IFERROR(INDEX($DB$5:$DB$1004,$DF773),""),"")</f>
        <v/>
      </c>
      <c r="DI773">
        <f>IF(AND($DG773=1,$DH773&lt;&gt;""),IFERROR(SUBSTITUTE(SUBSTITUTE(TRIM(SUBSTITUTE(SUBSTITUTE(SUBSTITUTE(SUBSTITUTE(IFERROR(INDEX(PASTE_ALL,$DF773,1)&amp;"","")&amp;"␟"&amp;IFERROR(INDEX(PASTE_ALL,$DF773,2)&amp;"","")&amp;"␟"&amp;IFERROR(INDEX(PASTE_ALL,$DF773,3)&amp;"","")&amp;"␟"&amp;IFERROR(INDEX(PASTE_ALL,$DF773,4)&amp;"","")&amp;"␟"&amp;IFERROR(INDEX(PASTE_ALL,$DF773,5)&amp;"","")&amp;"␟"&amp;IFERROR(INDEX(PASTE_ALL,$DF773,6)&amp;"","")&amp;"␟"&amp;IFERROR(INDEX(PASTE_ALL,$DF773,7)&amp;"","")&amp;"␟"&amp;IFERROR(INDEX(PASTE_ALL,$DF773,8)&amp;"","")&amp;"␟"&amp;IFERROR(INDEX(PASTE_ALL,$DF773,9)&amp;"","")&amp;"␟"&amp;IFERROR(INDEX(PASTE_ALL,$DF773,10)&amp;"","")&amp;"␟"&amp;IFERROR(INDEX(PASTE_ALL,$DF773,11)&amp;"","")&amp;"␟"&amp;IFERROR(INDEX(PASTE_ALL,$DF773,12)&amp;"","")&amp;"␟"&amp;IFERROR(INDEX(PASTE_ALL,$DF773,13)&amp;"","")&amp;"␟"&amp;IFERROR(INDEX(PASTE_ALL,$DF773,14)&amp;"","")&amp;"␟"&amp;IFERROR(INDEX(PASTE_ALL,$DF773,15)&amp;"","")&amp;"␟"&amp;IFERROR(INDEX(PASTE_ALL,$DF773,16)&amp;"","")&amp;"␟"&amp;IFERROR(INDEX(PASTE_ALL,$DF773,17)&amp;"","")&amp;"␟"&amp;IFERROR(INDEX(PASTE_ALL,$DF773,18)&amp;"","")&amp;"␟"&amp;IFERROR(INDEX(PASTE_ALL,$DF773,19)&amp;"","")&amp;"␟"&amp;IFERROR(INDEX(PASTE_ALL,$DF773,20)&amp;"","")&amp;"␟"&amp;IFERROR(INDEX(PASTE_ALL,$DF773,21)&amp;"","")&amp;"␟"&amp;IFERROR(INDEX(PASTE_ALL,$DF773,22)&amp;"","")&amp;"␟"&amp;IFERROR(INDEX(PASTE_ALL,$DF773,23)&amp;"","")&amp;"␟"&amp;IFERROR(INDEX(PASTE_ALL,$DF773,24)&amp;"","")&amp;"␟"&amp;IFERROR(INDEX(PASTE_ALL,$DF773,25)&amp;"","")&amp;"␟"&amp;IFERROR(INDEX(PASTE_ALL,$DF773,26)&amp;"","")&amp;"␟"&amp;IFERROR(INDEX(PASTE_ALL,$DF773,27)&amp;"","")&amp;"␟"&amp;IFERROR(INDEX(PASTE_ALL,$DF773,28)&amp;"","")&amp;"␟"&amp;IFERROR(INDEX(PASTE_ALL,$DF773,29)&amp;"","")&amp;"␟"&amp;IFERROR(INDEX(PASTE_ALL,$DF773,30)&amp;"","")&amp;"␟"&amp;IFERROR(INDEX(PASTE_ALL,$DF773,31)&amp;"","")&amp;"␟"&amp;IFERROR(INDEX(PASTE_ALL,$DF773,32)&amp;"","")&amp;"␟"&amp;IFERROR(INDEX(PASTE_ALL,$DF773,33)&amp;"","")&amp;"␟"&amp;IFERROR(INDEX(PASTE_ALL,$DF773,34)&amp;"","")&amp;"␟"&amp;IFERROR(INDEX(PASTE_ALL,$DF773,35)&amp;"","")&amp;"␟"&amp;IFERROR(INDEX(PASTE_ALL,$DF773,36)&amp;"","")&amp;"␟"&amp;IFERROR(INDEX(PASTE_ALL,$DF773,37)&amp;"","")&amp;"␟"&amp;IFERROR(INDEX(PASTE_ALL,$DF773,38)&amp;"","")&amp;"␟"&amp;IFERROR(INDEX(PASTE_ALL,$DF773,39)&amp;"","")&amp;"␟"&amp;IFERROR(INDEX(PASTE_ALL,$DF773,40)&amp;"","")&amp;"␟"&amp;IFERROR(INDEX(PASTE_ALL,$DF773,41)&amp;"","")&amp;"␟"&amp;IFERROR(INDEX(PASTE_ALL,$DF773,42)&amp;"","")&amp;"␟"&amp;IFERROR(INDEX(PASTE_ALL,$DF773,43)&amp;"","")&amp;"␟"&amp;IFERROR(INDEX(PASTE_ALL,$DF773,44)&amp;"","")&amp;"␟"&amp;IFERROR(INDEX(PASTE_ALL,$DF773,45)&amp;"","")&amp;"␟"&amp;IFERROR(INDEX(PASTE_ALL,$DF773,46)&amp;"","")&amp;"␟"&amp;IFERROR(INDEX(PASTE_ALL,$DF773,47)&amp;"","")&amp;"␟"&amp;IFERROR(INDEX(PASTE_ALL,$DF773,48)&amp;"","")&amp;"␟"&amp;IFERROR(INDEX(PASTE_ALL,$DF773,49)&amp;"","")&amp;"␟"&amp;IFERROR(INDEX(PASTE_ALL,$DF773,50)&amp;"","")&amp;"␟"&amp;IFERROR(INDEX(PASTE_ALL,$DF773,51)&amp;"","")&amp;"␟"&amp;IFERROR(INDEX(PASTE_ALL,$DF773,52)&amp;"","")&amp;"␟"&amp;IFERROR(INDEX(PASTE_ALL,$DF773,53)&amp;"","")&amp;"␟"&amp;IFERROR(INDEX(PASTE_ALL,$DF773,54)&amp;"","")&amp;"␟"&amp;IFERROR(INDEX(PASTE_ALL,$DF773,55)&amp;"","")&amp;"␟"&amp;IFERROR(INDEX(PASTE_ALL,$DF773,56)&amp;"","")&amp;"␟"&amp;IFERROR(INDEX(PASTE_ALL,$DF773,57)&amp;"","")&amp;"␟"&amp;IFERROR(INDEX(PASTE_ALL,$DF773,58)&amp;"","")&amp;"␟"&amp;IFERROR(INDEX(PASTE_ALL,$DF773,59)&amp;"","")&amp;"␟"&amp;IFERROR(INDEX(PASTE_ALL,$DF773,60)&amp;"","")," "," "),CHAR(9)," "),CHAR(10)," "),CHAR(13)," "))," ␟","␟"),"␟ ","␟"),"#"&amp;$DE773),"")</f>
        <v/>
      </c>
      <c r="DJ773">
        <f>IF($DI773="",0,IF(SUMPRODUCT(--EXACT($DI$4:DI772,$DI773))&gt;0,1,0))</f>
        <v/>
      </c>
      <c r="DK773">
        <f>IF(AND($DI773&lt;&gt;"",$DJ773=0),1,0)</f>
        <v/>
      </c>
      <c r="DL773">
        <f>DL772+$DK773</f>
        <v/>
      </c>
      <c r="DM773">
        <f>IF(AND($DK773=1,$DL773&lt;=600),1,0)</f>
        <v/>
      </c>
      <c r="DN773">
        <f>IF($DM773=0,"",IF($L$6=0,"",IFERROR(IF(ISNUMBER(INDEX(PASTE_ALL,$DF773,$L$6)),INDEX(PASTE_ALL,$DF773,$L$6),TRIM(SUBSTITUTE(SUBSTITUTE(SUBSTITUTE(SUBSTITUTE(INDEX(PASTE_ALL,$DF773,$L$6)," "," "),CHAR(9)," "),CHAR(10)," "),CHAR(13)," "))),"")))</f>
        <v/>
      </c>
      <c r="DO773">
        <f>IF($DM773=0,"",IF($L$7=0,"",IFERROR(IF(ISNUMBER(INDEX(PASTE_ALL,$DF773,$L$7)),INDEX(PASTE_ALL,$DF773,$L$7),TRIM(SUBSTITUTE(SUBSTITUTE(SUBSTITUTE(SUBSTITUTE(INDEX(PASTE_ALL,$DF773,$L$7)," "," "),CHAR(9)," "),CHAR(10)," "),CHAR(13)," "))),"")))</f>
        <v/>
      </c>
      <c r="DP773">
        <f>IF($DM773=0,"",IF($L$8=0,"",IFERROR(IF(ISNUMBER(INDEX(PASTE_ALL,$DF773,$L$8)),INDEX(PASTE_ALL,$DF773,$L$8),TRIM(SUBSTITUTE(SUBSTITUTE(SUBSTITUTE(SUBSTITUTE(INDEX(PASTE_ALL,$DF773,$L$8)," "," "),CHAR(9)," "),CHAR(10)," "),CHAR(13)," "))),"")))</f>
        <v/>
      </c>
      <c r="DQ773">
        <f>IF($DM773=0,"",IF($L$9=0,"",IFERROR(IF(ISNUMBER(INDEX(PASTE_ALL,$DF773,$L$9)),INDEX(PASTE_ALL,$DF773,$L$9),TRIM(SUBSTITUTE(SUBSTITUTE(SUBSTITUTE(SUBSTITUTE(INDEX(PASTE_ALL,$DF773,$L$9)," "," "),CHAR(9)," "),CHAR(10)," "),CHAR(13)," "))),"")))</f>
        <v/>
      </c>
      <c r="DR773">
        <f>IF($DM773=0,"",IF($L$10=0,"",IFERROR(IF(ISNUMBER(INDEX(PASTE_ALL,$DF773,$L$10)),INDEX(PASTE_ALL,$DF773,$L$10),TRIM(SUBSTITUTE(SUBSTITUTE(SUBSTITUTE(SUBSTITUTE(INDEX(PASTE_ALL,$DF773,$L$10)," "," "),CHAR(9)," "),CHAR(10)," "),CHAR(13)," "))),"")))</f>
        <v/>
      </c>
      <c r="DS773">
        <f>IF($DM773=0,"",IF($L$11=0,"",IFERROR(IF(ISNUMBER(INDEX(PASTE_ALL,$DF773,$L$11)),INDEX(PASTE_ALL,$DF773,$L$11),TRIM(SUBSTITUTE(SUBSTITUTE(SUBSTITUTE(SUBSTITUTE(INDEX(PASTE_ALL,$DF773,$L$11)," "," "),CHAR(9)," "),CHAR(10)," "),CHAR(13)," "))),"")))</f>
        <v/>
      </c>
      <c r="DT773">
        <f>IF($DM773=0,"",IF($L$12=0,"",IFERROR(IF(ISNUMBER(INDEX(PASTE_ALL,$DF773,$L$12)),INDEX(PASTE_ALL,$DF773,$L$12),TRIM(SUBSTITUTE(SUBSTITUTE(SUBSTITUTE(SUBSTITUTE(INDEX(PASTE_ALL,$DF773,$L$12)," "," "),CHAR(9)," "),CHAR(10)," "),CHAR(13)," "))),"")))</f>
        <v/>
      </c>
      <c r="DU773">
        <f>IF($DM773=0,"",IF($L$13=0,"",IFERROR(IF(ISNUMBER(INDEX(PASTE_ALL,$DF773,$L$13)),INDEX(PASTE_ALL,$DF773,$L$13),TRIM(SUBSTITUTE(SUBSTITUTE(SUBSTITUTE(SUBSTITUTE(INDEX(PASTE_ALL,$DF773,$L$13)," "," "),CHAR(9)," "),CHAR(10)," "),CHAR(13)," "))),"")))</f>
        <v/>
      </c>
      <c r="DV773">
        <f>IF($DM773=0,"",IF($L$14=0,"",IFERROR(IF(ISNUMBER(INDEX(PASTE_ALL,$DF773,$L$14)),INDEX(PASTE_ALL,$DF773,$L$14),TRIM(SUBSTITUTE(SUBSTITUTE(SUBSTITUTE(SUBSTITUTE(INDEX(PASTE_ALL,$DF773,$L$14)," "," "),CHAR(9)," "),CHAR(10)," "),CHAR(13)," "))),"")))</f>
        <v/>
      </c>
      <c r="DW773">
        <f>IF($DM773=0,"",IF($L$15=0,"",IFERROR(IF(ISNUMBER(INDEX(PASTE_ALL,$DF773,$L$15)),INDEX(PASTE_ALL,$DF773,$L$15),IF(SUMPRODUCT(--ISNUMBER(FIND({"A","B","C","D","E","F","G","H","I","J","K","L","M","N","O","P","Q","R","S","T","U","V","W","X","Y","Z","0","1","2","3","4","5","6","7","8","9"},UPPER(TRIM(SUBSTITUTE(SUBSTITUTE(SUBSTITUTE(SUBSTITUTE(INDEX(PASTE_ALL,$DF773,$L$15)," "," "),CHAR(9)," "),CHAR(10)," "),CHAR(13)," "))))))&gt;0,TRIM(SUBSTITUTE(SUBSTITUTE(SUBSTITUTE(SUBSTITUTE(INDEX(PASTE_ALL,$DF773,$L$15)," "," "),CHAR(9)," "),CHAR(10)," "),CHAR(13)," ")),"")),"")))</f>
        <v/>
      </c>
      <c r="DX773">
        <f>IF($DM773=0,"",IF($L$16=0,"",IFERROR(IF(ISNUMBER(INDEX(PASTE_ALL,$DF773,$L$16)),INDEX(PASTE_ALL,$DF773,$L$16),SUBSTITUTE(SUBSTITUTE(TRIM(SUBSTITUTE(SUBSTITUTE(SUBSTITUTE(SUBSTITUTE(INDEX(PASTE_ALL,$DF773,$L$16)," "," "),CHAR(9)," "),CHAR(10)," "),CHAR(13)," ")),",",""),"%","")),"")))</f>
        <v/>
      </c>
      <c r="DY773">
        <f>IF($DM773=0,"",IFERROR(IF(ISNUMBER($DX773),$DX773,IF($DX773="","",IF(TRIM($DX773)="",0,IF(AND(AND(SUBSTITUTE(SUBSTITUTE(SUBSTITUTE(SUBSTITUTE(SUBSTITUTE(SUBSTITUTE(SUBSTITUTE(SUBSTITUTE(SUBSTITUTE(SUBSTITUTE(SUBSTITUTE(SUBSTITUTE(SUBSTITUTE(SUBSTITUTE(UPPER(TRIM($DX773)),"0",""),"1",""),"2",""),"3",""),"4",""),"5",""),"6",""),"7",""),"8",""),"9",""),".",""),"+",""),"-",""),"E","")="",LEN(SUBSTITUTE(SUBSTITUTE(MID(UPPER(TRIM($DX773)),1+OR(LEFT(UPPER(TRIM($DX773)),1)="+",LEFT(UPPER(TRIM($DX773)),1)="-"),999),"E+","E"),"E-","E"))=LEN(SUBSTITUTE(SUBSTITUTE(SUBSTITUTE(SUBSTITUTE(MID(UPPER(TRIM($DX773)),1+OR(LEFT(UPPER(TRIM($DX773)),1)="+",LEFT(UPPER(TRIM($DX773)),1)="-"),999),"E+","E"),"E-","E"),"+",""),"-","")),LEN(UPPER(TRIM($DX773)))-LEN(SUBSTITUTE(UPPER(TRIM($DX773)),"E",""))&lt;2,LEN(UPPER(TRIM($DX773)))-LEN(SUBSTITUTE(UPPER(TRIM($DX773)),".",""))&lt;2,IFERROR(FIND(".",UPPER(TRIM($DX773))),0)&lt;IFERROR(FIND("E",UPPER(TRIM($DX773))),999)),ISNUMBER(VALUE(TRIM($DX773)))),VALUE(TRIM($DX773)),"")))),""))</f>
        <v/>
      </c>
      <c r="DZ773">
        <f>IF($DM773=0,"",IF($L$17=0,"",IFERROR(IF(ISNUMBER(INDEX(PASTE_ALL,$DF773,$L$17)),INDEX(PASTE_ALL,$DF773,$L$17),SUBSTITUTE(SUBSTITUTE(TRIM(SUBSTITUTE(SUBSTITUTE(SUBSTITUTE(SUBSTITUTE(INDEX(PASTE_ALL,$DF773,$L$17)," "," "),CHAR(9)," "),CHAR(10)," "),CHAR(13)," ")),",",""),"%","")),"")))</f>
        <v/>
      </c>
      <c r="EA773">
        <f>IF($DM773=0,"",IFERROR(IF(ISNUMBER($DZ773),$DZ773,IF($DZ773="","",IF(TRIM($DZ773)="",0,IF(AND(AND(SUBSTITUTE(SUBSTITUTE(SUBSTITUTE(SUBSTITUTE(SUBSTITUTE(SUBSTITUTE(SUBSTITUTE(SUBSTITUTE(SUBSTITUTE(SUBSTITUTE(SUBSTITUTE(SUBSTITUTE(SUBSTITUTE(SUBSTITUTE(UPPER(TRIM($DZ773)),"0",""),"1",""),"2",""),"3",""),"4",""),"5",""),"6",""),"7",""),"8",""),"9",""),".",""),"+",""),"-",""),"E","")="",LEN(SUBSTITUTE(SUBSTITUTE(MID(UPPER(TRIM($DZ773)),1+OR(LEFT(UPPER(TRIM($DZ773)),1)="+",LEFT(UPPER(TRIM($DZ773)),1)="-"),999),"E+","E"),"E-","E"))=LEN(SUBSTITUTE(SUBSTITUTE(SUBSTITUTE(SUBSTITUTE(MID(UPPER(TRIM($DZ773)),1+OR(LEFT(UPPER(TRIM($DZ773)),1)="+",LEFT(UPPER(TRIM($DZ773)),1)="-"),999),"E+","E"),"E-","E"),"+",""),"-","")),LEN(UPPER(TRIM($DZ773)))-LEN(SUBSTITUTE(UPPER(TRIM($DZ773)),"E",""))&lt;2,LEN(UPPER(TRIM($DZ773)))-LEN(SUBSTITUTE(UPPER(TRIM($DZ773)),".",""))&lt;2,IFERROR(FIND(".",UPPER(TRIM($DZ773))),0)&lt;IFERROR(FIND("E",UPPER(TRIM($DZ773))),999)),ISNUMBER(VALUE(TRIM($DZ773)))),VALUE(TRIM($DZ773)),"")))),""))</f>
        <v/>
      </c>
      <c r="EB773">
        <f>IF($DM773=0,"",IF($L$18=0,"",IFERROR(IF(UPPER(TRIM(SUBSTITUTE(SUBSTITUTE(SUBSTITUTE(SUBSTITUTE(INDEX(PASTE_ALL,$DF773,$L$18)," "," "),CHAR(9)," "),CHAR(10)," "),CHAR(13)," ")))="READY","Ready",IF(UPPER(TRIM(SUBSTITUTE(SUBSTITUTE(SUBSTITUTE(SUBSTITUTE(INDEX(PASTE_ALL,$DF773,$L$18)," "," "),CHAR(9)," "),CHAR(10)," "),CHAR(13)," ")))="PM","PM",IF(OR(UPPER(TRIM(SUBSTITUTE(SUBSTITUTE(SUBSTITUTE(SUBSTITUTE(INDEX(PASTE_ALL,$DF773,$L$18)," "," "),CHAR(9)," "),CHAR(10)," "),CHAR(13)," ")))="OT",UPPER(TRIM(SUBSTITUTE(SUBSTITUTE(SUBSTITUTE(SUBSTITUTE(INDEX(PASTE_ALL,$DF773,$L$18)," "," "),CHAR(9)," "),CHAR(10)," "),CHAR(13)," ")))="OVERTIME",UPPER(TRIM(SUBSTITUTE(SUBSTITUTE(SUBSTITUTE(SUBSTITUTE(INDEX(PASTE_ALL,$DF773,$L$18)," "," "),CHAR(9)," "),CHAR(10)," "),CHAR(13)," ")))="TRIAL"),"OT",TRIM(SUBSTITUTE(SUBSTITUTE(SUBSTITUTE(SUBSTITUTE(INDEX(PASTE_ALL,$DF773,$L$18)," "," "),CHAR(9)," "),CHAR(10)," "),CHAR(13)," "))))),"")))</f>
        <v/>
      </c>
      <c r="EC773">
        <f>IF($DM773=0,"",IF($L$19=0,"",IFERROR(IF(ISNUMBER(INDEX(PASTE_ALL,$DF773,$L$19)),INDEX(PASTE_ALL,$DF773,$L$19),TRIM(SUBSTITUTE(SUBSTITUTE(SUBSTITUTE(SUBSTITUTE(INDEX(PASTE_ALL,$DF773,$L$19)," "," "),CHAR(9)," "),CHAR(10)," "),CHAR(13)," "))),"")))</f>
        <v/>
      </c>
      <c r="ED773">
        <f>IF($DM773=0,"",MATCH(1,INDEX(EXACT($DH$5:DH773,$DH773)*$DM$5:DM773,0),0))</f>
        <v/>
      </c>
      <c r="EE773">
        <f>IF($DM773=0,0,IF($ED773=$DE773,1,0))</f>
        <v/>
      </c>
      <c r="EF773">
        <f>EF772+$EE773</f>
        <v/>
      </c>
      <c r="EG773">
        <f>IF($DM773=0,"",INDEX($EF$5:$EF$1003,$ED773))</f>
        <v/>
      </c>
      <c r="EH773">
        <f>IF($DM773=0,"",IF($DO773&lt;&gt;"","",IFERROR(LOOKUP(2,1/(($EG$4:EG772=$EG773)*($DO$4:DO772&lt;&gt;"")),$DO$4:DO772),"")))</f>
        <v/>
      </c>
      <c r="EI773">
        <f>IF($DM773=0,"",IF($DO773&lt;&gt;"",$DO773,$EH773))</f>
        <v/>
      </c>
      <c r="EJ773">
        <f>IF($DM773=0,"",IF($EI773="",0,IF(OR(ISNUMBER($EI773),AND(AND(SUBSTITUTE(SUBSTITUTE(SUBSTITUTE(SUBSTITUTE(SUBSTITUTE(SUBSTITUTE(SUBSTITUTE(SUBSTITUTE(SUBSTITUTE(SUBSTITUTE(SUBSTITUTE(SUBSTITUTE(SUBSTITUTE(SUBSTITUTE(UPPER($EI773),"0",""),"1",""),"2",""),"3",""),"4",""),"5",""),"6",""),"7",""),"8",""),"9",""),".",""),"+",""),"-",""),"E","")="",LEN(SUBSTITUTE(SUBSTITUTE(MID(UPPER($EI773),1+OR(LEFT(UPPER($EI773),1)="+",LEFT(UPPER($EI773),1)="-"),999),"E+","E"),"E-","E"))=LEN(SUBSTITUTE(SUBSTITUTE(SUBSTITUTE(SUBSTITUTE(MID(UPPER($EI773),1+OR(LEFT(UPPER($EI773),1)="+",LEFT(UPPER($EI773),1)="-"),999),"E+","E"),"E-","E"),"+",""),"-","")),LEN(UPPER($EI773))-LEN(SUBSTITUTE(UPPER($EI773),"E",""))&lt;2,LEN(UPPER($EI773))-LEN(SUBSTITUTE(UPPER($EI773),".",""))&lt;2,IFERROR(FIND(".",UPPER($EI773)),0)&lt;IFERROR(FIND("E",UPPER($EI773)),999)),ISNUMBER(VALUE($EI773)))),1,2)))</f>
        <v/>
      </c>
      <c r="EK773">
        <f>IF($DM773=0,"",IF($EJ773=1,IF(ISNUMBER($EI773),$EI773,VALUE($EI773)),IF($EJ773=2,$DE773,0)))</f>
        <v/>
      </c>
      <c r="EL773">
        <f>IF($DM773=0,"",COUNTIF($EG$5:$EG$1003,"&lt;"&amp;$EG773)+SUMPRODUCT(($EG$5:$EG$1003=$EG773)*(($EJ$5:$EJ$1003&lt;$EJ773)+($EJ$5:$EJ$1003=$EJ773)*(($EK$5:$EK$1003&lt;$EK773)+($EK$5:$EK$1003=$EK773)*($DE$5:$DE$1003&lt;$DE773))))+1)</f>
        <v/>
      </c>
      <c r="EM773">
        <f>IF($DM773=0,"",$EL773+$EG773-1)</f>
        <v/>
      </c>
      <c r="EN773">
        <f>IF($DM773=0,0,IFERROR(MATCH(1,INDEX(--(TRIM(SUBSTITUTE(SUBSTITUTE(SUBSTITUTE(SUBSTITUTE(LINES_NAME&amp;""," "," "),CHAR(9)," "),CHAR(10)," "),CHAR(13)," "))=$DH773),0),0),0))</f>
        <v/>
      </c>
      <c r="EO773">
        <f>IF($EN773=0,0,IF(OR(UPPER(TRIM(INDEX(LINES_SCHEDULED,$EN773)&amp;""))="YES",UPPER(TRIM(INDEX(LINES_SCHEDULED,$EN773)&amp;""))="Y",UPPER(TRIM(INDEX(LINES_SCHEDULED,$EN773)&amp;""))="X"),1,0))</f>
        <v/>
      </c>
      <c r="EP773">
        <f>IF($DM773=0,"",IF(COUNTIFS($EG$5:$EG$1003,$EG773,$EB$5:$EB$1003,"Ready")&gt;0,"READY",IF(COUNTIFS($EG$5:$EG$1003,$EG773,$EB$5:$EB$1003,"PM")&gt;0,"PM",IF(COUNTIFS($EG$5:$EG$1003,$EG773,$EB$5:$EB$1003,"OT")&gt;0,"OT",""))))</f>
        <v/>
      </c>
      <c r="EQ773">
        <f>IF($EN773=0,"",UPPER(TRIM(INDEX(LINES_STATUS,$EN773)&amp;"")))</f>
        <v/>
      </c>
      <c r="ER773">
        <f>IF($DM773=0,"",IF(OR($EQ773="READY",$EQ773="PM",$EQ773="OT"),$EQ773,$EP773))</f>
        <v/>
      </c>
      <c r="ES773">
        <f>IF($DM773=0,"",IF(AND($DV773&lt;&gt;"",UPPER($DV773)&lt;&gt;"N"),"allergen",IF(ISNUMBER(SEARCH("oil",$DQ773)),"oil",IF(OR(EXACT($DS773,"A662"),EXACT($DS773,"A624")),"bulk",""))))</f>
        <v/>
      </c>
      <c r="ET773">
        <f>IF($DM773=0,"",IF(OR($EA773="",$EA773=0),"",$EA773/100))</f>
        <v/>
      </c>
      <c r="EU773">
        <f>IF(OR($ET773="",$DY773=""),"",INT($DY773*(1-$ET773)+0.5))</f>
        <v/>
      </c>
    </row>
    <row r="774">
      <c r="DA774" t="n">
        <v>770</v>
      </c>
      <c r="DB774">
        <f>IF($B$37=0,"",IFERROR(TRIM(SUBSTITUTE(SUBSTITUTE(SUBSTITUTE(SUBSTITUTE(INDEX(PASTE_ALL,770,$B$37)," "," "),CHAR(9)," "),CHAR(10)," "),CHAR(13)," ")),""))</f>
        <v/>
      </c>
      <c r="DC774">
        <f>IF(AND(770&gt;HEADER_ROW,UPPER(DB774)="LEGEND"),1,0)</f>
        <v/>
      </c>
      <c r="DE774" t="n">
        <v>770</v>
      </c>
      <c r="DF774">
        <f>HEADER_ROW+$DE774</f>
        <v/>
      </c>
      <c r="DG774">
        <f>IF(AND($DF774&lt;=1000,$DF774&lt;$B$8),1,0)</f>
        <v/>
      </c>
      <c r="DH774">
        <f>IF($DG774=1,IFERROR(INDEX($DB$5:$DB$1004,$DF774),""),"")</f>
        <v/>
      </c>
      <c r="DI774">
        <f>IF(AND($DG774=1,$DH774&lt;&gt;""),IFERROR(SUBSTITUTE(SUBSTITUTE(TRIM(SUBSTITUTE(SUBSTITUTE(SUBSTITUTE(SUBSTITUTE(IFERROR(INDEX(PASTE_ALL,$DF774,1)&amp;"","")&amp;"␟"&amp;IFERROR(INDEX(PASTE_ALL,$DF774,2)&amp;"","")&amp;"␟"&amp;IFERROR(INDEX(PASTE_ALL,$DF774,3)&amp;"","")&amp;"␟"&amp;IFERROR(INDEX(PASTE_ALL,$DF774,4)&amp;"","")&amp;"␟"&amp;IFERROR(INDEX(PASTE_ALL,$DF774,5)&amp;"","")&amp;"␟"&amp;IFERROR(INDEX(PASTE_ALL,$DF774,6)&amp;"","")&amp;"␟"&amp;IFERROR(INDEX(PASTE_ALL,$DF774,7)&amp;"","")&amp;"␟"&amp;IFERROR(INDEX(PASTE_ALL,$DF774,8)&amp;"","")&amp;"␟"&amp;IFERROR(INDEX(PASTE_ALL,$DF774,9)&amp;"","")&amp;"␟"&amp;IFERROR(INDEX(PASTE_ALL,$DF774,10)&amp;"","")&amp;"␟"&amp;IFERROR(INDEX(PASTE_ALL,$DF774,11)&amp;"","")&amp;"␟"&amp;IFERROR(INDEX(PASTE_ALL,$DF774,12)&amp;"","")&amp;"␟"&amp;IFERROR(INDEX(PASTE_ALL,$DF774,13)&amp;"","")&amp;"␟"&amp;IFERROR(INDEX(PASTE_ALL,$DF774,14)&amp;"","")&amp;"␟"&amp;IFERROR(INDEX(PASTE_ALL,$DF774,15)&amp;"","")&amp;"␟"&amp;IFERROR(INDEX(PASTE_ALL,$DF774,16)&amp;"","")&amp;"␟"&amp;IFERROR(INDEX(PASTE_ALL,$DF774,17)&amp;"","")&amp;"␟"&amp;IFERROR(INDEX(PASTE_ALL,$DF774,18)&amp;"","")&amp;"␟"&amp;IFERROR(INDEX(PASTE_ALL,$DF774,19)&amp;"","")&amp;"␟"&amp;IFERROR(INDEX(PASTE_ALL,$DF774,20)&amp;"","")&amp;"␟"&amp;IFERROR(INDEX(PASTE_ALL,$DF774,21)&amp;"","")&amp;"␟"&amp;IFERROR(INDEX(PASTE_ALL,$DF774,22)&amp;"","")&amp;"␟"&amp;IFERROR(INDEX(PASTE_ALL,$DF774,23)&amp;"","")&amp;"␟"&amp;IFERROR(INDEX(PASTE_ALL,$DF774,24)&amp;"","")&amp;"␟"&amp;IFERROR(INDEX(PASTE_ALL,$DF774,25)&amp;"","")&amp;"␟"&amp;IFERROR(INDEX(PASTE_ALL,$DF774,26)&amp;"","")&amp;"␟"&amp;IFERROR(INDEX(PASTE_ALL,$DF774,27)&amp;"","")&amp;"␟"&amp;IFERROR(INDEX(PASTE_ALL,$DF774,28)&amp;"","")&amp;"␟"&amp;IFERROR(INDEX(PASTE_ALL,$DF774,29)&amp;"","")&amp;"␟"&amp;IFERROR(INDEX(PASTE_ALL,$DF774,30)&amp;"","")&amp;"␟"&amp;IFERROR(INDEX(PASTE_ALL,$DF774,31)&amp;"","")&amp;"␟"&amp;IFERROR(INDEX(PASTE_ALL,$DF774,32)&amp;"","")&amp;"␟"&amp;IFERROR(INDEX(PASTE_ALL,$DF774,33)&amp;"","")&amp;"␟"&amp;IFERROR(INDEX(PASTE_ALL,$DF774,34)&amp;"","")&amp;"␟"&amp;IFERROR(INDEX(PASTE_ALL,$DF774,35)&amp;"","")&amp;"␟"&amp;IFERROR(INDEX(PASTE_ALL,$DF774,36)&amp;"","")&amp;"␟"&amp;IFERROR(INDEX(PASTE_ALL,$DF774,37)&amp;"","")&amp;"␟"&amp;IFERROR(INDEX(PASTE_ALL,$DF774,38)&amp;"","")&amp;"␟"&amp;IFERROR(INDEX(PASTE_ALL,$DF774,39)&amp;"","")&amp;"␟"&amp;IFERROR(INDEX(PASTE_ALL,$DF774,40)&amp;"","")&amp;"␟"&amp;IFERROR(INDEX(PASTE_ALL,$DF774,41)&amp;"","")&amp;"␟"&amp;IFERROR(INDEX(PASTE_ALL,$DF774,42)&amp;"","")&amp;"␟"&amp;IFERROR(INDEX(PASTE_ALL,$DF774,43)&amp;"","")&amp;"␟"&amp;IFERROR(INDEX(PASTE_ALL,$DF774,44)&amp;"","")&amp;"␟"&amp;IFERROR(INDEX(PASTE_ALL,$DF774,45)&amp;"","")&amp;"␟"&amp;IFERROR(INDEX(PASTE_ALL,$DF774,46)&amp;"","")&amp;"␟"&amp;IFERROR(INDEX(PASTE_ALL,$DF774,47)&amp;"","")&amp;"␟"&amp;IFERROR(INDEX(PASTE_ALL,$DF774,48)&amp;"","")&amp;"␟"&amp;IFERROR(INDEX(PASTE_ALL,$DF774,49)&amp;"","")&amp;"␟"&amp;IFERROR(INDEX(PASTE_ALL,$DF774,50)&amp;"","")&amp;"␟"&amp;IFERROR(INDEX(PASTE_ALL,$DF774,51)&amp;"","")&amp;"␟"&amp;IFERROR(INDEX(PASTE_ALL,$DF774,52)&amp;"","")&amp;"␟"&amp;IFERROR(INDEX(PASTE_ALL,$DF774,53)&amp;"","")&amp;"␟"&amp;IFERROR(INDEX(PASTE_ALL,$DF774,54)&amp;"","")&amp;"␟"&amp;IFERROR(INDEX(PASTE_ALL,$DF774,55)&amp;"","")&amp;"␟"&amp;IFERROR(INDEX(PASTE_ALL,$DF774,56)&amp;"","")&amp;"␟"&amp;IFERROR(INDEX(PASTE_ALL,$DF774,57)&amp;"","")&amp;"␟"&amp;IFERROR(INDEX(PASTE_ALL,$DF774,58)&amp;"","")&amp;"␟"&amp;IFERROR(INDEX(PASTE_ALL,$DF774,59)&amp;"","")&amp;"␟"&amp;IFERROR(INDEX(PASTE_ALL,$DF774,60)&amp;"","")," "," "),CHAR(9)," "),CHAR(10)," "),CHAR(13)," "))," ␟","␟"),"␟ ","␟"),"#"&amp;$DE774),"")</f>
        <v/>
      </c>
      <c r="DJ774">
        <f>IF($DI774="",0,IF(SUMPRODUCT(--EXACT($DI$4:DI773,$DI774))&gt;0,1,0))</f>
        <v/>
      </c>
      <c r="DK774">
        <f>IF(AND($DI774&lt;&gt;"",$DJ774=0),1,0)</f>
        <v/>
      </c>
      <c r="DL774">
        <f>DL773+$DK774</f>
        <v/>
      </c>
      <c r="DM774">
        <f>IF(AND($DK774=1,$DL774&lt;=600),1,0)</f>
        <v/>
      </c>
      <c r="DN774">
        <f>IF($DM774=0,"",IF($L$6=0,"",IFERROR(IF(ISNUMBER(INDEX(PASTE_ALL,$DF774,$L$6)),INDEX(PASTE_ALL,$DF774,$L$6),TRIM(SUBSTITUTE(SUBSTITUTE(SUBSTITUTE(SUBSTITUTE(INDEX(PASTE_ALL,$DF774,$L$6)," "," "),CHAR(9)," "),CHAR(10)," "),CHAR(13)," "))),"")))</f>
        <v/>
      </c>
      <c r="DO774">
        <f>IF($DM774=0,"",IF($L$7=0,"",IFERROR(IF(ISNUMBER(INDEX(PASTE_ALL,$DF774,$L$7)),INDEX(PASTE_ALL,$DF774,$L$7),TRIM(SUBSTITUTE(SUBSTITUTE(SUBSTITUTE(SUBSTITUTE(INDEX(PASTE_ALL,$DF774,$L$7)," "," "),CHAR(9)," "),CHAR(10)," "),CHAR(13)," "))),"")))</f>
        <v/>
      </c>
      <c r="DP774">
        <f>IF($DM774=0,"",IF($L$8=0,"",IFERROR(IF(ISNUMBER(INDEX(PASTE_ALL,$DF774,$L$8)),INDEX(PASTE_ALL,$DF774,$L$8),TRIM(SUBSTITUTE(SUBSTITUTE(SUBSTITUTE(SUBSTITUTE(INDEX(PASTE_ALL,$DF774,$L$8)," "," "),CHAR(9)," "),CHAR(10)," "),CHAR(13)," "))),"")))</f>
        <v/>
      </c>
      <c r="DQ774">
        <f>IF($DM774=0,"",IF($L$9=0,"",IFERROR(IF(ISNUMBER(INDEX(PASTE_ALL,$DF774,$L$9)),INDEX(PASTE_ALL,$DF774,$L$9),TRIM(SUBSTITUTE(SUBSTITUTE(SUBSTITUTE(SUBSTITUTE(INDEX(PASTE_ALL,$DF774,$L$9)," "," "),CHAR(9)," "),CHAR(10)," "),CHAR(13)," "))),"")))</f>
        <v/>
      </c>
      <c r="DR774">
        <f>IF($DM774=0,"",IF($L$10=0,"",IFERROR(IF(ISNUMBER(INDEX(PASTE_ALL,$DF774,$L$10)),INDEX(PASTE_ALL,$DF774,$L$10),TRIM(SUBSTITUTE(SUBSTITUTE(SUBSTITUTE(SUBSTITUTE(INDEX(PASTE_ALL,$DF774,$L$10)," "," "),CHAR(9)," "),CHAR(10)," "),CHAR(13)," "))),"")))</f>
        <v/>
      </c>
      <c r="DS774">
        <f>IF($DM774=0,"",IF($L$11=0,"",IFERROR(IF(ISNUMBER(INDEX(PASTE_ALL,$DF774,$L$11)),INDEX(PASTE_ALL,$DF774,$L$11),TRIM(SUBSTITUTE(SUBSTITUTE(SUBSTITUTE(SUBSTITUTE(INDEX(PASTE_ALL,$DF774,$L$11)," "," "),CHAR(9)," "),CHAR(10)," "),CHAR(13)," "))),"")))</f>
        <v/>
      </c>
      <c r="DT774">
        <f>IF($DM774=0,"",IF($L$12=0,"",IFERROR(IF(ISNUMBER(INDEX(PASTE_ALL,$DF774,$L$12)),INDEX(PASTE_ALL,$DF774,$L$12),TRIM(SUBSTITUTE(SUBSTITUTE(SUBSTITUTE(SUBSTITUTE(INDEX(PASTE_ALL,$DF774,$L$12)," "," "),CHAR(9)," "),CHAR(10)," "),CHAR(13)," "))),"")))</f>
        <v/>
      </c>
      <c r="DU774">
        <f>IF($DM774=0,"",IF($L$13=0,"",IFERROR(IF(ISNUMBER(INDEX(PASTE_ALL,$DF774,$L$13)),INDEX(PASTE_ALL,$DF774,$L$13),TRIM(SUBSTITUTE(SUBSTITUTE(SUBSTITUTE(SUBSTITUTE(INDEX(PASTE_ALL,$DF774,$L$13)," "," "),CHAR(9)," "),CHAR(10)," "),CHAR(13)," "))),"")))</f>
        <v/>
      </c>
      <c r="DV774">
        <f>IF($DM774=0,"",IF($L$14=0,"",IFERROR(IF(ISNUMBER(INDEX(PASTE_ALL,$DF774,$L$14)),INDEX(PASTE_ALL,$DF774,$L$14),TRIM(SUBSTITUTE(SUBSTITUTE(SUBSTITUTE(SUBSTITUTE(INDEX(PASTE_ALL,$DF774,$L$14)," "," "),CHAR(9)," "),CHAR(10)," "),CHAR(13)," "))),"")))</f>
        <v/>
      </c>
      <c r="DW774">
        <f>IF($DM774=0,"",IF($L$15=0,"",IFERROR(IF(ISNUMBER(INDEX(PASTE_ALL,$DF774,$L$15)),INDEX(PASTE_ALL,$DF774,$L$15),IF(SUMPRODUCT(--ISNUMBER(FIND({"A","B","C","D","E","F","G","H","I","J","K","L","M","N","O","P","Q","R","S","T","U","V","W","X","Y","Z","0","1","2","3","4","5","6","7","8","9"},UPPER(TRIM(SUBSTITUTE(SUBSTITUTE(SUBSTITUTE(SUBSTITUTE(INDEX(PASTE_ALL,$DF774,$L$15)," "," "),CHAR(9)," "),CHAR(10)," "),CHAR(13)," "))))))&gt;0,TRIM(SUBSTITUTE(SUBSTITUTE(SUBSTITUTE(SUBSTITUTE(INDEX(PASTE_ALL,$DF774,$L$15)," "," "),CHAR(9)," "),CHAR(10)," "),CHAR(13)," ")),"")),"")))</f>
        <v/>
      </c>
      <c r="DX774">
        <f>IF($DM774=0,"",IF($L$16=0,"",IFERROR(IF(ISNUMBER(INDEX(PASTE_ALL,$DF774,$L$16)),INDEX(PASTE_ALL,$DF774,$L$16),SUBSTITUTE(SUBSTITUTE(TRIM(SUBSTITUTE(SUBSTITUTE(SUBSTITUTE(SUBSTITUTE(INDEX(PASTE_ALL,$DF774,$L$16)," "," "),CHAR(9)," "),CHAR(10)," "),CHAR(13)," ")),",",""),"%","")),"")))</f>
        <v/>
      </c>
      <c r="DY774">
        <f>IF($DM774=0,"",IFERROR(IF(ISNUMBER($DX774),$DX774,IF($DX774="","",IF(TRIM($DX774)="",0,IF(AND(AND(SUBSTITUTE(SUBSTITUTE(SUBSTITUTE(SUBSTITUTE(SUBSTITUTE(SUBSTITUTE(SUBSTITUTE(SUBSTITUTE(SUBSTITUTE(SUBSTITUTE(SUBSTITUTE(SUBSTITUTE(SUBSTITUTE(SUBSTITUTE(UPPER(TRIM($DX774)),"0",""),"1",""),"2",""),"3",""),"4",""),"5",""),"6",""),"7",""),"8",""),"9",""),".",""),"+",""),"-",""),"E","")="",LEN(SUBSTITUTE(SUBSTITUTE(MID(UPPER(TRIM($DX774)),1+OR(LEFT(UPPER(TRIM($DX774)),1)="+",LEFT(UPPER(TRIM($DX774)),1)="-"),999),"E+","E"),"E-","E"))=LEN(SUBSTITUTE(SUBSTITUTE(SUBSTITUTE(SUBSTITUTE(MID(UPPER(TRIM($DX774)),1+OR(LEFT(UPPER(TRIM($DX774)),1)="+",LEFT(UPPER(TRIM($DX774)),1)="-"),999),"E+","E"),"E-","E"),"+",""),"-","")),LEN(UPPER(TRIM($DX774)))-LEN(SUBSTITUTE(UPPER(TRIM($DX774)),"E",""))&lt;2,LEN(UPPER(TRIM($DX774)))-LEN(SUBSTITUTE(UPPER(TRIM($DX774)),".",""))&lt;2,IFERROR(FIND(".",UPPER(TRIM($DX774))),0)&lt;IFERROR(FIND("E",UPPER(TRIM($DX774))),999)),ISNUMBER(VALUE(TRIM($DX774)))),VALUE(TRIM($DX774)),"")))),""))</f>
        <v/>
      </c>
      <c r="DZ774">
        <f>IF($DM774=0,"",IF($L$17=0,"",IFERROR(IF(ISNUMBER(INDEX(PASTE_ALL,$DF774,$L$17)),INDEX(PASTE_ALL,$DF774,$L$17),SUBSTITUTE(SUBSTITUTE(TRIM(SUBSTITUTE(SUBSTITUTE(SUBSTITUTE(SUBSTITUTE(INDEX(PASTE_ALL,$DF774,$L$17)," "," "),CHAR(9)," "),CHAR(10)," "),CHAR(13)," ")),",",""),"%","")),"")))</f>
        <v/>
      </c>
      <c r="EA774">
        <f>IF($DM774=0,"",IFERROR(IF(ISNUMBER($DZ774),$DZ774,IF($DZ774="","",IF(TRIM($DZ774)="",0,IF(AND(AND(SUBSTITUTE(SUBSTITUTE(SUBSTITUTE(SUBSTITUTE(SUBSTITUTE(SUBSTITUTE(SUBSTITUTE(SUBSTITUTE(SUBSTITUTE(SUBSTITUTE(SUBSTITUTE(SUBSTITUTE(SUBSTITUTE(SUBSTITUTE(UPPER(TRIM($DZ774)),"0",""),"1",""),"2",""),"3",""),"4",""),"5",""),"6",""),"7",""),"8",""),"9",""),".",""),"+",""),"-",""),"E","")="",LEN(SUBSTITUTE(SUBSTITUTE(MID(UPPER(TRIM($DZ774)),1+OR(LEFT(UPPER(TRIM($DZ774)),1)="+",LEFT(UPPER(TRIM($DZ774)),1)="-"),999),"E+","E"),"E-","E"))=LEN(SUBSTITUTE(SUBSTITUTE(SUBSTITUTE(SUBSTITUTE(MID(UPPER(TRIM($DZ774)),1+OR(LEFT(UPPER(TRIM($DZ774)),1)="+",LEFT(UPPER(TRIM($DZ774)),1)="-"),999),"E+","E"),"E-","E"),"+",""),"-","")),LEN(UPPER(TRIM($DZ774)))-LEN(SUBSTITUTE(UPPER(TRIM($DZ774)),"E",""))&lt;2,LEN(UPPER(TRIM($DZ774)))-LEN(SUBSTITUTE(UPPER(TRIM($DZ774)),".",""))&lt;2,IFERROR(FIND(".",UPPER(TRIM($DZ774))),0)&lt;IFERROR(FIND("E",UPPER(TRIM($DZ774))),999)),ISNUMBER(VALUE(TRIM($DZ774)))),VALUE(TRIM($DZ774)),"")))),""))</f>
        <v/>
      </c>
      <c r="EB774">
        <f>IF($DM774=0,"",IF($L$18=0,"",IFERROR(IF(UPPER(TRIM(SUBSTITUTE(SUBSTITUTE(SUBSTITUTE(SUBSTITUTE(INDEX(PASTE_ALL,$DF774,$L$18)," "," "),CHAR(9)," "),CHAR(10)," "),CHAR(13)," ")))="READY","Ready",IF(UPPER(TRIM(SUBSTITUTE(SUBSTITUTE(SUBSTITUTE(SUBSTITUTE(INDEX(PASTE_ALL,$DF774,$L$18)," "," "),CHAR(9)," "),CHAR(10)," "),CHAR(13)," ")))="PM","PM",IF(OR(UPPER(TRIM(SUBSTITUTE(SUBSTITUTE(SUBSTITUTE(SUBSTITUTE(INDEX(PASTE_ALL,$DF774,$L$18)," "," "),CHAR(9)," "),CHAR(10)," "),CHAR(13)," ")))="OT",UPPER(TRIM(SUBSTITUTE(SUBSTITUTE(SUBSTITUTE(SUBSTITUTE(INDEX(PASTE_ALL,$DF774,$L$18)," "," "),CHAR(9)," "),CHAR(10)," "),CHAR(13)," ")))="OVERTIME",UPPER(TRIM(SUBSTITUTE(SUBSTITUTE(SUBSTITUTE(SUBSTITUTE(INDEX(PASTE_ALL,$DF774,$L$18)," "," "),CHAR(9)," "),CHAR(10)," "),CHAR(13)," ")))="TRIAL"),"OT",TRIM(SUBSTITUTE(SUBSTITUTE(SUBSTITUTE(SUBSTITUTE(INDEX(PASTE_ALL,$DF774,$L$18)," "," "),CHAR(9)," "),CHAR(10)," "),CHAR(13)," "))))),"")))</f>
        <v/>
      </c>
      <c r="EC774">
        <f>IF($DM774=0,"",IF($L$19=0,"",IFERROR(IF(ISNUMBER(INDEX(PASTE_ALL,$DF774,$L$19)),INDEX(PASTE_ALL,$DF774,$L$19),TRIM(SUBSTITUTE(SUBSTITUTE(SUBSTITUTE(SUBSTITUTE(INDEX(PASTE_ALL,$DF774,$L$19)," "," "),CHAR(9)," "),CHAR(10)," "),CHAR(13)," "))),"")))</f>
        <v/>
      </c>
      <c r="ED774">
        <f>IF($DM774=0,"",MATCH(1,INDEX(EXACT($DH$5:DH774,$DH774)*$DM$5:DM774,0),0))</f>
        <v/>
      </c>
      <c r="EE774">
        <f>IF($DM774=0,0,IF($ED774=$DE774,1,0))</f>
        <v/>
      </c>
      <c r="EF774">
        <f>EF773+$EE774</f>
        <v/>
      </c>
      <c r="EG774">
        <f>IF($DM774=0,"",INDEX($EF$5:$EF$1003,$ED774))</f>
        <v/>
      </c>
      <c r="EH774">
        <f>IF($DM774=0,"",IF($DO774&lt;&gt;"","",IFERROR(LOOKUP(2,1/(($EG$4:EG773=$EG774)*($DO$4:DO773&lt;&gt;"")),$DO$4:DO773),"")))</f>
        <v/>
      </c>
      <c r="EI774">
        <f>IF($DM774=0,"",IF($DO774&lt;&gt;"",$DO774,$EH774))</f>
        <v/>
      </c>
      <c r="EJ774">
        <f>IF($DM774=0,"",IF($EI774="",0,IF(OR(ISNUMBER($EI774),AND(AND(SUBSTITUTE(SUBSTITUTE(SUBSTITUTE(SUBSTITUTE(SUBSTITUTE(SUBSTITUTE(SUBSTITUTE(SUBSTITUTE(SUBSTITUTE(SUBSTITUTE(SUBSTITUTE(SUBSTITUTE(SUBSTITUTE(SUBSTITUTE(UPPER($EI774),"0",""),"1",""),"2",""),"3",""),"4",""),"5",""),"6",""),"7",""),"8",""),"9",""),".",""),"+",""),"-",""),"E","")="",LEN(SUBSTITUTE(SUBSTITUTE(MID(UPPER($EI774),1+OR(LEFT(UPPER($EI774),1)="+",LEFT(UPPER($EI774),1)="-"),999),"E+","E"),"E-","E"))=LEN(SUBSTITUTE(SUBSTITUTE(SUBSTITUTE(SUBSTITUTE(MID(UPPER($EI774),1+OR(LEFT(UPPER($EI774),1)="+",LEFT(UPPER($EI774),1)="-"),999),"E+","E"),"E-","E"),"+",""),"-","")),LEN(UPPER($EI774))-LEN(SUBSTITUTE(UPPER($EI774),"E",""))&lt;2,LEN(UPPER($EI774))-LEN(SUBSTITUTE(UPPER($EI774),".",""))&lt;2,IFERROR(FIND(".",UPPER($EI774)),0)&lt;IFERROR(FIND("E",UPPER($EI774)),999)),ISNUMBER(VALUE($EI774)))),1,2)))</f>
        <v/>
      </c>
      <c r="EK774">
        <f>IF($DM774=0,"",IF($EJ774=1,IF(ISNUMBER($EI774),$EI774,VALUE($EI774)),IF($EJ774=2,$DE774,0)))</f>
        <v/>
      </c>
      <c r="EL774">
        <f>IF($DM774=0,"",COUNTIF($EG$5:$EG$1003,"&lt;"&amp;$EG774)+SUMPRODUCT(($EG$5:$EG$1003=$EG774)*(($EJ$5:$EJ$1003&lt;$EJ774)+($EJ$5:$EJ$1003=$EJ774)*(($EK$5:$EK$1003&lt;$EK774)+($EK$5:$EK$1003=$EK774)*($DE$5:$DE$1003&lt;$DE774))))+1)</f>
        <v/>
      </c>
      <c r="EM774">
        <f>IF($DM774=0,"",$EL774+$EG774-1)</f>
        <v/>
      </c>
      <c r="EN774">
        <f>IF($DM774=0,0,IFERROR(MATCH(1,INDEX(--(TRIM(SUBSTITUTE(SUBSTITUTE(SUBSTITUTE(SUBSTITUTE(LINES_NAME&amp;""," "," "),CHAR(9)," "),CHAR(10)," "),CHAR(13)," "))=$DH774),0),0),0))</f>
        <v/>
      </c>
      <c r="EO774">
        <f>IF($EN774=0,0,IF(OR(UPPER(TRIM(INDEX(LINES_SCHEDULED,$EN774)&amp;""))="YES",UPPER(TRIM(INDEX(LINES_SCHEDULED,$EN774)&amp;""))="Y",UPPER(TRIM(INDEX(LINES_SCHEDULED,$EN774)&amp;""))="X"),1,0))</f>
        <v/>
      </c>
      <c r="EP774">
        <f>IF($DM774=0,"",IF(COUNTIFS($EG$5:$EG$1003,$EG774,$EB$5:$EB$1003,"Ready")&gt;0,"READY",IF(COUNTIFS($EG$5:$EG$1003,$EG774,$EB$5:$EB$1003,"PM")&gt;0,"PM",IF(COUNTIFS($EG$5:$EG$1003,$EG774,$EB$5:$EB$1003,"OT")&gt;0,"OT",""))))</f>
        <v/>
      </c>
      <c r="EQ774">
        <f>IF($EN774=0,"",UPPER(TRIM(INDEX(LINES_STATUS,$EN774)&amp;"")))</f>
        <v/>
      </c>
      <c r="ER774">
        <f>IF($DM774=0,"",IF(OR($EQ774="READY",$EQ774="PM",$EQ774="OT"),$EQ774,$EP774))</f>
        <v/>
      </c>
      <c r="ES774">
        <f>IF($DM774=0,"",IF(AND($DV774&lt;&gt;"",UPPER($DV774)&lt;&gt;"N"),"allergen",IF(ISNUMBER(SEARCH("oil",$DQ774)),"oil",IF(OR(EXACT($DS774,"A662"),EXACT($DS774,"A624")),"bulk",""))))</f>
        <v/>
      </c>
      <c r="ET774">
        <f>IF($DM774=0,"",IF(OR($EA774="",$EA774=0),"",$EA774/100))</f>
        <v/>
      </c>
      <c r="EU774">
        <f>IF(OR($ET774="",$DY774=""),"",INT($DY774*(1-$ET774)+0.5))</f>
        <v/>
      </c>
    </row>
    <row r="775">
      <c r="DA775" t="n">
        <v>771</v>
      </c>
      <c r="DB775">
        <f>IF($B$37=0,"",IFERROR(TRIM(SUBSTITUTE(SUBSTITUTE(SUBSTITUTE(SUBSTITUTE(INDEX(PASTE_ALL,771,$B$37)," "," "),CHAR(9)," "),CHAR(10)," "),CHAR(13)," ")),""))</f>
        <v/>
      </c>
      <c r="DC775">
        <f>IF(AND(771&gt;HEADER_ROW,UPPER(DB775)="LEGEND"),1,0)</f>
        <v/>
      </c>
      <c r="DE775" t="n">
        <v>771</v>
      </c>
      <c r="DF775">
        <f>HEADER_ROW+$DE775</f>
        <v/>
      </c>
      <c r="DG775">
        <f>IF(AND($DF775&lt;=1000,$DF775&lt;$B$8),1,0)</f>
        <v/>
      </c>
      <c r="DH775">
        <f>IF($DG775=1,IFERROR(INDEX($DB$5:$DB$1004,$DF775),""),"")</f>
        <v/>
      </c>
      <c r="DI775">
        <f>IF(AND($DG775=1,$DH775&lt;&gt;""),IFERROR(SUBSTITUTE(SUBSTITUTE(TRIM(SUBSTITUTE(SUBSTITUTE(SUBSTITUTE(SUBSTITUTE(IFERROR(INDEX(PASTE_ALL,$DF775,1)&amp;"","")&amp;"␟"&amp;IFERROR(INDEX(PASTE_ALL,$DF775,2)&amp;"","")&amp;"␟"&amp;IFERROR(INDEX(PASTE_ALL,$DF775,3)&amp;"","")&amp;"␟"&amp;IFERROR(INDEX(PASTE_ALL,$DF775,4)&amp;"","")&amp;"␟"&amp;IFERROR(INDEX(PASTE_ALL,$DF775,5)&amp;"","")&amp;"␟"&amp;IFERROR(INDEX(PASTE_ALL,$DF775,6)&amp;"","")&amp;"␟"&amp;IFERROR(INDEX(PASTE_ALL,$DF775,7)&amp;"","")&amp;"␟"&amp;IFERROR(INDEX(PASTE_ALL,$DF775,8)&amp;"","")&amp;"␟"&amp;IFERROR(INDEX(PASTE_ALL,$DF775,9)&amp;"","")&amp;"␟"&amp;IFERROR(INDEX(PASTE_ALL,$DF775,10)&amp;"","")&amp;"␟"&amp;IFERROR(INDEX(PASTE_ALL,$DF775,11)&amp;"","")&amp;"␟"&amp;IFERROR(INDEX(PASTE_ALL,$DF775,12)&amp;"","")&amp;"␟"&amp;IFERROR(INDEX(PASTE_ALL,$DF775,13)&amp;"","")&amp;"␟"&amp;IFERROR(INDEX(PASTE_ALL,$DF775,14)&amp;"","")&amp;"␟"&amp;IFERROR(INDEX(PASTE_ALL,$DF775,15)&amp;"","")&amp;"␟"&amp;IFERROR(INDEX(PASTE_ALL,$DF775,16)&amp;"","")&amp;"␟"&amp;IFERROR(INDEX(PASTE_ALL,$DF775,17)&amp;"","")&amp;"␟"&amp;IFERROR(INDEX(PASTE_ALL,$DF775,18)&amp;"","")&amp;"␟"&amp;IFERROR(INDEX(PASTE_ALL,$DF775,19)&amp;"","")&amp;"␟"&amp;IFERROR(INDEX(PASTE_ALL,$DF775,20)&amp;"","")&amp;"␟"&amp;IFERROR(INDEX(PASTE_ALL,$DF775,21)&amp;"","")&amp;"␟"&amp;IFERROR(INDEX(PASTE_ALL,$DF775,22)&amp;"","")&amp;"␟"&amp;IFERROR(INDEX(PASTE_ALL,$DF775,23)&amp;"","")&amp;"␟"&amp;IFERROR(INDEX(PASTE_ALL,$DF775,24)&amp;"","")&amp;"␟"&amp;IFERROR(INDEX(PASTE_ALL,$DF775,25)&amp;"","")&amp;"␟"&amp;IFERROR(INDEX(PASTE_ALL,$DF775,26)&amp;"","")&amp;"␟"&amp;IFERROR(INDEX(PASTE_ALL,$DF775,27)&amp;"","")&amp;"␟"&amp;IFERROR(INDEX(PASTE_ALL,$DF775,28)&amp;"","")&amp;"␟"&amp;IFERROR(INDEX(PASTE_ALL,$DF775,29)&amp;"","")&amp;"␟"&amp;IFERROR(INDEX(PASTE_ALL,$DF775,30)&amp;"","")&amp;"␟"&amp;IFERROR(INDEX(PASTE_ALL,$DF775,31)&amp;"","")&amp;"␟"&amp;IFERROR(INDEX(PASTE_ALL,$DF775,32)&amp;"","")&amp;"␟"&amp;IFERROR(INDEX(PASTE_ALL,$DF775,33)&amp;"","")&amp;"␟"&amp;IFERROR(INDEX(PASTE_ALL,$DF775,34)&amp;"","")&amp;"␟"&amp;IFERROR(INDEX(PASTE_ALL,$DF775,35)&amp;"","")&amp;"␟"&amp;IFERROR(INDEX(PASTE_ALL,$DF775,36)&amp;"","")&amp;"␟"&amp;IFERROR(INDEX(PASTE_ALL,$DF775,37)&amp;"","")&amp;"␟"&amp;IFERROR(INDEX(PASTE_ALL,$DF775,38)&amp;"","")&amp;"␟"&amp;IFERROR(INDEX(PASTE_ALL,$DF775,39)&amp;"","")&amp;"␟"&amp;IFERROR(INDEX(PASTE_ALL,$DF775,40)&amp;"","")&amp;"␟"&amp;IFERROR(INDEX(PASTE_ALL,$DF775,41)&amp;"","")&amp;"␟"&amp;IFERROR(INDEX(PASTE_ALL,$DF775,42)&amp;"","")&amp;"␟"&amp;IFERROR(INDEX(PASTE_ALL,$DF775,43)&amp;"","")&amp;"␟"&amp;IFERROR(INDEX(PASTE_ALL,$DF775,44)&amp;"","")&amp;"␟"&amp;IFERROR(INDEX(PASTE_ALL,$DF775,45)&amp;"","")&amp;"␟"&amp;IFERROR(INDEX(PASTE_ALL,$DF775,46)&amp;"","")&amp;"␟"&amp;IFERROR(INDEX(PASTE_ALL,$DF775,47)&amp;"","")&amp;"␟"&amp;IFERROR(INDEX(PASTE_ALL,$DF775,48)&amp;"","")&amp;"␟"&amp;IFERROR(INDEX(PASTE_ALL,$DF775,49)&amp;"","")&amp;"␟"&amp;IFERROR(INDEX(PASTE_ALL,$DF775,50)&amp;"","")&amp;"␟"&amp;IFERROR(INDEX(PASTE_ALL,$DF775,51)&amp;"","")&amp;"␟"&amp;IFERROR(INDEX(PASTE_ALL,$DF775,52)&amp;"","")&amp;"␟"&amp;IFERROR(INDEX(PASTE_ALL,$DF775,53)&amp;"","")&amp;"␟"&amp;IFERROR(INDEX(PASTE_ALL,$DF775,54)&amp;"","")&amp;"␟"&amp;IFERROR(INDEX(PASTE_ALL,$DF775,55)&amp;"","")&amp;"␟"&amp;IFERROR(INDEX(PASTE_ALL,$DF775,56)&amp;"","")&amp;"␟"&amp;IFERROR(INDEX(PASTE_ALL,$DF775,57)&amp;"","")&amp;"␟"&amp;IFERROR(INDEX(PASTE_ALL,$DF775,58)&amp;"","")&amp;"␟"&amp;IFERROR(INDEX(PASTE_ALL,$DF775,59)&amp;"","")&amp;"␟"&amp;IFERROR(INDEX(PASTE_ALL,$DF775,60)&amp;"","")," "," "),CHAR(9)," "),CHAR(10)," "),CHAR(13)," "))," ␟","␟"),"␟ ","␟"),"#"&amp;$DE775),"")</f>
        <v/>
      </c>
      <c r="DJ775">
        <f>IF($DI775="",0,IF(SUMPRODUCT(--EXACT($DI$4:DI774,$DI775))&gt;0,1,0))</f>
        <v/>
      </c>
      <c r="DK775">
        <f>IF(AND($DI775&lt;&gt;"",$DJ775=0),1,0)</f>
        <v/>
      </c>
      <c r="DL775">
        <f>DL774+$DK775</f>
        <v/>
      </c>
      <c r="DM775">
        <f>IF(AND($DK775=1,$DL775&lt;=600),1,0)</f>
        <v/>
      </c>
      <c r="DN775">
        <f>IF($DM775=0,"",IF($L$6=0,"",IFERROR(IF(ISNUMBER(INDEX(PASTE_ALL,$DF775,$L$6)),INDEX(PASTE_ALL,$DF775,$L$6),TRIM(SUBSTITUTE(SUBSTITUTE(SUBSTITUTE(SUBSTITUTE(INDEX(PASTE_ALL,$DF775,$L$6)," "," "),CHAR(9)," "),CHAR(10)," "),CHAR(13)," "))),"")))</f>
        <v/>
      </c>
      <c r="DO775">
        <f>IF($DM775=0,"",IF($L$7=0,"",IFERROR(IF(ISNUMBER(INDEX(PASTE_ALL,$DF775,$L$7)),INDEX(PASTE_ALL,$DF775,$L$7),TRIM(SUBSTITUTE(SUBSTITUTE(SUBSTITUTE(SUBSTITUTE(INDEX(PASTE_ALL,$DF775,$L$7)," "," "),CHAR(9)," "),CHAR(10)," "),CHAR(13)," "))),"")))</f>
        <v/>
      </c>
      <c r="DP775">
        <f>IF($DM775=0,"",IF($L$8=0,"",IFERROR(IF(ISNUMBER(INDEX(PASTE_ALL,$DF775,$L$8)),INDEX(PASTE_ALL,$DF775,$L$8),TRIM(SUBSTITUTE(SUBSTITUTE(SUBSTITUTE(SUBSTITUTE(INDEX(PASTE_ALL,$DF775,$L$8)," "," "),CHAR(9)," "),CHAR(10)," "),CHAR(13)," "))),"")))</f>
        <v/>
      </c>
      <c r="DQ775">
        <f>IF($DM775=0,"",IF($L$9=0,"",IFERROR(IF(ISNUMBER(INDEX(PASTE_ALL,$DF775,$L$9)),INDEX(PASTE_ALL,$DF775,$L$9),TRIM(SUBSTITUTE(SUBSTITUTE(SUBSTITUTE(SUBSTITUTE(INDEX(PASTE_ALL,$DF775,$L$9)," "," "),CHAR(9)," "),CHAR(10)," "),CHAR(13)," "))),"")))</f>
        <v/>
      </c>
      <c r="DR775">
        <f>IF($DM775=0,"",IF($L$10=0,"",IFERROR(IF(ISNUMBER(INDEX(PASTE_ALL,$DF775,$L$10)),INDEX(PASTE_ALL,$DF775,$L$10),TRIM(SUBSTITUTE(SUBSTITUTE(SUBSTITUTE(SUBSTITUTE(INDEX(PASTE_ALL,$DF775,$L$10)," "," "),CHAR(9)," "),CHAR(10)," "),CHAR(13)," "))),"")))</f>
        <v/>
      </c>
      <c r="DS775">
        <f>IF($DM775=0,"",IF($L$11=0,"",IFERROR(IF(ISNUMBER(INDEX(PASTE_ALL,$DF775,$L$11)),INDEX(PASTE_ALL,$DF775,$L$11),TRIM(SUBSTITUTE(SUBSTITUTE(SUBSTITUTE(SUBSTITUTE(INDEX(PASTE_ALL,$DF775,$L$11)," "," "),CHAR(9)," "),CHAR(10)," "),CHAR(13)," "))),"")))</f>
        <v/>
      </c>
      <c r="DT775">
        <f>IF($DM775=0,"",IF($L$12=0,"",IFERROR(IF(ISNUMBER(INDEX(PASTE_ALL,$DF775,$L$12)),INDEX(PASTE_ALL,$DF775,$L$12),TRIM(SUBSTITUTE(SUBSTITUTE(SUBSTITUTE(SUBSTITUTE(INDEX(PASTE_ALL,$DF775,$L$12)," "," "),CHAR(9)," "),CHAR(10)," "),CHAR(13)," "))),"")))</f>
        <v/>
      </c>
      <c r="DU775">
        <f>IF($DM775=0,"",IF($L$13=0,"",IFERROR(IF(ISNUMBER(INDEX(PASTE_ALL,$DF775,$L$13)),INDEX(PASTE_ALL,$DF775,$L$13),TRIM(SUBSTITUTE(SUBSTITUTE(SUBSTITUTE(SUBSTITUTE(INDEX(PASTE_ALL,$DF775,$L$13)," "," "),CHAR(9)," "),CHAR(10)," "),CHAR(13)," "))),"")))</f>
        <v/>
      </c>
      <c r="DV775">
        <f>IF($DM775=0,"",IF($L$14=0,"",IFERROR(IF(ISNUMBER(INDEX(PASTE_ALL,$DF775,$L$14)),INDEX(PASTE_ALL,$DF775,$L$14),TRIM(SUBSTITUTE(SUBSTITUTE(SUBSTITUTE(SUBSTITUTE(INDEX(PASTE_ALL,$DF775,$L$14)," "," "),CHAR(9)," "),CHAR(10)," "),CHAR(13)," "))),"")))</f>
        <v/>
      </c>
      <c r="DW775">
        <f>IF($DM775=0,"",IF($L$15=0,"",IFERROR(IF(ISNUMBER(INDEX(PASTE_ALL,$DF775,$L$15)),INDEX(PASTE_ALL,$DF775,$L$15),IF(SUMPRODUCT(--ISNUMBER(FIND({"A","B","C","D","E","F","G","H","I","J","K","L","M","N","O","P","Q","R","S","T","U","V","W","X","Y","Z","0","1","2","3","4","5","6","7","8","9"},UPPER(TRIM(SUBSTITUTE(SUBSTITUTE(SUBSTITUTE(SUBSTITUTE(INDEX(PASTE_ALL,$DF775,$L$15)," "," "),CHAR(9)," "),CHAR(10)," "),CHAR(13)," "))))))&gt;0,TRIM(SUBSTITUTE(SUBSTITUTE(SUBSTITUTE(SUBSTITUTE(INDEX(PASTE_ALL,$DF775,$L$15)," "," "),CHAR(9)," "),CHAR(10)," "),CHAR(13)," ")),"")),"")))</f>
        <v/>
      </c>
      <c r="DX775">
        <f>IF($DM775=0,"",IF($L$16=0,"",IFERROR(IF(ISNUMBER(INDEX(PASTE_ALL,$DF775,$L$16)),INDEX(PASTE_ALL,$DF775,$L$16),SUBSTITUTE(SUBSTITUTE(TRIM(SUBSTITUTE(SUBSTITUTE(SUBSTITUTE(SUBSTITUTE(INDEX(PASTE_ALL,$DF775,$L$16)," "," "),CHAR(9)," "),CHAR(10)," "),CHAR(13)," ")),",",""),"%","")),"")))</f>
        <v/>
      </c>
      <c r="DY775">
        <f>IF($DM775=0,"",IFERROR(IF(ISNUMBER($DX775),$DX775,IF($DX775="","",IF(TRIM($DX775)="",0,IF(AND(AND(SUBSTITUTE(SUBSTITUTE(SUBSTITUTE(SUBSTITUTE(SUBSTITUTE(SUBSTITUTE(SUBSTITUTE(SUBSTITUTE(SUBSTITUTE(SUBSTITUTE(SUBSTITUTE(SUBSTITUTE(SUBSTITUTE(SUBSTITUTE(UPPER(TRIM($DX775)),"0",""),"1",""),"2",""),"3",""),"4",""),"5",""),"6",""),"7",""),"8",""),"9",""),".",""),"+",""),"-",""),"E","")="",LEN(SUBSTITUTE(SUBSTITUTE(MID(UPPER(TRIM($DX775)),1+OR(LEFT(UPPER(TRIM($DX775)),1)="+",LEFT(UPPER(TRIM($DX775)),1)="-"),999),"E+","E"),"E-","E"))=LEN(SUBSTITUTE(SUBSTITUTE(SUBSTITUTE(SUBSTITUTE(MID(UPPER(TRIM($DX775)),1+OR(LEFT(UPPER(TRIM($DX775)),1)="+",LEFT(UPPER(TRIM($DX775)),1)="-"),999),"E+","E"),"E-","E"),"+",""),"-","")),LEN(UPPER(TRIM($DX775)))-LEN(SUBSTITUTE(UPPER(TRIM($DX775)),"E",""))&lt;2,LEN(UPPER(TRIM($DX775)))-LEN(SUBSTITUTE(UPPER(TRIM($DX775)),".",""))&lt;2,IFERROR(FIND(".",UPPER(TRIM($DX775))),0)&lt;IFERROR(FIND("E",UPPER(TRIM($DX775))),999)),ISNUMBER(VALUE(TRIM($DX775)))),VALUE(TRIM($DX775)),"")))),""))</f>
        <v/>
      </c>
      <c r="DZ775">
        <f>IF($DM775=0,"",IF($L$17=0,"",IFERROR(IF(ISNUMBER(INDEX(PASTE_ALL,$DF775,$L$17)),INDEX(PASTE_ALL,$DF775,$L$17),SUBSTITUTE(SUBSTITUTE(TRIM(SUBSTITUTE(SUBSTITUTE(SUBSTITUTE(SUBSTITUTE(INDEX(PASTE_ALL,$DF775,$L$17)," "," "),CHAR(9)," "),CHAR(10)," "),CHAR(13)," ")),",",""),"%","")),"")))</f>
        <v/>
      </c>
      <c r="EA775">
        <f>IF($DM775=0,"",IFERROR(IF(ISNUMBER($DZ775),$DZ775,IF($DZ775="","",IF(TRIM($DZ775)="",0,IF(AND(AND(SUBSTITUTE(SUBSTITUTE(SUBSTITUTE(SUBSTITUTE(SUBSTITUTE(SUBSTITUTE(SUBSTITUTE(SUBSTITUTE(SUBSTITUTE(SUBSTITUTE(SUBSTITUTE(SUBSTITUTE(SUBSTITUTE(SUBSTITUTE(UPPER(TRIM($DZ775)),"0",""),"1",""),"2",""),"3",""),"4",""),"5",""),"6",""),"7",""),"8",""),"9",""),".",""),"+",""),"-",""),"E","")="",LEN(SUBSTITUTE(SUBSTITUTE(MID(UPPER(TRIM($DZ775)),1+OR(LEFT(UPPER(TRIM($DZ775)),1)="+",LEFT(UPPER(TRIM($DZ775)),1)="-"),999),"E+","E"),"E-","E"))=LEN(SUBSTITUTE(SUBSTITUTE(SUBSTITUTE(SUBSTITUTE(MID(UPPER(TRIM($DZ775)),1+OR(LEFT(UPPER(TRIM($DZ775)),1)="+",LEFT(UPPER(TRIM($DZ775)),1)="-"),999),"E+","E"),"E-","E"),"+",""),"-","")),LEN(UPPER(TRIM($DZ775)))-LEN(SUBSTITUTE(UPPER(TRIM($DZ775)),"E",""))&lt;2,LEN(UPPER(TRIM($DZ775)))-LEN(SUBSTITUTE(UPPER(TRIM($DZ775)),".",""))&lt;2,IFERROR(FIND(".",UPPER(TRIM($DZ775))),0)&lt;IFERROR(FIND("E",UPPER(TRIM($DZ775))),999)),ISNUMBER(VALUE(TRIM($DZ775)))),VALUE(TRIM($DZ775)),"")))),""))</f>
        <v/>
      </c>
      <c r="EB775">
        <f>IF($DM775=0,"",IF($L$18=0,"",IFERROR(IF(UPPER(TRIM(SUBSTITUTE(SUBSTITUTE(SUBSTITUTE(SUBSTITUTE(INDEX(PASTE_ALL,$DF775,$L$18)," "," "),CHAR(9)," "),CHAR(10)," "),CHAR(13)," ")))="READY","Ready",IF(UPPER(TRIM(SUBSTITUTE(SUBSTITUTE(SUBSTITUTE(SUBSTITUTE(INDEX(PASTE_ALL,$DF775,$L$18)," "," "),CHAR(9)," "),CHAR(10)," "),CHAR(13)," ")))="PM","PM",IF(OR(UPPER(TRIM(SUBSTITUTE(SUBSTITUTE(SUBSTITUTE(SUBSTITUTE(INDEX(PASTE_ALL,$DF775,$L$18)," "," "),CHAR(9)," "),CHAR(10)," "),CHAR(13)," ")))="OT",UPPER(TRIM(SUBSTITUTE(SUBSTITUTE(SUBSTITUTE(SUBSTITUTE(INDEX(PASTE_ALL,$DF775,$L$18)," "," "),CHAR(9)," "),CHAR(10)," "),CHAR(13)," ")))="OVERTIME",UPPER(TRIM(SUBSTITUTE(SUBSTITUTE(SUBSTITUTE(SUBSTITUTE(INDEX(PASTE_ALL,$DF775,$L$18)," "," "),CHAR(9)," "),CHAR(10)," "),CHAR(13)," ")))="TRIAL"),"OT",TRIM(SUBSTITUTE(SUBSTITUTE(SUBSTITUTE(SUBSTITUTE(INDEX(PASTE_ALL,$DF775,$L$18)," "," "),CHAR(9)," "),CHAR(10)," "),CHAR(13)," "))))),"")))</f>
        <v/>
      </c>
      <c r="EC775">
        <f>IF($DM775=0,"",IF($L$19=0,"",IFERROR(IF(ISNUMBER(INDEX(PASTE_ALL,$DF775,$L$19)),INDEX(PASTE_ALL,$DF775,$L$19),TRIM(SUBSTITUTE(SUBSTITUTE(SUBSTITUTE(SUBSTITUTE(INDEX(PASTE_ALL,$DF775,$L$19)," "," "),CHAR(9)," "),CHAR(10)," "),CHAR(13)," "))),"")))</f>
        <v/>
      </c>
      <c r="ED775">
        <f>IF($DM775=0,"",MATCH(1,INDEX(EXACT($DH$5:DH775,$DH775)*$DM$5:DM775,0),0))</f>
        <v/>
      </c>
      <c r="EE775">
        <f>IF($DM775=0,0,IF($ED775=$DE775,1,0))</f>
        <v/>
      </c>
      <c r="EF775">
        <f>EF774+$EE775</f>
        <v/>
      </c>
      <c r="EG775">
        <f>IF($DM775=0,"",INDEX($EF$5:$EF$1003,$ED775))</f>
        <v/>
      </c>
      <c r="EH775">
        <f>IF($DM775=0,"",IF($DO775&lt;&gt;"","",IFERROR(LOOKUP(2,1/(($EG$4:EG774=$EG775)*($DO$4:DO774&lt;&gt;"")),$DO$4:DO774),"")))</f>
        <v/>
      </c>
      <c r="EI775">
        <f>IF($DM775=0,"",IF($DO775&lt;&gt;"",$DO775,$EH775))</f>
        <v/>
      </c>
      <c r="EJ775">
        <f>IF($DM775=0,"",IF($EI775="",0,IF(OR(ISNUMBER($EI775),AND(AND(SUBSTITUTE(SUBSTITUTE(SUBSTITUTE(SUBSTITUTE(SUBSTITUTE(SUBSTITUTE(SUBSTITUTE(SUBSTITUTE(SUBSTITUTE(SUBSTITUTE(SUBSTITUTE(SUBSTITUTE(SUBSTITUTE(SUBSTITUTE(UPPER($EI775),"0",""),"1",""),"2",""),"3",""),"4",""),"5",""),"6",""),"7",""),"8",""),"9",""),".",""),"+",""),"-",""),"E","")="",LEN(SUBSTITUTE(SUBSTITUTE(MID(UPPER($EI775),1+OR(LEFT(UPPER($EI775),1)="+",LEFT(UPPER($EI775),1)="-"),999),"E+","E"),"E-","E"))=LEN(SUBSTITUTE(SUBSTITUTE(SUBSTITUTE(SUBSTITUTE(MID(UPPER($EI775),1+OR(LEFT(UPPER($EI775),1)="+",LEFT(UPPER($EI775),1)="-"),999),"E+","E"),"E-","E"),"+",""),"-","")),LEN(UPPER($EI775))-LEN(SUBSTITUTE(UPPER($EI775),"E",""))&lt;2,LEN(UPPER($EI775))-LEN(SUBSTITUTE(UPPER($EI775),".",""))&lt;2,IFERROR(FIND(".",UPPER($EI775)),0)&lt;IFERROR(FIND("E",UPPER($EI775)),999)),ISNUMBER(VALUE($EI775)))),1,2)))</f>
        <v/>
      </c>
      <c r="EK775">
        <f>IF($DM775=0,"",IF($EJ775=1,IF(ISNUMBER($EI775),$EI775,VALUE($EI775)),IF($EJ775=2,$DE775,0)))</f>
        <v/>
      </c>
      <c r="EL775">
        <f>IF($DM775=0,"",COUNTIF($EG$5:$EG$1003,"&lt;"&amp;$EG775)+SUMPRODUCT(($EG$5:$EG$1003=$EG775)*(($EJ$5:$EJ$1003&lt;$EJ775)+($EJ$5:$EJ$1003=$EJ775)*(($EK$5:$EK$1003&lt;$EK775)+($EK$5:$EK$1003=$EK775)*($DE$5:$DE$1003&lt;$DE775))))+1)</f>
        <v/>
      </c>
      <c r="EM775">
        <f>IF($DM775=0,"",$EL775+$EG775-1)</f>
        <v/>
      </c>
      <c r="EN775">
        <f>IF($DM775=0,0,IFERROR(MATCH(1,INDEX(--(TRIM(SUBSTITUTE(SUBSTITUTE(SUBSTITUTE(SUBSTITUTE(LINES_NAME&amp;""," "," "),CHAR(9)," "),CHAR(10)," "),CHAR(13)," "))=$DH775),0),0),0))</f>
        <v/>
      </c>
      <c r="EO775">
        <f>IF($EN775=0,0,IF(OR(UPPER(TRIM(INDEX(LINES_SCHEDULED,$EN775)&amp;""))="YES",UPPER(TRIM(INDEX(LINES_SCHEDULED,$EN775)&amp;""))="Y",UPPER(TRIM(INDEX(LINES_SCHEDULED,$EN775)&amp;""))="X"),1,0))</f>
        <v/>
      </c>
      <c r="EP775">
        <f>IF($DM775=0,"",IF(COUNTIFS($EG$5:$EG$1003,$EG775,$EB$5:$EB$1003,"Ready")&gt;0,"READY",IF(COUNTIFS($EG$5:$EG$1003,$EG775,$EB$5:$EB$1003,"PM")&gt;0,"PM",IF(COUNTIFS($EG$5:$EG$1003,$EG775,$EB$5:$EB$1003,"OT")&gt;0,"OT",""))))</f>
        <v/>
      </c>
      <c r="EQ775">
        <f>IF($EN775=0,"",UPPER(TRIM(INDEX(LINES_STATUS,$EN775)&amp;"")))</f>
        <v/>
      </c>
      <c r="ER775">
        <f>IF($DM775=0,"",IF(OR($EQ775="READY",$EQ775="PM",$EQ775="OT"),$EQ775,$EP775))</f>
        <v/>
      </c>
      <c r="ES775">
        <f>IF($DM775=0,"",IF(AND($DV775&lt;&gt;"",UPPER($DV775)&lt;&gt;"N"),"allergen",IF(ISNUMBER(SEARCH("oil",$DQ775)),"oil",IF(OR(EXACT($DS775,"A662"),EXACT($DS775,"A624")),"bulk",""))))</f>
        <v/>
      </c>
      <c r="ET775">
        <f>IF($DM775=0,"",IF(OR($EA775="",$EA775=0),"",$EA775/100))</f>
        <v/>
      </c>
      <c r="EU775">
        <f>IF(OR($ET775="",$DY775=""),"",INT($DY775*(1-$ET775)+0.5))</f>
        <v/>
      </c>
    </row>
    <row r="776">
      <c r="DA776" t="n">
        <v>772</v>
      </c>
      <c r="DB776">
        <f>IF($B$37=0,"",IFERROR(TRIM(SUBSTITUTE(SUBSTITUTE(SUBSTITUTE(SUBSTITUTE(INDEX(PASTE_ALL,772,$B$37)," "," "),CHAR(9)," "),CHAR(10)," "),CHAR(13)," ")),""))</f>
        <v/>
      </c>
      <c r="DC776">
        <f>IF(AND(772&gt;HEADER_ROW,UPPER(DB776)="LEGEND"),1,0)</f>
        <v/>
      </c>
      <c r="DE776" t="n">
        <v>772</v>
      </c>
      <c r="DF776">
        <f>HEADER_ROW+$DE776</f>
        <v/>
      </c>
      <c r="DG776">
        <f>IF(AND($DF776&lt;=1000,$DF776&lt;$B$8),1,0)</f>
        <v/>
      </c>
      <c r="DH776">
        <f>IF($DG776=1,IFERROR(INDEX($DB$5:$DB$1004,$DF776),""),"")</f>
        <v/>
      </c>
      <c r="DI776">
        <f>IF(AND($DG776=1,$DH776&lt;&gt;""),IFERROR(SUBSTITUTE(SUBSTITUTE(TRIM(SUBSTITUTE(SUBSTITUTE(SUBSTITUTE(SUBSTITUTE(IFERROR(INDEX(PASTE_ALL,$DF776,1)&amp;"","")&amp;"␟"&amp;IFERROR(INDEX(PASTE_ALL,$DF776,2)&amp;"","")&amp;"␟"&amp;IFERROR(INDEX(PASTE_ALL,$DF776,3)&amp;"","")&amp;"␟"&amp;IFERROR(INDEX(PASTE_ALL,$DF776,4)&amp;"","")&amp;"␟"&amp;IFERROR(INDEX(PASTE_ALL,$DF776,5)&amp;"","")&amp;"␟"&amp;IFERROR(INDEX(PASTE_ALL,$DF776,6)&amp;"","")&amp;"␟"&amp;IFERROR(INDEX(PASTE_ALL,$DF776,7)&amp;"","")&amp;"␟"&amp;IFERROR(INDEX(PASTE_ALL,$DF776,8)&amp;"","")&amp;"␟"&amp;IFERROR(INDEX(PASTE_ALL,$DF776,9)&amp;"","")&amp;"␟"&amp;IFERROR(INDEX(PASTE_ALL,$DF776,10)&amp;"","")&amp;"␟"&amp;IFERROR(INDEX(PASTE_ALL,$DF776,11)&amp;"","")&amp;"␟"&amp;IFERROR(INDEX(PASTE_ALL,$DF776,12)&amp;"","")&amp;"␟"&amp;IFERROR(INDEX(PASTE_ALL,$DF776,13)&amp;"","")&amp;"␟"&amp;IFERROR(INDEX(PASTE_ALL,$DF776,14)&amp;"","")&amp;"␟"&amp;IFERROR(INDEX(PASTE_ALL,$DF776,15)&amp;"","")&amp;"␟"&amp;IFERROR(INDEX(PASTE_ALL,$DF776,16)&amp;"","")&amp;"␟"&amp;IFERROR(INDEX(PASTE_ALL,$DF776,17)&amp;"","")&amp;"␟"&amp;IFERROR(INDEX(PASTE_ALL,$DF776,18)&amp;"","")&amp;"␟"&amp;IFERROR(INDEX(PASTE_ALL,$DF776,19)&amp;"","")&amp;"␟"&amp;IFERROR(INDEX(PASTE_ALL,$DF776,20)&amp;"","")&amp;"␟"&amp;IFERROR(INDEX(PASTE_ALL,$DF776,21)&amp;"","")&amp;"␟"&amp;IFERROR(INDEX(PASTE_ALL,$DF776,22)&amp;"","")&amp;"␟"&amp;IFERROR(INDEX(PASTE_ALL,$DF776,23)&amp;"","")&amp;"␟"&amp;IFERROR(INDEX(PASTE_ALL,$DF776,24)&amp;"","")&amp;"␟"&amp;IFERROR(INDEX(PASTE_ALL,$DF776,25)&amp;"","")&amp;"␟"&amp;IFERROR(INDEX(PASTE_ALL,$DF776,26)&amp;"","")&amp;"␟"&amp;IFERROR(INDEX(PASTE_ALL,$DF776,27)&amp;"","")&amp;"␟"&amp;IFERROR(INDEX(PASTE_ALL,$DF776,28)&amp;"","")&amp;"␟"&amp;IFERROR(INDEX(PASTE_ALL,$DF776,29)&amp;"","")&amp;"␟"&amp;IFERROR(INDEX(PASTE_ALL,$DF776,30)&amp;"","")&amp;"␟"&amp;IFERROR(INDEX(PASTE_ALL,$DF776,31)&amp;"","")&amp;"␟"&amp;IFERROR(INDEX(PASTE_ALL,$DF776,32)&amp;"","")&amp;"␟"&amp;IFERROR(INDEX(PASTE_ALL,$DF776,33)&amp;"","")&amp;"␟"&amp;IFERROR(INDEX(PASTE_ALL,$DF776,34)&amp;"","")&amp;"␟"&amp;IFERROR(INDEX(PASTE_ALL,$DF776,35)&amp;"","")&amp;"␟"&amp;IFERROR(INDEX(PASTE_ALL,$DF776,36)&amp;"","")&amp;"␟"&amp;IFERROR(INDEX(PASTE_ALL,$DF776,37)&amp;"","")&amp;"␟"&amp;IFERROR(INDEX(PASTE_ALL,$DF776,38)&amp;"","")&amp;"␟"&amp;IFERROR(INDEX(PASTE_ALL,$DF776,39)&amp;"","")&amp;"␟"&amp;IFERROR(INDEX(PASTE_ALL,$DF776,40)&amp;"","")&amp;"␟"&amp;IFERROR(INDEX(PASTE_ALL,$DF776,41)&amp;"","")&amp;"␟"&amp;IFERROR(INDEX(PASTE_ALL,$DF776,42)&amp;"","")&amp;"␟"&amp;IFERROR(INDEX(PASTE_ALL,$DF776,43)&amp;"","")&amp;"␟"&amp;IFERROR(INDEX(PASTE_ALL,$DF776,44)&amp;"","")&amp;"␟"&amp;IFERROR(INDEX(PASTE_ALL,$DF776,45)&amp;"","")&amp;"␟"&amp;IFERROR(INDEX(PASTE_ALL,$DF776,46)&amp;"","")&amp;"␟"&amp;IFERROR(INDEX(PASTE_ALL,$DF776,47)&amp;"","")&amp;"␟"&amp;IFERROR(INDEX(PASTE_ALL,$DF776,48)&amp;"","")&amp;"␟"&amp;IFERROR(INDEX(PASTE_ALL,$DF776,49)&amp;"","")&amp;"␟"&amp;IFERROR(INDEX(PASTE_ALL,$DF776,50)&amp;"","")&amp;"␟"&amp;IFERROR(INDEX(PASTE_ALL,$DF776,51)&amp;"","")&amp;"␟"&amp;IFERROR(INDEX(PASTE_ALL,$DF776,52)&amp;"","")&amp;"␟"&amp;IFERROR(INDEX(PASTE_ALL,$DF776,53)&amp;"","")&amp;"␟"&amp;IFERROR(INDEX(PASTE_ALL,$DF776,54)&amp;"","")&amp;"␟"&amp;IFERROR(INDEX(PASTE_ALL,$DF776,55)&amp;"","")&amp;"␟"&amp;IFERROR(INDEX(PASTE_ALL,$DF776,56)&amp;"","")&amp;"␟"&amp;IFERROR(INDEX(PASTE_ALL,$DF776,57)&amp;"","")&amp;"␟"&amp;IFERROR(INDEX(PASTE_ALL,$DF776,58)&amp;"","")&amp;"␟"&amp;IFERROR(INDEX(PASTE_ALL,$DF776,59)&amp;"","")&amp;"␟"&amp;IFERROR(INDEX(PASTE_ALL,$DF776,60)&amp;"","")," "," "),CHAR(9)," "),CHAR(10)," "),CHAR(13)," "))," ␟","␟"),"␟ ","␟"),"#"&amp;$DE776),"")</f>
        <v/>
      </c>
      <c r="DJ776">
        <f>IF($DI776="",0,IF(SUMPRODUCT(--EXACT($DI$4:DI775,$DI776))&gt;0,1,0))</f>
        <v/>
      </c>
      <c r="DK776">
        <f>IF(AND($DI776&lt;&gt;"",$DJ776=0),1,0)</f>
        <v/>
      </c>
      <c r="DL776">
        <f>DL775+$DK776</f>
        <v/>
      </c>
      <c r="DM776">
        <f>IF(AND($DK776=1,$DL776&lt;=600),1,0)</f>
        <v/>
      </c>
      <c r="DN776">
        <f>IF($DM776=0,"",IF($L$6=0,"",IFERROR(IF(ISNUMBER(INDEX(PASTE_ALL,$DF776,$L$6)),INDEX(PASTE_ALL,$DF776,$L$6),TRIM(SUBSTITUTE(SUBSTITUTE(SUBSTITUTE(SUBSTITUTE(INDEX(PASTE_ALL,$DF776,$L$6)," "," "),CHAR(9)," "),CHAR(10)," "),CHAR(13)," "))),"")))</f>
        <v/>
      </c>
      <c r="DO776">
        <f>IF($DM776=0,"",IF($L$7=0,"",IFERROR(IF(ISNUMBER(INDEX(PASTE_ALL,$DF776,$L$7)),INDEX(PASTE_ALL,$DF776,$L$7),TRIM(SUBSTITUTE(SUBSTITUTE(SUBSTITUTE(SUBSTITUTE(INDEX(PASTE_ALL,$DF776,$L$7)," "," "),CHAR(9)," "),CHAR(10)," "),CHAR(13)," "))),"")))</f>
        <v/>
      </c>
      <c r="DP776">
        <f>IF($DM776=0,"",IF($L$8=0,"",IFERROR(IF(ISNUMBER(INDEX(PASTE_ALL,$DF776,$L$8)),INDEX(PASTE_ALL,$DF776,$L$8),TRIM(SUBSTITUTE(SUBSTITUTE(SUBSTITUTE(SUBSTITUTE(INDEX(PASTE_ALL,$DF776,$L$8)," "," "),CHAR(9)," "),CHAR(10)," "),CHAR(13)," "))),"")))</f>
        <v/>
      </c>
      <c r="DQ776">
        <f>IF($DM776=0,"",IF($L$9=0,"",IFERROR(IF(ISNUMBER(INDEX(PASTE_ALL,$DF776,$L$9)),INDEX(PASTE_ALL,$DF776,$L$9),TRIM(SUBSTITUTE(SUBSTITUTE(SUBSTITUTE(SUBSTITUTE(INDEX(PASTE_ALL,$DF776,$L$9)," "," "),CHAR(9)," "),CHAR(10)," "),CHAR(13)," "))),"")))</f>
        <v/>
      </c>
      <c r="DR776">
        <f>IF($DM776=0,"",IF($L$10=0,"",IFERROR(IF(ISNUMBER(INDEX(PASTE_ALL,$DF776,$L$10)),INDEX(PASTE_ALL,$DF776,$L$10),TRIM(SUBSTITUTE(SUBSTITUTE(SUBSTITUTE(SUBSTITUTE(INDEX(PASTE_ALL,$DF776,$L$10)," "," "),CHAR(9)," "),CHAR(10)," "),CHAR(13)," "))),"")))</f>
        <v/>
      </c>
      <c r="DS776">
        <f>IF($DM776=0,"",IF($L$11=0,"",IFERROR(IF(ISNUMBER(INDEX(PASTE_ALL,$DF776,$L$11)),INDEX(PASTE_ALL,$DF776,$L$11),TRIM(SUBSTITUTE(SUBSTITUTE(SUBSTITUTE(SUBSTITUTE(INDEX(PASTE_ALL,$DF776,$L$11)," "," "),CHAR(9)," "),CHAR(10)," "),CHAR(13)," "))),"")))</f>
        <v/>
      </c>
      <c r="DT776">
        <f>IF($DM776=0,"",IF($L$12=0,"",IFERROR(IF(ISNUMBER(INDEX(PASTE_ALL,$DF776,$L$12)),INDEX(PASTE_ALL,$DF776,$L$12),TRIM(SUBSTITUTE(SUBSTITUTE(SUBSTITUTE(SUBSTITUTE(INDEX(PASTE_ALL,$DF776,$L$12)," "," "),CHAR(9)," "),CHAR(10)," "),CHAR(13)," "))),"")))</f>
        <v/>
      </c>
      <c r="DU776">
        <f>IF($DM776=0,"",IF($L$13=0,"",IFERROR(IF(ISNUMBER(INDEX(PASTE_ALL,$DF776,$L$13)),INDEX(PASTE_ALL,$DF776,$L$13),TRIM(SUBSTITUTE(SUBSTITUTE(SUBSTITUTE(SUBSTITUTE(INDEX(PASTE_ALL,$DF776,$L$13)," "," "),CHAR(9)," "),CHAR(10)," "),CHAR(13)," "))),"")))</f>
        <v/>
      </c>
      <c r="DV776">
        <f>IF($DM776=0,"",IF($L$14=0,"",IFERROR(IF(ISNUMBER(INDEX(PASTE_ALL,$DF776,$L$14)),INDEX(PASTE_ALL,$DF776,$L$14),TRIM(SUBSTITUTE(SUBSTITUTE(SUBSTITUTE(SUBSTITUTE(INDEX(PASTE_ALL,$DF776,$L$14)," "," "),CHAR(9)," "),CHAR(10)," "),CHAR(13)," "))),"")))</f>
        <v/>
      </c>
      <c r="DW776">
        <f>IF($DM776=0,"",IF($L$15=0,"",IFERROR(IF(ISNUMBER(INDEX(PASTE_ALL,$DF776,$L$15)),INDEX(PASTE_ALL,$DF776,$L$15),IF(SUMPRODUCT(--ISNUMBER(FIND({"A","B","C","D","E","F","G","H","I","J","K","L","M","N","O","P","Q","R","S","T","U","V","W","X","Y","Z","0","1","2","3","4","5","6","7","8","9"},UPPER(TRIM(SUBSTITUTE(SUBSTITUTE(SUBSTITUTE(SUBSTITUTE(INDEX(PASTE_ALL,$DF776,$L$15)," "," "),CHAR(9)," "),CHAR(10)," "),CHAR(13)," "))))))&gt;0,TRIM(SUBSTITUTE(SUBSTITUTE(SUBSTITUTE(SUBSTITUTE(INDEX(PASTE_ALL,$DF776,$L$15)," "," "),CHAR(9)," "),CHAR(10)," "),CHAR(13)," ")),"")),"")))</f>
        <v/>
      </c>
      <c r="DX776">
        <f>IF($DM776=0,"",IF($L$16=0,"",IFERROR(IF(ISNUMBER(INDEX(PASTE_ALL,$DF776,$L$16)),INDEX(PASTE_ALL,$DF776,$L$16),SUBSTITUTE(SUBSTITUTE(TRIM(SUBSTITUTE(SUBSTITUTE(SUBSTITUTE(SUBSTITUTE(INDEX(PASTE_ALL,$DF776,$L$16)," "," "),CHAR(9)," "),CHAR(10)," "),CHAR(13)," ")),",",""),"%","")),"")))</f>
        <v/>
      </c>
      <c r="DY776">
        <f>IF($DM776=0,"",IFERROR(IF(ISNUMBER($DX776),$DX776,IF($DX776="","",IF(TRIM($DX776)="",0,IF(AND(AND(SUBSTITUTE(SUBSTITUTE(SUBSTITUTE(SUBSTITUTE(SUBSTITUTE(SUBSTITUTE(SUBSTITUTE(SUBSTITUTE(SUBSTITUTE(SUBSTITUTE(SUBSTITUTE(SUBSTITUTE(SUBSTITUTE(SUBSTITUTE(UPPER(TRIM($DX776)),"0",""),"1",""),"2",""),"3",""),"4",""),"5",""),"6",""),"7",""),"8",""),"9",""),".",""),"+",""),"-",""),"E","")="",LEN(SUBSTITUTE(SUBSTITUTE(MID(UPPER(TRIM($DX776)),1+OR(LEFT(UPPER(TRIM($DX776)),1)="+",LEFT(UPPER(TRIM($DX776)),1)="-"),999),"E+","E"),"E-","E"))=LEN(SUBSTITUTE(SUBSTITUTE(SUBSTITUTE(SUBSTITUTE(MID(UPPER(TRIM($DX776)),1+OR(LEFT(UPPER(TRIM($DX776)),1)="+",LEFT(UPPER(TRIM($DX776)),1)="-"),999),"E+","E"),"E-","E"),"+",""),"-","")),LEN(UPPER(TRIM($DX776)))-LEN(SUBSTITUTE(UPPER(TRIM($DX776)),"E",""))&lt;2,LEN(UPPER(TRIM($DX776)))-LEN(SUBSTITUTE(UPPER(TRIM($DX776)),".",""))&lt;2,IFERROR(FIND(".",UPPER(TRIM($DX776))),0)&lt;IFERROR(FIND("E",UPPER(TRIM($DX776))),999)),ISNUMBER(VALUE(TRIM($DX776)))),VALUE(TRIM($DX776)),"")))),""))</f>
        <v/>
      </c>
      <c r="DZ776">
        <f>IF($DM776=0,"",IF($L$17=0,"",IFERROR(IF(ISNUMBER(INDEX(PASTE_ALL,$DF776,$L$17)),INDEX(PASTE_ALL,$DF776,$L$17),SUBSTITUTE(SUBSTITUTE(TRIM(SUBSTITUTE(SUBSTITUTE(SUBSTITUTE(SUBSTITUTE(INDEX(PASTE_ALL,$DF776,$L$17)," "," "),CHAR(9)," "),CHAR(10)," "),CHAR(13)," ")),",",""),"%","")),"")))</f>
        <v/>
      </c>
      <c r="EA776">
        <f>IF($DM776=0,"",IFERROR(IF(ISNUMBER($DZ776),$DZ776,IF($DZ776="","",IF(TRIM($DZ776)="",0,IF(AND(AND(SUBSTITUTE(SUBSTITUTE(SUBSTITUTE(SUBSTITUTE(SUBSTITUTE(SUBSTITUTE(SUBSTITUTE(SUBSTITUTE(SUBSTITUTE(SUBSTITUTE(SUBSTITUTE(SUBSTITUTE(SUBSTITUTE(SUBSTITUTE(UPPER(TRIM($DZ776)),"0",""),"1",""),"2",""),"3",""),"4",""),"5",""),"6",""),"7",""),"8",""),"9",""),".",""),"+",""),"-",""),"E","")="",LEN(SUBSTITUTE(SUBSTITUTE(MID(UPPER(TRIM($DZ776)),1+OR(LEFT(UPPER(TRIM($DZ776)),1)="+",LEFT(UPPER(TRIM($DZ776)),1)="-"),999),"E+","E"),"E-","E"))=LEN(SUBSTITUTE(SUBSTITUTE(SUBSTITUTE(SUBSTITUTE(MID(UPPER(TRIM($DZ776)),1+OR(LEFT(UPPER(TRIM($DZ776)),1)="+",LEFT(UPPER(TRIM($DZ776)),1)="-"),999),"E+","E"),"E-","E"),"+",""),"-","")),LEN(UPPER(TRIM($DZ776)))-LEN(SUBSTITUTE(UPPER(TRIM($DZ776)),"E",""))&lt;2,LEN(UPPER(TRIM($DZ776)))-LEN(SUBSTITUTE(UPPER(TRIM($DZ776)),".",""))&lt;2,IFERROR(FIND(".",UPPER(TRIM($DZ776))),0)&lt;IFERROR(FIND("E",UPPER(TRIM($DZ776))),999)),ISNUMBER(VALUE(TRIM($DZ776)))),VALUE(TRIM($DZ776)),"")))),""))</f>
        <v/>
      </c>
      <c r="EB776">
        <f>IF($DM776=0,"",IF($L$18=0,"",IFERROR(IF(UPPER(TRIM(SUBSTITUTE(SUBSTITUTE(SUBSTITUTE(SUBSTITUTE(INDEX(PASTE_ALL,$DF776,$L$18)," "," "),CHAR(9)," "),CHAR(10)," "),CHAR(13)," ")))="READY","Ready",IF(UPPER(TRIM(SUBSTITUTE(SUBSTITUTE(SUBSTITUTE(SUBSTITUTE(INDEX(PASTE_ALL,$DF776,$L$18)," "," "),CHAR(9)," "),CHAR(10)," "),CHAR(13)," ")))="PM","PM",IF(OR(UPPER(TRIM(SUBSTITUTE(SUBSTITUTE(SUBSTITUTE(SUBSTITUTE(INDEX(PASTE_ALL,$DF776,$L$18)," "," "),CHAR(9)," "),CHAR(10)," "),CHAR(13)," ")))="OT",UPPER(TRIM(SUBSTITUTE(SUBSTITUTE(SUBSTITUTE(SUBSTITUTE(INDEX(PASTE_ALL,$DF776,$L$18)," "," "),CHAR(9)," "),CHAR(10)," "),CHAR(13)," ")))="OVERTIME",UPPER(TRIM(SUBSTITUTE(SUBSTITUTE(SUBSTITUTE(SUBSTITUTE(INDEX(PASTE_ALL,$DF776,$L$18)," "," "),CHAR(9)," "),CHAR(10)," "),CHAR(13)," ")))="TRIAL"),"OT",TRIM(SUBSTITUTE(SUBSTITUTE(SUBSTITUTE(SUBSTITUTE(INDEX(PASTE_ALL,$DF776,$L$18)," "," "),CHAR(9)," "),CHAR(10)," "),CHAR(13)," "))))),"")))</f>
        <v/>
      </c>
      <c r="EC776">
        <f>IF($DM776=0,"",IF($L$19=0,"",IFERROR(IF(ISNUMBER(INDEX(PASTE_ALL,$DF776,$L$19)),INDEX(PASTE_ALL,$DF776,$L$19),TRIM(SUBSTITUTE(SUBSTITUTE(SUBSTITUTE(SUBSTITUTE(INDEX(PASTE_ALL,$DF776,$L$19)," "," "),CHAR(9)," "),CHAR(10)," "),CHAR(13)," "))),"")))</f>
        <v/>
      </c>
      <c r="ED776">
        <f>IF($DM776=0,"",MATCH(1,INDEX(EXACT($DH$5:DH776,$DH776)*$DM$5:DM776,0),0))</f>
        <v/>
      </c>
      <c r="EE776">
        <f>IF($DM776=0,0,IF($ED776=$DE776,1,0))</f>
        <v/>
      </c>
      <c r="EF776">
        <f>EF775+$EE776</f>
        <v/>
      </c>
      <c r="EG776">
        <f>IF($DM776=0,"",INDEX($EF$5:$EF$1003,$ED776))</f>
        <v/>
      </c>
      <c r="EH776">
        <f>IF($DM776=0,"",IF($DO776&lt;&gt;"","",IFERROR(LOOKUP(2,1/(($EG$4:EG775=$EG776)*($DO$4:DO775&lt;&gt;"")),$DO$4:DO775),"")))</f>
        <v/>
      </c>
      <c r="EI776">
        <f>IF($DM776=0,"",IF($DO776&lt;&gt;"",$DO776,$EH776))</f>
        <v/>
      </c>
      <c r="EJ776">
        <f>IF($DM776=0,"",IF($EI776="",0,IF(OR(ISNUMBER($EI776),AND(AND(SUBSTITUTE(SUBSTITUTE(SUBSTITUTE(SUBSTITUTE(SUBSTITUTE(SUBSTITUTE(SUBSTITUTE(SUBSTITUTE(SUBSTITUTE(SUBSTITUTE(SUBSTITUTE(SUBSTITUTE(SUBSTITUTE(SUBSTITUTE(UPPER($EI776),"0",""),"1",""),"2",""),"3",""),"4",""),"5",""),"6",""),"7",""),"8",""),"9",""),".",""),"+",""),"-",""),"E","")="",LEN(SUBSTITUTE(SUBSTITUTE(MID(UPPER($EI776),1+OR(LEFT(UPPER($EI776),1)="+",LEFT(UPPER($EI776),1)="-"),999),"E+","E"),"E-","E"))=LEN(SUBSTITUTE(SUBSTITUTE(SUBSTITUTE(SUBSTITUTE(MID(UPPER($EI776),1+OR(LEFT(UPPER($EI776),1)="+",LEFT(UPPER($EI776),1)="-"),999),"E+","E"),"E-","E"),"+",""),"-","")),LEN(UPPER($EI776))-LEN(SUBSTITUTE(UPPER($EI776),"E",""))&lt;2,LEN(UPPER($EI776))-LEN(SUBSTITUTE(UPPER($EI776),".",""))&lt;2,IFERROR(FIND(".",UPPER($EI776)),0)&lt;IFERROR(FIND("E",UPPER($EI776)),999)),ISNUMBER(VALUE($EI776)))),1,2)))</f>
        <v/>
      </c>
      <c r="EK776">
        <f>IF($DM776=0,"",IF($EJ776=1,IF(ISNUMBER($EI776),$EI776,VALUE($EI776)),IF($EJ776=2,$DE776,0)))</f>
        <v/>
      </c>
      <c r="EL776">
        <f>IF($DM776=0,"",COUNTIF($EG$5:$EG$1003,"&lt;"&amp;$EG776)+SUMPRODUCT(($EG$5:$EG$1003=$EG776)*(($EJ$5:$EJ$1003&lt;$EJ776)+($EJ$5:$EJ$1003=$EJ776)*(($EK$5:$EK$1003&lt;$EK776)+($EK$5:$EK$1003=$EK776)*($DE$5:$DE$1003&lt;$DE776))))+1)</f>
        <v/>
      </c>
      <c r="EM776">
        <f>IF($DM776=0,"",$EL776+$EG776-1)</f>
        <v/>
      </c>
      <c r="EN776">
        <f>IF($DM776=0,0,IFERROR(MATCH(1,INDEX(--(TRIM(SUBSTITUTE(SUBSTITUTE(SUBSTITUTE(SUBSTITUTE(LINES_NAME&amp;""," "," "),CHAR(9)," "),CHAR(10)," "),CHAR(13)," "))=$DH776),0),0),0))</f>
        <v/>
      </c>
      <c r="EO776">
        <f>IF($EN776=0,0,IF(OR(UPPER(TRIM(INDEX(LINES_SCHEDULED,$EN776)&amp;""))="YES",UPPER(TRIM(INDEX(LINES_SCHEDULED,$EN776)&amp;""))="Y",UPPER(TRIM(INDEX(LINES_SCHEDULED,$EN776)&amp;""))="X"),1,0))</f>
        <v/>
      </c>
      <c r="EP776">
        <f>IF($DM776=0,"",IF(COUNTIFS($EG$5:$EG$1003,$EG776,$EB$5:$EB$1003,"Ready")&gt;0,"READY",IF(COUNTIFS($EG$5:$EG$1003,$EG776,$EB$5:$EB$1003,"PM")&gt;0,"PM",IF(COUNTIFS($EG$5:$EG$1003,$EG776,$EB$5:$EB$1003,"OT")&gt;0,"OT",""))))</f>
        <v/>
      </c>
      <c r="EQ776">
        <f>IF($EN776=0,"",UPPER(TRIM(INDEX(LINES_STATUS,$EN776)&amp;"")))</f>
        <v/>
      </c>
      <c r="ER776">
        <f>IF($DM776=0,"",IF(OR($EQ776="READY",$EQ776="PM",$EQ776="OT"),$EQ776,$EP776))</f>
        <v/>
      </c>
      <c r="ES776">
        <f>IF($DM776=0,"",IF(AND($DV776&lt;&gt;"",UPPER($DV776)&lt;&gt;"N"),"allergen",IF(ISNUMBER(SEARCH("oil",$DQ776)),"oil",IF(OR(EXACT($DS776,"A662"),EXACT($DS776,"A624")),"bulk",""))))</f>
        <v/>
      </c>
      <c r="ET776">
        <f>IF($DM776=0,"",IF(OR($EA776="",$EA776=0),"",$EA776/100))</f>
        <v/>
      </c>
      <c r="EU776">
        <f>IF(OR($ET776="",$DY776=""),"",INT($DY776*(1-$ET776)+0.5))</f>
        <v/>
      </c>
    </row>
    <row r="777">
      <c r="DA777" t="n">
        <v>773</v>
      </c>
      <c r="DB777">
        <f>IF($B$37=0,"",IFERROR(TRIM(SUBSTITUTE(SUBSTITUTE(SUBSTITUTE(SUBSTITUTE(INDEX(PASTE_ALL,773,$B$37)," "," "),CHAR(9)," "),CHAR(10)," "),CHAR(13)," ")),""))</f>
        <v/>
      </c>
      <c r="DC777">
        <f>IF(AND(773&gt;HEADER_ROW,UPPER(DB777)="LEGEND"),1,0)</f>
        <v/>
      </c>
      <c r="DE777" t="n">
        <v>773</v>
      </c>
      <c r="DF777">
        <f>HEADER_ROW+$DE777</f>
        <v/>
      </c>
      <c r="DG777">
        <f>IF(AND($DF777&lt;=1000,$DF777&lt;$B$8),1,0)</f>
        <v/>
      </c>
      <c r="DH777">
        <f>IF($DG777=1,IFERROR(INDEX($DB$5:$DB$1004,$DF777),""),"")</f>
        <v/>
      </c>
      <c r="DI777">
        <f>IF(AND($DG777=1,$DH777&lt;&gt;""),IFERROR(SUBSTITUTE(SUBSTITUTE(TRIM(SUBSTITUTE(SUBSTITUTE(SUBSTITUTE(SUBSTITUTE(IFERROR(INDEX(PASTE_ALL,$DF777,1)&amp;"","")&amp;"␟"&amp;IFERROR(INDEX(PASTE_ALL,$DF777,2)&amp;"","")&amp;"␟"&amp;IFERROR(INDEX(PASTE_ALL,$DF777,3)&amp;"","")&amp;"␟"&amp;IFERROR(INDEX(PASTE_ALL,$DF777,4)&amp;"","")&amp;"␟"&amp;IFERROR(INDEX(PASTE_ALL,$DF777,5)&amp;"","")&amp;"␟"&amp;IFERROR(INDEX(PASTE_ALL,$DF777,6)&amp;"","")&amp;"␟"&amp;IFERROR(INDEX(PASTE_ALL,$DF777,7)&amp;"","")&amp;"␟"&amp;IFERROR(INDEX(PASTE_ALL,$DF777,8)&amp;"","")&amp;"␟"&amp;IFERROR(INDEX(PASTE_ALL,$DF777,9)&amp;"","")&amp;"␟"&amp;IFERROR(INDEX(PASTE_ALL,$DF777,10)&amp;"","")&amp;"␟"&amp;IFERROR(INDEX(PASTE_ALL,$DF777,11)&amp;"","")&amp;"␟"&amp;IFERROR(INDEX(PASTE_ALL,$DF777,12)&amp;"","")&amp;"␟"&amp;IFERROR(INDEX(PASTE_ALL,$DF777,13)&amp;"","")&amp;"␟"&amp;IFERROR(INDEX(PASTE_ALL,$DF777,14)&amp;"","")&amp;"␟"&amp;IFERROR(INDEX(PASTE_ALL,$DF777,15)&amp;"","")&amp;"␟"&amp;IFERROR(INDEX(PASTE_ALL,$DF777,16)&amp;"","")&amp;"␟"&amp;IFERROR(INDEX(PASTE_ALL,$DF777,17)&amp;"","")&amp;"␟"&amp;IFERROR(INDEX(PASTE_ALL,$DF777,18)&amp;"","")&amp;"␟"&amp;IFERROR(INDEX(PASTE_ALL,$DF777,19)&amp;"","")&amp;"␟"&amp;IFERROR(INDEX(PASTE_ALL,$DF777,20)&amp;"","")&amp;"␟"&amp;IFERROR(INDEX(PASTE_ALL,$DF777,21)&amp;"","")&amp;"␟"&amp;IFERROR(INDEX(PASTE_ALL,$DF777,22)&amp;"","")&amp;"␟"&amp;IFERROR(INDEX(PASTE_ALL,$DF777,23)&amp;"","")&amp;"␟"&amp;IFERROR(INDEX(PASTE_ALL,$DF777,24)&amp;"","")&amp;"␟"&amp;IFERROR(INDEX(PASTE_ALL,$DF777,25)&amp;"","")&amp;"␟"&amp;IFERROR(INDEX(PASTE_ALL,$DF777,26)&amp;"","")&amp;"␟"&amp;IFERROR(INDEX(PASTE_ALL,$DF777,27)&amp;"","")&amp;"␟"&amp;IFERROR(INDEX(PASTE_ALL,$DF777,28)&amp;"","")&amp;"␟"&amp;IFERROR(INDEX(PASTE_ALL,$DF777,29)&amp;"","")&amp;"␟"&amp;IFERROR(INDEX(PASTE_ALL,$DF777,30)&amp;"","")&amp;"␟"&amp;IFERROR(INDEX(PASTE_ALL,$DF777,31)&amp;"","")&amp;"␟"&amp;IFERROR(INDEX(PASTE_ALL,$DF777,32)&amp;"","")&amp;"␟"&amp;IFERROR(INDEX(PASTE_ALL,$DF777,33)&amp;"","")&amp;"␟"&amp;IFERROR(INDEX(PASTE_ALL,$DF777,34)&amp;"","")&amp;"␟"&amp;IFERROR(INDEX(PASTE_ALL,$DF777,35)&amp;"","")&amp;"␟"&amp;IFERROR(INDEX(PASTE_ALL,$DF777,36)&amp;"","")&amp;"␟"&amp;IFERROR(INDEX(PASTE_ALL,$DF777,37)&amp;"","")&amp;"␟"&amp;IFERROR(INDEX(PASTE_ALL,$DF777,38)&amp;"","")&amp;"␟"&amp;IFERROR(INDEX(PASTE_ALL,$DF777,39)&amp;"","")&amp;"␟"&amp;IFERROR(INDEX(PASTE_ALL,$DF777,40)&amp;"","")&amp;"␟"&amp;IFERROR(INDEX(PASTE_ALL,$DF777,41)&amp;"","")&amp;"␟"&amp;IFERROR(INDEX(PASTE_ALL,$DF777,42)&amp;"","")&amp;"␟"&amp;IFERROR(INDEX(PASTE_ALL,$DF777,43)&amp;"","")&amp;"␟"&amp;IFERROR(INDEX(PASTE_ALL,$DF777,44)&amp;"","")&amp;"␟"&amp;IFERROR(INDEX(PASTE_ALL,$DF777,45)&amp;"","")&amp;"␟"&amp;IFERROR(INDEX(PASTE_ALL,$DF777,46)&amp;"","")&amp;"␟"&amp;IFERROR(INDEX(PASTE_ALL,$DF777,47)&amp;"","")&amp;"␟"&amp;IFERROR(INDEX(PASTE_ALL,$DF777,48)&amp;"","")&amp;"␟"&amp;IFERROR(INDEX(PASTE_ALL,$DF777,49)&amp;"","")&amp;"␟"&amp;IFERROR(INDEX(PASTE_ALL,$DF777,50)&amp;"","")&amp;"␟"&amp;IFERROR(INDEX(PASTE_ALL,$DF777,51)&amp;"","")&amp;"␟"&amp;IFERROR(INDEX(PASTE_ALL,$DF777,52)&amp;"","")&amp;"␟"&amp;IFERROR(INDEX(PASTE_ALL,$DF777,53)&amp;"","")&amp;"␟"&amp;IFERROR(INDEX(PASTE_ALL,$DF777,54)&amp;"","")&amp;"␟"&amp;IFERROR(INDEX(PASTE_ALL,$DF777,55)&amp;"","")&amp;"␟"&amp;IFERROR(INDEX(PASTE_ALL,$DF777,56)&amp;"","")&amp;"␟"&amp;IFERROR(INDEX(PASTE_ALL,$DF777,57)&amp;"","")&amp;"␟"&amp;IFERROR(INDEX(PASTE_ALL,$DF777,58)&amp;"","")&amp;"␟"&amp;IFERROR(INDEX(PASTE_ALL,$DF777,59)&amp;"","")&amp;"␟"&amp;IFERROR(INDEX(PASTE_ALL,$DF777,60)&amp;"","")," "," "),CHAR(9)," "),CHAR(10)," "),CHAR(13)," "))," ␟","␟"),"␟ ","␟"),"#"&amp;$DE777),"")</f>
        <v/>
      </c>
      <c r="DJ777">
        <f>IF($DI777="",0,IF(SUMPRODUCT(--EXACT($DI$4:DI776,$DI777))&gt;0,1,0))</f>
        <v/>
      </c>
      <c r="DK777">
        <f>IF(AND($DI777&lt;&gt;"",$DJ777=0),1,0)</f>
        <v/>
      </c>
      <c r="DL777">
        <f>DL776+$DK777</f>
        <v/>
      </c>
      <c r="DM777">
        <f>IF(AND($DK777=1,$DL777&lt;=600),1,0)</f>
        <v/>
      </c>
      <c r="DN777">
        <f>IF($DM777=0,"",IF($L$6=0,"",IFERROR(IF(ISNUMBER(INDEX(PASTE_ALL,$DF777,$L$6)),INDEX(PASTE_ALL,$DF777,$L$6),TRIM(SUBSTITUTE(SUBSTITUTE(SUBSTITUTE(SUBSTITUTE(INDEX(PASTE_ALL,$DF777,$L$6)," "," "),CHAR(9)," "),CHAR(10)," "),CHAR(13)," "))),"")))</f>
        <v/>
      </c>
      <c r="DO777">
        <f>IF($DM777=0,"",IF($L$7=0,"",IFERROR(IF(ISNUMBER(INDEX(PASTE_ALL,$DF777,$L$7)),INDEX(PASTE_ALL,$DF777,$L$7),TRIM(SUBSTITUTE(SUBSTITUTE(SUBSTITUTE(SUBSTITUTE(INDEX(PASTE_ALL,$DF777,$L$7)," "," "),CHAR(9)," "),CHAR(10)," "),CHAR(13)," "))),"")))</f>
        <v/>
      </c>
      <c r="DP777">
        <f>IF($DM777=0,"",IF($L$8=0,"",IFERROR(IF(ISNUMBER(INDEX(PASTE_ALL,$DF777,$L$8)),INDEX(PASTE_ALL,$DF777,$L$8),TRIM(SUBSTITUTE(SUBSTITUTE(SUBSTITUTE(SUBSTITUTE(INDEX(PASTE_ALL,$DF777,$L$8)," "," "),CHAR(9)," "),CHAR(10)," "),CHAR(13)," "))),"")))</f>
        <v/>
      </c>
      <c r="DQ777">
        <f>IF($DM777=0,"",IF($L$9=0,"",IFERROR(IF(ISNUMBER(INDEX(PASTE_ALL,$DF777,$L$9)),INDEX(PASTE_ALL,$DF777,$L$9),TRIM(SUBSTITUTE(SUBSTITUTE(SUBSTITUTE(SUBSTITUTE(INDEX(PASTE_ALL,$DF777,$L$9)," "," "),CHAR(9)," "),CHAR(10)," "),CHAR(13)," "))),"")))</f>
        <v/>
      </c>
      <c r="DR777">
        <f>IF($DM777=0,"",IF($L$10=0,"",IFERROR(IF(ISNUMBER(INDEX(PASTE_ALL,$DF777,$L$10)),INDEX(PASTE_ALL,$DF777,$L$10),TRIM(SUBSTITUTE(SUBSTITUTE(SUBSTITUTE(SUBSTITUTE(INDEX(PASTE_ALL,$DF777,$L$10)," "," "),CHAR(9)," "),CHAR(10)," "),CHAR(13)," "))),"")))</f>
        <v/>
      </c>
      <c r="DS777">
        <f>IF($DM777=0,"",IF($L$11=0,"",IFERROR(IF(ISNUMBER(INDEX(PASTE_ALL,$DF777,$L$11)),INDEX(PASTE_ALL,$DF777,$L$11),TRIM(SUBSTITUTE(SUBSTITUTE(SUBSTITUTE(SUBSTITUTE(INDEX(PASTE_ALL,$DF777,$L$11)," "," "),CHAR(9)," "),CHAR(10)," "),CHAR(13)," "))),"")))</f>
        <v/>
      </c>
      <c r="DT777">
        <f>IF($DM777=0,"",IF($L$12=0,"",IFERROR(IF(ISNUMBER(INDEX(PASTE_ALL,$DF777,$L$12)),INDEX(PASTE_ALL,$DF777,$L$12),TRIM(SUBSTITUTE(SUBSTITUTE(SUBSTITUTE(SUBSTITUTE(INDEX(PASTE_ALL,$DF777,$L$12)," "," "),CHAR(9)," "),CHAR(10)," "),CHAR(13)," "))),"")))</f>
        <v/>
      </c>
      <c r="DU777">
        <f>IF($DM777=0,"",IF($L$13=0,"",IFERROR(IF(ISNUMBER(INDEX(PASTE_ALL,$DF777,$L$13)),INDEX(PASTE_ALL,$DF777,$L$13),TRIM(SUBSTITUTE(SUBSTITUTE(SUBSTITUTE(SUBSTITUTE(INDEX(PASTE_ALL,$DF777,$L$13)," "," "),CHAR(9)," "),CHAR(10)," "),CHAR(13)," "))),"")))</f>
        <v/>
      </c>
      <c r="DV777">
        <f>IF($DM777=0,"",IF($L$14=0,"",IFERROR(IF(ISNUMBER(INDEX(PASTE_ALL,$DF777,$L$14)),INDEX(PASTE_ALL,$DF777,$L$14),TRIM(SUBSTITUTE(SUBSTITUTE(SUBSTITUTE(SUBSTITUTE(INDEX(PASTE_ALL,$DF777,$L$14)," "," "),CHAR(9)," "),CHAR(10)," "),CHAR(13)," "))),"")))</f>
        <v/>
      </c>
      <c r="DW777">
        <f>IF($DM777=0,"",IF($L$15=0,"",IFERROR(IF(ISNUMBER(INDEX(PASTE_ALL,$DF777,$L$15)),INDEX(PASTE_ALL,$DF777,$L$15),IF(SUMPRODUCT(--ISNUMBER(FIND({"A","B","C","D","E","F","G","H","I","J","K","L","M","N","O","P","Q","R","S","T","U","V","W","X","Y","Z","0","1","2","3","4","5","6","7","8","9"},UPPER(TRIM(SUBSTITUTE(SUBSTITUTE(SUBSTITUTE(SUBSTITUTE(INDEX(PASTE_ALL,$DF777,$L$15)," "," "),CHAR(9)," "),CHAR(10)," "),CHAR(13)," "))))))&gt;0,TRIM(SUBSTITUTE(SUBSTITUTE(SUBSTITUTE(SUBSTITUTE(INDEX(PASTE_ALL,$DF777,$L$15)," "," "),CHAR(9)," "),CHAR(10)," "),CHAR(13)," ")),"")),"")))</f>
        <v/>
      </c>
      <c r="DX777">
        <f>IF($DM777=0,"",IF($L$16=0,"",IFERROR(IF(ISNUMBER(INDEX(PASTE_ALL,$DF777,$L$16)),INDEX(PASTE_ALL,$DF777,$L$16),SUBSTITUTE(SUBSTITUTE(TRIM(SUBSTITUTE(SUBSTITUTE(SUBSTITUTE(SUBSTITUTE(INDEX(PASTE_ALL,$DF777,$L$16)," "," "),CHAR(9)," "),CHAR(10)," "),CHAR(13)," ")),",",""),"%","")),"")))</f>
        <v/>
      </c>
      <c r="DY777">
        <f>IF($DM777=0,"",IFERROR(IF(ISNUMBER($DX777),$DX777,IF($DX777="","",IF(TRIM($DX777)="",0,IF(AND(AND(SUBSTITUTE(SUBSTITUTE(SUBSTITUTE(SUBSTITUTE(SUBSTITUTE(SUBSTITUTE(SUBSTITUTE(SUBSTITUTE(SUBSTITUTE(SUBSTITUTE(SUBSTITUTE(SUBSTITUTE(SUBSTITUTE(SUBSTITUTE(UPPER(TRIM($DX777)),"0",""),"1",""),"2",""),"3",""),"4",""),"5",""),"6",""),"7",""),"8",""),"9",""),".",""),"+",""),"-",""),"E","")="",LEN(SUBSTITUTE(SUBSTITUTE(MID(UPPER(TRIM($DX777)),1+OR(LEFT(UPPER(TRIM($DX777)),1)="+",LEFT(UPPER(TRIM($DX777)),1)="-"),999),"E+","E"),"E-","E"))=LEN(SUBSTITUTE(SUBSTITUTE(SUBSTITUTE(SUBSTITUTE(MID(UPPER(TRIM($DX777)),1+OR(LEFT(UPPER(TRIM($DX777)),1)="+",LEFT(UPPER(TRIM($DX777)),1)="-"),999),"E+","E"),"E-","E"),"+",""),"-","")),LEN(UPPER(TRIM($DX777)))-LEN(SUBSTITUTE(UPPER(TRIM($DX777)),"E",""))&lt;2,LEN(UPPER(TRIM($DX777)))-LEN(SUBSTITUTE(UPPER(TRIM($DX777)),".",""))&lt;2,IFERROR(FIND(".",UPPER(TRIM($DX777))),0)&lt;IFERROR(FIND("E",UPPER(TRIM($DX777))),999)),ISNUMBER(VALUE(TRIM($DX777)))),VALUE(TRIM($DX777)),"")))),""))</f>
        <v/>
      </c>
      <c r="DZ777">
        <f>IF($DM777=0,"",IF($L$17=0,"",IFERROR(IF(ISNUMBER(INDEX(PASTE_ALL,$DF777,$L$17)),INDEX(PASTE_ALL,$DF777,$L$17),SUBSTITUTE(SUBSTITUTE(TRIM(SUBSTITUTE(SUBSTITUTE(SUBSTITUTE(SUBSTITUTE(INDEX(PASTE_ALL,$DF777,$L$17)," "," "),CHAR(9)," "),CHAR(10)," "),CHAR(13)," ")),",",""),"%","")),"")))</f>
        <v/>
      </c>
      <c r="EA777">
        <f>IF($DM777=0,"",IFERROR(IF(ISNUMBER($DZ777),$DZ777,IF($DZ777="","",IF(TRIM($DZ777)="",0,IF(AND(AND(SUBSTITUTE(SUBSTITUTE(SUBSTITUTE(SUBSTITUTE(SUBSTITUTE(SUBSTITUTE(SUBSTITUTE(SUBSTITUTE(SUBSTITUTE(SUBSTITUTE(SUBSTITUTE(SUBSTITUTE(SUBSTITUTE(SUBSTITUTE(UPPER(TRIM($DZ777)),"0",""),"1",""),"2",""),"3",""),"4",""),"5",""),"6",""),"7",""),"8",""),"9",""),".",""),"+",""),"-",""),"E","")="",LEN(SUBSTITUTE(SUBSTITUTE(MID(UPPER(TRIM($DZ777)),1+OR(LEFT(UPPER(TRIM($DZ777)),1)="+",LEFT(UPPER(TRIM($DZ777)),1)="-"),999),"E+","E"),"E-","E"))=LEN(SUBSTITUTE(SUBSTITUTE(SUBSTITUTE(SUBSTITUTE(MID(UPPER(TRIM($DZ777)),1+OR(LEFT(UPPER(TRIM($DZ777)),1)="+",LEFT(UPPER(TRIM($DZ777)),1)="-"),999),"E+","E"),"E-","E"),"+",""),"-","")),LEN(UPPER(TRIM($DZ777)))-LEN(SUBSTITUTE(UPPER(TRIM($DZ777)),"E",""))&lt;2,LEN(UPPER(TRIM($DZ777)))-LEN(SUBSTITUTE(UPPER(TRIM($DZ777)),".",""))&lt;2,IFERROR(FIND(".",UPPER(TRIM($DZ777))),0)&lt;IFERROR(FIND("E",UPPER(TRIM($DZ777))),999)),ISNUMBER(VALUE(TRIM($DZ777)))),VALUE(TRIM($DZ777)),"")))),""))</f>
        <v/>
      </c>
      <c r="EB777">
        <f>IF($DM777=0,"",IF($L$18=0,"",IFERROR(IF(UPPER(TRIM(SUBSTITUTE(SUBSTITUTE(SUBSTITUTE(SUBSTITUTE(INDEX(PASTE_ALL,$DF777,$L$18)," "," "),CHAR(9)," "),CHAR(10)," "),CHAR(13)," ")))="READY","Ready",IF(UPPER(TRIM(SUBSTITUTE(SUBSTITUTE(SUBSTITUTE(SUBSTITUTE(INDEX(PASTE_ALL,$DF777,$L$18)," "," "),CHAR(9)," "),CHAR(10)," "),CHAR(13)," ")))="PM","PM",IF(OR(UPPER(TRIM(SUBSTITUTE(SUBSTITUTE(SUBSTITUTE(SUBSTITUTE(INDEX(PASTE_ALL,$DF777,$L$18)," "," "),CHAR(9)," "),CHAR(10)," "),CHAR(13)," ")))="OT",UPPER(TRIM(SUBSTITUTE(SUBSTITUTE(SUBSTITUTE(SUBSTITUTE(INDEX(PASTE_ALL,$DF777,$L$18)," "," "),CHAR(9)," "),CHAR(10)," "),CHAR(13)," ")))="OVERTIME",UPPER(TRIM(SUBSTITUTE(SUBSTITUTE(SUBSTITUTE(SUBSTITUTE(INDEX(PASTE_ALL,$DF777,$L$18)," "," "),CHAR(9)," "),CHAR(10)," "),CHAR(13)," ")))="TRIAL"),"OT",TRIM(SUBSTITUTE(SUBSTITUTE(SUBSTITUTE(SUBSTITUTE(INDEX(PASTE_ALL,$DF777,$L$18)," "," "),CHAR(9)," "),CHAR(10)," "),CHAR(13)," "))))),"")))</f>
        <v/>
      </c>
      <c r="EC777">
        <f>IF($DM777=0,"",IF($L$19=0,"",IFERROR(IF(ISNUMBER(INDEX(PASTE_ALL,$DF777,$L$19)),INDEX(PASTE_ALL,$DF777,$L$19),TRIM(SUBSTITUTE(SUBSTITUTE(SUBSTITUTE(SUBSTITUTE(INDEX(PASTE_ALL,$DF777,$L$19)," "," "),CHAR(9)," "),CHAR(10)," "),CHAR(13)," "))),"")))</f>
        <v/>
      </c>
      <c r="ED777">
        <f>IF($DM777=0,"",MATCH(1,INDEX(EXACT($DH$5:DH777,$DH777)*$DM$5:DM777,0),0))</f>
        <v/>
      </c>
      <c r="EE777">
        <f>IF($DM777=0,0,IF($ED777=$DE777,1,0))</f>
        <v/>
      </c>
      <c r="EF777">
        <f>EF776+$EE777</f>
        <v/>
      </c>
      <c r="EG777">
        <f>IF($DM777=0,"",INDEX($EF$5:$EF$1003,$ED777))</f>
        <v/>
      </c>
      <c r="EH777">
        <f>IF($DM777=0,"",IF($DO777&lt;&gt;"","",IFERROR(LOOKUP(2,1/(($EG$4:EG776=$EG777)*($DO$4:DO776&lt;&gt;"")),$DO$4:DO776),"")))</f>
        <v/>
      </c>
      <c r="EI777">
        <f>IF($DM777=0,"",IF($DO777&lt;&gt;"",$DO777,$EH777))</f>
        <v/>
      </c>
      <c r="EJ777">
        <f>IF($DM777=0,"",IF($EI777="",0,IF(OR(ISNUMBER($EI777),AND(AND(SUBSTITUTE(SUBSTITUTE(SUBSTITUTE(SUBSTITUTE(SUBSTITUTE(SUBSTITUTE(SUBSTITUTE(SUBSTITUTE(SUBSTITUTE(SUBSTITUTE(SUBSTITUTE(SUBSTITUTE(SUBSTITUTE(SUBSTITUTE(UPPER($EI777),"0",""),"1",""),"2",""),"3",""),"4",""),"5",""),"6",""),"7",""),"8",""),"9",""),".",""),"+",""),"-",""),"E","")="",LEN(SUBSTITUTE(SUBSTITUTE(MID(UPPER($EI777),1+OR(LEFT(UPPER($EI777),1)="+",LEFT(UPPER($EI777),1)="-"),999),"E+","E"),"E-","E"))=LEN(SUBSTITUTE(SUBSTITUTE(SUBSTITUTE(SUBSTITUTE(MID(UPPER($EI777),1+OR(LEFT(UPPER($EI777),1)="+",LEFT(UPPER($EI777),1)="-"),999),"E+","E"),"E-","E"),"+",""),"-","")),LEN(UPPER($EI777))-LEN(SUBSTITUTE(UPPER($EI777),"E",""))&lt;2,LEN(UPPER($EI777))-LEN(SUBSTITUTE(UPPER($EI777),".",""))&lt;2,IFERROR(FIND(".",UPPER($EI777)),0)&lt;IFERROR(FIND("E",UPPER($EI777)),999)),ISNUMBER(VALUE($EI777)))),1,2)))</f>
        <v/>
      </c>
      <c r="EK777">
        <f>IF($DM777=0,"",IF($EJ777=1,IF(ISNUMBER($EI777),$EI777,VALUE($EI777)),IF($EJ777=2,$DE777,0)))</f>
        <v/>
      </c>
      <c r="EL777">
        <f>IF($DM777=0,"",COUNTIF($EG$5:$EG$1003,"&lt;"&amp;$EG777)+SUMPRODUCT(($EG$5:$EG$1003=$EG777)*(($EJ$5:$EJ$1003&lt;$EJ777)+($EJ$5:$EJ$1003=$EJ777)*(($EK$5:$EK$1003&lt;$EK777)+($EK$5:$EK$1003=$EK777)*($DE$5:$DE$1003&lt;$DE777))))+1)</f>
        <v/>
      </c>
      <c r="EM777">
        <f>IF($DM777=0,"",$EL777+$EG777-1)</f>
        <v/>
      </c>
      <c r="EN777">
        <f>IF($DM777=0,0,IFERROR(MATCH(1,INDEX(--(TRIM(SUBSTITUTE(SUBSTITUTE(SUBSTITUTE(SUBSTITUTE(LINES_NAME&amp;""," "," "),CHAR(9)," "),CHAR(10)," "),CHAR(13)," "))=$DH777),0),0),0))</f>
        <v/>
      </c>
      <c r="EO777">
        <f>IF($EN777=0,0,IF(OR(UPPER(TRIM(INDEX(LINES_SCHEDULED,$EN777)&amp;""))="YES",UPPER(TRIM(INDEX(LINES_SCHEDULED,$EN777)&amp;""))="Y",UPPER(TRIM(INDEX(LINES_SCHEDULED,$EN777)&amp;""))="X"),1,0))</f>
        <v/>
      </c>
      <c r="EP777">
        <f>IF($DM777=0,"",IF(COUNTIFS($EG$5:$EG$1003,$EG777,$EB$5:$EB$1003,"Ready")&gt;0,"READY",IF(COUNTIFS($EG$5:$EG$1003,$EG777,$EB$5:$EB$1003,"PM")&gt;0,"PM",IF(COUNTIFS($EG$5:$EG$1003,$EG777,$EB$5:$EB$1003,"OT")&gt;0,"OT",""))))</f>
        <v/>
      </c>
      <c r="EQ777">
        <f>IF($EN777=0,"",UPPER(TRIM(INDEX(LINES_STATUS,$EN777)&amp;"")))</f>
        <v/>
      </c>
      <c r="ER777">
        <f>IF($DM777=0,"",IF(OR($EQ777="READY",$EQ777="PM",$EQ777="OT"),$EQ777,$EP777))</f>
        <v/>
      </c>
      <c r="ES777">
        <f>IF($DM777=0,"",IF(AND($DV777&lt;&gt;"",UPPER($DV777)&lt;&gt;"N"),"allergen",IF(ISNUMBER(SEARCH("oil",$DQ777)),"oil",IF(OR(EXACT($DS777,"A662"),EXACT($DS777,"A624")),"bulk",""))))</f>
        <v/>
      </c>
      <c r="ET777">
        <f>IF($DM777=0,"",IF(OR($EA777="",$EA777=0),"",$EA777/100))</f>
        <v/>
      </c>
      <c r="EU777">
        <f>IF(OR($ET777="",$DY777=""),"",INT($DY777*(1-$ET777)+0.5))</f>
        <v/>
      </c>
    </row>
    <row r="778">
      <c r="DA778" t="n">
        <v>774</v>
      </c>
      <c r="DB778">
        <f>IF($B$37=0,"",IFERROR(TRIM(SUBSTITUTE(SUBSTITUTE(SUBSTITUTE(SUBSTITUTE(INDEX(PASTE_ALL,774,$B$37)," "," "),CHAR(9)," "),CHAR(10)," "),CHAR(13)," ")),""))</f>
        <v/>
      </c>
      <c r="DC778">
        <f>IF(AND(774&gt;HEADER_ROW,UPPER(DB778)="LEGEND"),1,0)</f>
        <v/>
      </c>
      <c r="DE778" t="n">
        <v>774</v>
      </c>
      <c r="DF778">
        <f>HEADER_ROW+$DE778</f>
        <v/>
      </c>
      <c r="DG778">
        <f>IF(AND($DF778&lt;=1000,$DF778&lt;$B$8),1,0)</f>
        <v/>
      </c>
      <c r="DH778">
        <f>IF($DG778=1,IFERROR(INDEX($DB$5:$DB$1004,$DF778),""),"")</f>
        <v/>
      </c>
      <c r="DI778">
        <f>IF(AND($DG778=1,$DH778&lt;&gt;""),IFERROR(SUBSTITUTE(SUBSTITUTE(TRIM(SUBSTITUTE(SUBSTITUTE(SUBSTITUTE(SUBSTITUTE(IFERROR(INDEX(PASTE_ALL,$DF778,1)&amp;"","")&amp;"␟"&amp;IFERROR(INDEX(PASTE_ALL,$DF778,2)&amp;"","")&amp;"␟"&amp;IFERROR(INDEX(PASTE_ALL,$DF778,3)&amp;"","")&amp;"␟"&amp;IFERROR(INDEX(PASTE_ALL,$DF778,4)&amp;"","")&amp;"␟"&amp;IFERROR(INDEX(PASTE_ALL,$DF778,5)&amp;"","")&amp;"␟"&amp;IFERROR(INDEX(PASTE_ALL,$DF778,6)&amp;"","")&amp;"␟"&amp;IFERROR(INDEX(PASTE_ALL,$DF778,7)&amp;"","")&amp;"␟"&amp;IFERROR(INDEX(PASTE_ALL,$DF778,8)&amp;"","")&amp;"␟"&amp;IFERROR(INDEX(PASTE_ALL,$DF778,9)&amp;"","")&amp;"␟"&amp;IFERROR(INDEX(PASTE_ALL,$DF778,10)&amp;"","")&amp;"␟"&amp;IFERROR(INDEX(PASTE_ALL,$DF778,11)&amp;"","")&amp;"␟"&amp;IFERROR(INDEX(PASTE_ALL,$DF778,12)&amp;"","")&amp;"␟"&amp;IFERROR(INDEX(PASTE_ALL,$DF778,13)&amp;"","")&amp;"␟"&amp;IFERROR(INDEX(PASTE_ALL,$DF778,14)&amp;"","")&amp;"␟"&amp;IFERROR(INDEX(PASTE_ALL,$DF778,15)&amp;"","")&amp;"␟"&amp;IFERROR(INDEX(PASTE_ALL,$DF778,16)&amp;"","")&amp;"␟"&amp;IFERROR(INDEX(PASTE_ALL,$DF778,17)&amp;"","")&amp;"␟"&amp;IFERROR(INDEX(PASTE_ALL,$DF778,18)&amp;"","")&amp;"␟"&amp;IFERROR(INDEX(PASTE_ALL,$DF778,19)&amp;"","")&amp;"␟"&amp;IFERROR(INDEX(PASTE_ALL,$DF778,20)&amp;"","")&amp;"␟"&amp;IFERROR(INDEX(PASTE_ALL,$DF778,21)&amp;"","")&amp;"␟"&amp;IFERROR(INDEX(PASTE_ALL,$DF778,22)&amp;"","")&amp;"␟"&amp;IFERROR(INDEX(PASTE_ALL,$DF778,23)&amp;"","")&amp;"␟"&amp;IFERROR(INDEX(PASTE_ALL,$DF778,24)&amp;"","")&amp;"␟"&amp;IFERROR(INDEX(PASTE_ALL,$DF778,25)&amp;"","")&amp;"␟"&amp;IFERROR(INDEX(PASTE_ALL,$DF778,26)&amp;"","")&amp;"␟"&amp;IFERROR(INDEX(PASTE_ALL,$DF778,27)&amp;"","")&amp;"␟"&amp;IFERROR(INDEX(PASTE_ALL,$DF778,28)&amp;"","")&amp;"␟"&amp;IFERROR(INDEX(PASTE_ALL,$DF778,29)&amp;"","")&amp;"␟"&amp;IFERROR(INDEX(PASTE_ALL,$DF778,30)&amp;"","")&amp;"␟"&amp;IFERROR(INDEX(PASTE_ALL,$DF778,31)&amp;"","")&amp;"␟"&amp;IFERROR(INDEX(PASTE_ALL,$DF778,32)&amp;"","")&amp;"␟"&amp;IFERROR(INDEX(PASTE_ALL,$DF778,33)&amp;"","")&amp;"␟"&amp;IFERROR(INDEX(PASTE_ALL,$DF778,34)&amp;"","")&amp;"␟"&amp;IFERROR(INDEX(PASTE_ALL,$DF778,35)&amp;"","")&amp;"␟"&amp;IFERROR(INDEX(PASTE_ALL,$DF778,36)&amp;"","")&amp;"␟"&amp;IFERROR(INDEX(PASTE_ALL,$DF778,37)&amp;"","")&amp;"␟"&amp;IFERROR(INDEX(PASTE_ALL,$DF778,38)&amp;"","")&amp;"␟"&amp;IFERROR(INDEX(PASTE_ALL,$DF778,39)&amp;"","")&amp;"␟"&amp;IFERROR(INDEX(PASTE_ALL,$DF778,40)&amp;"","")&amp;"␟"&amp;IFERROR(INDEX(PASTE_ALL,$DF778,41)&amp;"","")&amp;"␟"&amp;IFERROR(INDEX(PASTE_ALL,$DF778,42)&amp;"","")&amp;"␟"&amp;IFERROR(INDEX(PASTE_ALL,$DF778,43)&amp;"","")&amp;"␟"&amp;IFERROR(INDEX(PASTE_ALL,$DF778,44)&amp;"","")&amp;"␟"&amp;IFERROR(INDEX(PASTE_ALL,$DF778,45)&amp;"","")&amp;"␟"&amp;IFERROR(INDEX(PASTE_ALL,$DF778,46)&amp;"","")&amp;"␟"&amp;IFERROR(INDEX(PASTE_ALL,$DF778,47)&amp;"","")&amp;"␟"&amp;IFERROR(INDEX(PASTE_ALL,$DF778,48)&amp;"","")&amp;"␟"&amp;IFERROR(INDEX(PASTE_ALL,$DF778,49)&amp;"","")&amp;"␟"&amp;IFERROR(INDEX(PASTE_ALL,$DF778,50)&amp;"","")&amp;"␟"&amp;IFERROR(INDEX(PASTE_ALL,$DF778,51)&amp;"","")&amp;"␟"&amp;IFERROR(INDEX(PASTE_ALL,$DF778,52)&amp;"","")&amp;"␟"&amp;IFERROR(INDEX(PASTE_ALL,$DF778,53)&amp;"","")&amp;"␟"&amp;IFERROR(INDEX(PASTE_ALL,$DF778,54)&amp;"","")&amp;"␟"&amp;IFERROR(INDEX(PASTE_ALL,$DF778,55)&amp;"","")&amp;"␟"&amp;IFERROR(INDEX(PASTE_ALL,$DF778,56)&amp;"","")&amp;"␟"&amp;IFERROR(INDEX(PASTE_ALL,$DF778,57)&amp;"","")&amp;"␟"&amp;IFERROR(INDEX(PASTE_ALL,$DF778,58)&amp;"","")&amp;"␟"&amp;IFERROR(INDEX(PASTE_ALL,$DF778,59)&amp;"","")&amp;"␟"&amp;IFERROR(INDEX(PASTE_ALL,$DF778,60)&amp;"","")," "," "),CHAR(9)," "),CHAR(10)," "),CHAR(13)," "))," ␟","␟"),"␟ ","␟"),"#"&amp;$DE778),"")</f>
        <v/>
      </c>
      <c r="DJ778">
        <f>IF($DI778="",0,IF(SUMPRODUCT(--EXACT($DI$4:DI777,$DI778))&gt;0,1,0))</f>
        <v/>
      </c>
      <c r="DK778">
        <f>IF(AND($DI778&lt;&gt;"",$DJ778=0),1,0)</f>
        <v/>
      </c>
      <c r="DL778">
        <f>DL777+$DK778</f>
        <v/>
      </c>
      <c r="DM778">
        <f>IF(AND($DK778=1,$DL778&lt;=600),1,0)</f>
        <v/>
      </c>
      <c r="DN778">
        <f>IF($DM778=0,"",IF($L$6=0,"",IFERROR(IF(ISNUMBER(INDEX(PASTE_ALL,$DF778,$L$6)),INDEX(PASTE_ALL,$DF778,$L$6),TRIM(SUBSTITUTE(SUBSTITUTE(SUBSTITUTE(SUBSTITUTE(INDEX(PASTE_ALL,$DF778,$L$6)," "," "),CHAR(9)," "),CHAR(10)," "),CHAR(13)," "))),"")))</f>
        <v/>
      </c>
      <c r="DO778">
        <f>IF($DM778=0,"",IF($L$7=0,"",IFERROR(IF(ISNUMBER(INDEX(PASTE_ALL,$DF778,$L$7)),INDEX(PASTE_ALL,$DF778,$L$7),TRIM(SUBSTITUTE(SUBSTITUTE(SUBSTITUTE(SUBSTITUTE(INDEX(PASTE_ALL,$DF778,$L$7)," "," "),CHAR(9)," "),CHAR(10)," "),CHAR(13)," "))),"")))</f>
        <v/>
      </c>
      <c r="DP778">
        <f>IF($DM778=0,"",IF($L$8=0,"",IFERROR(IF(ISNUMBER(INDEX(PASTE_ALL,$DF778,$L$8)),INDEX(PASTE_ALL,$DF778,$L$8),TRIM(SUBSTITUTE(SUBSTITUTE(SUBSTITUTE(SUBSTITUTE(INDEX(PASTE_ALL,$DF778,$L$8)," "," "),CHAR(9)," "),CHAR(10)," "),CHAR(13)," "))),"")))</f>
        <v/>
      </c>
      <c r="DQ778">
        <f>IF($DM778=0,"",IF($L$9=0,"",IFERROR(IF(ISNUMBER(INDEX(PASTE_ALL,$DF778,$L$9)),INDEX(PASTE_ALL,$DF778,$L$9),TRIM(SUBSTITUTE(SUBSTITUTE(SUBSTITUTE(SUBSTITUTE(INDEX(PASTE_ALL,$DF778,$L$9)," "," "),CHAR(9)," "),CHAR(10)," "),CHAR(13)," "))),"")))</f>
        <v/>
      </c>
      <c r="DR778">
        <f>IF($DM778=0,"",IF($L$10=0,"",IFERROR(IF(ISNUMBER(INDEX(PASTE_ALL,$DF778,$L$10)),INDEX(PASTE_ALL,$DF778,$L$10),TRIM(SUBSTITUTE(SUBSTITUTE(SUBSTITUTE(SUBSTITUTE(INDEX(PASTE_ALL,$DF778,$L$10)," "," "),CHAR(9)," "),CHAR(10)," "),CHAR(13)," "))),"")))</f>
        <v/>
      </c>
      <c r="DS778">
        <f>IF($DM778=0,"",IF($L$11=0,"",IFERROR(IF(ISNUMBER(INDEX(PASTE_ALL,$DF778,$L$11)),INDEX(PASTE_ALL,$DF778,$L$11),TRIM(SUBSTITUTE(SUBSTITUTE(SUBSTITUTE(SUBSTITUTE(INDEX(PASTE_ALL,$DF778,$L$11)," "," "),CHAR(9)," "),CHAR(10)," "),CHAR(13)," "))),"")))</f>
        <v/>
      </c>
      <c r="DT778">
        <f>IF($DM778=0,"",IF($L$12=0,"",IFERROR(IF(ISNUMBER(INDEX(PASTE_ALL,$DF778,$L$12)),INDEX(PASTE_ALL,$DF778,$L$12),TRIM(SUBSTITUTE(SUBSTITUTE(SUBSTITUTE(SUBSTITUTE(INDEX(PASTE_ALL,$DF778,$L$12)," "," "),CHAR(9)," "),CHAR(10)," "),CHAR(13)," "))),"")))</f>
        <v/>
      </c>
      <c r="DU778">
        <f>IF($DM778=0,"",IF($L$13=0,"",IFERROR(IF(ISNUMBER(INDEX(PASTE_ALL,$DF778,$L$13)),INDEX(PASTE_ALL,$DF778,$L$13),TRIM(SUBSTITUTE(SUBSTITUTE(SUBSTITUTE(SUBSTITUTE(INDEX(PASTE_ALL,$DF778,$L$13)," "," "),CHAR(9)," "),CHAR(10)," "),CHAR(13)," "))),"")))</f>
        <v/>
      </c>
      <c r="DV778">
        <f>IF($DM778=0,"",IF($L$14=0,"",IFERROR(IF(ISNUMBER(INDEX(PASTE_ALL,$DF778,$L$14)),INDEX(PASTE_ALL,$DF778,$L$14),TRIM(SUBSTITUTE(SUBSTITUTE(SUBSTITUTE(SUBSTITUTE(INDEX(PASTE_ALL,$DF778,$L$14)," "," "),CHAR(9)," "),CHAR(10)," "),CHAR(13)," "))),"")))</f>
        <v/>
      </c>
      <c r="DW778">
        <f>IF($DM778=0,"",IF($L$15=0,"",IFERROR(IF(ISNUMBER(INDEX(PASTE_ALL,$DF778,$L$15)),INDEX(PASTE_ALL,$DF778,$L$15),IF(SUMPRODUCT(--ISNUMBER(FIND({"A","B","C","D","E","F","G","H","I","J","K","L","M","N","O","P","Q","R","S","T","U","V","W","X","Y","Z","0","1","2","3","4","5","6","7","8","9"},UPPER(TRIM(SUBSTITUTE(SUBSTITUTE(SUBSTITUTE(SUBSTITUTE(INDEX(PASTE_ALL,$DF778,$L$15)," "," "),CHAR(9)," "),CHAR(10)," "),CHAR(13)," "))))))&gt;0,TRIM(SUBSTITUTE(SUBSTITUTE(SUBSTITUTE(SUBSTITUTE(INDEX(PASTE_ALL,$DF778,$L$15)," "," "),CHAR(9)," "),CHAR(10)," "),CHAR(13)," ")),"")),"")))</f>
        <v/>
      </c>
      <c r="DX778">
        <f>IF($DM778=0,"",IF($L$16=0,"",IFERROR(IF(ISNUMBER(INDEX(PASTE_ALL,$DF778,$L$16)),INDEX(PASTE_ALL,$DF778,$L$16),SUBSTITUTE(SUBSTITUTE(TRIM(SUBSTITUTE(SUBSTITUTE(SUBSTITUTE(SUBSTITUTE(INDEX(PASTE_ALL,$DF778,$L$16)," "," "),CHAR(9)," "),CHAR(10)," "),CHAR(13)," ")),",",""),"%","")),"")))</f>
        <v/>
      </c>
      <c r="DY778">
        <f>IF($DM778=0,"",IFERROR(IF(ISNUMBER($DX778),$DX778,IF($DX778="","",IF(TRIM($DX778)="",0,IF(AND(AND(SUBSTITUTE(SUBSTITUTE(SUBSTITUTE(SUBSTITUTE(SUBSTITUTE(SUBSTITUTE(SUBSTITUTE(SUBSTITUTE(SUBSTITUTE(SUBSTITUTE(SUBSTITUTE(SUBSTITUTE(SUBSTITUTE(SUBSTITUTE(UPPER(TRIM($DX778)),"0",""),"1",""),"2",""),"3",""),"4",""),"5",""),"6",""),"7",""),"8",""),"9",""),".",""),"+",""),"-",""),"E","")="",LEN(SUBSTITUTE(SUBSTITUTE(MID(UPPER(TRIM($DX778)),1+OR(LEFT(UPPER(TRIM($DX778)),1)="+",LEFT(UPPER(TRIM($DX778)),1)="-"),999),"E+","E"),"E-","E"))=LEN(SUBSTITUTE(SUBSTITUTE(SUBSTITUTE(SUBSTITUTE(MID(UPPER(TRIM($DX778)),1+OR(LEFT(UPPER(TRIM($DX778)),1)="+",LEFT(UPPER(TRIM($DX778)),1)="-"),999),"E+","E"),"E-","E"),"+",""),"-","")),LEN(UPPER(TRIM($DX778)))-LEN(SUBSTITUTE(UPPER(TRIM($DX778)),"E",""))&lt;2,LEN(UPPER(TRIM($DX778)))-LEN(SUBSTITUTE(UPPER(TRIM($DX778)),".",""))&lt;2,IFERROR(FIND(".",UPPER(TRIM($DX778))),0)&lt;IFERROR(FIND("E",UPPER(TRIM($DX778))),999)),ISNUMBER(VALUE(TRIM($DX778)))),VALUE(TRIM($DX778)),"")))),""))</f>
        <v/>
      </c>
      <c r="DZ778">
        <f>IF($DM778=0,"",IF($L$17=0,"",IFERROR(IF(ISNUMBER(INDEX(PASTE_ALL,$DF778,$L$17)),INDEX(PASTE_ALL,$DF778,$L$17),SUBSTITUTE(SUBSTITUTE(TRIM(SUBSTITUTE(SUBSTITUTE(SUBSTITUTE(SUBSTITUTE(INDEX(PASTE_ALL,$DF778,$L$17)," "," "),CHAR(9)," "),CHAR(10)," "),CHAR(13)," ")),",",""),"%","")),"")))</f>
        <v/>
      </c>
      <c r="EA778">
        <f>IF($DM778=0,"",IFERROR(IF(ISNUMBER($DZ778),$DZ778,IF($DZ778="","",IF(TRIM($DZ778)="",0,IF(AND(AND(SUBSTITUTE(SUBSTITUTE(SUBSTITUTE(SUBSTITUTE(SUBSTITUTE(SUBSTITUTE(SUBSTITUTE(SUBSTITUTE(SUBSTITUTE(SUBSTITUTE(SUBSTITUTE(SUBSTITUTE(SUBSTITUTE(SUBSTITUTE(UPPER(TRIM($DZ778)),"0",""),"1",""),"2",""),"3",""),"4",""),"5",""),"6",""),"7",""),"8",""),"9",""),".",""),"+",""),"-",""),"E","")="",LEN(SUBSTITUTE(SUBSTITUTE(MID(UPPER(TRIM($DZ778)),1+OR(LEFT(UPPER(TRIM($DZ778)),1)="+",LEFT(UPPER(TRIM($DZ778)),1)="-"),999),"E+","E"),"E-","E"))=LEN(SUBSTITUTE(SUBSTITUTE(SUBSTITUTE(SUBSTITUTE(MID(UPPER(TRIM($DZ778)),1+OR(LEFT(UPPER(TRIM($DZ778)),1)="+",LEFT(UPPER(TRIM($DZ778)),1)="-"),999),"E+","E"),"E-","E"),"+",""),"-","")),LEN(UPPER(TRIM($DZ778)))-LEN(SUBSTITUTE(UPPER(TRIM($DZ778)),"E",""))&lt;2,LEN(UPPER(TRIM($DZ778)))-LEN(SUBSTITUTE(UPPER(TRIM($DZ778)),".",""))&lt;2,IFERROR(FIND(".",UPPER(TRIM($DZ778))),0)&lt;IFERROR(FIND("E",UPPER(TRIM($DZ778))),999)),ISNUMBER(VALUE(TRIM($DZ778)))),VALUE(TRIM($DZ778)),"")))),""))</f>
        <v/>
      </c>
      <c r="EB778">
        <f>IF($DM778=0,"",IF($L$18=0,"",IFERROR(IF(UPPER(TRIM(SUBSTITUTE(SUBSTITUTE(SUBSTITUTE(SUBSTITUTE(INDEX(PASTE_ALL,$DF778,$L$18)," "," "),CHAR(9)," "),CHAR(10)," "),CHAR(13)," ")))="READY","Ready",IF(UPPER(TRIM(SUBSTITUTE(SUBSTITUTE(SUBSTITUTE(SUBSTITUTE(INDEX(PASTE_ALL,$DF778,$L$18)," "," "),CHAR(9)," "),CHAR(10)," "),CHAR(13)," ")))="PM","PM",IF(OR(UPPER(TRIM(SUBSTITUTE(SUBSTITUTE(SUBSTITUTE(SUBSTITUTE(INDEX(PASTE_ALL,$DF778,$L$18)," "," "),CHAR(9)," "),CHAR(10)," "),CHAR(13)," ")))="OT",UPPER(TRIM(SUBSTITUTE(SUBSTITUTE(SUBSTITUTE(SUBSTITUTE(INDEX(PASTE_ALL,$DF778,$L$18)," "," "),CHAR(9)," "),CHAR(10)," "),CHAR(13)," ")))="OVERTIME",UPPER(TRIM(SUBSTITUTE(SUBSTITUTE(SUBSTITUTE(SUBSTITUTE(INDEX(PASTE_ALL,$DF778,$L$18)," "," "),CHAR(9)," "),CHAR(10)," "),CHAR(13)," ")))="TRIAL"),"OT",TRIM(SUBSTITUTE(SUBSTITUTE(SUBSTITUTE(SUBSTITUTE(INDEX(PASTE_ALL,$DF778,$L$18)," "," "),CHAR(9)," "),CHAR(10)," "),CHAR(13)," "))))),"")))</f>
        <v/>
      </c>
      <c r="EC778">
        <f>IF($DM778=0,"",IF($L$19=0,"",IFERROR(IF(ISNUMBER(INDEX(PASTE_ALL,$DF778,$L$19)),INDEX(PASTE_ALL,$DF778,$L$19),TRIM(SUBSTITUTE(SUBSTITUTE(SUBSTITUTE(SUBSTITUTE(INDEX(PASTE_ALL,$DF778,$L$19)," "," "),CHAR(9)," "),CHAR(10)," "),CHAR(13)," "))),"")))</f>
        <v/>
      </c>
      <c r="ED778">
        <f>IF($DM778=0,"",MATCH(1,INDEX(EXACT($DH$5:DH778,$DH778)*$DM$5:DM778,0),0))</f>
        <v/>
      </c>
      <c r="EE778">
        <f>IF($DM778=0,0,IF($ED778=$DE778,1,0))</f>
        <v/>
      </c>
      <c r="EF778">
        <f>EF777+$EE778</f>
        <v/>
      </c>
      <c r="EG778">
        <f>IF($DM778=0,"",INDEX($EF$5:$EF$1003,$ED778))</f>
        <v/>
      </c>
      <c r="EH778">
        <f>IF($DM778=0,"",IF($DO778&lt;&gt;"","",IFERROR(LOOKUP(2,1/(($EG$4:EG777=$EG778)*($DO$4:DO777&lt;&gt;"")),$DO$4:DO777),"")))</f>
        <v/>
      </c>
      <c r="EI778">
        <f>IF($DM778=0,"",IF($DO778&lt;&gt;"",$DO778,$EH778))</f>
        <v/>
      </c>
      <c r="EJ778">
        <f>IF($DM778=0,"",IF($EI778="",0,IF(OR(ISNUMBER($EI778),AND(AND(SUBSTITUTE(SUBSTITUTE(SUBSTITUTE(SUBSTITUTE(SUBSTITUTE(SUBSTITUTE(SUBSTITUTE(SUBSTITUTE(SUBSTITUTE(SUBSTITUTE(SUBSTITUTE(SUBSTITUTE(SUBSTITUTE(SUBSTITUTE(UPPER($EI778),"0",""),"1",""),"2",""),"3",""),"4",""),"5",""),"6",""),"7",""),"8",""),"9",""),".",""),"+",""),"-",""),"E","")="",LEN(SUBSTITUTE(SUBSTITUTE(MID(UPPER($EI778),1+OR(LEFT(UPPER($EI778),1)="+",LEFT(UPPER($EI778),1)="-"),999),"E+","E"),"E-","E"))=LEN(SUBSTITUTE(SUBSTITUTE(SUBSTITUTE(SUBSTITUTE(MID(UPPER($EI778),1+OR(LEFT(UPPER($EI778),1)="+",LEFT(UPPER($EI778),1)="-"),999),"E+","E"),"E-","E"),"+",""),"-","")),LEN(UPPER($EI778))-LEN(SUBSTITUTE(UPPER($EI778),"E",""))&lt;2,LEN(UPPER($EI778))-LEN(SUBSTITUTE(UPPER($EI778),".",""))&lt;2,IFERROR(FIND(".",UPPER($EI778)),0)&lt;IFERROR(FIND("E",UPPER($EI778)),999)),ISNUMBER(VALUE($EI778)))),1,2)))</f>
        <v/>
      </c>
      <c r="EK778">
        <f>IF($DM778=0,"",IF($EJ778=1,IF(ISNUMBER($EI778),$EI778,VALUE($EI778)),IF($EJ778=2,$DE778,0)))</f>
        <v/>
      </c>
      <c r="EL778">
        <f>IF($DM778=0,"",COUNTIF($EG$5:$EG$1003,"&lt;"&amp;$EG778)+SUMPRODUCT(($EG$5:$EG$1003=$EG778)*(($EJ$5:$EJ$1003&lt;$EJ778)+($EJ$5:$EJ$1003=$EJ778)*(($EK$5:$EK$1003&lt;$EK778)+($EK$5:$EK$1003=$EK778)*($DE$5:$DE$1003&lt;$DE778))))+1)</f>
        <v/>
      </c>
      <c r="EM778">
        <f>IF($DM778=0,"",$EL778+$EG778-1)</f>
        <v/>
      </c>
      <c r="EN778">
        <f>IF($DM778=0,0,IFERROR(MATCH(1,INDEX(--(TRIM(SUBSTITUTE(SUBSTITUTE(SUBSTITUTE(SUBSTITUTE(LINES_NAME&amp;""," "," "),CHAR(9)," "),CHAR(10)," "),CHAR(13)," "))=$DH778),0),0),0))</f>
        <v/>
      </c>
      <c r="EO778">
        <f>IF($EN778=0,0,IF(OR(UPPER(TRIM(INDEX(LINES_SCHEDULED,$EN778)&amp;""))="YES",UPPER(TRIM(INDEX(LINES_SCHEDULED,$EN778)&amp;""))="Y",UPPER(TRIM(INDEX(LINES_SCHEDULED,$EN778)&amp;""))="X"),1,0))</f>
        <v/>
      </c>
      <c r="EP778">
        <f>IF($DM778=0,"",IF(COUNTIFS($EG$5:$EG$1003,$EG778,$EB$5:$EB$1003,"Ready")&gt;0,"READY",IF(COUNTIFS($EG$5:$EG$1003,$EG778,$EB$5:$EB$1003,"PM")&gt;0,"PM",IF(COUNTIFS($EG$5:$EG$1003,$EG778,$EB$5:$EB$1003,"OT")&gt;0,"OT",""))))</f>
        <v/>
      </c>
      <c r="EQ778">
        <f>IF($EN778=0,"",UPPER(TRIM(INDEX(LINES_STATUS,$EN778)&amp;"")))</f>
        <v/>
      </c>
      <c r="ER778">
        <f>IF($DM778=0,"",IF(OR($EQ778="READY",$EQ778="PM",$EQ778="OT"),$EQ778,$EP778))</f>
        <v/>
      </c>
      <c r="ES778">
        <f>IF($DM778=0,"",IF(AND($DV778&lt;&gt;"",UPPER($DV778)&lt;&gt;"N"),"allergen",IF(ISNUMBER(SEARCH("oil",$DQ778)),"oil",IF(OR(EXACT($DS778,"A662"),EXACT($DS778,"A624")),"bulk",""))))</f>
        <v/>
      </c>
      <c r="ET778">
        <f>IF($DM778=0,"",IF(OR($EA778="",$EA778=0),"",$EA778/100))</f>
        <v/>
      </c>
      <c r="EU778">
        <f>IF(OR($ET778="",$DY778=""),"",INT($DY778*(1-$ET778)+0.5))</f>
        <v/>
      </c>
    </row>
    <row r="779">
      <c r="DA779" t="n">
        <v>775</v>
      </c>
      <c r="DB779">
        <f>IF($B$37=0,"",IFERROR(TRIM(SUBSTITUTE(SUBSTITUTE(SUBSTITUTE(SUBSTITUTE(INDEX(PASTE_ALL,775,$B$37)," "," "),CHAR(9)," "),CHAR(10)," "),CHAR(13)," ")),""))</f>
        <v/>
      </c>
      <c r="DC779">
        <f>IF(AND(775&gt;HEADER_ROW,UPPER(DB779)="LEGEND"),1,0)</f>
        <v/>
      </c>
      <c r="DE779" t="n">
        <v>775</v>
      </c>
      <c r="DF779">
        <f>HEADER_ROW+$DE779</f>
        <v/>
      </c>
      <c r="DG779">
        <f>IF(AND($DF779&lt;=1000,$DF779&lt;$B$8),1,0)</f>
        <v/>
      </c>
      <c r="DH779">
        <f>IF($DG779=1,IFERROR(INDEX($DB$5:$DB$1004,$DF779),""),"")</f>
        <v/>
      </c>
      <c r="DI779">
        <f>IF(AND($DG779=1,$DH779&lt;&gt;""),IFERROR(SUBSTITUTE(SUBSTITUTE(TRIM(SUBSTITUTE(SUBSTITUTE(SUBSTITUTE(SUBSTITUTE(IFERROR(INDEX(PASTE_ALL,$DF779,1)&amp;"","")&amp;"␟"&amp;IFERROR(INDEX(PASTE_ALL,$DF779,2)&amp;"","")&amp;"␟"&amp;IFERROR(INDEX(PASTE_ALL,$DF779,3)&amp;"","")&amp;"␟"&amp;IFERROR(INDEX(PASTE_ALL,$DF779,4)&amp;"","")&amp;"␟"&amp;IFERROR(INDEX(PASTE_ALL,$DF779,5)&amp;"","")&amp;"␟"&amp;IFERROR(INDEX(PASTE_ALL,$DF779,6)&amp;"","")&amp;"␟"&amp;IFERROR(INDEX(PASTE_ALL,$DF779,7)&amp;"","")&amp;"␟"&amp;IFERROR(INDEX(PASTE_ALL,$DF779,8)&amp;"","")&amp;"␟"&amp;IFERROR(INDEX(PASTE_ALL,$DF779,9)&amp;"","")&amp;"␟"&amp;IFERROR(INDEX(PASTE_ALL,$DF779,10)&amp;"","")&amp;"␟"&amp;IFERROR(INDEX(PASTE_ALL,$DF779,11)&amp;"","")&amp;"␟"&amp;IFERROR(INDEX(PASTE_ALL,$DF779,12)&amp;"","")&amp;"␟"&amp;IFERROR(INDEX(PASTE_ALL,$DF779,13)&amp;"","")&amp;"␟"&amp;IFERROR(INDEX(PASTE_ALL,$DF779,14)&amp;"","")&amp;"␟"&amp;IFERROR(INDEX(PASTE_ALL,$DF779,15)&amp;"","")&amp;"␟"&amp;IFERROR(INDEX(PASTE_ALL,$DF779,16)&amp;"","")&amp;"␟"&amp;IFERROR(INDEX(PASTE_ALL,$DF779,17)&amp;"","")&amp;"␟"&amp;IFERROR(INDEX(PASTE_ALL,$DF779,18)&amp;"","")&amp;"␟"&amp;IFERROR(INDEX(PASTE_ALL,$DF779,19)&amp;"","")&amp;"␟"&amp;IFERROR(INDEX(PASTE_ALL,$DF779,20)&amp;"","")&amp;"␟"&amp;IFERROR(INDEX(PASTE_ALL,$DF779,21)&amp;"","")&amp;"␟"&amp;IFERROR(INDEX(PASTE_ALL,$DF779,22)&amp;"","")&amp;"␟"&amp;IFERROR(INDEX(PASTE_ALL,$DF779,23)&amp;"","")&amp;"␟"&amp;IFERROR(INDEX(PASTE_ALL,$DF779,24)&amp;"","")&amp;"␟"&amp;IFERROR(INDEX(PASTE_ALL,$DF779,25)&amp;"","")&amp;"␟"&amp;IFERROR(INDEX(PASTE_ALL,$DF779,26)&amp;"","")&amp;"␟"&amp;IFERROR(INDEX(PASTE_ALL,$DF779,27)&amp;"","")&amp;"␟"&amp;IFERROR(INDEX(PASTE_ALL,$DF779,28)&amp;"","")&amp;"␟"&amp;IFERROR(INDEX(PASTE_ALL,$DF779,29)&amp;"","")&amp;"␟"&amp;IFERROR(INDEX(PASTE_ALL,$DF779,30)&amp;"","")&amp;"␟"&amp;IFERROR(INDEX(PASTE_ALL,$DF779,31)&amp;"","")&amp;"␟"&amp;IFERROR(INDEX(PASTE_ALL,$DF779,32)&amp;"","")&amp;"␟"&amp;IFERROR(INDEX(PASTE_ALL,$DF779,33)&amp;"","")&amp;"␟"&amp;IFERROR(INDEX(PASTE_ALL,$DF779,34)&amp;"","")&amp;"␟"&amp;IFERROR(INDEX(PASTE_ALL,$DF779,35)&amp;"","")&amp;"␟"&amp;IFERROR(INDEX(PASTE_ALL,$DF779,36)&amp;"","")&amp;"␟"&amp;IFERROR(INDEX(PASTE_ALL,$DF779,37)&amp;"","")&amp;"␟"&amp;IFERROR(INDEX(PASTE_ALL,$DF779,38)&amp;"","")&amp;"␟"&amp;IFERROR(INDEX(PASTE_ALL,$DF779,39)&amp;"","")&amp;"␟"&amp;IFERROR(INDEX(PASTE_ALL,$DF779,40)&amp;"","")&amp;"␟"&amp;IFERROR(INDEX(PASTE_ALL,$DF779,41)&amp;"","")&amp;"␟"&amp;IFERROR(INDEX(PASTE_ALL,$DF779,42)&amp;"","")&amp;"␟"&amp;IFERROR(INDEX(PASTE_ALL,$DF779,43)&amp;"","")&amp;"␟"&amp;IFERROR(INDEX(PASTE_ALL,$DF779,44)&amp;"","")&amp;"␟"&amp;IFERROR(INDEX(PASTE_ALL,$DF779,45)&amp;"","")&amp;"␟"&amp;IFERROR(INDEX(PASTE_ALL,$DF779,46)&amp;"","")&amp;"␟"&amp;IFERROR(INDEX(PASTE_ALL,$DF779,47)&amp;"","")&amp;"␟"&amp;IFERROR(INDEX(PASTE_ALL,$DF779,48)&amp;"","")&amp;"␟"&amp;IFERROR(INDEX(PASTE_ALL,$DF779,49)&amp;"","")&amp;"␟"&amp;IFERROR(INDEX(PASTE_ALL,$DF779,50)&amp;"","")&amp;"␟"&amp;IFERROR(INDEX(PASTE_ALL,$DF779,51)&amp;"","")&amp;"␟"&amp;IFERROR(INDEX(PASTE_ALL,$DF779,52)&amp;"","")&amp;"␟"&amp;IFERROR(INDEX(PASTE_ALL,$DF779,53)&amp;"","")&amp;"␟"&amp;IFERROR(INDEX(PASTE_ALL,$DF779,54)&amp;"","")&amp;"␟"&amp;IFERROR(INDEX(PASTE_ALL,$DF779,55)&amp;"","")&amp;"␟"&amp;IFERROR(INDEX(PASTE_ALL,$DF779,56)&amp;"","")&amp;"␟"&amp;IFERROR(INDEX(PASTE_ALL,$DF779,57)&amp;"","")&amp;"␟"&amp;IFERROR(INDEX(PASTE_ALL,$DF779,58)&amp;"","")&amp;"␟"&amp;IFERROR(INDEX(PASTE_ALL,$DF779,59)&amp;"","")&amp;"␟"&amp;IFERROR(INDEX(PASTE_ALL,$DF779,60)&amp;"","")," "," "),CHAR(9)," "),CHAR(10)," "),CHAR(13)," "))," ␟","␟"),"␟ ","␟"),"#"&amp;$DE779),"")</f>
        <v/>
      </c>
      <c r="DJ779">
        <f>IF($DI779="",0,IF(SUMPRODUCT(--EXACT($DI$4:DI778,$DI779))&gt;0,1,0))</f>
        <v/>
      </c>
      <c r="DK779">
        <f>IF(AND($DI779&lt;&gt;"",$DJ779=0),1,0)</f>
        <v/>
      </c>
      <c r="DL779">
        <f>DL778+$DK779</f>
        <v/>
      </c>
      <c r="DM779">
        <f>IF(AND($DK779=1,$DL779&lt;=600),1,0)</f>
        <v/>
      </c>
      <c r="DN779">
        <f>IF($DM779=0,"",IF($L$6=0,"",IFERROR(IF(ISNUMBER(INDEX(PASTE_ALL,$DF779,$L$6)),INDEX(PASTE_ALL,$DF779,$L$6),TRIM(SUBSTITUTE(SUBSTITUTE(SUBSTITUTE(SUBSTITUTE(INDEX(PASTE_ALL,$DF779,$L$6)," "," "),CHAR(9)," "),CHAR(10)," "),CHAR(13)," "))),"")))</f>
        <v/>
      </c>
      <c r="DO779">
        <f>IF($DM779=0,"",IF($L$7=0,"",IFERROR(IF(ISNUMBER(INDEX(PASTE_ALL,$DF779,$L$7)),INDEX(PASTE_ALL,$DF779,$L$7),TRIM(SUBSTITUTE(SUBSTITUTE(SUBSTITUTE(SUBSTITUTE(INDEX(PASTE_ALL,$DF779,$L$7)," "," "),CHAR(9)," "),CHAR(10)," "),CHAR(13)," "))),"")))</f>
        <v/>
      </c>
      <c r="DP779">
        <f>IF($DM779=0,"",IF($L$8=0,"",IFERROR(IF(ISNUMBER(INDEX(PASTE_ALL,$DF779,$L$8)),INDEX(PASTE_ALL,$DF779,$L$8),TRIM(SUBSTITUTE(SUBSTITUTE(SUBSTITUTE(SUBSTITUTE(INDEX(PASTE_ALL,$DF779,$L$8)," "," "),CHAR(9)," "),CHAR(10)," "),CHAR(13)," "))),"")))</f>
        <v/>
      </c>
      <c r="DQ779">
        <f>IF($DM779=0,"",IF($L$9=0,"",IFERROR(IF(ISNUMBER(INDEX(PASTE_ALL,$DF779,$L$9)),INDEX(PASTE_ALL,$DF779,$L$9),TRIM(SUBSTITUTE(SUBSTITUTE(SUBSTITUTE(SUBSTITUTE(INDEX(PASTE_ALL,$DF779,$L$9)," "," "),CHAR(9)," "),CHAR(10)," "),CHAR(13)," "))),"")))</f>
        <v/>
      </c>
      <c r="DR779">
        <f>IF($DM779=0,"",IF($L$10=0,"",IFERROR(IF(ISNUMBER(INDEX(PASTE_ALL,$DF779,$L$10)),INDEX(PASTE_ALL,$DF779,$L$10),TRIM(SUBSTITUTE(SUBSTITUTE(SUBSTITUTE(SUBSTITUTE(INDEX(PASTE_ALL,$DF779,$L$10)," "," "),CHAR(9)," "),CHAR(10)," "),CHAR(13)," "))),"")))</f>
        <v/>
      </c>
      <c r="DS779">
        <f>IF($DM779=0,"",IF($L$11=0,"",IFERROR(IF(ISNUMBER(INDEX(PASTE_ALL,$DF779,$L$11)),INDEX(PASTE_ALL,$DF779,$L$11),TRIM(SUBSTITUTE(SUBSTITUTE(SUBSTITUTE(SUBSTITUTE(INDEX(PASTE_ALL,$DF779,$L$11)," "," "),CHAR(9)," "),CHAR(10)," "),CHAR(13)," "))),"")))</f>
        <v/>
      </c>
      <c r="DT779">
        <f>IF($DM779=0,"",IF($L$12=0,"",IFERROR(IF(ISNUMBER(INDEX(PASTE_ALL,$DF779,$L$12)),INDEX(PASTE_ALL,$DF779,$L$12),TRIM(SUBSTITUTE(SUBSTITUTE(SUBSTITUTE(SUBSTITUTE(INDEX(PASTE_ALL,$DF779,$L$12)," "," "),CHAR(9)," "),CHAR(10)," "),CHAR(13)," "))),"")))</f>
        <v/>
      </c>
      <c r="DU779">
        <f>IF($DM779=0,"",IF($L$13=0,"",IFERROR(IF(ISNUMBER(INDEX(PASTE_ALL,$DF779,$L$13)),INDEX(PASTE_ALL,$DF779,$L$13),TRIM(SUBSTITUTE(SUBSTITUTE(SUBSTITUTE(SUBSTITUTE(INDEX(PASTE_ALL,$DF779,$L$13)," "," "),CHAR(9)," "),CHAR(10)," "),CHAR(13)," "))),"")))</f>
        <v/>
      </c>
      <c r="DV779">
        <f>IF($DM779=0,"",IF($L$14=0,"",IFERROR(IF(ISNUMBER(INDEX(PASTE_ALL,$DF779,$L$14)),INDEX(PASTE_ALL,$DF779,$L$14),TRIM(SUBSTITUTE(SUBSTITUTE(SUBSTITUTE(SUBSTITUTE(INDEX(PASTE_ALL,$DF779,$L$14)," "," "),CHAR(9)," "),CHAR(10)," "),CHAR(13)," "))),"")))</f>
        <v/>
      </c>
      <c r="DW779">
        <f>IF($DM779=0,"",IF($L$15=0,"",IFERROR(IF(ISNUMBER(INDEX(PASTE_ALL,$DF779,$L$15)),INDEX(PASTE_ALL,$DF779,$L$15),IF(SUMPRODUCT(--ISNUMBER(FIND({"A","B","C","D","E","F","G","H","I","J","K","L","M","N","O","P","Q","R","S","T","U","V","W","X","Y","Z","0","1","2","3","4","5","6","7","8","9"},UPPER(TRIM(SUBSTITUTE(SUBSTITUTE(SUBSTITUTE(SUBSTITUTE(INDEX(PASTE_ALL,$DF779,$L$15)," "," "),CHAR(9)," "),CHAR(10)," "),CHAR(13)," "))))))&gt;0,TRIM(SUBSTITUTE(SUBSTITUTE(SUBSTITUTE(SUBSTITUTE(INDEX(PASTE_ALL,$DF779,$L$15)," "," "),CHAR(9)," "),CHAR(10)," "),CHAR(13)," ")),"")),"")))</f>
        <v/>
      </c>
      <c r="DX779">
        <f>IF($DM779=0,"",IF($L$16=0,"",IFERROR(IF(ISNUMBER(INDEX(PASTE_ALL,$DF779,$L$16)),INDEX(PASTE_ALL,$DF779,$L$16),SUBSTITUTE(SUBSTITUTE(TRIM(SUBSTITUTE(SUBSTITUTE(SUBSTITUTE(SUBSTITUTE(INDEX(PASTE_ALL,$DF779,$L$16)," "," "),CHAR(9)," "),CHAR(10)," "),CHAR(13)," ")),",",""),"%","")),"")))</f>
        <v/>
      </c>
      <c r="DY779">
        <f>IF($DM779=0,"",IFERROR(IF(ISNUMBER($DX779),$DX779,IF($DX779="","",IF(TRIM($DX779)="",0,IF(AND(AND(SUBSTITUTE(SUBSTITUTE(SUBSTITUTE(SUBSTITUTE(SUBSTITUTE(SUBSTITUTE(SUBSTITUTE(SUBSTITUTE(SUBSTITUTE(SUBSTITUTE(SUBSTITUTE(SUBSTITUTE(SUBSTITUTE(SUBSTITUTE(UPPER(TRIM($DX779)),"0",""),"1",""),"2",""),"3",""),"4",""),"5",""),"6",""),"7",""),"8",""),"9",""),".",""),"+",""),"-",""),"E","")="",LEN(SUBSTITUTE(SUBSTITUTE(MID(UPPER(TRIM($DX779)),1+OR(LEFT(UPPER(TRIM($DX779)),1)="+",LEFT(UPPER(TRIM($DX779)),1)="-"),999),"E+","E"),"E-","E"))=LEN(SUBSTITUTE(SUBSTITUTE(SUBSTITUTE(SUBSTITUTE(MID(UPPER(TRIM($DX779)),1+OR(LEFT(UPPER(TRIM($DX779)),1)="+",LEFT(UPPER(TRIM($DX779)),1)="-"),999),"E+","E"),"E-","E"),"+",""),"-","")),LEN(UPPER(TRIM($DX779)))-LEN(SUBSTITUTE(UPPER(TRIM($DX779)),"E",""))&lt;2,LEN(UPPER(TRIM($DX779)))-LEN(SUBSTITUTE(UPPER(TRIM($DX779)),".",""))&lt;2,IFERROR(FIND(".",UPPER(TRIM($DX779))),0)&lt;IFERROR(FIND("E",UPPER(TRIM($DX779))),999)),ISNUMBER(VALUE(TRIM($DX779)))),VALUE(TRIM($DX779)),"")))),""))</f>
        <v/>
      </c>
      <c r="DZ779">
        <f>IF($DM779=0,"",IF($L$17=0,"",IFERROR(IF(ISNUMBER(INDEX(PASTE_ALL,$DF779,$L$17)),INDEX(PASTE_ALL,$DF779,$L$17),SUBSTITUTE(SUBSTITUTE(TRIM(SUBSTITUTE(SUBSTITUTE(SUBSTITUTE(SUBSTITUTE(INDEX(PASTE_ALL,$DF779,$L$17)," "," "),CHAR(9)," "),CHAR(10)," "),CHAR(13)," ")),",",""),"%","")),"")))</f>
        <v/>
      </c>
      <c r="EA779">
        <f>IF($DM779=0,"",IFERROR(IF(ISNUMBER($DZ779),$DZ779,IF($DZ779="","",IF(TRIM($DZ779)="",0,IF(AND(AND(SUBSTITUTE(SUBSTITUTE(SUBSTITUTE(SUBSTITUTE(SUBSTITUTE(SUBSTITUTE(SUBSTITUTE(SUBSTITUTE(SUBSTITUTE(SUBSTITUTE(SUBSTITUTE(SUBSTITUTE(SUBSTITUTE(SUBSTITUTE(UPPER(TRIM($DZ779)),"0",""),"1",""),"2",""),"3",""),"4",""),"5",""),"6",""),"7",""),"8",""),"9",""),".",""),"+",""),"-",""),"E","")="",LEN(SUBSTITUTE(SUBSTITUTE(MID(UPPER(TRIM($DZ779)),1+OR(LEFT(UPPER(TRIM($DZ779)),1)="+",LEFT(UPPER(TRIM($DZ779)),1)="-"),999),"E+","E"),"E-","E"))=LEN(SUBSTITUTE(SUBSTITUTE(SUBSTITUTE(SUBSTITUTE(MID(UPPER(TRIM($DZ779)),1+OR(LEFT(UPPER(TRIM($DZ779)),1)="+",LEFT(UPPER(TRIM($DZ779)),1)="-"),999),"E+","E"),"E-","E"),"+",""),"-","")),LEN(UPPER(TRIM($DZ779)))-LEN(SUBSTITUTE(UPPER(TRIM($DZ779)),"E",""))&lt;2,LEN(UPPER(TRIM($DZ779)))-LEN(SUBSTITUTE(UPPER(TRIM($DZ779)),".",""))&lt;2,IFERROR(FIND(".",UPPER(TRIM($DZ779))),0)&lt;IFERROR(FIND("E",UPPER(TRIM($DZ779))),999)),ISNUMBER(VALUE(TRIM($DZ779)))),VALUE(TRIM($DZ779)),"")))),""))</f>
        <v/>
      </c>
      <c r="EB779">
        <f>IF($DM779=0,"",IF($L$18=0,"",IFERROR(IF(UPPER(TRIM(SUBSTITUTE(SUBSTITUTE(SUBSTITUTE(SUBSTITUTE(INDEX(PASTE_ALL,$DF779,$L$18)," "," "),CHAR(9)," "),CHAR(10)," "),CHAR(13)," ")))="READY","Ready",IF(UPPER(TRIM(SUBSTITUTE(SUBSTITUTE(SUBSTITUTE(SUBSTITUTE(INDEX(PASTE_ALL,$DF779,$L$18)," "," "),CHAR(9)," "),CHAR(10)," "),CHAR(13)," ")))="PM","PM",IF(OR(UPPER(TRIM(SUBSTITUTE(SUBSTITUTE(SUBSTITUTE(SUBSTITUTE(INDEX(PASTE_ALL,$DF779,$L$18)," "," "),CHAR(9)," "),CHAR(10)," "),CHAR(13)," ")))="OT",UPPER(TRIM(SUBSTITUTE(SUBSTITUTE(SUBSTITUTE(SUBSTITUTE(INDEX(PASTE_ALL,$DF779,$L$18)," "," "),CHAR(9)," "),CHAR(10)," "),CHAR(13)," ")))="OVERTIME",UPPER(TRIM(SUBSTITUTE(SUBSTITUTE(SUBSTITUTE(SUBSTITUTE(INDEX(PASTE_ALL,$DF779,$L$18)," "," "),CHAR(9)," "),CHAR(10)," "),CHAR(13)," ")))="TRIAL"),"OT",TRIM(SUBSTITUTE(SUBSTITUTE(SUBSTITUTE(SUBSTITUTE(INDEX(PASTE_ALL,$DF779,$L$18)," "," "),CHAR(9)," "),CHAR(10)," "),CHAR(13)," "))))),"")))</f>
        <v/>
      </c>
      <c r="EC779">
        <f>IF($DM779=0,"",IF($L$19=0,"",IFERROR(IF(ISNUMBER(INDEX(PASTE_ALL,$DF779,$L$19)),INDEX(PASTE_ALL,$DF779,$L$19),TRIM(SUBSTITUTE(SUBSTITUTE(SUBSTITUTE(SUBSTITUTE(INDEX(PASTE_ALL,$DF779,$L$19)," "," "),CHAR(9)," "),CHAR(10)," "),CHAR(13)," "))),"")))</f>
        <v/>
      </c>
      <c r="ED779">
        <f>IF($DM779=0,"",MATCH(1,INDEX(EXACT($DH$5:DH779,$DH779)*$DM$5:DM779,0),0))</f>
        <v/>
      </c>
      <c r="EE779">
        <f>IF($DM779=0,0,IF($ED779=$DE779,1,0))</f>
        <v/>
      </c>
      <c r="EF779">
        <f>EF778+$EE779</f>
        <v/>
      </c>
      <c r="EG779">
        <f>IF($DM779=0,"",INDEX($EF$5:$EF$1003,$ED779))</f>
        <v/>
      </c>
      <c r="EH779">
        <f>IF($DM779=0,"",IF($DO779&lt;&gt;"","",IFERROR(LOOKUP(2,1/(($EG$4:EG778=$EG779)*($DO$4:DO778&lt;&gt;"")),$DO$4:DO778),"")))</f>
        <v/>
      </c>
      <c r="EI779">
        <f>IF($DM779=0,"",IF($DO779&lt;&gt;"",$DO779,$EH779))</f>
        <v/>
      </c>
      <c r="EJ779">
        <f>IF($DM779=0,"",IF($EI779="",0,IF(OR(ISNUMBER($EI779),AND(AND(SUBSTITUTE(SUBSTITUTE(SUBSTITUTE(SUBSTITUTE(SUBSTITUTE(SUBSTITUTE(SUBSTITUTE(SUBSTITUTE(SUBSTITUTE(SUBSTITUTE(SUBSTITUTE(SUBSTITUTE(SUBSTITUTE(SUBSTITUTE(UPPER($EI779),"0",""),"1",""),"2",""),"3",""),"4",""),"5",""),"6",""),"7",""),"8",""),"9",""),".",""),"+",""),"-",""),"E","")="",LEN(SUBSTITUTE(SUBSTITUTE(MID(UPPER($EI779),1+OR(LEFT(UPPER($EI779),1)="+",LEFT(UPPER($EI779),1)="-"),999),"E+","E"),"E-","E"))=LEN(SUBSTITUTE(SUBSTITUTE(SUBSTITUTE(SUBSTITUTE(MID(UPPER($EI779),1+OR(LEFT(UPPER($EI779),1)="+",LEFT(UPPER($EI779),1)="-"),999),"E+","E"),"E-","E"),"+",""),"-","")),LEN(UPPER($EI779))-LEN(SUBSTITUTE(UPPER($EI779),"E",""))&lt;2,LEN(UPPER($EI779))-LEN(SUBSTITUTE(UPPER($EI779),".",""))&lt;2,IFERROR(FIND(".",UPPER($EI779)),0)&lt;IFERROR(FIND("E",UPPER($EI779)),999)),ISNUMBER(VALUE($EI779)))),1,2)))</f>
        <v/>
      </c>
      <c r="EK779">
        <f>IF($DM779=0,"",IF($EJ779=1,IF(ISNUMBER($EI779),$EI779,VALUE($EI779)),IF($EJ779=2,$DE779,0)))</f>
        <v/>
      </c>
      <c r="EL779">
        <f>IF($DM779=0,"",COUNTIF($EG$5:$EG$1003,"&lt;"&amp;$EG779)+SUMPRODUCT(($EG$5:$EG$1003=$EG779)*(($EJ$5:$EJ$1003&lt;$EJ779)+($EJ$5:$EJ$1003=$EJ779)*(($EK$5:$EK$1003&lt;$EK779)+($EK$5:$EK$1003=$EK779)*($DE$5:$DE$1003&lt;$DE779))))+1)</f>
        <v/>
      </c>
      <c r="EM779">
        <f>IF($DM779=0,"",$EL779+$EG779-1)</f>
        <v/>
      </c>
      <c r="EN779">
        <f>IF($DM779=0,0,IFERROR(MATCH(1,INDEX(--(TRIM(SUBSTITUTE(SUBSTITUTE(SUBSTITUTE(SUBSTITUTE(LINES_NAME&amp;""," "," "),CHAR(9)," "),CHAR(10)," "),CHAR(13)," "))=$DH779),0),0),0))</f>
        <v/>
      </c>
      <c r="EO779">
        <f>IF($EN779=0,0,IF(OR(UPPER(TRIM(INDEX(LINES_SCHEDULED,$EN779)&amp;""))="YES",UPPER(TRIM(INDEX(LINES_SCHEDULED,$EN779)&amp;""))="Y",UPPER(TRIM(INDEX(LINES_SCHEDULED,$EN779)&amp;""))="X"),1,0))</f>
        <v/>
      </c>
      <c r="EP779">
        <f>IF($DM779=0,"",IF(COUNTIFS($EG$5:$EG$1003,$EG779,$EB$5:$EB$1003,"Ready")&gt;0,"READY",IF(COUNTIFS($EG$5:$EG$1003,$EG779,$EB$5:$EB$1003,"PM")&gt;0,"PM",IF(COUNTIFS($EG$5:$EG$1003,$EG779,$EB$5:$EB$1003,"OT")&gt;0,"OT",""))))</f>
        <v/>
      </c>
      <c r="EQ779">
        <f>IF($EN779=0,"",UPPER(TRIM(INDEX(LINES_STATUS,$EN779)&amp;"")))</f>
        <v/>
      </c>
      <c r="ER779">
        <f>IF($DM779=0,"",IF(OR($EQ779="READY",$EQ779="PM",$EQ779="OT"),$EQ779,$EP779))</f>
        <v/>
      </c>
      <c r="ES779">
        <f>IF($DM779=0,"",IF(AND($DV779&lt;&gt;"",UPPER($DV779)&lt;&gt;"N"),"allergen",IF(ISNUMBER(SEARCH("oil",$DQ779)),"oil",IF(OR(EXACT($DS779,"A662"),EXACT($DS779,"A624")),"bulk",""))))</f>
        <v/>
      </c>
      <c r="ET779">
        <f>IF($DM779=0,"",IF(OR($EA779="",$EA779=0),"",$EA779/100))</f>
        <v/>
      </c>
      <c r="EU779">
        <f>IF(OR($ET779="",$DY779=""),"",INT($DY779*(1-$ET779)+0.5))</f>
        <v/>
      </c>
    </row>
    <row r="780">
      <c r="DA780" t="n">
        <v>776</v>
      </c>
      <c r="DB780">
        <f>IF($B$37=0,"",IFERROR(TRIM(SUBSTITUTE(SUBSTITUTE(SUBSTITUTE(SUBSTITUTE(INDEX(PASTE_ALL,776,$B$37)," "," "),CHAR(9)," "),CHAR(10)," "),CHAR(13)," ")),""))</f>
        <v/>
      </c>
      <c r="DC780">
        <f>IF(AND(776&gt;HEADER_ROW,UPPER(DB780)="LEGEND"),1,0)</f>
        <v/>
      </c>
      <c r="DE780" t="n">
        <v>776</v>
      </c>
      <c r="DF780">
        <f>HEADER_ROW+$DE780</f>
        <v/>
      </c>
      <c r="DG780">
        <f>IF(AND($DF780&lt;=1000,$DF780&lt;$B$8),1,0)</f>
        <v/>
      </c>
      <c r="DH780">
        <f>IF($DG780=1,IFERROR(INDEX($DB$5:$DB$1004,$DF780),""),"")</f>
        <v/>
      </c>
      <c r="DI780">
        <f>IF(AND($DG780=1,$DH780&lt;&gt;""),IFERROR(SUBSTITUTE(SUBSTITUTE(TRIM(SUBSTITUTE(SUBSTITUTE(SUBSTITUTE(SUBSTITUTE(IFERROR(INDEX(PASTE_ALL,$DF780,1)&amp;"","")&amp;"␟"&amp;IFERROR(INDEX(PASTE_ALL,$DF780,2)&amp;"","")&amp;"␟"&amp;IFERROR(INDEX(PASTE_ALL,$DF780,3)&amp;"","")&amp;"␟"&amp;IFERROR(INDEX(PASTE_ALL,$DF780,4)&amp;"","")&amp;"␟"&amp;IFERROR(INDEX(PASTE_ALL,$DF780,5)&amp;"","")&amp;"␟"&amp;IFERROR(INDEX(PASTE_ALL,$DF780,6)&amp;"","")&amp;"␟"&amp;IFERROR(INDEX(PASTE_ALL,$DF780,7)&amp;"","")&amp;"␟"&amp;IFERROR(INDEX(PASTE_ALL,$DF780,8)&amp;"","")&amp;"␟"&amp;IFERROR(INDEX(PASTE_ALL,$DF780,9)&amp;"","")&amp;"␟"&amp;IFERROR(INDEX(PASTE_ALL,$DF780,10)&amp;"","")&amp;"␟"&amp;IFERROR(INDEX(PASTE_ALL,$DF780,11)&amp;"","")&amp;"␟"&amp;IFERROR(INDEX(PASTE_ALL,$DF780,12)&amp;"","")&amp;"␟"&amp;IFERROR(INDEX(PASTE_ALL,$DF780,13)&amp;"","")&amp;"␟"&amp;IFERROR(INDEX(PASTE_ALL,$DF780,14)&amp;"","")&amp;"␟"&amp;IFERROR(INDEX(PASTE_ALL,$DF780,15)&amp;"","")&amp;"␟"&amp;IFERROR(INDEX(PASTE_ALL,$DF780,16)&amp;"","")&amp;"␟"&amp;IFERROR(INDEX(PASTE_ALL,$DF780,17)&amp;"","")&amp;"␟"&amp;IFERROR(INDEX(PASTE_ALL,$DF780,18)&amp;"","")&amp;"␟"&amp;IFERROR(INDEX(PASTE_ALL,$DF780,19)&amp;"","")&amp;"␟"&amp;IFERROR(INDEX(PASTE_ALL,$DF780,20)&amp;"","")&amp;"␟"&amp;IFERROR(INDEX(PASTE_ALL,$DF780,21)&amp;"","")&amp;"␟"&amp;IFERROR(INDEX(PASTE_ALL,$DF780,22)&amp;"","")&amp;"␟"&amp;IFERROR(INDEX(PASTE_ALL,$DF780,23)&amp;"","")&amp;"␟"&amp;IFERROR(INDEX(PASTE_ALL,$DF780,24)&amp;"","")&amp;"␟"&amp;IFERROR(INDEX(PASTE_ALL,$DF780,25)&amp;"","")&amp;"␟"&amp;IFERROR(INDEX(PASTE_ALL,$DF780,26)&amp;"","")&amp;"␟"&amp;IFERROR(INDEX(PASTE_ALL,$DF780,27)&amp;"","")&amp;"␟"&amp;IFERROR(INDEX(PASTE_ALL,$DF780,28)&amp;"","")&amp;"␟"&amp;IFERROR(INDEX(PASTE_ALL,$DF780,29)&amp;"","")&amp;"␟"&amp;IFERROR(INDEX(PASTE_ALL,$DF780,30)&amp;"","")&amp;"␟"&amp;IFERROR(INDEX(PASTE_ALL,$DF780,31)&amp;"","")&amp;"␟"&amp;IFERROR(INDEX(PASTE_ALL,$DF780,32)&amp;"","")&amp;"␟"&amp;IFERROR(INDEX(PASTE_ALL,$DF780,33)&amp;"","")&amp;"␟"&amp;IFERROR(INDEX(PASTE_ALL,$DF780,34)&amp;"","")&amp;"␟"&amp;IFERROR(INDEX(PASTE_ALL,$DF780,35)&amp;"","")&amp;"␟"&amp;IFERROR(INDEX(PASTE_ALL,$DF780,36)&amp;"","")&amp;"␟"&amp;IFERROR(INDEX(PASTE_ALL,$DF780,37)&amp;"","")&amp;"␟"&amp;IFERROR(INDEX(PASTE_ALL,$DF780,38)&amp;"","")&amp;"␟"&amp;IFERROR(INDEX(PASTE_ALL,$DF780,39)&amp;"","")&amp;"␟"&amp;IFERROR(INDEX(PASTE_ALL,$DF780,40)&amp;"","")&amp;"␟"&amp;IFERROR(INDEX(PASTE_ALL,$DF780,41)&amp;"","")&amp;"␟"&amp;IFERROR(INDEX(PASTE_ALL,$DF780,42)&amp;"","")&amp;"␟"&amp;IFERROR(INDEX(PASTE_ALL,$DF780,43)&amp;"","")&amp;"␟"&amp;IFERROR(INDEX(PASTE_ALL,$DF780,44)&amp;"","")&amp;"␟"&amp;IFERROR(INDEX(PASTE_ALL,$DF780,45)&amp;"","")&amp;"␟"&amp;IFERROR(INDEX(PASTE_ALL,$DF780,46)&amp;"","")&amp;"␟"&amp;IFERROR(INDEX(PASTE_ALL,$DF780,47)&amp;"","")&amp;"␟"&amp;IFERROR(INDEX(PASTE_ALL,$DF780,48)&amp;"","")&amp;"␟"&amp;IFERROR(INDEX(PASTE_ALL,$DF780,49)&amp;"","")&amp;"␟"&amp;IFERROR(INDEX(PASTE_ALL,$DF780,50)&amp;"","")&amp;"␟"&amp;IFERROR(INDEX(PASTE_ALL,$DF780,51)&amp;"","")&amp;"␟"&amp;IFERROR(INDEX(PASTE_ALL,$DF780,52)&amp;"","")&amp;"␟"&amp;IFERROR(INDEX(PASTE_ALL,$DF780,53)&amp;"","")&amp;"␟"&amp;IFERROR(INDEX(PASTE_ALL,$DF780,54)&amp;"","")&amp;"␟"&amp;IFERROR(INDEX(PASTE_ALL,$DF780,55)&amp;"","")&amp;"␟"&amp;IFERROR(INDEX(PASTE_ALL,$DF780,56)&amp;"","")&amp;"␟"&amp;IFERROR(INDEX(PASTE_ALL,$DF780,57)&amp;"","")&amp;"␟"&amp;IFERROR(INDEX(PASTE_ALL,$DF780,58)&amp;"","")&amp;"␟"&amp;IFERROR(INDEX(PASTE_ALL,$DF780,59)&amp;"","")&amp;"␟"&amp;IFERROR(INDEX(PASTE_ALL,$DF780,60)&amp;"","")," "," "),CHAR(9)," "),CHAR(10)," "),CHAR(13)," "))," ␟","␟"),"␟ ","␟"),"#"&amp;$DE780),"")</f>
        <v/>
      </c>
      <c r="DJ780">
        <f>IF($DI780="",0,IF(SUMPRODUCT(--EXACT($DI$4:DI779,$DI780))&gt;0,1,0))</f>
        <v/>
      </c>
      <c r="DK780">
        <f>IF(AND($DI780&lt;&gt;"",$DJ780=0),1,0)</f>
        <v/>
      </c>
      <c r="DL780">
        <f>DL779+$DK780</f>
        <v/>
      </c>
      <c r="DM780">
        <f>IF(AND($DK780=1,$DL780&lt;=600),1,0)</f>
        <v/>
      </c>
      <c r="DN780">
        <f>IF($DM780=0,"",IF($L$6=0,"",IFERROR(IF(ISNUMBER(INDEX(PASTE_ALL,$DF780,$L$6)),INDEX(PASTE_ALL,$DF780,$L$6),TRIM(SUBSTITUTE(SUBSTITUTE(SUBSTITUTE(SUBSTITUTE(INDEX(PASTE_ALL,$DF780,$L$6)," "," "),CHAR(9)," "),CHAR(10)," "),CHAR(13)," "))),"")))</f>
        <v/>
      </c>
      <c r="DO780">
        <f>IF($DM780=0,"",IF($L$7=0,"",IFERROR(IF(ISNUMBER(INDEX(PASTE_ALL,$DF780,$L$7)),INDEX(PASTE_ALL,$DF780,$L$7),TRIM(SUBSTITUTE(SUBSTITUTE(SUBSTITUTE(SUBSTITUTE(INDEX(PASTE_ALL,$DF780,$L$7)," "," "),CHAR(9)," "),CHAR(10)," "),CHAR(13)," "))),"")))</f>
        <v/>
      </c>
      <c r="DP780">
        <f>IF($DM780=0,"",IF($L$8=0,"",IFERROR(IF(ISNUMBER(INDEX(PASTE_ALL,$DF780,$L$8)),INDEX(PASTE_ALL,$DF780,$L$8),TRIM(SUBSTITUTE(SUBSTITUTE(SUBSTITUTE(SUBSTITUTE(INDEX(PASTE_ALL,$DF780,$L$8)," "," "),CHAR(9)," "),CHAR(10)," "),CHAR(13)," "))),"")))</f>
        <v/>
      </c>
      <c r="DQ780">
        <f>IF($DM780=0,"",IF($L$9=0,"",IFERROR(IF(ISNUMBER(INDEX(PASTE_ALL,$DF780,$L$9)),INDEX(PASTE_ALL,$DF780,$L$9),TRIM(SUBSTITUTE(SUBSTITUTE(SUBSTITUTE(SUBSTITUTE(INDEX(PASTE_ALL,$DF780,$L$9)," "," "),CHAR(9)," "),CHAR(10)," "),CHAR(13)," "))),"")))</f>
        <v/>
      </c>
      <c r="DR780">
        <f>IF($DM780=0,"",IF($L$10=0,"",IFERROR(IF(ISNUMBER(INDEX(PASTE_ALL,$DF780,$L$10)),INDEX(PASTE_ALL,$DF780,$L$10),TRIM(SUBSTITUTE(SUBSTITUTE(SUBSTITUTE(SUBSTITUTE(INDEX(PASTE_ALL,$DF780,$L$10)," "," "),CHAR(9)," "),CHAR(10)," "),CHAR(13)," "))),"")))</f>
        <v/>
      </c>
      <c r="DS780">
        <f>IF($DM780=0,"",IF($L$11=0,"",IFERROR(IF(ISNUMBER(INDEX(PASTE_ALL,$DF780,$L$11)),INDEX(PASTE_ALL,$DF780,$L$11),TRIM(SUBSTITUTE(SUBSTITUTE(SUBSTITUTE(SUBSTITUTE(INDEX(PASTE_ALL,$DF780,$L$11)," "," "),CHAR(9)," "),CHAR(10)," "),CHAR(13)," "))),"")))</f>
        <v/>
      </c>
      <c r="DT780">
        <f>IF($DM780=0,"",IF($L$12=0,"",IFERROR(IF(ISNUMBER(INDEX(PASTE_ALL,$DF780,$L$12)),INDEX(PASTE_ALL,$DF780,$L$12),TRIM(SUBSTITUTE(SUBSTITUTE(SUBSTITUTE(SUBSTITUTE(INDEX(PASTE_ALL,$DF780,$L$12)," "," "),CHAR(9)," "),CHAR(10)," "),CHAR(13)," "))),"")))</f>
        <v/>
      </c>
      <c r="DU780">
        <f>IF($DM780=0,"",IF($L$13=0,"",IFERROR(IF(ISNUMBER(INDEX(PASTE_ALL,$DF780,$L$13)),INDEX(PASTE_ALL,$DF780,$L$13),TRIM(SUBSTITUTE(SUBSTITUTE(SUBSTITUTE(SUBSTITUTE(INDEX(PASTE_ALL,$DF780,$L$13)," "," "),CHAR(9)," "),CHAR(10)," "),CHAR(13)," "))),"")))</f>
        <v/>
      </c>
      <c r="DV780">
        <f>IF($DM780=0,"",IF($L$14=0,"",IFERROR(IF(ISNUMBER(INDEX(PASTE_ALL,$DF780,$L$14)),INDEX(PASTE_ALL,$DF780,$L$14),TRIM(SUBSTITUTE(SUBSTITUTE(SUBSTITUTE(SUBSTITUTE(INDEX(PASTE_ALL,$DF780,$L$14)," "," "),CHAR(9)," "),CHAR(10)," "),CHAR(13)," "))),"")))</f>
        <v/>
      </c>
      <c r="DW780">
        <f>IF($DM780=0,"",IF($L$15=0,"",IFERROR(IF(ISNUMBER(INDEX(PASTE_ALL,$DF780,$L$15)),INDEX(PASTE_ALL,$DF780,$L$15),IF(SUMPRODUCT(--ISNUMBER(FIND({"A","B","C","D","E","F","G","H","I","J","K","L","M","N","O","P","Q","R","S","T","U","V","W","X","Y","Z","0","1","2","3","4","5","6","7","8","9"},UPPER(TRIM(SUBSTITUTE(SUBSTITUTE(SUBSTITUTE(SUBSTITUTE(INDEX(PASTE_ALL,$DF780,$L$15)," "," "),CHAR(9)," "),CHAR(10)," "),CHAR(13)," "))))))&gt;0,TRIM(SUBSTITUTE(SUBSTITUTE(SUBSTITUTE(SUBSTITUTE(INDEX(PASTE_ALL,$DF780,$L$15)," "," "),CHAR(9)," "),CHAR(10)," "),CHAR(13)," ")),"")),"")))</f>
        <v/>
      </c>
      <c r="DX780">
        <f>IF($DM780=0,"",IF($L$16=0,"",IFERROR(IF(ISNUMBER(INDEX(PASTE_ALL,$DF780,$L$16)),INDEX(PASTE_ALL,$DF780,$L$16),SUBSTITUTE(SUBSTITUTE(TRIM(SUBSTITUTE(SUBSTITUTE(SUBSTITUTE(SUBSTITUTE(INDEX(PASTE_ALL,$DF780,$L$16)," "," "),CHAR(9)," "),CHAR(10)," "),CHAR(13)," ")),",",""),"%","")),"")))</f>
        <v/>
      </c>
      <c r="DY780">
        <f>IF($DM780=0,"",IFERROR(IF(ISNUMBER($DX780),$DX780,IF($DX780="","",IF(TRIM($DX780)="",0,IF(AND(AND(SUBSTITUTE(SUBSTITUTE(SUBSTITUTE(SUBSTITUTE(SUBSTITUTE(SUBSTITUTE(SUBSTITUTE(SUBSTITUTE(SUBSTITUTE(SUBSTITUTE(SUBSTITUTE(SUBSTITUTE(SUBSTITUTE(SUBSTITUTE(UPPER(TRIM($DX780)),"0",""),"1",""),"2",""),"3",""),"4",""),"5",""),"6",""),"7",""),"8",""),"9",""),".",""),"+",""),"-",""),"E","")="",LEN(SUBSTITUTE(SUBSTITUTE(MID(UPPER(TRIM($DX780)),1+OR(LEFT(UPPER(TRIM($DX780)),1)="+",LEFT(UPPER(TRIM($DX780)),1)="-"),999),"E+","E"),"E-","E"))=LEN(SUBSTITUTE(SUBSTITUTE(SUBSTITUTE(SUBSTITUTE(MID(UPPER(TRIM($DX780)),1+OR(LEFT(UPPER(TRIM($DX780)),1)="+",LEFT(UPPER(TRIM($DX780)),1)="-"),999),"E+","E"),"E-","E"),"+",""),"-","")),LEN(UPPER(TRIM($DX780)))-LEN(SUBSTITUTE(UPPER(TRIM($DX780)),"E",""))&lt;2,LEN(UPPER(TRIM($DX780)))-LEN(SUBSTITUTE(UPPER(TRIM($DX780)),".",""))&lt;2,IFERROR(FIND(".",UPPER(TRIM($DX780))),0)&lt;IFERROR(FIND("E",UPPER(TRIM($DX780))),999)),ISNUMBER(VALUE(TRIM($DX780)))),VALUE(TRIM($DX780)),"")))),""))</f>
        <v/>
      </c>
      <c r="DZ780">
        <f>IF($DM780=0,"",IF($L$17=0,"",IFERROR(IF(ISNUMBER(INDEX(PASTE_ALL,$DF780,$L$17)),INDEX(PASTE_ALL,$DF780,$L$17),SUBSTITUTE(SUBSTITUTE(TRIM(SUBSTITUTE(SUBSTITUTE(SUBSTITUTE(SUBSTITUTE(INDEX(PASTE_ALL,$DF780,$L$17)," "," "),CHAR(9)," "),CHAR(10)," "),CHAR(13)," ")),",",""),"%","")),"")))</f>
        <v/>
      </c>
      <c r="EA780">
        <f>IF($DM780=0,"",IFERROR(IF(ISNUMBER($DZ780),$DZ780,IF($DZ780="","",IF(TRIM($DZ780)="",0,IF(AND(AND(SUBSTITUTE(SUBSTITUTE(SUBSTITUTE(SUBSTITUTE(SUBSTITUTE(SUBSTITUTE(SUBSTITUTE(SUBSTITUTE(SUBSTITUTE(SUBSTITUTE(SUBSTITUTE(SUBSTITUTE(SUBSTITUTE(SUBSTITUTE(UPPER(TRIM($DZ780)),"0",""),"1",""),"2",""),"3",""),"4",""),"5",""),"6",""),"7",""),"8",""),"9",""),".",""),"+",""),"-",""),"E","")="",LEN(SUBSTITUTE(SUBSTITUTE(MID(UPPER(TRIM($DZ780)),1+OR(LEFT(UPPER(TRIM($DZ780)),1)="+",LEFT(UPPER(TRIM($DZ780)),1)="-"),999),"E+","E"),"E-","E"))=LEN(SUBSTITUTE(SUBSTITUTE(SUBSTITUTE(SUBSTITUTE(MID(UPPER(TRIM($DZ780)),1+OR(LEFT(UPPER(TRIM($DZ780)),1)="+",LEFT(UPPER(TRIM($DZ780)),1)="-"),999),"E+","E"),"E-","E"),"+",""),"-","")),LEN(UPPER(TRIM($DZ780)))-LEN(SUBSTITUTE(UPPER(TRIM($DZ780)),"E",""))&lt;2,LEN(UPPER(TRIM($DZ780)))-LEN(SUBSTITUTE(UPPER(TRIM($DZ780)),".",""))&lt;2,IFERROR(FIND(".",UPPER(TRIM($DZ780))),0)&lt;IFERROR(FIND("E",UPPER(TRIM($DZ780))),999)),ISNUMBER(VALUE(TRIM($DZ780)))),VALUE(TRIM($DZ780)),"")))),""))</f>
        <v/>
      </c>
      <c r="EB780">
        <f>IF($DM780=0,"",IF($L$18=0,"",IFERROR(IF(UPPER(TRIM(SUBSTITUTE(SUBSTITUTE(SUBSTITUTE(SUBSTITUTE(INDEX(PASTE_ALL,$DF780,$L$18)," "," "),CHAR(9)," "),CHAR(10)," "),CHAR(13)," ")))="READY","Ready",IF(UPPER(TRIM(SUBSTITUTE(SUBSTITUTE(SUBSTITUTE(SUBSTITUTE(INDEX(PASTE_ALL,$DF780,$L$18)," "," "),CHAR(9)," "),CHAR(10)," "),CHAR(13)," ")))="PM","PM",IF(OR(UPPER(TRIM(SUBSTITUTE(SUBSTITUTE(SUBSTITUTE(SUBSTITUTE(INDEX(PASTE_ALL,$DF780,$L$18)," "," "),CHAR(9)," "),CHAR(10)," "),CHAR(13)," ")))="OT",UPPER(TRIM(SUBSTITUTE(SUBSTITUTE(SUBSTITUTE(SUBSTITUTE(INDEX(PASTE_ALL,$DF780,$L$18)," "," "),CHAR(9)," "),CHAR(10)," "),CHAR(13)," ")))="OVERTIME",UPPER(TRIM(SUBSTITUTE(SUBSTITUTE(SUBSTITUTE(SUBSTITUTE(INDEX(PASTE_ALL,$DF780,$L$18)," "," "),CHAR(9)," "),CHAR(10)," "),CHAR(13)," ")))="TRIAL"),"OT",TRIM(SUBSTITUTE(SUBSTITUTE(SUBSTITUTE(SUBSTITUTE(INDEX(PASTE_ALL,$DF780,$L$18)," "," "),CHAR(9)," "),CHAR(10)," "),CHAR(13)," "))))),"")))</f>
        <v/>
      </c>
      <c r="EC780">
        <f>IF($DM780=0,"",IF($L$19=0,"",IFERROR(IF(ISNUMBER(INDEX(PASTE_ALL,$DF780,$L$19)),INDEX(PASTE_ALL,$DF780,$L$19),TRIM(SUBSTITUTE(SUBSTITUTE(SUBSTITUTE(SUBSTITUTE(INDEX(PASTE_ALL,$DF780,$L$19)," "," "),CHAR(9)," "),CHAR(10)," "),CHAR(13)," "))),"")))</f>
        <v/>
      </c>
      <c r="ED780">
        <f>IF($DM780=0,"",MATCH(1,INDEX(EXACT($DH$5:DH780,$DH780)*$DM$5:DM780,0),0))</f>
        <v/>
      </c>
      <c r="EE780">
        <f>IF($DM780=0,0,IF($ED780=$DE780,1,0))</f>
        <v/>
      </c>
      <c r="EF780">
        <f>EF779+$EE780</f>
        <v/>
      </c>
      <c r="EG780">
        <f>IF($DM780=0,"",INDEX($EF$5:$EF$1003,$ED780))</f>
        <v/>
      </c>
      <c r="EH780">
        <f>IF($DM780=0,"",IF($DO780&lt;&gt;"","",IFERROR(LOOKUP(2,1/(($EG$4:EG779=$EG780)*($DO$4:DO779&lt;&gt;"")),$DO$4:DO779),"")))</f>
        <v/>
      </c>
      <c r="EI780">
        <f>IF($DM780=0,"",IF($DO780&lt;&gt;"",$DO780,$EH780))</f>
        <v/>
      </c>
      <c r="EJ780">
        <f>IF($DM780=0,"",IF($EI780="",0,IF(OR(ISNUMBER($EI780),AND(AND(SUBSTITUTE(SUBSTITUTE(SUBSTITUTE(SUBSTITUTE(SUBSTITUTE(SUBSTITUTE(SUBSTITUTE(SUBSTITUTE(SUBSTITUTE(SUBSTITUTE(SUBSTITUTE(SUBSTITUTE(SUBSTITUTE(SUBSTITUTE(UPPER($EI780),"0",""),"1",""),"2",""),"3",""),"4",""),"5",""),"6",""),"7",""),"8",""),"9",""),".",""),"+",""),"-",""),"E","")="",LEN(SUBSTITUTE(SUBSTITUTE(MID(UPPER($EI780),1+OR(LEFT(UPPER($EI780),1)="+",LEFT(UPPER($EI780),1)="-"),999),"E+","E"),"E-","E"))=LEN(SUBSTITUTE(SUBSTITUTE(SUBSTITUTE(SUBSTITUTE(MID(UPPER($EI780),1+OR(LEFT(UPPER($EI780),1)="+",LEFT(UPPER($EI780),1)="-"),999),"E+","E"),"E-","E"),"+",""),"-","")),LEN(UPPER($EI780))-LEN(SUBSTITUTE(UPPER($EI780),"E",""))&lt;2,LEN(UPPER($EI780))-LEN(SUBSTITUTE(UPPER($EI780),".",""))&lt;2,IFERROR(FIND(".",UPPER($EI780)),0)&lt;IFERROR(FIND("E",UPPER($EI780)),999)),ISNUMBER(VALUE($EI780)))),1,2)))</f>
        <v/>
      </c>
      <c r="EK780">
        <f>IF($DM780=0,"",IF($EJ780=1,IF(ISNUMBER($EI780),$EI780,VALUE($EI780)),IF($EJ780=2,$DE780,0)))</f>
        <v/>
      </c>
      <c r="EL780">
        <f>IF($DM780=0,"",COUNTIF($EG$5:$EG$1003,"&lt;"&amp;$EG780)+SUMPRODUCT(($EG$5:$EG$1003=$EG780)*(($EJ$5:$EJ$1003&lt;$EJ780)+($EJ$5:$EJ$1003=$EJ780)*(($EK$5:$EK$1003&lt;$EK780)+($EK$5:$EK$1003=$EK780)*($DE$5:$DE$1003&lt;$DE780))))+1)</f>
        <v/>
      </c>
      <c r="EM780">
        <f>IF($DM780=0,"",$EL780+$EG780-1)</f>
        <v/>
      </c>
      <c r="EN780">
        <f>IF($DM780=0,0,IFERROR(MATCH(1,INDEX(--(TRIM(SUBSTITUTE(SUBSTITUTE(SUBSTITUTE(SUBSTITUTE(LINES_NAME&amp;""," "," "),CHAR(9)," "),CHAR(10)," "),CHAR(13)," "))=$DH780),0),0),0))</f>
        <v/>
      </c>
      <c r="EO780">
        <f>IF($EN780=0,0,IF(OR(UPPER(TRIM(INDEX(LINES_SCHEDULED,$EN780)&amp;""))="YES",UPPER(TRIM(INDEX(LINES_SCHEDULED,$EN780)&amp;""))="Y",UPPER(TRIM(INDEX(LINES_SCHEDULED,$EN780)&amp;""))="X"),1,0))</f>
        <v/>
      </c>
      <c r="EP780">
        <f>IF($DM780=0,"",IF(COUNTIFS($EG$5:$EG$1003,$EG780,$EB$5:$EB$1003,"Ready")&gt;0,"READY",IF(COUNTIFS($EG$5:$EG$1003,$EG780,$EB$5:$EB$1003,"PM")&gt;0,"PM",IF(COUNTIFS($EG$5:$EG$1003,$EG780,$EB$5:$EB$1003,"OT")&gt;0,"OT",""))))</f>
        <v/>
      </c>
      <c r="EQ780">
        <f>IF($EN780=0,"",UPPER(TRIM(INDEX(LINES_STATUS,$EN780)&amp;"")))</f>
        <v/>
      </c>
      <c r="ER780">
        <f>IF($DM780=0,"",IF(OR($EQ780="READY",$EQ780="PM",$EQ780="OT"),$EQ780,$EP780))</f>
        <v/>
      </c>
      <c r="ES780">
        <f>IF($DM780=0,"",IF(AND($DV780&lt;&gt;"",UPPER($DV780)&lt;&gt;"N"),"allergen",IF(ISNUMBER(SEARCH("oil",$DQ780)),"oil",IF(OR(EXACT($DS780,"A662"),EXACT($DS780,"A624")),"bulk",""))))</f>
        <v/>
      </c>
      <c r="ET780">
        <f>IF($DM780=0,"",IF(OR($EA780="",$EA780=0),"",$EA780/100))</f>
        <v/>
      </c>
      <c r="EU780">
        <f>IF(OR($ET780="",$DY780=""),"",INT($DY780*(1-$ET780)+0.5))</f>
        <v/>
      </c>
    </row>
    <row r="781">
      <c r="DA781" t="n">
        <v>777</v>
      </c>
      <c r="DB781">
        <f>IF($B$37=0,"",IFERROR(TRIM(SUBSTITUTE(SUBSTITUTE(SUBSTITUTE(SUBSTITUTE(INDEX(PASTE_ALL,777,$B$37)," "," "),CHAR(9)," "),CHAR(10)," "),CHAR(13)," ")),""))</f>
        <v/>
      </c>
      <c r="DC781">
        <f>IF(AND(777&gt;HEADER_ROW,UPPER(DB781)="LEGEND"),1,0)</f>
        <v/>
      </c>
      <c r="DE781" t="n">
        <v>777</v>
      </c>
      <c r="DF781">
        <f>HEADER_ROW+$DE781</f>
        <v/>
      </c>
      <c r="DG781">
        <f>IF(AND($DF781&lt;=1000,$DF781&lt;$B$8),1,0)</f>
        <v/>
      </c>
      <c r="DH781">
        <f>IF($DG781=1,IFERROR(INDEX($DB$5:$DB$1004,$DF781),""),"")</f>
        <v/>
      </c>
      <c r="DI781">
        <f>IF(AND($DG781=1,$DH781&lt;&gt;""),IFERROR(SUBSTITUTE(SUBSTITUTE(TRIM(SUBSTITUTE(SUBSTITUTE(SUBSTITUTE(SUBSTITUTE(IFERROR(INDEX(PASTE_ALL,$DF781,1)&amp;"","")&amp;"␟"&amp;IFERROR(INDEX(PASTE_ALL,$DF781,2)&amp;"","")&amp;"␟"&amp;IFERROR(INDEX(PASTE_ALL,$DF781,3)&amp;"","")&amp;"␟"&amp;IFERROR(INDEX(PASTE_ALL,$DF781,4)&amp;"","")&amp;"␟"&amp;IFERROR(INDEX(PASTE_ALL,$DF781,5)&amp;"","")&amp;"␟"&amp;IFERROR(INDEX(PASTE_ALL,$DF781,6)&amp;"","")&amp;"␟"&amp;IFERROR(INDEX(PASTE_ALL,$DF781,7)&amp;"","")&amp;"␟"&amp;IFERROR(INDEX(PASTE_ALL,$DF781,8)&amp;"","")&amp;"␟"&amp;IFERROR(INDEX(PASTE_ALL,$DF781,9)&amp;"","")&amp;"␟"&amp;IFERROR(INDEX(PASTE_ALL,$DF781,10)&amp;"","")&amp;"␟"&amp;IFERROR(INDEX(PASTE_ALL,$DF781,11)&amp;"","")&amp;"␟"&amp;IFERROR(INDEX(PASTE_ALL,$DF781,12)&amp;"","")&amp;"␟"&amp;IFERROR(INDEX(PASTE_ALL,$DF781,13)&amp;"","")&amp;"␟"&amp;IFERROR(INDEX(PASTE_ALL,$DF781,14)&amp;"","")&amp;"␟"&amp;IFERROR(INDEX(PASTE_ALL,$DF781,15)&amp;"","")&amp;"␟"&amp;IFERROR(INDEX(PASTE_ALL,$DF781,16)&amp;"","")&amp;"␟"&amp;IFERROR(INDEX(PASTE_ALL,$DF781,17)&amp;"","")&amp;"␟"&amp;IFERROR(INDEX(PASTE_ALL,$DF781,18)&amp;"","")&amp;"␟"&amp;IFERROR(INDEX(PASTE_ALL,$DF781,19)&amp;"","")&amp;"␟"&amp;IFERROR(INDEX(PASTE_ALL,$DF781,20)&amp;"","")&amp;"␟"&amp;IFERROR(INDEX(PASTE_ALL,$DF781,21)&amp;"","")&amp;"␟"&amp;IFERROR(INDEX(PASTE_ALL,$DF781,22)&amp;"","")&amp;"␟"&amp;IFERROR(INDEX(PASTE_ALL,$DF781,23)&amp;"","")&amp;"␟"&amp;IFERROR(INDEX(PASTE_ALL,$DF781,24)&amp;"","")&amp;"␟"&amp;IFERROR(INDEX(PASTE_ALL,$DF781,25)&amp;"","")&amp;"␟"&amp;IFERROR(INDEX(PASTE_ALL,$DF781,26)&amp;"","")&amp;"␟"&amp;IFERROR(INDEX(PASTE_ALL,$DF781,27)&amp;"","")&amp;"␟"&amp;IFERROR(INDEX(PASTE_ALL,$DF781,28)&amp;"","")&amp;"␟"&amp;IFERROR(INDEX(PASTE_ALL,$DF781,29)&amp;"","")&amp;"␟"&amp;IFERROR(INDEX(PASTE_ALL,$DF781,30)&amp;"","")&amp;"␟"&amp;IFERROR(INDEX(PASTE_ALL,$DF781,31)&amp;"","")&amp;"␟"&amp;IFERROR(INDEX(PASTE_ALL,$DF781,32)&amp;"","")&amp;"␟"&amp;IFERROR(INDEX(PASTE_ALL,$DF781,33)&amp;"","")&amp;"␟"&amp;IFERROR(INDEX(PASTE_ALL,$DF781,34)&amp;"","")&amp;"␟"&amp;IFERROR(INDEX(PASTE_ALL,$DF781,35)&amp;"","")&amp;"␟"&amp;IFERROR(INDEX(PASTE_ALL,$DF781,36)&amp;"","")&amp;"␟"&amp;IFERROR(INDEX(PASTE_ALL,$DF781,37)&amp;"","")&amp;"␟"&amp;IFERROR(INDEX(PASTE_ALL,$DF781,38)&amp;"","")&amp;"␟"&amp;IFERROR(INDEX(PASTE_ALL,$DF781,39)&amp;"","")&amp;"␟"&amp;IFERROR(INDEX(PASTE_ALL,$DF781,40)&amp;"","")&amp;"␟"&amp;IFERROR(INDEX(PASTE_ALL,$DF781,41)&amp;"","")&amp;"␟"&amp;IFERROR(INDEX(PASTE_ALL,$DF781,42)&amp;"","")&amp;"␟"&amp;IFERROR(INDEX(PASTE_ALL,$DF781,43)&amp;"","")&amp;"␟"&amp;IFERROR(INDEX(PASTE_ALL,$DF781,44)&amp;"","")&amp;"␟"&amp;IFERROR(INDEX(PASTE_ALL,$DF781,45)&amp;"","")&amp;"␟"&amp;IFERROR(INDEX(PASTE_ALL,$DF781,46)&amp;"","")&amp;"␟"&amp;IFERROR(INDEX(PASTE_ALL,$DF781,47)&amp;"","")&amp;"␟"&amp;IFERROR(INDEX(PASTE_ALL,$DF781,48)&amp;"","")&amp;"␟"&amp;IFERROR(INDEX(PASTE_ALL,$DF781,49)&amp;"","")&amp;"␟"&amp;IFERROR(INDEX(PASTE_ALL,$DF781,50)&amp;"","")&amp;"␟"&amp;IFERROR(INDEX(PASTE_ALL,$DF781,51)&amp;"","")&amp;"␟"&amp;IFERROR(INDEX(PASTE_ALL,$DF781,52)&amp;"","")&amp;"␟"&amp;IFERROR(INDEX(PASTE_ALL,$DF781,53)&amp;"","")&amp;"␟"&amp;IFERROR(INDEX(PASTE_ALL,$DF781,54)&amp;"","")&amp;"␟"&amp;IFERROR(INDEX(PASTE_ALL,$DF781,55)&amp;"","")&amp;"␟"&amp;IFERROR(INDEX(PASTE_ALL,$DF781,56)&amp;"","")&amp;"␟"&amp;IFERROR(INDEX(PASTE_ALL,$DF781,57)&amp;"","")&amp;"␟"&amp;IFERROR(INDEX(PASTE_ALL,$DF781,58)&amp;"","")&amp;"␟"&amp;IFERROR(INDEX(PASTE_ALL,$DF781,59)&amp;"","")&amp;"␟"&amp;IFERROR(INDEX(PASTE_ALL,$DF781,60)&amp;"","")," "," "),CHAR(9)," "),CHAR(10)," "),CHAR(13)," "))," ␟","␟"),"␟ ","␟"),"#"&amp;$DE781),"")</f>
        <v/>
      </c>
      <c r="DJ781">
        <f>IF($DI781="",0,IF(SUMPRODUCT(--EXACT($DI$4:DI780,$DI781))&gt;0,1,0))</f>
        <v/>
      </c>
      <c r="DK781">
        <f>IF(AND($DI781&lt;&gt;"",$DJ781=0),1,0)</f>
        <v/>
      </c>
      <c r="DL781">
        <f>DL780+$DK781</f>
        <v/>
      </c>
      <c r="DM781">
        <f>IF(AND($DK781=1,$DL781&lt;=600),1,0)</f>
        <v/>
      </c>
      <c r="DN781">
        <f>IF($DM781=0,"",IF($L$6=0,"",IFERROR(IF(ISNUMBER(INDEX(PASTE_ALL,$DF781,$L$6)),INDEX(PASTE_ALL,$DF781,$L$6),TRIM(SUBSTITUTE(SUBSTITUTE(SUBSTITUTE(SUBSTITUTE(INDEX(PASTE_ALL,$DF781,$L$6)," "," "),CHAR(9)," "),CHAR(10)," "),CHAR(13)," "))),"")))</f>
        <v/>
      </c>
      <c r="DO781">
        <f>IF($DM781=0,"",IF($L$7=0,"",IFERROR(IF(ISNUMBER(INDEX(PASTE_ALL,$DF781,$L$7)),INDEX(PASTE_ALL,$DF781,$L$7),TRIM(SUBSTITUTE(SUBSTITUTE(SUBSTITUTE(SUBSTITUTE(INDEX(PASTE_ALL,$DF781,$L$7)," "," "),CHAR(9)," "),CHAR(10)," "),CHAR(13)," "))),"")))</f>
        <v/>
      </c>
      <c r="DP781">
        <f>IF($DM781=0,"",IF($L$8=0,"",IFERROR(IF(ISNUMBER(INDEX(PASTE_ALL,$DF781,$L$8)),INDEX(PASTE_ALL,$DF781,$L$8),TRIM(SUBSTITUTE(SUBSTITUTE(SUBSTITUTE(SUBSTITUTE(INDEX(PASTE_ALL,$DF781,$L$8)," "," "),CHAR(9)," "),CHAR(10)," "),CHAR(13)," "))),"")))</f>
        <v/>
      </c>
      <c r="DQ781">
        <f>IF($DM781=0,"",IF($L$9=0,"",IFERROR(IF(ISNUMBER(INDEX(PASTE_ALL,$DF781,$L$9)),INDEX(PASTE_ALL,$DF781,$L$9),TRIM(SUBSTITUTE(SUBSTITUTE(SUBSTITUTE(SUBSTITUTE(INDEX(PASTE_ALL,$DF781,$L$9)," "," "),CHAR(9)," "),CHAR(10)," "),CHAR(13)," "))),"")))</f>
        <v/>
      </c>
      <c r="DR781">
        <f>IF($DM781=0,"",IF($L$10=0,"",IFERROR(IF(ISNUMBER(INDEX(PASTE_ALL,$DF781,$L$10)),INDEX(PASTE_ALL,$DF781,$L$10),TRIM(SUBSTITUTE(SUBSTITUTE(SUBSTITUTE(SUBSTITUTE(INDEX(PASTE_ALL,$DF781,$L$10)," "," "),CHAR(9)," "),CHAR(10)," "),CHAR(13)," "))),"")))</f>
        <v/>
      </c>
      <c r="DS781">
        <f>IF($DM781=0,"",IF($L$11=0,"",IFERROR(IF(ISNUMBER(INDEX(PASTE_ALL,$DF781,$L$11)),INDEX(PASTE_ALL,$DF781,$L$11),TRIM(SUBSTITUTE(SUBSTITUTE(SUBSTITUTE(SUBSTITUTE(INDEX(PASTE_ALL,$DF781,$L$11)," "," "),CHAR(9)," "),CHAR(10)," "),CHAR(13)," "))),"")))</f>
        <v/>
      </c>
      <c r="DT781">
        <f>IF($DM781=0,"",IF($L$12=0,"",IFERROR(IF(ISNUMBER(INDEX(PASTE_ALL,$DF781,$L$12)),INDEX(PASTE_ALL,$DF781,$L$12),TRIM(SUBSTITUTE(SUBSTITUTE(SUBSTITUTE(SUBSTITUTE(INDEX(PASTE_ALL,$DF781,$L$12)," "," "),CHAR(9)," "),CHAR(10)," "),CHAR(13)," "))),"")))</f>
        <v/>
      </c>
      <c r="DU781">
        <f>IF($DM781=0,"",IF($L$13=0,"",IFERROR(IF(ISNUMBER(INDEX(PASTE_ALL,$DF781,$L$13)),INDEX(PASTE_ALL,$DF781,$L$13),TRIM(SUBSTITUTE(SUBSTITUTE(SUBSTITUTE(SUBSTITUTE(INDEX(PASTE_ALL,$DF781,$L$13)," "," "),CHAR(9)," "),CHAR(10)," "),CHAR(13)," "))),"")))</f>
        <v/>
      </c>
      <c r="DV781">
        <f>IF($DM781=0,"",IF($L$14=0,"",IFERROR(IF(ISNUMBER(INDEX(PASTE_ALL,$DF781,$L$14)),INDEX(PASTE_ALL,$DF781,$L$14),TRIM(SUBSTITUTE(SUBSTITUTE(SUBSTITUTE(SUBSTITUTE(INDEX(PASTE_ALL,$DF781,$L$14)," "," "),CHAR(9)," "),CHAR(10)," "),CHAR(13)," "))),"")))</f>
        <v/>
      </c>
      <c r="DW781">
        <f>IF($DM781=0,"",IF($L$15=0,"",IFERROR(IF(ISNUMBER(INDEX(PASTE_ALL,$DF781,$L$15)),INDEX(PASTE_ALL,$DF781,$L$15),IF(SUMPRODUCT(--ISNUMBER(FIND({"A","B","C","D","E","F","G","H","I","J","K","L","M","N","O","P","Q","R","S","T","U","V","W","X","Y","Z","0","1","2","3","4","5","6","7","8","9"},UPPER(TRIM(SUBSTITUTE(SUBSTITUTE(SUBSTITUTE(SUBSTITUTE(INDEX(PASTE_ALL,$DF781,$L$15)," "," "),CHAR(9)," "),CHAR(10)," "),CHAR(13)," "))))))&gt;0,TRIM(SUBSTITUTE(SUBSTITUTE(SUBSTITUTE(SUBSTITUTE(INDEX(PASTE_ALL,$DF781,$L$15)," "," "),CHAR(9)," "),CHAR(10)," "),CHAR(13)," ")),"")),"")))</f>
        <v/>
      </c>
      <c r="DX781">
        <f>IF($DM781=0,"",IF($L$16=0,"",IFERROR(IF(ISNUMBER(INDEX(PASTE_ALL,$DF781,$L$16)),INDEX(PASTE_ALL,$DF781,$L$16),SUBSTITUTE(SUBSTITUTE(TRIM(SUBSTITUTE(SUBSTITUTE(SUBSTITUTE(SUBSTITUTE(INDEX(PASTE_ALL,$DF781,$L$16)," "," "),CHAR(9)," "),CHAR(10)," "),CHAR(13)," ")),",",""),"%","")),"")))</f>
        <v/>
      </c>
      <c r="DY781">
        <f>IF($DM781=0,"",IFERROR(IF(ISNUMBER($DX781),$DX781,IF($DX781="","",IF(TRIM($DX781)="",0,IF(AND(AND(SUBSTITUTE(SUBSTITUTE(SUBSTITUTE(SUBSTITUTE(SUBSTITUTE(SUBSTITUTE(SUBSTITUTE(SUBSTITUTE(SUBSTITUTE(SUBSTITUTE(SUBSTITUTE(SUBSTITUTE(SUBSTITUTE(SUBSTITUTE(UPPER(TRIM($DX781)),"0",""),"1",""),"2",""),"3",""),"4",""),"5",""),"6",""),"7",""),"8",""),"9",""),".",""),"+",""),"-",""),"E","")="",LEN(SUBSTITUTE(SUBSTITUTE(MID(UPPER(TRIM($DX781)),1+OR(LEFT(UPPER(TRIM($DX781)),1)="+",LEFT(UPPER(TRIM($DX781)),1)="-"),999),"E+","E"),"E-","E"))=LEN(SUBSTITUTE(SUBSTITUTE(SUBSTITUTE(SUBSTITUTE(MID(UPPER(TRIM($DX781)),1+OR(LEFT(UPPER(TRIM($DX781)),1)="+",LEFT(UPPER(TRIM($DX781)),1)="-"),999),"E+","E"),"E-","E"),"+",""),"-","")),LEN(UPPER(TRIM($DX781)))-LEN(SUBSTITUTE(UPPER(TRIM($DX781)),"E",""))&lt;2,LEN(UPPER(TRIM($DX781)))-LEN(SUBSTITUTE(UPPER(TRIM($DX781)),".",""))&lt;2,IFERROR(FIND(".",UPPER(TRIM($DX781))),0)&lt;IFERROR(FIND("E",UPPER(TRIM($DX781))),999)),ISNUMBER(VALUE(TRIM($DX781)))),VALUE(TRIM($DX781)),"")))),""))</f>
        <v/>
      </c>
      <c r="DZ781">
        <f>IF($DM781=0,"",IF($L$17=0,"",IFERROR(IF(ISNUMBER(INDEX(PASTE_ALL,$DF781,$L$17)),INDEX(PASTE_ALL,$DF781,$L$17),SUBSTITUTE(SUBSTITUTE(TRIM(SUBSTITUTE(SUBSTITUTE(SUBSTITUTE(SUBSTITUTE(INDEX(PASTE_ALL,$DF781,$L$17)," "," "),CHAR(9)," "),CHAR(10)," "),CHAR(13)," ")),",",""),"%","")),"")))</f>
        <v/>
      </c>
      <c r="EA781">
        <f>IF($DM781=0,"",IFERROR(IF(ISNUMBER($DZ781),$DZ781,IF($DZ781="","",IF(TRIM($DZ781)="",0,IF(AND(AND(SUBSTITUTE(SUBSTITUTE(SUBSTITUTE(SUBSTITUTE(SUBSTITUTE(SUBSTITUTE(SUBSTITUTE(SUBSTITUTE(SUBSTITUTE(SUBSTITUTE(SUBSTITUTE(SUBSTITUTE(SUBSTITUTE(SUBSTITUTE(UPPER(TRIM($DZ781)),"0",""),"1",""),"2",""),"3",""),"4",""),"5",""),"6",""),"7",""),"8",""),"9",""),".",""),"+",""),"-",""),"E","")="",LEN(SUBSTITUTE(SUBSTITUTE(MID(UPPER(TRIM($DZ781)),1+OR(LEFT(UPPER(TRIM($DZ781)),1)="+",LEFT(UPPER(TRIM($DZ781)),1)="-"),999),"E+","E"),"E-","E"))=LEN(SUBSTITUTE(SUBSTITUTE(SUBSTITUTE(SUBSTITUTE(MID(UPPER(TRIM($DZ781)),1+OR(LEFT(UPPER(TRIM($DZ781)),1)="+",LEFT(UPPER(TRIM($DZ781)),1)="-"),999),"E+","E"),"E-","E"),"+",""),"-","")),LEN(UPPER(TRIM($DZ781)))-LEN(SUBSTITUTE(UPPER(TRIM($DZ781)),"E",""))&lt;2,LEN(UPPER(TRIM($DZ781)))-LEN(SUBSTITUTE(UPPER(TRIM($DZ781)),".",""))&lt;2,IFERROR(FIND(".",UPPER(TRIM($DZ781))),0)&lt;IFERROR(FIND("E",UPPER(TRIM($DZ781))),999)),ISNUMBER(VALUE(TRIM($DZ781)))),VALUE(TRIM($DZ781)),"")))),""))</f>
        <v/>
      </c>
      <c r="EB781">
        <f>IF($DM781=0,"",IF($L$18=0,"",IFERROR(IF(UPPER(TRIM(SUBSTITUTE(SUBSTITUTE(SUBSTITUTE(SUBSTITUTE(INDEX(PASTE_ALL,$DF781,$L$18)," "," "),CHAR(9)," "),CHAR(10)," "),CHAR(13)," ")))="READY","Ready",IF(UPPER(TRIM(SUBSTITUTE(SUBSTITUTE(SUBSTITUTE(SUBSTITUTE(INDEX(PASTE_ALL,$DF781,$L$18)," "," "),CHAR(9)," "),CHAR(10)," "),CHAR(13)," ")))="PM","PM",IF(OR(UPPER(TRIM(SUBSTITUTE(SUBSTITUTE(SUBSTITUTE(SUBSTITUTE(INDEX(PASTE_ALL,$DF781,$L$18)," "," "),CHAR(9)," "),CHAR(10)," "),CHAR(13)," ")))="OT",UPPER(TRIM(SUBSTITUTE(SUBSTITUTE(SUBSTITUTE(SUBSTITUTE(INDEX(PASTE_ALL,$DF781,$L$18)," "," "),CHAR(9)," "),CHAR(10)," "),CHAR(13)," ")))="OVERTIME",UPPER(TRIM(SUBSTITUTE(SUBSTITUTE(SUBSTITUTE(SUBSTITUTE(INDEX(PASTE_ALL,$DF781,$L$18)," "," "),CHAR(9)," "),CHAR(10)," "),CHAR(13)," ")))="TRIAL"),"OT",TRIM(SUBSTITUTE(SUBSTITUTE(SUBSTITUTE(SUBSTITUTE(INDEX(PASTE_ALL,$DF781,$L$18)," "," "),CHAR(9)," "),CHAR(10)," "),CHAR(13)," "))))),"")))</f>
        <v/>
      </c>
      <c r="EC781">
        <f>IF($DM781=0,"",IF($L$19=0,"",IFERROR(IF(ISNUMBER(INDEX(PASTE_ALL,$DF781,$L$19)),INDEX(PASTE_ALL,$DF781,$L$19),TRIM(SUBSTITUTE(SUBSTITUTE(SUBSTITUTE(SUBSTITUTE(INDEX(PASTE_ALL,$DF781,$L$19)," "," "),CHAR(9)," "),CHAR(10)," "),CHAR(13)," "))),"")))</f>
        <v/>
      </c>
      <c r="ED781">
        <f>IF($DM781=0,"",MATCH(1,INDEX(EXACT($DH$5:DH781,$DH781)*$DM$5:DM781,0),0))</f>
        <v/>
      </c>
      <c r="EE781">
        <f>IF($DM781=0,0,IF($ED781=$DE781,1,0))</f>
        <v/>
      </c>
      <c r="EF781">
        <f>EF780+$EE781</f>
        <v/>
      </c>
      <c r="EG781">
        <f>IF($DM781=0,"",INDEX($EF$5:$EF$1003,$ED781))</f>
        <v/>
      </c>
      <c r="EH781">
        <f>IF($DM781=0,"",IF($DO781&lt;&gt;"","",IFERROR(LOOKUP(2,1/(($EG$4:EG780=$EG781)*($DO$4:DO780&lt;&gt;"")),$DO$4:DO780),"")))</f>
        <v/>
      </c>
      <c r="EI781">
        <f>IF($DM781=0,"",IF($DO781&lt;&gt;"",$DO781,$EH781))</f>
        <v/>
      </c>
      <c r="EJ781">
        <f>IF($DM781=0,"",IF($EI781="",0,IF(OR(ISNUMBER($EI781),AND(AND(SUBSTITUTE(SUBSTITUTE(SUBSTITUTE(SUBSTITUTE(SUBSTITUTE(SUBSTITUTE(SUBSTITUTE(SUBSTITUTE(SUBSTITUTE(SUBSTITUTE(SUBSTITUTE(SUBSTITUTE(SUBSTITUTE(SUBSTITUTE(UPPER($EI781),"0",""),"1",""),"2",""),"3",""),"4",""),"5",""),"6",""),"7",""),"8",""),"9",""),".",""),"+",""),"-",""),"E","")="",LEN(SUBSTITUTE(SUBSTITUTE(MID(UPPER($EI781),1+OR(LEFT(UPPER($EI781),1)="+",LEFT(UPPER($EI781),1)="-"),999),"E+","E"),"E-","E"))=LEN(SUBSTITUTE(SUBSTITUTE(SUBSTITUTE(SUBSTITUTE(MID(UPPER($EI781),1+OR(LEFT(UPPER($EI781),1)="+",LEFT(UPPER($EI781),1)="-"),999),"E+","E"),"E-","E"),"+",""),"-","")),LEN(UPPER($EI781))-LEN(SUBSTITUTE(UPPER($EI781),"E",""))&lt;2,LEN(UPPER($EI781))-LEN(SUBSTITUTE(UPPER($EI781),".",""))&lt;2,IFERROR(FIND(".",UPPER($EI781)),0)&lt;IFERROR(FIND("E",UPPER($EI781)),999)),ISNUMBER(VALUE($EI781)))),1,2)))</f>
        <v/>
      </c>
      <c r="EK781">
        <f>IF($DM781=0,"",IF($EJ781=1,IF(ISNUMBER($EI781),$EI781,VALUE($EI781)),IF($EJ781=2,$DE781,0)))</f>
        <v/>
      </c>
      <c r="EL781">
        <f>IF($DM781=0,"",COUNTIF($EG$5:$EG$1003,"&lt;"&amp;$EG781)+SUMPRODUCT(($EG$5:$EG$1003=$EG781)*(($EJ$5:$EJ$1003&lt;$EJ781)+($EJ$5:$EJ$1003=$EJ781)*(($EK$5:$EK$1003&lt;$EK781)+($EK$5:$EK$1003=$EK781)*($DE$5:$DE$1003&lt;$DE781))))+1)</f>
        <v/>
      </c>
      <c r="EM781">
        <f>IF($DM781=0,"",$EL781+$EG781-1)</f>
        <v/>
      </c>
      <c r="EN781">
        <f>IF($DM781=0,0,IFERROR(MATCH(1,INDEX(--(TRIM(SUBSTITUTE(SUBSTITUTE(SUBSTITUTE(SUBSTITUTE(LINES_NAME&amp;""," "," "),CHAR(9)," "),CHAR(10)," "),CHAR(13)," "))=$DH781),0),0),0))</f>
        <v/>
      </c>
      <c r="EO781">
        <f>IF($EN781=0,0,IF(OR(UPPER(TRIM(INDEX(LINES_SCHEDULED,$EN781)&amp;""))="YES",UPPER(TRIM(INDEX(LINES_SCHEDULED,$EN781)&amp;""))="Y",UPPER(TRIM(INDEX(LINES_SCHEDULED,$EN781)&amp;""))="X"),1,0))</f>
        <v/>
      </c>
      <c r="EP781">
        <f>IF($DM781=0,"",IF(COUNTIFS($EG$5:$EG$1003,$EG781,$EB$5:$EB$1003,"Ready")&gt;0,"READY",IF(COUNTIFS($EG$5:$EG$1003,$EG781,$EB$5:$EB$1003,"PM")&gt;0,"PM",IF(COUNTIFS($EG$5:$EG$1003,$EG781,$EB$5:$EB$1003,"OT")&gt;0,"OT",""))))</f>
        <v/>
      </c>
      <c r="EQ781">
        <f>IF($EN781=0,"",UPPER(TRIM(INDEX(LINES_STATUS,$EN781)&amp;"")))</f>
        <v/>
      </c>
      <c r="ER781">
        <f>IF($DM781=0,"",IF(OR($EQ781="READY",$EQ781="PM",$EQ781="OT"),$EQ781,$EP781))</f>
        <v/>
      </c>
      <c r="ES781">
        <f>IF($DM781=0,"",IF(AND($DV781&lt;&gt;"",UPPER($DV781)&lt;&gt;"N"),"allergen",IF(ISNUMBER(SEARCH("oil",$DQ781)),"oil",IF(OR(EXACT($DS781,"A662"),EXACT($DS781,"A624")),"bulk",""))))</f>
        <v/>
      </c>
      <c r="ET781">
        <f>IF($DM781=0,"",IF(OR($EA781="",$EA781=0),"",$EA781/100))</f>
        <v/>
      </c>
      <c r="EU781">
        <f>IF(OR($ET781="",$DY781=""),"",INT($DY781*(1-$ET781)+0.5))</f>
        <v/>
      </c>
    </row>
    <row r="782">
      <c r="DA782" t="n">
        <v>778</v>
      </c>
      <c r="DB782">
        <f>IF($B$37=0,"",IFERROR(TRIM(SUBSTITUTE(SUBSTITUTE(SUBSTITUTE(SUBSTITUTE(INDEX(PASTE_ALL,778,$B$37)," "," "),CHAR(9)," "),CHAR(10)," "),CHAR(13)," ")),""))</f>
        <v/>
      </c>
      <c r="DC782">
        <f>IF(AND(778&gt;HEADER_ROW,UPPER(DB782)="LEGEND"),1,0)</f>
        <v/>
      </c>
      <c r="DE782" t="n">
        <v>778</v>
      </c>
      <c r="DF782">
        <f>HEADER_ROW+$DE782</f>
        <v/>
      </c>
      <c r="DG782">
        <f>IF(AND($DF782&lt;=1000,$DF782&lt;$B$8),1,0)</f>
        <v/>
      </c>
      <c r="DH782">
        <f>IF($DG782=1,IFERROR(INDEX($DB$5:$DB$1004,$DF782),""),"")</f>
        <v/>
      </c>
      <c r="DI782">
        <f>IF(AND($DG782=1,$DH782&lt;&gt;""),IFERROR(SUBSTITUTE(SUBSTITUTE(TRIM(SUBSTITUTE(SUBSTITUTE(SUBSTITUTE(SUBSTITUTE(IFERROR(INDEX(PASTE_ALL,$DF782,1)&amp;"","")&amp;"␟"&amp;IFERROR(INDEX(PASTE_ALL,$DF782,2)&amp;"","")&amp;"␟"&amp;IFERROR(INDEX(PASTE_ALL,$DF782,3)&amp;"","")&amp;"␟"&amp;IFERROR(INDEX(PASTE_ALL,$DF782,4)&amp;"","")&amp;"␟"&amp;IFERROR(INDEX(PASTE_ALL,$DF782,5)&amp;"","")&amp;"␟"&amp;IFERROR(INDEX(PASTE_ALL,$DF782,6)&amp;"","")&amp;"␟"&amp;IFERROR(INDEX(PASTE_ALL,$DF782,7)&amp;"","")&amp;"␟"&amp;IFERROR(INDEX(PASTE_ALL,$DF782,8)&amp;"","")&amp;"␟"&amp;IFERROR(INDEX(PASTE_ALL,$DF782,9)&amp;"","")&amp;"␟"&amp;IFERROR(INDEX(PASTE_ALL,$DF782,10)&amp;"","")&amp;"␟"&amp;IFERROR(INDEX(PASTE_ALL,$DF782,11)&amp;"","")&amp;"␟"&amp;IFERROR(INDEX(PASTE_ALL,$DF782,12)&amp;"","")&amp;"␟"&amp;IFERROR(INDEX(PASTE_ALL,$DF782,13)&amp;"","")&amp;"␟"&amp;IFERROR(INDEX(PASTE_ALL,$DF782,14)&amp;"","")&amp;"␟"&amp;IFERROR(INDEX(PASTE_ALL,$DF782,15)&amp;"","")&amp;"␟"&amp;IFERROR(INDEX(PASTE_ALL,$DF782,16)&amp;"","")&amp;"␟"&amp;IFERROR(INDEX(PASTE_ALL,$DF782,17)&amp;"","")&amp;"␟"&amp;IFERROR(INDEX(PASTE_ALL,$DF782,18)&amp;"","")&amp;"␟"&amp;IFERROR(INDEX(PASTE_ALL,$DF782,19)&amp;"","")&amp;"␟"&amp;IFERROR(INDEX(PASTE_ALL,$DF782,20)&amp;"","")&amp;"␟"&amp;IFERROR(INDEX(PASTE_ALL,$DF782,21)&amp;"","")&amp;"␟"&amp;IFERROR(INDEX(PASTE_ALL,$DF782,22)&amp;"","")&amp;"␟"&amp;IFERROR(INDEX(PASTE_ALL,$DF782,23)&amp;"","")&amp;"␟"&amp;IFERROR(INDEX(PASTE_ALL,$DF782,24)&amp;"","")&amp;"␟"&amp;IFERROR(INDEX(PASTE_ALL,$DF782,25)&amp;"","")&amp;"␟"&amp;IFERROR(INDEX(PASTE_ALL,$DF782,26)&amp;"","")&amp;"␟"&amp;IFERROR(INDEX(PASTE_ALL,$DF782,27)&amp;"","")&amp;"␟"&amp;IFERROR(INDEX(PASTE_ALL,$DF782,28)&amp;"","")&amp;"␟"&amp;IFERROR(INDEX(PASTE_ALL,$DF782,29)&amp;"","")&amp;"␟"&amp;IFERROR(INDEX(PASTE_ALL,$DF782,30)&amp;"","")&amp;"␟"&amp;IFERROR(INDEX(PASTE_ALL,$DF782,31)&amp;"","")&amp;"␟"&amp;IFERROR(INDEX(PASTE_ALL,$DF782,32)&amp;"","")&amp;"␟"&amp;IFERROR(INDEX(PASTE_ALL,$DF782,33)&amp;"","")&amp;"␟"&amp;IFERROR(INDEX(PASTE_ALL,$DF782,34)&amp;"","")&amp;"␟"&amp;IFERROR(INDEX(PASTE_ALL,$DF782,35)&amp;"","")&amp;"␟"&amp;IFERROR(INDEX(PASTE_ALL,$DF782,36)&amp;"","")&amp;"␟"&amp;IFERROR(INDEX(PASTE_ALL,$DF782,37)&amp;"","")&amp;"␟"&amp;IFERROR(INDEX(PASTE_ALL,$DF782,38)&amp;"","")&amp;"␟"&amp;IFERROR(INDEX(PASTE_ALL,$DF782,39)&amp;"","")&amp;"␟"&amp;IFERROR(INDEX(PASTE_ALL,$DF782,40)&amp;"","")&amp;"␟"&amp;IFERROR(INDEX(PASTE_ALL,$DF782,41)&amp;"","")&amp;"␟"&amp;IFERROR(INDEX(PASTE_ALL,$DF782,42)&amp;"","")&amp;"␟"&amp;IFERROR(INDEX(PASTE_ALL,$DF782,43)&amp;"","")&amp;"␟"&amp;IFERROR(INDEX(PASTE_ALL,$DF782,44)&amp;"","")&amp;"␟"&amp;IFERROR(INDEX(PASTE_ALL,$DF782,45)&amp;"","")&amp;"␟"&amp;IFERROR(INDEX(PASTE_ALL,$DF782,46)&amp;"","")&amp;"␟"&amp;IFERROR(INDEX(PASTE_ALL,$DF782,47)&amp;"","")&amp;"␟"&amp;IFERROR(INDEX(PASTE_ALL,$DF782,48)&amp;"","")&amp;"␟"&amp;IFERROR(INDEX(PASTE_ALL,$DF782,49)&amp;"","")&amp;"␟"&amp;IFERROR(INDEX(PASTE_ALL,$DF782,50)&amp;"","")&amp;"␟"&amp;IFERROR(INDEX(PASTE_ALL,$DF782,51)&amp;"","")&amp;"␟"&amp;IFERROR(INDEX(PASTE_ALL,$DF782,52)&amp;"","")&amp;"␟"&amp;IFERROR(INDEX(PASTE_ALL,$DF782,53)&amp;"","")&amp;"␟"&amp;IFERROR(INDEX(PASTE_ALL,$DF782,54)&amp;"","")&amp;"␟"&amp;IFERROR(INDEX(PASTE_ALL,$DF782,55)&amp;"","")&amp;"␟"&amp;IFERROR(INDEX(PASTE_ALL,$DF782,56)&amp;"","")&amp;"␟"&amp;IFERROR(INDEX(PASTE_ALL,$DF782,57)&amp;"","")&amp;"␟"&amp;IFERROR(INDEX(PASTE_ALL,$DF782,58)&amp;"","")&amp;"␟"&amp;IFERROR(INDEX(PASTE_ALL,$DF782,59)&amp;"","")&amp;"␟"&amp;IFERROR(INDEX(PASTE_ALL,$DF782,60)&amp;"","")," "," "),CHAR(9)," "),CHAR(10)," "),CHAR(13)," "))," ␟","␟"),"␟ ","␟"),"#"&amp;$DE782),"")</f>
        <v/>
      </c>
      <c r="DJ782">
        <f>IF($DI782="",0,IF(SUMPRODUCT(--EXACT($DI$4:DI781,$DI782))&gt;0,1,0))</f>
        <v/>
      </c>
      <c r="DK782">
        <f>IF(AND($DI782&lt;&gt;"",$DJ782=0),1,0)</f>
        <v/>
      </c>
      <c r="DL782">
        <f>DL781+$DK782</f>
        <v/>
      </c>
      <c r="DM782">
        <f>IF(AND($DK782=1,$DL782&lt;=600),1,0)</f>
        <v/>
      </c>
      <c r="DN782">
        <f>IF($DM782=0,"",IF($L$6=0,"",IFERROR(IF(ISNUMBER(INDEX(PASTE_ALL,$DF782,$L$6)),INDEX(PASTE_ALL,$DF782,$L$6),TRIM(SUBSTITUTE(SUBSTITUTE(SUBSTITUTE(SUBSTITUTE(INDEX(PASTE_ALL,$DF782,$L$6)," "," "),CHAR(9)," "),CHAR(10)," "),CHAR(13)," "))),"")))</f>
        <v/>
      </c>
      <c r="DO782">
        <f>IF($DM782=0,"",IF($L$7=0,"",IFERROR(IF(ISNUMBER(INDEX(PASTE_ALL,$DF782,$L$7)),INDEX(PASTE_ALL,$DF782,$L$7),TRIM(SUBSTITUTE(SUBSTITUTE(SUBSTITUTE(SUBSTITUTE(INDEX(PASTE_ALL,$DF782,$L$7)," "," "),CHAR(9)," "),CHAR(10)," "),CHAR(13)," "))),"")))</f>
        <v/>
      </c>
      <c r="DP782">
        <f>IF($DM782=0,"",IF($L$8=0,"",IFERROR(IF(ISNUMBER(INDEX(PASTE_ALL,$DF782,$L$8)),INDEX(PASTE_ALL,$DF782,$L$8),TRIM(SUBSTITUTE(SUBSTITUTE(SUBSTITUTE(SUBSTITUTE(INDEX(PASTE_ALL,$DF782,$L$8)," "," "),CHAR(9)," "),CHAR(10)," "),CHAR(13)," "))),"")))</f>
        <v/>
      </c>
      <c r="DQ782">
        <f>IF($DM782=0,"",IF($L$9=0,"",IFERROR(IF(ISNUMBER(INDEX(PASTE_ALL,$DF782,$L$9)),INDEX(PASTE_ALL,$DF782,$L$9),TRIM(SUBSTITUTE(SUBSTITUTE(SUBSTITUTE(SUBSTITUTE(INDEX(PASTE_ALL,$DF782,$L$9)," "," "),CHAR(9)," "),CHAR(10)," "),CHAR(13)," "))),"")))</f>
        <v/>
      </c>
      <c r="DR782">
        <f>IF($DM782=0,"",IF($L$10=0,"",IFERROR(IF(ISNUMBER(INDEX(PASTE_ALL,$DF782,$L$10)),INDEX(PASTE_ALL,$DF782,$L$10),TRIM(SUBSTITUTE(SUBSTITUTE(SUBSTITUTE(SUBSTITUTE(INDEX(PASTE_ALL,$DF782,$L$10)," "," "),CHAR(9)," "),CHAR(10)," "),CHAR(13)," "))),"")))</f>
        <v/>
      </c>
      <c r="DS782">
        <f>IF($DM782=0,"",IF($L$11=0,"",IFERROR(IF(ISNUMBER(INDEX(PASTE_ALL,$DF782,$L$11)),INDEX(PASTE_ALL,$DF782,$L$11),TRIM(SUBSTITUTE(SUBSTITUTE(SUBSTITUTE(SUBSTITUTE(INDEX(PASTE_ALL,$DF782,$L$11)," "," "),CHAR(9)," "),CHAR(10)," "),CHAR(13)," "))),"")))</f>
        <v/>
      </c>
      <c r="DT782">
        <f>IF($DM782=0,"",IF($L$12=0,"",IFERROR(IF(ISNUMBER(INDEX(PASTE_ALL,$DF782,$L$12)),INDEX(PASTE_ALL,$DF782,$L$12),TRIM(SUBSTITUTE(SUBSTITUTE(SUBSTITUTE(SUBSTITUTE(INDEX(PASTE_ALL,$DF782,$L$12)," "," "),CHAR(9)," "),CHAR(10)," "),CHAR(13)," "))),"")))</f>
        <v/>
      </c>
      <c r="DU782">
        <f>IF($DM782=0,"",IF($L$13=0,"",IFERROR(IF(ISNUMBER(INDEX(PASTE_ALL,$DF782,$L$13)),INDEX(PASTE_ALL,$DF782,$L$13),TRIM(SUBSTITUTE(SUBSTITUTE(SUBSTITUTE(SUBSTITUTE(INDEX(PASTE_ALL,$DF782,$L$13)," "," "),CHAR(9)," "),CHAR(10)," "),CHAR(13)," "))),"")))</f>
        <v/>
      </c>
      <c r="DV782">
        <f>IF($DM782=0,"",IF($L$14=0,"",IFERROR(IF(ISNUMBER(INDEX(PASTE_ALL,$DF782,$L$14)),INDEX(PASTE_ALL,$DF782,$L$14),TRIM(SUBSTITUTE(SUBSTITUTE(SUBSTITUTE(SUBSTITUTE(INDEX(PASTE_ALL,$DF782,$L$14)," "," "),CHAR(9)," "),CHAR(10)," "),CHAR(13)," "))),"")))</f>
        <v/>
      </c>
      <c r="DW782">
        <f>IF($DM782=0,"",IF($L$15=0,"",IFERROR(IF(ISNUMBER(INDEX(PASTE_ALL,$DF782,$L$15)),INDEX(PASTE_ALL,$DF782,$L$15),IF(SUMPRODUCT(--ISNUMBER(FIND({"A","B","C","D","E","F","G","H","I","J","K","L","M","N","O","P","Q","R","S","T","U","V","W","X","Y","Z","0","1","2","3","4","5","6","7","8","9"},UPPER(TRIM(SUBSTITUTE(SUBSTITUTE(SUBSTITUTE(SUBSTITUTE(INDEX(PASTE_ALL,$DF782,$L$15)," "," "),CHAR(9)," "),CHAR(10)," "),CHAR(13)," "))))))&gt;0,TRIM(SUBSTITUTE(SUBSTITUTE(SUBSTITUTE(SUBSTITUTE(INDEX(PASTE_ALL,$DF782,$L$15)," "," "),CHAR(9)," "),CHAR(10)," "),CHAR(13)," ")),"")),"")))</f>
        <v/>
      </c>
      <c r="DX782">
        <f>IF($DM782=0,"",IF($L$16=0,"",IFERROR(IF(ISNUMBER(INDEX(PASTE_ALL,$DF782,$L$16)),INDEX(PASTE_ALL,$DF782,$L$16),SUBSTITUTE(SUBSTITUTE(TRIM(SUBSTITUTE(SUBSTITUTE(SUBSTITUTE(SUBSTITUTE(INDEX(PASTE_ALL,$DF782,$L$16)," "," "),CHAR(9)," "),CHAR(10)," "),CHAR(13)," ")),",",""),"%","")),"")))</f>
        <v/>
      </c>
      <c r="DY782">
        <f>IF($DM782=0,"",IFERROR(IF(ISNUMBER($DX782),$DX782,IF($DX782="","",IF(TRIM($DX782)="",0,IF(AND(AND(SUBSTITUTE(SUBSTITUTE(SUBSTITUTE(SUBSTITUTE(SUBSTITUTE(SUBSTITUTE(SUBSTITUTE(SUBSTITUTE(SUBSTITUTE(SUBSTITUTE(SUBSTITUTE(SUBSTITUTE(SUBSTITUTE(SUBSTITUTE(UPPER(TRIM($DX782)),"0",""),"1",""),"2",""),"3",""),"4",""),"5",""),"6",""),"7",""),"8",""),"9",""),".",""),"+",""),"-",""),"E","")="",LEN(SUBSTITUTE(SUBSTITUTE(MID(UPPER(TRIM($DX782)),1+OR(LEFT(UPPER(TRIM($DX782)),1)="+",LEFT(UPPER(TRIM($DX782)),1)="-"),999),"E+","E"),"E-","E"))=LEN(SUBSTITUTE(SUBSTITUTE(SUBSTITUTE(SUBSTITUTE(MID(UPPER(TRIM($DX782)),1+OR(LEFT(UPPER(TRIM($DX782)),1)="+",LEFT(UPPER(TRIM($DX782)),1)="-"),999),"E+","E"),"E-","E"),"+",""),"-","")),LEN(UPPER(TRIM($DX782)))-LEN(SUBSTITUTE(UPPER(TRIM($DX782)),"E",""))&lt;2,LEN(UPPER(TRIM($DX782)))-LEN(SUBSTITUTE(UPPER(TRIM($DX782)),".",""))&lt;2,IFERROR(FIND(".",UPPER(TRIM($DX782))),0)&lt;IFERROR(FIND("E",UPPER(TRIM($DX782))),999)),ISNUMBER(VALUE(TRIM($DX782)))),VALUE(TRIM($DX782)),"")))),""))</f>
        <v/>
      </c>
      <c r="DZ782">
        <f>IF($DM782=0,"",IF($L$17=0,"",IFERROR(IF(ISNUMBER(INDEX(PASTE_ALL,$DF782,$L$17)),INDEX(PASTE_ALL,$DF782,$L$17),SUBSTITUTE(SUBSTITUTE(TRIM(SUBSTITUTE(SUBSTITUTE(SUBSTITUTE(SUBSTITUTE(INDEX(PASTE_ALL,$DF782,$L$17)," "," "),CHAR(9)," "),CHAR(10)," "),CHAR(13)," ")),",",""),"%","")),"")))</f>
        <v/>
      </c>
      <c r="EA782">
        <f>IF($DM782=0,"",IFERROR(IF(ISNUMBER($DZ782),$DZ782,IF($DZ782="","",IF(TRIM($DZ782)="",0,IF(AND(AND(SUBSTITUTE(SUBSTITUTE(SUBSTITUTE(SUBSTITUTE(SUBSTITUTE(SUBSTITUTE(SUBSTITUTE(SUBSTITUTE(SUBSTITUTE(SUBSTITUTE(SUBSTITUTE(SUBSTITUTE(SUBSTITUTE(SUBSTITUTE(UPPER(TRIM($DZ782)),"0",""),"1",""),"2",""),"3",""),"4",""),"5",""),"6",""),"7",""),"8",""),"9",""),".",""),"+",""),"-",""),"E","")="",LEN(SUBSTITUTE(SUBSTITUTE(MID(UPPER(TRIM($DZ782)),1+OR(LEFT(UPPER(TRIM($DZ782)),1)="+",LEFT(UPPER(TRIM($DZ782)),1)="-"),999),"E+","E"),"E-","E"))=LEN(SUBSTITUTE(SUBSTITUTE(SUBSTITUTE(SUBSTITUTE(MID(UPPER(TRIM($DZ782)),1+OR(LEFT(UPPER(TRIM($DZ782)),1)="+",LEFT(UPPER(TRIM($DZ782)),1)="-"),999),"E+","E"),"E-","E"),"+",""),"-","")),LEN(UPPER(TRIM($DZ782)))-LEN(SUBSTITUTE(UPPER(TRIM($DZ782)),"E",""))&lt;2,LEN(UPPER(TRIM($DZ782)))-LEN(SUBSTITUTE(UPPER(TRIM($DZ782)),".",""))&lt;2,IFERROR(FIND(".",UPPER(TRIM($DZ782))),0)&lt;IFERROR(FIND("E",UPPER(TRIM($DZ782))),999)),ISNUMBER(VALUE(TRIM($DZ782)))),VALUE(TRIM($DZ782)),"")))),""))</f>
        <v/>
      </c>
      <c r="EB782">
        <f>IF($DM782=0,"",IF($L$18=0,"",IFERROR(IF(UPPER(TRIM(SUBSTITUTE(SUBSTITUTE(SUBSTITUTE(SUBSTITUTE(INDEX(PASTE_ALL,$DF782,$L$18)," "," "),CHAR(9)," "),CHAR(10)," "),CHAR(13)," ")))="READY","Ready",IF(UPPER(TRIM(SUBSTITUTE(SUBSTITUTE(SUBSTITUTE(SUBSTITUTE(INDEX(PASTE_ALL,$DF782,$L$18)," "," "),CHAR(9)," "),CHAR(10)," "),CHAR(13)," ")))="PM","PM",IF(OR(UPPER(TRIM(SUBSTITUTE(SUBSTITUTE(SUBSTITUTE(SUBSTITUTE(INDEX(PASTE_ALL,$DF782,$L$18)," "," "),CHAR(9)," "),CHAR(10)," "),CHAR(13)," ")))="OT",UPPER(TRIM(SUBSTITUTE(SUBSTITUTE(SUBSTITUTE(SUBSTITUTE(INDEX(PASTE_ALL,$DF782,$L$18)," "," "),CHAR(9)," "),CHAR(10)," "),CHAR(13)," ")))="OVERTIME",UPPER(TRIM(SUBSTITUTE(SUBSTITUTE(SUBSTITUTE(SUBSTITUTE(INDEX(PASTE_ALL,$DF782,$L$18)," "," "),CHAR(9)," "),CHAR(10)," "),CHAR(13)," ")))="TRIAL"),"OT",TRIM(SUBSTITUTE(SUBSTITUTE(SUBSTITUTE(SUBSTITUTE(INDEX(PASTE_ALL,$DF782,$L$18)," "," "),CHAR(9)," "),CHAR(10)," "),CHAR(13)," "))))),"")))</f>
        <v/>
      </c>
      <c r="EC782">
        <f>IF($DM782=0,"",IF($L$19=0,"",IFERROR(IF(ISNUMBER(INDEX(PASTE_ALL,$DF782,$L$19)),INDEX(PASTE_ALL,$DF782,$L$19),TRIM(SUBSTITUTE(SUBSTITUTE(SUBSTITUTE(SUBSTITUTE(INDEX(PASTE_ALL,$DF782,$L$19)," "," "),CHAR(9)," "),CHAR(10)," "),CHAR(13)," "))),"")))</f>
        <v/>
      </c>
      <c r="ED782">
        <f>IF($DM782=0,"",MATCH(1,INDEX(EXACT($DH$5:DH782,$DH782)*$DM$5:DM782,0),0))</f>
        <v/>
      </c>
      <c r="EE782">
        <f>IF($DM782=0,0,IF($ED782=$DE782,1,0))</f>
        <v/>
      </c>
      <c r="EF782">
        <f>EF781+$EE782</f>
        <v/>
      </c>
      <c r="EG782">
        <f>IF($DM782=0,"",INDEX($EF$5:$EF$1003,$ED782))</f>
        <v/>
      </c>
      <c r="EH782">
        <f>IF($DM782=0,"",IF($DO782&lt;&gt;"","",IFERROR(LOOKUP(2,1/(($EG$4:EG781=$EG782)*($DO$4:DO781&lt;&gt;"")),$DO$4:DO781),"")))</f>
        <v/>
      </c>
      <c r="EI782">
        <f>IF($DM782=0,"",IF($DO782&lt;&gt;"",$DO782,$EH782))</f>
        <v/>
      </c>
      <c r="EJ782">
        <f>IF($DM782=0,"",IF($EI782="",0,IF(OR(ISNUMBER($EI782),AND(AND(SUBSTITUTE(SUBSTITUTE(SUBSTITUTE(SUBSTITUTE(SUBSTITUTE(SUBSTITUTE(SUBSTITUTE(SUBSTITUTE(SUBSTITUTE(SUBSTITUTE(SUBSTITUTE(SUBSTITUTE(SUBSTITUTE(SUBSTITUTE(UPPER($EI782),"0",""),"1",""),"2",""),"3",""),"4",""),"5",""),"6",""),"7",""),"8",""),"9",""),".",""),"+",""),"-",""),"E","")="",LEN(SUBSTITUTE(SUBSTITUTE(MID(UPPER($EI782),1+OR(LEFT(UPPER($EI782),1)="+",LEFT(UPPER($EI782),1)="-"),999),"E+","E"),"E-","E"))=LEN(SUBSTITUTE(SUBSTITUTE(SUBSTITUTE(SUBSTITUTE(MID(UPPER($EI782),1+OR(LEFT(UPPER($EI782),1)="+",LEFT(UPPER($EI782),1)="-"),999),"E+","E"),"E-","E"),"+",""),"-","")),LEN(UPPER($EI782))-LEN(SUBSTITUTE(UPPER($EI782),"E",""))&lt;2,LEN(UPPER($EI782))-LEN(SUBSTITUTE(UPPER($EI782),".",""))&lt;2,IFERROR(FIND(".",UPPER($EI782)),0)&lt;IFERROR(FIND("E",UPPER($EI782)),999)),ISNUMBER(VALUE($EI782)))),1,2)))</f>
        <v/>
      </c>
      <c r="EK782">
        <f>IF($DM782=0,"",IF($EJ782=1,IF(ISNUMBER($EI782),$EI782,VALUE($EI782)),IF($EJ782=2,$DE782,0)))</f>
        <v/>
      </c>
      <c r="EL782">
        <f>IF($DM782=0,"",COUNTIF($EG$5:$EG$1003,"&lt;"&amp;$EG782)+SUMPRODUCT(($EG$5:$EG$1003=$EG782)*(($EJ$5:$EJ$1003&lt;$EJ782)+($EJ$5:$EJ$1003=$EJ782)*(($EK$5:$EK$1003&lt;$EK782)+($EK$5:$EK$1003=$EK782)*($DE$5:$DE$1003&lt;$DE782))))+1)</f>
        <v/>
      </c>
      <c r="EM782">
        <f>IF($DM782=0,"",$EL782+$EG782-1)</f>
        <v/>
      </c>
      <c r="EN782">
        <f>IF($DM782=0,0,IFERROR(MATCH(1,INDEX(--(TRIM(SUBSTITUTE(SUBSTITUTE(SUBSTITUTE(SUBSTITUTE(LINES_NAME&amp;""," "," "),CHAR(9)," "),CHAR(10)," "),CHAR(13)," "))=$DH782),0),0),0))</f>
        <v/>
      </c>
      <c r="EO782">
        <f>IF($EN782=0,0,IF(OR(UPPER(TRIM(INDEX(LINES_SCHEDULED,$EN782)&amp;""))="YES",UPPER(TRIM(INDEX(LINES_SCHEDULED,$EN782)&amp;""))="Y",UPPER(TRIM(INDEX(LINES_SCHEDULED,$EN782)&amp;""))="X"),1,0))</f>
        <v/>
      </c>
      <c r="EP782">
        <f>IF($DM782=0,"",IF(COUNTIFS($EG$5:$EG$1003,$EG782,$EB$5:$EB$1003,"Ready")&gt;0,"READY",IF(COUNTIFS($EG$5:$EG$1003,$EG782,$EB$5:$EB$1003,"PM")&gt;0,"PM",IF(COUNTIFS($EG$5:$EG$1003,$EG782,$EB$5:$EB$1003,"OT")&gt;0,"OT",""))))</f>
        <v/>
      </c>
      <c r="EQ782">
        <f>IF($EN782=0,"",UPPER(TRIM(INDEX(LINES_STATUS,$EN782)&amp;"")))</f>
        <v/>
      </c>
      <c r="ER782">
        <f>IF($DM782=0,"",IF(OR($EQ782="READY",$EQ782="PM",$EQ782="OT"),$EQ782,$EP782))</f>
        <v/>
      </c>
      <c r="ES782">
        <f>IF($DM782=0,"",IF(AND($DV782&lt;&gt;"",UPPER($DV782)&lt;&gt;"N"),"allergen",IF(ISNUMBER(SEARCH("oil",$DQ782)),"oil",IF(OR(EXACT($DS782,"A662"),EXACT($DS782,"A624")),"bulk",""))))</f>
        <v/>
      </c>
      <c r="ET782">
        <f>IF($DM782=0,"",IF(OR($EA782="",$EA782=0),"",$EA782/100))</f>
        <v/>
      </c>
      <c r="EU782">
        <f>IF(OR($ET782="",$DY782=""),"",INT($DY782*(1-$ET782)+0.5))</f>
        <v/>
      </c>
    </row>
    <row r="783">
      <c r="DA783" t="n">
        <v>779</v>
      </c>
      <c r="DB783">
        <f>IF($B$37=0,"",IFERROR(TRIM(SUBSTITUTE(SUBSTITUTE(SUBSTITUTE(SUBSTITUTE(INDEX(PASTE_ALL,779,$B$37)," "," "),CHAR(9)," "),CHAR(10)," "),CHAR(13)," ")),""))</f>
        <v/>
      </c>
      <c r="DC783">
        <f>IF(AND(779&gt;HEADER_ROW,UPPER(DB783)="LEGEND"),1,0)</f>
        <v/>
      </c>
      <c r="DE783" t="n">
        <v>779</v>
      </c>
      <c r="DF783">
        <f>HEADER_ROW+$DE783</f>
        <v/>
      </c>
      <c r="DG783">
        <f>IF(AND($DF783&lt;=1000,$DF783&lt;$B$8),1,0)</f>
        <v/>
      </c>
      <c r="DH783">
        <f>IF($DG783=1,IFERROR(INDEX($DB$5:$DB$1004,$DF783),""),"")</f>
        <v/>
      </c>
      <c r="DI783">
        <f>IF(AND($DG783=1,$DH783&lt;&gt;""),IFERROR(SUBSTITUTE(SUBSTITUTE(TRIM(SUBSTITUTE(SUBSTITUTE(SUBSTITUTE(SUBSTITUTE(IFERROR(INDEX(PASTE_ALL,$DF783,1)&amp;"","")&amp;"␟"&amp;IFERROR(INDEX(PASTE_ALL,$DF783,2)&amp;"","")&amp;"␟"&amp;IFERROR(INDEX(PASTE_ALL,$DF783,3)&amp;"","")&amp;"␟"&amp;IFERROR(INDEX(PASTE_ALL,$DF783,4)&amp;"","")&amp;"␟"&amp;IFERROR(INDEX(PASTE_ALL,$DF783,5)&amp;"","")&amp;"␟"&amp;IFERROR(INDEX(PASTE_ALL,$DF783,6)&amp;"","")&amp;"␟"&amp;IFERROR(INDEX(PASTE_ALL,$DF783,7)&amp;"","")&amp;"␟"&amp;IFERROR(INDEX(PASTE_ALL,$DF783,8)&amp;"","")&amp;"␟"&amp;IFERROR(INDEX(PASTE_ALL,$DF783,9)&amp;"","")&amp;"␟"&amp;IFERROR(INDEX(PASTE_ALL,$DF783,10)&amp;"","")&amp;"␟"&amp;IFERROR(INDEX(PASTE_ALL,$DF783,11)&amp;"","")&amp;"␟"&amp;IFERROR(INDEX(PASTE_ALL,$DF783,12)&amp;"","")&amp;"␟"&amp;IFERROR(INDEX(PASTE_ALL,$DF783,13)&amp;"","")&amp;"␟"&amp;IFERROR(INDEX(PASTE_ALL,$DF783,14)&amp;"","")&amp;"␟"&amp;IFERROR(INDEX(PASTE_ALL,$DF783,15)&amp;"","")&amp;"␟"&amp;IFERROR(INDEX(PASTE_ALL,$DF783,16)&amp;"","")&amp;"␟"&amp;IFERROR(INDEX(PASTE_ALL,$DF783,17)&amp;"","")&amp;"␟"&amp;IFERROR(INDEX(PASTE_ALL,$DF783,18)&amp;"","")&amp;"␟"&amp;IFERROR(INDEX(PASTE_ALL,$DF783,19)&amp;"","")&amp;"␟"&amp;IFERROR(INDEX(PASTE_ALL,$DF783,20)&amp;"","")&amp;"␟"&amp;IFERROR(INDEX(PASTE_ALL,$DF783,21)&amp;"","")&amp;"␟"&amp;IFERROR(INDEX(PASTE_ALL,$DF783,22)&amp;"","")&amp;"␟"&amp;IFERROR(INDEX(PASTE_ALL,$DF783,23)&amp;"","")&amp;"␟"&amp;IFERROR(INDEX(PASTE_ALL,$DF783,24)&amp;"","")&amp;"␟"&amp;IFERROR(INDEX(PASTE_ALL,$DF783,25)&amp;"","")&amp;"␟"&amp;IFERROR(INDEX(PASTE_ALL,$DF783,26)&amp;"","")&amp;"␟"&amp;IFERROR(INDEX(PASTE_ALL,$DF783,27)&amp;"","")&amp;"␟"&amp;IFERROR(INDEX(PASTE_ALL,$DF783,28)&amp;"","")&amp;"␟"&amp;IFERROR(INDEX(PASTE_ALL,$DF783,29)&amp;"","")&amp;"␟"&amp;IFERROR(INDEX(PASTE_ALL,$DF783,30)&amp;"","")&amp;"␟"&amp;IFERROR(INDEX(PASTE_ALL,$DF783,31)&amp;"","")&amp;"␟"&amp;IFERROR(INDEX(PASTE_ALL,$DF783,32)&amp;"","")&amp;"␟"&amp;IFERROR(INDEX(PASTE_ALL,$DF783,33)&amp;"","")&amp;"␟"&amp;IFERROR(INDEX(PASTE_ALL,$DF783,34)&amp;"","")&amp;"␟"&amp;IFERROR(INDEX(PASTE_ALL,$DF783,35)&amp;"","")&amp;"␟"&amp;IFERROR(INDEX(PASTE_ALL,$DF783,36)&amp;"","")&amp;"␟"&amp;IFERROR(INDEX(PASTE_ALL,$DF783,37)&amp;"","")&amp;"␟"&amp;IFERROR(INDEX(PASTE_ALL,$DF783,38)&amp;"","")&amp;"␟"&amp;IFERROR(INDEX(PASTE_ALL,$DF783,39)&amp;"","")&amp;"␟"&amp;IFERROR(INDEX(PASTE_ALL,$DF783,40)&amp;"","")&amp;"␟"&amp;IFERROR(INDEX(PASTE_ALL,$DF783,41)&amp;"","")&amp;"␟"&amp;IFERROR(INDEX(PASTE_ALL,$DF783,42)&amp;"","")&amp;"␟"&amp;IFERROR(INDEX(PASTE_ALL,$DF783,43)&amp;"","")&amp;"␟"&amp;IFERROR(INDEX(PASTE_ALL,$DF783,44)&amp;"","")&amp;"␟"&amp;IFERROR(INDEX(PASTE_ALL,$DF783,45)&amp;"","")&amp;"␟"&amp;IFERROR(INDEX(PASTE_ALL,$DF783,46)&amp;"","")&amp;"␟"&amp;IFERROR(INDEX(PASTE_ALL,$DF783,47)&amp;"","")&amp;"␟"&amp;IFERROR(INDEX(PASTE_ALL,$DF783,48)&amp;"","")&amp;"␟"&amp;IFERROR(INDEX(PASTE_ALL,$DF783,49)&amp;"","")&amp;"␟"&amp;IFERROR(INDEX(PASTE_ALL,$DF783,50)&amp;"","")&amp;"␟"&amp;IFERROR(INDEX(PASTE_ALL,$DF783,51)&amp;"","")&amp;"␟"&amp;IFERROR(INDEX(PASTE_ALL,$DF783,52)&amp;"","")&amp;"␟"&amp;IFERROR(INDEX(PASTE_ALL,$DF783,53)&amp;"","")&amp;"␟"&amp;IFERROR(INDEX(PASTE_ALL,$DF783,54)&amp;"","")&amp;"␟"&amp;IFERROR(INDEX(PASTE_ALL,$DF783,55)&amp;"","")&amp;"␟"&amp;IFERROR(INDEX(PASTE_ALL,$DF783,56)&amp;"","")&amp;"␟"&amp;IFERROR(INDEX(PASTE_ALL,$DF783,57)&amp;"","")&amp;"␟"&amp;IFERROR(INDEX(PASTE_ALL,$DF783,58)&amp;"","")&amp;"␟"&amp;IFERROR(INDEX(PASTE_ALL,$DF783,59)&amp;"","")&amp;"␟"&amp;IFERROR(INDEX(PASTE_ALL,$DF783,60)&amp;"","")," "," "),CHAR(9)," "),CHAR(10)," "),CHAR(13)," "))," ␟","␟"),"␟ ","␟"),"#"&amp;$DE783),"")</f>
        <v/>
      </c>
      <c r="DJ783">
        <f>IF($DI783="",0,IF(SUMPRODUCT(--EXACT($DI$4:DI782,$DI783))&gt;0,1,0))</f>
        <v/>
      </c>
      <c r="DK783">
        <f>IF(AND($DI783&lt;&gt;"",$DJ783=0),1,0)</f>
        <v/>
      </c>
      <c r="DL783">
        <f>DL782+$DK783</f>
        <v/>
      </c>
      <c r="DM783">
        <f>IF(AND($DK783=1,$DL783&lt;=600),1,0)</f>
        <v/>
      </c>
      <c r="DN783">
        <f>IF($DM783=0,"",IF($L$6=0,"",IFERROR(IF(ISNUMBER(INDEX(PASTE_ALL,$DF783,$L$6)),INDEX(PASTE_ALL,$DF783,$L$6),TRIM(SUBSTITUTE(SUBSTITUTE(SUBSTITUTE(SUBSTITUTE(INDEX(PASTE_ALL,$DF783,$L$6)," "," "),CHAR(9)," "),CHAR(10)," "),CHAR(13)," "))),"")))</f>
        <v/>
      </c>
      <c r="DO783">
        <f>IF($DM783=0,"",IF($L$7=0,"",IFERROR(IF(ISNUMBER(INDEX(PASTE_ALL,$DF783,$L$7)),INDEX(PASTE_ALL,$DF783,$L$7),TRIM(SUBSTITUTE(SUBSTITUTE(SUBSTITUTE(SUBSTITUTE(INDEX(PASTE_ALL,$DF783,$L$7)," "," "),CHAR(9)," "),CHAR(10)," "),CHAR(13)," "))),"")))</f>
        <v/>
      </c>
      <c r="DP783">
        <f>IF($DM783=0,"",IF($L$8=0,"",IFERROR(IF(ISNUMBER(INDEX(PASTE_ALL,$DF783,$L$8)),INDEX(PASTE_ALL,$DF783,$L$8),TRIM(SUBSTITUTE(SUBSTITUTE(SUBSTITUTE(SUBSTITUTE(INDEX(PASTE_ALL,$DF783,$L$8)," "," "),CHAR(9)," "),CHAR(10)," "),CHAR(13)," "))),"")))</f>
        <v/>
      </c>
      <c r="DQ783">
        <f>IF($DM783=0,"",IF($L$9=0,"",IFERROR(IF(ISNUMBER(INDEX(PASTE_ALL,$DF783,$L$9)),INDEX(PASTE_ALL,$DF783,$L$9),TRIM(SUBSTITUTE(SUBSTITUTE(SUBSTITUTE(SUBSTITUTE(INDEX(PASTE_ALL,$DF783,$L$9)," "," "),CHAR(9)," "),CHAR(10)," "),CHAR(13)," "))),"")))</f>
        <v/>
      </c>
      <c r="DR783">
        <f>IF($DM783=0,"",IF($L$10=0,"",IFERROR(IF(ISNUMBER(INDEX(PASTE_ALL,$DF783,$L$10)),INDEX(PASTE_ALL,$DF783,$L$10),TRIM(SUBSTITUTE(SUBSTITUTE(SUBSTITUTE(SUBSTITUTE(INDEX(PASTE_ALL,$DF783,$L$10)," "," "),CHAR(9)," "),CHAR(10)," "),CHAR(13)," "))),"")))</f>
        <v/>
      </c>
      <c r="DS783">
        <f>IF($DM783=0,"",IF($L$11=0,"",IFERROR(IF(ISNUMBER(INDEX(PASTE_ALL,$DF783,$L$11)),INDEX(PASTE_ALL,$DF783,$L$11),TRIM(SUBSTITUTE(SUBSTITUTE(SUBSTITUTE(SUBSTITUTE(INDEX(PASTE_ALL,$DF783,$L$11)," "," "),CHAR(9)," "),CHAR(10)," "),CHAR(13)," "))),"")))</f>
        <v/>
      </c>
      <c r="DT783">
        <f>IF($DM783=0,"",IF($L$12=0,"",IFERROR(IF(ISNUMBER(INDEX(PASTE_ALL,$DF783,$L$12)),INDEX(PASTE_ALL,$DF783,$L$12),TRIM(SUBSTITUTE(SUBSTITUTE(SUBSTITUTE(SUBSTITUTE(INDEX(PASTE_ALL,$DF783,$L$12)," "," "),CHAR(9)," "),CHAR(10)," "),CHAR(13)," "))),"")))</f>
        <v/>
      </c>
      <c r="DU783">
        <f>IF($DM783=0,"",IF($L$13=0,"",IFERROR(IF(ISNUMBER(INDEX(PASTE_ALL,$DF783,$L$13)),INDEX(PASTE_ALL,$DF783,$L$13),TRIM(SUBSTITUTE(SUBSTITUTE(SUBSTITUTE(SUBSTITUTE(INDEX(PASTE_ALL,$DF783,$L$13)," "," "),CHAR(9)," "),CHAR(10)," "),CHAR(13)," "))),"")))</f>
        <v/>
      </c>
      <c r="DV783">
        <f>IF($DM783=0,"",IF($L$14=0,"",IFERROR(IF(ISNUMBER(INDEX(PASTE_ALL,$DF783,$L$14)),INDEX(PASTE_ALL,$DF783,$L$14),TRIM(SUBSTITUTE(SUBSTITUTE(SUBSTITUTE(SUBSTITUTE(INDEX(PASTE_ALL,$DF783,$L$14)," "," "),CHAR(9)," "),CHAR(10)," "),CHAR(13)," "))),"")))</f>
        <v/>
      </c>
      <c r="DW783">
        <f>IF($DM783=0,"",IF($L$15=0,"",IFERROR(IF(ISNUMBER(INDEX(PASTE_ALL,$DF783,$L$15)),INDEX(PASTE_ALL,$DF783,$L$15),IF(SUMPRODUCT(--ISNUMBER(FIND({"A","B","C","D","E","F","G","H","I","J","K","L","M","N","O","P","Q","R","S","T","U","V","W","X","Y","Z","0","1","2","3","4","5","6","7","8","9"},UPPER(TRIM(SUBSTITUTE(SUBSTITUTE(SUBSTITUTE(SUBSTITUTE(INDEX(PASTE_ALL,$DF783,$L$15)," "," "),CHAR(9)," "),CHAR(10)," "),CHAR(13)," "))))))&gt;0,TRIM(SUBSTITUTE(SUBSTITUTE(SUBSTITUTE(SUBSTITUTE(INDEX(PASTE_ALL,$DF783,$L$15)," "," "),CHAR(9)," "),CHAR(10)," "),CHAR(13)," ")),"")),"")))</f>
        <v/>
      </c>
      <c r="DX783">
        <f>IF($DM783=0,"",IF($L$16=0,"",IFERROR(IF(ISNUMBER(INDEX(PASTE_ALL,$DF783,$L$16)),INDEX(PASTE_ALL,$DF783,$L$16),SUBSTITUTE(SUBSTITUTE(TRIM(SUBSTITUTE(SUBSTITUTE(SUBSTITUTE(SUBSTITUTE(INDEX(PASTE_ALL,$DF783,$L$16)," "," "),CHAR(9)," "),CHAR(10)," "),CHAR(13)," ")),",",""),"%","")),"")))</f>
        <v/>
      </c>
      <c r="DY783">
        <f>IF($DM783=0,"",IFERROR(IF(ISNUMBER($DX783),$DX783,IF($DX783="","",IF(TRIM($DX783)="",0,IF(AND(AND(SUBSTITUTE(SUBSTITUTE(SUBSTITUTE(SUBSTITUTE(SUBSTITUTE(SUBSTITUTE(SUBSTITUTE(SUBSTITUTE(SUBSTITUTE(SUBSTITUTE(SUBSTITUTE(SUBSTITUTE(SUBSTITUTE(SUBSTITUTE(UPPER(TRIM($DX783)),"0",""),"1",""),"2",""),"3",""),"4",""),"5",""),"6",""),"7",""),"8",""),"9",""),".",""),"+",""),"-",""),"E","")="",LEN(SUBSTITUTE(SUBSTITUTE(MID(UPPER(TRIM($DX783)),1+OR(LEFT(UPPER(TRIM($DX783)),1)="+",LEFT(UPPER(TRIM($DX783)),1)="-"),999),"E+","E"),"E-","E"))=LEN(SUBSTITUTE(SUBSTITUTE(SUBSTITUTE(SUBSTITUTE(MID(UPPER(TRIM($DX783)),1+OR(LEFT(UPPER(TRIM($DX783)),1)="+",LEFT(UPPER(TRIM($DX783)),1)="-"),999),"E+","E"),"E-","E"),"+",""),"-","")),LEN(UPPER(TRIM($DX783)))-LEN(SUBSTITUTE(UPPER(TRIM($DX783)),"E",""))&lt;2,LEN(UPPER(TRIM($DX783)))-LEN(SUBSTITUTE(UPPER(TRIM($DX783)),".",""))&lt;2,IFERROR(FIND(".",UPPER(TRIM($DX783))),0)&lt;IFERROR(FIND("E",UPPER(TRIM($DX783))),999)),ISNUMBER(VALUE(TRIM($DX783)))),VALUE(TRIM($DX783)),"")))),""))</f>
        <v/>
      </c>
      <c r="DZ783">
        <f>IF($DM783=0,"",IF($L$17=0,"",IFERROR(IF(ISNUMBER(INDEX(PASTE_ALL,$DF783,$L$17)),INDEX(PASTE_ALL,$DF783,$L$17),SUBSTITUTE(SUBSTITUTE(TRIM(SUBSTITUTE(SUBSTITUTE(SUBSTITUTE(SUBSTITUTE(INDEX(PASTE_ALL,$DF783,$L$17)," "," "),CHAR(9)," "),CHAR(10)," "),CHAR(13)," ")),",",""),"%","")),"")))</f>
        <v/>
      </c>
      <c r="EA783">
        <f>IF($DM783=0,"",IFERROR(IF(ISNUMBER($DZ783),$DZ783,IF($DZ783="","",IF(TRIM($DZ783)="",0,IF(AND(AND(SUBSTITUTE(SUBSTITUTE(SUBSTITUTE(SUBSTITUTE(SUBSTITUTE(SUBSTITUTE(SUBSTITUTE(SUBSTITUTE(SUBSTITUTE(SUBSTITUTE(SUBSTITUTE(SUBSTITUTE(SUBSTITUTE(SUBSTITUTE(UPPER(TRIM($DZ783)),"0",""),"1",""),"2",""),"3",""),"4",""),"5",""),"6",""),"7",""),"8",""),"9",""),".",""),"+",""),"-",""),"E","")="",LEN(SUBSTITUTE(SUBSTITUTE(MID(UPPER(TRIM($DZ783)),1+OR(LEFT(UPPER(TRIM($DZ783)),1)="+",LEFT(UPPER(TRIM($DZ783)),1)="-"),999),"E+","E"),"E-","E"))=LEN(SUBSTITUTE(SUBSTITUTE(SUBSTITUTE(SUBSTITUTE(MID(UPPER(TRIM($DZ783)),1+OR(LEFT(UPPER(TRIM($DZ783)),1)="+",LEFT(UPPER(TRIM($DZ783)),1)="-"),999),"E+","E"),"E-","E"),"+",""),"-","")),LEN(UPPER(TRIM($DZ783)))-LEN(SUBSTITUTE(UPPER(TRIM($DZ783)),"E",""))&lt;2,LEN(UPPER(TRIM($DZ783)))-LEN(SUBSTITUTE(UPPER(TRIM($DZ783)),".",""))&lt;2,IFERROR(FIND(".",UPPER(TRIM($DZ783))),0)&lt;IFERROR(FIND("E",UPPER(TRIM($DZ783))),999)),ISNUMBER(VALUE(TRIM($DZ783)))),VALUE(TRIM($DZ783)),"")))),""))</f>
        <v/>
      </c>
      <c r="EB783">
        <f>IF($DM783=0,"",IF($L$18=0,"",IFERROR(IF(UPPER(TRIM(SUBSTITUTE(SUBSTITUTE(SUBSTITUTE(SUBSTITUTE(INDEX(PASTE_ALL,$DF783,$L$18)," "," "),CHAR(9)," "),CHAR(10)," "),CHAR(13)," ")))="READY","Ready",IF(UPPER(TRIM(SUBSTITUTE(SUBSTITUTE(SUBSTITUTE(SUBSTITUTE(INDEX(PASTE_ALL,$DF783,$L$18)," "," "),CHAR(9)," "),CHAR(10)," "),CHAR(13)," ")))="PM","PM",IF(OR(UPPER(TRIM(SUBSTITUTE(SUBSTITUTE(SUBSTITUTE(SUBSTITUTE(INDEX(PASTE_ALL,$DF783,$L$18)," "," "),CHAR(9)," "),CHAR(10)," "),CHAR(13)," ")))="OT",UPPER(TRIM(SUBSTITUTE(SUBSTITUTE(SUBSTITUTE(SUBSTITUTE(INDEX(PASTE_ALL,$DF783,$L$18)," "," "),CHAR(9)," "),CHAR(10)," "),CHAR(13)," ")))="OVERTIME",UPPER(TRIM(SUBSTITUTE(SUBSTITUTE(SUBSTITUTE(SUBSTITUTE(INDEX(PASTE_ALL,$DF783,$L$18)," "," "),CHAR(9)," "),CHAR(10)," "),CHAR(13)," ")))="TRIAL"),"OT",TRIM(SUBSTITUTE(SUBSTITUTE(SUBSTITUTE(SUBSTITUTE(INDEX(PASTE_ALL,$DF783,$L$18)," "," "),CHAR(9)," "),CHAR(10)," "),CHAR(13)," "))))),"")))</f>
        <v/>
      </c>
      <c r="EC783">
        <f>IF($DM783=0,"",IF($L$19=0,"",IFERROR(IF(ISNUMBER(INDEX(PASTE_ALL,$DF783,$L$19)),INDEX(PASTE_ALL,$DF783,$L$19),TRIM(SUBSTITUTE(SUBSTITUTE(SUBSTITUTE(SUBSTITUTE(INDEX(PASTE_ALL,$DF783,$L$19)," "," "),CHAR(9)," "),CHAR(10)," "),CHAR(13)," "))),"")))</f>
        <v/>
      </c>
      <c r="ED783">
        <f>IF($DM783=0,"",MATCH(1,INDEX(EXACT($DH$5:DH783,$DH783)*$DM$5:DM783,0),0))</f>
        <v/>
      </c>
      <c r="EE783">
        <f>IF($DM783=0,0,IF($ED783=$DE783,1,0))</f>
        <v/>
      </c>
      <c r="EF783">
        <f>EF782+$EE783</f>
        <v/>
      </c>
      <c r="EG783">
        <f>IF($DM783=0,"",INDEX($EF$5:$EF$1003,$ED783))</f>
        <v/>
      </c>
      <c r="EH783">
        <f>IF($DM783=0,"",IF($DO783&lt;&gt;"","",IFERROR(LOOKUP(2,1/(($EG$4:EG782=$EG783)*($DO$4:DO782&lt;&gt;"")),$DO$4:DO782),"")))</f>
        <v/>
      </c>
      <c r="EI783">
        <f>IF($DM783=0,"",IF($DO783&lt;&gt;"",$DO783,$EH783))</f>
        <v/>
      </c>
      <c r="EJ783">
        <f>IF($DM783=0,"",IF($EI783="",0,IF(OR(ISNUMBER($EI783),AND(AND(SUBSTITUTE(SUBSTITUTE(SUBSTITUTE(SUBSTITUTE(SUBSTITUTE(SUBSTITUTE(SUBSTITUTE(SUBSTITUTE(SUBSTITUTE(SUBSTITUTE(SUBSTITUTE(SUBSTITUTE(SUBSTITUTE(SUBSTITUTE(UPPER($EI783),"0",""),"1",""),"2",""),"3",""),"4",""),"5",""),"6",""),"7",""),"8",""),"9",""),".",""),"+",""),"-",""),"E","")="",LEN(SUBSTITUTE(SUBSTITUTE(MID(UPPER($EI783),1+OR(LEFT(UPPER($EI783),1)="+",LEFT(UPPER($EI783),1)="-"),999),"E+","E"),"E-","E"))=LEN(SUBSTITUTE(SUBSTITUTE(SUBSTITUTE(SUBSTITUTE(MID(UPPER($EI783),1+OR(LEFT(UPPER($EI783),1)="+",LEFT(UPPER($EI783),1)="-"),999),"E+","E"),"E-","E"),"+",""),"-","")),LEN(UPPER($EI783))-LEN(SUBSTITUTE(UPPER($EI783),"E",""))&lt;2,LEN(UPPER($EI783))-LEN(SUBSTITUTE(UPPER($EI783),".",""))&lt;2,IFERROR(FIND(".",UPPER($EI783)),0)&lt;IFERROR(FIND("E",UPPER($EI783)),999)),ISNUMBER(VALUE($EI783)))),1,2)))</f>
        <v/>
      </c>
      <c r="EK783">
        <f>IF($DM783=0,"",IF($EJ783=1,IF(ISNUMBER($EI783),$EI783,VALUE($EI783)),IF($EJ783=2,$DE783,0)))</f>
        <v/>
      </c>
      <c r="EL783">
        <f>IF($DM783=0,"",COUNTIF($EG$5:$EG$1003,"&lt;"&amp;$EG783)+SUMPRODUCT(($EG$5:$EG$1003=$EG783)*(($EJ$5:$EJ$1003&lt;$EJ783)+($EJ$5:$EJ$1003=$EJ783)*(($EK$5:$EK$1003&lt;$EK783)+($EK$5:$EK$1003=$EK783)*($DE$5:$DE$1003&lt;$DE783))))+1)</f>
        <v/>
      </c>
      <c r="EM783">
        <f>IF($DM783=0,"",$EL783+$EG783-1)</f>
        <v/>
      </c>
      <c r="EN783">
        <f>IF($DM783=0,0,IFERROR(MATCH(1,INDEX(--(TRIM(SUBSTITUTE(SUBSTITUTE(SUBSTITUTE(SUBSTITUTE(LINES_NAME&amp;""," "," "),CHAR(9)," "),CHAR(10)," "),CHAR(13)," "))=$DH783),0),0),0))</f>
        <v/>
      </c>
      <c r="EO783">
        <f>IF($EN783=0,0,IF(OR(UPPER(TRIM(INDEX(LINES_SCHEDULED,$EN783)&amp;""))="YES",UPPER(TRIM(INDEX(LINES_SCHEDULED,$EN783)&amp;""))="Y",UPPER(TRIM(INDEX(LINES_SCHEDULED,$EN783)&amp;""))="X"),1,0))</f>
        <v/>
      </c>
      <c r="EP783">
        <f>IF($DM783=0,"",IF(COUNTIFS($EG$5:$EG$1003,$EG783,$EB$5:$EB$1003,"Ready")&gt;0,"READY",IF(COUNTIFS($EG$5:$EG$1003,$EG783,$EB$5:$EB$1003,"PM")&gt;0,"PM",IF(COUNTIFS($EG$5:$EG$1003,$EG783,$EB$5:$EB$1003,"OT")&gt;0,"OT",""))))</f>
        <v/>
      </c>
      <c r="EQ783">
        <f>IF($EN783=0,"",UPPER(TRIM(INDEX(LINES_STATUS,$EN783)&amp;"")))</f>
        <v/>
      </c>
      <c r="ER783">
        <f>IF($DM783=0,"",IF(OR($EQ783="READY",$EQ783="PM",$EQ783="OT"),$EQ783,$EP783))</f>
        <v/>
      </c>
      <c r="ES783">
        <f>IF($DM783=0,"",IF(AND($DV783&lt;&gt;"",UPPER($DV783)&lt;&gt;"N"),"allergen",IF(ISNUMBER(SEARCH("oil",$DQ783)),"oil",IF(OR(EXACT($DS783,"A662"),EXACT($DS783,"A624")),"bulk",""))))</f>
        <v/>
      </c>
      <c r="ET783">
        <f>IF($DM783=0,"",IF(OR($EA783="",$EA783=0),"",$EA783/100))</f>
        <v/>
      </c>
      <c r="EU783">
        <f>IF(OR($ET783="",$DY783=""),"",INT($DY783*(1-$ET783)+0.5))</f>
        <v/>
      </c>
    </row>
    <row r="784">
      <c r="DA784" t="n">
        <v>780</v>
      </c>
      <c r="DB784">
        <f>IF($B$37=0,"",IFERROR(TRIM(SUBSTITUTE(SUBSTITUTE(SUBSTITUTE(SUBSTITUTE(INDEX(PASTE_ALL,780,$B$37)," "," "),CHAR(9)," "),CHAR(10)," "),CHAR(13)," ")),""))</f>
        <v/>
      </c>
      <c r="DC784">
        <f>IF(AND(780&gt;HEADER_ROW,UPPER(DB784)="LEGEND"),1,0)</f>
        <v/>
      </c>
      <c r="DE784" t="n">
        <v>780</v>
      </c>
      <c r="DF784">
        <f>HEADER_ROW+$DE784</f>
        <v/>
      </c>
      <c r="DG784">
        <f>IF(AND($DF784&lt;=1000,$DF784&lt;$B$8),1,0)</f>
        <v/>
      </c>
      <c r="DH784">
        <f>IF($DG784=1,IFERROR(INDEX($DB$5:$DB$1004,$DF784),""),"")</f>
        <v/>
      </c>
      <c r="DI784">
        <f>IF(AND($DG784=1,$DH784&lt;&gt;""),IFERROR(SUBSTITUTE(SUBSTITUTE(TRIM(SUBSTITUTE(SUBSTITUTE(SUBSTITUTE(SUBSTITUTE(IFERROR(INDEX(PASTE_ALL,$DF784,1)&amp;"","")&amp;"␟"&amp;IFERROR(INDEX(PASTE_ALL,$DF784,2)&amp;"","")&amp;"␟"&amp;IFERROR(INDEX(PASTE_ALL,$DF784,3)&amp;"","")&amp;"␟"&amp;IFERROR(INDEX(PASTE_ALL,$DF784,4)&amp;"","")&amp;"␟"&amp;IFERROR(INDEX(PASTE_ALL,$DF784,5)&amp;"","")&amp;"␟"&amp;IFERROR(INDEX(PASTE_ALL,$DF784,6)&amp;"","")&amp;"␟"&amp;IFERROR(INDEX(PASTE_ALL,$DF784,7)&amp;"","")&amp;"␟"&amp;IFERROR(INDEX(PASTE_ALL,$DF784,8)&amp;"","")&amp;"␟"&amp;IFERROR(INDEX(PASTE_ALL,$DF784,9)&amp;"","")&amp;"␟"&amp;IFERROR(INDEX(PASTE_ALL,$DF784,10)&amp;"","")&amp;"␟"&amp;IFERROR(INDEX(PASTE_ALL,$DF784,11)&amp;"","")&amp;"␟"&amp;IFERROR(INDEX(PASTE_ALL,$DF784,12)&amp;"","")&amp;"␟"&amp;IFERROR(INDEX(PASTE_ALL,$DF784,13)&amp;"","")&amp;"␟"&amp;IFERROR(INDEX(PASTE_ALL,$DF784,14)&amp;"","")&amp;"␟"&amp;IFERROR(INDEX(PASTE_ALL,$DF784,15)&amp;"","")&amp;"␟"&amp;IFERROR(INDEX(PASTE_ALL,$DF784,16)&amp;"","")&amp;"␟"&amp;IFERROR(INDEX(PASTE_ALL,$DF784,17)&amp;"","")&amp;"␟"&amp;IFERROR(INDEX(PASTE_ALL,$DF784,18)&amp;"","")&amp;"␟"&amp;IFERROR(INDEX(PASTE_ALL,$DF784,19)&amp;"","")&amp;"␟"&amp;IFERROR(INDEX(PASTE_ALL,$DF784,20)&amp;"","")&amp;"␟"&amp;IFERROR(INDEX(PASTE_ALL,$DF784,21)&amp;"","")&amp;"␟"&amp;IFERROR(INDEX(PASTE_ALL,$DF784,22)&amp;"","")&amp;"␟"&amp;IFERROR(INDEX(PASTE_ALL,$DF784,23)&amp;"","")&amp;"␟"&amp;IFERROR(INDEX(PASTE_ALL,$DF784,24)&amp;"","")&amp;"␟"&amp;IFERROR(INDEX(PASTE_ALL,$DF784,25)&amp;"","")&amp;"␟"&amp;IFERROR(INDEX(PASTE_ALL,$DF784,26)&amp;"","")&amp;"␟"&amp;IFERROR(INDEX(PASTE_ALL,$DF784,27)&amp;"","")&amp;"␟"&amp;IFERROR(INDEX(PASTE_ALL,$DF784,28)&amp;"","")&amp;"␟"&amp;IFERROR(INDEX(PASTE_ALL,$DF784,29)&amp;"","")&amp;"␟"&amp;IFERROR(INDEX(PASTE_ALL,$DF784,30)&amp;"","")&amp;"␟"&amp;IFERROR(INDEX(PASTE_ALL,$DF784,31)&amp;"","")&amp;"␟"&amp;IFERROR(INDEX(PASTE_ALL,$DF784,32)&amp;"","")&amp;"␟"&amp;IFERROR(INDEX(PASTE_ALL,$DF784,33)&amp;"","")&amp;"␟"&amp;IFERROR(INDEX(PASTE_ALL,$DF784,34)&amp;"","")&amp;"␟"&amp;IFERROR(INDEX(PASTE_ALL,$DF784,35)&amp;"","")&amp;"␟"&amp;IFERROR(INDEX(PASTE_ALL,$DF784,36)&amp;"","")&amp;"␟"&amp;IFERROR(INDEX(PASTE_ALL,$DF784,37)&amp;"","")&amp;"␟"&amp;IFERROR(INDEX(PASTE_ALL,$DF784,38)&amp;"","")&amp;"␟"&amp;IFERROR(INDEX(PASTE_ALL,$DF784,39)&amp;"","")&amp;"␟"&amp;IFERROR(INDEX(PASTE_ALL,$DF784,40)&amp;"","")&amp;"␟"&amp;IFERROR(INDEX(PASTE_ALL,$DF784,41)&amp;"","")&amp;"␟"&amp;IFERROR(INDEX(PASTE_ALL,$DF784,42)&amp;"","")&amp;"␟"&amp;IFERROR(INDEX(PASTE_ALL,$DF784,43)&amp;"","")&amp;"␟"&amp;IFERROR(INDEX(PASTE_ALL,$DF784,44)&amp;"","")&amp;"␟"&amp;IFERROR(INDEX(PASTE_ALL,$DF784,45)&amp;"","")&amp;"␟"&amp;IFERROR(INDEX(PASTE_ALL,$DF784,46)&amp;"","")&amp;"␟"&amp;IFERROR(INDEX(PASTE_ALL,$DF784,47)&amp;"","")&amp;"␟"&amp;IFERROR(INDEX(PASTE_ALL,$DF784,48)&amp;"","")&amp;"␟"&amp;IFERROR(INDEX(PASTE_ALL,$DF784,49)&amp;"","")&amp;"␟"&amp;IFERROR(INDEX(PASTE_ALL,$DF784,50)&amp;"","")&amp;"␟"&amp;IFERROR(INDEX(PASTE_ALL,$DF784,51)&amp;"","")&amp;"␟"&amp;IFERROR(INDEX(PASTE_ALL,$DF784,52)&amp;"","")&amp;"␟"&amp;IFERROR(INDEX(PASTE_ALL,$DF784,53)&amp;"","")&amp;"␟"&amp;IFERROR(INDEX(PASTE_ALL,$DF784,54)&amp;"","")&amp;"␟"&amp;IFERROR(INDEX(PASTE_ALL,$DF784,55)&amp;"","")&amp;"␟"&amp;IFERROR(INDEX(PASTE_ALL,$DF784,56)&amp;"","")&amp;"␟"&amp;IFERROR(INDEX(PASTE_ALL,$DF784,57)&amp;"","")&amp;"␟"&amp;IFERROR(INDEX(PASTE_ALL,$DF784,58)&amp;"","")&amp;"␟"&amp;IFERROR(INDEX(PASTE_ALL,$DF784,59)&amp;"","")&amp;"␟"&amp;IFERROR(INDEX(PASTE_ALL,$DF784,60)&amp;"","")," "," "),CHAR(9)," "),CHAR(10)," "),CHAR(13)," "))," ␟","␟"),"␟ ","␟"),"#"&amp;$DE784),"")</f>
        <v/>
      </c>
      <c r="DJ784">
        <f>IF($DI784="",0,IF(SUMPRODUCT(--EXACT($DI$4:DI783,$DI784))&gt;0,1,0))</f>
        <v/>
      </c>
      <c r="DK784">
        <f>IF(AND($DI784&lt;&gt;"",$DJ784=0),1,0)</f>
        <v/>
      </c>
      <c r="DL784">
        <f>DL783+$DK784</f>
        <v/>
      </c>
      <c r="DM784">
        <f>IF(AND($DK784=1,$DL784&lt;=600),1,0)</f>
        <v/>
      </c>
      <c r="DN784">
        <f>IF($DM784=0,"",IF($L$6=0,"",IFERROR(IF(ISNUMBER(INDEX(PASTE_ALL,$DF784,$L$6)),INDEX(PASTE_ALL,$DF784,$L$6),TRIM(SUBSTITUTE(SUBSTITUTE(SUBSTITUTE(SUBSTITUTE(INDEX(PASTE_ALL,$DF784,$L$6)," "," "),CHAR(9)," "),CHAR(10)," "),CHAR(13)," "))),"")))</f>
        <v/>
      </c>
      <c r="DO784">
        <f>IF($DM784=0,"",IF($L$7=0,"",IFERROR(IF(ISNUMBER(INDEX(PASTE_ALL,$DF784,$L$7)),INDEX(PASTE_ALL,$DF784,$L$7),TRIM(SUBSTITUTE(SUBSTITUTE(SUBSTITUTE(SUBSTITUTE(INDEX(PASTE_ALL,$DF784,$L$7)," "," "),CHAR(9)," "),CHAR(10)," "),CHAR(13)," "))),"")))</f>
        <v/>
      </c>
      <c r="DP784">
        <f>IF($DM784=0,"",IF($L$8=0,"",IFERROR(IF(ISNUMBER(INDEX(PASTE_ALL,$DF784,$L$8)),INDEX(PASTE_ALL,$DF784,$L$8),TRIM(SUBSTITUTE(SUBSTITUTE(SUBSTITUTE(SUBSTITUTE(INDEX(PASTE_ALL,$DF784,$L$8)," "," "),CHAR(9)," "),CHAR(10)," "),CHAR(13)," "))),"")))</f>
        <v/>
      </c>
      <c r="DQ784">
        <f>IF($DM784=0,"",IF($L$9=0,"",IFERROR(IF(ISNUMBER(INDEX(PASTE_ALL,$DF784,$L$9)),INDEX(PASTE_ALL,$DF784,$L$9),TRIM(SUBSTITUTE(SUBSTITUTE(SUBSTITUTE(SUBSTITUTE(INDEX(PASTE_ALL,$DF784,$L$9)," "," "),CHAR(9)," "),CHAR(10)," "),CHAR(13)," "))),"")))</f>
        <v/>
      </c>
      <c r="DR784">
        <f>IF($DM784=0,"",IF($L$10=0,"",IFERROR(IF(ISNUMBER(INDEX(PASTE_ALL,$DF784,$L$10)),INDEX(PASTE_ALL,$DF784,$L$10),TRIM(SUBSTITUTE(SUBSTITUTE(SUBSTITUTE(SUBSTITUTE(INDEX(PASTE_ALL,$DF784,$L$10)," "," "),CHAR(9)," "),CHAR(10)," "),CHAR(13)," "))),"")))</f>
        <v/>
      </c>
      <c r="DS784">
        <f>IF($DM784=0,"",IF($L$11=0,"",IFERROR(IF(ISNUMBER(INDEX(PASTE_ALL,$DF784,$L$11)),INDEX(PASTE_ALL,$DF784,$L$11),TRIM(SUBSTITUTE(SUBSTITUTE(SUBSTITUTE(SUBSTITUTE(INDEX(PASTE_ALL,$DF784,$L$11)," "," "),CHAR(9)," "),CHAR(10)," "),CHAR(13)," "))),"")))</f>
        <v/>
      </c>
      <c r="DT784">
        <f>IF($DM784=0,"",IF($L$12=0,"",IFERROR(IF(ISNUMBER(INDEX(PASTE_ALL,$DF784,$L$12)),INDEX(PASTE_ALL,$DF784,$L$12),TRIM(SUBSTITUTE(SUBSTITUTE(SUBSTITUTE(SUBSTITUTE(INDEX(PASTE_ALL,$DF784,$L$12)," "," "),CHAR(9)," "),CHAR(10)," "),CHAR(13)," "))),"")))</f>
        <v/>
      </c>
      <c r="DU784">
        <f>IF($DM784=0,"",IF($L$13=0,"",IFERROR(IF(ISNUMBER(INDEX(PASTE_ALL,$DF784,$L$13)),INDEX(PASTE_ALL,$DF784,$L$13),TRIM(SUBSTITUTE(SUBSTITUTE(SUBSTITUTE(SUBSTITUTE(INDEX(PASTE_ALL,$DF784,$L$13)," "," "),CHAR(9)," "),CHAR(10)," "),CHAR(13)," "))),"")))</f>
        <v/>
      </c>
      <c r="DV784">
        <f>IF($DM784=0,"",IF($L$14=0,"",IFERROR(IF(ISNUMBER(INDEX(PASTE_ALL,$DF784,$L$14)),INDEX(PASTE_ALL,$DF784,$L$14),TRIM(SUBSTITUTE(SUBSTITUTE(SUBSTITUTE(SUBSTITUTE(INDEX(PASTE_ALL,$DF784,$L$14)," "," "),CHAR(9)," "),CHAR(10)," "),CHAR(13)," "))),"")))</f>
        <v/>
      </c>
      <c r="DW784">
        <f>IF($DM784=0,"",IF($L$15=0,"",IFERROR(IF(ISNUMBER(INDEX(PASTE_ALL,$DF784,$L$15)),INDEX(PASTE_ALL,$DF784,$L$15),IF(SUMPRODUCT(--ISNUMBER(FIND({"A","B","C","D","E","F","G","H","I","J","K","L","M","N","O","P","Q","R","S","T","U","V","W","X","Y","Z","0","1","2","3","4","5","6","7","8","9"},UPPER(TRIM(SUBSTITUTE(SUBSTITUTE(SUBSTITUTE(SUBSTITUTE(INDEX(PASTE_ALL,$DF784,$L$15)," "," "),CHAR(9)," "),CHAR(10)," "),CHAR(13)," "))))))&gt;0,TRIM(SUBSTITUTE(SUBSTITUTE(SUBSTITUTE(SUBSTITUTE(INDEX(PASTE_ALL,$DF784,$L$15)," "," "),CHAR(9)," "),CHAR(10)," "),CHAR(13)," ")),"")),"")))</f>
        <v/>
      </c>
      <c r="DX784">
        <f>IF($DM784=0,"",IF($L$16=0,"",IFERROR(IF(ISNUMBER(INDEX(PASTE_ALL,$DF784,$L$16)),INDEX(PASTE_ALL,$DF784,$L$16),SUBSTITUTE(SUBSTITUTE(TRIM(SUBSTITUTE(SUBSTITUTE(SUBSTITUTE(SUBSTITUTE(INDEX(PASTE_ALL,$DF784,$L$16)," "," "),CHAR(9)," "),CHAR(10)," "),CHAR(13)," ")),",",""),"%","")),"")))</f>
        <v/>
      </c>
      <c r="DY784">
        <f>IF($DM784=0,"",IFERROR(IF(ISNUMBER($DX784),$DX784,IF($DX784="","",IF(TRIM($DX784)="",0,IF(AND(AND(SUBSTITUTE(SUBSTITUTE(SUBSTITUTE(SUBSTITUTE(SUBSTITUTE(SUBSTITUTE(SUBSTITUTE(SUBSTITUTE(SUBSTITUTE(SUBSTITUTE(SUBSTITUTE(SUBSTITUTE(SUBSTITUTE(SUBSTITUTE(UPPER(TRIM($DX784)),"0",""),"1",""),"2",""),"3",""),"4",""),"5",""),"6",""),"7",""),"8",""),"9",""),".",""),"+",""),"-",""),"E","")="",LEN(SUBSTITUTE(SUBSTITUTE(MID(UPPER(TRIM($DX784)),1+OR(LEFT(UPPER(TRIM($DX784)),1)="+",LEFT(UPPER(TRIM($DX784)),1)="-"),999),"E+","E"),"E-","E"))=LEN(SUBSTITUTE(SUBSTITUTE(SUBSTITUTE(SUBSTITUTE(MID(UPPER(TRIM($DX784)),1+OR(LEFT(UPPER(TRIM($DX784)),1)="+",LEFT(UPPER(TRIM($DX784)),1)="-"),999),"E+","E"),"E-","E"),"+",""),"-","")),LEN(UPPER(TRIM($DX784)))-LEN(SUBSTITUTE(UPPER(TRIM($DX784)),"E",""))&lt;2,LEN(UPPER(TRIM($DX784)))-LEN(SUBSTITUTE(UPPER(TRIM($DX784)),".",""))&lt;2,IFERROR(FIND(".",UPPER(TRIM($DX784))),0)&lt;IFERROR(FIND("E",UPPER(TRIM($DX784))),999)),ISNUMBER(VALUE(TRIM($DX784)))),VALUE(TRIM($DX784)),"")))),""))</f>
        <v/>
      </c>
      <c r="DZ784">
        <f>IF($DM784=0,"",IF($L$17=0,"",IFERROR(IF(ISNUMBER(INDEX(PASTE_ALL,$DF784,$L$17)),INDEX(PASTE_ALL,$DF784,$L$17),SUBSTITUTE(SUBSTITUTE(TRIM(SUBSTITUTE(SUBSTITUTE(SUBSTITUTE(SUBSTITUTE(INDEX(PASTE_ALL,$DF784,$L$17)," "," "),CHAR(9)," "),CHAR(10)," "),CHAR(13)," ")),",",""),"%","")),"")))</f>
        <v/>
      </c>
      <c r="EA784">
        <f>IF($DM784=0,"",IFERROR(IF(ISNUMBER($DZ784),$DZ784,IF($DZ784="","",IF(TRIM($DZ784)="",0,IF(AND(AND(SUBSTITUTE(SUBSTITUTE(SUBSTITUTE(SUBSTITUTE(SUBSTITUTE(SUBSTITUTE(SUBSTITUTE(SUBSTITUTE(SUBSTITUTE(SUBSTITUTE(SUBSTITUTE(SUBSTITUTE(SUBSTITUTE(SUBSTITUTE(UPPER(TRIM($DZ784)),"0",""),"1",""),"2",""),"3",""),"4",""),"5",""),"6",""),"7",""),"8",""),"9",""),".",""),"+",""),"-",""),"E","")="",LEN(SUBSTITUTE(SUBSTITUTE(MID(UPPER(TRIM($DZ784)),1+OR(LEFT(UPPER(TRIM($DZ784)),1)="+",LEFT(UPPER(TRIM($DZ784)),1)="-"),999),"E+","E"),"E-","E"))=LEN(SUBSTITUTE(SUBSTITUTE(SUBSTITUTE(SUBSTITUTE(MID(UPPER(TRIM($DZ784)),1+OR(LEFT(UPPER(TRIM($DZ784)),1)="+",LEFT(UPPER(TRIM($DZ784)),1)="-"),999),"E+","E"),"E-","E"),"+",""),"-","")),LEN(UPPER(TRIM($DZ784)))-LEN(SUBSTITUTE(UPPER(TRIM($DZ784)),"E",""))&lt;2,LEN(UPPER(TRIM($DZ784)))-LEN(SUBSTITUTE(UPPER(TRIM($DZ784)),".",""))&lt;2,IFERROR(FIND(".",UPPER(TRIM($DZ784))),0)&lt;IFERROR(FIND("E",UPPER(TRIM($DZ784))),999)),ISNUMBER(VALUE(TRIM($DZ784)))),VALUE(TRIM($DZ784)),"")))),""))</f>
        <v/>
      </c>
      <c r="EB784">
        <f>IF($DM784=0,"",IF($L$18=0,"",IFERROR(IF(UPPER(TRIM(SUBSTITUTE(SUBSTITUTE(SUBSTITUTE(SUBSTITUTE(INDEX(PASTE_ALL,$DF784,$L$18)," "," "),CHAR(9)," "),CHAR(10)," "),CHAR(13)," ")))="READY","Ready",IF(UPPER(TRIM(SUBSTITUTE(SUBSTITUTE(SUBSTITUTE(SUBSTITUTE(INDEX(PASTE_ALL,$DF784,$L$18)," "," "),CHAR(9)," "),CHAR(10)," "),CHAR(13)," ")))="PM","PM",IF(OR(UPPER(TRIM(SUBSTITUTE(SUBSTITUTE(SUBSTITUTE(SUBSTITUTE(INDEX(PASTE_ALL,$DF784,$L$18)," "," "),CHAR(9)," "),CHAR(10)," "),CHAR(13)," ")))="OT",UPPER(TRIM(SUBSTITUTE(SUBSTITUTE(SUBSTITUTE(SUBSTITUTE(INDEX(PASTE_ALL,$DF784,$L$18)," "," "),CHAR(9)," "),CHAR(10)," "),CHAR(13)," ")))="OVERTIME",UPPER(TRIM(SUBSTITUTE(SUBSTITUTE(SUBSTITUTE(SUBSTITUTE(INDEX(PASTE_ALL,$DF784,$L$18)," "," "),CHAR(9)," "),CHAR(10)," "),CHAR(13)," ")))="TRIAL"),"OT",TRIM(SUBSTITUTE(SUBSTITUTE(SUBSTITUTE(SUBSTITUTE(INDEX(PASTE_ALL,$DF784,$L$18)," "," "),CHAR(9)," "),CHAR(10)," "),CHAR(13)," "))))),"")))</f>
        <v/>
      </c>
      <c r="EC784">
        <f>IF($DM784=0,"",IF($L$19=0,"",IFERROR(IF(ISNUMBER(INDEX(PASTE_ALL,$DF784,$L$19)),INDEX(PASTE_ALL,$DF784,$L$19),TRIM(SUBSTITUTE(SUBSTITUTE(SUBSTITUTE(SUBSTITUTE(INDEX(PASTE_ALL,$DF784,$L$19)," "," "),CHAR(9)," "),CHAR(10)," "),CHAR(13)," "))),"")))</f>
        <v/>
      </c>
      <c r="ED784">
        <f>IF($DM784=0,"",MATCH(1,INDEX(EXACT($DH$5:DH784,$DH784)*$DM$5:DM784,0),0))</f>
        <v/>
      </c>
      <c r="EE784">
        <f>IF($DM784=0,0,IF($ED784=$DE784,1,0))</f>
        <v/>
      </c>
      <c r="EF784">
        <f>EF783+$EE784</f>
        <v/>
      </c>
      <c r="EG784">
        <f>IF($DM784=0,"",INDEX($EF$5:$EF$1003,$ED784))</f>
        <v/>
      </c>
      <c r="EH784">
        <f>IF($DM784=0,"",IF($DO784&lt;&gt;"","",IFERROR(LOOKUP(2,1/(($EG$4:EG783=$EG784)*($DO$4:DO783&lt;&gt;"")),$DO$4:DO783),"")))</f>
        <v/>
      </c>
      <c r="EI784">
        <f>IF($DM784=0,"",IF($DO784&lt;&gt;"",$DO784,$EH784))</f>
        <v/>
      </c>
      <c r="EJ784">
        <f>IF($DM784=0,"",IF($EI784="",0,IF(OR(ISNUMBER($EI784),AND(AND(SUBSTITUTE(SUBSTITUTE(SUBSTITUTE(SUBSTITUTE(SUBSTITUTE(SUBSTITUTE(SUBSTITUTE(SUBSTITUTE(SUBSTITUTE(SUBSTITUTE(SUBSTITUTE(SUBSTITUTE(SUBSTITUTE(SUBSTITUTE(UPPER($EI784),"0",""),"1",""),"2",""),"3",""),"4",""),"5",""),"6",""),"7",""),"8",""),"9",""),".",""),"+",""),"-",""),"E","")="",LEN(SUBSTITUTE(SUBSTITUTE(MID(UPPER($EI784),1+OR(LEFT(UPPER($EI784),1)="+",LEFT(UPPER($EI784),1)="-"),999),"E+","E"),"E-","E"))=LEN(SUBSTITUTE(SUBSTITUTE(SUBSTITUTE(SUBSTITUTE(MID(UPPER($EI784),1+OR(LEFT(UPPER($EI784),1)="+",LEFT(UPPER($EI784),1)="-"),999),"E+","E"),"E-","E"),"+",""),"-","")),LEN(UPPER($EI784))-LEN(SUBSTITUTE(UPPER($EI784),"E",""))&lt;2,LEN(UPPER($EI784))-LEN(SUBSTITUTE(UPPER($EI784),".",""))&lt;2,IFERROR(FIND(".",UPPER($EI784)),0)&lt;IFERROR(FIND("E",UPPER($EI784)),999)),ISNUMBER(VALUE($EI784)))),1,2)))</f>
        <v/>
      </c>
      <c r="EK784">
        <f>IF($DM784=0,"",IF($EJ784=1,IF(ISNUMBER($EI784),$EI784,VALUE($EI784)),IF($EJ784=2,$DE784,0)))</f>
        <v/>
      </c>
      <c r="EL784">
        <f>IF($DM784=0,"",COUNTIF($EG$5:$EG$1003,"&lt;"&amp;$EG784)+SUMPRODUCT(($EG$5:$EG$1003=$EG784)*(($EJ$5:$EJ$1003&lt;$EJ784)+($EJ$5:$EJ$1003=$EJ784)*(($EK$5:$EK$1003&lt;$EK784)+($EK$5:$EK$1003=$EK784)*($DE$5:$DE$1003&lt;$DE784))))+1)</f>
        <v/>
      </c>
      <c r="EM784">
        <f>IF($DM784=0,"",$EL784+$EG784-1)</f>
        <v/>
      </c>
      <c r="EN784">
        <f>IF($DM784=0,0,IFERROR(MATCH(1,INDEX(--(TRIM(SUBSTITUTE(SUBSTITUTE(SUBSTITUTE(SUBSTITUTE(LINES_NAME&amp;""," "," "),CHAR(9)," "),CHAR(10)," "),CHAR(13)," "))=$DH784),0),0),0))</f>
        <v/>
      </c>
      <c r="EO784">
        <f>IF($EN784=0,0,IF(OR(UPPER(TRIM(INDEX(LINES_SCHEDULED,$EN784)&amp;""))="YES",UPPER(TRIM(INDEX(LINES_SCHEDULED,$EN784)&amp;""))="Y",UPPER(TRIM(INDEX(LINES_SCHEDULED,$EN784)&amp;""))="X"),1,0))</f>
        <v/>
      </c>
      <c r="EP784">
        <f>IF($DM784=0,"",IF(COUNTIFS($EG$5:$EG$1003,$EG784,$EB$5:$EB$1003,"Ready")&gt;0,"READY",IF(COUNTIFS($EG$5:$EG$1003,$EG784,$EB$5:$EB$1003,"PM")&gt;0,"PM",IF(COUNTIFS($EG$5:$EG$1003,$EG784,$EB$5:$EB$1003,"OT")&gt;0,"OT",""))))</f>
        <v/>
      </c>
      <c r="EQ784">
        <f>IF($EN784=0,"",UPPER(TRIM(INDEX(LINES_STATUS,$EN784)&amp;"")))</f>
        <v/>
      </c>
      <c r="ER784">
        <f>IF($DM784=0,"",IF(OR($EQ784="READY",$EQ784="PM",$EQ784="OT"),$EQ784,$EP784))</f>
        <v/>
      </c>
      <c r="ES784">
        <f>IF($DM784=0,"",IF(AND($DV784&lt;&gt;"",UPPER($DV784)&lt;&gt;"N"),"allergen",IF(ISNUMBER(SEARCH("oil",$DQ784)),"oil",IF(OR(EXACT($DS784,"A662"),EXACT($DS784,"A624")),"bulk",""))))</f>
        <v/>
      </c>
      <c r="ET784">
        <f>IF($DM784=0,"",IF(OR($EA784="",$EA784=0),"",$EA784/100))</f>
        <v/>
      </c>
      <c r="EU784">
        <f>IF(OR($ET784="",$DY784=""),"",INT($DY784*(1-$ET784)+0.5))</f>
        <v/>
      </c>
    </row>
    <row r="785">
      <c r="DA785" t="n">
        <v>781</v>
      </c>
      <c r="DB785">
        <f>IF($B$37=0,"",IFERROR(TRIM(SUBSTITUTE(SUBSTITUTE(SUBSTITUTE(SUBSTITUTE(INDEX(PASTE_ALL,781,$B$37)," "," "),CHAR(9)," "),CHAR(10)," "),CHAR(13)," ")),""))</f>
        <v/>
      </c>
      <c r="DC785">
        <f>IF(AND(781&gt;HEADER_ROW,UPPER(DB785)="LEGEND"),1,0)</f>
        <v/>
      </c>
      <c r="DE785" t="n">
        <v>781</v>
      </c>
      <c r="DF785">
        <f>HEADER_ROW+$DE785</f>
        <v/>
      </c>
      <c r="DG785">
        <f>IF(AND($DF785&lt;=1000,$DF785&lt;$B$8),1,0)</f>
        <v/>
      </c>
      <c r="DH785">
        <f>IF($DG785=1,IFERROR(INDEX($DB$5:$DB$1004,$DF785),""),"")</f>
        <v/>
      </c>
      <c r="DI785">
        <f>IF(AND($DG785=1,$DH785&lt;&gt;""),IFERROR(SUBSTITUTE(SUBSTITUTE(TRIM(SUBSTITUTE(SUBSTITUTE(SUBSTITUTE(SUBSTITUTE(IFERROR(INDEX(PASTE_ALL,$DF785,1)&amp;"","")&amp;"␟"&amp;IFERROR(INDEX(PASTE_ALL,$DF785,2)&amp;"","")&amp;"␟"&amp;IFERROR(INDEX(PASTE_ALL,$DF785,3)&amp;"","")&amp;"␟"&amp;IFERROR(INDEX(PASTE_ALL,$DF785,4)&amp;"","")&amp;"␟"&amp;IFERROR(INDEX(PASTE_ALL,$DF785,5)&amp;"","")&amp;"␟"&amp;IFERROR(INDEX(PASTE_ALL,$DF785,6)&amp;"","")&amp;"␟"&amp;IFERROR(INDEX(PASTE_ALL,$DF785,7)&amp;"","")&amp;"␟"&amp;IFERROR(INDEX(PASTE_ALL,$DF785,8)&amp;"","")&amp;"␟"&amp;IFERROR(INDEX(PASTE_ALL,$DF785,9)&amp;"","")&amp;"␟"&amp;IFERROR(INDEX(PASTE_ALL,$DF785,10)&amp;"","")&amp;"␟"&amp;IFERROR(INDEX(PASTE_ALL,$DF785,11)&amp;"","")&amp;"␟"&amp;IFERROR(INDEX(PASTE_ALL,$DF785,12)&amp;"","")&amp;"␟"&amp;IFERROR(INDEX(PASTE_ALL,$DF785,13)&amp;"","")&amp;"␟"&amp;IFERROR(INDEX(PASTE_ALL,$DF785,14)&amp;"","")&amp;"␟"&amp;IFERROR(INDEX(PASTE_ALL,$DF785,15)&amp;"","")&amp;"␟"&amp;IFERROR(INDEX(PASTE_ALL,$DF785,16)&amp;"","")&amp;"␟"&amp;IFERROR(INDEX(PASTE_ALL,$DF785,17)&amp;"","")&amp;"␟"&amp;IFERROR(INDEX(PASTE_ALL,$DF785,18)&amp;"","")&amp;"␟"&amp;IFERROR(INDEX(PASTE_ALL,$DF785,19)&amp;"","")&amp;"␟"&amp;IFERROR(INDEX(PASTE_ALL,$DF785,20)&amp;"","")&amp;"␟"&amp;IFERROR(INDEX(PASTE_ALL,$DF785,21)&amp;"","")&amp;"␟"&amp;IFERROR(INDEX(PASTE_ALL,$DF785,22)&amp;"","")&amp;"␟"&amp;IFERROR(INDEX(PASTE_ALL,$DF785,23)&amp;"","")&amp;"␟"&amp;IFERROR(INDEX(PASTE_ALL,$DF785,24)&amp;"","")&amp;"␟"&amp;IFERROR(INDEX(PASTE_ALL,$DF785,25)&amp;"","")&amp;"␟"&amp;IFERROR(INDEX(PASTE_ALL,$DF785,26)&amp;"","")&amp;"␟"&amp;IFERROR(INDEX(PASTE_ALL,$DF785,27)&amp;"","")&amp;"␟"&amp;IFERROR(INDEX(PASTE_ALL,$DF785,28)&amp;"","")&amp;"␟"&amp;IFERROR(INDEX(PASTE_ALL,$DF785,29)&amp;"","")&amp;"␟"&amp;IFERROR(INDEX(PASTE_ALL,$DF785,30)&amp;"","")&amp;"␟"&amp;IFERROR(INDEX(PASTE_ALL,$DF785,31)&amp;"","")&amp;"␟"&amp;IFERROR(INDEX(PASTE_ALL,$DF785,32)&amp;"","")&amp;"␟"&amp;IFERROR(INDEX(PASTE_ALL,$DF785,33)&amp;"","")&amp;"␟"&amp;IFERROR(INDEX(PASTE_ALL,$DF785,34)&amp;"","")&amp;"␟"&amp;IFERROR(INDEX(PASTE_ALL,$DF785,35)&amp;"","")&amp;"␟"&amp;IFERROR(INDEX(PASTE_ALL,$DF785,36)&amp;"","")&amp;"␟"&amp;IFERROR(INDEX(PASTE_ALL,$DF785,37)&amp;"","")&amp;"␟"&amp;IFERROR(INDEX(PASTE_ALL,$DF785,38)&amp;"","")&amp;"␟"&amp;IFERROR(INDEX(PASTE_ALL,$DF785,39)&amp;"","")&amp;"␟"&amp;IFERROR(INDEX(PASTE_ALL,$DF785,40)&amp;"","")&amp;"␟"&amp;IFERROR(INDEX(PASTE_ALL,$DF785,41)&amp;"","")&amp;"␟"&amp;IFERROR(INDEX(PASTE_ALL,$DF785,42)&amp;"","")&amp;"␟"&amp;IFERROR(INDEX(PASTE_ALL,$DF785,43)&amp;"","")&amp;"␟"&amp;IFERROR(INDEX(PASTE_ALL,$DF785,44)&amp;"","")&amp;"␟"&amp;IFERROR(INDEX(PASTE_ALL,$DF785,45)&amp;"","")&amp;"␟"&amp;IFERROR(INDEX(PASTE_ALL,$DF785,46)&amp;"","")&amp;"␟"&amp;IFERROR(INDEX(PASTE_ALL,$DF785,47)&amp;"","")&amp;"␟"&amp;IFERROR(INDEX(PASTE_ALL,$DF785,48)&amp;"","")&amp;"␟"&amp;IFERROR(INDEX(PASTE_ALL,$DF785,49)&amp;"","")&amp;"␟"&amp;IFERROR(INDEX(PASTE_ALL,$DF785,50)&amp;"","")&amp;"␟"&amp;IFERROR(INDEX(PASTE_ALL,$DF785,51)&amp;"","")&amp;"␟"&amp;IFERROR(INDEX(PASTE_ALL,$DF785,52)&amp;"","")&amp;"␟"&amp;IFERROR(INDEX(PASTE_ALL,$DF785,53)&amp;"","")&amp;"␟"&amp;IFERROR(INDEX(PASTE_ALL,$DF785,54)&amp;"","")&amp;"␟"&amp;IFERROR(INDEX(PASTE_ALL,$DF785,55)&amp;"","")&amp;"␟"&amp;IFERROR(INDEX(PASTE_ALL,$DF785,56)&amp;"","")&amp;"␟"&amp;IFERROR(INDEX(PASTE_ALL,$DF785,57)&amp;"","")&amp;"␟"&amp;IFERROR(INDEX(PASTE_ALL,$DF785,58)&amp;"","")&amp;"␟"&amp;IFERROR(INDEX(PASTE_ALL,$DF785,59)&amp;"","")&amp;"␟"&amp;IFERROR(INDEX(PASTE_ALL,$DF785,60)&amp;"","")," "," "),CHAR(9)," "),CHAR(10)," "),CHAR(13)," "))," ␟","␟"),"␟ ","␟"),"#"&amp;$DE785),"")</f>
        <v/>
      </c>
      <c r="DJ785">
        <f>IF($DI785="",0,IF(SUMPRODUCT(--EXACT($DI$4:DI784,$DI785))&gt;0,1,0))</f>
        <v/>
      </c>
      <c r="DK785">
        <f>IF(AND($DI785&lt;&gt;"",$DJ785=0),1,0)</f>
        <v/>
      </c>
      <c r="DL785">
        <f>DL784+$DK785</f>
        <v/>
      </c>
      <c r="DM785">
        <f>IF(AND($DK785=1,$DL785&lt;=600),1,0)</f>
        <v/>
      </c>
      <c r="DN785">
        <f>IF($DM785=0,"",IF($L$6=0,"",IFERROR(IF(ISNUMBER(INDEX(PASTE_ALL,$DF785,$L$6)),INDEX(PASTE_ALL,$DF785,$L$6),TRIM(SUBSTITUTE(SUBSTITUTE(SUBSTITUTE(SUBSTITUTE(INDEX(PASTE_ALL,$DF785,$L$6)," "," "),CHAR(9)," "),CHAR(10)," "),CHAR(13)," "))),"")))</f>
        <v/>
      </c>
      <c r="DO785">
        <f>IF($DM785=0,"",IF($L$7=0,"",IFERROR(IF(ISNUMBER(INDEX(PASTE_ALL,$DF785,$L$7)),INDEX(PASTE_ALL,$DF785,$L$7),TRIM(SUBSTITUTE(SUBSTITUTE(SUBSTITUTE(SUBSTITUTE(INDEX(PASTE_ALL,$DF785,$L$7)," "," "),CHAR(9)," "),CHAR(10)," "),CHAR(13)," "))),"")))</f>
        <v/>
      </c>
      <c r="DP785">
        <f>IF($DM785=0,"",IF($L$8=0,"",IFERROR(IF(ISNUMBER(INDEX(PASTE_ALL,$DF785,$L$8)),INDEX(PASTE_ALL,$DF785,$L$8),TRIM(SUBSTITUTE(SUBSTITUTE(SUBSTITUTE(SUBSTITUTE(INDEX(PASTE_ALL,$DF785,$L$8)," "," "),CHAR(9)," "),CHAR(10)," "),CHAR(13)," "))),"")))</f>
        <v/>
      </c>
      <c r="DQ785">
        <f>IF($DM785=0,"",IF($L$9=0,"",IFERROR(IF(ISNUMBER(INDEX(PASTE_ALL,$DF785,$L$9)),INDEX(PASTE_ALL,$DF785,$L$9),TRIM(SUBSTITUTE(SUBSTITUTE(SUBSTITUTE(SUBSTITUTE(INDEX(PASTE_ALL,$DF785,$L$9)," "," "),CHAR(9)," "),CHAR(10)," "),CHAR(13)," "))),"")))</f>
        <v/>
      </c>
      <c r="DR785">
        <f>IF($DM785=0,"",IF($L$10=0,"",IFERROR(IF(ISNUMBER(INDEX(PASTE_ALL,$DF785,$L$10)),INDEX(PASTE_ALL,$DF785,$L$10),TRIM(SUBSTITUTE(SUBSTITUTE(SUBSTITUTE(SUBSTITUTE(INDEX(PASTE_ALL,$DF785,$L$10)," "," "),CHAR(9)," "),CHAR(10)," "),CHAR(13)," "))),"")))</f>
        <v/>
      </c>
      <c r="DS785">
        <f>IF($DM785=0,"",IF($L$11=0,"",IFERROR(IF(ISNUMBER(INDEX(PASTE_ALL,$DF785,$L$11)),INDEX(PASTE_ALL,$DF785,$L$11),TRIM(SUBSTITUTE(SUBSTITUTE(SUBSTITUTE(SUBSTITUTE(INDEX(PASTE_ALL,$DF785,$L$11)," "," "),CHAR(9)," "),CHAR(10)," "),CHAR(13)," "))),"")))</f>
        <v/>
      </c>
      <c r="DT785">
        <f>IF($DM785=0,"",IF($L$12=0,"",IFERROR(IF(ISNUMBER(INDEX(PASTE_ALL,$DF785,$L$12)),INDEX(PASTE_ALL,$DF785,$L$12),TRIM(SUBSTITUTE(SUBSTITUTE(SUBSTITUTE(SUBSTITUTE(INDEX(PASTE_ALL,$DF785,$L$12)," "," "),CHAR(9)," "),CHAR(10)," "),CHAR(13)," "))),"")))</f>
        <v/>
      </c>
      <c r="DU785">
        <f>IF($DM785=0,"",IF($L$13=0,"",IFERROR(IF(ISNUMBER(INDEX(PASTE_ALL,$DF785,$L$13)),INDEX(PASTE_ALL,$DF785,$L$13),TRIM(SUBSTITUTE(SUBSTITUTE(SUBSTITUTE(SUBSTITUTE(INDEX(PASTE_ALL,$DF785,$L$13)," "," "),CHAR(9)," "),CHAR(10)," "),CHAR(13)," "))),"")))</f>
        <v/>
      </c>
      <c r="DV785">
        <f>IF($DM785=0,"",IF($L$14=0,"",IFERROR(IF(ISNUMBER(INDEX(PASTE_ALL,$DF785,$L$14)),INDEX(PASTE_ALL,$DF785,$L$14),TRIM(SUBSTITUTE(SUBSTITUTE(SUBSTITUTE(SUBSTITUTE(INDEX(PASTE_ALL,$DF785,$L$14)," "," "),CHAR(9)," "),CHAR(10)," "),CHAR(13)," "))),"")))</f>
        <v/>
      </c>
      <c r="DW785">
        <f>IF($DM785=0,"",IF($L$15=0,"",IFERROR(IF(ISNUMBER(INDEX(PASTE_ALL,$DF785,$L$15)),INDEX(PASTE_ALL,$DF785,$L$15),IF(SUMPRODUCT(--ISNUMBER(FIND({"A","B","C","D","E","F","G","H","I","J","K","L","M","N","O","P","Q","R","S","T","U","V","W","X","Y","Z","0","1","2","3","4","5","6","7","8","9"},UPPER(TRIM(SUBSTITUTE(SUBSTITUTE(SUBSTITUTE(SUBSTITUTE(INDEX(PASTE_ALL,$DF785,$L$15)," "," "),CHAR(9)," "),CHAR(10)," "),CHAR(13)," "))))))&gt;0,TRIM(SUBSTITUTE(SUBSTITUTE(SUBSTITUTE(SUBSTITUTE(INDEX(PASTE_ALL,$DF785,$L$15)," "," "),CHAR(9)," "),CHAR(10)," "),CHAR(13)," ")),"")),"")))</f>
        <v/>
      </c>
      <c r="DX785">
        <f>IF($DM785=0,"",IF($L$16=0,"",IFERROR(IF(ISNUMBER(INDEX(PASTE_ALL,$DF785,$L$16)),INDEX(PASTE_ALL,$DF785,$L$16),SUBSTITUTE(SUBSTITUTE(TRIM(SUBSTITUTE(SUBSTITUTE(SUBSTITUTE(SUBSTITUTE(INDEX(PASTE_ALL,$DF785,$L$16)," "," "),CHAR(9)," "),CHAR(10)," "),CHAR(13)," ")),",",""),"%","")),"")))</f>
        <v/>
      </c>
      <c r="DY785">
        <f>IF($DM785=0,"",IFERROR(IF(ISNUMBER($DX785),$DX785,IF($DX785="","",IF(TRIM($DX785)="",0,IF(AND(AND(SUBSTITUTE(SUBSTITUTE(SUBSTITUTE(SUBSTITUTE(SUBSTITUTE(SUBSTITUTE(SUBSTITUTE(SUBSTITUTE(SUBSTITUTE(SUBSTITUTE(SUBSTITUTE(SUBSTITUTE(SUBSTITUTE(SUBSTITUTE(UPPER(TRIM($DX785)),"0",""),"1",""),"2",""),"3",""),"4",""),"5",""),"6",""),"7",""),"8",""),"9",""),".",""),"+",""),"-",""),"E","")="",LEN(SUBSTITUTE(SUBSTITUTE(MID(UPPER(TRIM($DX785)),1+OR(LEFT(UPPER(TRIM($DX785)),1)="+",LEFT(UPPER(TRIM($DX785)),1)="-"),999),"E+","E"),"E-","E"))=LEN(SUBSTITUTE(SUBSTITUTE(SUBSTITUTE(SUBSTITUTE(MID(UPPER(TRIM($DX785)),1+OR(LEFT(UPPER(TRIM($DX785)),1)="+",LEFT(UPPER(TRIM($DX785)),1)="-"),999),"E+","E"),"E-","E"),"+",""),"-","")),LEN(UPPER(TRIM($DX785)))-LEN(SUBSTITUTE(UPPER(TRIM($DX785)),"E",""))&lt;2,LEN(UPPER(TRIM($DX785)))-LEN(SUBSTITUTE(UPPER(TRIM($DX785)),".",""))&lt;2,IFERROR(FIND(".",UPPER(TRIM($DX785))),0)&lt;IFERROR(FIND("E",UPPER(TRIM($DX785))),999)),ISNUMBER(VALUE(TRIM($DX785)))),VALUE(TRIM($DX785)),"")))),""))</f>
        <v/>
      </c>
      <c r="DZ785">
        <f>IF($DM785=0,"",IF($L$17=0,"",IFERROR(IF(ISNUMBER(INDEX(PASTE_ALL,$DF785,$L$17)),INDEX(PASTE_ALL,$DF785,$L$17),SUBSTITUTE(SUBSTITUTE(TRIM(SUBSTITUTE(SUBSTITUTE(SUBSTITUTE(SUBSTITUTE(INDEX(PASTE_ALL,$DF785,$L$17)," "," "),CHAR(9)," "),CHAR(10)," "),CHAR(13)," ")),",",""),"%","")),"")))</f>
        <v/>
      </c>
      <c r="EA785">
        <f>IF($DM785=0,"",IFERROR(IF(ISNUMBER($DZ785),$DZ785,IF($DZ785="","",IF(TRIM($DZ785)="",0,IF(AND(AND(SUBSTITUTE(SUBSTITUTE(SUBSTITUTE(SUBSTITUTE(SUBSTITUTE(SUBSTITUTE(SUBSTITUTE(SUBSTITUTE(SUBSTITUTE(SUBSTITUTE(SUBSTITUTE(SUBSTITUTE(SUBSTITUTE(SUBSTITUTE(UPPER(TRIM($DZ785)),"0",""),"1",""),"2",""),"3",""),"4",""),"5",""),"6",""),"7",""),"8",""),"9",""),".",""),"+",""),"-",""),"E","")="",LEN(SUBSTITUTE(SUBSTITUTE(MID(UPPER(TRIM($DZ785)),1+OR(LEFT(UPPER(TRIM($DZ785)),1)="+",LEFT(UPPER(TRIM($DZ785)),1)="-"),999),"E+","E"),"E-","E"))=LEN(SUBSTITUTE(SUBSTITUTE(SUBSTITUTE(SUBSTITUTE(MID(UPPER(TRIM($DZ785)),1+OR(LEFT(UPPER(TRIM($DZ785)),1)="+",LEFT(UPPER(TRIM($DZ785)),1)="-"),999),"E+","E"),"E-","E"),"+",""),"-","")),LEN(UPPER(TRIM($DZ785)))-LEN(SUBSTITUTE(UPPER(TRIM($DZ785)),"E",""))&lt;2,LEN(UPPER(TRIM($DZ785)))-LEN(SUBSTITUTE(UPPER(TRIM($DZ785)),".",""))&lt;2,IFERROR(FIND(".",UPPER(TRIM($DZ785))),0)&lt;IFERROR(FIND("E",UPPER(TRIM($DZ785))),999)),ISNUMBER(VALUE(TRIM($DZ785)))),VALUE(TRIM($DZ785)),"")))),""))</f>
        <v/>
      </c>
      <c r="EB785">
        <f>IF($DM785=0,"",IF($L$18=0,"",IFERROR(IF(UPPER(TRIM(SUBSTITUTE(SUBSTITUTE(SUBSTITUTE(SUBSTITUTE(INDEX(PASTE_ALL,$DF785,$L$18)," "," "),CHAR(9)," "),CHAR(10)," "),CHAR(13)," ")))="READY","Ready",IF(UPPER(TRIM(SUBSTITUTE(SUBSTITUTE(SUBSTITUTE(SUBSTITUTE(INDEX(PASTE_ALL,$DF785,$L$18)," "," "),CHAR(9)," "),CHAR(10)," "),CHAR(13)," ")))="PM","PM",IF(OR(UPPER(TRIM(SUBSTITUTE(SUBSTITUTE(SUBSTITUTE(SUBSTITUTE(INDEX(PASTE_ALL,$DF785,$L$18)," "," "),CHAR(9)," "),CHAR(10)," "),CHAR(13)," ")))="OT",UPPER(TRIM(SUBSTITUTE(SUBSTITUTE(SUBSTITUTE(SUBSTITUTE(INDEX(PASTE_ALL,$DF785,$L$18)," "," "),CHAR(9)," "),CHAR(10)," "),CHAR(13)," ")))="OVERTIME",UPPER(TRIM(SUBSTITUTE(SUBSTITUTE(SUBSTITUTE(SUBSTITUTE(INDEX(PASTE_ALL,$DF785,$L$18)," "," "),CHAR(9)," "),CHAR(10)," "),CHAR(13)," ")))="TRIAL"),"OT",TRIM(SUBSTITUTE(SUBSTITUTE(SUBSTITUTE(SUBSTITUTE(INDEX(PASTE_ALL,$DF785,$L$18)," "," "),CHAR(9)," "),CHAR(10)," "),CHAR(13)," "))))),"")))</f>
        <v/>
      </c>
      <c r="EC785">
        <f>IF($DM785=0,"",IF($L$19=0,"",IFERROR(IF(ISNUMBER(INDEX(PASTE_ALL,$DF785,$L$19)),INDEX(PASTE_ALL,$DF785,$L$19),TRIM(SUBSTITUTE(SUBSTITUTE(SUBSTITUTE(SUBSTITUTE(INDEX(PASTE_ALL,$DF785,$L$19)," "," "),CHAR(9)," "),CHAR(10)," "),CHAR(13)," "))),"")))</f>
        <v/>
      </c>
      <c r="ED785">
        <f>IF($DM785=0,"",MATCH(1,INDEX(EXACT($DH$5:DH785,$DH785)*$DM$5:DM785,0),0))</f>
        <v/>
      </c>
      <c r="EE785">
        <f>IF($DM785=0,0,IF($ED785=$DE785,1,0))</f>
        <v/>
      </c>
      <c r="EF785">
        <f>EF784+$EE785</f>
        <v/>
      </c>
      <c r="EG785">
        <f>IF($DM785=0,"",INDEX($EF$5:$EF$1003,$ED785))</f>
        <v/>
      </c>
      <c r="EH785">
        <f>IF($DM785=0,"",IF($DO785&lt;&gt;"","",IFERROR(LOOKUP(2,1/(($EG$4:EG784=$EG785)*($DO$4:DO784&lt;&gt;"")),$DO$4:DO784),"")))</f>
        <v/>
      </c>
      <c r="EI785">
        <f>IF($DM785=0,"",IF($DO785&lt;&gt;"",$DO785,$EH785))</f>
        <v/>
      </c>
      <c r="EJ785">
        <f>IF($DM785=0,"",IF($EI785="",0,IF(OR(ISNUMBER($EI785),AND(AND(SUBSTITUTE(SUBSTITUTE(SUBSTITUTE(SUBSTITUTE(SUBSTITUTE(SUBSTITUTE(SUBSTITUTE(SUBSTITUTE(SUBSTITUTE(SUBSTITUTE(SUBSTITUTE(SUBSTITUTE(SUBSTITUTE(SUBSTITUTE(UPPER($EI785),"0",""),"1",""),"2",""),"3",""),"4",""),"5",""),"6",""),"7",""),"8",""),"9",""),".",""),"+",""),"-",""),"E","")="",LEN(SUBSTITUTE(SUBSTITUTE(MID(UPPER($EI785),1+OR(LEFT(UPPER($EI785),1)="+",LEFT(UPPER($EI785),1)="-"),999),"E+","E"),"E-","E"))=LEN(SUBSTITUTE(SUBSTITUTE(SUBSTITUTE(SUBSTITUTE(MID(UPPER($EI785),1+OR(LEFT(UPPER($EI785),1)="+",LEFT(UPPER($EI785),1)="-"),999),"E+","E"),"E-","E"),"+",""),"-","")),LEN(UPPER($EI785))-LEN(SUBSTITUTE(UPPER($EI785),"E",""))&lt;2,LEN(UPPER($EI785))-LEN(SUBSTITUTE(UPPER($EI785),".",""))&lt;2,IFERROR(FIND(".",UPPER($EI785)),0)&lt;IFERROR(FIND("E",UPPER($EI785)),999)),ISNUMBER(VALUE($EI785)))),1,2)))</f>
        <v/>
      </c>
      <c r="EK785">
        <f>IF($DM785=0,"",IF($EJ785=1,IF(ISNUMBER($EI785),$EI785,VALUE($EI785)),IF($EJ785=2,$DE785,0)))</f>
        <v/>
      </c>
      <c r="EL785">
        <f>IF($DM785=0,"",COUNTIF($EG$5:$EG$1003,"&lt;"&amp;$EG785)+SUMPRODUCT(($EG$5:$EG$1003=$EG785)*(($EJ$5:$EJ$1003&lt;$EJ785)+($EJ$5:$EJ$1003=$EJ785)*(($EK$5:$EK$1003&lt;$EK785)+($EK$5:$EK$1003=$EK785)*($DE$5:$DE$1003&lt;$DE785))))+1)</f>
        <v/>
      </c>
      <c r="EM785">
        <f>IF($DM785=0,"",$EL785+$EG785-1)</f>
        <v/>
      </c>
      <c r="EN785">
        <f>IF($DM785=0,0,IFERROR(MATCH(1,INDEX(--(TRIM(SUBSTITUTE(SUBSTITUTE(SUBSTITUTE(SUBSTITUTE(LINES_NAME&amp;""," "," "),CHAR(9)," "),CHAR(10)," "),CHAR(13)," "))=$DH785),0),0),0))</f>
        <v/>
      </c>
      <c r="EO785">
        <f>IF($EN785=0,0,IF(OR(UPPER(TRIM(INDEX(LINES_SCHEDULED,$EN785)&amp;""))="YES",UPPER(TRIM(INDEX(LINES_SCHEDULED,$EN785)&amp;""))="Y",UPPER(TRIM(INDEX(LINES_SCHEDULED,$EN785)&amp;""))="X"),1,0))</f>
        <v/>
      </c>
      <c r="EP785">
        <f>IF($DM785=0,"",IF(COUNTIFS($EG$5:$EG$1003,$EG785,$EB$5:$EB$1003,"Ready")&gt;0,"READY",IF(COUNTIFS($EG$5:$EG$1003,$EG785,$EB$5:$EB$1003,"PM")&gt;0,"PM",IF(COUNTIFS($EG$5:$EG$1003,$EG785,$EB$5:$EB$1003,"OT")&gt;0,"OT",""))))</f>
        <v/>
      </c>
      <c r="EQ785">
        <f>IF($EN785=0,"",UPPER(TRIM(INDEX(LINES_STATUS,$EN785)&amp;"")))</f>
        <v/>
      </c>
      <c r="ER785">
        <f>IF($DM785=0,"",IF(OR($EQ785="READY",$EQ785="PM",$EQ785="OT"),$EQ785,$EP785))</f>
        <v/>
      </c>
      <c r="ES785">
        <f>IF($DM785=0,"",IF(AND($DV785&lt;&gt;"",UPPER($DV785)&lt;&gt;"N"),"allergen",IF(ISNUMBER(SEARCH("oil",$DQ785)),"oil",IF(OR(EXACT($DS785,"A662"),EXACT($DS785,"A624")),"bulk",""))))</f>
        <v/>
      </c>
      <c r="ET785">
        <f>IF($DM785=0,"",IF(OR($EA785="",$EA785=0),"",$EA785/100))</f>
        <v/>
      </c>
      <c r="EU785">
        <f>IF(OR($ET785="",$DY785=""),"",INT($DY785*(1-$ET785)+0.5))</f>
        <v/>
      </c>
    </row>
    <row r="786">
      <c r="DA786" t="n">
        <v>782</v>
      </c>
      <c r="DB786">
        <f>IF($B$37=0,"",IFERROR(TRIM(SUBSTITUTE(SUBSTITUTE(SUBSTITUTE(SUBSTITUTE(INDEX(PASTE_ALL,782,$B$37)," "," "),CHAR(9)," "),CHAR(10)," "),CHAR(13)," ")),""))</f>
        <v/>
      </c>
      <c r="DC786">
        <f>IF(AND(782&gt;HEADER_ROW,UPPER(DB786)="LEGEND"),1,0)</f>
        <v/>
      </c>
      <c r="DE786" t="n">
        <v>782</v>
      </c>
      <c r="DF786">
        <f>HEADER_ROW+$DE786</f>
        <v/>
      </c>
      <c r="DG786">
        <f>IF(AND($DF786&lt;=1000,$DF786&lt;$B$8),1,0)</f>
        <v/>
      </c>
      <c r="DH786">
        <f>IF($DG786=1,IFERROR(INDEX($DB$5:$DB$1004,$DF786),""),"")</f>
        <v/>
      </c>
      <c r="DI786">
        <f>IF(AND($DG786=1,$DH786&lt;&gt;""),IFERROR(SUBSTITUTE(SUBSTITUTE(TRIM(SUBSTITUTE(SUBSTITUTE(SUBSTITUTE(SUBSTITUTE(IFERROR(INDEX(PASTE_ALL,$DF786,1)&amp;"","")&amp;"␟"&amp;IFERROR(INDEX(PASTE_ALL,$DF786,2)&amp;"","")&amp;"␟"&amp;IFERROR(INDEX(PASTE_ALL,$DF786,3)&amp;"","")&amp;"␟"&amp;IFERROR(INDEX(PASTE_ALL,$DF786,4)&amp;"","")&amp;"␟"&amp;IFERROR(INDEX(PASTE_ALL,$DF786,5)&amp;"","")&amp;"␟"&amp;IFERROR(INDEX(PASTE_ALL,$DF786,6)&amp;"","")&amp;"␟"&amp;IFERROR(INDEX(PASTE_ALL,$DF786,7)&amp;"","")&amp;"␟"&amp;IFERROR(INDEX(PASTE_ALL,$DF786,8)&amp;"","")&amp;"␟"&amp;IFERROR(INDEX(PASTE_ALL,$DF786,9)&amp;"","")&amp;"␟"&amp;IFERROR(INDEX(PASTE_ALL,$DF786,10)&amp;"","")&amp;"␟"&amp;IFERROR(INDEX(PASTE_ALL,$DF786,11)&amp;"","")&amp;"␟"&amp;IFERROR(INDEX(PASTE_ALL,$DF786,12)&amp;"","")&amp;"␟"&amp;IFERROR(INDEX(PASTE_ALL,$DF786,13)&amp;"","")&amp;"␟"&amp;IFERROR(INDEX(PASTE_ALL,$DF786,14)&amp;"","")&amp;"␟"&amp;IFERROR(INDEX(PASTE_ALL,$DF786,15)&amp;"","")&amp;"␟"&amp;IFERROR(INDEX(PASTE_ALL,$DF786,16)&amp;"","")&amp;"␟"&amp;IFERROR(INDEX(PASTE_ALL,$DF786,17)&amp;"","")&amp;"␟"&amp;IFERROR(INDEX(PASTE_ALL,$DF786,18)&amp;"","")&amp;"␟"&amp;IFERROR(INDEX(PASTE_ALL,$DF786,19)&amp;"","")&amp;"␟"&amp;IFERROR(INDEX(PASTE_ALL,$DF786,20)&amp;"","")&amp;"␟"&amp;IFERROR(INDEX(PASTE_ALL,$DF786,21)&amp;"","")&amp;"␟"&amp;IFERROR(INDEX(PASTE_ALL,$DF786,22)&amp;"","")&amp;"␟"&amp;IFERROR(INDEX(PASTE_ALL,$DF786,23)&amp;"","")&amp;"␟"&amp;IFERROR(INDEX(PASTE_ALL,$DF786,24)&amp;"","")&amp;"␟"&amp;IFERROR(INDEX(PASTE_ALL,$DF786,25)&amp;"","")&amp;"␟"&amp;IFERROR(INDEX(PASTE_ALL,$DF786,26)&amp;"","")&amp;"␟"&amp;IFERROR(INDEX(PASTE_ALL,$DF786,27)&amp;"","")&amp;"␟"&amp;IFERROR(INDEX(PASTE_ALL,$DF786,28)&amp;"","")&amp;"␟"&amp;IFERROR(INDEX(PASTE_ALL,$DF786,29)&amp;"","")&amp;"␟"&amp;IFERROR(INDEX(PASTE_ALL,$DF786,30)&amp;"","")&amp;"␟"&amp;IFERROR(INDEX(PASTE_ALL,$DF786,31)&amp;"","")&amp;"␟"&amp;IFERROR(INDEX(PASTE_ALL,$DF786,32)&amp;"","")&amp;"␟"&amp;IFERROR(INDEX(PASTE_ALL,$DF786,33)&amp;"","")&amp;"␟"&amp;IFERROR(INDEX(PASTE_ALL,$DF786,34)&amp;"","")&amp;"␟"&amp;IFERROR(INDEX(PASTE_ALL,$DF786,35)&amp;"","")&amp;"␟"&amp;IFERROR(INDEX(PASTE_ALL,$DF786,36)&amp;"","")&amp;"␟"&amp;IFERROR(INDEX(PASTE_ALL,$DF786,37)&amp;"","")&amp;"␟"&amp;IFERROR(INDEX(PASTE_ALL,$DF786,38)&amp;"","")&amp;"␟"&amp;IFERROR(INDEX(PASTE_ALL,$DF786,39)&amp;"","")&amp;"␟"&amp;IFERROR(INDEX(PASTE_ALL,$DF786,40)&amp;"","")&amp;"␟"&amp;IFERROR(INDEX(PASTE_ALL,$DF786,41)&amp;"","")&amp;"␟"&amp;IFERROR(INDEX(PASTE_ALL,$DF786,42)&amp;"","")&amp;"␟"&amp;IFERROR(INDEX(PASTE_ALL,$DF786,43)&amp;"","")&amp;"␟"&amp;IFERROR(INDEX(PASTE_ALL,$DF786,44)&amp;"","")&amp;"␟"&amp;IFERROR(INDEX(PASTE_ALL,$DF786,45)&amp;"","")&amp;"␟"&amp;IFERROR(INDEX(PASTE_ALL,$DF786,46)&amp;"","")&amp;"␟"&amp;IFERROR(INDEX(PASTE_ALL,$DF786,47)&amp;"","")&amp;"␟"&amp;IFERROR(INDEX(PASTE_ALL,$DF786,48)&amp;"","")&amp;"␟"&amp;IFERROR(INDEX(PASTE_ALL,$DF786,49)&amp;"","")&amp;"␟"&amp;IFERROR(INDEX(PASTE_ALL,$DF786,50)&amp;"","")&amp;"␟"&amp;IFERROR(INDEX(PASTE_ALL,$DF786,51)&amp;"","")&amp;"␟"&amp;IFERROR(INDEX(PASTE_ALL,$DF786,52)&amp;"","")&amp;"␟"&amp;IFERROR(INDEX(PASTE_ALL,$DF786,53)&amp;"","")&amp;"␟"&amp;IFERROR(INDEX(PASTE_ALL,$DF786,54)&amp;"","")&amp;"␟"&amp;IFERROR(INDEX(PASTE_ALL,$DF786,55)&amp;"","")&amp;"␟"&amp;IFERROR(INDEX(PASTE_ALL,$DF786,56)&amp;"","")&amp;"␟"&amp;IFERROR(INDEX(PASTE_ALL,$DF786,57)&amp;"","")&amp;"␟"&amp;IFERROR(INDEX(PASTE_ALL,$DF786,58)&amp;"","")&amp;"␟"&amp;IFERROR(INDEX(PASTE_ALL,$DF786,59)&amp;"","")&amp;"␟"&amp;IFERROR(INDEX(PASTE_ALL,$DF786,60)&amp;"","")," "," "),CHAR(9)," "),CHAR(10)," "),CHAR(13)," "))," ␟","␟"),"␟ ","␟"),"#"&amp;$DE786),"")</f>
        <v/>
      </c>
      <c r="DJ786">
        <f>IF($DI786="",0,IF(SUMPRODUCT(--EXACT($DI$4:DI785,$DI786))&gt;0,1,0))</f>
        <v/>
      </c>
      <c r="DK786">
        <f>IF(AND($DI786&lt;&gt;"",$DJ786=0),1,0)</f>
        <v/>
      </c>
      <c r="DL786">
        <f>DL785+$DK786</f>
        <v/>
      </c>
      <c r="DM786">
        <f>IF(AND($DK786=1,$DL786&lt;=600),1,0)</f>
        <v/>
      </c>
      <c r="DN786">
        <f>IF($DM786=0,"",IF($L$6=0,"",IFERROR(IF(ISNUMBER(INDEX(PASTE_ALL,$DF786,$L$6)),INDEX(PASTE_ALL,$DF786,$L$6),TRIM(SUBSTITUTE(SUBSTITUTE(SUBSTITUTE(SUBSTITUTE(INDEX(PASTE_ALL,$DF786,$L$6)," "," "),CHAR(9)," "),CHAR(10)," "),CHAR(13)," "))),"")))</f>
        <v/>
      </c>
      <c r="DO786">
        <f>IF($DM786=0,"",IF($L$7=0,"",IFERROR(IF(ISNUMBER(INDEX(PASTE_ALL,$DF786,$L$7)),INDEX(PASTE_ALL,$DF786,$L$7),TRIM(SUBSTITUTE(SUBSTITUTE(SUBSTITUTE(SUBSTITUTE(INDEX(PASTE_ALL,$DF786,$L$7)," "," "),CHAR(9)," "),CHAR(10)," "),CHAR(13)," "))),"")))</f>
        <v/>
      </c>
      <c r="DP786">
        <f>IF($DM786=0,"",IF($L$8=0,"",IFERROR(IF(ISNUMBER(INDEX(PASTE_ALL,$DF786,$L$8)),INDEX(PASTE_ALL,$DF786,$L$8),TRIM(SUBSTITUTE(SUBSTITUTE(SUBSTITUTE(SUBSTITUTE(INDEX(PASTE_ALL,$DF786,$L$8)," "," "),CHAR(9)," "),CHAR(10)," "),CHAR(13)," "))),"")))</f>
        <v/>
      </c>
      <c r="DQ786">
        <f>IF($DM786=0,"",IF($L$9=0,"",IFERROR(IF(ISNUMBER(INDEX(PASTE_ALL,$DF786,$L$9)),INDEX(PASTE_ALL,$DF786,$L$9),TRIM(SUBSTITUTE(SUBSTITUTE(SUBSTITUTE(SUBSTITUTE(INDEX(PASTE_ALL,$DF786,$L$9)," "," "),CHAR(9)," "),CHAR(10)," "),CHAR(13)," "))),"")))</f>
        <v/>
      </c>
      <c r="DR786">
        <f>IF($DM786=0,"",IF($L$10=0,"",IFERROR(IF(ISNUMBER(INDEX(PASTE_ALL,$DF786,$L$10)),INDEX(PASTE_ALL,$DF786,$L$10),TRIM(SUBSTITUTE(SUBSTITUTE(SUBSTITUTE(SUBSTITUTE(INDEX(PASTE_ALL,$DF786,$L$10)," "," "),CHAR(9)," "),CHAR(10)," "),CHAR(13)," "))),"")))</f>
        <v/>
      </c>
      <c r="DS786">
        <f>IF($DM786=0,"",IF($L$11=0,"",IFERROR(IF(ISNUMBER(INDEX(PASTE_ALL,$DF786,$L$11)),INDEX(PASTE_ALL,$DF786,$L$11),TRIM(SUBSTITUTE(SUBSTITUTE(SUBSTITUTE(SUBSTITUTE(INDEX(PASTE_ALL,$DF786,$L$11)," "," "),CHAR(9)," "),CHAR(10)," "),CHAR(13)," "))),"")))</f>
        <v/>
      </c>
      <c r="DT786">
        <f>IF($DM786=0,"",IF($L$12=0,"",IFERROR(IF(ISNUMBER(INDEX(PASTE_ALL,$DF786,$L$12)),INDEX(PASTE_ALL,$DF786,$L$12),TRIM(SUBSTITUTE(SUBSTITUTE(SUBSTITUTE(SUBSTITUTE(INDEX(PASTE_ALL,$DF786,$L$12)," "," "),CHAR(9)," "),CHAR(10)," "),CHAR(13)," "))),"")))</f>
        <v/>
      </c>
      <c r="DU786">
        <f>IF($DM786=0,"",IF($L$13=0,"",IFERROR(IF(ISNUMBER(INDEX(PASTE_ALL,$DF786,$L$13)),INDEX(PASTE_ALL,$DF786,$L$13),TRIM(SUBSTITUTE(SUBSTITUTE(SUBSTITUTE(SUBSTITUTE(INDEX(PASTE_ALL,$DF786,$L$13)," "," "),CHAR(9)," "),CHAR(10)," "),CHAR(13)," "))),"")))</f>
        <v/>
      </c>
      <c r="DV786">
        <f>IF($DM786=0,"",IF($L$14=0,"",IFERROR(IF(ISNUMBER(INDEX(PASTE_ALL,$DF786,$L$14)),INDEX(PASTE_ALL,$DF786,$L$14),TRIM(SUBSTITUTE(SUBSTITUTE(SUBSTITUTE(SUBSTITUTE(INDEX(PASTE_ALL,$DF786,$L$14)," "," "),CHAR(9)," "),CHAR(10)," "),CHAR(13)," "))),"")))</f>
        <v/>
      </c>
      <c r="DW786">
        <f>IF($DM786=0,"",IF($L$15=0,"",IFERROR(IF(ISNUMBER(INDEX(PASTE_ALL,$DF786,$L$15)),INDEX(PASTE_ALL,$DF786,$L$15),IF(SUMPRODUCT(--ISNUMBER(FIND({"A","B","C","D","E","F","G","H","I","J","K","L","M","N","O","P","Q","R","S","T","U","V","W","X","Y","Z","0","1","2","3","4","5","6","7","8","9"},UPPER(TRIM(SUBSTITUTE(SUBSTITUTE(SUBSTITUTE(SUBSTITUTE(INDEX(PASTE_ALL,$DF786,$L$15)," "," "),CHAR(9)," "),CHAR(10)," "),CHAR(13)," "))))))&gt;0,TRIM(SUBSTITUTE(SUBSTITUTE(SUBSTITUTE(SUBSTITUTE(INDEX(PASTE_ALL,$DF786,$L$15)," "," "),CHAR(9)," "),CHAR(10)," "),CHAR(13)," ")),"")),"")))</f>
        <v/>
      </c>
      <c r="DX786">
        <f>IF($DM786=0,"",IF($L$16=0,"",IFERROR(IF(ISNUMBER(INDEX(PASTE_ALL,$DF786,$L$16)),INDEX(PASTE_ALL,$DF786,$L$16),SUBSTITUTE(SUBSTITUTE(TRIM(SUBSTITUTE(SUBSTITUTE(SUBSTITUTE(SUBSTITUTE(INDEX(PASTE_ALL,$DF786,$L$16)," "," "),CHAR(9)," "),CHAR(10)," "),CHAR(13)," ")),",",""),"%","")),"")))</f>
        <v/>
      </c>
      <c r="DY786">
        <f>IF($DM786=0,"",IFERROR(IF(ISNUMBER($DX786),$DX786,IF($DX786="","",IF(TRIM($DX786)="",0,IF(AND(AND(SUBSTITUTE(SUBSTITUTE(SUBSTITUTE(SUBSTITUTE(SUBSTITUTE(SUBSTITUTE(SUBSTITUTE(SUBSTITUTE(SUBSTITUTE(SUBSTITUTE(SUBSTITUTE(SUBSTITUTE(SUBSTITUTE(SUBSTITUTE(UPPER(TRIM($DX786)),"0",""),"1",""),"2",""),"3",""),"4",""),"5",""),"6",""),"7",""),"8",""),"9",""),".",""),"+",""),"-",""),"E","")="",LEN(SUBSTITUTE(SUBSTITUTE(MID(UPPER(TRIM($DX786)),1+OR(LEFT(UPPER(TRIM($DX786)),1)="+",LEFT(UPPER(TRIM($DX786)),1)="-"),999),"E+","E"),"E-","E"))=LEN(SUBSTITUTE(SUBSTITUTE(SUBSTITUTE(SUBSTITUTE(MID(UPPER(TRIM($DX786)),1+OR(LEFT(UPPER(TRIM($DX786)),1)="+",LEFT(UPPER(TRIM($DX786)),1)="-"),999),"E+","E"),"E-","E"),"+",""),"-","")),LEN(UPPER(TRIM($DX786)))-LEN(SUBSTITUTE(UPPER(TRIM($DX786)),"E",""))&lt;2,LEN(UPPER(TRIM($DX786)))-LEN(SUBSTITUTE(UPPER(TRIM($DX786)),".",""))&lt;2,IFERROR(FIND(".",UPPER(TRIM($DX786))),0)&lt;IFERROR(FIND("E",UPPER(TRIM($DX786))),999)),ISNUMBER(VALUE(TRIM($DX786)))),VALUE(TRIM($DX786)),"")))),""))</f>
        <v/>
      </c>
      <c r="DZ786">
        <f>IF($DM786=0,"",IF($L$17=0,"",IFERROR(IF(ISNUMBER(INDEX(PASTE_ALL,$DF786,$L$17)),INDEX(PASTE_ALL,$DF786,$L$17),SUBSTITUTE(SUBSTITUTE(TRIM(SUBSTITUTE(SUBSTITUTE(SUBSTITUTE(SUBSTITUTE(INDEX(PASTE_ALL,$DF786,$L$17)," "," "),CHAR(9)," "),CHAR(10)," "),CHAR(13)," ")),",",""),"%","")),"")))</f>
        <v/>
      </c>
      <c r="EA786">
        <f>IF($DM786=0,"",IFERROR(IF(ISNUMBER($DZ786),$DZ786,IF($DZ786="","",IF(TRIM($DZ786)="",0,IF(AND(AND(SUBSTITUTE(SUBSTITUTE(SUBSTITUTE(SUBSTITUTE(SUBSTITUTE(SUBSTITUTE(SUBSTITUTE(SUBSTITUTE(SUBSTITUTE(SUBSTITUTE(SUBSTITUTE(SUBSTITUTE(SUBSTITUTE(SUBSTITUTE(UPPER(TRIM($DZ786)),"0",""),"1",""),"2",""),"3",""),"4",""),"5",""),"6",""),"7",""),"8",""),"9",""),".",""),"+",""),"-",""),"E","")="",LEN(SUBSTITUTE(SUBSTITUTE(MID(UPPER(TRIM($DZ786)),1+OR(LEFT(UPPER(TRIM($DZ786)),1)="+",LEFT(UPPER(TRIM($DZ786)),1)="-"),999),"E+","E"),"E-","E"))=LEN(SUBSTITUTE(SUBSTITUTE(SUBSTITUTE(SUBSTITUTE(MID(UPPER(TRIM($DZ786)),1+OR(LEFT(UPPER(TRIM($DZ786)),1)="+",LEFT(UPPER(TRIM($DZ786)),1)="-"),999),"E+","E"),"E-","E"),"+",""),"-","")),LEN(UPPER(TRIM($DZ786)))-LEN(SUBSTITUTE(UPPER(TRIM($DZ786)),"E",""))&lt;2,LEN(UPPER(TRIM($DZ786)))-LEN(SUBSTITUTE(UPPER(TRIM($DZ786)),".",""))&lt;2,IFERROR(FIND(".",UPPER(TRIM($DZ786))),0)&lt;IFERROR(FIND("E",UPPER(TRIM($DZ786))),999)),ISNUMBER(VALUE(TRIM($DZ786)))),VALUE(TRIM($DZ786)),"")))),""))</f>
        <v/>
      </c>
      <c r="EB786">
        <f>IF($DM786=0,"",IF($L$18=0,"",IFERROR(IF(UPPER(TRIM(SUBSTITUTE(SUBSTITUTE(SUBSTITUTE(SUBSTITUTE(INDEX(PASTE_ALL,$DF786,$L$18)," "," "),CHAR(9)," "),CHAR(10)," "),CHAR(13)," ")))="READY","Ready",IF(UPPER(TRIM(SUBSTITUTE(SUBSTITUTE(SUBSTITUTE(SUBSTITUTE(INDEX(PASTE_ALL,$DF786,$L$18)," "," "),CHAR(9)," "),CHAR(10)," "),CHAR(13)," ")))="PM","PM",IF(OR(UPPER(TRIM(SUBSTITUTE(SUBSTITUTE(SUBSTITUTE(SUBSTITUTE(INDEX(PASTE_ALL,$DF786,$L$18)," "," "),CHAR(9)," "),CHAR(10)," "),CHAR(13)," ")))="OT",UPPER(TRIM(SUBSTITUTE(SUBSTITUTE(SUBSTITUTE(SUBSTITUTE(INDEX(PASTE_ALL,$DF786,$L$18)," "," "),CHAR(9)," "),CHAR(10)," "),CHAR(13)," ")))="OVERTIME",UPPER(TRIM(SUBSTITUTE(SUBSTITUTE(SUBSTITUTE(SUBSTITUTE(INDEX(PASTE_ALL,$DF786,$L$18)," "," "),CHAR(9)," "),CHAR(10)," "),CHAR(13)," ")))="TRIAL"),"OT",TRIM(SUBSTITUTE(SUBSTITUTE(SUBSTITUTE(SUBSTITUTE(INDEX(PASTE_ALL,$DF786,$L$18)," "," "),CHAR(9)," "),CHAR(10)," "),CHAR(13)," "))))),"")))</f>
        <v/>
      </c>
      <c r="EC786">
        <f>IF($DM786=0,"",IF($L$19=0,"",IFERROR(IF(ISNUMBER(INDEX(PASTE_ALL,$DF786,$L$19)),INDEX(PASTE_ALL,$DF786,$L$19),TRIM(SUBSTITUTE(SUBSTITUTE(SUBSTITUTE(SUBSTITUTE(INDEX(PASTE_ALL,$DF786,$L$19)," "," "),CHAR(9)," "),CHAR(10)," "),CHAR(13)," "))),"")))</f>
        <v/>
      </c>
      <c r="ED786">
        <f>IF($DM786=0,"",MATCH(1,INDEX(EXACT($DH$5:DH786,$DH786)*$DM$5:DM786,0),0))</f>
        <v/>
      </c>
      <c r="EE786">
        <f>IF($DM786=0,0,IF($ED786=$DE786,1,0))</f>
        <v/>
      </c>
      <c r="EF786">
        <f>EF785+$EE786</f>
        <v/>
      </c>
      <c r="EG786">
        <f>IF($DM786=0,"",INDEX($EF$5:$EF$1003,$ED786))</f>
        <v/>
      </c>
      <c r="EH786">
        <f>IF($DM786=0,"",IF($DO786&lt;&gt;"","",IFERROR(LOOKUP(2,1/(($EG$4:EG785=$EG786)*($DO$4:DO785&lt;&gt;"")),$DO$4:DO785),"")))</f>
        <v/>
      </c>
      <c r="EI786">
        <f>IF($DM786=0,"",IF($DO786&lt;&gt;"",$DO786,$EH786))</f>
        <v/>
      </c>
      <c r="EJ786">
        <f>IF($DM786=0,"",IF($EI786="",0,IF(OR(ISNUMBER($EI786),AND(AND(SUBSTITUTE(SUBSTITUTE(SUBSTITUTE(SUBSTITUTE(SUBSTITUTE(SUBSTITUTE(SUBSTITUTE(SUBSTITUTE(SUBSTITUTE(SUBSTITUTE(SUBSTITUTE(SUBSTITUTE(SUBSTITUTE(SUBSTITUTE(UPPER($EI786),"0",""),"1",""),"2",""),"3",""),"4",""),"5",""),"6",""),"7",""),"8",""),"9",""),".",""),"+",""),"-",""),"E","")="",LEN(SUBSTITUTE(SUBSTITUTE(MID(UPPER($EI786),1+OR(LEFT(UPPER($EI786),1)="+",LEFT(UPPER($EI786),1)="-"),999),"E+","E"),"E-","E"))=LEN(SUBSTITUTE(SUBSTITUTE(SUBSTITUTE(SUBSTITUTE(MID(UPPER($EI786),1+OR(LEFT(UPPER($EI786),1)="+",LEFT(UPPER($EI786),1)="-"),999),"E+","E"),"E-","E"),"+",""),"-","")),LEN(UPPER($EI786))-LEN(SUBSTITUTE(UPPER($EI786),"E",""))&lt;2,LEN(UPPER($EI786))-LEN(SUBSTITUTE(UPPER($EI786),".",""))&lt;2,IFERROR(FIND(".",UPPER($EI786)),0)&lt;IFERROR(FIND("E",UPPER($EI786)),999)),ISNUMBER(VALUE($EI786)))),1,2)))</f>
        <v/>
      </c>
      <c r="EK786">
        <f>IF($DM786=0,"",IF($EJ786=1,IF(ISNUMBER($EI786),$EI786,VALUE($EI786)),IF($EJ786=2,$DE786,0)))</f>
        <v/>
      </c>
      <c r="EL786">
        <f>IF($DM786=0,"",COUNTIF($EG$5:$EG$1003,"&lt;"&amp;$EG786)+SUMPRODUCT(($EG$5:$EG$1003=$EG786)*(($EJ$5:$EJ$1003&lt;$EJ786)+($EJ$5:$EJ$1003=$EJ786)*(($EK$5:$EK$1003&lt;$EK786)+($EK$5:$EK$1003=$EK786)*($DE$5:$DE$1003&lt;$DE786))))+1)</f>
        <v/>
      </c>
      <c r="EM786">
        <f>IF($DM786=0,"",$EL786+$EG786-1)</f>
        <v/>
      </c>
      <c r="EN786">
        <f>IF($DM786=0,0,IFERROR(MATCH(1,INDEX(--(TRIM(SUBSTITUTE(SUBSTITUTE(SUBSTITUTE(SUBSTITUTE(LINES_NAME&amp;""," "," "),CHAR(9)," "),CHAR(10)," "),CHAR(13)," "))=$DH786),0),0),0))</f>
        <v/>
      </c>
      <c r="EO786">
        <f>IF($EN786=0,0,IF(OR(UPPER(TRIM(INDEX(LINES_SCHEDULED,$EN786)&amp;""))="YES",UPPER(TRIM(INDEX(LINES_SCHEDULED,$EN786)&amp;""))="Y",UPPER(TRIM(INDEX(LINES_SCHEDULED,$EN786)&amp;""))="X"),1,0))</f>
        <v/>
      </c>
      <c r="EP786">
        <f>IF($DM786=0,"",IF(COUNTIFS($EG$5:$EG$1003,$EG786,$EB$5:$EB$1003,"Ready")&gt;0,"READY",IF(COUNTIFS($EG$5:$EG$1003,$EG786,$EB$5:$EB$1003,"PM")&gt;0,"PM",IF(COUNTIFS($EG$5:$EG$1003,$EG786,$EB$5:$EB$1003,"OT")&gt;0,"OT",""))))</f>
        <v/>
      </c>
      <c r="EQ786">
        <f>IF($EN786=0,"",UPPER(TRIM(INDEX(LINES_STATUS,$EN786)&amp;"")))</f>
        <v/>
      </c>
      <c r="ER786">
        <f>IF($DM786=0,"",IF(OR($EQ786="READY",$EQ786="PM",$EQ786="OT"),$EQ786,$EP786))</f>
        <v/>
      </c>
      <c r="ES786">
        <f>IF($DM786=0,"",IF(AND($DV786&lt;&gt;"",UPPER($DV786)&lt;&gt;"N"),"allergen",IF(ISNUMBER(SEARCH("oil",$DQ786)),"oil",IF(OR(EXACT($DS786,"A662"),EXACT($DS786,"A624")),"bulk",""))))</f>
        <v/>
      </c>
      <c r="ET786">
        <f>IF($DM786=0,"",IF(OR($EA786="",$EA786=0),"",$EA786/100))</f>
        <v/>
      </c>
      <c r="EU786">
        <f>IF(OR($ET786="",$DY786=""),"",INT($DY786*(1-$ET786)+0.5))</f>
        <v/>
      </c>
    </row>
    <row r="787">
      <c r="DA787" t="n">
        <v>783</v>
      </c>
      <c r="DB787">
        <f>IF($B$37=0,"",IFERROR(TRIM(SUBSTITUTE(SUBSTITUTE(SUBSTITUTE(SUBSTITUTE(INDEX(PASTE_ALL,783,$B$37)," "," "),CHAR(9)," "),CHAR(10)," "),CHAR(13)," ")),""))</f>
        <v/>
      </c>
      <c r="DC787">
        <f>IF(AND(783&gt;HEADER_ROW,UPPER(DB787)="LEGEND"),1,0)</f>
        <v/>
      </c>
      <c r="DE787" t="n">
        <v>783</v>
      </c>
      <c r="DF787">
        <f>HEADER_ROW+$DE787</f>
        <v/>
      </c>
      <c r="DG787">
        <f>IF(AND($DF787&lt;=1000,$DF787&lt;$B$8),1,0)</f>
        <v/>
      </c>
      <c r="DH787">
        <f>IF($DG787=1,IFERROR(INDEX($DB$5:$DB$1004,$DF787),""),"")</f>
        <v/>
      </c>
      <c r="DI787">
        <f>IF(AND($DG787=1,$DH787&lt;&gt;""),IFERROR(SUBSTITUTE(SUBSTITUTE(TRIM(SUBSTITUTE(SUBSTITUTE(SUBSTITUTE(SUBSTITUTE(IFERROR(INDEX(PASTE_ALL,$DF787,1)&amp;"","")&amp;"␟"&amp;IFERROR(INDEX(PASTE_ALL,$DF787,2)&amp;"","")&amp;"␟"&amp;IFERROR(INDEX(PASTE_ALL,$DF787,3)&amp;"","")&amp;"␟"&amp;IFERROR(INDEX(PASTE_ALL,$DF787,4)&amp;"","")&amp;"␟"&amp;IFERROR(INDEX(PASTE_ALL,$DF787,5)&amp;"","")&amp;"␟"&amp;IFERROR(INDEX(PASTE_ALL,$DF787,6)&amp;"","")&amp;"␟"&amp;IFERROR(INDEX(PASTE_ALL,$DF787,7)&amp;"","")&amp;"␟"&amp;IFERROR(INDEX(PASTE_ALL,$DF787,8)&amp;"","")&amp;"␟"&amp;IFERROR(INDEX(PASTE_ALL,$DF787,9)&amp;"","")&amp;"␟"&amp;IFERROR(INDEX(PASTE_ALL,$DF787,10)&amp;"","")&amp;"␟"&amp;IFERROR(INDEX(PASTE_ALL,$DF787,11)&amp;"","")&amp;"␟"&amp;IFERROR(INDEX(PASTE_ALL,$DF787,12)&amp;"","")&amp;"␟"&amp;IFERROR(INDEX(PASTE_ALL,$DF787,13)&amp;"","")&amp;"␟"&amp;IFERROR(INDEX(PASTE_ALL,$DF787,14)&amp;"","")&amp;"␟"&amp;IFERROR(INDEX(PASTE_ALL,$DF787,15)&amp;"","")&amp;"␟"&amp;IFERROR(INDEX(PASTE_ALL,$DF787,16)&amp;"","")&amp;"␟"&amp;IFERROR(INDEX(PASTE_ALL,$DF787,17)&amp;"","")&amp;"␟"&amp;IFERROR(INDEX(PASTE_ALL,$DF787,18)&amp;"","")&amp;"␟"&amp;IFERROR(INDEX(PASTE_ALL,$DF787,19)&amp;"","")&amp;"␟"&amp;IFERROR(INDEX(PASTE_ALL,$DF787,20)&amp;"","")&amp;"␟"&amp;IFERROR(INDEX(PASTE_ALL,$DF787,21)&amp;"","")&amp;"␟"&amp;IFERROR(INDEX(PASTE_ALL,$DF787,22)&amp;"","")&amp;"␟"&amp;IFERROR(INDEX(PASTE_ALL,$DF787,23)&amp;"","")&amp;"␟"&amp;IFERROR(INDEX(PASTE_ALL,$DF787,24)&amp;"","")&amp;"␟"&amp;IFERROR(INDEX(PASTE_ALL,$DF787,25)&amp;"","")&amp;"␟"&amp;IFERROR(INDEX(PASTE_ALL,$DF787,26)&amp;"","")&amp;"␟"&amp;IFERROR(INDEX(PASTE_ALL,$DF787,27)&amp;"","")&amp;"␟"&amp;IFERROR(INDEX(PASTE_ALL,$DF787,28)&amp;"","")&amp;"␟"&amp;IFERROR(INDEX(PASTE_ALL,$DF787,29)&amp;"","")&amp;"␟"&amp;IFERROR(INDEX(PASTE_ALL,$DF787,30)&amp;"","")&amp;"␟"&amp;IFERROR(INDEX(PASTE_ALL,$DF787,31)&amp;"","")&amp;"␟"&amp;IFERROR(INDEX(PASTE_ALL,$DF787,32)&amp;"","")&amp;"␟"&amp;IFERROR(INDEX(PASTE_ALL,$DF787,33)&amp;"","")&amp;"␟"&amp;IFERROR(INDEX(PASTE_ALL,$DF787,34)&amp;"","")&amp;"␟"&amp;IFERROR(INDEX(PASTE_ALL,$DF787,35)&amp;"","")&amp;"␟"&amp;IFERROR(INDEX(PASTE_ALL,$DF787,36)&amp;"","")&amp;"␟"&amp;IFERROR(INDEX(PASTE_ALL,$DF787,37)&amp;"","")&amp;"␟"&amp;IFERROR(INDEX(PASTE_ALL,$DF787,38)&amp;"","")&amp;"␟"&amp;IFERROR(INDEX(PASTE_ALL,$DF787,39)&amp;"","")&amp;"␟"&amp;IFERROR(INDEX(PASTE_ALL,$DF787,40)&amp;"","")&amp;"␟"&amp;IFERROR(INDEX(PASTE_ALL,$DF787,41)&amp;"","")&amp;"␟"&amp;IFERROR(INDEX(PASTE_ALL,$DF787,42)&amp;"","")&amp;"␟"&amp;IFERROR(INDEX(PASTE_ALL,$DF787,43)&amp;"","")&amp;"␟"&amp;IFERROR(INDEX(PASTE_ALL,$DF787,44)&amp;"","")&amp;"␟"&amp;IFERROR(INDEX(PASTE_ALL,$DF787,45)&amp;"","")&amp;"␟"&amp;IFERROR(INDEX(PASTE_ALL,$DF787,46)&amp;"","")&amp;"␟"&amp;IFERROR(INDEX(PASTE_ALL,$DF787,47)&amp;"","")&amp;"␟"&amp;IFERROR(INDEX(PASTE_ALL,$DF787,48)&amp;"","")&amp;"␟"&amp;IFERROR(INDEX(PASTE_ALL,$DF787,49)&amp;"","")&amp;"␟"&amp;IFERROR(INDEX(PASTE_ALL,$DF787,50)&amp;"","")&amp;"␟"&amp;IFERROR(INDEX(PASTE_ALL,$DF787,51)&amp;"","")&amp;"␟"&amp;IFERROR(INDEX(PASTE_ALL,$DF787,52)&amp;"","")&amp;"␟"&amp;IFERROR(INDEX(PASTE_ALL,$DF787,53)&amp;"","")&amp;"␟"&amp;IFERROR(INDEX(PASTE_ALL,$DF787,54)&amp;"","")&amp;"␟"&amp;IFERROR(INDEX(PASTE_ALL,$DF787,55)&amp;"","")&amp;"␟"&amp;IFERROR(INDEX(PASTE_ALL,$DF787,56)&amp;"","")&amp;"␟"&amp;IFERROR(INDEX(PASTE_ALL,$DF787,57)&amp;"","")&amp;"␟"&amp;IFERROR(INDEX(PASTE_ALL,$DF787,58)&amp;"","")&amp;"␟"&amp;IFERROR(INDEX(PASTE_ALL,$DF787,59)&amp;"","")&amp;"␟"&amp;IFERROR(INDEX(PASTE_ALL,$DF787,60)&amp;"","")," "," "),CHAR(9)," "),CHAR(10)," "),CHAR(13)," "))," ␟","␟"),"␟ ","␟"),"#"&amp;$DE787),"")</f>
        <v/>
      </c>
      <c r="DJ787">
        <f>IF($DI787="",0,IF(SUMPRODUCT(--EXACT($DI$4:DI786,$DI787))&gt;0,1,0))</f>
        <v/>
      </c>
      <c r="DK787">
        <f>IF(AND($DI787&lt;&gt;"",$DJ787=0),1,0)</f>
        <v/>
      </c>
      <c r="DL787">
        <f>DL786+$DK787</f>
        <v/>
      </c>
      <c r="DM787">
        <f>IF(AND($DK787=1,$DL787&lt;=600),1,0)</f>
        <v/>
      </c>
      <c r="DN787">
        <f>IF($DM787=0,"",IF($L$6=0,"",IFERROR(IF(ISNUMBER(INDEX(PASTE_ALL,$DF787,$L$6)),INDEX(PASTE_ALL,$DF787,$L$6),TRIM(SUBSTITUTE(SUBSTITUTE(SUBSTITUTE(SUBSTITUTE(INDEX(PASTE_ALL,$DF787,$L$6)," "," "),CHAR(9)," "),CHAR(10)," "),CHAR(13)," "))),"")))</f>
        <v/>
      </c>
      <c r="DO787">
        <f>IF($DM787=0,"",IF($L$7=0,"",IFERROR(IF(ISNUMBER(INDEX(PASTE_ALL,$DF787,$L$7)),INDEX(PASTE_ALL,$DF787,$L$7),TRIM(SUBSTITUTE(SUBSTITUTE(SUBSTITUTE(SUBSTITUTE(INDEX(PASTE_ALL,$DF787,$L$7)," "," "),CHAR(9)," "),CHAR(10)," "),CHAR(13)," "))),"")))</f>
        <v/>
      </c>
      <c r="DP787">
        <f>IF($DM787=0,"",IF($L$8=0,"",IFERROR(IF(ISNUMBER(INDEX(PASTE_ALL,$DF787,$L$8)),INDEX(PASTE_ALL,$DF787,$L$8),TRIM(SUBSTITUTE(SUBSTITUTE(SUBSTITUTE(SUBSTITUTE(INDEX(PASTE_ALL,$DF787,$L$8)," "," "),CHAR(9)," "),CHAR(10)," "),CHAR(13)," "))),"")))</f>
        <v/>
      </c>
      <c r="DQ787">
        <f>IF($DM787=0,"",IF($L$9=0,"",IFERROR(IF(ISNUMBER(INDEX(PASTE_ALL,$DF787,$L$9)),INDEX(PASTE_ALL,$DF787,$L$9),TRIM(SUBSTITUTE(SUBSTITUTE(SUBSTITUTE(SUBSTITUTE(INDEX(PASTE_ALL,$DF787,$L$9)," "," "),CHAR(9)," "),CHAR(10)," "),CHAR(13)," "))),"")))</f>
        <v/>
      </c>
      <c r="DR787">
        <f>IF($DM787=0,"",IF($L$10=0,"",IFERROR(IF(ISNUMBER(INDEX(PASTE_ALL,$DF787,$L$10)),INDEX(PASTE_ALL,$DF787,$L$10),TRIM(SUBSTITUTE(SUBSTITUTE(SUBSTITUTE(SUBSTITUTE(INDEX(PASTE_ALL,$DF787,$L$10)," "," "),CHAR(9)," "),CHAR(10)," "),CHAR(13)," "))),"")))</f>
        <v/>
      </c>
      <c r="DS787">
        <f>IF($DM787=0,"",IF($L$11=0,"",IFERROR(IF(ISNUMBER(INDEX(PASTE_ALL,$DF787,$L$11)),INDEX(PASTE_ALL,$DF787,$L$11),TRIM(SUBSTITUTE(SUBSTITUTE(SUBSTITUTE(SUBSTITUTE(INDEX(PASTE_ALL,$DF787,$L$11)," "," "),CHAR(9)," "),CHAR(10)," "),CHAR(13)," "))),"")))</f>
        <v/>
      </c>
      <c r="DT787">
        <f>IF($DM787=0,"",IF($L$12=0,"",IFERROR(IF(ISNUMBER(INDEX(PASTE_ALL,$DF787,$L$12)),INDEX(PASTE_ALL,$DF787,$L$12),TRIM(SUBSTITUTE(SUBSTITUTE(SUBSTITUTE(SUBSTITUTE(INDEX(PASTE_ALL,$DF787,$L$12)," "," "),CHAR(9)," "),CHAR(10)," "),CHAR(13)," "))),"")))</f>
        <v/>
      </c>
      <c r="DU787">
        <f>IF($DM787=0,"",IF($L$13=0,"",IFERROR(IF(ISNUMBER(INDEX(PASTE_ALL,$DF787,$L$13)),INDEX(PASTE_ALL,$DF787,$L$13),TRIM(SUBSTITUTE(SUBSTITUTE(SUBSTITUTE(SUBSTITUTE(INDEX(PASTE_ALL,$DF787,$L$13)," "," "),CHAR(9)," "),CHAR(10)," "),CHAR(13)," "))),"")))</f>
        <v/>
      </c>
      <c r="DV787">
        <f>IF($DM787=0,"",IF($L$14=0,"",IFERROR(IF(ISNUMBER(INDEX(PASTE_ALL,$DF787,$L$14)),INDEX(PASTE_ALL,$DF787,$L$14),TRIM(SUBSTITUTE(SUBSTITUTE(SUBSTITUTE(SUBSTITUTE(INDEX(PASTE_ALL,$DF787,$L$14)," "," "),CHAR(9)," "),CHAR(10)," "),CHAR(13)," "))),"")))</f>
        <v/>
      </c>
      <c r="DW787">
        <f>IF($DM787=0,"",IF($L$15=0,"",IFERROR(IF(ISNUMBER(INDEX(PASTE_ALL,$DF787,$L$15)),INDEX(PASTE_ALL,$DF787,$L$15),IF(SUMPRODUCT(--ISNUMBER(FIND({"A","B","C","D","E","F","G","H","I","J","K","L","M","N","O","P","Q","R","S","T","U","V","W","X","Y","Z","0","1","2","3","4","5","6","7","8","9"},UPPER(TRIM(SUBSTITUTE(SUBSTITUTE(SUBSTITUTE(SUBSTITUTE(INDEX(PASTE_ALL,$DF787,$L$15)," "," "),CHAR(9)," "),CHAR(10)," "),CHAR(13)," "))))))&gt;0,TRIM(SUBSTITUTE(SUBSTITUTE(SUBSTITUTE(SUBSTITUTE(INDEX(PASTE_ALL,$DF787,$L$15)," "," "),CHAR(9)," "),CHAR(10)," "),CHAR(13)," ")),"")),"")))</f>
        <v/>
      </c>
      <c r="DX787">
        <f>IF($DM787=0,"",IF($L$16=0,"",IFERROR(IF(ISNUMBER(INDEX(PASTE_ALL,$DF787,$L$16)),INDEX(PASTE_ALL,$DF787,$L$16),SUBSTITUTE(SUBSTITUTE(TRIM(SUBSTITUTE(SUBSTITUTE(SUBSTITUTE(SUBSTITUTE(INDEX(PASTE_ALL,$DF787,$L$16)," "," "),CHAR(9)," "),CHAR(10)," "),CHAR(13)," ")),",",""),"%","")),"")))</f>
        <v/>
      </c>
      <c r="DY787">
        <f>IF($DM787=0,"",IFERROR(IF(ISNUMBER($DX787),$DX787,IF($DX787="","",IF(TRIM($DX787)="",0,IF(AND(AND(SUBSTITUTE(SUBSTITUTE(SUBSTITUTE(SUBSTITUTE(SUBSTITUTE(SUBSTITUTE(SUBSTITUTE(SUBSTITUTE(SUBSTITUTE(SUBSTITUTE(SUBSTITUTE(SUBSTITUTE(SUBSTITUTE(SUBSTITUTE(UPPER(TRIM($DX787)),"0",""),"1",""),"2",""),"3",""),"4",""),"5",""),"6",""),"7",""),"8",""),"9",""),".",""),"+",""),"-",""),"E","")="",LEN(SUBSTITUTE(SUBSTITUTE(MID(UPPER(TRIM($DX787)),1+OR(LEFT(UPPER(TRIM($DX787)),1)="+",LEFT(UPPER(TRIM($DX787)),1)="-"),999),"E+","E"),"E-","E"))=LEN(SUBSTITUTE(SUBSTITUTE(SUBSTITUTE(SUBSTITUTE(MID(UPPER(TRIM($DX787)),1+OR(LEFT(UPPER(TRIM($DX787)),1)="+",LEFT(UPPER(TRIM($DX787)),1)="-"),999),"E+","E"),"E-","E"),"+",""),"-","")),LEN(UPPER(TRIM($DX787)))-LEN(SUBSTITUTE(UPPER(TRIM($DX787)),"E",""))&lt;2,LEN(UPPER(TRIM($DX787)))-LEN(SUBSTITUTE(UPPER(TRIM($DX787)),".",""))&lt;2,IFERROR(FIND(".",UPPER(TRIM($DX787))),0)&lt;IFERROR(FIND("E",UPPER(TRIM($DX787))),999)),ISNUMBER(VALUE(TRIM($DX787)))),VALUE(TRIM($DX787)),"")))),""))</f>
        <v/>
      </c>
      <c r="DZ787">
        <f>IF($DM787=0,"",IF($L$17=0,"",IFERROR(IF(ISNUMBER(INDEX(PASTE_ALL,$DF787,$L$17)),INDEX(PASTE_ALL,$DF787,$L$17),SUBSTITUTE(SUBSTITUTE(TRIM(SUBSTITUTE(SUBSTITUTE(SUBSTITUTE(SUBSTITUTE(INDEX(PASTE_ALL,$DF787,$L$17)," "," "),CHAR(9)," "),CHAR(10)," "),CHAR(13)," ")),",",""),"%","")),"")))</f>
        <v/>
      </c>
      <c r="EA787">
        <f>IF($DM787=0,"",IFERROR(IF(ISNUMBER($DZ787),$DZ787,IF($DZ787="","",IF(TRIM($DZ787)="",0,IF(AND(AND(SUBSTITUTE(SUBSTITUTE(SUBSTITUTE(SUBSTITUTE(SUBSTITUTE(SUBSTITUTE(SUBSTITUTE(SUBSTITUTE(SUBSTITUTE(SUBSTITUTE(SUBSTITUTE(SUBSTITUTE(SUBSTITUTE(SUBSTITUTE(UPPER(TRIM($DZ787)),"0",""),"1",""),"2",""),"3",""),"4",""),"5",""),"6",""),"7",""),"8",""),"9",""),".",""),"+",""),"-",""),"E","")="",LEN(SUBSTITUTE(SUBSTITUTE(MID(UPPER(TRIM($DZ787)),1+OR(LEFT(UPPER(TRIM($DZ787)),1)="+",LEFT(UPPER(TRIM($DZ787)),1)="-"),999),"E+","E"),"E-","E"))=LEN(SUBSTITUTE(SUBSTITUTE(SUBSTITUTE(SUBSTITUTE(MID(UPPER(TRIM($DZ787)),1+OR(LEFT(UPPER(TRIM($DZ787)),1)="+",LEFT(UPPER(TRIM($DZ787)),1)="-"),999),"E+","E"),"E-","E"),"+",""),"-","")),LEN(UPPER(TRIM($DZ787)))-LEN(SUBSTITUTE(UPPER(TRIM($DZ787)),"E",""))&lt;2,LEN(UPPER(TRIM($DZ787)))-LEN(SUBSTITUTE(UPPER(TRIM($DZ787)),".",""))&lt;2,IFERROR(FIND(".",UPPER(TRIM($DZ787))),0)&lt;IFERROR(FIND("E",UPPER(TRIM($DZ787))),999)),ISNUMBER(VALUE(TRIM($DZ787)))),VALUE(TRIM($DZ787)),"")))),""))</f>
        <v/>
      </c>
      <c r="EB787">
        <f>IF($DM787=0,"",IF($L$18=0,"",IFERROR(IF(UPPER(TRIM(SUBSTITUTE(SUBSTITUTE(SUBSTITUTE(SUBSTITUTE(INDEX(PASTE_ALL,$DF787,$L$18)," "," "),CHAR(9)," "),CHAR(10)," "),CHAR(13)," ")))="READY","Ready",IF(UPPER(TRIM(SUBSTITUTE(SUBSTITUTE(SUBSTITUTE(SUBSTITUTE(INDEX(PASTE_ALL,$DF787,$L$18)," "," "),CHAR(9)," "),CHAR(10)," "),CHAR(13)," ")))="PM","PM",IF(OR(UPPER(TRIM(SUBSTITUTE(SUBSTITUTE(SUBSTITUTE(SUBSTITUTE(INDEX(PASTE_ALL,$DF787,$L$18)," "," "),CHAR(9)," "),CHAR(10)," "),CHAR(13)," ")))="OT",UPPER(TRIM(SUBSTITUTE(SUBSTITUTE(SUBSTITUTE(SUBSTITUTE(INDEX(PASTE_ALL,$DF787,$L$18)," "," "),CHAR(9)," "),CHAR(10)," "),CHAR(13)," ")))="OVERTIME",UPPER(TRIM(SUBSTITUTE(SUBSTITUTE(SUBSTITUTE(SUBSTITUTE(INDEX(PASTE_ALL,$DF787,$L$18)," "," "),CHAR(9)," "),CHAR(10)," "),CHAR(13)," ")))="TRIAL"),"OT",TRIM(SUBSTITUTE(SUBSTITUTE(SUBSTITUTE(SUBSTITUTE(INDEX(PASTE_ALL,$DF787,$L$18)," "," "),CHAR(9)," "),CHAR(10)," "),CHAR(13)," "))))),"")))</f>
        <v/>
      </c>
      <c r="EC787">
        <f>IF($DM787=0,"",IF($L$19=0,"",IFERROR(IF(ISNUMBER(INDEX(PASTE_ALL,$DF787,$L$19)),INDEX(PASTE_ALL,$DF787,$L$19),TRIM(SUBSTITUTE(SUBSTITUTE(SUBSTITUTE(SUBSTITUTE(INDEX(PASTE_ALL,$DF787,$L$19)," "," "),CHAR(9)," "),CHAR(10)," "),CHAR(13)," "))),"")))</f>
        <v/>
      </c>
      <c r="ED787">
        <f>IF($DM787=0,"",MATCH(1,INDEX(EXACT($DH$5:DH787,$DH787)*$DM$5:DM787,0),0))</f>
        <v/>
      </c>
      <c r="EE787">
        <f>IF($DM787=0,0,IF($ED787=$DE787,1,0))</f>
        <v/>
      </c>
      <c r="EF787">
        <f>EF786+$EE787</f>
        <v/>
      </c>
      <c r="EG787">
        <f>IF($DM787=0,"",INDEX($EF$5:$EF$1003,$ED787))</f>
        <v/>
      </c>
      <c r="EH787">
        <f>IF($DM787=0,"",IF($DO787&lt;&gt;"","",IFERROR(LOOKUP(2,1/(($EG$4:EG786=$EG787)*($DO$4:DO786&lt;&gt;"")),$DO$4:DO786),"")))</f>
        <v/>
      </c>
      <c r="EI787">
        <f>IF($DM787=0,"",IF($DO787&lt;&gt;"",$DO787,$EH787))</f>
        <v/>
      </c>
      <c r="EJ787">
        <f>IF($DM787=0,"",IF($EI787="",0,IF(OR(ISNUMBER($EI787),AND(AND(SUBSTITUTE(SUBSTITUTE(SUBSTITUTE(SUBSTITUTE(SUBSTITUTE(SUBSTITUTE(SUBSTITUTE(SUBSTITUTE(SUBSTITUTE(SUBSTITUTE(SUBSTITUTE(SUBSTITUTE(SUBSTITUTE(SUBSTITUTE(UPPER($EI787),"0",""),"1",""),"2",""),"3",""),"4",""),"5",""),"6",""),"7",""),"8",""),"9",""),".",""),"+",""),"-",""),"E","")="",LEN(SUBSTITUTE(SUBSTITUTE(MID(UPPER($EI787),1+OR(LEFT(UPPER($EI787),1)="+",LEFT(UPPER($EI787),1)="-"),999),"E+","E"),"E-","E"))=LEN(SUBSTITUTE(SUBSTITUTE(SUBSTITUTE(SUBSTITUTE(MID(UPPER($EI787),1+OR(LEFT(UPPER($EI787),1)="+",LEFT(UPPER($EI787),1)="-"),999),"E+","E"),"E-","E"),"+",""),"-","")),LEN(UPPER($EI787))-LEN(SUBSTITUTE(UPPER($EI787),"E",""))&lt;2,LEN(UPPER($EI787))-LEN(SUBSTITUTE(UPPER($EI787),".",""))&lt;2,IFERROR(FIND(".",UPPER($EI787)),0)&lt;IFERROR(FIND("E",UPPER($EI787)),999)),ISNUMBER(VALUE($EI787)))),1,2)))</f>
        <v/>
      </c>
      <c r="EK787">
        <f>IF($DM787=0,"",IF($EJ787=1,IF(ISNUMBER($EI787),$EI787,VALUE($EI787)),IF($EJ787=2,$DE787,0)))</f>
        <v/>
      </c>
      <c r="EL787">
        <f>IF($DM787=0,"",COUNTIF($EG$5:$EG$1003,"&lt;"&amp;$EG787)+SUMPRODUCT(($EG$5:$EG$1003=$EG787)*(($EJ$5:$EJ$1003&lt;$EJ787)+($EJ$5:$EJ$1003=$EJ787)*(($EK$5:$EK$1003&lt;$EK787)+($EK$5:$EK$1003=$EK787)*($DE$5:$DE$1003&lt;$DE787))))+1)</f>
        <v/>
      </c>
      <c r="EM787">
        <f>IF($DM787=0,"",$EL787+$EG787-1)</f>
        <v/>
      </c>
      <c r="EN787">
        <f>IF($DM787=0,0,IFERROR(MATCH(1,INDEX(--(TRIM(SUBSTITUTE(SUBSTITUTE(SUBSTITUTE(SUBSTITUTE(LINES_NAME&amp;""," "," "),CHAR(9)," "),CHAR(10)," "),CHAR(13)," "))=$DH787),0),0),0))</f>
        <v/>
      </c>
      <c r="EO787">
        <f>IF($EN787=0,0,IF(OR(UPPER(TRIM(INDEX(LINES_SCHEDULED,$EN787)&amp;""))="YES",UPPER(TRIM(INDEX(LINES_SCHEDULED,$EN787)&amp;""))="Y",UPPER(TRIM(INDEX(LINES_SCHEDULED,$EN787)&amp;""))="X"),1,0))</f>
        <v/>
      </c>
      <c r="EP787">
        <f>IF($DM787=0,"",IF(COUNTIFS($EG$5:$EG$1003,$EG787,$EB$5:$EB$1003,"Ready")&gt;0,"READY",IF(COUNTIFS($EG$5:$EG$1003,$EG787,$EB$5:$EB$1003,"PM")&gt;0,"PM",IF(COUNTIFS($EG$5:$EG$1003,$EG787,$EB$5:$EB$1003,"OT")&gt;0,"OT",""))))</f>
        <v/>
      </c>
      <c r="EQ787">
        <f>IF($EN787=0,"",UPPER(TRIM(INDEX(LINES_STATUS,$EN787)&amp;"")))</f>
        <v/>
      </c>
      <c r="ER787">
        <f>IF($DM787=0,"",IF(OR($EQ787="READY",$EQ787="PM",$EQ787="OT"),$EQ787,$EP787))</f>
        <v/>
      </c>
      <c r="ES787">
        <f>IF($DM787=0,"",IF(AND($DV787&lt;&gt;"",UPPER($DV787)&lt;&gt;"N"),"allergen",IF(ISNUMBER(SEARCH("oil",$DQ787)),"oil",IF(OR(EXACT($DS787,"A662"),EXACT($DS787,"A624")),"bulk",""))))</f>
        <v/>
      </c>
      <c r="ET787">
        <f>IF($DM787=0,"",IF(OR($EA787="",$EA787=0),"",$EA787/100))</f>
        <v/>
      </c>
      <c r="EU787">
        <f>IF(OR($ET787="",$DY787=""),"",INT($DY787*(1-$ET787)+0.5))</f>
        <v/>
      </c>
    </row>
    <row r="788">
      <c r="DA788" t="n">
        <v>784</v>
      </c>
      <c r="DB788">
        <f>IF($B$37=0,"",IFERROR(TRIM(SUBSTITUTE(SUBSTITUTE(SUBSTITUTE(SUBSTITUTE(INDEX(PASTE_ALL,784,$B$37)," "," "),CHAR(9)," "),CHAR(10)," "),CHAR(13)," ")),""))</f>
        <v/>
      </c>
      <c r="DC788">
        <f>IF(AND(784&gt;HEADER_ROW,UPPER(DB788)="LEGEND"),1,0)</f>
        <v/>
      </c>
      <c r="DE788" t="n">
        <v>784</v>
      </c>
      <c r="DF788">
        <f>HEADER_ROW+$DE788</f>
        <v/>
      </c>
      <c r="DG788">
        <f>IF(AND($DF788&lt;=1000,$DF788&lt;$B$8),1,0)</f>
        <v/>
      </c>
      <c r="DH788">
        <f>IF($DG788=1,IFERROR(INDEX($DB$5:$DB$1004,$DF788),""),"")</f>
        <v/>
      </c>
      <c r="DI788">
        <f>IF(AND($DG788=1,$DH788&lt;&gt;""),IFERROR(SUBSTITUTE(SUBSTITUTE(TRIM(SUBSTITUTE(SUBSTITUTE(SUBSTITUTE(SUBSTITUTE(IFERROR(INDEX(PASTE_ALL,$DF788,1)&amp;"","")&amp;"␟"&amp;IFERROR(INDEX(PASTE_ALL,$DF788,2)&amp;"","")&amp;"␟"&amp;IFERROR(INDEX(PASTE_ALL,$DF788,3)&amp;"","")&amp;"␟"&amp;IFERROR(INDEX(PASTE_ALL,$DF788,4)&amp;"","")&amp;"␟"&amp;IFERROR(INDEX(PASTE_ALL,$DF788,5)&amp;"","")&amp;"␟"&amp;IFERROR(INDEX(PASTE_ALL,$DF788,6)&amp;"","")&amp;"␟"&amp;IFERROR(INDEX(PASTE_ALL,$DF788,7)&amp;"","")&amp;"␟"&amp;IFERROR(INDEX(PASTE_ALL,$DF788,8)&amp;"","")&amp;"␟"&amp;IFERROR(INDEX(PASTE_ALL,$DF788,9)&amp;"","")&amp;"␟"&amp;IFERROR(INDEX(PASTE_ALL,$DF788,10)&amp;"","")&amp;"␟"&amp;IFERROR(INDEX(PASTE_ALL,$DF788,11)&amp;"","")&amp;"␟"&amp;IFERROR(INDEX(PASTE_ALL,$DF788,12)&amp;"","")&amp;"␟"&amp;IFERROR(INDEX(PASTE_ALL,$DF788,13)&amp;"","")&amp;"␟"&amp;IFERROR(INDEX(PASTE_ALL,$DF788,14)&amp;"","")&amp;"␟"&amp;IFERROR(INDEX(PASTE_ALL,$DF788,15)&amp;"","")&amp;"␟"&amp;IFERROR(INDEX(PASTE_ALL,$DF788,16)&amp;"","")&amp;"␟"&amp;IFERROR(INDEX(PASTE_ALL,$DF788,17)&amp;"","")&amp;"␟"&amp;IFERROR(INDEX(PASTE_ALL,$DF788,18)&amp;"","")&amp;"␟"&amp;IFERROR(INDEX(PASTE_ALL,$DF788,19)&amp;"","")&amp;"␟"&amp;IFERROR(INDEX(PASTE_ALL,$DF788,20)&amp;"","")&amp;"␟"&amp;IFERROR(INDEX(PASTE_ALL,$DF788,21)&amp;"","")&amp;"␟"&amp;IFERROR(INDEX(PASTE_ALL,$DF788,22)&amp;"","")&amp;"␟"&amp;IFERROR(INDEX(PASTE_ALL,$DF788,23)&amp;"","")&amp;"␟"&amp;IFERROR(INDEX(PASTE_ALL,$DF788,24)&amp;"","")&amp;"␟"&amp;IFERROR(INDEX(PASTE_ALL,$DF788,25)&amp;"","")&amp;"␟"&amp;IFERROR(INDEX(PASTE_ALL,$DF788,26)&amp;"","")&amp;"␟"&amp;IFERROR(INDEX(PASTE_ALL,$DF788,27)&amp;"","")&amp;"␟"&amp;IFERROR(INDEX(PASTE_ALL,$DF788,28)&amp;"","")&amp;"␟"&amp;IFERROR(INDEX(PASTE_ALL,$DF788,29)&amp;"","")&amp;"␟"&amp;IFERROR(INDEX(PASTE_ALL,$DF788,30)&amp;"","")&amp;"␟"&amp;IFERROR(INDEX(PASTE_ALL,$DF788,31)&amp;"","")&amp;"␟"&amp;IFERROR(INDEX(PASTE_ALL,$DF788,32)&amp;"","")&amp;"␟"&amp;IFERROR(INDEX(PASTE_ALL,$DF788,33)&amp;"","")&amp;"␟"&amp;IFERROR(INDEX(PASTE_ALL,$DF788,34)&amp;"","")&amp;"␟"&amp;IFERROR(INDEX(PASTE_ALL,$DF788,35)&amp;"","")&amp;"␟"&amp;IFERROR(INDEX(PASTE_ALL,$DF788,36)&amp;"","")&amp;"␟"&amp;IFERROR(INDEX(PASTE_ALL,$DF788,37)&amp;"","")&amp;"␟"&amp;IFERROR(INDEX(PASTE_ALL,$DF788,38)&amp;"","")&amp;"␟"&amp;IFERROR(INDEX(PASTE_ALL,$DF788,39)&amp;"","")&amp;"␟"&amp;IFERROR(INDEX(PASTE_ALL,$DF788,40)&amp;"","")&amp;"␟"&amp;IFERROR(INDEX(PASTE_ALL,$DF788,41)&amp;"","")&amp;"␟"&amp;IFERROR(INDEX(PASTE_ALL,$DF788,42)&amp;"","")&amp;"␟"&amp;IFERROR(INDEX(PASTE_ALL,$DF788,43)&amp;"","")&amp;"␟"&amp;IFERROR(INDEX(PASTE_ALL,$DF788,44)&amp;"","")&amp;"␟"&amp;IFERROR(INDEX(PASTE_ALL,$DF788,45)&amp;"","")&amp;"␟"&amp;IFERROR(INDEX(PASTE_ALL,$DF788,46)&amp;"","")&amp;"␟"&amp;IFERROR(INDEX(PASTE_ALL,$DF788,47)&amp;"","")&amp;"␟"&amp;IFERROR(INDEX(PASTE_ALL,$DF788,48)&amp;"","")&amp;"␟"&amp;IFERROR(INDEX(PASTE_ALL,$DF788,49)&amp;"","")&amp;"␟"&amp;IFERROR(INDEX(PASTE_ALL,$DF788,50)&amp;"","")&amp;"␟"&amp;IFERROR(INDEX(PASTE_ALL,$DF788,51)&amp;"","")&amp;"␟"&amp;IFERROR(INDEX(PASTE_ALL,$DF788,52)&amp;"","")&amp;"␟"&amp;IFERROR(INDEX(PASTE_ALL,$DF788,53)&amp;"","")&amp;"␟"&amp;IFERROR(INDEX(PASTE_ALL,$DF788,54)&amp;"","")&amp;"␟"&amp;IFERROR(INDEX(PASTE_ALL,$DF788,55)&amp;"","")&amp;"␟"&amp;IFERROR(INDEX(PASTE_ALL,$DF788,56)&amp;"","")&amp;"␟"&amp;IFERROR(INDEX(PASTE_ALL,$DF788,57)&amp;"","")&amp;"␟"&amp;IFERROR(INDEX(PASTE_ALL,$DF788,58)&amp;"","")&amp;"␟"&amp;IFERROR(INDEX(PASTE_ALL,$DF788,59)&amp;"","")&amp;"␟"&amp;IFERROR(INDEX(PASTE_ALL,$DF788,60)&amp;"","")," "," "),CHAR(9)," "),CHAR(10)," "),CHAR(13)," "))," ␟","␟"),"␟ ","␟"),"#"&amp;$DE788),"")</f>
        <v/>
      </c>
      <c r="DJ788">
        <f>IF($DI788="",0,IF(SUMPRODUCT(--EXACT($DI$4:DI787,$DI788))&gt;0,1,0))</f>
        <v/>
      </c>
      <c r="DK788">
        <f>IF(AND($DI788&lt;&gt;"",$DJ788=0),1,0)</f>
        <v/>
      </c>
      <c r="DL788">
        <f>DL787+$DK788</f>
        <v/>
      </c>
      <c r="DM788">
        <f>IF(AND($DK788=1,$DL788&lt;=600),1,0)</f>
        <v/>
      </c>
      <c r="DN788">
        <f>IF($DM788=0,"",IF($L$6=0,"",IFERROR(IF(ISNUMBER(INDEX(PASTE_ALL,$DF788,$L$6)),INDEX(PASTE_ALL,$DF788,$L$6),TRIM(SUBSTITUTE(SUBSTITUTE(SUBSTITUTE(SUBSTITUTE(INDEX(PASTE_ALL,$DF788,$L$6)," "," "),CHAR(9)," "),CHAR(10)," "),CHAR(13)," "))),"")))</f>
        <v/>
      </c>
      <c r="DO788">
        <f>IF($DM788=0,"",IF($L$7=0,"",IFERROR(IF(ISNUMBER(INDEX(PASTE_ALL,$DF788,$L$7)),INDEX(PASTE_ALL,$DF788,$L$7),TRIM(SUBSTITUTE(SUBSTITUTE(SUBSTITUTE(SUBSTITUTE(INDEX(PASTE_ALL,$DF788,$L$7)," "," "),CHAR(9)," "),CHAR(10)," "),CHAR(13)," "))),"")))</f>
        <v/>
      </c>
      <c r="DP788">
        <f>IF($DM788=0,"",IF($L$8=0,"",IFERROR(IF(ISNUMBER(INDEX(PASTE_ALL,$DF788,$L$8)),INDEX(PASTE_ALL,$DF788,$L$8),TRIM(SUBSTITUTE(SUBSTITUTE(SUBSTITUTE(SUBSTITUTE(INDEX(PASTE_ALL,$DF788,$L$8)," "," "),CHAR(9)," "),CHAR(10)," "),CHAR(13)," "))),"")))</f>
        <v/>
      </c>
      <c r="DQ788">
        <f>IF($DM788=0,"",IF($L$9=0,"",IFERROR(IF(ISNUMBER(INDEX(PASTE_ALL,$DF788,$L$9)),INDEX(PASTE_ALL,$DF788,$L$9),TRIM(SUBSTITUTE(SUBSTITUTE(SUBSTITUTE(SUBSTITUTE(INDEX(PASTE_ALL,$DF788,$L$9)," "," "),CHAR(9)," "),CHAR(10)," "),CHAR(13)," "))),"")))</f>
        <v/>
      </c>
      <c r="DR788">
        <f>IF($DM788=0,"",IF($L$10=0,"",IFERROR(IF(ISNUMBER(INDEX(PASTE_ALL,$DF788,$L$10)),INDEX(PASTE_ALL,$DF788,$L$10),TRIM(SUBSTITUTE(SUBSTITUTE(SUBSTITUTE(SUBSTITUTE(INDEX(PASTE_ALL,$DF788,$L$10)," "," "),CHAR(9)," "),CHAR(10)," "),CHAR(13)," "))),"")))</f>
        <v/>
      </c>
      <c r="DS788">
        <f>IF($DM788=0,"",IF($L$11=0,"",IFERROR(IF(ISNUMBER(INDEX(PASTE_ALL,$DF788,$L$11)),INDEX(PASTE_ALL,$DF788,$L$11),TRIM(SUBSTITUTE(SUBSTITUTE(SUBSTITUTE(SUBSTITUTE(INDEX(PASTE_ALL,$DF788,$L$11)," "," "),CHAR(9)," "),CHAR(10)," "),CHAR(13)," "))),"")))</f>
        <v/>
      </c>
      <c r="DT788">
        <f>IF($DM788=0,"",IF($L$12=0,"",IFERROR(IF(ISNUMBER(INDEX(PASTE_ALL,$DF788,$L$12)),INDEX(PASTE_ALL,$DF788,$L$12),TRIM(SUBSTITUTE(SUBSTITUTE(SUBSTITUTE(SUBSTITUTE(INDEX(PASTE_ALL,$DF788,$L$12)," "," "),CHAR(9)," "),CHAR(10)," "),CHAR(13)," "))),"")))</f>
        <v/>
      </c>
      <c r="DU788">
        <f>IF($DM788=0,"",IF($L$13=0,"",IFERROR(IF(ISNUMBER(INDEX(PASTE_ALL,$DF788,$L$13)),INDEX(PASTE_ALL,$DF788,$L$13),TRIM(SUBSTITUTE(SUBSTITUTE(SUBSTITUTE(SUBSTITUTE(INDEX(PASTE_ALL,$DF788,$L$13)," "," "),CHAR(9)," "),CHAR(10)," "),CHAR(13)," "))),"")))</f>
        <v/>
      </c>
      <c r="DV788">
        <f>IF($DM788=0,"",IF($L$14=0,"",IFERROR(IF(ISNUMBER(INDEX(PASTE_ALL,$DF788,$L$14)),INDEX(PASTE_ALL,$DF788,$L$14),TRIM(SUBSTITUTE(SUBSTITUTE(SUBSTITUTE(SUBSTITUTE(INDEX(PASTE_ALL,$DF788,$L$14)," "," "),CHAR(9)," "),CHAR(10)," "),CHAR(13)," "))),"")))</f>
        <v/>
      </c>
      <c r="DW788">
        <f>IF($DM788=0,"",IF($L$15=0,"",IFERROR(IF(ISNUMBER(INDEX(PASTE_ALL,$DF788,$L$15)),INDEX(PASTE_ALL,$DF788,$L$15),IF(SUMPRODUCT(--ISNUMBER(FIND({"A","B","C","D","E","F","G","H","I","J","K","L","M","N","O","P","Q","R","S","T","U","V","W","X","Y","Z","0","1","2","3","4","5","6","7","8","9"},UPPER(TRIM(SUBSTITUTE(SUBSTITUTE(SUBSTITUTE(SUBSTITUTE(INDEX(PASTE_ALL,$DF788,$L$15)," "," "),CHAR(9)," "),CHAR(10)," "),CHAR(13)," "))))))&gt;0,TRIM(SUBSTITUTE(SUBSTITUTE(SUBSTITUTE(SUBSTITUTE(INDEX(PASTE_ALL,$DF788,$L$15)," "," "),CHAR(9)," "),CHAR(10)," "),CHAR(13)," ")),"")),"")))</f>
        <v/>
      </c>
      <c r="DX788">
        <f>IF($DM788=0,"",IF($L$16=0,"",IFERROR(IF(ISNUMBER(INDEX(PASTE_ALL,$DF788,$L$16)),INDEX(PASTE_ALL,$DF788,$L$16),SUBSTITUTE(SUBSTITUTE(TRIM(SUBSTITUTE(SUBSTITUTE(SUBSTITUTE(SUBSTITUTE(INDEX(PASTE_ALL,$DF788,$L$16)," "," "),CHAR(9)," "),CHAR(10)," "),CHAR(13)," ")),",",""),"%","")),"")))</f>
        <v/>
      </c>
      <c r="DY788">
        <f>IF($DM788=0,"",IFERROR(IF(ISNUMBER($DX788),$DX788,IF($DX788="","",IF(TRIM($DX788)="",0,IF(AND(AND(SUBSTITUTE(SUBSTITUTE(SUBSTITUTE(SUBSTITUTE(SUBSTITUTE(SUBSTITUTE(SUBSTITUTE(SUBSTITUTE(SUBSTITUTE(SUBSTITUTE(SUBSTITUTE(SUBSTITUTE(SUBSTITUTE(SUBSTITUTE(UPPER(TRIM($DX788)),"0",""),"1",""),"2",""),"3",""),"4",""),"5",""),"6",""),"7",""),"8",""),"9",""),".",""),"+",""),"-",""),"E","")="",LEN(SUBSTITUTE(SUBSTITUTE(MID(UPPER(TRIM($DX788)),1+OR(LEFT(UPPER(TRIM($DX788)),1)="+",LEFT(UPPER(TRIM($DX788)),1)="-"),999),"E+","E"),"E-","E"))=LEN(SUBSTITUTE(SUBSTITUTE(SUBSTITUTE(SUBSTITUTE(MID(UPPER(TRIM($DX788)),1+OR(LEFT(UPPER(TRIM($DX788)),1)="+",LEFT(UPPER(TRIM($DX788)),1)="-"),999),"E+","E"),"E-","E"),"+",""),"-","")),LEN(UPPER(TRIM($DX788)))-LEN(SUBSTITUTE(UPPER(TRIM($DX788)),"E",""))&lt;2,LEN(UPPER(TRIM($DX788)))-LEN(SUBSTITUTE(UPPER(TRIM($DX788)),".",""))&lt;2,IFERROR(FIND(".",UPPER(TRIM($DX788))),0)&lt;IFERROR(FIND("E",UPPER(TRIM($DX788))),999)),ISNUMBER(VALUE(TRIM($DX788)))),VALUE(TRIM($DX788)),"")))),""))</f>
        <v/>
      </c>
      <c r="DZ788">
        <f>IF($DM788=0,"",IF($L$17=0,"",IFERROR(IF(ISNUMBER(INDEX(PASTE_ALL,$DF788,$L$17)),INDEX(PASTE_ALL,$DF788,$L$17),SUBSTITUTE(SUBSTITUTE(TRIM(SUBSTITUTE(SUBSTITUTE(SUBSTITUTE(SUBSTITUTE(INDEX(PASTE_ALL,$DF788,$L$17)," "," "),CHAR(9)," "),CHAR(10)," "),CHAR(13)," ")),",",""),"%","")),"")))</f>
        <v/>
      </c>
      <c r="EA788">
        <f>IF($DM788=0,"",IFERROR(IF(ISNUMBER($DZ788),$DZ788,IF($DZ788="","",IF(TRIM($DZ788)="",0,IF(AND(AND(SUBSTITUTE(SUBSTITUTE(SUBSTITUTE(SUBSTITUTE(SUBSTITUTE(SUBSTITUTE(SUBSTITUTE(SUBSTITUTE(SUBSTITUTE(SUBSTITUTE(SUBSTITUTE(SUBSTITUTE(SUBSTITUTE(SUBSTITUTE(UPPER(TRIM($DZ788)),"0",""),"1",""),"2",""),"3",""),"4",""),"5",""),"6",""),"7",""),"8",""),"9",""),".",""),"+",""),"-",""),"E","")="",LEN(SUBSTITUTE(SUBSTITUTE(MID(UPPER(TRIM($DZ788)),1+OR(LEFT(UPPER(TRIM($DZ788)),1)="+",LEFT(UPPER(TRIM($DZ788)),1)="-"),999),"E+","E"),"E-","E"))=LEN(SUBSTITUTE(SUBSTITUTE(SUBSTITUTE(SUBSTITUTE(MID(UPPER(TRIM($DZ788)),1+OR(LEFT(UPPER(TRIM($DZ788)),1)="+",LEFT(UPPER(TRIM($DZ788)),1)="-"),999),"E+","E"),"E-","E"),"+",""),"-","")),LEN(UPPER(TRIM($DZ788)))-LEN(SUBSTITUTE(UPPER(TRIM($DZ788)),"E",""))&lt;2,LEN(UPPER(TRIM($DZ788)))-LEN(SUBSTITUTE(UPPER(TRIM($DZ788)),".",""))&lt;2,IFERROR(FIND(".",UPPER(TRIM($DZ788))),0)&lt;IFERROR(FIND("E",UPPER(TRIM($DZ788))),999)),ISNUMBER(VALUE(TRIM($DZ788)))),VALUE(TRIM($DZ788)),"")))),""))</f>
        <v/>
      </c>
      <c r="EB788">
        <f>IF($DM788=0,"",IF($L$18=0,"",IFERROR(IF(UPPER(TRIM(SUBSTITUTE(SUBSTITUTE(SUBSTITUTE(SUBSTITUTE(INDEX(PASTE_ALL,$DF788,$L$18)," "," "),CHAR(9)," "),CHAR(10)," "),CHAR(13)," ")))="READY","Ready",IF(UPPER(TRIM(SUBSTITUTE(SUBSTITUTE(SUBSTITUTE(SUBSTITUTE(INDEX(PASTE_ALL,$DF788,$L$18)," "," "),CHAR(9)," "),CHAR(10)," "),CHAR(13)," ")))="PM","PM",IF(OR(UPPER(TRIM(SUBSTITUTE(SUBSTITUTE(SUBSTITUTE(SUBSTITUTE(INDEX(PASTE_ALL,$DF788,$L$18)," "," "),CHAR(9)," "),CHAR(10)," "),CHAR(13)," ")))="OT",UPPER(TRIM(SUBSTITUTE(SUBSTITUTE(SUBSTITUTE(SUBSTITUTE(INDEX(PASTE_ALL,$DF788,$L$18)," "," "),CHAR(9)," "),CHAR(10)," "),CHAR(13)," ")))="OVERTIME",UPPER(TRIM(SUBSTITUTE(SUBSTITUTE(SUBSTITUTE(SUBSTITUTE(INDEX(PASTE_ALL,$DF788,$L$18)," "," "),CHAR(9)," "),CHAR(10)," "),CHAR(13)," ")))="TRIAL"),"OT",TRIM(SUBSTITUTE(SUBSTITUTE(SUBSTITUTE(SUBSTITUTE(INDEX(PASTE_ALL,$DF788,$L$18)," "," "),CHAR(9)," "),CHAR(10)," "),CHAR(13)," "))))),"")))</f>
        <v/>
      </c>
      <c r="EC788">
        <f>IF($DM788=0,"",IF($L$19=0,"",IFERROR(IF(ISNUMBER(INDEX(PASTE_ALL,$DF788,$L$19)),INDEX(PASTE_ALL,$DF788,$L$19),TRIM(SUBSTITUTE(SUBSTITUTE(SUBSTITUTE(SUBSTITUTE(INDEX(PASTE_ALL,$DF788,$L$19)," "," "),CHAR(9)," "),CHAR(10)," "),CHAR(13)," "))),"")))</f>
        <v/>
      </c>
      <c r="ED788">
        <f>IF($DM788=0,"",MATCH(1,INDEX(EXACT($DH$5:DH788,$DH788)*$DM$5:DM788,0),0))</f>
        <v/>
      </c>
      <c r="EE788">
        <f>IF($DM788=0,0,IF($ED788=$DE788,1,0))</f>
        <v/>
      </c>
      <c r="EF788">
        <f>EF787+$EE788</f>
        <v/>
      </c>
      <c r="EG788">
        <f>IF($DM788=0,"",INDEX($EF$5:$EF$1003,$ED788))</f>
        <v/>
      </c>
      <c r="EH788">
        <f>IF($DM788=0,"",IF($DO788&lt;&gt;"","",IFERROR(LOOKUP(2,1/(($EG$4:EG787=$EG788)*($DO$4:DO787&lt;&gt;"")),$DO$4:DO787),"")))</f>
        <v/>
      </c>
      <c r="EI788">
        <f>IF($DM788=0,"",IF($DO788&lt;&gt;"",$DO788,$EH788))</f>
        <v/>
      </c>
      <c r="EJ788">
        <f>IF($DM788=0,"",IF($EI788="",0,IF(OR(ISNUMBER($EI788),AND(AND(SUBSTITUTE(SUBSTITUTE(SUBSTITUTE(SUBSTITUTE(SUBSTITUTE(SUBSTITUTE(SUBSTITUTE(SUBSTITUTE(SUBSTITUTE(SUBSTITUTE(SUBSTITUTE(SUBSTITUTE(SUBSTITUTE(SUBSTITUTE(UPPER($EI788),"0",""),"1",""),"2",""),"3",""),"4",""),"5",""),"6",""),"7",""),"8",""),"9",""),".",""),"+",""),"-",""),"E","")="",LEN(SUBSTITUTE(SUBSTITUTE(MID(UPPER($EI788),1+OR(LEFT(UPPER($EI788),1)="+",LEFT(UPPER($EI788),1)="-"),999),"E+","E"),"E-","E"))=LEN(SUBSTITUTE(SUBSTITUTE(SUBSTITUTE(SUBSTITUTE(MID(UPPER($EI788),1+OR(LEFT(UPPER($EI788),1)="+",LEFT(UPPER($EI788),1)="-"),999),"E+","E"),"E-","E"),"+",""),"-","")),LEN(UPPER($EI788))-LEN(SUBSTITUTE(UPPER($EI788),"E",""))&lt;2,LEN(UPPER($EI788))-LEN(SUBSTITUTE(UPPER($EI788),".",""))&lt;2,IFERROR(FIND(".",UPPER($EI788)),0)&lt;IFERROR(FIND("E",UPPER($EI788)),999)),ISNUMBER(VALUE($EI788)))),1,2)))</f>
        <v/>
      </c>
      <c r="EK788">
        <f>IF($DM788=0,"",IF($EJ788=1,IF(ISNUMBER($EI788),$EI788,VALUE($EI788)),IF($EJ788=2,$DE788,0)))</f>
        <v/>
      </c>
      <c r="EL788">
        <f>IF($DM788=0,"",COUNTIF($EG$5:$EG$1003,"&lt;"&amp;$EG788)+SUMPRODUCT(($EG$5:$EG$1003=$EG788)*(($EJ$5:$EJ$1003&lt;$EJ788)+($EJ$5:$EJ$1003=$EJ788)*(($EK$5:$EK$1003&lt;$EK788)+($EK$5:$EK$1003=$EK788)*($DE$5:$DE$1003&lt;$DE788))))+1)</f>
        <v/>
      </c>
      <c r="EM788">
        <f>IF($DM788=0,"",$EL788+$EG788-1)</f>
        <v/>
      </c>
      <c r="EN788">
        <f>IF($DM788=0,0,IFERROR(MATCH(1,INDEX(--(TRIM(SUBSTITUTE(SUBSTITUTE(SUBSTITUTE(SUBSTITUTE(LINES_NAME&amp;""," "," "),CHAR(9)," "),CHAR(10)," "),CHAR(13)," "))=$DH788),0),0),0))</f>
        <v/>
      </c>
      <c r="EO788">
        <f>IF($EN788=0,0,IF(OR(UPPER(TRIM(INDEX(LINES_SCHEDULED,$EN788)&amp;""))="YES",UPPER(TRIM(INDEX(LINES_SCHEDULED,$EN788)&amp;""))="Y",UPPER(TRIM(INDEX(LINES_SCHEDULED,$EN788)&amp;""))="X"),1,0))</f>
        <v/>
      </c>
      <c r="EP788">
        <f>IF($DM788=0,"",IF(COUNTIFS($EG$5:$EG$1003,$EG788,$EB$5:$EB$1003,"Ready")&gt;0,"READY",IF(COUNTIFS($EG$5:$EG$1003,$EG788,$EB$5:$EB$1003,"PM")&gt;0,"PM",IF(COUNTIFS($EG$5:$EG$1003,$EG788,$EB$5:$EB$1003,"OT")&gt;0,"OT",""))))</f>
        <v/>
      </c>
      <c r="EQ788">
        <f>IF($EN788=0,"",UPPER(TRIM(INDEX(LINES_STATUS,$EN788)&amp;"")))</f>
        <v/>
      </c>
      <c r="ER788">
        <f>IF($DM788=0,"",IF(OR($EQ788="READY",$EQ788="PM",$EQ788="OT"),$EQ788,$EP788))</f>
        <v/>
      </c>
      <c r="ES788">
        <f>IF($DM788=0,"",IF(AND($DV788&lt;&gt;"",UPPER($DV788)&lt;&gt;"N"),"allergen",IF(ISNUMBER(SEARCH("oil",$DQ788)),"oil",IF(OR(EXACT($DS788,"A662"),EXACT($DS788,"A624")),"bulk",""))))</f>
        <v/>
      </c>
      <c r="ET788">
        <f>IF($DM788=0,"",IF(OR($EA788="",$EA788=0),"",$EA788/100))</f>
        <v/>
      </c>
      <c r="EU788">
        <f>IF(OR($ET788="",$DY788=""),"",INT($DY788*(1-$ET788)+0.5))</f>
        <v/>
      </c>
    </row>
    <row r="789">
      <c r="DA789" t="n">
        <v>785</v>
      </c>
      <c r="DB789">
        <f>IF($B$37=0,"",IFERROR(TRIM(SUBSTITUTE(SUBSTITUTE(SUBSTITUTE(SUBSTITUTE(INDEX(PASTE_ALL,785,$B$37)," "," "),CHAR(9)," "),CHAR(10)," "),CHAR(13)," ")),""))</f>
        <v/>
      </c>
      <c r="DC789">
        <f>IF(AND(785&gt;HEADER_ROW,UPPER(DB789)="LEGEND"),1,0)</f>
        <v/>
      </c>
      <c r="DE789" t="n">
        <v>785</v>
      </c>
      <c r="DF789">
        <f>HEADER_ROW+$DE789</f>
        <v/>
      </c>
      <c r="DG789">
        <f>IF(AND($DF789&lt;=1000,$DF789&lt;$B$8),1,0)</f>
        <v/>
      </c>
      <c r="DH789">
        <f>IF($DG789=1,IFERROR(INDEX($DB$5:$DB$1004,$DF789),""),"")</f>
        <v/>
      </c>
      <c r="DI789">
        <f>IF(AND($DG789=1,$DH789&lt;&gt;""),IFERROR(SUBSTITUTE(SUBSTITUTE(TRIM(SUBSTITUTE(SUBSTITUTE(SUBSTITUTE(SUBSTITUTE(IFERROR(INDEX(PASTE_ALL,$DF789,1)&amp;"","")&amp;"␟"&amp;IFERROR(INDEX(PASTE_ALL,$DF789,2)&amp;"","")&amp;"␟"&amp;IFERROR(INDEX(PASTE_ALL,$DF789,3)&amp;"","")&amp;"␟"&amp;IFERROR(INDEX(PASTE_ALL,$DF789,4)&amp;"","")&amp;"␟"&amp;IFERROR(INDEX(PASTE_ALL,$DF789,5)&amp;"","")&amp;"␟"&amp;IFERROR(INDEX(PASTE_ALL,$DF789,6)&amp;"","")&amp;"␟"&amp;IFERROR(INDEX(PASTE_ALL,$DF789,7)&amp;"","")&amp;"␟"&amp;IFERROR(INDEX(PASTE_ALL,$DF789,8)&amp;"","")&amp;"␟"&amp;IFERROR(INDEX(PASTE_ALL,$DF789,9)&amp;"","")&amp;"␟"&amp;IFERROR(INDEX(PASTE_ALL,$DF789,10)&amp;"","")&amp;"␟"&amp;IFERROR(INDEX(PASTE_ALL,$DF789,11)&amp;"","")&amp;"␟"&amp;IFERROR(INDEX(PASTE_ALL,$DF789,12)&amp;"","")&amp;"␟"&amp;IFERROR(INDEX(PASTE_ALL,$DF789,13)&amp;"","")&amp;"␟"&amp;IFERROR(INDEX(PASTE_ALL,$DF789,14)&amp;"","")&amp;"␟"&amp;IFERROR(INDEX(PASTE_ALL,$DF789,15)&amp;"","")&amp;"␟"&amp;IFERROR(INDEX(PASTE_ALL,$DF789,16)&amp;"","")&amp;"␟"&amp;IFERROR(INDEX(PASTE_ALL,$DF789,17)&amp;"","")&amp;"␟"&amp;IFERROR(INDEX(PASTE_ALL,$DF789,18)&amp;"","")&amp;"␟"&amp;IFERROR(INDEX(PASTE_ALL,$DF789,19)&amp;"","")&amp;"␟"&amp;IFERROR(INDEX(PASTE_ALL,$DF789,20)&amp;"","")&amp;"␟"&amp;IFERROR(INDEX(PASTE_ALL,$DF789,21)&amp;"","")&amp;"␟"&amp;IFERROR(INDEX(PASTE_ALL,$DF789,22)&amp;"","")&amp;"␟"&amp;IFERROR(INDEX(PASTE_ALL,$DF789,23)&amp;"","")&amp;"␟"&amp;IFERROR(INDEX(PASTE_ALL,$DF789,24)&amp;"","")&amp;"␟"&amp;IFERROR(INDEX(PASTE_ALL,$DF789,25)&amp;"","")&amp;"␟"&amp;IFERROR(INDEX(PASTE_ALL,$DF789,26)&amp;"","")&amp;"␟"&amp;IFERROR(INDEX(PASTE_ALL,$DF789,27)&amp;"","")&amp;"␟"&amp;IFERROR(INDEX(PASTE_ALL,$DF789,28)&amp;"","")&amp;"␟"&amp;IFERROR(INDEX(PASTE_ALL,$DF789,29)&amp;"","")&amp;"␟"&amp;IFERROR(INDEX(PASTE_ALL,$DF789,30)&amp;"","")&amp;"␟"&amp;IFERROR(INDEX(PASTE_ALL,$DF789,31)&amp;"","")&amp;"␟"&amp;IFERROR(INDEX(PASTE_ALL,$DF789,32)&amp;"","")&amp;"␟"&amp;IFERROR(INDEX(PASTE_ALL,$DF789,33)&amp;"","")&amp;"␟"&amp;IFERROR(INDEX(PASTE_ALL,$DF789,34)&amp;"","")&amp;"␟"&amp;IFERROR(INDEX(PASTE_ALL,$DF789,35)&amp;"","")&amp;"␟"&amp;IFERROR(INDEX(PASTE_ALL,$DF789,36)&amp;"","")&amp;"␟"&amp;IFERROR(INDEX(PASTE_ALL,$DF789,37)&amp;"","")&amp;"␟"&amp;IFERROR(INDEX(PASTE_ALL,$DF789,38)&amp;"","")&amp;"␟"&amp;IFERROR(INDEX(PASTE_ALL,$DF789,39)&amp;"","")&amp;"␟"&amp;IFERROR(INDEX(PASTE_ALL,$DF789,40)&amp;"","")&amp;"␟"&amp;IFERROR(INDEX(PASTE_ALL,$DF789,41)&amp;"","")&amp;"␟"&amp;IFERROR(INDEX(PASTE_ALL,$DF789,42)&amp;"","")&amp;"␟"&amp;IFERROR(INDEX(PASTE_ALL,$DF789,43)&amp;"","")&amp;"␟"&amp;IFERROR(INDEX(PASTE_ALL,$DF789,44)&amp;"","")&amp;"␟"&amp;IFERROR(INDEX(PASTE_ALL,$DF789,45)&amp;"","")&amp;"␟"&amp;IFERROR(INDEX(PASTE_ALL,$DF789,46)&amp;"","")&amp;"␟"&amp;IFERROR(INDEX(PASTE_ALL,$DF789,47)&amp;"","")&amp;"␟"&amp;IFERROR(INDEX(PASTE_ALL,$DF789,48)&amp;"","")&amp;"␟"&amp;IFERROR(INDEX(PASTE_ALL,$DF789,49)&amp;"","")&amp;"␟"&amp;IFERROR(INDEX(PASTE_ALL,$DF789,50)&amp;"","")&amp;"␟"&amp;IFERROR(INDEX(PASTE_ALL,$DF789,51)&amp;"","")&amp;"␟"&amp;IFERROR(INDEX(PASTE_ALL,$DF789,52)&amp;"","")&amp;"␟"&amp;IFERROR(INDEX(PASTE_ALL,$DF789,53)&amp;"","")&amp;"␟"&amp;IFERROR(INDEX(PASTE_ALL,$DF789,54)&amp;"","")&amp;"␟"&amp;IFERROR(INDEX(PASTE_ALL,$DF789,55)&amp;"","")&amp;"␟"&amp;IFERROR(INDEX(PASTE_ALL,$DF789,56)&amp;"","")&amp;"␟"&amp;IFERROR(INDEX(PASTE_ALL,$DF789,57)&amp;"","")&amp;"␟"&amp;IFERROR(INDEX(PASTE_ALL,$DF789,58)&amp;"","")&amp;"␟"&amp;IFERROR(INDEX(PASTE_ALL,$DF789,59)&amp;"","")&amp;"␟"&amp;IFERROR(INDEX(PASTE_ALL,$DF789,60)&amp;"","")," "," "),CHAR(9)," "),CHAR(10)," "),CHAR(13)," "))," ␟","␟"),"␟ ","␟"),"#"&amp;$DE789),"")</f>
        <v/>
      </c>
      <c r="DJ789">
        <f>IF($DI789="",0,IF(SUMPRODUCT(--EXACT($DI$4:DI788,$DI789))&gt;0,1,0))</f>
        <v/>
      </c>
      <c r="DK789">
        <f>IF(AND($DI789&lt;&gt;"",$DJ789=0),1,0)</f>
        <v/>
      </c>
      <c r="DL789">
        <f>DL788+$DK789</f>
        <v/>
      </c>
      <c r="DM789">
        <f>IF(AND($DK789=1,$DL789&lt;=600),1,0)</f>
        <v/>
      </c>
      <c r="DN789">
        <f>IF($DM789=0,"",IF($L$6=0,"",IFERROR(IF(ISNUMBER(INDEX(PASTE_ALL,$DF789,$L$6)),INDEX(PASTE_ALL,$DF789,$L$6),TRIM(SUBSTITUTE(SUBSTITUTE(SUBSTITUTE(SUBSTITUTE(INDEX(PASTE_ALL,$DF789,$L$6)," "," "),CHAR(9)," "),CHAR(10)," "),CHAR(13)," "))),"")))</f>
        <v/>
      </c>
      <c r="DO789">
        <f>IF($DM789=0,"",IF($L$7=0,"",IFERROR(IF(ISNUMBER(INDEX(PASTE_ALL,$DF789,$L$7)),INDEX(PASTE_ALL,$DF789,$L$7),TRIM(SUBSTITUTE(SUBSTITUTE(SUBSTITUTE(SUBSTITUTE(INDEX(PASTE_ALL,$DF789,$L$7)," "," "),CHAR(9)," "),CHAR(10)," "),CHAR(13)," "))),"")))</f>
        <v/>
      </c>
      <c r="DP789">
        <f>IF($DM789=0,"",IF($L$8=0,"",IFERROR(IF(ISNUMBER(INDEX(PASTE_ALL,$DF789,$L$8)),INDEX(PASTE_ALL,$DF789,$L$8),TRIM(SUBSTITUTE(SUBSTITUTE(SUBSTITUTE(SUBSTITUTE(INDEX(PASTE_ALL,$DF789,$L$8)," "," "),CHAR(9)," "),CHAR(10)," "),CHAR(13)," "))),"")))</f>
        <v/>
      </c>
      <c r="DQ789">
        <f>IF($DM789=0,"",IF($L$9=0,"",IFERROR(IF(ISNUMBER(INDEX(PASTE_ALL,$DF789,$L$9)),INDEX(PASTE_ALL,$DF789,$L$9),TRIM(SUBSTITUTE(SUBSTITUTE(SUBSTITUTE(SUBSTITUTE(INDEX(PASTE_ALL,$DF789,$L$9)," "," "),CHAR(9)," "),CHAR(10)," "),CHAR(13)," "))),"")))</f>
        <v/>
      </c>
      <c r="DR789">
        <f>IF($DM789=0,"",IF($L$10=0,"",IFERROR(IF(ISNUMBER(INDEX(PASTE_ALL,$DF789,$L$10)),INDEX(PASTE_ALL,$DF789,$L$10),TRIM(SUBSTITUTE(SUBSTITUTE(SUBSTITUTE(SUBSTITUTE(INDEX(PASTE_ALL,$DF789,$L$10)," "," "),CHAR(9)," "),CHAR(10)," "),CHAR(13)," "))),"")))</f>
        <v/>
      </c>
      <c r="DS789">
        <f>IF($DM789=0,"",IF($L$11=0,"",IFERROR(IF(ISNUMBER(INDEX(PASTE_ALL,$DF789,$L$11)),INDEX(PASTE_ALL,$DF789,$L$11),TRIM(SUBSTITUTE(SUBSTITUTE(SUBSTITUTE(SUBSTITUTE(INDEX(PASTE_ALL,$DF789,$L$11)," "," "),CHAR(9)," "),CHAR(10)," "),CHAR(13)," "))),"")))</f>
        <v/>
      </c>
      <c r="DT789">
        <f>IF($DM789=0,"",IF($L$12=0,"",IFERROR(IF(ISNUMBER(INDEX(PASTE_ALL,$DF789,$L$12)),INDEX(PASTE_ALL,$DF789,$L$12),TRIM(SUBSTITUTE(SUBSTITUTE(SUBSTITUTE(SUBSTITUTE(INDEX(PASTE_ALL,$DF789,$L$12)," "," "),CHAR(9)," "),CHAR(10)," "),CHAR(13)," "))),"")))</f>
        <v/>
      </c>
      <c r="DU789">
        <f>IF($DM789=0,"",IF($L$13=0,"",IFERROR(IF(ISNUMBER(INDEX(PASTE_ALL,$DF789,$L$13)),INDEX(PASTE_ALL,$DF789,$L$13),TRIM(SUBSTITUTE(SUBSTITUTE(SUBSTITUTE(SUBSTITUTE(INDEX(PASTE_ALL,$DF789,$L$13)," "," "),CHAR(9)," "),CHAR(10)," "),CHAR(13)," "))),"")))</f>
        <v/>
      </c>
      <c r="DV789">
        <f>IF($DM789=0,"",IF($L$14=0,"",IFERROR(IF(ISNUMBER(INDEX(PASTE_ALL,$DF789,$L$14)),INDEX(PASTE_ALL,$DF789,$L$14),TRIM(SUBSTITUTE(SUBSTITUTE(SUBSTITUTE(SUBSTITUTE(INDEX(PASTE_ALL,$DF789,$L$14)," "," "),CHAR(9)," "),CHAR(10)," "),CHAR(13)," "))),"")))</f>
        <v/>
      </c>
      <c r="DW789">
        <f>IF($DM789=0,"",IF($L$15=0,"",IFERROR(IF(ISNUMBER(INDEX(PASTE_ALL,$DF789,$L$15)),INDEX(PASTE_ALL,$DF789,$L$15),IF(SUMPRODUCT(--ISNUMBER(FIND({"A","B","C","D","E","F","G","H","I","J","K","L","M","N","O","P","Q","R","S","T","U","V","W","X","Y","Z","0","1","2","3","4","5","6","7","8","9"},UPPER(TRIM(SUBSTITUTE(SUBSTITUTE(SUBSTITUTE(SUBSTITUTE(INDEX(PASTE_ALL,$DF789,$L$15)," "," "),CHAR(9)," "),CHAR(10)," "),CHAR(13)," "))))))&gt;0,TRIM(SUBSTITUTE(SUBSTITUTE(SUBSTITUTE(SUBSTITUTE(INDEX(PASTE_ALL,$DF789,$L$15)," "," "),CHAR(9)," "),CHAR(10)," "),CHAR(13)," ")),"")),"")))</f>
        <v/>
      </c>
      <c r="DX789">
        <f>IF($DM789=0,"",IF($L$16=0,"",IFERROR(IF(ISNUMBER(INDEX(PASTE_ALL,$DF789,$L$16)),INDEX(PASTE_ALL,$DF789,$L$16),SUBSTITUTE(SUBSTITUTE(TRIM(SUBSTITUTE(SUBSTITUTE(SUBSTITUTE(SUBSTITUTE(INDEX(PASTE_ALL,$DF789,$L$16)," "," "),CHAR(9)," "),CHAR(10)," "),CHAR(13)," ")),",",""),"%","")),"")))</f>
        <v/>
      </c>
      <c r="DY789">
        <f>IF($DM789=0,"",IFERROR(IF(ISNUMBER($DX789),$DX789,IF($DX789="","",IF(TRIM($DX789)="",0,IF(AND(AND(SUBSTITUTE(SUBSTITUTE(SUBSTITUTE(SUBSTITUTE(SUBSTITUTE(SUBSTITUTE(SUBSTITUTE(SUBSTITUTE(SUBSTITUTE(SUBSTITUTE(SUBSTITUTE(SUBSTITUTE(SUBSTITUTE(SUBSTITUTE(UPPER(TRIM($DX789)),"0",""),"1",""),"2",""),"3",""),"4",""),"5",""),"6",""),"7",""),"8",""),"9",""),".",""),"+",""),"-",""),"E","")="",LEN(SUBSTITUTE(SUBSTITUTE(MID(UPPER(TRIM($DX789)),1+OR(LEFT(UPPER(TRIM($DX789)),1)="+",LEFT(UPPER(TRIM($DX789)),1)="-"),999),"E+","E"),"E-","E"))=LEN(SUBSTITUTE(SUBSTITUTE(SUBSTITUTE(SUBSTITUTE(MID(UPPER(TRIM($DX789)),1+OR(LEFT(UPPER(TRIM($DX789)),1)="+",LEFT(UPPER(TRIM($DX789)),1)="-"),999),"E+","E"),"E-","E"),"+",""),"-","")),LEN(UPPER(TRIM($DX789)))-LEN(SUBSTITUTE(UPPER(TRIM($DX789)),"E",""))&lt;2,LEN(UPPER(TRIM($DX789)))-LEN(SUBSTITUTE(UPPER(TRIM($DX789)),".",""))&lt;2,IFERROR(FIND(".",UPPER(TRIM($DX789))),0)&lt;IFERROR(FIND("E",UPPER(TRIM($DX789))),999)),ISNUMBER(VALUE(TRIM($DX789)))),VALUE(TRIM($DX789)),"")))),""))</f>
        <v/>
      </c>
      <c r="DZ789">
        <f>IF($DM789=0,"",IF($L$17=0,"",IFERROR(IF(ISNUMBER(INDEX(PASTE_ALL,$DF789,$L$17)),INDEX(PASTE_ALL,$DF789,$L$17),SUBSTITUTE(SUBSTITUTE(TRIM(SUBSTITUTE(SUBSTITUTE(SUBSTITUTE(SUBSTITUTE(INDEX(PASTE_ALL,$DF789,$L$17)," "," "),CHAR(9)," "),CHAR(10)," "),CHAR(13)," ")),",",""),"%","")),"")))</f>
        <v/>
      </c>
      <c r="EA789">
        <f>IF($DM789=0,"",IFERROR(IF(ISNUMBER($DZ789),$DZ789,IF($DZ789="","",IF(TRIM($DZ789)="",0,IF(AND(AND(SUBSTITUTE(SUBSTITUTE(SUBSTITUTE(SUBSTITUTE(SUBSTITUTE(SUBSTITUTE(SUBSTITUTE(SUBSTITUTE(SUBSTITUTE(SUBSTITUTE(SUBSTITUTE(SUBSTITUTE(SUBSTITUTE(SUBSTITUTE(UPPER(TRIM($DZ789)),"0",""),"1",""),"2",""),"3",""),"4",""),"5",""),"6",""),"7",""),"8",""),"9",""),".",""),"+",""),"-",""),"E","")="",LEN(SUBSTITUTE(SUBSTITUTE(MID(UPPER(TRIM($DZ789)),1+OR(LEFT(UPPER(TRIM($DZ789)),1)="+",LEFT(UPPER(TRIM($DZ789)),1)="-"),999),"E+","E"),"E-","E"))=LEN(SUBSTITUTE(SUBSTITUTE(SUBSTITUTE(SUBSTITUTE(MID(UPPER(TRIM($DZ789)),1+OR(LEFT(UPPER(TRIM($DZ789)),1)="+",LEFT(UPPER(TRIM($DZ789)),1)="-"),999),"E+","E"),"E-","E"),"+",""),"-","")),LEN(UPPER(TRIM($DZ789)))-LEN(SUBSTITUTE(UPPER(TRIM($DZ789)),"E",""))&lt;2,LEN(UPPER(TRIM($DZ789)))-LEN(SUBSTITUTE(UPPER(TRIM($DZ789)),".",""))&lt;2,IFERROR(FIND(".",UPPER(TRIM($DZ789))),0)&lt;IFERROR(FIND("E",UPPER(TRIM($DZ789))),999)),ISNUMBER(VALUE(TRIM($DZ789)))),VALUE(TRIM($DZ789)),"")))),""))</f>
        <v/>
      </c>
      <c r="EB789">
        <f>IF($DM789=0,"",IF($L$18=0,"",IFERROR(IF(UPPER(TRIM(SUBSTITUTE(SUBSTITUTE(SUBSTITUTE(SUBSTITUTE(INDEX(PASTE_ALL,$DF789,$L$18)," "," "),CHAR(9)," "),CHAR(10)," "),CHAR(13)," ")))="READY","Ready",IF(UPPER(TRIM(SUBSTITUTE(SUBSTITUTE(SUBSTITUTE(SUBSTITUTE(INDEX(PASTE_ALL,$DF789,$L$18)," "," "),CHAR(9)," "),CHAR(10)," "),CHAR(13)," ")))="PM","PM",IF(OR(UPPER(TRIM(SUBSTITUTE(SUBSTITUTE(SUBSTITUTE(SUBSTITUTE(INDEX(PASTE_ALL,$DF789,$L$18)," "," "),CHAR(9)," "),CHAR(10)," "),CHAR(13)," ")))="OT",UPPER(TRIM(SUBSTITUTE(SUBSTITUTE(SUBSTITUTE(SUBSTITUTE(INDEX(PASTE_ALL,$DF789,$L$18)," "," "),CHAR(9)," "),CHAR(10)," "),CHAR(13)," ")))="OVERTIME",UPPER(TRIM(SUBSTITUTE(SUBSTITUTE(SUBSTITUTE(SUBSTITUTE(INDEX(PASTE_ALL,$DF789,$L$18)," "," "),CHAR(9)," "),CHAR(10)," "),CHAR(13)," ")))="TRIAL"),"OT",TRIM(SUBSTITUTE(SUBSTITUTE(SUBSTITUTE(SUBSTITUTE(INDEX(PASTE_ALL,$DF789,$L$18)," "," "),CHAR(9)," "),CHAR(10)," "),CHAR(13)," "))))),"")))</f>
        <v/>
      </c>
      <c r="EC789">
        <f>IF($DM789=0,"",IF($L$19=0,"",IFERROR(IF(ISNUMBER(INDEX(PASTE_ALL,$DF789,$L$19)),INDEX(PASTE_ALL,$DF789,$L$19),TRIM(SUBSTITUTE(SUBSTITUTE(SUBSTITUTE(SUBSTITUTE(INDEX(PASTE_ALL,$DF789,$L$19)," "," "),CHAR(9)," "),CHAR(10)," "),CHAR(13)," "))),"")))</f>
        <v/>
      </c>
      <c r="ED789">
        <f>IF($DM789=0,"",MATCH(1,INDEX(EXACT($DH$5:DH789,$DH789)*$DM$5:DM789,0),0))</f>
        <v/>
      </c>
      <c r="EE789">
        <f>IF($DM789=0,0,IF($ED789=$DE789,1,0))</f>
        <v/>
      </c>
      <c r="EF789">
        <f>EF788+$EE789</f>
        <v/>
      </c>
      <c r="EG789">
        <f>IF($DM789=0,"",INDEX($EF$5:$EF$1003,$ED789))</f>
        <v/>
      </c>
      <c r="EH789">
        <f>IF($DM789=0,"",IF($DO789&lt;&gt;"","",IFERROR(LOOKUP(2,1/(($EG$4:EG788=$EG789)*($DO$4:DO788&lt;&gt;"")),$DO$4:DO788),"")))</f>
        <v/>
      </c>
      <c r="EI789">
        <f>IF($DM789=0,"",IF($DO789&lt;&gt;"",$DO789,$EH789))</f>
        <v/>
      </c>
      <c r="EJ789">
        <f>IF($DM789=0,"",IF($EI789="",0,IF(OR(ISNUMBER($EI789),AND(AND(SUBSTITUTE(SUBSTITUTE(SUBSTITUTE(SUBSTITUTE(SUBSTITUTE(SUBSTITUTE(SUBSTITUTE(SUBSTITUTE(SUBSTITUTE(SUBSTITUTE(SUBSTITUTE(SUBSTITUTE(SUBSTITUTE(SUBSTITUTE(UPPER($EI789),"0",""),"1",""),"2",""),"3",""),"4",""),"5",""),"6",""),"7",""),"8",""),"9",""),".",""),"+",""),"-",""),"E","")="",LEN(SUBSTITUTE(SUBSTITUTE(MID(UPPER($EI789),1+OR(LEFT(UPPER($EI789),1)="+",LEFT(UPPER($EI789),1)="-"),999),"E+","E"),"E-","E"))=LEN(SUBSTITUTE(SUBSTITUTE(SUBSTITUTE(SUBSTITUTE(MID(UPPER($EI789),1+OR(LEFT(UPPER($EI789),1)="+",LEFT(UPPER($EI789),1)="-"),999),"E+","E"),"E-","E"),"+",""),"-","")),LEN(UPPER($EI789))-LEN(SUBSTITUTE(UPPER($EI789),"E",""))&lt;2,LEN(UPPER($EI789))-LEN(SUBSTITUTE(UPPER($EI789),".",""))&lt;2,IFERROR(FIND(".",UPPER($EI789)),0)&lt;IFERROR(FIND("E",UPPER($EI789)),999)),ISNUMBER(VALUE($EI789)))),1,2)))</f>
        <v/>
      </c>
      <c r="EK789">
        <f>IF($DM789=0,"",IF($EJ789=1,IF(ISNUMBER($EI789),$EI789,VALUE($EI789)),IF($EJ789=2,$DE789,0)))</f>
        <v/>
      </c>
      <c r="EL789">
        <f>IF($DM789=0,"",COUNTIF($EG$5:$EG$1003,"&lt;"&amp;$EG789)+SUMPRODUCT(($EG$5:$EG$1003=$EG789)*(($EJ$5:$EJ$1003&lt;$EJ789)+($EJ$5:$EJ$1003=$EJ789)*(($EK$5:$EK$1003&lt;$EK789)+($EK$5:$EK$1003=$EK789)*($DE$5:$DE$1003&lt;$DE789))))+1)</f>
        <v/>
      </c>
      <c r="EM789">
        <f>IF($DM789=0,"",$EL789+$EG789-1)</f>
        <v/>
      </c>
      <c r="EN789">
        <f>IF($DM789=0,0,IFERROR(MATCH(1,INDEX(--(TRIM(SUBSTITUTE(SUBSTITUTE(SUBSTITUTE(SUBSTITUTE(LINES_NAME&amp;""," "," "),CHAR(9)," "),CHAR(10)," "),CHAR(13)," "))=$DH789),0),0),0))</f>
        <v/>
      </c>
      <c r="EO789">
        <f>IF($EN789=0,0,IF(OR(UPPER(TRIM(INDEX(LINES_SCHEDULED,$EN789)&amp;""))="YES",UPPER(TRIM(INDEX(LINES_SCHEDULED,$EN789)&amp;""))="Y",UPPER(TRIM(INDEX(LINES_SCHEDULED,$EN789)&amp;""))="X"),1,0))</f>
        <v/>
      </c>
      <c r="EP789">
        <f>IF($DM789=0,"",IF(COUNTIFS($EG$5:$EG$1003,$EG789,$EB$5:$EB$1003,"Ready")&gt;0,"READY",IF(COUNTIFS($EG$5:$EG$1003,$EG789,$EB$5:$EB$1003,"PM")&gt;0,"PM",IF(COUNTIFS($EG$5:$EG$1003,$EG789,$EB$5:$EB$1003,"OT")&gt;0,"OT",""))))</f>
        <v/>
      </c>
      <c r="EQ789">
        <f>IF($EN789=0,"",UPPER(TRIM(INDEX(LINES_STATUS,$EN789)&amp;"")))</f>
        <v/>
      </c>
      <c r="ER789">
        <f>IF($DM789=0,"",IF(OR($EQ789="READY",$EQ789="PM",$EQ789="OT"),$EQ789,$EP789))</f>
        <v/>
      </c>
      <c r="ES789">
        <f>IF($DM789=0,"",IF(AND($DV789&lt;&gt;"",UPPER($DV789)&lt;&gt;"N"),"allergen",IF(ISNUMBER(SEARCH("oil",$DQ789)),"oil",IF(OR(EXACT($DS789,"A662"),EXACT($DS789,"A624")),"bulk",""))))</f>
        <v/>
      </c>
      <c r="ET789">
        <f>IF($DM789=0,"",IF(OR($EA789="",$EA789=0),"",$EA789/100))</f>
        <v/>
      </c>
      <c r="EU789">
        <f>IF(OR($ET789="",$DY789=""),"",INT($DY789*(1-$ET789)+0.5))</f>
        <v/>
      </c>
    </row>
    <row r="790">
      <c r="DA790" t="n">
        <v>786</v>
      </c>
      <c r="DB790">
        <f>IF($B$37=0,"",IFERROR(TRIM(SUBSTITUTE(SUBSTITUTE(SUBSTITUTE(SUBSTITUTE(INDEX(PASTE_ALL,786,$B$37)," "," "),CHAR(9)," "),CHAR(10)," "),CHAR(13)," ")),""))</f>
        <v/>
      </c>
      <c r="DC790">
        <f>IF(AND(786&gt;HEADER_ROW,UPPER(DB790)="LEGEND"),1,0)</f>
        <v/>
      </c>
      <c r="DE790" t="n">
        <v>786</v>
      </c>
      <c r="DF790">
        <f>HEADER_ROW+$DE790</f>
        <v/>
      </c>
      <c r="DG790">
        <f>IF(AND($DF790&lt;=1000,$DF790&lt;$B$8),1,0)</f>
        <v/>
      </c>
      <c r="DH790">
        <f>IF($DG790=1,IFERROR(INDEX($DB$5:$DB$1004,$DF790),""),"")</f>
        <v/>
      </c>
      <c r="DI790">
        <f>IF(AND($DG790=1,$DH790&lt;&gt;""),IFERROR(SUBSTITUTE(SUBSTITUTE(TRIM(SUBSTITUTE(SUBSTITUTE(SUBSTITUTE(SUBSTITUTE(IFERROR(INDEX(PASTE_ALL,$DF790,1)&amp;"","")&amp;"␟"&amp;IFERROR(INDEX(PASTE_ALL,$DF790,2)&amp;"","")&amp;"␟"&amp;IFERROR(INDEX(PASTE_ALL,$DF790,3)&amp;"","")&amp;"␟"&amp;IFERROR(INDEX(PASTE_ALL,$DF790,4)&amp;"","")&amp;"␟"&amp;IFERROR(INDEX(PASTE_ALL,$DF790,5)&amp;"","")&amp;"␟"&amp;IFERROR(INDEX(PASTE_ALL,$DF790,6)&amp;"","")&amp;"␟"&amp;IFERROR(INDEX(PASTE_ALL,$DF790,7)&amp;"","")&amp;"␟"&amp;IFERROR(INDEX(PASTE_ALL,$DF790,8)&amp;"","")&amp;"␟"&amp;IFERROR(INDEX(PASTE_ALL,$DF790,9)&amp;"","")&amp;"␟"&amp;IFERROR(INDEX(PASTE_ALL,$DF790,10)&amp;"","")&amp;"␟"&amp;IFERROR(INDEX(PASTE_ALL,$DF790,11)&amp;"","")&amp;"␟"&amp;IFERROR(INDEX(PASTE_ALL,$DF790,12)&amp;"","")&amp;"␟"&amp;IFERROR(INDEX(PASTE_ALL,$DF790,13)&amp;"","")&amp;"␟"&amp;IFERROR(INDEX(PASTE_ALL,$DF790,14)&amp;"","")&amp;"␟"&amp;IFERROR(INDEX(PASTE_ALL,$DF790,15)&amp;"","")&amp;"␟"&amp;IFERROR(INDEX(PASTE_ALL,$DF790,16)&amp;"","")&amp;"␟"&amp;IFERROR(INDEX(PASTE_ALL,$DF790,17)&amp;"","")&amp;"␟"&amp;IFERROR(INDEX(PASTE_ALL,$DF790,18)&amp;"","")&amp;"␟"&amp;IFERROR(INDEX(PASTE_ALL,$DF790,19)&amp;"","")&amp;"␟"&amp;IFERROR(INDEX(PASTE_ALL,$DF790,20)&amp;"","")&amp;"␟"&amp;IFERROR(INDEX(PASTE_ALL,$DF790,21)&amp;"","")&amp;"␟"&amp;IFERROR(INDEX(PASTE_ALL,$DF790,22)&amp;"","")&amp;"␟"&amp;IFERROR(INDEX(PASTE_ALL,$DF790,23)&amp;"","")&amp;"␟"&amp;IFERROR(INDEX(PASTE_ALL,$DF790,24)&amp;"","")&amp;"␟"&amp;IFERROR(INDEX(PASTE_ALL,$DF790,25)&amp;"","")&amp;"␟"&amp;IFERROR(INDEX(PASTE_ALL,$DF790,26)&amp;"","")&amp;"␟"&amp;IFERROR(INDEX(PASTE_ALL,$DF790,27)&amp;"","")&amp;"␟"&amp;IFERROR(INDEX(PASTE_ALL,$DF790,28)&amp;"","")&amp;"␟"&amp;IFERROR(INDEX(PASTE_ALL,$DF790,29)&amp;"","")&amp;"␟"&amp;IFERROR(INDEX(PASTE_ALL,$DF790,30)&amp;"","")&amp;"␟"&amp;IFERROR(INDEX(PASTE_ALL,$DF790,31)&amp;"","")&amp;"␟"&amp;IFERROR(INDEX(PASTE_ALL,$DF790,32)&amp;"","")&amp;"␟"&amp;IFERROR(INDEX(PASTE_ALL,$DF790,33)&amp;"","")&amp;"␟"&amp;IFERROR(INDEX(PASTE_ALL,$DF790,34)&amp;"","")&amp;"␟"&amp;IFERROR(INDEX(PASTE_ALL,$DF790,35)&amp;"","")&amp;"␟"&amp;IFERROR(INDEX(PASTE_ALL,$DF790,36)&amp;"","")&amp;"␟"&amp;IFERROR(INDEX(PASTE_ALL,$DF790,37)&amp;"","")&amp;"␟"&amp;IFERROR(INDEX(PASTE_ALL,$DF790,38)&amp;"","")&amp;"␟"&amp;IFERROR(INDEX(PASTE_ALL,$DF790,39)&amp;"","")&amp;"␟"&amp;IFERROR(INDEX(PASTE_ALL,$DF790,40)&amp;"","")&amp;"␟"&amp;IFERROR(INDEX(PASTE_ALL,$DF790,41)&amp;"","")&amp;"␟"&amp;IFERROR(INDEX(PASTE_ALL,$DF790,42)&amp;"","")&amp;"␟"&amp;IFERROR(INDEX(PASTE_ALL,$DF790,43)&amp;"","")&amp;"␟"&amp;IFERROR(INDEX(PASTE_ALL,$DF790,44)&amp;"","")&amp;"␟"&amp;IFERROR(INDEX(PASTE_ALL,$DF790,45)&amp;"","")&amp;"␟"&amp;IFERROR(INDEX(PASTE_ALL,$DF790,46)&amp;"","")&amp;"␟"&amp;IFERROR(INDEX(PASTE_ALL,$DF790,47)&amp;"","")&amp;"␟"&amp;IFERROR(INDEX(PASTE_ALL,$DF790,48)&amp;"","")&amp;"␟"&amp;IFERROR(INDEX(PASTE_ALL,$DF790,49)&amp;"","")&amp;"␟"&amp;IFERROR(INDEX(PASTE_ALL,$DF790,50)&amp;"","")&amp;"␟"&amp;IFERROR(INDEX(PASTE_ALL,$DF790,51)&amp;"","")&amp;"␟"&amp;IFERROR(INDEX(PASTE_ALL,$DF790,52)&amp;"","")&amp;"␟"&amp;IFERROR(INDEX(PASTE_ALL,$DF790,53)&amp;"","")&amp;"␟"&amp;IFERROR(INDEX(PASTE_ALL,$DF790,54)&amp;"","")&amp;"␟"&amp;IFERROR(INDEX(PASTE_ALL,$DF790,55)&amp;"","")&amp;"␟"&amp;IFERROR(INDEX(PASTE_ALL,$DF790,56)&amp;"","")&amp;"␟"&amp;IFERROR(INDEX(PASTE_ALL,$DF790,57)&amp;"","")&amp;"␟"&amp;IFERROR(INDEX(PASTE_ALL,$DF790,58)&amp;"","")&amp;"␟"&amp;IFERROR(INDEX(PASTE_ALL,$DF790,59)&amp;"","")&amp;"␟"&amp;IFERROR(INDEX(PASTE_ALL,$DF790,60)&amp;"","")," "," "),CHAR(9)," "),CHAR(10)," "),CHAR(13)," "))," ␟","␟"),"␟ ","␟"),"#"&amp;$DE790),"")</f>
        <v/>
      </c>
      <c r="DJ790">
        <f>IF($DI790="",0,IF(SUMPRODUCT(--EXACT($DI$4:DI789,$DI790))&gt;0,1,0))</f>
        <v/>
      </c>
      <c r="DK790">
        <f>IF(AND($DI790&lt;&gt;"",$DJ790=0),1,0)</f>
        <v/>
      </c>
      <c r="DL790">
        <f>DL789+$DK790</f>
        <v/>
      </c>
      <c r="DM790">
        <f>IF(AND($DK790=1,$DL790&lt;=600),1,0)</f>
        <v/>
      </c>
      <c r="DN790">
        <f>IF($DM790=0,"",IF($L$6=0,"",IFERROR(IF(ISNUMBER(INDEX(PASTE_ALL,$DF790,$L$6)),INDEX(PASTE_ALL,$DF790,$L$6),TRIM(SUBSTITUTE(SUBSTITUTE(SUBSTITUTE(SUBSTITUTE(INDEX(PASTE_ALL,$DF790,$L$6)," "," "),CHAR(9)," "),CHAR(10)," "),CHAR(13)," "))),"")))</f>
        <v/>
      </c>
      <c r="DO790">
        <f>IF($DM790=0,"",IF($L$7=0,"",IFERROR(IF(ISNUMBER(INDEX(PASTE_ALL,$DF790,$L$7)),INDEX(PASTE_ALL,$DF790,$L$7),TRIM(SUBSTITUTE(SUBSTITUTE(SUBSTITUTE(SUBSTITUTE(INDEX(PASTE_ALL,$DF790,$L$7)," "," "),CHAR(9)," "),CHAR(10)," "),CHAR(13)," "))),"")))</f>
        <v/>
      </c>
      <c r="DP790">
        <f>IF($DM790=0,"",IF($L$8=0,"",IFERROR(IF(ISNUMBER(INDEX(PASTE_ALL,$DF790,$L$8)),INDEX(PASTE_ALL,$DF790,$L$8),TRIM(SUBSTITUTE(SUBSTITUTE(SUBSTITUTE(SUBSTITUTE(INDEX(PASTE_ALL,$DF790,$L$8)," "," "),CHAR(9)," "),CHAR(10)," "),CHAR(13)," "))),"")))</f>
        <v/>
      </c>
      <c r="DQ790">
        <f>IF($DM790=0,"",IF($L$9=0,"",IFERROR(IF(ISNUMBER(INDEX(PASTE_ALL,$DF790,$L$9)),INDEX(PASTE_ALL,$DF790,$L$9),TRIM(SUBSTITUTE(SUBSTITUTE(SUBSTITUTE(SUBSTITUTE(INDEX(PASTE_ALL,$DF790,$L$9)," "," "),CHAR(9)," "),CHAR(10)," "),CHAR(13)," "))),"")))</f>
        <v/>
      </c>
      <c r="DR790">
        <f>IF($DM790=0,"",IF($L$10=0,"",IFERROR(IF(ISNUMBER(INDEX(PASTE_ALL,$DF790,$L$10)),INDEX(PASTE_ALL,$DF790,$L$10),TRIM(SUBSTITUTE(SUBSTITUTE(SUBSTITUTE(SUBSTITUTE(INDEX(PASTE_ALL,$DF790,$L$10)," "," "),CHAR(9)," "),CHAR(10)," "),CHAR(13)," "))),"")))</f>
        <v/>
      </c>
      <c r="DS790">
        <f>IF($DM790=0,"",IF($L$11=0,"",IFERROR(IF(ISNUMBER(INDEX(PASTE_ALL,$DF790,$L$11)),INDEX(PASTE_ALL,$DF790,$L$11),TRIM(SUBSTITUTE(SUBSTITUTE(SUBSTITUTE(SUBSTITUTE(INDEX(PASTE_ALL,$DF790,$L$11)," "," "),CHAR(9)," "),CHAR(10)," "),CHAR(13)," "))),"")))</f>
        <v/>
      </c>
      <c r="DT790">
        <f>IF($DM790=0,"",IF($L$12=0,"",IFERROR(IF(ISNUMBER(INDEX(PASTE_ALL,$DF790,$L$12)),INDEX(PASTE_ALL,$DF790,$L$12),TRIM(SUBSTITUTE(SUBSTITUTE(SUBSTITUTE(SUBSTITUTE(INDEX(PASTE_ALL,$DF790,$L$12)," "," "),CHAR(9)," "),CHAR(10)," "),CHAR(13)," "))),"")))</f>
        <v/>
      </c>
      <c r="DU790">
        <f>IF($DM790=0,"",IF($L$13=0,"",IFERROR(IF(ISNUMBER(INDEX(PASTE_ALL,$DF790,$L$13)),INDEX(PASTE_ALL,$DF790,$L$13),TRIM(SUBSTITUTE(SUBSTITUTE(SUBSTITUTE(SUBSTITUTE(INDEX(PASTE_ALL,$DF790,$L$13)," "," "),CHAR(9)," "),CHAR(10)," "),CHAR(13)," "))),"")))</f>
        <v/>
      </c>
      <c r="DV790">
        <f>IF($DM790=0,"",IF($L$14=0,"",IFERROR(IF(ISNUMBER(INDEX(PASTE_ALL,$DF790,$L$14)),INDEX(PASTE_ALL,$DF790,$L$14),TRIM(SUBSTITUTE(SUBSTITUTE(SUBSTITUTE(SUBSTITUTE(INDEX(PASTE_ALL,$DF790,$L$14)," "," "),CHAR(9)," "),CHAR(10)," "),CHAR(13)," "))),"")))</f>
        <v/>
      </c>
      <c r="DW790">
        <f>IF($DM790=0,"",IF($L$15=0,"",IFERROR(IF(ISNUMBER(INDEX(PASTE_ALL,$DF790,$L$15)),INDEX(PASTE_ALL,$DF790,$L$15),IF(SUMPRODUCT(--ISNUMBER(FIND({"A","B","C","D","E","F","G","H","I","J","K","L","M","N","O","P","Q","R","S","T","U","V","W","X","Y","Z","0","1","2","3","4","5","6","7","8","9"},UPPER(TRIM(SUBSTITUTE(SUBSTITUTE(SUBSTITUTE(SUBSTITUTE(INDEX(PASTE_ALL,$DF790,$L$15)," "," "),CHAR(9)," "),CHAR(10)," "),CHAR(13)," "))))))&gt;0,TRIM(SUBSTITUTE(SUBSTITUTE(SUBSTITUTE(SUBSTITUTE(INDEX(PASTE_ALL,$DF790,$L$15)," "," "),CHAR(9)," "),CHAR(10)," "),CHAR(13)," ")),"")),"")))</f>
        <v/>
      </c>
      <c r="DX790">
        <f>IF($DM790=0,"",IF($L$16=0,"",IFERROR(IF(ISNUMBER(INDEX(PASTE_ALL,$DF790,$L$16)),INDEX(PASTE_ALL,$DF790,$L$16),SUBSTITUTE(SUBSTITUTE(TRIM(SUBSTITUTE(SUBSTITUTE(SUBSTITUTE(SUBSTITUTE(INDEX(PASTE_ALL,$DF790,$L$16)," "," "),CHAR(9)," "),CHAR(10)," "),CHAR(13)," ")),",",""),"%","")),"")))</f>
        <v/>
      </c>
      <c r="DY790">
        <f>IF($DM790=0,"",IFERROR(IF(ISNUMBER($DX790),$DX790,IF($DX790="","",IF(TRIM($DX790)="",0,IF(AND(AND(SUBSTITUTE(SUBSTITUTE(SUBSTITUTE(SUBSTITUTE(SUBSTITUTE(SUBSTITUTE(SUBSTITUTE(SUBSTITUTE(SUBSTITUTE(SUBSTITUTE(SUBSTITUTE(SUBSTITUTE(SUBSTITUTE(SUBSTITUTE(UPPER(TRIM($DX790)),"0",""),"1",""),"2",""),"3",""),"4",""),"5",""),"6",""),"7",""),"8",""),"9",""),".",""),"+",""),"-",""),"E","")="",LEN(SUBSTITUTE(SUBSTITUTE(MID(UPPER(TRIM($DX790)),1+OR(LEFT(UPPER(TRIM($DX790)),1)="+",LEFT(UPPER(TRIM($DX790)),1)="-"),999),"E+","E"),"E-","E"))=LEN(SUBSTITUTE(SUBSTITUTE(SUBSTITUTE(SUBSTITUTE(MID(UPPER(TRIM($DX790)),1+OR(LEFT(UPPER(TRIM($DX790)),1)="+",LEFT(UPPER(TRIM($DX790)),1)="-"),999),"E+","E"),"E-","E"),"+",""),"-","")),LEN(UPPER(TRIM($DX790)))-LEN(SUBSTITUTE(UPPER(TRIM($DX790)),"E",""))&lt;2,LEN(UPPER(TRIM($DX790)))-LEN(SUBSTITUTE(UPPER(TRIM($DX790)),".",""))&lt;2,IFERROR(FIND(".",UPPER(TRIM($DX790))),0)&lt;IFERROR(FIND("E",UPPER(TRIM($DX790))),999)),ISNUMBER(VALUE(TRIM($DX790)))),VALUE(TRIM($DX790)),"")))),""))</f>
        <v/>
      </c>
      <c r="DZ790">
        <f>IF($DM790=0,"",IF($L$17=0,"",IFERROR(IF(ISNUMBER(INDEX(PASTE_ALL,$DF790,$L$17)),INDEX(PASTE_ALL,$DF790,$L$17),SUBSTITUTE(SUBSTITUTE(TRIM(SUBSTITUTE(SUBSTITUTE(SUBSTITUTE(SUBSTITUTE(INDEX(PASTE_ALL,$DF790,$L$17)," "," "),CHAR(9)," "),CHAR(10)," "),CHAR(13)," ")),",",""),"%","")),"")))</f>
        <v/>
      </c>
      <c r="EA790">
        <f>IF($DM790=0,"",IFERROR(IF(ISNUMBER($DZ790),$DZ790,IF($DZ790="","",IF(TRIM($DZ790)="",0,IF(AND(AND(SUBSTITUTE(SUBSTITUTE(SUBSTITUTE(SUBSTITUTE(SUBSTITUTE(SUBSTITUTE(SUBSTITUTE(SUBSTITUTE(SUBSTITUTE(SUBSTITUTE(SUBSTITUTE(SUBSTITUTE(SUBSTITUTE(SUBSTITUTE(UPPER(TRIM($DZ790)),"0",""),"1",""),"2",""),"3",""),"4",""),"5",""),"6",""),"7",""),"8",""),"9",""),".",""),"+",""),"-",""),"E","")="",LEN(SUBSTITUTE(SUBSTITUTE(MID(UPPER(TRIM($DZ790)),1+OR(LEFT(UPPER(TRIM($DZ790)),1)="+",LEFT(UPPER(TRIM($DZ790)),1)="-"),999),"E+","E"),"E-","E"))=LEN(SUBSTITUTE(SUBSTITUTE(SUBSTITUTE(SUBSTITUTE(MID(UPPER(TRIM($DZ790)),1+OR(LEFT(UPPER(TRIM($DZ790)),1)="+",LEFT(UPPER(TRIM($DZ790)),1)="-"),999),"E+","E"),"E-","E"),"+",""),"-","")),LEN(UPPER(TRIM($DZ790)))-LEN(SUBSTITUTE(UPPER(TRIM($DZ790)),"E",""))&lt;2,LEN(UPPER(TRIM($DZ790)))-LEN(SUBSTITUTE(UPPER(TRIM($DZ790)),".",""))&lt;2,IFERROR(FIND(".",UPPER(TRIM($DZ790))),0)&lt;IFERROR(FIND("E",UPPER(TRIM($DZ790))),999)),ISNUMBER(VALUE(TRIM($DZ790)))),VALUE(TRIM($DZ790)),"")))),""))</f>
        <v/>
      </c>
      <c r="EB790">
        <f>IF($DM790=0,"",IF($L$18=0,"",IFERROR(IF(UPPER(TRIM(SUBSTITUTE(SUBSTITUTE(SUBSTITUTE(SUBSTITUTE(INDEX(PASTE_ALL,$DF790,$L$18)," "," "),CHAR(9)," "),CHAR(10)," "),CHAR(13)," ")))="READY","Ready",IF(UPPER(TRIM(SUBSTITUTE(SUBSTITUTE(SUBSTITUTE(SUBSTITUTE(INDEX(PASTE_ALL,$DF790,$L$18)," "," "),CHAR(9)," "),CHAR(10)," "),CHAR(13)," ")))="PM","PM",IF(OR(UPPER(TRIM(SUBSTITUTE(SUBSTITUTE(SUBSTITUTE(SUBSTITUTE(INDEX(PASTE_ALL,$DF790,$L$18)," "," "),CHAR(9)," "),CHAR(10)," "),CHAR(13)," ")))="OT",UPPER(TRIM(SUBSTITUTE(SUBSTITUTE(SUBSTITUTE(SUBSTITUTE(INDEX(PASTE_ALL,$DF790,$L$18)," "," "),CHAR(9)," "),CHAR(10)," "),CHAR(13)," ")))="OVERTIME",UPPER(TRIM(SUBSTITUTE(SUBSTITUTE(SUBSTITUTE(SUBSTITUTE(INDEX(PASTE_ALL,$DF790,$L$18)," "," "),CHAR(9)," "),CHAR(10)," "),CHAR(13)," ")))="TRIAL"),"OT",TRIM(SUBSTITUTE(SUBSTITUTE(SUBSTITUTE(SUBSTITUTE(INDEX(PASTE_ALL,$DF790,$L$18)," "," "),CHAR(9)," "),CHAR(10)," "),CHAR(13)," "))))),"")))</f>
        <v/>
      </c>
      <c r="EC790">
        <f>IF($DM790=0,"",IF($L$19=0,"",IFERROR(IF(ISNUMBER(INDEX(PASTE_ALL,$DF790,$L$19)),INDEX(PASTE_ALL,$DF790,$L$19),TRIM(SUBSTITUTE(SUBSTITUTE(SUBSTITUTE(SUBSTITUTE(INDEX(PASTE_ALL,$DF790,$L$19)," "," "),CHAR(9)," "),CHAR(10)," "),CHAR(13)," "))),"")))</f>
        <v/>
      </c>
      <c r="ED790">
        <f>IF($DM790=0,"",MATCH(1,INDEX(EXACT($DH$5:DH790,$DH790)*$DM$5:DM790,0),0))</f>
        <v/>
      </c>
      <c r="EE790">
        <f>IF($DM790=0,0,IF($ED790=$DE790,1,0))</f>
        <v/>
      </c>
      <c r="EF790">
        <f>EF789+$EE790</f>
        <v/>
      </c>
      <c r="EG790">
        <f>IF($DM790=0,"",INDEX($EF$5:$EF$1003,$ED790))</f>
        <v/>
      </c>
      <c r="EH790">
        <f>IF($DM790=0,"",IF($DO790&lt;&gt;"","",IFERROR(LOOKUP(2,1/(($EG$4:EG789=$EG790)*($DO$4:DO789&lt;&gt;"")),$DO$4:DO789),"")))</f>
        <v/>
      </c>
      <c r="EI790">
        <f>IF($DM790=0,"",IF($DO790&lt;&gt;"",$DO790,$EH790))</f>
        <v/>
      </c>
      <c r="EJ790">
        <f>IF($DM790=0,"",IF($EI790="",0,IF(OR(ISNUMBER($EI790),AND(AND(SUBSTITUTE(SUBSTITUTE(SUBSTITUTE(SUBSTITUTE(SUBSTITUTE(SUBSTITUTE(SUBSTITUTE(SUBSTITUTE(SUBSTITUTE(SUBSTITUTE(SUBSTITUTE(SUBSTITUTE(SUBSTITUTE(SUBSTITUTE(UPPER($EI790),"0",""),"1",""),"2",""),"3",""),"4",""),"5",""),"6",""),"7",""),"8",""),"9",""),".",""),"+",""),"-",""),"E","")="",LEN(SUBSTITUTE(SUBSTITUTE(MID(UPPER($EI790),1+OR(LEFT(UPPER($EI790),1)="+",LEFT(UPPER($EI790),1)="-"),999),"E+","E"),"E-","E"))=LEN(SUBSTITUTE(SUBSTITUTE(SUBSTITUTE(SUBSTITUTE(MID(UPPER($EI790),1+OR(LEFT(UPPER($EI790),1)="+",LEFT(UPPER($EI790),1)="-"),999),"E+","E"),"E-","E"),"+",""),"-","")),LEN(UPPER($EI790))-LEN(SUBSTITUTE(UPPER($EI790),"E",""))&lt;2,LEN(UPPER($EI790))-LEN(SUBSTITUTE(UPPER($EI790),".",""))&lt;2,IFERROR(FIND(".",UPPER($EI790)),0)&lt;IFERROR(FIND("E",UPPER($EI790)),999)),ISNUMBER(VALUE($EI790)))),1,2)))</f>
        <v/>
      </c>
      <c r="EK790">
        <f>IF($DM790=0,"",IF($EJ790=1,IF(ISNUMBER($EI790),$EI790,VALUE($EI790)),IF($EJ790=2,$DE790,0)))</f>
        <v/>
      </c>
      <c r="EL790">
        <f>IF($DM790=0,"",COUNTIF($EG$5:$EG$1003,"&lt;"&amp;$EG790)+SUMPRODUCT(($EG$5:$EG$1003=$EG790)*(($EJ$5:$EJ$1003&lt;$EJ790)+($EJ$5:$EJ$1003=$EJ790)*(($EK$5:$EK$1003&lt;$EK790)+($EK$5:$EK$1003=$EK790)*($DE$5:$DE$1003&lt;$DE790))))+1)</f>
        <v/>
      </c>
      <c r="EM790">
        <f>IF($DM790=0,"",$EL790+$EG790-1)</f>
        <v/>
      </c>
      <c r="EN790">
        <f>IF($DM790=0,0,IFERROR(MATCH(1,INDEX(--(TRIM(SUBSTITUTE(SUBSTITUTE(SUBSTITUTE(SUBSTITUTE(LINES_NAME&amp;""," "," "),CHAR(9)," "),CHAR(10)," "),CHAR(13)," "))=$DH790),0),0),0))</f>
        <v/>
      </c>
      <c r="EO790">
        <f>IF($EN790=0,0,IF(OR(UPPER(TRIM(INDEX(LINES_SCHEDULED,$EN790)&amp;""))="YES",UPPER(TRIM(INDEX(LINES_SCHEDULED,$EN790)&amp;""))="Y",UPPER(TRIM(INDEX(LINES_SCHEDULED,$EN790)&amp;""))="X"),1,0))</f>
        <v/>
      </c>
      <c r="EP790">
        <f>IF($DM790=0,"",IF(COUNTIFS($EG$5:$EG$1003,$EG790,$EB$5:$EB$1003,"Ready")&gt;0,"READY",IF(COUNTIFS($EG$5:$EG$1003,$EG790,$EB$5:$EB$1003,"PM")&gt;0,"PM",IF(COUNTIFS($EG$5:$EG$1003,$EG790,$EB$5:$EB$1003,"OT")&gt;0,"OT",""))))</f>
        <v/>
      </c>
      <c r="EQ790">
        <f>IF($EN790=0,"",UPPER(TRIM(INDEX(LINES_STATUS,$EN790)&amp;"")))</f>
        <v/>
      </c>
      <c r="ER790">
        <f>IF($DM790=0,"",IF(OR($EQ790="READY",$EQ790="PM",$EQ790="OT"),$EQ790,$EP790))</f>
        <v/>
      </c>
      <c r="ES790">
        <f>IF($DM790=0,"",IF(AND($DV790&lt;&gt;"",UPPER($DV790)&lt;&gt;"N"),"allergen",IF(ISNUMBER(SEARCH("oil",$DQ790)),"oil",IF(OR(EXACT($DS790,"A662"),EXACT($DS790,"A624")),"bulk",""))))</f>
        <v/>
      </c>
      <c r="ET790">
        <f>IF($DM790=0,"",IF(OR($EA790="",$EA790=0),"",$EA790/100))</f>
        <v/>
      </c>
      <c r="EU790">
        <f>IF(OR($ET790="",$DY790=""),"",INT($DY790*(1-$ET790)+0.5))</f>
        <v/>
      </c>
    </row>
    <row r="791">
      <c r="DA791" t="n">
        <v>787</v>
      </c>
      <c r="DB791">
        <f>IF($B$37=0,"",IFERROR(TRIM(SUBSTITUTE(SUBSTITUTE(SUBSTITUTE(SUBSTITUTE(INDEX(PASTE_ALL,787,$B$37)," "," "),CHAR(9)," "),CHAR(10)," "),CHAR(13)," ")),""))</f>
        <v/>
      </c>
      <c r="DC791">
        <f>IF(AND(787&gt;HEADER_ROW,UPPER(DB791)="LEGEND"),1,0)</f>
        <v/>
      </c>
      <c r="DE791" t="n">
        <v>787</v>
      </c>
      <c r="DF791">
        <f>HEADER_ROW+$DE791</f>
        <v/>
      </c>
      <c r="DG791">
        <f>IF(AND($DF791&lt;=1000,$DF791&lt;$B$8),1,0)</f>
        <v/>
      </c>
      <c r="DH791">
        <f>IF($DG791=1,IFERROR(INDEX($DB$5:$DB$1004,$DF791),""),"")</f>
        <v/>
      </c>
      <c r="DI791">
        <f>IF(AND($DG791=1,$DH791&lt;&gt;""),IFERROR(SUBSTITUTE(SUBSTITUTE(TRIM(SUBSTITUTE(SUBSTITUTE(SUBSTITUTE(SUBSTITUTE(IFERROR(INDEX(PASTE_ALL,$DF791,1)&amp;"","")&amp;"␟"&amp;IFERROR(INDEX(PASTE_ALL,$DF791,2)&amp;"","")&amp;"␟"&amp;IFERROR(INDEX(PASTE_ALL,$DF791,3)&amp;"","")&amp;"␟"&amp;IFERROR(INDEX(PASTE_ALL,$DF791,4)&amp;"","")&amp;"␟"&amp;IFERROR(INDEX(PASTE_ALL,$DF791,5)&amp;"","")&amp;"␟"&amp;IFERROR(INDEX(PASTE_ALL,$DF791,6)&amp;"","")&amp;"␟"&amp;IFERROR(INDEX(PASTE_ALL,$DF791,7)&amp;"","")&amp;"␟"&amp;IFERROR(INDEX(PASTE_ALL,$DF791,8)&amp;"","")&amp;"␟"&amp;IFERROR(INDEX(PASTE_ALL,$DF791,9)&amp;"","")&amp;"␟"&amp;IFERROR(INDEX(PASTE_ALL,$DF791,10)&amp;"","")&amp;"␟"&amp;IFERROR(INDEX(PASTE_ALL,$DF791,11)&amp;"","")&amp;"␟"&amp;IFERROR(INDEX(PASTE_ALL,$DF791,12)&amp;"","")&amp;"␟"&amp;IFERROR(INDEX(PASTE_ALL,$DF791,13)&amp;"","")&amp;"␟"&amp;IFERROR(INDEX(PASTE_ALL,$DF791,14)&amp;"","")&amp;"␟"&amp;IFERROR(INDEX(PASTE_ALL,$DF791,15)&amp;"","")&amp;"␟"&amp;IFERROR(INDEX(PASTE_ALL,$DF791,16)&amp;"","")&amp;"␟"&amp;IFERROR(INDEX(PASTE_ALL,$DF791,17)&amp;"","")&amp;"␟"&amp;IFERROR(INDEX(PASTE_ALL,$DF791,18)&amp;"","")&amp;"␟"&amp;IFERROR(INDEX(PASTE_ALL,$DF791,19)&amp;"","")&amp;"␟"&amp;IFERROR(INDEX(PASTE_ALL,$DF791,20)&amp;"","")&amp;"␟"&amp;IFERROR(INDEX(PASTE_ALL,$DF791,21)&amp;"","")&amp;"␟"&amp;IFERROR(INDEX(PASTE_ALL,$DF791,22)&amp;"","")&amp;"␟"&amp;IFERROR(INDEX(PASTE_ALL,$DF791,23)&amp;"","")&amp;"␟"&amp;IFERROR(INDEX(PASTE_ALL,$DF791,24)&amp;"","")&amp;"␟"&amp;IFERROR(INDEX(PASTE_ALL,$DF791,25)&amp;"","")&amp;"␟"&amp;IFERROR(INDEX(PASTE_ALL,$DF791,26)&amp;"","")&amp;"␟"&amp;IFERROR(INDEX(PASTE_ALL,$DF791,27)&amp;"","")&amp;"␟"&amp;IFERROR(INDEX(PASTE_ALL,$DF791,28)&amp;"","")&amp;"␟"&amp;IFERROR(INDEX(PASTE_ALL,$DF791,29)&amp;"","")&amp;"␟"&amp;IFERROR(INDEX(PASTE_ALL,$DF791,30)&amp;"","")&amp;"␟"&amp;IFERROR(INDEX(PASTE_ALL,$DF791,31)&amp;"","")&amp;"␟"&amp;IFERROR(INDEX(PASTE_ALL,$DF791,32)&amp;"","")&amp;"␟"&amp;IFERROR(INDEX(PASTE_ALL,$DF791,33)&amp;"","")&amp;"␟"&amp;IFERROR(INDEX(PASTE_ALL,$DF791,34)&amp;"","")&amp;"␟"&amp;IFERROR(INDEX(PASTE_ALL,$DF791,35)&amp;"","")&amp;"␟"&amp;IFERROR(INDEX(PASTE_ALL,$DF791,36)&amp;"","")&amp;"␟"&amp;IFERROR(INDEX(PASTE_ALL,$DF791,37)&amp;"","")&amp;"␟"&amp;IFERROR(INDEX(PASTE_ALL,$DF791,38)&amp;"","")&amp;"␟"&amp;IFERROR(INDEX(PASTE_ALL,$DF791,39)&amp;"","")&amp;"␟"&amp;IFERROR(INDEX(PASTE_ALL,$DF791,40)&amp;"","")&amp;"␟"&amp;IFERROR(INDEX(PASTE_ALL,$DF791,41)&amp;"","")&amp;"␟"&amp;IFERROR(INDEX(PASTE_ALL,$DF791,42)&amp;"","")&amp;"␟"&amp;IFERROR(INDEX(PASTE_ALL,$DF791,43)&amp;"","")&amp;"␟"&amp;IFERROR(INDEX(PASTE_ALL,$DF791,44)&amp;"","")&amp;"␟"&amp;IFERROR(INDEX(PASTE_ALL,$DF791,45)&amp;"","")&amp;"␟"&amp;IFERROR(INDEX(PASTE_ALL,$DF791,46)&amp;"","")&amp;"␟"&amp;IFERROR(INDEX(PASTE_ALL,$DF791,47)&amp;"","")&amp;"␟"&amp;IFERROR(INDEX(PASTE_ALL,$DF791,48)&amp;"","")&amp;"␟"&amp;IFERROR(INDEX(PASTE_ALL,$DF791,49)&amp;"","")&amp;"␟"&amp;IFERROR(INDEX(PASTE_ALL,$DF791,50)&amp;"","")&amp;"␟"&amp;IFERROR(INDEX(PASTE_ALL,$DF791,51)&amp;"","")&amp;"␟"&amp;IFERROR(INDEX(PASTE_ALL,$DF791,52)&amp;"","")&amp;"␟"&amp;IFERROR(INDEX(PASTE_ALL,$DF791,53)&amp;"","")&amp;"␟"&amp;IFERROR(INDEX(PASTE_ALL,$DF791,54)&amp;"","")&amp;"␟"&amp;IFERROR(INDEX(PASTE_ALL,$DF791,55)&amp;"","")&amp;"␟"&amp;IFERROR(INDEX(PASTE_ALL,$DF791,56)&amp;"","")&amp;"␟"&amp;IFERROR(INDEX(PASTE_ALL,$DF791,57)&amp;"","")&amp;"␟"&amp;IFERROR(INDEX(PASTE_ALL,$DF791,58)&amp;"","")&amp;"␟"&amp;IFERROR(INDEX(PASTE_ALL,$DF791,59)&amp;"","")&amp;"␟"&amp;IFERROR(INDEX(PASTE_ALL,$DF791,60)&amp;"","")," "," "),CHAR(9)," "),CHAR(10)," "),CHAR(13)," "))," ␟","␟"),"␟ ","␟"),"#"&amp;$DE791),"")</f>
        <v/>
      </c>
      <c r="DJ791">
        <f>IF($DI791="",0,IF(SUMPRODUCT(--EXACT($DI$4:DI790,$DI791))&gt;0,1,0))</f>
        <v/>
      </c>
      <c r="DK791">
        <f>IF(AND($DI791&lt;&gt;"",$DJ791=0),1,0)</f>
        <v/>
      </c>
      <c r="DL791">
        <f>DL790+$DK791</f>
        <v/>
      </c>
      <c r="DM791">
        <f>IF(AND($DK791=1,$DL791&lt;=600),1,0)</f>
        <v/>
      </c>
      <c r="DN791">
        <f>IF($DM791=0,"",IF($L$6=0,"",IFERROR(IF(ISNUMBER(INDEX(PASTE_ALL,$DF791,$L$6)),INDEX(PASTE_ALL,$DF791,$L$6),TRIM(SUBSTITUTE(SUBSTITUTE(SUBSTITUTE(SUBSTITUTE(INDEX(PASTE_ALL,$DF791,$L$6)," "," "),CHAR(9)," "),CHAR(10)," "),CHAR(13)," "))),"")))</f>
        <v/>
      </c>
      <c r="DO791">
        <f>IF($DM791=0,"",IF($L$7=0,"",IFERROR(IF(ISNUMBER(INDEX(PASTE_ALL,$DF791,$L$7)),INDEX(PASTE_ALL,$DF791,$L$7),TRIM(SUBSTITUTE(SUBSTITUTE(SUBSTITUTE(SUBSTITUTE(INDEX(PASTE_ALL,$DF791,$L$7)," "," "),CHAR(9)," "),CHAR(10)," "),CHAR(13)," "))),"")))</f>
        <v/>
      </c>
      <c r="DP791">
        <f>IF($DM791=0,"",IF($L$8=0,"",IFERROR(IF(ISNUMBER(INDEX(PASTE_ALL,$DF791,$L$8)),INDEX(PASTE_ALL,$DF791,$L$8),TRIM(SUBSTITUTE(SUBSTITUTE(SUBSTITUTE(SUBSTITUTE(INDEX(PASTE_ALL,$DF791,$L$8)," "," "),CHAR(9)," "),CHAR(10)," "),CHAR(13)," "))),"")))</f>
        <v/>
      </c>
      <c r="DQ791">
        <f>IF($DM791=0,"",IF($L$9=0,"",IFERROR(IF(ISNUMBER(INDEX(PASTE_ALL,$DF791,$L$9)),INDEX(PASTE_ALL,$DF791,$L$9),TRIM(SUBSTITUTE(SUBSTITUTE(SUBSTITUTE(SUBSTITUTE(INDEX(PASTE_ALL,$DF791,$L$9)," "," "),CHAR(9)," "),CHAR(10)," "),CHAR(13)," "))),"")))</f>
        <v/>
      </c>
      <c r="DR791">
        <f>IF($DM791=0,"",IF($L$10=0,"",IFERROR(IF(ISNUMBER(INDEX(PASTE_ALL,$DF791,$L$10)),INDEX(PASTE_ALL,$DF791,$L$10),TRIM(SUBSTITUTE(SUBSTITUTE(SUBSTITUTE(SUBSTITUTE(INDEX(PASTE_ALL,$DF791,$L$10)," "," "),CHAR(9)," "),CHAR(10)," "),CHAR(13)," "))),"")))</f>
        <v/>
      </c>
      <c r="DS791">
        <f>IF($DM791=0,"",IF($L$11=0,"",IFERROR(IF(ISNUMBER(INDEX(PASTE_ALL,$DF791,$L$11)),INDEX(PASTE_ALL,$DF791,$L$11),TRIM(SUBSTITUTE(SUBSTITUTE(SUBSTITUTE(SUBSTITUTE(INDEX(PASTE_ALL,$DF791,$L$11)," "," "),CHAR(9)," "),CHAR(10)," "),CHAR(13)," "))),"")))</f>
        <v/>
      </c>
      <c r="DT791">
        <f>IF($DM791=0,"",IF($L$12=0,"",IFERROR(IF(ISNUMBER(INDEX(PASTE_ALL,$DF791,$L$12)),INDEX(PASTE_ALL,$DF791,$L$12),TRIM(SUBSTITUTE(SUBSTITUTE(SUBSTITUTE(SUBSTITUTE(INDEX(PASTE_ALL,$DF791,$L$12)," "," "),CHAR(9)," "),CHAR(10)," "),CHAR(13)," "))),"")))</f>
        <v/>
      </c>
      <c r="DU791">
        <f>IF($DM791=0,"",IF($L$13=0,"",IFERROR(IF(ISNUMBER(INDEX(PASTE_ALL,$DF791,$L$13)),INDEX(PASTE_ALL,$DF791,$L$13),TRIM(SUBSTITUTE(SUBSTITUTE(SUBSTITUTE(SUBSTITUTE(INDEX(PASTE_ALL,$DF791,$L$13)," "," "),CHAR(9)," "),CHAR(10)," "),CHAR(13)," "))),"")))</f>
        <v/>
      </c>
      <c r="DV791">
        <f>IF($DM791=0,"",IF($L$14=0,"",IFERROR(IF(ISNUMBER(INDEX(PASTE_ALL,$DF791,$L$14)),INDEX(PASTE_ALL,$DF791,$L$14),TRIM(SUBSTITUTE(SUBSTITUTE(SUBSTITUTE(SUBSTITUTE(INDEX(PASTE_ALL,$DF791,$L$14)," "," "),CHAR(9)," "),CHAR(10)," "),CHAR(13)," "))),"")))</f>
        <v/>
      </c>
      <c r="DW791">
        <f>IF($DM791=0,"",IF($L$15=0,"",IFERROR(IF(ISNUMBER(INDEX(PASTE_ALL,$DF791,$L$15)),INDEX(PASTE_ALL,$DF791,$L$15),IF(SUMPRODUCT(--ISNUMBER(FIND({"A","B","C","D","E","F","G","H","I","J","K","L","M","N","O","P","Q","R","S","T","U","V","W","X","Y","Z","0","1","2","3","4","5","6","7","8","9"},UPPER(TRIM(SUBSTITUTE(SUBSTITUTE(SUBSTITUTE(SUBSTITUTE(INDEX(PASTE_ALL,$DF791,$L$15)," "," "),CHAR(9)," "),CHAR(10)," "),CHAR(13)," "))))))&gt;0,TRIM(SUBSTITUTE(SUBSTITUTE(SUBSTITUTE(SUBSTITUTE(INDEX(PASTE_ALL,$DF791,$L$15)," "," "),CHAR(9)," "),CHAR(10)," "),CHAR(13)," ")),"")),"")))</f>
        <v/>
      </c>
      <c r="DX791">
        <f>IF($DM791=0,"",IF($L$16=0,"",IFERROR(IF(ISNUMBER(INDEX(PASTE_ALL,$DF791,$L$16)),INDEX(PASTE_ALL,$DF791,$L$16),SUBSTITUTE(SUBSTITUTE(TRIM(SUBSTITUTE(SUBSTITUTE(SUBSTITUTE(SUBSTITUTE(INDEX(PASTE_ALL,$DF791,$L$16)," "," "),CHAR(9)," "),CHAR(10)," "),CHAR(13)," ")),",",""),"%","")),"")))</f>
        <v/>
      </c>
      <c r="DY791">
        <f>IF($DM791=0,"",IFERROR(IF(ISNUMBER($DX791),$DX791,IF($DX791="","",IF(TRIM($DX791)="",0,IF(AND(AND(SUBSTITUTE(SUBSTITUTE(SUBSTITUTE(SUBSTITUTE(SUBSTITUTE(SUBSTITUTE(SUBSTITUTE(SUBSTITUTE(SUBSTITUTE(SUBSTITUTE(SUBSTITUTE(SUBSTITUTE(SUBSTITUTE(SUBSTITUTE(UPPER(TRIM($DX791)),"0",""),"1",""),"2",""),"3",""),"4",""),"5",""),"6",""),"7",""),"8",""),"9",""),".",""),"+",""),"-",""),"E","")="",LEN(SUBSTITUTE(SUBSTITUTE(MID(UPPER(TRIM($DX791)),1+OR(LEFT(UPPER(TRIM($DX791)),1)="+",LEFT(UPPER(TRIM($DX791)),1)="-"),999),"E+","E"),"E-","E"))=LEN(SUBSTITUTE(SUBSTITUTE(SUBSTITUTE(SUBSTITUTE(MID(UPPER(TRIM($DX791)),1+OR(LEFT(UPPER(TRIM($DX791)),1)="+",LEFT(UPPER(TRIM($DX791)),1)="-"),999),"E+","E"),"E-","E"),"+",""),"-","")),LEN(UPPER(TRIM($DX791)))-LEN(SUBSTITUTE(UPPER(TRIM($DX791)),"E",""))&lt;2,LEN(UPPER(TRIM($DX791)))-LEN(SUBSTITUTE(UPPER(TRIM($DX791)),".",""))&lt;2,IFERROR(FIND(".",UPPER(TRIM($DX791))),0)&lt;IFERROR(FIND("E",UPPER(TRIM($DX791))),999)),ISNUMBER(VALUE(TRIM($DX791)))),VALUE(TRIM($DX791)),"")))),""))</f>
        <v/>
      </c>
      <c r="DZ791">
        <f>IF($DM791=0,"",IF($L$17=0,"",IFERROR(IF(ISNUMBER(INDEX(PASTE_ALL,$DF791,$L$17)),INDEX(PASTE_ALL,$DF791,$L$17),SUBSTITUTE(SUBSTITUTE(TRIM(SUBSTITUTE(SUBSTITUTE(SUBSTITUTE(SUBSTITUTE(INDEX(PASTE_ALL,$DF791,$L$17)," "," "),CHAR(9)," "),CHAR(10)," "),CHAR(13)," ")),",",""),"%","")),"")))</f>
        <v/>
      </c>
      <c r="EA791">
        <f>IF($DM791=0,"",IFERROR(IF(ISNUMBER($DZ791),$DZ791,IF($DZ791="","",IF(TRIM($DZ791)="",0,IF(AND(AND(SUBSTITUTE(SUBSTITUTE(SUBSTITUTE(SUBSTITUTE(SUBSTITUTE(SUBSTITUTE(SUBSTITUTE(SUBSTITUTE(SUBSTITUTE(SUBSTITUTE(SUBSTITUTE(SUBSTITUTE(SUBSTITUTE(SUBSTITUTE(UPPER(TRIM($DZ791)),"0",""),"1",""),"2",""),"3",""),"4",""),"5",""),"6",""),"7",""),"8",""),"9",""),".",""),"+",""),"-",""),"E","")="",LEN(SUBSTITUTE(SUBSTITUTE(MID(UPPER(TRIM($DZ791)),1+OR(LEFT(UPPER(TRIM($DZ791)),1)="+",LEFT(UPPER(TRIM($DZ791)),1)="-"),999),"E+","E"),"E-","E"))=LEN(SUBSTITUTE(SUBSTITUTE(SUBSTITUTE(SUBSTITUTE(MID(UPPER(TRIM($DZ791)),1+OR(LEFT(UPPER(TRIM($DZ791)),1)="+",LEFT(UPPER(TRIM($DZ791)),1)="-"),999),"E+","E"),"E-","E"),"+",""),"-","")),LEN(UPPER(TRIM($DZ791)))-LEN(SUBSTITUTE(UPPER(TRIM($DZ791)),"E",""))&lt;2,LEN(UPPER(TRIM($DZ791)))-LEN(SUBSTITUTE(UPPER(TRIM($DZ791)),".",""))&lt;2,IFERROR(FIND(".",UPPER(TRIM($DZ791))),0)&lt;IFERROR(FIND("E",UPPER(TRIM($DZ791))),999)),ISNUMBER(VALUE(TRIM($DZ791)))),VALUE(TRIM($DZ791)),"")))),""))</f>
        <v/>
      </c>
      <c r="EB791">
        <f>IF($DM791=0,"",IF($L$18=0,"",IFERROR(IF(UPPER(TRIM(SUBSTITUTE(SUBSTITUTE(SUBSTITUTE(SUBSTITUTE(INDEX(PASTE_ALL,$DF791,$L$18)," "," "),CHAR(9)," "),CHAR(10)," "),CHAR(13)," ")))="READY","Ready",IF(UPPER(TRIM(SUBSTITUTE(SUBSTITUTE(SUBSTITUTE(SUBSTITUTE(INDEX(PASTE_ALL,$DF791,$L$18)," "," "),CHAR(9)," "),CHAR(10)," "),CHAR(13)," ")))="PM","PM",IF(OR(UPPER(TRIM(SUBSTITUTE(SUBSTITUTE(SUBSTITUTE(SUBSTITUTE(INDEX(PASTE_ALL,$DF791,$L$18)," "," "),CHAR(9)," "),CHAR(10)," "),CHAR(13)," ")))="OT",UPPER(TRIM(SUBSTITUTE(SUBSTITUTE(SUBSTITUTE(SUBSTITUTE(INDEX(PASTE_ALL,$DF791,$L$18)," "," "),CHAR(9)," "),CHAR(10)," "),CHAR(13)," ")))="OVERTIME",UPPER(TRIM(SUBSTITUTE(SUBSTITUTE(SUBSTITUTE(SUBSTITUTE(INDEX(PASTE_ALL,$DF791,$L$18)," "," "),CHAR(9)," "),CHAR(10)," "),CHAR(13)," ")))="TRIAL"),"OT",TRIM(SUBSTITUTE(SUBSTITUTE(SUBSTITUTE(SUBSTITUTE(INDEX(PASTE_ALL,$DF791,$L$18)," "," "),CHAR(9)," "),CHAR(10)," "),CHAR(13)," "))))),"")))</f>
        <v/>
      </c>
      <c r="EC791">
        <f>IF($DM791=0,"",IF($L$19=0,"",IFERROR(IF(ISNUMBER(INDEX(PASTE_ALL,$DF791,$L$19)),INDEX(PASTE_ALL,$DF791,$L$19),TRIM(SUBSTITUTE(SUBSTITUTE(SUBSTITUTE(SUBSTITUTE(INDEX(PASTE_ALL,$DF791,$L$19)," "," "),CHAR(9)," "),CHAR(10)," "),CHAR(13)," "))),"")))</f>
        <v/>
      </c>
      <c r="ED791">
        <f>IF($DM791=0,"",MATCH(1,INDEX(EXACT($DH$5:DH791,$DH791)*$DM$5:DM791,0),0))</f>
        <v/>
      </c>
      <c r="EE791">
        <f>IF($DM791=0,0,IF($ED791=$DE791,1,0))</f>
        <v/>
      </c>
      <c r="EF791">
        <f>EF790+$EE791</f>
        <v/>
      </c>
      <c r="EG791">
        <f>IF($DM791=0,"",INDEX($EF$5:$EF$1003,$ED791))</f>
        <v/>
      </c>
      <c r="EH791">
        <f>IF($DM791=0,"",IF($DO791&lt;&gt;"","",IFERROR(LOOKUP(2,1/(($EG$4:EG790=$EG791)*($DO$4:DO790&lt;&gt;"")),$DO$4:DO790),"")))</f>
        <v/>
      </c>
      <c r="EI791">
        <f>IF($DM791=0,"",IF($DO791&lt;&gt;"",$DO791,$EH791))</f>
        <v/>
      </c>
      <c r="EJ791">
        <f>IF($DM791=0,"",IF($EI791="",0,IF(OR(ISNUMBER($EI791),AND(AND(SUBSTITUTE(SUBSTITUTE(SUBSTITUTE(SUBSTITUTE(SUBSTITUTE(SUBSTITUTE(SUBSTITUTE(SUBSTITUTE(SUBSTITUTE(SUBSTITUTE(SUBSTITUTE(SUBSTITUTE(SUBSTITUTE(SUBSTITUTE(UPPER($EI791),"0",""),"1",""),"2",""),"3",""),"4",""),"5",""),"6",""),"7",""),"8",""),"9",""),".",""),"+",""),"-",""),"E","")="",LEN(SUBSTITUTE(SUBSTITUTE(MID(UPPER($EI791),1+OR(LEFT(UPPER($EI791),1)="+",LEFT(UPPER($EI791),1)="-"),999),"E+","E"),"E-","E"))=LEN(SUBSTITUTE(SUBSTITUTE(SUBSTITUTE(SUBSTITUTE(MID(UPPER($EI791),1+OR(LEFT(UPPER($EI791),1)="+",LEFT(UPPER($EI791),1)="-"),999),"E+","E"),"E-","E"),"+",""),"-","")),LEN(UPPER($EI791))-LEN(SUBSTITUTE(UPPER($EI791),"E",""))&lt;2,LEN(UPPER($EI791))-LEN(SUBSTITUTE(UPPER($EI791),".",""))&lt;2,IFERROR(FIND(".",UPPER($EI791)),0)&lt;IFERROR(FIND("E",UPPER($EI791)),999)),ISNUMBER(VALUE($EI791)))),1,2)))</f>
        <v/>
      </c>
      <c r="EK791">
        <f>IF($DM791=0,"",IF($EJ791=1,IF(ISNUMBER($EI791),$EI791,VALUE($EI791)),IF($EJ791=2,$DE791,0)))</f>
        <v/>
      </c>
      <c r="EL791">
        <f>IF($DM791=0,"",COUNTIF($EG$5:$EG$1003,"&lt;"&amp;$EG791)+SUMPRODUCT(($EG$5:$EG$1003=$EG791)*(($EJ$5:$EJ$1003&lt;$EJ791)+($EJ$5:$EJ$1003=$EJ791)*(($EK$5:$EK$1003&lt;$EK791)+($EK$5:$EK$1003=$EK791)*($DE$5:$DE$1003&lt;$DE791))))+1)</f>
        <v/>
      </c>
      <c r="EM791">
        <f>IF($DM791=0,"",$EL791+$EG791-1)</f>
        <v/>
      </c>
      <c r="EN791">
        <f>IF($DM791=0,0,IFERROR(MATCH(1,INDEX(--(TRIM(SUBSTITUTE(SUBSTITUTE(SUBSTITUTE(SUBSTITUTE(LINES_NAME&amp;""," "," "),CHAR(9)," "),CHAR(10)," "),CHAR(13)," "))=$DH791),0),0),0))</f>
        <v/>
      </c>
      <c r="EO791">
        <f>IF($EN791=0,0,IF(OR(UPPER(TRIM(INDEX(LINES_SCHEDULED,$EN791)&amp;""))="YES",UPPER(TRIM(INDEX(LINES_SCHEDULED,$EN791)&amp;""))="Y",UPPER(TRIM(INDEX(LINES_SCHEDULED,$EN791)&amp;""))="X"),1,0))</f>
        <v/>
      </c>
      <c r="EP791">
        <f>IF($DM791=0,"",IF(COUNTIFS($EG$5:$EG$1003,$EG791,$EB$5:$EB$1003,"Ready")&gt;0,"READY",IF(COUNTIFS($EG$5:$EG$1003,$EG791,$EB$5:$EB$1003,"PM")&gt;0,"PM",IF(COUNTIFS($EG$5:$EG$1003,$EG791,$EB$5:$EB$1003,"OT")&gt;0,"OT",""))))</f>
        <v/>
      </c>
      <c r="EQ791">
        <f>IF($EN791=0,"",UPPER(TRIM(INDEX(LINES_STATUS,$EN791)&amp;"")))</f>
        <v/>
      </c>
      <c r="ER791">
        <f>IF($DM791=0,"",IF(OR($EQ791="READY",$EQ791="PM",$EQ791="OT"),$EQ791,$EP791))</f>
        <v/>
      </c>
      <c r="ES791">
        <f>IF($DM791=0,"",IF(AND($DV791&lt;&gt;"",UPPER($DV791)&lt;&gt;"N"),"allergen",IF(ISNUMBER(SEARCH("oil",$DQ791)),"oil",IF(OR(EXACT($DS791,"A662"),EXACT($DS791,"A624")),"bulk",""))))</f>
        <v/>
      </c>
      <c r="ET791">
        <f>IF($DM791=0,"",IF(OR($EA791="",$EA791=0),"",$EA791/100))</f>
        <v/>
      </c>
      <c r="EU791">
        <f>IF(OR($ET791="",$DY791=""),"",INT($DY791*(1-$ET791)+0.5))</f>
        <v/>
      </c>
    </row>
    <row r="792">
      <c r="DA792" t="n">
        <v>788</v>
      </c>
      <c r="DB792">
        <f>IF($B$37=0,"",IFERROR(TRIM(SUBSTITUTE(SUBSTITUTE(SUBSTITUTE(SUBSTITUTE(INDEX(PASTE_ALL,788,$B$37)," "," "),CHAR(9)," "),CHAR(10)," "),CHAR(13)," ")),""))</f>
        <v/>
      </c>
      <c r="DC792">
        <f>IF(AND(788&gt;HEADER_ROW,UPPER(DB792)="LEGEND"),1,0)</f>
        <v/>
      </c>
      <c r="DE792" t="n">
        <v>788</v>
      </c>
      <c r="DF792">
        <f>HEADER_ROW+$DE792</f>
        <v/>
      </c>
      <c r="DG792">
        <f>IF(AND($DF792&lt;=1000,$DF792&lt;$B$8),1,0)</f>
        <v/>
      </c>
      <c r="DH792">
        <f>IF($DG792=1,IFERROR(INDEX($DB$5:$DB$1004,$DF792),""),"")</f>
        <v/>
      </c>
      <c r="DI792">
        <f>IF(AND($DG792=1,$DH792&lt;&gt;""),IFERROR(SUBSTITUTE(SUBSTITUTE(TRIM(SUBSTITUTE(SUBSTITUTE(SUBSTITUTE(SUBSTITUTE(IFERROR(INDEX(PASTE_ALL,$DF792,1)&amp;"","")&amp;"␟"&amp;IFERROR(INDEX(PASTE_ALL,$DF792,2)&amp;"","")&amp;"␟"&amp;IFERROR(INDEX(PASTE_ALL,$DF792,3)&amp;"","")&amp;"␟"&amp;IFERROR(INDEX(PASTE_ALL,$DF792,4)&amp;"","")&amp;"␟"&amp;IFERROR(INDEX(PASTE_ALL,$DF792,5)&amp;"","")&amp;"␟"&amp;IFERROR(INDEX(PASTE_ALL,$DF792,6)&amp;"","")&amp;"␟"&amp;IFERROR(INDEX(PASTE_ALL,$DF792,7)&amp;"","")&amp;"␟"&amp;IFERROR(INDEX(PASTE_ALL,$DF792,8)&amp;"","")&amp;"␟"&amp;IFERROR(INDEX(PASTE_ALL,$DF792,9)&amp;"","")&amp;"␟"&amp;IFERROR(INDEX(PASTE_ALL,$DF792,10)&amp;"","")&amp;"␟"&amp;IFERROR(INDEX(PASTE_ALL,$DF792,11)&amp;"","")&amp;"␟"&amp;IFERROR(INDEX(PASTE_ALL,$DF792,12)&amp;"","")&amp;"␟"&amp;IFERROR(INDEX(PASTE_ALL,$DF792,13)&amp;"","")&amp;"␟"&amp;IFERROR(INDEX(PASTE_ALL,$DF792,14)&amp;"","")&amp;"␟"&amp;IFERROR(INDEX(PASTE_ALL,$DF792,15)&amp;"","")&amp;"␟"&amp;IFERROR(INDEX(PASTE_ALL,$DF792,16)&amp;"","")&amp;"␟"&amp;IFERROR(INDEX(PASTE_ALL,$DF792,17)&amp;"","")&amp;"␟"&amp;IFERROR(INDEX(PASTE_ALL,$DF792,18)&amp;"","")&amp;"␟"&amp;IFERROR(INDEX(PASTE_ALL,$DF792,19)&amp;"","")&amp;"␟"&amp;IFERROR(INDEX(PASTE_ALL,$DF792,20)&amp;"","")&amp;"␟"&amp;IFERROR(INDEX(PASTE_ALL,$DF792,21)&amp;"","")&amp;"␟"&amp;IFERROR(INDEX(PASTE_ALL,$DF792,22)&amp;"","")&amp;"␟"&amp;IFERROR(INDEX(PASTE_ALL,$DF792,23)&amp;"","")&amp;"␟"&amp;IFERROR(INDEX(PASTE_ALL,$DF792,24)&amp;"","")&amp;"␟"&amp;IFERROR(INDEX(PASTE_ALL,$DF792,25)&amp;"","")&amp;"␟"&amp;IFERROR(INDEX(PASTE_ALL,$DF792,26)&amp;"","")&amp;"␟"&amp;IFERROR(INDEX(PASTE_ALL,$DF792,27)&amp;"","")&amp;"␟"&amp;IFERROR(INDEX(PASTE_ALL,$DF792,28)&amp;"","")&amp;"␟"&amp;IFERROR(INDEX(PASTE_ALL,$DF792,29)&amp;"","")&amp;"␟"&amp;IFERROR(INDEX(PASTE_ALL,$DF792,30)&amp;"","")&amp;"␟"&amp;IFERROR(INDEX(PASTE_ALL,$DF792,31)&amp;"","")&amp;"␟"&amp;IFERROR(INDEX(PASTE_ALL,$DF792,32)&amp;"","")&amp;"␟"&amp;IFERROR(INDEX(PASTE_ALL,$DF792,33)&amp;"","")&amp;"␟"&amp;IFERROR(INDEX(PASTE_ALL,$DF792,34)&amp;"","")&amp;"␟"&amp;IFERROR(INDEX(PASTE_ALL,$DF792,35)&amp;"","")&amp;"␟"&amp;IFERROR(INDEX(PASTE_ALL,$DF792,36)&amp;"","")&amp;"␟"&amp;IFERROR(INDEX(PASTE_ALL,$DF792,37)&amp;"","")&amp;"␟"&amp;IFERROR(INDEX(PASTE_ALL,$DF792,38)&amp;"","")&amp;"␟"&amp;IFERROR(INDEX(PASTE_ALL,$DF792,39)&amp;"","")&amp;"␟"&amp;IFERROR(INDEX(PASTE_ALL,$DF792,40)&amp;"","")&amp;"␟"&amp;IFERROR(INDEX(PASTE_ALL,$DF792,41)&amp;"","")&amp;"␟"&amp;IFERROR(INDEX(PASTE_ALL,$DF792,42)&amp;"","")&amp;"␟"&amp;IFERROR(INDEX(PASTE_ALL,$DF792,43)&amp;"","")&amp;"␟"&amp;IFERROR(INDEX(PASTE_ALL,$DF792,44)&amp;"","")&amp;"␟"&amp;IFERROR(INDEX(PASTE_ALL,$DF792,45)&amp;"","")&amp;"␟"&amp;IFERROR(INDEX(PASTE_ALL,$DF792,46)&amp;"","")&amp;"␟"&amp;IFERROR(INDEX(PASTE_ALL,$DF792,47)&amp;"","")&amp;"␟"&amp;IFERROR(INDEX(PASTE_ALL,$DF792,48)&amp;"","")&amp;"␟"&amp;IFERROR(INDEX(PASTE_ALL,$DF792,49)&amp;"","")&amp;"␟"&amp;IFERROR(INDEX(PASTE_ALL,$DF792,50)&amp;"","")&amp;"␟"&amp;IFERROR(INDEX(PASTE_ALL,$DF792,51)&amp;"","")&amp;"␟"&amp;IFERROR(INDEX(PASTE_ALL,$DF792,52)&amp;"","")&amp;"␟"&amp;IFERROR(INDEX(PASTE_ALL,$DF792,53)&amp;"","")&amp;"␟"&amp;IFERROR(INDEX(PASTE_ALL,$DF792,54)&amp;"","")&amp;"␟"&amp;IFERROR(INDEX(PASTE_ALL,$DF792,55)&amp;"","")&amp;"␟"&amp;IFERROR(INDEX(PASTE_ALL,$DF792,56)&amp;"","")&amp;"␟"&amp;IFERROR(INDEX(PASTE_ALL,$DF792,57)&amp;"","")&amp;"␟"&amp;IFERROR(INDEX(PASTE_ALL,$DF792,58)&amp;"","")&amp;"␟"&amp;IFERROR(INDEX(PASTE_ALL,$DF792,59)&amp;"","")&amp;"␟"&amp;IFERROR(INDEX(PASTE_ALL,$DF792,60)&amp;"","")," "," "),CHAR(9)," "),CHAR(10)," "),CHAR(13)," "))," ␟","␟"),"␟ ","␟"),"#"&amp;$DE792),"")</f>
        <v/>
      </c>
      <c r="DJ792">
        <f>IF($DI792="",0,IF(SUMPRODUCT(--EXACT($DI$4:DI791,$DI792))&gt;0,1,0))</f>
        <v/>
      </c>
      <c r="DK792">
        <f>IF(AND($DI792&lt;&gt;"",$DJ792=0),1,0)</f>
        <v/>
      </c>
      <c r="DL792">
        <f>DL791+$DK792</f>
        <v/>
      </c>
      <c r="DM792">
        <f>IF(AND($DK792=1,$DL792&lt;=600),1,0)</f>
        <v/>
      </c>
      <c r="DN792">
        <f>IF($DM792=0,"",IF($L$6=0,"",IFERROR(IF(ISNUMBER(INDEX(PASTE_ALL,$DF792,$L$6)),INDEX(PASTE_ALL,$DF792,$L$6),TRIM(SUBSTITUTE(SUBSTITUTE(SUBSTITUTE(SUBSTITUTE(INDEX(PASTE_ALL,$DF792,$L$6)," "," "),CHAR(9)," "),CHAR(10)," "),CHAR(13)," "))),"")))</f>
        <v/>
      </c>
      <c r="DO792">
        <f>IF($DM792=0,"",IF($L$7=0,"",IFERROR(IF(ISNUMBER(INDEX(PASTE_ALL,$DF792,$L$7)),INDEX(PASTE_ALL,$DF792,$L$7),TRIM(SUBSTITUTE(SUBSTITUTE(SUBSTITUTE(SUBSTITUTE(INDEX(PASTE_ALL,$DF792,$L$7)," "," "),CHAR(9)," "),CHAR(10)," "),CHAR(13)," "))),"")))</f>
        <v/>
      </c>
      <c r="DP792">
        <f>IF($DM792=0,"",IF($L$8=0,"",IFERROR(IF(ISNUMBER(INDEX(PASTE_ALL,$DF792,$L$8)),INDEX(PASTE_ALL,$DF792,$L$8),TRIM(SUBSTITUTE(SUBSTITUTE(SUBSTITUTE(SUBSTITUTE(INDEX(PASTE_ALL,$DF792,$L$8)," "," "),CHAR(9)," "),CHAR(10)," "),CHAR(13)," "))),"")))</f>
        <v/>
      </c>
      <c r="DQ792">
        <f>IF($DM792=0,"",IF($L$9=0,"",IFERROR(IF(ISNUMBER(INDEX(PASTE_ALL,$DF792,$L$9)),INDEX(PASTE_ALL,$DF792,$L$9),TRIM(SUBSTITUTE(SUBSTITUTE(SUBSTITUTE(SUBSTITUTE(INDEX(PASTE_ALL,$DF792,$L$9)," "," "),CHAR(9)," "),CHAR(10)," "),CHAR(13)," "))),"")))</f>
        <v/>
      </c>
      <c r="DR792">
        <f>IF($DM792=0,"",IF($L$10=0,"",IFERROR(IF(ISNUMBER(INDEX(PASTE_ALL,$DF792,$L$10)),INDEX(PASTE_ALL,$DF792,$L$10),TRIM(SUBSTITUTE(SUBSTITUTE(SUBSTITUTE(SUBSTITUTE(INDEX(PASTE_ALL,$DF792,$L$10)," "," "),CHAR(9)," "),CHAR(10)," "),CHAR(13)," "))),"")))</f>
        <v/>
      </c>
      <c r="DS792">
        <f>IF($DM792=0,"",IF($L$11=0,"",IFERROR(IF(ISNUMBER(INDEX(PASTE_ALL,$DF792,$L$11)),INDEX(PASTE_ALL,$DF792,$L$11),TRIM(SUBSTITUTE(SUBSTITUTE(SUBSTITUTE(SUBSTITUTE(INDEX(PASTE_ALL,$DF792,$L$11)," "," "),CHAR(9)," "),CHAR(10)," "),CHAR(13)," "))),"")))</f>
        <v/>
      </c>
      <c r="DT792">
        <f>IF($DM792=0,"",IF($L$12=0,"",IFERROR(IF(ISNUMBER(INDEX(PASTE_ALL,$DF792,$L$12)),INDEX(PASTE_ALL,$DF792,$L$12),TRIM(SUBSTITUTE(SUBSTITUTE(SUBSTITUTE(SUBSTITUTE(INDEX(PASTE_ALL,$DF792,$L$12)," "," "),CHAR(9)," "),CHAR(10)," "),CHAR(13)," "))),"")))</f>
        <v/>
      </c>
      <c r="DU792">
        <f>IF($DM792=0,"",IF($L$13=0,"",IFERROR(IF(ISNUMBER(INDEX(PASTE_ALL,$DF792,$L$13)),INDEX(PASTE_ALL,$DF792,$L$13),TRIM(SUBSTITUTE(SUBSTITUTE(SUBSTITUTE(SUBSTITUTE(INDEX(PASTE_ALL,$DF792,$L$13)," "," "),CHAR(9)," "),CHAR(10)," "),CHAR(13)," "))),"")))</f>
        <v/>
      </c>
      <c r="DV792">
        <f>IF($DM792=0,"",IF($L$14=0,"",IFERROR(IF(ISNUMBER(INDEX(PASTE_ALL,$DF792,$L$14)),INDEX(PASTE_ALL,$DF792,$L$14),TRIM(SUBSTITUTE(SUBSTITUTE(SUBSTITUTE(SUBSTITUTE(INDEX(PASTE_ALL,$DF792,$L$14)," "," "),CHAR(9)," "),CHAR(10)," "),CHAR(13)," "))),"")))</f>
        <v/>
      </c>
      <c r="DW792">
        <f>IF($DM792=0,"",IF($L$15=0,"",IFERROR(IF(ISNUMBER(INDEX(PASTE_ALL,$DF792,$L$15)),INDEX(PASTE_ALL,$DF792,$L$15),IF(SUMPRODUCT(--ISNUMBER(FIND({"A","B","C","D","E","F","G","H","I","J","K","L","M","N","O","P","Q","R","S","T","U","V","W","X","Y","Z","0","1","2","3","4","5","6","7","8","9"},UPPER(TRIM(SUBSTITUTE(SUBSTITUTE(SUBSTITUTE(SUBSTITUTE(INDEX(PASTE_ALL,$DF792,$L$15)," "," "),CHAR(9)," "),CHAR(10)," "),CHAR(13)," "))))))&gt;0,TRIM(SUBSTITUTE(SUBSTITUTE(SUBSTITUTE(SUBSTITUTE(INDEX(PASTE_ALL,$DF792,$L$15)," "," "),CHAR(9)," "),CHAR(10)," "),CHAR(13)," ")),"")),"")))</f>
        <v/>
      </c>
      <c r="DX792">
        <f>IF($DM792=0,"",IF($L$16=0,"",IFERROR(IF(ISNUMBER(INDEX(PASTE_ALL,$DF792,$L$16)),INDEX(PASTE_ALL,$DF792,$L$16),SUBSTITUTE(SUBSTITUTE(TRIM(SUBSTITUTE(SUBSTITUTE(SUBSTITUTE(SUBSTITUTE(INDEX(PASTE_ALL,$DF792,$L$16)," "," "),CHAR(9)," "),CHAR(10)," "),CHAR(13)," ")),",",""),"%","")),"")))</f>
        <v/>
      </c>
      <c r="DY792">
        <f>IF($DM792=0,"",IFERROR(IF(ISNUMBER($DX792),$DX792,IF($DX792="","",IF(TRIM($DX792)="",0,IF(AND(AND(SUBSTITUTE(SUBSTITUTE(SUBSTITUTE(SUBSTITUTE(SUBSTITUTE(SUBSTITUTE(SUBSTITUTE(SUBSTITUTE(SUBSTITUTE(SUBSTITUTE(SUBSTITUTE(SUBSTITUTE(SUBSTITUTE(SUBSTITUTE(UPPER(TRIM($DX792)),"0",""),"1",""),"2",""),"3",""),"4",""),"5",""),"6",""),"7",""),"8",""),"9",""),".",""),"+",""),"-",""),"E","")="",LEN(SUBSTITUTE(SUBSTITUTE(MID(UPPER(TRIM($DX792)),1+OR(LEFT(UPPER(TRIM($DX792)),1)="+",LEFT(UPPER(TRIM($DX792)),1)="-"),999),"E+","E"),"E-","E"))=LEN(SUBSTITUTE(SUBSTITUTE(SUBSTITUTE(SUBSTITUTE(MID(UPPER(TRIM($DX792)),1+OR(LEFT(UPPER(TRIM($DX792)),1)="+",LEFT(UPPER(TRIM($DX792)),1)="-"),999),"E+","E"),"E-","E"),"+",""),"-","")),LEN(UPPER(TRIM($DX792)))-LEN(SUBSTITUTE(UPPER(TRIM($DX792)),"E",""))&lt;2,LEN(UPPER(TRIM($DX792)))-LEN(SUBSTITUTE(UPPER(TRIM($DX792)),".",""))&lt;2,IFERROR(FIND(".",UPPER(TRIM($DX792))),0)&lt;IFERROR(FIND("E",UPPER(TRIM($DX792))),999)),ISNUMBER(VALUE(TRIM($DX792)))),VALUE(TRIM($DX792)),"")))),""))</f>
        <v/>
      </c>
      <c r="DZ792">
        <f>IF($DM792=0,"",IF($L$17=0,"",IFERROR(IF(ISNUMBER(INDEX(PASTE_ALL,$DF792,$L$17)),INDEX(PASTE_ALL,$DF792,$L$17),SUBSTITUTE(SUBSTITUTE(TRIM(SUBSTITUTE(SUBSTITUTE(SUBSTITUTE(SUBSTITUTE(INDEX(PASTE_ALL,$DF792,$L$17)," "," "),CHAR(9)," "),CHAR(10)," "),CHAR(13)," ")),",",""),"%","")),"")))</f>
        <v/>
      </c>
      <c r="EA792">
        <f>IF($DM792=0,"",IFERROR(IF(ISNUMBER($DZ792),$DZ792,IF($DZ792="","",IF(TRIM($DZ792)="",0,IF(AND(AND(SUBSTITUTE(SUBSTITUTE(SUBSTITUTE(SUBSTITUTE(SUBSTITUTE(SUBSTITUTE(SUBSTITUTE(SUBSTITUTE(SUBSTITUTE(SUBSTITUTE(SUBSTITUTE(SUBSTITUTE(SUBSTITUTE(SUBSTITUTE(UPPER(TRIM($DZ792)),"0",""),"1",""),"2",""),"3",""),"4",""),"5",""),"6",""),"7",""),"8",""),"9",""),".",""),"+",""),"-",""),"E","")="",LEN(SUBSTITUTE(SUBSTITUTE(MID(UPPER(TRIM($DZ792)),1+OR(LEFT(UPPER(TRIM($DZ792)),1)="+",LEFT(UPPER(TRIM($DZ792)),1)="-"),999),"E+","E"),"E-","E"))=LEN(SUBSTITUTE(SUBSTITUTE(SUBSTITUTE(SUBSTITUTE(MID(UPPER(TRIM($DZ792)),1+OR(LEFT(UPPER(TRIM($DZ792)),1)="+",LEFT(UPPER(TRIM($DZ792)),1)="-"),999),"E+","E"),"E-","E"),"+",""),"-","")),LEN(UPPER(TRIM($DZ792)))-LEN(SUBSTITUTE(UPPER(TRIM($DZ792)),"E",""))&lt;2,LEN(UPPER(TRIM($DZ792)))-LEN(SUBSTITUTE(UPPER(TRIM($DZ792)),".",""))&lt;2,IFERROR(FIND(".",UPPER(TRIM($DZ792))),0)&lt;IFERROR(FIND("E",UPPER(TRIM($DZ792))),999)),ISNUMBER(VALUE(TRIM($DZ792)))),VALUE(TRIM($DZ792)),"")))),""))</f>
        <v/>
      </c>
      <c r="EB792">
        <f>IF($DM792=0,"",IF($L$18=0,"",IFERROR(IF(UPPER(TRIM(SUBSTITUTE(SUBSTITUTE(SUBSTITUTE(SUBSTITUTE(INDEX(PASTE_ALL,$DF792,$L$18)," "," "),CHAR(9)," "),CHAR(10)," "),CHAR(13)," ")))="READY","Ready",IF(UPPER(TRIM(SUBSTITUTE(SUBSTITUTE(SUBSTITUTE(SUBSTITUTE(INDEX(PASTE_ALL,$DF792,$L$18)," "," "),CHAR(9)," "),CHAR(10)," "),CHAR(13)," ")))="PM","PM",IF(OR(UPPER(TRIM(SUBSTITUTE(SUBSTITUTE(SUBSTITUTE(SUBSTITUTE(INDEX(PASTE_ALL,$DF792,$L$18)," "," "),CHAR(9)," "),CHAR(10)," "),CHAR(13)," ")))="OT",UPPER(TRIM(SUBSTITUTE(SUBSTITUTE(SUBSTITUTE(SUBSTITUTE(INDEX(PASTE_ALL,$DF792,$L$18)," "," "),CHAR(9)," "),CHAR(10)," "),CHAR(13)," ")))="OVERTIME",UPPER(TRIM(SUBSTITUTE(SUBSTITUTE(SUBSTITUTE(SUBSTITUTE(INDEX(PASTE_ALL,$DF792,$L$18)," "," "),CHAR(9)," "),CHAR(10)," "),CHAR(13)," ")))="TRIAL"),"OT",TRIM(SUBSTITUTE(SUBSTITUTE(SUBSTITUTE(SUBSTITUTE(INDEX(PASTE_ALL,$DF792,$L$18)," "," "),CHAR(9)," "),CHAR(10)," "),CHAR(13)," "))))),"")))</f>
        <v/>
      </c>
      <c r="EC792">
        <f>IF($DM792=0,"",IF($L$19=0,"",IFERROR(IF(ISNUMBER(INDEX(PASTE_ALL,$DF792,$L$19)),INDEX(PASTE_ALL,$DF792,$L$19),TRIM(SUBSTITUTE(SUBSTITUTE(SUBSTITUTE(SUBSTITUTE(INDEX(PASTE_ALL,$DF792,$L$19)," "," "),CHAR(9)," "),CHAR(10)," "),CHAR(13)," "))),"")))</f>
        <v/>
      </c>
      <c r="ED792">
        <f>IF($DM792=0,"",MATCH(1,INDEX(EXACT($DH$5:DH792,$DH792)*$DM$5:DM792,0),0))</f>
        <v/>
      </c>
      <c r="EE792">
        <f>IF($DM792=0,0,IF($ED792=$DE792,1,0))</f>
        <v/>
      </c>
      <c r="EF792">
        <f>EF791+$EE792</f>
        <v/>
      </c>
      <c r="EG792">
        <f>IF($DM792=0,"",INDEX($EF$5:$EF$1003,$ED792))</f>
        <v/>
      </c>
      <c r="EH792">
        <f>IF($DM792=0,"",IF($DO792&lt;&gt;"","",IFERROR(LOOKUP(2,1/(($EG$4:EG791=$EG792)*($DO$4:DO791&lt;&gt;"")),$DO$4:DO791),"")))</f>
        <v/>
      </c>
      <c r="EI792">
        <f>IF($DM792=0,"",IF($DO792&lt;&gt;"",$DO792,$EH792))</f>
        <v/>
      </c>
      <c r="EJ792">
        <f>IF($DM792=0,"",IF($EI792="",0,IF(OR(ISNUMBER($EI792),AND(AND(SUBSTITUTE(SUBSTITUTE(SUBSTITUTE(SUBSTITUTE(SUBSTITUTE(SUBSTITUTE(SUBSTITUTE(SUBSTITUTE(SUBSTITUTE(SUBSTITUTE(SUBSTITUTE(SUBSTITUTE(SUBSTITUTE(SUBSTITUTE(UPPER($EI792),"0",""),"1",""),"2",""),"3",""),"4",""),"5",""),"6",""),"7",""),"8",""),"9",""),".",""),"+",""),"-",""),"E","")="",LEN(SUBSTITUTE(SUBSTITUTE(MID(UPPER($EI792),1+OR(LEFT(UPPER($EI792),1)="+",LEFT(UPPER($EI792),1)="-"),999),"E+","E"),"E-","E"))=LEN(SUBSTITUTE(SUBSTITUTE(SUBSTITUTE(SUBSTITUTE(MID(UPPER($EI792),1+OR(LEFT(UPPER($EI792),1)="+",LEFT(UPPER($EI792),1)="-"),999),"E+","E"),"E-","E"),"+",""),"-","")),LEN(UPPER($EI792))-LEN(SUBSTITUTE(UPPER($EI792),"E",""))&lt;2,LEN(UPPER($EI792))-LEN(SUBSTITUTE(UPPER($EI792),".",""))&lt;2,IFERROR(FIND(".",UPPER($EI792)),0)&lt;IFERROR(FIND("E",UPPER($EI792)),999)),ISNUMBER(VALUE($EI792)))),1,2)))</f>
        <v/>
      </c>
      <c r="EK792">
        <f>IF($DM792=0,"",IF($EJ792=1,IF(ISNUMBER($EI792),$EI792,VALUE($EI792)),IF($EJ792=2,$DE792,0)))</f>
        <v/>
      </c>
      <c r="EL792">
        <f>IF($DM792=0,"",COUNTIF($EG$5:$EG$1003,"&lt;"&amp;$EG792)+SUMPRODUCT(($EG$5:$EG$1003=$EG792)*(($EJ$5:$EJ$1003&lt;$EJ792)+($EJ$5:$EJ$1003=$EJ792)*(($EK$5:$EK$1003&lt;$EK792)+($EK$5:$EK$1003=$EK792)*($DE$5:$DE$1003&lt;$DE792))))+1)</f>
        <v/>
      </c>
      <c r="EM792">
        <f>IF($DM792=0,"",$EL792+$EG792-1)</f>
        <v/>
      </c>
      <c r="EN792">
        <f>IF($DM792=0,0,IFERROR(MATCH(1,INDEX(--(TRIM(SUBSTITUTE(SUBSTITUTE(SUBSTITUTE(SUBSTITUTE(LINES_NAME&amp;""," "," "),CHAR(9)," "),CHAR(10)," "),CHAR(13)," "))=$DH792),0),0),0))</f>
        <v/>
      </c>
      <c r="EO792">
        <f>IF($EN792=0,0,IF(OR(UPPER(TRIM(INDEX(LINES_SCHEDULED,$EN792)&amp;""))="YES",UPPER(TRIM(INDEX(LINES_SCHEDULED,$EN792)&amp;""))="Y",UPPER(TRIM(INDEX(LINES_SCHEDULED,$EN792)&amp;""))="X"),1,0))</f>
        <v/>
      </c>
      <c r="EP792">
        <f>IF($DM792=0,"",IF(COUNTIFS($EG$5:$EG$1003,$EG792,$EB$5:$EB$1003,"Ready")&gt;0,"READY",IF(COUNTIFS($EG$5:$EG$1003,$EG792,$EB$5:$EB$1003,"PM")&gt;0,"PM",IF(COUNTIFS($EG$5:$EG$1003,$EG792,$EB$5:$EB$1003,"OT")&gt;0,"OT",""))))</f>
        <v/>
      </c>
      <c r="EQ792">
        <f>IF($EN792=0,"",UPPER(TRIM(INDEX(LINES_STATUS,$EN792)&amp;"")))</f>
        <v/>
      </c>
      <c r="ER792">
        <f>IF($DM792=0,"",IF(OR($EQ792="READY",$EQ792="PM",$EQ792="OT"),$EQ792,$EP792))</f>
        <v/>
      </c>
      <c r="ES792">
        <f>IF($DM792=0,"",IF(AND($DV792&lt;&gt;"",UPPER($DV792)&lt;&gt;"N"),"allergen",IF(ISNUMBER(SEARCH("oil",$DQ792)),"oil",IF(OR(EXACT($DS792,"A662"),EXACT($DS792,"A624")),"bulk",""))))</f>
        <v/>
      </c>
      <c r="ET792">
        <f>IF($DM792=0,"",IF(OR($EA792="",$EA792=0),"",$EA792/100))</f>
        <v/>
      </c>
      <c r="EU792">
        <f>IF(OR($ET792="",$DY792=""),"",INT($DY792*(1-$ET792)+0.5))</f>
        <v/>
      </c>
    </row>
    <row r="793">
      <c r="DA793" t="n">
        <v>789</v>
      </c>
      <c r="DB793">
        <f>IF($B$37=0,"",IFERROR(TRIM(SUBSTITUTE(SUBSTITUTE(SUBSTITUTE(SUBSTITUTE(INDEX(PASTE_ALL,789,$B$37)," "," "),CHAR(9)," "),CHAR(10)," "),CHAR(13)," ")),""))</f>
        <v/>
      </c>
      <c r="DC793">
        <f>IF(AND(789&gt;HEADER_ROW,UPPER(DB793)="LEGEND"),1,0)</f>
        <v/>
      </c>
      <c r="DE793" t="n">
        <v>789</v>
      </c>
      <c r="DF793">
        <f>HEADER_ROW+$DE793</f>
        <v/>
      </c>
      <c r="DG793">
        <f>IF(AND($DF793&lt;=1000,$DF793&lt;$B$8),1,0)</f>
        <v/>
      </c>
      <c r="DH793">
        <f>IF($DG793=1,IFERROR(INDEX($DB$5:$DB$1004,$DF793),""),"")</f>
        <v/>
      </c>
      <c r="DI793">
        <f>IF(AND($DG793=1,$DH793&lt;&gt;""),IFERROR(SUBSTITUTE(SUBSTITUTE(TRIM(SUBSTITUTE(SUBSTITUTE(SUBSTITUTE(SUBSTITUTE(IFERROR(INDEX(PASTE_ALL,$DF793,1)&amp;"","")&amp;"␟"&amp;IFERROR(INDEX(PASTE_ALL,$DF793,2)&amp;"","")&amp;"␟"&amp;IFERROR(INDEX(PASTE_ALL,$DF793,3)&amp;"","")&amp;"␟"&amp;IFERROR(INDEX(PASTE_ALL,$DF793,4)&amp;"","")&amp;"␟"&amp;IFERROR(INDEX(PASTE_ALL,$DF793,5)&amp;"","")&amp;"␟"&amp;IFERROR(INDEX(PASTE_ALL,$DF793,6)&amp;"","")&amp;"␟"&amp;IFERROR(INDEX(PASTE_ALL,$DF793,7)&amp;"","")&amp;"␟"&amp;IFERROR(INDEX(PASTE_ALL,$DF793,8)&amp;"","")&amp;"␟"&amp;IFERROR(INDEX(PASTE_ALL,$DF793,9)&amp;"","")&amp;"␟"&amp;IFERROR(INDEX(PASTE_ALL,$DF793,10)&amp;"","")&amp;"␟"&amp;IFERROR(INDEX(PASTE_ALL,$DF793,11)&amp;"","")&amp;"␟"&amp;IFERROR(INDEX(PASTE_ALL,$DF793,12)&amp;"","")&amp;"␟"&amp;IFERROR(INDEX(PASTE_ALL,$DF793,13)&amp;"","")&amp;"␟"&amp;IFERROR(INDEX(PASTE_ALL,$DF793,14)&amp;"","")&amp;"␟"&amp;IFERROR(INDEX(PASTE_ALL,$DF793,15)&amp;"","")&amp;"␟"&amp;IFERROR(INDEX(PASTE_ALL,$DF793,16)&amp;"","")&amp;"␟"&amp;IFERROR(INDEX(PASTE_ALL,$DF793,17)&amp;"","")&amp;"␟"&amp;IFERROR(INDEX(PASTE_ALL,$DF793,18)&amp;"","")&amp;"␟"&amp;IFERROR(INDEX(PASTE_ALL,$DF793,19)&amp;"","")&amp;"␟"&amp;IFERROR(INDEX(PASTE_ALL,$DF793,20)&amp;"","")&amp;"␟"&amp;IFERROR(INDEX(PASTE_ALL,$DF793,21)&amp;"","")&amp;"␟"&amp;IFERROR(INDEX(PASTE_ALL,$DF793,22)&amp;"","")&amp;"␟"&amp;IFERROR(INDEX(PASTE_ALL,$DF793,23)&amp;"","")&amp;"␟"&amp;IFERROR(INDEX(PASTE_ALL,$DF793,24)&amp;"","")&amp;"␟"&amp;IFERROR(INDEX(PASTE_ALL,$DF793,25)&amp;"","")&amp;"␟"&amp;IFERROR(INDEX(PASTE_ALL,$DF793,26)&amp;"","")&amp;"␟"&amp;IFERROR(INDEX(PASTE_ALL,$DF793,27)&amp;"","")&amp;"␟"&amp;IFERROR(INDEX(PASTE_ALL,$DF793,28)&amp;"","")&amp;"␟"&amp;IFERROR(INDEX(PASTE_ALL,$DF793,29)&amp;"","")&amp;"␟"&amp;IFERROR(INDEX(PASTE_ALL,$DF793,30)&amp;"","")&amp;"␟"&amp;IFERROR(INDEX(PASTE_ALL,$DF793,31)&amp;"","")&amp;"␟"&amp;IFERROR(INDEX(PASTE_ALL,$DF793,32)&amp;"","")&amp;"␟"&amp;IFERROR(INDEX(PASTE_ALL,$DF793,33)&amp;"","")&amp;"␟"&amp;IFERROR(INDEX(PASTE_ALL,$DF793,34)&amp;"","")&amp;"␟"&amp;IFERROR(INDEX(PASTE_ALL,$DF793,35)&amp;"","")&amp;"␟"&amp;IFERROR(INDEX(PASTE_ALL,$DF793,36)&amp;"","")&amp;"␟"&amp;IFERROR(INDEX(PASTE_ALL,$DF793,37)&amp;"","")&amp;"␟"&amp;IFERROR(INDEX(PASTE_ALL,$DF793,38)&amp;"","")&amp;"␟"&amp;IFERROR(INDEX(PASTE_ALL,$DF793,39)&amp;"","")&amp;"␟"&amp;IFERROR(INDEX(PASTE_ALL,$DF793,40)&amp;"","")&amp;"␟"&amp;IFERROR(INDEX(PASTE_ALL,$DF793,41)&amp;"","")&amp;"␟"&amp;IFERROR(INDEX(PASTE_ALL,$DF793,42)&amp;"","")&amp;"␟"&amp;IFERROR(INDEX(PASTE_ALL,$DF793,43)&amp;"","")&amp;"␟"&amp;IFERROR(INDEX(PASTE_ALL,$DF793,44)&amp;"","")&amp;"␟"&amp;IFERROR(INDEX(PASTE_ALL,$DF793,45)&amp;"","")&amp;"␟"&amp;IFERROR(INDEX(PASTE_ALL,$DF793,46)&amp;"","")&amp;"␟"&amp;IFERROR(INDEX(PASTE_ALL,$DF793,47)&amp;"","")&amp;"␟"&amp;IFERROR(INDEX(PASTE_ALL,$DF793,48)&amp;"","")&amp;"␟"&amp;IFERROR(INDEX(PASTE_ALL,$DF793,49)&amp;"","")&amp;"␟"&amp;IFERROR(INDEX(PASTE_ALL,$DF793,50)&amp;"","")&amp;"␟"&amp;IFERROR(INDEX(PASTE_ALL,$DF793,51)&amp;"","")&amp;"␟"&amp;IFERROR(INDEX(PASTE_ALL,$DF793,52)&amp;"","")&amp;"␟"&amp;IFERROR(INDEX(PASTE_ALL,$DF793,53)&amp;"","")&amp;"␟"&amp;IFERROR(INDEX(PASTE_ALL,$DF793,54)&amp;"","")&amp;"␟"&amp;IFERROR(INDEX(PASTE_ALL,$DF793,55)&amp;"","")&amp;"␟"&amp;IFERROR(INDEX(PASTE_ALL,$DF793,56)&amp;"","")&amp;"␟"&amp;IFERROR(INDEX(PASTE_ALL,$DF793,57)&amp;"","")&amp;"␟"&amp;IFERROR(INDEX(PASTE_ALL,$DF793,58)&amp;"","")&amp;"␟"&amp;IFERROR(INDEX(PASTE_ALL,$DF793,59)&amp;"","")&amp;"␟"&amp;IFERROR(INDEX(PASTE_ALL,$DF793,60)&amp;"","")," "," "),CHAR(9)," "),CHAR(10)," "),CHAR(13)," "))," ␟","␟"),"␟ ","␟"),"#"&amp;$DE793),"")</f>
        <v/>
      </c>
      <c r="DJ793">
        <f>IF($DI793="",0,IF(SUMPRODUCT(--EXACT($DI$4:DI792,$DI793))&gt;0,1,0))</f>
        <v/>
      </c>
      <c r="DK793">
        <f>IF(AND($DI793&lt;&gt;"",$DJ793=0),1,0)</f>
        <v/>
      </c>
      <c r="DL793">
        <f>DL792+$DK793</f>
        <v/>
      </c>
      <c r="DM793">
        <f>IF(AND($DK793=1,$DL793&lt;=600),1,0)</f>
        <v/>
      </c>
      <c r="DN793">
        <f>IF($DM793=0,"",IF($L$6=0,"",IFERROR(IF(ISNUMBER(INDEX(PASTE_ALL,$DF793,$L$6)),INDEX(PASTE_ALL,$DF793,$L$6),TRIM(SUBSTITUTE(SUBSTITUTE(SUBSTITUTE(SUBSTITUTE(INDEX(PASTE_ALL,$DF793,$L$6)," "," "),CHAR(9)," "),CHAR(10)," "),CHAR(13)," "))),"")))</f>
        <v/>
      </c>
      <c r="DO793">
        <f>IF($DM793=0,"",IF($L$7=0,"",IFERROR(IF(ISNUMBER(INDEX(PASTE_ALL,$DF793,$L$7)),INDEX(PASTE_ALL,$DF793,$L$7),TRIM(SUBSTITUTE(SUBSTITUTE(SUBSTITUTE(SUBSTITUTE(INDEX(PASTE_ALL,$DF793,$L$7)," "," "),CHAR(9)," "),CHAR(10)," "),CHAR(13)," "))),"")))</f>
        <v/>
      </c>
      <c r="DP793">
        <f>IF($DM793=0,"",IF($L$8=0,"",IFERROR(IF(ISNUMBER(INDEX(PASTE_ALL,$DF793,$L$8)),INDEX(PASTE_ALL,$DF793,$L$8),TRIM(SUBSTITUTE(SUBSTITUTE(SUBSTITUTE(SUBSTITUTE(INDEX(PASTE_ALL,$DF793,$L$8)," "," "),CHAR(9)," "),CHAR(10)," "),CHAR(13)," "))),"")))</f>
        <v/>
      </c>
      <c r="DQ793">
        <f>IF($DM793=0,"",IF($L$9=0,"",IFERROR(IF(ISNUMBER(INDEX(PASTE_ALL,$DF793,$L$9)),INDEX(PASTE_ALL,$DF793,$L$9),TRIM(SUBSTITUTE(SUBSTITUTE(SUBSTITUTE(SUBSTITUTE(INDEX(PASTE_ALL,$DF793,$L$9)," "," "),CHAR(9)," "),CHAR(10)," "),CHAR(13)," "))),"")))</f>
        <v/>
      </c>
      <c r="DR793">
        <f>IF($DM793=0,"",IF($L$10=0,"",IFERROR(IF(ISNUMBER(INDEX(PASTE_ALL,$DF793,$L$10)),INDEX(PASTE_ALL,$DF793,$L$10),TRIM(SUBSTITUTE(SUBSTITUTE(SUBSTITUTE(SUBSTITUTE(INDEX(PASTE_ALL,$DF793,$L$10)," "," "),CHAR(9)," "),CHAR(10)," "),CHAR(13)," "))),"")))</f>
        <v/>
      </c>
      <c r="DS793">
        <f>IF($DM793=0,"",IF($L$11=0,"",IFERROR(IF(ISNUMBER(INDEX(PASTE_ALL,$DF793,$L$11)),INDEX(PASTE_ALL,$DF793,$L$11),TRIM(SUBSTITUTE(SUBSTITUTE(SUBSTITUTE(SUBSTITUTE(INDEX(PASTE_ALL,$DF793,$L$11)," "," "),CHAR(9)," "),CHAR(10)," "),CHAR(13)," "))),"")))</f>
        <v/>
      </c>
      <c r="DT793">
        <f>IF($DM793=0,"",IF($L$12=0,"",IFERROR(IF(ISNUMBER(INDEX(PASTE_ALL,$DF793,$L$12)),INDEX(PASTE_ALL,$DF793,$L$12),TRIM(SUBSTITUTE(SUBSTITUTE(SUBSTITUTE(SUBSTITUTE(INDEX(PASTE_ALL,$DF793,$L$12)," "," "),CHAR(9)," "),CHAR(10)," "),CHAR(13)," "))),"")))</f>
        <v/>
      </c>
      <c r="DU793">
        <f>IF($DM793=0,"",IF($L$13=0,"",IFERROR(IF(ISNUMBER(INDEX(PASTE_ALL,$DF793,$L$13)),INDEX(PASTE_ALL,$DF793,$L$13),TRIM(SUBSTITUTE(SUBSTITUTE(SUBSTITUTE(SUBSTITUTE(INDEX(PASTE_ALL,$DF793,$L$13)," "," "),CHAR(9)," "),CHAR(10)," "),CHAR(13)," "))),"")))</f>
        <v/>
      </c>
      <c r="DV793">
        <f>IF($DM793=0,"",IF($L$14=0,"",IFERROR(IF(ISNUMBER(INDEX(PASTE_ALL,$DF793,$L$14)),INDEX(PASTE_ALL,$DF793,$L$14),TRIM(SUBSTITUTE(SUBSTITUTE(SUBSTITUTE(SUBSTITUTE(INDEX(PASTE_ALL,$DF793,$L$14)," "," "),CHAR(9)," "),CHAR(10)," "),CHAR(13)," "))),"")))</f>
        <v/>
      </c>
      <c r="DW793">
        <f>IF($DM793=0,"",IF($L$15=0,"",IFERROR(IF(ISNUMBER(INDEX(PASTE_ALL,$DF793,$L$15)),INDEX(PASTE_ALL,$DF793,$L$15),IF(SUMPRODUCT(--ISNUMBER(FIND({"A","B","C","D","E","F","G","H","I","J","K","L","M","N","O","P","Q","R","S","T","U","V","W","X","Y","Z","0","1","2","3","4","5","6","7","8","9"},UPPER(TRIM(SUBSTITUTE(SUBSTITUTE(SUBSTITUTE(SUBSTITUTE(INDEX(PASTE_ALL,$DF793,$L$15)," "," "),CHAR(9)," "),CHAR(10)," "),CHAR(13)," "))))))&gt;0,TRIM(SUBSTITUTE(SUBSTITUTE(SUBSTITUTE(SUBSTITUTE(INDEX(PASTE_ALL,$DF793,$L$15)," "," "),CHAR(9)," "),CHAR(10)," "),CHAR(13)," ")),"")),"")))</f>
        <v/>
      </c>
      <c r="DX793">
        <f>IF($DM793=0,"",IF($L$16=0,"",IFERROR(IF(ISNUMBER(INDEX(PASTE_ALL,$DF793,$L$16)),INDEX(PASTE_ALL,$DF793,$L$16),SUBSTITUTE(SUBSTITUTE(TRIM(SUBSTITUTE(SUBSTITUTE(SUBSTITUTE(SUBSTITUTE(INDEX(PASTE_ALL,$DF793,$L$16)," "," "),CHAR(9)," "),CHAR(10)," "),CHAR(13)," ")),",",""),"%","")),"")))</f>
        <v/>
      </c>
      <c r="DY793">
        <f>IF($DM793=0,"",IFERROR(IF(ISNUMBER($DX793),$DX793,IF($DX793="","",IF(TRIM($DX793)="",0,IF(AND(AND(SUBSTITUTE(SUBSTITUTE(SUBSTITUTE(SUBSTITUTE(SUBSTITUTE(SUBSTITUTE(SUBSTITUTE(SUBSTITUTE(SUBSTITUTE(SUBSTITUTE(SUBSTITUTE(SUBSTITUTE(SUBSTITUTE(SUBSTITUTE(UPPER(TRIM($DX793)),"0",""),"1",""),"2",""),"3",""),"4",""),"5",""),"6",""),"7",""),"8",""),"9",""),".",""),"+",""),"-",""),"E","")="",LEN(SUBSTITUTE(SUBSTITUTE(MID(UPPER(TRIM($DX793)),1+OR(LEFT(UPPER(TRIM($DX793)),1)="+",LEFT(UPPER(TRIM($DX793)),1)="-"),999),"E+","E"),"E-","E"))=LEN(SUBSTITUTE(SUBSTITUTE(SUBSTITUTE(SUBSTITUTE(MID(UPPER(TRIM($DX793)),1+OR(LEFT(UPPER(TRIM($DX793)),1)="+",LEFT(UPPER(TRIM($DX793)),1)="-"),999),"E+","E"),"E-","E"),"+",""),"-","")),LEN(UPPER(TRIM($DX793)))-LEN(SUBSTITUTE(UPPER(TRIM($DX793)),"E",""))&lt;2,LEN(UPPER(TRIM($DX793)))-LEN(SUBSTITUTE(UPPER(TRIM($DX793)),".",""))&lt;2,IFERROR(FIND(".",UPPER(TRIM($DX793))),0)&lt;IFERROR(FIND("E",UPPER(TRIM($DX793))),999)),ISNUMBER(VALUE(TRIM($DX793)))),VALUE(TRIM($DX793)),"")))),""))</f>
        <v/>
      </c>
      <c r="DZ793">
        <f>IF($DM793=0,"",IF($L$17=0,"",IFERROR(IF(ISNUMBER(INDEX(PASTE_ALL,$DF793,$L$17)),INDEX(PASTE_ALL,$DF793,$L$17),SUBSTITUTE(SUBSTITUTE(TRIM(SUBSTITUTE(SUBSTITUTE(SUBSTITUTE(SUBSTITUTE(INDEX(PASTE_ALL,$DF793,$L$17)," "," "),CHAR(9)," "),CHAR(10)," "),CHAR(13)," ")),",",""),"%","")),"")))</f>
        <v/>
      </c>
      <c r="EA793">
        <f>IF($DM793=0,"",IFERROR(IF(ISNUMBER($DZ793),$DZ793,IF($DZ793="","",IF(TRIM($DZ793)="",0,IF(AND(AND(SUBSTITUTE(SUBSTITUTE(SUBSTITUTE(SUBSTITUTE(SUBSTITUTE(SUBSTITUTE(SUBSTITUTE(SUBSTITUTE(SUBSTITUTE(SUBSTITUTE(SUBSTITUTE(SUBSTITUTE(SUBSTITUTE(SUBSTITUTE(UPPER(TRIM($DZ793)),"0",""),"1",""),"2",""),"3",""),"4",""),"5",""),"6",""),"7",""),"8",""),"9",""),".",""),"+",""),"-",""),"E","")="",LEN(SUBSTITUTE(SUBSTITUTE(MID(UPPER(TRIM($DZ793)),1+OR(LEFT(UPPER(TRIM($DZ793)),1)="+",LEFT(UPPER(TRIM($DZ793)),1)="-"),999),"E+","E"),"E-","E"))=LEN(SUBSTITUTE(SUBSTITUTE(SUBSTITUTE(SUBSTITUTE(MID(UPPER(TRIM($DZ793)),1+OR(LEFT(UPPER(TRIM($DZ793)),1)="+",LEFT(UPPER(TRIM($DZ793)),1)="-"),999),"E+","E"),"E-","E"),"+",""),"-","")),LEN(UPPER(TRIM($DZ793)))-LEN(SUBSTITUTE(UPPER(TRIM($DZ793)),"E",""))&lt;2,LEN(UPPER(TRIM($DZ793)))-LEN(SUBSTITUTE(UPPER(TRIM($DZ793)),".",""))&lt;2,IFERROR(FIND(".",UPPER(TRIM($DZ793))),0)&lt;IFERROR(FIND("E",UPPER(TRIM($DZ793))),999)),ISNUMBER(VALUE(TRIM($DZ793)))),VALUE(TRIM($DZ793)),"")))),""))</f>
        <v/>
      </c>
      <c r="EB793">
        <f>IF($DM793=0,"",IF($L$18=0,"",IFERROR(IF(UPPER(TRIM(SUBSTITUTE(SUBSTITUTE(SUBSTITUTE(SUBSTITUTE(INDEX(PASTE_ALL,$DF793,$L$18)," "," "),CHAR(9)," "),CHAR(10)," "),CHAR(13)," ")))="READY","Ready",IF(UPPER(TRIM(SUBSTITUTE(SUBSTITUTE(SUBSTITUTE(SUBSTITUTE(INDEX(PASTE_ALL,$DF793,$L$18)," "," "),CHAR(9)," "),CHAR(10)," "),CHAR(13)," ")))="PM","PM",IF(OR(UPPER(TRIM(SUBSTITUTE(SUBSTITUTE(SUBSTITUTE(SUBSTITUTE(INDEX(PASTE_ALL,$DF793,$L$18)," "," "),CHAR(9)," "),CHAR(10)," "),CHAR(13)," ")))="OT",UPPER(TRIM(SUBSTITUTE(SUBSTITUTE(SUBSTITUTE(SUBSTITUTE(INDEX(PASTE_ALL,$DF793,$L$18)," "," "),CHAR(9)," "),CHAR(10)," "),CHAR(13)," ")))="OVERTIME",UPPER(TRIM(SUBSTITUTE(SUBSTITUTE(SUBSTITUTE(SUBSTITUTE(INDEX(PASTE_ALL,$DF793,$L$18)," "," "),CHAR(9)," "),CHAR(10)," "),CHAR(13)," ")))="TRIAL"),"OT",TRIM(SUBSTITUTE(SUBSTITUTE(SUBSTITUTE(SUBSTITUTE(INDEX(PASTE_ALL,$DF793,$L$18)," "," "),CHAR(9)," "),CHAR(10)," "),CHAR(13)," "))))),"")))</f>
        <v/>
      </c>
      <c r="EC793">
        <f>IF($DM793=0,"",IF($L$19=0,"",IFERROR(IF(ISNUMBER(INDEX(PASTE_ALL,$DF793,$L$19)),INDEX(PASTE_ALL,$DF793,$L$19),TRIM(SUBSTITUTE(SUBSTITUTE(SUBSTITUTE(SUBSTITUTE(INDEX(PASTE_ALL,$DF793,$L$19)," "," "),CHAR(9)," "),CHAR(10)," "),CHAR(13)," "))),"")))</f>
        <v/>
      </c>
      <c r="ED793">
        <f>IF($DM793=0,"",MATCH(1,INDEX(EXACT($DH$5:DH793,$DH793)*$DM$5:DM793,0),0))</f>
        <v/>
      </c>
      <c r="EE793">
        <f>IF($DM793=0,0,IF($ED793=$DE793,1,0))</f>
        <v/>
      </c>
      <c r="EF793">
        <f>EF792+$EE793</f>
        <v/>
      </c>
      <c r="EG793">
        <f>IF($DM793=0,"",INDEX($EF$5:$EF$1003,$ED793))</f>
        <v/>
      </c>
      <c r="EH793">
        <f>IF($DM793=0,"",IF($DO793&lt;&gt;"","",IFERROR(LOOKUP(2,1/(($EG$4:EG792=$EG793)*($DO$4:DO792&lt;&gt;"")),$DO$4:DO792),"")))</f>
        <v/>
      </c>
      <c r="EI793">
        <f>IF($DM793=0,"",IF($DO793&lt;&gt;"",$DO793,$EH793))</f>
        <v/>
      </c>
      <c r="EJ793">
        <f>IF($DM793=0,"",IF($EI793="",0,IF(OR(ISNUMBER($EI793),AND(AND(SUBSTITUTE(SUBSTITUTE(SUBSTITUTE(SUBSTITUTE(SUBSTITUTE(SUBSTITUTE(SUBSTITUTE(SUBSTITUTE(SUBSTITUTE(SUBSTITUTE(SUBSTITUTE(SUBSTITUTE(SUBSTITUTE(SUBSTITUTE(UPPER($EI793),"0",""),"1",""),"2",""),"3",""),"4",""),"5",""),"6",""),"7",""),"8",""),"9",""),".",""),"+",""),"-",""),"E","")="",LEN(SUBSTITUTE(SUBSTITUTE(MID(UPPER($EI793),1+OR(LEFT(UPPER($EI793),1)="+",LEFT(UPPER($EI793),1)="-"),999),"E+","E"),"E-","E"))=LEN(SUBSTITUTE(SUBSTITUTE(SUBSTITUTE(SUBSTITUTE(MID(UPPER($EI793),1+OR(LEFT(UPPER($EI793),1)="+",LEFT(UPPER($EI793),1)="-"),999),"E+","E"),"E-","E"),"+",""),"-","")),LEN(UPPER($EI793))-LEN(SUBSTITUTE(UPPER($EI793),"E",""))&lt;2,LEN(UPPER($EI793))-LEN(SUBSTITUTE(UPPER($EI793),".",""))&lt;2,IFERROR(FIND(".",UPPER($EI793)),0)&lt;IFERROR(FIND("E",UPPER($EI793)),999)),ISNUMBER(VALUE($EI793)))),1,2)))</f>
        <v/>
      </c>
      <c r="EK793">
        <f>IF($DM793=0,"",IF($EJ793=1,IF(ISNUMBER($EI793),$EI793,VALUE($EI793)),IF($EJ793=2,$DE793,0)))</f>
        <v/>
      </c>
      <c r="EL793">
        <f>IF($DM793=0,"",COUNTIF($EG$5:$EG$1003,"&lt;"&amp;$EG793)+SUMPRODUCT(($EG$5:$EG$1003=$EG793)*(($EJ$5:$EJ$1003&lt;$EJ793)+($EJ$5:$EJ$1003=$EJ793)*(($EK$5:$EK$1003&lt;$EK793)+($EK$5:$EK$1003=$EK793)*($DE$5:$DE$1003&lt;$DE793))))+1)</f>
        <v/>
      </c>
      <c r="EM793">
        <f>IF($DM793=0,"",$EL793+$EG793-1)</f>
        <v/>
      </c>
      <c r="EN793">
        <f>IF($DM793=0,0,IFERROR(MATCH(1,INDEX(--(TRIM(SUBSTITUTE(SUBSTITUTE(SUBSTITUTE(SUBSTITUTE(LINES_NAME&amp;""," "," "),CHAR(9)," "),CHAR(10)," "),CHAR(13)," "))=$DH793),0),0),0))</f>
        <v/>
      </c>
      <c r="EO793">
        <f>IF($EN793=0,0,IF(OR(UPPER(TRIM(INDEX(LINES_SCHEDULED,$EN793)&amp;""))="YES",UPPER(TRIM(INDEX(LINES_SCHEDULED,$EN793)&amp;""))="Y",UPPER(TRIM(INDEX(LINES_SCHEDULED,$EN793)&amp;""))="X"),1,0))</f>
        <v/>
      </c>
      <c r="EP793">
        <f>IF($DM793=0,"",IF(COUNTIFS($EG$5:$EG$1003,$EG793,$EB$5:$EB$1003,"Ready")&gt;0,"READY",IF(COUNTIFS($EG$5:$EG$1003,$EG793,$EB$5:$EB$1003,"PM")&gt;0,"PM",IF(COUNTIFS($EG$5:$EG$1003,$EG793,$EB$5:$EB$1003,"OT")&gt;0,"OT",""))))</f>
        <v/>
      </c>
      <c r="EQ793">
        <f>IF($EN793=0,"",UPPER(TRIM(INDEX(LINES_STATUS,$EN793)&amp;"")))</f>
        <v/>
      </c>
      <c r="ER793">
        <f>IF($DM793=0,"",IF(OR($EQ793="READY",$EQ793="PM",$EQ793="OT"),$EQ793,$EP793))</f>
        <v/>
      </c>
      <c r="ES793">
        <f>IF($DM793=0,"",IF(AND($DV793&lt;&gt;"",UPPER($DV793)&lt;&gt;"N"),"allergen",IF(ISNUMBER(SEARCH("oil",$DQ793)),"oil",IF(OR(EXACT($DS793,"A662"),EXACT($DS793,"A624")),"bulk",""))))</f>
        <v/>
      </c>
      <c r="ET793">
        <f>IF($DM793=0,"",IF(OR($EA793="",$EA793=0),"",$EA793/100))</f>
        <v/>
      </c>
      <c r="EU793">
        <f>IF(OR($ET793="",$DY793=""),"",INT($DY793*(1-$ET793)+0.5))</f>
        <v/>
      </c>
    </row>
    <row r="794">
      <c r="DA794" t="n">
        <v>790</v>
      </c>
      <c r="DB794">
        <f>IF($B$37=0,"",IFERROR(TRIM(SUBSTITUTE(SUBSTITUTE(SUBSTITUTE(SUBSTITUTE(INDEX(PASTE_ALL,790,$B$37)," "," "),CHAR(9)," "),CHAR(10)," "),CHAR(13)," ")),""))</f>
        <v/>
      </c>
      <c r="DC794">
        <f>IF(AND(790&gt;HEADER_ROW,UPPER(DB794)="LEGEND"),1,0)</f>
        <v/>
      </c>
      <c r="DE794" t="n">
        <v>790</v>
      </c>
      <c r="DF794">
        <f>HEADER_ROW+$DE794</f>
        <v/>
      </c>
      <c r="DG794">
        <f>IF(AND($DF794&lt;=1000,$DF794&lt;$B$8),1,0)</f>
        <v/>
      </c>
      <c r="DH794">
        <f>IF($DG794=1,IFERROR(INDEX($DB$5:$DB$1004,$DF794),""),"")</f>
        <v/>
      </c>
      <c r="DI794">
        <f>IF(AND($DG794=1,$DH794&lt;&gt;""),IFERROR(SUBSTITUTE(SUBSTITUTE(TRIM(SUBSTITUTE(SUBSTITUTE(SUBSTITUTE(SUBSTITUTE(IFERROR(INDEX(PASTE_ALL,$DF794,1)&amp;"","")&amp;"␟"&amp;IFERROR(INDEX(PASTE_ALL,$DF794,2)&amp;"","")&amp;"␟"&amp;IFERROR(INDEX(PASTE_ALL,$DF794,3)&amp;"","")&amp;"␟"&amp;IFERROR(INDEX(PASTE_ALL,$DF794,4)&amp;"","")&amp;"␟"&amp;IFERROR(INDEX(PASTE_ALL,$DF794,5)&amp;"","")&amp;"␟"&amp;IFERROR(INDEX(PASTE_ALL,$DF794,6)&amp;"","")&amp;"␟"&amp;IFERROR(INDEX(PASTE_ALL,$DF794,7)&amp;"","")&amp;"␟"&amp;IFERROR(INDEX(PASTE_ALL,$DF794,8)&amp;"","")&amp;"␟"&amp;IFERROR(INDEX(PASTE_ALL,$DF794,9)&amp;"","")&amp;"␟"&amp;IFERROR(INDEX(PASTE_ALL,$DF794,10)&amp;"","")&amp;"␟"&amp;IFERROR(INDEX(PASTE_ALL,$DF794,11)&amp;"","")&amp;"␟"&amp;IFERROR(INDEX(PASTE_ALL,$DF794,12)&amp;"","")&amp;"␟"&amp;IFERROR(INDEX(PASTE_ALL,$DF794,13)&amp;"","")&amp;"␟"&amp;IFERROR(INDEX(PASTE_ALL,$DF794,14)&amp;"","")&amp;"␟"&amp;IFERROR(INDEX(PASTE_ALL,$DF794,15)&amp;"","")&amp;"␟"&amp;IFERROR(INDEX(PASTE_ALL,$DF794,16)&amp;"","")&amp;"␟"&amp;IFERROR(INDEX(PASTE_ALL,$DF794,17)&amp;"","")&amp;"␟"&amp;IFERROR(INDEX(PASTE_ALL,$DF794,18)&amp;"","")&amp;"␟"&amp;IFERROR(INDEX(PASTE_ALL,$DF794,19)&amp;"","")&amp;"␟"&amp;IFERROR(INDEX(PASTE_ALL,$DF794,20)&amp;"","")&amp;"␟"&amp;IFERROR(INDEX(PASTE_ALL,$DF794,21)&amp;"","")&amp;"␟"&amp;IFERROR(INDEX(PASTE_ALL,$DF794,22)&amp;"","")&amp;"␟"&amp;IFERROR(INDEX(PASTE_ALL,$DF794,23)&amp;"","")&amp;"␟"&amp;IFERROR(INDEX(PASTE_ALL,$DF794,24)&amp;"","")&amp;"␟"&amp;IFERROR(INDEX(PASTE_ALL,$DF794,25)&amp;"","")&amp;"␟"&amp;IFERROR(INDEX(PASTE_ALL,$DF794,26)&amp;"","")&amp;"␟"&amp;IFERROR(INDEX(PASTE_ALL,$DF794,27)&amp;"","")&amp;"␟"&amp;IFERROR(INDEX(PASTE_ALL,$DF794,28)&amp;"","")&amp;"␟"&amp;IFERROR(INDEX(PASTE_ALL,$DF794,29)&amp;"","")&amp;"␟"&amp;IFERROR(INDEX(PASTE_ALL,$DF794,30)&amp;"","")&amp;"␟"&amp;IFERROR(INDEX(PASTE_ALL,$DF794,31)&amp;"","")&amp;"␟"&amp;IFERROR(INDEX(PASTE_ALL,$DF794,32)&amp;"","")&amp;"␟"&amp;IFERROR(INDEX(PASTE_ALL,$DF794,33)&amp;"","")&amp;"␟"&amp;IFERROR(INDEX(PASTE_ALL,$DF794,34)&amp;"","")&amp;"␟"&amp;IFERROR(INDEX(PASTE_ALL,$DF794,35)&amp;"","")&amp;"␟"&amp;IFERROR(INDEX(PASTE_ALL,$DF794,36)&amp;"","")&amp;"␟"&amp;IFERROR(INDEX(PASTE_ALL,$DF794,37)&amp;"","")&amp;"␟"&amp;IFERROR(INDEX(PASTE_ALL,$DF794,38)&amp;"","")&amp;"␟"&amp;IFERROR(INDEX(PASTE_ALL,$DF794,39)&amp;"","")&amp;"␟"&amp;IFERROR(INDEX(PASTE_ALL,$DF794,40)&amp;"","")&amp;"␟"&amp;IFERROR(INDEX(PASTE_ALL,$DF794,41)&amp;"","")&amp;"␟"&amp;IFERROR(INDEX(PASTE_ALL,$DF794,42)&amp;"","")&amp;"␟"&amp;IFERROR(INDEX(PASTE_ALL,$DF794,43)&amp;"","")&amp;"␟"&amp;IFERROR(INDEX(PASTE_ALL,$DF794,44)&amp;"","")&amp;"␟"&amp;IFERROR(INDEX(PASTE_ALL,$DF794,45)&amp;"","")&amp;"␟"&amp;IFERROR(INDEX(PASTE_ALL,$DF794,46)&amp;"","")&amp;"␟"&amp;IFERROR(INDEX(PASTE_ALL,$DF794,47)&amp;"","")&amp;"␟"&amp;IFERROR(INDEX(PASTE_ALL,$DF794,48)&amp;"","")&amp;"␟"&amp;IFERROR(INDEX(PASTE_ALL,$DF794,49)&amp;"","")&amp;"␟"&amp;IFERROR(INDEX(PASTE_ALL,$DF794,50)&amp;"","")&amp;"␟"&amp;IFERROR(INDEX(PASTE_ALL,$DF794,51)&amp;"","")&amp;"␟"&amp;IFERROR(INDEX(PASTE_ALL,$DF794,52)&amp;"","")&amp;"␟"&amp;IFERROR(INDEX(PASTE_ALL,$DF794,53)&amp;"","")&amp;"␟"&amp;IFERROR(INDEX(PASTE_ALL,$DF794,54)&amp;"","")&amp;"␟"&amp;IFERROR(INDEX(PASTE_ALL,$DF794,55)&amp;"","")&amp;"␟"&amp;IFERROR(INDEX(PASTE_ALL,$DF794,56)&amp;"","")&amp;"␟"&amp;IFERROR(INDEX(PASTE_ALL,$DF794,57)&amp;"","")&amp;"␟"&amp;IFERROR(INDEX(PASTE_ALL,$DF794,58)&amp;"","")&amp;"␟"&amp;IFERROR(INDEX(PASTE_ALL,$DF794,59)&amp;"","")&amp;"␟"&amp;IFERROR(INDEX(PASTE_ALL,$DF794,60)&amp;"","")," "," "),CHAR(9)," "),CHAR(10)," "),CHAR(13)," "))," ␟","␟"),"␟ ","␟"),"#"&amp;$DE794),"")</f>
        <v/>
      </c>
      <c r="DJ794">
        <f>IF($DI794="",0,IF(SUMPRODUCT(--EXACT($DI$4:DI793,$DI794))&gt;0,1,0))</f>
        <v/>
      </c>
      <c r="DK794">
        <f>IF(AND($DI794&lt;&gt;"",$DJ794=0),1,0)</f>
        <v/>
      </c>
      <c r="DL794">
        <f>DL793+$DK794</f>
        <v/>
      </c>
      <c r="DM794">
        <f>IF(AND($DK794=1,$DL794&lt;=600),1,0)</f>
        <v/>
      </c>
      <c r="DN794">
        <f>IF($DM794=0,"",IF($L$6=0,"",IFERROR(IF(ISNUMBER(INDEX(PASTE_ALL,$DF794,$L$6)),INDEX(PASTE_ALL,$DF794,$L$6),TRIM(SUBSTITUTE(SUBSTITUTE(SUBSTITUTE(SUBSTITUTE(INDEX(PASTE_ALL,$DF794,$L$6)," "," "),CHAR(9)," "),CHAR(10)," "),CHAR(13)," "))),"")))</f>
        <v/>
      </c>
      <c r="DO794">
        <f>IF($DM794=0,"",IF($L$7=0,"",IFERROR(IF(ISNUMBER(INDEX(PASTE_ALL,$DF794,$L$7)),INDEX(PASTE_ALL,$DF794,$L$7),TRIM(SUBSTITUTE(SUBSTITUTE(SUBSTITUTE(SUBSTITUTE(INDEX(PASTE_ALL,$DF794,$L$7)," "," "),CHAR(9)," "),CHAR(10)," "),CHAR(13)," "))),"")))</f>
        <v/>
      </c>
      <c r="DP794">
        <f>IF($DM794=0,"",IF($L$8=0,"",IFERROR(IF(ISNUMBER(INDEX(PASTE_ALL,$DF794,$L$8)),INDEX(PASTE_ALL,$DF794,$L$8),TRIM(SUBSTITUTE(SUBSTITUTE(SUBSTITUTE(SUBSTITUTE(INDEX(PASTE_ALL,$DF794,$L$8)," "," "),CHAR(9)," "),CHAR(10)," "),CHAR(13)," "))),"")))</f>
        <v/>
      </c>
      <c r="DQ794">
        <f>IF($DM794=0,"",IF($L$9=0,"",IFERROR(IF(ISNUMBER(INDEX(PASTE_ALL,$DF794,$L$9)),INDEX(PASTE_ALL,$DF794,$L$9),TRIM(SUBSTITUTE(SUBSTITUTE(SUBSTITUTE(SUBSTITUTE(INDEX(PASTE_ALL,$DF794,$L$9)," "," "),CHAR(9)," "),CHAR(10)," "),CHAR(13)," "))),"")))</f>
        <v/>
      </c>
      <c r="DR794">
        <f>IF($DM794=0,"",IF($L$10=0,"",IFERROR(IF(ISNUMBER(INDEX(PASTE_ALL,$DF794,$L$10)),INDEX(PASTE_ALL,$DF794,$L$10),TRIM(SUBSTITUTE(SUBSTITUTE(SUBSTITUTE(SUBSTITUTE(INDEX(PASTE_ALL,$DF794,$L$10)," "," "),CHAR(9)," "),CHAR(10)," "),CHAR(13)," "))),"")))</f>
        <v/>
      </c>
      <c r="DS794">
        <f>IF($DM794=0,"",IF($L$11=0,"",IFERROR(IF(ISNUMBER(INDEX(PASTE_ALL,$DF794,$L$11)),INDEX(PASTE_ALL,$DF794,$L$11),TRIM(SUBSTITUTE(SUBSTITUTE(SUBSTITUTE(SUBSTITUTE(INDEX(PASTE_ALL,$DF794,$L$11)," "," "),CHAR(9)," "),CHAR(10)," "),CHAR(13)," "))),"")))</f>
        <v/>
      </c>
      <c r="DT794">
        <f>IF($DM794=0,"",IF($L$12=0,"",IFERROR(IF(ISNUMBER(INDEX(PASTE_ALL,$DF794,$L$12)),INDEX(PASTE_ALL,$DF794,$L$12),TRIM(SUBSTITUTE(SUBSTITUTE(SUBSTITUTE(SUBSTITUTE(INDEX(PASTE_ALL,$DF794,$L$12)," "," "),CHAR(9)," "),CHAR(10)," "),CHAR(13)," "))),"")))</f>
        <v/>
      </c>
      <c r="DU794">
        <f>IF($DM794=0,"",IF($L$13=0,"",IFERROR(IF(ISNUMBER(INDEX(PASTE_ALL,$DF794,$L$13)),INDEX(PASTE_ALL,$DF794,$L$13),TRIM(SUBSTITUTE(SUBSTITUTE(SUBSTITUTE(SUBSTITUTE(INDEX(PASTE_ALL,$DF794,$L$13)," "," "),CHAR(9)," "),CHAR(10)," "),CHAR(13)," "))),"")))</f>
        <v/>
      </c>
      <c r="DV794">
        <f>IF($DM794=0,"",IF($L$14=0,"",IFERROR(IF(ISNUMBER(INDEX(PASTE_ALL,$DF794,$L$14)),INDEX(PASTE_ALL,$DF794,$L$14),TRIM(SUBSTITUTE(SUBSTITUTE(SUBSTITUTE(SUBSTITUTE(INDEX(PASTE_ALL,$DF794,$L$14)," "," "),CHAR(9)," "),CHAR(10)," "),CHAR(13)," "))),"")))</f>
        <v/>
      </c>
      <c r="DW794">
        <f>IF($DM794=0,"",IF($L$15=0,"",IFERROR(IF(ISNUMBER(INDEX(PASTE_ALL,$DF794,$L$15)),INDEX(PASTE_ALL,$DF794,$L$15),IF(SUMPRODUCT(--ISNUMBER(FIND({"A","B","C","D","E","F","G","H","I","J","K","L","M","N","O","P","Q","R","S","T","U","V","W","X","Y","Z","0","1","2","3","4","5","6","7","8","9"},UPPER(TRIM(SUBSTITUTE(SUBSTITUTE(SUBSTITUTE(SUBSTITUTE(INDEX(PASTE_ALL,$DF794,$L$15)," "," "),CHAR(9)," "),CHAR(10)," "),CHAR(13)," "))))))&gt;0,TRIM(SUBSTITUTE(SUBSTITUTE(SUBSTITUTE(SUBSTITUTE(INDEX(PASTE_ALL,$DF794,$L$15)," "," "),CHAR(9)," "),CHAR(10)," "),CHAR(13)," ")),"")),"")))</f>
        <v/>
      </c>
      <c r="DX794">
        <f>IF($DM794=0,"",IF($L$16=0,"",IFERROR(IF(ISNUMBER(INDEX(PASTE_ALL,$DF794,$L$16)),INDEX(PASTE_ALL,$DF794,$L$16),SUBSTITUTE(SUBSTITUTE(TRIM(SUBSTITUTE(SUBSTITUTE(SUBSTITUTE(SUBSTITUTE(INDEX(PASTE_ALL,$DF794,$L$16)," "," "),CHAR(9)," "),CHAR(10)," "),CHAR(13)," ")),",",""),"%","")),"")))</f>
        <v/>
      </c>
      <c r="DY794">
        <f>IF($DM794=0,"",IFERROR(IF(ISNUMBER($DX794),$DX794,IF($DX794="","",IF(TRIM($DX794)="",0,IF(AND(AND(SUBSTITUTE(SUBSTITUTE(SUBSTITUTE(SUBSTITUTE(SUBSTITUTE(SUBSTITUTE(SUBSTITUTE(SUBSTITUTE(SUBSTITUTE(SUBSTITUTE(SUBSTITUTE(SUBSTITUTE(SUBSTITUTE(SUBSTITUTE(UPPER(TRIM($DX794)),"0",""),"1",""),"2",""),"3",""),"4",""),"5",""),"6",""),"7",""),"8",""),"9",""),".",""),"+",""),"-",""),"E","")="",LEN(SUBSTITUTE(SUBSTITUTE(MID(UPPER(TRIM($DX794)),1+OR(LEFT(UPPER(TRIM($DX794)),1)="+",LEFT(UPPER(TRIM($DX794)),1)="-"),999),"E+","E"),"E-","E"))=LEN(SUBSTITUTE(SUBSTITUTE(SUBSTITUTE(SUBSTITUTE(MID(UPPER(TRIM($DX794)),1+OR(LEFT(UPPER(TRIM($DX794)),1)="+",LEFT(UPPER(TRIM($DX794)),1)="-"),999),"E+","E"),"E-","E"),"+",""),"-","")),LEN(UPPER(TRIM($DX794)))-LEN(SUBSTITUTE(UPPER(TRIM($DX794)),"E",""))&lt;2,LEN(UPPER(TRIM($DX794)))-LEN(SUBSTITUTE(UPPER(TRIM($DX794)),".",""))&lt;2,IFERROR(FIND(".",UPPER(TRIM($DX794))),0)&lt;IFERROR(FIND("E",UPPER(TRIM($DX794))),999)),ISNUMBER(VALUE(TRIM($DX794)))),VALUE(TRIM($DX794)),"")))),""))</f>
        <v/>
      </c>
      <c r="DZ794">
        <f>IF($DM794=0,"",IF($L$17=0,"",IFERROR(IF(ISNUMBER(INDEX(PASTE_ALL,$DF794,$L$17)),INDEX(PASTE_ALL,$DF794,$L$17),SUBSTITUTE(SUBSTITUTE(TRIM(SUBSTITUTE(SUBSTITUTE(SUBSTITUTE(SUBSTITUTE(INDEX(PASTE_ALL,$DF794,$L$17)," "," "),CHAR(9)," "),CHAR(10)," "),CHAR(13)," ")),",",""),"%","")),"")))</f>
        <v/>
      </c>
      <c r="EA794">
        <f>IF($DM794=0,"",IFERROR(IF(ISNUMBER($DZ794),$DZ794,IF($DZ794="","",IF(TRIM($DZ794)="",0,IF(AND(AND(SUBSTITUTE(SUBSTITUTE(SUBSTITUTE(SUBSTITUTE(SUBSTITUTE(SUBSTITUTE(SUBSTITUTE(SUBSTITUTE(SUBSTITUTE(SUBSTITUTE(SUBSTITUTE(SUBSTITUTE(SUBSTITUTE(SUBSTITUTE(UPPER(TRIM($DZ794)),"0",""),"1",""),"2",""),"3",""),"4",""),"5",""),"6",""),"7",""),"8",""),"9",""),".",""),"+",""),"-",""),"E","")="",LEN(SUBSTITUTE(SUBSTITUTE(MID(UPPER(TRIM($DZ794)),1+OR(LEFT(UPPER(TRIM($DZ794)),1)="+",LEFT(UPPER(TRIM($DZ794)),1)="-"),999),"E+","E"),"E-","E"))=LEN(SUBSTITUTE(SUBSTITUTE(SUBSTITUTE(SUBSTITUTE(MID(UPPER(TRIM($DZ794)),1+OR(LEFT(UPPER(TRIM($DZ794)),1)="+",LEFT(UPPER(TRIM($DZ794)),1)="-"),999),"E+","E"),"E-","E"),"+",""),"-","")),LEN(UPPER(TRIM($DZ794)))-LEN(SUBSTITUTE(UPPER(TRIM($DZ794)),"E",""))&lt;2,LEN(UPPER(TRIM($DZ794)))-LEN(SUBSTITUTE(UPPER(TRIM($DZ794)),".",""))&lt;2,IFERROR(FIND(".",UPPER(TRIM($DZ794))),0)&lt;IFERROR(FIND("E",UPPER(TRIM($DZ794))),999)),ISNUMBER(VALUE(TRIM($DZ794)))),VALUE(TRIM($DZ794)),"")))),""))</f>
        <v/>
      </c>
      <c r="EB794">
        <f>IF($DM794=0,"",IF($L$18=0,"",IFERROR(IF(UPPER(TRIM(SUBSTITUTE(SUBSTITUTE(SUBSTITUTE(SUBSTITUTE(INDEX(PASTE_ALL,$DF794,$L$18)," "," "),CHAR(9)," "),CHAR(10)," "),CHAR(13)," ")))="READY","Ready",IF(UPPER(TRIM(SUBSTITUTE(SUBSTITUTE(SUBSTITUTE(SUBSTITUTE(INDEX(PASTE_ALL,$DF794,$L$18)," "," "),CHAR(9)," "),CHAR(10)," "),CHAR(13)," ")))="PM","PM",IF(OR(UPPER(TRIM(SUBSTITUTE(SUBSTITUTE(SUBSTITUTE(SUBSTITUTE(INDEX(PASTE_ALL,$DF794,$L$18)," "," "),CHAR(9)," "),CHAR(10)," "),CHAR(13)," ")))="OT",UPPER(TRIM(SUBSTITUTE(SUBSTITUTE(SUBSTITUTE(SUBSTITUTE(INDEX(PASTE_ALL,$DF794,$L$18)," "," "),CHAR(9)," "),CHAR(10)," "),CHAR(13)," ")))="OVERTIME",UPPER(TRIM(SUBSTITUTE(SUBSTITUTE(SUBSTITUTE(SUBSTITUTE(INDEX(PASTE_ALL,$DF794,$L$18)," "," "),CHAR(9)," "),CHAR(10)," "),CHAR(13)," ")))="TRIAL"),"OT",TRIM(SUBSTITUTE(SUBSTITUTE(SUBSTITUTE(SUBSTITUTE(INDEX(PASTE_ALL,$DF794,$L$18)," "," "),CHAR(9)," "),CHAR(10)," "),CHAR(13)," "))))),"")))</f>
        <v/>
      </c>
      <c r="EC794">
        <f>IF($DM794=0,"",IF($L$19=0,"",IFERROR(IF(ISNUMBER(INDEX(PASTE_ALL,$DF794,$L$19)),INDEX(PASTE_ALL,$DF794,$L$19),TRIM(SUBSTITUTE(SUBSTITUTE(SUBSTITUTE(SUBSTITUTE(INDEX(PASTE_ALL,$DF794,$L$19)," "," "),CHAR(9)," "),CHAR(10)," "),CHAR(13)," "))),"")))</f>
        <v/>
      </c>
      <c r="ED794">
        <f>IF($DM794=0,"",MATCH(1,INDEX(EXACT($DH$5:DH794,$DH794)*$DM$5:DM794,0),0))</f>
        <v/>
      </c>
      <c r="EE794">
        <f>IF($DM794=0,0,IF($ED794=$DE794,1,0))</f>
        <v/>
      </c>
      <c r="EF794">
        <f>EF793+$EE794</f>
        <v/>
      </c>
      <c r="EG794">
        <f>IF($DM794=0,"",INDEX($EF$5:$EF$1003,$ED794))</f>
        <v/>
      </c>
      <c r="EH794">
        <f>IF($DM794=0,"",IF($DO794&lt;&gt;"","",IFERROR(LOOKUP(2,1/(($EG$4:EG793=$EG794)*($DO$4:DO793&lt;&gt;"")),$DO$4:DO793),"")))</f>
        <v/>
      </c>
      <c r="EI794">
        <f>IF($DM794=0,"",IF($DO794&lt;&gt;"",$DO794,$EH794))</f>
        <v/>
      </c>
      <c r="EJ794">
        <f>IF($DM794=0,"",IF($EI794="",0,IF(OR(ISNUMBER($EI794),AND(AND(SUBSTITUTE(SUBSTITUTE(SUBSTITUTE(SUBSTITUTE(SUBSTITUTE(SUBSTITUTE(SUBSTITUTE(SUBSTITUTE(SUBSTITUTE(SUBSTITUTE(SUBSTITUTE(SUBSTITUTE(SUBSTITUTE(SUBSTITUTE(UPPER($EI794),"0",""),"1",""),"2",""),"3",""),"4",""),"5",""),"6",""),"7",""),"8",""),"9",""),".",""),"+",""),"-",""),"E","")="",LEN(SUBSTITUTE(SUBSTITUTE(MID(UPPER($EI794),1+OR(LEFT(UPPER($EI794),1)="+",LEFT(UPPER($EI794),1)="-"),999),"E+","E"),"E-","E"))=LEN(SUBSTITUTE(SUBSTITUTE(SUBSTITUTE(SUBSTITUTE(MID(UPPER($EI794),1+OR(LEFT(UPPER($EI794),1)="+",LEFT(UPPER($EI794),1)="-"),999),"E+","E"),"E-","E"),"+",""),"-","")),LEN(UPPER($EI794))-LEN(SUBSTITUTE(UPPER($EI794),"E",""))&lt;2,LEN(UPPER($EI794))-LEN(SUBSTITUTE(UPPER($EI794),".",""))&lt;2,IFERROR(FIND(".",UPPER($EI794)),0)&lt;IFERROR(FIND("E",UPPER($EI794)),999)),ISNUMBER(VALUE($EI794)))),1,2)))</f>
        <v/>
      </c>
      <c r="EK794">
        <f>IF($DM794=0,"",IF($EJ794=1,IF(ISNUMBER($EI794),$EI794,VALUE($EI794)),IF($EJ794=2,$DE794,0)))</f>
        <v/>
      </c>
      <c r="EL794">
        <f>IF($DM794=0,"",COUNTIF($EG$5:$EG$1003,"&lt;"&amp;$EG794)+SUMPRODUCT(($EG$5:$EG$1003=$EG794)*(($EJ$5:$EJ$1003&lt;$EJ794)+($EJ$5:$EJ$1003=$EJ794)*(($EK$5:$EK$1003&lt;$EK794)+($EK$5:$EK$1003=$EK794)*($DE$5:$DE$1003&lt;$DE794))))+1)</f>
        <v/>
      </c>
      <c r="EM794">
        <f>IF($DM794=0,"",$EL794+$EG794-1)</f>
        <v/>
      </c>
      <c r="EN794">
        <f>IF($DM794=0,0,IFERROR(MATCH(1,INDEX(--(TRIM(SUBSTITUTE(SUBSTITUTE(SUBSTITUTE(SUBSTITUTE(LINES_NAME&amp;""," "," "),CHAR(9)," "),CHAR(10)," "),CHAR(13)," "))=$DH794),0),0),0))</f>
        <v/>
      </c>
      <c r="EO794">
        <f>IF($EN794=0,0,IF(OR(UPPER(TRIM(INDEX(LINES_SCHEDULED,$EN794)&amp;""))="YES",UPPER(TRIM(INDEX(LINES_SCHEDULED,$EN794)&amp;""))="Y",UPPER(TRIM(INDEX(LINES_SCHEDULED,$EN794)&amp;""))="X"),1,0))</f>
        <v/>
      </c>
      <c r="EP794">
        <f>IF($DM794=0,"",IF(COUNTIFS($EG$5:$EG$1003,$EG794,$EB$5:$EB$1003,"Ready")&gt;0,"READY",IF(COUNTIFS($EG$5:$EG$1003,$EG794,$EB$5:$EB$1003,"PM")&gt;0,"PM",IF(COUNTIFS($EG$5:$EG$1003,$EG794,$EB$5:$EB$1003,"OT")&gt;0,"OT",""))))</f>
        <v/>
      </c>
      <c r="EQ794">
        <f>IF($EN794=0,"",UPPER(TRIM(INDEX(LINES_STATUS,$EN794)&amp;"")))</f>
        <v/>
      </c>
      <c r="ER794">
        <f>IF($DM794=0,"",IF(OR($EQ794="READY",$EQ794="PM",$EQ794="OT"),$EQ794,$EP794))</f>
        <v/>
      </c>
      <c r="ES794">
        <f>IF($DM794=0,"",IF(AND($DV794&lt;&gt;"",UPPER($DV794)&lt;&gt;"N"),"allergen",IF(ISNUMBER(SEARCH("oil",$DQ794)),"oil",IF(OR(EXACT($DS794,"A662"),EXACT($DS794,"A624")),"bulk",""))))</f>
        <v/>
      </c>
      <c r="ET794">
        <f>IF($DM794=0,"",IF(OR($EA794="",$EA794=0),"",$EA794/100))</f>
        <v/>
      </c>
      <c r="EU794">
        <f>IF(OR($ET794="",$DY794=""),"",INT($DY794*(1-$ET794)+0.5))</f>
        <v/>
      </c>
    </row>
    <row r="795">
      <c r="DA795" t="n">
        <v>791</v>
      </c>
      <c r="DB795">
        <f>IF($B$37=0,"",IFERROR(TRIM(SUBSTITUTE(SUBSTITUTE(SUBSTITUTE(SUBSTITUTE(INDEX(PASTE_ALL,791,$B$37)," "," "),CHAR(9)," "),CHAR(10)," "),CHAR(13)," ")),""))</f>
        <v/>
      </c>
      <c r="DC795">
        <f>IF(AND(791&gt;HEADER_ROW,UPPER(DB795)="LEGEND"),1,0)</f>
        <v/>
      </c>
      <c r="DE795" t="n">
        <v>791</v>
      </c>
      <c r="DF795">
        <f>HEADER_ROW+$DE795</f>
        <v/>
      </c>
      <c r="DG795">
        <f>IF(AND($DF795&lt;=1000,$DF795&lt;$B$8),1,0)</f>
        <v/>
      </c>
      <c r="DH795">
        <f>IF($DG795=1,IFERROR(INDEX($DB$5:$DB$1004,$DF795),""),"")</f>
        <v/>
      </c>
      <c r="DI795">
        <f>IF(AND($DG795=1,$DH795&lt;&gt;""),IFERROR(SUBSTITUTE(SUBSTITUTE(TRIM(SUBSTITUTE(SUBSTITUTE(SUBSTITUTE(SUBSTITUTE(IFERROR(INDEX(PASTE_ALL,$DF795,1)&amp;"","")&amp;"␟"&amp;IFERROR(INDEX(PASTE_ALL,$DF795,2)&amp;"","")&amp;"␟"&amp;IFERROR(INDEX(PASTE_ALL,$DF795,3)&amp;"","")&amp;"␟"&amp;IFERROR(INDEX(PASTE_ALL,$DF795,4)&amp;"","")&amp;"␟"&amp;IFERROR(INDEX(PASTE_ALL,$DF795,5)&amp;"","")&amp;"␟"&amp;IFERROR(INDEX(PASTE_ALL,$DF795,6)&amp;"","")&amp;"␟"&amp;IFERROR(INDEX(PASTE_ALL,$DF795,7)&amp;"","")&amp;"␟"&amp;IFERROR(INDEX(PASTE_ALL,$DF795,8)&amp;"","")&amp;"␟"&amp;IFERROR(INDEX(PASTE_ALL,$DF795,9)&amp;"","")&amp;"␟"&amp;IFERROR(INDEX(PASTE_ALL,$DF795,10)&amp;"","")&amp;"␟"&amp;IFERROR(INDEX(PASTE_ALL,$DF795,11)&amp;"","")&amp;"␟"&amp;IFERROR(INDEX(PASTE_ALL,$DF795,12)&amp;"","")&amp;"␟"&amp;IFERROR(INDEX(PASTE_ALL,$DF795,13)&amp;"","")&amp;"␟"&amp;IFERROR(INDEX(PASTE_ALL,$DF795,14)&amp;"","")&amp;"␟"&amp;IFERROR(INDEX(PASTE_ALL,$DF795,15)&amp;"","")&amp;"␟"&amp;IFERROR(INDEX(PASTE_ALL,$DF795,16)&amp;"","")&amp;"␟"&amp;IFERROR(INDEX(PASTE_ALL,$DF795,17)&amp;"","")&amp;"␟"&amp;IFERROR(INDEX(PASTE_ALL,$DF795,18)&amp;"","")&amp;"␟"&amp;IFERROR(INDEX(PASTE_ALL,$DF795,19)&amp;"","")&amp;"␟"&amp;IFERROR(INDEX(PASTE_ALL,$DF795,20)&amp;"","")&amp;"␟"&amp;IFERROR(INDEX(PASTE_ALL,$DF795,21)&amp;"","")&amp;"␟"&amp;IFERROR(INDEX(PASTE_ALL,$DF795,22)&amp;"","")&amp;"␟"&amp;IFERROR(INDEX(PASTE_ALL,$DF795,23)&amp;"","")&amp;"␟"&amp;IFERROR(INDEX(PASTE_ALL,$DF795,24)&amp;"","")&amp;"␟"&amp;IFERROR(INDEX(PASTE_ALL,$DF795,25)&amp;"","")&amp;"␟"&amp;IFERROR(INDEX(PASTE_ALL,$DF795,26)&amp;"","")&amp;"␟"&amp;IFERROR(INDEX(PASTE_ALL,$DF795,27)&amp;"","")&amp;"␟"&amp;IFERROR(INDEX(PASTE_ALL,$DF795,28)&amp;"","")&amp;"␟"&amp;IFERROR(INDEX(PASTE_ALL,$DF795,29)&amp;"","")&amp;"␟"&amp;IFERROR(INDEX(PASTE_ALL,$DF795,30)&amp;"","")&amp;"␟"&amp;IFERROR(INDEX(PASTE_ALL,$DF795,31)&amp;"","")&amp;"␟"&amp;IFERROR(INDEX(PASTE_ALL,$DF795,32)&amp;"","")&amp;"␟"&amp;IFERROR(INDEX(PASTE_ALL,$DF795,33)&amp;"","")&amp;"␟"&amp;IFERROR(INDEX(PASTE_ALL,$DF795,34)&amp;"","")&amp;"␟"&amp;IFERROR(INDEX(PASTE_ALL,$DF795,35)&amp;"","")&amp;"␟"&amp;IFERROR(INDEX(PASTE_ALL,$DF795,36)&amp;"","")&amp;"␟"&amp;IFERROR(INDEX(PASTE_ALL,$DF795,37)&amp;"","")&amp;"␟"&amp;IFERROR(INDEX(PASTE_ALL,$DF795,38)&amp;"","")&amp;"␟"&amp;IFERROR(INDEX(PASTE_ALL,$DF795,39)&amp;"","")&amp;"␟"&amp;IFERROR(INDEX(PASTE_ALL,$DF795,40)&amp;"","")&amp;"␟"&amp;IFERROR(INDEX(PASTE_ALL,$DF795,41)&amp;"","")&amp;"␟"&amp;IFERROR(INDEX(PASTE_ALL,$DF795,42)&amp;"","")&amp;"␟"&amp;IFERROR(INDEX(PASTE_ALL,$DF795,43)&amp;"","")&amp;"␟"&amp;IFERROR(INDEX(PASTE_ALL,$DF795,44)&amp;"","")&amp;"␟"&amp;IFERROR(INDEX(PASTE_ALL,$DF795,45)&amp;"","")&amp;"␟"&amp;IFERROR(INDEX(PASTE_ALL,$DF795,46)&amp;"","")&amp;"␟"&amp;IFERROR(INDEX(PASTE_ALL,$DF795,47)&amp;"","")&amp;"␟"&amp;IFERROR(INDEX(PASTE_ALL,$DF795,48)&amp;"","")&amp;"␟"&amp;IFERROR(INDEX(PASTE_ALL,$DF795,49)&amp;"","")&amp;"␟"&amp;IFERROR(INDEX(PASTE_ALL,$DF795,50)&amp;"","")&amp;"␟"&amp;IFERROR(INDEX(PASTE_ALL,$DF795,51)&amp;"","")&amp;"␟"&amp;IFERROR(INDEX(PASTE_ALL,$DF795,52)&amp;"","")&amp;"␟"&amp;IFERROR(INDEX(PASTE_ALL,$DF795,53)&amp;"","")&amp;"␟"&amp;IFERROR(INDEX(PASTE_ALL,$DF795,54)&amp;"","")&amp;"␟"&amp;IFERROR(INDEX(PASTE_ALL,$DF795,55)&amp;"","")&amp;"␟"&amp;IFERROR(INDEX(PASTE_ALL,$DF795,56)&amp;"","")&amp;"␟"&amp;IFERROR(INDEX(PASTE_ALL,$DF795,57)&amp;"","")&amp;"␟"&amp;IFERROR(INDEX(PASTE_ALL,$DF795,58)&amp;"","")&amp;"␟"&amp;IFERROR(INDEX(PASTE_ALL,$DF795,59)&amp;"","")&amp;"␟"&amp;IFERROR(INDEX(PASTE_ALL,$DF795,60)&amp;"","")," "," "),CHAR(9)," "),CHAR(10)," "),CHAR(13)," "))," ␟","␟"),"␟ ","␟"),"#"&amp;$DE795),"")</f>
        <v/>
      </c>
      <c r="DJ795">
        <f>IF($DI795="",0,IF(SUMPRODUCT(--EXACT($DI$4:DI794,$DI795))&gt;0,1,0))</f>
        <v/>
      </c>
      <c r="DK795">
        <f>IF(AND($DI795&lt;&gt;"",$DJ795=0),1,0)</f>
        <v/>
      </c>
      <c r="DL795">
        <f>DL794+$DK795</f>
        <v/>
      </c>
      <c r="DM795">
        <f>IF(AND($DK795=1,$DL795&lt;=600),1,0)</f>
        <v/>
      </c>
      <c r="DN795">
        <f>IF($DM795=0,"",IF($L$6=0,"",IFERROR(IF(ISNUMBER(INDEX(PASTE_ALL,$DF795,$L$6)),INDEX(PASTE_ALL,$DF795,$L$6),TRIM(SUBSTITUTE(SUBSTITUTE(SUBSTITUTE(SUBSTITUTE(INDEX(PASTE_ALL,$DF795,$L$6)," "," "),CHAR(9)," "),CHAR(10)," "),CHAR(13)," "))),"")))</f>
        <v/>
      </c>
      <c r="DO795">
        <f>IF($DM795=0,"",IF($L$7=0,"",IFERROR(IF(ISNUMBER(INDEX(PASTE_ALL,$DF795,$L$7)),INDEX(PASTE_ALL,$DF795,$L$7),TRIM(SUBSTITUTE(SUBSTITUTE(SUBSTITUTE(SUBSTITUTE(INDEX(PASTE_ALL,$DF795,$L$7)," "," "),CHAR(9)," "),CHAR(10)," "),CHAR(13)," "))),"")))</f>
        <v/>
      </c>
      <c r="DP795">
        <f>IF($DM795=0,"",IF($L$8=0,"",IFERROR(IF(ISNUMBER(INDEX(PASTE_ALL,$DF795,$L$8)),INDEX(PASTE_ALL,$DF795,$L$8),TRIM(SUBSTITUTE(SUBSTITUTE(SUBSTITUTE(SUBSTITUTE(INDEX(PASTE_ALL,$DF795,$L$8)," "," "),CHAR(9)," "),CHAR(10)," "),CHAR(13)," "))),"")))</f>
        <v/>
      </c>
      <c r="DQ795">
        <f>IF($DM795=0,"",IF($L$9=0,"",IFERROR(IF(ISNUMBER(INDEX(PASTE_ALL,$DF795,$L$9)),INDEX(PASTE_ALL,$DF795,$L$9),TRIM(SUBSTITUTE(SUBSTITUTE(SUBSTITUTE(SUBSTITUTE(INDEX(PASTE_ALL,$DF795,$L$9)," "," "),CHAR(9)," "),CHAR(10)," "),CHAR(13)," "))),"")))</f>
        <v/>
      </c>
      <c r="DR795">
        <f>IF($DM795=0,"",IF($L$10=0,"",IFERROR(IF(ISNUMBER(INDEX(PASTE_ALL,$DF795,$L$10)),INDEX(PASTE_ALL,$DF795,$L$10),TRIM(SUBSTITUTE(SUBSTITUTE(SUBSTITUTE(SUBSTITUTE(INDEX(PASTE_ALL,$DF795,$L$10)," "," "),CHAR(9)," "),CHAR(10)," "),CHAR(13)," "))),"")))</f>
        <v/>
      </c>
      <c r="DS795">
        <f>IF($DM795=0,"",IF($L$11=0,"",IFERROR(IF(ISNUMBER(INDEX(PASTE_ALL,$DF795,$L$11)),INDEX(PASTE_ALL,$DF795,$L$11),TRIM(SUBSTITUTE(SUBSTITUTE(SUBSTITUTE(SUBSTITUTE(INDEX(PASTE_ALL,$DF795,$L$11)," "," "),CHAR(9)," "),CHAR(10)," "),CHAR(13)," "))),"")))</f>
        <v/>
      </c>
      <c r="DT795">
        <f>IF($DM795=0,"",IF($L$12=0,"",IFERROR(IF(ISNUMBER(INDEX(PASTE_ALL,$DF795,$L$12)),INDEX(PASTE_ALL,$DF795,$L$12),TRIM(SUBSTITUTE(SUBSTITUTE(SUBSTITUTE(SUBSTITUTE(INDEX(PASTE_ALL,$DF795,$L$12)," "," "),CHAR(9)," "),CHAR(10)," "),CHAR(13)," "))),"")))</f>
        <v/>
      </c>
      <c r="DU795">
        <f>IF($DM795=0,"",IF($L$13=0,"",IFERROR(IF(ISNUMBER(INDEX(PASTE_ALL,$DF795,$L$13)),INDEX(PASTE_ALL,$DF795,$L$13),TRIM(SUBSTITUTE(SUBSTITUTE(SUBSTITUTE(SUBSTITUTE(INDEX(PASTE_ALL,$DF795,$L$13)," "," "),CHAR(9)," "),CHAR(10)," "),CHAR(13)," "))),"")))</f>
        <v/>
      </c>
      <c r="DV795">
        <f>IF($DM795=0,"",IF($L$14=0,"",IFERROR(IF(ISNUMBER(INDEX(PASTE_ALL,$DF795,$L$14)),INDEX(PASTE_ALL,$DF795,$L$14),TRIM(SUBSTITUTE(SUBSTITUTE(SUBSTITUTE(SUBSTITUTE(INDEX(PASTE_ALL,$DF795,$L$14)," "," "),CHAR(9)," "),CHAR(10)," "),CHAR(13)," "))),"")))</f>
        <v/>
      </c>
      <c r="DW795">
        <f>IF($DM795=0,"",IF($L$15=0,"",IFERROR(IF(ISNUMBER(INDEX(PASTE_ALL,$DF795,$L$15)),INDEX(PASTE_ALL,$DF795,$L$15),IF(SUMPRODUCT(--ISNUMBER(FIND({"A","B","C","D","E","F","G","H","I","J","K","L","M","N","O","P","Q","R","S","T","U","V","W","X","Y","Z","0","1","2","3","4","5","6","7","8","9"},UPPER(TRIM(SUBSTITUTE(SUBSTITUTE(SUBSTITUTE(SUBSTITUTE(INDEX(PASTE_ALL,$DF795,$L$15)," "," "),CHAR(9)," "),CHAR(10)," "),CHAR(13)," "))))))&gt;0,TRIM(SUBSTITUTE(SUBSTITUTE(SUBSTITUTE(SUBSTITUTE(INDEX(PASTE_ALL,$DF795,$L$15)," "," "),CHAR(9)," "),CHAR(10)," "),CHAR(13)," ")),"")),"")))</f>
        <v/>
      </c>
      <c r="DX795">
        <f>IF($DM795=0,"",IF($L$16=0,"",IFERROR(IF(ISNUMBER(INDEX(PASTE_ALL,$DF795,$L$16)),INDEX(PASTE_ALL,$DF795,$L$16),SUBSTITUTE(SUBSTITUTE(TRIM(SUBSTITUTE(SUBSTITUTE(SUBSTITUTE(SUBSTITUTE(INDEX(PASTE_ALL,$DF795,$L$16)," "," "),CHAR(9)," "),CHAR(10)," "),CHAR(13)," ")),",",""),"%","")),"")))</f>
        <v/>
      </c>
      <c r="DY795">
        <f>IF($DM795=0,"",IFERROR(IF(ISNUMBER($DX795),$DX795,IF($DX795="","",IF(TRIM($DX795)="",0,IF(AND(AND(SUBSTITUTE(SUBSTITUTE(SUBSTITUTE(SUBSTITUTE(SUBSTITUTE(SUBSTITUTE(SUBSTITUTE(SUBSTITUTE(SUBSTITUTE(SUBSTITUTE(SUBSTITUTE(SUBSTITUTE(SUBSTITUTE(SUBSTITUTE(UPPER(TRIM($DX795)),"0",""),"1",""),"2",""),"3",""),"4",""),"5",""),"6",""),"7",""),"8",""),"9",""),".",""),"+",""),"-",""),"E","")="",LEN(SUBSTITUTE(SUBSTITUTE(MID(UPPER(TRIM($DX795)),1+OR(LEFT(UPPER(TRIM($DX795)),1)="+",LEFT(UPPER(TRIM($DX795)),1)="-"),999),"E+","E"),"E-","E"))=LEN(SUBSTITUTE(SUBSTITUTE(SUBSTITUTE(SUBSTITUTE(MID(UPPER(TRIM($DX795)),1+OR(LEFT(UPPER(TRIM($DX795)),1)="+",LEFT(UPPER(TRIM($DX795)),1)="-"),999),"E+","E"),"E-","E"),"+",""),"-","")),LEN(UPPER(TRIM($DX795)))-LEN(SUBSTITUTE(UPPER(TRIM($DX795)),"E",""))&lt;2,LEN(UPPER(TRIM($DX795)))-LEN(SUBSTITUTE(UPPER(TRIM($DX795)),".",""))&lt;2,IFERROR(FIND(".",UPPER(TRIM($DX795))),0)&lt;IFERROR(FIND("E",UPPER(TRIM($DX795))),999)),ISNUMBER(VALUE(TRIM($DX795)))),VALUE(TRIM($DX795)),"")))),""))</f>
        <v/>
      </c>
      <c r="DZ795">
        <f>IF($DM795=0,"",IF($L$17=0,"",IFERROR(IF(ISNUMBER(INDEX(PASTE_ALL,$DF795,$L$17)),INDEX(PASTE_ALL,$DF795,$L$17),SUBSTITUTE(SUBSTITUTE(TRIM(SUBSTITUTE(SUBSTITUTE(SUBSTITUTE(SUBSTITUTE(INDEX(PASTE_ALL,$DF795,$L$17)," "," "),CHAR(9)," "),CHAR(10)," "),CHAR(13)," ")),",",""),"%","")),"")))</f>
        <v/>
      </c>
      <c r="EA795">
        <f>IF($DM795=0,"",IFERROR(IF(ISNUMBER($DZ795),$DZ795,IF($DZ795="","",IF(TRIM($DZ795)="",0,IF(AND(AND(SUBSTITUTE(SUBSTITUTE(SUBSTITUTE(SUBSTITUTE(SUBSTITUTE(SUBSTITUTE(SUBSTITUTE(SUBSTITUTE(SUBSTITUTE(SUBSTITUTE(SUBSTITUTE(SUBSTITUTE(SUBSTITUTE(SUBSTITUTE(UPPER(TRIM($DZ795)),"0",""),"1",""),"2",""),"3",""),"4",""),"5",""),"6",""),"7",""),"8",""),"9",""),".",""),"+",""),"-",""),"E","")="",LEN(SUBSTITUTE(SUBSTITUTE(MID(UPPER(TRIM($DZ795)),1+OR(LEFT(UPPER(TRIM($DZ795)),1)="+",LEFT(UPPER(TRIM($DZ795)),1)="-"),999),"E+","E"),"E-","E"))=LEN(SUBSTITUTE(SUBSTITUTE(SUBSTITUTE(SUBSTITUTE(MID(UPPER(TRIM($DZ795)),1+OR(LEFT(UPPER(TRIM($DZ795)),1)="+",LEFT(UPPER(TRIM($DZ795)),1)="-"),999),"E+","E"),"E-","E"),"+",""),"-","")),LEN(UPPER(TRIM($DZ795)))-LEN(SUBSTITUTE(UPPER(TRIM($DZ795)),"E",""))&lt;2,LEN(UPPER(TRIM($DZ795)))-LEN(SUBSTITUTE(UPPER(TRIM($DZ795)),".",""))&lt;2,IFERROR(FIND(".",UPPER(TRIM($DZ795))),0)&lt;IFERROR(FIND("E",UPPER(TRIM($DZ795))),999)),ISNUMBER(VALUE(TRIM($DZ795)))),VALUE(TRIM($DZ795)),"")))),""))</f>
        <v/>
      </c>
      <c r="EB795">
        <f>IF($DM795=0,"",IF($L$18=0,"",IFERROR(IF(UPPER(TRIM(SUBSTITUTE(SUBSTITUTE(SUBSTITUTE(SUBSTITUTE(INDEX(PASTE_ALL,$DF795,$L$18)," "," "),CHAR(9)," "),CHAR(10)," "),CHAR(13)," ")))="READY","Ready",IF(UPPER(TRIM(SUBSTITUTE(SUBSTITUTE(SUBSTITUTE(SUBSTITUTE(INDEX(PASTE_ALL,$DF795,$L$18)," "," "),CHAR(9)," "),CHAR(10)," "),CHAR(13)," ")))="PM","PM",IF(OR(UPPER(TRIM(SUBSTITUTE(SUBSTITUTE(SUBSTITUTE(SUBSTITUTE(INDEX(PASTE_ALL,$DF795,$L$18)," "," "),CHAR(9)," "),CHAR(10)," "),CHAR(13)," ")))="OT",UPPER(TRIM(SUBSTITUTE(SUBSTITUTE(SUBSTITUTE(SUBSTITUTE(INDEX(PASTE_ALL,$DF795,$L$18)," "," "),CHAR(9)," "),CHAR(10)," "),CHAR(13)," ")))="OVERTIME",UPPER(TRIM(SUBSTITUTE(SUBSTITUTE(SUBSTITUTE(SUBSTITUTE(INDEX(PASTE_ALL,$DF795,$L$18)," "," "),CHAR(9)," "),CHAR(10)," "),CHAR(13)," ")))="TRIAL"),"OT",TRIM(SUBSTITUTE(SUBSTITUTE(SUBSTITUTE(SUBSTITUTE(INDEX(PASTE_ALL,$DF795,$L$18)," "," "),CHAR(9)," "),CHAR(10)," "),CHAR(13)," "))))),"")))</f>
        <v/>
      </c>
      <c r="EC795">
        <f>IF($DM795=0,"",IF($L$19=0,"",IFERROR(IF(ISNUMBER(INDEX(PASTE_ALL,$DF795,$L$19)),INDEX(PASTE_ALL,$DF795,$L$19),TRIM(SUBSTITUTE(SUBSTITUTE(SUBSTITUTE(SUBSTITUTE(INDEX(PASTE_ALL,$DF795,$L$19)," "," "),CHAR(9)," "),CHAR(10)," "),CHAR(13)," "))),"")))</f>
        <v/>
      </c>
      <c r="ED795">
        <f>IF($DM795=0,"",MATCH(1,INDEX(EXACT($DH$5:DH795,$DH795)*$DM$5:DM795,0),0))</f>
        <v/>
      </c>
      <c r="EE795">
        <f>IF($DM795=0,0,IF($ED795=$DE795,1,0))</f>
        <v/>
      </c>
      <c r="EF795">
        <f>EF794+$EE795</f>
        <v/>
      </c>
      <c r="EG795">
        <f>IF($DM795=0,"",INDEX($EF$5:$EF$1003,$ED795))</f>
        <v/>
      </c>
      <c r="EH795">
        <f>IF($DM795=0,"",IF($DO795&lt;&gt;"","",IFERROR(LOOKUP(2,1/(($EG$4:EG794=$EG795)*($DO$4:DO794&lt;&gt;"")),$DO$4:DO794),"")))</f>
        <v/>
      </c>
      <c r="EI795">
        <f>IF($DM795=0,"",IF($DO795&lt;&gt;"",$DO795,$EH795))</f>
        <v/>
      </c>
      <c r="EJ795">
        <f>IF($DM795=0,"",IF($EI795="",0,IF(OR(ISNUMBER($EI795),AND(AND(SUBSTITUTE(SUBSTITUTE(SUBSTITUTE(SUBSTITUTE(SUBSTITUTE(SUBSTITUTE(SUBSTITUTE(SUBSTITUTE(SUBSTITUTE(SUBSTITUTE(SUBSTITUTE(SUBSTITUTE(SUBSTITUTE(SUBSTITUTE(UPPER($EI795),"0",""),"1",""),"2",""),"3",""),"4",""),"5",""),"6",""),"7",""),"8",""),"9",""),".",""),"+",""),"-",""),"E","")="",LEN(SUBSTITUTE(SUBSTITUTE(MID(UPPER($EI795),1+OR(LEFT(UPPER($EI795),1)="+",LEFT(UPPER($EI795),1)="-"),999),"E+","E"),"E-","E"))=LEN(SUBSTITUTE(SUBSTITUTE(SUBSTITUTE(SUBSTITUTE(MID(UPPER($EI795),1+OR(LEFT(UPPER($EI795),1)="+",LEFT(UPPER($EI795),1)="-"),999),"E+","E"),"E-","E"),"+",""),"-","")),LEN(UPPER($EI795))-LEN(SUBSTITUTE(UPPER($EI795),"E",""))&lt;2,LEN(UPPER($EI795))-LEN(SUBSTITUTE(UPPER($EI795),".",""))&lt;2,IFERROR(FIND(".",UPPER($EI795)),0)&lt;IFERROR(FIND("E",UPPER($EI795)),999)),ISNUMBER(VALUE($EI795)))),1,2)))</f>
        <v/>
      </c>
      <c r="EK795">
        <f>IF($DM795=0,"",IF($EJ795=1,IF(ISNUMBER($EI795),$EI795,VALUE($EI795)),IF($EJ795=2,$DE795,0)))</f>
        <v/>
      </c>
      <c r="EL795">
        <f>IF($DM795=0,"",COUNTIF($EG$5:$EG$1003,"&lt;"&amp;$EG795)+SUMPRODUCT(($EG$5:$EG$1003=$EG795)*(($EJ$5:$EJ$1003&lt;$EJ795)+($EJ$5:$EJ$1003=$EJ795)*(($EK$5:$EK$1003&lt;$EK795)+($EK$5:$EK$1003=$EK795)*($DE$5:$DE$1003&lt;$DE795))))+1)</f>
        <v/>
      </c>
      <c r="EM795">
        <f>IF($DM795=0,"",$EL795+$EG795-1)</f>
        <v/>
      </c>
      <c r="EN795">
        <f>IF($DM795=0,0,IFERROR(MATCH(1,INDEX(--(TRIM(SUBSTITUTE(SUBSTITUTE(SUBSTITUTE(SUBSTITUTE(LINES_NAME&amp;""," "," "),CHAR(9)," "),CHAR(10)," "),CHAR(13)," "))=$DH795),0),0),0))</f>
        <v/>
      </c>
      <c r="EO795">
        <f>IF($EN795=0,0,IF(OR(UPPER(TRIM(INDEX(LINES_SCHEDULED,$EN795)&amp;""))="YES",UPPER(TRIM(INDEX(LINES_SCHEDULED,$EN795)&amp;""))="Y",UPPER(TRIM(INDEX(LINES_SCHEDULED,$EN795)&amp;""))="X"),1,0))</f>
        <v/>
      </c>
      <c r="EP795">
        <f>IF($DM795=0,"",IF(COUNTIFS($EG$5:$EG$1003,$EG795,$EB$5:$EB$1003,"Ready")&gt;0,"READY",IF(COUNTIFS($EG$5:$EG$1003,$EG795,$EB$5:$EB$1003,"PM")&gt;0,"PM",IF(COUNTIFS($EG$5:$EG$1003,$EG795,$EB$5:$EB$1003,"OT")&gt;0,"OT",""))))</f>
        <v/>
      </c>
      <c r="EQ795">
        <f>IF($EN795=0,"",UPPER(TRIM(INDEX(LINES_STATUS,$EN795)&amp;"")))</f>
        <v/>
      </c>
      <c r="ER795">
        <f>IF($DM795=0,"",IF(OR($EQ795="READY",$EQ795="PM",$EQ795="OT"),$EQ795,$EP795))</f>
        <v/>
      </c>
      <c r="ES795">
        <f>IF($DM795=0,"",IF(AND($DV795&lt;&gt;"",UPPER($DV795)&lt;&gt;"N"),"allergen",IF(ISNUMBER(SEARCH("oil",$DQ795)),"oil",IF(OR(EXACT($DS795,"A662"),EXACT($DS795,"A624")),"bulk",""))))</f>
        <v/>
      </c>
      <c r="ET795">
        <f>IF($DM795=0,"",IF(OR($EA795="",$EA795=0),"",$EA795/100))</f>
        <v/>
      </c>
      <c r="EU795">
        <f>IF(OR($ET795="",$DY795=""),"",INT($DY795*(1-$ET795)+0.5))</f>
        <v/>
      </c>
    </row>
    <row r="796">
      <c r="DA796" t="n">
        <v>792</v>
      </c>
      <c r="DB796">
        <f>IF($B$37=0,"",IFERROR(TRIM(SUBSTITUTE(SUBSTITUTE(SUBSTITUTE(SUBSTITUTE(INDEX(PASTE_ALL,792,$B$37)," "," "),CHAR(9)," "),CHAR(10)," "),CHAR(13)," ")),""))</f>
        <v/>
      </c>
      <c r="DC796">
        <f>IF(AND(792&gt;HEADER_ROW,UPPER(DB796)="LEGEND"),1,0)</f>
        <v/>
      </c>
      <c r="DE796" t="n">
        <v>792</v>
      </c>
      <c r="DF796">
        <f>HEADER_ROW+$DE796</f>
        <v/>
      </c>
      <c r="DG796">
        <f>IF(AND($DF796&lt;=1000,$DF796&lt;$B$8),1,0)</f>
        <v/>
      </c>
      <c r="DH796">
        <f>IF($DG796=1,IFERROR(INDEX($DB$5:$DB$1004,$DF796),""),"")</f>
        <v/>
      </c>
      <c r="DI796">
        <f>IF(AND($DG796=1,$DH796&lt;&gt;""),IFERROR(SUBSTITUTE(SUBSTITUTE(TRIM(SUBSTITUTE(SUBSTITUTE(SUBSTITUTE(SUBSTITUTE(IFERROR(INDEX(PASTE_ALL,$DF796,1)&amp;"","")&amp;"␟"&amp;IFERROR(INDEX(PASTE_ALL,$DF796,2)&amp;"","")&amp;"␟"&amp;IFERROR(INDEX(PASTE_ALL,$DF796,3)&amp;"","")&amp;"␟"&amp;IFERROR(INDEX(PASTE_ALL,$DF796,4)&amp;"","")&amp;"␟"&amp;IFERROR(INDEX(PASTE_ALL,$DF796,5)&amp;"","")&amp;"␟"&amp;IFERROR(INDEX(PASTE_ALL,$DF796,6)&amp;"","")&amp;"␟"&amp;IFERROR(INDEX(PASTE_ALL,$DF796,7)&amp;"","")&amp;"␟"&amp;IFERROR(INDEX(PASTE_ALL,$DF796,8)&amp;"","")&amp;"␟"&amp;IFERROR(INDEX(PASTE_ALL,$DF796,9)&amp;"","")&amp;"␟"&amp;IFERROR(INDEX(PASTE_ALL,$DF796,10)&amp;"","")&amp;"␟"&amp;IFERROR(INDEX(PASTE_ALL,$DF796,11)&amp;"","")&amp;"␟"&amp;IFERROR(INDEX(PASTE_ALL,$DF796,12)&amp;"","")&amp;"␟"&amp;IFERROR(INDEX(PASTE_ALL,$DF796,13)&amp;"","")&amp;"␟"&amp;IFERROR(INDEX(PASTE_ALL,$DF796,14)&amp;"","")&amp;"␟"&amp;IFERROR(INDEX(PASTE_ALL,$DF796,15)&amp;"","")&amp;"␟"&amp;IFERROR(INDEX(PASTE_ALL,$DF796,16)&amp;"","")&amp;"␟"&amp;IFERROR(INDEX(PASTE_ALL,$DF796,17)&amp;"","")&amp;"␟"&amp;IFERROR(INDEX(PASTE_ALL,$DF796,18)&amp;"","")&amp;"␟"&amp;IFERROR(INDEX(PASTE_ALL,$DF796,19)&amp;"","")&amp;"␟"&amp;IFERROR(INDEX(PASTE_ALL,$DF796,20)&amp;"","")&amp;"␟"&amp;IFERROR(INDEX(PASTE_ALL,$DF796,21)&amp;"","")&amp;"␟"&amp;IFERROR(INDEX(PASTE_ALL,$DF796,22)&amp;"","")&amp;"␟"&amp;IFERROR(INDEX(PASTE_ALL,$DF796,23)&amp;"","")&amp;"␟"&amp;IFERROR(INDEX(PASTE_ALL,$DF796,24)&amp;"","")&amp;"␟"&amp;IFERROR(INDEX(PASTE_ALL,$DF796,25)&amp;"","")&amp;"␟"&amp;IFERROR(INDEX(PASTE_ALL,$DF796,26)&amp;"","")&amp;"␟"&amp;IFERROR(INDEX(PASTE_ALL,$DF796,27)&amp;"","")&amp;"␟"&amp;IFERROR(INDEX(PASTE_ALL,$DF796,28)&amp;"","")&amp;"␟"&amp;IFERROR(INDEX(PASTE_ALL,$DF796,29)&amp;"","")&amp;"␟"&amp;IFERROR(INDEX(PASTE_ALL,$DF796,30)&amp;"","")&amp;"␟"&amp;IFERROR(INDEX(PASTE_ALL,$DF796,31)&amp;"","")&amp;"␟"&amp;IFERROR(INDEX(PASTE_ALL,$DF796,32)&amp;"","")&amp;"␟"&amp;IFERROR(INDEX(PASTE_ALL,$DF796,33)&amp;"","")&amp;"␟"&amp;IFERROR(INDEX(PASTE_ALL,$DF796,34)&amp;"","")&amp;"␟"&amp;IFERROR(INDEX(PASTE_ALL,$DF796,35)&amp;"","")&amp;"␟"&amp;IFERROR(INDEX(PASTE_ALL,$DF796,36)&amp;"","")&amp;"␟"&amp;IFERROR(INDEX(PASTE_ALL,$DF796,37)&amp;"","")&amp;"␟"&amp;IFERROR(INDEX(PASTE_ALL,$DF796,38)&amp;"","")&amp;"␟"&amp;IFERROR(INDEX(PASTE_ALL,$DF796,39)&amp;"","")&amp;"␟"&amp;IFERROR(INDEX(PASTE_ALL,$DF796,40)&amp;"","")&amp;"␟"&amp;IFERROR(INDEX(PASTE_ALL,$DF796,41)&amp;"","")&amp;"␟"&amp;IFERROR(INDEX(PASTE_ALL,$DF796,42)&amp;"","")&amp;"␟"&amp;IFERROR(INDEX(PASTE_ALL,$DF796,43)&amp;"","")&amp;"␟"&amp;IFERROR(INDEX(PASTE_ALL,$DF796,44)&amp;"","")&amp;"␟"&amp;IFERROR(INDEX(PASTE_ALL,$DF796,45)&amp;"","")&amp;"␟"&amp;IFERROR(INDEX(PASTE_ALL,$DF796,46)&amp;"","")&amp;"␟"&amp;IFERROR(INDEX(PASTE_ALL,$DF796,47)&amp;"","")&amp;"␟"&amp;IFERROR(INDEX(PASTE_ALL,$DF796,48)&amp;"","")&amp;"␟"&amp;IFERROR(INDEX(PASTE_ALL,$DF796,49)&amp;"","")&amp;"␟"&amp;IFERROR(INDEX(PASTE_ALL,$DF796,50)&amp;"","")&amp;"␟"&amp;IFERROR(INDEX(PASTE_ALL,$DF796,51)&amp;"","")&amp;"␟"&amp;IFERROR(INDEX(PASTE_ALL,$DF796,52)&amp;"","")&amp;"␟"&amp;IFERROR(INDEX(PASTE_ALL,$DF796,53)&amp;"","")&amp;"␟"&amp;IFERROR(INDEX(PASTE_ALL,$DF796,54)&amp;"","")&amp;"␟"&amp;IFERROR(INDEX(PASTE_ALL,$DF796,55)&amp;"","")&amp;"␟"&amp;IFERROR(INDEX(PASTE_ALL,$DF796,56)&amp;"","")&amp;"␟"&amp;IFERROR(INDEX(PASTE_ALL,$DF796,57)&amp;"","")&amp;"␟"&amp;IFERROR(INDEX(PASTE_ALL,$DF796,58)&amp;"","")&amp;"␟"&amp;IFERROR(INDEX(PASTE_ALL,$DF796,59)&amp;"","")&amp;"␟"&amp;IFERROR(INDEX(PASTE_ALL,$DF796,60)&amp;"","")," "," "),CHAR(9)," "),CHAR(10)," "),CHAR(13)," "))," ␟","␟"),"␟ ","␟"),"#"&amp;$DE796),"")</f>
        <v/>
      </c>
      <c r="DJ796">
        <f>IF($DI796="",0,IF(SUMPRODUCT(--EXACT($DI$4:DI795,$DI796))&gt;0,1,0))</f>
        <v/>
      </c>
      <c r="DK796">
        <f>IF(AND($DI796&lt;&gt;"",$DJ796=0),1,0)</f>
        <v/>
      </c>
      <c r="DL796">
        <f>DL795+$DK796</f>
        <v/>
      </c>
      <c r="DM796">
        <f>IF(AND($DK796=1,$DL796&lt;=600),1,0)</f>
        <v/>
      </c>
      <c r="DN796">
        <f>IF($DM796=0,"",IF($L$6=0,"",IFERROR(IF(ISNUMBER(INDEX(PASTE_ALL,$DF796,$L$6)),INDEX(PASTE_ALL,$DF796,$L$6),TRIM(SUBSTITUTE(SUBSTITUTE(SUBSTITUTE(SUBSTITUTE(INDEX(PASTE_ALL,$DF796,$L$6)," "," "),CHAR(9)," "),CHAR(10)," "),CHAR(13)," "))),"")))</f>
        <v/>
      </c>
      <c r="DO796">
        <f>IF($DM796=0,"",IF($L$7=0,"",IFERROR(IF(ISNUMBER(INDEX(PASTE_ALL,$DF796,$L$7)),INDEX(PASTE_ALL,$DF796,$L$7),TRIM(SUBSTITUTE(SUBSTITUTE(SUBSTITUTE(SUBSTITUTE(INDEX(PASTE_ALL,$DF796,$L$7)," "," "),CHAR(9)," "),CHAR(10)," "),CHAR(13)," "))),"")))</f>
        <v/>
      </c>
      <c r="DP796">
        <f>IF($DM796=0,"",IF($L$8=0,"",IFERROR(IF(ISNUMBER(INDEX(PASTE_ALL,$DF796,$L$8)),INDEX(PASTE_ALL,$DF796,$L$8),TRIM(SUBSTITUTE(SUBSTITUTE(SUBSTITUTE(SUBSTITUTE(INDEX(PASTE_ALL,$DF796,$L$8)," "," "),CHAR(9)," "),CHAR(10)," "),CHAR(13)," "))),"")))</f>
        <v/>
      </c>
      <c r="DQ796">
        <f>IF($DM796=0,"",IF($L$9=0,"",IFERROR(IF(ISNUMBER(INDEX(PASTE_ALL,$DF796,$L$9)),INDEX(PASTE_ALL,$DF796,$L$9),TRIM(SUBSTITUTE(SUBSTITUTE(SUBSTITUTE(SUBSTITUTE(INDEX(PASTE_ALL,$DF796,$L$9)," "," "),CHAR(9)," "),CHAR(10)," "),CHAR(13)," "))),"")))</f>
        <v/>
      </c>
      <c r="DR796">
        <f>IF($DM796=0,"",IF($L$10=0,"",IFERROR(IF(ISNUMBER(INDEX(PASTE_ALL,$DF796,$L$10)),INDEX(PASTE_ALL,$DF796,$L$10),TRIM(SUBSTITUTE(SUBSTITUTE(SUBSTITUTE(SUBSTITUTE(INDEX(PASTE_ALL,$DF796,$L$10)," "," "),CHAR(9)," "),CHAR(10)," "),CHAR(13)," "))),"")))</f>
        <v/>
      </c>
      <c r="DS796">
        <f>IF($DM796=0,"",IF($L$11=0,"",IFERROR(IF(ISNUMBER(INDEX(PASTE_ALL,$DF796,$L$11)),INDEX(PASTE_ALL,$DF796,$L$11),TRIM(SUBSTITUTE(SUBSTITUTE(SUBSTITUTE(SUBSTITUTE(INDEX(PASTE_ALL,$DF796,$L$11)," "," "),CHAR(9)," "),CHAR(10)," "),CHAR(13)," "))),"")))</f>
        <v/>
      </c>
      <c r="DT796">
        <f>IF($DM796=0,"",IF($L$12=0,"",IFERROR(IF(ISNUMBER(INDEX(PASTE_ALL,$DF796,$L$12)),INDEX(PASTE_ALL,$DF796,$L$12),TRIM(SUBSTITUTE(SUBSTITUTE(SUBSTITUTE(SUBSTITUTE(INDEX(PASTE_ALL,$DF796,$L$12)," "," "),CHAR(9)," "),CHAR(10)," "),CHAR(13)," "))),"")))</f>
        <v/>
      </c>
      <c r="DU796">
        <f>IF($DM796=0,"",IF($L$13=0,"",IFERROR(IF(ISNUMBER(INDEX(PASTE_ALL,$DF796,$L$13)),INDEX(PASTE_ALL,$DF796,$L$13),TRIM(SUBSTITUTE(SUBSTITUTE(SUBSTITUTE(SUBSTITUTE(INDEX(PASTE_ALL,$DF796,$L$13)," "," "),CHAR(9)," "),CHAR(10)," "),CHAR(13)," "))),"")))</f>
        <v/>
      </c>
      <c r="DV796">
        <f>IF($DM796=0,"",IF($L$14=0,"",IFERROR(IF(ISNUMBER(INDEX(PASTE_ALL,$DF796,$L$14)),INDEX(PASTE_ALL,$DF796,$L$14),TRIM(SUBSTITUTE(SUBSTITUTE(SUBSTITUTE(SUBSTITUTE(INDEX(PASTE_ALL,$DF796,$L$14)," "," "),CHAR(9)," "),CHAR(10)," "),CHAR(13)," "))),"")))</f>
        <v/>
      </c>
      <c r="DW796">
        <f>IF($DM796=0,"",IF($L$15=0,"",IFERROR(IF(ISNUMBER(INDEX(PASTE_ALL,$DF796,$L$15)),INDEX(PASTE_ALL,$DF796,$L$15),IF(SUMPRODUCT(--ISNUMBER(FIND({"A","B","C","D","E","F","G","H","I","J","K","L","M","N","O","P","Q","R","S","T","U","V","W","X","Y","Z","0","1","2","3","4","5","6","7","8","9"},UPPER(TRIM(SUBSTITUTE(SUBSTITUTE(SUBSTITUTE(SUBSTITUTE(INDEX(PASTE_ALL,$DF796,$L$15)," "," "),CHAR(9)," "),CHAR(10)," "),CHAR(13)," "))))))&gt;0,TRIM(SUBSTITUTE(SUBSTITUTE(SUBSTITUTE(SUBSTITUTE(INDEX(PASTE_ALL,$DF796,$L$15)," "," "),CHAR(9)," "),CHAR(10)," "),CHAR(13)," ")),"")),"")))</f>
        <v/>
      </c>
      <c r="DX796">
        <f>IF($DM796=0,"",IF($L$16=0,"",IFERROR(IF(ISNUMBER(INDEX(PASTE_ALL,$DF796,$L$16)),INDEX(PASTE_ALL,$DF796,$L$16),SUBSTITUTE(SUBSTITUTE(TRIM(SUBSTITUTE(SUBSTITUTE(SUBSTITUTE(SUBSTITUTE(INDEX(PASTE_ALL,$DF796,$L$16)," "," "),CHAR(9)," "),CHAR(10)," "),CHAR(13)," ")),",",""),"%","")),"")))</f>
        <v/>
      </c>
      <c r="DY796">
        <f>IF($DM796=0,"",IFERROR(IF(ISNUMBER($DX796),$DX796,IF($DX796="","",IF(TRIM($DX796)="",0,IF(AND(AND(SUBSTITUTE(SUBSTITUTE(SUBSTITUTE(SUBSTITUTE(SUBSTITUTE(SUBSTITUTE(SUBSTITUTE(SUBSTITUTE(SUBSTITUTE(SUBSTITUTE(SUBSTITUTE(SUBSTITUTE(SUBSTITUTE(SUBSTITUTE(UPPER(TRIM($DX796)),"0",""),"1",""),"2",""),"3",""),"4",""),"5",""),"6",""),"7",""),"8",""),"9",""),".",""),"+",""),"-",""),"E","")="",LEN(SUBSTITUTE(SUBSTITUTE(MID(UPPER(TRIM($DX796)),1+OR(LEFT(UPPER(TRIM($DX796)),1)="+",LEFT(UPPER(TRIM($DX796)),1)="-"),999),"E+","E"),"E-","E"))=LEN(SUBSTITUTE(SUBSTITUTE(SUBSTITUTE(SUBSTITUTE(MID(UPPER(TRIM($DX796)),1+OR(LEFT(UPPER(TRIM($DX796)),1)="+",LEFT(UPPER(TRIM($DX796)),1)="-"),999),"E+","E"),"E-","E"),"+",""),"-","")),LEN(UPPER(TRIM($DX796)))-LEN(SUBSTITUTE(UPPER(TRIM($DX796)),"E",""))&lt;2,LEN(UPPER(TRIM($DX796)))-LEN(SUBSTITUTE(UPPER(TRIM($DX796)),".",""))&lt;2,IFERROR(FIND(".",UPPER(TRIM($DX796))),0)&lt;IFERROR(FIND("E",UPPER(TRIM($DX796))),999)),ISNUMBER(VALUE(TRIM($DX796)))),VALUE(TRIM($DX796)),"")))),""))</f>
        <v/>
      </c>
      <c r="DZ796">
        <f>IF($DM796=0,"",IF($L$17=0,"",IFERROR(IF(ISNUMBER(INDEX(PASTE_ALL,$DF796,$L$17)),INDEX(PASTE_ALL,$DF796,$L$17),SUBSTITUTE(SUBSTITUTE(TRIM(SUBSTITUTE(SUBSTITUTE(SUBSTITUTE(SUBSTITUTE(INDEX(PASTE_ALL,$DF796,$L$17)," "," "),CHAR(9)," "),CHAR(10)," "),CHAR(13)," ")),",",""),"%","")),"")))</f>
        <v/>
      </c>
      <c r="EA796">
        <f>IF($DM796=0,"",IFERROR(IF(ISNUMBER($DZ796),$DZ796,IF($DZ796="","",IF(TRIM($DZ796)="",0,IF(AND(AND(SUBSTITUTE(SUBSTITUTE(SUBSTITUTE(SUBSTITUTE(SUBSTITUTE(SUBSTITUTE(SUBSTITUTE(SUBSTITUTE(SUBSTITUTE(SUBSTITUTE(SUBSTITUTE(SUBSTITUTE(SUBSTITUTE(SUBSTITUTE(UPPER(TRIM($DZ796)),"0",""),"1",""),"2",""),"3",""),"4",""),"5",""),"6",""),"7",""),"8",""),"9",""),".",""),"+",""),"-",""),"E","")="",LEN(SUBSTITUTE(SUBSTITUTE(MID(UPPER(TRIM($DZ796)),1+OR(LEFT(UPPER(TRIM($DZ796)),1)="+",LEFT(UPPER(TRIM($DZ796)),1)="-"),999),"E+","E"),"E-","E"))=LEN(SUBSTITUTE(SUBSTITUTE(SUBSTITUTE(SUBSTITUTE(MID(UPPER(TRIM($DZ796)),1+OR(LEFT(UPPER(TRIM($DZ796)),1)="+",LEFT(UPPER(TRIM($DZ796)),1)="-"),999),"E+","E"),"E-","E"),"+",""),"-","")),LEN(UPPER(TRIM($DZ796)))-LEN(SUBSTITUTE(UPPER(TRIM($DZ796)),"E",""))&lt;2,LEN(UPPER(TRIM($DZ796)))-LEN(SUBSTITUTE(UPPER(TRIM($DZ796)),".",""))&lt;2,IFERROR(FIND(".",UPPER(TRIM($DZ796))),0)&lt;IFERROR(FIND("E",UPPER(TRIM($DZ796))),999)),ISNUMBER(VALUE(TRIM($DZ796)))),VALUE(TRIM($DZ796)),"")))),""))</f>
        <v/>
      </c>
      <c r="EB796">
        <f>IF($DM796=0,"",IF($L$18=0,"",IFERROR(IF(UPPER(TRIM(SUBSTITUTE(SUBSTITUTE(SUBSTITUTE(SUBSTITUTE(INDEX(PASTE_ALL,$DF796,$L$18)," "," "),CHAR(9)," "),CHAR(10)," "),CHAR(13)," ")))="READY","Ready",IF(UPPER(TRIM(SUBSTITUTE(SUBSTITUTE(SUBSTITUTE(SUBSTITUTE(INDEX(PASTE_ALL,$DF796,$L$18)," "," "),CHAR(9)," "),CHAR(10)," "),CHAR(13)," ")))="PM","PM",IF(OR(UPPER(TRIM(SUBSTITUTE(SUBSTITUTE(SUBSTITUTE(SUBSTITUTE(INDEX(PASTE_ALL,$DF796,$L$18)," "," "),CHAR(9)," "),CHAR(10)," "),CHAR(13)," ")))="OT",UPPER(TRIM(SUBSTITUTE(SUBSTITUTE(SUBSTITUTE(SUBSTITUTE(INDEX(PASTE_ALL,$DF796,$L$18)," "," "),CHAR(9)," "),CHAR(10)," "),CHAR(13)," ")))="OVERTIME",UPPER(TRIM(SUBSTITUTE(SUBSTITUTE(SUBSTITUTE(SUBSTITUTE(INDEX(PASTE_ALL,$DF796,$L$18)," "," "),CHAR(9)," "),CHAR(10)," "),CHAR(13)," ")))="TRIAL"),"OT",TRIM(SUBSTITUTE(SUBSTITUTE(SUBSTITUTE(SUBSTITUTE(INDEX(PASTE_ALL,$DF796,$L$18)," "," "),CHAR(9)," "),CHAR(10)," "),CHAR(13)," "))))),"")))</f>
        <v/>
      </c>
      <c r="EC796">
        <f>IF($DM796=0,"",IF($L$19=0,"",IFERROR(IF(ISNUMBER(INDEX(PASTE_ALL,$DF796,$L$19)),INDEX(PASTE_ALL,$DF796,$L$19),TRIM(SUBSTITUTE(SUBSTITUTE(SUBSTITUTE(SUBSTITUTE(INDEX(PASTE_ALL,$DF796,$L$19)," "," "),CHAR(9)," "),CHAR(10)," "),CHAR(13)," "))),"")))</f>
        <v/>
      </c>
      <c r="ED796">
        <f>IF($DM796=0,"",MATCH(1,INDEX(EXACT($DH$5:DH796,$DH796)*$DM$5:DM796,0),0))</f>
        <v/>
      </c>
      <c r="EE796">
        <f>IF($DM796=0,0,IF($ED796=$DE796,1,0))</f>
        <v/>
      </c>
      <c r="EF796">
        <f>EF795+$EE796</f>
        <v/>
      </c>
      <c r="EG796">
        <f>IF($DM796=0,"",INDEX($EF$5:$EF$1003,$ED796))</f>
        <v/>
      </c>
      <c r="EH796">
        <f>IF($DM796=0,"",IF($DO796&lt;&gt;"","",IFERROR(LOOKUP(2,1/(($EG$4:EG795=$EG796)*($DO$4:DO795&lt;&gt;"")),$DO$4:DO795),"")))</f>
        <v/>
      </c>
      <c r="EI796">
        <f>IF($DM796=0,"",IF($DO796&lt;&gt;"",$DO796,$EH796))</f>
        <v/>
      </c>
      <c r="EJ796">
        <f>IF($DM796=0,"",IF($EI796="",0,IF(OR(ISNUMBER($EI796),AND(AND(SUBSTITUTE(SUBSTITUTE(SUBSTITUTE(SUBSTITUTE(SUBSTITUTE(SUBSTITUTE(SUBSTITUTE(SUBSTITUTE(SUBSTITUTE(SUBSTITUTE(SUBSTITUTE(SUBSTITUTE(SUBSTITUTE(SUBSTITUTE(UPPER($EI796),"0",""),"1",""),"2",""),"3",""),"4",""),"5",""),"6",""),"7",""),"8",""),"9",""),".",""),"+",""),"-",""),"E","")="",LEN(SUBSTITUTE(SUBSTITUTE(MID(UPPER($EI796),1+OR(LEFT(UPPER($EI796),1)="+",LEFT(UPPER($EI796),1)="-"),999),"E+","E"),"E-","E"))=LEN(SUBSTITUTE(SUBSTITUTE(SUBSTITUTE(SUBSTITUTE(MID(UPPER($EI796),1+OR(LEFT(UPPER($EI796),1)="+",LEFT(UPPER($EI796),1)="-"),999),"E+","E"),"E-","E"),"+",""),"-","")),LEN(UPPER($EI796))-LEN(SUBSTITUTE(UPPER($EI796),"E",""))&lt;2,LEN(UPPER($EI796))-LEN(SUBSTITUTE(UPPER($EI796),".",""))&lt;2,IFERROR(FIND(".",UPPER($EI796)),0)&lt;IFERROR(FIND("E",UPPER($EI796)),999)),ISNUMBER(VALUE($EI796)))),1,2)))</f>
        <v/>
      </c>
      <c r="EK796">
        <f>IF($DM796=0,"",IF($EJ796=1,IF(ISNUMBER($EI796),$EI796,VALUE($EI796)),IF($EJ796=2,$DE796,0)))</f>
        <v/>
      </c>
      <c r="EL796">
        <f>IF($DM796=0,"",COUNTIF($EG$5:$EG$1003,"&lt;"&amp;$EG796)+SUMPRODUCT(($EG$5:$EG$1003=$EG796)*(($EJ$5:$EJ$1003&lt;$EJ796)+($EJ$5:$EJ$1003=$EJ796)*(($EK$5:$EK$1003&lt;$EK796)+($EK$5:$EK$1003=$EK796)*($DE$5:$DE$1003&lt;$DE796))))+1)</f>
        <v/>
      </c>
      <c r="EM796">
        <f>IF($DM796=0,"",$EL796+$EG796-1)</f>
        <v/>
      </c>
      <c r="EN796">
        <f>IF($DM796=0,0,IFERROR(MATCH(1,INDEX(--(TRIM(SUBSTITUTE(SUBSTITUTE(SUBSTITUTE(SUBSTITUTE(LINES_NAME&amp;""," "," "),CHAR(9)," "),CHAR(10)," "),CHAR(13)," "))=$DH796),0),0),0))</f>
        <v/>
      </c>
      <c r="EO796">
        <f>IF($EN796=0,0,IF(OR(UPPER(TRIM(INDEX(LINES_SCHEDULED,$EN796)&amp;""))="YES",UPPER(TRIM(INDEX(LINES_SCHEDULED,$EN796)&amp;""))="Y",UPPER(TRIM(INDEX(LINES_SCHEDULED,$EN796)&amp;""))="X"),1,0))</f>
        <v/>
      </c>
      <c r="EP796">
        <f>IF($DM796=0,"",IF(COUNTIFS($EG$5:$EG$1003,$EG796,$EB$5:$EB$1003,"Ready")&gt;0,"READY",IF(COUNTIFS($EG$5:$EG$1003,$EG796,$EB$5:$EB$1003,"PM")&gt;0,"PM",IF(COUNTIFS($EG$5:$EG$1003,$EG796,$EB$5:$EB$1003,"OT")&gt;0,"OT",""))))</f>
        <v/>
      </c>
      <c r="EQ796">
        <f>IF($EN796=0,"",UPPER(TRIM(INDEX(LINES_STATUS,$EN796)&amp;"")))</f>
        <v/>
      </c>
      <c r="ER796">
        <f>IF($DM796=0,"",IF(OR($EQ796="READY",$EQ796="PM",$EQ796="OT"),$EQ796,$EP796))</f>
        <v/>
      </c>
      <c r="ES796">
        <f>IF($DM796=0,"",IF(AND($DV796&lt;&gt;"",UPPER($DV796)&lt;&gt;"N"),"allergen",IF(ISNUMBER(SEARCH("oil",$DQ796)),"oil",IF(OR(EXACT($DS796,"A662"),EXACT($DS796,"A624")),"bulk",""))))</f>
        <v/>
      </c>
      <c r="ET796">
        <f>IF($DM796=0,"",IF(OR($EA796="",$EA796=0),"",$EA796/100))</f>
        <v/>
      </c>
      <c r="EU796">
        <f>IF(OR($ET796="",$DY796=""),"",INT($DY796*(1-$ET796)+0.5))</f>
        <v/>
      </c>
    </row>
    <row r="797">
      <c r="DA797" t="n">
        <v>793</v>
      </c>
      <c r="DB797">
        <f>IF($B$37=0,"",IFERROR(TRIM(SUBSTITUTE(SUBSTITUTE(SUBSTITUTE(SUBSTITUTE(INDEX(PASTE_ALL,793,$B$37)," "," "),CHAR(9)," "),CHAR(10)," "),CHAR(13)," ")),""))</f>
        <v/>
      </c>
      <c r="DC797">
        <f>IF(AND(793&gt;HEADER_ROW,UPPER(DB797)="LEGEND"),1,0)</f>
        <v/>
      </c>
      <c r="DE797" t="n">
        <v>793</v>
      </c>
      <c r="DF797">
        <f>HEADER_ROW+$DE797</f>
        <v/>
      </c>
      <c r="DG797">
        <f>IF(AND($DF797&lt;=1000,$DF797&lt;$B$8),1,0)</f>
        <v/>
      </c>
      <c r="DH797">
        <f>IF($DG797=1,IFERROR(INDEX($DB$5:$DB$1004,$DF797),""),"")</f>
        <v/>
      </c>
      <c r="DI797">
        <f>IF(AND($DG797=1,$DH797&lt;&gt;""),IFERROR(SUBSTITUTE(SUBSTITUTE(TRIM(SUBSTITUTE(SUBSTITUTE(SUBSTITUTE(SUBSTITUTE(IFERROR(INDEX(PASTE_ALL,$DF797,1)&amp;"","")&amp;"␟"&amp;IFERROR(INDEX(PASTE_ALL,$DF797,2)&amp;"","")&amp;"␟"&amp;IFERROR(INDEX(PASTE_ALL,$DF797,3)&amp;"","")&amp;"␟"&amp;IFERROR(INDEX(PASTE_ALL,$DF797,4)&amp;"","")&amp;"␟"&amp;IFERROR(INDEX(PASTE_ALL,$DF797,5)&amp;"","")&amp;"␟"&amp;IFERROR(INDEX(PASTE_ALL,$DF797,6)&amp;"","")&amp;"␟"&amp;IFERROR(INDEX(PASTE_ALL,$DF797,7)&amp;"","")&amp;"␟"&amp;IFERROR(INDEX(PASTE_ALL,$DF797,8)&amp;"","")&amp;"␟"&amp;IFERROR(INDEX(PASTE_ALL,$DF797,9)&amp;"","")&amp;"␟"&amp;IFERROR(INDEX(PASTE_ALL,$DF797,10)&amp;"","")&amp;"␟"&amp;IFERROR(INDEX(PASTE_ALL,$DF797,11)&amp;"","")&amp;"␟"&amp;IFERROR(INDEX(PASTE_ALL,$DF797,12)&amp;"","")&amp;"␟"&amp;IFERROR(INDEX(PASTE_ALL,$DF797,13)&amp;"","")&amp;"␟"&amp;IFERROR(INDEX(PASTE_ALL,$DF797,14)&amp;"","")&amp;"␟"&amp;IFERROR(INDEX(PASTE_ALL,$DF797,15)&amp;"","")&amp;"␟"&amp;IFERROR(INDEX(PASTE_ALL,$DF797,16)&amp;"","")&amp;"␟"&amp;IFERROR(INDEX(PASTE_ALL,$DF797,17)&amp;"","")&amp;"␟"&amp;IFERROR(INDEX(PASTE_ALL,$DF797,18)&amp;"","")&amp;"␟"&amp;IFERROR(INDEX(PASTE_ALL,$DF797,19)&amp;"","")&amp;"␟"&amp;IFERROR(INDEX(PASTE_ALL,$DF797,20)&amp;"","")&amp;"␟"&amp;IFERROR(INDEX(PASTE_ALL,$DF797,21)&amp;"","")&amp;"␟"&amp;IFERROR(INDEX(PASTE_ALL,$DF797,22)&amp;"","")&amp;"␟"&amp;IFERROR(INDEX(PASTE_ALL,$DF797,23)&amp;"","")&amp;"␟"&amp;IFERROR(INDEX(PASTE_ALL,$DF797,24)&amp;"","")&amp;"␟"&amp;IFERROR(INDEX(PASTE_ALL,$DF797,25)&amp;"","")&amp;"␟"&amp;IFERROR(INDEX(PASTE_ALL,$DF797,26)&amp;"","")&amp;"␟"&amp;IFERROR(INDEX(PASTE_ALL,$DF797,27)&amp;"","")&amp;"␟"&amp;IFERROR(INDEX(PASTE_ALL,$DF797,28)&amp;"","")&amp;"␟"&amp;IFERROR(INDEX(PASTE_ALL,$DF797,29)&amp;"","")&amp;"␟"&amp;IFERROR(INDEX(PASTE_ALL,$DF797,30)&amp;"","")&amp;"␟"&amp;IFERROR(INDEX(PASTE_ALL,$DF797,31)&amp;"","")&amp;"␟"&amp;IFERROR(INDEX(PASTE_ALL,$DF797,32)&amp;"","")&amp;"␟"&amp;IFERROR(INDEX(PASTE_ALL,$DF797,33)&amp;"","")&amp;"␟"&amp;IFERROR(INDEX(PASTE_ALL,$DF797,34)&amp;"","")&amp;"␟"&amp;IFERROR(INDEX(PASTE_ALL,$DF797,35)&amp;"","")&amp;"␟"&amp;IFERROR(INDEX(PASTE_ALL,$DF797,36)&amp;"","")&amp;"␟"&amp;IFERROR(INDEX(PASTE_ALL,$DF797,37)&amp;"","")&amp;"␟"&amp;IFERROR(INDEX(PASTE_ALL,$DF797,38)&amp;"","")&amp;"␟"&amp;IFERROR(INDEX(PASTE_ALL,$DF797,39)&amp;"","")&amp;"␟"&amp;IFERROR(INDEX(PASTE_ALL,$DF797,40)&amp;"","")&amp;"␟"&amp;IFERROR(INDEX(PASTE_ALL,$DF797,41)&amp;"","")&amp;"␟"&amp;IFERROR(INDEX(PASTE_ALL,$DF797,42)&amp;"","")&amp;"␟"&amp;IFERROR(INDEX(PASTE_ALL,$DF797,43)&amp;"","")&amp;"␟"&amp;IFERROR(INDEX(PASTE_ALL,$DF797,44)&amp;"","")&amp;"␟"&amp;IFERROR(INDEX(PASTE_ALL,$DF797,45)&amp;"","")&amp;"␟"&amp;IFERROR(INDEX(PASTE_ALL,$DF797,46)&amp;"","")&amp;"␟"&amp;IFERROR(INDEX(PASTE_ALL,$DF797,47)&amp;"","")&amp;"␟"&amp;IFERROR(INDEX(PASTE_ALL,$DF797,48)&amp;"","")&amp;"␟"&amp;IFERROR(INDEX(PASTE_ALL,$DF797,49)&amp;"","")&amp;"␟"&amp;IFERROR(INDEX(PASTE_ALL,$DF797,50)&amp;"","")&amp;"␟"&amp;IFERROR(INDEX(PASTE_ALL,$DF797,51)&amp;"","")&amp;"␟"&amp;IFERROR(INDEX(PASTE_ALL,$DF797,52)&amp;"","")&amp;"␟"&amp;IFERROR(INDEX(PASTE_ALL,$DF797,53)&amp;"","")&amp;"␟"&amp;IFERROR(INDEX(PASTE_ALL,$DF797,54)&amp;"","")&amp;"␟"&amp;IFERROR(INDEX(PASTE_ALL,$DF797,55)&amp;"","")&amp;"␟"&amp;IFERROR(INDEX(PASTE_ALL,$DF797,56)&amp;"","")&amp;"␟"&amp;IFERROR(INDEX(PASTE_ALL,$DF797,57)&amp;"","")&amp;"␟"&amp;IFERROR(INDEX(PASTE_ALL,$DF797,58)&amp;"","")&amp;"␟"&amp;IFERROR(INDEX(PASTE_ALL,$DF797,59)&amp;"","")&amp;"␟"&amp;IFERROR(INDEX(PASTE_ALL,$DF797,60)&amp;"","")," "," "),CHAR(9)," "),CHAR(10)," "),CHAR(13)," "))," ␟","␟"),"␟ ","␟"),"#"&amp;$DE797),"")</f>
        <v/>
      </c>
      <c r="DJ797">
        <f>IF($DI797="",0,IF(SUMPRODUCT(--EXACT($DI$4:DI796,$DI797))&gt;0,1,0))</f>
        <v/>
      </c>
      <c r="DK797">
        <f>IF(AND($DI797&lt;&gt;"",$DJ797=0),1,0)</f>
        <v/>
      </c>
      <c r="DL797">
        <f>DL796+$DK797</f>
        <v/>
      </c>
      <c r="DM797">
        <f>IF(AND($DK797=1,$DL797&lt;=600),1,0)</f>
        <v/>
      </c>
      <c r="DN797">
        <f>IF($DM797=0,"",IF($L$6=0,"",IFERROR(IF(ISNUMBER(INDEX(PASTE_ALL,$DF797,$L$6)),INDEX(PASTE_ALL,$DF797,$L$6),TRIM(SUBSTITUTE(SUBSTITUTE(SUBSTITUTE(SUBSTITUTE(INDEX(PASTE_ALL,$DF797,$L$6)," "," "),CHAR(9)," "),CHAR(10)," "),CHAR(13)," "))),"")))</f>
        <v/>
      </c>
      <c r="DO797">
        <f>IF($DM797=0,"",IF($L$7=0,"",IFERROR(IF(ISNUMBER(INDEX(PASTE_ALL,$DF797,$L$7)),INDEX(PASTE_ALL,$DF797,$L$7),TRIM(SUBSTITUTE(SUBSTITUTE(SUBSTITUTE(SUBSTITUTE(INDEX(PASTE_ALL,$DF797,$L$7)," "," "),CHAR(9)," "),CHAR(10)," "),CHAR(13)," "))),"")))</f>
        <v/>
      </c>
      <c r="DP797">
        <f>IF($DM797=0,"",IF($L$8=0,"",IFERROR(IF(ISNUMBER(INDEX(PASTE_ALL,$DF797,$L$8)),INDEX(PASTE_ALL,$DF797,$L$8),TRIM(SUBSTITUTE(SUBSTITUTE(SUBSTITUTE(SUBSTITUTE(INDEX(PASTE_ALL,$DF797,$L$8)," "," "),CHAR(9)," "),CHAR(10)," "),CHAR(13)," "))),"")))</f>
        <v/>
      </c>
      <c r="DQ797">
        <f>IF($DM797=0,"",IF($L$9=0,"",IFERROR(IF(ISNUMBER(INDEX(PASTE_ALL,$DF797,$L$9)),INDEX(PASTE_ALL,$DF797,$L$9),TRIM(SUBSTITUTE(SUBSTITUTE(SUBSTITUTE(SUBSTITUTE(INDEX(PASTE_ALL,$DF797,$L$9)," "," "),CHAR(9)," "),CHAR(10)," "),CHAR(13)," "))),"")))</f>
        <v/>
      </c>
      <c r="DR797">
        <f>IF($DM797=0,"",IF($L$10=0,"",IFERROR(IF(ISNUMBER(INDEX(PASTE_ALL,$DF797,$L$10)),INDEX(PASTE_ALL,$DF797,$L$10),TRIM(SUBSTITUTE(SUBSTITUTE(SUBSTITUTE(SUBSTITUTE(INDEX(PASTE_ALL,$DF797,$L$10)," "," "),CHAR(9)," "),CHAR(10)," "),CHAR(13)," "))),"")))</f>
        <v/>
      </c>
      <c r="DS797">
        <f>IF($DM797=0,"",IF($L$11=0,"",IFERROR(IF(ISNUMBER(INDEX(PASTE_ALL,$DF797,$L$11)),INDEX(PASTE_ALL,$DF797,$L$11),TRIM(SUBSTITUTE(SUBSTITUTE(SUBSTITUTE(SUBSTITUTE(INDEX(PASTE_ALL,$DF797,$L$11)," "," "),CHAR(9)," "),CHAR(10)," "),CHAR(13)," "))),"")))</f>
        <v/>
      </c>
      <c r="DT797">
        <f>IF($DM797=0,"",IF($L$12=0,"",IFERROR(IF(ISNUMBER(INDEX(PASTE_ALL,$DF797,$L$12)),INDEX(PASTE_ALL,$DF797,$L$12),TRIM(SUBSTITUTE(SUBSTITUTE(SUBSTITUTE(SUBSTITUTE(INDEX(PASTE_ALL,$DF797,$L$12)," "," "),CHAR(9)," "),CHAR(10)," "),CHAR(13)," "))),"")))</f>
        <v/>
      </c>
      <c r="DU797">
        <f>IF($DM797=0,"",IF($L$13=0,"",IFERROR(IF(ISNUMBER(INDEX(PASTE_ALL,$DF797,$L$13)),INDEX(PASTE_ALL,$DF797,$L$13),TRIM(SUBSTITUTE(SUBSTITUTE(SUBSTITUTE(SUBSTITUTE(INDEX(PASTE_ALL,$DF797,$L$13)," "," "),CHAR(9)," "),CHAR(10)," "),CHAR(13)," "))),"")))</f>
        <v/>
      </c>
      <c r="DV797">
        <f>IF($DM797=0,"",IF($L$14=0,"",IFERROR(IF(ISNUMBER(INDEX(PASTE_ALL,$DF797,$L$14)),INDEX(PASTE_ALL,$DF797,$L$14),TRIM(SUBSTITUTE(SUBSTITUTE(SUBSTITUTE(SUBSTITUTE(INDEX(PASTE_ALL,$DF797,$L$14)," "," "),CHAR(9)," "),CHAR(10)," "),CHAR(13)," "))),"")))</f>
        <v/>
      </c>
      <c r="DW797">
        <f>IF($DM797=0,"",IF($L$15=0,"",IFERROR(IF(ISNUMBER(INDEX(PASTE_ALL,$DF797,$L$15)),INDEX(PASTE_ALL,$DF797,$L$15),IF(SUMPRODUCT(--ISNUMBER(FIND({"A","B","C","D","E","F","G","H","I","J","K","L","M","N","O","P","Q","R","S","T","U","V","W","X","Y","Z","0","1","2","3","4","5","6","7","8","9"},UPPER(TRIM(SUBSTITUTE(SUBSTITUTE(SUBSTITUTE(SUBSTITUTE(INDEX(PASTE_ALL,$DF797,$L$15)," "," "),CHAR(9)," "),CHAR(10)," "),CHAR(13)," "))))))&gt;0,TRIM(SUBSTITUTE(SUBSTITUTE(SUBSTITUTE(SUBSTITUTE(INDEX(PASTE_ALL,$DF797,$L$15)," "," "),CHAR(9)," "),CHAR(10)," "),CHAR(13)," ")),"")),"")))</f>
        <v/>
      </c>
      <c r="DX797">
        <f>IF($DM797=0,"",IF($L$16=0,"",IFERROR(IF(ISNUMBER(INDEX(PASTE_ALL,$DF797,$L$16)),INDEX(PASTE_ALL,$DF797,$L$16),SUBSTITUTE(SUBSTITUTE(TRIM(SUBSTITUTE(SUBSTITUTE(SUBSTITUTE(SUBSTITUTE(INDEX(PASTE_ALL,$DF797,$L$16)," "," "),CHAR(9)," "),CHAR(10)," "),CHAR(13)," ")),",",""),"%","")),"")))</f>
        <v/>
      </c>
      <c r="DY797">
        <f>IF($DM797=0,"",IFERROR(IF(ISNUMBER($DX797),$DX797,IF($DX797="","",IF(TRIM($DX797)="",0,IF(AND(AND(SUBSTITUTE(SUBSTITUTE(SUBSTITUTE(SUBSTITUTE(SUBSTITUTE(SUBSTITUTE(SUBSTITUTE(SUBSTITUTE(SUBSTITUTE(SUBSTITUTE(SUBSTITUTE(SUBSTITUTE(SUBSTITUTE(SUBSTITUTE(UPPER(TRIM($DX797)),"0",""),"1",""),"2",""),"3",""),"4",""),"5",""),"6",""),"7",""),"8",""),"9",""),".",""),"+",""),"-",""),"E","")="",LEN(SUBSTITUTE(SUBSTITUTE(MID(UPPER(TRIM($DX797)),1+OR(LEFT(UPPER(TRIM($DX797)),1)="+",LEFT(UPPER(TRIM($DX797)),1)="-"),999),"E+","E"),"E-","E"))=LEN(SUBSTITUTE(SUBSTITUTE(SUBSTITUTE(SUBSTITUTE(MID(UPPER(TRIM($DX797)),1+OR(LEFT(UPPER(TRIM($DX797)),1)="+",LEFT(UPPER(TRIM($DX797)),1)="-"),999),"E+","E"),"E-","E"),"+",""),"-","")),LEN(UPPER(TRIM($DX797)))-LEN(SUBSTITUTE(UPPER(TRIM($DX797)),"E",""))&lt;2,LEN(UPPER(TRIM($DX797)))-LEN(SUBSTITUTE(UPPER(TRIM($DX797)),".",""))&lt;2,IFERROR(FIND(".",UPPER(TRIM($DX797))),0)&lt;IFERROR(FIND("E",UPPER(TRIM($DX797))),999)),ISNUMBER(VALUE(TRIM($DX797)))),VALUE(TRIM($DX797)),"")))),""))</f>
        <v/>
      </c>
      <c r="DZ797">
        <f>IF($DM797=0,"",IF($L$17=0,"",IFERROR(IF(ISNUMBER(INDEX(PASTE_ALL,$DF797,$L$17)),INDEX(PASTE_ALL,$DF797,$L$17),SUBSTITUTE(SUBSTITUTE(TRIM(SUBSTITUTE(SUBSTITUTE(SUBSTITUTE(SUBSTITUTE(INDEX(PASTE_ALL,$DF797,$L$17)," "," "),CHAR(9)," "),CHAR(10)," "),CHAR(13)," ")),",",""),"%","")),"")))</f>
        <v/>
      </c>
      <c r="EA797">
        <f>IF($DM797=0,"",IFERROR(IF(ISNUMBER($DZ797),$DZ797,IF($DZ797="","",IF(TRIM($DZ797)="",0,IF(AND(AND(SUBSTITUTE(SUBSTITUTE(SUBSTITUTE(SUBSTITUTE(SUBSTITUTE(SUBSTITUTE(SUBSTITUTE(SUBSTITUTE(SUBSTITUTE(SUBSTITUTE(SUBSTITUTE(SUBSTITUTE(SUBSTITUTE(SUBSTITUTE(UPPER(TRIM($DZ797)),"0",""),"1",""),"2",""),"3",""),"4",""),"5",""),"6",""),"7",""),"8",""),"9",""),".",""),"+",""),"-",""),"E","")="",LEN(SUBSTITUTE(SUBSTITUTE(MID(UPPER(TRIM($DZ797)),1+OR(LEFT(UPPER(TRIM($DZ797)),1)="+",LEFT(UPPER(TRIM($DZ797)),1)="-"),999),"E+","E"),"E-","E"))=LEN(SUBSTITUTE(SUBSTITUTE(SUBSTITUTE(SUBSTITUTE(MID(UPPER(TRIM($DZ797)),1+OR(LEFT(UPPER(TRIM($DZ797)),1)="+",LEFT(UPPER(TRIM($DZ797)),1)="-"),999),"E+","E"),"E-","E"),"+",""),"-","")),LEN(UPPER(TRIM($DZ797)))-LEN(SUBSTITUTE(UPPER(TRIM($DZ797)),"E",""))&lt;2,LEN(UPPER(TRIM($DZ797)))-LEN(SUBSTITUTE(UPPER(TRIM($DZ797)),".",""))&lt;2,IFERROR(FIND(".",UPPER(TRIM($DZ797))),0)&lt;IFERROR(FIND("E",UPPER(TRIM($DZ797))),999)),ISNUMBER(VALUE(TRIM($DZ797)))),VALUE(TRIM($DZ797)),"")))),""))</f>
        <v/>
      </c>
      <c r="EB797">
        <f>IF($DM797=0,"",IF($L$18=0,"",IFERROR(IF(UPPER(TRIM(SUBSTITUTE(SUBSTITUTE(SUBSTITUTE(SUBSTITUTE(INDEX(PASTE_ALL,$DF797,$L$18)," "," "),CHAR(9)," "),CHAR(10)," "),CHAR(13)," ")))="READY","Ready",IF(UPPER(TRIM(SUBSTITUTE(SUBSTITUTE(SUBSTITUTE(SUBSTITUTE(INDEX(PASTE_ALL,$DF797,$L$18)," "," "),CHAR(9)," "),CHAR(10)," "),CHAR(13)," ")))="PM","PM",IF(OR(UPPER(TRIM(SUBSTITUTE(SUBSTITUTE(SUBSTITUTE(SUBSTITUTE(INDEX(PASTE_ALL,$DF797,$L$18)," "," "),CHAR(9)," "),CHAR(10)," "),CHAR(13)," ")))="OT",UPPER(TRIM(SUBSTITUTE(SUBSTITUTE(SUBSTITUTE(SUBSTITUTE(INDEX(PASTE_ALL,$DF797,$L$18)," "," "),CHAR(9)," "),CHAR(10)," "),CHAR(13)," ")))="OVERTIME",UPPER(TRIM(SUBSTITUTE(SUBSTITUTE(SUBSTITUTE(SUBSTITUTE(INDEX(PASTE_ALL,$DF797,$L$18)," "," "),CHAR(9)," "),CHAR(10)," "),CHAR(13)," ")))="TRIAL"),"OT",TRIM(SUBSTITUTE(SUBSTITUTE(SUBSTITUTE(SUBSTITUTE(INDEX(PASTE_ALL,$DF797,$L$18)," "," "),CHAR(9)," "),CHAR(10)," "),CHAR(13)," "))))),"")))</f>
        <v/>
      </c>
      <c r="EC797">
        <f>IF($DM797=0,"",IF($L$19=0,"",IFERROR(IF(ISNUMBER(INDEX(PASTE_ALL,$DF797,$L$19)),INDEX(PASTE_ALL,$DF797,$L$19),TRIM(SUBSTITUTE(SUBSTITUTE(SUBSTITUTE(SUBSTITUTE(INDEX(PASTE_ALL,$DF797,$L$19)," "," "),CHAR(9)," "),CHAR(10)," "),CHAR(13)," "))),"")))</f>
        <v/>
      </c>
      <c r="ED797">
        <f>IF($DM797=0,"",MATCH(1,INDEX(EXACT($DH$5:DH797,$DH797)*$DM$5:DM797,0),0))</f>
        <v/>
      </c>
      <c r="EE797">
        <f>IF($DM797=0,0,IF($ED797=$DE797,1,0))</f>
        <v/>
      </c>
      <c r="EF797">
        <f>EF796+$EE797</f>
        <v/>
      </c>
      <c r="EG797">
        <f>IF($DM797=0,"",INDEX($EF$5:$EF$1003,$ED797))</f>
        <v/>
      </c>
      <c r="EH797">
        <f>IF($DM797=0,"",IF($DO797&lt;&gt;"","",IFERROR(LOOKUP(2,1/(($EG$4:EG796=$EG797)*($DO$4:DO796&lt;&gt;"")),$DO$4:DO796),"")))</f>
        <v/>
      </c>
      <c r="EI797">
        <f>IF($DM797=0,"",IF($DO797&lt;&gt;"",$DO797,$EH797))</f>
        <v/>
      </c>
      <c r="EJ797">
        <f>IF($DM797=0,"",IF($EI797="",0,IF(OR(ISNUMBER($EI797),AND(AND(SUBSTITUTE(SUBSTITUTE(SUBSTITUTE(SUBSTITUTE(SUBSTITUTE(SUBSTITUTE(SUBSTITUTE(SUBSTITUTE(SUBSTITUTE(SUBSTITUTE(SUBSTITUTE(SUBSTITUTE(SUBSTITUTE(SUBSTITUTE(UPPER($EI797),"0",""),"1",""),"2",""),"3",""),"4",""),"5",""),"6",""),"7",""),"8",""),"9",""),".",""),"+",""),"-",""),"E","")="",LEN(SUBSTITUTE(SUBSTITUTE(MID(UPPER($EI797),1+OR(LEFT(UPPER($EI797),1)="+",LEFT(UPPER($EI797),1)="-"),999),"E+","E"),"E-","E"))=LEN(SUBSTITUTE(SUBSTITUTE(SUBSTITUTE(SUBSTITUTE(MID(UPPER($EI797),1+OR(LEFT(UPPER($EI797),1)="+",LEFT(UPPER($EI797),1)="-"),999),"E+","E"),"E-","E"),"+",""),"-","")),LEN(UPPER($EI797))-LEN(SUBSTITUTE(UPPER($EI797),"E",""))&lt;2,LEN(UPPER($EI797))-LEN(SUBSTITUTE(UPPER($EI797),".",""))&lt;2,IFERROR(FIND(".",UPPER($EI797)),0)&lt;IFERROR(FIND("E",UPPER($EI797)),999)),ISNUMBER(VALUE($EI797)))),1,2)))</f>
        <v/>
      </c>
      <c r="EK797">
        <f>IF($DM797=0,"",IF($EJ797=1,IF(ISNUMBER($EI797),$EI797,VALUE($EI797)),IF($EJ797=2,$DE797,0)))</f>
        <v/>
      </c>
      <c r="EL797">
        <f>IF($DM797=0,"",COUNTIF($EG$5:$EG$1003,"&lt;"&amp;$EG797)+SUMPRODUCT(($EG$5:$EG$1003=$EG797)*(($EJ$5:$EJ$1003&lt;$EJ797)+($EJ$5:$EJ$1003=$EJ797)*(($EK$5:$EK$1003&lt;$EK797)+($EK$5:$EK$1003=$EK797)*($DE$5:$DE$1003&lt;$DE797))))+1)</f>
        <v/>
      </c>
      <c r="EM797">
        <f>IF($DM797=0,"",$EL797+$EG797-1)</f>
        <v/>
      </c>
      <c r="EN797">
        <f>IF($DM797=0,0,IFERROR(MATCH(1,INDEX(--(TRIM(SUBSTITUTE(SUBSTITUTE(SUBSTITUTE(SUBSTITUTE(LINES_NAME&amp;""," "," "),CHAR(9)," "),CHAR(10)," "),CHAR(13)," "))=$DH797),0),0),0))</f>
        <v/>
      </c>
      <c r="EO797">
        <f>IF($EN797=0,0,IF(OR(UPPER(TRIM(INDEX(LINES_SCHEDULED,$EN797)&amp;""))="YES",UPPER(TRIM(INDEX(LINES_SCHEDULED,$EN797)&amp;""))="Y",UPPER(TRIM(INDEX(LINES_SCHEDULED,$EN797)&amp;""))="X"),1,0))</f>
        <v/>
      </c>
      <c r="EP797">
        <f>IF($DM797=0,"",IF(COUNTIFS($EG$5:$EG$1003,$EG797,$EB$5:$EB$1003,"Ready")&gt;0,"READY",IF(COUNTIFS($EG$5:$EG$1003,$EG797,$EB$5:$EB$1003,"PM")&gt;0,"PM",IF(COUNTIFS($EG$5:$EG$1003,$EG797,$EB$5:$EB$1003,"OT")&gt;0,"OT",""))))</f>
        <v/>
      </c>
      <c r="EQ797">
        <f>IF($EN797=0,"",UPPER(TRIM(INDEX(LINES_STATUS,$EN797)&amp;"")))</f>
        <v/>
      </c>
      <c r="ER797">
        <f>IF($DM797=0,"",IF(OR($EQ797="READY",$EQ797="PM",$EQ797="OT"),$EQ797,$EP797))</f>
        <v/>
      </c>
      <c r="ES797">
        <f>IF($DM797=0,"",IF(AND($DV797&lt;&gt;"",UPPER($DV797)&lt;&gt;"N"),"allergen",IF(ISNUMBER(SEARCH("oil",$DQ797)),"oil",IF(OR(EXACT($DS797,"A662"),EXACT($DS797,"A624")),"bulk",""))))</f>
        <v/>
      </c>
      <c r="ET797">
        <f>IF($DM797=0,"",IF(OR($EA797="",$EA797=0),"",$EA797/100))</f>
        <v/>
      </c>
      <c r="EU797">
        <f>IF(OR($ET797="",$DY797=""),"",INT($DY797*(1-$ET797)+0.5))</f>
        <v/>
      </c>
    </row>
    <row r="798">
      <c r="DA798" t="n">
        <v>794</v>
      </c>
      <c r="DB798">
        <f>IF($B$37=0,"",IFERROR(TRIM(SUBSTITUTE(SUBSTITUTE(SUBSTITUTE(SUBSTITUTE(INDEX(PASTE_ALL,794,$B$37)," "," "),CHAR(9)," "),CHAR(10)," "),CHAR(13)," ")),""))</f>
        <v/>
      </c>
      <c r="DC798">
        <f>IF(AND(794&gt;HEADER_ROW,UPPER(DB798)="LEGEND"),1,0)</f>
        <v/>
      </c>
      <c r="DE798" t="n">
        <v>794</v>
      </c>
      <c r="DF798">
        <f>HEADER_ROW+$DE798</f>
        <v/>
      </c>
      <c r="DG798">
        <f>IF(AND($DF798&lt;=1000,$DF798&lt;$B$8),1,0)</f>
        <v/>
      </c>
      <c r="DH798">
        <f>IF($DG798=1,IFERROR(INDEX($DB$5:$DB$1004,$DF798),""),"")</f>
        <v/>
      </c>
      <c r="DI798">
        <f>IF(AND($DG798=1,$DH798&lt;&gt;""),IFERROR(SUBSTITUTE(SUBSTITUTE(TRIM(SUBSTITUTE(SUBSTITUTE(SUBSTITUTE(SUBSTITUTE(IFERROR(INDEX(PASTE_ALL,$DF798,1)&amp;"","")&amp;"␟"&amp;IFERROR(INDEX(PASTE_ALL,$DF798,2)&amp;"","")&amp;"␟"&amp;IFERROR(INDEX(PASTE_ALL,$DF798,3)&amp;"","")&amp;"␟"&amp;IFERROR(INDEX(PASTE_ALL,$DF798,4)&amp;"","")&amp;"␟"&amp;IFERROR(INDEX(PASTE_ALL,$DF798,5)&amp;"","")&amp;"␟"&amp;IFERROR(INDEX(PASTE_ALL,$DF798,6)&amp;"","")&amp;"␟"&amp;IFERROR(INDEX(PASTE_ALL,$DF798,7)&amp;"","")&amp;"␟"&amp;IFERROR(INDEX(PASTE_ALL,$DF798,8)&amp;"","")&amp;"␟"&amp;IFERROR(INDEX(PASTE_ALL,$DF798,9)&amp;"","")&amp;"␟"&amp;IFERROR(INDEX(PASTE_ALL,$DF798,10)&amp;"","")&amp;"␟"&amp;IFERROR(INDEX(PASTE_ALL,$DF798,11)&amp;"","")&amp;"␟"&amp;IFERROR(INDEX(PASTE_ALL,$DF798,12)&amp;"","")&amp;"␟"&amp;IFERROR(INDEX(PASTE_ALL,$DF798,13)&amp;"","")&amp;"␟"&amp;IFERROR(INDEX(PASTE_ALL,$DF798,14)&amp;"","")&amp;"␟"&amp;IFERROR(INDEX(PASTE_ALL,$DF798,15)&amp;"","")&amp;"␟"&amp;IFERROR(INDEX(PASTE_ALL,$DF798,16)&amp;"","")&amp;"␟"&amp;IFERROR(INDEX(PASTE_ALL,$DF798,17)&amp;"","")&amp;"␟"&amp;IFERROR(INDEX(PASTE_ALL,$DF798,18)&amp;"","")&amp;"␟"&amp;IFERROR(INDEX(PASTE_ALL,$DF798,19)&amp;"","")&amp;"␟"&amp;IFERROR(INDEX(PASTE_ALL,$DF798,20)&amp;"","")&amp;"␟"&amp;IFERROR(INDEX(PASTE_ALL,$DF798,21)&amp;"","")&amp;"␟"&amp;IFERROR(INDEX(PASTE_ALL,$DF798,22)&amp;"","")&amp;"␟"&amp;IFERROR(INDEX(PASTE_ALL,$DF798,23)&amp;"","")&amp;"␟"&amp;IFERROR(INDEX(PASTE_ALL,$DF798,24)&amp;"","")&amp;"␟"&amp;IFERROR(INDEX(PASTE_ALL,$DF798,25)&amp;"","")&amp;"␟"&amp;IFERROR(INDEX(PASTE_ALL,$DF798,26)&amp;"","")&amp;"␟"&amp;IFERROR(INDEX(PASTE_ALL,$DF798,27)&amp;"","")&amp;"␟"&amp;IFERROR(INDEX(PASTE_ALL,$DF798,28)&amp;"","")&amp;"␟"&amp;IFERROR(INDEX(PASTE_ALL,$DF798,29)&amp;"","")&amp;"␟"&amp;IFERROR(INDEX(PASTE_ALL,$DF798,30)&amp;"","")&amp;"␟"&amp;IFERROR(INDEX(PASTE_ALL,$DF798,31)&amp;"","")&amp;"␟"&amp;IFERROR(INDEX(PASTE_ALL,$DF798,32)&amp;"","")&amp;"␟"&amp;IFERROR(INDEX(PASTE_ALL,$DF798,33)&amp;"","")&amp;"␟"&amp;IFERROR(INDEX(PASTE_ALL,$DF798,34)&amp;"","")&amp;"␟"&amp;IFERROR(INDEX(PASTE_ALL,$DF798,35)&amp;"","")&amp;"␟"&amp;IFERROR(INDEX(PASTE_ALL,$DF798,36)&amp;"","")&amp;"␟"&amp;IFERROR(INDEX(PASTE_ALL,$DF798,37)&amp;"","")&amp;"␟"&amp;IFERROR(INDEX(PASTE_ALL,$DF798,38)&amp;"","")&amp;"␟"&amp;IFERROR(INDEX(PASTE_ALL,$DF798,39)&amp;"","")&amp;"␟"&amp;IFERROR(INDEX(PASTE_ALL,$DF798,40)&amp;"","")&amp;"␟"&amp;IFERROR(INDEX(PASTE_ALL,$DF798,41)&amp;"","")&amp;"␟"&amp;IFERROR(INDEX(PASTE_ALL,$DF798,42)&amp;"","")&amp;"␟"&amp;IFERROR(INDEX(PASTE_ALL,$DF798,43)&amp;"","")&amp;"␟"&amp;IFERROR(INDEX(PASTE_ALL,$DF798,44)&amp;"","")&amp;"␟"&amp;IFERROR(INDEX(PASTE_ALL,$DF798,45)&amp;"","")&amp;"␟"&amp;IFERROR(INDEX(PASTE_ALL,$DF798,46)&amp;"","")&amp;"␟"&amp;IFERROR(INDEX(PASTE_ALL,$DF798,47)&amp;"","")&amp;"␟"&amp;IFERROR(INDEX(PASTE_ALL,$DF798,48)&amp;"","")&amp;"␟"&amp;IFERROR(INDEX(PASTE_ALL,$DF798,49)&amp;"","")&amp;"␟"&amp;IFERROR(INDEX(PASTE_ALL,$DF798,50)&amp;"","")&amp;"␟"&amp;IFERROR(INDEX(PASTE_ALL,$DF798,51)&amp;"","")&amp;"␟"&amp;IFERROR(INDEX(PASTE_ALL,$DF798,52)&amp;"","")&amp;"␟"&amp;IFERROR(INDEX(PASTE_ALL,$DF798,53)&amp;"","")&amp;"␟"&amp;IFERROR(INDEX(PASTE_ALL,$DF798,54)&amp;"","")&amp;"␟"&amp;IFERROR(INDEX(PASTE_ALL,$DF798,55)&amp;"","")&amp;"␟"&amp;IFERROR(INDEX(PASTE_ALL,$DF798,56)&amp;"","")&amp;"␟"&amp;IFERROR(INDEX(PASTE_ALL,$DF798,57)&amp;"","")&amp;"␟"&amp;IFERROR(INDEX(PASTE_ALL,$DF798,58)&amp;"","")&amp;"␟"&amp;IFERROR(INDEX(PASTE_ALL,$DF798,59)&amp;"","")&amp;"␟"&amp;IFERROR(INDEX(PASTE_ALL,$DF798,60)&amp;"","")," "," "),CHAR(9)," "),CHAR(10)," "),CHAR(13)," "))," ␟","␟"),"␟ ","␟"),"#"&amp;$DE798),"")</f>
        <v/>
      </c>
      <c r="DJ798">
        <f>IF($DI798="",0,IF(SUMPRODUCT(--EXACT($DI$4:DI797,$DI798))&gt;0,1,0))</f>
        <v/>
      </c>
      <c r="DK798">
        <f>IF(AND($DI798&lt;&gt;"",$DJ798=0),1,0)</f>
        <v/>
      </c>
      <c r="DL798">
        <f>DL797+$DK798</f>
        <v/>
      </c>
      <c r="DM798">
        <f>IF(AND($DK798=1,$DL798&lt;=600),1,0)</f>
        <v/>
      </c>
      <c r="DN798">
        <f>IF($DM798=0,"",IF($L$6=0,"",IFERROR(IF(ISNUMBER(INDEX(PASTE_ALL,$DF798,$L$6)),INDEX(PASTE_ALL,$DF798,$L$6),TRIM(SUBSTITUTE(SUBSTITUTE(SUBSTITUTE(SUBSTITUTE(INDEX(PASTE_ALL,$DF798,$L$6)," "," "),CHAR(9)," "),CHAR(10)," "),CHAR(13)," "))),"")))</f>
        <v/>
      </c>
      <c r="DO798">
        <f>IF($DM798=0,"",IF($L$7=0,"",IFERROR(IF(ISNUMBER(INDEX(PASTE_ALL,$DF798,$L$7)),INDEX(PASTE_ALL,$DF798,$L$7),TRIM(SUBSTITUTE(SUBSTITUTE(SUBSTITUTE(SUBSTITUTE(INDEX(PASTE_ALL,$DF798,$L$7)," "," "),CHAR(9)," "),CHAR(10)," "),CHAR(13)," "))),"")))</f>
        <v/>
      </c>
      <c r="DP798">
        <f>IF($DM798=0,"",IF($L$8=0,"",IFERROR(IF(ISNUMBER(INDEX(PASTE_ALL,$DF798,$L$8)),INDEX(PASTE_ALL,$DF798,$L$8),TRIM(SUBSTITUTE(SUBSTITUTE(SUBSTITUTE(SUBSTITUTE(INDEX(PASTE_ALL,$DF798,$L$8)," "," "),CHAR(9)," "),CHAR(10)," "),CHAR(13)," "))),"")))</f>
        <v/>
      </c>
      <c r="DQ798">
        <f>IF($DM798=0,"",IF($L$9=0,"",IFERROR(IF(ISNUMBER(INDEX(PASTE_ALL,$DF798,$L$9)),INDEX(PASTE_ALL,$DF798,$L$9),TRIM(SUBSTITUTE(SUBSTITUTE(SUBSTITUTE(SUBSTITUTE(INDEX(PASTE_ALL,$DF798,$L$9)," "," "),CHAR(9)," "),CHAR(10)," "),CHAR(13)," "))),"")))</f>
        <v/>
      </c>
      <c r="DR798">
        <f>IF($DM798=0,"",IF($L$10=0,"",IFERROR(IF(ISNUMBER(INDEX(PASTE_ALL,$DF798,$L$10)),INDEX(PASTE_ALL,$DF798,$L$10),TRIM(SUBSTITUTE(SUBSTITUTE(SUBSTITUTE(SUBSTITUTE(INDEX(PASTE_ALL,$DF798,$L$10)," "," "),CHAR(9)," "),CHAR(10)," "),CHAR(13)," "))),"")))</f>
        <v/>
      </c>
      <c r="DS798">
        <f>IF($DM798=0,"",IF($L$11=0,"",IFERROR(IF(ISNUMBER(INDEX(PASTE_ALL,$DF798,$L$11)),INDEX(PASTE_ALL,$DF798,$L$11),TRIM(SUBSTITUTE(SUBSTITUTE(SUBSTITUTE(SUBSTITUTE(INDEX(PASTE_ALL,$DF798,$L$11)," "," "),CHAR(9)," "),CHAR(10)," "),CHAR(13)," "))),"")))</f>
        <v/>
      </c>
      <c r="DT798">
        <f>IF($DM798=0,"",IF($L$12=0,"",IFERROR(IF(ISNUMBER(INDEX(PASTE_ALL,$DF798,$L$12)),INDEX(PASTE_ALL,$DF798,$L$12),TRIM(SUBSTITUTE(SUBSTITUTE(SUBSTITUTE(SUBSTITUTE(INDEX(PASTE_ALL,$DF798,$L$12)," "," "),CHAR(9)," "),CHAR(10)," "),CHAR(13)," "))),"")))</f>
        <v/>
      </c>
      <c r="DU798">
        <f>IF($DM798=0,"",IF($L$13=0,"",IFERROR(IF(ISNUMBER(INDEX(PASTE_ALL,$DF798,$L$13)),INDEX(PASTE_ALL,$DF798,$L$13),TRIM(SUBSTITUTE(SUBSTITUTE(SUBSTITUTE(SUBSTITUTE(INDEX(PASTE_ALL,$DF798,$L$13)," "," "),CHAR(9)," "),CHAR(10)," "),CHAR(13)," "))),"")))</f>
        <v/>
      </c>
      <c r="DV798">
        <f>IF($DM798=0,"",IF($L$14=0,"",IFERROR(IF(ISNUMBER(INDEX(PASTE_ALL,$DF798,$L$14)),INDEX(PASTE_ALL,$DF798,$L$14),TRIM(SUBSTITUTE(SUBSTITUTE(SUBSTITUTE(SUBSTITUTE(INDEX(PASTE_ALL,$DF798,$L$14)," "," "),CHAR(9)," "),CHAR(10)," "),CHAR(13)," "))),"")))</f>
        <v/>
      </c>
      <c r="DW798">
        <f>IF($DM798=0,"",IF($L$15=0,"",IFERROR(IF(ISNUMBER(INDEX(PASTE_ALL,$DF798,$L$15)),INDEX(PASTE_ALL,$DF798,$L$15),IF(SUMPRODUCT(--ISNUMBER(FIND({"A","B","C","D","E","F","G","H","I","J","K","L","M","N","O","P","Q","R","S","T","U","V","W","X","Y","Z","0","1","2","3","4","5","6","7","8","9"},UPPER(TRIM(SUBSTITUTE(SUBSTITUTE(SUBSTITUTE(SUBSTITUTE(INDEX(PASTE_ALL,$DF798,$L$15)," "," "),CHAR(9)," "),CHAR(10)," "),CHAR(13)," "))))))&gt;0,TRIM(SUBSTITUTE(SUBSTITUTE(SUBSTITUTE(SUBSTITUTE(INDEX(PASTE_ALL,$DF798,$L$15)," "," "),CHAR(9)," "),CHAR(10)," "),CHAR(13)," ")),"")),"")))</f>
        <v/>
      </c>
      <c r="DX798">
        <f>IF($DM798=0,"",IF($L$16=0,"",IFERROR(IF(ISNUMBER(INDEX(PASTE_ALL,$DF798,$L$16)),INDEX(PASTE_ALL,$DF798,$L$16),SUBSTITUTE(SUBSTITUTE(TRIM(SUBSTITUTE(SUBSTITUTE(SUBSTITUTE(SUBSTITUTE(INDEX(PASTE_ALL,$DF798,$L$16)," "," "),CHAR(9)," "),CHAR(10)," "),CHAR(13)," ")),",",""),"%","")),"")))</f>
        <v/>
      </c>
      <c r="DY798">
        <f>IF($DM798=0,"",IFERROR(IF(ISNUMBER($DX798),$DX798,IF($DX798="","",IF(TRIM($DX798)="",0,IF(AND(AND(SUBSTITUTE(SUBSTITUTE(SUBSTITUTE(SUBSTITUTE(SUBSTITUTE(SUBSTITUTE(SUBSTITUTE(SUBSTITUTE(SUBSTITUTE(SUBSTITUTE(SUBSTITUTE(SUBSTITUTE(SUBSTITUTE(SUBSTITUTE(UPPER(TRIM($DX798)),"0",""),"1",""),"2",""),"3",""),"4",""),"5",""),"6",""),"7",""),"8",""),"9",""),".",""),"+",""),"-",""),"E","")="",LEN(SUBSTITUTE(SUBSTITUTE(MID(UPPER(TRIM($DX798)),1+OR(LEFT(UPPER(TRIM($DX798)),1)="+",LEFT(UPPER(TRIM($DX798)),1)="-"),999),"E+","E"),"E-","E"))=LEN(SUBSTITUTE(SUBSTITUTE(SUBSTITUTE(SUBSTITUTE(MID(UPPER(TRIM($DX798)),1+OR(LEFT(UPPER(TRIM($DX798)),1)="+",LEFT(UPPER(TRIM($DX798)),1)="-"),999),"E+","E"),"E-","E"),"+",""),"-","")),LEN(UPPER(TRIM($DX798)))-LEN(SUBSTITUTE(UPPER(TRIM($DX798)),"E",""))&lt;2,LEN(UPPER(TRIM($DX798)))-LEN(SUBSTITUTE(UPPER(TRIM($DX798)),".",""))&lt;2,IFERROR(FIND(".",UPPER(TRIM($DX798))),0)&lt;IFERROR(FIND("E",UPPER(TRIM($DX798))),999)),ISNUMBER(VALUE(TRIM($DX798)))),VALUE(TRIM($DX798)),"")))),""))</f>
        <v/>
      </c>
      <c r="DZ798">
        <f>IF($DM798=0,"",IF($L$17=0,"",IFERROR(IF(ISNUMBER(INDEX(PASTE_ALL,$DF798,$L$17)),INDEX(PASTE_ALL,$DF798,$L$17),SUBSTITUTE(SUBSTITUTE(TRIM(SUBSTITUTE(SUBSTITUTE(SUBSTITUTE(SUBSTITUTE(INDEX(PASTE_ALL,$DF798,$L$17)," "," "),CHAR(9)," "),CHAR(10)," "),CHAR(13)," ")),",",""),"%","")),"")))</f>
        <v/>
      </c>
      <c r="EA798">
        <f>IF($DM798=0,"",IFERROR(IF(ISNUMBER($DZ798),$DZ798,IF($DZ798="","",IF(TRIM($DZ798)="",0,IF(AND(AND(SUBSTITUTE(SUBSTITUTE(SUBSTITUTE(SUBSTITUTE(SUBSTITUTE(SUBSTITUTE(SUBSTITUTE(SUBSTITUTE(SUBSTITUTE(SUBSTITUTE(SUBSTITUTE(SUBSTITUTE(SUBSTITUTE(SUBSTITUTE(UPPER(TRIM($DZ798)),"0",""),"1",""),"2",""),"3",""),"4",""),"5",""),"6",""),"7",""),"8",""),"9",""),".",""),"+",""),"-",""),"E","")="",LEN(SUBSTITUTE(SUBSTITUTE(MID(UPPER(TRIM($DZ798)),1+OR(LEFT(UPPER(TRIM($DZ798)),1)="+",LEFT(UPPER(TRIM($DZ798)),1)="-"),999),"E+","E"),"E-","E"))=LEN(SUBSTITUTE(SUBSTITUTE(SUBSTITUTE(SUBSTITUTE(MID(UPPER(TRIM($DZ798)),1+OR(LEFT(UPPER(TRIM($DZ798)),1)="+",LEFT(UPPER(TRIM($DZ798)),1)="-"),999),"E+","E"),"E-","E"),"+",""),"-","")),LEN(UPPER(TRIM($DZ798)))-LEN(SUBSTITUTE(UPPER(TRIM($DZ798)),"E",""))&lt;2,LEN(UPPER(TRIM($DZ798)))-LEN(SUBSTITUTE(UPPER(TRIM($DZ798)),".",""))&lt;2,IFERROR(FIND(".",UPPER(TRIM($DZ798))),0)&lt;IFERROR(FIND("E",UPPER(TRIM($DZ798))),999)),ISNUMBER(VALUE(TRIM($DZ798)))),VALUE(TRIM($DZ798)),"")))),""))</f>
        <v/>
      </c>
      <c r="EB798">
        <f>IF($DM798=0,"",IF($L$18=0,"",IFERROR(IF(UPPER(TRIM(SUBSTITUTE(SUBSTITUTE(SUBSTITUTE(SUBSTITUTE(INDEX(PASTE_ALL,$DF798,$L$18)," "," "),CHAR(9)," "),CHAR(10)," "),CHAR(13)," ")))="READY","Ready",IF(UPPER(TRIM(SUBSTITUTE(SUBSTITUTE(SUBSTITUTE(SUBSTITUTE(INDEX(PASTE_ALL,$DF798,$L$18)," "," "),CHAR(9)," "),CHAR(10)," "),CHAR(13)," ")))="PM","PM",IF(OR(UPPER(TRIM(SUBSTITUTE(SUBSTITUTE(SUBSTITUTE(SUBSTITUTE(INDEX(PASTE_ALL,$DF798,$L$18)," "," "),CHAR(9)," "),CHAR(10)," "),CHAR(13)," ")))="OT",UPPER(TRIM(SUBSTITUTE(SUBSTITUTE(SUBSTITUTE(SUBSTITUTE(INDEX(PASTE_ALL,$DF798,$L$18)," "," "),CHAR(9)," "),CHAR(10)," "),CHAR(13)," ")))="OVERTIME",UPPER(TRIM(SUBSTITUTE(SUBSTITUTE(SUBSTITUTE(SUBSTITUTE(INDEX(PASTE_ALL,$DF798,$L$18)," "," "),CHAR(9)," "),CHAR(10)," "),CHAR(13)," ")))="TRIAL"),"OT",TRIM(SUBSTITUTE(SUBSTITUTE(SUBSTITUTE(SUBSTITUTE(INDEX(PASTE_ALL,$DF798,$L$18)," "," "),CHAR(9)," "),CHAR(10)," "),CHAR(13)," "))))),"")))</f>
        <v/>
      </c>
      <c r="EC798">
        <f>IF($DM798=0,"",IF($L$19=0,"",IFERROR(IF(ISNUMBER(INDEX(PASTE_ALL,$DF798,$L$19)),INDEX(PASTE_ALL,$DF798,$L$19),TRIM(SUBSTITUTE(SUBSTITUTE(SUBSTITUTE(SUBSTITUTE(INDEX(PASTE_ALL,$DF798,$L$19)," "," "),CHAR(9)," "),CHAR(10)," "),CHAR(13)," "))),"")))</f>
        <v/>
      </c>
      <c r="ED798">
        <f>IF($DM798=0,"",MATCH(1,INDEX(EXACT($DH$5:DH798,$DH798)*$DM$5:DM798,0),0))</f>
        <v/>
      </c>
      <c r="EE798">
        <f>IF($DM798=0,0,IF($ED798=$DE798,1,0))</f>
        <v/>
      </c>
      <c r="EF798">
        <f>EF797+$EE798</f>
        <v/>
      </c>
      <c r="EG798">
        <f>IF($DM798=0,"",INDEX($EF$5:$EF$1003,$ED798))</f>
        <v/>
      </c>
      <c r="EH798">
        <f>IF($DM798=0,"",IF($DO798&lt;&gt;"","",IFERROR(LOOKUP(2,1/(($EG$4:EG797=$EG798)*($DO$4:DO797&lt;&gt;"")),$DO$4:DO797),"")))</f>
        <v/>
      </c>
      <c r="EI798">
        <f>IF($DM798=0,"",IF($DO798&lt;&gt;"",$DO798,$EH798))</f>
        <v/>
      </c>
      <c r="EJ798">
        <f>IF($DM798=0,"",IF($EI798="",0,IF(OR(ISNUMBER($EI798),AND(AND(SUBSTITUTE(SUBSTITUTE(SUBSTITUTE(SUBSTITUTE(SUBSTITUTE(SUBSTITUTE(SUBSTITUTE(SUBSTITUTE(SUBSTITUTE(SUBSTITUTE(SUBSTITUTE(SUBSTITUTE(SUBSTITUTE(SUBSTITUTE(UPPER($EI798),"0",""),"1",""),"2",""),"3",""),"4",""),"5",""),"6",""),"7",""),"8",""),"9",""),".",""),"+",""),"-",""),"E","")="",LEN(SUBSTITUTE(SUBSTITUTE(MID(UPPER($EI798),1+OR(LEFT(UPPER($EI798),1)="+",LEFT(UPPER($EI798),1)="-"),999),"E+","E"),"E-","E"))=LEN(SUBSTITUTE(SUBSTITUTE(SUBSTITUTE(SUBSTITUTE(MID(UPPER($EI798),1+OR(LEFT(UPPER($EI798),1)="+",LEFT(UPPER($EI798),1)="-"),999),"E+","E"),"E-","E"),"+",""),"-","")),LEN(UPPER($EI798))-LEN(SUBSTITUTE(UPPER($EI798),"E",""))&lt;2,LEN(UPPER($EI798))-LEN(SUBSTITUTE(UPPER($EI798),".",""))&lt;2,IFERROR(FIND(".",UPPER($EI798)),0)&lt;IFERROR(FIND("E",UPPER($EI798)),999)),ISNUMBER(VALUE($EI798)))),1,2)))</f>
        <v/>
      </c>
      <c r="EK798">
        <f>IF($DM798=0,"",IF($EJ798=1,IF(ISNUMBER($EI798),$EI798,VALUE($EI798)),IF($EJ798=2,$DE798,0)))</f>
        <v/>
      </c>
      <c r="EL798">
        <f>IF($DM798=0,"",COUNTIF($EG$5:$EG$1003,"&lt;"&amp;$EG798)+SUMPRODUCT(($EG$5:$EG$1003=$EG798)*(($EJ$5:$EJ$1003&lt;$EJ798)+($EJ$5:$EJ$1003=$EJ798)*(($EK$5:$EK$1003&lt;$EK798)+($EK$5:$EK$1003=$EK798)*($DE$5:$DE$1003&lt;$DE798))))+1)</f>
        <v/>
      </c>
      <c r="EM798">
        <f>IF($DM798=0,"",$EL798+$EG798-1)</f>
        <v/>
      </c>
      <c r="EN798">
        <f>IF($DM798=0,0,IFERROR(MATCH(1,INDEX(--(TRIM(SUBSTITUTE(SUBSTITUTE(SUBSTITUTE(SUBSTITUTE(LINES_NAME&amp;""," "," "),CHAR(9)," "),CHAR(10)," "),CHAR(13)," "))=$DH798),0),0),0))</f>
        <v/>
      </c>
      <c r="EO798">
        <f>IF($EN798=0,0,IF(OR(UPPER(TRIM(INDEX(LINES_SCHEDULED,$EN798)&amp;""))="YES",UPPER(TRIM(INDEX(LINES_SCHEDULED,$EN798)&amp;""))="Y",UPPER(TRIM(INDEX(LINES_SCHEDULED,$EN798)&amp;""))="X"),1,0))</f>
        <v/>
      </c>
      <c r="EP798">
        <f>IF($DM798=0,"",IF(COUNTIFS($EG$5:$EG$1003,$EG798,$EB$5:$EB$1003,"Ready")&gt;0,"READY",IF(COUNTIFS($EG$5:$EG$1003,$EG798,$EB$5:$EB$1003,"PM")&gt;0,"PM",IF(COUNTIFS($EG$5:$EG$1003,$EG798,$EB$5:$EB$1003,"OT")&gt;0,"OT",""))))</f>
        <v/>
      </c>
      <c r="EQ798">
        <f>IF($EN798=0,"",UPPER(TRIM(INDEX(LINES_STATUS,$EN798)&amp;"")))</f>
        <v/>
      </c>
      <c r="ER798">
        <f>IF($DM798=0,"",IF(OR($EQ798="READY",$EQ798="PM",$EQ798="OT"),$EQ798,$EP798))</f>
        <v/>
      </c>
      <c r="ES798">
        <f>IF($DM798=0,"",IF(AND($DV798&lt;&gt;"",UPPER($DV798)&lt;&gt;"N"),"allergen",IF(ISNUMBER(SEARCH("oil",$DQ798)),"oil",IF(OR(EXACT($DS798,"A662"),EXACT($DS798,"A624")),"bulk",""))))</f>
        <v/>
      </c>
      <c r="ET798">
        <f>IF($DM798=0,"",IF(OR($EA798="",$EA798=0),"",$EA798/100))</f>
        <v/>
      </c>
      <c r="EU798">
        <f>IF(OR($ET798="",$DY798=""),"",INT($DY798*(1-$ET798)+0.5))</f>
        <v/>
      </c>
    </row>
    <row r="799">
      <c r="DA799" t="n">
        <v>795</v>
      </c>
      <c r="DB799">
        <f>IF($B$37=0,"",IFERROR(TRIM(SUBSTITUTE(SUBSTITUTE(SUBSTITUTE(SUBSTITUTE(INDEX(PASTE_ALL,795,$B$37)," "," "),CHAR(9)," "),CHAR(10)," "),CHAR(13)," ")),""))</f>
        <v/>
      </c>
      <c r="DC799">
        <f>IF(AND(795&gt;HEADER_ROW,UPPER(DB799)="LEGEND"),1,0)</f>
        <v/>
      </c>
      <c r="DE799" t="n">
        <v>795</v>
      </c>
      <c r="DF799">
        <f>HEADER_ROW+$DE799</f>
        <v/>
      </c>
      <c r="DG799">
        <f>IF(AND($DF799&lt;=1000,$DF799&lt;$B$8),1,0)</f>
        <v/>
      </c>
      <c r="DH799">
        <f>IF($DG799=1,IFERROR(INDEX($DB$5:$DB$1004,$DF799),""),"")</f>
        <v/>
      </c>
      <c r="DI799">
        <f>IF(AND($DG799=1,$DH799&lt;&gt;""),IFERROR(SUBSTITUTE(SUBSTITUTE(TRIM(SUBSTITUTE(SUBSTITUTE(SUBSTITUTE(SUBSTITUTE(IFERROR(INDEX(PASTE_ALL,$DF799,1)&amp;"","")&amp;"␟"&amp;IFERROR(INDEX(PASTE_ALL,$DF799,2)&amp;"","")&amp;"␟"&amp;IFERROR(INDEX(PASTE_ALL,$DF799,3)&amp;"","")&amp;"␟"&amp;IFERROR(INDEX(PASTE_ALL,$DF799,4)&amp;"","")&amp;"␟"&amp;IFERROR(INDEX(PASTE_ALL,$DF799,5)&amp;"","")&amp;"␟"&amp;IFERROR(INDEX(PASTE_ALL,$DF799,6)&amp;"","")&amp;"␟"&amp;IFERROR(INDEX(PASTE_ALL,$DF799,7)&amp;"","")&amp;"␟"&amp;IFERROR(INDEX(PASTE_ALL,$DF799,8)&amp;"","")&amp;"␟"&amp;IFERROR(INDEX(PASTE_ALL,$DF799,9)&amp;"","")&amp;"␟"&amp;IFERROR(INDEX(PASTE_ALL,$DF799,10)&amp;"","")&amp;"␟"&amp;IFERROR(INDEX(PASTE_ALL,$DF799,11)&amp;"","")&amp;"␟"&amp;IFERROR(INDEX(PASTE_ALL,$DF799,12)&amp;"","")&amp;"␟"&amp;IFERROR(INDEX(PASTE_ALL,$DF799,13)&amp;"","")&amp;"␟"&amp;IFERROR(INDEX(PASTE_ALL,$DF799,14)&amp;"","")&amp;"␟"&amp;IFERROR(INDEX(PASTE_ALL,$DF799,15)&amp;"","")&amp;"␟"&amp;IFERROR(INDEX(PASTE_ALL,$DF799,16)&amp;"","")&amp;"␟"&amp;IFERROR(INDEX(PASTE_ALL,$DF799,17)&amp;"","")&amp;"␟"&amp;IFERROR(INDEX(PASTE_ALL,$DF799,18)&amp;"","")&amp;"␟"&amp;IFERROR(INDEX(PASTE_ALL,$DF799,19)&amp;"","")&amp;"␟"&amp;IFERROR(INDEX(PASTE_ALL,$DF799,20)&amp;"","")&amp;"␟"&amp;IFERROR(INDEX(PASTE_ALL,$DF799,21)&amp;"","")&amp;"␟"&amp;IFERROR(INDEX(PASTE_ALL,$DF799,22)&amp;"","")&amp;"␟"&amp;IFERROR(INDEX(PASTE_ALL,$DF799,23)&amp;"","")&amp;"␟"&amp;IFERROR(INDEX(PASTE_ALL,$DF799,24)&amp;"","")&amp;"␟"&amp;IFERROR(INDEX(PASTE_ALL,$DF799,25)&amp;"","")&amp;"␟"&amp;IFERROR(INDEX(PASTE_ALL,$DF799,26)&amp;"","")&amp;"␟"&amp;IFERROR(INDEX(PASTE_ALL,$DF799,27)&amp;"","")&amp;"␟"&amp;IFERROR(INDEX(PASTE_ALL,$DF799,28)&amp;"","")&amp;"␟"&amp;IFERROR(INDEX(PASTE_ALL,$DF799,29)&amp;"","")&amp;"␟"&amp;IFERROR(INDEX(PASTE_ALL,$DF799,30)&amp;"","")&amp;"␟"&amp;IFERROR(INDEX(PASTE_ALL,$DF799,31)&amp;"","")&amp;"␟"&amp;IFERROR(INDEX(PASTE_ALL,$DF799,32)&amp;"","")&amp;"␟"&amp;IFERROR(INDEX(PASTE_ALL,$DF799,33)&amp;"","")&amp;"␟"&amp;IFERROR(INDEX(PASTE_ALL,$DF799,34)&amp;"","")&amp;"␟"&amp;IFERROR(INDEX(PASTE_ALL,$DF799,35)&amp;"","")&amp;"␟"&amp;IFERROR(INDEX(PASTE_ALL,$DF799,36)&amp;"","")&amp;"␟"&amp;IFERROR(INDEX(PASTE_ALL,$DF799,37)&amp;"","")&amp;"␟"&amp;IFERROR(INDEX(PASTE_ALL,$DF799,38)&amp;"","")&amp;"␟"&amp;IFERROR(INDEX(PASTE_ALL,$DF799,39)&amp;"","")&amp;"␟"&amp;IFERROR(INDEX(PASTE_ALL,$DF799,40)&amp;"","")&amp;"␟"&amp;IFERROR(INDEX(PASTE_ALL,$DF799,41)&amp;"","")&amp;"␟"&amp;IFERROR(INDEX(PASTE_ALL,$DF799,42)&amp;"","")&amp;"␟"&amp;IFERROR(INDEX(PASTE_ALL,$DF799,43)&amp;"","")&amp;"␟"&amp;IFERROR(INDEX(PASTE_ALL,$DF799,44)&amp;"","")&amp;"␟"&amp;IFERROR(INDEX(PASTE_ALL,$DF799,45)&amp;"","")&amp;"␟"&amp;IFERROR(INDEX(PASTE_ALL,$DF799,46)&amp;"","")&amp;"␟"&amp;IFERROR(INDEX(PASTE_ALL,$DF799,47)&amp;"","")&amp;"␟"&amp;IFERROR(INDEX(PASTE_ALL,$DF799,48)&amp;"","")&amp;"␟"&amp;IFERROR(INDEX(PASTE_ALL,$DF799,49)&amp;"","")&amp;"␟"&amp;IFERROR(INDEX(PASTE_ALL,$DF799,50)&amp;"","")&amp;"␟"&amp;IFERROR(INDEX(PASTE_ALL,$DF799,51)&amp;"","")&amp;"␟"&amp;IFERROR(INDEX(PASTE_ALL,$DF799,52)&amp;"","")&amp;"␟"&amp;IFERROR(INDEX(PASTE_ALL,$DF799,53)&amp;"","")&amp;"␟"&amp;IFERROR(INDEX(PASTE_ALL,$DF799,54)&amp;"","")&amp;"␟"&amp;IFERROR(INDEX(PASTE_ALL,$DF799,55)&amp;"","")&amp;"␟"&amp;IFERROR(INDEX(PASTE_ALL,$DF799,56)&amp;"","")&amp;"␟"&amp;IFERROR(INDEX(PASTE_ALL,$DF799,57)&amp;"","")&amp;"␟"&amp;IFERROR(INDEX(PASTE_ALL,$DF799,58)&amp;"","")&amp;"␟"&amp;IFERROR(INDEX(PASTE_ALL,$DF799,59)&amp;"","")&amp;"␟"&amp;IFERROR(INDEX(PASTE_ALL,$DF799,60)&amp;"","")," "," "),CHAR(9)," "),CHAR(10)," "),CHAR(13)," "))," ␟","␟"),"␟ ","␟"),"#"&amp;$DE799),"")</f>
        <v/>
      </c>
      <c r="DJ799">
        <f>IF($DI799="",0,IF(SUMPRODUCT(--EXACT($DI$4:DI798,$DI799))&gt;0,1,0))</f>
        <v/>
      </c>
      <c r="DK799">
        <f>IF(AND($DI799&lt;&gt;"",$DJ799=0),1,0)</f>
        <v/>
      </c>
      <c r="DL799">
        <f>DL798+$DK799</f>
        <v/>
      </c>
      <c r="DM799">
        <f>IF(AND($DK799=1,$DL799&lt;=600),1,0)</f>
        <v/>
      </c>
      <c r="DN799">
        <f>IF($DM799=0,"",IF($L$6=0,"",IFERROR(IF(ISNUMBER(INDEX(PASTE_ALL,$DF799,$L$6)),INDEX(PASTE_ALL,$DF799,$L$6),TRIM(SUBSTITUTE(SUBSTITUTE(SUBSTITUTE(SUBSTITUTE(INDEX(PASTE_ALL,$DF799,$L$6)," "," "),CHAR(9)," "),CHAR(10)," "),CHAR(13)," "))),"")))</f>
        <v/>
      </c>
      <c r="DO799">
        <f>IF($DM799=0,"",IF($L$7=0,"",IFERROR(IF(ISNUMBER(INDEX(PASTE_ALL,$DF799,$L$7)),INDEX(PASTE_ALL,$DF799,$L$7),TRIM(SUBSTITUTE(SUBSTITUTE(SUBSTITUTE(SUBSTITUTE(INDEX(PASTE_ALL,$DF799,$L$7)," "," "),CHAR(9)," "),CHAR(10)," "),CHAR(13)," "))),"")))</f>
        <v/>
      </c>
      <c r="DP799">
        <f>IF($DM799=0,"",IF($L$8=0,"",IFERROR(IF(ISNUMBER(INDEX(PASTE_ALL,$DF799,$L$8)),INDEX(PASTE_ALL,$DF799,$L$8),TRIM(SUBSTITUTE(SUBSTITUTE(SUBSTITUTE(SUBSTITUTE(INDEX(PASTE_ALL,$DF799,$L$8)," "," "),CHAR(9)," "),CHAR(10)," "),CHAR(13)," "))),"")))</f>
        <v/>
      </c>
      <c r="DQ799">
        <f>IF($DM799=0,"",IF($L$9=0,"",IFERROR(IF(ISNUMBER(INDEX(PASTE_ALL,$DF799,$L$9)),INDEX(PASTE_ALL,$DF799,$L$9),TRIM(SUBSTITUTE(SUBSTITUTE(SUBSTITUTE(SUBSTITUTE(INDEX(PASTE_ALL,$DF799,$L$9)," "," "),CHAR(9)," "),CHAR(10)," "),CHAR(13)," "))),"")))</f>
        <v/>
      </c>
      <c r="DR799">
        <f>IF($DM799=0,"",IF($L$10=0,"",IFERROR(IF(ISNUMBER(INDEX(PASTE_ALL,$DF799,$L$10)),INDEX(PASTE_ALL,$DF799,$L$10),TRIM(SUBSTITUTE(SUBSTITUTE(SUBSTITUTE(SUBSTITUTE(INDEX(PASTE_ALL,$DF799,$L$10)," "," "),CHAR(9)," "),CHAR(10)," "),CHAR(13)," "))),"")))</f>
        <v/>
      </c>
      <c r="DS799">
        <f>IF($DM799=0,"",IF($L$11=0,"",IFERROR(IF(ISNUMBER(INDEX(PASTE_ALL,$DF799,$L$11)),INDEX(PASTE_ALL,$DF799,$L$11),TRIM(SUBSTITUTE(SUBSTITUTE(SUBSTITUTE(SUBSTITUTE(INDEX(PASTE_ALL,$DF799,$L$11)," "," "),CHAR(9)," "),CHAR(10)," "),CHAR(13)," "))),"")))</f>
        <v/>
      </c>
      <c r="DT799">
        <f>IF($DM799=0,"",IF($L$12=0,"",IFERROR(IF(ISNUMBER(INDEX(PASTE_ALL,$DF799,$L$12)),INDEX(PASTE_ALL,$DF799,$L$12),TRIM(SUBSTITUTE(SUBSTITUTE(SUBSTITUTE(SUBSTITUTE(INDEX(PASTE_ALL,$DF799,$L$12)," "," "),CHAR(9)," "),CHAR(10)," "),CHAR(13)," "))),"")))</f>
        <v/>
      </c>
      <c r="DU799">
        <f>IF($DM799=0,"",IF($L$13=0,"",IFERROR(IF(ISNUMBER(INDEX(PASTE_ALL,$DF799,$L$13)),INDEX(PASTE_ALL,$DF799,$L$13),TRIM(SUBSTITUTE(SUBSTITUTE(SUBSTITUTE(SUBSTITUTE(INDEX(PASTE_ALL,$DF799,$L$13)," "," "),CHAR(9)," "),CHAR(10)," "),CHAR(13)," "))),"")))</f>
        <v/>
      </c>
      <c r="DV799">
        <f>IF($DM799=0,"",IF($L$14=0,"",IFERROR(IF(ISNUMBER(INDEX(PASTE_ALL,$DF799,$L$14)),INDEX(PASTE_ALL,$DF799,$L$14),TRIM(SUBSTITUTE(SUBSTITUTE(SUBSTITUTE(SUBSTITUTE(INDEX(PASTE_ALL,$DF799,$L$14)," "," "),CHAR(9)," "),CHAR(10)," "),CHAR(13)," "))),"")))</f>
        <v/>
      </c>
      <c r="DW799">
        <f>IF($DM799=0,"",IF($L$15=0,"",IFERROR(IF(ISNUMBER(INDEX(PASTE_ALL,$DF799,$L$15)),INDEX(PASTE_ALL,$DF799,$L$15),IF(SUMPRODUCT(--ISNUMBER(FIND({"A","B","C","D","E","F","G","H","I","J","K","L","M","N","O","P","Q","R","S","T","U","V","W","X","Y","Z","0","1","2","3","4","5","6","7","8","9"},UPPER(TRIM(SUBSTITUTE(SUBSTITUTE(SUBSTITUTE(SUBSTITUTE(INDEX(PASTE_ALL,$DF799,$L$15)," "," "),CHAR(9)," "),CHAR(10)," "),CHAR(13)," "))))))&gt;0,TRIM(SUBSTITUTE(SUBSTITUTE(SUBSTITUTE(SUBSTITUTE(INDEX(PASTE_ALL,$DF799,$L$15)," "," "),CHAR(9)," "),CHAR(10)," "),CHAR(13)," ")),"")),"")))</f>
        <v/>
      </c>
      <c r="DX799">
        <f>IF($DM799=0,"",IF($L$16=0,"",IFERROR(IF(ISNUMBER(INDEX(PASTE_ALL,$DF799,$L$16)),INDEX(PASTE_ALL,$DF799,$L$16),SUBSTITUTE(SUBSTITUTE(TRIM(SUBSTITUTE(SUBSTITUTE(SUBSTITUTE(SUBSTITUTE(INDEX(PASTE_ALL,$DF799,$L$16)," "," "),CHAR(9)," "),CHAR(10)," "),CHAR(13)," ")),",",""),"%","")),"")))</f>
        <v/>
      </c>
      <c r="DY799">
        <f>IF($DM799=0,"",IFERROR(IF(ISNUMBER($DX799),$DX799,IF($DX799="","",IF(TRIM($DX799)="",0,IF(AND(AND(SUBSTITUTE(SUBSTITUTE(SUBSTITUTE(SUBSTITUTE(SUBSTITUTE(SUBSTITUTE(SUBSTITUTE(SUBSTITUTE(SUBSTITUTE(SUBSTITUTE(SUBSTITUTE(SUBSTITUTE(SUBSTITUTE(SUBSTITUTE(UPPER(TRIM($DX799)),"0",""),"1",""),"2",""),"3",""),"4",""),"5",""),"6",""),"7",""),"8",""),"9",""),".",""),"+",""),"-",""),"E","")="",LEN(SUBSTITUTE(SUBSTITUTE(MID(UPPER(TRIM($DX799)),1+OR(LEFT(UPPER(TRIM($DX799)),1)="+",LEFT(UPPER(TRIM($DX799)),1)="-"),999),"E+","E"),"E-","E"))=LEN(SUBSTITUTE(SUBSTITUTE(SUBSTITUTE(SUBSTITUTE(MID(UPPER(TRIM($DX799)),1+OR(LEFT(UPPER(TRIM($DX799)),1)="+",LEFT(UPPER(TRIM($DX799)),1)="-"),999),"E+","E"),"E-","E"),"+",""),"-","")),LEN(UPPER(TRIM($DX799)))-LEN(SUBSTITUTE(UPPER(TRIM($DX799)),"E",""))&lt;2,LEN(UPPER(TRIM($DX799)))-LEN(SUBSTITUTE(UPPER(TRIM($DX799)),".",""))&lt;2,IFERROR(FIND(".",UPPER(TRIM($DX799))),0)&lt;IFERROR(FIND("E",UPPER(TRIM($DX799))),999)),ISNUMBER(VALUE(TRIM($DX799)))),VALUE(TRIM($DX799)),"")))),""))</f>
        <v/>
      </c>
      <c r="DZ799">
        <f>IF($DM799=0,"",IF($L$17=0,"",IFERROR(IF(ISNUMBER(INDEX(PASTE_ALL,$DF799,$L$17)),INDEX(PASTE_ALL,$DF799,$L$17),SUBSTITUTE(SUBSTITUTE(TRIM(SUBSTITUTE(SUBSTITUTE(SUBSTITUTE(SUBSTITUTE(INDEX(PASTE_ALL,$DF799,$L$17)," "," "),CHAR(9)," "),CHAR(10)," "),CHAR(13)," ")),",",""),"%","")),"")))</f>
        <v/>
      </c>
      <c r="EA799">
        <f>IF($DM799=0,"",IFERROR(IF(ISNUMBER($DZ799),$DZ799,IF($DZ799="","",IF(TRIM($DZ799)="",0,IF(AND(AND(SUBSTITUTE(SUBSTITUTE(SUBSTITUTE(SUBSTITUTE(SUBSTITUTE(SUBSTITUTE(SUBSTITUTE(SUBSTITUTE(SUBSTITUTE(SUBSTITUTE(SUBSTITUTE(SUBSTITUTE(SUBSTITUTE(SUBSTITUTE(UPPER(TRIM($DZ799)),"0",""),"1",""),"2",""),"3",""),"4",""),"5",""),"6",""),"7",""),"8",""),"9",""),".",""),"+",""),"-",""),"E","")="",LEN(SUBSTITUTE(SUBSTITUTE(MID(UPPER(TRIM($DZ799)),1+OR(LEFT(UPPER(TRIM($DZ799)),1)="+",LEFT(UPPER(TRIM($DZ799)),1)="-"),999),"E+","E"),"E-","E"))=LEN(SUBSTITUTE(SUBSTITUTE(SUBSTITUTE(SUBSTITUTE(MID(UPPER(TRIM($DZ799)),1+OR(LEFT(UPPER(TRIM($DZ799)),1)="+",LEFT(UPPER(TRIM($DZ799)),1)="-"),999),"E+","E"),"E-","E"),"+",""),"-","")),LEN(UPPER(TRIM($DZ799)))-LEN(SUBSTITUTE(UPPER(TRIM($DZ799)),"E",""))&lt;2,LEN(UPPER(TRIM($DZ799)))-LEN(SUBSTITUTE(UPPER(TRIM($DZ799)),".",""))&lt;2,IFERROR(FIND(".",UPPER(TRIM($DZ799))),0)&lt;IFERROR(FIND("E",UPPER(TRIM($DZ799))),999)),ISNUMBER(VALUE(TRIM($DZ799)))),VALUE(TRIM($DZ799)),"")))),""))</f>
        <v/>
      </c>
      <c r="EB799">
        <f>IF($DM799=0,"",IF($L$18=0,"",IFERROR(IF(UPPER(TRIM(SUBSTITUTE(SUBSTITUTE(SUBSTITUTE(SUBSTITUTE(INDEX(PASTE_ALL,$DF799,$L$18)," "," "),CHAR(9)," "),CHAR(10)," "),CHAR(13)," ")))="READY","Ready",IF(UPPER(TRIM(SUBSTITUTE(SUBSTITUTE(SUBSTITUTE(SUBSTITUTE(INDEX(PASTE_ALL,$DF799,$L$18)," "," "),CHAR(9)," "),CHAR(10)," "),CHAR(13)," ")))="PM","PM",IF(OR(UPPER(TRIM(SUBSTITUTE(SUBSTITUTE(SUBSTITUTE(SUBSTITUTE(INDEX(PASTE_ALL,$DF799,$L$18)," "," "),CHAR(9)," "),CHAR(10)," "),CHAR(13)," ")))="OT",UPPER(TRIM(SUBSTITUTE(SUBSTITUTE(SUBSTITUTE(SUBSTITUTE(INDEX(PASTE_ALL,$DF799,$L$18)," "," "),CHAR(9)," "),CHAR(10)," "),CHAR(13)," ")))="OVERTIME",UPPER(TRIM(SUBSTITUTE(SUBSTITUTE(SUBSTITUTE(SUBSTITUTE(INDEX(PASTE_ALL,$DF799,$L$18)," "," "),CHAR(9)," "),CHAR(10)," "),CHAR(13)," ")))="TRIAL"),"OT",TRIM(SUBSTITUTE(SUBSTITUTE(SUBSTITUTE(SUBSTITUTE(INDEX(PASTE_ALL,$DF799,$L$18)," "," "),CHAR(9)," "),CHAR(10)," "),CHAR(13)," "))))),"")))</f>
        <v/>
      </c>
      <c r="EC799">
        <f>IF($DM799=0,"",IF($L$19=0,"",IFERROR(IF(ISNUMBER(INDEX(PASTE_ALL,$DF799,$L$19)),INDEX(PASTE_ALL,$DF799,$L$19),TRIM(SUBSTITUTE(SUBSTITUTE(SUBSTITUTE(SUBSTITUTE(INDEX(PASTE_ALL,$DF799,$L$19)," "," "),CHAR(9)," "),CHAR(10)," "),CHAR(13)," "))),"")))</f>
        <v/>
      </c>
      <c r="ED799">
        <f>IF($DM799=0,"",MATCH(1,INDEX(EXACT($DH$5:DH799,$DH799)*$DM$5:DM799,0),0))</f>
        <v/>
      </c>
      <c r="EE799">
        <f>IF($DM799=0,0,IF($ED799=$DE799,1,0))</f>
        <v/>
      </c>
      <c r="EF799">
        <f>EF798+$EE799</f>
        <v/>
      </c>
      <c r="EG799">
        <f>IF($DM799=0,"",INDEX($EF$5:$EF$1003,$ED799))</f>
        <v/>
      </c>
      <c r="EH799">
        <f>IF($DM799=0,"",IF($DO799&lt;&gt;"","",IFERROR(LOOKUP(2,1/(($EG$4:EG798=$EG799)*($DO$4:DO798&lt;&gt;"")),$DO$4:DO798),"")))</f>
        <v/>
      </c>
      <c r="EI799">
        <f>IF($DM799=0,"",IF($DO799&lt;&gt;"",$DO799,$EH799))</f>
        <v/>
      </c>
      <c r="EJ799">
        <f>IF($DM799=0,"",IF($EI799="",0,IF(OR(ISNUMBER($EI799),AND(AND(SUBSTITUTE(SUBSTITUTE(SUBSTITUTE(SUBSTITUTE(SUBSTITUTE(SUBSTITUTE(SUBSTITUTE(SUBSTITUTE(SUBSTITUTE(SUBSTITUTE(SUBSTITUTE(SUBSTITUTE(SUBSTITUTE(SUBSTITUTE(UPPER($EI799),"0",""),"1",""),"2",""),"3",""),"4",""),"5",""),"6",""),"7",""),"8",""),"9",""),".",""),"+",""),"-",""),"E","")="",LEN(SUBSTITUTE(SUBSTITUTE(MID(UPPER($EI799),1+OR(LEFT(UPPER($EI799),1)="+",LEFT(UPPER($EI799),1)="-"),999),"E+","E"),"E-","E"))=LEN(SUBSTITUTE(SUBSTITUTE(SUBSTITUTE(SUBSTITUTE(MID(UPPER($EI799),1+OR(LEFT(UPPER($EI799),1)="+",LEFT(UPPER($EI799),1)="-"),999),"E+","E"),"E-","E"),"+",""),"-","")),LEN(UPPER($EI799))-LEN(SUBSTITUTE(UPPER($EI799),"E",""))&lt;2,LEN(UPPER($EI799))-LEN(SUBSTITUTE(UPPER($EI799),".",""))&lt;2,IFERROR(FIND(".",UPPER($EI799)),0)&lt;IFERROR(FIND("E",UPPER($EI799)),999)),ISNUMBER(VALUE($EI799)))),1,2)))</f>
        <v/>
      </c>
      <c r="EK799">
        <f>IF($DM799=0,"",IF($EJ799=1,IF(ISNUMBER($EI799),$EI799,VALUE($EI799)),IF($EJ799=2,$DE799,0)))</f>
        <v/>
      </c>
      <c r="EL799">
        <f>IF($DM799=0,"",COUNTIF($EG$5:$EG$1003,"&lt;"&amp;$EG799)+SUMPRODUCT(($EG$5:$EG$1003=$EG799)*(($EJ$5:$EJ$1003&lt;$EJ799)+($EJ$5:$EJ$1003=$EJ799)*(($EK$5:$EK$1003&lt;$EK799)+($EK$5:$EK$1003=$EK799)*($DE$5:$DE$1003&lt;$DE799))))+1)</f>
        <v/>
      </c>
      <c r="EM799">
        <f>IF($DM799=0,"",$EL799+$EG799-1)</f>
        <v/>
      </c>
      <c r="EN799">
        <f>IF($DM799=0,0,IFERROR(MATCH(1,INDEX(--(TRIM(SUBSTITUTE(SUBSTITUTE(SUBSTITUTE(SUBSTITUTE(LINES_NAME&amp;""," "," "),CHAR(9)," "),CHAR(10)," "),CHAR(13)," "))=$DH799),0),0),0))</f>
        <v/>
      </c>
      <c r="EO799">
        <f>IF($EN799=0,0,IF(OR(UPPER(TRIM(INDEX(LINES_SCHEDULED,$EN799)&amp;""))="YES",UPPER(TRIM(INDEX(LINES_SCHEDULED,$EN799)&amp;""))="Y",UPPER(TRIM(INDEX(LINES_SCHEDULED,$EN799)&amp;""))="X"),1,0))</f>
        <v/>
      </c>
      <c r="EP799">
        <f>IF($DM799=0,"",IF(COUNTIFS($EG$5:$EG$1003,$EG799,$EB$5:$EB$1003,"Ready")&gt;0,"READY",IF(COUNTIFS($EG$5:$EG$1003,$EG799,$EB$5:$EB$1003,"PM")&gt;0,"PM",IF(COUNTIFS($EG$5:$EG$1003,$EG799,$EB$5:$EB$1003,"OT")&gt;0,"OT",""))))</f>
        <v/>
      </c>
      <c r="EQ799">
        <f>IF($EN799=0,"",UPPER(TRIM(INDEX(LINES_STATUS,$EN799)&amp;"")))</f>
        <v/>
      </c>
      <c r="ER799">
        <f>IF($DM799=0,"",IF(OR($EQ799="READY",$EQ799="PM",$EQ799="OT"),$EQ799,$EP799))</f>
        <v/>
      </c>
      <c r="ES799">
        <f>IF($DM799=0,"",IF(AND($DV799&lt;&gt;"",UPPER($DV799)&lt;&gt;"N"),"allergen",IF(ISNUMBER(SEARCH("oil",$DQ799)),"oil",IF(OR(EXACT($DS799,"A662"),EXACT($DS799,"A624")),"bulk",""))))</f>
        <v/>
      </c>
      <c r="ET799">
        <f>IF($DM799=0,"",IF(OR($EA799="",$EA799=0),"",$EA799/100))</f>
        <v/>
      </c>
      <c r="EU799">
        <f>IF(OR($ET799="",$DY799=""),"",INT($DY799*(1-$ET799)+0.5))</f>
        <v/>
      </c>
    </row>
    <row r="800">
      <c r="DA800" t="n">
        <v>796</v>
      </c>
      <c r="DB800">
        <f>IF($B$37=0,"",IFERROR(TRIM(SUBSTITUTE(SUBSTITUTE(SUBSTITUTE(SUBSTITUTE(INDEX(PASTE_ALL,796,$B$37)," "," "),CHAR(9)," "),CHAR(10)," "),CHAR(13)," ")),""))</f>
        <v/>
      </c>
      <c r="DC800">
        <f>IF(AND(796&gt;HEADER_ROW,UPPER(DB800)="LEGEND"),1,0)</f>
        <v/>
      </c>
      <c r="DE800" t="n">
        <v>796</v>
      </c>
      <c r="DF800">
        <f>HEADER_ROW+$DE800</f>
        <v/>
      </c>
      <c r="DG800">
        <f>IF(AND($DF800&lt;=1000,$DF800&lt;$B$8),1,0)</f>
        <v/>
      </c>
      <c r="DH800">
        <f>IF($DG800=1,IFERROR(INDEX($DB$5:$DB$1004,$DF800),""),"")</f>
        <v/>
      </c>
      <c r="DI800">
        <f>IF(AND($DG800=1,$DH800&lt;&gt;""),IFERROR(SUBSTITUTE(SUBSTITUTE(TRIM(SUBSTITUTE(SUBSTITUTE(SUBSTITUTE(SUBSTITUTE(IFERROR(INDEX(PASTE_ALL,$DF800,1)&amp;"","")&amp;"␟"&amp;IFERROR(INDEX(PASTE_ALL,$DF800,2)&amp;"","")&amp;"␟"&amp;IFERROR(INDEX(PASTE_ALL,$DF800,3)&amp;"","")&amp;"␟"&amp;IFERROR(INDEX(PASTE_ALL,$DF800,4)&amp;"","")&amp;"␟"&amp;IFERROR(INDEX(PASTE_ALL,$DF800,5)&amp;"","")&amp;"␟"&amp;IFERROR(INDEX(PASTE_ALL,$DF800,6)&amp;"","")&amp;"␟"&amp;IFERROR(INDEX(PASTE_ALL,$DF800,7)&amp;"","")&amp;"␟"&amp;IFERROR(INDEX(PASTE_ALL,$DF800,8)&amp;"","")&amp;"␟"&amp;IFERROR(INDEX(PASTE_ALL,$DF800,9)&amp;"","")&amp;"␟"&amp;IFERROR(INDEX(PASTE_ALL,$DF800,10)&amp;"","")&amp;"␟"&amp;IFERROR(INDEX(PASTE_ALL,$DF800,11)&amp;"","")&amp;"␟"&amp;IFERROR(INDEX(PASTE_ALL,$DF800,12)&amp;"","")&amp;"␟"&amp;IFERROR(INDEX(PASTE_ALL,$DF800,13)&amp;"","")&amp;"␟"&amp;IFERROR(INDEX(PASTE_ALL,$DF800,14)&amp;"","")&amp;"␟"&amp;IFERROR(INDEX(PASTE_ALL,$DF800,15)&amp;"","")&amp;"␟"&amp;IFERROR(INDEX(PASTE_ALL,$DF800,16)&amp;"","")&amp;"␟"&amp;IFERROR(INDEX(PASTE_ALL,$DF800,17)&amp;"","")&amp;"␟"&amp;IFERROR(INDEX(PASTE_ALL,$DF800,18)&amp;"","")&amp;"␟"&amp;IFERROR(INDEX(PASTE_ALL,$DF800,19)&amp;"","")&amp;"␟"&amp;IFERROR(INDEX(PASTE_ALL,$DF800,20)&amp;"","")&amp;"␟"&amp;IFERROR(INDEX(PASTE_ALL,$DF800,21)&amp;"","")&amp;"␟"&amp;IFERROR(INDEX(PASTE_ALL,$DF800,22)&amp;"","")&amp;"␟"&amp;IFERROR(INDEX(PASTE_ALL,$DF800,23)&amp;"","")&amp;"␟"&amp;IFERROR(INDEX(PASTE_ALL,$DF800,24)&amp;"","")&amp;"␟"&amp;IFERROR(INDEX(PASTE_ALL,$DF800,25)&amp;"","")&amp;"␟"&amp;IFERROR(INDEX(PASTE_ALL,$DF800,26)&amp;"","")&amp;"␟"&amp;IFERROR(INDEX(PASTE_ALL,$DF800,27)&amp;"","")&amp;"␟"&amp;IFERROR(INDEX(PASTE_ALL,$DF800,28)&amp;"","")&amp;"␟"&amp;IFERROR(INDEX(PASTE_ALL,$DF800,29)&amp;"","")&amp;"␟"&amp;IFERROR(INDEX(PASTE_ALL,$DF800,30)&amp;"","")&amp;"␟"&amp;IFERROR(INDEX(PASTE_ALL,$DF800,31)&amp;"","")&amp;"␟"&amp;IFERROR(INDEX(PASTE_ALL,$DF800,32)&amp;"","")&amp;"␟"&amp;IFERROR(INDEX(PASTE_ALL,$DF800,33)&amp;"","")&amp;"␟"&amp;IFERROR(INDEX(PASTE_ALL,$DF800,34)&amp;"","")&amp;"␟"&amp;IFERROR(INDEX(PASTE_ALL,$DF800,35)&amp;"","")&amp;"␟"&amp;IFERROR(INDEX(PASTE_ALL,$DF800,36)&amp;"","")&amp;"␟"&amp;IFERROR(INDEX(PASTE_ALL,$DF800,37)&amp;"","")&amp;"␟"&amp;IFERROR(INDEX(PASTE_ALL,$DF800,38)&amp;"","")&amp;"␟"&amp;IFERROR(INDEX(PASTE_ALL,$DF800,39)&amp;"","")&amp;"␟"&amp;IFERROR(INDEX(PASTE_ALL,$DF800,40)&amp;"","")&amp;"␟"&amp;IFERROR(INDEX(PASTE_ALL,$DF800,41)&amp;"","")&amp;"␟"&amp;IFERROR(INDEX(PASTE_ALL,$DF800,42)&amp;"","")&amp;"␟"&amp;IFERROR(INDEX(PASTE_ALL,$DF800,43)&amp;"","")&amp;"␟"&amp;IFERROR(INDEX(PASTE_ALL,$DF800,44)&amp;"","")&amp;"␟"&amp;IFERROR(INDEX(PASTE_ALL,$DF800,45)&amp;"","")&amp;"␟"&amp;IFERROR(INDEX(PASTE_ALL,$DF800,46)&amp;"","")&amp;"␟"&amp;IFERROR(INDEX(PASTE_ALL,$DF800,47)&amp;"","")&amp;"␟"&amp;IFERROR(INDEX(PASTE_ALL,$DF800,48)&amp;"","")&amp;"␟"&amp;IFERROR(INDEX(PASTE_ALL,$DF800,49)&amp;"","")&amp;"␟"&amp;IFERROR(INDEX(PASTE_ALL,$DF800,50)&amp;"","")&amp;"␟"&amp;IFERROR(INDEX(PASTE_ALL,$DF800,51)&amp;"","")&amp;"␟"&amp;IFERROR(INDEX(PASTE_ALL,$DF800,52)&amp;"","")&amp;"␟"&amp;IFERROR(INDEX(PASTE_ALL,$DF800,53)&amp;"","")&amp;"␟"&amp;IFERROR(INDEX(PASTE_ALL,$DF800,54)&amp;"","")&amp;"␟"&amp;IFERROR(INDEX(PASTE_ALL,$DF800,55)&amp;"","")&amp;"␟"&amp;IFERROR(INDEX(PASTE_ALL,$DF800,56)&amp;"","")&amp;"␟"&amp;IFERROR(INDEX(PASTE_ALL,$DF800,57)&amp;"","")&amp;"␟"&amp;IFERROR(INDEX(PASTE_ALL,$DF800,58)&amp;"","")&amp;"␟"&amp;IFERROR(INDEX(PASTE_ALL,$DF800,59)&amp;"","")&amp;"␟"&amp;IFERROR(INDEX(PASTE_ALL,$DF800,60)&amp;"","")," "," "),CHAR(9)," "),CHAR(10)," "),CHAR(13)," "))," ␟","␟"),"␟ ","␟"),"#"&amp;$DE800),"")</f>
        <v/>
      </c>
      <c r="DJ800">
        <f>IF($DI800="",0,IF(SUMPRODUCT(--EXACT($DI$4:DI799,$DI800))&gt;0,1,0))</f>
        <v/>
      </c>
      <c r="DK800">
        <f>IF(AND($DI800&lt;&gt;"",$DJ800=0),1,0)</f>
        <v/>
      </c>
      <c r="DL800">
        <f>DL799+$DK800</f>
        <v/>
      </c>
      <c r="DM800">
        <f>IF(AND($DK800=1,$DL800&lt;=600),1,0)</f>
        <v/>
      </c>
      <c r="DN800">
        <f>IF($DM800=0,"",IF($L$6=0,"",IFERROR(IF(ISNUMBER(INDEX(PASTE_ALL,$DF800,$L$6)),INDEX(PASTE_ALL,$DF800,$L$6),TRIM(SUBSTITUTE(SUBSTITUTE(SUBSTITUTE(SUBSTITUTE(INDEX(PASTE_ALL,$DF800,$L$6)," "," "),CHAR(9)," "),CHAR(10)," "),CHAR(13)," "))),"")))</f>
        <v/>
      </c>
      <c r="DO800">
        <f>IF($DM800=0,"",IF($L$7=0,"",IFERROR(IF(ISNUMBER(INDEX(PASTE_ALL,$DF800,$L$7)),INDEX(PASTE_ALL,$DF800,$L$7),TRIM(SUBSTITUTE(SUBSTITUTE(SUBSTITUTE(SUBSTITUTE(INDEX(PASTE_ALL,$DF800,$L$7)," "," "),CHAR(9)," "),CHAR(10)," "),CHAR(13)," "))),"")))</f>
        <v/>
      </c>
      <c r="DP800">
        <f>IF($DM800=0,"",IF($L$8=0,"",IFERROR(IF(ISNUMBER(INDEX(PASTE_ALL,$DF800,$L$8)),INDEX(PASTE_ALL,$DF800,$L$8),TRIM(SUBSTITUTE(SUBSTITUTE(SUBSTITUTE(SUBSTITUTE(INDEX(PASTE_ALL,$DF800,$L$8)," "," "),CHAR(9)," "),CHAR(10)," "),CHAR(13)," "))),"")))</f>
        <v/>
      </c>
      <c r="DQ800">
        <f>IF($DM800=0,"",IF($L$9=0,"",IFERROR(IF(ISNUMBER(INDEX(PASTE_ALL,$DF800,$L$9)),INDEX(PASTE_ALL,$DF800,$L$9),TRIM(SUBSTITUTE(SUBSTITUTE(SUBSTITUTE(SUBSTITUTE(INDEX(PASTE_ALL,$DF800,$L$9)," "," "),CHAR(9)," "),CHAR(10)," "),CHAR(13)," "))),"")))</f>
        <v/>
      </c>
      <c r="DR800">
        <f>IF($DM800=0,"",IF($L$10=0,"",IFERROR(IF(ISNUMBER(INDEX(PASTE_ALL,$DF800,$L$10)),INDEX(PASTE_ALL,$DF800,$L$10),TRIM(SUBSTITUTE(SUBSTITUTE(SUBSTITUTE(SUBSTITUTE(INDEX(PASTE_ALL,$DF800,$L$10)," "," "),CHAR(9)," "),CHAR(10)," "),CHAR(13)," "))),"")))</f>
        <v/>
      </c>
      <c r="DS800">
        <f>IF($DM800=0,"",IF($L$11=0,"",IFERROR(IF(ISNUMBER(INDEX(PASTE_ALL,$DF800,$L$11)),INDEX(PASTE_ALL,$DF800,$L$11),TRIM(SUBSTITUTE(SUBSTITUTE(SUBSTITUTE(SUBSTITUTE(INDEX(PASTE_ALL,$DF800,$L$11)," "," "),CHAR(9)," "),CHAR(10)," "),CHAR(13)," "))),"")))</f>
        <v/>
      </c>
      <c r="DT800">
        <f>IF($DM800=0,"",IF($L$12=0,"",IFERROR(IF(ISNUMBER(INDEX(PASTE_ALL,$DF800,$L$12)),INDEX(PASTE_ALL,$DF800,$L$12),TRIM(SUBSTITUTE(SUBSTITUTE(SUBSTITUTE(SUBSTITUTE(INDEX(PASTE_ALL,$DF800,$L$12)," "," "),CHAR(9)," "),CHAR(10)," "),CHAR(13)," "))),"")))</f>
        <v/>
      </c>
      <c r="DU800">
        <f>IF($DM800=0,"",IF($L$13=0,"",IFERROR(IF(ISNUMBER(INDEX(PASTE_ALL,$DF800,$L$13)),INDEX(PASTE_ALL,$DF800,$L$13),TRIM(SUBSTITUTE(SUBSTITUTE(SUBSTITUTE(SUBSTITUTE(INDEX(PASTE_ALL,$DF800,$L$13)," "," "),CHAR(9)," "),CHAR(10)," "),CHAR(13)," "))),"")))</f>
        <v/>
      </c>
      <c r="DV800">
        <f>IF($DM800=0,"",IF($L$14=0,"",IFERROR(IF(ISNUMBER(INDEX(PASTE_ALL,$DF800,$L$14)),INDEX(PASTE_ALL,$DF800,$L$14),TRIM(SUBSTITUTE(SUBSTITUTE(SUBSTITUTE(SUBSTITUTE(INDEX(PASTE_ALL,$DF800,$L$14)," "," "),CHAR(9)," "),CHAR(10)," "),CHAR(13)," "))),"")))</f>
        <v/>
      </c>
      <c r="DW800">
        <f>IF($DM800=0,"",IF($L$15=0,"",IFERROR(IF(ISNUMBER(INDEX(PASTE_ALL,$DF800,$L$15)),INDEX(PASTE_ALL,$DF800,$L$15),IF(SUMPRODUCT(--ISNUMBER(FIND({"A","B","C","D","E","F","G","H","I","J","K","L","M","N","O","P","Q","R","S","T","U","V","W","X","Y","Z","0","1","2","3","4","5","6","7","8","9"},UPPER(TRIM(SUBSTITUTE(SUBSTITUTE(SUBSTITUTE(SUBSTITUTE(INDEX(PASTE_ALL,$DF800,$L$15)," "," "),CHAR(9)," "),CHAR(10)," "),CHAR(13)," "))))))&gt;0,TRIM(SUBSTITUTE(SUBSTITUTE(SUBSTITUTE(SUBSTITUTE(INDEX(PASTE_ALL,$DF800,$L$15)," "," "),CHAR(9)," "),CHAR(10)," "),CHAR(13)," ")),"")),"")))</f>
        <v/>
      </c>
      <c r="DX800">
        <f>IF($DM800=0,"",IF($L$16=0,"",IFERROR(IF(ISNUMBER(INDEX(PASTE_ALL,$DF800,$L$16)),INDEX(PASTE_ALL,$DF800,$L$16),SUBSTITUTE(SUBSTITUTE(TRIM(SUBSTITUTE(SUBSTITUTE(SUBSTITUTE(SUBSTITUTE(INDEX(PASTE_ALL,$DF800,$L$16)," "," "),CHAR(9)," "),CHAR(10)," "),CHAR(13)," ")),",",""),"%","")),"")))</f>
        <v/>
      </c>
      <c r="DY800">
        <f>IF($DM800=0,"",IFERROR(IF(ISNUMBER($DX800),$DX800,IF($DX800="","",IF(TRIM($DX800)="",0,IF(AND(AND(SUBSTITUTE(SUBSTITUTE(SUBSTITUTE(SUBSTITUTE(SUBSTITUTE(SUBSTITUTE(SUBSTITUTE(SUBSTITUTE(SUBSTITUTE(SUBSTITUTE(SUBSTITUTE(SUBSTITUTE(SUBSTITUTE(SUBSTITUTE(UPPER(TRIM($DX800)),"0",""),"1",""),"2",""),"3",""),"4",""),"5",""),"6",""),"7",""),"8",""),"9",""),".",""),"+",""),"-",""),"E","")="",LEN(SUBSTITUTE(SUBSTITUTE(MID(UPPER(TRIM($DX800)),1+OR(LEFT(UPPER(TRIM($DX800)),1)="+",LEFT(UPPER(TRIM($DX800)),1)="-"),999),"E+","E"),"E-","E"))=LEN(SUBSTITUTE(SUBSTITUTE(SUBSTITUTE(SUBSTITUTE(MID(UPPER(TRIM($DX800)),1+OR(LEFT(UPPER(TRIM($DX800)),1)="+",LEFT(UPPER(TRIM($DX800)),1)="-"),999),"E+","E"),"E-","E"),"+",""),"-","")),LEN(UPPER(TRIM($DX800)))-LEN(SUBSTITUTE(UPPER(TRIM($DX800)),"E",""))&lt;2,LEN(UPPER(TRIM($DX800)))-LEN(SUBSTITUTE(UPPER(TRIM($DX800)),".",""))&lt;2,IFERROR(FIND(".",UPPER(TRIM($DX800))),0)&lt;IFERROR(FIND("E",UPPER(TRIM($DX800))),999)),ISNUMBER(VALUE(TRIM($DX800)))),VALUE(TRIM($DX800)),"")))),""))</f>
        <v/>
      </c>
      <c r="DZ800">
        <f>IF($DM800=0,"",IF($L$17=0,"",IFERROR(IF(ISNUMBER(INDEX(PASTE_ALL,$DF800,$L$17)),INDEX(PASTE_ALL,$DF800,$L$17),SUBSTITUTE(SUBSTITUTE(TRIM(SUBSTITUTE(SUBSTITUTE(SUBSTITUTE(SUBSTITUTE(INDEX(PASTE_ALL,$DF800,$L$17)," "," "),CHAR(9)," "),CHAR(10)," "),CHAR(13)," ")),",",""),"%","")),"")))</f>
        <v/>
      </c>
      <c r="EA800">
        <f>IF($DM800=0,"",IFERROR(IF(ISNUMBER($DZ800),$DZ800,IF($DZ800="","",IF(TRIM($DZ800)="",0,IF(AND(AND(SUBSTITUTE(SUBSTITUTE(SUBSTITUTE(SUBSTITUTE(SUBSTITUTE(SUBSTITUTE(SUBSTITUTE(SUBSTITUTE(SUBSTITUTE(SUBSTITUTE(SUBSTITUTE(SUBSTITUTE(SUBSTITUTE(SUBSTITUTE(UPPER(TRIM($DZ800)),"0",""),"1",""),"2",""),"3",""),"4",""),"5",""),"6",""),"7",""),"8",""),"9",""),".",""),"+",""),"-",""),"E","")="",LEN(SUBSTITUTE(SUBSTITUTE(MID(UPPER(TRIM($DZ800)),1+OR(LEFT(UPPER(TRIM($DZ800)),1)="+",LEFT(UPPER(TRIM($DZ800)),1)="-"),999),"E+","E"),"E-","E"))=LEN(SUBSTITUTE(SUBSTITUTE(SUBSTITUTE(SUBSTITUTE(MID(UPPER(TRIM($DZ800)),1+OR(LEFT(UPPER(TRIM($DZ800)),1)="+",LEFT(UPPER(TRIM($DZ800)),1)="-"),999),"E+","E"),"E-","E"),"+",""),"-","")),LEN(UPPER(TRIM($DZ800)))-LEN(SUBSTITUTE(UPPER(TRIM($DZ800)),"E",""))&lt;2,LEN(UPPER(TRIM($DZ800)))-LEN(SUBSTITUTE(UPPER(TRIM($DZ800)),".",""))&lt;2,IFERROR(FIND(".",UPPER(TRIM($DZ800))),0)&lt;IFERROR(FIND("E",UPPER(TRIM($DZ800))),999)),ISNUMBER(VALUE(TRIM($DZ800)))),VALUE(TRIM($DZ800)),"")))),""))</f>
        <v/>
      </c>
      <c r="EB800">
        <f>IF($DM800=0,"",IF($L$18=0,"",IFERROR(IF(UPPER(TRIM(SUBSTITUTE(SUBSTITUTE(SUBSTITUTE(SUBSTITUTE(INDEX(PASTE_ALL,$DF800,$L$18)," "," "),CHAR(9)," "),CHAR(10)," "),CHAR(13)," ")))="READY","Ready",IF(UPPER(TRIM(SUBSTITUTE(SUBSTITUTE(SUBSTITUTE(SUBSTITUTE(INDEX(PASTE_ALL,$DF800,$L$18)," "," "),CHAR(9)," "),CHAR(10)," "),CHAR(13)," ")))="PM","PM",IF(OR(UPPER(TRIM(SUBSTITUTE(SUBSTITUTE(SUBSTITUTE(SUBSTITUTE(INDEX(PASTE_ALL,$DF800,$L$18)," "," "),CHAR(9)," "),CHAR(10)," "),CHAR(13)," ")))="OT",UPPER(TRIM(SUBSTITUTE(SUBSTITUTE(SUBSTITUTE(SUBSTITUTE(INDEX(PASTE_ALL,$DF800,$L$18)," "," "),CHAR(9)," "),CHAR(10)," "),CHAR(13)," ")))="OVERTIME",UPPER(TRIM(SUBSTITUTE(SUBSTITUTE(SUBSTITUTE(SUBSTITUTE(INDEX(PASTE_ALL,$DF800,$L$18)," "," "),CHAR(9)," "),CHAR(10)," "),CHAR(13)," ")))="TRIAL"),"OT",TRIM(SUBSTITUTE(SUBSTITUTE(SUBSTITUTE(SUBSTITUTE(INDEX(PASTE_ALL,$DF800,$L$18)," "," "),CHAR(9)," "),CHAR(10)," "),CHAR(13)," "))))),"")))</f>
        <v/>
      </c>
      <c r="EC800">
        <f>IF($DM800=0,"",IF($L$19=0,"",IFERROR(IF(ISNUMBER(INDEX(PASTE_ALL,$DF800,$L$19)),INDEX(PASTE_ALL,$DF800,$L$19),TRIM(SUBSTITUTE(SUBSTITUTE(SUBSTITUTE(SUBSTITUTE(INDEX(PASTE_ALL,$DF800,$L$19)," "," "),CHAR(9)," "),CHAR(10)," "),CHAR(13)," "))),"")))</f>
        <v/>
      </c>
      <c r="ED800">
        <f>IF($DM800=0,"",MATCH(1,INDEX(EXACT($DH$5:DH800,$DH800)*$DM$5:DM800,0),0))</f>
        <v/>
      </c>
      <c r="EE800">
        <f>IF($DM800=0,0,IF($ED800=$DE800,1,0))</f>
        <v/>
      </c>
      <c r="EF800">
        <f>EF799+$EE800</f>
        <v/>
      </c>
      <c r="EG800">
        <f>IF($DM800=0,"",INDEX($EF$5:$EF$1003,$ED800))</f>
        <v/>
      </c>
      <c r="EH800">
        <f>IF($DM800=0,"",IF($DO800&lt;&gt;"","",IFERROR(LOOKUP(2,1/(($EG$4:EG799=$EG800)*($DO$4:DO799&lt;&gt;"")),$DO$4:DO799),"")))</f>
        <v/>
      </c>
      <c r="EI800">
        <f>IF($DM800=0,"",IF($DO800&lt;&gt;"",$DO800,$EH800))</f>
        <v/>
      </c>
      <c r="EJ800">
        <f>IF($DM800=0,"",IF($EI800="",0,IF(OR(ISNUMBER($EI800),AND(AND(SUBSTITUTE(SUBSTITUTE(SUBSTITUTE(SUBSTITUTE(SUBSTITUTE(SUBSTITUTE(SUBSTITUTE(SUBSTITUTE(SUBSTITUTE(SUBSTITUTE(SUBSTITUTE(SUBSTITUTE(SUBSTITUTE(SUBSTITUTE(UPPER($EI800),"0",""),"1",""),"2",""),"3",""),"4",""),"5",""),"6",""),"7",""),"8",""),"9",""),".",""),"+",""),"-",""),"E","")="",LEN(SUBSTITUTE(SUBSTITUTE(MID(UPPER($EI800),1+OR(LEFT(UPPER($EI800),1)="+",LEFT(UPPER($EI800),1)="-"),999),"E+","E"),"E-","E"))=LEN(SUBSTITUTE(SUBSTITUTE(SUBSTITUTE(SUBSTITUTE(MID(UPPER($EI800),1+OR(LEFT(UPPER($EI800),1)="+",LEFT(UPPER($EI800),1)="-"),999),"E+","E"),"E-","E"),"+",""),"-","")),LEN(UPPER($EI800))-LEN(SUBSTITUTE(UPPER($EI800),"E",""))&lt;2,LEN(UPPER($EI800))-LEN(SUBSTITUTE(UPPER($EI800),".",""))&lt;2,IFERROR(FIND(".",UPPER($EI800)),0)&lt;IFERROR(FIND("E",UPPER($EI800)),999)),ISNUMBER(VALUE($EI800)))),1,2)))</f>
        <v/>
      </c>
      <c r="EK800">
        <f>IF($DM800=0,"",IF($EJ800=1,IF(ISNUMBER($EI800),$EI800,VALUE($EI800)),IF($EJ800=2,$DE800,0)))</f>
        <v/>
      </c>
      <c r="EL800">
        <f>IF($DM800=0,"",COUNTIF($EG$5:$EG$1003,"&lt;"&amp;$EG800)+SUMPRODUCT(($EG$5:$EG$1003=$EG800)*(($EJ$5:$EJ$1003&lt;$EJ800)+($EJ$5:$EJ$1003=$EJ800)*(($EK$5:$EK$1003&lt;$EK800)+($EK$5:$EK$1003=$EK800)*($DE$5:$DE$1003&lt;$DE800))))+1)</f>
        <v/>
      </c>
      <c r="EM800">
        <f>IF($DM800=0,"",$EL800+$EG800-1)</f>
        <v/>
      </c>
      <c r="EN800">
        <f>IF($DM800=0,0,IFERROR(MATCH(1,INDEX(--(TRIM(SUBSTITUTE(SUBSTITUTE(SUBSTITUTE(SUBSTITUTE(LINES_NAME&amp;""," "," "),CHAR(9)," "),CHAR(10)," "),CHAR(13)," "))=$DH800),0),0),0))</f>
        <v/>
      </c>
      <c r="EO800">
        <f>IF($EN800=0,0,IF(OR(UPPER(TRIM(INDEX(LINES_SCHEDULED,$EN800)&amp;""))="YES",UPPER(TRIM(INDEX(LINES_SCHEDULED,$EN800)&amp;""))="Y",UPPER(TRIM(INDEX(LINES_SCHEDULED,$EN800)&amp;""))="X"),1,0))</f>
        <v/>
      </c>
      <c r="EP800">
        <f>IF($DM800=0,"",IF(COUNTIFS($EG$5:$EG$1003,$EG800,$EB$5:$EB$1003,"Ready")&gt;0,"READY",IF(COUNTIFS($EG$5:$EG$1003,$EG800,$EB$5:$EB$1003,"PM")&gt;0,"PM",IF(COUNTIFS($EG$5:$EG$1003,$EG800,$EB$5:$EB$1003,"OT")&gt;0,"OT",""))))</f>
        <v/>
      </c>
      <c r="EQ800">
        <f>IF($EN800=0,"",UPPER(TRIM(INDEX(LINES_STATUS,$EN800)&amp;"")))</f>
        <v/>
      </c>
      <c r="ER800">
        <f>IF($DM800=0,"",IF(OR($EQ800="READY",$EQ800="PM",$EQ800="OT"),$EQ800,$EP800))</f>
        <v/>
      </c>
      <c r="ES800">
        <f>IF($DM800=0,"",IF(AND($DV800&lt;&gt;"",UPPER($DV800)&lt;&gt;"N"),"allergen",IF(ISNUMBER(SEARCH("oil",$DQ800)),"oil",IF(OR(EXACT($DS800,"A662"),EXACT($DS800,"A624")),"bulk",""))))</f>
        <v/>
      </c>
      <c r="ET800">
        <f>IF($DM800=0,"",IF(OR($EA800="",$EA800=0),"",$EA800/100))</f>
        <v/>
      </c>
      <c r="EU800">
        <f>IF(OR($ET800="",$DY800=""),"",INT($DY800*(1-$ET800)+0.5))</f>
        <v/>
      </c>
    </row>
    <row r="801">
      <c r="DA801" t="n">
        <v>797</v>
      </c>
      <c r="DB801">
        <f>IF($B$37=0,"",IFERROR(TRIM(SUBSTITUTE(SUBSTITUTE(SUBSTITUTE(SUBSTITUTE(INDEX(PASTE_ALL,797,$B$37)," "," "),CHAR(9)," "),CHAR(10)," "),CHAR(13)," ")),""))</f>
        <v/>
      </c>
      <c r="DC801">
        <f>IF(AND(797&gt;HEADER_ROW,UPPER(DB801)="LEGEND"),1,0)</f>
        <v/>
      </c>
      <c r="DE801" t="n">
        <v>797</v>
      </c>
      <c r="DF801">
        <f>HEADER_ROW+$DE801</f>
        <v/>
      </c>
      <c r="DG801">
        <f>IF(AND($DF801&lt;=1000,$DF801&lt;$B$8),1,0)</f>
        <v/>
      </c>
      <c r="DH801">
        <f>IF($DG801=1,IFERROR(INDEX($DB$5:$DB$1004,$DF801),""),"")</f>
        <v/>
      </c>
      <c r="DI801">
        <f>IF(AND($DG801=1,$DH801&lt;&gt;""),IFERROR(SUBSTITUTE(SUBSTITUTE(TRIM(SUBSTITUTE(SUBSTITUTE(SUBSTITUTE(SUBSTITUTE(IFERROR(INDEX(PASTE_ALL,$DF801,1)&amp;"","")&amp;"␟"&amp;IFERROR(INDEX(PASTE_ALL,$DF801,2)&amp;"","")&amp;"␟"&amp;IFERROR(INDEX(PASTE_ALL,$DF801,3)&amp;"","")&amp;"␟"&amp;IFERROR(INDEX(PASTE_ALL,$DF801,4)&amp;"","")&amp;"␟"&amp;IFERROR(INDEX(PASTE_ALL,$DF801,5)&amp;"","")&amp;"␟"&amp;IFERROR(INDEX(PASTE_ALL,$DF801,6)&amp;"","")&amp;"␟"&amp;IFERROR(INDEX(PASTE_ALL,$DF801,7)&amp;"","")&amp;"␟"&amp;IFERROR(INDEX(PASTE_ALL,$DF801,8)&amp;"","")&amp;"␟"&amp;IFERROR(INDEX(PASTE_ALL,$DF801,9)&amp;"","")&amp;"␟"&amp;IFERROR(INDEX(PASTE_ALL,$DF801,10)&amp;"","")&amp;"␟"&amp;IFERROR(INDEX(PASTE_ALL,$DF801,11)&amp;"","")&amp;"␟"&amp;IFERROR(INDEX(PASTE_ALL,$DF801,12)&amp;"","")&amp;"␟"&amp;IFERROR(INDEX(PASTE_ALL,$DF801,13)&amp;"","")&amp;"␟"&amp;IFERROR(INDEX(PASTE_ALL,$DF801,14)&amp;"","")&amp;"␟"&amp;IFERROR(INDEX(PASTE_ALL,$DF801,15)&amp;"","")&amp;"␟"&amp;IFERROR(INDEX(PASTE_ALL,$DF801,16)&amp;"","")&amp;"␟"&amp;IFERROR(INDEX(PASTE_ALL,$DF801,17)&amp;"","")&amp;"␟"&amp;IFERROR(INDEX(PASTE_ALL,$DF801,18)&amp;"","")&amp;"␟"&amp;IFERROR(INDEX(PASTE_ALL,$DF801,19)&amp;"","")&amp;"␟"&amp;IFERROR(INDEX(PASTE_ALL,$DF801,20)&amp;"","")&amp;"␟"&amp;IFERROR(INDEX(PASTE_ALL,$DF801,21)&amp;"","")&amp;"␟"&amp;IFERROR(INDEX(PASTE_ALL,$DF801,22)&amp;"","")&amp;"␟"&amp;IFERROR(INDEX(PASTE_ALL,$DF801,23)&amp;"","")&amp;"␟"&amp;IFERROR(INDEX(PASTE_ALL,$DF801,24)&amp;"","")&amp;"␟"&amp;IFERROR(INDEX(PASTE_ALL,$DF801,25)&amp;"","")&amp;"␟"&amp;IFERROR(INDEX(PASTE_ALL,$DF801,26)&amp;"","")&amp;"␟"&amp;IFERROR(INDEX(PASTE_ALL,$DF801,27)&amp;"","")&amp;"␟"&amp;IFERROR(INDEX(PASTE_ALL,$DF801,28)&amp;"","")&amp;"␟"&amp;IFERROR(INDEX(PASTE_ALL,$DF801,29)&amp;"","")&amp;"␟"&amp;IFERROR(INDEX(PASTE_ALL,$DF801,30)&amp;"","")&amp;"␟"&amp;IFERROR(INDEX(PASTE_ALL,$DF801,31)&amp;"","")&amp;"␟"&amp;IFERROR(INDEX(PASTE_ALL,$DF801,32)&amp;"","")&amp;"␟"&amp;IFERROR(INDEX(PASTE_ALL,$DF801,33)&amp;"","")&amp;"␟"&amp;IFERROR(INDEX(PASTE_ALL,$DF801,34)&amp;"","")&amp;"␟"&amp;IFERROR(INDEX(PASTE_ALL,$DF801,35)&amp;"","")&amp;"␟"&amp;IFERROR(INDEX(PASTE_ALL,$DF801,36)&amp;"","")&amp;"␟"&amp;IFERROR(INDEX(PASTE_ALL,$DF801,37)&amp;"","")&amp;"␟"&amp;IFERROR(INDEX(PASTE_ALL,$DF801,38)&amp;"","")&amp;"␟"&amp;IFERROR(INDEX(PASTE_ALL,$DF801,39)&amp;"","")&amp;"␟"&amp;IFERROR(INDEX(PASTE_ALL,$DF801,40)&amp;"","")&amp;"␟"&amp;IFERROR(INDEX(PASTE_ALL,$DF801,41)&amp;"","")&amp;"␟"&amp;IFERROR(INDEX(PASTE_ALL,$DF801,42)&amp;"","")&amp;"␟"&amp;IFERROR(INDEX(PASTE_ALL,$DF801,43)&amp;"","")&amp;"␟"&amp;IFERROR(INDEX(PASTE_ALL,$DF801,44)&amp;"","")&amp;"␟"&amp;IFERROR(INDEX(PASTE_ALL,$DF801,45)&amp;"","")&amp;"␟"&amp;IFERROR(INDEX(PASTE_ALL,$DF801,46)&amp;"","")&amp;"␟"&amp;IFERROR(INDEX(PASTE_ALL,$DF801,47)&amp;"","")&amp;"␟"&amp;IFERROR(INDEX(PASTE_ALL,$DF801,48)&amp;"","")&amp;"␟"&amp;IFERROR(INDEX(PASTE_ALL,$DF801,49)&amp;"","")&amp;"␟"&amp;IFERROR(INDEX(PASTE_ALL,$DF801,50)&amp;"","")&amp;"␟"&amp;IFERROR(INDEX(PASTE_ALL,$DF801,51)&amp;"","")&amp;"␟"&amp;IFERROR(INDEX(PASTE_ALL,$DF801,52)&amp;"","")&amp;"␟"&amp;IFERROR(INDEX(PASTE_ALL,$DF801,53)&amp;"","")&amp;"␟"&amp;IFERROR(INDEX(PASTE_ALL,$DF801,54)&amp;"","")&amp;"␟"&amp;IFERROR(INDEX(PASTE_ALL,$DF801,55)&amp;"","")&amp;"␟"&amp;IFERROR(INDEX(PASTE_ALL,$DF801,56)&amp;"","")&amp;"␟"&amp;IFERROR(INDEX(PASTE_ALL,$DF801,57)&amp;"","")&amp;"␟"&amp;IFERROR(INDEX(PASTE_ALL,$DF801,58)&amp;"","")&amp;"␟"&amp;IFERROR(INDEX(PASTE_ALL,$DF801,59)&amp;"","")&amp;"␟"&amp;IFERROR(INDEX(PASTE_ALL,$DF801,60)&amp;"","")," "," "),CHAR(9)," "),CHAR(10)," "),CHAR(13)," "))," ␟","␟"),"␟ ","␟"),"#"&amp;$DE801),"")</f>
        <v/>
      </c>
      <c r="DJ801">
        <f>IF($DI801="",0,IF(SUMPRODUCT(--EXACT($DI$4:DI800,$DI801))&gt;0,1,0))</f>
        <v/>
      </c>
      <c r="DK801">
        <f>IF(AND($DI801&lt;&gt;"",$DJ801=0),1,0)</f>
        <v/>
      </c>
      <c r="DL801">
        <f>DL800+$DK801</f>
        <v/>
      </c>
      <c r="DM801">
        <f>IF(AND($DK801=1,$DL801&lt;=600),1,0)</f>
        <v/>
      </c>
      <c r="DN801">
        <f>IF($DM801=0,"",IF($L$6=0,"",IFERROR(IF(ISNUMBER(INDEX(PASTE_ALL,$DF801,$L$6)),INDEX(PASTE_ALL,$DF801,$L$6),TRIM(SUBSTITUTE(SUBSTITUTE(SUBSTITUTE(SUBSTITUTE(INDEX(PASTE_ALL,$DF801,$L$6)," "," "),CHAR(9)," "),CHAR(10)," "),CHAR(13)," "))),"")))</f>
        <v/>
      </c>
      <c r="DO801">
        <f>IF($DM801=0,"",IF($L$7=0,"",IFERROR(IF(ISNUMBER(INDEX(PASTE_ALL,$DF801,$L$7)),INDEX(PASTE_ALL,$DF801,$L$7),TRIM(SUBSTITUTE(SUBSTITUTE(SUBSTITUTE(SUBSTITUTE(INDEX(PASTE_ALL,$DF801,$L$7)," "," "),CHAR(9)," "),CHAR(10)," "),CHAR(13)," "))),"")))</f>
        <v/>
      </c>
      <c r="DP801">
        <f>IF($DM801=0,"",IF($L$8=0,"",IFERROR(IF(ISNUMBER(INDEX(PASTE_ALL,$DF801,$L$8)),INDEX(PASTE_ALL,$DF801,$L$8),TRIM(SUBSTITUTE(SUBSTITUTE(SUBSTITUTE(SUBSTITUTE(INDEX(PASTE_ALL,$DF801,$L$8)," "," "),CHAR(9)," "),CHAR(10)," "),CHAR(13)," "))),"")))</f>
        <v/>
      </c>
      <c r="DQ801">
        <f>IF($DM801=0,"",IF($L$9=0,"",IFERROR(IF(ISNUMBER(INDEX(PASTE_ALL,$DF801,$L$9)),INDEX(PASTE_ALL,$DF801,$L$9),TRIM(SUBSTITUTE(SUBSTITUTE(SUBSTITUTE(SUBSTITUTE(INDEX(PASTE_ALL,$DF801,$L$9)," "," "),CHAR(9)," "),CHAR(10)," "),CHAR(13)," "))),"")))</f>
        <v/>
      </c>
      <c r="DR801">
        <f>IF($DM801=0,"",IF($L$10=0,"",IFERROR(IF(ISNUMBER(INDEX(PASTE_ALL,$DF801,$L$10)),INDEX(PASTE_ALL,$DF801,$L$10),TRIM(SUBSTITUTE(SUBSTITUTE(SUBSTITUTE(SUBSTITUTE(INDEX(PASTE_ALL,$DF801,$L$10)," "," "),CHAR(9)," "),CHAR(10)," "),CHAR(13)," "))),"")))</f>
        <v/>
      </c>
      <c r="DS801">
        <f>IF($DM801=0,"",IF($L$11=0,"",IFERROR(IF(ISNUMBER(INDEX(PASTE_ALL,$DF801,$L$11)),INDEX(PASTE_ALL,$DF801,$L$11),TRIM(SUBSTITUTE(SUBSTITUTE(SUBSTITUTE(SUBSTITUTE(INDEX(PASTE_ALL,$DF801,$L$11)," "," "),CHAR(9)," "),CHAR(10)," "),CHAR(13)," "))),"")))</f>
        <v/>
      </c>
      <c r="DT801">
        <f>IF($DM801=0,"",IF($L$12=0,"",IFERROR(IF(ISNUMBER(INDEX(PASTE_ALL,$DF801,$L$12)),INDEX(PASTE_ALL,$DF801,$L$12),TRIM(SUBSTITUTE(SUBSTITUTE(SUBSTITUTE(SUBSTITUTE(INDEX(PASTE_ALL,$DF801,$L$12)," "," "),CHAR(9)," "),CHAR(10)," "),CHAR(13)," "))),"")))</f>
        <v/>
      </c>
      <c r="DU801">
        <f>IF($DM801=0,"",IF($L$13=0,"",IFERROR(IF(ISNUMBER(INDEX(PASTE_ALL,$DF801,$L$13)),INDEX(PASTE_ALL,$DF801,$L$13),TRIM(SUBSTITUTE(SUBSTITUTE(SUBSTITUTE(SUBSTITUTE(INDEX(PASTE_ALL,$DF801,$L$13)," "," "),CHAR(9)," "),CHAR(10)," "),CHAR(13)," "))),"")))</f>
        <v/>
      </c>
      <c r="DV801">
        <f>IF($DM801=0,"",IF($L$14=0,"",IFERROR(IF(ISNUMBER(INDEX(PASTE_ALL,$DF801,$L$14)),INDEX(PASTE_ALL,$DF801,$L$14),TRIM(SUBSTITUTE(SUBSTITUTE(SUBSTITUTE(SUBSTITUTE(INDEX(PASTE_ALL,$DF801,$L$14)," "," "),CHAR(9)," "),CHAR(10)," "),CHAR(13)," "))),"")))</f>
        <v/>
      </c>
      <c r="DW801">
        <f>IF($DM801=0,"",IF($L$15=0,"",IFERROR(IF(ISNUMBER(INDEX(PASTE_ALL,$DF801,$L$15)),INDEX(PASTE_ALL,$DF801,$L$15),IF(SUMPRODUCT(--ISNUMBER(FIND({"A","B","C","D","E","F","G","H","I","J","K","L","M","N","O","P","Q","R","S","T","U","V","W","X","Y","Z","0","1","2","3","4","5","6","7","8","9"},UPPER(TRIM(SUBSTITUTE(SUBSTITUTE(SUBSTITUTE(SUBSTITUTE(INDEX(PASTE_ALL,$DF801,$L$15)," "," "),CHAR(9)," "),CHAR(10)," "),CHAR(13)," "))))))&gt;0,TRIM(SUBSTITUTE(SUBSTITUTE(SUBSTITUTE(SUBSTITUTE(INDEX(PASTE_ALL,$DF801,$L$15)," "," "),CHAR(9)," "),CHAR(10)," "),CHAR(13)," ")),"")),"")))</f>
        <v/>
      </c>
      <c r="DX801">
        <f>IF($DM801=0,"",IF($L$16=0,"",IFERROR(IF(ISNUMBER(INDEX(PASTE_ALL,$DF801,$L$16)),INDEX(PASTE_ALL,$DF801,$L$16),SUBSTITUTE(SUBSTITUTE(TRIM(SUBSTITUTE(SUBSTITUTE(SUBSTITUTE(SUBSTITUTE(INDEX(PASTE_ALL,$DF801,$L$16)," "," "),CHAR(9)," "),CHAR(10)," "),CHAR(13)," ")),",",""),"%","")),"")))</f>
        <v/>
      </c>
      <c r="DY801">
        <f>IF($DM801=0,"",IFERROR(IF(ISNUMBER($DX801),$DX801,IF($DX801="","",IF(TRIM($DX801)="",0,IF(AND(AND(SUBSTITUTE(SUBSTITUTE(SUBSTITUTE(SUBSTITUTE(SUBSTITUTE(SUBSTITUTE(SUBSTITUTE(SUBSTITUTE(SUBSTITUTE(SUBSTITUTE(SUBSTITUTE(SUBSTITUTE(SUBSTITUTE(SUBSTITUTE(UPPER(TRIM($DX801)),"0",""),"1",""),"2",""),"3",""),"4",""),"5",""),"6",""),"7",""),"8",""),"9",""),".",""),"+",""),"-",""),"E","")="",LEN(SUBSTITUTE(SUBSTITUTE(MID(UPPER(TRIM($DX801)),1+OR(LEFT(UPPER(TRIM($DX801)),1)="+",LEFT(UPPER(TRIM($DX801)),1)="-"),999),"E+","E"),"E-","E"))=LEN(SUBSTITUTE(SUBSTITUTE(SUBSTITUTE(SUBSTITUTE(MID(UPPER(TRIM($DX801)),1+OR(LEFT(UPPER(TRIM($DX801)),1)="+",LEFT(UPPER(TRIM($DX801)),1)="-"),999),"E+","E"),"E-","E"),"+",""),"-","")),LEN(UPPER(TRIM($DX801)))-LEN(SUBSTITUTE(UPPER(TRIM($DX801)),"E",""))&lt;2,LEN(UPPER(TRIM($DX801)))-LEN(SUBSTITUTE(UPPER(TRIM($DX801)),".",""))&lt;2,IFERROR(FIND(".",UPPER(TRIM($DX801))),0)&lt;IFERROR(FIND("E",UPPER(TRIM($DX801))),999)),ISNUMBER(VALUE(TRIM($DX801)))),VALUE(TRIM($DX801)),"")))),""))</f>
        <v/>
      </c>
      <c r="DZ801">
        <f>IF($DM801=0,"",IF($L$17=0,"",IFERROR(IF(ISNUMBER(INDEX(PASTE_ALL,$DF801,$L$17)),INDEX(PASTE_ALL,$DF801,$L$17),SUBSTITUTE(SUBSTITUTE(TRIM(SUBSTITUTE(SUBSTITUTE(SUBSTITUTE(SUBSTITUTE(INDEX(PASTE_ALL,$DF801,$L$17)," "," "),CHAR(9)," "),CHAR(10)," "),CHAR(13)," ")),",",""),"%","")),"")))</f>
        <v/>
      </c>
      <c r="EA801">
        <f>IF($DM801=0,"",IFERROR(IF(ISNUMBER($DZ801),$DZ801,IF($DZ801="","",IF(TRIM($DZ801)="",0,IF(AND(AND(SUBSTITUTE(SUBSTITUTE(SUBSTITUTE(SUBSTITUTE(SUBSTITUTE(SUBSTITUTE(SUBSTITUTE(SUBSTITUTE(SUBSTITUTE(SUBSTITUTE(SUBSTITUTE(SUBSTITUTE(SUBSTITUTE(SUBSTITUTE(UPPER(TRIM($DZ801)),"0",""),"1",""),"2",""),"3",""),"4",""),"5",""),"6",""),"7",""),"8",""),"9",""),".",""),"+",""),"-",""),"E","")="",LEN(SUBSTITUTE(SUBSTITUTE(MID(UPPER(TRIM($DZ801)),1+OR(LEFT(UPPER(TRIM($DZ801)),1)="+",LEFT(UPPER(TRIM($DZ801)),1)="-"),999),"E+","E"),"E-","E"))=LEN(SUBSTITUTE(SUBSTITUTE(SUBSTITUTE(SUBSTITUTE(MID(UPPER(TRIM($DZ801)),1+OR(LEFT(UPPER(TRIM($DZ801)),1)="+",LEFT(UPPER(TRIM($DZ801)),1)="-"),999),"E+","E"),"E-","E"),"+",""),"-","")),LEN(UPPER(TRIM($DZ801)))-LEN(SUBSTITUTE(UPPER(TRIM($DZ801)),"E",""))&lt;2,LEN(UPPER(TRIM($DZ801)))-LEN(SUBSTITUTE(UPPER(TRIM($DZ801)),".",""))&lt;2,IFERROR(FIND(".",UPPER(TRIM($DZ801))),0)&lt;IFERROR(FIND("E",UPPER(TRIM($DZ801))),999)),ISNUMBER(VALUE(TRIM($DZ801)))),VALUE(TRIM($DZ801)),"")))),""))</f>
        <v/>
      </c>
      <c r="EB801">
        <f>IF($DM801=0,"",IF($L$18=0,"",IFERROR(IF(UPPER(TRIM(SUBSTITUTE(SUBSTITUTE(SUBSTITUTE(SUBSTITUTE(INDEX(PASTE_ALL,$DF801,$L$18)," "," "),CHAR(9)," "),CHAR(10)," "),CHAR(13)," ")))="READY","Ready",IF(UPPER(TRIM(SUBSTITUTE(SUBSTITUTE(SUBSTITUTE(SUBSTITUTE(INDEX(PASTE_ALL,$DF801,$L$18)," "," "),CHAR(9)," "),CHAR(10)," "),CHAR(13)," ")))="PM","PM",IF(OR(UPPER(TRIM(SUBSTITUTE(SUBSTITUTE(SUBSTITUTE(SUBSTITUTE(INDEX(PASTE_ALL,$DF801,$L$18)," "," "),CHAR(9)," "),CHAR(10)," "),CHAR(13)," ")))="OT",UPPER(TRIM(SUBSTITUTE(SUBSTITUTE(SUBSTITUTE(SUBSTITUTE(INDEX(PASTE_ALL,$DF801,$L$18)," "," "),CHAR(9)," "),CHAR(10)," "),CHAR(13)," ")))="OVERTIME",UPPER(TRIM(SUBSTITUTE(SUBSTITUTE(SUBSTITUTE(SUBSTITUTE(INDEX(PASTE_ALL,$DF801,$L$18)," "," "),CHAR(9)," "),CHAR(10)," "),CHAR(13)," ")))="TRIAL"),"OT",TRIM(SUBSTITUTE(SUBSTITUTE(SUBSTITUTE(SUBSTITUTE(INDEX(PASTE_ALL,$DF801,$L$18)," "," "),CHAR(9)," "),CHAR(10)," "),CHAR(13)," "))))),"")))</f>
        <v/>
      </c>
      <c r="EC801">
        <f>IF($DM801=0,"",IF($L$19=0,"",IFERROR(IF(ISNUMBER(INDEX(PASTE_ALL,$DF801,$L$19)),INDEX(PASTE_ALL,$DF801,$L$19),TRIM(SUBSTITUTE(SUBSTITUTE(SUBSTITUTE(SUBSTITUTE(INDEX(PASTE_ALL,$DF801,$L$19)," "," "),CHAR(9)," "),CHAR(10)," "),CHAR(13)," "))),"")))</f>
        <v/>
      </c>
      <c r="ED801">
        <f>IF($DM801=0,"",MATCH(1,INDEX(EXACT($DH$5:DH801,$DH801)*$DM$5:DM801,0),0))</f>
        <v/>
      </c>
      <c r="EE801">
        <f>IF($DM801=0,0,IF($ED801=$DE801,1,0))</f>
        <v/>
      </c>
      <c r="EF801">
        <f>EF800+$EE801</f>
        <v/>
      </c>
      <c r="EG801">
        <f>IF($DM801=0,"",INDEX($EF$5:$EF$1003,$ED801))</f>
        <v/>
      </c>
      <c r="EH801">
        <f>IF($DM801=0,"",IF($DO801&lt;&gt;"","",IFERROR(LOOKUP(2,1/(($EG$4:EG800=$EG801)*($DO$4:DO800&lt;&gt;"")),$DO$4:DO800),"")))</f>
        <v/>
      </c>
      <c r="EI801">
        <f>IF($DM801=0,"",IF($DO801&lt;&gt;"",$DO801,$EH801))</f>
        <v/>
      </c>
      <c r="EJ801">
        <f>IF($DM801=0,"",IF($EI801="",0,IF(OR(ISNUMBER($EI801),AND(AND(SUBSTITUTE(SUBSTITUTE(SUBSTITUTE(SUBSTITUTE(SUBSTITUTE(SUBSTITUTE(SUBSTITUTE(SUBSTITUTE(SUBSTITUTE(SUBSTITUTE(SUBSTITUTE(SUBSTITUTE(SUBSTITUTE(SUBSTITUTE(UPPER($EI801),"0",""),"1",""),"2",""),"3",""),"4",""),"5",""),"6",""),"7",""),"8",""),"9",""),".",""),"+",""),"-",""),"E","")="",LEN(SUBSTITUTE(SUBSTITUTE(MID(UPPER($EI801),1+OR(LEFT(UPPER($EI801),1)="+",LEFT(UPPER($EI801),1)="-"),999),"E+","E"),"E-","E"))=LEN(SUBSTITUTE(SUBSTITUTE(SUBSTITUTE(SUBSTITUTE(MID(UPPER($EI801),1+OR(LEFT(UPPER($EI801),1)="+",LEFT(UPPER($EI801),1)="-"),999),"E+","E"),"E-","E"),"+",""),"-","")),LEN(UPPER($EI801))-LEN(SUBSTITUTE(UPPER($EI801),"E",""))&lt;2,LEN(UPPER($EI801))-LEN(SUBSTITUTE(UPPER($EI801),".",""))&lt;2,IFERROR(FIND(".",UPPER($EI801)),0)&lt;IFERROR(FIND("E",UPPER($EI801)),999)),ISNUMBER(VALUE($EI801)))),1,2)))</f>
        <v/>
      </c>
      <c r="EK801">
        <f>IF($DM801=0,"",IF($EJ801=1,IF(ISNUMBER($EI801),$EI801,VALUE($EI801)),IF($EJ801=2,$DE801,0)))</f>
        <v/>
      </c>
      <c r="EL801">
        <f>IF($DM801=0,"",COUNTIF($EG$5:$EG$1003,"&lt;"&amp;$EG801)+SUMPRODUCT(($EG$5:$EG$1003=$EG801)*(($EJ$5:$EJ$1003&lt;$EJ801)+($EJ$5:$EJ$1003=$EJ801)*(($EK$5:$EK$1003&lt;$EK801)+($EK$5:$EK$1003=$EK801)*($DE$5:$DE$1003&lt;$DE801))))+1)</f>
        <v/>
      </c>
      <c r="EM801">
        <f>IF($DM801=0,"",$EL801+$EG801-1)</f>
        <v/>
      </c>
      <c r="EN801">
        <f>IF($DM801=0,0,IFERROR(MATCH(1,INDEX(--(TRIM(SUBSTITUTE(SUBSTITUTE(SUBSTITUTE(SUBSTITUTE(LINES_NAME&amp;""," "," "),CHAR(9)," "),CHAR(10)," "),CHAR(13)," "))=$DH801),0),0),0))</f>
        <v/>
      </c>
      <c r="EO801">
        <f>IF($EN801=0,0,IF(OR(UPPER(TRIM(INDEX(LINES_SCHEDULED,$EN801)&amp;""))="YES",UPPER(TRIM(INDEX(LINES_SCHEDULED,$EN801)&amp;""))="Y",UPPER(TRIM(INDEX(LINES_SCHEDULED,$EN801)&amp;""))="X"),1,0))</f>
        <v/>
      </c>
      <c r="EP801">
        <f>IF($DM801=0,"",IF(COUNTIFS($EG$5:$EG$1003,$EG801,$EB$5:$EB$1003,"Ready")&gt;0,"READY",IF(COUNTIFS($EG$5:$EG$1003,$EG801,$EB$5:$EB$1003,"PM")&gt;0,"PM",IF(COUNTIFS($EG$5:$EG$1003,$EG801,$EB$5:$EB$1003,"OT")&gt;0,"OT",""))))</f>
        <v/>
      </c>
      <c r="EQ801">
        <f>IF($EN801=0,"",UPPER(TRIM(INDEX(LINES_STATUS,$EN801)&amp;"")))</f>
        <v/>
      </c>
      <c r="ER801">
        <f>IF($DM801=0,"",IF(OR($EQ801="READY",$EQ801="PM",$EQ801="OT"),$EQ801,$EP801))</f>
        <v/>
      </c>
      <c r="ES801">
        <f>IF($DM801=0,"",IF(AND($DV801&lt;&gt;"",UPPER($DV801)&lt;&gt;"N"),"allergen",IF(ISNUMBER(SEARCH("oil",$DQ801)),"oil",IF(OR(EXACT($DS801,"A662"),EXACT($DS801,"A624")),"bulk",""))))</f>
        <v/>
      </c>
      <c r="ET801">
        <f>IF($DM801=0,"",IF(OR($EA801="",$EA801=0),"",$EA801/100))</f>
        <v/>
      </c>
      <c r="EU801">
        <f>IF(OR($ET801="",$DY801=""),"",INT($DY801*(1-$ET801)+0.5))</f>
        <v/>
      </c>
    </row>
    <row r="802">
      <c r="DA802" t="n">
        <v>798</v>
      </c>
      <c r="DB802">
        <f>IF($B$37=0,"",IFERROR(TRIM(SUBSTITUTE(SUBSTITUTE(SUBSTITUTE(SUBSTITUTE(INDEX(PASTE_ALL,798,$B$37)," "," "),CHAR(9)," "),CHAR(10)," "),CHAR(13)," ")),""))</f>
        <v/>
      </c>
      <c r="DC802">
        <f>IF(AND(798&gt;HEADER_ROW,UPPER(DB802)="LEGEND"),1,0)</f>
        <v/>
      </c>
      <c r="DE802" t="n">
        <v>798</v>
      </c>
      <c r="DF802">
        <f>HEADER_ROW+$DE802</f>
        <v/>
      </c>
      <c r="DG802">
        <f>IF(AND($DF802&lt;=1000,$DF802&lt;$B$8),1,0)</f>
        <v/>
      </c>
      <c r="DH802">
        <f>IF($DG802=1,IFERROR(INDEX($DB$5:$DB$1004,$DF802),""),"")</f>
        <v/>
      </c>
      <c r="DI802">
        <f>IF(AND($DG802=1,$DH802&lt;&gt;""),IFERROR(SUBSTITUTE(SUBSTITUTE(TRIM(SUBSTITUTE(SUBSTITUTE(SUBSTITUTE(SUBSTITUTE(IFERROR(INDEX(PASTE_ALL,$DF802,1)&amp;"","")&amp;"␟"&amp;IFERROR(INDEX(PASTE_ALL,$DF802,2)&amp;"","")&amp;"␟"&amp;IFERROR(INDEX(PASTE_ALL,$DF802,3)&amp;"","")&amp;"␟"&amp;IFERROR(INDEX(PASTE_ALL,$DF802,4)&amp;"","")&amp;"␟"&amp;IFERROR(INDEX(PASTE_ALL,$DF802,5)&amp;"","")&amp;"␟"&amp;IFERROR(INDEX(PASTE_ALL,$DF802,6)&amp;"","")&amp;"␟"&amp;IFERROR(INDEX(PASTE_ALL,$DF802,7)&amp;"","")&amp;"␟"&amp;IFERROR(INDEX(PASTE_ALL,$DF802,8)&amp;"","")&amp;"␟"&amp;IFERROR(INDEX(PASTE_ALL,$DF802,9)&amp;"","")&amp;"␟"&amp;IFERROR(INDEX(PASTE_ALL,$DF802,10)&amp;"","")&amp;"␟"&amp;IFERROR(INDEX(PASTE_ALL,$DF802,11)&amp;"","")&amp;"␟"&amp;IFERROR(INDEX(PASTE_ALL,$DF802,12)&amp;"","")&amp;"␟"&amp;IFERROR(INDEX(PASTE_ALL,$DF802,13)&amp;"","")&amp;"␟"&amp;IFERROR(INDEX(PASTE_ALL,$DF802,14)&amp;"","")&amp;"␟"&amp;IFERROR(INDEX(PASTE_ALL,$DF802,15)&amp;"","")&amp;"␟"&amp;IFERROR(INDEX(PASTE_ALL,$DF802,16)&amp;"","")&amp;"␟"&amp;IFERROR(INDEX(PASTE_ALL,$DF802,17)&amp;"","")&amp;"␟"&amp;IFERROR(INDEX(PASTE_ALL,$DF802,18)&amp;"","")&amp;"␟"&amp;IFERROR(INDEX(PASTE_ALL,$DF802,19)&amp;"","")&amp;"␟"&amp;IFERROR(INDEX(PASTE_ALL,$DF802,20)&amp;"","")&amp;"␟"&amp;IFERROR(INDEX(PASTE_ALL,$DF802,21)&amp;"","")&amp;"␟"&amp;IFERROR(INDEX(PASTE_ALL,$DF802,22)&amp;"","")&amp;"␟"&amp;IFERROR(INDEX(PASTE_ALL,$DF802,23)&amp;"","")&amp;"␟"&amp;IFERROR(INDEX(PASTE_ALL,$DF802,24)&amp;"","")&amp;"␟"&amp;IFERROR(INDEX(PASTE_ALL,$DF802,25)&amp;"","")&amp;"␟"&amp;IFERROR(INDEX(PASTE_ALL,$DF802,26)&amp;"","")&amp;"␟"&amp;IFERROR(INDEX(PASTE_ALL,$DF802,27)&amp;"","")&amp;"␟"&amp;IFERROR(INDEX(PASTE_ALL,$DF802,28)&amp;"","")&amp;"␟"&amp;IFERROR(INDEX(PASTE_ALL,$DF802,29)&amp;"","")&amp;"␟"&amp;IFERROR(INDEX(PASTE_ALL,$DF802,30)&amp;"","")&amp;"␟"&amp;IFERROR(INDEX(PASTE_ALL,$DF802,31)&amp;"","")&amp;"␟"&amp;IFERROR(INDEX(PASTE_ALL,$DF802,32)&amp;"","")&amp;"␟"&amp;IFERROR(INDEX(PASTE_ALL,$DF802,33)&amp;"","")&amp;"␟"&amp;IFERROR(INDEX(PASTE_ALL,$DF802,34)&amp;"","")&amp;"␟"&amp;IFERROR(INDEX(PASTE_ALL,$DF802,35)&amp;"","")&amp;"␟"&amp;IFERROR(INDEX(PASTE_ALL,$DF802,36)&amp;"","")&amp;"␟"&amp;IFERROR(INDEX(PASTE_ALL,$DF802,37)&amp;"","")&amp;"␟"&amp;IFERROR(INDEX(PASTE_ALL,$DF802,38)&amp;"","")&amp;"␟"&amp;IFERROR(INDEX(PASTE_ALL,$DF802,39)&amp;"","")&amp;"␟"&amp;IFERROR(INDEX(PASTE_ALL,$DF802,40)&amp;"","")&amp;"␟"&amp;IFERROR(INDEX(PASTE_ALL,$DF802,41)&amp;"","")&amp;"␟"&amp;IFERROR(INDEX(PASTE_ALL,$DF802,42)&amp;"","")&amp;"␟"&amp;IFERROR(INDEX(PASTE_ALL,$DF802,43)&amp;"","")&amp;"␟"&amp;IFERROR(INDEX(PASTE_ALL,$DF802,44)&amp;"","")&amp;"␟"&amp;IFERROR(INDEX(PASTE_ALL,$DF802,45)&amp;"","")&amp;"␟"&amp;IFERROR(INDEX(PASTE_ALL,$DF802,46)&amp;"","")&amp;"␟"&amp;IFERROR(INDEX(PASTE_ALL,$DF802,47)&amp;"","")&amp;"␟"&amp;IFERROR(INDEX(PASTE_ALL,$DF802,48)&amp;"","")&amp;"␟"&amp;IFERROR(INDEX(PASTE_ALL,$DF802,49)&amp;"","")&amp;"␟"&amp;IFERROR(INDEX(PASTE_ALL,$DF802,50)&amp;"","")&amp;"␟"&amp;IFERROR(INDEX(PASTE_ALL,$DF802,51)&amp;"","")&amp;"␟"&amp;IFERROR(INDEX(PASTE_ALL,$DF802,52)&amp;"","")&amp;"␟"&amp;IFERROR(INDEX(PASTE_ALL,$DF802,53)&amp;"","")&amp;"␟"&amp;IFERROR(INDEX(PASTE_ALL,$DF802,54)&amp;"","")&amp;"␟"&amp;IFERROR(INDEX(PASTE_ALL,$DF802,55)&amp;"","")&amp;"␟"&amp;IFERROR(INDEX(PASTE_ALL,$DF802,56)&amp;"","")&amp;"␟"&amp;IFERROR(INDEX(PASTE_ALL,$DF802,57)&amp;"","")&amp;"␟"&amp;IFERROR(INDEX(PASTE_ALL,$DF802,58)&amp;"","")&amp;"␟"&amp;IFERROR(INDEX(PASTE_ALL,$DF802,59)&amp;"","")&amp;"␟"&amp;IFERROR(INDEX(PASTE_ALL,$DF802,60)&amp;"","")," "," "),CHAR(9)," "),CHAR(10)," "),CHAR(13)," "))," ␟","␟"),"␟ ","␟"),"#"&amp;$DE802),"")</f>
        <v/>
      </c>
      <c r="DJ802">
        <f>IF($DI802="",0,IF(SUMPRODUCT(--EXACT($DI$4:DI801,$DI802))&gt;0,1,0))</f>
        <v/>
      </c>
      <c r="DK802">
        <f>IF(AND($DI802&lt;&gt;"",$DJ802=0),1,0)</f>
        <v/>
      </c>
      <c r="DL802">
        <f>DL801+$DK802</f>
        <v/>
      </c>
      <c r="DM802">
        <f>IF(AND($DK802=1,$DL802&lt;=600),1,0)</f>
        <v/>
      </c>
      <c r="DN802">
        <f>IF($DM802=0,"",IF($L$6=0,"",IFERROR(IF(ISNUMBER(INDEX(PASTE_ALL,$DF802,$L$6)),INDEX(PASTE_ALL,$DF802,$L$6),TRIM(SUBSTITUTE(SUBSTITUTE(SUBSTITUTE(SUBSTITUTE(INDEX(PASTE_ALL,$DF802,$L$6)," "," "),CHAR(9)," "),CHAR(10)," "),CHAR(13)," "))),"")))</f>
        <v/>
      </c>
      <c r="DO802">
        <f>IF($DM802=0,"",IF($L$7=0,"",IFERROR(IF(ISNUMBER(INDEX(PASTE_ALL,$DF802,$L$7)),INDEX(PASTE_ALL,$DF802,$L$7),TRIM(SUBSTITUTE(SUBSTITUTE(SUBSTITUTE(SUBSTITUTE(INDEX(PASTE_ALL,$DF802,$L$7)," "," "),CHAR(9)," "),CHAR(10)," "),CHAR(13)," "))),"")))</f>
        <v/>
      </c>
      <c r="DP802">
        <f>IF($DM802=0,"",IF($L$8=0,"",IFERROR(IF(ISNUMBER(INDEX(PASTE_ALL,$DF802,$L$8)),INDEX(PASTE_ALL,$DF802,$L$8),TRIM(SUBSTITUTE(SUBSTITUTE(SUBSTITUTE(SUBSTITUTE(INDEX(PASTE_ALL,$DF802,$L$8)," "," "),CHAR(9)," "),CHAR(10)," "),CHAR(13)," "))),"")))</f>
        <v/>
      </c>
      <c r="DQ802">
        <f>IF($DM802=0,"",IF($L$9=0,"",IFERROR(IF(ISNUMBER(INDEX(PASTE_ALL,$DF802,$L$9)),INDEX(PASTE_ALL,$DF802,$L$9),TRIM(SUBSTITUTE(SUBSTITUTE(SUBSTITUTE(SUBSTITUTE(INDEX(PASTE_ALL,$DF802,$L$9)," "," "),CHAR(9)," "),CHAR(10)," "),CHAR(13)," "))),"")))</f>
        <v/>
      </c>
      <c r="DR802">
        <f>IF($DM802=0,"",IF($L$10=0,"",IFERROR(IF(ISNUMBER(INDEX(PASTE_ALL,$DF802,$L$10)),INDEX(PASTE_ALL,$DF802,$L$10),TRIM(SUBSTITUTE(SUBSTITUTE(SUBSTITUTE(SUBSTITUTE(INDEX(PASTE_ALL,$DF802,$L$10)," "," "),CHAR(9)," "),CHAR(10)," "),CHAR(13)," "))),"")))</f>
        <v/>
      </c>
      <c r="DS802">
        <f>IF($DM802=0,"",IF($L$11=0,"",IFERROR(IF(ISNUMBER(INDEX(PASTE_ALL,$DF802,$L$11)),INDEX(PASTE_ALL,$DF802,$L$11),TRIM(SUBSTITUTE(SUBSTITUTE(SUBSTITUTE(SUBSTITUTE(INDEX(PASTE_ALL,$DF802,$L$11)," "," "),CHAR(9)," "),CHAR(10)," "),CHAR(13)," "))),"")))</f>
        <v/>
      </c>
      <c r="DT802">
        <f>IF($DM802=0,"",IF($L$12=0,"",IFERROR(IF(ISNUMBER(INDEX(PASTE_ALL,$DF802,$L$12)),INDEX(PASTE_ALL,$DF802,$L$12),TRIM(SUBSTITUTE(SUBSTITUTE(SUBSTITUTE(SUBSTITUTE(INDEX(PASTE_ALL,$DF802,$L$12)," "," "),CHAR(9)," "),CHAR(10)," "),CHAR(13)," "))),"")))</f>
        <v/>
      </c>
      <c r="DU802">
        <f>IF($DM802=0,"",IF($L$13=0,"",IFERROR(IF(ISNUMBER(INDEX(PASTE_ALL,$DF802,$L$13)),INDEX(PASTE_ALL,$DF802,$L$13),TRIM(SUBSTITUTE(SUBSTITUTE(SUBSTITUTE(SUBSTITUTE(INDEX(PASTE_ALL,$DF802,$L$13)," "," "),CHAR(9)," "),CHAR(10)," "),CHAR(13)," "))),"")))</f>
        <v/>
      </c>
      <c r="DV802">
        <f>IF($DM802=0,"",IF($L$14=0,"",IFERROR(IF(ISNUMBER(INDEX(PASTE_ALL,$DF802,$L$14)),INDEX(PASTE_ALL,$DF802,$L$14),TRIM(SUBSTITUTE(SUBSTITUTE(SUBSTITUTE(SUBSTITUTE(INDEX(PASTE_ALL,$DF802,$L$14)," "," "),CHAR(9)," "),CHAR(10)," "),CHAR(13)," "))),"")))</f>
        <v/>
      </c>
      <c r="DW802">
        <f>IF($DM802=0,"",IF($L$15=0,"",IFERROR(IF(ISNUMBER(INDEX(PASTE_ALL,$DF802,$L$15)),INDEX(PASTE_ALL,$DF802,$L$15),IF(SUMPRODUCT(--ISNUMBER(FIND({"A","B","C","D","E","F","G","H","I","J","K","L","M","N","O","P","Q","R","S","T","U","V","W","X","Y","Z","0","1","2","3","4","5","6","7","8","9"},UPPER(TRIM(SUBSTITUTE(SUBSTITUTE(SUBSTITUTE(SUBSTITUTE(INDEX(PASTE_ALL,$DF802,$L$15)," "," "),CHAR(9)," "),CHAR(10)," "),CHAR(13)," "))))))&gt;0,TRIM(SUBSTITUTE(SUBSTITUTE(SUBSTITUTE(SUBSTITUTE(INDEX(PASTE_ALL,$DF802,$L$15)," "," "),CHAR(9)," "),CHAR(10)," "),CHAR(13)," ")),"")),"")))</f>
        <v/>
      </c>
      <c r="DX802">
        <f>IF($DM802=0,"",IF($L$16=0,"",IFERROR(IF(ISNUMBER(INDEX(PASTE_ALL,$DF802,$L$16)),INDEX(PASTE_ALL,$DF802,$L$16),SUBSTITUTE(SUBSTITUTE(TRIM(SUBSTITUTE(SUBSTITUTE(SUBSTITUTE(SUBSTITUTE(INDEX(PASTE_ALL,$DF802,$L$16)," "," "),CHAR(9)," "),CHAR(10)," "),CHAR(13)," ")),",",""),"%","")),"")))</f>
        <v/>
      </c>
      <c r="DY802">
        <f>IF($DM802=0,"",IFERROR(IF(ISNUMBER($DX802),$DX802,IF($DX802="","",IF(TRIM($DX802)="",0,IF(AND(AND(SUBSTITUTE(SUBSTITUTE(SUBSTITUTE(SUBSTITUTE(SUBSTITUTE(SUBSTITUTE(SUBSTITUTE(SUBSTITUTE(SUBSTITUTE(SUBSTITUTE(SUBSTITUTE(SUBSTITUTE(SUBSTITUTE(SUBSTITUTE(UPPER(TRIM($DX802)),"0",""),"1",""),"2",""),"3",""),"4",""),"5",""),"6",""),"7",""),"8",""),"9",""),".",""),"+",""),"-",""),"E","")="",LEN(SUBSTITUTE(SUBSTITUTE(MID(UPPER(TRIM($DX802)),1+OR(LEFT(UPPER(TRIM($DX802)),1)="+",LEFT(UPPER(TRIM($DX802)),1)="-"),999),"E+","E"),"E-","E"))=LEN(SUBSTITUTE(SUBSTITUTE(SUBSTITUTE(SUBSTITUTE(MID(UPPER(TRIM($DX802)),1+OR(LEFT(UPPER(TRIM($DX802)),1)="+",LEFT(UPPER(TRIM($DX802)),1)="-"),999),"E+","E"),"E-","E"),"+",""),"-","")),LEN(UPPER(TRIM($DX802)))-LEN(SUBSTITUTE(UPPER(TRIM($DX802)),"E",""))&lt;2,LEN(UPPER(TRIM($DX802)))-LEN(SUBSTITUTE(UPPER(TRIM($DX802)),".",""))&lt;2,IFERROR(FIND(".",UPPER(TRIM($DX802))),0)&lt;IFERROR(FIND("E",UPPER(TRIM($DX802))),999)),ISNUMBER(VALUE(TRIM($DX802)))),VALUE(TRIM($DX802)),"")))),""))</f>
        <v/>
      </c>
      <c r="DZ802">
        <f>IF($DM802=0,"",IF($L$17=0,"",IFERROR(IF(ISNUMBER(INDEX(PASTE_ALL,$DF802,$L$17)),INDEX(PASTE_ALL,$DF802,$L$17),SUBSTITUTE(SUBSTITUTE(TRIM(SUBSTITUTE(SUBSTITUTE(SUBSTITUTE(SUBSTITUTE(INDEX(PASTE_ALL,$DF802,$L$17)," "," "),CHAR(9)," "),CHAR(10)," "),CHAR(13)," ")),",",""),"%","")),"")))</f>
        <v/>
      </c>
      <c r="EA802">
        <f>IF($DM802=0,"",IFERROR(IF(ISNUMBER($DZ802),$DZ802,IF($DZ802="","",IF(TRIM($DZ802)="",0,IF(AND(AND(SUBSTITUTE(SUBSTITUTE(SUBSTITUTE(SUBSTITUTE(SUBSTITUTE(SUBSTITUTE(SUBSTITUTE(SUBSTITUTE(SUBSTITUTE(SUBSTITUTE(SUBSTITUTE(SUBSTITUTE(SUBSTITUTE(SUBSTITUTE(UPPER(TRIM($DZ802)),"0",""),"1",""),"2",""),"3",""),"4",""),"5",""),"6",""),"7",""),"8",""),"9",""),".",""),"+",""),"-",""),"E","")="",LEN(SUBSTITUTE(SUBSTITUTE(MID(UPPER(TRIM($DZ802)),1+OR(LEFT(UPPER(TRIM($DZ802)),1)="+",LEFT(UPPER(TRIM($DZ802)),1)="-"),999),"E+","E"),"E-","E"))=LEN(SUBSTITUTE(SUBSTITUTE(SUBSTITUTE(SUBSTITUTE(MID(UPPER(TRIM($DZ802)),1+OR(LEFT(UPPER(TRIM($DZ802)),1)="+",LEFT(UPPER(TRIM($DZ802)),1)="-"),999),"E+","E"),"E-","E"),"+",""),"-","")),LEN(UPPER(TRIM($DZ802)))-LEN(SUBSTITUTE(UPPER(TRIM($DZ802)),"E",""))&lt;2,LEN(UPPER(TRIM($DZ802)))-LEN(SUBSTITUTE(UPPER(TRIM($DZ802)),".",""))&lt;2,IFERROR(FIND(".",UPPER(TRIM($DZ802))),0)&lt;IFERROR(FIND("E",UPPER(TRIM($DZ802))),999)),ISNUMBER(VALUE(TRIM($DZ802)))),VALUE(TRIM($DZ802)),"")))),""))</f>
        <v/>
      </c>
      <c r="EB802">
        <f>IF($DM802=0,"",IF($L$18=0,"",IFERROR(IF(UPPER(TRIM(SUBSTITUTE(SUBSTITUTE(SUBSTITUTE(SUBSTITUTE(INDEX(PASTE_ALL,$DF802,$L$18)," "," "),CHAR(9)," "),CHAR(10)," "),CHAR(13)," ")))="READY","Ready",IF(UPPER(TRIM(SUBSTITUTE(SUBSTITUTE(SUBSTITUTE(SUBSTITUTE(INDEX(PASTE_ALL,$DF802,$L$18)," "," "),CHAR(9)," "),CHAR(10)," "),CHAR(13)," ")))="PM","PM",IF(OR(UPPER(TRIM(SUBSTITUTE(SUBSTITUTE(SUBSTITUTE(SUBSTITUTE(INDEX(PASTE_ALL,$DF802,$L$18)," "," "),CHAR(9)," "),CHAR(10)," "),CHAR(13)," ")))="OT",UPPER(TRIM(SUBSTITUTE(SUBSTITUTE(SUBSTITUTE(SUBSTITUTE(INDEX(PASTE_ALL,$DF802,$L$18)," "," "),CHAR(9)," "),CHAR(10)," "),CHAR(13)," ")))="OVERTIME",UPPER(TRIM(SUBSTITUTE(SUBSTITUTE(SUBSTITUTE(SUBSTITUTE(INDEX(PASTE_ALL,$DF802,$L$18)," "," "),CHAR(9)," "),CHAR(10)," "),CHAR(13)," ")))="TRIAL"),"OT",TRIM(SUBSTITUTE(SUBSTITUTE(SUBSTITUTE(SUBSTITUTE(INDEX(PASTE_ALL,$DF802,$L$18)," "," "),CHAR(9)," "),CHAR(10)," "),CHAR(13)," "))))),"")))</f>
        <v/>
      </c>
      <c r="EC802">
        <f>IF($DM802=0,"",IF($L$19=0,"",IFERROR(IF(ISNUMBER(INDEX(PASTE_ALL,$DF802,$L$19)),INDEX(PASTE_ALL,$DF802,$L$19),TRIM(SUBSTITUTE(SUBSTITUTE(SUBSTITUTE(SUBSTITUTE(INDEX(PASTE_ALL,$DF802,$L$19)," "," "),CHAR(9)," "),CHAR(10)," "),CHAR(13)," "))),"")))</f>
        <v/>
      </c>
      <c r="ED802">
        <f>IF($DM802=0,"",MATCH(1,INDEX(EXACT($DH$5:DH802,$DH802)*$DM$5:DM802,0),0))</f>
        <v/>
      </c>
      <c r="EE802">
        <f>IF($DM802=0,0,IF($ED802=$DE802,1,0))</f>
        <v/>
      </c>
      <c r="EF802">
        <f>EF801+$EE802</f>
        <v/>
      </c>
      <c r="EG802">
        <f>IF($DM802=0,"",INDEX($EF$5:$EF$1003,$ED802))</f>
        <v/>
      </c>
      <c r="EH802">
        <f>IF($DM802=0,"",IF($DO802&lt;&gt;"","",IFERROR(LOOKUP(2,1/(($EG$4:EG801=$EG802)*($DO$4:DO801&lt;&gt;"")),$DO$4:DO801),"")))</f>
        <v/>
      </c>
      <c r="EI802">
        <f>IF($DM802=0,"",IF($DO802&lt;&gt;"",$DO802,$EH802))</f>
        <v/>
      </c>
      <c r="EJ802">
        <f>IF($DM802=0,"",IF($EI802="",0,IF(OR(ISNUMBER($EI802),AND(AND(SUBSTITUTE(SUBSTITUTE(SUBSTITUTE(SUBSTITUTE(SUBSTITUTE(SUBSTITUTE(SUBSTITUTE(SUBSTITUTE(SUBSTITUTE(SUBSTITUTE(SUBSTITUTE(SUBSTITUTE(SUBSTITUTE(SUBSTITUTE(UPPER($EI802),"0",""),"1",""),"2",""),"3",""),"4",""),"5",""),"6",""),"7",""),"8",""),"9",""),".",""),"+",""),"-",""),"E","")="",LEN(SUBSTITUTE(SUBSTITUTE(MID(UPPER($EI802),1+OR(LEFT(UPPER($EI802),1)="+",LEFT(UPPER($EI802),1)="-"),999),"E+","E"),"E-","E"))=LEN(SUBSTITUTE(SUBSTITUTE(SUBSTITUTE(SUBSTITUTE(MID(UPPER($EI802),1+OR(LEFT(UPPER($EI802),1)="+",LEFT(UPPER($EI802),1)="-"),999),"E+","E"),"E-","E"),"+",""),"-","")),LEN(UPPER($EI802))-LEN(SUBSTITUTE(UPPER($EI802),"E",""))&lt;2,LEN(UPPER($EI802))-LEN(SUBSTITUTE(UPPER($EI802),".",""))&lt;2,IFERROR(FIND(".",UPPER($EI802)),0)&lt;IFERROR(FIND("E",UPPER($EI802)),999)),ISNUMBER(VALUE($EI802)))),1,2)))</f>
        <v/>
      </c>
      <c r="EK802">
        <f>IF($DM802=0,"",IF($EJ802=1,IF(ISNUMBER($EI802),$EI802,VALUE($EI802)),IF($EJ802=2,$DE802,0)))</f>
        <v/>
      </c>
      <c r="EL802">
        <f>IF($DM802=0,"",COUNTIF($EG$5:$EG$1003,"&lt;"&amp;$EG802)+SUMPRODUCT(($EG$5:$EG$1003=$EG802)*(($EJ$5:$EJ$1003&lt;$EJ802)+($EJ$5:$EJ$1003=$EJ802)*(($EK$5:$EK$1003&lt;$EK802)+($EK$5:$EK$1003=$EK802)*($DE$5:$DE$1003&lt;$DE802))))+1)</f>
        <v/>
      </c>
      <c r="EM802">
        <f>IF($DM802=0,"",$EL802+$EG802-1)</f>
        <v/>
      </c>
      <c r="EN802">
        <f>IF($DM802=0,0,IFERROR(MATCH(1,INDEX(--(TRIM(SUBSTITUTE(SUBSTITUTE(SUBSTITUTE(SUBSTITUTE(LINES_NAME&amp;""," "," "),CHAR(9)," "),CHAR(10)," "),CHAR(13)," "))=$DH802),0),0),0))</f>
        <v/>
      </c>
      <c r="EO802">
        <f>IF($EN802=0,0,IF(OR(UPPER(TRIM(INDEX(LINES_SCHEDULED,$EN802)&amp;""))="YES",UPPER(TRIM(INDEX(LINES_SCHEDULED,$EN802)&amp;""))="Y",UPPER(TRIM(INDEX(LINES_SCHEDULED,$EN802)&amp;""))="X"),1,0))</f>
        <v/>
      </c>
      <c r="EP802">
        <f>IF($DM802=0,"",IF(COUNTIFS($EG$5:$EG$1003,$EG802,$EB$5:$EB$1003,"Ready")&gt;0,"READY",IF(COUNTIFS($EG$5:$EG$1003,$EG802,$EB$5:$EB$1003,"PM")&gt;0,"PM",IF(COUNTIFS($EG$5:$EG$1003,$EG802,$EB$5:$EB$1003,"OT")&gt;0,"OT",""))))</f>
        <v/>
      </c>
      <c r="EQ802">
        <f>IF($EN802=0,"",UPPER(TRIM(INDEX(LINES_STATUS,$EN802)&amp;"")))</f>
        <v/>
      </c>
      <c r="ER802">
        <f>IF($DM802=0,"",IF(OR($EQ802="READY",$EQ802="PM",$EQ802="OT"),$EQ802,$EP802))</f>
        <v/>
      </c>
      <c r="ES802">
        <f>IF($DM802=0,"",IF(AND($DV802&lt;&gt;"",UPPER($DV802)&lt;&gt;"N"),"allergen",IF(ISNUMBER(SEARCH("oil",$DQ802)),"oil",IF(OR(EXACT($DS802,"A662"),EXACT($DS802,"A624")),"bulk",""))))</f>
        <v/>
      </c>
      <c r="ET802">
        <f>IF($DM802=0,"",IF(OR($EA802="",$EA802=0),"",$EA802/100))</f>
        <v/>
      </c>
      <c r="EU802">
        <f>IF(OR($ET802="",$DY802=""),"",INT($DY802*(1-$ET802)+0.5))</f>
        <v/>
      </c>
    </row>
    <row r="803">
      <c r="DA803" t="n">
        <v>799</v>
      </c>
      <c r="DB803">
        <f>IF($B$37=0,"",IFERROR(TRIM(SUBSTITUTE(SUBSTITUTE(SUBSTITUTE(SUBSTITUTE(INDEX(PASTE_ALL,799,$B$37)," "," "),CHAR(9)," "),CHAR(10)," "),CHAR(13)," ")),""))</f>
        <v/>
      </c>
      <c r="DC803">
        <f>IF(AND(799&gt;HEADER_ROW,UPPER(DB803)="LEGEND"),1,0)</f>
        <v/>
      </c>
      <c r="DE803" t="n">
        <v>799</v>
      </c>
      <c r="DF803">
        <f>HEADER_ROW+$DE803</f>
        <v/>
      </c>
      <c r="DG803">
        <f>IF(AND($DF803&lt;=1000,$DF803&lt;$B$8),1,0)</f>
        <v/>
      </c>
      <c r="DH803">
        <f>IF($DG803=1,IFERROR(INDEX($DB$5:$DB$1004,$DF803),""),"")</f>
        <v/>
      </c>
      <c r="DI803">
        <f>IF(AND($DG803=1,$DH803&lt;&gt;""),IFERROR(SUBSTITUTE(SUBSTITUTE(TRIM(SUBSTITUTE(SUBSTITUTE(SUBSTITUTE(SUBSTITUTE(IFERROR(INDEX(PASTE_ALL,$DF803,1)&amp;"","")&amp;"␟"&amp;IFERROR(INDEX(PASTE_ALL,$DF803,2)&amp;"","")&amp;"␟"&amp;IFERROR(INDEX(PASTE_ALL,$DF803,3)&amp;"","")&amp;"␟"&amp;IFERROR(INDEX(PASTE_ALL,$DF803,4)&amp;"","")&amp;"␟"&amp;IFERROR(INDEX(PASTE_ALL,$DF803,5)&amp;"","")&amp;"␟"&amp;IFERROR(INDEX(PASTE_ALL,$DF803,6)&amp;"","")&amp;"␟"&amp;IFERROR(INDEX(PASTE_ALL,$DF803,7)&amp;"","")&amp;"␟"&amp;IFERROR(INDEX(PASTE_ALL,$DF803,8)&amp;"","")&amp;"␟"&amp;IFERROR(INDEX(PASTE_ALL,$DF803,9)&amp;"","")&amp;"␟"&amp;IFERROR(INDEX(PASTE_ALL,$DF803,10)&amp;"","")&amp;"␟"&amp;IFERROR(INDEX(PASTE_ALL,$DF803,11)&amp;"","")&amp;"␟"&amp;IFERROR(INDEX(PASTE_ALL,$DF803,12)&amp;"","")&amp;"␟"&amp;IFERROR(INDEX(PASTE_ALL,$DF803,13)&amp;"","")&amp;"␟"&amp;IFERROR(INDEX(PASTE_ALL,$DF803,14)&amp;"","")&amp;"␟"&amp;IFERROR(INDEX(PASTE_ALL,$DF803,15)&amp;"","")&amp;"␟"&amp;IFERROR(INDEX(PASTE_ALL,$DF803,16)&amp;"","")&amp;"␟"&amp;IFERROR(INDEX(PASTE_ALL,$DF803,17)&amp;"","")&amp;"␟"&amp;IFERROR(INDEX(PASTE_ALL,$DF803,18)&amp;"","")&amp;"␟"&amp;IFERROR(INDEX(PASTE_ALL,$DF803,19)&amp;"","")&amp;"␟"&amp;IFERROR(INDEX(PASTE_ALL,$DF803,20)&amp;"","")&amp;"␟"&amp;IFERROR(INDEX(PASTE_ALL,$DF803,21)&amp;"","")&amp;"␟"&amp;IFERROR(INDEX(PASTE_ALL,$DF803,22)&amp;"","")&amp;"␟"&amp;IFERROR(INDEX(PASTE_ALL,$DF803,23)&amp;"","")&amp;"␟"&amp;IFERROR(INDEX(PASTE_ALL,$DF803,24)&amp;"","")&amp;"␟"&amp;IFERROR(INDEX(PASTE_ALL,$DF803,25)&amp;"","")&amp;"␟"&amp;IFERROR(INDEX(PASTE_ALL,$DF803,26)&amp;"","")&amp;"␟"&amp;IFERROR(INDEX(PASTE_ALL,$DF803,27)&amp;"","")&amp;"␟"&amp;IFERROR(INDEX(PASTE_ALL,$DF803,28)&amp;"","")&amp;"␟"&amp;IFERROR(INDEX(PASTE_ALL,$DF803,29)&amp;"","")&amp;"␟"&amp;IFERROR(INDEX(PASTE_ALL,$DF803,30)&amp;"","")&amp;"␟"&amp;IFERROR(INDEX(PASTE_ALL,$DF803,31)&amp;"","")&amp;"␟"&amp;IFERROR(INDEX(PASTE_ALL,$DF803,32)&amp;"","")&amp;"␟"&amp;IFERROR(INDEX(PASTE_ALL,$DF803,33)&amp;"","")&amp;"␟"&amp;IFERROR(INDEX(PASTE_ALL,$DF803,34)&amp;"","")&amp;"␟"&amp;IFERROR(INDEX(PASTE_ALL,$DF803,35)&amp;"","")&amp;"␟"&amp;IFERROR(INDEX(PASTE_ALL,$DF803,36)&amp;"","")&amp;"␟"&amp;IFERROR(INDEX(PASTE_ALL,$DF803,37)&amp;"","")&amp;"␟"&amp;IFERROR(INDEX(PASTE_ALL,$DF803,38)&amp;"","")&amp;"␟"&amp;IFERROR(INDEX(PASTE_ALL,$DF803,39)&amp;"","")&amp;"␟"&amp;IFERROR(INDEX(PASTE_ALL,$DF803,40)&amp;"","")&amp;"␟"&amp;IFERROR(INDEX(PASTE_ALL,$DF803,41)&amp;"","")&amp;"␟"&amp;IFERROR(INDEX(PASTE_ALL,$DF803,42)&amp;"","")&amp;"␟"&amp;IFERROR(INDEX(PASTE_ALL,$DF803,43)&amp;"","")&amp;"␟"&amp;IFERROR(INDEX(PASTE_ALL,$DF803,44)&amp;"","")&amp;"␟"&amp;IFERROR(INDEX(PASTE_ALL,$DF803,45)&amp;"","")&amp;"␟"&amp;IFERROR(INDEX(PASTE_ALL,$DF803,46)&amp;"","")&amp;"␟"&amp;IFERROR(INDEX(PASTE_ALL,$DF803,47)&amp;"","")&amp;"␟"&amp;IFERROR(INDEX(PASTE_ALL,$DF803,48)&amp;"","")&amp;"␟"&amp;IFERROR(INDEX(PASTE_ALL,$DF803,49)&amp;"","")&amp;"␟"&amp;IFERROR(INDEX(PASTE_ALL,$DF803,50)&amp;"","")&amp;"␟"&amp;IFERROR(INDEX(PASTE_ALL,$DF803,51)&amp;"","")&amp;"␟"&amp;IFERROR(INDEX(PASTE_ALL,$DF803,52)&amp;"","")&amp;"␟"&amp;IFERROR(INDEX(PASTE_ALL,$DF803,53)&amp;"","")&amp;"␟"&amp;IFERROR(INDEX(PASTE_ALL,$DF803,54)&amp;"","")&amp;"␟"&amp;IFERROR(INDEX(PASTE_ALL,$DF803,55)&amp;"","")&amp;"␟"&amp;IFERROR(INDEX(PASTE_ALL,$DF803,56)&amp;"","")&amp;"␟"&amp;IFERROR(INDEX(PASTE_ALL,$DF803,57)&amp;"","")&amp;"␟"&amp;IFERROR(INDEX(PASTE_ALL,$DF803,58)&amp;"","")&amp;"␟"&amp;IFERROR(INDEX(PASTE_ALL,$DF803,59)&amp;"","")&amp;"␟"&amp;IFERROR(INDEX(PASTE_ALL,$DF803,60)&amp;"","")," "," "),CHAR(9)," "),CHAR(10)," "),CHAR(13)," "))," ␟","␟"),"␟ ","␟"),"#"&amp;$DE803),"")</f>
        <v/>
      </c>
      <c r="DJ803">
        <f>IF($DI803="",0,IF(SUMPRODUCT(--EXACT($DI$4:DI802,$DI803))&gt;0,1,0))</f>
        <v/>
      </c>
      <c r="DK803">
        <f>IF(AND($DI803&lt;&gt;"",$DJ803=0),1,0)</f>
        <v/>
      </c>
      <c r="DL803">
        <f>DL802+$DK803</f>
        <v/>
      </c>
      <c r="DM803">
        <f>IF(AND($DK803=1,$DL803&lt;=600),1,0)</f>
        <v/>
      </c>
      <c r="DN803">
        <f>IF($DM803=0,"",IF($L$6=0,"",IFERROR(IF(ISNUMBER(INDEX(PASTE_ALL,$DF803,$L$6)),INDEX(PASTE_ALL,$DF803,$L$6),TRIM(SUBSTITUTE(SUBSTITUTE(SUBSTITUTE(SUBSTITUTE(INDEX(PASTE_ALL,$DF803,$L$6)," "," "),CHAR(9)," "),CHAR(10)," "),CHAR(13)," "))),"")))</f>
        <v/>
      </c>
      <c r="DO803">
        <f>IF($DM803=0,"",IF($L$7=0,"",IFERROR(IF(ISNUMBER(INDEX(PASTE_ALL,$DF803,$L$7)),INDEX(PASTE_ALL,$DF803,$L$7),TRIM(SUBSTITUTE(SUBSTITUTE(SUBSTITUTE(SUBSTITUTE(INDEX(PASTE_ALL,$DF803,$L$7)," "," "),CHAR(9)," "),CHAR(10)," "),CHAR(13)," "))),"")))</f>
        <v/>
      </c>
      <c r="DP803">
        <f>IF($DM803=0,"",IF($L$8=0,"",IFERROR(IF(ISNUMBER(INDEX(PASTE_ALL,$DF803,$L$8)),INDEX(PASTE_ALL,$DF803,$L$8),TRIM(SUBSTITUTE(SUBSTITUTE(SUBSTITUTE(SUBSTITUTE(INDEX(PASTE_ALL,$DF803,$L$8)," "," "),CHAR(9)," "),CHAR(10)," "),CHAR(13)," "))),"")))</f>
        <v/>
      </c>
      <c r="DQ803">
        <f>IF($DM803=0,"",IF($L$9=0,"",IFERROR(IF(ISNUMBER(INDEX(PASTE_ALL,$DF803,$L$9)),INDEX(PASTE_ALL,$DF803,$L$9),TRIM(SUBSTITUTE(SUBSTITUTE(SUBSTITUTE(SUBSTITUTE(INDEX(PASTE_ALL,$DF803,$L$9)," "," "),CHAR(9)," "),CHAR(10)," "),CHAR(13)," "))),"")))</f>
        <v/>
      </c>
      <c r="DR803">
        <f>IF($DM803=0,"",IF($L$10=0,"",IFERROR(IF(ISNUMBER(INDEX(PASTE_ALL,$DF803,$L$10)),INDEX(PASTE_ALL,$DF803,$L$10),TRIM(SUBSTITUTE(SUBSTITUTE(SUBSTITUTE(SUBSTITUTE(INDEX(PASTE_ALL,$DF803,$L$10)," "," "),CHAR(9)," "),CHAR(10)," "),CHAR(13)," "))),"")))</f>
        <v/>
      </c>
      <c r="DS803">
        <f>IF($DM803=0,"",IF($L$11=0,"",IFERROR(IF(ISNUMBER(INDEX(PASTE_ALL,$DF803,$L$11)),INDEX(PASTE_ALL,$DF803,$L$11),TRIM(SUBSTITUTE(SUBSTITUTE(SUBSTITUTE(SUBSTITUTE(INDEX(PASTE_ALL,$DF803,$L$11)," "," "),CHAR(9)," "),CHAR(10)," "),CHAR(13)," "))),"")))</f>
        <v/>
      </c>
      <c r="DT803">
        <f>IF($DM803=0,"",IF($L$12=0,"",IFERROR(IF(ISNUMBER(INDEX(PASTE_ALL,$DF803,$L$12)),INDEX(PASTE_ALL,$DF803,$L$12),TRIM(SUBSTITUTE(SUBSTITUTE(SUBSTITUTE(SUBSTITUTE(INDEX(PASTE_ALL,$DF803,$L$12)," "," "),CHAR(9)," "),CHAR(10)," "),CHAR(13)," "))),"")))</f>
        <v/>
      </c>
      <c r="DU803">
        <f>IF($DM803=0,"",IF($L$13=0,"",IFERROR(IF(ISNUMBER(INDEX(PASTE_ALL,$DF803,$L$13)),INDEX(PASTE_ALL,$DF803,$L$13),TRIM(SUBSTITUTE(SUBSTITUTE(SUBSTITUTE(SUBSTITUTE(INDEX(PASTE_ALL,$DF803,$L$13)," "," "),CHAR(9)," "),CHAR(10)," "),CHAR(13)," "))),"")))</f>
        <v/>
      </c>
      <c r="DV803">
        <f>IF($DM803=0,"",IF($L$14=0,"",IFERROR(IF(ISNUMBER(INDEX(PASTE_ALL,$DF803,$L$14)),INDEX(PASTE_ALL,$DF803,$L$14),TRIM(SUBSTITUTE(SUBSTITUTE(SUBSTITUTE(SUBSTITUTE(INDEX(PASTE_ALL,$DF803,$L$14)," "," "),CHAR(9)," "),CHAR(10)," "),CHAR(13)," "))),"")))</f>
        <v/>
      </c>
      <c r="DW803">
        <f>IF($DM803=0,"",IF($L$15=0,"",IFERROR(IF(ISNUMBER(INDEX(PASTE_ALL,$DF803,$L$15)),INDEX(PASTE_ALL,$DF803,$L$15),IF(SUMPRODUCT(--ISNUMBER(FIND({"A","B","C","D","E","F","G","H","I","J","K","L","M","N","O","P","Q","R","S","T","U","V","W","X","Y","Z","0","1","2","3","4","5","6","7","8","9"},UPPER(TRIM(SUBSTITUTE(SUBSTITUTE(SUBSTITUTE(SUBSTITUTE(INDEX(PASTE_ALL,$DF803,$L$15)," "," "),CHAR(9)," "),CHAR(10)," "),CHAR(13)," "))))))&gt;0,TRIM(SUBSTITUTE(SUBSTITUTE(SUBSTITUTE(SUBSTITUTE(INDEX(PASTE_ALL,$DF803,$L$15)," "," "),CHAR(9)," "),CHAR(10)," "),CHAR(13)," ")),"")),"")))</f>
        <v/>
      </c>
      <c r="DX803">
        <f>IF($DM803=0,"",IF($L$16=0,"",IFERROR(IF(ISNUMBER(INDEX(PASTE_ALL,$DF803,$L$16)),INDEX(PASTE_ALL,$DF803,$L$16),SUBSTITUTE(SUBSTITUTE(TRIM(SUBSTITUTE(SUBSTITUTE(SUBSTITUTE(SUBSTITUTE(INDEX(PASTE_ALL,$DF803,$L$16)," "," "),CHAR(9)," "),CHAR(10)," "),CHAR(13)," ")),",",""),"%","")),"")))</f>
        <v/>
      </c>
      <c r="DY803">
        <f>IF($DM803=0,"",IFERROR(IF(ISNUMBER($DX803),$DX803,IF($DX803="","",IF(TRIM($DX803)="",0,IF(AND(AND(SUBSTITUTE(SUBSTITUTE(SUBSTITUTE(SUBSTITUTE(SUBSTITUTE(SUBSTITUTE(SUBSTITUTE(SUBSTITUTE(SUBSTITUTE(SUBSTITUTE(SUBSTITUTE(SUBSTITUTE(SUBSTITUTE(SUBSTITUTE(UPPER(TRIM($DX803)),"0",""),"1",""),"2",""),"3",""),"4",""),"5",""),"6",""),"7",""),"8",""),"9",""),".",""),"+",""),"-",""),"E","")="",LEN(SUBSTITUTE(SUBSTITUTE(MID(UPPER(TRIM($DX803)),1+OR(LEFT(UPPER(TRIM($DX803)),1)="+",LEFT(UPPER(TRIM($DX803)),1)="-"),999),"E+","E"),"E-","E"))=LEN(SUBSTITUTE(SUBSTITUTE(SUBSTITUTE(SUBSTITUTE(MID(UPPER(TRIM($DX803)),1+OR(LEFT(UPPER(TRIM($DX803)),1)="+",LEFT(UPPER(TRIM($DX803)),1)="-"),999),"E+","E"),"E-","E"),"+",""),"-","")),LEN(UPPER(TRIM($DX803)))-LEN(SUBSTITUTE(UPPER(TRIM($DX803)),"E",""))&lt;2,LEN(UPPER(TRIM($DX803)))-LEN(SUBSTITUTE(UPPER(TRIM($DX803)),".",""))&lt;2,IFERROR(FIND(".",UPPER(TRIM($DX803))),0)&lt;IFERROR(FIND("E",UPPER(TRIM($DX803))),999)),ISNUMBER(VALUE(TRIM($DX803)))),VALUE(TRIM($DX803)),"")))),""))</f>
        <v/>
      </c>
      <c r="DZ803">
        <f>IF($DM803=0,"",IF($L$17=0,"",IFERROR(IF(ISNUMBER(INDEX(PASTE_ALL,$DF803,$L$17)),INDEX(PASTE_ALL,$DF803,$L$17),SUBSTITUTE(SUBSTITUTE(TRIM(SUBSTITUTE(SUBSTITUTE(SUBSTITUTE(SUBSTITUTE(INDEX(PASTE_ALL,$DF803,$L$17)," "," "),CHAR(9)," "),CHAR(10)," "),CHAR(13)," ")),",",""),"%","")),"")))</f>
        <v/>
      </c>
      <c r="EA803">
        <f>IF($DM803=0,"",IFERROR(IF(ISNUMBER($DZ803),$DZ803,IF($DZ803="","",IF(TRIM($DZ803)="",0,IF(AND(AND(SUBSTITUTE(SUBSTITUTE(SUBSTITUTE(SUBSTITUTE(SUBSTITUTE(SUBSTITUTE(SUBSTITUTE(SUBSTITUTE(SUBSTITUTE(SUBSTITUTE(SUBSTITUTE(SUBSTITUTE(SUBSTITUTE(SUBSTITUTE(UPPER(TRIM($DZ803)),"0",""),"1",""),"2",""),"3",""),"4",""),"5",""),"6",""),"7",""),"8",""),"9",""),".",""),"+",""),"-",""),"E","")="",LEN(SUBSTITUTE(SUBSTITUTE(MID(UPPER(TRIM($DZ803)),1+OR(LEFT(UPPER(TRIM($DZ803)),1)="+",LEFT(UPPER(TRIM($DZ803)),1)="-"),999),"E+","E"),"E-","E"))=LEN(SUBSTITUTE(SUBSTITUTE(SUBSTITUTE(SUBSTITUTE(MID(UPPER(TRIM($DZ803)),1+OR(LEFT(UPPER(TRIM($DZ803)),1)="+",LEFT(UPPER(TRIM($DZ803)),1)="-"),999),"E+","E"),"E-","E"),"+",""),"-","")),LEN(UPPER(TRIM($DZ803)))-LEN(SUBSTITUTE(UPPER(TRIM($DZ803)),"E",""))&lt;2,LEN(UPPER(TRIM($DZ803)))-LEN(SUBSTITUTE(UPPER(TRIM($DZ803)),".",""))&lt;2,IFERROR(FIND(".",UPPER(TRIM($DZ803))),0)&lt;IFERROR(FIND("E",UPPER(TRIM($DZ803))),999)),ISNUMBER(VALUE(TRIM($DZ803)))),VALUE(TRIM($DZ803)),"")))),""))</f>
        <v/>
      </c>
      <c r="EB803">
        <f>IF($DM803=0,"",IF($L$18=0,"",IFERROR(IF(UPPER(TRIM(SUBSTITUTE(SUBSTITUTE(SUBSTITUTE(SUBSTITUTE(INDEX(PASTE_ALL,$DF803,$L$18)," "," "),CHAR(9)," "),CHAR(10)," "),CHAR(13)," ")))="READY","Ready",IF(UPPER(TRIM(SUBSTITUTE(SUBSTITUTE(SUBSTITUTE(SUBSTITUTE(INDEX(PASTE_ALL,$DF803,$L$18)," "," "),CHAR(9)," "),CHAR(10)," "),CHAR(13)," ")))="PM","PM",IF(OR(UPPER(TRIM(SUBSTITUTE(SUBSTITUTE(SUBSTITUTE(SUBSTITUTE(INDEX(PASTE_ALL,$DF803,$L$18)," "," "),CHAR(9)," "),CHAR(10)," "),CHAR(13)," ")))="OT",UPPER(TRIM(SUBSTITUTE(SUBSTITUTE(SUBSTITUTE(SUBSTITUTE(INDEX(PASTE_ALL,$DF803,$L$18)," "," "),CHAR(9)," "),CHAR(10)," "),CHAR(13)," ")))="OVERTIME",UPPER(TRIM(SUBSTITUTE(SUBSTITUTE(SUBSTITUTE(SUBSTITUTE(INDEX(PASTE_ALL,$DF803,$L$18)," "," "),CHAR(9)," "),CHAR(10)," "),CHAR(13)," ")))="TRIAL"),"OT",TRIM(SUBSTITUTE(SUBSTITUTE(SUBSTITUTE(SUBSTITUTE(INDEX(PASTE_ALL,$DF803,$L$18)," "," "),CHAR(9)," "),CHAR(10)," "),CHAR(13)," "))))),"")))</f>
        <v/>
      </c>
      <c r="EC803">
        <f>IF($DM803=0,"",IF($L$19=0,"",IFERROR(IF(ISNUMBER(INDEX(PASTE_ALL,$DF803,$L$19)),INDEX(PASTE_ALL,$DF803,$L$19),TRIM(SUBSTITUTE(SUBSTITUTE(SUBSTITUTE(SUBSTITUTE(INDEX(PASTE_ALL,$DF803,$L$19)," "," "),CHAR(9)," "),CHAR(10)," "),CHAR(13)," "))),"")))</f>
        <v/>
      </c>
      <c r="ED803">
        <f>IF($DM803=0,"",MATCH(1,INDEX(EXACT($DH$5:DH803,$DH803)*$DM$5:DM803,0),0))</f>
        <v/>
      </c>
      <c r="EE803">
        <f>IF($DM803=0,0,IF($ED803=$DE803,1,0))</f>
        <v/>
      </c>
      <c r="EF803">
        <f>EF802+$EE803</f>
        <v/>
      </c>
      <c r="EG803">
        <f>IF($DM803=0,"",INDEX($EF$5:$EF$1003,$ED803))</f>
        <v/>
      </c>
      <c r="EH803">
        <f>IF($DM803=0,"",IF($DO803&lt;&gt;"","",IFERROR(LOOKUP(2,1/(($EG$4:EG802=$EG803)*($DO$4:DO802&lt;&gt;"")),$DO$4:DO802),"")))</f>
        <v/>
      </c>
      <c r="EI803">
        <f>IF($DM803=0,"",IF($DO803&lt;&gt;"",$DO803,$EH803))</f>
        <v/>
      </c>
      <c r="EJ803">
        <f>IF($DM803=0,"",IF($EI803="",0,IF(OR(ISNUMBER($EI803),AND(AND(SUBSTITUTE(SUBSTITUTE(SUBSTITUTE(SUBSTITUTE(SUBSTITUTE(SUBSTITUTE(SUBSTITUTE(SUBSTITUTE(SUBSTITUTE(SUBSTITUTE(SUBSTITUTE(SUBSTITUTE(SUBSTITUTE(SUBSTITUTE(UPPER($EI803),"0",""),"1",""),"2",""),"3",""),"4",""),"5",""),"6",""),"7",""),"8",""),"9",""),".",""),"+",""),"-",""),"E","")="",LEN(SUBSTITUTE(SUBSTITUTE(MID(UPPER($EI803),1+OR(LEFT(UPPER($EI803),1)="+",LEFT(UPPER($EI803),1)="-"),999),"E+","E"),"E-","E"))=LEN(SUBSTITUTE(SUBSTITUTE(SUBSTITUTE(SUBSTITUTE(MID(UPPER($EI803),1+OR(LEFT(UPPER($EI803),1)="+",LEFT(UPPER($EI803),1)="-"),999),"E+","E"),"E-","E"),"+",""),"-","")),LEN(UPPER($EI803))-LEN(SUBSTITUTE(UPPER($EI803),"E",""))&lt;2,LEN(UPPER($EI803))-LEN(SUBSTITUTE(UPPER($EI803),".",""))&lt;2,IFERROR(FIND(".",UPPER($EI803)),0)&lt;IFERROR(FIND("E",UPPER($EI803)),999)),ISNUMBER(VALUE($EI803)))),1,2)))</f>
        <v/>
      </c>
      <c r="EK803">
        <f>IF($DM803=0,"",IF($EJ803=1,IF(ISNUMBER($EI803),$EI803,VALUE($EI803)),IF($EJ803=2,$DE803,0)))</f>
        <v/>
      </c>
      <c r="EL803">
        <f>IF($DM803=0,"",COUNTIF($EG$5:$EG$1003,"&lt;"&amp;$EG803)+SUMPRODUCT(($EG$5:$EG$1003=$EG803)*(($EJ$5:$EJ$1003&lt;$EJ803)+($EJ$5:$EJ$1003=$EJ803)*(($EK$5:$EK$1003&lt;$EK803)+($EK$5:$EK$1003=$EK803)*($DE$5:$DE$1003&lt;$DE803))))+1)</f>
        <v/>
      </c>
      <c r="EM803">
        <f>IF($DM803=0,"",$EL803+$EG803-1)</f>
        <v/>
      </c>
      <c r="EN803">
        <f>IF($DM803=0,0,IFERROR(MATCH(1,INDEX(--(TRIM(SUBSTITUTE(SUBSTITUTE(SUBSTITUTE(SUBSTITUTE(LINES_NAME&amp;""," "," "),CHAR(9)," "),CHAR(10)," "),CHAR(13)," "))=$DH803),0),0),0))</f>
        <v/>
      </c>
      <c r="EO803">
        <f>IF($EN803=0,0,IF(OR(UPPER(TRIM(INDEX(LINES_SCHEDULED,$EN803)&amp;""))="YES",UPPER(TRIM(INDEX(LINES_SCHEDULED,$EN803)&amp;""))="Y",UPPER(TRIM(INDEX(LINES_SCHEDULED,$EN803)&amp;""))="X"),1,0))</f>
        <v/>
      </c>
      <c r="EP803">
        <f>IF($DM803=0,"",IF(COUNTIFS($EG$5:$EG$1003,$EG803,$EB$5:$EB$1003,"Ready")&gt;0,"READY",IF(COUNTIFS($EG$5:$EG$1003,$EG803,$EB$5:$EB$1003,"PM")&gt;0,"PM",IF(COUNTIFS($EG$5:$EG$1003,$EG803,$EB$5:$EB$1003,"OT")&gt;0,"OT",""))))</f>
        <v/>
      </c>
      <c r="EQ803">
        <f>IF($EN803=0,"",UPPER(TRIM(INDEX(LINES_STATUS,$EN803)&amp;"")))</f>
        <v/>
      </c>
      <c r="ER803">
        <f>IF($DM803=0,"",IF(OR($EQ803="READY",$EQ803="PM",$EQ803="OT"),$EQ803,$EP803))</f>
        <v/>
      </c>
      <c r="ES803">
        <f>IF($DM803=0,"",IF(AND($DV803&lt;&gt;"",UPPER($DV803)&lt;&gt;"N"),"allergen",IF(ISNUMBER(SEARCH("oil",$DQ803)),"oil",IF(OR(EXACT($DS803,"A662"),EXACT($DS803,"A624")),"bulk",""))))</f>
        <v/>
      </c>
      <c r="ET803">
        <f>IF($DM803=0,"",IF(OR($EA803="",$EA803=0),"",$EA803/100))</f>
        <v/>
      </c>
      <c r="EU803">
        <f>IF(OR($ET803="",$DY803=""),"",INT($DY803*(1-$ET803)+0.5))</f>
        <v/>
      </c>
    </row>
    <row r="804">
      <c r="DA804" t="n">
        <v>800</v>
      </c>
      <c r="DB804">
        <f>IF($B$37=0,"",IFERROR(TRIM(SUBSTITUTE(SUBSTITUTE(SUBSTITUTE(SUBSTITUTE(INDEX(PASTE_ALL,800,$B$37)," "," "),CHAR(9)," "),CHAR(10)," "),CHAR(13)," ")),""))</f>
        <v/>
      </c>
      <c r="DC804">
        <f>IF(AND(800&gt;HEADER_ROW,UPPER(DB804)="LEGEND"),1,0)</f>
        <v/>
      </c>
      <c r="DE804" t="n">
        <v>800</v>
      </c>
      <c r="DF804">
        <f>HEADER_ROW+$DE804</f>
        <v/>
      </c>
      <c r="DG804">
        <f>IF(AND($DF804&lt;=1000,$DF804&lt;$B$8),1,0)</f>
        <v/>
      </c>
      <c r="DH804">
        <f>IF($DG804=1,IFERROR(INDEX($DB$5:$DB$1004,$DF804),""),"")</f>
        <v/>
      </c>
      <c r="DI804">
        <f>IF(AND($DG804=1,$DH804&lt;&gt;""),IFERROR(SUBSTITUTE(SUBSTITUTE(TRIM(SUBSTITUTE(SUBSTITUTE(SUBSTITUTE(SUBSTITUTE(IFERROR(INDEX(PASTE_ALL,$DF804,1)&amp;"","")&amp;"␟"&amp;IFERROR(INDEX(PASTE_ALL,$DF804,2)&amp;"","")&amp;"␟"&amp;IFERROR(INDEX(PASTE_ALL,$DF804,3)&amp;"","")&amp;"␟"&amp;IFERROR(INDEX(PASTE_ALL,$DF804,4)&amp;"","")&amp;"␟"&amp;IFERROR(INDEX(PASTE_ALL,$DF804,5)&amp;"","")&amp;"␟"&amp;IFERROR(INDEX(PASTE_ALL,$DF804,6)&amp;"","")&amp;"␟"&amp;IFERROR(INDEX(PASTE_ALL,$DF804,7)&amp;"","")&amp;"␟"&amp;IFERROR(INDEX(PASTE_ALL,$DF804,8)&amp;"","")&amp;"␟"&amp;IFERROR(INDEX(PASTE_ALL,$DF804,9)&amp;"","")&amp;"␟"&amp;IFERROR(INDEX(PASTE_ALL,$DF804,10)&amp;"","")&amp;"␟"&amp;IFERROR(INDEX(PASTE_ALL,$DF804,11)&amp;"","")&amp;"␟"&amp;IFERROR(INDEX(PASTE_ALL,$DF804,12)&amp;"","")&amp;"␟"&amp;IFERROR(INDEX(PASTE_ALL,$DF804,13)&amp;"","")&amp;"␟"&amp;IFERROR(INDEX(PASTE_ALL,$DF804,14)&amp;"","")&amp;"␟"&amp;IFERROR(INDEX(PASTE_ALL,$DF804,15)&amp;"","")&amp;"␟"&amp;IFERROR(INDEX(PASTE_ALL,$DF804,16)&amp;"","")&amp;"␟"&amp;IFERROR(INDEX(PASTE_ALL,$DF804,17)&amp;"","")&amp;"␟"&amp;IFERROR(INDEX(PASTE_ALL,$DF804,18)&amp;"","")&amp;"␟"&amp;IFERROR(INDEX(PASTE_ALL,$DF804,19)&amp;"","")&amp;"␟"&amp;IFERROR(INDEX(PASTE_ALL,$DF804,20)&amp;"","")&amp;"␟"&amp;IFERROR(INDEX(PASTE_ALL,$DF804,21)&amp;"","")&amp;"␟"&amp;IFERROR(INDEX(PASTE_ALL,$DF804,22)&amp;"","")&amp;"␟"&amp;IFERROR(INDEX(PASTE_ALL,$DF804,23)&amp;"","")&amp;"␟"&amp;IFERROR(INDEX(PASTE_ALL,$DF804,24)&amp;"","")&amp;"␟"&amp;IFERROR(INDEX(PASTE_ALL,$DF804,25)&amp;"","")&amp;"␟"&amp;IFERROR(INDEX(PASTE_ALL,$DF804,26)&amp;"","")&amp;"␟"&amp;IFERROR(INDEX(PASTE_ALL,$DF804,27)&amp;"","")&amp;"␟"&amp;IFERROR(INDEX(PASTE_ALL,$DF804,28)&amp;"","")&amp;"␟"&amp;IFERROR(INDEX(PASTE_ALL,$DF804,29)&amp;"","")&amp;"␟"&amp;IFERROR(INDEX(PASTE_ALL,$DF804,30)&amp;"","")&amp;"␟"&amp;IFERROR(INDEX(PASTE_ALL,$DF804,31)&amp;"","")&amp;"␟"&amp;IFERROR(INDEX(PASTE_ALL,$DF804,32)&amp;"","")&amp;"␟"&amp;IFERROR(INDEX(PASTE_ALL,$DF804,33)&amp;"","")&amp;"␟"&amp;IFERROR(INDEX(PASTE_ALL,$DF804,34)&amp;"","")&amp;"␟"&amp;IFERROR(INDEX(PASTE_ALL,$DF804,35)&amp;"","")&amp;"␟"&amp;IFERROR(INDEX(PASTE_ALL,$DF804,36)&amp;"","")&amp;"␟"&amp;IFERROR(INDEX(PASTE_ALL,$DF804,37)&amp;"","")&amp;"␟"&amp;IFERROR(INDEX(PASTE_ALL,$DF804,38)&amp;"","")&amp;"␟"&amp;IFERROR(INDEX(PASTE_ALL,$DF804,39)&amp;"","")&amp;"␟"&amp;IFERROR(INDEX(PASTE_ALL,$DF804,40)&amp;"","")&amp;"␟"&amp;IFERROR(INDEX(PASTE_ALL,$DF804,41)&amp;"","")&amp;"␟"&amp;IFERROR(INDEX(PASTE_ALL,$DF804,42)&amp;"","")&amp;"␟"&amp;IFERROR(INDEX(PASTE_ALL,$DF804,43)&amp;"","")&amp;"␟"&amp;IFERROR(INDEX(PASTE_ALL,$DF804,44)&amp;"","")&amp;"␟"&amp;IFERROR(INDEX(PASTE_ALL,$DF804,45)&amp;"","")&amp;"␟"&amp;IFERROR(INDEX(PASTE_ALL,$DF804,46)&amp;"","")&amp;"␟"&amp;IFERROR(INDEX(PASTE_ALL,$DF804,47)&amp;"","")&amp;"␟"&amp;IFERROR(INDEX(PASTE_ALL,$DF804,48)&amp;"","")&amp;"␟"&amp;IFERROR(INDEX(PASTE_ALL,$DF804,49)&amp;"","")&amp;"␟"&amp;IFERROR(INDEX(PASTE_ALL,$DF804,50)&amp;"","")&amp;"␟"&amp;IFERROR(INDEX(PASTE_ALL,$DF804,51)&amp;"","")&amp;"␟"&amp;IFERROR(INDEX(PASTE_ALL,$DF804,52)&amp;"","")&amp;"␟"&amp;IFERROR(INDEX(PASTE_ALL,$DF804,53)&amp;"","")&amp;"␟"&amp;IFERROR(INDEX(PASTE_ALL,$DF804,54)&amp;"","")&amp;"␟"&amp;IFERROR(INDEX(PASTE_ALL,$DF804,55)&amp;"","")&amp;"␟"&amp;IFERROR(INDEX(PASTE_ALL,$DF804,56)&amp;"","")&amp;"␟"&amp;IFERROR(INDEX(PASTE_ALL,$DF804,57)&amp;"","")&amp;"␟"&amp;IFERROR(INDEX(PASTE_ALL,$DF804,58)&amp;"","")&amp;"␟"&amp;IFERROR(INDEX(PASTE_ALL,$DF804,59)&amp;"","")&amp;"␟"&amp;IFERROR(INDEX(PASTE_ALL,$DF804,60)&amp;"","")," "," "),CHAR(9)," "),CHAR(10)," "),CHAR(13)," "))," ␟","␟"),"␟ ","␟"),"#"&amp;$DE804),"")</f>
        <v/>
      </c>
      <c r="DJ804">
        <f>IF($DI804="",0,IF(SUMPRODUCT(--EXACT($DI$4:DI803,$DI804))&gt;0,1,0))</f>
        <v/>
      </c>
      <c r="DK804">
        <f>IF(AND($DI804&lt;&gt;"",$DJ804=0),1,0)</f>
        <v/>
      </c>
      <c r="DL804">
        <f>DL803+$DK804</f>
        <v/>
      </c>
      <c r="DM804">
        <f>IF(AND($DK804=1,$DL804&lt;=600),1,0)</f>
        <v/>
      </c>
      <c r="DN804">
        <f>IF($DM804=0,"",IF($L$6=0,"",IFERROR(IF(ISNUMBER(INDEX(PASTE_ALL,$DF804,$L$6)),INDEX(PASTE_ALL,$DF804,$L$6),TRIM(SUBSTITUTE(SUBSTITUTE(SUBSTITUTE(SUBSTITUTE(INDEX(PASTE_ALL,$DF804,$L$6)," "," "),CHAR(9)," "),CHAR(10)," "),CHAR(13)," "))),"")))</f>
        <v/>
      </c>
      <c r="DO804">
        <f>IF($DM804=0,"",IF($L$7=0,"",IFERROR(IF(ISNUMBER(INDEX(PASTE_ALL,$DF804,$L$7)),INDEX(PASTE_ALL,$DF804,$L$7),TRIM(SUBSTITUTE(SUBSTITUTE(SUBSTITUTE(SUBSTITUTE(INDEX(PASTE_ALL,$DF804,$L$7)," "," "),CHAR(9)," "),CHAR(10)," "),CHAR(13)," "))),"")))</f>
        <v/>
      </c>
      <c r="DP804">
        <f>IF($DM804=0,"",IF($L$8=0,"",IFERROR(IF(ISNUMBER(INDEX(PASTE_ALL,$DF804,$L$8)),INDEX(PASTE_ALL,$DF804,$L$8),TRIM(SUBSTITUTE(SUBSTITUTE(SUBSTITUTE(SUBSTITUTE(INDEX(PASTE_ALL,$DF804,$L$8)," "," "),CHAR(9)," "),CHAR(10)," "),CHAR(13)," "))),"")))</f>
        <v/>
      </c>
      <c r="DQ804">
        <f>IF($DM804=0,"",IF($L$9=0,"",IFERROR(IF(ISNUMBER(INDEX(PASTE_ALL,$DF804,$L$9)),INDEX(PASTE_ALL,$DF804,$L$9),TRIM(SUBSTITUTE(SUBSTITUTE(SUBSTITUTE(SUBSTITUTE(INDEX(PASTE_ALL,$DF804,$L$9)," "," "),CHAR(9)," "),CHAR(10)," "),CHAR(13)," "))),"")))</f>
        <v/>
      </c>
      <c r="DR804">
        <f>IF($DM804=0,"",IF($L$10=0,"",IFERROR(IF(ISNUMBER(INDEX(PASTE_ALL,$DF804,$L$10)),INDEX(PASTE_ALL,$DF804,$L$10),TRIM(SUBSTITUTE(SUBSTITUTE(SUBSTITUTE(SUBSTITUTE(INDEX(PASTE_ALL,$DF804,$L$10)," "," "),CHAR(9)," "),CHAR(10)," "),CHAR(13)," "))),"")))</f>
        <v/>
      </c>
      <c r="DS804">
        <f>IF($DM804=0,"",IF($L$11=0,"",IFERROR(IF(ISNUMBER(INDEX(PASTE_ALL,$DF804,$L$11)),INDEX(PASTE_ALL,$DF804,$L$11),TRIM(SUBSTITUTE(SUBSTITUTE(SUBSTITUTE(SUBSTITUTE(INDEX(PASTE_ALL,$DF804,$L$11)," "," "),CHAR(9)," "),CHAR(10)," "),CHAR(13)," "))),"")))</f>
        <v/>
      </c>
      <c r="DT804">
        <f>IF($DM804=0,"",IF($L$12=0,"",IFERROR(IF(ISNUMBER(INDEX(PASTE_ALL,$DF804,$L$12)),INDEX(PASTE_ALL,$DF804,$L$12),TRIM(SUBSTITUTE(SUBSTITUTE(SUBSTITUTE(SUBSTITUTE(INDEX(PASTE_ALL,$DF804,$L$12)," "," "),CHAR(9)," "),CHAR(10)," "),CHAR(13)," "))),"")))</f>
        <v/>
      </c>
      <c r="DU804">
        <f>IF($DM804=0,"",IF($L$13=0,"",IFERROR(IF(ISNUMBER(INDEX(PASTE_ALL,$DF804,$L$13)),INDEX(PASTE_ALL,$DF804,$L$13),TRIM(SUBSTITUTE(SUBSTITUTE(SUBSTITUTE(SUBSTITUTE(INDEX(PASTE_ALL,$DF804,$L$13)," "," "),CHAR(9)," "),CHAR(10)," "),CHAR(13)," "))),"")))</f>
        <v/>
      </c>
      <c r="DV804">
        <f>IF($DM804=0,"",IF($L$14=0,"",IFERROR(IF(ISNUMBER(INDEX(PASTE_ALL,$DF804,$L$14)),INDEX(PASTE_ALL,$DF804,$L$14),TRIM(SUBSTITUTE(SUBSTITUTE(SUBSTITUTE(SUBSTITUTE(INDEX(PASTE_ALL,$DF804,$L$14)," "," "),CHAR(9)," "),CHAR(10)," "),CHAR(13)," "))),"")))</f>
        <v/>
      </c>
      <c r="DW804">
        <f>IF($DM804=0,"",IF($L$15=0,"",IFERROR(IF(ISNUMBER(INDEX(PASTE_ALL,$DF804,$L$15)),INDEX(PASTE_ALL,$DF804,$L$15),IF(SUMPRODUCT(--ISNUMBER(FIND({"A","B","C","D","E","F","G","H","I","J","K","L","M","N","O","P","Q","R","S","T","U","V","W","X","Y","Z","0","1","2","3","4","5","6","7","8","9"},UPPER(TRIM(SUBSTITUTE(SUBSTITUTE(SUBSTITUTE(SUBSTITUTE(INDEX(PASTE_ALL,$DF804,$L$15)," "," "),CHAR(9)," "),CHAR(10)," "),CHAR(13)," "))))))&gt;0,TRIM(SUBSTITUTE(SUBSTITUTE(SUBSTITUTE(SUBSTITUTE(INDEX(PASTE_ALL,$DF804,$L$15)," "," "),CHAR(9)," "),CHAR(10)," "),CHAR(13)," ")),"")),"")))</f>
        <v/>
      </c>
      <c r="DX804">
        <f>IF($DM804=0,"",IF($L$16=0,"",IFERROR(IF(ISNUMBER(INDEX(PASTE_ALL,$DF804,$L$16)),INDEX(PASTE_ALL,$DF804,$L$16),SUBSTITUTE(SUBSTITUTE(TRIM(SUBSTITUTE(SUBSTITUTE(SUBSTITUTE(SUBSTITUTE(INDEX(PASTE_ALL,$DF804,$L$16)," "," "),CHAR(9)," "),CHAR(10)," "),CHAR(13)," ")),",",""),"%","")),"")))</f>
        <v/>
      </c>
      <c r="DY804">
        <f>IF($DM804=0,"",IFERROR(IF(ISNUMBER($DX804),$DX804,IF($DX804="","",IF(TRIM($DX804)="",0,IF(AND(AND(SUBSTITUTE(SUBSTITUTE(SUBSTITUTE(SUBSTITUTE(SUBSTITUTE(SUBSTITUTE(SUBSTITUTE(SUBSTITUTE(SUBSTITUTE(SUBSTITUTE(SUBSTITUTE(SUBSTITUTE(SUBSTITUTE(SUBSTITUTE(UPPER(TRIM($DX804)),"0",""),"1",""),"2",""),"3",""),"4",""),"5",""),"6",""),"7",""),"8",""),"9",""),".",""),"+",""),"-",""),"E","")="",LEN(SUBSTITUTE(SUBSTITUTE(MID(UPPER(TRIM($DX804)),1+OR(LEFT(UPPER(TRIM($DX804)),1)="+",LEFT(UPPER(TRIM($DX804)),1)="-"),999),"E+","E"),"E-","E"))=LEN(SUBSTITUTE(SUBSTITUTE(SUBSTITUTE(SUBSTITUTE(MID(UPPER(TRIM($DX804)),1+OR(LEFT(UPPER(TRIM($DX804)),1)="+",LEFT(UPPER(TRIM($DX804)),1)="-"),999),"E+","E"),"E-","E"),"+",""),"-","")),LEN(UPPER(TRIM($DX804)))-LEN(SUBSTITUTE(UPPER(TRIM($DX804)),"E",""))&lt;2,LEN(UPPER(TRIM($DX804)))-LEN(SUBSTITUTE(UPPER(TRIM($DX804)),".",""))&lt;2,IFERROR(FIND(".",UPPER(TRIM($DX804))),0)&lt;IFERROR(FIND("E",UPPER(TRIM($DX804))),999)),ISNUMBER(VALUE(TRIM($DX804)))),VALUE(TRIM($DX804)),"")))),""))</f>
        <v/>
      </c>
      <c r="DZ804">
        <f>IF($DM804=0,"",IF($L$17=0,"",IFERROR(IF(ISNUMBER(INDEX(PASTE_ALL,$DF804,$L$17)),INDEX(PASTE_ALL,$DF804,$L$17),SUBSTITUTE(SUBSTITUTE(TRIM(SUBSTITUTE(SUBSTITUTE(SUBSTITUTE(SUBSTITUTE(INDEX(PASTE_ALL,$DF804,$L$17)," "," "),CHAR(9)," "),CHAR(10)," "),CHAR(13)," ")),",",""),"%","")),"")))</f>
        <v/>
      </c>
      <c r="EA804">
        <f>IF($DM804=0,"",IFERROR(IF(ISNUMBER($DZ804),$DZ804,IF($DZ804="","",IF(TRIM($DZ804)="",0,IF(AND(AND(SUBSTITUTE(SUBSTITUTE(SUBSTITUTE(SUBSTITUTE(SUBSTITUTE(SUBSTITUTE(SUBSTITUTE(SUBSTITUTE(SUBSTITUTE(SUBSTITUTE(SUBSTITUTE(SUBSTITUTE(SUBSTITUTE(SUBSTITUTE(UPPER(TRIM($DZ804)),"0",""),"1",""),"2",""),"3",""),"4",""),"5",""),"6",""),"7",""),"8",""),"9",""),".",""),"+",""),"-",""),"E","")="",LEN(SUBSTITUTE(SUBSTITUTE(MID(UPPER(TRIM($DZ804)),1+OR(LEFT(UPPER(TRIM($DZ804)),1)="+",LEFT(UPPER(TRIM($DZ804)),1)="-"),999),"E+","E"),"E-","E"))=LEN(SUBSTITUTE(SUBSTITUTE(SUBSTITUTE(SUBSTITUTE(MID(UPPER(TRIM($DZ804)),1+OR(LEFT(UPPER(TRIM($DZ804)),1)="+",LEFT(UPPER(TRIM($DZ804)),1)="-"),999),"E+","E"),"E-","E"),"+",""),"-","")),LEN(UPPER(TRIM($DZ804)))-LEN(SUBSTITUTE(UPPER(TRIM($DZ804)),"E",""))&lt;2,LEN(UPPER(TRIM($DZ804)))-LEN(SUBSTITUTE(UPPER(TRIM($DZ804)),".",""))&lt;2,IFERROR(FIND(".",UPPER(TRIM($DZ804))),0)&lt;IFERROR(FIND("E",UPPER(TRIM($DZ804))),999)),ISNUMBER(VALUE(TRIM($DZ804)))),VALUE(TRIM($DZ804)),"")))),""))</f>
        <v/>
      </c>
      <c r="EB804">
        <f>IF($DM804=0,"",IF($L$18=0,"",IFERROR(IF(UPPER(TRIM(SUBSTITUTE(SUBSTITUTE(SUBSTITUTE(SUBSTITUTE(INDEX(PASTE_ALL,$DF804,$L$18)," "," "),CHAR(9)," "),CHAR(10)," "),CHAR(13)," ")))="READY","Ready",IF(UPPER(TRIM(SUBSTITUTE(SUBSTITUTE(SUBSTITUTE(SUBSTITUTE(INDEX(PASTE_ALL,$DF804,$L$18)," "," "),CHAR(9)," "),CHAR(10)," "),CHAR(13)," ")))="PM","PM",IF(OR(UPPER(TRIM(SUBSTITUTE(SUBSTITUTE(SUBSTITUTE(SUBSTITUTE(INDEX(PASTE_ALL,$DF804,$L$18)," "," "),CHAR(9)," "),CHAR(10)," "),CHAR(13)," ")))="OT",UPPER(TRIM(SUBSTITUTE(SUBSTITUTE(SUBSTITUTE(SUBSTITUTE(INDEX(PASTE_ALL,$DF804,$L$18)," "," "),CHAR(9)," "),CHAR(10)," "),CHAR(13)," ")))="OVERTIME",UPPER(TRIM(SUBSTITUTE(SUBSTITUTE(SUBSTITUTE(SUBSTITUTE(INDEX(PASTE_ALL,$DF804,$L$18)," "," "),CHAR(9)," "),CHAR(10)," "),CHAR(13)," ")))="TRIAL"),"OT",TRIM(SUBSTITUTE(SUBSTITUTE(SUBSTITUTE(SUBSTITUTE(INDEX(PASTE_ALL,$DF804,$L$18)," "," "),CHAR(9)," "),CHAR(10)," "),CHAR(13)," "))))),"")))</f>
        <v/>
      </c>
      <c r="EC804">
        <f>IF($DM804=0,"",IF($L$19=0,"",IFERROR(IF(ISNUMBER(INDEX(PASTE_ALL,$DF804,$L$19)),INDEX(PASTE_ALL,$DF804,$L$19),TRIM(SUBSTITUTE(SUBSTITUTE(SUBSTITUTE(SUBSTITUTE(INDEX(PASTE_ALL,$DF804,$L$19)," "," "),CHAR(9)," "),CHAR(10)," "),CHAR(13)," "))),"")))</f>
        <v/>
      </c>
      <c r="ED804">
        <f>IF($DM804=0,"",MATCH(1,INDEX(EXACT($DH$5:DH804,$DH804)*$DM$5:DM804,0),0))</f>
        <v/>
      </c>
      <c r="EE804">
        <f>IF($DM804=0,0,IF($ED804=$DE804,1,0))</f>
        <v/>
      </c>
      <c r="EF804">
        <f>EF803+$EE804</f>
        <v/>
      </c>
      <c r="EG804">
        <f>IF($DM804=0,"",INDEX($EF$5:$EF$1003,$ED804))</f>
        <v/>
      </c>
      <c r="EH804">
        <f>IF($DM804=0,"",IF($DO804&lt;&gt;"","",IFERROR(LOOKUP(2,1/(($EG$4:EG803=$EG804)*($DO$4:DO803&lt;&gt;"")),$DO$4:DO803),"")))</f>
        <v/>
      </c>
      <c r="EI804">
        <f>IF($DM804=0,"",IF($DO804&lt;&gt;"",$DO804,$EH804))</f>
        <v/>
      </c>
      <c r="EJ804">
        <f>IF($DM804=0,"",IF($EI804="",0,IF(OR(ISNUMBER($EI804),AND(AND(SUBSTITUTE(SUBSTITUTE(SUBSTITUTE(SUBSTITUTE(SUBSTITUTE(SUBSTITUTE(SUBSTITUTE(SUBSTITUTE(SUBSTITUTE(SUBSTITUTE(SUBSTITUTE(SUBSTITUTE(SUBSTITUTE(SUBSTITUTE(UPPER($EI804),"0",""),"1",""),"2",""),"3",""),"4",""),"5",""),"6",""),"7",""),"8",""),"9",""),".",""),"+",""),"-",""),"E","")="",LEN(SUBSTITUTE(SUBSTITUTE(MID(UPPER($EI804),1+OR(LEFT(UPPER($EI804),1)="+",LEFT(UPPER($EI804),1)="-"),999),"E+","E"),"E-","E"))=LEN(SUBSTITUTE(SUBSTITUTE(SUBSTITUTE(SUBSTITUTE(MID(UPPER($EI804),1+OR(LEFT(UPPER($EI804),1)="+",LEFT(UPPER($EI804),1)="-"),999),"E+","E"),"E-","E"),"+",""),"-","")),LEN(UPPER($EI804))-LEN(SUBSTITUTE(UPPER($EI804),"E",""))&lt;2,LEN(UPPER($EI804))-LEN(SUBSTITUTE(UPPER($EI804),".",""))&lt;2,IFERROR(FIND(".",UPPER($EI804)),0)&lt;IFERROR(FIND("E",UPPER($EI804)),999)),ISNUMBER(VALUE($EI804)))),1,2)))</f>
        <v/>
      </c>
      <c r="EK804">
        <f>IF($DM804=0,"",IF($EJ804=1,IF(ISNUMBER($EI804),$EI804,VALUE($EI804)),IF($EJ804=2,$DE804,0)))</f>
        <v/>
      </c>
      <c r="EL804">
        <f>IF($DM804=0,"",COUNTIF($EG$5:$EG$1003,"&lt;"&amp;$EG804)+SUMPRODUCT(($EG$5:$EG$1003=$EG804)*(($EJ$5:$EJ$1003&lt;$EJ804)+($EJ$5:$EJ$1003=$EJ804)*(($EK$5:$EK$1003&lt;$EK804)+($EK$5:$EK$1003=$EK804)*($DE$5:$DE$1003&lt;$DE804))))+1)</f>
        <v/>
      </c>
      <c r="EM804">
        <f>IF($DM804=0,"",$EL804+$EG804-1)</f>
        <v/>
      </c>
      <c r="EN804">
        <f>IF($DM804=0,0,IFERROR(MATCH(1,INDEX(--(TRIM(SUBSTITUTE(SUBSTITUTE(SUBSTITUTE(SUBSTITUTE(LINES_NAME&amp;""," "," "),CHAR(9)," "),CHAR(10)," "),CHAR(13)," "))=$DH804),0),0),0))</f>
        <v/>
      </c>
      <c r="EO804">
        <f>IF($EN804=0,0,IF(OR(UPPER(TRIM(INDEX(LINES_SCHEDULED,$EN804)&amp;""))="YES",UPPER(TRIM(INDEX(LINES_SCHEDULED,$EN804)&amp;""))="Y",UPPER(TRIM(INDEX(LINES_SCHEDULED,$EN804)&amp;""))="X"),1,0))</f>
        <v/>
      </c>
      <c r="EP804">
        <f>IF($DM804=0,"",IF(COUNTIFS($EG$5:$EG$1003,$EG804,$EB$5:$EB$1003,"Ready")&gt;0,"READY",IF(COUNTIFS($EG$5:$EG$1003,$EG804,$EB$5:$EB$1003,"PM")&gt;0,"PM",IF(COUNTIFS($EG$5:$EG$1003,$EG804,$EB$5:$EB$1003,"OT")&gt;0,"OT",""))))</f>
        <v/>
      </c>
      <c r="EQ804">
        <f>IF($EN804=0,"",UPPER(TRIM(INDEX(LINES_STATUS,$EN804)&amp;"")))</f>
        <v/>
      </c>
      <c r="ER804">
        <f>IF($DM804=0,"",IF(OR($EQ804="READY",$EQ804="PM",$EQ804="OT"),$EQ804,$EP804))</f>
        <v/>
      </c>
      <c r="ES804">
        <f>IF($DM804=0,"",IF(AND($DV804&lt;&gt;"",UPPER($DV804)&lt;&gt;"N"),"allergen",IF(ISNUMBER(SEARCH("oil",$DQ804)),"oil",IF(OR(EXACT($DS804,"A662"),EXACT($DS804,"A624")),"bulk",""))))</f>
        <v/>
      </c>
      <c r="ET804">
        <f>IF($DM804=0,"",IF(OR($EA804="",$EA804=0),"",$EA804/100))</f>
        <v/>
      </c>
      <c r="EU804">
        <f>IF(OR($ET804="",$DY804=""),"",INT($DY804*(1-$ET804)+0.5))</f>
        <v/>
      </c>
    </row>
    <row r="805">
      <c r="DA805" t="n">
        <v>801</v>
      </c>
      <c r="DB805">
        <f>IF($B$37=0,"",IFERROR(TRIM(SUBSTITUTE(SUBSTITUTE(SUBSTITUTE(SUBSTITUTE(INDEX(PASTE_ALL,801,$B$37)," "," "),CHAR(9)," "),CHAR(10)," "),CHAR(13)," ")),""))</f>
        <v/>
      </c>
      <c r="DC805">
        <f>IF(AND(801&gt;HEADER_ROW,UPPER(DB805)="LEGEND"),1,0)</f>
        <v/>
      </c>
      <c r="DE805" t="n">
        <v>801</v>
      </c>
      <c r="DF805">
        <f>HEADER_ROW+$DE805</f>
        <v/>
      </c>
      <c r="DG805">
        <f>IF(AND($DF805&lt;=1000,$DF805&lt;$B$8),1,0)</f>
        <v/>
      </c>
      <c r="DH805">
        <f>IF($DG805=1,IFERROR(INDEX($DB$5:$DB$1004,$DF805),""),"")</f>
        <v/>
      </c>
      <c r="DI805">
        <f>IF(AND($DG805=1,$DH805&lt;&gt;""),IFERROR(SUBSTITUTE(SUBSTITUTE(TRIM(SUBSTITUTE(SUBSTITUTE(SUBSTITUTE(SUBSTITUTE(IFERROR(INDEX(PASTE_ALL,$DF805,1)&amp;"","")&amp;"␟"&amp;IFERROR(INDEX(PASTE_ALL,$DF805,2)&amp;"","")&amp;"␟"&amp;IFERROR(INDEX(PASTE_ALL,$DF805,3)&amp;"","")&amp;"␟"&amp;IFERROR(INDEX(PASTE_ALL,$DF805,4)&amp;"","")&amp;"␟"&amp;IFERROR(INDEX(PASTE_ALL,$DF805,5)&amp;"","")&amp;"␟"&amp;IFERROR(INDEX(PASTE_ALL,$DF805,6)&amp;"","")&amp;"␟"&amp;IFERROR(INDEX(PASTE_ALL,$DF805,7)&amp;"","")&amp;"␟"&amp;IFERROR(INDEX(PASTE_ALL,$DF805,8)&amp;"","")&amp;"␟"&amp;IFERROR(INDEX(PASTE_ALL,$DF805,9)&amp;"","")&amp;"␟"&amp;IFERROR(INDEX(PASTE_ALL,$DF805,10)&amp;"","")&amp;"␟"&amp;IFERROR(INDEX(PASTE_ALL,$DF805,11)&amp;"","")&amp;"␟"&amp;IFERROR(INDEX(PASTE_ALL,$DF805,12)&amp;"","")&amp;"␟"&amp;IFERROR(INDEX(PASTE_ALL,$DF805,13)&amp;"","")&amp;"␟"&amp;IFERROR(INDEX(PASTE_ALL,$DF805,14)&amp;"","")&amp;"␟"&amp;IFERROR(INDEX(PASTE_ALL,$DF805,15)&amp;"","")&amp;"␟"&amp;IFERROR(INDEX(PASTE_ALL,$DF805,16)&amp;"","")&amp;"␟"&amp;IFERROR(INDEX(PASTE_ALL,$DF805,17)&amp;"","")&amp;"␟"&amp;IFERROR(INDEX(PASTE_ALL,$DF805,18)&amp;"","")&amp;"␟"&amp;IFERROR(INDEX(PASTE_ALL,$DF805,19)&amp;"","")&amp;"␟"&amp;IFERROR(INDEX(PASTE_ALL,$DF805,20)&amp;"","")&amp;"␟"&amp;IFERROR(INDEX(PASTE_ALL,$DF805,21)&amp;"","")&amp;"␟"&amp;IFERROR(INDEX(PASTE_ALL,$DF805,22)&amp;"","")&amp;"␟"&amp;IFERROR(INDEX(PASTE_ALL,$DF805,23)&amp;"","")&amp;"␟"&amp;IFERROR(INDEX(PASTE_ALL,$DF805,24)&amp;"","")&amp;"␟"&amp;IFERROR(INDEX(PASTE_ALL,$DF805,25)&amp;"","")&amp;"␟"&amp;IFERROR(INDEX(PASTE_ALL,$DF805,26)&amp;"","")&amp;"␟"&amp;IFERROR(INDEX(PASTE_ALL,$DF805,27)&amp;"","")&amp;"␟"&amp;IFERROR(INDEX(PASTE_ALL,$DF805,28)&amp;"","")&amp;"␟"&amp;IFERROR(INDEX(PASTE_ALL,$DF805,29)&amp;"","")&amp;"␟"&amp;IFERROR(INDEX(PASTE_ALL,$DF805,30)&amp;"","")&amp;"␟"&amp;IFERROR(INDEX(PASTE_ALL,$DF805,31)&amp;"","")&amp;"␟"&amp;IFERROR(INDEX(PASTE_ALL,$DF805,32)&amp;"","")&amp;"␟"&amp;IFERROR(INDEX(PASTE_ALL,$DF805,33)&amp;"","")&amp;"␟"&amp;IFERROR(INDEX(PASTE_ALL,$DF805,34)&amp;"","")&amp;"␟"&amp;IFERROR(INDEX(PASTE_ALL,$DF805,35)&amp;"","")&amp;"␟"&amp;IFERROR(INDEX(PASTE_ALL,$DF805,36)&amp;"","")&amp;"␟"&amp;IFERROR(INDEX(PASTE_ALL,$DF805,37)&amp;"","")&amp;"␟"&amp;IFERROR(INDEX(PASTE_ALL,$DF805,38)&amp;"","")&amp;"␟"&amp;IFERROR(INDEX(PASTE_ALL,$DF805,39)&amp;"","")&amp;"␟"&amp;IFERROR(INDEX(PASTE_ALL,$DF805,40)&amp;"","")&amp;"␟"&amp;IFERROR(INDEX(PASTE_ALL,$DF805,41)&amp;"","")&amp;"␟"&amp;IFERROR(INDEX(PASTE_ALL,$DF805,42)&amp;"","")&amp;"␟"&amp;IFERROR(INDEX(PASTE_ALL,$DF805,43)&amp;"","")&amp;"␟"&amp;IFERROR(INDEX(PASTE_ALL,$DF805,44)&amp;"","")&amp;"␟"&amp;IFERROR(INDEX(PASTE_ALL,$DF805,45)&amp;"","")&amp;"␟"&amp;IFERROR(INDEX(PASTE_ALL,$DF805,46)&amp;"","")&amp;"␟"&amp;IFERROR(INDEX(PASTE_ALL,$DF805,47)&amp;"","")&amp;"␟"&amp;IFERROR(INDEX(PASTE_ALL,$DF805,48)&amp;"","")&amp;"␟"&amp;IFERROR(INDEX(PASTE_ALL,$DF805,49)&amp;"","")&amp;"␟"&amp;IFERROR(INDEX(PASTE_ALL,$DF805,50)&amp;"","")&amp;"␟"&amp;IFERROR(INDEX(PASTE_ALL,$DF805,51)&amp;"","")&amp;"␟"&amp;IFERROR(INDEX(PASTE_ALL,$DF805,52)&amp;"","")&amp;"␟"&amp;IFERROR(INDEX(PASTE_ALL,$DF805,53)&amp;"","")&amp;"␟"&amp;IFERROR(INDEX(PASTE_ALL,$DF805,54)&amp;"","")&amp;"␟"&amp;IFERROR(INDEX(PASTE_ALL,$DF805,55)&amp;"","")&amp;"␟"&amp;IFERROR(INDEX(PASTE_ALL,$DF805,56)&amp;"","")&amp;"␟"&amp;IFERROR(INDEX(PASTE_ALL,$DF805,57)&amp;"","")&amp;"␟"&amp;IFERROR(INDEX(PASTE_ALL,$DF805,58)&amp;"","")&amp;"␟"&amp;IFERROR(INDEX(PASTE_ALL,$DF805,59)&amp;"","")&amp;"␟"&amp;IFERROR(INDEX(PASTE_ALL,$DF805,60)&amp;"","")," "," "),CHAR(9)," "),CHAR(10)," "),CHAR(13)," "))," ␟","␟"),"␟ ","␟"),"#"&amp;$DE805),"")</f>
        <v/>
      </c>
      <c r="DJ805">
        <f>IF($DI805="",0,IF(SUMPRODUCT(--EXACT($DI$4:DI804,$DI805))&gt;0,1,0))</f>
        <v/>
      </c>
      <c r="DK805">
        <f>IF(AND($DI805&lt;&gt;"",$DJ805=0),1,0)</f>
        <v/>
      </c>
      <c r="DL805">
        <f>DL804+$DK805</f>
        <v/>
      </c>
      <c r="DM805">
        <f>IF(AND($DK805=1,$DL805&lt;=600),1,0)</f>
        <v/>
      </c>
      <c r="DN805">
        <f>IF($DM805=0,"",IF($L$6=0,"",IFERROR(IF(ISNUMBER(INDEX(PASTE_ALL,$DF805,$L$6)),INDEX(PASTE_ALL,$DF805,$L$6),TRIM(SUBSTITUTE(SUBSTITUTE(SUBSTITUTE(SUBSTITUTE(INDEX(PASTE_ALL,$DF805,$L$6)," "," "),CHAR(9)," "),CHAR(10)," "),CHAR(13)," "))),"")))</f>
        <v/>
      </c>
      <c r="DO805">
        <f>IF($DM805=0,"",IF($L$7=0,"",IFERROR(IF(ISNUMBER(INDEX(PASTE_ALL,$DF805,$L$7)),INDEX(PASTE_ALL,$DF805,$L$7),TRIM(SUBSTITUTE(SUBSTITUTE(SUBSTITUTE(SUBSTITUTE(INDEX(PASTE_ALL,$DF805,$L$7)," "," "),CHAR(9)," "),CHAR(10)," "),CHAR(13)," "))),"")))</f>
        <v/>
      </c>
      <c r="DP805">
        <f>IF($DM805=0,"",IF($L$8=0,"",IFERROR(IF(ISNUMBER(INDEX(PASTE_ALL,$DF805,$L$8)),INDEX(PASTE_ALL,$DF805,$L$8),TRIM(SUBSTITUTE(SUBSTITUTE(SUBSTITUTE(SUBSTITUTE(INDEX(PASTE_ALL,$DF805,$L$8)," "," "),CHAR(9)," "),CHAR(10)," "),CHAR(13)," "))),"")))</f>
        <v/>
      </c>
      <c r="DQ805">
        <f>IF($DM805=0,"",IF($L$9=0,"",IFERROR(IF(ISNUMBER(INDEX(PASTE_ALL,$DF805,$L$9)),INDEX(PASTE_ALL,$DF805,$L$9),TRIM(SUBSTITUTE(SUBSTITUTE(SUBSTITUTE(SUBSTITUTE(INDEX(PASTE_ALL,$DF805,$L$9)," "," "),CHAR(9)," "),CHAR(10)," "),CHAR(13)," "))),"")))</f>
        <v/>
      </c>
      <c r="DR805">
        <f>IF($DM805=0,"",IF($L$10=0,"",IFERROR(IF(ISNUMBER(INDEX(PASTE_ALL,$DF805,$L$10)),INDEX(PASTE_ALL,$DF805,$L$10),TRIM(SUBSTITUTE(SUBSTITUTE(SUBSTITUTE(SUBSTITUTE(INDEX(PASTE_ALL,$DF805,$L$10)," "," "),CHAR(9)," "),CHAR(10)," "),CHAR(13)," "))),"")))</f>
        <v/>
      </c>
      <c r="DS805">
        <f>IF($DM805=0,"",IF($L$11=0,"",IFERROR(IF(ISNUMBER(INDEX(PASTE_ALL,$DF805,$L$11)),INDEX(PASTE_ALL,$DF805,$L$11),TRIM(SUBSTITUTE(SUBSTITUTE(SUBSTITUTE(SUBSTITUTE(INDEX(PASTE_ALL,$DF805,$L$11)," "," "),CHAR(9)," "),CHAR(10)," "),CHAR(13)," "))),"")))</f>
        <v/>
      </c>
      <c r="DT805">
        <f>IF($DM805=0,"",IF($L$12=0,"",IFERROR(IF(ISNUMBER(INDEX(PASTE_ALL,$DF805,$L$12)),INDEX(PASTE_ALL,$DF805,$L$12),TRIM(SUBSTITUTE(SUBSTITUTE(SUBSTITUTE(SUBSTITUTE(INDEX(PASTE_ALL,$DF805,$L$12)," "," "),CHAR(9)," "),CHAR(10)," "),CHAR(13)," "))),"")))</f>
        <v/>
      </c>
      <c r="DU805">
        <f>IF($DM805=0,"",IF($L$13=0,"",IFERROR(IF(ISNUMBER(INDEX(PASTE_ALL,$DF805,$L$13)),INDEX(PASTE_ALL,$DF805,$L$13),TRIM(SUBSTITUTE(SUBSTITUTE(SUBSTITUTE(SUBSTITUTE(INDEX(PASTE_ALL,$DF805,$L$13)," "," "),CHAR(9)," "),CHAR(10)," "),CHAR(13)," "))),"")))</f>
        <v/>
      </c>
      <c r="DV805">
        <f>IF($DM805=0,"",IF($L$14=0,"",IFERROR(IF(ISNUMBER(INDEX(PASTE_ALL,$DF805,$L$14)),INDEX(PASTE_ALL,$DF805,$L$14),TRIM(SUBSTITUTE(SUBSTITUTE(SUBSTITUTE(SUBSTITUTE(INDEX(PASTE_ALL,$DF805,$L$14)," "," "),CHAR(9)," "),CHAR(10)," "),CHAR(13)," "))),"")))</f>
        <v/>
      </c>
      <c r="DW805">
        <f>IF($DM805=0,"",IF($L$15=0,"",IFERROR(IF(ISNUMBER(INDEX(PASTE_ALL,$DF805,$L$15)),INDEX(PASTE_ALL,$DF805,$L$15),IF(SUMPRODUCT(--ISNUMBER(FIND({"A","B","C","D","E","F","G","H","I","J","K","L","M","N","O","P","Q","R","S","T","U","V","W","X","Y","Z","0","1","2","3","4","5","6","7","8","9"},UPPER(TRIM(SUBSTITUTE(SUBSTITUTE(SUBSTITUTE(SUBSTITUTE(INDEX(PASTE_ALL,$DF805,$L$15)," "," "),CHAR(9)," "),CHAR(10)," "),CHAR(13)," "))))))&gt;0,TRIM(SUBSTITUTE(SUBSTITUTE(SUBSTITUTE(SUBSTITUTE(INDEX(PASTE_ALL,$DF805,$L$15)," "," "),CHAR(9)," "),CHAR(10)," "),CHAR(13)," ")),"")),"")))</f>
        <v/>
      </c>
      <c r="DX805">
        <f>IF($DM805=0,"",IF($L$16=0,"",IFERROR(IF(ISNUMBER(INDEX(PASTE_ALL,$DF805,$L$16)),INDEX(PASTE_ALL,$DF805,$L$16),SUBSTITUTE(SUBSTITUTE(TRIM(SUBSTITUTE(SUBSTITUTE(SUBSTITUTE(SUBSTITUTE(INDEX(PASTE_ALL,$DF805,$L$16)," "," "),CHAR(9)," "),CHAR(10)," "),CHAR(13)," ")),",",""),"%","")),"")))</f>
        <v/>
      </c>
      <c r="DY805">
        <f>IF($DM805=0,"",IFERROR(IF(ISNUMBER($DX805),$DX805,IF($DX805="","",IF(TRIM($DX805)="",0,IF(AND(AND(SUBSTITUTE(SUBSTITUTE(SUBSTITUTE(SUBSTITUTE(SUBSTITUTE(SUBSTITUTE(SUBSTITUTE(SUBSTITUTE(SUBSTITUTE(SUBSTITUTE(SUBSTITUTE(SUBSTITUTE(SUBSTITUTE(SUBSTITUTE(UPPER(TRIM($DX805)),"0",""),"1",""),"2",""),"3",""),"4",""),"5",""),"6",""),"7",""),"8",""),"9",""),".",""),"+",""),"-",""),"E","")="",LEN(SUBSTITUTE(SUBSTITUTE(MID(UPPER(TRIM($DX805)),1+OR(LEFT(UPPER(TRIM($DX805)),1)="+",LEFT(UPPER(TRIM($DX805)),1)="-"),999),"E+","E"),"E-","E"))=LEN(SUBSTITUTE(SUBSTITUTE(SUBSTITUTE(SUBSTITUTE(MID(UPPER(TRIM($DX805)),1+OR(LEFT(UPPER(TRIM($DX805)),1)="+",LEFT(UPPER(TRIM($DX805)),1)="-"),999),"E+","E"),"E-","E"),"+",""),"-","")),LEN(UPPER(TRIM($DX805)))-LEN(SUBSTITUTE(UPPER(TRIM($DX805)),"E",""))&lt;2,LEN(UPPER(TRIM($DX805)))-LEN(SUBSTITUTE(UPPER(TRIM($DX805)),".",""))&lt;2,IFERROR(FIND(".",UPPER(TRIM($DX805))),0)&lt;IFERROR(FIND("E",UPPER(TRIM($DX805))),999)),ISNUMBER(VALUE(TRIM($DX805)))),VALUE(TRIM($DX805)),"")))),""))</f>
        <v/>
      </c>
      <c r="DZ805">
        <f>IF($DM805=0,"",IF($L$17=0,"",IFERROR(IF(ISNUMBER(INDEX(PASTE_ALL,$DF805,$L$17)),INDEX(PASTE_ALL,$DF805,$L$17),SUBSTITUTE(SUBSTITUTE(TRIM(SUBSTITUTE(SUBSTITUTE(SUBSTITUTE(SUBSTITUTE(INDEX(PASTE_ALL,$DF805,$L$17)," "," "),CHAR(9)," "),CHAR(10)," "),CHAR(13)," ")),",",""),"%","")),"")))</f>
        <v/>
      </c>
      <c r="EA805">
        <f>IF($DM805=0,"",IFERROR(IF(ISNUMBER($DZ805),$DZ805,IF($DZ805="","",IF(TRIM($DZ805)="",0,IF(AND(AND(SUBSTITUTE(SUBSTITUTE(SUBSTITUTE(SUBSTITUTE(SUBSTITUTE(SUBSTITUTE(SUBSTITUTE(SUBSTITUTE(SUBSTITUTE(SUBSTITUTE(SUBSTITUTE(SUBSTITUTE(SUBSTITUTE(SUBSTITUTE(UPPER(TRIM($DZ805)),"0",""),"1",""),"2",""),"3",""),"4",""),"5",""),"6",""),"7",""),"8",""),"9",""),".",""),"+",""),"-",""),"E","")="",LEN(SUBSTITUTE(SUBSTITUTE(MID(UPPER(TRIM($DZ805)),1+OR(LEFT(UPPER(TRIM($DZ805)),1)="+",LEFT(UPPER(TRIM($DZ805)),1)="-"),999),"E+","E"),"E-","E"))=LEN(SUBSTITUTE(SUBSTITUTE(SUBSTITUTE(SUBSTITUTE(MID(UPPER(TRIM($DZ805)),1+OR(LEFT(UPPER(TRIM($DZ805)),1)="+",LEFT(UPPER(TRIM($DZ805)),1)="-"),999),"E+","E"),"E-","E"),"+",""),"-","")),LEN(UPPER(TRIM($DZ805)))-LEN(SUBSTITUTE(UPPER(TRIM($DZ805)),"E",""))&lt;2,LEN(UPPER(TRIM($DZ805)))-LEN(SUBSTITUTE(UPPER(TRIM($DZ805)),".",""))&lt;2,IFERROR(FIND(".",UPPER(TRIM($DZ805))),0)&lt;IFERROR(FIND("E",UPPER(TRIM($DZ805))),999)),ISNUMBER(VALUE(TRIM($DZ805)))),VALUE(TRIM($DZ805)),"")))),""))</f>
        <v/>
      </c>
      <c r="EB805">
        <f>IF($DM805=0,"",IF($L$18=0,"",IFERROR(IF(UPPER(TRIM(SUBSTITUTE(SUBSTITUTE(SUBSTITUTE(SUBSTITUTE(INDEX(PASTE_ALL,$DF805,$L$18)," "," "),CHAR(9)," "),CHAR(10)," "),CHAR(13)," ")))="READY","Ready",IF(UPPER(TRIM(SUBSTITUTE(SUBSTITUTE(SUBSTITUTE(SUBSTITUTE(INDEX(PASTE_ALL,$DF805,$L$18)," "," "),CHAR(9)," "),CHAR(10)," "),CHAR(13)," ")))="PM","PM",IF(OR(UPPER(TRIM(SUBSTITUTE(SUBSTITUTE(SUBSTITUTE(SUBSTITUTE(INDEX(PASTE_ALL,$DF805,$L$18)," "," "),CHAR(9)," "),CHAR(10)," "),CHAR(13)," ")))="OT",UPPER(TRIM(SUBSTITUTE(SUBSTITUTE(SUBSTITUTE(SUBSTITUTE(INDEX(PASTE_ALL,$DF805,$L$18)," "," "),CHAR(9)," "),CHAR(10)," "),CHAR(13)," ")))="OVERTIME",UPPER(TRIM(SUBSTITUTE(SUBSTITUTE(SUBSTITUTE(SUBSTITUTE(INDEX(PASTE_ALL,$DF805,$L$18)," "," "),CHAR(9)," "),CHAR(10)," "),CHAR(13)," ")))="TRIAL"),"OT",TRIM(SUBSTITUTE(SUBSTITUTE(SUBSTITUTE(SUBSTITUTE(INDEX(PASTE_ALL,$DF805,$L$18)," "," "),CHAR(9)," "),CHAR(10)," "),CHAR(13)," "))))),"")))</f>
        <v/>
      </c>
      <c r="EC805">
        <f>IF($DM805=0,"",IF($L$19=0,"",IFERROR(IF(ISNUMBER(INDEX(PASTE_ALL,$DF805,$L$19)),INDEX(PASTE_ALL,$DF805,$L$19),TRIM(SUBSTITUTE(SUBSTITUTE(SUBSTITUTE(SUBSTITUTE(INDEX(PASTE_ALL,$DF805,$L$19)," "," "),CHAR(9)," "),CHAR(10)," "),CHAR(13)," "))),"")))</f>
        <v/>
      </c>
      <c r="ED805">
        <f>IF($DM805=0,"",MATCH(1,INDEX(EXACT($DH$5:DH805,$DH805)*$DM$5:DM805,0),0))</f>
        <v/>
      </c>
      <c r="EE805">
        <f>IF($DM805=0,0,IF($ED805=$DE805,1,0))</f>
        <v/>
      </c>
      <c r="EF805">
        <f>EF804+$EE805</f>
        <v/>
      </c>
      <c r="EG805">
        <f>IF($DM805=0,"",INDEX($EF$5:$EF$1003,$ED805))</f>
        <v/>
      </c>
      <c r="EH805">
        <f>IF($DM805=0,"",IF($DO805&lt;&gt;"","",IFERROR(LOOKUP(2,1/(($EG$4:EG804=$EG805)*($DO$4:DO804&lt;&gt;"")),$DO$4:DO804),"")))</f>
        <v/>
      </c>
      <c r="EI805">
        <f>IF($DM805=0,"",IF($DO805&lt;&gt;"",$DO805,$EH805))</f>
        <v/>
      </c>
      <c r="EJ805">
        <f>IF($DM805=0,"",IF($EI805="",0,IF(OR(ISNUMBER($EI805),AND(AND(SUBSTITUTE(SUBSTITUTE(SUBSTITUTE(SUBSTITUTE(SUBSTITUTE(SUBSTITUTE(SUBSTITUTE(SUBSTITUTE(SUBSTITUTE(SUBSTITUTE(SUBSTITUTE(SUBSTITUTE(SUBSTITUTE(SUBSTITUTE(UPPER($EI805),"0",""),"1",""),"2",""),"3",""),"4",""),"5",""),"6",""),"7",""),"8",""),"9",""),".",""),"+",""),"-",""),"E","")="",LEN(SUBSTITUTE(SUBSTITUTE(MID(UPPER($EI805),1+OR(LEFT(UPPER($EI805),1)="+",LEFT(UPPER($EI805),1)="-"),999),"E+","E"),"E-","E"))=LEN(SUBSTITUTE(SUBSTITUTE(SUBSTITUTE(SUBSTITUTE(MID(UPPER($EI805),1+OR(LEFT(UPPER($EI805),1)="+",LEFT(UPPER($EI805),1)="-"),999),"E+","E"),"E-","E"),"+",""),"-","")),LEN(UPPER($EI805))-LEN(SUBSTITUTE(UPPER($EI805),"E",""))&lt;2,LEN(UPPER($EI805))-LEN(SUBSTITUTE(UPPER($EI805),".",""))&lt;2,IFERROR(FIND(".",UPPER($EI805)),0)&lt;IFERROR(FIND("E",UPPER($EI805)),999)),ISNUMBER(VALUE($EI805)))),1,2)))</f>
        <v/>
      </c>
      <c r="EK805">
        <f>IF($DM805=0,"",IF($EJ805=1,IF(ISNUMBER($EI805),$EI805,VALUE($EI805)),IF($EJ805=2,$DE805,0)))</f>
        <v/>
      </c>
      <c r="EL805">
        <f>IF($DM805=0,"",COUNTIF($EG$5:$EG$1003,"&lt;"&amp;$EG805)+SUMPRODUCT(($EG$5:$EG$1003=$EG805)*(($EJ$5:$EJ$1003&lt;$EJ805)+($EJ$5:$EJ$1003=$EJ805)*(($EK$5:$EK$1003&lt;$EK805)+($EK$5:$EK$1003=$EK805)*($DE$5:$DE$1003&lt;$DE805))))+1)</f>
        <v/>
      </c>
      <c r="EM805">
        <f>IF($DM805=0,"",$EL805+$EG805-1)</f>
        <v/>
      </c>
      <c r="EN805">
        <f>IF($DM805=0,0,IFERROR(MATCH(1,INDEX(--(TRIM(SUBSTITUTE(SUBSTITUTE(SUBSTITUTE(SUBSTITUTE(LINES_NAME&amp;""," "," "),CHAR(9)," "),CHAR(10)," "),CHAR(13)," "))=$DH805),0),0),0))</f>
        <v/>
      </c>
      <c r="EO805">
        <f>IF($EN805=0,0,IF(OR(UPPER(TRIM(INDEX(LINES_SCHEDULED,$EN805)&amp;""))="YES",UPPER(TRIM(INDEX(LINES_SCHEDULED,$EN805)&amp;""))="Y",UPPER(TRIM(INDEX(LINES_SCHEDULED,$EN805)&amp;""))="X"),1,0))</f>
        <v/>
      </c>
      <c r="EP805">
        <f>IF($DM805=0,"",IF(COUNTIFS($EG$5:$EG$1003,$EG805,$EB$5:$EB$1003,"Ready")&gt;0,"READY",IF(COUNTIFS($EG$5:$EG$1003,$EG805,$EB$5:$EB$1003,"PM")&gt;0,"PM",IF(COUNTIFS($EG$5:$EG$1003,$EG805,$EB$5:$EB$1003,"OT")&gt;0,"OT",""))))</f>
        <v/>
      </c>
      <c r="EQ805">
        <f>IF($EN805=0,"",UPPER(TRIM(INDEX(LINES_STATUS,$EN805)&amp;"")))</f>
        <v/>
      </c>
      <c r="ER805">
        <f>IF($DM805=0,"",IF(OR($EQ805="READY",$EQ805="PM",$EQ805="OT"),$EQ805,$EP805))</f>
        <v/>
      </c>
      <c r="ES805">
        <f>IF($DM805=0,"",IF(AND($DV805&lt;&gt;"",UPPER($DV805)&lt;&gt;"N"),"allergen",IF(ISNUMBER(SEARCH("oil",$DQ805)),"oil",IF(OR(EXACT($DS805,"A662"),EXACT($DS805,"A624")),"bulk",""))))</f>
        <v/>
      </c>
      <c r="ET805">
        <f>IF($DM805=0,"",IF(OR($EA805="",$EA805=0),"",$EA805/100))</f>
        <v/>
      </c>
      <c r="EU805">
        <f>IF(OR($ET805="",$DY805=""),"",INT($DY805*(1-$ET805)+0.5))</f>
        <v/>
      </c>
    </row>
    <row r="806">
      <c r="DA806" t="n">
        <v>802</v>
      </c>
      <c r="DB806">
        <f>IF($B$37=0,"",IFERROR(TRIM(SUBSTITUTE(SUBSTITUTE(SUBSTITUTE(SUBSTITUTE(INDEX(PASTE_ALL,802,$B$37)," "," "),CHAR(9)," "),CHAR(10)," "),CHAR(13)," ")),""))</f>
        <v/>
      </c>
      <c r="DC806">
        <f>IF(AND(802&gt;HEADER_ROW,UPPER(DB806)="LEGEND"),1,0)</f>
        <v/>
      </c>
      <c r="DE806" t="n">
        <v>802</v>
      </c>
      <c r="DF806">
        <f>HEADER_ROW+$DE806</f>
        <v/>
      </c>
      <c r="DG806">
        <f>IF(AND($DF806&lt;=1000,$DF806&lt;$B$8),1,0)</f>
        <v/>
      </c>
      <c r="DH806">
        <f>IF($DG806=1,IFERROR(INDEX($DB$5:$DB$1004,$DF806),""),"")</f>
        <v/>
      </c>
      <c r="DI806">
        <f>IF(AND($DG806=1,$DH806&lt;&gt;""),IFERROR(SUBSTITUTE(SUBSTITUTE(TRIM(SUBSTITUTE(SUBSTITUTE(SUBSTITUTE(SUBSTITUTE(IFERROR(INDEX(PASTE_ALL,$DF806,1)&amp;"","")&amp;"␟"&amp;IFERROR(INDEX(PASTE_ALL,$DF806,2)&amp;"","")&amp;"␟"&amp;IFERROR(INDEX(PASTE_ALL,$DF806,3)&amp;"","")&amp;"␟"&amp;IFERROR(INDEX(PASTE_ALL,$DF806,4)&amp;"","")&amp;"␟"&amp;IFERROR(INDEX(PASTE_ALL,$DF806,5)&amp;"","")&amp;"␟"&amp;IFERROR(INDEX(PASTE_ALL,$DF806,6)&amp;"","")&amp;"␟"&amp;IFERROR(INDEX(PASTE_ALL,$DF806,7)&amp;"","")&amp;"␟"&amp;IFERROR(INDEX(PASTE_ALL,$DF806,8)&amp;"","")&amp;"␟"&amp;IFERROR(INDEX(PASTE_ALL,$DF806,9)&amp;"","")&amp;"␟"&amp;IFERROR(INDEX(PASTE_ALL,$DF806,10)&amp;"","")&amp;"␟"&amp;IFERROR(INDEX(PASTE_ALL,$DF806,11)&amp;"","")&amp;"␟"&amp;IFERROR(INDEX(PASTE_ALL,$DF806,12)&amp;"","")&amp;"␟"&amp;IFERROR(INDEX(PASTE_ALL,$DF806,13)&amp;"","")&amp;"␟"&amp;IFERROR(INDEX(PASTE_ALL,$DF806,14)&amp;"","")&amp;"␟"&amp;IFERROR(INDEX(PASTE_ALL,$DF806,15)&amp;"","")&amp;"␟"&amp;IFERROR(INDEX(PASTE_ALL,$DF806,16)&amp;"","")&amp;"␟"&amp;IFERROR(INDEX(PASTE_ALL,$DF806,17)&amp;"","")&amp;"␟"&amp;IFERROR(INDEX(PASTE_ALL,$DF806,18)&amp;"","")&amp;"␟"&amp;IFERROR(INDEX(PASTE_ALL,$DF806,19)&amp;"","")&amp;"␟"&amp;IFERROR(INDEX(PASTE_ALL,$DF806,20)&amp;"","")&amp;"␟"&amp;IFERROR(INDEX(PASTE_ALL,$DF806,21)&amp;"","")&amp;"␟"&amp;IFERROR(INDEX(PASTE_ALL,$DF806,22)&amp;"","")&amp;"␟"&amp;IFERROR(INDEX(PASTE_ALL,$DF806,23)&amp;"","")&amp;"␟"&amp;IFERROR(INDEX(PASTE_ALL,$DF806,24)&amp;"","")&amp;"␟"&amp;IFERROR(INDEX(PASTE_ALL,$DF806,25)&amp;"","")&amp;"␟"&amp;IFERROR(INDEX(PASTE_ALL,$DF806,26)&amp;"","")&amp;"␟"&amp;IFERROR(INDEX(PASTE_ALL,$DF806,27)&amp;"","")&amp;"␟"&amp;IFERROR(INDEX(PASTE_ALL,$DF806,28)&amp;"","")&amp;"␟"&amp;IFERROR(INDEX(PASTE_ALL,$DF806,29)&amp;"","")&amp;"␟"&amp;IFERROR(INDEX(PASTE_ALL,$DF806,30)&amp;"","")&amp;"␟"&amp;IFERROR(INDEX(PASTE_ALL,$DF806,31)&amp;"","")&amp;"␟"&amp;IFERROR(INDEX(PASTE_ALL,$DF806,32)&amp;"","")&amp;"␟"&amp;IFERROR(INDEX(PASTE_ALL,$DF806,33)&amp;"","")&amp;"␟"&amp;IFERROR(INDEX(PASTE_ALL,$DF806,34)&amp;"","")&amp;"␟"&amp;IFERROR(INDEX(PASTE_ALL,$DF806,35)&amp;"","")&amp;"␟"&amp;IFERROR(INDEX(PASTE_ALL,$DF806,36)&amp;"","")&amp;"␟"&amp;IFERROR(INDEX(PASTE_ALL,$DF806,37)&amp;"","")&amp;"␟"&amp;IFERROR(INDEX(PASTE_ALL,$DF806,38)&amp;"","")&amp;"␟"&amp;IFERROR(INDEX(PASTE_ALL,$DF806,39)&amp;"","")&amp;"␟"&amp;IFERROR(INDEX(PASTE_ALL,$DF806,40)&amp;"","")&amp;"␟"&amp;IFERROR(INDEX(PASTE_ALL,$DF806,41)&amp;"","")&amp;"␟"&amp;IFERROR(INDEX(PASTE_ALL,$DF806,42)&amp;"","")&amp;"␟"&amp;IFERROR(INDEX(PASTE_ALL,$DF806,43)&amp;"","")&amp;"␟"&amp;IFERROR(INDEX(PASTE_ALL,$DF806,44)&amp;"","")&amp;"␟"&amp;IFERROR(INDEX(PASTE_ALL,$DF806,45)&amp;"","")&amp;"␟"&amp;IFERROR(INDEX(PASTE_ALL,$DF806,46)&amp;"","")&amp;"␟"&amp;IFERROR(INDEX(PASTE_ALL,$DF806,47)&amp;"","")&amp;"␟"&amp;IFERROR(INDEX(PASTE_ALL,$DF806,48)&amp;"","")&amp;"␟"&amp;IFERROR(INDEX(PASTE_ALL,$DF806,49)&amp;"","")&amp;"␟"&amp;IFERROR(INDEX(PASTE_ALL,$DF806,50)&amp;"","")&amp;"␟"&amp;IFERROR(INDEX(PASTE_ALL,$DF806,51)&amp;"","")&amp;"␟"&amp;IFERROR(INDEX(PASTE_ALL,$DF806,52)&amp;"","")&amp;"␟"&amp;IFERROR(INDEX(PASTE_ALL,$DF806,53)&amp;"","")&amp;"␟"&amp;IFERROR(INDEX(PASTE_ALL,$DF806,54)&amp;"","")&amp;"␟"&amp;IFERROR(INDEX(PASTE_ALL,$DF806,55)&amp;"","")&amp;"␟"&amp;IFERROR(INDEX(PASTE_ALL,$DF806,56)&amp;"","")&amp;"␟"&amp;IFERROR(INDEX(PASTE_ALL,$DF806,57)&amp;"","")&amp;"␟"&amp;IFERROR(INDEX(PASTE_ALL,$DF806,58)&amp;"","")&amp;"␟"&amp;IFERROR(INDEX(PASTE_ALL,$DF806,59)&amp;"","")&amp;"␟"&amp;IFERROR(INDEX(PASTE_ALL,$DF806,60)&amp;"","")," "," "),CHAR(9)," "),CHAR(10)," "),CHAR(13)," "))," ␟","␟"),"␟ ","␟"),"#"&amp;$DE806),"")</f>
        <v/>
      </c>
      <c r="DJ806">
        <f>IF($DI806="",0,IF(SUMPRODUCT(--EXACT($DI$4:DI805,$DI806))&gt;0,1,0))</f>
        <v/>
      </c>
      <c r="DK806">
        <f>IF(AND($DI806&lt;&gt;"",$DJ806=0),1,0)</f>
        <v/>
      </c>
      <c r="DL806">
        <f>DL805+$DK806</f>
        <v/>
      </c>
      <c r="DM806">
        <f>IF(AND($DK806=1,$DL806&lt;=600),1,0)</f>
        <v/>
      </c>
      <c r="DN806">
        <f>IF($DM806=0,"",IF($L$6=0,"",IFERROR(IF(ISNUMBER(INDEX(PASTE_ALL,$DF806,$L$6)),INDEX(PASTE_ALL,$DF806,$L$6),TRIM(SUBSTITUTE(SUBSTITUTE(SUBSTITUTE(SUBSTITUTE(INDEX(PASTE_ALL,$DF806,$L$6)," "," "),CHAR(9)," "),CHAR(10)," "),CHAR(13)," "))),"")))</f>
        <v/>
      </c>
      <c r="DO806">
        <f>IF($DM806=0,"",IF($L$7=0,"",IFERROR(IF(ISNUMBER(INDEX(PASTE_ALL,$DF806,$L$7)),INDEX(PASTE_ALL,$DF806,$L$7),TRIM(SUBSTITUTE(SUBSTITUTE(SUBSTITUTE(SUBSTITUTE(INDEX(PASTE_ALL,$DF806,$L$7)," "," "),CHAR(9)," "),CHAR(10)," "),CHAR(13)," "))),"")))</f>
        <v/>
      </c>
      <c r="DP806">
        <f>IF($DM806=0,"",IF($L$8=0,"",IFERROR(IF(ISNUMBER(INDEX(PASTE_ALL,$DF806,$L$8)),INDEX(PASTE_ALL,$DF806,$L$8),TRIM(SUBSTITUTE(SUBSTITUTE(SUBSTITUTE(SUBSTITUTE(INDEX(PASTE_ALL,$DF806,$L$8)," "," "),CHAR(9)," "),CHAR(10)," "),CHAR(13)," "))),"")))</f>
        <v/>
      </c>
      <c r="DQ806">
        <f>IF($DM806=0,"",IF($L$9=0,"",IFERROR(IF(ISNUMBER(INDEX(PASTE_ALL,$DF806,$L$9)),INDEX(PASTE_ALL,$DF806,$L$9),TRIM(SUBSTITUTE(SUBSTITUTE(SUBSTITUTE(SUBSTITUTE(INDEX(PASTE_ALL,$DF806,$L$9)," "," "),CHAR(9)," "),CHAR(10)," "),CHAR(13)," "))),"")))</f>
        <v/>
      </c>
      <c r="DR806">
        <f>IF($DM806=0,"",IF($L$10=0,"",IFERROR(IF(ISNUMBER(INDEX(PASTE_ALL,$DF806,$L$10)),INDEX(PASTE_ALL,$DF806,$L$10),TRIM(SUBSTITUTE(SUBSTITUTE(SUBSTITUTE(SUBSTITUTE(INDEX(PASTE_ALL,$DF806,$L$10)," "," "),CHAR(9)," "),CHAR(10)," "),CHAR(13)," "))),"")))</f>
        <v/>
      </c>
      <c r="DS806">
        <f>IF($DM806=0,"",IF($L$11=0,"",IFERROR(IF(ISNUMBER(INDEX(PASTE_ALL,$DF806,$L$11)),INDEX(PASTE_ALL,$DF806,$L$11),TRIM(SUBSTITUTE(SUBSTITUTE(SUBSTITUTE(SUBSTITUTE(INDEX(PASTE_ALL,$DF806,$L$11)," "," "),CHAR(9)," "),CHAR(10)," "),CHAR(13)," "))),"")))</f>
        <v/>
      </c>
      <c r="DT806">
        <f>IF($DM806=0,"",IF($L$12=0,"",IFERROR(IF(ISNUMBER(INDEX(PASTE_ALL,$DF806,$L$12)),INDEX(PASTE_ALL,$DF806,$L$12),TRIM(SUBSTITUTE(SUBSTITUTE(SUBSTITUTE(SUBSTITUTE(INDEX(PASTE_ALL,$DF806,$L$12)," "," "),CHAR(9)," "),CHAR(10)," "),CHAR(13)," "))),"")))</f>
        <v/>
      </c>
      <c r="DU806">
        <f>IF($DM806=0,"",IF($L$13=0,"",IFERROR(IF(ISNUMBER(INDEX(PASTE_ALL,$DF806,$L$13)),INDEX(PASTE_ALL,$DF806,$L$13),TRIM(SUBSTITUTE(SUBSTITUTE(SUBSTITUTE(SUBSTITUTE(INDEX(PASTE_ALL,$DF806,$L$13)," "," "),CHAR(9)," "),CHAR(10)," "),CHAR(13)," "))),"")))</f>
        <v/>
      </c>
      <c r="DV806">
        <f>IF($DM806=0,"",IF($L$14=0,"",IFERROR(IF(ISNUMBER(INDEX(PASTE_ALL,$DF806,$L$14)),INDEX(PASTE_ALL,$DF806,$L$14),TRIM(SUBSTITUTE(SUBSTITUTE(SUBSTITUTE(SUBSTITUTE(INDEX(PASTE_ALL,$DF806,$L$14)," "," "),CHAR(9)," "),CHAR(10)," "),CHAR(13)," "))),"")))</f>
        <v/>
      </c>
      <c r="DW806">
        <f>IF($DM806=0,"",IF($L$15=0,"",IFERROR(IF(ISNUMBER(INDEX(PASTE_ALL,$DF806,$L$15)),INDEX(PASTE_ALL,$DF806,$L$15),IF(SUMPRODUCT(--ISNUMBER(FIND({"A","B","C","D","E","F","G","H","I","J","K","L","M","N","O","P","Q","R","S","T","U","V","W","X","Y","Z","0","1","2","3","4","5","6","7","8","9"},UPPER(TRIM(SUBSTITUTE(SUBSTITUTE(SUBSTITUTE(SUBSTITUTE(INDEX(PASTE_ALL,$DF806,$L$15)," "," "),CHAR(9)," "),CHAR(10)," "),CHAR(13)," "))))))&gt;0,TRIM(SUBSTITUTE(SUBSTITUTE(SUBSTITUTE(SUBSTITUTE(INDEX(PASTE_ALL,$DF806,$L$15)," "," "),CHAR(9)," "),CHAR(10)," "),CHAR(13)," ")),"")),"")))</f>
        <v/>
      </c>
      <c r="DX806">
        <f>IF($DM806=0,"",IF($L$16=0,"",IFERROR(IF(ISNUMBER(INDEX(PASTE_ALL,$DF806,$L$16)),INDEX(PASTE_ALL,$DF806,$L$16),SUBSTITUTE(SUBSTITUTE(TRIM(SUBSTITUTE(SUBSTITUTE(SUBSTITUTE(SUBSTITUTE(INDEX(PASTE_ALL,$DF806,$L$16)," "," "),CHAR(9)," "),CHAR(10)," "),CHAR(13)," ")),",",""),"%","")),"")))</f>
        <v/>
      </c>
      <c r="DY806">
        <f>IF($DM806=0,"",IFERROR(IF(ISNUMBER($DX806),$DX806,IF($DX806="","",IF(TRIM($DX806)="",0,IF(AND(AND(SUBSTITUTE(SUBSTITUTE(SUBSTITUTE(SUBSTITUTE(SUBSTITUTE(SUBSTITUTE(SUBSTITUTE(SUBSTITUTE(SUBSTITUTE(SUBSTITUTE(SUBSTITUTE(SUBSTITUTE(SUBSTITUTE(SUBSTITUTE(UPPER(TRIM($DX806)),"0",""),"1",""),"2",""),"3",""),"4",""),"5",""),"6",""),"7",""),"8",""),"9",""),".",""),"+",""),"-",""),"E","")="",LEN(SUBSTITUTE(SUBSTITUTE(MID(UPPER(TRIM($DX806)),1+OR(LEFT(UPPER(TRIM($DX806)),1)="+",LEFT(UPPER(TRIM($DX806)),1)="-"),999),"E+","E"),"E-","E"))=LEN(SUBSTITUTE(SUBSTITUTE(SUBSTITUTE(SUBSTITUTE(MID(UPPER(TRIM($DX806)),1+OR(LEFT(UPPER(TRIM($DX806)),1)="+",LEFT(UPPER(TRIM($DX806)),1)="-"),999),"E+","E"),"E-","E"),"+",""),"-","")),LEN(UPPER(TRIM($DX806)))-LEN(SUBSTITUTE(UPPER(TRIM($DX806)),"E",""))&lt;2,LEN(UPPER(TRIM($DX806)))-LEN(SUBSTITUTE(UPPER(TRIM($DX806)),".",""))&lt;2,IFERROR(FIND(".",UPPER(TRIM($DX806))),0)&lt;IFERROR(FIND("E",UPPER(TRIM($DX806))),999)),ISNUMBER(VALUE(TRIM($DX806)))),VALUE(TRIM($DX806)),"")))),""))</f>
        <v/>
      </c>
      <c r="DZ806">
        <f>IF($DM806=0,"",IF($L$17=0,"",IFERROR(IF(ISNUMBER(INDEX(PASTE_ALL,$DF806,$L$17)),INDEX(PASTE_ALL,$DF806,$L$17),SUBSTITUTE(SUBSTITUTE(TRIM(SUBSTITUTE(SUBSTITUTE(SUBSTITUTE(SUBSTITUTE(INDEX(PASTE_ALL,$DF806,$L$17)," "," "),CHAR(9)," "),CHAR(10)," "),CHAR(13)," ")),",",""),"%","")),"")))</f>
        <v/>
      </c>
      <c r="EA806">
        <f>IF($DM806=0,"",IFERROR(IF(ISNUMBER($DZ806),$DZ806,IF($DZ806="","",IF(TRIM($DZ806)="",0,IF(AND(AND(SUBSTITUTE(SUBSTITUTE(SUBSTITUTE(SUBSTITUTE(SUBSTITUTE(SUBSTITUTE(SUBSTITUTE(SUBSTITUTE(SUBSTITUTE(SUBSTITUTE(SUBSTITUTE(SUBSTITUTE(SUBSTITUTE(SUBSTITUTE(UPPER(TRIM($DZ806)),"0",""),"1",""),"2",""),"3",""),"4",""),"5",""),"6",""),"7",""),"8",""),"9",""),".",""),"+",""),"-",""),"E","")="",LEN(SUBSTITUTE(SUBSTITUTE(MID(UPPER(TRIM($DZ806)),1+OR(LEFT(UPPER(TRIM($DZ806)),1)="+",LEFT(UPPER(TRIM($DZ806)),1)="-"),999),"E+","E"),"E-","E"))=LEN(SUBSTITUTE(SUBSTITUTE(SUBSTITUTE(SUBSTITUTE(MID(UPPER(TRIM($DZ806)),1+OR(LEFT(UPPER(TRIM($DZ806)),1)="+",LEFT(UPPER(TRIM($DZ806)),1)="-"),999),"E+","E"),"E-","E"),"+",""),"-","")),LEN(UPPER(TRIM($DZ806)))-LEN(SUBSTITUTE(UPPER(TRIM($DZ806)),"E",""))&lt;2,LEN(UPPER(TRIM($DZ806)))-LEN(SUBSTITUTE(UPPER(TRIM($DZ806)),".",""))&lt;2,IFERROR(FIND(".",UPPER(TRIM($DZ806))),0)&lt;IFERROR(FIND("E",UPPER(TRIM($DZ806))),999)),ISNUMBER(VALUE(TRIM($DZ806)))),VALUE(TRIM($DZ806)),"")))),""))</f>
        <v/>
      </c>
      <c r="EB806">
        <f>IF($DM806=0,"",IF($L$18=0,"",IFERROR(IF(UPPER(TRIM(SUBSTITUTE(SUBSTITUTE(SUBSTITUTE(SUBSTITUTE(INDEX(PASTE_ALL,$DF806,$L$18)," "," "),CHAR(9)," "),CHAR(10)," "),CHAR(13)," ")))="READY","Ready",IF(UPPER(TRIM(SUBSTITUTE(SUBSTITUTE(SUBSTITUTE(SUBSTITUTE(INDEX(PASTE_ALL,$DF806,$L$18)," "," "),CHAR(9)," "),CHAR(10)," "),CHAR(13)," ")))="PM","PM",IF(OR(UPPER(TRIM(SUBSTITUTE(SUBSTITUTE(SUBSTITUTE(SUBSTITUTE(INDEX(PASTE_ALL,$DF806,$L$18)," "," "),CHAR(9)," "),CHAR(10)," "),CHAR(13)," ")))="OT",UPPER(TRIM(SUBSTITUTE(SUBSTITUTE(SUBSTITUTE(SUBSTITUTE(INDEX(PASTE_ALL,$DF806,$L$18)," "," "),CHAR(9)," "),CHAR(10)," "),CHAR(13)," ")))="OVERTIME",UPPER(TRIM(SUBSTITUTE(SUBSTITUTE(SUBSTITUTE(SUBSTITUTE(INDEX(PASTE_ALL,$DF806,$L$18)," "," "),CHAR(9)," "),CHAR(10)," "),CHAR(13)," ")))="TRIAL"),"OT",TRIM(SUBSTITUTE(SUBSTITUTE(SUBSTITUTE(SUBSTITUTE(INDEX(PASTE_ALL,$DF806,$L$18)," "," "),CHAR(9)," "),CHAR(10)," "),CHAR(13)," "))))),"")))</f>
        <v/>
      </c>
      <c r="EC806">
        <f>IF($DM806=0,"",IF($L$19=0,"",IFERROR(IF(ISNUMBER(INDEX(PASTE_ALL,$DF806,$L$19)),INDEX(PASTE_ALL,$DF806,$L$19),TRIM(SUBSTITUTE(SUBSTITUTE(SUBSTITUTE(SUBSTITUTE(INDEX(PASTE_ALL,$DF806,$L$19)," "," "),CHAR(9)," "),CHAR(10)," "),CHAR(13)," "))),"")))</f>
        <v/>
      </c>
      <c r="ED806">
        <f>IF($DM806=0,"",MATCH(1,INDEX(EXACT($DH$5:DH806,$DH806)*$DM$5:DM806,0),0))</f>
        <v/>
      </c>
      <c r="EE806">
        <f>IF($DM806=0,0,IF($ED806=$DE806,1,0))</f>
        <v/>
      </c>
      <c r="EF806">
        <f>EF805+$EE806</f>
        <v/>
      </c>
      <c r="EG806">
        <f>IF($DM806=0,"",INDEX($EF$5:$EF$1003,$ED806))</f>
        <v/>
      </c>
      <c r="EH806">
        <f>IF($DM806=0,"",IF($DO806&lt;&gt;"","",IFERROR(LOOKUP(2,1/(($EG$4:EG805=$EG806)*($DO$4:DO805&lt;&gt;"")),$DO$4:DO805),"")))</f>
        <v/>
      </c>
      <c r="EI806">
        <f>IF($DM806=0,"",IF($DO806&lt;&gt;"",$DO806,$EH806))</f>
        <v/>
      </c>
      <c r="EJ806">
        <f>IF($DM806=0,"",IF($EI806="",0,IF(OR(ISNUMBER($EI806),AND(AND(SUBSTITUTE(SUBSTITUTE(SUBSTITUTE(SUBSTITUTE(SUBSTITUTE(SUBSTITUTE(SUBSTITUTE(SUBSTITUTE(SUBSTITUTE(SUBSTITUTE(SUBSTITUTE(SUBSTITUTE(SUBSTITUTE(SUBSTITUTE(UPPER($EI806),"0",""),"1",""),"2",""),"3",""),"4",""),"5",""),"6",""),"7",""),"8",""),"9",""),".",""),"+",""),"-",""),"E","")="",LEN(SUBSTITUTE(SUBSTITUTE(MID(UPPER($EI806),1+OR(LEFT(UPPER($EI806),1)="+",LEFT(UPPER($EI806),1)="-"),999),"E+","E"),"E-","E"))=LEN(SUBSTITUTE(SUBSTITUTE(SUBSTITUTE(SUBSTITUTE(MID(UPPER($EI806),1+OR(LEFT(UPPER($EI806),1)="+",LEFT(UPPER($EI806),1)="-"),999),"E+","E"),"E-","E"),"+",""),"-","")),LEN(UPPER($EI806))-LEN(SUBSTITUTE(UPPER($EI806),"E",""))&lt;2,LEN(UPPER($EI806))-LEN(SUBSTITUTE(UPPER($EI806),".",""))&lt;2,IFERROR(FIND(".",UPPER($EI806)),0)&lt;IFERROR(FIND("E",UPPER($EI806)),999)),ISNUMBER(VALUE($EI806)))),1,2)))</f>
        <v/>
      </c>
      <c r="EK806">
        <f>IF($DM806=0,"",IF($EJ806=1,IF(ISNUMBER($EI806),$EI806,VALUE($EI806)),IF($EJ806=2,$DE806,0)))</f>
        <v/>
      </c>
      <c r="EL806">
        <f>IF($DM806=0,"",COUNTIF($EG$5:$EG$1003,"&lt;"&amp;$EG806)+SUMPRODUCT(($EG$5:$EG$1003=$EG806)*(($EJ$5:$EJ$1003&lt;$EJ806)+($EJ$5:$EJ$1003=$EJ806)*(($EK$5:$EK$1003&lt;$EK806)+($EK$5:$EK$1003=$EK806)*($DE$5:$DE$1003&lt;$DE806))))+1)</f>
        <v/>
      </c>
      <c r="EM806">
        <f>IF($DM806=0,"",$EL806+$EG806-1)</f>
        <v/>
      </c>
      <c r="EN806">
        <f>IF($DM806=0,0,IFERROR(MATCH(1,INDEX(--(TRIM(SUBSTITUTE(SUBSTITUTE(SUBSTITUTE(SUBSTITUTE(LINES_NAME&amp;""," "," "),CHAR(9)," "),CHAR(10)," "),CHAR(13)," "))=$DH806),0),0),0))</f>
        <v/>
      </c>
      <c r="EO806">
        <f>IF($EN806=0,0,IF(OR(UPPER(TRIM(INDEX(LINES_SCHEDULED,$EN806)&amp;""))="YES",UPPER(TRIM(INDEX(LINES_SCHEDULED,$EN806)&amp;""))="Y",UPPER(TRIM(INDEX(LINES_SCHEDULED,$EN806)&amp;""))="X"),1,0))</f>
        <v/>
      </c>
      <c r="EP806">
        <f>IF($DM806=0,"",IF(COUNTIFS($EG$5:$EG$1003,$EG806,$EB$5:$EB$1003,"Ready")&gt;0,"READY",IF(COUNTIFS($EG$5:$EG$1003,$EG806,$EB$5:$EB$1003,"PM")&gt;0,"PM",IF(COUNTIFS($EG$5:$EG$1003,$EG806,$EB$5:$EB$1003,"OT")&gt;0,"OT",""))))</f>
        <v/>
      </c>
      <c r="EQ806">
        <f>IF($EN806=0,"",UPPER(TRIM(INDEX(LINES_STATUS,$EN806)&amp;"")))</f>
        <v/>
      </c>
      <c r="ER806">
        <f>IF($DM806=0,"",IF(OR($EQ806="READY",$EQ806="PM",$EQ806="OT"),$EQ806,$EP806))</f>
        <v/>
      </c>
      <c r="ES806">
        <f>IF($DM806=0,"",IF(AND($DV806&lt;&gt;"",UPPER($DV806)&lt;&gt;"N"),"allergen",IF(ISNUMBER(SEARCH("oil",$DQ806)),"oil",IF(OR(EXACT($DS806,"A662"),EXACT($DS806,"A624")),"bulk",""))))</f>
        <v/>
      </c>
      <c r="ET806">
        <f>IF($DM806=0,"",IF(OR($EA806="",$EA806=0),"",$EA806/100))</f>
        <v/>
      </c>
      <c r="EU806">
        <f>IF(OR($ET806="",$DY806=""),"",INT($DY806*(1-$ET806)+0.5))</f>
        <v/>
      </c>
    </row>
    <row r="807">
      <c r="DA807" t="n">
        <v>803</v>
      </c>
      <c r="DB807">
        <f>IF($B$37=0,"",IFERROR(TRIM(SUBSTITUTE(SUBSTITUTE(SUBSTITUTE(SUBSTITUTE(INDEX(PASTE_ALL,803,$B$37)," "," "),CHAR(9)," "),CHAR(10)," "),CHAR(13)," ")),""))</f>
        <v/>
      </c>
      <c r="DC807">
        <f>IF(AND(803&gt;HEADER_ROW,UPPER(DB807)="LEGEND"),1,0)</f>
        <v/>
      </c>
      <c r="DE807" t="n">
        <v>803</v>
      </c>
      <c r="DF807">
        <f>HEADER_ROW+$DE807</f>
        <v/>
      </c>
      <c r="DG807">
        <f>IF(AND($DF807&lt;=1000,$DF807&lt;$B$8),1,0)</f>
        <v/>
      </c>
      <c r="DH807">
        <f>IF($DG807=1,IFERROR(INDEX($DB$5:$DB$1004,$DF807),""),"")</f>
        <v/>
      </c>
      <c r="DI807">
        <f>IF(AND($DG807=1,$DH807&lt;&gt;""),IFERROR(SUBSTITUTE(SUBSTITUTE(TRIM(SUBSTITUTE(SUBSTITUTE(SUBSTITUTE(SUBSTITUTE(IFERROR(INDEX(PASTE_ALL,$DF807,1)&amp;"","")&amp;"␟"&amp;IFERROR(INDEX(PASTE_ALL,$DF807,2)&amp;"","")&amp;"␟"&amp;IFERROR(INDEX(PASTE_ALL,$DF807,3)&amp;"","")&amp;"␟"&amp;IFERROR(INDEX(PASTE_ALL,$DF807,4)&amp;"","")&amp;"␟"&amp;IFERROR(INDEX(PASTE_ALL,$DF807,5)&amp;"","")&amp;"␟"&amp;IFERROR(INDEX(PASTE_ALL,$DF807,6)&amp;"","")&amp;"␟"&amp;IFERROR(INDEX(PASTE_ALL,$DF807,7)&amp;"","")&amp;"␟"&amp;IFERROR(INDEX(PASTE_ALL,$DF807,8)&amp;"","")&amp;"␟"&amp;IFERROR(INDEX(PASTE_ALL,$DF807,9)&amp;"","")&amp;"␟"&amp;IFERROR(INDEX(PASTE_ALL,$DF807,10)&amp;"","")&amp;"␟"&amp;IFERROR(INDEX(PASTE_ALL,$DF807,11)&amp;"","")&amp;"␟"&amp;IFERROR(INDEX(PASTE_ALL,$DF807,12)&amp;"","")&amp;"␟"&amp;IFERROR(INDEX(PASTE_ALL,$DF807,13)&amp;"","")&amp;"␟"&amp;IFERROR(INDEX(PASTE_ALL,$DF807,14)&amp;"","")&amp;"␟"&amp;IFERROR(INDEX(PASTE_ALL,$DF807,15)&amp;"","")&amp;"␟"&amp;IFERROR(INDEX(PASTE_ALL,$DF807,16)&amp;"","")&amp;"␟"&amp;IFERROR(INDEX(PASTE_ALL,$DF807,17)&amp;"","")&amp;"␟"&amp;IFERROR(INDEX(PASTE_ALL,$DF807,18)&amp;"","")&amp;"␟"&amp;IFERROR(INDEX(PASTE_ALL,$DF807,19)&amp;"","")&amp;"␟"&amp;IFERROR(INDEX(PASTE_ALL,$DF807,20)&amp;"","")&amp;"␟"&amp;IFERROR(INDEX(PASTE_ALL,$DF807,21)&amp;"","")&amp;"␟"&amp;IFERROR(INDEX(PASTE_ALL,$DF807,22)&amp;"","")&amp;"␟"&amp;IFERROR(INDEX(PASTE_ALL,$DF807,23)&amp;"","")&amp;"␟"&amp;IFERROR(INDEX(PASTE_ALL,$DF807,24)&amp;"","")&amp;"␟"&amp;IFERROR(INDEX(PASTE_ALL,$DF807,25)&amp;"","")&amp;"␟"&amp;IFERROR(INDEX(PASTE_ALL,$DF807,26)&amp;"","")&amp;"␟"&amp;IFERROR(INDEX(PASTE_ALL,$DF807,27)&amp;"","")&amp;"␟"&amp;IFERROR(INDEX(PASTE_ALL,$DF807,28)&amp;"","")&amp;"␟"&amp;IFERROR(INDEX(PASTE_ALL,$DF807,29)&amp;"","")&amp;"␟"&amp;IFERROR(INDEX(PASTE_ALL,$DF807,30)&amp;"","")&amp;"␟"&amp;IFERROR(INDEX(PASTE_ALL,$DF807,31)&amp;"","")&amp;"␟"&amp;IFERROR(INDEX(PASTE_ALL,$DF807,32)&amp;"","")&amp;"␟"&amp;IFERROR(INDEX(PASTE_ALL,$DF807,33)&amp;"","")&amp;"␟"&amp;IFERROR(INDEX(PASTE_ALL,$DF807,34)&amp;"","")&amp;"␟"&amp;IFERROR(INDEX(PASTE_ALL,$DF807,35)&amp;"","")&amp;"␟"&amp;IFERROR(INDEX(PASTE_ALL,$DF807,36)&amp;"","")&amp;"␟"&amp;IFERROR(INDEX(PASTE_ALL,$DF807,37)&amp;"","")&amp;"␟"&amp;IFERROR(INDEX(PASTE_ALL,$DF807,38)&amp;"","")&amp;"␟"&amp;IFERROR(INDEX(PASTE_ALL,$DF807,39)&amp;"","")&amp;"␟"&amp;IFERROR(INDEX(PASTE_ALL,$DF807,40)&amp;"","")&amp;"␟"&amp;IFERROR(INDEX(PASTE_ALL,$DF807,41)&amp;"","")&amp;"␟"&amp;IFERROR(INDEX(PASTE_ALL,$DF807,42)&amp;"","")&amp;"␟"&amp;IFERROR(INDEX(PASTE_ALL,$DF807,43)&amp;"","")&amp;"␟"&amp;IFERROR(INDEX(PASTE_ALL,$DF807,44)&amp;"","")&amp;"␟"&amp;IFERROR(INDEX(PASTE_ALL,$DF807,45)&amp;"","")&amp;"␟"&amp;IFERROR(INDEX(PASTE_ALL,$DF807,46)&amp;"","")&amp;"␟"&amp;IFERROR(INDEX(PASTE_ALL,$DF807,47)&amp;"","")&amp;"␟"&amp;IFERROR(INDEX(PASTE_ALL,$DF807,48)&amp;"","")&amp;"␟"&amp;IFERROR(INDEX(PASTE_ALL,$DF807,49)&amp;"","")&amp;"␟"&amp;IFERROR(INDEX(PASTE_ALL,$DF807,50)&amp;"","")&amp;"␟"&amp;IFERROR(INDEX(PASTE_ALL,$DF807,51)&amp;"","")&amp;"␟"&amp;IFERROR(INDEX(PASTE_ALL,$DF807,52)&amp;"","")&amp;"␟"&amp;IFERROR(INDEX(PASTE_ALL,$DF807,53)&amp;"","")&amp;"␟"&amp;IFERROR(INDEX(PASTE_ALL,$DF807,54)&amp;"","")&amp;"␟"&amp;IFERROR(INDEX(PASTE_ALL,$DF807,55)&amp;"","")&amp;"␟"&amp;IFERROR(INDEX(PASTE_ALL,$DF807,56)&amp;"","")&amp;"␟"&amp;IFERROR(INDEX(PASTE_ALL,$DF807,57)&amp;"","")&amp;"␟"&amp;IFERROR(INDEX(PASTE_ALL,$DF807,58)&amp;"","")&amp;"␟"&amp;IFERROR(INDEX(PASTE_ALL,$DF807,59)&amp;"","")&amp;"␟"&amp;IFERROR(INDEX(PASTE_ALL,$DF807,60)&amp;"","")," "," "),CHAR(9)," "),CHAR(10)," "),CHAR(13)," "))," ␟","␟"),"␟ ","␟"),"#"&amp;$DE807),"")</f>
        <v/>
      </c>
      <c r="DJ807">
        <f>IF($DI807="",0,IF(SUMPRODUCT(--EXACT($DI$4:DI806,$DI807))&gt;0,1,0))</f>
        <v/>
      </c>
      <c r="DK807">
        <f>IF(AND($DI807&lt;&gt;"",$DJ807=0),1,0)</f>
        <v/>
      </c>
      <c r="DL807">
        <f>DL806+$DK807</f>
        <v/>
      </c>
      <c r="DM807">
        <f>IF(AND($DK807=1,$DL807&lt;=600),1,0)</f>
        <v/>
      </c>
      <c r="DN807">
        <f>IF($DM807=0,"",IF($L$6=0,"",IFERROR(IF(ISNUMBER(INDEX(PASTE_ALL,$DF807,$L$6)),INDEX(PASTE_ALL,$DF807,$L$6),TRIM(SUBSTITUTE(SUBSTITUTE(SUBSTITUTE(SUBSTITUTE(INDEX(PASTE_ALL,$DF807,$L$6)," "," "),CHAR(9)," "),CHAR(10)," "),CHAR(13)," "))),"")))</f>
        <v/>
      </c>
      <c r="DO807">
        <f>IF($DM807=0,"",IF($L$7=0,"",IFERROR(IF(ISNUMBER(INDEX(PASTE_ALL,$DF807,$L$7)),INDEX(PASTE_ALL,$DF807,$L$7),TRIM(SUBSTITUTE(SUBSTITUTE(SUBSTITUTE(SUBSTITUTE(INDEX(PASTE_ALL,$DF807,$L$7)," "," "),CHAR(9)," "),CHAR(10)," "),CHAR(13)," "))),"")))</f>
        <v/>
      </c>
      <c r="DP807">
        <f>IF($DM807=0,"",IF($L$8=0,"",IFERROR(IF(ISNUMBER(INDEX(PASTE_ALL,$DF807,$L$8)),INDEX(PASTE_ALL,$DF807,$L$8),TRIM(SUBSTITUTE(SUBSTITUTE(SUBSTITUTE(SUBSTITUTE(INDEX(PASTE_ALL,$DF807,$L$8)," "," "),CHAR(9)," "),CHAR(10)," "),CHAR(13)," "))),"")))</f>
        <v/>
      </c>
      <c r="DQ807">
        <f>IF($DM807=0,"",IF($L$9=0,"",IFERROR(IF(ISNUMBER(INDEX(PASTE_ALL,$DF807,$L$9)),INDEX(PASTE_ALL,$DF807,$L$9),TRIM(SUBSTITUTE(SUBSTITUTE(SUBSTITUTE(SUBSTITUTE(INDEX(PASTE_ALL,$DF807,$L$9)," "," "),CHAR(9)," "),CHAR(10)," "),CHAR(13)," "))),"")))</f>
        <v/>
      </c>
      <c r="DR807">
        <f>IF($DM807=0,"",IF($L$10=0,"",IFERROR(IF(ISNUMBER(INDEX(PASTE_ALL,$DF807,$L$10)),INDEX(PASTE_ALL,$DF807,$L$10),TRIM(SUBSTITUTE(SUBSTITUTE(SUBSTITUTE(SUBSTITUTE(INDEX(PASTE_ALL,$DF807,$L$10)," "," "),CHAR(9)," "),CHAR(10)," "),CHAR(13)," "))),"")))</f>
        <v/>
      </c>
      <c r="DS807">
        <f>IF($DM807=0,"",IF($L$11=0,"",IFERROR(IF(ISNUMBER(INDEX(PASTE_ALL,$DF807,$L$11)),INDEX(PASTE_ALL,$DF807,$L$11),TRIM(SUBSTITUTE(SUBSTITUTE(SUBSTITUTE(SUBSTITUTE(INDEX(PASTE_ALL,$DF807,$L$11)," "," "),CHAR(9)," "),CHAR(10)," "),CHAR(13)," "))),"")))</f>
        <v/>
      </c>
      <c r="DT807">
        <f>IF($DM807=0,"",IF($L$12=0,"",IFERROR(IF(ISNUMBER(INDEX(PASTE_ALL,$DF807,$L$12)),INDEX(PASTE_ALL,$DF807,$L$12),TRIM(SUBSTITUTE(SUBSTITUTE(SUBSTITUTE(SUBSTITUTE(INDEX(PASTE_ALL,$DF807,$L$12)," "," "),CHAR(9)," "),CHAR(10)," "),CHAR(13)," "))),"")))</f>
        <v/>
      </c>
      <c r="DU807">
        <f>IF($DM807=0,"",IF($L$13=0,"",IFERROR(IF(ISNUMBER(INDEX(PASTE_ALL,$DF807,$L$13)),INDEX(PASTE_ALL,$DF807,$L$13),TRIM(SUBSTITUTE(SUBSTITUTE(SUBSTITUTE(SUBSTITUTE(INDEX(PASTE_ALL,$DF807,$L$13)," "," "),CHAR(9)," "),CHAR(10)," "),CHAR(13)," "))),"")))</f>
        <v/>
      </c>
      <c r="DV807">
        <f>IF($DM807=0,"",IF($L$14=0,"",IFERROR(IF(ISNUMBER(INDEX(PASTE_ALL,$DF807,$L$14)),INDEX(PASTE_ALL,$DF807,$L$14),TRIM(SUBSTITUTE(SUBSTITUTE(SUBSTITUTE(SUBSTITUTE(INDEX(PASTE_ALL,$DF807,$L$14)," "," "),CHAR(9)," "),CHAR(10)," "),CHAR(13)," "))),"")))</f>
        <v/>
      </c>
      <c r="DW807">
        <f>IF($DM807=0,"",IF($L$15=0,"",IFERROR(IF(ISNUMBER(INDEX(PASTE_ALL,$DF807,$L$15)),INDEX(PASTE_ALL,$DF807,$L$15),IF(SUMPRODUCT(--ISNUMBER(FIND({"A","B","C","D","E","F","G","H","I","J","K","L","M","N","O","P","Q","R","S","T","U","V","W","X","Y","Z","0","1","2","3","4","5","6","7","8","9"},UPPER(TRIM(SUBSTITUTE(SUBSTITUTE(SUBSTITUTE(SUBSTITUTE(INDEX(PASTE_ALL,$DF807,$L$15)," "," "),CHAR(9)," "),CHAR(10)," "),CHAR(13)," "))))))&gt;0,TRIM(SUBSTITUTE(SUBSTITUTE(SUBSTITUTE(SUBSTITUTE(INDEX(PASTE_ALL,$DF807,$L$15)," "," "),CHAR(9)," "),CHAR(10)," "),CHAR(13)," ")),"")),"")))</f>
        <v/>
      </c>
      <c r="DX807">
        <f>IF($DM807=0,"",IF($L$16=0,"",IFERROR(IF(ISNUMBER(INDEX(PASTE_ALL,$DF807,$L$16)),INDEX(PASTE_ALL,$DF807,$L$16),SUBSTITUTE(SUBSTITUTE(TRIM(SUBSTITUTE(SUBSTITUTE(SUBSTITUTE(SUBSTITUTE(INDEX(PASTE_ALL,$DF807,$L$16)," "," "),CHAR(9)," "),CHAR(10)," "),CHAR(13)," ")),",",""),"%","")),"")))</f>
        <v/>
      </c>
      <c r="DY807">
        <f>IF($DM807=0,"",IFERROR(IF(ISNUMBER($DX807),$DX807,IF($DX807="","",IF(TRIM($DX807)="",0,IF(AND(AND(SUBSTITUTE(SUBSTITUTE(SUBSTITUTE(SUBSTITUTE(SUBSTITUTE(SUBSTITUTE(SUBSTITUTE(SUBSTITUTE(SUBSTITUTE(SUBSTITUTE(SUBSTITUTE(SUBSTITUTE(SUBSTITUTE(SUBSTITUTE(UPPER(TRIM($DX807)),"0",""),"1",""),"2",""),"3",""),"4",""),"5",""),"6",""),"7",""),"8",""),"9",""),".",""),"+",""),"-",""),"E","")="",LEN(SUBSTITUTE(SUBSTITUTE(MID(UPPER(TRIM($DX807)),1+OR(LEFT(UPPER(TRIM($DX807)),1)="+",LEFT(UPPER(TRIM($DX807)),1)="-"),999),"E+","E"),"E-","E"))=LEN(SUBSTITUTE(SUBSTITUTE(SUBSTITUTE(SUBSTITUTE(MID(UPPER(TRIM($DX807)),1+OR(LEFT(UPPER(TRIM($DX807)),1)="+",LEFT(UPPER(TRIM($DX807)),1)="-"),999),"E+","E"),"E-","E"),"+",""),"-","")),LEN(UPPER(TRIM($DX807)))-LEN(SUBSTITUTE(UPPER(TRIM($DX807)),"E",""))&lt;2,LEN(UPPER(TRIM($DX807)))-LEN(SUBSTITUTE(UPPER(TRIM($DX807)),".",""))&lt;2,IFERROR(FIND(".",UPPER(TRIM($DX807))),0)&lt;IFERROR(FIND("E",UPPER(TRIM($DX807))),999)),ISNUMBER(VALUE(TRIM($DX807)))),VALUE(TRIM($DX807)),"")))),""))</f>
        <v/>
      </c>
      <c r="DZ807">
        <f>IF($DM807=0,"",IF($L$17=0,"",IFERROR(IF(ISNUMBER(INDEX(PASTE_ALL,$DF807,$L$17)),INDEX(PASTE_ALL,$DF807,$L$17),SUBSTITUTE(SUBSTITUTE(TRIM(SUBSTITUTE(SUBSTITUTE(SUBSTITUTE(SUBSTITUTE(INDEX(PASTE_ALL,$DF807,$L$17)," "," "),CHAR(9)," "),CHAR(10)," "),CHAR(13)," ")),",",""),"%","")),"")))</f>
        <v/>
      </c>
      <c r="EA807">
        <f>IF($DM807=0,"",IFERROR(IF(ISNUMBER($DZ807),$DZ807,IF($DZ807="","",IF(TRIM($DZ807)="",0,IF(AND(AND(SUBSTITUTE(SUBSTITUTE(SUBSTITUTE(SUBSTITUTE(SUBSTITUTE(SUBSTITUTE(SUBSTITUTE(SUBSTITUTE(SUBSTITUTE(SUBSTITUTE(SUBSTITUTE(SUBSTITUTE(SUBSTITUTE(SUBSTITUTE(UPPER(TRIM($DZ807)),"0",""),"1",""),"2",""),"3",""),"4",""),"5",""),"6",""),"7",""),"8",""),"9",""),".",""),"+",""),"-",""),"E","")="",LEN(SUBSTITUTE(SUBSTITUTE(MID(UPPER(TRIM($DZ807)),1+OR(LEFT(UPPER(TRIM($DZ807)),1)="+",LEFT(UPPER(TRIM($DZ807)),1)="-"),999),"E+","E"),"E-","E"))=LEN(SUBSTITUTE(SUBSTITUTE(SUBSTITUTE(SUBSTITUTE(MID(UPPER(TRIM($DZ807)),1+OR(LEFT(UPPER(TRIM($DZ807)),1)="+",LEFT(UPPER(TRIM($DZ807)),1)="-"),999),"E+","E"),"E-","E"),"+",""),"-","")),LEN(UPPER(TRIM($DZ807)))-LEN(SUBSTITUTE(UPPER(TRIM($DZ807)),"E",""))&lt;2,LEN(UPPER(TRIM($DZ807)))-LEN(SUBSTITUTE(UPPER(TRIM($DZ807)),".",""))&lt;2,IFERROR(FIND(".",UPPER(TRIM($DZ807))),0)&lt;IFERROR(FIND("E",UPPER(TRIM($DZ807))),999)),ISNUMBER(VALUE(TRIM($DZ807)))),VALUE(TRIM($DZ807)),"")))),""))</f>
        <v/>
      </c>
      <c r="EB807">
        <f>IF($DM807=0,"",IF($L$18=0,"",IFERROR(IF(UPPER(TRIM(SUBSTITUTE(SUBSTITUTE(SUBSTITUTE(SUBSTITUTE(INDEX(PASTE_ALL,$DF807,$L$18)," "," "),CHAR(9)," "),CHAR(10)," "),CHAR(13)," ")))="READY","Ready",IF(UPPER(TRIM(SUBSTITUTE(SUBSTITUTE(SUBSTITUTE(SUBSTITUTE(INDEX(PASTE_ALL,$DF807,$L$18)," "," "),CHAR(9)," "),CHAR(10)," "),CHAR(13)," ")))="PM","PM",IF(OR(UPPER(TRIM(SUBSTITUTE(SUBSTITUTE(SUBSTITUTE(SUBSTITUTE(INDEX(PASTE_ALL,$DF807,$L$18)," "," "),CHAR(9)," "),CHAR(10)," "),CHAR(13)," ")))="OT",UPPER(TRIM(SUBSTITUTE(SUBSTITUTE(SUBSTITUTE(SUBSTITUTE(INDEX(PASTE_ALL,$DF807,$L$18)," "," "),CHAR(9)," "),CHAR(10)," "),CHAR(13)," ")))="OVERTIME",UPPER(TRIM(SUBSTITUTE(SUBSTITUTE(SUBSTITUTE(SUBSTITUTE(INDEX(PASTE_ALL,$DF807,$L$18)," "," "),CHAR(9)," "),CHAR(10)," "),CHAR(13)," ")))="TRIAL"),"OT",TRIM(SUBSTITUTE(SUBSTITUTE(SUBSTITUTE(SUBSTITUTE(INDEX(PASTE_ALL,$DF807,$L$18)," "," "),CHAR(9)," "),CHAR(10)," "),CHAR(13)," "))))),"")))</f>
        <v/>
      </c>
      <c r="EC807">
        <f>IF($DM807=0,"",IF($L$19=0,"",IFERROR(IF(ISNUMBER(INDEX(PASTE_ALL,$DF807,$L$19)),INDEX(PASTE_ALL,$DF807,$L$19),TRIM(SUBSTITUTE(SUBSTITUTE(SUBSTITUTE(SUBSTITUTE(INDEX(PASTE_ALL,$DF807,$L$19)," "," "),CHAR(9)," "),CHAR(10)," "),CHAR(13)," "))),"")))</f>
        <v/>
      </c>
      <c r="ED807">
        <f>IF($DM807=0,"",MATCH(1,INDEX(EXACT($DH$5:DH807,$DH807)*$DM$5:DM807,0),0))</f>
        <v/>
      </c>
      <c r="EE807">
        <f>IF($DM807=0,0,IF($ED807=$DE807,1,0))</f>
        <v/>
      </c>
      <c r="EF807">
        <f>EF806+$EE807</f>
        <v/>
      </c>
      <c r="EG807">
        <f>IF($DM807=0,"",INDEX($EF$5:$EF$1003,$ED807))</f>
        <v/>
      </c>
      <c r="EH807">
        <f>IF($DM807=0,"",IF($DO807&lt;&gt;"","",IFERROR(LOOKUP(2,1/(($EG$4:EG806=$EG807)*($DO$4:DO806&lt;&gt;"")),$DO$4:DO806),"")))</f>
        <v/>
      </c>
      <c r="EI807">
        <f>IF($DM807=0,"",IF($DO807&lt;&gt;"",$DO807,$EH807))</f>
        <v/>
      </c>
      <c r="EJ807">
        <f>IF($DM807=0,"",IF($EI807="",0,IF(OR(ISNUMBER($EI807),AND(AND(SUBSTITUTE(SUBSTITUTE(SUBSTITUTE(SUBSTITUTE(SUBSTITUTE(SUBSTITUTE(SUBSTITUTE(SUBSTITUTE(SUBSTITUTE(SUBSTITUTE(SUBSTITUTE(SUBSTITUTE(SUBSTITUTE(SUBSTITUTE(UPPER($EI807),"0",""),"1",""),"2",""),"3",""),"4",""),"5",""),"6",""),"7",""),"8",""),"9",""),".",""),"+",""),"-",""),"E","")="",LEN(SUBSTITUTE(SUBSTITUTE(MID(UPPER($EI807),1+OR(LEFT(UPPER($EI807),1)="+",LEFT(UPPER($EI807),1)="-"),999),"E+","E"),"E-","E"))=LEN(SUBSTITUTE(SUBSTITUTE(SUBSTITUTE(SUBSTITUTE(MID(UPPER($EI807),1+OR(LEFT(UPPER($EI807),1)="+",LEFT(UPPER($EI807),1)="-"),999),"E+","E"),"E-","E"),"+",""),"-","")),LEN(UPPER($EI807))-LEN(SUBSTITUTE(UPPER($EI807),"E",""))&lt;2,LEN(UPPER($EI807))-LEN(SUBSTITUTE(UPPER($EI807),".",""))&lt;2,IFERROR(FIND(".",UPPER($EI807)),0)&lt;IFERROR(FIND("E",UPPER($EI807)),999)),ISNUMBER(VALUE($EI807)))),1,2)))</f>
        <v/>
      </c>
      <c r="EK807">
        <f>IF($DM807=0,"",IF($EJ807=1,IF(ISNUMBER($EI807),$EI807,VALUE($EI807)),IF($EJ807=2,$DE807,0)))</f>
        <v/>
      </c>
      <c r="EL807">
        <f>IF($DM807=0,"",COUNTIF($EG$5:$EG$1003,"&lt;"&amp;$EG807)+SUMPRODUCT(($EG$5:$EG$1003=$EG807)*(($EJ$5:$EJ$1003&lt;$EJ807)+($EJ$5:$EJ$1003=$EJ807)*(($EK$5:$EK$1003&lt;$EK807)+($EK$5:$EK$1003=$EK807)*($DE$5:$DE$1003&lt;$DE807))))+1)</f>
        <v/>
      </c>
      <c r="EM807">
        <f>IF($DM807=0,"",$EL807+$EG807-1)</f>
        <v/>
      </c>
      <c r="EN807">
        <f>IF($DM807=0,0,IFERROR(MATCH(1,INDEX(--(TRIM(SUBSTITUTE(SUBSTITUTE(SUBSTITUTE(SUBSTITUTE(LINES_NAME&amp;""," "," "),CHAR(9)," "),CHAR(10)," "),CHAR(13)," "))=$DH807),0),0),0))</f>
        <v/>
      </c>
      <c r="EO807">
        <f>IF($EN807=0,0,IF(OR(UPPER(TRIM(INDEX(LINES_SCHEDULED,$EN807)&amp;""))="YES",UPPER(TRIM(INDEX(LINES_SCHEDULED,$EN807)&amp;""))="Y",UPPER(TRIM(INDEX(LINES_SCHEDULED,$EN807)&amp;""))="X"),1,0))</f>
        <v/>
      </c>
      <c r="EP807">
        <f>IF($DM807=0,"",IF(COUNTIFS($EG$5:$EG$1003,$EG807,$EB$5:$EB$1003,"Ready")&gt;0,"READY",IF(COUNTIFS($EG$5:$EG$1003,$EG807,$EB$5:$EB$1003,"PM")&gt;0,"PM",IF(COUNTIFS($EG$5:$EG$1003,$EG807,$EB$5:$EB$1003,"OT")&gt;0,"OT",""))))</f>
        <v/>
      </c>
      <c r="EQ807">
        <f>IF($EN807=0,"",UPPER(TRIM(INDEX(LINES_STATUS,$EN807)&amp;"")))</f>
        <v/>
      </c>
      <c r="ER807">
        <f>IF($DM807=0,"",IF(OR($EQ807="READY",$EQ807="PM",$EQ807="OT"),$EQ807,$EP807))</f>
        <v/>
      </c>
      <c r="ES807">
        <f>IF($DM807=0,"",IF(AND($DV807&lt;&gt;"",UPPER($DV807)&lt;&gt;"N"),"allergen",IF(ISNUMBER(SEARCH("oil",$DQ807)),"oil",IF(OR(EXACT($DS807,"A662"),EXACT($DS807,"A624")),"bulk",""))))</f>
        <v/>
      </c>
      <c r="ET807">
        <f>IF($DM807=0,"",IF(OR($EA807="",$EA807=0),"",$EA807/100))</f>
        <v/>
      </c>
      <c r="EU807">
        <f>IF(OR($ET807="",$DY807=""),"",INT($DY807*(1-$ET807)+0.5))</f>
        <v/>
      </c>
    </row>
    <row r="808">
      <c r="DA808" t="n">
        <v>804</v>
      </c>
      <c r="DB808">
        <f>IF($B$37=0,"",IFERROR(TRIM(SUBSTITUTE(SUBSTITUTE(SUBSTITUTE(SUBSTITUTE(INDEX(PASTE_ALL,804,$B$37)," "," "),CHAR(9)," "),CHAR(10)," "),CHAR(13)," ")),""))</f>
        <v/>
      </c>
      <c r="DC808">
        <f>IF(AND(804&gt;HEADER_ROW,UPPER(DB808)="LEGEND"),1,0)</f>
        <v/>
      </c>
      <c r="DE808" t="n">
        <v>804</v>
      </c>
      <c r="DF808">
        <f>HEADER_ROW+$DE808</f>
        <v/>
      </c>
      <c r="DG808">
        <f>IF(AND($DF808&lt;=1000,$DF808&lt;$B$8),1,0)</f>
        <v/>
      </c>
      <c r="DH808">
        <f>IF($DG808=1,IFERROR(INDEX($DB$5:$DB$1004,$DF808),""),"")</f>
        <v/>
      </c>
      <c r="DI808">
        <f>IF(AND($DG808=1,$DH808&lt;&gt;""),IFERROR(SUBSTITUTE(SUBSTITUTE(TRIM(SUBSTITUTE(SUBSTITUTE(SUBSTITUTE(SUBSTITUTE(IFERROR(INDEX(PASTE_ALL,$DF808,1)&amp;"","")&amp;"␟"&amp;IFERROR(INDEX(PASTE_ALL,$DF808,2)&amp;"","")&amp;"␟"&amp;IFERROR(INDEX(PASTE_ALL,$DF808,3)&amp;"","")&amp;"␟"&amp;IFERROR(INDEX(PASTE_ALL,$DF808,4)&amp;"","")&amp;"␟"&amp;IFERROR(INDEX(PASTE_ALL,$DF808,5)&amp;"","")&amp;"␟"&amp;IFERROR(INDEX(PASTE_ALL,$DF808,6)&amp;"","")&amp;"␟"&amp;IFERROR(INDEX(PASTE_ALL,$DF808,7)&amp;"","")&amp;"␟"&amp;IFERROR(INDEX(PASTE_ALL,$DF808,8)&amp;"","")&amp;"␟"&amp;IFERROR(INDEX(PASTE_ALL,$DF808,9)&amp;"","")&amp;"␟"&amp;IFERROR(INDEX(PASTE_ALL,$DF808,10)&amp;"","")&amp;"␟"&amp;IFERROR(INDEX(PASTE_ALL,$DF808,11)&amp;"","")&amp;"␟"&amp;IFERROR(INDEX(PASTE_ALL,$DF808,12)&amp;"","")&amp;"␟"&amp;IFERROR(INDEX(PASTE_ALL,$DF808,13)&amp;"","")&amp;"␟"&amp;IFERROR(INDEX(PASTE_ALL,$DF808,14)&amp;"","")&amp;"␟"&amp;IFERROR(INDEX(PASTE_ALL,$DF808,15)&amp;"","")&amp;"␟"&amp;IFERROR(INDEX(PASTE_ALL,$DF808,16)&amp;"","")&amp;"␟"&amp;IFERROR(INDEX(PASTE_ALL,$DF808,17)&amp;"","")&amp;"␟"&amp;IFERROR(INDEX(PASTE_ALL,$DF808,18)&amp;"","")&amp;"␟"&amp;IFERROR(INDEX(PASTE_ALL,$DF808,19)&amp;"","")&amp;"␟"&amp;IFERROR(INDEX(PASTE_ALL,$DF808,20)&amp;"","")&amp;"␟"&amp;IFERROR(INDEX(PASTE_ALL,$DF808,21)&amp;"","")&amp;"␟"&amp;IFERROR(INDEX(PASTE_ALL,$DF808,22)&amp;"","")&amp;"␟"&amp;IFERROR(INDEX(PASTE_ALL,$DF808,23)&amp;"","")&amp;"␟"&amp;IFERROR(INDEX(PASTE_ALL,$DF808,24)&amp;"","")&amp;"␟"&amp;IFERROR(INDEX(PASTE_ALL,$DF808,25)&amp;"","")&amp;"␟"&amp;IFERROR(INDEX(PASTE_ALL,$DF808,26)&amp;"","")&amp;"␟"&amp;IFERROR(INDEX(PASTE_ALL,$DF808,27)&amp;"","")&amp;"␟"&amp;IFERROR(INDEX(PASTE_ALL,$DF808,28)&amp;"","")&amp;"␟"&amp;IFERROR(INDEX(PASTE_ALL,$DF808,29)&amp;"","")&amp;"␟"&amp;IFERROR(INDEX(PASTE_ALL,$DF808,30)&amp;"","")&amp;"␟"&amp;IFERROR(INDEX(PASTE_ALL,$DF808,31)&amp;"","")&amp;"␟"&amp;IFERROR(INDEX(PASTE_ALL,$DF808,32)&amp;"","")&amp;"␟"&amp;IFERROR(INDEX(PASTE_ALL,$DF808,33)&amp;"","")&amp;"␟"&amp;IFERROR(INDEX(PASTE_ALL,$DF808,34)&amp;"","")&amp;"␟"&amp;IFERROR(INDEX(PASTE_ALL,$DF808,35)&amp;"","")&amp;"␟"&amp;IFERROR(INDEX(PASTE_ALL,$DF808,36)&amp;"","")&amp;"␟"&amp;IFERROR(INDEX(PASTE_ALL,$DF808,37)&amp;"","")&amp;"␟"&amp;IFERROR(INDEX(PASTE_ALL,$DF808,38)&amp;"","")&amp;"␟"&amp;IFERROR(INDEX(PASTE_ALL,$DF808,39)&amp;"","")&amp;"␟"&amp;IFERROR(INDEX(PASTE_ALL,$DF808,40)&amp;"","")&amp;"␟"&amp;IFERROR(INDEX(PASTE_ALL,$DF808,41)&amp;"","")&amp;"␟"&amp;IFERROR(INDEX(PASTE_ALL,$DF808,42)&amp;"","")&amp;"␟"&amp;IFERROR(INDEX(PASTE_ALL,$DF808,43)&amp;"","")&amp;"␟"&amp;IFERROR(INDEX(PASTE_ALL,$DF808,44)&amp;"","")&amp;"␟"&amp;IFERROR(INDEX(PASTE_ALL,$DF808,45)&amp;"","")&amp;"␟"&amp;IFERROR(INDEX(PASTE_ALL,$DF808,46)&amp;"","")&amp;"␟"&amp;IFERROR(INDEX(PASTE_ALL,$DF808,47)&amp;"","")&amp;"␟"&amp;IFERROR(INDEX(PASTE_ALL,$DF808,48)&amp;"","")&amp;"␟"&amp;IFERROR(INDEX(PASTE_ALL,$DF808,49)&amp;"","")&amp;"␟"&amp;IFERROR(INDEX(PASTE_ALL,$DF808,50)&amp;"","")&amp;"␟"&amp;IFERROR(INDEX(PASTE_ALL,$DF808,51)&amp;"","")&amp;"␟"&amp;IFERROR(INDEX(PASTE_ALL,$DF808,52)&amp;"","")&amp;"␟"&amp;IFERROR(INDEX(PASTE_ALL,$DF808,53)&amp;"","")&amp;"␟"&amp;IFERROR(INDEX(PASTE_ALL,$DF808,54)&amp;"","")&amp;"␟"&amp;IFERROR(INDEX(PASTE_ALL,$DF808,55)&amp;"","")&amp;"␟"&amp;IFERROR(INDEX(PASTE_ALL,$DF808,56)&amp;"","")&amp;"␟"&amp;IFERROR(INDEX(PASTE_ALL,$DF808,57)&amp;"","")&amp;"␟"&amp;IFERROR(INDEX(PASTE_ALL,$DF808,58)&amp;"","")&amp;"␟"&amp;IFERROR(INDEX(PASTE_ALL,$DF808,59)&amp;"","")&amp;"␟"&amp;IFERROR(INDEX(PASTE_ALL,$DF808,60)&amp;"","")," "," "),CHAR(9)," "),CHAR(10)," "),CHAR(13)," "))," ␟","␟"),"␟ ","␟"),"#"&amp;$DE808),"")</f>
        <v/>
      </c>
      <c r="DJ808">
        <f>IF($DI808="",0,IF(SUMPRODUCT(--EXACT($DI$4:DI807,$DI808))&gt;0,1,0))</f>
        <v/>
      </c>
      <c r="DK808">
        <f>IF(AND($DI808&lt;&gt;"",$DJ808=0),1,0)</f>
        <v/>
      </c>
      <c r="DL808">
        <f>DL807+$DK808</f>
        <v/>
      </c>
      <c r="DM808">
        <f>IF(AND($DK808=1,$DL808&lt;=600),1,0)</f>
        <v/>
      </c>
      <c r="DN808">
        <f>IF($DM808=0,"",IF($L$6=0,"",IFERROR(IF(ISNUMBER(INDEX(PASTE_ALL,$DF808,$L$6)),INDEX(PASTE_ALL,$DF808,$L$6),TRIM(SUBSTITUTE(SUBSTITUTE(SUBSTITUTE(SUBSTITUTE(INDEX(PASTE_ALL,$DF808,$L$6)," "," "),CHAR(9)," "),CHAR(10)," "),CHAR(13)," "))),"")))</f>
        <v/>
      </c>
      <c r="DO808">
        <f>IF($DM808=0,"",IF($L$7=0,"",IFERROR(IF(ISNUMBER(INDEX(PASTE_ALL,$DF808,$L$7)),INDEX(PASTE_ALL,$DF808,$L$7),TRIM(SUBSTITUTE(SUBSTITUTE(SUBSTITUTE(SUBSTITUTE(INDEX(PASTE_ALL,$DF808,$L$7)," "," "),CHAR(9)," "),CHAR(10)," "),CHAR(13)," "))),"")))</f>
        <v/>
      </c>
      <c r="DP808">
        <f>IF($DM808=0,"",IF($L$8=0,"",IFERROR(IF(ISNUMBER(INDEX(PASTE_ALL,$DF808,$L$8)),INDEX(PASTE_ALL,$DF808,$L$8),TRIM(SUBSTITUTE(SUBSTITUTE(SUBSTITUTE(SUBSTITUTE(INDEX(PASTE_ALL,$DF808,$L$8)," "," "),CHAR(9)," "),CHAR(10)," "),CHAR(13)," "))),"")))</f>
        <v/>
      </c>
      <c r="DQ808">
        <f>IF($DM808=0,"",IF($L$9=0,"",IFERROR(IF(ISNUMBER(INDEX(PASTE_ALL,$DF808,$L$9)),INDEX(PASTE_ALL,$DF808,$L$9),TRIM(SUBSTITUTE(SUBSTITUTE(SUBSTITUTE(SUBSTITUTE(INDEX(PASTE_ALL,$DF808,$L$9)," "," "),CHAR(9)," "),CHAR(10)," "),CHAR(13)," "))),"")))</f>
        <v/>
      </c>
      <c r="DR808">
        <f>IF($DM808=0,"",IF($L$10=0,"",IFERROR(IF(ISNUMBER(INDEX(PASTE_ALL,$DF808,$L$10)),INDEX(PASTE_ALL,$DF808,$L$10),TRIM(SUBSTITUTE(SUBSTITUTE(SUBSTITUTE(SUBSTITUTE(INDEX(PASTE_ALL,$DF808,$L$10)," "," "),CHAR(9)," "),CHAR(10)," "),CHAR(13)," "))),"")))</f>
        <v/>
      </c>
      <c r="DS808">
        <f>IF($DM808=0,"",IF($L$11=0,"",IFERROR(IF(ISNUMBER(INDEX(PASTE_ALL,$DF808,$L$11)),INDEX(PASTE_ALL,$DF808,$L$11),TRIM(SUBSTITUTE(SUBSTITUTE(SUBSTITUTE(SUBSTITUTE(INDEX(PASTE_ALL,$DF808,$L$11)," "," "),CHAR(9)," "),CHAR(10)," "),CHAR(13)," "))),"")))</f>
        <v/>
      </c>
      <c r="DT808">
        <f>IF($DM808=0,"",IF($L$12=0,"",IFERROR(IF(ISNUMBER(INDEX(PASTE_ALL,$DF808,$L$12)),INDEX(PASTE_ALL,$DF808,$L$12),TRIM(SUBSTITUTE(SUBSTITUTE(SUBSTITUTE(SUBSTITUTE(INDEX(PASTE_ALL,$DF808,$L$12)," "," "),CHAR(9)," "),CHAR(10)," "),CHAR(13)," "))),"")))</f>
        <v/>
      </c>
      <c r="DU808">
        <f>IF($DM808=0,"",IF($L$13=0,"",IFERROR(IF(ISNUMBER(INDEX(PASTE_ALL,$DF808,$L$13)),INDEX(PASTE_ALL,$DF808,$L$13),TRIM(SUBSTITUTE(SUBSTITUTE(SUBSTITUTE(SUBSTITUTE(INDEX(PASTE_ALL,$DF808,$L$13)," "," "),CHAR(9)," "),CHAR(10)," "),CHAR(13)," "))),"")))</f>
        <v/>
      </c>
      <c r="DV808">
        <f>IF($DM808=0,"",IF($L$14=0,"",IFERROR(IF(ISNUMBER(INDEX(PASTE_ALL,$DF808,$L$14)),INDEX(PASTE_ALL,$DF808,$L$14),TRIM(SUBSTITUTE(SUBSTITUTE(SUBSTITUTE(SUBSTITUTE(INDEX(PASTE_ALL,$DF808,$L$14)," "," "),CHAR(9)," "),CHAR(10)," "),CHAR(13)," "))),"")))</f>
        <v/>
      </c>
      <c r="DW808">
        <f>IF($DM808=0,"",IF($L$15=0,"",IFERROR(IF(ISNUMBER(INDEX(PASTE_ALL,$DF808,$L$15)),INDEX(PASTE_ALL,$DF808,$L$15),IF(SUMPRODUCT(--ISNUMBER(FIND({"A","B","C","D","E","F","G","H","I","J","K","L","M","N","O","P","Q","R","S","T","U","V","W","X","Y","Z","0","1","2","3","4","5","6","7","8","9"},UPPER(TRIM(SUBSTITUTE(SUBSTITUTE(SUBSTITUTE(SUBSTITUTE(INDEX(PASTE_ALL,$DF808,$L$15)," "," "),CHAR(9)," "),CHAR(10)," "),CHAR(13)," "))))))&gt;0,TRIM(SUBSTITUTE(SUBSTITUTE(SUBSTITUTE(SUBSTITUTE(INDEX(PASTE_ALL,$DF808,$L$15)," "," "),CHAR(9)," "),CHAR(10)," "),CHAR(13)," ")),"")),"")))</f>
        <v/>
      </c>
      <c r="DX808">
        <f>IF($DM808=0,"",IF($L$16=0,"",IFERROR(IF(ISNUMBER(INDEX(PASTE_ALL,$DF808,$L$16)),INDEX(PASTE_ALL,$DF808,$L$16),SUBSTITUTE(SUBSTITUTE(TRIM(SUBSTITUTE(SUBSTITUTE(SUBSTITUTE(SUBSTITUTE(INDEX(PASTE_ALL,$DF808,$L$16)," "," "),CHAR(9)," "),CHAR(10)," "),CHAR(13)," ")),",",""),"%","")),"")))</f>
        <v/>
      </c>
      <c r="DY808">
        <f>IF($DM808=0,"",IFERROR(IF(ISNUMBER($DX808),$DX808,IF($DX808="","",IF(TRIM($DX808)="",0,IF(AND(AND(SUBSTITUTE(SUBSTITUTE(SUBSTITUTE(SUBSTITUTE(SUBSTITUTE(SUBSTITUTE(SUBSTITUTE(SUBSTITUTE(SUBSTITUTE(SUBSTITUTE(SUBSTITUTE(SUBSTITUTE(SUBSTITUTE(SUBSTITUTE(UPPER(TRIM($DX808)),"0",""),"1",""),"2",""),"3",""),"4",""),"5",""),"6",""),"7",""),"8",""),"9",""),".",""),"+",""),"-",""),"E","")="",LEN(SUBSTITUTE(SUBSTITUTE(MID(UPPER(TRIM($DX808)),1+OR(LEFT(UPPER(TRIM($DX808)),1)="+",LEFT(UPPER(TRIM($DX808)),1)="-"),999),"E+","E"),"E-","E"))=LEN(SUBSTITUTE(SUBSTITUTE(SUBSTITUTE(SUBSTITUTE(MID(UPPER(TRIM($DX808)),1+OR(LEFT(UPPER(TRIM($DX808)),1)="+",LEFT(UPPER(TRIM($DX808)),1)="-"),999),"E+","E"),"E-","E"),"+",""),"-","")),LEN(UPPER(TRIM($DX808)))-LEN(SUBSTITUTE(UPPER(TRIM($DX808)),"E",""))&lt;2,LEN(UPPER(TRIM($DX808)))-LEN(SUBSTITUTE(UPPER(TRIM($DX808)),".",""))&lt;2,IFERROR(FIND(".",UPPER(TRIM($DX808))),0)&lt;IFERROR(FIND("E",UPPER(TRIM($DX808))),999)),ISNUMBER(VALUE(TRIM($DX808)))),VALUE(TRIM($DX808)),"")))),""))</f>
        <v/>
      </c>
      <c r="DZ808">
        <f>IF($DM808=0,"",IF($L$17=0,"",IFERROR(IF(ISNUMBER(INDEX(PASTE_ALL,$DF808,$L$17)),INDEX(PASTE_ALL,$DF808,$L$17),SUBSTITUTE(SUBSTITUTE(TRIM(SUBSTITUTE(SUBSTITUTE(SUBSTITUTE(SUBSTITUTE(INDEX(PASTE_ALL,$DF808,$L$17)," "," "),CHAR(9)," "),CHAR(10)," "),CHAR(13)," ")),",",""),"%","")),"")))</f>
        <v/>
      </c>
      <c r="EA808">
        <f>IF($DM808=0,"",IFERROR(IF(ISNUMBER($DZ808),$DZ808,IF($DZ808="","",IF(TRIM($DZ808)="",0,IF(AND(AND(SUBSTITUTE(SUBSTITUTE(SUBSTITUTE(SUBSTITUTE(SUBSTITUTE(SUBSTITUTE(SUBSTITUTE(SUBSTITUTE(SUBSTITUTE(SUBSTITUTE(SUBSTITUTE(SUBSTITUTE(SUBSTITUTE(SUBSTITUTE(UPPER(TRIM($DZ808)),"0",""),"1",""),"2",""),"3",""),"4",""),"5",""),"6",""),"7",""),"8",""),"9",""),".",""),"+",""),"-",""),"E","")="",LEN(SUBSTITUTE(SUBSTITUTE(MID(UPPER(TRIM($DZ808)),1+OR(LEFT(UPPER(TRIM($DZ808)),1)="+",LEFT(UPPER(TRIM($DZ808)),1)="-"),999),"E+","E"),"E-","E"))=LEN(SUBSTITUTE(SUBSTITUTE(SUBSTITUTE(SUBSTITUTE(MID(UPPER(TRIM($DZ808)),1+OR(LEFT(UPPER(TRIM($DZ808)),1)="+",LEFT(UPPER(TRIM($DZ808)),1)="-"),999),"E+","E"),"E-","E"),"+",""),"-","")),LEN(UPPER(TRIM($DZ808)))-LEN(SUBSTITUTE(UPPER(TRIM($DZ808)),"E",""))&lt;2,LEN(UPPER(TRIM($DZ808)))-LEN(SUBSTITUTE(UPPER(TRIM($DZ808)),".",""))&lt;2,IFERROR(FIND(".",UPPER(TRIM($DZ808))),0)&lt;IFERROR(FIND("E",UPPER(TRIM($DZ808))),999)),ISNUMBER(VALUE(TRIM($DZ808)))),VALUE(TRIM($DZ808)),"")))),""))</f>
        <v/>
      </c>
      <c r="EB808">
        <f>IF($DM808=0,"",IF($L$18=0,"",IFERROR(IF(UPPER(TRIM(SUBSTITUTE(SUBSTITUTE(SUBSTITUTE(SUBSTITUTE(INDEX(PASTE_ALL,$DF808,$L$18)," "," "),CHAR(9)," "),CHAR(10)," "),CHAR(13)," ")))="READY","Ready",IF(UPPER(TRIM(SUBSTITUTE(SUBSTITUTE(SUBSTITUTE(SUBSTITUTE(INDEX(PASTE_ALL,$DF808,$L$18)," "," "),CHAR(9)," "),CHAR(10)," "),CHAR(13)," ")))="PM","PM",IF(OR(UPPER(TRIM(SUBSTITUTE(SUBSTITUTE(SUBSTITUTE(SUBSTITUTE(INDEX(PASTE_ALL,$DF808,$L$18)," "," "),CHAR(9)," "),CHAR(10)," "),CHAR(13)," ")))="OT",UPPER(TRIM(SUBSTITUTE(SUBSTITUTE(SUBSTITUTE(SUBSTITUTE(INDEX(PASTE_ALL,$DF808,$L$18)," "," "),CHAR(9)," "),CHAR(10)," "),CHAR(13)," ")))="OVERTIME",UPPER(TRIM(SUBSTITUTE(SUBSTITUTE(SUBSTITUTE(SUBSTITUTE(INDEX(PASTE_ALL,$DF808,$L$18)," "," "),CHAR(9)," "),CHAR(10)," "),CHAR(13)," ")))="TRIAL"),"OT",TRIM(SUBSTITUTE(SUBSTITUTE(SUBSTITUTE(SUBSTITUTE(INDEX(PASTE_ALL,$DF808,$L$18)," "," "),CHAR(9)," "),CHAR(10)," "),CHAR(13)," "))))),"")))</f>
        <v/>
      </c>
      <c r="EC808">
        <f>IF($DM808=0,"",IF($L$19=0,"",IFERROR(IF(ISNUMBER(INDEX(PASTE_ALL,$DF808,$L$19)),INDEX(PASTE_ALL,$DF808,$L$19),TRIM(SUBSTITUTE(SUBSTITUTE(SUBSTITUTE(SUBSTITUTE(INDEX(PASTE_ALL,$DF808,$L$19)," "," "),CHAR(9)," "),CHAR(10)," "),CHAR(13)," "))),"")))</f>
        <v/>
      </c>
      <c r="ED808">
        <f>IF($DM808=0,"",MATCH(1,INDEX(EXACT($DH$5:DH808,$DH808)*$DM$5:DM808,0),0))</f>
        <v/>
      </c>
      <c r="EE808">
        <f>IF($DM808=0,0,IF($ED808=$DE808,1,0))</f>
        <v/>
      </c>
      <c r="EF808">
        <f>EF807+$EE808</f>
        <v/>
      </c>
      <c r="EG808">
        <f>IF($DM808=0,"",INDEX($EF$5:$EF$1003,$ED808))</f>
        <v/>
      </c>
      <c r="EH808">
        <f>IF($DM808=0,"",IF($DO808&lt;&gt;"","",IFERROR(LOOKUP(2,1/(($EG$4:EG807=$EG808)*($DO$4:DO807&lt;&gt;"")),$DO$4:DO807),"")))</f>
        <v/>
      </c>
      <c r="EI808">
        <f>IF($DM808=0,"",IF($DO808&lt;&gt;"",$DO808,$EH808))</f>
        <v/>
      </c>
      <c r="EJ808">
        <f>IF($DM808=0,"",IF($EI808="",0,IF(OR(ISNUMBER($EI808),AND(AND(SUBSTITUTE(SUBSTITUTE(SUBSTITUTE(SUBSTITUTE(SUBSTITUTE(SUBSTITUTE(SUBSTITUTE(SUBSTITUTE(SUBSTITUTE(SUBSTITUTE(SUBSTITUTE(SUBSTITUTE(SUBSTITUTE(SUBSTITUTE(UPPER($EI808),"0",""),"1",""),"2",""),"3",""),"4",""),"5",""),"6",""),"7",""),"8",""),"9",""),".",""),"+",""),"-",""),"E","")="",LEN(SUBSTITUTE(SUBSTITUTE(MID(UPPER($EI808),1+OR(LEFT(UPPER($EI808),1)="+",LEFT(UPPER($EI808),1)="-"),999),"E+","E"),"E-","E"))=LEN(SUBSTITUTE(SUBSTITUTE(SUBSTITUTE(SUBSTITUTE(MID(UPPER($EI808),1+OR(LEFT(UPPER($EI808),1)="+",LEFT(UPPER($EI808),1)="-"),999),"E+","E"),"E-","E"),"+",""),"-","")),LEN(UPPER($EI808))-LEN(SUBSTITUTE(UPPER($EI808),"E",""))&lt;2,LEN(UPPER($EI808))-LEN(SUBSTITUTE(UPPER($EI808),".",""))&lt;2,IFERROR(FIND(".",UPPER($EI808)),0)&lt;IFERROR(FIND("E",UPPER($EI808)),999)),ISNUMBER(VALUE($EI808)))),1,2)))</f>
        <v/>
      </c>
      <c r="EK808">
        <f>IF($DM808=0,"",IF($EJ808=1,IF(ISNUMBER($EI808),$EI808,VALUE($EI808)),IF($EJ808=2,$DE808,0)))</f>
        <v/>
      </c>
      <c r="EL808">
        <f>IF($DM808=0,"",COUNTIF($EG$5:$EG$1003,"&lt;"&amp;$EG808)+SUMPRODUCT(($EG$5:$EG$1003=$EG808)*(($EJ$5:$EJ$1003&lt;$EJ808)+($EJ$5:$EJ$1003=$EJ808)*(($EK$5:$EK$1003&lt;$EK808)+($EK$5:$EK$1003=$EK808)*($DE$5:$DE$1003&lt;$DE808))))+1)</f>
        <v/>
      </c>
      <c r="EM808">
        <f>IF($DM808=0,"",$EL808+$EG808-1)</f>
        <v/>
      </c>
      <c r="EN808">
        <f>IF($DM808=0,0,IFERROR(MATCH(1,INDEX(--(TRIM(SUBSTITUTE(SUBSTITUTE(SUBSTITUTE(SUBSTITUTE(LINES_NAME&amp;""," "," "),CHAR(9)," "),CHAR(10)," "),CHAR(13)," "))=$DH808),0),0),0))</f>
        <v/>
      </c>
      <c r="EO808">
        <f>IF($EN808=0,0,IF(OR(UPPER(TRIM(INDEX(LINES_SCHEDULED,$EN808)&amp;""))="YES",UPPER(TRIM(INDEX(LINES_SCHEDULED,$EN808)&amp;""))="Y",UPPER(TRIM(INDEX(LINES_SCHEDULED,$EN808)&amp;""))="X"),1,0))</f>
        <v/>
      </c>
      <c r="EP808">
        <f>IF($DM808=0,"",IF(COUNTIFS($EG$5:$EG$1003,$EG808,$EB$5:$EB$1003,"Ready")&gt;0,"READY",IF(COUNTIFS($EG$5:$EG$1003,$EG808,$EB$5:$EB$1003,"PM")&gt;0,"PM",IF(COUNTIFS($EG$5:$EG$1003,$EG808,$EB$5:$EB$1003,"OT")&gt;0,"OT",""))))</f>
        <v/>
      </c>
      <c r="EQ808">
        <f>IF($EN808=0,"",UPPER(TRIM(INDEX(LINES_STATUS,$EN808)&amp;"")))</f>
        <v/>
      </c>
      <c r="ER808">
        <f>IF($DM808=0,"",IF(OR($EQ808="READY",$EQ808="PM",$EQ808="OT"),$EQ808,$EP808))</f>
        <v/>
      </c>
      <c r="ES808">
        <f>IF($DM808=0,"",IF(AND($DV808&lt;&gt;"",UPPER($DV808)&lt;&gt;"N"),"allergen",IF(ISNUMBER(SEARCH("oil",$DQ808)),"oil",IF(OR(EXACT($DS808,"A662"),EXACT($DS808,"A624")),"bulk",""))))</f>
        <v/>
      </c>
      <c r="ET808">
        <f>IF($DM808=0,"",IF(OR($EA808="",$EA808=0),"",$EA808/100))</f>
        <v/>
      </c>
      <c r="EU808">
        <f>IF(OR($ET808="",$DY808=""),"",INT($DY808*(1-$ET808)+0.5))</f>
        <v/>
      </c>
    </row>
    <row r="809">
      <c r="DA809" t="n">
        <v>805</v>
      </c>
      <c r="DB809">
        <f>IF($B$37=0,"",IFERROR(TRIM(SUBSTITUTE(SUBSTITUTE(SUBSTITUTE(SUBSTITUTE(INDEX(PASTE_ALL,805,$B$37)," "," "),CHAR(9)," "),CHAR(10)," "),CHAR(13)," ")),""))</f>
        <v/>
      </c>
      <c r="DC809">
        <f>IF(AND(805&gt;HEADER_ROW,UPPER(DB809)="LEGEND"),1,0)</f>
        <v/>
      </c>
      <c r="DE809" t="n">
        <v>805</v>
      </c>
      <c r="DF809">
        <f>HEADER_ROW+$DE809</f>
        <v/>
      </c>
      <c r="DG809">
        <f>IF(AND($DF809&lt;=1000,$DF809&lt;$B$8),1,0)</f>
        <v/>
      </c>
      <c r="DH809">
        <f>IF($DG809=1,IFERROR(INDEX($DB$5:$DB$1004,$DF809),""),"")</f>
        <v/>
      </c>
      <c r="DI809">
        <f>IF(AND($DG809=1,$DH809&lt;&gt;""),IFERROR(SUBSTITUTE(SUBSTITUTE(TRIM(SUBSTITUTE(SUBSTITUTE(SUBSTITUTE(SUBSTITUTE(IFERROR(INDEX(PASTE_ALL,$DF809,1)&amp;"","")&amp;"␟"&amp;IFERROR(INDEX(PASTE_ALL,$DF809,2)&amp;"","")&amp;"␟"&amp;IFERROR(INDEX(PASTE_ALL,$DF809,3)&amp;"","")&amp;"␟"&amp;IFERROR(INDEX(PASTE_ALL,$DF809,4)&amp;"","")&amp;"␟"&amp;IFERROR(INDEX(PASTE_ALL,$DF809,5)&amp;"","")&amp;"␟"&amp;IFERROR(INDEX(PASTE_ALL,$DF809,6)&amp;"","")&amp;"␟"&amp;IFERROR(INDEX(PASTE_ALL,$DF809,7)&amp;"","")&amp;"␟"&amp;IFERROR(INDEX(PASTE_ALL,$DF809,8)&amp;"","")&amp;"␟"&amp;IFERROR(INDEX(PASTE_ALL,$DF809,9)&amp;"","")&amp;"␟"&amp;IFERROR(INDEX(PASTE_ALL,$DF809,10)&amp;"","")&amp;"␟"&amp;IFERROR(INDEX(PASTE_ALL,$DF809,11)&amp;"","")&amp;"␟"&amp;IFERROR(INDEX(PASTE_ALL,$DF809,12)&amp;"","")&amp;"␟"&amp;IFERROR(INDEX(PASTE_ALL,$DF809,13)&amp;"","")&amp;"␟"&amp;IFERROR(INDEX(PASTE_ALL,$DF809,14)&amp;"","")&amp;"␟"&amp;IFERROR(INDEX(PASTE_ALL,$DF809,15)&amp;"","")&amp;"␟"&amp;IFERROR(INDEX(PASTE_ALL,$DF809,16)&amp;"","")&amp;"␟"&amp;IFERROR(INDEX(PASTE_ALL,$DF809,17)&amp;"","")&amp;"␟"&amp;IFERROR(INDEX(PASTE_ALL,$DF809,18)&amp;"","")&amp;"␟"&amp;IFERROR(INDEX(PASTE_ALL,$DF809,19)&amp;"","")&amp;"␟"&amp;IFERROR(INDEX(PASTE_ALL,$DF809,20)&amp;"","")&amp;"␟"&amp;IFERROR(INDEX(PASTE_ALL,$DF809,21)&amp;"","")&amp;"␟"&amp;IFERROR(INDEX(PASTE_ALL,$DF809,22)&amp;"","")&amp;"␟"&amp;IFERROR(INDEX(PASTE_ALL,$DF809,23)&amp;"","")&amp;"␟"&amp;IFERROR(INDEX(PASTE_ALL,$DF809,24)&amp;"","")&amp;"␟"&amp;IFERROR(INDEX(PASTE_ALL,$DF809,25)&amp;"","")&amp;"␟"&amp;IFERROR(INDEX(PASTE_ALL,$DF809,26)&amp;"","")&amp;"␟"&amp;IFERROR(INDEX(PASTE_ALL,$DF809,27)&amp;"","")&amp;"␟"&amp;IFERROR(INDEX(PASTE_ALL,$DF809,28)&amp;"","")&amp;"␟"&amp;IFERROR(INDEX(PASTE_ALL,$DF809,29)&amp;"","")&amp;"␟"&amp;IFERROR(INDEX(PASTE_ALL,$DF809,30)&amp;"","")&amp;"␟"&amp;IFERROR(INDEX(PASTE_ALL,$DF809,31)&amp;"","")&amp;"␟"&amp;IFERROR(INDEX(PASTE_ALL,$DF809,32)&amp;"","")&amp;"␟"&amp;IFERROR(INDEX(PASTE_ALL,$DF809,33)&amp;"","")&amp;"␟"&amp;IFERROR(INDEX(PASTE_ALL,$DF809,34)&amp;"","")&amp;"␟"&amp;IFERROR(INDEX(PASTE_ALL,$DF809,35)&amp;"","")&amp;"␟"&amp;IFERROR(INDEX(PASTE_ALL,$DF809,36)&amp;"","")&amp;"␟"&amp;IFERROR(INDEX(PASTE_ALL,$DF809,37)&amp;"","")&amp;"␟"&amp;IFERROR(INDEX(PASTE_ALL,$DF809,38)&amp;"","")&amp;"␟"&amp;IFERROR(INDEX(PASTE_ALL,$DF809,39)&amp;"","")&amp;"␟"&amp;IFERROR(INDEX(PASTE_ALL,$DF809,40)&amp;"","")&amp;"␟"&amp;IFERROR(INDEX(PASTE_ALL,$DF809,41)&amp;"","")&amp;"␟"&amp;IFERROR(INDEX(PASTE_ALL,$DF809,42)&amp;"","")&amp;"␟"&amp;IFERROR(INDEX(PASTE_ALL,$DF809,43)&amp;"","")&amp;"␟"&amp;IFERROR(INDEX(PASTE_ALL,$DF809,44)&amp;"","")&amp;"␟"&amp;IFERROR(INDEX(PASTE_ALL,$DF809,45)&amp;"","")&amp;"␟"&amp;IFERROR(INDEX(PASTE_ALL,$DF809,46)&amp;"","")&amp;"␟"&amp;IFERROR(INDEX(PASTE_ALL,$DF809,47)&amp;"","")&amp;"␟"&amp;IFERROR(INDEX(PASTE_ALL,$DF809,48)&amp;"","")&amp;"␟"&amp;IFERROR(INDEX(PASTE_ALL,$DF809,49)&amp;"","")&amp;"␟"&amp;IFERROR(INDEX(PASTE_ALL,$DF809,50)&amp;"","")&amp;"␟"&amp;IFERROR(INDEX(PASTE_ALL,$DF809,51)&amp;"","")&amp;"␟"&amp;IFERROR(INDEX(PASTE_ALL,$DF809,52)&amp;"","")&amp;"␟"&amp;IFERROR(INDEX(PASTE_ALL,$DF809,53)&amp;"","")&amp;"␟"&amp;IFERROR(INDEX(PASTE_ALL,$DF809,54)&amp;"","")&amp;"␟"&amp;IFERROR(INDEX(PASTE_ALL,$DF809,55)&amp;"","")&amp;"␟"&amp;IFERROR(INDEX(PASTE_ALL,$DF809,56)&amp;"","")&amp;"␟"&amp;IFERROR(INDEX(PASTE_ALL,$DF809,57)&amp;"","")&amp;"␟"&amp;IFERROR(INDEX(PASTE_ALL,$DF809,58)&amp;"","")&amp;"␟"&amp;IFERROR(INDEX(PASTE_ALL,$DF809,59)&amp;"","")&amp;"␟"&amp;IFERROR(INDEX(PASTE_ALL,$DF809,60)&amp;"","")," "," "),CHAR(9)," "),CHAR(10)," "),CHAR(13)," "))," ␟","␟"),"␟ ","␟"),"#"&amp;$DE809),"")</f>
        <v/>
      </c>
      <c r="DJ809">
        <f>IF($DI809="",0,IF(SUMPRODUCT(--EXACT($DI$4:DI808,$DI809))&gt;0,1,0))</f>
        <v/>
      </c>
      <c r="DK809">
        <f>IF(AND($DI809&lt;&gt;"",$DJ809=0),1,0)</f>
        <v/>
      </c>
      <c r="DL809">
        <f>DL808+$DK809</f>
        <v/>
      </c>
      <c r="DM809">
        <f>IF(AND($DK809=1,$DL809&lt;=600),1,0)</f>
        <v/>
      </c>
      <c r="DN809">
        <f>IF($DM809=0,"",IF($L$6=0,"",IFERROR(IF(ISNUMBER(INDEX(PASTE_ALL,$DF809,$L$6)),INDEX(PASTE_ALL,$DF809,$L$6),TRIM(SUBSTITUTE(SUBSTITUTE(SUBSTITUTE(SUBSTITUTE(INDEX(PASTE_ALL,$DF809,$L$6)," "," "),CHAR(9)," "),CHAR(10)," "),CHAR(13)," "))),"")))</f>
        <v/>
      </c>
      <c r="DO809">
        <f>IF($DM809=0,"",IF($L$7=0,"",IFERROR(IF(ISNUMBER(INDEX(PASTE_ALL,$DF809,$L$7)),INDEX(PASTE_ALL,$DF809,$L$7),TRIM(SUBSTITUTE(SUBSTITUTE(SUBSTITUTE(SUBSTITUTE(INDEX(PASTE_ALL,$DF809,$L$7)," "," "),CHAR(9)," "),CHAR(10)," "),CHAR(13)," "))),"")))</f>
        <v/>
      </c>
      <c r="DP809">
        <f>IF($DM809=0,"",IF($L$8=0,"",IFERROR(IF(ISNUMBER(INDEX(PASTE_ALL,$DF809,$L$8)),INDEX(PASTE_ALL,$DF809,$L$8),TRIM(SUBSTITUTE(SUBSTITUTE(SUBSTITUTE(SUBSTITUTE(INDEX(PASTE_ALL,$DF809,$L$8)," "," "),CHAR(9)," "),CHAR(10)," "),CHAR(13)," "))),"")))</f>
        <v/>
      </c>
      <c r="DQ809">
        <f>IF($DM809=0,"",IF($L$9=0,"",IFERROR(IF(ISNUMBER(INDEX(PASTE_ALL,$DF809,$L$9)),INDEX(PASTE_ALL,$DF809,$L$9),TRIM(SUBSTITUTE(SUBSTITUTE(SUBSTITUTE(SUBSTITUTE(INDEX(PASTE_ALL,$DF809,$L$9)," "," "),CHAR(9)," "),CHAR(10)," "),CHAR(13)," "))),"")))</f>
        <v/>
      </c>
      <c r="DR809">
        <f>IF($DM809=0,"",IF($L$10=0,"",IFERROR(IF(ISNUMBER(INDEX(PASTE_ALL,$DF809,$L$10)),INDEX(PASTE_ALL,$DF809,$L$10),TRIM(SUBSTITUTE(SUBSTITUTE(SUBSTITUTE(SUBSTITUTE(INDEX(PASTE_ALL,$DF809,$L$10)," "," "),CHAR(9)," "),CHAR(10)," "),CHAR(13)," "))),"")))</f>
        <v/>
      </c>
      <c r="DS809">
        <f>IF($DM809=0,"",IF($L$11=0,"",IFERROR(IF(ISNUMBER(INDEX(PASTE_ALL,$DF809,$L$11)),INDEX(PASTE_ALL,$DF809,$L$11),TRIM(SUBSTITUTE(SUBSTITUTE(SUBSTITUTE(SUBSTITUTE(INDEX(PASTE_ALL,$DF809,$L$11)," "," "),CHAR(9)," "),CHAR(10)," "),CHAR(13)," "))),"")))</f>
        <v/>
      </c>
      <c r="DT809">
        <f>IF($DM809=0,"",IF($L$12=0,"",IFERROR(IF(ISNUMBER(INDEX(PASTE_ALL,$DF809,$L$12)),INDEX(PASTE_ALL,$DF809,$L$12),TRIM(SUBSTITUTE(SUBSTITUTE(SUBSTITUTE(SUBSTITUTE(INDEX(PASTE_ALL,$DF809,$L$12)," "," "),CHAR(9)," "),CHAR(10)," "),CHAR(13)," "))),"")))</f>
        <v/>
      </c>
      <c r="DU809">
        <f>IF($DM809=0,"",IF($L$13=0,"",IFERROR(IF(ISNUMBER(INDEX(PASTE_ALL,$DF809,$L$13)),INDEX(PASTE_ALL,$DF809,$L$13),TRIM(SUBSTITUTE(SUBSTITUTE(SUBSTITUTE(SUBSTITUTE(INDEX(PASTE_ALL,$DF809,$L$13)," "," "),CHAR(9)," "),CHAR(10)," "),CHAR(13)," "))),"")))</f>
        <v/>
      </c>
      <c r="DV809">
        <f>IF($DM809=0,"",IF($L$14=0,"",IFERROR(IF(ISNUMBER(INDEX(PASTE_ALL,$DF809,$L$14)),INDEX(PASTE_ALL,$DF809,$L$14),TRIM(SUBSTITUTE(SUBSTITUTE(SUBSTITUTE(SUBSTITUTE(INDEX(PASTE_ALL,$DF809,$L$14)," "," "),CHAR(9)," "),CHAR(10)," "),CHAR(13)," "))),"")))</f>
        <v/>
      </c>
      <c r="DW809">
        <f>IF($DM809=0,"",IF($L$15=0,"",IFERROR(IF(ISNUMBER(INDEX(PASTE_ALL,$DF809,$L$15)),INDEX(PASTE_ALL,$DF809,$L$15),IF(SUMPRODUCT(--ISNUMBER(FIND({"A","B","C","D","E","F","G","H","I","J","K","L","M","N","O","P","Q","R","S","T","U","V","W","X","Y","Z","0","1","2","3","4","5","6","7","8","9"},UPPER(TRIM(SUBSTITUTE(SUBSTITUTE(SUBSTITUTE(SUBSTITUTE(INDEX(PASTE_ALL,$DF809,$L$15)," "," "),CHAR(9)," "),CHAR(10)," "),CHAR(13)," "))))))&gt;0,TRIM(SUBSTITUTE(SUBSTITUTE(SUBSTITUTE(SUBSTITUTE(INDEX(PASTE_ALL,$DF809,$L$15)," "," "),CHAR(9)," "),CHAR(10)," "),CHAR(13)," ")),"")),"")))</f>
        <v/>
      </c>
      <c r="DX809">
        <f>IF($DM809=0,"",IF($L$16=0,"",IFERROR(IF(ISNUMBER(INDEX(PASTE_ALL,$DF809,$L$16)),INDEX(PASTE_ALL,$DF809,$L$16),SUBSTITUTE(SUBSTITUTE(TRIM(SUBSTITUTE(SUBSTITUTE(SUBSTITUTE(SUBSTITUTE(INDEX(PASTE_ALL,$DF809,$L$16)," "," "),CHAR(9)," "),CHAR(10)," "),CHAR(13)," ")),",",""),"%","")),"")))</f>
        <v/>
      </c>
      <c r="DY809">
        <f>IF($DM809=0,"",IFERROR(IF(ISNUMBER($DX809),$DX809,IF($DX809="","",IF(TRIM($DX809)="",0,IF(AND(AND(SUBSTITUTE(SUBSTITUTE(SUBSTITUTE(SUBSTITUTE(SUBSTITUTE(SUBSTITUTE(SUBSTITUTE(SUBSTITUTE(SUBSTITUTE(SUBSTITUTE(SUBSTITUTE(SUBSTITUTE(SUBSTITUTE(SUBSTITUTE(UPPER(TRIM($DX809)),"0",""),"1",""),"2",""),"3",""),"4",""),"5",""),"6",""),"7",""),"8",""),"9",""),".",""),"+",""),"-",""),"E","")="",LEN(SUBSTITUTE(SUBSTITUTE(MID(UPPER(TRIM($DX809)),1+OR(LEFT(UPPER(TRIM($DX809)),1)="+",LEFT(UPPER(TRIM($DX809)),1)="-"),999),"E+","E"),"E-","E"))=LEN(SUBSTITUTE(SUBSTITUTE(SUBSTITUTE(SUBSTITUTE(MID(UPPER(TRIM($DX809)),1+OR(LEFT(UPPER(TRIM($DX809)),1)="+",LEFT(UPPER(TRIM($DX809)),1)="-"),999),"E+","E"),"E-","E"),"+",""),"-","")),LEN(UPPER(TRIM($DX809)))-LEN(SUBSTITUTE(UPPER(TRIM($DX809)),"E",""))&lt;2,LEN(UPPER(TRIM($DX809)))-LEN(SUBSTITUTE(UPPER(TRIM($DX809)),".",""))&lt;2,IFERROR(FIND(".",UPPER(TRIM($DX809))),0)&lt;IFERROR(FIND("E",UPPER(TRIM($DX809))),999)),ISNUMBER(VALUE(TRIM($DX809)))),VALUE(TRIM($DX809)),"")))),""))</f>
        <v/>
      </c>
      <c r="DZ809">
        <f>IF($DM809=0,"",IF($L$17=0,"",IFERROR(IF(ISNUMBER(INDEX(PASTE_ALL,$DF809,$L$17)),INDEX(PASTE_ALL,$DF809,$L$17),SUBSTITUTE(SUBSTITUTE(TRIM(SUBSTITUTE(SUBSTITUTE(SUBSTITUTE(SUBSTITUTE(INDEX(PASTE_ALL,$DF809,$L$17)," "," "),CHAR(9)," "),CHAR(10)," "),CHAR(13)," ")),",",""),"%","")),"")))</f>
        <v/>
      </c>
      <c r="EA809">
        <f>IF($DM809=0,"",IFERROR(IF(ISNUMBER($DZ809),$DZ809,IF($DZ809="","",IF(TRIM($DZ809)="",0,IF(AND(AND(SUBSTITUTE(SUBSTITUTE(SUBSTITUTE(SUBSTITUTE(SUBSTITUTE(SUBSTITUTE(SUBSTITUTE(SUBSTITUTE(SUBSTITUTE(SUBSTITUTE(SUBSTITUTE(SUBSTITUTE(SUBSTITUTE(SUBSTITUTE(UPPER(TRIM($DZ809)),"0",""),"1",""),"2",""),"3",""),"4",""),"5",""),"6",""),"7",""),"8",""),"9",""),".",""),"+",""),"-",""),"E","")="",LEN(SUBSTITUTE(SUBSTITUTE(MID(UPPER(TRIM($DZ809)),1+OR(LEFT(UPPER(TRIM($DZ809)),1)="+",LEFT(UPPER(TRIM($DZ809)),1)="-"),999),"E+","E"),"E-","E"))=LEN(SUBSTITUTE(SUBSTITUTE(SUBSTITUTE(SUBSTITUTE(MID(UPPER(TRIM($DZ809)),1+OR(LEFT(UPPER(TRIM($DZ809)),1)="+",LEFT(UPPER(TRIM($DZ809)),1)="-"),999),"E+","E"),"E-","E"),"+",""),"-","")),LEN(UPPER(TRIM($DZ809)))-LEN(SUBSTITUTE(UPPER(TRIM($DZ809)),"E",""))&lt;2,LEN(UPPER(TRIM($DZ809)))-LEN(SUBSTITUTE(UPPER(TRIM($DZ809)),".",""))&lt;2,IFERROR(FIND(".",UPPER(TRIM($DZ809))),0)&lt;IFERROR(FIND("E",UPPER(TRIM($DZ809))),999)),ISNUMBER(VALUE(TRIM($DZ809)))),VALUE(TRIM($DZ809)),"")))),""))</f>
        <v/>
      </c>
      <c r="EB809">
        <f>IF($DM809=0,"",IF($L$18=0,"",IFERROR(IF(UPPER(TRIM(SUBSTITUTE(SUBSTITUTE(SUBSTITUTE(SUBSTITUTE(INDEX(PASTE_ALL,$DF809,$L$18)," "," "),CHAR(9)," "),CHAR(10)," "),CHAR(13)," ")))="READY","Ready",IF(UPPER(TRIM(SUBSTITUTE(SUBSTITUTE(SUBSTITUTE(SUBSTITUTE(INDEX(PASTE_ALL,$DF809,$L$18)," "," "),CHAR(9)," "),CHAR(10)," "),CHAR(13)," ")))="PM","PM",IF(OR(UPPER(TRIM(SUBSTITUTE(SUBSTITUTE(SUBSTITUTE(SUBSTITUTE(INDEX(PASTE_ALL,$DF809,$L$18)," "," "),CHAR(9)," "),CHAR(10)," "),CHAR(13)," ")))="OT",UPPER(TRIM(SUBSTITUTE(SUBSTITUTE(SUBSTITUTE(SUBSTITUTE(INDEX(PASTE_ALL,$DF809,$L$18)," "," "),CHAR(9)," "),CHAR(10)," "),CHAR(13)," ")))="OVERTIME",UPPER(TRIM(SUBSTITUTE(SUBSTITUTE(SUBSTITUTE(SUBSTITUTE(INDEX(PASTE_ALL,$DF809,$L$18)," "," "),CHAR(9)," "),CHAR(10)," "),CHAR(13)," ")))="TRIAL"),"OT",TRIM(SUBSTITUTE(SUBSTITUTE(SUBSTITUTE(SUBSTITUTE(INDEX(PASTE_ALL,$DF809,$L$18)," "," "),CHAR(9)," "),CHAR(10)," "),CHAR(13)," "))))),"")))</f>
        <v/>
      </c>
      <c r="EC809">
        <f>IF($DM809=0,"",IF($L$19=0,"",IFERROR(IF(ISNUMBER(INDEX(PASTE_ALL,$DF809,$L$19)),INDEX(PASTE_ALL,$DF809,$L$19),TRIM(SUBSTITUTE(SUBSTITUTE(SUBSTITUTE(SUBSTITUTE(INDEX(PASTE_ALL,$DF809,$L$19)," "," "),CHAR(9)," "),CHAR(10)," "),CHAR(13)," "))),"")))</f>
        <v/>
      </c>
      <c r="ED809">
        <f>IF($DM809=0,"",MATCH(1,INDEX(EXACT($DH$5:DH809,$DH809)*$DM$5:DM809,0),0))</f>
        <v/>
      </c>
      <c r="EE809">
        <f>IF($DM809=0,0,IF($ED809=$DE809,1,0))</f>
        <v/>
      </c>
      <c r="EF809">
        <f>EF808+$EE809</f>
        <v/>
      </c>
      <c r="EG809">
        <f>IF($DM809=0,"",INDEX($EF$5:$EF$1003,$ED809))</f>
        <v/>
      </c>
      <c r="EH809">
        <f>IF($DM809=0,"",IF($DO809&lt;&gt;"","",IFERROR(LOOKUP(2,1/(($EG$4:EG808=$EG809)*($DO$4:DO808&lt;&gt;"")),$DO$4:DO808),"")))</f>
        <v/>
      </c>
      <c r="EI809">
        <f>IF($DM809=0,"",IF($DO809&lt;&gt;"",$DO809,$EH809))</f>
        <v/>
      </c>
      <c r="EJ809">
        <f>IF($DM809=0,"",IF($EI809="",0,IF(OR(ISNUMBER($EI809),AND(AND(SUBSTITUTE(SUBSTITUTE(SUBSTITUTE(SUBSTITUTE(SUBSTITUTE(SUBSTITUTE(SUBSTITUTE(SUBSTITUTE(SUBSTITUTE(SUBSTITUTE(SUBSTITUTE(SUBSTITUTE(SUBSTITUTE(SUBSTITUTE(UPPER($EI809),"0",""),"1",""),"2",""),"3",""),"4",""),"5",""),"6",""),"7",""),"8",""),"9",""),".",""),"+",""),"-",""),"E","")="",LEN(SUBSTITUTE(SUBSTITUTE(MID(UPPER($EI809),1+OR(LEFT(UPPER($EI809),1)="+",LEFT(UPPER($EI809),1)="-"),999),"E+","E"),"E-","E"))=LEN(SUBSTITUTE(SUBSTITUTE(SUBSTITUTE(SUBSTITUTE(MID(UPPER($EI809),1+OR(LEFT(UPPER($EI809),1)="+",LEFT(UPPER($EI809),1)="-"),999),"E+","E"),"E-","E"),"+",""),"-","")),LEN(UPPER($EI809))-LEN(SUBSTITUTE(UPPER($EI809),"E",""))&lt;2,LEN(UPPER($EI809))-LEN(SUBSTITUTE(UPPER($EI809),".",""))&lt;2,IFERROR(FIND(".",UPPER($EI809)),0)&lt;IFERROR(FIND("E",UPPER($EI809)),999)),ISNUMBER(VALUE($EI809)))),1,2)))</f>
        <v/>
      </c>
      <c r="EK809">
        <f>IF($DM809=0,"",IF($EJ809=1,IF(ISNUMBER($EI809),$EI809,VALUE($EI809)),IF($EJ809=2,$DE809,0)))</f>
        <v/>
      </c>
      <c r="EL809">
        <f>IF($DM809=0,"",COUNTIF($EG$5:$EG$1003,"&lt;"&amp;$EG809)+SUMPRODUCT(($EG$5:$EG$1003=$EG809)*(($EJ$5:$EJ$1003&lt;$EJ809)+($EJ$5:$EJ$1003=$EJ809)*(($EK$5:$EK$1003&lt;$EK809)+($EK$5:$EK$1003=$EK809)*($DE$5:$DE$1003&lt;$DE809))))+1)</f>
        <v/>
      </c>
      <c r="EM809">
        <f>IF($DM809=0,"",$EL809+$EG809-1)</f>
        <v/>
      </c>
      <c r="EN809">
        <f>IF($DM809=0,0,IFERROR(MATCH(1,INDEX(--(TRIM(SUBSTITUTE(SUBSTITUTE(SUBSTITUTE(SUBSTITUTE(LINES_NAME&amp;""," "," "),CHAR(9)," "),CHAR(10)," "),CHAR(13)," "))=$DH809),0),0),0))</f>
        <v/>
      </c>
      <c r="EO809">
        <f>IF($EN809=0,0,IF(OR(UPPER(TRIM(INDEX(LINES_SCHEDULED,$EN809)&amp;""))="YES",UPPER(TRIM(INDEX(LINES_SCHEDULED,$EN809)&amp;""))="Y",UPPER(TRIM(INDEX(LINES_SCHEDULED,$EN809)&amp;""))="X"),1,0))</f>
        <v/>
      </c>
      <c r="EP809">
        <f>IF($DM809=0,"",IF(COUNTIFS($EG$5:$EG$1003,$EG809,$EB$5:$EB$1003,"Ready")&gt;0,"READY",IF(COUNTIFS($EG$5:$EG$1003,$EG809,$EB$5:$EB$1003,"PM")&gt;0,"PM",IF(COUNTIFS($EG$5:$EG$1003,$EG809,$EB$5:$EB$1003,"OT")&gt;0,"OT",""))))</f>
        <v/>
      </c>
      <c r="EQ809">
        <f>IF($EN809=0,"",UPPER(TRIM(INDEX(LINES_STATUS,$EN809)&amp;"")))</f>
        <v/>
      </c>
      <c r="ER809">
        <f>IF($DM809=0,"",IF(OR($EQ809="READY",$EQ809="PM",$EQ809="OT"),$EQ809,$EP809))</f>
        <v/>
      </c>
      <c r="ES809">
        <f>IF($DM809=0,"",IF(AND($DV809&lt;&gt;"",UPPER($DV809)&lt;&gt;"N"),"allergen",IF(ISNUMBER(SEARCH("oil",$DQ809)),"oil",IF(OR(EXACT($DS809,"A662"),EXACT($DS809,"A624")),"bulk",""))))</f>
        <v/>
      </c>
      <c r="ET809">
        <f>IF($DM809=0,"",IF(OR($EA809="",$EA809=0),"",$EA809/100))</f>
        <v/>
      </c>
      <c r="EU809">
        <f>IF(OR($ET809="",$DY809=""),"",INT($DY809*(1-$ET809)+0.5))</f>
        <v/>
      </c>
    </row>
    <row r="810">
      <c r="DA810" t="n">
        <v>806</v>
      </c>
      <c r="DB810">
        <f>IF($B$37=0,"",IFERROR(TRIM(SUBSTITUTE(SUBSTITUTE(SUBSTITUTE(SUBSTITUTE(INDEX(PASTE_ALL,806,$B$37)," "," "),CHAR(9)," "),CHAR(10)," "),CHAR(13)," ")),""))</f>
        <v/>
      </c>
      <c r="DC810">
        <f>IF(AND(806&gt;HEADER_ROW,UPPER(DB810)="LEGEND"),1,0)</f>
        <v/>
      </c>
      <c r="DE810" t="n">
        <v>806</v>
      </c>
      <c r="DF810">
        <f>HEADER_ROW+$DE810</f>
        <v/>
      </c>
      <c r="DG810">
        <f>IF(AND($DF810&lt;=1000,$DF810&lt;$B$8),1,0)</f>
        <v/>
      </c>
      <c r="DH810">
        <f>IF($DG810=1,IFERROR(INDEX($DB$5:$DB$1004,$DF810),""),"")</f>
        <v/>
      </c>
      <c r="DI810">
        <f>IF(AND($DG810=1,$DH810&lt;&gt;""),IFERROR(SUBSTITUTE(SUBSTITUTE(TRIM(SUBSTITUTE(SUBSTITUTE(SUBSTITUTE(SUBSTITUTE(IFERROR(INDEX(PASTE_ALL,$DF810,1)&amp;"","")&amp;"␟"&amp;IFERROR(INDEX(PASTE_ALL,$DF810,2)&amp;"","")&amp;"␟"&amp;IFERROR(INDEX(PASTE_ALL,$DF810,3)&amp;"","")&amp;"␟"&amp;IFERROR(INDEX(PASTE_ALL,$DF810,4)&amp;"","")&amp;"␟"&amp;IFERROR(INDEX(PASTE_ALL,$DF810,5)&amp;"","")&amp;"␟"&amp;IFERROR(INDEX(PASTE_ALL,$DF810,6)&amp;"","")&amp;"␟"&amp;IFERROR(INDEX(PASTE_ALL,$DF810,7)&amp;"","")&amp;"␟"&amp;IFERROR(INDEX(PASTE_ALL,$DF810,8)&amp;"","")&amp;"␟"&amp;IFERROR(INDEX(PASTE_ALL,$DF810,9)&amp;"","")&amp;"␟"&amp;IFERROR(INDEX(PASTE_ALL,$DF810,10)&amp;"","")&amp;"␟"&amp;IFERROR(INDEX(PASTE_ALL,$DF810,11)&amp;"","")&amp;"␟"&amp;IFERROR(INDEX(PASTE_ALL,$DF810,12)&amp;"","")&amp;"␟"&amp;IFERROR(INDEX(PASTE_ALL,$DF810,13)&amp;"","")&amp;"␟"&amp;IFERROR(INDEX(PASTE_ALL,$DF810,14)&amp;"","")&amp;"␟"&amp;IFERROR(INDEX(PASTE_ALL,$DF810,15)&amp;"","")&amp;"␟"&amp;IFERROR(INDEX(PASTE_ALL,$DF810,16)&amp;"","")&amp;"␟"&amp;IFERROR(INDEX(PASTE_ALL,$DF810,17)&amp;"","")&amp;"␟"&amp;IFERROR(INDEX(PASTE_ALL,$DF810,18)&amp;"","")&amp;"␟"&amp;IFERROR(INDEX(PASTE_ALL,$DF810,19)&amp;"","")&amp;"␟"&amp;IFERROR(INDEX(PASTE_ALL,$DF810,20)&amp;"","")&amp;"␟"&amp;IFERROR(INDEX(PASTE_ALL,$DF810,21)&amp;"","")&amp;"␟"&amp;IFERROR(INDEX(PASTE_ALL,$DF810,22)&amp;"","")&amp;"␟"&amp;IFERROR(INDEX(PASTE_ALL,$DF810,23)&amp;"","")&amp;"␟"&amp;IFERROR(INDEX(PASTE_ALL,$DF810,24)&amp;"","")&amp;"␟"&amp;IFERROR(INDEX(PASTE_ALL,$DF810,25)&amp;"","")&amp;"␟"&amp;IFERROR(INDEX(PASTE_ALL,$DF810,26)&amp;"","")&amp;"␟"&amp;IFERROR(INDEX(PASTE_ALL,$DF810,27)&amp;"","")&amp;"␟"&amp;IFERROR(INDEX(PASTE_ALL,$DF810,28)&amp;"","")&amp;"␟"&amp;IFERROR(INDEX(PASTE_ALL,$DF810,29)&amp;"","")&amp;"␟"&amp;IFERROR(INDEX(PASTE_ALL,$DF810,30)&amp;"","")&amp;"␟"&amp;IFERROR(INDEX(PASTE_ALL,$DF810,31)&amp;"","")&amp;"␟"&amp;IFERROR(INDEX(PASTE_ALL,$DF810,32)&amp;"","")&amp;"␟"&amp;IFERROR(INDEX(PASTE_ALL,$DF810,33)&amp;"","")&amp;"␟"&amp;IFERROR(INDEX(PASTE_ALL,$DF810,34)&amp;"","")&amp;"␟"&amp;IFERROR(INDEX(PASTE_ALL,$DF810,35)&amp;"","")&amp;"␟"&amp;IFERROR(INDEX(PASTE_ALL,$DF810,36)&amp;"","")&amp;"␟"&amp;IFERROR(INDEX(PASTE_ALL,$DF810,37)&amp;"","")&amp;"␟"&amp;IFERROR(INDEX(PASTE_ALL,$DF810,38)&amp;"","")&amp;"␟"&amp;IFERROR(INDEX(PASTE_ALL,$DF810,39)&amp;"","")&amp;"␟"&amp;IFERROR(INDEX(PASTE_ALL,$DF810,40)&amp;"","")&amp;"␟"&amp;IFERROR(INDEX(PASTE_ALL,$DF810,41)&amp;"","")&amp;"␟"&amp;IFERROR(INDEX(PASTE_ALL,$DF810,42)&amp;"","")&amp;"␟"&amp;IFERROR(INDEX(PASTE_ALL,$DF810,43)&amp;"","")&amp;"␟"&amp;IFERROR(INDEX(PASTE_ALL,$DF810,44)&amp;"","")&amp;"␟"&amp;IFERROR(INDEX(PASTE_ALL,$DF810,45)&amp;"","")&amp;"␟"&amp;IFERROR(INDEX(PASTE_ALL,$DF810,46)&amp;"","")&amp;"␟"&amp;IFERROR(INDEX(PASTE_ALL,$DF810,47)&amp;"","")&amp;"␟"&amp;IFERROR(INDEX(PASTE_ALL,$DF810,48)&amp;"","")&amp;"␟"&amp;IFERROR(INDEX(PASTE_ALL,$DF810,49)&amp;"","")&amp;"␟"&amp;IFERROR(INDEX(PASTE_ALL,$DF810,50)&amp;"","")&amp;"␟"&amp;IFERROR(INDEX(PASTE_ALL,$DF810,51)&amp;"","")&amp;"␟"&amp;IFERROR(INDEX(PASTE_ALL,$DF810,52)&amp;"","")&amp;"␟"&amp;IFERROR(INDEX(PASTE_ALL,$DF810,53)&amp;"","")&amp;"␟"&amp;IFERROR(INDEX(PASTE_ALL,$DF810,54)&amp;"","")&amp;"␟"&amp;IFERROR(INDEX(PASTE_ALL,$DF810,55)&amp;"","")&amp;"␟"&amp;IFERROR(INDEX(PASTE_ALL,$DF810,56)&amp;"","")&amp;"␟"&amp;IFERROR(INDEX(PASTE_ALL,$DF810,57)&amp;"","")&amp;"␟"&amp;IFERROR(INDEX(PASTE_ALL,$DF810,58)&amp;"","")&amp;"␟"&amp;IFERROR(INDEX(PASTE_ALL,$DF810,59)&amp;"","")&amp;"␟"&amp;IFERROR(INDEX(PASTE_ALL,$DF810,60)&amp;"","")," "," "),CHAR(9)," "),CHAR(10)," "),CHAR(13)," "))," ␟","␟"),"␟ ","␟"),"#"&amp;$DE810),"")</f>
        <v/>
      </c>
      <c r="DJ810">
        <f>IF($DI810="",0,IF(SUMPRODUCT(--EXACT($DI$4:DI809,$DI810))&gt;0,1,0))</f>
        <v/>
      </c>
      <c r="DK810">
        <f>IF(AND($DI810&lt;&gt;"",$DJ810=0),1,0)</f>
        <v/>
      </c>
      <c r="DL810">
        <f>DL809+$DK810</f>
        <v/>
      </c>
      <c r="DM810">
        <f>IF(AND($DK810=1,$DL810&lt;=600),1,0)</f>
        <v/>
      </c>
      <c r="DN810">
        <f>IF($DM810=0,"",IF($L$6=0,"",IFERROR(IF(ISNUMBER(INDEX(PASTE_ALL,$DF810,$L$6)),INDEX(PASTE_ALL,$DF810,$L$6),TRIM(SUBSTITUTE(SUBSTITUTE(SUBSTITUTE(SUBSTITUTE(INDEX(PASTE_ALL,$DF810,$L$6)," "," "),CHAR(9)," "),CHAR(10)," "),CHAR(13)," "))),"")))</f>
        <v/>
      </c>
      <c r="DO810">
        <f>IF($DM810=0,"",IF($L$7=0,"",IFERROR(IF(ISNUMBER(INDEX(PASTE_ALL,$DF810,$L$7)),INDEX(PASTE_ALL,$DF810,$L$7),TRIM(SUBSTITUTE(SUBSTITUTE(SUBSTITUTE(SUBSTITUTE(INDEX(PASTE_ALL,$DF810,$L$7)," "," "),CHAR(9)," "),CHAR(10)," "),CHAR(13)," "))),"")))</f>
        <v/>
      </c>
      <c r="DP810">
        <f>IF($DM810=0,"",IF($L$8=0,"",IFERROR(IF(ISNUMBER(INDEX(PASTE_ALL,$DF810,$L$8)),INDEX(PASTE_ALL,$DF810,$L$8),TRIM(SUBSTITUTE(SUBSTITUTE(SUBSTITUTE(SUBSTITUTE(INDEX(PASTE_ALL,$DF810,$L$8)," "," "),CHAR(9)," "),CHAR(10)," "),CHAR(13)," "))),"")))</f>
        <v/>
      </c>
      <c r="DQ810">
        <f>IF($DM810=0,"",IF($L$9=0,"",IFERROR(IF(ISNUMBER(INDEX(PASTE_ALL,$DF810,$L$9)),INDEX(PASTE_ALL,$DF810,$L$9),TRIM(SUBSTITUTE(SUBSTITUTE(SUBSTITUTE(SUBSTITUTE(INDEX(PASTE_ALL,$DF810,$L$9)," "," "),CHAR(9)," "),CHAR(10)," "),CHAR(13)," "))),"")))</f>
        <v/>
      </c>
      <c r="DR810">
        <f>IF($DM810=0,"",IF($L$10=0,"",IFERROR(IF(ISNUMBER(INDEX(PASTE_ALL,$DF810,$L$10)),INDEX(PASTE_ALL,$DF810,$L$10),TRIM(SUBSTITUTE(SUBSTITUTE(SUBSTITUTE(SUBSTITUTE(INDEX(PASTE_ALL,$DF810,$L$10)," "," "),CHAR(9)," "),CHAR(10)," "),CHAR(13)," "))),"")))</f>
        <v/>
      </c>
      <c r="DS810">
        <f>IF($DM810=0,"",IF($L$11=0,"",IFERROR(IF(ISNUMBER(INDEX(PASTE_ALL,$DF810,$L$11)),INDEX(PASTE_ALL,$DF810,$L$11),TRIM(SUBSTITUTE(SUBSTITUTE(SUBSTITUTE(SUBSTITUTE(INDEX(PASTE_ALL,$DF810,$L$11)," "," "),CHAR(9)," "),CHAR(10)," "),CHAR(13)," "))),"")))</f>
        <v/>
      </c>
      <c r="DT810">
        <f>IF($DM810=0,"",IF($L$12=0,"",IFERROR(IF(ISNUMBER(INDEX(PASTE_ALL,$DF810,$L$12)),INDEX(PASTE_ALL,$DF810,$L$12),TRIM(SUBSTITUTE(SUBSTITUTE(SUBSTITUTE(SUBSTITUTE(INDEX(PASTE_ALL,$DF810,$L$12)," "," "),CHAR(9)," "),CHAR(10)," "),CHAR(13)," "))),"")))</f>
        <v/>
      </c>
      <c r="DU810">
        <f>IF($DM810=0,"",IF($L$13=0,"",IFERROR(IF(ISNUMBER(INDEX(PASTE_ALL,$DF810,$L$13)),INDEX(PASTE_ALL,$DF810,$L$13),TRIM(SUBSTITUTE(SUBSTITUTE(SUBSTITUTE(SUBSTITUTE(INDEX(PASTE_ALL,$DF810,$L$13)," "," "),CHAR(9)," "),CHAR(10)," "),CHAR(13)," "))),"")))</f>
        <v/>
      </c>
      <c r="DV810">
        <f>IF($DM810=0,"",IF($L$14=0,"",IFERROR(IF(ISNUMBER(INDEX(PASTE_ALL,$DF810,$L$14)),INDEX(PASTE_ALL,$DF810,$L$14),TRIM(SUBSTITUTE(SUBSTITUTE(SUBSTITUTE(SUBSTITUTE(INDEX(PASTE_ALL,$DF810,$L$14)," "," "),CHAR(9)," "),CHAR(10)," "),CHAR(13)," "))),"")))</f>
        <v/>
      </c>
      <c r="DW810">
        <f>IF($DM810=0,"",IF($L$15=0,"",IFERROR(IF(ISNUMBER(INDEX(PASTE_ALL,$DF810,$L$15)),INDEX(PASTE_ALL,$DF810,$L$15),IF(SUMPRODUCT(--ISNUMBER(FIND({"A","B","C","D","E","F","G","H","I","J","K","L","M","N","O","P","Q","R","S","T","U","V","W","X","Y","Z","0","1","2","3","4","5","6","7","8","9"},UPPER(TRIM(SUBSTITUTE(SUBSTITUTE(SUBSTITUTE(SUBSTITUTE(INDEX(PASTE_ALL,$DF810,$L$15)," "," "),CHAR(9)," "),CHAR(10)," "),CHAR(13)," "))))))&gt;0,TRIM(SUBSTITUTE(SUBSTITUTE(SUBSTITUTE(SUBSTITUTE(INDEX(PASTE_ALL,$DF810,$L$15)," "," "),CHAR(9)," "),CHAR(10)," "),CHAR(13)," ")),"")),"")))</f>
        <v/>
      </c>
      <c r="DX810">
        <f>IF($DM810=0,"",IF($L$16=0,"",IFERROR(IF(ISNUMBER(INDEX(PASTE_ALL,$DF810,$L$16)),INDEX(PASTE_ALL,$DF810,$L$16),SUBSTITUTE(SUBSTITUTE(TRIM(SUBSTITUTE(SUBSTITUTE(SUBSTITUTE(SUBSTITUTE(INDEX(PASTE_ALL,$DF810,$L$16)," "," "),CHAR(9)," "),CHAR(10)," "),CHAR(13)," ")),",",""),"%","")),"")))</f>
        <v/>
      </c>
      <c r="DY810">
        <f>IF($DM810=0,"",IFERROR(IF(ISNUMBER($DX810),$DX810,IF($DX810="","",IF(TRIM($DX810)="",0,IF(AND(AND(SUBSTITUTE(SUBSTITUTE(SUBSTITUTE(SUBSTITUTE(SUBSTITUTE(SUBSTITUTE(SUBSTITUTE(SUBSTITUTE(SUBSTITUTE(SUBSTITUTE(SUBSTITUTE(SUBSTITUTE(SUBSTITUTE(SUBSTITUTE(UPPER(TRIM($DX810)),"0",""),"1",""),"2",""),"3",""),"4",""),"5",""),"6",""),"7",""),"8",""),"9",""),".",""),"+",""),"-",""),"E","")="",LEN(SUBSTITUTE(SUBSTITUTE(MID(UPPER(TRIM($DX810)),1+OR(LEFT(UPPER(TRIM($DX810)),1)="+",LEFT(UPPER(TRIM($DX810)),1)="-"),999),"E+","E"),"E-","E"))=LEN(SUBSTITUTE(SUBSTITUTE(SUBSTITUTE(SUBSTITUTE(MID(UPPER(TRIM($DX810)),1+OR(LEFT(UPPER(TRIM($DX810)),1)="+",LEFT(UPPER(TRIM($DX810)),1)="-"),999),"E+","E"),"E-","E"),"+",""),"-","")),LEN(UPPER(TRIM($DX810)))-LEN(SUBSTITUTE(UPPER(TRIM($DX810)),"E",""))&lt;2,LEN(UPPER(TRIM($DX810)))-LEN(SUBSTITUTE(UPPER(TRIM($DX810)),".",""))&lt;2,IFERROR(FIND(".",UPPER(TRIM($DX810))),0)&lt;IFERROR(FIND("E",UPPER(TRIM($DX810))),999)),ISNUMBER(VALUE(TRIM($DX810)))),VALUE(TRIM($DX810)),"")))),""))</f>
        <v/>
      </c>
      <c r="DZ810">
        <f>IF($DM810=0,"",IF($L$17=0,"",IFERROR(IF(ISNUMBER(INDEX(PASTE_ALL,$DF810,$L$17)),INDEX(PASTE_ALL,$DF810,$L$17),SUBSTITUTE(SUBSTITUTE(TRIM(SUBSTITUTE(SUBSTITUTE(SUBSTITUTE(SUBSTITUTE(INDEX(PASTE_ALL,$DF810,$L$17)," "," "),CHAR(9)," "),CHAR(10)," "),CHAR(13)," ")),",",""),"%","")),"")))</f>
        <v/>
      </c>
      <c r="EA810">
        <f>IF($DM810=0,"",IFERROR(IF(ISNUMBER($DZ810),$DZ810,IF($DZ810="","",IF(TRIM($DZ810)="",0,IF(AND(AND(SUBSTITUTE(SUBSTITUTE(SUBSTITUTE(SUBSTITUTE(SUBSTITUTE(SUBSTITUTE(SUBSTITUTE(SUBSTITUTE(SUBSTITUTE(SUBSTITUTE(SUBSTITUTE(SUBSTITUTE(SUBSTITUTE(SUBSTITUTE(UPPER(TRIM($DZ810)),"0",""),"1",""),"2",""),"3",""),"4",""),"5",""),"6",""),"7",""),"8",""),"9",""),".",""),"+",""),"-",""),"E","")="",LEN(SUBSTITUTE(SUBSTITUTE(MID(UPPER(TRIM($DZ810)),1+OR(LEFT(UPPER(TRIM($DZ810)),1)="+",LEFT(UPPER(TRIM($DZ810)),1)="-"),999),"E+","E"),"E-","E"))=LEN(SUBSTITUTE(SUBSTITUTE(SUBSTITUTE(SUBSTITUTE(MID(UPPER(TRIM($DZ810)),1+OR(LEFT(UPPER(TRIM($DZ810)),1)="+",LEFT(UPPER(TRIM($DZ810)),1)="-"),999),"E+","E"),"E-","E"),"+",""),"-","")),LEN(UPPER(TRIM($DZ810)))-LEN(SUBSTITUTE(UPPER(TRIM($DZ810)),"E",""))&lt;2,LEN(UPPER(TRIM($DZ810)))-LEN(SUBSTITUTE(UPPER(TRIM($DZ810)),".",""))&lt;2,IFERROR(FIND(".",UPPER(TRIM($DZ810))),0)&lt;IFERROR(FIND("E",UPPER(TRIM($DZ810))),999)),ISNUMBER(VALUE(TRIM($DZ810)))),VALUE(TRIM($DZ810)),"")))),""))</f>
        <v/>
      </c>
      <c r="EB810">
        <f>IF($DM810=0,"",IF($L$18=0,"",IFERROR(IF(UPPER(TRIM(SUBSTITUTE(SUBSTITUTE(SUBSTITUTE(SUBSTITUTE(INDEX(PASTE_ALL,$DF810,$L$18)," "," "),CHAR(9)," "),CHAR(10)," "),CHAR(13)," ")))="READY","Ready",IF(UPPER(TRIM(SUBSTITUTE(SUBSTITUTE(SUBSTITUTE(SUBSTITUTE(INDEX(PASTE_ALL,$DF810,$L$18)," "," "),CHAR(9)," "),CHAR(10)," "),CHAR(13)," ")))="PM","PM",IF(OR(UPPER(TRIM(SUBSTITUTE(SUBSTITUTE(SUBSTITUTE(SUBSTITUTE(INDEX(PASTE_ALL,$DF810,$L$18)," "," "),CHAR(9)," "),CHAR(10)," "),CHAR(13)," ")))="OT",UPPER(TRIM(SUBSTITUTE(SUBSTITUTE(SUBSTITUTE(SUBSTITUTE(INDEX(PASTE_ALL,$DF810,$L$18)," "," "),CHAR(9)," "),CHAR(10)," "),CHAR(13)," ")))="OVERTIME",UPPER(TRIM(SUBSTITUTE(SUBSTITUTE(SUBSTITUTE(SUBSTITUTE(INDEX(PASTE_ALL,$DF810,$L$18)," "," "),CHAR(9)," "),CHAR(10)," "),CHAR(13)," ")))="TRIAL"),"OT",TRIM(SUBSTITUTE(SUBSTITUTE(SUBSTITUTE(SUBSTITUTE(INDEX(PASTE_ALL,$DF810,$L$18)," "," "),CHAR(9)," "),CHAR(10)," "),CHAR(13)," "))))),"")))</f>
        <v/>
      </c>
      <c r="EC810">
        <f>IF($DM810=0,"",IF($L$19=0,"",IFERROR(IF(ISNUMBER(INDEX(PASTE_ALL,$DF810,$L$19)),INDEX(PASTE_ALL,$DF810,$L$19),TRIM(SUBSTITUTE(SUBSTITUTE(SUBSTITUTE(SUBSTITUTE(INDEX(PASTE_ALL,$DF810,$L$19)," "," "),CHAR(9)," "),CHAR(10)," "),CHAR(13)," "))),"")))</f>
        <v/>
      </c>
      <c r="ED810">
        <f>IF($DM810=0,"",MATCH(1,INDEX(EXACT($DH$5:DH810,$DH810)*$DM$5:DM810,0),0))</f>
        <v/>
      </c>
      <c r="EE810">
        <f>IF($DM810=0,0,IF($ED810=$DE810,1,0))</f>
        <v/>
      </c>
      <c r="EF810">
        <f>EF809+$EE810</f>
        <v/>
      </c>
      <c r="EG810">
        <f>IF($DM810=0,"",INDEX($EF$5:$EF$1003,$ED810))</f>
        <v/>
      </c>
      <c r="EH810">
        <f>IF($DM810=0,"",IF($DO810&lt;&gt;"","",IFERROR(LOOKUP(2,1/(($EG$4:EG809=$EG810)*($DO$4:DO809&lt;&gt;"")),$DO$4:DO809),"")))</f>
        <v/>
      </c>
      <c r="EI810">
        <f>IF($DM810=0,"",IF($DO810&lt;&gt;"",$DO810,$EH810))</f>
        <v/>
      </c>
      <c r="EJ810">
        <f>IF($DM810=0,"",IF($EI810="",0,IF(OR(ISNUMBER($EI810),AND(AND(SUBSTITUTE(SUBSTITUTE(SUBSTITUTE(SUBSTITUTE(SUBSTITUTE(SUBSTITUTE(SUBSTITUTE(SUBSTITUTE(SUBSTITUTE(SUBSTITUTE(SUBSTITUTE(SUBSTITUTE(SUBSTITUTE(SUBSTITUTE(UPPER($EI810),"0",""),"1",""),"2",""),"3",""),"4",""),"5",""),"6",""),"7",""),"8",""),"9",""),".",""),"+",""),"-",""),"E","")="",LEN(SUBSTITUTE(SUBSTITUTE(MID(UPPER($EI810),1+OR(LEFT(UPPER($EI810),1)="+",LEFT(UPPER($EI810),1)="-"),999),"E+","E"),"E-","E"))=LEN(SUBSTITUTE(SUBSTITUTE(SUBSTITUTE(SUBSTITUTE(MID(UPPER($EI810),1+OR(LEFT(UPPER($EI810),1)="+",LEFT(UPPER($EI810),1)="-"),999),"E+","E"),"E-","E"),"+",""),"-","")),LEN(UPPER($EI810))-LEN(SUBSTITUTE(UPPER($EI810),"E",""))&lt;2,LEN(UPPER($EI810))-LEN(SUBSTITUTE(UPPER($EI810),".",""))&lt;2,IFERROR(FIND(".",UPPER($EI810)),0)&lt;IFERROR(FIND("E",UPPER($EI810)),999)),ISNUMBER(VALUE($EI810)))),1,2)))</f>
        <v/>
      </c>
      <c r="EK810">
        <f>IF($DM810=0,"",IF($EJ810=1,IF(ISNUMBER($EI810),$EI810,VALUE($EI810)),IF($EJ810=2,$DE810,0)))</f>
        <v/>
      </c>
      <c r="EL810">
        <f>IF($DM810=0,"",COUNTIF($EG$5:$EG$1003,"&lt;"&amp;$EG810)+SUMPRODUCT(($EG$5:$EG$1003=$EG810)*(($EJ$5:$EJ$1003&lt;$EJ810)+($EJ$5:$EJ$1003=$EJ810)*(($EK$5:$EK$1003&lt;$EK810)+($EK$5:$EK$1003=$EK810)*($DE$5:$DE$1003&lt;$DE810))))+1)</f>
        <v/>
      </c>
      <c r="EM810">
        <f>IF($DM810=0,"",$EL810+$EG810-1)</f>
        <v/>
      </c>
      <c r="EN810">
        <f>IF($DM810=0,0,IFERROR(MATCH(1,INDEX(--(TRIM(SUBSTITUTE(SUBSTITUTE(SUBSTITUTE(SUBSTITUTE(LINES_NAME&amp;""," "," "),CHAR(9)," "),CHAR(10)," "),CHAR(13)," "))=$DH810),0),0),0))</f>
        <v/>
      </c>
      <c r="EO810">
        <f>IF($EN810=0,0,IF(OR(UPPER(TRIM(INDEX(LINES_SCHEDULED,$EN810)&amp;""))="YES",UPPER(TRIM(INDEX(LINES_SCHEDULED,$EN810)&amp;""))="Y",UPPER(TRIM(INDEX(LINES_SCHEDULED,$EN810)&amp;""))="X"),1,0))</f>
        <v/>
      </c>
      <c r="EP810">
        <f>IF($DM810=0,"",IF(COUNTIFS($EG$5:$EG$1003,$EG810,$EB$5:$EB$1003,"Ready")&gt;0,"READY",IF(COUNTIFS($EG$5:$EG$1003,$EG810,$EB$5:$EB$1003,"PM")&gt;0,"PM",IF(COUNTIFS($EG$5:$EG$1003,$EG810,$EB$5:$EB$1003,"OT")&gt;0,"OT",""))))</f>
        <v/>
      </c>
      <c r="EQ810">
        <f>IF($EN810=0,"",UPPER(TRIM(INDEX(LINES_STATUS,$EN810)&amp;"")))</f>
        <v/>
      </c>
      <c r="ER810">
        <f>IF($DM810=0,"",IF(OR($EQ810="READY",$EQ810="PM",$EQ810="OT"),$EQ810,$EP810))</f>
        <v/>
      </c>
      <c r="ES810">
        <f>IF($DM810=0,"",IF(AND($DV810&lt;&gt;"",UPPER($DV810)&lt;&gt;"N"),"allergen",IF(ISNUMBER(SEARCH("oil",$DQ810)),"oil",IF(OR(EXACT($DS810,"A662"),EXACT($DS810,"A624")),"bulk",""))))</f>
        <v/>
      </c>
      <c r="ET810">
        <f>IF($DM810=0,"",IF(OR($EA810="",$EA810=0),"",$EA810/100))</f>
        <v/>
      </c>
      <c r="EU810">
        <f>IF(OR($ET810="",$DY810=""),"",INT($DY810*(1-$ET810)+0.5))</f>
        <v/>
      </c>
    </row>
    <row r="811">
      <c r="DA811" t="n">
        <v>807</v>
      </c>
      <c r="DB811">
        <f>IF($B$37=0,"",IFERROR(TRIM(SUBSTITUTE(SUBSTITUTE(SUBSTITUTE(SUBSTITUTE(INDEX(PASTE_ALL,807,$B$37)," "," "),CHAR(9)," "),CHAR(10)," "),CHAR(13)," ")),""))</f>
        <v/>
      </c>
      <c r="DC811">
        <f>IF(AND(807&gt;HEADER_ROW,UPPER(DB811)="LEGEND"),1,0)</f>
        <v/>
      </c>
      <c r="DE811" t="n">
        <v>807</v>
      </c>
      <c r="DF811">
        <f>HEADER_ROW+$DE811</f>
        <v/>
      </c>
      <c r="DG811">
        <f>IF(AND($DF811&lt;=1000,$DF811&lt;$B$8),1,0)</f>
        <v/>
      </c>
      <c r="DH811">
        <f>IF($DG811=1,IFERROR(INDEX($DB$5:$DB$1004,$DF811),""),"")</f>
        <v/>
      </c>
      <c r="DI811">
        <f>IF(AND($DG811=1,$DH811&lt;&gt;""),IFERROR(SUBSTITUTE(SUBSTITUTE(TRIM(SUBSTITUTE(SUBSTITUTE(SUBSTITUTE(SUBSTITUTE(IFERROR(INDEX(PASTE_ALL,$DF811,1)&amp;"","")&amp;"␟"&amp;IFERROR(INDEX(PASTE_ALL,$DF811,2)&amp;"","")&amp;"␟"&amp;IFERROR(INDEX(PASTE_ALL,$DF811,3)&amp;"","")&amp;"␟"&amp;IFERROR(INDEX(PASTE_ALL,$DF811,4)&amp;"","")&amp;"␟"&amp;IFERROR(INDEX(PASTE_ALL,$DF811,5)&amp;"","")&amp;"␟"&amp;IFERROR(INDEX(PASTE_ALL,$DF811,6)&amp;"","")&amp;"␟"&amp;IFERROR(INDEX(PASTE_ALL,$DF811,7)&amp;"","")&amp;"␟"&amp;IFERROR(INDEX(PASTE_ALL,$DF811,8)&amp;"","")&amp;"␟"&amp;IFERROR(INDEX(PASTE_ALL,$DF811,9)&amp;"","")&amp;"␟"&amp;IFERROR(INDEX(PASTE_ALL,$DF811,10)&amp;"","")&amp;"␟"&amp;IFERROR(INDEX(PASTE_ALL,$DF811,11)&amp;"","")&amp;"␟"&amp;IFERROR(INDEX(PASTE_ALL,$DF811,12)&amp;"","")&amp;"␟"&amp;IFERROR(INDEX(PASTE_ALL,$DF811,13)&amp;"","")&amp;"␟"&amp;IFERROR(INDEX(PASTE_ALL,$DF811,14)&amp;"","")&amp;"␟"&amp;IFERROR(INDEX(PASTE_ALL,$DF811,15)&amp;"","")&amp;"␟"&amp;IFERROR(INDEX(PASTE_ALL,$DF811,16)&amp;"","")&amp;"␟"&amp;IFERROR(INDEX(PASTE_ALL,$DF811,17)&amp;"","")&amp;"␟"&amp;IFERROR(INDEX(PASTE_ALL,$DF811,18)&amp;"","")&amp;"␟"&amp;IFERROR(INDEX(PASTE_ALL,$DF811,19)&amp;"","")&amp;"␟"&amp;IFERROR(INDEX(PASTE_ALL,$DF811,20)&amp;"","")&amp;"␟"&amp;IFERROR(INDEX(PASTE_ALL,$DF811,21)&amp;"","")&amp;"␟"&amp;IFERROR(INDEX(PASTE_ALL,$DF811,22)&amp;"","")&amp;"␟"&amp;IFERROR(INDEX(PASTE_ALL,$DF811,23)&amp;"","")&amp;"␟"&amp;IFERROR(INDEX(PASTE_ALL,$DF811,24)&amp;"","")&amp;"␟"&amp;IFERROR(INDEX(PASTE_ALL,$DF811,25)&amp;"","")&amp;"␟"&amp;IFERROR(INDEX(PASTE_ALL,$DF811,26)&amp;"","")&amp;"␟"&amp;IFERROR(INDEX(PASTE_ALL,$DF811,27)&amp;"","")&amp;"␟"&amp;IFERROR(INDEX(PASTE_ALL,$DF811,28)&amp;"","")&amp;"␟"&amp;IFERROR(INDEX(PASTE_ALL,$DF811,29)&amp;"","")&amp;"␟"&amp;IFERROR(INDEX(PASTE_ALL,$DF811,30)&amp;"","")&amp;"␟"&amp;IFERROR(INDEX(PASTE_ALL,$DF811,31)&amp;"","")&amp;"␟"&amp;IFERROR(INDEX(PASTE_ALL,$DF811,32)&amp;"","")&amp;"␟"&amp;IFERROR(INDEX(PASTE_ALL,$DF811,33)&amp;"","")&amp;"␟"&amp;IFERROR(INDEX(PASTE_ALL,$DF811,34)&amp;"","")&amp;"␟"&amp;IFERROR(INDEX(PASTE_ALL,$DF811,35)&amp;"","")&amp;"␟"&amp;IFERROR(INDEX(PASTE_ALL,$DF811,36)&amp;"","")&amp;"␟"&amp;IFERROR(INDEX(PASTE_ALL,$DF811,37)&amp;"","")&amp;"␟"&amp;IFERROR(INDEX(PASTE_ALL,$DF811,38)&amp;"","")&amp;"␟"&amp;IFERROR(INDEX(PASTE_ALL,$DF811,39)&amp;"","")&amp;"␟"&amp;IFERROR(INDEX(PASTE_ALL,$DF811,40)&amp;"","")&amp;"␟"&amp;IFERROR(INDEX(PASTE_ALL,$DF811,41)&amp;"","")&amp;"␟"&amp;IFERROR(INDEX(PASTE_ALL,$DF811,42)&amp;"","")&amp;"␟"&amp;IFERROR(INDEX(PASTE_ALL,$DF811,43)&amp;"","")&amp;"␟"&amp;IFERROR(INDEX(PASTE_ALL,$DF811,44)&amp;"","")&amp;"␟"&amp;IFERROR(INDEX(PASTE_ALL,$DF811,45)&amp;"","")&amp;"␟"&amp;IFERROR(INDEX(PASTE_ALL,$DF811,46)&amp;"","")&amp;"␟"&amp;IFERROR(INDEX(PASTE_ALL,$DF811,47)&amp;"","")&amp;"␟"&amp;IFERROR(INDEX(PASTE_ALL,$DF811,48)&amp;"","")&amp;"␟"&amp;IFERROR(INDEX(PASTE_ALL,$DF811,49)&amp;"","")&amp;"␟"&amp;IFERROR(INDEX(PASTE_ALL,$DF811,50)&amp;"","")&amp;"␟"&amp;IFERROR(INDEX(PASTE_ALL,$DF811,51)&amp;"","")&amp;"␟"&amp;IFERROR(INDEX(PASTE_ALL,$DF811,52)&amp;"","")&amp;"␟"&amp;IFERROR(INDEX(PASTE_ALL,$DF811,53)&amp;"","")&amp;"␟"&amp;IFERROR(INDEX(PASTE_ALL,$DF811,54)&amp;"","")&amp;"␟"&amp;IFERROR(INDEX(PASTE_ALL,$DF811,55)&amp;"","")&amp;"␟"&amp;IFERROR(INDEX(PASTE_ALL,$DF811,56)&amp;"","")&amp;"␟"&amp;IFERROR(INDEX(PASTE_ALL,$DF811,57)&amp;"","")&amp;"␟"&amp;IFERROR(INDEX(PASTE_ALL,$DF811,58)&amp;"","")&amp;"␟"&amp;IFERROR(INDEX(PASTE_ALL,$DF811,59)&amp;"","")&amp;"␟"&amp;IFERROR(INDEX(PASTE_ALL,$DF811,60)&amp;"","")," "," "),CHAR(9)," "),CHAR(10)," "),CHAR(13)," "))," ␟","␟"),"␟ ","␟"),"#"&amp;$DE811),"")</f>
        <v/>
      </c>
      <c r="DJ811">
        <f>IF($DI811="",0,IF(SUMPRODUCT(--EXACT($DI$4:DI810,$DI811))&gt;0,1,0))</f>
        <v/>
      </c>
      <c r="DK811">
        <f>IF(AND($DI811&lt;&gt;"",$DJ811=0),1,0)</f>
        <v/>
      </c>
      <c r="DL811">
        <f>DL810+$DK811</f>
        <v/>
      </c>
      <c r="DM811">
        <f>IF(AND($DK811=1,$DL811&lt;=600),1,0)</f>
        <v/>
      </c>
      <c r="DN811">
        <f>IF($DM811=0,"",IF($L$6=0,"",IFERROR(IF(ISNUMBER(INDEX(PASTE_ALL,$DF811,$L$6)),INDEX(PASTE_ALL,$DF811,$L$6),TRIM(SUBSTITUTE(SUBSTITUTE(SUBSTITUTE(SUBSTITUTE(INDEX(PASTE_ALL,$DF811,$L$6)," "," "),CHAR(9)," "),CHAR(10)," "),CHAR(13)," "))),"")))</f>
        <v/>
      </c>
      <c r="DO811">
        <f>IF($DM811=0,"",IF($L$7=0,"",IFERROR(IF(ISNUMBER(INDEX(PASTE_ALL,$DF811,$L$7)),INDEX(PASTE_ALL,$DF811,$L$7),TRIM(SUBSTITUTE(SUBSTITUTE(SUBSTITUTE(SUBSTITUTE(INDEX(PASTE_ALL,$DF811,$L$7)," "," "),CHAR(9)," "),CHAR(10)," "),CHAR(13)," "))),"")))</f>
        <v/>
      </c>
      <c r="DP811">
        <f>IF($DM811=0,"",IF($L$8=0,"",IFERROR(IF(ISNUMBER(INDEX(PASTE_ALL,$DF811,$L$8)),INDEX(PASTE_ALL,$DF811,$L$8),TRIM(SUBSTITUTE(SUBSTITUTE(SUBSTITUTE(SUBSTITUTE(INDEX(PASTE_ALL,$DF811,$L$8)," "," "),CHAR(9)," "),CHAR(10)," "),CHAR(13)," "))),"")))</f>
        <v/>
      </c>
      <c r="DQ811">
        <f>IF($DM811=0,"",IF($L$9=0,"",IFERROR(IF(ISNUMBER(INDEX(PASTE_ALL,$DF811,$L$9)),INDEX(PASTE_ALL,$DF811,$L$9),TRIM(SUBSTITUTE(SUBSTITUTE(SUBSTITUTE(SUBSTITUTE(INDEX(PASTE_ALL,$DF811,$L$9)," "," "),CHAR(9)," "),CHAR(10)," "),CHAR(13)," "))),"")))</f>
        <v/>
      </c>
      <c r="DR811">
        <f>IF($DM811=0,"",IF($L$10=0,"",IFERROR(IF(ISNUMBER(INDEX(PASTE_ALL,$DF811,$L$10)),INDEX(PASTE_ALL,$DF811,$L$10),TRIM(SUBSTITUTE(SUBSTITUTE(SUBSTITUTE(SUBSTITUTE(INDEX(PASTE_ALL,$DF811,$L$10)," "," "),CHAR(9)," "),CHAR(10)," "),CHAR(13)," "))),"")))</f>
        <v/>
      </c>
      <c r="DS811">
        <f>IF($DM811=0,"",IF($L$11=0,"",IFERROR(IF(ISNUMBER(INDEX(PASTE_ALL,$DF811,$L$11)),INDEX(PASTE_ALL,$DF811,$L$11),TRIM(SUBSTITUTE(SUBSTITUTE(SUBSTITUTE(SUBSTITUTE(INDEX(PASTE_ALL,$DF811,$L$11)," "," "),CHAR(9)," "),CHAR(10)," "),CHAR(13)," "))),"")))</f>
        <v/>
      </c>
      <c r="DT811">
        <f>IF($DM811=0,"",IF($L$12=0,"",IFERROR(IF(ISNUMBER(INDEX(PASTE_ALL,$DF811,$L$12)),INDEX(PASTE_ALL,$DF811,$L$12),TRIM(SUBSTITUTE(SUBSTITUTE(SUBSTITUTE(SUBSTITUTE(INDEX(PASTE_ALL,$DF811,$L$12)," "," "),CHAR(9)," "),CHAR(10)," "),CHAR(13)," "))),"")))</f>
        <v/>
      </c>
      <c r="DU811">
        <f>IF($DM811=0,"",IF($L$13=0,"",IFERROR(IF(ISNUMBER(INDEX(PASTE_ALL,$DF811,$L$13)),INDEX(PASTE_ALL,$DF811,$L$13),TRIM(SUBSTITUTE(SUBSTITUTE(SUBSTITUTE(SUBSTITUTE(INDEX(PASTE_ALL,$DF811,$L$13)," "," "),CHAR(9)," "),CHAR(10)," "),CHAR(13)," "))),"")))</f>
        <v/>
      </c>
      <c r="DV811">
        <f>IF($DM811=0,"",IF($L$14=0,"",IFERROR(IF(ISNUMBER(INDEX(PASTE_ALL,$DF811,$L$14)),INDEX(PASTE_ALL,$DF811,$L$14),TRIM(SUBSTITUTE(SUBSTITUTE(SUBSTITUTE(SUBSTITUTE(INDEX(PASTE_ALL,$DF811,$L$14)," "," "),CHAR(9)," "),CHAR(10)," "),CHAR(13)," "))),"")))</f>
        <v/>
      </c>
      <c r="DW811">
        <f>IF($DM811=0,"",IF($L$15=0,"",IFERROR(IF(ISNUMBER(INDEX(PASTE_ALL,$DF811,$L$15)),INDEX(PASTE_ALL,$DF811,$L$15),IF(SUMPRODUCT(--ISNUMBER(FIND({"A","B","C","D","E","F","G","H","I","J","K","L","M","N","O","P","Q","R","S","T","U","V","W","X","Y","Z","0","1","2","3","4","5","6","7","8","9"},UPPER(TRIM(SUBSTITUTE(SUBSTITUTE(SUBSTITUTE(SUBSTITUTE(INDEX(PASTE_ALL,$DF811,$L$15)," "," "),CHAR(9)," "),CHAR(10)," "),CHAR(13)," "))))))&gt;0,TRIM(SUBSTITUTE(SUBSTITUTE(SUBSTITUTE(SUBSTITUTE(INDEX(PASTE_ALL,$DF811,$L$15)," "," "),CHAR(9)," "),CHAR(10)," "),CHAR(13)," ")),"")),"")))</f>
        <v/>
      </c>
      <c r="DX811">
        <f>IF($DM811=0,"",IF($L$16=0,"",IFERROR(IF(ISNUMBER(INDEX(PASTE_ALL,$DF811,$L$16)),INDEX(PASTE_ALL,$DF811,$L$16),SUBSTITUTE(SUBSTITUTE(TRIM(SUBSTITUTE(SUBSTITUTE(SUBSTITUTE(SUBSTITUTE(INDEX(PASTE_ALL,$DF811,$L$16)," "," "),CHAR(9)," "),CHAR(10)," "),CHAR(13)," ")),",",""),"%","")),"")))</f>
        <v/>
      </c>
      <c r="DY811">
        <f>IF($DM811=0,"",IFERROR(IF(ISNUMBER($DX811),$DX811,IF($DX811="","",IF(TRIM($DX811)="",0,IF(AND(AND(SUBSTITUTE(SUBSTITUTE(SUBSTITUTE(SUBSTITUTE(SUBSTITUTE(SUBSTITUTE(SUBSTITUTE(SUBSTITUTE(SUBSTITUTE(SUBSTITUTE(SUBSTITUTE(SUBSTITUTE(SUBSTITUTE(SUBSTITUTE(UPPER(TRIM($DX811)),"0",""),"1",""),"2",""),"3",""),"4",""),"5",""),"6",""),"7",""),"8",""),"9",""),".",""),"+",""),"-",""),"E","")="",LEN(SUBSTITUTE(SUBSTITUTE(MID(UPPER(TRIM($DX811)),1+OR(LEFT(UPPER(TRIM($DX811)),1)="+",LEFT(UPPER(TRIM($DX811)),1)="-"),999),"E+","E"),"E-","E"))=LEN(SUBSTITUTE(SUBSTITUTE(SUBSTITUTE(SUBSTITUTE(MID(UPPER(TRIM($DX811)),1+OR(LEFT(UPPER(TRIM($DX811)),1)="+",LEFT(UPPER(TRIM($DX811)),1)="-"),999),"E+","E"),"E-","E"),"+",""),"-","")),LEN(UPPER(TRIM($DX811)))-LEN(SUBSTITUTE(UPPER(TRIM($DX811)),"E",""))&lt;2,LEN(UPPER(TRIM($DX811)))-LEN(SUBSTITUTE(UPPER(TRIM($DX811)),".",""))&lt;2,IFERROR(FIND(".",UPPER(TRIM($DX811))),0)&lt;IFERROR(FIND("E",UPPER(TRIM($DX811))),999)),ISNUMBER(VALUE(TRIM($DX811)))),VALUE(TRIM($DX811)),"")))),""))</f>
        <v/>
      </c>
      <c r="DZ811">
        <f>IF($DM811=0,"",IF($L$17=0,"",IFERROR(IF(ISNUMBER(INDEX(PASTE_ALL,$DF811,$L$17)),INDEX(PASTE_ALL,$DF811,$L$17),SUBSTITUTE(SUBSTITUTE(TRIM(SUBSTITUTE(SUBSTITUTE(SUBSTITUTE(SUBSTITUTE(INDEX(PASTE_ALL,$DF811,$L$17)," "," "),CHAR(9)," "),CHAR(10)," "),CHAR(13)," ")),",",""),"%","")),"")))</f>
        <v/>
      </c>
      <c r="EA811">
        <f>IF($DM811=0,"",IFERROR(IF(ISNUMBER($DZ811),$DZ811,IF($DZ811="","",IF(TRIM($DZ811)="",0,IF(AND(AND(SUBSTITUTE(SUBSTITUTE(SUBSTITUTE(SUBSTITUTE(SUBSTITUTE(SUBSTITUTE(SUBSTITUTE(SUBSTITUTE(SUBSTITUTE(SUBSTITUTE(SUBSTITUTE(SUBSTITUTE(SUBSTITUTE(SUBSTITUTE(UPPER(TRIM($DZ811)),"0",""),"1",""),"2",""),"3",""),"4",""),"5",""),"6",""),"7",""),"8",""),"9",""),".",""),"+",""),"-",""),"E","")="",LEN(SUBSTITUTE(SUBSTITUTE(MID(UPPER(TRIM($DZ811)),1+OR(LEFT(UPPER(TRIM($DZ811)),1)="+",LEFT(UPPER(TRIM($DZ811)),1)="-"),999),"E+","E"),"E-","E"))=LEN(SUBSTITUTE(SUBSTITUTE(SUBSTITUTE(SUBSTITUTE(MID(UPPER(TRIM($DZ811)),1+OR(LEFT(UPPER(TRIM($DZ811)),1)="+",LEFT(UPPER(TRIM($DZ811)),1)="-"),999),"E+","E"),"E-","E"),"+",""),"-","")),LEN(UPPER(TRIM($DZ811)))-LEN(SUBSTITUTE(UPPER(TRIM($DZ811)),"E",""))&lt;2,LEN(UPPER(TRIM($DZ811)))-LEN(SUBSTITUTE(UPPER(TRIM($DZ811)),".",""))&lt;2,IFERROR(FIND(".",UPPER(TRIM($DZ811))),0)&lt;IFERROR(FIND("E",UPPER(TRIM($DZ811))),999)),ISNUMBER(VALUE(TRIM($DZ811)))),VALUE(TRIM($DZ811)),"")))),""))</f>
        <v/>
      </c>
      <c r="EB811">
        <f>IF($DM811=0,"",IF($L$18=0,"",IFERROR(IF(UPPER(TRIM(SUBSTITUTE(SUBSTITUTE(SUBSTITUTE(SUBSTITUTE(INDEX(PASTE_ALL,$DF811,$L$18)," "," "),CHAR(9)," "),CHAR(10)," "),CHAR(13)," ")))="READY","Ready",IF(UPPER(TRIM(SUBSTITUTE(SUBSTITUTE(SUBSTITUTE(SUBSTITUTE(INDEX(PASTE_ALL,$DF811,$L$18)," "," "),CHAR(9)," "),CHAR(10)," "),CHAR(13)," ")))="PM","PM",IF(OR(UPPER(TRIM(SUBSTITUTE(SUBSTITUTE(SUBSTITUTE(SUBSTITUTE(INDEX(PASTE_ALL,$DF811,$L$18)," "," "),CHAR(9)," "),CHAR(10)," "),CHAR(13)," ")))="OT",UPPER(TRIM(SUBSTITUTE(SUBSTITUTE(SUBSTITUTE(SUBSTITUTE(INDEX(PASTE_ALL,$DF811,$L$18)," "," "),CHAR(9)," "),CHAR(10)," "),CHAR(13)," ")))="OVERTIME",UPPER(TRIM(SUBSTITUTE(SUBSTITUTE(SUBSTITUTE(SUBSTITUTE(INDEX(PASTE_ALL,$DF811,$L$18)," "," "),CHAR(9)," "),CHAR(10)," "),CHAR(13)," ")))="TRIAL"),"OT",TRIM(SUBSTITUTE(SUBSTITUTE(SUBSTITUTE(SUBSTITUTE(INDEX(PASTE_ALL,$DF811,$L$18)," "," "),CHAR(9)," "),CHAR(10)," "),CHAR(13)," "))))),"")))</f>
        <v/>
      </c>
      <c r="EC811">
        <f>IF($DM811=0,"",IF($L$19=0,"",IFERROR(IF(ISNUMBER(INDEX(PASTE_ALL,$DF811,$L$19)),INDEX(PASTE_ALL,$DF811,$L$19),TRIM(SUBSTITUTE(SUBSTITUTE(SUBSTITUTE(SUBSTITUTE(INDEX(PASTE_ALL,$DF811,$L$19)," "," "),CHAR(9)," "),CHAR(10)," "),CHAR(13)," "))),"")))</f>
        <v/>
      </c>
      <c r="ED811">
        <f>IF($DM811=0,"",MATCH(1,INDEX(EXACT($DH$5:DH811,$DH811)*$DM$5:DM811,0),0))</f>
        <v/>
      </c>
      <c r="EE811">
        <f>IF($DM811=0,0,IF($ED811=$DE811,1,0))</f>
        <v/>
      </c>
      <c r="EF811">
        <f>EF810+$EE811</f>
        <v/>
      </c>
      <c r="EG811">
        <f>IF($DM811=0,"",INDEX($EF$5:$EF$1003,$ED811))</f>
        <v/>
      </c>
      <c r="EH811">
        <f>IF($DM811=0,"",IF($DO811&lt;&gt;"","",IFERROR(LOOKUP(2,1/(($EG$4:EG810=$EG811)*($DO$4:DO810&lt;&gt;"")),$DO$4:DO810),"")))</f>
        <v/>
      </c>
      <c r="EI811">
        <f>IF($DM811=0,"",IF($DO811&lt;&gt;"",$DO811,$EH811))</f>
        <v/>
      </c>
      <c r="EJ811">
        <f>IF($DM811=0,"",IF($EI811="",0,IF(OR(ISNUMBER($EI811),AND(AND(SUBSTITUTE(SUBSTITUTE(SUBSTITUTE(SUBSTITUTE(SUBSTITUTE(SUBSTITUTE(SUBSTITUTE(SUBSTITUTE(SUBSTITUTE(SUBSTITUTE(SUBSTITUTE(SUBSTITUTE(SUBSTITUTE(SUBSTITUTE(UPPER($EI811),"0",""),"1",""),"2",""),"3",""),"4",""),"5",""),"6",""),"7",""),"8",""),"9",""),".",""),"+",""),"-",""),"E","")="",LEN(SUBSTITUTE(SUBSTITUTE(MID(UPPER($EI811),1+OR(LEFT(UPPER($EI811),1)="+",LEFT(UPPER($EI811),1)="-"),999),"E+","E"),"E-","E"))=LEN(SUBSTITUTE(SUBSTITUTE(SUBSTITUTE(SUBSTITUTE(MID(UPPER($EI811),1+OR(LEFT(UPPER($EI811),1)="+",LEFT(UPPER($EI811),1)="-"),999),"E+","E"),"E-","E"),"+",""),"-","")),LEN(UPPER($EI811))-LEN(SUBSTITUTE(UPPER($EI811),"E",""))&lt;2,LEN(UPPER($EI811))-LEN(SUBSTITUTE(UPPER($EI811),".",""))&lt;2,IFERROR(FIND(".",UPPER($EI811)),0)&lt;IFERROR(FIND("E",UPPER($EI811)),999)),ISNUMBER(VALUE($EI811)))),1,2)))</f>
        <v/>
      </c>
      <c r="EK811">
        <f>IF($DM811=0,"",IF($EJ811=1,IF(ISNUMBER($EI811),$EI811,VALUE($EI811)),IF($EJ811=2,$DE811,0)))</f>
        <v/>
      </c>
      <c r="EL811">
        <f>IF($DM811=0,"",COUNTIF($EG$5:$EG$1003,"&lt;"&amp;$EG811)+SUMPRODUCT(($EG$5:$EG$1003=$EG811)*(($EJ$5:$EJ$1003&lt;$EJ811)+($EJ$5:$EJ$1003=$EJ811)*(($EK$5:$EK$1003&lt;$EK811)+($EK$5:$EK$1003=$EK811)*($DE$5:$DE$1003&lt;$DE811))))+1)</f>
        <v/>
      </c>
      <c r="EM811">
        <f>IF($DM811=0,"",$EL811+$EG811-1)</f>
        <v/>
      </c>
      <c r="EN811">
        <f>IF($DM811=0,0,IFERROR(MATCH(1,INDEX(--(TRIM(SUBSTITUTE(SUBSTITUTE(SUBSTITUTE(SUBSTITUTE(LINES_NAME&amp;""," "," "),CHAR(9)," "),CHAR(10)," "),CHAR(13)," "))=$DH811),0),0),0))</f>
        <v/>
      </c>
      <c r="EO811">
        <f>IF($EN811=0,0,IF(OR(UPPER(TRIM(INDEX(LINES_SCHEDULED,$EN811)&amp;""))="YES",UPPER(TRIM(INDEX(LINES_SCHEDULED,$EN811)&amp;""))="Y",UPPER(TRIM(INDEX(LINES_SCHEDULED,$EN811)&amp;""))="X"),1,0))</f>
        <v/>
      </c>
      <c r="EP811">
        <f>IF($DM811=0,"",IF(COUNTIFS($EG$5:$EG$1003,$EG811,$EB$5:$EB$1003,"Ready")&gt;0,"READY",IF(COUNTIFS($EG$5:$EG$1003,$EG811,$EB$5:$EB$1003,"PM")&gt;0,"PM",IF(COUNTIFS($EG$5:$EG$1003,$EG811,$EB$5:$EB$1003,"OT")&gt;0,"OT",""))))</f>
        <v/>
      </c>
      <c r="EQ811">
        <f>IF($EN811=0,"",UPPER(TRIM(INDEX(LINES_STATUS,$EN811)&amp;"")))</f>
        <v/>
      </c>
      <c r="ER811">
        <f>IF($DM811=0,"",IF(OR($EQ811="READY",$EQ811="PM",$EQ811="OT"),$EQ811,$EP811))</f>
        <v/>
      </c>
      <c r="ES811">
        <f>IF($DM811=0,"",IF(AND($DV811&lt;&gt;"",UPPER($DV811)&lt;&gt;"N"),"allergen",IF(ISNUMBER(SEARCH("oil",$DQ811)),"oil",IF(OR(EXACT($DS811,"A662"),EXACT($DS811,"A624")),"bulk",""))))</f>
        <v/>
      </c>
      <c r="ET811">
        <f>IF($DM811=0,"",IF(OR($EA811="",$EA811=0),"",$EA811/100))</f>
        <v/>
      </c>
      <c r="EU811">
        <f>IF(OR($ET811="",$DY811=""),"",INT($DY811*(1-$ET811)+0.5))</f>
        <v/>
      </c>
    </row>
    <row r="812">
      <c r="DA812" t="n">
        <v>808</v>
      </c>
      <c r="DB812">
        <f>IF($B$37=0,"",IFERROR(TRIM(SUBSTITUTE(SUBSTITUTE(SUBSTITUTE(SUBSTITUTE(INDEX(PASTE_ALL,808,$B$37)," "," "),CHAR(9)," "),CHAR(10)," "),CHAR(13)," ")),""))</f>
        <v/>
      </c>
      <c r="DC812">
        <f>IF(AND(808&gt;HEADER_ROW,UPPER(DB812)="LEGEND"),1,0)</f>
        <v/>
      </c>
      <c r="DE812" t="n">
        <v>808</v>
      </c>
      <c r="DF812">
        <f>HEADER_ROW+$DE812</f>
        <v/>
      </c>
      <c r="DG812">
        <f>IF(AND($DF812&lt;=1000,$DF812&lt;$B$8),1,0)</f>
        <v/>
      </c>
      <c r="DH812">
        <f>IF($DG812=1,IFERROR(INDEX($DB$5:$DB$1004,$DF812),""),"")</f>
        <v/>
      </c>
      <c r="DI812">
        <f>IF(AND($DG812=1,$DH812&lt;&gt;""),IFERROR(SUBSTITUTE(SUBSTITUTE(TRIM(SUBSTITUTE(SUBSTITUTE(SUBSTITUTE(SUBSTITUTE(IFERROR(INDEX(PASTE_ALL,$DF812,1)&amp;"","")&amp;"␟"&amp;IFERROR(INDEX(PASTE_ALL,$DF812,2)&amp;"","")&amp;"␟"&amp;IFERROR(INDEX(PASTE_ALL,$DF812,3)&amp;"","")&amp;"␟"&amp;IFERROR(INDEX(PASTE_ALL,$DF812,4)&amp;"","")&amp;"␟"&amp;IFERROR(INDEX(PASTE_ALL,$DF812,5)&amp;"","")&amp;"␟"&amp;IFERROR(INDEX(PASTE_ALL,$DF812,6)&amp;"","")&amp;"␟"&amp;IFERROR(INDEX(PASTE_ALL,$DF812,7)&amp;"","")&amp;"␟"&amp;IFERROR(INDEX(PASTE_ALL,$DF812,8)&amp;"","")&amp;"␟"&amp;IFERROR(INDEX(PASTE_ALL,$DF812,9)&amp;"","")&amp;"␟"&amp;IFERROR(INDEX(PASTE_ALL,$DF812,10)&amp;"","")&amp;"␟"&amp;IFERROR(INDEX(PASTE_ALL,$DF812,11)&amp;"","")&amp;"␟"&amp;IFERROR(INDEX(PASTE_ALL,$DF812,12)&amp;"","")&amp;"␟"&amp;IFERROR(INDEX(PASTE_ALL,$DF812,13)&amp;"","")&amp;"␟"&amp;IFERROR(INDEX(PASTE_ALL,$DF812,14)&amp;"","")&amp;"␟"&amp;IFERROR(INDEX(PASTE_ALL,$DF812,15)&amp;"","")&amp;"␟"&amp;IFERROR(INDEX(PASTE_ALL,$DF812,16)&amp;"","")&amp;"␟"&amp;IFERROR(INDEX(PASTE_ALL,$DF812,17)&amp;"","")&amp;"␟"&amp;IFERROR(INDEX(PASTE_ALL,$DF812,18)&amp;"","")&amp;"␟"&amp;IFERROR(INDEX(PASTE_ALL,$DF812,19)&amp;"","")&amp;"␟"&amp;IFERROR(INDEX(PASTE_ALL,$DF812,20)&amp;"","")&amp;"␟"&amp;IFERROR(INDEX(PASTE_ALL,$DF812,21)&amp;"","")&amp;"␟"&amp;IFERROR(INDEX(PASTE_ALL,$DF812,22)&amp;"","")&amp;"␟"&amp;IFERROR(INDEX(PASTE_ALL,$DF812,23)&amp;"","")&amp;"␟"&amp;IFERROR(INDEX(PASTE_ALL,$DF812,24)&amp;"","")&amp;"␟"&amp;IFERROR(INDEX(PASTE_ALL,$DF812,25)&amp;"","")&amp;"␟"&amp;IFERROR(INDEX(PASTE_ALL,$DF812,26)&amp;"","")&amp;"␟"&amp;IFERROR(INDEX(PASTE_ALL,$DF812,27)&amp;"","")&amp;"␟"&amp;IFERROR(INDEX(PASTE_ALL,$DF812,28)&amp;"","")&amp;"␟"&amp;IFERROR(INDEX(PASTE_ALL,$DF812,29)&amp;"","")&amp;"␟"&amp;IFERROR(INDEX(PASTE_ALL,$DF812,30)&amp;"","")&amp;"␟"&amp;IFERROR(INDEX(PASTE_ALL,$DF812,31)&amp;"","")&amp;"␟"&amp;IFERROR(INDEX(PASTE_ALL,$DF812,32)&amp;"","")&amp;"␟"&amp;IFERROR(INDEX(PASTE_ALL,$DF812,33)&amp;"","")&amp;"␟"&amp;IFERROR(INDEX(PASTE_ALL,$DF812,34)&amp;"","")&amp;"␟"&amp;IFERROR(INDEX(PASTE_ALL,$DF812,35)&amp;"","")&amp;"␟"&amp;IFERROR(INDEX(PASTE_ALL,$DF812,36)&amp;"","")&amp;"␟"&amp;IFERROR(INDEX(PASTE_ALL,$DF812,37)&amp;"","")&amp;"␟"&amp;IFERROR(INDEX(PASTE_ALL,$DF812,38)&amp;"","")&amp;"␟"&amp;IFERROR(INDEX(PASTE_ALL,$DF812,39)&amp;"","")&amp;"␟"&amp;IFERROR(INDEX(PASTE_ALL,$DF812,40)&amp;"","")&amp;"␟"&amp;IFERROR(INDEX(PASTE_ALL,$DF812,41)&amp;"","")&amp;"␟"&amp;IFERROR(INDEX(PASTE_ALL,$DF812,42)&amp;"","")&amp;"␟"&amp;IFERROR(INDEX(PASTE_ALL,$DF812,43)&amp;"","")&amp;"␟"&amp;IFERROR(INDEX(PASTE_ALL,$DF812,44)&amp;"","")&amp;"␟"&amp;IFERROR(INDEX(PASTE_ALL,$DF812,45)&amp;"","")&amp;"␟"&amp;IFERROR(INDEX(PASTE_ALL,$DF812,46)&amp;"","")&amp;"␟"&amp;IFERROR(INDEX(PASTE_ALL,$DF812,47)&amp;"","")&amp;"␟"&amp;IFERROR(INDEX(PASTE_ALL,$DF812,48)&amp;"","")&amp;"␟"&amp;IFERROR(INDEX(PASTE_ALL,$DF812,49)&amp;"","")&amp;"␟"&amp;IFERROR(INDEX(PASTE_ALL,$DF812,50)&amp;"","")&amp;"␟"&amp;IFERROR(INDEX(PASTE_ALL,$DF812,51)&amp;"","")&amp;"␟"&amp;IFERROR(INDEX(PASTE_ALL,$DF812,52)&amp;"","")&amp;"␟"&amp;IFERROR(INDEX(PASTE_ALL,$DF812,53)&amp;"","")&amp;"␟"&amp;IFERROR(INDEX(PASTE_ALL,$DF812,54)&amp;"","")&amp;"␟"&amp;IFERROR(INDEX(PASTE_ALL,$DF812,55)&amp;"","")&amp;"␟"&amp;IFERROR(INDEX(PASTE_ALL,$DF812,56)&amp;"","")&amp;"␟"&amp;IFERROR(INDEX(PASTE_ALL,$DF812,57)&amp;"","")&amp;"␟"&amp;IFERROR(INDEX(PASTE_ALL,$DF812,58)&amp;"","")&amp;"␟"&amp;IFERROR(INDEX(PASTE_ALL,$DF812,59)&amp;"","")&amp;"␟"&amp;IFERROR(INDEX(PASTE_ALL,$DF812,60)&amp;"","")," "," "),CHAR(9)," "),CHAR(10)," "),CHAR(13)," "))," ␟","␟"),"␟ ","␟"),"#"&amp;$DE812),"")</f>
        <v/>
      </c>
      <c r="DJ812">
        <f>IF($DI812="",0,IF(SUMPRODUCT(--EXACT($DI$4:DI811,$DI812))&gt;0,1,0))</f>
        <v/>
      </c>
      <c r="DK812">
        <f>IF(AND($DI812&lt;&gt;"",$DJ812=0),1,0)</f>
        <v/>
      </c>
      <c r="DL812">
        <f>DL811+$DK812</f>
        <v/>
      </c>
      <c r="DM812">
        <f>IF(AND($DK812=1,$DL812&lt;=600),1,0)</f>
        <v/>
      </c>
      <c r="DN812">
        <f>IF($DM812=0,"",IF($L$6=0,"",IFERROR(IF(ISNUMBER(INDEX(PASTE_ALL,$DF812,$L$6)),INDEX(PASTE_ALL,$DF812,$L$6),TRIM(SUBSTITUTE(SUBSTITUTE(SUBSTITUTE(SUBSTITUTE(INDEX(PASTE_ALL,$DF812,$L$6)," "," "),CHAR(9)," "),CHAR(10)," "),CHAR(13)," "))),"")))</f>
        <v/>
      </c>
      <c r="DO812">
        <f>IF($DM812=0,"",IF($L$7=0,"",IFERROR(IF(ISNUMBER(INDEX(PASTE_ALL,$DF812,$L$7)),INDEX(PASTE_ALL,$DF812,$L$7),TRIM(SUBSTITUTE(SUBSTITUTE(SUBSTITUTE(SUBSTITUTE(INDEX(PASTE_ALL,$DF812,$L$7)," "," "),CHAR(9)," "),CHAR(10)," "),CHAR(13)," "))),"")))</f>
        <v/>
      </c>
      <c r="DP812">
        <f>IF($DM812=0,"",IF($L$8=0,"",IFERROR(IF(ISNUMBER(INDEX(PASTE_ALL,$DF812,$L$8)),INDEX(PASTE_ALL,$DF812,$L$8),TRIM(SUBSTITUTE(SUBSTITUTE(SUBSTITUTE(SUBSTITUTE(INDEX(PASTE_ALL,$DF812,$L$8)," "," "),CHAR(9)," "),CHAR(10)," "),CHAR(13)," "))),"")))</f>
        <v/>
      </c>
      <c r="DQ812">
        <f>IF($DM812=0,"",IF($L$9=0,"",IFERROR(IF(ISNUMBER(INDEX(PASTE_ALL,$DF812,$L$9)),INDEX(PASTE_ALL,$DF812,$L$9),TRIM(SUBSTITUTE(SUBSTITUTE(SUBSTITUTE(SUBSTITUTE(INDEX(PASTE_ALL,$DF812,$L$9)," "," "),CHAR(9)," "),CHAR(10)," "),CHAR(13)," "))),"")))</f>
        <v/>
      </c>
      <c r="DR812">
        <f>IF($DM812=0,"",IF($L$10=0,"",IFERROR(IF(ISNUMBER(INDEX(PASTE_ALL,$DF812,$L$10)),INDEX(PASTE_ALL,$DF812,$L$10),TRIM(SUBSTITUTE(SUBSTITUTE(SUBSTITUTE(SUBSTITUTE(INDEX(PASTE_ALL,$DF812,$L$10)," "," "),CHAR(9)," "),CHAR(10)," "),CHAR(13)," "))),"")))</f>
        <v/>
      </c>
      <c r="DS812">
        <f>IF($DM812=0,"",IF($L$11=0,"",IFERROR(IF(ISNUMBER(INDEX(PASTE_ALL,$DF812,$L$11)),INDEX(PASTE_ALL,$DF812,$L$11),TRIM(SUBSTITUTE(SUBSTITUTE(SUBSTITUTE(SUBSTITUTE(INDEX(PASTE_ALL,$DF812,$L$11)," "," "),CHAR(9)," "),CHAR(10)," "),CHAR(13)," "))),"")))</f>
        <v/>
      </c>
      <c r="DT812">
        <f>IF($DM812=0,"",IF($L$12=0,"",IFERROR(IF(ISNUMBER(INDEX(PASTE_ALL,$DF812,$L$12)),INDEX(PASTE_ALL,$DF812,$L$12),TRIM(SUBSTITUTE(SUBSTITUTE(SUBSTITUTE(SUBSTITUTE(INDEX(PASTE_ALL,$DF812,$L$12)," "," "),CHAR(9)," "),CHAR(10)," "),CHAR(13)," "))),"")))</f>
        <v/>
      </c>
      <c r="DU812">
        <f>IF($DM812=0,"",IF($L$13=0,"",IFERROR(IF(ISNUMBER(INDEX(PASTE_ALL,$DF812,$L$13)),INDEX(PASTE_ALL,$DF812,$L$13),TRIM(SUBSTITUTE(SUBSTITUTE(SUBSTITUTE(SUBSTITUTE(INDEX(PASTE_ALL,$DF812,$L$13)," "," "),CHAR(9)," "),CHAR(10)," "),CHAR(13)," "))),"")))</f>
        <v/>
      </c>
      <c r="DV812">
        <f>IF($DM812=0,"",IF($L$14=0,"",IFERROR(IF(ISNUMBER(INDEX(PASTE_ALL,$DF812,$L$14)),INDEX(PASTE_ALL,$DF812,$L$14),TRIM(SUBSTITUTE(SUBSTITUTE(SUBSTITUTE(SUBSTITUTE(INDEX(PASTE_ALL,$DF812,$L$14)," "," "),CHAR(9)," "),CHAR(10)," "),CHAR(13)," "))),"")))</f>
        <v/>
      </c>
      <c r="DW812">
        <f>IF($DM812=0,"",IF($L$15=0,"",IFERROR(IF(ISNUMBER(INDEX(PASTE_ALL,$DF812,$L$15)),INDEX(PASTE_ALL,$DF812,$L$15),IF(SUMPRODUCT(--ISNUMBER(FIND({"A","B","C","D","E","F","G","H","I","J","K","L","M","N","O","P","Q","R","S","T","U","V","W","X","Y","Z","0","1","2","3","4","5","6","7","8","9"},UPPER(TRIM(SUBSTITUTE(SUBSTITUTE(SUBSTITUTE(SUBSTITUTE(INDEX(PASTE_ALL,$DF812,$L$15)," "," "),CHAR(9)," "),CHAR(10)," "),CHAR(13)," "))))))&gt;0,TRIM(SUBSTITUTE(SUBSTITUTE(SUBSTITUTE(SUBSTITUTE(INDEX(PASTE_ALL,$DF812,$L$15)," "," "),CHAR(9)," "),CHAR(10)," "),CHAR(13)," ")),"")),"")))</f>
        <v/>
      </c>
      <c r="DX812">
        <f>IF($DM812=0,"",IF($L$16=0,"",IFERROR(IF(ISNUMBER(INDEX(PASTE_ALL,$DF812,$L$16)),INDEX(PASTE_ALL,$DF812,$L$16),SUBSTITUTE(SUBSTITUTE(TRIM(SUBSTITUTE(SUBSTITUTE(SUBSTITUTE(SUBSTITUTE(INDEX(PASTE_ALL,$DF812,$L$16)," "," "),CHAR(9)," "),CHAR(10)," "),CHAR(13)," ")),",",""),"%","")),"")))</f>
        <v/>
      </c>
      <c r="DY812">
        <f>IF($DM812=0,"",IFERROR(IF(ISNUMBER($DX812),$DX812,IF($DX812="","",IF(TRIM($DX812)="",0,IF(AND(AND(SUBSTITUTE(SUBSTITUTE(SUBSTITUTE(SUBSTITUTE(SUBSTITUTE(SUBSTITUTE(SUBSTITUTE(SUBSTITUTE(SUBSTITUTE(SUBSTITUTE(SUBSTITUTE(SUBSTITUTE(SUBSTITUTE(SUBSTITUTE(UPPER(TRIM($DX812)),"0",""),"1",""),"2",""),"3",""),"4",""),"5",""),"6",""),"7",""),"8",""),"9",""),".",""),"+",""),"-",""),"E","")="",LEN(SUBSTITUTE(SUBSTITUTE(MID(UPPER(TRIM($DX812)),1+OR(LEFT(UPPER(TRIM($DX812)),1)="+",LEFT(UPPER(TRIM($DX812)),1)="-"),999),"E+","E"),"E-","E"))=LEN(SUBSTITUTE(SUBSTITUTE(SUBSTITUTE(SUBSTITUTE(MID(UPPER(TRIM($DX812)),1+OR(LEFT(UPPER(TRIM($DX812)),1)="+",LEFT(UPPER(TRIM($DX812)),1)="-"),999),"E+","E"),"E-","E"),"+",""),"-","")),LEN(UPPER(TRIM($DX812)))-LEN(SUBSTITUTE(UPPER(TRIM($DX812)),"E",""))&lt;2,LEN(UPPER(TRIM($DX812)))-LEN(SUBSTITUTE(UPPER(TRIM($DX812)),".",""))&lt;2,IFERROR(FIND(".",UPPER(TRIM($DX812))),0)&lt;IFERROR(FIND("E",UPPER(TRIM($DX812))),999)),ISNUMBER(VALUE(TRIM($DX812)))),VALUE(TRIM($DX812)),"")))),""))</f>
        <v/>
      </c>
      <c r="DZ812">
        <f>IF($DM812=0,"",IF($L$17=0,"",IFERROR(IF(ISNUMBER(INDEX(PASTE_ALL,$DF812,$L$17)),INDEX(PASTE_ALL,$DF812,$L$17),SUBSTITUTE(SUBSTITUTE(TRIM(SUBSTITUTE(SUBSTITUTE(SUBSTITUTE(SUBSTITUTE(INDEX(PASTE_ALL,$DF812,$L$17)," "," "),CHAR(9)," "),CHAR(10)," "),CHAR(13)," ")),",",""),"%","")),"")))</f>
        <v/>
      </c>
      <c r="EA812">
        <f>IF($DM812=0,"",IFERROR(IF(ISNUMBER($DZ812),$DZ812,IF($DZ812="","",IF(TRIM($DZ812)="",0,IF(AND(AND(SUBSTITUTE(SUBSTITUTE(SUBSTITUTE(SUBSTITUTE(SUBSTITUTE(SUBSTITUTE(SUBSTITUTE(SUBSTITUTE(SUBSTITUTE(SUBSTITUTE(SUBSTITUTE(SUBSTITUTE(SUBSTITUTE(SUBSTITUTE(UPPER(TRIM($DZ812)),"0",""),"1",""),"2",""),"3",""),"4",""),"5",""),"6",""),"7",""),"8",""),"9",""),".",""),"+",""),"-",""),"E","")="",LEN(SUBSTITUTE(SUBSTITUTE(MID(UPPER(TRIM($DZ812)),1+OR(LEFT(UPPER(TRIM($DZ812)),1)="+",LEFT(UPPER(TRIM($DZ812)),1)="-"),999),"E+","E"),"E-","E"))=LEN(SUBSTITUTE(SUBSTITUTE(SUBSTITUTE(SUBSTITUTE(MID(UPPER(TRIM($DZ812)),1+OR(LEFT(UPPER(TRIM($DZ812)),1)="+",LEFT(UPPER(TRIM($DZ812)),1)="-"),999),"E+","E"),"E-","E"),"+",""),"-","")),LEN(UPPER(TRIM($DZ812)))-LEN(SUBSTITUTE(UPPER(TRIM($DZ812)),"E",""))&lt;2,LEN(UPPER(TRIM($DZ812)))-LEN(SUBSTITUTE(UPPER(TRIM($DZ812)),".",""))&lt;2,IFERROR(FIND(".",UPPER(TRIM($DZ812))),0)&lt;IFERROR(FIND("E",UPPER(TRIM($DZ812))),999)),ISNUMBER(VALUE(TRIM($DZ812)))),VALUE(TRIM($DZ812)),"")))),""))</f>
        <v/>
      </c>
      <c r="EB812">
        <f>IF($DM812=0,"",IF($L$18=0,"",IFERROR(IF(UPPER(TRIM(SUBSTITUTE(SUBSTITUTE(SUBSTITUTE(SUBSTITUTE(INDEX(PASTE_ALL,$DF812,$L$18)," "," "),CHAR(9)," "),CHAR(10)," "),CHAR(13)," ")))="READY","Ready",IF(UPPER(TRIM(SUBSTITUTE(SUBSTITUTE(SUBSTITUTE(SUBSTITUTE(INDEX(PASTE_ALL,$DF812,$L$18)," "," "),CHAR(9)," "),CHAR(10)," "),CHAR(13)," ")))="PM","PM",IF(OR(UPPER(TRIM(SUBSTITUTE(SUBSTITUTE(SUBSTITUTE(SUBSTITUTE(INDEX(PASTE_ALL,$DF812,$L$18)," "," "),CHAR(9)," "),CHAR(10)," "),CHAR(13)," ")))="OT",UPPER(TRIM(SUBSTITUTE(SUBSTITUTE(SUBSTITUTE(SUBSTITUTE(INDEX(PASTE_ALL,$DF812,$L$18)," "," "),CHAR(9)," "),CHAR(10)," "),CHAR(13)," ")))="OVERTIME",UPPER(TRIM(SUBSTITUTE(SUBSTITUTE(SUBSTITUTE(SUBSTITUTE(INDEX(PASTE_ALL,$DF812,$L$18)," "," "),CHAR(9)," "),CHAR(10)," "),CHAR(13)," ")))="TRIAL"),"OT",TRIM(SUBSTITUTE(SUBSTITUTE(SUBSTITUTE(SUBSTITUTE(INDEX(PASTE_ALL,$DF812,$L$18)," "," "),CHAR(9)," "),CHAR(10)," "),CHAR(13)," "))))),"")))</f>
        <v/>
      </c>
      <c r="EC812">
        <f>IF($DM812=0,"",IF($L$19=0,"",IFERROR(IF(ISNUMBER(INDEX(PASTE_ALL,$DF812,$L$19)),INDEX(PASTE_ALL,$DF812,$L$19),TRIM(SUBSTITUTE(SUBSTITUTE(SUBSTITUTE(SUBSTITUTE(INDEX(PASTE_ALL,$DF812,$L$19)," "," "),CHAR(9)," "),CHAR(10)," "),CHAR(13)," "))),"")))</f>
        <v/>
      </c>
      <c r="ED812">
        <f>IF($DM812=0,"",MATCH(1,INDEX(EXACT($DH$5:DH812,$DH812)*$DM$5:DM812,0),0))</f>
        <v/>
      </c>
      <c r="EE812">
        <f>IF($DM812=0,0,IF($ED812=$DE812,1,0))</f>
        <v/>
      </c>
      <c r="EF812">
        <f>EF811+$EE812</f>
        <v/>
      </c>
      <c r="EG812">
        <f>IF($DM812=0,"",INDEX($EF$5:$EF$1003,$ED812))</f>
        <v/>
      </c>
      <c r="EH812">
        <f>IF($DM812=0,"",IF($DO812&lt;&gt;"","",IFERROR(LOOKUP(2,1/(($EG$4:EG811=$EG812)*($DO$4:DO811&lt;&gt;"")),$DO$4:DO811),"")))</f>
        <v/>
      </c>
      <c r="EI812">
        <f>IF($DM812=0,"",IF($DO812&lt;&gt;"",$DO812,$EH812))</f>
        <v/>
      </c>
      <c r="EJ812">
        <f>IF($DM812=0,"",IF($EI812="",0,IF(OR(ISNUMBER($EI812),AND(AND(SUBSTITUTE(SUBSTITUTE(SUBSTITUTE(SUBSTITUTE(SUBSTITUTE(SUBSTITUTE(SUBSTITUTE(SUBSTITUTE(SUBSTITUTE(SUBSTITUTE(SUBSTITUTE(SUBSTITUTE(SUBSTITUTE(SUBSTITUTE(UPPER($EI812),"0",""),"1",""),"2",""),"3",""),"4",""),"5",""),"6",""),"7",""),"8",""),"9",""),".",""),"+",""),"-",""),"E","")="",LEN(SUBSTITUTE(SUBSTITUTE(MID(UPPER($EI812),1+OR(LEFT(UPPER($EI812),1)="+",LEFT(UPPER($EI812),1)="-"),999),"E+","E"),"E-","E"))=LEN(SUBSTITUTE(SUBSTITUTE(SUBSTITUTE(SUBSTITUTE(MID(UPPER($EI812),1+OR(LEFT(UPPER($EI812),1)="+",LEFT(UPPER($EI812),1)="-"),999),"E+","E"),"E-","E"),"+",""),"-","")),LEN(UPPER($EI812))-LEN(SUBSTITUTE(UPPER($EI812),"E",""))&lt;2,LEN(UPPER($EI812))-LEN(SUBSTITUTE(UPPER($EI812),".",""))&lt;2,IFERROR(FIND(".",UPPER($EI812)),0)&lt;IFERROR(FIND("E",UPPER($EI812)),999)),ISNUMBER(VALUE($EI812)))),1,2)))</f>
        <v/>
      </c>
      <c r="EK812">
        <f>IF($DM812=0,"",IF($EJ812=1,IF(ISNUMBER($EI812),$EI812,VALUE($EI812)),IF($EJ812=2,$DE812,0)))</f>
        <v/>
      </c>
      <c r="EL812">
        <f>IF($DM812=0,"",COUNTIF($EG$5:$EG$1003,"&lt;"&amp;$EG812)+SUMPRODUCT(($EG$5:$EG$1003=$EG812)*(($EJ$5:$EJ$1003&lt;$EJ812)+($EJ$5:$EJ$1003=$EJ812)*(($EK$5:$EK$1003&lt;$EK812)+($EK$5:$EK$1003=$EK812)*($DE$5:$DE$1003&lt;$DE812))))+1)</f>
        <v/>
      </c>
      <c r="EM812">
        <f>IF($DM812=0,"",$EL812+$EG812-1)</f>
        <v/>
      </c>
      <c r="EN812">
        <f>IF($DM812=0,0,IFERROR(MATCH(1,INDEX(--(TRIM(SUBSTITUTE(SUBSTITUTE(SUBSTITUTE(SUBSTITUTE(LINES_NAME&amp;""," "," "),CHAR(9)," "),CHAR(10)," "),CHAR(13)," "))=$DH812),0),0),0))</f>
        <v/>
      </c>
      <c r="EO812">
        <f>IF($EN812=0,0,IF(OR(UPPER(TRIM(INDEX(LINES_SCHEDULED,$EN812)&amp;""))="YES",UPPER(TRIM(INDEX(LINES_SCHEDULED,$EN812)&amp;""))="Y",UPPER(TRIM(INDEX(LINES_SCHEDULED,$EN812)&amp;""))="X"),1,0))</f>
        <v/>
      </c>
      <c r="EP812">
        <f>IF($DM812=0,"",IF(COUNTIFS($EG$5:$EG$1003,$EG812,$EB$5:$EB$1003,"Ready")&gt;0,"READY",IF(COUNTIFS($EG$5:$EG$1003,$EG812,$EB$5:$EB$1003,"PM")&gt;0,"PM",IF(COUNTIFS($EG$5:$EG$1003,$EG812,$EB$5:$EB$1003,"OT")&gt;0,"OT",""))))</f>
        <v/>
      </c>
      <c r="EQ812">
        <f>IF($EN812=0,"",UPPER(TRIM(INDEX(LINES_STATUS,$EN812)&amp;"")))</f>
        <v/>
      </c>
      <c r="ER812">
        <f>IF($DM812=0,"",IF(OR($EQ812="READY",$EQ812="PM",$EQ812="OT"),$EQ812,$EP812))</f>
        <v/>
      </c>
      <c r="ES812">
        <f>IF($DM812=0,"",IF(AND($DV812&lt;&gt;"",UPPER($DV812)&lt;&gt;"N"),"allergen",IF(ISNUMBER(SEARCH("oil",$DQ812)),"oil",IF(OR(EXACT($DS812,"A662"),EXACT($DS812,"A624")),"bulk",""))))</f>
        <v/>
      </c>
      <c r="ET812">
        <f>IF($DM812=0,"",IF(OR($EA812="",$EA812=0),"",$EA812/100))</f>
        <v/>
      </c>
      <c r="EU812">
        <f>IF(OR($ET812="",$DY812=""),"",INT($DY812*(1-$ET812)+0.5))</f>
        <v/>
      </c>
    </row>
    <row r="813">
      <c r="DA813" t="n">
        <v>809</v>
      </c>
      <c r="DB813">
        <f>IF($B$37=0,"",IFERROR(TRIM(SUBSTITUTE(SUBSTITUTE(SUBSTITUTE(SUBSTITUTE(INDEX(PASTE_ALL,809,$B$37)," "," "),CHAR(9)," "),CHAR(10)," "),CHAR(13)," ")),""))</f>
        <v/>
      </c>
      <c r="DC813">
        <f>IF(AND(809&gt;HEADER_ROW,UPPER(DB813)="LEGEND"),1,0)</f>
        <v/>
      </c>
      <c r="DE813" t="n">
        <v>809</v>
      </c>
      <c r="DF813">
        <f>HEADER_ROW+$DE813</f>
        <v/>
      </c>
      <c r="DG813">
        <f>IF(AND($DF813&lt;=1000,$DF813&lt;$B$8),1,0)</f>
        <v/>
      </c>
      <c r="DH813">
        <f>IF($DG813=1,IFERROR(INDEX($DB$5:$DB$1004,$DF813),""),"")</f>
        <v/>
      </c>
      <c r="DI813">
        <f>IF(AND($DG813=1,$DH813&lt;&gt;""),IFERROR(SUBSTITUTE(SUBSTITUTE(TRIM(SUBSTITUTE(SUBSTITUTE(SUBSTITUTE(SUBSTITUTE(IFERROR(INDEX(PASTE_ALL,$DF813,1)&amp;"","")&amp;"␟"&amp;IFERROR(INDEX(PASTE_ALL,$DF813,2)&amp;"","")&amp;"␟"&amp;IFERROR(INDEX(PASTE_ALL,$DF813,3)&amp;"","")&amp;"␟"&amp;IFERROR(INDEX(PASTE_ALL,$DF813,4)&amp;"","")&amp;"␟"&amp;IFERROR(INDEX(PASTE_ALL,$DF813,5)&amp;"","")&amp;"␟"&amp;IFERROR(INDEX(PASTE_ALL,$DF813,6)&amp;"","")&amp;"␟"&amp;IFERROR(INDEX(PASTE_ALL,$DF813,7)&amp;"","")&amp;"␟"&amp;IFERROR(INDEX(PASTE_ALL,$DF813,8)&amp;"","")&amp;"␟"&amp;IFERROR(INDEX(PASTE_ALL,$DF813,9)&amp;"","")&amp;"␟"&amp;IFERROR(INDEX(PASTE_ALL,$DF813,10)&amp;"","")&amp;"␟"&amp;IFERROR(INDEX(PASTE_ALL,$DF813,11)&amp;"","")&amp;"␟"&amp;IFERROR(INDEX(PASTE_ALL,$DF813,12)&amp;"","")&amp;"␟"&amp;IFERROR(INDEX(PASTE_ALL,$DF813,13)&amp;"","")&amp;"␟"&amp;IFERROR(INDEX(PASTE_ALL,$DF813,14)&amp;"","")&amp;"␟"&amp;IFERROR(INDEX(PASTE_ALL,$DF813,15)&amp;"","")&amp;"␟"&amp;IFERROR(INDEX(PASTE_ALL,$DF813,16)&amp;"","")&amp;"␟"&amp;IFERROR(INDEX(PASTE_ALL,$DF813,17)&amp;"","")&amp;"␟"&amp;IFERROR(INDEX(PASTE_ALL,$DF813,18)&amp;"","")&amp;"␟"&amp;IFERROR(INDEX(PASTE_ALL,$DF813,19)&amp;"","")&amp;"␟"&amp;IFERROR(INDEX(PASTE_ALL,$DF813,20)&amp;"","")&amp;"␟"&amp;IFERROR(INDEX(PASTE_ALL,$DF813,21)&amp;"","")&amp;"␟"&amp;IFERROR(INDEX(PASTE_ALL,$DF813,22)&amp;"","")&amp;"␟"&amp;IFERROR(INDEX(PASTE_ALL,$DF813,23)&amp;"","")&amp;"␟"&amp;IFERROR(INDEX(PASTE_ALL,$DF813,24)&amp;"","")&amp;"␟"&amp;IFERROR(INDEX(PASTE_ALL,$DF813,25)&amp;"","")&amp;"␟"&amp;IFERROR(INDEX(PASTE_ALL,$DF813,26)&amp;"","")&amp;"␟"&amp;IFERROR(INDEX(PASTE_ALL,$DF813,27)&amp;"","")&amp;"␟"&amp;IFERROR(INDEX(PASTE_ALL,$DF813,28)&amp;"","")&amp;"␟"&amp;IFERROR(INDEX(PASTE_ALL,$DF813,29)&amp;"","")&amp;"␟"&amp;IFERROR(INDEX(PASTE_ALL,$DF813,30)&amp;"","")&amp;"␟"&amp;IFERROR(INDEX(PASTE_ALL,$DF813,31)&amp;"","")&amp;"␟"&amp;IFERROR(INDEX(PASTE_ALL,$DF813,32)&amp;"","")&amp;"␟"&amp;IFERROR(INDEX(PASTE_ALL,$DF813,33)&amp;"","")&amp;"␟"&amp;IFERROR(INDEX(PASTE_ALL,$DF813,34)&amp;"","")&amp;"␟"&amp;IFERROR(INDEX(PASTE_ALL,$DF813,35)&amp;"","")&amp;"␟"&amp;IFERROR(INDEX(PASTE_ALL,$DF813,36)&amp;"","")&amp;"␟"&amp;IFERROR(INDEX(PASTE_ALL,$DF813,37)&amp;"","")&amp;"␟"&amp;IFERROR(INDEX(PASTE_ALL,$DF813,38)&amp;"","")&amp;"␟"&amp;IFERROR(INDEX(PASTE_ALL,$DF813,39)&amp;"","")&amp;"␟"&amp;IFERROR(INDEX(PASTE_ALL,$DF813,40)&amp;"","")&amp;"␟"&amp;IFERROR(INDEX(PASTE_ALL,$DF813,41)&amp;"","")&amp;"␟"&amp;IFERROR(INDEX(PASTE_ALL,$DF813,42)&amp;"","")&amp;"␟"&amp;IFERROR(INDEX(PASTE_ALL,$DF813,43)&amp;"","")&amp;"␟"&amp;IFERROR(INDEX(PASTE_ALL,$DF813,44)&amp;"","")&amp;"␟"&amp;IFERROR(INDEX(PASTE_ALL,$DF813,45)&amp;"","")&amp;"␟"&amp;IFERROR(INDEX(PASTE_ALL,$DF813,46)&amp;"","")&amp;"␟"&amp;IFERROR(INDEX(PASTE_ALL,$DF813,47)&amp;"","")&amp;"␟"&amp;IFERROR(INDEX(PASTE_ALL,$DF813,48)&amp;"","")&amp;"␟"&amp;IFERROR(INDEX(PASTE_ALL,$DF813,49)&amp;"","")&amp;"␟"&amp;IFERROR(INDEX(PASTE_ALL,$DF813,50)&amp;"","")&amp;"␟"&amp;IFERROR(INDEX(PASTE_ALL,$DF813,51)&amp;"","")&amp;"␟"&amp;IFERROR(INDEX(PASTE_ALL,$DF813,52)&amp;"","")&amp;"␟"&amp;IFERROR(INDEX(PASTE_ALL,$DF813,53)&amp;"","")&amp;"␟"&amp;IFERROR(INDEX(PASTE_ALL,$DF813,54)&amp;"","")&amp;"␟"&amp;IFERROR(INDEX(PASTE_ALL,$DF813,55)&amp;"","")&amp;"␟"&amp;IFERROR(INDEX(PASTE_ALL,$DF813,56)&amp;"","")&amp;"␟"&amp;IFERROR(INDEX(PASTE_ALL,$DF813,57)&amp;"","")&amp;"␟"&amp;IFERROR(INDEX(PASTE_ALL,$DF813,58)&amp;"","")&amp;"␟"&amp;IFERROR(INDEX(PASTE_ALL,$DF813,59)&amp;"","")&amp;"␟"&amp;IFERROR(INDEX(PASTE_ALL,$DF813,60)&amp;"","")," "," "),CHAR(9)," "),CHAR(10)," "),CHAR(13)," "))," ␟","␟"),"␟ ","␟"),"#"&amp;$DE813),"")</f>
        <v/>
      </c>
      <c r="DJ813">
        <f>IF($DI813="",0,IF(SUMPRODUCT(--EXACT($DI$4:DI812,$DI813))&gt;0,1,0))</f>
        <v/>
      </c>
      <c r="DK813">
        <f>IF(AND($DI813&lt;&gt;"",$DJ813=0),1,0)</f>
        <v/>
      </c>
      <c r="DL813">
        <f>DL812+$DK813</f>
        <v/>
      </c>
      <c r="DM813">
        <f>IF(AND($DK813=1,$DL813&lt;=600),1,0)</f>
        <v/>
      </c>
      <c r="DN813">
        <f>IF($DM813=0,"",IF($L$6=0,"",IFERROR(IF(ISNUMBER(INDEX(PASTE_ALL,$DF813,$L$6)),INDEX(PASTE_ALL,$DF813,$L$6),TRIM(SUBSTITUTE(SUBSTITUTE(SUBSTITUTE(SUBSTITUTE(INDEX(PASTE_ALL,$DF813,$L$6)," "," "),CHAR(9)," "),CHAR(10)," "),CHAR(13)," "))),"")))</f>
        <v/>
      </c>
      <c r="DO813">
        <f>IF($DM813=0,"",IF($L$7=0,"",IFERROR(IF(ISNUMBER(INDEX(PASTE_ALL,$DF813,$L$7)),INDEX(PASTE_ALL,$DF813,$L$7),TRIM(SUBSTITUTE(SUBSTITUTE(SUBSTITUTE(SUBSTITUTE(INDEX(PASTE_ALL,$DF813,$L$7)," "," "),CHAR(9)," "),CHAR(10)," "),CHAR(13)," "))),"")))</f>
        <v/>
      </c>
      <c r="DP813">
        <f>IF($DM813=0,"",IF($L$8=0,"",IFERROR(IF(ISNUMBER(INDEX(PASTE_ALL,$DF813,$L$8)),INDEX(PASTE_ALL,$DF813,$L$8),TRIM(SUBSTITUTE(SUBSTITUTE(SUBSTITUTE(SUBSTITUTE(INDEX(PASTE_ALL,$DF813,$L$8)," "," "),CHAR(9)," "),CHAR(10)," "),CHAR(13)," "))),"")))</f>
        <v/>
      </c>
      <c r="DQ813">
        <f>IF($DM813=0,"",IF($L$9=0,"",IFERROR(IF(ISNUMBER(INDEX(PASTE_ALL,$DF813,$L$9)),INDEX(PASTE_ALL,$DF813,$L$9),TRIM(SUBSTITUTE(SUBSTITUTE(SUBSTITUTE(SUBSTITUTE(INDEX(PASTE_ALL,$DF813,$L$9)," "," "),CHAR(9)," "),CHAR(10)," "),CHAR(13)," "))),"")))</f>
        <v/>
      </c>
      <c r="DR813">
        <f>IF($DM813=0,"",IF($L$10=0,"",IFERROR(IF(ISNUMBER(INDEX(PASTE_ALL,$DF813,$L$10)),INDEX(PASTE_ALL,$DF813,$L$10),TRIM(SUBSTITUTE(SUBSTITUTE(SUBSTITUTE(SUBSTITUTE(INDEX(PASTE_ALL,$DF813,$L$10)," "," "),CHAR(9)," "),CHAR(10)," "),CHAR(13)," "))),"")))</f>
        <v/>
      </c>
      <c r="DS813">
        <f>IF($DM813=0,"",IF($L$11=0,"",IFERROR(IF(ISNUMBER(INDEX(PASTE_ALL,$DF813,$L$11)),INDEX(PASTE_ALL,$DF813,$L$11),TRIM(SUBSTITUTE(SUBSTITUTE(SUBSTITUTE(SUBSTITUTE(INDEX(PASTE_ALL,$DF813,$L$11)," "," "),CHAR(9)," "),CHAR(10)," "),CHAR(13)," "))),"")))</f>
        <v/>
      </c>
      <c r="DT813">
        <f>IF($DM813=0,"",IF($L$12=0,"",IFERROR(IF(ISNUMBER(INDEX(PASTE_ALL,$DF813,$L$12)),INDEX(PASTE_ALL,$DF813,$L$12),TRIM(SUBSTITUTE(SUBSTITUTE(SUBSTITUTE(SUBSTITUTE(INDEX(PASTE_ALL,$DF813,$L$12)," "," "),CHAR(9)," "),CHAR(10)," "),CHAR(13)," "))),"")))</f>
        <v/>
      </c>
      <c r="DU813">
        <f>IF($DM813=0,"",IF($L$13=0,"",IFERROR(IF(ISNUMBER(INDEX(PASTE_ALL,$DF813,$L$13)),INDEX(PASTE_ALL,$DF813,$L$13),TRIM(SUBSTITUTE(SUBSTITUTE(SUBSTITUTE(SUBSTITUTE(INDEX(PASTE_ALL,$DF813,$L$13)," "," "),CHAR(9)," "),CHAR(10)," "),CHAR(13)," "))),"")))</f>
        <v/>
      </c>
      <c r="DV813">
        <f>IF($DM813=0,"",IF($L$14=0,"",IFERROR(IF(ISNUMBER(INDEX(PASTE_ALL,$DF813,$L$14)),INDEX(PASTE_ALL,$DF813,$L$14),TRIM(SUBSTITUTE(SUBSTITUTE(SUBSTITUTE(SUBSTITUTE(INDEX(PASTE_ALL,$DF813,$L$14)," "," "),CHAR(9)," "),CHAR(10)," "),CHAR(13)," "))),"")))</f>
        <v/>
      </c>
      <c r="DW813">
        <f>IF($DM813=0,"",IF($L$15=0,"",IFERROR(IF(ISNUMBER(INDEX(PASTE_ALL,$DF813,$L$15)),INDEX(PASTE_ALL,$DF813,$L$15),IF(SUMPRODUCT(--ISNUMBER(FIND({"A","B","C","D","E","F","G","H","I","J","K","L","M","N","O","P","Q","R","S","T","U","V","W","X","Y","Z","0","1","2","3","4","5","6","7","8","9"},UPPER(TRIM(SUBSTITUTE(SUBSTITUTE(SUBSTITUTE(SUBSTITUTE(INDEX(PASTE_ALL,$DF813,$L$15)," "," "),CHAR(9)," "),CHAR(10)," "),CHAR(13)," "))))))&gt;0,TRIM(SUBSTITUTE(SUBSTITUTE(SUBSTITUTE(SUBSTITUTE(INDEX(PASTE_ALL,$DF813,$L$15)," "," "),CHAR(9)," "),CHAR(10)," "),CHAR(13)," ")),"")),"")))</f>
        <v/>
      </c>
      <c r="DX813">
        <f>IF($DM813=0,"",IF($L$16=0,"",IFERROR(IF(ISNUMBER(INDEX(PASTE_ALL,$DF813,$L$16)),INDEX(PASTE_ALL,$DF813,$L$16),SUBSTITUTE(SUBSTITUTE(TRIM(SUBSTITUTE(SUBSTITUTE(SUBSTITUTE(SUBSTITUTE(INDEX(PASTE_ALL,$DF813,$L$16)," "," "),CHAR(9)," "),CHAR(10)," "),CHAR(13)," ")),",",""),"%","")),"")))</f>
        <v/>
      </c>
      <c r="DY813">
        <f>IF($DM813=0,"",IFERROR(IF(ISNUMBER($DX813),$DX813,IF($DX813="","",IF(TRIM($DX813)="",0,IF(AND(AND(SUBSTITUTE(SUBSTITUTE(SUBSTITUTE(SUBSTITUTE(SUBSTITUTE(SUBSTITUTE(SUBSTITUTE(SUBSTITUTE(SUBSTITUTE(SUBSTITUTE(SUBSTITUTE(SUBSTITUTE(SUBSTITUTE(SUBSTITUTE(UPPER(TRIM($DX813)),"0",""),"1",""),"2",""),"3",""),"4",""),"5",""),"6",""),"7",""),"8",""),"9",""),".",""),"+",""),"-",""),"E","")="",LEN(SUBSTITUTE(SUBSTITUTE(MID(UPPER(TRIM($DX813)),1+OR(LEFT(UPPER(TRIM($DX813)),1)="+",LEFT(UPPER(TRIM($DX813)),1)="-"),999),"E+","E"),"E-","E"))=LEN(SUBSTITUTE(SUBSTITUTE(SUBSTITUTE(SUBSTITUTE(MID(UPPER(TRIM($DX813)),1+OR(LEFT(UPPER(TRIM($DX813)),1)="+",LEFT(UPPER(TRIM($DX813)),1)="-"),999),"E+","E"),"E-","E"),"+",""),"-","")),LEN(UPPER(TRIM($DX813)))-LEN(SUBSTITUTE(UPPER(TRIM($DX813)),"E",""))&lt;2,LEN(UPPER(TRIM($DX813)))-LEN(SUBSTITUTE(UPPER(TRIM($DX813)),".",""))&lt;2,IFERROR(FIND(".",UPPER(TRIM($DX813))),0)&lt;IFERROR(FIND("E",UPPER(TRIM($DX813))),999)),ISNUMBER(VALUE(TRIM($DX813)))),VALUE(TRIM($DX813)),"")))),""))</f>
        <v/>
      </c>
      <c r="DZ813">
        <f>IF($DM813=0,"",IF($L$17=0,"",IFERROR(IF(ISNUMBER(INDEX(PASTE_ALL,$DF813,$L$17)),INDEX(PASTE_ALL,$DF813,$L$17),SUBSTITUTE(SUBSTITUTE(TRIM(SUBSTITUTE(SUBSTITUTE(SUBSTITUTE(SUBSTITUTE(INDEX(PASTE_ALL,$DF813,$L$17)," "," "),CHAR(9)," "),CHAR(10)," "),CHAR(13)," ")),",",""),"%","")),"")))</f>
        <v/>
      </c>
      <c r="EA813">
        <f>IF($DM813=0,"",IFERROR(IF(ISNUMBER($DZ813),$DZ813,IF($DZ813="","",IF(TRIM($DZ813)="",0,IF(AND(AND(SUBSTITUTE(SUBSTITUTE(SUBSTITUTE(SUBSTITUTE(SUBSTITUTE(SUBSTITUTE(SUBSTITUTE(SUBSTITUTE(SUBSTITUTE(SUBSTITUTE(SUBSTITUTE(SUBSTITUTE(SUBSTITUTE(SUBSTITUTE(UPPER(TRIM($DZ813)),"0",""),"1",""),"2",""),"3",""),"4",""),"5",""),"6",""),"7",""),"8",""),"9",""),".",""),"+",""),"-",""),"E","")="",LEN(SUBSTITUTE(SUBSTITUTE(MID(UPPER(TRIM($DZ813)),1+OR(LEFT(UPPER(TRIM($DZ813)),1)="+",LEFT(UPPER(TRIM($DZ813)),1)="-"),999),"E+","E"),"E-","E"))=LEN(SUBSTITUTE(SUBSTITUTE(SUBSTITUTE(SUBSTITUTE(MID(UPPER(TRIM($DZ813)),1+OR(LEFT(UPPER(TRIM($DZ813)),1)="+",LEFT(UPPER(TRIM($DZ813)),1)="-"),999),"E+","E"),"E-","E"),"+",""),"-","")),LEN(UPPER(TRIM($DZ813)))-LEN(SUBSTITUTE(UPPER(TRIM($DZ813)),"E",""))&lt;2,LEN(UPPER(TRIM($DZ813)))-LEN(SUBSTITUTE(UPPER(TRIM($DZ813)),".",""))&lt;2,IFERROR(FIND(".",UPPER(TRIM($DZ813))),0)&lt;IFERROR(FIND("E",UPPER(TRIM($DZ813))),999)),ISNUMBER(VALUE(TRIM($DZ813)))),VALUE(TRIM($DZ813)),"")))),""))</f>
        <v/>
      </c>
      <c r="EB813">
        <f>IF($DM813=0,"",IF($L$18=0,"",IFERROR(IF(UPPER(TRIM(SUBSTITUTE(SUBSTITUTE(SUBSTITUTE(SUBSTITUTE(INDEX(PASTE_ALL,$DF813,$L$18)," "," "),CHAR(9)," "),CHAR(10)," "),CHAR(13)," ")))="READY","Ready",IF(UPPER(TRIM(SUBSTITUTE(SUBSTITUTE(SUBSTITUTE(SUBSTITUTE(INDEX(PASTE_ALL,$DF813,$L$18)," "," "),CHAR(9)," "),CHAR(10)," "),CHAR(13)," ")))="PM","PM",IF(OR(UPPER(TRIM(SUBSTITUTE(SUBSTITUTE(SUBSTITUTE(SUBSTITUTE(INDEX(PASTE_ALL,$DF813,$L$18)," "," "),CHAR(9)," "),CHAR(10)," "),CHAR(13)," ")))="OT",UPPER(TRIM(SUBSTITUTE(SUBSTITUTE(SUBSTITUTE(SUBSTITUTE(INDEX(PASTE_ALL,$DF813,$L$18)," "," "),CHAR(9)," "),CHAR(10)," "),CHAR(13)," ")))="OVERTIME",UPPER(TRIM(SUBSTITUTE(SUBSTITUTE(SUBSTITUTE(SUBSTITUTE(INDEX(PASTE_ALL,$DF813,$L$18)," "," "),CHAR(9)," "),CHAR(10)," "),CHAR(13)," ")))="TRIAL"),"OT",TRIM(SUBSTITUTE(SUBSTITUTE(SUBSTITUTE(SUBSTITUTE(INDEX(PASTE_ALL,$DF813,$L$18)," "," "),CHAR(9)," "),CHAR(10)," "),CHAR(13)," "))))),"")))</f>
        <v/>
      </c>
      <c r="EC813">
        <f>IF($DM813=0,"",IF($L$19=0,"",IFERROR(IF(ISNUMBER(INDEX(PASTE_ALL,$DF813,$L$19)),INDEX(PASTE_ALL,$DF813,$L$19),TRIM(SUBSTITUTE(SUBSTITUTE(SUBSTITUTE(SUBSTITUTE(INDEX(PASTE_ALL,$DF813,$L$19)," "," "),CHAR(9)," "),CHAR(10)," "),CHAR(13)," "))),"")))</f>
        <v/>
      </c>
      <c r="ED813">
        <f>IF($DM813=0,"",MATCH(1,INDEX(EXACT($DH$5:DH813,$DH813)*$DM$5:DM813,0),0))</f>
        <v/>
      </c>
      <c r="EE813">
        <f>IF($DM813=0,0,IF($ED813=$DE813,1,0))</f>
        <v/>
      </c>
      <c r="EF813">
        <f>EF812+$EE813</f>
        <v/>
      </c>
      <c r="EG813">
        <f>IF($DM813=0,"",INDEX($EF$5:$EF$1003,$ED813))</f>
        <v/>
      </c>
      <c r="EH813">
        <f>IF($DM813=0,"",IF($DO813&lt;&gt;"","",IFERROR(LOOKUP(2,1/(($EG$4:EG812=$EG813)*($DO$4:DO812&lt;&gt;"")),$DO$4:DO812),"")))</f>
        <v/>
      </c>
      <c r="EI813">
        <f>IF($DM813=0,"",IF($DO813&lt;&gt;"",$DO813,$EH813))</f>
        <v/>
      </c>
      <c r="EJ813">
        <f>IF($DM813=0,"",IF($EI813="",0,IF(OR(ISNUMBER($EI813),AND(AND(SUBSTITUTE(SUBSTITUTE(SUBSTITUTE(SUBSTITUTE(SUBSTITUTE(SUBSTITUTE(SUBSTITUTE(SUBSTITUTE(SUBSTITUTE(SUBSTITUTE(SUBSTITUTE(SUBSTITUTE(SUBSTITUTE(SUBSTITUTE(UPPER($EI813),"0",""),"1",""),"2",""),"3",""),"4",""),"5",""),"6",""),"7",""),"8",""),"9",""),".",""),"+",""),"-",""),"E","")="",LEN(SUBSTITUTE(SUBSTITUTE(MID(UPPER($EI813),1+OR(LEFT(UPPER($EI813),1)="+",LEFT(UPPER($EI813),1)="-"),999),"E+","E"),"E-","E"))=LEN(SUBSTITUTE(SUBSTITUTE(SUBSTITUTE(SUBSTITUTE(MID(UPPER($EI813),1+OR(LEFT(UPPER($EI813),1)="+",LEFT(UPPER($EI813),1)="-"),999),"E+","E"),"E-","E"),"+",""),"-","")),LEN(UPPER($EI813))-LEN(SUBSTITUTE(UPPER($EI813),"E",""))&lt;2,LEN(UPPER($EI813))-LEN(SUBSTITUTE(UPPER($EI813),".",""))&lt;2,IFERROR(FIND(".",UPPER($EI813)),0)&lt;IFERROR(FIND("E",UPPER($EI813)),999)),ISNUMBER(VALUE($EI813)))),1,2)))</f>
        <v/>
      </c>
      <c r="EK813">
        <f>IF($DM813=0,"",IF($EJ813=1,IF(ISNUMBER($EI813),$EI813,VALUE($EI813)),IF($EJ813=2,$DE813,0)))</f>
        <v/>
      </c>
      <c r="EL813">
        <f>IF($DM813=0,"",COUNTIF($EG$5:$EG$1003,"&lt;"&amp;$EG813)+SUMPRODUCT(($EG$5:$EG$1003=$EG813)*(($EJ$5:$EJ$1003&lt;$EJ813)+($EJ$5:$EJ$1003=$EJ813)*(($EK$5:$EK$1003&lt;$EK813)+($EK$5:$EK$1003=$EK813)*($DE$5:$DE$1003&lt;$DE813))))+1)</f>
        <v/>
      </c>
      <c r="EM813">
        <f>IF($DM813=0,"",$EL813+$EG813-1)</f>
        <v/>
      </c>
      <c r="EN813">
        <f>IF($DM813=0,0,IFERROR(MATCH(1,INDEX(--(TRIM(SUBSTITUTE(SUBSTITUTE(SUBSTITUTE(SUBSTITUTE(LINES_NAME&amp;""," "," "),CHAR(9)," "),CHAR(10)," "),CHAR(13)," "))=$DH813),0),0),0))</f>
        <v/>
      </c>
      <c r="EO813">
        <f>IF($EN813=0,0,IF(OR(UPPER(TRIM(INDEX(LINES_SCHEDULED,$EN813)&amp;""))="YES",UPPER(TRIM(INDEX(LINES_SCHEDULED,$EN813)&amp;""))="Y",UPPER(TRIM(INDEX(LINES_SCHEDULED,$EN813)&amp;""))="X"),1,0))</f>
        <v/>
      </c>
      <c r="EP813">
        <f>IF($DM813=0,"",IF(COUNTIFS($EG$5:$EG$1003,$EG813,$EB$5:$EB$1003,"Ready")&gt;0,"READY",IF(COUNTIFS($EG$5:$EG$1003,$EG813,$EB$5:$EB$1003,"PM")&gt;0,"PM",IF(COUNTIFS($EG$5:$EG$1003,$EG813,$EB$5:$EB$1003,"OT")&gt;0,"OT",""))))</f>
        <v/>
      </c>
      <c r="EQ813">
        <f>IF($EN813=0,"",UPPER(TRIM(INDEX(LINES_STATUS,$EN813)&amp;"")))</f>
        <v/>
      </c>
      <c r="ER813">
        <f>IF($DM813=0,"",IF(OR($EQ813="READY",$EQ813="PM",$EQ813="OT"),$EQ813,$EP813))</f>
        <v/>
      </c>
      <c r="ES813">
        <f>IF($DM813=0,"",IF(AND($DV813&lt;&gt;"",UPPER($DV813)&lt;&gt;"N"),"allergen",IF(ISNUMBER(SEARCH("oil",$DQ813)),"oil",IF(OR(EXACT($DS813,"A662"),EXACT($DS813,"A624")),"bulk",""))))</f>
        <v/>
      </c>
      <c r="ET813">
        <f>IF($DM813=0,"",IF(OR($EA813="",$EA813=0),"",$EA813/100))</f>
        <v/>
      </c>
      <c r="EU813">
        <f>IF(OR($ET813="",$DY813=""),"",INT($DY813*(1-$ET813)+0.5))</f>
        <v/>
      </c>
    </row>
    <row r="814">
      <c r="DA814" t="n">
        <v>810</v>
      </c>
      <c r="DB814">
        <f>IF($B$37=0,"",IFERROR(TRIM(SUBSTITUTE(SUBSTITUTE(SUBSTITUTE(SUBSTITUTE(INDEX(PASTE_ALL,810,$B$37)," "," "),CHAR(9)," "),CHAR(10)," "),CHAR(13)," ")),""))</f>
        <v/>
      </c>
      <c r="DC814">
        <f>IF(AND(810&gt;HEADER_ROW,UPPER(DB814)="LEGEND"),1,0)</f>
        <v/>
      </c>
      <c r="DE814" t="n">
        <v>810</v>
      </c>
      <c r="DF814">
        <f>HEADER_ROW+$DE814</f>
        <v/>
      </c>
      <c r="DG814">
        <f>IF(AND($DF814&lt;=1000,$DF814&lt;$B$8),1,0)</f>
        <v/>
      </c>
      <c r="DH814">
        <f>IF($DG814=1,IFERROR(INDEX($DB$5:$DB$1004,$DF814),""),"")</f>
        <v/>
      </c>
      <c r="DI814">
        <f>IF(AND($DG814=1,$DH814&lt;&gt;""),IFERROR(SUBSTITUTE(SUBSTITUTE(TRIM(SUBSTITUTE(SUBSTITUTE(SUBSTITUTE(SUBSTITUTE(IFERROR(INDEX(PASTE_ALL,$DF814,1)&amp;"","")&amp;"␟"&amp;IFERROR(INDEX(PASTE_ALL,$DF814,2)&amp;"","")&amp;"␟"&amp;IFERROR(INDEX(PASTE_ALL,$DF814,3)&amp;"","")&amp;"␟"&amp;IFERROR(INDEX(PASTE_ALL,$DF814,4)&amp;"","")&amp;"␟"&amp;IFERROR(INDEX(PASTE_ALL,$DF814,5)&amp;"","")&amp;"␟"&amp;IFERROR(INDEX(PASTE_ALL,$DF814,6)&amp;"","")&amp;"␟"&amp;IFERROR(INDEX(PASTE_ALL,$DF814,7)&amp;"","")&amp;"␟"&amp;IFERROR(INDEX(PASTE_ALL,$DF814,8)&amp;"","")&amp;"␟"&amp;IFERROR(INDEX(PASTE_ALL,$DF814,9)&amp;"","")&amp;"␟"&amp;IFERROR(INDEX(PASTE_ALL,$DF814,10)&amp;"","")&amp;"␟"&amp;IFERROR(INDEX(PASTE_ALL,$DF814,11)&amp;"","")&amp;"␟"&amp;IFERROR(INDEX(PASTE_ALL,$DF814,12)&amp;"","")&amp;"␟"&amp;IFERROR(INDEX(PASTE_ALL,$DF814,13)&amp;"","")&amp;"␟"&amp;IFERROR(INDEX(PASTE_ALL,$DF814,14)&amp;"","")&amp;"␟"&amp;IFERROR(INDEX(PASTE_ALL,$DF814,15)&amp;"","")&amp;"␟"&amp;IFERROR(INDEX(PASTE_ALL,$DF814,16)&amp;"","")&amp;"␟"&amp;IFERROR(INDEX(PASTE_ALL,$DF814,17)&amp;"","")&amp;"␟"&amp;IFERROR(INDEX(PASTE_ALL,$DF814,18)&amp;"","")&amp;"␟"&amp;IFERROR(INDEX(PASTE_ALL,$DF814,19)&amp;"","")&amp;"␟"&amp;IFERROR(INDEX(PASTE_ALL,$DF814,20)&amp;"","")&amp;"␟"&amp;IFERROR(INDEX(PASTE_ALL,$DF814,21)&amp;"","")&amp;"␟"&amp;IFERROR(INDEX(PASTE_ALL,$DF814,22)&amp;"","")&amp;"␟"&amp;IFERROR(INDEX(PASTE_ALL,$DF814,23)&amp;"","")&amp;"␟"&amp;IFERROR(INDEX(PASTE_ALL,$DF814,24)&amp;"","")&amp;"␟"&amp;IFERROR(INDEX(PASTE_ALL,$DF814,25)&amp;"","")&amp;"␟"&amp;IFERROR(INDEX(PASTE_ALL,$DF814,26)&amp;"","")&amp;"␟"&amp;IFERROR(INDEX(PASTE_ALL,$DF814,27)&amp;"","")&amp;"␟"&amp;IFERROR(INDEX(PASTE_ALL,$DF814,28)&amp;"","")&amp;"␟"&amp;IFERROR(INDEX(PASTE_ALL,$DF814,29)&amp;"","")&amp;"␟"&amp;IFERROR(INDEX(PASTE_ALL,$DF814,30)&amp;"","")&amp;"␟"&amp;IFERROR(INDEX(PASTE_ALL,$DF814,31)&amp;"","")&amp;"␟"&amp;IFERROR(INDEX(PASTE_ALL,$DF814,32)&amp;"","")&amp;"␟"&amp;IFERROR(INDEX(PASTE_ALL,$DF814,33)&amp;"","")&amp;"␟"&amp;IFERROR(INDEX(PASTE_ALL,$DF814,34)&amp;"","")&amp;"␟"&amp;IFERROR(INDEX(PASTE_ALL,$DF814,35)&amp;"","")&amp;"␟"&amp;IFERROR(INDEX(PASTE_ALL,$DF814,36)&amp;"","")&amp;"␟"&amp;IFERROR(INDEX(PASTE_ALL,$DF814,37)&amp;"","")&amp;"␟"&amp;IFERROR(INDEX(PASTE_ALL,$DF814,38)&amp;"","")&amp;"␟"&amp;IFERROR(INDEX(PASTE_ALL,$DF814,39)&amp;"","")&amp;"␟"&amp;IFERROR(INDEX(PASTE_ALL,$DF814,40)&amp;"","")&amp;"␟"&amp;IFERROR(INDEX(PASTE_ALL,$DF814,41)&amp;"","")&amp;"␟"&amp;IFERROR(INDEX(PASTE_ALL,$DF814,42)&amp;"","")&amp;"␟"&amp;IFERROR(INDEX(PASTE_ALL,$DF814,43)&amp;"","")&amp;"␟"&amp;IFERROR(INDEX(PASTE_ALL,$DF814,44)&amp;"","")&amp;"␟"&amp;IFERROR(INDEX(PASTE_ALL,$DF814,45)&amp;"","")&amp;"␟"&amp;IFERROR(INDEX(PASTE_ALL,$DF814,46)&amp;"","")&amp;"␟"&amp;IFERROR(INDEX(PASTE_ALL,$DF814,47)&amp;"","")&amp;"␟"&amp;IFERROR(INDEX(PASTE_ALL,$DF814,48)&amp;"","")&amp;"␟"&amp;IFERROR(INDEX(PASTE_ALL,$DF814,49)&amp;"","")&amp;"␟"&amp;IFERROR(INDEX(PASTE_ALL,$DF814,50)&amp;"","")&amp;"␟"&amp;IFERROR(INDEX(PASTE_ALL,$DF814,51)&amp;"","")&amp;"␟"&amp;IFERROR(INDEX(PASTE_ALL,$DF814,52)&amp;"","")&amp;"␟"&amp;IFERROR(INDEX(PASTE_ALL,$DF814,53)&amp;"","")&amp;"␟"&amp;IFERROR(INDEX(PASTE_ALL,$DF814,54)&amp;"","")&amp;"␟"&amp;IFERROR(INDEX(PASTE_ALL,$DF814,55)&amp;"","")&amp;"␟"&amp;IFERROR(INDEX(PASTE_ALL,$DF814,56)&amp;"","")&amp;"␟"&amp;IFERROR(INDEX(PASTE_ALL,$DF814,57)&amp;"","")&amp;"␟"&amp;IFERROR(INDEX(PASTE_ALL,$DF814,58)&amp;"","")&amp;"␟"&amp;IFERROR(INDEX(PASTE_ALL,$DF814,59)&amp;"","")&amp;"␟"&amp;IFERROR(INDEX(PASTE_ALL,$DF814,60)&amp;"","")," "," "),CHAR(9)," "),CHAR(10)," "),CHAR(13)," "))," ␟","␟"),"␟ ","␟"),"#"&amp;$DE814),"")</f>
        <v/>
      </c>
      <c r="DJ814">
        <f>IF($DI814="",0,IF(SUMPRODUCT(--EXACT($DI$4:DI813,$DI814))&gt;0,1,0))</f>
        <v/>
      </c>
      <c r="DK814">
        <f>IF(AND($DI814&lt;&gt;"",$DJ814=0),1,0)</f>
        <v/>
      </c>
      <c r="DL814">
        <f>DL813+$DK814</f>
        <v/>
      </c>
      <c r="DM814">
        <f>IF(AND($DK814=1,$DL814&lt;=600),1,0)</f>
        <v/>
      </c>
      <c r="DN814">
        <f>IF($DM814=0,"",IF($L$6=0,"",IFERROR(IF(ISNUMBER(INDEX(PASTE_ALL,$DF814,$L$6)),INDEX(PASTE_ALL,$DF814,$L$6),TRIM(SUBSTITUTE(SUBSTITUTE(SUBSTITUTE(SUBSTITUTE(INDEX(PASTE_ALL,$DF814,$L$6)," "," "),CHAR(9)," "),CHAR(10)," "),CHAR(13)," "))),"")))</f>
        <v/>
      </c>
      <c r="DO814">
        <f>IF($DM814=0,"",IF($L$7=0,"",IFERROR(IF(ISNUMBER(INDEX(PASTE_ALL,$DF814,$L$7)),INDEX(PASTE_ALL,$DF814,$L$7),TRIM(SUBSTITUTE(SUBSTITUTE(SUBSTITUTE(SUBSTITUTE(INDEX(PASTE_ALL,$DF814,$L$7)," "," "),CHAR(9)," "),CHAR(10)," "),CHAR(13)," "))),"")))</f>
        <v/>
      </c>
      <c r="DP814">
        <f>IF($DM814=0,"",IF($L$8=0,"",IFERROR(IF(ISNUMBER(INDEX(PASTE_ALL,$DF814,$L$8)),INDEX(PASTE_ALL,$DF814,$L$8),TRIM(SUBSTITUTE(SUBSTITUTE(SUBSTITUTE(SUBSTITUTE(INDEX(PASTE_ALL,$DF814,$L$8)," "," "),CHAR(9)," "),CHAR(10)," "),CHAR(13)," "))),"")))</f>
        <v/>
      </c>
      <c r="DQ814">
        <f>IF($DM814=0,"",IF($L$9=0,"",IFERROR(IF(ISNUMBER(INDEX(PASTE_ALL,$DF814,$L$9)),INDEX(PASTE_ALL,$DF814,$L$9),TRIM(SUBSTITUTE(SUBSTITUTE(SUBSTITUTE(SUBSTITUTE(INDEX(PASTE_ALL,$DF814,$L$9)," "," "),CHAR(9)," "),CHAR(10)," "),CHAR(13)," "))),"")))</f>
        <v/>
      </c>
      <c r="DR814">
        <f>IF($DM814=0,"",IF($L$10=0,"",IFERROR(IF(ISNUMBER(INDEX(PASTE_ALL,$DF814,$L$10)),INDEX(PASTE_ALL,$DF814,$L$10),TRIM(SUBSTITUTE(SUBSTITUTE(SUBSTITUTE(SUBSTITUTE(INDEX(PASTE_ALL,$DF814,$L$10)," "," "),CHAR(9)," "),CHAR(10)," "),CHAR(13)," "))),"")))</f>
        <v/>
      </c>
      <c r="DS814">
        <f>IF($DM814=0,"",IF($L$11=0,"",IFERROR(IF(ISNUMBER(INDEX(PASTE_ALL,$DF814,$L$11)),INDEX(PASTE_ALL,$DF814,$L$11),TRIM(SUBSTITUTE(SUBSTITUTE(SUBSTITUTE(SUBSTITUTE(INDEX(PASTE_ALL,$DF814,$L$11)," "," "),CHAR(9)," "),CHAR(10)," "),CHAR(13)," "))),"")))</f>
        <v/>
      </c>
      <c r="DT814">
        <f>IF($DM814=0,"",IF($L$12=0,"",IFERROR(IF(ISNUMBER(INDEX(PASTE_ALL,$DF814,$L$12)),INDEX(PASTE_ALL,$DF814,$L$12),TRIM(SUBSTITUTE(SUBSTITUTE(SUBSTITUTE(SUBSTITUTE(INDEX(PASTE_ALL,$DF814,$L$12)," "," "),CHAR(9)," "),CHAR(10)," "),CHAR(13)," "))),"")))</f>
        <v/>
      </c>
      <c r="DU814">
        <f>IF($DM814=0,"",IF($L$13=0,"",IFERROR(IF(ISNUMBER(INDEX(PASTE_ALL,$DF814,$L$13)),INDEX(PASTE_ALL,$DF814,$L$13),TRIM(SUBSTITUTE(SUBSTITUTE(SUBSTITUTE(SUBSTITUTE(INDEX(PASTE_ALL,$DF814,$L$13)," "," "),CHAR(9)," "),CHAR(10)," "),CHAR(13)," "))),"")))</f>
        <v/>
      </c>
      <c r="DV814">
        <f>IF($DM814=0,"",IF($L$14=0,"",IFERROR(IF(ISNUMBER(INDEX(PASTE_ALL,$DF814,$L$14)),INDEX(PASTE_ALL,$DF814,$L$14),TRIM(SUBSTITUTE(SUBSTITUTE(SUBSTITUTE(SUBSTITUTE(INDEX(PASTE_ALL,$DF814,$L$14)," "," "),CHAR(9)," "),CHAR(10)," "),CHAR(13)," "))),"")))</f>
        <v/>
      </c>
      <c r="DW814">
        <f>IF($DM814=0,"",IF($L$15=0,"",IFERROR(IF(ISNUMBER(INDEX(PASTE_ALL,$DF814,$L$15)),INDEX(PASTE_ALL,$DF814,$L$15),IF(SUMPRODUCT(--ISNUMBER(FIND({"A","B","C","D","E","F","G","H","I","J","K","L","M","N","O","P","Q","R","S","T","U","V","W","X","Y","Z","0","1","2","3","4","5","6","7","8","9"},UPPER(TRIM(SUBSTITUTE(SUBSTITUTE(SUBSTITUTE(SUBSTITUTE(INDEX(PASTE_ALL,$DF814,$L$15)," "," "),CHAR(9)," "),CHAR(10)," "),CHAR(13)," "))))))&gt;0,TRIM(SUBSTITUTE(SUBSTITUTE(SUBSTITUTE(SUBSTITUTE(INDEX(PASTE_ALL,$DF814,$L$15)," "," "),CHAR(9)," "),CHAR(10)," "),CHAR(13)," ")),"")),"")))</f>
        <v/>
      </c>
      <c r="DX814">
        <f>IF($DM814=0,"",IF($L$16=0,"",IFERROR(IF(ISNUMBER(INDEX(PASTE_ALL,$DF814,$L$16)),INDEX(PASTE_ALL,$DF814,$L$16),SUBSTITUTE(SUBSTITUTE(TRIM(SUBSTITUTE(SUBSTITUTE(SUBSTITUTE(SUBSTITUTE(INDEX(PASTE_ALL,$DF814,$L$16)," "," "),CHAR(9)," "),CHAR(10)," "),CHAR(13)," ")),",",""),"%","")),"")))</f>
        <v/>
      </c>
      <c r="DY814">
        <f>IF($DM814=0,"",IFERROR(IF(ISNUMBER($DX814),$DX814,IF($DX814="","",IF(TRIM($DX814)="",0,IF(AND(AND(SUBSTITUTE(SUBSTITUTE(SUBSTITUTE(SUBSTITUTE(SUBSTITUTE(SUBSTITUTE(SUBSTITUTE(SUBSTITUTE(SUBSTITUTE(SUBSTITUTE(SUBSTITUTE(SUBSTITUTE(SUBSTITUTE(SUBSTITUTE(UPPER(TRIM($DX814)),"0",""),"1",""),"2",""),"3",""),"4",""),"5",""),"6",""),"7",""),"8",""),"9",""),".",""),"+",""),"-",""),"E","")="",LEN(SUBSTITUTE(SUBSTITUTE(MID(UPPER(TRIM($DX814)),1+OR(LEFT(UPPER(TRIM($DX814)),1)="+",LEFT(UPPER(TRIM($DX814)),1)="-"),999),"E+","E"),"E-","E"))=LEN(SUBSTITUTE(SUBSTITUTE(SUBSTITUTE(SUBSTITUTE(MID(UPPER(TRIM($DX814)),1+OR(LEFT(UPPER(TRIM($DX814)),1)="+",LEFT(UPPER(TRIM($DX814)),1)="-"),999),"E+","E"),"E-","E"),"+",""),"-","")),LEN(UPPER(TRIM($DX814)))-LEN(SUBSTITUTE(UPPER(TRIM($DX814)),"E",""))&lt;2,LEN(UPPER(TRIM($DX814)))-LEN(SUBSTITUTE(UPPER(TRIM($DX814)),".",""))&lt;2,IFERROR(FIND(".",UPPER(TRIM($DX814))),0)&lt;IFERROR(FIND("E",UPPER(TRIM($DX814))),999)),ISNUMBER(VALUE(TRIM($DX814)))),VALUE(TRIM($DX814)),"")))),""))</f>
        <v/>
      </c>
      <c r="DZ814">
        <f>IF($DM814=0,"",IF($L$17=0,"",IFERROR(IF(ISNUMBER(INDEX(PASTE_ALL,$DF814,$L$17)),INDEX(PASTE_ALL,$DF814,$L$17),SUBSTITUTE(SUBSTITUTE(TRIM(SUBSTITUTE(SUBSTITUTE(SUBSTITUTE(SUBSTITUTE(INDEX(PASTE_ALL,$DF814,$L$17)," "," "),CHAR(9)," "),CHAR(10)," "),CHAR(13)," ")),",",""),"%","")),"")))</f>
        <v/>
      </c>
      <c r="EA814">
        <f>IF($DM814=0,"",IFERROR(IF(ISNUMBER($DZ814),$DZ814,IF($DZ814="","",IF(TRIM($DZ814)="",0,IF(AND(AND(SUBSTITUTE(SUBSTITUTE(SUBSTITUTE(SUBSTITUTE(SUBSTITUTE(SUBSTITUTE(SUBSTITUTE(SUBSTITUTE(SUBSTITUTE(SUBSTITUTE(SUBSTITUTE(SUBSTITUTE(SUBSTITUTE(SUBSTITUTE(UPPER(TRIM($DZ814)),"0",""),"1",""),"2",""),"3",""),"4",""),"5",""),"6",""),"7",""),"8",""),"9",""),".",""),"+",""),"-",""),"E","")="",LEN(SUBSTITUTE(SUBSTITUTE(MID(UPPER(TRIM($DZ814)),1+OR(LEFT(UPPER(TRIM($DZ814)),1)="+",LEFT(UPPER(TRIM($DZ814)),1)="-"),999),"E+","E"),"E-","E"))=LEN(SUBSTITUTE(SUBSTITUTE(SUBSTITUTE(SUBSTITUTE(MID(UPPER(TRIM($DZ814)),1+OR(LEFT(UPPER(TRIM($DZ814)),1)="+",LEFT(UPPER(TRIM($DZ814)),1)="-"),999),"E+","E"),"E-","E"),"+",""),"-","")),LEN(UPPER(TRIM($DZ814)))-LEN(SUBSTITUTE(UPPER(TRIM($DZ814)),"E",""))&lt;2,LEN(UPPER(TRIM($DZ814)))-LEN(SUBSTITUTE(UPPER(TRIM($DZ814)),".",""))&lt;2,IFERROR(FIND(".",UPPER(TRIM($DZ814))),0)&lt;IFERROR(FIND("E",UPPER(TRIM($DZ814))),999)),ISNUMBER(VALUE(TRIM($DZ814)))),VALUE(TRIM($DZ814)),"")))),""))</f>
        <v/>
      </c>
      <c r="EB814">
        <f>IF($DM814=0,"",IF($L$18=0,"",IFERROR(IF(UPPER(TRIM(SUBSTITUTE(SUBSTITUTE(SUBSTITUTE(SUBSTITUTE(INDEX(PASTE_ALL,$DF814,$L$18)," "," "),CHAR(9)," "),CHAR(10)," "),CHAR(13)," ")))="READY","Ready",IF(UPPER(TRIM(SUBSTITUTE(SUBSTITUTE(SUBSTITUTE(SUBSTITUTE(INDEX(PASTE_ALL,$DF814,$L$18)," "," "),CHAR(9)," "),CHAR(10)," "),CHAR(13)," ")))="PM","PM",IF(OR(UPPER(TRIM(SUBSTITUTE(SUBSTITUTE(SUBSTITUTE(SUBSTITUTE(INDEX(PASTE_ALL,$DF814,$L$18)," "," "),CHAR(9)," "),CHAR(10)," "),CHAR(13)," ")))="OT",UPPER(TRIM(SUBSTITUTE(SUBSTITUTE(SUBSTITUTE(SUBSTITUTE(INDEX(PASTE_ALL,$DF814,$L$18)," "," "),CHAR(9)," "),CHAR(10)," "),CHAR(13)," ")))="OVERTIME",UPPER(TRIM(SUBSTITUTE(SUBSTITUTE(SUBSTITUTE(SUBSTITUTE(INDEX(PASTE_ALL,$DF814,$L$18)," "," "),CHAR(9)," "),CHAR(10)," "),CHAR(13)," ")))="TRIAL"),"OT",TRIM(SUBSTITUTE(SUBSTITUTE(SUBSTITUTE(SUBSTITUTE(INDEX(PASTE_ALL,$DF814,$L$18)," "," "),CHAR(9)," "),CHAR(10)," "),CHAR(13)," "))))),"")))</f>
        <v/>
      </c>
      <c r="EC814">
        <f>IF($DM814=0,"",IF($L$19=0,"",IFERROR(IF(ISNUMBER(INDEX(PASTE_ALL,$DF814,$L$19)),INDEX(PASTE_ALL,$DF814,$L$19),TRIM(SUBSTITUTE(SUBSTITUTE(SUBSTITUTE(SUBSTITUTE(INDEX(PASTE_ALL,$DF814,$L$19)," "," "),CHAR(9)," "),CHAR(10)," "),CHAR(13)," "))),"")))</f>
        <v/>
      </c>
      <c r="ED814">
        <f>IF($DM814=0,"",MATCH(1,INDEX(EXACT($DH$5:DH814,$DH814)*$DM$5:DM814,0),0))</f>
        <v/>
      </c>
      <c r="EE814">
        <f>IF($DM814=0,0,IF($ED814=$DE814,1,0))</f>
        <v/>
      </c>
      <c r="EF814">
        <f>EF813+$EE814</f>
        <v/>
      </c>
      <c r="EG814">
        <f>IF($DM814=0,"",INDEX($EF$5:$EF$1003,$ED814))</f>
        <v/>
      </c>
      <c r="EH814">
        <f>IF($DM814=0,"",IF($DO814&lt;&gt;"","",IFERROR(LOOKUP(2,1/(($EG$4:EG813=$EG814)*($DO$4:DO813&lt;&gt;"")),$DO$4:DO813),"")))</f>
        <v/>
      </c>
      <c r="EI814">
        <f>IF($DM814=0,"",IF($DO814&lt;&gt;"",$DO814,$EH814))</f>
        <v/>
      </c>
      <c r="EJ814">
        <f>IF($DM814=0,"",IF($EI814="",0,IF(OR(ISNUMBER($EI814),AND(AND(SUBSTITUTE(SUBSTITUTE(SUBSTITUTE(SUBSTITUTE(SUBSTITUTE(SUBSTITUTE(SUBSTITUTE(SUBSTITUTE(SUBSTITUTE(SUBSTITUTE(SUBSTITUTE(SUBSTITUTE(SUBSTITUTE(SUBSTITUTE(UPPER($EI814),"0",""),"1",""),"2",""),"3",""),"4",""),"5",""),"6",""),"7",""),"8",""),"9",""),".",""),"+",""),"-",""),"E","")="",LEN(SUBSTITUTE(SUBSTITUTE(MID(UPPER($EI814),1+OR(LEFT(UPPER($EI814),1)="+",LEFT(UPPER($EI814),1)="-"),999),"E+","E"),"E-","E"))=LEN(SUBSTITUTE(SUBSTITUTE(SUBSTITUTE(SUBSTITUTE(MID(UPPER($EI814),1+OR(LEFT(UPPER($EI814),1)="+",LEFT(UPPER($EI814),1)="-"),999),"E+","E"),"E-","E"),"+",""),"-","")),LEN(UPPER($EI814))-LEN(SUBSTITUTE(UPPER($EI814),"E",""))&lt;2,LEN(UPPER($EI814))-LEN(SUBSTITUTE(UPPER($EI814),".",""))&lt;2,IFERROR(FIND(".",UPPER($EI814)),0)&lt;IFERROR(FIND("E",UPPER($EI814)),999)),ISNUMBER(VALUE($EI814)))),1,2)))</f>
        <v/>
      </c>
      <c r="EK814">
        <f>IF($DM814=0,"",IF($EJ814=1,IF(ISNUMBER($EI814),$EI814,VALUE($EI814)),IF($EJ814=2,$DE814,0)))</f>
        <v/>
      </c>
      <c r="EL814">
        <f>IF($DM814=0,"",COUNTIF($EG$5:$EG$1003,"&lt;"&amp;$EG814)+SUMPRODUCT(($EG$5:$EG$1003=$EG814)*(($EJ$5:$EJ$1003&lt;$EJ814)+($EJ$5:$EJ$1003=$EJ814)*(($EK$5:$EK$1003&lt;$EK814)+($EK$5:$EK$1003=$EK814)*($DE$5:$DE$1003&lt;$DE814))))+1)</f>
        <v/>
      </c>
      <c r="EM814">
        <f>IF($DM814=0,"",$EL814+$EG814-1)</f>
        <v/>
      </c>
      <c r="EN814">
        <f>IF($DM814=0,0,IFERROR(MATCH(1,INDEX(--(TRIM(SUBSTITUTE(SUBSTITUTE(SUBSTITUTE(SUBSTITUTE(LINES_NAME&amp;""," "," "),CHAR(9)," "),CHAR(10)," "),CHAR(13)," "))=$DH814),0),0),0))</f>
        <v/>
      </c>
      <c r="EO814">
        <f>IF($EN814=0,0,IF(OR(UPPER(TRIM(INDEX(LINES_SCHEDULED,$EN814)&amp;""))="YES",UPPER(TRIM(INDEX(LINES_SCHEDULED,$EN814)&amp;""))="Y",UPPER(TRIM(INDEX(LINES_SCHEDULED,$EN814)&amp;""))="X"),1,0))</f>
        <v/>
      </c>
      <c r="EP814">
        <f>IF($DM814=0,"",IF(COUNTIFS($EG$5:$EG$1003,$EG814,$EB$5:$EB$1003,"Ready")&gt;0,"READY",IF(COUNTIFS($EG$5:$EG$1003,$EG814,$EB$5:$EB$1003,"PM")&gt;0,"PM",IF(COUNTIFS($EG$5:$EG$1003,$EG814,$EB$5:$EB$1003,"OT")&gt;0,"OT",""))))</f>
        <v/>
      </c>
      <c r="EQ814">
        <f>IF($EN814=0,"",UPPER(TRIM(INDEX(LINES_STATUS,$EN814)&amp;"")))</f>
        <v/>
      </c>
      <c r="ER814">
        <f>IF($DM814=0,"",IF(OR($EQ814="READY",$EQ814="PM",$EQ814="OT"),$EQ814,$EP814))</f>
        <v/>
      </c>
      <c r="ES814">
        <f>IF($DM814=0,"",IF(AND($DV814&lt;&gt;"",UPPER($DV814)&lt;&gt;"N"),"allergen",IF(ISNUMBER(SEARCH("oil",$DQ814)),"oil",IF(OR(EXACT($DS814,"A662"),EXACT($DS814,"A624")),"bulk",""))))</f>
        <v/>
      </c>
      <c r="ET814">
        <f>IF($DM814=0,"",IF(OR($EA814="",$EA814=0),"",$EA814/100))</f>
        <v/>
      </c>
      <c r="EU814">
        <f>IF(OR($ET814="",$DY814=""),"",INT($DY814*(1-$ET814)+0.5))</f>
        <v/>
      </c>
    </row>
    <row r="815">
      <c r="DA815" t="n">
        <v>811</v>
      </c>
      <c r="DB815">
        <f>IF($B$37=0,"",IFERROR(TRIM(SUBSTITUTE(SUBSTITUTE(SUBSTITUTE(SUBSTITUTE(INDEX(PASTE_ALL,811,$B$37)," "," "),CHAR(9)," "),CHAR(10)," "),CHAR(13)," ")),""))</f>
        <v/>
      </c>
      <c r="DC815">
        <f>IF(AND(811&gt;HEADER_ROW,UPPER(DB815)="LEGEND"),1,0)</f>
        <v/>
      </c>
      <c r="DE815" t="n">
        <v>811</v>
      </c>
      <c r="DF815">
        <f>HEADER_ROW+$DE815</f>
        <v/>
      </c>
      <c r="DG815">
        <f>IF(AND($DF815&lt;=1000,$DF815&lt;$B$8),1,0)</f>
        <v/>
      </c>
      <c r="DH815">
        <f>IF($DG815=1,IFERROR(INDEX($DB$5:$DB$1004,$DF815),""),"")</f>
        <v/>
      </c>
      <c r="DI815">
        <f>IF(AND($DG815=1,$DH815&lt;&gt;""),IFERROR(SUBSTITUTE(SUBSTITUTE(TRIM(SUBSTITUTE(SUBSTITUTE(SUBSTITUTE(SUBSTITUTE(IFERROR(INDEX(PASTE_ALL,$DF815,1)&amp;"","")&amp;"␟"&amp;IFERROR(INDEX(PASTE_ALL,$DF815,2)&amp;"","")&amp;"␟"&amp;IFERROR(INDEX(PASTE_ALL,$DF815,3)&amp;"","")&amp;"␟"&amp;IFERROR(INDEX(PASTE_ALL,$DF815,4)&amp;"","")&amp;"␟"&amp;IFERROR(INDEX(PASTE_ALL,$DF815,5)&amp;"","")&amp;"␟"&amp;IFERROR(INDEX(PASTE_ALL,$DF815,6)&amp;"","")&amp;"␟"&amp;IFERROR(INDEX(PASTE_ALL,$DF815,7)&amp;"","")&amp;"␟"&amp;IFERROR(INDEX(PASTE_ALL,$DF815,8)&amp;"","")&amp;"␟"&amp;IFERROR(INDEX(PASTE_ALL,$DF815,9)&amp;"","")&amp;"␟"&amp;IFERROR(INDEX(PASTE_ALL,$DF815,10)&amp;"","")&amp;"␟"&amp;IFERROR(INDEX(PASTE_ALL,$DF815,11)&amp;"","")&amp;"␟"&amp;IFERROR(INDEX(PASTE_ALL,$DF815,12)&amp;"","")&amp;"␟"&amp;IFERROR(INDEX(PASTE_ALL,$DF815,13)&amp;"","")&amp;"␟"&amp;IFERROR(INDEX(PASTE_ALL,$DF815,14)&amp;"","")&amp;"␟"&amp;IFERROR(INDEX(PASTE_ALL,$DF815,15)&amp;"","")&amp;"␟"&amp;IFERROR(INDEX(PASTE_ALL,$DF815,16)&amp;"","")&amp;"␟"&amp;IFERROR(INDEX(PASTE_ALL,$DF815,17)&amp;"","")&amp;"␟"&amp;IFERROR(INDEX(PASTE_ALL,$DF815,18)&amp;"","")&amp;"␟"&amp;IFERROR(INDEX(PASTE_ALL,$DF815,19)&amp;"","")&amp;"␟"&amp;IFERROR(INDEX(PASTE_ALL,$DF815,20)&amp;"","")&amp;"␟"&amp;IFERROR(INDEX(PASTE_ALL,$DF815,21)&amp;"","")&amp;"␟"&amp;IFERROR(INDEX(PASTE_ALL,$DF815,22)&amp;"","")&amp;"␟"&amp;IFERROR(INDEX(PASTE_ALL,$DF815,23)&amp;"","")&amp;"␟"&amp;IFERROR(INDEX(PASTE_ALL,$DF815,24)&amp;"","")&amp;"␟"&amp;IFERROR(INDEX(PASTE_ALL,$DF815,25)&amp;"","")&amp;"␟"&amp;IFERROR(INDEX(PASTE_ALL,$DF815,26)&amp;"","")&amp;"␟"&amp;IFERROR(INDEX(PASTE_ALL,$DF815,27)&amp;"","")&amp;"␟"&amp;IFERROR(INDEX(PASTE_ALL,$DF815,28)&amp;"","")&amp;"␟"&amp;IFERROR(INDEX(PASTE_ALL,$DF815,29)&amp;"","")&amp;"␟"&amp;IFERROR(INDEX(PASTE_ALL,$DF815,30)&amp;"","")&amp;"␟"&amp;IFERROR(INDEX(PASTE_ALL,$DF815,31)&amp;"","")&amp;"␟"&amp;IFERROR(INDEX(PASTE_ALL,$DF815,32)&amp;"","")&amp;"␟"&amp;IFERROR(INDEX(PASTE_ALL,$DF815,33)&amp;"","")&amp;"␟"&amp;IFERROR(INDEX(PASTE_ALL,$DF815,34)&amp;"","")&amp;"␟"&amp;IFERROR(INDEX(PASTE_ALL,$DF815,35)&amp;"","")&amp;"␟"&amp;IFERROR(INDEX(PASTE_ALL,$DF815,36)&amp;"","")&amp;"␟"&amp;IFERROR(INDEX(PASTE_ALL,$DF815,37)&amp;"","")&amp;"␟"&amp;IFERROR(INDEX(PASTE_ALL,$DF815,38)&amp;"","")&amp;"␟"&amp;IFERROR(INDEX(PASTE_ALL,$DF815,39)&amp;"","")&amp;"␟"&amp;IFERROR(INDEX(PASTE_ALL,$DF815,40)&amp;"","")&amp;"␟"&amp;IFERROR(INDEX(PASTE_ALL,$DF815,41)&amp;"","")&amp;"␟"&amp;IFERROR(INDEX(PASTE_ALL,$DF815,42)&amp;"","")&amp;"␟"&amp;IFERROR(INDEX(PASTE_ALL,$DF815,43)&amp;"","")&amp;"␟"&amp;IFERROR(INDEX(PASTE_ALL,$DF815,44)&amp;"","")&amp;"␟"&amp;IFERROR(INDEX(PASTE_ALL,$DF815,45)&amp;"","")&amp;"␟"&amp;IFERROR(INDEX(PASTE_ALL,$DF815,46)&amp;"","")&amp;"␟"&amp;IFERROR(INDEX(PASTE_ALL,$DF815,47)&amp;"","")&amp;"␟"&amp;IFERROR(INDEX(PASTE_ALL,$DF815,48)&amp;"","")&amp;"␟"&amp;IFERROR(INDEX(PASTE_ALL,$DF815,49)&amp;"","")&amp;"␟"&amp;IFERROR(INDEX(PASTE_ALL,$DF815,50)&amp;"","")&amp;"␟"&amp;IFERROR(INDEX(PASTE_ALL,$DF815,51)&amp;"","")&amp;"␟"&amp;IFERROR(INDEX(PASTE_ALL,$DF815,52)&amp;"","")&amp;"␟"&amp;IFERROR(INDEX(PASTE_ALL,$DF815,53)&amp;"","")&amp;"␟"&amp;IFERROR(INDEX(PASTE_ALL,$DF815,54)&amp;"","")&amp;"␟"&amp;IFERROR(INDEX(PASTE_ALL,$DF815,55)&amp;"","")&amp;"␟"&amp;IFERROR(INDEX(PASTE_ALL,$DF815,56)&amp;"","")&amp;"␟"&amp;IFERROR(INDEX(PASTE_ALL,$DF815,57)&amp;"","")&amp;"␟"&amp;IFERROR(INDEX(PASTE_ALL,$DF815,58)&amp;"","")&amp;"␟"&amp;IFERROR(INDEX(PASTE_ALL,$DF815,59)&amp;"","")&amp;"␟"&amp;IFERROR(INDEX(PASTE_ALL,$DF815,60)&amp;"","")," "," "),CHAR(9)," "),CHAR(10)," "),CHAR(13)," "))," ␟","␟"),"␟ ","␟"),"#"&amp;$DE815),"")</f>
        <v/>
      </c>
      <c r="DJ815">
        <f>IF($DI815="",0,IF(SUMPRODUCT(--EXACT($DI$4:DI814,$DI815))&gt;0,1,0))</f>
        <v/>
      </c>
      <c r="DK815">
        <f>IF(AND($DI815&lt;&gt;"",$DJ815=0),1,0)</f>
        <v/>
      </c>
      <c r="DL815">
        <f>DL814+$DK815</f>
        <v/>
      </c>
      <c r="DM815">
        <f>IF(AND($DK815=1,$DL815&lt;=600),1,0)</f>
        <v/>
      </c>
      <c r="DN815">
        <f>IF($DM815=0,"",IF($L$6=0,"",IFERROR(IF(ISNUMBER(INDEX(PASTE_ALL,$DF815,$L$6)),INDEX(PASTE_ALL,$DF815,$L$6),TRIM(SUBSTITUTE(SUBSTITUTE(SUBSTITUTE(SUBSTITUTE(INDEX(PASTE_ALL,$DF815,$L$6)," "," "),CHAR(9)," "),CHAR(10)," "),CHAR(13)," "))),"")))</f>
        <v/>
      </c>
      <c r="DO815">
        <f>IF($DM815=0,"",IF($L$7=0,"",IFERROR(IF(ISNUMBER(INDEX(PASTE_ALL,$DF815,$L$7)),INDEX(PASTE_ALL,$DF815,$L$7),TRIM(SUBSTITUTE(SUBSTITUTE(SUBSTITUTE(SUBSTITUTE(INDEX(PASTE_ALL,$DF815,$L$7)," "," "),CHAR(9)," "),CHAR(10)," "),CHAR(13)," "))),"")))</f>
        <v/>
      </c>
      <c r="DP815">
        <f>IF($DM815=0,"",IF($L$8=0,"",IFERROR(IF(ISNUMBER(INDEX(PASTE_ALL,$DF815,$L$8)),INDEX(PASTE_ALL,$DF815,$L$8),TRIM(SUBSTITUTE(SUBSTITUTE(SUBSTITUTE(SUBSTITUTE(INDEX(PASTE_ALL,$DF815,$L$8)," "," "),CHAR(9)," "),CHAR(10)," "),CHAR(13)," "))),"")))</f>
        <v/>
      </c>
      <c r="DQ815">
        <f>IF($DM815=0,"",IF($L$9=0,"",IFERROR(IF(ISNUMBER(INDEX(PASTE_ALL,$DF815,$L$9)),INDEX(PASTE_ALL,$DF815,$L$9),TRIM(SUBSTITUTE(SUBSTITUTE(SUBSTITUTE(SUBSTITUTE(INDEX(PASTE_ALL,$DF815,$L$9)," "," "),CHAR(9)," "),CHAR(10)," "),CHAR(13)," "))),"")))</f>
        <v/>
      </c>
      <c r="DR815">
        <f>IF($DM815=0,"",IF($L$10=0,"",IFERROR(IF(ISNUMBER(INDEX(PASTE_ALL,$DF815,$L$10)),INDEX(PASTE_ALL,$DF815,$L$10),TRIM(SUBSTITUTE(SUBSTITUTE(SUBSTITUTE(SUBSTITUTE(INDEX(PASTE_ALL,$DF815,$L$10)," "," "),CHAR(9)," "),CHAR(10)," "),CHAR(13)," "))),"")))</f>
        <v/>
      </c>
      <c r="DS815">
        <f>IF($DM815=0,"",IF($L$11=0,"",IFERROR(IF(ISNUMBER(INDEX(PASTE_ALL,$DF815,$L$11)),INDEX(PASTE_ALL,$DF815,$L$11),TRIM(SUBSTITUTE(SUBSTITUTE(SUBSTITUTE(SUBSTITUTE(INDEX(PASTE_ALL,$DF815,$L$11)," "," "),CHAR(9)," "),CHAR(10)," "),CHAR(13)," "))),"")))</f>
        <v/>
      </c>
      <c r="DT815">
        <f>IF($DM815=0,"",IF($L$12=0,"",IFERROR(IF(ISNUMBER(INDEX(PASTE_ALL,$DF815,$L$12)),INDEX(PASTE_ALL,$DF815,$L$12),TRIM(SUBSTITUTE(SUBSTITUTE(SUBSTITUTE(SUBSTITUTE(INDEX(PASTE_ALL,$DF815,$L$12)," "," "),CHAR(9)," "),CHAR(10)," "),CHAR(13)," "))),"")))</f>
        <v/>
      </c>
      <c r="DU815">
        <f>IF($DM815=0,"",IF($L$13=0,"",IFERROR(IF(ISNUMBER(INDEX(PASTE_ALL,$DF815,$L$13)),INDEX(PASTE_ALL,$DF815,$L$13),TRIM(SUBSTITUTE(SUBSTITUTE(SUBSTITUTE(SUBSTITUTE(INDEX(PASTE_ALL,$DF815,$L$13)," "," "),CHAR(9)," "),CHAR(10)," "),CHAR(13)," "))),"")))</f>
        <v/>
      </c>
      <c r="DV815">
        <f>IF($DM815=0,"",IF($L$14=0,"",IFERROR(IF(ISNUMBER(INDEX(PASTE_ALL,$DF815,$L$14)),INDEX(PASTE_ALL,$DF815,$L$14),TRIM(SUBSTITUTE(SUBSTITUTE(SUBSTITUTE(SUBSTITUTE(INDEX(PASTE_ALL,$DF815,$L$14)," "," "),CHAR(9)," "),CHAR(10)," "),CHAR(13)," "))),"")))</f>
        <v/>
      </c>
      <c r="DW815">
        <f>IF($DM815=0,"",IF($L$15=0,"",IFERROR(IF(ISNUMBER(INDEX(PASTE_ALL,$DF815,$L$15)),INDEX(PASTE_ALL,$DF815,$L$15),IF(SUMPRODUCT(--ISNUMBER(FIND({"A","B","C","D","E","F","G","H","I","J","K","L","M","N","O","P","Q","R","S","T","U","V","W","X","Y","Z","0","1","2","3","4","5","6","7","8","9"},UPPER(TRIM(SUBSTITUTE(SUBSTITUTE(SUBSTITUTE(SUBSTITUTE(INDEX(PASTE_ALL,$DF815,$L$15)," "," "),CHAR(9)," "),CHAR(10)," "),CHAR(13)," "))))))&gt;0,TRIM(SUBSTITUTE(SUBSTITUTE(SUBSTITUTE(SUBSTITUTE(INDEX(PASTE_ALL,$DF815,$L$15)," "," "),CHAR(9)," "),CHAR(10)," "),CHAR(13)," ")),"")),"")))</f>
        <v/>
      </c>
      <c r="DX815">
        <f>IF($DM815=0,"",IF($L$16=0,"",IFERROR(IF(ISNUMBER(INDEX(PASTE_ALL,$DF815,$L$16)),INDEX(PASTE_ALL,$DF815,$L$16),SUBSTITUTE(SUBSTITUTE(TRIM(SUBSTITUTE(SUBSTITUTE(SUBSTITUTE(SUBSTITUTE(INDEX(PASTE_ALL,$DF815,$L$16)," "," "),CHAR(9)," "),CHAR(10)," "),CHAR(13)," ")),",",""),"%","")),"")))</f>
        <v/>
      </c>
      <c r="DY815">
        <f>IF($DM815=0,"",IFERROR(IF(ISNUMBER($DX815),$DX815,IF($DX815="","",IF(TRIM($DX815)="",0,IF(AND(AND(SUBSTITUTE(SUBSTITUTE(SUBSTITUTE(SUBSTITUTE(SUBSTITUTE(SUBSTITUTE(SUBSTITUTE(SUBSTITUTE(SUBSTITUTE(SUBSTITUTE(SUBSTITUTE(SUBSTITUTE(SUBSTITUTE(SUBSTITUTE(UPPER(TRIM($DX815)),"0",""),"1",""),"2",""),"3",""),"4",""),"5",""),"6",""),"7",""),"8",""),"9",""),".",""),"+",""),"-",""),"E","")="",LEN(SUBSTITUTE(SUBSTITUTE(MID(UPPER(TRIM($DX815)),1+OR(LEFT(UPPER(TRIM($DX815)),1)="+",LEFT(UPPER(TRIM($DX815)),1)="-"),999),"E+","E"),"E-","E"))=LEN(SUBSTITUTE(SUBSTITUTE(SUBSTITUTE(SUBSTITUTE(MID(UPPER(TRIM($DX815)),1+OR(LEFT(UPPER(TRIM($DX815)),1)="+",LEFT(UPPER(TRIM($DX815)),1)="-"),999),"E+","E"),"E-","E"),"+",""),"-","")),LEN(UPPER(TRIM($DX815)))-LEN(SUBSTITUTE(UPPER(TRIM($DX815)),"E",""))&lt;2,LEN(UPPER(TRIM($DX815)))-LEN(SUBSTITUTE(UPPER(TRIM($DX815)),".",""))&lt;2,IFERROR(FIND(".",UPPER(TRIM($DX815))),0)&lt;IFERROR(FIND("E",UPPER(TRIM($DX815))),999)),ISNUMBER(VALUE(TRIM($DX815)))),VALUE(TRIM($DX815)),"")))),""))</f>
        <v/>
      </c>
      <c r="DZ815">
        <f>IF($DM815=0,"",IF($L$17=0,"",IFERROR(IF(ISNUMBER(INDEX(PASTE_ALL,$DF815,$L$17)),INDEX(PASTE_ALL,$DF815,$L$17),SUBSTITUTE(SUBSTITUTE(TRIM(SUBSTITUTE(SUBSTITUTE(SUBSTITUTE(SUBSTITUTE(INDEX(PASTE_ALL,$DF815,$L$17)," "," "),CHAR(9)," "),CHAR(10)," "),CHAR(13)," ")),",",""),"%","")),"")))</f>
        <v/>
      </c>
      <c r="EA815">
        <f>IF($DM815=0,"",IFERROR(IF(ISNUMBER($DZ815),$DZ815,IF($DZ815="","",IF(TRIM($DZ815)="",0,IF(AND(AND(SUBSTITUTE(SUBSTITUTE(SUBSTITUTE(SUBSTITUTE(SUBSTITUTE(SUBSTITUTE(SUBSTITUTE(SUBSTITUTE(SUBSTITUTE(SUBSTITUTE(SUBSTITUTE(SUBSTITUTE(SUBSTITUTE(SUBSTITUTE(UPPER(TRIM($DZ815)),"0",""),"1",""),"2",""),"3",""),"4",""),"5",""),"6",""),"7",""),"8",""),"9",""),".",""),"+",""),"-",""),"E","")="",LEN(SUBSTITUTE(SUBSTITUTE(MID(UPPER(TRIM($DZ815)),1+OR(LEFT(UPPER(TRIM($DZ815)),1)="+",LEFT(UPPER(TRIM($DZ815)),1)="-"),999),"E+","E"),"E-","E"))=LEN(SUBSTITUTE(SUBSTITUTE(SUBSTITUTE(SUBSTITUTE(MID(UPPER(TRIM($DZ815)),1+OR(LEFT(UPPER(TRIM($DZ815)),1)="+",LEFT(UPPER(TRIM($DZ815)),1)="-"),999),"E+","E"),"E-","E"),"+",""),"-","")),LEN(UPPER(TRIM($DZ815)))-LEN(SUBSTITUTE(UPPER(TRIM($DZ815)),"E",""))&lt;2,LEN(UPPER(TRIM($DZ815)))-LEN(SUBSTITUTE(UPPER(TRIM($DZ815)),".",""))&lt;2,IFERROR(FIND(".",UPPER(TRIM($DZ815))),0)&lt;IFERROR(FIND("E",UPPER(TRIM($DZ815))),999)),ISNUMBER(VALUE(TRIM($DZ815)))),VALUE(TRIM($DZ815)),"")))),""))</f>
        <v/>
      </c>
      <c r="EB815">
        <f>IF($DM815=0,"",IF($L$18=0,"",IFERROR(IF(UPPER(TRIM(SUBSTITUTE(SUBSTITUTE(SUBSTITUTE(SUBSTITUTE(INDEX(PASTE_ALL,$DF815,$L$18)," "," "),CHAR(9)," "),CHAR(10)," "),CHAR(13)," ")))="READY","Ready",IF(UPPER(TRIM(SUBSTITUTE(SUBSTITUTE(SUBSTITUTE(SUBSTITUTE(INDEX(PASTE_ALL,$DF815,$L$18)," "," "),CHAR(9)," "),CHAR(10)," "),CHAR(13)," ")))="PM","PM",IF(OR(UPPER(TRIM(SUBSTITUTE(SUBSTITUTE(SUBSTITUTE(SUBSTITUTE(INDEX(PASTE_ALL,$DF815,$L$18)," "," "),CHAR(9)," "),CHAR(10)," "),CHAR(13)," ")))="OT",UPPER(TRIM(SUBSTITUTE(SUBSTITUTE(SUBSTITUTE(SUBSTITUTE(INDEX(PASTE_ALL,$DF815,$L$18)," "," "),CHAR(9)," "),CHAR(10)," "),CHAR(13)," ")))="OVERTIME",UPPER(TRIM(SUBSTITUTE(SUBSTITUTE(SUBSTITUTE(SUBSTITUTE(INDEX(PASTE_ALL,$DF815,$L$18)," "," "),CHAR(9)," "),CHAR(10)," "),CHAR(13)," ")))="TRIAL"),"OT",TRIM(SUBSTITUTE(SUBSTITUTE(SUBSTITUTE(SUBSTITUTE(INDEX(PASTE_ALL,$DF815,$L$18)," "," "),CHAR(9)," "),CHAR(10)," "),CHAR(13)," "))))),"")))</f>
        <v/>
      </c>
      <c r="EC815">
        <f>IF($DM815=0,"",IF($L$19=0,"",IFERROR(IF(ISNUMBER(INDEX(PASTE_ALL,$DF815,$L$19)),INDEX(PASTE_ALL,$DF815,$L$19),TRIM(SUBSTITUTE(SUBSTITUTE(SUBSTITUTE(SUBSTITUTE(INDEX(PASTE_ALL,$DF815,$L$19)," "," "),CHAR(9)," "),CHAR(10)," "),CHAR(13)," "))),"")))</f>
        <v/>
      </c>
      <c r="ED815">
        <f>IF($DM815=0,"",MATCH(1,INDEX(EXACT($DH$5:DH815,$DH815)*$DM$5:DM815,0),0))</f>
        <v/>
      </c>
      <c r="EE815">
        <f>IF($DM815=0,0,IF($ED815=$DE815,1,0))</f>
        <v/>
      </c>
      <c r="EF815">
        <f>EF814+$EE815</f>
        <v/>
      </c>
      <c r="EG815">
        <f>IF($DM815=0,"",INDEX($EF$5:$EF$1003,$ED815))</f>
        <v/>
      </c>
      <c r="EH815">
        <f>IF($DM815=0,"",IF($DO815&lt;&gt;"","",IFERROR(LOOKUP(2,1/(($EG$4:EG814=$EG815)*($DO$4:DO814&lt;&gt;"")),$DO$4:DO814),"")))</f>
        <v/>
      </c>
      <c r="EI815">
        <f>IF($DM815=0,"",IF($DO815&lt;&gt;"",$DO815,$EH815))</f>
        <v/>
      </c>
      <c r="EJ815">
        <f>IF($DM815=0,"",IF($EI815="",0,IF(OR(ISNUMBER($EI815),AND(AND(SUBSTITUTE(SUBSTITUTE(SUBSTITUTE(SUBSTITUTE(SUBSTITUTE(SUBSTITUTE(SUBSTITUTE(SUBSTITUTE(SUBSTITUTE(SUBSTITUTE(SUBSTITUTE(SUBSTITUTE(SUBSTITUTE(SUBSTITUTE(UPPER($EI815),"0",""),"1",""),"2",""),"3",""),"4",""),"5",""),"6",""),"7",""),"8",""),"9",""),".",""),"+",""),"-",""),"E","")="",LEN(SUBSTITUTE(SUBSTITUTE(MID(UPPER($EI815),1+OR(LEFT(UPPER($EI815),1)="+",LEFT(UPPER($EI815),1)="-"),999),"E+","E"),"E-","E"))=LEN(SUBSTITUTE(SUBSTITUTE(SUBSTITUTE(SUBSTITUTE(MID(UPPER($EI815),1+OR(LEFT(UPPER($EI815),1)="+",LEFT(UPPER($EI815),1)="-"),999),"E+","E"),"E-","E"),"+",""),"-","")),LEN(UPPER($EI815))-LEN(SUBSTITUTE(UPPER($EI815),"E",""))&lt;2,LEN(UPPER($EI815))-LEN(SUBSTITUTE(UPPER($EI815),".",""))&lt;2,IFERROR(FIND(".",UPPER($EI815)),0)&lt;IFERROR(FIND("E",UPPER($EI815)),999)),ISNUMBER(VALUE($EI815)))),1,2)))</f>
        <v/>
      </c>
      <c r="EK815">
        <f>IF($DM815=0,"",IF($EJ815=1,IF(ISNUMBER($EI815),$EI815,VALUE($EI815)),IF($EJ815=2,$DE815,0)))</f>
        <v/>
      </c>
      <c r="EL815">
        <f>IF($DM815=0,"",COUNTIF($EG$5:$EG$1003,"&lt;"&amp;$EG815)+SUMPRODUCT(($EG$5:$EG$1003=$EG815)*(($EJ$5:$EJ$1003&lt;$EJ815)+($EJ$5:$EJ$1003=$EJ815)*(($EK$5:$EK$1003&lt;$EK815)+($EK$5:$EK$1003=$EK815)*($DE$5:$DE$1003&lt;$DE815))))+1)</f>
        <v/>
      </c>
      <c r="EM815">
        <f>IF($DM815=0,"",$EL815+$EG815-1)</f>
        <v/>
      </c>
      <c r="EN815">
        <f>IF($DM815=0,0,IFERROR(MATCH(1,INDEX(--(TRIM(SUBSTITUTE(SUBSTITUTE(SUBSTITUTE(SUBSTITUTE(LINES_NAME&amp;""," "," "),CHAR(9)," "),CHAR(10)," "),CHAR(13)," "))=$DH815),0),0),0))</f>
        <v/>
      </c>
      <c r="EO815">
        <f>IF($EN815=0,0,IF(OR(UPPER(TRIM(INDEX(LINES_SCHEDULED,$EN815)&amp;""))="YES",UPPER(TRIM(INDEX(LINES_SCHEDULED,$EN815)&amp;""))="Y",UPPER(TRIM(INDEX(LINES_SCHEDULED,$EN815)&amp;""))="X"),1,0))</f>
        <v/>
      </c>
      <c r="EP815">
        <f>IF($DM815=0,"",IF(COUNTIFS($EG$5:$EG$1003,$EG815,$EB$5:$EB$1003,"Ready")&gt;0,"READY",IF(COUNTIFS($EG$5:$EG$1003,$EG815,$EB$5:$EB$1003,"PM")&gt;0,"PM",IF(COUNTIFS($EG$5:$EG$1003,$EG815,$EB$5:$EB$1003,"OT")&gt;0,"OT",""))))</f>
        <v/>
      </c>
      <c r="EQ815">
        <f>IF($EN815=0,"",UPPER(TRIM(INDEX(LINES_STATUS,$EN815)&amp;"")))</f>
        <v/>
      </c>
      <c r="ER815">
        <f>IF($DM815=0,"",IF(OR($EQ815="READY",$EQ815="PM",$EQ815="OT"),$EQ815,$EP815))</f>
        <v/>
      </c>
      <c r="ES815">
        <f>IF($DM815=0,"",IF(AND($DV815&lt;&gt;"",UPPER($DV815)&lt;&gt;"N"),"allergen",IF(ISNUMBER(SEARCH("oil",$DQ815)),"oil",IF(OR(EXACT($DS815,"A662"),EXACT($DS815,"A624")),"bulk",""))))</f>
        <v/>
      </c>
      <c r="ET815">
        <f>IF($DM815=0,"",IF(OR($EA815="",$EA815=0),"",$EA815/100))</f>
        <v/>
      </c>
      <c r="EU815">
        <f>IF(OR($ET815="",$DY815=""),"",INT($DY815*(1-$ET815)+0.5))</f>
        <v/>
      </c>
    </row>
    <row r="816">
      <c r="DA816" t="n">
        <v>812</v>
      </c>
      <c r="DB816">
        <f>IF($B$37=0,"",IFERROR(TRIM(SUBSTITUTE(SUBSTITUTE(SUBSTITUTE(SUBSTITUTE(INDEX(PASTE_ALL,812,$B$37)," "," "),CHAR(9)," "),CHAR(10)," "),CHAR(13)," ")),""))</f>
        <v/>
      </c>
      <c r="DC816">
        <f>IF(AND(812&gt;HEADER_ROW,UPPER(DB816)="LEGEND"),1,0)</f>
        <v/>
      </c>
      <c r="DE816" t="n">
        <v>812</v>
      </c>
      <c r="DF816">
        <f>HEADER_ROW+$DE816</f>
        <v/>
      </c>
      <c r="DG816">
        <f>IF(AND($DF816&lt;=1000,$DF816&lt;$B$8),1,0)</f>
        <v/>
      </c>
      <c r="DH816">
        <f>IF($DG816=1,IFERROR(INDEX($DB$5:$DB$1004,$DF816),""),"")</f>
        <v/>
      </c>
      <c r="DI816">
        <f>IF(AND($DG816=1,$DH816&lt;&gt;""),IFERROR(SUBSTITUTE(SUBSTITUTE(TRIM(SUBSTITUTE(SUBSTITUTE(SUBSTITUTE(SUBSTITUTE(IFERROR(INDEX(PASTE_ALL,$DF816,1)&amp;"","")&amp;"␟"&amp;IFERROR(INDEX(PASTE_ALL,$DF816,2)&amp;"","")&amp;"␟"&amp;IFERROR(INDEX(PASTE_ALL,$DF816,3)&amp;"","")&amp;"␟"&amp;IFERROR(INDEX(PASTE_ALL,$DF816,4)&amp;"","")&amp;"␟"&amp;IFERROR(INDEX(PASTE_ALL,$DF816,5)&amp;"","")&amp;"␟"&amp;IFERROR(INDEX(PASTE_ALL,$DF816,6)&amp;"","")&amp;"␟"&amp;IFERROR(INDEX(PASTE_ALL,$DF816,7)&amp;"","")&amp;"␟"&amp;IFERROR(INDEX(PASTE_ALL,$DF816,8)&amp;"","")&amp;"␟"&amp;IFERROR(INDEX(PASTE_ALL,$DF816,9)&amp;"","")&amp;"␟"&amp;IFERROR(INDEX(PASTE_ALL,$DF816,10)&amp;"","")&amp;"␟"&amp;IFERROR(INDEX(PASTE_ALL,$DF816,11)&amp;"","")&amp;"␟"&amp;IFERROR(INDEX(PASTE_ALL,$DF816,12)&amp;"","")&amp;"␟"&amp;IFERROR(INDEX(PASTE_ALL,$DF816,13)&amp;"","")&amp;"␟"&amp;IFERROR(INDEX(PASTE_ALL,$DF816,14)&amp;"","")&amp;"␟"&amp;IFERROR(INDEX(PASTE_ALL,$DF816,15)&amp;"","")&amp;"␟"&amp;IFERROR(INDEX(PASTE_ALL,$DF816,16)&amp;"","")&amp;"␟"&amp;IFERROR(INDEX(PASTE_ALL,$DF816,17)&amp;"","")&amp;"␟"&amp;IFERROR(INDEX(PASTE_ALL,$DF816,18)&amp;"","")&amp;"␟"&amp;IFERROR(INDEX(PASTE_ALL,$DF816,19)&amp;"","")&amp;"␟"&amp;IFERROR(INDEX(PASTE_ALL,$DF816,20)&amp;"","")&amp;"␟"&amp;IFERROR(INDEX(PASTE_ALL,$DF816,21)&amp;"","")&amp;"␟"&amp;IFERROR(INDEX(PASTE_ALL,$DF816,22)&amp;"","")&amp;"␟"&amp;IFERROR(INDEX(PASTE_ALL,$DF816,23)&amp;"","")&amp;"␟"&amp;IFERROR(INDEX(PASTE_ALL,$DF816,24)&amp;"","")&amp;"␟"&amp;IFERROR(INDEX(PASTE_ALL,$DF816,25)&amp;"","")&amp;"␟"&amp;IFERROR(INDEX(PASTE_ALL,$DF816,26)&amp;"","")&amp;"␟"&amp;IFERROR(INDEX(PASTE_ALL,$DF816,27)&amp;"","")&amp;"␟"&amp;IFERROR(INDEX(PASTE_ALL,$DF816,28)&amp;"","")&amp;"␟"&amp;IFERROR(INDEX(PASTE_ALL,$DF816,29)&amp;"","")&amp;"␟"&amp;IFERROR(INDEX(PASTE_ALL,$DF816,30)&amp;"","")&amp;"␟"&amp;IFERROR(INDEX(PASTE_ALL,$DF816,31)&amp;"","")&amp;"␟"&amp;IFERROR(INDEX(PASTE_ALL,$DF816,32)&amp;"","")&amp;"␟"&amp;IFERROR(INDEX(PASTE_ALL,$DF816,33)&amp;"","")&amp;"␟"&amp;IFERROR(INDEX(PASTE_ALL,$DF816,34)&amp;"","")&amp;"␟"&amp;IFERROR(INDEX(PASTE_ALL,$DF816,35)&amp;"","")&amp;"␟"&amp;IFERROR(INDEX(PASTE_ALL,$DF816,36)&amp;"","")&amp;"␟"&amp;IFERROR(INDEX(PASTE_ALL,$DF816,37)&amp;"","")&amp;"␟"&amp;IFERROR(INDEX(PASTE_ALL,$DF816,38)&amp;"","")&amp;"␟"&amp;IFERROR(INDEX(PASTE_ALL,$DF816,39)&amp;"","")&amp;"␟"&amp;IFERROR(INDEX(PASTE_ALL,$DF816,40)&amp;"","")&amp;"␟"&amp;IFERROR(INDEX(PASTE_ALL,$DF816,41)&amp;"","")&amp;"␟"&amp;IFERROR(INDEX(PASTE_ALL,$DF816,42)&amp;"","")&amp;"␟"&amp;IFERROR(INDEX(PASTE_ALL,$DF816,43)&amp;"","")&amp;"␟"&amp;IFERROR(INDEX(PASTE_ALL,$DF816,44)&amp;"","")&amp;"␟"&amp;IFERROR(INDEX(PASTE_ALL,$DF816,45)&amp;"","")&amp;"␟"&amp;IFERROR(INDEX(PASTE_ALL,$DF816,46)&amp;"","")&amp;"␟"&amp;IFERROR(INDEX(PASTE_ALL,$DF816,47)&amp;"","")&amp;"␟"&amp;IFERROR(INDEX(PASTE_ALL,$DF816,48)&amp;"","")&amp;"␟"&amp;IFERROR(INDEX(PASTE_ALL,$DF816,49)&amp;"","")&amp;"␟"&amp;IFERROR(INDEX(PASTE_ALL,$DF816,50)&amp;"","")&amp;"␟"&amp;IFERROR(INDEX(PASTE_ALL,$DF816,51)&amp;"","")&amp;"␟"&amp;IFERROR(INDEX(PASTE_ALL,$DF816,52)&amp;"","")&amp;"␟"&amp;IFERROR(INDEX(PASTE_ALL,$DF816,53)&amp;"","")&amp;"␟"&amp;IFERROR(INDEX(PASTE_ALL,$DF816,54)&amp;"","")&amp;"␟"&amp;IFERROR(INDEX(PASTE_ALL,$DF816,55)&amp;"","")&amp;"␟"&amp;IFERROR(INDEX(PASTE_ALL,$DF816,56)&amp;"","")&amp;"␟"&amp;IFERROR(INDEX(PASTE_ALL,$DF816,57)&amp;"","")&amp;"␟"&amp;IFERROR(INDEX(PASTE_ALL,$DF816,58)&amp;"","")&amp;"␟"&amp;IFERROR(INDEX(PASTE_ALL,$DF816,59)&amp;"","")&amp;"␟"&amp;IFERROR(INDEX(PASTE_ALL,$DF816,60)&amp;"","")," "," "),CHAR(9)," "),CHAR(10)," "),CHAR(13)," "))," ␟","␟"),"␟ ","␟"),"#"&amp;$DE816),"")</f>
        <v/>
      </c>
      <c r="DJ816">
        <f>IF($DI816="",0,IF(SUMPRODUCT(--EXACT($DI$4:DI815,$DI816))&gt;0,1,0))</f>
        <v/>
      </c>
      <c r="DK816">
        <f>IF(AND($DI816&lt;&gt;"",$DJ816=0),1,0)</f>
        <v/>
      </c>
      <c r="DL816">
        <f>DL815+$DK816</f>
        <v/>
      </c>
      <c r="DM816">
        <f>IF(AND($DK816=1,$DL816&lt;=600),1,0)</f>
        <v/>
      </c>
      <c r="DN816">
        <f>IF($DM816=0,"",IF($L$6=0,"",IFERROR(IF(ISNUMBER(INDEX(PASTE_ALL,$DF816,$L$6)),INDEX(PASTE_ALL,$DF816,$L$6),TRIM(SUBSTITUTE(SUBSTITUTE(SUBSTITUTE(SUBSTITUTE(INDEX(PASTE_ALL,$DF816,$L$6)," "," "),CHAR(9)," "),CHAR(10)," "),CHAR(13)," "))),"")))</f>
        <v/>
      </c>
      <c r="DO816">
        <f>IF($DM816=0,"",IF($L$7=0,"",IFERROR(IF(ISNUMBER(INDEX(PASTE_ALL,$DF816,$L$7)),INDEX(PASTE_ALL,$DF816,$L$7),TRIM(SUBSTITUTE(SUBSTITUTE(SUBSTITUTE(SUBSTITUTE(INDEX(PASTE_ALL,$DF816,$L$7)," "," "),CHAR(9)," "),CHAR(10)," "),CHAR(13)," "))),"")))</f>
        <v/>
      </c>
      <c r="DP816">
        <f>IF($DM816=0,"",IF($L$8=0,"",IFERROR(IF(ISNUMBER(INDEX(PASTE_ALL,$DF816,$L$8)),INDEX(PASTE_ALL,$DF816,$L$8),TRIM(SUBSTITUTE(SUBSTITUTE(SUBSTITUTE(SUBSTITUTE(INDEX(PASTE_ALL,$DF816,$L$8)," "," "),CHAR(9)," "),CHAR(10)," "),CHAR(13)," "))),"")))</f>
        <v/>
      </c>
      <c r="DQ816">
        <f>IF($DM816=0,"",IF($L$9=0,"",IFERROR(IF(ISNUMBER(INDEX(PASTE_ALL,$DF816,$L$9)),INDEX(PASTE_ALL,$DF816,$L$9),TRIM(SUBSTITUTE(SUBSTITUTE(SUBSTITUTE(SUBSTITUTE(INDEX(PASTE_ALL,$DF816,$L$9)," "," "),CHAR(9)," "),CHAR(10)," "),CHAR(13)," "))),"")))</f>
        <v/>
      </c>
      <c r="DR816">
        <f>IF($DM816=0,"",IF($L$10=0,"",IFERROR(IF(ISNUMBER(INDEX(PASTE_ALL,$DF816,$L$10)),INDEX(PASTE_ALL,$DF816,$L$10),TRIM(SUBSTITUTE(SUBSTITUTE(SUBSTITUTE(SUBSTITUTE(INDEX(PASTE_ALL,$DF816,$L$10)," "," "),CHAR(9)," "),CHAR(10)," "),CHAR(13)," "))),"")))</f>
        <v/>
      </c>
      <c r="DS816">
        <f>IF($DM816=0,"",IF($L$11=0,"",IFERROR(IF(ISNUMBER(INDEX(PASTE_ALL,$DF816,$L$11)),INDEX(PASTE_ALL,$DF816,$L$11),TRIM(SUBSTITUTE(SUBSTITUTE(SUBSTITUTE(SUBSTITUTE(INDEX(PASTE_ALL,$DF816,$L$11)," "," "),CHAR(9)," "),CHAR(10)," "),CHAR(13)," "))),"")))</f>
        <v/>
      </c>
      <c r="DT816">
        <f>IF($DM816=0,"",IF($L$12=0,"",IFERROR(IF(ISNUMBER(INDEX(PASTE_ALL,$DF816,$L$12)),INDEX(PASTE_ALL,$DF816,$L$12),TRIM(SUBSTITUTE(SUBSTITUTE(SUBSTITUTE(SUBSTITUTE(INDEX(PASTE_ALL,$DF816,$L$12)," "," "),CHAR(9)," "),CHAR(10)," "),CHAR(13)," "))),"")))</f>
        <v/>
      </c>
      <c r="DU816">
        <f>IF($DM816=0,"",IF($L$13=0,"",IFERROR(IF(ISNUMBER(INDEX(PASTE_ALL,$DF816,$L$13)),INDEX(PASTE_ALL,$DF816,$L$13),TRIM(SUBSTITUTE(SUBSTITUTE(SUBSTITUTE(SUBSTITUTE(INDEX(PASTE_ALL,$DF816,$L$13)," "," "),CHAR(9)," "),CHAR(10)," "),CHAR(13)," "))),"")))</f>
        <v/>
      </c>
      <c r="DV816">
        <f>IF($DM816=0,"",IF($L$14=0,"",IFERROR(IF(ISNUMBER(INDEX(PASTE_ALL,$DF816,$L$14)),INDEX(PASTE_ALL,$DF816,$L$14),TRIM(SUBSTITUTE(SUBSTITUTE(SUBSTITUTE(SUBSTITUTE(INDEX(PASTE_ALL,$DF816,$L$14)," "," "),CHAR(9)," "),CHAR(10)," "),CHAR(13)," "))),"")))</f>
        <v/>
      </c>
      <c r="DW816">
        <f>IF($DM816=0,"",IF($L$15=0,"",IFERROR(IF(ISNUMBER(INDEX(PASTE_ALL,$DF816,$L$15)),INDEX(PASTE_ALL,$DF816,$L$15),IF(SUMPRODUCT(--ISNUMBER(FIND({"A","B","C","D","E","F","G","H","I","J","K","L","M","N","O","P","Q","R","S","T","U","V","W","X","Y","Z","0","1","2","3","4","5","6","7","8","9"},UPPER(TRIM(SUBSTITUTE(SUBSTITUTE(SUBSTITUTE(SUBSTITUTE(INDEX(PASTE_ALL,$DF816,$L$15)," "," "),CHAR(9)," "),CHAR(10)," "),CHAR(13)," "))))))&gt;0,TRIM(SUBSTITUTE(SUBSTITUTE(SUBSTITUTE(SUBSTITUTE(INDEX(PASTE_ALL,$DF816,$L$15)," "," "),CHAR(9)," "),CHAR(10)," "),CHAR(13)," ")),"")),"")))</f>
        <v/>
      </c>
      <c r="DX816">
        <f>IF($DM816=0,"",IF($L$16=0,"",IFERROR(IF(ISNUMBER(INDEX(PASTE_ALL,$DF816,$L$16)),INDEX(PASTE_ALL,$DF816,$L$16),SUBSTITUTE(SUBSTITUTE(TRIM(SUBSTITUTE(SUBSTITUTE(SUBSTITUTE(SUBSTITUTE(INDEX(PASTE_ALL,$DF816,$L$16)," "," "),CHAR(9)," "),CHAR(10)," "),CHAR(13)," ")),",",""),"%","")),"")))</f>
        <v/>
      </c>
      <c r="DY816">
        <f>IF($DM816=0,"",IFERROR(IF(ISNUMBER($DX816),$DX816,IF($DX816="","",IF(TRIM($DX816)="",0,IF(AND(AND(SUBSTITUTE(SUBSTITUTE(SUBSTITUTE(SUBSTITUTE(SUBSTITUTE(SUBSTITUTE(SUBSTITUTE(SUBSTITUTE(SUBSTITUTE(SUBSTITUTE(SUBSTITUTE(SUBSTITUTE(SUBSTITUTE(SUBSTITUTE(UPPER(TRIM($DX816)),"0",""),"1",""),"2",""),"3",""),"4",""),"5",""),"6",""),"7",""),"8",""),"9",""),".",""),"+",""),"-",""),"E","")="",LEN(SUBSTITUTE(SUBSTITUTE(MID(UPPER(TRIM($DX816)),1+OR(LEFT(UPPER(TRIM($DX816)),1)="+",LEFT(UPPER(TRIM($DX816)),1)="-"),999),"E+","E"),"E-","E"))=LEN(SUBSTITUTE(SUBSTITUTE(SUBSTITUTE(SUBSTITUTE(MID(UPPER(TRIM($DX816)),1+OR(LEFT(UPPER(TRIM($DX816)),1)="+",LEFT(UPPER(TRIM($DX816)),1)="-"),999),"E+","E"),"E-","E"),"+",""),"-","")),LEN(UPPER(TRIM($DX816)))-LEN(SUBSTITUTE(UPPER(TRIM($DX816)),"E",""))&lt;2,LEN(UPPER(TRIM($DX816)))-LEN(SUBSTITUTE(UPPER(TRIM($DX816)),".",""))&lt;2,IFERROR(FIND(".",UPPER(TRIM($DX816))),0)&lt;IFERROR(FIND("E",UPPER(TRIM($DX816))),999)),ISNUMBER(VALUE(TRIM($DX816)))),VALUE(TRIM($DX816)),"")))),""))</f>
        <v/>
      </c>
      <c r="DZ816">
        <f>IF($DM816=0,"",IF($L$17=0,"",IFERROR(IF(ISNUMBER(INDEX(PASTE_ALL,$DF816,$L$17)),INDEX(PASTE_ALL,$DF816,$L$17),SUBSTITUTE(SUBSTITUTE(TRIM(SUBSTITUTE(SUBSTITUTE(SUBSTITUTE(SUBSTITUTE(INDEX(PASTE_ALL,$DF816,$L$17)," "," "),CHAR(9)," "),CHAR(10)," "),CHAR(13)," ")),",",""),"%","")),"")))</f>
        <v/>
      </c>
      <c r="EA816">
        <f>IF($DM816=0,"",IFERROR(IF(ISNUMBER($DZ816),$DZ816,IF($DZ816="","",IF(TRIM($DZ816)="",0,IF(AND(AND(SUBSTITUTE(SUBSTITUTE(SUBSTITUTE(SUBSTITUTE(SUBSTITUTE(SUBSTITUTE(SUBSTITUTE(SUBSTITUTE(SUBSTITUTE(SUBSTITUTE(SUBSTITUTE(SUBSTITUTE(SUBSTITUTE(SUBSTITUTE(UPPER(TRIM($DZ816)),"0",""),"1",""),"2",""),"3",""),"4",""),"5",""),"6",""),"7",""),"8",""),"9",""),".",""),"+",""),"-",""),"E","")="",LEN(SUBSTITUTE(SUBSTITUTE(MID(UPPER(TRIM($DZ816)),1+OR(LEFT(UPPER(TRIM($DZ816)),1)="+",LEFT(UPPER(TRIM($DZ816)),1)="-"),999),"E+","E"),"E-","E"))=LEN(SUBSTITUTE(SUBSTITUTE(SUBSTITUTE(SUBSTITUTE(MID(UPPER(TRIM($DZ816)),1+OR(LEFT(UPPER(TRIM($DZ816)),1)="+",LEFT(UPPER(TRIM($DZ816)),1)="-"),999),"E+","E"),"E-","E"),"+",""),"-","")),LEN(UPPER(TRIM($DZ816)))-LEN(SUBSTITUTE(UPPER(TRIM($DZ816)),"E",""))&lt;2,LEN(UPPER(TRIM($DZ816)))-LEN(SUBSTITUTE(UPPER(TRIM($DZ816)),".",""))&lt;2,IFERROR(FIND(".",UPPER(TRIM($DZ816))),0)&lt;IFERROR(FIND("E",UPPER(TRIM($DZ816))),999)),ISNUMBER(VALUE(TRIM($DZ816)))),VALUE(TRIM($DZ816)),"")))),""))</f>
        <v/>
      </c>
      <c r="EB816">
        <f>IF($DM816=0,"",IF($L$18=0,"",IFERROR(IF(UPPER(TRIM(SUBSTITUTE(SUBSTITUTE(SUBSTITUTE(SUBSTITUTE(INDEX(PASTE_ALL,$DF816,$L$18)," "," "),CHAR(9)," "),CHAR(10)," "),CHAR(13)," ")))="READY","Ready",IF(UPPER(TRIM(SUBSTITUTE(SUBSTITUTE(SUBSTITUTE(SUBSTITUTE(INDEX(PASTE_ALL,$DF816,$L$18)," "," "),CHAR(9)," "),CHAR(10)," "),CHAR(13)," ")))="PM","PM",IF(OR(UPPER(TRIM(SUBSTITUTE(SUBSTITUTE(SUBSTITUTE(SUBSTITUTE(INDEX(PASTE_ALL,$DF816,$L$18)," "," "),CHAR(9)," "),CHAR(10)," "),CHAR(13)," ")))="OT",UPPER(TRIM(SUBSTITUTE(SUBSTITUTE(SUBSTITUTE(SUBSTITUTE(INDEX(PASTE_ALL,$DF816,$L$18)," "," "),CHAR(9)," "),CHAR(10)," "),CHAR(13)," ")))="OVERTIME",UPPER(TRIM(SUBSTITUTE(SUBSTITUTE(SUBSTITUTE(SUBSTITUTE(INDEX(PASTE_ALL,$DF816,$L$18)," "," "),CHAR(9)," "),CHAR(10)," "),CHAR(13)," ")))="TRIAL"),"OT",TRIM(SUBSTITUTE(SUBSTITUTE(SUBSTITUTE(SUBSTITUTE(INDEX(PASTE_ALL,$DF816,$L$18)," "," "),CHAR(9)," "),CHAR(10)," "),CHAR(13)," "))))),"")))</f>
        <v/>
      </c>
      <c r="EC816">
        <f>IF($DM816=0,"",IF($L$19=0,"",IFERROR(IF(ISNUMBER(INDEX(PASTE_ALL,$DF816,$L$19)),INDEX(PASTE_ALL,$DF816,$L$19),TRIM(SUBSTITUTE(SUBSTITUTE(SUBSTITUTE(SUBSTITUTE(INDEX(PASTE_ALL,$DF816,$L$19)," "," "),CHAR(9)," "),CHAR(10)," "),CHAR(13)," "))),"")))</f>
        <v/>
      </c>
      <c r="ED816">
        <f>IF($DM816=0,"",MATCH(1,INDEX(EXACT($DH$5:DH816,$DH816)*$DM$5:DM816,0),0))</f>
        <v/>
      </c>
      <c r="EE816">
        <f>IF($DM816=0,0,IF($ED816=$DE816,1,0))</f>
        <v/>
      </c>
      <c r="EF816">
        <f>EF815+$EE816</f>
        <v/>
      </c>
      <c r="EG816">
        <f>IF($DM816=0,"",INDEX($EF$5:$EF$1003,$ED816))</f>
        <v/>
      </c>
      <c r="EH816">
        <f>IF($DM816=0,"",IF($DO816&lt;&gt;"","",IFERROR(LOOKUP(2,1/(($EG$4:EG815=$EG816)*($DO$4:DO815&lt;&gt;"")),$DO$4:DO815),"")))</f>
        <v/>
      </c>
      <c r="EI816">
        <f>IF($DM816=0,"",IF($DO816&lt;&gt;"",$DO816,$EH816))</f>
        <v/>
      </c>
      <c r="EJ816">
        <f>IF($DM816=0,"",IF($EI816="",0,IF(OR(ISNUMBER($EI816),AND(AND(SUBSTITUTE(SUBSTITUTE(SUBSTITUTE(SUBSTITUTE(SUBSTITUTE(SUBSTITUTE(SUBSTITUTE(SUBSTITUTE(SUBSTITUTE(SUBSTITUTE(SUBSTITUTE(SUBSTITUTE(SUBSTITUTE(SUBSTITUTE(UPPER($EI816),"0",""),"1",""),"2",""),"3",""),"4",""),"5",""),"6",""),"7",""),"8",""),"9",""),".",""),"+",""),"-",""),"E","")="",LEN(SUBSTITUTE(SUBSTITUTE(MID(UPPER($EI816),1+OR(LEFT(UPPER($EI816),1)="+",LEFT(UPPER($EI816),1)="-"),999),"E+","E"),"E-","E"))=LEN(SUBSTITUTE(SUBSTITUTE(SUBSTITUTE(SUBSTITUTE(MID(UPPER($EI816),1+OR(LEFT(UPPER($EI816),1)="+",LEFT(UPPER($EI816),1)="-"),999),"E+","E"),"E-","E"),"+",""),"-","")),LEN(UPPER($EI816))-LEN(SUBSTITUTE(UPPER($EI816),"E",""))&lt;2,LEN(UPPER($EI816))-LEN(SUBSTITUTE(UPPER($EI816),".",""))&lt;2,IFERROR(FIND(".",UPPER($EI816)),0)&lt;IFERROR(FIND("E",UPPER($EI816)),999)),ISNUMBER(VALUE($EI816)))),1,2)))</f>
        <v/>
      </c>
      <c r="EK816">
        <f>IF($DM816=0,"",IF($EJ816=1,IF(ISNUMBER($EI816),$EI816,VALUE($EI816)),IF($EJ816=2,$DE816,0)))</f>
        <v/>
      </c>
      <c r="EL816">
        <f>IF($DM816=0,"",COUNTIF($EG$5:$EG$1003,"&lt;"&amp;$EG816)+SUMPRODUCT(($EG$5:$EG$1003=$EG816)*(($EJ$5:$EJ$1003&lt;$EJ816)+($EJ$5:$EJ$1003=$EJ816)*(($EK$5:$EK$1003&lt;$EK816)+($EK$5:$EK$1003=$EK816)*($DE$5:$DE$1003&lt;$DE816))))+1)</f>
        <v/>
      </c>
      <c r="EM816">
        <f>IF($DM816=0,"",$EL816+$EG816-1)</f>
        <v/>
      </c>
      <c r="EN816">
        <f>IF($DM816=0,0,IFERROR(MATCH(1,INDEX(--(TRIM(SUBSTITUTE(SUBSTITUTE(SUBSTITUTE(SUBSTITUTE(LINES_NAME&amp;""," "," "),CHAR(9)," "),CHAR(10)," "),CHAR(13)," "))=$DH816),0),0),0))</f>
        <v/>
      </c>
      <c r="EO816">
        <f>IF($EN816=0,0,IF(OR(UPPER(TRIM(INDEX(LINES_SCHEDULED,$EN816)&amp;""))="YES",UPPER(TRIM(INDEX(LINES_SCHEDULED,$EN816)&amp;""))="Y",UPPER(TRIM(INDEX(LINES_SCHEDULED,$EN816)&amp;""))="X"),1,0))</f>
        <v/>
      </c>
      <c r="EP816">
        <f>IF($DM816=0,"",IF(COUNTIFS($EG$5:$EG$1003,$EG816,$EB$5:$EB$1003,"Ready")&gt;0,"READY",IF(COUNTIFS($EG$5:$EG$1003,$EG816,$EB$5:$EB$1003,"PM")&gt;0,"PM",IF(COUNTIFS($EG$5:$EG$1003,$EG816,$EB$5:$EB$1003,"OT")&gt;0,"OT",""))))</f>
        <v/>
      </c>
      <c r="EQ816">
        <f>IF($EN816=0,"",UPPER(TRIM(INDEX(LINES_STATUS,$EN816)&amp;"")))</f>
        <v/>
      </c>
      <c r="ER816">
        <f>IF($DM816=0,"",IF(OR($EQ816="READY",$EQ816="PM",$EQ816="OT"),$EQ816,$EP816))</f>
        <v/>
      </c>
      <c r="ES816">
        <f>IF($DM816=0,"",IF(AND($DV816&lt;&gt;"",UPPER($DV816)&lt;&gt;"N"),"allergen",IF(ISNUMBER(SEARCH("oil",$DQ816)),"oil",IF(OR(EXACT($DS816,"A662"),EXACT($DS816,"A624")),"bulk",""))))</f>
        <v/>
      </c>
      <c r="ET816">
        <f>IF($DM816=0,"",IF(OR($EA816="",$EA816=0),"",$EA816/100))</f>
        <v/>
      </c>
      <c r="EU816">
        <f>IF(OR($ET816="",$DY816=""),"",INT($DY816*(1-$ET816)+0.5))</f>
        <v/>
      </c>
    </row>
    <row r="817">
      <c r="DA817" t="n">
        <v>813</v>
      </c>
      <c r="DB817">
        <f>IF($B$37=0,"",IFERROR(TRIM(SUBSTITUTE(SUBSTITUTE(SUBSTITUTE(SUBSTITUTE(INDEX(PASTE_ALL,813,$B$37)," "," "),CHAR(9)," "),CHAR(10)," "),CHAR(13)," ")),""))</f>
        <v/>
      </c>
      <c r="DC817">
        <f>IF(AND(813&gt;HEADER_ROW,UPPER(DB817)="LEGEND"),1,0)</f>
        <v/>
      </c>
      <c r="DE817" t="n">
        <v>813</v>
      </c>
      <c r="DF817">
        <f>HEADER_ROW+$DE817</f>
        <v/>
      </c>
      <c r="DG817">
        <f>IF(AND($DF817&lt;=1000,$DF817&lt;$B$8),1,0)</f>
        <v/>
      </c>
      <c r="DH817">
        <f>IF($DG817=1,IFERROR(INDEX($DB$5:$DB$1004,$DF817),""),"")</f>
        <v/>
      </c>
      <c r="DI817">
        <f>IF(AND($DG817=1,$DH817&lt;&gt;""),IFERROR(SUBSTITUTE(SUBSTITUTE(TRIM(SUBSTITUTE(SUBSTITUTE(SUBSTITUTE(SUBSTITUTE(IFERROR(INDEX(PASTE_ALL,$DF817,1)&amp;"","")&amp;"␟"&amp;IFERROR(INDEX(PASTE_ALL,$DF817,2)&amp;"","")&amp;"␟"&amp;IFERROR(INDEX(PASTE_ALL,$DF817,3)&amp;"","")&amp;"␟"&amp;IFERROR(INDEX(PASTE_ALL,$DF817,4)&amp;"","")&amp;"␟"&amp;IFERROR(INDEX(PASTE_ALL,$DF817,5)&amp;"","")&amp;"␟"&amp;IFERROR(INDEX(PASTE_ALL,$DF817,6)&amp;"","")&amp;"␟"&amp;IFERROR(INDEX(PASTE_ALL,$DF817,7)&amp;"","")&amp;"␟"&amp;IFERROR(INDEX(PASTE_ALL,$DF817,8)&amp;"","")&amp;"␟"&amp;IFERROR(INDEX(PASTE_ALL,$DF817,9)&amp;"","")&amp;"␟"&amp;IFERROR(INDEX(PASTE_ALL,$DF817,10)&amp;"","")&amp;"␟"&amp;IFERROR(INDEX(PASTE_ALL,$DF817,11)&amp;"","")&amp;"␟"&amp;IFERROR(INDEX(PASTE_ALL,$DF817,12)&amp;"","")&amp;"␟"&amp;IFERROR(INDEX(PASTE_ALL,$DF817,13)&amp;"","")&amp;"␟"&amp;IFERROR(INDEX(PASTE_ALL,$DF817,14)&amp;"","")&amp;"␟"&amp;IFERROR(INDEX(PASTE_ALL,$DF817,15)&amp;"","")&amp;"␟"&amp;IFERROR(INDEX(PASTE_ALL,$DF817,16)&amp;"","")&amp;"␟"&amp;IFERROR(INDEX(PASTE_ALL,$DF817,17)&amp;"","")&amp;"␟"&amp;IFERROR(INDEX(PASTE_ALL,$DF817,18)&amp;"","")&amp;"␟"&amp;IFERROR(INDEX(PASTE_ALL,$DF817,19)&amp;"","")&amp;"␟"&amp;IFERROR(INDEX(PASTE_ALL,$DF817,20)&amp;"","")&amp;"␟"&amp;IFERROR(INDEX(PASTE_ALL,$DF817,21)&amp;"","")&amp;"␟"&amp;IFERROR(INDEX(PASTE_ALL,$DF817,22)&amp;"","")&amp;"␟"&amp;IFERROR(INDEX(PASTE_ALL,$DF817,23)&amp;"","")&amp;"␟"&amp;IFERROR(INDEX(PASTE_ALL,$DF817,24)&amp;"","")&amp;"␟"&amp;IFERROR(INDEX(PASTE_ALL,$DF817,25)&amp;"","")&amp;"␟"&amp;IFERROR(INDEX(PASTE_ALL,$DF817,26)&amp;"","")&amp;"␟"&amp;IFERROR(INDEX(PASTE_ALL,$DF817,27)&amp;"","")&amp;"␟"&amp;IFERROR(INDEX(PASTE_ALL,$DF817,28)&amp;"","")&amp;"␟"&amp;IFERROR(INDEX(PASTE_ALL,$DF817,29)&amp;"","")&amp;"␟"&amp;IFERROR(INDEX(PASTE_ALL,$DF817,30)&amp;"","")&amp;"␟"&amp;IFERROR(INDEX(PASTE_ALL,$DF817,31)&amp;"","")&amp;"␟"&amp;IFERROR(INDEX(PASTE_ALL,$DF817,32)&amp;"","")&amp;"␟"&amp;IFERROR(INDEX(PASTE_ALL,$DF817,33)&amp;"","")&amp;"␟"&amp;IFERROR(INDEX(PASTE_ALL,$DF817,34)&amp;"","")&amp;"␟"&amp;IFERROR(INDEX(PASTE_ALL,$DF817,35)&amp;"","")&amp;"␟"&amp;IFERROR(INDEX(PASTE_ALL,$DF817,36)&amp;"","")&amp;"␟"&amp;IFERROR(INDEX(PASTE_ALL,$DF817,37)&amp;"","")&amp;"␟"&amp;IFERROR(INDEX(PASTE_ALL,$DF817,38)&amp;"","")&amp;"␟"&amp;IFERROR(INDEX(PASTE_ALL,$DF817,39)&amp;"","")&amp;"␟"&amp;IFERROR(INDEX(PASTE_ALL,$DF817,40)&amp;"","")&amp;"␟"&amp;IFERROR(INDEX(PASTE_ALL,$DF817,41)&amp;"","")&amp;"␟"&amp;IFERROR(INDEX(PASTE_ALL,$DF817,42)&amp;"","")&amp;"␟"&amp;IFERROR(INDEX(PASTE_ALL,$DF817,43)&amp;"","")&amp;"␟"&amp;IFERROR(INDEX(PASTE_ALL,$DF817,44)&amp;"","")&amp;"␟"&amp;IFERROR(INDEX(PASTE_ALL,$DF817,45)&amp;"","")&amp;"␟"&amp;IFERROR(INDEX(PASTE_ALL,$DF817,46)&amp;"","")&amp;"␟"&amp;IFERROR(INDEX(PASTE_ALL,$DF817,47)&amp;"","")&amp;"␟"&amp;IFERROR(INDEX(PASTE_ALL,$DF817,48)&amp;"","")&amp;"␟"&amp;IFERROR(INDEX(PASTE_ALL,$DF817,49)&amp;"","")&amp;"␟"&amp;IFERROR(INDEX(PASTE_ALL,$DF817,50)&amp;"","")&amp;"␟"&amp;IFERROR(INDEX(PASTE_ALL,$DF817,51)&amp;"","")&amp;"␟"&amp;IFERROR(INDEX(PASTE_ALL,$DF817,52)&amp;"","")&amp;"␟"&amp;IFERROR(INDEX(PASTE_ALL,$DF817,53)&amp;"","")&amp;"␟"&amp;IFERROR(INDEX(PASTE_ALL,$DF817,54)&amp;"","")&amp;"␟"&amp;IFERROR(INDEX(PASTE_ALL,$DF817,55)&amp;"","")&amp;"␟"&amp;IFERROR(INDEX(PASTE_ALL,$DF817,56)&amp;"","")&amp;"␟"&amp;IFERROR(INDEX(PASTE_ALL,$DF817,57)&amp;"","")&amp;"␟"&amp;IFERROR(INDEX(PASTE_ALL,$DF817,58)&amp;"","")&amp;"␟"&amp;IFERROR(INDEX(PASTE_ALL,$DF817,59)&amp;"","")&amp;"␟"&amp;IFERROR(INDEX(PASTE_ALL,$DF817,60)&amp;"","")," "," "),CHAR(9)," "),CHAR(10)," "),CHAR(13)," "))," ␟","␟"),"␟ ","␟"),"#"&amp;$DE817),"")</f>
        <v/>
      </c>
      <c r="DJ817">
        <f>IF($DI817="",0,IF(SUMPRODUCT(--EXACT($DI$4:DI816,$DI817))&gt;0,1,0))</f>
        <v/>
      </c>
      <c r="DK817">
        <f>IF(AND($DI817&lt;&gt;"",$DJ817=0),1,0)</f>
        <v/>
      </c>
      <c r="DL817">
        <f>DL816+$DK817</f>
        <v/>
      </c>
      <c r="DM817">
        <f>IF(AND($DK817=1,$DL817&lt;=600),1,0)</f>
        <v/>
      </c>
      <c r="DN817">
        <f>IF($DM817=0,"",IF($L$6=0,"",IFERROR(IF(ISNUMBER(INDEX(PASTE_ALL,$DF817,$L$6)),INDEX(PASTE_ALL,$DF817,$L$6),TRIM(SUBSTITUTE(SUBSTITUTE(SUBSTITUTE(SUBSTITUTE(INDEX(PASTE_ALL,$DF817,$L$6)," "," "),CHAR(9)," "),CHAR(10)," "),CHAR(13)," "))),"")))</f>
        <v/>
      </c>
      <c r="DO817">
        <f>IF($DM817=0,"",IF($L$7=0,"",IFERROR(IF(ISNUMBER(INDEX(PASTE_ALL,$DF817,$L$7)),INDEX(PASTE_ALL,$DF817,$L$7),TRIM(SUBSTITUTE(SUBSTITUTE(SUBSTITUTE(SUBSTITUTE(INDEX(PASTE_ALL,$DF817,$L$7)," "," "),CHAR(9)," "),CHAR(10)," "),CHAR(13)," "))),"")))</f>
        <v/>
      </c>
      <c r="DP817">
        <f>IF($DM817=0,"",IF($L$8=0,"",IFERROR(IF(ISNUMBER(INDEX(PASTE_ALL,$DF817,$L$8)),INDEX(PASTE_ALL,$DF817,$L$8),TRIM(SUBSTITUTE(SUBSTITUTE(SUBSTITUTE(SUBSTITUTE(INDEX(PASTE_ALL,$DF817,$L$8)," "," "),CHAR(9)," "),CHAR(10)," "),CHAR(13)," "))),"")))</f>
        <v/>
      </c>
      <c r="DQ817">
        <f>IF($DM817=0,"",IF($L$9=0,"",IFERROR(IF(ISNUMBER(INDEX(PASTE_ALL,$DF817,$L$9)),INDEX(PASTE_ALL,$DF817,$L$9),TRIM(SUBSTITUTE(SUBSTITUTE(SUBSTITUTE(SUBSTITUTE(INDEX(PASTE_ALL,$DF817,$L$9)," "," "),CHAR(9)," "),CHAR(10)," "),CHAR(13)," "))),"")))</f>
        <v/>
      </c>
      <c r="DR817">
        <f>IF($DM817=0,"",IF($L$10=0,"",IFERROR(IF(ISNUMBER(INDEX(PASTE_ALL,$DF817,$L$10)),INDEX(PASTE_ALL,$DF817,$L$10),TRIM(SUBSTITUTE(SUBSTITUTE(SUBSTITUTE(SUBSTITUTE(INDEX(PASTE_ALL,$DF817,$L$10)," "," "),CHAR(9)," "),CHAR(10)," "),CHAR(13)," "))),"")))</f>
        <v/>
      </c>
      <c r="DS817">
        <f>IF($DM817=0,"",IF($L$11=0,"",IFERROR(IF(ISNUMBER(INDEX(PASTE_ALL,$DF817,$L$11)),INDEX(PASTE_ALL,$DF817,$L$11),TRIM(SUBSTITUTE(SUBSTITUTE(SUBSTITUTE(SUBSTITUTE(INDEX(PASTE_ALL,$DF817,$L$11)," "," "),CHAR(9)," "),CHAR(10)," "),CHAR(13)," "))),"")))</f>
        <v/>
      </c>
      <c r="DT817">
        <f>IF($DM817=0,"",IF($L$12=0,"",IFERROR(IF(ISNUMBER(INDEX(PASTE_ALL,$DF817,$L$12)),INDEX(PASTE_ALL,$DF817,$L$12),TRIM(SUBSTITUTE(SUBSTITUTE(SUBSTITUTE(SUBSTITUTE(INDEX(PASTE_ALL,$DF817,$L$12)," "," "),CHAR(9)," "),CHAR(10)," "),CHAR(13)," "))),"")))</f>
        <v/>
      </c>
      <c r="DU817">
        <f>IF($DM817=0,"",IF($L$13=0,"",IFERROR(IF(ISNUMBER(INDEX(PASTE_ALL,$DF817,$L$13)),INDEX(PASTE_ALL,$DF817,$L$13),TRIM(SUBSTITUTE(SUBSTITUTE(SUBSTITUTE(SUBSTITUTE(INDEX(PASTE_ALL,$DF817,$L$13)," "," "),CHAR(9)," "),CHAR(10)," "),CHAR(13)," "))),"")))</f>
        <v/>
      </c>
      <c r="DV817">
        <f>IF($DM817=0,"",IF($L$14=0,"",IFERROR(IF(ISNUMBER(INDEX(PASTE_ALL,$DF817,$L$14)),INDEX(PASTE_ALL,$DF817,$L$14),TRIM(SUBSTITUTE(SUBSTITUTE(SUBSTITUTE(SUBSTITUTE(INDEX(PASTE_ALL,$DF817,$L$14)," "," "),CHAR(9)," "),CHAR(10)," "),CHAR(13)," "))),"")))</f>
        <v/>
      </c>
      <c r="DW817">
        <f>IF($DM817=0,"",IF($L$15=0,"",IFERROR(IF(ISNUMBER(INDEX(PASTE_ALL,$DF817,$L$15)),INDEX(PASTE_ALL,$DF817,$L$15),IF(SUMPRODUCT(--ISNUMBER(FIND({"A","B","C","D","E","F","G","H","I","J","K","L","M","N","O","P","Q","R","S","T","U","V","W","X","Y","Z","0","1","2","3","4","5","6","7","8","9"},UPPER(TRIM(SUBSTITUTE(SUBSTITUTE(SUBSTITUTE(SUBSTITUTE(INDEX(PASTE_ALL,$DF817,$L$15)," "," "),CHAR(9)," "),CHAR(10)," "),CHAR(13)," "))))))&gt;0,TRIM(SUBSTITUTE(SUBSTITUTE(SUBSTITUTE(SUBSTITUTE(INDEX(PASTE_ALL,$DF817,$L$15)," "," "),CHAR(9)," "),CHAR(10)," "),CHAR(13)," ")),"")),"")))</f>
        <v/>
      </c>
      <c r="DX817">
        <f>IF($DM817=0,"",IF($L$16=0,"",IFERROR(IF(ISNUMBER(INDEX(PASTE_ALL,$DF817,$L$16)),INDEX(PASTE_ALL,$DF817,$L$16),SUBSTITUTE(SUBSTITUTE(TRIM(SUBSTITUTE(SUBSTITUTE(SUBSTITUTE(SUBSTITUTE(INDEX(PASTE_ALL,$DF817,$L$16)," "," "),CHAR(9)," "),CHAR(10)," "),CHAR(13)," ")),",",""),"%","")),"")))</f>
        <v/>
      </c>
      <c r="DY817">
        <f>IF($DM817=0,"",IFERROR(IF(ISNUMBER($DX817),$DX817,IF($DX817="","",IF(TRIM($DX817)="",0,IF(AND(AND(SUBSTITUTE(SUBSTITUTE(SUBSTITUTE(SUBSTITUTE(SUBSTITUTE(SUBSTITUTE(SUBSTITUTE(SUBSTITUTE(SUBSTITUTE(SUBSTITUTE(SUBSTITUTE(SUBSTITUTE(SUBSTITUTE(SUBSTITUTE(UPPER(TRIM($DX817)),"0",""),"1",""),"2",""),"3",""),"4",""),"5",""),"6",""),"7",""),"8",""),"9",""),".",""),"+",""),"-",""),"E","")="",LEN(SUBSTITUTE(SUBSTITUTE(MID(UPPER(TRIM($DX817)),1+OR(LEFT(UPPER(TRIM($DX817)),1)="+",LEFT(UPPER(TRIM($DX817)),1)="-"),999),"E+","E"),"E-","E"))=LEN(SUBSTITUTE(SUBSTITUTE(SUBSTITUTE(SUBSTITUTE(MID(UPPER(TRIM($DX817)),1+OR(LEFT(UPPER(TRIM($DX817)),1)="+",LEFT(UPPER(TRIM($DX817)),1)="-"),999),"E+","E"),"E-","E"),"+",""),"-","")),LEN(UPPER(TRIM($DX817)))-LEN(SUBSTITUTE(UPPER(TRIM($DX817)),"E",""))&lt;2,LEN(UPPER(TRIM($DX817)))-LEN(SUBSTITUTE(UPPER(TRIM($DX817)),".",""))&lt;2,IFERROR(FIND(".",UPPER(TRIM($DX817))),0)&lt;IFERROR(FIND("E",UPPER(TRIM($DX817))),999)),ISNUMBER(VALUE(TRIM($DX817)))),VALUE(TRIM($DX817)),"")))),""))</f>
        <v/>
      </c>
      <c r="DZ817">
        <f>IF($DM817=0,"",IF($L$17=0,"",IFERROR(IF(ISNUMBER(INDEX(PASTE_ALL,$DF817,$L$17)),INDEX(PASTE_ALL,$DF817,$L$17),SUBSTITUTE(SUBSTITUTE(TRIM(SUBSTITUTE(SUBSTITUTE(SUBSTITUTE(SUBSTITUTE(INDEX(PASTE_ALL,$DF817,$L$17)," "," "),CHAR(9)," "),CHAR(10)," "),CHAR(13)," ")),",",""),"%","")),"")))</f>
        <v/>
      </c>
      <c r="EA817">
        <f>IF($DM817=0,"",IFERROR(IF(ISNUMBER($DZ817),$DZ817,IF($DZ817="","",IF(TRIM($DZ817)="",0,IF(AND(AND(SUBSTITUTE(SUBSTITUTE(SUBSTITUTE(SUBSTITUTE(SUBSTITUTE(SUBSTITUTE(SUBSTITUTE(SUBSTITUTE(SUBSTITUTE(SUBSTITUTE(SUBSTITUTE(SUBSTITUTE(SUBSTITUTE(SUBSTITUTE(UPPER(TRIM($DZ817)),"0",""),"1",""),"2",""),"3",""),"4",""),"5",""),"6",""),"7",""),"8",""),"9",""),".",""),"+",""),"-",""),"E","")="",LEN(SUBSTITUTE(SUBSTITUTE(MID(UPPER(TRIM($DZ817)),1+OR(LEFT(UPPER(TRIM($DZ817)),1)="+",LEFT(UPPER(TRIM($DZ817)),1)="-"),999),"E+","E"),"E-","E"))=LEN(SUBSTITUTE(SUBSTITUTE(SUBSTITUTE(SUBSTITUTE(MID(UPPER(TRIM($DZ817)),1+OR(LEFT(UPPER(TRIM($DZ817)),1)="+",LEFT(UPPER(TRIM($DZ817)),1)="-"),999),"E+","E"),"E-","E"),"+",""),"-","")),LEN(UPPER(TRIM($DZ817)))-LEN(SUBSTITUTE(UPPER(TRIM($DZ817)),"E",""))&lt;2,LEN(UPPER(TRIM($DZ817)))-LEN(SUBSTITUTE(UPPER(TRIM($DZ817)),".",""))&lt;2,IFERROR(FIND(".",UPPER(TRIM($DZ817))),0)&lt;IFERROR(FIND("E",UPPER(TRIM($DZ817))),999)),ISNUMBER(VALUE(TRIM($DZ817)))),VALUE(TRIM($DZ817)),"")))),""))</f>
        <v/>
      </c>
      <c r="EB817">
        <f>IF($DM817=0,"",IF($L$18=0,"",IFERROR(IF(UPPER(TRIM(SUBSTITUTE(SUBSTITUTE(SUBSTITUTE(SUBSTITUTE(INDEX(PASTE_ALL,$DF817,$L$18)," "," "),CHAR(9)," "),CHAR(10)," "),CHAR(13)," ")))="READY","Ready",IF(UPPER(TRIM(SUBSTITUTE(SUBSTITUTE(SUBSTITUTE(SUBSTITUTE(INDEX(PASTE_ALL,$DF817,$L$18)," "," "),CHAR(9)," "),CHAR(10)," "),CHAR(13)," ")))="PM","PM",IF(OR(UPPER(TRIM(SUBSTITUTE(SUBSTITUTE(SUBSTITUTE(SUBSTITUTE(INDEX(PASTE_ALL,$DF817,$L$18)," "," "),CHAR(9)," "),CHAR(10)," "),CHAR(13)," ")))="OT",UPPER(TRIM(SUBSTITUTE(SUBSTITUTE(SUBSTITUTE(SUBSTITUTE(INDEX(PASTE_ALL,$DF817,$L$18)," "," "),CHAR(9)," "),CHAR(10)," "),CHAR(13)," ")))="OVERTIME",UPPER(TRIM(SUBSTITUTE(SUBSTITUTE(SUBSTITUTE(SUBSTITUTE(INDEX(PASTE_ALL,$DF817,$L$18)," "," "),CHAR(9)," "),CHAR(10)," "),CHAR(13)," ")))="TRIAL"),"OT",TRIM(SUBSTITUTE(SUBSTITUTE(SUBSTITUTE(SUBSTITUTE(INDEX(PASTE_ALL,$DF817,$L$18)," "," "),CHAR(9)," "),CHAR(10)," "),CHAR(13)," "))))),"")))</f>
        <v/>
      </c>
      <c r="EC817">
        <f>IF($DM817=0,"",IF($L$19=0,"",IFERROR(IF(ISNUMBER(INDEX(PASTE_ALL,$DF817,$L$19)),INDEX(PASTE_ALL,$DF817,$L$19),TRIM(SUBSTITUTE(SUBSTITUTE(SUBSTITUTE(SUBSTITUTE(INDEX(PASTE_ALL,$DF817,$L$19)," "," "),CHAR(9)," "),CHAR(10)," "),CHAR(13)," "))),"")))</f>
        <v/>
      </c>
      <c r="ED817">
        <f>IF($DM817=0,"",MATCH(1,INDEX(EXACT($DH$5:DH817,$DH817)*$DM$5:DM817,0),0))</f>
        <v/>
      </c>
      <c r="EE817">
        <f>IF($DM817=0,0,IF($ED817=$DE817,1,0))</f>
        <v/>
      </c>
      <c r="EF817">
        <f>EF816+$EE817</f>
        <v/>
      </c>
      <c r="EG817">
        <f>IF($DM817=0,"",INDEX($EF$5:$EF$1003,$ED817))</f>
        <v/>
      </c>
      <c r="EH817">
        <f>IF($DM817=0,"",IF($DO817&lt;&gt;"","",IFERROR(LOOKUP(2,1/(($EG$4:EG816=$EG817)*($DO$4:DO816&lt;&gt;"")),$DO$4:DO816),"")))</f>
        <v/>
      </c>
      <c r="EI817">
        <f>IF($DM817=0,"",IF($DO817&lt;&gt;"",$DO817,$EH817))</f>
        <v/>
      </c>
      <c r="EJ817">
        <f>IF($DM817=0,"",IF($EI817="",0,IF(OR(ISNUMBER($EI817),AND(AND(SUBSTITUTE(SUBSTITUTE(SUBSTITUTE(SUBSTITUTE(SUBSTITUTE(SUBSTITUTE(SUBSTITUTE(SUBSTITUTE(SUBSTITUTE(SUBSTITUTE(SUBSTITUTE(SUBSTITUTE(SUBSTITUTE(SUBSTITUTE(UPPER($EI817),"0",""),"1",""),"2",""),"3",""),"4",""),"5",""),"6",""),"7",""),"8",""),"9",""),".",""),"+",""),"-",""),"E","")="",LEN(SUBSTITUTE(SUBSTITUTE(MID(UPPER($EI817),1+OR(LEFT(UPPER($EI817),1)="+",LEFT(UPPER($EI817),1)="-"),999),"E+","E"),"E-","E"))=LEN(SUBSTITUTE(SUBSTITUTE(SUBSTITUTE(SUBSTITUTE(MID(UPPER($EI817),1+OR(LEFT(UPPER($EI817),1)="+",LEFT(UPPER($EI817),1)="-"),999),"E+","E"),"E-","E"),"+",""),"-","")),LEN(UPPER($EI817))-LEN(SUBSTITUTE(UPPER($EI817),"E",""))&lt;2,LEN(UPPER($EI817))-LEN(SUBSTITUTE(UPPER($EI817),".",""))&lt;2,IFERROR(FIND(".",UPPER($EI817)),0)&lt;IFERROR(FIND("E",UPPER($EI817)),999)),ISNUMBER(VALUE($EI817)))),1,2)))</f>
        <v/>
      </c>
      <c r="EK817">
        <f>IF($DM817=0,"",IF($EJ817=1,IF(ISNUMBER($EI817),$EI817,VALUE($EI817)),IF($EJ817=2,$DE817,0)))</f>
        <v/>
      </c>
      <c r="EL817">
        <f>IF($DM817=0,"",COUNTIF($EG$5:$EG$1003,"&lt;"&amp;$EG817)+SUMPRODUCT(($EG$5:$EG$1003=$EG817)*(($EJ$5:$EJ$1003&lt;$EJ817)+($EJ$5:$EJ$1003=$EJ817)*(($EK$5:$EK$1003&lt;$EK817)+($EK$5:$EK$1003=$EK817)*($DE$5:$DE$1003&lt;$DE817))))+1)</f>
        <v/>
      </c>
      <c r="EM817">
        <f>IF($DM817=0,"",$EL817+$EG817-1)</f>
        <v/>
      </c>
      <c r="EN817">
        <f>IF($DM817=0,0,IFERROR(MATCH(1,INDEX(--(TRIM(SUBSTITUTE(SUBSTITUTE(SUBSTITUTE(SUBSTITUTE(LINES_NAME&amp;""," "," "),CHAR(9)," "),CHAR(10)," "),CHAR(13)," "))=$DH817),0),0),0))</f>
        <v/>
      </c>
      <c r="EO817">
        <f>IF($EN817=0,0,IF(OR(UPPER(TRIM(INDEX(LINES_SCHEDULED,$EN817)&amp;""))="YES",UPPER(TRIM(INDEX(LINES_SCHEDULED,$EN817)&amp;""))="Y",UPPER(TRIM(INDEX(LINES_SCHEDULED,$EN817)&amp;""))="X"),1,0))</f>
        <v/>
      </c>
      <c r="EP817">
        <f>IF($DM817=0,"",IF(COUNTIFS($EG$5:$EG$1003,$EG817,$EB$5:$EB$1003,"Ready")&gt;0,"READY",IF(COUNTIFS($EG$5:$EG$1003,$EG817,$EB$5:$EB$1003,"PM")&gt;0,"PM",IF(COUNTIFS($EG$5:$EG$1003,$EG817,$EB$5:$EB$1003,"OT")&gt;0,"OT",""))))</f>
        <v/>
      </c>
      <c r="EQ817">
        <f>IF($EN817=0,"",UPPER(TRIM(INDEX(LINES_STATUS,$EN817)&amp;"")))</f>
        <v/>
      </c>
      <c r="ER817">
        <f>IF($DM817=0,"",IF(OR($EQ817="READY",$EQ817="PM",$EQ817="OT"),$EQ817,$EP817))</f>
        <v/>
      </c>
      <c r="ES817">
        <f>IF($DM817=0,"",IF(AND($DV817&lt;&gt;"",UPPER($DV817)&lt;&gt;"N"),"allergen",IF(ISNUMBER(SEARCH("oil",$DQ817)),"oil",IF(OR(EXACT($DS817,"A662"),EXACT($DS817,"A624")),"bulk",""))))</f>
        <v/>
      </c>
      <c r="ET817">
        <f>IF($DM817=0,"",IF(OR($EA817="",$EA817=0),"",$EA817/100))</f>
        <v/>
      </c>
      <c r="EU817">
        <f>IF(OR($ET817="",$DY817=""),"",INT($DY817*(1-$ET817)+0.5))</f>
        <v/>
      </c>
    </row>
    <row r="818">
      <c r="DA818" t="n">
        <v>814</v>
      </c>
      <c r="DB818">
        <f>IF($B$37=0,"",IFERROR(TRIM(SUBSTITUTE(SUBSTITUTE(SUBSTITUTE(SUBSTITUTE(INDEX(PASTE_ALL,814,$B$37)," "," "),CHAR(9)," "),CHAR(10)," "),CHAR(13)," ")),""))</f>
        <v/>
      </c>
      <c r="DC818">
        <f>IF(AND(814&gt;HEADER_ROW,UPPER(DB818)="LEGEND"),1,0)</f>
        <v/>
      </c>
      <c r="DE818" t="n">
        <v>814</v>
      </c>
      <c r="DF818">
        <f>HEADER_ROW+$DE818</f>
        <v/>
      </c>
      <c r="DG818">
        <f>IF(AND($DF818&lt;=1000,$DF818&lt;$B$8),1,0)</f>
        <v/>
      </c>
      <c r="DH818">
        <f>IF($DG818=1,IFERROR(INDEX($DB$5:$DB$1004,$DF818),""),"")</f>
        <v/>
      </c>
      <c r="DI818">
        <f>IF(AND($DG818=1,$DH818&lt;&gt;""),IFERROR(SUBSTITUTE(SUBSTITUTE(TRIM(SUBSTITUTE(SUBSTITUTE(SUBSTITUTE(SUBSTITUTE(IFERROR(INDEX(PASTE_ALL,$DF818,1)&amp;"","")&amp;"␟"&amp;IFERROR(INDEX(PASTE_ALL,$DF818,2)&amp;"","")&amp;"␟"&amp;IFERROR(INDEX(PASTE_ALL,$DF818,3)&amp;"","")&amp;"␟"&amp;IFERROR(INDEX(PASTE_ALL,$DF818,4)&amp;"","")&amp;"␟"&amp;IFERROR(INDEX(PASTE_ALL,$DF818,5)&amp;"","")&amp;"␟"&amp;IFERROR(INDEX(PASTE_ALL,$DF818,6)&amp;"","")&amp;"␟"&amp;IFERROR(INDEX(PASTE_ALL,$DF818,7)&amp;"","")&amp;"␟"&amp;IFERROR(INDEX(PASTE_ALL,$DF818,8)&amp;"","")&amp;"␟"&amp;IFERROR(INDEX(PASTE_ALL,$DF818,9)&amp;"","")&amp;"␟"&amp;IFERROR(INDEX(PASTE_ALL,$DF818,10)&amp;"","")&amp;"␟"&amp;IFERROR(INDEX(PASTE_ALL,$DF818,11)&amp;"","")&amp;"␟"&amp;IFERROR(INDEX(PASTE_ALL,$DF818,12)&amp;"","")&amp;"␟"&amp;IFERROR(INDEX(PASTE_ALL,$DF818,13)&amp;"","")&amp;"␟"&amp;IFERROR(INDEX(PASTE_ALL,$DF818,14)&amp;"","")&amp;"␟"&amp;IFERROR(INDEX(PASTE_ALL,$DF818,15)&amp;"","")&amp;"␟"&amp;IFERROR(INDEX(PASTE_ALL,$DF818,16)&amp;"","")&amp;"␟"&amp;IFERROR(INDEX(PASTE_ALL,$DF818,17)&amp;"","")&amp;"␟"&amp;IFERROR(INDEX(PASTE_ALL,$DF818,18)&amp;"","")&amp;"␟"&amp;IFERROR(INDEX(PASTE_ALL,$DF818,19)&amp;"","")&amp;"␟"&amp;IFERROR(INDEX(PASTE_ALL,$DF818,20)&amp;"","")&amp;"␟"&amp;IFERROR(INDEX(PASTE_ALL,$DF818,21)&amp;"","")&amp;"␟"&amp;IFERROR(INDEX(PASTE_ALL,$DF818,22)&amp;"","")&amp;"␟"&amp;IFERROR(INDEX(PASTE_ALL,$DF818,23)&amp;"","")&amp;"␟"&amp;IFERROR(INDEX(PASTE_ALL,$DF818,24)&amp;"","")&amp;"␟"&amp;IFERROR(INDEX(PASTE_ALL,$DF818,25)&amp;"","")&amp;"␟"&amp;IFERROR(INDEX(PASTE_ALL,$DF818,26)&amp;"","")&amp;"␟"&amp;IFERROR(INDEX(PASTE_ALL,$DF818,27)&amp;"","")&amp;"␟"&amp;IFERROR(INDEX(PASTE_ALL,$DF818,28)&amp;"","")&amp;"␟"&amp;IFERROR(INDEX(PASTE_ALL,$DF818,29)&amp;"","")&amp;"␟"&amp;IFERROR(INDEX(PASTE_ALL,$DF818,30)&amp;"","")&amp;"␟"&amp;IFERROR(INDEX(PASTE_ALL,$DF818,31)&amp;"","")&amp;"␟"&amp;IFERROR(INDEX(PASTE_ALL,$DF818,32)&amp;"","")&amp;"␟"&amp;IFERROR(INDEX(PASTE_ALL,$DF818,33)&amp;"","")&amp;"␟"&amp;IFERROR(INDEX(PASTE_ALL,$DF818,34)&amp;"","")&amp;"␟"&amp;IFERROR(INDEX(PASTE_ALL,$DF818,35)&amp;"","")&amp;"␟"&amp;IFERROR(INDEX(PASTE_ALL,$DF818,36)&amp;"","")&amp;"␟"&amp;IFERROR(INDEX(PASTE_ALL,$DF818,37)&amp;"","")&amp;"␟"&amp;IFERROR(INDEX(PASTE_ALL,$DF818,38)&amp;"","")&amp;"␟"&amp;IFERROR(INDEX(PASTE_ALL,$DF818,39)&amp;"","")&amp;"␟"&amp;IFERROR(INDEX(PASTE_ALL,$DF818,40)&amp;"","")&amp;"␟"&amp;IFERROR(INDEX(PASTE_ALL,$DF818,41)&amp;"","")&amp;"␟"&amp;IFERROR(INDEX(PASTE_ALL,$DF818,42)&amp;"","")&amp;"␟"&amp;IFERROR(INDEX(PASTE_ALL,$DF818,43)&amp;"","")&amp;"␟"&amp;IFERROR(INDEX(PASTE_ALL,$DF818,44)&amp;"","")&amp;"␟"&amp;IFERROR(INDEX(PASTE_ALL,$DF818,45)&amp;"","")&amp;"␟"&amp;IFERROR(INDEX(PASTE_ALL,$DF818,46)&amp;"","")&amp;"␟"&amp;IFERROR(INDEX(PASTE_ALL,$DF818,47)&amp;"","")&amp;"␟"&amp;IFERROR(INDEX(PASTE_ALL,$DF818,48)&amp;"","")&amp;"␟"&amp;IFERROR(INDEX(PASTE_ALL,$DF818,49)&amp;"","")&amp;"␟"&amp;IFERROR(INDEX(PASTE_ALL,$DF818,50)&amp;"","")&amp;"␟"&amp;IFERROR(INDEX(PASTE_ALL,$DF818,51)&amp;"","")&amp;"␟"&amp;IFERROR(INDEX(PASTE_ALL,$DF818,52)&amp;"","")&amp;"␟"&amp;IFERROR(INDEX(PASTE_ALL,$DF818,53)&amp;"","")&amp;"␟"&amp;IFERROR(INDEX(PASTE_ALL,$DF818,54)&amp;"","")&amp;"␟"&amp;IFERROR(INDEX(PASTE_ALL,$DF818,55)&amp;"","")&amp;"␟"&amp;IFERROR(INDEX(PASTE_ALL,$DF818,56)&amp;"","")&amp;"␟"&amp;IFERROR(INDEX(PASTE_ALL,$DF818,57)&amp;"","")&amp;"␟"&amp;IFERROR(INDEX(PASTE_ALL,$DF818,58)&amp;"","")&amp;"␟"&amp;IFERROR(INDEX(PASTE_ALL,$DF818,59)&amp;"","")&amp;"␟"&amp;IFERROR(INDEX(PASTE_ALL,$DF818,60)&amp;"","")," "," "),CHAR(9)," "),CHAR(10)," "),CHAR(13)," "))," ␟","␟"),"␟ ","␟"),"#"&amp;$DE818),"")</f>
        <v/>
      </c>
      <c r="DJ818">
        <f>IF($DI818="",0,IF(SUMPRODUCT(--EXACT($DI$4:DI817,$DI818))&gt;0,1,0))</f>
        <v/>
      </c>
      <c r="DK818">
        <f>IF(AND($DI818&lt;&gt;"",$DJ818=0),1,0)</f>
        <v/>
      </c>
      <c r="DL818">
        <f>DL817+$DK818</f>
        <v/>
      </c>
      <c r="DM818">
        <f>IF(AND($DK818=1,$DL818&lt;=600),1,0)</f>
        <v/>
      </c>
      <c r="DN818">
        <f>IF($DM818=0,"",IF($L$6=0,"",IFERROR(IF(ISNUMBER(INDEX(PASTE_ALL,$DF818,$L$6)),INDEX(PASTE_ALL,$DF818,$L$6),TRIM(SUBSTITUTE(SUBSTITUTE(SUBSTITUTE(SUBSTITUTE(INDEX(PASTE_ALL,$DF818,$L$6)," "," "),CHAR(9)," "),CHAR(10)," "),CHAR(13)," "))),"")))</f>
        <v/>
      </c>
      <c r="DO818">
        <f>IF($DM818=0,"",IF($L$7=0,"",IFERROR(IF(ISNUMBER(INDEX(PASTE_ALL,$DF818,$L$7)),INDEX(PASTE_ALL,$DF818,$L$7),TRIM(SUBSTITUTE(SUBSTITUTE(SUBSTITUTE(SUBSTITUTE(INDEX(PASTE_ALL,$DF818,$L$7)," "," "),CHAR(9)," "),CHAR(10)," "),CHAR(13)," "))),"")))</f>
        <v/>
      </c>
      <c r="DP818">
        <f>IF($DM818=0,"",IF($L$8=0,"",IFERROR(IF(ISNUMBER(INDEX(PASTE_ALL,$DF818,$L$8)),INDEX(PASTE_ALL,$DF818,$L$8),TRIM(SUBSTITUTE(SUBSTITUTE(SUBSTITUTE(SUBSTITUTE(INDEX(PASTE_ALL,$DF818,$L$8)," "," "),CHAR(9)," "),CHAR(10)," "),CHAR(13)," "))),"")))</f>
        <v/>
      </c>
      <c r="DQ818">
        <f>IF($DM818=0,"",IF($L$9=0,"",IFERROR(IF(ISNUMBER(INDEX(PASTE_ALL,$DF818,$L$9)),INDEX(PASTE_ALL,$DF818,$L$9),TRIM(SUBSTITUTE(SUBSTITUTE(SUBSTITUTE(SUBSTITUTE(INDEX(PASTE_ALL,$DF818,$L$9)," "," "),CHAR(9)," "),CHAR(10)," "),CHAR(13)," "))),"")))</f>
        <v/>
      </c>
      <c r="DR818">
        <f>IF($DM818=0,"",IF($L$10=0,"",IFERROR(IF(ISNUMBER(INDEX(PASTE_ALL,$DF818,$L$10)),INDEX(PASTE_ALL,$DF818,$L$10),TRIM(SUBSTITUTE(SUBSTITUTE(SUBSTITUTE(SUBSTITUTE(INDEX(PASTE_ALL,$DF818,$L$10)," "," "),CHAR(9)," "),CHAR(10)," "),CHAR(13)," "))),"")))</f>
        <v/>
      </c>
      <c r="DS818">
        <f>IF($DM818=0,"",IF($L$11=0,"",IFERROR(IF(ISNUMBER(INDEX(PASTE_ALL,$DF818,$L$11)),INDEX(PASTE_ALL,$DF818,$L$11),TRIM(SUBSTITUTE(SUBSTITUTE(SUBSTITUTE(SUBSTITUTE(INDEX(PASTE_ALL,$DF818,$L$11)," "," "),CHAR(9)," "),CHAR(10)," "),CHAR(13)," "))),"")))</f>
        <v/>
      </c>
      <c r="DT818">
        <f>IF($DM818=0,"",IF($L$12=0,"",IFERROR(IF(ISNUMBER(INDEX(PASTE_ALL,$DF818,$L$12)),INDEX(PASTE_ALL,$DF818,$L$12),TRIM(SUBSTITUTE(SUBSTITUTE(SUBSTITUTE(SUBSTITUTE(INDEX(PASTE_ALL,$DF818,$L$12)," "," "),CHAR(9)," "),CHAR(10)," "),CHAR(13)," "))),"")))</f>
        <v/>
      </c>
      <c r="DU818">
        <f>IF($DM818=0,"",IF($L$13=0,"",IFERROR(IF(ISNUMBER(INDEX(PASTE_ALL,$DF818,$L$13)),INDEX(PASTE_ALL,$DF818,$L$13),TRIM(SUBSTITUTE(SUBSTITUTE(SUBSTITUTE(SUBSTITUTE(INDEX(PASTE_ALL,$DF818,$L$13)," "," "),CHAR(9)," "),CHAR(10)," "),CHAR(13)," "))),"")))</f>
        <v/>
      </c>
      <c r="DV818">
        <f>IF($DM818=0,"",IF($L$14=0,"",IFERROR(IF(ISNUMBER(INDEX(PASTE_ALL,$DF818,$L$14)),INDEX(PASTE_ALL,$DF818,$L$14),TRIM(SUBSTITUTE(SUBSTITUTE(SUBSTITUTE(SUBSTITUTE(INDEX(PASTE_ALL,$DF818,$L$14)," "," "),CHAR(9)," "),CHAR(10)," "),CHAR(13)," "))),"")))</f>
        <v/>
      </c>
      <c r="DW818">
        <f>IF($DM818=0,"",IF($L$15=0,"",IFERROR(IF(ISNUMBER(INDEX(PASTE_ALL,$DF818,$L$15)),INDEX(PASTE_ALL,$DF818,$L$15),IF(SUMPRODUCT(--ISNUMBER(FIND({"A","B","C","D","E","F","G","H","I","J","K","L","M","N","O","P","Q","R","S","T","U","V","W","X","Y","Z","0","1","2","3","4","5","6","7","8","9"},UPPER(TRIM(SUBSTITUTE(SUBSTITUTE(SUBSTITUTE(SUBSTITUTE(INDEX(PASTE_ALL,$DF818,$L$15)," "," "),CHAR(9)," "),CHAR(10)," "),CHAR(13)," "))))))&gt;0,TRIM(SUBSTITUTE(SUBSTITUTE(SUBSTITUTE(SUBSTITUTE(INDEX(PASTE_ALL,$DF818,$L$15)," "," "),CHAR(9)," "),CHAR(10)," "),CHAR(13)," ")),"")),"")))</f>
        <v/>
      </c>
      <c r="DX818">
        <f>IF($DM818=0,"",IF($L$16=0,"",IFERROR(IF(ISNUMBER(INDEX(PASTE_ALL,$DF818,$L$16)),INDEX(PASTE_ALL,$DF818,$L$16),SUBSTITUTE(SUBSTITUTE(TRIM(SUBSTITUTE(SUBSTITUTE(SUBSTITUTE(SUBSTITUTE(INDEX(PASTE_ALL,$DF818,$L$16)," "," "),CHAR(9)," "),CHAR(10)," "),CHAR(13)," ")),",",""),"%","")),"")))</f>
        <v/>
      </c>
      <c r="DY818">
        <f>IF($DM818=0,"",IFERROR(IF(ISNUMBER($DX818),$DX818,IF($DX818="","",IF(TRIM($DX818)="",0,IF(AND(AND(SUBSTITUTE(SUBSTITUTE(SUBSTITUTE(SUBSTITUTE(SUBSTITUTE(SUBSTITUTE(SUBSTITUTE(SUBSTITUTE(SUBSTITUTE(SUBSTITUTE(SUBSTITUTE(SUBSTITUTE(SUBSTITUTE(SUBSTITUTE(UPPER(TRIM($DX818)),"0",""),"1",""),"2",""),"3",""),"4",""),"5",""),"6",""),"7",""),"8",""),"9",""),".",""),"+",""),"-",""),"E","")="",LEN(SUBSTITUTE(SUBSTITUTE(MID(UPPER(TRIM($DX818)),1+OR(LEFT(UPPER(TRIM($DX818)),1)="+",LEFT(UPPER(TRIM($DX818)),1)="-"),999),"E+","E"),"E-","E"))=LEN(SUBSTITUTE(SUBSTITUTE(SUBSTITUTE(SUBSTITUTE(MID(UPPER(TRIM($DX818)),1+OR(LEFT(UPPER(TRIM($DX818)),1)="+",LEFT(UPPER(TRIM($DX818)),1)="-"),999),"E+","E"),"E-","E"),"+",""),"-","")),LEN(UPPER(TRIM($DX818)))-LEN(SUBSTITUTE(UPPER(TRIM($DX818)),"E",""))&lt;2,LEN(UPPER(TRIM($DX818)))-LEN(SUBSTITUTE(UPPER(TRIM($DX818)),".",""))&lt;2,IFERROR(FIND(".",UPPER(TRIM($DX818))),0)&lt;IFERROR(FIND("E",UPPER(TRIM($DX818))),999)),ISNUMBER(VALUE(TRIM($DX818)))),VALUE(TRIM($DX818)),"")))),""))</f>
        <v/>
      </c>
      <c r="DZ818">
        <f>IF($DM818=0,"",IF($L$17=0,"",IFERROR(IF(ISNUMBER(INDEX(PASTE_ALL,$DF818,$L$17)),INDEX(PASTE_ALL,$DF818,$L$17),SUBSTITUTE(SUBSTITUTE(TRIM(SUBSTITUTE(SUBSTITUTE(SUBSTITUTE(SUBSTITUTE(INDEX(PASTE_ALL,$DF818,$L$17)," "," "),CHAR(9)," "),CHAR(10)," "),CHAR(13)," ")),",",""),"%","")),"")))</f>
        <v/>
      </c>
      <c r="EA818">
        <f>IF($DM818=0,"",IFERROR(IF(ISNUMBER($DZ818),$DZ818,IF($DZ818="","",IF(TRIM($DZ818)="",0,IF(AND(AND(SUBSTITUTE(SUBSTITUTE(SUBSTITUTE(SUBSTITUTE(SUBSTITUTE(SUBSTITUTE(SUBSTITUTE(SUBSTITUTE(SUBSTITUTE(SUBSTITUTE(SUBSTITUTE(SUBSTITUTE(SUBSTITUTE(SUBSTITUTE(UPPER(TRIM($DZ818)),"0",""),"1",""),"2",""),"3",""),"4",""),"5",""),"6",""),"7",""),"8",""),"9",""),".",""),"+",""),"-",""),"E","")="",LEN(SUBSTITUTE(SUBSTITUTE(MID(UPPER(TRIM($DZ818)),1+OR(LEFT(UPPER(TRIM($DZ818)),1)="+",LEFT(UPPER(TRIM($DZ818)),1)="-"),999),"E+","E"),"E-","E"))=LEN(SUBSTITUTE(SUBSTITUTE(SUBSTITUTE(SUBSTITUTE(MID(UPPER(TRIM($DZ818)),1+OR(LEFT(UPPER(TRIM($DZ818)),1)="+",LEFT(UPPER(TRIM($DZ818)),1)="-"),999),"E+","E"),"E-","E"),"+",""),"-","")),LEN(UPPER(TRIM($DZ818)))-LEN(SUBSTITUTE(UPPER(TRIM($DZ818)),"E",""))&lt;2,LEN(UPPER(TRIM($DZ818)))-LEN(SUBSTITUTE(UPPER(TRIM($DZ818)),".",""))&lt;2,IFERROR(FIND(".",UPPER(TRIM($DZ818))),0)&lt;IFERROR(FIND("E",UPPER(TRIM($DZ818))),999)),ISNUMBER(VALUE(TRIM($DZ818)))),VALUE(TRIM($DZ818)),"")))),""))</f>
        <v/>
      </c>
      <c r="EB818">
        <f>IF($DM818=0,"",IF($L$18=0,"",IFERROR(IF(UPPER(TRIM(SUBSTITUTE(SUBSTITUTE(SUBSTITUTE(SUBSTITUTE(INDEX(PASTE_ALL,$DF818,$L$18)," "," "),CHAR(9)," "),CHAR(10)," "),CHAR(13)," ")))="READY","Ready",IF(UPPER(TRIM(SUBSTITUTE(SUBSTITUTE(SUBSTITUTE(SUBSTITUTE(INDEX(PASTE_ALL,$DF818,$L$18)," "," "),CHAR(9)," "),CHAR(10)," "),CHAR(13)," ")))="PM","PM",IF(OR(UPPER(TRIM(SUBSTITUTE(SUBSTITUTE(SUBSTITUTE(SUBSTITUTE(INDEX(PASTE_ALL,$DF818,$L$18)," "," "),CHAR(9)," "),CHAR(10)," "),CHAR(13)," ")))="OT",UPPER(TRIM(SUBSTITUTE(SUBSTITUTE(SUBSTITUTE(SUBSTITUTE(INDEX(PASTE_ALL,$DF818,$L$18)," "," "),CHAR(9)," "),CHAR(10)," "),CHAR(13)," ")))="OVERTIME",UPPER(TRIM(SUBSTITUTE(SUBSTITUTE(SUBSTITUTE(SUBSTITUTE(INDEX(PASTE_ALL,$DF818,$L$18)," "," "),CHAR(9)," "),CHAR(10)," "),CHAR(13)," ")))="TRIAL"),"OT",TRIM(SUBSTITUTE(SUBSTITUTE(SUBSTITUTE(SUBSTITUTE(INDEX(PASTE_ALL,$DF818,$L$18)," "," "),CHAR(9)," "),CHAR(10)," "),CHAR(13)," "))))),"")))</f>
        <v/>
      </c>
      <c r="EC818">
        <f>IF($DM818=0,"",IF($L$19=0,"",IFERROR(IF(ISNUMBER(INDEX(PASTE_ALL,$DF818,$L$19)),INDEX(PASTE_ALL,$DF818,$L$19),TRIM(SUBSTITUTE(SUBSTITUTE(SUBSTITUTE(SUBSTITUTE(INDEX(PASTE_ALL,$DF818,$L$19)," "," "),CHAR(9)," "),CHAR(10)," "),CHAR(13)," "))),"")))</f>
        <v/>
      </c>
      <c r="ED818">
        <f>IF($DM818=0,"",MATCH(1,INDEX(EXACT($DH$5:DH818,$DH818)*$DM$5:DM818,0),0))</f>
        <v/>
      </c>
      <c r="EE818">
        <f>IF($DM818=0,0,IF($ED818=$DE818,1,0))</f>
        <v/>
      </c>
      <c r="EF818">
        <f>EF817+$EE818</f>
        <v/>
      </c>
      <c r="EG818">
        <f>IF($DM818=0,"",INDEX($EF$5:$EF$1003,$ED818))</f>
        <v/>
      </c>
      <c r="EH818">
        <f>IF($DM818=0,"",IF($DO818&lt;&gt;"","",IFERROR(LOOKUP(2,1/(($EG$4:EG817=$EG818)*($DO$4:DO817&lt;&gt;"")),$DO$4:DO817),"")))</f>
        <v/>
      </c>
      <c r="EI818">
        <f>IF($DM818=0,"",IF($DO818&lt;&gt;"",$DO818,$EH818))</f>
        <v/>
      </c>
      <c r="EJ818">
        <f>IF($DM818=0,"",IF($EI818="",0,IF(OR(ISNUMBER($EI818),AND(AND(SUBSTITUTE(SUBSTITUTE(SUBSTITUTE(SUBSTITUTE(SUBSTITUTE(SUBSTITUTE(SUBSTITUTE(SUBSTITUTE(SUBSTITUTE(SUBSTITUTE(SUBSTITUTE(SUBSTITUTE(SUBSTITUTE(SUBSTITUTE(UPPER($EI818),"0",""),"1",""),"2",""),"3",""),"4",""),"5",""),"6",""),"7",""),"8",""),"9",""),".",""),"+",""),"-",""),"E","")="",LEN(SUBSTITUTE(SUBSTITUTE(MID(UPPER($EI818),1+OR(LEFT(UPPER($EI818),1)="+",LEFT(UPPER($EI818),1)="-"),999),"E+","E"),"E-","E"))=LEN(SUBSTITUTE(SUBSTITUTE(SUBSTITUTE(SUBSTITUTE(MID(UPPER($EI818),1+OR(LEFT(UPPER($EI818),1)="+",LEFT(UPPER($EI818),1)="-"),999),"E+","E"),"E-","E"),"+",""),"-","")),LEN(UPPER($EI818))-LEN(SUBSTITUTE(UPPER($EI818),"E",""))&lt;2,LEN(UPPER($EI818))-LEN(SUBSTITUTE(UPPER($EI818),".",""))&lt;2,IFERROR(FIND(".",UPPER($EI818)),0)&lt;IFERROR(FIND("E",UPPER($EI818)),999)),ISNUMBER(VALUE($EI818)))),1,2)))</f>
        <v/>
      </c>
      <c r="EK818">
        <f>IF($DM818=0,"",IF($EJ818=1,IF(ISNUMBER($EI818),$EI818,VALUE($EI818)),IF($EJ818=2,$DE818,0)))</f>
        <v/>
      </c>
      <c r="EL818">
        <f>IF($DM818=0,"",COUNTIF($EG$5:$EG$1003,"&lt;"&amp;$EG818)+SUMPRODUCT(($EG$5:$EG$1003=$EG818)*(($EJ$5:$EJ$1003&lt;$EJ818)+($EJ$5:$EJ$1003=$EJ818)*(($EK$5:$EK$1003&lt;$EK818)+($EK$5:$EK$1003=$EK818)*($DE$5:$DE$1003&lt;$DE818))))+1)</f>
        <v/>
      </c>
      <c r="EM818">
        <f>IF($DM818=0,"",$EL818+$EG818-1)</f>
        <v/>
      </c>
      <c r="EN818">
        <f>IF($DM818=0,0,IFERROR(MATCH(1,INDEX(--(TRIM(SUBSTITUTE(SUBSTITUTE(SUBSTITUTE(SUBSTITUTE(LINES_NAME&amp;""," "," "),CHAR(9)," "),CHAR(10)," "),CHAR(13)," "))=$DH818),0),0),0))</f>
        <v/>
      </c>
      <c r="EO818">
        <f>IF($EN818=0,0,IF(OR(UPPER(TRIM(INDEX(LINES_SCHEDULED,$EN818)&amp;""))="YES",UPPER(TRIM(INDEX(LINES_SCHEDULED,$EN818)&amp;""))="Y",UPPER(TRIM(INDEX(LINES_SCHEDULED,$EN818)&amp;""))="X"),1,0))</f>
        <v/>
      </c>
      <c r="EP818">
        <f>IF($DM818=0,"",IF(COUNTIFS($EG$5:$EG$1003,$EG818,$EB$5:$EB$1003,"Ready")&gt;0,"READY",IF(COUNTIFS($EG$5:$EG$1003,$EG818,$EB$5:$EB$1003,"PM")&gt;0,"PM",IF(COUNTIFS($EG$5:$EG$1003,$EG818,$EB$5:$EB$1003,"OT")&gt;0,"OT",""))))</f>
        <v/>
      </c>
      <c r="EQ818">
        <f>IF($EN818=0,"",UPPER(TRIM(INDEX(LINES_STATUS,$EN818)&amp;"")))</f>
        <v/>
      </c>
      <c r="ER818">
        <f>IF($DM818=0,"",IF(OR($EQ818="READY",$EQ818="PM",$EQ818="OT"),$EQ818,$EP818))</f>
        <v/>
      </c>
      <c r="ES818">
        <f>IF($DM818=0,"",IF(AND($DV818&lt;&gt;"",UPPER($DV818)&lt;&gt;"N"),"allergen",IF(ISNUMBER(SEARCH("oil",$DQ818)),"oil",IF(OR(EXACT($DS818,"A662"),EXACT($DS818,"A624")),"bulk",""))))</f>
        <v/>
      </c>
      <c r="ET818">
        <f>IF($DM818=0,"",IF(OR($EA818="",$EA818=0),"",$EA818/100))</f>
        <v/>
      </c>
      <c r="EU818">
        <f>IF(OR($ET818="",$DY818=""),"",INT($DY818*(1-$ET818)+0.5))</f>
        <v/>
      </c>
    </row>
    <row r="819">
      <c r="DA819" t="n">
        <v>815</v>
      </c>
      <c r="DB819">
        <f>IF($B$37=0,"",IFERROR(TRIM(SUBSTITUTE(SUBSTITUTE(SUBSTITUTE(SUBSTITUTE(INDEX(PASTE_ALL,815,$B$37)," "," "),CHAR(9)," "),CHAR(10)," "),CHAR(13)," ")),""))</f>
        <v/>
      </c>
      <c r="DC819">
        <f>IF(AND(815&gt;HEADER_ROW,UPPER(DB819)="LEGEND"),1,0)</f>
        <v/>
      </c>
      <c r="DE819" t="n">
        <v>815</v>
      </c>
      <c r="DF819">
        <f>HEADER_ROW+$DE819</f>
        <v/>
      </c>
      <c r="DG819">
        <f>IF(AND($DF819&lt;=1000,$DF819&lt;$B$8),1,0)</f>
        <v/>
      </c>
      <c r="DH819">
        <f>IF($DG819=1,IFERROR(INDEX($DB$5:$DB$1004,$DF819),""),"")</f>
        <v/>
      </c>
      <c r="DI819">
        <f>IF(AND($DG819=1,$DH819&lt;&gt;""),IFERROR(SUBSTITUTE(SUBSTITUTE(TRIM(SUBSTITUTE(SUBSTITUTE(SUBSTITUTE(SUBSTITUTE(IFERROR(INDEX(PASTE_ALL,$DF819,1)&amp;"","")&amp;"␟"&amp;IFERROR(INDEX(PASTE_ALL,$DF819,2)&amp;"","")&amp;"␟"&amp;IFERROR(INDEX(PASTE_ALL,$DF819,3)&amp;"","")&amp;"␟"&amp;IFERROR(INDEX(PASTE_ALL,$DF819,4)&amp;"","")&amp;"␟"&amp;IFERROR(INDEX(PASTE_ALL,$DF819,5)&amp;"","")&amp;"␟"&amp;IFERROR(INDEX(PASTE_ALL,$DF819,6)&amp;"","")&amp;"␟"&amp;IFERROR(INDEX(PASTE_ALL,$DF819,7)&amp;"","")&amp;"␟"&amp;IFERROR(INDEX(PASTE_ALL,$DF819,8)&amp;"","")&amp;"␟"&amp;IFERROR(INDEX(PASTE_ALL,$DF819,9)&amp;"","")&amp;"␟"&amp;IFERROR(INDEX(PASTE_ALL,$DF819,10)&amp;"","")&amp;"␟"&amp;IFERROR(INDEX(PASTE_ALL,$DF819,11)&amp;"","")&amp;"␟"&amp;IFERROR(INDEX(PASTE_ALL,$DF819,12)&amp;"","")&amp;"␟"&amp;IFERROR(INDEX(PASTE_ALL,$DF819,13)&amp;"","")&amp;"␟"&amp;IFERROR(INDEX(PASTE_ALL,$DF819,14)&amp;"","")&amp;"␟"&amp;IFERROR(INDEX(PASTE_ALL,$DF819,15)&amp;"","")&amp;"␟"&amp;IFERROR(INDEX(PASTE_ALL,$DF819,16)&amp;"","")&amp;"␟"&amp;IFERROR(INDEX(PASTE_ALL,$DF819,17)&amp;"","")&amp;"␟"&amp;IFERROR(INDEX(PASTE_ALL,$DF819,18)&amp;"","")&amp;"␟"&amp;IFERROR(INDEX(PASTE_ALL,$DF819,19)&amp;"","")&amp;"␟"&amp;IFERROR(INDEX(PASTE_ALL,$DF819,20)&amp;"","")&amp;"␟"&amp;IFERROR(INDEX(PASTE_ALL,$DF819,21)&amp;"","")&amp;"␟"&amp;IFERROR(INDEX(PASTE_ALL,$DF819,22)&amp;"","")&amp;"␟"&amp;IFERROR(INDEX(PASTE_ALL,$DF819,23)&amp;"","")&amp;"␟"&amp;IFERROR(INDEX(PASTE_ALL,$DF819,24)&amp;"","")&amp;"␟"&amp;IFERROR(INDEX(PASTE_ALL,$DF819,25)&amp;"","")&amp;"␟"&amp;IFERROR(INDEX(PASTE_ALL,$DF819,26)&amp;"","")&amp;"␟"&amp;IFERROR(INDEX(PASTE_ALL,$DF819,27)&amp;"","")&amp;"␟"&amp;IFERROR(INDEX(PASTE_ALL,$DF819,28)&amp;"","")&amp;"␟"&amp;IFERROR(INDEX(PASTE_ALL,$DF819,29)&amp;"","")&amp;"␟"&amp;IFERROR(INDEX(PASTE_ALL,$DF819,30)&amp;"","")&amp;"␟"&amp;IFERROR(INDEX(PASTE_ALL,$DF819,31)&amp;"","")&amp;"␟"&amp;IFERROR(INDEX(PASTE_ALL,$DF819,32)&amp;"","")&amp;"␟"&amp;IFERROR(INDEX(PASTE_ALL,$DF819,33)&amp;"","")&amp;"␟"&amp;IFERROR(INDEX(PASTE_ALL,$DF819,34)&amp;"","")&amp;"␟"&amp;IFERROR(INDEX(PASTE_ALL,$DF819,35)&amp;"","")&amp;"␟"&amp;IFERROR(INDEX(PASTE_ALL,$DF819,36)&amp;"","")&amp;"␟"&amp;IFERROR(INDEX(PASTE_ALL,$DF819,37)&amp;"","")&amp;"␟"&amp;IFERROR(INDEX(PASTE_ALL,$DF819,38)&amp;"","")&amp;"␟"&amp;IFERROR(INDEX(PASTE_ALL,$DF819,39)&amp;"","")&amp;"␟"&amp;IFERROR(INDEX(PASTE_ALL,$DF819,40)&amp;"","")&amp;"␟"&amp;IFERROR(INDEX(PASTE_ALL,$DF819,41)&amp;"","")&amp;"␟"&amp;IFERROR(INDEX(PASTE_ALL,$DF819,42)&amp;"","")&amp;"␟"&amp;IFERROR(INDEX(PASTE_ALL,$DF819,43)&amp;"","")&amp;"␟"&amp;IFERROR(INDEX(PASTE_ALL,$DF819,44)&amp;"","")&amp;"␟"&amp;IFERROR(INDEX(PASTE_ALL,$DF819,45)&amp;"","")&amp;"␟"&amp;IFERROR(INDEX(PASTE_ALL,$DF819,46)&amp;"","")&amp;"␟"&amp;IFERROR(INDEX(PASTE_ALL,$DF819,47)&amp;"","")&amp;"␟"&amp;IFERROR(INDEX(PASTE_ALL,$DF819,48)&amp;"","")&amp;"␟"&amp;IFERROR(INDEX(PASTE_ALL,$DF819,49)&amp;"","")&amp;"␟"&amp;IFERROR(INDEX(PASTE_ALL,$DF819,50)&amp;"","")&amp;"␟"&amp;IFERROR(INDEX(PASTE_ALL,$DF819,51)&amp;"","")&amp;"␟"&amp;IFERROR(INDEX(PASTE_ALL,$DF819,52)&amp;"","")&amp;"␟"&amp;IFERROR(INDEX(PASTE_ALL,$DF819,53)&amp;"","")&amp;"␟"&amp;IFERROR(INDEX(PASTE_ALL,$DF819,54)&amp;"","")&amp;"␟"&amp;IFERROR(INDEX(PASTE_ALL,$DF819,55)&amp;"","")&amp;"␟"&amp;IFERROR(INDEX(PASTE_ALL,$DF819,56)&amp;"","")&amp;"␟"&amp;IFERROR(INDEX(PASTE_ALL,$DF819,57)&amp;"","")&amp;"␟"&amp;IFERROR(INDEX(PASTE_ALL,$DF819,58)&amp;"","")&amp;"␟"&amp;IFERROR(INDEX(PASTE_ALL,$DF819,59)&amp;"","")&amp;"␟"&amp;IFERROR(INDEX(PASTE_ALL,$DF819,60)&amp;"","")," "," "),CHAR(9)," "),CHAR(10)," "),CHAR(13)," "))," ␟","␟"),"␟ ","␟"),"#"&amp;$DE819),"")</f>
        <v/>
      </c>
      <c r="DJ819">
        <f>IF($DI819="",0,IF(SUMPRODUCT(--EXACT($DI$4:DI818,$DI819))&gt;0,1,0))</f>
        <v/>
      </c>
      <c r="DK819">
        <f>IF(AND($DI819&lt;&gt;"",$DJ819=0),1,0)</f>
        <v/>
      </c>
      <c r="DL819">
        <f>DL818+$DK819</f>
        <v/>
      </c>
      <c r="DM819">
        <f>IF(AND($DK819=1,$DL819&lt;=600),1,0)</f>
        <v/>
      </c>
      <c r="DN819">
        <f>IF($DM819=0,"",IF($L$6=0,"",IFERROR(IF(ISNUMBER(INDEX(PASTE_ALL,$DF819,$L$6)),INDEX(PASTE_ALL,$DF819,$L$6),TRIM(SUBSTITUTE(SUBSTITUTE(SUBSTITUTE(SUBSTITUTE(INDEX(PASTE_ALL,$DF819,$L$6)," "," "),CHAR(9)," "),CHAR(10)," "),CHAR(13)," "))),"")))</f>
        <v/>
      </c>
      <c r="DO819">
        <f>IF($DM819=0,"",IF($L$7=0,"",IFERROR(IF(ISNUMBER(INDEX(PASTE_ALL,$DF819,$L$7)),INDEX(PASTE_ALL,$DF819,$L$7),TRIM(SUBSTITUTE(SUBSTITUTE(SUBSTITUTE(SUBSTITUTE(INDEX(PASTE_ALL,$DF819,$L$7)," "," "),CHAR(9)," "),CHAR(10)," "),CHAR(13)," "))),"")))</f>
        <v/>
      </c>
      <c r="DP819">
        <f>IF($DM819=0,"",IF($L$8=0,"",IFERROR(IF(ISNUMBER(INDEX(PASTE_ALL,$DF819,$L$8)),INDEX(PASTE_ALL,$DF819,$L$8),TRIM(SUBSTITUTE(SUBSTITUTE(SUBSTITUTE(SUBSTITUTE(INDEX(PASTE_ALL,$DF819,$L$8)," "," "),CHAR(9)," "),CHAR(10)," "),CHAR(13)," "))),"")))</f>
        <v/>
      </c>
      <c r="DQ819">
        <f>IF($DM819=0,"",IF($L$9=0,"",IFERROR(IF(ISNUMBER(INDEX(PASTE_ALL,$DF819,$L$9)),INDEX(PASTE_ALL,$DF819,$L$9),TRIM(SUBSTITUTE(SUBSTITUTE(SUBSTITUTE(SUBSTITUTE(INDEX(PASTE_ALL,$DF819,$L$9)," "," "),CHAR(9)," "),CHAR(10)," "),CHAR(13)," "))),"")))</f>
        <v/>
      </c>
      <c r="DR819">
        <f>IF($DM819=0,"",IF($L$10=0,"",IFERROR(IF(ISNUMBER(INDEX(PASTE_ALL,$DF819,$L$10)),INDEX(PASTE_ALL,$DF819,$L$10),TRIM(SUBSTITUTE(SUBSTITUTE(SUBSTITUTE(SUBSTITUTE(INDEX(PASTE_ALL,$DF819,$L$10)," "," "),CHAR(9)," "),CHAR(10)," "),CHAR(13)," "))),"")))</f>
        <v/>
      </c>
      <c r="DS819">
        <f>IF($DM819=0,"",IF($L$11=0,"",IFERROR(IF(ISNUMBER(INDEX(PASTE_ALL,$DF819,$L$11)),INDEX(PASTE_ALL,$DF819,$L$11),TRIM(SUBSTITUTE(SUBSTITUTE(SUBSTITUTE(SUBSTITUTE(INDEX(PASTE_ALL,$DF819,$L$11)," "," "),CHAR(9)," "),CHAR(10)," "),CHAR(13)," "))),"")))</f>
        <v/>
      </c>
      <c r="DT819">
        <f>IF($DM819=0,"",IF($L$12=0,"",IFERROR(IF(ISNUMBER(INDEX(PASTE_ALL,$DF819,$L$12)),INDEX(PASTE_ALL,$DF819,$L$12),TRIM(SUBSTITUTE(SUBSTITUTE(SUBSTITUTE(SUBSTITUTE(INDEX(PASTE_ALL,$DF819,$L$12)," "," "),CHAR(9)," "),CHAR(10)," "),CHAR(13)," "))),"")))</f>
        <v/>
      </c>
      <c r="DU819">
        <f>IF($DM819=0,"",IF($L$13=0,"",IFERROR(IF(ISNUMBER(INDEX(PASTE_ALL,$DF819,$L$13)),INDEX(PASTE_ALL,$DF819,$L$13),TRIM(SUBSTITUTE(SUBSTITUTE(SUBSTITUTE(SUBSTITUTE(INDEX(PASTE_ALL,$DF819,$L$13)," "," "),CHAR(9)," "),CHAR(10)," "),CHAR(13)," "))),"")))</f>
        <v/>
      </c>
      <c r="DV819">
        <f>IF($DM819=0,"",IF($L$14=0,"",IFERROR(IF(ISNUMBER(INDEX(PASTE_ALL,$DF819,$L$14)),INDEX(PASTE_ALL,$DF819,$L$14),TRIM(SUBSTITUTE(SUBSTITUTE(SUBSTITUTE(SUBSTITUTE(INDEX(PASTE_ALL,$DF819,$L$14)," "," "),CHAR(9)," "),CHAR(10)," "),CHAR(13)," "))),"")))</f>
        <v/>
      </c>
      <c r="DW819">
        <f>IF($DM819=0,"",IF($L$15=0,"",IFERROR(IF(ISNUMBER(INDEX(PASTE_ALL,$DF819,$L$15)),INDEX(PASTE_ALL,$DF819,$L$15),IF(SUMPRODUCT(--ISNUMBER(FIND({"A","B","C","D","E","F","G","H","I","J","K","L","M","N","O","P","Q","R","S","T","U","V","W","X","Y","Z","0","1","2","3","4","5","6","7","8","9"},UPPER(TRIM(SUBSTITUTE(SUBSTITUTE(SUBSTITUTE(SUBSTITUTE(INDEX(PASTE_ALL,$DF819,$L$15)," "," "),CHAR(9)," "),CHAR(10)," "),CHAR(13)," "))))))&gt;0,TRIM(SUBSTITUTE(SUBSTITUTE(SUBSTITUTE(SUBSTITUTE(INDEX(PASTE_ALL,$DF819,$L$15)," "," "),CHAR(9)," "),CHAR(10)," "),CHAR(13)," ")),"")),"")))</f>
        <v/>
      </c>
      <c r="DX819">
        <f>IF($DM819=0,"",IF($L$16=0,"",IFERROR(IF(ISNUMBER(INDEX(PASTE_ALL,$DF819,$L$16)),INDEX(PASTE_ALL,$DF819,$L$16),SUBSTITUTE(SUBSTITUTE(TRIM(SUBSTITUTE(SUBSTITUTE(SUBSTITUTE(SUBSTITUTE(INDEX(PASTE_ALL,$DF819,$L$16)," "," "),CHAR(9)," "),CHAR(10)," "),CHAR(13)," ")),",",""),"%","")),"")))</f>
        <v/>
      </c>
      <c r="DY819">
        <f>IF($DM819=0,"",IFERROR(IF(ISNUMBER($DX819),$DX819,IF($DX819="","",IF(TRIM($DX819)="",0,IF(AND(AND(SUBSTITUTE(SUBSTITUTE(SUBSTITUTE(SUBSTITUTE(SUBSTITUTE(SUBSTITUTE(SUBSTITUTE(SUBSTITUTE(SUBSTITUTE(SUBSTITUTE(SUBSTITUTE(SUBSTITUTE(SUBSTITUTE(SUBSTITUTE(UPPER(TRIM($DX819)),"0",""),"1",""),"2",""),"3",""),"4",""),"5",""),"6",""),"7",""),"8",""),"9",""),".",""),"+",""),"-",""),"E","")="",LEN(SUBSTITUTE(SUBSTITUTE(MID(UPPER(TRIM($DX819)),1+OR(LEFT(UPPER(TRIM($DX819)),1)="+",LEFT(UPPER(TRIM($DX819)),1)="-"),999),"E+","E"),"E-","E"))=LEN(SUBSTITUTE(SUBSTITUTE(SUBSTITUTE(SUBSTITUTE(MID(UPPER(TRIM($DX819)),1+OR(LEFT(UPPER(TRIM($DX819)),1)="+",LEFT(UPPER(TRIM($DX819)),1)="-"),999),"E+","E"),"E-","E"),"+",""),"-","")),LEN(UPPER(TRIM($DX819)))-LEN(SUBSTITUTE(UPPER(TRIM($DX819)),"E",""))&lt;2,LEN(UPPER(TRIM($DX819)))-LEN(SUBSTITUTE(UPPER(TRIM($DX819)),".",""))&lt;2,IFERROR(FIND(".",UPPER(TRIM($DX819))),0)&lt;IFERROR(FIND("E",UPPER(TRIM($DX819))),999)),ISNUMBER(VALUE(TRIM($DX819)))),VALUE(TRIM($DX819)),"")))),""))</f>
        <v/>
      </c>
      <c r="DZ819">
        <f>IF($DM819=0,"",IF($L$17=0,"",IFERROR(IF(ISNUMBER(INDEX(PASTE_ALL,$DF819,$L$17)),INDEX(PASTE_ALL,$DF819,$L$17),SUBSTITUTE(SUBSTITUTE(TRIM(SUBSTITUTE(SUBSTITUTE(SUBSTITUTE(SUBSTITUTE(INDEX(PASTE_ALL,$DF819,$L$17)," "," "),CHAR(9)," "),CHAR(10)," "),CHAR(13)," ")),",",""),"%","")),"")))</f>
        <v/>
      </c>
      <c r="EA819">
        <f>IF($DM819=0,"",IFERROR(IF(ISNUMBER($DZ819),$DZ819,IF($DZ819="","",IF(TRIM($DZ819)="",0,IF(AND(AND(SUBSTITUTE(SUBSTITUTE(SUBSTITUTE(SUBSTITUTE(SUBSTITUTE(SUBSTITUTE(SUBSTITUTE(SUBSTITUTE(SUBSTITUTE(SUBSTITUTE(SUBSTITUTE(SUBSTITUTE(SUBSTITUTE(SUBSTITUTE(UPPER(TRIM($DZ819)),"0",""),"1",""),"2",""),"3",""),"4",""),"5",""),"6",""),"7",""),"8",""),"9",""),".",""),"+",""),"-",""),"E","")="",LEN(SUBSTITUTE(SUBSTITUTE(MID(UPPER(TRIM($DZ819)),1+OR(LEFT(UPPER(TRIM($DZ819)),1)="+",LEFT(UPPER(TRIM($DZ819)),1)="-"),999),"E+","E"),"E-","E"))=LEN(SUBSTITUTE(SUBSTITUTE(SUBSTITUTE(SUBSTITUTE(MID(UPPER(TRIM($DZ819)),1+OR(LEFT(UPPER(TRIM($DZ819)),1)="+",LEFT(UPPER(TRIM($DZ819)),1)="-"),999),"E+","E"),"E-","E"),"+",""),"-","")),LEN(UPPER(TRIM($DZ819)))-LEN(SUBSTITUTE(UPPER(TRIM($DZ819)),"E",""))&lt;2,LEN(UPPER(TRIM($DZ819)))-LEN(SUBSTITUTE(UPPER(TRIM($DZ819)),".",""))&lt;2,IFERROR(FIND(".",UPPER(TRIM($DZ819))),0)&lt;IFERROR(FIND("E",UPPER(TRIM($DZ819))),999)),ISNUMBER(VALUE(TRIM($DZ819)))),VALUE(TRIM($DZ819)),"")))),""))</f>
        <v/>
      </c>
      <c r="EB819">
        <f>IF($DM819=0,"",IF($L$18=0,"",IFERROR(IF(UPPER(TRIM(SUBSTITUTE(SUBSTITUTE(SUBSTITUTE(SUBSTITUTE(INDEX(PASTE_ALL,$DF819,$L$18)," "," "),CHAR(9)," "),CHAR(10)," "),CHAR(13)," ")))="READY","Ready",IF(UPPER(TRIM(SUBSTITUTE(SUBSTITUTE(SUBSTITUTE(SUBSTITUTE(INDEX(PASTE_ALL,$DF819,$L$18)," "," "),CHAR(9)," "),CHAR(10)," "),CHAR(13)," ")))="PM","PM",IF(OR(UPPER(TRIM(SUBSTITUTE(SUBSTITUTE(SUBSTITUTE(SUBSTITUTE(INDEX(PASTE_ALL,$DF819,$L$18)," "," "),CHAR(9)," "),CHAR(10)," "),CHAR(13)," ")))="OT",UPPER(TRIM(SUBSTITUTE(SUBSTITUTE(SUBSTITUTE(SUBSTITUTE(INDEX(PASTE_ALL,$DF819,$L$18)," "," "),CHAR(9)," "),CHAR(10)," "),CHAR(13)," ")))="OVERTIME",UPPER(TRIM(SUBSTITUTE(SUBSTITUTE(SUBSTITUTE(SUBSTITUTE(INDEX(PASTE_ALL,$DF819,$L$18)," "," "),CHAR(9)," "),CHAR(10)," "),CHAR(13)," ")))="TRIAL"),"OT",TRIM(SUBSTITUTE(SUBSTITUTE(SUBSTITUTE(SUBSTITUTE(INDEX(PASTE_ALL,$DF819,$L$18)," "," "),CHAR(9)," "),CHAR(10)," "),CHAR(13)," "))))),"")))</f>
        <v/>
      </c>
      <c r="EC819">
        <f>IF($DM819=0,"",IF($L$19=0,"",IFERROR(IF(ISNUMBER(INDEX(PASTE_ALL,$DF819,$L$19)),INDEX(PASTE_ALL,$DF819,$L$19),TRIM(SUBSTITUTE(SUBSTITUTE(SUBSTITUTE(SUBSTITUTE(INDEX(PASTE_ALL,$DF819,$L$19)," "," "),CHAR(9)," "),CHAR(10)," "),CHAR(13)," "))),"")))</f>
        <v/>
      </c>
      <c r="ED819">
        <f>IF($DM819=0,"",MATCH(1,INDEX(EXACT($DH$5:DH819,$DH819)*$DM$5:DM819,0),0))</f>
        <v/>
      </c>
      <c r="EE819">
        <f>IF($DM819=0,0,IF($ED819=$DE819,1,0))</f>
        <v/>
      </c>
      <c r="EF819">
        <f>EF818+$EE819</f>
        <v/>
      </c>
      <c r="EG819">
        <f>IF($DM819=0,"",INDEX($EF$5:$EF$1003,$ED819))</f>
        <v/>
      </c>
      <c r="EH819">
        <f>IF($DM819=0,"",IF($DO819&lt;&gt;"","",IFERROR(LOOKUP(2,1/(($EG$4:EG818=$EG819)*($DO$4:DO818&lt;&gt;"")),$DO$4:DO818),"")))</f>
        <v/>
      </c>
      <c r="EI819">
        <f>IF($DM819=0,"",IF($DO819&lt;&gt;"",$DO819,$EH819))</f>
        <v/>
      </c>
      <c r="EJ819">
        <f>IF($DM819=0,"",IF($EI819="",0,IF(OR(ISNUMBER($EI819),AND(AND(SUBSTITUTE(SUBSTITUTE(SUBSTITUTE(SUBSTITUTE(SUBSTITUTE(SUBSTITUTE(SUBSTITUTE(SUBSTITUTE(SUBSTITUTE(SUBSTITUTE(SUBSTITUTE(SUBSTITUTE(SUBSTITUTE(SUBSTITUTE(UPPER($EI819),"0",""),"1",""),"2",""),"3",""),"4",""),"5",""),"6",""),"7",""),"8",""),"9",""),".",""),"+",""),"-",""),"E","")="",LEN(SUBSTITUTE(SUBSTITUTE(MID(UPPER($EI819),1+OR(LEFT(UPPER($EI819),1)="+",LEFT(UPPER($EI819),1)="-"),999),"E+","E"),"E-","E"))=LEN(SUBSTITUTE(SUBSTITUTE(SUBSTITUTE(SUBSTITUTE(MID(UPPER($EI819),1+OR(LEFT(UPPER($EI819),1)="+",LEFT(UPPER($EI819),1)="-"),999),"E+","E"),"E-","E"),"+",""),"-","")),LEN(UPPER($EI819))-LEN(SUBSTITUTE(UPPER($EI819),"E",""))&lt;2,LEN(UPPER($EI819))-LEN(SUBSTITUTE(UPPER($EI819),".",""))&lt;2,IFERROR(FIND(".",UPPER($EI819)),0)&lt;IFERROR(FIND("E",UPPER($EI819)),999)),ISNUMBER(VALUE($EI819)))),1,2)))</f>
        <v/>
      </c>
      <c r="EK819">
        <f>IF($DM819=0,"",IF($EJ819=1,IF(ISNUMBER($EI819),$EI819,VALUE($EI819)),IF($EJ819=2,$DE819,0)))</f>
        <v/>
      </c>
      <c r="EL819">
        <f>IF($DM819=0,"",COUNTIF($EG$5:$EG$1003,"&lt;"&amp;$EG819)+SUMPRODUCT(($EG$5:$EG$1003=$EG819)*(($EJ$5:$EJ$1003&lt;$EJ819)+($EJ$5:$EJ$1003=$EJ819)*(($EK$5:$EK$1003&lt;$EK819)+($EK$5:$EK$1003=$EK819)*($DE$5:$DE$1003&lt;$DE819))))+1)</f>
        <v/>
      </c>
      <c r="EM819">
        <f>IF($DM819=0,"",$EL819+$EG819-1)</f>
        <v/>
      </c>
      <c r="EN819">
        <f>IF($DM819=0,0,IFERROR(MATCH(1,INDEX(--(TRIM(SUBSTITUTE(SUBSTITUTE(SUBSTITUTE(SUBSTITUTE(LINES_NAME&amp;""," "," "),CHAR(9)," "),CHAR(10)," "),CHAR(13)," "))=$DH819),0),0),0))</f>
        <v/>
      </c>
      <c r="EO819">
        <f>IF($EN819=0,0,IF(OR(UPPER(TRIM(INDEX(LINES_SCHEDULED,$EN819)&amp;""))="YES",UPPER(TRIM(INDEX(LINES_SCHEDULED,$EN819)&amp;""))="Y",UPPER(TRIM(INDEX(LINES_SCHEDULED,$EN819)&amp;""))="X"),1,0))</f>
        <v/>
      </c>
      <c r="EP819">
        <f>IF($DM819=0,"",IF(COUNTIFS($EG$5:$EG$1003,$EG819,$EB$5:$EB$1003,"Ready")&gt;0,"READY",IF(COUNTIFS($EG$5:$EG$1003,$EG819,$EB$5:$EB$1003,"PM")&gt;0,"PM",IF(COUNTIFS($EG$5:$EG$1003,$EG819,$EB$5:$EB$1003,"OT")&gt;0,"OT",""))))</f>
        <v/>
      </c>
      <c r="EQ819">
        <f>IF($EN819=0,"",UPPER(TRIM(INDEX(LINES_STATUS,$EN819)&amp;"")))</f>
        <v/>
      </c>
      <c r="ER819">
        <f>IF($DM819=0,"",IF(OR($EQ819="READY",$EQ819="PM",$EQ819="OT"),$EQ819,$EP819))</f>
        <v/>
      </c>
      <c r="ES819">
        <f>IF($DM819=0,"",IF(AND($DV819&lt;&gt;"",UPPER($DV819)&lt;&gt;"N"),"allergen",IF(ISNUMBER(SEARCH("oil",$DQ819)),"oil",IF(OR(EXACT($DS819,"A662"),EXACT($DS819,"A624")),"bulk",""))))</f>
        <v/>
      </c>
      <c r="ET819">
        <f>IF($DM819=0,"",IF(OR($EA819="",$EA819=0),"",$EA819/100))</f>
        <v/>
      </c>
      <c r="EU819">
        <f>IF(OR($ET819="",$DY819=""),"",INT($DY819*(1-$ET819)+0.5))</f>
        <v/>
      </c>
    </row>
    <row r="820">
      <c r="DA820" t="n">
        <v>816</v>
      </c>
      <c r="DB820">
        <f>IF($B$37=0,"",IFERROR(TRIM(SUBSTITUTE(SUBSTITUTE(SUBSTITUTE(SUBSTITUTE(INDEX(PASTE_ALL,816,$B$37)," "," "),CHAR(9)," "),CHAR(10)," "),CHAR(13)," ")),""))</f>
        <v/>
      </c>
      <c r="DC820">
        <f>IF(AND(816&gt;HEADER_ROW,UPPER(DB820)="LEGEND"),1,0)</f>
        <v/>
      </c>
      <c r="DE820" t="n">
        <v>816</v>
      </c>
      <c r="DF820">
        <f>HEADER_ROW+$DE820</f>
        <v/>
      </c>
      <c r="DG820">
        <f>IF(AND($DF820&lt;=1000,$DF820&lt;$B$8),1,0)</f>
        <v/>
      </c>
      <c r="DH820">
        <f>IF($DG820=1,IFERROR(INDEX($DB$5:$DB$1004,$DF820),""),"")</f>
        <v/>
      </c>
      <c r="DI820">
        <f>IF(AND($DG820=1,$DH820&lt;&gt;""),IFERROR(SUBSTITUTE(SUBSTITUTE(TRIM(SUBSTITUTE(SUBSTITUTE(SUBSTITUTE(SUBSTITUTE(IFERROR(INDEX(PASTE_ALL,$DF820,1)&amp;"","")&amp;"␟"&amp;IFERROR(INDEX(PASTE_ALL,$DF820,2)&amp;"","")&amp;"␟"&amp;IFERROR(INDEX(PASTE_ALL,$DF820,3)&amp;"","")&amp;"␟"&amp;IFERROR(INDEX(PASTE_ALL,$DF820,4)&amp;"","")&amp;"␟"&amp;IFERROR(INDEX(PASTE_ALL,$DF820,5)&amp;"","")&amp;"␟"&amp;IFERROR(INDEX(PASTE_ALL,$DF820,6)&amp;"","")&amp;"␟"&amp;IFERROR(INDEX(PASTE_ALL,$DF820,7)&amp;"","")&amp;"␟"&amp;IFERROR(INDEX(PASTE_ALL,$DF820,8)&amp;"","")&amp;"␟"&amp;IFERROR(INDEX(PASTE_ALL,$DF820,9)&amp;"","")&amp;"␟"&amp;IFERROR(INDEX(PASTE_ALL,$DF820,10)&amp;"","")&amp;"␟"&amp;IFERROR(INDEX(PASTE_ALL,$DF820,11)&amp;"","")&amp;"␟"&amp;IFERROR(INDEX(PASTE_ALL,$DF820,12)&amp;"","")&amp;"␟"&amp;IFERROR(INDEX(PASTE_ALL,$DF820,13)&amp;"","")&amp;"␟"&amp;IFERROR(INDEX(PASTE_ALL,$DF820,14)&amp;"","")&amp;"␟"&amp;IFERROR(INDEX(PASTE_ALL,$DF820,15)&amp;"","")&amp;"␟"&amp;IFERROR(INDEX(PASTE_ALL,$DF820,16)&amp;"","")&amp;"␟"&amp;IFERROR(INDEX(PASTE_ALL,$DF820,17)&amp;"","")&amp;"␟"&amp;IFERROR(INDEX(PASTE_ALL,$DF820,18)&amp;"","")&amp;"␟"&amp;IFERROR(INDEX(PASTE_ALL,$DF820,19)&amp;"","")&amp;"␟"&amp;IFERROR(INDEX(PASTE_ALL,$DF820,20)&amp;"","")&amp;"␟"&amp;IFERROR(INDEX(PASTE_ALL,$DF820,21)&amp;"","")&amp;"␟"&amp;IFERROR(INDEX(PASTE_ALL,$DF820,22)&amp;"","")&amp;"␟"&amp;IFERROR(INDEX(PASTE_ALL,$DF820,23)&amp;"","")&amp;"␟"&amp;IFERROR(INDEX(PASTE_ALL,$DF820,24)&amp;"","")&amp;"␟"&amp;IFERROR(INDEX(PASTE_ALL,$DF820,25)&amp;"","")&amp;"␟"&amp;IFERROR(INDEX(PASTE_ALL,$DF820,26)&amp;"","")&amp;"␟"&amp;IFERROR(INDEX(PASTE_ALL,$DF820,27)&amp;"","")&amp;"␟"&amp;IFERROR(INDEX(PASTE_ALL,$DF820,28)&amp;"","")&amp;"␟"&amp;IFERROR(INDEX(PASTE_ALL,$DF820,29)&amp;"","")&amp;"␟"&amp;IFERROR(INDEX(PASTE_ALL,$DF820,30)&amp;"","")&amp;"␟"&amp;IFERROR(INDEX(PASTE_ALL,$DF820,31)&amp;"","")&amp;"␟"&amp;IFERROR(INDEX(PASTE_ALL,$DF820,32)&amp;"","")&amp;"␟"&amp;IFERROR(INDEX(PASTE_ALL,$DF820,33)&amp;"","")&amp;"␟"&amp;IFERROR(INDEX(PASTE_ALL,$DF820,34)&amp;"","")&amp;"␟"&amp;IFERROR(INDEX(PASTE_ALL,$DF820,35)&amp;"","")&amp;"␟"&amp;IFERROR(INDEX(PASTE_ALL,$DF820,36)&amp;"","")&amp;"␟"&amp;IFERROR(INDEX(PASTE_ALL,$DF820,37)&amp;"","")&amp;"␟"&amp;IFERROR(INDEX(PASTE_ALL,$DF820,38)&amp;"","")&amp;"␟"&amp;IFERROR(INDEX(PASTE_ALL,$DF820,39)&amp;"","")&amp;"␟"&amp;IFERROR(INDEX(PASTE_ALL,$DF820,40)&amp;"","")&amp;"␟"&amp;IFERROR(INDEX(PASTE_ALL,$DF820,41)&amp;"","")&amp;"␟"&amp;IFERROR(INDEX(PASTE_ALL,$DF820,42)&amp;"","")&amp;"␟"&amp;IFERROR(INDEX(PASTE_ALL,$DF820,43)&amp;"","")&amp;"␟"&amp;IFERROR(INDEX(PASTE_ALL,$DF820,44)&amp;"","")&amp;"␟"&amp;IFERROR(INDEX(PASTE_ALL,$DF820,45)&amp;"","")&amp;"␟"&amp;IFERROR(INDEX(PASTE_ALL,$DF820,46)&amp;"","")&amp;"␟"&amp;IFERROR(INDEX(PASTE_ALL,$DF820,47)&amp;"","")&amp;"␟"&amp;IFERROR(INDEX(PASTE_ALL,$DF820,48)&amp;"","")&amp;"␟"&amp;IFERROR(INDEX(PASTE_ALL,$DF820,49)&amp;"","")&amp;"␟"&amp;IFERROR(INDEX(PASTE_ALL,$DF820,50)&amp;"","")&amp;"␟"&amp;IFERROR(INDEX(PASTE_ALL,$DF820,51)&amp;"","")&amp;"␟"&amp;IFERROR(INDEX(PASTE_ALL,$DF820,52)&amp;"","")&amp;"␟"&amp;IFERROR(INDEX(PASTE_ALL,$DF820,53)&amp;"","")&amp;"␟"&amp;IFERROR(INDEX(PASTE_ALL,$DF820,54)&amp;"","")&amp;"␟"&amp;IFERROR(INDEX(PASTE_ALL,$DF820,55)&amp;"","")&amp;"␟"&amp;IFERROR(INDEX(PASTE_ALL,$DF820,56)&amp;"","")&amp;"␟"&amp;IFERROR(INDEX(PASTE_ALL,$DF820,57)&amp;"","")&amp;"␟"&amp;IFERROR(INDEX(PASTE_ALL,$DF820,58)&amp;"","")&amp;"␟"&amp;IFERROR(INDEX(PASTE_ALL,$DF820,59)&amp;"","")&amp;"␟"&amp;IFERROR(INDEX(PASTE_ALL,$DF820,60)&amp;"","")," "," "),CHAR(9)," "),CHAR(10)," "),CHAR(13)," "))," ␟","␟"),"␟ ","␟"),"#"&amp;$DE820),"")</f>
        <v/>
      </c>
      <c r="DJ820">
        <f>IF($DI820="",0,IF(SUMPRODUCT(--EXACT($DI$4:DI819,$DI820))&gt;0,1,0))</f>
        <v/>
      </c>
      <c r="DK820">
        <f>IF(AND($DI820&lt;&gt;"",$DJ820=0),1,0)</f>
        <v/>
      </c>
      <c r="DL820">
        <f>DL819+$DK820</f>
        <v/>
      </c>
      <c r="DM820">
        <f>IF(AND($DK820=1,$DL820&lt;=600),1,0)</f>
        <v/>
      </c>
      <c r="DN820">
        <f>IF($DM820=0,"",IF($L$6=0,"",IFERROR(IF(ISNUMBER(INDEX(PASTE_ALL,$DF820,$L$6)),INDEX(PASTE_ALL,$DF820,$L$6),TRIM(SUBSTITUTE(SUBSTITUTE(SUBSTITUTE(SUBSTITUTE(INDEX(PASTE_ALL,$DF820,$L$6)," "," "),CHAR(9)," "),CHAR(10)," "),CHAR(13)," "))),"")))</f>
        <v/>
      </c>
      <c r="DO820">
        <f>IF($DM820=0,"",IF($L$7=0,"",IFERROR(IF(ISNUMBER(INDEX(PASTE_ALL,$DF820,$L$7)),INDEX(PASTE_ALL,$DF820,$L$7),TRIM(SUBSTITUTE(SUBSTITUTE(SUBSTITUTE(SUBSTITUTE(INDEX(PASTE_ALL,$DF820,$L$7)," "," "),CHAR(9)," "),CHAR(10)," "),CHAR(13)," "))),"")))</f>
        <v/>
      </c>
      <c r="DP820">
        <f>IF($DM820=0,"",IF($L$8=0,"",IFERROR(IF(ISNUMBER(INDEX(PASTE_ALL,$DF820,$L$8)),INDEX(PASTE_ALL,$DF820,$L$8),TRIM(SUBSTITUTE(SUBSTITUTE(SUBSTITUTE(SUBSTITUTE(INDEX(PASTE_ALL,$DF820,$L$8)," "," "),CHAR(9)," "),CHAR(10)," "),CHAR(13)," "))),"")))</f>
        <v/>
      </c>
      <c r="DQ820">
        <f>IF($DM820=0,"",IF($L$9=0,"",IFERROR(IF(ISNUMBER(INDEX(PASTE_ALL,$DF820,$L$9)),INDEX(PASTE_ALL,$DF820,$L$9),TRIM(SUBSTITUTE(SUBSTITUTE(SUBSTITUTE(SUBSTITUTE(INDEX(PASTE_ALL,$DF820,$L$9)," "," "),CHAR(9)," "),CHAR(10)," "),CHAR(13)," "))),"")))</f>
        <v/>
      </c>
      <c r="DR820">
        <f>IF($DM820=0,"",IF($L$10=0,"",IFERROR(IF(ISNUMBER(INDEX(PASTE_ALL,$DF820,$L$10)),INDEX(PASTE_ALL,$DF820,$L$10),TRIM(SUBSTITUTE(SUBSTITUTE(SUBSTITUTE(SUBSTITUTE(INDEX(PASTE_ALL,$DF820,$L$10)," "," "),CHAR(9)," "),CHAR(10)," "),CHAR(13)," "))),"")))</f>
        <v/>
      </c>
      <c r="DS820">
        <f>IF($DM820=0,"",IF($L$11=0,"",IFERROR(IF(ISNUMBER(INDEX(PASTE_ALL,$DF820,$L$11)),INDEX(PASTE_ALL,$DF820,$L$11),TRIM(SUBSTITUTE(SUBSTITUTE(SUBSTITUTE(SUBSTITUTE(INDEX(PASTE_ALL,$DF820,$L$11)," "," "),CHAR(9)," "),CHAR(10)," "),CHAR(13)," "))),"")))</f>
        <v/>
      </c>
      <c r="DT820">
        <f>IF($DM820=0,"",IF($L$12=0,"",IFERROR(IF(ISNUMBER(INDEX(PASTE_ALL,$DF820,$L$12)),INDEX(PASTE_ALL,$DF820,$L$12),TRIM(SUBSTITUTE(SUBSTITUTE(SUBSTITUTE(SUBSTITUTE(INDEX(PASTE_ALL,$DF820,$L$12)," "," "),CHAR(9)," "),CHAR(10)," "),CHAR(13)," "))),"")))</f>
        <v/>
      </c>
      <c r="DU820">
        <f>IF($DM820=0,"",IF($L$13=0,"",IFERROR(IF(ISNUMBER(INDEX(PASTE_ALL,$DF820,$L$13)),INDEX(PASTE_ALL,$DF820,$L$13),TRIM(SUBSTITUTE(SUBSTITUTE(SUBSTITUTE(SUBSTITUTE(INDEX(PASTE_ALL,$DF820,$L$13)," "," "),CHAR(9)," "),CHAR(10)," "),CHAR(13)," "))),"")))</f>
        <v/>
      </c>
      <c r="DV820">
        <f>IF($DM820=0,"",IF($L$14=0,"",IFERROR(IF(ISNUMBER(INDEX(PASTE_ALL,$DF820,$L$14)),INDEX(PASTE_ALL,$DF820,$L$14),TRIM(SUBSTITUTE(SUBSTITUTE(SUBSTITUTE(SUBSTITUTE(INDEX(PASTE_ALL,$DF820,$L$14)," "," "),CHAR(9)," "),CHAR(10)," "),CHAR(13)," "))),"")))</f>
        <v/>
      </c>
      <c r="DW820">
        <f>IF($DM820=0,"",IF($L$15=0,"",IFERROR(IF(ISNUMBER(INDEX(PASTE_ALL,$DF820,$L$15)),INDEX(PASTE_ALL,$DF820,$L$15),IF(SUMPRODUCT(--ISNUMBER(FIND({"A","B","C","D","E","F","G","H","I","J","K","L","M","N","O","P","Q","R","S","T","U","V","W","X","Y","Z","0","1","2","3","4","5","6","7","8","9"},UPPER(TRIM(SUBSTITUTE(SUBSTITUTE(SUBSTITUTE(SUBSTITUTE(INDEX(PASTE_ALL,$DF820,$L$15)," "," "),CHAR(9)," "),CHAR(10)," "),CHAR(13)," "))))))&gt;0,TRIM(SUBSTITUTE(SUBSTITUTE(SUBSTITUTE(SUBSTITUTE(INDEX(PASTE_ALL,$DF820,$L$15)," "," "),CHAR(9)," "),CHAR(10)," "),CHAR(13)," ")),"")),"")))</f>
        <v/>
      </c>
      <c r="DX820">
        <f>IF($DM820=0,"",IF($L$16=0,"",IFERROR(IF(ISNUMBER(INDEX(PASTE_ALL,$DF820,$L$16)),INDEX(PASTE_ALL,$DF820,$L$16),SUBSTITUTE(SUBSTITUTE(TRIM(SUBSTITUTE(SUBSTITUTE(SUBSTITUTE(SUBSTITUTE(INDEX(PASTE_ALL,$DF820,$L$16)," "," "),CHAR(9)," "),CHAR(10)," "),CHAR(13)," ")),",",""),"%","")),"")))</f>
        <v/>
      </c>
      <c r="DY820">
        <f>IF($DM820=0,"",IFERROR(IF(ISNUMBER($DX820),$DX820,IF($DX820="","",IF(TRIM($DX820)="",0,IF(AND(AND(SUBSTITUTE(SUBSTITUTE(SUBSTITUTE(SUBSTITUTE(SUBSTITUTE(SUBSTITUTE(SUBSTITUTE(SUBSTITUTE(SUBSTITUTE(SUBSTITUTE(SUBSTITUTE(SUBSTITUTE(SUBSTITUTE(SUBSTITUTE(UPPER(TRIM($DX820)),"0",""),"1",""),"2",""),"3",""),"4",""),"5",""),"6",""),"7",""),"8",""),"9",""),".",""),"+",""),"-",""),"E","")="",LEN(SUBSTITUTE(SUBSTITUTE(MID(UPPER(TRIM($DX820)),1+OR(LEFT(UPPER(TRIM($DX820)),1)="+",LEFT(UPPER(TRIM($DX820)),1)="-"),999),"E+","E"),"E-","E"))=LEN(SUBSTITUTE(SUBSTITUTE(SUBSTITUTE(SUBSTITUTE(MID(UPPER(TRIM($DX820)),1+OR(LEFT(UPPER(TRIM($DX820)),1)="+",LEFT(UPPER(TRIM($DX820)),1)="-"),999),"E+","E"),"E-","E"),"+",""),"-","")),LEN(UPPER(TRIM($DX820)))-LEN(SUBSTITUTE(UPPER(TRIM($DX820)),"E",""))&lt;2,LEN(UPPER(TRIM($DX820)))-LEN(SUBSTITUTE(UPPER(TRIM($DX820)),".",""))&lt;2,IFERROR(FIND(".",UPPER(TRIM($DX820))),0)&lt;IFERROR(FIND("E",UPPER(TRIM($DX820))),999)),ISNUMBER(VALUE(TRIM($DX820)))),VALUE(TRIM($DX820)),"")))),""))</f>
        <v/>
      </c>
      <c r="DZ820">
        <f>IF($DM820=0,"",IF($L$17=0,"",IFERROR(IF(ISNUMBER(INDEX(PASTE_ALL,$DF820,$L$17)),INDEX(PASTE_ALL,$DF820,$L$17),SUBSTITUTE(SUBSTITUTE(TRIM(SUBSTITUTE(SUBSTITUTE(SUBSTITUTE(SUBSTITUTE(INDEX(PASTE_ALL,$DF820,$L$17)," "," "),CHAR(9)," "),CHAR(10)," "),CHAR(13)," ")),",",""),"%","")),"")))</f>
        <v/>
      </c>
      <c r="EA820">
        <f>IF($DM820=0,"",IFERROR(IF(ISNUMBER($DZ820),$DZ820,IF($DZ820="","",IF(TRIM($DZ820)="",0,IF(AND(AND(SUBSTITUTE(SUBSTITUTE(SUBSTITUTE(SUBSTITUTE(SUBSTITUTE(SUBSTITUTE(SUBSTITUTE(SUBSTITUTE(SUBSTITUTE(SUBSTITUTE(SUBSTITUTE(SUBSTITUTE(SUBSTITUTE(SUBSTITUTE(UPPER(TRIM($DZ820)),"0",""),"1",""),"2",""),"3",""),"4",""),"5",""),"6",""),"7",""),"8",""),"9",""),".",""),"+",""),"-",""),"E","")="",LEN(SUBSTITUTE(SUBSTITUTE(MID(UPPER(TRIM($DZ820)),1+OR(LEFT(UPPER(TRIM($DZ820)),1)="+",LEFT(UPPER(TRIM($DZ820)),1)="-"),999),"E+","E"),"E-","E"))=LEN(SUBSTITUTE(SUBSTITUTE(SUBSTITUTE(SUBSTITUTE(MID(UPPER(TRIM($DZ820)),1+OR(LEFT(UPPER(TRIM($DZ820)),1)="+",LEFT(UPPER(TRIM($DZ820)),1)="-"),999),"E+","E"),"E-","E"),"+",""),"-","")),LEN(UPPER(TRIM($DZ820)))-LEN(SUBSTITUTE(UPPER(TRIM($DZ820)),"E",""))&lt;2,LEN(UPPER(TRIM($DZ820)))-LEN(SUBSTITUTE(UPPER(TRIM($DZ820)),".",""))&lt;2,IFERROR(FIND(".",UPPER(TRIM($DZ820))),0)&lt;IFERROR(FIND("E",UPPER(TRIM($DZ820))),999)),ISNUMBER(VALUE(TRIM($DZ820)))),VALUE(TRIM($DZ820)),"")))),""))</f>
        <v/>
      </c>
      <c r="EB820">
        <f>IF($DM820=0,"",IF($L$18=0,"",IFERROR(IF(UPPER(TRIM(SUBSTITUTE(SUBSTITUTE(SUBSTITUTE(SUBSTITUTE(INDEX(PASTE_ALL,$DF820,$L$18)," "," "),CHAR(9)," "),CHAR(10)," "),CHAR(13)," ")))="READY","Ready",IF(UPPER(TRIM(SUBSTITUTE(SUBSTITUTE(SUBSTITUTE(SUBSTITUTE(INDEX(PASTE_ALL,$DF820,$L$18)," "," "),CHAR(9)," "),CHAR(10)," "),CHAR(13)," ")))="PM","PM",IF(OR(UPPER(TRIM(SUBSTITUTE(SUBSTITUTE(SUBSTITUTE(SUBSTITUTE(INDEX(PASTE_ALL,$DF820,$L$18)," "," "),CHAR(9)," "),CHAR(10)," "),CHAR(13)," ")))="OT",UPPER(TRIM(SUBSTITUTE(SUBSTITUTE(SUBSTITUTE(SUBSTITUTE(INDEX(PASTE_ALL,$DF820,$L$18)," "," "),CHAR(9)," "),CHAR(10)," "),CHAR(13)," ")))="OVERTIME",UPPER(TRIM(SUBSTITUTE(SUBSTITUTE(SUBSTITUTE(SUBSTITUTE(INDEX(PASTE_ALL,$DF820,$L$18)," "," "),CHAR(9)," "),CHAR(10)," "),CHAR(13)," ")))="TRIAL"),"OT",TRIM(SUBSTITUTE(SUBSTITUTE(SUBSTITUTE(SUBSTITUTE(INDEX(PASTE_ALL,$DF820,$L$18)," "," "),CHAR(9)," "),CHAR(10)," "),CHAR(13)," "))))),"")))</f>
        <v/>
      </c>
      <c r="EC820">
        <f>IF($DM820=0,"",IF($L$19=0,"",IFERROR(IF(ISNUMBER(INDEX(PASTE_ALL,$DF820,$L$19)),INDEX(PASTE_ALL,$DF820,$L$19),TRIM(SUBSTITUTE(SUBSTITUTE(SUBSTITUTE(SUBSTITUTE(INDEX(PASTE_ALL,$DF820,$L$19)," "," "),CHAR(9)," "),CHAR(10)," "),CHAR(13)," "))),"")))</f>
        <v/>
      </c>
      <c r="ED820">
        <f>IF($DM820=0,"",MATCH(1,INDEX(EXACT($DH$5:DH820,$DH820)*$DM$5:DM820,0),0))</f>
        <v/>
      </c>
      <c r="EE820">
        <f>IF($DM820=0,0,IF($ED820=$DE820,1,0))</f>
        <v/>
      </c>
      <c r="EF820">
        <f>EF819+$EE820</f>
        <v/>
      </c>
      <c r="EG820">
        <f>IF($DM820=0,"",INDEX($EF$5:$EF$1003,$ED820))</f>
        <v/>
      </c>
      <c r="EH820">
        <f>IF($DM820=0,"",IF($DO820&lt;&gt;"","",IFERROR(LOOKUP(2,1/(($EG$4:EG819=$EG820)*($DO$4:DO819&lt;&gt;"")),$DO$4:DO819),"")))</f>
        <v/>
      </c>
      <c r="EI820">
        <f>IF($DM820=0,"",IF($DO820&lt;&gt;"",$DO820,$EH820))</f>
        <v/>
      </c>
      <c r="EJ820">
        <f>IF($DM820=0,"",IF($EI820="",0,IF(OR(ISNUMBER($EI820),AND(AND(SUBSTITUTE(SUBSTITUTE(SUBSTITUTE(SUBSTITUTE(SUBSTITUTE(SUBSTITUTE(SUBSTITUTE(SUBSTITUTE(SUBSTITUTE(SUBSTITUTE(SUBSTITUTE(SUBSTITUTE(SUBSTITUTE(SUBSTITUTE(UPPER($EI820),"0",""),"1",""),"2",""),"3",""),"4",""),"5",""),"6",""),"7",""),"8",""),"9",""),".",""),"+",""),"-",""),"E","")="",LEN(SUBSTITUTE(SUBSTITUTE(MID(UPPER($EI820),1+OR(LEFT(UPPER($EI820),1)="+",LEFT(UPPER($EI820),1)="-"),999),"E+","E"),"E-","E"))=LEN(SUBSTITUTE(SUBSTITUTE(SUBSTITUTE(SUBSTITUTE(MID(UPPER($EI820),1+OR(LEFT(UPPER($EI820),1)="+",LEFT(UPPER($EI820),1)="-"),999),"E+","E"),"E-","E"),"+",""),"-","")),LEN(UPPER($EI820))-LEN(SUBSTITUTE(UPPER($EI820),"E",""))&lt;2,LEN(UPPER($EI820))-LEN(SUBSTITUTE(UPPER($EI820),".",""))&lt;2,IFERROR(FIND(".",UPPER($EI820)),0)&lt;IFERROR(FIND("E",UPPER($EI820)),999)),ISNUMBER(VALUE($EI820)))),1,2)))</f>
        <v/>
      </c>
      <c r="EK820">
        <f>IF($DM820=0,"",IF($EJ820=1,IF(ISNUMBER($EI820),$EI820,VALUE($EI820)),IF($EJ820=2,$DE820,0)))</f>
        <v/>
      </c>
      <c r="EL820">
        <f>IF($DM820=0,"",COUNTIF($EG$5:$EG$1003,"&lt;"&amp;$EG820)+SUMPRODUCT(($EG$5:$EG$1003=$EG820)*(($EJ$5:$EJ$1003&lt;$EJ820)+($EJ$5:$EJ$1003=$EJ820)*(($EK$5:$EK$1003&lt;$EK820)+($EK$5:$EK$1003=$EK820)*($DE$5:$DE$1003&lt;$DE820))))+1)</f>
        <v/>
      </c>
      <c r="EM820">
        <f>IF($DM820=0,"",$EL820+$EG820-1)</f>
        <v/>
      </c>
      <c r="EN820">
        <f>IF($DM820=0,0,IFERROR(MATCH(1,INDEX(--(TRIM(SUBSTITUTE(SUBSTITUTE(SUBSTITUTE(SUBSTITUTE(LINES_NAME&amp;""," "," "),CHAR(9)," "),CHAR(10)," "),CHAR(13)," "))=$DH820),0),0),0))</f>
        <v/>
      </c>
      <c r="EO820">
        <f>IF($EN820=0,0,IF(OR(UPPER(TRIM(INDEX(LINES_SCHEDULED,$EN820)&amp;""))="YES",UPPER(TRIM(INDEX(LINES_SCHEDULED,$EN820)&amp;""))="Y",UPPER(TRIM(INDEX(LINES_SCHEDULED,$EN820)&amp;""))="X"),1,0))</f>
        <v/>
      </c>
      <c r="EP820">
        <f>IF($DM820=0,"",IF(COUNTIFS($EG$5:$EG$1003,$EG820,$EB$5:$EB$1003,"Ready")&gt;0,"READY",IF(COUNTIFS($EG$5:$EG$1003,$EG820,$EB$5:$EB$1003,"PM")&gt;0,"PM",IF(COUNTIFS($EG$5:$EG$1003,$EG820,$EB$5:$EB$1003,"OT")&gt;0,"OT",""))))</f>
        <v/>
      </c>
      <c r="EQ820">
        <f>IF($EN820=0,"",UPPER(TRIM(INDEX(LINES_STATUS,$EN820)&amp;"")))</f>
        <v/>
      </c>
      <c r="ER820">
        <f>IF($DM820=0,"",IF(OR($EQ820="READY",$EQ820="PM",$EQ820="OT"),$EQ820,$EP820))</f>
        <v/>
      </c>
      <c r="ES820">
        <f>IF($DM820=0,"",IF(AND($DV820&lt;&gt;"",UPPER($DV820)&lt;&gt;"N"),"allergen",IF(ISNUMBER(SEARCH("oil",$DQ820)),"oil",IF(OR(EXACT($DS820,"A662"),EXACT($DS820,"A624")),"bulk",""))))</f>
        <v/>
      </c>
      <c r="ET820">
        <f>IF($DM820=0,"",IF(OR($EA820="",$EA820=0),"",$EA820/100))</f>
        <v/>
      </c>
      <c r="EU820">
        <f>IF(OR($ET820="",$DY820=""),"",INT($DY820*(1-$ET820)+0.5))</f>
        <v/>
      </c>
    </row>
    <row r="821">
      <c r="DA821" t="n">
        <v>817</v>
      </c>
      <c r="DB821">
        <f>IF($B$37=0,"",IFERROR(TRIM(SUBSTITUTE(SUBSTITUTE(SUBSTITUTE(SUBSTITUTE(INDEX(PASTE_ALL,817,$B$37)," "," "),CHAR(9)," "),CHAR(10)," "),CHAR(13)," ")),""))</f>
        <v/>
      </c>
      <c r="DC821">
        <f>IF(AND(817&gt;HEADER_ROW,UPPER(DB821)="LEGEND"),1,0)</f>
        <v/>
      </c>
      <c r="DE821" t="n">
        <v>817</v>
      </c>
      <c r="DF821">
        <f>HEADER_ROW+$DE821</f>
        <v/>
      </c>
      <c r="DG821">
        <f>IF(AND($DF821&lt;=1000,$DF821&lt;$B$8),1,0)</f>
        <v/>
      </c>
      <c r="DH821">
        <f>IF($DG821=1,IFERROR(INDEX($DB$5:$DB$1004,$DF821),""),"")</f>
        <v/>
      </c>
      <c r="DI821">
        <f>IF(AND($DG821=1,$DH821&lt;&gt;""),IFERROR(SUBSTITUTE(SUBSTITUTE(TRIM(SUBSTITUTE(SUBSTITUTE(SUBSTITUTE(SUBSTITUTE(IFERROR(INDEX(PASTE_ALL,$DF821,1)&amp;"","")&amp;"␟"&amp;IFERROR(INDEX(PASTE_ALL,$DF821,2)&amp;"","")&amp;"␟"&amp;IFERROR(INDEX(PASTE_ALL,$DF821,3)&amp;"","")&amp;"␟"&amp;IFERROR(INDEX(PASTE_ALL,$DF821,4)&amp;"","")&amp;"␟"&amp;IFERROR(INDEX(PASTE_ALL,$DF821,5)&amp;"","")&amp;"␟"&amp;IFERROR(INDEX(PASTE_ALL,$DF821,6)&amp;"","")&amp;"␟"&amp;IFERROR(INDEX(PASTE_ALL,$DF821,7)&amp;"","")&amp;"␟"&amp;IFERROR(INDEX(PASTE_ALL,$DF821,8)&amp;"","")&amp;"␟"&amp;IFERROR(INDEX(PASTE_ALL,$DF821,9)&amp;"","")&amp;"␟"&amp;IFERROR(INDEX(PASTE_ALL,$DF821,10)&amp;"","")&amp;"␟"&amp;IFERROR(INDEX(PASTE_ALL,$DF821,11)&amp;"","")&amp;"␟"&amp;IFERROR(INDEX(PASTE_ALL,$DF821,12)&amp;"","")&amp;"␟"&amp;IFERROR(INDEX(PASTE_ALL,$DF821,13)&amp;"","")&amp;"␟"&amp;IFERROR(INDEX(PASTE_ALL,$DF821,14)&amp;"","")&amp;"␟"&amp;IFERROR(INDEX(PASTE_ALL,$DF821,15)&amp;"","")&amp;"␟"&amp;IFERROR(INDEX(PASTE_ALL,$DF821,16)&amp;"","")&amp;"␟"&amp;IFERROR(INDEX(PASTE_ALL,$DF821,17)&amp;"","")&amp;"␟"&amp;IFERROR(INDEX(PASTE_ALL,$DF821,18)&amp;"","")&amp;"␟"&amp;IFERROR(INDEX(PASTE_ALL,$DF821,19)&amp;"","")&amp;"␟"&amp;IFERROR(INDEX(PASTE_ALL,$DF821,20)&amp;"","")&amp;"␟"&amp;IFERROR(INDEX(PASTE_ALL,$DF821,21)&amp;"","")&amp;"␟"&amp;IFERROR(INDEX(PASTE_ALL,$DF821,22)&amp;"","")&amp;"␟"&amp;IFERROR(INDEX(PASTE_ALL,$DF821,23)&amp;"","")&amp;"␟"&amp;IFERROR(INDEX(PASTE_ALL,$DF821,24)&amp;"","")&amp;"␟"&amp;IFERROR(INDEX(PASTE_ALL,$DF821,25)&amp;"","")&amp;"␟"&amp;IFERROR(INDEX(PASTE_ALL,$DF821,26)&amp;"","")&amp;"␟"&amp;IFERROR(INDEX(PASTE_ALL,$DF821,27)&amp;"","")&amp;"␟"&amp;IFERROR(INDEX(PASTE_ALL,$DF821,28)&amp;"","")&amp;"␟"&amp;IFERROR(INDEX(PASTE_ALL,$DF821,29)&amp;"","")&amp;"␟"&amp;IFERROR(INDEX(PASTE_ALL,$DF821,30)&amp;"","")&amp;"␟"&amp;IFERROR(INDEX(PASTE_ALL,$DF821,31)&amp;"","")&amp;"␟"&amp;IFERROR(INDEX(PASTE_ALL,$DF821,32)&amp;"","")&amp;"␟"&amp;IFERROR(INDEX(PASTE_ALL,$DF821,33)&amp;"","")&amp;"␟"&amp;IFERROR(INDEX(PASTE_ALL,$DF821,34)&amp;"","")&amp;"␟"&amp;IFERROR(INDEX(PASTE_ALL,$DF821,35)&amp;"","")&amp;"␟"&amp;IFERROR(INDEX(PASTE_ALL,$DF821,36)&amp;"","")&amp;"␟"&amp;IFERROR(INDEX(PASTE_ALL,$DF821,37)&amp;"","")&amp;"␟"&amp;IFERROR(INDEX(PASTE_ALL,$DF821,38)&amp;"","")&amp;"␟"&amp;IFERROR(INDEX(PASTE_ALL,$DF821,39)&amp;"","")&amp;"␟"&amp;IFERROR(INDEX(PASTE_ALL,$DF821,40)&amp;"","")&amp;"␟"&amp;IFERROR(INDEX(PASTE_ALL,$DF821,41)&amp;"","")&amp;"␟"&amp;IFERROR(INDEX(PASTE_ALL,$DF821,42)&amp;"","")&amp;"␟"&amp;IFERROR(INDEX(PASTE_ALL,$DF821,43)&amp;"","")&amp;"␟"&amp;IFERROR(INDEX(PASTE_ALL,$DF821,44)&amp;"","")&amp;"␟"&amp;IFERROR(INDEX(PASTE_ALL,$DF821,45)&amp;"","")&amp;"␟"&amp;IFERROR(INDEX(PASTE_ALL,$DF821,46)&amp;"","")&amp;"␟"&amp;IFERROR(INDEX(PASTE_ALL,$DF821,47)&amp;"","")&amp;"␟"&amp;IFERROR(INDEX(PASTE_ALL,$DF821,48)&amp;"","")&amp;"␟"&amp;IFERROR(INDEX(PASTE_ALL,$DF821,49)&amp;"","")&amp;"␟"&amp;IFERROR(INDEX(PASTE_ALL,$DF821,50)&amp;"","")&amp;"␟"&amp;IFERROR(INDEX(PASTE_ALL,$DF821,51)&amp;"","")&amp;"␟"&amp;IFERROR(INDEX(PASTE_ALL,$DF821,52)&amp;"","")&amp;"␟"&amp;IFERROR(INDEX(PASTE_ALL,$DF821,53)&amp;"","")&amp;"␟"&amp;IFERROR(INDEX(PASTE_ALL,$DF821,54)&amp;"","")&amp;"␟"&amp;IFERROR(INDEX(PASTE_ALL,$DF821,55)&amp;"","")&amp;"␟"&amp;IFERROR(INDEX(PASTE_ALL,$DF821,56)&amp;"","")&amp;"␟"&amp;IFERROR(INDEX(PASTE_ALL,$DF821,57)&amp;"","")&amp;"␟"&amp;IFERROR(INDEX(PASTE_ALL,$DF821,58)&amp;"","")&amp;"␟"&amp;IFERROR(INDEX(PASTE_ALL,$DF821,59)&amp;"","")&amp;"␟"&amp;IFERROR(INDEX(PASTE_ALL,$DF821,60)&amp;"","")," "," "),CHAR(9)," "),CHAR(10)," "),CHAR(13)," "))," ␟","␟"),"␟ ","␟"),"#"&amp;$DE821),"")</f>
        <v/>
      </c>
      <c r="DJ821">
        <f>IF($DI821="",0,IF(SUMPRODUCT(--EXACT($DI$4:DI820,$DI821))&gt;0,1,0))</f>
        <v/>
      </c>
      <c r="DK821">
        <f>IF(AND($DI821&lt;&gt;"",$DJ821=0),1,0)</f>
        <v/>
      </c>
      <c r="DL821">
        <f>DL820+$DK821</f>
        <v/>
      </c>
      <c r="DM821">
        <f>IF(AND($DK821=1,$DL821&lt;=600),1,0)</f>
        <v/>
      </c>
      <c r="DN821">
        <f>IF($DM821=0,"",IF($L$6=0,"",IFERROR(IF(ISNUMBER(INDEX(PASTE_ALL,$DF821,$L$6)),INDEX(PASTE_ALL,$DF821,$L$6),TRIM(SUBSTITUTE(SUBSTITUTE(SUBSTITUTE(SUBSTITUTE(INDEX(PASTE_ALL,$DF821,$L$6)," "," "),CHAR(9)," "),CHAR(10)," "),CHAR(13)," "))),"")))</f>
        <v/>
      </c>
      <c r="DO821">
        <f>IF($DM821=0,"",IF($L$7=0,"",IFERROR(IF(ISNUMBER(INDEX(PASTE_ALL,$DF821,$L$7)),INDEX(PASTE_ALL,$DF821,$L$7),TRIM(SUBSTITUTE(SUBSTITUTE(SUBSTITUTE(SUBSTITUTE(INDEX(PASTE_ALL,$DF821,$L$7)," "," "),CHAR(9)," "),CHAR(10)," "),CHAR(13)," "))),"")))</f>
        <v/>
      </c>
      <c r="DP821">
        <f>IF($DM821=0,"",IF($L$8=0,"",IFERROR(IF(ISNUMBER(INDEX(PASTE_ALL,$DF821,$L$8)),INDEX(PASTE_ALL,$DF821,$L$8),TRIM(SUBSTITUTE(SUBSTITUTE(SUBSTITUTE(SUBSTITUTE(INDEX(PASTE_ALL,$DF821,$L$8)," "," "),CHAR(9)," "),CHAR(10)," "),CHAR(13)," "))),"")))</f>
        <v/>
      </c>
      <c r="DQ821">
        <f>IF($DM821=0,"",IF($L$9=0,"",IFERROR(IF(ISNUMBER(INDEX(PASTE_ALL,$DF821,$L$9)),INDEX(PASTE_ALL,$DF821,$L$9),TRIM(SUBSTITUTE(SUBSTITUTE(SUBSTITUTE(SUBSTITUTE(INDEX(PASTE_ALL,$DF821,$L$9)," "," "),CHAR(9)," "),CHAR(10)," "),CHAR(13)," "))),"")))</f>
        <v/>
      </c>
      <c r="DR821">
        <f>IF($DM821=0,"",IF($L$10=0,"",IFERROR(IF(ISNUMBER(INDEX(PASTE_ALL,$DF821,$L$10)),INDEX(PASTE_ALL,$DF821,$L$10),TRIM(SUBSTITUTE(SUBSTITUTE(SUBSTITUTE(SUBSTITUTE(INDEX(PASTE_ALL,$DF821,$L$10)," "," "),CHAR(9)," "),CHAR(10)," "),CHAR(13)," "))),"")))</f>
        <v/>
      </c>
      <c r="DS821">
        <f>IF($DM821=0,"",IF($L$11=0,"",IFERROR(IF(ISNUMBER(INDEX(PASTE_ALL,$DF821,$L$11)),INDEX(PASTE_ALL,$DF821,$L$11),TRIM(SUBSTITUTE(SUBSTITUTE(SUBSTITUTE(SUBSTITUTE(INDEX(PASTE_ALL,$DF821,$L$11)," "," "),CHAR(9)," "),CHAR(10)," "),CHAR(13)," "))),"")))</f>
        <v/>
      </c>
      <c r="DT821">
        <f>IF($DM821=0,"",IF($L$12=0,"",IFERROR(IF(ISNUMBER(INDEX(PASTE_ALL,$DF821,$L$12)),INDEX(PASTE_ALL,$DF821,$L$12),TRIM(SUBSTITUTE(SUBSTITUTE(SUBSTITUTE(SUBSTITUTE(INDEX(PASTE_ALL,$DF821,$L$12)," "," "),CHAR(9)," "),CHAR(10)," "),CHAR(13)," "))),"")))</f>
        <v/>
      </c>
      <c r="DU821">
        <f>IF($DM821=0,"",IF($L$13=0,"",IFERROR(IF(ISNUMBER(INDEX(PASTE_ALL,$DF821,$L$13)),INDEX(PASTE_ALL,$DF821,$L$13),TRIM(SUBSTITUTE(SUBSTITUTE(SUBSTITUTE(SUBSTITUTE(INDEX(PASTE_ALL,$DF821,$L$13)," "," "),CHAR(9)," "),CHAR(10)," "),CHAR(13)," "))),"")))</f>
        <v/>
      </c>
      <c r="DV821">
        <f>IF($DM821=0,"",IF($L$14=0,"",IFERROR(IF(ISNUMBER(INDEX(PASTE_ALL,$DF821,$L$14)),INDEX(PASTE_ALL,$DF821,$L$14),TRIM(SUBSTITUTE(SUBSTITUTE(SUBSTITUTE(SUBSTITUTE(INDEX(PASTE_ALL,$DF821,$L$14)," "," "),CHAR(9)," "),CHAR(10)," "),CHAR(13)," "))),"")))</f>
        <v/>
      </c>
      <c r="DW821">
        <f>IF($DM821=0,"",IF($L$15=0,"",IFERROR(IF(ISNUMBER(INDEX(PASTE_ALL,$DF821,$L$15)),INDEX(PASTE_ALL,$DF821,$L$15),IF(SUMPRODUCT(--ISNUMBER(FIND({"A","B","C","D","E","F","G","H","I","J","K","L","M","N","O","P","Q","R","S","T","U","V","W","X","Y","Z","0","1","2","3","4","5","6","7","8","9"},UPPER(TRIM(SUBSTITUTE(SUBSTITUTE(SUBSTITUTE(SUBSTITUTE(INDEX(PASTE_ALL,$DF821,$L$15)," "," "),CHAR(9)," "),CHAR(10)," "),CHAR(13)," "))))))&gt;0,TRIM(SUBSTITUTE(SUBSTITUTE(SUBSTITUTE(SUBSTITUTE(INDEX(PASTE_ALL,$DF821,$L$15)," "," "),CHAR(9)," "),CHAR(10)," "),CHAR(13)," ")),"")),"")))</f>
        <v/>
      </c>
      <c r="DX821">
        <f>IF($DM821=0,"",IF($L$16=0,"",IFERROR(IF(ISNUMBER(INDEX(PASTE_ALL,$DF821,$L$16)),INDEX(PASTE_ALL,$DF821,$L$16),SUBSTITUTE(SUBSTITUTE(TRIM(SUBSTITUTE(SUBSTITUTE(SUBSTITUTE(SUBSTITUTE(INDEX(PASTE_ALL,$DF821,$L$16)," "," "),CHAR(9)," "),CHAR(10)," "),CHAR(13)," ")),",",""),"%","")),"")))</f>
        <v/>
      </c>
      <c r="DY821">
        <f>IF($DM821=0,"",IFERROR(IF(ISNUMBER($DX821),$DX821,IF($DX821="","",IF(TRIM($DX821)="",0,IF(AND(AND(SUBSTITUTE(SUBSTITUTE(SUBSTITUTE(SUBSTITUTE(SUBSTITUTE(SUBSTITUTE(SUBSTITUTE(SUBSTITUTE(SUBSTITUTE(SUBSTITUTE(SUBSTITUTE(SUBSTITUTE(SUBSTITUTE(SUBSTITUTE(UPPER(TRIM($DX821)),"0",""),"1",""),"2",""),"3",""),"4",""),"5",""),"6",""),"7",""),"8",""),"9",""),".",""),"+",""),"-",""),"E","")="",LEN(SUBSTITUTE(SUBSTITUTE(MID(UPPER(TRIM($DX821)),1+OR(LEFT(UPPER(TRIM($DX821)),1)="+",LEFT(UPPER(TRIM($DX821)),1)="-"),999),"E+","E"),"E-","E"))=LEN(SUBSTITUTE(SUBSTITUTE(SUBSTITUTE(SUBSTITUTE(MID(UPPER(TRIM($DX821)),1+OR(LEFT(UPPER(TRIM($DX821)),1)="+",LEFT(UPPER(TRIM($DX821)),1)="-"),999),"E+","E"),"E-","E"),"+",""),"-","")),LEN(UPPER(TRIM($DX821)))-LEN(SUBSTITUTE(UPPER(TRIM($DX821)),"E",""))&lt;2,LEN(UPPER(TRIM($DX821)))-LEN(SUBSTITUTE(UPPER(TRIM($DX821)),".",""))&lt;2,IFERROR(FIND(".",UPPER(TRIM($DX821))),0)&lt;IFERROR(FIND("E",UPPER(TRIM($DX821))),999)),ISNUMBER(VALUE(TRIM($DX821)))),VALUE(TRIM($DX821)),"")))),""))</f>
        <v/>
      </c>
      <c r="DZ821">
        <f>IF($DM821=0,"",IF($L$17=0,"",IFERROR(IF(ISNUMBER(INDEX(PASTE_ALL,$DF821,$L$17)),INDEX(PASTE_ALL,$DF821,$L$17),SUBSTITUTE(SUBSTITUTE(TRIM(SUBSTITUTE(SUBSTITUTE(SUBSTITUTE(SUBSTITUTE(INDEX(PASTE_ALL,$DF821,$L$17)," "," "),CHAR(9)," "),CHAR(10)," "),CHAR(13)," ")),",",""),"%","")),"")))</f>
        <v/>
      </c>
      <c r="EA821">
        <f>IF($DM821=0,"",IFERROR(IF(ISNUMBER($DZ821),$DZ821,IF($DZ821="","",IF(TRIM($DZ821)="",0,IF(AND(AND(SUBSTITUTE(SUBSTITUTE(SUBSTITUTE(SUBSTITUTE(SUBSTITUTE(SUBSTITUTE(SUBSTITUTE(SUBSTITUTE(SUBSTITUTE(SUBSTITUTE(SUBSTITUTE(SUBSTITUTE(SUBSTITUTE(SUBSTITUTE(UPPER(TRIM($DZ821)),"0",""),"1",""),"2",""),"3",""),"4",""),"5",""),"6",""),"7",""),"8",""),"9",""),".",""),"+",""),"-",""),"E","")="",LEN(SUBSTITUTE(SUBSTITUTE(MID(UPPER(TRIM($DZ821)),1+OR(LEFT(UPPER(TRIM($DZ821)),1)="+",LEFT(UPPER(TRIM($DZ821)),1)="-"),999),"E+","E"),"E-","E"))=LEN(SUBSTITUTE(SUBSTITUTE(SUBSTITUTE(SUBSTITUTE(MID(UPPER(TRIM($DZ821)),1+OR(LEFT(UPPER(TRIM($DZ821)),1)="+",LEFT(UPPER(TRIM($DZ821)),1)="-"),999),"E+","E"),"E-","E"),"+",""),"-","")),LEN(UPPER(TRIM($DZ821)))-LEN(SUBSTITUTE(UPPER(TRIM($DZ821)),"E",""))&lt;2,LEN(UPPER(TRIM($DZ821)))-LEN(SUBSTITUTE(UPPER(TRIM($DZ821)),".",""))&lt;2,IFERROR(FIND(".",UPPER(TRIM($DZ821))),0)&lt;IFERROR(FIND("E",UPPER(TRIM($DZ821))),999)),ISNUMBER(VALUE(TRIM($DZ821)))),VALUE(TRIM($DZ821)),"")))),""))</f>
        <v/>
      </c>
      <c r="EB821">
        <f>IF($DM821=0,"",IF($L$18=0,"",IFERROR(IF(UPPER(TRIM(SUBSTITUTE(SUBSTITUTE(SUBSTITUTE(SUBSTITUTE(INDEX(PASTE_ALL,$DF821,$L$18)," "," "),CHAR(9)," "),CHAR(10)," "),CHAR(13)," ")))="READY","Ready",IF(UPPER(TRIM(SUBSTITUTE(SUBSTITUTE(SUBSTITUTE(SUBSTITUTE(INDEX(PASTE_ALL,$DF821,$L$18)," "," "),CHAR(9)," "),CHAR(10)," "),CHAR(13)," ")))="PM","PM",IF(OR(UPPER(TRIM(SUBSTITUTE(SUBSTITUTE(SUBSTITUTE(SUBSTITUTE(INDEX(PASTE_ALL,$DF821,$L$18)," "," "),CHAR(9)," "),CHAR(10)," "),CHAR(13)," ")))="OT",UPPER(TRIM(SUBSTITUTE(SUBSTITUTE(SUBSTITUTE(SUBSTITUTE(INDEX(PASTE_ALL,$DF821,$L$18)," "," "),CHAR(9)," "),CHAR(10)," "),CHAR(13)," ")))="OVERTIME",UPPER(TRIM(SUBSTITUTE(SUBSTITUTE(SUBSTITUTE(SUBSTITUTE(INDEX(PASTE_ALL,$DF821,$L$18)," "," "),CHAR(9)," "),CHAR(10)," "),CHAR(13)," ")))="TRIAL"),"OT",TRIM(SUBSTITUTE(SUBSTITUTE(SUBSTITUTE(SUBSTITUTE(INDEX(PASTE_ALL,$DF821,$L$18)," "," "),CHAR(9)," "),CHAR(10)," "),CHAR(13)," "))))),"")))</f>
        <v/>
      </c>
      <c r="EC821">
        <f>IF($DM821=0,"",IF($L$19=0,"",IFERROR(IF(ISNUMBER(INDEX(PASTE_ALL,$DF821,$L$19)),INDEX(PASTE_ALL,$DF821,$L$19),TRIM(SUBSTITUTE(SUBSTITUTE(SUBSTITUTE(SUBSTITUTE(INDEX(PASTE_ALL,$DF821,$L$19)," "," "),CHAR(9)," "),CHAR(10)," "),CHAR(13)," "))),"")))</f>
        <v/>
      </c>
      <c r="ED821">
        <f>IF($DM821=0,"",MATCH(1,INDEX(EXACT($DH$5:DH821,$DH821)*$DM$5:DM821,0),0))</f>
        <v/>
      </c>
      <c r="EE821">
        <f>IF($DM821=0,0,IF($ED821=$DE821,1,0))</f>
        <v/>
      </c>
      <c r="EF821">
        <f>EF820+$EE821</f>
        <v/>
      </c>
      <c r="EG821">
        <f>IF($DM821=0,"",INDEX($EF$5:$EF$1003,$ED821))</f>
        <v/>
      </c>
      <c r="EH821">
        <f>IF($DM821=0,"",IF($DO821&lt;&gt;"","",IFERROR(LOOKUP(2,1/(($EG$4:EG820=$EG821)*($DO$4:DO820&lt;&gt;"")),$DO$4:DO820),"")))</f>
        <v/>
      </c>
      <c r="EI821">
        <f>IF($DM821=0,"",IF($DO821&lt;&gt;"",$DO821,$EH821))</f>
        <v/>
      </c>
      <c r="EJ821">
        <f>IF($DM821=0,"",IF($EI821="",0,IF(OR(ISNUMBER($EI821),AND(AND(SUBSTITUTE(SUBSTITUTE(SUBSTITUTE(SUBSTITUTE(SUBSTITUTE(SUBSTITUTE(SUBSTITUTE(SUBSTITUTE(SUBSTITUTE(SUBSTITUTE(SUBSTITUTE(SUBSTITUTE(SUBSTITUTE(SUBSTITUTE(UPPER($EI821),"0",""),"1",""),"2",""),"3",""),"4",""),"5",""),"6",""),"7",""),"8",""),"9",""),".",""),"+",""),"-",""),"E","")="",LEN(SUBSTITUTE(SUBSTITUTE(MID(UPPER($EI821),1+OR(LEFT(UPPER($EI821),1)="+",LEFT(UPPER($EI821),1)="-"),999),"E+","E"),"E-","E"))=LEN(SUBSTITUTE(SUBSTITUTE(SUBSTITUTE(SUBSTITUTE(MID(UPPER($EI821),1+OR(LEFT(UPPER($EI821),1)="+",LEFT(UPPER($EI821),1)="-"),999),"E+","E"),"E-","E"),"+",""),"-","")),LEN(UPPER($EI821))-LEN(SUBSTITUTE(UPPER($EI821),"E",""))&lt;2,LEN(UPPER($EI821))-LEN(SUBSTITUTE(UPPER($EI821),".",""))&lt;2,IFERROR(FIND(".",UPPER($EI821)),0)&lt;IFERROR(FIND("E",UPPER($EI821)),999)),ISNUMBER(VALUE($EI821)))),1,2)))</f>
        <v/>
      </c>
      <c r="EK821">
        <f>IF($DM821=0,"",IF($EJ821=1,IF(ISNUMBER($EI821),$EI821,VALUE($EI821)),IF($EJ821=2,$DE821,0)))</f>
        <v/>
      </c>
      <c r="EL821">
        <f>IF($DM821=0,"",COUNTIF($EG$5:$EG$1003,"&lt;"&amp;$EG821)+SUMPRODUCT(($EG$5:$EG$1003=$EG821)*(($EJ$5:$EJ$1003&lt;$EJ821)+($EJ$5:$EJ$1003=$EJ821)*(($EK$5:$EK$1003&lt;$EK821)+($EK$5:$EK$1003=$EK821)*($DE$5:$DE$1003&lt;$DE821))))+1)</f>
        <v/>
      </c>
      <c r="EM821">
        <f>IF($DM821=0,"",$EL821+$EG821-1)</f>
        <v/>
      </c>
      <c r="EN821">
        <f>IF($DM821=0,0,IFERROR(MATCH(1,INDEX(--(TRIM(SUBSTITUTE(SUBSTITUTE(SUBSTITUTE(SUBSTITUTE(LINES_NAME&amp;""," "," "),CHAR(9)," "),CHAR(10)," "),CHAR(13)," "))=$DH821),0),0),0))</f>
        <v/>
      </c>
      <c r="EO821">
        <f>IF($EN821=0,0,IF(OR(UPPER(TRIM(INDEX(LINES_SCHEDULED,$EN821)&amp;""))="YES",UPPER(TRIM(INDEX(LINES_SCHEDULED,$EN821)&amp;""))="Y",UPPER(TRIM(INDEX(LINES_SCHEDULED,$EN821)&amp;""))="X"),1,0))</f>
        <v/>
      </c>
      <c r="EP821">
        <f>IF($DM821=0,"",IF(COUNTIFS($EG$5:$EG$1003,$EG821,$EB$5:$EB$1003,"Ready")&gt;0,"READY",IF(COUNTIFS($EG$5:$EG$1003,$EG821,$EB$5:$EB$1003,"PM")&gt;0,"PM",IF(COUNTIFS($EG$5:$EG$1003,$EG821,$EB$5:$EB$1003,"OT")&gt;0,"OT",""))))</f>
        <v/>
      </c>
      <c r="EQ821">
        <f>IF($EN821=0,"",UPPER(TRIM(INDEX(LINES_STATUS,$EN821)&amp;"")))</f>
        <v/>
      </c>
      <c r="ER821">
        <f>IF($DM821=0,"",IF(OR($EQ821="READY",$EQ821="PM",$EQ821="OT"),$EQ821,$EP821))</f>
        <v/>
      </c>
      <c r="ES821">
        <f>IF($DM821=0,"",IF(AND($DV821&lt;&gt;"",UPPER($DV821)&lt;&gt;"N"),"allergen",IF(ISNUMBER(SEARCH("oil",$DQ821)),"oil",IF(OR(EXACT($DS821,"A662"),EXACT($DS821,"A624")),"bulk",""))))</f>
        <v/>
      </c>
      <c r="ET821">
        <f>IF($DM821=0,"",IF(OR($EA821="",$EA821=0),"",$EA821/100))</f>
        <v/>
      </c>
      <c r="EU821">
        <f>IF(OR($ET821="",$DY821=""),"",INT($DY821*(1-$ET821)+0.5))</f>
        <v/>
      </c>
    </row>
    <row r="822">
      <c r="DA822" t="n">
        <v>818</v>
      </c>
      <c r="DB822">
        <f>IF($B$37=0,"",IFERROR(TRIM(SUBSTITUTE(SUBSTITUTE(SUBSTITUTE(SUBSTITUTE(INDEX(PASTE_ALL,818,$B$37)," "," "),CHAR(9)," "),CHAR(10)," "),CHAR(13)," ")),""))</f>
        <v/>
      </c>
      <c r="DC822">
        <f>IF(AND(818&gt;HEADER_ROW,UPPER(DB822)="LEGEND"),1,0)</f>
        <v/>
      </c>
      <c r="DE822" t="n">
        <v>818</v>
      </c>
      <c r="DF822">
        <f>HEADER_ROW+$DE822</f>
        <v/>
      </c>
      <c r="DG822">
        <f>IF(AND($DF822&lt;=1000,$DF822&lt;$B$8),1,0)</f>
        <v/>
      </c>
      <c r="DH822">
        <f>IF($DG822=1,IFERROR(INDEX($DB$5:$DB$1004,$DF822),""),"")</f>
        <v/>
      </c>
      <c r="DI822">
        <f>IF(AND($DG822=1,$DH822&lt;&gt;""),IFERROR(SUBSTITUTE(SUBSTITUTE(TRIM(SUBSTITUTE(SUBSTITUTE(SUBSTITUTE(SUBSTITUTE(IFERROR(INDEX(PASTE_ALL,$DF822,1)&amp;"","")&amp;"␟"&amp;IFERROR(INDEX(PASTE_ALL,$DF822,2)&amp;"","")&amp;"␟"&amp;IFERROR(INDEX(PASTE_ALL,$DF822,3)&amp;"","")&amp;"␟"&amp;IFERROR(INDEX(PASTE_ALL,$DF822,4)&amp;"","")&amp;"␟"&amp;IFERROR(INDEX(PASTE_ALL,$DF822,5)&amp;"","")&amp;"␟"&amp;IFERROR(INDEX(PASTE_ALL,$DF822,6)&amp;"","")&amp;"␟"&amp;IFERROR(INDEX(PASTE_ALL,$DF822,7)&amp;"","")&amp;"␟"&amp;IFERROR(INDEX(PASTE_ALL,$DF822,8)&amp;"","")&amp;"␟"&amp;IFERROR(INDEX(PASTE_ALL,$DF822,9)&amp;"","")&amp;"␟"&amp;IFERROR(INDEX(PASTE_ALL,$DF822,10)&amp;"","")&amp;"␟"&amp;IFERROR(INDEX(PASTE_ALL,$DF822,11)&amp;"","")&amp;"␟"&amp;IFERROR(INDEX(PASTE_ALL,$DF822,12)&amp;"","")&amp;"␟"&amp;IFERROR(INDEX(PASTE_ALL,$DF822,13)&amp;"","")&amp;"␟"&amp;IFERROR(INDEX(PASTE_ALL,$DF822,14)&amp;"","")&amp;"␟"&amp;IFERROR(INDEX(PASTE_ALL,$DF822,15)&amp;"","")&amp;"␟"&amp;IFERROR(INDEX(PASTE_ALL,$DF822,16)&amp;"","")&amp;"␟"&amp;IFERROR(INDEX(PASTE_ALL,$DF822,17)&amp;"","")&amp;"␟"&amp;IFERROR(INDEX(PASTE_ALL,$DF822,18)&amp;"","")&amp;"␟"&amp;IFERROR(INDEX(PASTE_ALL,$DF822,19)&amp;"","")&amp;"␟"&amp;IFERROR(INDEX(PASTE_ALL,$DF822,20)&amp;"","")&amp;"␟"&amp;IFERROR(INDEX(PASTE_ALL,$DF822,21)&amp;"","")&amp;"␟"&amp;IFERROR(INDEX(PASTE_ALL,$DF822,22)&amp;"","")&amp;"␟"&amp;IFERROR(INDEX(PASTE_ALL,$DF822,23)&amp;"","")&amp;"␟"&amp;IFERROR(INDEX(PASTE_ALL,$DF822,24)&amp;"","")&amp;"␟"&amp;IFERROR(INDEX(PASTE_ALL,$DF822,25)&amp;"","")&amp;"␟"&amp;IFERROR(INDEX(PASTE_ALL,$DF822,26)&amp;"","")&amp;"␟"&amp;IFERROR(INDEX(PASTE_ALL,$DF822,27)&amp;"","")&amp;"␟"&amp;IFERROR(INDEX(PASTE_ALL,$DF822,28)&amp;"","")&amp;"␟"&amp;IFERROR(INDEX(PASTE_ALL,$DF822,29)&amp;"","")&amp;"␟"&amp;IFERROR(INDEX(PASTE_ALL,$DF822,30)&amp;"","")&amp;"␟"&amp;IFERROR(INDEX(PASTE_ALL,$DF822,31)&amp;"","")&amp;"␟"&amp;IFERROR(INDEX(PASTE_ALL,$DF822,32)&amp;"","")&amp;"␟"&amp;IFERROR(INDEX(PASTE_ALL,$DF822,33)&amp;"","")&amp;"␟"&amp;IFERROR(INDEX(PASTE_ALL,$DF822,34)&amp;"","")&amp;"␟"&amp;IFERROR(INDEX(PASTE_ALL,$DF822,35)&amp;"","")&amp;"␟"&amp;IFERROR(INDEX(PASTE_ALL,$DF822,36)&amp;"","")&amp;"␟"&amp;IFERROR(INDEX(PASTE_ALL,$DF822,37)&amp;"","")&amp;"␟"&amp;IFERROR(INDEX(PASTE_ALL,$DF822,38)&amp;"","")&amp;"␟"&amp;IFERROR(INDEX(PASTE_ALL,$DF822,39)&amp;"","")&amp;"␟"&amp;IFERROR(INDEX(PASTE_ALL,$DF822,40)&amp;"","")&amp;"␟"&amp;IFERROR(INDEX(PASTE_ALL,$DF822,41)&amp;"","")&amp;"␟"&amp;IFERROR(INDEX(PASTE_ALL,$DF822,42)&amp;"","")&amp;"␟"&amp;IFERROR(INDEX(PASTE_ALL,$DF822,43)&amp;"","")&amp;"␟"&amp;IFERROR(INDEX(PASTE_ALL,$DF822,44)&amp;"","")&amp;"␟"&amp;IFERROR(INDEX(PASTE_ALL,$DF822,45)&amp;"","")&amp;"␟"&amp;IFERROR(INDEX(PASTE_ALL,$DF822,46)&amp;"","")&amp;"␟"&amp;IFERROR(INDEX(PASTE_ALL,$DF822,47)&amp;"","")&amp;"␟"&amp;IFERROR(INDEX(PASTE_ALL,$DF822,48)&amp;"","")&amp;"␟"&amp;IFERROR(INDEX(PASTE_ALL,$DF822,49)&amp;"","")&amp;"␟"&amp;IFERROR(INDEX(PASTE_ALL,$DF822,50)&amp;"","")&amp;"␟"&amp;IFERROR(INDEX(PASTE_ALL,$DF822,51)&amp;"","")&amp;"␟"&amp;IFERROR(INDEX(PASTE_ALL,$DF822,52)&amp;"","")&amp;"␟"&amp;IFERROR(INDEX(PASTE_ALL,$DF822,53)&amp;"","")&amp;"␟"&amp;IFERROR(INDEX(PASTE_ALL,$DF822,54)&amp;"","")&amp;"␟"&amp;IFERROR(INDEX(PASTE_ALL,$DF822,55)&amp;"","")&amp;"␟"&amp;IFERROR(INDEX(PASTE_ALL,$DF822,56)&amp;"","")&amp;"␟"&amp;IFERROR(INDEX(PASTE_ALL,$DF822,57)&amp;"","")&amp;"␟"&amp;IFERROR(INDEX(PASTE_ALL,$DF822,58)&amp;"","")&amp;"␟"&amp;IFERROR(INDEX(PASTE_ALL,$DF822,59)&amp;"","")&amp;"␟"&amp;IFERROR(INDEX(PASTE_ALL,$DF822,60)&amp;"","")," "," "),CHAR(9)," "),CHAR(10)," "),CHAR(13)," "))," ␟","␟"),"␟ ","␟"),"#"&amp;$DE822),"")</f>
        <v/>
      </c>
      <c r="DJ822">
        <f>IF($DI822="",0,IF(SUMPRODUCT(--EXACT($DI$4:DI821,$DI822))&gt;0,1,0))</f>
        <v/>
      </c>
      <c r="DK822">
        <f>IF(AND($DI822&lt;&gt;"",$DJ822=0),1,0)</f>
        <v/>
      </c>
      <c r="DL822">
        <f>DL821+$DK822</f>
        <v/>
      </c>
      <c r="DM822">
        <f>IF(AND($DK822=1,$DL822&lt;=600),1,0)</f>
        <v/>
      </c>
      <c r="DN822">
        <f>IF($DM822=0,"",IF($L$6=0,"",IFERROR(IF(ISNUMBER(INDEX(PASTE_ALL,$DF822,$L$6)),INDEX(PASTE_ALL,$DF822,$L$6),TRIM(SUBSTITUTE(SUBSTITUTE(SUBSTITUTE(SUBSTITUTE(INDEX(PASTE_ALL,$DF822,$L$6)," "," "),CHAR(9)," "),CHAR(10)," "),CHAR(13)," "))),"")))</f>
        <v/>
      </c>
      <c r="DO822">
        <f>IF($DM822=0,"",IF($L$7=0,"",IFERROR(IF(ISNUMBER(INDEX(PASTE_ALL,$DF822,$L$7)),INDEX(PASTE_ALL,$DF822,$L$7),TRIM(SUBSTITUTE(SUBSTITUTE(SUBSTITUTE(SUBSTITUTE(INDEX(PASTE_ALL,$DF822,$L$7)," "," "),CHAR(9)," "),CHAR(10)," "),CHAR(13)," "))),"")))</f>
        <v/>
      </c>
      <c r="DP822">
        <f>IF($DM822=0,"",IF($L$8=0,"",IFERROR(IF(ISNUMBER(INDEX(PASTE_ALL,$DF822,$L$8)),INDEX(PASTE_ALL,$DF822,$L$8),TRIM(SUBSTITUTE(SUBSTITUTE(SUBSTITUTE(SUBSTITUTE(INDEX(PASTE_ALL,$DF822,$L$8)," "," "),CHAR(9)," "),CHAR(10)," "),CHAR(13)," "))),"")))</f>
        <v/>
      </c>
      <c r="DQ822">
        <f>IF($DM822=0,"",IF($L$9=0,"",IFERROR(IF(ISNUMBER(INDEX(PASTE_ALL,$DF822,$L$9)),INDEX(PASTE_ALL,$DF822,$L$9),TRIM(SUBSTITUTE(SUBSTITUTE(SUBSTITUTE(SUBSTITUTE(INDEX(PASTE_ALL,$DF822,$L$9)," "," "),CHAR(9)," "),CHAR(10)," "),CHAR(13)," "))),"")))</f>
        <v/>
      </c>
      <c r="DR822">
        <f>IF($DM822=0,"",IF($L$10=0,"",IFERROR(IF(ISNUMBER(INDEX(PASTE_ALL,$DF822,$L$10)),INDEX(PASTE_ALL,$DF822,$L$10),TRIM(SUBSTITUTE(SUBSTITUTE(SUBSTITUTE(SUBSTITUTE(INDEX(PASTE_ALL,$DF822,$L$10)," "," "),CHAR(9)," "),CHAR(10)," "),CHAR(13)," "))),"")))</f>
        <v/>
      </c>
      <c r="DS822">
        <f>IF($DM822=0,"",IF($L$11=0,"",IFERROR(IF(ISNUMBER(INDEX(PASTE_ALL,$DF822,$L$11)),INDEX(PASTE_ALL,$DF822,$L$11),TRIM(SUBSTITUTE(SUBSTITUTE(SUBSTITUTE(SUBSTITUTE(INDEX(PASTE_ALL,$DF822,$L$11)," "," "),CHAR(9)," "),CHAR(10)," "),CHAR(13)," "))),"")))</f>
        <v/>
      </c>
      <c r="DT822">
        <f>IF($DM822=0,"",IF($L$12=0,"",IFERROR(IF(ISNUMBER(INDEX(PASTE_ALL,$DF822,$L$12)),INDEX(PASTE_ALL,$DF822,$L$12),TRIM(SUBSTITUTE(SUBSTITUTE(SUBSTITUTE(SUBSTITUTE(INDEX(PASTE_ALL,$DF822,$L$12)," "," "),CHAR(9)," "),CHAR(10)," "),CHAR(13)," "))),"")))</f>
        <v/>
      </c>
      <c r="DU822">
        <f>IF($DM822=0,"",IF($L$13=0,"",IFERROR(IF(ISNUMBER(INDEX(PASTE_ALL,$DF822,$L$13)),INDEX(PASTE_ALL,$DF822,$L$13),TRIM(SUBSTITUTE(SUBSTITUTE(SUBSTITUTE(SUBSTITUTE(INDEX(PASTE_ALL,$DF822,$L$13)," "," "),CHAR(9)," "),CHAR(10)," "),CHAR(13)," "))),"")))</f>
        <v/>
      </c>
      <c r="DV822">
        <f>IF($DM822=0,"",IF($L$14=0,"",IFERROR(IF(ISNUMBER(INDEX(PASTE_ALL,$DF822,$L$14)),INDEX(PASTE_ALL,$DF822,$L$14),TRIM(SUBSTITUTE(SUBSTITUTE(SUBSTITUTE(SUBSTITUTE(INDEX(PASTE_ALL,$DF822,$L$14)," "," "),CHAR(9)," "),CHAR(10)," "),CHAR(13)," "))),"")))</f>
        <v/>
      </c>
      <c r="DW822">
        <f>IF($DM822=0,"",IF($L$15=0,"",IFERROR(IF(ISNUMBER(INDEX(PASTE_ALL,$DF822,$L$15)),INDEX(PASTE_ALL,$DF822,$L$15),IF(SUMPRODUCT(--ISNUMBER(FIND({"A","B","C","D","E","F","G","H","I","J","K","L","M","N","O","P","Q","R","S","T","U","V","W","X","Y","Z","0","1","2","3","4","5","6","7","8","9"},UPPER(TRIM(SUBSTITUTE(SUBSTITUTE(SUBSTITUTE(SUBSTITUTE(INDEX(PASTE_ALL,$DF822,$L$15)," "," "),CHAR(9)," "),CHAR(10)," "),CHAR(13)," "))))))&gt;0,TRIM(SUBSTITUTE(SUBSTITUTE(SUBSTITUTE(SUBSTITUTE(INDEX(PASTE_ALL,$DF822,$L$15)," "," "),CHAR(9)," "),CHAR(10)," "),CHAR(13)," ")),"")),"")))</f>
        <v/>
      </c>
      <c r="DX822">
        <f>IF($DM822=0,"",IF($L$16=0,"",IFERROR(IF(ISNUMBER(INDEX(PASTE_ALL,$DF822,$L$16)),INDEX(PASTE_ALL,$DF822,$L$16),SUBSTITUTE(SUBSTITUTE(TRIM(SUBSTITUTE(SUBSTITUTE(SUBSTITUTE(SUBSTITUTE(INDEX(PASTE_ALL,$DF822,$L$16)," "," "),CHAR(9)," "),CHAR(10)," "),CHAR(13)," ")),",",""),"%","")),"")))</f>
        <v/>
      </c>
      <c r="DY822">
        <f>IF($DM822=0,"",IFERROR(IF(ISNUMBER($DX822),$DX822,IF($DX822="","",IF(TRIM($DX822)="",0,IF(AND(AND(SUBSTITUTE(SUBSTITUTE(SUBSTITUTE(SUBSTITUTE(SUBSTITUTE(SUBSTITUTE(SUBSTITUTE(SUBSTITUTE(SUBSTITUTE(SUBSTITUTE(SUBSTITUTE(SUBSTITUTE(SUBSTITUTE(SUBSTITUTE(UPPER(TRIM($DX822)),"0",""),"1",""),"2",""),"3",""),"4",""),"5",""),"6",""),"7",""),"8",""),"9",""),".",""),"+",""),"-",""),"E","")="",LEN(SUBSTITUTE(SUBSTITUTE(MID(UPPER(TRIM($DX822)),1+OR(LEFT(UPPER(TRIM($DX822)),1)="+",LEFT(UPPER(TRIM($DX822)),1)="-"),999),"E+","E"),"E-","E"))=LEN(SUBSTITUTE(SUBSTITUTE(SUBSTITUTE(SUBSTITUTE(MID(UPPER(TRIM($DX822)),1+OR(LEFT(UPPER(TRIM($DX822)),1)="+",LEFT(UPPER(TRIM($DX822)),1)="-"),999),"E+","E"),"E-","E"),"+",""),"-","")),LEN(UPPER(TRIM($DX822)))-LEN(SUBSTITUTE(UPPER(TRIM($DX822)),"E",""))&lt;2,LEN(UPPER(TRIM($DX822)))-LEN(SUBSTITUTE(UPPER(TRIM($DX822)),".",""))&lt;2,IFERROR(FIND(".",UPPER(TRIM($DX822))),0)&lt;IFERROR(FIND("E",UPPER(TRIM($DX822))),999)),ISNUMBER(VALUE(TRIM($DX822)))),VALUE(TRIM($DX822)),"")))),""))</f>
        <v/>
      </c>
      <c r="DZ822">
        <f>IF($DM822=0,"",IF($L$17=0,"",IFERROR(IF(ISNUMBER(INDEX(PASTE_ALL,$DF822,$L$17)),INDEX(PASTE_ALL,$DF822,$L$17),SUBSTITUTE(SUBSTITUTE(TRIM(SUBSTITUTE(SUBSTITUTE(SUBSTITUTE(SUBSTITUTE(INDEX(PASTE_ALL,$DF822,$L$17)," "," "),CHAR(9)," "),CHAR(10)," "),CHAR(13)," ")),",",""),"%","")),"")))</f>
        <v/>
      </c>
      <c r="EA822">
        <f>IF($DM822=0,"",IFERROR(IF(ISNUMBER($DZ822),$DZ822,IF($DZ822="","",IF(TRIM($DZ822)="",0,IF(AND(AND(SUBSTITUTE(SUBSTITUTE(SUBSTITUTE(SUBSTITUTE(SUBSTITUTE(SUBSTITUTE(SUBSTITUTE(SUBSTITUTE(SUBSTITUTE(SUBSTITUTE(SUBSTITUTE(SUBSTITUTE(SUBSTITUTE(SUBSTITUTE(UPPER(TRIM($DZ822)),"0",""),"1",""),"2",""),"3",""),"4",""),"5",""),"6",""),"7",""),"8",""),"9",""),".",""),"+",""),"-",""),"E","")="",LEN(SUBSTITUTE(SUBSTITUTE(MID(UPPER(TRIM($DZ822)),1+OR(LEFT(UPPER(TRIM($DZ822)),1)="+",LEFT(UPPER(TRIM($DZ822)),1)="-"),999),"E+","E"),"E-","E"))=LEN(SUBSTITUTE(SUBSTITUTE(SUBSTITUTE(SUBSTITUTE(MID(UPPER(TRIM($DZ822)),1+OR(LEFT(UPPER(TRIM($DZ822)),1)="+",LEFT(UPPER(TRIM($DZ822)),1)="-"),999),"E+","E"),"E-","E"),"+",""),"-","")),LEN(UPPER(TRIM($DZ822)))-LEN(SUBSTITUTE(UPPER(TRIM($DZ822)),"E",""))&lt;2,LEN(UPPER(TRIM($DZ822)))-LEN(SUBSTITUTE(UPPER(TRIM($DZ822)),".",""))&lt;2,IFERROR(FIND(".",UPPER(TRIM($DZ822))),0)&lt;IFERROR(FIND("E",UPPER(TRIM($DZ822))),999)),ISNUMBER(VALUE(TRIM($DZ822)))),VALUE(TRIM($DZ822)),"")))),""))</f>
        <v/>
      </c>
      <c r="EB822">
        <f>IF($DM822=0,"",IF($L$18=0,"",IFERROR(IF(UPPER(TRIM(SUBSTITUTE(SUBSTITUTE(SUBSTITUTE(SUBSTITUTE(INDEX(PASTE_ALL,$DF822,$L$18)," "," "),CHAR(9)," "),CHAR(10)," "),CHAR(13)," ")))="READY","Ready",IF(UPPER(TRIM(SUBSTITUTE(SUBSTITUTE(SUBSTITUTE(SUBSTITUTE(INDEX(PASTE_ALL,$DF822,$L$18)," "," "),CHAR(9)," "),CHAR(10)," "),CHAR(13)," ")))="PM","PM",IF(OR(UPPER(TRIM(SUBSTITUTE(SUBSTITUTE(SUBSTITUTE(SUBSTITUTE(INDEX(PASTE_ALL,$DF822,$L$18)," "," "),CHAR(9)," "),CHAR(10)," "),CHAR(13)," ")))="OT",UPPER(TRIM(SUBSTITUTE(SUBSTITUTE(SUBSTITUTE(SUBSTITUTE(INDEX(PASTE_ALL,$DF822,$L$18)," "," "),CHAR(9)," "),CHAR(10)," "),CHAR(13)," ")))="OVERTIME",UPPER(TRIM(SUBSTITUTE(SUBSTITUTE(SUBSTITUTE(SUBSTITUTE(INDEX(PASTE_ALL,$DF822,$L$18)," "," "),CHAR(9)," "),CHAR(10)," "),CHAR(13)," ")))="TRIAL"),"OT",TRIM(SUBSTITUTE(SUBSTITUTE(SUBSTITUTE(SUBSTITUTE(INDEX(PASTE_ALL,$DF822,$L$18)," "," "),CHAR(9)," "),CHAR(10)," "),CHAR(13)," "))))),"")))</f>
        <v/>
      </c>
      <c r="EC822">
        <f>IF($DM822=0,"",IF($L$19=0,"",IFERROR(IF(ISNUMBER(INDEX(PASTE_ALL,$DF822,$L$19)),INDEX(PASTE_ALL,$DF822,$L$19),TRIM(SUBSTITUTE(SUBSTITUTE(SUBSTITUTE(SUBSTITUTE(INDEX(PASTE_ALL,$DF822,$L$19)," "," "),CHAR(9)," "),CHAR(10)," "),CHAR(13)," "))),"")))</f>
        <v/>
      </c>
      <c r="ED822">
        <f>IF($DM822=0,"",MATCH(1,INDEX(EXACT($DH$5:DH822,$DH822)*$DM$5:DM822,0),0))</f>
        <v/>
      </c>
      <c r="EE822">
        <f>IF($DM822=0,0,IF($ED822=$DE822,1,0))</f>
        <v/>
      </c>
      <c r="EF822">
        <f>EF821+$EE822</f>
        <v/>
      </c>
      <c r="EG822">
        <f>IF($DM822=0,"",INDEX($EF$5:$EF$1003,$ED822))</f>
        <v/>
      </c>
      <c r="EH822">
        <f>IF($DM822=0,"",IF($DO822&lt;&gt;"","",IFERROR(LOOKUP(2,1/(($EG$4:EG821=$EG822)*($DO$4:DO821&lt;&gt;"")),$DO$4:DO821),"")))</f>
        <v/>
      </c>
      <c r="EI822">
        <f>IF($DM822=0,"",IF($DO822&lt;&gt;"",$DO822,$EH822))</f>
        <v/>
      </c>
      <c r="EJ822">
        <f>IF($DM822=0,"",IF($EI822="",0,IF(OR(ISNUMBER($EI822),AND(AND(SUBSTITUTE(SUBSTITUTE(SUBSTITUTE(SUBSTITUTE(SUBSTITUTE(SUBSTITUTE(SUBSTITUTE(SUBSTITUTE(SUBSTITUTE(SUBSTITUTE(SUBSTITUTE(SUBSTITUTE(SUBSTITUTE(SUBSTITUTE(UPPER($EI822),"0",""),"1",""),"2",""),"3",""),"4",""),"5",""),"6",""),"7",""),"8",""),"9",""),".",""),"+",""),"-",""),"E","")="",LEN(SUBSTITUTE(SUBSTITUTE(MID(UPPER($EI822),1+OR(LEFT(UPPER($EI822),1)="+",LEFT(UPPER($EI822),1)="-"),999),"E+","E"),"E-","E"))=LEN(SUBSTITUTE(SUBSTITUTE(SUBSTITUTE(SUBSTITUTE(MID(UPPER($EI822),1+OR(LEFT(UPPER($EI822),1)="+",LEFT(UPPER($EI822),1)="-"),999),"E+","E"),"E-","E"),"+",""),"-","")),LEN(UPPER($EI822))-LEN(SUBSTITUTE(UPPER($EI822),"E",""))&lt;2,LEN(UPPER($EI822))-LEN(SUBSTITUTE(UPPER($EI822),".",""))&lt;2,IFERROR(FIND(".",UPPER($EI822)),0)&lt;IFERROR(FIND("E",UPPER($EI822)),999)),ISNUMBER(VALUE($EI822)))),1,2)))</f>
        <v/>
      </c>
      <c r="EK822">
        <f>IF($DM822=0,"",IF($EJ822=1,IF(ISNUMBER($EI822),$EI822,VALUE($EI822)),IF($EJ822=2,$DE822,0)))</f>
        <v/>
      </c>
      <c r="EL822">
        <f>IF($DM822=0,"",COUNTIF($EG$5:$EG$1003,"&lt;"&amp;$EG822)+SUMPRODUCT(($EG$5:$EG$1003=$EG822)*(($EJ$5:$EJ$1003&lt;$EJ822)+($EJ$5:$EJ$1003=$EJ822)*(($EK$5:$EK$1003&lt;$EK822)+($EK$5:$EK$1003=$EK822)*($DE$5:$DE$1003&lt;$DE822))))+1)</f>
        <v/>
      </c>
      <c r="EM822">
        <f>IF($DM822=0,"",$EL822+$EG822-1)</f>
        <v/>
      </c>
      <c r="EN822">
        <f>IF($DM822=0,0,IFERROR(MATCH(1,INDEX(--(TRIM(SUBSTITUTE(SUBSTITUTE(SUBSTITUTE(SUBSTITUTE(LINES_NAME&amp;""," "," "),CHAR(9)," "),CHAR(10)," "),CHAR(13)," "))=$DH822),0),0),0))</f>
        <v/>
      </c>
      <c r="EO822">
        <f>IF($EN822=0,0,IF(OR(UPPER(TRIM(INDEX(LINES_SCHEDULED,$EN822)&amp;""))="YES",UPPER(TRIM(INDEX(LINES_SCHEDULED,$EN822)&amp;""))="Y",UPPER(TRIM(INDEX(LINES_SCHEDULED,$EN822)&amp;""))="X"),1,0))</f>
        <v/>
      </c>
      <c r="EP822">
        <f>IF($DM822=0,"",IF(COUNTIFS($EG$5:$EG$1003,$EG822,$EB$5:$EB$1003,"Ready")&gt;0,"READY",IF(COUNTIFS($EG$5:$EG$1003,$EG822,$EB$5:$EB$1003,"PM")&gt;0,"PM",IF(COUNTIFS($EG$5:$EG$1003,$EG822,$EB$5:$EB$1003,"OT")&gt;0,"OT",""))))</f>
        <v/>
      </c>
      <c r="EQ822">
        <f>IF($EN822=0,"",UPPER(TRIM(INDEX(LINES_STATUS,$EN822)&amp;"")))</f>
        <v/>
      </c>
      <c r="ER822">
        <f>IF($DM822=0,"",IF(OR($EQ822="READY",$EQ822="PM",$EQ822="OT"),$EQ822,$EP822))</f>
        <v/>
      </c>
      <c r="ES822">
        <f>IF($DM822=0,"",IF(AND($DV822&lt;&gt;"",UPPER($DV822)&lt;&gt;"N"),"allergen",IF(ISNUMBER(SEARCH("oil",$DQ822)),"oil",IF(OR(EXACT($DS822,"A662"),EXACT($DS822,"A624")),"bulk",""))))</f>
        <v/>
      </c>
      <c r="ET822">
        <f>IF($DM822=0,"",IF(OR($EA822="",$EA822=0),"",$EA822/100))</f>
        <v/>
      </c>
      <c r="EU822">
        <f>IF(OR($ET822="",$DY822=""),"",INT($DY822*(1-$ET822)+0.5))</f>
        <v/>
      </c>
    </row>
    <row r="823">
      <c r="DA823" t="n">
        <v>819</v>
      </c>
      <c r="DB823">
        <f>IF($B$37=0,"",IFERROR(TRIM(SUBSTITUTE(SUBSTITUTE(SUBSTITUTE(SUBSTITUTE(INDEX(PASTE_ALL,819,$B$37)," "," "),CHAR(9)," "),CHAR(10)," "),CHAR(13)," ")),""))</f>
        <v/>
      </c>
      <c r="DC823">
        <f>IF(AND(819&gt;HEADER_ROW,UPPER(DB823)="LEGEND"),1,0)</f>
        <v/>
      </c>
      <c r="DE823" t="n">
        <v>819</v>
      </c>
      <c r="DF823">
        <f>HEADER_ROW+$DE823</f>
        <v/>
      </c>
      <c r="DG823">
        <f>IF(AND($DF823&lt;=1000,$DF823&lt;$B$8),1,0)</f>
        <v/>
      </c>
      <c r="DH823">
        <f>IF($DG823=1,IFERROR(INDEX($DB$5:$DB$1004,$DF823),""),"")</f>
        <v/>
      </c>
      <c r="DI823">
        <f>IF(AND($DG823=1,$DH823&lt;&gt;""),IFERROR(SUBSTITUTE(SUBSTITUTE(TRIM(SUBSTITUTE(SUBSTITUTE(SUBSTITUTE(SUBSTITUTE(IFERROR(INDEX(PASTE_ALL,$DF823,1)&amp;"","")&amp;"␟"&amp;IFERROR(INDEX(PASTE_ALL,$DF823,2)&amp;"","")&amp;"␟"&amp;IFERROR(INDEX(PASTE_ALL,$DF823,3)&amp;"","")&amp;"␟"&amp;IFERROR(INDEX(PASTE_ALL,$DF823,4)&amp;"","")&amp;"␟"&amp;IFERROR(INDEX(PASTE_ALL,$DF823,5)&amp;"","")&amp;"␟"&amp;IFERROR(INDEX(PASTE_ALL,$DF823,6)&amp;"","")&amp;"␟"&amp;IFERROR(INDEX(PASTE_ALL,$DF823,7)&amp;"","")&amp;"␟"&amp;IFERROR(INDEX(PASTE_ALL,$DF823,8)&amp;"","")&amp;"␟"&amp;IFERROR(INDEX(PASTE_ALL,$DF823,9)&amp;"","")&amp;"␟"&amp;IFERROR(INDEX(PASTE_ALL,$DF823,10)&amp;"","")&amp;"␟"&amp;IFERROR(INDEX(PASTE_ALL,$DF823,11)&amp;"","")&amp;"␟"&amp;IFERROR(INDEX(PASTE_ALL,$DF823,12)&amp;"","")&amp;"␟"&amp;IFERROR(INDEX(PASTE_ALL,$DF823,13)&amp;"","")&amp;"␟"&amp;IFERROR(INDEX(PASTE_ALL,$DF823,14)&amp;"","")&amp;"␟"&amp;IFERROR(INDEX(PASTE_ALL,$DF823,15)&amp;"","")&amp;"␟"&amp;IFERROR(INDEX(PASTE_ALL,$DF823,16)&amp;"","")&amp;"␟"&amp;IFERROR(INDEX(PASTE_ALL,$DF823,17)&amp;"","")&amp;"␟"&amp;IFERROR(INDEX(PASTE_ALL,$DF823,18)&amp;"","")&amp;"␟"&amp;IFERROR(INDEX(PASTE_ALL,$DF823,19)&amp;"","")&amp;"␟"&amp;IFERROR(INDEX(PASTE_ALL,$DF823,20)&amp;"","")&amp;"␟"&amp;IFERROR(INDEX(PASTE_ALL,$DF823,21)&amp;"","")&amp;"␟"&amp;IFERROR(INDEX(PASTE_ALL,$DF823,22)&amp;"","")&amp;"␟"&amp;IFERROR(INDEX(PASTE_ALL,$DF823,23)&amp;"","")&amp;"␟"&amp;IFERROR(INDEX(PASTE_ALL,$DF823,24)&amp;"","")&amp;"␟"&amp;IFERROR(INDEX(PASTE_ALL,$DF823,25)&amp;"","")&amp;"␟"&amp;IFERROR(INDEX(PASTE_ALL,$DF823,26)&amp;"","")&amp;"␟"&amp;IFERROR(INDEX(PASTE_ALL,$DF823,27)&amp;"","")&amp;"␟"&amp;IFERROR(INDEX(PASTE_ALL,$DF823,28)&amp;"","")&amp;"␟"&amp;IFERROR(INDEX(PASTE_ALL,$DF823,29)&amp;"","")&amp;"␟"&amp;IFERROR(INDEX(PASTE_ALL,$DF823,30)&amp;"","")&amp;"␟"&amp;IFERROR(INDEX(PASTE_ALL,$DF823,31)&amp;"","")&amp;"␟"&amp;IFERROR(INDEX(PASTE_ALL,$DF823,32)&amp;"","")&amp;"␟"&amp;IFERROR(INDEX(PASTE_ALL,$DF823,33)&amp;"","")&amp;"␟"&amp;IFERROR(INDEX(PASTE_ALL,$DF823,34)&amp;"","")&amp;"␟"&amp;IFERROR(INDEX(PASTE_ALL,$DF823,35)&amp;"","")&amp;"␟"&amp;IFERROR(INDEX(PASTE_ALL,$DF823,36)&amp;"","")&amp;"␟"&amp;IFERROR(INDEX(PASTE_ALL,$DF823,37)&amp;"","")&amp;"␟"&amp;IFERROR(INDEX(PASTE_ALL,$DF823,38)&amp;"","")&amp;"␟"&amp;IFERROR(INDEX(PASTE_ALL,$DF823,39)&amp;"","")&amp;"␟"&amp;IFERROR(INDEX(PASTE_ALL,$DF823,40)&amp;"","")&amp;"␟"&amp;IFERROR(INDEX(PASTE_ALL,$DF823,41)&amp;"","")&amp;"␟"&amp;IFERROR(INDEX(PASTE_ALL,$DF823,42)&amp;"","")&amp;"␟"&amp;IFERROR(INDEX(PASTE_ALL,$DF823,43)&amp;"","")&amp;"␟"&amp;IFERROR(INDEX(PASTE_ALL,$DF823,44)&amp;"","")&amp;"␟"&amp;IFERROR(INDEX(PASTE_ALL,$DF823,45)&amp;"","")&amp;"␟"&amp;IFERROR(INDEX(PASTE_ALL,$DF823,46)&amp;"","")&amp;"␟"&amp;IFERROR(INDEX(PASTE_ALL,$DF823,47)&amp;"","")&amp;"␟"&amp;IFERROR(INDEX(PASTE_ALL,$DF823,48)&amp;"","")&amp;"␟"&amp;IFERROR(INDEX(PASTE_ALL,$DF823,49)&amp;"","")&amp;"␟"&amp;IFERROR(INDEX(PASTE_ALL,$DF823,50)&amp;"","")&amp;"␟"&amp;IFERROR(INDEX(PASTE_ALL,$DF823,51)&amp;"","")&amp;"␟"&amp;IFERROR(INDEX(PASTE_ALL,$DF823,52)&amp;"","")&amp;"␟"&amp;IFERROR(INDEX(PASTE_ALL,$DF823,53)&amp;"","")&amp;"␟"&amp;IFERROR(INDEX(PASTE_ALL,$DF823,54)&amp;"","")&amp;"␟"&amp;IFERROR(INDEX(PASTE_ALL,$DF823,55)&amp;"","")&amp;"␟"&amp;IFERROR(INDEX(PASTE_ALL,$DF823,56)&amp;"","")&amp;"␟"&amp;IFERROR(INDEX(PASTE_ALL,$DF823,57)&amp;"","")&amp;"␟"&amp;IFERROR(INDEX(PASTE_ALL,$DF823,58)&amp;"","")&amp;"␟"&amp;IFERROR(INDEX(PASTE_ALL,$DF823,59)&amp;"","")&amp;"␟"&amp;IFERROR(INDEX(PASTE_ALL,$DF823,60)&amp;"","")," "," "),CHAR(9)," "),CHAR(10)," "),CHAR(13)," "))," ␟","␟"),"␟ ","␟"),"#"&amp;$DE823),"")</f>
        <v/>
      </c>
      <c r="DJ823">
        <f>IF($DI823="",0,IF(SUMPRODUCT(--EXACT($DI$4:DI822,$DI823))&gt;0,1,0))</f>
        <v/>
      </c>
      <c r="DK823">
        <f>IF(AND($DI823&lt;&gt;"",$DJ823=0),1,0)</f>
        <v/>
      </c>
      <c r="DL823">
        <f>DL822+$DK823</f>
        <v/>
      </c>
      <c r="DM823">
        <f>IF(AND($DK823=1,$DL823&lt;=600),1,0)</f>
        <v/>
      </c>
      <c r="DN823">
        <f>IF($DM823=0,"",IF($L$6=0,"",IFERROR(IF(ISNUMBER(INDEX(PASTE_ALL,$DF823,$L$6)),INDEX(PASTE_ALL,$DF823,$L$6),TRIM(SUBSTITUTE(SUBSTITUTE(SUBSTITUTE(SUBSTITUTE(INDEX(PASTE_ALL,$DF823,$L$6)," "," "),CHAR(9)," "),CHAR(10)," "),CHAR(13)," "))),"")))</f>
        <v/>
      </c>
      <c r="DO823">
        <f>IF($DM823=0,"",IF($L$7=0,"",IFERROR(IF(ISNUMBER(INDEX(PASTE_ALL,$DF823,$L$7)),INDEX(PASTE_ALL,$DF823,$L$7),TRIM(SUBSTITUTE(SUBSTITUTE(SUBSTITUTE(SUBSTITUTE(INDEX(PASTE_ALL,$DF823,$L$7)," "," "),CHAR(9)," "),CHAR(10)," "),CHAR(13)," "))),"")))</f>
        <v/>
      </c>
      <c r="DP823">
        <f>IF($DM823=0,"",IF($L$8=0,"",IFERROR(IF(ISNUMBER(INDEX(PASTE_ALL,$DF823,$L$8)),INDEX(PASTE_ALL,$DF823,$L$8),TRIM(SUBSTITUTE(SUBSTITUTE(SUBSTITUTE(SUBSTITUTE(INDEX(PASTE_ALL,$DF823,$L$8)," "," "),CHAR(9)," "),CHAR(10)," "),CHAR(13)," "))),"")))</f>
        <v/>
      </c>
      <c r="DQ823">
        <f>IF($DM823=0,"",IF($L$9=0,"",IFERROR(IF(ISNUMBER(INDEX(PASTE_ALL,$DF823,$L$9)),INDEX(PASTE_ALL,$DF823,$L$9),TRIM(SUBSTITUTE(SUBSTITUTE(SUBSTITUTE(SUBSTITUTE(INDEX(PASTE_ALL,$DF823,$L$9)," "," "),CHAR(9)," "),CHAR(10)," "),CHAR(13)," "))),"")))</f>
        <v/>
      </c>
      <c r="DR823">
        <f>IF($DM823=0,"",IF($L$10=0,"",IFERROR(IF(ISNUMBER(INDEX(PASTE_ALL,$DF823,$L$10)),INDEX(PASTE_ALL,$DF823,$L$10),TRIM(SUBSTITUTE(SUBSTITUTE(SUBSTITUTE(SUBSTITUTE(INDEX(PASTE_ALL,$DF823,$L$10)," "," "),CHAR(9)," "),CHAR(10)," "),CHAR(13)," "))),"")))</f>
        <v/>
      </c>
      <c r="DS823">
        <f>IF($DM823=0,"",IF($L$11=0,"",IFERROR(IF(ISNUMBER(INDEX(PASTE_ALL,$DF823,$L$11)),INDEX(PASTE_ALL,$DF823,$L$11),TRIM(SUBSTITUTE(SUBSTITUTE(SUBSTITUTE(SUBSTITUTE(INDEX(PASTE_ALL,$DF823,$L$11)," "," "),CHAR(9)," "),CHAR(10)," "),CHAR(13)," "))),"")))</f>
        <v/>
      </c>
      <c r="DT823">
        <f>IF($DM823=0,"",IF($L$12=0,"",IFERROR(IF(ISNUMBER(INDEX(PASTE_ALL,$DF823,$L$12)),INDEX(PASTE_ALL,$DF823,$L$12),TRIM(SUBSTITUTE(SUBSTITUTE(SUBSTITUTE(SUBSTITUTE(INDEX(PASTE_ALL,$DF823,$L$12)," "," "),CHAR(9)," "),CHAR(10)," "),CHAR(13)," "))),"")))</f>
        <v/>
      </c>
      <c r="DU823">
        <f>IF($DM823=0,"",IF($L$13=0,"",IFERROR(IF(ISNUMBER(INDEX(PASTE_ALL,$DF823,$L$13)),INDEX(PASTE_ALL,$DF823,$L$13),TRIM(SUBSTITUTE(SUBSTITUTE(SUBSTITUTE(SUBSTITUTE(INDEX(PASTE_ALL,$DF823,$L$13)," "," "),CHAR(9)," "),CHAR(10)," "),CHAR(13)," "))),"")))</f>
        <v/>
      </c>
      <c r="DV823">
        <f>IF($DM823=0,"",IF($L$14=0,"",IFERROR(IF(ISNUMBER(INDEX(PASTE_ALL,$DF823,$L$14)),INDEX(PASTE_ALL,$DF823,$L$14),TRIM(SUBSTITUTE(SUBSTITUTE(SUBSTITUTE(SUBSTITUTE(INDEX(PASTE_ALL,$DF823,$L$14)," "," "),CHAR(9)," "),CHAR(10)," "),CHAR(13)," "))),"")))</f>
        <v/>
      </c>
      <c r="DW823">
        <f>IF($DM823=0,"",IF($L$15=0,"",IFERROR(IF(ISNUMBER(INDEX(PASTE_ALL,$DF823,$L$15)),INDEX(PASTE_ALL,$DF823,$L$15),IF(SUMPRODUCT(--ISNUMBER(FIND({"A","B","C","D","E","F","G","H","I","J","K","L","M","N","O","P","Q","R","S","T","U","V","W","X","Y","Z","0","1","2","3","4","5","6","7","8","9"},UPPER(TRIM(SUBSTITUTE(SUBSTITUTE(SUBSTITUTE(SUBSTITUTE(INDEX(PASTE_ALL,$DF823,$L$15)," "," "),CHAR(9)," "),CHAR(10)," "),CHAR(13)," "))))))&gt;0,TRIM(SUBSTITUTE(SUBSTITUTE(SUBSTITUTE(SUBSTITUTE(INDEX(PASTE_ALL,$DF823,$L$15)," "," "),CHAR(9)," "),CHAR(10)," "),CHAR(13)," ")),"")),"")))</f>
        <v/>
      </c>
      <c r="DX823">
        <f>IF($DM823=0,"",IF($L$16=0,"",IFERROR(IF(ISNUMBER(INDEX(PASTE_ALL,$DF823,$L$16)),INDEX(PASTE_ALL,$DF823,$L$16),SUBSTITUTE(SUBSTITUTE(TRIM(SUBSTITUTE(SUBSTITUTE(SUBSTITUTE(SUBSTITUTE(INDEX(PASTE_ALL,$DF823,$L$16)," "," "),CHAR(9)," "),CHAR(10)," "),CHAR(13)," ")),",",""),"%","")),"")))</f>
        <v/>
      </c>
      <c r="DY823">
        <f>IF($DM823=0,"",IFERROR(IF(ISNUMBER($DX823),$DX823,IF($DX823="","",IF(TRIM($DX823)="",0,IF(AND(AND(SUBSTITUTE(SUBSTITUTE(SUBSTITUTE(SUBSTITUTE(SUBSTITUTE(SUBSTITUTE(SUBSTITUTE(SUBSTITUTE(SUBSTITUTE(SUBSTITUTE(SUBSTITUTE(SUBSTITUTE(SUBSTITUTE(SUBSTITUTE(UPPER(TRIM($DX823)),"0",""),"1",""),"2",""),"3",""),"4",""),"5",""),"6",""),"7",""),"8",""),"9",""),".",""),"+",""),"-",""),"E","")="",LEN(SUBSTITUTE(SUBSTITUTE(MID(UPPER(TRIM($DX823)),1+OR(LEFT(UPPER(TRIM($DX823)),1)="+",LEFT(UPPER(TRIM($DX823)),1)="-"),999),"E+","E"),"E-","E"))=LEN(SUBSTITUTE(SUBSTITUTE(SUBSTITUTE(SUBSTITUTE(MID(UPPER(TRIM($DX823)),1+OR(LEFT(UPPER(TRIM($DX823)),1)="+",LEFT(UPPER(TRIM($DX823)),1)="-"),999),"E+","E"),"E-","E"),"+",""),"-","")),LEN(UPPER(TRIM($DX823)))-LEN(SUBSTITUTE(UPPER(TRIM($DX823)),"E",""))&lt;2,LEN(UPPER(TRIM($DX823)))-LEN(SUBSTITUTE(UPPER(TRIM($DX823)),".",""))&lt;2,IFERROR(FIND(".",UPPER(TRIM($DX823))),0)&lt;IFERROR(FIND("E",UPPER(TRIM($DX823))),999)),ISNUMBER(VALUE(TRIM($DX823)))),VALUE(TRIM($DX823)),"")))),""))</f>
        <v/>
      </c>
      <c r="DZ823">
        <f>IF($DM823=0,"",IF($L$17=0,"",IFERROR(IF(ISNUMBER(INDEX(PASTE_ALL,$DF823,$L$17)),INDEX(PASTE_ALL,$DF823,$L$17),SUBSTITUTE(SUBSTITUTE(TRIM(SUBSTITUTE(SUBSTITUTE(SUBSTITUTE(SUBSTITUTE(INDEX(PASTE_ALL,$DF823,$L$17)," "," "),CHAR(9)," "),CHAR(10)," "),CHAR(13)," ")),",",""),"%","")),"")))</f>
        <v/>
      </c>
      <c r="EA823">
        <f>IF($DM823=0,"",IFERROR(IF(ISNUMBER($DZ823),$DZ823,IF($DZ823="","",IF(TRIM($DZ823)="",0,IF(AND(AND(SUBSTITUTE(SUBSTITUTE(SUBSTITUTE(SUBSTITUTE(SUBSTITUTE(SUBSTITUTE(SUBSTITUTE(SUBSTITUTE(SUBSTITUTE(SUBSTITUTE(SUBSTITUTE(SUBSTITUTE(SUBSTITUTE(SUBSTITUTE(UPPER(TRIM($DZ823)),"0",""),"1",""),"2",""),"3",""),"4",""),"5",""),"6",""),"7",""),"8",""),"9",""),".",""),"+",""),"-",""),"E","")="",LEN(SUBSTITUTE(SUBSTITUTE(MID(UPPER(TRIM($DZ823)),1+OR(LEFT(UPPER(TRIM($DZ823)),1)="+",LEFT(UPPER(TRIM($DZ823)),1)="-"),999),"E+","E"),"E-","E"))=LEN(SUBSTITUTE(SUBSTITUTE(SUBSTITUTE(SUBSTITUTE(MID(UPPER(TRIM($DZ823)),1+OR(LEFT(UPPER(TRIM($DZ823)),1)="+",LEFT(UPPER(TRIM($DZ823)),1)="-"),999),"E+","E"),"E-","E"),"+",""),"-","")),LEN(UPPER(TRIM($DZ823)))-LEN(SUBSTITUTE(UPPER(TRIM($DZ823)),"E",""))&lt;2,LEN(UPPER(TRIM($DZ823)))-LEN(SUBSTITUTE(UPPER(TRIM($DZ823)),".",""))&lt;2,IFERROR(FIND(".",UPPER(TRIM($DZ823))),0)&lt;IFERROR(FIND("E",UPPER(TRIM($DZ823))),999)),ISNUMBER(VALUE(TRIM($DZ823)))),VALUE(TRIM($DZ823)),"")))),""))</f>
        <v/>
      </c>
      <c r="EB823">
        <f>IF($DM823=0,"",IF($L$18=0,"",IFERROR(IF(UPPER(TRIM(SUBSTITUTE(SUBSTITUTE(SUBSTITUTE(SUBSTITUTE(INDEX(PASTE_ALL,$DF823,$L$18)," "," "),CHAR(9)," "),CHAR(10)," "),CHAR(13)," ")))="READY","Ready",IF(UPPER(TRIM(SUBSTITUTE(SUBSTITUTE(SUBSTITUTE(SUBSTITUTE(INDEX(PASTE_ALL,$DF823,$L$18)," "," "),CHAR(9)," "),CHAR(10)," "),CHAR(13)," ")))="PM","PM",IF(OR(UPPER(TRIM(SUBSTITUTE(SUBSTITUTE(SUBSTITUTE(SUBSTITUTE(INDEX(PASTE_ALL,$DF823,$L$18)," "," "),CHAR(9)," "),CHAR(10)," "),CHAR(13)," ")))="OT",UPPER(TRIM(SUBSTITUTE(SUBSTITUTE(SUBSTITUTE(SUBSTITUTE(INDEX(PASTE_ALL,$DF823,$L$18)," "," "),CHAR(9)," "),CHAR(10)," "),CHAR(13)," ")))="OVERTIME",UPPER(TRIM(SUBSTITUTE(SUBSTITUTE(SUBSTITUTE(SUBSTITUTE(INDEX(PASTE_ALL,$DF823,$L$18)," "," "),CHAR(9)," "),CHAR(10)," "),CHAR(13)," ")))="TRIAL"),"OT",TRIM(SUBSTITUTE(SUBSTITUTE(SUBSTITUTE(SUBSTITUTE(INDEX(PASTE_ALL,$DF823,$L$18)," "," "),CHAR(9)," "),CHAR(10)," "),CHAR(13)," "))))),"")))</f>
        <v/>
      </c>
      <c r="EC823">
        <f>IF($DM823=0,"",IF($L$19=0,"",IFERROR(IF(ISNUMBER(INDEX(PASTE_ALL,$DF823,$L$19)),INDEX(PASTE_ALL,$DF823,$L$19),TRIM(SUBSTITUTE(SUBSTITUTE(SUBSTITUTE(SUBSTITUTE(INDEX(PASTE_ALL,$DF823,$L$19)," "," "),CHAR(9)," "),CHAR(10)," "),CHAR(13)," "))),"")))</f>
        <v/>
      </c>
      <c r="ED823">
        <f>IF($DM823=0,"",MATCH(1,INDEX(EXACT($DH$5:DH823,$DH823)*$DM$5:DM823,0),0))</f>
        <v/>
      </c>
      <c r="EE823">
        <f>IF($DM823=0,0,IF($ED823=$DE823,1,0))</f>
        <v/>
      </c>
      <c r="EF823">
        <f>EF822+$EE823</f>
        <v/>
      </c>
      <c r="EG823">
        <f>IF($DM823=0,"",INDEX($EF$5:$EF$1003,$ED823))</f>
        <v/>
      </c>
      <c r="EH823">
        <f>IF($DM823=0,"",IF($DO823&lt;&gt;"","",IFERROR(LOOKUP(2,1/(($EG$4:EG822=$EG823)*($DO$4:DO822&lt;&gt;"")),$DO$4:DO822),"")))</f>
        <v/>
      </c>
      <c r="EI823">
        <f>IF($DM823=0,"",IF($DO823&lt;&gt;"",$DO823,$EH823))</f>
        <v/>
      </c>
      <c r="EJ823">
        <f>IF($DM823=0,"",IF($EI823="",0,IF(OR(ISNUMBER($EI823),AND(AND(SUBSTITUTE(SUBSTITUTE(SUBSTITUTE(SUBSTITUTE(SUBSTITUTE(SUBSTITUTE(SUBSTITUTE(SUBSTITUTE(SUBSTITUTE(SUBSTITUTE(SUBSTITUTE(SUBSTITUTE(SUBSTITUTE(SUBSTITUTE(UPPER($EI823),"0",""),"1",""),"2",""),"3",""),"4",""),"5",""),"6",""),"7",""),"8",""),"9",""),".",""),"+",""),"-",""),"E","")="",LEN(SUBSTITUTE(SUBSTITUTE(MID(UPPER($EI823),1+OR(LEFT(UPPER($EI823),1)="+",LEFT(UPPER($EI823),1)="-"),999),"E+","E"),"E-","E"))=LEN(SUBSTITUTE(SUBSTITUTE(SUBSTITUTE(SUBSTITUTE(MID(UPPER($EI823),1+OR(LEFT(UPPER($EI823),1)="+",LEFT(UPPER($EI823),1)="-"),999),"E+","E"),"E-","E"),"+",""),"-","")),LEN(UPPER($EI823))-LEN(SUBSTITUTE(UPPER($EI823),"E",""))&lt;2,LEN(UPPER($EI823))-LEN(SUBSTITUTE(UPPER($EI823),".",""))&lt;2,IFERROR(FIND(".",UPPER($EI823)),0)&lt;IFERROR(FIND("E",UPPER($EI823)),999)),ISNUMBER(VALUE($EI823)))),1,2)))</f>
        <v/>
      </c>
      <c r="EK823">
        <f>IF($DM823=0,"",IF($EJ823=1,IF(ISNUMBER($EI823),$EI823,VALUE($EI823)),IF($EJ823=2,$DE823,0)))</f>
        <v/>
      </c>
      <c r="EL823">
        <f>IF($DM823=0,"",COUNTIF($EG$5:$EG$1003,"&lt;"&amp;$EG823)+SUMPRODUCT(($EG$5:$EG$1003=$EG823)*(($EJ$5:$EJ$1003&lt;$EJ823)+($EJ$5:$EJ$1003=$EJ823)*(($EK$5:$EK$1003&lt;$EK823)+($EK$5:$EK$1003=$EK823)*($DE$5:$DE$1003&lt;$DE823))))+1)</f>
        <v/>
      </c>
      <c r="EM823">
        <f>IF($DM823=0,"",$EL823+$EG823-1)</f>
        <v/>
      </c>
      <c r="EN823">
        <f>IF($DM823=0,0,IFERROR(MATCH(1,INDEX(--(TRIM(SUBSTITUTE(SUBSTITUTE(SUBSTITUTE(SUBSTITUTE(LINES_NAME&amp;""," "," "),CHAR(9)," "),CHAR(10)," "),CHAR(13)," "))=$DH823),0),0),0))</f>
        <v/>
      </c>
      <c r="EO823">
        <f>IF($EN823=0,0,IF(OR(UPPER(TRIM(INDEX(LINES_SCHEDULED,$EN823)&amp;""))="YES",UPPER(TRIM(INDEX(LINES_SCHEDULED,$EN823)&amp;""))="Y",UPPER(TRIM(INDEX(LINES_SCHEDULED,$EN823)&amp;""))="X"),1,0))</f>
        <v/>
      </c>
      <c r="EP823">
        <f>IF($DM823=0,"",IF(COUNTIFS($EG$5:$EG$1003,$EG823,$EB$5:$EB$1003,"Ready")&gt;0,"READY",IF(COUNTIFS($EG$5:$EG$1003,$EG823,$EB$5:$EB$1003,"PM")&gt;0,"PM",IF(COUNTIFS($EG$5:$EG$1003,$EG823,$EB$5:$EB$1003,"OT")&gt;0,"OT",""))))</f>
        <v/>
      </c>
      <c r="EQ823">
        <f>IF($EN823=0,"",UPPER(TRIM(INDEX(LINES_STATUS,$EN823)&amp;"")))</f>
        <v/>
      </c>
      <c r="ER823">
        <f>IF($DM823=0,"",IF(OR($EQ823="READY",$EQ823="PM",$EQ823="OT"),$EQ823,$EP823))</f>
        <v/>
      </c>
      <c r="ES823">
        <f>IF($DM823=0,"",IF(AND($DV823&lt;&gt;"",UPPER($DV823)&lt;&gt;"N"),"allergen",IF(ISNUMBER(SEARCH("oil",$DQ823)),"oil",IF(OR(EXACT($DS823,"A662"),EXACT($DS823,"A624")),"bulk",""))))</f>
        <v/>
      </c>
      <c r="ET823">
        <f>IF($DM823=0,"",IF(OR($EA823="",$EA823=0),"",$EA823/100))</f>
        <v/>
      </c>
      <c r="EU823">
        <f>IF(OR($ET823="",$DY823=""),"",INT($DY823*(1-$ET823)+0.5))</f>
        <v/>
      </c>
    </row>
    <row r="824">
      <c r="DA824" t="n">
        <v>820</v>
      </c>
      <c r="DB824">
        <f>IF($B$37=0,"",IFERROR(TRIM(SUBSTITUTE(SUBSTITUTE(SUBSTITUTE(SUBSTITUTE(INDEX(PASTE_ALL,820,$B$37)," "," "),CHAR(9)," "),CHAR(10)," "),CHAR(13)," ")),""))</f>
        <v/>
      </c>
      <c r="DC824">
        <f>IF(AND(820&gt;HEADER_ROW,UPPER(DB824)="LEGEND"),1,0)</f>
        <v/>
      </c>
      <c r="DE824" t="n">
        <v>820</v>
      </c>
      <c r="DF824">
        <f>HEADER_ROW+$DE824</f>
        <v/>
      </c>
      <c r="DG824">
        <f>IF(AND($DF824&lt;=1000,$DF824&lt;$B$8),1,0)</f>
        <v/>
      </c>
      <c r="DH824">
        <f>IF($DG824=1,IFERROR(INDEX($DB$5:$DB$1004,$DF824),""),"")</f>
        <v/>
      </c>
      <c r="DI824">
        <f>IF(AND($DG824=1,$DH824&lt;&gt;""),IFERROR(SUBSTITUTE(SUBSTITUTE(TRIM(SUBSTITUTE(SUBSTITUTE(SUBSTITUTE(SUBSTITUTE(IFERROR(INDEX(PASTE_ALL,$DF824,1)&amp;"","")&amp;"␟"&amp;IFERROR(INDEX(PASTE_ALL,$DF824,2)&amp;"","")&amp;"␟"&amp;IFERROR(INDEX(PASTE_ALL,$DF824,3)&amp;"","")&amp;"␟"&amp;IFERROR(INDEX(PASTE_ALL,$DF824,4)&amp;"","")&amp;"␟"&amp;IFERROR(INDEX(PASTE_ALL,$DF824,5)&amp;"","")&amp;"␟"&amp;IFERROR(INDEX(PASTE_ALL,$DF824,6)&amp;"","")&amp;"␟"&amp;IFERROR(INDEX(PASTE_ALL,$DF824,7)&amp;"","")&amp;"␟"&amp;IFERROR(INDEX(PASTE_ALL,$DF824,8)&amp;"","")&amp;"␟"&amp;IFERROR(INDEX(PASTE_ALL,$DF824,9)&amp;"","")&amp;"␟"&amp;IFERROR(INDEX(PASTE_ALL,$DF824,10)&amp;"","")&amp;"␟"&amp;IFERROR(INDEX(PASTE_ALL,$DF824,11)&amp;"","")&amp;"␟"&amp;IFERROR(INDEX(PASTE_ALL,$DF824,12)&amp;"","")&amp;"␟"&amp;IFERROR(INDEX(PASTE_ALL,$DF824,13)&amp;"","")&amp;"␟"&amp;IFERROR(INDEX(PASTE_ALL,$DF824,14)&amp;"","")&amp;"␟"&amp;IFERROR(INDEX(PASTE_ALL,$DF824,15)&amp;"","")&amp;"␟"&amp;IFERROR(INDEX(PASTE_ALL,$DF824,16)&amp;"","")&amp;"␟"&amp;IFERROR(INDEX(PASTE_ALL,$DF824,17)&amp;"","")&amp;"␟"&amp;IFERROR(INDEX(PASTE_ALL,$DF824,18)&amp;"","")&amp;"␟"&amp;IFERROR(INDEX(PASTE_ALL,$DF824,19)&amp;"","")&amp;"␟"&amp;IFERROR(INDEX(PASTE_ALL,$DF824,20)&amp;"","")&amp;"␟"&amp;IFERROR(INDEX(PASTE_ALL,$DF824,21)&amp;"","")&amp;"␟"&amp;IFERROR(INDEX(PASTE_ALL,$DF824,22)&amp;"","")&amp;"␟"&amp;IFERROR(INDEX(PASTE_ALL,$DF824,23)&amp;"","")&amp;"␟"&amp;IFERROR(INDEX(PASTE_ALL,$DF824,24)&amp;"","")&amp;"␟"&amp;IFERROR(INDEX(PASTE_ALL,$DF824,25)&amp;"","")&amp;"␟"&amp;IFERROR(INDEX(PASTE_ALL,$DF824,26)&amp;"","")&amp;"␟"&amp;IFERROR(INDEX(PASTE_ALL,$DF824,27)&amp;"","")&amp;"␟"&amp;IFERROR(INDEX(PASTE_ALL,$DF824,28)&amp;"","")&amp;"␟"&amp;IFERROR(INDEX(PASTE_ALL,$DF824,29)&amp;"","")&amp;"␟"&amp;IFERROR(INDEX(PASTE_ALL,$DF824,30)&amp;"","")&amp;"␟"&amp;IFERROR(INDEX(PASTE_ALL,$DF824,31)&amp;"","")&amp;"␟"&amp;IFERROR(INDEX(PASTE_ALL,$DF824,32)&amp;"","")&amp;"␟"&amp;IFERROR(INDEX(PASTE_ALL,$DF824,33)&amp;"","")&amp;"␟"&amp;IFERROR(INDEX(PASTE_ALL,$DF824,34)&amp;"","")&amp;"␟"&amp;IFERROR(INDEX(PASTE_ALL,$DF824,35)&amp;"","")&amp;"␟"&amp;IFERROR(INDEX(PASTE_ALL,$DF824,36)&amp;"","")&amp;"␟"&amp;IFERROR(INDEX(PASTE_ALL,$DF824,37)&amp;"","")&amp;"␟"&amp;IFERROR(INDEX(PASTE_ALL,$DF824,38)&amp;"","")&amp;"␟"&amp;IFERROR(INDEX(PASTE_ALL,$DF824,39)&amp;"","")&amp;"␟"&amp;IFERROR(INDEX(PASTE_ALL,$DF824,40)&amp;"","")&amp;"␟"&amp;IFERROR(INDEX(PASTE_ALL,$DF824,41)&amp;"","")&amp;"␟"&amp;IFERROR(INDEX(PASTE_ALL,$DF824,42)&amp;"","")&amp;"␟"&amp;IFERROR(INDEX(PASTE_ALL,$DF824,43)&amp;"","")&amp;"␟"&amp;IFERROR(INDEX(PASTE_ALL,$DF824,44)&amp;"","")&amp;"␟"&amp;IFERROR(INDEX(PASTE_ALL,$DF824,45)&amp;"","")&amp;"␟"&amp;IFERROR(INDEX(PASTE_ALL,$DF824,46)&amp;"","")&amp;"␟"&amp;IFERROR(INDEX(PASTE_ALL,$DF824,47)&amp;"","")&amp;"␟"&amp;IFERROR(INDEX(PASTE_ALL,$DF824,48)&amp;"","")&amp;"␟"&amp;IFERROR(INDEX(PASTE_ALL,$DF824,49)&amp;"","")&amp;"␟"&amp;IFERROR(INDEX(PASTE_ALL,$DF824,50)&amp;"","")&amp;"␟"&amp;IFERROR(INDEX(PASTE_ALL,$DF824,51)&amp;"","")&amp;"␟"&amp;IFERROR(INDEX(PASTE_ALL,$DF824,52)&amp;"","")&amp;"␟"&amp;IFERROR(INDEX(PASTE_ALL,$DF824,53)&amp;"","")&amp;"␟"&amp;IFERROR(INDEX(PASTE_ALL,$DF824,54)&amp;"","")&amp;"␟"&amp;IFERROR(INDEX(PASTE_ALL,$DF824,55)&amp;"","")&amp;"␟"&amp;IFERROR(INDEX(PASTE_ALL,$DF824,56)&amp;"","")&amp;"␟"&amp;IFERROR(INDEX(PASTE_ALL,$DF824,57)&amp;"","")&amp;"␟"&amp;IFERROR(INDEX(PASTE_ALL,$DF824,58)&amp;"","")&amp;"␟"&amp;IFERROR(INDEX(PASTE_ALL,$DF824,59)&amp;"","")&amp;"␟"&amp;IFERROR(INDEX(PASTE_ALL,$DF824,60)&amp;"","")," "," "),CHAR(9)," "),CHAR(10)," "),CHAR(13)," "))," ␟","␟"),"␟ ","␟"),"#"&amp;$DE824),"")</f>
        <v/>
      </c>
      <c r="DJ824">
        <f>IF($DI824="",0,IF(SUMPRODUCT(--EXACT($DI$4:DI823,$DI824))&gt;0,1,0))</f>
        <v/>
      </c>
      <c r="DK824">
        <f>IF(AND($DI824&lt;&gt;"",$DJ824=0),1,0)</f>
        <v/>
      </c>
      <c r="DL824">
        <f>DL823+$DK824</f>
        <v/>
      </c>
      <c r="DM824">
        <f>IF(AND($DK824=1,$DL824&lt;=600),1,0)</f>
        <v/>
      </c>
      <c r="DN824">
        <f>IF($DM824=0,"",IF($L$6=0,"",IFERROR(IF(ISNUMBER(INDEX(PASTE_ALL,$DF824,$L$6)),INDEX(PASTE_ALL,$DF824,$L$6),TRIM(SUBSTITUTE(SUBSTITUTE(SUBSTITUTE(SUBSTITUTE(INDEX(PASTE_ALL,$DF824,$L$6)," "," "),CHAR(9)," "),CHAR(10)," "),CHAR(13)," "))),"")))</f>
        <v/>
      </c>
      <c r="DO824">
        <f>IF($DM824=0,"",IF($L$7=0,"",IFERROR(IF(ISNUMBER(INDEX(PASTE_ALL,$DF824,$L$7)),INDEX(PASTE_ALL,$DF824,$L$7),TRIM(SUBSTITUTE(SUBSTITUTE(SUBSTITUTE(SUBSTITUTE(INDEX(PASTE_ALL,$DF824,$L$7)," "," "),CHAR(9)," "),CHAR(10)," "),CHAR(13)," "))),"")))</f>
        <v/>
      </c>
      <c r="DP824">
        <f>IF($DM824=0,"",IF($L$8=0,"",IFERROR(IF(ISNUMBER(INDEX(PASTE_ALL,$DF824,$L$8)),INDEX(PASTE_ALL,$DF824,$L$8),TRIM(SUBSTITUTE(SUBSTITUTE(SUBSTITUTE(SUBSTITUTE(INDEX(PASTE_ALL,$DF824,$L$8)," "," "),CHAR(9)," "),CHAR(10)," "),CHAR(13)," "))),"")))</f>
        <v/>
      </c>
      <c r="DQ824">
        <f>IF($DM824=0,"",IF($L$9=0,"",IFERROR(IF(ISNUMBER(INDEX(PASTE_ALL,$DF824,$L$9)),INDEX(PASTE_ALL,$DF824,$L$9),TRIM(SUBSTITUTE(SUBSTITUTE(SUBSTITUTE(SUBSTITUTE(INDEX(PASTE_ALL,$DF824,$L$9)," "," "),CHAR(9)," "),CHAR(10)," "),CHAR(13)," "))),"")))</f>
        <v/>
      </c>
      <c r="DR824">
        <f>IF($DM824=0,"",IF($L$10=0,"",IFERROR(IF(ISNUMBER(INDEX(PASTE_ALL,$DF824,$L$10)),INDEX(PASTE_ALL,$DF824,$L$10),TRIM(SUBSTITUTE(SUBSTITUTE(SUBSTITUTE(SUBSTITUTE(INDEX(PASTE_ALL,$DF824,$L$10)," "," "),CHAR(9)," "),CHAR(10)," "),CHAR(13)," "))),"")))</f>
        <v/>
      </c>
      <c r="DS824">
        <f>IF($DM824=0,"",IF($L$11=0,"",IFERROR(IF(ISNUMBER(INDEX(PASTE_ALL,$DF824,$L$11)),INDEX(PASTE_ALL,$DF824,$L$11),TRIM(SUBSTITUTE(SUBSTITUTE(SUBSTITUTE(SUBSTITUTE(INDEX(PASTE_ALL,$DF824,$L$11)," "," "),CHAR(9)," "),CHAR(10)," "),CHAR(13)," "))),"")))</f>
        <v/>
      </c>
      <c r="DT824">
        <f>IF($DM824=0,"",IF($L$12=0,"",IFERROR(IF(ISNUMBER(INDEX(PASTE_ALL,$DF824,$L$12)),INDEX(PASTE_ALL,$DF824,$L$12),TRIM(SUBSTITUTE(SUBSTITUTE(SUBSTITUTE(SUBSTITUTE(INDEX(PASTE_ALL,$DF824,$L$12)," "," "),CHAR(9)," "),CHAR(10)," "),CHAR(13)," "))),"")))</f>
        <v/>
      </c>
      <c r="DU824">
        <f>IF($DM824=0,"",IF($L$13=0,"",IFERROR(IF(ISNUMBER(INDEX(PASTE_ALL,$DF824,$L$13)),INDEX(PASTE_ALL,$DF824,$L$13),TRIM(SUBSTITUTE(SUBSTITUTE(SUBSTITUTE(SUBSTITUTE(INDEX(PASTE_ALL,$DF824,$L$13)," "," "),CHAR(9)," "),CHAR(10)," "),CHAR(13)," "))),"")))</f>
        <v/>
      </c>
      <c r="DV824">
        <f>IF($DM824=0,"",IF($L$14=0,"",IFERROR(IF(ISNUMBER(INDEX(PASTE_ALL,$DF824,$L$14)),INDEX(PASTE_ALL,$DF824,$L$14),TRIM(SUBSTITUTE(SUBSTITUTE(SUBSTITUTE(SUBSTITUTE(INDEX(PASTE_ALL,$DF824,$L$14)," "," "),CHAR(9)," "),CHAR(10)," "),CHAR(13)," "))),"")))</f>
        <v/>
      </c>
      <c r="DW824">
        <f>IF($DM824=0,"",IF($L$15=0,"",IFERROR(IF(ISNUMBER(INDEX(PASTE_ALL,$DF824,$L$15)),INDEX(PASTE_ALL,$DF824,$L$15),IF(SUMPRODUCT(--ISNUMBER(FIND({"A","B","C","D","E","F","G","H","I","J","K","L","M","N","O","P","Q","R","S","T","U","V","W","X","Y","Z","0","1","2","3","4","5","6","7","8","9"},UPPER(TRIM(SUBSTITUTE(SUBSTITUTE(SUBSTITUTE(SUBSTITUTE(INDEX(PASTE_ALL,$DF824,$L$15)," "," "),CHAR(9)," "),CHAR(10)," "),CHAR(13)," "))))))&gt;0,TRIM(SUBSTITUTE(SUBSTITUTE(SUBSTITUTE(SUBSTITUTE(INDEX(PASTE_ALL,$DF824,$L$15)," "," "),CHAR(9)," "),CHAR(10)," "),CHAR(13)," ")),"")),"")))</f>
        <v/>
      </c>
      <c r="DX824">
        <f>IF($DM824=0,"",IF($L$16=0,"",IFERROR(IF(ISNUMBER(INDEX(PASTE_ALL,$DF824,$L$16)),INDEX(PASTE_ALL,$DF824,$L$16),SUBSTITUTE(SUBSTITUTE(TRIM(SUBSTITUTE(SUBSTITUTE(SUBSTITUTE(SUBSTITUTE(INDEX(PASTE_ALL,$DF824,$L$16)," "," "),CHAR(9)," "),CHAR(10)," "),CHAR(13)," ")),",",""),"%","")),"")))</f>
        <v/>
      </c>
      <c r="DY824">
        <f>IF($DM824=0,"",IFERROR(IF(ISNUMBER($DX824),$DX824,IF($DX824="","",IF(TRIM($DX824)="",0,IF(AND(AND(SUBSTITUTE(SUBSTITUTE(SUBSTITUTE(SUBSTITUTE(SUBSTITUTE(SUBSTITUTE(SUBSTITUTE(SUBSTITUTE(SUBSTITUTE(SUBSTITUTE(SUBSTITUTE(SUBSTITUTE(SUBSTITUTE(SUBSTITUTE(UPPER(TRIM($DX824)),"0",""),"1",""),"2",""),"3",""),"4",""),"5",""),"6",""),"7",""),"8",""),"9",""),".",""),"+",""),"-",""),"E","")="",LEN(SUBSTITUTE(SUBSTITUTE(MID(UPPER(TRIM($DX824)),1+OR(LEFT(UPPER(TRIM($DX824)),1)="+",LEFT(UPPER(TRIM($DX824)),1)="-"),999),"E+","E"),"E-","E"))=LEN(SUBSTITUTE(SUBSTITUTE(SUBSTITUTE(SUBSTITUTE(MID(UPPER(TRIM($DX824)),1+OR(LEFT(UPPER(TRIM($DX824)),1)="+",LEFT(UPPER(TRIM($DX824)),1)="-"),999),"E+","E"),"E-","E"),"+",""),"-","")),LEN(UPPER(TRIM($DX824)))-LEN(SUBSTITUTE(UPPER(TRIM($DX824)),"E",""))&lt;2,LEN(UPPER(TRIM($DX824)))-LEN(SUBSTITUTE(UPPER(TRIM($DX824)),".",""))&lt;2,IFERROR(FIND(".",UPPER(TRIM($DX824))),0)&lt;IFERROR(FIND("E",UPPER(TRIM($DX824))),999)),ISNUMBER(VALUE(TRIM($DX824)))),VALUE(TRIM($DX824)),"")))),""))</f>
        <v/>
      </c>
      <c r="DZ824">
        <f>IF($DM824=0,"",IF($L$17=0,"",IFERROR(IF(ISNUMBER(INDEX(PASTE_ALL,$DF824,$L$17)),INDEX(PASTE_ALL,$DF824,$L$17),SUBSTITUTE(SUBSTITUTE(TRIM(SUBSTITUTE(SUBSTITUTE(SUBSTITUTE(SUBSTITUTE(INDEX(PASTE_ALL,$DF824,$L$17)," "," "),CHAR(9)," "),CHAR(10)," "),CHAR(13)," ")),",",""),"%","")),"")))</f>
        <v/>
      </c>
      <c r="EA824">
        <f>IF($DM824=0,"",IFERROR(IF(ISNUMBER($DZ824),$DZ824,IF($DZ824="","",IF(TRIM($DZ824)="",0,IF(AND(AND(SUBSTITUTE(SUBSTITUTE(SUBSTITUTE(SUBSTITUTE(SUBSTITUTE(SUBSTITUTE(SUBSTITUTE(SUBSTITUTE(SUBSTITUTE(SUBSTITUTE(SUBSTITUTE(SUBSTITUTE(SUBSTITUTE(SUBSTITUTE(UPPER(TRIM($DZ824)),"0",""),"1",""),"2",""),"3",""),"4",""),"5",""),"6",""),"7",""),"8",""),"9",""),".",""),"+",""),"-",""),"E","")="",LEN(SUBSTITUTE(SUBSTITUTE(MID(UPPER(TRIM($DZ824)),1+OR(LEFT(UPPER(TRIM($DZ824)),1)="+",LEFT(UPPER(TRIM($DZ824)),1)="-"),999),"E+","E"),"E-","E"))=LEN(SUBSTITUTE(SUBSTITUTE(SUBSTITUTE(SUBSTITUTE(MID(UPPER(TRIM($DZ824)),1+OR(LEFT(UPPER(TRIM($DZ824)),1)="+",LEFT(UPPER(TRIM($DZ824)),1)="-"),999),"E+","E"),"E-","E"),"+",""),"-","")),LEN(UPPER(TRIM($DZ824)))-LEN(SUBSTITUTE(UPPER(TRIM($DZ824)),"E",""))&lt;2,LEN(UPPER(TRIM($DZ824)))-LEN(SUBSTITUTE(UPPER(TRIM($DZ824)),".",""))&lt;2,IFERROR(FIND(".",UPPER(TRIM($DZ824))),0)&lt;IFERROR(FIND("E",UPPER(TRIM($DZ824))),999)),ISNUMBER(VALUE(TRIM($DZ824)))),VALUE(TRIM($DZ824)),"")))),""))</f>
        <v/>
      </c>
      <c r="EB824">
        <f>IF($DM824=0,"",IF($L$18=0,"",IFERROR(IF(UPPER(TRIM(SUBSTITUTE(SUBSTITUTE(SUBSTITUTE(SUBSTITUTE(INDEX(PASTE_ALL,$DF824,$L$18)," "," "),CHAR(9)," "),CHAR(10)," "),CHAR(13)," ")))="READY","Ready",IF(UPPER(TRIM(SUBSTITUTE(SUBSTITUTE(SUBSTITUTE(SUBSTITUTE(INDEX(PASTE_ALL,$DF824,$L$18)," "," "),CHAR(9)," "),CHAR(10)," "),CHAR(13)," ")))="PM","PM",IF(OR(UPPER(TRIM(SUBSTITUTE(SUBSTITUTE(SUBSTITUTE(SUBSTITUTE(INDEX(PASTE_ALL,$DF824,$L$18)," "," "),CHAR(9)," "),CHAR(10)," "),CHAR(13)," ")))="OT",UPPER(TRIM(SUBSTITUTE(SUBSTITUTE(SUBSTITUTE(SUBSTITUTE(INDEX(PASTE_ALL,$DF824,$L$18)," "," "),CHAR(9)," "),CHAR(10)," "),CHAR(13)," ")))="OVERTIME",UPPER(TRIM(SUBSTITUTE(SUBSTITUTE(SUBSTITUTE(SUBSTITUTE(INDEX(PASTE_ALL,$DF824,$L$18)," "," "),CHAR(9)," "),CHAR(10)," "),CHAR(13)," ")))="TRIAL"),"OT",TRIM(SUBSTITUTE(SUBSTITUTE(SUBSTITUTE(SUBSTITUTE(INDEX(PASTE_ALL,$DF824,$L$18)," "," "),CHAR(9)," "),CHAR(10)," "),CHAR(13)," "))))),"")))</f>
        <v/>
      </c>
      <c r="EC824">
        <f>IF($DM824=0,"",IF($L$19=0,"",IFERROR(IF(ISNUMBER(INDEX(PASTE_ALL,$DF824,$L$19)),INDEX(PASTE_ALL,$DF824,$L$19),TRIM(SUBSTITUTE(SUBSTITUTE(SUBSTITUTE(SUBSTITUTE(INDEX(PASTE_ALL,$DF824,$L$19)," "," "),CHAR(9)," "),CHAR(10)," "),CHAR(13)," "))),"")))</f>
        <v/>
      </c>
      <c r="ED824">
        <f>IF($DM824=0,"",MATCH(1,INDEX(EXACT($DH$5:DH824,$DH824)*$DM$5:DM824,0),0))</f>
        <v/>
      </c>
      <c r="EE824">
        <f>IF($DM824=0,0,IF($ED824=$DE824,1,0))</f>
        <v/>
      </c>
      <c r="EF824">
        <f>EF823+$EE824</f>
        <v/>
      </c>
      <c r="EG824">
        <f>IF($DM824=0,"",INDEX($EF$5:$EF$1003,$ED824))</f>
        <v/>
      </c>
      <c r="EH824">
        <f>IF($DM824=0,"",IF($DO824&lt;&gt;"","",IFERROR(LOOKUP(2,1/(($EG$4:EG823=$EG824)*($DO$4:DO823&lt;&gt;"")),$DO$4:DO823),"")))</f>
        <v/>
      </c>
      <c r="EI824">
        <f>IF($DM824=0,"",IF($DO824&lt;&gt;"",$DO824,$EH824))</f>
        <v/>
      </c>
      <c r="EJ824">
        <f>IF($DM824=0,"",IF($EI824="",0,IF(OR(ISNUMBER($EI824),AND(AND(SUBSTITUTE(SUBSTITUTE(SUBSTITUTE(SUBSTITUTE(SUBSTITUTE(SUBSTITUTE(SUBSTITUTE(SUBSTITUTE(SUBSTITUTE(SUBSTITUTE(SUBSTITUTE(SUBSTITUTE(SUBSTITUTE(SUBSTITUTE(UPPER($EI824),"0",""),"1",""),"2",""),"3",""),"4",""),"5",""),"6",""),"7",""),"8",""),"9",""),".",""),"+",""),"-",""),"E","")="",LEN(SUBSTITUTE(SUBSTITUTE(MID(UPPER($EI824),1+OR(LEFT(UPPER($EI824),1)="+",LEFT(UPPER($EI824),1)="-"),999),"E+","E"),"E-","E"))=LEN(SUBSTITUTE(SUBSTITUTE(SUBSTITUTE(SUBSTITUTE(MID(UPPER($EI824),1+OR(LEFT(UPPER($EI824),1)="+",LEFT(UPPER($EI824),1)="-"),999),"E+","E"),"E-","E"),"+",""),"-","")),LEN(UPPER($EI824))-LEN(SUBSTITUTE(UPPER($EI824),"E",""))&lt;2,LEN(UPPER($EI824))-LEN(SUBSTITUTE(UPPER($EI824),".",""))&lt;2,IFERROR(FIND(".",UPPER($EI824)),0)&lt;IFERROR(FIND("E",UPPER($EI824)),999)),ISNUMBER(VALUE($EI824)))),1,2)))</f>
        <v/>
      </c>
      <c r="EK824">
        <f>IF($DM824=0,"",IF($EJ824=1,IF(ISNUMBER($EI824),$EI824,VALUE($EI824)),IF($EJ824=2,$DE824,0)))</f>
        <v/>
      </c>
      <c r="EL824">
        <f>IF($DM824=0,"",COUNTIF($EG$5:$EG$1003,"&lt;"&amp;$EG824)+SUMPRODUCT(($EG$5:$EG$1003=$EG824)*(($EJ$5:$EJ$1003&lt;$EJ824)+($EJ$5:$EJ$1003=$EJ824)*(($EK$5:$EK$1003&lt;$EK824)+($EK$5:$EK$1003=$EK824)*($DE$5:$DE$1003&lt;$DE824))))+1)</f>
        <v/>
      </c>
      <c r="EM824">
        <f>IF($DM824=0,"",$EL824+$EG824-1)</f>
        <v/>
      </c>
      <c r="EN824">
        <f>IF($DM824=0,0,IFERROR(MATCH(1,INDEX(--(TRIM(SUBSTITUTE(SUBSTITUTE(SUBSTITUTE(SUBSTITUTE(LINES_NAME&amp;""," "," "),CHAR(9)," "),CHAR(10)," "),CHAR(13)," "))=$DH824),0),0),0))</f>
        <v/>
      </c>
      <c r="EO824">
        <f>IF($EN824=0,0,IF(OR(UPPER(TRIM(INDEX(LINES_SCHEDULED,$EN824)&amp;""))="YES",UPPER(TRIM(INDEX(LINES_SCHEDULED,$EN824)&amp;""))="Y",UPPER(TRIM(INDEX(LINES_SCHEDULED,$EN824)&amp;""))="X"),1,0))</f>
        <v/>
      </c>
      <c r="EP824">
        <f>IF($DM824=0,"",IF(COUNTIFS($EG$5:$EG$1003,$EG824,$EB$5:$EB$1003,"Ready")&gt;0,"READY",IF(COUNTIFS($EG$5:$EG$1003,$EG824,$EB$5:$EB$1003,"PM")&gt;0,"PM",IF(COUNTIFS($EG$5:$EG$1003,$EG824,$EB$5:$EB$1003,"OT")&gt;0,"OT",""))))</f>
        <v/>
      </c>
      <c r="EQ824">
        <f>IF($EN824=0,"",UPPER(TRIM(INDEX(LINES_STATUS,$EN824)&amp;"")))</f>
        <v/>
      </c>
      <c r="ER824">
        <f>IF($DM824=0,"",IF(OR($EQ824="READY",$EQ824="PM",$EQ824="OT"),$EQ824,$EP824))</f>
        <v/>
      </c>
      <c r="ES824">
        <f>IF($DM824=0,"",IF(AND($DV824&lt;&gt;"",UPPER($DV824)&lt;&gt;"N"),"allergen",IF(ISNUMBER(SEARCH("oil",$DQ824)),"oil",IF(OR(EXACT($DS824,"A662"),EXACT($DS824,"A624")),"bulk",""))))</f>
        <v/>
      </c>
      <c r="ET824">
        <f>IF($DM824=0,"",IF(OR($EA824="",$EA824=0),"",$EA824/100))</f>
        <v/>
      </c>
      <c r="EU824">
        <f>IF(OR($ET824="",$DY824=""),"",INT($DY824*(1-$ET824)+0.5))</f>
        <v/>
      </c>
    </row>
    <row r="825">
      <c r="DA825" t="n">
        <v>821</v>
      </c>
      <c r="DB825">
        <f>IF($B$37=0,"",IFERROR(TRIM(SUBSTITUTE(SUBSTITUTE(SUBSTITUTE(SUBSTITUTE(INDEX(PASTE_ALL,821,$B$37)," "," "),CHAR(9)," "),CHAR(10)," "),CHAR(13)," ")),""))</f>
        <v/>
      </c>
      <c r="DC825">
        <f>IF(AND(821&gt;HEADER_ROW,UPPER(DB825)="LEGEND"),1,0)</f>
        <v/>
      </c>
      <c r="DE825" t="n">
        <v>821</v>
      </c>
      <c r="DF825">
        <f>HEADER_ROW+$DE825</f>
        <v/>
      </c>
      <c r="DG825">
        <f>IF(AND($DF825&lt;=1000,$DF825&lt;$B$8),1,0)</f>
        <v/>
      </c>
      <c r="DH825">
        <f>IF($DG825=1,IFERROR(INDEX($DB$5:$DB$1004,$DF825),""),"")</f>
        <v/>
      </c>
      <c r="DI825">
        <f>IF(AND($DG825=1,$DH825&lt;&gt;""),IFERROR(SUBSTITUTE(SUBSTITUTE(TRIM(SUBSTITUTE(SUBSTITUTE(SUBSTITUTE(SUBSTITUTE(IFERROR(INDEX(PASTE_ALL,$DF825,1)&amp;"","")&amp;"␟"&amp;IFERROR(INDEX(PASTE_ALL,$DF825,2)&amp;"","")&amp;"␟"&amp;IFERROR(INDEX(PASTE_ALL,$DF825,3)&amp;"","")&amp;"␟"&amp;IFERROR(INDEX(PASTE_ALL,$DF825,4)&amp;"","")&amp;"␟"&amp;IFERROR(INDEX(PASTE_ALL,$DF825,5)&amp;"","")&amp;"␟"&amp;IFERROR(INDEX(PASTE_ALL,$DF825,6)&amp;"","")&amp;"␟"&amp;IFERROR(INDEX(PASTE_ALL,$DF825,7)&amp;"","")&amp;"␟"&amp;IFERROR(INDEX(PASTE_ALL,$DF825,8)&amp;"","")&amp;"␟"&amp;IFERROR(INDEX(PASTE_ALL,$DF825,9)&amp;"","")&amp;"␟"&amp;IFERROR(INDEX(PASTE_ALL,$DF825,10)&amp;"","")&amp;"␟"&amp;IFERROR(INDEX(PASTE_ALL,$DF825,11)&amp;"","")&amp;"␟"&amp;IFERROR(INDEX(PASTE_ALL,$DF825,12)&amp;"","")&amp;"␟"&amp;IFERROR(INDEX(PASTE_ALL,$DF825,13)&amp;"","")&amp;"␟"&amp;IFERROR(INDEX(PASTE_ALL,$DF825,14)&amp;"","")&amp;"␟"&amp;IFERROR(INDEX(PASTE_ALL,$DF825,15)&amp;"","")&amp;"␟"&amp;IFERROR(INDEX(PASTE_ALL,$DF825,16)&amp;"","")&amp;"␟"&amp;IFERROR(INDEX(PASTE_ALL,$DF825,17)&amp;"","")&amp;"␟"&amp;IFERROR(INDEX(PASTE_ALL,$DF825,18)&amp;"","")&amp;"␟"&amp;IFERROR(INDEX(PASTE_ALL,$DF825,19)&amp;"","")&amp;"␟"&amp;IFERROR(INDEX(PASTE_ALL,$DF825,20)&amp;"","")&amp;"␟"&amp;IFERROR(INDEX(PASTE_ALL,$DF825,21)&amp;"","")&amp;"␟"&amp;IFERROR(INDEX(PASTE_ALL,$DF825,22)&amp;"","")&amp;"␟"&amp;IFERROR(INDEX(PASTE_ALL,$DF825,23)&amp;"","")&amp;"␟"&amp;IFERROR(INDEX(PASTE_ALL,$DF825,24)&amp;"","")&amp;"␟"&amp;IFERROR(INDEX(PASTE_ALL,$DF825,25)&amp;"","")&amp;"␟"&amp;IFERROR(INDEX(PASTE_ALL,$DF825,26)&amp;"","")&amp;"␟"&amp;IFERROR(INDEX(PASTE_ALL,$DF825,27)&amp;"","")&amp;"␟"&amp;IFERROR(INDEX(PASTE_ALL,$DF825,28)&amp;"","")&amp;"␟"&amp;IFERROR(INDEX(PASTE_ALL,$DF825,29)&amp;"","")&amp;"␟"&amp;IFERROR(INDEX(PASTE_ALL,$DF825,30)&amp;"","")&amp;"␟"&amp;IFERROR(INDEX(PASTE_ALL,$DF825,31)&amp;"","")&amp;"␟"&amp;IFERROR(INDEX(PASTE_ALL,$DF825,32)&amp;"","")&amp;"␟"&amp;IFERROR(INDEX(PASTE_ALL,$DF825,33)&amp;"","")&amp;"␟"&amp;IFERROR(INDEX(PASTE_ALL,$DF825,34)&amp;"","")&amp;"␟"&amp;IFERROR(INDEX(PASTE_ALL,$DF825,35)&amp;"","")&amp;"␟"&amp;IFERROR(INDEX(PASTE_ALL,$DF825,36)&amp;"","")&amp;"␟"&amp;IFERROR(INDEX(PASTE_ALL,$DF825,37)&amp;"","")&amp;"␟"&amp;IFERROR(INDEX(PASTE_ALL,$DF825,38)&amp;"","")&amp;"␟"&amp;IFERROR(INDEX(PASTE_ALL,$DF825,39)&amp;"","")&amp;"␟"&amp;IFERROR(INDEX(PASTE_ALL,$DF825,40)&amp;"","")&amp;"␟"&amp;IFERROR(INDEX(PASTE_ALL,$DF825,41)&amp;"","")&amp;"␟"&amp;IFERROR(INDEX(PASTE_ALL,$DF825,42)&amp;"","")&amp;"␟"&amp;IFERROR(INDEX(PASTE_ALL,$DF825,43)&amp;"","")&amp;"␟"&amp;IFERROR(INDEX(PASTE_ALL,$DF825,44)&amp;"","")&amp;"␟"&amp;IFERROR(INDEX(PASTE_ALL,$DF825,45)&amp;"","")&amp;"␟"&amp;IFERROR(INDEX(PASTE_ALL,$DF825,46)&amp;"","")&amp;"␟"&amp;IFERROR(INDEX(PASTE_ALL,$DF825,47)&amp;"","")&amp;"␟"&amp;IFERROR(INDEX(PASTE_ALL,$DF825,48)&amp;"","")&amp;"␟"&amp;IFERROR(INDEX(PASTE_ALL,$DF825,49)&amp;"","")&amp;"␟"&amp;IFERROR(INDEX(PASTE_ALL,$DF825,50)&amp;"","")&amp;"␟"&amp;IFERROR(INDEX(PASTE_ALL,$DF825,51)&amp;"","")&amp;"␟"&amp;IFERROR(INDEX(PASTE_ALL,$DF825,52)&amp;"","")&amp;"␟"&amp;IFERROR(INDEX(PASTE_ALL,$DF825,53)&amp;"","")&amp;"␟"&amp;IFERROR(INDEX(PASTE_ALL,$DF825,54)&amp;"","")&amp;"␟"&amp;IFERROR(INDEX(PASTE_ALL,$DF825,55)&amp;"","")&amp;"␟"&amp;IFERROR(INDEX(PASTE_ALL,$DF825,56)&amp;"","")&amp;"␟"&amp;IFERROR(INDEX(PASTE_ALL,$DF825,57)&amp;"","")&amp;"␟"&amp;IFERROR(INDEX(PASTE_ALL,$DF825,58)&amp;"","")&amp;"␟"&amp;IFERROR(INDEX(PASTE_ALL,$DF825,59)&amp;"","")&amp;"␟"&amp;IFERROR(INDEX(PASTE_ALL,$DF825,60)&amp;"","")," "," "),CHAR(9)," "),CHAR(10)," "),CHAR(13)," "))," ␟","␟"),"␟ ","␟"),"#"&amp;$DE825),"")</f>
        <v/>
      </c>
      <c r="DJ825">
        <f>IF($DI825="",0,IF(SUMPRODUCT(--EXACT($DI$4:DI824,$DI825))&gt;0,1,0))</f>
        <v/>
      </c>
      <c r="DK825">
        <f>IF(AND($DI825&lt;&gt;"",$DJ825=0),1,0)</f>
        <v/>
      </c>
      <c r="DL825">
        <f>DL824+$DK825</f>
        <v/>
      </c>
      <c r="DM825">
        <f>IF(AND($DK825=1,$DL825&lt;=600),1,0)</f>
        <v/>
      </c>
      <c r="DN825">
        <f>IF($DM825=0,"",IF($L$6=0,"",IFERROR(IF(ISNUMBER(INDEX(PASTE_ALL,$DF825,$L$6)),INDEX(PASTE_ALL,$DF825,$L$6),TRIM(SUBSTITUTE(SUBSTITUTE(SUBSTITUTE(SUBSTITUTE(INDEX(PASTE_ALL,$DF825,$L$6)," "," "),CHAR(9)," "),CHAR(10)," "),CHAR(13)," "))),"")))</f>
        <v/>
      </c>
      <c r="DO825">
        <f>IF($DM825=0,"",IF($L$7=0,"",IFERROR(IF(ISNUMBER(INDEX(PASTE_ALL,$DF825,$L$7)),INDEX(PASTE_ALL,$DF825,$L$7),TRIM(SUBSTITUTE(SUBSTITUTE(SUBSTITUTE(SUBSTITUTE(INDEX(PASTE_ALL,$DF825,$L$7)," "," "),CHAR(9)," "),CHAR(10)," "),CHAR(13)," "))),"")))</f>
        <v/>
      </c>
      <c r="DP825">
        <f>IF($DM825=0,"",IF($L$8=0,"",IFERROR(IF(ISNUMBER(INDEX(PASTE_ALL,$DF825,$L$8)),INDEX(PASTE_ALL,$DF825,$L$8),TRIM(SUBSTITUTE(SUBSTITUTE(SUBSTITUTE(SUBSTITUTE(INDEX(PASTE_ALL,$DF825,$L$8)," "," "),CHAR(9)," "),CHAR(10)," "),CHAR(13)," "))),"")))</f>
        <v/>
      </c>
      <c r="DQ825">
        <f>IF($DM825=0,"",IF($L$9=0,"",IFERROR(IF(ISNUMBER(INDEX(PASTE_ALL,$DF825,$L$9)),INDEX(PASTE_ALL,$DF825,$L$9),TRIM(SUBSTITUTE(SUBSTITUTE(SUBSTITUTE(SUBSTITUTE(INDEX(PASTE_ALL,$DF825,$L$9)," "," "),CHAR(9)," "),CHAR(10)," "),CHAR(13)," "))),"")))</f>
        <v/>
      </c>
      <c r="DR825">
        <f>IF($DM825=0,"",IF($L$10=0,"",IFERROR(IF(ISNUMBER(INDEX(PASTE_ALL,$DF825,$L$10)),INDEX(PASTE_ALL,$DF825,$L$10),TRIM(SUBSTITUTE(SUBSTITUTE(SUBSTITUTE(SUBSTITUTE(INDEX(PASTE_ALL,$DF825,$L$10)," "," "),CHAR(9)," "),CHAR(10)," "),CHAR(13)," "))),"")))</f>
        <v/>
      </c>
      <c r="DS825">
        <f>IF($DM825=0,"",IF($L$11=0,"",IFERROR(IF(ISNUMBER(INDEX(PASTE_ALL,$DF825,$L$11)),INDEX(PASTE_ALL,$DF825,$L$11),TRIM(SUBSTITUTE(SUBSTITUTE(SUBSTITUTE(SUBSTITUTE(INDEX(PASTE_ALL,$DF825,$L$11)," "," "),CHAR(9)," "),CHAR(10)," "),CHAR(13)," "))),"")))</f>
        <v/>
      </c>
      <c r="DT825">
        <f>IF($DM825=0,"",IF($L$12=0,"",IFERROR(IF(ISNUMBER(INDEX(PASTE_ALL,$DF825,$L$12)),INDEX(PASTE_ALL,$DF825,$L$12),TRIM(SUBSTITUTE(SUBSTITUTE(SUBSTITUTE(SUBSTITUTE(INDEX(PASTE_ALL,$DF825,$L$12)," "," "),CHAR(9)," "),CHAR(10)," "),CHAR(13)," "))),"")))</f>
        <v/>
      </c>
      <c r="DU825">
        <f>IF($DM825=0,"",IF($L$13=0,"",IFERROR(IF(ISNUMBER(INDEX(PASTE_ALL,$DF825,$L$13)),INDEX(PASTE_ALL,$DF825,$L$13),TRIM(SUBSTITUTE(SUBSTITUTE(SUBSTITUTE(SUBSTITUTE(INDEX(PASTE_ALL,$DF825,$L$13)," "," "),CHAR(9)," "),CHAR(10)," "),CHAR(13)," "))),"")))</f>
        <v/>
      </c>
      <c r="DV825">
        <f>IF($DM825=0,"",IF($L$14=0,"",IFERROR(IF(ISNUMBER(INDEX(PASTE_ALL,$DF825,$L$14)),INDEX(PASTE_ALL,$DF825,$L$14),TRIM(SUBSTITUTE(SUBSTITUTE(SUBSTITUTE(SUBSTITUTE(INDEX(PASTE_ALL,$DF825,$L$14)," "," "),CHAR(9)," "),CHAR(10)," "),CHAR(13)," "))),"")))</f>
        <v/>
      </c>
      <c r="DW825">
        <f>IF($DM825=0,"",IF($L$15=0,"",IFERROR(IF(ISNUMBER(INDEX(PASTE_ALL,$DF825,$L$15)),INDEX(PASTE_ALL,$DF825,$L$15),IF(SUMPRODUCT(--ISNUMBER(FIND({"A","B","C","D","E","F","G","H","I","J","K","L","M","N","O","P","Q","R","S","T","U","V","W","X","Y","Z","0","1","2","3","4","5","6","7","8","9"},UPPER(TRIM(SUBSTITUTE(SUBSTITUTE(SUBSTITUTE(SUBSTITUTE(INDEX(PASTE_ALL,$DF825,$L$15)," "," "),CHAR(9)," "),CHAR(10)," "),CHAR(13)," "))))))&gt;0,TRIM(SUBSTITUTE(SUBSTITUTE(SUBSTITUTE(SUBSTITUTE(INDEX(PASTE_ALL,$DF825,$L$15)," "," "),CHAR(9)," "),CHAR(10)," "),CHAR(13)," ")),"")),"")))</f>
        <v/>
      </c>
      <c r="DX825">
        <f>IF($DM825=0,"",IF($L$16=0,"",IFERROR(IF(ISNUMBER(INDEX(PASTE_ALL,$DF825,$L$16)),INDEX(PASTE_ALL,$DF825,$L$16),SUBSTITUTE(SUBSTITUTE(TRIM(SUBSTITUTE(SUBSTITUTE(SUBSTITUTE(SUBSTITUTE(INDEX(PASTE_ALL,$DF825,$L$16)," "," "),CHAR(9)," "),CHAR(10)," "),CHAR(13)," ")),",",""),"%","")),"")))</f>
        <v/>
      </c>
      <c r="DY825">
        <f>IF($DM825=0,"",IFERROR(IF(ISNUMBER($DX825),$DX825,IF($DX825="","",IF(TRIM($DX825)="",0,IF(AND(AND(SUBSTITUTE(SUBSTITUTE(SUBSTITUTE(SUBSTITUTE(SUBSTITUTE(SUBSTITUTE(SUBSTITUTE(SUBSTITUTE(SUBSTITUTE(SUBSTITUTE(SUBSTITUTE(SUBSTITUTE(SUBSTITUTE(SUBSTITUTE(UPPER(TRIM($DX825)),"0",""),"1",""),"2",""),"3",""),"4",""),"5",""),"6",""),"7",""),"8",""),"9",""),".",""),"+",""),"-",""),"E","")="",LEN(SUBSTITUTE(SUBSTITUTE(MID(UPPER(TRIM($DX825)),1+OR(LEFT(UPPER(TRIM($DX825)),1)="+",LEFT(UPPER(TRIM($DX825)),1)="-"),999),"E+","E"),"E-","E"))=LEN(SUBSTITUTE(SUBSTITUTE(SUBSTITUTE(SUBSTITUTE(MID(UPPER(TRIM($DX825)),1+OR(LEFT(UPPER(TRIM($DX825)),1)="+",LEFT(UPPER(TRIM($DX825)),1)="-"),999),"E+","E"),"E-","E"),"+",""),"-","")),LEN(UPPER(TRIM($DX825)))-LEN(SUBSTITUTE(UPPER(TRIM($DX825)),"E",""))&lt;2,LEN(UPPER(TRIM($DX825)))-LEN(SUBSTITUTE(UPPER(TRIM($DX825)),".",""))&lt;2,IFERROR(FIND(".",UPPER(TRIM($DX825))),0)&lt;IFERROR(FIND("E",UPPER(TRIM($DX825))),999)),ISNUMBER(VALUE(TRIM($DX825)))),VALUE(TRIM($DX825)),"")))),""))</f>
        <v/>
      </c>
      <c r="DZ825">
        <f>IF($DM825=0,"",IF($L$17=0,"",IFERROR(IF(ISNUMBER(INDEX(PASTE_ALL,$DF825,$L$17)),INDEX(PASTE_ALL,$DF825,$L$17),SUBSTITUTE(SUBSTITUTE(TRIM(SUBSTITUTE(SUBSTITUTE(SUBSTITUTE(SUBSTITUTE(INDEX(PASTE_ALL,$DF825,$L$17)," "," "),CHAR(9)," "),CHAR(10)," "),CHAR(13)," ")),",",""),"%","")),"")))</f>
        <v/>
      </c>
      <c r="EA825">
        <f>IF($DM825=0,"",IFERROR(IF(ISNUMBER($DZ825),$DZ825,IF($DZ825="","",IF(TRIM($DZ825)="",0,IF(AND(AND(SUBSTITUTE(SUBSTITUTE(SUBSTITUTE(SUBSTITUTE(SUBSTITUTE(SUBSTITUTE(SUBSTITUTE(SUBSTITUTE(SUBSTITUTE(SUBSTITUTE(SUBSTITUTE(SUBSTITUTE(SUBSTITUTE(SUBSTITUTE(UPPER(TRIM($DZ825)),"0",""),"1",""),"2",""),"3",""),"4",""),"5",""),"6",""),"7",""),"8",""),"9",""),".",""),"+",""),"-",""),"E","")="",LEN(SUBSTITUTE(SUBSTITUTE(MID(UPPER(TRIM($DZ825)),1+OR(LEFT(UPPER(TRIM($DZ825)),1)="+",LEFT(UPPER(TRIM($DZ825)),1)="-"),999),"E+","E"),"E-","E"))=LEN(SUBSTITUTE(SUBSTITUTE(SUBSTITUTE(SUBSTITUTE(MID(UPPER(TRIM($DZ825)),1+OR(LEFT(UPPER(TRIM($DZ825)),1)="+",LEFT(UPPER(TRIM($DZ825)),1)="-"),999),"E+","E"),"E-","E"),"+",""),"-","")),LEN(UPPER(TRIM($DZ825)))-LEN(SUBSTITUTE(UPPER(TRIM($DZ825)),"E",""))&lt;2,LEN(UPPER(TRIM($DZ825)))-LEN(SUBSTITUTE(UPPER(TRIM($DZ825)),".",""))&lt;2,IFERROR(FIND(".",UPPER(TRIM($DZ825))),0)&lt;IFERROR(FIND("E",UPPER(TRIM($DZ825))),999)),ISNUMBER(VALUE(TRIM($DZ825)))),VALUE(TRIM($DZ825)),"")))),""))</f>
        <v/>
      </c>
      <c r="EB825">
        <f>IF($DM825=0,"",IF($L$18=0,"",IFERROR(IF(UPPER(TRIM(SUBSTITUTE(SUBSTITUTE(SUBSTITUTE(SUBSTITUTE(INDEX(PASTE_ALL,$DF825,$L$18)," "," "),CHAR(9)," "),CHAR(10)," "),CHAR(13)," ")))="READY","Ready",IF(UPPER(TRIM(SUBSTITUTE(SUBSTITUTE(SUBSTITUTE(SUBSTITUTE(INDEX(PASTE_ALL,$DF825,$L$18)," "," "),CHAR(9)," "),CHAR(10)," "),CHAR(13)," ")))="PM","PM",IF(OR(UPPER(TRIM(SUBSTITUTE(SUBSTITUTE(SUBSTITUTE(SUBSTITUTE(INDEX(PASTE_ALL,$DF825,$L$18)," "," "),CHAR(9)," "),CHAR(10)," "),CHAR(13)," ")))="OT",UPPER(TRIM(SUBSTITUTE(SUBSTITUTE(SUBSTITUTE(SUBSTITUTE(INDEX(PASTE_ALL,$DF825,$L$18)," "," "),CHAR(9)," "),CHAR(10)," "),CHAR(13)," ")))="OVERTIME",UPPER(TRIM(SUBSTITUTE(SUBSTITUTE(SUBSTITUTE(SUBSTITUTE(INDEX(PASTE_ALL,$DF825,$L$18)," "," "),CHAR(9)," "),CHAR(10)," "),CHAR(13)," ")))="TRIAL"),"OT",TRIM(SUBSTITUTE(SUBSTITUTE(SUBSTITUTE(SUBSTITUTE(INDEX(PASTE_ALL,$DF825,$L$18)," "," "),CHAR(9)," "),CHAR(10)," "),CHAR(13)," "))))),"")))</f>
        <v/>
      </c>
      <c r="EC825">
        <f>IF($DM825=0,"",IF($L$19=0,"",IFERROR(IF(ISNUMBER(INDEX(PASTE_ALL,$DF825,$L$19)),INDEX(PASTE_ALL,$DF825,$L$19),TRIM(SUBSTITUTE(SUBSTITUTE(SUBSTITUTE(SUBSTITUTE(INDEX(PASTE_ALL,$DF825,$L$19)," "," "),CHAR(9)," "),CHAR(10)," "),CHAR(13)," "))),"")))</f>
        <v/>
      </c>
      <c r="ED825">
        <f>IF($DM825=0,"",MATCH(1,INDEX(EXACT($DH$5:DH825,$DH825)*$DM$5:DM825,0),0))</f>
        <v/>
      </c>
      <c r="EE825">
        <f>IF($DM825=0,0,IF($ED825=$DE825,1,0))</f>
        <v/>
      </c>
      <c r="EF825">
        <f>EF824+$EE825</f>
        <v/>
      </c>
      <c r="EG825">
        <f>IF($DM825=0,"",INDEX($EF$5:$EF$1003,$ED825))</f>
        <v/>
      </c>
      <c r="EH825">
        <f>IF($DM825=0,"",IF($DO825&lt;&gt;"","",IFERROR(LOOKUP(2,1/(($EG$4:EG824=$EG825)*($DO$4:DO824&lt;&gt;"")),$DO$4:DO824),"")))</f>
        <v/>
      </c>
      <c r="EI825">
        <f>IF($DM825=0,"",IF($DO825&lt;&gt;"",$DO825,$EH825))</f>
        <v/>
      </c>
      <c r="EJ825">
        <f>IF($DM825=0,"",IF($EI825="",0,IF(OR(ISNUMBER($EI825),AND(AND(SUBSTITUTE(SUBSTITUTE(SUBSTITUTE(SUBSTITUTE(SUBSTITUTE(SUBSTITUTE(SUBSTITUTE(SUBSTITUTE(SUBSTITUTE(SUBSTITUTE(SUBSTITUTE(SUBSTITUTE(SUBSTITUTE(SUBSTITUTE(UPPER($EI825),"0",""),"1",""),"2",""),"3",""),"4",""),"5",""),"6",""),"7",""),"8",""),"9",""),".",""),"+",""),"-",""),"E","")="",LEN(SUBSTITUTE(SUBSTITUTE(MID(UPPER($EI825),1+OR(LEFT(UPPER($EI825),1)="+",LEFT(UPPER($EI825),1)="-"),999),"E+","E"),"E-","E"))=LEN(SUBSTITUTE(SUBSTITUTE(SUBSTITUTE(SUBSTITUTE(MID(UPPER($EI825),1+OR(LEFT(UPPER($EI825),1)="+",LEFT(UPPER($EI825),1)="-"),999),"E+","E"),"E-","E"),"+",""),"-","")),LEN(UPPER($EI825))-LEN(SUBSTITUTE(UPPER($EI825),"E",""))&lt;2,LEN(UPPER($EI825))-LEN(SUBSTITUTE(UPPER($EI825),".",""))&lt;2,IFERROR(FIND(".",UPPER($EI825)),0)&lt;IFERROR(FIND("E",UPPER($EI825)),999)),ISNUMBER(VALUE($EI825)))),1,2)))</f>
        <v/>
      </c>
      <c r="EK825">
        <f>IF($DM825=0,"",IF($EJ825=1,IF(ISNUMBER($EI825),$EI825,VALUE($EI825)),IF($EJ825=2,$DE825,0)))</f>
        <v/>
      </c>
      <c r="EL825">
        <f>IF($DM825=0,"",COUNTIF($EG$5:$EG$1003,"&lt;"&amp;$EG825)+SUMPRODUCT(($EG$5:$EG$1003=$EG825)*(($EJ$5:$EJ$1003&lt;$EJ825)+($EJ$5:$EJ$1003=$EJ825)*(($EK$5:$EK$1003&lt;$EK825)+($EK$5:$EK$1003=$EK825)*($DE$5:$DE$1003&lt;$DE825))))+1)</f>
        <v/>
      </c>
      <c r="EM825">
        <f>IF($DM825=0,"",$EL825+$EG825-1)</f>
        <v/>
      </c>
      <c r="EN825">
        <f>IF($DM825=0,0,IFERROR(MATCH(1,INDEX(--(TRIM(SUBSTITUTE(SUBSTITUTE(SUBSTITUTE(SUBSTITUTE(LINES_NAME&amp;""," "," "),CHAR(9)," "),CHAR(10)," "),CHAR(13)," "))=$DH825),0),0),0))</f>
        <v/>
      </c>
      <c r="EO825">
        <f>IF($EN825=0,0,IF(OR(UPPER(TRIM(INDEX(LINES_SCHEDULED,$EN825)&amp;""))="YES",UPPER(TRIM(INDEX(LINES_SCHEDULED,$EN825)&amp;""))="Y",UPPER(TRIM(INDEX(LINES_SCHEDULED,$EN825)&amp;""))="X"),1,0))</f>
        <v/>
      </c>
      <c r="EP825">
        <f>IF($DM825=0,"",IF(COUNTIFS($EG$5:$EG$1003,$EG825,$EB$5:$EB$1003,"Ready")&gt;0,"READY",IF(COUNTIFS($EG$5:$EG$1003,$EG825,$EB$5:$EB$1003,"PM")&gt;0,"PM",IF(COUNTIFS($EG$5:$EG$1003,$EG825,$EB$5:$EB$1003,"OT")&gt;0,"OT",""))))</f>
        <v/>
      </c>
      <c r="EQ825">
        <f>IF($EN825=0,"",UPPER(TRIM(INDEX(LINES_STATUS,$EN825)&amp;"")))</f>
        <v/>
      </c>
      <c r="ER825">
        <f>IF($DM825=0,"",IF(OR($EQ825="READY",$EQ825="PM",$EQ825="OT"),$EQ825,$EP825))</f>
        <v/>
      </c>
      <c r="ES825">
        <f>IF($DM825=0,"",IF(AND($DV825&lt;&gt;"",UPPER($DV825)&lt;&gt;"N"),"allergen",IF(ISNUMBER(SEARCH("oil",$DQ825)),"oil",IF(OR(EXACT($DS825,"A662"),EXACT($DS825,"A624")),"bulk",""))))</f>
        <v/>
      </c>
      <c r="ET825">
        <f>IF($DM825=0,"",IF(OR($EA825="",$EA825=0),"",$EA825/100))</f>
        <v/>
      </c>
      <c r="EU825">
        <f>IF(OR($ET825="",$DY825=""),"",INT($DY825*(1-$ET825)+0.5))</f>
        <v/>
      </c>
    </row>
    <row r="826">
      <c r="DA826" t="n">
        <v>822</v>
      </c>
      <c r="DB826">
        <f>IF($B$37=0,"",IFERROR(TRIM(SUBSTITUTE(SUBSTITUTE(SUBSTITUTE(SUBSTITUTE(INDEX(PASTE_ALL,822,$B$37)," "," "),CHAR(9)," "),CHAR(10)," "),CHAR(13)," ")),""))</f>
        <v/>
      </c>
      <c r="DC826">
        <f>IF(AND(822&gt;HEADER_ROW,UPPER(DB826)="LEGEND"),1,0)</f>
        <v/>
      </c>
      <c r="DE826" t="n">
        <v>822</v>
      </c>
      <c r="DF826">
        <f>HEADER_ROW+$DE826</f>
        <v/>
      </c>
      <c r="DG826">
        <f>IF(AND($DF826&lt;=1000,$DF826&lt;$B$8),1,0)</f>
        <v/>
      </c>
      <c r="DH826">
        <f>IF($DG826=1,IFERROR(INDEX($DB$5:$DB$1004,$DF826),""),"")</f>
        <v/>
      </c>
      <c r="DI826">
        <f>IF(AND($DG826=1,$DH826&lt;&gt;""),IFERROR(SUBSTITUTE(SUBSTITUTE(TRIM(SUBSTITUTE(SUBSTITUTE(SUBSTITUTE(SUBSTITUTE(IFERROR(INDEX(PASTE_ALL,$DF826,1)&amp;"","")&amp;"␟"&amp;IFERROR(INDEX(PASTE_ALL,$DF826,2)&amp;"","")&amp;"␟"&amp;IFERROR(INDEX(PASTE_ALL,$DF826,3)&amp;"","")&amp;"␟"&amp;IFERROR(INDEX(PASTE_ALL,$DF826,4)&amp;"","")&amp;"␟"&amp;IFERROR(INDEX(PASTE_ALL,$DF826,5)&amp;"","")&amp;"␟"&amp;IFERROR(INDEX(PASTE_ALL,$DF826,6)&amp;"","")&amp;"␟"&amp;IFERROR(INDEX(PASTE_ALL,$DF826,7)&amp;"","")&amp;"␟"&amp;IFERROR(INDEX(PASTE_ALL,$DF826,8)&amp;"","")&amp;"␟"&amp;IFERROR(INDEX(PASTE_ALL,$DF826,9)&amp;"","")&amp;"␟"&amp;IFERROR(INDEX(PASTE_ALL,$DF826,10)&amp;"","")&amp;"␟"&amp;IFERROR(INDEX(PASTE_ALL,$DF826,11)&amp;"","")&amp;"␟"&amp;IFERROR(INDEX(PASTE_ALL,$DF826,12)&amp;"","")&amp;"␟"&amp;IFERROR(INDEX(PASTE_ALL,$DF826,13)&amp;"","")&amp;"␟"&amp;IFERROR(INDEX(PASTE_ALL,$DF826,14)&amp;"","")&amp;"␟"&amp;IFERROR(INDEX(PASTE_ALL,$DF826,15)&amp;"","")&amp;"␟"&amp;IFERROR(INDEX(PASTE_ALL,$DF826,16)&amp;"","")&amp;"␟"&amp;IFERROR(INDEX(PASTE_ALL,$DF826,17)&amp;"","")&amp;"␟"&amp;IFERROR(INDEX(PASTE_ALL,$DF826,18)&amp;"","")&amp;"␟"&amp;IFERROR(INDEX(PASTE_ALL,$DF826,19)&amp;"","")&amp;"␟"&amp;IFERROR(INDEX(PASTE_ALL,$DF826,20)&amp;"","")&amp;"␟"&amp;IFERROR(INDEX(PASTE_ALL,$DF826,21)&amp;"","")&amp;"␟"&amp;IFERROR(INDEX(PASTE_ALL,$DF826,22)&amp;"","")&amp;"␟"&amp;IFERROR(INDEX(PASTE_ALL,$DF826,23)&amp;"","")&amp;"␟"&amp;IFERROR(INDEX(PASTE_ALL,$DF826,24)&amp;"","")&amp;"␟"&amp;IFERROR(INDEX(PASTE_ALL,$DF826,25)&amp;"","")&amp;"␟"&amp;IFERROR(INDEX(PASTE_ALL,$DF826,26)&amp;"","")&amp;"␟"&amp;IFERROR(INDEX(PASTE_ALL,$DF826,27)&amp;"","")&amp;"␟"&amp;IFERROR(INDEX(PASTE_ALL,$DF826,28)&amp;"","")&amp;"␟"&amp;IFERROR(INDEX(PASTE_ALL,$DF826,29)&amp;"","")&amp;"␟"&amp;IFERROR(INDEX(PASTE_ALL,$DF826,30)&amp;"","")&amp;"␟"&amp;IFERROR(INDEX(PASTE_ALL,$DF826,31)&amp;"","")&amp;"␟"&amp;IFERROR(INDEX(PASTE_ALL,$DF826,32)&amp;"","")&amp;"␟"&amp;IFERROR(INDEX(PASTE_ALL,$DF826,33)&amp;"","")&amp;"␟"&amp;IFERROR(INDEX(PASTE_ALL,$DF826,34)&amp;"","")&amp;"␟"&amp;IFERROR(INDEX(PASTE_ALL,$DF826,35)&amp;"","")&amp;"␟"&amp;IFERROR(INDEX(PASTE_ALL,$DF826,36)&amp;"","")&amp;"␟"&amp;IFERROR(INDEX(PASTE_ALL,$DF826,37)&amp;"","")&amp;"␟"&amp;IFERROR(INDEX(PASTE_ALL,$DF826,38)&amp;"","")&amp;"␟"&amp;IFERROR(INDEX(PASTE_ALL,$DF826,39)&amp;"","")&amp;"␟"&amp;IFERROR(INDEX(PASTE_ALL,$DF826,40)&amp;"","")&amp;"␟"&amp;IFERROR(INDEX(PASTE_ALL,$DF826,41)&amp;"","")&amp;"␟"&amp;IFERROR(INDEX(PASTE_ALL,$DF826,42)&amp;"","")&amp;"␟"&amp;IFERROR(INDEX(PASTE_ALL,$DF826,43)&amp;"","")&amp;"␟"&amp;IFERROR(INDEX(PASTE_ALL,$DF826,44)&amp;"","")&amp;"␟"&amp;IFERROR(INDEX(PASTE_ALL,$DF826,45)&amp;"","")&amp;"␟"&amp;IFERROR(INDEX(PASTE_ALL,$DF826,46)&amp;"","")&amp;"␟"&amp;IFERROR(INDEX(PASTE_ALL,$DF826,47)&amp;"","")&amp;"␟"&amp;IFERROR(INDEX(PASTE_ALL,$DF826,48)&amp;"","")&amp;"␟"&amp;IFERROR(INDEX(PASTE_ALL,$DF826,49)&amp;"","")&amp;"␟"&amp;IFERROR(INDEX(PASTE_ALL,$DF826,50)&amp;"","")&amp;"␟"&amp;IFERROR(INDEX(PASTE_ALL,$DF826,51)&amp;"","")&amp;"␟"&amp;IFERROR(INDEX(PASTE_ALL,$DF826,52)&amp;"","")&amp;"␟"&amp;IFERROR(INDEX(PASTE_ALL,$DF826,53)&amp;"","")&amp;"␟"&amp;IFERROR(INDEX(PASTE_ALL,$DF826,54)&amp;"","")&amp;"␟"&amp;IFERROR(INDEX(PASTE_ALL,$DF826,55)&amp;"","")&amp;"␟"&amp;IFERROR(INDEX(PASTE_ALL,$DF826,56)&amp;"","")&amp;"␟"&amp;IFERROR(INDEX(PASTE_ALL,$DF826,57)&amp;"","")&amp;"␟"&amp;IFERROR(INDEX(PASTE_ALL,$DF826,58)&amp;"","")&amp;"␟"&amp;IFERROR(INDEX(PASTE_ALL,$DF826,59)&amp;"","")&amp;"␟"&amp;IFERROR(INDEX(PASTE_ALL,$DF826,60)&amp;"","")," "," "),CHAR(9)," "),CHAR(10)," "),CHAR(13)," "))," ␟","␟"),"␟ ","␟"),"#"&amp;$DE826),"")</f>
        <v/>
      </c>
      <c r="DJ826">
        <f>IF($DI826="",0,IF(SUMPRODUCT(--EXACT($DI$4:DI825,$DI826))&gt;0,1,0))</f>
        <v/>
      </c>
      <c r="DK826">
        <f>IF(AND($DI826&lt;&gt;"",$DJ826=0),1,0)</f>
        <v/>
      </c>
      <c r="DL826">
        <f>DL825+$DK826</f>
        <v/>
      </c>
      <c r="DM826">
        <f>IF(AND($DK826=1,$DL826&lt;=600),1,0)</f>
        <v/>
      </c>
      <c r="DN826">
        <f>IF($DM826=0,"",IF($L$6=0,"",IFERROR(IF(ISNUMBER(INDEX(PASTE_ALL,$DF826,$L$6)),INDEX(PASTE_ALL,$DF826,$L$6),TRIM(SUBSTITUTE(SUBSTITUTE(SUBSTITUTE(SUBSTITUTE(INDEX(PASTE_ALL,$DF826,$L$6)," "," "),CHAR(9)," "),CHAR(10)," "),CHAR(13)," "))),"")))</f>
        <v/>
      </c>
      <c r="DO826">
        <f>IF($DM826=0,"",IF($L$7=0,"",IFERROR(IF(ISNUMBER(INDEX(PASTE_ALL,$DF826,$L$7)),INDEX(PASTE_ALL,$DF826,$L$7),TRIM(SUBSTITUTE(SUBSTITUTE(SUBSTITUTE(SUBSTITUTE(INDEX(PASTE_ALL,$DF826,$L$7)," "," "),CHAR(9)," "),CHAR(10)," "),CHAR(13)," "))),"")))</f>
        <v/>
      </c>
      <c r="DP826">
        <f>IF($DM826=0,"",IF($L$8=0,"",IFERROR(IF(ISNUMBER(INDEX(PASTE_ALL,$DF826,$L$8)),INDEX(PASTE_ALL,$DF826,$L$8),TRIM(SUBSTITUTE(SUBSTITUTE(SUBSTITUTE(SUBSTITUTE(INDEX(PASTE_ALL,$DF826,$L$8)," "," "),CHAR(9)," "),CHAR(10)," "),CHAR(13)," "))),"")))</f>
        <v/>
      </c>
      <c r="DQ826">
        <f>IF($DM826=0,"",IF($L$9=0,"",IFERROR(IF(ISNUMBER(INDEX(PASTE_ALL,$DF826,$L$9)),INDEX(PASTE_ALL,$DF826,$L$9),TRIM(SUBSTITUTE(SUBSTITUTE(SUBSTITUTE(SUBSTITUTE(INDEX(PASTE_ALL,$DF826,$L$9)," "," "),CHAR(9)," "),CHAR(10)," "),CHAR(13)," "))),"")))</f>
        <v/>
      </c>
      <c r="DR826">
        <f>IF($DM826=0,"",IF($L$10=0,"",IFERROR(IF(ISNUMBER(INDEX(PASTE_ALL,$DF826,$L$10)),INDEX(PASTE_ALL,$DF826,$L$10),TRIM(SUBSTITUTE(SUBSTITUTE(SUBSTITUTE(SUBSTITUTE(INDEX(PASTE_ALL,$DF826,$L$10)," "," "),CHAR(9)," "),CHAR(10)," "),CHAR(13)," "))),"")))</f>
        <v/>
      </c>
      <c r="DS826">
        <f>IF($DM826=0,"",IF($L$11=0,"",IFERROR(IF(ISNUMBER(INDEX(PASTE_ALL,$DF826,$L$11)),INDEX(PASTE_ALL,$DF826,$L$11),TRIM(SUBSTITUTE(SUBSTITUTE(SUBSTITUTE(SUBSTITUTE(INDEX(PASTE_ALL,$DF826,$L$11)," "," "),CHAR(9)," "),CHAR(10)," "),CHAR(13)," "))),"")))</f>
        <v/>
      </c>
      <c r="DT826">
        <f>IF($DM826=0,"",IF($L$12=0,"",IFERROR(IF(ISNUMBER(INDEX(PASTE_ALL,$DF826,$L$12)),INDEX(PASTE_ALL,$DF826,$L$12),TRIM(SUBSTITUTE(SUBSTITUTE(SUBSTITUTE(SUBSTITUTE(INDEX(PASTE_ALL,$DF826,$L$12)," "," "),CHAR(9)," "),CHAR(10)," "),CHAR(13)," "))),"")))</f>
        <v/>
      </c>
      <c r="DU826">
        <f>IF($DM826=0,"",IF($L$13=0,"",IFERROR(IF(ISNUMBER(INDEX(PASTE_ALL,$DF826,$L$13)),INDEX(PASTE_ALL,$DF826,$L$13),TRIM(SUBSTITUTE(SUBSTITUTE(SUBSTITUTE(SUBSTITUTE(INDEX(PASTE_ALL,$DF826,$L$13)," "," "),CHAR(9)," "),CHAR(10)," "),CHAR(13)," "))),"")))</f>
        <v/>
      </c>
      <c r="DV826">
        <f>IF($DM826=0,"",IF($L$14=0,"",IFERROR(IF(ISNUMBER(INDEX(PASTE_ALL,$DF826,$L$14)),INDEX(PASTE_ALL,$DF826,$L$14),TRIM(SUBSTITUTE(SUBSTITUTE(SUBSTITUTE(SUBSTITUTE(INDEX(PASTE_ALL,$DF826,$L$14)," "," "),CHAR(9)," "),CHAR(10)," "),CHAR(13)," "))),"")))</f>
        <v/>
      </c>
      <c r="DW826">
        <f>IF($DM826=0,"",IF($L$15=0,"",IFERROR(IF(ISNUMBER(INDEX(PASTE_ALL,$DF826,$L$15)),INDEX(PASTE_ALL,$DF826,$L$15),IF(SUMPRODUCT(--ISNUMBER(FIND({"A","B","C","D","E","F","G","H","I","J","K","L","M","N","O","P","Q","R","S","T","U","V","W","X","Y","Z","0","1","2","3","4","5","6","7","8","9"},UPPER(TRIM(SUBSTITUTE(SUBSTITUTE(SUBSTITUTE(SUBSTITUTE(INDEX(PASTE_ALL,$DF826,$L$15)," "," "),CHAR(9)," "),CHAR(10)," "),CHAR(13)," "))))))&gt;0,TRIM(SUBSTITUTE(SUBSTITUTE(SUBSTITUTE(SUBSTITUTE(INDEX(PASTE_ALL,$DF826,$L$15)," "," "),CHAR(9)," "),CHAR(10)," "),CHAR(13)," ")),"")),"")))</f>
        <v/>
      </c>
      <c r="DX826">
        <f>IF($DM826=0,"",IF($L$16=0,"",IFERROR(IF(ISNUMBER(INDEX(PASTE_ALL,$DF826,$L$16)),INDEX(PASTE_ALL,$DF826,$L$16),SUBSTITUTE(SUBSTITUTE(TRIM(SUBSTITUTE(SUBSTITUTE(SUBSTITUTE(SUBSTITUTE(INDEX(PASTE_ALL,$DF826,$L$16)," "," "),CHAR(9)," "),CHAR(10)," "),CHAR(13)," ")),",",""),"%","")),"")))</f>
        <v/>
      </c>
      <c r="DY826">
        <f>IF($DM826=0,"",IFERROR(IF(ISNUMBER($DX826),$DX826,IF($DX826="","",IF(TRIM($DX826)="",0,IF(AND(AND(SUBSTITUTE(SUBSTITUTE(SUBSTITUTE(SUBSTITUTE(SUBSTITUTE(SUBSTITUTE(SUBSTITUTE(SUBSTITUTE(SUBSTITUTE(SUBSTITUTE(SUBSTITUTE(SUBSTITUTE(SUBSTITUTE(SUBSTITUTE(UPPER(TRIM($DX826)),"0",""),"1",""),"2",""),"3",""),"4",""),"5",""),"6",""),"7",""),"8",""),"9",""),".",""),"+",""),"-",""),"E","")="",LEN(SUBSTITUTE(SUBSTITUTE(MID(UPPER(TRIM($DX826)),1+OR(LEFT(UPPER(TRIM($DX826)),1)="+",LEFT(UPPER(TRIM($DX826)),1)="-"),999),"E+","E"),"E-","E"))=LEN(SUBSTITUTE(SUBSTITUTE(SUBSTITUTE(SUBSTITUTE(MID(UPPER(TRIM($DX826)),1+OR(LEFT(UPPER(TRIM($DX826)),1)="+",LEFT(UPPER(TRIM($DX826)),1)="-"),999),"E+","E"),"E-","E"),"+",""),"-","")),LEN(UPPER(TRIM($DX826)))-LEN(SUBSTITUTE(UPPER(TRIM($DX826)),"E",""))&lt;2,LEN(UPPER(TRIM($DX826)))-LEN(SUBSTITUTE(UPPER(TRIM($DX826)),".",""))&lt;2,IFERROR(FIND(".",UPPER(TRIM($DX826))),0)&lt;IFERROR(FIND("E",UPPER(TRIM($DX826))),999)),ISNUMBER(VALUE(TRIM($DX826)))),VALUE(TRIM($DX826)),"")))),""))</f>
        <v/>
      </c>
      <c r="DZ826">
        <f>IF($DM826=0,"",IF($L$17=0,"",IFERROR(IF(ISNUMBER(INDEX(PASTE_ALL,$DF826,$L$17)),INDEX(PASTE_ALL,$DF826,$L$17),SUBSTITUTE(SUBSTITUTE(TRIM(SUBSTITUTE(SUBSTITUTE(SUBSTITUTE(SUBSTITUTE(INDEX(PASTE_ALL,$DF826,$L$17)," "," "),CHAR(9)," "),CHAR(10)," "),CHAR(13)," ")),",",""),"%","")),"")))</f>
        <v/>
      </c>
      <c r="EA826">
        <f>IF($DM826=0,"",IFERROR(IF(ISNUMBER($DZ826),$DZ826,IF($DZ826="","",IF(TRIM($DZ826)="",0,IF(AND(AND(SUBSTITUTE(SUBSTITUTE(SUBSTITUTE(SUBSTITUTE(SUBSTITUTE(SUBSTITUTE(SUBSTITUTE(SUBSTITUTE(SUBSTITUTE(SUBSTITUTE(SUBSTITUTE(SUBSTITUTE(SUBSTITUTE(SUBSTITUTE(UPPER(TRIM($DZ826)),"0",""),"1",""),"2",""),"3",""),"4",""),"5",""),"6",""),"7",""),"8",""),"9",""),".",""),"+",""),"-",""),"E","")="",LEN(SUBSTITUTE(SUBSTITUTE(MID(UPPER(TRIM($DZ826)),1+OR(LEFT(UPPER(TRIM($DZ826)),1)="+",LEFT(UPPER(TRIM($DZ826)),1)="-"),999),"E+","E"),"E-","E"))=LEN(SUBSTITUTE(SUBSTITUTE(SUBSTITUTE(SUBSTITUTE(MID(UPPER(TRIM($DZ826)),1+OR(LEFT(UPPER(TRIM($DZ826)),1)="+",LEFT(UPPER(TRIM($DZ826)),1)="-"),999),"E+","E"),"E-","E"),"+",""),"-","")),LEN(UPPER(TRIM($DZ826)))-LEN(SUBSTITUTE(UPPER(TRIM($DZ826)),"E",""))&lt;2,LEN(UPPER(TRIM($DZ826)))-LEN(SUBSTITUTE(UPPER(TRIM($DZ826)),".",""))&lt;2,IFERROR(FIND(".",UPPER(TRIM($DZ826))),0)&lt;IFERROR(FIND("E",UPPER(TRIM($DZ826))),999)),ISNUMBER(VALUE(TRIM($DZ826)))),VALUE(TRIM($DZ826)),"")))),""))</f>
        <v/>
      </c>
      <c r="EB826">
        <f>IF($DM826=0,"",IF($L$18=0,"",IFERROR(IF(UPPER(TRIM(SUBSTITUTE(SUBSTITUTE(SUBSTITUTE(SUBSTITUTE(INDEX(PASTE_ALL,$DF826,$L$18)," "," "),CHAR(9)," "),CHAR(10)," "),CHAR(13)," ")))="READY","Ready",IF(UPPER(TRIM(SUBSTITUTE(SUBSTITUTE(SUBSTITUTE(SUBSTITUTE(INDEX(PASTE_ALL,$DF826,$L$18)," "," "),CHAR(9)," "),CHAR(10)," "),CHAR(13)," ")))="PM","PM",IF(OR(UPPER(TRIM(SUBSTITUTE(SUBSTITUTE(SUBSTITUTE(SUBSTITUTE(INDEX(PASTE_ALL,$DF826,$L$18)," "," "),CHAR(9)," "),CHAR(10)," "),CHAR(13)," ")))="OT",UPPER(TRIM(SUBSTITUTE(SUBSTITUTE(SUBSTITUTE(SUBSTITUTE(INDEX(PASTE_ALL,$DF826,$L$18)," "," "),CHAR(9)," "),CHAR(10)," "),CHAR(13)," ")))="OVERTIME",UPPER(TRIM(SUBSTITUTE(SUBSTITUTE(SUBSTITUTE(SUBSTITUTE(INDEX(PASTE_ALL,$DF826,$L$18)," "," "),CHAR(9)," "),CHAR(10)," "),CHAR(13)," ")))="TRIAL"),"OT",TRIM(SUBSTITUTE(SUBSTITUTE(SUBSTITUTE(SUBSTITUTE(INDEX(PASTE_ALL,$DF826,$L$18)," "," "),CHAR(9)," "),CHAR(10)," "),CHAR(13)," "))))),"")))</f>
        <v/>
      </c>
      <c r="EC826">
        <f>IF($DM826=0,"",IF($L$19=0,"",IFERROR(IF(ISNUMBER(INDEX(PASTE_ALL,$DF826,$L$19)),INDEX(PASTE_ALL,$DF826,$L$19),TRIM(SUBSTITUTE(SUBSTITUTE(SUBSTITUTE(SUBSTITUTE(INDEX(PASTE_ALL,$DF826,$L$19)," "," "),CHAR(9)," "),CHAR(10)," "),CHAR(13)," "))),"")))</f>
        <v/>
      </c>
      <c r="ED826">
        <f>IF($DM826=0,"",MATCH(1,INDEX(EXACT($DH$5:DH826,$DH826)*$DM$5:DM826,0),0))</f>
        <v/>
      </c>
      <c r="EE826">
        <f>IF($DM826=0,0,IF($ED826=$DE826,1,0))</f>
        <v/>
      </c>
      <c r="EF826">
        <f>EF825+$EE826</f>
        <v/>
      </c>
      <c r="EG826">
        <f>IF($DM826=0,"",INDEX($EF$5:$EF$1003,$ED826))</f>
        <v/>
      </c>
      <c r="EH826">
        <f>IF($DM826=0,"",IF($DO826&lt;&gt;"","",IFERROR(LOOKUP(2,1/(($EG$4:EG825=$EG826)*($DO$4:DO825&lt;&gt;"")),$DO$4:DO825),"")))</f>
        <v/>
      </c>
      <c r="EI826">
        <f>IF($DM826=0,"",IF($DO826&lt;&gt;"",$DO826,$EH826))</f>
        <v/>
      </c>
      <c r="EJ826">
        <f>IF($DM826=0,"",IF($EI826="",0,IF(OR(ISNUMBER($EI826),AND(AND(SUBSTITUTE(SUBSTITUTE(SUBSTITUTE(SUBSTITUTE(SUBSTITUTE(SUBSTITUTE(SUBSTITUTE(SUBSTITUTE(SUBSTITUTE(SUBSTITUTE(SUBSTITUTE(SUBSTITUTE(SUBSTITUTE(SUBSTITUTE(UPPER($EI826),"0",""),"1",""),"2",""),"3",""),"4",""),"5",""),"6",""),"7",""),"8",""),"9",""),".",""),"+",""),"-",""),"E","")="",LEN(SUBSTITUTE(SUBSTITUTE(MID(UPPER($EI826),1+OR(LEFT(UPPER($EI826),1)="+",LEFT(UPPER($EI826),1)="-"),999),"E+","E"),"E-","E"))=LEN(SUBSTITUTE(SUBSTITUTE(SUBSTITUTE(SUBSTITUTE(MID(UPPER($EI826),1+OR(LEFT(UPPER($EI826),1)="+",LEFT(UPPER($EI826),1)="-"),999),"E+","E"),"E-","E"),"+",""),"-","")),LEN(UPPER($EI826))-LEN(SUBSTITUTE(UPPER($EI826),"E",""))&lt;2,LEN(UPPER($EI826))-LEN(SUBSTITUTE(UPPER($EI826),".",""))&lt;2,IFERROR(FIND(".",UPPER($EI826)),0)&lt;IFERROR(FIND("E",UPPER($EI826)),999)),ISNUMBER(VALUE($EI826)))),1,2)))</f>
        <v/>
      </c>
      <c r="EK826">
        <f>IF($DM826=0,"",IF($EJ826=1,IF(ISNUMBER($EI826),$EI826,VALUE($EI826)),IF($EJ826=2,$DE826,0)))</f>
        <v/>
      </c>
      <c r="EL826">
        <f>IF($DM826=0,"",COUNTIF($EG$5:$EG$1003,"&lt;"&amp;$EG826)+SUMPRODUCT(($EG$5:$EG$1003=$EG826)*(($EJ$5:$EJ$1003&lt;$EJ826)+($EJ$5:$EJ$1003=$EJ826)*(($EK$5:$EK$1003&lt;$EK826)+($EK$5:$EK$1003=$EK826)*($DE$5:$DE$1003&lt;$DE826))))+1)</f>
        <v/>
      </c>
      <c r="EM826">
        <f>IF($DM826=0,"",$EL826+$EG826-1)</f>
        <v/>
      </c>
      <c r="EN826">
        <f>IF($DM826=0,0,IFERROR(MATCH(1,INDEX(--(TRIM(SUBSTITUTE(SUBSTITUTE(SUBSTITUTE(SUBSTITUTE(LINES_NAME&amp;""," "," "),CHAR(9)," "),CHAR(10)," "),CHAR(13)," "))=$DH826),0),0),0))</f>
        <v/>
      </c>
      <c r="EO826">
        <f>IF($EN826=0,0,IF(OR(UPPER(TRIM(INDEX(LINES_SCHEDULED,$EN826)&amp;""))="YES",UPPER(TRIM(INDEX(LINES_SCHEDULED,$EN826)&amp;""))="Y",UPPER(TRIM(INDEX(LINES_SCHEDULED,$EN826)&amp;""))="X"),1,0))</f>
        <v/>
      </c>
      <c r="EP826">
        <f>IF($DM826=0,"",IF(COUNTIFS($EG$5:$EG$1003,$EG826,$EB$5:$EB$1003,"Ready")&gt;0,"READY",IF(COUNTIFS($EG$5:$EG$1003,$EG826,$EB$5:$EB$1003,"PM")&gt;0,"PM",IF(COUNTIFS($EG$5:$EG$1003,$EG826,$EB$5:$EB$1003,"OT")&gt;0,"OT",""))))</f>
        <v/>
      </c>
      <c r="EQ826">
        <f>IF($EN826=0,"",UPPER(TRIM(INDEX(LINES_STATUS,$EN826)&amp;"")))</f>
        <v/>
      </c>
      <c r="ER826">
        <f>IF($DM826=0,"",IF(OR($EQ826="READY",$EQ826="PM",$EQ826="OT"),$EQ826,$EP826))</f>
        <v/>
      </c>
      <c r="ES826">
        <f>IF($DM826=0,"",IF(AND($DV826&lt;&gt;"",UPPER($DV826)&lt;&gt;"N"),"allergen",IF(ISNUMBER(SEARCH("oil",$DQ826)),"oil",IF(OR(EXACT($DS826,"A662"),EXACT($DS826,"A624")),"bulk",""))))</f>
        <v/>
      </c>
      <c r="ET826">
        <f>IF($DM826=0,"",IF(OR($EA826="",$EA826=0),"",$EA826/100))</f>
        <v/>
      </c>
      <c r="EU826">
        <f>IF(OR($ET826="",$DY826=""),"",INT($DY826*(1-$ET826)+0.5))</f>
        <v/>
      </c>
    </row>
    <row r="827">
      <c r="DA827" t="n">
        <v>823</v>
      </c>
      <c r="DB827">
        <f>IF($B$37=0,"",IFERROR(TRIM(SUBSTITUTE(SUBSTITUTE(SUBSTITUTE(SUBSTITUTE(INDEX(PASTE_ALL,823,$B$37)," "," "),CHAR(9)," "),CHAR(10)," "),CHAR(13)," ")),""))</f>
        <v/>
      </c>
      <c r="DC827">
        <f>IF(AND(823&gt;HEADER_ROW,UPPER(DB827)="LEGEND"),1,0)</f>
        <v/>
      </c>
      <c r="DE827" t="n">
        <v>823</v>
      </c>
      <c r="DF827">
        <f>HEADER_ROW+$DE827</f>
        <v/>
      </c>
      <c r="DG827">
        <f>IF(AND($DF827&lt;=1000,$DF827&lt;$B$8),1,0)</f>
        <v/>
      </c>
      <c r="DH827">
        <f>IF($DG827=1,IFERROR(INDEX($DB$5:$DB$1004,$DF827),""),"")</f>
        <v/>
      </c>
      <c r="DI827">
        <f>IF(AND($DG827=1,$DH827&lt;&gt;""),IFERROR(SUBSTITUTE(SUBSTITUTE(TRIM(SUBSTITUTE(SUBSTITUTE(SUBSTITUTE(SUBSTITUTE(IFERROR(INDEX(PASTE_ALL,$DF827,1)&amp;"","")&amp;"␟"&amp;IFERROR(INDEX(PASTE_ALL,$DF827,2)&amp;"","")&amp;"␟"&amp;IFERROR(INDEX(PASTE_ALL,$DF827,3)&amp;"","")&amp;"␟"&amp;IFERROR(INDEX(PASTE_ALL,$DF827,4)&amp;"","")&amp;"␟"&amp;IFERROR(INDEX(PASTE_ALL,$DF827,5)&amp;"","")&amp;"␟"&amp;IFERROR(INDEX(PASTE_ALL,$DF827,6)&amp;"","")&amp;"␟"&amp;IFERROR(INDEX(PASTE_ALL,$DF827,7)&amp;"","")&amp;"␟"&amp;IFERROR(INDEX(PASTE_ALL,$DF827,8)&amp;"","")&amp;"␟"&amp;IFERROR(INDEX(PASTE_ALL,$DF827,9)&amp;"","")&amp;"␟"&amp;IFERROR(INDEX(PASTE_ALL,$DF827,10)&amp;"","")&amp;"␟"&amp;IFERROR(INDEX(PASTE_ALL,$DF827,11)&amp;"","")&amp;"␟"&amp;IFERROR(INDEX(PASTE_ALL,$DF827,12)&amp;"","")&amp;"␟"&amp;IFERROR(INDEX(PASTE_ALL,$DF827,13)&amp;"","")&amp;"␟"&amp;IFERROR(INDEX(PASTE_ALL,$DF827,14)&amp;"","")&amp;"␟"&amp;IFERROR(INDEX(PASTE_ALL,$DF827,15)&amp;"","")&amp;"␟"&amp;IFERROR(INDEX(PASTE_ALL,$DF827,16)&amp;"","")&amp;"␟"&amp;IFERROR(INDEX(PASTE_ALL,$DF827,17)&amp;"","")&amp;"␟"&amp;IFERROR(INDEX(PASTE_ALL,$DF827,18)&amp;"","")&amp;"␟"&amp;IFERROR(INDEX(PASTE_ALL,$DF827,19)&amp;"","")&amp;"␟"&amp;IFERROR(INDEX(PASTE_ALL,$DF827,20)&amp;"","")&amp;"␟"&amp;IFERROR(INDEX(PASTE_ALL,$DF827,21)&amp;"","")&amp;"␟"&amp;IFERROR(INDEX(PASTE_ALL,$DF827,22)&amp;"","")&amp;"␟"&amp;IFERROR(INDEX(PASTE_ALL,$DF827,23)&amp;"","")&amp;"␟"&amp;IFERROR(INDEX(PASTE_ALL,$DF827,24)&amp;"","")&amp;"␟"&amp;IFERROR(INDEX(PASTE_ALL,$DF827,25)&amp;"","")&amp;"␟"&amp;IFERROR(INDEX(PASTE_ALL,$DF827,26)&amp;"","")&amp;"␟"&amp;IFERROR(INDEX(PASTE_ALL,$DF827,27)&amp;"","")&amp;"␟"&amp;IFERROR(INDEX(PASTE_ALL,$DF827,28)&amp;"","")&amp;"␟"&amp;IFERROR(INDEX(PASTE_ALL,$DF827,29)&amp;"","")&amp;"␟"&amp;IFERROR(INDEX(PASTE_ALL,$DF827,30)&amp;"","")&amp;"␟"&amp;IFERROR(INDEX(PASTE_ALL,$DF827,31)&amp;"","")&amp;"␟"&amp;IFERROR(INDEX(PASTE_ALL,$DF827,32)&amp;"","")&amp;"␟"&amp;IFERROR(INDEX(PASTE_ALL,$DF827,33)&amp;"","")&amp;"␟"&amp;IFERROR(INDEX(PASTE_ALL,$DF827,34)&amp;"","")&amp;"␟"&amp;IFERROR(INDEX(PASTE_ALL,$DF827,35)&amp;"","")&amp;"␟"&amp;IFERROR(INDEX(PASTE_ALL,$DF827,36)&amp;"","")&amp;"␟"&amp;IFERROR(INDEX(PASTE_ALL,$DF827,37)&amp;"","")&amp;"␟"&amp;IFERROR(INDEX(PASTE_ALL,$DF827,38)&amp;"","")&amp;"␟"&amp;IFERROR(INDEX(PASTE_ALL,$DF827,39)&amp;"","")&amp;"␟"&amp;IFERROR(INDEX(PASTE_ALL,$DF827,40)&amp;"","")&amp;"␟"&amp;IFERROR(INDEX(PASTE_ALL,$DF827,41)&amp;"","")&amp;"␟"&amp;IFERROR(INDEX(PASTE_ALL,$DF827,42)&amp;"","")&amp;"␟"&amp;IFERROR(INDEX(PASTE_ALL,$DF827,43)&amp;"","")&amp;"␟"&amp;IFERROR(INDEX(PASTE_ALL,$DF827,44)&amp;"","")&amp;"␟"&amp;IFERROR(INDEX(PASTE_ALL,$DF827,45)&amp;"","")&amp;"␟"&amp;IFERROR(INDEX(PASTE_ALL,$DF827,46)&amp;"","")&amp;"␟"&amp;IFERROR(INDEX(PASTE_ALL,$DF827,47)&amp;"","")&amp;"␟"&amp;IFERROR(INDEX(PASTE_ALL,$DF827,48)&amp;"","")&amp;"␟"&amp;IFERROR(INDEX(PASTE_ALL,$DF827,49)&amp;"","")&amp;"␟"&amp;IFERROR(INDEX(PASTE_ALL,$DF827,50)&amp;"","")&amp;"␟"&amp;IFERROR(INDEX(PASTE_ALL,$DF827,51)&amp;"","")&amp;"␟"&amp;IFERROR(INDEX(PASTE_ALL,$DF827,52)&amp;"","")&amp;"␟"&amp;IFERROR(INDEX(PASTE_ALL,$DF827,53)&amp;"","")&amp;"␟"&amp;IFERROR(INDEX(PASTE_ALL,$DF827,54)&amp;"","")&amp;"␟"&amp;IFERROR(INDEX(PASTE_ALL,$DF827,55)&amp;"","")&amp;"␟"&amp;IFERROR(INDEX(PASTE_ALL,$DF827,56)&amp;"","")&amp;"␟"&amp;IFERROR(INDEX(PASTE_ALL,$DF827,57)&amp;"","")&amp;"␟"&amp;IFERROR(INDEX(PASTE_ALL,$DF827,58)&amp;"","")&amp;"␟"&amp;IFERROR(INDEX(PASTE_ALL,$DF827,59)&amp;"","")&amp;"␟"&amp;IFERROR(INDEX(PASTE_ALL,$DF827,60)&amp;"","")," "," "),CHAR(9)," "),CHAR(10)," "),CHAR(13)," "))," ␟","␟"),"␟ ","␟"),"#"&amp;$DE827),"")</f>
        <v/>
      </c>
      <c r="DJ827">
        <f>IF($DI827="",0,IF(SUMPRODUCT(--EXACT($DI$4:DI826,$DI827))&gt;0,1,0))</f>
        <v/>
      </c>
      <c r="DK827">
        <f>IF(AND($DI827&lt;&gt;"",$DJ827=0),1,0)</f>
        <v/>
      </c>
      <c r="DL827">
        <f>DL826+$DK827</f>
        <v/>
      </c>
      <c r="DM827">
        <f>IF(AND($DK827=1,$DL827&lt;=600),1,0)</f>
        <v/>
      </c>
      <c r="DN827">
        <f>IF($DM827=0,"",IF($L$6=0,"",IFERROR(IF(ISNUMBER(INDEX(PASTE_ALL,$DF827,$L$6)),INDEX(PASTE_ALL,$DF827,$L$6),TRIM(SUBSTITUTE(SUBSTITUTE(SUBSTITUTE(SUBSTITUTE(INDEX(PASTE_ALL,$DF827,$L$6)," "," "),CHAR(9)," "),CHAR(10)," "),CHAR(13)," "))),"")))</f>
        <v/>
      </c>
      <c r="DO827">
        <f>IF($DM827=0,"",IF($L$7=0,"",IFERROR(IF(ISNUMBER(INDEX(PASTE_ALL,$DF827,$L$7)),INDEX(PASTE_ALL,$DF827,$L$7),TRIM(SUBSTITUTE(SUBSTITUTE(SUBSTITUTE(SUBSTITUTE(INDEX(PASTE_ALL,$DF827,$L$7)," "," "),CHAR(9)," "),CHAR(10)," "),CHAR(13)," "))),"")))</f>
        <v/>
      </c>
      <c r="DP827">
        <f>IF($DM827=0,"",IF($L$8=0,"",IFERROR(IF(ISNUMBER(INDEX(PASTE_ALL,$DF827,$L$8)),INDEX(PASTE_ALL,$DF827,$L$8),TRIM(SUBSTITUTE(SUBSTITUTE(SUBSTITUTE(SUBSTITUTE(INDEX(PASTE_ALL,$DF827,$L$8)," "," "),CHAR(9)," "),CHAR(10)," "),CHAR(13)," "))),"")))</f>
        <v/>
      </c>
      <c r="DQ827">
        <f>IF($DM827=0,"",IF($L$9=0,"",IFERROR(IF(ISNUMBER(INDEX(PASTE_ALL,$DF827,$L$9)),INDEX(PASTE_ALL,$DF827,$L$9),TRIM(SUBSTITUTE(SUBSTITUTE(SUBSTITUTE(SUBSTITUTE(INDEX(PASTE_ALL,$DF827,$L$9)," "," "),CHAR(9)," "),CHAR(10)," "),CHAR(13)," "))),"")))</f>
        <v/>
      </c>
      <c r="DR827">
        <f>IF($DM827=0,"",IF($L$10=0,"",IFERROR(IF(ISNUMBER(INDEX(PASTE_ALL,$DF827,$L$10)),INDEX(PASTE_ALL,$DF827,$L$10),TRIM(SUBSTITUTE(SUBSTITUTE(SUBSTITUTE(SUBSTITUTE(INDEX(PASTE_ALL,$DF827,$L$10)," "," "),CHAR(9)," "),CHAR(10)," "),CHAR(13)," "))),"")))</f>
        <v/>
      </c>
      <c r="DS827">
        <f>IF($DM827=0,"",IF($L$11=0,"",IFERROR(IF(ISNUMBER(INDEX(PASTE_ALL,$DF827,$L$11)),INDEX(PASTE_ALL,$DF827,$L$11),TRIM(SUBSTITUTE(SUBSTITUTE(SUBSTITUTE(SUBSTITUTE(INDEX(PASTE_ALL,$DF827,$L$11)," "," "),CHAR(9)," "),CHAR(10)," "),CHAR(13)," "))),"")))</f>
        <v/>
      </c>
      <c r="DT827">
        <f>IF($DM827=0,"",IF($L$12=0,"",IFERROR(IF(ISNUMBER(INDEX(PASTE_ALL,$DF827,$L$12)),INDEX(PASTE_ALL,$DF827,$L$12),TRIM(SUBSTITUTE(SUBSTITUTE(SUBSTITUTE(SUBSTITUTE(INDEX(PASTE_ALL,$DF827,$L$12)," "," "),CHAR(9)," "),CHAR(10)," "),CHAR(13)," "))),"")))</f>
        <v/>
      </c>
      <c r="DU827">
        <f>IF($DM827=0,"",IF($L$13=0,"",IFERROR(IF(ISNUMBER(INDEX(PASTE_ALL,$DF827,$L$13)),INDEX(PASTE_ALL,$DF827,$L$13),TRIM(SUBSTITUTE(SUBSTITUTE(SUBSTITUTE(SUBSTITUTE(INDEX(PASTE_ALL,$DF827,$L$13)," "," "),CHAR(9)," "),CHAR(10)," "),CHAR(13)," "))),"")))</f>
        <v/>
      </c>
      <c r="DV827">
        <f>IF($DM827=0,"",IF($L$14=0,"",IFERROR(IF(ISNUMBER(INDEX(PASTE_ALL,$DF827,$L$14)),INDEX(PASTE_ALL,$DF827,$L$14),TRIM(SUBSTITUTE(SUBSTITUTE(SUBSTITUTE(SUBSTITUTE(INDEX(PASTE_ALL,$DF827,$L$14)," "," "),CHAR(9)," "),CHAR(10)," "),CHAR(13)," "))),"")))</f>
        <v/>
      </c>
      <c r="DW827">
        <f>IF($DM827=0,"",IF($L$15=0,"",IFERROR(IF(ISNUMBER(INDEX(PASTE_ALL,$DF827,$L$15)),INDEX(PASTE_ALL,$DF827,$L$15),IF(SUMPRODUCT(--ISNUMBER(FIND({"A","B","C","D","E","F","G","H","I","J","K","L","M","N","O","P","Q","R","S","T","U","V","W","X","Y","Z","0","1","2","3","4","5","6","7","8","9"},UPPER(TRIM(SUBSTITUTE(SUBSTITUTE(SUBSTITUTE(SUBSTITUTE(INDEX(PASTE_ALL,$DF827,$L$15)," "," "),CHAR(9)," "),CHAR(10)," "),CHAR(13)," "))))))&gt;0,TRIM(SUBSTITUTE(SUBSTITUTE(SUBSTITUTE(SUBSTITUTE(INDEX(PASTE_ALL,$DF827,$L$15)," "," "),CHAR(9)," "),CHAR(10)," "),CHAR(13)," ")),"")),"")))</f>
        <v/>
      </c>
      <c r="DX827">
        <f>IF($DM827=0,"",IF($L$16=0,"",IFERROR(IF(ISNUMBER(INDEX(PASTE_ALL,$DF827,$L$16)),INDEX(PASTE_ALL,$DF827,$L$16),SUBSTITUTE(SUBSTITUTE(TRIM(SUBSTITUTE(SUBSTITUTE(SUBSTITUTE(SUBSTITUTE(INDEX(PASTE_ALL,$DF827,$L$16)," "," "),CHAR(9)," "),CHAR(10)," "),CHAR(13)," ")),",",""),"%","")),"")))</f>
        <v/>
      </c>
      <c r="DY827">
        <f>IF($DM827=0,"",IFERROR(IF(ISNUMBER($DX827),$DX827,IF($DX827="","",IF(TRIM($DX827)="",0,IF(AND(AND(SUBSTITUTE(SUBSTITUTE(SUBSTITUTE(SUBSTITUTE(SUBSTITUTE(SUBSTITUTE(SUBSTITUTE(SUBSTITUTE(SUBSTITUTE(SUBSTITUTE(SUBSTITUTE(SUBSTITUTE(SUBSTITUTE(SUBSTITUTE(UPPER(TRIM($DX827)),"0",""),"1",""),"2",""),"3",""),"4",""),"5",""),"6",""),"7",""),"8",""),"9",""),".",""),"+",""),"-",""),"E","")="",LEN(SUBSTITUTE(SUBSTITUTE(MID(UPPER(TRIM($DX827)),1+OR(LEFT(UPPER(TRIM($DX827)),1)="+",LEFT(UPPER(TRIM($DX827)),1)="-"),999),"E+","E"),"E-","E"))=LEN(SUBSTITUTE(SUBSTITUTE(SUBSTITUTE(SUBSTITUTE(MID(UPPER(TRIM($DX827)),1+OR(LEFT(UPPER(TRIM($DX827)),1)="+",LEFT(UPPER(TRIM($DX827)),1)="-"),999),"E+","E"),"E-","E"),"+",""),"-","")),LEN(UPPER(TRIM($DX827)))-LEN(SUBSTITUTE(UPPER(TRIM($DX827)),"E",""))&lt;2,LEN(UPPER(TRIM($DX827)))-LEN(SUBSTITUTE(UPPER(TRIM($DX827)),".",""))&lt;2,IFERROR(FIND(".",UPPER(TRIM($DX827))),0)&lt;IFERROR(FIND("E",UPPER(TRIM($DX827))),999)),ISNUMBER(VALUE(TRIM($DX827)))),VALUE(TRIM($DX827)),"")))),""))</f>
        <v/>
      </c>
      <c r="DZ827">
        <f>IF($DM827=0,"",IF($L$17=0,"",IFERROR(IF(ISNUMBER(INDEX(PASTE_ALL,$DF827,$L$17)),INDEX(PASTE_ALL,$DF827,$L$17),SUBSTITUTE(SUBSTITUTE(TRIM(SUBSTITUTE(SUBSTITUTE(SUBSTITUTE(SUBSTITUTE(INDEX(PASTE_ALL,$DF827,$L$17)," "," "),CHAR(9)," "),CHAR(10)," "),CHAR(13)," ")),",",""),"%","")),"")))</f>
        <v/>
      </c>
      <c r="EA827">
        <f>IF($DM827=0,"",IFERROR(IF(ISNUMBER($DZ827),$DZ827,IF($DZ827="","",IF(TRIM($DZ827)="",0,IF(AND(AND(SUBSTITUTE(SUBSTITUTE(SUBSTITUTE(SUBSTITUTE(SUBSTITUTE(SUBSTITUTE(SUBSTITUTE(SUBSTITUTE(SUBSTITUTE(SUBSTITUTE(SUBSTITUTE(SUBSTITUTE(SUBSTITUTE(SUBSTITUTE(UPPER(TRIM($DZ827)),"0",""),"1",""),"2",""),"3",""),"4",""),"5",""),"6",""),"7",""),"8",""),"9",""),".",""),"+",""),"-",""),"E","")="",LEN(SUBSTITUTE(SUBSTITUTE(MID(UPPER(TRIM($DZ827)),1+OR(LEFT(UPPER(TRIM($DZ827)),1)="+",LEFT(UPPER(TRIM($DZ827)),1)="-"),999),"E+","E"),"E-","E"))=LEN(SUBSTITUTE(SUBSTITUTE(SUBSTITUTE(SUBSTITUTE(MID(UPPER(TRIM($DZ827)),1+OR(LEFT(UPPER(TRIM($DZ827)),1)="+",LEFT(UPPER(TRIM($DZ827)),1)="-"),999),"E+","E"),"E-","E"),"+",""),"-","")),LEN(UPPER(TRIM($DZ827)))-LEN(SUBSTITUTE(UPPER(TRIM($DZ827)),"E",""))&lt;2,LEN(UPPER(TRIM($DZ827)))-LEN(SUBSTITUTE(UPPER(TRIM($DZ827)),".",""))&lt;2,IFERROR(FIND(".",UPPER(TRIM($DZ827))),0)&lt;IFERROR(FIND("E",UPPER(TRIM($DZ827))),999)),ISNUMBER(VALUE(TRIM($DZ827)))),VALUE(TRIM($DZ827)),"")))),""))</f>
        <v/>
      </c>
      <c r="EB827">
        <f>IF($DM827=0,"",IF($L$18=0,"",IFERROR(IF(UPPER(TRIM(SUBSTITUTE(SUBSTITUTE(SUBSTITUTE(SUBSTITUTE(INDEX(PASTE_ALL,$DF827,$L$18)," "," "),CHAR(9)," "),CHAR(10)," "),CHAR(13)," ")))="READY","Ready",IF(UPPER(TRIM(SUBSTITUTE(SUBSTITUTE(SUBSTITUTE(SUBSTITUTE(INDEX(PASTE_ALL,$DF827,$L$18)," "," "),CHAR(9)," "),CHAR(10)," "),CHAR(13)," ")))="PM","PM",IF(OR(UPPER(TRIM(SUBSTITUTE(SUBSTITUTE(SUBSTITUTE(SUBSTITUTE(INDEX(PASTE_ALL,$DF827,$L$18)," "," "),CHAR(9)," "),CHAR(10)," "),CHAR(13)," ")))="OT",UPPER(TRIM(SUBSTITUTE(SUBSTITUTE(SUBSTITUTE(SUBSTITUTE(INDEX(PASTE_ALL,$DF827,$L$18)," "," "),CHAR(9)," "),CHAR(10)," "),CHAR(13)," ")))="OVERTIME",UPPER(TRIM(SUBSTITUTE(SUBSTITUTE(SUBSTITUTE(SUBSTITUTE(INDEX(PASTE_ALL,$DF827,$L$18)," "," "),CHAR(9)," "),CHAR(10)," "),CHAR(13)," ")))="TRIAL"),"OT",TRIM(SUBSTITUTE(SUBSTITUTE(SUBSTITUTE(SUBSTITUTE(INDEX(PASTE_ALL,$DF827,$L$18)," "," "),CHAR(9)," "),CHAR(10)," "),CHAR(13)," "))))),"")))</f>
        <v/>
      </c>
      <c r="EC827">
        <f>IF($DM827=0,"",IF($L$19=0,"",IFERROR(IF(ISNUMBER(INDEX(PASTE_ALL,$DF827,$L$19)),INDEX(PASTE_ALL,$DF827,$L$19),TRIM(SUBSTITUTE(SUBSTITUTE(SUBSTITUTE(SUBSTITUTE(INDEX(PASTE_ALL,$DF827,$L$19)," "," "),CHAR(9)," "),CHAR(10)," "),CHAR(13)," "))),"")))</f>
        <v/>
      </c>
      <c r="ED827">
        <f>IF($DM827=0,"",MATCH(1,INDEX(EXACT($DH$5:DH827,$DH827)*$DM$5:DM827,0),0))</f>
        <v/>
      </c>
      <c r="EE827">
        <f>IF($DM827=0,0,IF($ED827=$DE827,1,0))</f>
        <v/>
      </c>
      <c r="EF827">
        <f>EF826+$EE827</f>
        <v/>
      </c>
      <c r="EG827">
        <f>IF($DM827=0,"",INDEX($EF$5:$EF$1003,$ED827))</f>
        <v/>
      </c>
      <c r="EH827">
        <f>IF($DM827=0,"",IF($DO827&lt;&gt;"","",IFERROR(LOOKUP(2,1/(($EG$4:EG826=$EG827)*($DO$4:DO826&lt;&gt;"")),$DO$4:DO826),"")))</f>
        <v/>
      </c>
      <c r="EI827">
        <f>IF($DM827=0,"",IF($DO827&lt;&gt;"",$DO827,$EH827))</f>
        <v/>
      </c>
      <c r="EJ827">
        <f>IF($DM827=0,"",IF($EI827="",0,IF(OR(ISNUMBER($EI827),AND(AND(SUBSTITUTE(SUBSTITUTE(SUBSTITUTE(SUBSTITUTE(SUBSTITUTE(SUBSTITUTE(SUBSTITUTE(SUBSTITUTE(SUBSTITUTE(SUBSTITUTE(SUBSTITUTE(SUBSTITUTE(SUBSTITUTE(SUBSTITUTE(UPPER($EI827),"0",""),"1",""),"2",""),"3",""),"4",""),"5",""),"6",""),"7",""),"8",""),"9",""),".",""),"+",""),"-",""),"E","")="",LEN(SUBSTITUTE(SUBSTITUTE(MID(UPPER($EI827),1+OR(LEFT(UPPER($EI827),1)="+",LEFT(UPPER($EI827),1)="-"),999),"E+","E"),"E-","E"))=LEN(SUBSTITUTE(SUBSTITUTE(SUBSTITUTE(SUBSTITUTE(MID(UPPER($EI827),1+OR(LEFT(UPPER($EI827),1)="+",LEFT(UPPER($EI827),1)="-"),999),"E+","E"),"E-","E"),"+",""),"-","")),LEN(UPPER($EI827))-LEN(SUBSTITUTE(UPPER($EI827),"E",""))&lt;2,LEN(UPPER($EI827))-LEN(SUBSTITUTE(UPPER($EI827),".",""))&lt;2,IFERROR(FIND(".",UPPER($EI827)),0)&lt;IFERROR(FIND("E",UPPER($EI827)),999)),ISNUMBER(VALUE($EI827)))),1,2)))</f>
        <v/>
      </c>
      <c r="EK827">
        <f>IF($DM827=0,"",IF($EJ827=1,IF(ISNUMBER($EI827),$EI827,VALUE($EI827)),IF($EJ827=2,$DE827,0)))</f>
        <v/>
      </c>
      <c r="EL827">
        <f>IF($DM827=0,"",COUNTIF($EG$5:$EG$1003,"&lt;"&amp;$EG827)+SUMPRODUCT(($EG$5:$EG$1003=$EG827)*(($EJ$5:$EJ$1003&lt;$EJ827)+($EJ$5:$EJ$1003=$EJ827)*(($EK$5:$EK$1003&lt;$EK827)+($EK$5:$EK$1003=$EK827)*($DE$5:$DE$1003&lt;$DE827))))+1)</f>
        <v/>
      </c>
      <c r="EM827">
        <f>IF($DM827=0,"",$EL827+$EG827-1)</f>
        <v/>
      </c>
      <c r="EN827">
        <f>IF($DM827=0,0,IFERROR(MATCH(1,INDEX(--(TRIM(SUBSTITUTE(SUBSTITUTE(SUBSTITUTE(SUBSTITUTE(LINES_NAME&amp;""," "," "),CHAR(9)," "),CHAR(10)," "),CHAR(13)," "))=$DH827),0),0),0))</f>
        <v/>
      </c>
      <c r="EO827">
        <f>IF($EN827=0,0,IF(OR(UPPER(TRIM(INDEX(LINES_SCHEDULED,$EN827)&amp;""))="YES",UPPER(TRIM(INDEX(LINES_SCHEDULED,$EN827)&amp;""))="Y",UPPER(TRIM(INDEX(LINES_SCHEDULED,$EN827)&amp;""))="X"),1,0))</f>
        <v/>
      </c>
      <c r="EP827">
        <f>IF($DM827=0,"",IF(COUNTIFS($EG$5:$EG$1003,$EG827,$EB$5:$EB$1003,"Ready")&gt;0,"READY",IF(COUNTIFS($EG$5:$EG$1003,$EG827,$EB$5:$EB$1003,"PM")&gt;0,"PM",IF(COUNTIFS($EG$5:$EG$1003,$EG827,$EB$5:$EB$1003,"OT")&gt;0,"OT",""))))</f>
        <v/>
      </c>
      <c r="EQ827">
        <f>IF($EN827=0,"",UPPER(TRIM(INDEX(LINES_STATUS,$EN827)&amp;"")))</f>
        <v/>
      </c>
      <c r="ER827">
        <f>IF($DM827=0,"",IF(OR($EQ827="READY",$EQ827="PM",$EQ827="OT"),$EQ827,$EP827))</f>
        <v/>
      </c>
      <c r="ES827">
        <f>IF($DM827=0,"",IF(AND($DV827&lt;&gt;"",UPPER($DV827)&lt;&gt;"N"),"allergen",IF(ISNUMBER(SEARCH("oil",$DQ827)),"oil",IF(OR(EXACT($DS827,"A662"),EXACT($DS827,"A624")),"bulk",""))))</f>
        <v/>
      </c>
      <c r="ET827">
        <f>IF($DM827=0,"",IF(OR($EA827="",$EA827=0),"",$EA827/100))</f>
        <v/>
      </c>
      <c r="EU827">
        <f>IF(OR($ET827="",$DY827=""),"",INT($DY827*(1-$ET827)+0.5))</f>
        <v/>
      </c>
    </row>
    <row r="828">
      <c r="DA828" t="n">
        <v>824</v>
      </c>
      <c r="DB828">
        <f>IF($B$37=0,"",IFERROR(TRIM(SUBSTITUTE(SUBSTITUTE(SUBSTITUTE(SUBSTITUTE(INDEX(PASTE_ALL,824,$B$37)," "," "),CHAR(9)," "),CHAR(10)," "),CHAR(13)," ")),""))</f>
        <v/>
      </c>
      <c r="DC828">
        <f>IF(AND(824&gt;HEADER_ROW,UPPER(DB828)="LEGEND"),1,0)</f>
        <v/>
      </c>
      <c r="DE828" t="n">
        <v>824</v>
      </c>
      <c r="DF828">
        <f>HEADER_ROW+$DE828</f>
        <v/>
      </c>
      <c r="DG828">
        <f>IF(AND($DF828&lt;=1000,$DF828&lt;$B$8),1,0)</f>
        <v/>
      </c>
      <c r="DH828">
        <f>IF($DG828=1,IFERROR(INDEX($DB$5:$DB$1004,$DF828),""),"")</f>
        <v/>
      </c>
      <c r="DI828">
        <f>IF(AND($DG828=1,$DH828&lt;&gt;""),IFERROR(SUBSTITUTE(SUBSTITUTE(TRIM(SUBSTITUTE(SUBSTITUTE(SUBSTITUTE(SUBSTITUTE(IFERROR(INDEX(PASTE_ALL,$DF828,1)&amp;"","")&amp;"␟"&amp;IFERROR(INDEX(PASTE_ALL,$DF828,2)&amp;"","")&amp;"␟"&amp;IFERROR(INDEX(PASTE_ALL,$DF828,3)&amp;"","")&amp;"␟"&amp;IFERROR(INDEX(PASTE_ALL,$DF828,4)&amp;"","")&amp;"␟"&amp;IFERROR(INDEX(PASTE_ALL,$DF828,5)&amp;"","")&amp;"␟"&amp;IFERROR(INDEX(PASTE_ALL,$DF828,6)&amp;"","")&amp;"␟"&amp;IFERROR(INDEX(PASTE_ALL,$DF828,7)&amp;"","")&amp;"␟"&amp;IFERROR(INDEX(PASTE_ALL,$DF828,8)&amp;"","")&amp;"␟"&amp;IFERROR(INDEX(PASTE_ALL,$DF828,9)&amp;"","")&amp;"␟"&amp;IFERROR(INDEX(PASTE_ALL,$DF828,10)&amp;"","")&amp;"␟"&amp;IFERROR(INDEX(PASTE_ALL,$DF828,11)&amp;"","")&amp;"␟"&amp;IFERROR(INDEX(PASTE_ALL,$DF828,12)&amp;"","")&amp;"␟"&amp;IFERROR(INDEX(PASTE_ALL,$DF828,13)&amp;"","")&amp;"␟"&amp;IFERROR(INDEX(PASTE_ALL,$DF828,14)&amp;"","")&amp;"␟"&amp;IFERROR(INDEX(PASTE_ALL,$DF828,15)&amp;"","")&amp;"␟"&amp;IFERROR(INDEX(PASTE_ALL,$DF828,16)&amp;"","")&amp;"␟"&amp;IFERROR(INDEX(PASTE_ALL,$DF828,17)&amp;"","")&amp;"␟"&amp;IFERROR(INDEX(PASTE_ALL,$DF828,18)&amp;"","")&amp;"␟"&amp;IFERROR(INDEX(PASTE_ALL,$DF828,19)&amp;"","")&amp;"␟"&amp;IFERROR(INDEX(PASTE_ALL,$DF828,20)&amp;"","")&amp;"␟"&amp;IFERROR(INDEX(PASTE_ALL,$DF828,21)&amp;"","")&amp;"␟"&amp;IFERROR(INDEX(PASTE_ALL,$DF828,22)&amp;"","")&amp;"␟"&amp;IFERROR(INDEX(PASTE_ALL,$DF828,23)&amp;"","")&amp;"␟"&amp;IFERROR(INDEX(PASTE_ALL,$DF828,24)&amp;"","")&amp;"␟"&amp;IFERROR(INDEX(PASTE_ALL,$DF828,25)&amp;"","")&amp;"␟"&amp;IFERROR(INDEX(PASTE_ALL,$DF828,26)&amp;"","")&amp;"␟"&amp;IFERROR(INDEX(PASTE_ALL,$DF828,27)&amp;"","")&amp;"␟"&amp;IFERROR(INDEX(PASTE_ALL,$DF828,28)&amp;"","")&amp;"␟"&amp;IFERROR(INDEX(PASTE_ALL,$DF828,29)&amp;"","")&amp;"␟"&amp;IFERROR(INDEX(PASTE_ALL,$DF828,30)&amp;"","")&amp;"␟"&amp;IFERROR(INDEX(PASTE_ALL,$DF828,31)&amp;"","")&amp;"␟"&amp;IFERROR(INDEX(PASTE_ALL,$DF828,32)&amp;"","")&amp;"␟"&amp;IFERROR(INDEX(PASTE_ALL,$DF828,33)&amp;"","")&amp;"␟"&amp;IFERROR(INDEX(PASTE_ALL,$DF828,34)&amp;"","")&amp;"␟"&amp;IFERROR(INDEX(PASTE_ALL,$DF828,35)&amp;"","")&amp;"␟"&amp;IFERROR(INDEX(PASTE_ALL,$DF828,36)&amp;"","")&amp;"␟"&amp;IFERROR(INDEX(PASTE_ALL,$DF828,37)&amp;"","")&amp;"␟"&amp;IFERROR(INDEX(PASTE_ALL,$DF828,38)&amp;"","")&amp;"␟"&amp;IFERROR(INDEX(PASTE_ALL,$DF828,39)&amp;"","")&amp;"␟"&amp;IFERROR(INDEX(PASTE_ALL,$DF828,40)&amp;"","")&amp;"␟"&amp;IFERROR(INDEX(PASTE_ALL,$DF828,41)&amp;"","")&amp;"␟"&amp;IFERROR(INDEX(PASTE_ALL,$DF828,42)&amp;"","")&amp;"␟"&amp;IFERROR(INDEX(PASTE_ALL,$DF828,43)&amp;"","")&amp;"␟"&amp;IFERROR(INDEX(PASTE_ALL,$DF828,44)&amp;"","")&amp;"␟"&amp;IFERROR(INDEX(PASTE_ALL,$DF828,45)&amp;"","")&amp;"␟"&amp;IFERROR(INDEX(PASTE_ALL,$DF828,46)&amp;"","")&amp;"␟"&amp;IFERROR(INDEX(PASTE_ALL,$DF828,47)&amp;"","")&amp;"␟"&amp;IFERROR(INDEX(PASTE_ALL,$DF828,48)&amp;"","")&amp;"␟"&amp;IFERROR(INDEX(PASTE_ALL,$DF828,49)&amp;"","")&amp;"␟"&amp;IFERROR(INDEX(PASTE_ALL,$DF828,50)&amp;"","")&amp;"␟"&amp;IFERROR(INDEX(PASTE_ALL,$DF828,51)&amp;"","")&amp;"␟"&amp;IFERROR(INDEX(PASTE_ALL,$DF828,52)&amp;"","")&amp;"␟"&amp;IFERROR(INDEX(PASTE_ALL,$DF828,53)&amp;"","")&amp;"␟"&amp;IFERROR(INDEX(PASTE_ALL,$DF828,54)&amp;"","")&amp;"␟"&amp;IFERROR(INDEX(PASTE_ALL,$DF828,55)&amp;"","")&amp;"␟"&amp;IFERROR(INDEX(PASTE_ALL,$DF828,56)&amp;"","")&amp;"␟"&amp;IFERROR(INDEX(PASTE_ALL,$DF828,57)&amp;"","")&amp;"␟"&amp;IFERROR(INDEX(PASTE_ALL,$DF828,58)&amp;"","")&amp;"␟"&amp;IFERROR(INDEX(PASTE_ALL,$DF828,59)&amp;"","")&amp;"␟"&amp;IFERROR(INDEX(PASTE_ALL,$DF828,60)&amp;"","")," "," "),CHAR(9)," "),CHAR(10)," "),CHAR(13)," "))," ␟","␟"),"␟ ","␟"),"#"&amp;$DE828),"")</f>
        <v/>
      </c>
      <c r="DJ828">
        <f>IF($DI828="",0,IF(SUMPRODUCT(--EXACT($DI$4:DI827,$DI828))&gt;0,1,0))</f>
        <v/>
      </c>
      <c r="DK828">
        <f>IF(AND($DI828&lt;&gt;"",$DJ828=0),1,0)</f>
        <v/>
      </c>
      <c r="DL828">
        <f>DL827+$DK828</f>
        <v/>
      </c>
      <c r="DM828">
        <f>IF(AND($DK828=1,$DL828&lt;=600),1,0)</f>
        <v/>
      </c>
      <c r="DN828">
        <f>IF($DM828=0,"",IF($L$6=0,"",IFERROR(IF(ISNUMBER(INDEX(PASTE_ALL,$DF828,$L$6)),INDEX(PASTE_ALL,$DF828,$L$6),TRIM(SUBSTITUTE(SUBSTITUTE(SUBSTITUTE(SUBSTITUTE(INDEX(PASTE_ALL,$DF828,$L$6)," "," "),CHAR(9)," "),CHAR(10)," "),CHAR(13)," "))),"")))</f>
        <v/>
      </c>
      <c r="DO828">
        <f>IF($DM828=0,"",IF($L$7=0,"",IFERROR(IF(ISNUMBER(INDEX(PASTE_ALL,$DF828,$L$7)),INDEX(PASTE_ALL,$DF828,$L$7),TRIM(SUBSTITUTE(SUBSTITUTE(SUBSTITUTE(SUBSTITUTE(INDEX(PASTE_ALL,$DF828,$L$7)," "," "),CHAR(9)," "),CHAR(10)," "),CHAR(13)," "))),"")))</f>
        <v/>
      </c>
      <c r="DP828">
        <f>IF($DM828=0,"",IF($L$8=0,"",IFERROR(IF(ISNUMBER(INDEX(PASTE_ALL,$DF828,$L$8)),INDEX(PASTE_ALL,$DF828,$L$8),TRIM(SUBSTITUTE(SUBSTITUTE(SUBSTITUTE(SUBSTITUTE(INDEX(PASTE_ALL,$DF828,$L$8)," "," "),CHAR(9)," "),CHAR(10)," "),CHAR(13)," "))),"")))</f>
        <v/>
      </c>
      <c r="DQ828">
        <f>IF($DM828=0,"",IF($L$9=0,"",IFERROR(IF(ISNUMBER(INDEX(PASTE_ALL,$DF828,$L$9)),INDEX(PASTE_ALL,$DF828,$L$9),TRIM(SUBSTITUTE(SUBSTITUTE(SUBSTITUTE(SUBSTITUTE(INDEX(PASTE_ALL,$DF828,$L$9)," "," "),CHAR(9)," "),CHAR(10)," "),CHAR(13)," "))),"")))</f>
        <v/>
      </c>
      <c r="DR828">
        <f>IF($DM828=0,"",IF($L$10=0,"",IFERROR(IF(ISNUMBER(INDEX(PASTE_ALL,$DF828,$L$10)),INDEX(PASTE_ALL,$DF828,$L$10),TRIM(SUBSTITUTE(SUBSTITUTE(SUBSTITUTE(SUBSTITUTE(INDEX(PASTE_ALL,$DF828,$L$10)," "," "),CHAR(9)," "),CHAR(10)," "),CHAR(13)," "))),"")))</f>
        <v/>
      </c>
      <c r="DS828">
        <f>IF($DM828=0,"",IF($L$11=0,"",IFERROR(IF(ISNUMBER(INDEX(PASTE_ALL,$DF828,$L$11)),INDEX(PASTE_ALL,$DF828,$L$11),TRIM(SUBSTITUTE(SUBSTITUTE(SUBSTITUTE(SUBSTITUTE(INDEX(PASTE_ALL,$DF828,$L$11)," "," "),CHAR(9)," "),CHAR(10)," "),CHAR(13)," "))),"")))</f>
        <v/>
      </c>
      <c r="DT828">
        <f>IF($DM828=0,"",IF($L$12=0,"",IFERROR(IF(ISNUMBER(INDEX(PASTE_ALL,$DF828,$L$12)),INDEX(PASTE_ALL,$DF828,$L$12),TRIM(SUBSTITUTE(SUBSTITUTE(SUBSTITUTE(SUBSTITUTE(INDEX(PASTE_ALL,$DF828,$L$12)," "," "),CHAR(9)," "),CHAR(10)," "),CHAR(13)," "))),"")))</f>
        <v/>
      </c>
      <c r="DU828">
        <f>IF($DM828=0,"",IF($L$13=0,"",IFERROR(IF(ISNUMBER(INDEX(PASTE_ALL,$DF828,$L$13)),INDEX(PASTE_ALL,$DF828,$L$13),TRIM(SUBSTITUTE(SUBSTITUTE(SUBSTITUTE(SUBSTITUTE(INDEX(PASTE_ALL,$DF828,$L$13)," "," "),CHAR(9)," "),CHAR(10)," "),CHAR(13)," "))),"")))</f>
        <v/>
      </c>
      <c r="DV828">
        <f>IF($DM828=0,"",IF($L$14=0,"",IFERROR(IF(ISNUMBER(INDEX(PASTE_ALL,$DF828,$L$14)),INDEX(PASTE_ALL,$DF828,$L$14),TRIM(SUBSTITUTE(SUBSTITUTE(SUBSTITUTE(SUBSTITUTE(INDEX(PASTE_ALL,$DF828,$L$14)," "," "),CHAR(9)," "),CHAR(10)," "),CHAR(13)," "))),"")))</f>
        <v/>
      </c>
      <c r="DW828">
        <f>IF($DM828=0,"",IF($L$15=0,"",IFERROR(IF(ISNUMBER(INDEX(PASTE_ALL,$DF828,$L$15)),INDEX(PASTE_ALL,$DF828,$L$15),IF(SUMPRODUCT(--ISNUMBER(FIND({"A","B","C","D","E","F","G","H","I","J","K","L","M","N","O","P","Q","R","S","T","U","V","W","X","Y","Z","0","1","2","3","4","5","6","7","8","9"},UPPER(TRIM(SUBSTITUTE(SUBSTITUTE(SUBSTITUTE(SUBSTITUTE(INDEX(PASTE_ALL,$DF828,$L$15)," "," "),CHAR(9)," "),CHAR(10)," "),CHAR(13)," "))))))&gt;0,TRIM(SUBSTITUTE(SUBSTITUTE(SUBSTITUTE(SUBSTITUTE(INDEX(PASTE_ALL,$DF828,$L$15)," "," "),CHAR(9)," "),CHAR(10)," "),CHAR(13)," ")),"")),"")))</f>
        <v/>
      </c>
      <c r="DX828">
        <f>IF($DM828=0,"",IF($L$16=0,"",IFERROR(IF(ISNUMBER(INDEX(PASTE_ALL,$DF828,$L$16)),INDEX(PASTE_ALL,$DF828,$L$16),SUBSTITUTE(SUBSTITUTE(TRIM(SUBSTITUTE(SUBSTITUTE(SUBSTITUTE(SUBSTITUTE(INDEX(PASTE_ALL,$DF828,$L$16)," "," "),CHAR(9)," "),CHAR(10)," "),CHAR(13)," ")),",",""),"%","")),"")))</f>
        <v/>
      </c>
      <c r="DY828">
        <f>IF($DM828=0,"",IFERROR(IF(ISNUMBER($DX828),$DX828,IF($DX828="","",IF(TRIM($DX828)="",0,IF(AND(AND(SUBSTITUTE(SUBSTITUTE(SUBSTITUTE(SUBSTITUTE(SUBSTITUTE(SUBSTITUTE(SUBSTITUTE(SUBSTITUTE(SUBSTITUTE(SUBSTITUTE(SUBSTITUTE(SUBSTITUTE(SUBSTITUTE(SUBSTITUTE(UPPER(TRIM($DX828)),"0",""),"1",""),"2",""),"3",""),"4",""),"5",""),"6",""),"7",""),"8",""),"9",""),".",""),"+",""),"-",""),"E","")="",LEN(SUBSTITUTE(SUBSTITUTE(MID(UPPER(TRIM($DX828)),1+OR(LEFT(UPPER(TRIM($DX828)),1)="+",LEFT(UPPER(TRIM($DX828)),1)="-"),999),"E+","E"),"E-","E"))=LEN(SUBSTITUTE(SUBSTITUTE(SUBSTITUTE(SUBSTITUTE(MID(UPPER(TRIM($DX828)),1+OR(LEFT(UPPER(TRIM($DX828)),1)="+",LEFT(UPPER(TRIM($DX828)),1)="-"),999),"E+","E"),"E-","E"),"+",""),"-","")),LEN(UPPER(TRIM($DX828)))-LEN(SUBSTITUTE(UPPER(TRIM($DX828)),"E",""))&lt;2,LEN(UPPER(TRIM($DX828)))-LEN(SUBSTITUTE(UPPER(TRIM($DX828)),".",""))&lt;2,IFERROR(FIND(".",UPPER(TRIM($DX828))),0)&lt;IFERROR(FIND("E",UPPER(TRIM($DX828))),999)),ISNUMBER(VALUE(TRIM($DX828)))),VALUE(TRIM($DX828)),"")))),""))</f>
        <v/>
      </c>
      <c r="DZ828">
        <f>IF($DM828=0,"",IF($L$17=0,"",IFERROR(IF(ISNUMBER(INDEX(PASTE_ALL,$DF828,$L$17)),INDEX(PASTE_ALL,$DF828,$L$17),SUBSTITUTE(SUBSTITUTE(TRIM(SUBSTITUTE(SUBSTITUTE(SUBSTITUTE(SUBSTITUTE(INDEX(PASTE_ALL,$DF828,$L$17)," "," "),CHAR(9)," "),CHAR(10)," "),CHAR(13)," ")),",",""),"%","")),"")))</f>
        <v/>
      </c>
      <c r="EA828">
        <f>IF($DM828=0,"",IFERROR(IF(ISNUMBER($DZ828),$DZ828,IF($DZ828="","",IF(TRIM($DZ828)="",0,IF(AND(AND(SUBSTITUTE(SUBSTITUTE(SUBSTITUTE(SUBSTITUTE(SUBSTITUTE(SUBSTITUTE(SUBSTITUTE(SUBSTITUTE(SUBSTITUTE(SUBSTITUTE(SUBSTITUTE(SUBSTITUTE(SUBSTITUTE(SUBSTITUTE(UPPER(TRIM($DZ828)),"0",""),"1",""),"2",""),"3",""),"4",""),"5",""),"6",""),"7",""),"8",""),"9",""),".",""),"+",""),"-",""),"E","")="",LEN(SUBSTITUTE(SUBSTITUTE(MID(UPPER(TRIM($DZ828)),1+OR(LEFT(UPPER(TRIM($DZ828)),1)="+",LEFT(UPPER(TRIM($DZ828)),1)="-"),999),"E+","E"),"E-","E"))=LEN(SUBSTITUTE(SUBSTITUTE(SUBSTITUTE(SUBSTITUTE(MID(UPPER(TRIM($DZ828)),1+OR(LEFT(UPPER(TRIM($DZ828)),1)="+",LEFT(UPPER(TRIM($DZ828)),1)="-"),999),"E+","E"),"E-","E"),"+",""),"-","")),LEN(UPPER(TRIM($DZ828)))-LEN(SUBSTITUTE(UPPER(TRIM($DZ828)),"E",""))&lt;2,LEN(UPPER(TRIM($DZ828)))-LEN(SUBSTITUTE(UPPER(TRIM($DZ828)),".",""))&lt;2,IFERROR(FIND(".",UPPER(TRIM($DZ828))),0)&lt;IFERROR(FIND("E",UPPER(TRIM($DZ828))),999)),ISNUMBER(VALUE(TRIM($DZ828)))),VALUE(TRIM($DZ828)),"")))),""))</f>
        <v/>
      </c>
      <c r="EB828">
        <f>IF($DM828=0,"",IF($L$18=0,"",IFERROR(IF(UPPER(TRIM(SUBSTITUTE(SUBSTITUTE(SUBSTITUTE(SUBSTITUTE(INDEX(PASTE_ALL,$DF828,$L$18)," "," "),CHAR(9)," "),CHAR(10)," "),CHAR(13)," ")))="READY","Ready",IF(UPPER(TRIM(SUBSTITUTE(SUBSTITUTE(SUBSTITUTE(SUBSTITUTE(INDEX(PASTE_ALL,$DF828,$L$18)," "," "),CHAR(9)," "),CHAR(10)," "),CHAR(13)," ")))="PM","PM",IF(OR(UPPER(TRIM(SUBSTITUTE(SUBSTITUTE(SUBSTITUTE(SUBSTITUTE(INDEX(PASTE_ALL,$DF828,$L$18)," "," "),CHAR(9)," "),CHAR(10)," "),CHAR(13)," ")))="OT",UPPER(TRIM(SUBSTITUTE(SUBSTITUTE(SUBSTITUTE(SUBSTITUTE(INDEX(PASTE_ALL,$DF828,$L$18)," "," "),CHAR(9)," "),CHAR(10)," "),CHAR(13)," ")))="OVERTIME",UPPER(TRIM(SUBSTITUTE(SUBSTITUTE(SUBSTITUTE(SUBSTITUTE(INDEX(PASTE_ALL,$DF828,$L$18)," "," "),CHAR(9)," "),CHAR(10)," "),CHAR(13)," ")))="TRIAL"),"OT",TRIM(SUBSTITUTE(SUBSTITUTE(SUBSTITUTE(SUBSTITUTE(INDEX(PASTE_ALL,$DF828,$L$18)," "," "),CHAR(9)," "),CHAR(10)," "),CHAR(13)," "))))),"")))</f>
        <v/>
      </c>
      <c r="EC828">
        <f>IF($DM828=0,"",IF($L$19=0,"",IFERROR(IF(ISNUMBER(INDEX(PASTE_ALL,$DF828,$L$19)),INDEX(PASTE_ALL,$DF828,$L$19),TRIM(SUBSTITUTE(SUBSTITUTE(SUBSTITUTE(SUBSTITUTE(INDEX(PASTE_ALL,$DF828,$L$19)," "," "),CHAR(9)," "),CHAR(10)," "),CHAR(13)," "))),"")))</f>
        <v/>
      </c>
      <c r="ED828">
        <f>IF($DM828=0,"",MATCH(1,INDEX(EXACT($DH$5:DH828,$DH828)*$DM$5:DM828,0),0))</f>
        <v/>
      </c>
      <c r="EE828">
        <f>IF($DM828=0,0,IF($ED828=$DE828,1,0))</f>
        <v/>
      </c>
      <c r="EF828">
        <f>EF827+$EE828</f>
        <v/>
      </c>
      <c r="EG828">
        <f>IF($DM828=0,"",INDEX($EF$5:$EF$1003,$ED828))</f>
        <v/>
      </c>
      <c r="EH828">
        <f>IF($DM828=0,"",IF($DO828&lt;&gt;"","",IFERROR(LOOKUP(2,1/(($EG$4:EG827=$EG828)*($DO$4:DO827&lt;&gt;"")),$DO$4:DO827),"")))</f>
        <v/>
      </c>
      <c r="EI828">
        <f>IF($DM828=0,"",IF($DO828&lt;&gt;"",$DO828,$EH828))</f>
        <v/>
      </c>
      <c r="EJ828">
        <f>IF($DM828=0,"",IF($EI828="",0,IF(OR(ISNUMBER($EI828),AND(AND(SUBSTITUTE(SUBSTITUTE(SUBSTITUTE(SUBSTITUTE(SUBSTITUTE(SUBSTITUTE(SUBSTITUTE(SUBSTITUTE(SUBSTITUTE(SUBSTITUTE(SUBSTITUTE(SUBSTITUTE(SUBSTITUTE(SUBSTITUTE(UPPER($EI828),"0",""),"1",""),"2",""),"3",""),"4",""),"5",""),"6",""),"7",""),"8",""),"9",""),".",""),"+",""),"-",""),"E","")="",LEN(SUBSTITUTE(SUBSTITUTE(MID(UPPER($EI828),1+OR(LEFT(UPPER($EI828),1)="+",LEFT(UPPER($EI828),1)="-"),999),"E+","E"),"E-","E"))=LEN(SUBSTITUTE(SUBSTITUTE(SUBSTITUTE(SUBSTITUTE(MID(UPPER($EI828),1+OR(LEFT(UPPER($EI828),1)="+",LEFT(UPPER($EI828),1)="-"),999),"E+","E"),"E-","E"),"+",""),"-","")),LEN(UPPER($EI828))-LEN(SUBSTITUTE(UPPER($EI828),"E",""))&lt;2,LEN(UPPER($EI828))-LEN(SUBSTITUTE(UPPER($EI828),".",""))&lt;2,IFERROR(FIND(".",UPPER($EI828)),0)&lt;IFERROR(FIND("E",UPPER($EI828)),999)),ISNUMBER(VALUE($EI828)))),1,2)))</f>
        <v/>
      </c>
      <c r="EK828">
        <f>IF($DM828=0,"",IF($EJ828=1,IF(ISNUMBER($EI828),$EI828,VALUE($EI828)),IF($EJ828=2,$DE828,0)))</f>
        <v/>
      </c>
      <c r="EL828">
        <f>IF($DM828=0,"",COUNTIF($EG$5:$EG$1003,"&lt;"&amp;$EG828)+SUMPRODUCT(($EG$5:$EG$1003=$EG828)*(($EJ$5:$EJ$1003&lt;$EJ828)+($EJ$5:$EJ$1003=$EJ828)*(($EK$5:$EK$1003&lt;$EK828)+($EK$5:$EK$1003=$EK828)*($DE$5:$DE$1003&lt;$DE828))))+1)</f>
        <v/>
      </c>
      <c r="EM828">
        <f>IF($DM828=0,"",$EL828+$EG828-1)</f>
        <v/>
      </c>
      <c r="EN828">
        <f>IF($DM828=0,0,IFERROR(MATCH(1,INDEX(--(TRIM(SUBSTITUTE(SUBSTITUTE(SUBSTITUTE(SUBSTITUTE(LINES_NAME&amp;""," "," "),CHAR(9)," "),CHAR(10)," "),CHAR(13)," "))=$DH828),0),0),0))</f>
        <v/>
      </c>
      <c r="EO828">
        <f>IF($EN828=0,0,IF(OR(UPPER(TRIM(INDEX(LINES_SCHEDULED,$EN828)&amp;""))="YES",UPPER(TRIM(INDEX(LINES_SCHEDULED,$EN828)&amp;""))="Y",UPPER(TRIM(INDEX(LINES_SCHEDULED,$EN828)&amp;""))="X"),1,0))</f>
        <v/>
      </c>
      <c r="EP828">
        <f>IF($DM828=0,"",IF(COUNTIFS($EG$5:$EG$1003,$EG828,$EB$5:$EB$1003,"Ready")&gt;0,"READY",IF(COUNTIFS($EG$5:$EG$1003,$EG828,$EB$5:$EB$1003,"PM")&gt;0,"PM",IF(COUNTIFS($EG$5:$EG$1003,$EG828,$EB$5:$EB$1003,"OT")&gt;0,"OT",""))))</f>
        <v/>
      </c>
      <c r="EQ828">
        <f>IF($EN828=0,"",UPPER(TRIM(INDEX(LINES_STATUS,$EN828)&amp;"")))</f>
        <v/>
      </c>
      <c r="ER828">
        <f>IF($DM828=0,"",IF(OR($EQ828="READY",$EQ828="PM",$EQ828="OT"),$EQ828,$EP828))</f>
        <v/>
      </c>
      <c r="ES828">
        <f>IF($DM828=0,"",IF(AND($DV828&lt;&gt;"",UPPER($DV828)&lt;&gt;"N"),"allergen",IF(ISNUMBER(SEARCH("oil",$DQ828)),"oil",IF(OR(EXACT($DS828,"A662"),EXACT($DS828,"A624")),"bulk",""))))</f>
        <v/>
      </c>
      <c r="ET828">
        <f>IF($DM828=0,"",IF(OR($EA828="",$EA828=0),"",$EA828/100))</f>
        <v/>
      </c>
      <c r="EU828">
        <f>IF(OR($ET828="",$DY828=""),"",INT($DY828*(1-$ET828)+0.5))</f>
        <v/>
      </c>
    </row>
    <row r="829">
      <c r="DA829" t="n">
        <v>825</v>
      </c>
      <c r="DB829">
        <f>IF($B$37=0,"",IFERROR(TRIM(SUBSTITUTE(SUBSTITUTE(SUBSTITUTE(SUBSTITUTE(INDEX(PASTE_ALL,825,$B$37)," "," "),CHAR(9)," "),CHAR(10)," "),CHAR(13)," ")),""))</f>
        <v/>
      </c>
      <c r="DC829">
        <f>IF(AND(825&gt;HEADER_ROW,UPPER(DB829)="LEGEND"),1,0)</f>
        <v/>
      </c>
      <c r="DE829" t="n">
        <v>825</v>
      </c>
      <c r="DF829">
        <f>HEADER_ROW+$DE829</f>
        <v/>
      </c>
      <c r="DG829">
        <f>IF(AND($DF829&lt;=1000,$DF829&lt;$B$8),1,0)</f>
        <v/>
      </c>
      <c r="DH829">
        <f>IF($DG829=1,IFERROR(INDEX($DB$5:$DB$1004,$DF829),""),"")</f>
        <v/>
      </c>
      <c r="DI829">
        <f>IF(AND($DG829=1,$DH829&lt;&gt;""),IFERROR(SUBSTITUTE(SUBSTITUTE(TRIM(SUBSTITUTE(SUBSTITUTE(SUBSTITUTE(SUBSTITUTE(IFERROR(INDEX(PASTE_ALL,$DF829,1)&amp;"","")&amp;"␟"&amp;IFERROR(INDEX(PASTE_ALL,$DF829,2)&amp;"","")&amp;"␟"&amp;IFERROR(INDEX(PASTE_ALL,$DF829,3)&amp;"","")&amp;"␟"&amp;IFERROR(INDEX(PASTE_ALL,$DF829,4)&amp;"","")&amp;"␟"&amp;IFERROR(INDEX(PASTE_ALL,$DF829,5)&amp;"","")&amp;"␟"&amp;IFERROR(INDEX(PASTE_ALL,$DF829,6)&amp;"","")&amp;"␟"&amp;IFERROR(INDEX(PASTE_ALL,$DF829,7)&amp;"","")&amp;"␟"&amp;IFERROR(INDEX(PASTE_ALL,$DF829,8)&amp;"","")&amp;"␟"&amp;IFERROR(INDEX(PASTE_ALL,$DF829,9)&amp;"","")&amp;"␟"&amp;IFERROR(INDEX(PASTE_ALL,$DF829,10)&amp;"","")&amp;"␟"&amp;IFERROR(INDEX(PASTE_ALL,$DF829,11)&amp;"","")&amp;"␟"&amp;IFERROR(INDEX(PASTE_ALL,$DF829,12)&amp;"","")&amp;"␟"&amp;IFERROR(INDEX(PASTE_ALL,$DF829,13)&amp;"","")&amp;"␟"&amp;IFERROR(INDEX(PASTE_ALL,$DF829,14)&amp;"","")&amp;"␟"&amp;IFERROR(INDEX(PASTE_ALL,$DF829,15)&amp;"","")&amp;"␟"&amp;IFERROR(INDEX(PASTE_ALL,$DF829,16)&amp;"","")&amp;"␟"&amp;IFERROR(INDEX(PASTE_ALL,$DF829,17)&amp;"","")&amp;"␟"&amp;IFERROR(INDEX(PASTE_ALL,$DF829,18)&amp;"","")&amp;"␟"&amp;IFERROR(INDEX(PASTE_ALL,$DF829,19)&amp;"","")&amp;"␟"&amp;IFERROR(INDEX(PASTE_ALL,$DF829,20)&amp;"","")&amp;"␟"&amp;IFERROR(INDEX(PASTE_ALL,$DF829,21)&amp;"","")&amp;"␟"&amp;IFERROR(INDEX(PASTE_ALL,$DF829,22)&amp;"","")&amp;"␟"&amp;IFERROR(INDEX(PASTE_ALL,$DF829,23)&amp;"","")&amp;"␟"&amp;IFERROR(INDEX(PASTE_ALL,$DF829,24)&amp;"","")&amp;"␟"&amp;IFERROR(INDEX(PASTE_ALL,$DF829,25)&amp;"","")&amp;"␟"&amp;IFERROR(INDEX(PASTE_ALL,$DF829,26)&amp;"","")&amp;"␟"&amp;IFERROR(INDEX(PASTE_ALL,$DF829,27)&amp;"","")&amp;"␟"&amp;IFERROR(INDEX(PASTE_ALL,$DF829,28)&amp;"","")&amp;"␟"&amp;IFERROR(INDEX(PASTE_ALL,$DF829,29)&amp;"","")&amp;"␟"&amp;IFERROR(INDEX(PASTE_ALL,$DF829,30)&amp;"","")&amp;"␟"&amp;IFERROR(INDEX(PASTE_ALL,$DF829,31)&amp;"","")&amp;"␟"&amp;IFERROR(INDEX(PASTE_ALL,$DF829,32)&amp;"","")&amp;"␟"&amp;IFERROR(INDEX(PASTE_ALL,$DF829,33)&amp;"","")&amp;"␟"&amp;IFERROR(INDEX(PASTE_ALL,$DF829,34)&amp;"","")&amp;"␟"&amp;IFERROR(INDEX(PASTE_ALL,$DF829,35)&amp;"","")&amp;"␟"&amp;IFERROR(INDEX(PASTE_ALL,$DF829,36)&amp;"","")&amp;"␟"&amp;IFERROR(INDEX(PASTE_ALL,$DF829,37)&amp;"","")&amp;"␟"&amp;IFERROR(INDEX(PASTE_ALL,$DF829,38)&amp;"","")&amp;"␟"&amp;IFERROR(INDEX(PASTE_ALL,$DF829,39)&amp;"","")&amp;"␟"&amp;IFERROR(INDEX(PASTE_ALL,$DF829,40)&amp;"","")&amp;"␟"&amp;IFERROR(INDEX(PASTE_ALL,$DF829,41)&amp;"","")&amp;"␟"&amp;IFERROR(INDEX(PASTE_ALL,$DF829,42)&amp;"","")&amp;"␟"&amp;IFERROR(INDEX(PASTE_ALL,$DF829,43)&amp;"","")&amp;"␟"&amp;IFERROR(INDEX(PASTE_ALL,$DF829,44)&amp;"","")&amp;"␟"&amp;IFERROR(INDEX(PASTE_ALL,$DF829,45)&amp;"","")&amp;"␟"&amp;IFERROR(INDEX(PASTE_ALL,$DF829,46)&amp;"","")&amp;"␟"&amp;IFERROR(INDEX(PASTE_ALL,$DF829,47)&amp;"","")&amp;"␟"&amp;IFERROR(INDEX(PASTE_ALL,$DF829,48)&amp;"","")&amp;"␟"&amp;IFERROR(INDEX(PASTE_ALL,$DF829,49)&amp;"","")&amp;"␟"&amp;IFERROR(INDEX(PASTE_ALL,$DF829,50)&amp;"","")&amp;"␟"&amp;IFERROR(INDEX(PASTE_ALL,$DF829,51)&amp;"","")&amp;"␟"&amp;IFERROR(INDEX(PASTE_ALL,$DF829,52)&amp;"","")&amp;"␟"&amp;IFERROR(INDEX(PASTE_ALL,$DF829,53)&amp;"","")&amp;"␟"&amp;IFERROR(INDEX(PASTE_ALL,$DF829,54)&amp;"","")&amp;"␟"&amp;IFERROR(INDEX(PASTE_ALL,$DF829,55)&amp;"","")&amp;"␟"&amp;IFERROR(INDEX(PASTE_ALL,$DF829,56)&amp;"","")&amp;"␟"&amp;IFERROR(INDEX(PASTE_ALL,$DF829,57)&amp;"","")&amp;"␟"&amp;IFERROR(INDEX(PASTE_ALL,$DF829,58)&amp;"","")&amp;"␟"&amp;IFERROR(INDEX(PASTE_ALL,$DF829,59)&amp;"","")&amp;"␟"&amp;IFERROR(INDEX(PASTE_ALL,$DF829,60)&amp;"","")," "," "),CHAR(9)," "),CHAR(10)," "),CHAR(13)," "))," ␟","␟"),"␟ ","␟"),"#"&amp;$DE829),"")</f>
        <v/>
      </c>
      <c r="DJ829">
        <f>IF($DI829="",0,IF(SUMPRODUCT(--EXACT($DI$4:DI828,$DI829))&gt;0,1,0))</f>
        <v/>
      </c>
      <c r="DK829">
        <f>IF(AND($DI829&lt;&gt;"",$DJ829=0),1,0)</f>
        <v/>
      </c>
      <c r="DL829">
        <f>DL828+$DK829</f>
        <v/>
      </c>
      <c r="DM829">
        <f>IF(AND($DK829=1,$DL829&lt;=600),1,0)</f>
        <v/>
      </c>
      <c r="DN829">
        <f>IF($DM829=0,"",IF($L$6=0,"",IFERROR(IF(ISNUMBER(INDEX(PASTE_ALL,$DF829,$L$6)),INDEX(PASTE_ALL,$DF829,$L$6),TRIM(SUBSTITUTE(SUBSTITUTE(SUBSTITUTE(SUBSTITUTE(INDEX(PASTE_ALL,$DF829,$L$6)," "," "),CHAR(9)," "),CHAR(10)," "),CHAR(13)," "))),"")))</f>
        <v/>
      </c>
      <c r="DO829">
        <f>IF($DM829=0,"",IF($L$7=0,"",IFERROR(IF(ISNUMBER(INDEX(PASTE_ALL,$DF829,$L$7)),INDEX(PASTE_ALL,$DF829,$L$7),TRIM(SUBSTITUTE(SUBSTITUTE(SUBSTITUTE(SUBSTITUTE(INDEX(PASTE_ALL,$DF829,$L$7)," "," "),CHAR(9)," "),CHAR(10)," "),CHAR(13)," "))),"")))</f>
        <v/>
      </c>
      <c r="DP829">
        <f>IF($DM829=0,"",IF($L$8=0,"",IFERROR(IF(ISNUMBER(INDEX(PASTE_ALL,$DF829,$L$8)),INDEX(PASTE_ALL,$DF829,$L$8),TRIM(SUBSTITUTE(SUBSTITUTE(SUBSTITUTE(SUBSTITUTE(INDEX(PASTE_ALL,$DF829,$L$8)," "," "),CHAR(9)," "),CHAR(10)," "),CHAR(13)," "))),"")))</f>
        <v/>
      </c>
      <c r="DQ829">
        <f>IF($DM829=0,"",IF($L$9=0,"",IFERROR(IF(ISNUMBER(INDEX(PASTE_ALL,$DF829,$L$9)),INDEX(PASTE_ALL,$DF829,$L$9),TRIM(SUBSTITUTE(SUBSTITUTE(SUBSTITUTE(SUBSTITUTE(INDEX(PASTE_ALL,$DF829,$L$9)," "," "),CHAR(9)," "),CHAR(10)," "),CHAR(13)," "))),"")))</f>
        <v/>
      </c>
      <c r="DR829">
        <f>IF($DM829=0,"",IF($L$10=0,"",IFERROR(IF(ISNUMBER(INDEX(PASTE_ALL,$DF829,$L$10)),INDEX(PASTE_ALL,$DF829,$L$10),TRIM(SUBSTITUTE(SUBSTITUTE(SUBSTITUTE(SUBSTITUTE(INDEX(PASTE_ALL,$DF829,$L$10)," "," "),CHAR(9)," "),CHAR(10)," "),CHAR(13)," "))),"")))</f>
        <v/>
      </c>
      <c r="DS829">
        <f>IF($DM829=0,"",IF($L$11=0,"",IFERROR(IF(ISNUMBER(INDEX(PASTE_ALL,$DF829,$L$11)),INDEX(PASTE_ALL,$DF829,$L$11),TRIM(SUBSTITUTE(SUBSTITUTE(SUBSTITUTE(SUBSTITUTE(INDEX(PASTE_ALL,$DF829,$L$11)," "," "),CHAR(9)," "),CHAR(10)," "),CHAR(13)," "))),"")))</f>
        <v/>
      </c>
      <c r="DT829">
        <f>IF($DM829=0,"",IF($L$12=0,"",IFERROR(IF(ISNUMBER(INDEX(PASTE_ALL,$DF829,$L$12)),INDEX(PASTE_ALL,$DF829,$L$12),TRIM(SUBSTITUTE(SUBSTITUTE(SUBSTITUTE(SUBSTITUTE(INDEX(PASTE_ALL,$DF829,$L$12)," "," "),CHAR(9)," "),CHAR(10)," "),CHAR(13)," "))),"")))</f>
        <v/>
      </c>
      <c r="DU829">
        <f>IF($DM829=0,"",IF($L$13=0,"",IFERROR(IF(ISNUMBER(INDEX(PASTE_ALL,$DF829,$L$13)),INDEX(PASTE_ALL,$DF829,$L$13),TRIM(SUBSTITUTE(SUBSTITUTE(SUBSTITUTE(SUBSTITUTE(INDEX(PASTE_ALL,$DF829,$L$13)," "," "),CHAR(9)," "),CHAR(10)," "),CHAR(13)," "))),"")))</f>
        <v/>
      </c>
      <c r="DV829">
        <f>IF($DM829=0,"",IF($L$14=0,"",IFERROR(IF(ISNUMBER(INDEX(PASTE_ALL,$DF829,$L$14)),INDEX(PASTE_ALL,$DF829,$L$14),TRIM(SUBSTITUTE(SUBSTITUTE(SUBSTITUTE(SUBSTITUTE(INDEX(PASTE_ALL,$DF829,$L$14)," "," "),CHAR(9)," "),CHAR(10)," "),CHAR(13)," "))),"")))</f>
        <v/>
      </c>
      <c r="DW829">
        <f>IF($DM829=0,"",IF($L$15=0,"",IFERROR(IF(ISNUMBER(INDEX(PASTE_ALL,$DF829,$L$15)),INDEX(PASTE_ALL,$DF829,$L$15),IF(SUMPRODUCT(--ISNUMBER(FIND({"A","B","C","D","E","F","G","H","I","J","K","L","M","N","O","P","Q","R","S","T","U","V","W","X","Y","Z","0","1","2","3","4","5","6","7","8","9"},UPPER(TRIM(SUBSTITUTE(SUBSTITUTE(SUBSTITUTE(SUBSTITUTE(INDEX(PASTE_ALL,$DF829,$L$15)," "," "),CHAR(9)," "),CHAR(10)," "),CHAR(13)," "))))))&gt;0,TRIM(SUBSTITUTE(SUBSTITUTE(SUBSTITUTE(SUBSTITUTE(INDEX(PASTE_ALL,$DF829,$L$15)," "," "),CHAR(9)," "),CHAR(10)," "),CHAR(13)," ")),"")),"")))</f>
        <v/>
      </c>
      <c r="DX829">
        <f>IF($DM829=0,"",IF($L$16=0,"",IFERROR(IF(ISNUMBER(INDEX(PASTE_ALL,$DF829,$L$16)),INDEX(PASTE_ALL,$DF829,$L$16),SUBSTITUTE(SUBSTITUTE(TRIM(SUBSTITUTE(SUBSTITUTE(SUBSTITUTE(SUBSTITUTE(INDEX(PASTE_ALL,$DF829,$L$16)," "," "),CHAR(9)," "),CHAR(10)," "),CHAR(13)," ")),",",""),"%","")),"")))</f>
        <v/>
      </c>
      <c r="DY829">
        <f>IF($DM829=0,"",IFERROR(IF(ISNUMBER($DX829),$DX829,IF($DX829="","",IF(TRIM($DX829)="",0,IF(AND(AND(SUBSTITUTE(SUBSTITUTE(SUBSTITUTE(SUBSTITUTE(SUBSTITUTE(SUBSTITUTE(SUBSTITUTE(SUBSTITUTE(SUBSTITUTE(SUBSTITUTE(SUBSTITUTE(SUBSTITUTE(SUBSTITUTE(SUBSTITUTE(UPPER(TRIM($DX829)),"0",""),"1",""),"2",""),"3",""),"4",""),"5",""),"6",""),"7",""),"8",""),"9",""),".",""),"+",""),"-",""),"E","")="",LEN(SUBSTITUTE(SUBSTITUTE(MID(UPPER(TRIM($DX829)),1+OR(LEFT(UPPER(TRIM($DX829)),1)="+",LEFT(UPPER(TRIM($DX829)),1)="-"),999),"E+","E"),"E-","E"))=LEN(SUBSTITUTE(SUBSTITUTE(SUBSTITUTE(SUBSTITUTE(MID(UPPER(TRIM($DX829)),1+OR(LEFT(UPPER(TRIM($DX829)),1)="+",LEFT(UPPER(TRIM($DX829)),1)="-"),999),"E+","E"),"E-","E"),"+",""),"-","")),LEN(UPPER(TRIM($DX829)))-LEN(SUBSTITUTE(UPPER(TRIM($DX829)),"E",""))&lt;2,LEN(UPPER(TRIM($DX829)))-LEN(SUBSTITUTE(UPPER(TRIM($DX829)),".",""))&lt;2,IFERROR(FIND(".",UPPER(TRIM($DX829))),0)&lt;IFERROR(FIND("E",UPPER(TRIM($DX829))),999)),ISNUMBER(VALUE(TRIM($DX829)))),VALUE(TRIM($DX829)),"")))),""))</f>
        <v/>
      </c>
      <c r="DZ829">
        <f>IF($DM829=0,"",IF($L$17=0,"",IFERROR(IF(ISNUMBER(INDEX(PASTE_ALL,$DF829,$L$17)),INDEX(PASTE_ALL,$DF829,$L$17),SUBSTITUTE(SUBSTITUTE(TRIM(SUBSTITUTE(SUBSTITUTE(SUBSTITUTE(SUBSTITUTE(INDEX(PASTE_ALL,$DF829,$L$17)," "," "),CHAR(9)," "),CHAR(10)," "),CHAR(13)," ")),",",""),"%","")),"")))</f>
        <v/>
      </c>
      <c r="EA829">
        <f>IF($DM829=0,"",IFERROR(IF(ISNUMBER($DZ829),$DZ829,IF($DZ829="","",IF(TRIM($DZ829)="",0,IF(AND(AND(SUBSTITUTE(SUBSTITUTE(SUBSTITUTE(SUBSTITUTE(SUBSTITUTE(SUBSTITUTE(SUBSTITUTE(SUBSTITUTE(SUBSTITUTE(SUBSTITUTE(SUBSTITUTE(SUBSTITUTE(SUBSTITUTE(SUBSTITUTE(UPPER(TRIM($DZ829)),"0",""),"1",""),"2",""),"3",""),"4",""),"5",""),"6",""),"7",""),"8",""),"9",""),".",""),"+",""),"-",""),"E","")="",LEN(SUBSTITUTE(SUBSTITUTE(MID(UPPER(TRIM($DZ829)),1+OR(LEFT(UPPER(TRIM($DZ829)),1)="+",LEFT(UPPER(TRIM($DZ829)),1)="-"),999),"E+","E"),"E-","E"))=LEN(SUBSTITUTE(SUBSTITUTE(SUBSTITUTE(SUBSTITUTE(MID(UPPER(TRIM($DZ829)),1+OR(LEFT(UPPER(TRIM($DZ829)),1)="+",LEFT(UPPER(TRIM($DZ829)),1)="-"),999),"E+","E"),"E-","E"),"+",""),"-","")),LEN(UPPER(TRIM($DZ829)))-LEN(SUBSTITUTE(UPPER(TRIM($DZ829)),"E",""))&lt;2,LEN(UPPER(TRIM($DZ829)))-LEN(SUBSTITUTE(UPPER(TRIM($DZ829)),".",""))&lt;2,IFERROR(FIND(".",UPPER(TRIM($DZ829))),0)&lt;IFERROR(FIND("E",UPPER(TRIM($DZ829))),999)),ISNUMBER(VALUE(TRIM($DZ829)))),VALUE(TRIM($DZ829)),"")))),""))</f>
        <v/>
      </c>
      <c r="EB829">
        <f>IF($DM829=0,"",IF($L$18=0,"",IFERROR(IF(UPPER(TRIM(SUBSTITUTE(SUBSTITUTE(SUBSTITUTE(SUBSTITUTE(INDEX(PASTE_ALL,$DF829,$L$18)," "," "),CHAR(9)," "),CHAR(10)," "),CHAR(13)," ")))="READY","Ready",IF(UPPER(TRIM(SUBSTITUTE(SUBSTITUTE(SUBSTITUTE(SUBSTITUTE(INDEX(PASTE_ALL,$DF829,$L$18)," "," "),CHAR(9)," "),CHAR(10)," "),CHAR(13)," ")))="PM","PM",IF(OR(UPPER(TRIM(SUBSTITUTE(SUBSTITUTE(SUBSTITUTE(SUBSTITUTE(INDEX(PASTE_ALL,$DF829,$L$18)," "," "),CHAR(9)," "),CHAR(10)," "),CHAR(13)," ")))="OT",UPPER(TRIM(SUBSTITUTE(SUBSTITUTE(SUBSTITUTE(SUBSTITUTE(INDEX(PASTE_ALL,$DF829,$L$18)," "," "),CHAR(9)," "),CHAR(10)," "),CHAR(13)," ")))="OVERTIME",UPPER(TRIM(SUBSTITUTE(SUBSTITUTE(SUBSTITUTE(SUBSTITUTE(INDEX(PASTE_ALL,$DF829,$L$18)," "," "),CHAR(9)," "),CHAR(10)," "),CHAR(13)," ")))="TRIAL"),"OT",TRIM(SUBSTITUTE(SUBSTITUTE(SUBSTITUTE(SUBSTITUTE(INDEX(PASTE_ALL,$DF829,$L$18)," "," "),CHAR(9)," "),CHAR(10)," "),CHAR(13)," "))))),"")))</f>
        <v/>
      </c>
      <c r="EC829">
        <f>IF($DM829=0,"",IF($L$19=0,"",IFERROR(IF(ISNUMBER(INDEX(PASTE_ALL,$DF829,$L$19)),INDEX(PASTE_ALL,$DF829,$L$19),TRIM(SUBSTITUTE(SUBSTITUTE(SUBSTITUTE(SUBSTITUTE(INDEX(PASTE_ALL,$DF829,$L$19)," "," "),CHAR(9)," "),CHAR(10)," "),CHAR(13)," "))),"")))</f>
        <v/>
      </c>
      <c r="ED829">
        <f>IF($DM829=0,"",MATCH(1,INDEX(EXACT($DH$5:DH829,$DH829)*$DM$5:DM829,0),0))</f>
        <v/>
      </c>
      <c r="EE829">
        <f>IF($DM829=0,0,IF($ED829=$DE829,1,0))</f>
        <v/>
      </c>
      <c r="EF829">
        <f>EF828+$EE829</f>
        <v/>
      </c>
      <c r="EG829">
        <f>IF($DM829=0,"",INDEX($EF$5:$EF$1003,$ED829))</f>
        <v/>
      </c>
      <c r="EH829">
        <f>IF($DM829=0,"",IF($DO829&lt;&gt;"","",IFERROR(LOOKUP(2,1/(($EG$4:EG828=$EG829)*($DO$4:DO828&lt;&gt;"")),$DO$4:DO828),"")))</f>
        <v/>
      </c>
      <c r="EI829">
        <f>IF($DM829=0,"",IF($DO829&lt;&gt;"",$DO829,$EH829))</f>
        <v/>
      </c>
      <c r="EJ829">
        <f>IF($DM829=0,"",IF($EI829="",0,IF(OR(ISNUMBER($EI829),AND(AND(SUBSTITUTE(SUBSTITUTE(SUBSTITUTE(SUBSTITUTE(SUBSTITUTE(SUBSTITUTE(SUBSTITUTE(SUBSTITUTE(SUBSTITUTE(SUBSTITUTE(SUBSTITUTE(SUBSTITUTE(SUBSTITUTE(SUBSTITUTE(UPPER($EI829),"0",""),"1",""),"2",""),"3",""),"4",""),"5",""),"6",""),"7",""),"8",""),"9",""),".",""),"+",""),"-",""),"E","")="",LEN(SUBSTITUTE(SUBSTITUTE(MID(UPPER($EI829),1+OR(LEFT(UPPER($EI829),1)="+",LEFT(UPPER($EI829),1)="-"),999),"E+","E"),"E-","E"))=LEN(SUBSTITUTE(SUBSTITUTE(SUBSTITUTE(SUBSTITUTE(MID(UPPER($EI829),1+OR(LEFT(UPPER($EI829),1)="+",LEFT(UPPER($EI829),1)="-"),999),"E+","E"),"E-","E"),"+",""),"-","")),LEN(UPPER($EI829))-LEN(SUBSTITUTE(UPPER($EI829),"E",""))&lt;2,LEN(UPPER($EI829))-LEN(SUBSTITUTE(UPPER($EI829),".",""))&lt;2,IFERROR(FIND(".",UPPER($EI829)),0)&lt;IFERROR(FIND("E",UPPER($EI829)),999)),ISNUMBER(VALUE($EI829)))),1,2)))</f>
        <v/>
      </c>
      <c r="EK829">
        <f>IF($DM829=0,"",IF($EJ829=1,IF(ISNUMBER($EI829),$EI829,VALUE($EI829)),IF($EJ829=2,$DE829,0)))</f>
        <v/>
      </c>
      <c r="EL829">
        <f>IF($DM829=0,"",COUNTIF($EG$5:$EG$1003,"&lt;"&amp;$EG829)+SUMPRODUCT(($EG$5:$EG$1003=$EG829)*(($EJ$5:$EJ$1003&lt;$EJ829)+($EJ$5:$EJ$1003=$EJ829)*(($EK$5:$EK$1003&lt;$EK829)+($EK$5:$EK$1003=$EK829)*($DE$5:$DE$1003&lt;$DE829))))+1)</f>
        <v/>
      </c>
      <c r="EM829">
        <f>IF($DM829=0,"",$EL829+$EG829-1)</f>
        <v/>
      </c>
      <c r="EN829">
        <f>IF($DM829=0,0,IFERROR(MATCH(1,INDEX(--(TRIM(SUBSTITUTE(SUBSTITUTE(SUBSTITUTE(SUBSTITUTE(LINES_NAME&amp;""," "," "),CHAR(9)," "),CHAR(10)," "),CHAR(13)," "))=$DH829),0),0),0))</f>
        <v/>
      </c>
      <c r="EO829">
        <f>IF($EN829=0,0,IF(OR(UPPER(TRIM(INDEX(LINES_SCHEDULED,$EN829)&amp;""))="YES",UPPER(TRIM(INDEX(LINES_SCHEDULED,$EN829)&amp;""))="Y",UPPER(TRIM(INDEX(LINES_SCHEDULED,$EN829)&amp;""))="X"),1,0))</f>
        <v/>
      </c>
      <c r="EP829">
        <f>IF($DM829=0,"",IF(COUNTIFS($EG$5:$EG$1003,$EG829,$EB$5:$EB$1003,"Ready")&gt;0,"READY",IF(COUNTIFS($EG$5:$EG$1003,$EG829,$EB$5:$EB$1003,"PM")&gt;0,"PM",IF(COUNTIFS($EG$5:$EG$1003,$EG829,$EB$5:$EB$1003,"OT")&gt;0,"OT",""))))</f>
        <v/>
      </c>
      <c r="EQ829">
        <f>IF($EN829=0,"",UPPER(TRIM(INDEX(LINES_STATUS,$EN829)&amp;"")))</f>
        <v/>
      </c>
      <c r="ER829">
        <f>IF($DM829=0,"",IF(OR($EQ829="READY",$EQ829="PM",$EQ829="OT"),$EQ829,$EP829))</f>
        <v/>
      </c>
      <c r="ES829">
        <f>IF($DM829=0,"",IF(AND($DV829&lt;&gt;"",UPPER($DV829)&lt;&gt;"N"),"allergen",IF(ISNUMBER(SEARCH("oil",$DQ829)),"oil",IF(OR(EXACT($DS829,"A662"),EXACT($DS829,"A624")),"bulk",""))))</f>
        <v/>
      </c>
      <c r="ET829">
        <f>IF($DM829=0,"",IF(OR($EA829="",$EA829=0),"",$EA829/100))</f>
        <v/>
      </c>
      <c r="EU829">
        <f>IF(OR($ET829="",$DY829=""),"",INT($DY829*(1-$ET829)+0.5))</f>
        <v/>
      </c>
    </row>
    <row r="830">
      <c r="DA830" t="n">
        <v>826</v>
      </c>
      <c r="DB830">
        <f>IF($B$37=0,"",IFERROR(TRIM(SUBSTITUTE(SUBSTITUTE(SUBSTITUTE(SUBSTITUTE(INDEX(PASTE_ALL,826,$B$37)," "," "),CHAR(9)," "),CHAR(10)," "),CHAR(13)," ")),""))</f>
        <v/>
      </c>
      <c r="DC830">
        <f>IF(AND(826&gt;HEADER_ROW,UPPER(DB830)="LEGEND"),1,0)</f>
        <v/>
      </c>
      <c r="DE830" t="n">
        <v>826</v>
      </c>
      <c r="DF830">
        <f>HEADER_ROW+$DE830</f>
        <v/>
      </c>
      <c r="DG830">
        <f>IF(AND($DF830&lt;=1000,$DF830&lt;$B$8),1,0)</f>
        <v/>
      </c>
      <c r="DH830">
        <f>IF($DG830=1,IFERROR(INDEX($DB$5:$DB$1004,$DF830),""),"")</f>
        <v/>
      </c>
      <c r="DI830">
        <f>IF(AND($DG830=1,$DH830&lt;&gt;""),IFERROR(SUBSTITUTE(SUBSTITUTE(TRIM(SUBSTITUTE(SUBSTITUTE(SUBSTITUTE(SUBSTITUTE(IFERROR(INDEX(PASTE_ALL,$DF830,1)&amp;"","")&amp;"␟"&amp;IFERROR(INDEX(PASTE_ALL,$DF830,2)&amp;"","")&amp;"␟"&amp;IFERROR(INDEX(PASTE_ALL,$DF830,3)&amp;"","")&amp;"␟"&amp;IFERROR(INDEX(PASTE_ALL,$DF830,4)&amp;"","")&amp;"␟"&amp;IFERROR(INDEX(PASTE_ALL,$DF830,5)&amp;"","")&amp;"␟"&amp;IFERROR(INDEX(PASTE_ALL,$DF830,6)&amp;"","")&amp;"␟"&amp;IFERROR(INDEX(PASTE_ALL,$DF830,7)&amp;"","")&amp;"␟"&amp;IFERROR(INDEX(PASTE_ALL,$DF830,8)&amp;"","")&amp;"␟"&amp;IFERROR(INDEX(PASTE_ALL,$DF830,9)&amp;"","")&amp;"␟"&amp;IFERROR(INDEX(PASTE_ALL,$DF830,10)&amp;"","")&amp;"␟"&amp;IFERROR(INDEX(PASTE_ALL,$DF830,11)&amp;"","")&amp;"␟"&amp;IFERROR(INDEX(PASTE_ALL,$DF830,12)&amp;"","")&amp;"␟"&amp;IFERROR(INDEX(PASTE_ALL,$DF830,13)&amp;"","")&amp;"␟"&amp;IFERROR(INDEX(PASTE_ALL,$DF830,14)&amp;"","")&amp;"␟"&amp;IFERROR(INDEX(PASTE_ALL,$DF830,15)&amp;"","")&amp;"␟"&amp;IFERROR(INDEX(PASTE_ALL,$DF830,16)&amp;"","")&amp;"␟"&amp;IFERROR(INDEX(PASTE_ALL,$DF830,17)&amp;"","")&amp;"␟"&amp;IFERROR(INDEX(PASTE_ALL,$DF830,18)&amp;"","")&amp;"␟"&amp;IFERROR(INDEX(PASTE_ALL,$DF830,19)&amp;"","")&amp;"␟"&amp;IFERROR(INDEX(PASTE_ALL,$DF830,20)&amp;"","")&amp;"␟"&amp;IFERROR(INDEX(PASTE_ALL,$DF830,21)&amp;"","")&amp;"␟"&amp;IFERROR(INDEX(PASTE_ALL,$DF830,22)&amp;"","")&amp;"␟"&amp;IFERROR(INDEX(PASTE_ALL,$DF830,23)&amp;"","")&amp;"␟"&amp;IFERROR(INDEX(PASTE_ALL,$DF830,24)&amp;"","")&amp;"␟"&amp;IFERROR(INDEX(PASTE_ALL,$DF830,25)&amp;"","")&amp;"␟"&amp;IFERROR(INDEX(PASTE_ALL,$DF830,26)&amp;"","")&amp;"␟"&amp;IFERROR(INDEX(PASTE_ALL,$DF830,27)&amp;"","")&amp;"␟"&amp;IFERROR(INDEX(PASTE_ALL,$DF830,28)&amp;"","")&amp;"␟"&amp;IFERROR(INDEX(PASTE_ALL,$DF830,29)&amp;"","")&amp;"␟"&amp;IFERROR(INDEX(PASTE_ALL,$DF830,30)&amp;"","")&amp;"␟"&amp;IFERROR(INDEX(PASTE_ALL,$DF830,31)&amp;"","")&amp;"␟"&amp;IFERROR(INDEX(PASTE_ALL,$DF830,32)&amp;"","")&amp;"␟"&amp;IFERROR(INDEX(PASTE_ALL,$DF830,33)&amp;"","")&amp;"␟"&amp;IFERROR(INDEX(PASTE_ALL,$DF830,34)&amp;"","")&amp;"␟"&amp;IFERROR(INDEX(PASTE_ALL,$DF830,35)&amp;"","")&amp;"␟"&amp;IFERROR(INDEX(PASTE_ALL,$DF830,36)&amp;"","")&amp;"␟"&amp;IFERROR(INDEX(PASTE_ALL,$DF830,37)&amp;"","")&amp;"␟"&amp;IFERROR(INDEX(PASTE_ALL,$DF830,38)&amp;"","")&amp;"␟"&amp;IFERROR(INDEX(PASTE_ALL,$DF830,39)&amp;"","")&amp;"␟"&amp;IFERROR(INDEX(PASTE_ALL,$DF830,40)&amp;"","")&amp;"␟"&amp;IFERROR(INDEX(PASTE_ALL,$DF830,41)&amp;"","")&amp;"␟"&amp;IFERROR(INDEX(PASTE_ALL,$DF830,42)&amp;"","")&amp;"␟"&amp;IFERROR(INDEX(PASTE_ALL,$DF830,43)&amp;"","")&amp;"␟"&amp;IFERROR(INDEX(PASTE_ALL,$DF830,44)&amp;"","")&amp;"␟"&amp;IFERROR(INDEX(PASTE_ALL,$DF830,45)&amp;"","")&amp;"␟"&amp;IFERROR(INDEX(PASTE_ALL,$DF830,46)&amp;"","")&amp;"␟"&amp;IFERROR(INDEX(PASTE_ALL,$DF830,47)&amp;"","")&amp;"␟"&amp;IFERROR(INDEX(PASTE_ALL,$DF830,48)&amp;"","")&amp;"␟"&amp;IFERROR(INDEX(PASTE_ALL,$DF830,49)&amp;"","")&amp;"␟"&amp;IFERROR(INDEX(PASTE_ALL,$DF830,50)&amp;"","")&amp;"␟"&amp;IFERROR(INDEX(PASTE_ALL,$DF830,51)&amp;"","")&amp;"␟"&amp;IFERROR(INDEX(PASTE_ALL,$DF830,52)&amp;"","")&amp;"␟"&amp;IFERROR(INDEX(PASTE_ALL,$DF830,53)&amp;"","")&amp;"␟"&amp;IFERROR(INDEX(PASTE_ALL,$DF830,54)&amp;"","")&amp;"␟"&amp;IFERROR(INDEX(PASTE_ALL,$DF830,55)&amp;"","")&amp;"␟"&amp;IFERROR(INDEX(PASTE_ALL,$DF830,56)&amp;"","")&amp;"␟"&amp;IFERROR(INDEX(PASTE_ALL,$DF830,57)&amp;"","")&amp;"␟"&amp;IFERROR(INDEX(PASTE_ALL,$DF830,58)&amp;"","")&amp;"␟"&amp;IFERROR(INDEX(PASTE_ALL,$DF830,59)&amp;"","")&amp;"␟"&amp;IFERROR(INDEX(PASTE_ALL,$DF830,60)&amp;"","")," "," "),CHAR(9)," "),CHAR(10)," "),CHAR(13)," "))," ␟","␟"),"␟ ","␟"),"#"&amp;$DE830),"")</f>
        <v/>
      </c>
      <c r="DJ830">
        <f>IF($DI830="",0,IF(SUMPRODUCT(--EXACT($DI$4:DI829,$DI830))&gt;0,1,0))</f>
        <v/>
      </c>
      <c r="DK830">
        <f>IF(AND($DI830&lt;&gt;"",$DJ830=0),1,0)</f>
        <v/>
      </c>
      <c r="DL830">
        <f>DL829+$DK830</f>
        <v/>
      </c>
      <c r="DM830">
        <f>IF(AND($DK830=1,$DL830&lt;=600),1,0)</f>
        <v/>
      </c>
      <c r="DN830">
        <f>IF($DM830=0,"",IF($L$6=0,"",IFERROR(IF(ISNUMBER(INDEX(PASTE_ALL,$DF830,$L$6)),INDEX(PASTE_ALL,$DF830,$L$6),TRIM(SUBSTITUTE(SUBSTITUTE(SUBSTITUTE(SUBSTITUTE(INDEX(PASTE_ALL,$DF830,$L$6)," "," "),CHAR(9)," "),CHAR(10)," "),CHAR(13)," "))),"")))</f>
        <v/>
      </c>
      <c r="DO830">
        <f>IF($DM830=0,"",IF($L$7=0,"",IFERROR(IF(ISNUMBER(INDEX(PASTE_ALL,$DF830,$L$7)),INDEX(PASTE_ALL,$DF830,$L$7),TRIM(SUBSTITUTE(SUBSTITUTE(SUBSTITUTE(SUBSTITUTE(INDEX(PASTE_ALL,$DF830,$L$7)," "," "),CHAR(9)," "),CHAR(10)," "),CHAR(13)," "))),"")))</f>
        <v/>
      </c>
      <c r="DP830">
        <f>IF($DM830=0,"",IF($L$8=0,"",IFERROR(IF(ISNUMBER(INDEX(PASTE_ALL,$DF830,$L$8)),INDEX(PASTE_ALL,$DF830,$L$8),TRIM(SUBSTITUTE(SUBSTITUTE(SUBSTITUTE(SUBSTITUTE(INDEX(PASTE_ALL,$DF830,$L$8)," "," "),CHAR(9)," "),CHAR(10)," "),CHAR(13)," "))),"")))</f>
        <v/>
      </c>
      <c r="DQ830">
        <f>IF($DM830=0,"",IF($L$9=0,"",IFERROR(IF(ISNUMBER(INDEX(PASTE_ALL,$DF830,$L$9)),INDEX(PASTE_ALL,$DF830,$L$9),TRIM(SUBSTITUTE(SUBSTITUTE(SUBSTITUTE(SUBSTITUTE(INDEX(PASTE_ALL,$DF830,$L$9)," "," "),CHAR(9)," "),CHAR(10)," "),CHAR(13)," "))),"")))</f>
        <v/>
      </c>
      <c r="DR830">
        <f>IF($DM830=0,"",IF($L$10=0,"",IFERROR(IF(ISNUMBER(INDEX(PASTE_ALL,$DF830,$L$10)),INDEX(PASTE_ALL,$DF830,$L$10),TRIM(SUBSTITUTE(SUBSTITUTE(SUBSTITUTE(SUBSTITUTE(INDEX(PASTE_ALL,$DF830,$L$10)," "," "),CHAR(9)," "),CHAR(10)," "),CHAR(13)," "))),"")))</f>
        <v/>
      </c>
      <c r="DS830">
        <f>IF($DM830=0,"",IF($L$11=0,"",IFERROR(IF(ISNUMBER(INDEX(PASTE_ALL,$DF830,$L$11)),INDEX(PASTE_ALL,$DF830,$L$11),TRIM(SUBSTITUTE(SUBSTITUTE(SUBSTITUTE(SUBSTITUTE(INDEX(PASTE_ALL,$DF830,$L$11)," "," "),CHAR(9)," "),CHAR(10)," "),CHAR(13)," "))),"")))</f>
        <v/>
      </c>
      <c r="DT830">
        <f>IF($DM830=0,"",IF($L$12=0,"",IFERROR(IF(ISNUMBER(INDEX(PASTE_ALL,$DF830,$L$12)),INDEX(PASTE_ALL,$DF830,$L$12),TRIM(SUBSTITUTE(SUBSTITUTE(SUBSTITUTE(SUBSTITUTE(INDEX(PASTE_ALL,$DF830,$L$12)," "," "),CHAR(9)," "),CHAR(10)," "),CHAR(13)," "))),"")))</f>
        <v/>
      </c>
      <c r="DU830">
        <f>IF($DM830=0,"",IF($L$13=0,"",IFERROR(IF(ISNUMBER(INDEX(PASTE_ALL,$DF830,$L$13)),INDEX(PASTE_ALL,$DF830,$L$13),TRIM(SUBSTITUTE(SUBSTITUTE(SUBSTITUTE(SUBSTITUTE(INDEX(PASTE_ALL,$DF830,$L$13)," "," "),CHAR(9)," "),CHAR(10)," "),CHAR(13)," "))),"")))</f>
        <v/>
      </c>
      <c r="DV830">
        <f>IF($DM830=0,"",IF($L$14=0,"",IFERROR(IF(ISNUMBER(INDEX(PASTE_ALL,$DF830,$L$14)),INDEX(PASTE_ALL,$DF830,$L$14),TRIM(SUBSTITUTE(SUBSTITUTE(SUBSTITUTE(SUBSTITUTE(INDEX(PASTE_ALL,$DF830,$L$14)," "," "),CHAR(9)," "),CHAR(10)," "),CHAR(13)," "))),"")))</f>
        <v/>
      </c>
      <c r="DW830">
        <f>IF($DM830=0,"",IF($L$15=0,"",IFERROR(IF(ISNUMBER(INDEX(PASTE_ALL,$DF830,$L$15)),INDEX(PASTE_ALL,$DF830,$L$15),IF(SUMPRODUCT(--ISNUMBER(FIND({"A","B","C","D","E","F","G","H","I","J","K","L","M","N","O","P","Q","R","S","T","U","V","W","X","Y","Z","0","1","2","3","4","5","6","7","8","9"},UPPER(TRIM(SUBSTITUTE(SUBSTITUTE(SUBSTITUTE(SUBSTITUTE(INDEX(PASTE_ALL,$DF830,$L$15)," "," "),CHAR(9)," "),CHAR(10)," "),CHAR(13)," "))))))&gt;0,TRIM(SUBSTITUTE(SUBSTITUTE(SUBSTITUTE(SUBSTITUTE(INDEX(PASTE_ALL,$DF830,$L$15)," "," "),CHAR(9)," "),CHAR(10)," "),CHAR(13)," ")),"")),"")))</f>
        <v/>
      </c>
      <c r="DX830">
        <f>IF($DM830=0,"",IF($L$16=0,"",IFERROR(IF(ISNUMBER(INDEX(PASTE_ALL,$DF830,$L$16)),INDEX(PASTE_ALL,$DF830,$L$16),SUBSTITUTE(SUBSTITUTE(TRIM(SUBSTITUTE(SUBSTITUTE(SUBSTITUTE(SUBSTITUTE(INDEX(PASTE_ALL,$DF830,$L$16)," "," "),CHAR(9)," "),CHAR(10)," "),CHAR(13)," ")),",",""),"%","")),"")))</f>
        <v/>
      </c>
      <c r="DY830">
        <f>IF($DM830=0,"",IFERROR(IF(ISNUMBER($DX830),$DX830,IF($DX830="","",IF(TRIM($DX830)="",0,IF(AND(AND(SUBSTITUTE(SUBSTITUTE(SUBSTITUTE(SUBSTITUTE(SUBSTITUTE(SUBSTITUTE(SUBSTITUTE(SUBSTITUTE(SUBSTITUTE(SUBSTITUTE(SUBSTITUTE(SUBSTITUTE(SUBSTITUTE(SUBSTITUTE(UPPER(TRIM($DX830)),"0",""),"1",""),"2",""),"3",""),"4",""),"5",""),"6",""),"7",""),"8",""),"9",""),".",""),"+",""),"-",""),"E","")="",LEN(SUBSTITUTE(SUBSTITUTE(MID(UPPER(TRIM($DX830)),1+OR(LEFT(UPPER(TRIM($DX830)),1)="+",LEFT(UPPER(TRIM($DX830)),1)="-"),999),"E+","E"),"E-","E"))=LEN(SUBSTITUTE(SUBSTITUTE(SUBSTITUTE(SUBSTITUTE(MID(UPPER(TRIM($DX830)),1+OR(LEFT(UPPER(TRIM($DX830)),1)="+",LEFT(UPPER(TRIM($DX830)),1)="-"),999),"E+","E"),"E-","E"),"+",""),"-","")),LEN(UPPER(TRIM($DX830)))-LEN(SUBSTITUTE(UPPER(TRIM($DX830)),"E",""))&lt;2,LEN(UPPER(TRIM($DX830)))-LEN(SUBSTITUTE(UPPER(TRIM($DX830)),".",""))&lt;2,IFERROR(FIND(".",UPPER(TRIM($DX830))),0)&lt;IFERROR(FIND("E",UPPER(TRIM($DX830))),999)),ISNUMBER(VALUE(TRIM($DX830)))),VALUE(TRIM($DX830)),"")))),""))</f>
        <v/>
      </c>
      <c r="DZ830">
        <f>IF($DM830=0,"",IF($L$17=0,"",IFERROR(IF(ISNUMBER(INDEX(PASTE_ALL,$DF830,$L$17)),INDEX(PASTE_ALL,$DF830,$L$17),SUBSTITUTE(SUBSTITUTE(TRIM(SUBSTITUTE(SUBSTITUTE(SUBSTITUTE(SUBSTITUTE(INDEX(PASTE_ALL,$DF830,$L$17)," "," "),CHAR(9)," "),CHAR(10)," "),CHAR(13)," ")),",",""),"%","")),"")))</f>
        <v/>
      </c>
      <c r="EA830">
        <f>IF($DM830=0,"",IFERROR(IF(ISNUMBER($DZ830),$DZ830,IF($DZ830="","",IF(TRIM($DZ830)="",0,IF(AND(AND(SUBSTITUTE(SUBSTITUTE(SUBSTITUTE(SUBSTITUTE(SUBSTITUTE(SUBSTITUTE(SUBSTITUTE(SUBSTITUTE(SUBSTITUTE(SUBSTITUTE(SUBSTITUTE(SUBSTITUTE(SUBSTITUTE(SUBSTITUTE(UPPER(TRIM($DZ830)),"0",""),"1",""),"2",""),"3",""),"4",""),"5",""),"6",""),"7",""),"8",""),"9",""),".",""),"+",""),"-",""),"E","")="",LEN(SUBSTITUTE(SUBSTITUTE(MID(UPPER(TRIM($DZ830)),1+OR(LEFT(UPPER(TRIM($DZ830)),1)="+",LEFT(UPPER(TRIM($DZ830)),1)="-"),999),"E+","E"),"E-","E"))=LEN(SUBSTITUTE(SUBSTITUTE(SUBSTITUTE(SUBSTITUTE(MID(UPPER(TRIM($DZ830)),1+OR(LEFT(UPPER(TRIM($DZ830)),1)="+",LEFT(UPPER(TRIM($DZ830)),1)="-"),999),"E+","E"),"E-","E"),"+",""),"-","")),LEN(UPPER(TRIM($DZ830)))-LEN(SUBSTITUTE(UPPER(TRIM($DZ830)),"E",""))&lt;2,LEN(UPPER(TRIM($DZ830)))-LEN(SUBSTITUTE(UPPER(TRIM($DZ830)),".",""))&lt;2,IFERROR(FIND(".",UPPER(TRIM($DZ830))),0)&lt;IFERROR(FIND("E",UPPER(TRIM($DZ830))),999)),ISNUMBER(VALUE(TRIM($DZ830)))),VALUE(TRIM($DZ830)),"")))),""))</f>
        <v/>
      </c>
      <c r="EB830">
        <f>IF($DM830=0,"",IF($L$18=0,"",IFERROR(IF(UPPER(TRIM(SUBSTITUTE(SUBSTITUTE(SUBSTITUTE(SUBSTITUTE(INDEX(PASTE_ALL,$DF830,$L$18)," "," "),CHAR(9)," "),CHAR(10)," "),CHAR(13)," ")))="READY","Ready",IF(UPPER(TRIM(SUBSTITUTE(SUBSTITUTE(SUBSTITUTE(SUBSTITUTE(INDEX(PASTE_ALL,$DF830,$L$18)," "," "),CHAR(9)," "),CHAR(10)," "),CHAR(13)," ")))="PM","PM",IF(OR(UPPER(TRIM(SUBSTITUTE(SUBSTITUTE(SUBSTITUTE(SUBSTITUTE(INDEX(PASTE_ALL,$DF830,$L$18)," "," "),CHAR(9)," "),CHAR(10)," "),CHAR(13)," ")))="OT",UPPER(TRIM(SUBSTITUTE(SUBSTITUTE(SUBSTITUTE(SUBSTITUTE(INDEX(PASTE_ALL,$DF830,$L$18)," "," "),CHAR(9)," "),CHAR(10)," "),CHAR(13)," ")))="OVERTIME",UPPER(TRIM(SUBSTITUTE(SUBSTITUTE(SUBSTITUTE(SUBSTITUTE(INDEX(PASTE_ALL,$DF830,$L$18)," "," "),CHAR(9)," "),CHAR(10)," "),CHAR(13)," ")))="TRIAL"),"OT",TRIM(SUBSTITUTE(SUBSTITUTE(SUBSTITUTE(SUBSTITUTE(INDEX(PASTE_ALL,$DF830,$L$18)," "," "),CHAR(9)," "),CHAR(10)," "),CHAR(13)," "))))),"")))</f>
        <v/>
      </c>
      <c r="EC830">
        <f>IF($DM830=0,"",IF($L$19=0,"",IFERROR(IF(ISNUMBER(INDEX(PASTE_ALL,$DF830,$L$19)),INDEX(PASTE_ALL,$DF830,$L$19),TRIM(SUBSTITUTE(SUBSTITUTE(SUBSTITUTE(SUBSTITUTE(INDEX(PASTE_ALL,$DF830,$L$19)," "," "),CHAR(9)," "),CHAR(10)," "),CHAR(13)," "))),"")))</f>
        <v/>
      </c>
      <c r="ED830">
        <f>IF($DM830=0,"",MATCH(1,INDEX(EXACT($DH$5:DH830,$DH830)*$DM$5:DM830,0),0))</f>
        <v/>
      </c>
      <c r="EE830">
        <f>IF($DM830=0,0,IF($ED830=$DE830,1,0))</f>
        <v/>
      </c>
      <c r="EF830">
        <f>EF829+$EE830</f>
        <v/>
      </c>
      <c r="EG830">
        <f>IF($DM830=0,"",INDEX($EF$5:$EF$1003,$ED830))</f>
        <v/>
      </c>
      <c r="EH830">
        <f>IF($DM830=0,"",IF($DO830&lt;&gt;"","",IFERROR(LOOKUP(2,1/(($EG$4:EG829=$EG830)*($DO$4:DO829&lt;&gt;"")),$DO$4:DO829),"")))</f>
        <v/>
      </c>
      <c r="EI830">
        <f>IF($DM830=0,"",IF($DO830&lt;&gt;"",$DO830,$EH830))</f>
        <v/>
      </c>
      <c r="EJ830">
        <f>IF($DM830=0,"",IF($EI830="",0,IF(OR(ISNUMBER($EI830),AND(AND(SUBSTITUTE(SUBSTITUTE(SUBSTITUTE(SUBSTITUTE(SUBSTITUTE(SUBSTITUTE(SUBSTITUTE(SUBSTITUTE(SUBSTITUTE(SUBSTITUTE(SUBSTITUTE(SUBSTITUTE(SUBSTITUTE(SUBSTITUTE(UPPER($EI830),"0",""),"1",""),"2",""),"3",""),"4",""),"5",""),"6",""),"7",""),"8",""),"9",""),".",""),"+",""),"-",""),"E","")="",LEN(SUBSTITUTE(SUBSTITUTE(MID(UPPER($EI830),1+OR(LEFT(UPPER($EI830),1)="+",LEFT(UPPER($EI830),1)="-"),999),"E+","E"),"E-","E"))=LEN(SUBSTITUTE(SUBSTITUTE(SUBSTITUTE(SUBSTITUTE(MID(UPPER($EI830),1+OR(LEFT(UPPER($EI830),1)="+",LEFT(UPPER($EI830),1)="-"),999),"E+","E"),"E-","E"),"+",""),"-","")),LEN(UPPER($EI830))-LEN(SUBSTITUTE(UPPER($EI830),"E",""))&lt;2,LEN(UPPER($EI830))-LEN(SUBSTITUTE(UPPER($EI830),".",""))&lt;2,IFERROR(FIND(".",UPPER($EI830)),0)&lt;IFERROR(FIND("E",UPPER($EI830)),999)),ISNUMBER(VALUE($EI830)))),1,2)))</f>
        <v/>
      </c>
      <c r="EK830">
        <f>IF($DM830=0,"",IF($EJ830=1,IF(ISNUMBER($EI830),$EI830,VALUE($EI830)),IF($EJ830=2,$DE830,0)))</f>
        <v/>
      </c>
      <c r="EL830">
        <f>IF($DM830=0,"",COUNTIF($EG$5:$EG$1003,"&lt;"&amp;$EG830)+SUMPRODUCT(($EG$5:$EG$1003=$EG830)*(($EJ$5:$EJ$1003&lt;$EJ830)+($EJ$5:$EJ$1003=$EJ830)*(($EK$5:$EK$1003&lt;$EK830)+($EK$5:$EK$1003=$EK830)*($DE$5:$DE$1003&lt;$DE830))))+1)</f>
        <v/>
      </c>
      <c r="EM830">
        <f>IF($DM830=0,"",$EL830+$EG830-1)</f>
        <v/>
      </c>
      <c r="EN830">
        <f>IF($DM830=0,0,IFERROR(MATCH(1,INDEX(--(TRIM(SUBSTITUTE(SUBSTITUTE(SUBSTITUTE(SUBSTITUTE(LINES_NAME&amp;""," "," "),CHAR(9)," "),CHAR(10)," "),CHAR(13)," "))=$DH830),0),0),0))</f>
        <v/>
      </c>
      <c r="EO830">
        <f>IF($EN830=0,0,IF(OR(UPPER(TRIM(INDEX(LINES_SCHEDULED,$EN830)&amp;""))="YES",UPPER(TRIM(INDEX(LINES_SCHEDULED,$EN830)&amp;""))="Y",UPPER(TRIM(INDEX(LINES_SCHEDULED,$EN830)&amp;""))="X"),1,0))</f>
        <v/>
      </c>
      <c r="EP830">
        <f>IF($DM830=0,"",IF(COUNTIFS($EG$5:$EG$1003,$EG830,$EB$5:$EB$1003,"Ready")&gt;0,"READY",IF(COUNTIFS($EG$5:$EG$1003,$EG830,$EB$5:$EB$1003,"PM")&gt;0,"PM",IF(COUNTIFS($EG$5:$EG$1003,$EG830,$EB$5:$EB$1003,"OT")&gt;0,"OT",""))))</f>
        <v/>
      </c>
      <c r="EQ830">
        <f>IF($EN830=0,"",UPPER(TRIM(INDEX(LINES_STATUS,$EN830)&amp;"")))</f>
        <v/>
      </c>
      <c r="ER830">
        <f>IF($DM830=0,"",IF(OR($EQ830="READY",$EQ830="PM",$EQ830="OT"),$EQ830,$EP830))</f>
        <v/>
      </c>
      <c r="ES830">
        <f>IF($DM830=0,"",IF(AND($DV830&lt;&gt;"",UPPER($DV830)&lt;&gt;"N"),"allergen",IF(ISNUMBER(SEARCH("oil",$DQ830)),"oil",IF(OR(EXACT($DS830,"A662"),EXACT($DS830,"A624")),"bulk",""))))</f>
        <v/>
      </c>
      <c r="ET830">
        <f>IF($DM830=0,"",IF(OR($EA830="",$EA830=0),"",$EA830/100))</f>
        <v/>
      </c>
      <c r="EU830">
        <f>IF(OR($ET830="",$DY830=""),"",INT($DY830*(1-$ET830)+0.5))</f>
        <v/>
      </c>
    </row>
    <row r="831">
      <c r="DA831" t="n">
        <v>827</v>
      </c>
      <c r="DB831">
        <f>IF($B$37=0,"",IFERROR(TRIM(SUBSTITUTE(SUBSTITUTE(SUBSTITUTE(SUBSTITUTE(INDEX(PASTE_ALL,827,$B$37)," "," "),CHAR(9)," "),CHAR(10)," "),CHAR(13)," ")),""))</f>
        <v/>
      </c>
      <c r="DC831">
        <f>IF(AND(827&gt;HEADER_ROW,UPPER(DB831)="LEGEND"),1,0)</f>
        <v/>
      </c>
      <c r="DE831" t="n">
        <v>827</v>
      </c>
      <c r="DF831">
        <f>HEADER_ROW+$DE831</f>
        <v/>
      </c>
      <c r="DG831">
        <f>IF(AND($DF831&lt;=1000,$DF831&lt;$B$8),1,0)</f>
        <v/>
      </c>
      <c r="DH831">
        <f>IF($DG831=1,IFERROR(INDEX($DB$5:$DB$1004,$DF831),""),"")</f>
        <v/>
      </c>
      <c r="DI831">
        <f>IF(AND($DG831=1,$DH831&lt;&gt;""),IFERROR(SUBSTITUTE(SUBSTITUTE(TRIM(SUBSTITUTE(SUBSTITUTE(SUBSTITUTE(SUBSTITUTE(IFERROR(INDEX(PASTE_ALL,$DF831,1)&amp;"","")&amp;"␟"&amp;IFERROR(INDEX(PASTE_ALL,$DF831,2)&amp;"","")&amp;"␟"&amp;IFERROR(INDEX(PASTE_ALL,$DF831,3)&amp;"","")&amp;"␟"&amp;IFERROR(INDEX(PASTE_ALL,$DF831,4)&amp;"","")&amp;"␟"&amp;IFERROR(INDEX(PASTE_ALL,$DF831,5)&amp;"","")&amp;"␟"&amp;IFERROR(INDEX(PASTE_ALL,$DF831,6)&amp;"","")&amp;"␟"&amp;IFERROR(INDEX(PASTE_ALL,$DF831,7)&amp;"","")&amp;"␟"&amp;IFERROR(INDEX(PASTE_ALL,$DF831,8)&amp;"","")&amp;"␟"&amp;IFERROR(INDEX(PASTE_ALL,$DF831,9)&amp;"","")&amp;"␟"&amp;IFERROR(INDEX(PASTE_ALL,$DF831,10)&amp;"","")&amp;"␟"&amp;IFERROR(INDEX(PASTE_ALL,$DF831,11)&amp;"","")&amp;"␟"&amp;IFERROR(INDEX(PASTE_ALL,$DF831,12)&amp;"","")&amp;"␟"&amp;IFERROR(INDEX(PASTE_ALL,$DF831,13)&amp;"","")&amp;"␟"&amp;IFERROR(INDEX(PASTE_ALL,$DF831,14)&amp;"","")&amp;"␟"&amp;IFERROR(INDEX(PASTE_ALL,$DF831,15)&amp;"","")&amp;"␟"&amp;IFERROR(INDEX(PASTE_ALL,$DF831,16)&amp;"","")&amp;"␟"&amp;IFERROR(INDEX(PASTE_ALL,$DF831,17)&amp;"","")&amp;"␟"&amp;IFERROR(INDEX(PASTE_ALL,$DF831,18)&amp;"","")&amp;"␟"&amp;IFERROR(INDEX(PASTE_ALL,$DF831,19)&amp;"","")&amp;"␟"&amp;IFERROR(INDEX(PASTE_ALL,$DF831,20)&amp;"","")&amp;"␟"&amp;IFERROR(INDEX(PASTE_ALL,$DF831,21)&amp;"","")&amp;"␟"&amp;IFERROR(INDEX(PASTE_ALL,$DF831,22)&amp;"","")&amp;"␟"&amp;IFERROR(INDEX(PASTE_ALL,$DF831,23)&amp;"","")&amp;"␟"&amp;IFERROR(INDEX(PASTE_ALL,$DF831,24)&amp;"","")&amp;"␟"&amp;IFERROR(INDEX(PASTE_ALL,$DF831,25)&amp;"","")&amp;"␟"&amp;IFERROR(INDEX(PASTE_ALL,$DF831,26)&amp;"","")&amp;"␟"&amp;IFERROR(INDEX(PASTE_ALL,$DF831,27)&amp;"","")&amp;"␟"&amp;IFERROR(INDEX(PASTE_ALL,$DF831,28)&amp;"","")&amp;"␟"&amp;IFERROR(INDEX(PASTE_ALL,$DF831,29)&amp;"","")&amp;"␟"&amp;IFERROR(INDEX(PASTE_ALL,$DF831,30)&amp;"","")&amp;"␟"&amp;IFERROR(INDEX(PASTE_ALL,$DF831,31)&amp;"","")&amp;"␟"&amp;IFERROR(INDEX(PASTE_ALL,$DF831,32)&amp;"","")&amp;"␟"&amp;IFERROR(INDEX(PASTE_ALL,$DF831,33)&amp;"","")&amp;"␟"&amp;IFERROR(INDEX(PASTE_ALL,$DF831,34)&amp;"","")&amp;"␟"&amp;IFERROR(INDEX(PASTE_ALL,$DF831,35)&amp;"","")&amp;"␟"&amp;IFERROR(INDEX(PASTE_ALL,$DF831,36)&amp;"","")&amp;"␟"&amp;IFERROR(INDEX(PASTE_ALL,$DF831,37)&amp;"","")&amp;"␟"&amp;IFERROR(INDEX(PASTE_ALL,$DF831,38)&amp;"","")&amp;"␟"&amp;IFERROR(INDEX(PASTE_ALL,$DF831,39)&amp;"","")&amp;"␟"&amp;IFERROR(INDEX(PASTE_ALL,$DF831,40)&amp;"","")&amp;"␟"&amp;IFERROR(INDEX(PASTE_ALL,$DF831,41)&amp;"","")&amp;"␟"&amp;IFERROR(INDEX(PASTE_ALL,$DF831,42)&amp;"","")&amp;"␟"&amp;IFERROR(INDEX(PASTE_ALL,$DF831,43)&amp;"","")&amp;"␟"&amp;IFERROR(INDEX(PASTE_ALL,$DF831,44)&amp;"","")&amp;"␟"&amp;IFERROR(INDEX(PASTE_ALL,$DF831,45)&amp;"","")&amp;"␟"&amp;IFERROR(INDEX(PASTE_ALL,$DF831,46)&amp;"","")&amp;"␟"&amp;IFERROR(INDEX(PASTE_ALL,$DF831,47)&amp;"","")&amp;"␟"&amp;IFERROR(INDEX(PASTE_ALL,$DF831,48)&amp;"","")&amp;"␟"&amp;IFERROR(INDEX(PASTE_ALL,$DF831,49)&amp;"","")&amp;"␟"&amp;IFERROR(INDEX(PASTE_ALL,$DF831,50)&amp;"","")&amp;"␟"&amp;IFERROR(INDEX(PASTE_ALL,$DF831,51)&amp;"","")&amp;"␟"&amp;IFERROR(INDEX(PASTE_ALL,$DF831,52)&amp;"","")&amp;"␟"&amp;IFERROR(INDEX(PASTE_ALL,$DF831,53)&amp;"","")&amp;"␟"&amp;IFERROR(INDEX(PASTE_ALL,$DF831,54)&amp;"","")&amp;"␟"&amp;IFERROR(INDEX(PASTE_ALL,$DF831,55)&amp;"","")&amp;"␟"&amp;IFERROR(INDEX(PASTE_ALL,$DF831,56)&amp;"","")&amp;"␟"&amp;IFERROR(INDEX(PASTE_ALL,$DF831,57)&amp;"","")&amp;"␟"&amp;IFERROR(INDEX(PASTE_ALL,$DF831,58)&amp;"","")&amp;"␟"&amp;IFERROR(INDEX(PASTE_ALL,$DF831,59)&amp;"","")&amp;"␟"&amp;IFERROR(INDEX(PASTE_ALL,$DF831,60)&amp;"","")," "," "),CHAR(9)," "),CHAR(10)," "),CHAR(13)," "))," ␟","␟"),"␟ ","␟"),"#"&amp;$DE831),"")</f>
        <v/>
      </c>
      <c r="DJ831">
        <f>IF($DI831="",0,IF(SUMPRODUCT(--EXACT($DI$4:DI830,$DI831))&gt;0,1,0))</f>
        <v/>
      </c>
      <c r="DK831">
        <f>IF(AND($DI831&lt;&gt;"",$DJ831=0),1,0)</f>
        <v/>
      </c>
      <c r="DL831">
        <f>DL830+$DK831</f>
        <v/>
      </c>
      <c r="DM831">
        <f>IF(AND($DK831=1,$DL831&lt;=600),1,0)</f>
        <v/>
      </c>
      <c r="DN831">
        <f>IF($DM831=0,"",IF($L$6=0,"",IFERROR(IF(ISNUMBER(INDEX(PASTE_ALL,$DF831,$L$6)),INDEX(PASTE_ALL,$DF831,$L$6),TRIM(SUBSTITUTE(SUBSTITUTE(SUBSTITUTE(SUBSTITUTE(INDEX(PASTE_ALL,$DF831,$L$6)," "," "),CHAR(9)," "),CHAR(10)," "),CHAR(13)," "))),"")))</f>
        <v/>
      </c>
      <c r="DO831">
        <f>IF($DM831=0,"",IF($L$7=0,"",IFERROR(IF(ISNUMBER(INDEX(PASTE_ALL,$DF831,$L$7)),INDEX(PASTE_ALL,$DF831,$L$7),TRIM(SUBSTITUTE(SUBSTITUTE(SUBSTITUTE(SUBSTITUTE(INDEX(PASTE_ALL,$DF831,$L$7)," "," "),CHAR(9)," "),CHAR(10)," "),CHAR(13)," "))),"")))</f>
        <v/>
      </c>
      <c r="DP831">
        <f>IF($DM831=0,"",IF($L$8=0,"",IFERROR(IF(ISNUMBER(INDEX(PASTE_ALL,$DF831,$L$8)),INDEX(PASTE_ALL,$DF831,$L$8),TRIM(SUBSTITUTE(SUBSTITUTE(SUBSTITUTE(SUBSTITUTE(INDEX(PASTE_ALL,$DF831,$L$8)," "," "),CHAR(9)," "),CHAR(10)," "),CHAR(13)," "))),"")))</f>
        <v/>
      </c>
      <c r="DQ831">
        <f>IF($DM831=0,"",IF($L$9=0,"",IFERROR(IF(ISNUMBER(INDEX(PASTE_ALL,$DF831,$L$9)),INDEX(PASTE_ALL,$DF831,$L$9),TRIM(SUBSTITUTE(SUBSTITUTE(SUBSTITUTE(SUBSTITUTE(INDEX(PASTE_ALL,$DF831,$L$9)," "," "),CHAR(9)," "),CHAR(10)," "),CHAR(13)," "))),"")))</f>
        <v/>
      </c>
      <c r="DR831">
        <f>IF($DM831=0,"",IF($L$10=0,"",IFERROR(IF(ISNUMBER(INDEX(PASTE_ALL,$DF831,$L$10)),INDEX(PASTE_ALL,$DF831,$L$10),TRIM(SUBSTITUTE(SUBSTITUTE(SUBSTITUTE(SUBSTITUTE(INDEX(PASTE_ALL,$DF831,$L$10)," "," "),CHAR(9)," "),CHAR(10)," "),CHAR(13)," "))),"")))</f>
        <v/>
      </c>
      <c r="DS831">
        <f>IF($DM831=0,"",IF($L$11=0,"",IFERROR(IF(ISNUMBER(INDEX(PASTE_ALL,$DF831,$L$11)),INDEX(PASTE_ALL,$DF831,$L$11),TRIM(SUBSTITUTE(SUBSTITUTE(SUBSTITUTE(SUBSTITUTE(INDEX(PASTE_ALL,$DF831,$L$11)," "," "),CHAR(9)," "),CHAR(10)," "),CHAR(13)," "))),"")))</f>
        <v/>
      </c>
      <c r="DT831">
        <f>IF($DM831=0,"",IF($L$12=0,"",IFERROR(IF(ISNUMBER(INDEX(PASTE_ALL,$DF831,$L$12)),INDEX(PASTE_ALL,$DF831,$L$12),TRIM(SUBSTITUTE(SUBSTITUTE(SUBSTITUTE(SUBSTITUTE(INDEX(PASTE_ALL,$DF831,$L$12)," "," "),CHAR(9)," "),CHAR(10)," "),CHAR(13)," "))),"")))</f>
        <v/>
      </c>
      <c r="DU831">
        <f>IF($DM831=0,"",IF($L$13=0,"",IFERROR(IF(ISNUMBER(INDEX(PASTE_ALL,$DF831,$L$13)),INDEX(PASTE_ALL,$DF831,$L$13),TRIM(SUBSTITUTE(SUBSTITUTE(SUBSTITUTE(SUBSTITUTE(INDEX(PASTE_ALL,$DF831,$L$13)," "," "),CHAR(9)," "),CHAR(10)," "),CHAR(13)," "))),"")))</f>
        <v/>
      </c>
      <c r="DV831">
        <f>IF($DM831=0,"",IF($L$14=0,"",IFERROR(IF(ISNUMBER(INDEX(PASTE_ALL,$DF831,$L$14)),INDEX(PASTE_ALL,$DF831,$L$14),TRIM(SUBSTITUTE(SUBSTITUTE(SUBSTITUTE(SUBSTITUTE(INDEX(PASTE_ALL,$DF831,$L$14)," "," "),CHAR(9)," "),CHAR(10)," "),CHAR(13)," "))),"")))</f>
        <v/>
      </c>
      <c r="DW831">
        <f>IF($DM831=0,"",IF($L$15=0,"",IFERROR(IF(ISNUMBER(INDEX(PASTE_ALL,$DF831,$L$15)),INDEX(PASTE_ALL,$DF831,$L$15),IF(SUMPRODUCT(--ISNUMBER(FIND({"A","B","C","D","E","F","G","H","I","J","K","L","M","N","O","P","Q","R","S","T","U","V","W","X","Y","Z","0","1","2","3","4","5","6","7","8","9"},UPPER(TRIM(SUBSTITUTE(SUBSTITUTE(SUBSTITUTE(SUBSTITUTE(INDEX(PASTE_ALL,$DF831,$L$15)," "," "),CHAR(9)," "),CHAR(10)," "),CHAR(13)," "))))))&gt;0,TRIM(SUBSTITUTE(SUBSTITUTE(SUBSTITUTE(SUBSTITUTE(INDEX(PASTE_ALL,$DF831,$L$15)," "," "),CHAR(9)," "),CHAR(10)," "),CHAR(13)," ")),"")),"")))</f>
        <v/>
      </c>
      <c r="DX831">
        <f>IF($DM831=0,"",IF($L$16=0,"",IFERROR(IF(ISNUMBER(INDEX(PASTE_ALL,$DF831,$L$16)),INDEX(PASTE_ALL,$DF831,$L$16),SUBSTITUTE(SUBSTITUTE(TRIM(SUBSTITUTE(SUBSTITUTE(SUBSTITUTE(SUBSTITUTE(INDEX(PASTE_ALL,$DF831,$L$16)," "," "),CHAR(9)," "),CHAR(10)," "),CHAR(13)," ")),",",""),"%","")),"")))</f>
        <v/>
      </c>
      <c r="DY831">
        <f>IF($DM831=0,"",IFERROR(IF(ISNUMBER($DX831),$DX831,IF($DX831="","",IF(TRIM($DX831)="",0,IF(AND(AND(SUBSTITUTE(SUBSTITUTE(SUBSTITUTE(SUBSTITUTE(SUBSTITUTE(SUBSTITUTE(SUBSTITUTE(SUBSTITUTE(SUBSTITUTE(SUBSTITUTE(SUBSTITUTE(SUBSTITUTE(SUBSTITUTE(SUBSTITUTE(UPPER(TRIM($DX831)),"0",""),"1",""),"2",""),"3",""),"4",""),"5",""),"6",""),"7",""),"8",""),"9",""),".",""),"+",""),"-",""),"E","")="",LEN(SUBSTITUTE(SUBSTITUTE(MID(UPPER(TRIM($DX831)),1+OR(LEFT(UPPER(TRIM($DX831)),1)="+",LEFT(UPPER(TRIM($DX831)),1)="-"),999),"E+","E"),"E-","E"))=LEN(SUBSTITUTE(SUBSTITUTE(SUBSTITUTE(SUBSTITUTE(MID(UPPER(TRIM($DX831)),1+OR(LEFT(UPPER(TRIM($DX831)),1)="+",LEFT(UPPER(TRIM($DX831)),1)="-"),999),"E+","E"),"E-","E"),"+",""),"-","")),LEN(UPPER(TRIM($DX831)))-LEN(SUBSTITUTE(UPPER(TRIM($DX831)),"E",""))&lt;2,LEN(UPPER(TRIM($DX831)))-LEN(SUBSTITUTE(UPPER(TRIM($DX831)),".",""))&lt;2,IFERROR(FIND(".",UPPER(TRIM($DX831))),0)&lt;IFERROR(FIND("E",UPPER(TRIM($DX831))),999)),ISNUMBER(VALUE(TRIM($DX831)))),VALUE(TRIM($DX831)),"")))),""))</f>
        <v/>
      </c>
      <c r="DZ831">
        <f>IF($DM831=0,"",IF($L$17=0,"",IFERROR(IF(ISNUMBER(INDEX(PASTE_ALL,$DF831,$L$17)),INDEX(PASTE_ALL,$DF831,$L$17),SUBSTITUTE(SUBSTITUTE(TRIM(SUBSTITUTE(SUBSTITUTE(SUBSTITUTE(SUBSTITUTE(INDEX(PASTE_ALL,$DF831,$L$17)," "," "),CHAR(9)," "),CHAR(10)," "),CHAR(13)," ")),",",""),"%","")),"")))</f>
        <v/>
      </c>
      <c r="EA831">
        <f>IF($DM831=0,"",IFERROR(IF(ISNUMBER($DZ831),$DZ831,IF($DZ831="","",IF(TRIM($DZ831)="",0,IF(AND(AND(SUBSTITUTE(SUBSTITUTE(SUBSTITUTE(SUBSTITUTE(SUBSTITUTE(SUBSTITUTE(SUBSTITUTE(SUBSTITUTE(SUBSTITUTE(SUBSTITUTE(SUBSTITUTE(SUBSTITUTE(SUBSTITUTE(SUBSTITUTE(UPPER(TRIM($DZ831)),"0",""),"1",""),"2",""),"3",""),"4",""),"5",""),"6",""),"7",""),"8",""),"9",""),".",""),"+",""),"-",""),"E","")="",LEN(SUBSTITUTE(SUBSTITUTE(MID(UPPER(TRIM($DZ831)),1+OR(LEFT(UPPER(TRIM($DZ831)),1)="+",LEFT(UPPER(TRIM($DZ831)),1)="-"),999),"E+","E"),"E-","E"))=LEN(SUBSTITUTE(SUBSTITUTE(SUBSTITUTE(SUBSTITUTE(MID(UPPER(TRIM($DZ831)),1+OR(LEFT(UPPER(TRIM($DZ831)),1)="+",LEFT(UPPER(TRIM($DZ831)),1)="-"),999),"E+","E"),"E-","E"),"+",""),"-","")),LEN(UPPER(TRIM($DZ831)))-LEN(SUBSTITUTE(UPPER(TRIM($DZ831)),"E",""))&lt;2,LEN(UPPER(TRIM($DZ831)))-LEN(SUBSTITUTE(UPPER(TRIM($DZ831)),".",""))&lt;2,IFERROR(FIND(".",UPPER(TRIM($DZ831))),0)&lt;IFERROR(FIND("E",UPPER(TRIM($DZ831))),999)),ISNUMBER(VALUE(TRIM($DZ831)))),VALUE(TRIM($DZ831)),"")))),""))</f>
        <v/>
      </c>
      <c r="EB831">
        <f>IF($DM831=0,"",IF($L$18=0,"",IFERROR(IF(UPPER(TRIM(SUBSTITUTE(SUBSTITUTE(SUBSTITUTE(SUBSTITUTE(INDEX(PASTE_ALL,$DF831,$L$18)," "," "),CHAR(9)," "),CHAR(10)," "),CHAR(13)," ")))="READY","Ready",IF(UPPER(TRIM(SUBSTITUTE(SUBSTITUTE(SUBSTITUTE(SUBSTITUTE(INDEX(PASTE_ALL,$DF831,$L$18)," "," "),CHAR(9)," "),CHAR(10)," "),CHAR(13)," ")))="PM","PM",IF(OR(UPPER(TRIM(SUBSTITUTE(SUBSTITUTE(SUBSTITUTE(SUBSTITUTE(INDEX(PASTE_ALL,$DF831,$L$18)," "," "),CHAR(9)," "),CHAR(10)," "),CHAR(13)," ")))="OT",UPPER(TRIM(SUBSTITUTE(SUBSTITUTE(SUBSTITUTE(SUBSTITUTE(INDEX(PASTE_ALL,$DF831,$L$18)," "," "),CHAR(9)," "),CHAR(10)," "),CHAR(13)," ")))="OVERTIME",UPPER(TRIM(SUBSTITUTE(SUBSTITUTE(SUBSTITUTE(SUBSTITUTE(INDEX(PASTE_ALL,$DF831,$L$18)," "," "),CHAR(9)," "),CHAR(10)," "),CHAR(13)," ")))="TRIAL"),"OT",TRIM(SUBSTITUTE(SUBSTITUTE(SUBSTITUTE(SUBSTITUTE(INDEX(PASTE_ALL,$DF831,$L$18)," "," "),CHAR(9)," "),CHAR(10)," "),CHAR(13)," "))))),"")))</f>
        <v/>
      </c>
      <c r="EC831">
        <f>IF($DM831=0,"",IF($L$19=0,"",IFERROR(IF(ISNUMBER(INDEX(PASTE_ALL,$DF831,$L$19)),INDEX(PASTE_ALL,$DF831,$L$19),TRIM(SUBSTITUTE(SUBSTITUTE(SUBSTITUTE(SUBSTITUTE(INDEX(PASTE_ALL,$DF831,$L$19)," "," "),CHAR(9)," "),CHAR(10)," "),CHAR(13)," "))),"")))</f>
        <v/>
      </c>
      <c r="ED831">
        <f>IF($DM831=0,"",MATCH(1,INDEX(EXACT($DH$5:DH831,$DH831)*$DM$5:DM831,0),0))</f>
        <v/>
      </c>
      <c r="EE831">
        <f>IF($DM831=0,0,IF($ED831=$DE831,1,0))</f>
        <v/>
      </c>
      <c r="EF831">
        <f>EF830+$EE831</f>
        <v/>
      </c>
      <c r="EG831">
        <f>IF($DM831=0,"",INDEX($EF$5:$EF$1003,$ED831))</f>
        <v/>
      </c>
      <c r="EH831">
        <f>IF($DM831=0,"",IF($DO831&lt;&gt;"","",IFERROR(LOOKUP(2,1/(($EG$4:EG830=$EG831)*($DO$4:DO830&lt;&gt;"")),$DO$4:DO830),"")))</f>
        <v/>
      </c>
      <c r="EI831">
        <f>IF($DM831=0,"",IF($DO831&lt;&gt;"",$DO831,$EH831))</f>
        <v/>
      </c>
      <c r="EJ831">
        <f>IF($DM831=0,"",IF($EI831="",0,IF(OR(ISNUMBER($EI831),AND(AND(SUBSTITUTE(SUBSTITUTE(SUBSTITUTE(SUBSTITUTE(SUBSTITUTE(SUBSTITUTE(SUBSTITUTE(SUBSTITUTE(SUBSTITUTE(SUBSTITUTE(SUBSTITUTE(SUBSTITUTE(SUBSTITUTE(SUBSTITUTE(UPPER($EI831),"0",""),"1",""),"2",""),"3",""),"4",""),"5",""),"6",""),"7",""),"8",""),"9",""),".",""),"+",""),"-",""),"E","")="",LEN(SUBSTITUTE(SUBSTITUTE(MID(UPPER($EI831),1+OR(LEFT(UPPER($EI831),1)="+",LEFT(UPPER($EI831),1)="-"),999),"E+","E"),"E-","E"))=LEN(SUBSTITUTE(SUBSTITUTE(SUBSTITUTE(SUBSTITUTE(MID(UPPER($EI831),1+OR(LEFT(UPPER($EI831),1)="+",LEFT(UPPER($EI831),1)="-"),999),"E+","E"),"E-","E"),"+",""),"-","")),LEN(UPPER($EI831))-LEN(SUBSTITUTE(UPPER($EI831),"E",""))&lt;2,LEN(UPPER($EI831))-LEN(SUBSTITUTE(UPPER($EI831),".",""))&lt;2,IFERROR(FIND(".",UPPER($EI831)),0)&lt;IFERROR(FIND("E",UPPER($EI831)),999)),ISNUMBER(VALUE($EI831)))),1,2)))</f>
        <v/>
      </c>
      <c r="EK831">
        <f>IF($DM831=0,"",IF($EJ831=1,IF(ISNUMBER($EI831),$EI831,VALUE($EI831)),IF($EJ831=2,$DE831,0)))</f>
        <v/>
      </c>
      <c r="EL831">
        <f>IF($DM831=0,"",COUNTIF($EG$5:$EG$1003,"&lt;"&amp;$EG831)+SUMPRODUCT(($EG$5:$EG$1003=$EG831)*(($EJ$5:$EJ$1003&lt;$EJ831)+($EJ$5:$EJ$1003=$EJ831)*(($EK$5:$EK$1003&lt;$EK831)+($EK$5:$EK$1003=$EK831)*($DE$5:$DE$1003&lt;$DE831))))+1)</f>
        <v/>
      </c>
      <c r="EM831">
        <f>IF($DM831=0,"",$EL831+$EG831-1)</f>
        <v/>
      </c>
      <c r="EN831">
        <f>IF($DM831=0,0,IFERROR(MATCH(1,INDEX(--(TRIM(SUBSTITUTE(SUBSTITUTE(SUBSTITUTE(SUBSTITUTE(LINES_NAME&amp;""," "," "),CHAR(9)," "),CHAR(10)," "),CHAR(13)," "))=$DH831),0),0),0))</f>
        <v/>
      </c>
      <c r="EO831">
        <f>IF($EN831=0,0,IF(OR(UPPER(TRIM(INDEX(LINES_SCHEDULED,$EN831)&amp;""))="YES",UPPER(TRIM(INDEX(LINES_SCHEDULED,$EN831)&amp;""))="Y",UPPER(TRIM(INDEX(LINES_SCHEDULED,$EN831)&amp;""))="X"),1,0))</f>
        <v/>
      </c>
      <c r="EP831">
        <f>IF($DM831=0,"",IF(COUNTIFS($EG$5:$EG$1003,$EG831,$EB$5:$EB$1003,"Ready")&gt;0,"READY",IF(COUNTIFS($EG$5:$EG$1003,$EG831,$EB$5:$EB$1003,"PM")&gt;0,"PM",IF(COUNTIFS($EG$5:$EG$1003,$EG831,$EB$5:$EB$1003,"OT")&gt;0,"OT",""))))</f>
        <v/>
      </c>
      <c r="EQ831">
        <f>IF($EN831=0,"",UPPER(TRIM(INDEX(LINES_STATUS,$EN831)&amp;"")))</f>
        <v/>
      </c>
      <c r="ER831">
        <f>IF($DM831=0,"",IF(OR($EQ831="READY",$EQ831="PM",$EQ831="OT"),$EQ831,$EP831))</f>
        <v/>
      </c>
      <c r="ES831">
        <f>IF($DM831=0,"",IF(AND($DV831&lt;&gt;"",UPPER($DV831)&lt;&gt;"N"),"allergen",IF(ISNUMBER(SEARCH("oil",$DQ831)),"oil",IF(OR(EXACT($DS831,"A662"),EXACT($DS831,"A624")),"bulk",""))))</f>
        <v/>
      </c>
      <c r="ET831">
        <f>IF($DM831=0,"",IF(OR($EA831="",$EA831=0),"",$EA831/100))</f>
        <v/>
      </c>
      <c r="EU831">
        <f>IF(OR($ET831="",$DY831=""),"",INT($DY831*(1-$ET831)+0.5))</f>
        <v/>
      </c>
    </row>
    <row r="832">
      <c r="DA832" t="n">
        <v>828</v>
      </c>
      <c r="DB832">
        <f>IF($B$37=0,"",IFERROR(TRIM(SUBSTITUTE(SUBSTITUTE(SUBSTITUTE(SUBSTITUTE(INDEX(PASTE_ALL,828,$B$37)," "," "),CHAR(9)," "),CHAR(10)," "),CHAR(13)," ")),""))</f>
        <v/>
      </c>
      <c r="DC832">
        <f>IF(AND(828&gt;HEADER_ROW,UPPER(DB832)="LEGEND"),1,0)</f>
        <v/>
      </c>
      <c r="DE832" t="n">
        <v>828</v>
      </c>
      <c r="DF832">
        <f>HEADER_ROW+$DE832</f>
        <v/>
      </c>
      <c r="DG832">
        <f>IF(AND($DF832&lt;=1000,$DF832&lt;$B$8),1,0)</f>
        <v/>
      </c>
      <c r="DH832">
        <f>IF($DG832=1,IFERROR(INDEX($DB$5:$DB$1004,$DF832),""),"")</f>
        <v/>
      </c>
      <c r="DI832">
        <f>IF(AND($DG832=1,$DH832&lt;&gt;""),IFERROR(SUBSTITUTE(SUBSTITUTE(TRIM(SUBSTITUTE(SUBSTITUTE(SUBSTITUTE(SUBSTITUTE(IFERROR(INDEX(PASTE_ALL,$DF832,1)&amp;"","")&amp;"␟"&amp;IFERROR(INDEX(PASTE_ALL,$DF832,2)&amp;"","")&amp;"␟"&amp;IFERROR(INDEX(PASTE_ALL,$DF832,3)&amp;"","")&amp;"␟"&amp;IFERROR(INDEX(PASTE_ALL,$DF832,4)&amp;"","")&amp;"␟"&amp;IFERROR(INDEX(PASTE_ALL,$DF832,5)&amp;"","")&amp;"␟"&amp;IFERROR(INDEX(PASTE_ALL,$DF832,6)&amp;"","")&amp;"␟"&amp;IFERROR(INDEX(PASTE_ALL,$DF832,7)&amp;"","")&amp;"␟"&amp;IFERROR(INDEX(PASTE_ALL,$DF832,8)&amp;"","")&amp;"␟"&amp;IFERROR(INDEX(PASTE_ALL,$DF832,9)&amp;"","")&amp;"␟"&amp;IFERROR(INDEX(PASTE_ALL,$DF832,10)&amp;"","")&amp;"␟"&amp;IFERROR(INDEX(PASTE_ALL,$DF832,11)&amp;"","")&amp;"␟"&amp;IFERROR(INDEX(PASTE_ALL,$DF832,12)&amp;"","")&amp;"␟"&amp;IFERROR(INDEX(PASTE_ALL,$DF832,13)&amp;"","")&amp;"␟"&amp;IFERROR(INDEX(PASTE_ALL,$DF832,14)&amp;"","")&amp;"␟"&amp;IFERROR(INDEX(PASTE_ALL,$DF832,15)&amp;"","")&amp;"␟"&amp;IFERROR(INDEX(PASTE_ALL,$DF832,16)&amp;"","")&amp;"␟"&amp;IFERROR(INDEX(PASTE_ALL,$DF832,17)&amp;"","")&amp;"␟"&amp;IFERROR(INDEX(PASTE_ALL,$DF832,18)&amp;"","")&amp;"␟"&amp;IFERROR(INDEX(PASTE_ALL,$DF832,19)&amp;"","")&amp;"␟"&amp;IFERROR(INDEX(PASTE_ALL,$DF832,20)&amp;"","")&amp;"␟"&amp;IFERROR(INDEX(PASTE_ALL,$DF832,21)&amp;"","")&amp;"␟"&amp;IFERROR(INDEX(PASTE_ALL,$DF832,22)&amp;"","")&amp;"␟"&amp;IFERROR(INDEX(PASTE_ALL,$DF832,23)&amp;"","")&amp;"␟"&amp;IFERROR(INDEX(PASTE_ALL,$DF832,24)&amp;"","")&amp;"␟"&amp;IFERROR(INDEX(PASTE_ALL,$DF832,25)&amp;"","")&amp;"␟"&amp;IFERROR(INDEX(PASTE_ALL,$DF832,26)&amp;"","")&amp;"␟"&amp;IFERROR(INDEX(PASTE_ALL,$DF832,27)&amp;"","")&amp;"␟"&amp;IFERROR(INDEX(PASTE_ALL,$DF832,28)&amp;"","")&amp;"␟"&amp;IFERROR(INDEX(PASTE_ALL,$DF832,29)&amp;"","")&amp;"␟"&amp;IFERROR(INDEX(PASTE_ALL,$DF832,30)&amp;"","")&amp;"␟"&amp;IFERROR(INDEX(PASTE_ALL,$DF832,31)&amp;"","")&amp;"␟"&amp;IFERROR(INDEX(PASTE_ALL,$DF832,32)&amp;"","")&amp;"␟"&amp;IFERROR(INDEX(PASTE_ALL,$DF832,33)&amp;"","")&amp;"␟"&amp;IFERROR(INDEX(PASTE_ALL,$DF832,34)&amp;"","")&amp;"␟"&amp;IFERROR(INDEX(PASTE_ALL,$DF832,35)&amp;"","")&amp;"␟"&amp;IFERROR(INDEX(PASTE_ALL,$DF832,36)&amp;"","")&amp;"␟"&amp;IFERROR(INDEX(PASTE_ALL,$DF832,37)&amp;"","")&amp;"␟"&amp;IFERROR(INDEX(PASTE_ALL,$DF832,38)&amp;"","")&amp;"␟"&amp;IFERROR(INDEX(PASTE_ALL,$DF832,39)&amp;"","")&amp;"␟"&amp;IFERROR(INDEX(PASTE_ALL,$DF832,40)&amp;"","")&amp;"␟"&amp;IFERROR(INDEX(PASTE_ALL,$DF832,41)&amp;"","")&amp;"␟"&amp;IFERROR(INDEX(PASTE_ALL,$DF832,42)&amp;"","")&amp;"␟"&amp;IFERROR(INDEX(PASTE_ALL,$DF832,43)&amp;"","")&amp;"␟"&amp;IFERROR(INDEX(PASTE_ALL,$DF832,44)&amp;"","")&amp;"␟"&amp;IFERROR(INDEX(PASTE_ALL,$DF832,45)&amp;"","")&amp;"␟"&amp;IFERROR(INDEX(PASTE_ALL,$DF832,46)&amp;"","")&amp;"␟"&amp;IFERROR(INDEX(PASTE_ALL,$DF832,47)&amp;"","")&amp;"␟"&amp;IFERROR(INDEX(PASTE_ALL,$DF832,48)&amp;"","")&amp;"␟"&amp;IFERROR(INDEX(PASTE_ALL,$DF832,49)&amp;"","")&amp;"␟"&amp;IFERROR(INDEX(PASTE_ALL,$DF832,50)&amp;"","")&amp;"␟"&amp;IFERROR(INDEX(PASTE_ALL,$DF832,51)&amp;"","")&amp;"␟"&amp;IFERROR(INDEX(PASTE_ALL,$DF832,52)&amp;"","")&amp;"␟"&amp;IFERROR(INDEX(PASTE_ALL,$DF832,53)&amp;"","")&amp;"␟"&amp;IFERROR(INDEX(PASTE_ALL,$DF832,54)&amp;"","")&amp;"␟"&amp;IFERROR(INDEX(PASTE_ALL,$DF832,55)&amp;"","")&amp;"␟"&amp;IFERROR(INDEX(PASTE_ALL,$DF832,56)&amp;"","")&amp;"␟"&amp;IFERROR(INDEX(PASTE_ALL,$DF832,57)&amp;"","")&amp;"␟"&amp;IFERROR(INDEX(PASTE_ALL,$DF832,58)&amp;"","")&amp;"␟"&amp;IFERROR(INDEX(PASTE_ALL,$DF832,59)&amp;"","")&amp;"␟"&amp;IFERROR(INDEX(PASTE_ALL,$DF832,60)&amp;"","")," "," "),CHAR(9)," "),CHAR(10)," "),CHAR(13)," "))," ␟","␟"),"␟ ","␟"),"#"&amp;$DE832),"")</f>
        <v/>
      </c>
      <c r="DJ832">
        <f>IF($DI832="",0,IF(SUMPRODUCT(--EXACT($DI$4:DI831,$DI832))&gt;0,1,0))</f>
        <v/>
      </c>
      <c r="DK832">
        <f>IF(AND($DI832&lt;&gt;"",$DJ832=0),1,0)</f>
        <v/>
      </c>
      <c r="DL832">
        <f>DL831+$DK832</f>
        <v/>
      </c>
      <c r="DM832">
        <f>IF(AND($DK832=1,$DL832&lt;=600),1,0)</f>
        <v/>
      </c>
      <c r="DN832">
        <f>IF($DM832=0,"",IF($L$6=0,"",IFERROR(IF(ISNUMBER(INDEX(PASTE_ALL,$DF832,$L$6)),INDEX(PASTE_ALL,$DF832,$L$6),TRIM(SUBSTITUTE(SUBSTITUTE(SUBSTITUTE(SUBSTITUTE(INDEX(PASTE_ALL,$DF832,$L$6)," "," "),CHAR(9)," "),CHAR(10)," "),CHAR(13)," "))),"")))</f>
        <v/>
      </c>
      <c r="DO832">
        <f>IF($DM832=0,"",IF($L$7=0,"",IFERROR(IF(ISNUMBER(INDEX(PASTE_ALL,$DF832,$L$7)),INDEX(PASTE_ALL,$DF832,$L$7),TRIM(SUBSTITUTE(SUBSTITUTE(SUBSTITUTE(SUBSTITUTE(INDEX(PASTE_ALL,$DF832,$L$7)," "," "),CHAR(9)," "),CHAR(10)," "),CHAR(13)," "))),"")))</f>
        <v/>
      </c>
      <c r="DP832">
        <f>IF($DM832=0,"",IF($L$8=0,"",IFERROR(IF(ISNUMBER(INDEX(PASTE_ALL,$DF832,$L$8)),INDEX(PASTE_ALL,$DF832,$L$8),TRIM(SUBSTITUTE(SUBSTITUTE(SUBSTITUTE(SUBSTITUTE(INDEX(PASTE_ALL,$DF832,$L$8)," "," "),CHAR(9)," "),CHAR(10)," "),CHAR(13)," "))),"")))</f>
        <v/>
      </c>
      <c r="DQ832">
        <f>IF($DM832=0,"",IF($L$9=0,"",IFERROR(IF(ISNUMBER(INDEX(PASTE_ALL,$DF832,$L$9)),INDEX(PASTE_ALL,$DF832,$L$9),TRIM(SUBSTITUTE(SUBSTITUTE(SUBSTITUTE(SUBSTITUTE(INDEX(PASTE_ALL,$DF832,$L$9)," "," "),CHAR(9)," "),CHAR(10)," "),CHAR(13)," "))),"")))</f>
        <v/>
      </c>
      <c r="DR832">
        <f>IF($DM832=0,"",IF($L$10=0,"",IFERROR(IF(ISNUMBER(INDEX(PASTE_ALL,$DF832,$L$10)),INDEX(PASTE_ALL,$DF832,$L$10),TRIM(SUBSTITUTE(SUBSTITUTE(SUBSTITUTE(SUBSTITUTE(INDEX(PASTE_ALL,$DF832,$L$10)," "," "),CHAR(9)," "),CHAR(10)," "),CHAR(13)," "))),"")))</f>
        <v/>
      </c>
      <c r="DS832">
        <f>IF($DM832=0,"",IF($L$11=0,"",IFERROR(IF(ISNUMBER(INDEX(PASTE_ALL,$DF832,$L$11)),INDEX(PASTE_ALL,$DF832,$L$11),TRIM(SUBSTITUTE(SUBSTITUTE(SUBSTITUTE(SUBSTITUTE(INDEX(PASTE_ALL,$DF832,$L$11)," "," "),CHAR(9)," "),CHAR(10)," "),CHAR(13)," "))),"")))</f>
        <v/>
      </c>
      <c r="DT832">
        <f>IF($DM832=0,"",IF($L$12=0,"",IFERROR(IF(ISNUMBER(INDEX(PASTE_ALL,$DF832,$L$12)),INDEX(PASTE_ALL,$DF832,$L$12),TRIM(SUBSTITUTE(SUBSTITUTE(SUBSTITUTE(SUBSTITUTE(INDEX(PASTE_ALL,$DF832,$L$12)," "," "),CHAR(9)," "),CHAR(10)," "),CHAR(13)," "))),"")))</f>
        <v/>
      </c>
      <c r="DU832">
        <f>IF($DM832=0,"",IF($L$13=0,"",IFERROR(IF(ISNUMBER(INDEX(PASTE_ALL,$DF832,$L$13)),INDEX(PASTE_ALL,$DF832,$L$13),TRIM(SUBSTITUTE(SUBSTITUTE(SUBSTITUTE(SUBSTITUTE(INDEX(PASTE_ALL,$DF832,$L$13)," "," "),CHAR(9)," "),CHAR(10)," "),CHAR(13)," "))),"")))</f>
        <v/>
      </c>
      <c r="DV832">
        <f>IF($DM832=0,"",IF($L$14=0,"",IFERROR(IF(ISNUMBER(INDEX(PASTE_ALL,$DF832,$L$14)),INDEX(PASTE_ALL,$DF832,$L$14),TRIM(SUBSTITUTE(SUBSTITUTE(SUBSTITUTE(SUBSTITUTE(INDEX(PASTE_ALL,$DF832,$L$14)," "," "),CHAR(9)," "),CHAR(10)," "),CHAR(13)," "))),"")))</f>
        <v/>
      </c>
      <c r="DW832">
        <f>IF($DM832=0,"",IF($L$15=0,"",IFERROR(IF(ISNUMBER(INDEX(PASTE_ALL,$DF832,$L$15)),INDEX(PASTE_ALL,$DF832,$L$15),IF(SUMPRODUCT(--ISNUMBER(FIND({"A","B","C","D","E","F","G","H","I","J","K","L","M","N","O","P","Q","R","S","T","U","V","W","X","Y","Z","0","1","2","3","4","5","6","7","8","9"},UPPER(TRIM(SUBSTITUTE(SUBSTITUTE(SUBSTITUTE(SUBSTITUTE(INDEX(PASTE_ALL,$DF832,$L$15)," "," "),CHAR(9)," "),CHAR(10)," "),CHAR(13)," "))))))&gt;0,TRIM(SUBSTITUTE(SUBSTITUTE(SUBSTITUTE(SUBSTITUTE(INDEX(PASTE_ALL,$DF832,$L$15)," "," "),CHAR(9)," "),CHAR(10)," "),CHAR(13)," ")),"")),"")))</f>
        <v/>
      </c>
      <c r="DX832">
        <f>IF($DM832=0,"",IF($L$16=0,"",IFERROR(IF(ISNUMBER(INDEX(PASTE_ALL,$DF832,$L$16)),INDEX(PASTE_ALL,$DF832,$L$16),SUBSTITUTE(SUBSTITUTE(TRIM(SUBSTITUTE(SUBSTITUTE(SUBSTITUTE(SUBSTITUTE(INDEX(PASTE_ALL,$DF832,$L$16)," "," "),CHAR(9)," "),CHAR(10)," "),CHAR(13)," ")),",",""),"%","")),"")))</f>
        <v/>
      </c>
      <c r="DY832">
        <f>IF($DM832=0,"",IFERROR(IF(ISNUMBER($DX832),$DX832,IF($DX832="","",IF(TRIM($DX832)="",0,IF(AND(AND(SUBSTITUTE(SUBSTITUTE(SUBSTITUTE(SUBSTITUTE(SUBSTITUTE(SUBSTITUTE(SUBSTITUTE(SUBSTITUTE(SUBSTITUTE(SUBSTITUTE(SUBSTITUTE(SUBSTITUTE(SUBSTITUTE(SUBSTITUTE(UPPER(TRIM($DX832)),"0",""),"1",""),"2",""),"3",""),"4",""),"5",""),"6",""),"7",""),"8",""),"9",""),".",""),"+",""),"-",""),"E","")="",LEN(SUBSTITUTE(SUBSTITUTE(MID(UPPER(TRIM($DX832)),1+OR(LEFT(UPPER(TRIM($DX832)),1)="+",LEFT(UPPER(TRIM($DX832)),1)="-"),999),"E+","E"),"E-","E"))=LEN(SUBSTITUTE(SUBSTITUTE(SUBSTITUTE(SUBSTITUTE(MID(UPPER(TRIM($DX832)),1+OR(LEFT(UPPER(TRIM($DX832)),1)="+",LEFT(UPPER(TRIM($DX832)),1)="-"),999),"E+","E"),"E-","E"),"+",""),"-","")),LEN(UPPER(TRIM($DX832)))-LEN(SUBSTITUTE(UPPER(TRIM($DX832)),"E",""))&lt;2,LEN(UPPER(TRIM($DX832)))-LEN(SUBSTITUTE(UPPER(TRIM($DX832)),".",""))&lt;2,IFERROR(FIND(".",UPPER(TRIM($DX832))),0)&lt;IFERROR(FIND("E",UPPER(TRIM($DX832))),999)),ISNUMBER(VALUE(TRIM($DX832)))),VALUE(TRIM($DX832)),"")))),""))</f>
        <v/>
      </c>
      <c r="DZ832">
        <f>IF($DM832=0,"",IF($L$17=0,"",IFERROR(IF(ISNUMBER(INDEX(PASTE_ALL,$DF832,$L$17)),INDEX(PASTE_ALL,$DF832,$L$17),SUBSTITUTE(SUBSTITUTE(TRIM(SUBSTITUTE(SUBSTITUTE(SUBSTITUTE(SUBSTITUTE(INDEX(PASTE_ALL,$DF832,$L$17)," "," "),CHAR(9)," "),CHAR(10)," "),CHAR(13)," ")),",",""),"%","")),"")))</f>
        <v/>
      </c>
      <c r="EA832">
        <f>IF($DM832=0,"",IFERROR(IF(ISNUMBER($DZ832),$DZ832,IF($DZ832="","",IF(TRIM($DZ832)="",0,IF(AND(AND(SUBSTITUTE(SUBSTITUTE(SUBSTITUTE(SUBSTITUTE(SUBSTITUTE(SUBSTITUTE(SUBSTITUTE(SUBSTITUTE(SUBSTITUTE(SUBSTITUTE(SUBSTITUTE(SUBSTITUTE(SUBSTITUTE(SUBSTITUTE(UPPER(TRIM($DZ832)),"0",""),"1",""),"2",""),"3",""),"4",""),"5",""),"6",""),"7",""),"8",""),"9",""),".",""),"+",""),"-",""),"E","")="",LEN(SUBSTITUTE(SUBSTITUTE(MID(UPPER(TRIM($DZ832)),1+OR(LEFT(UPPER(TRIM($DZ832)),1)="+",LEFT(UPPER(TRIM($DZ832)),1)="-"),999),"E+","E"),"E-","E"))=LEN(SUBSTITUTE(SUBSTITUTE(SUBSTITUTE(SUBSTITUTE(MID(UPPER(TRIM($DZ832)),1+OR(LEFT(UPPER(TRIM($DZ832)),1)="+",LEFT(UPPER(TRIM($DZ832)),1)="-"),999),"E+","E"),"E-","E"),"+",""),"-","")),LEN(UPPER(TRIM($DZ832)))-LEN(SUBSTITUTE(UPPER(TRIM($DZ832)),"E",""))&lt;2,LEN(UPPER(TRIM($DZ832)))-LEN(SUBSTITUTE(UPPER(TRIM($DZ832)),".",""))&lt;2,IFERROR(FIND(".",UPPER(TRIM($DZ832))),0)&lt;IFERROR(FIND("E",UPPER(TRIM($DZ832))),999)),ISNUMBER(VALUE(TRIM($DZ832)))),VALUE(TRIM($DZ832)),"")))),""))</f>
        <v/>
      </c>
      <c r="EB832">
        <f>IF($DM832=0,"",IF($L$18=0,"",IFERROR(IF(UPPER(TRIM(SUBSTITUTE(SUBSTITUTE(SUBSTITUTE(SUBSTITUTE(INDEX(PASTE_ALL,$DF832,$L$18)," "," "),CHAR(9)," "),CHAR(10)," "),CHAR(13)," ")))="READY","Ready",IF(UPPER(TRIM(SUBSTITUTE(SUBSTITUTE(SUBSTITUTE(SUBSTITUTE(INDEX(PASTE_ALL,$DF832,$L$18)," "," "),CHAR(9)," "),CHAR(10)," "),CHAR(13)," ")))="PM","PM",IF(OR(UPPER(TRIM(SUBSTITUTE(SUBSTITUTE(SUBSTITUTE(SUBSTITUTE(INDEX(PASTE_ALL,$DF832,$L$18)," "," "),CHAR(9)," "),CHAR(10)," "),CHAR(13)," ")))="OT",UPPER(TRIM(SUBSTITUTE(SUBSTITUTE(SUBSTITUTE(SUBSTITUTE(INDEX(PASTE_ALL,$DF832,$L$18)," "," "),CHAR(9)," "),CHAR(10)," "),CHAR(13)," ")))="OVERTIME",UPPER(TRIM(SUBSTITUTE(SUBSTITUTE(SUBSTITUTE(SUBSTITUTE(INDEX(PASTE_ALL,$DF832,$L$18)," "," "),CHAR(9)," "),CHAR(10)," "),CHAR(13)," ")))="TRIAL"),"OT",TRIM(SUBSTITUTE(SUBSTITUTE(SUBSTITUTE(SUBSTITUTE(INDEX(PASTE_ALL,$DF832,$L$18)," "," "),CHAR(9)," "),CHAR(10)," "),CHAR(13)," "))))),"")))</f>
        <v/>
      </c>
      <c r="EC832">
        <f>IF($DM832=0,"",IF($L$19=0,"",IFERROR(IF(ISNUMBER(INDEX(PASTE_ALL,$DF832,$L$19)),INDEX(PASTE_ALL,$DF832,$L$19),TRIM(SUBSTITUTE(SUBSTITUTE(SUBSTITUTE(SUBSTITUTE(INDEX(PASTE_ALL,$DF832,$L$19)," "," "),CHAR(9)," "),CHAR(10)," "),CHAR(13)," "))),"")))</f>
        <v/>
      </c>
      <c r="ED832">
        <f>IF($DM832=0,"",MATCH(1,INDEX(EXACT($DH$5:DH832,$DH832)*$DM$5:DM832,0),0))</f>
        <v/>
      </c>
      <c r="EE832">
        <f>IF($DM832=0,0,IF($ED832=$DE832,1,0))</f>
        <v/>
      </c>
      <c r="EF832">
        <f>EF831+$EE832</f>
        <v/>
      </c>
      <c r="EG832">
        <f>IF($DM832=0,"",INDEX($EF$5:$EF$1003,$ED832))</f>
        <v/>
      </c>
      <c r="EH832">
        <f>IF($DM832=0,"",IF($DO832&lt;&gt;"","",IFERROR(LOOKUP(2,1/(($EG$4:EG831=$EG832)*($DO$4:DO831&lt;&gt;"")),$DO$4:DO831),"")))</f>
        <v/>
      </c>
      <c r="EI832">
        <f>IF($DM832=0,"",IF($DO832&lt;&gt;"",$DO832,$EH832))</f>
        <v/>
      </c>
      <c r="EJ832">
        <f>IF($DM832=0,"",IF($EI832="",0,IF(OR(ISNUMBER($EI832),AND(AND(SUBSTITUTE(SUBSTITUTE(SUBSTITUTE(SUBSTITUTE(SUBSTITUTE(SUBSTITUTE(SUBSTITUTE(SUBSTITUTE(SUBSTITUTE(SUBSTITUTE(SUBSTITUTE(SUBSTITUTE(SUBSTITUTE(SUBSTITUTE(UPPER($EI832),"0",""),"1",""),"2",""),"3",""),"4",""),"5",""),"6",""),"7",""),"8",""),"9",""),".",""),"+",""),"-",""),"E","")="",LEN(SUBSTITUTE(SUBSTITUTE(MID(UPPER($EI832),1+OR(LEFT(UPPER($EI832),1)="+",LEFT(UPPER($EI832),1)="-"),999),"E+","E"),"E-","E"))=LEN(SUBSTITUTE(SUBSTITUTE(SUBSTITUTE(SUBSTITUTE(MID(UPPER($EI832),1+OR(LEFT(UPPER($EI832),1)="+",LEFT(UPPER($EI832),1)="-"),999),"E+","E"),"E-","E"),"+",""),"-","")),LEN(UPPER($EI832))-LEN(SUBSTITUTE(UPPER($EI832),"E",""))&lt;2,LEN(UPPER($EI832))-LEN(SUBSTITUTE(UPPER($EI832),".",""))&lt;2,IFERROR(FIND(".",UPPER($EI832)),0)&lt;IFERROR(FIND("E",UPPER($EI832)),999)),ISNUMBER(VALUE($EI832)))),1,2)))</f>
        <v/>
      </c>
      <c r="EK832">
        <f>IF($DM832=0,"",IF($EJ832=1,IF(ISNUMBER($EI832),$EI832,VALUE($EI832)),IF($EJ832=2,$DE832,0)))</f>
        <v/>
      </c>
      <c r="EL832">
        <f>IF($DM832=0,"",COUNTIF($EG$5:$EG$1003,"&lt;"&amp;$EG832)+SUMPRODUCT(($EG$5:$EG$1003=$EG832)*(($EJ$5:$EJ$1003&lt;$EJ832)+($EJ$5:$EJ$1003=$EJ832)*(($EK$5:$EK$1003&lt;$EK832)+($EK$5:$EK$1003=$EK832)*($DE$5:$DE$1003&lt;$DE832))))+1)</f>
        <v/>
      </c>
      <c r="EM832">
        <f>IF($DM832=0,"",$EL832+$EG832-1)</f>
        <v/>
      </c>
      <c r="EN832">
        <f>IF($DM832=0,0,IFERROR(MATCH(1,INDEX(--(TRIM(SUBSTITUTE(SUBSTITUTE(SUBSTITUTE(SUBSTITUTE(LINES_NAME&amp;""," "," "),CHAR(9)," "),CHAR(10)," "),CHAR(13)," "))=$DH832),0),0),0))</f>
        <v/>
      </c>
      <c r="EO832">
        <f>IF($EN832=0,0,IF(OR(UPPER(TRIM(INDEX(LINES_SCHEDULED,$EN832)&amp;""))="YES",UPPER(TRIM(INDEX(LINES_SCHEDULED,$EN832)&amp;""))="Y",UPPER(TRIM(INDEX(LINES_SCHEDULED,$EN832)&amp;""))="X"),1,0))</f>
        <v/>
      </c>
      <c r="EP832">
        <f>IF($DM832=0,"",IF(COUNTIFS($EG$5:$EG$1003,$EG832,$EB$5:$EB$1003,"Ready")&gt;0,"READY",IF(COUNTIFS($EG$5:$EG$1003,$EG832,$EB$5:$EB$1003,"PM")&gt;0,"PM",IF(COUNTIFS($EG$5:$EG$1003,$EG832,$EB$5:$EB$1003,"OT")&gt;0,"OT",""))))</f>
        <v/>
      </c>
      <c r="EQ832">
        <f>IF($EN832=0,"",UPPER(TRIM(INDEX(LINES_STATUS,$EN832)&amp;"")))</f>
        <v/>
      </c>
      <c r="ER832">
        <f>IF($DM832=0,"",IF(OR($EQ832="READY",$EQ832="PM",$EQ832="OT"),$EQ832,$EP832))</f>
        <v/>
      </c>
      <c r="ES832">
        <f>IF($DM832=0,"",IF(AND($DV832&lt;&gt;"",UPPER($DV832)&lt;&gt;"N"),"allergen",IF(ISNUMBER(SEARCH("oil",$DQ832)),"oil",IF(OR(EXACT($DS832,"A662"),EXACT($DS832,"A624")),"bulk",""))))</f>
        <v/>
      </c>
      <c r="ET832">
        <f>IF($DM832=0,"",IF(OR($EA832="",$EA832=0),"",$EA832/100))</f>
        <v/>
      </c>
      <c r="EU832">
        <f>IF(OR($ET832="",$DY832=""),"",INT($DY832*(1-$ET832)+0.5))</f>
        <v/>
      </c>
    </row>
    <row r="833">
      <c r="DA833" t="n">
        <v>829</v>
      </c>
      <c r="DB833">
        <f>IF($B$37=0,"",IFERROR(TRIM(SUBSTITUTE(SUBSTITUTE(SUBSTITUTE(SUBSTITUTE(INDEX(PASTE_ALL,829,$B$37)," "," "),CHAR(9)," "),CHAR(10)," "),CHAR(13)," ")),""))</f>
        <v/>
      </c>
      <c r="DC833">
        <f>IF(AND(829&gt;HEADER_ROW,UPPER(DB833)="LEGEND"),1,0)</f>
        <v/>
      </c>
      <c r="DE833" t="n">
        <v>829</v>
      </c>
      <c r="DF833">
        <f>HEADER_ROW+$DE833</f>
        <v/>
      </c>
      <c r="DG833">
        <f>IF(AND($DF833&lt;=1000,$DF833&lt;$B$8),1,0)</f>
        <v/>
      </c>
      <c r="DH833">
        <f>IF($DG833=1,IFERROR(INDEX($DB$5:$DB$1004,$DF833),""),"")</f>
        <v/>
      </c>
      <c r="DI833">
        <f>IF(AND($DG833=1,$DH833&lt;&gt;""),IFERROR(SUBSTITUTE(SUBSTITUTE(TRIM(SUBSTITUTE(SUBSTITUTE(SUBSTITUTE(SUBSTITUTE(IFERROR(INDEX(PASTE_ALL,$DF833,1)&amp;"","")&amp;"␟"&amp;IFERROR(INDEX(PASTE_ALL,$DF833,2)&amp;"","")&amp;"␟"&amp;IFERROR(INDEX(PASTE_ALL,$DF833,3)&amp;"","")&amp;"␟"&amp;IFERROR(INDEX(PASTE_ALL,$DF833,4)&amp;"","")&amp;"␟"&amp;IFERROR(INDEX(PASTE_ALL,$DF833,5)&amp;"","")&amp;"␟"&amp;IFERROR(INDEX(PASTE_ALL,$DF833,6)&amp;"","")&amp;"␟"&amp;IFERROR(INDEX(PASTE_ALL,$DF833,7)&amp;"","")&amp;"␟"&amp;IFERROR(INDEX(PASTE_ALL,$DF833,8)&amp;"","")&amp;"␟"&amp;IFERROR(INDEX(PASTE_ALL,$DF833,9)&amp;"","")&amp;"␟"&amp;IFERROR(INDEX(PASTE_ALL,$DF833,10)&amp;"","")&amp;"␟"&amp;IFERROR(INDEX(PASTE_ALL,$DF833,11)&amp;"","")&amp;"␟"&amp;IFERROR(INDEX(PASTE_ALL,$DF833,12)&amp;"","")&amp;"␟"&amp;IFERROR(INDEX(PASTE_ALL,$DF833,13)&amp;"","")&amp;"␟"&amp;IFERROR(INDEX(PASTE_ALL,$DF833,14)&amp;"","")&amp;"␟"&amp;IFERROR(INDEX(PASTE_ALL,$DF833,15)&amp;"","")&amp;"␟"&amp;IFERROR(INDEX(PASTE_ALL,$DF833,16)&amp;"","")&amp;"␟"&amp;IFERROR(INDEX(PASTE_ALL,$DF833,17)&amp;"","")&amp;"␟"&amp;IFERROR(INDEX(PASTE_ALL,$DF833,18)&amp;"","")&amp;"␟"&amp;IFERROR(INDEX(PASTE_ALL,$DF833,19)&amp;"","")&amp;"␟"&amp;IFERROR(INDEX(PASTE_ALL,$DF833,20)&amp;"","")&amp;"␟"&amp;IFERROR(INDEX(PASTE_ALL,$DF833,21)&amp;"","")&amp;"␟"&amp;IFERROR(INDEX(PASTE_ALL,$DF833,22)&amp;"","")&amp;"␟"&amp;IFERROR(INDEX(PASTE_ALL,$DF833,23)&amp;"","")&amp;"␟"&amp;IFERROR(INDEX(PASTE_ALL,$DF833,24)&amp;"","")&amp;"␟"&amp;IFERROR(INDEX(PASTE_ALL,$DF833,25)&amp;"","")&amp;"␟"&amp;IFERROR(INDEX(PASTE_ALL,$DF833,26)&amp;"","")&amp;"␟"&amp;IFERROR(INDEX(PASTE_ALL,$DF833,27)&amp;"","")&amp;"␟"&amp;IFERROR(INDEX(PASTE_ALL,$DF833,28)&amp;"","")&amp;"␟"&amp;IFERROR(INDEX(PASTE_ALL,$DF833,29)&amp;"","")&amp;"␟"&amp;IFERROR(INDEX(PASTE_ALL,$DF833,30)&amp;"","")&amp;"␟"&amp;IFERROR(INDEX(PASTE_ALL,$DF833,31)&amp;"","")&amp;"␟"&amp;IFERROR(INDEX(PASTE_ALL,$DF833,32)&amp;"","")&amp;"␟"&amp;IFERROR(INDEX(PASTE_ALL,$DF833,33)&amp;"","")&amp;"␟"&amp;IFERROR(INDEX(PASTE_ALL,$DF833,34)&amp;"","")&amp;"␟"&amp;IFERROR(INDEX(PASTE_ALL,$DF833,35)&amp;"","")&amp;"␟"&amp;IFERROR(INDEX(PASTE_ALL,$DF833,36)&amp;"","")&amp;"␟"&amp;IFERROR(INDEX(PASTE_ALL,$DF833,37)&amp;"","")&amp;"␟"&amp;IFERROR(INDEX(PASTE_ALL,$DF833,38)&amp;"","")&amp;"␟"&amp;IFERROR(INDEX(PASTE_ALL,$DF833,39)&amp;"","")&amp;"␟"&amp;IFERROR(INDEX(PASTE_ALL,$DF833,40)&amp;"","")&amp;"␟"&amp;IFERROR(INDEX(PASTE_ALL,$DF833,41)&amp;"","")&amp;"␟"&amp;IFERROR(INDEX(PASTE_ALL,$DF833,42)&amp;"","")&amp;"␟"&amp;IFERROR(INDEX(PASTE_ALL,$DF833,43)&amp;"","")&amp;"␟"&amp;IFERROR(INDEX(PASTE_ALL,$DF833,44)&amp;"","")&amp;"␟"&amp;IFERROR(INDEX(PASTE_ALL,$DF833,45)&amp;"","")&amp;"␟"&amp;IFERROR(INDEX(PASTE_ALL,$DF833,46)&amp;"","")&amp;"␟"&amp;IFERROR(INDEX(PASTE_ALL,$DF833,47)&amp;"","")&amp;"␟"&amp;IFERROR(INDEX(PASTE_ALL,$DF833,48)&amp;"","")&amp;"␟"&amp;IFERROR(INDEX(PASTE_ALL,$DF833,49)&amp;"","")&amp;"␟"&amp;IFERROR(INDEX(PASTE_ALL,$DF833,50)&amp;"","")&amp;"␟"&amp;IFERROR(INDEX(PASTE_ALL,$DF833,51)&amp;"","")&amp;"␟"&amp;IFERROR(INDEX(PASTE_ALL,$DF833,52)&amp;"","")&amp;"␟"&amp;IFERROR(INDEX(PASTE_ALL,$DF833,53)&amp;"","")&amp;"␟"&amp;IFERROR(INDEX(PASTE_ALL,$DF833,54)&amp;"","")&amp;"␟"&amp;IFERROR(INDEX(PASTE_ALL,$DF833,55)&amp;"","")&amp;"␟"&amp;IFERROR(INDEX(PASTE_ALL,$DF833,56)&amp;"","")&amp;"␟"&amp;IFERROR(INDEX(PASTE_ALL,$DF833,57)&amp;"","")&amp;"␟"&amp;IFERROR(INDEX(PASTE_ALL,$DF833,58)&amp;"","")&amp;"␟"&amp;IFERROR(INDEX(PASTE_ALL,$DF833,59)&amp;"","")&amp;"␟"&amp;IFERROR(INDEX(PASTE_ALL,$DF833,60)&amp;"","")," "," "),CHAR(9)," "),CHAR(10)," "),CHAR(13)," "))," ␟","␟"),"␟ ","␟"),"#"&amp;$DE833),"")</f>
        <v/>
      </c>
      <c r="DJ833">
        <f>IF($DI833="",0,IF(SUMPRODUCT(--EXACT($DI$4:DI832,$DI833))&gt;0,1,0))</f>
        <v/>
      </c>
      <c r="DK833">
        <f>IF(AND($DI833&lt;&gt;"",$DJ833=0),1,0)</f>
        <v/>
      </c>
      <c r="DL833">
        <f>DL832+$DK833</f>
        <v/>
      </c>
      <c r="DM833">
        <f>IF(AND($DK833=1,$DL833&lt;=600),1,0)</f>
        <v/>
      </c>
      <c r="DN833">
        <f>IF($DM833=0,"",IF($L$6=0,"",IFERROR(IF(ISNUMBER(INDEX(PASTE_ALL,$DF833,$L$6)),INDEX(PASTE_ALL,$DF833,$L$6),TRIM(SUBSTITUTE(SUBSTITUTE(SUBSTITUTE(SUBSTITUTE(INDEX(PASTE_ALL,$DF833,$L$6)," "," "),CHAR(9)," "),CHAR(10)," "),CHAR(13)," "))),"")))</f>
        <v/>
      </c>
      <c r="DO833">
        <f>IF($DM833=0,"",IF($L$7=0,"",IFERROR(IF(ISNUMBER(INDEX(PASTE_ALL,$DF833,$L$7)),INDEX(PASTE_ALL,$DF833,$L$7),TRIM(SUBSTITUTE(SUBSTITUTE(SUBSTITUTE(SUBSTITUTE(INDEX(PASTE_ALL,$DF833,$L$7)," "," "),CHAR(9)," "),CHAR(10)," "),CHAR(13)," "))),"")))</f>
        <v/>
      </c>
      <c r="DP833">
        <f>IF($DM833=0,"",IF($L$8=0,"",IFERROR(IF(ISNUMBER(INDEX(PASTE_ALL,$DF833,$L$8)),INDEX(PASTE_ALL,$DF833,$L$8),TRIM(SUBSTITUTE(SUBSTITUTE(SUBSTITUTE(SUBSTITUTE(INDEX(PASTE_ALL,$DF833,$L$8)," "," "),CHAR(9)," "),CHAR(10)," "),CHAR(13)," "))),"")))</f>
        <v/>
      </c>
      <c r="DQ833">
        <f>IF($DM833=0,"",IF($L$9=0,"",IFERROR(IF(ISNUMBER(INDEX(PASTE_ALL,$DF833,$L$9)),INDEX(PASTE_ALL,$DF833,$L$9),TRIM(SUBSTITUTE(SUBSTITUTE(SUBSTITUTE(SUBSTITUTE(INDEX(PASTE_ALL,$DF833,$L$9)," "," "),CHAR(9)," "),CHAR(10)," "),CHAR(13)," "))),"")))</f>
        <v/>
      </c>
      <c r="DR833">
        <f>IF($DM833=0,"",IF($L$10=0,"",IFERROR(IF(ISNUMBER(INDEX(PASTE_ALL,$DF833,$L$10)),INDEX(PASTE_ALL,$DF833,$L$10),TRIM(SUBSTITUTE(SUBSTITUTE(SUBSTITUTE(SUBSTITUTE(INDEX(PASTE_ALL,$DF833,$L$10)," "," "),CHAR(9)," "),CHAR(10)," "),CHAR(13)," "))),"")))</f>
        <v/>
      </c>
      <c r="DS833">
        <f>IF($DM833=0,"",IF($L$11=0,"",IFERROR(IF(ISNUMBER(INDEX(PASTE_ALL,$DF833,$L$11)),INDEX(PASTE_ALL,$DF833,$L$11),TRIM(SUBSTITUTE(SUBSTITUTE(SUBSTITUTE(SUBSTITUTE(INDEX(PASTE_ALL,$DF833,$L$11)," "," "),CHAR(9)," "),CHAR(10)," "),CHAR(13)," "))),"")))</f>
        <v/>
      </c>
      <c r="DT833">
        <f>IF($DM833=0,"",IF($L$12=0,"",IFERROR(IF(ISNUMBER(INDEX(PASTE_ALL,$DF833,$L$12)),INDEX(PASTE_ALL,$DF833,$L$12),TRIM(SUBSTITUTE(SUBSTITUTE(SUBSTITUTE(SUBSTITUTE(INDEX(PASTE_ALL,$DF833,$L$12)," "," "),CHAR(9)," "),CHAR(10)," "),CHAR(13)," "))),"")))</f>
        <v/>
      </c>
      <c r="DU833">
        <f>IF($DM833=0,"",IF($L$13=0,"",IFERROR(IF(ISNUMBER(INDEX(PASTE_ALL,$DF833,$L$13)),INDEX(PASTE_ALL,$DF833,$L$13),TRIM(SUBSTITUTE(SUBSTITUTE(SUBSTITUTE(SUBSTITUTE(INDEX(PASTE_ALL,$DF833,$L$13)," "," "),CHAR(9)," "),CHAR(10)," "),CHAR(13)," "))),"")))</f>
        <v/>
      </c>
      <c r="DV833">
        <f>IF($DM833=0,"",IF($L$14=0,"",IFERROR(IF(ISNUMBER(INDEX(PASTE_ALL,$DF833,$L$14)),INDEX(PASTE_ALL,$DF833,$L$14),TRIM(SUBSTITUTE(SUBSTITUTE(SUBSTITUTE(SUBSTITUTE(INDEX(PASTE_ALL,$DF833,$L$14)," "," "),CHAR(9)," "),CHAR(10)," "),CHAR(13)," "))),"")))</f>
        <v/>
      </c>
      <c r="DW833">
        <f>IF($DM833=0,"",IF($L$15=0,"",IFERROR(IF(ISNUMBER(INDEX(PASTE_ALL,$DF833,$L$15)),INDEX(PASTE_ALL,$DF833,$L$15),IF(SUMPRODUCT(--ISNUMBER(FIND({"A","B","C","D","E","F","G","H","I","J","K","L","M","N","O","P","Q","R","S","T","U","V","W","X","Y","Z","0","1","2","3","4","5","6","7","8","9"},UPPER(TRIM(SUBSTITUTE(SUBSTITUTE(SUBSTITUTE(SUBSTITUTE(INDEX(PASTE_ALL,$DF833,$L$15)," "," "),CHAR(9)," "),CHAR(10)," "),CHAR(13)," "))))))&gt;0,TRIM(SUBSTITUTE(SUBSTITUTE(SUBSTITUTE(SUBSTITUTE(INDEX(PASTE_ALL,$DF833,$L$15)," "," "),CHAR(9)," "),CHAR(10)," "),CHAR(13)," ")),"")),"")))</f>
        <v/>
      </c>
      <c r="DX833">
        <f>IF($DM833=0,"",IF($L$16=0,"",IFERROR(IF(ISNUMBER(INDEX(PASTE_ALL,$DF833,$L$16)),INDEX(PASTE_ALL,$DF833,$L$16),SUBSTITUTE(SUBSTITUTE(TRIM(SUBSTITUTE(SUBSTITUTE(SUBSTITUTE(SUBSTITUTE(INDEX(PASTE_ALL,$DF833,$L$16)," "," "),CHAR(9)," "),CHAR(10)," "),CHAR(13)," ")),",",""),"%","")),"")))</f>
        <v/>
      </c>
      <c r="DY833">
        <f>IF($DM833=0,"",IFERROR(IF(ISNUMBER($DX833),$DX833,IF($DX833="","",IF(TRIM($DX833)="",0,IF(AND(AND(SUBSTITUTE(SUBSTITUTE(SUBSTITUTE(SUBSTITUTE(SUBSTITUTE(SUBSTITUTE(SUBSTITUTE(SUBSTITUTE(SUBSTITUTE(SUBSTITUTE(SUBSTITUTE(SUBSTITUTE(SUBSTITUTE(SUBSTITUTE(UPPER(TRIM($DX833)),"0",""),"1",""),"2",""),"3",""),"4",""),"5",""),"6",""),"7",""),"8",""),"9",""),".",""),"+",""),"-",""),"E","")="",LEN(SUBSTITUTE(SUBSTITUTE(MID(UPPER(TRIM($DX833)),1+OR(LEFT(UPPER(TRIM($DX833)),1)="+",LEFT(UPPER(TRIM($DX833)),1)="-"),999),"E+","E"),"E-","E"))=LEN(SUBSTITUTE(SUBSTITUTE(SUBSTITUTE(SUBSTITUTE(MID(UPPER(TRIM($DX833)),1+OR(LEFT(UPPER(TRIM($DX833)),1)="+",LEFT(UPPER(TRIM($DX833)),1)="-"),999),"E+","E"),"E-","E"),"+",""),"-","")),LEN(UPPER(TRIM($DX833)))-LEN(SUBSTITUTE(UPPER(TRIM($DX833)),"E",""))&lt;2,LEN(UPPER(TRIM($DX833)))-LEN(SUBSTITUTE(UPPER(TRIM($DX833)),".",""))&lt;2,IFERROR(FIND(".",UPPER(TRIM($DX833))),0)&lt;IFERROR(FIND("E",UPPER(TRIM($DX833))),999)),ISNUMBER(VALUE(TRIM($DX833)))),VALUE(TRIM($DX833)),"")))),""))</f>
        <v/>
      </c>
      <c r="DZ833">
        <f>IF($DM833=0,"",IF($L$17=0,"",IFERROR(IF(ISNUMBER(INDEX(PASTE_ALL,$DF833,$L$17)),INDEX(PASTE_ALL,$DF833,$L$17),SUBSTITUTE(SUBSTITUTE(TRIM(SUBSTITUTE(SUBSTITUTE(SUBSTITUTE(SUBSTITUTE(INDEX(PASTE_ALL,$DF833,$L$17)," "," "),CHAR(9)," "),CHAR(10)," "),CHAR(13)," ")),",",""),"%","")),"")))</f>
        <v/>
      </c>
      <c r="EA833">
        <f>IF($DM833=0,"",IFERROR(IF(ISNUMBER($DZ833),$DZ833,IF($DZ833="","",IF(TRIM($DZ833)="",0,IF(AND(AND(SUBSTITUTE(SUBSTITUTE(SUBSTITUTE(SUBSTITUTE(SUBSTITUTE(SUBSTITUTE(SUBSTITUTE(SUBSTITUTE(SUBSTITUTE(SUBSTITUTE(SUBSTITUTE(SUBSTITUTE(SUBSTITUTE(SUBSTITUTE(UPPER(TRIM($DZ833)),"0",""),"1",""),"2",""),"3",""),"4",""),"5",""),"6",""),"7",""),"8",""),"9",""),".",""),"+",""),"-",""),"E","")="",LEN(SUBSTITUTE(SUBSTITUTE(MID(UPPER(TRIM($DZ833)),1+OR(LEFT(UPPER(TRIM($DZ833)),1)="+",LEFT(UPPER(TRIM($DZ833)),1)="-"),999),"E+","E"),"E-","E"))=LEN(SUBSTITUTE(SUBSTITUTE(SUBSTITUTE(SUBSTITUTE(MID(UPPER(TRIM($DZ833)),1+OR(LEFT(UPPER(TRIM($DZ833)),1)="+",LEFT(UPPER(TRIM($DZ833)),1)="-"),999),"E+","E"),"E-","E"),"+",""),"-","")),LEN(UPPER(TRIM($DZ833)))-LEN(SUBSTITUTE(UPPER(TRIM($DZ833)),"E",""))&lt;2,LEN(UPPER(TRIM($DZ833)))-LEN(SUBSTITUTE(UPPER(TRIM($DZ833)),".",""))&lt;2,IFERROR(FIND(".",UPPER(TRIM($DZ833))),0)&lt;IFERROR(FIND("E",UPPER(TRIM($DZ833))),999)),ISNUMBER(VALUE(TRIM($DZ833)))),VALUE(TRIM($DZ833)),"")))),""))</f>
        <v/>
      </c>
      <c r="EB833">
        <f>IF($DM833=0,"",IF($L$18=0,"",IFERROR(IF(UPPER(TRIM(SUBSTITUTE(SUBSTITUTE(SUBSTITUTE(SUBSTITUTE(INDEX(PASTE_ALL,$DF833,$L$18)," "," "),CHAR(9)," "),CHAR(10)," "),CHAR(13)," ")))="READY","Ready",IF(UPPER(TRIM(SUBSTITUTE(SUBSTITUTE(SUBSTITUTE(SUBSTITUTE(INDEX(PASTE_ALL,$DF833,$L$18)," "," "),CHAR(9)," "),CHAR(10)," "),CHAR(13)," ")))="PM","PM",IF(OR(UPPER(TRIM(SUBSTITUTE(SUBSTITUTE(SUBSTITUTE(SUBSTITUTE(INDEX(PASTE_ALL,$DF833,$L$18)," "," "),CHAR(9)," "),CHAR(10)," "),CHAR(13)," ")))="OT",UPPER(TRIM(SUBSTITUTE(SUBSTITUTE(SUBSTITUTE(SUBSTITUTE(INDEX(PASTE_ALL,$DF833,$L$18)," "," "),CHAR(9)," "),CHAR(10)," "),CHAR(13)," ")))="OVERTIME",UPPER(TRIM(SUBSTITUTE(SUBSTITUTE(SUBSTITUTE(SUBSTITUTE(INDEX(PASTE_ALL,$DF833,$L$18)," "," "),CHAR(9)," "),CHAR(10)," "),CHAR(13)," ")))="TRIAL"),"OT",TRIM(SUBSTITUTE(SUBSTITUTE(SUBSTITUTE(SUBSTITUTE(INDEX(PASTE_ALL,$DF833,$L$18)," "," "),CHAR(9)," "),CHAR(10)," "),CHAR(13)," "))))),"")))</f>
        <v/>
      </c>
      <c r="EC833">
        <f>IF($DM833=0,"",IF($L$19=0,"",IFERROR(IF(ISNUMBER(INDEX(PASTE_ALL,$DF833,$L$19)),INDEX(PASTE_ALL,$DF833,$L$19),TRIM(SUBSTITUTE(SUBSTITUTE(SUBSTITUTE(SUBSTITUTE(INDEX(PASTE_ALL,$DF833,$L$19)," "," "),CHAR(9)," "),CHAR(10)," "),CHAR(13)," "))),"")))</f>
        <v/>
      </c>
      <c r="ED833">
        <f>IF($DM833=0,"",MATCH(1,INDEX(EXACT($DH$5:DH833,$DH833)*$DM$5:DM833,0),0))</f>
        <v/>
      </c>
      <c r="EE833">
        <f>IF($DM833=0,0,IF($ED833=$DE833,1,0))</f>
        <v/>
      </c>
      <c r="EF833">
        <f>EF832+$EE833</f>
        <v/>
      </c>
      <c r="EG833">
        <f>IF($DM833=0,"",INDEX($EF$5:$EF$1003,$ED833))</f>
        <v/>
      </c>
      <c r="EH833">
        <f>IF($DM833=0,"",IF($DO833&lt;&gt;"","",IFERROR(LOOKUP(2,1/(($EG$4:EG832=$EG833)*($DO$4:DO832&lt;&gt;"")),$DO$4:DO832),"")))</f>
        <v/>
      </c>
      <c r="EI833">
        <f>IF($DM833=0,"",IF($DO833&lt;&gt;"",$DO833,$EH833))</f>
        <v/>
      </c>
      <c r="EJ833">
        <f>IF($DM833=0,"",IF($EI833="",0,IF(OR(ISNUMBER($EI833),AND(AND(SUBSTITUTE(SUBSTITUTE(SUBSTITUTE(SUBSTITUTE(SUBSTITUTE(SUBSTITUTE(SUBSTITUTE(SUBSTITUTE(SUBSTITUTE(SUBSTITUTE(SUBSTITUTE(SUBSTITUTE(SUBSTITUTE(SUBSTITUTE(UPPER($EI833),"0",""),"1",""),"2",""),"3",""),"4",""),"5",""),"6",""),"7",""),"8",""),"9",""),".",""),"+",""),"-",""),"E","")="",LEN(SUBSTITUTE(SUBSTITUTE(MID(UPPER($EI833),1+OR(LEFT(UPPER($EI833),1)="+",LEFT(UPPER($EI833),1)="-"),999),"E+","E"),"E-","E"))=LEN(SUBSTITUTE(SUBSTITUTE(SUBSTITUTE(SUBSTITUTE(MID(UPPER($EI833),1+OR(LEFT(UPPER($EI833),1)="+",LEFT(UPPER($EI833),1)="-"),999),"E+","E"),"E-","E"),"+",""),"-","")),LEN(UPPER($EI833))-LEN(SUBSTITUTE(UPPER($EI833),"E",""))&lt;2,LEN(UPPER($EI833))-LEN(SUBSTITUTE(UPPER($EI833),".",""))&lt;2,IFERROR(FIND(".",UPPER($EI833)),0)&lt;IFERROR(FIND("E",UPPER($EI833)),999)),ISNUMBER(VALUE($EI833)))),1,2)))</f>
        <v/>
      </c>
      <c r="EK833">
        <f>IF($DM833=0,"",IF($EJ833=1,IF(ISNUMBER($EI833),$EI833,VALUE($EI833)),IF($EJ833=2,$DE833,0)))</f>
        <v/>
      </c>
      <c r="EL833">
        <f>IF($DM833=0,"",COUNTIF($EG$5:$EG$1003,"&lt;"&amp;$EG833)+SUMPRODUCT(($EG$5:$EG$1003=$EG833)*(($EJ$5:$EJ$1003&lt;$EJ833)+($EJ$5:$EJ$1003=$EJ833)*(($EK$5:$EK$1003&lt;$EK833)+($EK$5:$EK$1003=$EK833)*($DE$5:$DE$1003&lt;$DE833))))+1)</f>
        <v/>
      </c>
      <c r="EM833">
        <f>IF($DM833=0,"",$EL833+$EG833-1)</f>
        <v/>
      </c>
      <c r="EN833">
        <f>IF($DM833=0,0,IFERROR(MATCH(1,INDEX(--(TRIM(SUBSTITUTE(SUBSTITUTE(SUBSTITUTE(SUBSTITUTE(LINES_NAME&amp;""," "," "),CHAR(9)," "),CHAR(10)," "),CHAR(13)," "))=$DH833),0),0),0))</f>
        <v/>
      </c>
      <c r="EO833">
        <f>IF($EN833=0,0,IF(OR(UPPER(TRIM(INDEX(LINES_SCHEDULED,$EN833)&amp;""))="YES",UPPER(TRIM(INDEX(LINES_SCHEDULED,$EN833)&amp;""))="Y",UPPER(TRIM(INDEX(LINES_SCHEDULED,$EN833)&amp;""))="X"),1,0))</f>
        <v/>
      </c>
      <c r="EP833">
        <f>IF($DM833=0,"",IF(COUNTIFS($EG$5:$EG$1003,$EG833,$EB$5:$EB$1003,"Ready")&gt;0,"READY",IF(COUNTIFS($EG$5:$EG$1003,$EG833,$EB$5:$EB$1003,"PM")&gt;0,"PM",IF(COUNTIFS($EG$5:$EG$1003,$EG833,$EB$5:$EB$1003,"OT")&gt;0,"OT",""))))</f>
        <v/>
      </c>
      <c r="EQ833">
        <f>IF($EN833=0,"",UPPER(TRIM(INDEX(LINES_STATUS,$EN833)&amp;"")))</f>
        <v/>
      </c>
      <c r="ER833">
        <f>IF($DM833=0,"",IF(OR($EQ833="READY",$EQ833="PM",$EQ833="OT"),$EQ833,$EP833))</f>
        <v/>
      </c>
      <c r="ES833">
        <f>IF($DM833=0,"",IF(AND($DV833&lt;&gt;"",UPPER($DV833)&lt;&gt;"N"),"allergen",IF(ISNUMBER(SEARCH("oil",$DQ833)),"oil",IF(OR(EXACT($DS833,"A662"),EXACT($DS833,"A624")),"bulk",""))))</f>
        <v/>
      </c>
      <c r="ET833">
        <f>IF($DM833=0,"",IF(OR($EA833="",$EA833=0),"",$EA833/100))</f>
        <v/>
      </c>
      <c r="EU833">
        <f>IF(OR($ET833="",$DY833=""),"",INT($DY833*(1-$ET833)+0.5))</f>
        <v/>
      </c>
    </row>
    <row r="834">
      <c r="DA834" t="n">
        <v>830</v>
      </c>
      <c r="DB834">
        <f>IF($B$37=0,"",IFERROR(TRIM(SUBSTITUTE(SUBSTITUTE(SUBSTITUTE(SUBSTITUTE(INDEX(PASTE_ALL,830,$B$37)," "," "),CHAR(9)," "),CHAR(10)," "),CHAR(13)," ")),""))</f>
        <v/>
      </c>
      <c r="DC834">
        <f>IF(AND(830&gt;HEADER_ROW,UPPER(DB834)="LEGEND"),1,0)</f>
        <v/>
      </c>
      <c r="DE834" t="n">
        <v>830</v>
      </c>
      <c r="DF834">
        <f>HEADER_ROW+$DE834</f>
        <v/>
      </c>
      <c r="DG834">
        <f>IF(AND($DF834&lt;=1000,$DF834&lt;$B$8),1,0)</f>
        <v/>
      </c>
      <c r="DH834">
        <f>IF($DG834=1,IFERROR(INDEX($DB$5:$DB$1004,$DF834),""),"")</f>
        <v/>
      </c>
      <c r="DI834">
        <f>IF(AND($DG834=1,$DH834&lt;&gt;""),IFERROR(SUBSTITUTE(SUBSTITUTE(TRIM(SUBSTITUTE(SUBSTITUTE(SUBSTITUTE(SUBSTITUTE(IFERROR(INDEX(PASTE_ALL,$DF834,1)&amp;"","")&amp;"␟"&amp;IFERROR(INDEX(PASTE_ALL,$DF834,2)&amp;"","")&amp;"␟"&amp;IFERROR(INDEX(PASTE_ALL,$DF834,3)&amp;"","")&amp;"␟"&amp;IFERROR(INDEX(PASTE_ALL,$DF834,4)&amp;"","")&amp;"␟"&amp;IFERROR(INDEX(PASTE_ALL,$DF834,5)&amp;"","")&amp;"␟"&amp;IFERROR(INDEX(PASTE_ALL,$DF834,6)&amp;"","")&amp;"␟"&amp;IFERROR(INDEX(PASTE_ALL,$DF834,7)&amp;"","")&amp;"␟"&amp;IFERROR(INDEX(PASTE_ALL,$DF834,8)&amp;"","")&amp;"␟"&amp;IFERROR(INDEX(PASTE_ALL,$DF834,9)&amp;"","")&amp;"␟"&amp;IFERROR(INDEX(PASTE_ALL,$DF834,10)&amp;"","")&amp;"␟"&amp;IFERROR(INDEX(PASTE_ALL,$DF834,11)&amp;"","")&amp;"␟"&amp;IFERROR(INDEX(PASTE_ALL,$DF834,12)&amp;"","")&amp;"␟"&amp;IFERROR(INDEX(PASTE_ALL,$DF834,13)&amp;"","")&amp;"␟"&amp;IFERROR(INDEX(PASTE_ALL,$DF834,14)&amp;"","")&amp;"␟"&amp;IFERROR(INDEX(PASTE_ALL,$DF834,15)&amp;"","")&amp;"␟"&amp;IFERROR(INDEX(PASTE_ALL,$DF834,16)&amp;"","")&amp;"␟"&amp;IFERROR(INDEX(PASTE_ALL,$DF834,17)&amp;"","")&amp;"␟"&amp;IFERROR(INDEX(PASTE_ALL,$DF834,18)&amp;"","")&amp;"␟"&amp;IFERROR(INDEX(PASTE_ALL,$DF834,19)&amp;"","")&amp;"␟"&amp;IFERROR(INDEX(PASTE_ALL,$DF834,20)&amp;"","")&amp;"␟"&amp;IFERROR(INDEX(PASTE_ALL,$DF834,21)&amp;"","")&amp;"␟"&amp;IFERROR(INDEX(PASTE_ALL,$DF834,22)&amp;"","")&amp;"␟"&amp;IFERROR(INDEX(PASTE_ALL,$DF834,23)&amp;"","")&amp;"␟"&amp;IFERROR(INDEX(PASTE_ALL,$DF834,24)&amp;"","")&amp;"␟"&amp;IFERROR(INDEX(PASTE_ALL,$DF834,25)&amp;"","")&amp;"␟"&amp;IFERROR(INDEX(PASTE_ALL,$DF834,26)&amp;"","")&amp;"␟"&amp;IFERROR(INDEX(PASTE_ALL,$DF834,27)&amp;"","")&amp;"␟"&amp;IFERROR(INDEX(PASTE_ALL,$DF834,28)&amp;"","")&amp;"␟"&amp;IFERROR(INDEX(PASTE_ALL,$DF834,29)&amp;"","")&amp;"␟"&amp;IFERROR(INDEX(PASTE_ALL,$DF834,30)&amp;"","")&amp;"␟"&amp;IFERROR(INDEX(PASTE_ALL,$DF834,31)&amp;"","")&amp;"␟"&amp;IFERROR(INDEX(PASTE_ALL,$DF834,32)&amp;"","")&amp;"␟"&amp;IFERROR(INDEX(PASTE_ALL,$DF834,33)&amp;"","")&amp;"␟"&amp;IFERROR(INDEX(PASTE_ALL,$DF834,34)&amp;"","")&amp;"␟"&amp;IFERROR(INDEX(PASTE_ALL,$DF834,35)&amp;"","")&amp;"␟"&amp;IFERROR(INDEX(PASTE_ALL,$DF834,36)&amp;"","")&amp;"␟"&amp;IFERROR(INDEX(PASTE_ALL,$DF834,37)&amp;"","")&amp;"␟"&amp;IFERROR(INDEX(PASTE_ALL,$DF834,38)&amp;"","")&amp;"␟"&amp;IFERROR(INDEX(PASTE_ALL,$DF834,39)&amp;"","")&amp;"␟"&amp;IFERROR(INDEX(PASTE_ALL,$DF834,40)&amp;"","")&amp;"␟"&amp;IFERROR(INDEX(PASTE_ALL,$DF834,41)&amp;"","")&amp;"␟"&amp;IFERROR(INDEX(PASTE_ALL,$DF834,42)&amp;"","")&amp;"␟"&amp;IFERROR(INDEX(PASTE_ALL,$DF834,43)&amp;"","")&amp;"␟"&amp;IFERROR(INDEX(PASTE_ALL,$DF834,44)&amp;"","")&amp;"␟"&amp;IFERROR(INDEX(PASTE_ALL,$DF834,45)&amp;"","")&amp;"␟"&amp;IFERROR(INDEX(PASTE_ALL,$DF834,46)&amp;"","")&amp;"␟"&amp;IFERROR(INDEX(PASTE_ALL,$DF834,47)&amp;"","")&amp;"␟"&amp;IFERROR(INDEX(PASTE_ALL,$DF834,48)&amp;"","")&amp;"␟"&amp;IFERROR(INDEX(PASTE_ALL,$DF834,49)&amp;"","")&amp;"␟"&amp;IFERROR(INDEX(PASTE_ALL,$DF834,50)&amp;"","")&amp;"␟"&amp;IFERROR(INDEX(PASTE_ALL,$DF834,51)&amp;"","")&amp;"␟"&amp;IFERROR(INDEX(PASTE_ALL,$DF834,52)&amp;"","")&amp;"␟"&amp;IFERROR(INDEX(PASTE_ALL,$DF834,53)&amp;"","")&amp;"␟"&amp;IFERROR(INDEX(PASTE_ALL,$DF834,54)&amp;"","")&amp;"␟"&amp;IFERROR(INDEX(PASTE_ALL,$DF834,55)&amp;"","")&amp;"␟"&amp;IFERROR(INDEX(PASTE_ALL,$DF834,56)&amp;"","")&amp;"␟"&amp;IFERROR(INDEX(PASTE_ALL,$DF834,57)&amp;"","")&amp;"␟"&amp;IFERROR(INDEX(PASTE_ALL,$DF834,58)&amp;"","")&amp;"␟"&amp;IFERROR(INDEX(PASTE_ALL,$DF834,59)&amp;"","")&amp;"␟"&amp;IFERROR(INDEX(PASTE_ALL,$DF834,60)&amp;"","")," "," "),CHAR(9)," "),CHAR(10)," "),CHAR(13)," "))," ␟","␟"),"␟ ","␟"),"#"&amp;$DE834),"")</f>
        <v/>
      </c>
      <c r="DJ834">
        <f>IF($DI834="",0,IF(SUMPRODUCT(--EXACT($DI$4:DI833,$DI834))&gt;0,1,0))</f>
        <v/>
      </c>
      <c r="DK834">
        <f>IF(AND($DI834&lt;&gt;"",$DJ834=0),1,0)</f>
        <v/>
      </c>
      <c r="DL834">
        <f>DL833+$DK834</f>
        <v/>
      </c>
      <c r="DM834">
        <f>IF(AND($DK834=1,$DL834&lt;=600),1,0)</f>
        <v/>
      </c>
      <c r="DN834">
        <f>IF($DM834=0,"",IF($L$6=0,"",IFERROR(IF(ISNUMBER(INDEX(PASTE_ALL,$DF834,$L$6)),INDEX(PASTE_ALL,$DF834,$L$6),TRIM(SUBSTITUTE(SUBSTITUTE(SUBSTITUTE(SUBSTITUTE(INDEX(PASTE_ALL,$DF834,$L$6)," "," "),CHAR(9)," "),CHAR(10)," "),CHAR(13)," "))),"")))</f>
        <v/>
      </c>
      <c r="DO834">
        <f>IF($DM834=0,"",IF($L$7=0,"",IFERROR(IF(ISNUMBER(INDEX(PASTE_ALL,$DF834,$L$7)),INDEX(PASTE_ALL,$DF834,$L$7),TRIM(SUBSTITUTE(SUBSTITUTE(SUBSTITUTE(SUBSTITUTE(INDEX(PASTE_ALL,$DF834,$L$7)," "," "),CHAR(9)," "),CHAR(10)," "),CHAR(13)," "))),"")))</f>
        <v/>
      </c>
      <c r="DP834">
        <f>IF($DM834=0,"",IF($L$8=0,"",IFERROR(IF(ISNUMBER(INDEX(PASTE_ALL,$DF834,$L$8)),INDEX(PASTE_ALL,$DF834,$L$8),TRIM(SUBSTITUTE(SUBSTITUTE(SUBSTITUTE(SUBSTITUTE(INDEX(PASTE_ALL,$DF834,$L$8)," "," "),CHAR(9)," "),CHAR(10)," "),CHAR(13)," "))),"")))</f>
        <v/>
      </c>
      <c r="DQ834">
        <f>IF($DM834=0,"",IF($L$9=0,"",IFERROR(IF(ISNUMBER(INDEX(PASTE_ALL,$DF834,$L$9)),INDEX(PASTE_ALL,$DF834,$L$9),TRIM(SUBSTITUTE(SUBSTITUTE(SUBSTITUTE(SUBSTITUTE(INDEX(PASTE_ALL,$DF834,$L$9)," "," "),CHAR(9)," "),CHAR(10)," "),CHAR(13)," "))),"")))</f>
        <v/>
      </c>
      <c r="DR834">
        <f>IF($DM834=0,"",IF($L$10=0,"",IFERROR(IF(ISNUMBER(INDEX(PASTE_ALL,$DF834,$L$10)),INDEX(PASTE_ALL,$DF834,$L$10),TRIM(SUBSTITUTE(SUBSTITUTE(SUBSTITUTE(SUBSTITUTE(INDEX(PASTE_ALL,$DF834,$L$10)," "," "),CHAR(9)," "),CHAR(10)," "),CHAR(13)," "))),"")))</f>
        <v/>
      </c>
      <c r="DS834">
        <f>IF($DM834=0,"",IF($L$11=0,"",IFERROR(IF(ISNUMBER(INDEX(PASTE_ALL,$DF834,$L$11)),INDEX(PASTE_ALL,$DF834,$L$11),TRIM(SUBSTITUTE(SUBSTITUTE(SUBSTITUTE(SUBSTITUTE(INDEX(PASTE_ALL,$DF834,$L$11)," "," "),CHAR(9)," "),CHAR(10)," "),CHAR(13)," "))),"")))</f>
        <v/>
      </c>
      <c r="DT834">
        <f>IF($DM834=0,"",IF($L$12=0,"",IFERROR(IF(ISNUMBER(INDEX(PASTE_ALL,$DF834,$L$12)),INDEX(PASTE_ALL,$DF834,$L$12),TRIM(SUBSTITUTE(SUBSTITUTE(SUBSTITUTE(SUBSTITUTE(INDEX(PASTE_ALL,$DF834,$L$12)," "," "),CHAR(9)," "),CHAR(10)," "),CHAR(13)," "))),"")))</f>
        <v/>
      </c>
      <c r="DU834">
        <f>IF($DM834=0,"",IF($L$13=0,"",IFERROR(IF(ISNUMBER(INDEX(PASTE_ALL,$DF834,$L$13)),INDEX(PASTE_ALL,$DF834,$L$13),TRIM(SUBSTITUTE(SUBSTITUTE(SUBSTITUTE(SUBSTITUTE(INDEX(PASTE_ALL,$DF834,$L$13)," "," "),CHAR(9)," "),CHAR(10)," "),CHAR(13)," "))),"")))</f>
        <v/>
      </c>
      <c r="DV834">
        <f>IF($DM834=0,"",IF($L$14=0,"",IFERROR(IF(ISNUMBER(INDEX(PASTE_ALL,$DF834,$L$14)),INDEX(PASTE_ALL,$DF834,$L$14),TRIM(SUBSTITUTE(SUBSTITUTE(SUBSTITUTE(SUBSTITUTE(INDEX(PASTE_ALL,$DF834,$L$14)," "," "),CHAR(9)," "),CHAR(10)," "),CHAR(13)," "))),"")))</f>
        <v/>
      </c>
      <c r="DW834">
        <f>IF($DM834=0,"",IF($L$15=0,"",IFERROR(IF(ISNUMBER(INDEX(PASTE_ALL,$DF834,$L$15)),INDEX(PASTE_ALL,$DF834,$L$15),IF(SUMPRODUCT(--ISNUMBER(FIND({"A","B","C","D","E","F","G","H","I","J","K","L","M","N","O","P","Q","R","S","T","U","V","W","X","Y","Z","0","1","2","3","4","5","6","7","8","9"},UPPER(TRIM(SUBSTITUTE(SUBSTITUTE(SUBSTITUTE(SUBSTITUTE(INDEX(PASTE_ALL,$DF834,$L$15)," "," "),CHAR(9)," "),CHAR(10)," "),CHAR(13)," "))))))&gt;0,TRIM(SUBSTITUTE(SUBSTITUTE(SUBSTITUTE(SUBSTITUTE(INDEX(PASTE_ALL,$DF834,$L$15)," "," "),CHAR(9)," "),CHAR(10)," "),CHAR(13)," ")),"")),"")))</f>
        <v/>
      </c>
      <c r="DX834">
        <f>IF($DM834=0,"",IF($L$16=0,"",IFERROR(IF(ISNUMBER(INDEX(PASTE_ALL,$DF834,$L$16)),INDEX(PASTE_ALL,$DF834,$L$16),SUBSTITUTE(SUBSTITUTE(TRIM(SUBSTITUTE(SUBSTITUTE(SUBSTITUTE(SUBSTITUTE(INDEX(PASTE_ALL,$DF834,$L$16)," "," "),CHAR(9)," "),CHAR(10)," "),CHAR(13)," ")),",",""),"%","")),"")))</f>
        <v/>
      </c>
      <c r="DY834">
        <f>IF($DM834=0,"",IFERROR(IF(ISNUMBER($DX834),$DX834,IF($DX834="","",IF(TRIM($DX834)="",0,IF(AND(AND(SUBSTITUTE(SUBSTITUTE(SUBSTITUTE(SUBSTITUTE(SUBSTITUTE(SUBSTITUTE(SUBSTITUTE(SUBSTITUTE(SUBSTITUTE(SUBSTITUTE(SUBSTITUTE(SUBSTITUTE(SUBSTITUTE(SUBSTITUTE(UPPER(TRIM($DX834)),"0",""),"1",""),"2",""),"3",""),"4",""),"5",""),"6",""),"7",""),"8",""),"9",""),".",""),"+",""),"-",""),"E","")="",LEN(SUBSTITUTE(SUBSTITUTE(MID(UPPER(TRIM($DX834)),1+OR(LEFT(UPPER(TRIM($DX834)),1)="+",LEFT(UPPER(TRIM($DX834)),1)="-"),999),"E+","E"),"E-","E"))=LEN(SUBSTITUTE(SUBSTITUTE(SUBSTITUTE(SUBSTITUTE(MID(UPPER(TRIM($DX834)),1+OR(LEFT(UPPER(TRIM($DX834)),1)="+",LEFT(UPPER(TRIM($DX834)),1)="-"),999),"E+","E"),"E-","E"),"+",""),"-","")),LEN(UPPER(TRIM($DX834)))-LEN(SUBSTITUTE(UPPER(TRIM($DX834)),"E",""))&lt;2,LEN(UPPER(TRIM($DX834)))-LEN(SUBSTITUTE(UPPER(TRIM($DX834)),".",""))&lt;2,IFERROR(FIND(".",UPPER(TRIM($DX834))),0)&lt;IFERROR(FIND("E",UPPER(TRIM($DX834))),999)),ISNUMBER(VALUE(TRIM($DX834)))),VALUE(TRIM($DX834)),"")))),""))</f>
        <v/>
      </c>
      <c r="DZ834">
        <f>IF($DM834=0,"",IF($L$17=0,"",IFERROR(IF(ISNUMBER(INDEX(PASTE_ALL,$DF834,$L$17)),INDEX(PASTE_ALL,$DF834,$L$17),SUBSTITUTE(SUBSTITUTE(TRIM(SUBSTITUTE(SUBSTITUTE(SUBSTITUTE(SUBSTITUTE(INDEX(PASTE_ALL,$DF834,$L$17)," "," "),CHAR(9)," "),CHAR(10)," "),CHAR(13)," ")),",",""),"%","")),"")))</f>
        <v/>
      </c>
      <c r="EA834">
        <f>IF($DM834=0,"",IFERROR(IF(ISNUMBER($DZ834),$DZ834,IF($DZ834="","",IF(TRIM($DZ834)="",0,IF(AND(AND(SUBSTITUTE(SUBSTITUTE(SUBSTITUTE(SUBSTITUTE(SUBSTITUTE(SUBSTITUTE(SUBSTITUTE(SUBSTITUTE(SUBSTITUTE(SUBSTITUTE(SUBSTITUTE(SUBSTITUTE(SUBSTITUTE(SUBSTITUTE(UPPER(TRIM($DZ834)),"0",""),"1",""),"2",""),"3",""),"4",""),"5",""),"6",""),"7",""),"8",""),"9",""),".",""),"+",""),"-",""),"E","")="",LEN(SUBSTITUTE(SUBSTITUTE(MID(UPPER(TRIM($DZ834)),1+OR(LEFT(UPPER(TRIM($DZ834)),1)="+",LEFT(UPPER(TRIM($DZ834)),1)="-"),999),"E+","E"),"E-","E"))=LEN(SUBSTITUTE(SUBSTITUTE(SUBSTITUTE(SUBSTITUTE(MID(UPPER(TRIM($DZ834)),1+OR(LEFT(UPPER(TRIM($DZ834)),1)="+",LEFT(UPPER(TRIM($DZ834)),1)="-"),999),"E+","E"),"E-","E"),"+",""),"-","")),LEN(UPPER(TRIM($DZ834)))-LEN(SUBSTITUTE(UPPER(TRIM($DZ834)),"E",""))&lt;2,LEN(UPPER(TRIM($DZ834)))-LEN(SUBSTITUTE(UPPER(TRIM($DZ834)),".",""))&lt;2,IFERROR(FIND(".",UPPER(TRIM($DZ834))),0)&lt;IFERROR(FIND("E",UPPER(TRIM($DZ834))),999)),ISNUMBER(VALUE(TRIM($DZ834)))),VALUE(TRIM($DZ834)),"")))),""))</f>
        <v/>
      </c>
      <c r="EB834">
        <f>IF($DM834=0,"",IF($L$18=0,"",IFERROR(IF(UPPER(TRIM(SUBSTITUTE(SUBSTITUTE(SUBSTITUTE(SUBSTITUTE(INDEX(PASTE_ALL,$DF834,$L$18)," "," "),CHAR(9)," "),CHAR(10)," "),CHAR(13)," ")))="READY","Ready",IF(UPPER(TRIM(SUBSTITUTE(SUBSTITUTE(SUBSTITUTE(SUBSTITUTE(INDEX(PASTE_ALL,$DF834,$L$18)," "," "),CHAR(9)," "),CHAR(10)," "),CHAR(13)," ")))="PM","PM",IF(OR(UPPER(TRIM(SUBSTITUTE(SUBSTITUTE(SUBSTITUTE(SUBSTITUTE(INDEX(PASTE_ALL,$DF834,$L$18)," "," "),CHAR(9)," "),CHAR(10)," "),CHAR(13)," ")))="OT",UPPER(TRIM(SUBSTITUTE(SUBSTITUTE(SUBSTITUTE(SUBSTITUTE(INDEX(PASTE_ALL,$DF834,$L$18)," "," "),CHAR(9)," "),CHAR(10)," "),CHAR(13)," ")))="OVERTIME",UPPER(TRIM(SUBSTITUTE(SUBSTITUTE(SUBSTITUTE(SUBSTITUTE(INDEX(PASTE_ALL,$DF834,$L$18)," "," "),CHAR(9)," "),CHAR(10)," "),CHAR(13)," ")))="TRIAL"),"OT",TRIM(SUBSTITUTE(SUBSTITUTE(SUBSTITUTE(SUBSTITUTE(INDEX(PASTE_ALL,$DF834,$L$18)," "," "),CHAR(9)," "),CHAR(10)," "),CHAR(13)," "))))),"")))</f>
        <v/>
      </c>
      <c r="EC834">
        <f>IF($DM834=0,"",IF($L$19=0,"",IFERROR(IF(ISNUMBER(INDEX(PASTE_ALL,$DF834,$L$19)),INDEX(PASTE_ALL,$DF834,$L$19),TRIM(SUBSTITUTE(SUBSTITUTE(SUBSTITUTE(SUBSTITUTE(INDEX(PASTE_ALL,$DF834,$L$19)," "," "),CHAR(9)," "),CHAR(10)," "),CHAR(13)," "))),"")))</f>
        <v/>
      </c>
      <c r="ED834">
        <f>IF($DM834=0,"",MATCH(1,INDEX(EXACT($DH$5:DH834,$DH834)*$DM$5:DM834,0),0))</f>
        <v/>
      </c>
      <c r="EE834">
        <f>IF($DM834=0,0,IF($ED834=$DE834,1,0))</f>
        <v/>
      </c>
      <c r="EF834">
        <f>EF833+$EE834</f>
        <v/>
      </c>
      <c r="EG834">
        <f>IF($DM834=0,"",INDEX($EF$5:$EF$1003,$ED834))</f>
        <v/>
      </c>
      <c r="EH834">
        <f>IF($DM834=0,"",IF($DO834&lt;&gt;"","",IFERROR(LOOKUP(2,1/(($EG$4:EG833=$EG834)*($DO$4:DO833&lt;&gt;"")),$DO$4:DO833),"")))</f>
        <v/>
      </c>
      <c r="EI834">
        <f>IF($DM834=0,"",IF($DO834&lt;&gt;"",$DO834,$EH834))</f>
        <v/>
      </c>
      <c r="EJ834">
        <f>IF($DM834=0,"",IF($EI834="",0,IF(OR(ISNUMBER($EI834),AND(AND(SUBSTITUTE(SUBSTITUTE(SUBSTITUTE(SUBSTITUTE(SUBSTITUTE(SUBSTITUTE(SUBSTITUTE(SUBSTITUTE(SUBSTITUTE(SUBSTITUTE(SUBSTITUTE(SUBSTITUTE(SUBSTITUTE(SUBSTITUTE(UPPER($EI834),"0",""),"1",""),"2",""),"3",""),"4",""),"5",""),"6",""),"7",""),"8",""),"9",""),".",""),"+",""),"-",""),"E","")="",LEN(SUBSTITUTE(SUBSTITUTE(MID(UPPER($EI834),1+OR(LEFT(UPPER($EI834),1)="+",LEFT(UPPER($EI834),1)="-"),999),"E+","E"),"E-","E"))=LEN(SUBSTITUTE(SUBSTITUTE(SUBSTITUTE(SUBSTITUTE(MID(UPPER($EI834),1+OR(LEFT(UPPER($EI834),1)="+",LEFT(UPPER($EI834),1)="-"),999),"E+","E"),"E-","E"),"+",""),"-","")),LEN(UPPER($EI834))-LEN(SUBSTITUTE(UPPER($EI834),"E",""))&lt;2,LEN(UPPER($EI834))-LEN(SUBSTITUTE(UPPER($EI834),".",""))&lt;2,IFERROR(FIND(".",UPPER($EI834)),0)&lt;IFERROR(FIND("E",UPPER($EI834)),999)),ISNUMBER(VALUE($EI834)))),1,2)))</f>
        <v/>
      </c>
      <c r="EK834">
        <f>IF($DM834=0,"",IF($EJ834=1,IF(ISNUMBER($EI834),$EI834,VALUE($EI834)),IF($EJ834=2,$DE834,0)))</f>
        <v/>
      </c>
      <c r="EL834">
        <f>IF($DM834=0,"",COUNTIF($EG$5:$EG$1003,"&lt;"&amp;$EG834)+SUMPRODUCT(($EG$5:$EG$1003=$EG834)*(($EJ$5:$EJ$1003&lt;$EJ834)+($EJ$5:$EJ$1003=$EJ834)*(($EK$5:$EK$1003&lt;$EK834)+($EK$5:$EK$1003=$EK834)*($DE$5:$DE$1003&lt;$DE834))))+1)</f>
        <v/>
      </c>
      <c r="EM834">
        <f>IF($DM834=0,"",$EL834+$EG834-1)</f>
        <v/>
      </c>
      <c r="EN834">
        <f>IF($DM834=0,0,IFERROR(MATCH(1,INDEX(--(TRIM(SUBSTITUTE(SUBSTITUTE(SUBSTITUTE(SUBSTITUTE(LINES_NAME&amp;""," "," "),CHAR(9)," "),CHAR(10)," "),CHAR(13)," "))=$DH834),0),0),0))</f>
        <v/>
      </c>
      <c r="EO834">
        <f>IF($EN834=0,0,IF(OR(UPPER(TRIM(INDEX(LINES_SCHEDULED,$EN834)&amp;""))="YES",UPPER(TRIM(INDEX(LINES_SCHEDULED,$EN834)&amp;""))="Y",UPPER(TRIM(INDEX(LINES_SCHEDULED,$EN834)&amp;""))="X"),1,0))</f>
        <v/>
      </c>
      <c r="EP834">
        <f>IF($DM834=0,"",IF(COUNTIFS($EG$5:$EG$1003,$EG834,$EB$5:$EB$1003,"Ready")&gt;0,"READY",IF(COUNTIFS($EG$5:$EG$1003,$EG834,$EB$5:$EB$1003,"PM")&gt;0,"PM",IF(COUNTIFS($EG$5:$EG$1003,$EG834,$EB$5:$EB$1003,"OT")&gt;0,"OT",""))))</f>
        <v/>
      </c>
      <c r="EQ834">
        <f>IF($EN834=0,"",UPPER(TRIM(INDEX(LINES_STATUS,$EN834)&amp;"")))</f>
        <v/>
      </c>
      <c r="ER834">
        <f>IF($DM834=0,"",IF(OR($EQ834="READY",$EQ834="PM",$EQ834="OT"),$EQ834,$EP834))</f>
        <v/>
      </c>
      <c r="ES834">
        <f>IF($DM834=0,"",IF(AND($DV834&lt;&gt;"",UPPER($DV834)&lt;&gt;"N"),"allergen",IF(ISNUMBER(SEARCH("oil",$DQ834)),"oil",IF(OR(EXACT($DS834,"A662"),EXACT($DS834,"A624")),"bulk",""))))</f>
        <v/>
      </c>
      <c r="ET834">
        <f>IF($DM834=0,"",IF(OR($EA834="",$EA834=0),"",$EA834/100))</f>
        <v/>
      </c>
      <c r="EU834">
        <f>IF(OR($ET834="",$DY834=""),"",INT($DY834*(1-$ET834)+0.5))</f>
        <v/>
      </c>
    </row>
    <row r="835">
      <c r="DA835" t="n">
        <v>831</v>
      </c>
      <c r="DB835">
        <f>IF($B$37=0,"",IFERROR(TRIM(SUBSTITUTE(SUBSTITUTE(SUBSTITUTE(SUBSTITUTE(INDEX(PASTE_ALL,831,$B$37)," "," "),CHAR(9)," "),CHAR(10)," "),CHAR(13)," ")),""))</f>
        <v/>
      </c>
      <c r="DC835">
        <f>IF(AND(831&gt;HEADER_ROW,UPPER(DB835)="LEGEND"),1,0)</f>
        <v/>
      </c>
      <c r="DE835" t="n">
        <v>831</v>
      </c>
      <c r="DF835">
        <f>HEADER_ROW+$DE835</f>
        <v/>
      </c>
      <c r="DG835">
        <f>IF(AND($DF835&lt;=1000,$DF835&lt;$B$8),1,0)</f>
        <v/>
      </c>
      <c r="DH835">
        <f>IF($DG835=1,IFERROR(INDEX($DB$5:$DB$1004,$DF835),""),"")</f>
        <v/>
      </c>
      <c r="DI835">
        <f>IF(AND($DG835=1,$DH835&lt;&gt;""),IFERROR(SUBSTITUTE(SUBSTITUTE(TRIM(SUBSTITUTE(SUBSTITUTE(SUBSTITUTE(SUBSTITUTE(IFERROR(INDEX(PASTE_ALL,$DF835,1)&amp;"","")&amp;"␟"&amp;IFERROR(INDEX(PASTE_ALL,$DF835,2)&amp;"","")&amp;"␟"&amp;IFERROR(INDEX(PASTE_ALL,$DF835,3)&amp;"","")&amp;"␟"&amp;IFERROR(INDEX(PASTE_ALL,$DF835,4)&amp;"","")&amp;"␟"&amp;IFERROR(INDEX(PASTE_ALL,$DF835,5)&amp;"","")&amp;"␟"&amp;IFERROR(INDEX(PASTE_ALL,$DF835,6)&amp;"","")&amp;"␟"&amp;IFERROR(INDEX(PASTE_ALL,$DF835,7)&amp;"","")&amp;"␟"&amp;IFERROR(INDEX(PASTE_ALL,$DF835,8)&amp;"","")&amp;"␟"&amp;IFERROR(INDEX(PASTE_ALL,$DF835,9)&amp;"","")&amp;"␟"&amp;IFERROR(INDEX(PASTE_ALL,$DF835,10)&amp;"","")&amp;"␟"&amp;IFERROR(INDEX(PASTE_ALL,$DF835,11)&amp;"","")&amp;"␟"&amp;IFERROR(INDEX(PASTE_ALL,$DF835,12)&amp;"","")&amp;"␟"&amp;IFERROR(INDEX(PASTE_ALL,$DF835,13)&amp;"","")&amp;"␟"&amp;IFERROR(INDEX(PASTE_ALL,$DF835,14)&amp;"","")&amp;"␟"&amp;IFERROR(INDEX(PASTE_ALL,$DF835,15)&amp;"","")&amp;"␟"&amp;IFERROR(INDEX(PASTE_ALL,$DF835,16)&amp;"","")&amp;"␟"&amp;IFERROR(INDEX(PASTE_ALL,$DF835,17)&amp;"","")&amp;"␟"&amp;IFERROR(INDEX(PASTE_ALL,$DF835,18)&amp;"","")&amp;"␟"&amp;IFERROR(INDEX(PASTE_ALL,$DF835,19)&amp;"","")&amp;"␟"&amp;IFERROR(INDEX(PASTE_ALL,$DF835,20)&amp;"","")&amp;"␟"&amp;IFERROR(INDEX(PASTE_ALL,$DF835,21)&amp;"","")&amp;"␟"&amp;IFERROR(INDEX(PASTE_ALL,$DF835,22)&amp;"","")&amp;"␟"&amp;IFERROR(INDEX(PASTE_ALL,$DF835,23)&amp;"","")&amp;"␟"&amp;IFERROR(INDEX(PASTE_ALL,$DF835,24)&amp;"","")&amp;"␟"&amp;IFERROR(INDEX(PASTE_ALL,$DF835,25)&amp;"","")&amp;"␟"&amp;IFERROR(INDEX(PASTE_ALL,$DF835,26)&amp;"","")&amp;"␟"&amp;IFERROR(INDEX(PASTE_ALL,$DF835,27)&amp;"","")&amp;"␟"&amp;IFERROR(INDEX(PASTE_ALL,$DF835,28)&amp;"","")&amp;"␟"&amp;IFERROR(INDEX(PASTE_ALL,$DF835,29)&amp;"","")&amp;"␟"&amp;IFERROR(INDEX(PASTE_ALL,$DF835,30)&amp;"","")&amp;"␟"&amp;IFERROR(INDEX(PASTE_ALL,$DF835,31)&amp;"","")&amp;"␟"&amp;IFERROR(INDEX(PASTE_ALL,$DF835,32)&amp;"","")&amp;"␟"&amp;IFERROR(INDEX(PASTE_ALL,$DF835,33)&amp;"","")&amp;"␟"&amp;IFERROR(INDEX(PASTE_ALL,$DF835,34)&amp;"","")&amp;"␟"&amp;IFERROR(INDEX(PASTE_ALL,$DF835,35)&amp;"","")&amp;"␟"&amp;IFERROR(INDEX(PASTE_ALL,$DF835,36)&amp;"","")&amp;"␟"&amp;IFERROR(INDEX(PASTE_ALL,$DF835,37)&amp;"","")&amp;"␟"&amp;IFERROR(INDEX(PASTE_ALL,$DF835,38)&amp;"","")&amp;"␟"&amp;IFERROR(INDEX(PASTE_ALL,$DF835,39)&amp;"","")&amp;"␟"&amp;IFERROR(INDEX(PASTE_ALL,$DF835,40)&amp;"","")&amp;"␟"&amp;IFERROR(INDEX(PASTE_ALL,$DF835,41)&amp;"","")&amp;"␟"&amp;IFERROR(INDEX(PASTE_ALL,$DF835,42)&amp;"","")&amp;"␟"&amp;IFERROR(INDEX(PASTE_ALL,$DF835,43)&amp;"","")&amp;"␟"&amp;IFERROR(INDEX(PASTE_ALL,$DF835,44)&amp;"","")&amp;"␟"&amp;IFERROR(INDEX(PASTE_ALL,$DF835,45)&amp;"","")&amp;"␟"&amp;IFERROR(INDEX(PASTE_ALL,$DF835,46)&amp;"","")&amp;"␟"&amp;IFERROR(INDEX(PASTE_ALL,$DF835,47)&amp;"","")&amp;"␟"&amp;IFERROR(INDEX(PASTE_ALL,$DF835,48)&amp;"","")&amp;"␟"&amp;IFERROR(INDEX(PASTE_ALL,$DF835,49)&amp;"","")&amp;"␟"&amp;IFERROR(INDEX(PASTE_ALL,$DF835,50)&amp;"","")&amp;"␟"&amp;IFERROR(INDEX(PASTE_ALL,$DF835,51)&amp;"","")&amp;"␟"&amp;IFERROR(INDEX(PASTE_ALL,$DF835,52)&amp;"","")&amp;"␟"&amp;IFERROR(INDEX(PASTE_ALL,$DF835,53)&amp;"","")&amp;"␟"&amp;IFERROR(INDEX(PASTE_ALL,$DF835,54)&amp;"","")&amp;"␟"&amp;IFERROR(INDEX(PASTE_ALL,$DF835,55)&amp;"","")&amp;"␟"&amp;IFERROR(INDEX(PASTE_ALL,$DF835,56)&amp;"","")&amp;"␟"&amp;IFERROR(INDEX(PASTE_ALL,$DF835,57)&amp;"","")&amp;"␟"&amp;IFERROR(INDEX(PASTE_ALL,$DF835,58)&amp;"","")&amp;"␟"&amp;IFERROR(INDEX(PASTE_ALL,$DF835,59)&amp;"","")&amp;"␟"&amp;IFERROR(INDEX(PASTE_ALL,$DF835,60)&amp;"","")," "," "),CHAR(9)," "),CHAR(10)," "),CHAR(13)," "))," ␟","␟"),"␟ ","␟"),"#"&amp;$DE835),"")</f>
        <v/>
      </c>
      <c r="DJ835">
        <f>IF($DI835="",0,IF(SUMPRODUCT(--EXACT($DI$4:DI834,$DI835))&gt;0,1,0))</f>
        <v/>
      </c>
      <c r="DK835">
        <f>IF(AND($DI835&lt;&gt;"",$DJ835=0),1,0)</f>
        <v/>
      </c>
      <c r="DL835">
        <f>DL834+$DK835</f>
        <v/>
      </c>
      <c r="DM835">
        <f>IF(AND($DK835=1,$DL835&lt;=600),1,0)</f>
        <v/>
      </c>
      <c r="DN835">
        <f>IF($DM835=0,"",IF($L$6=0,"",IFERROR(IF(ISNUMBER(INDEX(PASTE_ALL,$DF835,$L$6)),INDEX(PASTE_ALL,$DF835,$L$6),TRIM(SUBSTITUTE(SUBSTITUTE(SUBSTITUTE(SUBSTITUTE(INDEX(PASTE_ALL,$DF835,$L$6)," "," "),CHAR(9)," "),CHAR(10)," "),CHAR(13)," "))),"")))</f>
        <v/>
      </c>
      <c r="DO835">
        <f>IF($DM835=0,"",IF($L$7=0,"",IFERROR(IF(ISNUMBER(INDEX(PASTE_ALL,$DF835,$L$7)),INDEX(PASTE_ALL,$DF835,$L$7),TRIM(SUBSTITUTE(SUBSTITUTE(SUBSTITUTE(SUBSTITUTE(INDEX(PASTE_ALL,$DF835,$L$7)," "," "),CHAR(9)," "),CHAR(10)," "),CHAR(13)," "))),"")))</f>
        <v/>
      </c>
      <c r="DP835">
        <f>IF($DM835=0,"",IF($L$8=0,"",IFERROR(IF(ISNUMBER(INDEX(PASTE_ALL,$DF835,$L$8)),INDEX(PASTE_ALL,$DF835,$L$8),TRIM(SUBSTITUTE(SUBSTITUTE(SUBSTITUTE(SUBSTITUTE(INDEX(PASTE_ALL,$DF835,$L$8)," "," "),CHAR(9)," "),CHAR(10)," "),CHAR(13)," "))),"")))</f>
        <v/>
      </c>
      <c r="DQ835">
        <f>IF($DM835=0,"",IF($L$9=0,"",IFERROR(IF(ISNUMBER(INDEX(PASTE_ALL,$DF835,$L$9)),INDEX(PASTE_ALL,$DF835,$L$9),TRIM(SUBSTITUTE(SUBSTITUTE(SUBSTITUTE(SUBSTITUTE(INDEX(PASTE_ALL,$DF835,$L$9)," "," "),CHAR(9)," "),CHAR(10)," "),CHAR(13)," "))),"")))</f>
        <v/>
      </c>
      <c r="DR835">
        <f>IF($DM835=0,"",IF($L$10=0,"",IFERROR(IF(ISNUMBER(INDEX(PASTE_ALL,$DF835,$L$10)),INDEX(PASTE_ALL,$DF835,$L$10),TRIM(SUBSTITUTE(SUBSTITUTE(SUBSTITUTE(SUBSTITUTE(INDEX(PASTE_ALL,$DF835,$L$10)," "," "),CHAR(9)," "),CHAR(10)," "),CHAR(13)," "))),"")))</f>
        <v/>
      </c>
      <c r="DS835">
        <f>IF($DM835=0,"",IF($L$11=0,"",IFERROR(IF(ISNUMBER(INDEX(PASTE_ALL,$DF835,$L$11)),INDEX(PASTE_ALL,$DF835,$L$11),TRIM(SUBSTITUTE(SUBSTITUTE(SUBSTITUTE(SUBSTITUTE(INDEX(PASTE_ALL,$DF835,$L$11)," "," "),CHAR(9)," "),CHAR(10)," "),CHAR(13)," "))),"")))</f>
        <v/>
      </c>
      <c r="DT835">
        <f>IF($DM835=0,"",IF($L$12=0,"",IFERROR(IF(ISNUMBER(INDEX(PASTE_ALL,$DF835,$L$12)),INDEX(PASTE_ALL,$DF835,$L$12),TRIM(SUBSTITUTE(SUBSTITUTE(SUBSTITUTE(SUBSTITUTE(INDEX(PASTE_ALL,$DF835,$L$12)," "," "),CHAR(9)," "),CHAR(10)," "),CHAR(13)," "))),"")))</f>
        <v/>
      </c>
      <c r="DU835">
        <f>IF($DM835=0,"",IF($L$13=0,"",IFERROR(IF(ISNUMBER(INDEX(PASTE_ALL,$DF835,$L$13)),INDEX(PASTE_ALL,$DF835,$L$13),TRIM(SUBSTITUTE(SUBSTITUTE(SUBSTITUTE(SUBSTITUTE(INDEX(PASTE_ALL,$DF835,$L$13)," "," "),CHAR(9)," "),CHAR(10)," "),CHAR(13)," "))),"")))</f>
        <v/>
      </c>
      <c r="DV835">
        <f>IF($DM835=0,"",IF($L$14=0,"",IFERROR(IF(ISNUMBER(INDEX(PASTE_ALL,$DF835,$L$14)),INDEX(PASTE_ALL,$DF835,$L$14),TRIM(SUBSTITUTE(SUBSTITUTE(SUBSTITUTE(SUBSTITUTE(INDEX(PASTE_ALL,$DF835,$L$14)," "," "),CHAR(9)," "),CHAR(10)," "),CHAR(13)," "))),"")))</f>
        <v/>
      </c>
      <c r="DW835">
        <f>IF($DM835=0,"",IF($L$15=0,"",IFERROR(IF(ISNUMBER(INDEX(PASTE_ALL,$DF835,$L$15)),INDEX(PASTE_ALL,$DF835,$L$15),IF(SUMPRODUCT(--ISNUMBER(FIND({"A","B","C","D","E","F","G","H","I","J","K","L","M","N","O","P","Q","R","S","T","U","V","W","X","Y","Z","0","1","2","3","4","5","6","7","8","9"},UPPER(TRIM(SUBSTITUTE(SUBSTITUTE(SUBSTITUTE(SUBSTITUTE(INDEX(PASTE_ALL,$DF835,$L$15)," "," "),CHAR(9)," "),CHAR(10)," "),CHAR(13)," "))))))&gt;0,TRIM(SUBSTITUTE(SUBSTITUTE(SUBSTITUTE(SUBSTITUTE(INDEX(PASTE_ALL,$DF835,$L$15)," "," "),CHAR(9)," "),CHAR(10)," "),CHAR(13)," ")),"")),"")))</f>
        <v/>
      </c>
      <c r="DX835">
        <f>IF($DM835=0,"",IF($L$16=0,"",IFERROR(IF(ISNUMBER(INDEX(PASTE_ALL,$DF835,$L$16)),INDEX(PASTE_ALL,$DF835,$L$16),SUBSTITUTE(SUBSTITUTE(TRIM(SUBSTITUTE(SUBSTITUTE(SUBSTITUTE(SUBSTITUTE(INDEX(PASTE_ALL,$DF835,$L$16)," "," "),CHAR(9)," "),CHAR(10)," "),CHAR(13)," ")),",",""),"%","")),"")))</f>
        <v/>
      </c>
      <c r="DY835">
        <f>IF($DM835=0,"",IFERROR(IF(ISNUMBER($DX835),$DX835,IF($DX835="","",IF(TRIM($DX835)="",0,IF(AND(AND(SUBSTITUTE(SUBSTITUTE(SUBSTITUTE(SUBSTITUTE(SUBSTITUTE(SUBSTITUTE(SUBSTITUTE(SUBSTITUTE(SUBSTITUTE(SUBSTITUTE(SUBSTITUTE(SUBSTITUTE(SUBSTITUTE(SUBSTITUTE(UPPER(TRIM($DX835)),"0",""),"1",""),"2",""),"3",""),"4",""),"5",""),"6",""),"7",""),"8",""),"9",""),".",""),"+",""),"-",""),"E","")="",LEN(SUBSTITUTE(SUBSTITUTE(MID(UPPER(TRIM($DX835)),1+OR(LEFT(UPPER(TRIM($DX835)),1)="+",LEFT(UPPER(TRIM($DX835)),1)="-"),999),"E+","E"),"E-","E"))=LEN(SUBSTITUTE(SUBSTITUTE(SUBSTITUTE(SUBSTITUTE(MID(UPPER(TRIM($DX835)),1+OR(LEFT(UPPER(TRIM($DX835)),1)="+",LEFT(UPPER(TRIM($DX835)),1)="-"),999),"E+","E"),"E-","E"),"+",""),"-","")),LEN(UPPER(TRIM($DX835)))-LEN(SUBSTITUTE(UPPER(TRIM($DX835)),"E",""))&lt;2,LEN(UPPER(TRIM($DX835)))-LEN(SUBSTITUTE(UPPER(TRIM($DX835)),".",""))&lt;2,IFERROR(FIND(".",UPPER(TRIM($DX835))),0)&lt;IFERROR(FIND("E",UPPER(TRIM($DX835))),999)),ISNUMBER(VALUE(TRIM($DX835)))),VALUE(TRIM($DX835)),"")))),""))</f>
        <v/>
      </c>
      <c r="DZ835">
        <f>IF($DM835=0,"",IF($L$17=0,"",IFERROR(IF(ISNUMBER(INDEX(PASTE_ALL,$DF835,$L$17)),INDEX(PASTE_ALL,$DF835,$L$17),SUBSTITUTE(SUBSTITUTE(TRIM(SUBSTITUTE(SUBSTITUTE(SUBSTITUTE(SUBSTITUTE(INDEX(PASTE_ALL,$DF835,$L$17)," "," "),CHAR(9)," "),CHAR(10)," "),CHAR(13)," ")),",",""),"%","")),"")))</f>
        <v/>
      </c>
      <c r="EA835">
        <f>IF($DM835=0,"",IFERROR(IF(ISNUMBER($DZ835),$DZ835,IF($DZ835="","",IF(TRIM($DZ835)="",0,IF(AND(AND(SUBSTITUTE(SUBSTITUTE(SUBSTITUTE(SUBSTITUTE(SUBSTITUTE(SUBSTITUTE(SUBSTITUTE(SUBSTITUTE(SUBSTITUTE(SUBSTITUTE(SUBSTITUTE(SUBSTITUTE(SUBSTITUTE(SUBSTITUTE(UPPER(TRIM($DZ835)),"0",""),"1",""),"2",""),"3",""),"4",""),"5",""),"6",""),"7",""),"8",""),"9",""),".",""),"+",""),"-",""),"E","")="",LEN(SUBSTITUTE(SUBSTITUTE(MID(UPPER(TRIM($DZ835)),1+OR(LEFT(UPPER(TRIM($DZ835)),1)="+",LEFT(UPPER(TRIM($DZ835)),1)="-"),999),"E+","E"),"E-","E"))=LEN(SUBSTITUTE(SUBSTITUTE(SUBSTITUTE(SUBSTITUTE(MID(UPPER(TRIM($DZ835)),1+OR(LEFT(UPPER(TRIM($DZ835)),1)="+",LEFT(UPPER(TRIM($DZ835)),1)="-"),999),"E+","E"),"E-","E"),"+",""),"-","")),LEN(UPPER(TRIM($DZ835)))-LEN(SUBSTITUTE(UPPER(TRIM($DZ835)),"E",""))&lt;2,LEN(UPPER(TRIM($DZ835)))-LEN(SUBSTITUTE(UPPER(TRIM($DZ835)),".",""))&lt;2,IFERROR(FIND(".",UPPER(TRIM($DZ835))),0)&lt;IFERROR(FIND("E",UPPER(TRIM($DZ835))),999)),ISNUMBER(VALUE(TRIM($DZ835)))),VALUE(TRIM($DZ835)),"")))),""))</f>
        <v/>
      </c>
      <c r="EB835">
        <f>IF($DM835=0,"",IF($L$18=0,"",IFERROR(IF(UPPER(TRIM(SUBSTITUTE(SUBSTITUTE(SUBSTITUTE(SUBSTITUTE(INDEX(PASTE_ALL,$DF835,$L$18)," "," "),CHAR(9)," "),CHAR(10)," "),CHAR(13)," ")))="READY","Ready",IF(UPPER(TRIM(SUBSTITUTE(SUBSTITUTE(SUBSTITUTE(SUBSTITUTE(INDEX(PASTE_ALL,$DF835,$L$18)," "," "),CHAR(9)," "),CHAR(10)," "),CHAR(13)," ")))="PM","PM",IF(OR(UPPER(TRIM(SUBSTITUTE(SUBSTITUTE(SUBSTITUTE(SUBSTITUTE(INDEX(PASTE_ALL,$DF835,$L$18)," "," "),CHAR(9)," "),CHAR(10)," "),CHAR(13)," ")))="OT",UPPER(TRIM(SUBSTITUTE(SUBSTITUTE(SUBSTITUTE(SUBSTITUTE(INDEX(PASTE_ALL,$DF835,$L$18)," "," "),CHAR(9)," "),CHAR(10)," "),CHAR(13)," ")))="OVERTIME",UPPER(TRIM(SUBSTITUTE(SUBSTITUTE(SUBSTITUTE(SUBSTITUTE(INDEX(PASTE_ALL,$DF835,$L$18)," "," "),CHAR(9)," "),CHAR(10)," "),CHAR(13)," ")))="TRIAL"),"OT",TRIM(SUBSTITUTE(SUBSTITUTE(SUBSTITUTE(SUBSTITUTE(INDEX(PASTE_ALL,$DF835,$L$18)," "," "),CHAR(9)," "),CHAR(10)," "),CHAR(13)," "))))),"")))</f>
        <v/>
      </c>
      <c r="EC835">
        <f>IF($DM835=0,"",IF($L$19=0,"",IFERROR(IF(ISNUMBER(INDEX(PASTE_ALL,$DF835,$L$19)),INDEX(PASTE_ALL,$DF835,$L$19),TRIM(SUBSTITUTE(SUBSTITUTE(SUBSTITUTE(SUBSTITUTE(INDEX(PASTE_ALL,$DF835,$L$19)," "," "),CHAR(9)," "),CHAR(10)," "),CHAR(13)," "))),"")))</f>
        <v/>
      </c>
      <c r="ED835">
        <f>IF($DM835=0,"",MATCH(1,INDEX(EXACT($DH$5:DH835,$DH835)*$DM$5:DM835,0),0))</f>
        <v/>
      </c>
      <c r="EE835">
        <f>IF($DM835=0,0,IF($ED835=$DE835,1,0))</f>
        <v/>
      </c>
      <c r="EF835">
        <f>EF834+$EE835</f>
        <v/>
      </c>
      <c r="EG835">
        <f>IF($DM835=0,"",INDEX($EF$5:$EF$1003,$ED835))</f>
        <v/>
      </c>
      <c r="EH835">
        <f>IF($DM835=0,"",IF($DO835&lt;&gt;"","",IFERROR(LOOKUP(2,1/(($EG$4:EG834=$EG835)*($DO$4:DO834&lt;&gt;"")),$DO$4:DO834),"")))</f>
        <v/>
      </c>
      <c r="EI835">
        <f>IF($DM835=0,"",IF($DO835&lt;&gt;"",$DO835,$EH835))</f>
        <v/>
      </c>
      <c r="EJ835">
        <f>IF($DM835=0,"",IF($EI835="",0,IF(OR(ISNUMBER($EI835),AND(AND(SUBSTITUTE(SUBSTITUTE(SUBSTITUTE(SUBSTITUTE(SUBSTITUTE(SUBSTITUTE(SUBSTITUTE(SUBSTITUTE(SUBSTITUTE(SUBSTITUTE(SUBSTITUTE(SUBSTITUTE(SUBSTITUTE(SUBSTITUTE(UPPER($EI835),"0",""),"1",""),"2",""),"3",""),"4",""),"5",""),"6",""),"7",""),"8",""),"9",""),".",""),"+",""),"-",""),"E","")="",LEN(SUBSTITUTE(SUBSTITUTE(MID(UPPER($EI835),1+OR(LEFT(UPPER($EI835),1)="+",LEFT(UPPER($EI835),1)="-"),999),"E+","E"),"E-","E"))=LEN(SUBSTITUTE(SUBSTITUTE(SUBSTITUTE(SUBSTITUTE(MID(UPPER($EI835),1+OR(LEFT(UPPER($EI835),1)="+",LEFT(UPPER($EI835),1)="-"),999),"E+","E"),"E-","E"),"+",""),"-","")),LEN(UPPER($EI835))-LEN(SUBSTITUTE(UPPER($EI835),"E",""))&lt;2,LEN(UPPER($EI835))-LEN(SUBSTITUTE(UPPER($EI835),".",""))&lt;2,IFERROR(FIND(".",UPPER($EI835)),0)&lt;IFERROR(FIND("E",UPPER($EI835)),999)),ISNUMBER(VALUE($EI835)))),1,2)))</f>
        <v/>
      </c>
      <c r="EK835">
        <f>IF($DM835=0,"",IF($EJ835=1,IF(ISNUMBER($EI835),$EI835,VALUE($EI835)),IF($EJ835=2,$DE835,0)))</f>
        <v/>
      </c>
      <c r="EL835">
        <f>IF($DM835=0,"",COUNTIF($EG$5:$EG$1003,"&lt;"&amp;$EG835)+SUMPRODUCT(($EG$5:$EG$1003=$EG835)*(($EJ$5:$EJ$1003&lt;$EJ835)+($EJ$5:$EJ$1003=$EJ835)*(($EK$5:$EK$1003&lt;$EK835)+($EK$5:$EK$1003=$EK835)*($DE$5:$DE$1003&lt;$DE835))))+1)</f>
        <v/>
      </c>
      <c r="EM835">
        <f>IF($DM835=0,"",$EL835+$EG835-1)</f>
        <v/>
      </c>
      <c r="EN835">
        <f>IF($DM835=0,0,IFERROR(MATCH(1,INDEX(--(TRIM(SUBSTITUTE(SUBSTITUTE(SUBSTITUTE(SUBSTITUTE(LINES_NAME&amp;""," "," "),CHAR(9)," "),CHAR(10)," "),CHAR(13)," "))=$DH835),0),0),0))</f>
        <v/>
      </c>
      <c r="EO835">
        <f>IF($EN835=0,0,IF(OR(UPPER(TRIM(INDEX(LINES_SCHEDULED,$EN835)&amp;""))="YES",UPPER(TRIM(INDEX(LINES_SCHEDULED,$EN835)&amp;""))="Y",UPPER(TRIM(INDEX(LINES_SCHEDULED,$EN835)&amp;""))="X"),1,0))</f>
        <v/>
      </c>
      <c r="EP835">
        <f>IF($DM835=0,"",IF(COUNTIFS($EG$5:$EG$1003,$EG835,$EB$5:$EB$1003,"Ready")&gt;0,"READY",IF(COUNTIFS($EG$5:$EG$1003,$EG835,$EB$5:$EB$1003,"PM")&gt;0,"PM",IF(COUNTIFS($EG$5:$EG$1003,$EG835,$EB$5:$EB$1003,"OT")&gt;0,"OT",""))))</f>
        <v/>
      </c>
      <c r="EQ835">
        <f>IF($EN835=0,"",UPPER(TRIM(INDEX(LINES_STATUS,$EN835)&amp;"")))</f>
        <v/>
      </c>
      <c r="ER835">
        <f>IF($DM835=0,"",IF(OR($EQ835="READY",$EQ835="PM",$EQ835="OT"),$EQ835,$EP835))</f>
        <v/>
      </c>
      <c r="ES835">
        <f>IF($DM835=0,"",IF(AND($DV835&lt;&gt;"",UPPER($DV835)&lt;&gt;"N"),"allergen",IF(ISNUMBER(SEARCH("oil",$DQ835)),"oil",IF(OR(EXACT($DS835,"A662"),EXACT($DS835,"A624")),"bulk",""))))</f>
        <v/>
      </c>
      <c r="ET835">
        <f>IF($DM835=0,"",IF(OR($EA835="",$EA835=0),"",$EA835/100))</f>
        <v/>
      </c>
      <c r="EU835">
        <f>IF(OR($ET835="",$DY835=""),"",INT($DY835*(1-$ET835)+0.5))</f>
        <v/>
      </c>
    </row>
    <row r="836">
      <c r="DA836" t="n">
        <v>832</v>
      </c>
      <c r="DB836">
        <f>IF($B$37=0,"",IFERROR(TRIM(SUBSTITUTE(SUBSTITUTE(SUBSTITUTE(SUBSTITUTE(INDEX(PASTE_ALL,832,$B$37)," "," "),CHAR(9)," "),CHAR(10)," "),CHAR(13)," ")),""))</f>
        <v/>
      </c>
      <c r="DC836">
        <f>IF(AND(832&gt;HEADER_ROW,UPPER(DB836)="LEGEND"),1,0)</f>
        <v/>
      </c>
      <c r="DE836" t="n">
        <v>832</v>
      </c>
      <c r="DF836">
        <f>HEADER_ROW+$DE836</f>
        <v/>
      </c>
      <c r="DG836">
        <f>IF(AND($DF836&lt;=1000,$DF836&lt;$B$8),1,0)</f>
        <v/>
      </c>
      <c r="DH836">
        <f>IF($DG836=1,IFERROR(INDEX($DB$5:$DB$1004,$DF836),""),"")</f>
        <v/>
      </c>
      <c r="DI836">
        <f>IF(AND($DG836=1,$DH836&lt;&gt;""),IFERROR(SUBSTITUTE(SUBSTITUTE(TRIM(SUBSTITUTE(SUBSTITUTE(SUBSTITUTE(SUBSTITUTE(IFERROR(INDEX(PASTE_ALL,$DF836,1)&amp;"","")&amp;"␟"&amp;IFERROR(INDEX(PASTE_ALL,$DF836,2)&amp;"","")&amp;"␟"&amp;IFERROR(INDEX(PASTE_ALL,$DF836,3)&amp;"","")&amp;"␟"&amp;IFERROR(INDEX(PASTE_ALL,$DF836,4)&amp;"","")&amp;"␟"&amp;IFERROR(INDEX(PASTE_ALL,$DF836,5)&amp;"","")&amp;"␟"&amp;IFERROR(INDEX(PASTE_ALL,$DF836,6)&amp;"","")&amp;"␟"&amp;IFERROR(INDEX(PASTE_ALL,$DF836,7)&amp;"","")&amp;"␟"&amp;IFERROR(INDEX(PASTE_ALL,$DF836,8)&amp;"","")&amp;"␟"&amp;IFERROR(INDEX(PASTE_ALL,$DF836,9)&amp;"","")&amp;"␟"&amp;IFERROR(INDEX(PASTE_ALL,$DF836,10)&amp;"","")&amp;"␟"&amp;IFERROR(INDEX(PASTE_ALL,$DF836,11)&amp;"","")&amp;"␟"&amp;IFERROR(INDEX(PASTE_ALL,$DF836,12)&amp;"","")&amp;"␟"&amp;IFERROR(INDEX(PASTE_ALL,$DF836,13)&amp;"","")&amp;"␟"&amp;IFERROR(INDEX(PASTE_ALL,$DF836,14)&amp;"","")&amp;"␟"&amp;IFERROR(INDEX(PASTE_ALL,$DF836,15)&amp;"","")&amp;"␟"&amp;IFERROR(INDEX(PASTE_ALL,$DF836,16)&amp;"","")&amp;"␟"&amp;IFERROR(INDEX(PASTE_ALL,$DF836,17)&amp;"","")&amp;"␟"&amp;IFERROR(INDEX(PASTE_ALL,$DF836,18)&amp;"","")&amp;"␟"&amp;IFERROR(INDEX(PASTE_ALL,$DF836,19)&amp;"","")&amp;"␟"&amp;IFERROR(INDEX(PASTE_ALL,$DF836,20)&amp;"","")&amp;"␟"&amp;IFERROR(INDEX(PASTE_ALL,$DF836,21)&amp;"","")&amp;"␟"&amp;IFERROR(INDEX(PASTE_ALL,$DF836,22)&amp;"","")&amp;"␟"&amp;IFERROR(INDEX(PASTE_ALL,$DF836,23)&amp;"","")&amp;"␟"&amp;IFERROR(INDEX(PASTE_ALL,$DF836,24)&amp;"","")&amp;"␟"&amp;IFERROR(INDEX(PASTE_ALL,$DF836,25)&amp;"","")&amp;"␟"&amp;IFERROR(INDEX(PASTE_ALL,$DF836,26)&amp;"","")&amp;"␟"&amp;IFERROR(INDEX(PASTE_ALL,$DF836,27)&amp;"","")&amp;"␟"&amp;IFERROR(INDEX(PASTE_ALL,$DF836,28)&amp;"","")&amp;"␟"&amp;IFERROR(INDEX(PASTE_ALL,$DF836,29)&amp;"","")&amp;"␟"&amp;IFERROR(INDEX(PASTE_ALL,$DF836,30)&amp;"","")&amp;"␟"&amp;IFERROR(INDEX(PASTE_ALL,$DF836,31)&amp;"","")&amp;"␟"&amp;IFERROR(INDEX(PASTE_ALL,$DF836,32)&amp;"","")&amp;"␟"&amp;IFERROR(INDEX(PASTE_ALL,$DF836,33)&amp;"","")&amp;"␟"&amp;IFERROR(INDEX(PASTE_ALL,$DF836,34)&amp;"","")&amp;"␟"&amp;IFERROR(INDEX(PASTE_ALL,$DF836,35)&amp;"","")&amp;"␟"&amp;IFERROR(INDEX(PASTE_ALL,$DF836,36)&amp;"","")&amp;"␟"&amp;IFERROR(INDEX(PASTE_ALL,$DF836,37)&amp;"","")&amp;"␟"&amp;IFERROR(INDEX(PASTE_ALL,$DF836,38)&amp;"","")&amp;"␟"&amp;IFERROR(INDEX(PASTE_ALL,$DF836,39)&amp;"","")&amp;"␟"&amp;IFERROR(INDEX(PASTE_ALL,$DF836,40)&amp;"","")&amp;"␟"&amp;IFERROR(INDEX(PASTE_ALL,$DF836,41)&amp;"","")&amp;"␟"&amp;IFERROR(INDEX(PASTE_ALL,$DF836,42)&amp;"","")&amp;"␟"&amp;IFERROR(INDEX(PASTE_ALL,$DF836,43)&amp;"","")&amp;"␟"&amp;IFERROR(INDEX(PASTE_ALL,$DF836,44)&amp;"","")&amp;"␟"&amp;IFERROR(INDEX(PASTE_ALL,$DF836,45)&amp;"","")&amp;"␟"&amp;IFERROR(INDEX(PASTE_ALL,$DF836,46)&amp;"","")&amp;"␟"&amp;IFERROR(INDEX(PASTE_ALL,$DF836,47)&amp;"","")&amp;"␟"&amp;IFERROR(INDEX(PASTE_ALL,$DF836,48)&amp;"","")&amp;"␟"&amp;IFERROR(INDEX(PASTE_ALL,$DF836,49)&amp;"","")&amp;"␟"&amp;IFERROR(INDEX(PASTE_ALL,$DF836,50)&amp;"","")&amp;"␟"&amp;IFERROR(INDEX(PASTE_ALL,$DF836,51)&amp;"","")&amp;"␟"&amp;IFERROR(INDEX(PASTE_ALL,$DF836,52)&amp;"","")&amp;"␟"&amp;IFERROR(INDEX(PASTE_ALL,$DF836,53)&amp;"","")&amp;"␟"&amp;IFERROR(INDEX(PASTE_ALL,$DF836,54)&amp;"","")&amp;"␟"&amp;IFERROR(INDEX(PASTE_ALL,$DF836,55)&amp;"","")&amp;"␟"&amp;IFERROR(INDEX(PASTE_ALL,$DF836,56)&amp;"","")&amp;"␟"&amp;IFERROR(INDEX(PASTE_ALL,$DF836,57)&amp;"","")&amp;"␟"&amp;IFERROR(INDEX(PASTE_ALL,$DF836,58)&amp;"","")&amp;"␟"&amp;IFERROR(INDEX(PASTE_ALL,$DF836,59)&amp;"","")&amp;"␟"&amp;IFERROR(INDEX(PASTE_ALL,$DF836,60)&amp;"","")," "," "),CHAR(9)," "),CHAR(10)," "),CHAR(13)," "))," ␟","␟"),"␟ ","␟"),"#"&amp;$DE836),"")</f>
        <v/>
      </c>
      <c r="DJ836">
        <f>IF($DI836="",0,IF(SUMPRODUCT(--EXACT($DI$4:DI835,$DI836))&gt;0,1,0))</f>
        <v/>
      </c>
      <c r="DK836">
        <f>IF(AND($DI836&lt;&gt;"",$DJ836=0),1,0)</f>
        <v/>
      </c>
      <c r="DL836">
        <f>DL835+$DK836</f>
        <v/>
      </c>
      <c r="DM836">
        <f>IF(AND($DK836=1,$DL836&lt;=600),1,0)</f>
        <v/>
      </c>
      <c r="DN836">
        <f>IF($DM836=0,"",IF($L$6=0,"",IFERROR(IF(ISNUMBER(INDEX(PASTE_ALL,$DF836,$L$6)),INDEX(PASTE_ALL,$DF836,$L$6),TRIM(SUBSTITUTE(SUBSTITUTE(SUBSTITUTE(SUBSTITUTE(INDEX(PASTE_ALL,$DF836,$L$6)," "," "),CHAR(9)," "),CHAR(10)," "),CHAR(13)," "))),"")))</f>
        <v/>
      </c>
      <c r="DO836">
        <f>IF($DM836=0,"",IF($L$7=0,"",IFERROR(IF(ISNUMBER(INDEX(PASTE_ALL,$DF836,$L$7)),INDEX(PASTE_ALL,$DF836,$L$7),TRIM(SUBSTITUTE(SUBSTITUTE(SUBSTITUTE(SUBSTITUTE(INDEX(PASTE_ALL,$DF836,$L$7)," "," "),CHAR(9)," "),CHAR(10)," "),CHAR(13)," "))),"")))</f>
        <v/>
      </c>
      <c r="DP836">
        <f>IF($DM836=0,"",IF($L$8=0,"",IFERROR(IF(ISNUMBER(INDEX(PASTE_ALL,$DF836,$L$8)),INDEX(PASTE_ALL,$DF836,$L$8),TRIM(SUBSTITUTE(SUBSTITUTE(SUBSTITUTE(SUBSTITUTE(INDEX(PASTE_ALL,$DF836,$L$8)," "," "),CHAR(9)," "),CHAR(10)," "),CHAR(13)," "))),"")))</f>
        <v/>
      </c>
      <c r="DQ836">
        <f>IF($DM836=0,"",IF($L$9=0,"",IFERROR(IF(ISNUMBER(INDEX(PASTE_ALL,$DF836,$L$9)),INDEX(PASTE_ALL,$DF836,$L$9),TRIM(SUBSTITUTE(SUBSTITUTE(SUBSTITUTE(SUBSTITUTE(INDEX(PASTE_ALL,$DF836,$L$9)," "," "),CHAR(9)," "),CHAR(10)," "),CHAR(13)," "))),"")))</f>
        <v/>
      </c>
      <c r="DR836">
        <f>IF($DM836=0,"",IF($L$10=0,"",IFERROR(IF(ISNUMBER(INDEX(PASTE_ALL,$DF836,$L$10)),INDEX(PASTE_ALL,$DF836,$L$10),TRIM(SUBSTITUTE(SUBSTITUTE(SUBSTITUTE(SUBSTITUTE(INDEX(PASTE_ALL,$DF836,$L$10)," "," "),CHAR(9)," "),CHAR(10)," "),CHAR(13)," "))),"")))</f>
        <v/>
      </c>
      <c r="DS836">
        <f>IF($DM836=0,"",IF($L$11=0,"",IFERROR(IF(ISNUMBER(INDEX(PASTE_ALL,$DF836,$L$11)),INDEX(PASTE_ALL,$DF836,$L$11),TRIM(SUBSTITUTE(SUBSTITUTE(SUBSTITUTE(SUBSTITUTE(INDEX(PASTE_ALL,$DF836,$L$11)," "," "),CHAR(9)," "),CHAR(10)," "),CHAR(13)," "))),"")))</f>
        <v/>
      </c>
      <c r="DT836">
        <f>IF($DM836=0,"",IF($L$12=0,"",IFERROR(IF(ISNUMBER(INDEX(PASTE_ALL,$DF836,$L$12)),INDEX(PASTE_ALL,$DF836,$L$12),TRIM(SUBSTITUTE(SUBSTITUTE(SUBSTITUTE(SUBSTITUTE(INDEX(PASTE_ALL,$DF836,$L$12)," "," "),CHAR(9)," "),CHAR(10)," "),CHAR(13)," "))),"")))</f>
        <v/>
      </c>
      <c r="DU836">
        <f>IF($DM836=0,"",IF($L$13=0,"",IFERROR(IF(ISNUMBER(INDEX(PASTE_ALL,$DF836,$L$13)),INDEX(PASTE_ALL,$DF836,$L$13),TRIM(SUBSTITUTE(SUBSTITUTE(SUBSTITUTE(SUBSTITUTE(INDEX(PASTE_ALL,$DF836,$L$13)," "," "),CHAR(9)," "),CHAR(10)," "),CHAR(13)," "))),"")))</f>
        <v/>
      </c>
      <c r="DV836">
        <f>IF($DM836=0,"",IF($L$14=0,"",IFERROR(IF(ISNUMBER(INDEX(PASTE_ALL,$DF836,$L$14)),INDEX(PASTE_ALL,$DF836,$L$14),TRIM(SUBSTITUTE(SUBSTITUTE(SUBSTITUTE(SUBSTITUTE(INDEX(PASTE_ALL,$DF836,$L$14)," "," "),CHAR(9)," "),CHAR(10)," "),CHAR(13)," "))),"")))</f>
        <v/>
      </c>
      <c r="DW836">
        <f>IF($DM836=0,"",IF($L$15=0,"",IFERROR(IF(ISNUMBER(INDEX(PASTE_ALL,$DF836,$L$15)),INDEX(PASTE_ALL,$DF836,$L$15),IF(SUMPRODUCT(--ISNUMBER(FIND({"A","B","C","D","E","F","G","H","I","J","K","L","M","N","O","P","Q","R","S","T","U","V","W","X","Y","Z","0","1","2","3","4","5","6","7","8","9"},UPPER(TRIM(SUBSTITUTE(SUBSTITUTE(SUBSTITUTE(SUBSTITUTE(INDEX(PASTE_ALL,$DF836,$L$15)," "," "),CHAR(9)," "),CHAR(10)," "),CHAR(13)," "))))))&gt;0,TRIM(SUBSTITUTE(SUBSTITUTE(SUBSTITUTE(SUBSTITUTE(INDEX(PASTE_ALL,$DF836,$L$15)," "," "),CHAR(9)," "),CHAR(10)," "),CHAR(13)," ")),"")),"")))</f>
        <v/>
      </c>
      <c r="DX836">
        <f>IF($DM836=0,"",IF($L$16=0,"",IFERROR(IF(ISNUMBER(INDEX(PASTE_ALL,$DF836,$L$16)),INDEX(PASTE_ALL,$DF836,$L$16),SUBSTITUTE(SUBSTITUTE(TRIM(SUBSTITUTE(SUBSTITUTE(SUBSTITUTE(SUBSTITUTE(INDEX(PASTE_ALL,$DF836,$L$16)," "," "),CHAR(9)," "),CHAR(10)," "),CHAR(13)," ")),",",""),"%","")),"")))</f>
        <v/>
      </c>
      <c r="DY836">
        <f>IF($DM836=0,"",IFERROR(IF(ISNUMBER($DX836),$DX836,IF($DX836="","",IF(TRIM($DX836)="",0,IF(AND(AND(SUBSTITUTE(SUBSTITUTE(SUBSTITUTE(SUBSTITUTE(SUBSTITUTE(SUBSTITUTE(SUBSTITUTE(SUBSTITUTE(SUBSTITUTE(SUBSTITUTE(SUBSTITUTE(SUBSTITUTE(SUBSTITUTE(SUBSTITUTE(UPPER(TRIM($DX836)),"0",""),"1",""),"2",""),"3",""),"4",""),"5",""),"6",""),"7",""),"8",""),"9",""),".",""),"+",""),"-",""),"E","")="",LEN(SUBSTITUTE(SUBSTITUTE(MID(UPPER(TRIM($DX836)),1+OR(LEFT(UPPER(TRIM($DX836)),1)="+",LEFT(UPPER(TRIM($DX836)),1)="-"),999),"E+","E"),"E-","E"))=LEN(SUBSTITUTE(SUBSTITUTE(SUBSTITUTE(SUBSTITUTE(MID(UPPER(TRIM($DX836)),1+OR(LEFT(UPPER(TRIM($DX836)),1)="+",LEFT(UPPER(TRIM($DX836)),1)="-"),999),"E+","E"),"E-","E"),"+",""),"-","")),LEN(UPPER(TRIM($DX836)))-LEN(SUBSTITUTE(UPPER(TRIM($DX836)),"E",""))&lt;2,LEN(UPPER(TRIM($DX836)))-LEN(SUBSTITUTE(UPPER(TRIM($DX836)),".",""))&lt;2,IFERROR(FIND(".",UPPER(TRIM($DX836))),0)&lt;IFERROR(FIND("E",UPPER(TRIM($DX836))),999)),ISNUMBER(VALUE(TRIM($DX836)))),VALUE(TRIM($DX836)),"")))),""))</f>
        <v/>
      </c>
      <c r="DZ836">
        <f>IF($DM836=0,"",IF($L$17=0,"",IFERROR(IF(ISNUMBER(INDEX(PASTE_ALL,$DF836,$L$17)),INDEX(PASTE_ALL,$DF836,$L$17),SUBSTITUTE(SUBSTITUTE(TRIM(SUBSTITUTE(SUBSTITUTE(SUBSTITUTE(SUBSTITUTE(INDEX(PASTE_ALL,$DF836,$L$17)," "," "),CHAR(9)," "),CHAR(10)," "),CHAR(13)," ")),",",""),"%","")),"")))</f>
        <v/>
      </c>
      <c r="EA836">
        <f>IF($DM836=0,"",IFERROR(IF(ISNUMBER($DZ836),$DZ836,IF($DZ836="","",IF(TRIM($DZ836)="",0,IF(AND(AND(SUBSTITUTE(SUBSTITUTE(SUBSTITUTE(SUBSTITUTE(SUBSTITUTE(SUBSTITUTE(SUBSTITUTE(SUBSTITUTE(SUBSTITUTE(SUBSTITUTE(SUBSTITUTE(SUBSTITUTE(SUBSTITUTE(SUBSTITUTE(UPPER(TRIM($DZ836)),"0",""),"1",""),"2",""),"3",""),"4",""),"5",""),"6",""),"7",""),"8",""),"9",""),".",""),"+",""),"-",""),"E","")="",LEN(SUBSTITUTE(SUBSTITUTE(MID(UPPER(TRIM($DZ836)),1+OR(LEFT(UPPER(TRIM($DZ836)),1)="+",LEFT(UPPER(TRIM($DZ836)),1)="-"),999),"E+","E"),"E-","E"))=LEN(SUBSTITUTE(SUBSTITUTE(SUBSTITUTE(SUBSTITUTE(MID(UPPER(TRIM($DZ836)),1+OR(LEFT(UPPER(TRIM($DZ836)),1)="+",LEFT(UPPER(TRIM($DZ836)),1)="-"),999),"E+","E"),"E-","E"),"+",""),"-","")),LEN(UPPER(TRIM($DZ836)))-LEN(SUBSTITUTE(UPPER(TRIM($DZ836)),"E",""))&lt;2,LEN(UPPER(TRIM($DZ836)))-LEN(SUBSTITUTE(UPPER(TRIM($DZ836)),".",""))&lt;2,IFERROR(FIND(".",UPPER(TRIM($DZ836))),0)&lt;IFERROR(FIND("E",UPPER(TRIM($DZ836))),999)),ISNUMBER(VALUE(TRIM($DZ836)))),VALUE(TRIM($DZ836)),"")))),""))</f>
        <v/>
      </c>
      <c r="EB836">
        <f>IF($DM836=0,"",IF($L$18=0,"",IFERROR(IF(UPPER(TRIM(SUBSTITUTE(SUBSTITUTE(SUBSTITUTE(SUBSTITUTE(INDEX(PASTE_ALL,$DF836,$L$18)," "," "),CHAR(9)," "),CHAR(10)," "),CHAR(13)," ")))="READY","Ready",IF(UPPER(TRIM(SUBSTITUTE(SUBSTITUTE(SUBSTITUTE(SUBSTITUTE(INDEX(PASTE_ALL,$DF836,$L$18)," "," "),CHAR(9)," "),CHAR(10)," "),CHAR(13)," ")))="PM","PM",IF(OR(UPPER(TRIM(SUBSTITUTE(SUBSTITUTE(SUBSTITUTE(SUBSTITUTE(INDEX(PASTE_ALL,$DF836,$L$18)," "," "),CHAR(9)," "),CHAR(10)," "),CHAR(13)," ")))="OT",UPPER(TRIM(SUBSTITUTE(SUBSTITUTE(SUBSTITUTE(SUBSTITUTE(INDEX(PASTE_ALL,$DF836,$L$18)," "," "),CHAR(9)," "),CHAR(10)," "),CHAR(13)," ")))="OVERTIME",UPPER(TRIM(SUBSTITUTE(SUBSTITUTE(SUBSTITUTE(SUBSTITUTE(INDEX(PASTE_ALL,$DF836,$L$18)," "," "),CHAR(9)," "),CHAR(10)," "),CHAR(13)," ")))="TRIAL"),"OT",TRIM(SUBSTITUTE(SUBSTITUTE(SUBSTITUTE(SUBSTITUTE(INDEX(PASTE_ALL,$DF836,$L$18)," "," "),CHAR(9)," "),CHAR(10)," "),CHAR(13)," "))))),"")))</f>
        <v/>
      </c>
      <c r="EC836">
        <f>IF($DM836=0,"",IF($L$19=0,"",IFERROR(IF(ISNUMBER(INDEX(PASTE_ALL,$DF836,$L$19)),INDEX(PASTE_ALL,$DF836,$L$19),TRIM(SUBSTITUTE(SUBSTITUTE(SUBSTITUTE(SUBSTITUTE(INDEX(PASTE_ALL,$DF836,$L$19)," "," "),CHAR(9)," "),CHAR(10)," "),CHAR(13)," "))),"")))</f>
        <v/>
      </c>
      <c r="ED836">
        <f>IF($DM836=0,"",MATCH(1,INDEX(EXACT($DH$5:DH836,$DH836)*$DM$5:DM836,0),0))</f>
        <v/>
      </c>
      <c r="EE836">
        <f>IF($DM836=0,0,IF($ED836=$DE836,1,0))</f>
        <v/>
      </c>
      <c r="EF836">
        <f>EF835+$EE836</f>
        <v/>
      </c>
      <c r="EG836">
        <f>IF($DM836=0,"",INDEX($EF$5:$EF$1003,$ED836))</f>
        <v/>
      </c>
      <c r="EH836">
        <f>IF($DM836=0,"",IF($DO836&lt;&gt;"","",IFERROR(LOOKUP(2,1/(($EG$4:EG835=$EG836)*($DO$4:DO835&lt;&gt;"")),$DO$4:DO835),"")))</f>
        <v/>
      </c>
      <c r="EI836">
        <f>IF($DM836=0,"",IF($DO836&lt;&gt;"",$DO836,$EH836))</f>
        <v/>
      </c>
      <c r="EJ836">
        <f>IF($DM836=0,"",IF($EI836="",0,IF(OR(ISNUMBER($EI836),AND(AND(SUBSTITUTE(SUBSTITUTE(SUBSTITUTE(SUBSTITUTE(SUBSTITUTE(SUBSTITUTE(SUBSTITUTE(SUBSTITUTE(SUBSTITUTE(SUBSTITUTE(SUBSTITUTE(SUBSTITUTE(SUBSTITUTE(SUBSTITUTE(UPPER($EI836),"0",""),"1",""),"2",""),"3",""),"4",""),"5",""),"6",""),"7",""),"8",""),"9",""),".",""),"+",""),"-",""),"E","")="",LEN(SUBSTITUTE(SUBSTITUTE(MID(UPPER($EI836),1+OR(LEFT(UPPER($EI836),1)="+",LEFT(UPPER($EI836),1)="-"),999),"E+","E"),"E-","E"))=LEN(SUBSTITUTE(SUBSTITUTE(SUBSTITUTE(SUBSTITUTE(MID(UPPER($EI836),1+OR(LEFT(UPPER($EI836),1)="+",LEFT(UPPER($EI836),1)="-"),999),"E+","E"),"E-","E"),"+",""),"-","")),LEN(UPPER($EI836))-LEN(SUBSTITUTE(UPPER($EI836),"E",""))&lt;2,LEN(UPPER($EI836))-LEN(SUBSTITUTE(UPPER($EI836),".",""))&lt;2,IFERROR(FIND(".",UPPER($EI836)),0)&lt;IFERROR(FIND("E",UPPER($EI836)),999)),ISNUMBER(VALUE($EI836)))),1,2)))</f>
        <v/>
      </c>
      <c r="EK836">
        <f>IF($DM836=0,"",IF($EJ836=1,IF(ISNUMBER($EI836),$EI836,VALUE($EI836)),IF($EJ836=2,$DE836,0)))</f>
        <v/>
      </c>
      <c r="EL836">
        <f>IF($DM836=0,"",COUNTIF($EG$5:$EG$1003,"&lt;"&amp;$EG836)+SUMPRODUCT(($EG$5:$EG$1003=$EG836)*(($EJ$5:$EJ$1003&lt;$EJ836)+($EJ$5:$EJ$1003=$EJ836)*(($EK$5:$EK$1003&lt;$EK836)+($EK$5:$EK$1003=$EK836)*($DE$5:$DE$1003&lt;$DE836))))+1)</f>
        <v/>
      </c>
      <c r="EM836">
        <f>IF($DM836=0,"",$EL836+$EG836-1)</f>
        <v/>
      </c>
      <c r="EN836">
        <f>IF($DM836=0,0,IFERROR(MATCH(1,INDEX(--(TRIM(SUBSTITUTE(SUBSTITUTE(SUBSTITUTE(SUBSTITUTE(LINES_NAME&amp;""," "," "),CHAR(9)," "),CHAR(10)," "),CHAR(13)," "))=$DH836),0),0),0))</f>
        <v/>
      </c>
      <c r="EO836">
        <f>IF($EN836=0,0,IF(OR(UPPER(TRIM(INDEX(LINES_SCHEDULED,$EN836)&amp;""))="YES",UPPER(TRIM(INDEX(LINES_SCHEDULED,$EN836)&amp;""))="Y",UPPER(TRIM(INDEX(LINES_SCHEDULED,$EN836)&amp;""))="X"),1,0))</f>
        <v/>
      </c>
      <c r="EP836">
        <f>IF($DM836=0,"",IF(COUNTIFS($EG$5:$EG$1003,$EG836,$EB$5:$EB$1003,"Ready")&gt;0,"READY",IF(COUNTIFS($EG$5:$EG$1003,$EG836,$EB$5:$EB$1003,"PM")&gt;0,"PM",IF(COUNTIFS($EG$5:$EG$1003,$EG836,$EB$5:$EB$1003,"OT")&gt;0,"OT",""))))</f>
        <v/>
      </c>
      <c r="EQ836">
        <f>IF($EN836=0,"",UPPER(TRIM(INDEX(LINES_STATUS,$EN836)&amp;"")))</f>
        <v/>
      </c>
      <c r="ER836">
        <f>IF($DM836=0,"",IF(OR($EQ836="READY",$EQ836="PM",$EQ836="OT"),$EQ836,$EP836))</f>
        <v/>
      </c>
      <c r="ES836">
        <f>IF($DM836=0,"",IF(AND($DV836&lt;&gt;"",UPPER($DV836)&lt;&gt;"N"),"allergen",IF(ISNUMBER(SEARCH("oil",$DQ836)),"oil",IF(OR(EXACT($DS836,"A662"),EXACT($DS836,"A624")),"bulk",""))))</f>
        <v/>
      </c>
      <c r="ET836">
        <f>IF($DM836=0,"",IF(OR($EA836="",$EA836=0),"",$EA836/100))</f>
        <v/>
      </c>
      <c r="EU836">
        <f>IF(OR($ET836="",$DY836=""),"",INT($DY836*(1-$ET836)+0.5))</f>
        <v/>
      </c>
    </row>
    <row r="837">
      <c r="DA837" t="n">
        <v>833</v>
      </c>
      <c r="DB837">
        <f>IF($B$37=0,"",IFERROR(TRIM(SUBSTITUTE(SUBSTITUTE(SUBSTITUTE(SUBSTITUTE(INDEX(PASTE_ALL,833,$B$37)," "," "),CHAR(9)," "),CHAR(10)," "),CHAR(13)," ")),""))</f>
        <v/>
      </c>
      <c r="DC837">
        <f>IF(AND(833&gt;HEADER_ROW,UPPER(DB837)="LEGEND"),1,0)</f>
        <v/>
      </c>
      <c r="DE837" t="n">
        <v>833</v>
      </c>
      <c r="DF837">
        <f>HEADER_ROW+$DE837</f>
        <v/>
      </c>
      <c r="DG837">
        <f>IF(AND($DF837&lt;=1000,$DF837&lt;$B$8),1,0)</f>
        <v/>
      </c>
      <c r="DH837">
        <f>IF($DG837=1,IFERROR(INDEX($DB$5:$DB$1004,$DF837),""),"")</f>
        <v/>
      </c>
      <c r="DI837">
        <f>IF(AND($DG837=1,$DH837&lt;&gt;""),IFERROR(SUBSTITUTE(SUBSTITUTE(TRIM(SUBSTITUTE(SUBSTITUTE(SUBSTITUTE(SUBSTITUTE(IFERROR(INDEX(PASTE_ALL,$DF837,1)&amp;"","")&amp;"␟"&amp;IFERROR(INDEX(PASTE_ALL,$DF837,2)&amp;"","")&amp;"␟"&amp;IFERROR(INDEX(PASTE_ALL,$DF837,3)&amp;"","")&amp;"␟"&amp;IFERROR(INDEX(PASTE_ALL,$DF837,4)&amp;"","")&amp;"␟"&amp;IFERROR(INDEX(PASTE_ALL,$DF837,5)&amp;"","")&amp;"␟"&amp;IFERROR(INDEX(PASTE_ALL,$DF837,6)&amp;"","")&amp;"␟"&amp;IFERROR(INDEX(PASTE_ALL,$DF837,7)&amp;"","")&amp;"␟"&amp;IFERROR(INDEX(PASTE_ALL,$DF837,8)&amp;"","")&amp;"␟"&amp;IFERROR(INDEX(PASTE_ALL,$DF837,9)&amp;"","")&amp;"␟"&amp;IFERROR(INDEX(PASTE_ALL,$DF837,10)&amp;"","")&amp;"␟"&amp;IFERROR(INDEX(PASTE_ALL,$DF837,11)&amp;"","")&amp;"␟"&amp;IFERROR(INDEX(PASTE_ALL,$DF837,12)&amp;"","")&amp;"␟"&amp;IFERROR(INDEX(PASTE_ALL,$DF837,13)&amp;"","")&amp;"␟"&amp;IFERROR(INDEX(PASTE_ALL,$DF837,14)&amp;"","")&amp;"␟"&amp;IFERROR(INDEX(PASTE_ALL,$DF837,15)&amp;"","")&amp;"␟"&amp;IFERROR(INDEX(PASTE_ALL,$DF837,16)&amp;"","")&amp;"␟"&amp;IFERROR(INDEX(PASTE_ALL,$DF837,17)&amp;"","")&amp;"␟"&amp;IFERROR(INDEX(PASTE_ALL,$DF837,18)&amp;"","")&amp;"␟"&amp;IFERROR(INDEX(PASTE_ALL,$DF837,19)&amp;"","")&amp;"␟"&amp;IFERROR(INDEX(PASTE_ALL,$DF837,20)&amp;"","")&amp;"␟"&amp;IFERROR(INDEX(PASTE_ALL,$DF837,21)&amp;"","")&amp;"␟"&amp;IFERROR(INDEX(PASTE_ALL,$DF837,22)&amp;"","")&amp;"␟"&amp;IFERROR(INDEX(PASTE_ALL,$DF837,23)&amp;"","")&amp;"␟"&amp;IFERROR(INDEX(PASTE_ALL,$DF837,24)&amp;"","")&amp;"␟"&amp;IFERROR(INDEX(PASTE_ALL,$DF837,25)&amp;"","")&amp;"␟"&amp;IFERROR(INDEX(PASTE_ALL,$DF837,26)&amp;"","")&amp;"␟"&amp;IFERROR(INDEX(PASTE_ALL,$DF837,27)&amp;"","")&amp;"␟"&amp;IFERROR(INDEX(PASTE_ALL,$DF837,28)&amp;"","")&amp;"␟"&amp;IFERROR(INDEX(PASTE_ALL,$DF837,29)&amp;"","")&amp;"␟"&amp;IFERROR(INDEX(PASTE_ALL,$DF837,30)&amp;"","")&amp;"␟"&amp;IFERROR(INDEX(PASTE_ALL,$DF837,31)&amp;"","")&amp;"␟"&amp;IFERROR(INDEX(PASTE_ALL,$DF837,32)&amp;"","")&amp;"␟"&amp;IFERROR(INDEX(PASTE_ALL,$DF837,33)&amp;"","")&amp;"␟"&amp;IFERROR(INDEX(PASTE_ALL,$DF837,34)&amp;"","")&amp;"␟"&amp;IFERROR(INDEX(PASTE_ALL,$DF837,35)&amp;"","")&amp;"␟"&amp;IFERROR(INDEX(PASTE_ALL,$DF837,36)&amp;"","")&amp;"␟"&amp;IFERROR(INDEX(PASTE_ALL,$DF837,37)&amp;"","")&amp;"␟"&amp;IFERROR(INDEX(PASTE_ALL,$DF837,38)&amp;"","")&amp;"␟"&amp;IFERROR(INDEX(PASTE_ALL,$DF837,39)&amp;"","")&amp;"␟"&amp;IFERROR(INDEX(PASTE_ALL,$DF837,40)&amp;"","")&amp;"␟"&amp;IFERROR(INDEX(PASTE_ALL,$DF837,41)&amp;"","")&amp;"␟"&amp;IFERROR(INDEX(PASTE_ALL,$DF837,42)&amp;"","")&amp;"␟"&amp;IFERROR(INDEX(PASTE_ALL,$DF837,43)&amp;"","")&amp;"␟"&amp;IFERROR(INDEX(PASTE_ALL,$DF837,44)&amp;"","")&amp;"␟"&amp;IFERROR(INDEX(PASTE_ALL,$DF837,45)&amp;"","")&amp;"␟"&amp;IFERROR(INDEX(PASTE_ALL,$DF837,46)&amp;"","")&amp;"␟"&amp;IFERROR(INDEX(PASTE_ALL,$DF837,47)&amp;"","")&amp;"␟"&amp;IFERROR(INDEX(PASTE_ALL,$DF837,48)&amp;"","")&amp;"␟"&amp;IFERROR(INDEX(PASTE_ALL,$DF837,49)&amp;"","")&amp;"␟"&amp;IFERROR(INDEX(PASTE_ALL,$DF837,50)&amp;"","")&amp;"␟"&amp;IFERROR(INDEX(PASTE_ALL,$DF837,51)&amp;"","")&amp;"␟"&amp;IFERROR(INDEX(PASTE_ALL,$DF837,52)&amp;"","")&amp;"␟"&amp;IFERROR(INDEX(PASTE_ALL,$DF837,53)&amp;"","")&amp;"␟"&amp;IFERROR(INDEX(PASTE_ALL,$DF837,54)&amp;"","")&amp;"␟"&amp;IFERROR(INDEX(PASTE_ALL,$DF837,55)&amp;"","")&amp;"␟"&amp;IFERROR(INDEX(PASTE_ALL,$DF837,56)&amp;"","")&amp;"␟"&amp;IFERROR(INDEX(PASTE_ALL,$DF837,57)&amp;"","")&amp;"␟"&amp;IFERROR(INDEX(PASTE_ALL,$DF837,58)&amp;"","")&amp;"␟"&amp;IFERROR(INDEX(PASTE_ALL,$DF837,59)&amp;"","")&amp;"␟"&amp;IFERROR(INDEX(PASTE_ALL,$DF837,60)&amp;"","")," "," "),CHAR(9)," "),CHAR(10)," "),CHAR(13)," "))," ␟","␟"),"␟ ","␟"),"#"&amp;$DE837),"")</f>
        <v/>
      </c>
      <c r="DJ837">
        <f>IF($DI837="",0,IF(SUMPRODUCT(--EXACT($DI$4:DI836,$DI837))&gt;0,1,0))</f>
        <v/>
      </c>
      <c r="DK837">
        <f>IF(AND($DI837&lt;&gt;"",$DJ837=0),1,0)</f>
        <v/>
      </c>
      <c r="DL837">
        <f>DL836+$DK837</f>
        <v/>
      </c>
      <c r="DM837">
        <f>IF(AND($DK837=1,$DL837&lt;=600),1,0)</f>
        <v/>
      </c>
      <c r="DN837">
        <f>IF($DM837=0,"",IF($L$6=0,"",IFERROR(IF(ISNUMBER(INDEX(PASTE_ALL,$DF837,$L$6)),INDEX(PASTE_ALL,$DF837,$L$6),TRIM(SUBSTITUTE(SUBSTITUTE(SUBSTITUTE(SUBSTITUTE(INDEX(PASTE_ALL,$DF837,$L$6)," "," "),CHAR(9)," "),CHAR(10)," "),CHAR(13)," "))),"")))</f>
        <v/>
      </c>
      <c r="DO837">
        <f>IF($DM837=0,"",IF($L$7=0,"",IFERROR(IF(ISNUMBER(INDEX(PASTE_ALL,$DF837,$L$7)),INDEX(PASTE_ALL,$DF837,$L$7),TRIM(SUBSTITUTE(SUBSTITUTE(SUBSTITUTE(SUBSTITUTE(INDEX(PASTE_ALL,$DF837,$L$7)," "," "),CHAR(9)," "),CHAR(10)," "),CHAR(13)," "))),"")))</f>
        <v/>
      </c>
      <c r="DP837">
        <f>IF($DM837=0,"",IF($L$8=0,"",IFERROR(IF(ISNUMBER(INDEX(PASTE_ALL,$DF837,$L$8)),INDEX(PASTE_ALL,$DF837,$L$8),TRIM(SUBSTITUTE(SUBSTITUTE(SUBSTITUTE(SUBSTITUTE(INDEX(PASTE_ALL,$DF837,$L$8)," "," "),CHAR(9)," "),CHAR(10)," "),CHAR(13)," "))),"")))</f>
        <v/>
      </c>
      <c r="DQ837">
        <f>IF($DM837=0,"",IF($L$9=0,"",IFERROR(IF(ISNUMBER(INDEX(PASTE_ALL,$DF837,$L$9)),INDEX(PASTE_ALL,$DF837,$L$9),TRIM(SUBSTITUTE(SUBSTITUTE(SUBSTITUTE(SUBSTITUTE(INDEX(PASTE_ALL,$DF837,$L$9)," "," "),CHAR(9)," "),CHAR(10)," "),CHAR(13)," "))),"")))</f>
        <v/>
      </c>
      <c r="DR837">
        <f>IF($DM837=0,"",IF($L$10=0,"",IFERROR(IF(ISNUMBER(INDEX(PASTE_ALL,$DF837,$L$10)),INDEX(PASTE_ALL,$DF837,$L$10),TRIM(SUBSTITUTE(SUBSTITUTE(SUBSTITUTE(SUBSTITUTE(INDEX(PASTE_ALL,$DF837,$L$10)," "," "),CHAR(9)," "),CHAR(10)," "),CHAR(13)," "))),"")))</f>
        <v/>
      </c>
      <c r="DS837">
        <f>IF($DM837=0,"",IF($L$11=0,"",IFERROR(IF(ISNUMBER(INDEX(PASTE_ALL,$DF837,$L$11)),INDEX(PASTE_ALL,$DF837,$L$11),TRIM(SUBSTITUTE(SUBSTITUTE(SUBSTITUTE(SUBSTITUTE(INDEX(PASTE_ALL,$DF837,$L$11)," "," "),CHAR(9)," "),CHAR(10)," "),CHAR(13)," "))),"")))</f>
        <v/>
      </c>
      <c r="DT837">
        <f>IF($DM837=0,"",IF($L$12=0,"",IFERROR(IF(ISNUMBER(INDEX(PASTE_ALL,$DF837,$L$12)),INDEX(PASTE_ALL,$DF837,$L$12),TRIM(SUBSTITUTE(SUBSTITUTE(SUBSTITUTE(SUBSTITUTE(INDEX(PASTE_ALL,$DF837,$L$12)," "," "),CHAR(9)," "),CHAR(10)," "),CHAR(13)," "))),"")))</f>
        <v/>
      </c>
      <c r="DU837">
        <f>IF($DM837=0,"",IF($L$13=0,"",IFERROR(IF(ISNUMBER(INDEX(PASTE_ALL,$DF837,$L$13)),INDEX(PASTE_ALL,$DF837,$L$13),TRIM(SUBSTITUTE(SUBSTITUTE(SUBSTITUTE(SUBSTITUTE(INDEX(PASTE_ALL,$DF837,$L$13)," "," "),CHAR(9)," "),CHAR(10)," "),CHAR(13)," "))),"")))</f>
        <v/>
      </c>
      <c r="DV837">
        <f>IF($DM837=0,"",IF($L$14=0,"",IFERROR(IF(ISNUMBER(INDEX(PASTE_ALL,$DF837,$L$14)),INDEX(PASTE_ALL,$DF837,$L$14),TRIM(SUBSTITUTE(SUBSTITUTE(SUBSTITUTE(SUBSTITUTE(INDEX(PASTE_ALL,$DF837,$L$14)," "," "),CHAR(9)," "),CHAR(10)," "),CHAR(13)," "))),"")))</f>
        <v/>
      </c>
      <c r="DW837">
        <f>IF($DM837=0,"",IF($L$15=0,"",IFERROR(IF(ISNUMBER(INDEX(PASTE_ALL,$DF837,$L$15)),INDEX(PASTE_ALL,$DF837,$L$15),IF(SUMPRODUCT(--ISNUMBER(FIND({"A","B","C","D","E","F","G","H","I","J","K","L","M","N","O","P","Q","R","S","T","U","V","W","X","Y","Z","0","1","2","3","4","5","6","7","8","9"},UPPER(TRIM(SUBSTITUTE(SUBSTITUTE(SUBSTITUTE(SUBSTITUTE(INDEX(PASTE_ALL,$DF837,$L$15)," "," "),CHAR(9)," "),CHAR(10)," "),CHAR(13)," "))))))&gt;0,TRIM(SUBSTITUTE(SUBSTITUTE(SUBSTITUTE(SUBSTITUTE(INDEX(PASTE_ALL,$DF837,$L$15)," "," "),CHAR(9)," "),CHAR(10)," "),CHAR(13)," ")),"")),"")))</f>
        <v/>
      </c>
      <c r="DX837">
        <f>IF($DM837=0,"",IF($L$16=0,"",IFERROR(IF(ISNUMBER(INDEX(PASTE_ALL,$DF837,$L$16)),INDEX(PASTE_ALL,$DF837,$L$16),SUBSTITUTE(SUBSTITUTE(TRIM(SUBSTITUTE(SUBSTITUTE(SUBSTITUTE(SUBSTITUTE(INDEX(PASTE_ALL,$DF837,$L$16)," "," "),CHAR(9)," "),CHAR(10)," "),CHAR(13)," ")),",",""),"%","")),"")))</f>
        <v/>
      </c>
      <c r="DY837">
        <f>IF($DM837=0,"",IFERROR(IF(ISNUMBER($DX837),$DX837,IF($DX837="","",IF(TRIM($DX837)="",0,IF(AND(AND(SUBSTITUTE(SUBSTITUTE(SUBSTITUTE(SUBSTITUTE(SUBSTITUTE(SUBSTITUTE(SUBSTITUTE(SUBSTITUTE(SUBSTITUTE(SUBSTITUTE(SUBSTITUTE(SUBSTITUTE(SUBSTITUTE(SUBSTITUTE(UPPER(TRIM($DX837)),"0",""),"1",""),"2",""),"3",""),"4",""),"5",""),"6",""),"7",""),"8",""),"9",""),".",""),"+",""),"-",""),"E","")="",LEN(SUBSTITUTE(SUBSTITUTE(MID(UPPER(TRIM($DX837)),1+OR(LEFT(UPPER(TRIM($DX837)),1)="+",LEFT(UPPER(TRIM($DX837)),1)="-"),999),"E+","E"),"E-","E"))=LEN(SUBSTITUTE(SUBSTITUTE(SUBSTITUTE(SUBSTITUTE(MID(UPPER(TRIM($DX837)),1+OR(LEFT(UPPER(TRIM($DX837)),1)="+",LEFT(UPPER(TRIM($DX837)),1)="-"),999),"E+","E"),"E-","E"),"+",""),"-","")),LEN(UPPER(TRIM($DX837)))-LEN(SUBSTITUTE(UPPER(TRIM($DX837)),"E",""))&lt;2,LEN(UPPER(TRIM($DX837)))-LEN(SUBSTITUTE(UPPER(TRIM($DX837)),".",""))&lt;2,IFERROR(FIND(".",UPPER(TRIM($DX837))),0)&lt;IFERROR(FIND("E",UPPER(TRIM($DX837))),999)),ISNUMBER(VALUE(TRIM($DX837)))),VALUE(TRIM($DX837)),"")))),""))</f>
        <v/>
      </c>
      <c r="DZ837">
        <f>IF($DM837=0,"",IF($L$17=0,"",IFERROR(IF(ISNUMBER(INDEX(PASTE_ALL,$DF837,$L$17)),INDEX(PASTE_ALL,$DF837,$L$17),SUBSTITUTE(SUBSTITUTE(TRIM(SUBSTITUTE(SUBSTITUTE(SUBSTITUTE(SUBSTITUTE(INDEX(PASTE_ALL,$DF837,$L$17)," "," "),CHAR(9)," "),CHAR(10)," "),CHAR(13)," ")),",",""),"%","")),"")))</f>
        <v/>
      </c>
      <c r="EA837">
        <f>IF($DM837=0,"",IFERROR(IF(ISNUMBER($DZ837),$DZ837,IF($DZ837="","",IF(TRIM($DZ837)="",0,IF(AND(AND(SUBSTITUTE(SUBSTITUTE(SUBSTITUTE(SUBSTITUTE(SUBSTITUTE(SUBSTITUTE(SUBSTITUTE(SUBSTITUTE(SUBSTITUTE(SUBSTITUTE(SUBSTITUTE(SUBSTITUTE(SUBSTITUTE(SUBSTITUTE(UPPER(TRIM($DZ837)),"0",""),"1",""),"2",""),"3",""),"4",""),"5",""),"6",""),"7",""),"8",""),"9",""),".",""),"+",""),"-",""),"E","")="",LEN(SUBSTITUTE(SUBSTITUTE(MID(UPPER(TRIM($DZ837)),1+OR(LEFT(UPPER(TRIM($DZ837)),1)="+",LEFT(UPPER(TRIM($DZ837)),1)="-"),999),"E+","E"),"E-","E"))=LEN(SUBSTITUTE(SUBSTITUTE(SUBSTITUTE(SUBSTITUTE(MID(UPPER(TRIM($DZ837)),1+OR(LEFT(UPPER(TRIM($DZ837)),1)="+",LEFT(UPPER(TRIM($DZ837)),1)="-"),999),"E+","E"),"E-","E"),"+",""),"-","")),LEN(UPPER(TRIM($DZ837)))-LEN(SUBSTITUTE(UPPER(TRIM($DZ837)),"E",""))&lt;2,LEN(UPPER(TRIM($DZ837)))-LEN(SUBSTITUTE(UPPER(TRIM($DZ837)),".",""))&lt;2,IFERROR(FIND(".",UPPER(TRIM($DZ837))),0)&lt;IFERROR(FIND("E",UPPER(TRIM($DZ837))),999)),ISNUMBER(VALUE(TRIM($DZ837)))),VALUE(TRIM($DZ837)),"")))),""))</f>
        <v/>
      </c>
      <c r="EB837">
        <f>IF($DM837=0,"",IF($L$18=0,"",IFERROR(IF(UPPER(TRIM(SUBSTITUTE(SUBSTITUTE(SUBSTITUTE(SUBSTITUTE(INDEX(PASTE_ALL,$DF837,$L$18)," "," "),CHAR(9)," "),CHAR(10)," "),CHAR(13)," ")))="READY","Ready",IF(UPPER(TRIM(SUBSTITUTE(SUBSTITUTE(SUBSTITUTE(SUBSTITUTE(INDEX(PASTE_ALL,$DF837,$L$18)," "," "),CHAR(9)," "),CHAR(10)," "),CHAR(13)," ")))="PM","PM",IF(OR(UPPER(TRIM(SUBSTITUTE(SUBSTITUTE(SUBSTITUTE(SUBSTITUTE(INDEX(PASTE_ALL,$DF837,$L$18)," "," "),CHAR(9)," "),CHAR(10)," "),CHAR(13)," ")))="OT",UPPER(TRIM(SUBSTITUTE(SUBSTITUTE(SUBSTITUTE(SUBSTITUTE(INDEX(PASTE_ALL,$DF837,$L$18)," "," "),CHAR(9)," "),CHAR(10)," "),CHAR(13)," ")))="OVERTIME",UPPER(TRIM(SUBSTITUTE(SUBSTITUTE(SUBSTITUTE(SUBSTITUTE(INDEX(PASTE_ALL,$DF837,$L$18)," "," "),CHAR(9)," "),CHAR(10)," "),CHAR(13)," ")))="TRIAL"),"OT",TRIM(SUBSTITUTE(SUBSTITUTE(SUBSTITUTE(SUBSTITUTE(INDEX(PASTE_ALL,$DF837,$L$18)," "," "),CHAR(9)," "),CHAR(10)," "),CHAR(13)," "))))),"")))</f>
        <v/>
      </c>
      <c r="EC837">
        <f>IF($DM837=0,"",IF($L$19=0,"",IFERROR(IF(ISNUMBER(INDEX(PASTE_ALL,$DF837,$L$19)),INDEX(PASTE_ALL,$DF837,$L$19),TRIM(SUBSTITUTE(SUBSTITUTE(SUBSTITUTE(SUBSTITUTE(INDEX(PASTE_ALL,$DF837,$L$19)," "," "),CHAR(9)," "),CHAR(10)," "),CHAR(13)," "))),"")))</f>
        <v/>
      </c>
      <c r="ED837">
        <f>IF($DM837=0,"",MATCH(1,INDEX(EXACT($DH$5:DH837,$DH837)*$DM$5:DM837,0),0))</f>
        <v/>
      </c>
      <c r="EE837">
        <f>IF($DM837=0,0,IF($ED837=$DE837,1,0))</f>
        <v/>
      </c>
      <c r="EF837">
        <f>EF836+$EE837</f>
        <v/>
      </c>
      <c r="EG837">
        <f>IF($DM837=0,"",INDEX($EF$5:$EF$1003,$ED837))</f>
        <v/>
      </c>
      <c r="EH837">
        <f>IF($DM837=0,"",IF($DO837&lt;&gt;"","",IFERROR(LOOKUP(2,1/(($EG$4:EG836=$EG837)*($DO$4:DO836&lt;&gt;"")),$DO$4:DO836),"")))</f>
        <v/>
      </c>
      <c r="EI837">
        <f>IF($DM837=0,"",IF($DO837&lt;&gt;"",$DO837,$EH837))</f>
        <v/>
      </c>
      <c r="EJ837">
        <f>IF($DM837=0,"",IF($EI837="",0,IF(OR(ISNUMBER($EI837),AND(AND(SUBSTITUTE(SUBSTITUTE(SUBSTITUTE(SUBSTITUTE(SUBSTITUTE(SUBSTITUTE(SUBSTITUTE(SUBSTITUTE(SUBSTITUTE(SUBSTITUTE(SUBSTITUTE(SUBSTITUTE(SUBSTITUTE(SUBSTITUTE(UPPER($EI837),"0",""),"1",""),"2",""),"3",""),"4",""),"5",""),"6",""),"7",""),"8",""),"9",""),".",""),"+",""),"-",""),"E","")="",LEN(SUBSTITUTE(SUBSTITUTE(MID(UPPER($EI837),1+OR(LEFT(UPPER($EI837),1)="+",LEFT(UPPER($EI837),1)="-"),999),"E+","E"),"E-","E"))=LEN(SUBSTITUTE(SUBSTITUTE(SUBSTITUTE(SUBSTITUTE(MID(UPPER($EI837),1+OR(LEFT(UPPER($EI837),1)="+",LEFT(UPPER($EI837),1)="-"),999),"E+","E"),"E-","E"),"+",""),"-","")),LEN(UPPER($EI837))-LEN(SUBSTITUTE(UPPER($EI837),"E",""))&lt;2,LEN(UPPER($EI837))-LEN(SUBSTITUTE(UPPER($EI837),".",""))&lt;2,IFERROR(FIND(".",UPPER($EI837)),0)&lt;IFERROR(FIND("E",UPPER($EI837)),999)),ISNUMBER(VALUE($EI837)))),1,2)))</f>
        <v/>
      </c>
      <c r="EK837">
        <f>IF($DM837=0,"",IF($EJ837=1,IF(ISNUMBER($EI837),$EI837,VALUE($EI837)),IF($EJ837=2,$DE837,0)))</f>
        <v/>
      </c>
      <c r="EL837">
        <f>IF($DM837=0,"",COUNTIF($EG$5:$EG$1003,"&lt;"&amp;$EG837)+SUMPRODUCT(($EG$5:$EG$1003=$EG837)*(($EJ$5:$EJ$1003&lt;$EJ837)+($EJ$5:$EJ$1003=$EJ837)*(($EK$5:$EK$1003&lt;$EK837)+($EK$5:$EK$1003=$EK837)*($DE$5:$DE$1003&lt;$DE837))))+1)</f>
        <v/>
      </c>
      <c r="EM837">
        <f>IF($DM837=0,"",$EL837+$EG837-1)</f>
        <v/>
      </c>
      <c r="EN837">
        <f>IF($DM837=0,0,IFERROR(MATCH(1,INDEX(--(TRIM(SUBSTITUTE(SUBSTITUTE(SUBSTITUTE(SUBSTITUTE(LINES_NAME&amp;""," "," "),CHAR(9)," "),CHAR(10)," "),CHAR(13)," "))=$DH837),0),0),0))</f>
        <v/>
      </c>
      <c r="EO837">
        <f>IF($EN837=0,0,IF(OR(UPPER(TRIM(INDEX(LINES_SCHEDULED,$EN837)&amp;""))="YES",UPPER(TRIM(INDEX(LINES_SCHEDULED,$EN837)&amp;""))="Y",UPPER(TRIM(INDEX(LINES_SCHEDULED,$EN837)&amp;""))="X"),1,0))</f>
        <v/>
      </c>
      <c r="EP837">
        <f>IF($DM837=0,"",IF(COUNTIFS($EG$5:$EG$1003,$EG837,$EB$5:$EB$1003,"Ready")&gt;0,"READY",IF(COUNTIFS($EG$5:$EG$1003,$EG837,$EB$5:$EB$1003,"PM")&gt;0,"PM",IF(COUNTIFS($EG$5:$EG$1003,$EG837,$EB$5:$EB$1003,"OT")&gt;0,"OT",""))))</f>
        <v/>
      </c>
      <c r="EQ837">
        <f>IF($EN837=0,"",UPPER(TRIM(INDEX(LINES_STATUS,$EN837)&amp;"")))</f>
        <v/>
      </c>
      <c r="ER837">
        <f>IF($DM837=0,"",IF(OR($EQ837="READY",$EQ837="PM",$EQ837="OT"),$EQ837,$EP837))</f>
        <v/>
      </c>
      <c r="ES837">
        <f>IF($DM837=0,"",IF(AND($DV837&lt;&gt;"",UPPER($DV837)&lt;&gt;"N"),"allergen",IF(ISNUMBER(SEARCH("oil",$DQ837)),"oil",IF(OR(EXACT($DS837,"A662"),EXACT($DS837,"A624")),"bulk",""))))</f>
        <v/>
      </c>
      <c r="ET837">
        <f>IF($DM837=0,"",IF(OR($EA837="",$EA837=0),"",$EA837/100))</f>
        <v/>
      </c>
      <c r="EU837">
        <f>IF(OR($ET837="",$DY837=""),"",INT($DY837*(1-$ET837)+0.5))</f>
        <v/>
      </c>
    </row>
    <row r="838">
      <c r="DA838" t="n">
        <v>834</v>
      </c>
      <c r="DB838">
        <f>IF($B$37=0,"",IFERROR(TRIM(SUBSTITUTE(SUBSTITUTE(SUBSTITUTE(SUBSTITUTE(INDEX(PASTE_ALL,834,$B$37)," "," "),CHAR(9)," "),CHAR(10)," "),CHAR(13)," ")),""))</f>
        <v/>
      </c>
      <c r="DC838">
        <f>IF(AND(834&gt;HEADER_ROW,UPPER(DB838)="LEGEND"),1,0)</f>
        <v/>
      </c>
      <c r="DE838" t="n">
        <v>834</v>
      </c>
      <c r="DF838">
        <f>HEADER_ROW+$DE838</f>
        <v/>
      </c>
      <c r="DG838">
        <f>IF(AND($DF838&lt;=1000,$DF838&lt;$B$8),1,0)</f>
        <v/>
      </c>
      <c r="DH838">
        <f>IF($DG838=1,IFERROR(INDEX($DB$5:$DB$1004,$DF838),""),"")</f>
        <v/>
      </c>
      <c r="DI838">
        <f>IF(AND($DG838=1,$DH838&lt;&gt;""),IFERROR(SUBSTITUTE(SUBSTITUTE(TRIM(SUBSTITUTE(SUBSTITUTE(SUBSTITUTE(SUBSTITUTE(IFERROR(INDEX(PASTE_ALL,$DF838,1)&amp;"","")&amp;"␟"&amp;IFERROR(INDEX(PASTE_ALL,$DF838,2)&amp;"","")&amp;"␟"&amp;IFERROR(INDEX(PASTE_ALL,$DF838,3)&amp;"","")&amp;"␟"&amp;IFERROR(INDEX(PASTE_ALL,$DF838,4)&amp;"","")&amp;"␟"&amp;IFERROR(INDEX(PASTE_ALL,$DF838,5)&amp;"","")&amp;"␟"&amp;IFERROR(INDEX(PASTE_ALL,$DF838,6)&amp;"","")&amp;"␟"&amp;IFERROR(INDEX(PASTE_ALL,$DF838,7)&amp;"","")&amp;"␟"&amp;IFERROR(INDEX(PASTE_ALL,$DF838,8)&amp;"","")&amp;"␟"&amp;IFERROR(INDEX(PASTE_ALL,$DF838,9)&amp;"","")&amp;"␟"&amp;IFERROR(INDEX(PASTE_ALL,$DF838,10)&amp;"","")&amp;"␟"&amp;IFERROR(INDEX(PASTE_ALL,$DF838,11)&amp;"","")&amp;"␟"&amp;IFERROR(INDEX(PASTE_ALL,$DF838,12)&amp;"","")&amp;"␟"&amp;IFERROR(INDEX(PASTE_ALL,$DF838,13)&amp;"","")&amp;"␟"&amp;IFERROR(INDEX(PASTE_ALL,$DF838,14)&amp;"","")&amp;"␟"&amp;IFERROR(INDEX(PASTE_ALL,$DF838,15)&amp;"","")&amp;"␟"&amp;IFERROR(INDEX(PASTE_ALL,$DF838,16)&amp;"","")&amp;"␟"&amp;IFERROR(INDEX(PASTE_ALL,$DF838,17)&amp;"","")&amp;"␟"&amp;IFERROR(INDEX(PASTE_ALL,$DF838,18)&amp;"","")&amp;"␟"&amp;IFERROR(INDEX(PASTE_ALL,$DF838,19)&amp;"","")&amp;"␟"&amp;IFERROR(INDEX(PASTE_ALL,$DF838,20)&amp;"","")&amp;"␟"&amp;IFERROR(INDEX(PASTE_ALL,$DF838,21)&amp;"","")&amp;"␟"&amp;IFERROR(INDEX(PASTE_ALL,$DF838,22)&amp;"","")&amp;"␟"&amp;IFERROR(INDEX(PASTE_ALL,$DF838,23)&amp;"","")&amp;"␟"&amp;IFERROR(INDEX(PASTE_ALL,$DF838,24)&amp;"","")&amp;"␟"&amp;IFERROR(INDEX(PASTE_ALL,$DF838,25)&amp;"","")&amp;"␟"&amp;IFERROR(INDEX(PASTE_ALL,$DF838,26)&amp;"","")&amp;"␟"&amp;IFERROR(INDEX(PASTE_ALL,$DF838,27)&amp;"","")&amp;"␟"&amp;IFERROR(INDEX(PASTE_ALL,$DF838,28)&amp;"","")&amp;"␟"&amp;IFERROR(INDEX(PASTE_ALL,$DF838,29)&amp;"","")&amp;"␟"&amp;IFERROR(INDEX(PASTE_ALL,$DF838,30)&amp;"","")&amp;"␟"&amp;IFERROR(INDEX(PASTE_ALL,$DF838,31)&amp;"","")&amp;"␟"&amp;IFERROR(INDEX(PASTE_ALL,$DF838,32)&amp;"","")&amp;"␟"&amp;IFERROR(INDEX(PASTE_ALL,$DF838,33)&amp;"","")&amp;"␟"&amp;IFERROR(INDEX(PASTE_ALL,$DF838,34)&amp;"","")&amp;"␟"&amp;IFERROR(INDEX(PASTE_ALL,$DF838,35)&amp;"","")&amp;"␟"&amp;IFERROR(INDEX(PASTE_ALL,$DF838,36)&amp;"","")&amp;"␟"&amp;IFERROR(INDEX(PASTE_ALL,$DF838,37)&amp;"","")&amp;"␟"&amp;IFERROR(INDEX(PASTE_ALL,$DF838,38)&amp;"","")&amp;"␟"&amp;IFERROR(INDEX(PASTE_ALL,$DF838,39)&amp;"","")&amp;"␟"&amp;IFERROR(INDEX(PASTE_ALL,$DF838,40)&amp;"","")&amp;"␟"&amp;IFERROR(INDEX(PASTE_ALL,$DF838,41)&amp;"","")&amp;"␟"&amp;IFERROR(INDEX(PASTE_ALL,$DF838,42)&amp;"","")&amp;"␟"&amp;IFERROR(INDEX(PASTE_ALL,$DF838,43)&amp;"","")&amp;"␟"&amp;IFERROR(INDEX(PASTE_ALL,$DF838,44)&amp;"","")&amp;"␟"&amp;IFERROR(INDEX(PASTE_ALL,$DF838,45)&amp;"","")&amp;"␟"&amp;IFERROR(INDEX(PASTE_ALL,$DF838,46)&amp;"","")&amp;"␟"&amp;IFERROR(INDEX(PASTE_ALL,$DF838,47)&amp;"","")&amp;"␟"&amp;IFERROR(INDEX(PASTE_ALL,$DF838,48)&amp;"","")&amp;"␟"&amp;IFERROR(INDEX(PASTE_ALL,$DF838,49)&amp;"","")&amp;"␟"&amp;IFERROR(INDEX(PASTE_ALL,$DF838,50)&amp;"","")&amp;"␟"&amp;IFERROR(INDEX(PASTE_ALL,$DF838,51)&amp;"","")&amp;"␟"&amp;IFERROR(INDEX(PASTE_ALL,$DF838,52)&amp;"","")&amp;"␟"&amp;IFERROR(INDEX(PASTE_ALL,$DF838,53)&amp;"","")&amp;"␟"&amp;IFERROR(INDEX(PASTE_ALL,$DF838,54)&amp;"","")&amp;"␟"&amp;IFERROR(INDEX(PASTE_ALL,$DF838,55)&amp;"","")&amp;"␟"&amp;IFERROR(INDEX(PASTE_ALL,$DF838,56)&amp;"","")&amp;"␟"&amp;IFERROR(INDEX(PASTE_ALL,$DF838,57)&amp;"","")&amp;"␟"&amp;IFERROR(INDEX(PASTE_ALL,$DF838,58)&amp;"","")&amp;"␟"&amp;IFERROR(INDEX(PASTE_ALL,$DF838,59)&amp;"","")&amp;"␟"&amp;IFERROR(INDEX(PASTE_ALL,$DF838,60)&amp;"","")," "," "),CHAR(9)," "),CHAR(10)," "),CHAR(13)," "))," ␟","␟"),"␟ ","␟"),"#"&amp;$DE838),"")</f>
        <v/>
      </c>
      <c r="DJ838">
        <f>IF($DI838="",0,IF(SUMPRODUCT(--EXACT($DI$4:DI837,$DI838))&gt;0,1,0))</f>
        <v/>
      </c>
      <c r="DK838">
        <f>IF(AND($DI838&lt;&gt;"",$DJ838=0),1,0)</f>
        <v/>
      </c>
      <c r="DL838">
        <f>DL837+$DK838</f>
        <v/>
      </c>
      <c r="DM838">
        <f>IF(AND($DK838=1,$DL838&lt;=600),1,0)</f>
        <v/>
      </c>
      <c r="DN838">
        <f>IF($DM838=0,"",IF($L$6=0,"",IFERROR(IF(ISNUMBER(INDEX(PASTE_ALL,$DF838,$L$6)),INDEX(PASTE_ALL,$DF838,$L$6),TRIM(SUBSTITUTE(SUBSTITUTE(SUBSTITUTE(SUBSTITUTE(INDEX(PASTE_ALL,$DF838,$L$6)," "," "),CHAR(9)," "),CHAR(10)," "),CHAR(13)," "))),"")))</f>
        <v/>
      </c>
      <c r="DO838">
        <f>IF($DM838=0,"",IF($L$7=0,"",IFERROR(IF(ISNUMBER(INDEX(PASTE_ALL,$DF838,$L$7)),INDEX(PASTE_ALL,$DF838,$L$7),TRIM(SUBSTITUTE(SUBSTITUTE(SUBSTITUTE(SUBSTITUTE(INDEX(PASTE_ALL,$DF838,$L$7)," "," "),CHAR(9)," "),CHAR(10)," "),CHAR(13)," "))),"")))</f>
        <v/>
      </c>
      <c r="DP838">
        <f>IF($DM838=0,"",IF($L$8=0,"",IFERROR(IF(ISNUMBER(INDEX(PASTE_ALL,$DF838,$L$8)),INDEX(PASTE_ALL,$DF838,$L$8),TRIM(SUBSTITUTE(SUBSTITUTE(SUBSTITUTE(SUBSTITUTE(INDEX(PASTE_ALL,$DF838,$L$8)," "," "),CHAR(9)," "),CHAR(10)," "),CHAR(13)," "))),"")))</f>
        <v/>
      </c>
      <c r="DQ838">
        <f>IF($DM838=0,"",IF($L$9=0,"",IFERROR(IF(ISNUMBER(INDEX(PASTE_ALL,$DF838,$L$9)),INDEX(PASTE_ALL,$DF838,$L$9),TRIM(SUBSTITUTE(SUBSTITUTE(SUBSTITUTE(SUBSTITUTE(INDEX(PASTE_ALL,$DF838,$L$9)," "," "),CHAR(9)," "),CHAR(10)," "),CHAR(13)," "))),"")))</f>
        <v/>
      </c>
      <c r="DR838">
        <f>IF($DM838=0,"",IF($L$10=0,"",IFERROR(IF(ISNUMBER(INDEX(PASTE_ALL,$DF838,$L$10)),INDEX(PASTE_ALL,$DF838,$L$10),TRIM(SUBSTITUTE(SUBSTITUTE(SUBSTITUTE(SUBSTITUTE(INDEX(PASTE_ALL,$DF838,$L$10)," "," "),CHAR(9)," "),CHAR(10)," "),CHAR(13)," "))),"")))</f>
        <v/>
      </c>
      <c r="DS838">
        <f>IF($DM838=0,"",IF($L$11=0,"",IFERROR(IF(ISNUMBER(INDEX(PASTE_ALL,$DF838,$L$11)),INDEX(PASTE_ALL,$DF838,$L$11),TRIM(SUBSTITUTE(SUBSTITUTE(SUBSTITUTE(SUBSTITUTE(INDEX(PASTE_ALL,$DF838,$L$11)," "," "),CHAR(9)," "),CHAR(10)," "),CHAR(13)," "))),"")))</f>
        <v/>
      </c>
      <c r="DT838">
        <f>IF($DM838=0,"",IF($L$12=0,"",IFERROR(IF(ISNUMBER(INDEX(PASTE_ALL,$DF838,$L$12)),INDEX(PASTE_ALL,$DF838,$L$12),TRIM(SUBSTITUTE(SUBSTITUTE(SUBSTITUTE(SUBSTITUTE(INDEX(PASTE_ALL,$DF838,$L$12)," "," "),CHAR(9)," "),CHAR(10)," "),CHAR(13)," "))),"")))</f>
        <v/>
      </c>
      <c r="DU838">
        <f>IF($DM838=0,"",IF($L$13=0,"",IFERROR(IF(ISNUMBER(INDEX(PASTE_ALL,$DF838,$L$13)),INDEX(PASTE_ALL,$DF838,$L$13),TRIM(SUBSTITUTE(SUBSTITUTE(SUBSTITUTE(SUBSTITUTE(INDEX(PASTE_ALL,$DF838,$L$13)," "," "),CHAR(9)," "),CHAR(10)," "),CHAR(13)," "))),"")))</f>
        <v/>
      </c>
      <c r="DV838">
        <f>IF($DM838=0,"",IF($L$14=0,"",IFERROR(IF(ISNUMBER(INDEX(PASTE_ALL,$DF838,$L$14)),INDEX(PASTE_ALL,$DF838,$L$14),TRIM(SUBSTITUTE(SUBSTITUTE(SUBSTITUTE(SUBSTITUTE(INDEX(PASTE_ALL,$DF838,$L$14)," "," "),CHAR(9)," "),CHAR(10)," "),CHAR(13)," "))),"")))</f>
        <v/>
      </c>
      <c r="DW838">
        <f>IF($DM838=0,"",IF($L$15=0,"",IFERROR(IF(ISNUMBER(INDEX(PASTE_ALL,$DF838,$L$15)),INDEX(PASTE_ALL,$DF838,$L$15),IF(SUMPRODUCT(--ISNUMBER(FIND({"A","B","C","D","E","F","G","H","I","J","K","L","M","N","O","P","Q","R","S","T","U","V","W","X","Y","Z","0","1","2","3","4","5","6","7","8","9"},UPPER(TRIM(SUBSTITUTE(SUBSTITUTE(SUBSTITUTE(SUBSTITUTE(INDEX(PASTE_ALL,$DF838,$L$15)," "," "),CHAR(9)," "),CHAR(10)," "),CHAR(13)," "))))))&gt;0,TRIM(SUBSTITUTE(SUBSTITUTE(SUBSTITUTE(SUBSTITUTE(INDEX(PASTE_ALL,$DF838,$L$15)," "," "),CHAR(9)," "),CHAR(10)," "),CHAR(13)," ")),"")),"")))</f>
        <v/>
      </c>
      <c r="DX838">
        <f>IF($DM838=0,"",IF($L$16=0,"",IFERROR(IF(ISNUMBER(INDEX(PASTE_ALL,$DF838,$L$16)),INDEX(PASTE_ALL,$DF838,$L$16),SUBSTITUTE(SUBSTITUTE(TRIM(SUBSTITUTE(SUBSTITUTE(SUBSTITUTE(SUBSTITUTE(INDEX(PASTE_ALL,$DF838,$L$16)," "," "),CHAR(9)," "),CHAR(10)," "),CHAR(13)," ")),",",""),"%","")),"")))</f>
        <v/>
      </c>
      <c r="DY838">
        <f>IF($DM838=0,"",IFERROR(IF(ISNUMBER($DX838),$DX838,IF($DX838="","",IF(TRIM($DX838)="",0,IF(AND(AND(SUBSTITUTE(SUBSTITUTE(SUBSTITUTE(SUBSTITUTE(SUBSTITUTE(SUBSTITUTE(SUBSTITUTE(SUBSTITUTE(SUBSTITUTE(SUBSTITUTE(SUBSTITUTE(SUBSTITUTE(SUBSTITUTE(SUBSTITUTE(UPPER(TRIM($DX838)),"0",""),"1",""),"2",""),"3",""),"4",""),"5",""),"6",""),"7",""),"8",""),"9",""),".",""),"+",""),"-",""),"E","")="",LEN(SUBSTITUTE(SUBSTITUTE(MID(UPPER(TRIM($DX838)),1+OR(LEFT(UPPER(TRIM($DX838)),1)="+",LEFT(UPPER(TRIM($DX838)),1)="-"),999),"E+","E"),"E-","E"))=LEN(SUBSTITUTE(SUBSTITUTE(SUBSTITUTE(SUBSTITUTE(MID(UPPER(TRIM($DX838)),1+OR(LEFT(UPPER(TRIM($DX838)),1)="+",LEFT(UPPER(TRIM($DX838)),1)="-"),999),"E+","E"),"E-","E"),"+",""),"-","")),LEN(UPPER(TRIM($DX838)))-LEN(SUBSTITUTE(UPPER(TRIM($DX838)),"E",""))&lt;2,LEN(UPPER(TRIM($DX838)))-LEN(SUBSTITUTE(UPPER(TRIM($DX838)),".",""))&lt;2,IFERROR(FIND(".",UPPER(TRIM($DX838))),0)&lt;IFERROR(FIND("E",UPPER(TRIM($DX838))),999)),ISNUMBER(VALUE(TRIM($DX838)))),VALUE(TRIM($DX838)),"")))),""))</f>
        <v/>
      </c>
      <c r="DZ838">
        <f>IF($DM838=0,"",IF($L$17=0,"",IFERROR(IF(ISNUMBER(INDEX(PASTE_ALL,$DF838,$L$17)),INDEX(PASTE_ALL,$DF838,$L$17),SUBSTITUTE(SUBSTITUTE(TRIM(SUBSTITUTE(SUBSTITUTE(SUBSTITUTE(SUBSTITUTE(INDEX(PASTE_ALL,$DF838,$L$17)," "," "),CHAR(9)," "),CHAR(10)," "),CHAR(13)," ")),",",""),"%","")),"")))</f>
        <v/>
      </c>
      <c r="EA838">
        <f>IF($DM838=0,"",IFERROR(IF(ISNUMBER($DZ838),$DZ838,IF($DZ838="","",IF(TRIM($DZ838)="",0,IF(AND(AND(SUBSTITUTE(SUBSTITUTE(SUBSTITUTE(SUBSTITUTE(SUBSTITUTE(SUBSTITUTE(SUBSTITUTE(SUBSTITUTE(SUBSTITUTE(SUBSTITUTE(SUBSTITUTE(SUBSTITUTE(SUBSTITUTE(SUBSTITUTE(UPPER(TRIM($DZ838)),"0",""),"1",""),"2",""),"3",""),"4",""),"5",""),"6",""),"7",""),"8",""),"9",""),".",""),"+",""),"-",""),"E","")="",LEN(SUBSTITUTE(SUBSTITUTE(MID(UPPER(TRIM($DZ838)),1+OR(LEFT(UPPER(TRIM($DZ838)),1)="+",LEFT(UPPER(TRIM($DZ838)),1)="-"),999),"E+","E"),"E-","E"))=LEN(SUBSTITUTE(SUBSTITUTE(SUBSTITUTE(SUBSTITUTE(MID(UPPER(TRIM($DZ838)),1+OR(LEFT(UPPER(TRIM($DZ838)),1)="+",LEFT(UPPER(TRIM($DZ838)),1)="-"),999),"E+","E"),"E-","E"),"+",""),"-","")),LEN(UPPER(TRIM($DZ838)))-LEN(SUBSTITUTE(UPPER(TRIM($DZ838)),"E",""))&lt;2,LEN(UPPER(TRIM($DZ838)))-LEN(SUBSTITUTE(UPPER(TRIM($DZ838)),".",""))&lt;2,IFERROR(FIND(".",UPPER(TRIM($DZ838))),0)&lt;IFERROR(FIND("E",UPPER(TRIM($DZ838))),999)),ISNUMBER(VALUE(TRIM($DZ838)))),VALUE(TRIM($DZ838)),"")))),""))</f>
        <v/>
      </c>
      <c r="EB838">
        <f>IF($DM838=0,"",IF($L$18=0,"",IFERROR(IF(UPPER(TRIM(SUBSTITUTE(SUBSTITUTE(SUBSTITUTE(SUBSTITUTE(INDEX(PASTE_ALL,$DF838,$L$18)," "," "),CHAR(9)," "),CHAR(10)," "),CHAR(13)," ")))="READY","Ready",IF(UPPER(TRIM(SUBSTITUTE(SUBSTITUTE(SUBSTITUTE(SUBSTITUTE(INDEX(PASTE_ALL,$DF838,$L$18)," "," "),CHAR(9)," "),CHAR(10)," "),CHAR(13)," ")))="PM","PM",IF(OR(UPPER(TRIM(SUBSTITUTE(SUBSTITUTE(SUBSTITUTE(SUBSTITUTE(INDEX(PASTE_ALL,$DF838,$L$18)," "," "),CHAR(9)," "),CHAR(10)," "),CHAR(13)," ")))="OT",UPPER(TRIM(SUBSTITUTE(SUBSTITUTE(SUBSTITUTE(SUBSTITUTE(INDEX(PASTE_ALL,$DF838,$L$18)," "," "),CHAR(9)," "),CHAR(10)," "),CHAR(13)," ")))="OVERTIME",UPPER(TRIM(SUBSTITUTE(SUBSTITUTE(SUBSTITUTE(SUBSTITUTE(INDEX(PASTE_ALL,$DF838,$L$18)," "," "),CHAR(9)," "),CHAR(10)," "),CHAR(13)," ")))="TRIAL"),"OT",TRIM(SUBSTITUTE(SUBSTITUTE(SUBSTITUTE(SUBSTITUTE(INDEX(PASTE_ALL,$DF838,$L$18)," "," "),CHAR(9)," "),CHAR(10)," "),CHAR(13)," "))))),"")))</f>
        <v/>
      </c>
      <c r="EC838">
        <f>IF($DM838=0,"",IF($L$19=0,"",IFERROR(IF(ISNUMBER(INDEX(PASTE_ALL,$DF838,$L$19)),INDEX(PASTE_ALL,$DF838,$L$19),TRIM(SUBSTITUTE(SUBSTITUTE(SUBSTITUTE(SUBSTITUTE(INDEX(PASTE_ALL,$DF838,$L$19)," "," "),CHAR(9)," "),CHAR(10)," "),CHAR(13)," "))),"")))</f>
        <v/>
      </c>
      <c r="ED838">
        <f>IF($DM838=0,"",MATCH(1,INDEX(EXACT($DH$5:DH838,$DH838)*$DM$5:DM838,0),0))</f>
        <v/>
      </c>
      <c r="EE838">
        <f>IF($DM838=0,0,IF($ED838=$DE838,1,0))</f>
        <v/>
      </c>
      <c r="EF838">
        <f>EF837+$EE838</f>
        <v/>
      </c>
      <c r="EG838">
        <f>IF($DM838=0,"",INDEX($EF$5:$EF$1003,$ED838))</f>
        <v/>
      </c>
      <c r="EH838">
        <f>IF($DM838=0,"",IF($DO838&lt;&gt;"","",IFERROR(LOOKUP(2,1/(($EG$4:EG837=$EG838)*($DO$4:DO837&lt;&gt;"")),$DO$4:DO837),"")))</f>
        <v/>
      </c>
      <c r="EI838">
        <f>IF($DM838=0,"",IF($DO838&lt;&gt;"",$DO838,$EH838))</f>
        <v/>
      </c>
      <c r="EJ838">
        <f>IF($DM838=0,"",IF($EI838="",0,IF(OR(ISNUMBER($EI838),AND(AND(SUBSTITUTE(SUBSTITUTE(SUBSTITUTE(SUBSTITUTE(SUBSTITUTE(SUBSTITUTE(SUBSTITUTE(SUBSTITUTE(SUBSTITUTE(SUBSTITUTE(SUBSTITUTE(SUBSTITUTE(SUBSTITUTE(SUBSTITUTE(UPPER($EI838),"0",""),"1",""),"2",""),"3",""),"4",""),"5",""),"6",""),"7",""),"8",""),"9",""),".",""),"+",""),"-",""),"E","")="",LEN(SUBSTITUTE(SUBSTITUTE(MID(UPPER($EI838),1+OR(LEFT(UPPER($EI838),1)="+",LEFT(UPPER($EI838),1)="-"),999),"E+","E"),"E-","E"))=LEN(SUBSTITUTE(SUBSTITUTE(SUBSTITUTE(SUBSTITUTE(MID(UPPER($EI838),1+OR(LEFT(UPPER($EI838),1)="+",LEFT(UPPER($EI838),1)="-"),999),"E+","E"),"E-","E"),"+",""),"-","")),LEN(UPPER($EI838))-LEN(SUBSTITUTE(UPPER($EI838),"E",""))&lt;2,LEN(UPPER($EI838))-LEN(SUBSTITUTE(UPPER($EI838),".",""))&lt;2,IFERROR(FIND(".",UPPER($EI838)),0)&lt;IFERROR(FIND("E",UPPER($EI838)),999)),ISNUMBER(VALUE($EI838)))),1,2)))</f>
        <v/>
      </c>
      <c r="EK838">
        <f>IF($DM838=0,"",IF($EJ838=1,IF(ISNUMBER($EI838),$EI838,VALUE($EI838)),IF($EJ838=2,$DE838,0)))</f>
        <v/>
      </c>
      <c r="EL838">
        <f>IF($DM838=0,"",COUNTIF($EG$5:$EG$1003,"&lt;"&amp;$EG838)+SUMPRODUCT(($EG$5:$EG$1003=$EG838)*(($EJ$5:$EJ$1003&lt;$EJ838)+($EJ$5:$EJ$1003=$EJ838)*(($EK$5:$EK$1003&lt;$EK838)+($EK$5:$EK$1003=$EK838)*($DE$5:$DE$1003&lt;$DE838))))+1)</f>
        <v/>
      </c>
      <c r="EM838">
        <f>IF($DM838=0,"",$EL838+$EG838-1)</f>
        <v/>
      </c>
      <c r="EN838">
        <f>IF($DM838=0,0,IFERROR(MATCH(1,INDEX(--(TRIM(SUBSTITUTE(SUBSTITUTE(SUBSTITUTE(SUBSTITUTE(LINES_NAME&amp;""," "," "),CHAR(9)," "),CHAR(10)," "),CHAR(13)," "))=$DH838),0),0),0))</f>
        <v/>
      </c>
      <c r="EO838">
        <f>IF($EN838=0,0,IF(OR(UPPER(TRIM(INDEX(LINES_SCHEDULED,$EN838)&amp;""))="YES",UPPER(TRIM(INDEX(LINES_SCHEDULED,$EN838)&amp;""))="Y",UPPER(TRIM(INDEX(LINES_SCHEDULED,$EN838)&amp;""))="X"),1,0))</f>
        <v/>
      </c>
      <c r="EP838">
        <f>IF($DM838=0,"",IF(COUNTIFS($EG$5:$EG$1003,$EG838,$EB$5:$EB$1003,"Ready")&gt;0,"READY",IF(COUNTIFS($EG$5:$EG$1003,$EG838,$EB$5:$EB$1003,"PM")&gt;0,"PM",IF(COUNTIFS($EG$5:$EG$1003,$EG838,$EB$5:$EB$1003,"OT")&gt;0,"OT",""))))</f>
        <v/>
      </c>
      <c r="EQ838">
        <f>IF($EN838=0,"",UPPER(TRIM(INDEX(LINES_STATUS,$EN838)&amp;"")))</f>
        <v/>
      </c>
      <c r="ER838">
        <f>IF($DM838=0,"",IF(OR($EQ838="READY",$EQ838="PM",$EQ838="OT"),$EQ838,$EP838))</f>
        <v/>
      </c>
      <c r="ES838">
        <f>IF($DM838=0,"",IF(AND($DV838&lt;&gt;"",UPPER($DV838)&lt;&gt;"N"),"allergen",IF(ISNUMBER(SEARCH("oil",$DQ838)),"oil",IF(OR(EXACT($DS838,"A662"),EXACT($DS838,"A624")),"bulk",""))))</f>
        <v/>
      </c>
      <c r="ET838">
        <f>IF($DM838=0,"",IF(OR($EA838="",$EA838=0),"",$EA838/100))</f>
        <v/>
      </c>
      <c r="EU838">
        <f>IF(OR($ET838="",$DY838=""),"",INT($DY838*(1-$ET838)+0.5))</f>
        <v/>
      </c>
    </row>
    <row r="839">
      <c r="DA839" t="n">
        <v>835</v>
      </c>
      <c r="DB839">
        <f>IF($B$37=0,"",IFERROR(TRIM(SUBSTITUTE(SUBSTITUTE(SUBSTITUTE(SUBSTITUTE(INDEX(PASTE_ALL,835,$B$37)," "," "),CHAR(9)," "),CHAR(10)," "),CHAR(13)," ")),""))</f>
        <v/>
      </c>
      <c r="DC839">
        <f>IF(AND(835&gt;HEADER_ROW,UPPER(DB839)="LEGEND"),1,0)</f>
        <v/>
      </c>
      <c r="DE839" t="n">
        <v>835</v>
      </c>
      <c r="DF839">
        <f>HEADER_ROW+$DE839</f>
        <v/>
      </c>
      <c r="DG839">
        <f>IF(AND($DF839&lt;=1000,$DF839&lt;$B$8),1,0)</f>
        <v/>
      </c>
      <c r="DH839">
        <f>IF($DG839=1,IFERROR(INDEX($DB$5:$DB$1004,$DF839),""),"")</f>
        <v/>
      </c>
      <c r="DI839">
        <f>IF(AND($DG839=1,$DH839&lt;&gt;""),IFERROR(SUBSTITUTE(SUBSTITUTE(TRIM(SUBSTITUTE(SUBSTITUTE(SUBSTITUTE(SUBSTITUTE(IFERROR(INDEX(PASTE_ALL,$DF839,1)&amp;"","")&amp;"␟"&amp;IFERROR(INDEX(PASTE_ALL,$DF839,2)&amp;"","")&amp;"␟"&amp;IFERROR(INDEX(PASTE_ALL,$DF839,3)&amp;"","")&amp;"␟"&amp;IFERROR(INDEX(PASTE_ALL,$DF839,4)&amp;"","")&amp;"␟"&amp;IFERROR(INDEX(PASTE_ALL,$DF839,5)&amp;"","")&amp;"␟"&amp;IFERROR(INDEX(PASTE_ALL,$DF839,6)&amp;"","")&amp;"␟"&amp;IFERROR(INDEX(PASTE_ALL,$DF839,7)&amp;"","")&amp;"␟"&amp;IFERROR(INDEX(PASTE_ALL,$DF839,8)&amp;"","")&amp;"␟"&amp;IFERROR(INDEX(PASTE_ALL,$DF839,9)&amp;"","")&amp;"␟"&amp;IFERROR(INDEX(PASTE_ALL,$DF839,10)&amp;"","")&amp;"␟"&amp;IFERROR(INDEX(PASTE_ALL,$DF839,11)&amp;"","")&amp;"␟"&amp;IFERROR(INDEX(PASTE_ALL,$DF839,12)&amp;"","")&amp;"␟"&amp;IFERROR(INDEX(PASTE_ALL,$DF839,13)&amp;"","")&amp;"␟"&amp;IFERROR(INDEX(PASTE_ALL,$DF839,14)&amp;"","")&amp;"␟"&amp;IFERROR(INDEX(PASTE_ALL,$DF839,15)&amp;"","")&amp;"␟"&amp;IFERROR(INDEX(PASTE_ALL,$DF839,16)&amp;"","")&amp;"␟"&amp;IFERROR(INDEX(PASTE_ALL,$DF839,17)&amp;"","")&amp;"␟"&amp;IFERROR(INDEX(PASTE_ALL,$DF839,18)&amp;"","")&amp;"␟"&amp;IFERROR(INDEX(PASTE_ALL,$DF839,19)&amp;"","")&amp;"␟"&amp;IFERROR(INDEX(PASTE_ALL,$DF839,20)&amp;"","")&amp;"␟"&amp;IFERROR(INDEX(PASTE_ALL,$DF839,21)&amp;"","")&amp;"␟"&amp;IFERROR(INDEX(PASTE_ALL,$DF839,22)&amp;"","")&amp;"␟"&amp;IFERROR(INDEX(PASTE_ALL,$DF839,23)&amp;"","")&amp;"␟"&amp;IFERROR(INDEX(PASTE_ALL,$DF839,24)&amp;"","")&amp;"␟"&amp;IFERROR(INDEX(PASTE_ALL,$DF839,25)&amp;"","")&amp;"␟"&amp;IFERROR(INDEX(PASTE_ALL,$DF839,26)&amp;"","")&amp;"␟"&amp;IFERROR(INDEX(PASTE_ALL,$DF839,27)&amp;"","")&amp;"␟"&amp;IFERROR(INDEX(PASTE_ALL,$DF839,28)&amp;"","")&amp;"␟"&amp;IFERROR(INDEX(PASTE_ALL,$DF839,29)&amp;"","")&amp;"␟"&amp;IFERROR(INDEX(PASTE_ALL,$DF839,30)&amp;"","")&amp;"␟"&amp;IFERROR(INDEX(PASTE_ALL,$DF839,31)&amp;"","")&amp;"␟"&amp;IFERROR(INDEX(PASTE_ALL,$DF839,32)&amp;"","")&amp;"␟"&amp;IFERROR(INDEX(PASTE_ALL,$DF839,33)&amp;"","")&amp;"␟"&amp;IFERROR(INDEX(PASTE_ALL,$DF839,34)&amp;"","")&amp;"␟"&amp;IFERROR(INDEX(PASTE_ALL,$DF839,35)&amp;"","")&amp;"␟"&amp;IFERROR(INDEX(PASTE_ALL,$DF839,36)&amp;"","")&amp;"␟"&amp;IFERROR(INDEX(PASTE_ALL,$DF839,37)&amp;"","")&amp;"␟"&amp;IFERROR(INDEX(PASTE_ALL,$DF839,38)&amp;"","")&amp;"␟"&amp;IFERROR(INDEX(PASTE_ALL,$DF839,39)&amp;"","")&amp;"␟"&amp;IFERROR(INDEX(PASTE_ALL,$DF839,40)&amp;"","")&amp;"␟"&amp;IFERROR(INDEX(PASTE_ALL,$DF839,41)&amp;"","")&amp;"␟"&amp;IFERROR(INDEX(PASTE_ALL,$DF839,42)&amp;"","")&amp;"␟"&amp;IFERROR(INDEX(PASTE_ALL,$DF839,43)&amp;"","")&amp;"␟"&amp;IFERROR(INDEX(PASTE_ALL,$DF839,44)&amp;"","")&amp;"␟"&amp;IFERROR(INDEX(PASTE_ALL,$DF839,45)&amp;"","")&amp;"␟"&amp;IFERROR(INDEX(PASTE_ALL,$DF839,46)&amp;"","")&amp;"␟"&amp;IFERROR(INDEX(PASTE_ALL,$DF839,47)&amp;"","")&amp;"␟"&amp;IFERROR(INDEX(PASTE_ALL,$DF839,48)&amp;"","")&amp;"␟"&amp;IFERROR(INDEX(PASTE_ALL,$DF839,49)&amp;"","")&amp;"␟"&amp;IFERROR(INDEX(PASTE_ALL,$DF839,50)&amp;"","")&amp;"␟"&amp;IFERROR(INDEX(PASTE_ALL,$DF839,51)&amp;"","")&amp;"␟"&amp;IFERROR(INDEX(PASTE_ALL,$DF839,52)&amp;"","")&amp;"␟"&amp;IFERROR(INDEX(PASTE_ALL,$DF839,53)&amp;"","")&amp;"␟"&amp;IFERROR(INDEX(PASTE_ALL,$DF839,54)&amp;"","")&amp;"␟"&amp;IFERROR(INDEX(PASTE_ALL,$DF839,55)&amp;"","")&amp;"␟"&amp;IFERROR(INDEX(PASTE_ALL,$DF839,56)&amp;"","")&amp;"␟"&amp;IFERROR(INDEX(PASTE_ALL,$DF839,57)&amp;"","")&amp;"␟"&amp;IFERROR(INDEX(PASTE_ALL,$DF839,58)&amp;"","")&amp;"␟"&amp;IFERROR(INDEX(PASTE_ALL,$DF839,59)&amp;"","")&amp;"␟"&amp;IFERROR(INDEX(PASTE_ALL,$DF839,60)&amp;"","")," "," "),CHAR(9)," "),CHAR(10)," "),CHAR(13)," "))," ␟","␟"),"␟ ","␟"),"#"&amp;$DE839),"")</f>
        <v/>
      </c>
      <c r="DJ839">
        <f>IF($DI839="",0,IF(SUMPRODUCT(--EXACT($DI$4:DI838,$DI839))&gt;0,1,0))</f>
        <v/>
      </c>
      <c r="DK839">
        <f>IF(AND($DI839&lt;&gt;"",$DJ839=0),1,0)</f>
        <v/>
      </c>
      <c r="DL839">
        <f>DL838+$DK839</f>
        <v/>
      </c>
      <c r="DM839">
        <f>IF(AND($DK839=1,$DL839&lt;=600),1,0)</f>
        <v/>
      </c>
      <c r="DN839">
        <f>IF($DM839=0,"",IF($L$6=0,"",IFERROR(IF(ISNUMBER(INDEX(PASTE_ALL,$DF839,$L$6)),INDEX(PASTE_ALL,$DF839,$L$6),TRIM(SUBSTITUTE(SUBSTITUTE(SUBSTITUTE(SUBSTITUTE(INDEX(PASTE_ALL,$DF839,$L$6)," "," "),CHAR(9)," "),CHAR(10)," "),CHAR(13)," "))),"")))</f>
        <v/>
      </c>
      <c r="DO839">
        <f>IF($DM839=0,"",IF($L$7=0,"",IFERROR(IF(ISNUMBER(INDEX(PASTE_ALL,$DF839,$L$7)),INDEX(PASTE_ALL,$DF839,$L$7),TRIM(SUBSTITUTE(SUBSTITUTE(SUBSTITUTE(SUBSTITUTE(INDEX(PASTE_ALL,$DF839,$L$7)," "," "),CHAR(9)," "),CHAR(10)," "),CHAR(13)," "))),"")))</f>
        <v/>
      </c>
      <c r="DP839">
        <f>IF($DM839=0,"",IF($L$8=0,"",IFERROR(IF(ISNUMBER(INDEX(PASTE_ALL,$DF839,$L$8)),INDEX(PASTE_ALL,$DF839,$L$8),TRIM(SUBSTITUTE(SUBSTITUTE(SUBSTITUTE(SUBSTITUTE(INDEX(PASTE_ALL,$DF839,$L$8)," "," "),CHAR(9)," "),CHAR(10)," "),CHAR(13)," "))),"")))</f>
        <v/>
      </c>
      <c r="DQ839">
        <f>IF($DM839=0,"",IF($L$9=0,"",IFERROR(IF(ISNUMBER(INDEX(PASTE_ALL,$DF839,$L$9)),INDEX(PASTE_ALL,$DF839,$L$9),TRIM(SUBSTITUTE(SUBSTITUTE(SUBSTITUTE(SUBSTITUTE(INDEX(PASTE_ALL,$DF839,$L$9)," "," "),CHAR(9)," "),CHAR(10)," "),CHAR(13)," "))),"")))</f>
        <v/>
      </c>
      <c r="DR839">
        <f>IF($DM839=0,"",IF($L$10=0,"",IFERROR(IF(ISNUMBER(INDEX(PASTE_ALL,$DF839,$L$10)),INDEX(PASTE_ALL,$DF839,$L$10),TRIM(SUBSTITUTE(SUBSTITUTE(SUBSTITUTE(SUBSTITUTE(INDEX(PASTE_ALL,$DF839,$L$10)," "," "),CHAR(9)," "),CHAR(10)," "),CHAR(13)," "))),"")))</f>
        <v/>
      </c>
      <c r="DS839">
        <f>IF($DM839=0,"",IF($L$11=0,"",IFERROR(IF(ISNUMBER(INDEX(PASTE_ALL,$DF839,$L$11)),INDEX(PASTE_ALL,$DF839,$L$11),TRIM(SUBSTITUTE(SUBSTITUTE(SUBSTITUTE(SUBSTITUTE(INDEX(PASTE_ALL,$DF839,$L$11)," "," "),CHAR(9)," "),CHAR(10)," "),CHAR(13)," "))),"")))</f>
        <v/>
      </c>
      <c r="DT839">
        <f>IF($DM839=0,"",IF($L$12=0,"",IFERROR(IF(ISNUMBER(INDEX(PASTE_ALL,$DF839,$L$12)),INDEX(PASTE_ALL,$DF839,$L$12),TRIM(SUBSTITUTE(SUBSTITUTE(SUBSTITUTE(SUBSTITUTE(INDEX(PASTE_ALL,$DF839,$L$12)," "," "),CHAR(9)," "),CHAR(10)," "),CHAR(13)," "))),"")))</f>
        <v/>
      </c>
      <c r="DU839">
        <f>IF($DM839=0,"",IF($L$13=0,"",IFERROR(IF(ISNUMBER(INDEX(PASTE_ALL,$DF839,$L$13)),INDEX(PASTE_ALL,$DF839,$L$13),TRIM(SUBSTITUTE(SUBSTITUTE(SUBSTITUTE(SUBSTITUTE(INDEX(PASTE_ALL,$DF839,$L$13)," "," "),CHAR(9)," "),CHAR(10)," "),CHAR(13)," "))),"")))</f>
        <v/>
      </c>
      <c r="DV839">
        <f>IF($DM839=0,"",IF($L$14=0,"",IFERROR(IF(ISNUMBER(INDEX(PASTE_ALL,$DF839,$L$14)),INDEX(PASTE_ALL,$DF839,$L$14),TRIM(SUBSTITUTE(SUBSTITUTE(SUBSTITUTE(SUBSTITUTE(INDEX(PASTE_ALL,$DF839,$L$14)," "," "),CHAR(9)," "),CHAR(10)," "),CHAR(13)," "))),"")))</f>
        <v/>
      </c>
      <c r="DW839">
        <f>IF($DM839=0,"",IF($L$15=0,"",IFERROR(IF(ISNUMBER(INDEX(PASTE_ALL,$DF839,$L$15)),INDEX(PASTE_ALL,$DF839,$L$15),IF(SUMPRODUCT(--ISNUMBER(FIND({"A","B","C","D","E","F","G","H","I","J","K","L","M","N","O","P","Q","R","S","T","U","V","W","X","Y","Z","0","1","2","3","4","5","6","7","8","9"},UPPER(TRIM(SUBSTITUTE(SUBSTITUTE(SUBSTITUTE(SUBSTITUTE(INDEX(PASTE_ALL,$DF839,$L$15)," "," "),CHAR(9)," "),CHAR(10)," "),CHAR(13)," "))))))&gt;0,TRIM(SUBSTITUTE(SUBSTITUTE(SUBSTITUTE(SUBSTITUTE(INDEX(PASTE_ALL,$DF839,$L$15)," "," "),CHAR(9)," "),CHAR(10)," "),CHAR(13)," ")),"")),"")))</f>
        <v/>
      </c>
      <c r="DX839">
        <f>IF($DM839=0,"",IF($L$16=0,"",IFERROR(IF(ISNUMBER(INDEX(PASTE_ALL,$DF839,$L$16)),INDEX(PASTE_ALL,$DF839,$L$16),SUBSTITUTE(SUBSTITUTE(TRIM(SUBSTITUTE(SUBSTITUTE(SUBSTITUTE(SUBSTITUTE(INDEX(PASTE_ALL,$DF839,$L$16)," "," "),CHAR(9)," "),CHAR(10)," "),CHAR(13)," ")),",",""),"%","")),"")))</f>
        <v/>
      </c>
      <c r="DY839">
        <f>IF($DM839=0,"",IFERROR(IF(ISNUMBER($DX839),$DX839,IF($DX839="","",IF(TRIM($DX839)="",0,IF(AND(AND(SUBSTITUTE(SUBSTITUTE(SUBSTITUTE(SUBSTITUTE(SUBSTITUTE(SUBSTITUTE(SUBSTITUTE(SUBSTITUTE(SUBSTITUTE(SUBSTITUTE(SUBSTITUTE(SUBSTITUTE(SUBSTITUTE(SUBSTITUTE(UPPER(TRIM($DX839)),"0",""),"1",""),"2",""),"3",""),"4",""),"5",""),"6",""),"7",""),"8",""),"9",""),".",""),"+",""),"-",""),"E","")="",LEN(SUBSTITUTE(SUBSTITUTE(MID(UPPER(TRIM($DX839)),1+OR(LEFT(UPPER(TRIM($DX839)),1)="+",LEFT(UPPER(TRIM($DX839)),1)="-"),999),"E+","E"),"E-","E"))=LEN(SUBSTITUTE(SUBSTITUTE(SUBSTITUTE(SUBSTITUTE(MID(UPPER(TRIM($DX839)),1+OR(LEFT(UPPER(TRIM($DX839)),1)="+",LEFT(UPPER(TRIM($DX839)),1)="-"),999),"E+","E"),"E-","E"),"+",""),"-","")),LEN(UPPER(TRIM($DX839)))-LEN(SUBSTITUTE(UPPER(TRIM($DX839)),"E",""))&lt;2,LEN(UPPER(TRIM($DX839)))-LEN(SUBSTITUTE(UPPER(TRIM($DX839)),".",""))&lt;2,IFERROR(FIND(".",UPPER(TRIM($DX839))),0)&lt;IFERROR(FIND("E",UPPER(TRIM($DX839))),999)),ISNUMBER(VALUE(TRIM($DX839)))),VALUE(TRIM($DX839)),"")))),""))</f>
        <v/>
      </c>
      <c r="DZ839">
        <f>IF($DM839=0,"",IF($L$17=0,"",IFERROR(IF(ISNUMBER(INDEX(PASTE_ALL,$DF839,$L$17)),INDEX(PASTE_ALL,$DF839,$L$17),SUBSTITUTE(SUBSTITUTE(TRIM(SUBSTITUTE(SUBSTITUTE(SUBSTITUTE(SUBSTITUTE(INDEX(PASTE_ALL,$DF839,$L$17)," "," "),CHAR(9)," "),CHAR(10)," "),CHAR(13)," ")),",",""),"%","")),"")))</f>
        <v/>
      </c>
      <c r="EA839">
        <f>IF($DM839=0,"",IFERROR(IF(ISNUMBER($DZ839),$DZ839,IF($DZ839="","",IF(TRIM($DZ839)="",0,IF(AND(AND(SUBSTITUTE(SUBSTITUTE(SUBSTITUTE(SUBSTITUTE(SUBSTITUTE(SUBSTITUTE(SUBSTITUTE(SUBSTITUTE(SUBSTITUTE(SUBSTITUTE(SUBSTITUTE(SUBSTITUTE(SUBSTITUTE(SUBSTITUTE(UPPER(TRIM($DZ839)),"0",""),"1",""),"2",""),"3",""),"4",""),"5",""),"6",""),"7",""),"8",""),"9",""),".",""),"+",""),"-",""),"E","")="",LEN(SUBSTITUTE(SUBSTITUTE(MID(UPPER(TRIM($DZ839)),1+OR(LEFT(UPPER(TRIM($DZ839)),1)="+",LEFT(UPPER(TRIM($DZ839)),1)="-"),999),"E+","E"),"E-","E"))=LEN(SUBSTITUTE(SUBSTITUTE(SUBSTITUTE(SUBSTITUTE(MID(UPPER(TRIM($DZ839)),1+OR(LEFT(UPPER(TRIM($DZ839)),1)="+",LEFT(UPPER(TRIM($DZ839)),1)="-"),999),"E+","E"),"E-","E"),"+",""),"-","")),LEN(UPPER(TRIM($DZ839)))-LEN(SUBSTITUTE(UPPER(TRIM($DZ839)),"E",""))&lt;2,LEN(UPPER(TRIM($DZ839)))-LEN(SUBSTITUTE(UPPER(TRIM($DZ839)),".",""))&lt;2,IFERROR(FIND(".",UPPER(TRIM($DZ839))),0)&lt;IFERROR(FIND("E",UPPER(TRIM($DZ839))),999)),ISNUMBER(VALUE(TRIM($DZ839)))),VALUE(TRIM($DZ839)),"")))),""))</f>
        <v/>
      </c>
      <c r="EB839">
        <f>IF($DM839=0,"",IF($L$18=0,"",IFERROR(IF(UPPER(TRIM(SUBSTITUTE(SUBSTITUTE(SUBSTITUTE(SUBSTITUTE(INDEX(PASTE_ALL,$DF839,$L$18)," "," "),CHAR(9)," "),CHAR(10)," "),CHAR(13)," ")))="READY","Ready",IF(UPPER(TRIM(SUBSTITUTE(SUBSTITUTE(SUBSTITUTE(SUBSTITUTE(INDEX(PASTE_ALL,$DF839,$L$18)," "," "),CHAR(9)," "),CHAR(10)," "),CHAR(13)," ")))="PM","PM",IF(OR(UPPER(TRIM(SUBSTITUTE(SUBSTITUTE(SUBSTITUTE(SUBSTITUTE(INDEX(PASTE_ALL,$DF839,$L$18)," "," "),CHAR(9)," "),CHAR(10)," "),CHAR(13)," ")))="OT",UPPER(TRIM(SUBSTITUTE(SUBSTITUTE(SUBSTITUTE(SUBSTITUTE(INDEX(PASTE_ALL,$DF839,$L$18)," "," "),CHAR(9)," "),CHAR(10)," "),CHAR(13)," ")))="OVERTIME",UPPER(TRIM(SUBSTITUTE(SUBSTITUTE(SUBSTITUTE(SUBSTITUTE(INDEX(PASTE_ALL,$DF839,$L$18)," "," "),CHAR(9)," "),CHAR(10)," "),CHAR(13)," ")))="TRIAL"),"OT",TRIM(SUBSTITUTE(SUBSTITUTE(SUBSTITUTE(SUBSTITUTE(INDEX(PASTE_ALL,$DF839,$L$18)," "," "),CHAR(9)," "),CHAR(10)," "),CHAR(13)," "))))),"")))</f>
        <v/>
      </c>
      <c r="EC839">
        <f>IF($DM839=0,"",IF($L$19=0,"",IFERROR(IF(ISNUMBER(INDEX(PASTE_ALL,$DF839,$L$19)),INDEX(PASTE_ALL,$DF839,$L$19),TRIM(SUBSTITUTE(SUBSTITUTE(SUBSTITUTE(SUBSTITUTE(INDEX(PASTE_ALL,$DF839,$L$19)," "," "),CHAR(9)," "),CHAR(10)," "),CHAR(13)," "))),"")))</f>
        <v/>
      </c>
      <c r="ED839">
        <f>IF($DM839=0,"",MATCH(1,INDEX(EXACT($DH$5:DH839,$DH839)*$DM$5:DM839,0),0))</f>
        <v/>
      </c>
      <c r="EE839">
        <f>IF($DM839=0,0,IF($ED839=$DE839,1,0))</f>
        <v/>
      </c>
      <c r="EF839">
        <f>EF838+$EE839</f>
        <v/>
      </c>
      <c r="EG839">
        <f>IF($DM839=0,"",INDEX($EF$5:$EF$1003,$ED839))</f>
        <v/>
      </c>
      <c r="EH839">
        <f>IF($DM839=0,"",IF($DO839&lt;&gt;"","",IFERROR(LOOKUP(2,1/(($EG$4:EG838=$EG839)*($DO$4:DO838&lt;&gt;"")),$DO$4:DO838),"")))</f>
        <v/>
      </c>
      <c r="EI839">
        <f>IF($DM839=0,"",IF($DO839&lt;&gt;"",$DO839,$EH839))</f>
        <v/>
      </c>
      <c r="EJ839">
        <f>IF($DM839=0,"",IF($EI839="",0,IF(OR(ISNUMBER($EI839),AND(AND(SUBSTITUTE(SUBSTITUTE(SUBSTITUTE(SUBSTITUTE(SUBSTITUTE(SUBSTITUTE(SUBSTITUTE(SUBSTITUTE(SUBSTITUTE(SUBSTITUTE(SUBSTITUTE(SUBSTITUTE(SUBSTITUTE(SUBSTITUTE(UPPER($EI839),"0",""),"1",""),"2",""),"3",""),"4",""),"5",""),"6",""),"7",""),"8",""),"9",""),".",""),"+",""),"-",""),"E","")="",LEN(SUBSTITUTE(SUBSTITUTE(MID(UPPER($EI839),1+OR(LEFT(UPPER($EI839),1)="+",LEFT(UPPER($EI839),1)="-"),999),"E+","E"),"E-","E"))=LEN(SUBSTITUTE(SUBSTITUTE(SUBSTITUTE(SUBSTITUTE(MID(UPPER($EI839),1+OR(LEFT(UPPER($EI839),1)="+",LEFT(UPPER($EI839),1)="-"),999),"E+","E"),"E-","E"),"+",""),"-","")),LEN(UPPER($EI839))-LEN(SUBSTITUTE(UPPER($EI839),"E",""))&lt;2,LEN(UPPER($EI839))-LEN(SUBSTITUTE(UPPER($EI839),".",""))&lt;2,IFERROR(FIND(".",UPPER($EI839)),0)&lt;IFERROR(FIND("E",UPPER($EI839)),999)),ISNUMBER(VALUE($EI839)))),1,2)))</f>
        <v/>
      </c>
      <c r="EK839">
        <f>IF($DM839=0,"",IF($EJ839=1,IF(ISNUMBER($EI839),$EI839,VALUE($EI839)),IF($EJ839=2,$DE839,0)))</f>
        <v/>
      </c>
      <c r="EL839">
        <f>IF($DM839=0,"",COUNTIF($EG$5:$EG$1003,"&lt;"&amp;$EG839)+SUMPRODUCT(($EG$5:$EG$1003=$EG839)*(($EJ$5:$EJ$1003&lt;$EJ839)+($EJ$5:$EJ$1003=$EJ839)*(($EK$5:$EK$1003&lt;$EK839)+($EK$5:$EK$1003=$EK839)*($DE$5:$DE$1003&lt;$DE839))))+1)</f>
        <v/>
      </c>
      <c r="EM839">
        <f>IF($DM839=0,"",$EL839+$EG839-1)</f>
        <v/>
      </c>
      <c r="EN839">
        <f>IF($DM839=0,0,IFERROR(MATCH(1,INDEX(--(TRIM(SUBSTITUTE(SUBSTITUTE(SUBSTITUTE(SUBSTITUTE(LINES_NAME&amp;""," "," "),CHAR(9)," "),CHAR(10)," "),CHAR(13)," "))=$DH839),0),0),0))</f>
        <v/>
      </c>
      <c r="EO839">
        <f>IF($EN839=0,0,IF(OR(UPPER(TRIM(INDEX(LINES_SCHEDULED,$EN839)&amp;""))="YES",UPPER(TRIM(INDEX(LINES_SCHEDULED,$EN839)&amp;""))="Y",UPPER(TRIM(INDEX(LINES_SCHEDULED,$EN839)&amp;""))="X"),1,0))</f>
        <v/>
      </c>
      <c r="EP839">
        <f>IF($DM839=0,"",IF(COUNTIFS($EG$5:$EG$1003,$EG839,$EB$5:$EB$1003,"Ready")&gt;0,"READY",IF(COUNTIFS($EG$5:$EG$1003,$EG839,$EB$5:$EB$1003,"PM")&gt;0,"PM",IF(COUNTIFS($EG$5:$EG$1003,$EG839,$EB$5:$EB$1003,"OT")&gt;0,"OT",""))))</f>
        <v/>
      </c>
      <c r="EQ839">
        <f>IF($EN839=0,"",UPPER(TRIM(INDEX(LINES_STATUS,$EN839)&amp;"")))</f>
        <v/>
      </c>
      <c r="ER839">
        <f>IF($DM839=0,"",IF(OR($EQ839="READY",$EQ839="PM",$EQ839="OT"),$EQ839,$EP839))</f>
        <v/>
      </c>
      <c r="ES839">
        <f>IF($DM839=0,"",IF(AND($DV839&lt;&gt;"",UPPER($DV839)&lt;&gt;"N"),"allergen",IF(ISNUMBER(SEARCH("oil",$DQ839)),"oil",IF(OR(EXACT($DS839,"A662"),EXACT($DS839,"A624")),"bulk",""))))</f>
        <v/>
      </c>
      <c r="ET839">
        <f>IF($DM839=0,"",IF(OR($EA839="",$EA839=0),"",$EA839/100))</f>
        <v/>
      </c>
      <c r="EU839">
        <f>IF(OR($ET839="",$DY839=""),"",INT($DY839*(1-$ET839)+0.5))</f>
        <v/>
      </c>
    </row>
    <row r="840">
      <c r="DA840" t="n">
        <v>836</v>
      </c>
      <c r="DB840">
        <f>IF($B$37=0,"",IFERROR(TRIM(SUBSTITUTE(SUBSTITUTE(SUBSTITUTE(SUBSTITUTE(INDEX(PASTE_ALL,836,$B$37)," "," "),CHAR(9)," "),CHAR(10)," "),CHAR(13)," ")),""))</f>
        <v/>
      </c>
      <c r="DC840">
        <f>IF(AND(836&gt;HEADER_ROW,UPPER(DB840)="LEGEND"),1,0)</f>
        <v/>
      </c>
      <c r="DE840" t="n">
        <v>836</v>
      </c>
      <c r="DF840">
        <f>HEADER_ROW+$DE840</f>
        <v/>
      </c>
      <c r="DG840">
        <f>IF(AND($DF840&lt;=1000,$DF840&lt;$B$8),1,0)</f>
        <v/>
      </c>
      <c r="DH840">
        <f>IF($DG840=1,IFERROR(INDEX($DB$5:$DB$1004,$DF840),""),"")</f>
        <v/>
      </c>
      <c r="DI840">
        <f>IF(AND($DG840=1,$DH840&lt;&gt;""),IFERROR(SUBSTITUTE(SUBSTITUTE(TRIM(SUBSTITUTE(SUBSTITUTE(SUBSTITUTE(SUBSTITUTE(IFERROR(INDEX(PASTE_ALL,$DF840,1)&amp;"","")&amp;"␟"&amp;IFERROR(INDEX(PASTE_ALL,$DF840,2)&amp;"","")&amp;"␟"&amp;IFERROR(INDEX(PASTE_ALL,$DF840,3)&amp;"","")&amp;"␟"&amp;IFERROR(INDEX(PASTE_ALL,$DF840,4)&amp;"","")&amp;"␟"&amp;IFERROR(INDEX(PASTE_ALL,$DF840,5)&amp;"","")&amp;"␟"&amp;IFERROR(INDEX(PASTE_ALL,$DF840,6)&amp;"","")&amp;"␟"&amp;IFERROR(INDEX(PASTE_ALL,$DF840,7)&amp;"","")&amp;"␟"&amp;IFERROR(INDEX(PASTE_ALL,$DF840,8)&amp;"","")&amp;"␟"&amp;IFERROR(INDEX(PASTE_ALL,$DF840,9)&amp;"","")&amp;"␟"&amp;IFERROR(INDEX(PASTE_ALL,$DF840,10)&amp;"","")&amp;"␟"&amp;IFERROR(INDEX(PASTE_ALL,$DF840,11)&amp;"","")&amp;"␟"&amp;IFERROR(INDEX(PASTE_ALL,$DF840,12)&amp;"","")&amp;"␟"&amp;IFERROR(INDEX(PASTE_ALL,$DF840,13)&amp;"","")&amp;"␟"&amp;IFERROR(INDEX(PASTE_ALL,$DF840,14)&amp;"","")&amp;"␟"&amp;IFERROR(INDEX(PASTE_ALL,$DF840,15)&amp;"","")&amp;"␟"&amp;IFERROR(INDEX(PASTE_ALL,$DF840,16)&amp;"","")&amp;"␟"&amp;IFERROR(INDEX(PASTE_ALL,$DF840,17)&amp;"","")&amp;"␟"&amp;IFERROR(INDEX(PASTE_ALL,$DF840,18)&amp;"","")&amp;"␟"&amp;IFERROR(INDEX(PASTE_ALL,$DF840,19)&amp;"","")&amp;"␟"&amp;IFERROR(INDEX(PASTE_ALL,$DF840,20)&amp;"","")&amp;"␟"&amp;IFERROR(INDEX(PASTE_ALL,$DF840,21)&amp;"","")&amp;"␟"&amp;IFERROR(INDEX(PASTE_ALL,$DF840,22)&amp;"","")&amp;"␟"&amp;IFERROR(INDEX(PASTE_ALL,$DF840,23)&amp;"","")&amp;"␟"&amp;IFERROR(INDEX(PASTE_ALL,$DF840,24)&amp;"","")&amp;"␟"&amp;IFERROR(INDEX(PASTE_ALL,$DF840,25)&amp;"","")&amp;"␟"&amp;IFERROR(INDEX(PASTE_ALL,$DF840,26)&amp;"","")&amp;"␟"&amp;IFERROR(INDEX(PASTE_ALL,$DF840,27)&amp;"","")&amp;"␟"&amp;IFERROR(INDEX(PASTE_ALL,$DF840,28)&amp;"","")&amp;"␟"&amp;IFERROR(INDEX(PASTE_ALL,$DF840,29)&amp;"","")&amp;"␟"&amp;IFERROR(INDEX(PASTE_ALL,$DF840,30)&amp;"","")&amp;"␟"&amp;IFERROR(INDEX(PASTE_ALL,$DF840,31)&amp;"","")&amp;"␟"&amp;IFERROR(INDEX(PASTE_ALL,$DF840,32)&amp;"","")&amp;"␟"&amp;IFERROR(INDEX(PASTE_ALL,$DF840,33)&amp;"","")&amp;"␟"&amp;IFERROR(INDEX(PASTE_ALL,$DF840,34)&amp;"","")&amp;"␟"&amp;IFERROR(INDEX(PASTE_ALL,$DF840,35)&amp;"","")&amp;"␟"&amp;IFERROR(INDEX(PASTE_ALL,$DF840,36)&amp;"","")&amp;"␟"&amp;IFERROR(INDEX(PASTE_ALL,$DF840,37)&amp;"","")&amp;"␟"&amp;IFERROR(INDEX(PASTE_ALL,$DF840,38)&amp;"","")&amp;"␟"&amp;IFERROR(INDEX(PASTE_ALL,$DF840,39)&amp;"","")&amp;"␟"&amp;IFERROR(INDEX(PASTE_ALL,$DF840,40)&amp;"","")&amp;"␟"&amp;IFERROR(INDEX(PASTE_ALL,$DF840,41)&amp;"","")&amp;"␟"&amp;IFERROR(INDEX(PASTE_ALL,$DF840,42)&amp;"","")&amp;"␟"&amp;IFERROR(INDEX(PASTE_ALL,$DF840,43)&amp;"","")&amp;"␟"&amp;IFERROR(INDEX(PASTE_ALL,$DF840,44)&amp;"","")&amp;"␟"&amp;IFERROR(INDEX(PASTE_ALL,$DF840,45)&amp;"","")&amp;"␟"&amp;IFERROR(INDEX(PASTE_ALL,$DF840,46)&amp;"","")&amp;"␟"&amp;IFERROR(INDEX(PASTE_ALL,$DF840,47)&amp;"","")&amp;"␟"&amp;IFERROR(INDEX(PASTE_ALL,$DF840,48)&amp;"","")&amp;"␟"&amp;IFERROR(INDEX(PASTE_ALL,$DF840,49)&amp;"","")&amp;"␟"&amp;IFERROR(INDEX(PASTE_ALL,$DF840,50)&amp;"","")&amp;"␟"&amp;IFERROR(INDEX(PASTE_ALL,$DF840,51)&amp;"","")&amp;"␟"&amp;IFERROR(INDEX(PASTE_ALL,$DF840,52)&amp;"","")&amp;"␟"&amp;IFERROR(INDEX(PASTE_ALL,$DF840,53)&amp;"","")&amp;"␟"&amp;IFERROR(INDEX(PASTE_ALL,$DF840,54)&amp;"","")&amp;"␟"&amp;IFERROR(INDEX(PASTE_ALL,$DF840,55)&amp;"","")&amp;"␟"&amp;IFERROR(INDEX(PASTE_ALL,$DF840,56)&amp;"","")&amp;"␟"&amp;IFERROR(INDEX(PASTE_ALL,$DF840,57)&amp;"","")&amp;"␟"&amp;IFERROR(INDEX(PASTE_ALL,$DF840,58)&amp;"","")&amp;"␟"&amp;IFERROR(INDEX(PASTE_ALL,$DF840,59)&amp;"","")&amp;"␟"&amp;IFERROR(INDEX(PASTE_ALL,$DF840,60)&amp;"","")," "," "),CHAR(9)," "),CHAR(10)," "),CHAR(13)," "))," ␟","␟"),"␟ ","␟"),"#"&amp;$DE840),"")</f>
        <v/>
      </c>
      <c r="DJ840">
        <f>IF($DI840="",0,IF(SUMPRODUCT(--EXACT($DI$4:DI839,$DI840))&gt;0,1,0))</f>
        <v/>
      </c>
      <c r="DK840">
        <f>IF(AND($DI840&lt;&gt;"",$DJ840=0),1,0)</f>
        <v/>
      </c>
      <c r="DL840">
        <f>DL839+$DK840</f>
        <v/>
      </c>
      <c r="DM840">
        <f>IF(AND($DK840=1,$DL840&lt;=600),1,0)</f>
        <v/>
      </c>
      <c r="DN840">
        <f>IF($DM840=0,"",IF($L$6=0,"",IFERROR(IF(ISNUMBER(INDEX(PASTE_ALL,$DF840,$L$6)),INDEX(PASTE_ALL,$DF840,$L$6),TRIM(SUBSTITUTE(SUBSTITUTE(SUBSTITUTE(SUBSTITUTE(INDEX(PASTE_ALL,$DF840,$L$6)," "," "),CHAR(9)," "),CHAR(10)," "),CHAR(13)," "))),"")))</f>
        <v/>
      </c>
      <c r="DO840">
        <f>IF($DM840=0,"",IF($L$7=0,"",IFERROR(IF(ISNUMBER(INDEX(PASTE_ALL,$DF840,$L$7)),INDEX(PASTE_ALL,$DF840,$L$7),TRIM(SUBSTITUTE(SUBSTITUTE(SUBSTITUTE(SUBSTITUTE(INDEX(PASTE_ALL,$DF840,$L$7)," "," "),CHAR(9)," "),CHAR(10)," "),CHAR(13)," "))),"")))</f>
        <v/>
      </c>
      <c r="DP840">
        <f>IF($DM840=0,"",IF($L$8=0,"",IFERROR(IF(ISNUMBER(INDEX(PASTE_ALL,$DF840,$L$8)),INDEX(PASTE_ALL,$DF840,$L$8),TRIM(SUBSTITUTE(SUBSTITUTE(SUBSTITUTE(SUBSTITUTE(INDEX(PASTE_ALL,$DF840,$L$8)," "," "),CHAR(9)," "),CHAR(10)," "),CHAR(13)," "))),"")))</f>
        <v/>
      </c>
      <c r="DQ840">
        <f>IF($DM840=0,"",IF($L$9=0,"",IFERROR(IF(ISNUMBER(INDEX(PASTE_ALL,$DF840,$L$9)),INDEX(PASTE_ALL,$DF840,$L$9),TRIM(SUBSTITUTE(SUBSTITUTE(SUBSTITUTE(SUBSTITUTE(INDEX(PASTE_ALL,$DF840,$L$9)," "," "),CHAR(9)," "),CHAR(10)," "),CHAR(13)," "))),"")))</f>
        <v/>
      </c>
      <c r="DR840">
        <f>IF($DM840=0,"",IF($L$10=0,"",IFERROR(IF(ISNUMBER(INDEX(PASTE_ALL,$DF840,$L$10)),INDEX(PASTE_ALL,$DF840,$L$10),TRIM(SUBSTITUTE(SUBSTITUTE(SUBSTITUTE(SUBSTITUTE(INDEX(PASTE_ALL,$DF840,$L$10)," "," "),CHAR(9)," "),CHAR(10)," "),CHAR(13)," "))),"")))</f>
        <v/>
      </c>
      <c r="DS840">
        <f>IF($DM840=0,"",IF($L$11=0,"",IFERROR(IF(ISNUMBER(INDEX(PASTE_ALL,$DF840,$L$11)),INDEX(PASTE_ALL,$DF840,$L$11),TRIM(SUBSTITUTE(SUBSTITUTE(SUBSTITUTE(SUBSTITUTE(INDEX(PASTE_ALL,$DF840,$L$11)," "," "),CHAR(9)," "),CHAR(10)," "),CHAR(13)," "))),"")))</f>
        <v/>
      </c>
      <c r="DT840">
        <f>IF($DM840=0,"",IF($L$12=0,"",IFERROR(IF(ISNUMBER(INDEX(PASTE_ALL,$DF840,$L$12)),INDEX(PASTE_ALL,$DF840,$L$12),TRIM(SUBSTITUTE(SUBSTITUTE(SUBSTITUTE(SUBSTITUTE(INDEX(PASTE_ALL,$DF840,$L$12)," "," "),CHAR(9)," "),CHAR(10)," "),CHAR(13)," "))),"")))</f>
        <v/>
      </c>
      <c r="DU840">
        <f>IF($DM840=0,"",IF($L$13=0,"",IFERROR(IF(ISNUMBER(INDEX(PASTE_ALL,$DF840,$L$13)),INDEX(PASTE_ALL,$DF840,$L$13),TRIM(SUBSTITUTE(SUBSTITUTE(SUBSTITUTE(SUBSTITUTE(INDEX(PASTE_ALL,$DF840,$L$13)," "," "),CHAR(9)," "),CHAR(10)," "),CHAR(13)," "))),"")))</f>
        <v/>
      </c>
      <c r="DV840">
        <f>IF($DM840=0,"",IF($L$14=0,"",IFERROR(IF(ISNUMBER(INDEX(PASTE_ALL,$DF840,$L$14)),INDEX(PASTE_ALL,$DF840,$L$14),TRIM(SUBSTITUTE(SUBSTITUTE(SUBSTITUTE(SUBSTITUTE(INDEX(PASTE_ALL,$DF840,$L$14)," "," "),CHAR(9)," "),CHAR(10)," "),CHAR(13)," "))),"")))</f>
        <v/>
      </c>
      <c r="DW840">
        <f>IF($DM840=0,"",IF($L$15=0,"",IFERROR(IF(ISNUMBER(INDEX(PASTE_ALL,$DF840,$L$15)),INDEX(PASTE_ALL,$DF840,$L$15),IF(SUMPRODUCT(--ISNUMBER(FIND({"A","B","C","D","E","F","G","H","I","J","K","L","M","N","O","P","Q","R","S","T","U","V","W","X","Y","Z","0","1","2","3","4","5","6","7","8","9"},UPPER(TRIM(SUBSTITUTE(SUBSTITUTE(SUBSTITUTE(SUBSTITUTE(INDEX(PASTE_ALL,$DF840,$L$15)," "," "),CHAR(9)," "),CHAR(10)," "),CHAR(13)," "))))))&gt;0,TRIM(SUBSTITUTE(SUBSTITUTE(SUBSTITUTE(SUBSTITUTE(INDEX(PASTE_ALL,$DF840,$L$15)," "," "),CHAR(9)," "),CHAR(10)," "),CHAR(13)," ")),"")),"")))</f>
        <v/>
      </c>
      <c r="DX840">
        <f>IF($DM840=0,"",IF($L$16=0,"",IFERROR(IF(ISNUMBER(INDEX(PASTE_ALL,$DF840,$L$16)),INDEX(PASTE_ALL,$DF840,$L$16),SUBSTITUTE(SUBSTITUTE(TRIM(SUBSTITUTE(SUBSTITUTE(SUBSTITUTE(SUBSTITUTE(INDEX(PASTE_ALL,$DF840,$L$16)," "," "),CHAR(9)," "),CHAR(10)," "),CHAR(13)," ")),",",""),"%","")),"")))</f>
        <v/>
      </c>
      <c r="DY840">
        <f>IF($DM840=0,"",IFERROR(IF(ISNUMBER($DX840),$DX840,IF($DX840="","",IF(TRIM($DX840)="",0,IF(AND(AND(SUBSTITUTE(SUBSTITUTE(SUBSTITUTE(SUBSTITUTE(SUBSTITUTE(SUBSTITUTE(SUBSTITUTE(SUBSTITUTE(SUBSTITUTE(SUBSTITUTE(SUBSTITUTE(SUBSTITUTE(SUBSTITUTE(SUBSTITUTE(UPPER(TRIM($DX840)),"0",""),"1",""),"2",""),"3",""),"4",""),"5",""),"6",""),"7",""),"8",""),"9",""),".",""),"+",""),"-",""),"E","")="",LEN(SUBSTITUTE(SUBSTITUTE(MID(UPPER(TRIM($DX840)),1+OR(LEFT(UPPER(TRIM($DX840)),1)="+",LEFT(UPPER(TRIM($DX840)),1)="-"),999),"E+","E"),"E-","E"))=LEN(SUBSTITUTE(SUBSTITUTE(SUBSTITUTE(SUBSTITUTE(MID(UPPER(TRIM($DX840)),1+OR(LEFT(UPPER(TRIM($DX840)),1)="+",LEFT(UPPER(TRIM($DX840)),1)="-"),999),"E+","E"),"E-","E"),"+",""),"-","")),LEN(UPPER(TRIM($DX840)))-LEN(SUBSTITUTE(UPPER(TRIM($DX840)),"E",""))&lt;2,LEN(UPPER(TRIM($DX840)))-LEN(SUBSTITUTE(UPPER(TRIM($DX840)),".",""))&lt;2,IFERROR(FIND(".",UPPER(TRIM($DX840))),0)&lt;IFERROR(FIND("E",UPPER(TRIM($DX840))),999)),ISNUMBER(VALUE(TRIM($DX840)))),VALUE(TRIM($DX840)),"")))),""))</f>
        <v/>
      </c>
      <c r="DZ840">
        <f>IF($DM840=0,"",IF($L$17=0,"",IFERROR(IF(ISNUMBER(INDEX(PASTE_ALL,$DF840,$L$17)),INDEX(PASTE_ALL,$DF840,$L$17),SUBSTITUTE(SUBSTITUTE(TRIM(SUBSTITUTE(SUBSTITUTE(SUBSTITUTE(SUBSTITUTE(INDEX(PASTE_ALL,$DF840,$L$17)," "," "),CHAR(9)," "),CHAR(10)," "),CHAR(13)," ")),",",""),"%","")),"")))</f>
        <v/>
      </c>
      <c r="EA840">
        <f>IF($DM840=0,"",IFERROR(IF(ISNUMBER($DZ840),$DZ840,IF($DZ840="","",IF(TRIM($DZ840)="",0,IF(AND(AND(SUBSTITUTE(SUBSTITUTE(SUBSTITUTE(SUBSTITUTE(SUBSTITUTE(SUBSTITUTE(SUBSTITUTE(SUBSTITUTE(SUBSTITUTE(SUBSTITUTE(SUBSTITUTE(SUBSTITUTE(SUBSTITUTE(SUBSTITUTE(UPPER(TRIM($DZ840)),"0",""),"1",""),"2",""),"3",""),"4",""),"5",""),"6",""),"7",""),"8",""),"9",""),".",""),"+",""),"-",""),"E","")="",LEN(SUBSTITUTE(SUBSTITUTE(MID(UPPER(TRIM($DZ840)),1+OR(LEFT(UPPER(TRIM($DZ840)),1)="+",LEFT(UPPER(TRIM($DZ840)),1)="-"),999),"E+","E"),"E-","E"))=LEN(SUBSTITUTE(SUBSTITUTE(SUBSTITUTE(SUBSTITUTE(MID(UPPER(TRIM($DZ840)),1+OR(LEFT(UPPER(TRIM($DZ840)),1)="+",LEFT(UPPER(TRIM($DZ840)),1)="-"),999),"E+","E"),"E-","E"),"+",""),"-","")),LEN(UPPER(TRIM($DZ840)))-LEN(SUBSTITUTE(UPPER(TRIM($DZ840)),"E",""))&lt;2,LEN(UPPER(TRIM($DZ840)))-LEN(SUBSTITUTE(UPPER(TRIM($DZ840)),".",""))&lt;2,IFERROR(FIND(".",UPPER(TRIM($DZ840))),0)&lt;IFERROR(FIND("E",UPPER(TRIM($DZ840))),999)),ISNUMBER(VALUE(TRIM($DZ840)))),VALUE(TRIM($DZ840)),"")))),""))</f>
        <v/>
      </c>
      <c r="EB840">
        <f>IF($DM840=0,"",IF($L$18=0,"",IFERROR(IF(UPPER(TRIM(SUBSTITUTE(SUBSTITUTE(SUBSTITUTE(SUBSTITUTE(INDEX(PASTE_ALL,$DF840,$L$18)," "," "),CHAR(9)," "),CHAR(10)," "),CHAR(13)," ")))="READY","Ready",IF(UPPER(TRIM(SUBSTITUTE(SUBSTITUTE(SUBSTITUTE(SUBSTITUTE(INDEX(PASTE_ALL,$DF840,$L$18)," "," "),CHAR(9)," "),CHAR(10)," "),CHAR(13)," ")))="PM","PM",IF(OR(UPPER(TRIM(SUBSTITUTE(SUBSTITUTE(SUBSTITUTE(SUBSTITUTE(INDEX(PASTE_ALL,$DF840,$L$18)," "," "),CHAR(9)," "),CHAR(10)," "),CHAR(13)," ")))="OT",UPPER(TRIM(SUBSTITUTE(SUBSTITUTE(SUBSTITUTE(SUBSTITUTE(INDEX(PASTE_ALL,$DF840,$L$18)," "," "),CHAR(9)," "),CHAR(10)," "),CHAR(13)," ")))="OVERTIME",UPPER(TRIM(SUBSTITUTE(SUBSTITUTE(SUBSTITUTE(SUBSTITUTE(INDEX(PASTE_ALL,$DF840,$L$18)," "," "),CHAR(9)," "),CHAR(10)," "),CHAR(13)," ")))="TRIAL"),"OT",TRIM(SUBSTITUTE(SUBSTITUTE(SUBSTITUTE(SUBSTITUTE(INDEX(PASTE_ALL,$DF840,$L$18)," "," "),CHAR(9)," "),CHAR(10)," "),CHAR(13)," "))))),"")))</f>
        <v/>
      </c>
      <c r="EC840">
        <f>IF($DM840=0,"",IF($L$19=0,"",IFERROR(IF(ISNUMBER(INDEX(PASTE_ALL,$DF840,$L$19)),INDEX(PASTE_ALL,$DF840,$L$19),TRIM(SUBSTITUTE(SUBSTITUTE(SUBSTITUTE(SUBSTITUTE(INDEX(PASTE_ALL,$DF840,$L$19)," "," "),CHAR(9)," "),CHAR(10)," "),CHAR(13)," "))),"")))</f>
        <v/>
      </c>
      <c r="ED840">
        <f>IF($DM840=0,"",MATCH(1,INDEX(EXACT($DH$5:DH840,$DH840)*$DM$5:DM840,0),0))</f>
        <v/>
      </c>
      <c r="EE840">
        <f>IF($DM840=0,0,IF($ED840=$DE840,1,0))</f>
        <v/>
      </c>
      <c r="EF840">
        <f>EF839+$EE840</f>
        <v/>
      </c>
      <c r="EG840">
        <f>IF($DM840=0,"",INDEX($EF$5:$EF$1003,$ED840))</f>
        <v/>
      </c>
      <c r="EH840">
        <f>IF($DM840=0,"",IF($DO840&lt;&gt;"","",IFERROR(LOOKUP(2,1/(($EG$4:EG839=$EG840)*($DO$4:DO839&lt;&gt;"")),$DO$4:DO839),"")))</f>
        <v/>
      </c>
      <c r="EI840">
        <f>IF($DM840=0,"",IF($DO840&lt;&gt;"",$DO840,$EH840))</f>
        <v/>
      </c>
      <c r="EJ840">
        <f>IF($DM840=0,"",IF($EI840="",0,IF(OR(ISNUMBER($EI840),AND(AND(SUBSTITUTE(SUBSTITUTE(SUBSTITUTE(SUBSTITUTE(SUBSTITUTE(SUBSTITUTE(SUBSTITUTE(SUBSTITUTE(SUBSTITUTE(SUBSTITUTE(SUBSTITUTE(SUBSTITUTE(SUBSTITUTE(SUBSTITUTE(UPPER($EI840),"0",""),"1",""),"2",""),"3",""),"4",""),"5",""),"6",""),"7",""),"8",""),"9",""),".",""),"+",""),"-",""),"E","")="",LEN(SUBSTITUTE(SUBSTITUTE(MID(UPPER($EI840),1+OR(LEFT(UPPER($EI840),1)="+",LEFT(UPPER($EI840),1)="-"),999),"E+","E"),"E-","E"))=LEN(SUBSTITUTE(SUBSTITUTE(SUBSTITUTE(SUBSTITUTE(MID(UPPER($EI840),1+OR(LEFT(UPPER($EI840),1)="+",LEFT(UPPER($EI840),1)="-"),999),"E+","E"),"E-","E"),"+",""),"-","")),LEN(UPPER($EI840))-LEN(SUBSTITUTE(UPPER($EI840),"E",""))&lt;2,LEN(UPPER($EI840))-LEN(SUBSTITUTE(UPPER($EI840),".",""))&lt;2,IFERROR(FIND(".",UPPER($EI840)),0)&lt;IFERROR(FIND("E",UPPER($EI840)),999)),ISNUMBER(VALUE($EI840)))),1,2)))</f>
        <v/>
      </c>
      <c r="EK840">
        <f>IF($DM840=0,"",IF($EJ840=1,IF(ISNUMBER($EI840),$EI840,VALUE($EI840)),IF($EJ840=2,$DE840,0)))</f>
        <v/>
      </c>
      <c r="EL840">
        <f>IF($DM840=0,"",COUNTIF($EG$5:$EG$1003,"&lt;"&amp;$EG840)+SUMPRODUCT(($EG$5:$EG$1003=$EG840)*(($EJ$5:$EJ$1003&lt;$EJ840)+($EJ$5:$EJ$1003=$EJ840)*(($EK$5:$EK$1003&lt;$EK840)+($EK$5:$EK$1003=$EK840)*($DE$5:$DE$1003&lt;$DE840))))+1)</f>
        <v/>
      </c>
      <c r="EM840">
        <f>IF($DM840=0,"",$EL840+$EG840-1)</f>
        <v/>
      </c>
      <c r="EN840">
        <f>IF($DM840=0,0,IFERROR(MATCH(1,INDEX(--(TRIM(SUBSTITUTE(SUBSTITUTE(SUBSTITUTE(SUBSTITUTE(LINES_NAME&amp;""," "," "),CHAR(9)," "),CHAR(10)," "),CHAR(13)," "))=$DH840),0),0),0))</f>
        <v/>
      </c>
      <c r="EO840">
        <f>IF($EN840=0,0,IF(OR(UPPER(TRIM(INDEX(LINES_SCHEDULED,$EN840)&amp;""))="YES",UPPER(TRIM(INDEX(LINES_SCHEDULED,$EN840)&amp;""))="Y",UPPER(TRIM(INDEX(LINES_SCHEDULED,$EN840)&amp;""))="X"),1,0))</f>
        <v/>
      </c>
      <c r="EP840">
        <f>IF($DM840=0,"",IF(COUNTIFS($EG$5:$EG$1003,$EG840,$EB$5:$EB$1003,"Ready")&gt;0,"READY",IF(COUNTIFS($EG$5:$EG$1003,$EG840,$EB$5:$EB$1003,"PM")&gt;0,"PM",IF(COUNTIFS($EG$5:$EG$1003,$EG840,$EB$5:$EB$1003,"OT")&gt;0,"OT",""))))</f>
        <v/>
      </c>
      <c r="EQ840">
        <f>IF($EN840=0,"",UPPER(TRIM(INDEX(LINES_STATUS,$EN840)&amp;"")))</f>
        <v/>
      </c>
      <c r="ER840">
        <f>IF($DM840=0,"",IF(OR($EQ840="READY",$EQ840="PM",$EQ840="OT"),$EQ840,$EP840))</f>
        <v/>
      </c>
      <c r="ES840">
        <f>IF($DM840=0,"",IF(AND($DV840&lt;&gt;"",UPPER($DV840)&lt;&gt;"N"),"allergen",IF(ISNUMBER(SEARCH("oil",$DQ840)),"oil",IF(OR(EXACT($DS840,"A662"),EXACT($DS840,"A624")),"bulk",""))))</f>
        <v/>
      </c>
      <c r="ET840">
        <f>IF($DM840=0,"",IF(OR($EA840="",$EA840=0),"",$EA840/100))</f>
        <v/>
      </c>
      <c r="EU840">
        <f>IF(OR($ET840="",$DY840=""),"",INT($DY840*(1-$ET840)+0.5))</f>
        <v/>
      </c>
    </row>
    <row r="841">
      <c r="DA841" t="n">
        <v>837</v>
      </c>
      <c r="DB841">
        <f>IF($B$37=0,"",IFERROR(TRIM(SUBSTITUTE(SUBSTITUTE(SUBSTITUTE(SUBSTITUTE(INDEX(PASTE_ALL,837,$B$37)," "," "),CHAR(9)," "),CHAR(10)," "),CHAR(13)," ")),""))</f>
        <v/>
      </c>
      <c r="DC841">
        <f>IF(AND(837&gt;HEADER_ROW,UPPER(DB841)="LEGEND"),1,0)</f>
        <v/>
      </c>
      <c r="DE841" t="n">
        <v>837</v>
      </c>
      <c r="DF841">
        <f>HEADER_ROW+$DE841</f>
        <v/>
      </c>
      <c r="DG841">
        <f>IF(AND($DF841&lt;=1000,$DF841&lt;$B$8),1,0)</f>
        <v/>
      </c>
      <c r="DH841">
        <f>IF($DG841=1,IFERROR(INDEX($DB$5:$DB$1004,$DF841),""),"")</f>
        <v/>
      </c>
      <c r="DI841">
        <f>IF(AND($DG841=1,$DH841&lt;&gt;""),IFERROR(SUBSTITUTE(SUBSTITUTE(TRIM(SUBSTITUTE(SUBSTITUTE(SUBSTITUTE(SUBSTITUTE(IFERROR(INDEX(PASTE_ALL,$DF841,1)&amp;"","")&amp;"␟"&amp;IFERROR(INDEX(PASTE_ALL,$DF841,2)&amp;"","")&amp;"␟"&amp;IFERROR(INDEX(PASTE_ALL,$DF841,3)&amp;"","")&amp;"␟"&amp;IFERROR(INDEX(PASTE_ALL,$DF841,4)&amp;"","")&amp;"␟"&amp;IFERROR(INDEX(PASTE_ALL,$DF841,5)&amp;"","")&amp;"␟"&amp;IFERROR(INDEX(PASTE_ALL,$DF841,6)&amp;"","")&amp;"␟"&amp;IFERROR(INDEX(PASTE_ALL,$DF841,7)&amp;"","")&amp;"␟"&amp;IFERROR(INDEX(PASTE_ALL,$DF841,8)&amp;"","")&amp;"␟"&amp;IFERROR(INDEX(PASTE_ALL,$DF841,9)&amp;"","")&amp;"␟"&amp;IFERROR(INDEX(PASTE_ALL,$DF841,10)&amp;"","")&amp;"␟"&amp;IFERROR(INDEX(PASTE_ALL,$DF841,11)&amp;"","")&amp;"␟"&amp;IFERROR(INDEX(PASTE_ALL,$DF841,12)&amp;"","")&amp;"␟"&amp;IFERROR(INDEX(PASTE_ALL,$DF841,13)&amp;"","")&amp;"␟"&amp;IFERROR(INDEX(PASTE_ALL,$DF841,14)&amp;"","")&amp;"␟"&amp;IFERROR(INDEX(PASTE_ALL,$DF841,15)&amp;"","")&amp;"␟"&amp;IFERROR(INDEX(PASTE_ALL,$DF841,16)&amp;"","")&amp;"␟"&amp;IFERROR(INDEX(PASTE_ALL,$DF841,17)&amp;"","")&amp;"␟"&amp;IFERROR(INDEX(PASTE_ALL,$DF841,18)&amp;"","")&amp;"␟"&amp;IFERROR(INDEX(PASTE_ALL,$DF841,19)&amp;"","")&amp;"␟"&amp;IFERROR(INDEX(PASTE_ALL,$DF841,20)&amp;"","")&amp;"␟"&amp;IFERROR(INDEX(PASTE_ALL,$DF841,21)&amp;"","")&amp;"␟"&amp;IFERROR(INDEX(PASTE_ALL,$DF841,22)&amp;"","")&amp;"␟"&amp;IFERROR(INDEX(PASTE_ALL,$DF841,23)&amp;"","")&amp;"␟"&amp;IFERROR(INDEX(PASTE_ALL,$DF841,24)&amp;"","")&amp;"␟"&amp;IFERROR(INDEX(PASTE_ALL,$DF841,25)&amp;"","")&amp;"␟"&amp;IFERROR(INDEX(PASTE_ALL,$DF841,26)&amp;"","")&amp;"␟"&amp;IFERROR(INDEX(PASTE_ALL,$DF841,27)&amp;"","")&amp;"␟"&amp;IFERROR(INDEX(PASTE_ALL,$DF841,28)&amp;"","")&amp;"␟"&amp;IFERROR(INDEX(PASTE_ALL,$DF841,29)&amp;"","")&amp;"␟"&amp;IFERROR(INDEX(PASTE_ALL,$DF841,30)&amp;"","")&amp;"␟"&amp;IFERROR(INDEX(PASTE_ALL,$DF841,31)&amp;"","")&amp;"␟"&amp;IFERROR(INDEX(PASTE_ALL,$DF841,32)&amp;"","")&amp;"␟"&amp;IFERROR(INDEX(PASTE_ALL,$DF841,33)&amp;"","")&amp;"␟"&amp;IFERROR(INDEX(PASTE_ALL,$DF841,34)&amp;"","")&amp;"␟"&amp;IFERROR(INDEX(PASTE_ALL,$DF841,35)&amp;"","")&amp;"␟"&amp;IFERROR(INDEX(PASTE_ALL,$DF841,36)&amp;"","")&amp;"␟"&amp;IFERROR(INDEX(PASTE_ALL,$DF841,37)&amp;"","")&amp;"␟"&amp;IFERROR(INDEX(PASTE_ALL,$DF841,38)&amp;"","")&amp;"␟"&amp;IFERROR(INDEX(PASTE_ALL,$DF841,39)&amp;"","")&amp;"␟"&amp;IFERROR(INDEX(PASTE_ALL,$DF841,40)&amp;"","")&amp;"␟"&amp;IFERROR(INDEX(PASTE_ALL,$DF841,41)&amp;"","")&amp;"␟"&amp;IFERROR(INDEX(PASTE_ALL,$DF841,42)&amp;"","")&amp;"␟"&amp;IFERROR(INDEX(PASTE_ALL,$DF841,43)&amp;"","")&amp;"␟"&amp;IFERROR(INDEX(PASTE_ALL,$DF841,44)&amp;"","")&amp;"␟"&amp;IFERROR(INDEX(PASTE_ALL,$DF841,45)&amp;"","")&amp;"␟"&amp;IFERROR(INDEX(PASTE_ALL,$DF841,46)&amp;"","")&amp;"␟"&amp;IFERROR(INDEX(PASTE_ALL,$DF841,47)&amp;"","")&amp;"␟"&amp;IFERROR(INDEX(PASTE_ALL,$DF841,48)&amp;"","")&amp;"␟"&amp;IFERROR(INDEX(PASTE_ALL,$DF841,49)&amp;"","")&amp;"␟"&amp;IFERROR(INDEX(PASTE_ALL,$DF841,50)&amp;"","")&amp;"␟"&amp;IFERROR(INDEX(PASTE_ALL,$DF841,51)&amp;"","")&amp;"␟"&amp;IFERROR(INDEX(PASTE_ALL,$DF841,52)&amp;"","")&amp;"␟"&amp;IFERROR(INDEX(PASTE_ALL,$DF841,53)&amp;"","")&amp;"␟"&amp;IFERROR(INDEX(PASTE_ALL,$DF841,54)&amp;"","")&amp;"␟"&amp;IFERROR(INDEX(PASTE_ALL,$DF841,55)&amp;"","")&amp;"␟"&amp;IFERROR(INDEX(PASTE_ALL,$DF841,56)&amp;"","")&amp;"␟"&amp;IFERROR(INDEX(PASTE_ALL,$DF841,57)&amp;"","")&amp;"␟"&amp;IFERROR(INDEX(PASTE_ALL,$DF841,58)&amp;"","")&amp;"␟"&amp;IFERROR(INDEX(PASTE_ALL,$DF841,59)&amp;"","")&amp;"␟"&amp;IFERROR(INDEX(PASTE_ALL,$DF841,60)&amp;"","")," "," "),CHAR(9)," "),CHAR(10)," "),CHAR(13)," "))," ␟","␟"),"␟ ","␟"),"#"&amp;$DE841),"")</f>
        <v/>
      </c>
      <c r="DJ841">
        <f>IF($DI841="",0,IF(SUMPRODUCT(--EXACT($DI$4:DI840,$DI841))&gt;0,1,0))</f>
        <v/>
      </c>
      <c r="DK841">
        <f>IF(AND($DI841&lt;&gt;"",$DJ841=0),1,0)</f>
        <v/>
      </c>
      <c r="DL841">
        <f>DL840+$DK841</f>
        <v/>
      </c>
      <c r="DM841">
        <f>IF(AND($DK841=1,$DL841&lt;=600),1,0)</f>
        <v/>
      </c>
      <c r="DN841">
        <f>IF($DM841=0,"",IF($L$6=0,"",IFERROR(IF(ISNUMBER(INDEX(PASTE_ALL,$DF841,$L$6)),INDEX(PASTE_ALL,$DF841,$L$6),TRIM(SUBSTITUTE(SUBSTITUTE(SUBSTITUTE(SUBSTITUTE(INDEX(PASTE_ALL,$DF841,$L$6)," "," "),CHAR(9)," "),CHAR(10)," "),CHAR(13)," "))),"")))</f>
        <v/>
      </c>
      <c r="DO841">
        <f>IF($DM841=0,"",IF($L$7=0,"",IFERROR(IF(ISNUMBER(INDEX(PASTE_ALL,$DF841,$L$7)),INDEX(PASTE_ALL,$DF841,$L$7),TRIM(SUBSTITUTE(SUBSTITUTE(SUBSTITUTE(SUBSTITUTE(INDEX(PASTE_ALL,$DF841,$L$7)," "," "),CHAR(9)," "),CHAR(10)," "),CHAR(13)," "))),"")))</f>
        <v/>
      </c>
      <c r="DP841">
        <f>IF($DM841=0,"",IF($L$8=0,"",IFERROR(IF(ISNUMBER(INDEX(PASTE_ALL,$DF841,$L$8)),INDEX(PASTE_ALL,$DF841,$L$8),TRIM(SUBSTITUTE(SUBSTITUTE(SUBSTITUTE(SUBSTITUTE(INDEX(PASTE_ALL,$DF841,$L$8)," "," "),CHAR(9)," "),CHAR(10)," "),CHAR(13)," "))),"")))</f>
        <v/>
      </c>
      <c r="DQ841">
        <f>IF($DM841=0,"",IF($L$9=0,"",IFERROR(IF(ISNUMBER(INDEX(PASTE_ALL,$DF841,$L$9)),INDEX(PASTE_ALL,$DF841,$L$9),TRIM(SUBSTITUTE(SUBSTITUTE(SUBSTITUTE(SUBSTITUTE(INDEX(PASTE_ALL,$DF841,$L$9)," "," "),CHAR(9)," "),CHAR(10)," "),CHAR(13)," "))),"")))</f>
        <v/>
      </c>
      <c r="DR841">
        <f>IF($DM841=0,"",IF($L$10=0,"",IFERROR(IF(ISNUMBER(INDEX(PASTE_ALL,$DF841,$L$10)),INDEX(PASTE_ALL,$DF841,$L$10),TRIM(SUBSTITUTE(SUBSTITUTE(SUBSTITUTE(SUBSTITUTE(INDEX(PASTE_ALL,$DF841,$L$10)," "," "),CHAR(9)," "),CHAR(10)," "),CHAR(13)," "))),"")))</f>
        <v/>
      </c>
      <c r="DS841">
        <f>IF($DM841=0,"",IF($L$11=0,"",IFERROR(IF(ISNUMBER(INDEX(PASTE_ALL,$DF841,$L$11)),INDEX(PASTE_ALL,$DF841,$L$11),TRIM(SUBSTITUTE(SUBSTITUTE(SUBSTITUTE(SUBSTITUTE(INDEX(PASTE_ALL,$DF841,$L$11)," "," "),CHAR(9)," "),CHAR(10)," "),CHAR(13)," "))),"")))</f>
        <v/>
      </c>
      <c r="DT841">
        <f>IF($DM841=0,"",IF($L$12=0,"",IFERROR(IF(ISNUMBER(INDEX(PASTE_ALL,$DF841,$L$12)),INDEX(PASTE_ALL,$DF841,$L$12),TRIM(SUBSTITUTE(SUBSTITUTE(SUBSTITUTE(SUBSTITUTE(INDEX(PASTE_ALL,$DF841,$L$12)," "," "),CHAR(9)," "),CHAR(10)," "),CHAR(13)," "))),"")))</f>
        <v/>
      </c>
      <c r="DU841">
        <f>IF($DM841=0,"",IF($L$13=0,"",IFERROR(IF(ISNUMBER(INDEX(PASTE_ALL,$DF841,$L$13)),INDEX(PASTE_ALL,$DF841,$L$13),TRIM(SUBSTITUTE(SUBSTITUTE(SUBSTITUTE(SUBSTITUTE(INDEX(PASTE_ALL,$DF841,$L$13)," "," "),CHAR(9)," "),CHAR(10)," "),CHAR(13)," "))),"")))</f>
        <v/>
      </c>
      <c r="DV841">
        <f>IF($DM841=0,"",IF($L$14=0,"",IFERROR(IF(ISNUMBER(INDEX(PASTE_ALL,$DF841,$L$14)),INDEX(PASTE_ALL,$DF841,$L$14),TRIM(SUBSTITUTE(SUBSTITUTE(SUBSTITUTE(SUBSTITUTE(INDEX(PASTE_ALL,$DF841,$L$14)," "," "),CHAR(9)," "),CHAR(10)," "),CHAR(13)," "))),"")))</f>
        <v/>
      </c>
      <c r="DW841">
        <f>IF($DM841=0,"",IF($L$15=0,"",IFERROR(IF(ISNUMBER(INDEX(PASTE_ALL,$DF841,$L$15)),INDEX(PASTE_ALL,$DF841,$L$15),IF(SUMPRODUCT(--ISNUMBER(FIND({"A","B","C","D","E","F","G","H","I","J","K","L","M","N","O","P","Q","R","S","T","U","V","W","X","Y","Z","0","1","2","3","4","5","6","7","8","9"},UPPER(TRIM(SUBSTITUTE(SUBSTITUTE(SUBSTITUTE(SUBSTITUTE(INDEX(PASTE_ALL,$DF841,$L$15)," "," "),CHAR(9)," "),CHAR(10)," "),CHAR(13)," "))))))&gt;0,TRIM(SUBSTITUTE(SUBSTITUTE(SUBSTITUTE(SUBSTITUTE(INDEX(PASTE_ALL,$DF841,$L$15)," "," "),CHAR(9)," "),CHAR(10)," "),CHAR(13)," ")),"")),"")))</f>
        <v/>
      </c>
      <c r="DX841">
        <f>IF($DM841=0,"",IF($L$16=0,"",IFERROR(IF(ISNUMBER(INDEX(PASTE_ALL,$DF841,$L$16)),INDEX(PASTE_ALL,$DF841,$L$16),SUBSTITUTE(SUBSTITUTE(TRIM(SUBSTITUTE(SUBSTITUTE(SUBSTITUTE(SUBSTITUTE(INDEX(PASTE_ALL,$DF841,$L$16)," "," "),CHAR(9)," "),CHAR(10)," "),CHAR(13)," ")),",",""),"%","")),"")))</f>
        <v/>
      </c>
      <c r="DY841">
        <f>IF($DM841=0,"",IFERROR(IF(ISNUMBER($DX841),$DX841,IF($DX841="","",IF(TRIM($DX841)="",0,IF(AND(AND(SUBSTITUTE(SUBSTITUTE(SUBSTITUTE(SUBSTITUTE(SUBSTITUTE(SUBSTITUTE(SUBSTITUTE(SUBSTITUTE(SUBSTITUTE(SUBSTITUTE(SUBSTITUTE(SUBSTITUTE(SUBSTITUTE(SUBSTITUTE(UPPER(TRIM($DX841)),"0",""),"1",""),"2",""),"3",""),"4",""),"5",""),"6",""),"7",""),"8",""),"9",""),".",""),"+",""),"-",""),"E","")="",LEN(SUBSTITUTE(SUBSTITUTE(MID(UPPER(TRIM($DX841)),1+OR(LEFT(UPPER(TRIM($DX841)),1)="+",LEFT(UPPER(TRIM($DX841)),1)="-"),999),"E+","E"),"E-","E"))=LEN(SUBSTITUTE(SUBSTITUTE(SUBSTITUTE(SUBSTITUTE(MID(UPPER(TRIM($DX841)),1+OR(LEFT(UPPER(TRIM($DX841)),1)="+",LEFT(UPPER(TRIM($DX841)),1)="-"),999),"E+","E"),"E-","E"),"+",""),"-","")),LEN(UPPER(TRIM($DX841)))-LEN(SUBSTITUTE(UPPER(TRIM($DX841)),"E",""))&lt;2,LEN(UPPER(TRIM($DX841)))-LEN(SUBSTITUTE(UPPER(TRIM($DX841)),".",""))&lt;2,IFERROR(FIND(".",UPPER(TRIM($DX841))),0)&lt;IFERROR(FIND("E",UPPER(TRIM($DX841))),999)),ISNUMBER(VALUE(TRIM($DX841)))),VALUE(TRIM($DX841)),"")))),""))</f>
        <v/>
      </c>
      <c r="DZ841">
        <f>IF($DM841=0,"",IF($L$17=0,"",IFERROR(IF(ISNUMBER(INDEX(PASTE_ALL,$DF841,$L$17)),INDEX(PASTE_ALL,$DF841,$L$17),SUBSTITUTE(SUBSTITUTE(TRIM(SUBSTITUTE(SUBSTITUTE(SUBSTITUTE(SUBSTITUTE(INDEX(PASTE_ALL,$DF841,$L$17)," "," "),CHAR(9)," "),CHAR(10)," "),CHAR(13)," ")),",",""),"%","")),"")))</f>
        <v/>
      </c>
      <c r="EA841">
        <f>IF($DM841=0,"",IFERROR(IF(ISNUMBER($DZ841),$DZ841,IF($DZ841="","",IF(TRIM($DZ841)="",0,IF(AND(AND(SUBSTITUTE(SUBSTITUTE(SUBSTITUTE(SUBSTITUTE(SUBSTITUTE(SUBSTITUTE(SUBSTITUTE(SUBSTITUTE(SUBSTITUTE(SUBSTITUTE(SUBSTITUTE(SUBSTITUTE(SUBSTITUTE(SUBSTITUTE(UPPER(TRIM($DZ841)),"0",""),"1",""),"2",""),"3",""),"4",""),"5",""),"6",""),"7",""),"8",""),"9",""),".",""),"+",""),"-",""),"E","")="",LEN(SUBSTITUTE(SUBSTITUTE(MID(UPPER(TRIM($DZ841)),1+OR(LEFT(UPPER(TRIM($DZ841)),1)="+",LEFT(UPPER(TRIM($DZ841)),1)="-"),999),"E+","E"),"E-","E"))=LEN(SUBSTITUTE(SUBSTITUTE(SUBSTITUTE(SUBSTITUTE(MID(UPPER(TRIM($DZ841)),1+OR(LEFT(UPPER(TRIM($DZ841)),1)="+",LEFT(UPPER(TRIM($DZ841)),1)="-"),999),"E+","E"),"E-","E"),"+",""),"-","")),LEN(UPPER(TRIM($DZ841)))-LEN(SUBSTITUTE(UPPER(TRIM($DZ841)),"E",""))&lt;2,LEN(UPPER(TRIM($DZ841)))-LEN(SUBSTITUTE(UPPER(TRIM($DZ841)),".",""))&lt;2,IFERROR(FIND(".",UPPER(TRIM($DZ841))),0)&lt;IFERROR(FIND("E",UPPER(TRIM($DZ841))),999)),ISNUMBER(VALUE(TRIM($DZ841)))),VALUE(TRIM($DZ841)),"")))),""))</f>
        <v/>
      </c>
      <c r="EB841">
        <f>IF($DM841=0,"",IF($L$18=0,"",IFERROR(IF(UPPER(TRIM(SUBSTITUTE(SUBSTITUTE(SUBSTITUTE(SUBSTITUTE(INDEX(PASTE_ALL,$DF841,$L$18)," "," "),CHAR(9)," "),CHAR(10)," "),CHAR(13)," ")))="READY","Ready",IF(UPPER(TRIM(SUBSTITUTE(SUBSTITUTE(SUBSTITUTE(SUBSTITUTE(INDEX(PASTE_ALL,$DF841,$L$18)," "," "),CHAR(9)," "),CHAR(10)," "),CHAR(13)," ")))="PM","PM",IF(OR(UPPER(TRIM(SUBSTITUTE(SUBSTITUTE(SUBSTITUTE(SUBSTITUTE(INDEX(PASTE_ALL,$DF841,$L$18)," "," "),CHAR(9)," "),CHAR(10)," "),CHAR(13)," ")))="OT",UPPER(TRIM(SUBSTITUTE(SUBSTITUTE(SUBSTITUTE(SUBSTITUTE(INDEX(PASTE_ALL,$DF841,$L$18)," "," "),CHAR(9)," "),CHAR(10)," "),CHAR(13)," ")))="OVERTIME",UPPER(TRIM(SUBSTITUTE(SUBSTITUTE(SUBSTITUTE(SUBSTITUTE(INDEX(PASTE_ALL,$DF841,$L$18)," "," "),CHAR(9)," "),CHAR(10)," "),CHAR(13)," ")))="TRIAL"),"OT",TRIM(SUBSTITUTE(SUBSTITUTE(SUBSTITUTE(SUBSTITUTE(INDEX(PASTE_ALL,$DF841,$L$18)," "," "),CHAR(9)," "),CHAR(10)," "),CHAR(13)," "))))),"")))</f>
        <v/>
      </c>
      <c r="EC841">
        <f>IF($DM841=0,"",IF($L$19=0,"",IFERROR(IF(ISNUMBER(INDEX(PASTE_ALL,$DF841,$L$19)),INDEX(PASTE_ALL,$DF841,$L$19),TRIM(SUBSTITUTE(SUBSTITUTE(SUBSTITUTE(SUBSTITUTE(INDEX(PASTE_ALL,$DF841,$L$19)," "," "),CHAR(9)," "),CHAR(10)," "),CHAR(13)," "))),"")))</f>
        <v/>
      </c>
      <c r="ED841">
        <f>IF($DM841=0,"",MATCH(1,INDEX(EXACT($DH$5:DH841,$DH841)*$DM$5:DM841,0),0))</f>
        <v/>
      </c>
      <c r="EE841">
        <f>IF($DM841=0,0,IF($ED841=$DE841,1,0))</f>
        <v/>
      </c>
      <c r="EF841">
        <f>EF840+$EE841</f>
        <v/>
      </c>
      <c r="EG841">
        <f>IF($DM841=0,"",INDEX($EF$5:$EF$1003,$ED841))</f>
        <v/>
      </c>
      <c r="EH841">
        <f>IF($DM841=0,"",IF($DO841&lt;&gt;"","",IFERROR(LOOKUP(2,1/(($EG$4:EG840=$EG841)*($DO$4:DO840&lt;&gt;"")),$DO$4:DO840),"")))</f>
        <v/>
      </c>
      <c r="EI841">
        <f>IF($DM841=0,"",IF($DO841&lt;&gt;"",$DO841,$EH841))</f>
        <v/>
      </c>
      <c r="EJ841">
        <f>IF($DM841=0,"",IF($EI841="",0,IF(OR(ISNUMBER($EI841),AND(AND(SUBSTITUTE(SUBSTITUTE(SUBSTITUTE(SUBSTITUTE(SUBSTITUTE(SUBSTITUTE(SUBSTITUTE(SUBSTITUTE(SUBSTITUTE(SUBSTITUTE(SUBSTITUTE(SUBSTITUTE(SUBSTITUTE(SUBSTITUTE(UPPER($EI841),"0",""),"1",""),"2",""),"3",""),"4",""),"5",""),"6",""),"7",""),"8",""),"9",""),".",""),"+",""),"-",""),"E","")="",LEN(SUBSTITUTE(SUBSTITUTE(MID(UPPER($EI841),1+OR(LEFT(UPPER($EI841),1)="+",LEFT(UPPER($EI841),1)="-"),999),"E+","E"),"E-","E"))=LEN(SUBSTITUTE(SUBSTITUTE(SUBSTITUTE(SUBSTITUTE(MID(UPPER($EI841),1+OR(LEFT(UPPER($EI841),1)="+",LEFT(UPPER($EI841),1)="-"),999),"E+","E"),"E-","E"),"+",""),"-","")),LEN(UPPER($EI841))-LEN(SUBSTITUTE(UPPER($EI841),"E",""))&lt;2,LEN(UPPER($EI841))-LEN(SUBSTITUTE(UPPER($EI841),".",""))&lt;2,IFERROR(FIND(".",UPPER($EI841)),0)&lt;IFERROR(FIND("E",UPPER($EI841)),999)),ISNUMBER(VALUE($EI841)))),1,2)))</f>
        <v/>
      </c>
      <c r="EK841">
        <f>IF($DM841=0,"",IF($EJ841=1,IF(ISNUMBER($EI841),$EI841,VALUE($EI841)),IF($EJ841=2,$DE841,0)))</f>
        <v/>
      </c>
      <c r="EL841">
        <f>IF($DM841=0,"",COUNTIF($EG$5:$EG$1003,"&lt;"&amp;$EG841)+SUMPRODUCT(($EG$5:$EG$1003=$EG841)*(($EJ$5:$EJ$1003&lt;$EJ841)+($EJ$5:$EJ$1003=$EJ841)*(($EK$5:$EK$1003&lt;$EK841)+($EK$5:$EK$1003=$EK841)*($DE$5:$DE$1003&lt;$DE841))))+1)</f>
        <v/>
      </c>
      <c r="EM841">
        <f>IF($DM841=0,"",$EL841+$EG841-1)</f>
        <v/>
      </c>
      <c r="EN841">
        <f>IF($DM841=0,0,IFERROR(MATCH(1,INDEX(--(TRIM(SUBSTITUTE(SUBSTITUTE(SUBSTITUTE(SUBSTITUTE(LINES_NAME&amp;""," "," "),CHAR(9)," "),CHAR(10)," "),CHAR(13)," "))=$DH841),0),0),0))</f>
        <v/>
      </c>
      <c r="EO841">
        <f>IF($EN841=0,0,IF(OR(UPPER(TRIM(INDEX(LINES_SCHEDULED,$EN841)&amp;""))="YES",UPPER(TRIM(INDEX(LINES_SCHEDULED,$EN841)&amp;""))="Y",UPPER(TRIM(INDEX(LINES_SCHEDULED,$EN841)&amp;""))="X"),1,0))</f>
        <v/>
      </c>
      <c r="EP841">
        <f>IF($DM841=0,"",IF(COUNTIFS($EG$5:$EG$1003,$EG841,$EB$5:$EB$1003,"Ready")&gt;0,"READY",IF(COUNTIFS($EG$5:$EG$1003,$EG841,$EB$5:$EB$1003,"PM")&gt;0,"PM",IF(COUNTIFS($EG$5:$EG$1003,$EG841,$EB$5:$EB$1003,"OT")&gt;0,"OT",""))))</f>
        <v/>
      </c>
      <c r="EQ841">
        <f>IF($EN841=0,"",UPPER(TRIM(INDEX(LINES_STATUS,$EN841)&amp;"")))</f>
        <v/>
      </c>
      <c r="ER841">
        <f>IF($DM841=0,"",IF(OR($EQ841="READY",$EQ841="PM",$EQ841="OT"),$EQ841,$EP841))</f>
        <v/>
      </c>
      <c r="ES841">
        <f>IF($DM841=0,"",IF(AND($DV841&lt;&gt;"",UPPER($DV841)&lt;&gt;"N"),"allergen",IF(ISNUMBER(SEARCH("oil",$DQ841)),"oil",IF(OR(EXACT($DS841,"A662"),EXACT($DS841,"A624")),"bulk",""))))</f>
        <v/>
      </c>
      <c r="ET841">
        <f>IF($DM841=0,"",IF(OR($EA841="",$EA841=0),"",$EA841/100))</f>
        <v/>
      </c>
      <c r="EU841">
        <f>IF(OR($ET841="",$DY841=""),"",INT($DY841*(1-$ET841)+0.5))</f>
        <v/>
      </c>
    </row>
    <row r="842">
      <c r="DA842" t="n">
        <v>838</v>
      </c>
      <c r="DB842">
        <f>IF($B$37=0,"",IFERROR(TRIM(SUBSTITUTE(SUBSTITUTE(SUBSTITUTE(SUBSTITUTE(INDEX(PASTE_ALL,838,$B$37)," "," "),CHAR(9)," "),CHAR(10)," "),CHAR(13)," ")),""))</f>
        <v/>
      </c>
      <c r="DC842">
        <f>IF(AND(838&gt;HEADER_ROW,UPPER(DB842)="LEGEND"),1,0)</f>
        <v/>
      </c>
      <c r="DE842" t="n">
        <v>838</v>
      </c>
      <c r="DF842">
        <f>HEADER_ROW+$DE842</f>
        <v/>
      </c>
      <c r="DG842">
        <f>IF(AND($DF842&lt;=1000,$DF842&lt;$B$8),1,0)</f>
        <v/>
      </c>
      <c r="DH842">
        <f>IF($DG842=1,IFERROR(INDEX($DB$5:$DB$1004,$DF842),""),"")</f>
        <v/>
      </c>
      <c r="DI842">
        <f>IF(AND($DG842=1,$DH842&lt;&gt;""),IFERROR(SUBSTITUTE(SUBSTITUTE(TRIM(SUBSTITUTE(SUBSTITUTE(SUBSTITUTE(SUBSTITUTE(IFERROR(INDEX(PASTE_ALL,$DF842,1)&amp;"","")&amp;"␟"&amp;IFERROR(INDEX(PASTE_ALL,$DF842,2)&amp;"","")&amp;"␟"&amp;IFERROR(INDEX(PASTE_ALL,$DF842,3)&amp;"","")&amp;"␟"&amp;IFERROR(INDEX(PASTE_ALL,$DF842,4)&amp;"","")&amp;"␟"&amp;IFERROR(INDEX(PASTE_ALL,$DF842,5)&amp;"","")&amp;"␟"&amp;IFERROR(INDEX(PASTE_ALL,$DF842,6)&amp;"","")&amp;"␟"&amp;IFERROR(INDEX(PASTE_ALL,$DF842,7)&amp;"","")&amp;"␟"&amp;IFERROR(INDEX(PASTE_ALL,$DF842,8)&amp;"","")&amp;"␟"&amp;IFERROR(INDEX(PASTE_ALL,$DF842,9)&amp;"","")&amp;"␟"&amp;IFERROR(INDEX(PASTE_ALL,$DF842,10)&amp;"","")&amp;"␟"&amp;IFERROR(INDEX(PASTE_ALL,$DF842,11)&amp;"","")&amp;"␟"&amp;IFERROR(INDEX(PASTE_ALL,$DF842,12)&amp;"","")&amp;"␟"&amp;IFERROR(INDEX(PASTE_ALL,$DF842,13)&amp;"","")&amp;"␟"&amp;IFERROR(INDEX(PASTE_ALL,$DF842,14)&amp;"","")&amp;"␟"&amp;IFERROR(INDEX(PASTE_ALL,$DF842,15)&amp;"","")&amp;"␟"&amp;IFERROR(INDEX(PASTE_ALL,$DF842,16)&amp;"","")&amp;"␟"&amp;IFERROR(INDEX(PASTE_ALL,$DF842,17)&amp;"","")&amp;"␟"&amp;IFERROR(INDEX(PASTE_ALL,$DF842,18)&amp;"","")&amp;"␟"&amp;IFERROR(INDEX(PASTE_ALL,$DF842,19)&amp;"","")&amp;"␟"&amp;IFERROR(INDEX(PASTE_ALL,$DF842,20)&amp;"","")&amp;"␟"&amp;IFERROR(INDEX(PASTE_ALL,$DF842,21)&amp;"","")&amp;"␟"&amp;IFERROR(INDEX(PASTE_ALL,$DF842,22)&amp;"","")&amp;"␟"&amp;IFERROR(INDEX(PASTE_ALL,$DF842,23)&amp;"","")&amp;"␟"&amp;IFERROR(INDEX(PASTE_ALL,$DF842,24)&amp;"","")&amp;"␟"&amp;IFERROR(INDEX(PASTE_ALL,$DF842,25)&amp;"","")&amp;"␟"&amp;IFERROR(INDEX(PASTE_ALL,$DF842,26)&amp;"","")&amp;"␟"&amp;IFERROR(INDEX(PASTE_ALL,$DF842,27)&amp;"","")&amp;"␟"&amp;IFERROR(INDEX(PASTE_ALL,$DF842,28)&amp;"","")&amp;"␟"&amp;IFERROR(INDEX(PASTE_ALL,$DF842,29)&amp;"","")&amp;"␟"&amp;IFERROR(INDEX(PASTE_ALL,$DF842,30)&amp;"","")&amp;"␟"&amp;IFERROR(INDEX(PASTE_ALL,$DF842,31)&amp;"","")&amp;"␟"&amp;IFERROR(INDEX(PASTE_ALL,$DF842,32)&amp;"","")&amp;"␟"&amp;IFERROR(INDEX(PASTE_ALL,$DF842,33)&amp;"","")&amp;"␟"&amp;IFERROR(INDEX(PASTE_ALL,$DF842,34)&amp;"","")&amp;"␟"&amp;IFERROR(INDEX(PASTE_ALL,$DF842,35)&amp;"","")&amp;"␟"&amp;IFERROR(INDEX(PASTE_ALL,$DF842,36)&amp;"","")&amp;"␟"&amp;IFERROR(INDEX(PASTE_ALL,$DF842,37)&amp;"","")&amp;"␟"&amp;IFERROR(INDEX(PASTE_ALL,$DF842,38)&amp;"","")&amp;"␟"&amp;IFERROR(INDEX(PASTE_ALL,$DF842,39)&amp;"","")&amp;"␟"&amp;IFERROR(INDEX(PASTE_ALL,$DF842,40)&amp;"","")&amp;"␟"&amp;IFERROR(INDEX(PASTE_ALL,$DF842,41)&amp;"","")&amp;"␟"&amp;IFERROR(INDEX(PASTE_ALL,$DF842,42)&amp;"","")&amp;"␟"&amp;IFERROR(INDEX(PASTE_ALL,$DF842,43)&amp;"","")&amp;"␟"&amp;IFERROR(INDEX(PASTE_ALL,$DF842,44)&amp;"","")&amp;"␟"&amp;IFERROR(INDEX(PASTE_ALL,$DF842,45)&amp;"","")&amp;"␟"&amp;IFERROR(INDEX(PASTE_ALL,$DF842,46)&amp;"","")&amp;"␟"&amp;IFERROR(INDEX(PASTE_ALL,$DF842,47)&amp;"","")&amp;"␟"&amp;IFERROR(INDEX(PASTE_ALL,$DF842,48)&amp;"","")&amp;"␟"&amp;IFERROR(INDEX(PASTE_ALL,$DF842,49)&amp;"","")&amp;"␟"&amp;IFERROR(INDEX(PASTE_ALL,$DF842,50)&amp;"","")&amp;"␟"&amp;IFERROR(INDEX(PASTE_ALL,$DF842,51)&amp;"","")&amp;"␟"&amp;IFERROR(INDEX(PASTE_ALL,$DF842,52)&amp;"","")&amp;"␟"&amp;IFERROR(INDEX(PASTE_ALL,$DF842,53)&amp;"","")&amp;"␟"&amp;IFERROR(INDEX(PASTE_ALL,$DF842,54)&amp;"","")&amp;"␟"&amp;IFERROR(INDEX(PASTE_ALL,$DF842,55)&amp;"","")&amp;"␟"&amp;IFERROR(INDEX(PASTE_ALL,$DF842,56)&amp;"","")&amp;"␟"&amp;IFERROR(INDEX(PASTE_ALL,$DF842,57)&amp;"","")&amp;"␟"&amp;IFERROR(INDEX(PASTE_ALL,$DF842,58)&amp;"","")&amp;"␟"&amp;IFERROR(INDEX(PASTE_ALL,$DF842,59)&amp;"","")&amp;"␟"&amp;IFERROR(INDEX(PASTE_ALL,$DF842,60)&amp;"","")," "," "),CHAR(9)," "),CHAR(10)," "),CHAR(13)," "))," ␟","␟"),"␟ ","␟"),"#"&amp;$DE842),"")</f>
        <v/>
      </c>
      <c r="DJ842">
        <f>IF($DI842="",0,IF(SUMPRODUCT(--EXACT($DI$4:DI841,$DI842))&gt;0,1,0))</f>
        <v/>
      </c>
      <c r="DK842">
        <f>IF(AND($DI842&lt;&gt;"",$DJ842=0),1,0)</f>
        <v/>
      </c>
      <c r="DL842">
        <f>DL841+$DK842</f>
        <v/>
      </c>
      <c r="DM842">
        <f>IF(AND($DK842=1,$DL842&lt;=600),1,0)</f>
        <v/>
      </c>
      <c r="DN842">
        <f>IF($DM842=0,"",IF($L$6=0,"",IFERROR(IF(ISNUMBER(INDEX(PASTE_ALL,$DF842,$L$6)),INDEX(PASTE_ALL,$DF842,$L$6),TRIM(SUBSTITUTE(SUBSTITUTE(SUBSTITUTE(SUBSTITUTE(INDEX(PASTE_ALL,$DF842,$L$6)," "," "),CHAR(9)," "),CHAR(10)," "),CHAR(13)," "))),"")))</f>
        <v/>
      </c>
      <c r="DO842">
        <f>IF($DM842=0,"",IF($L$7=0,"",IFERROR(IF(ISNUMBER(INDEX(PASTE_ALL,$DF842,$L$7)),INDEX(PASTE_ALL,$DF842,$L$7),TRIM(SUBSTITUTE(SUBSTITUTE(SUBSTITUTE(SUBSTITUTE(INDEX(PASTE_ALL,$DF842,$L$7)," "," "),CHAR(9)," "),CHAR(10)," "),CHAR(13)," "))),"")))</f>
        <v/>
      </c>
      <c r="DP842">
        <f>IF($DM842=0,"",IF($L$8=0,"",IFERROR(IF(ISNUMBER(INDEX(PASTE_ALL,$DF842,$L$8)),INDEX(PASTE_ALL,$DF842,$L$8),TRIM(SUBSTITUTE(SUBSTITUTE(SUBSTITUTE(SUBSTITUTE(INDEX(PASTE_ALL,$DF842,$L$8)," "," "),CHAR(9)," "),CHAR(10)," "),CHAR(13)," "))),"")))</f>
        <v/>
      </c>
      <c r="DQ842">
        <f>IF($DM842=0,"",IF($L$9=0,"",IFERROR(IF(ISNUMBER(INDEX(PASTE_ALL,$DF842,$L$9)),INDEX(PASTE_ALL,$DF842,$L$9),TRIM(SUBSTITUTE(SUBSTITUTE(SUBSTITUTE(SUBSTITUTE(INDEX(PASTE_ALL,$DF842,$L$9)," "," "),CHAR(9)," "),CHAR(10)," "),CHAR(13)," "))),"")))</f>
        <v/>
      </c>
      <c r="DR842">
        <f>IF($DM842=0,"",IF($L$10=0,"",IFERROR(IF(ISNUMBER(INDEX(PASTE_ALL,$DF842,$L$10)),INDEX(PASTE_ALL,$DF842,$L$10),TRIM(SUBSTITUTE(SUBSTITUTE(SUBSTITUTE(SUBSTITUTE(INDEX(PASTE_ALL,$DF842,$L$10)," "," "),CHAR(9)," "),CHAR(10)," "),CHAR(13)," "))),"")))</f>
        <v/>
      </c>
      <c r="DS842">
        <f>IF($DM842=0,"",IF($L$11=0,"",IFERROR(IF(ISNUMBER(INDEX(PASTE_ALL,$DF842,$L$11)),INDEX(PASTE_ALL,$DF842,$L$11),TRIM(SUBSTITUTE(SUBSTITUTE(SUBSTITUTE(SUBSTITUTE(INDEX(PASTE_ALL,$DF842,$L$11)," "," "),CHAR(9)," "),CHAR(10)," "),CHAR(13)," "))),"")))</f>
        <v/>
      </c>
      <c r="DT842">
        <f>IF($DM842=0,"",IF($L$12=0,"",IFERROR(IF(ISNUMBER(INDEX(PASTE_ALL,$DF842,$L$12)),INDEX(PASTE_ALL,$DF842,$L$12),TRIM(SUBSTITUTE(SUBSTITUTE(SUBSTITUTE(SUBSTITUTE(INDEX(PASTE_ALL,$DF842,$L$12)," "," "),CHAR(9)," "),CHAR(10)," "),CHAR(13)," "))),"")))</f>
        <v/>
      </c>
      <c r="DU842">
        <f>IF($DM842=0,"",IF($L$13=0,"",IFERROR(IF(ISNUMBER(INDEX(PASTE_ALL,$DF842,$L$13)),INDEX(PASTE_ALL,$DF842,$L$13),TRIM(SUBSTITUTE(SUBSTITUTE(SUBSTITUTE(SUBSTITUTE(INDEX(PASTE_ALL,$DF842,$L$13)," "," "),CHAR(9)," "),CHAR(10)," "),CHAR(13)," "))),"")))</f>
        <v/>
      </c>
      <c r="DV842">
        <f>IF($DM842=0,"",IF($L$14=0,"",IFERROR(IF(ISNUMBER(INDEX(PASTE_ALL,$DF842,$L$14)),INDEX(PASTE_ALL,$DF842,$L$14),TRIM(SUBSTITUTE(SUBSTITUTE(SUBSTITUTE(SUBSTITUTE(INDEX(PASTE_ALL,$DF842,$L$14)," "," "),CHAR(9)," "),CHAR(10)," "),CHAR(13)," "))),"")))</f>
        <v/>
      </c>
      <c r="DW842">
        <f>IF($DM842=0,"",IF($L$15=0,"",IFERROR(IF(ISNUMBER(INDEX(PASTE_ALL,$DF842,$L$15)),INDEX(PASTE_ALL,$DF842,$L$15),IF(SUMPRODUCT(--ISNUMBER(FIND({"A","B","C","D","E","F","G","H","I","J","K","L","M","N","O","P","Q","R","S","T","U","V","W","X","Y","Z","0","1","2","3","4","5","6","7","8","9"},UPPER(TRIM(SUBSTITUTE(SUBSTITUTE(SUBSTITUTE(SUBSTITUTE(INDEX(PASTE_ALL,$DF842,$L$15)," "," "),CHAR(9)," "),CHAR(10)," "),CHAR(13)," "))))))&gt;0,TRIM(SUBSTITUTE(SUBSTITUTE(SUBSTITUTE(SUBSTITUTE(INDEX(PASTE_ALL,$DF842,$L$15)," "," "),CHAR(9)," "),CHAR(10)," "),CHAR(13)," ")),"")),"")))</f>
        <v/>
      </c>
      <c r="DX842">
        <f>IF($DM842=0,"",IF($L$16=0,"",IFERROR(IF(ISNUMBER(INDEX(PASTE_ALL,$DF842,$L$16)),INDEX(PASTE_ALL,$DF842,$L$16),SUBSTITUTE(SUBSTITUTE(TRIM(SUBSTITUTE(SUBSTITUTE(SUBSTITUTE(SUBSTITUTE(INDEX(PASTE_ALL,$DF842,$L$16)," "," "),CHAR(9)," "),CHAR(10)," "),CHAR(13)," ")),",",""),"%","")),"")))</f>
        <v/>
      </c>
      <c r="DY842">
        <f>IF($DM842=0,"",IFERROR(IF(ISNUMBER($DX842),$DX842,IF($DX842="","",IF(TRIM($DX842)="",0,IF(AND(AND(SUBSTITUTE(SUBSTITUTE(SUBSTITUTE(SUBSTITUTE(SUBSTITUTE(SUBSTITUTE(SUBSTITUTE(SUBSTITUTE(SUBSTITUTE(SUBSTITUTE(SUBSTITUTE(SUBSTITUTE(SUBSTITUTE(SUBSTITUTE(UPPER(TRIM($DX842)),"0",""),"1",""),"2",""),"3",""),"4",""),"5",""),"6",""),"7",""),"8",""),"9",""),".",""),"+",""),"-",""),"E","")="",LEN(SUBSTITUTE(SUBSTITUTE(MID(UPPER(TRIM($DX842)),1+OR(LEFT(UPPER(TRIM($DX842)),1)="+",LEFT(UPPER(TRIM($DX842)),1)="-"),999),"E+","E"),"E-","E"))=LEN(SUBSTITUTE(SUBSTITUTE(SUBSTITUTE(SUBSTITUTE(MID(UPPER(TRIM($DX842)),1+OR(LEFT(UPPER(TRIM($DX842)),1)="+",LEFT(UPPER(TRIM($DX842)),1)="-"),999),"E+","E"),"E-","E"),"+",""),"-","")),LEN(UPPER(TRIM($DX842)))-LEN(SUBSTITUTE(UPPER(TRIM($DX842)),"E",""))&lt;2,LEN(UPPER(TRIM($DX842)))-LEN(SUBSTITUTE(UPPER(TRIM($DX842)),".",""))&lt;2,IFERROR(FIND(".",UPPER(TRIM($DX842))),0)&lt;IFERROR(FIND("E",UPPER(TRIM($DX842))),999)),ISNUMBER(VALUE(TRIM($DX842)))),VALUE(TRIM($DX842)),"")))),""))</f>
        <v/>
      </c>
      <c r="DZ842">
        <f>IF($DM842=0,"",IF($L$17=0,"",IFERROR(IF(ISNUMBER(INDEX(PASTE_ALL,$DF842,$L$17)),INDEX(PASTE_ALL,$DF842,$L$17),SUBSTITUTE(SUBSTITUTE(TRIM(SUBSTITUTE(SUBSTITUTE(SUBSTITUTE(SUBSTITUTE(INDEX(PASTE_ALL,$DF842,$L$17)," "," "),CHAR(9)," "),CHAR(10)," "),CHAR(13)," ")),",",""),"%","")),"")))</f>
        <v/>
      </c>
      <c r="EA842">
        <f>IF($DM842=0,"",IFERROR(IF(ISNUMBER($DZ842),$DZ842,IF($DZ842="","",IF(TRIM($DZ842)="",0,IF(AND(AND(SUBSTITUTE(SUBSTITUTE(SUBSTITUTE(SUBSTITUTE(SUBSTITUTE(SUBSTITUTE(SUBSTITUTE(SUBSTITUTE(SUBSTITUTE(SUBSTITUTE(SUBSTITUTE(SUBSTITUTE(SUBSTITUTE(SUBSTITUTE(UPPER(TRIM($DZ842)),"0",""),"1",""),"2",""),"3",""),"4",""),"5",""),"6",""),"7",""),"8",""),"9",""),".",""),"+",""),"-",""),"E","")="",LEN(SUBSTITUTE(SUBSTITUTE(MID(UPPER(TRIM($DZ842)),1+OR(LEFT(UPPER(TRIM($DZ842)),1)="+",LEFT(UPPER(TRIM($DZ842)),1)="-"),999),"E+","E"),"E-","E"))=LEN(SUBSTITUTE(SUBSTITUTE(SUBSTITUTE(SUBSTITUTE(MID(UPPER(TRIM($DZ842)),1+OR(LEFT(UPPER(TRIM($DZ842)),1)="+",LEFT(UPPER(TRIM($DZ842)),1)="-"),999),"E+","E"),"E-","E"),"+",""),"-","")),LEN(UPPER(TRIM($DZ842)))-LEN(SUBSTITUTE(UPPER(TRIM($DZ842)),"E",""))&lt;2,LEN(UPPER(TRIM($DZ842)))-LEN(SUBSTITUTE(UPPER(TRIM($DZ842)),".",""))&lt;2,IFERROR(FIND(".",UPPER(TRIM($DZ842))),0)&lt;IFERROR(FIND("E",UPPER(TRIM($DZ842))),999)),ISNUMBER(VALUE(TRIM($DZ842)))),VALUE(TRIM($DZ842)),"")))),""))</f>
        <v/>
      </c>
      <c r="EB842">
        <f>IF($DM842=0,"",IF($L$18=0,"",IFERROR(IF(UPPER(TRIM(SUBSTITUTE(SUBSTITUTE(SUBSTITUTE(SUBSTITUTE(INDEX(PASTE_ALL,$DF842,$L$18)," "," "),CHAR(9)," "),CHAR(10)," "),CHAR(13)," ")))="READY","Ready",IF(UPPER(TRIM(SUBSTITUTE(SUBSTITUTE(SUBSTITUTE(SUBSTITUTE(INDEX(PASTE_ALL,$DF842,$L$18)," "," "),CHAR(9)," "),CHAR(10)," "),CHAR(13)," ")))="PM","PM",IF(OR(UPPER(TRIM(SUBSTITUTE(SUBSTITUTE(SUBSTITUTE(SUBSTITUTE(INDEX(PASTE_ALL,$DF842,$L$18)," "," "),CHAR(9)," "),CHAR(10)," "),CHAR(13)," ")))="OT",UPPER(TRIM(SUBSTITUTE(SUBSTITUTE(SUBSTITUTE(SUBSTITUTE(INDEX(PASTE_ALL,$DF842,$L$18)," "," "),CHAR(9)," "),CHAR(10)," "),CHAR(13)," ")))="OVERTIME",UPPER(TRIM(SUBSTITUTE(SUBSTITUTE(SUBSTITUTE(SUBSTITUTE(INDEX(PASTE_ALL,$DF842,$L$18)," "," "),CHAR(9)," "),CHAR(10)," "),CHAR(13)," ")))="TRIAL"),"OT",TRIM(SUBSTITUTE(SUBSTITUTE(SUBSTITUTE(SUBSTITUTE(INDEX(PASTE_ALL,$DF842,$L$18)," "," "),CHAR(9)," "),CHAR(10)," "),CHAR(13)," "))))),"")))</f>
        <v/>
      </c>
      <c r="EC842">
        <f>IF($DM842=0,"",IF($L$19=0,"",IFERROR(IF(ISNUMBER(INDEX(PASTE_ALL,$DF842,$L$19)),INDEX(PASTE_ALL,$DF842,$L$19),TRIM(SUBSTITUTE(SUBSTITUTE(SUBSTITUTE(SUBSTITUTE(INDEX(PASTE_ALL,$DF842,$L$19)," "," "),CHAR(9)," "),CHAR(10)," "),CHAR(13)," "))),"")))</f>
        <v/>
      </c>
      <c r="ED842">
        <f>IF($DM842=0,"",MATCH(1,INDEX(EXACT($DH$5:DH842,$DH842)*$DM$5:DM842,0),0))</f>
        <v/>
      </c>
      <c r="EE842">
        <f>IF($DM842=0,0,IF($ED842=$DE842,1,0))</f>
        <v/>
      </c>
      <c r="EF842">
        <f>EF841+$EE842</f>
        <v/>
      </c>
      <c r="EG842">
        <f>IF($DM842=0,"",INDEX($EF$5:$EF$1003,$ED842))</f>
        <v/>
      </c>
      <c r="EH842">
        <f>IF($DM842=0,"",IF($DO842&lt;&gt;"","",IFERROR(LOOKUP(2,1/(($EG$4:EG841=$EG842)*($DO$4:DO841&lt;&gt;"")),$DO$4:DO841),"")))</f>
        <v/>
      </c>
      <c r="EI842">
        <f>IF($DM842=0,"",IF($DO842&lt;&gt;"",$DO842,$EH842))</f>
        <v/>
      </c>
      <c r="EJ842">
        <f>IF($DM842=0,"",IF($EI842="",0,IF(OR(ISNUMBER($EI842),AND(AND(SUBSTITUTE(SUBSTITUTE(SUBSTITUTE(SUBSTITUTE(SUBSTITUTE(SUBSTITUTE(SUBSTITUTE(SUBSTITUTE(SUBSTITUTE(SUBSTITUTE(SUBSTITUTE(SUBSTITUTE(SUBSTITUTE(SUBSTITUTE(UPPER($EI842),"0",""),"1",""),"2",""),"3",""),"4",""),"5",""),"6",""),"7",""),"8",""),"9",""),".",""),"+",""),"-",""),"E","")="",LEN(SUBSTITUTE(SUBSTITUTE(MID(UPPER($EI842),1+OR(LEFT(UPPER($EI842),1)="+",LEFT(UPPER($EI842),1)="-"),999),"E+","E"),"E-","E"))=LEN(SUBSTITUTE(SUBSTITUTE(SUBSTITUTE(SUBSTITUTE(MID(UPPER($EI842),1+OR(LEFT(UPPER($EI842),1)="+",LEFT(UPPER($EI842),1)="-"),999),"E+","E"),"E-","E"),"+",""),"-","")),LEN(UPPER($EI842))-LEN(SUBSTITUTE(UPPER($EI842),"E",""))&lt;2,LEN(UPPER($EI842))-LEN(SUBSTITUTE(UPPER($EI842),".",""))&lt;2,IFERROR(FIND(".",UPPER($EI842)),0)&lt;IFERROR(FIND("E",UPPER($EI842)),999)),ISNUMBER(VALUE($EI842)))),1,2)))</f>
        <v/>
      </c>
      <c r="EK842">
        <f>IF($DM842=0,"",IF($EJ842=1,IF(ISNUMBER($EI842),$EI842,VALUE($EI842)),IF($EJ842=2,$DE842,0)))</f>
        <v/>
      </c>
      <c r="EL842">
        <f>IF($DM842=0,"",COUNTIF($EG$5:$EG$1003,"&lt;"&amp;$EG842)+SUMPRODUCT(($EG$5:$EG$1003=$EG842)*(($EJ$5:$EJ$1003&lt;$EJ842)+($EJ$5:$EJ$1003=$EJ842)*(($EK$5:$EK$1003&lt;$EK842)+($EK$5:$EK$1003=$EK842)*($DE$5:$DE$1003&lt;$DE842))))+1)</f>
        <v/>
      </c>
      <c r="EM842">
        <f>IF($DM842=0,"",$EL842+$EG842-1)</f>
        <v/>
      </c>
      <c r="EN842">
        <f>IF($DM842=0,0,IFERROR(MATCH(1,INDEX(--(TRIM(SUBSTITUTE(SUBSTITUTE(SUBSTITUTE(SUBSTITUTE(LINES_NAME&amp;""," "," "),CHAR(9)," "),CHAR(10)," "),CHAR(13)," "))=$DH842),0),0),0))</f>
        <v/>
      </c>
      <c r="EO842">
        <f>IF($EN842=0,0,IF(OR(UPPER(TRIM(INDEX(LINES_SCHEDULED,$EN842)&amp;""))="YES",UPPER(TRIM(INDEX(LINES_SCHEDULED,$EN842)&amp;""))="Y",UPPER(TRIM(INDEX(LINES_SCHEDULED,$EN842)&amp;""))="X"),1,0))</f>
        <v/>
      </c>
      <c r="EP842">
        <f>IF($DM842=0,"",IF(COUNTIFS($EG$5:$EG$1003,$EG842,$EB$5:$EB$1003,"Ready")&gt;0,"READY",IF(COUNTIFS($EG$5:$EG$1003,$EG842,$EB$5:$EB$1003,"PM")&gt;0,"PM",IF(COUNTIFS($EG$5:$EG$1003,$EG842,$EB$5:$EB$1003,"OT")&gt;0,"OT",""))))</f>
        <v/>
      </c>
      <c r="EQ842">
        <f>IF($EN842=0,"",UPPER(TRIM(INDEX(LINES_STATUS,$EN842)&amp;"")))</f>
        <v/>
      </c>
      <c r="ER842">
        <f>IF($DM842=0,"",IF(OR($EQ842="READY",$EQ842="PM",$EQ842="OT"),$EQ842,$EP842))</f>
        <v/>
      </c>
      <c r="ES842">
        <f>IF($DM842=0,"",IF(AND($DV842&lt;&gt;"",UPPER($DV842)&lt;&gt;"N"),"allergen",IF(ISNUMBER(SEARCH("oil",$DQ842)),"oil",IF(OR(EXACT($DS842,"A662"),EXACT($DS842,"A624")),"bulk",""))))</f>
        <v/>
      </c>
      <c r="ET842">
        <f>IF($DM842=0,"",IF(OR($EA842="",$EA842=0),"",$EA842/100))</f>
        <v/>
      </c>
      <c r="EU842">
        <f>IF(OR($ET842="",$DY842=""),"",INT($DY842*(1-$ET842)+0.5))</f>
        <v/>
      </c>
    </row>
    <row r="843">
      <c r="DA843" t="n">
        <v>839</v>
      </c>
      <c r="DB843">
        <f>IF($B$37=0,"",IFERROR(TRIM(SUBSTITUTE(SUBSTITUTE(SUBSTITUTE(SUBSTITUTE(INDEX(PASTE_ALL,839,$B$37)," "," "),CHAR(9)," "),CHAR(10)," "),CHAR(13)," ")),""))</f>
        <v/>
      </c>
      <c r="DC843">
        <f>IF(AND(839&gt;HEADER_ROW,UPPER(DB843)="LEGEND"),1,0)</f>
        <v/>
      </c>
      <c r="DE843" t="n">
        <v>839</v>
      </c>
      <c r="DF843">
        <f>HEADER_ROW+$DE843</f>
        <v/>
      </c>
      <c r="DG843">
        <f>IF(AND($DF843&lt;=1000,$DF843&lt;$B$8),1,0)</f>
        <v/>
      </c>
      <c r="DH843">
        <f>IF($DG843=1,IFERROR(INDEX($DB$5:$DB$1004,$DF843),""),"")</f>
        <v/>
      </c>
      <c r="DI843">
        <f>IF(AND($DG843=1,$DH843&lt;&gt;""),IFERROR(SUBSTITUTE(SUBSTITUTE(TRIM(SUBSTITUTE(SUBSTITUTE(SUBSTITUTE(SUBSTITUTE(IFERROR(INDEX(PASTE_ALL,$DF843,1)&amp;"","")&amp;"␟"&amp;IFERROR(INDEX(PASTE_ALL,$DF843,2)&amp;"","")&amp;"␟"&amp;IFERROR(INDEX(PASTE_ALL,$DF843,3)&amp;"","")&amp;"␟"&amp;IFERROR(INDEX(PASTE_ALL,$DF843,4)&amp;"","")&amp;"␟"&amp;IFERROR(INDEX(PASTE_ALL,$DF843,5)&amp;"","")&amp;"␟"&amp;IFERROR(INDEX(PASTE_ALL,$DF843,6)&amp;"","")&amp;"␟"&amp;IFERROR(INDEX(PASTE_ALL,$DF843,7)&amp;"","")&amp;"␟"&amp;IFERROR(INDEX(PASTE_ALL,$DF843,8)&amp;"","")&amp;"␟"&amp;IFERROR(INDEX(PASTE_ALL,$DF843,9)&amp;"","")&amp;"␟"&amp;IFERROR(INDEX(PASTE_ALL,$DF843,10)&amp;"","")&amp;"␟"&amp;IFERROR(INDEX(PASTE_ALL,$DF843,11)&amp;"","")&amp;"␟"&amp;IFERROR(INDEX(PASTE_ALL,$DF843,12)&amp;"","")&amp;"␟"&amp;IFERROR(INDEX(PASTE_ALL,$DF843,13)&amp;"","")&amp;"␟"&amp;IFERROR(INDEX(PASTE_ALL,$DF843,14)&amp;"","")&amp;"␟"&amp;IFERROR(INDEX(PASTE_ALL,$DF843,15)&amp;"","")&amp;"␟"&amp;IFERROR(INDEX(PASTE_ALL,$DF843,16)&amp;"","")&amp;"␟"&amp;IFERROR(INDEX(PASTE_ALL,$DF843,17)&amp;"","")&amp;"␟"&amp;IFERROR(INDEX(PASTE_ALL,$DF843,18)&amp;"","")&amp;"␟"&amp;IFERROR(INDEX(PASTE_ALL,$DF843,19)&amp;"","")&amp;"␟"&amp;IFERROR(INDEX(PASTE_ALL,$DF843,20)&amp;"","")&amp;"␟"&amp;IFERROR(INDEX(PASTE_ALL,$DF843,21)&amp;"","")&amp;"␟"&amp;IFERROR(INDEX(PASTE_ALL,$DF843,22)&amp;"","")&amp;"␟"&amp;IFERROR(INDEX(PASTE_ALL,$DF843,23)&amp;"","")&amp;"␟"&amp;IFERROR(INDEX(PASTE_ALL,$DF843,24)&amp;"","")&amp;"␟"&amp;IFERROR(INDEX(PASTE_ALL,$DF843,25)&amp;"","")&amp;"␟"&amp;IFERROR(INDEX(PASTE_ALL,$DF843,26)&amp;"","")&amp;"␟"&amp;IFERROR(INDEX(PASTE_ALL,$DF843,27)&amp;"","")&amp;"␟"&amp;IFERROR(INDEX(PASTE_ALL,$DF843,28)&amp;"","")&amp;"␟"&amp;IFERROR(INDEX(PASTE_ALL,$DF843,29)&amp;"","")&amp;"␟"&amp;IFERROR(INDEX(PASTE_ALL,$DF843,30)&amp;"","")&amp;"␟"&amp;IFERROR(INDEX(PASTE_ALL,$DF843,31)&amp;"","")&amp;"␟"&amp;IFERROR(INDEX(PASTE_ALL,$DF843,32)&amp;"","")&amp;"␟"&amp;IFERROR(INDEX(PASTE_ALL,$DF843,33)&amp;"","")&amp;"␟"&amp;IFERROR(INDEX(PASTE_ALL,$DF843,34)&amp;"","")&amp;"␟"&amp;IFERROR(INDEX(PASTE_ALL,$DF843,35)&amp;"","")&amp;"␟"&amp;IFERROR(INDEX(PASTE_ALL,$DF843,36)&amp;"","")&amp;"␟"&amp;IFERROR(INDEX(PASTE_ALL,$DF843,37)&amp;"","")&amp;"␟"&amp;IFERROR(INDEX(PASTE_ALL,$DF843,38)&amp;"","")&amp;"␟"&amp;IFERROR(INDEX(PASTE_ALL,$DF843,39)&amp;"","")&amp;"␟"&amp;IFERROR(INDEX(PASTE_ALL,$DF843,40)&amp;"","")&amp;"␟"&amp;IFERROR(INDEX(PASTE_ALL,$DF843,41)&amp;"","")&amp;"␟"&amp;IFERROR(INDEX(PASTE_ALL,$DF843,42)&amp;"","")&amp;"␟"&amp;IFERROR(INDEX(PASTE_ALL,$DF843,43)&amp;"","")&amp;"␟"&amp;IFERROR(INDEX(PASTE_ALL,$DF843,44)&amp;"","")&amp;"␟"&amp;IFERROR(INDEX(PASTE_ALL,$DF843,45)&amp;"","")&amp;"␟"&amp;IFERROR(INDEX(PASTE_ALL,$DF843,46)&amp;"","")&amp;"␟"&amp;IFERROR(INDEX(PASTE_ALL,$DF843,47)&amp;"","")&amp;"␟"&amp;IFERROR(INDEX(PASTE_ALL,$DF843,48)&amp;"","")&amp;"␟"&amp;IFERROR(INDEX(PASTE_ALL,$DF843,49)&amp;"","")&amp;"␟"&amp;IFERROR(INDEX(PASTE_ALL,$DF843,50)&amp;"","")&amp;"␟"&amp;IFERROR(INDEX(PASTE_ALL,$DF843,51)&amp;"","")&amp;"␟"&amp;IFERROR(INDEX(PASTE_ALL,$DF843,52)&amp;"","")&amp;"␟"&amp;IFERROR(INDEX(PASTE_ALL,$DF843,53)&amp;"","")&amp;"␟"&amp;IFERROR(INDEX(PASTE_ALL,$DF843,54)&amp;"","")&amp;"␟"&amp;IFERROR(INDEX(PASTE_ALL,$DF843,55)&amp;"","")&amp;"␟"&amp;IFERROR(INDEX(PASTE_ALL,$DF843,56)&amp;"","")&amp;"␟"&amp;IFERROR(INDEX(PASTE_ALL,$DF843,57)&amp;"","")&amp;"␟"&amp;IFERROR(INDEX(PASTE_ALL,$DF843,58)&amp;"","")&amp;"␟"&amp;IFERROR(INDEX(PASTE_ALL,$DF843,59)&amp;"","")&amp;"␟"&amp;IFERROR(INDEX(PASTE_ALL,$DF843,60)&amp;"","")," "," "),CHAR(9)," "),CHAR(10)," "),CHAR(13)," "))," ␟","␟"),"␟ ","␟"),"#"&amp;$DE843),"")</f>
        <v/>
      </c>
      <c r="DJ843">
        <f>IF($DI843="",0,IF(SUMPRODUCT(--EXACT($DI$4:DI842,$DI843))&gt;0,1,0))</f>
        <v/>
      </c>
      <c r="DK843">
        <f>IF(AND($DI843&lt;&gt;"",$DJ843=0),1,0)</f>
        <v/>
      </c>
      <c r="DL843">
        <f>DL842+$DK843</f>
        <v/>
      </c>
      <c r="DM843">
        <f>IF(AND($DK843=1,$DL843&lt;=600),1,0)</f>
        <v/>
      </c>
      <c r="DN843">
        <f>IF($DM843=0,"",IF($L$6=0,"",IFERROR(IF(ISNUMBER(INDEX(PASTE_ALL,$DF843,$L$6)),INDEX(PASTE_ALL,$DF843,$L$6),TRIM(SUBSTITUTE(SUBSTITUTE(SUBSTITUTE(SUBSTITUTE(INDEX(PASTE_ALL,$DF843,$L$6)," "," "),CHAR(9)," "),CHAR(10)," "),CHAR(13)," "))),"")))</f>
        <v/>
      </c>
      <c r="DO843">
        <f>IF($DM843=0,"",IF($L$7=0,"",IFERROR(IF(ISNUMBER(INDEX(PASTE_ALL,$DF843,$L$7)),INDEX(PASTE_ALL,$DF843,$L$7),TRIM(SUBSTITUTE(SUBSTITUTE(SUBSTITUTE(SUBSTITUTE(INDEX(PASTE_ALL,$DF843,$L$7)," "," "),CHAR(9)," "),CHAR(10)," "),CHAR(13)," "))),"")))</f>
        <v/>
      </c>
      <c r="DP843">
        <f>IF($DM843=0,"",IF($L$8=0,"",IFERROR(IF(ISNUMBER(INDEX(PASTE_ALL,$DF843,$L$8)),INDEX(PASTE_ALL,$DF843,$L$8),TRIM(SUBSTITUTE(SUBSTITUTE(SUBSTITUTE(SUBSTITUTE(INDEX(PASTE_ALL,$DF843,$L$8)," "," "),CHAR(9)," "),CHAR(10)," "),CHAR(13)," "))),"")))</f>
        <v/>
      </c>
      <c r="DQ843">
        <f>IF($DM843=0,"",IF($L$9=0,"",IFERROR(IF(ISNUMBER(INDEX(PASTE_ALL,$DF843,$L$9)),INDEX(PASTE_ALL,$DF843,$L$9),TRIM(SUBSTITUTE(SUBSTITUTE(SUBSTITUTE(SUBSTITUTE(INDEX(PASTE_ALL,$DF843,$L$9)," "," "),CHAR(9)," "),CHAR(10)," "),CHAR(13)," "))),"")))</f>
        <v/>
      </c>
      <c r="DR843">
        <f>IF($DM843=0,"",IF($L$10=0,"",IFERROR(IF(ISNUMBER(INDEX(PASTE_ALL,$DF843,$L$10)),INDEX(PASTE_ALL,$DF843,$L$10),TRIM(SUBSTITUTE(SUBSTITUTE(SUBSTITUTE(SUBSTITUTE(INDEX(PASTE_ALL,$DF843,$L$10)," "," "),CHAR(9)," "),CHAR(10)," "),CHAR(13)," "))),"")))</f>
        <v/>
      </c>
      <c r="DS843">
        <f>IF($DM843=0,"",IF($L$11=0,"",IFERROR(IF(ISNUMBER(INDEX(PASTE_ALL,$DF843,$L$11)),INDEX(PASTE_ALL,$DF843,$L$11),TRIM(SUBSTITUTE(SUBSTITUTE(SUBSTITUTE(SUBSTITUTE(INDEX(PASTE_ALL,$DF843,$L$11)," "," "),CHAR(9)," "),CHAR(10)," "),CHAR(13)," "))),"")))</f>
        <v/>
      </c>
      <c r="DT843">
        <f>IF($DM843=0,"",IF($L$12=0,"",IFERROR(IF(ISNUMBER(INDEX(PASTE_ALL,$DF843,$L$12)),INDEX(PASTE_ALL,$DF843,$L$12),TRIM(SUBSTITUTE(SUBSTITUTE(SUBSTITUTE(SUBSTITUTE(INDEX(PASTE_ALL,$DF843,$L$12)," "," "),CHAR(9)," "),CHAR(10)," "),CHAR(13)," "))),"")))</f>
        <v/>
      </c>
      <c r="DU843">
        <f>IF($DM843=0,"",IF($L$13=0,"",IFERROR(IF(ISNUMBER(INDEX(PASTE_ALL,$DF843,$L$13)),INDEX(PASTE_ALL,$DF843,$L$13),TRIM(SUBSTITUTE(SUBSTITUTE(SUBSTITUTE(SUBSTITUTE(INDEX(PASTE_ALL,$DF843,$L$13)," "," "),CHAR(9)," "),CHAR(10)," "),CHAR(13)," "))),"")))</f>
        <v/>
      </c>
      <c r="DV843">
        <f>IF($DM843=0,"",IF($L$14=0,"",IFERROR(IF(ISNUMBER(INDEX(PASTE_ALL,$DF843,$L$14)),INDEX(PASTE_ALL,$DF843,$L$14),TRIM(SUBSTITUTE(SUBSTITUTE(SUBSTITUTE(SUBSTITUTE(INDEX(PASTE_ALL,$DF843,$L$14)," "," "),CHAR(9)," "),CHAR(10)," "),CHAR(13)," "))),"")))</f>
        <v/>
      </c>
      <c r="DW843">
        <f>IF($DM843=0,"",IF($L$15=0,"",IFERROR(IF(ISNUMBER(INDEX(PASTE_ALL,$DF843,$L$15)),INDEX(PASTE_ALL,$DF843,$L$15),IF(SUMPRODUCT(--ISNUMBER(FIND({"A","B","C","D","E","F","G","H","I","J","K","L","M","N","O","P","Q","R","S","T","U","V","W","X","Y","Z","0","1","2","3","4","5","6","7","8","9"},UPPER(TRIM(SUBSTITUTE(SUBSTITUTE(SUBSTITUTE(SUBSTITUTE(INDEX(PASTE_ALL,$DF843,$L$15)," "," "),CHAR(9)," "),CHAR(10)," "),CHAR(13)," "))))))&gt;0,TRIM(SUBSTITUTE(SUBSTITUTE(SUBSTITUTE(SUBSTITUTE(INDEX(PASTE_ALL,$DF843,$L$15)," "," "),CHAR(9)," "),CHAR(10)," "),CHAR(13)," ")),"")),"")))</f>
        <v/>
      </c>
      <c r="DX843">
        <f>IF($DM843=0,"",IF($L$16=0,"",IFERROR(IF(ISNUMBER(INDEX(PASTE_ALL,$DF843,$L$16)),INDEX(PASTE_ALL,$DF843,$L$16),SUBSTITUTE(SUBSTITUTE(TRIM(SUBSTITUTE(SUBSTITUTE(SUBSTITUTE(SUBSTITUTE(INDEX(PASTE_ALL,$DF843,$L$16)," "," "),CHAR(9)," "),CHAR(10)," "),CHAR(13)," ")),",",""),"%","")),"")))</f>
        <v/>
      </c>
      <c r="DY843">
        <f>IF($DM843=0,"",IFERROR(IF(ISNUMBER($DX843),$DX843,IF($DX843="","",IF(TRIM($DX843)="",0,IF(AND(AND(SUBSTITUTE(SUBSTITUTE(SUBSTITUTE(SUBSTITUTE(SUBSTITUTE(SUBSTITUTE(SUBSTITUTE(SUBSTITUTE(SUBSTITUTE(SUBSTITUTE(SUBSTITUTE(SUBSTITUTE(SUBSTITUTE(SUBSTITUTE(UPPER(TRIM($DX843)),"0",""),"1",""),"2",""),"3",""),"4",""),"5",""),"6",""),"7",""),"8",""),"9",""),".",""),"+",""),"-",""),"E","")="",LEN(SUBSTITUTE(SUBSTITUTE(MID(UPPER(TRIM($DX843)),1+OR(LEFT(UPPER(TRIM($DX843)),1)="+",LEFT(UPPER(TRIM($DX843)),1)="-"),999),"E+","E"),"E-","E"))=LEN(SUBSTITUTE(SUBSTITUTE(SUBSTITUTE(SUBSTITUTE(MID(UPPER(TRIM($DX843)),1+OR(LEFT(UPPER(TRIM($DX843)),1)="+",LEFT(UPPER(TRIM($DX843)),1)="-"),999),"E+","E"),"E-","E"),"+",""),"-","")),LEN(UPPER(TRIM($DX843)))-LEN(SUBSTITUTE(UPPER(TRIM($DX843)),"E",""))&lt;2,LEN(UPPER(TRIM($DX843)))-LEN(SUBSTITUTE(UPPER(TRIM($DX843)),".",""))&lt;2,IFERROR(FIND(".",UPPER(TRIM($DX843))),0)&lt;IFERROR(FIND("E",UPPER(TRIM($DX843))),999)),ISNUMBER(VALUE(TRIM($DX843)))),VALUE(TRIM($DX843)),"")))),""))</f>
        <v/>
      </c>
      <c r="DZ843">
        <f>IF($DM843=0,"",IF($L$17=0,"",IFERROR(IF(ISNUMBER(INDEX(PASTE_ALL,$DF843,$L$17)),INDEX(PASTE_ALL,$DF843,$L$17),SUBSTITUTE(SUBSTITUTE(TRIM(SUBSTITUTE(SUBSTITUTE(SUBSTITUTE(SUBSTITUTE(INDEX(PASTE_ALL,$DF843,$L$17)," "," "),CHAR(9)," "),CHAR(10)," "),CHAR(13)," ")),",",""),"%","")),"")))</f>
        <v/>
      </c>
      <c r="EA843">
        <f>IF($DM843=0,"",IFERROR(IF(ISNUMBER($DZ843),$DZ843,IF($DZ843="","",IF(TRIM($DZ843)="",0,IF(AND(AND(SUBSTITUTE(SUBSTITUTE(SUBSTITUTE(SUBSTITUTE(SUBSTITUTE(SUBSTITUTE(SUBSTITUTE(SUBSTITUTE(SUBSTITUTE(SUBSTITUTE(SUBSTITUTE(SUBSTITUTE(SUBSTITUTE(SUBSTITUTE(UPPER(TRIM($DZ843)),"0",""),"1",""),"2",""),"3",""),"4",""),"5",""),"6",""),"7",""),"8",""),"9",""),".",""),"+",""),"-",""),"E","")="",LEN(SUBSTITUTE(SUBSTITUTE(MID(UPPER(TRIM($DZ843)),1+OR(LEFT(UPPER(TRIM($DZ843)),1)="+",LEFT(UPPER(TRIM($DZ843)),1)="-"),999),"E+","E"),"E-","E"))=LEN(SUBSTITUTE(SUBSTITUTE(SUBSTITUTE(SUBSTITUTE(MID(UPPER(TRIM($DZ843)),1+OR(LEFT(UPPER(TRIM($DZ843)),1)="+",LEFT(UPPER(TRIM($DZ843)),1)="-"),999),"E+","E"),"E-","E"),"+",""),"-","")),LEN(UPPER(TRIM($DZ843)))-LEN(SUBSTITUTE(UPPER(TRIM($DZ843)),"E",""))&lt;2,LEN(UPPER(TRIM($DZ843)))-LEN(SUBSTITUTE(UPPER(TRIM($DZ843)),".",""))&lt;2,IFERROR(FIND(".",UPPER(TRIM($DZ843))),0)&lt;IFERROR(FIND("E",UPPER(TRIM($DZ843))),999)),ISNUMBER(VALUE(TRIM($DZ843)))),VALUE(TRIM($DZ843)),"")))),""))</f>
        <v/>
      </c>
      <c r="EB843">
        <f>IF($DM843=0,"",IF($L$18=0,"",IFERROR(IF(UPPER(TRIM(SUBSTITUTE(SUBSTITUTE(SUBSTITUTE(SUBSTITUTE(INDEX(PASTE_ALL,$DF843,$L$18)," "," "),CHAR(9)," "),CHAR(10)," "),CHAR(13)," ")))="READY","Ready",IF(UPPER(TRIM(SUBSTITUTE(SUBSTITUTE(SUBSTITUTE(SUBSTITUTE(INDEX(PASTE_ALL,$DF843,$L$18)," "," "),CHAR(9)," "),CHAR(10)," "),CHAR(13)," ")))="PM","PM",IF(OR(UPPER(TRIM(SUBSTITUTE(SUBSTITUTE(SUBSTITUTE(SUBSTITUTE(INDEX(PASTE_ALL,$DF843,$L$18)," "," "),CHAR(9)," "),CHAR(10)," "),CHAR(13)," ")))="OT",UPPER(TRIM(SUBSTITUTE(SUBSTITUTE(SUBSTITUTE(SUBSTITUTE(INDEX(PASTE_ALL,$DF843,$L$18)," "," "),CHAR(9)," "),CHAR(10)," "),CHAR(13)," ")))="OVERTIME",UPPER(TRIM(SUBSTITUTE(SUBSTITUTE(SUBSTITUTE(SUBSTITUTE(INDEX(PASTE_ALL,$DF843,$L$18)," "," "),CHAR(9)," "),CHAR(10)," "),CHAR(13)," ")))="TRIAL"),"OT",TRIM(SUBSTITUTE(SUBSTITUTE(SUBSTITUTE(SUBSTITUTE(INDEX(PASTE_ALL,$DF843,$L$18)," "," "),CHAR(9)," "),CHAR(10)," "),CHAR(13)," "))))),"")))</f>
        <v/>
      </c>
      <c r="EC843">
        <f>IF($DM843=0,"",IF($L$19=0,"",IFERROR(IF(ISNUMBER(INDEX(PASTE_ALL,$DF843,$L$19)),INDEX(PASTE_ALL,$DF843,$L$19),TRIM(SUBSTITUTE(SUBSTITUTE(SUBSTITUTE(SUBSTITUTE(INDEX(PASTE_ALL,$DF843,$L$19)," "," "),CHAR(9)," "),CHAR(10)," "),CHAR(13)," "))),"")))</f>
        <v/>
      </c>
      <c r="ED843">
        <f>IF($DM843=0,"",MATCH(1,INDEX(EXACT($DH$5:DH843,$DH843)*$DM$5:DM843,0),0))</f>
        <v/>
      </c>
      <c r="EE843">
        <f>IF($DM843=0,0,IF($ED843=$DE843,1,0))</f>
        <v/>
      </c>
      <c r="EF843">
        <f>EF842+$EE843</f>
        <v/>
      </c>
      <c r="EG843">
        <f>IF($DM843=0,"",INDEX($EF$5:$EF$1003,$ED843))</f>
        <v/>
      </c>
      <c r="EH843">
        <f>IF($DM843=0,"",IF($DO843&lt;&gt;"","",IFERROR(LOOKUP(2,1/(($EG$4:EG842=$EG843)*($DO$4:DO842&lt;&gt;"")),$DO$4:DO842),"")))</f>
        <v/>
      </c>
      <c r="EI843">
        <f>IF($DM843=0,"",IF($DO843&lt;&gt;"",$DO843,$EH843))</f>
        <v/>
      </c>
      <c r="EJ843">
        <f>IF($DM843=0,"",IF($EI843="",0,IF(OR(ISNUMBER($EI843),AND(AND(SUBSTITUTE(SUBSTITUTE(SUBSTITUTE(SUBSTITUTE(SUBSTITUTE(SUBSTITUTE(SUBSTITUTE(SUBSTITUTE(SUBSTITUTE(SUBSTITUTE(SUBSTITUTE(SUBSTITUTE(SUBSTITUTE(SUBSTITUTE(UPPER($EI843),"0",""),"1",""),"2",""),"3",""),"4",""),"5",""),"6",""),"7",""),"8",""),"9",""),".",""),"+",""),"-",""),"E","")="",LEN(SUBSTITUTE(SUBSTITUTE(MID(UPPER($EI843),1+OR(LEFT(UPPER($EI843),1)="+",LEFT(UPPER($EI843),1)="-"),999),"E+","E"),"E-","E"))=LEN(SUBSTITUTE(SUBSTITUTE(SUBSTITUTE(SUBSTITUTE(MID(UPPER($EI843),1+OR(LEFT(UPPER($EI843),1)="+",LEFT(UPPER($EI843),1)="-"),999),"E+","E"),"E-","E"),"+",""),"-","")),LEN(UPPER($EI843))-LEN(SUBSTITUTE(UPPER($EI843),"E",""))&lt;2,LEN(UPPER($EI843))-LEN(SUBSTITUTE(UPPER($EI843),".",""))&lt;2,IFERROR(FIND(".",UPPER($EI843)),0)&lt;IFERROR(FIND("E",UPPER($EI843)),999)),ISNUMBER(VALUE($EI843)))),1,2)))</f>
        <v/>
      </c>
      <c r="EK843">
        <f>IF($DM843=0,"",IF($EJ843=1,IF(ISNUMBER($EI843),$EI843,VALUE($EI843)),IF($EJ843=2,$DE843,0)))</f>
        <v/>
      </c>
      <c r="EL843">
        <f>IF($DM843=0,"",COUNTIF($EG$5:$EG$1003,"&lt;"&amp;$EG843)+SUMPRODUCT(($EG$5:$EG$1003=$EG843)*(($EJ$5:$EJ$1003&lt;$EJ843)+($EJ$5:$EJ$1003=$EJ843)*(($EK$5:$EK$1003&lt;$EK843)+($EK$5:$EK$1003=$EK843)*($DE$5:$DE$1003&lt;$DE843))))+1)</f>
        <v/>
      </c>
      <c r="EM843">
        <f>IF($DM843=0,"",$EL843+$EG843-1)</f>
        <v/>
      </c>
      <c r="EN843">
        <f>IF($DM843=0,0,IFERROR(MATCH(1,INDEX(--(TRIM(SUBSTITUTE(SUBSTITUTE(SUBSTITUTE(SUBSTITUTE(LINES_NAME&amp;""," "," "),CHAR(9)," "),CHAR(10)," "),CHAR(13)," "))=$DH843),0),0),0))</f>
        <v/>
      </c>
      <c r="EO843">
        <f>IF($EN843=0,0,IF(OR(UPPER(TRIM(INDEX(LINES_SCHEDULED,$EN843)&amp;""))="YES",UPPER(TRIM(INDEX(LINES_SCHEDULED,$EN843)&amp;""))="Y",UPPER(TRIM(INDEX(LINES_SCHEDULED,$EN843)&amp;""))="X"),1,0))</f>
        <v/>
      </c>
      <c r="EP843">
        <f>IF($DM843=0,"",IF(COUNTIFS($EG$5:$EG$1003,$EG843,$EB$5:$EB$1003,"Ready")&gt;0,"READY",IF(COUNTIFS($EG$5:$EG$1003,$EG843,$EB$5:$EB$1003,"PM")&gt;0,"PM",IF(COUNTIFS($EG$5:$EG$1003,$EG843,$EB$5:$EB$1003,"OT")&gt;0,"OT",""))))</f>
        <v/>
      </c>
      <c r="EQ843">
        <f>IF($EN843=0,"",UPPER(TRIM(INDEX(LINES_STATUS,$EN843)&amp;"")))</f>
        <v/>
      </c>
      <c r="ER843">
        <f>IF($DM843=0,"",IF(OR($EQ843="READY",$EQ843="PM",$EQ843="OT"),$EQ843,$EP843))</f>
        <v/>
      </c>
      <c r="ES843">
        <f>IF($DM843=0,"",IF(AND($DV843&lt;&gt;"",UPPER($DV843)&lt;&gt;"N"),"allergen",IF(ISNUMBER(SEARCH("oil",$DQ843)),"oil",IF(OR(EXACT($DS843,"A662"),EXACT($DS843,"A624")),"bulk",""))))</f>
        <v/>
      </c>
      <c r="ET843">
        <f>IF($DM843=0,"",IF(OR($EA843="",$EA843=0),"",$EA843/100))</f>
        <v/>
      </c>
      <c r="EU843">
        <f>IF(OR($ET843="",$DY843=""),"",INT($DY843*(1-$ET843)+0.5))</f>
        <v/>
      </c>
    </row>
    <row r="844">
      <c r="DA844" t="n">
        <v>840</v>
      </c>
      <c r="DB844">
        <f>IF($B$37=0,"",IFERROR(TRIM(SUBSTITUTE(SUBSTITUTE(SUBSTITUTE(SUBSTITUTE(INDEX(PASTE_ALL,840,$B$37)," "," "),CHAR(9)," "),CHAR(10)," "),CHAR(13)," ")),""))</f>
        <v/>
      </c>
      <c r="DC844">
        <f>IF(AND(840&gt;HEADER_ROW,UPPER(DB844)="LEGEND"),1,0)</f>
        <v/>
      </c>
      <c r="DE844" t="n">
        <v>840</v>
      </c>
      <c r="DF844">
        <f>HEADER_ROW+$DE844</f>
        <v/>
      </c>
      <c r="DG844">
        <f>IF(AND($DF844&lt;=1000,$DF844&lt;$B$8),1,0)</f>
        <v/>
      </c>
      <c r="DH844">
        <f>IF($DG844=1,IFERROR(INDEX($DB$5:$DB$1004,$DF844),""),"")</f>
        <v/>
      </c>
      <c r="DI844">
        <f>IF(AND($DG844=1,$DH844&lt;&gt;""),IFERROR(SUBSTITUTE(SUBSTITUTE(TRIM(SUBSTITUTE(SUBSTITUTE(SUBSTITUTE(SUBSTITUTE(IFERROR(INDEX(PASTE_ALL,$DF844,1)&amp;"","")&amp;"␟"&amp;IFERROR(INDEX(PASTE_ALL,$DF844,2)&amp;"","")&amp;"␟"&amp;IFERROR(INDEX(PASTE_ALL,$DF844,3)&amp;"","")&amp;"␟"&amp;IFERROR(INDEX(PASTE_ALL,$DF844,4)&amp;"","")&amp;"␟"&amp;IFERROR(INDEX(PASTE_ALL,$DF844,5)&amp;"","")&amp;"␟"&amp;IFERROR(INDEX(PASTE_ALL,$DF844,6)&amp;"","")&amp;"␟"&amp;IFERROR(INDEX(PASTE_ALL,$DF844,7)&amp;"","")&amp;"␟"&amp;IFERROR(INDEX(PASTE_ALL,$DF844,8)&amp;"","")&amp;"␟"&amp;IFERROR(INDEX(PASTE_ALL,$DF844,9)&amp;"","")&amp;"␟"&amp;IFERROR(INDEX(PASTE_ALL,$DF844,10)&amp;"","")&amp;"␟"&amp;IFERROR(INDEX(PASTE_ALL,$DF844,11)&amp;"","")&amp;"␟"&amp;IFERROR(INDEX(PASTE_ALL,$DF844,12)&amp;"","")&amp;"␟"&amp;IFERROR(INDEX(PASTE_ALL,$DF844,13)&amp;"","")&amp;"␟"&amp;IFERROR(INDEX(PASTE_ALL,$DF844,14)&amp;"","")&amp;"␟"&amp;IFERROR(INDEX(PASTE_ALL,$DF844,15)&amp;"","")&amp;"␟"&amp;IFERROR(INDEX(PASTE_ALL,$DF844,16)&amp;"","")&amp;"␟"&amp;IFERROR(INDEX(PASTE_ALL,$DF844,17)&amp;"","")&amp;"␟"&amp;IFERROR(INDEX(PASTE_ALL,$DF844,18)&amp;"","")&amp;"␟"&amp;IFERROR(INDEX(PASTE_ALL,$DF844,19)&amp;"","")&amp;"␟"&amp;IFERROR(INDEX(PASTE_ALL,$DF844,20)&amp;"","")&amp;"␟"&amp;IFERROR(INDEX(PASTE_ALL,$DF844,21)&amp;"","")&amp;"␟"&amp;IFERROR(INDEX(PASTE_ALL,$DF844,22)&amp;"","")&amp;"␟"&amp;IFERROR(INDEX(PASTE_ALL,$DF844,23)&amp;"","")&amp;"␟"&amp;IFERROR(INDEX(PASTE_ALL,$DF844,24)&amp;"","")&amp;"␟"&amp;IFERROR(INDEX(PASTE_ALL,$DF844,25)&amp;"","")&amp;"␟"&amp;IFERROR(INDEX(PASTE_ALL,$DF844,26)&amp;"","")&amp;"␟"&amp;IFERROR(INDEX(PASTE_ALL,$DF844,27)&amp;"","")&amp;"␟"&amp;IFERROR(INDEX(PASTE_ALL,$DF844,28)&amp;"","")&amp;"␟"&amp;IFERROR(INDEX(PASTE_ALL,$DF844,29)&amp;"","")&amp;"␟"&amp;IFERROR(INDEX(PASTE_ALL,$DF844,30)&amp;"","")&amp;"␟"&amp;IFERROR(INDEX(PASTE_ALL,$DF844,31)&amp;"","")&amp;"␟"&amp;IFERROR(INDEX(PASTE_ALL,$DF844,32)&amp;"","")&amp;"␟"&amp;IFERROR(INDEX(PASTE_ALL,$DF844,33)&amp;"","")&amp;"␟"&amp;IFERROR(INDEX(PASTE_ALL,$DF844,34)&amp;"","")&amp;"␟"&amp;IFERROR(INDEX(PASTE_ALL,$DF844,35)&amp;"","")&amp;"␟"&amp;IFERROR(INDEX(PASTE_ALL,$DF844,36)&amp;"","")&amp;"␟"&amp;IFERROR(INDEX(PASTE_ALL,$DF844,37)&amp;"","")&amp;"␟"&amp;IFERROR(INDEX(PASTE_ALL,$DF844,38)&amp;"","")&amp;"␟"&amp;IFERROR(INDEX(PASTE_ALL,$DF844,39)&amp;"","")&amp;"␟"&amp;IFERROR(INDEX(PASTE_ALL,$DF844,40)&amp;"","")&amp;"␟"&amp;IFERROR(INDEX(PASTE_ALL,$DF844,41)&amp;"","")&amp;"␟"&amp;IFERROR(INDEX(PASTE_ALL,$DF844,42)&amp;"","")&amp;"␟"&amp;IFERROR(INDEX(PASTE_ALL,$DF844,43)&amp;"","")&amp;"␟"&amp;IFERROR(INDEX(PASTE_ALL,$DF844,44)&amp;"","")&amp;"␟"&amp;IFERROR(INDEX(PASTE_ALL,$DF844,45)&amp;"","")&amp;"␟"&amp;IFERROR(INDEX(PASTE_ALL,$DF844,46)&amp;"","")&amp;"␟"&amp;IFERROR(INDEX(PASTE_ALL,$DF844,47)&amp;"","")&amp;"␟"&amp;IFERROR(INDEX(PASTE_ALL,$DF844,48)&amp;"","")&amp;"␟"&amp;IFERROR(INDEX(PASTE_ALL,$DF844,49)&amp;"","")&amp;"␟"&amp;IFERROR(INDEX(PASTE_ALL,$DF844,50)&amp;"","")&amp;"␟"&amp;IFERROR(INDEX(PASTE_ALL,$DF844,51)&amp;"","")&amp;"␟"&amp;IFERROR(INDEX(PASTE_ALL,$DF844,52)&amp;"","")&amp;"␟"&amp;IFERROR(INDEX(PASTE_ALL,$DF844,53)&amp;"","")&amp;"␟"&amp;IFERROR(INDEX(PASTE_ALL,$DF844,54)&amp;"","")&amp;"␟"&amp;IFERROR(INDEX(PASTE_ALL,$DF844,55)&amp;"","")&amp;"␟"&amp;IFERROR(INDEX(PASTE_ALL,$DF844,56)&amp;"","")&amp;"␟"&amp;IFERROR(INDEX(PASTE_ALL,$DF844,57)&amp;"","")&amp;"␟"&amp;IFERROR(INDEX(PASTE_ALL,$DF844,58)&amp;"","")&amp;"␟"&amp;IFERROR(INDEX(PASTE_ALL,$DF844,59)&amp;"","")&amp;"␟"&amp;IFERROR(INDEX(PASTE_ALL,$DF844,60)&amp;"","")," "," "),CHAR(9)," "),CHAR(10)," "),CHAR(13)," "))," ␟","␟"),"␟ ","␟"),"#"&amp;$DE844),"")</f>
        <v/>
      </c>
      <c r="DJ844">
        <f>IF($DI844="",0,IF(SUMPRODUCT(--EXACT($DI$4:DI843,$DI844))&gt;0,1,0))</f>
        <v/>
      </c>
      <c r="DK844">
        <f>IF(AND($DI844&lt;&gt;"",$DJ844=0),1,0)</f>
        <v/>
      </c>
      <c r="DL844">
        <f>DL843+$DK844</f>
        <v/>
      </c>
      <c r="DM844">
        <f>IF(AND($DK844=1,$DL844&lt;=600),1,0)</f>
        <v/>
      </c>
      <c r="DN844">
        <f>IF($DM844=0,"",IF($L$6=0,"",IFERROR(IF(ISNUMBER(INDEX(PASTE_ALL,$DF844,$L$6)),INDEX(PASTE_ALL,$DF844,$L$6),TRIM(SUBSTITUTE(SUBSTITUTE(SUBSTITUTE(SUBSTITUTE(INDEX(PASTE_ALL,$DF844,$L$6)," "," "),CHAR(9)," "),CHAR(10)," "),CHAR(13)," "))),"")))</f>
        <v/>
      </c>
      <c r="DO844">
        <f>IF($DM844=0,"",IF($L$7=0,"",IFERROR(IF(ISNUMBER(INDEX(PASTE_ALL,$DF844,$L$7)),INDEX(PASTE_ALL,$DF844,$L$7),TRIM(SUBSTITUTE(SUBSTITUTE(SUBSTITUTE(SUBSTITUTE(INDEX(PASTE_ALL,$DF844,$L$7)," "," "),CHAR(9)," "),CHAR(10)," "),CHAR(13)," "))),"")))</f>
        <v/>
      </c>
      <c r="DP844">
        <f>IF($DM844=0,"",IF($L$8=0,"",IFERROR(IF(ISNUMBER(INDEX(PASTE_ALL,$DF844,$L$8)),INDEX(PASTE_ALL,$DF844,$L$8),TRIM(SUBSTITUTE(SUBSTITUTE(SUBSTITUTE(SUBSTITUTE(INDEX(PASTE_ALL,$DF844,$L$8)," "," "),CHAR(9)," "),CHAR(10)," "),CHAR(13)," "))),"")))</f>
        <v/>
      </c>
      <c r="DQ844">
        <f>IF($DM844=0,"",IF($L$9=0,"",IFERROR(IF(ISNUMBER(INDEX(PASTE_ALL,$DF844,$L$9)),INDEX(PASTE_ALL,$DF844,$L$9),TRIM(SUBSTITUTE(SUBSTITUTE(SUBSTITUTE(SUBSTITUTE(INDEX(PASTE_ALL,$DF844,$L$9)," "," "),CHAR(9)," "),CHAR(10)," "),CHAR(13)," "))),"")))</f>
        <v/>
      </c>
      <c r="DR844">
        <f>IF($DM844=0,"",IF($L$10=0,"",IFERROR(IF(ISNUMBER(INDEX(PASTE_ALL,$DF844,$L$10)),INDEX(PASTE_ALL,$DF844,$L$10),TRIM(SUBSTITUTE(SUBSTITUTE(SUBSTITUTE(SUBSTITUTE(INDEX(PASTE_ALL,$DF844,$L$10)," "," "),CHAR(9)," "),CHAR(10)," "),CHAR(13)," "))),"")))</f>
        <v/>
      </c>
      <c r="DS844">
        <f>IF($DM844=0,"",IF($L$11=0,"",IFERROR(IF(ISNUMBER(INDEX(PASTE_ALL,$DF844,$L$11)),INDEX(PASTE_ALL,$DF844,$L$11),TRIM(SUBSTITUTE(SUBSTITUTE(SUBSTITUTE(SUBSTITUTE(INDEX(PASTE_ALL,$DF844,$L$11)," "," "),CHAR(9)," "),CHAR(10)," "),CHAR(13)," "))),"")))</f>
        <v/>
      </c>
      <c r="DT844">
        <f>IF($DM844=0,"",IF($L$12=0,"",IFERROR(IF(ISNUMBER(INDEX(PASTE_ALL,$DF844,$L$12)),INDEX(PASTE_ALL,$DF844,$L$12),TRIM(SUBSTITUTE(SUBSTITUTE(SUBSTITUTE(SUBSTITUTE(INDEX(PASTE_ALL,$DF844,$L$12)," "," "),CHAR(9)," "),CHAR(10)," "),CHAR(13)," "))),"")))</f>
        <v/>
      </c>
      <c r="DU844">
        <f>IF($DM844=0,"",IF($L$13=0,"",IFERROR(IF(ISNUMBER(INDEX(PASTE_ALL,$DF844,$L$13)),INDEX(PASTE_ALL,$DF844,$L$13),TRIM(SUBSTITUTE(SUBSTITUTE(SUBSTITUTE(SUBSTITUTE(INDEX(PASTE_ALL,$DF844,$L$13)," "," "),CHAR(9)," "),CHAR(10)," "),CHAR(13)," "))),"")))</f>
        <v/>
      </c>
      <c r="DV844">
        <f>IF($DM844=0,"",IF($L$14=0,"",IFERROR(IF(ISNUMBER(INDEX(PASTE_ALL,$DF844,$L$14)),INDEX(PASTE_ALL,$DF844,$L$14),TRIM(SUBSTITUTE(SUBSTITUTE(SUBSTITUTE(SUBSTITUTE(INDEX(PASTE_ALL,$DF844,$L$14)," "," "),CHAR(9)," "),CHAR(10)," "),CHAR(13)," "))),"")))</f>
        <v/>
      </c>
      <c r="DW844">
        <f>IF($DM844=0,"",IF($L$15=0,"",IFERROR(IF(ISNUMBER(INDEX(PASTE_ALL,$DF844,$L$15)),INDEX(PASTE_ALL,$DF844,$L$15),IF(SUMPRODUCT(--ISNUMBER(FIND({"A","B","C","D","E","F","G","H","I","J","K","L","M","N","O","P","Q","R","S","T","U","V","W","X","Y","Z","0","1","2","3","4","5","6","7","8","9"},UPPER(TRIM(SUBSTITUTE(SUBSTITUTE(SUBSTITUTE(SUBSTITUTE(INDEX(PASTE_ALL,$DF844,$L$15)," "," "),CHAR(9)," "),CHAR(10)," "),CHAR(13)," "))))))&gt;0,TRIM(SUBSTITUTE(SUBSTITUTE(SUBSTITUTE(SUBSTITUTE(INDEX(PASTE_ALL,$DF844,$L$15)," "," "),CHAR(9)," "),CHAR(10)," "),CHAR(13)," ")),"")),"")))</f>
        <v/>
      </c>
      <c r="DX844">
        <f>IF($DM844=0,"",IF($L$16=0,"",IFERROR(IF(ISNUMBER(INDEX(PASTE_ALL,$DF844,$L$16)),INDEX(PASTE_ALL,$DF844,$L$16),SUBSTITUTE(SUBSTITUTE(TRIM(SUBSTITUTE(SUBSTITUTE(SUBSTITUTE(SUBSTITUTE(INDEX(PASTE_ALL,$DF844,$L$16)," "," "),CHAR(9)," "),CHAR(10)," "),CHAR(13)," ")),",",""),"%","")),"")))</f>
        <v/>
      </c>
      <c r="DY844">
        <f>IF($DM844=0,"",IFERROR(IF(ISNUMBER($DX844),$DX844,IF($DX844="","",IF(TRIM($DX844)="",0,IF(AND(AND(SUBSTITUTE(SUBSTITUTE(SUBSTITUTE(SUBSTITUTE(SUBSTITUTE(SUBSTITUTE(SUBSTITUTE(SUBSTITUTE(SUBSTITUTE(SUBSTITUTE(SUBSTITUTE(SUBSTITUTE(SUBSTITUTE(SUBSTITUTE(UPPER(TRIM($DX844)),"0",""),"1",""),"2",""),"3",""),"4",""),"5",""),"6",""),"7",""),"8",""),"9",""),".",""),"+",""),"-",""),"E","")="",LEN(SUBSTITUTE(SUBSTITUTE(MID(UPPER(TRIM($DX844)),1+OR(LEFT(UPPER(TRIM($DX844)),1)="+",LEFT(UPPER(TRIM($DX844)),1)="-"),999),"E+","E"),"E-","E"))=LEN(SUBSTITUTE(SUBSTITUTE(SUBSTITUTE(SUBSTITUTE(MID(UPPER(TRIM($DX844)),1+OR(LEFT(UPPER(TRIM($DX844)),1)="+",LEFT(UPPER(TRIM($DX844)),1)="-"),999),"E+","E"),"E-","E"),"+",""),"-","")),LEN(UPPER(TRIM($DX844)))-LEN(SUBSTITUTE(UPPER(TRIM($DX844)),"E",""))&lt;2,LEN(UPPER(TRIM($DX844)))-LEN(SUBSTITUTE(UPPER(TRIM($DX844)),".",""))&lt;2,IFERROR(FIND(".",UPPER(TRIM($DX844))),0)&lt;IFERROR(FIND("E",UPPER(TRIM($DX844))),999)),ISNUMBER(VALUE(TRIM($DX844)))),VALUE(TRIM($DX844)),"")))),""))</f>
        <v/>
      </c>
      <c r="DZ844">
        <f>IF($DM844=0,"",IF($L$17=0,"",IFERROR(IF(ISNUMBER(INDEX(PASTE_ALL,$DF844,$L$17)),INDEX(PASTE_ALL,$DF844,$L$17),SUBSTITUTE(SUBSTITUTE(TRIM(SUBSTITUTE(SUBSTITUTE(SUBSTITUTE(SUBSTITUTE(INDEX(PASTE_ALL,$DF844,$L$17)," "," "),CHAR(9)," "),CHAR(10)," "),CHAR(13)," ")),",",""),"%","")),"")))</f>
        <v/>
      </c>
      <c r="EA844">
        <f>IF($DM844=0,"",IFERROR(IF(ISNUMBER($DZ844),$DZ844,IF($DZ844="","",IF(TRIM($DZ844)="",0,IF(AND(AND(SUBSTITUTE(SUBSTITUTE(SUBSTITUTE(SUBSTITUTE(SUBSTITUTE(SUBSTITUTE(SUBSTITUTE(SUBSTITUTE(SUBSTITUTE(SUBSTITUTE(SUBSTITUTE(SUBSTITUTE(SUBSTITUTE(SUBSTITUTE(UPPER(TRIM($DZ844)),"0",""),"1",""),"2",""),"3",""),"4",""),"5",""),"6",""),"7",""),"8",""),"9",""),".",""),"+",""),"-",""),"E","")="",LEN(SUBSTITUTE(SUBSTITUTE(MID(UPPER(TRIM($DZ844)),1+OR(LEFT(UPPER(TRIM($DZ844)),1)="+",LEFT(UPPER(TRIM($DZ844)),1)="-"),999),"E+","E"),"E-","E"))=LEN(SUBSTITUTE(SUBSTITUTE(SUBSTITUTE(SUBSTITUTE(MID(UPPER(TRIM($DZ844)),1+OR(LEFT(UPPER(TRIM($DZ844)),1)="+",LEFT(UPPER(TRIM($DZ844)),1)="-"),999),"E+","E"),"E-","E"),"+",""),"-","")),LEN(UPPER(TRIM($DZ844)))-LEN(SUBSTITUTE(UPPER(TRIM($DZ844)),"E",""))&lt;2,LEN(UPPER(TRIM($DZ844)))-LEN(SUBSTITUTE(UPPER(TRIM($DZ844)),".",""))&lt;2,IFERROR(FIND(".",UPPER(TRIM($DZ844))),0)&lt;IFERROR(FIND("E",UPPER(TRIM($DZ844))),999)),ISNUMBER(VALUE(TRIM($DZ844)))),VALUE(TRIM($DZ844)),"")))),""))</f>
        <v/>
      </c>
      <c r="EB844">
        <f>IF($DM844=0,"",IF($L$18=0,"",IFERROR(IF(UPPER(TRIM(SUBSTITUTE(SUBSTITUTE(SUBSTITUTE(SUBSTITUTE(INDEX(PASTE_ALL,$DF844,$L$18)," "," "),CHAR(9)," "),CHAR(10)," "),CHAR(13)," ")))="READY","Ready",IF(UPPER(TRIM(SUBSTITUTE(SUBSTITUTE(SUBSTITUTE(SUBSTITUTE(INDEX(PASTE_ALL,$DF844,$L$18)," "," "),CHAR(9)," "),CHAR(10)," "),CHAR(13)," ")))="PM","PM",IF(OR(UPPER(TRIM(SUBSTITUTE(SUBSTITUTE(SUBSTITUTE(SUBSTITUTE(INDEX(PASTE_ALL,$DF844,$L$18)," "," "),CHAR(9)," "),CHAR(10)," "),CHAR(13)," ")))="OT",UPPER(TRIM(SUBSTITUTE(SUBSTITUTE(SUBSTITUTE(SUBSTITUTE(INDEX(PASTE_ALL,$DF844,$L$18)," "," "),CHAR(9)," "),CHAR(10)," "),CHAR(13)," ")))="OVERTIME",UPPER(TRIM(SUBSTITUTE(SUBSTITUTE(SUBSTITUTE(SUBSTITUTE(INDEX(PASTE_ALL,$DF844,$L$18)," "," "),CHAR(9)," "),CHAR(10)," "),CHAR(13)," ")))="TRIAL"),"OT",TRIM(SUBSTITUTE(SUBSTITUTE(SUBSTITUTE(SUBSTITUTE(INDEX(PASTE_ALL,$DF844,$L$18)," "," "),CHAR(9)," "),CHAR(10)," "),CHAR(13)," "))))),"")))</f>
        <v/>
      </c>
      <c r="EC844">
        <f>IF($DM844=0,"",IF($L$19=0,"",IFERROR(IF(ISNUMBER(INDEX(PASTE_ALL,$DF844,$L$19)),INDEX(PASTE_ALL,$DF844,$L$19),TRIM(SUBSTITUTE(SUBSTITUTE(SUBSTITUTE(SUBSTITUTE(INDEX(PASTE_ALL,$DF844,$L$19)," "," "),CHAR(9)," "),CHAR(10)," "),CHAR(13)," "))),"")))</f>
        <v/>
      </c>
      <c r="ED844">
        <f>IF($DM844=0,"",MATCH(1,INDEX(EXACT($DH$5:DH844,$DH844)*$DM$5:DM844,0),0))</f>
        <v/>
      </c>
      <c r="EE844">
        <f>IF($DM844=0,0,IF($ED844=$DE844,1,0))</f>
        <v/>
      </c>
      <c r="EF844">
        <f>EF843+$EE844</f>
        <v/>
      </c>
      <c r="EG844">
        <f>IF($DM844=0,"",INDEX($EF$5:$EF$1003,$ED844))</f>
        <v/>
      </c>
      <c r="EH844">
        <f>IF($DM844=0,"",IF($DO844&lt;&gt;"","",IFERROR(LOOKUP(2,1/(($EG$4:EG843=$EG844)*($DO$4:DO843&lt;&gt;"")),$DO$4:DO843),"")))</f>
        <v/>
      </c>
      <c r="EI844">
        <f>IF($DM844=0,"",IF($DO844&lt;&gt;"",$DO844,$EH844))</f>
        <v/>
      </c>
      <c r="EJ844">
        <f>IF($DM844=0,"",IF($EI844="",0,IF(OR(ISNUMBER($EI844),AND(AND(SUBSTITUTE(SUBSTITUTE(SUBSTITUTE(SUBSTITUTE(SUBSTITUTE(SUBSTITUTE(SUBSTITUTE(SUBSTITUTE(SUBSTITUTE(SUBSTITUTE(SUBSTITUTE(SUBSTITUTE(SUBSTITUTE(SUBSTITUTE(UPPER($EI844),"0",""),"1",""),"2",""),"3",""),"4",""),"5",""),"6",""),"7",""),"8",""),"9",""),".",""),"+",""),"-",""),"E","")="",LEN(SUBSTITUTE(SUBSTITUTE(MID(UPPER($EI844),1+OR(LEFT(UPPER($EI844),1)="+",LEFT(UPPER($EI844),1)="-"),999),"E+","E"),"E-","E"))=LEN(SUBSTITUTE(SUBSTITUTE(SUBSTITUTE(SUBSTITUTE(MID(UPPER($EI844),1+OR(LEFT(UPPER($EI844),1)="+",LEFT(UPPER($EI844),1)="-"),999),"E+","E"),"E-","E"),"+",""),"-","")),LEN(UPPER($EI844))-LEN(SUBSTITUTE(UPPER($EI844),"E",""))&lt;2,LEN(UPPER($EI844))-LEN(SUBSTITUTE(UPPER($EI844),".",""))&lt;2,IFERROR(FIND(".",UPPER($EI844)),0)&lt;IFERROR(FIND("E",UPPER($EI844)),999)),ISNUMBER(VALUE($EI844)))),1,2)))</f>
        <v/>
      </c>
      <c r="EK844">
        <f>IF($DM844=0,"",IF($EJ844=1,IF(ISNUMBER($EI844),$EI844,VALUE($EI844)),IF($EJ844=2,$DE844,0)))</f>
        <v/>
      </c>
      <c r="EL844">
        <f>IF($DM844=0,"",COUNTIF($EG$5:$EG$1003,"&lt;"&amp;$EG844)+SUMPRODUCT(($EG$5:$EG$1003=$EG844)*(($EJ$5:$EJ$1003&lt;$EJ844)+($EJ$5:$EJ$1003=$EJ844)*(($EK$5:$EK$1003&lt;$EK844)+($EK$5:$EK$1003=$EK844)*($DE$5:$DE$1003&lt;$DE844))))+1)</f>
        <v/>
      </c>
      <c r="EM844">
        <f>IF($DM844=0,"",$EL844+$EG844-1)</f>
        <v/>
      </c>
      <c r="EN844">
        <f>IF($DM844=0,0,IFERROR(MATCH(1,INDEX(--(TRIM(SUBSTITUTE(SUBSTITUTE(SUBSTITUTE(SUBSTITUTE(LINES_NAME&amp;""," "," "),CHAR(9)," "),CHAR(10)," "),CHAR(13)," "))=$DH844),0),0),0))</f>
        <v/>
      </c>
      <c r="EO844">
        <f>IF($EN844=0,0,IF(OR(UPPER(TRIM(INDEX(LINES_SCHEDULED,$EN844)&amp;""))="YES",UPPER(TRIM(INDEX(LINES_SCHEDULED,$EN844)&amp;""))="Y",UPPER(TRIM(INDEX(LINES_SCHEDULED,$EN844)&amp;""))="X"),1,0))</f>
        <v/>
      </c>
      <c r="EP844">
        <f>IF($DM844=0,"",IF(COUNTIFS($EG$5:$EG$1003,$EG844,$EB$5:$EB$1003,"Ready")&gt;0,"READY",IF(COUNTIFS($EG$5:$EG$1003,$EG844,$EB$5:$EB$1003,"PM")&gt;0,"PM",IF(COUNTIFS($EG$5:$EG$1003,$EG844,$EB$5:$EB$1003,"OT")&gt;0,"OT",""))))</f>
        <v/>
      </c>
      <c r="EQ844">
        <f>IF($EN844=0,"",UPPER(TRIM(INDEX(LINES_STATUS,$EN844)&amp;"")))</f>
        <v/>
      </c>
      <c r="ER844">
        <f>IF($DM844=0,"",IF(OR($EQ844="READY",$EQ844="PM",$EQ844="OT"),$EQ844,$EP844))</f>
        <v/>
      </c>
      <c r="ES844">
        <f>IF($DM844=0,"",IF(AND($DV844&lt;&gt;"",UPPER($DV844)&lt;&gt;"N"),"allergen",IF(ISNUMBER(SEARCH("oil",$DQ844)),"oil",IF(OR(EXACT($DS844,"A662"),EXACT($DS844,"A624")),"bulk",""))))</f>
        <v/>
      </c>
      <c r="ET844">
        <f>IF($DM844=0,"",IF(OR($EA844="",$EA844=0),"",$EA844/100))</f>
        <v/>
      </c>
      <c r="EU844">
        <f>IF(OR($ET844="",$DY844=""),"",INT($DY844*(1-$ET844)+0.5))</f>
        <v/>
      </c>
    </row>
    <row r="845">
      <c r="DA845" t="n">
        <v>841</v>
      </c>
      <c r="DB845">
        <f>IF($B$37=0,"",IFERROR(TRIM(SUBSTITUTE(SUBSTITUTE(SUBSTITUTE(SUBSTITUTE(INDEX(PASTE_ALL,841,$B$37)," "," "),CHAR(9)," "),CHAR(10)," "),CHAR(13)," ")),""))</f>
        <v/>
      </c>
      <c r="DC845">
        <f>IF(AND(841&gt;HEADER_ROW,UPPER(DB845)="LEGEND"),1,0)</f>
        <v/>
      </c>
      <c r="DE845" t="n">
        <v>841</v>
      </c>
      <c r="DF845">
        <f>HEADER_ROW+$DE845</f>
        <v/>
      </c>
      <c r="DG845">
        <f>IF(AND($DF845&lt;=1000,$DF845&lt;$B$8),1,0)</f>
        <v/>
      </c>
      <c r="DH845">
        <f>IF($DG845=1,IFERROR(INDEX($DB$5:$DB$1004,$DF845),""),"")</f>
        <v/>
      </c>
      <c r="DI845">
        <f>IF(AND($DG845=1,$DH845&lt;&gt;""),IFERROR(SUBSTITUTE(SUBSTITUTE(TRIM(SUBSTITUTE(SUBSTITUTE(SUBSTITUTE(SUBSTITUTE(IFERROR(INDEX(PASTE_ALL,$DF845,1)&amp;"","")&amp;"␟"&amp;IFERROR(INDEX(PASTE_ALL,$DF845,2)&amp;"","")&amp;"␟"&amp;IFERROR(INDEX(PASTE_ALL,$DF845,3)&amp;"","")&amp;"␟"&amp;IFERROR(INDEX(PASTE_ALL,$DF845,4)&amp;"","")&amp;"␟"&amp;IFERROR(INDEX(PASTE_ALL,$DF845,5)&amp;"","")&amp;"␟"&amp;IFERROR(INDEX(PASTE_ALL,$DF845,6)&amp;"","")&amp;"␟"&amp;IFERROR(INDEX(PASTE_ALL,$DF845,7)&amp;"","")&amp;"␟"&amp;IFERROR(INDEX(PASTE_ALL,$DF845,8)&amp;"","")&amp;"␟"&amp;IFERROR(INDEX(PASTE_ALL,$DF845,9)&amp;"","")&amp;"␟"&amp;IFERROR(INDEX(PASTE_ALL,$DF845,10)&amp;"","")&amp;"␟"&amp;IFERROR(INDEX(PASTE_ALL,$DF845,11)&amp;"","")&amp;"␟"&amp;IFERROR(INDEX(PASTE_ALL,$DF845,12)&amp;"","")&amp;"␟"&amp;IFERROR(INDEX(PASTE_ALL,$DF845,13)&amp;"","")&amp;"␟"&amp;IFERROR(INDEX(PASTE_ALL,$DF845,14)&amp;"","")&amp;"␟"&amp;IFERROR(INDEX(PASTE_ALL,$DF845,15)&amp;"","")&amp;"␟"&amp;IFERROR(INDEX(PASTE_ALL,$DF845,16)&amp;"","")&amp;"␟"&amp;IFERROR(INDEX(PASTE_ALL,$DF845,17)&amp;"","")&amp;"␟"&amp;IFERROR(INDEX(PASTE_ALL,$DF845,18)&amp;"","")&amp;"␟"&amp;IFERROR(INDEX(PASTE_ALL,$DF845,19)&amp;"","")&amp;"␟"&amp;IFERROR(INDEX(PASTE_ALL,$DF845,20)&amp;"","")&amp;"␟"&amp;IFERROR(INDEX(PASTE_ALL,$DF845,21)&amp;"","")&amp;"␟"&amp;IFERROR(INDEX(PASTE_ALL,$DF845,22)&amp;"","")&amp;"␟"&amp;IFERROR(INDEX(PASTE_ALL,$DF845,23)&amp;"","")&amp;"␟"&amp;IFERROR(INDEX(PASTE_ALL,$DF845,24)&amp;"","")&amp;"␟"&amp;IFERROR(INDEX(PASTE_ALL,$DF845,25)&amp;"","")&amp;"␟"&amp;IFERROR(INDEX(PASTE_ALL,$DF845,26)&amp;"","")&amp;"␟"&amp;IFERROR(INDEX(PASTE_ALL,$DF845,27)&amp;"","")&amp;"␟"&amp;IFERROR(INDEX(PASTE_ALL,$DF845,28)&amp;"","")&amp;"␟"&amp;IFERROR(INDEX(PASTE_ALL,$DF845,29)&amp;"","")&amp;"␟"&amp;IFERROR(INDEX(PASTE_ALL,$DF845,30)&amp;"","")&amp;"␟"&amp;IFERROR(INDEX(PASTE_ALL,$DF845,31)&amp;"","")&amp;"␟"&amp;IFERROR(INDEX(PASTE_ALL,$DF845,32)&amp;"","")&amp;"␟"&amp;IFERROR(INDEX(PASTE_ALL,$DF845,33)&amp;"","")&amp;"␟"&amp;IFERROR(INDEX(PASTE_ALL,$DF845,34)&amp;"","")&amp;"␟"&amp;IFERROR(INDEX(PASTE_ALL,$DF845,35)&amp;"","")&amp;"␟"&amp;IFERROR(INDEX(PASTE_ALL,$DF845,36)&amp;"","")&amp;"␟"&amp;IFERROR(INDEX(PASTE_ALL,$DF845,37)&amp;"","")&amp;"␟"&amp;IFERROR(INDEX(PASTE_ALL,$DF845,38)&amp;"","")&amp;"␟"&amp;IFERROR(INDEX(PASTE_ALL,$DF845,39)&amp;"","")&amp;"␟"&amp;IFERROR(INDEX(PASTE_ALL,$DF845,40)&amp;"","")&amp;"␟"&amp;IFERROR(INDEX(PASTE_ALL,$DF845,41)&amp;"","")&amp;"␟"&amp;IFERROR(INDEX(PASTE_ALL,$DF845,42)&amp;"","")&amp;"␟"&amp;IFERROR(INDEX(PASTE_ALL,$DF845,43)&amp;"","")&amp;"␟"&amp;IFERROR(INDEX(PASTE_ALL,$DF845,44)&amp;"","")&amp;"␟"&amp;IFERROR(INDEX(PASTE_ALL,$DF845,45)&amp;"","")&amp;"␟"&amp;IFERROR(INDEX(PASTE_ALL,$DF845,46)&amp;"","")&amp;"␟"&amp;IFERROR(INDEX(PASTE_ALL,$DF845,47)&amp;"","")&amp;"␟"&amp;IFERROR(INDEX(PASTE_ALL,$DF845,48)&amp;"","")&amp;"␟"&amp;IFERROR(INDEX(PASTE_ALL,$DF845,49)&amp;"","")&amp;"␟"&amp;IFERROR(INDEX(PASTE_ALL,$DF845,50)&amp;"","")&amp;"␟"&amp;IFERROR(INDEX(PASTE_ALL,$DF845,51)&amp;"","")&amp;"␟"&amp;IFERROR(INDEX(PASTE_ALL,$DF845,52)&amp;"","")&amp;"␟"&amp;IFERROR(INDEX(PASTE_ALL,$DF845,53)&amp;"","")&amp;"␟"&amp;IFERROR(INDEX(PASTE_ALL,$DF845,54)&amp;"","")&amp;"␟"&amp;IFERROR(INDEX(PASTE_ALL,$DF845,55)&amp;"","")&amp;"␟"&amp;IFERROR(INDEX(PASTE_ALL,$DF845,56)&amp;"","")&amp;"␟"&amp;IFERROR(INDEX(PASTE_ALL,$DF845,57)&amp;"","")&amp;"␟"&amp;IFERROR(INDEX(PASTE_ALL,$DF845,58)&amp;"","")&amp;"␟"&amp;IFERROR(INDEX(PASTE_ALL,$DF845,59)&amp;"","")&amp;"␟"&amp;IFERROR(INDEX(PASTE_ALL,$DF845,60)&amp;"","")," "," "),CHAR(9)," "),CHAR(10)," "),CHAR(13)," "))," ␟","␟"),"␟ ","␟"),"#"&amp;$DE845),"")</f>
        <v/>
      </c>
      <c r="DJ845">
        <f>IF($DI845="",0,IF(SUMPRODUCT(--EXACT($DI$4:DI844,$DI845))&gt;0,1,0))</f>
        <v/>
      </c>
      <c r="DK845">
        <f>IF(AND($DI845&lt;&gt;"",$DJ845=0),1,0)</f>
        <v/>
      </c>
      <c r="DL845">
        <f>DL844+$DK845</f>
        <v/>
      </c>
      <c r="DM845">
        <f>IF(AND($DK845=1,$DL845&lt;=600),1,0)</f>
        <v/>
      </c>
      <c r="DN845">
        <f>IF($DM845=0,"",IF($L$6=0,"",IFERROR(IF(ISNUMBER(INDEX(PASTE_ALL,$DF845,$L$6)),INDEX(PASTE_ALL,$DF845,$L$6),TRIM(SUBSTITUTE(SUBSTITUTE(SUBSTITUTE(SUBSTITUTE(INDEX(PASTE_ALL,$DF845,$L$6)," "," "),CHAR(9)," "),CHAR(10)," "),CHAR(13)," "))),"")))</f>
        <v/>
      </c>
      <c r="DO845">
        <f>IF($DM845=0,"",IF($L$7=0,"",IFERROR(IF(ISNUMBER(INDEX(PASTE_ALL,$DF845,$L$7)),INDEX(PASTE_ALL,$DF845,$L$7),TRIM(SUBSTITUTE(SUBSTITUTE(SUBSTITUTE(SUBSTITUTE(INDEX(PASTE_ALL,$DF845,$L$7)," "," "),CHAR(9)," "),CHAR(10)," "),CHAR(13)," "))),"")))</f>
        <v/>
      </c>
      <c r="DP845">
        <f>IF($DM845=0,"",IF($L$8=0,"",IFERROR(IF(ISNUMBER(INDEX(PASTE_ALL,$DF845,$L$8)),INDEX(PASTE_ALL,$DF845,$L$8),TRIM(SUBSTITUTE(SUBSTITUTE(SUBSTITUTE(SUBSTITUTE(INDEX(PASTE_ALL,$DF845,$L$8)," "," "),CHAR(9)," "),CHAR(10)," "),CHAR(13)," "))),"")))</f>
        <v/>
      </c>
      <c r="DQ845">
        <f>IF($DM845=0,"",IF($L$9=0,"",IFERROR(IF(ISNUMBER(INDEX(PASTE_ALL,$DF845,$L$9)),INDEX(PASTE_ALL,$DF845,$L$9),TRIM(SUBSTITUTE(SUBSTITUTE(SUBSTITUTE(SUBSTITUTE(INDEX(PASTE_ALL,$DF845,$L$9)," "," "),CHAR(9)," "),CHAR(10)," "),CHAR(13)," "))),"")))</f>
        <v/>
      </c>
      <c r="DR845">
        <f>IF($DM845=0,"",IF($L$10=0,"",IFERROR(IF(ISNUMBER(INDEX(PASTE_ALL,$DF845,$L$10)),INDEX(PASTE_ALL,$DF845,$L$10),TRIM(SUBSTITUTE(SUBSTITUTE(SUBSTITUTE(SUBSTITUTE(INDEX(PASTE_ALL,$DF845,$L$10)," "," "),CHAR(9)," "),CHAR(10)," "),CHAR(13)," "))),"")))</f>
        <v/>
      </c>
      <c r="DS845">
        <f>IF($DM845=0,"",IF($L$11=0,"",IFERROR(IF(ISNUMBER(INDEX(PASTE_ALL,$DF845,$L$11)),INDEX(PASTE_ALL,$DF845,$L$11),TRIM(SUBSTITUTE(SUBSTITUTE(SUBSTITUTE(SUBSTITUTE(INDEX(PASTE_ALL,$DF845,$L$11)," "," "),CHAR(9)," "),CHAR(10)," "),CHAR(13)," "))),"")))</f>
        <v/>
      </c>
      <c r="DT845">
        <f>IF($DM845=0,"",IF($L$12=0,"",IFERROR(IF(ISNUMBER(INDEX(PASTE_ALL,$DF845,$L$12)),INDEX(PASTE_ALL,$DF845,$L$12),TRIM(SUBSTITUTE(SUBSTITUTE(SUBSTITUTE(SUBSTITUTE(INDEX(PASTE_ALL,$DF845,$L$12)," "," "),CHAR(9)," "),CHAR(10)," "),CHAR(13)," "))),"")))</f>
        <v/>
      </c>
      <c r="DU845">
        <f>IF($DM845=0,"",IF($L$13=0,"",IFERROR(IF(ISNUMBER(INDEX(PASTE_ALL,$DF845,$L$13)),INDEX(PASTE_ALL,$DF845,$L$13),TRIM(SUBSTITUTE(SUBSTITUTE(SUBSTITUTE(SUBSTITUTE(INDEX(PASTE_ALL,$DF845,$L$13)," "," "),CHAR(9)," "),CHAR(10)," "),CHAR(13)," "))),"")))</f>
        <v/>
      </c>
      <c r="DV845">
        <f>IF($DM845=0,"",IF($L$14=0,"",IFERROR(IF(ISNUMBER(INDEX(PASTE_ALL,$DF845,$L$14)),INDEX(PASTE_ALL,$DF845,$L$14),TRIM(SUBSTITUTE(SUBSTITUTE(SUBSTITUTE(SUBSTITUTE(INDEX(PASTE_ALL,$DF845,$L$14)," "," "),CHAR(9)," "),CHAR(10)," "),CHAR(13)," "))),"")))</f>
        <v/>
      </c>
      <c r="DW845">
        <f>IF($DM845=0,"",IF($L$15=0,"",IFERROR(IF(ISNUMBER(INDEX(PASTE_ALL,$DF845,$L$15)),INDEX(PASTE_ALL,$DF845,$L$15),IF(SUMPRODUCT(--ISNUMBER(FIND({"A","B","C","D","E","F","G","H","I","J","K","L","M","N","O","P","Q","R","S","T","U","V","W","X","Y","Z","0","1","2","3","4","5","6","7","8","9"},UPPER(TRIM(SUBSTITUTE(SUBSTITUTE(SUBSTITUTE(SUBSTITUTE(INDEX(PASTE_ALL,$DF845,$L$15)," "," "),CHAR(9)," "),CHAR(10)," "),CHAR(13)," "))))))&gt;0,TRIM(SUBSTITUTE(SUBSTITUTE(SUBSTITUTE(SUBSTITUTE(INDEX(PASTE_ALL,$DF845,$L$15)," "," "),CHAR(9)," "),CHAR(10)," "),CHAR(13)," ")),"")),"")))</f>
        <v/>
      </c>
      <c r="DX845">
        <f>IF($DM845=0,"",IF($L$16=0,"",IFERROR(IF(ISNUMBER(INDEX(PASTE_ALL,$DF845,$L$16)),INDEX(PASTE_ALL,$DF845,$L$16),SUBSTITUTE(SUBSTITUTE(TRIM(SUBSTITUTE(SUBSTITUTE(SUBSTITUTE(SUBSTITUTE(INDEX(PASTE_ALL,$DF845,$L$16)," "," "),CHAR(9)," "),CHAR(10)," "),CHAR(13)," ")),",",""),"%","")),"")))</f>
        <v/>
      </c>
      <c r="DY845">
        <f>IF($DM845=0,"",IFERROR(IF(ISNUMBER($DX845),$DX845,IF($DX845="","",IF(TRIM($DX845)="",0,IF(AND(AND(SUBSTITUTE(SUBSTITUTE(SUBSTITUTE(SUBSTITUTE(SUBSTITUTE(SUBSTITUTE(SUBSTITUTE(SUBSTITUTE(SUBSTITUTE(SUBSTITUTE(SUBSTITUTE(SUBSTITUTE(SUBSTITUTE(SUBSTITUTE(UPPER(TRIM($DX845)),"0",""),"1",""),"2",""),"3",""),"4",""),"5",""),"6",""),"7",""),"8",""),"9",""),".",""),"+",""),"-",""),"E","")="",LEN(SUBSTITUTE(SUBSTITUTE(MID(UPPER(TRIM($DX845)),1+OR(LEFT(UPPER(TRIM($DX845)),1)="+",LEFT(UPPER(TRIM($DX845)),1)="-"),999),"E+","E"),"E-","E"))=LEN(SUBSTITUTE(SUBSTITUTE(SUBSTITUTE(SUBSTITUTE(MID(UPPER(TRIM($DX845)),1+OR(LEFT(UPPER(TRIM($DX845)),1)="+",LEFT(UPPER(TRIM($DX845)),1)="-"),999),"E+","E"),"E-","E"),"+",""),"-","")),LEN(UPPER(TRIM($DX845)))-LEN(SUBSTITUTE(UPPER(TRIM($DX845)),"E",""))&lt;2,LEN(UPPER(TRIM($DX845)))-LEN(SUBSTITUTE(UPPER(TRIM($DX845)),".",""))&lt;2,IFERROR(FIND(".",UPPER(TRIM($DX845))),0)&lt;IFERROR(FIND("E",UPPER(TRIM($DX845))),999)),ISNUMBER(VALUE(TRIM($DX845)))),VALUE(TRIM($DX845)),"")))),""))</f>
        <v/>
      </c>
      <c r="DZ845">
        <f>IF($DM845=0,"",IF($L$17=0,"",IFERROR(IF(ISNUMBER(INDEX(PASTE_ALL,$DF845,$L$17)),INDEX(PASTE_ALL,$DF845,$L$17),SUBSTITUTE(SUBSTITUTE(TRIM(SUBSTITUTE(SUBSTITUTE(SUBSTITUTE(SUBSTITUTE(INDEX(PASTE_ALL,$DF845,$L$17)," "," "),CHAR(9)," "),CHAR(10)," "),CHAR(13)," ")),",",""),"%","")),"")))</f>
        <v/>
      </c>
      <c r="EA845">
        <f>IF($DM845=0,"",IFERROR(IF(ISNUMBER($DZ845),$DZ845,IF($DZ845="","",IF(TRIM($DZ845)="",0,IF(AND(AND(SUBSTITUTE(SUBSTITUTE(SUBSTITUTE(SUBSTITUTE(SUBSTITUTE(SUBSTITUTE(SUBSTITUTE(SUBSTITUTE(SUBSTITUTE(SUBSTITUTE(SUBSTITUTE(SUBSTITUTE(SUBSTITUTE(SUBSTITUTE(UPPER(TRIM($DZ845)),"0",""),"1",""),"2",""),"3",""),"4",""),"5",""),"6",""),"7",""),"8",""),"9",""),".",""),"+",""),"-",""),"E","")="",LEN(SUBSTITUTE(SUBSTITUTE(MID(UPPER(TRIM($DZ845)),1+OR(LEFT(UPPER(TRIM($DZ845)),1)="+",LEFT(UPPER(TRIM($DZ845)),1)="-"),999),"E+","E"),"E-","E"))=LEN(SUBSTITUTE(SUBSTITUTE(SUBSTITUTE(SUBSTITUTE(MID(UPPER(TRIM($DZ845)),1+OR(LEFT(UPPER(TRIM($DZ845)),1)="+",LEFT(UPPER(TRIM($DZ845)),1)="-"),999),"E+","E"),"E-","E"),"+",""),"-","")),LEN(UPPER(TRIM($DZ845)))-LEN(SUBSTITUTE(UPPER(TRIM($DZ845)),"E",""))&lt;2,LEN(UPPER(TRIM($DZ845)))-LEN(SUBSTITUTE(UPPER(TRIM($DZ845)),".",""))&lt;2,IFERROR(FIND(".",UPPER(TRIM($DZ845))),0)&lt;IFERROR(FIND("E",UPPER(TRIM($DZ845))),999)),ISNUMBER(VALUE(TRIM($DZ845)))),VALUE(TRIM($DZ845)),"")))),""))</f>
        <v/>
      </c>
      <c r="EB845">
        <f>IF($DM845=0,"",IF($L$18=0,"",IFERROR(IF(UPPER(TRIM(SUBSTITUTE(SUBSTITUTE(SUBSTITUTE(SUBSTITUTE(INDEX(PASTE_ALL,$DF845,$L$18)," "," "),CHAR(9)," "),CHAR(10)," "),CHAR(13)," ")))="READY","Ready",IF(UPPER(TRIM(SUBSTITUTE(SUBSTITUTE(SUBSTITUTE(SUBSTITUTE(INDEX(PASTE_ALL,$DF845,$L$18)," "," "),CHAR(9)," "),CHAR(10)," "),CHAR(13)," ")))="PM","PM",IF(OR(UPPER(TRIM(SUBSTITUTE(SUBSTITUTE(SUBSTITUTE(SUBSTITUTE(INDEX(PASTE_ALL,$DF845,$L$18)," "," "),CHAR(9)," "),CHAR(10)," "),CHAR(13)," ")))="OT",UPPER(TRIM(SUBSTITUTE(SUBSTITUTE(SUBSTITUTE(SUBSTITUTE(INDEX(PASTE_ALL,$DF845,$L$18)," "," "),CHAR(9)," "),CHAR(10)," "),CHAR(13)," ")))="OVERTIME",UPPER(TRIM(SUBSTITUTE(SUBSTITUTE(SUBSTITUTE(SUBSTITUTE(INDEX(PASTE_ALL,$DF845,$L$18)," "," "),CHAR(9)," "),CHAR(10)," "),CHAR(13)," ")))="TRIAL"),"OT",TRIM(SUBSTITUTE(SUBSTITUTE(SUBSTITUTE(SUBSTITUTE(INDEX(PASTE_ALL,$DF845,$L$18)," "," "),CHAR(9)," "),CHAR(10)," "),CHAR(13)," "))))),"")))</f>
        <v/>
      </c>
      <c r="EC845">
        <f>IF($DM845=0,"",IF($L$19=0,"",IFERROR(IF(ISNUMBER(INDEX(PASTE_ALL,$DF845,$L$19)),INDEX(PASTE_ALL,$DF845,$L$19),TRIM(SUBSTITUTE(SUBSTITUTE(SUBSTITUTE(SUBSTITUTE(INDEX(PASTE_ALL,$DF845,$L$19)," "," "),CHAR(9)," "),CHAR(10)," "),CHAR(13)," "))),"")))</f>
        <v/>
      </c>
      <c r="ED845">
        <f>IF($DM845=0,"",MATCH(1,INDEX(EXACT($DH$5:DH845,$DH845)*$DM$5:DM845,0),0))</f>
        <v/>
      </c>
      <c r="EE845">
        <f>IF($DM845=0,0,IF($ED845=$DE845,1,0))</f>
        <v/>
      </c>
      <c r="EF845">
        <f>EF844+$EE845</f>
        <v/>
      </c>
      <c r="EG845">
        <f>IF($DM845=0,"",INDEX($EF$5:$EF$1003,$ED845))</f>
        <v/>
      </c>
      <c r="EH845">
        <f>IF($DM845=0,"",IF($DO845&lt;&gt;"","",IFERROR(LOOKUP(2,1/(($EG$4:EG844=$EG845)*($DO$4:DO844&lt;&gt;"")),$DO$4:DO844),"")))</f>
        <v/>
      </c>
      <c r="EI845">
        <f>IF($DM845=0,"",IF($DO845&lt;&gt;"",$DO845,$EH845))</f>
        <v/>
      </c>
      <c r="EJ845">
        <f>IF($DM845=0,"",IF($EI845="",0,IF(OR(ISNUMBER($EI845),AND(AND(SUBSTITUTE(SUBSTITUTE(SUBSTITUTE(SUBSTITUTE(SUBSTITUTE(SUBSTITUTE(SUBSTITUTE(SUBSTITUTE(SUBSTITUTE(SUBSTITUTE(SUBSTITUTE(SUBSTITUTE(SUBSTITUTE(SUBSTITUTE(UPPER($EI845),"0",""),"1",""),"2",""),"3",""),"4",""),"5",""),"6",""),"7",""),"8",""),"9",""),".",""),"+",""),"-",""),"E","")="",LEN(SUBSTITUTE(SUBSTITUTE(MID(UPPER($EI845),1+OR(LEFT(UPPER($EI845),1)="+",LEFT(UPPER($EI845),1)="-"),999),"E+","E"),"E-","E"))=LEN(SUBSTITUTE(SUBSTITUTE(SUBSTITUTE(SUBSTITUTE(MID(UPPER($EI845),1+OR(LEFT(UPPER($EI845),1)="+",LEFT(UPPER($EI845),1)="-"),999),"E+","E"),"E-","E"),"+",""),"-","")),LEN(UPPER($EI845))-LEN(SUBSTITUTE(UPPER($EI845),"E",""))&lt;2,LEN(UPPER($EI845))-LEN(SUBSTITUTE(UPPER($EI845),".",""))&lt;2,IFERROR(FIND(".",UPPER($EI845)),0)&lt;IFERROR(FIND("E",UPPER($EI845)),999)),ISNUMBER(VALUE($EI845)))),1,2)))</f>
        <v/>
      </c>
      <c r="EK845">
        <f>IF($DM845=0,"",IF($EJ845=1,IF(ISNUMBER($EI845),$EI845,VALUE($EI845)),IF($EJ845=2,$DE845,0)))</f>
        <v/>
      </c>
      <c r="EL845">
        <f>IF($DM845=0,"",COUNTIF($EG$5:$EG$1003,"&lt;"&amp;$EG845)+SUMPRODUCT(($EG$5:$EG$1003=$EG845)*(($EJ$5:$EJ$1003&lt;$EJ845)+($EJ$5:$EJ$1003=$EJ845)*(($EK$5:$EK$1003&lt;$EK845)+($EK$5:$EK$1003=$EK845)*($DE$5:$DE$1003&lt;$DE845))))+1)</f>
        <v/>
      </c>
      <c r="EM845">
        <f>IF($DM845=0,"",$EL845+$EG845-1)</f>
        <v/>
      </c>
      <c r="EN845">
        <f>IF($DM845=0,0,IFERROR(MATCH(1,INDEX(--(TRIM(SUBSTITUTE(SUBSTITUTE(SUBSTITUTE(SUBSTITUTE(LINES_NAME&amp;""," "," "),CHAR(9)," "),CHAR(10)," "),CHAR(13)," "))=$DH845),0),0),0))</f>
        <v/>
      </c>
      <c r="EO845">
        <f>IF($EN845=0,0,IF(OR(UPPER(TRIM(INDEX(LINES_SCHEDULED,$EN845)&amp;""))="YES",UPPER(TRIM(INDEX(LINES_SCHEDULED,$EN845)&amp;""))="Y",UPPER(TRIM(INDEX(LINES_SCHEDULED,$EN845)&amp;""))="X"),1,0))</f>
        <v/>
      </c>
      <c r="EP845">
        <f>IF($DM845=0,"",IF(COUNTIFS($EG$5:$EG$1003,$EG845,$EB$5:$EB$1003,"Ready")&gt;0,"READY",IF(COUNTIFS($EG$5:$EG$1003,$EG845,$EB$5:$EB$1003,"PM")&gt;0,"PM",IF(COUNTIFS($EG$5:$EG$1003,$EG845,$EB$5:$EB$1003,"OT")&gt;0,"OT",""))))</f>
        <v/>
      </c>
      <c r="EQ845">
        <f>IF($EN845=0,"",UPPER(TRIM(INDEX(LINES_STATUS,$EN845)&amp;"")))</f>
        <v/>
      </c>
      <c r="ER845">
        <f>IF($DM845=0,"",IF(OR($EQ845="READY",$EQ845="PM",$EQ845="OT"),$EQ845,$EP845))</f>
        <v/>
      </c>
      <c r="ES845">
        <f>IF($DM845=0,"",IF(AND($DV845&lt;&gt;"",UPPER($DV845)&lt;&gt;"N"),"allergen",IF(ISNUMBER(SEARCH("oil",$DQ845)),"oil",IF(OR(EXACT($DS845,"A662"),EXACT($DS845,"A624")),"bulk",""))))</f>
        <v/>
      </c>
      <c r="ET845">
        <f>IF($DM845=0,"",IF(OR($EA845="",$EA845=0),"",$EA845/100))</f>
        <v/>
      </c>
      <c r="EU845">
        <f>IF(OR($ET845="",$DY845=""),"",INT($DY845*(1-$ET845)+0.5))</f>
        <v/>
      </c>
    </row>
    <row r="846">
      <c r="DA846" t="n">
        <v>842</v>
      </c>
      <c r="DB846">
        <f>IF($B$37=0,"",IFERROR(TRIM(SUBSTITUTE(SUBSTITUTE(SUBSTITUTE(SUBSTITUTE(INDEX(PASTE_ALL,842,$B$37)," "," "),CHAR(9)," "),CHAR(10)," "),CHAR(13)," ")),""))</f>
        <v/>
      </c>
      <c r="DC846">
        <f>IF(AND(842&gt;HEADER_ROW,UPPER(DB846)="LEGEND"),1,0)</f>
        <v/>
      </c>
      <c r="DE846" t="n">
        <v>842</v>
      </c>
      <c r="DF846">
        <f>HEADER_ROW+$DE846</f>
        <v/>
      </c>
      <c r="DG846">
        <f>IF(AND($DF846&lt;=1000,$DF846&lt;$B$8),1,0)</f>
        <v/>
      </c>
      <c r="DH846">
        <f>IF($DG846=1,IFERROR(INDEX($DB$5:$DB$1004,$DF846),""),"")</f>
        <v/>
      </c>
      <c r="DI846">
        <f>IF(AND($DG846=1,$DH846&lt;&gt;""),IFERROR(SUBSTITUTE(SUBSTITUTE(TRIM(SUBSTITUTE(SUBSTITUTE(SUBSTITUTE(SUBSTITUTE(IFERROR(INDEX(PASTE_ALL,$DF846,1)&amp;"","")&amp;"␟"&amp;IFERROR(INDEX(PASTE_ALL,$DF846,2)&amp;"","")&amp;"␟"&amp;IFERROR(INDEX(PASTE_ALL,$DF846,3)&amp;"","")&amp;"␟"&amp;IFERROR(INDEX(PASTE_ALL,$DF846,4)&amp;"","")&amp;"␟"&amp;IFERROR(INDEX(PASTE_ALL,$DF846,5)&amp;"","")&amp;"␟"&amp;IFERROR(INDEX(PASTE_ALL,$DF846,6)&amp;"","")&amp;"␟"&amp;IFERROR(INDEX(PASTE_ALL,$DF846,7)&amp;"","")&amp;"␟"&amp;IFERROR(INDEX(PASTE_ALL,$DF846,8)&amp;"","")&amp;"␟"&amp;IFERROR(INDEX(PASTE_ALL,$DF846,9)&amp;"","")&amp;"␟"&amp;IFERROR(INDEX(PASTE_ALL,$DF846,10)&amp;"","")&amp;"␟"&amp;IFERROR(INDEX(PASTE_ALL,$DF846,11)&amp;"","")&amp;"␟"&amp;IFERROR(INDEX(PASTE_ALL,$DF846,12)&amp;"","")&amp;"␟"&amp;IFERROR(INDEX(PASTE_ALL,$DF846,13)&amp;"","")&amp;"␟"&amp;IFERROR(INDEX(PASTE_ALL,$DF846,14)&amp;"","")&amp;"␟"&amp;IFERROR(INDEX(PASTE_ALL,$DF846,15)&amp;"","")&amp;"␟"&amp;IFERROR(INDEX(PASTE_ALL,$DF846,16)&amp;"","")&amp;"␟"&amp;IFERROR(INDEX(PASTE_ALL,$DF846,17)&amp;"","")&amp;"␟"&amp;IFERROR(INDEX(PASTE_ALL,$DF846,18)&amp;"","")&amp;"␟"&amp;IFERROR(INDEX(PASTE_ALL,$DF846,19)&amp;"","")&amp;"␟"&amp;IFERROR(INDEX(PASTE_ALL,$DF846,20)&amp;"","")&amp;"␟"&amp;IFERROR(INDEX(PASTE_ALL,$DF846,21)&amp;"","")&amp;"␟"&amp;IFERROR(INDEX(PASTE_ALL,$DF846,22)&amp;"","")&amp;"␟"&amp;IFERROR(INDEX(PASTE_ALL,$DF846,23)&amp;"","")&amp;"␟"&amp;IFERROR(INDEX(PASTE_ALL,$DF846,24)&amp;"","")&amp;"␟"&amp;IFERROR(INDEX(PASTE_ALL,$DF846,25)&amp;"","")&amp;"␟"&amp;IFERROR(INDEX(PASTE_ALL,$DF846,26)&amp;"","")&amp;"␟"&amp;IFERROR(INDEX(PASTE_ALL,$DF846,27)&amp;"","")&amp;"␟"&amp;IFERROR(INDEX(PASTE_ALL,$DF846,28)&amp;"","")&amp;"␟"&amp;IFERROR(INDEX(PASTE_ALL,$DF846,29)&amp;"","")&amp;"␟"&amp;IFERROR(INDEX(PASTE_ALL,$DF846,30)&amp;"","")&amp;"␟"&amp;IFERROR(INDEX(PASTE_ALL,$DF846,31)&amp;"","")&amp;"␟"&amp;IFERROR(INDEX(PASTE_ALL,$DF846,32)&amp;"","")&amp;"␟"&amp;IFERROR(INDEX(PASTE_ALL,$DF846,33)&amp;"","")&amp;"␟"&amp;IFERROR(INDEX(PASTE_ALL,$DF846,34)&amp;"","")&amp;"␟"&amp;IFERROR(INDEX(PASTE_ALL,$DF846,35)&amp;"","")&amp;"␟"&amp;IFERROR(INDEX(PASTE_ALL,$DF846,36)&amp;"","")&amp;"␟"&amp;IFERROR(INDEX(PASTE_ALL,$DF846,37)&amp;"","")&amp;"␟"&amp;IFERROR(INDEX(PASTE_ALL,$DF846,38)&amp;"","")&amp;"␟"&amp;IFERROR(INDEX(PASTE_ALL,$DF846,39)&amp;"","")&amp;"␟"&amp;IFERROR(INDEX(PASTE_ALL,$DF846,40)&amp;"","")&amp;"␟"&amp;IFERROR(INDEX(PASTE_ALL,$DF846,41)&amp;"","")&amp;"␟"&amp;IFERROR(INDEX(PASTE_ALL,$DF846,42)&amp;"","")&amp;"␟"&amp;IFERROR(INDEX(PASTE_ALL,$DF846,43)&amp;"","")&amp;"␟"&amp;IFERROR(INDEX(PASTE_ALL,$DF846,44)&amp;"","")&amp;"␟"&amp;IFERROR(INDEX(PASTE_ALL,$DF846,45)&amp;"","")&amp;"␟"&amp;IFERROR(INDEX(PASTE_ALL,$DF846,46)&amp;"","")&amp;"␟"&amp;IFERROR(INDEX(PASTE_ALL,$DF846,47)&amp;"","")&amp;"␟"&amp;IFERROR(INDEX(PASTE_ALL,$DF846,48)&amp;"","")&amp;"␟"&amp;IFERROR(INDEX(PASTE_ALL,$DF846,49)&amp;"","")&amp;"␟"&amp;IFERROR(INDEX(PASTE_ALL,$DF846,50)&amp;"","")&amp;"␟"&amp;IFERROR(INDEX(PASTE_ALL,$DF846,51)&amp;"","")&amp;"␟"&amp;IFERROR(INDEX(PASTE_ALL,$DF846,52)&amp;"","")&amp;"␟"&amp;IFERROR(INDEX(PASTE_ALL,$DF846,53)&amp;"","")&amp;"␟"&amp;IFERROR(INDEX(PASTE_ALL,$DF846,54)&amp;"","")&amp;"␟"&amp;IFERROR(INDEX(PASTE_ALL,$DF846,55)&amp;"","")&amp;"␟"&amp;IFERROR(INDEX(PASTE_ALL,$DF846,56)&amp;"","")&amp;"␟"&amp;IFERROR(INDEX(PASTE_ALL,$DF846,57)&amp;"","")&amp;"␟"&amp;IFERROR(INDEX(PASTE_ALL,$DF846,58)&amp;"","")&amp;"␟"&amp;IFERROR(INDEX(PASTE_ALL,$DF846,59)&amp;"","")&amp;"␟"&amp;IFERROR(INDEX(PASTE_ALL,$DF846,60)&amp;"","")," "," "),CHAR(9)," "),CHAR(10)," "),CHAR(13)," "))," ␟","␟"),"␟ ","␟"),"#"&amp;$DE846),"")</f>
        <v/>
      </c>
      <c r="DJ846">
        <f>IF($DI846="",0,IF(SUMPRODUCT(--EXACT($DI$4:DI845,$DI846))&gt;0,1,0))</f>
        <v/>
      </c>
      <c r="DK846">
        <f>IF(AND($DI846&lt;&gt;"",$DJ846=0),1,0)</f>
        <v/>
      </c>
      <c r="DL846">
        <f>DL845+$DK846</f>
        <v/>
      </c>
      <c r="DM846">
        <f>IF(AND($DK846=1,$DL846&lt;=600),1,0)</f>
        <v/>
      </c>
      <c r="DN846">
        <f>IF($DM846=0,"",IF($L$6=0,"",IFERROR(IF(ISNUMBER(INDEX(PASTE_ALL,$DF846,$L$6)),INDEX(PASTE_ALL,$DF846,$L$6),TRIM(SUBSTITUTE(SUBSTITUTE(SUBSTITUTE(SUBSTITUTE(INDEX(PASTE_ALL,$DF846,$L$6)," "," "),CHAR(9)," "),CHAR(10)," "),CHAR(13)," "))),"")))</f>
        <v/>
      </c>
      <c r="DO846">
        <f>IF($DM846=0,"",IF($L$7=0,"",IFERROR(IF(ISNUMBER(INDEX(PASTE_ALL,$DF846,$L$7)),INDEX(PASTE_ALL,$DF846,$L$7),TRIM(SUBSTITUTE(SUBSTITUTE(SUBSTITUTE(SUBSTITUTE(INDEX(PASTE_ALL,$DF846,$L$7)," "," "),CHAR(9)," "),CHAR(10)," "),CHAR(13)," "))),"")))</f>
        <v/>
      </c>
      <c r="DP846">
        <f>IF($DM846=0,"",IF($L$8=0,"",IFERROR(IF(ISNUMBER(INDEX(PASTE_ALL,$DF846,$L$8)),INDEX(PASTE_ALL,$DF846,$L$8),TRIM(SUBSTITUTE(SUBSTITUTE(SUBSTITUTE(SUBSTITUTE(INDEX(PASTE_ALL,$DF846,$L$8)," "," "),CHAR(9)," "),CHAR(10)," "),CHAR(13)," "))),"")))</f>
        <v/>
      </c>
      <c r="DQ846">
        <f>IF($DM846=0,"",IF($L$9=0,"",IFERROR(IF(ISNUMBER(INDEX(PASTE_ALL,$DF846,$L$9)),INDEX(PASTE_ALL,$DF846,$L$9),TRIM(SUBSTITUTE(SUBSTITUTE(SUBSTITUTE(SUBSTITUTE(INDEX(PASTE_ALL,$DF846,$L$9)," "," "),CHAR(9)," "),CHAR(10)," "),CHAR(13)," "))),"")))</f>
        <v/>
      </c>
      <c r="DR846">
        <f>IF($DM846=0,"",IF($L$10=0,"",IFERROR(IF(ISNUMBER(INDEX(PASTE_ALL,$DF846,$L$10)),INDEX(PASTE_ALL,$DF846,$L$10),TRIM(SUBSTITUTE(SUBSTITUTE(SUBSTITUTE(SUBSTITUTE(INDEX(PASTE_ALL,$DF846,$L$10)," "," "),CHAR(9)," "),CHAR(10)," "),CHAR(13)," "))),"")))</f>
        <v/>
      </c>
      <c r="DS846">
        <f>IF($DM846=0,"",IF($L$11=0,"",IFERROR(IF(ISNUMBER(INDEX(PASTE_ALL,$DF846,$L$11)),INDEX(PASTE_ALL,$DF846,$L$11),TRIM(SUBSTITUTE(SUBSTITUTE(SUBSTITUTE(SUBSTITUTE(INDEX(PASTE_ALL,$DF846,$L$11)," "," "),CHAR(9)," "),CHAR(10)," "),CHAR(13)," "))),"")))</f>
        <v/>
      </c>
      <c r="DT846">
        <f>IF($DM846=0,"",IF($L$12=0,"",IFERROR(IF(ISNUMBER(INDEX(PASTE_ALL,$DF846,$L$12)),INDEX(PASTE_ALL,$DF846,$L$12),TRIM(SUBSTITUTE(SUBSTITUTE(SUBSTITUTE(SUBSTITUTE(INDEX(PASTE_ALL,$DF846,$L$12)," "," "),CHAR(9)," "),CHAR(10)," "),CHAR(13)," "))),"")))</f>
        <v/>
      </c>
      <c r="DU846">
        <f>IF($DM846=0,"",IF($L$13=0,"",IFERROR(IF(ISNUMBER(INDEX(PASTE_ALL,$DF846,$L$13)),INDEX(PASTE_ALL,$DF846,$L$13),TRIM(SUBSTITUTE(SUBSTITUTE(SUBSTITUTE(SUBSTITUTE(INDEX(PASTE_ALL,$DF846,$L$13)," "," "),CHAR(9)," "),CHAR(10)," "),CHAR(13)," "))),"")))</f>
        <v/>
      </c>
      <c r="DV846">
        <f>IF($DM846=0,"",IF($L$14=0,"",IFERROR(IF(ISNUMBER(INDEX(PASTE_ALL,$DF846,$L$14)),INDEX(PASTE_ALL,$DF846,$L$14),TRIM(SUBSTITUTE(SUBSTITUTE(SUBSTITUTE(SUBSTITUTE(INDEX(PASTE_ALL,$DF846,$L$14)," "," "),CHAR(9)," "),CHAR(10)," "),CHAR(13)," "))),"")))</f>
        <v/>
      </c>
      <c r="DW846">
        <f>IF($DM846=0,"",IF($L$15=0,"",IFERROR(IF(ISNUMBER(INDEX(PASTE_ALL,$DF846,$L$15)),INDEX(PASTE_ALL,$DF846,$L$15),IF(SUMPRODUCT(--ISNUMBER(FIND({"A","B","C","D","E","F","G","H","I","J","K","L","M","N","O","P","Q","R","S","T","U","V","W","X","Y","Z","0","1","2","3","4","5","6","7","8","9"},UPPER(TRIM(SUBSTITUTE(SUBSTITUTE(SUBSTITUTE(SUBSTITUTE(INDEX(PASTE_ALL,$DF846,$L$15)," "," "),CHAR(9)," "),CHAR(10)," "),CHAR(13)," "))))))&gt;0,TRIM(SUBSTITUTE(SUBSTITUTE(SUBSTITUTE(SUBSTITUTE(INDEX(PASTE_ALL,$DF846,$L$15)," "," "),CHAR(9)," "),CHAR(10)," "),CHAR(13)," ")),"")),"")))</f>
        <v/>
      </c>
      <c r="DX846">
        <f>IF($DM846=0,"",IF($L$16=0,"",IFERROR(IF(ISNUMBER(INDEX(PASTE_ALL,$DF846,$L$16)),INDEX(PASTE_ALL,$DF846,$L$16),SUBSTITUTE(SUBSTITUTE(TRIM(SUBSTITUTE(SUBSTITUTE(SUBSTITUTE(SUBSTITUTE(INDEX(PASTE_ALL,$DF846,$L$16)," "," "),CHAR(9)," "),CHAR(10)," "),CHAR(13)," ")),",",""),"%","")),"")))</f>
        <v/>
      </c>
      <c r="DY846">
        <f>IF($DM846=0,"",IFERROR(IF(ISNUMBER($DX846),$DX846,IF($DX846="","",IF(TRIM($DX846)="",0,IF(AND(AND(SUBSTITUTE(SUBSTITUTE(SUBSTITUTE(SUBSTITUTE(SUBSTITUTE(SUBSTITUTE(SUBSTITUTE(SUBSTITUTE(SUBSTITUTE(SUBSTITUTE(SUBSTITUTE(SUBSTITUTE(SUBSTITUTE(SUBSTITUTE(UPPER(TRIM($DX846)),"0",""),"1",""),"2",""),"3",""),"4",""),"5",""),"6",""),"7",""),"8",""),"9",""),".",""),"+",""),"-",""),"E","")="",LEN(SUBSTITUTE(SUBSTITUTE(MID(UPPER(TRIM($DX846)),1+OR(LEFT(UPPER(TRIM($DX846)),1)="+",LEFT(UPPER(TRIM($DX846)),1)="-"),999),"E+","E"),"E-","E"))=LEN(SUBSTITUTE(SUBSTITUTE(SUBSTITUTE(SUBSTITUTE(MID(UPPER(TRIM($DX846)),1+OR(LEFT(UPPER(TRIM($DX846)),1)="+",LEFT(UPPER(TRIM($DX846)),1)="-"),999),"E+","E"),"E-","E"),"+",""),"-","")),LEN(UPPER(TRIM($DX846)))-LEN(SUBSTITUTE(UPPER(TRIM($DX846)),"E",""))&lt;2,LEN(UPPER(TRIM($DX846)))-LEN(SUBSTITUTE(UPPER(TRIM($DX846)),".",""))&lt;2,IFERROR(FIND(".",UPPER(TRIM($DX846))),0)&lt;IFERROR(FIND("E",UPPER(TRIM($DX846))),999)),ISNUMBER(VALUE(TRIM($DX846)))),VALUE(TRIM($DX846)),"")))),""))</f>
        <v/>
      </c>
      <c r="DZ846">
        <f>IF($DM846=0,"",IF($L$17=0,"",IFERROR(IF(ISNUMBER(INDEX(PASTE_ALL,$DF846,$L$17)),INDEX(PASTE_ALL,$DF846,$L$17),SUBSTITUTE(SUBSTITUTE(TRIM(SUBSTITUTE(SUBSTITUTE(SUBSTITUTE(SUBSTITUTE(INDEX(PASTE_ALL,$DF846,$L$17)," "," "),CHAR(9)," "),CHAR(10)," "),CHAR(13)," ")),",",""),"%","")),"")))</f>
        <v/>
      </c>
      <c r="EA846">
        <f>IF($DM846=0,"",IFERROR(IF(ISNUMBER($DZ846),$DZ846,IF($DZ846="","",IF(TRIM($DZ846)="",0,IF(AND(AND(SUBSTITUTE(SUBSTITUTE(SUBSTITUTE(SUBSTITUTE(SUBSTITUTE(SUBSTITUTE(SUBSTITUTE(SUBSTITUTE(SUBSTITUTE(SUBSTITUTE(SUBSTITUTE(SUBSTITUTE(SUBSTITUTE(SUBSTITUTE(UPPER(TRIM($DZ846)),"0",""),"1",""),"2",""),"3",""),"4",""),"5",""),"6",""),"7",""),"8",""),"9",""),".",""),"+",""),"-",""),"E","")="",LEN(SUBSTITUTE(SUBSTITUTE(MID(UPPER(TRIM($DZ846)),1+OR(LEFT(UPPER(TRIM($DZ846)),1)="+",LEFT(UPPER(TRIM($DZ846)),1)="-"),999),"E+","E"),"E-","E"))=LEN(SUBSTITUTE(SUBSTITUTE(SUBSTITUTE(SUBSTITUTE(MID(UPPER(TRIM($DZ846)),1+OR(LEFT(UPPER(TRIM($DZ846)),1)="+",LEFT(UPPER(TRIM($DZ846)),1)="-"),999),"E+","E"),"E-","E"),"+",""),"-","")),LEN(UPPER(TRIM($DZ846)))-LEN(SUBSTITUTE(UPPER(TRIM($DZ846)),"E",""))&lt;2,LEN(UPPER(TRIM($DZ846)))-LEN(SUBSTITUTE(UPPER(TRIM($DZ846)),".",""))&lt;2,IFERROR(FIND(".",UPPER(TRIM($DZ846))),0)&lt;IFERROR(FIND("E",UPPER(TRIM($DZ846))),999)),ISNUMBER(VALUE(TRIM($DZ846)))),VALUE(TRIM($DZ846)),"")))),""))</f>
        <v/>
      </c>
      <c r="EB846">
        <f>IF($DM846=0,"",IF($L$18=0,"",IFERROR(IF(UPPER(TRIM(SUBSTITUTE(SUBSTITUTE(SUBSTITUTE(SUBSTITUTE(INDEX(PASTE_ALL,$DF846,$L$18)," "," "),CHAR(9)," "),CHAR(10)," "),CHAR(13)," ")))="READY","Ready",IF(UPPER(TRIM(SUBSTITUTE(SUBSTITUTE(SUBSTITUTE(SUBSTITUTE(INDEX(PASTE_ALL,$DF846,$L$18)," "," "),CHAR(9)," "),CHAR(10)," "),CHAR(13)," ")))="PM","PM",IF(OR(UPPER(TRIM(SUBSTITUTE(SUBSTITUTE(SUBSTITUTE(SUBSTITUTE(INDEX(PASTE_ALL,$DF846,$L$18)," "," "),CHAR(9)," "),CHAR(10)," "),CHAR(13)," ")))="OT",UPPER(TRIM(SUBSTITUTE(SUBSTITUTE(SUBSTITUTE(SUBSTITUTE(INDEX(PASTE_ALL,$DF846,$L$18)," "," "),CHAR(9)," "),CHAR(10)," "),CHAR(13)," ")))="OVERTIME",UPPER(TRIM(SUBSTITUTE(SUBSTITUTE(SUBSTITUTE(SUBSTITUTE(INDEX(PASTE_ALL,$DF846,$L$18)," "," "),CHAR(9)," "),CHAR(10)," "),CHAR(13)," ")))="TRIAL"),"OT",TRIM(SUBSTITUTE(SUBSTITUTE(SUBSTITUTE(SUBSTITUTE(INDEX(PASTE_ALL,$DF846,$L$18)," "," "),CHAR(9)," "),CHAR(10)," "),CHAR(13)," "))))),"")))</f>
        <v/>
      </c>
      <c r="EC846">
        <f>IF($DM846=0,"",IF($L$19=0,"",IFERROR(IF(ISNUMBER(INDEX(PASTE_ALL,$DF846,$L$19)),INDEX(PASTE_ALL,$DF846,$L$19),TRIM(SUBSTITUTE(SUBSTITUTE(SUBSTITUTE(SUBSTITUTE(INDEX(PASTE_ALL,$DF846,$L$19)," "," "),CHAR(9)," "),CHAR(10)," "),CHAR(13)," "))),"")))</f>
        <v/>
      </c>
      <c r="ED846">
        <f>IF($DM846=0,"",MATCH(1,INDEX(EXACT($DH$5:DH846,$DH846)*$DM$5:DM846,0),0))</f>
        <v/>
      </c>
      <c r="EE846">
        <f>IF($DM846=0,0,IF($ED846=$DE846,1,0))</f>
        <v/>
      </c>
      <c r="EF846">
        <f>EF845+$EE846</f>
        <v/>
      </c>
      <c r="EG846">
        <f>IF($DM846=0,"",INDEX($EF$5:$EF$1003,$ED846))</f>
        <v/>
      </c>
      <c r="EH846">
        <f>IF($DM846=0,"",IF($DO846&lt;&gt;"","",IFERROR(LOOKUP(2,1/(($EG$4:EG845=$EG846)*($DO$4:DO845&lt;&gt;"")),$DO$4:DO845),"")))</f>
        <v/>
      </c>
      <c r="EI846">
        <f>IF($DM846=0,"",IF($DO846&lt;&gt;"",$DO846,$EH846))</f>
        <v/>
      </c>
      <c r="EJ846">
        <f>IF($DM846=0,"",IF($EI846="",0,IF(OR(ISNUMBER($EI846),AND(AND(SUBSTITUTE(SUBSTITUTE(SUBSTITUTE(SUBSTITUTE(SUBSTITUTE(SUBSTITUTE(SUBSTITUTE(SUBSTITUTE(SUBSTITUTE(SUBSTITUTE(SUBSTITUTE(SUBSTITUTE(SUBSTITUTE(SUBSTITUTE(UPPER($EI846),"0",""),"1",""),"2",""),"3",""),"4",""),"5",""),"6",""),"7",""),"8",""),"9",""),".",""),"+",""),"-",""),"E","")="",LEN(SUBSTITUTE(SUBSTITUTE(MID(UPPER($EI846),1+OR(LEFT(UPPER($EI846),1)="+",LEFT(UPPER($EI846),1)="-"),999),"E+","E"),"E-","E"))=LEN(SUBSTITUTE(SUBSTITUTE(SUBSTITUTE(SUBSTITUTE(MID(UPPER($EI846),1+OR(LEFT(UPPER($EI846),1)="+",LEFT(UPPER($EI846),1)="-"),999),"E+","E"),"E-","E"),"+",""),"-","")),LEN(UPPER($EI846))-LEN(SUBSTITUTE(UPPER($EI846),"E",""))&lt;2,LEN(UPPER($EI846))-LEN(SUBSTITUTE(UPPER($EI846),".",""))&lt;2,IFERROR(FIND(".",UPPER($EI846)),0)&lt;IFERROR(FIND("E",UPPER($EI846)),999)),ISNUMBER(VALUE($EI846)))),1,2)))</f>
        <v/>
      </c>
      <c r="EK846">
        <f>IF($DM846=0,"",IF($EJ846=1,IF(ISNUMBER($EI846),$EI846,VALUE($EI846)),IF($EJ846=2,$DE846,0)))</f>
        <v/>
      </c>
      <c r="EL846">
        <f>IF($DM846=0,"",COUNTIF($EG$5:$EG$1003,"&lt;"&amp;$EG846)+SUMPRODUCT(($EG$5:$EG$1003=$EG846)*(($EJ$5:$EJ$1003&lt;$EJ846)+($EJ$5:$EJ$1003=$EJ846)*(($EK$5:$EK$1003&lt;$EK846)+($EK$5:$EK$1003=$EK846)*($DE$5:$DE$1003&lt;$DE846))))+1)</f>
        <v/>
      </c>
      <c r="EM846">
        <f>IF($DM846=0,"",$EL846+$EG846-1)</f>
        <v/>
      </c>
      <c r="EN846">
        <f>IF($DM846=0,0,IFERROR(MATCH(1,INDEX(--(TRIM(SUBSTITUTE(SUBSTITUTE(SUBSTITUTE(SUBSTITUTE(LINES_NAME&amp;""," "," "),CHAR(9)," "),CHAR(10)," "),CHAR(13)," "))=$DH846),0),0),0))</f>
        <v/>
      </c>
      <c r="EO846">
        <f>IF($EN846=0,0,IF(OR(UPPER(TRIM(INDEX(LINES_SCHEDULED,$EN846)&amp;""))="YES",UPPER(TRIM(INDEX(LINES_SCHEDULED,$EN846)&amp;""))="Y",UPPER(TRIM(INDEX(LINES_SCHEDULED,$EN846)&amp;""))="X"),1,0))</f>
        <v/>
      </c>
      <c r="EP846">
        <f>IF($DM846=0,"",IF(COUNTIFS($EG$5:$EG$1003,$EG846,$EB$5:$EB$1003,"Ready")&gt;0,"READY",IF(COUNTIFS($EG$5:$EG$1003,$EG846,$EB$5:$EB$1003,"PM")&gt;0,"PM",IF(COUNTIFS($EG$5:$EG$1003,$EG846,$EB$5:$EB$1003,"OT")&gt;0,"OT",""))))</f>
        <v/>
      </c>
      <c r="EQ846">
        <f>IF($EN846=0,"",UPPER(TRIM(INDEX(LINES_STATUS,$EN846)&amp;"")))</f>
        <v/>
      </c>
      <c r="ER846">
        <f>IF($DM846=0,"",IF(OR($EQ846="READY",$EQ846="PM",$EQ846="OT"),$EQ846,$EP846))</f>
        <v/>
      </c>
      <c r="ES846">
        <f>IF($DM846=0,"",IF(AND($DV846&lt;&gt;"",UPPER($DV846)&lt;&gt;"N"),"allergen",IF(ISNUMBER(SEARCH("oil",$DQ846)),"oil",IF(OR(EXACT($DS846,"A662"),EXACT($DS846,"A624")),"bulk",""))))</f>
        <v/>
      </c>
      <c r="ET846">
        <f>IF($DM846=0,"",IF(OR($EA846="",$EA846=0),"",$EA846/100))</f>
        <v/>
      </c>
      <c r="EU846">
        <f>IF(OR($ET846="",$DY846=""),"",INT($DY846*(1-$ET846)+0.5))</f>
        <v/>
      </c>
    </row>
    <row r="847">
      <c r="DA847" t="n">
        <v>843</v>
      </c>
      <c r="DB847">
        <f>IF($B$37=0,"",IFERROR(TRIM(SUBSTITUTE(SUBSTITUTE(SUBSTITUTE(SUBSTITUTE(INDEX(PASTE_ALL,843,$B$37)," "," "),CHAR(9)," "),CHAR(10)," "),CHAR(13)," ")),""))</f>
        <v/>
      </c>
      <c r="DC847">
        <f>IF(AND(843&gt;HEADER_ROW,UPPER(DB847)="LEGEND"),1,0)</f>
        <v/>
      </c>
      <c r="DE847" t="n">
        <v>843</v>
      </c>
      <c r="DF847">
        <f>HEADER_ROW+$DE847</f>
        <v/>
      </c>
      <c r="DG847">
        <f>IF(AND($DF847&lt;=1000,$DF847&lt;$B$8),1,0)</f>
        <v/>
      </c>
      <c r="DH847">
        <f>IF($DG847=1,IFERROR(INDEX($DB$5:$DB$1004,$DF847),""),"")</f>
        <v/>
      </c>
      <c r="DI847">
        <f>IF(AND($DG847=1,$DH847&lt;&gt;""),IFERROR(SUBSTITUTE(SUBSTITUTE(TRIM(SUBSTITUTE(SUBSTITUTE(SUBSTITUTE(SUBSTITUTE(IFERROR(INDEX(PASTE_ALL,$DF847,1)&amp;"","")&amp;"␟"&amp;IFERROR(INDEX(PASTE_ALL,$DF847,2)&amp;"","")&amp;"␟"&amp;IFERROR(INDEX(PASTE_ALL,$DF847,3)&amp;"","")&amp;"␟"&amp;IFERROR(INDEX(PASTE_ALL,$DF847,4)&amp;"","")&amp;"␟"&amp;IFERROR(INDEX(PASTE_ALL,$DF847,5)&amp;"","")&amp;"␟"&amp;IFERROR(INDEX(PASTE_ALL,$DF847,6)&amp;"","")&amp;"␟"&amp;IFERROR(INDEX(PASTE_ALL,$DF847,7)&amp;"","")&amp;"␟"&amp;IFERROR(INDEX(PASTE_ALL,$DF847,8)&amp;"","")&amp;"␟"&amp;IFERROR(INDEX(PASTE_ALL,$DF847,9)&amp;"","")&amp;"␟"&amp;IFERROR(INDEX(PASTE_ALL,$DF847,10)&amp;"","")&amp;"␟"&amp;IFERROR(INDEX(PASTE_ALL,$DF847,11)&amp;"","")&amp;"␟"&amp;IFERROR(INDEX(PASTE_ALL,$DF847,12)&amp;"","")&amp;"␟"&amp;IFERROR(INDEX(PASTE_ALL,$DF847,13)&amp;"","")&amp;"␟"&amp;IFERROR(INDEX(PASTE_ALL,$DF847,14)&amp;"","")&amp;"␟"&amp;IFERROR(INDEX(PASTE_ALL,$DF847,15)&amp;"","")&amp;"␟"&amp;IFERROR(INDEX(PASTE_ALL,$DF847,16)&amp;"","")&amp;"␟"&amp;IFERROR(INDEX(PASTE_ALL,$DF847,17)&amp;"","")&amp;"␟"&amp;IFERROR(INDEX(PASTE_ALL,$DF847,18)&amp;"","")&amp;"␟"&amp;IFERROR(INDEX(PASTE_ALL,$DF847,19)&amp;"","")&amp;"␟"&amp;IFERROR(INDEX(PASTE_ALL,$DF847,20)&amp;"","")&amp;"␟"&amp;IFERROR(INDEX(PASTE_ALL,$DF847,21)&amp;"","")&amp;"␟"&amp;IFERROR(INDEX(PASTE_ALL,$DF847,22)&amp;"","")&amp;"␟"&amp;IFERROR(INDEX(PASTE_ALL,$DF847,23)&amp;"","")&amp;"␟"&amp;IFERROR(INDEX(PASTE_ALL,$DF847,24)&amp;"","")&amp;"␟"&amp;IFERROR(INDEX(PASTE_ALL,$DF847,25)&amp;"","")&amp;"␟"&amp;IFERROR(INDEX(PASTE_ALL,$DF847,26)&amp;"","")&amp;"␟"&amp;IFERROR(INDEX(PASTE_ALL,$DF847,27)&amp;"","")&amp;"␟"&amp;IFERROR(INDEX(PASTE_ALL,$DF847,28)&amp;"","")&amp;"␟"&amp;IFERROR(INDEX(PASTE_ALL,$DF847,29)&amp;"","")&amp;"␟"&amp;IFERROR(INDEX(PASTE_ALL,$DF847,30)&amp;"","")&amp;"␟"&amp;IFERROR(INDEX(PASTE_ALL,$DF847,31)&amp;"","")&amp;"␟"&amp;IFERROR(INDEX(PASTE_ALL,$DF847,32)&amp;"","")&amp;"␟"&amp;IFERROR(INDEX(PASTE_ALL,$DF847,33)&amp;"","")&amp;"␟"&amp;IFERROR(INDEX(PASTE_ALL,$DF847,34)&amp;"","")&amp;"␟"&amp;IFERROR(INDEX(PASTE_ALL,$DF847,35)&amp;"","")&amp;"␟"&amp;IFERROR(INDEX(PASTE_ALL,$DF847,36)&amp;"","")&amp;"␟"&amp;IFERROR(INDEX(PASTE_ALL,$DF847,37)&amp;"","")&amp;"␟"&amp;IFERROR(INDEX(PASTE_ALL,$DF847,38)&amp;"","")&amp;"␟"&amp;IFERROR(INDEX(PASTE_ALL,$DF847,39)&amp;"","")&amp;"␟"&amp;IFERROR(INDEX(PASTE_ALL,$DF847,40)&amp;"","")&amp;"␟"&amp;IFERROR(INDEX(PASTE_ALL,$DF847,41)&amp;"","")&amp;"␟"&amp;IFERROR(INDEX(PASTE_ALL,$DF847,42)&amp;"","")&amp;"␟"&amp;IFERROR(INDEX(PASTE_ALL,$DF847,43)&amp;"","")&amp;"␟"&amp;IFERROR(INDEX(PASTE_ALL,$DF847,44)&amp;"","")&amp;"␟"&amp;IFERROR(INDEX(PASTE_ALL,$DF847,45)&amp;"","")&amp;"␟"&amp;IFERROR(INDEX(PASTE_ALL,$DF847,46)&amp;"","")&amp;"␟"&amp;IFERROR(INDEX(PASTE_ALL,$DF847,47)&amp;"","")&amp;"␟"&amp;IFERROR(INDEX(PASTE_ALL,$DF847,48)&amp;"","")&amp;"␟"&amp;IFERROR(INDEX(PASTE_ALL,$DF847,49)&amp;"","")&amp;"␟"&amp;IFERROR(INDEX(PASTE_ALL,$DF847,50)&amp;"","")&amp;"␟"&amp;IFERROR(INDEX(PASTE_ALL,$DF847,51)&amp;"","")&amp;"␟"&amp;IFERROR(INDEX(PASTE_ALL,$DF847,52)&amp;"","")&amp;"␟"&amp;IFERROR(INDEX(PASTE_ALL,$DF847,53)&amp;"","")&amp;"␟"&amp;IFERROR(INDEX(PASTE_ALL,$DF847,54)&amp;"","")&amp;"␟"&amp;IFERROR(INDEX(PASTE_ALL,$DF847,55)&amp;"","")&amp;"␟"&amp;IFERROR(INDEX(PASTE_ALL,$DF847,56)&amp;"","")&amp;"␟"&amp;IFERROR(INDEX(PASTE_ALL,$DF847,57)&amp;"","")&amp;"␟"&amp;IFERROR(INDEX(PASTE_ALL,$DF847,58)&amp;"","")&amp;"␟"&amp;IFERROR(INDEX(PASTE_ALL,$DF847,59)&amp;"","")&amp;"␟"&amp;IFERROR(INDEX(PASTE_ALL,$DF847,60)&amp;"","")," "," "),CHAR(9)," "),CHAR(10)," "),CHAR(13)," "))," ␟","␟"),"␟ ","␟"),"#"&amp;$DE847),"")</f>
        <v/>
      </c>
      <c r="DJ847">
        <f>IF($DI847="",0,IF(SUMPRODUCT(--EXACT($DI$4:DI846,$DI847))&gt;0,1,0))</f>
        <v/>
      </c>
      <c r="DK847">
        <f>IF(AND($DI847&lt;&gt;"",$DJ847=0),1,0)</f>
        <v/>
      </c>
      <c r="DL847">
        <f>DL846+$DK847</f>
        <v/>
      </c>
      <c r="DM847">
        <f>IF(AND($DK847=1,$DL847&lt;=600),1,0)</f>
        <v/>
      </c>
      <c r="DN847">
        <f>IF($DM847=0,"",IF($L$6=0,"",IFERROR(IF(ISNUMBER(INDEX(PASTE_ALL,$DF847,$L$6)),INDEX(PASTE_ALL,$DF847,$L$6),TRIM(SUBSTITUTE(SUBSTITUTE(SUBSTITUTE(SUBSTITUTE(INDEX(PASTE_ALL,$DF847,$L$6)," "," "),CHAR(9)," "),CHAR(10)," "),CHAR(13)," "))),"")))</f>
        <v/>
      </c>
      <c r="DO847">
        <f>IF($DM847=0,"",IF($L$7=0,"",IFERROR(IF(ISNUMBER(INDEX(PASTE_ALL,$DF847,$L$7)),INDEX(PASTE_ALL,$DF847,$L$7),TRIM(SUBSTITUTE(SUBSTITUTE(SUBSTITUTE(SUBSTITUTE(INDEX(PASTE_ALL,$DF847,$L$7)," "," "),CHAR(9)," "),CHAR(10)," "),CHAR(13)," "))),"")))</f>
        <v/>
      </c>
      <c r="DP847">
        <f>IF($DM847=0,"",IF($L$8=0,"",IFERROR(IF(ISNUMBER(INDEX(PASTE_ALL,$DF847,$L$8)),INDEX(PASTE_ALL,$DF847,$L$8),TRIM(SUBSTITUTE(SUBSTITUTE(SUBSTITUTE(SUBSTITUTE(INDEX(PASTE_ALL,$DF847,$L$8)," "," "),CHAR(9)," "),CHAR(10)," "),CHAR(13)," "))),"")))</f>
        <v/>
      </c>
      <c r="DQ847">
        <f>IF($DM847=0,"",IF($L$9=0,"",IFERROR(IF(ISNUMBER(INDEX(PASTE_ALL,$DF847,$L$9)),INDEX(PASTE_ALL,$DF847,$L$9),TRIM(SUBSTITUTE(SUBSTITUTE(SUBSTITUTE(SUBSTITUTE(INDEX(PASTE_ALL,$DF847,$L$9)," "," "),CHAR(9)," "),CHAR(10)," "),CHAR(13)," "))),"")))</f>
        <v/>
      </c>
      <c r="DR847">
        <f>IF($DM847=0,"",IF($L$10=0,"",IFERROR(IF(ISNUMBER(INDEX(PASTE_ALL,$DF847,$L$10)),INDEX(PASTE_ALL,$DF847,$L$10),TRIM(SUBSTITUTE(SUBSTITUTE(SUBSTITUTE(SUBSTITUTE(INDEX(PASTE_ALL,$DF847,$L$10)," "," "),CHAR(9)," "),CHAR(10)," "),CHAR(13)," "))),"")))</f>
        <v/>
      </c>
      <c r="DS847">
        <f>IF($DM847=0,"",IF($L$11=0,"",IFERROR(IF(ISNUMBER(INDEX(PASTE_ALL,$DF847,$L$11)),INDEX(PASTE_ALL,$DF847,$L$11),TRIM(SUBSTITUTE(SUBSTITUTE(SUBSTITUTE(SUBSTITUTE(INDEX(PASTE_ALL,$DF847,$L$11)," "," "),CHAR(9)," "),CHAR(10)," "),CHAR(13)," "))),"")))</f>
        <v/>
      </c>
      <c r="DT847">
        <f>IF($DM847=0,"",IF($L$12=0,"",IFERROR(IF(ISNUMBER(INDEX(PASTE_ALL,$DF847,$L$12)),INDEX(PASTE_ALL,$DF847,$L$12),TRIM(SUBSTITUTE(SUBSTITUTE(SUBSTITUTE(SUBSTITUTE(INDEX(PASTE_ALL,$DF847,$L$12)," "," "),CHAR(9)," "),CHAR(10)," "),CHAR(13)," "))),"")))</f>
        <v/>
      </c>
      <c r="DU847">
        <f>IF($DM847=0,"",IF($L$13=0,"",IFERROR(IF(ISNUMBER(INDEX(PASTE_ALL,$DF847,$L$13)),INDEX(PASTE_ALL,$DF847,$L$13),TRIM(SUBSTITUTE(SUBSTITUTE(SUBSTITUTE(SUBSTITUTE(INDEX(PASTE_ALL,$DF847,$L$13)," "," "),CHAR(9)," "),CHAR(10)," "),CHAR(13)," "))),"")))</f>
        <v/>
      </c>
      <c r="DV847">
        <f>IF($DM847=0,"",IF($L$14=0,"",IFERROR(IF(ISNUMBER(INDEX(PASTE_ALL,$DF847,$L$14)),INDEX(PASTE_ALL,$DF847,$L$14),TRIM(SUBSTITUTE(SUBSTITUTE(SUBSTITUTE(SUBSTITUTE(INDEX(PASTE_ALL,$DF847,$L$14)," "," "),CHAR(9)," "),CHAR(10)," "),CHAR(13)," "))),"")))</f>
        <v/>
      </c>
      <c r="DW847">
        <f>IF($DM847=0,"",IF($L$15=0,"",IFERROR(IF(ISNUMBER(INDEX(PASTE_ALL,$DF847,$L$15)),INDEX(PASTE_ALL,$DF847,$L$15),IF(SUMPRODUCT(--ISNUMBER(FIND({"A","B","C","D","E","F","G","H","I","J","K","L","M","N","O","P","Q","R","S","T","U","V","W","X","Y","Z","0","1","2","3","4","5","6","7","8","9"},UPPER(TRIM(SUBSTITUTE(SUBSTITUTE(SUBSTITUTE(SUBSTITUTE(INDEX(PASTE_ALL,$DF847,$L$15)," "," "),CHAR(9)," "),CHAR(10)," "),CHAR(13)," "))))))&gt;0,TRIM(SUBSTITUTE(SUBSTITUTE(SUBSTITUTE(SUBSTITUTE(INDEX(PASTE_ALL,$DF847,$L$15)," "," "),CHAR(9)," "),CHAR(10)," "),CHAR(13)," ")),"")),"")))</f>
        <v/>
      </c>
      <c r="DX847">
        <f>IF($DM847=0,"",IF($L$16=0,"",IFERROR(IF(ISNUMBER(INDEX(PASTE_ALL,$DF847,$L$16)),INDEX(PASTE_ALL,$DF847,$L$16),SUBSTITUTE(SUBSTITUTE(TRIM(SUBSTITUTE(SUBSTITUTE(SUBSTITUTE(SUBSTITUTE(INDEX(PASTE_ALL,$DF847,$L$16)," "," "),CHAR(9)," "),CHAR(10)," "),CHAR(13)," ")),",",""),"%","")),"")))</f>
        <v/>
      </c>
      <c r="DY847">
        <f>IF($DM847=0,"",IFERROR(IF(ISNUMBER($DX847),$DX847,IF($DX847="","",IF(TRIM($DX847)="",0,IF(AND(AND(SUBSTITUTE(SUBSTITUTE(SUBSTITUTE(SUBSTITUTE(SUBSTITUTE(SUBSTITUTE(SUBSTITUTE(SUBSTITUTE(SUBSTITUTE(SUBSTITUTE(SUBSTITUTE(SUBSTITUTE(SUBSTITUTE(SUBSTITUTE(UPPER(TRIM($DX847)),"0",""),"1",""),"2",""),"3",""),"4",""),"5",""),"6",""),"7",""),"8",""),"9",""),".",""),"+",""),"-",""),"E","")="",LEN(SUBSTITUTE(SUBSTITUTE(MID(UPPER(TRIM($DX847)),1+OR(LEFT(UPPER(TRIM($DX847)),1)="+",LEFT(UPPER(TRIM($DX847)),1)="-"),999),"E+","E"),"E-","E"))=LEN(SUBSTITUTE(SUBSTITUTE(SUBSTITUTE(SUBSTITUTE(MID(UPPER(TRIM($DX847)),1+OR(LEFT(UPPER(TRIM($DX847)),1)="+",LEFT(UPPER(TRIM($DX847)),1)="-"),999),"E+","E"),"E-","E"),"+",""),"-","")),LEN(UPPER(TRIM($DX847)))-LEN(SUBSTITUTE(UPPER(TRIM($DX847)),"E",""))&lt;2,LEN(UPPER(TRIM($DX847)))-LEN(SUBSTITUTE(UPPER(TRIM($DX847)),".",""))&lt;2,IFERROR(FIND(".",UPPER(TRIM($DX847))),0)&lt;IFERROR(FIND("E",UPPER(TRIM($DX847))),999)),ISNUMBER(VALUE(TRIM($DX847)))),VALUE(TRIM($DX847)),"")))),""))</f>
        <v/>
      </c>
      <c r="DZ847">
        <f>IF($DM847=0,"",IF($L$17=0,"",IFERROR(IF(ISNUMBER(INDEX(PASTE_ALL,$DF847,$L$17)),INDEX(PASTE_ALL,$DF847,$L$17),SUBSTITUTE(SUBSTITUTE(TRIM(SUBSTITUTE(SUBSTITUTE(SUBSTITUTE(SUBSTITUTE(INDEX(PASTE_ALL,$DF847,$L$17)," "," "),CHAR(9)," "),CHAR(10)," "),CHAR(13)," ")),",",""),"%","")),"")))</f>
        <v/>
      </c>
      <c r="EA847">
        <f>IF($DM847=0,"",IFERROR(IF(ISNUMBER($DZ847),$DZ847,IF($DZ847="","",IF(TRIM($DZ847)="",0,IF(AND(AND(SUBSTITUTE(SUBSTITUTE(SUBSTITUTE(SUBSTITUTE(SUBSTITUTE(SUBSTITUTE(SUBSTITUTE(SUBSTITUTE(SUBSTITUTE(SUBSTITUTE(SUBSTITUTE(SUBSTITUTE(SUBSTITUTE(SUBSTITUTE(UPPER(TRIM($DZ847)),"0",""),"1",""),"2",""),"3",""),"4",""),"5",""),"6",""),"7",""),"8",""),"9",""),".",""),"+",""),"-",""),"E","")="",LEN(SUBSTITUTE(SUBSTITUTE(MID(UPPER(TRIM($DZ847)),1+OR(LEFT(UPPER(TRIM($DZ847)),1)="+",LEFT(UPPER(TRIM($DZ847)),1)="-"),999),"E+","E"),"E-","E"))=LEN(SUBSTITUTE(SUBSTITUTE(SUBSTITUTE(SUBSTITUTE(MID(UPPER(TRIM($DZ847)),1+OR(LEFT(UPPER(TRIM($DZ847)),1)="+",LEFT(UPPER(TRIM($DZ847)),1)="-"),999),"E+","E"),"E-","E"),"+",""),"-","")),LEN(UPPER(TRIM($DZ847)))-LEN(SUBSTITUTE(UPPER(TRIM($DZ847)),"E",""))&lt;2,LEN(UPPER(TRIM($DZ847)))-LEN(SUBSTITUTE(UPPER(TRIM($DZ847)),".",""))&lt;2,IFERROR(FIND(".",UPPER(TRIM($DZ847))),0)&lt;IFERROR(FIND("E",UPPER(TRIM($DZ847))),999)),ISNUMBER(VALUE(TRIM($DZ847)))),VALUE(TRIM($DZ847)),"")))),""))</f>
        <v/>
      </c>
      <c r="EB847">
        <f>IF($DM847=0,"",IF($L$18=0,"",IFERROR(IF(UPPER(TRIM(SUBSTITUTE(SUBSTITUTE(SUBSTITUTE(SUBSTITUTE(INDEX(PASTE_ALL,$DF847,$L$18)," "," "),CHAR(9)," "),CHAR(10)," "),CHAR(13)," ")))="READY","Ready",IF(UPPER(TRIM(SUBSTITUTE(SUBSTITUTE(SUBSTITUTE(SUBSTITUTE(INDEX(PASTE_ALL,$DF847,$L$18)," "," "),CHAR(9)," "),CHAR(10)," "),CHAR(13)," ")))="PM","PM",IF(OR(UPPER(TRIM(SUBSTITUTE(SUBSTITUTE(SUBSTITUTE(SUBSTITUTE(INDEX(PASTE_ALL,$DF847,$L$18)," "," "),CHAR(9)," "),CHAR(10)," "),CHAR(13)," ")))="OT",UPPER(TRIM(SUBSTITUTE(SUBSTITUTE(SUBSTITUTE(SUBSTITUTE(INDEX(PASTE_ALL,$DF847,$L$18)," "," "),CHAR(9)," "),CHAR(10)," "),CHAR(13)," ")))="OVERTIME",UPPER(TRIM(SUBSTITUTE(SUBSTITUTE(SUBSTITUTE(SUBSTITUTE(INDEX(PASTE_ALL,$DF847,$L$18)," "," "),CHAR(9)," "),CHAR(10)," "),CHAR(13)," ")))="TRIAL"),"OT",TRIM(SUBSTITUTE(SUBSTITUTE(SUBSTITUTE(SUBSTITUTE(INDEX(PASTE_ALL,$DF847,$L$18)," "," "),CHAR(9)," "),CHAR(10)," "),CHAR(13)," "))))),"")))</f>
        <v/>
      </c>
      <c r="EC847">
        <f>IF($DM847=0,"",IF($L$19=0,"",IFERROR(IF(ISNUMBER(INDEX(PASTE_ALL,$DF847,$L$19)),INDEX(PASTE_ALL,$DF847,$L$19),TRIM(SUBSTITUTE(SUBSTITUTE(SUBSTITUTE(SUBSTITUTE(INDEX(PASTE_ALL,$DF847,$L$19)," "," "),CHAR(9)," "),CHAR(10)," "),CHAR(13)," "))),"")))</f>
        <v/>
      </c>
      <c r="ED847">
        <f>IF($DM847=0,"",MATCH(1,INDEX(EXACT($DH$5:DH847,$DH847)*$DM$5:DM847,0),0))</f>
        <v/>
      </c>
      <c r="EE847">
        <f>IF($DM847=0,0,IF($ED847=$DE847,1,0))</f>
        <v/>
      </c>
      <c r="EF847">
        <f>EF846+$EE847</f>
        <v/>
      </c>
      <c r="EG847">
        <f>IF($DM847=0,"",INDEX($EF$5:$EF$1003,$ED847))</f>
        <v/>
      </c>
      <c r="EH847">
        <f>IF($DM847=0,"",IF($DO847&lt;&gt;"","",IFERROR(LOOKUP(2,1/(($EG$4:EG846=$EG847)*($DO$4:DO846&lt;&gt;"")),$DO$4:DO846),"")))</f>
        <v/>
      </c>
      <c r="EI847">
        <f>IF($DM847=0,"",IF($DO847&lt;&gt;"",$DO847,$EH847))</f>
        <v/>
      </c>
      <c r="EJ847">
        <f>IF($DM847=0,"",IF($EI847="",0,IF(OR(ISNUMBER($EI847),AND(AND(SUBSTITUTE(SUBSTITUTE(SUBSTITUTE(SUBSTITUTE(SUBSTITUTE(SUBSTITUTE(SUBSTITUTE(SUBSTITUTE(SUBSTITUTE(SUBSTITUTE(SUBSTITUTE(SUBSTITUTE(SUBSTITUTE(SUBSTITUTE(UPPER($EI847),"0",""),"1",""),"2",""),"3",""),"4",""),"5",""),"6",""),"7",""),"8",""),"9",""),".",""),"+",""),"-",""),"E","")="",LEN(SUBSTITUTE(SUBSTITUTE(MID(UPPER($EI847),1+OR(LEFT(UPPER($EI847),1)="+",LEFT(UPPER($EI847),1)="-"),999),"E+","E"),"E-","E"))=LEN(SUBSTITUTE(SUBSTITUTE(SUBSTITUTE(SUBSTITUTE(MID(UPPER($EI847),1+OR(LEFT(UPPER($EI847),1)="+",LEFT(UPPER($EI847),1)="-"),999),"E+","E"),"E-","E"),"+",""),"-","")),LEN(UPPER($EI847))-LEN(SUBSTITUTE(UPPER($EI847),"E",""))&lt;2,LEN(UPPER($EI847))-LEN(SUBSTITUTE(UPPER($EI847),".",""))&lt;2,IFERROR(FIND(".",UPPER($EI847)),0)&lt;IFERROR(FIND("E",UPPER($EI847)),999)),ISNUMBER(VALUE($EI847)))),1,2)))</f>
        <v/>
      </c>
      <c r="EK847">
        <f>IF($DM847=0,"",IF($EJ847=1,IF(ISNUMBER($EI847),$EI847,VALUE($EI847)),IF($EJ847=2,$DE847,0)))</f>
        <v/>
      </c>
      <c r="EL847">
        <f>IF($DM847=0,"",COUNTIF($EG$5:$EG$1003,"&lt;"&amp;$EG847)+SUMPRODUCT(($EG$5:$EG$1003=$EG847)*(($EJ$5:$EJ$1003&lt;$EJ847)+($EJ$5:$EJ$1003=$EJ847)*(($EK$5:$EK$1003&lt;$EK847)+($EK$5:$EK$1003=$EK847)*($DE$5:$DE$1003&lt;$DE847))))+1)</f>
        <v/>
      </c>
      <c r="EM847">
        <f>IF($DM847=0,"",$EL847+$EG847-1)</f>
        <v/>
      </c>
      <c r="EN847">
        <f>IF($DM847=0,0,IFERROR(MATCH(1,INDEX(--(TRIM(SUBSTITUTE(SUBSTITUTE(SUBSTITUTE(SUBSTITUTE(LINES_NAME&amp;""," "," "),CHAR(9)," "),CHAR(10)," "),CHAR(13)," "))=$DH847),0),0),0))</f>
        <v/>
      </c>
      <c r="EO847">
        <f>IF($EN847=0,0,IF(OR(UPPER(TRIM(INDEX(LINES_SCHEDULED,$EN847)&amp;""))="YES",UPPER(TRIM(INDEX(LINES_SCHEDULED,$EN847)&amp;""))="Y",UPPER(TRIM(INDEX(LINES_SCHEDULED,$EN847)&amp;""))="X"),1,0))</f>
        <v/>
      </c>
      <c r="EP847">
        <f>IF($DM847=0,"",IF(COUNTIFS($EG$5:$EG$1003,$EG847,$EB$5:$EB$1003,"Ready")&gt;0,"READY",IF(COUNTIFS($EG$5:$EG$1003,$EG847,$EB$5:$EB$1003,"PM")&gt;0,"PM",IF(COUNTIFS($EG$5:$EG$1003,$EG847,$EB$5:$EB$1003,"OT")&gt;0,"OT",""))))</f>
        <v/>
      </c>
      <c r="EQ847">
        <f>IF($EN847=0,"",UPPER(TRIM(INDEX(LINES_STATUS,$EN847)&amp;"")))</f>
        <v/>
      </c>
      <c r="ER847">
        <f>IF($DM847=0,"",IF(OR($EQ847="READY",$EQ847="PM",$EQ847="OT"),$EQ847,$EP847))</f>
        <v/>
      </c>
      <c r="ES847">
        <f>IF($DM847=0,"",IF(AND($DV847&lt;&gt;"",UPPER($DV847)&lt;&gt;"N"),"allergen",IF(ISNUMBER(SEARCH("oil",$DQ847)),"oil",IF(OR(EXACT($DS847,"A662"),EXACT($DS847,"A624")),"bulk",""))))</f>
        <v/>
      </c>
      <c r="ET847">
        <f>IF($DM847=0,"",IF(OR($EA847="",$EA847=0),"",$EA847/100))</f>
        <v/>
      </c>
      <c r="EU847">
        <f>IF(OR($ET847="",$DY847=""),"",INT($DY847*(1-$ET847)+0.5))</f>
        <v/>
      </c>
    </row>
    <row r="848">
      <c r="DA848" t="n">
        <v>844</v>
      </c>
      <c r="DB848">
        <f>IF($B$37=0,"",IFERROR(TRIM(SUBSTITUTE(SUBSTITUTE(SUBSTITUTE(SUBSTITUTE(INDEX(PASTE_ALL,844,$B$37)," "," "),CHAR(9)," "),CHAR(10)," "),CHAR(13)," ")),""))</f>
        <v/>
      </c>
      <c r="DC848">
        <f>IF(AND(844&gt;HEADER_ROW,UPPER(DB848)="LEGEND"),1,0)</f>
        <v/>
      </c>
      <c r="DE848" t="n">
        <v>844</v>
      </c>
      <c r="DF848">
        <f>HEADER_ROW+$DE848</f>
        <v/>
      </c>
      <c r="DG848">
        <f>IF(AND($DF848&lt;=1000,$DF848&lt;$B$8),1,0)</f>
        <v/>
      </c>
      <c r="DH848">
        <f>IF($DG848=1,IFERROR(INDEX($DB$5:$DB$1004,$DF848),""),"")</f>
        <v/>
      </c>
      <c r="DI848">
        <f>IF(AND($DG848=1,$DH848&lt;&gt;""),IFERROR(SUBSTITUTE(SUBSTITUTE(TRIM(SUBSTITUTE(SUBSTITUTE(SUBSTITUTE(SUBSTITUTE(IFERROR(INDEX(PASTE_ALL,$DF848,1)&amp;"","")&amp;"␟"&amp;IFERROR(INDEX(PASTE_ALL,$DF848,2)&amp;"","")&amp;"␟"&amp;IFERROR(INDEX(PASTE_ALL,$DF848,3)&amp;"","")&amp;"␟"&amp;IFERROR(INDEX(PASTE_ALL,$DF848,4)&amp;"","")&amp;"␟"&amp;IFERROR(INDEX(PASTE_ALL,$DF848,5)&amp;"","")&amp;"␟"&amp;IFERROR(INDEX(PASTE_ALL,$DF848,6)&amp;"","")&amp;"␟"&amp;IFERROR(INDEX(PASTE_ALL,$DF848,7)&amp;"","")&amp;"␟"&amp;IFERROR(INDEX(PASTE_ALL,$DF848,8)&amp;"","")&amp;"␟"&amp;IFERROR(INDEX(PASTE_ALL,$DF848,9)&amp;"","")&amp;"␟"&amp;IFERROR(INDEX(PASTE_ALL,$DF848,10)&amp;"","")&amp;"␟"&amp;IFERROR(INDEX(PASTE_ALL,$DF848,11)&amp;"","")&amp;"␟"&amp;IFERROR(INDEX(PASTE_ALL,$DF848,12)&amp;"","")&amp;"␟"&amp;IFERROR(INDEX(PASTE_ALL,$DF848,13)&amp;"","")&amp;"␟"&amp;IFERROR(INDEX(PASTE_ALL,$DF848,14)&amp;"","")&amp;"␟"&amp;IFERROR(INDEX(PASTE_ALL,$DF848,15)&amp;"","")&amp;"␟"&amp;IFERROR(INDEX(PASTE_ALL,$DF848,16)&amp;"","")&amp;"␟"&amp;IFERROR(INDEX(PASTE_ALL,$DF848,17)&amp;"","")&amp;"␟"&amp;IFERROR(INDEX(PASTE_ALL,$DF848,18)&amp;"","")&amp;"␟"&amp;IFERROR(INDEX(PASTE_ALL,$DF848,19)&amp;"","")&amp;"␟"&amp;IFERROR(INDEX(PASTE_ALL,$DF848,20)&amp;"","")&amp;"␟"&amp;IFERROR(INDEX(PASTE_ALL,$DF848,21)&amp;"","")&amp;"␟"&amp;IFERROR(INDEX(PASTE_ALL,$DF848,22)&amp;"","")&amp;"␟"&amp;IFERROR(INDEX(PASTE_ALL,$DF848,23)&amp;"","")&amp;"␟"&amp;IFERROR(INDEX(PASTE_ALL,$DF848,24)&amp;"","")&amp;"␟"&amp;IFERROR(INDEX(PASTE_ALL,$DF848,25)&amp;"","")&amp;"␟"&amp;IFERROR(INDEX(PASTE_ALL,$DF848,26)&amp;"","")&amp;"␟"&amp;IFERROR(INDEX(PASTE_ALL,$DF848,27)&amp;"","")&amp;"␟"&amp;IFERROR(INDEX(PASTE_ALL,$DF848,28)&amp;"","")&amp;"␟"&amp;IFERROR(INDEX(PASTE_ALL,$DF848,29)&amp;"","")&amp;"␟"&amp;IFERROR(INDEX(PASTE_ALL,$DF848,30)&amp;"","")&amp;"␟"&amp;IFERROR(INDEX(PASTE_ALL,$DF848,31)&amp;"","")&amp;"␟"&amp;IFERROR(INDEX(PASTE_ALL,$DF848,32)&amp;"","")&amp;"␟"&amp;IFERROR(INDEX(PASTE_ALL,$DF848,33)&amp;"","")&amp;"␟"&amp;IFERROR(INDEX(PASTE_ALL,$DF848,34)&amp;"","")&amp;"␟"&amp;IFERROR(INDEX(PASTE_ALL,$DF848,35)&amp;"","")&amp;"␟"&amp;IFERROR(INDEX(PASTE_ALL,$DF848,36)&amp;"","")&amp;"␟"&amp;IFERROR(INDEX(PASTE_ALL,$DF848,37)&amp;"","")&amp;"␟"&amp;IFERROR(INDEX(PASTE_ALL,$DF848,38)&amp;"","")&amp;"␟"&amp;IFERROR(INDEX(PASTE_ALL,$DF848,39)&amp;"","")&amp;"␟"&amp;IFERROR(INDEX(PASTE_ALL,$DF848,40)&amp;"","")&amp;"␟"&amp;IFERROR(INDEX(PASTE_ALL,$DF848,41)&amp;"","")&amp;"␟"&amp;IFERROR(INDEX(PASTE_ALL,$DF848,42)&amp;"","")&amp;"␟"&amp;IFERROR(INDEX(PASTE_ALL,$DF848,43)&amp;"","")&amp;"␟"&amp;IFERROR(INDEX(PASTE_ALL,$DF848,44)&amp;"","")&amp;"␟"&amp;IFERROR(INDEX(PASTE_ALL,$DF848,45)&amp;"","")&amp;"␟"&amp;IFERROR(INDEX(PASTE_ALL,$DF848,46)&amp;"","")&amp;"␟"&amp;IFERROR(INDEX(PASTE_ALL,$DF848,47)&amp;"","")&amp;"␟"&amp;IFERROR(INDEX(PASTE_ALL,$DF848,48)&amp;"","")&amp;"␟"&amp;IFERROR(INDEX(PASTE_ALL,$DF848,49)&amp;"","")&amp;"␟"&amp;IFERROR(INDEX(PASTE_ALL,$DF848,50)&amp;"","")&amp;"␟"&amp;IFERROR(INDEX(PASTE_ALL,$DF848,51)&amp;"","")&amp;"␟"&amp;IFERROR(INDEX(PASTE_ALL,$DF848,52)&amp;"","")&amp;"␟"&amp;IFERROR(INDEX(PASTE_ALL,$DF848,53)&amp;"","")&amp;"␟"&amp;IFERROR(INDEX(PASTE_ALL,$DF848,54)&amp;"","")&amp;"␟"&amp;IFERROR(INDEX(PASTE_ALL,$DF848,55)&amp;"","")&amp;"␟"&amp;IFERROR(INDEX(PASTE_ALL,$DF848,56)&amp;"","")&amp;"␟"&amp;IFERROR(INDEX(PASTE_ALL,$DF848,57)&amp;"","")&amp;"␟"&amp;IFERROR(INDEX(PASTE_ALL,$DF848,58)&amp;"","")&amp;"␟"&amp;IFERROR(INDEX(PASTE_ALL,$DF848,59)&amp;"","")&amp;"␟"&amp;IFERROR(INDEX(PASTE_ALL,$DF848,60)&amp;"","")," "," "),CHAR(9)," "),CHAR(10)," "),CHAR(13)," "))," ␟","␟"),"␟ ","␟"),"#"&amp;$DE848),"")</f>
        <v/>
      </c>
      <c r="DJ848">
        <f>IF($DI848="",0,IF(SUMPRODUCT(--EXACT($DI$4:DI847,$DI848))&gt;0,1,0))</f>
        <v/>
      </c>
      <c r="DK848">
        <f>IF(AND($DI848&lt;&gt;"",$DJ848=0),1,0)</f>
        <v/>
      </c>
      <c r="DL848">
        <f>DL847+$DK848</f>
        <v/>
      </c>
      <c r="DM848">
        <f>IF(AND($DK848=1,$DL848&lt;=600),1,0)</f>
        <v/>
      </c>
      <c r="DN848">
        <f>IF($DM848=0,"",IF($L$6=0,"",IFERROR(IF(ISNUMBER(INDEX(PASTE_ALL,$DF848,$L$6)),INDEX(PASTE_ALL,$DF848,$L$6),TRIM(SUBSTITUTE(SUBSTITUTE(SUBSTITUTE(SUBSTITUTE(INDEX(PASTE_ALL,$DF848,$L$6)," "," "),CHAR(9)," "),CHAR(10)," "),CHAR(13)," "))),"")))</f>
        <v/>
      </c>
      <c r="DO848">
        <f>IF($DM848=0,"",IF($L$7=0,"",IFERROR(IF(ISNUMBER(INDEX(PASTE_ALL,$DF848,$L$7)),INDEX(PASTE_ALL,$DF848,$L$7),TRIM(SUBSTITUTE(SUBSTITUTE(SUBSTITUTE(SUBSTITUTE(INDEX(PASTE_ALL,$DF848,$L$7)," "," "),CHAR(9)," "),CHAR(10)," "),CHAR(13)," "))),"")))</f>
        <v/>
      </c>
      <c r="DP848">
        <f>IF($DM848=0,"",IF($L$8=0,"",IFERROR(IF(ISNUMBER(INDEX(PASTE_ALL,$DF848,$L$8)),INDEX(PASTE_ALL,$DF848,$L$8),TRIM(SUBSTITUTE(SUBSTITUTE(SUBSTITUTE(SUBSTITUTE(INDEX(PASTE_ALL,$DF848,$L$8)," "," "),CHAR(9)," "),CHAR(10)," "),CHAR(13)," "))),"")))</f>
        <v/>
      </c>
      <c r="DQ848">
        <f>IF($DM848=0,"",IF($L$9=0,"",IFERROR(IF(ISNUMBER(INDEX(PASTE_ALL,$DF848,$L$9)),INDEX(PASTE_ALL,$DF848,$L$9),TRIM(SUBSTITUTE(SUBSTITUTE(SUBSTITUTE(SUBSTITUTE(INDEX(PASTE_ALL,$DF848,$L$9)," "," "),CHAR(9)," "),CHAR(10)," "),CHAR(13)," "))),"")))</f>
        <v/>
      </c>
      <c r="DR848">
        <f>IF($DM848=0,"",IF($L$10=0,"",IFERROR(IF(ISNUMBER(INDEX(PASTE_ALL,$DF848,$L$10)),INDEX(PASTE_ALL,$DF848,$L$10),TRIM(SUBSTITUTE(SUBSTITUTE(SUBSTITUTE(SUBSTITUTE(INDEX(PASTE_ALL,$DF848,$L$10)," "," "),CHAR(9)," "),CHAR(10)," "),CHAR(13)," "))),"")))</f>
        <v/>
      </c>
      <c r="DS848">
        <f>IF($DM848=0,"",IF($L$11=0,"",IFERROR(IF(ISNUMBER(INDEX(PASTE_ALL,$DF848,$L$11)),INDEX(PASTE_ALL,$DF848,$L$11),TRIM(SUBSTITUTE(SUBSTITUTE(SUBSTITUTE(SUBSTITUTE(INDEX(PASTE_ALL,$DF848,$L$11)," "," "),CHAR(9)," "),CHAR(10)," "),CHAR(13)," "))),"")))</f>
        <v/>
      </c>
      <c r="DT848">
        <f>IF($DM848=0,"",IF($L$12=0,"",IFERROR(IF(ISNUMBER(INDEX(PASTE_ALL,$DF848,$L$12)),INDEX(PASTE_ALL,$DF848,$L$12),TRIM(SUBSTITUTE(SUBSTITUTE(SUBSTITUTE(SUBSTITUTE(INDEX(PASTE_ALL,$DF848,$L$12)," "," "),CHAR(9)," "),CHAR(10)," "),CHAR(13)," "))),"")))</f>
        <v/>
      </c>
      <c r="DU848">
        <f>IF($DM848=0,"",IF($L$13=0,"",IFERROR(IF(ISNUMBER(INDEX(PASTE_ALL,$DF848,$L$13)),INDEX(PASTE_ALL,$DF848,$L$13),TRIM(SUBSTITUTE(SUBSTITUTE(SUBSTITUTE(SUBSTITUTE(INDEX(PASTE_ALL,$DF848,$L$13)," "," "),CHAR(9)," "),CHAR(10)," "),CHAR(13)," "))),"")))</f>
        <v/>
      </c>
      <c r="DV848">
        <f>IF($DM848=0,"",IF($L$14=0,"",IFERROR(IF(ISNUMBER(INDEX(PASTE_ALL,$DF848,$L$14)),INDEX(PASTE_ALL,$DF848,$L$14),TRIM(SUBSTITUTE(SUBSTITUTE(SUBSTITUTE(SUBSTITUTE(INDEX(PASTE_ALL,$DF848,$L$14)," "," "),CHAR(9)," "),CHAR(10)," "),CHAR(13)," "))),"")))</f>
        <v/>
      </c>
      <c r="DW848">
        <f>IF($DM848=0,"",IF($L$15=0,"",IFERROR(IF(ISNUMBER(INDEX(PASTE_ALL,$DF848,$L$15)),INDEX(PASTE_ALL,$DF848,$L$15),IF(SUMPRODUCT(--ISNUMBER(FIND({"A","B","C","D","E","F","G","H","I","J","K","L","M","N","O","P","Q","R","S","T","U","V","W","X","Y","Z","0","1","2","3","4","5","6","7","8","9"},UPPER(TRIM(SUBSTITUTE(SUBSTITUTE(SUBSTITUTE(SUBSTITUTE(INDEX(PASTE_ALL,$DF848,$L$15)," "," "),CHAR(9)," "),CHAR(10)," "),CHAR(13)," "))))))&gt;0,TRIM(SUBSTITUTE(SUBSTITUTE(SUBSTITUTE(SUBSTITUTE(INDEX(PASTE_ALL,$DF848,$L$15)," "," "),CHAR(9)," "),CHAR(10)," "),CHAR(13)," ")),"")),"")))</f>
        <v/>
      </c>
      <c r="DX848">
        <f>IF($DM848=0,"",IF($L$16=0,"",IFERROR(IF(ISNUMBER(INDEX(PASTE_ALL,$DF848,$L$16)),INDEX(PASTE_ALL,$DF848,$L$16),SUBSTITUTE(SUBSTITUTE(TRIM(SUBSTITUTE(SUBSTITUTE(SUBSTITUTE(SUBSTITUTE(INDEX(PASTE_ALL,$DF848,$L$16)," "," "),CHAR(9)," "),CHAR(10)," "),CHAR(13)," ")),",",""),"%","")),"")))</f>
        <v/>
      </c>
      <c r="DY848">
        <f>IF($DM848=0,"",IFERROR(IF(ISNUMBER($DX848),$DX848,IF($DX848="","",IF(TRIM($DX848)="",0,IF(AND(AND(SUBSTITUTE(SUBSTITUTE(SUBSTITUTE(SUBSTITUTE(SUBSTITUTE(SUBSTITUTE(SUBSTITUTE(SUBSTITUTE(SUBSTITUTE(SUBSTITUTE(SUBSTITUTE(SUBSTITUTE(SUBSTITUTE(SUBSTITUTE(UPPER(TRIM($DX848)),"0",""),"1",""),"2",""),"3",""),"4",""),"5",""),"6",""),"7",""),"8",""),"9",""),".",""),"+",""),"-",""),"E","")="",LEN(SUBSTITUTE(SUBSTITUTE(MID(UPPER(TRIM($DX848)),1+OR(LEFT(UPPER(TRIM($DX848)),1)="+",LEFT(UPPER(TRIM($DX848)),1)="-"),999),"E+","E"),"E-","E"))=LEN(SUBSTITUTE(SUBSTITUTE(SUBSTITUTE(SUBSTITUTE(MID(UPPER(TRIM($DX848)),1+OR(LEFT(UPPER(TRIM($DX848)),1)="+",LEFT(UPPER(TRIM($DX848)),1)="-"),999),"E+","E"),"E-","E"),"+",""),"-","")),LEN(UPPER(TRIM($DX848)))-LEN(SUBSTITUTE(UPPER(TRIM($DX848)),"E",""))&lt;2,LEN(UPPER(TRIM($DX848)))-LEN(SUBSTITUTE(UPPER(TRIM($DX848)),".",""))&lt;2,IFERROR(FIND(".",UPPER(TRIM($DX848))),0)&lt;IFERROR(FIND("E",UPPER(TRIM($DX848))),999)),ISNUMBER(VALUE(TRIM($DX848)))),VALUE(TRIM($DX848)),"")))),""))</f>
        <v/>
      </c>
      <c r="DZ848">
        <f>IF($DM848=0,"",IF($L$17=0,"",IFERROR(IF(ISNUMBER(INDEX(PASTE_ALL,$DF848,$L$17)),INDEX(PASTE_ALL,$DF848,$L$17),SUBSTITUTE(SUBSTITUTE(TRIM(SUBSTITUTE(SUBSTITUTE(SUBSTITUTE(SUBSTITUTE(INDEX(PASTE_ALL,$DF848,$L$17)," "," "),CHAR(9)," "),CHAR(10)," "),CHAR(13)," ")),",",""),"%","")),"")))</f>
        <v/>
      </c>
      <c r="EA848">
        <f>IF($DM848=0,"",IFERROR(IF(ISNUMBER($DZ848),$DZ848,IF($DZ848="","",IF(TRIM($DZ848)="",0,IF(AND(AND(SUBSTITUTE(SUBSTITUTE(SUBSTITUTE(SUBSTITUTE(SUBSTITUTE(SUBSTITUTE(SUBSTITUTE(SUBSTITUTE(SUBSTITUTE(SUBSTITUTE(SUBSTITUTE(SUBSTITUTE(SUBSTITUTE(SUBSTITUTE(UPPER(TRIM($DZ848)),"0",""),"1",""),"2",""),"3",""),"4",""),"5",""),"6",""),"7",""),"8",""),"9",""),".",""),"+",""),"-",""),"E","")="",LEN(SUBSTITUTE(SUBSTITUTE(MID(UPPER(TRIM($DZ848)),1+OR(LEFT(UPPER(TRIM($DZ848)),1)="+",LEFT(UPPER(TRIM($DZ848)),1)="-"),999),"E+","E"),"E-","E"))=LEN(SUBSTITUTE(SUBSTITUTE(SUBSTITUTE(SUBSTITUTE(MID(UPPER(TRIM($DZ848)),1+OR(LEFT(UPPER(TRIM($DZ848)),1)="+",LEFT(UPPER(TRIM($DZ848)),1)="-"),999),"E+","E"),"E-","E"),"+",""),"-","")),LEN(UPPER(TRIM($DZ848)))-LEN(SUBSTITUTE(UPPER(TRIM($DZ848)),"E",""))&lt;2,LEN(UPPER(TRIM($DZ848)))-LEN(SUBSTITUTE(UPPER(TRIM($DZ848)),".",""))&lt;2,IFERROR(FIND(".",UPPER(TRIM($DZ848))),0)&lt;IFERROR(FIND("E",UPPER(TRIM($DZ848))),999)),ISNUMBER(VALUE(TRIM($DZ848)))),VALUE(TRIM($DZ848)),"")))),""))</f>
        <v/>
      </c>
      <c r="EB848">
        <f>IF($DM848=0,"",IF($L$18=0,"",IFERROR(IF(UPPER(TRIM(SUBSTITUTE(SUBSTITUTE(SUBSTITUTE(SUBSTITUTE(INDEX(PASTE_ALL,$DF848,$L$18)," "," "),CHAR(9)," "),CHAR(10)," "),CHAR(13)," ")))="READY","Ready",IF(UPPER(TRIM(SUBSTITUTE(SUBSTITUTE(SUBSTITUTE(SUBSTITUTE(INDEX(PASTE_ALL,$DF848,$L$18)," "," "),CHAR(9)," "),CHAR(10)," "),CHAR(13)," ")))="PM","PM",IF(OR(UPPER(TRIM(SUBSTITUTE(SUBSTITUTE(SUBSTITUTE(SUBSTITUTE(INDEX(PASTE_ALL,$DF848,$L$18)," "," "),CHAR(9)," "),CHAR(10)," "),CHAR(13)," ")))="OT",UPPER(TRIM(SUBSTITUTE(SUBSTITUTE(SUBSTITUTE(SUBSTITUTE(INDEX(PASTE_ALL,$DF848,$L$18)," "," "),CHAR(9)," "),CHAR(10)," "),CHAR(13)," ")))="OVERTIME",UPPER(TRIM(SUBSTITUTE(SUBSTITUTE(SUBSTITUTE(SUBSTITUTE(INDEX(PASTE_ALL,$DF848,$L$18)," "," "),CHAR(9)," "),CHAR(10)," "),CHAR(13)," ")))="TRIAL"),"OT",TRIM(SUBSTITUTE(SUBSTITUTE(SUBSTITUTE(SUBSTITUTE(INDEX(PASTE_ALL,$DF848,$L$18)," "," "),CHAR(9)," "),CHAR(10)," "),CHAR(13)," "))))),"")))</f>
        <v/>
      </c>
      <c r="EC848">
        <f>IF($DM848=0,"",IF($L$19=0,"",IFERROR(IF(ISNUMBER(INDEX(PASTE_ALL,$DF848,$L$19)),INDEX(PASTE_ALL,$DF848,$L$19),TRIM(SUBSTITUTE(SUBSTITUTE(SUBSTITUTE(SUBSTITUTE(INDEX(PASTE_ALL,$DF848,$L$19)," "," "),CHAR(9)," "),CHAR(10)," "),CHAR(13)," "))),"")))</f>
        <v/>
      </c>
      <c r="ED848">
        <f>IF($DM848=0,"",MATCH(1,INDEX(EXACT($DH$5:DH848,$DH848)*$DM$5:DM848,0),0))</f>
        <v/>
      </c>
      <c r="EE848">
        <f>IF($DM848=0,0,IF($ED848=$DE848,1,0))</f>
        <v/>
      </c>
      <c r="EF848">
        <f>EF847+$EE848</f>
        <v/>
      </c>
      <c r="EG848">
        <f>IF($DM848=0,"",INDEX($EF$5:$EF$1003,$ED848))</f>
        <v/>
      </c>
      <c r="EH848">
        <f>IF($DM848=0,"",IF($DO848&lt;&gt;"","",IFERROR(LOOKUP(2,1/(($EG$4:EG847=$EG848)*($DO$4:DO847&lt;&gt;"")),$DO$4:DO847),"")))</f>
        <v/>
      </c>
      <c r="EI848">
        <f>IF($DM848=0,"",IF($DO848&lt;&gt;"",$DO848,$EH848))</f>
        <v/>
      </c>
      <c r="EJ848">
        <f>IF($DM848=0,"",IF($EI848="",0,IF(OR(ISNUMBER($EI848),AND(AND(SUBSTITUTE(SUBSTITUTE(SUBSTITUTE(SUBSTITUTE(SUBSTITUTE(SUBSTITUTE(SUBSTITUTE(SUBSTITUTE(SUBSTITUTE(SUBSTITUTE(SUBSTITUTE(SUBSTITUTE(SUBSTITUTE(SUBSTITUTE(UPPER($EI848),"0",""),"1",""),"2",""),"3",""),"4",""),"5",""),"6",""),"7",""),"8",""),"9",""),".",""),"+",""),"-",""),"E","")="",LEN(SUBSTITUTE(SUBSTITUTE(MID(UPPER($EI848),1+OR(LEFT(UPPER($EI848),1)="+",LEFT(UPPER($EI848),1)="-"),999),"E+","E"),"E-","E"))=LEN(SUBSTITUTE(SUBSTITUTE(SUBSTITUTE(SUBSTITUTE(MID(UPPER($EI848),1+OR(LEFT(UPPER($EI848),1)="+",LEFT(UPPER($EI848),1)="-"),999),"E+","E"),"E-","E"),"+",""),"-","")),LEN(UPPER($EI848))-LEN(SUBSTITUTE(UPPER($EI848),"E",""))&lt;2,LEN(UPPER($EI848))-LEN(SUBSTITUTE(UPPER($EI848),".",""))&lt;2,IFERROR(FIND(".",UPPER($EI848)),0)&lt;IFERROR(FIND("E",UPPER($EI848)),999)),ISNUMBER(VALUE($EI848)))),1,2)))</f>
        <v/>
      </c>
      <c r="EK848">
        <f>IF($DM848=0,"",IF($EJ848=1,IF(ISNUMBER($EI848),$EI848,VALUE($EI848)),IF($EJ848=2,$DE848,0)))</f>
        <v/>
      </c>
      <c r="EL848">
        <f>IF($DM848=0,"",COUNTIF($EG$5:$EG$1003,"&lt;"&amp;$EG848)+SUMPRODUCT(($EG$5:$EG$1003=$EG848)*(($EJ$5:$EJ$1003&lt;$EJ848)+($EJ$5:$EJ$1003=$EJ848)*(($EK$5:$EK$1003&lt;$EK848)+($EK$5:$EK$1003=$EK848)*($DE$5:$DE$1003&lt;$DE848))))+1)</f>
        <v/>
      </c>
      <c r="EM848">
        <f>IF($DM848=0,"",$EL848+$EG848-1)</f>
        <v/>
      </c>
      <c r="EN848">
        <f>IF($DM848=0,0,IFERROR(MATCH(1,INDEX(--(TRIM(SUBSTITUTE(SUBSTITUTE(SUBSTITUTE(SUBSTITUTE(LINES_NAME&amp;""," "," "),CHAR(9)," "),CHAR(10)," "),CHAR(13)," "))=$DH848),0),0),0))</f>
        <v/>
      </c>
      <c r="EO848">
        <f>IF($EN848=0,0,IF(OR(UPPER(TRIM(INDEX(LINES_SCHEDULED,$EN848)&amp;""))="YES",UPPER(TRIM(INDEX(LINES_SCHEDULED,$EN848)&amp;""))="Y",UPPER(TRIM(INDEX(LINES_SCHEDULED,$EN848)&amp;""))="X"),1,0))</f>
        <v/>
      </c>
      <c r="EP848">
        <f>IF($DM848=0,"",IF(COUNTIFS($EG$5:$EG$1003,$EG848,$EB$5:$EB$1003,"Ready")&gt;0,"READY",IF(COUNTIFS($EG$5:$EG$1003,$EG848,$EB$5:$EB$1003,"PM")&gt;0,"PM",IF(COUNTIFS($EG$5:$EG$1003,$EG848,$EB$5:$EB$1003,"OT")&gt;0,"OT",""))))</f>
        <v/>
      </c>
      <c r="EQ848">
        <f>IF($EN848=0,"",UPPER(TRIM(INDEX(LINES_STATUS,$EN848)&amp;"")))</f>
        <v/>
      </c>
      <c r="ER848">
        <f>IF($DM848=0,"",IF(OR($EQ848="READY",$EQ848="PM",$EQ848="OT"),$EQ848,$EP848))</f>
        <v/>
      </c>
      <c r="ES848">
        <f>IF($DM848=0,"",IF(AND($DV848&lt;&gt;"",UPPER($DV848)&lt;&gt;"N"),"allergen",IF(ISNUMBER(SEARCH("oil",$DQ848)),"oil",IF(OR(EXACT($DS848,"A662"),EXACT($DS848,"A624")),"bulk",""))))</f>
        <v/>
      </c>
      <c r="ET848">
        <f>IF($DM848=0,"",IF(OR($EA848="",$EA848=0),"",$EA848/100))</f>
        <v/>
      </c>
      <c r="EU848">
        <f>IF(OR($ET848="",$DY848=""),"",INT($DY848*(1-$ET848)+0.5))</f>
        <v/>
      </c>
    </row>
    <row r="849">
      <c r="DA849" t="n">
        <v>845</v>
      </c>
      <c r="DB849">
        <f>IF($B$37=0,"",IFERROR(TRIM(SUBSTITUTE(SUBSTITUTE(SUBSTITUTE(SUBSTITUTE(INDEX(PASTE_ALL,845,$B$37)," "," "),CHAR(9)," "),CHAR(10)," "),CHAR(13)," ")),""))</f>
        <v/>
      </c>
      <c r="DC849">
        <f>IF(AND(845&gt;HEADER_ROW,UPPER(DB849)="LEGEND"),1,0)</f>
        <v/>
      </c>
      <c r="DE849" t="n">
        <v>845</v>
      </c>
      <c r="DF849">
        <f>HEADER_ROW+$DE849</f>
        <v/>
      </c>
      <c r="DG849">
        <f>IF(AND($DF849&lt;=1000,$DF849&lt;$B$8),1,0)</f>
        <v/>
      </c>
      <c r="DH849">
        <f>IF($DG849=1,IFERROR(INDEX($DB$5:$DB$1004,$DF849),""),"")</f>
        <v/>
      </c>
      <c r="DI849">
        <f>IF(AND($DG849=1,$DH849&lt;&gt;""),IFERROR(SUBSTITUTE(SUBSTITUTE(TRIM(SUBSTITUTE(SUBSTITUTE(SUBSTITUTE(SUBSTITUTE(IFERROR(INDEX(PASTE_ALL,$DF849,1)&amp;"","")&amp;"␟"&amp;IFERROR(INDEX(PASTE_ALL,$DF849,2)&amp;"","")&amp;"␟"&amp;IFERROR(INDEX(PASTE_ALL,$DF849,3)&amp;"","")&amp;"␟"&amp;IFERROR(INDEX(PASTE_ALL,$DF849,4)&amp;"","")&amp;"␟"&amp;IFERROR(INDEX(PASTE_ALL,$DF849,5)&amp;"","")&amp;"␟"&amp;IFERROR(INDEX(PASTE_ALL,$DF849,6)&amp;"","")&amp;"␟"&amp;IFERROR(INDEX(PASTE_ALL,$DF849,7)&amp;"","")&amp;"␟"&amp;IFERROR(INDEX(PASTE_ALL,$DF849,8)&amp;"","")&amp;"␟"&amp;IFERROR(INDEX(PASTE_ALL,$DF849,9)&amp;"","")&amp;"␟"&amp;IFERROR(INDEX(PASTE_ALL,$DF849,10)&amp;"","")&amp;"␟"&amp;IFERROR(INDEX(PASTE_ALL,$DF849,11)&amp;"","")&amp;"␟"&amp;IFERROR(INDEX(PASTE_ALL,$DF849,12)&amp;"","")&amp;"␟"&amp;IFERROR(INDEX(PASTE_ALL,$DF849,13)&amp;"","")&amp;"␟"&amp;IFERROR(INDEX(PASTE_ALL,$DF849,14)&amp;"","")&amp;"␟"&amp;IFERROR(INDEX(PASTE_ALL,$DF849,15)&amp;"","")&amp;"␟"&amp;IFERROR(INDEX(PASTE_ALL,$DF849,16)&amp;"","")&amp;"␟"&amp;IFERROR(INDEX(PASTE_ALL,$DF849,17)&amp;"","")&amp;"␟"&amp;IFERROR(INDEX(PASTE_ALL,$DF849,18)&amp;"","")&amp;"␟"&amp;IFERROR(INDEX(PASTE_ALL,$DF849,19)&amp;"","")&amp;"␟"&amp;IFERROR(INDEX(PASTE_ALL,$DF849,20)&amp;"","")&amp;"␟"&amp;IFERROR(INDEX(PASTE_ALL,$DF849,21)&amp;"","")&amp;"␟"&amp;IFERROR(INDEX(PASTE_ALL,$DF849,22)&amp;"","")&amp;"␟"&amp;IFERROR(INDEX(PASTE_ALL,$DF849,23)&amp;"","")&amp;"␟"&amp;IFERROR(INDEX(PASTE_ALL,$DF849,24)&amp;"","")&amp;"␟"&amp;IFERROR(INDEX(PASTE_ALL,$DF849,25)&amp;"","")&amp;"␟"&amp;IFERROR(INDEX(PASTE_ALL,$DF849,26)&amp;"","")&amp;"␟"&amp;IFERROR(INDEX(PASTE_ALL,$DF849,27)&amp;"","")&amp;"␟"&amp;IFERROR(INDEX(PASTE_ALL,$DF849,28)&amp;"","")&amp;"␟"&amp;IFERROR(INDEX(PASTE_ALL,$DF849,29)&amp;"","")&amp;"␟"&amp;IFERROR(INDEX(PASTE_ALL,$DF849,30)&amp;"","")&amp;"␟"&amp;IFERROR(INDEX(PASTE_ALL,$DF849,31)&amp;"","")&amp;"␟"&amp;IFERROR(INDEX(PASTE_ALL,$DF849,32)&amp;"","")&amp;"␟"&amp;IFERROR(INDEX(PASTE_ALL,$DF849,33)&amp;"","")&amp;"␟"&amp;IFERROR(INDEX(PASTE_ALL,$DF849,34)&amp;"","")&amp;"␟"&amp;IFERROR(INDEX(PASTE_ALL,$DF849,35)&amp;"","")&amp;"␟"&amp;IFERROR(INDEX(PASTE_ALL,$DF849,36)&amp;"","")&amp;"␟"&amp;IFERROR(INDEX(PASTE_ALL,$DF849,37)&amp;"","")&amp;"␟"&amp;IFERROR(INDEX(PASTE_ALL,$DF849,38)&amp;"","")&amp;"␟"&amp;IFERROR(INDEX(PASTE_ALL,$DF849,39)&amp;"","")&amp;"␟"&amp;IFERROR(INDEX(PASTE_ALL,$DF849,40)&amp;"","")&amp;"␟"&amp;IFERROR(INDEX(PASTE_ALL,$DF849,41)&amp;"","")&amp;"␟"&amp;IFERROR(INDEX(PASTE_ALL,$DF849,42)&amp;"","")&amp;"␟"&amp;IFERROR(INDEX(PASTE_ALL,$DF849,43)&amp;"","")&amp;"␟"&amp;IFERROR(INDEX(PASTE_ALL,$DF849,44)&amp;"","")&amp;"␟"&amp;IFERROR(INDEX(PASTE_ALL,$DF849,45)&amp;"","")&amp;"␟"&amp;IFERROR(INDEX(PASTE_ALL,$DF849,46)&amp;"","")&amp;"␟"&amp;IFERROR(INDEX(PASTE_ALL,$DF849,47)&amp;"","")&amp;"␟"&amp;IFERROR(INDEX(PASTE_ALL,$DF849,48)&amp;"","")&amp;"␟"&amp;IFERROR(INDEX(PASTE_ALL,$DF849,49)&amp;"","")&amp;"␟"&amp;IFERROR(INDEX(PASTE_ALL,$DF849,50)&amp;"","")&amp;"␟"&amp;IFERROR(INDEX(PASTE_ALL,$DF849,51)&amp;"","")&amp;"␟"&amp;IFERROR(INDEX(PASTE_ALL,$DF849,52)&amp;"","")&amp;"␟"&amp;IFERROR(INDEX(PASTE_ALL,$DF849,53)&amp;"","")&amp;"␟"&amp;IFERROR(INDEX(PASTE_ALL,$DF849,54)&amp;"","")&amp;"␟"&amp;IFERROR(INDEX(PASTE_ALL,$DF849,55)&amp;"","")&amp;"␟"&amp;IFERROR(INDEX(PASTE_ALL,$DF849,56)&amp;"","")&amp;"␟"&amp;IFERROR(INDEX(PASTE_ALL,$DF849,57)&amp;"","")&amp;"␟"&amp;IFERROR(INDEX(PASTE_ALL,$DF849,58)&amp;"","")&amp;"␟"&amp;IFERROR(INDEX(PASTE_ALL,$DF849,59)&amp;"","")&amp;"␟"&amp;IFERROR(INDEX(PASTE_ALL,$DF849,60)&amp;"","")," "," "),CHAR(9)," "),CHAR(10)," "),CHAR(13)," "))," ␟","␟"),"␟ ","␟"),"#"&amp;$DE849),"")</f>
        <v/>
      </c>
      <c r="DJ849">
        <f>IF($DI849="",0,IF(SUMPRODUCT(--EXACT($DI$4:DI848,$DI849))&gt;0,1,0))</f>
        <v/>
      </c>
      <c r="DK849">
        <f>IF(AND($DI849&lt;&gt;"",$DJ849=0),1,0)</f>
        <v/>
      </c>
      <c r="DL849">
        <f>DL848+$DK849</f>
        <v/>
      </c>
      <c r="DM849">
        <f>IF(AND($DK849=1,$DL849&lt;=600),1,0)</f>
        <v/>
      </c>
      <c r="DN849">
        <f>IF($DM849=0,"",IF($L$6=0,"",IFERROR(IF(ISNUMBER(INDEX(PASTE_ALL,$DF849,$L$6)),INDEX(PASTE_ALL,$DF849,$L$6),TRIM(SUBSTITUTE(SUBSTITUTE(SUBSTITUTE(SUBSTITUTE(INDEX(PASTE_ALL,$DF849,$L$6)," "," "),CHAR(9)," "),CHAR(10)," "),CHAR(13)," "))),"")))</f>
        <v/>
      </c>
      <c r="DO849">
        <f>IF($DM849=0,"",IF($L$7=0,"",IFERROR(IF(ISNUMBER(INDEX(PASTE_ALL,$DF849,$L$7)),INDEX(PASTE_ALL,$DF849,$L$7),TRIM(SUBSTITUTE(SUBSTITUTE(SUBSTITUTE(SUBSTITUTE(INDEX(PASTE_ALL,$DF849,$L$7)," "," "),CHAR(9)," "),CHAR(10)," "),CHAR(13)," "))),"")))</f>
        <v/>
      </c>
      <c r="DP849">
        <f>IF($DM849=0,"",IF($L$8=0,"",IFERROR(IF(ISNUMBER(INDEX(PASTE_ALL,$DF849,$L$8)),INDEX(PASTE_ALL,$DF849,$L$8),TRIM(SUBSTITUTE(SUBSTITUTE(SUBSTITUTE(SUBSTITUTE(INDEX(PASTE_ALL,$DF849,$L$8)," "," "),CHAR(9)," "),CHAR(10)," "),CHAR(13)," "))),"")))</f>
        <v/>
      </c>
      <c r="DQ849">
        <f>IF($DM849=0,"",IF($L$9=0,"",IFERROR(IF(ISNUMBER(INDEX(PASTE_ALL,$DF849,$L$9)),INDEX(PASTE_ALL,$DF849,$L$9),TRIM(SUBSTITUTE(SUBSTITUTE(SUBSTITUTE(SUBSTITUTE(INDEX(PASTE_ALL,$DF849,$L$9)," "," "),CHAR(9)," "),CHAR(10)," "),CHAR(13)," "))),"")))</f>
        <v/>
      </c>
      <c r="DR849">
        <f>IF($DM849=0,"",IF($L$10=0,"",IFERROR(IF(ISNUMBER(INDEX(PASTE_ALL,$DF849,$L$10)),INDEX(PASTE_ALL,$DF849,$L$10),TRIM(SUBSTITUTE(SUBSTITUTE(SUBSTITUTE(SUBSTITUTE(INDEX(PASTE_ALL,$DF849,$L$10)," "," "),CHAR(9)," "),CHAR(10)," "),CHAR(13)," "))),"")))</f>
        <v/>
      </c>
      <c r="DS849">
        <f>IF($DM849=0,"",IF($L$11=0,"",IFERROR(IF(ISNUMBER(INDEX(PASTE_ALL,$DF849,$L$11)),INDEX(PASTE_ALL,$DF849,$L$11),TRIM(SUBSTITUTE(SUBSTITUTE(SUBSTITUTE(SUBSTITUTE(INDEX(PASTE_ALL,$DF849,$L$11)," "," "),CHAR(9)," "),CHAR(10)," "),CHAR(13)," "))),"")))</f>
        <v/>
      </c>
      <c r="DT849">
        <f>IF($DM849=0,"",IF($L$12=0,"",IFERROR(IF(ISNUMBER(INDEX(PASTE_ALL,$DF849,$L$12)),INDEX(PASTE_ALL,$DF849,$L$12),TRIM(SUBSTITUTE(SUBSTITUTE(SUBSTITUTE(SUBSTITUTE(INDEX(PASTE_ALL,$DF849,$L$12)," "," "),CHAR(9)," "),CHAR(10)," "),CHAR(13)," "))),"")))</f>
        <v/>
      </c>
      <c r="DU849">
        <f>IF($DM849=0,"",IF($L$13=0,"",IFERROR(IF(ISNUMBER(INDEX(PASTE_ALL,$DF849,$L$13)),INDEX(PASTE_ALL,$DF849,$L$13),TRIM(SUBSTITUTE(SUBSTITUTE(SUBSTITUTE(SUBSTITUTE(INDEX(PASTE_ALL,$DF849,$L$13)," "," "),CHAR(9)," "),CHAR(10)," "),CHAR(13)," "))),"")))</f>
        <v/>
      </c>
      <c r="DV849">
        <f>IF($DM849=0,"",IF($L$14=0,"",IFERROR(IF(ISNUMBER(INDEX(PASTE_ALL,$DF849,$L$14)),INDEX(PASTE_ALL,$DF849,$L$14),TRIM(SUBSTITUTE(SUBSTITUTE(SUBSTITUTE(SUBSTITUTE(INDEX(PASTE_ALL,$DF849,$L$14)," "," "),CHAR(9)," "),CHAR(10)," "),CHAR(13)," "))),"")))</f>
        <v/>
      </c>
      <c r="DW849">
        <f>IF($DM849=0,"",IF($L$15=0,"",IFERROR(IF(ISNUMBER(INDEX(PASTE_ALL,$DF849,$L$15)),INDEX(PASTE_ALL,$DF849,$L$15),IF(SUMPRODUCT(--ISNUMBER(FIND({"A","B","C","D","E","F","G","H","I","J","K","L","M","N","O","P","Q","R","S","T","U","V","W","X","Y","Z","0","1","2","3","4","5","6","7","8","9"},UPPER(TRIM(SUBSTITUTE(SUBSTITUTE(SUBSTITUTE(SUBSTITUTE(INDEX(PASTE_ALL,$DF849,$L$15)," "," "),CHAR(9)," "),CHAR(10)," "),CHAR(13)," "))))))&gt;0,TRIM(SUBSTITUTE(SUBSTITUTE(SUBSTITUTE(SUBSTITUTE(INDEX(PASTE_ALL,$DF849,$L$15)," "," "),CHAR(9)," "),CHAR(10)," "),CHAR(13)," ")),"")),"")))</f>
        <v/>
      </c>
      <c r="DX849">
        <f>IF($DM849=0,"",IF($L$16=0,"",IFERROR(IF(ISNUMBER(INDEX(PASTE_ALL,$DF849,$L$16)),INDEX(PASTE_ALL,$DF849,$L$16),SUBSTITUTE(SUBSTITUTE(TRIM(SUBSTITUTE(SUBSTITUTE(SUBSTITUTE(SUBSTITUTE(INDEX(PASTE_ALL,$DF849,$L$16)," "," "),CHAR(9)," "),CHAR(10)," "),CHAR(13)," ")),",",""),"%","")),"")))</f>
        <v/>
      </c>
      <c r="DY849">
        <f>IF($DM849=0,"",IFERROR(IF(ISNUMBER($DX849),$DX849,IF($DX849="","",IF(TRIM($DX849)="",0,IF(AND(AND(SUBSTITUTE(SUBSTITUTE(SUBSTITUTE(SUBSTITUTE(SUBSTITUTE(SUBSTITUTE(SUBSTITUTE(SUBSTITUTE(SUBSTITUTE(SUBSTITUTE(SUBSTITUTE(SUBSTITUTE(SUBSTITUTE(SUBSTITUTE(UPPER(TRIM($DX849)),"0",""),"1",""),"2",""),"3",""),"4",""),"5",""),"6",""),"7",""),"8",""),"9",""),".",""),"+",""),"-",""),"E","")="",LEN(SUBSTITUTE(SUBSTITUTE(MID(UPPER(TRIM($DX849)),1+OR(LEFT(UPPER(TRIM($DX849)),1)="+",LEFT(UPPER(TRIM($DX849)),1)="-"),999),"E+","E"),"E-","E"))=LEN(SUBSTITUTE(SUBSTITUTE(SUBSTITUTE(SUBSTITUTE(MID(UPPER(TRIM($DX849)),1+OR(LEFT(UPPER(TRIM($DX849)),1)="+",LEFT(UPPER(TRIM($DX849)),1)="-"),999),"E+","E"),"E-","E"),"+",""),"-","")),LEN(UPPER(TRIM($DX849)))-LEN(SUBSTITUTE(UPPER(TRIM($DX849)),"E",""))&lt;2,LEN(UPPER(TRIM($DX849)))-LEN(SUBSTITUTE(UPPER(TRIM($DX849)),".",""))&lt;2,IFERROR(FIND(".",UPPER(TRIM($DX849))),0)&lt;IFERROR(FIND("E",UPPER(TRIM($DX849))),999)),ISNUMBER(VALUE(TRIM($DX849)))),VALUE(TRIM($DX849)),"")))),""))</f>
        <v/>
      </c>
      <c r="DZ849">
        <f>IF($DM849=0,"",IF($L$17=0,"",IFERROR(IF(ISNUMBER(INDEX(PASTE_ALL,$DF849,$L$17)),INDEX(PASTE_ALL,$DF849,$L$17),SUBSTITUTE(SUBSTITUTE(TRIM(SUBSTITUTE(SUBSTITUTE(SUBSTITUTE(SUBSTITUTE(INDEX(PASTE_ALL,$DF849,$L$17)," "," "),CHAR(9)," "),CHAR(10)," "),CHAR(13)," ")),",",""),"%","")),"")))</f>
        <v/>
      </c>
      <c r="EA849">
        <f>IF($DM849=0,"",IFERROR(IF(ISNUMBER($DZ849),$DZ849,IF($DZ849="","",IF(TRIM($DZ849)="",0,IF(AND(AND(SUBSTITUTE(SUBSTITUTE(SUBSTITUTE(SUBSTITUTE(SUBSTITUTE(SUBSTITUTE(SUBSTITUTE(SUBSTITUTE(SUBSTITUTE(SUBSTITUTE(SUBSTITUTE(SUBSTITUTE(SUBSTITUTE(SUBSTITUTE(UPPER(TRIM($DZ849)),"0",""),"1",""),"2",""),"3",""),"4",""),"5",""),"6",""),"7",""),"8",""),"9",""),".",""),"+",""),"-",""),"E","")="",LEN(SUBSTITUTE(SUBSTITUTE(MID(UPPER(TRIM($DZ849)),1+OR(LEFT(UPPER(TRIM($DZ849)),1)="+",LEFT(UPPER(TRIM($DZ849)),1)="-"),999),"E+","E"),"E-","E"))=LEN(SUBSTITUTE(SUBSTITUTE(SUBSTITUTE(SUBSTITUTE(MID(UPPER(TRIM($DZ849)),1+OR(LEFT(UPPER(TRIM($DZ849)),1)="+",LEFT(UPPER(TRIM($DZ849)),1)="-"),999),"E+","E"),"E-","E"),"+",""),"-","")),LEN(UPPER(TRIM($DZ849)))-LEN(SUBSTITUTE(UPPER(TRIM($DZ849)),"E",""))&lt;2,LEN(UPPER(TRIM($DZ849)))-LEN(SUBSTITUTE(UPPER(TRIM($DZ849)),".",""))&lt;2,IFERROR(FIND(".",UPPER(TRIM($DZ849))),0)&lt;IFERROR(FIND("E",UPPER(TRIM($DZ849))),999)),ISNUMBER(VALUE(TRIM($DZ849)))),VALUE(TRIM($DZ849)),"")))),""))</f>
        <v/>
      </c>
      <c r="EB849">
        <f>IF($DM849=0,"",IF($L$18=0,"",IFERROR(IF(UPPER(TRIM(SUBSTITUTE(SUBSTITUTE(SUBSTITUTE(SUBSTITUTE(INDEX(PASTE_ALL,$DF849,$L$18)," "," "),CHAR(9)," "),CHAR(10)," "),CHAR(13)," ")))="READY","Ready",IF(UPPER(TRIM(SUBSTITUTE(SUBSTITUTE(SUBSTITUTE(SUBSTITUTE(INDEX(PASTE_ALL,$DF849,$L$18)," "," "),CHAR(9)," "),CHAR(10)," "),CHAR(13)," ")))="PM","PM",IF(OR(UPPER(TRIM(SUBSTITUTE(SUBSTITUTE(SUBSTITUTE(SUBSTITUTE(INDEX(PASTE_ALL,$DF849,$L$18)," "," "),CHAR(9)," "),CHAR(10)," "),CHAR(13)," ")))="OT",UPPER(TRIM(SUBSTITUTE(SUBSTITUTE(SUBSTITUTE(SUBSTITUTE(INDEX(PASTE_ALL,$DF849,$L$18)," "," "),CHAR(9)," "),CHAR(10)," "),CHAR(13)," ")))="OVERTIME",UPPER(TRIM(SUBSTITUTE(SUBSTITUTE(SUBSTITUTE(SUBSTITUTE(INDEX(PASTE_ALL,$DF849,$L$18)," "," "),CHAR(9)," "),CHAR(10)," "),CHAR(13)," ")))="TRIAL"),"OT",TRIM(SUBSTITUTE(SUBSTITUTE(SUBSTITUTE(SUBSTITUTE(INDEX(PASTE_ALL,$DF849,$L$18)," "," "),CHAR(9)," "),CHAR(10)," "),CHAR(13)," "))))),"")))</f>
        <v/>
      </c>
      <c r="EC849">
        <f>IF($DM849=0,"",IF($L$19=0,"",IFERROR(IF(ISNUMBER(INDEX(PASTE_ALL,$DF849,$L$19)),INDEX(PASTE_ALL,$DF849,$L$19),TRIM(SUBSTITUTE(SUBSTITUTE(SUBSTITUTE(SUBSTITUTE(INDEX(PASTE_ALL,$DF849,$L$19)," "," "),CHAR(9)," "),CHAR(10)," "),CHAR(13)," "))),"")))</f>
        <v/>
      </c>
      <c r="ED849">
        <f>IF($DM849=0,"",MATCH(1,INDEX(EXACT($DH$5:DH849,$DH849)*$DM$5:DM849,0),0))</f>
        <v/>
      </c>
      <c r="EE849">
        <f>IF($DM849=0,0,IF($ED849=$DE849,1,0))</f>
        <v/>
      </c>
      <c r="EF849">
        <f>EF848+$EE849</f>
        <v/>
      </c>
      <c r="EG849">
        <f>IF($DM849=0,"",INDEX($EF$5:$EF$1003,$ED849))</f>
        <v/>
      </c>
      <c r="EH849">
        <f>IF($DM849=0,"",IF($DO849&lt;&gt;"","",IFERROR(LOOKUP(2,1/(($EG$4:EG848=$EG849)*($DO$4:DO848&lt;&gt;"")),$DO$4:DO848),"")))</f>
        <v/>
      </c>
      <c r="EI849">
        <f>IF($DM849=0,"",IF($DO849&lt;&gt;"",$DO849,$EH849))</f>
        <v/>
      </c>
      <c r="EJ849">
        <f>IF($DM849=0,"",IF($EI849="",0,IF(OR(ISNUMBER($EI849),AND(AND(SUBSTITUTE(SUBSTITUTE(SUBSTITUTE(SUBSTITUTE(SUBSTITUTE(SUBSTITUTE(SUBSTITUTE(SUBSTITUTE(SUBSTITUTE(SUBSTITUTE(SUBSTITUTE(SUBSTITUTE(SUBSTITUTE(SUBSTITUTE(UPPER($EI849),"0",""),"1",""),"2",""),"3",""),"4",""),"5",""),"6",""),"7",""),"8",""),"9",""),".",""),"+",""),"-",""),"E","")="",LEN(SUBSTITUTE(SUBSTITUTE(MID(UPPER($EI849),1+OR(LEFT(UPPER($EI849),1)="+",LEFT(UPPER($EI849),1)="-"),999),"E+","E"),"E-","E"))=LEN(SUBSTITUTE(SUBSTITUTE(SUBSTITUTE(SUBSTITUTE(MID(UPPER($EI849),1+OR(LEFT(UPPER($EI849),1)="+",LEFT(UPPER($EI849),1)="-"),999),"E+","E"),"E-","E"),"+",""),"-","")),LEN(UPPER($EI849))-LEN(SUBSTITUTE(UPPER($EI849),"E",""))&lt;2,LEN(UPPER($EI849))-LEN(SUBSTITUTE(UPPER($EI849),".",""))&lt;2,IFERROR(FIND(".",UPPER($EI849)),0)&lt;IFERROR(FIND("E",UPPER($EI849)),999)),ISNUMBER(VALUE($EI849)))),1,2)))</f>
        <v/>
      </c>
      <c r="EK849">
        <f>IF($DM849=0,"",IF($EJ849=1,IF(ISNUMBER($EI849),$EI849,VALUE($EI849)),IF($EJ849=2,$DE849,0)))</f>
        <v/>
      </c>
      <c r="EL849">
        <f>IF($DM849=0,"",COUNTIF($EG$5:$EG$1003,"&lt;"&amp;$EG849)+SUMPRODUCT(($EG$5:$EG$1003=$EG849)*(($EJ$5:$EJ$1003&lt;$EJ849)+($EJ$5:$EJ$1003=$EJ849)*(($EK$5:$EK$1003&lt;$EK849)+($EK$5:$EK$1003=$EK849)*($DE$5:$DE$1003&lt;$DE849))))+1)</f>
        <v/>
      </c>
      <c r="EM849">
        <f>IF($DM849=0,"",$EL849+$EG849-1)</f>
        <v/>
      </c>
      <c r="EN849">
        <f>IF($DM849=0,0,IFERROR(MATCH(1,INDEX(--(TRIM(SUBSTITUTE(SUBSTITUTE(SUBSTITUTE(SUBSTITUTE(LINES_NAME&amp;""," "," "),CHAR(9)," "),CHAR(10)," "),CHAR(13)," "))=$DH849),0),0),0))</f>
        <v/>
      </c>
      <c r="EO849">
        <f>IF($EN849=0,0,IF(OR(UPPER(TRIM(INDEX(LINES_SCHEDULED,$EN849)&amp;""))="YES",UPPER(TRIM(INDEX(LINES_SCHEDULED,$EN849)&amp;""))="Y",UPPER(TRIM(INDEX(LINES_SCHEDULED,$EN849)&amp;""))="X"),1,0))</f>
        <v/>
      </c>
      <c r="EP849">
        <f>IF($DM849=0,"",IF(COUNTIFS($EG$5:$EG$1003,$EG849,$EB$5:$EB$1003,"Ready")&gt;0,"READY",IF(COUNTIFS($EG$5:$EG$1003,$EG849,$EB$5:$EB$1003,"PM")&gt;0,"PM",IF(COUNTIFS($EG$5:$EG$1003,$EG849,$EB$5:$EB$1003,"OT")&gt;0,"OT",""))))</f>
        <v/>
      </c>
      <c r="EQ849">
        <f>IF($EN849=0,"",UPPER(TRIM(INDEX(LINES_STATUS,$EN849)&amp;"")))</f>
        <v/>
      </c>
      <c r="ER849">
        <f>IF($DM849=0,"",IF(OR($EQ849="READY",$EQ849="PM",$EQ849="OT"),$EQ849,$EP849))</f>
        <v/>
      </c>
      <c r="ES849">
        <f>IF($DM849=0,"",IF(AND($DV849&lt;&gt;"",UPPER($DV849)&lt;&gt;"N"),"allergen",IF(ISNUMBER(SEARCH("oil",$DQ849)),"oil",IF(OR(EXACT($DS849,"A662"),EXACT($DS849,"A624")),"bulk",""))))</f>
        <v/>
      </c>
      <c r="ET849">
        <f>IF($DM849=0,"",IF(OR($EA849="",$EA849=0),"",$EA849/100))</f>
        <v/>
      </c>
      <c r="EU849">
        <f>IF(OR($ET849="",$DY849=""),"",INT($DY849*(1-$ET849)+0.5))</f>
        <v/>
      </c>
    </row>
    <row r="850">
      <c r="DA850" t="n">
        <v>846</v>
      </c>
      <c r="DB850">
        <f>IF($B$37=0,"",IFERROR(TRIM(SUBSTITUTE(SUBSTITUTE(SUBSTITUTE(SUBSTITUTE(INDEX(PASTE_ALL,846,$B$37)," "," "),CHAR(9)," "),CHAR(10)," "),CHAR(13)," ")),""))</f>
        <v/>
      </c>
      <c r="DC850">
        <f>IF(AND(846&gt;HEADER_ROW,UPPER(DB850)="LEGEND"),1,0)</f>
        <v/>
      </c>
      <c r="DE850" t="n">
        <v>846</v>
      </c>
      <c r="DF850">
        <f>HEADER_ROW+$DE850</f>
        <v/>
      </c>
      <c r="DG850">
        <f>IF(AND($DF850&lt;=1000,$DF850&lt;$B$8),1,0)</f>
        <v/>
      </c>
      <c r="DH850">
        <f>IF($DG850=1,IFERROR(INDEX($DB$5:$DB$1004,$DF850),""),"")</f>
        <v/>
      </c>
      <c r="DI850">
        <f>IF(AND($DG850=1,$DH850&lt;&gt;""),IFERROR(SUBSTITUTE(SUBSTITUTE(TRIM(SUBSTITUTE(SUBSTITUTE(SUBSTITUTE(SUBSTITUTE(IFERROR(INDEX(PASTE_ALL,$DF850,1)&amp;"","")&amp;"␟"&amp;IFERROR(INDEX(PASTE_ALL,$DF850,2)&amp;"","")&amp;"␟"&amp;IFERROR(INDEX(PASTE_ALL,$DF850,3)&amp;"","")&amp;"␟"&amp;IFERROR(INDEX(PASTE_ALL,$DF850,4)&amp;"","")&amp;"␟"&amp;IFERROR(INDEX(PASTE_ALL,$DF850,5)&amp;"","")&amp;"␟"&amp;IFERROR(INDEX(PASTE_ALL,$DF850,6)&amp;"","")&amp;"␟"&amp;IFERROR(INDEX(PASTE_ALL,$DF850,7)&amp;"","")&amp;"␟"&amp;IFERROR(INDEX(PASTE_ALL,$DF850,8)&amp;"","")&amp;"␟"&amp;IFERROR(INDEX(PASTE_ALL,$DF850,9)&amp;"","")&amp;"␟"&amp;IFERROR(INDEX(PASTE_ALL,$DF850,10)&amp;"","")&amp;"␟"&amp;IFERROR(INDEX(PASTE_ALL,$DF850,11)&amp;"","")&amp;"␟"&amp;IFERROR(INDEX(PASTE_ALL,$DF850,12)&amp;"","")&amp;"␟"&amp;IFERROR(INDEX(PASTE_ALL,$DF850,13)&amp;"","")&amp;"␟"&amp;IFERROR(INDEX(PASTE_ALL,$DF850,14)&amp;"","")&amp;"␟"&amp;IFERROR(INDEX(PASTE_ALL,$DF850,15)&amp;"","")&amp;"␟"&amp;IFERROR(INDEX(PASTE_ALL,$DF850,16)&amp;"","")&amp;"␟"&amp;IFERROR(INDEX(PASTE_ALL,$DF850,17)&amp;"","")&amp;"␟"&amp;IFERROR(INDEX(PASTE_ALL,$DF850,18)&amp;"","")&amp;"␟"&amp;IFERROR(INDEX(PASTE_ALL,$DF850,19)&amp;"","")&amp;"␟"&amp;IFERROR(INDEX(PASTE_ALL,$DF850,20)&amp;"","")&amp;"␟"&amp;IFERROR(INDEX(PASTE_ALL,$DF850,21)&amp;"","")&amp;"␟"&amp;IFERROR(INDEX(PASTE_ALL,$DF850,22)&amp;"","")&amp;"␟"&amp;IFERROR(INDEX(PASTE_ALL,$DF850,23)&amp;"","")&amp;"␟"&amp;IFERROR(INDEX(PASTE_ALL,$DF850,24)&amp;"","")&amp;"␟"&amp;IFERROR(INDEX(PASTE_ALL,$DF850,25)&amp;"","")&amp;"␟"&amp;IFERROR(INDEX(PASTE_ALL,$DF850,26)&amp;"","")&amp;"␟"&amp;IFERROR(INDEX(PASTE_ALL,$DF850,27)&amp;"","")&amp;"␟"&amp;IFERROR(INDEX(PASTE_ALL,$DF850,28)&amp;"","")&amp;"␟"&amp;IFERROR(INDEX(PASTE_ALL,$DF850,29)&amp;"","")&amp;"␟"&amp;IFERROR(INDEX(PASTE_ALL,$DF850,30)&amp;"","")&amp;"␟"&amp;IFERROR(INDEX(PASTE_ALL,$DF850,31)&amp;"","")&amp;"␟"&amp;IFERROR(INDEX(PASTE_ALL,$DF850,32)&amp;"","")&amp;"␟"&amp;IFERROR(INDEX(PASTE_ALL,$DF850,33)&amp;"","")&amp;"␟"&amp;IFERROR(INDEX(PASTE_ALL,$DF850,34)&amp;"","")&amp;"␟"&amp;IFERROR(INDEX(PASTE_ALL,$DF850,35)&amp;"","")&amp;"␟"&amp;IFERROR(INDEX(PASTE_ALL,$DF850,36)&amp;"","")&amp;"␟"&amp;IFERROR(INDEX(PASTE_ALL,$DF850,37)&amp;"","")&amp;"␟"&amp;IFERROR(INDEX(PASTE_ALL,$DF850,38)&amp;"","")&amp;"␟"&amp;IFERROR(INDEX(PASTE_ALL,$DF850,39)&amp;"","")&amp;"␟"&amp;IFERROR(INDEX(PASTE_ALL,$DF850,40)&amp;"","")&amp;"␟"&amp;IFERROR(INDEX(PASTE_ALL,$DF850,41)&amp;"","")&amp;"␟"&amp;IFERROR(INDEX(PASTE_ALL,$DF850,42)&amp;"","")&amp;"␟"&amp;IFERROR(INDEX(PASTE_ALL,$DF850,43)&amp;"","")&amp;"␟"&amp;IFERROR(INDEX(PASTE_ALL,$DF850,44)&amp;"","")&amp;"␟"&amp;IFERROR(INDEX(PASTE_ALL,$DF850,45)&amp;"","")&amp;"␟"&amp;IFERROR(INDEX(PASTE_ALL,$DF850,46)&amp;"","")&amp;"␟"&amp;IFERROR(INDEX(PASTE_ALL,$DF850,47)&amp;"","")&amp;"␟"&amp;IFERROR(INDEX(PASTE_ALL,$DF850,48)&amp;"","")&amp;"␟"&amp;IFERROR(INDEX(PASTE_ALL,$DF850,49)&amp;"","")&amp;"␟"&amp;IFERROR(INDEX(PASTE_ALL,$DF850,50)&amp;"","")&amp;"␟"&amp;IFERROR(INDEX(PASTE_ALL,$DF850,51)&amp;"","")&amp;"␟"&amp;IFERROR(INDEX(PASTE_ALL,$DF850,52)&amp;"","")&amp;"␟"&amp;IFERROR(INDEX(PASTE_ALL,$DF850,53)&amp;"","")&amp;"␟"&amp;IFERROR(INDEX(PASTE_ALL,$DF850,54)&amp;"","")&amp;"␟"&amp;IFERROR(INDEX(PASTE_ALL,$DF850,55)&amp;"","")&amp;"␟"&amp;IFERROR(INDEX(PASTE_ALL,$DF850,56)&amp;"","")&amp;"␟"&amp;IFERROR(INDEX(PASTE_ALL,$DF850,57)&amp;"","")&amp;"␟"&amp;IFERROR(INDEX(PASTE_ALL,$DF850,58)&amp;"","")&amp;"␟"&amp;IFERROR(INDEX(PASTE_ALL,$DF850,59)&amp;"","")&amp;"␟"&amp;IFERROR(INDEX(PASTE_ALL,$DF850,60)&amp;"","")," "," "),CHAR(9)," "),CHAR(10)," "),CHAR(13)," "))," ␟","␟"),"␟ ","␟"),"#"&amp;$DE850),"")</f>
        <v/>
      </c>
      <c r="DJ850">
        <f>IF($DI850="",0,IF(SUMPRODUCT(--EXACT($DI$4:DI849,$DI850))&gt;0,1,0))</f>
        <v/>
      </c>
      <c r="DK850">
        <f>IF(AND($DI850&lt;&gt;"",$DJ850=0),1,0)</f>
        <v/>
      </c>
      <c r="DL850">
        <f>DL849+$DK850</f>
        <v/>
      </c>
      <c r="DM850">
        <f>IF(AND($DK850=1,$DL850&lt;=600),1,0)</f>
        <v/>
      </c>
      <c r="DN850">
        <f>IF($DM850=0,"",IF($L$6=0,"",IFERROR(IF(ISNUMBER(INDEX(PASTE_ALL,$DF850,$L$6)),INDEX(PASTE_ALL,$DF850,$L$6),TRIM(SUBSTITUTE(SUBSTITUTE(SUBSTITUTE(SUBSTITUTE(INDEX(PASTE_ALL,$DF850,$L$6)," "," "),CHAR(9)," "),CHAR(10)," "),CHAR(13)," "))),"")))</f>
        <v/>
      </c>
      <c r="DO850">
        <f>IF($DM850=0,"",IF($L$7=0,"",IFERROR(IF(ISNUMBER(INDEX(PASTE_ALL,$DF850,$L$7)),INDEX(PASTE_ALL,$DF850,$L$7),TRIM(SUBSTITUTE(SUBSTITUTE(SUBSTITUTE(SUBSTITUTE(INDEX(PASTE_ALL,$DF850,$L$7)," "," "),CHAR(9)," "),CHAR(10)," "),CHAR(13)," "))),"")))</f>
        <v/>
      </c>
      <c r="DP850">
        <f>IF($DM850=0,"",IF($L$8=0,"",IFERROR(IF(ISNUMBER(INDEX(PASTE_ALL,$DF850,$L$8)),INDEX(PASTE_ALL,$DF850,$L$8),TRIM(SUBSTITUTE(SUBSTITUTE(SUBSTITUTE(SUBSTITUTE(INDEX(PASTE_ALL,$DF850,$L$8)," "," "),CHAR(9)," "),CHAR(10)," "),CHAR(13)," "))),"")))</f>
        <v/>
      </c>
      <c r="DQ850">
        <f>IF($DM850=0,"",IF($L$9=0,"",IFERROR(IF(ISNUMBER(INDEX(PASTE_ALL,$DF850,$L$9)),INDEX(PASTE_ALL,$DF850,$L$9),TRIM(SUBSTITUTE(SUBSTITUTE(SUBSTITUTE(SUBSTITUTE(INDEX(PASTE_ALL,$DF850,$L$9)," "," "),CHAR(9)," "),CHAR(10)," "),CHAR(13)," "))),"")))</f>
        <v/>
      </c>
      <c r="DR850">
        <f>IF($DM850=0,"",IF($L$10=0,"",IFERROR(IF(ISNUMBER(INDEX(PASTE_ALL,$DF850,$L$10)),INDEX(PASTE_ALL,$DF850,$L$10),TRIM(SUBSTITUTE(SUBSTITUTE(SUBSTITUTE(SUBSTITUTE(INDEX(PASTE_ALL,$DF850,$L$10)," "," "),CHAR(9)," "),CHAR(10)," "),CHAR(13)," "))),"")))</f>
        <v/>
      </c>
      <c r="DS850">
        <f>IF($DM850=0,"",IF($L$11=0,"",IFERROR(IF(ISNUMBER(INDEX(PASTE_ALL,$DF850,$L$11)),INDEX(PASTE_ALL,$DF850,$L$11),TRIM(SUBSTITUTE(SUBSTITUTE(SUBSTITUTE(SUBSTITUTE(INDEX(PASTE_ALL,$DF850,$L$11)," "," "),CHAR(9)," "),CHAR(10)," "),CHAR(13)," "))),"")))</f>
        <v/>
      </c>
      <c r="DT850">
        <f>IF($DM850=0,"",IF($L$12=0,"",IFERROR(IF(ISNUMBER(INDEX(PASTE_ALL,$DF850,$L$12)),INDEX(PASTE_ALL,$DF850,$L$12),TRIM(SUBSTITUTE(SUBSTITUTE(SUBSTITUTE(SUBSTITUTE(INDEX(PASTE_ALL,$DF850,$L$12)," "," "),CHAR(9)," "),CHAR(10)," "),CHAR(13)," "))),"")))</f>
        <v/>
      </c>
      <c r="DU850">
        <f>IF($DM850=0,"",IF($L$13=0,"",IFERROR(IF(ISNUMBER(INDEX(PASTE_ALL,$DF850,$L$13)),INDEX(PASTE_ALL,$DF850,$L$13),TRIM(SUBSTITUTE(SUBSTITUTE(SUBSTITUTE(SUBSTITUTE(INDEX(PASTE_ALL,$DF850,$L$13)," "," "),CHAR(9)," "),CHAR(10)," "),CHAR(13)," "))),"")))</f>
        <v/>
      </c>
      <c r="DV850">
        <f>IF($DM850=0,"",IF($L$14=0,"",IFERROR(IF(ISNUMBER(INDEX(PASTE_ALL,$DF850,$L$14)),INDEX(PASTE_ALL,$DF850,$L$14),TRIM(SUBSTITUTE(SUBSTITUTE(SUBSTITUTE(SUBSTITUTE(INDEX(PASTE_ALL,$DF850,$L$14)," "," "),CHAR(9)," "),CHAR(10)," "),CHAR(13)," "))),"")))</f>
        <v/>
      </c>
      <c r="DW850">
        <f>IF($DM850=0,"",IF($L$15=0,"",IFERROR(IF(ISNUMBER(INDEX(PASTE_ALL,$DF850,$L$15)),INDEX(PASTE_ALL,$DF850,$L$15),IF(SUMPRODUCT(--ISNUMBER(FIND({"A","B","C","D","E","F","G","H","I","J","K","L","M","N","O","P","Q","R","S","T","U","V","W","X","Y","Z","0","1","2","3","4","5","6","7","8","9"},UPPER(TRIM(SUBSTITUTE(SUBSTITUTE(SUBSTITUTE(SUBSTITUTE(INDEX(PASTE_ALL,$DF850,$L$15)," "," "),CHAR(9)," "),CHAR(10)," "),CHAR(13)," "))))))&gt;0,TRIM(SUBSTITUTE(SUBSTITUTE(SUBSTITUTE(SUBSTITUTE(INDEX(PASTE_ALL,$DF850,$L$15)," "," "),CHAR(9)," "),CHAR(10)," "),CHAR(13)," ")),"")),"")))</f>
        <v/>
      </c>
      <c r="DX850">
        <f>IF($DM850=0,"",IF($L$16=0,"",IFERROR(IF(ISNUMBER(INDEX(PASTE_ALL,$DF850,$L$16)),INDEX(PASTE_ALL,$DF850,$L$16),SUBSTITUTE(SUBSTITUTE(TRIM(SUBSTITUTE(SUBSTITUTE(SUBSTITUTE(SUBSTITUTE(INDEX(PASTE_ALL,$DF850,$L$16)," "," "),CHAR(9)," "),CHAR(10)," "),CHAR(13)," ")),",",""),"%","")),"")))</f>
        <v/>
      </c>
      <c r="DY850">
        <f>IF($DM850=0,"",IFERROR(IF(ISNUMBER($DX850),$DX850,IF($DX850="","",IF(TRIM($DX850)="",0,IF(AND(AND(SUBSTITUTE(SUBSTITUTE(SUBSTITUTE(SUBSTITUTE(SUBSTITUTE(SUBSTITUTE(SUBSTITUTE(SUBSTITUTE(SUBSTITUTE(SUBSTITUTE(SUBSTITUTE(SUBSTITUTE(SUBSTITUTE(SUBSTITUTE(UPPER(TRIM($DX850)),"0",""),"1",""),"2",""),"3",""),"4",""),"5",""),"6",""),"7",""),"8",""),"9",""),".",""),"+",""),"-",""),"E","")="",LEN(SUBSTITUTE(SUBSTITUTE(MID(UPPER(TRIM($DX850)),1+OR(LEFT(UPPER(TRIM($DX850)),1)="+",LEFT(UPPER(TRIM($DX850)),1)="-"),999),"E+","E"),"E-","E"))=LEN(SUBSTITUTE(SUBSTITUTE(SUBSTITUTE(SUBSTITUTE(MID(UPPER(TRIM($DX850)),1+OR(LEFT(UPPER(TRIM($DX850)),1)="+",LEFT(UPPER(TRIM($DX850)),1)="-"),999),"E+","E"),"E-","E"),"+",""),"-","")),LEN(UPPER(TRIM($DX850)))-LEN(SUBSTITUTE(UPPER(TRIM($DX850)),"E",""))&lt;2,LEN(UPPER(TRIM($DX850)))-LEN(SUBSTITUTE(UPPER(TRIM($DX850)),".",""))&lt;2,IFERROR(FIND(".",UPPER(TRIM($DX850))),0)&lt;IFERROR(FIND("E",UPPER(TRIM($DX850))),999)),ISNUMBER(VALUE(TRIM($DX850)))),VALUE(TRIM($DX850)),"")))),""))</f>
        <v/>
      </c>
      <c r="DZ850">
        <f>IF($DM850=0,"",IF($L$17=0,"",IFERROR(IF(ISNUMBER(INDEX(PASTE_ALL,$DF850,$L$17)),INDEX(PASTE_ALL,$DF850,$L$17),SUBSTITUTE(SUBSTITUTE(TRIM(SUBSTITUTE(SUBSTITUTE(SUBSTITUTE(SUBSTITUTE(INDEX(PASTE_ALL,$DF850,$L$17)," "," "),CHAR(9)," "),CHAR(10)," "),CHAR(13)," ")),",",""),"%","")),"")))</f>
        <v/>
      </c>
      <c r="EA850">
        <f>IF($DM850=0,"",IFERROR(IF(ISNUMBER($DZ850),$DZ850,IF($DZ850="","",IF(TRIM($DZ850)="",0,IF(AND(AND(SUBSTITUTE(SUBSTITUTE(SUBSTITUTE(SUBSTITUTE(SUBSTITUTE(SUBSTITUTE(SUBSTITUTE(SUBSTITUTE(SUBSTITUTE(SUBSTITUTE(SUBSTITUTE(SUBSTITUTE(SUBSTITUTE(SUBSTITUTE(UPPER(TRIM($DZ850)),"0",""),"1",""),"2",""),"3",""),"4",""),"5",""),"6",""),"7",""),"8",""),"9",""),".",""),"+",""),"-",""),"E","")="",LEN(SUBSTITUTE(SUBSTITUTE(MID(UPPER(TRIM($DZ850)),1+OR(LEFT(UPPER(TRIM($DZ850)),1)="+",LEFT(UPPER(TRIM($DZ850)),1)="-"),999),"E+","E"),"E-","E"))=LEN(SUBSTITUTE(SUBSTITUTE(SUBSTITUTE(SUBSTITUTE(MID(UPPER(TRIM($DZ850)),1+OR(LEFT(UPPER(TRIM($DZ850)),1)="+",LEFT(UPPER(TRIM($DZ850)),1)="-"),999),"E+","E"),"E-","E"),"+",""),"-","")),LEN(UPPER(TRIM($DZ850)))-LEN(SUBSTITUTE(UPPER(TRIM($DZ850)),"E",""))&lt;2,LEN(UPPER(TRIM($DZ850)))-LEN(SUBSTITUTE(UPPER(TRIM($DZ850)),".",""))&lt;2,IFERROR(FIND(".",UPPER(TRIM($DZ850))),0)&lt;IFERROR(FIND("E",UPPER(TRIM($DZ850))),999)),ISNUMBER(VALUE(TRIM($DZ850)))),VALUE(TRIM($DZ850)),"")))),""))</f>
        <v/>
      </c>
      <c r="EB850">
        <f>IF($DM850=0,"",IF($L$18=0,"",IFERROR(IF(UPPER(TRIM(SUBSTITUTE(SUBSTITUTE(SUBSTITUTE(SUBSTITUTE(INDEX(PASTE_ALL,$DF850,$L$18)," "," "),CHAR(9)," "),CHAR(10)," "),CHAR(13)," ")))="READY","Ready",IF(UPPER(TRIM(SUBSTITUTE(SUBSTITUTE(SUBSTITUTE(SUBSTITUTE(INDEX(PASTE_ALL,$DF850,$L$18)," "," "),CHAR(9)," "),CHAR(10)," "),CHAR(13)," ")))="PM","PM",IF(OR(UPPER(TRIM(SUBSTITUTE(SUBSTITUTE(SUBSTITUTE(SUBSTITUTE(INDEX(PASTE_ALL,$DF850,$L$18)," "," "),CHAR(9)," "),CHAR(10)," "),CHAR(13)," ")))="OT",UPPER(TRIM(SUBSTITUTE(SUBSTITUTE(SUBSTITUTE(SUBSTITUTE(INDEX(PASTE_ALL,$DF850,$L$18)," "," "),CHAR(9)," "),CHAR(10)," "),CHAR(13)," ")))="OVERTIME",UPPER(TRIM(SUBSTITUTE(SUBSTITUTE(SUBSTITUTE(SUBSTITUTE(INDEX(PASTE_ALL,$DF850,$L$18)," "," "),CHAR(9)," "),CHAR(10)," "),CHAR(13)," ")))="TRIAL"),"OT",TRIM(SUBSTITUTE(SUBSTITUTE(SUBSTITUTE(SUBSTITUTE(INDEX(PASTE_ALL,$DF850,$L$18)," "," "),CHAR(9)," "),CHAR(10)," "),CHAR(13)," "))))),"")))</f>
        <v/>
      </c>
      <c r="EC850">
        <f>IF($DM850=0,"",IF($L$19=0,"",IFERROR(IF(ISNUMBER(INDEX(PASTE_ALL,$DF850,$L$19)),INDEX(PASTE_ALL,$DF850,$L$19),TRIM(SUBSTITUTE(SUBSTITUTE(SUBSTITUTE(SUBSTITUTE(INDEX(PASTE_ALL,$DF850,$L$19)," "," "),CHAR(9)," "),CHAR(10)," "),CHAR(13)," "))),"")))</f>
        <v/>
      </c>
      <c r="ED850">
        <f>IF($DM850=0,"",MATCH(1,INDEX(EXACT($DH$5:DH850,$DH850)*$DM$5:DM850,0),0))</f>
        <v/>
      </c>
      <c r="EE850">
        <f>IF($DM850=0,0,IF($ED850=$DE850,1,0))</f>
        <v/>
      </c>
      <c r="EF850">
        <f>EF849+$EE850</f>
        <v/>
      </c>
      <c r="EG850">
        <f>IF($DM850=0,"",INDEX($EF$5:$EF$1003,$ED850))</f>
        <v/>
      </c>
      <c r="EH850">
        <f>IF($DM850=0,"",IF($DO850&lt;&gt;"","",IFERROR(LOOKUP(2,1/(($EG$4:EG849=$EG850)*($DO$4:DO849&lt;&gt;"")),$DO$4:DO849),"")))</f>
        <v/>
      </c>
      <c r="EI850">
        <f>IF($DM850=0,"",IF($DO850&lt;&gt;"",$DO850,$EH850))</f>
        <v/>
      </c>
      <c r="EJ850">
        <f>IF($DM850=0,"",IF($EI850="",0,IF(OR(ISNUMBER($EI850),AND(AND(SUBSTITUTE(SUBSTITUTE(SUBSTITUTE(SUBSTITUTE(SUBSTITUTE(SUBSTITUTE(SUBSTITUTE(SUBSTITUTE(SUBSTITUTE(SUBSTITUTE(SUBSTITUTE(SUBSTITUTE(SUBSTITUTE(SUBSTITUTE(UPPER($EI850),"0",""),"1",""),"2",""),"3",""),"4",""),"5",""),"6",""),"7",""),"8",""),"9",""),".",""),"+",""),"-",""),"E","")="",LEN(SUBSTITUTE(SUBSTITUTE(MID(UPPER($EI850),1+OR(LEFT(UPPER($EI850),1)="+",LEFT(UPPER($EI850),1)="-"),999),"E+","E"),"E-","E"))=LEN(SUBSTITUTE(SUBSTITUTE(SUBSTITUTE(SUBSTITUTE(MID(UPPER($EI850),1+OR(LEFT(UPPER($EI850),1)="+",LEFT(UPPER($EI850),1)="-"),999),"E+","E"),"E-","E"),"+",""),"-","")),LEN(UPPER($EI850))-LEN(SUBSTITUTE(UPPER($EI850),"E",""))&lt;2,LEN(UPPER($EI850))-LEN(SUBSTITUTE(UPPER($EI850),".",""))&lt;2,IFERROR(FIND(".",UPPER($EI850)),0)&lt;IFERROR(FIND("E",UPPER($EI850)),999)),ISNUMBER(VALUE($EI850)))),1,2)))</f>
        <v/>
      </c>
      <c r="EK850">
        <f>IF($DM850=0,"",IF($EJ850=1,IF(ISNUMBER($EI850),$EI850,VALUE($EI850)),IF($EJ850=2,$DE850,0)))</f>
        <v/>
      </c>
      <c r="EL850">
        <f>IF($DM850=0,"",COUNTIF($EG$5:$EG$1003,"&lt;"&amp;$EG850)+SUMPRODUCT(($EG$5:$EG$1003=$EG850)*(($EJ$5:$EJ$1003&lt;$EJ850)+($EJ$5:$EJ$1003=$EJ850)*(($EK$5:$EK$1003&lt;$EK850)+($EK$5:$EK$1003=$EK850)*($DE$5:$DE$1003&lt;$DE850))))+1)</f>
        <v/>
      </c>
      <c r="EM850">
        <f>IF($DM850=0,"",$EL850+$EG850-1)</f>
        <v/>
      </c>
      <c r="EN850">
        <f>IF($DM850=0,0,IFERROR(MATCH(1,INDEX(--(TRIM(SUBSTITUTE(SUBSTITUTE(SUBSTITUTE(SUBSTITUTE(LINES_NAME&amp;""," "," "),CHAR(9)," "),CHAR(10)," "),CHAR(13)," "))=$DH850),0),0),0))</f>
        <v/>
      </c>
      <c r="EO850">
        <f>IF($EN850=0,0,IF(OR(UPPER(TRIM(INDEX(LINES_SCHEDULED,$EN850)&amp;""))="YES",UPPER(TRIM(INDEX(LINES_SCHEDULED,$EN850)&amp;""))="Y",UPPER(TRIM(INDEX(LINES_SCHEDULED,$EN850)&amp;""))="X"),1,0))</f>
        <v/>
      </c>
      <c r="EP850">
        <f>IF($DM850=0,"",IF(COUNTIFS($EG$5:$EG$1003,$EG850,$EB$5:$EB$1003,"Ready")&gt;0,"READY",IF(COUNTIFS($EG$5:$EG$1003,$EG850,$EB$5:$EB$1003,"PM")&gt;0,"PM",IF(COUNTIFS($EG$5:$EG$1003,$EG850,$EB$5:$EB$1003,"OT")&gt;0,"OT",""))))</f>
        <v/>
      </c>
      <c r="EQ850">
        <f>IF($EN850=0,"",UPPER(TRIM(INDEX(LINES_STATUS,$EN850)&amp;"")))</f>
        <v/>
      </c>
      <c r="ER850">
        <f>IF($DM850=0,"",IF(OR($EQ850="READY",$EQ850="PM",$EQ850="OT"),$EQ850,$EP850))</f>
        <v/>
      </c>
      <c r="ES850">
        <f>IF($DM850=0,"",IF(AND($DV850&lt;&gt;"",UPPER($DV850)&lt;&gt;"N"),"allergen",IF(ISNUMBER(SEARCH("oil",$DQ850)),"oil",IF(OR(EXACT($DS850,"A662"),EXACT($DS850,"A624")),"bulk",""))))</f>
        <v/>
      </c>
      <c r="ET850">
        <f>IF($DM850=0,"",IF(OR($EA850="",$EA850=0),"",$EA850/100))</f>
        <v/>
      </c>
      <c r="EU850">
        <f>IF(OR($ET850="",$DY850=""),"",INT($DY850*(1-$ET850)+0.5))</f>
        <v/>
      </c>
    </row>
    <row r="851">
      <c r="DA851" t="n">
        <v>847</v>
      </c>
      <c r="DB851">
        <f>IF($B$37=0,"",IFERROR(TRIM(SUBSTITUTE(SUBSTITUTE(SUBSTITUTE(SUBSTITUTE(INDEX(PASTE_ALL,847,$B$37)," "," "),CHAR(9)," "),CHAR(10)," "),CHAR(13)," ")),""))</f>
        <v/>
      </c>
      <c r="DC851">
        <f>IF(AND(847&gt;HEADER_ROW,UPPER(DB851)="LEGEND"),1,0)</f>
        <v/>
      </c>
      <c r="DE851" t="n">
        <v>847</v>
      </c>
      <c r="DF851">
        <f>HEADER_ROW+$DE851</f>
        <v/>
      </c>
      <c r="DG851">
        <f>IF(AND($DF851&lt;=1000,$DF851&lt;$B$8),1,0)</f>
        <v/>
      </c>
      <c r="DH851">
        <f>IF($DG851=1,IFERROR(INDEX($DB$5:$DB$1004,$DF851),""),"")</f>
        <v/>
      </c>
      <c r="DI851">
        <f>IF(AND($DG851=1,$DH851&lt;&gt;""),IFERROR(SUBSTITUTE(SUBSTITUTE(TRIM(SUBSTITUTE(SUBSTITUTE(SUBSTITUTE(SUBSTITUTE(IFERROR(INDEX(PASTE_ALL,$DF851,1)&amp;"","")&amp;"␟"&amp;IFERROR(INDEX(PASTE_ALL,$DF851,2)&amp;"","")&amp;"␟"&amp;IFERROR(INDEX(PASTE_ALL,$DF851,3)&amp;"","")&amp;"␟"&amp;IFERROR(INDEX(PASTE_ALL,$DF851,4)&amp;"","")&amp;"␟"&amp;IFERROR(INDEX(PASTE_ALL,$DF851,5)&amp;"","")&amp;"␟"&amp;IFERROR(INDEX(PASTE_ALL,$DF851,6)&amp;"","")&amp;"␟"&amp;IFERROR(INDEX(PASTE_ALL,$DF851,7)&amp;"","")&amp;"␟"&amp;IFERROR(INDEX(PASTE_ALL,$DF851,8)&amp;"","")&amp;"␟"&amp;IFERROR(INDEX(PASTE_ALL,$DF851,9)&amp;"","")&amp;"␟"&amp;IFERROR(INDEX(PASTE_ALL,$DF851,10)&amp;"","")&amp;"␟"&amp;IFERROR(INDEX(PASTE_ALL,$DF851,11)&amp;"","")&amp;"␟"&amp;IFERROR(INDEX(PASTE_ALL,$DF851,12)&amp;"","")&amp;"␟"&amp;IFERROR(INDEX(PASTE_ALL,$DF851,13)&amp;"","")&amp;"␟"&amp;IFERROR(INDEX(PASTE_ALL,$DF851,14)&amp;"","")&amp;"␟"&amp;IFERROR(INDEX(PASTE_ALL,$DF851,15)&amp;"","")&amp;"␟"&amp;IFERROR(INDEX(PASTE_ALL,$DF851,16)&amp;"","")&amp;"␟"&amp;IFERROR(INDEX(PASTE_ALL,$DF851,17)&amp;"","")&amp;"␟"&amp;IFERROR(INDEX(PASTE_ALL,$DF851,18)&amp;"","")&amp;"␟"&amp;IFERROR(INDEX(PASTE_ALL,$DF851,19)&amp;"","")&amp;"␟"&amp;IFERROR(INDEX(PASTE_ALL,$DF851,20)&amp;"","")&amp;"␟"&amp;IFERROR(INDEX(PASTE_ALL,$DF851,21)&amp;"","")&amp;"␟"&amp;IFERROR(INDEX(PASTE_ALL,$DF851,22)&amp;"","")&amp;"␟"&amp;IFERROR(INDEX(PASTE_ALL,$DF851,23)&amp;"","")&amp;"␟"&amp;IFERROR(INDEX(PASTE_ALL,$DF851,24)&amp;"","")&amp;"␟"&amp;IFERROR(INDEX(PASTE_ALL,$DF851,25)&amp;"","")&amp;"␟"&amp;IFERROR(INDEX(PASTE_ALL,$DF851,26)&amp;"","")&amp;"␟"&amp;IFERROR(INDEX(PASTE_ALL,$DF851,27)&amp;"","")&amp;"␟"&amp;IFERROR(INDEX(PASTE_ALL,$DF851,28)&amp;"","")&amp;"␟"&amp;IFERROR(INDEX(PASTE_ALL,$DF851,29)&amp;"","")&amp;"␟"&amp;IFERROR(INDEX(PASTE_ALL,$DF851,30)&amp;"","")&amp;"␟"&amp;IFERROR(INDEX(PASTE_ALL,$DF851,31)&amp;"","")&amp;"␟"&amp;IFERROR(INDEX(PASTE_ALL,$DF851,32)&amp;"","")&amp;"␟"&amp;IFERROR(INDEX(PASTE_ALL,$DF851,33)&amp;"","")&amp;"␟"&amp;IFERROR(INDEX(PASTE_ALL,$DF851,34)&amp;"","")&amp;"␟"&amp;IFERROR(INDEX(PASTE_ALL,$DF851,35)&amp;"","")&amp;"␟"&amp;IFERROR(INDEX(PASTE_ALL,$DF851,36)&amp;"","")&amp;"␟"&amp;IFERROR(INDEX(PASTE_ALL,$DF851,37)&amp;"","")&amp;"␟"&amp;IFERROR(INDEX(PASTE_ALL,$DF851,38)&amp;"","")&amp;"␟"&amp;IFERROR(INDEX(PASTE_ALL,$DF851,39)&amp;"","")&amp;"␟"&amp;IFERROR(INDEX(PASTE_ALL,$DF851,40)&amp;"","")&amp;"␟"&amp;IFERROR(INDEX(PASTE_ALL,$DF851,41)&amp;"","")&amp;"␟"&amp;IFERROR(INDEX(PASTE_ALL,$DF851,42)&amp;"","")&amp;"␟"&amp;IFERROR(INDEX(PASTE_ALL,$DF851,43)&amp;"","")&amp;"␟"&amp;IFERROR(INDEX(PASTE_ALL,$DF851,44)&amp;"","")&amp;"␟"&amp;IFERROR(INDEX(PASTE_ALL,$DF851,45)&amp;"","")&amp;"␟"&amp;IFERROR(INDEX(PASTE_ALL,$DF851,46)&amp;"","")&amp;"␟"&amp;IFERROR(INDEX(PASTE_ALL,$DF851,47)&amp;"","")&amp;"␟"&amp;IFERROR(INDEX(PASTE_ALL,$DF851,48)&amp;"","")&amp;"␟"&amp;IFERROR(INDEX(PASTE_ALL,$DF851,49)&amp;"","")&amp;"␟"&amp;IFERROR(INDEX(PASTE_ALL,$DF851,50)&amp;"","")&amp;"␟"&amp;IFERROR(INDEX(PASTE_ALL,$DF851,51)&amp;"","")&amp;"␟"&amp;IFERROR(INDEX(PASTE_ALL,$DF851,52)&amp;"","")&amp;"␟"&amp;IFERROR(INDEX(PASTE_ALL,$DF851,53)&amp;"","")&amp;"␟"&amp;IFERROR(INDEX(PASTE_ALL,$DF851,54)&amp;"","")&amp;"␟"&amp;IFERROR(INDEX(PASTE_ALL,$DF851,55)&amp;"","")&amp;"␟"&amp;IFERROR(INDEX(PASTE_ALL,$DF851,56)&amp;"","")&amp;"␟"&amp;IFERROR(INDEX(PASTE_ALL,$DF851,57)&amp;"","")&amp;"␟"&amp;IFERROR(INDEX(PASTE_ALL,$DF851,58)&amp;"","")&amp;"␟"&amp;IFERROR(INDEX(PASTE_ALL,$DF851,59)&amp;"","")&amp;"␟"&amp;IFERROR(INDEX(PASTE_ALL,$DF851,60)&amp;"","")," "," "),CHAR(9)," "),CHAR(10)," "),CHAR(13)," "))," ␟","␟"),"␟ ","␟"),"#"&amp;$DE851),"")</f>
        <v/>
      </c>
      <c r="DJ851">
        <f>IF($DI851="",0,IF(SUMPRODUCT(--EXACT($DI$4:DI850,$DI851))&gt;0,1,0))</f>
        <v/>
      </c>
      <c r="DK851">
        <f>IF(AND($DI851&lt;&gt;"",$DJ851=0),1,0)</f>
        <v/>
      </c>
      <c r="DL851">
        <f>DL850+$DK851</f>
        <v/>
      </c>
      <c r="DM851">
        <f>IF(AND($DK851=1,$DL851&lt;=600),1,0)</f>
        <v/>
      </c>
      <c r="DN851">
        <f>IF($DM851=0,"",IF($L$6=0,"",IFERROR(IF(ISNUMBER(INDEX(PASTE_ALL,$DF851,$L$6)),INDEX(PASTE_ALL,$DF851,$L$6),TRIM(SUBSTITUTE(SUBSTITUTE(SUBSTITUTE(SUBSTITUTE(INDEX(PASTE_ALL,$DF851,$L$6)," "," "),CHAR(9)," "),CHAR(10)," "),CHAR(13)," "))),"")))</f>
        <v/>
      </c>
      <c r="DO851">
        <f>IF($DM851=0,"",IF($L$7=0,"",IFERROR(IF(ISNUMBER(INDEX(PASTE_ALL,$DF851,$L$7)),INDEX(PASTE_ALL,$DF851,$L$7),TRIM(SUBSTITUTE(SUBSTITUTE(SUBSTITUTE(SUBSTITUTE(INDEX(PASTE_ALL,$DF851,$L$7)," "," "),CHAR(9)," "),CHAR(10)," "),CHAR(13)," "))),"")))</f>
        <v/>
      </c>
      <c r="DP851">
        <f>IF($DM851=0,"",IF($L$8=0,"",IFERROR(IF(ISNUMBER(INDEX(PASTE_ALL,$DF851,$L$8)),INDEX(PASTE_ALL,$DF851,$L$8),TRIM(SUBSTITUTE(SUBSTITUTE(SUBSTITUTE(SUBSTITUTE(INDEX(PASTE_ALL,$DF851,$L$8)," "," "),CHAR(9)," "),CHAR(10)," "),CHAR(13)," "))),"")))</f>
        <v/>
      </c>
      <c r="DQ851">
        <f>IF($DM851=0,"",IF($L$9=0,"",IFERROR(IF(ISNUMBER(INDEX(PASTE_ALL,$DF851,$L$9)),INDEX(PASTE_ALL,$DF851,$L$9),TRIM(SUBSTITUTE(SUBSTITUTE(SUBSTITUTE(SUBSTITUTE(INDEX(PASTE_ALL,$DF851,$L$9)," "," "),CHAR(9)," "),CHAR(10)," "),CHAR(13)," "))),"")))</f>
        <v/>
      </c>
      <c r="DR851">
        <f>IF($DM851=0,"",IF($L$10=0,"",IFERROR(IF(ISNUMBER(INDEX(PASTE_ALL,$DF851,$L$10)),INDEX(PASTE_ALL,$DF851,$L$10),TRIM(SUBSTITUTE(SUBSTITUTE(SUBSTITUTE(SUBSTITUTE(INDEX(PASTE_ALL,$DF851,$L$10)," "," "),CHAR(9)," "),CHAR(10)," "),CHAR(13)," "))),"")))</f>
        <v/>
      </c>
      <c r="DS851">
        <f>IF($DM851=0,"",IF($L$11=0,"",IFERROR(IF(ISNUMBER(INDEX(PASTE_ALL,$DF851,$L$11)),INDEX(PASTE_ALL,$DF851,$L$11),TRIM(SUBSTITUTE(SUBSTITUTE(SUBSTITUTE(SUBSTITUTE(INDEX(PASTE_ALL,$DF851,$L$11)," "," "),CHAR(9)," "),CHAR(10)," "),CHAR(13)," "))),"")))</f>
        <v/>
      </c>
      <c r="DT851">
        <f>IF($DM851=0,"",IF($L$12=0,"",IFERROR(IF(ISNUMBER(INDEX(PASTE_ALL,$DF851,$L$12)),INDEX(PASTE_ALL,$DF851,$L$12),TRIM(SUBSTITUTE(SUBSTITUTE(SUBSTITUTE(SUBSTITUTE(INDEX(PASTE_ALL,$DF851,$L$12)," "," "),CHAR(9)," "),CHAR(10)," "),CHAR(13)," "))),"")))</f>
        <v/>
      </c>
      <c r="DU851">
        <f>IF($DM851=0,"",IF($L$13=0,"",IFERROR(IF(ISNUMBER(INDEX(PASTE_ALL,$DF851,$L$13)),INDEX(PASTE_ALL,$DF851,$L$13),TRIM(SUBSTITUTE(SUBSTITUTE(SUBSTITUTE(SUBSTITUTE(INDEX(PASTE_ALL,$DF851,$L$13)," "," "),CHAR(9)," "),CHAR(10)," "),CHAR(13)," "))),"")))</f>
        <v/>
      </c>
      <c r="DV851">
        <f>IF($DM851=0,"",IF($L$14=0,"",IFERROR(IF(ISNUMBER(INDEX(PASTE_ALL,$DF851,$L$14)),INDEX(PASTE_ALL,$DF851,$L$14),TRIM(SUBSTITUTE(SUBSTITUTE(SUBSTITUTE(SUBSTITUTE(INDEX(PASTE_ALL,$DF851,$L$14)," "," "),CHAR(9)," "),CHAR(10)," "),CHAR(13)," "))),"")))</f>
        <v/>
      </c>
      <c r="DW851">
        <f>IF($DM851=0,"",IF($L$15=0,"",IFERROR(IF(ISNUMBER(INDEX(PASTE_ALL,$DF851,$L$15)),INDEX(PASTE_ALL,$DF851,$L$15),IF(SUMPRODUCT(--ISNUMBER(FIND({"A","B","C","D","E","F","G","H","I","J","K","L","M","N","O","P","Q","R","S","T","U","V","W","X","Y","Z","0","1","2","3","4","5","6","7","8","9"},UPPER(TRIM(SUBSTITUTE(SUBSTITUTE(SUBSTITUTE(SUBSTITUTE(INDEX(PASTE_ALL,$DF851,$L$15)," "," "),CHAR(9)," "),CHAR(10)," "),CHAR(13)," "))))))&gt;0,TRIM(SUBSTITUTE(SUBSTITUTE(SUBSTITUTE(SUBSTITUTE(INDEX(PASTE_ALL,$DF851,$L$15)," "," "),CHAR(9)," "),CHAR(10)," "),CHAR(13)," ")),"")),"")))</f>
        <v/>
      </c>
      <c r="DX851">
        <f>IF($DM851=0,"",IF($L$16=0,"",IFERROR(IF(ISNUMBER(INDEX(PASTE_ALL,$DF851,$L$16)),INDEX(PASTE_ALL,$DF851,$L$16),SUBSTITUTE(SUBSTITUTE(TRIM(SUBSTITUTE(SUBSTITUTE(SUBSTITUTE(SUBSTITUTE(INDEX(PASTE_ALL,$DF851,$L$16)," "," "),CHAR(9)," "),CHAR(10)," "),CHAR(13)," ")),",",""),"%","")),"")))</f>
        <v/>
      </c>
      <c r="DY851">
        <f>IF($DM851=0,"",IFERROR(IF(ISNUMBER($DX851),$DX851,IF($DX851="","",IF(TRIM($DX851)="",0,IF(AND(AND(SUBSTITUTE(SUBSTITUTE(SUBSTITUTE(SUBSTITUTE(SUBSTITUTE(SUBSTITUTE(SUBSTITUTE(SUBSTITUTE(SUBSTITUTE(SUBSTITUTE(SUBSTITUTE(SUBSTITUTE(SUBSTITUTE(SUBSTITUTE(UPPER(TRIM($DX851)),"0",""),"1",""),"2",""),"3",""),"4",""),"5",""),"6",""),"7",""),"8",""),"9",""),".",""),"+",""),"-",""),"E","")="",LEN(SUBSTITUTE(SUBSTITUTE(MID(UPPER(TRIM($DX851)),1+OR(LEFT(UPPER(TRIM($DX851)),1)="+",LEFT(UPPER(TRIM($DX851)),1)="-"),999),"E+","E"),"E-","E"))=LEN(SUBSTITUTE(SUBSTITUTE(SUBSTITUTE(SUBSTITUTE(MID(UPPER(TRIM($DX851)),1+OR(LEFT(UPPER(TRIM($DX851)),1)="+",LEFT(UPPER(TRIM($DX851)),1)="-"),999),"E+","E"),"E-","E"),"+",""),"-","")),LEN(UPPER(TRIM($DX851)))-LEN(SUBSTITUTE(UPPER(TRIM($DX851)),"E",""))&lt;2,LEN(UPPER(TRIM($DX851)))-LEN(SUBSTITUTE(UPPER(TRIM($DX851)),".",""))&lt;2,IFERROR(FIND(".",UPPER(TRIM($DX851))),0)&lt;IFERROR(FIND("E",UPPER(TRIM($DX851))),999)),ISNUMBER(VALUE(TRIM($DX851)))),VALUE(TRIM($DX851)),"")))),""))</f>
        <v/>
      </c>
      <c r="DZ851">
        <f>IF($DM851=0,"",IF($L$17=0,"",IFERROR(IF(ISNUMBER(INDEX(PASTE_ALL,$DF851,$L$17)),INDEX(PASTE_ALL,$DF851,$L$17),SUBSTITUTE(SUBSTITUTE(TRIM(SUBSTITUTE(SUBSTITUTE(SUBSTITUTE(SUBSTITUTE(INDEX(PASTE_ALL,$DF851,$L$17)," "," "),CHAR(9)," "),CHAR(10)," "),CHAR(13)," ")),",",""),"%","")),"")))</f>
        <v/>
      </c>
      <c r="EA851">
        <f>IF($DM851=0,"",IFERROR(IF(ISNUMBER($DZ851),$DZ851,IF($DZ851="","",IF(TRIM($DZ851)="",0,IF(AND(AND(SUBSTITUTE(SUBSTITUTE(SUBSTITUTE(SUBSTITUTE(SUBSTITUTE(SUBSTITUTE(SUBSTITUTE(SUBSTITUTE(SUBSTITUTE(SUBSTITUTE(SUBSTITUTE(SUBSTITUTE(SUBSTITUTE(SUBSTITUTE(UPPER(TRIM($DZ851)),"0",""),"1",""),"2",""),"3",""),"4",""),"5",""),"6",""),"7",""),"8",""),"9",""),".",""),"+",""),"-",""),"E","")="",LEN(SUBSTITUTE(SUBSTITUTE(MID(UPPER(TRIM($DZ851)),1+OR(LEFT(UPPER(TRIM($DZ851)),1)="+",LEFT(UPPER(TRIM($DZ851)),1)="-"),999),"E+","E"),"E-","E"))=LEN(SUBSTITUTE(SUBSTITUTE(SUBSTITUTE(SUBSTITUTE(MID(UPPER(TRIM($DZ851)),1+OR(LEFT(UPPER(TRIM($DZ851)),1)="+",LEFT(UPPER(TRIM($DZ851)),1)="-"),999),"E+","E"),"E-","E"),"+",""),"-","")),LEN(UPPER(TRIM($DZ851)))-LEN(SUBSTITUTE(UPPER(TRIM($DZ851)),"E",""))&lt;2,LEN(UPPER(TRIM($DZ851)))-LEN(SUBSTITUTE(UPPER(TRIM($DZ851)),".",""))&lt;2,IFERROR(FIND(".",UPPER(TRIM($DZ851))),0)&lt;IFERROR(FIND("E",UPPER(TRIM($DZ851))),999)),ISNUMBER(VALUE(TRIM($DZ851)))),VALUE(TRIM($DZ851)),"")))),""))</f>
        <v/>
      </c>
      <c r="EB851">
        <f>IF($DM851=0,"",IF($L$18=0,"",IFERROR(IF(UPPER(TRIM(SUBSTITUTE(SUBSTITUTE(SUBSTITUTE(SUBSTITUTE(INDEX(PASTE_ALL,$DF851,$L$18)," "," "),CHAR(9)," "),CHAR(10)," "),CHAR(13)," ")))="READY","Ready",IF(UPPER(TRIM(SUBSTITUTE(SUBSTITUTE(SUBSTITUTE(SUBSTITUTE(INDEX(PASTE_ALL,$DF851,$L$18)," "," "),CHAR(9)," "),CHAR(10)," "),CHAR(13)," ")))="PM","PM",IF(OR(UPPER(TRIM(SUBSTITUTE(SUBSTITUTE(SUBSTITUTE(SUBSTITUTE(INDEX(PASTE_ALL,$DF851,$L$18)," "," "),CHAR(9)," "),CHAR(10)," "),CHAR(13)," ")))="OT",UPPER(TRIM(SUBSTITUTE(SUBSTITUTE(SUBSTITUTE(SUBSTITUTE(INDEX(PASTE_ALL,$DF851,$L$18)," "," "),CHAR(9)," "),CHAR(10)," "),CHAR(13)," ")))="OVERTIME",UPPER(TRIM(SUBSTITUTE(SUBSTITUTE(SUBSTITUTE(SUBSTITUTE(INDEX(PASTE_ALL,$DF851,$L$18)," "," "),CHAR(9)," "),CHAR(10)," "),CHAR(13)," ")))="TRIAL"),"OT",TRIM(SUBSTITUTE(SUBSTITUTE(SUBSTITUTE(SUBSTITUTE(INDEX(PASTE_ALL,$DF851,$L$18)," "," "),CHAR(9)," "),CHAR(10)," "),CHAR(13)," "))))),"")))</f>
        <v/>
      </c>
      <c r="EC851">
        <f>IF($DM851=0,"",IF($L$19=0,"",IFERROR(IF(ISNUMBER(INDEX(PASTE_ALL,$DF851,$L$19)),INDEX(PASTE_ALL,$DF851,$L$19),TRIM(SUBSTITUTE(SUBSTITUTE(SUBSTITUTE(SUBSTITUTE(INDEX(PASTE_ALL,$DF851,$L$19)," "," "),CHAR(9)," "),CHAR(10)," "),CHAR(13)," "))),"")))</f>
        <v/>
      </c>
      <c r="ED851">
        <f>IF($DM851=0,"",MATCH(1,INDEX(EXACT($DH$5:DH851,$DH851)*$DM$5:DM851,0),0))</f>
        <v/>
      </c>
      <c r="EE851">
        <f>IF($DM851=0,0,IF($ED851=$DE851,1,0))</f>
        <v/>
      </c>
      <c r="EF851">
        <f>EF850+$EE851</f>
        <v/>
      </c>
      <c r="EG851">
        <f>IF($DM851=0,"",INDEX($EF$5:$EF$1003,$ED851))</f>
        <v/>
      </c>
      <c r="EH851">
        <f>IF($DM851=0,"",IF($DO851&lt;&gt;"","",IFERROR(LOOKUP(2,1/(($EG$4:EG850=$EG851)*($DO$4:DO850&lt;&gt;"")),$DO$4:DO850),"")))</f>
        <v/>
      </c>
      <c r="EI851">
        <f>IF($DM851=0,"",IF($DO851&lt;&gt;"",$DO851,$EH851))</f>
        <v/>
      </c>
      <c r="EJ851">
        <f>IF($DM851=0,"",IF($EI851="",0,IF(OR(ISNUMBER($EI851),AND(AND(SUBSTITUTE(SUBSTITUTE(SUBSTITUTE(SUBSTITUTE(SUBSTITUTE(SUBSTITUTE(SUBSTITUTE(SUBSTITUTE(SUBSTITUTE(SUBSTITUTE(SUBSTITUTE(SUBSTITUTE(SUBSTITUTE(SUBSTITUTE(UPPER($EI851),"0",""),"1",""),"2",""),"3",""),"4",""),"5",""),"6",""),"7",""),"8",""),"9",""),".",""),"+",""),"-",""),"E","")="",LEN(SUBSTITUTE(SUBSTITUTE(MID(UPPER($EI851),1+OR(LEFT(UPPER($EI851),1)="+",LEFT(UPPER($EI851),1)="-"),999),"E+","E"),"E-","E"))=LEN(SUBSTITUTE(SUBSTITUTE(SUBSTITUTE(SUBSTITUTE(MID(UPPER($EI851),1+OR(LEFT(UPPER($EI851),1)="+",LEFT(UPPER($EI851),1)="-"),999),"E+","E"),"E-","E"),"+",""),"-","")),LEN(UPPER($EI851))-LEN(SUBSTITUTE(UPPER($EI851),"E",""))&lt;2,LEN(UPPER($EI851))-LEN(SUBSTITUTE(UPPER($EI851),".",""))&lt;2,IFERROR(FIND(".",UPPER($EI851)),0)&lt;IFERROR(FIND("E",UPPER($EI851)),999)),ISNUMBER(VALUE($EI851)))),1,2)))</f>
        <v/>
      </c>
      <c r="EK851">
        <f>IF($DM851=0,"",IF($EJ851=1,IF(ISNUMBER($EI851),$EI851,VALUE($EI851)),IF($EJ851=2,$DE851,0)))</f>
        <v/>
      </c>
      <c r="EL851">
        <f>IF($DM851=0,"",COUNTIF($EG$5:$EG$1003,"&lt;"&amp;$EG851)+SUMPRODUCT(($EG$5:$EG$1003=$EG851)*(($EJ$5:$EJ$1003&lt;$EJ851)+($EJ$5:$EJ$1003=$EJ851)*(($EK$5:$EK$1003&lt;$EK851)+($EK$5:$EK$1003=$EK851)*($DE$5:$DE$1003&lt;$DE851))))+1)</f>
        <v/>
      </c>
      <c r="EM851">
        <f>IF($DM851=0,"",$EL851+$EG851-1)</f>
        <v/>
      </c>
      <c r="EN851">
        <f>IF($DM851=0,0,IFERROR(MATCH(1,INDEX(--(TRIM(SUBSTITUTE(SUBSTITUTE(SUBSTITUTE(SUBSTITUTE(LINES_NAME&amp;""," "," "),CHAR(9)," "),CHAR(10)," "),CHAR(13)," "))=$DH851),0),0),0))</f>
        <v/>
      </c>
      <c r="EO851">
        <f>IF($EN851=0,0,IF(OR(UPPER(TRIM(INDEX(LINES_SCHEDULED,$EN851)&amp;""))="YES",UPPER(TRIM(INDEX(LINES_SCHEDULED,$EN851)&amp;""))="Y",UPPER(TRIM(INDEX(LINES_SCHEDULED,$EN851)&amp;""))="X"),1,0))</f>
        <v/>
      </c>
      <c r="EP851">
        <f>IF($DM851=0,"",IF(COUNTIFS($EG$5:$EG$1003,$EG851,$EB$5:$EB$1003,"Ready")&gt;0,"READY",IF(COUNTIFS($EG$5:$EG$1003,$EG851,$EB$5:$EB$1003,"PM")&gt;0,"PM",IF(COUNTIFS($EG$5:$EG$1003,$EG851,$EB$5:$EB$1003,"OT")&gt;0,"OT",""))))</f>
        <v/>
      </c>
      <c r="EQ851">
        <f>IF($EN851=0,"",UPPER(TRIM(INDEX(LINES_STATUS,$EN851)&amp;"")))</f>
        <v/>
      </c>
      <c r="ER851">
        <f>IF($DM851=0,"",IF(OR($EQ851="READY",$EQ851="PM",$EQ851="OT"),$EQ851,$EP851))</f>
        <v/>
      </c>
      <c r="ES851">
        <f>IF($DM851=0,"",IF(AND($DV851&lt;&gt;"",UPPER($DV851)&lt;&gt;"N"),"allergen",IF(ISNUMBER(SEARCH("oil",$DQ851)),"oil",IF(OR(EXACT($DS851,"A662"),EXACT($DS851,"A624")),"bulk",""))))</f>
        <v/>
      </c>
      <c r="ET851">
        <f>IF($DM851=0,"",IF(OR($EA851="",$EA851=0),"",$EA851/100))</f>
        <v/>
      </c>
      <c r="EU851">
        <f>IF(OR($ET851="",$DY851=""),"",INT($DY851*(1-$ET851)+0.5))</f>
        <v/>
      </c>
    </row>
    <row r="852">
      <c r="DA852" t="n">
        <v>848</v>
      </c>
      <c r="DB852">
        <f>IF($B$37=0,"",IFERROR(TRIM(SUBSTITUTE(SUBSTITUTE(SUBSTITUTE(SUBSTITUTE(INDEX(PASTE_ALL,848,$B$37)," "," "),CHAR(9)," "),CHAR(10)," "),CHAR(13)," ")),""))</f>
        <v/>
      </c>
      <c r="DC852">
        <f>IF(AND(848&gt;HEADER_ROW,UPPER(DB852)="LEGEND"),1,0)</f>
        <v/>
      </c>
      <c r="DE852" t="n">
        <v>848</v>
      </c>
      <c r="DF852">
        <f>HEADER_ROW+$DE852</f>
        <v/>
      </c>
      <c r="DG852">
        <f>IF(AND($DF852&lt;=1000,$DF852&lt;$B$8),1,0)</f>
        <v/>
      </c>
      <c r="DH852">
        <f>IF($DG852=1,IFERROR(INDEX($DB$5:$DB$1004,$DF852),""),"")</f>
        <v/>
      </c>
      <c r="DI852">
        <f>IF(AND($DG852=1,$DH852&lt;&gt;""),IFERROR(SUBSTITUTE(SUBSTITUTE(TRIM(SUBSTITUTE(SUBSTITUTE(SUBSTITUTE(SUBSTITUTE(IFERROR(INDEX(PASTE_ALL,$DF852,1)&amp;"","")&amp;"␟"&amp;IFERROR(INDEX(PASTE_ALL,$DF852,2)&amp;"","")&amp;"␟"&amp;IFERROR(INDEX(PASTE_ALL,$DF852,3)&amp;"","")&amp;"␟"&amp;IFERROR(INDEX(PASTE_ALL,$DF852,4)&amp;"","")&amp;"␟"&amp;IFERROR(INDEX(PASTE_ALL,$DF852,5)&amp;"","")&amp;"␟"&amp;IFERROR(INDEX(PASTE_ALL,$DF852,6)&amp;"","")&amp;"␟"&amp;IFERROR(INDEX(PASTE_ALL,$DF852,7)&amp;"","")&amp;"␟"&amp;IFERROR(INDEX(PASTE_ALL,$DF852,8)&amp;"","")&amp;"␟"&amp;IFERROR(INDEX(PASTE_ALL,$DF852,9)&amp;"","")&amp;"␟"&amp;IFERROR(INDEX(PASTE_ALL,$DF852,10)&amp;"","")&amp;"␟"&amp;IFERROR(INDEX(PASTE_ALL,$DF852,11)&amp;"","")&amp;"␟"&amp;IFERROR(INDEX(PASTE_ALL,$DF852,12)&amp;"","")&amp;"␟"&amp;IFERROR(INDEX(PASTE_ALL,$DF852,13)&amp;"","")&amp;"␟"&amp;IFERROR(INDEX(PASTE_ALL,$DF852,14)&amp;"","")&amp;"␟"&amp;IFERROR(INDEX(PASTE_ALL,$DF852,15)&amp;"","")&amp;"␟"&amp;IFERROR(INDEX(PASTE_ALL,$DF852,16)&amp;"","")&amp;"␟"&amp;IFERROR(INDEX(PASTE_ALL,$DF852,17)&amp;"","")&amp;"␟"&amp;IFERROR(INDEX(PASTE_ALL,$DF852,18)&amp;"","")&amp;"␟"&amp;IFERROR(INDEX(PASTE_ALL,$DF852,19)&amp;"","")&amp;"␟"&amp;IFERROR(INDEX(PASTE_ALL,$DF852,20)&amp;"","")&amp;"␟"&amp;IFERROR(INDEX(PASTE_ALL,$DF852,21)&amp;"","")&amp;"␟"&amp;IFERROR(INDEX(PASTE_ALL,$DF852,22)&amp;"","")&amp;"␟"&amp;IFERROR(INDEX(PASTE_ALL,$DF852,23)&amp;"","")&amp;"␟"&amp;IFERROR(INDEX(PASTE_ALL,$DF852,24)&amp;"","")&amp;"␟"&amp;IFERROR(INDEX(PASTE_ALL,$DF852,25)&amp;"","")&amp;"␟"&amp;IFERROR(INDEX(PASTE_ALL,$DF852,26)&amp;"","")&amp;"␟"&amp;IFERROR(INDEX(PASTE_ALL,$DF852,27)&amp;"","")&amp;"␟"&amp;IFERROR(INDEX(PASTE_ALL,$DF852,28)&amp;"","")&amp;"␟"&amp;IFERROR(INDEX(PASTE_ALL,$DF852,29)&amp;"","")&amp;"␟"&amp;IFERROR(INDEX(PASTE_ALL,$DF852,30)&amp;"","")&amp;"␟"&amp;IFERROR(INDEX(PASTE_ALL,$DF852,31)&amp;"","")&amp;"␟"&amp;IFERROR(INDEX(PASTE_ALL,$DF852,32)&amp;"","")&amp;"␟"&amp;IFERROR(INDEX(PASTE_ALL,$DF852,33)&amp;"","")&amp;"␟"&amp;IFERROR(INDEX(PASTE_ALL,$DF852,34)&amp;"","")&amp;"␟"&amp;IFERROR(INDEX(PASTE_ALL,$DF852,35)&amp;"","")&amp;"␟"&amp;IFERROR(INDEX(PASTE_ALL,$DF852,36)&amp;"","")&amp;"␟"&amp;IFERROR(INDEX(PASTE_ALL,$DF852,37)&amp;"","")&amp;"␟"&amp;IFERROR(INDEX(PASTE_ALL,$DF852,38)&amp;"","")&amp;"␟"&amp;IFERROR(INDEX(PASTE_ALL,$DF852,39)&amp;"","")&amp;"␟"&amp;IFERROR(INDEX(PASTE_ALL,$DF852,40)&amp;"","")&amp;"␟"&amp;IFERROR(INDEX(PASTE_ALL,$DF852,41)&amp;"","")&amp;"␟"&amp;IFERROR(INDEX(PASTE_ALL,$DF852,42)&amp;"","")&amp;"␟"&amp;IFERROR(INDEX(PASTE_ALL,$DF852,43)&amp;"","")&amp;"␟"&amp;IFERROR(INDEX(PASTE_ALL,$DF852,44)&amp;"","")&amp;"␟"&amp;IFERROR(INDEX(PASTE_ALL,$DF852,45)&amp;"","")&amp;"␟"&amp;IFERROR(INDEX(PASTE_ALL,$DF852,46)&amp;"","")&amp;"␟"&amp;IFERROR(INDEX(PASTE_ALL,$DF852,47)&amp;"","")&amp;"␟"&amp;IFERROR(INDEX(PASTE_ALL,$DF852,48)&amp;"","")&amp;"␟"&amp;IFERROR(INDEX(PASTE_ALL,$DF852,49)&amp;"","")&amp;"␟"&amp;IFERROR(INDEX(PASTE_ALL,$DF852,50)&amp;"","")&amp;"␟"&amp;IFERROR(INDEX(PASTE_ALL,$DF852,51)&amp;"","")&amp;"␟"&amp;IFERROR(INDEX(PASTE_ALL,$DF852,52)&amp;"","")&amp;"␟"&amp;IFERROR(INDEX(PASTE_ALL,$DF852,53)&amp;"","")&amp;"␟"&amp;IFERROR(INDEX(PASTE_ALL,$DF852,54)&amp;"","")&amp;"␟"&amp;IFERROR(INDEX(PASTE_ALL,$DF852,55)&amp;"","")&amp;"␟"&amp;IFERROR(INDEX(PASTE_ALL,$DF852,56)&amp;"","")&amp;"␟"&amp;IFERROR(INDEX(PASTE_ALL,$DF852,57)&amp;"","")&amp;"␟"&amp;IFERROR(INDEX(PASTE_ALL,$DF852,58)&amp;"","")&amp;"␟"&amp;IFERROR(INDEX(PASTE_ALL,$DF852,59)&amp;"","")&amp;"␟"&amp;IFERROR(INDEX(PASTE_ALL,$DF852,60)&amp;"","")," "," "),CHAR(9)," "),CHAR(10)," "),CHAR(13)," "))," ␟","␟"),"␟ ","␟"),"#"&amp;$DE852),"")</f>
        <v/>
      </c>
      <c r="DJ852">
        <f>IF($DI852="",0,IF(SUMPRODUCT(--EXACT($DI$4:DI851,$DI852))&gt;0,1,0))</f>
        <v/>
      </c>
      <c r="DK852">
        <f>IF(AND($DI852&lt;&gt;"",$DJ852=0),1,0)</f>
        <v/>
      </c>
      <c r="DL852">
        <f>DL851+$DK852</f>
        <v/>
      </c>
      <c r="DM852">
        <f>IF(AND($DK852=1,$DL852&lt;=600),1,0)</f>
        <v/>
      </c>
      <c r="DN852">
        <f>IF($DM852=0,"",IF($L$6=0,"",IFERROR(IF(ISNUMBER(INDEX(PASTE_ALL,$DF852,$L$6)),INDEX(PASTE_ALL,$DF852,$L$6),TRIM(SUBSTITUTE(SUBSTITUTE(SUBSTITUTE(SUBSTITUTE(INDEX(PASTE_ALL,$DF852,$L$6)," "," "),CHAR(9)," "),CHAR(10)," "),CHAR(13)," "))),"")))</f>
        <v/>
      </c>
      <c r="DO852">
        <f>IF($DM852=0,"",IF($L$7=0,"",IFERROR(IF(ISNUMBER(INDEX(PASTE_ALL,$DF852,$L$7)),INDEX(PASTE_ALL,$DF852,$L$7),TRIM(SUBSTITUTE(SUBSTITUTE(SUBSTITUTE(SUBSTITUTE(INDEX(PASTE_ALL,$DF852,$L$7)," "," "),CHAR(9)," "),CHAR(10)," "),CHAR(13)," "))),"")))</f>
        <v/>
      </c>
      <c r="DP852">
        <f>IF($DM852=0,"",IF($L$8=0,"",IFERROR(IF(ISNUMBER(INDEX(PASTE_ALL,$DF852,$L$8)),INDEX(PASTE_ALL,$DF852,$L$8),TRIM(SUBSTITUTE(SUBSTITUTE(SUBSTITUTE(SUBSTITUTE(INDEX(PASTE_ALL,$DF852,$L$8)," "," "),CHAR(9)," "),CHAR(10)," "),CHAR(13)," "))),"")))</f>
        <v/>
      </c>
      <c r="DQ852">
        <f>IF($DM852=0,"",IF($L$9=0,"",IFERROR(IF(ISNUMBER(INDEX(PASTE_ALL,$DF852,$L$9)),INDEX(PASTE_ALL,$DF852,$L$9),TRIM(SUBSTITUTE(SUBSTITUTE(SUBSTITUTE(SUBSTITUTE(INDEX(PASTE_ALL,$DF852,$L$9)," "," "),CHAR(9)," "),CHAR(10)," "),CHAR(13)," "))),"")))</f>
        <v/>
      </c>
      <c r="DR852">
        <f>IF($DM852=0,"",IF($L$10=0,"",IFERROR(IF(ISNUMBER(INDEX(PASTE_ALL,$DF852,$L$10)),INDEX(PASTE_ALL,$DF852,$L$10),TRIM(SUBSTITUTE(SUBSTITUTE(SUBSTITUTE(SUBSTITUTE(INDEX(PASTE_ALL,$DF852,$L$10)," "," "),CHAR(9)," "),CHAR(10)," "),CHAR(13)," "))),"")))</f>
        <v/>
      </c>
      <c r="DS852">
        <f>IF($DM852=0,"",IF($L$11=0,"",IFERROR(IF(ISNUMBER(INDEX(PASTE_ALL,$DF852,$L$11)),INDEX(PASTE_ALL,$DF852,$L$11),TRIM(SUBSTITUTE(SUBSTITUTE(SUBSTITUTE(SUBSTITUTE(INDEX(PASTE_ALL,$DF852,$L$11)," "," "),CHAR(9)," "),CHAR(10)," "),CHAR(13)," "))),"")))</f>
        <v/>
      </c>
      <c r="DT852">
        <f>IF($DM852=0,"",IF($L$12=0,"",IFERROR(IF(ISNUMBER(INDEX(PASTE_ALL,$DF852,$L$12)),INDEX(PASTE_ALL,$DF852,$L$12),TRIM(SUBSTITUTE(SUBSTITUTE(SUBSTITUTE(SUBSTITUTE(INDEX(PASTE_ALL,$DF852,$L$12)," "," "),CHAR(9)," "),CHAR(10)," "),CHAR(13)," "))),"")))</f>
        <v/>
      </c>
      <c r="DU852">
        <f>IF($DM852=0,"",IF($L$13=0,"",IFERROR(IF(ISNUMBER(INDEX(PASTE_ALL,$DF852,$L$13)),INDEX(PASTE_ALL,$DF852,$L$13),TRIM(SUBSTITUTE(SUBSTITUTE(SUBSTITUTE(SUBSTITUTE(INDEX(PASTE_ALL,$DF852,$L$13)," "," "),CHAR(9)," "),CHAR(10)," "),CHAR(13)," "))),"")))</f>
        <v/>
      </c>
      <c r="DV852">
        <f>IF($DM852=0,"",IF($L$14=0,"",IFERROR(IF(ISNUMBER(INDEX(PASTE_ALL,$DF852,$L$14)),INDEX(PASTE_ALL,$DF852,$L$14),TRIM(SUBSTITUTE(SUBSTITUTE(SUBSTITUTE(SUBSTITUTE(INDEX(PASTE_ALL,$DF852,$L$14)," "," "),CHAR(9)," "),CHAR(10)," "),CHAR(13)," "))),"")))</f>
        <v/>
      </c>
      <c r="DW852">
        <f>IF($DM852=0,"",IF($L$15=0,"",IFERROR(IF(ISNUMBER(INDEX(PASTE_ALL,$DF852,$L$15)),INDEX(PASTE_ALL,$DF852,$L$15),IF(SUMPRODUCT(--ISNUMBER(FIND({"A","B","C","D","E","F","G","H","I","J","K","L","M","N","O","P","Q","R","S","T","U","V","W","X","Y","Z","0","1","2","3","4","5","6","7","8","9"},UPPER(TRIM(SUBSTITUTE(SUBSTITUTE(SUBSTITUTE(SUBSTITUTE(INDEX(PASTE_ALL,$DF852,$L$15)," "," "),CHAR(9)," "),CHAR(10)," "),CHAR(13)," "))))))&gt;0,TRIM(SUBSTITUTE(SUBSTITUTE(SUBSTITUTE(SUBSTITUTE(INDEX(PASTE_ALL,$DF852,$L$15)," "," "),CHAR(9)," "),CHAR(10)," "),CHAR(13)," ")),"")),"")))</f>
        <v/>
      </c>
      <c r="DX852">
        <f>IF($DM852=0,"",IF($L$16=0,"",IFERROR(IF(ISNUMBER(INDEX(PASTE_ALL,$DF852,$L$16)),INDEX(PASTE_ALL,$DF852,$L$16),SUBSTITUTE(SUBSTITUTE(TRIM(SUBSTITUTE(SUBSTITUTE(SUBSTITUTE(SUBSTITUTE(INDEX(PASTE_ALL,$DF852,$L$16)," "," "),CHAR(9)," "),CHAR(10)," "),CHAR(13)," ")),",",""),"%","")),"")))</f>
        <v/>
      </c>
      <c r="DY852">
        <f>IF($DM852=0,"",IFERROR(IF(ISNUMBER($DX852),$DX852,IF($DX852="","",IF(TRIM($DX852)="",0,IF(AND(AND(SUBSTITUTE(SUBSTITUTE(SUBSTITUTE(SUBSTITUTE(SUBSTITUTE(SUBSTITUTE(SUBSTITUTE(SUBSTITUTE(SUBSTITUTE(SUBSTITUTE(SUBSTITUTE(SUBSTITUTE(SUBSTITUTE(SUBSTITUTE(UPPER(TRIM($DX852)),"0",""),"1",""),"2",""),"3",""),"4",""),"5",""),"6",""),"7",""),"8",""),"9",""),".",""),"+",""),"-",""),"E","")="",LEN(SUBSTITUTE(SUBSTITUTE(MID(UPPER(TRIM($DX852)),1+OR(LEFT(UPPER(TRIM($DX852)),1)="+",LEFT(UPPER(TRIM($DX852)),1)="-"),999),"E+","E"),"E-","E"))=LEN(SUBSTITUTE(SUBSTITUTE(SUBSTITUTE(SUBSTITUTE(MID(UPPER(TRIM($DX852)),1+OR(LEFT(UPPER(TRIM($DX852)),1)="+",LEFT(UPPER(TRIM($DX852)),1)="-"),999),"E+","E"),"E-","E"),"+",""),"-","")),LEN(UPPER(TRIM($DX852)))-LEN(SUBSTITUTE(UPPER(TRIM($DX852)),"E",""))&lt;2,LEN(UPPER(TRIM($DX852)))-LEN(SUBSTITUTE(UPPER(TRIM($DX852)),".",""))&lt;2,IFERROR(FIND(".",UPPER(TRIM($DX852))),0)&lt;IFERROR(FIND("E",UPPER(TRIM($DX852))),999)),ISNUMBER(VALUE(TRIM($DX852)))),VALUE(TRIM($DX852)),"")))),""))</f>
        <v/>
      </c>
      <c r="DZ852">
        <f>IF($DM852=0,"",IF($L$17=0,"",IFERROR(IF(ISNUMBER(INDEX(PASTE_ALL,$DF852,$L$17)),INDEX(PASTE_ALL,$DF852,$L$17),SUBSTITUTE(SUBSTITUTE(TRIM(SUBSTITUTE(SUBSTITUTE(SUBSTITUTE(SUBSTITUTE(INDEX(PASTE_ALL,$DF852,$L$17)," "," "),CHAR(9)," "),CHAR(10)," "),CHAR(13)," ")),",",""),"%","")),"")))</f>
        <v/>
      </c>
      <c r="EA852">
        <f>IF($DM852=0,"",IFERROR(IF(ISNUMBER($DZ852),$DZ852,IF($DZ852="","",IF(TRIM($DZ852)="",0,IF(AND(AND(SUBSTITUTE(SUBSTITUTE(SUBSTITUTE(SUBSTITUTE(SUBSTITUTE(SUBSTITUTE(SUBSTITUTE(SUBSTITUTE(SUBSTITUTE(SUBSTITUTE(SUBSTITUTE(SUBSTITUTE(SUBSTITUTE(SUBSTITUTE(UPPER(TRIM($DZ852)),"0",""),"1",""),"2",""),"3",""),"4",""),"5",""),"6",""),"7",""),"8",""),"9",""),".",""),"+",""),"-",""),"E","")="",LEN(SUBSTITUTE(SUBSTITUTE(MID(UPPER(TRIM($DZ852)),1+OR(LEFT(UPPER(TRIM($DZ852)),1)="+",LEFT(UPPER(TRIM($DZ852)),1)="-"),999),"E+","E"),"E-","E"))=LEN(SUBSTITUTE(SUBSTITUTE(SUBSTITUTE(SUBSTITUTE(MID(UPPER(TRIM($DZ852)),1+OR(LEFT(UPPER(TRIM($DZ852)),1)="+",LEFT(UPPER(TRIM($DZ852)),1)="-"),999),"E+","E"),"E-","E"),"+",""),"-","")),LEN(UPPER(TRIM($DZ852)))-LEN(SUBSTITUTE(UPPER(TRIM($DZ852)),"E",""))&lt;2,LEN(UPPER(TRIM($DZ852)))-LEN(SUBSTITUTE(UPPER(TRIM($DZ852)),".",""))&lt;2,IFERROR(FIND(".",UPPER(TRIM($DZ852))),0)&lt;IFERROR(FIND("E",UPPER(TRIM($DZ852))),999)),ISNUMBER(VALUE(TRIM($DZ852)))),VALUE(TRIM($DZ852)),"")))),""))</f>
        <v/>
      </c>
      <c r="EB852">
        <f>IF($DM852=0,"",IF($L$18=0,"",IFERROR(IF(UPPER(TRIM(SUBSTITUTE(SUBSTITUTE(SUBSTITUTE(SUBSTITUTE(INDEX(PASTE_ALL,$DF852,$L$18)," "," "),CHAR(9)," "),CHAR(10)," "),CHAR(13)," ")))="READY","Ready",IF(UPPER(TRIM(SUBSTITUTE(SUBSTITUTE(SUBSTITUTE(SUBSTITUTE(INDEX(PASTE_ALL,$DF852,$L$18)," "," "),CHAR(9)," "),CHAR(10)," "),CHAR(13)," ")))="PM","PM",IF(OR(UPPER(TRIM(SUBSTITUTE(SUBSTITUTE(SUBSTITUTE(SUBSTITUTE(INDEX(PASTE_ALL,$DF852,$L$18)," "," "),CHAR(9)," "),CHAR(10)," "),CHAR(13)," ")))="OT",UPPER(TRIM(SUBSTITUTE(SUBSTITUTE(SUBSTITUTE(SUBSTITUTE(INDEX(PASTE_ALL,$DF852,$L$18)," "," "),CHAR(9)," "),CHAR(10)," "),CHAR(13)," ")))="OVERTIME",UPPER(TRIM(SUBSTITUTE(SUBSTITUTE(SUBSTITUTE(SUBSTITUTE(INDEX(PASTE_ALL,$DF852,$L$18)," "," "),CHAR(9)," "),CHAR(10)," "),CHAR(13)," ")))="TRIAL"),"OT",TRIM(SUBSTITUTE(SUBSTITUTE(SUBSTITUTE(SUBSTITUTE(INDEX(PASTE_ALL,$DF852,$L$18)," "," "),CHAR(9)," "),CHAR(10)," "),CHAR(13)," "))))),"")))</f>
        <v/>
      </c>
      <c r="EC852">
        <f>IF($DM852=0,"",IF($L$19=0,"",IFERROR(IF(ISNUMBER(INDEX(PASTE_ALL,$DF852,$L$19)),INDEX(PASTE_ALL,$DF852,$L$19),TRIM(SUBSTITUTE(SUBSTITUTE(SUBSTITUTE(SUBSTITUTE(INDEX(PASTE_ALL,$DF852,$L$19)," "," "),CHAR(9)," "),CHAR(10)," "),CHAR(13)," "))),"")))</f>
        <v/>
      </c>
      <c r="ED852">
        <f>IF($DM852=0,"",MATCH(1,INDEX(EXACT($DH$5:DH852,$DH852)*$DM$5:DM852,0),0))</f>
        <v/>
      </c>
      <c r="EE852">
        <f>IF($DM852=0,0,IF($ED852=$DE852,1,0))</f>
        <v/>
      </c>
      <c r="EF852">
        <f>EF851+$EE852</f>
        <v/>
      </c>
      <c r="EG852">
        <f>IF($DM852=0,"",INDEX($EF$5:$EF$1003,$ED852))</f>
        <v/>
      </c>
      <c r="EH852">
        <f>IF($DM852=0,"",IF($DO852&lt;&gt;"","",IFERROR(LOOKUP(2,1/(($EG$4:EG851=$EG852)*($DO$4:DO851&lt;&gt;"")),$DO$4:DO851),"")))</f>
        <v/>
      </c>
      <c r="EI852">
        <f>IF($DM852=0,"",IF($DO852&lt;&gt;"",$DO852,$EH852))</f>
        <v/>
      </c>
      <c r="EJ852">
        <f>IF($DM852=0,"",IF($EI852="",0,IF(OR(ISNUMBER($EI852),AND(AND(SUBSTITUTE(SUBSTITUTE(SUBSTITUTE(SUBSTITUTE(SUBSTITUTE(SUBSTITUTE(SUBSTITUTE(SUBSTITUTE(SUBSTITUTE(SUBSTITUTE(SUBSTITUTE(SUBSTITUTE(SUBSTITUTE(SUBSTITUTE(UPPER($EI852),"0",""),"1",""),"2",""),"3",""),"4",""),"5",""),"6",""),"7",""),"8",""),"9",""),".",""),"+",""),"-",""),"E","")="",LEN(SUBSTITUTE(SUBSTITUTE(MID(UPPER($EI852),1+OR(LEFT(UPPER($EI852),1)="+",LEFT(UPPER($EI852),1)="-"),999),"E+","E"),"E-","E"))=LEN(SUBSTITUTE(SUBSTITUTE(SUBSTITUTE(SUBSTITUTE(MID(UPPER($EI852),1+OR(LEFT(UPPER($EI852),1)="+",LEFT(UPPER($EI852),1)="-"),999),"E+","E"),"E-","E"),"+",""),"-","")),LEN(UPPER($EI852))-LEN(SUBSTITUTE(UPPER($EI852),"E",""))&lt;2,LEN(UPPER($EI852))-LEN(SUBSTITUTE(UPPER($EI852),".",""))&lt;2,IFERROR(FIND(".",UPPER($EI852)),0)&lt;IFERROR(FIND("E",UPPER($EI852)),999)),ISNUMBER(VALUE($EI852)))),1,2)))</f>
        <v/>
      </c>
      <c r="EK852">
        <f>IF($DM852=0,"",IF($EJ852=1,IF(ISNUMBER($EI852),$EI852,VALUE($EI852)),IF($EJ852=2,$DE852,0)))</f>
        <v/>
      </c>
      <c r="EL852">
        <f>IF($DM852=0,"",COUNTIF($EG$5:$EG$1003,"&lt;"&amp;$EG852)+SUMPRODUCT(($EG$5:$EG$1003=$EG852)*(($EJ$5:$EJ$1003&lt;$EJ852)+($EJ$5:$EJ$1003=$EJ852)*(($EK$5:$EK$1003&lt;$EK852)+($EK$5:$EK$1003=$EK852)*($DE$5:$DE$1003&lt;$DE852))))+1)</f>
        <v/>
      </c>
      <c r="EM852">
        <f>IF($DM852=0,"",$EL852+$EG852-1)</f>
        <v/>
      </c>
      <c r="EN852">
        <f>IF($DM852=0,0,IFERROR(MATCH(1,INDEX(--(TRIM(SUBSTITUTE(SUBSTITUTE(SUBSTITUTE(SUBSTITUTE(LINES_NAME&amp;""," "," "),CHAR(9)," "),CHAR(10)," "),CHAR(13)," "))=$DH852),0),0),0))</f>
        <v/>
      </c>
      <c r="EO852">
        <f>IF($EN852=0,0,IF(OR(UPPER(TRIM(INDEX(LINES_SCHEDULED,$EN852)&amp;""))="YES",UPPER(TRIM(INDEX(LINES_SCHEDULED,$EN852)&amp;""))="Y",UPPER(TRIM(INDEX(LINES_SCHEDULED,$EN852)&amp;""))="X"),1,0))</f>
        <v/>
      </c>
      <c r="EP852">
        <f>IF($DM852=0,"",IF(COUNTIFS($EG$5:$EG$1003,$EG852,$EB$5:$EB$1003,"Ready")&gt;0,"READY",IF(COUNTIFS($EG$5:$EG$1003,$EG852,$EB$5:$EB$1003,"PM")&gt;0,"PM",IF(COUNTIFS($EG$5:$EG$1003,$EG852,$EB$5:$EB$1003,"OT")&gt;0,"OT",""))))</f>
        <v/>
      </c>
      <c r="EQ852">
        <f>IF($EN852=0,"",UPPER(TRIM(INDEX(LINES_STATUS,$EN852)&amp;"")))</f>
        <v/>
      </c>
      <c r="ER852">
        <f>IF($DM852=0,"",IF(OR($EQ852="READY",$EQ852="PM",$EQ852="OT"),$EQ852,$EP852))</f>
        <v/>
      </c>
      <c r="ES852">
        <f>IF($DM852=0,"",IF(AND($DV852&lt;&gt;"",UPPER($DV852)&lt;&gt;"N"),"allergen",IF(ISNUMBER(SEARCH("oil",$DQ852)),"oil",IF(OR(EXACT($DS852,"A662"),EXACT($DS852,"A624")),"bulk",""))))</f>
        <v/>
      </c>
      <c r="ET852">
        <f>IF($DM852=0,"",IF(OR($EA852="",$EA852=0),"",$EA852/100))</f>
        <v/>
      </c>
      <c r="EU852">
        <f>IF(OR($ET852="",$DY852=""),"",INT($DY852*(1-$ET852)+0.5))</f>
        <v/>
      </c>
    </row>
    <row r="853">
      <c r="DA853" t="n">
        <v>849</v>
      </c>
      <c r="DB853">
        <f>IF($B$37=0,"",IFERROR(TRIM(SUBSTITUTE(SUBSTITUTE(SUBSTITUTE(SUBSTITUTE(INDEX(PASTE_ALL,849,$B$37)," "," "),CHAR(9)," "),CHAR(10)," "),CHAR(13)," ")),""))</f>
        <v/>
      </c>
      <c r="DC853">
        <f>IF(AND(849&gt;HEADER_ROW,UPPER(DB853)="LEGEND"),1,0)</f>
        <v/>
      </c>
      <c r="DE853" t="n">
        <v>849</v>
      </c>
      <c r="DF853">
        <f>HEADER_ROW+$DE853</f>
        <v/>
      </c>
      <c r="DG853">
        <f>IF(AND($DF853&lt;=1000,$DF853&lt;$B$8),1,0)</f>
        <v/>
      </c>
      <c r="DH853">
        <f>IF($DG853=1,IFERROR(INDEX($DB$5:$DB$1004,$DF853),""),"")</f>
        <v/>
      </c>
      <c r="DI853">
        <f>IF(AND($DG853=1,$DH853&lt;&gt;""),IFERROR(SUBSTITUTE(SUBSTITUTE(TRIM(SUBSTITUTE(SUBSTITUTE(SUBSTITUTE(SUBSTITUTE(IFERROR(INDEX(PASTE_ALL,$DF853,1)&amp;"","")&amp;"␟"&amp;IFERROR(INDEX(PASTE_ALL,$DF853,2)&amp;"","")&amp;"␟"&amp;IFERROR(INDEX(PASTE_ALL,$DF853,3)&amp;"","")&amp;"␟"&amp;IFERROR(INDEX(PASTE_ALL,$DF853,4)&amp;"","")&amp;"␟"&amp;IFERROR(INDEX(PASTE_ALL,$DF853,5)&amp;"","")&amp;"␟"&amp;IFERROR(INDEX(PASTE_ALL,$DF853,6)&amp;"","")&amp;"␟"&amp;IFERROR(INDEX(PASTE_ALL,$DF853,7)&amp;"","")&amp;"␟"&amp;IFERROR(INDEX(PASTE_ALL,$DF853,8)&amp;"","")&amp;"␟"&amp;IFERROR(INDEX(PASTE_ALL,$DF853,9)&amp;"","")&amp;"␟"&amp;IFERROR(INDEX(PASTE_ALL,$DF853,10)&amp;"","")&amp;"␟"&amp;IFERROR(INDEX(PASTE_ALL,$DF853,11)&amp;"","")&amp;"␟"&amp;IFERROR(INDEX(PASTE_ALL,$DF853,12)&amp;"","")&amp;"␟"&amp;IFERROR(INDEX(PASTE_ALL,$DF853,13)&amp;"","")&amp;"␟"&amp;IFERROR(INDEX(PASTE_ALL,$DF853,14)&amp;"","")&amp;"␟"&amp;IFERROR(INDEX(PASTE_ALL,$DF853,15)&amp;"","")&amp;"␟"&amp;IFERROR(INDEX(PASTE_ALL,$DF853,16)&amp;"","")&amp;"␟"&amp;IFERROR(INDEX(PASTE_ALL,$DF853,17)&amp;"","")&amp;"␟"&amp;IFERROR(INDEX(PASTE_ALL,$DF853,18)&amp;"","")&amp;"␟"&amp;IFERROR(INDEX(PASTE_ALL,$DF853,19)&amp;"","")&amp;"␟"&amp;IFERROR(INDEX(PASTE_ALL,$DF853,20)&amp;"","")&amp;"␟"&amp;IFERROR(INDEX(PASTE_ALL,$DF853,21)&amp;"","")&amp;"␟"&amp;IFERROR(INDEX(PASTE_ALL,$DF853,22)&amp;"","")&amp;"␟"&amp;IFERROR(INDEX(PASTE_ALL,$DF853,23)&amp;"","")&amp;"␟"&amp;IFERROR(INDEX(PASTE_ALL,$DF853,24)&amp;"","")&amp;"␟"&amp;IFERROR(INDEX(PASTE_ALL,$DF853,25)&amp;"","")&amp;"␟"&amp;IFERROR(INDEX(PASTE_ALL,$DF853,26)&amp;"","")&amp;"␟"&amp;IFERROR(INDEX(PASTE_ALL,$DF853,27)&amp;"","")&amp;"␟"&amp;IFERROR(INDEX(PASTE_ALL,$DF853,28)&amp;"","")&amp;"␟"&amp;IFERROR(INDEX(PASTE_ALL,$DF853,29)&amp;"","")&amp;"␟"&amp;IFERROR(INDEX(PASTE_ALL,$DF853,30)&amp;"","")&amp;"␟"&amp;IFERROR(INDEX(PASTE_ALL,$DF853,31)&amp;"","")&amp;"␟"&amp;IFERROR(INDEX(PASTE_ALL,$DF853,32)&amp;"","")&amp;"␟"&amp;IFERROR(INDEX(PASTE_ALL,$DF853,33)&amp;"","")&amp;"␟"&amp;IFERROR(INDEX(PASTE_ALL,$DF853,34)&amp;"","")&amp;"␟"&amp;IFERROR(INDEX(PASTE_ALL,$DF853,35)&amp;"","")&amp;"␟"&amp;IFERROR(INDEX(PASTE_ALL,$DF853,36)&amp;"","")&amp;"␟"&amp;IFERROR(INDEX(PASTE_ALL,$DF853,37)&amp;"","")&amp;"␟"&amp;IFERROR(INDEX(PASTE_ALL,$DF853,38)&amp;"","")&amp;"␟"&amp;IFERROR(INDEX(PASTE_ALL,$DF853,39)&amp;"","")&amp;"␟"&amp;IFERROR(INDEX(PASTE_ALL,$DF853,40)&amp;"","")&amp;"␟"&amp;IFERROR(INDEX(PASTE_ALL,$DF853,41)&amp;"","")&amp;"␟"&amp;IFERROR(INDEX(PASTE_ALL,$DF853,42)&amp;"","")&amp;"␟"&amp;IFERROR(INDEX(PASTE_ALL,$DF853,43)&amp;"","")&amp;"␟"&amp;IFERROR(INDEX(PASTE_ALL,$DF853,44)&amp;"","")&amp;"␟"&amp;IFERROR(INDEX(PASTE_ALL,$DF853,45)&amp;"","")&amp;"␟"&amp;IFERROR(INDEX(PASTE_ALL,$DF853,46)&amp;"","")&amp;"␟"&amp;IFERROR(INDEX(PASTE_ALL,$DF853,47)&amp;"","")&amp;"␟"&amp;IFERROR(INDEX(PASTE_ALL,$DF853,48)&amp;"","")&amp;"␟"&amp;IFERROR(INDEX(PASTE_ALL,$DF853,49)&amp;"","")&amp;"␟"&amp;IFERROR(INDEX(PASTE_ALL,$DF853,50)&amp;"","")&amp;"␟"&amp;IFERROR(INDEX(PASTE_ALL,$DF853,51)&amp;"","")&amp;"␟"&amp;IFERROR(INDEX(PASTE_ALL,$DF853,52)&amp;"","")&amp;"␟"&amp;IFERROR(INDEX(PASTE_ALL,$DF853,53)&amp;"","")&amp;"␟"&amp;IFERROR(INDEX(PASTE_ALL,$DF853,54)&amp;"","")&amp;"␟"&amp;IFERROR(INDEX(PASTE_ALL,$DF853,55)&amp;"","")&amp;"␟"&amp;IFERROR(INDEX(PASTE_ALL,$DF853,56)&amp;"","")&amp;"␟"&amp;IFERROR(INDEX(PASTE_ALL,$DF853,57)&amp;"","")&amp;"␟"&amp;IFERROR(INDEX(PASTE_ALL,$DF853,58)&amp;"","")&amp;"␟"&amp;IFERROR(INDEX(PASTE_ALL,$DF853,59)&amp;"","")&amp;"␟"&amp;IFERROR(INDEX(PASTE_ALL,$DF853,60)&amp;"","")," "," "),CHAR(9)," "),CHAR(10)," "),CHAR(13)," "))," ␟","␟"),"␟ ","␟"),"#"&amp;$DE853),"")</f>
        <v/>
      </c>
      <c r="DJ853">
        <f>IF($DI853="",0,IF(SUMPRODUCT(--EXACT($DI$4:DI852,$DI853))&gt;0,1,0))</f>
        <v/>
      </c>
      <c r="DK853">
        <f>IF(AND($DI853&lt;&gt;"",$DJ853=0),1,0)</f>
        <v/>
      </c>
      <c r="DL853">
        <f>DL852+$DK853</f>
        <v/>
      </c>
      <c r="DM853">
        <f>IF(AND($DK853=1,$DL853&lt;=600),1,0)</f>
        <v/>
      </c>
      <c r="DN853">
        <f>IF($DM853=0,"",IF($L$6=0,"",IFERROR(IF(ISNUMBER(INDEX(PASTE_ALL,$DF853,$L$6)),INDEX(PASTE_ALL,$DF853,$L$6),TRIM(SUBSTITUTE(SUBSTITUTE(SUBSTITUTE(SUBSTITUTE(INDEX(PASTE_ALL,$DF853,$L$6)," "," "),CHAR(9)," "),CHAR(10)," "),CHAR(13)," "))),"")))</f>
        <v/>
      </c>
      <c r="DO853">
        <f>IF($DM853=0,"",IF($L$7=0,"",IFERROR(IF(ISNUMBER(INDEX(PASTE_ALL,$DF853,$L$7)),INDEX(PASTE_ALL,$DF853,$L$7),TRIM(SUBSTITUTE(SUBSTITUTE(SUBSTITUTE(SUBSTITUTE(INDEX(PASTE_ALL,$DF853,$L$7)," "," "),CHAR(9)," "),CHAR(10)," "),CHAR(13)," "))),"")))</f>
        <v/>
      </c>
      <c r="DP853">
        <f>IF($DM853=0,"",IF($L$8=0,"",IFERROR(IF(ISNUMBER(INDEX(PASTE_ALL,$DF853,$L$8)),INDEX(PASTE_ALL,$DF853,$L$8),TRIM(SUBSTITUTE(SUBSTITUTE(SUBSTITUTE(SUBSTITUTE(INDEX(PASTE_ALL,$DF853,$L$8)," "," "),CHAR(9)," "),CHAR(10)," "),CHAR(13)," "))),"")))</f>
        <v/>
      </c>
      <c r="DQ853">
        <f>IF($DM853=0,"",IF($L$9=0,"",IFERROR(IF(ISNUMBER(INDEX(PASTE_ALL,$DF853,$L$9)),INDEX(PASTE_ALL,$DF853,$L$9),TRIM(SUBSTITUTE(SUBSTITUTE(SUBSTITUTE(SUBSTITUTE(INDEX(PASTE_ALL,$DF853,$L$9)," "," "),CHAR(9)," "),CHAR(10)," "),CHAR(13)," "))),"")))</f>
        <v/>
      </c>
      <c r="DR853">
        <f>IF($DM853=0,"",IF($L$10=0,"",IFERROR(IF(ISNUMBER(INDEX(PASTE_ALL,$DF853,$L$10)),INDEX(PASTE_ALL,$DF853,$L$10),TRIM(SUBSTITUTE(SUBSTITUTE(SUBSTITUTE(SUBSTITUTE(INDEX(PASTE_ALL,$DF853,$L$10)," "," "),CHAR(9)," "),CHAR(10)," "),CHAR(13)," "))),"")))</f>
        <v/>
      </c>
      <c r="DS853">
        <f>IF($DM853=0,"",IF($L$11=0,"",IFERROR(IF(ISNUMBER(INDEX(PASTE_ALL,$DF853,$L$11)),INDEX(PASTE_ALL,$DF853,$L$11),TRIM(SUBSTITUTE(SUBSTITUTE(SUBSTITUTE(SUBSTITUTE(INDEX(PASTE_ALL,$DF853,$L$11)," "," "),CHAR(9)," "),CHAR(10)," "),CHAR(13)," "))),"")))</f>
        <v/>
      </c>
      <c r="DT853">
        <f>IF($DM853=0,"",IF($L$12=0,"",IFERROR(IF(ISNUMBER(INDEX(PASTE_ALL,$DF853,$L$12)),INDEX(PASTE_ALL,$DF853,$L$12),TRIM(SUBSTITUTE(SUBSTITUTE(SUBSTITUTE(SUBSTITUTE(INDEX(PASTE_ALL,$DF853,$L$12)," "," "),CHAR(9)," "),CHAR(10)," "),CHAR(13)," "))),"")))</f>
        <v/>
      </c>
      <c r="DU853">
        <f>IF($DM853=0,"",IF($L$13=0,"",IFERROR(IF(ISNUMBER(INDEX(PASTE_ALL,$DF853,$L$13)),INDEX(PASTE_ALL,$DF853,$L$13),TRIM(SUBSTITUTE(SUBSTITUTE(SUBSTITUTE(SUBSTITUTE(INDEX(PASTE_ALL,$DF853,$L$13)," "," "),CHAR(9)," "),CHAR(10)," "),CHAR(13)," "))),"")))</f>
        <v/>
      </c>
      <c r="DV853">
        <f>IF($DM853=0,"",IF($L$14=0,"",IFERROR(IF(ISNUMBER(INDEX(PASTE_ALL,$DF853,$L$14)),INDEX(PASTE_ALL,$DF853,$L$14),TRIM(SUBSTITUTE(SUBSTITUTE(SUBSTITUTE(SUBSTITUTE(INDEX(PASTE_ALL,$DF853,$L$14)," "," "),CHAR(9)," "),CHAR(10)," "),CHAR(13)," "))),"")))</f>
        <v/>
      </c>
      <c r="DW853">
        <f>IF($DM853=0,"",IF($L$15=0,"",IFERROR(IF(ISNUMBER(INDEX(PASTE_ALL,$DF853,$L$15)),INDEX(PASTE_ALL,$DF853,$L$15),IF(SUMPRODUCT(--ISNUMBER(FIND({"A","B","C","D","E","F","G","H","I","J","K","L","M","N","O","P","Q","R","S","T","U","V","W","X","Y","Z","0","1","2","3","4","5","6","7","8","9"},UPPER(TRIM(SUBSTITUTE(SUBSTITUTE(SUBSTITUTE(SUBSTITUTE(INDEX(PASTE_ALL,$DF853,$L$15)," "," "),CHAR(9)," "),CHAR(10)," "),CHAR(13)," "))))))&gt;0,TRIM(SUBSTITUTE(SUBSTITUTE(SUBSTITUTE(SUBSTITUTE(INDEX(PASTE_ALL,$DF853,$L$15)," "," "),CHAR(9)," "),CHAR(10)," "),CHAR(13)," ")),"")),"")))</f>
        <v/>
      </c>
      <c r="DX853">
        <f>IF($DM853=0,"",IF($L$16=0,"",IFERROR(IF(ISNUMBER(INDEX(PASTE_ALL,$DF853,$L$16)),INDEX(PASTE_ALL,$DF853,$L$16),SUBSTITUTE(SUBSTITUTE(TRIM(SUBSTITUTE(SUBSTITUTE(SUBSTITUTE(SUBSTITUTE(INDEX(PASTE_ALL,$DF853,$L$16)," "," "),CHAR(9)," "),CHAR(10)," "),CHAR(13)," ")),",",""),"%","")),"")))</f>
        <v/>
      </c>
      <c r="DY853">
        <f>IF($DM853=0,"",IFERROR(IF(ISNUMBER($DX853),$DX853,IF($DX853="","",IF(TRIM($DX853)="",0,IF(AND(AND(SUBSTITUTE(SUBSTITUTE(SUBSTITUTE(SUBSTITUTE(SUBSTITUTE(SUBSTITUTE(SUBSTITUTE(SUBSTITUTE(SUBSTITUTE(SUBSTITUTE(SUBSTITUTE(SUBSTITUTE(SUBSTITUTE(SUBSTITUTE(UPPER(TRIM($DX853)),"0",""),"1",""),"2",""),"3",""),"4",""),"5",""),"6",""),"7",""),"8",""),"9",""),".",""),"+",""),"-",""),"E","")="",LEN(SUBSTITUTE(SUBSTITUTE(MID(UPPER(TRIM($DX853)),1+OR(LEFT(UPPER(TRIM($DX853)),1)="+",LEFT(UPPER(TRIM($DX853)),1)="-"),999),"E+","E"),"E-","E"))=LEN(SUBSTITUTE(SUBSTITUTE(SUBSTITUTE(SUBSTITUTE(MID(UPPER(TRIM($DX853)),1+OR(LEFT(UPPER(TRIM($DX853)),1)="+",LEFT(UPPER(TRIM($DX853)),1)="-"),999),"E+","E"),"E-","E"),"+",""),"-","")),LEN(UPPER(TRIM($DX853)))-LEN(SUBSTITUTE(UPPER(TRIM($DX853)),"E",""))&lt;2,LEN(UPPER(TRIM($DX853)))-LEN(SUBSTITUTE(UPPER(TRIM($DX853)),".",""))&lt;2,IFERROR(FIND(".",UPPER(TRIM($DX853))),0)&lt;IFERROR(FIND("E",UPPER(TRIM($DX853))),999)),ISNUMBER(VALUE(TRIM($DX853)))),VALUE(TRIM($DX853)),"")))),""))</f>
        <v/>
      </c>
      <c r="DZ853">
        <f>IF($DM853=0,"",IF($L$17=0,"",IFERROR(IF(ISNUMBER(INDEX(PASTE_ALL,$DF853,$L$17)),INDEX(PASTE_ALL,$DF853,$L$17),SUBSTITUTE(SUBSTITUTE(TRIM(SUBSTITUTE(SUBSTITUTE(SUBSTITUTE(SUBSTITUTE(INDEX(PASTE_ALL,$DF853,$L$17)," "," "),CHAR(9)," "),CHAR(10)," "),CHAR(13)," ")),",",""),"%","")),"")))</f>
        <v/>
      </c>
      <c r="EA853">
        <f>IF($DM853=0,"",IFERROR(IF(ISNUMBER($DZ853),$DZ853,IF($DZ853="","",IF(TRIM($DZ853)="",0,IF(AND(AND(SUBSTITUTE(SUBSTITUTE(SUBSTITUTE(SUBSTITUTE(SUBSTITUTE(SUBSTITUTE(SUBSTITUTE(SUBSTITUTE(SUBSTITUTE(SUBSTITUTE(SUBSTITUTE(SUBSTITUTE(SUBSTITUTE(SUBSTITUTE(UPPER(TRIM($DZ853)),"0",""),"1",""),"2",""),"3",""),"4",""),"5",""),"6",""),"7",""),"8",""),"9",""),".",""),"+",""),"-",""),"E","")="",LEN(SUBSTITUTE(SUBSTITUTE(MID(UPPER(TRIM($DZ853)),1+OR(LEFT(UPPER(TRIM($DZ853)),1)="+",LEFT(UPPER(TRIM($DZ853)),1)="-"),999),"E+","E"),"E-","E"))=LEN(SUBSTITUTE(SUBSTITUTE(SUBSTITUTE(SUBSTITUTE(MID(UPPER(TRIM($DZ853)),1+OR(LEFT(UPPER(TRIM($DZ853)),1)="+",LEFT(UPPER(TRIM($DZ853)),1)="-"),999),"E+","E"),"E-","E"),"+",""),"-","")),LEN(UPPER(TRIM($DZ853)))-LEN(SUBSTITUTE(UPPER(TRIM($DZ853)),"E",""))&lt;2,LEN(UPPER(TRIM($DZ853)))-LEN(SUBSTITUTE(UPPER(TRIM($DZ853)),".",""))&lt;2,IFERROR(FIND(".",UPPER(TRIM($DZ853))),0)&lt;IFERROR(FIND("E",UPPER(TRIM($DZ853))),999)),ISNUMBER(VALUE(TRIM($DZ853)))),VALUE(TRIM($DZ853)),"")))),""))</f>
        <v/>
      </c>
      <c r="EB853">
        <f>IF($DM853=0,"",IF($L$18=0,"",IFERROR(IF(UPPER(TRIM(SUBSTITUTE(SUBSTITUTE(SUBSTITUTE(SUBSTITUTE(INDEX(PASTE_ALL,$DF853,$L$18)," "," "),CHAR(9)," "),CHAR(10)," "),CHAR(13)," ")))="READY","Ready",IF(UPPER(TRIM(SUBSTITUTE(SUBSTITUTE(SUBSTITUTE(SUBSTITUTE(INDEX(PASTE_ALL,$DF853,$L$18)," "," "),CHAR(9)," "),CHAR(10)," "),CHAR(13)," ")))="PM","PM",IF(OR(UPPER(TRIM(SUBSTITUTE(SUBSTITUTE(SUBSTITUTE(SUBSTITUTE(INDEX(PASTE_ALL,$DF853,$L$18)," "," "),CHAR(9)," "),CHAR(10)," "),CHAR(13)," ")))="OT",UPPER(TRIM(SUBSTITUTE(SUBSTITUTE(SUBSTITUTE(SUBSTITUTE(INDEX(PASTE_ALL,$DF853,$L$18)," "," "),CHAR(9)," "),CHAR(10)," "),CHAR(13)," ")))="OVERTIME",UPPER(TRIM(SUBSTITUTE(SUBSTITUTE(SUBSTITUTE(SUBSTITUTE(INDEX(PASTE_ALL,$DF853,$L$18)," "," "),CHAR(9)," "),CHAR(10)," "),CHAR(13)," ")))="TRIAL"),"OT",TRIM(SUBSTITUTE(SUBSTITUTE(SUBSTITUTE(SUBSTITUTE(INDEX(PASTE_ALL,$DF853,$L$18)," "," "),CHAR(9)," "),CHAR(10)," "),CHAR(13)," "))))),"")))</f>
        <v/>
      </c>
      <c r="EC853">
        <f>IF($DM853=0,"",IF($L$19=0,"",IFERROR(IF(ISNUMBER(INDEX(PASTE_ALL,$DF853,$L$19)),INDEX(PASTE_ALL,$DF853,$L$19),TRIM(SUBSTITUTE(SUBSTITUTE(SUBSTITUTE(SUBSTITUTE(INDEX(PASTE_ALL,$DF853,$L$19)," "," "),CHAR(9)," "),CHAR(10)," "),CHAR(13)," "))),"")))</f>
        <v/>
      </c>
      <c r="ED853">
        <f>IF($DM853=0,"",MATCH(1,INDEX(EXACT($DH$5:DH853,$DH853)*$DM$5:DM853,0),0))</f>
        <v/>
      </c>
      <c r="EE853">
        <f>IF($DM853=0,0,IF($ED853=$DE853,1,0))</f>
        <v/>
      </c>
      <c r="EF853">
        <f>EF852+$EE853</f>
        <v/>
      </c>
      <c r="EG853">
        <f>IF($DM853=0,"",INDEX($EF$5:$EF$1003,$ED853))</f>
        <v/>
      </c>
      <c r="EH853">
        <f>IF($DM853=0,"",IF($DO853&lt;&gt;"","",IFERROR(LOOKUP(2,1/(($EG$4:EG852=$EG853)*($DO$4:DO852&lt;&gt;"")),$DO$4:DO852),"")))</f>
        <v/>
      </c>
      <c r="EI853">
        <f>IF($DM853=0,"",IF($DO853&lt;&gt;"",$DO853,$EH853))</f>
        <v/>
      </c>
      <c r="EJ853">
        <f>IF($DM853=0,"",IF($EI853="",0,IF(OR(ISNUMBER($EI853),AND(AND(SUBSTITUTE(SUBSTITUTE(SUBSTITUTE(SUBSTITUTE(SUBSTITUTE(SUBSTITUTE(SUBSTITUTE(SUBSTITUTE(SUBSTITUTE(SUBSTITUTE(SUBSTITUTE(SUBSTITUTE(SUBSTITUTE(SUBSTITUTE(UPPER($EI853),"0",""),"1",""),"2",""),"3",""),"4",""),"5",""),"6",""),"7",""),"8",""),"9",""),".",""),"+",""),"-",""),"E","")="",LEN(SUBSTITUTE(SUBSTITUTE(MID(UPPER($EI853),1+OR(LEFT(UPPER($EI853),1)="+",LEFT(UPPER($EI853),1)="-"),999),"E+","E"),"E-","E"))=LEN(SUBSTITUTE(SUBSTITUTE(SUBSTITUTE(SUBSTITUTE(MID(UPPER($EI853),1+OR(LEFT(UPPER($EI853),1)="+",LEFT(UPPER($EI853),1)="-"),999),"E+","E"),"E-","E"),"+",""),"-","")),LEN(UPPER($EI853))-LEN(SUBSTITUTE(UPPER($EI853),"E",""))&lt;2,LEN(UPPER($EI853))-LEN(SUBSTITUTE(UPPER($EI853),".",""))&lt;2,IFERROR(FIND(".",UPPER($EI853)),0)&lt;IFERROR(FIND("E",UPPER($EI853)),999)),ISNUMBER(VALUE($EI853)))),1,2)))</f>
        <v/>
      </c>
      <c r="EK853">
        <f>IF($DM853=0,"",IF($EJ853=1,IF(ISNUMBER($EI853),$EI853,VALUE($EI853)),IF($EJ853=2,$DE853,0)))</f>
        <v/>
      </c>
      <c r="EL853">
        <f>IF($DM853=0,"",COUNTIF($EG$5:$EG$1003,"&lt;"&amp;$EG853)+SUMPRODUCT(($EG$5:$EG$1003=$EG853)*(($EJ$5:$EJ$1003&lt;$EJ853)+($EJ$5:$EJ$1003=$EJ853)*(($EK$5:$EK$1003&lt;$EK853)+($EK$5:$EK$1003=$EK853)*($DE$5:$DE$1003&lt;$DE853))))+1)</f>
        <v/>
      </c>
      <c r="EM853">
        <f>IF($DM853=0,"",$EL853+$EG853-1)</f>
        <v/>
      </c>
      <c r="EN853">
        <f>IF($DM853=0,0,IFERROR(MATCH(1,INDEX(--(TRIM(SUBSTITUTE(SUBSTITUTE(SUBSTITUTE(SUBSTITUTE(LINES_NAME&amp;""," "," "),CHAR(9)," "),CHAR(10)," "),CHAR(13)," "))=$DH853),0),0),0))</f>
        <v/>
      </c>
      <c r="EO853">
        <f>IF($EN853=0,0,IF(OR(UPPER(TRIM(INDEX(LINES_SCHEDULED,$EN853)&amp;""))="YES",UPPER(TRIM(INDEX(LINES_SCHEDULED,$EN853)&amp;""))="Y",UPPER(TRIM(INDEX(LINES_SCHEDULED,$EN853)&amp;""))="X"),1,0))</f>
        <v/>
      </c>
      <c r="EP853">
        <f>IF($DM853=0,"",IF(COUNTIFS($EG$5:$EG$1003,$EG853,$EB$5:$EB$1003,"Ready")&gt;0,"READY",IF(COUNTIFS($EG$5:$EG$1003,$EG853,$EB$5:$EB$1003,"PM")&gt;0,"PM",IF(COUNTIFS($EG$5:$EG$1003,$EG853,$EB$5:$EB$1003,"OT")&gt;0,"OT",""))))</f>
        <v/>
      </c>
      <c r="EQ853">
        <f>IF($EN853=0,"",UPPER(TRIM(INDEX(LINES_STATUS,$EN853)&amp;"")))</f>
        <v/>
      </c>
      <c r="ER853">
        <f>IF($DM853=0,"",IF(OR($EQ853="READY",$EQ853="PM",$EQ853="OT"),$EQ853,$EP853))</f>
        <v/>
      </c>
      <c r="ES853">
        <f>IF($DM853=0,"",IF(AND($DV853&lt;&gt;"",UPPER($DV853)&lt;&gt;"N"),"allergen",IF(ISNUMBER(SEARCH("oil",$DQ853)),"oil",IF(OR(EXACT($DS853,"A662"),EXACT($DS853,"A624")),"bulk",""))))</f>
        <v/>
      </c>
      <c r="ET853">
        <f>IF($DM853=0,"",IF(OR($EA853="",$EA853=0),"",$EA853/100))</f>
        <v/>
      </c>
      <c r="EU853">
        <f>IF(OR($ET853="",$DY853=""),"",INT($DY853*(1-$ET853)+0.5))</f>
        <v/>
      </c>
    </row>
    <row r="854">
      <c r="DA854" t="n">
        <v>850</v>
      </c>
      <c r="DB854">
        <f>IF($B$37=0,"",IFERROR(TRIM(SUBSTITUTE(SUBSTITUTE(SUBSTITUTE(SUBSTITUTE(INDEX(PASTE_ALL,850,$B$37)," "," "),CHAR(9)," "),CHAR(10)," "),CHAR(13)," ")),""))</f>
        <v/>
      </c>
      <c r="DC854">
        <f>IF(AND(850&gt;HEADER_ROW,UPPER(DB854)="LEGEND"),1,0)</f>
        <v/>
      </c>
      <c r="DE854" t="n">
        <v>850</v>
      </c>
      <c r="DF854">
        <f>HEADER_ROW+$DE854</f>
        <v/>
      </c>
      <c r="DG854">
        <f>IF(AND($DF854&lt;=1000,$DF854&lt;$B$8),1,0)</f>
        <v/>
      </c>
      <c r="DH854">
        <f>IF($DG854=1,IFERROR(INDEX($DB$5:$DB$1004,$DF854),""),"")</f>
        <v/>
      </c>
      <c r="DI854">
        <f>IF(AND($DG854=1,$DH854&lt;&gt;""),IFERROR(SUBSTITUTE(SUBSTITUTE(TRIM(SUBSTITUTE(SUBSTITUTE(SUBSTITUTE(SUBSTITUTE(IFERROR(INDEX(PASTE_ALL,$DF854,1)&amp;"","")&amp;"␟"&amp;IFERROR(INDEX(PASTE_ALL,$DF854,2)&amp;"","")&amp;"␟"&amp;IFERROR(INDEX(PASTE_ALL,$DF854,3)&amp;"","")&amp;"␟"&amp;IFERROR(INDEX(PASTE_ALL,$DF854,4)&amp;"","")&amp;"␟"&amp;IFERROR(INDEX(PASTE_ALL,$DF854,5)&amp;"","")&amp;"␟"&amp;IFERROR(INDEX(PASTE_ALL,$DF854,6)&amp;"","")&amp;"␟"&amp;IFERROR(INDEX(PASTE_ALL,$DF854,7)&amp;"","")&amp;"␟"&amp;IFERROR(INDEX(PASTE_ALL,$DF854,8)&amp;"","")&amp;"␟"&amp;IFERROR(INDEX(PASTE_ALL,$DF854,9)&amp;"","")&amp;"␟"&amp;IFERROR(INDEX(PASTE_ALL,$DF854,10)&amp;"","")&amp;"␟"&amp;IFERROR(INDEX(PASTE_ALL,$DF854,11)&amp;"","")&amp;"␟"&amp;IFERROR(INDEX(PASTE_ALL,$DF854,12)&amp;"","")&amp;"␟"&amp;IFERROR(INDEX(PASTE_ALL,$DF854,13)&amp;"","")&amp;"␟"&amp;IFERROR(INDEX(PASTE_ALL,$DF854,14)&amp;"","")&amp;"␟"&amp;IFERROR(INDEX(PASTE_ALL,$DF854,15)&amp;"","")&amp;"␟"&amp;IFERROR(INDEX(PASTE_ALL,$DF854,16)&amp;"","")&amp;"␟"&amp;IFERROR(INDEX(PASTE_ALL,$DF854,17)&amp;"","")&amp;"␟"&amp;IFERROR(INDEX(PASTE_ALL,$DF854,18)&amp;"","")&amp;"␟"&amp;IFERROR(INDEX(PASTE_ALL,$DF854,19)&amp;"","")&amp;"␟"&amp;IFERROR(INDEX(PASTE_ALL,$DF854,20)&amp;"","")&amp;"␟"&amp;IFERROR(INDEX(PASTE_ALL,$DF854,21)&amp;"","")&amp;"␟"&amp;IFERROR(INDEX(PASTE_ALL,$DF854,22)&amp;"","")&amp;"␟"&amp;IFERROR(INDEX(PASTE_ALL,$DF854,23)&amp;"","")&amp;"␟"&amp;IFERROR(INDEX(PASTE_ALL,$DF854,24)&amp;"","")&amp;"␟"&amp;IFERROR(INDEX(PASTE_ALL,$DF854,25)&amp;"","")&amp;"␟"&amp;IFERROR(INDEX(PASTE_ALL,$DF854,26)&amp;"","")&amp;"␟"&amp;IFERROR(INDEX(PASTE_ALL,$DF854,27)&amp;"","")&amp;"␟"&amp;IFERROR(INDEX(PASTE_ALL,$DF854,28)&amp;"","")&amp;"␟"&amp;IFERROR(INDEX(PASTE_ALL,$DF854,29)&amp;"","")&amp;"␟"&amp;IFERROR(INDEX(PASTE_ALL,$DF854,30)&amp;"","")&amp;"␟"&amp;IFERROR(INDEX(PASTE_ALL,$DF854,31)&amp;"","")&amp;"␟"&amp;IFERROR(INDEX(PASTE_ALL,$DF854,32)&amp;"","")&amp;"␟"&amp;IFERROR(INDEX(PASTE_ALL,$DF854,33)&amp;"","")&amp;"␟"&amp;IFERROR(INDEX(PASTE_ALL,$DF854,34)&amp;"","")&amp;"␟"&amp;IFERROR(INDEX(PASTE_ALL,$DF854,35)&amp;"","")&amp;"␟"&amp;IFERROR(INDEX(PASTE_ALL,$DF854,36)&amp;"","")&amp;"␟"&amp;IFERROR(INDEX(PASTE_ALL,$DF854,37)&amp;"","")&amp;"␟"&amp;IFERROR(INDEX(PASTE_ALL,$DF854,38)&amp;"","")&amp;"␟"&amp;IFERROR(INDEX(PASTE_ALL,$DF854,39)&amp;"","")&amp;"␟"&amp;IFERROR(INDEX(PASTE_ALL,$DF854,40)&amp;"","")&amp;"␟"&amp;IFERROR(INDEX(PASTE_ALL,$DF854,41)&amp;"","")&amp;"␟"&amp;IFERROR(INDEX(PASTE_ALL,$DF854,42)&amp;"","")&amp;"␟"&amp;IFERROR(INDEX(PASTE_ALL,$DF854,43)&amp;"","")&amp;"␟"&amp;IFERROR(INDEX(PASTE_ALL,$DF854,44)&amp;"","")&amp;"␟"&amp;IFERROR(INDEX(PASTE_ALL,$DF854,45)&amp;"","")&amp;"␟"&amp;IFERROR(INDEX(PASTE_ALL,$DF854,46)&amp;"","")&amp;"␟"&amp;IFERROR(INDEX(PASTE_ALL,$DF854,47)&amp;"","")&amp;"␟"&amp;IFERROR(INDEX(PASTE_ALL,$DF854,48)&amp;"","")&amp;"␟"&amp;IFERROR(INDEX(PASTE_ALL,$DF854,49)&amp;"","")&amp;"␟"&amp;IFERROR(INDEX(PASTE_ALL,$DF854,50)&amp;"","")&amp;"␟"&amp;IFERROR(INDEX(PASTE_ALL,$DF854,51)&amp;"","")&amp;"␟"&amp;IFERROR(INDEX(PASTE_ALL,$DF854,52)&amp;"","")&amp;"␟"&amp;IFERROR(INDEX(PASTE_ALL,$DF854,53)&amp;"","")&amp;"␟"&amp;IFERROR(INDEX(PASTE_ALL,$DF854,54)&amp;"","")&amp;"␟"&amp;IFERROR(INDEX(PASTE_ALL,$DF854,55)&amp;"","")&amp;"␟"&amp;IFERROR(INDEX(PASTE_ALL,$DF854,56)&amp;"","")&amp;"␟"&amp;IFERROR(INDEX(PASTE_ALL,$DF854,57)&amp;"","")&amp;"␟"&amp;IFERROR(INDEX(PASTE_ALL,$DF854,58)&amp;"","")&amp;"␟"&amp;IFERROR(INDEX(PASTE_ALL,$DF854,59)&amp;"","")&amp;"␟"&amp;IFERROR(INDEX(PASTE_ALL,$DF854,60)&amp;"","")," "," "),CHAR(9)," "),CHAR(10)," "),CHAR(13)," "))," ␟","␟"),"␟ ","␟"),"#"&amp;$DE854),"")</f>
        <v/>
      </c>
      <c r="DJ854">
        <f>IF($DI854="",0,IF(SUMPRODUCT(--EXACT($DI$4:DI853,$DI854))&gt;0,1,0))</f>
        <v/>
      </c>
      <c r="DK854">
        <f>IF(AND($DI854&lt;&gt;"",$DJ854=0),1,0)</f>
        <v/>
      </c>
      <c r="DL854">
        <f>DL853+$DK854</f>
        <v/>
      </c>
      <c r="DM854">
        <f>IF(AND($DK854=1,$DL854&lt;=600),1,0)</f>
        <v/>
      </c>
      <c r="DN854">
        <f>IF($DM854=0,"",IF($L$6=0,"",IFERROR(IF(ISNUMBER(INDEX(PASTE_ALL,$DF854,$L$6)),INDEX(PASTE_ALL,$DF854,$L$6),TRIM(SUBSTITUTE(SUBSTITUTE(SUBSTITUTE(SUBSTITUTE(INDEX(PASTE_ALL,$DF854,$L$6)," "," "),CHAR(9)," "),CHAR(10)," "),CHAR(13)," "))),"")))</f>
        <v/>
      </c>
      <c r="DO854">
        <f>IF($DM854=0,"",IF($L$7=0,"",IFERROR(IF(ISNUMBER(INDEX(PASTE_ALL,$DF854,$L$7)),INDEX(PASTE_ALL,$DF854,$L$7),TRIM(SUBSTITUTE(SUBSTITUTE(SUBSTITUTE(SUBSTITUTE(INDEX(PASTE_ALL,$DF854,$L$7)," "," "),CHAR(9)," "),CHAR(10)," "),CHAR(13)," "))),"")))</f>
        <v/>
      </c>
      <c r="DP854">
        <f>IF($DM854=0,"",IF($L$8=0,"",IFERROR(IF(ISNUMBER(INDEX(PASTE_ALL,$DF854,$L$8)),INDEX(PASTE_ALL,$DF854,$L$8),TRIM(SUBSTITUTE(SUBSTITUTE(SUBSTITUTE(SUBSTITUTE(INDEX(PASTE_ALL,$DF854,$L$8)," "," "),CHAR(9)," "),CHAR(10)," "),CHAR(13)," "))),"")))</f>
        <v/>
      </c>
      <c r="DQ854">
        <f>IF($DM854=0,"",IF($L$9=0,"",IFERROR(IF(ISNUMBER(INDEX(PASTE_ALL,$DF854,$L$9)),INDEX(PASTE_ALL,$DF854,$L$9),TRIM(SUBSTITUTE(SUBSTITUTE(SUBSTITUTE(SUBSTITUTE(INDEX(PASTE_ALL,$DF854,$L$9)," "," "),CHAR(9)," "),CHAR(10)," "),CHAR(13)," "))),"")))</f>
        <v/>
      </c>
      <c r="DR854">
        <f>IF($DM854=0,"",IF($L$10=0,"",IFERROR(IF(ISNUMBER(INDEX(PASTE_ALL,$DF854,$L$10)),INDEX(PASTE_ALL,$DF854,$L$10),TRIM(SUBSTITUTE(SUBSTITUTE(SUBSTITUTE(SUBSTITUTE(INDEX(PASTE_ALL,$DF854,$L$10)," "," "),CHAR(9)," "),CHAR(10)," "),CHAR(13)," "))),"")))</f>
        <v/>
      </c>
      <c r="DS854">
        <f>IF($DM854=0,"",IF($L$11=0,"",IFERROR(IF(ISNUMBER(INDEX(PASTE_ALL,$DF854,$L$11)),INDEX(PASTE_ALL,$DF854,$L$11),TRIM(SUBSTITUTE(SUBSTITUTE(SUBSTITUTE(SUBSTITUTE(INDEX(PASTE_ALL,$DF854,$L$11)," "," "),CHAR(9)," "),CHAR(10)," "),CHAR(13)," "))),"")))</f>
        <v/>
      </c>
      <c r="DT854">
        <f>IF($DM854=0,"",IF($L$12=0,"",IFERROR(IF(ISNUMBER(INDEX(PASTE_ALL,$DF854,$L$12)),INDEX(PASTE_ALL,$DF854,$L$12),TRIM(SUBSTITUTE(SUBSTITUTE(SUBSTITUTE(SUBSTITUTE(INDEX(PASTE_ALL,$DF854,$L$12)," "," "),CHAR(9)," "),CHAR(10)," "),CHAR(13)," "))),"")))</f>
        <v/>
      </c>
      <c r="DU854">
        <f>IF($DM854=0,"",IF($L$13=0,"",IFERROR(IF(ISNUMBER(INDEX(PASTE_ALL,$DF854,$L$13)),INDEX(PASTE_ALL,$DF854,$L$13),TRIM(SUBSTITUTE(SUBSTITUTE(SUBSTITUTE(SUBSTITUTE(INDEX(PASTE_ALL,$DF854,$L$13)," "," "),CHAR(9)," "),CHAR(10)," "),CHAR(13)," "))),"")))</f>
        <v/>
      </c>
      <c r="DV854">
        <f>IF($DM854=0,"",IF($L$14=0,"",IFERROR(IF(ISNUMBER(INDEX(PASTE_ALL,$DF854,$L$14)),INDEX(PASTE_ALL,$DF854,$L$14),TRIM(SUBSTITUTE(SUBSTITUTE(SUBSTITUTE(SUBSTITUTE(INDEX(PASTE_ALL,$DF854,$L$14)," "," "),CHAR(9)," "),CHAR(10)," "),CHAR(13)," "))),"")))</f>
        <v/>
      </c>
      <c r="DW854">
        <f>IF($DM854=0,"",IF($L$15=0,"",IFERROR(IF(ISNUMBER(INDEX(PASTE_ALL,$DF854,$L$15)),INDEX(PASTE_ALL,$DF854,$L$15),IF(SUMPRODUCT(--ISNUMBER(FIND({"A","B","C","D","E","F","G","H","I","J","K","L","M","N","O","P","Q","R","S","T","U","V","W","X","Y","Z","0","1","2","3","4","5","6","7","8","9"},UPPER(TRIM(SUBSTITUTE(SUBSTITUTE(SUBSTITUTE(SUBSTITUTE(INDEX(PASTE_ALL,$DF854,$L$15)," "," "),CHAR(9)," "),CHAR(10)," "),CHAR(13)," "))))))&gt;0,TRIM(SUBSTITUTE(SUBSTITUTE(SUBSTITUTE(SUBSTITUTE(INDEX(PASTE_ALL,$DF854,$L$15)," "," "),CHAR(9)," "),CHAR(10)," "),CHAR(13)," ")),"")),"")))</f>
        <v/>
      </c>
      <c r="DX854">
        <f>IF($DM854=0,"",IF($L$16=0,"",IFERROR(IF(ISNUMBER(INDEX(PASTE_ALL,$DF854,$L$16)),INDEX(PASTE_ALL,$DF854,$L$16),SUBSTITUTE(SUBSTITUTE(TRIM(SUBSTITUTE(SUBSTITUTE(SUBSTITUTE(SUBSTITUTE(INDEX(PASTE_ALL,$DF854,$L$16)," "," "),CHAR(9)," "),CHAR(10)," "),CHAR(13)," ")),",",""),"%","")),"")))</f>
        <v/>
      </c>
      <c r="DY854">
        <f>IF($DM854=0,"",IFERROR(IF(ISNUMBER($DX854),$DX854,IF($DX854="","",IF(TRIM($DX854)="",0,IF(AND(AND(SUBSTITUTE(SUBSTITUTE(SUBSTITUTE(SUBSTITUTE(SUBSTITUTE(SUBSTITUTE(SUBSTITUTE(SUBSTITUTE(SUBSTITUTE(SUBSTITUTE(SUBSTITUTE(SUBSTITUTE(SUBSTITUTE(SUBSTITUTE(UPPER(TRIM($DX854)),"0",""),"1",""),"2",""),"3",""),"4",""),"5",""),"6",""),"7",""),"8",""),"9",""),".",""),"+",""),"-",""),"E","")="",LEN(SUBSTITUTE(SUBSTITUTE(MID(UPPER(TRIM($DX854)),1+OR(LEFT(UPPER(TRIM($DX854)),1)="+",LEFT(UPPER(TRIM($DX854)),1)="-"),999),"E+","E"),"E-","E"))=LEN(SUBSTITUTE(SUBSTITUTE(SUBSTITUTE(SUBSTITUTE(MID(UPPER(TRIM($DX854)),1+OR(LEFT(UPPER(TRIM($DX854)),1)="+",LEFT(UPPER(TRIM($DX854)),1)="-"),999),"E+","E"),"E-","E"),"+",""),"-","")),LEN(UPPER(TRIM($DX854)))-LEN(SUBSTITUTE(UPPER(TRIM($DX854)),"E",""))&lt;2,LEN(UPPER(TRIM($DX854)))-LEN(SUBSTITUTE(UPPER(TRIM($DX854)),".",""))&lt;2,IFERROR(FIND(".",UPPER(TRIM($DX854))),0)&lt;IFERROR(FIND("E",UPPER(TRIM($DX854))),999)),ISNUMBER(VALUE(TRIM($DX854)))),VALUE(TRIM($DX854)),"")))),""))</f>
        <v/>
      </c>
      <c r="DZ854">
        <f>IF($DM854=0,"",IF($L$17=0,"",IFERROR(IF(ISNUMBER(INDEX(PASTE_ALL,$DF854,$L$17)),INDEX(PASTE_ALL,$DF854,$L$17),SUBSTITUTE(SUBSTITUTE(TRIM(SUBSTITUTE(SUBSTITUTE(SUBSTITUTE(SUBSTITUTE(INDEX(PASTE_ALL,$DF854,$L$17)," "," "),CHAR(9)," "),CHAR(10)," "),CHAR(13)," ")),",",""),"%","")),"")))</f>
        <v/>
      </c>
      <c r="EA854">
        <f>IF($DM854=0,"",IFERROR(IF(ISNUMBER($DZ854),$DZ854,IF($DZ854="","",IF(TRIM($DZ854)="",0,IF(AND(AND(SUBSTITUTE(SUBSTITUTE(SUBSTITUTE(SUBSTITUTE(SUBSTITUTE(SUBSTITUTE(SUBSTITUTE(SUBSTITUTE(SUBSTITUTE(SUBSTITUTE(SUBSTITUTE(SUBSTITUTE(SUBSTITUTE(SUBSTITUTE(UPPER(TRIM($DZ854)),"0",""),"1",""),"2",""),"3",""),"4",""),"5",""),"6",""),"7",""),"8",""),"9",""),".",""),"+",""),"-",""),"E","")="",LEN(SUBSTITUTE(SUBSTITUTE(MID(UPPER(TRIM($DZ854)),1+OR(LEFT(UPPER(TRIM($DZ854)),1)="+",LEFT(UPPER(TRIM($DZ854)),1)="-"),999),"E+","E"),"E-","E"))=LEN(SUBSTITUTE(SUBSTITUTE(SUBSTITUTE(SUBSTITUTE(MID(UPPER(TRIM($DZ854)),1+OR(LEFT(UPPER(TRIM($DZ854)),1)="+",LEFT(UPPER(TRIM($DZ854)),1)="-"),999),"E+","E"),"E-","E"),"+",""),"-","")),LEN(UPPER(TRIM($DZ854)))-LEN(SUBSTITUTE(UPPER(TRIM($DZ854)),"E",""))&lt;2,LEN(UPPER(TRIM($DZ854)))-LEN(SUBSTITUTE(UPPER(TRIM($DZ854)),".",""))&lt;2,IFERROR(FIND(".",UPPER(TRIM($DZ854))),0)&lt;IFERROR(FIND("E",UPPER(TRIM($DZ854))),999)),ISNUMBER(VALUE(TRIM($DZ854)))),VALUE(TRIM($DZ854)),"")))),""))</f>
        <v/>
      </c>
      <c r="EB854">
        <f>IF($DM854=0,"",IF($L$18=0,"",IFERROR(IF(UPPER(TRIM(SUBSTITUTE(SUBSTITUTE(SUBSTITUTE(SUBSTITUTE(INDEX(PASTE_ALL,$DF854,$L$18)," "," "),CHAR(9)," "),CHAR(10)," "),CHAR(13)," ")))="READY","Ready",IF(UPPER(TRIM(SUBSTITUTE(SUBSTITUTE(SUBSTITUTE(SUBSTITUTE(INDEX(PASTE_ALL,$DF854,$L$18)," "," "),CHAR(9)," "),CHAR(10)," "),CHAR(13)," ")))="PM","PM",IF(OR(UPPER(TRIM(SUBSTITUTE(SUBSTITUTE(SUBSTITUTE(SUBSTITUTE(INDEX(PASTE_ALL,$DF854,$L$18)," "," "),CHAR(9)," "),CHAR(10)," "),CHAR(13)," ")))="OT",UPPER(TRIM(SUBSTITUTE(SUBSTITUTE(SUBSTITUTE(SUBSTITUTE(INDEX(PASTE_ALL,$DF854,$L$18)," "," "),CHAR(9)," "),CHAR(10)," "),CHAR(13)," ")))="OVERTIME",UPPER(TRIM(SUBSTITUTE(SUBSTITUTE(SUBSTITUTE(SUBSTITUTE(INDEX(PASTE_ALL,$DF854,$L$18)," "," "),CHAR(9)," "),CHAR(10)," "),CHAR(13)," ")))="TRIAL"),"OT",TRIM(SUBSTITUTE(SUBSTITUTE(SUBSTITUTE(SUBSTITUTE(INDEX(PASTE_ALL,$DF854,$L$18)," "," "),CHAR(9)," "),CHAR(10)," "),CHAR(13)," "))))),"")))</f>
        <v/>
      </c>
      <c r="EC854">
        <f>IF($DM854=0,"",IF($L$19=0,"",IFERROR(IF(ISNUMBER(INDEX(PASTE_ALL,$DF854,$L$19)),INDEX(PASTE_ALL,$DF854,$L$19),TRIM(SUBSTITUTE(SUBSTITUTE(SUBSTITUTE(SUBSTITUTE(INDEX(PASTE_ALL,$DF854,$L$19)," "," "),CHAR(9)," "),CHAR(10)," "),CHAR(13)," "))),"")))</f>
        <v/>
      </c>
      <c r="ED854">
        <f>IF($DM854=0,"",MATCH(1,INDEX(EXACT($DH$5:DH854,$DH854)*$DM$5:DM854,0),0))</f>
        <v/>
      </c>
      <c r="EE854">
        <f>IF($DM854=0,0,IF($ED854=$DE854,1,0))</f>
        <v/>
      </c>
      <c r="EF854">
        <f>EF853+$EE854</f>
        <v/>
      </c>
      <c r="EG854">
        <f>IF($DM854=0,"",INDEX($EF$5:$EF$1003,$ED854))</f>
        <v/>
      </c>
      <c r="EH854">
        <f>IF($DM854=0,"",IF($DO854&lt;&gt;"","",IFERROR(LOOKUP(2,1/(($EG$4:EG853=$EG854)*($DO$4:DO853&lt;&gt;"")),$DO$4:DO853),"")))</f>
        <v/>
      </c>
      <c r="EI854">
        <f>IF($DM854=0,"",IF($DO854&lt;&gt;"",$DO854,$EH854))</f>
        <v/>
      </c>
      <c r="EJ854">
        <f>IF($DM854=0,"",IF($EI854="",0,IF(OR(ISNUMBER($EI854),AND(AND(SUBSTITUTE(SUBSTITUTE(SUBSTITUTE(SUBSTITUTE(SUBSTITUTE(SUBSTITUTE(SUBSTITUTE(SUBSTITUTE(SUBSTITUTE(SUBSTITUTE(SUBSTITUTE(SUBSTITUTE(SUBSTITUTE(SUBSTITUTE(UPPER($EI854),"0",""),"1",""),"2",""),"3",""),"4",""),"5",""),"6",""),"7",""),"8",""),"9",""),".",""),"+",""),"-",""),"E","")="",LEN(SUBSTITUTE(SUBSTITUTE(MID(UPPER($EI854),1+OR(LEFT(UPPER($EI854),1)="+",LEFT(UPPER($EI854),1)="-"),999),"E+","E"),"E-","E"))=LEN(SUBSTITUTE(SUBSTITUTE(SUBSTITUTE(SUBSTITUTE(MID(UPPER($EI854),1+OR(LEFT(UPPER($EI854),1)="+",LEFT(UPPER($EI854),1)="-"),999),"E+","E"),"E-","E"),"+",""),"-","")),LEN(UPPER($EI854))-LEN(SUBSTITUTE(UPPER($EI854),"E",""))&lt;2,LEN(UPPER($EI854))-LEN(SUBSTITUTE(UPPER($EI854),".",""))&lt;2,IFERROR(FIND(".",UPPER($EI854)),0)&lt;IFERROR(FIND("E",UPPER($EI854)),999)),ISNUMBER(VALUE($EI854)))),1,2)))</f>
        <v/>
      </c>
      <c r="EK854">
        <f>IF($DM854=0,"",IF($EJ854=1,IF(ISNUMBER($EI854),$EI854,VALUE($EI854)),IF($EJ854=2,$DE854,0)))</f>
        <v/>
      </c>
      <c r="EL854">
        <f>IF($DM854=0,"",COUNTIF($EG$5:$EG$1003,"&lt;"&amp;$EG854)+SUMPRODUCT(($EG$5:$EG$1003=$EG854)*(($EJ$5:$EJ$1003&lt;$EJ854)+($EJ$5:$EJ$1003=$EJ854)*(($EK$5:$EK$1003&lt;$EK854)+($EK$5:$EK$1003=$EK854)*($DE$5:$DE$1003&lt;$DE854))))+1)</f>
        <v/>
      </c>
      <c r="EM854">
        <f>IF($DM854=0,"",$EL854+$EG854-1)</f>
        <v/>
      </c>
      <c r="EN854">
        <f>IF($DM854=0,0,IFERROR(MATCH(1,INDEX(--(TRIM(SUBSTITUTE(SUBSTITUTE(SUBSTITUTE(SUBSTITUTE(LINES_NAME&amp;""," "," "),CHAR(9)," "),CHAR(10)," "),CHAR(13)," "))=$DH854),0),0),0))</f>
        <v/>
      </c>
      <c r="EO854">
        <f>IF($EN854=0,0,IF(OR(UPPER(TRIM(INDEX(LINES_SCHEDULED,$EN854)&amp;""))="YES",UPPER(TRIM(INDEX(LINES_SCHEDULED,$EN854)&amp;""))="Y",UPPER(TRIM(INDEX(LINES_SCHEDULED,$EN854)&amp;""))="X"),1,0))</f>
        <v/>
      </c>
      <c r="EP854">
        <f>IF($DM854=0,"",IF(COUNTIFS($EG$5:$EG$1003,$EG854,$EB$5:$EB$1003,"Ready")&gt;0,"READY",IF(COUNTIFS($EG$5:$EG$1003,$EG854,$EB$5:$EB$1003,"PM")&gt;0,"PM",IF(COUNTIFS($EG$5:$EG$1003,$EG854,$EB$5:$EB$1003,"OT")&gt;0,"OT",""))))</f>
        <v/>
      </c>
      <c r="EQ854">
        <f>IF($EN854=0,"",UPPER(TRIM(INDEX(LINES_STATUS,$EN854)&amp;"")))</f>
        <v/>
      </c>
      <c r="ER854">
        <f>IF($DM854=0,"",IF(OR($EQ854="READY",$EQ854="PM",$EQ854="OT"),$EQ854,$EP854))</f>
        <v/>
      </c>
      <c r="ES854">
        <f>IF($DM854=0,"",IF(AND($DV854&lt;&gt;"",UPPER($DV854)&lt;&gt;"N"),"allergen",IF(ISNUMBER(SEARCH("oil",$DQ854)),"oil",IF(OR(EXACT($DS854,"A662"),EXACT($DS854,"A624")),"bulk",""))))</f>
        <v/>
      </c>
      <c r="ET854">
        <f>IF($DM854=0,"",IF(OR($EA854="",$EA854=0),"",$EA854/100))</f>
        <v/>
      </c>
      <c r="EU854">
        <f>IF(OR($ET854="",$DY854=""),"",INT($DY854*(1-$ET854)+0.5))</f>
        <v/>
      </c>
    </row>
    <row r="855">
      <c r="DA855" t="n">
        <v>851</v>
      </c>
      <c r="DB855">
        <f>IF($B$37=0,"",IFERROR(TRIM(SUBSTITUTE(SUBSTITUTE(SUBSTITUTE(SUBSTITUTE(INDEX(PASTE_ALL,851,$B$37)," "," "),CHAR(9)," "),CHAR(10)," "),CHAR(13)," ")),""))</f>
        <v/>
      </c>
      <c r="DC855">
        <f>IF(AND(851&gt;HEADER_ROW,UPPER(DB855)="LEGEND"),1,0)</f>
        <v/>
      </c>
      <c r="DE855" t="n">
        <v>851</v>
      </c>
      <c r="DF855">
        <f>HEADER_ROW+$DE855</f>
        <v/>
      </c>
      <c r="DG855">
        <f>IF(AND($DF855&lt;=1000,$DF855&lt;$B$8),1,0)</f>
        <v/>
      </c>
      <c r="DH855">
        <f>IF($DG855=1,IFERROR(INDEX($DB$5:$DB$1004,$DF855),""),"")</f>
        <v/>
      </c>
      <c r="DI855">
        <f>IF(AND($DG855=1,$DH855&lt;&gt;""),IFERROR(SUBSTITUTE(SUBSTITUTE(TRIM(SUBSTITUTE(SUBSTITUTE(SUBSTITUTE(SUBSTITUTE(IFERROR(INDEX(PASTE_ALL,$DF855,1)&amp;"","")&amp;"␟"&amp;IFERROR(INDEX(PASTE_ALL,$DF855,2)&amp;"","")&amp;"␟"&amp;IFERROR(INDEX(PASTE_ALL,$DF855,3)&amp;"","")&amp;"␟"&amp;IFERROR(INDEX(PASTE_ALL,$DF855,4)&amp;"","")&amp;"␟"&amp;IFERROR(INDEX(PASTE_ALL,$DF855,5)&amp;"","")&amp;"␟"&amp;IFERROR(INDEX(PASTE_ALL,$DF855,6)&amp;"","")&amp;"␟"&amp;IFERROR(INDEX(PASTE_ALL,$DF855,7)&amp;"","")&amp;"␟"&amp;IFERROR(INDEX(PASTE_ALL,$DF855,8)&amp;"","")&amp;"␟"&amp;IFERROR(INDEX(PASTE_ALL,$DF855,9)&amp;"","")&amp;"␟"&amp;IFERROR(INDEX(PASTE_ALL,$DF855,10)&amp;"","")&amp;"␟"&amp;IFERROR(INDEX(PASTE_ALL,$DF855,11)&amp;"","")&amp;"␟"&amp;IFERROR(INDEX(PASTE_ALL,$DF855,12)&amp;"","")&amp;"␟"&amp;IFERROR(INDEX(PASTE_ALL,$DF855,13)&amp;"","")&amp;"␟"&amp;IFERROR(INDEX(PASTE_ALL,$DF855,14)&amp;"","")&amp;"␟"&amp;IFERROR(INDEX(PASTE_ALL,$DF855,15)&amp;"","")&amp;"␟"&amp;IFERROR(INDEX(PASTE_ALL,$DF855,16)&amp;"","")&amp;"␟"&amp;IFERROR(INDEX(PASTE_ALL,$DF855,17)&amp;"","")&amp;"␟"&amp;IFERROR(INDEX(PASTE_ALL,$DF855,18)&amp;"","")&amp;"␟"&amp;IFERROR(INDEX(PASTE_ALL,$DF855,19)&amp;"","")&amp;"␟"&amp;IFERROR(INDEX(PASTE_ALL,$DF855,20)&amp;"","")&amp;"␟"&amp;IFERROR(INDEX(PASTE_ALL,$DF855,21)&amp;"","")&amp;"␟"&amp;IFERROR(INDEX(PASTE_ALL,$DF855,22)&amp;"","")&amp;"␟"&amp;IFERROR(INDEX(PASTE_ALL,$DF855,23)&amp;"","")&amp;"␟"&amp;IFERROR(INDEX(PASTE_ALL,$DF855,24)&amp;"","")&amp;"␟"&amp;IFERROR(INDEX(PASTE_ALL,$DF855,25)&amp;"","")&amp;"␟"&amp;IFERROR(INDEX(PASTE_ALL,$DF855,26)&amp;"","")&amp;"␟"&amp;IFERROR(INDEX(PASTE_ALL,$DF855,27)&amp;"","")&amp;"␟"&amp;IFERROR(INDEX(PASTE_ALL,$DF855,28)&amp;"","")&amp;"␟"&amp;IFERROR(INDEX(PASTE_ALL,$DF855,29)&amp;"","")&amp;"␟"&amp;IFERROR(INDEX(PASTE_ALL,$DF855,30)&amp;"","")&amp;"␟"&amp;IFERROR(INDEX(PASTE_ALL,$DF855,31)&amp;"","")&amp;"␟"&amp;IFERROR(INDEX(PASTE_ALL,$DF855,32)&amp;"","")&amp;"␟"&amp;IFERROR(INDEX(PASTE_ALL,$DF855,33)&amp;"","")&amp;"␟"&amp;IFERROR(INDEX(PASTE_ALL,$DF855,34)&amp;"","")&amp;"␟"&amp;IFERROR(INDEX(PASTE_ALL,$DF855,35)&amp;"","")&amp;"␟"&amp;IFERROR(INDEX(PASTE_ALL,$DF855,36)&amp;"","")&amp;"␟"&amp;IFERROR(INDEX(PASTE_ALL,$DF855,37)&amp;"","")&amp;"␟"&amp;IFERROR(INDEX(PASTE_ALL,$DF855,38)&amp;"","")&amp;"␟"&amp;IFERROR(INDEX(PASTE_ALL,$DF855,39)&amp;"","")&amp;"␟"&amp;IFERROR(INDEX(PASTE_ALL,$DF855,40)&amp;"","")&amp;"␟"&amp;IFERROR(INDEX(PASTE_ALL,$DF855,41)&amp;"","")&amp;"␟"&amp;IFERROR(INDEX(PASTE_ALL,$DF855,42)&amp;"","")&amp;"␟"&amp;IFERROR(INDEX(PASTE_ALL,$DF855,43)&amp;"","")&amp;"␟"&amp;IFERROR(INDEX(PASTE_ALL,$DF855,44)&amp;"","")&amp;"␟"&amp;IFERROR(INDEX(PASTE_ALL,$DF855,45)&amp;"","")&amp;"␟"&amp;IFERROR(INDEX(PASTE_ALL,$DF855,46)&amp;"","")&amp;"␟"&amp;IFERROR(INDEX(PASTE_ALL,$DF855,47)&amp;"","")&amp;"␟"&amp;IFERROR(INDEX(PASTE_ALL,$DF855,48)&amp;"","")&amp;"␟"&amp;IFERROR(INDEX(PASTE_ALL,$DF855,49)&amp;"","")&amp;"␟"&amp;IFERROR(INDEX(PASTE_ALL,$DF855,50)&amp;"","")&amp;"␟"&amp;IFERROR(INDEX(PASTE_ALL,$DF855,51)&amp;"","")&amp;"␟"&amp;IFERROR(INDEX(PASTE_ALL,$DF855,52)&amp;"","")&amp;"␟"&amp;IFERROR(INDEX(PASTE_ALL,$DF855,53)&amp;"","")&amp;"␟"&amp;IFERROR(INDEX(PASTE_ALL,$DF855,54)&amp;"","")&amp;"␟"&amp;IFERROR(INDEX(PASTE_ALL,$DF855,55)&amp;"","")&amp;"␟"&amp;IFERROR(INDEX(PASTE_ALL,$DF855,56)&amp;"","")&amp;"␟"&amp;IFERROR(INDEX(PASTE_ALL,$DF855,57)&amp;"","")&amp;"␟"&amp;IFERROR(INDEX(PASTE_ALL,$DF855,58)&amp;"","")&amp;"␟"&amp;IFERROR(INDEX(PASTE_ALL,$DF855,59)&amp;"","")&amp;"␟"&amp;IFERROR(INDEX(PASTE_ALL,$DF855,60)&amp;"","")," "," "),CHAR(9)," "),CHAR(10)," "),CHAR(13)," "))," ␟","␟"),"␟ ","␟"),"#"&amp;$DE855),"")</f>
        <v/>
      </c>
      <c r="DJ855">
        <f>IF($DI855="",0,IF(SUMPRODUCT(--EXACT($DI$4:DI854,$DI855))&gt;0,1,0))</f>
        <v/>
      </c>
      <c r="DK855">
        <f>IF(AND($DI855&lt;&gt;"",$DJ855=0),1,0)</f>
        <v/>
      </c>
      <c r="DL855">
        <f>DL854+$DK855</f>
        <v/>
      </c>
      <c r="DM855">
        <f>IF(AND($DK855=1,$DL855&lt;=600),1,0)</f>
        <v/>
      </c>
      <c r="DN855">
        <f>IF($DM855=0,"",IF($L$6=0,"",IFERROR(IF(ISNUMBER(INDEX(PASTE_ALL,$DF855,$L$6)),INDEX(PASTE_ALL,$DF855,$L$6),TRIM(SUBSTITUTE(SUBSTITUTE(SUBSTITUTE(SUBSTITUTE(INDEX(PASTE_ALL,$DF855,$L$6)," "," "),CHAR(9)," "),CHAR(10)," "),CHAR(13)," "))),"")))</f>
        <v/>
      </c>
      <c r="DO855">
        <f>IF($DM855=0,"",IF($L$7=0,"",IFERROR(IF(ISNUMBER(INDEX(PASTE_ALL,$DF855,$L$7)),INDEX(PASTE_ALL,$DF855,$L$7),TRIM(SUBSTITUTE(SUBSTITUTE(SUBSTITUTE(SUBSTITUTE(INDEX(PASTE_ALL,$DF855,$L$7)," "," "),CHAR(9)," "),CHAR(10)," "),CHAR(13)," "))),"")))</f>
        <v/>
      </c>
      <c r="DP855">
        <f>IF($DM855=0,"",IF($L$8=0,"",IFERROR(IF(ISNUMBER(INDEX(PASTE_ALL,$DF855,$L$8)),INDEX(PASTE_ALL,$DF855,$L$8),TRIM(SUBSTITUTE(SUBSTITUTE(SUBSTITUTE(SUBSTITUTE(INDEX(PASTE_ALL,$DF855,$L$8)," "," "),CHAR(9)," "),CHAR(10)," "),CHAR(13)," "))),"")))</f>
        <v/>
      </c>
      <c r="DQ855">
        <f>IF($DM855=0,"",IF($L$9=0,"",IFERROR(IF(ISNUMBER(INDEX(PASTE_ALL,$DF855,$L$9)),INDEX(PASTE_ALL,$DF855,$L$9),TRIM(SUBSTITUTE(SUBSTITUTE(SUBSTITUTE(SUBSTITUTE(INDEX(PASTE_ALL,$DF855,$L$9)," "," "),CHAR(9)," "),CHAR(10)," "),CHAR(13)," "))),"")))</f>
        <v/>
      </c>
      <c r="DR855">
        <f>IF($DM855=0,"",IF($L$10=0,"",IFERROR(IF(ISNUMBER(INDEX(PASTE_ALL,$DF855,$L$10)),INDEX(PASTE_ALL,$DF855,$L$10),TRIM(SUBSTITUTE(SUBSTITUTE(SUBSTITUTE(SUBSTITUTE(INDEX(PASTE_ALL,$DF855,$L$10)," "," "),CHAR(9)," "),CHAR(10)," "),CHAR(13)," "))),"")))</f>
        <v/>
      </c>
      <c r="DS855">
        <f>IF($DM855=0,"",IF($L$11=0,"",IFERROR(IF(ISNUMBER(INDEX(PASTE_ALL,$DF855,$L$11)),INDEX(PASTE_ALL,$DF855,$L$11),TRIM(SUBSTITUTE(SUBSTITUTE(SUBSTITUTE(SUBSTITUTE(INDEX(PASTE_ALL,$DF855,$L$11)," "," "),CHAR(9)," "),CHAR(10)," "),CHAR(13)," "))),"")))</f>
        <v/>
      </c>
      <c r="DT855">
        <f>IF($DM855=0,"",IF($L$12=0,"",IFERROR(IF(ISNUMBER(INDEX(PASTE_ALL,$DF855,$L$12)),INDEX(PASTE_ALL,$DF855,$L$12),TRIM(SUBSTITUTE(SUBSTITUTE(SUBSTITUTE(SUBSTITUTE(INDEX(PASTE_ALL,$DF855,$L$12)," "," "),CHAR(9)," "),CHAR(10)," "),CHAR(13)," "))),"")))</f>
        <v/>
      </c>
      <c r="DU855">
        <f>IF($DM855=0,"",IF($L$13=0,"",IFERROR(IF(ISNUMBER(INDEX(PASTE_ALL,$DF855,$L$13)),INDEX(PASTE_ALL,$DF855,$L$13),TRIM(SUBSTITUTE(SUBSTITUTE(SUBSTITUTE(SUBSTITUTE(INDEX(PASTE_ALL,$DF855,$L$13)," "," "),CHAR(9)," "),CHAR(10)," "),CHAR(13)," "))),"")))</f>
        <v/>
      </c>
      <c r="DV855">
        <f>IF($DM855=0,"",IF($L$14=0,"",IFERROR(IF(ISNUMBER(INDEX(PASTE_ALL,$DF855,$L$14)),INDEX(PASTE_ALL,$DF855,$L$14),TRIM(SUBSTITUTE(SUBSTITUTE(SUBSTITUTE(SUBSTITUTE(INDEX(PASTE_ALL,$DF855,$L$14)," "," "),CHAR(9)," "),CHAR(10)," "),CHAR(13)," "))),"")))</f>
        <v/>
      </c>
      <c r="DW855">
        <f>IF($DM855=0,"",IF($L$15=0,"",IFERROR(IF(ISNUMBER(INDEX(PASTE_ALL,$DF855,$L$15)),INDEX(PASTE_ALL,$DF855,$L$15),IF(SUMPRODUCT(--ISNUMBER(FIND({"A","B","C","D","E","F","G","H","I","J","K","L","M","N","O","P","Q","R","S","T","U","V","W","X","Y","Z","0","1","2","3","4","5","6","7","8","9"},UPPER(TRIM(SUBSTITUTE(SUBSTITUTE(SUBSTITUTE(SUBSTITUTE(INDEX(PASTE_ALL,$DF855,$L$15)," "," "),CHAR(9)," "),CHAR(10)," "),CHAR(13)," "))))))&gt;0,TRIM(SUBSTITUTE(SUBSTITUTE(SUBSTITUTE(SUBSTITUTE(INDEX(PASTE_ALL,$DF855,$L$15)," "," "),CHAR(9)," "),CHAR(10)," "),CHAR(13)," ")),"")),"")))</f>
        <v/>
      </c>
      <c r="DX855">
        <f>IF($DM855=0,"",IF($L$16=0,"",IFERROR(IF(ISNUMBER(INDEX(PASTE_ALL,$DF855,$L$16)),INDEX(PASTE_ALL,$DF855,$L$16),SUBSTITUTE(SUBSTITUTE(TRIM(SUBSTITUTE(SUBSTITUTE(SUBSTITUTE(SUBSTITUTE(INDEX(PASTE_ALL,$DF855,$L$16)," "," "),CHAR(9)," "),CHAR(10)," "),CHAR(13)," ")),",",""),"%","")),"")))</f>
        <v/>
      </c>
      <c r="DY855">
        <f>IF($DM855=0,"",IFERROR(IF(ISNUMBER($DX855),$DX855,IF($DX855="","",IF(TRIM($DX855)="",0,IF(AND(AND(SUBSTITUTE(SUBSTITUTE(SUBSTITUTE(SUBSTITUTE(SUBSTITUTE(SUBSTITUTE(SUBSTITUTE(SUBSTITUTE(SUBSTITUTE(SUBSTITUTE(SUBSTITUTE(SUBSTITUTE(SUBSTITUTE(SUBSTITUTE(UPPER(TRIM($DX855)),"0",""),"1",""),"2",""),"3",""),"4",""),"5",""),"6",""),"7",""),"8",""),"9",""),".",""),"+",""),"-",""),"E","")="",LEN(SUBSTITUTE(SUBSTITUTE(MID(UPPER(TRIM($DX855)),1+OR(LEFT(UPPER(TRIM($DX855)),1)="+",LEFT(UPPER(TRIM($DX855)),1)="-"),999),"E+","E"),"E-","E"))=LEN(SUBSTITUTE(SUBSTITUTE(SUBSTITUTE(SUBSTITUTE(MID(UPPER(TRIM($DX855)),1+OR(LEFT(UPPER(TRIM($DX855)),1)="+",LEFT(UPPER(TRIM($DX855)),1)="-"),999),"E+","E"),"E-","E"),"+",""),"-","")),LEN(UPPER(TRIM($DX855)))-LEN(SUBSTITUTE(UPPER(TRIM($DX855)),"E",""))&lt;2,LEN(UPPER(TRIM($DX855)))-LEN(SUBSTITUTE(UPPER(TRIM($DX855)),".",""))&lt;2,IFERROR(FIND(".",UPPER(TRIM($DX855))),0)&lt;IFERROR(FIND("E",UPPER(TRIM($DX855))),999)),ISNUMBER(VALUE(TRIM($DX855)))),VALUE(TRIM($DX855)),"")))),""))</f>
        <v/>
      </c>
      <c r="DZ855">
        <f>IF($DM855=0,"",IF($L$17=0,"",IFERROR(IF(ISNUMBER(INDEX(PASTE_ALL,$DF855,$L$17)),INDEX(PASTE_ALL,$DF855,$L$17),SUBSTITUTE(SUBSTITUTE(TRIM(SUBSTITUTE(SUBSTITUTE(SUBSTITUTE(SUBSTITUTE(INDEX(PASTE_ALL,$DF855,$L$17)," "," "),CHAR(9)," "),CHAR(10)," "),CHAR(13)," ")),",",""),"%","")),"")))</f>
        <v/>
      </c>
      <c r="EA855">
        <f>IF($DM855=0,"",IFERROR(IF(ISNUMBER($DZ855),$DZ855,IF($DZ855="","",IF(TRIM($DZ855)="",0,IF(AND(AND(SUBSTITUTE(SUBSTITUTE(SUBSTITUTE(SUBSTITUTE(SUBSTITUTE(SUBSTITUTE(SUBSTITUTE(SUBSTITUTE(SUBSTITUTE(SUBSTITUTE(SUBSTITUTE(SUBSTITUTE(SUBSTITUTE(SUBSTITUTE(UPPER(TRIM($DZ855)),"0",""),"1",""),"2",""),"3",""),"4",""),"5",""),"6",""),"7",""),"8",""),"9",""),".",""),"+",""),"-",""),"E","")="",LEN(SUBSTITUTE(SUBSTITUTE(MID(UPPER(TRIM($DZ855)),1+OR(LEFT(UPPER(TRIM($DZ855)),1)="+",LEFT(UPPER(TRIM($DZ855)),1)="-"),999),"E+","E"),"E-","E"))=LEN(SUBSTITUTE(SUBSTITUTE(SUBSTITUTE(SUBSTITUTE(MID(UPPER(TRIM($DZ855)),1+OR(LEFT(UPPER(TRIM($DZ855)),1)="+",LEFT(UPPER(TRIM($DZ855)),1)="-"),999),"E+","E"),"E-","E"),"+",""),"-","")),LEN(UPPER(TRIM($DZ855)))-LEN(SUBSTITUTE(UPPER(TRIM($DZ855)),"E",""))&lt;2,LEN(UPPER(TRIM($DZ855)))-LEN(SUBSTITUTE(UPPER(TRIM($DZ855)),".",""))&lt;2,IFERROR(FIND(".",UPPER(TRIM($DZ855))),0)&lt;IFERROR(FIND("E",UPPER(TRIM($DZ855))),999)),ISNUMBER(VALUE(TRIM($DZ855)))),VALUE(TRIM($DZ855)),"")))),""))</f>
        <v/>
      </c>
      <c r="EB855">
        <f>IF($DM855=0,"",IF($L$18=0,"",IFERROR(IF(UPPER(TRIM(SUBSTITUTE(SUBSTITUTE(SUBSTITUTE(SUBSTITUTE(INDEX(PASTE_ALL,$DF855,$L$18)," "," "),CHAR(9)," "),CHAR(10)," "),CHAR(13)," ")))="READY","Ready",IF(UPPER(TRIM(SUBSTITUTE(SUBSTITUTE(SUBSTITUTE(SUBSTITUTE(INDEX(PASTE_ALL,$DF855,$L$18)," "," "),CHAR(9)," "),CHAR(10)," "),CHAR(13)," ")))="PM","PM",IF(OR(UPPER(TRIM(SUBSTITUTE(SUBSTITUTE(SUBSTITUTE(SUBSTITUTE(INDEX(PASTE_ALL,$DF855,$L$18)," "," "),CHAR(9)," "),CHAR(10)," "),CHAR(13)," ")))="OT",UPPER(TRIM(SUBSTITUTE(SUBSTITUTE(SUBSTITUTE(SUBSTITUTE(INDEX(PASTE_ALL,$DF855,$L$18)," "," "),CHAR(9)," "),CHAR(10)," "),CHAR(13)," ")))="OVERTIME",UPPER(TRIM(SUBSTITUTE(SUBSTITUTE(SUBSTITUTE(SUBSTITUTE(INDEX(PASTE_ALL,$DF855,$L$18)," "," "),CHAR(9)," "),CHAR(10)," "),CHAR(13)," ")))="TRIAL"),"OT",TRIM(SUBSTITUTE(SUBSTITUTE(SUBSTITUTE(SUBSTITUTE(INDEX(PASTE_ALL,$DF855,$L$18)," "," "),CHAR(9)," "),CHAR(10)," "),CHAR(13)," "))))),"")))</f>
        <v/>
      </c>
      <c r="EC855">
        <f>IF($DM855=0,"",IF($L$19=0,"",IFERROR(IF(ISNUMBER(INDEX(PASTE_ALL,$DF855,$L$19)),INDEX(PASTE_ALL,$DF855,$L$19),TRIM(SUBSTITUTE(SUBSTITUTE(SUBSTITUTE(SUBSTITUTE(INDEX(PASTE_ALL,$DF855,$L$19)," "," "),CHAR(9)," "),CHAR(10)," "),CHAR(13)," "))),"")))</f>
        <v/>
      </c>
      <c r="ED855">
        <f>IF($DM855=0,"",MATCH(1,INDEX(EXACT($DH$5:DH855,$DH855)*$DM$5:DM855,0),0))</f>
        <v/>
      </c>
      <c r="EE855">
        <f>IF($DM855=0,0,IF($ED855=$DE855,1,0))</f>
        <v/>
      </c>
      <c r="EF855">
        <f>EF854+$EE855</f>
        <v/>
      </c>
      <c r="EG855">
        <f>IF($DM855=0,"",INDEX($EF$5:$EF$1003,$ED855))</f>
        <v/>
      </c>
      <c r="EH855">
        <f>IF($DM855=0,"",IF($DO855&lt;&gt;"","",IFERROR(LOOKUP(2,1/(($EG$4:EG854=$EG855)*($DO$4:DO854&lt;&gt;"")),$DO$4:DO854),"")))</f>
        <v/>
      </c>
      <c r="EI855">
        <f>IF($DM855=0,"",IF($DO855&lt;&gt;"",$DO855,$EH855))</f>
        <v/>
      </c>
      <c r="EJ855">
        <f>IF($DM855=0,"",IF($EI855="",0,IF(OR(ISNUMBER($EI855),AND(AND(SUBSTITUTE(SUBSTITUTE(SUBSTITUTE(SUBSTITUTE(SUBSTITUTE(SUBSTITUTE(SUBSTITUTE(SUBSTITUTE(SUBSTITUTE(SUBSTITUTE(SUBSTITUTE(SUBSTITUTE(SUBSTITUTE(SUBSTITUTE(UPPER($EI855),"0",""),"1",""),"2",""),"3",""),"4",""),"5",""),"6",""),"7",""),"8",""),"9",""),".",""),"+",""),"-",""),"E","")="",LEN(SUBSTITUTE(SUBSTITUTE(MID(UPPER($EI855),1+OR(LEFT(UPPER($EI855),1)="+",LEFT(UPPER($EI855),1)="-"),999),"E+","E"),"E-","E"))=LEN(SUBSTITUTE(SUBSTITUTE(SUBSTITUTE(SUBSTITUTE(MID(UPPER($EI855),1+OR(LEFT(UPPER($EI855),1)="+",LEFT(UPPER($EI855),1)="-"),999),"E+","E"),"E-","E"),"+",""),"-","")),LEN(UPPER($EI855))-LEN(SUBSTITUTE(UPPER($EI855),"E",""))&lt;2,LEN(UPPER($EI855))-LEN(SUBSTITUTE(UPPER($EI855),".",""))&lt;2,IFERROR(FIND(".",UPPER($EI855)),0)&lt;IFERROR(FIND("E",UPPER($EI855)),999)),ISNUMBER(VALUE($EI855)))),1,2)))</f>
        <v/>
      </c>
      <c r="EK855">
        <f>IF($DM855=0,"",IF($EJ855=1,IF(ISNUMBER($EI855),$EI855,VALUE($EI855)),IF($EJ855=2,$DE855,0)))</f>
        <v/>
      </c>
      <c r="EL855">
        <f>IF($DM855=0,"",COUNTIF($EG$5:$EG$1003,"&lt;"&amp;$EG855)+SUMPRODUCT(($EG$5:$EG$1003=$EG855)*(($EJ$5:$EJ$1003&lt;$EJ855)+($EJ$5:$EJ$1003=$EJ855)*(($EK$5:$EK$1003&lt;$EK855)+($EK$5:$EK$1003=$EK855)*($DE$5:$DE$1003&lt;$DE855))))+1)</f>
        <v/>
      </c>
      <c r="EM855">
        <f>IF($DM855=0,"",$EL855+$EG855-1)</f>
        <v/>
      </c>
      <c r="EN855">
        <f>IF($DM855=0,0,IFERROR(MATCH(1,INDEX(--(TRIM(SUBSTITUTE(SUBSTITUTE(SUBSTITUTE(SUBSTITUTE(LINES_NAME&amp;""," "," "),CHAR(9)," "),CHAR(10)," "),CHAR(13)," "))=$DH855),0),0),0))</f>
        <v/>
      </c>
      <c r="EO855">
        <f>IF($EN855=0,0,IF(OR(UPPER(TRIM(INDEX(LINES_SCHEDULED,$EN855)&amp;""))="YES",UPPER(TRIM(INDEX(LINES_SCHEDULED,$EN855)&amp;""))="Y",UPPER(TRIM(INDEX(LINES_SCHEDULED,$EN855)&amp;""))="X"),1,0))</f>
        <v/>
      </c>
      <c r="EP855">
        <f>IF($DM855=0,"",IF(COUNTIFS($EG$5:$EG$1003,$EG855,$EB$5:$EB$1003,"Ready")&gt;0,"READY",IF(COUNTIFS($EG$5:$EG$1003,$EG855,$EB$5:$EB$1003,"PM")&gt;0,"PM",IF(COUNTIFS($EG$5:$EG$1003,$EG855,$EB$5:$EB$1003,"OT")&gt;0,"OT",""))))</f>
        <v/>
      </c>
      <c r="EQ855">
        <f>IF($EN855=0,"",UPPER(TRIM(INDEX(LINES_STATUS,$EN855)&amp;"")))</f>
        <v/>
      </c>
      <c r="ER855">
        <f>IF($DM855=0,"",IF(OR($EQ855="READY",$EQ855="PM",$EQ855="OT"),$EQ855,$EP855))</f>
        <v/>
      </c>
      <c r="ES855">
        <f>IF($DM855=0,"",IF(AND($DV855&lt;&gt;"",UPPER($DV855)&lt;&gt;"N"),"allergen",IF(ISNUMBER(SEARCH("oil",$DQ855)),"oil",IF(OR(EXACT($DS855,"A662"),EXACT($DS855,"A624")),"bulk",""))))</f>
        <v/>
      </c>
      <c r="ET855">
        <f>IF($DM855=0,"",IF(OR($EA855="",$EA855=0),"",$EA855/100))</f>
        <v/>
      </c>
      <c r="EU855">
        <f>IF(OR($ET855="",$DY855=""),"",INT($DY855*(1-$ET855)+0.5))</f>
        <v/>
      </c>
    </row>
    <row r="856">
      <c r="DA856" t="n">
        <v>852</v>
      </c>
      <c r="DB856">
        <f>IF($B$37=0,"",IFERROR(TRIM(SUBSTITUTE(SUBSTITUTE(SUBSTITUTE(SUBSTITUTE(INDEX(PASTE_ALL,852,$B$37)," "," "),CHAR(9)," "),CHAR(10)," "),CHAR(13)," ")),""))</f>
        <v/>
      </c>
      <c r="DC856">
        <f>IF(AND(852&gt;HEADER_ROW,UPPER(DB856)="LEGEND"),1,0)</f>
        <v/>
      </c>
      <c r="DE856" t="n">
        <v>852</v>
      </c>
      <c r="DF856">
        <f>HEADER_ROW+$DE856</f>
        <v/>
      </c>
      <c r="DG856">
        <f>IF(AND($DF856&lt;=1000,$DF856&lt;$B$8),1,0)</f>
        <v/>
      </c>
      <c r="DH856">
        <f>IF($DG856=1,IFERROR(INDEX($DB$5:$DB$1004,$DF856),""),"")</f>
        <v/>
      </c>
      <c r="DI856">
        <f>IF(AND($DG856=1,$DH856&lt;&gt;""),IFERROR(SUBSTITUTE(SUBSTITUTE(TRIM(SUBSTITUTE(SUBSTITUTE(SUBSTITUTE(SUBSTITUTE(IFERROR(INDEX(PASTE_ALL,$DF856,1)&amp;"","")&amp;"␟"&amp;IFERROR(INDEX(PASTE_ALL,$DF856,2)&amp;"","")&amp;"␟"&amp;IFERROR(INDEX(PASTE_ALL,$DF856,3)&amp;"","")&amp;"␟"&amp;IFERROR(INDEX(PASTE_ALL,$DF856,4)&amp;"","")&amp;"␟"&amp;IFERROR(INDEX(PASTE_ALL,$DF856,5)&amp;"","")&amp;"␟"&amp;IFERROR(INDEX(PASTE_ALL,$DF856,6)&amp;"","")&amp;"␟"&amp;IFERROR(INDEX(PASTE_ALL,$DF856,7)&amp;"","")&amp;"␟"&amp;IFERROR(INDEX(PASTE_ALL,$DF856,8)&amp;"","")&amp;"␟"&amp;IFERROR(INDEX(PASTE_ALL,$DF856,9)&amp;"","")&amp;"␟"&amp;IFERROR(INDEX(PASTE_ALL,$DF856,10)&amp;"","")&amp;"␟"&amp;IFERROR(INDEX(PASTE_ALL,$DF856,11)&amp;"","")&amp;"␟"&amp;IFERROR(INDEX(PASTE_ALL,$DF856,12)&amp;"","")&amp;"␟"&amp;IFERROR(INDEX(PASTE_ALL,$DF856,13)&amp;"","")&amp;"␟"&amp;IFERROR(INDEX(PASTE_ALL,$DF856,14)&amp;"","")&amp;"␟"&amp;IFERROR(INDEX(PASTE_ALL,$DF856,15)&amp;"","")&amp;"␟"&amp;IFERROR(INDEX(PASTE_ALL,$DF856,16)&amp;"","")&amp;"␟"&amp;IFERROR(INDEX(PASTE_ALL,$DF856,17)&amp;"","")&amp;"␟"&amp;IFERROR(INDEX(PASTE_ALL,$DF856,18)&amp;"","")&amp;"␟"&amp;IFERROR(INDEX(PASTE_ALL,$DF856,19)&amp;"","")&amp;"␟"&amp;IFERROR(INDEX(PASTE_ALL,$DF856,20)&amp;"","")&amp;"␟"&amp;IFERROR(INDEX(PASTE_ALL,$DF856,21)&amp;"","")&amp;"␟"&amp;IFERROR(INDEX(PASTE_ALL,$DF856,22)&amp;"","")&amp;"␟"&amp;IFERROR(INDEX(PASTE_ALL,$DF856,23)&amp;"","")&amp;"␟"&amp;IFERROR(INDEX(PASTE_ALL,$DF856,24)&amp;"","")&amp;"␟"&amp;IFERROR(INDEX(PASTE_ALL,$DF856,25)&amp;"","")&amp;"␟"&amp;IFERROR(INDEX(PASTE_ALL,$DF856,26)&amp;"","")&amp;"␟"&amp;IFERROR(INDEX(PASTE_ALL,$DF856,27)&amp;"","")&amp;"␟"&amp;IFERROR(INDEX(PASTE_ALL,$DF856,28)&amp;"","")&amp;"␟"&amp;IFERROR(INDEX(PASTE_ALL,$DF856,29)&amp;"","")&amp;"␟"&amp;IFERROR(INDEX(PASTE_ALL,$DF856,30)&amp;"","")&amp;"␟"&amp;IFERROR(INDEX(PASTE_ALL,$DF856,31)&amp;"","")&amp;"␟"&amp;IFERROR(INDEX(PASTE_ALL,$DF856,32)&amp;"","")&amp;"␟"&amp;IFERROR(INDEX(PASTE_ALL,$DF856,33)&amp;"","")&amp;"␟"&amp;IFERROR(INDEX(PASTE_ALL,$DF856,34)&amp;"","")&amp;"␟"&amp;IFERROR(INDEX(PASTE_ALL,$DF856,35)&amp;"","")&amp;"␟"&amp;IFERROR(INDEX(PASTE_ALL,$DF856,36)&amp;"","")&amp;"␟"&amp;IFERROR(INDEX(PASTE_ALL,$DF856,37)&amp;"","")&amp;"␟"&amp;IFERROR(INDEX(PASTE_ALL,$DF856,38)&amp;"","")&amp;"␟"&amp;IFERROR(INDEX(PASTE_ALL,$DF856,39)&amp;"","")&amp;"␟"&amp;IFERROR(INDEX(PASTE_ALL,$DF856,40)&amp;"","")&amp;"␟"&amp;IFERROR(INDEX(PASTE_ALL,$DF856,41)&amp;"","")&amp;"␟"&amp;IFERROR(INDEX(PASTE_ALL,$DF856,42)&amp;"","")&amp;"␟"&amp;IFERROR(INDEX(PASTE_ALL,$DF856,43)&amp;"","")&amp;"␟"&amp;IFERROR(INDEX(PASTE_ALL,$DF856,44)&amp;"","")&amp;"␟"&amp;IFERROR(INDEX(PASTE_ALL,$DF856,45)&amp;"","")&amp;"␟"&amp;IFERROR(INDEX(PASTE_ALL,$DF856,46)&amp;"","")&amp;"␟"&amp;IFERROR(INDEX(PASTE_ALL,$DF856,47)&amp;"","")&amp;"␟"&amp;IFERROR(INDEX(PASTE_ALL,$DF856,48)&amp;"","")&amp;"␟"&amp;IFERROR(INDEX(PASTE_ALL,$DF856,49)&amp;"","")&amp;"␟"&amp;IFERROR(INDEX(PASTE_ALL,$DF856,50)&amp;"","")&amp;"␟"&amp;IFERROR(INDEX(PASTE_ALL,$DF856,51)&amp;"","")&amp;"␟"&amp;IFERROR(INDEX(PASTE_ALL,$DF856,52)&amp;"","")&amp;"␟"&amp;IFERROR(INDEX(PASTE_ALL,$DF856,53)&amp;"","")&amp;"␟"&amp;IFERROR(INDEX(PASTE_ALL,$DF856,54)&amp;"","")&amp;"␟"&amp;IFERROR(INDEX(PASTE_ALL,$DF856,55)&amp;"","")&amp;"␟"&amp;IFERROR(INDEX(PASTE_ALL,$DF856,56)&amp;"","")&amp;"␟"&amp;IFERROR(INDEX(PASTE_ALL,$DF856,57)&amp;"","")&amp;"␟"&amp;IFERROR(INDEX(PASTE_ALL,$DF856,58)&amp;"","")&amp;"␟"&amp;IFERROR(INDEX(PASTE_ALL,$DF856,59)&amp;"","")&amp;"␟"&amp;IFERROR(INDEX(PASTE_ALL,$DF856,60)&amp;"","")," "," "),CHAR(9)," "),CHAR(10)," "),CHAR(13)," "))," ␟","␟"),"␟ ","␟"),"#"&amp;$DE856),"")</f>
        <v/>
      </c>
      <c r="DJ856">
        <f>IF($DI856="",0,IF(SUMPRODUCT(--EXACT($DI$4:DI855,$DI856))&gt;0,1,0))</f>
        <v/>
      </c>
      <c r="DK856">
        <f>IF(AND($DI856&lt;&gt;"",$DJ856=0),1,0)</f>
        <v/>
      </c>
      <c r="DL856">
        <f>DL855+$DK856</f>
        <v/>
      </c>
      <c r="DM856">
        <f>IF(AND($DK856=1,$DL856&lt;=600),1,0)</f>
        <v/>
      </c>
      <c r="DN856">
        <f>IF($DM856=0,"",IF($L$6=0,"",IFERROR(IF(ISNUMBER(INDEX(PASTE_ALL,$DF856,$L$6)),INDEX(PASTE_ALL,$DF856,$L$6),TRIM(SUBSTITUTE(SUBSTITUTE(SUBSTITUTE(SUBSTITUTE(INDEX(PASTE_ALL,$DF856,$L$6)," "," "),CHAR(9)," "),CHAR(10)," "),CHAR(13)," "))),"")))</f>
        <v/>
      </c>
      <c r="DO856">
        <f>IF($DM856=0,"",IF($L$7=0,"",IFERROR(IF(ISNUMBER(INDEX(PASTE_ALL,$DF856,$L$7)),INDEX(PASTE_ALL,$DF856,$L$7),TRIM(SUBSTITUTE(SUBSTITUTE(SUBSTITUTE(SUBSTITUTE(INDEX(PASTE_ALL,$DF856,$L$7)," "," "),CHAR(9)," "),CHAR(10)," "),CHAR(13)," "))),"")))</f>
        <v/>
      </c>
      <c r="DP856">
        <f>IF($DM856=0,"",IF($L$8=0,"",IFERROR(IF(ISNUMBER(INDEX(PASTE_ALL,$DF856,$L$8)),INDEX(PASTE_ALL,$DF856,$L$8),TRIM(SUBSTITUTE(SUBSTITUTE(SUBSTITUTE(SUBSTITUTE(INDEX(PASTE_ALL,$DF856,$L$8)," "," "),CHAR(9)," "),CHAR(10)," "),CHAR(13)," "))),"")))</f>
        <v/>
      </c>
      <c r="DQ856">
        <f>IF($DM856=0,"",IF($L$9=0,"",IFERROR(IF(ISNUMBER(INDEX(PASTE_ALL,$DF856,$L$9)),INDEX(PASTE_ALL,$DF856,$L$9),TRIM(SUBSTITUTE(SUBSTITUTE(SUBSTITUTE(SUBSTITUTE(INDEX(PASTE_ALL,$DF856,$L$9)," "," "),CHAR(9)," "),CHAR(10)," "),CHAR(13)," "))),"")))</f>
        <v/>
      </c>
      <c r="DR856">
        <f>IF($DM856=0,"",IF($L$10=0,"",IFERROR(IF(ISNUMBER(INDEX(PASTE_ALL,$DF856,$L$10)),INDEX(PASTE_ALL,$DF856,$L$10),TRIM(SUBSTITUTE(SUBSTITUTE(SUBSTITUTE(SUBSTITUTE(INDEX(PASTE_ALL,$DF856,$L$10)," "," "),CHAR(9)," "),CHAR(10)," "),CHAR(13)," "))),"")))</f>
        <v/>
      </c>
      <c r="DS856">
        <f>IF($DM856=0,"",IF($L$11=0,"",IFERROR(IF(ISNUMBER(INDEX(PASTE_ALL,$DF856,$L$11)),INDEX(PASTE_ALL,$DF856,$L$11),TRIM(SUBSTITUTE(SUBSTITUTE(SUBSTITUTE(SUBSTITUTE(INDEX(PASTE_ALL,$DF856,$L$11)," "," "),CHAR(9)," "),CHAR(10)," "),CHAR(13)," "))),"")))</f>
        <v/>
      </c>
      <c r="DT856">
        <f>IF($DM856=0,"",IF($L$12=0,"",IFERROR(IF(ISNUMBER(INDEX(PASTE_ALL,$DF856,$L$12)),INDEX(PASTE_ALL,$DF856,$L$12),TRIM(SUBSTITUTE(SUBSTITUTE(SUBSTITUTE(SUBSTITUTE(INDEX(PASTE_ALL,$DF856,$L$12)," "," "),CHAR(9)," "),CHAR(10)," "),CHAR(13)," "))),"")))</f>
        <v/>
      </c>
      <c r="DU856">
        <f>IF($DM856=0,"",IF($L$13=0,"",IFERROR(IF(ISNUMBER(INDEX(PASTE_ALL,$DF856,$L$13)),INDEX(PASTE_ALL,$DF856,$L$13),TRIM(SUBSTITUTE(SUBSTITUTE(SUBSTITUTE(SUBSTITUTE(INDEX(PASTE_ALL,$DF856,$L$13)," "," "),CHAR(9)," "),CHAR(10)," "),CHAR(13)," "))),"")))</f>
        <v/>
      </c>
      <c r="DV856">
        <f>IF($DM856=0,"",IF($L$14=0,"",IFERROR(IF(ISNUMBER(INDEX(PASTE_ALL,$DF856,$L$14)),INDEX(PASTE_ALL,$DF856,$L$14),TRIM(SUBSTITUTE(SUBSTITUTE(SUBSTITUTE(SUBSTITUTE(INDEX(PASTE_ALL,$DF856,$L$14)," "," "),CHAR(9)," "),CHAR(10)," "),CHAR(13)," "))),"")))</f>
        <v/>
      </c>
      <c r="DW856">
        <f>IF($DM856=0,"",IF($L$15=0,"",IFERROR(IF(ISNUMBER(INDEX(PASTE_ALL,$DF856,$L$15)),INDEX(PASTE_ALL,$DF856,$L$15),IF(SUMPRODUCT(--ISNUMBER(FIND({"A","B","C","D","E","F","G","H","I","J","K","L","M","N","O","P","Q","R","S","T","U","V","W","X","Y","Z","0","1","2","3","4","5","6","7","8","9"},UPPER(TRIM(SUBSTITUTE(SUBSTITUTE(SUBSTITUTE(SUBSTITUTE(INDEX(PASTE_ALL,$DF856,$L$15)," "," "),CHAR(9)," "),CHAR(10)," "),CHAR(13)," "))))))&gt;0,TRIM(SUBSTITUTE(SUBSTITUTE(SUBSTITUTE(SUBSTITUTE(INDEX(PASTE_ALL,$DF856,$L$15)," "," "),CHAR(9)," "),CHAR(10)," "),CHAR(13)," ")),"")),"")))</f>
        <v/>
      </c>
      <c r="DX856">
        <f>IF($DM856=0,"",IF($L$16=0,"",IFERROR(IF(ISNUMBER(INDEX(PASTE_ALL,$DF856,$L$16)),INDEX(PASTE_ALL,$DF856,$L$16),SUBSTITUTE(SUBSTITUTE(TRIM(SUBSTITUTE(SUBSTITUTE(SUBSTITUTE(SUBSTITUTE(INDEX(PASTE_ALL,$DF856,$L$16)," "," "),CHAR(9)," "),CHAR(10)," "),CHAR(13)," ")),",",""),"%","")),"")))</f>
        <v/>
      </c>
      <c r="DY856">
        <f>IF($DM856=0,"",IFERROR(IF(ISNUMBER($DX856),$DX856,IF($DX856="","",IF(TRIM($DX856)="",0,IF(AND(AND(SUBSTITUTE(SUBSTITUTE(SUBSTITUTE(SUBSTITUTE(SUBSTITUTE(SUBSTITUTE(SUBSTITUTE(SUBSTITUTE(SUBSTITUTE(SUBSTITUTE(SUBSTITUTE(SUBSTITUTE(SUBSTITUTE(SUBSTITUTE(UPPER(TRIM($DX856)),"0",""),"1",""),"2",""),"3",""),"4",""),"5",""),"6",""),"7",""),"8",""),"9",""),".",""),"+",""),"-",""),"E","")="",LEN(SUBSTITUTE(SUBSTITUTE(MID(UPPER(TRIM($DX856)),1+OR(LEFT(UPPER(TRIM($DX856)),1)="+",LEFT(UPPER(TRIM($DX856)),1)="-"),999),"E+","E"),"E-","E"))=LEN(SUBSTITUTE(SUBSTITUTE(SUBSTITUTE(SUBSTITUTE(MID(UPPER(TRIM($DX856)),1+OR(LEFT(UPPER(TRIM($DX856)),1)="+",LEFT(UPPER(TRIM($DX856)),1)="-"),999),"E+","E"),"E-","E"),"+",""),"-","")),LEN(UPPER(TRIM($DX856)))-LEN(SUBSTITUTE(UPPER(TRIM($DX856)),"E",""))&lt;2,LEN(UPPER(TRIM($DX856)))-LEN(SUBSTITUTE(UPPER(TRIM($DX856)),".",""))&lt;2,IFERROR(FIND(".",UPPER(TRIM($DX856))),0)&lt;IFERROR(FIND("E",UPPER(TRIM($DX856))),999)),ISNUMBER(VALUE(TRIM($DX856)))),VALUE(TRIM($DX856)),"")))),""))</f>
        <v/>
      </c>
      <c r="DZ856">
        <f>IF($DM856=0,"",IF($L$17=0,"",IFERROR(IF(ISNUMBER(INDEX(PASTE_ALL,$DF856,$L$17)),INDEX(PASTE_ALL,$DF856,$L$17),SUBSTITUTE(SUBSTITUTE(TRIM(SUBSTITUTE(SUBSTITUTE(SUBSTITUTE(SUBSTITUTE(INDEX(PASTE_ALL,$DF856,$L$17)," "," "),CHAR(9)," "),CHAR(10)," "),CHAR(13)," ")),",",""),"%","")),"")))</f>
        <v/>
      </c>
      <c r="EA856">
        <f>IF($DM856=0,"",IFERROR(IF(ISNUMBER($DZ856),$DZ856,IF($DZ856="","",IF(TRIM($DZ856)="",0,IF(AND(AND(SUBSTITUTE(SUBSTITUTE(SUBSTITUTE(SUBSTITUTE(SUBSTITUTE(SUBSTITUTE(SUBSTITUTE(SUBSTITUTE(SUBSTITUTE(SUBSTITUTE(SUBSTITUTE(SUBSTITUTE(SUBSTITUTE(SUBSTITUTE(UPPER(TRIM($DZ856)),"0",""),"1",""),"2",""),"3",""),"4",""),"5",""),"6",""),"7",""),"8",""),"9",""),".",""),"+",""),"-",""),"E","")="",LEN(SUBSTITUTE(SUBSTITUTE(MID(UPPER(TRIM($DZ856)),1+OR(LEFT(UPPER(TRIM($DZ856)),1)="+",LEFT(UPPER(TRIM($DZ856)),1)="-"),999),"E+","E"),"E-","E"))=LEN(SUBSTITUTE(SUBSTITUTE(SUBSTITUTE(SUBSTITUTE(MID(UPPER(TRIM($DZ856)),1+OR(LEFT(UPPER(TRIM($DZ856)),1)="+",LEFT(UPPER(TRIM($DZ856)),1)="-"),999),"E+","E"),"E-","E"),"+",""),"-","")),LEN(UPPER(TRIM($DZ856)))-LEN(SUBSTITUTE(UPPER(TRIM($DZ856)),"E",""))&lt;2,LEN(UPPER(TRIM($DZ856)))-LEN(SUBSTITUTE(UPPER(TRIM($DZ856)),".",""))&lt;2,IFERROR(FIND(".",UPPER(TRIM($DZ856))),0)&lt;IFERROR(FIND("E",UPPER(TRIM($DZ856))),999)),ISNUMBER(VALUE(TRIM($DZ856)))),VALUE(TRIM($DZ856)),"")))),""))</f>
        <v/>
      </c>
      <c r="EB856">
        <f>IF($DM856=0,"",IF($L$18=0,"",IFERROR(IF(UPPER(TRIM(SUBSTITUTE(SUBSTITUTE(SUBSTITUTE(SUBSTITUTE(INDEX(PASTE_ALL,$DF856,$L$18)," "," "),CHAR(9)," "),CHAR(10)," "),CHAR(13)," ")))="READY","Ready",IF(UPPER(TRIM(SUBSTITUTE(SUBSTITUTE(SUBSTITUTE(SUBSTITUTE(INDEX(PASTE_ALL,$DF856,$L$18)," "," "),CHAR(9)," "),CHAR(10)," "),CHAR(13)," ")))="PM","PM",IF(OR(UPPER(TRIM(SUBSTITUTE(SUBSTITUTE(SUBSTITUTE(SUBSTITUTE(INDEX(PASTE_ALL,$DF856,$L$18)," "," "),CHAR(9)," "),CHAR(10)," "),CHAR(13)," ")))="OT",UPPER(TRIM(SUBSTITUTE(SUBSTITUTE(SUBSTITUTE(SUBSTITUTE(INDEX(PASTE_ALL,$DF856,$L$18)," "," "),CHAR(9)," "),CHAR(10)," "),CHAR(13)," ")))="OVERTIME",UPPER(TRIM(SUBSTITUTE(SUBSTITUTE(SUBSTITUTE(SUBSTITUTE(INDEX(PASTE_ALL,$DF856,$L$18)," "," "),CHAR(9)," "),CHAR(10)," "),CHAR(13)," ")))="TRIAL"),"OT",TRIM(SUBSTITUTE(SUBSTITUTE(SUBSTITUTE(SUBSTITUTE(INDEX(PASTE_ALL,$DF856,$L$18)," "," "),CHAR(9)," "),CHAR(10)," "),CHAR(13)," "))))),"")))</f>
        <v/>
      </c>
      <c r="EC856">
        <f>IF($DM856=0,"",IF($L$19=0,"",IFERROR(IF(ISNUMBER(INDEX(PASTE_ALL,$DF856,$L$19)),INDEX(PASTE_ALL,$DF856,$L$19),TRIM(SUBSTITUTE(SUBSTITUTE(SUBSTITUTE(SUBSTITUTE(INDEX(PASTE_ALL,$DF856,$L$19)," "," "),CHAR(9)," "),CHAR(10)," "),CHAR(13)," "))),"")))</f>
        <v/>
      </c>
      <c r="ED856">
        <f>IF($DM856=0,"",MATCH(1,INDEX(EXACT($DH$5:DH856,$DH856)*$DM$5:DM856,0),0))</f>
        <v/>
      </c>
      <c r="EE856">
        <f>IF($DM856=0,0,IF($ED856=$DE856,1,0))</f>
        <v/>
      </c>
      <c r="EF856">
        <f>EF855+$EE856</f>
        <v/>
      </c>
      <c r="EG856">
        <f>IF($DM856=0,"",INDEX($EF$5:$EF$1003,$ED856))</f>
        <v/>
      </c>
      <c r="EH856">
        <f>IF($DM856=0,"",IF($DO856&lt;&gt;"","",IFERROR(LOOKUP(2,1/(($EG$4:EG855=$EG856)*($DO$4:DO855&lt;&gt;"")),$DO$4:DO855),"")))</f>
        <v/>
      </c>
      <c r="EI856">
        <f>IF($DM856=0,"",IF($DO856&lt;&gt;"",$DO856,$EH856))</f>
        <v/>
      </c>
      <c r="EJ856">
        <f>IF($DM856=0,"",IF($EI856="",0,IF(OR(ISNUMBER($EI856),AND(AND(SUBSTITUTE(SUBSTITUTE(SUBSTITUTE(SUBSTITUTE(SUBSTITUTE(SUBSTITUTE(SUBSTITUTE(SUBSTITUTE(SUBSTITUTE(SUBSTITUTE(SUBSTITUTE(SUBSTITUTE(SUBSTITUTE(SUBSTITUTE(UPPER($EI856),"0",""),"1",""),"2",""),"3",""),"4",""),"5",""),"6",""),"7",""),"8",""),"9",""),".",""),"+",""),"-",""),"E","")="",LEN(SUBSTITUTE(SUBSTITUTE(MID(UPPER($EI856),1+OR(LEFT(UPPER($EI856),1)="+",LEFT(UPPER($EI856),1)="-"),999),"E+","E"),"E-","E"))=LEN(SUBSTITUTE(SUBSTITUTE(SUBSTITUTE(SUBSTITUTE(MID(UPPER($EI856),1+OR(LEFT(UPPER($EI856),1)="+",LEFT(UPPER($EI856),1)="-"),999),"E+","E"),"E-","E"),"+",""),"-","")),LEN(UPPER($EI856))-LEN(SUBSTITUTE(UPPER($EI856),"E",""))&lt;2,LEN(UPPER($EI856))-LEN(SUBSTITUTE(UPPER($EI856),".",""))&lt;2,IFERROR(FIND(".",UPPER($EI856)),0)&lt;IFERROR(FIND("E",UPPER($EI856)),999)),ISNUMBER(VALUE($EI856)))),1,2)))</f>
        <v/>
      </c>
      <c r="EK856">
        <f>IF($DM856=0,"",IF($EJ856=1,IF(ISNUMBER($EI856),$EI856,VALUE($EI856)),IF($EJ856=2,$DE856,0)))</f>
        <v/>
      </c>
      <c r="EL856">
        <f>IF($DM856=0,"",COUNTIF($EG$5:$EG$1003,"&lt;"&amp;$EG856)+SUMPRODUCT(($EG$5:$EG$1003=$EG856)*(($EJ$5:$EJ$1003&lt;$EJ856)+($EJ$5:$EJ$1003=$EJ856)*(($EK$5:$EK$1003&lt;$EK856)+($EK$5:$EK$1003=$EK856)*($DE$5:$DE$1003&lt;$DE856))))+1)</f>
        <v/>
      </c>
      <c r="EM856">
        <f>IF($DM856=0,"",$EL856+$EG856-1)</f>
        <v/>
      </c>
      <c r="EN856">
        <f>IF($DM856=0,0,IFERROR(MATCH(1,INDEX(--(TRIM(SUBSTITUTE(SUBSTITUTE(SUBSTITUTE(SUBSTITUTE(LINES_NAME&amp;""," "," "),CHAR(9)," "),CHAR(10)," "),CHAR(13)," "))=$DH856),0),0),0))</f>
        <v/>
      </c>
      <c r="EO856">
        <f>IF($EN856=0,0,IF(OR(UPPER(TRIM(INDEX(LINES_SCHEDULED,$EN856)&amp;""))="YES",UPPER(TRIM(INDEX(LINES_SCHEDULED,$EN856)&amp;""))="Y",UPPER(TRIM(INDEX(LINES_SCHEDULED,$EN856)&amp;""))="X"),1,0))</f>
        <v/>
      </c>
      <c r="EP856">
        <f>IF($DM856=0,"",IF(COUNTIFS($EG$5:$EG$1003,$EG856,$EB$5:$EB$1003,"Ready")&gt;0,"READY",IF(COUNTIFS($EG$5:$EG$1003,$EG856,$EB$5:$EB$1003,"PM")&gt;0,"PM",IF(COUNTIFS($EG$5:$EG$1003,$EG856,$EB$5:$EB$1003,"OT")&gt;0,"OT",""))))</f>
        <v/>
      </c>
      <c r="EQ856">
        <f>IF($EN856=0,"",UPPER(TRIM(INDEX(LINES_STATUS,$EN856)&amp;"")))</f>
        <v/>
      </c>
      <c r="ER856">
        <f>IF($DM856=0,"",IF(OR($EQ856="READY",$EQ856="PM",$EQ856="OT"),$EQ856,$EP856))</f>
        <v/>
      </c>
      <c r="ES856">
        <f>IF($DM856=0,"",IF(AND($DV856&lt;&gt;"",UPPER($DV856)&lt;&gt;"N"),"allergen",IF(ISNUMBER(SEARCH("oil",$DQ856)),"oil",IF(OR(EXACT($DS856,"A662"),EXACT($DS856,"A624")),"bulk",""))))</f>
        <v/>
      </c>
      <c r="ET856">
        <f>IF($DM856=0,"",IF(OR($EA856="",$EA856=0),"",$EA856/100))</f>
        <v/>
      </c>
      <c r="EU856">
        <f>IF(OR($ET856="",$DY856=""),"",INT($DY856*(1-$ET856)+0.5))</f>
        <v/>
      </c>
    </row>
    <row r="857">
      <c r="DA857" t="n">
        <v>853</v>
      </c>
      <c r="DB857">
        <f>IF($B$37=0,"",IFERROR(TRIM(SUBSTITUTE(SUBSTITUTE(SUBSTITUTE(SUBSTITUTE(INDEX(PASTE_ALL,853,$B$37)," "," "),CHAR(9)," "),CHAR(10)," "),CHAR(13)," ")),""))</f>
        <v/>
      </c>
      <c r="DC857">
        <f>IF(AND(853&gt;HEADER_ROW,UPPER(DB857)="LEGEND"),1,0)</f>
        <v/>
      </c>
      <c r="DE857" t="n">
        <v>853</v>
      </c>
      <c r="DF857">
        <f>HEADER_ROW+$DE857</f>
        <v/>
      </c>
      <c r="DG857">
        <f>IF(AND($DF857&lt;=1000,$DF857&lt;$B$8),1,0)</f>
        <v/>
      </c>
      <c r="DH857">
        <f>IF($DG857=1,IFERROR(INDEX($DB$5:$DB$1004,$DF857),""),"")</f>
        <v/>
      </c>
      <c r="DI857">
        <f>IF(AND($DG857=1,$DH857&lt;&gt;""),IFERROR(SUBSTITUTE(SUBSTITUTE(TRIM(SUBSTITUTE(SUBSTITUTE(SUBSTITUTE(SUBSTITUTE(IFERROR(INDEX(PASTE_ALL,$DF857,1)&amp;"","")&amp;"␟"&amp;IFERROR(INDEX(PASTE_ALL,$DF857,2)&amp;"","")&amp;"␟"&amp;IFERROR(INDEX(PASTE_ALL,$DF857,3)&amp;"","")&amp;"␟"&amp;IFERROR(INDEX(PASTE_ALL,$DF857,4)&amp;"","")&amp;"␟"&amp;IFERROR(INDEX(PASTE_ALL,$DF857,5)&amp;"","")&amp;"␟"&amp;IFERROR(INDEX(PASTE_ALL,$DF857,6)&amp;"","")&amp;"␟"&amp;IFERROR(INDEX(PASTE_ALL,$DF857,7)&amp;"","")&amp;"␟"&amp;IFERROR(INDEX(PASTE_ALL,$DF857,8)&amp;"","")&amp;"␟"&amp;IFERROR(INDEX(PASTE_ALL,$DF857,9)&amp;"","")&amp;"␟"&amp;IFERROR(INDEX(PASTE_ALL,$DF857,10)&amp;"","")&amp;"␟"&amp;IFERROR(INDEX(PASTE_ALL,$DF857,11)&amp;"","")&amp;"␟"&amp;IFERROR(INDEX(PASTE_ALL,$DF857,12)&amp;"","")&amp;"␟"&amp;IFERROR(INDEX(PASTE_ALL,$DF857,13)&amp;"","")&amp;"␟"&amp;IFERROR(INDEX(PASTE_ALL,$DF857,14)&amp;"","")&amp;"␟"&amp;IFERROR(INDEX(PASTE_ALL,$DF857,15)&amp;"","")&amp;"␟"&amp;IFERROR(INDEX(PASTE_ALL,$DF857,16)&amp;"","")&amp;"␟"&amp;IFERROR(INDEX(PASTE_ALL,$DF857,17)&amp;"","")&amp;"␟"&amp;IFERROR(INDEX(PASTE_ALL,$DF857,18)&amp;"","")&amp;"␟"&amp;IFERROR(INDEX(PASTE_ALL,$DF857,19)&amp;"","")&amp;"␟"&amp;IFERROR(INDEX(PASTE_ALL,$DF857,20)&amp;"","")&amp;"␟"&amp;IFERROR(INDEX(PASTE_ALL,$DF857,21)&amp;"","")&amp;"␟"&amp;IFERROR(INDEX(PASTE_ALL,$DF857,22)&amp;"","")&amp;"␟"&amp;IFERROR(INDEX(PASTE_ALL,$DF857,23)&amp;"","")&amp;"␟"&amp;IFERROR(INDEX(PASTE_ALL,$DF857,24)&amp;"","")&amp;"␟"&amp;IFERROR(INDEX(PASTE_ALL,$DF857,25)&amp;"","")&amp;"␟"&amp;IFERROR(INDEX(PASTE_ALL,$DF857,26)&amp;"","")&amp;"␟"&amp;IFERROR(INDEX(PASTE_ALL,$DF857,27)&amp;"","")&amp;"␟"&amp;IFERROR(INDEX(PASTE_ALL,$DF857,28)&amp;"","")&amp;"␟"&amp;IFERROR(INDEX(PASTE_ALL,$DF857,29)&amp;"","")&amp;"␟"&amp;IFERROR(INDEX(PASTE_ALL,$DF857,30)&amp;"","")&amp;"␟"&amp;IFERROR(INDEX(PASTE_ALL,$DF857,31)&amp;"","")&amp;"␟"&amp;IFERROR(INDEX(PASTE_ALL,$DF857,32)&amp;"","")&amp;"␟"&amp;IFERROR(INDEX(PASTE_ALL,$DF857,33)&amp;"","")&amp;"␟"&amp;IFERROR(INDEX(PASTE_ALL,$DF857,34)&amp;"","")&amp;"␟"&amp;IFERROR(INDEX(PASTE_ALL,$DF857,35)&amp;"","")&amp;"␟"&amp;IFERROR(INDEX(PASTE_ALL,$DF857,36)&amp;"","")&amp;"␟"&amp;IFERROR(INDEX(PASTE_ALL,$DF857,37)&amp;"","")&amp;"␟"&amp;IFERROR(INDEX(PASTE_ALL,$DF857,38)&amp;"","")&amp;"␟"&amp;IFERROR(INDEX(PASTE_ALL,$DF857,39)&amp;"","")&amp;"␟"&amp;IFERROR(INDEX(PASTE_ALL,$DF857,40)&amp;"","")&amp;"␟"&amp;IFERROR(INDEX(PASTE_ALL,$DF857,41)&amp;"","")&amp;"␟"&amp;IFERROR(INDEX(PASTE_ALL,$DF857,42)&amp;"","")&amp;"␟"&amp;IFERROR(INDEX(PASTE_ALL,$DF857,43)&amp;"","")&amp;"␟"&amp;IFERROR(INDEX(PASTE_ALL,$DF857,44)&amp;"","")&amp;"␟"&amp;IFERROR(INDEX(PASTE_ALL,$DF857,45)&amp;"","")&amp;"␟"&amp;IFERROR(INDEX(PASTE_ALL,$DF857,46)&amp;"","")&amp;"␟"&amp;IFERROR(INDEX(PASTE_ALL,$DF857,47)&amp;"","")&amp;"␟"&amp;IFERROR(INDEX(PASTE_ALL,$DF857,48)&amp;"","")&amp;"␟"&amp;IFERROR(INDEX(PASTE_ALL,$DF857,49)&amp;"","")&amp;"␟"&amp;IFERROR(INDEX(PASTE_ALL,$DF857,50)&amp;"","")&amp;"␟"&amp;IFERROR(INDEX(PASTE_ALL,$DF857,51)&amp;"","")&amp;"␟"&amp;IFERROR(INDEX(PASTE_ALL,$DF857,52)&amp;"","")&amp;"␟"&amp;IFERROR(INDEX(PASTE_ALL,$DF857,53)&amp;"","")&amp;"␟"&amp;IFERROR(INDEX(PASTE_ALL,$DF857,54)&amp;"","")&amp;"␟"&amp;IFERROR(INDEX(PASTE_ALL,$DF857,55)&amp;"","")&amp;"␟"&amp;IFERROR(INDEX(PASTE_ALL,$DF857,56)&amp;"","")&amp;"␟"&amp;IFERROR(INDEX(PASTE_ALL,$DF857,57)&amp;"","")&amp;"␟"&amp;IFERROR(INDEX(PASTE_ALL,$DF857,58)&amp;"","")&amp;"␟"&amp;IFERROR(INDEX(PASTE_ALL,$DF857,59)&amp;"","")&amp;"␟"&amp;IFERROR(INDEX(PASTE_ALL,$DF857,60)&amp;"","")," "," "),CHAR(9)," "),CHAR(10)," "),CHAR(13)," "))," ␟","␟"),"␟ ","␟"),"#"&amp;$DE857),"")</f>
        <v/>
      </c>
      <c r="DJ857">
        <f>IF($DI857="",0,IF(SUMPRODUCT(--EXACT($DI$4:DI856,$DI857))&gt;0,1,0))</f>
        <v/>
      </c>
      <c r="DK857">
        <f>IF(AND($DI857&lt;&gt;"",$DJ857=0),1,0)</f>
        <v/>
      </c>
      <c r="DL857">
        <f>DL856+$DK857</f>
        <v/>
      </c>
      <c r="DM857">
        <f>IF(AND($DK857=1,$DL857&lt;=600),1,0)</f>
        <v/>
      </c>
      <c r="DN857">
        <f>IF($DM857=0,"",IF($L$6=0,"",IFERROR(IF(ISNUMBER(INDEX(PASTE_ALL,$DF857,$L$6)),INDEX(PASTE_ALL,$DF857,$L$6),TRIM(SUBSTITUTE(SUBSTITUTE(SUBSTITUTE(SUBSTITUTE(INDEX(PASTE_ALL,$DF857,$L$6)," "," "),CHAR(9)," "),CHAR(10)," "),CHAR(13)," "))),"")))</f>
        <v/>
      </c>
      <c r="DO857">
        <f>IF($DM857=0,"",IF($L$7=0,"",IFERROR(IF(ISNUMBER(INDEX(PASTE_ALL,$DF857,$L$7)),INDEX(PASTE_ALL,$DF857,$L$7),TRIM(SUBSTITUTE(SUBSTITUTE(SUBSTITUTE(SUBSTITUTE(INDEX(PASTE_ALL,$DF857,$L$7)," "," "),CHAR(9)," "),CHAR(10)," "),CHAR(13)," "))),"")))</f>
        <v/>
      </c>
      <c r="DP857">
        <f>IF($DM857=0,"",IF($L$8=0,"",IFERROR(IF(ISNUMBER(INDEX(PASTE_ALL,$DF857,$L$8)),INDEX(PASTE_ALL,$DF857,$L$8),TRIM(SUBSTITUTE(SUBSTITUTE(SUBSTITUTE(SUBSTITUTE(INDEX(PASTE_ALL,$DF857,$L$8)," "," "),CHAR(9)," "),CHAR(10)," "),CHAR(13)," "))),"")))</f>
        <v/>
      </c>
      <c r="DQ857">
        <f>IF($DM857=0,"",IF($L$9=0,"",IFERROR(IF(ISNUMBER(INDEX(PASTE_ALL,$DF857,$L$9)),INDEX(PASTE_ALL,$DF857,$L$9),TRIM(SUBSTITUTE(SUBSTITUTE(SUBSTITUTE(SUBSTITUTE(INDEX(PASTE_ALL,$DF857,$L$9)," "," "),CHAR(9)," "),CHAR(10)," "),CHAR(13)," "))),"")))</f>
        <v/>
      </c>
      <c r="DR857">
        <f>IF($DM857=0,"",IF($L$10=0,"",IFERROR(IF(ISNUMBER(INDEX(PASTE_ALL,$DF857,$L$10)),INDEX(PASTE_ALL,$DF857,$L$10),TRIM(SUBSTITUTE(SUBSTITUTE(SUBSTITUTE(SUBSTITUTE(INDEX(PASTE_ALL,$DF857,$L$10)," "," "),CHAR(9)," "),CHAR(10)," "),CHAR(13)," "))),"")))</f>
        <v/>
      </c>
      <c r="DS857">
        <f>IF($DM857=0,"",IF($L$11=0,"",IFERROR(IF(ISNUMBER(INDEX(PASTE_ALL,$DF857,$L$11)),INDEX(PASTE_ALL,$DF857,$L$11),TRIM(SUBSTITUTE(SUBSTITUTE(SUBSTITUTE(SUBSTITUTE(INDEX(PASTE_ALL,$DF857,$L$11)," "," "),CHAR(9)," "),CHAR(10)," "),CHAR(13)," "))),"")))</f>
        <v/>
      </c>
      <c r="DT857">
        <f>IF($DM857=0,"",IF($L$12=0,"",IFERROR(IF(ISNUMBER(INDEX(PASTE_ALL,$DF857,$L$12)),INDEX(PASTE_ALL,$DF857,$L$12),TRIM(SUBSTITUTE(SUBSTITUTE(SUBSTITUTE(SUBSTITUTE(INDEX(PASTE_ALL,$DF857,$L$12)," "," "),CHAR(9)," "),CHAR(10)," "),CHAR(13)," "))),"")))</f>
        <v/>
      </c>
      <c r="DU857">
        <f>IF($DM857=0,"",IF($L$13=0,"",IFERROR(IF(ISNUMBER(INDEX(PASTE_ALL,$DF857,$L$13)),INDEX(PASTE_ALL,$DF857,$L$13),TRIM(SUBSTITUTE(SUBSTITUTE(SUBSTITUTE(SUBSTITUTE(INDEX(PASTE_ALL,$DF857,$L$13)," "," "),CHAR(9)," "),CHAR(10)," "),CHAR(13)," "))),"")))</f>
        <v/>
      </c>
      <c r="DV857">
        <f>IF($DM857=0,"",IF($L$14=0,"",IFERROR(IF(ISNUMBER(INDEX(PASTE_ALL,$DF857,$L$14)),INDEX(PASTE_ALL,$DF857,$L$14),TRIM(SUBSTITUTE(SUBSTITUTE(SUBSTITUTE(SUBSTITUTE(INDEX(PASTE_ALL,$DF857,$L$14)," "," "),CHAR(9)," "),CHAR(10)," "),CHAR(13)," "))),"")))</f>
        <v/>
      </c>
      <c r="DW857">
        <f>IF($DM857=0,"",IF($L$15=0,"",IFERROR(IF(ISNUMBER(INDEX(PASTE_ALL,$DF857,$L$15)),INDEX(PASTE_ALL,$DF857,$L$15),IF(SUMPRODUCT(--ISNUMBER(FIND({"A","B","C","D","E","F","G","H","I","J","K","L","M","N","O","P","Q","R","S","T","U","V","W","X","Y","Z","0","1","2","3","4","5","6","7","8","9"},UPPER(TRIM(SUBSTITUTE(SUBSTITUTE(SUBSTITUTE(SUBSTITUTE(INDEX(PASTE_ALL,$DF857,$L$15)," "," "),CHAR(9)," "),CHAR(10)," "),CHAR(13)," "))))))&gt;0,TRIM(SUBSTITUTE(SUBSTITUTE(SUBSTITUTE(SUBSTITUTE(INDEX(PASTE_ALL,$DF857,$L$15)," "," "),CHAR(9)," "),CHAR(10)," "),CHAR(13)," ")),"")),"")))</f>
        <v/>
      </c>
      <c r="DX857">
        <f>IF($DM857=0,"",IF($L$16=0,"",IFERROR(IF(ISNUMBER(INDEX(PASTE_ALL,$DF857,$L$16)),INDEX(PASTE_ALL,$DF857,$L$16),SUBSTITUTE(SUBSTITUTE(TRIM(SUBSTITUTE(SUBSTITUTE(SUBSTITUTE(SUBSTITUTE(INDEX(PASTE_ALL,$DF857,$L$16)," "," "),CHAR(9)," "),CHAR(10)," "),CHAR(13)," ")),",",""),"%","")),"")))</f>
        <v/>
      </c>
      <c r="DY857">
        <f>IF($DM857=0,"",IFERROR(IF(ISNUMBER($DX857),$DX857,IF($DX857="","",IF(TRIM($DX857)="",0,IF(AND(AND(SUBSTITUTE(SUBSTITUTE(SUBSTITUTE(SUBSTITUTE(SUBSTITUTE(SUBSTITUTE(SUBSTITUTE(SUBSTITUTE(SUBSTITUTE(SUBSTITUTE(SUBSTITUTE(SUBSTITUTE(SUBSTITUTE(SUBSTITUTE(UPPER(TRIM($DX857)),"0",""),"1",""),"2",""),"3",""),"4",""),"5",""),"6",""),"7",""),"8",""),"9",""),".",""),"+",""),"-",""),"E","")="",LEN(SUBSTITUTE(SUBSTITUTE(MID(UPPER(TRIM($DX857)),1+OR(LEFT(UPPER(TRIM($DX857)),1)="+",LEFT(UPPER(TRIM($DX857)),1)="-"),999),"E+","E"),"E-","E"))=LEN(SUBSTITUTE(SUBSTITUTE(SUBSTITUTE(SUBSTITUTE(MID(UPPER(TRIM($DX857)),1+OR(LEFT(UPPER(TRIM($DX857)),1)="+",LEFT(UPPER(TRIM($DX857)),1)="-"),999),"E+","E"),"E-","E"),"+",""),"-","")),LEN(UPPER(TRIM($DX857)))-LEN(SUBSTITUTE(UPPER(TRIM($DX857)),"E",""))&lt;2,LEN(UPPER(TRIM($DX857)))-LEN(SUBSTITUTE(UPPER(TRIM($DX857)),".",""))&lt;2,IFERROR(FIND(".",UPPER(TRIM($DX857))),0)&lt;IFERROR(FIND("E",UPPER(TRIM($DX857))),999)),ISNUMBER(VALUE(TRIM($DX857)))),VALUE(TRIM($DX857)),"")))),""))</f>
        <v/>
      </c>
      <c r="DZ857">
        <f>IF($DM857=0,"",IF($L$17=0,"",IFERROR(IF(ISNUMBER(INDEX(PASTE_ALL,$DF857,$L$17)),INDEX(PASTE_ALL,$DF857,$L$17),SUBSTITUTE(SUBSTITUTE(TRIM(SUBSTITUTE(SUBSTITUTE(SUBSTITUTE(SUBSTITUTE(INDEX(PASTE_ALL,$DF857,$L$17)," "," "),CHAR(9)," "),CHAR(10)," "),CHAR(13)," ")),",",""),"%","")),"")))</f>
        <v/>
      </c>
      <c r="EA857">
        <f>IF($DM857=0,"",IFERROR(IF(ISNUMBER($DZ857),$DZ857,IF($DZ857="","",IF(TRIM($DZ857)="",0,IF(AND(AND(SUBSTITUTE(SUBSTITUTE(SUBSTITUTE(SUBSTITUTE(SUBSTITUTE(SUBSTITUTE(SUBSTITUTE(SUBSTITUTE(SUBSTITUTE(SUBSTITUTE(SUBSTITUTE(SUBSTITUTE(SUBSTITUTE(SUBSTITUTE(UPPER(TRIM($DZ857)),"0",""),"1",""),"2",""),"3",""),"4",""),"5",""),"6",""),"7",""),"8",""),"9",""),".",""),"+",""),"-",""),"E","")="",LEN(SUBSTITUTE(SUBSTITUTE(MID(UPPER(TRIM($DZ857)),1+OR(LEFT(UPPER(TRIM($DZ857)),1)="+",LEFT(UPPER(TRIM($DZ857)),1)="-"),999),"E+","E"),"E-","E"))=LEN(SUBSTITUTE(SUBSTITUTE(SUBSTITUTE(SUBSTITUTE(MID(UPPER(TRIM($DZ857)),1+OR(LEFT(UPPER(TRIM($DZ857)),1)="+",LEFT(UPPER(TRIM($DZ857)),1)="-"),999),"E+","E"),"E-","E"),"+",""),"-","")),LEN(UPPER(TRIM($DZ857)))-LEN(SUBSTITUTE(UPPER(TRIM($DZ857)),"E",""))&lt;2,LEN(UPPER(TRIM($DZ857)))-LEN(SUBSTITUTE(UPPER(TRIM($DZ857)),".",""))&lt;2,IFERROR(FIND(".",UPPER(TRIM($DZ857))),0)&lt;IFERROR(FIND("E",UPPER(TRIM($DZ857))),999)),ISNUMBER(VALUE(TRIM($DZ857)))),VALUE(TRIM($DZ857)),"")))),""))</f>
        <v/>
      </c>
      <c r="EB857">
        <f>IF($DM857=0,"",IF($L$18=0,"",IFERROR(IF(UPPER(TRIM(SUBSTITUTE(SUBSTITUTE(SUBSTITUTE(SUBSTITUTE(INDEX(PASTE_ALL,$DF857,$L$18)," "," "),CHAR(9)," "),CHAR(10)," "),CHAR(13)," ")))="READY","Ready",IF(UPPER(TRIM(SUBSTITUTE(SUBSTITUTE(SUBSTITUTE(SUBSTITUTE(INDEX(PASTE_ALL,$DF857,$L$18)," "," "),CHAR(9)," "),CHAR(10)," "),CHAR(13)," ")))="PM","PM",IF(OR(UPPER(TRIM(SUBSTITUTE(SUBSTITUTE(SUBSTITUTE(SUBSTITUTE(INDEX(PASTE_ALL,$DF857,$L$18)," "," "),CHAR(9)," "),CHAR(10)," "),CHAR(13)," ")))="OT",UPPER(TRIM(SUBSTITUTE(SUBSTITUTE(SUBSTITUTE(SUBSTITUTE(INDEX(PASTE_ALL,$DF857,$L$18)," "," "),CHAR(9)," "),CHAR(10)," "),CHAR(13)," ")))="OVERTIME",UPPER(TRIM(SUBSTITUTE(SUBSTITUTE(SUBSTITUTE(SUBSTITUTE(INDEX(PASTE_ALL,$DF857,$L$18)," "," "),CHAR(9)," "),CHAR(10)," "),CHAR(13)," ")))="TRIAL"),"OT",TRIM(SUBSTITUTE(SUBSTITUTE(SUBSTITUTE(SUBSTITUTE(INDEX(PASTE_ALL,$DF857,$L$18)," "," "),CHAR(9)," "),CHAR(10)," "),CHAR(13)," "))))),"")))</f>
        <v/>
      </c>
      <c r="EC857">
        <f>IF($DM857=0,"",IF($L$19=0,"",IFERROR(IF(ISNUMBER(INDEX(PASTE_ALL,$DF857,$L$19)),INDEX(PASTE_ALL,$DF857,$L$19),TRIM(SUBSTITUTE(SUBSTITUTE(SUBSTITUTE(SUBSTITUTE(INDEX(PASTE_ALL,$DF857,$L$19)," "," "),CHAR(9)," "),CHAR(10)," "),CHAR(13)," "))),"")))</f>
        <v/>
      </c>
      <c r="ED857">
        <f>IF($DM857=0,"",MATCH(1,INDEX(EXACT($DH$5:DH857,$DH857)*$DM$5:DM857,0),0))</f>
        <v/>
      </c>
      <c r="EE857">
        <f>IF($DM857=0,0,IF($ED857=$DE857,1,0))</f>
        <v/>
      </c>
      <c r="EF857">
        <f>EF856+$EE857</f>
        <v/>
      </c>
      <c r="EG857">
        <f>IF($DM857=0,"",INDEX($EF$5:$EF$1003,$ED857))</f>
        <v/>
      </c>
      <c r="EH857">
        <f>IF($DM857=0,"",IF($DO857&lt;&gt;"","",IFERROR(LOOKUP(2,1/(($EG$4:EG856=$EG857)*($DO$4:DO856&lt;&gt;"")),$DO$4:DO856),"")))</f>
        <v/>
      </c>
      <c r="EI857">
        <f>IF($DM857=0,"",IF($DO857&lt;&gt;"",$DO857,$EH857))</f>
        <v/>
      </c>
      <c r="EJ857">
        <f>IF($DM857=0,"",IF($EI857="",0,IF(OR(ISNUMBER($EI857),AND(AND(SUBSTITUTE(SUBSTITUTE(SUBSTITUTE(SUBSTITUTE(SUBSTITUTE(SUBSTITUTE(SUBSTITUTE(SUBSTITUTE(SUBSTITUTE(SUBSTITUTE(SUBSTITUTE(SUBSTITUTE(SUBSTITUTE(SUBSTITUTE(UPPER($EI857),"0",""),"1",""),"2",""),"3",""),"4",""),"5",""),"6",""),"7",""),"8",""),"9",""),".",""),"+",""),"-",""),"E","")="",LEN(SUBSTITUTE(SUBSTITUTE(MID(UPPER($EI857),1+OR(LEFT(UPPER($EI857),1)="+",LEFT(UPPER($EI857),1)="-"),999),"E+","E"),"E-","E"))=LEN(SUBSTITUTE(SUBSTITUTE(SUBSTITUTE(SUBSTITUTE(MID(UPPER($EI857),1+OR(LEFT(UPPER($EI857),1)="+",LEFT(UPPER($EI857),1)="-"),999),"E+","E"),"E-","E"),"+",""),"-","")),LEN(UPPER($EI857))-LEN(SUBSTITUTE(UPPER($EI857),"E",""))&lt;2,LEN(UPPER($EI857))-LEN(SUBSTITUTE(UPPER($EI857),".",""))&lt;2,IFERROR(FIND(".",UPPER($EI857)),0)&lt;IFERROR(FIND("E",UPPER($EI857)),999)),ISNUMBER(VALUE($EI857)))),1,2)))</f>
        <v/>
      </c>
      <c r="EK857">
        <f>IF($DM857=0,"",IF($EJ857=1,IF(ISNUMBER($EI857),$EI857,VALUE($EI857)),IF($EJ857=2,$DE857,0)))</f>
        <v/>
      </c>
      <c r="EL857">
        <f>IF($DM857=0,"",COUNTIF($EG$5:$EG$1003,"&lt;"&amp;$EG857)+SUMPRODUCT(($EG$5:$EG$1003=$EG857)*(($EJ$5:$EJ$1003&lt;$EJ857)+($EJ$5:$EJ$1003=$EJ857)*(($EK$5:$EK$1003&lt;$EK857)+($EK$5:$EK$1003=$EK857)*($DE$5:$DE$1003&lt;$DE857))))+1)</f>
        <v/>
      </c>
      <c r="EM857">
        <f>IF($DM857=0,"",$EL857+$EG857-1)</f>
        <v/>
      </c>
      <c r="EN857">
        <f>IF($DM857=0,0,IFERROR(MATCH(1,INDEX(--(TRIM(SUBSTITUTE(SUBSTITUTE(SUBSTITUTE(SUBSTITUTE(LINES_NAME&amp;""," "," "),CHAR(9)," "),CHAR(10)," "),CHAR(13)," "))=$DH857),0),0),0))</f>
        <v/>
      </c>
      <c r="EO857">
        <f>IF($EN857=0,0,IF(OR(UPPER(TRIM(INDEX(LINES_SCHEDULED,$EN857)&amp;""))="YES",UPPER(TRIM(INDEX(LINES_SCHEDULED,$EN857)&amp;""))="Y",UPPER(TRIM(INDEX(LINES_SCHEDULED,$EN857)&amp;""))="X"),1,0))</f>
        <v/>
      </c>
      <c r="EP857">
        <f>IF($DM857=0,"",IF(COUNTIFS($EG$5:$EG$1003,$EG857,$EB$5:$EB$1003,"Ready")&gt;0,"READY",IF(COUNTIFS($EG$5:$EG$1003,$EG857,$EB$5:$EB$1003,"PM")&gt;0,"PM",IF(COUNTIFS($EG$5:$EG$1003,$EG857,$EB$5:$EB$1003,"OT")&gt;0,"OT",""))))</f>
        <v/>
      </c>
      <c r="EQ857">
        <f>IF($EN857=0,"",UPPER(TRIM(INDEX(LINES_STATUS,$EN857)&amp;"")))</f>
        <v/>
      </c>
      <c r="ER857">
        <f>IF($DM857=0,"",IF(OR($EQ857="READY",$EQ857="PM",$EQ857="OT"),$EQ857,$EP857))</f>
        <v/>
      </c>
      <c r="ES857">
        <f>IF($DM857=0,"",IF(AND($DV857&lt;&gt;"",UPPER($DV857)&lt;&gt;"N"),"allergen",IF(ISNUMBER(SEARCH("oil",$DQ857)),"oil",IF(OR(EXACT($DS857,"A662"),EXACT($DS857,"A624")),"bulk",""))))</f>
        <v/>
      </c>
      <c r="ET857">
        <f>IF($DM857=0,"",IF(OR($EA857="",$EA857=0),"",$EA857/100))</f>
        <v/>
      </c>
      <c r="EU857">
        <f>IF(OR($ET857="",$DY857=""),"",INT($DY857*(1-$ET857)+0.5))</f>
        <v/>
      </c>
    </row>
    <row r="858">
      <c r="DA858" t="n">
        <v>854</v>
      </c>
      <c r="DB858">
        <f>IF($B$37=0,"",IFERROR(TRIM(SUBSTITUTE(SUBSTITUTE(SUBSTITUTE(SUBSTITUTE(INDEX(PASTE_ALL,854,$B$37)," "," "),CHAR(9)," "),CHAR(10)," "),CHAR(13)," ")),""))</f>
        <v/>
      </c>
      <c r="DC858">
        <f>IF(AND(854&gt;HEADER_ROW,UPPER(DB858)="LEGEND"),1,0)</f>
        <v/>
      </c>
      <c r="DE858" t="n">
        <v>854</v>
      </c>
      <c r="DF858">
        <f>HEADER_ROW+$DE858</f>
        <v/>
      </c>
      <c r="DG858">
        <f>IF(AND($DF858&lt;=1000,$DF858&lt;$B$8),1,0)</f>
        <v/>
      </c>
      <c r="DH858">
        <f>IF($DG858=1,IFERROR(INDEX($DB$5:$DB$1004,$DF858),""),"")</f>
        <v/>
      </c>
      <c r="DI858">
        <f>IF(AND($DG858=1,$DH858&lt;&gt;""),IFERROR(SUBSTITUTE(SUBSTITUTE(TRIM(SUBSTITUTE(SUBSTITUTE(SUBSTITUTE(SUBSTITUTE(IFERROR(INDEX(PASTE_ALL,$DF858,1)&amp;"","")&amp;"␟"&amp;IFERROR(INDEX(PASTE_ALL,$DF858,2)&amp;"","")&amp;"␟"&amp;IFERROR(INDEX(PASTE_ALL,$DF858,3)&amp;"","")&amp;"␟"&amp;IFERROR(INDEX(PASTE_ALL,$DF858,4)&amp;"","")&amp;"␟"&amp;IFERROR(INDEX(PASTE_ALL,$DF858,5)&amp;"","")&amp;"␟"&amp;IFERROR(INDEX(PASTE_ALL,$DF858,6)&amp;"","")&amp;"␟"&amp;IFERROR(INDEX(PASTE_ALL,$DF858,7)&amp;"","")&amp;"␟"&amp;IFERROR(INDEX(PASTE_ALL,$DF858,8)&amp;"","")&amp;"␟"&amp;IFERROR(INDEX(PASTE_ALL,$DF858,9)&amp;"","")&amp;"␟"&amp;IFERROR(INDEX(PASTE_ALL,$DF858,10)&amp;"","")&amp;"␟"&amp;IFERROR(INDEX(PASTE_ALL,$DF858,11)&amp;"","")&amp;"␟"&amp;IFERROR(INDEX(PASTE_ALL,$DF858,12)&amp;"","")&amp;"␟"&amp;IFERROR(INDEX(PASTE_ALL,$DF858,13)&amp;"","")&amp;"␟"&amp;IFERROR(INDEX(PASTE_ALL,$DF858,14)&amp;"","")&amp;"␟"&amp;IFERROR(INDEX(PASTE_ALL,$DF858,15)&amp;"","")&amp;"␟"&amp;IFERROR(INDEX(PASTE_ALL,$DF858,16)&amp;"","")&amp;"␟"&amp;IFERROR(INDEX(PASTE_ALL,$DF858,17)&amp;"","")&amp;"␟"&amp;IFERROR(INDEX(PASTE_ALL,$DF858,18)&amp;"","")&amp;"␟"&amp;IFERROR(INDEX(PASTE_ALL,$DF858,19)&amp;"","")&amp;"␟"&amp;IFERROR(INDEX(PASTE_ALL,$DF858,20)&amp;"","")&amp;"␟"&amp;IFERROR(INDEX(PASTE_ALL,$DF858,21)&amp;"","")&amp;"␟"&amp;IFERROR(INDEX(PASTE_ALL,$DF858,22)&amp;"","")&amp;"␟"&amp;IFERROR(INDEX(PASTE_ALL,$DF858,23)&amp;"","")&amp;"␟"&amp;IFERROR(INDEX(PASTE_ALL,$DF858,24)&amp;"","")&amp;"␟"&amp;IFERROR(INDEX(PASTE_ALL,$DF858,25)&amp;"","")&amp;"␟"&amp;IFERROR(INDEX(PASTE_ALL,$DF858,26)&amp;"","")&amp;"␟"&amp;IFERROR(INDEX(PASTE_ALL,$DF858,27)&amp;"","")&amp;"␟"&amp;IFERROR(INDEX(PASTE_ALL,$DF858,28)&amp;"","")&amp;"␟"&amp;IFERROR(INDEX(PASTE_ALL,$DF858,29)&amp;"","")&amp;"␟"&amp;IFERROR(INDEX(PASTE_ALL,$DF858,30)&amp;"","")&amp;"␟"&amp;IFERROR(INDEX(PASTE_ALL,$DF858,31)&amp;"","")&amp;"␟"&amp;IFERROR(INDEX(PASTE_ALL,$DF858,32)&amp;"","")&amp;"␟"&amp;IFERROR(INDEX(PASTE_ALL,$DF858,33)&amp;"","")&amp;"␟"&amp;IFERROR(INDEX(PASTE_ALL,$DF858,34)&amp;"","")&amp;"␟"&amp;IFERROR(INDEX(PASTE_ALL,$DF858,35)&amp;"","")&amp;"␟"&amp;IFERROR(INDEX(PASTE_ALL,$DF858,36)&amp;"","")&amp;"␟"&amp;IFERROR(INDEX(PASTE_ALL,$DF858,37)&amp;"","")&amp;"␟"&amp;IFERROR(INDEX(PASTE_ALL,$DF858,38)&amp;"","")&amp;"␟"&amp;IFERROR(INDEX(PASTE_ALL,$DF858,39)&amp;"","")&amp;"␟"&amp;IFERROR(INDEX(PASTE_ALL,$DF858,40)&amp;"","")&amp;"␟"&amp;IFERROR(INDEX(PASTE_ALL,$DF858,41)&amp;"","")&amp;"␟"&amp;IFERROR(INDEX(PASTE_ALL,$DF858,42)&amp;"","")&amp;"␟"&amp;IFERROR(INDEX(PASTE_ALL,$DF858,43)&amp;"","")&amp;"␟"&amp;IFERROR(INDEX(PASTE_ALL,$DF858,44)&amp;"","")&amp;"␟"&amp;IFERROR(INDEX(PASTE_ALL,$DF858,45)&amp;"","")&amp;"␟"&amp;IFERROR(INDEX(PASTE_ALL,$DF858,46)&amp;"","")&amp;"␟"&amp;IFERROR(INDEX(PASTE_ALL,$DF858,47)&amp;"","")&amp;"␟"&amp;IFERROR(INDEX(PASTE_ALL,$DF858,48)&amp;"","")&amp;"␟"&amp;IFERROR(INDEX(PASTE_ALL,$DF858,49)&amp;"","")&amp;"␟"&amp;IFERROR(INDEX(PASTE_ALL,$DF858,50)&amp;"","")&amp;"␟"&amp;IFERROR(INDEX(PASTE_ALL,$DF858,51)&amp;"","")&amp;"␟"&amp;IFERROR(INDEX(PASTE_ALL,$DF858,52)&amp;"","")&amp;"␟"&amp;IFERROR(INDEX(PASTE_ALL,$DF858,53)&amp;"","")&amp;"␟"&amp;IFERROR(INDEX(PASTE_ALL,$DF858,54)&amp;"","")&amp;"␟"&amp;IFERROR(INDEX(PASTE_ALL,$DF858,55)&amp;"","")&amp;"␟"&amp;IFERROR(INDEX(PASTE_ALL,$DF858,56)&amp;"","")&amp;"␟"&amp;IFERROR(INDEX(PASTE_ALL,$DF858,57)&amp;"","")&amp;"␟"&amp;IFERROR(INDEX(PASTE_ALL,$DF858,58)&amp;"","")&amp;"␟"&amp;IFERROR(INDEX(PASTE_ALL,$DF858,59)&amp;"","")&amp;"␟"&amp;IFERROR(INDEX(PASTE_ALL,$DF858,60)&amp;"","")," "," "),CHAR(9)," "),CHAR(10)," "),CHAR(13)," "))," ␟","␟"),"␟ ","␟"),"#"&amp;$DE858),"")</f>
        <v/>
      </c>
      <c r="DJ858">
        <f>IF($DI858="",0,IF(SUMPRODUCT(--EXACT($DI$4:DI857,$DI858))&gt;0,1,0))</f>
        <v/>
      </c>
      <c r="DK858">
        <f>IF(AND($DI858&lt;&gt;"",$DJ858=0),1,0)</f>
        <v/>
      </c>
      <c r="DL858">
        <f>DL857+$DK858</f>
        <v/>
      </c>
      <c r="DM858">
        <f>IF(AND($DK858=1,$DL858&lt;=600),1,0)</f>
        <v/>
      </c>
      <c r="DN858">
        <f>IF($DM858=0,"",IF($L$6=0,"",IFERROR(IF(ISNUMBER(INDEX(PASTE_ALL,$DF858,$L$6)),INDEX(PASTE_ALL,$DF858,$L$6),TRIM(SUBSTITUTE(SUBSTITUTE(SUBSTITUTE(SUBSTITUTE(INDEX(PASTE_ALL,$DF858,$L$6)," "," "),CHAR(9)," "),CHAR(10)," "),CHAR(13)," "))),"")))</f>
        <v/>
      </c>
      <c r="DO858">
        <f>IF($DM858=0,"",IF($L$7=0,"",IFERROR(IF(ISNUMBER(INDEX(PASTE_ALL,$DF858,$L$7)),INDEX(PASTE_ALL,$DF858,$L$7),TRIM(SUBSTITUTE(SUBSTITUTE(SUBSTITUTE(SUBSTITUTE(INDEX(PASTE_ALL,$DF858,$L$7)," "," "),CHAR(9)," "),CHAR(10)," "),CHAR(13)," "))),"")))</f>
        <v/>
      </c>
      <c r="DP858">
        <f>IF($DM858=0,"",IF($L$8=0,"",IFERROR(IF(ISNUMBER(INDEX(PASTE_ALL,$DF858,$L$8)),INDEX(PASTE_ALL,$DF858,$L$8),TRIM(SUBSTITUTE(SUBSTITUTE(SUBSTITUTE(SUBSTITUTE(INDEX(PASTE_ALL,$DF858,$L$8)," "," "),CHAR(9)," "),CHAR(10)," "),CHAR(13)," "))),"")))</f>
        <v/>
      </c>
      <c r="DQ858">
        <f>IF($DM858=0,"",IF($L$9=0,"",IFERROR(IF(ISNUMBER(INDEX(PASTE_ALL,$DF858,$L$9)),INDEX(PASTE_ALL,$DF858,$L$9),TRIM(SUBSTITUTE(SUBSTITUTE(SUBSTITUTE(SUBSTITUTE(INDEX(PASTE_ALL,$DF858,$L$9)," "," "),CHAR(9)," "),CHAR(10)," "),CHAR(13)," "))),"")))</f>
        <v/>
      </c>
      <c r="DR858">
        <f>IF($DM858=0,"",IF($L$10=0,"",IFERROR(IF(ISNUMBER(INDEX(PASTE_ALL,$DF858,$L$10)),INDEX(PASTE_ALL,$DF858,$L$10),TRIM(SUBSTITUTE(SUBSTITUTE(SUBSTITUTE(SUBSTITUTE(INDEX(PASTE_ALL,$DF858,$L$10)," "," "),CHAR(9)," "),CHAR(10)," "),CHAR(13)," "))),"")))</f>
        <v/>
      </c>
      <c r="DS858">
        <f>IF($DM858=0,"",IF($L$11=0,"",IFERROR(IF(ISNUMBER(INDEX(PASTE_ALL,$DF858,$L$11)),INDEX(PASTE_ALL,$DF858,$L$11),TRIM(SUBSTITUTE(SUBSTITUTE(SUBSTITUTE(SUBSTITUTE(INDEX(PASTE_ALL,$DF858,$L$11)," "," "),CHAR(9)," "),CHAR(10)," "),CHAR(13)," "))),"")))</f>
        <v/>
      </c>
      <c r="DT858">
        <f>IF($DM858=0,"",IF($L$12=0,"",IFERROR(IF(ISNUMBER(INDEX(PASTE_ALL,$DF858,$L$12)),INDEX(PASTE_ALL,$DF858,$L$12),TRIM(SUBSTITUTE(SUBSTITUTE(SUBSTITUTE(SUBSTITUTE(INDEX(PASTE_ALL,$DF858,$L$12)," "," "),CHAR(9)," "),CHAR(10)," "),CHAR(13)," "))),"")))</f>
        <v/>
      </c>
      <c r="DU858">
        <f>IF($DM858=0,"",IF($L$13=0,"",IFERROR(IF(ISNUMBER(INDEX(PASTE_ALL,$DF858,$L$13)),INDEX(PASTE_ALL,$DF858,$L$13),TRIM(SUBSTITUTE(SUBSTITUTE(SUBSTITUTE(SUBSTITUTE(INDEX(PASTE_ALL,$DF858,$L$13)," "," "),CHAR(9)," "),CHAR(10)," "),CHAR(13)," "))),"")))</f>
        <v/>
      </c>
      <c r="DV858">
        <f>IF($DM858=0,"",IF($L$14=0,"",IFERROR(IF(ISNUMBER(INDEX(PASTE_ALL,$DF858,$L$14)),INDEX(PASTE_ALL,$DF858,$L$14),TRIM(SUBSTITUTE(SUBSTITUTE(SUBSTITUTE(SUBSTITUTE(INDEX(PASTE_ALL,$DF858,$L$14)," "," "),CHAR(9)," "),CHAR(10)," "),CHAR(13)," "))),"")))</f>
        <v/>
      </c>
      <c r="DW858">
        <f>IF($DM858=0,"",IF($L$15=0,"",IFERROR(IF(ISNUMBER(INDEX(PASTE_ALL,$DF858,$L$15)),INDEX(PASTE_ALL,$DF858,$L$15),IF(SUMPRODUCT(--ISNUMBER(FIND({"A","B","C","D","E","F","G","H","I","J","K","L","M","N","O","P","Q","R","S","T","U","V","W","X","Y","Z","0","1","2","3","4","5","6","7","8","9"},UPPER(TRIM(SUBSTITUTE(SUBSTITUTE(SUBSTITUTE(SUBSTITUTE(INDEX(PASTE_ALL,$DF858,$L$15)," "," "),CHAR(9)," "),CHAR(10)," "),CHAR(13)," "))))))&gt;0,TRIM(SUBSTITUTE(SUBSTITUTE(SUBSTITUTE(SUBSTITUTE(INDEX(PASTE_ALL,$DF858,$L$15)," "," "),CHAR(9)," "),CHAR(10)," "),CHAR(13)," ")),"")),"")))</f>
        <v/>
      </c>
      <c r="DX858">
        <f>IF($DM858=0,"",IF($L$16=0,"",IFERROR(IF(ISNUMBER(INDEX(PASTE_ALL,$DF858,$L$16)),INDEX(PASTE_ALL,$DF858,$L$16),SUBSTITUTE(SUBSTITUTE(TRIM(SUBSTITUTE(SUBSTITUTE(SUBSTITUTE(SUBSTITUTE(INDEX(PASTE_ALL,$DF858,$L$16)," "," "),CHAR(9)," "),CHAR(10)," "),CHAR(13)," ")),",",""),"%","")),"")))</f>
        <v/>
      </c>
      <c r="DY858">
        <f>IF($DM858=0,"",IFERROR(IF(ISNUMBER($DX858),$DX858,IF($DX858="","",IF(TRIM($DX858)="",0,IF(AND(AND(SUBSTITUTE(SUBSTITUTE(SUBSTITUTE(SUBSTITUTE(SUBSTITUTE(SUBSTITUTE(SUBSTITUTE(SUBSTITUTE(SUBSTITUTE(SUBSTITUTE(SUBSTITUTE(SUBSTITUTE(SUBSTITUTE(SUBSTITUTE(UPPER(TRIM($DX858)),"0",""),"1",""),"2",""),"3",""),"4",""),"5",""),"6",""),"7",""),"8",""),"9",""),".",""),"+",""),"-",""),"E","")="",LEN(SUBSTITUTE(SUBSTITUTE(MID(UPPER(TRIM($DX858)),1+OR(LEFT(UPPER(TRIM($DX858)),1)="+",LEFT(UPPER(TRIM($DX858)),1)="-"),999),"E+","E"),"E-","E"))=LEN(SUBSTITUTE(SUBSTITUTE(SUBSTITUTE(SUBSTITUTE(MID(UPPER(TRIM($DX858)),1+OR(LEFT(UPPER(TRIM($DX858)),1)="+",LEFT(UPPER(TRIM($DX858)),1)="-"),999),"E+","E"),"E-","E"),"+",""),"-","")),LEN(UPPER(TRIM($DX858)))-LEN(SUBSTITUTE(UPPER(TRIM($DX858)),"E",""))&lt;2,LEN(UPPER(TRIM($DX858)))-LEN(SUBSTITUTE(UPPER(TRIM($DX858)),".",""))&lt;2,IFERROR(FIND(".",UPPER(TRIM($DX858))),0)&lt;IFERROR(FIND("E",UPPER(TRIM($DX858))),999)),ISNUMBER(VALUE(TRIM($DX858)))),VALUE(TRIM($DX858)),"")))),""))</f>
        <v/>
      </c>
      <c r="DZ858">
        <f>IF($DM858=0,"",IF($L$17=0,"",IFERROR(IF(ISNUMBER(INDEX(PASTE_ALL,$DF858,$L$17)),INDEX(PASTE_ALL,$DF858,$L$17),SUBSTITUTE(SUBSTITUTE(TRIM(SUBSTITUTE(SUBSTITUTE(SUBSTITUTE(SUBSTITUTE(INDEX(PASTE_ALL,$DF858,$L$17)," "," "),CHAR(9)," "),CHAR(10)," "),CHAR(13)," ")),",",""),"%","")),"")))</f>
        <v/>
      </c>
      <c r="EA858">
        <f>IF($DM858=0,"",IFERROR(IF(ISNUMBER($DZ858),$DZ858,IF($DZ858="","",IF(TRIM($DZ858)="",0,IF(AND(AND(SUBSTITUTE(SUBSTITUTE(SUBSTITUTE(SUBSTITUTE(SUBSTITUTE(SUBSTITUTE(SUBSTITUTE(SUBSTITUTE(SUBSTITUTE(SUBSTITUTE(SUBSTITUTE(SUBSTITUTE(SUBSTITUTE(SUBSTITUTE(UPPER(TRIM($DZ858)),"0",""),"1",""),"2",""),"3",""),"4",""),"5",""),"6",""),"7",""),"8",""),"9",""),".",""),"+",""),"-",""),"E","")="",LEN(SUBSTITUTE(SUBSTITUTE(MID(UPPER(TRIM($DZ858)),1+OR(LEFT(UPPER(TRIM($DZ858)),1)="+",LEFT(UPPER(TRIM($DZ858)),1)="-"),999),"E+","E"),"E-","E"))=LEN(SUBSTITUTE(SUBSTITUTE(SUBSTITUTE(SUBSTITUTE(MID(UPPER(TRIM($DZ858)),1+OR(LEFT(UPPER(TRIM($DZ858)),1)="+",LEFT(UPPER(TRIM($DZ858)),1)="-"),999),"E+","E"),"E-","E"),"+",""),"-","")),LEN(UPPER(TRIM($DZ858)))-LEN(SUBSTITUTE(UPPER(TRIM($DZ858)),"E",""))&lt;2,LEN(UPPER(TRIM($DZ858)))-LEN(SUBSTITUTE(UPPER(TRIM($DZ858)),".",""))&lt;2,IFERROR(FIND(".",UPPER(TRIM($DZ858))),0)&lt;IFERROR(FIND("E",UPPER(TRIM($DZ858))),999)),ISNUMBER(VALUE(TRIM($DZ858)))),VALUE(TRIM($DZ858)),"")))),""))</f>
        <v/>
      </c>
      <c r="EB858">
        <f>IF($DM858=0,"",IF($L$18=0,"",IFERROR(IF(UPPER(TRIM(SUBSTITUTE(SUBSTITUTE(SUBSTITUTE(SUBSTITUTE(INDEX(PASTE_ALL,$DF858,$L$18)," "," "),CHAR(9)," "),CHAR(10)," "),CHAR(13)," ")))="READY","Ready",IF(UPPER(TRIM(SUBSTITUTE(SUBSTITUTE(SUBSTITUTE(SUBSTITUTE(INDEX(PASTE_ALL,$DF858,$L$18)," "," "),CHAR(9)," "),CHAR(10)," "),CHAR(13)," ")))="PM","PM",IF(OR(UPPER(TRIM(SUBSTITUTE(SUBSTITUTE(SUBSTITUTE(SUBSTITUTE(INDEX(PASTE_ALL,$DF858,$L$18)," "," "),CHAR(9)," "),CHAR(10)," "),CHAR(13)," ")))="OT",UPPER(TRIM(SUBSTITUTE(SUBSTITUTE(SUBSTITUTE(SUBSTITUTE(INDEX(PASTE_ALL,$DF858,$L$18)," "," "),CHAR(9)," "),CHAR(10)," "),CHAR(13)," ")))="OVERTIME",UPPER(TRIM(SUBSTITUTE(SUBSTITUTE(SUBSTITUTE(SUBSTITUTE(INDEX(PASTE_ALL,$DF858,$L$18)," "," "),CHAR(9)," "),CHAR(10)," "),CHAR(13)," ")))="TRIAL"),"OT",TRIM(SUBSTITUTE(SUBSTITUTE(SUBSTITUTE(SUBSTITUTE(INDEX(PASTE_ALL,$DF858,$L$18)," "," "),CHAR(9)," "),CHAR(10)," "),CHAR(13)," "))))),"")))</f>
        <v/>
      </c>
      <c r="EC858">
        <f>IF($DM858=0,"",IF($L$19=0,"",IFERROR(IF(ISNUMBER(INDEX(PASTE_ALL,$DF858,$L$19)),INDEX(PASTE_ALL,$DF858,$L$19),TRIM(SUBSTITUTE(SUBSTITUTE(SUBSTITUTE(SUBSTITUTE(INDEX(PASTE_ALL,$DF858,$L$19)," "," "),CHAR(9)," "),CHAR(10)," "),CHAR(13)," "))),"")))</f>
        <v/>
      </c>
      <c r="ED858">
        <f>IF($DM858=0,"",MATCH(1,INDEX(EXACT($DH$5:DH858,$DH858)*$DM$5:DM858,0),0))</f>
        <v/>
      </c>
      <c r="EE858">
        <f>IF($DM858=0,0,IF($ED858=$DE858,1,0))</f>
        <v/>
      </c>
      <c r="EF858">
        <f>EF857+$EE858</f>
        <v/>
      </c>
      <c r="EG858">
        <f>IF($DM858=0,"",INDEX($EF$5:$EF$1003,$ED858))</f>
        <v/>
      </c>
      <c r="EH858">
        <f>IF($DM858=0,"",IF($DO858&lt;&gt;"","",IFERROR(LOOKUP(2,1/(($EG$4:EG857=$EG858)*($DO$4:DO857&lt;&gt;"")),$DO$4:DO857),"")))</f>
        <v/>
      </c>
      <c r="EI858">
        <f>IF($DM858=0,"",IF($DO858&lt;&gt;"",$DO858,$EH858))</f>
        <v/>
      </c>
      <c r="EJ858">
        <f>IF($DM858=0,"",IF($EI858="",0,IF(OR(ISNUMBER($EI858),AND(AND(SUBSTITUTE(SUBSTITUTE(SUBSTITUTE(SUBSTITUTE(SUBSTITUTE(SUBSTITUTE(SUBSTITUTE(SUBSTITUTE(SUBSTITUTE(SUBSTITUTE(SUBSTITUTE(SUBSTITUTE(SUBSTITUTE(SUBSTITUTE(UPPER($EI858),"0",""),"1",""),"2",""),"3",""),"4",""),"5",""),"6",""),"7",""),"8",""),"9",""),".",""),"+",""),"-",""),"E","")="",LEN(SUBSTITUTE(SUBSTITUTE(MID(UPPER($EI858),1+OR(LEFT(UPPER($EI858),1)="+",LEFT(UPPER($EI858),1)="-"),999),"E+","E"),"E-","E"))=LEN(SUBSTITUTE(SUBSTITUTE(SUBSTITUTE(SUBSTITUTE(MID(UPPER($EI858),1+OR(LEFT(UPPER($EI858),1)="+",LEFT(UPPER($EI858),1)="-"),999),"E+","E"),"E-","E"),"+",""),"-","")),LEN(UPPER($EI858))-LEN(SUBSTITUTE(UPPER($EI858),"E",""))&lt;2,LEN(UPPER($EI858))-LEN(SUBSTITUTE(UPPER($EI858),".",""))&lt;2,IFERROR(FIND(".",UPPER($EI858)),0)&lt;IFERROR(FIND("E",UPPER($EI858)),999)),ISNUMBER(VALUE($EI858)))),1,2)))</f>
        <v/>
      </c>
      <c r="EK858">
        <f>IF($DM858=0,"",IF($EJ858=1,IF(ISNUMBER($EI858),$EI858,VALUE($EI858)),IF($EJ858=2,$DE858,0)))</f>
        <v/>
      </c>
      <c r="EL858">
        <f>IF($DM858=0,"",COUNTIF($EG$5:$EG$1003,"&lt;"&amp;$EG858)+SUMPRODUCT(($EG$5:$EG$1003=$EG858)*(($EJ$5:$EJ$1003&lt;$EJ858)+($EJ$5:$EJ$1003=$EJ858)*(($EK$5:$EK$1003&lt;$EK858)+($EK$5:$EK$1003=$EK858)*($DE$5:$DE$1003&lt;$DE858))))+1)</f>
        <v/>
      </c>
      <c r="EM858">
        <f>IF($DM858=0,"",$EL858+$EG858-1)</f>
        <v/>
      </c>
      <c r="EN858">
        <f>IF($DM858=0,0,IFERROR(MATCH(1,INDEX(--(TRIM(SUBSTITUTE(SUBSTITUTE(SUBSTITUTE(SUBSTITUTE(LINES_NAME&amp;""," "," "),CHAR(9)," "),CHAR(10)," "),CHAR(13)," "))=$DH858),0),0),0))</f>
        <v/>
      </c>
      <c r="EO858">
        <f>IF($EN858=0,0,IF(OR(UPPER(TRIM(INDEX(LINES_SCHEDULED,$EN858)&amp;""))="YES",UPPER(TRIM(INDEX(LINES_SCHEDULED,$EN858)&amp;""))="Y",UPPER(TRIM(INDEX(LINES_SCHEDULED,$EN858)&amp;""))="X"),1,0))</f>
        <v/>
      </c>
      <c r="EP858">
        <f>IF($DM858=0,"",IF(COUNTIFS($EG$5:$EG$1003,$EG858,$EB$5:$EB$1003,"Ready")&gt;0,"READY",IF(COUNTIFS($EG$5:$EG$1003,$EG858,$EB$5:$EB$1003,"PM")&gt;0,"PM",IF(COUNTIFS($EG$5:$EG$1003,$EG858,$EB$5:$EB$1003,"OT")&gt;0,"OT",""))))</f>
        <v/>
      </c>
      <c r="EQ858">
        <f>IF($EN858=0,"",UPPER(TRIM(INDEX(LINES_STATUS,$EN858)&amp;"")))</f>
        <v/>
      </c>
      <c r="ER858">
        <f>IF($DM858=0,"",IF(OR($EQ858="READY",$EQ858="PM",$EQ858="OT"),$EQ858,$EP858))</f>
        <v/>
      </c>
      <c r="ES858">
        <f>IF($DM858=0,"",IF(AND($DV858&lt;&gt;"",UPPER($DV858)&lt;&gt;"N"),"allergen",IF(ISNUMBER(SEARCH("oil",$DQ858)),"oil",IF(OR(EXACT($DS858,"A662"),EXACT($DS858,"A624")),"bulk",""))))</f>
        <v/>
      </c>
      <c r="ET858">
        <f>IF($DM858=0,"",IF(OR($EA858="",$EA858=0),"",$EA858/100))</f>
        <v/>
      </c>
      <c r="EU858">
        <f>IF(OR($ET858="",$DY858=""),"",INT($DY858*(1-$ET858)+0.5))</f>
        <v/>
      </c>
    </row>
    <row r="859">
      <c r="DA859" t="n">
        <v>855</v>
      </c>
      <c r="DB859">
        <f>IF($B$37=0,"",IFERROR(TRIM(SUBSTITUTE(SUBSTITUTE(SUBSTITUTE(SUBSTITUTE(INDEX(PASTE_ALL,855,$B$37)," "," "),CHAR(9)," "),CHAR(10)," "),CHAR(13)," ")),""))</f>
        <v/>
      </c>
      <c r="DC859">
        <f>IF(AND(855&gt;HEADER_ROW,UPPER(DB859)="LEGEND"),1,0)</f>
        <v/>
      </c>
      <c r="DE859" t="n">
        <v>855</v>
      </c>
      <c r="DF859">
        <f>HEADER_ROW+$DE859</f>
        <v/>
      </c>
      <c r="DG859">
        <f>IF(AND($DF859&lt;=1000,$DF859&lt;$B$8),1,0)</f>
        <v/>
      </c>
      <c r="DH859">
        <f>IF($DG859=1,IFERROR(INDEX($DB$5:$DB$1004,$DF859),""),"")</f>
        <v/>
      </c>
      <c r="DI859">
        <f>IF(AND($DG859=1,$DH859&lt;&gt;""),IFERROR(SUBSTITUTE(SUBSTITUTE(TRIM(SUBSTITUTE(SUBSTITUTE(SUBSTITUTE(SUBSTITUTE(IFERROR(INDEX(PASTE_ALL,$DF859,1)&amp;"","")&amp;"␟"&amp;IFERROR(INDEX(PASTE_ALL,$DF859,2)&amp;"","")&amp;"␟"&amp;IFERROR(INDEX(PASTE_ALL,$DF859,3)&amp;"","")&amp;"␟"&amp;IFERROR(INDEX(PASTE_ALL,$DF859,4)&amp;"","")&amp;"␟"&amp;IFERROR(INDEX(PASTE_ALL,$DF859,5)&amp;"","")&amp;"␟"&amp;IFERROR(INDEX(PASTE_ALL,$DF859,6)&amp;"","")&amp;"␟"&amp;IFERROR(INDEX(PASTE_ALL,$DF859,7)&amp;"","")&amp;"␟"&amp;IFERROR(INDEX(PASTE_ALL,$DF859,8)&amp;"","")&amp;"␟"&amp;IFERROR(INDEX(PASTE_ALL,$DF859,9)&amp;"","")&amp;"␟"&amp;IFERROR(INDEX(PASTE_ALL,$DF859,10)&amp;"","")&amp;"␟"&amp;IFERROR(INDEX(PASTE_ALL,$DF859,11)&amp;"","")&amp;"␟"&amp;IFERROR(INDEX(PASTE_ALL,$DF859,12)&amp;"","")&amp;"␟"&amp;IFERROR(INDEX(PASTE_ALL,$DF859,13)&amp;"","")&amp;"␟"&amp;IFERROR(INDEX(PASTE_ALL,$DF859,14)&amp;"","")&amp;"␟"&amp;IFERROR(INDEX(PASTE_ALL,$DF859,15)&amp;"","")&amp;"␟"&amp;IFERROR(INDEX(PASTE_ALL,$DF859,16)&amp;"","")&amp;"␟"&amp;IFERROR(INDEX(PASTE_ALL,$DF859,17)&amp;"","")&amp;"␟"&amp;IFERROR(INDEX(PASTE_ALL,$DF859,18)&amp;"","")&amp;"␟"&amp;IFERROR(INDEX(PASTE_ALL,$DF859,19)&amp;"","")&amp;"␟"&amp;IFERROR(INDEX(PASTE_ALL,$DF859,20)&amp;"","")&amp;"␟"&amp;IFERROR(INDEX(PASTE_ALL,$DF859,21)&amp;"","")&amp;"␟"&amp;IFERROR(INDEX(PASTE_ALL,$DF859,22)&amp;"","")&amp;"␟"&amp;IFERROR(INDEX(PASTE_ALL,$DF859,23)&amp;"","")&amp;"␟"&amp;IFERROR(INDEX(PASTE_ALL,$DF859,24)&amp;"","")&amp;"␟"&amp;IFERROR(INDEX(PASTE_ALL,$DF859,25)&amp;"","")&amp;"␟"&amp;IFERROR(INDEX(PASTE_ALL,$DF859,26)&amp;"","")&amp;"␟"&amp;IFERROR(INDEX(PASTE_ALL,$DF859,27)&amp;"","")&amp;"␟"&amp;IFERROR(INDEX(PASTE_ALL,$DF859,28)&amp;"","")&amp;"␟"&amp;IFERROR(INDEX(PASTE_ALL,$DF859,29)&amp;"","")&amp;"␟"&amp;IFERROR(INDEX(PASTE_ALL,$DF859,30)&amp;"","")&amp;"␟"&amp;IFERROR(INDEX(PASTE_ALL,$DF859,31)&amp;"","")&amp;"␟"&amp;IFERROR(INDEX(PASTE_ALL,$DF859,32)&amp;"","")&amp;"␟"&amp;IFERROR(INDEX(PASTE_ALL,$DF859,33)&amp;"","")&amp;"␟"&amp;IFERROR(INDEX(PASTE_ALL,$DF859,34)&amp;"","")&amp;"␟"&amp;IFERROR(INDEX(PASTE_ALL,$DF859,35)&amp;"","")&amp;"␟"&amp;IFERROR(INDEX(PASTE_ALL,$DF859,36)&amp;"","")&amp;"␟"&amp;IFERROR(INDEX(PASTE_ALL,$DF859,37)&amp;"","")&amp;"␟"&amp;IFERROR(INDEX(PASTE_ALL,$DF859,38)&amp;"","")&amp;"␟"&amp;IFERROR(INDEX(PASTE_ALL,$DF859,39)&amp;"","")&amp;"␟"&amp;IFERROR(INDEX(PASTE_ALL,$DF859,40)&amp;"","")&amp;"␟"&amp;IFERROR(INDEX(PASTE_ALL,$DF859,41)&amp;"","")&amp;"␟"&amp;IFERROR(INDEX(PASTE_ALL,$DF859,42)&amp;"","")&amp;"␟"&amp;IFERROR(INDEX(PASTE_ALL,$DF859,43)&amp;"","")&amp;"␟"&amp;IFERROR(INDEX(PASTE_ALL,$DF859,44)&amp;"","")&amp;"␟"&amp;IFERROR(INDEX(PASTE_ALL,$DF859,45)&amp;"","")&amp;"␟"&amp;IFERROR(INDEX(PASTE_ALL,$DF859,46)&amp;"","")&amp;"␟"&amp;IFERROR(INDEX(PASTE_ALL,$DF859,47)&amp;"","")&amp;"␟"&amp;IFERROR(INDEX(PASTE_ALL,$DF859,48)&amp;"","")&amp;"␟"&amp;IFERROR(INDEX(PASTE_ALL,$DF859,49)&amp;"","")&amp;"␟"&amp;IFERROR(INDEX(PASTE_ALL,$DF859,50)&amp;"","")&amp;"␟"&amp;IFERROR(INDEX(PASTE_ALL,$DF859,51)&amp;"","")&amp;"␟"&amp;IFERROR(INDEX(PASTE_ALL,$DF859,52)&amp;"","")&amp;"␟"&amp;IFERROR(INDEX(PASTE_ALL,$DF859,53)&amp;"","")&amp;"␟"&amp;IFERROR(INDEX(PASTE_ALL,$DF859,54)&amp;"","")&amp;"␟"&amp;IFERROR(INDEX(PASTE_ALL,$DF859,55)&amp;"","")&amp;"␟"&amp;IFERROR(INDEX(PASTE_ALL,$DF859,56)&amp;"","")&amp;"␟"&amp;IFERROR(INDEX(PASTE_ALL,$DF859,57)&amp;"","")&amp;"␟"&amp;IFERROR(INDEX(PASTE_ALL,$DF859,58)&amp;"","")&amp;"␟"&amp;IFERROR(INDEX(PASTE_ALL,$DF859,59)&amp;"","")&amp;"␟"&amp;IFERROR(INDEX(PASTE_ALL,$DF859,60)&amp;"","")," "," "),CHAR(9)," "),CHAR(10)," "),CHAR(13)," "))," ␟","␟"),"␟ ","␟"),"#"&amp;$DE859),"")</f>
        <v/>
      </c>
      <c r="DJ859">
        <f>IF($DI859="",0,IF(SUMPRODUCT(--EXACT($DI$4:DI858,$DI859))&gt;0,1,0))</f>
        <v/>
      </c>
      <c r="DK859">
        <f>IF(AND($DI859&lt;&gt;"",$DJ859=0),1,0)</f>
        <v/>
      </c>
      <c r="DL859">
        <f>DL858+$DK859</f>
        <v/>
      </c>
      <c r="DM859">
        <f>IF(AND($DK859=1,$DL859&lt;=600),1,0)</f>
        <v/>
      </c>
      <c r="DN859">
        <f>IF($DM859=0,"",IF($L$6=0,"",IFERROR(IF(ISNUMBER(INDEX(PASTE_ALL,$DF859,$L$6)),INDEX(PASTE_ALL,$DF859,$L$6),TRIM(SUBSTITUTE(SUBSTITUTE(SUBSTITUTE(SUBSTITUTE(INDEX(PASTE_ALL,$DF859,$L$6)," "," "),CHAR(9)," "),CHAR(10)," "),CHAR(13)," "))),"")))</f>
        <v/>
      </c>
      <c r="DO859">
        <f>IF($DM859=0,"",IF($L$7=0,"",IFERROR(IF(ISNUMBER(INDEX(PASTE_ALL,$DF859,$L$7)),INDEX(PASTE_ALL,$DF859,$L$7),TRIM(SUBSTITUTE(SUBSTITUTE(SUBSTITUTE(SUBSTITUTE(INDEX(PASTE_ALL,$DF859,$L$7)," "," "),CHAR(9)," "),CHAR(10)," "),CHAR(13)," "))),"")))</f>
        <v/>
      </c>
      <c r="DP859">
        <f>IF($DM859=0,"",IF($L$8=0,"",IFERROR(IF(ISNUMBER(INDEX(PASTE_ALL,$DF859,$L$8)),INDEX(PASTE_ALL,$DF859,$L$8),TRIM(SUBSTITUTE(SUBSTITUTE(SUBSTITUTE(SUBSTITUTE(INDEX(PASTE_ALL,$DF859,$L$8)," "," "),CHAR(9)," "),CHAR(10)," "),CHAR(13)," "))),"")))</f>
        <v/>
      </c>
      <c r="DQ859">
        <f>IF($DM859=0,"",IF($L$9=0,"",IFERROR(IF(ISNUMBER(INDEX(PASTE_ALL,$DF859,$L$9)),INDEX(PASTE_ALL,$DF859,$L$9),TRIM(SUBSTITUTE(SUBSTITUTE(SUBSTITUTE(SUBSTITUTE(INDEX(PASTE_ALL,$DF859,$L$9)," "," "),CHAR(9)," "),CHAR(10)," "),CHAR(13)," "))),"")))</f>
        <v/>
      </c>
      <c r="DR859">
        <f>IF($DM859=0,"",IF($L$10=0,"",IFERROR(IF(ISNUMBER(INDEX(PASTE_ALL,$DF859,$L$10)),INDEX(PASTE_ALL,$DF859,$L$10),TRIM(SUBSTITUTE(SUBSTITUTE(SUBSTITUTE(SUBSTITUTE(INDEX(PASTE_ALL,$DF859,$L$10)," "," "),CHAR(9)," "),CHAR(10)," "),CHAR(13)," "))),"")))</f>
        <v/>
      </c>
      <c r="DS859">
        <f>IF($DM859=0,"",IF($L$11=0,"",IFERROR(IF(ISNUMBER(INDEX(PASTE_ALL,$DF859,$L$11)),INDEX(PASTE_ALL,$DF859,$L$11),TRIM(SUBSTITUTE(SUBSTITUTE(SUBSTITUTE(SUBSTITUTE(INDEX(PASTE_ALL,$DF859,$L$11)," "," "),CHAR(9)," "),CHAR(10)," "),CHAR(13)," "))),"")))</f>
        <v/>
      </c>
      <c r="DT859">
        <f>IF($DM859=0,"",IF($L$12=0,"",IFERROR(IF(ISNUMBER(INDEX(PASTE_ALL,$DF859,$L$12)),INDEX(PASTE_ALL,$DF859,$L$12),TRIM(SUBSTITUTE(SUBSTITUTE(SUBSTITUTE(SUBSTITUTE(INDEX(PASTE_ALL,$DF859,$L$12)," "," "),CHAR(9)," "),CHAR(10)," "),CHAR(13)," "))),"")))</f>
        <v/>
      </c>
      <c r="DU859">
        <f>IF($DM859=0,"",IF($L$13=0,"",IFERROR(IF(ISNUMBER(INDEX(PASTE_ALL,$DF859,$L$13)),INDEX(PASTE_ALL,$DF859,$L$13),TRIM(SUBSTITUTE(SUBSTITUTE(SUBSTITUTE(SUBSTITUTE(INDEX(PASTE_ALL,$DF859,$L$13)," "," "),CHAR(9)," "),CHAR(10)," "),CHAR(13)," "))),"")))</f>
        <v/>
      </c>
      <c r="DV859">
        <f>IF($DM859=0,"",IF($L$14=0,"",IFERROR(IF(ISNUMBER(INDEX(PASTE_ALL,$DF859,$L$14)),INDEX(PASTE_ALL,$DF859,$L$14),TRIM(SUBSTITUTE(SUBSTITUTE(SUBSTITUTE(SUBSTITUTE(INDEX(PASTE_ALL,$DF859,$L$14)," "," "),CHAR(9)," "),CHAR(10)," "),CHAR(13)," "))),"")))</f>
        <v/>
      </c>
      <c r="DW859">
        <f>IF($DM859=0,"",IF($L$15=0,"",IFERROR(IF(ISNUMBER(INDEX(PASTE_ALL,$DF859,$L$15)),INDEX(PASTE_ALL,$DF859,$L$15),IF(SUMPRODUCT(--ISNUMBER(FIND({"A","B","C","D","E","F","G","H","I","J","K","L","M","N","O","P","Q","R","S","T","U","V","W","X","Y","Z","0","1","2","3","4","5","6","7","8","9"},UPPER(TRIM(SUBSTITUTE(SUBSTITUTE(SUBSTITUTE(SUBSTITUTE(INDEX(PASTE_ALL,$DF859,$L$15)," "," "),CHAR(9)," "),CHAR(10)," "),CHAR(13)," "))))))&gt;0,TRIM(SUBSTITUTE(SUBSTITUTE(SUBSTITUTE(SUBSTITUTE(INDEX(PASTE_ALL,$DF859,$L$15)," "," "),CHAR(9)," "),CHAR(10)," "),CHAR(13)," ")),"")),"")))</f>
        <v/>
      </c>
      <c r="DX859">
        <f>IF($DM859=0,"",IF($L$16=0,"",IFERROR(IF(ISNUMBER(INDEX(PASTE_ALL,$DF859,$L$16)),INDEX(PASTE_ALL,$DF859,$L$16),SUBSTITUTE(SUBSTITUTE(TRIM(SUBSTITUTE(SUBSTITUTE(SUBSTITUTE(SUBSTITUTE(INDEX(PASTE_ALL,$DF859,$L$16)," "," "),CHAR(9)," "),CHAR(10)," "),CHAR(13)," ")),",",""),"%","")),"")))</f>
        <v/>
      </c>
      <c r="DY859">
        <f>IF($DM859=0,"",IFERROR(IF(ISNUMBER($DX859),$DX859,IF($DX859="","",IF(TRIM($DX859)="",0,IF(AND(AND(SUBSTITUTE(SUBSTITUTE(SUBSTITUTE(SUBSTITUTE(SUBSTITUTE(SUBSTITUTE(SUBSTITUTE(SUBSTITUTE(SUBSTITUTE(SUBSTITUTE(SUBSTITUTE(SUBSTITUTE(SUBSTITUTE(SUBSTITUTE(UPPER(TRIM($DX859)),"0",""),"1",""),"2",""),"3",""),"4",""),"5",""),"6",""),"7",""),"8",""),"9",""),".",""),"+",""),"-",""),"E","")="",LEN(SUBSTITUTE(SUBSTITUTE(MID(UPPER(TRIM($DX859)),1+OR(LEFT(UPPER(TRIM($DX859)),1)="+",LEFT(UPPER(TRIM($DX859)),1)="-"),999),"E+","E"),"E-","E"))=LEN(SUBSTITUTE(SUBSTITUTE(SUBSTITUTE(SUBSTITUTE(MID(UPPER(TRIM($DX859)),1+OR(LEFT(UPPER(TRIM($DX859)),1)="+",LEFT(UPPER(TRIM($DX859)),1)="-"),999),"E+","E"),"E-","E"),"+",""),"-","")),LEN(UPPER(TRIM($DX859)))-LEN(SUBSTITUTE(UPPER(TRIM($DX859)),"E",""))&lt;2,LEN(UPPER(TRIM($DX859)))-LEN(SUBSTITUTE(UPPER(TRIM($DX859)),".",""))&lt;2,IFERROR(FIND(".",UPPER(TRIM($DX859))),0)&lt;IFERROR(FIND("E",UPPER(TRIM($DX859))),999)),ISNUMBER(VALUE(TRIM($DX859)))),VALUE(TRIM($DX859)),"")))),""))</f>
        <v/>
      </c>
      <c r="DZ859">
        <f>IF($DM859=0,"",IF($L$17=0,"",IFERROR(IF(ISNUMBER(INDEX(PASTE_ALL,$DF859,$L$17)),INDEX(PASTE_ALL,$DF859,$L$17),SUBSTITUTE(SUBSTITUTE(TRIM(SUBSTITUTE(SUBSTITUTE(SUBSTITUTE(SUBSTITUTE(INDEX(PASTE_ALL,$DF859,$L$17)," "," "),CHAR(9)," "),CHAR(10)," "),CHAR(13)," ")),",",""),"%","")),"")))</f>
        <v/>
      </c>
      <c r="EA859">
        <f>IF($DM859=0,"",IFERROR(IF(ISNUMBER($DZ859),$DZ859,IF($DZ859="","",IF(TRIM($DZ859)="",0,IF(AND(AND(SUBSTITUTE(SUBSTITUTE(SUBSTITUTE(SUBSTITUTE(SUBSTITUTE(SUBSTITUTE(SUBSTITUTE(SUBSTITUTE(SUBSTITUTE(SUBSTITUTE(SUBSTITUTE(SUBSTITUTE(SUBSTITUTE(SUBSTITUTE(UPPER(TRIM($DZ859)),"0",""),"1",""),"2",""),"3",""),"4",""),"5",""),"6",""),"7",""),"8",""),"9",""),".",""),"+",""),"-",""),"E","")="",LEN(SUBSTITUTE(SUBSTITUTE(MID(UPPER(TRIM($DZ859)),1+OR(LEFT(UPPER(TRIM($DZ859)),1)="+",LEFT(UPPER(TRIM($DZ859)),1)="-"),999),"E+","E"),"E-","E"))=LEN(SUBSTITUTE(SUBSTITUTE(SUBSTITUTE(SUBSTITUTE(MID(UPPER(TRIM($DZ859)),1+OR(LEFT(UPPER(TRIM($DZ859)),1)="+",LEFT(UPPER(TRIM($DZ859)),1)="-"),999),"E+","E"),"E-","E"),"+",""),"-","")),LEN(UPPER(TRIM($DZ859)))-LEN(SUBSTITUTE(UPPER(TRIM($DZ859)),"E",""))&lt;2,LEN(UPPER(TRIM($DZ859)))-LEN(SUBSTITUTE(UPPER(TRIM($DZ859)),".",""))&lt;2,IFERROR(FIND(".",UPPER(TRIM($DZ859))),0)&lt;IFERROR(FIND("E",UPPER(TRIM($DZ859))),999)),ISNUMBER(VALUE(TRIM($DZ859)))),VALUE(TRIM($DZ859)),"")))),""))</f>
        <v/>
      </c>
      <c r="EB859">
        <f>IF($DM859=0,"",IF($L$18=0,"",IFERROR(IF(UPPER(TRIM(SUBSTITUTE(SUBSTITUTE(SUBSTITUTE(SUBSTITUTE(INDEX(PASTE_ALL,$DF859,$L$18)," "," "),CHAR(9)," "),CHAR(10)," "),CHAR(13)," ")))="READY","Ready",IF(UPPER(TRIM(SUBSTITUTE(SUBSTITUTE(SUBSTITUTE(SUBSTITUTE(INDEX(PASTE_ALL,$DF859,$L$18)," "," "),CHAR(9)," "),CHAR(10)," "),CHAR(13)," ")))="PM","PM",IF(OR(UPPER(TRIM(SUBSTITUTE(SUBSTITUTE(SUBSTITUTE(SUBSTITUTE(INDEX(PASTE_ALL,$DF859,$L$18)," "," "),CHAR(9)," "),CHAR(10)," "),CHAR(13)," ")))="OT",UPPER(TRIM(SUBSTITUTE(SUBSTITUTE(SUBSTITUTE(SUBSTITUTE(INDEX(PASTE_ALL,$DF859,$L$18)," "," "),CHAR(9)," "),CHAR(10)," "),CHAR(13)," ")))="OVERTIME",UPPER(TRIM(SUBSTITUTE(SUBSTITUTE(SUBSTITUTE(SUBSTITUTE(INDEX(PASTE_ALL,$DF859,$L$18)," "," "),CHAR(9)," "),CHAR(10)," "),CHAR(13)," ")))="TRIAL"),"OT",TRIM(SUBSTITUTE(SUBSTITUTE(SUBSTITUTE(SUBSTITUTE(INDEX(PASTE_ALL,$DF859,$L$18)," "," "),CHAR(9)," "),CHAR(10)," "),CHAR(13)," "))))),"")))</f>
        <v/>
      </c>
      <c r="EC859">
        <f>IF($DM859=0,"",IF($L$19=0,"",IFERROR(IF(ISNUMBER(INDEX(PASTE_ALL,$DF859,$L$19)),INDEX(PASTE_ALL,$DF859,$L$19),TRIM(SUBSTITUTE(SUBSTITUTE(SUBSTITUTE(SUBSTITUTE(INDEX(PASTE_ALL,$DF859,$L$19)," "," "),CHAR(9)," "),CHAR(10)," "),CHAR(13)," "))),"")))</f>
        <v/>
      </c>
      <c r="ED859">
        <f>IF($DM859=0,"",MATCH(1,INDEX(EXACT($DH$5:DH859,$DH859)*$DM$5:DM859,0),0))</f>
        <v/>
      </c>
      <c r="EE859">
        <f>IF($DM859=0,0,IF($ED859=$DE859,1,0))</f>
        <v/>
      </c>
      <c r="EF859">
        <f>EF858+$EE859</f>
        <v/>
      </c>
      <c r="EG859">
        <f>IF($DM859=0,"",INDEX($EF$5:$EF$1003,$ED859))</f>
        <v/>
      </c>
      <c r="EH859">
        <f>IF($DM859=0,"",IF($DO859&lt;&gt;"","",IFERROR(LOOKUP(2,1/(($EG$4:EG858=$EG859)*($DO$4:DO858&lt;&gt;"")),$DO$4:DO858),"")))</f>
        <v/>
      </c>
      <c r="EI859">
        <f>IF($DM859=0,"",IF($DO859&lt;&gt;"",$DO859,$EH859))</f>
        <v/>
      </c>
      <c r="EJ859">
        <f>IF($DM859=0,"",IF($EI859="",0,IF(OR(ISNUMBER($EI859),AND(AND(SUBSTITUTE(SUBSTITUTE(SUBSTITUTE(SUBSTITUTE(SUBSTITUTE(SUBSTITUTE(SUBSTITUTE(SUBSTITUTE(SUBSTITUTE(SUBSTITUTE(SUBSTITUTE(SUBSTITUTE(SUBSTITUTE(SUBSTITUTE(UPPER($EI859),"0",""),"1",""),"2",""),"3",""),"4",""),"5",""),"6",""),"7",""),"8",""),"9",""),".",""),"+",""),"-",""),"E","")="",LEN(SUBSTITUTE(SUBSTITUTE(MID(UPPER($EI859),1+OR(LEFT(UPPER($EI859),1)="+",LEFT(UPPER($EI859),1)="-"),999),"E+","E"),"E-","E"))=LEN(SUBSTITUTE(SUBSTITUTE(SUBSTITUTE(SUBSTITUTE(MID(UPPER($EI859),1+OR(LEFT(UPPER($EI859),1)="+",LEFT(UPPER($EI859),1)="-"),999),"E+","E"),"E-","E"),"+",""),"-","")),LEN(UPPER($EI859))-LEN(SUBSTITUTE(UPPER($EI859),"E",""))&lt;2,LEN(UPPER($EI859))-LEN(SUBSTITUTE(UPPER($EI859),".",""))&lt;2,IFERROR(FIND(".",UPPER($EI859)),0)&lt;IFERROR(FIND("E",UPPER($EI859)),999)),ISNUMBER(VALUE($EI859)))),1,2)))</f>
        <v/>
      </c>
      <c r="EK859">
        <f>IF($DM859=0,"",IF($EJ859=1,IF(ISNUMBER($EI859),$EI859,VALUE($EI859)),IF($EJ859=2,$DE859,0)))</f>
        <v/>
      </c>
      <c r="EL859">
        <f>IF($DM859=0,"",COUNTIF($EG$5:$EG$1003,"&lt;"&amp;$EG859)+SUMPRODUCT(($EG$5:$EG$1003=$EG859)*(($EJ$5:$EJ$1003&lt;$EJ859)+($EJ$5:$EJ$1003=$EJ859)*(($EK$5:$EK$1003&lt;$EK859)+($EK$5:$EK$1003=$EK859)*($DE$5:$DE$1003&lt;$DE859))))+1)</f>
        <v/>
      </c>
      <c r="EM859">
        <f>IF($DM859=0,"",$EL859+$EG859-1)</f>
        <v/>
      </c>
      <c r="EN859">
        <f>IF($DM859=0,0,IFERROR(MATCH(1,INDEX(--(TRIM(SUBSTITUTE(SUBSTITUTE(SUBSTITUTE(SUBSTITUTE(LINES_NAME&amp;""," "," "),CHAR(9)," "),CHAR(10)," "),CHAR(13)," "))=$DH859),0),0),0))</f>
        <v/>
      </c>
      <c r="EO859">
        <f>IF($EN859=0,0,IF(OR(UPPER(TRIM(INDEX(LINES_SCHEDULED,$EN859)&amp;""))="YES",UPPER(TRIM(INDEX(LINES_SCHEDULED,$EN859)&amp;""))="Y",UPPER(TRIM(INDEX(LINES_SCHEDULED,$EN859)&amp;""))="X"),1,0))</f>
        <v/>
      </c>
      <c r="EP859">
        <f>IF($DM859=0,"",IF(COUNTIFS($EG$5:$EG$1003,$EG859,$EB$5:$EB$1003,"Ready")&gt;0,"READY",IF(COUNTIFS($EG$5:$EG$1003,$EG859,$EB$5:$EB$1003,"PM")&gt;0,"PM",IF(COUNTIFS($EG$5:$EG$1003,$EG859,$EB$5:$EB$1003,"OT")&gt;0,"OT",""))))</f>
        <v/>
      </c>
      <c r="EQ859">
        <f>IF($EN859=0,"",UPPER(TRIM(INDEX(LINES_STATUS,$EN859)&amp;"")))</f>
        <v/>
      </c>
      <c r="ER859">
        <f>IF($DM859=0,"",IF(OR($EQ859="READY",$EQ859="PM",$EQ859="OT"),$EQ859,$EP859))</f>
        <v/>
      </c>
      <c r="ES859">
        <f>IF($DM859=0,"",IF(AND($DV859&lt;&gt;"",UPPER($DV859)&lt;&gt;"N"),"allergen",IF(ISNUMBER(SEARCH("oil",$DQ859)),"oil",IF(OR(EXACT($DS859,"A662"),EXACT($DS859,"A624")),"bulk",""))))</f>
        <v/>
      </c>
      <c r="ET859">
        <f>IF($DM859=0,"",IF(OR($EA859="",$EA859=0),"",$EA859/100))</f>
        <v/>
      </c>
      <c r="EU859">
        <f>IF(OR($ET859="",$DY859=""),"",INT($DY859*(1-$ET859)+0.5))</f>
        <v/>
      </c>
    </row>
    <row r="860">
      <c r="DA860" t="n">
        <v>856</v>
      </c>
      <c r="DB860">
        <f>IF($B$37=0,"",IFERROR(TRIM(SUBSTITUTE(SUBSTITUTE(SUBSTITUTE(SUBSTITUTE(INDEX(PASTE_ALL,856,$B$37)," "," "),CHAR(9)," "),CHAR(10)," "),CHAR(13)," ")),""))</f>
        <v/>
      </c>
      <c r="DC860">
        <f>IF(AND(856&gt;HEADER_ROW,UPPER(DB860)="LEGEND"),1,0)</f>
        <v/>
      </c>
      <c r="DE860" t="n">
        <v>856</v>
      </c>
      <c r="DF860">
        <f>HEADER_ROW+$DE860</f>
        <v/>
      </c>
      <c r="DG860">
        <f>IF(AND($DF860&lt;=1000,$DF860&lt;$B$8),1,0)</f>
        <v/>
      </c>
      <c r="DH860">
        <f>IF($DG860=1,IFERROR(INDEX($DB$5:$DB$1004,$DF860),""),"")</f>
        <v/>
      </c>
      <c r="DI860">
        <f>IF(AND($DG860=1,$DH860&lt;&gt;""),IFERROR(SUBSTITUTE(SUBSTITUTE(TRIM(SUBSTITUTE(SUBSTITUTE(SUBSTITUTE(SUBSTITUTE(IFERROR(INDEX(PASTE_ALL,$DF860,1)&amp;"","")&amp;"␟"&amp;IFERROR(INDEX(PASTE_ALL,$DF860,2)&amp;"","")&amp;"␟"&amp;IFERROR(INDEX(PASTE_ALL,$DF860,3)&amp;"","")&amp;"␟"&amp;IFERROR(INDEX(PASTE_ALL,$DF860,4)&amp;"","")&amp;"␟"&amp;IFERROR(INDEX(PASTE_ALL,$DF860,5)&amp;"","")&amp;"␟"&amp;IFERROR(INDEX(PASTE_ALL,$DF860,6)&amp;"","")&amp;"␟"&amp;IFERROR(INDEX(PASTE_ALL,$DF860,7)&amp;"","")&amp;"␟"&amp;IFERROR(INDEX(PASTE_ALL,$DF860,8)&amp;"","")&amp;"␟"&amp;IFERROR(INDEX(PASTE_ALL,$DF860,9)&amp;"","")&amp;"␟"&amp;IFERROR(INDEX(PASTE_ALL,$DF860,10)&amp;"","")&amp;"␟"&amp;IFERROR(INDEX(PASTE_ALL,$DF860,11)&amp;"","")&amp;"␟"&amp;IFERROR(INDEX(PASTE_ALL,$DF860,12)&amp;"","")&amp;"␟"&amp;IFERROR(INDEX(PASTE_ALL,$DF860,13)&amp;"","")&amp;"␟"&amp;IFERROR(INDEX(PASTE_ALL,$DF860,14)&amp;"","")&amp;"␟"&amp;IFERROR(INDEX(PASTE_ALL,$DF860,15)&amp;"","")&amp;"␟"&amp;IFERROR(INDEX(PASTE_ALL,$DF860,16)&amp;"","")&amp;"␟"&amp;IFERROR(INDEX(PASTE_ALL,$DF860,17)&amp;"","")&amp;"␟"&amp;IFERROR(INDEX(PASTE_ALL,$DF860,18)&amp;"","")&amp;"␟"&amp;IFERROR(INDEX(PASTE_ALL,$DF860,19)&amp;"","")&amp;"␟"&amp;IFERROR(INDEX(PASTE_ALL,$DF860,20)&amp;"","")&amp;"␟"&amp;IFERROR(INDEX(PASTE_ALL,$DF860,21)&amp;"","")&amp;"␟"&amp;IFERROR(INDEX(PASTE_ALL,$DF860,22)&amp;"","")&amp;"␟"&amp;IFERROR(INDEX(PASTE_ALL,$DF860,23)&amp;"","")&amp;"␟"&amp;IFERROR(INDEX(PASTE_ALL,$DF860,24)&amp;"","")&amp;"␟"&amp;IFERROR(INDEX(PASTE_ALL,$DF860,25)&amp;"","")&amp;"␟"&amp;IFERROR(INDEX(PASTE_ALL,$DF860,26)&amp;"","")&amp;"␟"&amp;IFERROR(INDEX(PASTE_ALL,$DF860,27)&amp;"","")&amp;"␟"&amp;IFERROR(INDEX(PASTE_ALL,$DF860,28)&amp;"","")&amp;"␟"&amp;IFERROR(INDEX(PASTE_ALL,$DF860,29)&amp;"","")&amp;"␟"&amp;IFERROR(INDEX(PASTE_ALL,$DF860,30)&amp;"","")&amp;"␟"&amp;IFERROR(INDEX(PASTE_ALL,$DF860,31)&amp;"","")&amp;"␟"&amp;IFERROR(INDEX(PASTE_ALL,$DF860,32)&amp;"","")&amp;"␟"&amp;IFERROR(INDEX(PASTE_ALL,$DF860,33)&amp;"","")&amp;"␟"&amp;IFERROR(INDEX(PASTE_ALL,$DF860,34)&amp;"","")&amp;"␟"&amp;IFERROR(INDEX(PASTE_ALL,$DF860,35)&amp;"","")&amp;"␟"&amp;IFERROR(INDEX(PASTE_ALL,$DF860,36)&amp;"","")&amp;"␟"&amp;IFERROR(INDEX(PASTE_ALL,$DF860,37)&amp;"","")&amp;"␟"&amp;IFERROR(INDEX(PASTE_ALL,$DF860,38)&amp;"","")&amp;"␟"&amp;IFERROR(INDEX(PASTE_ALL,$DF860,39)&amp;"","")&amp;"␟"&amp;IFERROR(INDEX(PASTE_ALL,$DF860,40)&amp;"","")&amp;"␟"&amp;IFERROR(INDEX(PASTE_ALL,$DF860,41)&amp;"","")&amp;"␟"&amp;IFERROR(INDEX(PASTE_ALL,$DF860,42)&amp;"","")&amp;"␟"&amp;IFERROR(INDEX(PASTE_ALL,$DF860,43)&amp;"","")&amp;"␟"&amp;IFERROR(INDEX(PASTE_ALL,$DF860,44)&amp;"","")&amp;"␟"&amp;IFERROR(INDEX(PASTE_ALL,$DF860,45)&amp;"","")&amp;"␟"&amp;IFERROR(INDEX(PASTE_ALL,$DF860,46)&amp;"","")&amp;"␟"&amp;IFERROR(INDEX(PASTE_ALL,$DF860,47)&amp;"","")&amp;"␟"&amp;IFERROR(INDEX(PASTE_ALL,$DF860,48)&amp;"","")&amp;"␟"&amp;IFERROR(INDEX(PASTE_ALL,$DF860,49)&amp;"","")&amp;"␟"&amp;IFERROR(INDEX(PASTE_ALL,$DF860,50)&amp;"","")&amp;"␟"&amp;IFERROR(INDEX(PASTE_ALL,$DF860,51)&amp;"","")&amp;"␟"&amp;IFERROR(INDEX(PASTE_ALL,$DF860,52)&amp;"","")&amp;"␟"&amp;IFERROR(INDEX(PASTE_ALL,$DF860,53)&amp;"","")&amp;"␟"&amp;IFERROR(INDEX(PASTE_ALL,$DF860,54)&amp;"","")&amp;"␟"&amp;IFERROR(INDEX(PASTE_ALL,$DF860,55)&amp;"","")&amp;"␟"&amp;IFERROR(INDEX(PASTE_ALL,$DF860,56)&amp;"","")&amp;"␟"&amp;IFERROR(INDEX(PASTE_ALL,$DF860,57)&amp;"","")&amp;"␟"&amp;IFERROR(INDEX(PASTE_ALL,$DF860,58)&amp;"","")&amp;"␟"&amp;IFERROR(INDEX(PASTE_ALL,$DF860,59)&amp;"","")&amp;"␟"&amp;IFERROR(INDEX(PASTE_ALL,$DF860,60)&amp;"","")," "," "),CHAR(9)," "),CHAR(10)," "),CHAR(13)," "))," ␟","␟"),"␟ ","␟"),"#"&amp;$DE860),"")</f>
        <v/>
      </c>
      <c r="DJ860">
        <f>IF($DI860="",0,IF(SUMPRODUCT(--EXACT($DI$4:DI859,$DI860))&gt;0,1,0))</f>
        <v/>
      </c>
      <c r="DK860">
        <f>IF(AND($DI860&lt;&gt;"",$DJ860=0),1,0)</f>
        <v/>
      </c>
      <c r="DL860">
        <f>DL859+$DK860</f>
        <v/>
      </c>
      <c r="DM860">
        <f>IF(AND($DK860=1,$DL860&lt;=600),1,0)</f>
        <v/>
      </c>
      <c r="DN860">
        <f>IF($DM860=0,"",IF($L$6=0,"",IFERROR(IF(ISNUMBER(INDEX(PASTE_ALL,$DF860,$L$6)),INDEX(PASTE_ALL,$DF860,$L$6),TRIM(SUBSTITUTE(SUBSTITUTE(SUBSTITUTE(SUBSTITUTE(INDEX(PASTE_ALL,$DF860,$L$6)," "," "),CHAR(9)," "),CHAR(10)," "),CHAR(13)," "))),"")))</f>
        <v/>
      </c>
      <c r="DO860">
        <f>IF($DM860=0,"",IF($L$7=0,"",IFERROR(IF(ISNUMBER(INDEX(PASTE_ALL,$DF860,$L$7)),INDEX(PASTE_ALL,$DF860,$L$7),TRIM(SUBSTITUTE(SUBSTITUTE(SUBSTITUTE(SUBSTITUTE(INDEX(PASTE_ALL,$DF860,$L$7)," "," "),CHAR(9)," "),CHAR(10)," "),CHAR(13)," "))),"")))</f>
        <v/>
      </c>
      <c r="DP860">
        <f>IF($DM860=0,"",IF($L$8=0,"",IFERROR(IF(ISNUMBER(INDEX(PASTE_ALL,$DF860,$L$8)),INDEX(PASTE_ALL,$DF860,$L$8),TRIM(SUBSTITUTE(SUBSTITUTE(SUBSTITUTE(SUBSTITUTE(INDEX(PASTE_ALL,$DF860,$L$8)," "," "),CHAR(9)," "),CHAR(10)," "),CHAR(13)," "))),"")))</f>
        <v/>
      </c>
      <c r="DQ860">
        <f>IF($DM860=0,"",IF($L$9=0,"",IFERROR(IF(ISNUMBER(INDEX(PASTE_ALL,$DF860,$L$9)),INDEX(PASTE_ALL,$DF860,$L$9),TRIM(SUBSTITUTE(SUBSTITUTE(SUBSTITUTE(SUBSTITUTE(INDEX(PASTE_ALL,$DF860,$L$9)," "," "),CHAR(9)," "),CHAR(10)," "),CHAR(13)," "))),"")))</f>
        <v/>
      </c>
      <c r="DR860">
        <f>IF($DM860=0,"",IF($L$10=0,"",IFERROR(IF(ISNUMBER(INDEX(PASTE_ALL,$DF860,$L$10)),INDEX(PASTE_ALL,$DF860,$L$10),TRIM(SUBSTITUTE(SUBSTITUTE(SUBSTITUTE(SUBSTITUTE(INDEX(PASTE_ALL,$DF860,$L$10)," "," "),CHAR(9)," "),CHAR(10)," "),CHAR(13)," "))),"")))</f>
        <v/>
      </c>
      <c r="DS860">
        <f>IF($DM860=0,"",IF($L$11=0,"",IFERROR(IF(ISNUMBER(INDEX(PASTE_ALL,$DF860,$L$11)),INDEX(PASTE_ALL,$DF860,$L$11),TRIM(SUBSTITUTE(SUBSTITUTE(SUBSTITUTE(SUBSTITUTE(INDEX(PASTE_ALL,$DF860,$L$11)," "," "),CHAR(9)," "),CHAR(10)," "),CHAR(13)," "))),"")))</f>
        <v/>
      </c>
      <c r="DT860">
        <f>IF($DM860=0,"",IF($L$12=0,"",IFERROR(IF(ISNUMBER(INDEX(PASTE_ALL,$DF860,$L$12)),INDEX(PASTE_ALL,$DF860,$L$12),TRIM(SUBSTITUTE(SUBSTITUTE(SUBSTITUTE(SUBSTITUTE(INDEX(PASTE_ALL,$DF860,$L$12)," "," "),CHAR(9)," "),CHAR(10)," "),CHAR(13)," "))),"")))</f>
        <v/>
      </c>
      <c r="DU860">
        <f>IF($DM860=0,"",IF($L$13=0,"",IFERROR(IF(ISNUMBER(INDEX(PASTE_ALL,$DF860,$L$13)),INDEX(PASTE_ALL,$DF860,$L$13),TRIM(SUBSTITUTE(SUBSTITUTE(SUBSTITUTE(SUBSTITUTE(INDEX(PASTE_ALL,$DF860,$L$13)," "," "),CHAR(9)," "),CHAR(10)," "),CHAR(13)," "))),"")))</f>
        <v/>
      </c>
      <c r="DV860">
        <f>IF($DM860=0,"",IF($L$14=0,"",IFERROR(IF(ISNUMBER(INDEX(PASTE_ALL,$DF860,$L$14)),INDEX(PASTE_ALL,$DF860,$L$14),TRIM(SUBSTITUTE(SUBSTITUTE(SUBSTITUTE(SUBSTITUTE(INDEX(PASTE_ALL,$DF860,$L$14)," "," "),CHAR(9)," "),CHAR(10)," "),CHAR(13)," "))),"")))</f>
        <v/>
      </c>
      <c r="DW860">
        <f>IF($DM860=0,"",IF($L$15=0,"",IFERROR(IF(ISNUMBER(INDEX(PASTE_ALL,$DF860,$L$15)),INDEX(PASTE_ALL,$DF860,$L$15),IF(SUMPRODUCT(--ISNUMBER(FIND({"A","B","C","D","E","F","G","H","I","J","K","L","M","N","O","P","Q","R","S","T","U","V","W","X","Y","Z","0","1","2","3","4","5","6","7","8","9"},UPPER(TRIM(SUBSTITUTE(SUBSTITUTE(SUBSTITUTE(SUBSTITUTE(INDEX(PASTE_ALL,$DF860,$L$15)," "," "),CHAR(9)," "),CHAR(10)," "),CHAR(13)," "))))))&gt;0,TRIM(SUBSTITUTE(SUBSTITUTE(SUBSTITUTE(SUBSTITUTE(INDEX(PASTE_ALL,$DF860,$L$15)," "," "),CHAR(9)," "),CHAR(10)," "),CHAR(13)," ")),"")),"")))</f>
        <v/>
      </c>
      <c r="DX860">
        <f>IF($DM860=0,"",IF($L$16=0,"",IFERROR(IF(ISNUMBER(INDEX(PASTE_ALL,$DF860,$L$16)),INDEX(PASTE_ALL,$DF860,$L$16),SUBSTITUTE(SUBSTITUTE(TRIM(SUBSTITUTE(SUBSTITUTE(SUBSTITUTE(SUBSTITUTE(INDEX(PASTE_ALL,$DF860,$L$16)," "," "),CHAR(9)," "),CHAR(10)," "),CHAR(13)," ")),",",""),"%","")),"")))</f>
        <v/>
      </c>
      <c r="DY860">
        <f>IF($DM860=0,"",IFERROR(IF(ISNUMBER($DX860),$DX860,IF($DX860="","",IF(TRIM($DX860)="",0,IF(AND(AND(SUBSTITUTE(SUBSTITUTE(SUBSTITUTE(SUBSTITUTE(SUBSTITUTE(SUBSTITUTE(SUBSTITUTE(SUBSTITUTE(SUBSTITUTE(SUBSTITUTE(SUBSTITUTE(SUBSTITUTE(SUBSTITUTE(SUBSTITUTE(UPPER(TRIM($DX860)),"0",""),"1",""),"2",""),"3",""),"4",""),"5",""),"6",""),"7",""),"8",""),"9",""),".",""),"+",""),"-",""),"E","")="",LEN(SUBSTITUTE(SUBSTITUTE(MID(UPPER(TRIM($DX860)),1+OR(LEFT(UPPER(TRIM($DX860)),1)="+",LEFT(UPPER(TRIM($DX860)),1)="-"),999),"E+","E"),"E-","E"))=LEN(SUBSTITUTE(SUBSTITUTE(SUBSTITUTE(SUBSTITUTE(MID(UPPER(TRIM($DX860)),1+OR(LEFT(UPPER(TRIM($DX860)),1)="+",LEFT(UPPER(TRIM($DX860)),1)="-"),999),"E+","E"),"E-","E"),"+",""),"-","")),LEN(UPPER(TRIM($DX860)))-LEN(SUBSTITUTE(UPPER(TRIM($DX860)),"E",""))&lt;2,LEN(UPPER(TRIM($DX860)))-LEN(SUBSTITUTE(UPPER(TRIM($DX860)),".",""))&lt;2,IFERROR(FIND(".",UPPER(TRIM($DX860))),0)&lt;IFERROR(FIND("E",UPPER(TRIM($DX860))),999)),ISNUMBER(VALUE(TRIM($DX860)))),VALUE(TRIM($DX860)),"")))),""))</f>
        <v/>
      </c>
      <c r="DZ860">
        <f>IF($DM860=0,"",IF($L$17=0,"",IFERROR(IF(ISNUMBER(INDEX(PASTE_ALL,$DF860,$L$17)),INDEX(PASTE_ALL,$DF860,$L$17),SUBSTITUTE(SUBSTITUTE(TRIM(SUBSTITUTE(SUBSTITUTE(SUBSTITUTE(SUBSTITUTE(INDEX(PASTE_ALL,$DF860,$L$17)," "," "),CHAR(9)," "),CHAR(10)," "),CHAR(13)," ")),",",""),"%","")),"")))</f>
        <v/>
      </c>
      <c r="EA860">
        <f>IF($DM860=0,"",IFERROR(IF(ISNUMBER($DZ860),$DZ860,IF($DZ860="","",IF(TRIM($DZ860)="",0,IF(AND(AND(SUBSTITUTE(SUBSTITUTE(SUBSTITUTE(SUBSTITUTE(SUBSTITUTE(SUBSTITUTE(SUBSTITUTE(SUBSTITUTE(SUBSTITUTE(SUBSTITUTE(SUBSTITUTE(SUBSTITUTE(SUBSTITUTE(SUBSTITUTE(UPPER(TRIM($DZ860)),"0",""),"1",""),"2",""),"3",""),"4",""),"5",""),"6",""),"7",""),"8",""),"9",""),".",""),"+",""),"-",""),"E","")="",LEN(SUBSTITUTE(SUBSTITUTE(MID(UPPER(TRIM($DZ860)),1+OR(LEFT(UPPER(TRIM($DZ860)),1)="+",LEFT(UPPER(TRIM($DZ860)),1)="-"),999),"E+","E"),"E-","E"))=LEN(SUBSTITUTE(SUBSTITUTE(SUBSTITUTE(SUBSTITUTE(MID(UPPER(TRIM($DZ860)),1+OR(LEFT(UPPER(TRIM($DZ860)),1)="+",LEFT(UPPER(TRIM($DZ860)),1)="-"),999),"E+","E"),"E-","E"),"+",""),"-","")),LEN(UPPER(TRIM($DZ860)))-LEN(SUBSTITUTE(UPPER(TRIM($DZ860)),"E",""))&lt;2,LEN(UPPER(TRIM($DZ860)))-LEN(SUBSTITUTE(UPPER(TRIM($DZ860)),".",""))&lt;2,IFERROR(FIND(".",UPPER(TRIM($DZ860))),0)&lt;IFERROR(FIND("E",UPPER(TRIM($DZ860))),999)),ISNUMBER(VALUE(TRIM($DZ860)))),VALUE(TRIM($DZ860)),"")))),""))</f>
        <v/>
      </c>
      <c r="EB860">
        <f>IF($DM860=0,"",IF($L$18=0,"",IFERROR(IF(UPPER(TRIM(SUBSTITUTE(SUBSTITUTE(SUBSTITUTE(SUBSTITUTE(INDEX(PASTE_ALL,$DF860,$L$18)," "," "),CHAR(9)," "),CHAR(10)," "),CHAR(13)," ")))="READY","Ready",IF(UPPER(TRIM(SUBSTITUTE(SUBSTITUTE(SUBSTITUTE(SUBSTITUTE(INDEX(PASTE_ALL,$DF860,$L$18)," "," "),CHAR(9)," "),CHAR(10)," "),CHAR(13)," ")))="PM","PM",IF(OR(UPPER(TRIM(SUBSTITUTE(SUBSTITUTE(SUBSTITUTE(SUBSTITUTE(INDEX(PASTE_ALL,$DF860,$L$18)," "," "),CHAR(9)," "),CHAR(10)," "),CHAR(13)," ")))="OT",UPPER(TRIM(SUBSTITUTE(SUBSTITUTE(SUBSTITUTE(SUBSTITUTE(INDEX(PASTE_ALL,$DF860,$L$18)," "," "),CHAR(9)," "),CHAR(10)," "),CHAR(13)," ")))="OVERTIME",UPPER(TRIM(SUBSTITUTE(SUBSTITUTE(SUBSTITUTE(SUBSTITUTE(INDEX(PASTE_ALL,$DF860,$L$18)," "," "),CHAR(9)," "),CHAR(10)," "),CHAR(13)," ")))="TRIAL"),"OT",TRIM(SUBSTITUTE(SUBSTITUTE(SUBSTITUTE(SUBSTITUTE(INDEX(PASTE_ALL,$DF860,$L$18)," "," "),CHAR(9)," "),CHAR(10)," "),CHAR(13)," "))))),"")))</f>
        <v/>
      </c>
      <c r="EC860">
        <f>IF($DM860=0,"",IF($L$19=0,"",IFERROR(IF(ISNUMBER(INDEX(PASTE_ALL,$DF860,$L$19)),INDEX(PASTE_ALL,$DF860,$L$19),TRIM(SUBSTITUTE(SUBSTITUTE(SUBSTITUTE(SUBSTITUTE(INDEX(PASTE_ALL,$DF860,$L$19)," "," "),CHAR(9)," "),CHAR(10)," "),CHAR(13)," "))),"")))</f>
        <v/>
      </c>
      <c r="ED860">
        <f>IF($DM860=0,"",MATCH(1,INDEX(EXACT($DH$5:DH860,$DH860)*$DM$5:DM860,0),0))</f>
        <v/>
      </c>
      <c r="EE860">
        <f>IF($DM860=0,0,IF($ED860=$DE860,1,0))</f>
        <v/>
      </c>
      <c r="EF860">
        <f>EF859+$EE860</f>
        <v/>
      </c>
      <c r="EG860">
        <f>IF($DM860=0,"",INDEX($EF$5:$EF$1003,$ED860))</f>
        <v/>
      </c>
      <c r="EH860">
        <f>IF($DM860=0,"",IF($DO860&lt;&gt;"","",IFERROR(LOOKUP(2,1/(($EG$4:EG859=$EG860)*($DO$4:DO859&lt;&gt;"")),$DO$4:DO859),"")))</f>
        <v/>
      </c>
      <c r="EI860">
        <f>IF($DM860=0,"",IF($DO860&lt;&gt;"",$DO860,$EH860))</f>
        <v/>
      </c>
      <c r="EJ860">
        <f>IF($DM860=0,"",IF($EI860="",0,IF(OR(ISNUMBER($EI860),AND(AND(SUBSTITUTE(SUBSTITUTE(SUBSTITUTE(SUBSTITUTE(SUBSTITUTE(SUBSTITUTE(SUBSTITUTE(SUBSTITUTE(SUBSTITUTE(SUBSTITUTE(SUBSTITUTE(SUBSTITUTE(SUBSTITUTE(SUBSTITUTE(UPPER($EI860),"0",""),"1",""),"2",""),"3",""),"4",""),"5",""),"6",""),"7",""),"8",""),"9",""),".",""),"+",""),"-",""),"E","")="",LEN(SUBSTITUTE(SUBSTITUTE(MID(UPPER($EI860),1+OR(LEFT(UPPER($EI860),1)="+",LEFT(UPPER($EI860),1)="-"),999),"E+","E"),"E-","E"))=LEN(SUBSTITUTE(SUBSTITUTE(SUBSTITUTE(SUBSTITUTE(MID(UPPER($EI860),1+OR(LEFT(UPPER($EI860),1)="+",LEFT(UPPER($EI860),1)="-"),999),"E+","E"),"E-","E"),"+",""),"-","")),LEN(UPPER($EI860))-LEN(SUBSTITUTE(UPPER($EI860),"E",""))&lt;2,LEN(UPPER($EI860))-LEN(SUBSTITUTE(UPPER($EI860),".",""))&lt;2,IFERROR(FIND(".",UPPER($EI860)),0)&lt;IFERROR(FIND("E",UPPER($EI860)),999)),ISNUMBER(VALUE($EI860)))),1,2)))</f>
        <v/>
      </c>
      <c r="EK860">
        <f>IF($DM860=0,"",IF($EJ860=1,IF(ISNUMBER($EI860),$EI860,VALUE($EI860)),IF($EJ860=2,$DE860,0)))</f>
        <v/>
      </c>
      <c r="EL860">
        <f>IF($DM860=0,"",COUNTIF($EG$5:$EG$1003,"&lt;"&amp;$EG860)+SUMPRODUCT(($EG$5:$EG$1003=$EG860)*(($EJ$5:$EJ$1003&lt;$EJ860)+($EJ$5:$EJ$1003=$EJ860)*(($EK$5:$EK$1003&lt;$EK860)+($EK$5:$EK$1003=$EK860)*($DE$5:$DE$1003&lt;$DE860))))+1)</f>
        <v/>
      </c>
      <c r="EM860">
        <f>IF($DM860=0,"",$EL860+$EG860-1)</f>
        <v/>
      </c>
      <c r="EN860">
        <f>IF($DM860=0,0,IFERROR(MATCH(1,INDEX(--(TRIM(SUBSTITUTE(SUBSTITUTE(SUBSTITUTE(SUBSTITUTE(LINES_NAME&amp;""," "," "),CHAR(9)," "),CHAR(10)," "),CHAR(13)," "))=$DH860),0),0),0))</f>
        <v/>
      </c>
      <c r="EO860">
        <f>IF($EN860=0,0,IF(OR(UPPER(TRIM(INDEX(LINES_SCHEDULED,$EN860)&amp;""))="YES",UPPER(TRIM(INDEX(LINES_SCHEDULED,$EN860)&amp;""))="Y",UPPER(TRIM(INDEX(LINES_SCHEDULED,$EN860)&amp;""))="X"),1,0))</f>
        <v/>
      </c>
      <c r="EP860">
        <f>IF($DM860=0,"",IF(COUNTIFS($EG$5:$EG$1003,$EG860,$EB$5:$EB$1003,"Ready")&gt;0,"READY",IF(COUNTIFS($EG$5:$EG$1003,$EG860,$EB$5:$EB$1003,"PM")&gt;0,"PM",IF(COUNTIFS($EG$5:$EG$1003,$EG860,$EB$5:$EB$1003,"OT")&gt;0,"OT",""))))</f>
        <v/>
      </c>
      <c r="EQ860">
        <f>IF($EN860=0,"",UPPER(TRIM(INDEX(LINES_STATUS,$EN860)&amp;"")))</f>
        <v/>
      </c>
      <c r="ER860">
        <f>IF($DM860=0,"",IF(OR($EQ860="READY",$EQ860="PM",$EQ860="OT"),$EQ860,$EP860))</f>
        <v/>
      </c>
      <c r="ES860">
        <f>IF($DM860=0,"",IF(AND($DV860&lt;&gt;"",UPPER($DV860)&lt;&gt;"N"),"allergen",IF(ISNUMBER(SEARCH("oil",$DQ860)),"oil",IF(OR(EXACT($DS860,"A662"),EXACT($DS860,"A624")),"bulk",""))))</f>
        <v/>
      </c>
      <c r="ET860">
        <f>IF($DM860=0,"",IF(OR($EA860="",$EA860=0),"",$EA860/100))</f>
        <v/>
      </c>
      <c r="EU860">
        <f>IF(OR($ET860="",$DY860=""),"",INT($DY860*(1-$ET860)+0.5))</f>
        <v/>
      </c>
    </row>
    <row r="861">
      <c r="DA861" t="n">
        <v>857</v>
      </c>
      <c r="DB861">
        <f>IF($B$37=0,"",IFERROR(TRIM(SUBSTITUTE(SUBSTITUTE(SUBSTITUTE(SUBSTITUTE(INDEX(PASTE_ALL,857,$B$37)," "," "),CHAR(9)," "),CHAR(10)," "),CHAR(13)," ")),""))</f>
        <v/>
      </c>
      <c r="DC861">
        <f>IF(AND(857&gt;HEADER_ROW,UPPER(DB861)="LEGEND"),1,0)</f>
        <v/>
      </c>
      <c r="DE861" t="n">
        <v>857</v>
      </c>
      <c r="DF861">
        <f>HEADER_ROW+$DE861</f>
        <v/>
      </c>
      <c r="DG861">
        <f>IF(AND($DF861&lt;=1000,$DF861&lt;$B$8),1,0)</f>
        <v/>
      </c>
      <c r="DH861">
        <f>IF($DG861=1,IFERROR(INDEX($DB$5:$DB$1004,$DF861),""),"")</f>
        <v/>
      </c>
      <c r="DI861">
        <f>IF(AND($DG861=1,$DH861&lt;&gt;""),IFERROR(SUBSTITUTE(SUBSTITUTE(TRIM(SUBSTITUTE(SUBSTITUTE(SUBSTITUTE(SUBSTITUTE(IFERROR(INDEX(PASTE_ALL,$DF861,1)&amp;"","")&amp;"␟"&amp;IFERROR(INDEX(PASTE_ALL,$DF861,2)&amp;"","")&amp;"␟"&amp;IFERROR(INDEX(PASTE_ALL,$DF861,3)&amp;"","")&amp;"␟"&amp;IFERROR(INDEX(PASTE_ALL,$DF861,4)&amp;"","")&amp;"␟"&amp;IFERROR(INDEX(PASTE_ALL,$DF861,5)&amp;"","")&amp;"␟"&amp;IFERROR(INDEX(PASTE_ALL,$DF861,6)&amp;"","")&amp;"␟"&amp;IFERROR(INDEX(PASTE_ALL,$DF861,7)&amp;"","")&amp;"␟"&amp;IFERROR(INDEX(PASTE_ALL,$DF861,8)&amp;"","")&amp;"␟"&amp;IFERROR(INDEX(PASTE_ALL,$DF861,9)&amp;"","")&amp;"␟"&amp;IFERROR(INDEX(PASTE_ALL,$DF861,10)&amp;"","")&amp;"␟"&amp;IFERROR(INDEX(PASTE_ALL,$DF861,11)&amp;"","")&amp;"␟"&amp;IFERROR(INDEX(PASTE_ALL,$DF861,12)&amp;"","")&amp;"␟"&amp;IFERROR(INDEX(PASTE_ALL,$DF861,13)&amp;"","")&amp;"␟"&amp;IFERROR(INDEX(PASTE_ALL,$DF861,14)&amp;"","")&amp;"␟"&amp;IFERROR(INDEX(PASTE_ALL,$DF861,15)&amp;"","")&amp;"␟"&amp;IFERROR(INDEX(PASTE_ALL,$DF861,16)&amp;"","")&amp;"␟"&amp;IFERROR(INDEX(PASTE_ALL,$DF861,17)&amp;"","")&amp;"␟"&amp;IFERROR(INDEX(PASTE_ALL,$DF861,18)&amp;"","")&amp;"␟"&amp;IFERROR(INDEX(PASTE_ALL,$DF861,19)&amp;"","")&amp;"␟"&amp;IFERROR(INDEX(PASTE_ALL,$DF861,20)&amp;"","")&amp;"␟"&amp;IFERROR(INDEX(PASTE_ALL,$DF861,21)&amp;"","")&amp;"␟"&amp;IFERROR(INDEX(PASTE_ALL,$DF861,22)&amp;"","")&amp;"␟"&amp;IFERROR(INDEX(PASTE_ALL,$DF861,23)&amp;"","")&amp;"␟"&amp;IFERROR(INDEX(PASTE_ALL,$DF861,24)&amp;"","")&amp;"␟"&amp;IFERROR(INDEX(PASTE_ALL,$DF861,25)&amp;"","")&amp;"␟"&amp;IFERROR(INDEX(PASTE_ALL,$DF861,26)&amp;"","")&amp;"␟"&amp;IFERROR(INDEX(PASTE_ALL,$DF861,27)&amp;"","")&amp;"␟"&amp;IFERROR(INDEX(PASTE_ALL,$DF861,28)&amp;"","")&amp;"␟"&amp;IFERROR(INDEX(PASTE_ALL,$DF861,29)&amp;"","")&amp;"␟"&amp;IFERROR(INDEX(PASTE_ALL,$DF861,30)&amp;"","")&amp;"␟"&amp;IFERROR(INDEX(PASTE_ALL,$DF861,31)&amp;"","")&amp;"␟"&amp;IFERROR(INDEX(PASTE_ALL,$DF861,32)&amp;"","")&amp;"␟"&amp;IFERROR(INDEX(PASTE_ALL,$DF861,33)&amp;"","")&amp;"␟"&amp;IFERROR(INDEX(PASTE_ALL,$DF861,34)&amp;"","")&amp;"␟"&amp;IFERROR(INDEX(PASTE_ALL,$DF861,35)&amp;"","")&amp;"␟"&amp;IFERROR(INDEX(PASTE_ALL,$DF861,36)&amp;"","")&amp;"␟"&amp;IFERROR(INDEX(PASTE_ALL,$DF861,37)&amp;"","")&amp;"␟"&amp;IFERROR(INDEX(PASTE_ALL,$DF861,38)&amp;"","")&amp;"␟"&amp;IFERROR(INDEX(PASTE_ALL,$DF861,39)&amp;"","")&amp;"␟"&amp;IFERROR(INDEX(PASTE_ALL,$DF861,40)&amp;"","")&amp;"␟"&amp;IFERROR(INDEX(PASTE_ALL,$DF861,41)&amp;"","")&amp;"␟"&amp;IFERROR(INDEX(PASTE_ALL,$DF861,42)&amp;"","")&amp;"␟"&amp;IFERROR(INDEX(PASTE_ALL,$DF861,43)&amp;"","")&amp;"␟"&amp;IFERROR(INDEX(PASTE_ALL,$DF861,44)&amp;"","")&amp;"␟"&amp;IFERROR(INDEX(PASTE_ALL,$DF861,45)&amp;"","")&amp;"␟"&amp;IFERROR(INDEX(PASTE_ALL,$DF861,46)&amp;"","")&amp;"␟"&amp;IFERROR(INDEX(PASTE_ALL,$DF861,47)&amp;"","")&amp;"␟"&amp;IFERROR(INDEX(PASTE_ALL,$DF861,48)&amp;"","")&amp;"␟"&amp;IFERROR(INDEX(PASTE_ALL,$DF861,49)&amp;"","")&amp;"␟"&amp;IFERROR(INDEX(PASTE_ALL,$DF861,50)&amp;"","")&amp;"␟"&amp;IFERROR(INDEX(PASTE_ALL,$DF861,51)&amp;"","")&amp;"␟"&amp;IFERROR(INDEX(PASTE_ALL,$DF861,52)&amp;"","")&amp;"␟"&amp;IFERROR(INDEX(PASTE_ALL,$DF861,53)&amp;"","")&amp;"␟"&amp;IFERROR(INDEX(PASTE_ALL,$DF861,54)&amp;"","")&amp;"␟"&amp;IFERROR(INDEX(PASTE_ALL,$DF861,55)&amp;"","")&amp;"␟"&amp;IFERROR(INDEX(PASTE_ALL,$DF861,56)&amp;"","")&amp;"␟"&amp;IFERROR(INDEX(PASTE_ALL,$DF861,57)&amp;"","")&amp;"␟"&amp;IFERROR(INDEX(PASTE_ALL,$DF861,58)&amp;"","")&amp;"␟"&amp;IFERROR(INDEX(PASTE_ALL,$DF861,59)&amp;"","")&amp;"␟"&amp;IFERROR(INDEX(PASTE_ALL,$DF861,60)&amp;"","")," "," "),CHAR(9)," "),CHAR(10)," "),CHAR(13)," "))," ␟","␟"),"␟ ","␟"),"#"&amp;$DE861),"")</f>
        <v/>
      </c>
      <c r="DJ861">
        <f>IF($DI861="",0,IF(SUMPRODUCT(--EXACT($DI$4:DI860,$DI861))&gt;0,1,0))</f>
        <v/>
      </c>
      <c r="DK861">
        <f>IF(AND($DI861&lt;&gt;"",$DJ861=0),1,0)</f>
        <v/>
      </c>
      <c r="DL861">
        <f>DL860+$DK861</f>
        <v/>
      </c>
      <c r="DM861">
        <f>IF(AND($DK861=1,$DL861&lt;=600),1,0)</f>
        <v/>
      </c>
      <c r="DN861">
        <f>IF($DM861=0,"",IF($L$6=0,"",IFERROR(IF(ISNUMBER(INDEX(PASTE_ALL,$DF861,$L$6)),INDEX(PASTE_ALL,$DF861,$L$6),TRIM(SUBSTITUTE(SUBSTITUTE(SUBSTITUTE(SUBSTITUTE(INDEX(PASTE_ALL,$DF861,$L$6)," "," "),CHAR(9)," "),CHAR(10)," "),CHAR(13)," "))),"")))</f>
        <v/>
      </c>
      <c r="DO861">
        <f>IF($DM861=0,"",IF($L$7=0,"",IFERROR(IF(ISNUMBER(INDEX(PASTE_ALL,$DF861,$L$7)),INDEX(PASTE_ALL,$DF861,$L$7),TRIM(SUBSTITUTE(SUBSTITUTE(SUBSTITUTE(SUBSTITUTE(INDEX(PASTE_ALL,$DF861,$L$7)," "," "),CHAR(9)," "),CHAR(10)," "),CHAR(13)," "))),"")))</f>
        <v/>
      </c>
      <c r="DP861">
        <f>IF($DM861=0,"",IF($L$8=0,"",IFERROR(IF(ISNUMBER(INDEX(PASTE_ALL,$DF861,$L$8)),INDEX(PASTE_ALL,$DF861,$L$8),TRIM(SUBSTITUTE(SUBSTITUTE(SUBSTITUTE(SUBSTITUTE(INDEX(PASTE_ALL,$DF861,$L$8)," "," "),CHAR(9)," "),CHAR(10)," "),CHAR(13)," "))),"")))</f>
        <v/>
      </c>
      <c r="DQ861">
        <f>IF($DM861=0,"",IF($L$9=0,"",IFERROR(IF(ISNUMBER(INDEX(PASTE_ALL,$DF861,$L$9)),INDEX(PASTE_ALL,$DF861,$L$9),TRIM(SUBSTITUTE(SUBSTITUTE(SUBSTITUTE(SUBSTITUTE(INDEX(PASTE_ALL,$DF861,$L$9)," "," "),CHAR(9)," "),CHAR(10)," "),CHAR(13)," "))),"")))</f>
        <v/>
      </c>
      <c r="DR861">
        <f>IF($DM861=0,"",IF($L$10=0,"",IFERROR(IF(ISNUMBER(INDEX(PASTE_ALL,$DF861,$L$10)),INDEX(PASTE_ALL,$DF861,$L$10),TRIM(SUBSTITUTE(SUBSTITUTE(SUBSTITUTE(SUBSTITUTE(INDEX(PASTE_ALL,$DF861,$L$10)," "," "),CHAR(9)," "),CHAR(10)," "),CHAR(13)," "))),"")))</f>
        <v/>
      </c>
      <c r="DS861">
        <f>IF($DM861=0,"",IF($L$11=0,"",IFERROR(IF(ISNUMBER(INDEX(PASTE_ALL,$DF861,$L$11)),INDEX(PASTE_ALL,$DF861,$L$11),TRIM(SUBSTITUTE(SUBSTITUTE(SUBSTITUTE(SUBSTITUTE(INDEX(PASTE_ALL,$DF861,$L$11)," "," "),CHAR(9)," "),CHAR(10)," "),CHAR(13)," "))),"")))</f>
        <v/>
      </c>
      <c r="DT861">
        <f>IF($DM861=0,"",IF($L$12=0,"",IFERROR(IF(ISNUMBER(INDEX(PASTE_ALL,$DF861,$L$12)),INDEX(PASTE_ALL,$DF861,$L$12),TRIM(SUBSTITUTE(SUBSTITUTE(SUBSTITUTE(SUBSTITUTE(INDEX(PASTE_ALL,$DF861,$L$12)," "," "),CHAR(9)," "),CHAR(10)," "),CHAR(13)," "))),"")))</f>
        <v/>
      </c>
      <c r="DU861">
        <f>IF($DM861=0,"",IF($L$13=0,"",IFERROR(IF(ISNUMBER(INDEX(PASTE_ALL,$DF861,$L$13)),INDEX(PASTE_ALL,$DF861,$L$13),TRIM(SUBSTITUTE(SUBSTITUTE(SUBSTITUTE(SUBSTITUTE(INDEX(PASTE_ALL,$DF861,$L$13)," "," "),CHAR(9)," "),CHAR(10)," "),CHAR(13)," "))),"")))</f>
        <v/>
      </c>
      <c r="DV861">
        <f>IF($DM861=0,"",IF($L$14=0,"",IFERROR(IF(ISNUMBER(INDEX(PASTE_ALL,$DF861,$L$14)),INDEX(PASTE_ALL,$DF861,$L$14),TRIM(SUBSTITUTE(SUBSTITUTE(SUBSTITUTE(SUBSTITUTE(INDEX(PASTE_ALL,$DF861,$L$14)," "," "),CHAR(9)," "),CHAR(10)," "),CHAR(13)," "))),"")))</f>
        <v/>
      </c>
      <c r="DW861">
        <f>IF($DM861=0,"",IF($L$15=0,"",IFERROR(IF(ISNUMBER(INDEX(PASTE_ALL,$DF861,$L$15)),INDEX(PASTE_ALL,$DF861,$L$15),IF(SUMPRODUCT(--ISNUMBER(FIND({"A","B","C","D","E","F","G","H","I","J","K","L","M","N","O","P","Q","R","S","T","U","V","W","X","Y","Z","0","1","2","3","4","5","6","7","8","9"},UPPER(TRIM(SUBSTITUTE(SUBSTITUTE(SUBSTITUTE(SUBSTITUTE(INDEX(PASTE_ALL,$DF861,$L$15)," "," "),CHAR(9)," "),CHAR(10)," "),CHAR(13)," "))))))&gt;0,TRIM(SUBSTITUTE(SUBSTITUTE(SUBSTITUTE(SUBSTITUTE(INDEX(PASTE_ALL,$DF861,$L$15)," "," "),CHAR(9)," "),CHAR(10)," "),CHAR(13)," ")),"")),"")))</f>
        <v/>
      </c>
      <c r="DX861">
        <f>IF($DM861=0,"",IF($L$16=0,"",IFERROR(IF(ISNUMBER(INDEX(PASTE_ALL,$DF861,$L$16)),INDEX(PASTE_ALL,$DF861,$L$16),SUBSTITUTE(SUBSTITUTE(TRIM(SUBSTITUTE(SUBSTITUTE(SUBSTITUTE(SUBSTITUTE(INDEX(PASTE_ALL,$DF861,$L$16)," "," "),CHAR(9)," "),CHAR(10)," "),CHAR(13)," ")),",",""),"%","")),"")))</f>
        <v/>
      </c>
      <c r="DY861">
        <f>IF($DM861=0,"",IFERROR(IF(ISNUMBER($DX861),$DX861,IF($DX861="","",IF(TRIM($DX861)="",0,IF(AND(AND(SUBSTITUTE(SUBSTITUTE(SUBSTITUTE(SUBSTITUTE(SUBSTITUTE(SUBSTITUTE(SUBSTITUTE(SUBSTITUTE(SUBSTITUTE(SUBSTITUTE(SUBSTITUTE(SUBSTITUTE(SUBSTITUTE(SUBSTITUTE(UPPER(TRIM($DX861)),"0",""),"1",""),"2",""),"3",""),"4",""),"5",""),"6",""),"7",""),"8",""),"9",""),".",""),"+",""),"-",""),"E","")="",LEN(SUBSTITUTE(SUBSTITUTE(MID(UPPER(TRIM($DX861)),1+OR(LEFT(UPPER(TRIM($DX861)),1)="+",LEFT(UPPER(TRIM($DX861)),1)="-"),999),"E+","E"),"E-","E"))=LEN(SUBSTITUTE(SUBSTITUTE(SUBSTITUTE(SUBSTITUTE(MID(UPPER(TRIM($DX861)),1+OR(LEFT(UPPER(TRIM($DX861)),1)="+",LEFT(UPPER(TRIM($DX861)),1)="-"),999),"E+","E"),"E-","E"),"+",""),"-","")),LEN(UPPER(TRIM($DX861)))-LEN(SUBSTITUTE(UPPER(TRIM($DX861)),"E",""))&lt;2,LEN(UPPER(TRIM($DX861)))-LEN(SUBSTITUTE(UPPER(TRIM($DX861)),".",""))&lt;2,IFERROR(FIND(".",UPPER(TRIM($DX861))),0)&lt;IFERROR(FIND("E",UPPER(TRIM($DX861))),999)),ISNUMBER(VALUE(TRIM($DX861)))),VALUE(TRIM($DX861)),"")))),""))</f>
        <v/>
      </c>
      <c r="DZ861">
        <f>IF($DM861=0,"",IF($L$17=0,"",IFERROR(IF(ISNUMBER(INDEX(PASTE_ALL,$DF861,$L$17)),INDEX(PASTE_ALL,$DF861,$L$17),SUBSTITUTE(SUBSTITUTE(TRIM(SUBSTITUTE(SUBSTITUTE(SUBSTITUTE(SUBSTITUTE(INDEX(PASTE_ALL,$DF861,$L$17)," "," "),CHAR(9)," "),CHAR(10)," "),CHAR(13)," ")),",",""),"%","")),"")))</f>
        <v/>
      </c>
      <c r="EA861">
        <f>IF($DM861=0,"",IFERROR(IF(ISNUMBER($DZ861),$DZ861,IF($DZ861="","",IF(TRIM($DZ861)="",0,IF(AND(AND(SUBSTITUTE(SUBSTITUTE(SUBSTITUTE(SUBSTITUTE(SUBSTITUTE(SUBSTITUTE(SUBSTITUTE(SUBSTITUTE(SUBSTITUTE(SUBSTITUTE(SUBSTITUTE(SUBSTITUTE(SUBSTITUTE(SUBSTITUTE(UPPER(TRIM($DZ861)),"0",""),"1",""),"2",""),"3",""),"4",""),"5",""),"6",""),"7",""),"8",""),"9",""),".",""),"+",""),"-",""),"E","")="",LEN(SUBSTITUTE(SUBSTITUTE(MID(UPPER(TRIM($DZ861)),1+OR(LEFT(UPPER(TRIM($DZ861)),1)="+",LEFT(UPPER(TRIM($DZ861)),1)="-"),999),"E+","E"),"E-","E"))=LEN(SUBSTITUTE(SUBSTITUTE(SUBSTITUTE(SUBSTITUTE(MID(UPPER(TRIM($DZ861)),1+OR(LEFT(UPPER(TRIM($DZ861)),1)="+",LEFT(UPPER(TRIM($DZ861)),1)="-"),999),"E+","E"),"E-","E"),"+",""),"-","")),LEN(UPPER(TRIM($DZ861)))-LEN(SUBSTITUTE(UPPER(TRIM($DZ861)),"E",""))&lt;2,LEN(UPPER(TRIM($DZ861)))-LEN(SUBSTITUTE(UPPER(TRIM($DZ861)),".",""))&lt;2,IFERROR(FIND(".",UPPER(TRIM($DZ861))),0)&lt;IFERROR(FIND("E",UPPER(TRIM($DZ861))),999)),ISNUMBER(VALUE(TRIM($DZ861)))),VALUE(TRIM($DZ861)),"")))),""))</f>
        <v/>
      </c>
      <c r="EB861">
        <f>IF($DM861=0,"",IF($L$18=0,"",IFERROR(IF(UPPER(TRIM(SUBSTITUTE(SUBSTITUTE(SUBSTITUTE(SUBSTITUTE(INDEX(PASTE_ALL,$DF861,$L$18)," "," "),CHAR(9)," "),CHAR(10)," "),CHAR(13)," ")))="READY","Ready",IF(UPPER(TRIM(SUBSTITUTE(SUBSTITUTE(SUBSTITUTE(SUBSTITUTE(INDEX(PASTE_ALL,$DF861,$L$18)," "," "),CHAR(9)," "),CHAR(10)," "),CHAR(13)," ")))="PM","PM",IF(OR(UPPER(TRIM(SUBSTITUTE(SUBSTITUTE(SUBSTITUTE(SUBSTITUTE(INDEX(PASTE_ALL,$DF861,$L$18)," "," "),CHAR(9)," "),CHAR(10)," "),CHAR(13)," ")))="OT",UPPER(TRIM(SUBSTITUTE(SUBSTITUTE(SUBSTITUTE(SUBSTITUTE(INDEX(PASTE_ALL,$DF861,$L$18)," "," "),CHAR(9)," "),CHAR(10)," "),CHAR(13)," ")))="OVERTIME",UPPER(TRIM(SUBSTITUTE(SUBSTITUTE(SUBSTITUTE(SUBSTITUTE(INDEX(PASTE_ALL,$DF861,$L$18)," "," "),CHAR(9)," "),CHAR(10)," "),CHAR(13)," ")))="TRIAL"),"OT",TRIM(SUBSTITUTE(SUBSTITUTE(SUBSTITUTE(SUBSTITUTE(INDEX(PASTE_ALL,$DF861,$L$18)," "," "),CHAR(9)," "),CHAR(10)," "),CHAR(13)," "))))),"")))</f>
        <v/>
      </c>
      <c r="EC861">
        <f>IF($DM861=0,"",IF($L$19=0,"",IFERROR(IF(ISNUMBER(INDEX(PASTE_ALL,$DF861,$L$19)),INDEX(PASTE_ALL,$DF861,$L$19),TRIM(SUBSTITUTE(SUBSTITUTE(SUBSTITUTE(SUBSTITUTE(INDEX(PASTE_ALL,$DF861,$L$19)," "," "),CHAR(9)," "),CHAR(10)," "),CHAR(13)," "))),"")))</f>
        <v/>
      </c>
      <c r="ED861">
        <f>IF($DM861=0,"",MATCH(1,INDEX(EXACT($DH$5:DH861,$DH861)*$DM$5:DM861,0),0))</f>
        <v/>
      </c>
      <c r="EE861">
        <f>IF($DM861=0,0,IF($ED861=$DE861,1,0))</f>
        <v/>
      </c>
      <c r="EF861">
        <f>EF860+$EE861</f>
        <v/>
      </c>
      <c r="EG861">
        <f>IF($DM861=0,"",INDEX($EF$5:$EF$1003,$ED861))</f>
        <v/>
      </c>
      <c r="EH861">
        <f>IF($DM861=0,"",IF($DO861&lt;&gt;"","",IFERROR(LOOKUP(2,1/(($EG$4:EG860=$EG861)*($DO$4:DO860&lt;&gt;"")),$DO$4:DO860),"")))</f>
        <v/>
      </c>
      <c r="EI861">
        <f>IF($DM861=0,"",IF($DO861&lt;&gt;"",$DO861,$EH861))</f>
        <v/>
      </c>
      <c r="EJ861">
        <f>IF($DM861=0,"",IF($EI861="",0,IF(OR(ISNUMBER($EI861),AND(AND(SUBSTITUTE(SUBSTITUTE(SUBSTITUTE(SUBSTITUTE(SUBSTITUTE(SUBSTITUTE(SUBSTITUTE(SUBSTITUTE(SUBSTITUTE(SUBSTITUTE(SUBSTITUTE(SUBSTITUTE(SUBSTITUTE(SUBSTITUTE(UPPER($EI861),"0",""),"1",""),"2",""),"3",""),"4",""),"5",""),"6",""),"7",""),"8",""),"9",""),".",""),"+",""),"-",""),"E","")="",LEN(SUBSTITUTE(SUBSTITUTE(MID(UPPER($EI861),1+OR(LEFT(UPPER($EI861),1)="+",LEFT(UPPER($EI861),1)="-"),999),"E+","E"),"E-","E"))=LEN(SUBSTITUTE(SUBSTITUTE(SUBSTITUTE(SUBSTITUTE(MID(UPPER($EI861),1+OR(LEFT(UPPER($EI861),1)="+",LEFT(UPPER($EI861),1)="-"),999),"E+","E"),"E-","E"),"+",""),"-","")),LEN(UPPER($EI861))-LEN(SUBSTITUTE(UPPER($EI861),"E",""))&lt;2,LEN(UPPER($EI861))-LEN(SUBSTITUTE(UPPER($EI861),".",""))&lt;2,IFERROR(FIND(".",UPPER($EI861)),0)&lt;IFERROR(FIND("E",UPPER($EI861)),999)),ISNUMBER(VALUE($EI861)))),1,2)))</f>
        <v/>
      </c>
      <c r="EK861">
        <f>IF($DM861=0,"",IF($EJ861=1,IF(ISNUMBER($EI861),$EI861,VALUE($EI861)),IF($EJ861=2,$DE861,0)))</f>
        <v/>
      </c>
      <c r="EL861">
        <f>IF($DM861=0,"",COUNTIF($EG$5:$EG$1003,"&lt;"&amp;$EG861)+SUMPRODUCT(($EG$5:$EG$1003=$EG861)*(($EJ$5:$EJ$1003&lt;$EJ861)+($EJ$5:$EJ$1003=$EJ861)*(($EK$5:$EK$1003&lt;$EK861)+($EK$5:$EK$1003=$EK861)*($DE$5:$DE$1003&lt;$DE861))))+1)</f>
        <v/>
      </c>
      <c r="EM861">
        <f>IF($DM861=0,"",$EL861+$EG861-1)</f>
        <v/>
      </c>
      <c r="EN861">
        <f>IF($DM861=0,0,IFERROR(MATCH(1,INDEX(--(TRIM(SUBSTITUTE(SUBSTITUTE(SUBSTITUTE(SUBSTITUTE(LINES_NAME&amp;""," "," "),CHAR(9)," "),CHAR(10)," "),CHAR(13)," "))=$DH861),0),0),0))</f>
        <v/>
      </c>
      <c r="EO861">
        <f>IF($EN861=0,0,IF(OR(UPPER(TRIM(INDEX(LINES_SCHEDULED,$EN861)&amp;""))="YES",UPPER(TRIM(INDEX(LINES_SCHEDULED,$EN861)&amp;""))="Y",UPPER(TRIM(INDEX(LINES_SCHEDULED,$EN861)&amp;""))="X"),1,0))</f>
        <v/>
      </c>
      <c r="EP861">
        <f>IF($DM861=0,"",IF(COUNTIFS($EG$5:$EG$1003,$EG861,$EB$5:$EB$1003,"Ready")&gt;0,"READY",IF(COUNTIFS($EG$5:$EG$1003,$EG861,$EB$5:$EB$1003,"PM")&gt;0,"PM",IF(COUNTIFS($EG$5:$EG$1003,$EG861,$EB$5:$EB$1003,"OT")&gt;0,"OT",""))))</f>
        <v/>
      </c>
      <c r="EQ861">
        <f>IF($EN861=0,"",UPPER(TRIM(INDEX(LINES_STATUS,$EN861)&amp;"")))</f>
        <v/>
      </c>
      <c r="ER861">
        <f>IF($DM861=0,"",IF(OR($EQ861="READY",$EQ861="PM",$EQ861="OT"),$EQ861,$EP861))</f>
        <v/>
      </c>
      <c r="ES861">
        <f>IF($DM861=0,"",IF(AND($DV861&lt;&gt;"",UPPER($DV861)&lt;&gt;"N"),"allergen",IF(ISNUMBER(SEARCH("oil",$DQ861)),"oil",IF(OR(EXACT($DS861,"A662"),EXACT($DS861,"A624")),"bulk",""))))</f>
        <v/>
      </c>
      <c r="ET861">
        <f>IF($DM861=0,"",IF(OR($EA861="",$EA861=0),"",$EA861/100))</f>
        <v/>
      </c>
      <c r="EU861">
        <f>IF(OR($ET861="",$DY861=""),"",INT($DY861*(1-$ET861)+0.5))</f>
        <v/>
      </c>
    </row>
    <row r="862">
      <c r="DA862" t="n">
        <v>858</v>
      </c>
      <c r="DB862">
        <f>IF($B$37=0,"",IFERROR(TRIM(SUBSTITUTE(SUBSTITUTE(SUBSTITUTE(SUBSTITUTE(INDEX(PASTE_ALL,858,$B$37)," "," "),CHAR(9)," "),CHAR(10)," "),CHAR(13)," ")),""))</f>
        <v/>
      </c>
      <c r="DC862">
        <f>IF(AND(858&gt;HEADER_ROW,UPPER(DB862)="LEGEND"),1,0)</f>
        <v/>
      </c>
      <c r="DE862" t="n">
        <v>858</v>
      </c>
      <c r="DF862">
        <f>HEADER_ROW+$DE862</f>
        <v/>
      </c>
      <c r="DG862">
        <f>IF(AND($DF862&lt;=1000,$DF862&lt;$B$8),1,0)</f>
        <v/>
      </c>
      <c r="DH862">
        <f>IF($DG862=1,IFERROR(INDEX($DB$5:$DB$1004,$DF862),""),"")</f>
        <v/>
      </c>
      <c r="DI862">
        <f>IF(AND($DG862=1,$DH862&lt;&gt;""),IFERROR(SUBSTITUTE(SUBSTITUTE(TRIM(SUBSTITUTE(SUBSTITUTE(SUBSTITUTE(SUBSTITUTE(IFERROR(INDEX(PASTE_ALL,$DF862,1)&amp;"","")&amp;"␟"&amp;IFERROR(INDEX(PASTE_ALL,$DF862,2)&amp;"","")&amp;"␟"&amp;IFERROR(INDEX(PASTE_ALL,$DF862,3)&amp;"","")&amp;"␟"&amp;IFERROR(INDEX(PASTE_ALL,$DF862,4)&amp;"","")&amp;"␟"&amp;IFERROR(INDEX(PASTE_ALL,$DF862,5)&amp;"","")&amp;"␟"&amp;IFERROR(INDEX(PASTE_ALL,$DF862,6)&amp;"","")&amp;"␟"&amp;IFERROR(INDEX(PASTE_ALL,$DF862,7)&amp;"","")&amp;"␟"&amp;IFERROR(INDEX(PASTE_ALL,$DF862,8)&amp;"","")&amp;"␟"&amp;IFERROR(INDEX(PASTE_ALL,$DF862,9)&amp;"","")&amp;"␟"&amp;IFERROR(INDEX(PASTE_ALL,$DF862,10)&amp;"","")&amp;"␟"&amp;IFERROR(INDEX(PASTE_ALL,$DF862,11)&amp;"","")&amp;"␟"&amp;IFERROR(INDEX(PASTE_ALL,$DF862,12)&amp;"","")&amp;"␟"&amp;IFERROR(INDEX(PASTE_ALL,$DF862,13)&amp;"","")&amp;"␟"&amp;IFERROR(INDEX(PASTE_ALL,$DF862,14)&amp;"","")&amp;"␟"&amp;IFERROR(INDEX(PASTE_ALL,$DF862,15)&amp;"","")&amp;"␟"&amp;IFERROR(INDEX(PASTE_ALL,$DF862,16)&amp;"","")&amp;"␟"&amp;IFERROR(INDEX(PASTE_ALL,$DF862,17)&amp;"","")&amp;"␟"&amp;IFERROR(INDEX(PASTE_ALL,$DF862,18)&amp;"","")&amp;"␟"&amp;IFERROR(INDEX(PASTE_ALL,$DF862,19)&amp;"","")&amp;"␟"&amp;IFERROR(INDEX(PASTE_ALL,$DF862,20)&amp;"","")&amp;"␟"&amp;IFERROR(INDEX(PASTE_ALL,$DF862,21)&amp;"","")&amp;"␟"&amp;IFERROR(INDEX(PASTE_ALL,$DF862,22)&amp;"","")&amp;"␟"&amp;IFERROR(INDEX(PASTE_ALL,$DF862,23)&amp;"","")&amp;"␟"&amp;IFERROR(INDEX(PASTE_ALL,$DF862,24)&amp;"","")&amp;"␟"&amp;IFERROR(INDEX(PASTE_ALL,$DF862,25)&amp;"","")&amp;"␟"&amp;IFERROR(INDEX(PASTE_ALL,$DF862,26)&amp;"","")&amp;"␟"&amp;IFERROR(INDEX(PASTE_ALL,$DF862,27)&amp;"","")&amp;"␟"&amp;IFERROR(INDEX(PASTE_ALL,$DF862,28)&amp;"","")&amp;"␟"&amp;IFERROR(INDEX(PASTE_ALL,$DF862,29)&amp;"","")&amp;"␟"&amp;IFERROR(INDEX(PASTE_ALL,$DF862,30)&amp;"","")&amp;"␟"&amp;IFERROR(INDEX(PASTE_ALL,$DF862,31)&amp;"","")&amp;"␟"&amp;IFERROR(INDEX(PASTE_ALL,$DF862,32)&amp;"","")&amp;"␟"&amp;IFERROR(INDEX(PASTE_ALL,$DF862,33)&amp;"","")&amp;"␟"&amp;IFERROR(INDEX(PASTE_ALL,$DF862,34)&amp;"","")&amp;"␟"&amp;IFERROR(INDEX(PASTE_ALL,$DF862,35)&amp;"","")&amp;"␟"&amp;IFERROR(INDEX(PASTE_ALL,$DF862,36)&amp;"","")&amp;"␟"&amp;IFERROR(INDEX(PASTE_ALL,$DF862,37)&amp;"","")&amp;"␟"&amp;IFERROR(INDEX(PASTE_ALL,$DF862,38)&amp;"","")&amp;"␟"&amp;IFERROR(INDEX(PASTE_ALL,$DF862,39)&amp;"","")&amp;"␟"&amp;IFERROR(INDEX(PASTE_ALL,$DF862,40)&amp;"","")&amp;"␟"&amp;IFERROR(INDEX(PASTE_ALL,$DF862,41)&amp;"","")&amp;"␟"&amp;IFERROR(INDEX(PASTE_ALL,$DF862,42)&amp;"","")&amp;"␟"&amp;IFERROR(INDEX(PASTE_ALL,$DF862,43)&amp;"","")&amp;"␟"&amp;IFERROR(INDEX(PASTE_ALL,$DF862,44)&amp;"","")&amp;"␟"&amp;IFERROR(INDEX(PASTE_ALL,$DF862,45)&amp;"","")&amp;"␟"&amp;IFERROR(INDEX(PASTE_ALL,$DF862,46)&amp;"","")&amp;"␟"&amp;IFERROR(INDEX(PASTE_ALL,$DF862,47)&amp;"","")&amp;"␟"&amp;IFERROR(INDEX(PASTE_ALL,$DF862,48)&amp;"","")&amp;"␟"&amp;IFERROR(INDEX(PASTE_ALL,$DF862,49)&amp;"","")&amp;"␟"&amp;IFERROR(INDEX(PASTE_ALL,$DF862,50)&amp;"","")&amp;"␟"&amp;IFERROR(INDEX(PASTE_ALL,$DF862,51)&amp;"","")&amp;"␟"&amp;IFERROR(INDEX(PASTE_ALL,$DF862,52)&amp;"","")&amp;"␟"&amp;IFERROR(INDEX(PASTE_ALL,$DF862,53)&amp;"","")&amp;"␟"&amp;IFERROR(INDEX(PASTE_ALL,$DF862,54)&amp;"","")&amp;"␟"&amp;IFERROR(INDEX(PASTE_ALL,$DF862,55)&amp;"","")&amp;"␟"&amp;IFERROR(INDEX(PASTE_ALL,$DF862,56)&amp;"","")&amp;"␟"&amp;IFERROR(INDEX(PASTE_ALL,$DF862,57)&amp;"","")&amp;"␟"&amp;IFERROR(INDEX(PASTE_ALL,$DF862,58)&amp;"","")&amp;"␟"&amp;IFERROR(INDEX(PASTE_ALL,$DF862,59)&amp;"","")&amp;"␟"&amp;IFERROR(INDEX(PASTE_ALL,$DF862,60)&amp;"","")," "," "),CHAR(9)," "),CHAR(10)," "),CHAR(13)," "))," ␟","␟"),"␟ ","␟"),"#"&amp;$DE862),"")</f>
        <v/>
      </c>
      <c r="DJ862">
        <f>IF($DI862="",0,IF(SUMPRODUCT(--EXACT($DI$4:DI861,$DI862))&gt;0,1,0))</f>
        <v/>
      </c>
      <c r="DK862">
        <f>IF(AND($DI862&lt;&gt;"",$DJ862=0),1,0)</f>
        <v/>
      </c>
      <c r="DL862">
        <f>DL861+$DK862</f>
        <v/>
      </c>
      <c r="DM862">
        <f>IF(AND($DK862=1,$DL862&lt;=600),1,0)</f>
        <v/>
      </c>
      <c r="DN862">
        <f>IF($DM862=0,"",IF($L$6=0,"",IFERROR(IF(ISNUMBER(INDEX(PASTE_ALL,$DF862,$L$6)),INDEX(PASTE_ALL,$DF862,$L$6),TRIM(SUBSTITUTE(SUBSTITUTE(SUBSTITUTE(SUBSTITUTE(INDEX(PASTE_ALL,$DF862,$L$6)," "," "),CHAR(9)," "),CHAR(10)," "),CHAR(13)," "))),"")))</f>
        <v/>
      </c>
      <c r="DO862">
        <f>IF($DM862=0,"",IF($L$7=0,"",IFERROR(IF(ISNUMBER(INDEX(PASTE_ALL,$DF862,$L$7)),INDEX(PASTE_ALL,$DF862,$L$7),TRIM(SUBSTITUTE(SUBSTITUTE(SUBSTITUTE(SUBSTITUTE(INDEX(PASTE_ALL,$DF862,$L$7)," "," "),CHAR(9)," "),CHAR(10)," "),CHAR(13)," "))),"")))</f>
        <v/>
      </c>
      <c r="DP862">
        <f>IF($DM862=0,"",IF($L$8=0,"",IFERROR(IF(ISNUMBER(INDEX(PASTE_ALL,$DF862,$L$8)),INDEX(PASTE_ALL,$DF862,$L$8),TRIM(SUBSTITUTE(SUBSTITUTE(SUBSTITUTE(SUBSTITUTE(INDEX(PASTE_ALL,$DF862,$L$8)," "," "),CHAR(9)," "),CHAR(10)," "),CHAR(13)," "))),"")))</f>
        <v/>
      </c>
      <c r="DQ862">
        <f>IF($DM862=0,"",IF($L$9=0,"",IFERROR(IF(ISNUMBER(INDEX(PASTE_ALL,$DF862,$L$9)),INDEX(PASTE_ALL,$DF862,$L$9),TRIM(SUBSTITUTE(SUBSTITUTE(SUBSTITUTE(SUBSTITUTE(INDEX(PASTE_ALL,$DF862,$L$9)," "," "),CHAR(9)," "),CHAR(10)," "),CHAR(13)," "))),"")))</f>
        <v/>
      </c>
      <c r="DR862">
        <f>IF($DM862=0,"",IF($L$10=0,"",IFERROR(IF(ISNUMBER(INDEX(PASTE_ALL,$DF862,$L$10)),INDEX(PASTE_ALL,$DF862,$L$10),TRIM(SUBSTITUTE(SUBSTITUTE(SUBSTITUTE(SUBSTITUTE(INDEX(PASTE_ALL,$DF862,$L$10)," "," "),CHAR(9)," "),CHAR(10)," "),CHAR(13)," "))),"")))</f>
        <v/>
      </c>
      <c r="DS862">
        <f>IF($DM862=0,"",IF($L$11=0,"",IFERROR(IF(ISNUMBER(INDEX(PASTE_ALL,$DF862,$L$11)),INDEX(PASTE_ALL,$DF862,$L$11),TRIM(SUBSTITUTE(SUBSTITUTE(SUBSTITUTE(SUBSTITUTE(INDEX(PASTE_ALL,$DF862,$L$11)," "," "),CHAR(9)," "),CHAR(10)," "),CHAR(13)," "))),"")))</f>
        <v/>
      </c>
      <c r="DT862">
        <f>IF($DM862=0,"",IF($L$12=0,"",IFERROR(IF(ISNUMBER(INDEX(PASTE_ALL,$DF862,$L$12)),INDEX(PASTE_ALL,$DF862,$L$12),TRIM(SUBSTITUTE(SUBSTITUTE(SUBSTITUTE(SUBSTITUTE(INDEX(PASTE_ALL,$DF862,$L$12)," "," "),CHAR(9)," "),CHAR(10)," "),CHAR(13)," "))),"")))</f>
        <v/>
      </c>
      <c r="DU862">
        <f>IF($DM862=0,"",IF($L$13=0,"",IFERROR(IF(ISNUMBER(INDEX(PASTE_ALL,$DF862,$L$13)),INDEX(PASTE_ALL,$DF862,$L$13),TRIM(SUBSTITUTE(SUBSTITUTE(SUBSTITUTE(SUBSTITUTE(INDEX(PASTE_ALL,$DF862,$L$13)," "," "),CHAR(9)," "),CHAR(10)," "),CHAR(13)," "))),"")))</f>
        <v/>
      </c>
      <c r="DV862">
        <f>IF($DM862=0,"",IF($L$14=0,"",IFERROR(IF(ISNUMBER(INDEX(PASTE_ALL,$DF862,$L$14)),INDEX(PASTE_ALL,$DF862,$L$14),TRIM(SUBSTITUTE(SUBSTITUTE(SUBSTITUTE(SUBSTITUTE(INDEX(PASTE_ALL,$DF862,$L$14)," "," "),CHAR(9)," "),CHAR(10)," "),CHAR(13)," "))),"")))</f>
        <v/>
      </c>
      <c r="DW862">
        <f>IF($DM862=0,"",IF($L$15=0,"",IFERROR(IF(ISNUMBER(INDEX(PASTE_ALL,$DF862,$L$15)),INDEX(PASTE_ALL,$DF862,$L$15),IF(SUMPRODUCT(--ISNUMBER(FIND({"A","B","C","D","E","F","G","H","I","J","K","L","M","N","O","P","Q","R","S","T","U","V","W","X","Y","Z","0","1","2","3","4","5","6","7","8","9"},UPPER(TRIM(SUBSTITUTE(SUBSTITUTE(SUBSTITUTE(SUBSTITUTE(INDEX(PASTE_ALL,$DF862,$L$15)," "," "),CHAR(9)," "),CHAR(10)," "),CHAR(13)," "))))))&gt;0,TRIM(SUBSTITUTE(SUBSTITUTE(SUBSTITUTE(SUBSTITUTE(INDEX(PASTE_ALL,$DF862,$L$15)," "," "),CHAR(9)," "),CHAR(10)," "),CHAR(13)," ")),"")),"")))</f>
        <v/>
      </c>
      <c r="DX862">
        <f>IF($DM862=0,"",IF($L$16=0,"",IFERROR(IF(ISNUMBER(INDEX(PASTE_ALL,$DF862,$L$16)),INDEX(PASTE_ALL,$DF862,$L$16),SUBSTITUTE(SUBSTITUTE(TRIM(SUBSTITUTE(SUBSTITUTE(SUBSTITUTE(SUBSTITUTE(INDEX(PASTE_ALL,$DF862,$L$16)," "," "),CHAR(9)," "),CHAR(10)," "),CHAR(13)," ")),",",""),"%","")),"")))</f>
        <v/>
      </c>
      <c r="DY862">
        <f>IF($DM862=0,"",IFERROR(IF(ISNUMBER($DX862),$DX862,IF($DX862="","",IF(TRIM($DX862)="",0,IF(AND(AND(SUBSTITUTE(SUBSTITUTE(SUBSTITUTE(SUBSTITUTE(SUBSTITUTE(SUBSTITUTE(SUBSTITUTE(SUBSTITUTE(SUBSTITUTE(SUBSTITUTE(SUBSTITUTE(SUBSTITUTE(SUBSTITUTE(SUBSTITUTE(UPPER(TRIM($DX862)),"0",""),"1",""),"2",""),"3",""),"4",""),"5",""),"6",""),"7",""),"8",""),"9",""),".",""),"+",""),"-",""),"E","")="",LEN(SUBSTITUTE(SUBSTITUTE(MID(UPPER(TRIM($DX862)),1+OR(LEFT(UPPER(TRIM($DX862)),1)="+",LEFT(UPPER(TRIM($DX862)),1)="-"),999),"E+","E"),"E-","E"))=LEN(SUBSTITUTE(SUBSTITUTE(SUBSTITUTE(SUBSTITUTE(MID(UPPER(TRIM($DX862)),1+OR(LEFT(UPPER(TRIM($DX862)),1)="+",LEFT(UPPER(TRIM($DX862)),1)="-"),999),"E+","E"),"E-","E"),"+",""),"-","")),LEN(UPPER(TRIM($DX862)))-LEN(SUBSTITUTE(UPPER(TRIM($DX862)),"E",""))&lt;2,LEN(UPPER(TRIM($DX862)))-LEN(SUBSTITUTE(UPPER(TRIM($DX862)),".",""))&lt;2,IFERROR(FIND(".",UPPER(TRIM($DX862))),0)&lt;IFERROR(FIND("E",UPPER(TRIM($DX862))),999)),ISNUMBER(VALUE(TRIM($DX862)))),VALUE(TRIM($DX862)),"")))),""))</f>
        <v/>
      </c>
      <c r="DZ862">
        <f>IF($DM862=0,"",IF($L$17=0,"",IFERROR(IF(ISNUMBER(INDEX(PASTE_ALL,$DF862,$L$17)),INDEX(PASTE_ALL,$DF862,$L$17),SUBSTITUTE(SUBSTITUTE(TRIM(SUBSTITUTE(SUBSTITUTE(SUBSTITUTE(SUBSTITUTE(INDEX(PASTE_ALL,$DF862,$L$17)," "," "),CHAR(9)," "),CHAR(10)," "),CHAR(13)," ")),",",""),"%","")),"")))</f>
        <v/>
      </c>
      <c r="EA862">
        <f>IF($DM862=0,"",IFERROR(IF(ISNUMBER($DZ862),$DZ862,IF($DZ862="","",IF(TRIM($DZ862)="",0,IF(AND(AND(SUBSTITUTE(SUBSTITUTE(SUBSTITUTE(SUBSTITUTE(SUBSTITUTE(SUBSTITUTE(SUBSTITUTE(SUBSTITUTE(SUBSTITUTE(SUBSTITUTE(SUBSTITUTE(SUBSTITUTE(SUBSTITUTE(SUBSTITUTE(UPPER(TRIM($DZ862)),"0",""),"1",""),"2",""),"3",""),"4",""),"5",""),"6",""),"7",""),"8",""),"9",""),".",""),"+",""),"-",""),"E","")="",LEN(SUBSTITUTE(SUBSTITUTE(MID(UPPER(TRIM($DZ862)),1+OR(LEFT(UPPER(TRIM($DZ862)),1)="+",LEFT(UPPER(TRIM($DZ862)),1)="-"),999),"E+","E"),"E-","E"))=LEN(SUBSTITUTE(SUBSTITUTE(SUBSTITUTE(SUBSTITUTE(MID(UPPER(TRIM($DZ862)),1+OR(LEFT(UPPER(TRIM($DZ862)),1)="+",LEFT(UPPER(TRIM($DZ862)),1)="-"),999),"E+","E"),"E-","E"),"+",""),"-","")),LEN(UPPER(TRIM($DZ862)))-LEN(SUBSTITUTE(UPPER(TRIM($DZ862)),"E",""))&lt;2,LEN(UPPER(TRIM($DZ862)))-LEN(SUBSTITUTE(UPPER(TRIM($DZ862)),".",""))&lt;2,IFERROR(FIND(".",UPPER(TRIM($DZ862))),0)&lt;IFERROR(FIND("E",UPPER(TRIM($DZ862))),999)),ISNUMBER(VALUE(TRIM($DZ862)))),VALUE(TRIM($DZ862)),"")))),""))</f>
        <v/>
      </c>
      <c r="EB862">
        <f>IF($DM862=0,"",IF($L$18=0,"",IFERROR(IF(UPPER(TRIM(SUBSTITUTE(SUBSTITUTE(SUBSTITUTE(SUBSTITUTE(INDEX(PASTE_ALL,$DF862,$L$18)," "," "),CHAR(9)," "),CHAR(10)," "),CHAR(13)," ")))="READY","Ready",IF(UPPER(TRIM(SUBSTITUTE(SUBSTITUTE(SUBSTITUTE(SUBSTITUTE(INDEX(PASTE_ALL,$DF862,$L$18)," "," "),CHAR(9)," "),CHAR(10)," "),CHAR(13)," ")))="PM","PM",IF(OR(UPPER(TRIM(SUBSTITUTE(SUBSTITUTE(SUBSTITUTE(SUBSTITUTE(INDEX(PASTE_ALL,$DF862,$L$18)," "," "),CHAR(9)," "),CHAR(10)," "),CHAR(13)," ")))="OT",UPPER(TRIM(SUBSTITUTE(SUBSTITUTE(SUBSTITUTE(SUBSTITUTE(INDEX(PASTE_ALL,$DF862,$L$18)," "," "),CHAR(9)," "),CHAR(10)," "),CHAR(13)," ")))="OVERTIME",UPPER(TRIM(SUBSTITUTE(SUBSTITUTE(SUBSTITUTE(SUBSTITUTE(INDEX(PASTE_ALL,$DF862,$L$18)," "," "),CHAR(9)," "),CHAR(10)," "),CHAR(13)," ")))="TRIAL"),"OT",TRIM(SUBSTITUTE(SUBSTITUTE(SUBSTITUTE(SUBSTITUTE(INDEX(PASTE_ALL,$DF862,$L$18)," "," "),CHAR(9)," "),CHAR(10)," "),CHAR(13)," "))))),"")))</f>
        <v/>
      </c>
      <c r="EC862">
        <f>IF($DM862=0,"",IF($L$19=0,"",IFERROR(IF(ISNUMBER(INDEX(PASTE_ALL,$DF862,$L$19)),INDEX(PASTE_ALL,$DF862,$L$19),TRIM(SUBSTITUTE(SUBSTITUTE(SUBSTITUTE(SUBSTITUTE(INDEX(PASTE_ALL,$DF862,$L$19)," "," "),CHAR(9)," "),CHAR(10)," "),CHAR(13)," "))),"")))</f>
        <v/>
      </c>
      <c r="ED862">
        <f>IF($DM862=0,"",MATCH(1,INDEX(EXACT($DH$5:DH862,$DH862)*$DM$5:DM862,0),0))</f>
        <v/>
      </c>
      <c r="EE862">
        <f>IF($DM862=0,0,IF($ED862=$DE862,1,0))</f>
        <v/>
      </c>
      <c r="EF862">
        <f>EF861+$EE862</f>
        <v/>
      </c>
      <c r="EG862">
        <f>IF($DM862=0,"",INDEX($EF$5:$EF$1003,$ED862))</f>
        <v/>
      </c>
      <c r="EH862">
        <f>IF($DM862=0,"",IF($DO862&lt;&gt;"","",IFERROR(LOOKUP(2,1/(($EG$4:EG861=$EG862)*($DO$4:DO861&lt;&gt;"")),$DO$4:DO861),"")))</f>
        <v/>
      </c>
      <c r="EI862">
        <f>IF($DM862=0,"",IF($DO862&lt;&gt;"",$DO862,$EH862))</f>
        <v/>
      </c>
      <c r="EJ862">
        <f>IF($DM862=0,"",IF($EI862="",0,IF(OR(ISNUMBER($EI862),AND(AND(SUBSTITUTE(SUBSTITUTE(SUBSTITUTE(SUBSTITUTE(SUBSTITUTE(SUBSTITUTE(SUBSTITUTE(SUBSTITUTE(SUBSTITUTE(SUBSTITUTE(SUBSTITUTE(SUBSTITUTE(SUBSTITUTE(SUBSTITUTE(UPPER($EI862),"0",""),"1",""),"2",""),"3",""),"4",""),"5",""),"6",""),"7",""),"8",""),"9",""),".",""),"+",""),"-",""),"E","")="",LEN(SUBSTITUTE(SUBSTITUTE(MID(UPPER($EI862),1+OR(LEFT(UPPER($EI862),1)="+",LEFT(UPPER($EI862),1)="-"),999),"E+","E"),"E-","E"))=LEN(SUBSTITUTE(SUBSTITUTE(SUBSTITUTE(SUBSTITUTE(MID(UPPER($EI862),1+OR(LEFT(UPPER($EI862),1)="+",LEFT(UPPER($EI862),1)="-"),999),"E+","E"),"E-","E"),"+",""),"-","")),LEN(UPPER($EI862))-LEN(SUBSTITUTE(UPPER($EI862),"E",""))&lt;2,LEN(UPPER($EI862))-LEN(SUBSTITUTE(UPPER($EI862),".",""))&lt;2,IFERROR(FIND(".",UPPER($EI862)),0)&lt;IFERROR(FIND("E",UPPER($EI862)),999)),ISNUMBER(VALUE($EI862)))),1,2)))</f>
        <v/>
      </c>
      <c r="EK862">
        <f>IF($DM862=0,"",IF($EJ862=1,IF(ISNUMBER($EI862),$EI862,VALUE($EI862)),IF($EJ862=2,$DE862,0)))</f>
        <v/>
      </c>
      <c r="EL862">
        <f>IF($DM862=0,"",COUNTIF($EG$5:$EG$1003,"&lt;"&amp;$EG862)+SUMPRODUCT(($EG$5:$EG$1003=$EG862)*(($EJ$5:$EJ$1003&lt;$EJ862)+($EJ$5:$EJ$1003=$EJ862)*(($EK$5:$EK$1003&lt;$EK862)+($EK$5:$EK$1003=$EK862)*($DE$5:$DE$1003&lt;$DE862))))+1)</f>
        <v/>
      </c>
      <c r="EM862">
        <f>IF($DM862=0,"",$EL862+$EG862-1)</f>
        <v/>
      </c>
      <c r="EN862">
        <f>IF($DM862=0,0,IFERROR(MATCH(1,INDEX(--(TRIM(SUBSTITUTE(SUBSTITUTE(SUBSTITUTE(SUBSTITUTE(LINES_NAME&amp;""," "," "),CHAR(9)," "),CHAR(10)," "),CHAR(13)," "))=$DH862),0),0),0))</f>
        <v/>
      </c>
      <c r="EO862">
        <f>IF($EN862=0,0,IF(OR(UPPER(TRIM(INDEX(LINES_SCHEDULED,$EN862)&amp;""))="YES",UPPER(TRIM(INDEX(LINES_SCHEDULED,$EN862)&amp;""))="Y",UPPER(TRIM(INDEX(LINES_SCHEDULED,$EN862)&amp;""))="X"),1,0))</f>
        <v/>
      </c>
      <c r="EP862">
        <f>IF($DM862=0,"",IF(COUNTIFS($EG$5:$EG$1003,$EG862,$EB$5:$EB$1003,"Ready")&gt;0,"READY",IF(COUNTIFS($EG$5:$EG$1003,$EG862,$EB$5:$EB$1003,"PM")&gt;0,"PM",IF(COUNTIFS($EG$5:$EG$1003,$EG862,$EB$5:$EB$1003,"OT")&gt;0,"OT",""))))</f>
        <v/>
      </c>
      <c r="EQ862">
        <f>IF($EN862=0,"",UPPER(TRIM(INDEX(LINES_STATUS,$EN862)&amp;"")))</f>
        <v/>
      </c>
      <c r="ER862">
        <f>IF($DM862=0,"",IF(OR($EQ862="READY",$EQ862="PM",$EQ862="OT"),$EQ862,$EP862))</f>
        <v/>
      </c>
      <c r="ES862">
        <f>IF($DM862=0,"",IF(AND($DV862&lt;&gt;"",UPPER($DV862)&lt;&gt;"N"),"allergen",IF(ISNUMBER(SEARCH("oil",$DQ862)),"oil",IF(OR(EXACT($DS862,"A662"),EXACT($DS862,"A624")),"bulk",""))))</f>
        <v/>
      </c>
      <c r="ET862">
        <f>IF($DM862=0,"",IF(OR($EA862="",$EA862=0),"",$EA862/100))</f>
        <v/>
      </c>
      <c r="EU862">
        <f>IF(OR($ET862="",$DY862=""),"",INT($DY862*(1-$ET862)+0.5))</f>
        <v/>
      </c>
    </row>
    <row r="863">
      <c r="DA863" t="n">
        <v>859</v>
      </c>
      <c r="DB863">
        <f>IF($B$37=0,"",IFERROR(TRIM(SUBSTITUTE(SUBSTITUTE(SUBSTITUTE(SUBSTITUTE(INDEX(PASTE_ALL,859,$B$37)," "," "),CHAR(9)," "),CHAR(10)," "),CHAR(13)," ")),""))</f>
        <v/>
      </c>
      <c r="DC863">
        <f>IF(AND(859&gt;HEADER_ROW,UPPER(DB863)="LEGEND"),1,0)</f>
        <v/>
      </c>
      <c r="DE863" t="n">
        <v>859</v>
      </c>
      <c r="DF863">
        <f>HEADER_ROW+$DE863</f>
        <v/>
      </c>
      <c r="DG863">
        <f>IF(AND($DF863&lt;=1000,$DF863&lt;$B$8),1,0)</f>
        <v/>
      </c>
      <c r="DH863">
        <f>IF($DG863=1,IFERROR(INDEX($DB$5:$DB$1004,$DF863),""),"")</f>
        <v/>
      </c>
      <c r="DI863">
        <f>IF(AND($DG863=1,$DH863&lt;&gt;""),IFERROR(SUBSTITUTE(SUBSTITUTE(TRIM(SUBSTITUTE(SUBSTITUTE(SUBSTITUTE(SUBSTITUTE(IFERROR(INDEX(PASTE_ALL,$DF863,1)&amp;"","")&amp;"␟"&amp;IFERROR(INDEX(PASTE_ALL,$DF863,2)&amp;"","")&amp;"␟"&amp;IFERROR(INDEX(PASTE_ALL,$DF863,3)&amp;"","")&amp;"␟"&amp;IFERROR(INDEX(PASTE_ALL,$DF863,4)&amp;"","")&amp;"␟"&amp;IFERROR(INDEX(PASTE_ALL,$DF863,5)&amp;"","")&amp;"␟"&amp;IFERROR(INDEX(PASTE_ALL,$DF863,6)&amp;"","")&amp;"␟"&amp;IFERROR(INDEX(PASTE_ALL,$DF863,7)&amp;"","")&amp;"␟"&amp;IFERROR(INDEX(PASTE_ALL,$DF863,8)&amp;"","")&amp;"␟"&amp;IFERROR(INDEX(PASTE_ALL,$DF863,9)&amp;"","")&amp;"␟"&amp;IFERROR(INDEX(PASTE_ALL,$DF863,10)&amp;"","")&amp;"␟"&amp;IFERROR(INDEX(PASTE_ALL,$DF863,11)&amp;"","")&amp;"␟"&amp;IFERROR(INDEX(PASTE_ALL,$DF863,12)&amp;"","")&amp;"␟"&amp;IFERROR(INDEX(PASTE_ALL,$DF863,13)&amp;"","")&amp;"␟"&amp;IFERROR(INDEX(PASTE_ALL,$DF863,14)&amp;"","")&amp;"␟"&amp;IFERROR(INDEX(PASTE_ALL,$DF863,15)&amp;"","")&amp;"␟"&amp;IFERROR(INDEX(PASTE_ALL,$DF863,16)&amp;"","")&amp;"␟"&amp;IFERROR(INDEX(PASTE_ALL,$DF863,17)&amp;"","")&amp;"␟"&amp;IFERROR(INDEX(PASTE_ALL,$DF863,18)&amp;"","")&amp;"␟"&amp;IFERROR(INDEX(PASTE_ALL,$DF863,19)&amp;"","")&amp;"␟"&amp;IFERROR(INDEX(PASTE_ALL,$DF863,20)&amp;"","")&amp;"␟"&amp;IFERROR(INDEX(PASTE_ALL,$DF863,21)&amp;"","")&amp;"␟"&amp;IFERROR(INDEX(PASTE_ALL,$DF863,22)&amp;"","")&amp;"␟"&amp;IFERROR(INDEX(PASTE_ALL,$DF863,23)&amp;"","")&amp;"␟"&amp;IFERROR(INDEX(PASTE_ALL,$DF863,24)&amp;"","")&amp;"␟"&amp;IFERROR(INDEX(PASTE_ALL,$DF863,25)&amp;"","")&amp;"␟"&amp;IFERROR(INDEX(PASTE_ALL,$DF863,26)&amp;"","")&amp;"␟"&amp;IFERROR(INDEX(PASTE_ALL,$DF863,27)&amp;"","")&amp;"␟"&amp;IFERROR(INDEX(PASTE_ALL,$DF863,28)&amp;"","")&amp;"␟"&amp;IFERROR(INDEX(PASTE_ALL,$DF863,29)&amp;"","")&amp;"␟"&amp;IFERROR(INDEX(PASTE_ALL,$DF863,30)&amp;"","")&amp;"␟"&amp;IFERROR(INDEX(PASTE_ALL,$DF863,31)&amp;"","")&amp;"␟"&amp;IFERROR(INDEX(PASTE_ALL,$DF863,32)&amp;"","")&amp;"␟"&amp;IFERROR(INDEX(PASTE_ALL,$DF863,33)&amp;"","")&amp;"␟"&amp;IFERROR(INDEX(PASTE_ALL,$DF863,34)&amp;"","")&amp;"␟"&amp;IFERROR(INDEX(PASTE_ALL,$DF863,35)&amp;"","")&amp;"␟"&amp;IFERROR(INDEX(PASTE_ALL,$DF863,36)&amp;"","")&amp;"␟"&amp;IFERROR(INDEX(PASTE_ALL,$DF863,37)&amp;"","")&amp;"␟"&amp;IFERROR(INDEX(PASTE_ALL,$DF863,38)&amp;"","")&amp;"␟"&amp;IFERROR(INDEX(PASTE_ALL,$DF863,39)&amp;"","")&amp;"␟"&amp;IFERROR(INDEX(PASTE_ALL,$DF863,40)&amp;"","")&amp;"␟"&amp;IFERROR(INDEX(PASTE_ALL,$DF863,41)&amp;"","")&amp;"␟"&amp;IFERROR(INDEX(PASTE_ALL,$DF863,42)&amp;"","")&amp;"␟"&amp;IFERROR(INDEX(PASTE_ALL,$DF863,43)&amp;"","")&amp;"␟"&amp;IFERROR(INDEX(PASTE_ALL,$DF863,44)&amp;"","")&amp;"␟"&amp;IFERROR(INDEX(PASTE_ALL,$DF863,45)&amp;"","")&amp;"␟"&amp;IFERROR(INDEX(PASTE_ALL,$DF863,46)&amp;"","")&amp;"␟"&amp;IFERROR(INDEX(PASTE_ALL,$DF863,47)&amp;"","")&amp;"␟"&amp;IFERROR(INDEX(PASTE_ALL,$DF863,48)&amp;"","")&amp;"␟"&amp;IFERROR(INDEX(PASTE_ALL,$DF863,49)&amp;"","")&amp;"␟"&amp;IFERROR(INDEX(PASTE_ALL,$DF863,50)&amp;"","")&amp;"␟"&amp;IFERROR(INDEX(PASTE_ALL,$DF863,51)&amp;"","")&amp;"␟"&amp;IFERROR(INDEX(PASTE_ALL,$DF863,52)&amp;"","")&amp;"␟"&amp;IFERROR(INDEX(PASTE_ALL,$DF863,53)&amp;"","")&amp;"␟"&amp;IFERROR(INDEX(PASTE_ALL,$DF863,54)&amp;"","")&amp;"␟"&amp;IFERROR(INDEX(PASTE_ALL,$DF863,55)&amp;"","")&amp;"␟"&amp;IFERROR(INDEX(PASTE_ALL,$DF863,56)&amp;"","")&amp;"␟"&amp;IFERROR(INDEX(PASTE_ALL,$DF863,57)&amp;"","")&amp;"␟"&amp;IFERROR(INDEX(PASTE_ALL,$DF863,58)&amp;"","")&amp;"␟"&amp;IFERROR(INDEX(PASTE_ALL,$DF863,59)&amp;"","")&amp;"␟"&amp;IFERROR(INDEX(PASTE_ALL,$DF863,60)&amp;"","")," "," "),CHAR(9)," "),CHAR(10)," "),CHAR(13)," "))," ␟","␟"),"␟ ","␟"),"#"&amp;$DE863),"")</f>
        <v/>
      </c>
      <c r="DJ863">
        <f>IF($DI863="",0,IF(SUMPRODUCT(--EXACT($DI$4:DI862,$DI863))&gt;0,1,0))</f>
        <v/>
      </c>
      <c r="DK863">
        <f>IF(AND($DI863&lt;&gt;"",$DJ863=0),1,0)</f>
        <v/>
      </c>
      <c r="DL863">
        <f>DL862+$DK863</f>
        <v/>
      </c>
      <c r="DM863">
        <f>IF(AND($DK863=1,$DL863&lt;=600),1,0)</f>
        <v/>
      </c>
      <c r="DN863">
        <f>IF($DM863=0,"",IF($L$6=0,"",IFERROR(IF(ISNUMBER(INDEX(PASTE_ALL,$DF863,$L$6)),INDEX(PASTE_ALL,$DF863,$L$6),TRIM(SUBSTITUTE(SUBSTITUTE(SUBSTITUTE(SUBSTITUTE(INDEX(PASTE_ALL,$DF863,$L$6)," "," "),CHAR(9)," "),CHAR(10)," "),CHAR(13)," "))),"")))</f>
        <v/>
      </c>
      <c r="DO863">
        <f>IF($DM863=0,"",IF($L$7=0,"",IFERROR(IF(ISNUMBER(INDEX(PASTE_ALL,$DF863,$L$7)),INDEX(PASTE_ALL,$DF863,$L$7),TRIM(SUBSTITUTE(SUBSTITUTE(SUBSTITUTE(SUBSTITUTE(INDEX(PASTE_ALL,$DF863,$L$7)," "," "),CHAR(9)," "),CHAR(10)," "),CHAR(13)," "))),"")))</f>
        <v/>
      </c>
      <c r="DP863">
        <f>IF($DM863=0,"",IF($L$8=0,"",IFERROR(IF(ISNUMBER(INDEX(PASTE_ALL,$DF863,$L$8)),INDEX(PASTE_ALL,$DF863,$L$8),TRIM(SUBSTITUTE(SUBSTITUTE(SUBSTITUTE(SUBSTITUTE(INDEX(PASTE_ALL,$DF863,$L$8)," "," "),CHAR(9)," "),CHAR(10)," "),CHAR(13)," "))),"")))</f>
        <v/>
      </c>
      <c r="DQ863">
        <f>IF($DM863=0,"",IF($L$9=0,"",IFERROR(IF(ISNUMBER(INDEX(PASTE_ALL,$DF863,$L$9)),INDEX(PASTE_ALL,$DF863,$L$9),TRIM(SUBSTITUTE(SUBSTITUTE(SUBSTITUTE(SUBSTITUTE(INDEX(PASTE_ALL,$DF863,$L$9)," "," "),CHAR(9)," "),CHAR(10)," "),CHAR(13)," "))),"")))</f>
        <v/>
      </c>
      <c r="DR863">
        <f>IF($DM863=0,"",IF($L$10=0,"",IFERROR(IF(ISNUMBER(INDEX(PASTE_ALL,$DF863,$L$10)),INDEX(PASTE_ALL,$DF863,$L$10),TRIM(SUBSTITUTE(SUBSTITUTE(SUBSTITUTE(SUBSTITUTE(INDEX(PASTE_ALL,$DF863,$L$10)," "," "),CHAR(9)," "),CHAR(10)," "),CHAR(13)," "))),"")))</f>
        <v/>
      </c>
      <c r="DS863">
        <f>IF($DM863=0,"",IF($L$11=0,"",IFERROR(IF(ISNUMBER(INDEX(PASTE_ALL,$DF863,$L$11)),INDEX(PASTE_ALL,$DF863,$L$11),TRIM(SUBSTITUTE(SUBSTITUTE(SUBSTITUTE(SUBSTITUTE(INDEX(PASTE_ALL,$DF863,$L$11)," "," "),CHAR(9)," "),CHAR(10)," "),CHAR(13)," "))),"")))</f>
        <v/>
      </c>
      <c r="DT863">
        <f>IF($DM863=0,"",IF($L$12=0,"",IFERROR(IF(ISNUMBER(INDEX(PASTE_ALL,$DF863,$L$12)),INDEX(PASTE_ALL,$DF863,$L$12),TRIM(SUBSTITUTE(SUBSTITUTE(SUBSTITUTE(SUBSTITUTE(INDEX(PASTE_ALL,$DF863,$L$12)," "," "),CHAR(9)," "),CHAR(10)," "),CHAR(13)," "))),"")))</f>
        <v/>
      </c>
      <c r="DU863">
        <f>IF($DM863=0,"",IF($L$13=0,"",IFERROR(IF(ISNUMBER(INDEX(PASTE_ALL,$DF863,$L$13)),INDEX(PASTE_ALL,$DF863,$L$13),TRIM(SUBSTITUTE(SUBSTITUTE(SUBSTITUTE(SUBSTITUTE(INDEX(PASTE_ALL,$DF863,$L$13)," "," "),CHAR(9)," "),CHAR(10)," "),CHAR(13)," "))),"")))</f>
        <v/>
      </c>
      <c r="DV863">
        <f>IF($DM863=0,"",IF($L$14=0,"",IFERROR(IF(ISNUMBER(INDEX(PASTE_ALL,$DF863,$L$14)),INDEX(PASTE_ALL,$DF863,$L$14),TRIM(SUBSTITUTE(SUBSTITUTE(SUBSTITUTE(SUBSTITUTE(INDEX(PASTE_ALL,$DF863,$L$14)," "," "),CHAR(9)," "),CHAR(10)," "),CHAR(13)," "))),"")))</f>
        <v/>
      </c>
      <c r="DW863">
        <f>IF($DM863=0,"",IF($L$15=0,"",IFERROR(IF(ISNUMBER(INDEX(PASTE_ALL,$DF863,$L$15)),INDEX(PASTE_ALL,$DF863,$L$15),IF(SUMPRODUCT(--ISNUMBER(FIND({"A","B","C","D","E","F","G","H","I","J","K","L","M","N","O","P","Q","R","S","T","U","V","W","X","Y","Z","0","1","2","3","4","5","6","7","8","9"},UPPER(TRIM(SUBSTITUTE(SUBSTITUTE(SUBSTITUTE(SUBSTITUTE(INDEX(PASTE_ALL,$DF863,$L$15)," "," "),CHAR(9)," "),CHAR(10)," "),CHAR(13)," "))))))&gt;0,TRIM(SUBSTITUTE(SUBSTITUTE(SUBSTITUTE(SUBSTITUTE(INDEX(PASTE_ALL,$DF863,$L$15)," "," "),CHAR(9)," "),CHAR(10)," "),CHAR(13)," ")),"")),"")))</f>
        <v/>
      </c>
      <c r="DX863">
        <f>IF($DM863=0,"",IF($L$16=0,"",IFERROR(IF(ISNUMBER(INDEX(PASTE_ALL,$DF863,$L$16)),INDEX(PASTE_ALL,$DF863,$L$16),SUBSTITUTE(SUBSTITUTE(TRIM(SUBSTITUTE(SUBSTITUTE(SUBSTITUTE(SUBSTITUTE(INDEX(PASTE_ALL,$DF863,$L$16)," "," "),CHAR(9)," "),CHAR(10)," "),CHAR(13)," ")),",",""),"%","")),"")))</f>
        <v/>
      </c>
      <c r="DY863">
        <f>IF($DM863=0,"",IFERROR(IF(ISNUMBER($DX863),$DX863,IF($DX863="","",IF(TRIM($DX863)="",0,IF(AND(AND(SUBSTITUTE(SUBSTITUTE(SUBSTITUTE(SUBSTITUTE(SUBSTITUTE(SUBSTITUTE(SUBSTITUTE(SUBSTITUTE(SUBSTITUTE(SUBSTITUTE(SUBSTITUTE(SUBSTITUTE(SUBSTITUTE(SUBSTITUTE(UPPER(TRIM($DX863)),"0",""),"1",""),"2",""),"3",""),"4",""),"5",""),"6",""),"7",""),"8",""),"9",""),".",""),"+",""),"-",""),"E","")="",LEN(SUBSTITUTE(SUBSTITUTE(MID(UPPER(TRIM($DX863)),1+OR(LEFT(UPPER(TRIM($DX863)),1)="+",LEFT(UPPER(TRIM($DX863)),1)="-"),999),"E+","E"),"E-","E"))=LEN(SUBSTITUTE(SUBSTITUTE(SUBSTITUTE(SUBSTITUTE(MID(UPPER(TRIM($DX863)),1+OR(LEFT(UPPER(TRIM($DX863)),1)="+",LEFT(UPPER(TRIM($DX863)),1)="-"),999),"E+","E"),"E-","E"),"+",""),"-","")),LEN(UPPER(TRIM($DX863)))-LEN(SUBSTITUTE(UPPER(TRIM($DX863)),"E",""))&lt;2,LEN(UPPER(TRIM($DX863)))-LEN(SUBSTITUTE(UPPER(TRIM($DX863)),".",""))&lt;2,IFERROR(FIND(".",UPPER(TRIM($DX863))),0)&lt;IFERROR(FIND("E",UPPER(TRIM($DX863))),999)),ISNUMBER(VALUE(TRIM($DX863)))),VALUE(TRIM($DX863)),"")))),""))</f>
        <v/>
      </c>
      <c r="DZ863">
        <f>IF($DM863=0,"",IF($L$17=0,"",IFERROR(IF(ISNUMBER(INDEX(PASTE_ALL,$DF863,$L$17)),INDEX(PASTE_ALL,$DF863,$L$17),SUBSTITUTE(SUBSTITUTE(TRIM(SUBSTITUTE(SUBSTITUTE(SUBSTITUTE(SUBSTITUTE(INDEX(PASTE_ALL,$DF863,$L$17)," "," "),CHAR(9)," "),CHAR(10)," "),CHAR(13)," ")),",",""),"%","")),"")))</f>
        <v/>
      </c>
      <c r="EA863">
        <f>IF($DM863=0,"",IFERROR(IF(ISNUMBER($DZ863),$DZ863,IF($DZ863="","",IF(TRIM($DZ863)="",0,IF(AND(AND(SUBSTITUTE(SUBSTITUTE(SUBSTITUTE(SUBSTITUTE(SUBSTITUTE(SUBSTITUTE(SUBSTITUTE(SUBSTITUTE(SUBSTITUTE(SUBSTITUTE(SUBSTITUTE(SUBSTITUTE(SUBSTITUTE(SUBSTITUTE(UPPER(TRIM($DZ863)),"0",""),"1",""),"2",""),"3",""),"4",""),"5",""),"6",""),"7",""),"8",""),"9",""),".",""),"+",""),"-",""),"E","")="",LEN(SUBSTITUTE(SUBSTITUTE(MID(UPPER(TRIM($DZ863)),1+OR(LEFT(UPPER(TRIM($DZ863)),1)="+",LEFT(UPPER(TRIM($DZ863)),1)="-"),999),"E+","E"),"E-","E"))=LEN(SUBSTITUTE(SUBSTITUTE(SUBSTITUTE(SUBSTITUTE(MID(UPPER(TRIM($DZ863)),1+OR(LEFT(UPPER(TRIM($DZ863)),1)="+",LEFT(UPPER(TRIM($DZ863)),1)="-"),999),"E+","E"),"E-","E"),"+",""),"-","")),LEN(UPPER(TRIM($DZ863)))-LEN(SUBSTITUTE(UPPER(TRIM($DZ863)),"E",""))&lt;2,LEN(UPPER(TRIM($DZ863)))-LEN(SUBSTITUTE(UPPER(TRIM($DZ863)),".",""))&lt;2,IFERROR(FIND(".",UPPER(TRIM($DZ863))),0)&lt;IFERROR(FIND("E",UPPER(TRIM($DZ863))),999)),ISNUMBER(VALUE(TRIM($DZ863)))),VALUE(TRIM($DZ863)),"")))),""))</f>
        <v/>
      </c>
      <c r="EB863">
        <f>IF($DM863=0,"",IF($L$18=0,"",IFERROR(IF(UPPER(TRIM(SUBSTITUTE(SUBSTITUTE(SUBSTITUTE(SUBSTITUTE(INDEX(PASTE_ALL,$DF863,$L$18)," "," "),CHAR(9)," "),CHAR(10)," "),CHAR(13)," ")))="READY","Ready",IF(UPPER(TRIM(SUBSTITUTE(SUBSTITUTE(SUBSTITUTE(SUBSTITUTE(INDEX(PASTE_ALL,$DF863,$L$18)," "," "),CHAR(9)," "),CHAR(10)," "),CHAR(13)," ")))="PM","PM",IF(OR(UPPER(TRIM(SUBSTITUTE(SUBSTITUTE(SUBSTITUTE(SUBSTITUTE(INDEX(PASTE_ALL,$DF863,$L$18)," "," "),CHAR(9)," "),CHAR(10)," "),CHAR(13)," ")))="OT",UPPER(TRIM(SUBSTITUTE(SUBSTITUTE(SUBSTITUTE(SUBSTITUTE(INDEX(PASTE_ALL,$DF863,$L$18)," "," "),CHAR(9)," "),CHAR(10)," "),CHAR(13)," ")))="OVERTIME",UPPER(TRIM(SUBSTITUTE(SUBSTITUTE(SUBSTITUTE(SUBSTITUTE(INDEX(PASTE_ALL,$DF863,$L$18)," "," "),CHAR(9)," "),CHAR(10)," "),CHAR(13)," ")))="TRIAL"),"OT",TRIM(SUBSTITUTE(SUBSTITUTE(SUBSTITUTE(SUBSTITUTE(INDEX(PASTE_ALL,$DF863,$L$18)," "," "),CHAR(9)," "),CHAR(10)," "),CHAR(13)," "))))),"")))</f>
        <v/>
      </c>
      <c r="EC863">
        <f>IF($DM863=0,"",IF($L$19=0,"",IFERROR(IF(ISNUMBER(INDEX(PASTE_ALL,$DF863,$L$19)),INDEX(PASTE_ALL,$DF863,$L$19),TRIM(SUBSTITUTE(SUBSTITUTE(SUBSTITUTE(SUBSTITUTE(INDEX(PASTE_ALL,$DF863,$L$19)," "," "),CHAR(9)," "),CHAR(10)," "),CHAR(13)," "))),"")))</f>
        <v/>
      </c>
      <c r="ED863">
        <f>IF($DM863=0,"",MATCH(1,INDEX(EXACT($DH$5:DH863,$DH863)*$DM$5:DM863,0),0))</f>
        <v/>
      </c>
      <c r="EE863">
        <f>IF($DM863=0,0,IF($ED863=$DE863,1,0))</f>
        <v/>
      </c>
      <c r="EF863">
        <f>EF862+$EE863</f>
        <v/>
      </c>
      <c r="EG863">
        <f>IF($DM863=0,"",INDEX($EF$5:$EF$1003,$ED863))</f>
        <v/>
      </c>
      <c r="EH863">
        <f>IF($DM863=0,"",IF($DO863&lt;&gt;"","",IFERROR(LOOKUP(2,1/(($EG$4:EG862=$EG863)*($DO$4:DO862&lt;&gt;"")),$DO$4:DO862),"")))</f>
        <v/>
      </c>
      <c r="EI863">
        <f>IF($DM863=0,"",IF($DO863&lt;&gt;"",$DO863,$EH863))</f>
        <v/>
      </c>
      <c r="EJ863">
        <f>IF($DM863=0,"",IF($EI863="",0,IF(OR(ISNUMBER($EI863),AND(AND(SUBSTITUTE(SUBSTITUTE(SUBSTITUTE(SUBSTITUTE(SUBSTITUTE(SUBSTITUTE(SUBSTITUTE(SUBSTITUTE(SUBSTITUTE(SUBSTITUTE(SUBSTITUTE(SUBSTITUTE(SUBSTITUTE(SUBSTITUTE(UPPER($EI863),"0",""),"1",""),"2",""),"3",""),"4",""),"5",""),"6",""),"7",""),"8",""),"9",""),".",""),"+",""),"-",""),"E","")="",LEN(SUBSTITUTE(SUBSTITUTE(MID(UPPER($EI863),1+OR(LEFT(UPPER($EI863),1)="+",LEFT(UPPER($EI863),1)="-"),999),"E+","E"),"E-","E"))=LEN(SUBSTITUTE(SUBSTITUTE(SUBSTITUTE(SUBSTITUTE(MID(UPPER($EI863),1+OR(LEFT(UPPER($EI863),1)="+",LEFT(UPPER($EI863),1)="-"),999),"E+","E"),"E-","E"),"+",""),"-","")),LEN(UPPER($EI863))-LEN(SUBSTITUTE(UPPER($EI863),"E",""))&lt;2,LEN(UPPER($EI863))-LEN(SUBSTITUTE(UPPER($EI863),".",""))&lt;2,IFERROR(FIND(".",UPPER($EI863)),0)&lt;IFERROR(FIND("E",UPPER($EI863)),999)),ISNUMBER(VALUE($EI863)))),1,2)))</f>
        <v/>
      </c>
      <c r="EK863">
        <f>IF($DM863=0,"",IF($EJ863=1,IF(ISNUMBER($EI863),$EI863,VALUE($EI863)),IF($EJ863=2,$DE863,0)))</f>
        <v/>
      </c>
      <c r="EL863">
        <f>IF($DM863=0,"",COUNTIF($EG$5:$EG$1003,"&lt;"&amp;$EG863)+SUMPRODUCT(($EG$5:$EG$1003=$EG863)*(($EJ$5:$EJ$1003&lt;$EJ863)+($EJ$5:$EJ$1003=$EJ863)*(($EK$5:$EK$1003&lt;$EK863)+($EK$5:$EK$1003=$EK863)*($DE$5:$DE$1003&lt;$DE863))))+1)</f>
        <v/>
      </c>
      <c r="EM863">
        <f>IF($DM863=0,"",$EL863+$EG863-1)</f>
        <v/>
      </c>
      <c r="EN863">
        <f>IF($DM863=0,0,IFERROR(MATCH(1,INDEX(--(TRIM(SUBSTITUTE(SUBSTITUTE(SUBSTITUTE(SUBSTITUTE(LINES_NAME&amp;""," "," "),CHAR(9)," "),CHAR(10)," "),CHAR(13)," "))=$DH863),0),0),0))</f>
        <v/>
      </c>
      <c r="EO863">
        <f>IF($EN863=0,0,IF(OR(UPPER(TRIM(INDEX(LINES_SCHEDULED,$EN863)&amp;""))="YES",UPPER(TRIM(INDEX(LINES_SCHEDULED,$EN863)&amp;""))="Y",UPPER(TRIM(INDEX(LINES_SCHEDULED,$EN863)&amp;""))="X"),1,0))</f>
        <v/>
      </c>
      <c r="EP863">
        <f>IF($DM863=0,"",IF(COUNTIFS($EG$5:$EG$1003,$EG863,$EB$5:$EB$1003,"Ready")&gt;0,"READY",IF(COUNTIFS($EG$5:$EG$1003,$EG863,$EB$5:$EB$1003,"PM")&gt;0,"PM",IF(COUNTIFS($EG$5:$EG$1003,$EG863,$EB$5:$EB$1003,"OT")&gt;0,"OT",""))))</f>
        <v/>
      </c>
      <c r="EQ863">
        <f>IF($EN863=0,"",UPPER(TRIM(INDEX(LINES_STATUS,$EN863)&amp;"")))</f>
        <v/>
      </c>
      <c r="ER863">
        <f>IF($DM863=0,"",IF(OR($EQ863="READY",$EQ863="PM",$EQ863="OT"),$EQ863,$EP863))</f>
        <v/>
      </c>
      <c r="ES863">
        <f>IF($DM863=0,"",IF(AND($DV863&lt;&gt;"",UPPER($DV863)&lt;&gt;"N"),"allergen",IF(ISNUMBER(SEARCH("oil",$DQ863)),"oil",IF(OR(EXACT($DS863,"A662"),EXACT($DS863,"A624")),"bulk",""))))</f>
        <v/>
      </c>
      <c r="ET863">
        <f>IF($DM863=0,"",IF(OR($EA863="",$EA863=0),"",$EA863/100))</f>
        <v/>
      </c>
      <c r="EU863">
        <f>IF(OR($ET863="",$DY863=""),"",INT($DY863*(1-$ET863)+0.5))</f>
        <v/>
      </c>
    </row>
    <row r="864">
      <c r="DA864" t="n">
        <v>860</v>
      </c>
      <c r="DB864">
        <f>IF($B$37=0,"",IFERROR(TRIM(SUBSTITUTE(SUBSTITUTE(SUBSTITUTE(SUBSTITUTE(INDEX(PASTE_ALL,860,$B$37)," "," "),CHAR(9)," "),CHAR(10)," "),CHAR(13)," ")),""))</f>
        <v/>
      </c>
      <c r="DC864">
        <f>IF(AND(860&gt;HEADER_ROW,UPPER(DB864)="LEGEND"),1,0)</f>
        <v/>
      </c>
      <c r="DE864" t="n">
        <v>860</v>
      </c>
      <c r="DF864">
        <f>HEADER_ROW+$DE864</f>
        <v/>
      </c>
      <c r="DG864">
        <f>IF(AND($DF864&lt;=1000,$DF864&lt;$B$8),1,0)</f>
        <v/>
      </c>
      <c r="DH864">
        <f>IF($DG864=1,IFERROR(INDEX($DB$5:$DB$1004,$DF864),""),"")</f>
        <v/>
      </c>
      <c r="DI864">
        <f>IF(AND($DG864=1,$DH864&lt;&gt;""),IFERROR(SUBSTITUTE(SUBSTITUTE(TRIM(SUBSTITUTE(SUBSTITUTE(SUBSTITUTE(SUBSTITUTE(IFERROR(INDEX(PASTE_ALL,$DF864,1)&amp;"","")&amp;"␟"&amp;IFERROR(INDEX(PASTE_ALL,$DF864,2)&amp;"","")&amp;"␟"&amp;IFERROR(INDEX(PASTE_ALL,$DF864,3)&amp;"","")&amp;"␟"&amp;IFERROR(INDEX(PASTE_ALL,$DF864,4)&amp;"","")&amp;"␟"&amp;IFERROR(INDEX(PASTE_ALL,$DF864,5)&amp;"","")&amp;"␟"&amp;IFERROR(INDEX(PASTE_ALL,$DF864,6)&amp;"","")&amp;"␟"&amp;IFERROR(INDEX(PASTE_ALL,$DF864,7)&amp;"","")&amp;"␟"&amp;IFERROR(INDEX(PASTE_ALL,$DF864,8)&amp;"","")&amp;"␟"&amp;IFERROR(INDEX(PASTE_ALL,$DF864,9)&amp;"","")&amp;"␟"&amp;IFERROR(INDEX(PASTE_ALL,$DF864,10)&amp;"","")&amp;"␟"&amp;IFERROR(INDEX(PASTE_ALL,$DF864,11)&amp;"","")&amp;"␟"&amp;IFERROR(INDEX(PASTE_ALL,$DF864,12)&amp;"","")&amp;"␟"&amp;IFERROR(INDEX(PASTE_ALL,$DF864,13)&amp;"","")&amp;"␟"&amp;IFERROR(INDEX(PASTE_ALL,$DF864,14)&amp;"","")&amp;"␟"&amp;IFERROR(INDEX(PASTE_ALL,$DF864,15)&amp;"","")&amp;"␟"&amp;IFERROR(INDEX(PASTE_ALL,$DF864,16)&amp;"","")&amp;"␟"&amp;IFERROR(INDEX(PASTE_ALL,$DF864,17)&amp;"","")&amp;"␟"&amp;IFERROR(INDEX(PASTE_ALL,$DF864,18)&amp;"","")&amp;"␟"&amp;IFERROR(INDEX(PASTE_ALL,$DF864,19)&amp;"","")&amp;"␟"&amp;IFERROR(INDEX(PASTE_ALL,$DF864,20)&amp;"","")&amp;"␟"&amp;IFERROR(INDEX(PASTE_ALL,$DF864,21)&amp;"","")&amp;"␟"&amp;IFERROR(INDEX(PASTE_ALL,$DF864,22)&amp;"","")&amp;"␟"&amp;IFERROR(INDEX(PASTE_ALL,$DF864,23)&amp;"","")&amp;"␟"&amp;IFERROR(INDEX(PASTE_ALL,$DF864,24)&amp;"","")&amp;"␟"&amp;IFERROR(INDEX(PASTE_ALL,$DF864,25)&amp;"","")&amp;"␟"&amp;IFERROR(INDEX(PASTE_ALL,$DF864,26)&amp;"","")&amp;"␟"&amp;IFERROR(INDEX(PASTE_ALL,$DF864,27)&amp;"","")&amp;"␟"&amp;IFERROR(INDEX(PASTE_ALL,$DF864,28)&amp;"","")&amp;"␟"&amp;IFERROR(INDEX(PASTE_ALL,$DF864,29)&amp;"","")&amp;"␟"&amp;IFERROR(INDEX(PASTE_ALL,$DF864,30)&amp;"","")&amp;"␟"&amp;IFERROR(INDEX(PASTE_ALL,$DF864,31)&amp;"","")&amp;"␟"&amp;IFERROR(INDEX(PASTE_ALL,$DF864,32)&amp;"","")&amp;"␟"&amp;IFERROR(INDEX(PASTE_ALL,$DF864,33)&amp;"","")&amp;"␟"&amp;IFERROR(INDEX(PASTE_ALL,$DF864,34)&amp;"","")&amp;"␟"&amp;IFERROR(INDEX(PASTE_ALL,$DF864,35)&amp;"","")&amp;"␟"&amp;IFERROR(INDEX(PASTE_ALL,$DF864,36)&amp;"","")&amp;"␟"&amp;IFERROR(INDEX(PASTE_ALL,$DF864,37)&amp;"","")&amp;"␟"&amp;IFERROR(INDEX(PASTE_ALL,$DF864,38)&amp;"","")&amp;"␟"&amp;IFERROR(INDEX(PASTE_ALL,$DF864,39)&amp;"","")&amp;"␟"&amp;IFERROR(INDEX(PASTE_ALL,$DF864,40)&amp;"","")&amp;"␟"&amp;IFERROR(INDEX(PASTE_ALL,$DF864,41)&amp;"","")&amp;"␟"&amp;IFERROR(INDEX(PASTE_ALL,$DF864,42)&amp;"","")&amp;"␟"&amp;IFERROR(INDEX(PASTE_ALL,$DF864,43)&amp;"","")&amp;"␟"&amp;IFERROR(INDEX(PASTE_ALL,$DF864,44)&amp;"","")&amp;"␟"&amp;IFERROR(INDEX(PASTE_ALL,$DF864,45)&amp;"","")&amp;"␟"&amp;IFERROR(INDEX(PASTE_ALL,$DF864,46)&amp;"","")&amp;"␟"&amp;IFERROR(INDEX(PASTE_ALL,$DF864,47)&amp;"","")&amp;"␟"&amp;IFERROR(INDEX(PASTE_ALL,$DF864,48)&amp;"","")&amp;"␟"&amp;IFERROR(INDEX(PASTE_ALL,$DF864,49)&amp;"","")&amp;"␟"&amp;IFERROR(INDEX(PASTE_ALL,$DF864,50)&amp;"","")&amp;"␟"&amp;IFERROR(INDEX(PASTE_ALL,$DF864,51)&amp;"","")&amp;"␟"&amp;IFERROR(INDEX(PASTE_ALL,$DF864,52)&amp;"","")&amp;"␟"&amp;IFERROR(INDEX(PASTE_ALL,$DF864,53)&amp;"","")&amp;"␟"&amp;IFERROR(INDEX(PASTE_ALL,$DF864,54)&amp;"","")&amp;"␟"&amp;IFERROR(INDEX(PASTE_ALL,$DF864,55)&amp;"","")&amp;"␟"&amp;IFERROR(INDEX(PASTE_ALL,$DF864,56)&amp;"","")&amp;"␟"&amp;IFERROR(INDEX(PASTE_ALL,$DF864,57)&amp;"","")&amp;"␟"&amp;IFERROR(INDEX(PASTE_ALL,$DF864,58)&amp;"","")&amp;"␟"&amp;IFERROR(INDEX(PASTE_ALL,$DF864,59)&amp;"","")&amp;"␟"&amp;IFERROR(INDEX(PASTE_ALL,$DF864,60)&amp;"","")," "," "),CHAR(9)," "),CHAR(10)," "),CHAR(13)," "))," ␟","␟"),"␟ ","␟"),"#"&amp;$DE864),"")</f>
        <v/>
      </c>
      <c r="DJ864">
        <f>IF($DI864="",0,IF(SUMPRODUCT(--EXACT($DI$4:DI863,$DI864))&gt;0,1,0))</f>
        <v/>
      </c>
      <c r="DK864">
        <f>IF(AND($DI864&lt;&gt;"",$DJ864=0),1,0)</f>
        <v/>
      </c>
      <c r="DL864">
        <f>DL863+$DK864</f>
        <v/>
      </c>
      <c r="DM864">
        <f>IF(AND($DK864=1,$DL864&lt;=600),1,0)</f>
        <v/>
      </c>
      <c r="DN864">
        <f>IF($DM864=0,"",IF($L$6=0,"",IFERROR(IF(ISNUMBER(INDEX(PASTE_ALL,$DF864,$L$6)),INDEX(PASTE_ALL,$DF864,$L$6),TRIM(SUBSTITUTE(SUBSTITUTE(SUBSTITUTE(SUBSTITUTE(INDEX(PASTE_ALL,$DF864,$L$6)," "," "),CHAR(9)," "),CHAR(10)," "),CHAR(13)," "))),"")))</f>
        <v/>
      </c>
      <c r="DO864">
        <f>IF($DM864=0,"",IF($L$7=0,"",IFERROR(IF(ISNUMBER(INDEX(PASTE_ALL,$DF864,$L$7)),INDEX(PASTE_ALL,$DF864,$L$7),TRIM(SUBSTITUTE(SUBSTITUTE(SUBSTITUTE(SUBSTITUTE(INDEX(PASTE_ALL,$DF864,$L$7)," "," "),CHAR(9)," "),CHAR(10)," "),CHAR(13)," "))),"")))</f>
        <v/>
      </c>
      <c r="DP864">
        <f>IF($DM864=0,"",IF($L$8=0,"",IFERROR(IF(ISNUMBER(INDEX(PASTE_ALL,$DF864,$L$8)),INDEX(PASTE_ALL,$DF864,$L$8),TRIM(SUBSTITUTE(SUBSTITUTE(SUBSTITUTE(SUBSTITUTE(INDEX(PASTE_ALL,$DF864,$L$8)," "," "),CHAR(9)," "),CHAR(10)," "),CHAR(13)," "))),"")))</f>
        <v/>
      </c>
      <c r="DQ864">
        <f>IF($DM864=0,"",IF($L$9=0,"",IFERROR(IF(ISNUMBER(INDEX(PASTE_ALL,$DF864,$L$9)),INDEX(PASTE_ALL,$DF864,$L$9),TRIM(SUBSTITUTE(SUBSTITUTE(SUBSTITUTE(SUBSTITUTE(INDEX(PASTE_ALL,$DF864,$L$9)," "," "),CHAR(9)," "),CHAR(10)," "),CHAR(13)," "))),"")))</f>
        <v/>
      </c>
      <c r="DR864">
        <f>IF($DM864=0,"",IF($L$10=0,"",IFERROR(IF(ISNUMBER(INDEX(PASTE_ALL,$DF864,$L$10)),INDEX(PASTE_ALL,$DF864,$L$10),TRIM(SUBSTITUTE(SUBSTITUTE(SUBSTITUTE(SUBSTITUTE(INDEX(PASTE_ALL,$DF864,$L$10)," "," "),CHAR(9)," "),CHAR(10)," "),CHAR(13)," "))),"")))</f>
        <v/>
      </c>
      <c r="DS864">
        <f>IF($DM864=0,"",IF($L$11=0,"",IFERROR(IF(ISNUMBER(INDEX(PASTE_ALL,$DF864,$L$11)),INDEX(PASTE_ALL,$DF864,$L$11),TRIM(SUBSTITUTE(SUBSTITUTE(SUBSTITUTE(SUBSTITUTE(INDEX(PASTE_ALL,$DF864,$L$11)," "," "),CHAR(9)," "),CHAR(10)," "),CHAR(13)," "))),"")))</f>
        <v/>
      </c>
      <c r="DT864">
        <f>IF($DM864=0,"",IF($L$12=0,"",IFERROR(IF(ISNUMBER(INDEX(PASTE_ALL,$DF864,$L$12)),INDEX(PASTE_ALL,$DF864,$L$12),TRIM(SUBSTITUTE(SUBSTITUTE(SUBSTITUTE(SUBSTITUTE(INDEX(PASTE_ALL,$DF864,$L$12)," "," "),CHAR(9)," "),CHAR(10)," "),CHAR(13)," "))),"")))</f>
        <v/>
      </c>
      <c r="DU864">
        <f>IF($DM864=0,"",IF($L$13=0,"",IFERROR(IF(ISNUMBER(INDEX(PASTE_ALL,$DF864,$L$13)),INDEX(PASTE_ALL,$DF864,$L$13),TRIM(SUBSTITUTE(SUBSTITUTE(SUBSTITUTE(SUBSTITUTE(INDEX(PASTE_ALL,$DF864,$L$13)," "," "),CHAR(9)," "),CHAR(10)," "),CHAR(13)," "))),"")))</f>
        <v/>
      </c>
      <c r="DV864">
        <f>IF($DM864=0,"",IF($L$14=0,"",IFERROR(IF(ISNUMBER(INDEX(PASTE_ALL,$DF864,$L$14)),INDEX(PASTE_ALL,$DF864,$L$14),TRIM(SUBSTITUTE(SUBSTITUTE(SUBSTITUTE(SUBSTITUTE(INDEX(PASTE_ALL,$DF864,$L$14)," "," "),CHAR(9)," "),CHAR(10)," "),CHAR(13)," "))),"")))</f>
        <v/>
      </c>
      <c r="DW864">
        <f>IF($DM864=0,"",IF($L$15=0,"",IFERROR(IF(ISNUMBER(INDEX(PASTE_ALL,$DF864,$L$15)),INDEX(PASTE_ALL,$DF864,$L$15),IF(SUMPRODUCT(--ISNUMBER(FIND({"A","B","C","D","E","F","G","H","I","J","K","L","M","N","O","P","Q","R","S","T","U","V","W","X","Y","Z","0","1","2","3","4","5","6","7","8","9"},UPPER(TRIM(SUBSTITUTE(SUBSTITUTE(SUBSTITUTE(SUBSTITUTE(INDEX(PASTE_ALL,$DF864,$L$15)," "," "),CHAR(9)," "),CHAR(10)," "),CHAR(13)," "))))))&gt;0,TRIM(SUBSTITUTE(SUBSTITUTE(SUBSTITUTE(SUBSTITUTE(INDEX(PASTE_ALL,$DF864,$L$15)," "," "),CHAR(9)," "),CHAR(10)," "),CHAR(13)," ")),"")),"")))</f>
        <v/>
      </c>
      <c r="DX864">
        <f>IF($DM864=0,"",IF($L$16=0,"",IFERROR(IF(ISNUMBER(INDEX(PASTE_ALL,$DF864,$L$16)),INDEX(PASTE_ALL,$DF864,$L$16),SUBSTITUTE(SUBSTITUTE(TRIM(SUBSTITUTE(SUBSTITUTE(SUBSTITUTE(SUBSTITUTE(INDEX(PASTE_ALL,$DF864,$L$16)," "," "),CHAR(9)," "),CHAR(10)," "),CHAR(13)," ")),",",""),"%","")),"")))</f>
        <v/>
      </c>
      <c r="DY864">
        <f>IF($DM864=0,"",IFERROR(IF(ISNUMBER($DX864),$DX864,IF($DX864="","",IF(TRIM($DX864)="",0,IF(AND(AND(SUBSTITUTE(SUBSTITUTE(SUBSTITUTE(SUBSTITUTE(SUBSTITUTE(SUBSTITUTE(SUBSTITUTE(SUBSTITUTE(SUBSTITUTE(SUBSTITUTE(SUBSTITUTE(SUBSTITUTE(SUBSTITUTE(SUBSTITUTE(UPPER(TRIM($DX864)),"0",""),"1",""),"2",""),"3",""),"4",""),"5",""),"6",""),"7",""),"8",""),"9",""),".",""),"+",""),"-",""),"E","")="",LEN(SUBSTITUTE(SUBSTITUTE(MID(UPPER(TRIM($DX864)),1+OR(LEFT(UPPER(TRIM($DX864)),1)="+",LEFT(UPPER(TRIM($DX864)),1)="-"),999),"E+","E"),"E-","E"))=LEN(SUBSTITUTE(SUBSTITUTE(SUBSTITUTE(SUBSTITUTE(MID(UPPER(TRIM($DX864)),1+OR(LEFT(UPPER(TRIM($DX864)),1)="+",LEFT(UPPER(TRIM($DX864)),1)="-"),999),"E+","E"),"E-","E"),"+",""),"-","")),LEN(UPPER(TRIM($DX864)))-LEN(SUBSTITUTE(UPPER(TRIM($DX864)),"E",""))&lt;2,LEN(UPPER(TRIM($DX864)))-LEN(SUBSTITUTE(UPPER(TRIM($DX864)),".",""))&lt;2,IFERROR(FIND(".",UPPER(TRIM($DX864))),0)&lt;IFERROR(FIND("E",UPPER(TRIM($DX864))),999)),ISNUMBER(VALUE(TRIM($DX864)))),VALUE(TRIM($DX864)),"")))),""))</f>
        <v/>
      </c>
      <c r="DZ864">
        <f>IF($DM864=0,"",IF($L$17=0,"",IFERROR(IF(ISNUMBER(INDEX(PASTE_ALL,$DF864,$L$17)),INDEX(PASTE_ALL,$DF864,$L$17),SUBSTITUTE(SUBSTITUTE(TRIM(SUBSTITUTE(SUBSTITUTE(SUBSTITUTE(SUBSTITUTE(INDEX(PASTE_ALL,$DF864,$L$17)," "," "),CHAR(9)," "),CHAR(10)," "),CHAR(13)," ")),",",""),"%","")),"")))</f>
        <v/>
      </c>
      <c r="EA864">
        <f>IF($DM864=0,"",IFERROR(IF(ISNUMBER($DZ864),$DZ864,IF($DZ864="","",IF(TRIM($DZ864)="",0,IF(AND(AND(SUBSTITUTE(SUBSTITUTE(SUBSTITUTE(SUBSTITUTE(SUBSTITUTE(SUBSTITUTE(SUBSTITUTE(SUBSTITUTE(SUBSTITUTE(SUBSTITUTE(SUBSTITUTE(SUBSTITUTE(SUBSTITUTE(SUBSTITUTE(UPPER(TRIM($DZ864)),"0",""),"1",""),"2",""),"3",""),"4",""),"5",""),"6",""),"7",""),"8",""),"9",""),".",""),"+",""),"-",""),"E","")="",LEN(SUBSTITUTE(SUBSTITUTE(MID(UPPER(TRIM($DZ864)),1+OR(LEFT(UPPER(TRIM($DZ864)),1)="+",LEFT(UPPER(TRIM($DZ864)),1)="-"),999),"E+","E"),"E-","E"))=LEN(SUBSTITUTE(SUBSTITUTE(SUBSTITUTE(SUBSTITUTE(MID(UPPER(TRIM($DZ864)),1+OR(LEFT(UPPER(TRIM($DZ864)),1)="+",LEFT(UPPER(TRIM($DZ864)),1)="-"),999),"E+","E"),"E-","E"),"+",""),"-","")),LEN(UPPER(TRIM($DZ864)))-LEN(SUBSTITUTE(UPPER(TRIM($DZ864)),"E",""))&lt;2,LEN(UPPER(TRIM($DZ864)))-LEN(SUBSTITUTE(UPPER(TRIM($DZ864)),".",""))&lt;2,IFERROR(FIND(".",UPPER(TRIM($DZ864))),0)&lt;IFERROR(FIND("E",UPPER(TRIM($DZ864))),999)),ISNUMBER(VALUE(TRIM($DZ864)))),VALUE(TRIM($DZ864)),"")))),""))</f>
        <v/>
      </c>
      <c r="EB864">
        <f>IF($DM864=0,"",IF($L$18=0,"",IFERROR(IF(UPPER(TRIM(SUBSTITUTE(SUBSTITUTE(SUBSTITUTE(SUBSTITUTE(INDEX(PASTE_ALL,$DF864,$L$18)," "," "),CHAR(9)," "),CHAR(10)," "),CHAR(13)," ")))="READY","Ready",IF(UPPER(TRIM(SUBSTITUTE(SUBSTITUTE(SUBSTITUTE(SUBSTITUTE(INDEX(PASTE_ALL,$DF864,$L$18)," "," "),CHAR(9)," "),CHAR(10)," "),CHAR(13)," ")))="PM","PM",IF(OR(UPPER(TRIM(SUBSTITUTE(SUBSTITUTE(SUBSTITUTE(SUBSTITUTE(INDEX(PASTE_ALL,$DF864,$L$18)," "," "),CHAR(9)," "),CHAR(10)," "),CHAR(13)," ")))="OT",UPPER(TRIM(SUBSTITUTE(SUBSTITUTE(SUBSTITUTE(SUBSTITUTE(INDEX(PASTE_ALL,$DF864,$L$18)," "," "),CHAR(9)," "),CHAR(10)," "),CHAR(13)," ")))="OVERTIME",UPPER(TRIM(SUBSTITUTE(SUBSTITUTE(SUBSTITUTE(SUBSTITUTE(INDEX(PASTE_ALL,$DF864,$L$18)," "," "),CHAR(9)," "),CHAR(10)," "),CHAR(13)," ")))="TRIAL"),"OT",TRIM(SUBSTITUTE(SUBSTITUTE(SUBSTITUTE(SUBSTITUTE(INDEX(PASTE_ALL,$DF864,$L$18)," "," "),CHAR(9)," "),CHAR(10)," "),CHAR(13)," "))))),"")))</f>
        <v/>
      </c>
      <c r="EC864">
        <f>IF($DM864=0,"",IF($L$19=0,"",IFERROR(IF(ISNUMBER(INDEX(PASTE_ALL,$DF864,$L$19)),INDEX(PASTE_ALL,$DF864,$L$19),TRIM(SUBSTITUTE(SUBSTITUTE(SUBSTITUTE(SUBSTITUTE(INDEX(PASTE_ALL,$DF864,$L$19)," "," "),CHAR(9)," "),CHAR(10)," "),CHAR(13)," "))),"")))</f>
        <v/>
      </c>
      <c r="ED864">
        <f>IF($DM864=0,"",MATCH(1,INDEX(EXACT($DH$5:DH864,$DH864)*$DM$5:DM864,0),0))</f>
        <v/>
      </c>
      <c r="EE864">
        <f>IF($DM864=0,0,IF($ED864=$DE864,1,0))</f>
        <v/>
      </c>
      <c r="EF864">
        <f>EF863+$EE864</f>
        <v/>
      </c>
      <c r="EG864">
        <f>IF($DM864=0,"",INDEX($EF$5:$EF$1003,$ED864))</f>
        <v/>
      </c>
      <c r="EH864">
        <f>IF($DM864=0,"",IF($DO864&lt;&gt;"","",IFERROR(LOOKUP(2,1/(($EG$4:EG863=$EG864)*($DO$4:DO863&lt;&gt;"")),$DO$4:DO863),"")))</f>
        <v/>
      </c>
      <c r="EI864">
        <f>IF($DM864=0,"",IF($DO864&lt;&gt;"",$DO864,$EH864))</f>
        <v/>
      </c>
      <c r="EJ864">
        <f>IF($DM864=0,"",IF($EI864="",0,IF(OR(ISNUMBER($EI864),AND(AND(SUBSTITUTE(SUBSTITUTE(SUBSTITUTE(SUBSTITUTE(SUBSTITUTE(SUBSTITUTE(SUBSTITUTE(SUBSTITUTE(SUBSTITUTE(SUBSTITUTE(SUBSTITUTE(SUBSTITUTE(SUBSTITUTE(SUBSTITUTE(UPPER($EI864),"0",""),"1",""),"2",""),"3",""),"4",""),"5",""),"6",""),"7",""),"8",""),"9",""),".",""),"+",""),"-",""),"E","")="",LEN(SUBSTITUTE(SUBSTITUTE(MID(UPPER($EI864),1+OR(LEFT(UPPER($EI864),1)="+",LEFT(UPPER($EI864),1)="-"),999),"E+","E"),"E-","E"))=LEN(SUBSTITUTE(SUBSTITUTE(SUBSTITUTE(SUBSTITUTE(MID(UPPER($EI864),1+OR(LEFT(UPPER($EI864),1)="+",LEFT(UPPER($EI864),1)="-"),999),"E+","E"),"E-","E"),"+",""),"-","")),LEN(UPPER($EI864))-LEN(SUBSTITUTE(UPPER($EI864),"E",""))&lt;2,LEN(UPPER($EI864))-LEN(SUBSTITUTE(UPPER($EI864),".",""))&lt;2,IFERROR(FIND(".",UPPER($EI864)),0)&lt;IFERROR(FIND("E",UPPER($EI864)),999)),ISNUMBER(VALUE($EI864)))),1,2)))</f>
        <v/>
      </c>
      <c r="EK864">
        <f>IF($DM864=0,"",IF($EJ864=1,IF(ISNUMBER($EI864),$EI864,VALUE($EI864)),IF($EJ864=2,$DE864,0)))</f>
        <v/>
      </c>
      <c r="EL864">
        <f>IF($DM864=0,"",COUNTIF($EG$5:$EG$1003,"&lt;"&amp;$EG864)+SUMPRODUCT(($EG$5:$EG$1003=$EG864)*(($EJ$5:$EJ$1003&lt;$EJ864)+($EJ$5:$EJ$1003=$EJ864)*(($EK$5:$EK$1003&lt;$EK864)+($EK$5:$EK$1003=$EK864)*($DE$5:$DE$1003&lt;$DE864))))+1)</f>
        <v/>
      </c>
      <c r="EM864">
        <f>IF($DM864=0,"",$EL864+$EG864-1)</f>
        <v/>
      </c>
      <c r="EN864">
        <f>IF($DM864=0,0,IFERROR(MATCH(1,INDEX(--(TRIM(SUBSTITUTE(SUBSTITUTE(SUBSTITUTE(SUBSTITUTE(LINES_NAME&amp;""," "," "),CHAR(9)," "),CHAR(10)," "),CHAR(13)," "))=$DH864),0),0),0))</f>
        <v/>
      </c>
      <c r="EO864">
        <f>IF($EN864=0,0,IF(OR(UPPER(TRIM(INDEX(LINES_SCHEDULED,$EN864)&amp;""))="YES",UPPER(TRIM(INDEX(LINES_SCHEDULED,$EN864)&amp;""))="Y",UPPER(TRIM(INDEX(LINES_SCHEDULED,$EN864)&amp;""))="X"),1,0))</f>
        <v/>
      </c>
      <c r="EP864">
        <f>IF($DM864=0,"",IF(COUNTIFS($EG$5:$EG$1003,$EG864,$EB$5:$EB$1003,"Ready")&gt;0,"READY",IF(COUNTIFS($EG$5:$EG$1003,$EG864,$EB$5:$EB$1003,"PM")&gt;0,"PM",IF(COUNTIFS($EG$5:$EG$1003,$EG864,$EB$5:$EB$1003,"OT")&gt;0,"OT",""))))</f>
        <v/>
      </c>
      <c r="EQ864">
        <f>IF($EN864=0,"",UPPER(TRIM(INDEX(LINES_STATUS,$EN864)&amp;"")))</f>
        <v/>
      </c>
      <c r="ER864">
        <f>IF($DM864=0,"",IF(OR($EQ864="READY",$EQ864="PM",$EQ864="OT"),$EQ864,$EP864))</f>
        <v/>
      </c>
      <c r="ES864">
        <f>IF($DM864=0,"",IF(AND($DV864&lt;&gt;"",UPPER($DV864)&lt;&gt;"N"),"allergen",IF(ISNUMBER(SEARCH("oil",$DQ864)),"oil",IF(OR(EXACT($DS864,"A662"),EXACT($DS864,"A624")),"bulk",""))))</f>
        <v/>
      </c>
      <c r="ET864">
        <f>IF($DM864=0,"",IF(OR($EA864="",$EA864=0),"",$EA864/100))</f>
        <v/>
      </c>
      <c r="EU864">
        <f>IF(OR($ET864="",$DY864=""),"",INT($DY864*(1-$ET864)+0.5))</f>
        <v/>
      </c>
    </row>
    <row r="865">
      <c r="DA865" t="n">
        <v>861</v>
      </c>
      <c r="DB865">
        <f>IF($B$37=0,"",IFERROR(TRIM(SUBSTITUTE(SUBSTITUTE(SUBSTITUTE(SUBSTITUTE(INDEX(PASTE_ALL,861,$B$37)," "," "),CHAR(9)," "),CHAR(10)," "),CHAR(13)," ")),""))</f>
        <v/>
      </c>
      <c r="DC865">
        <f>IF(AND(861&gt;HEADER_ROW,UPPER(DB865)="LEGEND"),1,0)</f>
        <v/>
      </c>
      <c r="DE865" t="n">
        <v>861</v>
      </c>
      <c r="DF865">
        <f>HEADER_ROW+$DE865</f>
        <v/>
      </c>
      <c r="DG865">
        <f>IF(AND($DF865&lt;=1000,$DF865&lt;$B$8),1,0)</f>
        <v/>
      </c>
      <c r="DH865">
        <f>IF($DG865=1,IFERROR(INDEX($DB$5:$DB$1004,$DF865),""),"")</f>
        <v/>
      </c>
      <c r="DI865">
        <f>IF(AND($DG865=1,$DH865&lt;&gt;""),IFERROR(SUBSTITUTE(SUBSTITUTE(TRIM(SUBSTITUTE(SUBSTITUTE(SUBSTITUTE(SUBSTITUTE(IFERROR(INDEX(PASTE_ALL,$DF865,1)&amp;"","")&amp;"␟"&amp;IFERROR(INDEX(PASTE_ALL,$DF865,2)&amp;"","")&amp;"␟"&amp;IFERROR(INDEX(PASTE_ALL,$DF865,3)&amp;"","")&amp;"␟"&amp;IFERROR(INDEX(PASTE_ALL,$DF865,4)&amp;"","")&amp;"␟"&amp;IFERROR(INDEX(PASTE_ALL,$DF865,5)&amp;"","")&amp;"␟"&amp;IFERROR(INDEX(PASTE_ALL,$DF865,6)&amp;"","")&amp;"␟"&amp;IFERROR(INDEX(PASTE_ALL,$DF865,7)&amp;"","")&amp;"␟"&amp;IFERROR(INDEX(PASTE_ALL,$DF865,8)&amp;"","")&amp;"␟"&amp;IFERROR(INDEX(PASTE_ALL,$DF865,9)&amp;"","")&amp;"␟"&amp;IFERROR(INDEX(PASTE_ALL,$DF865,10)&amp;"","")&amp;"␟"&amp;IFERROR(INDEX(PASTE_ALL,$DF865,11)&amp;"","")&amp;"␟"&amp;IFERROR(INDEX(PASTE_ALL,$DF865,12)&amp;"","")&amp;"␟"&amp;IFERROR(INDEX(PASTE_ALL,$DF865,13)&amp;"","")&amp;"␟"&amp;IFERROR(INDEX(PASTE_ALL,$DF865,14)&amp;"","")&amp;"␟"&amp;IFERROR(INDEX(PASTE_ALL,$DF865,15)&amp;"","")&amp;"␟"&amp;IFERROR(INDEX(PASTE_ALL,$DF865,16)&amp;"","")&amp;"␟"&amp;IFERROR(INDEX(PASTE_ALL,$DF865,17)&amp;"","")&amp;"␟"&amp;IFERROR(INDEX(PASTE_ALL,$DF865,18)&amp;"","")&amp;"␟"&amp;IFERROR(INDEX(PASTE_ALL,$DF865,19)&amp;"","")&amp;"␟"&amp;IFERROR(INDEX(PASTE_ALL,$DF865,20)&amp;"","")&amp;"␟"&amp;IFERROR(INDEX(PASTE_ALL,$DF865,21)&amp;"","")&amp;"␟"&amp;IFERROR(INDEX(PASTE_ALL,$DF865,22)&amp;"","")&amp;"␟"&amp;IFERROR(INDEX(PASTE_ALL,$DF865,23)&amp;"","")&amp;"␟"&amp;IFERROR(INDEX(PASTE_ALL,$DF865,24)&amp;"","")&amp;"␟"&amp;IFERROR(INDEX(PASTE_ALL,$DF865,25)&amp;"","")&amp;"␟"&amp;IFERROR(INDEX(PASTE_ALL,$DF865,26)&amp;"","")&amp;"␟"&amp;IFERROR(INDEX(PASTE_ALL,$DF865,27)&amp;"","")&amp;"␟"&amp;IFERROR(INDEX(PASTE_ALL,$DF865,28)&amp;"","")&amp;"␟"&amp;IFERROR(INDEX(PASTE_ALL,$DF865,29)&amp;"","")&amp;"␟"&amp;IFERROR(INDEX(PASTE_ALL,$DF865,30)&amp;"","")&amp;"␟"&amp;IFERROR(INDEX(PASTE_ALL,$DF865,31)&amp;"","")&amp;"␟"&amp;IFERROR(INDEX(PASTE_ALL,$DF865,32)&amp;"","")&amp;"␟"&amp;IFERROR(INDEX(PASTE_ALL,$DF865,33)&amp;"","")&amp;"␟"&amp;IFERROR(INDEX(PASTE_ALL,$DF865,34)&amp;"","")&amp;"␟"&amp;IFERROR(INDEX(PASTE_ALL,$DF865,35)&amp;"","")&amp;"␟"&amp;IFERROR(INDEX(PASTE_ALL,$DF865,36)&amp;"","")&amp;"␟"&amp;IFERROR(INDEX(PASTE_ALL,$DF865,37)&amp;"","")&amp;"␟"&amp;IFERROR(INDEX(PASTE_ALL,$DF865,38)&amp;"","")&amp;"␟"&amp;IFERROR(INDEX(PASTE_ALL,$DF865,39)&amp;"","")&amp;"␟"&amp;IFERROR(INDEX(PASTE_ALL,$DF865,40)&amp;"","")&amp;"␟"&amp;IFERROR(INDEX(PASTE_ALL,$DF865,41)&amp;"","")&amp;"␟"&amp;IFERROR(INDEX(PASTE_ALL,$DF865,42)&amp;"","")&amp;"␟"&amp;IFERROR(INDEX(PASTE_ALL,$DF865,43)&amp;"","")&amp;"␟"&amp;IFERROR(INDEX(PASTE_ALL,$DF865,44)&amp;"","")&amp;"␟"&amp;IFERROR(INDEX(PASTE_ALL,$DF865,45)&amp;"","")&amp;"␟"&amp;IFERROR(INDEX(PASTE_ALL,$DF865,46)&amp;"","")&amp;"␟"&amp;IFERROR(INDEX(PASTE_ALL,$DF865,47)&amp;"","")&amp;"␟"&amp;IFERROR(INDEX(PASTE_ALL,$DF865,48)&amp;"","")&amp;"␟"&amp;IFERROR(INDEX(PASTE_ALL,$DF865,49)&amp;"","")&amp;"␟"&amp;IFERROR(INDEX(PASTE_ALL,$DF865,50)&amp;"","")&amp;"␟"&amp;IFERROR(INDEX(PASTE_ALL,$DF865,51)&amp;"","")&amp;"␟"&amp;IFERROR(INDEX(PASTE_ALL,$DF865,52)&amp;"","")&amp;"␟"&amp;IFERROR(INDEX(PASTE_ALL,$DF865,53)&amp;"","")&amp;"␟"&amp;IFERROR(INDEX(PASTE_ALL,$DF865,54)&amp;"","")&amp;"␟"&amp;IFERROR(INDEX(PASTE_ALL,$DF865,55)&amp;"","")&amp;"␟"&amp;IFERROR(INDEX(PASTE_ALL,$DF865,56)&amp;"","")&amp;"␟"&amp;IFERROR(INDEX(PASTE_ALL,$DF865,57)&amp;"","")&amp;"␟"&amp;IFERROR(INDEX(PASTE_ALL,$DF865,58)&amp;"","")&amp;"␟"&amp;IFERROR(INDEX(PASTE_ALL,$DF865,59)&amp;"","")&amp;"␟"&amp;IFERROR(INDEX(PASTE_ALL,$DF865,60)&amp;"","")," "," "),CHAR(9)," "),CHAR(10)," "),CHAR(13)," "))," ␟","␟"),"␟ ","␟"),"#"&amp;$DE865),"")</f>
        <v/>
      </c>
      <c r="DJ865">
        <f>IF($DI865="",0,IF(SUMPRODUCT(--EXACT($DI$4:DI864,$DI865))&gt;0,1,0))</f>
        <v/>
      </c>
      <c r="DK865">
        <f>IF(AND($DI865&lt;&gt;"",$DJ865=0),1,0)</f>
        <v/>
      </c>
      <c r="DL865">
        <f>DL864+$DK865</f>
        <v/>
      </c>
      <c r="DM865">
        <f>IF(AND($DK865=1,$DL865&lt;=600),1,0)</f>
        <v/>
      </c>
      <c r="DN865">
        <f>IF($DM865=0,"",IF($L$6=0,"",IFERROR(IF(ISNUMBER(INDEX(PASTE_ALL,$DF865,$L$6)),INDEX(PASTE_ALL,$DF865,$L$6),TRIM(SUBSTITUTE(SUBSTITUTE(SUBSTITUTE(SUBSTITUTE(INDEX(PASTE_ALL,$DF865,$L$6)," "," "),CHAR(9)," "),CHAR(10)," "),CHAR(13)," "))),"")))</f>
        <v/>
      </c>
      <c r="DO865">
        <f>IF($DM865=0,"",IF($L$7=0,"",IFERROR(IF(ISNUMBER(INDEX(PASTE_ALL,$DF865,$L$7)),INDEX(PASTE_ALL,$DF865,$L$7),TRIM(SUBSTITUTE(SUBSTITUTE(SUBSTITUTE(SUBSTITUTE(INDEX(PASTE_ALL,$DF865,$L$7)," "," "),CHAR(9)," "),CHAR(10)," "),CHAR(13)," "))),"")))</f>
        <v/>
      </c>
      <c r="DP865">
        <f>IF($DM865=0,"",IF($L$8=0,"",IFERROR(IF(ISNUMBER(INDEX(PASTE_ALL,$DF865,$L$8)),INDEX(PASTE_ALL,$DF865,$L$8),TRIM(SUBSTITUTE(SUBSTITUTE(SUBSTITUTE(SUBSTITUTE(INDEX(PASTE_ALL,$DF865,$L$8)," "," "),CHAR(9)," "),CHAR(10)," "),CHAR(13)," "))),"")))</f>
        <v/>
      </c>
      <c r="DQ865">
        <f>IF($DM865=0,"",IF($L$9=0,"",IFERROR(IF(ISNUMBER(INDEX(PASTE_ALL,$DF865,$L$9)),INDEX(PASTE_ALL,$DF865,$L$9),TRIM(SUBSTITUTE(SUBSTITUTE(SUBSTITUTE(SUBSTITUTE(INDEX(PASTE_ALL,$DF865,$L$9)," "," "),CHAR(9)," "),CHAR(10)," "),CHAR(13)," "))),"")))</f>
        <v/>
      </c>
      <c r="DR865">
        <f>IF($DM865=0,"",IF($L$10=0,"",IFERROR(IF(ISNUMBER(INDEX(PASTE_ALL,$DF865,$L$10)),INDEX(PASTE_ALL,$DF865,$L$10),TRIM(SUBSTITUTE(SUBSTITUTE(SUBSTITUTE(SUBSTITUTE(INDEX(PASTE_ALL,$DF865,$L$10)," "," "),CHAR(9)," "),CHAR(10)," "),CHAR(13)," "))),"")))</f>
        <v/>
      </c>
      <c r="DS865">
        <f>IF($DM865=0,"",IF($L$11=0,"",IFERROR(IF(ISNUMBER(INDEX(PASTE_ALL,$DF865,$L$11)),INDEX(PASTE_ALL,$DF865,$L$11),TRIM(SUBSTITUTE(SUBSTITUTE(SUBSTITUTE(SUBSTITUTE(INDEX(PASTE_ALL,$DF865,$L$11)," "," "),CHAR(9)," "),CHAR(10)," "),CHAR(13)," "))),"")))</f>
        <v/>
      </c>
      <c r="DT865">
        <f>IF($DM865=0,"",IF($L$12=0,"",IFERROR(IF(ISNUMBER(INDEX(PASTE_ALL,$DF865,$L$12)),INDEX(PASTE_ALL,$DF865,$L$12),TRIM(SUBSTITUTE(SUBSTITUTE(SUBSTITUTE(SUBSTITUTE(INDEX(PASTE_ALL,$DF865,$L$12)," "," "),CHAR(9)," "),CHAR(10)," "),CHAR(13)," "))),"")))</f>
        <v/>
      </c>
      <c r="DU865">
        <f>IF($DM865=0,"",IF($L$13=0,"",IFERROR(IF(ISNUMBER(INDEX(PASTE_ALL,$DF865,$L$13)),INDEX(PASTE_ALL,$DF865,$L$13),TRIM(SUBSTITUTE(SUBSTITUTE(SUBSTITUTE(SUBSTITUTE(INDEX(PASTE_ALL,$DF865,$L$13)," "," "),CHAR(9)," "),CHAR(10)," "),CHAR(13)," "))),"")))</f>
        <v/>
      </c>
      <c r="DV865">
        <f>IF($DM865=0,"",IF($L$14=0,"",IFERROR(IF(ISNUMBER(INDEX(PASTE_ALL,$DF865,$L$14)),INDEX(PASTE_ALL,$DF865,$L$14),TRIM(SUBSTITUTE(SUBSTITUTE(SUBSTITUTE(SUBSTITUTE(INDEX(PASTE_ALL,$DF865,$L$14)," "," "),CHAR(9)," "),CHAR(10)," "),CHAR(13)," "))),"")))</f>
        <v/>
      </c>
      <c r="DW865">
        <f>IF($DM865=0,"",IF($L$15=0,"",IFERROR(IF(ISNUMBER(INDEX(PASTE_ALL,$DF865,$L$15)),INDEX(PASTE_ALL,$DF865,$L$15),IF(SUMPRODUCT(--ISNUMBER(FIND({"A","B","C","D","E","F","G","H","I","J","K","L","M","N","O","P","Q","R","S","T","U","V","W","X","Y","Z","0","1","2","3","4","5","6","7","8","9"},UPPER(TRIM(SUBSTITUTE(SUBSTITUTE(SUBSTITUTE(SUBSTITUTE(INDEX(PASTE_ALL,$DF865,$L$15)," "," "),CHAR(9)," "),CHAR(10)," "),CHAR(13)," "))))))&gt;0,TRIM(SUBSTITUTE(SUBSTITUTE(SUBSTITUTE(SUBSTITUTE(INDEX(PASTE_ALL,$DF865,$L$15)," "," "),CHAR(9)," "),CHAR(10)," "),CHAR(13)," ")),"")),"")))</f>
        <v/>
      </c>
      <c r="DX865">
        <f>IF($DM865=0,"",IF($L$16=0,"",IFERROR(IF(ISNUMBER(INDEX(PASTE_ALL,$DF865,$L$16)),INDEX(PASTE_ALL,$DF865,$L$16),SUBSTITUTE(SUBSTITUTE(TRIM(SUBSTITUTE(SUBSTITUTE(SUBSTITUTE(SUBSTITUTE(INDEX(PASTE_ALL,$DF865,$L$16)," "," "),CHAR(9)," "),CHAR(10)," "),CHAR(13)," ")),",",""),"%","")),"")))</f>
        <v/>
      </c>
      <c r="DY865">
        <f>IF($DM865=0,"",IFERROR(IF(ISNUMBER($DX865),$DX865,IF($DX865="","",IF(TRIM($DX865)="",0,IF(AND(AND(SUBSTITUTE(SUBSTITUTE(SUBSTITUTE(SUBSTITUTE(SUBSTITUTE(SUBSTITUTE(SUBSTITUTE(SUBSTITUTE(SUBSTITUTE(SUBSTITUTE(SUBSTITUTE(SUBSTITUTE(SUBSTITUTE(SUBSTITUTE(UPPER(TRIM($DX865)),"0",""),"1",""),"2",""),"3",""),"4",""),"5",""),"6",""),"7",""),"8",""),"9",""),".",""),"+",""),"-",""),"E","")="",LEN(SUBSTITUTE(SUBSTITUTE(MID(UPPER(TRIM($DX865)),1+OR(LEFT(UPPER(TRIM($DX865)),1)="+",LEFT(UPPER(TRIM($DX865)),1)="-"),999),"E+","E"),"E-","E"))=LEN(SUBSTITUTE(SUBSTITUTE(SUBSTITUTE(SUBSTITUTE(MID(UPPER(TRIM($DX865)),1+OR(LEFT(UPPER(TRIM($DX865)),1)="+",LEFT(UPPER(TRIM($DX865)),1)="-"),999),"E+","E"),"E-","E"),"+",""),"-","")),LEN(UPPER(TRIM($DX865)))-LEN(SUBSTITUTE(UPPER(TRIM($DX865)),"E",""))&lt;2,LEN(UPPER(TRIM($DX865)))-LEN(SUBSTITUTE(UPPER(TRIM($DX865)),".",""))&lt;2,IFERROR(FIND(".",UPPER(TRIM($DX865))),0)&lt;IFERROR(FIND("E",UPPER(TRIM($DX865))),999)),ISNUMBER(VALUE(TRIM($DX865)))),VALUE(TRIM($DX865)),"")))),""))</f>
        <v/>
      </c>
      <c r="DZ865">
        <f>IF($DM865=0,"",IF($L$17=0,"",IFERROR(IF(ISNUMBER(INDEX(PASTE_ALL,$DF865,$L$17)),INDEX(PASTE_ALL,$DF865,$L$17),SUBSTITUTE(SUBSTITUTE(TRIM(SUBSTITUTE(SUBSTITUTE(SUBSTITUTE(SUBSTITUTE(INDEX(PASTE_ALL,$DF865,$L$17)," "," "),CHAR(9)," "),CHAR(10)," "),CHAR(13)," ")),",",""),"%","")),"")))</f>
        <v/>
      </c>
      <c r="EA865">
        <f>IF($DM865=0,"",IFERROR(IF(ISNUMBER($DZ865),$DZ865,IF($DZ865="","",IF(TRIM($DZ865)="",0,IF(AND(AND(SUBSTITUTE(SUBSTITUTE(SUBSTITUTE(SUBSTITUTE(SUBSTITUTE(SUBSTITUTE(SUBSTITUTE(SUBSTITUTE(SUBSTITUTE(SUBSTITUTE(SUBSTITUTE(SUBSTITUTE(SUBSTITUTE(SUBSTITUTE(UPPER(TRIM($DZ865)),"0",""),"1",""),"2",""),"3",""),"4",""),"5",""),"6",""),"7",""),"8",""),"9",""),".",""),"+",""),"-",""),"E","")="",LEN(SUBSTITUTE(SUBSTITUTE(MID(UPPER(TRIM($DZ865)),1+OR(LEFT(UPPER(TRIM($DZ865)),1)="+",LEFT(UPPER(TRIM($DZ865)),1)="-"),999),"E+","E"),"E-","E"))=LEN(SUBSTITUTE(SUBSTITUTE(SUBSTITUTE(SUBSTITUTE(MID(UPPER(TRIM($DZ865)),1+OR(LEFT(UPPER(TRIM($DZ865)),1)="+",LEFT(UPPER(TRIM($DZ865)),1)="-"),999),"E+","E"),"E-","E"),"+",""),"-","")),LEN(UPPER(TRIM($DZ865)))-LEN(SUBSTITUTE(UPPER(TRIM($DZ865)),"E",""))&lt;2,LEN(UPPER(TRIM($DZ865)))-LEN(SUBSTITUTE(UPPER(TRIM($DZ865)),".",""))&lt;2,IFERROR(FIND(".",UPPER(TRIM($DZ865))),0)&lt;IFERROR(FIND("E",UPPER(TRIM($DZ865))),999)),ISNUMBER(VALUE(TRIM($DZ865)))),VALUE(TRIM($DZ865)),"")))),""))</f>
        <v/>
      </c>
      <c r="EB865">
        <f>IF($DM865=0,"",IF($L$18=0,"",IFERROR(IF(UPPER(TRIM(SUBSTITUTE(SUBSTITUTE(SUBSTITUTE(SUBSTITUTE(INDEX(PASTE_ALL,$DF865,$L$18)," "," "),CHAR(9)," "),CHAR(10)," "),CHAR(13)," ")))="READY","Ready",IF(UPPER(TRIM(SUBSTITUTE(SUBSTITUTE(SUBSTITUTE(SUBSTITUTE(INDEX(PASTE_ALL,$DF865,$L$18)," "," "),CHAR(9)," "),CHAR(10)," "),CHAR(13)," ")))="PM","PM",IF(OR(UPPER(TRIM(SUBSTITUTE(SUBSTITUTE(SUBSTITUTE(SUBSTITUTE(INDEX(PASTE_ALL,$DF865,$L$18)," "," "),CHAR(9)," "),CHAR(10)," "),CHAR(13)," ")))="OT",UPPER(TRIM(SUBSTITUTE(SUBSTITUTE(SUBSTITUTE(SUBSTITUTE(INDEX(PASTE_ALL,$DF865,$L$18)," "," "),CHAR(9)," "),CHAR(10)," "),CHAR(13)," ")))="OVERTIME",UPPER(TRIM(SUBSTITUTE(SUBSTITUTE(SUBSTITUTE(SUBSTITUTE(INDEX(PASTE_ALL,$DF865,$L$18)," "," "),CHAR(9)," "),CHAR(10)," "),CHAR(13)," ")))="TRIAL"),"OT",TRIM(SUBSTITUTE(SUBSTITUTE(SUBSTITUTE(SUBSTITUTE(INDEX(PASTE_ALL,$DF865,$L$18)," "," "),CHAR(9)," "),CHAR(10)," "),CHAR(13)," "))))),"")))</f>
        <v/>
      </c>
      <c r="EC865">
        <f>IF($DM865=0,"",IF($L$19=0,"",IFERROR(IF(ISNUMBER(INDEX(PASTE_ALL,$DF865,$L$19)),INDEX(PASTE_ALL,$DF865,$L$19),TRIM(SUBSTITUTE(SUBSTITUTE(SUBSTITUTE(SUBSTITUTE(INDEX(PASTE_ALL,$DF865,$L$19)," "," "),CHAR(9)," "),CHAR(10)," "),CHAR(13)," "))),"")))</f>
        <v/>
      </c>
      <c r="ED865">
        <f>IF($DM865=0,"",MATCH(1,INDEX(EXACT($DH$5:DH865,$DH865)*$DM$5:DM865,0),0))</f>
        <v/>
      </c>
      <c r="EE865">
        <f>IF($DM865=0,0,IF($ED865=$DE865,1,0))</f>
        <v/>
      </c>
      <c r="EF865">
        <f>EF864+$EE865</f>
        <v/>
      </c>
      <c r="EG865">
        <f>IF($DM865=0,"",INDEX($EF$5:$EF$1003,$ED865))</f>
        <v/>
      </c>
      <c r="EH865">
        <f>IF($DM865=0,"",IF($DO865&lt;&gt;"","",IFERROR(LOOKUP(2,1/(($EG$4:EG864=$EG865)*($DO$4:DO864&lt;&gt;"")),$DO$4:DO864),"")))</f>
        <v/>
      </c>
      <c r="EI865">
        <f>IF($DM865=0,"",IF($DO865&lt;&gt;"",$DO865,$EH865))</f>
        <v/>
      </c>
      <c r="EJ865">
        <f>IF($DM865=0,"",IF($EI865="",0,IF(OR(ISNUMBER($EI865),AND(AND(SUBSTITUTE(SUBSTITUTE(SUBSTITUTE(SUBSTITUTE(SUBSTITUTE(SUBSTITUTE(SUBSTITUTE(SUBSTITUTE(SUBSTITUTE(SUBSTITUTE(SUBSTITUTE(SUBSTITUTE(SUBSTITUTE(SUBSTITUTE(UPPER($EI865),"0",""),"1",""),"2",""),"3",""),"4",""),"5",""),"6",""),"7",""),"8",""),"9",""),".",""),"+",""),"-",""),"E","")="",LEN(SUBSTITUTE(SUBSTITUTE(MID(UPPER($EI865),1+OR(LEFT(UPPER($EI865),1)="+",LEFT(UPPER($EI865),1)="-"),999),"E+","E"),"E-","E"))=LEN(SUBSTITUTE(SUBSTITUTE(SUBSTITUTE(SUBSTITUTE(MID(UPPER($EI865),1+OR(LEFT(UPPER($EI865),1)="+",LEFT(UPPER($EI865),1)="-"),999),"E+","E"),"E-","E"),"+",""),"-","")),LEN(UPPER($EI865))-LEN(SUBSTITUTE(UPPER($EI865),"E",""))&lt;2,LEN(UPPER($EI865))-LEN(SUBSTITUTE(UPPER($EI865),".",""))&lt;2,IFERROR(FIND(".",UPPER($EI865)),0)&lt;IFERROR(FIND("E",UPPER($EI865)),999)),ISNUMBER(VALUE($EI865)))),1,2)))</f>
        <v/>
      </c>
      <c r="EK865">
        <f>IF($DM865=0,"",IF($EJ865=1,IF(ISNUMBER($EI865),$EI865,VALUE($EI865)),IF($EJ865=2,$DE865,0)))</f>
        <v/>
      </c>
      <c r="EL865">
        <f>IF($DM865=0,"",COUNTIF($EG$5:$EG$1003,"&lt;"&amp;$EG865)+SUMPRODUCT(($EG$5:$EG$1003=$EG865)*(($EJ$5:$EJ$1003&lt;$EJ865)+($EJ$5:$EJ$1003=$EJ865)*(($EK$5:$EK$1003&lt;$EK865)+($EK$5:$EK$1003=$EK865)*($DE$5:$DE$1003&lt;$DE865))))+1)</f>
        <v/>
      </c>
      <c r="EM865">
        <f>IF($DM865=0,"",$EL865+$EG865-1)</f>
        <v/>
      </c>
      <c r="EN865">
        <f>IF($DM865=0,0,IFERROR(MATCH(1,INDEX(--(TRIM(SUBSTITUTE(SUBSTITUTE(SUBSTITUTE(SUBSTITUTE(LINES_NAME&amp;""," "," "),CHAR(9)," "),CHAR(10)," "),CHAR(13)," "))=$DH865),0),0),0))</f>
        <v/>
      </c>
      <c r="EO865">
        <f>IF($EN865=0,0,IF(OR(UPPER(TRIM(INDEX(LINES_SCHEDULED,$EN865)&amp;""))="YES",UPPER(TRIM(INDEX(LINES_SCHEDULED,$EN865)&amp;""))="Y",UPPER(TRIM(INDEX(LINES_SCHEDULED,$EN865)&amp;""))="X"),1,0))</f>
        <v/>
      </c>
      <c r="EP865">
        <f>IF($DM865=0,"",IF(COUNTIFS($EG$5:$EG$1003,$EG865,$EB$5:$EB$1003,"Ready")&gt;0,"READY",IF(COUNTIFS($EG$5:$EG$1003,$EG865,$EB$5:$EB$1003,"PM")&gt;0,"PM",IF(COUNTIFS($EG$5:$EG$1003,$EG865,$EB$5:$EB$1003,"OT")&gt;0,"OT",""))))</f>
        <v/>
      </c>
      <c r="EQ865">
        <f>IF($EN865=0,"",UPPER(TRIM(INDEX(LINES_STATUS,$EN865)&amp;"")))</f>
        <v/>
      </c>
      <c r="ER865">
        <f>IF($DM865=0,"",IF(OR($EQ865="READY",$EQ865="PM",$EQ865="OT"),$EQ865,$EP865))</f>
        <v/>
      </c>
      <c r="ES865">
        <f>IF($DM865=0,"",IF(AND($DV865&lt;&gt;"",UPPER($DV865)&lt;&gt;"N"),"allergen",IF(ISNUMBER(SEARCH("oil",$DQ865)),"oil",IF(OR(EXACT($DS865,"A662"),EXACT($DS865,"A624")),"bulk",""))))</f>
        <v/>
      </c>
      <c r="ET865">
        <f>IF($DM865=0,"",IF(OR($EA865="",$EA865=0),"",$EA865/100))</f>
        <v/>
      </c>
      <c r="EU865">
        <f>IF(OR($ET865="",$DY865=""),"",INT($DY865*(1-$ET865)+0.5))</f>
        <v/>
      </c>
    </row>
    <row r="866">
      <c r="DA866" t="n">
        <v>862</v>
      </c>
      <c r="DB866">
        <f>IF($B$37=0,"",IFERROR(TRIM(SUBSTITUTE(SUBSTITUTE(SUBSTITUTE(SUBSTITUTE(INDEX(PASTE_ALL,862,$B$37)," "," "),CHAR(9)," "),CHAR(10)," "),CHAR(13)," ")),""))</f>
        <v/>
      </c>
      <c r="DC866">
        <f>IF(AND(862&gt;HEADER_ROW,UPPER(DB866)="LEGEND"),1,0)</f>
        <v/>
      </c>
      <c r="DE866" t="n">
        <v>862</v>
      </c>
      <c r="DF866">
        <f>HEADER_ROW+$DE866</f>
        <v/>
      </c>
      <c r="DG866">
        <f>IF(AND($DF866&lt;=1000,$DF866&lt;$B$8),1,0)</f>
        <v/>
      </c>
      <c r="DH866">
        <f>IF($DG866=1,IFERROR(INDEX($DB$5:$DB$1004,$DF866),""),"")</f>
        <v/>
      </c>
      <c r="DI866">
        <f>IF(AND($DG866=1,$DH866&lt;&gt;""),IFERROR(SUBSTITUTE(SUBSTITUTE(TRIM(SUBSTITUTE(SUBSTITUTE(SUBSTITUTE(SUBSTITUTE(IFERROR(INDEX(PASTE_ALL,$DF866,1)&amp;"","")&amp;"␟"&amp;IFERROR(INDEX(PASTE_ALL,$DF866,2)&amp;"","")&amp;"␟"&amp;IFERROR(INDEX(PASTE_ALL,$DF866,3)&amp;"","")&amp;"␟"&amp;IFERROR(INDEX(PASTE_ALL,$DF866,4)&amp;"","")&amp;"␟"&amp;IFERROR(INDEX(PASTE_ALL,$DF866,5)&amp;"","")&amp;"␟"&amp;IFERROR(INDEX(PASTE_ALL,$DF866,6)&amp;"","")&amp;"␟"&amp;IFERROR(INDEX(PASTE_ALL,$DF866,7)&amp;"","")&amp;"␟"&amp;IFERROR(INDEX(PASTE_ALL,$DF866,8)&amp;"","")&amp;"␟"&amp;IFERROR(INDEX(PASTE_ALL,$DF866,9)&amp;"","")&amp;"␟"&amp;IFERROR(INDEX(PASTE_ALL,$DF866,10)&amp;"","")&amp;"␟"&amp;IFERROR(INDEX(PASTE_ALL,$DF866,11)&amp;"","")&amp;"␟"&amp;IFERROR(INDEX(PASTE_ALL,$DF866,12)&amp;"","")&amp;"␟"&amp;IFERROR(INDEX(PASTE_ALL,$DF866,13)&amp;"","")&amp;"␟"&amp;IFERROR(INDEX(PASTE_ALL,$DF866,14)&amp;"","")&amp;"␟"&amp;IFERROR(INDEX(PASTE_ALL,$DF866,15)&amp;"","")&amp;"␟"&amp;IFERROR(INDEX(PASTE_ALL,$DF866,16)&amp;"","")&amp;"␟"&amp;IFERROR(INDEX(PASTE_ALL,$DF866,17)&amp;"","")&amp;"␟"&amp;IFERROR(INDEX(PASTE_ALL,$DF866,18)&amp;"","")&amp;"␟"&amp;IFERROR(INDEX(PASTE_ALL,$DF866,19)&amp;"","")&amp;"␟"&amp;IFERROR(INDEX(PASTE_ALL,$DF866,20)&amp;"","")&amp;"␟"&amp;IFERROR(INDEX(PASTE_ALL,$DF866,21)&amp;"","")&amp;"␟"&amp;IFERROR(INDEX(PASTE_ALL,$DF866,22)&amp;"","")&amp;"␟"&amp;IFERROR(INDEX(PASTE_ALL,$DF866,23)&amp;"","")&amp;"␟"&amp;IFERROR(INDEX(PASTE_ALL,$DF866,24)&amp;"","")&amp;"␟"&amp;IFERROR(INDEX(PASTE_ALL,$DF866,25)&amp;"","")&amp;"␟"&amp;IFERROR(INDEX(PASTE_ALL,$DF866,26)&amp;"","")&amp;"␟"&amp;IFERROR(INDEX(PASTE_ALL,$DF866,27)&amp;"","")&amp;"␟"&amp;IFERROR(INDEX(PASTE_ALL,$DF866,28)&amp;"","")&amp;"␟"&amp;IFERROR(INDEX(PASTE_ALL,$DF866,29)&amp;"","")&amp;"␟"&amp;IFERROR(INDEX(PASTE_ALL,$DF866,30)&amp;"","")&amp;"␟"&amp;IFERROR(INDEX(PASTE_ALL,$DF866,31)&amp;"","")&amp;"␟"&amp;IFERROR(INDEX(PASTE_ALL,$DF866,32)&amp;"","")&amp;"␟"&amp;IFERROR(INDEX(PASTE_ALL,$DF866,33)&amp;"","")&amp;"␟"&amp;IFERROR(INDEX(PASTE_ALL,$DF866,34)&amp;"","")&amp;"␟"&amp;IFERROR(INDEX(PASTE_ALL,$DF866,35)&amp;"","")&amp;"␟"&amp;IFERROR(INDEX(PASTE_ALL,$DF866,36)&amp;"","")&amp;"␟"&amp;IFERROR(INDEX(PASTE_ALL,$DF866,37)&amp;"","")&amp;"␟"&amp;IFERROR(INDEX(PASTE_ALL,$DF866,38)&amp;"","")&amp;"␟"&amp;IFERROR(INDEX(PASTE_ALL,$DF866,39)&amp;"","")&amp;"␟"&amp;IFERROR(INDEX(PASTE_ALL,$DF866,40)&amp;"","")&amp;"␟"&amp;IFERROR(INDEX(PASTE_ALL,$DF866,41)&amp;"","")&amp;"␟"&amp;IFERROR(INDEX(PASTE_ALL,$DF866,42)&amp;"","")&amp;"␟"&amp;IFERROR(INDEX(PASTE_ALL,$DF866,43)&amp;"","")&amp;"␟"&amp;IFERROR(INDEX(PASTE_ALL,$DF866,44)&amp;"","")&amp;"␟"&amp;IFERROR(INDEX(PASTE_ALL,$DF866,45)&amp;"","")&amp;"␟"&amp;IFERROR(INDEX(PASTE_ALL,$DF866,46)&amp;"","")&amp;"␟"&amp;IFERROR(INDEX(PASTE_ALL,$DF866,47)&amp;"","")&amp;"␟"&amp;IFERROR(INDEX(PASTE_ALL,$DF866,48)&amp;"","")&amp;"␟"&amp;IFERROR(INDEX(PASTE_ALL,$DF866,49)&amp;"","")&amp;"␟"&amp;IFERROR(INDEX(PASTE_ALL,$DF866,50)&amp;"","")&amp;"␟"&amp;IFERROR(INDEX(PASTE_ALL,$DF866,51)&amp;"","")&amp;"␟"&amp;IFERROR(INDEX(PASTE_ALL,$DF866,52)&amp;"","")&amp;"␟"&amp;IFERROR(INDEX(PASTE_ALL,$DF866,53)&amp;"","")&amp;"␟"&amp;IFERROR(INDEX(PASTE_ALL,$DF866,54)&amp;"","")&amp;"␟"&amp;IFERROR(INDEX(PASTE_ALL,$DF866,55)&amp;"","")&amp;"␟"&amp;IFERROR(INDEX(PASTE_ALL,$DF866,56)&amp;"","")&amp;"␟"&amp;IFERROR(INDEX(PASTE_ALL,$DF866,57)&amp;"","")&amp;"␟"&amp;IFERROR(INDEX(PASTE_ALL,$DF866,58)&amp;"","")&amp;"␟"&amp;IFERROR(INDEX(PASTE_ALL,$DF866,59)&amp;"","")&amp;"␟"&amp;IFERROR(INDEX(PASTE_ALL,$DF866,60)&amp;"","")," "," "),CHAR(9)," "),CHAR(10)," "),CHAR(13)," "))," ␟","␟"),"␟ ","␟"),"#"&amp;$DE866),"")</f>
        <v/>
      </c>
      <c r="DJ866">
        <f>IF($DI866="",0,IF(SUMPRODUCT(--EXACT($DI$4:DI865,$DI866))&gt;0,1,0))</f>
        <v/>
      </c>
      <c r="DK866">
        <f>IF(AND($DI866&lt;&gt;"",$DJ866=0),1,0)</f>
        <v/>
      </c>
      <c r="DL866">
        <f>DL865+$DK866</f>
        <v/>
      </c>
      <c r="DM866">
        <f>IF(AND($DK866=1,$DL866&lt;=600),1,0)</f>
        <v/>
      </c>
      <c r="DN866">
        <f>IF($DM866=0,"",IF($L$6=0,"",IFERROR(IF(ISNUMBER(INDEX(PASTE_ALL,$DF866,$L$6)),INDEX(PASTE_ALL,$DF866,$L$6),TRIM(SUBSTITUTE(SUBSTITUTE(SUBSTITUTE(SUBSTITUTE(INDEX(PASTE_ALL,$DF866,$L$6)," "," "),CHAR(9)," "),CHAR(10)," "),CHAR(13)," "))),"")))</f>
        <v/>
      </c>
      <c r="DO866">
        <f>IF($DM866=0,"",IF($L$7=0,"",IFERROR(IF(ISNUMBER(INDEX(PASTE_ALL,$DF866,$L$7)),INDEX(PASTE_ALL,$DF866,$L$7),TRIM(SUBSTITUTE(SUBSTITUTE(SUBSTITUTE(SUBSTITUTE(INDEX(PASTE_ALL,$DF866,$L$7)," "," "),CHAR(9)," "),CHAR(10)," "),CHAR(13)," "))),"")))</f>
        <v/>
      </c>
      <c r="DP866">
        <f>IF($DM866=0,"",IF($L$8=0,"",IFERROR(IF(ISNUMBER(INDEX(PASTE_ALL,$DF866,$L$8)),INDEX(PASTE_ALL,$DF866,$L$8),TRIM(SUBSTITUTE(SUBSTITUTE(SUBSTITUTE(SUBSTITUTE(INDEX(PASTE_ALL,$DF866,$L$8)," "," "),CHAR(9)," "),CHAR(10)," "),CHAR(13)," "))),"")))</f>
        <v/>
      </c>
      <c r="DQ866">
        <f>IF($DM866=0,"",IF($L$9=0,"",IFERROR(IF(ISNUMBER(INDEX(PASTE_ALL,$DF866,$L$9)),INDEX(PASTE_ALL,$DF866,$L$9),TRIM(SUBSTITUTE(SUBSTITUTE(SUBSTITUTE(SUBSTITUTE(INDEX(PASTE_ALL,$DF866,$L$9)," "," "),CHAR(9)," "),CHAR(10)," "),CHAR(13)," "))),"")))</f>
        <v/>
      </c>
      <c r="DR866">
        <f>IF($DM866=0,"",IF($L$10=0,"",IFERROR(IF(ISNUMBER(INDEX(PASTE_ALL,$DF866,$L$10)),INDEX(PASTE_ALL,$DF866,$L$10),TRIM(SUBSTITUTE(SUBSTITUTE(SUBSTITUTE(SUBSTITUTE(INDEX(PASTE_ALL,$DF866,$L$10)," "," "),CHAR(9)," "),CHAR(10)," "),CHAR(13)," "))),"")))</f>
        <v/>
      </c>
      <c r="DS866">
        <f>IF($DM866=0,"",IF($L$11=0,"",IFERROR(IF(ISNUMBER(INDEX(PASTE_ALL,$DF866,$L$11)),INDEX(PASTE_ALL,$DF866,$L$11),TRIM(SUBSTITUTE(SUBSTITUTE(SUBSTITUTE(SUBSTITUTE(INDEX(PASTE_ALL,$DF866,$L$11)," "," "),CHAR(9)," "),CHAR(10)," "),CHAR(13)," "))),"")))</f>
        <v/>
      </c>
      <c r="DT866">
        <f>IF($DM866=0,"",IF($L$12=0,"",IFERROR(IF(ISNUMBER(INDEX(PASTE_ALL,$DF866,$L$12)),INDEX(PASTE_ALL,$DF866,$L$12),TRIM(SUBSTITUTE(SUBSTITUTE(SUBSTITUTE(SUBSTITUTE(INDEX(PASTE_ALL,$DF866,$L$12)," "," "),CHAR(9)," "),CHAR(10)," "),CHAR(13)," "))),"")))</f>
        <v/>
      </c>
      <c r="DU866">
        <f>IF($DM866=0,"",IF($L$13=0,"",IFERROR(IF(ISNUMBER(INDEX(PASTE_ALL,$DF866,$L$13)),INDEX(PASTE_ALL,$DF866,$L$13),TRIM(SUBSTITUTE(SUBSTITUTE(SUBSTITUTE(SUBSTITUTE(INDEX(PASTE_ALL,$DF866,$L$13)," "," "),CHAR(9)," "),CHAR(10)," "),CHAR(13)," "))),"")))</f>
        <v/>
      </c>
      <c r="DV866">
        <f>IF($DM866=0,"",IF($L$14=0,"",IFERROR(IF(ISNUMBER(INDEX(PASTE_ALL,$DF866,$L$14)),INDEX(PASTE_ALL,$DF866,$L$14),TRIM(SUBSTITUTE(SUBSTITUTE(SUBSTITUTE(SUBSTITUTE(INDEX(PASTE_ALL,$DF866,$L$14)," "," "),CHAR(9)," "),CHAR(10)," "),CHAR(13)," "))),"")))</f>
        <v/>
      </c>
      <c r="DW866">
        <f>IF($DM866=0,"",IF($L$15=0,"",IFERROR(IF(ISNUMBER(INDEX(PASTE_ALL,$DF866,$L$15)),INDEX(PASTE_ALL,$DF866,$L$15),IF(SUMPRODUCT(--ISNUMBER(FIND({"A","B","C","D","E","F","G","H","I","J","K","L","M","N","O","P","Q","R","S","T","U","V","W","X","Y","Z","0","1","2","3","4","5","6","7","8","9"},UPPER(TRIM(SUBSTITUTE(SUBSTITUTE(SUBSTITUTE(SUBSTITUTE(INDEX(PASTE_ALL,$DF866,$L$15)," "," "),CHAR(9)," "),CHAR(10)," "),CHAR(13)," "))))))&gt;0,TRIM(SUBSTITUTE(SUBSTITUTE(SUBSTITUTE(SUBSTITUTE(INDEX(PASTE_ALL,$DF866,$L$15)," "," "),CHAR(9)," "),CHAR(10)," "),CHAR(13)," ")),"")),"")))</f>
        <v/>
      </c>
      <c r="DX866">
        <f>IF($DM866=0,"",IF($L$16=0,"",IFERROR(IF(ISNUMBER(INDEX(PASTE_ALL,$DF866,$L$16)),INDEX(PASTE_ALL,$DF866,$L$16),SUBSTITUTE(SUBSTITUTE(TRIM(SUBSTITUTE(SUBSTITUTE(SUBSTITUTE(SUBSTITUTE(INDEX(PASTE_ALL,$DF866,$L$16)," "," "),CHAR(9)," "),CHAR(10)," "),CHAR(13)," ")),",",""),"%","")),"")))</f>
        <v/>
      </c>
      <c r="DY866">
        <f>IF($DM866=0,"",IFERROR(IF(ISNUMBER($DX866),$DX866,IF($DX866="","",IF(TRIM($DX866)="",0,IF(AND(AND(SUBSTITUTE(SUBSTITUTE(SUBSTITUTE(SUBSTITUTE(SUBSTITUTE(SUBSTITUTE(SUBSTITUTE(SUBSTITUTE(SUBSTITUTE(SUBSTITUTE(SUBSTITUTE(SUBSTITUTE(SUBSTITUTE(SUBSTITUTE(UPPER(TRIM($DX866)),"0",""),"1",""),"2",""),"3",""),"4",""),"5",""),"6",""),"7",""),"8",""),"9",""),".",""),"+",""),"-",""),"E","")="",LEN(SUBSTITUTE(SUBSTITUTE(MID(UPPER(TRIM($DX866)),1+OR(LEFT(UPPER(TRIM($DX866)),1)="+",LEFT(UPPER(TRIM($DX866)),1)="-"),999),"E+","E"),"E-","E"))=LEN(SUBSTITUTE(SUBSTITUTE(SUBSTITUTE(SUBSTITUTE(MID(UPPER(TRIM($DX866)),1+OR(LEFT(UPPER(TRIM($DX866)),1)="+",LEFT(UPPER(TRIM($DX866)),1)="-"),999),"E+","E"),"E-","E"),"+",""),"-","")),LEN(UPPER(TRIM($DX866)))-LEN(SUBSTITUTE(UPPER(TRIM($DX866)),"E",""))&lt;2,LEN(UPPER(TRIM($DX866)))-LEN(SUBSTITUTE(UPPER(TRIM($DX866)),".",""))&lt;2,IFERROR(FIND(".",UPPER(TRIM($DX866))),0)&lt;IFERROR(FIND("E",UPPER(TRIM($DX866))),999)),ISNUMBER(VALUE(TRIM($DX866)))),VALUE(TRIM($DX866)),"")))),""))</f>
        <v/>
      </c>
      <c r="DZ866">
        <f>IF($DM866=0,"",IF($L$17=0,"",IFERROR(IF(ISNUMBER(INDEX(PASTE_ALL,$DF866,$L$17)),INDEX(PASTE_ALL,$DF866,$L$17),SUBSTITUTE(SUBSTITUTE(TRIM(SUBSTITUTE(SUBSTITUTE(SUBSTITUTE(SUBSTITUTE(INDEX(PASTE_ALL,$DF866,$L$17)," "," "),CHAR(9)," "),CHAR(10)," "),CHAR(13)," ")),",",""),"%","")),"")))</f>
        <v/>
      </c>
      <c r="EA866">
        <f>IF($DM866=0,"",IFERROR(IF(ISNUMBER($DZ866),$DZ866,IF($DZ866="","",IF(TRIM($DZ866)="",0,IF(AND(AND(SUBSTITUTE(SUBSTITUTE(SUBSTITUTE(SUBSTITUTE(SUBSTITUTE(SUBSTITUTE(SUBSTITUTE(SUBSTITUTE(SUBSTITUTE(SUBSTITUTE(SUBSTITUTE(SUBSTITUTE(SUBSTITUTE(SUBSTITUTE(UPPER(TRIM($DZ866)),"0",""),"1",""),"2",""),"3",""),"4",""),"5",""),"6",""),"7",""),"8",""),"9",""),".",""),"+",""),"-",""),"E","")="",LEN(SUBSTITUTE(SUBSTITUTE(MID(UPPER(TRIM($DZ866)),1+OR(LEFT(UPPER(TRIM($DZ866)),1)="+",LEFT(UPPER(TRIM($DZ866)),1)="-"),999),"E+","E"),"E-","E"))=LEN(SUBSTITUTE(SUBSTITUTE(SUBSTITUTE(SUBSTITUTE(MID(UPPER(TRIM($DZ866)),1+OR(LEFT(UPPER(TRIM($DZ866)),1)="+",LEFT(UPPER(TRIM($DZ866)),1)="-"),999),"E+","E"),"E-","E"),"+",""),"-","")),LEN(UPPER(TRIM($DZ866)))-LEN(SUBSTITUTE(UPPER(TRIM($DZ866)),"E",""))&lt;2,LEN(UPPER(TRIM($DZ866)))-LEN(SUBSTITUTE(UPPER(TRIM($DZ866)),".",""))&lt;2,IFERROR(FIND(".",UPPER(TRIM($DZ866))),0)&lt;IFERROR(FIND("E",UPPER(TRIM($DZ866))),999)),ISNUMBER(VALUE(TRIM($DZ866)))),VALUE(TRIM($DZ866)),"")))),""))</f>
        <v/>
      </c>
      <c r="EB866">
        <f>IF($DM866=0,"",IF($L$18=0,"",IFERROR(IF(UPPER(TRIM(SUBSTITUTE(SUBSTITUTE(SUBSTITUTE(SUBSTITUTE(INDEX(PASTE_ALL,$DF866,$L$18)," "," "),CHAR(9)," "),CHAR(10)," "),CHAR(13)," ")))="READY","Ready",IF(UPPER(TRIM(SUBSTITUTE(SUBSTITUTE(SUBSTITUTE(SUBSTITUTE(INDEX(PASTE_ALL,$DF866,$L$18)," "," "),CHAR(9)," "),CHAR(10)," "),CHAR(13)," ")))="PM","PM",IF(OR(UPPER(TRIM(SUBSTITUTE(SUBSTITUTE(SUBSTITUTE(SUBSTITUTE(INDEX(PASTE_ALL,$DF866,$L$18)," "," "),CHAR(9)," "),CHAR(10)," "),CHAR(13)," ")))="OT",UPPER(TRIM(SUBSTITUTE(SUBSTITUTE(SUBSTITUTE(SUBSTITUTE(INDEX(PASTE_ALL,$DF866,$L$18)," "," "),CHAR(9)," "),CHAR(10)," "),CHAR(13)," ")))="OVERTIME",UPPER(TRIM(SUBSTITUTE(SUBSTITUTE(SUBSTITUTE(SUBSTITUTE(INDEX(PASTE_ALL,$DF866,$L$18)," "," "),CHAR(9)," "),CHAR(10)," "),CHAR(13)," ")))="TRIAL"),"OT",TRIM(SUBSTITUTE(SUBSTITUTE(SUBSTITUTE(SUBSTITUTE(INDEX(PASTE_ALL,$DF866,$L$18)," "," "),CHAR(9)," "),CHAR(10)," "),CHAR(13)," "))))),"")))</f>
        <v/>
      </c>
      <c r="EC866">
        <f>IF($DM866=0,"",IF($L$19=0,"",IFERROR(IF(ISNUMBER(INDEX(PASTE_ALL,$DF866,$L$19)),INDEX(PASTE_ALL,$DF866,$L$19),TRIM(SUBSTITUTE(SUBSTITUTE(SUBSTITUTE(SUBSTITUTE(INDEX(PASTE_ALL,$DF866,$L$19)," "," "),CHAR(9)," "),CHAR(10)," "),CHAR(13)," "))),"")))</f>
        <v/>
      </c>
      <c r="ED866">
        <f>IF($DM866=0,"",MATCH(1,INDEX(EXACT($DH$5:DH866,$DH866)*$DM$5:DM866,0),0))</f>
        <v/>
      </c>
      <c r="EE866">
        <f>IF($DM866=0,0,IF($ED866=$DE866,1,0))</f>
        <v/>
      </c>
      <c r="EF866">
        <f>EF865+$EE866</f>
        <v/>
      </c>
      <c r="EG866">
        <f>IF($DM866=0,"",INDEX($EF$5:$EF$1003,$ED866))</f>
        <v/>
      </c>
      <c r="EH866">
        <f>IF($DM866=0,"",IF($DO866&lt;&gt;"","",IFERROR(LOOKUP(2,1/(($EG$4:EG865=$EG866)*($DO$4:DO865&lt;&gt;"")),$DO$4:DO865),"")))</f>
        <v/>
      </c>
      <c r="EI866">
        <f>IF($DM866=0,"",IF($DO866&lt;&gt;"",$DO866,$EH866))</f>
        <v/>
      </c>
      <c r="EJ866">
        <f>IF($DM866=0,"",IF($EI866="",0,IF(OR(ISNUMBER($EI866),AND(AND(SUBSTITUTE(SUBSTITUTE(SUBSTITUTE(SUBSTITUTE(SUBSTITUTE(SUBSTITUTE(SUBSTITUTE(SUBSTITUTE(SUBSTITUTE(SUBSTITUTE(SUBSTITUTE(SUBSTITUTE(SUBSTITUTE(SUBSTITUTE(UPPER($EI866),"0",""),"1",""),"2",""),"3",""),"4",""),"5",""),"6",""),"7",""),"8",""),"9",""),".",""),"+",""),"-",""),"E","")="",LEN(SUBSTITUTE(SUBSTITUTE(MID(UPPER($EI866),1+OR(LEFT(UPPER($EI866),1)="+",LEFT(UPPER($EI866),1)="-"),999),"E+","E"),"E-","E"))=LEN(SUBSTITUTE(SUBSTITUTE(SUBSTITUTE(SUBSTITUTE(MID(UPPER($EI866),1+OR(LEFT(UPPER($EI866),1)="+",LEFT(UPPER($EI866),1)="-"),999),"E+","E"),"E-","E"),"+",""),"-","")),LEN(UPPER($EI866))-LEN(SUBSTITUTE(UPPER($EI866),"E",""))&lt;2,LEN(UPPER($EI866))-LEN(SUBSTITUTE(UPPER($EI866),".",""))&lt;2,IFERROR(FIND(".",UPPER($EI866)),0)&lt;IFERROR(FIND("E",UPPER($EI866)),999)),ISNUMBER(VALUE($EI866)))),1,2)))</f>
        <v/>
      </c>
      <c r="EK866">
        <f>IF($DM866=0,"",IF($EJ866=1,IF(ISNUMBER($EI866),$EI866,VALUE($EI866)),IF($EJ866=2,$DE866,0)))</f>
        <v/>
      </c>
      <c r="EL866">
        <f>IF($DM866=0,"",COUNTIF($EG$5:$EG$1003,"&lt;"&amp;$EG866)+SUMPRODUCT(($EG$5:$EG$1003=$EG866)*(($EJ$5:$EJ$1003&lt;$EJ866)+($EJ$5:$EJ$1003=$EJ866)*(($EK$5:$EK$1003&lt;$EK866)+($EK$5:$EK$1003=$EK866)*($DE$5:$DE$1003&lt;$DE866))))+1)</f>
        <v/>
      </c>
      <c r="EM866">
        <f>IF($DM866=0,"",$EL866+$EG866-1)</f>
        <v/>
      </c>
      <c r="EN866">
        <f>IF($DM866=0,0,IFERROR(MATCH(1,INDEX(--(TRIM(SUBSTITUTE(SUBSTITUTE(SUBSTITUTE(SUBSTITUTE(LINES_NAME&amp;""," "," "),CHAR(9)," "),CHAR(10)," "),CHAR(13)," "))=$DH866),0),0),0))</f>
        <v/>
      </c>
      <c r="EO866">
        <f>IF($EN866=0,0,IF(OR(UPPER(TRIM(INDEX(LINES_SCHEDULED,$EN866)&amp;""))="YES",UPPER(TRIM(INDEX(LINES_SCHEDULED,$EN866)&amp;""))="Y",UPPER(TRIM(INDEX(LINES_SCHEDULED,$EN866)&amp;""))="X"),1,0))</f>
        <v/>
      </c>
      <c r="EP866">
        <f>IF($DM866=0,"",IF(COUNTIFS($EG$5:$EG$1003,$EG866,$EB$5:$EB$1003,"Ready")&gt;0,"READY",IF(COUNTIFS($EG$5:$EG$1003,$EG866,$EB$5:$EB$1003,"PM")&gt;0,"PM",IF(COUNTIFS($EG$5:$EG$1003,$EG866,$EB$5:$EB$1003,"OT")&gt;0,"OT",""))))</f>
        <v/>
      </c>
      <c r="EQ866">
        <f>IF($EN866=0,"",UPPER(TRIM(INDEX(LINES_STATUS,$EN866)&amp;"")))</f>
        <v/>
      </c>
      <c r="ER866">
        <f>IF($DM866=0,"",IF(OR($EQ866="READY",$EQ866="PM",$EQ866="OT"),$EQ866,$EP866))</f>
        <v/>
      </c>
      <c r="ES866">
        <f>IF($DM866=0,"",IF(AND($DV866&lt;&gt;"",UPPER($DV866)&lt;&gt;"N"),"allergen",IF(ISNUMBER(SEARCH("oil",$DQ866)),"oil",IF(OR(EXACT($DS866,"A662"),EXACT($DS866,"A624")),"bulk",""))))</f>
        <v/>
      </c>
      <c r="ET866">
        <f>IF($DM866=0,"",IF(OR($EA866="",$EA866=0),"",$EA866/100))</f>
        <v/>
      </c>
      <c r="EU866">
        <f>IF(OR($ET866="",$DY866=""),"",INT($DY866*(1-$ET866)+0.5))</f>
        <v/>
      </c>
    </row>
    <row r="867">
      <c r="DA867" t="n">
        <v>863</v>
      </c>
      <c r="DB867">
        <f>IF($B$37=0,"",IFERROR(TRIM(SUBSTITUTE(SUBSTITUTE(SUBSTITUTE(SUBSTITUTE(INDEX(PASTE_ALL,863,$B$37)," "," "),CHAR(9)," "),CHAR(10)," "),CHAR(13)," ")),""))</f>
        <v/>
      </c>
      <c r="DC867">
        <f>IF(AND(863&gt;HEADER_ROW,UPPER(DB867)="LEGEND"),1,0)</f>
        <v/>
      </c>
      <c r="DE867" t="n">
        <v>863</v>
      </c>
      <c r="DF867">
        <f>HEADER_ROW+$DE867</f>
        <v/>
      </c>
      <c r="DG867">
        <f>IF(AND($DF867&lt;=1000,$DF867&lt;$B$8),1,0)</f>
        <v/>
      </c>
      <c r="DH867">
        <f>IF($DG867=1,IFERROR(INDEX($DB$5:$DB$1004,$DF867),""),"")</f>
        <v/>
      </c>
      <c r="DI867">
        <f>IF(AND($DG867=1,$DH867&lt;&gt;""),IFERROR(SUBSTITUTE(SUBSTITUTE(TRIM(SUBSTITUTE(SUBSTITUTE(SUBSTITUTE(SUBSTITUTE(IFERROR(INDEX(PASTE_ALL,$DF867,1)&amp;"","")&amp;"␟"&amp;IFERROR(INDEX(PASTE_ALL,$DF867,2)&amp;"","")&amp;"␟"&amp;IFERROR(INDEX(PASTE_ALL,$DF867,3)&amp;"","")&amp;"␟"&amp;IFERROR(INDEX(PASTE_ALL,$DF867,4)&amp;"","")&amp;"␟"&amp;IFERROR(INDEX(PASTE_ALL,$DF867,5)&amp;"","")&amp;"␟"&amp;IFERROR(INDEX(PASTE_ALL,$DF867,6)&amp;"","")&amp;"␟"&amp;IFERROR(INDEX(PASTE_ALL,$DF867,7)&amp;"","")&amp;"␟"&amp;IFERROR(INDEX(PASTE_ALL,$DF867,8)&amp;"","")&amp;"␟"&amp;IFERROR(INDEX(PASTE_ALL,$DF867,9)&amp;"","")&amp;"␟"&amp;IFERROR(INDEX(PASTE_ALL,$DF867,10)&amp;"","")&amp;"␟"&amp;IFERROR(INDEX(PASTE_ALL,$DF867,11)&amp;"","")&amp;"␟"&amp;IFERROR(INDEX(PASTE_ALL,$DF867,12)&amp;"","")&amp;"␟"&amp;IFERROR(INDEX(PASTE_ALL,$DF867,13)&amp;"","")&amp;"␟"&amp;IFERROR(INDEX(PASTE_ALL,$DF867,14)&amp;"","")&amp;"␟"&amp;IFERROR(INDEX(PASTE_ALL,$DF867,15)&amp;"","")&amp;"␟"&amp;IFERROR(INDEX(PASTE_ALL,$DF867,16)&amp;"","")&amp;"␟"&amp;IFERROR(INDEX(PASTE_ALL,$DF867,17)&amp;"","")&amp;"␟"&amp;IFERROR(INDEX(PASTE_ALL,$DF867,18)&amp;"","")&amp;"␟"&amp;IFERROR(INDEX(PASTE_ALL,$DF867,19)&amp;"","")&amp;"␟"&amp;IFERROR(INDEX(PASTE_ALL,$DF867,20)&amp;"","")&amp;"␟"&amp;IFERROR(INDEX(PASTE_ALL,$DF867,21)&amp;"","")&amp;"␟"&amp;IFERROR(INDEX(PASTE_ALL,$DF867,22)&amp;"","")&amp;"␟"&amp;IFERROR(INDEX(PASTE_ALL,$DF867,23)&amp;"","")&amp;"␟"&amp;IFERROR(INDEX(PASTE_ALL,$DF867,24)&amp;"","")&amp;"␟"&amp;IFERROR(INDEX(PASTE_ALL,$DF867,25)&amp;"","")&amp;"␟"&amp;IFERROR(INDEX(PASTE_ALL,$DF867,26)&amp;"","")&amp;"␟"&amp;IFERROR(INDEX(PASTE_ALL,$DF867,27)&amp;"","")&amp;"␟"&amp;IFERROR(INDEX(PASTE_ALL,$DF867,28)&amp;"","")&amp;"␟"&amp;IFERROR(INDEX(PASTE_ALL,$DF867,29)&amp;"","")&amp;"␟"&amp;IFERROR(INDEX(PASTE_ALL,$DF867,30)&amp;"","")&amp;"␟"&amp;IFERROR(INDEX(PASTE_ALL,$DF867,31)&amp;"","")&amp;"␟"&amp;IFERROR(INDEX(PASTE_ALL,$DF867,32)&amp;"","")&amp;"␟"&amp;IFERROR(INDEX(PASTE_ALL,$DF867,33)&amp;"","")&amp;"␟"&amp;IFERROR(INDEX(PASTE_ALL,$DF867,34)&amp;"","")&amp;"␟"&amp;IFERROR(INDEX(PASTE_ALL,$DF867,35)&amp;"","")&amp;"␟"&amp;IFERROR(INDEX(PASTE_ALL,$DF867,36)&amp;"","")&amp;"␟"&amp;IFERROR(INDEX(PASTE_ALL,$DF867,37)&amp;"","")&amp;"␟"&amp;IFERROR(INDEX(PASTE_ALL,$DF867,38)&amp;"","")&amp;"␟"&amp;IFERROR(INDEX(PASTE_ALL,$DF867,39)&amp;"","")&amp;"␟"&amp;IFERROR(INDEX(PASTE_ALL,$DF867,40)&amp;"","")&amp;"␟"&amp;IFERROR(INDEX(PASTE_ALL,$DF867,41)&amp;"","")&amp;"␟"&amp;IFERROR(INDEX(PASTE_ALL,$DF867,42)&amp;"","")&amp;"␟"&amp;IFERROR(INDEX(PASTE_ALL,$DF867,43)&amp;"","")&amp;"␟"&amp;IFERROR(INDEX(PASTE_ALL,$DF867,44)&amp;"","")&amp;"␟"&amp;IFERROR(INDEX(PASTE_ALL,$DF867,45)&amp;"","")&amp;"␟"&amp;IFERROR(INDEX(PASTE_ALL,$DF867,46)&amp;"","")&amp;"␟"&amp;IFERROR(INDEX(PASTE_ALL,$DF867,47)&amp;"","")&amp;"␟"&amp;IFERROR(INDEX(PASTE_ALL,$DF867,48)&amp;"","")&amp;"␟"&amp;IFERROR(INDEX(PASTE_ALL,$DF867,49)&amp;"","")&amp;"␟"&amp;IFERROR(INDEX(PASTE_ALL,$DF867,50)&amp;"","")&amp;"␟"&amp;IFERROR(INDEX(PASTE_ALL,$DF867,51)&amp;"","")&amp;"␟"&amp;IFERROR(INDEX(PASTE_ALL,$DF867,52)&amp;"","")&amp;"␟"&amp;IFERROR(INDEX(PASTE_ALL,$DF867,53)&amp;"","")&amp;"␟"&amp;IFERROR(INDEX(PASTE_ALL,$DF867,54)&amp;"","")&amp;"␟"&amp;IFERROR(INDEX(PASTE_ALL,$DF867,55)&amp;"","")&amp;"␟"&amp;IFERROR(INDEX(PASTE_ALL,$DF867,56)&amp;"","")&amp;"␟"&amp;IFERROR(INDEX(PASTE_ALL,$DF867,57)&amp;"","")&amp;"␟"&amp;IFERROR(INDEX(PASTE_ALL,$DF867,58)&amp;"","")&amp;"␟"&amp;IFERROR(INDEX(PASTE_ALL,$DF867,59)&amp;"","")&amp;"␟"&amp;IFERROR(INDEX(PASTE_ALL,$DF867,60)&amp;"","")," "," "),CHAR(9)," "),CHAR(10)," "),CHAR(13)," "))," ␟","␟"),"␟ ","␟"),"#"&amp;$DE867),"")</f>
        <v/>
      </c>
      <c r="DJ867">
        <f>IF($DI867="",0,IF(SUMPRODUCT(--EXACT($DI$4:DI866,$DI867))&gt;0,1,0))</f>
        <v/>
      </c>
      <c r="DK867">
        <f>IF(AND($DI867&lt;&gt;"",$DJ867=0),1,0)</f>
        <v/>
      </c>
      <c r="DL867">
        <f>DL866+$DK867</f>
        <v/>
      </c>
      <c r="DM867">
        <f>IF(AND($DK867=1,$DL867&lt;=600),1,0)</f>
        <v/>
      </c>
      <c r="DN867">
        <f>IF($DM867=0,"",IF($L$6=0,"",IFERROR(IF(ISNUMBER(INDEX(PASTE_ALL,$DF867,$L$6)),INDEX(PASTE_ALL,$DF867,$L$6),TRIM(SUBSTITUTE(SUBSTITUTE(SUBSTITUTE(SUBSTITUTE(INDEX(PASTE_ALL,$DF867,$L$6)," "," "),CHAR(9)," "),CHAR(10)," "),CHAR(13)," "))),"")))</f>
        <v/>
      </c>
      <c r="DO867">
        <f>IF($DM867=0,"",IF($L$7=0,"",IFERROR(IF(ISNUMBER(INDEX(PASTE_ALL,$DF867,$L$7)),INDEX(PASTE_ALL,$DF867,$L$7),TRIM(SUBSTITUTE(SUBSTITUTE(SUBSTITUTE(SUBSTITUTE(INDEX(PASTE_ALL,$DF867,$L$7)," "," "),CHAR(9)," "),CHAR(10)," "),CHAR(13)," "))),"")))</f>
        <v/>
      </c>
      <c r="DP867">
        <f>IF($DM867=0,"",IF($L$8=0,"",IFERROR(IF(ISNUMBER(INDEX(PASTE_ALL,$DF867,$L$8)),INDEX(PASTE_ALL,$DF867,$L$8),TRIM(SUBSTITUTE(SUBSTITUTE(SUBSTITUTE(SUBSTITUTE(INDEX(PASTE_ALL,$DF867,$L$8)," "," "),CHAR(9)," "),CHAR(10)," "),CHAR(13)," "))),"")))</f>
        <v/>
      </c>
      <c r="DQ867">
        <f>IF($DM867=0,"",IF($L$9=0,"",IFERROR(IF(ISNUMBER(INDEX(PASTE_ALL,$DF867,$L$9)),INDEX(PASTE_ALL,$DF867,$L$9),TRIM(SUBSTITUTE(SUBSTITUTE(SUBSTITUTE(SUBSTITUTE(INDEX(PASTE_ALL,$DF867,$L$9)," "," "),CHAR(9)," "),CHAR(10)," "),CHAR(13)," "))),"")))</f>
        <v/>
      </c>
      <c r="DR867">
        <f>IF($DM867=0,"",IF($L$10=0,"",IFERROR(IF(ISNUMBER(INDEX(PASTE_ALL,$DF867,$L$10)),INDEX(PASTE_ALL,$DF867,$L$10),TRIM(SUBSTITUTE(SUBSTITUTE(SUBSTITUTE(SUBSTITUTE(INDEX(PASTE_ALL,$DF867,$L$10)," "," "),CHAR(9)," "),CHAR(10)," "),CHAR(13)," "))),"")))</f>
        <v/>
      </c>
      <c r="DS867">
        <f>IF($DM867=0,"",IF($L$11=0,"",IFERROR(IF(ISNUMBER(INDEX(PASTE_ALL,$DF867,$L$11)),INDEX(PASTE_ALL,$DF867,$L$11),TRIM(SUBSTITUTE(SUBSTITUTE(SUBSTITUTE(SUBSTITUTE(INDEX(PASTE_ALL,$DF867,$L$11)," "," "),CHAR(9)," "),CHAR(10)," "),CHAR(13)," "))),"")))</f>
        <v/>
      </c>
      <c r="DT867">
        <f>IF($DM867=0,"",IF($L$12=0,"",IFERROR(IF(ISNUMBER(INDEX(PASTE_ALL,$DF867,$L$12)),INDEX(PASTE_ALL,$DF867,$L$12),TRIM(SUBSTITUTE(SUBSTITUTE(SUBSTITUTE(SUBSTITUTE(INDEX(PASTE_ALL,$DF867,$L$12)," "," "),CHAR(9)," "),CHAR(10)," "),CHAR(13)," "))),"")))</f>
        <v/>
      </c>
      <c r="DU867">
        <f>IF($DM867=0,"",IF($L$13=0,"",IFERROR(IF(ISNUMBER(INDEX(PASTE_ALL,$DF867,$L$13)),INDEX(PASTE_ALL,$DF867,$L$13),TRIM(SUBSTITUTE(SUBSTITUTE(SUBSTITUTE(SUBSTITUTE(INDEX(PASTE_ALL,$DF867,$L$13)," "," "),CHAR(9)," "),CHAR(10)," "),CHAR(13)," "))),"")))</f>
        <v/>
      </c>
      <c r="DV867">
        <f>IF($DM867=0,"",IF($L$14=0,"",IFERROR(IF(ISNUMBER(INDEX(PASTE_ALL,$DF867,$L$14)),INDEX(PASTE_ALL,$DF867,$L$14),TRIM(SUBSTITUTE(SUBSTITUTE(SUBSTITUTE(SUBSTITUTE(INDEX(PASTE_ALL,$DF867,$L$14)," "," "),CHAR(9)," "),CHAR(10)," "),CHAR(13)," "))),"")))</f>
        <v/>
      </c>
      <c r="DW867">
        <f>IF($DM867=0,"",IF($L$15=0,"",IFERROR(IF(ISNUMBER(INDEX(PASTE_ALL,$DF867,$L$15)),INDEX(PASTE_ALL,$DF867,$L$15),IF(SUMPRODUCT(--ISNUMBER(FIND({"A","B","C","D","E","F","G","H","I","J","K","L","M","N","O","P","Q","R","S","T","U","V","W","X","Y","Z","0","1","2","3","4","5","6","7","8","9"},UPPER(TRIM(SUBSTITUTE(SUBSTITUTE(SUBSTITUTE(SUBSTITUTE(INDEX(PASTE_ALL,$DF867,$L$15)," "," "),CHAR(9)," "),CHAR(10)," "),CHAR(13)," "))))))&gt;0,TRIM(SUBSTITUTE(SUBSTITUTE(SUBSTITUTE(SUBSTITUTE(INDEX(PASTE_ALL,$DF867,$L$15)," "," "),CHAR(9)," "),CHAR(10)," "),CHAR(13)," ")),"")),"")))</f>
        <v/>
      </c>
      <c r="DX867">
        <f>IF($DM867=0,"",IF($L$16=0,"",IFERROR(IF(ISNUMBER(INDEX(PASTE_ALL,$DF867,$L$16)),INDEX(PASTE_ALL,$DF867,$L$16),SUBSTITUTE(SUBSTITUTE(TRIM(SUBSTITUTE(SUBSTITUTE(SUBSTITUTE(SUBSTITUTE(INDEX(PASTE_ALL,$DF867,$L$16)," "," "),CHAR(9)," "),CHAR(10)," "),CHAR(13)," ")),",",""),"%","")),"")))</f>
        <v/>
      </c>
      <c r="DY867">
        <f>IF($DM867=0,"",IFERROR(IF(ISNUMBER($DX867),$DX867,IF($DX867="","",IF(TRIM($DX867)="",0,IF(AND(AND(SUBSTITUTE(SUBSTITUTE(SUBSTITUTE(SUBSTITUTE(SUBSTITUTE(SUBSTITUTE(SUBSTITUTE(SUBSTITUTE(SUBSTITUTE(SUBSTITUTE(SUBSTITUTE(SUBSTITUTE(SUBSTITUTE(SUBSTITUTE(UPPER(TRIM($DX867)),"0",""),"1",""),"2",""),"3",""),"4",""),"5",""),"6",""),"7",""),"8",""),"9",""),".",""),"+",""),"-",""),"E","")="",LEN(SUBSTITUTE(SUBSTITUTE(MID(UPPER(TRIM($DX867)),1+OR(LEFT(UPPER(TRIM($DX867)),1)="+",LEFT(UPPER(TRIM($DX867)),1)="-"),999),"E+","E"),"E-","E"))=LEN(SUBSTITUTE(SUBSTITUTE(SUBSTITUTE(SUBSTITUTE(MID(UPPER(TRIM($DX867)),1+OR(LEFT(UPPER(TRIM($DX867)),1)="+",LEFT(UPPER(TRIM($DX867)),1)="-"),999),"E+","E"),"E-","E"),"+",""),"-","")),LEN(UPPER(TRIM($DX867)))-LEN(SUBSTITUTE(UPPER(TRIM($DX867)),"E",""))&lt;2,LEN(UPPER(TRIM($DX867)))-LEN(SUBSTITUTE(UPPER(TRIM($DX867)),".",""))&lt;2,IFERROR(FIND(".",UPPER(TRIM($DX867))),0)&lt;IFERROR(FIND("E",UPPER(TRIM($DX867))),999)),ISNUMBER(VALUE(TRIM($DX867)))),VALUE(TRIM($DX867)),"")))),""))</f>
        <v/>
      </c>
      <c r="DZ867">
        <f>IF($DM867=0,"",IF($L$17=0,"",IFERROR(IF(ISNUMBER(INDEX(PASTE_ALL,$DF867,$L$17)),INDEX(PASTE_ALL,$DF867,$L$17),SUBSTITUTE(SUBSTITUTE(TRIM(SUBSTITUTE(SUBSTITUTE(SUBSTITUTE(SUBSTITUTE(INDEX(PASTE_ALL,$DF867,$L$17)," "," "),CHAR(9)," "),CHAR(10)," "),CHAR(13)," ")),",",""),"%","")),"")))</f>
        <v/>
      </c>
      <c r="EA867">
        <f>IF($DM867=0,"",IFERROR(IF(ISNUMBER($DZ867),$DZ867,IF($DZ867="","",IF(TRIM($DZ867)="",0,IF(AND(AND(SUBSTITUTE(SUBSTITUTE(SUBSTITUTE(SUBSTITUTE(SUBSTITUTE(SUBSTITUTE(SUBSTITUTE(SUBSTITUTE(SUBSTITUTE(SUBSTITUTE(SUBSTITUTE(SUBSTITUTE(SUBSTITUTE(SUBSTITUTE(UPPER(TRIM($DZ867)),"0",""),"1",""),"2",""),"3",""),"4",""),"5",""),"6",""),"7",""),"8",""),"9",""),".",""),"+",""),"-",""),"E","")="",LEN(SUBSTITUTE(SUBSTITUTE(MID(UPPER(TRIM($DZ867)),1+OR(LEFT(UPPER(TRIM($DZ867)),1)="+",LEFT(UPPER(TRIM($DZ867)),1)="-"),999),"E+","E"),"E-","E"))=LEN(SUBSTITUTE(SUBSTITUTE(SUBSTITUTE(SUBSTITUTE(MID(UPPER(TRIM($DZ867)),1+OR(LEFT(UPPER(TRIM($DZ867)),1)="+",LEFT(UPPER(TRIM($DZ867)),1)="-"),999),"E+","E"),"E-","E"),"+",""),"-","")),LEN(UPPER(TRIM($DZ867)))-LEN(SUBSTITUTE(UPPER(TRIM($DZ867)),"E",""))&lt;2,LEN(UPPER(TRIM($DZ867)))-LEN(SUBSTITUTE(UPPER(TRIM($DZ867)),".",""))&lt;2,IFERROR(FIND(".",UPPER(TRIM($DZ867))),0)&lt;IFERROR(FIND("E",UPPER(TRIM($DZ867))),999)),ISNUMBER(VALUE(TRIM($DZ867)))),VALUE(TRIM($DZ867)),"")))),""))</f>
        <v/>
      </c>
      <c r="EB867">
        <f>IF($DM867=0,"",IF($L$18=0,"",IFERROR(IF(UPPER(TRIM(SUBSTITUTE(SUBSTITUTE(SUBSTITUTE(SUBSTITUTE(INDEX(PASTE_ALL,$DF867,$L$18)," "," "),CHAR(9)," "),CHAR(10)," "),CHAR(13)," ")))="READY","Ready",IF(UPPER(TRIM(SUBSTITUTE(SUBSTITUTE(SUBSTITUTE(SUBSTITUTE(INDEX(PASTE_ALL,$DF867,$L$18)," "," "),CHAR(9)," "),CHAR(10)," "),CHAR(13)," ")))="PM","PM",IF(OR(UPPER(TRIM(SUBSTITUTE(SUBSTITUTE(SUBSTITUTE(SUBSTITUTE(INDEX(PASTE_ALL,$DF867,$L$18)," "," "),CHAR(9)," "),CHAR(10)," "),CHAR(13)," ")))="OT",UPPER(TRIM(SUBSTITUTE(SUBSTITUTE(SUBSTITUTE(SUBSTITUTE(INDEX(PASTE_ALL,$DF867,$L$18)," "," "),CHAR(9)," "),CHAR(10)," "),CHAR(13)," ")))="OVERTIME",UPPER(TRIM(SUBSTITUTE(SUBSTITUTE(SUBSTITUTE(SUBSTITUTE(INDEX(PASTE_ALL,$DF867,$L$18)," "," "),CHAR(9)," "),CHAR(10)," "),CHAR(13)," ")))="TRIAL"),"OT",TRIM(SUBSTITUTE(SUBSTITUTE(SUBSTITUTE(SUBSTITUTE(INDEX(PASTE_ALL,$DF867,$L$18)," "," "),CHAR(9)," "),CHAR(10)," "),CHAR(13)," "))))),"")))</f>
        <v/>
      </c>
      <c r="EC867">
        <f>IF($DM867=0,"",IF($L$19=0,"",IFERROR(IF(ISNUMBER(INDEX(PASTE_ALL,$DF867,$L$19)),INDEX(PASTE_ALL,$DF867,$L$19),TRIM(SUBSTITUTE(SUBSTITUTE(SUBSTITUTE(SUBSTITUTE(INDEX(PASTE_ALL,$DF867,$L$19)," "," "),CHAR(9)," "),CHAR(10)," "),CHAR(13)," "))),"")))</f>
        <v/>
      </c>
      <c r="ED867">
        <f>IF($DM867=0,"",MATCH(1,INDEX(EXACT($DH$5:DH867,$DH867)*$DM$5:DM867,0),0))</f>
        <v/>
      </c>
      <c r="EE867">
        <f>IF($DM867=0,0,IF($ED867=$DE867,1,0))</f>
        <v/>
      </c>
      <c r="EF867">
        <f>EF866+$EE867</f>
        <v/>
      </c>
      <c r="EG867">
        <f>IF($DM867=0,"",INDEX($EF$5:$EF$1003,$ED867))</f>
        <v/>
      </c>
      <c r="EH867">
        <f>IF($DM867=0,"",IF($DO867&lt;&gt;"","",IFERROR(LOOKUP(2,1/(($EG$4:EG866=$EG867)*($DO$4:DO866&lt;&gt;"")),$DO$4:DO866),"")))</f>
        <v/>
      </c>
      <c r="EI867">
        <f>IF($DM867=0,"",IF($DO867&lt;&gt;"",$DO867,$EH867))</f>
        <v/>
      </c>
      <c r="EJ867">
        <f>IF($DM867=0,"",IF($EI867="",0,IF(OR(ISNUMBER($EI867),AND(AND(SUBSTITUTE(SUBSTITUTE(SUBSTITUTE(SUBSTITUTE(SUBSTITUTE(SUBSTITUTE(SUBSTITUTE(SUBSTITUTE(SUBSTITUTE(SUBSTITUTE(SUBSTITUTE(SUBSTITUTE(SUBSTITUTE(SUBSTITUTE(UPPER($EI867),"0",""),"1",""),"2",""),"3",""),"4",""),"5",""),"6",""),"7",""),"8",""),"9",""),".",""),"+",""),"-",""),"E","")="",LEN(SUBSTITUTE(SUBSTITUTE(MID(UPPER($EI867),1+OR(LEFT(UPPER($EI867),1)="+",LEFT(UPPER($EI867),1)="-"),999),"E+","E"),"E-","E"))=LEN(SUBSTITUTE(SUBSTITUTE(SUBSTITUTE(SUBSTITUTE(MID(UPPER($EI867),1+OR(LEFT(UPPER($EI867),1)="+",LEFT(UPPER($EI867),1)="-"),999),"E+","E"),"E-","E"),"+",""),"-","")),LEN(UPPER($EI867))-LEN(SUBSTITUTE(UPPER($EI867),"E",""))&lt;2,LEN(UPPER($EI867))-LEN(SUBSTITUTE(UPPER($EI867),".",""))&lt;2,IFERROR(FIND(".",UPPER($EI867)),0)&lt;IFERROR(FIND("E",UPPER($EI867)),999)),ISNUMBER(VALUE($EI867)))),1,2)))</f>
        <v/>
      </c>
      <c r="EK867">
        <f>IF($DM867=0,"",IF($EJ867=1,IF(ISNUMBER($EI867),$EI867,VALUE($EI867)),IF($EJ867=2,$DE867,0)))</f>
        <v/>
      </c>
      <c r="EL867">
        <f>IF($DM867=0,"",COUNTIF($EG$5:$EG$1003,"&lt;"&amp;$EG867)+SUMPRODUCT(($EG$5:$EG$1003=$EG867)*(($EJ$5:$EJ$1003&lt;$EJ867)+($EJ$5:$EJ$1003=$EJ867)*(($EK$5:$EK$1003&lt;$EK867)+($EK$5:$EK$1003=$EK867)*($DE$5:$DE$1003&lt;$DE867))))+1)</f>
        <v/>
      </c>
      <c r="EM867">
        <f>IF($DM867=0,"",$EL867+$EG867-1)</f>
        <v/>
      </c>
      <c r="EN867">
        <f>IF($DM867=0,0,IFERROR(MATCH(1,INDEX(--(TRIM(SUBSTITUTE(SUBSTITUTE(SUBSTITUTE(SUBSTITUTE(LINES_NAME&amp;""," "," "),CHAR(9)," "),CHAR(10)," "),CHAR(13)," "))=$DH867),0),0),0))</f>
        <v/>
      </c>
      <c r="EO867">
        <f>IF($EN867=0,0,IF(OR(UPPER(TRIM(INDEX(LINES_SCHEDULED,$EN867)&amp;""))="YES",UPPER(TRIM(INDEX(LINES_SCHEDULED,$EN867)&amp;""))="Y",UPPER(TRIM(INDEX(LINES_SCHEDULED,$EN867)&amp;""))="X"),1,0))</f>
        <v/>
      </c>
      <c r="EP867">
        <f>IF($DM867=0,"",IF(COUNTIFS($EG$5:$EG$1003,$EG867,$EB$5:$EB$1003,"Ready")&gt;0,"READY",IF(COUNTIFS($EG$5:$EG$1003,$EG867,$EB$5:$EB$1003,"PM")&gt;0,"PM",IF(COUNTIFS($EG$5:$EG$1003,$EG867,$EB$5:$EB$1003,"OT")&gt;0,"OT",""))))</f>
        <v/>
      </c>
      <c r="EQ867">
        <f>IF($EN867=0,"",UPPER(TRIM(INDEX(LINES_STATUS,$EN867)&amp;"")))</f>
        <v/>
      </c>
      <c r="ER867">
        <f>IF($DM867=0,"",IF(OR($EQ867="READY",$EQ867="PM",$EQ867="OT"),$EQ867,$EP867))</f>
        <v/>
      </c>
      <c r="ES867">
        <f>IF($DM867=0,"",IF(AND($DV867&lt;&gt;"",UPPER($DV867)&lt;&gt;"N"),"allergen",IF(ISNUMBER(SEARCH("oil",$DQ867)),"oil",IF(OR(EXACT($DS867,"A662"),EXACT($DS867,"A624")),"bulk",""))))</f>
        <v/>
      </c>
      <c r="ET867">
        <f>IF($DM867=0,"",IF(OR($EA867="",$EA867=0),"",$EA867/100))</f>
        <v/>
      </c>
      <c r="EU867">
        <f>IF(OR($ET867="",$DY867=""),"",INT($DY867*(1-$ET867)+0.5))</f>
        <v/>
      </c>
    </row>
    <row r="868">
      <c r="DA868" t="n">
        <v>864</v>
      </c>
      <c r="DB868">
        <f>IF($B$37=0,"",IFERROR(TRIM(SUBSTITUTE(SUBSTITUTE(SUBSTITUTE(SUBSTITUTE(INDEX(PASTE_ALL,864,$B$37)," "," "),CHAR(9)," "),CHAR(10)," "),CHAR(13)," ")),""))</f>
        <v/>
      </c>
      <c r="DC868">
        <f>IF(AND(864&gt;HEADER_ROW,UPPER(DB868)="LEGEND"),1,0)</f>
        <v/>
      </c>
      <c r="DE868" t="n">
        <v>864</v>
      </c>
      <c r="DF868">
        <f>HEADER_ROW+$DE868</f>
        <v/>
      </c>
      <c r="DG868">
        <f>IF(AND($DF868&lt;=1000,$DF868&lt;$B$8),1,0)</f>
        <v/>
      </c>
      <c r="DH868">
        <f>IF($DG868=1,IFERROR(INDEX($DB$5:$DB$1004,$DF868),""),"")</f>
        <v/>
      </c>
      <c r="DI868">
        <f>IF(AND($DG868=1,$DH868&lt;&gt;""),IFERROR(SUBSTITUTE(SUBSTITUTE(TRIM(SUBSTITUTE(SUBSTITUTE(SUBSTITUTE(SUBSTITUTE(IFERROR(INDEX(PASTE_ALL,$DF868,1)&amp;"","")&amp;"␟"&amp;IFERROR(INDEX(PASTE_ALL,$DF868,2)&amp;"","")&amp;"␟"&amp;IFERROR(INDEX(PASTE_ALL,$DF868,3)&amp;"","")&amp;"␟"&amp;IFERROR(INDEX(PASTE_ALL,$DF868,4)&amp;"","")&amp;"␟"&amp;IFERROR(INDEX(PASTE_ALL,$DF868,5)&amp;"","")&amp;"␟"&amp;IFERROR(INDEX(PASTE_ALL,$DF868,6)&amp;"","")&amp;"␟"&amp;IFERROR(INDEX(PASTE_ALL,$DF868,7)&amp;"","")&amp;"␟"&amp;IFERROR(INDEX(PASTE_ALL,$DF868,8)&amp;"","")&amp;"␟"&amp;IFERROR(INDEX(PASTE_ALL,$DF868,9)&amp;"","")&amp;"␟"&amp;IFERROR(INDEX(PASTE_ALL,$DF868,10)&amp;"","")&amp;"␟"&amp;IFERROR(INDEX(PASTE_ALL,$DF868,11)&amp;"","")&amp;"␟"&amp;IFERROR(INDEX(PASTE_ALL,$DF868,12)&amp;"","")&amp;"␟"&amp;IFERROR(INDEX(PASTE_ALL,$DF868,13)&amp;"","")&amp;"␟"&amp;IFERROR(INDEX(PASTE_ALL,$DF868,14)&amp;"","")&amp;"␟"&amp;IFERROR(INDEX(PASTE_ALL,$DF868,15)&amp;"","")&amp;"␟"&amp;IFERROR(INDEX(PASTE_ALL,$DF868,16)&amp;"","")&amp;"␟"&amp;IFERROR(INDEX(PASTE_ALL,$DF868,17)&amp;"","")&amp;"␟"&amp;IFERROR(INDEX(PASTE_ALL,$DF868,18)&amp;"","")&amp;"␟"&amp;IFERROR(INDEX(PASTE_ALL,$DF868,19)&amp;"","")&amp;"␟"&amp;IFERROR(INDEX(PASTE_ALL,$DF868,20)&amp;"","")&amp;"␟"&amp;IFERROR(INDEX(PASTE_ALL,$DF868,21)&amp;"","")&amp;"␟"&amp;IFERROR(INDEX(PASTE_ALL,$DF868,22)&amp;"","")&amp;"␟"&amp;IFERROR(INDEX(PASTE_ALL,$DF868,23)&amp;"","")&amp;"␟"&amp;IFERROR(INDEX(PASTE_ALL,$DF868,24)&amp;"","")&amp;"␟"&amp;IFERROR(INDEX(PASTE_ALL,$DF868,25)&amp;"","")&amp;"␟"&amp;IFERROR(INDEX(PASTE_ALL,$DF868,26)&amp;"","")&amp;"␟"&amp;IFERROR(INDEX(PASTE_ALL,$DF868,27)&amp;"","")&amp;"␟"&amp;IFERROR(INDEX(PASTE_ALL,$DF868,28)&amp;"","")&amp;"␟"&amp;IFERROR(INDEX(PASTE_ALL,$DF868,29)&amp;"","")&amp;"␟"&amp;IFERROR(INDEX(PASTE_ALL,$DF868,30)&amp;"","")&amp;"␟"&amp;IFERROR(INDEX(PASTE_ALL,$DF868,31)&amp;"","")&amp;"␟"&amp;IFERROR(INDEX(PASTE_ALL,$DF868,32)&amp;"","")&amp;"␟"&amp;IFERROR(INDEX(PASTE_ALL,$DF868,33)&amp;"","")&amp;"␟"&amp;IFERROR(INDEX(PASTE_ALL,$DF868,34)&amp;"","")&amp;"␟"&amp;IFERROR(INDEX(PASTE_ALL,$DF868,35)&amp;"","")&amp;"␟"&amp;IFERROR(INDEX(PASTE_ALL,$DF868,36)&amp;"","")&amp;"␟"&amp;IFERROR(INDEX(PASTE_ALL,$DF868,37)&amp;"","")&amp;"␟"&amp;IFERROR(INDEX(PASTE_ALL,$DF868,38)&amp;"","")&amp;"␟"&amp;IFERROR(INDEX(PASTE_ALL,$DF868,39)&amp;"","")&amp;"␟"&amp;IFERROR(INDEX(PASTE_ALL,$DF868,40)&amp;"","")&amp;"␟"&amp;IFERROR(INDEX(PASTE_ALL,$DF868,41)&amp;"","")&amp;"␟"&amp;IFERROR(INDEX(PASTE_ALL,$DF868,42)&amp;"","")&amp;"␟"&amp;IFERROR(INDEX(PASTE_ALL,$DF868,43)&amp;"","")&amp;"␟"&amp;IFERROR(INDEX(PASTE_ALL,$DF868,44)&amp;"","")&amp;"␟"&amp;IFERROR(INDEX(PASTE_ALL,$DF868,45)&amp;"","")&amp;"␟"&amp;IFERROR(INDEX(PASTE_ALL,$DF868,46)&amp;"","")&amp;"␟"&amp;IFERROR(INDEX(PASTE_ALL,$DF868,47)&amp;"","")&amp;"␟"&amp;IFERROR(INDEX(PASTE_ALL,$DF868,48)&amp;"","")&amp;"␟"&amp;IFERROR(INDEX(PASTE_ALL,$DF868,49)&amp;"","")&amp;"␟"&amp;IFERROR(INDEX(PASTE_ALL,$DF868,50)&amp;"","")&amp;"␟"&amp;IFERROR(INDEX(PASTE_ALL,$DF868,51)&amp;"","")&amp;"␟"&amp;IFERROR(INDEX(PASTE_ALL,$DF868,52)&amp;"","")&amp;"␟"&amp;IFERROR(INDEX(PASTE_ALL,$DF868,53)&amp;"","")&amp;"␟"&amp;IFERROR(INDEX(PASTE_ALL,$DF868,54)&amp;"","")&amp;"␟"&amp;IFERROR(INDEX(PASTE_ALL,$DF868,55)&amp;"","")&amp;"␟"&amp;IFERROR(INDEX(PASTE_ALL,$DF868,56)&amp;"","")&amp;"␟"&amp;IFERROR(INDEX(PASTE_ALL,$DF868,57)&amp;"","")&amp;"␟"&amp;IFERROR(INDEX(PASTE_ALL,$DF868,58)&amp;"","")&amp;"␟"&amp;IFERROR(INDEX(PASTE_ALL,$DF868,59)&amp;"","")&amp;"␟"&amp;IFERROR(INDEX(PASTE_ALL,$DF868,60)&amp;"","")," "," "),CHAR(9)," "),CHAR(10)," "),CHAR(13)," "))," ␟","␟"),"␟ ","␟"),"#"&amp;$DE868),"")</f>
        <v/>
      </c>
      <c r="DJ868">
        <f>IF($DI868="",0,IF(SUMPRODUCT(--EXACT($DI$4:DI867,$DI868))&gt;0,1,0))</f>
        <v/>
      </c>
      <c r="DK868">
        <f>IF(AND($DI868&lt;&gt;"",$DJ868=0),1,0)</f>
        <v/>
      </c>
      <c r="DL868">
        <f>DL867+$DK868</f>
        <v/>
      </c>
      <c r="DM868">
        <f>IF(AND($DK868=1,$DL868&lt;=600),1,0)</f>
        <v/>
      </c>
      <c r="DN868">
        <f>IF($DM868=0,"",IF($L$6=0,"",IFERROR(IF(ISNUMBER(INDEX(PASTE_ALL,$DF868,$L$6)),INDEX(PASTE_ALL,$DF868,$L$6),TRIM(SUBSTITUTE(SUBSTITUTE(SUBSTITUTE(SUBSTITUTE(INDEX(PASTE_ALL,$DF868,$L$6)," "," "),CHAR(9)," "),CHAR(10)," "),CHAR(13)," "))),"")))</f>
        <v/>
      </c>
      <c r="DO868">
        <f>IF($DM868=0,"",IF($L$7=0,"",IFERROR(IF(ISNUMBER(INDEX(PASTE_ALL,$DF868,$L$7)),INDEX(PASTE_ALL,$DF868,$L$7),TRIM(SUBSTITUTE(SUBSTITUTE(SUBSTITUTE(SUBSTITUTE(INDEX(PASTE_ALL,$DF868,$L$7)," "," "),CHAR(9)," "),CHAR(10)," "),CHAR(13)," "))),"")))</f>
        <v/>
      </c>
      <c r="DP868">
        <f>IF($DM868=0,"",IF($L$8=0,"",IFERROR(IF(ISNUMBER(INDEX(PASTE_ALL,$DF868,$L$8)),INDEX(PASTE_ALL,$DF868,$L$8),TRIM(SUBSTITUTE(SUBSTITUTE(SUBSTITUTE(SUBSTITUTE(INDEX(PASTE_ALL,$DF868,$L$8)," "," "),CHAR(9)," "),CHAR(10)," "),CHAR(13)," "))),"")))</f>
        <v/>
      </c>
      <c r="DQ868">
        <f>IF($DM868=0,"",IF($L$9=0,"",IFERROR(IF(ISNUMBER(INDEX(PASTE_ALL,$DF868,$L$9)),INDEX(PASTE_ALL,$DF868,$L$9),TRIM(SUBSTITUTE(SUBSTITUTE(SUBSTITUTE(SUBSTITUTE(INDEX(PASTE_ALL,$DF868,$L$9)," "," "),CHAR(9)," "),CHAR(10)," "),CHAR(13)," "))),"")))</f>
        <v/>
      </c>
      <c r="DR868">
        <f>IF($DM868=0,"",IF($L$10=0,"",IFERROR(IF(ISNUMBER(INDEX(PASTE_ALL,$DF868,$L$10)),INDEX(PASTE_ALL,$DF868,$L$10),TRIM(SUBSTITUTE(SUBSTITUTE(SUBSTITUTE(SUBSTITUTE(INDEX(PASTE_ALL,$DF868,$L$10)," "," "),CHAR(9)," "),CHAR(10)," "),CHAR(13)," "))),"")))</f>
        <v/>
      </c>
      <c r="DS868">
        <f>IF($DM868=0,"",IF($L$11=0,"",IFERROR(IF(ISNUMBER(INDEX(PASTE_ALL,$DF868,$L$11)),INDEX(PASTE_ALL,$DF868,$L$11),TRIM(SUBSTITUTE(SUBSTITUTE(SUBSTITUTE(SUBSTITUTE(INDEX(PASTE_ALL,$DF868,$L$11)," "," "),CHAR(9)," "),CHAR(10)," "),CHAR(13)," "))),"")))</f>
        <v/>
      </c>
      <c r="DT868">
        <f>IF($DM868=0,"",IF($L$12=0,"",IFERROR(IF(ISNUMBER(INDEX(PASTE_ALL,$DF868,$L$12)),INDEX(PASTE_ALL,$DF868,$L$12),TRIM(SUBSTITUTE(SUBSTITUTE(SUBSTITUTE(SUBSTITUTE(INDEX(PASTE_ALL,$DF868,$L$12)," "," "),CHAR(9)," "),CHAR(10)," "),CHAR(13)," "))),"")))</f>
        <v/>
      </c>
      <c r="DU868">
        <f>IF($DM868=0,"",IF($L$13=0,"",IFERROR(IF(ISNUMBER(INDEX(PASTE_ALL,$DF868,$L$13)),INDEX(PASTE_ALL,$DF868,$L$13),TRIM(SUBSTITUTE(SUBSTITUTE(SUBSTITUTE(SUBSTITUTE(INDEX(PASTE_ALL,$DF868,$L$13)," "," "),CHAR(9)," "),CHAR(10)," "),CHAR(13)," "))),"")))</f>
        <v/>
      </c>
      <c r="DV868">
        <f>IF($DM868=0,"",IF($L$14=0,"",IFERROR(IF(ISNUMBER(INDEX(PASTE_ALL,$DF868,$L$14)),INDEX(PASTE_ALL,$DF868,$L$14),TRIM(SUBSTITUTE(SUBSTITUTE(SUBSTITUTE(SUBSTITUTE(INDEX(PASTE_ALL,$DF868,$L$14)," "," "),CHAR(9)," "),CHAR(10)," "),CHAR(13)," "))),"")))</f>
        <v/>
      </c>
      <c r="DW868">
        <f>IF($DM868=0,"",IF($L$15=0,"",IFERROR(IF(ISNUMBER(INDEX(PASTE_ALL,$DF868,$L$15)),INDEX(PASTE_ALL,$DF868,$L$15),IF(SUMPRODUCT(--ISNUMBER(FIND({"A","B","C","D","E","F","G","H","I","J","K","L","M","N","O","P","Q","R","S","T","U","V","W","X","Y","Z","0","1","2","3","4","5","6","7","8","9"},UPPER(TRIM(SUBSTITUTE(SUBSTITUTE(SUBSTITUTE(SUBSTITUTE(INDEX(PASTE_ALL,$DF868,$L$15)," "," "),CHAR(9)," "),CHAR(10)," "),CHAR(13)," "))))))&gt;0,TRIM(SUBSTITUTE(SUBSTITUTE(SUBSTITUTE(SUBSTITUTE(INDEX(PASTE_ALL,$DF868,$L$15)," "," "),CHAR(9)," "),CHAR(10)," "),CHAR(13)," ")),"")),"")))</f>
        <v/>
      </c>
      <c r="DX868">
        <f>IF($DM868=0,"",IF($L$16=0,"",IFERROR(IF(ISNUMBER(INDEX(PASTE_ALL,$DF868,$L$16)),INDEX(PASTE_ALL,$DF868,$L$16),SUBSTITUTE(SUBSTITUTE(TRIM(SUBSTITUTE(SUBSTITUTE(SUBSTITUTE(SUBSTITUTE(INDEX(PASTE_ALL,$DF868,$L$16)," "," "),CHAR(9)," "),CHAR(10)," "),CHAR(13)," ")),",",""),"%","")),"")))</f>
        <v/>
      </c>
      <c r="DY868">
        <f>IF($DM868=0,"",IFERROR(IF(ISNUMBER($DX868),$DX868,IF($DX868="","",IF(TRIM($DX868)="",0,IF(AND(AND(SUBSTITUTE(SUBSTITUTE(SUBSTITUTE(SUBSTITUTE(SUBSTITUTE(SUBSTITUTE(SUBSTITUTE(SUBSTITUTE(SUBSTITUTE(SUBSTITUTE(SUBSTITUTE(SUBSTITUTE(SUBSTITUTE(SUBSTITUTE(UPPER(TRIM($DX868)),"0",""),"1",""),"2",""),"3",""),"4",""),"5",""),"6",""),"7",""),"8",""),"9",""),".",""),"+",""),"-",""),"E","")="",LEN(SUBSTITUTE(SUBSTITUTE(MID(UPPER(TRIM($DX868)),1+OR(LEFT(UPPER(TRIM($DX868)),1)="+",LEFT(UPPER(TRIM($DX868)),1)="-"),999),"E+","E"),"E-","E"))=LEN(SUBSTITUTE(SUBSTITUTE(SUBSTITUTE(SUBSTITUTE(MID(UPPER(TRIM($DX868)),1+OR(LEFT(UPPER(TRIM($DX868)),1)="+",LEFT(UPPER(TRIM($DX868)),1)="-"),999),"E+","E"),"E-","E"),"+",""),"-","")),LEN(UPPER(TRIM($DX868)))-LEN(SUBSTITUTE(UPPER(TRIM($DX868)),"E",""))&lt;2,LEN(UPPER(TRIM($DX868)))-LEN(SUBSTITUTE(UPPER(TRIM($DX868)),".",""))&lt;2,IFERROR(FIND(".",UPPER(TRIM($DX868))),0)&lt;IFERROR(FIND("E",UPPER(TRIM($DX868))),999)),ISNUMBER(VALUE(TRIM($DX868)))),VALUE(TRIM($DX868)),"")))),""))</f>
        <v/>
      </c>
      <c r="DZ868">
        <f>IF($DM868=0,"",IF($L$17=0,"",IFERROR(IF(ISNUMBER(INDEX(PASTE_ALL,$DF868,$L$17)),INDEX(PASTE_ALL,$DF868,$L$17),SUBSTITUTE(SUBSTITUTE(TRIM(SUBSTITUTE(SUBSTITUTE(SUBSTITUTE(SUBSTITUTE(INDEX(PASTE_ALL,$DF868,$L$17)," "," "),CHAR(9)," "),CHAR(10)," "),CHAR(13)," ")),",",""),"%","")),"")))</f>
        <v/>
      </c>
      <c r="EA868">
        <f>IF($DM868=0,"",IFERROR(IF(ISNUMBER($DZ868),$DZ868,IF($DZ868="","",IF(TRIM($DZ868)="",0,IF(AND(AND(SUBSTITUTE(SUBSTITUTE(SUBSTITUTE(SUBSTITUTE(SUBSTITUTE(SUBSTITUTE(SUBSTITUTE(SUBSTITUTE(SUBSTITUTE(SUBSTITUTE(SUBSTITUTE(SUBSTITUTE(SUBSTITUTE(SUBSTITUTE(UPPER(TRIM($DZ868)),"0",""),"1",""),"2",""),"3",""),"4",""),"5",""),"6",""),"7",""),"8",""),"9",""),".",""),"+",""),"-",""),"E","")="",LEN(SUBSTITUTE(SUBSTITUTE(MID(UPPER(TRIM($DZ868)),1+OR(LEFT(UPPER(TRIM($DZ868)),1)="+",LEFT(UPPER(TRIM($DZ868)),1)="-"),999),"E+","E"),"E-","E"))=LEN(SUBSTITUTE(SUBSTITUTE(SUBSTITUTE(SUBSTITUTE(MID(UPPER(TRIM($DZ868)),1+OR(LEFT(UPPER(TRIM($DZ868)),1)="+",LEFT(UPPER(TRIM($DZ868)),1)="-"),999),"E+","E"),"E-","E"),"+",""),"-","")),LEN(UPPER(TRIM($DZ868)))-LEN(SUBSTITUTE(UPPER(TRIM($DZ868)),"E",""))&lt;2,LEN(UPPER(TRIM($DZ868)))-LEN(SUBSTITUTE(UPPER(TRIM($DZ868)),".",""))&lt;2,IFERROR(FIND(".",UPPER(TRIM($DZ868))),0)&lt;IFERROR(FIND("E",UPPER(TRIM($DZ868))),999)),ISNUMBER(VALUE(TRIM($DZ868)))),VALUE(TRIM($DZ868)),"")))),""))</f>
        <v/>
      </c>
      <c r="EB868">
        <f>IF($DM868=0,"",IF($L$18=0,"",IFERROR(IF(UPPER(TRIM(SUBSTITUTE(SUBSTITUTE(SUBSTITUTE(SUBSTITUTE(INDEX(PASTE_ALL,$DF868,$L$18)," "," "),CHAR(9)," "),CHAR(10)," "),CHAR(13)," ")))="READY","Ready",IF(UPPER(TRIM(SUBSTITUTE(SUBSTITUTE(SUBSTITUTE(SUBSTITUTE(INDEX(PASTE_ALL,$DF868,$L$18)," "," "),CHAR(9)," "),CHAR(10)," "),CHAR(13)," ")))="PM","PM",IF(OR(UPPER(TRIM(SUBSTITUTE(SUBSTITUTE(SUBSTITUTE(SUBSTITUTE(INDEX(PASTE_ALL,$DF868,$L$18)," "," "),CHAR(9)," "),CHAR(10)," "),CHAR(13)," ")))="OT",UPPER(TRIM(SUBSTITUTE(SUBSTITUTE(SUBSTITUTE(SUBSTITUTE(INDEX(PASTE_ALL,$DF868,$L$18)," "," "),CHAR(9)," "),CHAR(10)," "),CHAR(13)," ")))="OVERTIME",UPPER(TRIM(SUBSTITUTE(SUBSTITUTE(SUBSTITUTE(SUBSTITUTE(INDEX(PASTE_ALL,$DF868,$L$18)," "," "),CHAR(9)," "),CHAR(10)," "),CHAR(13)," ")))="TRIAL"),"OT",TRIM(SUBSTITUTE(SUBSTITUTE(SUBSTITUTE(SUBSTITUTE(INDEX(PASTE_ALL,$DF868,$L$18)," "," "),CHAR(9)," "),CHAR(10)," "),CHAR(13)," "))))),"")))</f>
        <v/>
      </c>
      <c r="EC868">
        <f>IF($DM868=0,"",IF($L$19=0,"",IFERROR(IF(ISNUMBER(INDEX(PASTE_ALL,$DF868,$L$19)),INDEX(PASTE_ALL,$DF868,$L$19),TRIM(SUBSTITUTE(SUBSTITUTE(SUBSTITUTE(SUBSTITUTE(INDEX(PASTE_ALL,$DF868,$L$19)," "," "),CHAR(9)," "),CHAR(10)," "),CHAR(13)," "))),"")))</f>
        <v/>
      </c>
      <c r="ED868">
        <f>IF($DM868=0,"",MATCH(1,INDEX(EXACT($DH$5:DH868,$DH868)*$DM$5:DM868,0),0))</f>
        <v/>
      </c>
      <c r="EE868">
        <f>IF($DM868=0,0,IF($ED868=$DE868,1,0))</f>
        <v/>
      </c>
      <c r="EF868">
        <f>EF867+$EE868</f>
        <v/>
      </c>
      <c r="EG868">
        <f>IF($DM868=0,"",INDEX($EF$5:$EF$1003,$ED868))</f>
        <v/>
      </c>
      <c r="EH868">
        <f>IF($DM868=0,"",IF($DO868&lt;&gt;"","",IFERROR(LOOKUP(2,1/(($EG$4:EG867=$EG868)*($DO$4:DO867&lt;&gt;"")),$DO$4:DO867),"")))</f>
        <v/>
      </c>
      <c r="EI868">
        <f>IF($DM868=0,"",IF($DO868&lt;&gt;"",$DO868,$EH868))</f>
        <v/>
      </c>
      <c r="EJ868">
        <f>IF($DM868=0,"",IF($EI868="",0,IF(OR(ISNUMBER($EI868),AND(AND(SUBSTITUTE(SUBSTITUTE(SUBSTITUTE(SUBSTITUTE(SUBSTITUTE(SUBSTITUTE(SUBSTITUTE(SUBSTITUTE(SUBSTITUTE(SUBSTITUTE(SUBSTITUTE(SUBSTITUTE(SUBSTITUTE(SUBSTITUTE(UPPER($EI868),"0",""),"1",""),"2",""),"3",""),"4",""),"5",""),"6",""),"7",""),"8",""),"9",""),".",""),"+",""),"-",""),"E","")="",LEN(SUBSTITUTE(SUBSTITUTE(MID(UPPER($EI868),1+OR(LEFT(UPPER($EI868),1)="+",LEFT(UPPER($EI868),1)="-"),999),"E+","E"),"E-","E"))=LEN(SUBSTITUTE(SUBSTITUTE(SUBSTITUTE(SUBSTITUTE(MID(UPPER($EI868),1+OR(LEFT(UPPER($EI868),1)="+",LEFT(UPPER($EI868),1)="-"),999),"E+","E"),"E-","E"),"+",""),"-","")),LEN(UPPER($EI868))-LEN(SUBSTITUTE(UPPER($EI868),"E",""))&lt;2,LEN(UPPER($EI868))-LEN(SUBSTITUTE(UPPER($EI868),".",""))&lt;2,IFERROR(FIND(".",UPPER($EI868)),0)&lt;IFERROR(FIND("E",UPPER($EI868)),999)),ISNUMBER(VALUE($EI868)))),1,2)))</f>
        <v/>
      </c>
      <c r="EK868">
        <f>IF($DM868=0,"",IF($EJ868=1,IF(ISNUMBER($EI868),$EI868,VALUE($EI868)),IF($EJ868=2,$DE868,0)))</f>
        <v/>
      </c>
      <c r="EL868">
        <f>IF($DM868=0,"",COUNTIF($EG$5:$EG$1003,"&lt;"&amp;$EG868)+SUMPRODUCT(($EG$5:$EG$1003=$EG868)*(($EJ$5:$EJ$1003&lt;$EJ868)+($EJ$5:$EJ$1003=$EJ868)*(($EK$5:$EK$1003&lt;$EK868)+($EK$5:$EK$1003=$EK868)*($DE$5:$DE$1003&lt;$DE868))))+1)</f>
        <v/>
      </c>
      <c r="EM868">
        <f>IF($DM868=0,"",$EL868+$EG868-1)</f>
        <v/>
      </c>
      <c r="EN868">
        <f>IF($DM868=0,0,IFERROR(MATCH(1,INDEX(--(TRIM(SUBSTITUTE(SUBSTITUTE(SUBSTITUTE(SUBSTITUTE(LINES_NAME&amp;""," "," "),CHAR(9)," "),CHAR(10)," "),CHAR(13)," "))=$DH868),0),0),0))</f>
        <v/>
      </c>
      <c r="EO868">
        <f>IF($EN868=0,0,IF(OR(UPPER(TRIM(INDEX(LINES_SCHEDULED,$EN868)&amp;""))="YES",UPPER(TRIM(INDEX(LINES_SCHEDULED,$EN868)&amp;""))="Y",UPPER(TRIM(INDEX(LINES_SCHEDULED,$EN868)&amp;""))="X"),1,0))</f>
        <v/>
      </c>
      <c r="EP868">
        <f>IF($DM868=0,"",IF(COUNTIFS($EG$5:$EG$1003,$EG868,$EB$5:$EB$1003,"Ready")&gt;0,"READY",IF(COUNTIFS($EG$5:$EG$1003,$EG868,$EB$5:$EB$1003,"PM")&gt;0,"PM",IF(COUNTIFS($EG$5:$EG$1003,$EG868,$EB$5:$EB$1003,"OT")&gt;0,"OT",""))))</f>
        <v/>
      </c>
      <c r="EQ868">
        <f>IF($EN868=0,"",UPPER(TRIM(INDEX(LINES_STATUS,$EN868)&amp;"")))</f>
        <v/>
      </c>
      <c r="ER868">
        <f>IF($DM868=0,"",IF(OR($EQ868="READY",$EQ868="PM",$EQ868="OT"),$EQ868,$EP868))</f>
        <v/>
      </c>
      <c r="ES868">
        <f>IF($DM868=0,"",IF(AND($DV868&lt;&gt;"",UPPER($DV868)&lt;&gt;"N"),"allergen",IF(ISNUMBER(SEARCH("oil",$DQ868)),"oil",IF(OR(EXACT($DS868,"A662"),EXACT($DS868,"A624")),"bulk",""))))</f>
        <v/>
      </c>
      <c r="ET868">
        <f>IF($DM868=0,"",IF(OR($EA868="",$EA868=0),"",$EA868/100))</f>
        <v/>
      </c>
      <c r="EU868">
        <f>IF(OR($ET868="",$DY868=""),"",INT($DY868*(1-$ET868)+0.5))</f>
        <v/>
      </c>
    </row>
    <row r="869">
      <c r="DA869" t="n">
        <v>865</v>
      </c>
      <c r="DB869">
        <f>IF($B$37=0,"",IFERROR(TRIM(SUBSTITUTE(SUBSTITUTE(SUBSTITUTE(SUBSTITUTE(INDEX(PASTE_ALL,865,$B$37)," "," "),CHAR(9)," "),CHAR(10)," "),CHAR(13)," ")),""))</f>
        <v/>
      </c>
      <c r="DC869">
        <f>IF(AND(865&gt;HEADER_ROW,UPPER(DB869)="LEGEND"),1,0)</f>
        <v/>
      </c>
      <c r="DE869" t="n">
        <v>865</v>
      </c>
      <c r="DF869">
        <f>HEADER_ROW+$DE869</f>
        <v/>
      </c>
      <c r="DG869">
        <f>IF(AND($DF869&lt;=1000,$DF869&lt;$B$8),1,0)</f>
        <v/>
      </c>
      <c r="DH869">
        <f>IF($DG869=1,IFERROR(INDEX($DB$5:$DB$1004,$DF869),""),"")</f>
        <v/>
      </c>
      <c r="DI869">
        <f>IF(AND($DG869=1,$DH869&lt;&gt;""),IFERROR(SUBSTITUTE(SUBSTITUTE(TRIM(SUBSTITUTE(SUBSTITUTE(SUBSTITUTE(SUBSTITUTE(IFERROR(INDEX(PASTE_ALL,$DF869,1)&amp;"","")&amp;"␟"&amp;IFERROR(INDEX(PASTE_ALL,$DF869,2)&amp;"","")&amp;"␟"&amp;IFERROR(INDEX(PASTE_ALL,$DF869,3)&amp;"","")&amp;"␟"&amp;IFERROR(INDEX(PASTE_ALL,$DF869,4)&amp;"","")&amp;"␟"&amp;IFERROR(INDEX(PASTE_ALL,$DF869,5)&amp;"","")&amp;"␟"&amp;IFERROR(INDEX(PASTE_ALL,$DF869,6)&amp;"","")&amp;"␟"&amp;IFERROR(INDEX(PASTE_ALL,$DF869,7)&amp;"","")&amp;"␟"&amp;IFERROR(INDEX(PASTE_ALL,$DF869,8)&amp;"","")&amp;"␟"&amp;IFERROR(INDEX(PASTE_ALL,$DF869,9)&amp;"","")&amp;"␟"&amp;IFERROR(INDEX(PASTE_ALL,$DF869,10)&amp;"","")&amp;"␟"&amp;IFERROR(INDEX(PASTE_ALL,$DF869,11)&amp;"","")&amp;"␟"&amp;IFERROR(INDEX(PASTE_ALL,$DF869,12)&amp;"","")&amp;"␟"&amp;IFERROR(INDEX(PASTE_ALL,$DF869,13)&amp;"","")&amp;"␟"&amp;IFERROR(INDEX(PASTE_ALL,$DF869,14)&amp;"","")&amp;"␟"&amp;IFERROR(INDEX(PASTE_ALL,$DF869,15)&amp;"","")&amp;"␟"&amp;IFERROR(INDEX(PASTE_ALL,$DF869,16)&amp;"","")&amp;"␟"&amp;IFERROR(INDEX(PASTE_ALL,$DF869,17)&amp;"","")&amp;"␟"&amp;IFERROR(INDEX(PASTE_ALL,$DF869,18)&amp;"","")&amp;"␟"&amp;IFERROR(INDEX(PASTE_ALL,$DF869,19)&amp;"","")&amp;"␟"&amp;IFERROR(INDEX(PASTE_ALL,$DF869,20)&amp;"","")&amp;"␟"&amp;IFERROR(INDEX(PASTE_ALL,$DF869,21)&amp;"","")&amp;"␟"&amp;IFERROR(INDEX(PASTE_ALL,$DF869,22)&amp;"","")&amp;"␟"&amp;IFERROR(INDEX(PASTE_ALL,$DF869,23)&amp;"","")&amp;"␟"&amp;IFERROR(INDEX(PASTE_ALL,$DF869,24)&amp;"","")&amp;"␟"&amp;IFERROR(INDEX(PASTE_ALL,$DF869,25)&amp;"","")&amp;"␟"&amp;IFERROR(INDEX(PASTE_ALL,$DF869,26)&amp;"","")&amp;"␟"&amp;IFERROR(INDEX(PASTE_ALL,$DF869,27)&amp;"","")&amp;"␟"&amp;IFERROR(INDEX(PASTE_ALL,$DF869,28)&amp;"","")&amp;"␟"&amp;IFERROR(INDEX(PASTE_ALL,$DF869,29)&amp;"","")&amp;"␟"&amp;IFERROR(INDEX(PASTE_ALL,$DF869,30)&amp;"","")&amp;"␟"&amp;IFERROR(INDEX(PASTE_ALL,$DF869,31)&amp;"","")&amp;"␟"&amp;IFERROR(INDEX(PASTE_ALL,$DF869,32)&amp;"","")&amp;"␟"&amp;IFERROR(INDEX(PASTE_ALL,$DF869,33)&amp;"","")&amp;"␟"&amp;IFERROR(INDEX(PASTE_ALL,$DF869,34)&amp;"","")&amp;"␟"&amp;IFERROR(INDEX(PASTE_ALL,$DF869,35)&amp;"","")&amp;"␟"&amp;IFERROR(INDEX(PASTE_ALL,$DF869,36)&amp;"","")&amp;"␟"&amp;IFERROR(INDEX(PASTE_ALL,$DF869,37)&amp;"","")&amp;"␟"&amp;IFERROR(INDEX(PASTE_ALL,$DF869,38)&amp;"","")&amp;"␟"&amp;IFERROR(INDEX(PASTE_ALL,$DF869,39)&amp;"","")&amp;"␟"&amp;IFERROR(INDEX(PASTE_ALL,$DF869,40)&amp;"","")&amp;"␟"&amp;IFERROR(INDEX(PASTE_ALL,$DF869,41)&amp;"","")&amp;"␟"&amp;IFERROR(INDEX(PASTE_ALL,$DF869,42)&amp;"","")&amp;"␟"&amp;IFERROR(INDEX(PASTE_ALL,$DF869,43)&amp;"","")&amp;"␟"&amp;IFERROR(INDEX(PASTE_ALL,$DF869,44)&amp;"","")&amp;"␟"&amp;IFERROR(INDEX(PASTE_ALL,$DF869,45)&amp;"","")&amp;"␟"&amp;IFERROR(INDEX(PASTE_ALL,$DF869,46)&amp;"","")&amp;"␟"&amp;IFERROR(INDEX(PASTE_ALL,$DF869,47)&amp;"","")&amp;"␟"&amp;IFERROR(INDEX(PASTE_ALL,$DF869,48)&amp;"","")&amp;"␟"&amp;IFERROR(INDEX(PASTE_ALL,$DF869,49)&amp;"","")&amp;"␟"&amp;IFERROR(INDEX(PASTE_ALL,$DF869,50)&amp;"","")&amp;"␟"&amp;IFERROR(INDEX(PASTE_ALL,$DF869,51)&amp;"","")&amp;"␟"&amp;IFERROR(INDEX(PASTE_ALL,$DF869,52)&amp;"","")&amp;"␟"&amp;IFERROR(INDEX(PASTE_ALL,$DF869,53)&amp;"","")&amp;"␟"&amp;IFERROR(INDEX(PASTE_ALL,$DF869,54)&amp;"","")&amp;"␟"&amp;IFERROR(INDEX(PASTE_ALL,$DF869,55)&amp;"","")&amp;"␟"&amp;IFERROR(INDEX(PASTE_ALL,$DF869,56)&amp;"","")&amp;"␟"&amp;IFERROR(INDEX(PASTE_ALL,$DF869,57)&amp;"","")&amp;"␟"&amp;IFERROR(INDEX(PASTE_ALL,$DF869,58)&amp;"","")&amp;"␟"&amp;IFERROR(INDEX(PASTE_ALL,$DF869,59)&amp;"","")&amp;"␟"&amp;IFERROR(INDEX(PASTE_ALL,$DF869,60)&amp;"","")," "," "),CHAR(9)," "),CHAR(10)," "),CHAR(13)," "))," ␟","␟"),"␟ ","␟"),"#"&amp;$DE869),"")</f>
        <v/>
      </c>
      <c r="DJ869">
        <f>IF($DI869="",0,IF(SUMPRODUCT(--EXACT($DI$4:DI868,$DI869))&gt;0,1,0))</f>
        <v/>
      </c>
      <c r="DK869">
        <f>IF(AND($DI869&lt;&gt;"",$DJ869=0),1,0)</f>
        <v/>
      </c>
      <c r="DL869">
        <f>DL868+$DK869</f>
        <v/>
      </c>
      <c r="DM869">
        <f>IF(AND($DK869=1,$DL869&lt;=600),1,0)</f>
        <v/>
      </c>
      <c r="DN869">
        <f>IF($DM869=0,"",IF($L$6=0,"",IFERROR(IF(ISNUMBER(INDEX(PASTE_ALL,$DF869,$L$6)),INDEX(PASTE_ALL,$DF869,$L$6),TRIM(SUBSTITUTE(SUBSTITUTE(SUBSTITUTE(SUBSTITUTE(INDEX(PASTE_ALL,$DF869,$L$6)," "," "),CHAR(9)," "),CHAR(10)," "),CHAR(13)," "))),"")))</f>
        <v/>
      </c>
      <c r="DO869">
        <f>IF($DM869=0,"",IF($L$7=0,"",IFERROR(IF(ISNUMBER(INDEX(PASTE_ALL,$DF869,$L$7)),INDEX(PASTE_ALL,$DF869,$L$7),TRIM(SUBSTITUTE(SUBSTITUTE(SUBSTITUTE(SUBSTITUTE(INDEX(PASTE_ALL,$DF869,$L$7)," "," "),CHAR(9)," "),CHAR(10)," "),CHAR(13)," "))),"")))</f>
        <v/>
      </c>
      <c r="DP869">
        <f>IF($DM869=0,"",IF($L$8=0,"",IFERROR(IF(ISNUMBER(INDEX(PASTE_ALL,$DF869,$L$8)),INDEX(PASTE_ALL,$DF869,$L$8),TRIM(SUBSTITUTE(SUBSTITUTE(SUBSTITUTE(SUBSTITUTE(INDEX(PASTE_ALL,$DF869,$L$8)," "," "),CHAR(9)," "),CHAR(10)," "),CHAR(13)," "))),"")))</f>
        <v/>
      </c>
      <c r="DQ869">
        <f>IF($DM869=0,"",IF($L$9=0,"",IFERROR(IF(ISNUMBER(INDEX(PASTE_ALL,$DF869,$L$9)),INDEX(PASTE_ALL,$DF869,$L$9),TRIM(SUBSTITUTE(SUBSTITUTE(SUBSTITUTE(SUBSTITUTE(INDEX(PASTE_ALL,$DF869,$L$9)," "," "),CHAR(9)," "),CHAR(10)," "),CHAR(13)," "))),"")))</f>
        <v/>
      </c>
      <c r="DR869">
        <f>IF($DM869=0,"",IF($L$10=0,"",IFERROR(IF(ISNUMBER(INDEX(PASTE_ALL,$DF869,$L$10)),INDEX(PASTE_ALL,$DF869,$L$10),TRIM(SUBSTITUTE(SUBSTITUTE(SUBSTITUTE(SUBSTITUTE(INDEX(PASTE_ALL,$DF869,$L$10)," "," "),CHAR(9)," "),CHAR(10)," "),CHAR(13)," "))),"")))</f>
        <v/>
      </c>
      <c r="DS869">
        <f>IF($DM869=0,"",IF($L$11=0,"",IFERROR(IF(ISNUMBER(INDEX(PASTE_ALL,$DF869,$L$11)),INDEX(PASTE_ALL,$DF869,$L$11),TRIM(SUBSTITUTE(SUBSTITUTE(SUBSTITUTE(SUBSTITUTE(INDEX(PASTE_ALL,$DF869,$L$11)," "," "),CHAR(9)," "),CHAR(10)," "),CHAR(13)," "))),"")))</f>
        <v/>
      </c>
      <c r="DT869">
        <f>IF($DM869=0,"",IF($L$12=0,"",IFERROR(IF(ISNUMBER(INDEX(PASTE_ALL,$DF869,$L$12)),INDEX(PASTE_ALL,$DF869,$L$12),TRIM(SUBSTITUTE(SUBSTITUTE(SUBSTITUTE(SUBSTITUTE(INDEX(PASTE_ALL,$DF869,$L$12)," "," "),CHAR(9)," "),CHAR(10)," "),CHAR(13)," "))),"")))</f>
        <v/>
      </c>
      <c r="DU869">
        <f>IF($DM869=0,"",IF($L$13=0,"",IFERROR(IF(ISNUMBER(INDEX(PASTE_ALL,$DF869,$L$13)),INDEX(PASTE_ALL,$DF869,$L$13),TRIM(SUBSTITUTE(SUBSTITUTE(SUBSTITUTE(SUBSTITUTE(INDEX(PASTE_ALL,$DF869,$L$13)," "," "),CHAR(9)," "),CHAR(10)," "),CHAR(13)," "))),"")))</f>
        <v/>
      </c>
      <c r="DV869">
        <f>IF($DM869=0,"",IF($L$14=0,"",IFERROR(IF(ISNUMBER(INDEX(PASTE_ALL,$DF869,$L$14)),INDEX(PASTE_ALL,$DF869,$L$14),TRIM(SUBSTITUTE(SUBSTITUTE(SUBSTITUTE(SUBSTITUTE(INDEX(PASTE_ALL,$DF869,$L$14)," "," "),CHAR(9)," "),CHAR(10)," "),CHAR(13)," "))),"")))</f>
        <v/>
      </c>
      <c r="DW869">
        <f>IF($DM869=0,"",IF($L$15=0,"",IFERROR(IF(ISNUMBER(INDEX(PASTE_ALL,$DF869,$L$15)),INDEX(PASTE_ALL,$DF869,$L$15),IF(SUMPRODUCT(--ISNUMBER(FIND({"A","B","C","D","E","F","G","H","I","J","K","L","M","N","O","P","Q","R","S","T","U","V","W","X","Y","Z","0","1","2","3","4","5","6","7","8","9"},UPPER(TRIM(SUBSTITUTE(SUBSTITUTE(SUBSTITUTE(SUBSTITUTE(INDEX(PASTE_ALL,$DF869,$L$15)," "," "),CHAR(9)," "),CHAR(10)," "),CHAR(13)," "))))))&gt;0,TRIM(SUBSTITUTE(SUBSTITUTE(SUBSTITUTE(SUBSTITUTE(INDEX(PASTE_ALL,$DF869,$L$15)," "," "),CHAR(9)," "),CHAR(10)," "),CHAR(13)," ")),"")),"")))</f>
        <v/>
      </c>
      <c r="DX869">
        <f>IF($DM869=0,"",IF($L$16=0,"",IFERROR(IF(ISNUMBER(INDEX(PASTE_ALL,$DF869,$L$16)),INDEX(PASTE_ALL,$DF869,$L$16),SUBSTITUTE(SUBSTITUTE(TRIM(SUBSTITUTE(SUBSTITUTE(SUBSTITUTE(SUBSTITUTE(INDEX(PASTE_ALL,$DF869,$L$16)," "," "),CHAR(9)," "),CHAR(10)," "),CHAR(13)," ")),",",""),"%","")),"")))</f>
        <v/>
      </c>
      <c r="DY869">
        <f>IF($DM869=0,"",IFERROR(IF(ISNUMBER($DX869),$DX869,IF($DX869="","",IF(TRIM($DX869)="",0,IF(AND(AND(SUBSTITUTE(SUBSTITUTE(SUBSTITUTE(SUBSTITUTE(SUBSTITUTE(SUBSTITUTE(SUBSTITUTE(SUBSTITUTE(SUBSTITUTE(SUBSTITUTE(SUBSTITUTE(SUBSTITUTE(SUBSTITUTE(SUBSTITUTE(UPPER(TRIM($DX869)),"0",""),"1",""),"2",""),"3",""),"4",""),"5",""),"6",""),"7",""),"8",""),"9",""),".",""),"+",""),"-",""),"E","")="",LEN(SUBSTITUTE(SUBSTITUTE(MID(UPPER(TRIM($DX869)),1+OR(LEFT(UPPER(TRIM($DX869)),1)="+",LEFT(UPPER(TRIM($DX869)),1)="-"),999),"E+","E"),"E-","E"))=LEN(SUBSTITUTE(SUBSTITUTE(SUBSTITUTE(SUBSTITUTE(MID(UPPER(TRIM($DX869)),1+OR(LEFT(UPPER(TRIM($DX869)),1)="+",LEFT(UPPER(TRIM($DX869)),1)="-"),999),"E+","E"),"E-","E"),"+",""),"-","")),LEN(UPPER(TRIM($DX869)))-LEN(SUBSTITUTE(UPPER(TRIM($DX869)),"E",""))&lt;2,LEN(UPPER(TRIM($DX869)))-LEN(SUBSTITUTE(UPPER(TRIM($DX869)),".",""))&lt;2,IFERROR(FIND(".",UPPER(TRIM($DX869))),0)&lt;IFERROR(FIND("E",UPPER(TRIM($DX869))),999)),ISNUMBER(VALUE(TRIM($DX869)))),VALUE(TRIM($DX869)),"")))),""))</f>
        <v/>
      </c>
      <c r="DZ869">
        <f>IF($DM869=0,"",IF($L$17=0,"",IFERROR(IF(ISNUMBER(INDEX(PASTE_ALL,$DF869,$L$17)),INDEX(PASTE_ALL,$DF869,$L$17),SUBSTITUTE(SUBSTITUTE(TRIM(SUBSTITUTE(SUBSTITUTE(SUBSTITUTE(SUBSTITUTE(INDEX(PASTE_ALL,$DF869,$L$17)," "," "),CHAR(9)," "),CHAR(10)," "),CHAR(13)," ")),",",""),"%","")),"")))</f>
        <v/>
      </c>
      <c r="EA869">
        <f>IF($DM869=0,"",IFERROR(IF(ISNUMBER($DZ869),$DZ869,IF($DZ869="","",IF(TRIM($DZ869)="",0,IF(AND(AND(SUBSTITUTE(SUBSTITUTE(SUBSTITUTE(SUBSTITUTE(SUBSTITUTE(SUBSTITUTE(SUBSTITUTE(SUBSTITUTE(SUBSTITUTE(SUBSTITUTE(SUBSTITUTE(SUBSTITUTE(SUBSTITUTE(SUBSTITUTE(UPPER(TRIM($DZ869)),"0",""),"1",""),"2",""),"3",""),"4",""),"5",""),"6",""),"7",""),"8",""),"9",""),".",""),"+",""),"-",""),"E","")="",LEN(SUBSTITUTE(SUBSTITUTE(MID(UPPER(TRIM($DZ869)),1+OR(LEFT(UPPER(TRIM($DZ869)),1)="+",LEFT(UPPER(TRIM($DZ869)),1)="-"),999),"E+","E"),"E-","E"))=LEN(SUBSTITUTE(SUBSTITUTE(SUBSTITUTE(SUBSTITUTE(MID(UPPER(TRIM($DZ869)),1+OR(LEFT(UPPER(TRIM($DZ869)),1)="+",LEFT(UPPER(TRIM($DZ869)),1)="-"),999),"E+","E"),"E-","E"),"+",""),"-","")),LEN(UPPER(TRIM($DZ869)))-LEN(SUBSTITUTE(UPPER(TRIM($DZ869)),"E",""))&lt;2,LEN(UPPER(TRIM($DZ869)))-LEN(SUBSTITUTE(UPPER(TRIM($DZ869)),".",""))&lt;2,IFERROR(FIND(".",UPPER(TRIM($DZ869))),0)&lt;IFERROR(FIND("E",UPPER(TRIM($DZ869))),999)),ISNUMBER(VALUE(TRIM($DZ869)))),VALUE(TRIM($DZ869)),"")))),""))</f>
        <v/>
      </c>
      <c r="EB869">
        <f>IF($DM869=0,"",IF($L$18=0,"",IFERROR(IF(UPPER(TRIM(SUBSTITUTE(SUBSTITUTE(SUBSTITUTE(SUBSTITUTE(INDEX(PASTE_ALL,$DF869,$L$18)," "," "),CHAR(9)," "),CHAR(10)," "),CHAR(13)," ")))="READY","Ready",IF(UPPER(TRIM(SUBSTITUTE(SUBSTITUTE(SUBSTITUTE(SUBSTITUTE(INDEX(PASTE_ALL,$DF869,$L$18)," "," "),CHAR(9)," "),CHAR(10)," "),CHAR(13)," ")))="PM","PM",IF(OR(UPPER(TRIM(SUBSTITUTE(SUBSTITUTE(SUBSTITUTE(SUBSTITUTE(INDEX(PASTE_ALL,$DF869,$L$18)," "," "),CHAR(9)," "),CHAR(10)," "),CHAR(13)," ")))="OT",UPPER(TRIM(SUBSTITUTE(SUBSTITUTE(SUBSTITUTE(SUBSTITUTE(INDEX(PASTE_ALL,$DF869,$L$18)," "," "),CHAR(9)," "),CHAR(10)," "),CHAR(13)," ")))="OVERTIME",UPPER(TRIM(SUBSTITUTE(SUBSTITUTE(SUBSTITUTE(SUBSTITUTE(INDEX(PASTE_ALL,$DF869,$L$18)," "," "),CHAR(9)," "),CHAR(10)," "),CHAR(13)," ")))="TRIAL"),"OT",TRIM(SUBSTITUTE(SUBSTITUTE(SUBSTITUTE(SUBSTITUTE(INDEX(PASTE_ALL,$DF869,$L$18)," "," "),CHAR(9)," "),CHAR(10)," "),CHAR(13)," "))))),"")))</f>
        <v/>
      </c>
      <c r="EC869">
        <f>IF($DM869=0,"",IF($L$19=0,"",IFERROR(IF(ISNUMBER(INDEX(PASTE_ALL,$DF869,$L$19)),INDEX(PASTE_ALL,$DF869,$L$19),TRIM(SUBSTITUTE(SUBSTITUTE(SUBSTITUTE(SUBSTITUTE(INDEX(PASTE_ALL,$DF869,$L$19)," "," "),CHAR(9)," "),CHAR(10)," "),CHAR(13)," "))),"")))</f>
        <v/>
      </c>
      <c r="ED869">
        <f>IF($DM869=0,"",MATCH(1,INDEX(EXACT($DH$5:DH869,$DH869)*$DM$5:DM869,0),0))</f>
        <v/>
      </c>
      <c r="EE869">
        <f>IF($DM869=0,0,IF($ED869=$DE869,1,0))</f>
        <v/>
      </c>
      <c r="EF869">
        <f>EF868+$EE869</f>
        <v/>
      </c>
      <c r="EG869">
        <f>IF($DM869=0,"",INDEX($EF$5:$EF$1003,$ED869))</f>
        <v/>
      </c>
      <c r="EH869">
        <f>IF($DM869=0,"",IF($DO869&lt;&gt;"","",IFERROR(LOOKUP(2,1/(($EG$4:EG868=$EG869)*($DO$4:DO868&lt;&gt;"")),$DO$4:DO868),"")))</f>
        <v/>
      </c>
      <c r="EI869">
        <f>IF($DM869=0,"",IF($DO869&lt;&gt;"",$DO869,$EH869))</f>
        <v/>
      </c>
      <c r="EJ869">
        <f>IF($DM869=0,"",IF($EI869="",0,IF(OR(ISNUMBER($EI869),AND(AND(SUBSTITUTE(SUBSTITUTE(SUBSTITUTE(SUBSTITUTE(SUBSTITUTE(SUBSTITUTE(SUBSTITUTE(SUBSTITUTE(SUBSTITUTE(SUBSTITUTE(SUBSTITUTE(SUBSTITUTE(SUBSTITUTE(SUBSTITUTE(UPPER($EI869),"0",""),"1",""),"2",""),"3",""),"4",""),"5",""),"6",""),"7",""),"8",""),"9",""),".",""),"+",""),"-",""),"E","")="",LEN(SUBSTITUTE(SUBSTITUTE(MID(UPPER($EI869),1+OR(LEFT(UPPER($EI869),1)="+",LEFT(UPPER($EI869),1)="-"),999),"E+","E"),"E-","E"))=LEN(SUBSTITUTE(SUBSTITUTE(SUBSTITUTE(SUBSTITUTE(MID(UPPER($EI869),1+OR(LEFT(UPPER($EI869),1)="+",LEFT(UPPER($EI869),1)="-"),999),"E+","E"),"E-","E"),"+",""),"-","")),LEN(UPPER($EI869))-LEN(SUBSTITUTE(UPPER($EI869),"E",""))&lt;2,LEN(UPPER($EI869))-LEN(SUBSTITUTE(UPPER($EI869),".",""))&lt;2,IFERROR(FIND(".",UPPER($EI869)),0)&lt;IFERROR(FIND("E",UPPER($EI869)),999)),ISNUMBER(VALUE($EI869)))),1,2)))</f>
        <v/>
      </c>
      <c r="EK869">
        <f>IF($DM869=0,"",IF($EJ869=1,IF(ISNUMBER($EI869),$EI869,VALUE($EI869)),IF($EJ869=2,$DE869,0)))</f>
        <v/>
      </c>
      <c r="EL869">
        <f>IF($DM869=0,"",COUNTIF($EG$5:$EG$1003,"&lt;"&amp;$EG869)+SUMPRODUCT(($EG$5:$EG$1003=$EG869)*(($EJ$5:$EJ$1003&lt;$EJ869)+($EJ$5:$EJ$1003=$EJ869)*(($EK$5:$EK$1003&lt;$EK869)+($EK$5:$EK$1003=$EK869)*($DE$5:$DE$1003&lt;$DE869))))+1)</f>
        <v/>
      </c>
      <c r="EM869">
        <f>IF($DM869=0,"",$EL869+$EG869-1)</f>
        <v/>
      </c>
      <c r="EN869">
        <f>IF($DM869=0,0,IFERROR(MATCH(1,INDEX(--(TRIM(SUBSTITUTE(SUBSTITUTE(SUBSTITUTE(SUBSTITUTE(LINES_NAME&amp;""," "," "),CHAR(9)," "),CHAR(10)," "),CHAR(13)," "))=$DH869),0),0),0))</f>
        <v/>
      </c>
      <c r="EO869">
        <f>IF($EN869=0,0,IF(OR(UPPER(TRIM(INDEX(LINES_SCHEDULED,$EN869)&amp;""))="YES",UPPER(TRIM(INDEX(LINES_SCHEDULED,$EN869)&amp;""))="Y",UPPER(TRIM(INDEX(LINES_SCHEDULED,$EN869)&amp;""))="X"),1,0))</f>
        <v/>
      </c>
      <c r="EP869">
        <f>IF($DM869=0,"",IF(COUNTIFS($EG$5:$EG$1003,$EG869,$EB$5:$EB$1003,"Ready")&gt;0,"READY",IF(COUNTIFS($EG$5:$EG$1003,$EG869,$EB$5:$EB$1003,"PM")&gt;0,"PM",IF(COUNTIFS($EG$5:$EG$1003,$EG869,$EB$5:$EB$1003,"OT")&gt;0,"OT",""))))</f>
        <v/>
      </c>
      <c r="EQ869">
        <f>IF($EN869=0,"",UPPER(TRIM(INDEX(LINES_STATUS,$EN869)&amp;"")))</f>
        <v/>
      </c>
      <c r="ER869">
        <f>IF($DM869=0,"",IF(OR($EQ869="READY",$EQ869="PM",$EQ869="OT"),$EQ869,$EP869))</f>
        <v/>
      </c>
      <c r="ES869">
        <f>IF($DM869=0,"",IF(AND($DV869&lt;&gt;"",UPPER($DV869)&lt;&gt;"N"),"allergen",IF(ISNUMBER(SEARCH("oil",$DQ869)),"oil",IF(OR(EXACT($DS869,"A662"),EXACT($DS869,"A624")),"bulk",""))))</f>
        <v/>
      </c>
      <c r="ET869">
        <f>IF($DM869=0,"",IF(OR($EA869="",$EA869=0),"",$EA869/100))</f>
        <v/>
      </c>
      <c r="EU869">
        <f>IF(OR($ET869="",$DY869=""),"",INT($DY869*(1-$ET869)+0.5))</f>
        <v/>
      </c>
    </row>
    <row r="870">
      <c r="DA870" t="n">
        <v>866</v>
      </c>
      <c r="DB870">
        <f>IF($B$37=0,"",IFERROR(TRIM(SUBSTITUTE(SUBSTITUTE(SUBSTITUTE(SUBSTITUTE(INDEX(PASTE_ALL,866,$B$37)," "," "),CHAR(9)," "),CHAR(10)," "),CHAR(13)," ")),""))</f>
        <v/>
      </c>
      <c r="DC870">
        <f>IF(AND(866&gt;HEADER_ROW,UPPER(DB870)="LEGEND"),1,0)</f>
        <v/>
      </c>
      <c r="DE870" t="n">
        <v>866</v>
      </c>
      <c r="DF870">
        <f>HEADER_ROW+$DE870</f>
        <v/>
      </c>
      <c r="DG870">
        <f>IF(AND($DF870&lt;=1000,$DF870&lt;$B$8),1,0)</f>
        <v/>
      </c>
      <c r="DH870">
        <f>IF($DG870=1,IFERROR(INDEX($DB$5:$DB$1004,$DF870),""),"")</f>
        <v/>
      </c>
      <c r="DI870">
        <f>IF(AND($DG870=1,$DH870&lt;&gt;""),IFERROR(SUBSTITUTE(SUBSTITUTE(TRIM(SUBSTITUTE(SUBSTITUTE(SUBSTITUTE(SUBSTITUTE(IFERROR(INDEX(PASTE_ALL,$DF870,1)&amp;"","")&amp;"␟"&amp;IFERROR(INDEX(PASTE_ALL,$DF870,2)&amp;"","")&amp;"␟"&amp;IFERROR(INDEX(PASTE_ALL,$DF870,3)&amp;"","")&amp;"␟"&amp;IFERROR(INDEX(PASTE_ALL,$DF870,4)&amp;"","")&amp;"␟"&amp;IFERROR(INDEX(PASTE_ALL,$DF870,5)&amp;"","")&amp;"␟"&amp;IFERROR(INDEX(PASTE_ALL,$DF870,6)&amp;"","")&amp;"␟"&amp;IFERROR(INDEX(PASTE_ALL,$DF870,7)&amp;"","")&amp;"␟"&amp;IFERROR(INDEX(PASTE_ALL,$DF870,8)&amp;"","")&amp;"␟"&amp;IFERROR(INDEX(PASTE_ALL,$DF870,9)&amp;"","")&amp;"␟"&amp;IFERROR(INDEX(PASTE_ALL,$DF870,10)&amp;"","")&amp;"␟"&amp;IFERROR(INDEX(PASTE_ALL,$DF870,11)&amp;"","")&amp;"␟"&amp;IFERROR(INDEX(PASTE_ALL,$DF870,12)&amp;"","")&amp;"␟"&amp;IFERROR(INDEX(PASTE_ALL,$DF870,13)&amp;"","")&amp;"␟"&amp;IFERROR(INDEX(PASTE_ALL,$DF870,14)&amp;"","")&amp;"␟"&amp;IFERROR(INDEX(PASTE_ALL,$DF870,15)&amp;"","")&amp;"␟"&amp;IFERROR(INDEX(PASTE_ALL,$DF870,16)&amp;"","")&amp;"␟"&amp;IFERROR(INDEX(PASTE_ALL,$DF870,17)&amp;"","")&amp;"␟"&amp;IFERROR(INDEX(PASTE_ALL,$DF870,18)&amp;"","")&amp;"␟"&amp;IFERROR(INDEX(PASTE_ALL,$DF870,19)&amp;"","")&amp;"␟"&amp;IFERROR(INDEX(PASTE_ALL,$DF870,20)&amp;"","")&amp;"␟"&amp;IFERROR(INDEX(PASTE_ALL,$DF870,21)&amp;"","")&amp;"␟"&amp;IFERROR(INDEX(PASTE_ALL,$DF870,22)&amp;"","")&amp;"␟"&amp;IFERROR(INDEX(PASTE_ALL,$DF870,23)&amp;"","")&amp;"␟"&amp;IFERROR(INDEX(PASTE_ALL,$DF870,24)&amp;"","")&amp;"␟"&amp;IFERROR(INDEX(PASTE_ALL,$DF870,25)&amp;"","")&amp;"␟"&amp;IFERROR(INDEX(PASTE_ALL,$DF870,26)&amp;"","")&amp;"␟"&amp;IFERROR(INDEX(PASTE_ALL,$DF870,27)&amp;"","")&amp;"␟"&amp;IFERROR(INDEX(PASTE_ALL,$DF870,28)&amp;"","")&amp;"␟"&amp;IFERROR(INDEX(PASTE_ALL,$DF870,29)&amp;"","")&amp;"␟"&amp;IFERROR(INDEX(PASTE_ALL,$DF870,30)&amp;"","")&amp;"␟"&amp;IFERROR(INDEX(PASTE_ALL,$DF870,31)&amp;"","")&amp;"␟"&amp;IFERROR(INDEX(PASTE_ALL,$DF870,32)&amp;"","")&amp;"␟"&amp;IFERROR(INDEX(PASTE_ALL,$DF870,33)&amp;"","")&amp;"␟"&amp;IFERROR(INDEX(PASTE_ALL,$DF870,34)&amp;"","")&amp;"␟"&amp;IFERROR(INDEX(PASTE_ALL,$DF870,35)&amp;"","")&amp;"␟"&amp;IFERROR(INDEX(PASTE_ALL,$DF870,36)&amp;"","")&amp;"␟"&amp;IFERROR(INDEX(PASTE_ALL,$DF870,37)&amp;"","")&amp;"␟"&amp;IFERROR(INDEX(PASTE_ALL,$DF870,38)&amp;"","")&amp;"␟"&amp;IFERROR(INDEX(PASTE_ALL,$DF870,39)&amp;"","")&amp;"␟"&amp;IFERROR(INDEX(PASTE_ALL,$DF870,40)&amp;"","")&amp;"␟"&amp;IFERROR(INDEX(PASTE_ALL,$DF870,41)&amp;"","")&amp;"␟"&amp;IFERROR(INDEX(PASTE_ALL,$DF870,42)&amp;"","")&amp;"␟"&amp;IFERROR(INDEX(PASTE_ALL,$DF870,43)&amp;"","")&amp;"␟"&amp;IFERROR(INDEX(PASTE_ALL,$DF870,44)&amp;"","")&amp;"␟"&amp;IFERROR(INDEX(PASTE_ALL,$DF870,45)&amp;"","")&amp;"␟"&amp;IFERROR(INDEX(PASTE_ALL,$DF870,46)&amp;"","")&amp;"␟"&amp;IFERROR(INDEX(PASTE_ALL,$DF870,47)&amp;"","")&amp;"␟"&amp;IFERROR(INDEX(PASTE_ALL,$DF870,48)&amp;"","")&amp;"␟"&amp;IFERROR(INDEX(PASTE_ALL,$DF870,49)&amp;"","")&amp;"␟"&amp;IFERROR(INDEX(PASTE_ALL,$DF870,50)&amp;"","")&amp;"␟"&amp;IFERROR(INDEX(PASTE_ALL,$DF870,51)&amp;"","")&amp;"␟"&amp;IFERROR(INDEX(PASTE_ALL,$DF870,52)&amp;"","")&amp;"␟"&amp;IFERROR(INDEX(PASTE_ALL,$DF870,53)&amp;"","")&amp;"␟"&amp;IFERROR(INDEX(PASTE_ALL,$DF870,54)&amp;"","")&amp;"␟"&amp;IFERROR(INDEX(PASTE_ALL,$DF870,55)&amp;"","")&amp;"␟"&amp;IFERROR(INDEX(PASTE_ALL,$DF870,56)&amp;"","")&amp;"␟"&amp;IFERROR(INDEX(PASTE_ALL,$DF870,57)&amp;"","")&amp;"␟"&amp;IFERROR(INDEX(PASTE_ALL,$DF870,58)&amp;"","")&amp;"␟"&amp;IFERROR(INDEX(PASTE_ALL,$DF870,59)&amp;"","")&amp;"␟"&amp;IFERROR(INDEX(PASTE_ALL,$DF870,60)&amp;"","")," "," "),CHAR(9)," "),CHAR(10)," "),CHAR(13)," "))," ␟","␟"),"␟ ","␟"),"#"&amp;$DE870),"")</f>
        <v/>
      </c>
      <c r="DJ870">
        <f>IF($DI870="",0,IF(SUMPRODUCT(--EXACT($DI$4:DI869,$DI870))&gt;0,1,0))</f>
        <v/>
      </c>
      <c r="DK870">
        <f>IF(AND($DI870&lt;&gt;"",$DJ870=0),1,0)</f>
        <v/>
      </c>
      <c r="DL870">
        <f>DL869+$DK870</f>
        <v/>
      </c>
      <c r="DM870">
        <f>IF(AND($DK870=1,$DL870&lt;=600),1,0)</f>
        <v/>
      </c>
      <c r="DN870">
        <f>IF($DM870=0,"",IF($L$6=0,"",IFERROR(IF(ISNUMBER(INDEX(PASTE_ALL,$DF870,$L$6)),INDEX(PASTE_ALL,$DF870,$L$6),TRIM(SUBSTITUTE(SUBSTITUTE(SUBSTITUTE(SUBSTITUTE(INDEX(PASTE_ALL,$DF870,$L$6)," "," "),CHAR(9)," "),CHAR(10)," "),CHAR(13)," "))),"")))</f>
        <v/>
      </c>
      <c r="DO870">
        <f>IF($DM870=0,"",IF($L$7=0,"",IFERROR(IF(ISNUMBER(INDEX(PASTE_ALL,$DF870,$L$7)),INDEX(PASTE_ALL,$DF870,$L$7),TRIM(SUBSTITUTE(SUBSTITUTE(SUBSTITUTE(SUBSTITUTE(INDEX(PASTE_ALL,$DF870,$L$7)," "," "),CHAR(9)," "),CHAR(10)," "),CHAR(13)," "))),"")))</f>
        <v/>
      </c>
      <c r="DP870">
        <f>IF($DM870=0,"",IF($L$8=0,"",IFERROR(IF(ISNUMBER(INDEX(PASTE_ALL,$DF870,$L$8)),INDEX(PASTE_ALL,$DF870,$L$8),TRIM(SUBSTITUTE(SUBSTITUTE(SUBSTITUTE(SUBSTITUTE(INDEX(PASTE_ALL,$DF870,$L$8)," "," "),CHAR(9)," "),CHAR(10)," "),CHAR(13)," "))),"")))</f>
        <v/>
      </c>
      <c r="DQ870">
        <f>IF($DM870=0,"",IF($L$9=0,"",IFERROR(IF(ISNUMBER(INDEX(PASTE_ALL,$DF870,$L$9)),INDEX(PASTE_ALL,$DF870,$L$9),TRIM(SUBSTITUTE(SUBSTITUTE(SUBSTITUTE(SUBSTITUTE(INDEX(PASTE_ALL,$DF870,$L$9)," "," "),CHAR(9)," "),CHAR(10)," "),CHAR(13)," "))),"")))</f>
        <v/>
      </c>
      <c r="DR870">
        <f>IF($DM870=0,"",IF($L$10=0,"",IFERROR(IF(ISNUMBER(INDEX(PASTE_ALL,$DF870,$L$10)),INDEX(PASTE_ALL,$DF870,$L$10),TRIM(SUBSTITUTE(SUBSTITUTE(SUBSTITUTE(SUBSTITUTE(INDEX(PASTE_ALL,$DF870,$L$10)," "," "),CHAR(9)," "),CHAR(10)," "),CHAR(13)," "))),"")))</f>
        <v/>
      </c>
      <c r="DS870">
        <f>IF($DM870=0,"",IF($L$11=0,"",IFERROR(IF(ISNUMBER(INDEX(PASTE_ALL,$DF870,$L$11)),INDEX(PASTE_ALL,$DF870,$L$11),TRIM(SUBSTITUTE(SUBSTITUTE(SUBSTITUTE(SUBSTITUTE(INDEX(PASTE_ALL,$DF870,$L$11)," "," "),CHAR(9)," "),CHAR(10)," "),CHAR(13)," "))),"")))</f>
        <v/>
      </c>
      <c r="DT870">
        <f>IF($DM870=0,"",IF($L$12=0,"",IFERROR(IF(ISNUMBER(INDEX(PASTE_ALL,$DF870,$L$12)),INDEX(PASTE_ALL,$DF870,$L$12),TRIM(SUBSTITUTE(SUBSTITUTE(SUBSTITUTE(SUBSTITUTE(INDEX(PASTE_ALL,$DF870,$L$12)," "," "),CHAR(9)," "),CHAR(10)," "),CHAR(13)," "))),"")))</f>
        <v/>
      </c>
      <c r="DU870">
        <f>IF($DM870=0,"",IF($L$13=0,"",IFERROR(IF(ISNUMBER(INDEX(PASTE_ALL,$DF870,$L$13)),INDEX(PASTE_ALL,$DF870,$L$13),TRIM(SUBSTITUTE(SUBSTITUTE(SUBSTITUTE(SUBSTITUTE(INDEX(PASTE_ALL,$DF870,$L$13)," "," "),CHAR(9)," "),CHAR(10)," "),CHAR(13)," "))),"")))</f>
        <v/>
      </c>
      <c r="DV870">
        <f>IF($DM870=0,"",IF($L$14=0,"",IFERROR(IF(ISNUMBER(INDEX(PASTE_ALL,$DF870,$L$14)),INDEX(PASTE_ALL,$DF870,$L$14),TRIM(SUBSTITUTE(SUBSTITUTE(SUBSTITUTE(SUBSTITUTE(INDEX(PASTE_ALL,$DF870,$L$14)," "," "),CHAR(9)," "),CHAR(10)," "),CHAR(13)," "))),"")))</f>
        <v/>
      </c>
      <c r="DW870">
        <f>IF($DM870=0,"",IF($L$15=0,"",IFERROR(IF(ISNUMBER(INDEX(PASTE_ALL,$DF870,$L$15)),INDEX(PASTE_ALL,$DF870,$L$15),IF(SUMPRODUCT(--ISNUMBER(FIND({"A","B","C","D","E","F","G","H","I","J","K","L","M","N","O","P","Q","R","S","T","U","V","W","X","Y","Z","0","1","2","3","4","5","6","7","8","9"},UPPER(TRIM(SUBSTITUTE(SUBSTITUTE(SUBSTITUTE(SUBSTITUTE(INDEX(PASTE_ALL,$DF870,$L$15)," "," "),CHAR(9)," "),CHAR(10)," "),CHAR(13)," "))))))&gt;0,TRIM(SUBSTITUTE(SUBSTITUTE(SUBSTITUTE(SUBSTITUTE(INDEX(PASTE_ALL,$DF870,$L$15)," "," "),CHAR(9)," "),CHAR(10)," "),CHAR(13)," ")),"")),"")))</f>
        <v/>
      </c>
      <c r="DX870">
        <f>IF($DM870=0,"",IF($L$16=0,"",IFERROR(IF(ISNUMBER(INDEX(PASTE_ALL,$DF870,$L$16)),INDEX(PASTE_ALL,$DF870,$L$16),SUBSTITUTE(SUBSTITUTE(TRIM(SUBSTITUTE(SUBSTITUTE(SUBSTITUTE(SUBSTITUTE(INDEX(PASTE_ALL,$DF870,$L$16)," "," "),CHAR(9)," "),CHAR(10)," "),CHAR(13)," ")),",",""),"%","")),"")))</f>
        <v/>
      </c>
      <c r="DY870">
        <f>IF($DM870=0,"",IFERROR(IF(ISNUMBER($DX870),$DX870,IF($DX870="","",IF(TRIM($DX870)="",0,IF(AND(AND(SUBSTITUTE(SUBSTITUTE(SUBSTITUTE(SUBSTITUTE(SUBSTITUTE(SUBSTITUTE(SUBSTITUTE(SUBSTITUTE(SUBSTITUTE(SUBSTITUTE(SUBSTITUTE(SUBSTITUTE(SUBSTITUTE(SUBSTITUTE(UPPER(TRIM($DX870)),"0",""),"1",""),"2",""),"3",""),"4",""),"5",""),"6",""),"7",""),"8",""),"9",""),".",""),"+",""),"-",""),"E","")="",LEN(SUBSTITUTE(SUBSTITUTE(MID(UPPER(TRIM($DX870)),1+OR(LEFT(UPPER(TRIM($DX870)),1)="+",LEFT(UPPER(TRIM($DX870)),1)="-"),999),"E+","E"),"E-","E"))=LEN(SUBSTITUTE(SUBSTITUTE(SUBSTITUTE(SUBSTITUTE(MID(UPPER(TRIM($DX870)),1+OR(LEFT(UPPER(TRIM($DX870)),1)="+",LEFT(UPPER(TRIM($DX870)),1)="-"),999),"E+","E"),"E-","E"),"+",""),"-","")),LEN(UPPER(TRIM($DX870)))-LEN(SUBSTITUTE(UPPER(TRIM($DX870)),"E",""))&lt;2,LEN(UPPER(TRIM($DX870)))-LEN(SUBSTITUTE(UPPER(TRIM($DX870)),".",""))&lt;2,IFERROR(FIND(".",UPPER(TRIM($DX870))),0)&lt;IFERROR(FIND("E",UPPER(TRIM($DX870))),999)),ISNUMBER(VALUE(TRIM($DX870)))),VALUE(TRIM($DX870)),"")))),""))</f>
        <v/>
      </c>
      <c r="DZ870">
        <f>IF($DM870=0,"",IF($L$17=0,"",IFERROR(IF(ISNUMBER(INDEX(PASTE_ALL,$DF870,$L$17)),INDEX(PASTE_ALL,$DF870,$L$17),SUBSTITUTE(SUBSTITUTE(TRIM(SUBSTITUTE(SUBSTITUTE(SUBSTITUTE(SUBSTITUTE(INDEX(PASTE_ALL,$DF870,$L$17)," "," "),CHAR(9)," "),CHAR(10)," "),CHAR(13)," ")),",",""),"%","")),"")))</f>
        <v/>
      </c>
      <c r="EA870">
        <f>IF($DM870=0,"",IFERROR(IF(ISNUMBER($DZ870),$DZ870,IF($DZ870="","",IF(TRIM($DZ870)="",0,IF(AND(AND(SUBSTITUTE(SUBSTITUTE(SUBSTITUTE(SUBSTITUTE(SUBSTITUTE(SUBSTITUTE(SUBSTITUTE(SUBSTITUTE(SUBSTITUTE(SUBSTITUTE(SUBSTITUTE(SUBSTITUTE(SUBSTITUTE(SUBSTITUTE(UPPER(TRIM($DZ870)),"0",""),"1",""),"2",""),"3",""),"4",""),"5",""),"6",""),"7",""),"8",""),"9",""),".",""),"+",""),"-",""),"E","")="",LEN(SUBSTITUTE(SUBSTITUTE(MID(UPPER(TRIM($DZ870)),1+OR(LEFT(UPPER(TRIM($DZ870)),1)="+",LEFT(UPPER(TRIM($DZ870)),1)="-"),999),"E+","E"),"E-","E"))=LEN(SUBSTITUTE(SUBSTITUTE(SUBSTITUTE(SUBSTITUTE(MID(UPPER(TRIM($DZ870)),1+OR(LEFT(UPPER(TRIM($DZ870)),1)="+",LEFT(UPPER(TRIM($DZ870)),1)="-"),999),"E+","E"),"E-","E"),"+",""),"-","")),LEN(UPPER(TRIM($DZ870)))-LEN(SUBSTITUTE(UPPER(TRIM($DZ870)),"E",""))&lt;2,LEN(UPPER(TRIM($DZ870)))-LEN(SUBSTITUTE(UPPER(TRIM($DZ870)),".",""))&lt;2,IFERROR(FIND(".",UPPER(TRIM($DZ870))),0)&lt;IFERROR(FIND("E",UPPER(TRIM($DZ870))),999)),ISNUMBER(VALUE(TRIM($DZ870)))),VALUE(TRIM($DZ870)),"")))),""))</f>
        <v/>
      </c>
      <c r="EB870">
        <f>IF($DM870=0,"",IF($L$18=0,"",IFERROR(IF(UPPER(TRIM(SUBSTITUTE(SUBSTITUTE(SUBSTITUTE(SUBSTITUTE(INDEX(PASTE_ALL,$DF870,$L$18)," "," "),CHAR(9)," "),CHAR(10)," "),CHAR(13)," ")))="READY","Ready",IF(UPPER(TRIM(SUBSTITUTE(SUBSTITUTE(SUBSTITUTE(SUBSTITUTE(INDEX(PASTE_ALL,$DF870,$L$18)," "," "),CHAR(9)," "),CHAR(10)," "),CHAR(13)," ")))="PM","PM",IF(OR(UPPER(TRIM(SUBSTITUTE(SUBSTITUTE(SUBSTITUTE(SUBSTITUTE(INDEX(PASTE_ALL,$DF870,$L$18)," "," "),CHAR(9)," "),CHAR(10)," "),CHAR(13)," ")))="OT",UPPER(TRIM(SUBSTITUTE(SUBSTITUTE(SUBSTITUTE(SUBSTITUTE(INDEX(PASTE_ALL,$DF870,$L$18)," "," "),CHAR(9)," "),CHAR(10)," "),CHAR(13)," ")))="OVERTIME",UPPER(TRIM(SUBSTITUTE(SUBSTITUTE(SUBSTITUTE(SUBSTITUTE(INDEX(PASTE_ALL,$DF870,$L$18)," "," "),CHAR(9)," "),CHAR(10)," "),CHAR(13)," ")))="TRIAL"),"OT",TRIM(SUBSTITUTE(SUBSTITUTE(SUBSTITUTE(SUBSTITUTE(INDEX(PASTE_ALL,$DF870,$L$18)," "," "),CHAR(9)," "),CHAR(10)," "),CHAR(13)," "))))),"")))</f>
        <v/>
      </c>
      <c r="EC870">
        <f>IF($DM870=0,"",IF($L$19=0,"",IFERROR(IF(ISNUMBER(INDEX(PASTE_ALL,$DF870,$L$19)),INDEX(PASTE_ALL,$DF870,$L$19),TRIM(SUBSTITUTE(SUBSTITUTE(SUBSTITUTE(SUBSTITUTE(INDEX(PASTE_ALL,$DF870,$L$19)," "," "),CHAR(9)," "),CHAR(10)," "),CHAR(13)," "))),"")))</f>
        <v/>
      </c>
      <c r="ED870">
        <f>IF($DM870=0,"",MATCH(1,INDEX(EXACT($DH$5:DH870,$DH870)*$DM$5:DM870,0),0))</f>
        <v/>
      </c>
      <c r="EE870">
        <f>IF($DM870=0,0,IF($ED870=$DE870,1,0))</f>
        <v/>
      </c>
      <c r="EF870">
        <f>EF869+$EE870</f>
        <v/>
      </c>
      <c r="EG870">
        <f>IF($DM870=0,"",INDEX($EF$5:$EF$1003,$ED870))</f>
        <v/>
      </c>
      <c r="EH870">
        <f>IF($DM870=0,"",IF($DO870&lt;&gt;"","",IFERROR(LOOKUP(2,1/(($EG$4:EG869=$EG870)*($DO$4:DO869&lt;&gt;"")),$DO$4:DO869),"")))</f>
        <v/>
      </c>
      <c r="EI870">
        <f>IF($DM870=0,"",IF($DO870&lt;&gt;"",$DO870,$EH870))</f>
        <v/>
      </c>
      <c r="EJ870">
        <f>IF($DM870=0,"",IF($EI870="",0,IF(OR(ISNUMBER($EI870),AND(AND(SUBSTITUTE(SUBSTITUTE(SUBSTITUTE(SUBSTITUTE(SUBSTITUTE(SUBSTITUTE(SUBSTITUTE(SUBSTITUTE(SUBSTITUTE(SUBSTITUTE(SUBSTITUTE(SUBSTITUTE(SUBSTITUTE(SUBSTITUTE(UPPER($EI870),"0",""),"1",""),"2",""),"3",""),"4",""),"5",""),"6",""),"7",""),"8",""),"9",""),".",""),"+",""),"-",""),"E","")="",LEN(SUBSTITUTE(SUBSTITUTE(MID(UPPER($EI870),1+OR(LEFT(UPPER($EI870),1)="+",LEFT(UPPER($EI870),1)="-"),999),"E+","E"),"E-","E"))=LEN(SUBSTITUTE(SUBSTITUTE(SUBSTITUTE(SUBSTITUTE(MID(UPPER($EI870),1+OR(LEFT(UPPER($EI870),1)="+",LEFT(UPPER($EI870),1)="-"),999),"E+","E"),"E-","E"),"+",""),"-","")),LEN(UPPER($EI870))-LEN(SUBSTITUTE(UPPER($EI870),"E",""))&lt;2,LEN(UPPER($EI870))-LEN(SUBSTITUTE(UPPER($EI870),".",""))&lt;2,IFERROR(FIND(".",UPPER($EI870)),0)&lt;IFERROR(FIND("E",UPPER($EI870)),999)),ISNUMBER(VALUE($EI870)))),1,2)))</f>
        <v/>
      </c>
      <c r="EK870">
        <f>IF($DM870=0,"",IF($EJ870=1,IF(ISNUMBER($EI870),$EI870,VALUE($EI870)),IF($EJ870=2,$DE870,0)))</f>
        <v/>
      </c>
      <c r="EL870">
        <f>IF($DM870=0,"",COUNTIF($EG$5:$EG$1003,"&lt;"&amp;$EG870)+SUMPRODUCT(($EG$5:$EG$1003=$EG870)*(($EJ$5:$EJ$1003&lt;$EJ870)+($EJ$5:$EJ$1003=$EJ870)*(($EK$5:$EK$1003&lt;$EK870)+($EK$5:$EK$1003=$EK870)*($DE$5:$DE$1003&lt;$DE870))))+1)</f>
        <v/>
      </c>
      <c r="EM870">
        <f>IF($DM870=0,"",$EL870+$EG870-1)</f>
        <v/>
      </c>
      <c r="EN870">
        <f>IF($DM870=0,0,IFERROR(MATCH(1,INDEX(--(TRIM(SUBSTITUTE(SUBSTITUTE(SUBSTITUTE(SUBSTITUTE(LINES_NAME&amp;""," "," "),CHAR(9)," "),CHAR(10)," "),CHAR(13)," "))=$DH870),0),0),0))</f>
        <v/>
      </c>
      <c r="EO870">
        <f>IF($EN870=0,0,IF(OR(UPPER(TRIM(INDEX(LINES_SCHEDULED,$EN870)&amp;""))="YES",UPPER(TRIM(INDEX(LINES_SCHEDULED,$EN870)&amp;""))="Y",UPPER(TRIM(INDEX(LINES_SCHEDULED,$EN870)&amp;""))="X"),1,0))</f>
        <v/>
      </c>
      <c r="EP870">
        <f>IF($DM870=0,"",IF(COUNTIFS($EG$5:$EG$1003,$EG870,$EB$5:$EB$1003,"Ready")&gt;0,"READY",IF(COUNTIFS($EG$5:$EG$1003,$EG870,$EB$5:$EB$1003,"PM")&gt;0,"PM",IF(COUNTIFS($EG$5:$EG$1003,$EG870,$EB$5:$EB$1003,"OT")&gt;0,"OT",""))))</f>
        <v/>
      </c>
      <c r="EQ870">
        <f>IF($EN870=0,"",UPPER(TRIM(INDEX(LINES_STATUS,$EN870)&amp;"")))</f>
        <v/>
      </c>
      <c r="ER870">
        <f>IF($DM870=0,"",IF(OR($EQ870="READY",$EQ870="PM",$EQ870="OT"),$EQ870,$EP870))</f>
        <v/>
      </c>
      <c r="ES870">
        <f>IF($DM870=0,"",IF(AND($DV870&lt;&gt;"",UPPER($DV870)&lt;&gt;"N"),"allergen",IF(ISNUMBER(SEARCH("oil",$DQ870)),"oil",IF(OR(EXACT($DS870,"A662"),EXACT($DS870,"A624")),"bulk",""))))</f>
        <v/>
      </c>
      <c r="ET870">
        <f>IF($DM870=0,"",IF(OR($EA870="",$EA870=0),"",$EA870/100))</f>
        <v/>
      </c>
      <c r="EU870">
        <f>IF(OR($ET870="",$DY870=""),"",INT($DY870*(1-$ET870)+0.5))</f>
        <v/>
      </c>
    </row>
    <row r="871">
      <c r="DA871" t="n">
        <v>867</v>
      </c>
      <c r="DB871">
        <f>IF($B$37=0,"",IFERROR(TRIM(SUBSTITUTE(SUBSTITUTE(SUBSTITUTE(SUBSTITUTE(INDEX(PASTE_ALL,867,$B$37)," "," "),CHAR(9)," "),CHAR(10)," "),CHAR(13)," ")),""))</f>
        <v/>
      </c>
      <c r="DC871">
        <f>IF(AND(867&gt;HEADER_ROW,UPPER(DB871)="LEGEND"),1,0)</f>
        <v/>
      </c>
      <c r="DE871" t="n">
        <v>867</v>
      </c>
      <c r="DF871">
        <f>HEADER_ROW+$DE871</f>
        <v/>
      </c>
      <c r="DG871">
        <f>IF(AND($DF871&lt;=1000,$DF871&lt;$B$8),1,0)</f>
        <v/>
      </c>
      <c r="DH871">
        <f>IF($DG871=1,IFERROR(INDEX($DB$5:$DB$1004,$DF871),""),"")</f>
        <v/>
      </c>
      <c r="DI871">
        <f>IF(AND($DG871=1,$DH871&lt;&gt;""),IFERROR(SUBSTITUTE(SUBSTITUTE(TRIM(SUBSTITUTE(SUBSTITUTE(SUBSTITUTE(SUBSTITUTE(IFERROR(INDEX(PASTE_ALL,$DF871,1)&amp;"","")&amp;"␟"&amp;IFERROR(INDEX(PASTE_ALL,$DF871,2)&amp;"","")&amp;"␟"&amp;IFERROR(INDEX(PASTE_ALL,$DF871,3)&amp;"","")&amp;"␟"&amp;IFERROR(INDEX(PASTE_ALL,$DF871,4)&amp;"","")&amp;"␟"&amp;IFERROR(INDEX(PASTE_ALL,$DF871,5)&amp;"","")&amp;"␟"&amp;IFERROR(INDEX(PASTE_ALL,$DF871,6)&amp;"","")&amp;"␟"&amp;IFERROR(INDEX(PASTE_ALL,$DF871,7)&amp;"","")&amp;"␟"&amp;IFERROR(INDEX(PASTE_ALL,$DF871,8)&amp;"","")&amp;"␟"&amp;IFERROR(INDEX(PASTE_ALL,$DF871,9)&amp;"","")&amp;"␟"&amp;IFERROR(INDEX(PASTE_ALL,$DF871,10)&amp;"","")&amp;"␟"&amp;IFERROR(INDEX(PASTE_ALL,$DF871,11)&amp;"","")&amp;"␟"&amp;IFERROR(INDEX(PASTE_ALL,$DF871,12)&amp;"","")&amp;"␟"&amp;IFERROR(INDEX(PASTE_ALL,$DF871,13)&amp;"","")&amp;"␟"&amp;IFERROR(INDEX(PASTE_ALL,$DF871,14)&amp;"","")&amp;"␟"&amp;IFERROR(INDEX(PASTE_ALL,$DF871,15)&amp;"","")&amp;"␟"&amp;IFERROR(INDEX(PASTE_ALL,$DF871,16)&amp;"","")&amp;"␟"&amp;IFERROR(INDEX(PASTE_ALL,$DF871,17)&amp;"","")&amp;"␟"&amp;IFERROR(INDEX(PASTE_ALL,$DF871,18)&amp;"","")&amp;"␟"&amp;IFERROR(INDEX(PASTE_ALL,$DF871,19)&amp;"","")&amp;"␟"&amp;IFERROR(INDEX(PASTE_ALL,$DF871,20)&amp;"","")&amp;"␟"&amp;IFERROR(INDEX(PASTE_ALL,$DF871,21)&amp;"","")&amp;"␟"&amp;IFERROR(INDEX(PASTE_ALL,$DF871,22)&amp;"","")&amp;"␟"&amp;IFERROR(INDEX(PASTE_ALL,$DF871,23)&amp;"","")&amp;"␟"&amp;IFERROR(INDEX(PASTE_ALL,$DF871,24)&amp;"","")&amp;"␟"&amp;IFERROR(INDEX(PASTE_ALL,$DF871,25)&amp;"","")&amp;"␟"&amp;IFERROR(INDEX(PASTE_ALL,$DF871,26)&amp;"","")&amp;"␟"&amp;IFERROR(INDEX(PASTE_ALL,$DF871,27)&amp;"","")&amp;"␟"&amp;IFERROR(INDEX(PASTE_ALL,$DF871,28)&amp;"","")&amp;"␟"&amp;IFERROR(INDEX(PASTE_ALL,$DF871,29)&amp;"","")&amp;"␟"&amp;IFERROR(INDEX(PASTE_ALL,$DF871,30)&amp;"","")&amp;"␟"&amp;IFERROR(INDEX(PASTE_ALL,$DF871,31)&amp;"","")&amp;"␟"&amp;IFERROR(INDEX(PASTE_ALL,$DF871,32)&amp;"","")&amp;"␟"&amp;IFERROR(INDEX(PASTE_ALL,$DF871,33)&amp;"","")&amp;"␟"&amp;IFERROR(INDEX(PASTE_ALL,$DF871,34)&amp;"","")&amp;"␟"&amp;IFERROR(INDEX(PASTE_ALL,$DF871,35)&amp;"","")&amp;"␟"&amp;IFERROR(INDEX(PASTE_ALL,$DF871,36)&amp;"","")&amp;"␟"&amp;IFERROR(INDEX(PASTE_ALL,$DF871,37)&amp;"","")&amp;"␟"&amp;IFERROR(INDEX(PASTE_ALL,$DF871,38)&amp;"","")&amp;"␟"&amp;IFERROR(INDEX(PASTE_ALL,$DF871,39)&amp;"","")&amp;"␟"&amp;IFERROR(INDEX(PASTE_ALL,$DF871,40)&amp;"","")&amp;"␟"&amp;IFERROR(INDEX(PASTE_ALL,$DF871,41)&amp;"","")&amp;"␟"&amp;IFERROR(INDEX(PASTE_ALL,$DF871,42)&amp;"","")&amp;"␟"&amp;IFERROR(INDEX(PASTE_ALL,$DF871,43)&amp;"","")&amp;"␟"&amp;IFERROR(INDEX(PASTE_ALL,$DF871,44)&amp;"","")&amp;"␟"&amp;IFERROR(INDEX(PASTE_ALL,$DF871,45)&amp;"","")&amp;"␟"&amp;IFERROR(INDEX(PASTE_ALL,$DF871,46)&amp;"","")&amp;"␟"&amp;IFERROR(INDEX(PASTE_ALL,$DF871,47)&amp;"","")&amp;"␟"&amp;IFERROR(INDEX(PASTE_ALL,$DF871,48)&amp;"","")&amp;"␟"&amp;IFERROR(INDEX(PASTE_ALL,$DF871,49)&amp;"","")&amp;"␟"&amp;IFERROR(INDEX(PASTE_ALL,$DF871,50)&amp;"","")&amp;"␟"&amp;IFERROR(INDEX(PASTE_ALL,$DF871,51)&amp;"","")&amp;"␟"&amp;IFERROR(INDEX(PASTE_ALL,$DF871,52)&amp;"","")&amp;"␟"&amp;IFERROR(INDEX(PASTE_ALL,$DF871,53)&amp;"","")&amp;"␟"&amp;IFERROR(INDEX(PASTE_ALL,$DF871,54)&amp;"","")&amp;"␟"&amp;IFERROR(INDEX(PASTE_ALL,$DF871,55)&amp;"","")&amp;"␟"&amp;IFERROR(INDEX(PASTE_ALL,$DF871,56)&amp;"","")&amp;"␟"&amp;IFERROR(INDEX(PASTE_ALL,$DF871,57)&amp;"","")&amp;"␟"&amp;IFERROR(INDEX(PASTE_ALL,$DF871,58)&amp;"","")&amp;"␟"&amp;IFERROR(INDEX(PASTE_ALL,$DF871,59)&amp;"","")&amp;"␟"&amp;IFERROR(INDEX(PASTE_ALL,$DF871,60)&amp;"","")," "," "),CHAR(9)," "),CHAR(10)," "),CHAR(13)," "))," ␟","␟"),"␟ ","␟"),"#"&amp;$DE871),"")</f>
        <v/>
      </c>
      <c r="DJ871">
        <f>IF($DI871="",0,IF(SUMPRODUCT(--EXACT($DI$4:DI870,$DI871))&gt;0,1,0))</f>
        <v/>
      </c>
      <c r="DK871">
        <f>IF(AND($DI871&lt;&gt;"",$DJ871=0),1,0)</f>
        <v/>
      </c>
      <c r="DL871">
        <f>DL870+$DK871</f>
        <v/>
      </c>
      <c r="DM871">
        <f>IF(AND($DK871=1,$DL871&lt;=600),1,0)</f>
        <v/>
      </c>
      <c r="DN871">
        <f>IF($DM871=0,"",IF($L$6=0,"",IFERROR(IF(ISNUMBER(INDEX(PASTE_ALL,$DF871,$L$6)),INDEX(PASTE_ALL,$DF871,$L$6),TRIM(SUBSTITUTE(SUBSTITUTE(SUBSTITUTE(SUBSTITUTE(INDEX(PASTE_ALL,$DF871,$L$6)," "," "),CHAR(9)," "),CHAR(10)," "),CHAR(13)," "))),"")))</f>
        <v/>
      </c>
      <c r="DO871">
        <f>IF($DM871=0,"",IF($L$7=0,"",IFERROR(IF(ISNUMBER(INDEX(PASTE_ALL,$DF871,$L$7)),INDEX(PASTE_ALL,$DF871,$L$7),TRIM(SUBSTITUTE(SUBSTITUTE(SUBSTITUTE(SUBSTITUTE(INDEX(PASTE_ALL,$DF871,$L$7)," "," "),CHAR(9)," "),CHAR(10)," "),CHAR(13)," "))),"")))</f>
        <v/>
      </c>
      <c r="DP871">
        <f>IF($DM871=0,"",IF($L$8=0,"",IFERROR(IF(ISNUMBER(INDEX(PASTE_ALL,$DF871,$L$8)),INDEX(PASTE_ALL,$DF871,$L$8),TRIM(SUBSTITUTE(SUBSTITUTE(SUBSTITUTE(SUBSTITUTE(INDEX(PASTE_ALL,$DF871,$L$8)," "," "),CHAR(9)," "),CHAR(10)," "),CHAR(13)," "))),"")))</f>
        <v/>
      </c>
      <c r="DQ871">
        <f>IF($DM871=0,"",IF($L$9=0,"",IFERROR(IF(ISNUMBER(INDEX(PASTE_ALL,$DF871,$L$9)),INDEX(PASTE_ALL,$DF871,$L$9),TRIM(SUBSTITUTE(SUBSTITUTE(SUBSTITUTE(SUBSTITUTE(INDEX(PASTE_ALL,$DF871,$L$9)," "," "),CHAR(9)," "),CHAR(10)," "),CHAR(13)," "))),"")))</f>
        <v/>
      </c>
      <c r="DR871">
        <f>IF($DM871=0,"",IF($L$10=0,"",IFERROR(IF(ISNUMBER(INDEX(PASTE_ALL,$DF871,$L$10)),INDEX(PASTE_ALL,$DF871,$L$10),TRIM(SUBSTITUTE(SUBSTITUTE(SUBSTITUTE(SUBSTITUTE(INDEX(PASTE_ALL,$DF871,$L$10)," "," "),CHAR(9)," "),CHAR(10)," "),CHAR(13)," "))),"")))</f>
        <v/>
      </c>
      <c r="DS871">
        <f>IF($DM871=0,"",IF($L$11=0,"",IFERROR(IF(ISNUMBER(INDEX(PASTE_ALL,$DF871,$L$11)),INDEX(PASTE_ALL,$DF871,$L$11),TRIM(SUBSTITUTE(SUBSTITUTE(SUBSTITUTE(SUBSTITUTE(INDEX(PASTE_ALL,$DF871,$L$11)," "," "),CHAR(9)," "),CHAR(10)," "),CHAR(13)," "))),"")))</f>
        <v/>
      </c>
      <c r="DT871">
        <f>IF($DM871=0,"",IF($L$12=0,"",IFERROR(IF(ISNUMBER(INDEX(PASTE_ALL,$DF871,$L$12)),INDEX(PASTE_ALL,$DF871,$L$12),TRIM(SUBSTITUTE(SUBSTITUTE(SUBSTITUTE(SUBSTITUTE(INDEX(PASTE_ALL,$DF871,$L$12)," "," "),CHAR(9)," "),CHAR(10)," "),CHAR(13)," "))),"")))</f>
        <v/>
      </c>
      <c r="DU871">
        <f>IF($DM871=0,"",IF($L$13=0,"",IFERROR(IF(ISNUMBER(INDEX(PASTE_ALL,$DF871,$L$13)),INDEX(PASTE_ALL,$DF871,$L$13),TRIM(SUBSTITUTE(SUBSTITUTE(SUBSTITUTE(SUBSTITUTE(INDEX(PASTE_ALL,$DF871,$L$13)," "," "),CHAR(9)," "),CHAR(10)," "),CHAR(13)," "))),"")))</f>
        <v/>
      </c>
      <c r="DV871">
        <f>IF($DM871=0,"",IF($L$14=0,"",IFERROR(IF(ISNUMBER(INDEX(PASTE_ALL,$DF871,$L$14)),INDEX(PASTE_ALL,$DF871,$L$14),TRIM(SUBSTITUTE(SUBSTITUTE(SUBSTITUTE(SUBSTITUTE(INDEX(PASTE_ALL,$DF871,$L$14)," "," "),CHAR(9)," "),CHAR(10)," "),CHAR(13)," "))),"")))</f>
        <v/>
      </c>
      <c r="DW871">
        <f>IF($DM871=0,"",IF($L$15=0,"",IFERROR(IF(ISNUMBER(INDEX(PASTE_ALL,$DF871,$L$15)),INDEX(PASTE_ALL,$DF871,$L$15),IF(SUMPRODUCT(--ISNUMBER(FIND({"A","B","C","D","E","F","G","H","I","J","K","L","M","N","O","P","Q","R","S","T","U","V","W","X","Y","Z","0","1","2","3","4","5","6","7","8","9"},UPPER(TRIM(SUBSTITUTE(SUBSTITUTE(SUBSTITUTE(SUBSTITUTE(INDEX(PASTE_ALL,$DF871,$L$15)," "," "),CHAR(9)," "),CHAR(10)," "),CHAR(13)," "))))))&gt;0,TRIM(SUBSTITUTE(SUBSTITUTE(SUBSTITUTE(SUBSTITUTE(INDEX(PASTE_ALL,$DF871,$L$15)," "," "),CHAR(9)," "),CHAR(10)," "),CHAR(13)," ")),"")),"")))</f>
        <v/>
      </c>
      <c r="DX871">
        <f>IF($DM871=0,"",IF($L$16=0,"",IFERROR(IF(ISNUMBER(INDEX(PASTE_ALL,$DF871,$L$16)),INDEX(PASTE_ALL,$DF871,$L$16),SUBSTITUTE(SUBSTITUTE(TRIM(SUBSTITUTE(SUBSTITUTE(SUBSTITUTE(SUBSTITUTE(INDEX(PASTE_ALL,$DF871,$L$16)," "," "),CHAR(9)," "),CHAR(10)," "),CHAR(13)," ")),",",""),"%","")),"")))</f>
        <v/>
      </c>
      <c r="DY871">
        <f>IF($DM871=0,"",IFERROR(IF(ISNUMBER($DX871),$DX871,IF($DX871="","",IF(TRIM($DX871)="",0,IF(AND(AND(SUBSTITUTE(SUBSTITUTE(SUBSTITUTE(SUBSTITUTE(SUBSTITUTE(SUBSTITUTE(SUBSTITUTE(SUBSTITUTE(SUBSTITUTE(SUBSTITUTE(SUBSTITUTE(SUBSTITUTE(SUBSTITUTE(SUBSTITUTE(UPPER(TRIM($DX871)),"0",""),"1",""),"2",""),"3",""),"4",""),"5",""),"6",""),"7",""),"8",""),"9",""),".",""),"+",""),"-",""),"E","")="",LEN(SUBSTITUTE(SUBSTITUTE(MID(UPPER(TRIM($DX871)),1+OR(LEFT(UPPER(TRIM($DX871)),1)="+",LEFT(UPPER(TRIM($DX871)),1)="-"),999),"E+","E"),"E-","E"))=LEN(SUBSTITUTE(SUBSTITUTE(SUBSTITUTE(SUBSTITUTE(MID(UPPER(TRIM($DX871)),1+OR(LEFT(UPPER(TRIM($DX871)),1)="+",LEFT(UPPER(TRIM($DX871)),1)="-"),999),"E+","E"),"E-","E"),"+",""),"-","")),LEN(UPPER(TRIM($DX871)))-LEN(SUBSTITUTE(UPPER(TRIM($DX871)),"E",""))&lt;2,LEN(UPPER(TRIM($DX871)))-LEN(SUBSTITUTE(UPPER(TRIM($DX871)),".",""))&lt;2,IFERROR(FIND(".",UPPER(TRIM($DX871))),0)&lt;IFERROR(FIND("E",UPPER(TRIM($DX871))),999)),ISNUMBER(VALUE(TRIM($DX871)))),VALUE(TRIM($DX871)),"")))),""))</f>
        <v/>
      </c>
      <c r="DZ871">
        <f>IF($DM871=0,"",IF($L$17=0,"",IFERROR(IF(ISNUMBER(INDEX(PASTE_ALL,$DF871,$L$17)),INDEX(PASTE_ALL,$DF871,$L$17),SUBSTITUTE(SUBSTITUTE(TRIM(SUBSTITUTE(SUBSTITUTE(SUBSTITUTE(SUBSTITUTE(INDEX(PASTE_ALL,$DF871,$L$17)," "," "),CHAR(9)," "),CHAR(10)," "),CHAR(13)," ")),",",""),"%","")),"")))</f>
        <v/>
      </c>
      <c r="EA871">
        <f>IF($DM871=0,"",IFERROR(IF(ISNUMBER($DZ871),$DZ871,IF($DZ871="","",IF(TRIM($DZ871)="",0,IF(AND(AND(SUBSTITUTE(SUBSTITUTE(SUBSTITUTE(SUBSTITUTE(SUBSTITUTE(SUBSTITUTE(SUBSTITUTE(SUBSTITUTE(SUBSTITUTE(SUBSTITUTE(SUBSTITUTE(SUBSTITUTE(SUBSTITUTE(SUBSTITUTE(UPPER(TRIM($DZ871)),"0",""),"1",""),"2",""),"3",""),"4",""),"5",""),"6",""),"7",""),"8",""),"9",""),".",""),"+",""),"-",""),"E","")="",LEN(SUBSTITUTE(SUBSTITUTE(MID(UPPER(TRIM($DZ871)),1+OR(LEFT(UPPER(TRIM($DZ871)),1)="+",LEFT(UPPER(TRIM($DZ871)),1)="-"),999),"E+","E"),"E-","E"))=LEN(SUBSTITUTE(SUBSTITUTE(SUBSTITUTE(SUBSTITUTE(MID(UPPER(TRIM($DZ871)),1+OR(LEFT(UPPER(TRIM($DZ871)),1)="+",LEFT(UPPER(TRIM($DZ871)),1)="-"),999),"E+","E"),"E-","E"),"+",""),"-","")),LEN(UPPER(TRIM($DZ871)))-LEN(SUBSTITUTE(UPPER(TRIM($DZ871)),"E",""))&lt;2,LEN(UPPER(TRIM($DZ871)))-LEN(SUBSTITUTE(UPPER(TRIM($DZ871)),".",""))&lt;2,IFERROR(FIND(".",UPPER(TRIM($DZ871))),0)&lt;IFERROR(FIND("E",UPPER(TRIM($DZ871))),999)),ISNUMBER(VALUE(TRIM($DZ871)))),VALUE(TRIM($DZ871)),"")))),""))</f>
        <v/>
      </c>
      <c r="EB871">
        <f>IF($DM871=0,"",IF($L$18=0,"",IFERROR(IF(UPPER(TRIM(SUBSTITUTE(SUBSTITUTE(SUBSTITUTE(SUBSTITUTE(INDEX(PASTE_ALL,$DF871,$L$18)," "," "),CHAR(9)," "),CHAR(10)," "),CHAR(13)," ")))="READY","Ready",IF(UPPER(TRIM(SUBSTITUTE(SUBSTITUTE(SUBSTITUTE(SUBSTITUTE(INDEX(PASTE_ALL,$DF871,$L$18)," "," "),CHAR(9)," "),CHAR(10)," "),CHAR(13)," ")))="PM","PM",IF(OR(UPPER(TRIM(SUBSTITUTE(SUBSTITUTE(SUBSTITUTE(SUBSTITUTE(INDEX(PASTE_ALL,$DF871,$L$18)," "," "),CHAR(9)," "),CHAR(10)," "),CHAR(13)," ")))="OT",UPPER(TRIM(SUBSTITUTE(SUBSTITUTE(SUBSTITUTE(SUBSTITUTE(INDEX(PASTE_ALL,$DF871,$L$18)," "," "),CHAR(9)," "),CHAR(10)," "),CHAR(13)," ")))="OVERTIME",UPPER(TRIM(SUBSTITUTE(SUBSTITUTE(SUBSTITUTE(SUBSTITUTE(INDEX(PASTE_ALL,$DF871,$L$18)," "," "),CHAR(9)," "),CHAR(10)," "),CHAR(13)," ")))="TRIAL"),"OT",TRIM(SUBSTITUTE(SUBSTITUTE(SUBSTITUTE(SUBSTITUTE(INDEX(PASTE_ALL,$DF871,$L$18)," "," "),CHAR(9)," "),CHAR(10)," "),CHAR(13)," "))))),"")))</f>
        <v/>
      </c>
      <c r="EC871">
        <f>IF($DM871=0,"",IF($L$19=0,"",IFERROR(IF(ISNUMBER(INDEX(PASTE_ALL,$DF871,$L$19)),INDEX(PASTE_ALL,$DF871,$L$19),TRIM(SUBSTITUTE(SUBSTITUTE(SUBSTITUTE(SUBSTITUTE(INDEX(PASTE_ALL,$DF871,$L$19)," "," "),CHAR(9)," "),CHAR(10)," "),CHAR(13)," "))),"")))</f>
        <v/>
      </c>
      <c r="ED871">
        <f>IF($DM871=0,"",MATCH(1,INDEX(EXACT($DH$5:DH871,$DH871)*$DM$5:DM871,0),0))</f>
        <v/>
      </c>
      <c r="EE871">
        <f>IF($DM871=0,0,IF($ED871=$DE871,1,0))</f>
        <v/>
      </c>
      <c r="EF871">
        <f>EF870+$EE871</f>
        <v/>
      </c>
      <c r="EG871">
        <f>IF($DM871=0,"",INDEX($EF$5:$EF$1003,$ED871))</f>
        <v/>
      </c>
      <c r="EH871">
        <f>IF($DM871=0,"",IF($DO871&lt;&gt;"","",IFERROR(LOOKUP(2,1/(($EG$4:EG870=$EG871)*($DO$4:DO870&lt;&gt;"")),$DO$4:DO870),"")))</f>
        <v/>
      </c>
      <c r="EI871">
        <f>IF($DM871=0,"",IF($DO871&lt;&gt;"",$DO871,$EH871))</f>
        <v/>
      </c>
      <c r="EJ871">
        <f>IF($DM871=0,"",IF($EI871="",0,IF(OR(ISNUMBER($EI871),AND(AND(SUBSTITUTE(SUBSTITUTE(SUBSTITUTE(SUBSTITUTE(SUBSTITUTE(SUBSTITUTE(SUBSTITUTE(SUBSTITUTE(SUBSTITUTE(SUBSTITUTE(SUBSTITUTE(SUBSTITUTE(SUBSTITUTE(SUBSTITUTE(UPPER($EI871),"0",""),"1",""),"2",""),"3",""),"4",""),"5",""),"6",""),"7",""),"8",""),"9",""),".",""),"+",""),"-",""),"E","")="",LEN(SUBSTITUTE(SUBSTITUTE(MID(UPPER($EI871),1+OR(LEFT(UPPER($EI871),1)="+",LEFT(UPPER($EI871),1)="-"),999),"E+","E"),"E-","E"))=LEN(SUBSTITUTE(SUBSTITUTE(SUBSTITUTE(SUBSTITUTE(MID(UPPER($EI871),1+OR(LEFT(UPPER($EI871),1)="+",LEFT(UPPER($EI871),1)="-"),999),"E+","E"),"E-","E"),"+",""),"-","")),LEN(UPPER($EI871))-LEN(SUBSTITUTE(UPPER($EI871),"E",""))&lt;2,LEN(UPPER($EI871))-LEN(SUBSTITUTE(UPPER($EI871),".",""))&lt;2,IFERROR(FIND(".",UPPER($EI871)),0)&lt;IFERROR(FIND("E",UPPER($EI871)),999)),ISNUMBER(VALUE($EI871)))),1,2)))</f>
        <v/>
      </c>
      <c r="EK871">
        <f>IF($DM871=0,"",IF($EJ871=1,IF(ISNUMBER($EI871),$EI871,VALUE($EI871)),IF($EJ871=2,$DE871,0)))</f>
        <v/>
      </c>
      <c r="EL871">
        <f>IF($DM871=0,"",COUNTIF($EG$5:$EG$1003,"&lt;"&amp;$EG871)+SUMPRODUCT(($EG$5:$EG$1003=$EG871)*(($EJ$5:$EJ$1003&lt;$EJ871)+($EJ$5:$EJ$1003=$EJ871)*(($EK$5:$EK$1003&lt;$EK871)+($EK$5:$EK$1003=$EK871)*($DE$5:$DE$1003&lt;$DE871))))+1)</f>
        <v/>
      </c>
      <c r="EM871">
        <f>IF($DM871=0,"",$EL871+$EG871-1)</f>
        <v/>
      </c>
      <c r="EN871">
        <f>IF($DM871=0,0,IFERROR(MATCH(1,INDEX(--(TRIM(SUBSTITUTE(SUBSTITUTE(SUBSTITUTE(SUBSTITUTE(LINES_NAME&amp;""," "," "),CHAR(9)," "),CHAR(10)," "),CHAR(13)," "))=$DH871),0),0),0))</f>
        <v/>
      </c>
      <c r="EO871">
        <f>IF($EN871=0,0,IF(OR(UPPER(TRIM(INDEX(LINES_SCHEDULED,$EN871)&amp;""))="YES",UPPER(TRIM(INDEX(LINES_SCHEDULED,$EN871)&amp;""))="Y",UPPER(TRIM(INDEX(LINES_SCHEDULED,$EN871)&amp;""))="X"),1,0))</f>
        <v/>
      </c>
      <c r="EP871">
        <f>IF($DM871=0,"",IF(COUNTIFS($EG$5:$EG$1003,$EG871,$EB$5:$EB$1003,"Ready")&gt;0,"READY",IF(COUNTIFS($EG$5:$EG$1003,$EG871,$EB$5:$EB$1003,"PM")&gt;0,"PM",IF(COUNTIFS($EG$5:$EG$1003,$EG871,$EB$5:$EB$1003,"OT")&gt;0,"OT",""))))</f>
        <v/>
      </c>
      <c r="EQ871">
        <f>IF($EN871=0,"",UPPER(TRIM(INDEX(LINES_STATUS,$EN871)&amp;"")))</f>
        <v/>
      </c>
      <c r="ER871">
        <f>IF($DM871=0,"",IF(OR($EQ871="READY",$EQ871="PM",$EQ871="OT"),$EQ871,$EP871))</f>
        <v/>
      </c>
      <c r="ES871">
        <f>IF($DM871=0,"",IF(AND($DV871&lt;&gt;"",UPPER($DV871)&lt;&gt;"N"),"allergen",IF(ISNUMBER(SEARCH("oil",$DQ871)),"oil",IF(OR(EXACT($DS871,"A662"),EXACT($DS871,"A624")),"bulk",""))))</f>
        <v/>
      </c>
      <c r="ET871">
        <f>IF($DM871=0,"",IF(OR($EA871="",$EA871=0),"",$EA871/100))</f>
        <v/>
      </c>
      <c r="EU871">
        <f>IF(OR($ET871="",$DY871=""),"",INT($DY871*(1-$ET871)+0.5))</f>
        <v/>
      </c>
    </row>
    <row r="872">
      <c r="DA872" t="n">
        <v>868</v>
      </c>
      <c r="DB872">
        <f>IF($B$37=0,"",IFERROR(TRIM(SUBSTITUTE(SUBSTITUTE(SUBSTITUTE(SUBSTITUTE(INDEX(PASTE_ALL,868,$B$37)," "," "),CHAR(9)," "),CHAR(10)," "),CHAR(13)," ")),""))</f>
        <v/>
      </c>
      <c r="DC872">
        <f>IF(AND(868&gt;HEADER_ROW,UPPER(DB872)="LEGEND"),1,0)</f>
        <v/>
      </c>
      <c r="DE872" t="n">
        <v>868</v>
      </c>
      <c r="DF872">
        <f>HEADER_ROW+$DE872</f>
        <v/>
      </c>
      <c r="DG872">
        <f>IF(AND($DF872&lt;=1000,$DF872&lt;$B$8),1,0)</f>
        <v/>
      </c>
      <c r="DH872">
        <f>IF($DG872=1,IFERROR(INDEX($DB$5:$DB$1004,$DF872),""),"")</f>
        <v/>
      </c>
      <c r="DI872">
        <f>IF(AND($DG872=1,$DH872&lt;&gt;""),IFERROR(SUBSTITUTE(SUBSTITUTE(TRIM(SUBSTITUTE(SUBSTITUTE(SUBSTITUTE(SUBSTITUTE(IFERROR(INDEX(PASTE_ALL,$DF872,1)&amp;"","")&amp;"␟"&amp;IFERROR(INDEX(PASTE_ALL,$DF872,2)&amp;"","")&amp;"␟"&amp;IFERROR(INDEX(PASTE_ALL,$DF872,3)&amp;"","")&amp;"␟"&amp;IFERROR(INDEX(PASTE_ALL,$DF872,4)&amp;"","")&amp;"␟"&amp;IFERROR(INDEX(PASTE_ALL,$DF872,5)&amp;"","")&amp;"␟"&amp;IFERROR(INDEX(PASTE_ALL,$DF872,6)&amp;"","")&amp;"␟"&amp;IFERROR(INDEX(PASTE_ALL,$DF872,7)&amp;"","")&amp;"␟"&amp;IFERROR(INDEX(PASTE_ALL,$DF872,8)&amp;"","")&amp;"␟"&amp;IFERROR(INDEX(PASTE_ALL,$DF872,9)&amp;"","")&amp;"␟"&amp;IFERROR(INDEX(PASTE_ALL,$DF872,10)&amp;"","")&amp;"␟"&amp;IFERROR(INDEX(PASTE_ALL,$DF872,11)&amp;"","")&amp;"␟"&amp;IFERROR(INDEX(PASTE_ALL,$DF872,12)&amp;"","")&amp;"␟"&amp;IFERROR(INDEX(PASTE_ALL,$DF872,13)&amp;"","")&amp;"␟"&amp;IFERROR(INDEX(PASTE_ALL,$DF872,14)&amp;"","")&amp;"␟"&amp;IFERROR(INDEX(PASTE_ALL,$DF872,15)&amp;"","")&amp;"␟"&amp;IFERROR(INDEX(PASTE_ALL,$DF872,16)&amp;"","")&amp;"␟"&amp;IFERROR(INDEX(PASTE_ALL,$DF872,17)&amp;"","")&amp;"␟"&amp;IFERROR(INDEX(PASTE_ALL,$DF872,18)&amp;"","")&amp;"␟"&amp;IFERROR(INDEX(PASTE_ALL,$DF872,19)&amp;"","")&amp;"␟"&amp;IFERROR(INDEX(PASTE_ALL,$DF872,20)&amp;"","")&amp;"␟"&amp;IFERROR(INDEX(PASTE_ALL,$DF872,21)&amp;"","")&amp;"␟"&amp;IFERROR(INDEX(PASTE_ALL,$DF872,22)&amp;"","")&amp;"␟"&amp;IFERROR(INDEX(PASTE_ALL,$DF872,23)&amp;"","")&amp;"␟"&amp;IFERROR(INDEX(PASTE_ALL,$DF872,24)&amp;"","")&amp;"␟"&amp;IFERROR(INDEX(PASTE_ALL,$DF872,25)&amp;"","")&amp;"␟"&amp;IFERROR(INDEX(PASTE_ALL,$DF872,26)&amp;"","")&amp;"␟"&amp;IFERROR(INDEX(PASTE_ALL,$DF872,27)&amp;"","")&amp;"␟"&amp;IFERROR(INDEX(PASTE_ALL,$DF872,28)&amp;"","")&amp;"␟"&amp;IFERROR(INDEX(PASTE_ALL,$DF872,29)&amp;"","")&amp;"␟"&amp;IFERROR(INDEX(PASTE_ALL,$DF872,30)&amp;"","")&amp;"␟"&amp;IFERROR(INDEX(PASTE_ALL,$DF872,31)&amp;"","")&amp;"␟"&amp;IFERROR(INDEX(PASTE_ALL,$DF872,32)&amp;"","")&amp;"␟"&amp;IFERROR(INDEX(PASTE_ALL,$DF872,33)&amp;"","")&amp;"␟"&amp;IFERROR(INDEX(PASTE_ALL,$DF872,34)&amp;"","")&amp;"␟"&amp;IFERROR(INDEX(PASTE_ALL,$DF872,35)&amp;"","")&amp;"␟"&amp;IFERROR(INDEX(PASTE_ALL,$DF872,36)&amp;"","")&amp;"␟"&amp;IFERROR(INDEX(PASTE_ALL,$DF872,37)&amp;"","")&amp;"␟"&amp;IFERROR(INDEX(PASTE_ALL,$DF872,38)&amp;"","")&amp;"␟"&amp;IFERROR(INDEX(PASTE_ALL,$DF872,39)&amp;"","")&amp;"␟"&amp;IFERROR(INDEX(PASTE_ALL,$DF872,40)&amp;"","")&amp;"␟"&amp;IFERROR(INDEX(PASTE_ALL,$DF872,41)&amp;"","")&amp;"␟"&amp;IFERROR(INDEX(PASTE_ALL,$DF872,42)&amp;"","")&amp;"␟"&amp;IFERROR(INDEX(PASTE_ALL,$DF872,43)&amp;"","")&amp;"␟"&amp;IFERROR(INDEX(PASTE_ALL,$DF872,44)&amp;"","")&amp;"␟"&amp;IFERROR(INDEX(PASTE_ALL,$DF872,45)&amp;"","")&amp;"␟"&amp;IFERROR(INDEX(PASTE_ALL,$DF872,46)&amp;"","")&amp;"␟"&amp;IFERROR(INDEX(PASTE_ALL,$DF872,47)&amp;"","")&amp;"␟"&amp;IFERROR(INDEX(PASTE_ALL,$DF872,48)&amp;"","")&amp;"␟"&amp;IFERROR(INDEX(PASTE_ALL,$DF872,49)&amp;"","")&amp;"␟"&amp;IFERROR(INDEX(PASTE_ALL,$DF872,50)&amp;"","")&amp;"␟"&amp;IFERROR(INDEX(PASTE_ALL,$DF872,51)&amp;"","")&amp;"␟"&amp;IFERROR(INDEX(PASTE_ALL,$DF872,52)&amp;"","")&amp;"␟"&amp;IFERROR(INDEX(PASTE_ALL,$DF872,53)&amp;"","")&amp;"␟"&amp;IFERROR(INDEX(PASTE_ALL,$DF872,54)&amp;"","")&amp;"␟"&amp;IFERROR(INDEX(PASTE_ALL,$DF872,55)&amp;"","")&amp;"␟"&amp;IFERROR(INDEX(PASTE_ALL,$DF872,56)&amp;"","")&amp;"␟"&amp;IFERROR(INDEX(PASTE_ALL,$DF872,57)&amp;"","")&amp;"␟"&amp;IFERROR(INDEX(PASTE_ALL,$DF872,58)&amp;"","")&amp;"␟"&amp;IFERROR(INDEX(PASTE_ALL,$DF872,59)&amp;"","")&amp;"␟"&amp;IFERROR(INDEX(PASTE_ALL,$DF872,60)&amp;"","")," "," "),CHAR(9)," "),CHAR(10)," "),CHAR(13)," "))," ␟","␟"),"␟ ","␟"),"#"&amp;$DE872),"")</f>
        <v/>
      </c>
      <c r="DJ872">
        <f>IF($DI872="",0,IF(SUMPRODUCT(--EXACT($DI$4:DI871,$DI872))&gt;0,1,0))</f>
        <v/>
      </c>
      <c r="DK872">
        <f>IF(AND($DI872&lt;&gt;"",$DJ872=0),1,0)</f>
        <v/>
      </c>
      <c r="DL872">
        <f>DL871+$DK872</f>
        <v/>
      </c>
      <c r="DM872">
        <f>IF(AND($DK872=1,$DL872&lt;=600),1,0)</f>
        <v/>
      </c>
      <c r="DN872">
        <f>IF($DM872=0,"",IF($L$6=0,"",IFERROR(IF(ISNUMBER(INDEX(PASTE_ALL,$DF872,$L$6)),INDEX(PASTE_ALL,$DF872,$L$6),TRIM(SUBSTITUTE(SUBSTITUTE(SUBSTITUTE(SUBSTITUTE(INDEX(PASTE_ALL,$DF872,$L$6)," "," "),CHAR(9)," "),CHAR(10)," "),CHAR(13)," "))),"")))</f>
        <v/>
      </c>
      <c r="DO872">
        <f>IF($DM872=0,"",IF($L$7=0,"",IFERROR(IF(ISNUMBER(INDEX(PASTE_ALL,$DF872,$L$7)),INDEX(PASTE_ALL,$DF872,$L$7),TRIM(SUBSTITUTE(SUBSTITUTE(SUBSTITUTE(SUBSTITUTE(INDEX(PASTE_ALL,$DF872,$L$7)," "," "),CHAR(9)," "),CHAR(10)," "),CHAR(13)," "))),"")))</f>
        <v/>
      </c>
      <c r="DP872">
        <f>IF($DM872=0,"",IF($L$8=0,"",IFERROR(IF(ISNUMBER(INDEX(PASTE_ALL,$DF872,$L$8)),INDEX(PASTE_ALL,$DF872,$L$8),TRIM(SUBSTITUTE(SUBSTITUTE(SUBSTITUTE(SUBSTITUTE(INDEX(PASTE_ALL,$DF872,$L$8)," "," "),CHAR(9)," "),CHAR(10)," "),CHAR(13)," "))),"")))</f>
        <v/>
      </c>
      <c r="DQ872">
        <f>IF($DM872=0,"",IF($L$9=0,"",IFERROR(IF(ISNUMBER(INDEX(PASTE_ALL,$DF872,$L$9)),INDEX(PASTE_ALL,$DF872,$L$9),TRIM(SUBSTITUTE(SUBSTITUTE(SUBSTITUTE(SUBSTITUTE(INDEX(PASTE_ALL,$DF872,$L$9)," "," "),CHAR(9)," "),CHAR(10)," "),CHAR(13)," "))),"")))</f>
        <v/>
      </c>
      <c r="DR872">
        <f>IF($DM872=0,"",IF($L$10=0,"",IFERROR(IF(ISNUMBER(INDEX(PASTE_ALL,$DF872,$L$10)),INDEX(PASTE_ALL,$DF872,$L$10),TRIM(SUBSTITUTE(SUBSTITUTE(SUBSTITUTE(SUBSTITUTE(INDEX(PASTE_ALL,$DF872,$L$10)," "," "),CHAR(9)," "),CHAR(10)," "),CHAR(13)," "))),"")))</f>
        <v/>
      </c>
      <c r="DS872">
        <f>IF($DM872=0,"",IF($L$11=0,"",IFERROR(IF(ISNUMBER(INDEX(PASTE_ALL,$DF872,$L$11)),INDEX(PASTE_ALL,$DF872,$L$11),TRIM(SUBSTITUTE(SUBSTITUTE(SUBSTITUTE(SUBSTITUTE(INDEX(PASTE_ALL,$DF872,$L$11)," "," "),CHAR(9)," "),CHAR(10)," "),CHAR(13)," "))),"")))</f>
        <v/>
      </c>
      <c r="DT872">
        <f>IF($DM872=0,"",IF($L$12=0,"",IFERROR(IF(ISNUMBER(INDEX(PASTE_ALL,$DF872,$L$12)),INDEX(PASTE_ALL,$DF872,$L$12),TRIM(SUBSTITUTE(SUBSTITUTE(SUBSTITUTE(SUBSTITUTE(INDEX(PASTE_ALL,$DF872,$L$12)," "," "),CHAR(9)," "),CHAR(10)," "),CHAR(13)," "))),"")))</f>
        <v/>
      </c>
      <c r="DU872">
        <f>IF($DM872=0,"",IF($L$13=0,"",IFERROR(IF(ISNUMBER(INDEX(PASTE_ALL,$DF872,$L$13)),INDEX(PASTE_ALL,$DF872,$L$13),TRIM(SUBSTITUTE(SUBSTITUTE(SUBSTITUTE(SUBSTITUTE(INDEX(PASTE_ALL,$DF872,$L$13)," "," "),CHAR(9)," "),CHAR(10)," "),CHAR(13)," "))),"")))</f>
        <v/>
      </c>
      <c r="DV872">
        <f>IF($DM872=0,"",IF($L$14=0,"",IFERROR(IF(ISNUMBER(INDEX(PASTE_ALL,$DF872,$L$14)),INDEX(PASTE_ALL,$DF872,$L$14),TRIM(SUBSTITUTE(SUBSTITUTE(SUBSTITUTE(SUBSTITUTE(INDEX(PASTE_ALL,$DF872,$L$14)," "," "),CHAR(9)," "),CHAR(10)," "),CHAR(13)," "))),"")))</f>
        <v/>
      </c>
      <c r="DW872">
        <f>IF($DM872=0,"",IF($L$15=0,"",IFERROR(IF(ISNUMBER(INDEX(PASTE_ALL,$DF872,$L$15)),INDEX(PASTE_ALL,$DF872,$L$15),IF(SUMPRODUCT(--ISNUMBER(FIND({"A","B","C","D","E","F","G","H","I","J","K","L","M","N","O","P","Q","R","S","T","U","V","W","X","Y","Z","0","1","2","3","4","5","6","7","8","9"},UPPER(TRIM(SUBSTITUTE(SUBSTITUTE(SUBSTITUTE(SUBSTITUTE(INDEX(PASTE_ALL,$DF872,$L$15)," "," "),CHAR(9)," "),CHAR(10)," "),CHAR(13)," "))))))&gt;0,TRIM(SUBSTITUTE(SUBSTITUTE(SUBSTITUTE(SUBSTITUTE(INDEX(PASTE_ALL,$DF872,$L$15)," "," "),CHAR(9)," "),CHAR(10)," "),CHAR(13)," ")),"")),"")))</f>
        <v/>
      </c>
      <c r="DX872">
        <f>IF($DM872=0,"",IF($L$16=0,"",IFERROR(IF(ISNUMBER(INDEX(PASTE_ALL,$DF872,$L$16)),INDEX(PASTE_ALL,$DF872,$L$16),SUBSTITUTE(SUBSTITUTE(TRIM(SUBSTITUTE(SUBSTITUTE(SUBSTITUTE(SUBSTITUTE(INDEX(PASTE_ALL,$DF872,$L$16)," "," "),CHAR(9)," "),CHAR(10)," "),CHAR(13)," ")),",",""),"%","")),"")))</f>
        <v/>
      </c>
      <c r="DY872">
        <f>IF($DM872=0,"",IFERROR(IF(ISNUMBER($DX872),$DX872,IF($DX872="","",IF(TRIM($DX872)="",0,IF(AND(AND(SUBSTITUTE(SUBSTITUTE(SUBSTITUTE(SUBSTITUTE(SUBSTITUTE(SUBSTITUTE(SUBSTITUTE(SUBSTITUTE(SUBSTITUTE(SUBSTITUTE(SUBSTITUTE(SUBSTITUTE(SUBSTITUTE(SUBSTITUTE(UPPER(TRIM($DX872)),"0",""),"1",""),"2",""),"3",""),"4",""),"5",""),"6",""),"7",""),"8",""),"9",""),".",""),"+",""),"-",""),"E","")="",LEN(SUBSTITUTE(SUBSTITUTE(MID(UPPER(TRIM($DX872)),1+OR(LEFT(UPPER(TRIM($DX872)),1)="+",LEFT(UPPER(TRIM($DX872)),1)="-"),999),"E+","E"),"E-","E"))=LEN(SUBSTITUTE(SUBSTITUTE(SUBSTITUTE(SUBSTITUTE(MID(UPPER(TRIM($DX872)),1+OR(LEFT(UPPER(TRIM($DX872)),1)="+",LEFT(UPPER(TRIM($DX872)),1)="-"),999),"E+","E"),"E-","E"),"+",""),"-","")),LEN(UPPER(TRIM($DX872)))-LEN(SUBSTITUTE(UPPER(TRIM($DX872)),"E",""))&lt;2,LEN(UPPER(TRIM($DX872)))-LEN(SUBSTITUTE(UPPER(TRIM($DX872)),".",""))&lt;2,IFERROR(FIND(".",UPPER(TRIM($DX872))),0)&lt;IFERROR(FIND("E",UPPER(TRIM($DX872))),999)),ISNUMBER(VALUE(TRIM($DX872)))),VALUE(TRIM($DX872)),"")))),""))</f>
        <v/>
      </c>
      <c r="DZ872">
        <f>IF($DM872=0,"",IF($L$17=0,"",IFERROR(IF(ISNUMBER(INDEX(PASTE_ALL,$DF872,$L$17)),INDEX(PASTE_ALL,$DF872,$L$17),SUBSTITUTE(SUBSTITUTE(TRIM(SUBSTITUTE(SUBSTITUTE(SUBSTITUTE(SUBSTITUTE(INDEX(PASTE_ALL,$DF872,$L$17)," "," "),CHAR(9)," "),CHAR(10)," "),CHAR(13)," ")),",",""),"%","")),"")))</f>
        <v/>
      </c>
      <c r="EA872">
        <f>IF($DM872=0,"",IFERROR(IF(ISNUMBER($DZ872),$DZ872,IF($DZ872="","",IF(TRIM($DZ872)="",0,IF(AND(AND(SUBSTITUTE(SUBSTITUTE(SUBSTITUTE(SUBSTITUTE(SUBSTITUTE(SUBSTITUTE(SUBSTITUTE(SUBSTITUTE(SUBSTITUTE(SUBSTITUTE(SUBSTITUTE(SUBSTITUTE(SUBSTITUTE(SUBSTITUTE(UPPER(TRIM($DZ872)),"0",""),"1",""),"2",""),"3",""),"4",""),"5",""),"6",""),"7",""),"8",""),"9",""),".",""),"+",""),"-",""),"E","")="",LEN(SUBSTITUTE(SUBSTITUTE(MID(UPPER(TRIM($DZ872)),1+OR(LEFT(UPPER(TRIM($DZ872)),1)="+",LEFT(UPPER(TRIM($DZ872)),1)="-"),999),"E+","E"),"E-","E"))=LEN(SUBSTITUTE(SUBSTITUTE(SUBSTITUTE(SUBSTITUTE(MID(UPPER(TRIM($DZ872)),1+OR(LEFT(UPPER(TRIM($DZ872)),1)="+",LEFT(UPPER(TRIM($DZ872)),1)="-"),999),"E+","E"),"E-","E"),"+",""),"-","")),LEN(UPPER(TRIM($DZ872)))-LEN(SUBSTITUTE(UPPER(TRIM($DZ872)),"E",""))&lt;2,LEN(UPPER(TRIM($DZ872)))-LEN(SUBSTITUTE(UPPER(TRIM($DZ872)),".",""))&lt;2,IFERROR(FIND(".",UPPER(TRIM($DZ872))),0)&lt;IFERROR(FIND("E",UPPER(TRIM($DZ872))),999)),ISNUMBER(VALUE(TRIM($DZ872)))),VALUE(TRIM($DZ872)),"")))),""))</f>
        <v/>
      </c>
      <c r="EB872">
        <f>IF($DM872=0,"",IF($L$18=0,"",IFERROR(IF(UPPER(TRIM(SUBSTITUTE(SUBSTITUTE(SUBSTITUTE(SUBSTITUTE(INDEX(PASTE_ALL,$DF872,$L$18)," "," "),CHAR(9)," "),CHAR(10)," "),CHAR(13)," ")))="READY","Ready",IF(UPPER(TRIM(SUBSTITUTE(SUBSTITUTE(SUBSTITUTE(SUBSTITUTE(INDEX(PASTE_ALL,$DF872,$L$18)," "," "),CHAR(9)," "),CHAR(10)," "),CHAR(13)," ")))="PM","PM",IF(OR(UPPER(TRIM(SUBSTITUTE(SUBSTITUTE(SUBSTITUTE(SUBSTITUTE(INDEX(PASTE_ALL,$DF872,$L$18)," "," "),CHAR(9)," "),CHAR(10)," "),CHAR(13)," ")))="OT",UPPER(TRIM(SUBSTITUTE(SUBSTITUTE(SUBSTITUTE(SUBSTITUTE(INDEX(PASTE_ALL,$DF872,$L$18)," "," "),CHAR(9)," "),CHAR(10)," "),CHAR(13)," ")))="OVERTIME",UPPER(TRIM(SUBSTITUTE(SUBSTITUTE(SUBSTITUTE(SUBSTITUTE(INDEX(PASTE_ALL,$DF872,$L$18)," "," "),CHAR(9)," "),CHAR(10)," "),CHAR(13)," ")))="TRIAL"),"OT",TRIM(SUBSTITUTE(SUBSTITUTE(SUBSTITUTE(SUBSTITUTE(INDEX(PASTE_ALL,$DF872,$L$18)," "," "),CHAR(9)," "),CHAR(10)," "),CHAR(13)," "))))),"")))</f>
        <v/>
      </c>
      <c r="EC872">
        <f>IF($DM872=0,"",IF($L$19=0,"",IFERROR(IF(ISNUMBER(INDEX(PASTE_ALL,$DF872,$L$19)),INDEX(PASTE_ALL,$DF872,$L$19),TRIM(SUBSTITUTE(SUBSTITUTE(SUBSTITUTE(SUBSTITUTE(INDEX(PASTE_ALL,$DF872,$L$19)," "," "),CHAR(9)," "),CHAR(10)," "),CHAR(13)," "))),"")))</f>
        <v/>
      </c>
      <c r="ED872">
        <f>IF($DM872=0,"",MATCH(1,INDEX(EXACT($DH$5:DH872,$DH872)*$DM$5:DM872,0),0))</f>
        <v/>
      </c>
      <c r="EE872">
        <f>IF($DM872=0,0,IF($ED872=$DE872,1,0))</f>
        <v/>
      </c>
      <c r="EF872">
        <f>EF871+$EE872</f>
        <v/>
      </c>
      <c r="EG872">
        <f>IF($DM872=0,"",INDEX($EF$5:$EF$1003,$ED872))</f>
        <v/>
      </c>
      <c r="EH872">
        <f>IF($DM872=0,"",IF($DO872&lt;&gt;"","",IFERROR(LOOKUP(2,1/(($EG$4:EG871=$EG872)*($DO$4:DO871&lt;&gt;"")),$DO$4:DO871),"")))</f>
        <v/>
      </c>
      <c r="EI872">
        <f>IF($DM872=0,"",IF($DO872&lt;&gt;"",$DO872,$EH872))</f>
        <v/>
      </c>
      <c r="EJ872">
        <f>IF($DM872=0,"",IF($EI872="",0,IF(OR(ISNUMBER($EI872),AND(AND(SUBSTITUTE(SUBSTITUTE(SUBSTITUTE(SUBSTITUTE(SUBSTITUTE(SUBSTITUTE(SUBSTITUTE(SUBSTITUTE(SUBSTITUTE(SUBSTITUTE(SUBSTITUTE(SUBSTITUTE(SUBSTITUTE(SUBSTITUTE(UPPER($EI872),"0",""),"1",""),"2",""),"3",""),"4",""),"5",""),"6",""),"7",""),"8",""),"9",""),".",""),"+",""),"-",""),"E","")="",LEN(SUBSTITUTE(SUBSTITUTE(MID(UPPER($EI872),1+OR(LEFT(UPPER($EI872),1)="+",LEFT(UPPER($EI872),1)="-"),999),"E+","E"),"E-","E"))=LEN(SUBSTITUTE(SUBSTITUTE(SUBSTITUTE(SUBSTITUTE(MID(UPPER($EI872),1+OR(LEFT(UPPER($EI872),1)="+",LEFT(UPPER($EI872),1)="-"),999),"E+","E"),"E-","E"),"+",""),"-","")),LEN(UPPER($EI872))-LEN(SUBSTITUTE(UPPER($EI872),"E",""))&lt;2,LEN(UPPER($EI872))-LEN(SUBSTITUTE(UPPER($EI872),".",""))&lt;2,IFERROR(FIND(".",UPPER($EI872)),0)&lt;IFERROR(FIND("E",UPPER($EI872)),999)),ISNUMBER(VALUE($EI872)))),1,2)))</f>
        <v/>
      </c>
      <c r="EK872">
        <f>IF($DM872=0,"",IF($EJ872=1,IF(ISNUMBER($EI872),$EI872,VALUE($EI872)),IF($EJ872=2,$DE872,0)))</f>
        <v/>
      </c>
      <c r="EL872">
        <f>IF($DM872=0,"",COUNTIF($EG$5:$EG$1003,"&lt;"&amp;$EG872)+SUMPRODUCT(($EG$5:$EG$1003=$EG872)*(($EJ$5:$EJ$1003&lt;$EJ872)+($EJ$5:$EJ$1003=$EJ872)*(($EK$5:$EK$1003&lt;$EK872)+($EK$5:$EK$1003=$EK872)*($DE$5:$DE$1003&lt;$DE872))))+1)</f>
        <v/>
      </c>
      <c r="EM872">
        <f>IF($DM872=0,"",$EL872+$EG872-1)</f>
        <v/>
      </c>
      <c r="EN872">
        <f>IF($DM872=0,0,IFERROR(MATCH(1,INDEX(--(TRIM(SUBSTITUTE(SUBSTITUTE(SUBSTITUTE(SUBSTITUTE(LINES_NAME&amp;""," "," "),CHAR(9)," "),CHAR(10)," "),CHAR(13)," "))=$DH872),0),0),0))</f>
        <v/>
      </c>
      <c r="EO872">
        <f>IF($EN872=0,0,IF(OR(UPPER(TRIM(INDEX(LINES_SCHEDULED,$EN872)&amp;""))="YES",UPPER(TRIM(INDEX(LINES_SCHEDULED,$EN872)&amp;""))="Y",UPPER(TRIM(INDEX(LINES_SCHEDULED,$EN872)&amp;""))="X"),1,0))</f>
        <v/>
      </c>
      <c r="EP872">
        <f>IF($DM872=0,"",IF(COUNTIFS($EG$5:$EG$1003,$EG872,$EB$5:$EB$1003,"Ready")&gt;0,"READY",IF(COUNTIFS($EG$5:$EG$1003,$EG872,$EB$5:$EB$1003,"PM")&gt;0,"PM",IF(COUNTIFS($EG$5:$EG$1003,$EG872,$EB$5:$EB$1003,"OT")&gt;0,"OT",""))))</f>
        <v/>
      </c>
      <c r="EQ872">
        <f>IF($EN872=0,"",UPPER(TRIM(INDEX(LINES_STATUS,$EN872)&amp;"")))</f>
        <v/>
      </c>
      <c r="ER872">
        <f>IF($DM872=0,"",IF(OR($EQ872="READY",$EQ872="PM",$EQ872="OT"),$EQ872,$EP872))</f>
        <v/>
      </c>
      <c r="ES872">
        <f>IF($DM872=0,"",IF(AND($DV872&lt;&gt;"",UPPER($DV872)&lt;&gt;"N"),"allergen",IF(ISNUMBER(SEARCH("oil",$DQ872)),"oil",IF(OR(EXACT($DS872,"A662"),EXACT($DS872,"A624")),"bulk",""))))</f>
        <v/>
      </c>
      <c r="ET872">
        <f>IF($DM872=0,"",IF(OR($EA872="",$EA872=0),"",$EA872/100))</f>
        <v/>
      </c>
      <c r="EU872">
        <f>IF(OR($ET872="",$DY872=""),"",INT($DY872*(1-$ET872)+0.5))</f>
        <v/>
      </c>
    </row>
    <row r="873">
      <c r="DA873" t="n">
        <v>869</v>
      </c>
      <c r="DB873">
        <f>IF($B$37=0,"",IFERROR(TRIM(SUBSTITUTE(SUBSTITUTE(SUBSTITUTE(SUBSTITUTE(INDEX(PASTE_ALL,869,$B$37)," "," "),CHAR(9)," "),CHAR(10)," "),CHAR(13)," ")),""))</f>
        <v/>
      </c>
      <c r="DC873">
        <f>IF(AND(869&gt;HEADER_ROW,UPPER(DB873)="LEGEND"),1,0)</f>
        <v/>
      </c>
      <c r="DE873" t="n">
        <v>869</v>
      </c>
      <c r="DF873">
        <f>HEADER_ROW+$DE873</f>
        <v/>
      </c>
      <c r="DG873">
        <f>IF(AND($DF873&lt;=1000,$DF873&lt;$B$8),1,0)</f>
        <v/>
      </c>
      <c r="DH873">
        <f>IF($DG873=1,IFERROR(INDEX($DB$5:$DB$1004,$DF873),""),"")</f>
        <v/>
      </c>
      <c r="DI873">
        <f>IF(AND($DG873=1,$DH873&lt;&gt;""),IFERROR(SUBSTITUTE(SUBSTITUTE(TRIM(SUBSTITUTE(SUBSTITUTE(SUBSTITUTE(SUBSTITUTE(IFERROR(INDEX(PASTE_ALL,$DF873,1)&amp;"","")&amp;"␟"&amp;IFERROR(INDEX(PASTE_ALL,$DF873,2)&amp;"","")&amp;"␟"&amp;IFERROR(INDEX(PASTE_ALL,$DF873,3)&amp;"","")&amp;"␟"&amp;IFERROR(INDEX(PASTE_ALL,$DF873,4)&amp;"","")&amp;"␟"&amp;IFERROR(INDEX(PASTE_ALL,$DF873,5)&amp;"","")&amp;"␟"&amp;IFERROR(INDEX(PASTE_ALL,$DF873,6)&amp;"","")&amp;"␟"&amp;IFERROR(INDEX(PASTE_ALL,$DF873,7)&amp;"","")&amp;"␟"&amp;IFERROR(INDEX(PASTE_ALL,$DF873,8)&amp;"","")&amp;"␟"&amp;IFERROR(INDEX(PASTE_ALL,$DF873,9)&amp;"","")&amp;"␟"&amp;IFERROR(INDEX(PASTE_ALL,$DF873,10)&amp;"","")&amp;"␟"&amp;IFERROR(INDEX(PASTE_ALL,$DF873,11)&amp;"","")&amp;"␟"&amp;IFERROR(INDEX(PASTE_ALL,$DF873,12)&amp;"","")&amp;"␟"&amp;IFERROR(INDEX(PASTE_ALL,$DF873,13)&amp;"","")&amp;"␟"&amp;IFERROR(INDEX(PASTE_ALL,$DF873,14)&amp;"","")&amp;"␟"&amp;IFERROR(INDEX(PASTE_ALL,$DF873,15)&amp;"","")&amp;"␟"&amp;IFERROR(INDEX(PASTE_ALL,$DF873,16)&amp;"","")&amp;"␟"&amp;IFERROR(INDEX(PASTE_ALL,$DF873,17)&amp;"","")&amp;"␟"&amp;IFERROR(INDEX(PASTE_ALL,$DF873,18)&amp;"","")&amp;"␟"&amp;IFERROR(INDEX(PASTE_ALL,$DF873,19)&amp;"","")&amp;"␟"&amp;IFERROR(INDEX(PASTE_ALL,$DF873,20)&amp;"","")&amp;"␟"&amp;IFERROR(INDEX(PASTE_ALL,$DF873,21)&amp;"","")&amp;"␟"&amp;IFERROR(INDEX(PASTE_ALL,$DF873,22)&amp;"","")&amp;"␟"&amp;IFERROR(INDEX(PASTE_ALL,$DF873,23)&amp;"","")&amp;"␟"&amp;IFERROR(INDEX(PASTE_ALL,$DF873,24)&amp;"","")&amp;"␟"&amp;IFERROR(INDEX(PASTE_ALL,$DF873,25)&amp;"","")&amp;"␟"&amp;IFERROR(INDEX(PASTE_ALL,$DF873,26)&amp;"","")&amp;"␟"&amp;IFERROR(INDEX(PASTE_ALL,$DF873,27)&amp;"","")&amp;"␟"&amp;IFERROR(INDEX(PASTE_ALL,$DF873,28)&amp;"","")&amp;"␟"&amp;IFERROR(INDEX(PASTE_ALL,$DF873,29)&amp;"","")&amp;"␟"&amp;IFERROR(INDEX(PASTE_ALL,$DF873,30)&amp;"","")&amp;"␟"&amp;IFERROR(INDEX(PASTE_ALL,$DF873,31)&amp;"","")&amp;"␟"&amp;IFERROR(INDEX(PASTE_ALL,$DF873,32)&amp;"","")&amp;"␟"&amp;IFERROR(INDEX(PASTE_ALL,$DF873,33)&amp;"","")&amp;"␟"&amp;IFERROR(INDEX(PASTE_ALL,$DF873,34)&amp;"","")&amp;"␟"&amp;IFERROR(INDEX(PASTE_ALL,$DF873,35)&amp;"","")&amp;"␟"&amp;IFERROR(INDEX(PASTE_ALL,$DF873,36)&amp;"","")&amp;"␟"&amp;IFERROR(INDEX(PASTE_ALL,$DF873,37)&amp;"","")&amp;"␟"&amp;IFERROR(INDEX(PASTE_ALL,$DF873,38)&amp;"","")&amp;"␟"&amp;IFERROR(INDEX(PASTE_ALL,$DF873,39)&amp;"","")&amp;"␟"&amp;IFERROR(INDEX(PASTE_ALL,$DF873,40)&amp;"","")&amp;"␟"&amp;IFERROR(INDEX(PASTE_ALL,$DF873,41)&amp;"","")&amp;"␟"&amp;IFERROR(INDEX(PASTE_ALL,$DF873,42)&amp;"","")&amp;"␟"&amp;IFERROR(INDEX(PASTE_ALL,$DF873,43)&amp;"","")&amp;"␟"&amp;IFERROR(INDEX(PASTE_ALL,$DF873,44)&amp;"","")&amp;"␟"&amp;IFERROR(INDEX(PASTE_ALL,$DF873,45)&amp;"","")&amp;"␟"&amp;IFERROR(INDEX(PASTE_ALL,$DF873,46)&amp;"","")&amp;"␟"&amp;IFERROR(INDEX(PASTE_ALL,$DF873,47)&amp;"","")&amp;"␟"&amp;IFERROR(INDEX(PASTE_ALL,$DF873,48)&amp;"","")&amp;"␟"&amp;IFERROR(INDEX(PASTE_ALL,$DF873,49)&amp;"","")&amp;"␟"&amp;IFERROR(INDEX(PASTE_ALL,$DF873,50)&amp;"","")&amp;"␟"&amp;IFERROR(INDEX(PASTE_ALL,$DF873,51)&amp;"","")&amp;"␟"&amp;IFERROR(INDEX(PASTE_ALL,$DF873,52)&amp;"","")&amp;"␟"&amp;IFERROR(INDEX(PASTE_ALL,$DF873,53)&amp;"","")&amp;"␟"&amp;IFERROR(INDEX(PASTE_ALL,$DF873,54)&amp;"","")&amp;"␟"&amp;IFERROR(INDEX(PASTE_ALL,$DF873,55)&amp;"","")&amp;"␟"&amp;IFERROR(INDEX(PASTE_ALL,$DF873,56)&amp;"","")&amp;"␟"&amp;IFERROR(INDEX(PASTE_ALL,$DF873,57)&amp;"","")&amp;"␟"&amp;IFERROR(INDEX(PASTE_ALL,$DF873,58)&amp;"","")&amp;"␟"&amp;IFERROR(INDEX(PASTE_ALL,$DF873,59)&amp;"","")&amp;"␟"&amp;IFERROR(INDEX(PASTE_ALL,$DF873,60)&amp;"","")," "," "),CHAR(9)," "),CHAR(10)," "),CHAR(13)," "))," ␟","␟"),"␟ ","␟"),"#"&amp;$DE873),"")</f>
        <v/>
      </c>
      <c r="DJ873">
        <f>IF($DI873="",0,IF(SUMPRODUCT(--EXACT($DI$4:DI872,$DI873))&gt;0,1,0))</f>
        <v/>
      </c>
      <c r="DK873">
        <f>IF(AND($DI873&lt;&gt;"",$DJ873=0),1,0)</f>
        <v/>
      </c>
      <c r="DL873">
        <f>DL872+$DK873</f>
        <v/>
      </c>
      <c r="DM873">
        <f>IF(AND($DK873=1,$DL873&lt;=600),1,0)</f>
        <v/>
      </c>
      <c r="DN873">
        <f>IF($DM873=0,"",IF($L$6=0,"",IFERROR(IF(ISNUMBER(INDEX(PASTE_ALL,$DF873,$L$6)),INDEX(PASTE_ALL,$DF873,$L$6),TRIM(SUBSTITUTE(SUBSTITUTE(SUBSTITUTE(SUBSTITUTE(INDEX(PASTE_ALL,$DF873,$L$6)," "," "),CHAR(9)," "),CHAR(10)," "),CHAR(13)," "))),"")))</f>
        <v/>
      </c>
      <c r="DO873">
        <f>IF($DM873=0,"",IF($L$7=0,"",IFERROR(IF(ISNUMBER(INDEX(PASTE_ALL,$DF873,$L$7)),INDEX(PASTE_ALL,$DF873,$L$7),TRIM(SUBSTITUTE(SUBSTITUTE(SUBSTITUTE(SUBSTITUTE(INDEX(PASTE_ALL,$DF873,$L$7)," "," "),CHAR(9)," "),CHAR(10)," "),CHAR(13)," "))),"")))</f>
        <v/>
      </c>
      <c r="DP873">
        <f>IF($DM873=0,"",IF($L$8=0,"",IFERROR(IF(ISNUMBER(INDEX(PASTE_ALL,$DF873,$L$8)),INDEX(PASTE_ALL,$DF873,$L$8),TRIM(SUBSTITUTE(SUBSTITUTE(SUBSTITUTE(SUBSTITUTE(INDEX(PASTE_ALL,$DF873,$L$8)," "," "),CHAR(9)," "),CHAR(10)," "),CHAR(13)," "))),"")))</f>
        <v/>
      </c>
      <c r="DQ873">
        <f>IF($DM873=0,"",IF($L$9=0,"",IFERROR(IF(ISNUMBER(INDEX(PASTE_ALL,$DF873,$L$9)),INDEX(PASTE_ALL,$DF873,$L$9),TRIM(SUBSTITUTE(SUBSTITUTE(SUBSTITUTE(SUBSTITUTE(INDEX(PASTE_ALL,$DF873,$L$9)," "," "),CHAR(9)," "),CHAR(10)," "),CHAR(13)," "))),"")))</f>
        <v/>
      </c>
      <c r="DR873">
        <f>IF($DM873=0,"",IF($L$10=0,"",IFERROR(IF(ISNUMBER(INDEX(PASTE_ALL,$DF873,$L$10)),INDEX(PASTE_ALL,$DF873,$L$10),TRIM(SUBSTITUTE(SUBSTITUTE(SUBSTITUTE(SUBSTITUTE(INDEX(PASTE_ALL,$DF873,$L$10)," "," "),CHAR(9)," "),CHAR(10)," "),CHAR(13)," "))),"")))</f>
        <v/>
      </c>
      <c r="DS873">
        <f>IF($DM873=0,"",IF($L$11=0,"",IFERROR(IF(ISNUMBER(INDEX(PASTE_ALL,$DF873,$L$11)),INDEX(PASTE_ALL,$DF873,$L$11),TRIM(SUBSTITUTE(SUBSTITUTE(SUBSTITUTE(SUBSTITUTE(INDEX(PASTE_ALL,$DF873,$L$11)," "," "),CHAR(9)," "),CHAR(10)," "),CHAR(13)," "))),"")))</f>
        <v/>
      </c>
      <c r="DT873">
        <f>IF($DM873=0,"",IF($L$12=0,"",IFERROR(IF(ISNUMBER(INDEX(PASTE_ALL,$DF873,$L$12)),INDEX(PASTE_ALL,$DF873,$L$12),TRIM(SUBSTITUTE(SUBSTITUTE(SUBSTITUTE(SUBSTITUTE(INDEX(PASTE_ALL,$DF873,$L$12)," "," "),CHAR(9)," "),CHAR(10)," "),CHAR(13)," "))),"")))</f>
        <v/>
      </c>
      <c r="DU873">
        <f>IF($DM873=0,"",IF($L$13=0,"",IFERROR(IF(ISNUMBER(INDEX(PASTE_ALL,$DF873,$L$13)),INDEX(PASTE_ALL,$DF873,$L$13),TRIM(SUBSTITUTE(SUBSTITUTE(SUBSTITUTE(SUBSTITUTE(INDEX(PASTE_ALL,$DF873,$L$13)," "," "),CHAR(9)," "),CHAR(10)," "),CHAR(13)," "))),"")))</f>
        <v/>
      </c>
      <c r="DV873">
        <f>IF($DM873=0,"",IF($L$14=0,"",IFERROR(IF(ISNUMBER(INDEX(PASTE_ALL,$DF873,$L$14)),INDEX(PASTE_ALL,$DF873,$L$14),TRIM(SUBSTITUTE(SUBSTITUTE(SUBSTITUTE(SUBSTITUTE(INDEX(PASTE_ALL,$DF873,$L$14)," "," "),CHAR(9)," "),CHAR(10)," "),CHAR(13)," "))),"")))</f>
        <v/>
      </c>
      <c r="DW873">
        <f>IF($DM873=0,"",IF($L$15=0,"",IFERROR(IF(ISNUMBER(INDEX(PASTE_ALL,$DF873,$L$15)),INDEX(PASTE_ALL,$DF873,$L$15),IF(SUMPRODUCT(--ISNUMBER(FIND({"A","B","C","D","E","F","G","H","I","J","K","L","M","N","O","P","Q","R","S","T","U","V","W","X","Y","Z","0","1","2","3","4","5","6","7","8","9"},UPPER(TRIM(SUBSTITUTE(SUBSTITUTE(SUBSTITUTE(SUBSTITUTE(INDEX(PASTE_ALL,$DF873,$L$15)," "," "),CHAR(9)," "),CHAR(10)," "),CHAR(13)," "))))))&gt;0,TRIM(SUBSTITUTE(SUBSTITUTE(SUBSTITUTE(SUBSTITUTE(INDEX(PASTE_ALL,$DF873,$L$15)," "," "),CHAR(9)," "),CHAR(10)," "),CHAR(13)," ")),"")),"")))</f>
        <v/>
      </c>
      <c r="DX873">
        <f>IF($DM873=0,"",IF($L$16=0,"",IFERROR(IF(ISNUMBER(INDEX(PASTE_ALL,$DF873,$L$16)),INDEX(PASTE_ALL,$DF873,$L$16),SUBSTITUTE(SUBSTITUTE(TRIM(SUBSTITUTE(SUBSTITUTE(SUBSTITUTE(SUBSTITUTE(INDEX(PASTE_ALL,$DF873,$L$16)," "," "),CHAR(9)," "),CHAR(10)," "),CHAR(13)," ")),",",""),"%","")),"")))</f>
        <v/>
      </c>
      <c r="DY873">
        <f>IF($DM873=0,"",IFERROR(IF(ISNUMBER($DX873),$DX873,IF($DX873="","",IF(TRIM($DX873)="",0,IF(AND(AND(SUBSTITUTE(SUBSTITUTE(SUBSTITUTE(SUBSTITUTE(SUBSTITUTE(SUBSTITUTE(SUBSTITUTE(SUBSTITUTE(SUBSTITUTE(SUBSTITUTE(SUBSTITUTE(SUBSTITUTE(SUBSTITUTE(SUBSTITUTE(UPPER(TRIM($DX873)),"0",""),"1",""),"2",""),"3",""),"4",""),"5",""),"6",""),"7",""),"8",""),"9",""),".",""),"+",""),"-",""),"E","")="",LEN(SUBSTITUTE(SUBSTITUTE(MID(UPPER(TRIM($DX873)),1+OR(LEFT(UPPER(TRIM($DX873)),1)="+",LEFT(UPPER(TRIM($DX873)),1)="-"),999),"E+","E"),"E-","E"))=LEN(SUBSTITUTE(SUBSTITUTE(SUBSTITUTE(SUBSTITUTE(MID(UPPER(TRIM($DX873)),1+OR(LEFT(UPPER(TRIM($DX873)),1)="+",LEFT(UPPER(TRIM($DX873)),1)="-"),999),"E+","E"),"E-","E"),"+",""),"-","")),LEN(UPPER(TRIM($DX873)))-LEN(SUBSTITUTE(UPPER(TRIM($DX873)),"E",""))&lt;2,LEN(UPPER(TRIM($DX873)))-LEN(SUBSTITUTE(UPPER(TRIM($DX873)),".",""))&lt;2,IFERROR(FIND(".",UPPER(TRIM($DX873))),0)&lt;IFERROR(FIND("E",UPPER(TRIM($DX873))),999)),ISNUMBER(VALUE(TRIM($DX873)))),VALUE(TRIM($DX873)),"")))),""))</f>
        <v/>
      </c>
      <c r="DZ873">
        <f>IF($DM873=0,"",IF($L$17=0,"",IFERROR(IF(ISNUMBER(INDEX(PASTE_ALL,$DF873,$L$17)),INDEX(PASTE_ALL,$DF873,$L$17),SUBSTITUTE(SUBSTITUTE(TRIM(SUBSTITUTE(SUBSTITUTE(SUBSTITUTE(SUBSTITUTE(INDEX(PASTE_ALL,$DF873,$L$17)," "," "),CHAR(9)," "),CHAR(10)," "),CHAR(13)," ")),",",""),"%","")),"")))</f>
        <v/>
      </c>
      <c r="EA873">
        <f>IF($DM873=0,"",IFERROR(IF(ISNUMBER($DZ873),$DZ873,IF($DZ873="","",IF(TRIM($DZ873)="",0,IF(AND(AND(SUBSTITUTE(SUBSTITUTE(SUBSTITUTE(SUBSTITUTE(SUBSTITUTE(SUBSTITUTE(SUBSTITUTE(SUBSTITUTE(SUBSTITUTE(SUBSTITUTE(SUBSTITUTE(SUBSTITUTE(SUBSTITUTE(SUBSTITUTE(UPPER(TRIM($DZ873)),"0",""),"1",""),"2",""),"3",""),"4",""),"5",""),"6",""),"7",""),"8",""),"9",""),".",""),"+",""),"-",""),"E","")="",LEN(SUBSTITUTE(SUBSTITUTE(MID(UPPER(TRIM($DZ873)),1+OR(LEFT(UPPER(TRIM($DZ873)),1)="+",LEFT(UPPER(TRIM($DZ873)),1)="-"),999),"E+","E"),"E-","E"))=LEN(SUBSTITUTE(SUBSTITUTE(SUBSTITUTE(SUBSTITUTE(MID(UPPER(TRIM($DZ873)),1+OR(LEFT(UPPER(TRIM($DZ873)),1)="+",LEFT(UPPER(TRIM($DZ873)),1)="-"),999),"E+","E"),"E-","E"),"+",""),"-","")),LEN(UPPER(TRIM($DZ873)))-LEN(SUBSTITUTE(UPPER(TRIM($DZ873)),"E",""))&lt;2,LEN(UPPER(TRIM($DZ873)))-LEN(SUBSTITUTE(UPPER(TRIM($DZ873)),".",""))&lt;2,IFERROR(FIND(".",UPPER(TRIM($DZ873))),0)&lt;IFERROR(FIND("E",UPPER(TRIM($DZ873))),999)),ISNUMBER(VALUE(TRIM($DZ873)))),VALUE(TRIM($DZ873)),"")))),""))</f>
        <v/>
      </c>
      <c r="EB873">
        <f>IF($DM873=0,"",IF($L$18=0,"",IFERROR(IF(UPPER(TRIM(SUBSTITUTE(SUBSTITUTE(SUBSTITUTE(SUBSTITUTE(INDEX(PASTE_ALL,$DF873,$L$18)," "," "),CHAR(9)," "),CHAR(10)," "),CHAR(13)," ")))="READY","Ready",IF(UPPER(TRIM(SUBSTITUTE(SUBSTITUTE(SUBSTITUTE(SUBSTITUTE(INDEX(PASTE_ALL,$DF873,$L$18)," "," "),CHAR(9)," "),CHAR(10)," "),CHAR(13)," ")))="PM","PM",IF(OR(UPPER(TRIM(SUBSTITUTE(SUBSTITUTE(SUBSTITUTE(SUBSTITUTE(INDEX(PASTE_ALL,$DF873,$L$18)," "," "),CHAR(9)," "),CHAR(10)," "),CHAR(13)," ")))="OT",UPPER(TRIM(SUBSTITUTE(SUBSTITUTE(SUBSTITUTE(SUBSTITUTE(INDEX(PASTE_ALL,$DF873,$L$18)," "," "),CHAR(9)," "),CHAR(10)," "),CHAR(13)," ")))="OVERTIME",UPPER(TRIM(SUBSTITUTE(SUBSTITUTE(SUBSTITUTE(SUBSTITUTE(INDEX(PASTE_ALL,$DF873,$L$18)," "," "),CHAR(9)," "),CHAR(10)," "),CHAR(13)," ")))="TRIAL"),"OT",TRIM(SUBSTITUTE(SUBSTITUTE(SUBSTITUTE(SUBSTITUTE(INDEX(PASTE_ALL,$DF873,$L$18)," "," "),CHAR(9)," "),CHAR(10)," "),CHAR(13)," "))))),"")))</f>
        <v/>
      </c>
      <c r="EC873">
        <f>IF($DM873=0,"",IF($L$19=0,"",IFERROR(IF(ISNUMBER(INDEX(PASTE_ALL,$DF873,$L$19)),INDEX(PASTE_ALL,$DF873,$L$19),TRIM(SUBSTITUTE(SUBSTITUTE(SUBSTITUTE(SUBSTITUTE(INDEX(PASTE_ALL,$DF873,$L$19)," "," "),CHAR(9)," "),CHAR(10)," "),CHAR(13)," "))),"")))</f>
        <v/>
      </c>
      <c r="ED873">
        <f>IF($DM873=0,"",MATCH(1,INDEX(EXACT($DH$5:DH873,$DH873)*$DM$5:DM873,0),0))</f>
        <v/>
      </c>
      <c r="EE873">
        <f>IF($DM873=0,0,IF($ED873=$DE873,1,0))</f>
        <v/>
      </c>
      <c r="EF873">
        <f>EF872+$EE873</f>
        <v/>
      </c>
      <c r="EG873">
        <f>IF($DM873=0,"",INDEX($EF$5:$EF$1003,$ED873))</f>
        <v/>
      </c>
      <c r="EH873">
        <f>IF($DM873=0,"",IF($DO873&lt;&gt;"","",IFERROR(LOOKUP(2,1/(($EG$4:EG872=$EG873)*($DO$4:DO872&lt;&gt;"")),$DO$4:DO872),"")))</f>
        <v/>
      </c>
      <c r="EI873">
        <f>IF($DM873=0,"",IF($DO873&lt;&gt;"",$DO873,$EH873))</f>
        <v/>
      </c>
      <c r="EJ873">
        <f>IF($DM873=0,"",IF($EI873="",0,IF(OR(ISNUMBER($EI873),AND(AND(SUBSTITUTE(SUBSTITUTE(SUBSTITUTE(SUBSTITUTE(SUBSTITUTE(SUBSTITUTE(SUBSTITUTE(SUBSTITUTE(SUBSTITUTE(SUBSTITUTE(SUBSTITUTE(SUBSTITUTE(SUBSTITUTE(SUBSTITUTE(UPPER($EI873),"0",""),"1",""),"2",""),"3",""),"4",""),"5",""),"6",""),"7",""),"8",""),"9",""),".",""),"+",""),"-",""),"E","")="",LEN(SUBSTITUTE(SUBSTITUTE(MID(UPPER($EI873),1+OR(LEFT(UPPER($EI873),1)="+",LEFT(UPPER($EI873),1)="-"),999),"E+","E"),"E-","E"))=LEN(SUBSTITUTE(SUBSTITUTE(SUBSTITUTE(SUBSTITUTE(MID(UPPER($EI873),1+OR(LEFT(UPPER($EI873),1)="+",LEFT(UPPER($EI873),1)="-"),999),"E+","E"),"E-","E"),"+",""),"-","")),LEN(UPPER($EI873))-LEN(SUBSTITUTE(UPPER($EI873),"E",""))&lt;2,LEN(UPPER($EI873))-LEN(SUBSTITUTE(UPPER($EI873),".",""))&lt;2,IFERROR(FIND(".",UPPER($EI873)),0)&lt;IFERROR(FIND("E",UPPER($EI873)),999)),ISNUMBER(VALUE($EI873)))),1,2)))</f>
        <v/>
      </c>
      <c r="EK873">
        <f>IF($DM873=0,"",IF($EJ873=1,IF(ISNUMBER($EI873),$EI873,VALUE($EI873)),IF($EJ873=2,$DE873,0)))</f>
        <v/>
      </c>
      <c r="EL873">
        <f>IF($DM873=0,"",COUNTIF($EG$5:$EG$1003,"&lt;"&amp;$EG873)+SUMPRODUCT(($EG$5:$EG$1003=$EG873)*(($EJ$5:$EJ$1003&lt;$EJ873)+($EJ$5:$EJ$1003=$EJ873)*(($EK$5:$EK$1003&lt;$EK873)+($EK$5:$EK$1003=$EK873)*($DE$5:$DE$1003&lt;$DE873))))+1)</f>
        <v/>
      </c>
      <c r="EM873">
        <f>IF($DM873=0,"",$EL873+$EG873-1)</f>
        <v/>
      </c>
      <c r="EN873">
        <f>IF($DM873=0,0,IFERROR(MATCH(1,INDEX(--(TRIM(SUBSTITUTE(SUBSTITUTE(SUBSTITUTE(SUBSTITUTE(LINES_NAME&amp;""," "," "),CHAR(9)," "),CHAR(10)," "),CHAR(13)," "))=$DH873),0),0),0))</f>
        <v/>
      </c>
      <c r="EO873">
        <f>IF($EN873=0,0,IF(OR(UPPER(TRIM(INDEX(LINES_SCHEDULED,$EN873)&amp;""))="YES",UPPER(TRIM(INDEX(LINES_SCHEDULED,$EN873)&amp;""))="Y",UPPER(TRIM(INDEX(LINES_SCHEDULED,$EN873)&amp;""))="X"),1,0))</f>
        <v/>
      </c>
      <c r="EP873">
        <f>IF($DM873=0,"",IF(COUNTIFS($EG$5:$EG$1003,$EG873,$EB$5:$EB$1003,"Ready")&gt;0,"READY",IF(COUNTIFS($EG$5:$EG$1003,$EG873,$EB$5:$EB$1003,"PM")&gt;0,"PM",IF(COUNTIFS($EG$5:$EG$1003,$EG873,$EB$5:$EB$1003,"OT")&gt;0,"OT",""))))</f>
        <v/>
      </c>
      <c r="EQ873">
        <f>IF($EN873=0,"",UPPER(TRIM(INDEX(LINES_STATUS,$EN873)&amp;"")))</f>
        <v/>
      </c>
      <c r="ER873">
        <f>IF($DM873=0,"",IF(OR($EQ873="READY",$EQ873="PM",$EQ873="OT"),$EQ873,$EP873))</f>
        <v/>
      </c>
      <c r="ES873">
        <f>IF($DM873=0,"",IF(AND($DV873&lt;&gt;"",UPPER($DV873)&lt;&gt;"N"),"allergen",IF(ISNUMBER(SEARCH("oil",$DQ873)),"oil",IF(OR(EXACT($DS873,"A662"),EXACT($DS873,"A624")),"bulk",""))))</f>
        <v/>
      </c>
      <c r="ET873">
        <f>IF($DM873=0,"",IF(OR($EA873="",$EA873=0),"",$EA873/100))</f>
        <v/>
      </c>
      <c r="EU873">
        <f>IF(OR($ET873="",$DY873=""),"",INT($DY873*(1-$ET873)+0.5))</f>
        <v/>
      </c>
    </row>
    <row r="874">
      <c r="DA874" t="n">
        <v>870</v>
      </c>
      <c r="DB874">
        <f>IF($B$37=0,"",IFERROR(TRIM(SUBSTITUTE(SUBSTITUTE(SUBSTITUTE(SUBSTITUTE(INDEX(PASTE_ALL,870,$B$37)," "," "),CHAR(9)," "),CHAR(10)," "),CHAR(13)," ")),""))</f>
        <v/>
      </c>
      <c r="DC874">
        <f>IF(AND(870&gt;HEADER_ROW,UPPER(DB874)="LEGEND"),1,0)</f>
        <v/>
      </c>
      <c r="DE874" t="n">
        <v>870</v>
      </c>
      <c r="DF874">
        <f>HEADER_ROW+$DE874</f>
        <v/>
      </c>
      <c r="DG874">
        <f>IF(AND($DF874&lt;=1000,$DF874&lt;$B$8),1,0)</f>
        <v/>
      </c>
      <c r="DH874">
        <f>IF($DG874=1,IFERROR(INDEX($DB$5:$DB$1004,$DF874),""),"")</f>
        <v/>
      </c>
      <c r="DI874">
        <f>IF(AND($DG874=1,$DH874&lt;&gt;""),IFERROR(SUBSTITUTE(SUBSTITUTE(TRIM(SUBSTITUTE(SUBSTITUTE(SUBSTITUTE(SUBSTITUTE(IFERROR(INDEX(PASTE_ALL,$DF874,1)&amp;"","")&amp;"␟"&amp;IFERROR(INDEX(PASTE_ALL,$DF874,2)&amp;"","")&amp;"␟"&amp;IFERROR(INDEX(PASTE_ALL,$DF874,3)&amp;"","")&amp;"␟"&amp;IFERROR(INDEX(PASTE_ALL,$DF874,4)&amp;"","")&amp;"␟"&amp;IFERROR(INDEX(PASTE_ALL,$DF874,5)&amp;"","")&amp;"␟"&amp;IFERROR(INDEX(PASTE_ALL,$DF874,6)&amp;"","")&amp;"␟"&amp;IFERROR(INDEX(PASTE_ALL,$DF874,7)&amp;"","")&amp;"␟"&amp;IFERROR(INDEX(PASTE_ALL,$DF874,8)&amp;"","")&amp;"␟"&amp;IFERROR(INDEX(PASTE_ALL,$DF874,9)&amp;"","")&amp;"␟"&amp;IFERROR(INDEX(PASTE_ALL,$DF874,10)&amp;"","")&amp;"␟"&amp;IFERROR(INDEX(PASTE_ALL,$DF874,11)&amp;"","")&amp;"␟"&amp;IFERROR(INDEX(PASTE_ALL,$DF874,12)&amp;"","")&amp;"␟"&amp;IFERROR(INDEX(PASTE_ALL,$DF874,13)&amp;"","")&amp;"␟"&amp;IFERROR(INDEX(PASTE_ALL,$DF874,14)&amp;"","")&amp;"␟"&amp;IFERROR(INDEX(PASTE_ALL,$DF874,15)&amp;"","")&amp;"␟"&amp;IFERROR(INDEX(PASTE_ALL,$DF874,16)&amp;"","")&amp;"␟"&amp;IFERROR(INDEX(PASTE_ALL,$DF874,17)&amp;"","")&amp;"␟"&amp;IFERROR(INDEX(PASTE_ALL,$DF874,18)&amp;"","")&amp;"␟"&amp;IFERROR(INDEX(PASTE_ALL,$DF874,19)&amp;"","")&amp;"␟"&amp;IFERROR(INDEX(PASTE_ALL,$DF874,20)&amp;"","")&amp;"␟"&amp;IFERROR(INDEX(PASTE_ALL,$DF874,21)&amp;"","")&amp;"␟"&amp;IFERROR(INDEX(PASTE_ALL,$DF874,22)&amp;"","")&amp;"␟"&amp;IFERROR(INDEX(PASTE_ALL,$DF874,23)&amp;"","")&amp;"␟"&amp;IFERROR(INDEX(PASTE_ALL,$DF874,24)&amp;"","")&amp;"␟"&amp;IFERROR(INDEX(PASTE_ALL,$DF874,25)&amp;"","")&amp;"␟"&amp;IFERROR(INDEX(PASTE_ALL,$DF874,26)&amp;"","")&amp;"␟"&amp;IFERROR(INDEX(PASTE_ALL,$DF874,27)&amp;"","")&amp;"␟"&amp;IFERROR(INDEX(PASTE_ALL,$DF874,28)&amp;"","")&amp;"␟"&amp;IFERROR(INDEX(PASTE_ALL,$DF874,29)&amp;"","")&amp;"␟"&amp;IFERROR(INDEX(PASTE_ALL,$DF874,30)&amp;"","")&amp;"␟"&amp;IFERROR(INDEX(PASTE_ALL,$DF874,31)&amp;"","")&amp;"␟"&amp;IFERROR(INDEX(PASTE_ALL,$DF874,32)&amp;"","")&amp;"␟"&amp;IFERROR(INDEX(PASTE_ALL,$DF874,33)&amp;"","")&amp;"␟"&amp;IFERROR(INDEX(PASTE_ALL,$DF874,34)&amp;"","")&amp;"␟"&amp;IFERROR(INDEX(PASTE_ALL,$DF874,35)&amp;"","")&amp;"␟"&amp;IFERROR(INDEX(PASTE_ALL,$DF874,36)&amp;"","")&amp;"␟"&amp;IFERROR(INDEX(PASTE_ALL,$DF874,37)&amp;"","")&amp;"␟"&amp;IFERROR(INDEX(PASTE_ALL,$DF874,38)&amp;"","")&amp;"␟"&amp;IFERROR(INDEX(PASTE_ALL,$DF874,39)&amp;"","")&amp;"␟"&amp;IFERROR(INDEX(PASTE_ALL,$DF874,40)&amp;"","")&amp;"␟"&amp;IFERROR(INDEX(PASTE_ALL,$DF874,41)&amp;"","")&amp;"␟"&amp;IFERROR(INDEX(PASTE_ALL,$DF874,42)&amp;"","")&amp;"␟"&amp;IFERROR(INDEX(PASTE_ALL,$DF874,43)&amp;"","")&amp;"␟"&amp;IFERROR(INDEX(PASTE_ALL,$DF874,44)&amp;"","")&amp;"␟"&amp;IFERROR(INDEX(PASTE_ALL,$DF874,45)&amp;"","")&amp;"␟"&amp;IFERROR(INDEX(PASTE_ALL,$DF874,46)&amp;"","")&amp;"␟"&amp;IFERROR(INDEX(PASTE_ALL,$DF874,47)&amp;"","")&amp;"␟"&amp;IFERROR(INDEX(PASTE_ALL,$DF874,48)&amp;"","")&amp;"␟"&amp;IFERROR(INDEX(PASTE_ALL,$DF874,49)&amp;"","")&amp;"␟"&amp;IFERROR(INDEX(PASTE_ALL,$DF874,50)&amp;"","")&amp;"␟"&amp;IFERROR(INDEX(PASTE_ALL,$DF874,51)&amp;"","")&amp;"␟"&amp;IFERROR(INDEX(PASTE_ALL,$DF874,52)&amp;"","")&amp;"␟"&amp;IFERROR(INDEX(PASTE_ALL,$DF874,53)&amp;"","")&amp;"␟"&amp;IFERROR(INDEX(PASTE_ALL,$DF874,54)&amp;"","")&amp;"␟"&amp;IFERROR(INDEX(PASTE_ALL,$DF874,55)&amp;"","")&amp;"␟"&amp;IFERROR(INDEX(PASTE_ALL,$DF874,56)&amp;"","")&amp;"␟"&amp;IFERROR(INDEX(PASTE_ALL,$DF874,57)&amp;"","")&amp;"␟"&amp;IFERROR(INDEX(PASTE_ALL,$DF874,58)&amp;"","")&amp;"␟"&amp;IFERROR(INDEX(PASTE_ALL,$DF874,59)&amp;"","")&amp;"␟"&amp;IFERROR(INDEX(PASTE_ALL,$DF874,60)&amp;"","")," "," "),CHAR(9)," "),CHAR(10)," "),CHAR(13)," "))," ␟","␟"),"␟ ","␟"),"#"&amp;$DE874),"")</f>
        <v/>
      </c>
      <c r="DJ874">
        <f>IF($DI874="",0,IF(SUMPRODUCT(--EXACT($DI$4:DI873,$DI874))&gt;0,1,0))</f>
        <v/>
      </c>
      <c r="DK874">
        <f>IF(AND($DI874&lt;&gt;"",$DJ874=0),1,0)</f>
        <v/>
      </c>
      <c r="DL874">
        <f>DL873+$DK874</f>
        <v/>
      </c>
      <c r="DM874">
        <f>IF(AND($DK874=1,$DL874&lt;=600),1,0)</f>
        <v/>
      </c>
      <c r="DN874">
        <f>IF($DM874=0,"",IF($L$6=0,"",IFERROR(IF(ISNUMBER(INDEX(PASTE_ALL,$DF874,$L$6)),INDEX(PASTE_ALL,$DF874,$L$6),TRIM(SUBSTITUTE(SUBSTITUTE(SUBSTITUTE(SUBSTITUTE(INDEX(PASTE_ALL,$DF874,$L$6)," "," "),CHAR(9)," "),CHAR(10)," "),CHAR(13)," "))),"")))</f>
        <v/>
      </c>
      <c r="DO874">
        <f>IF($DM874=0,"",IF($L$7=0,"",IFERROR(IF(ISNUMBER(INDEX(PASTE_ALL,$DF874,$L$7)),INDEX(PASTE_ALL,$DF874,$L$7),TRIM(SUBSTITUTE(SUBSTITUTE(SUBSTITUTE(SUBSTITUTE(INDEX(PASTE_ALL,$DF874,$L$7)," "," "),CHAR(9)," "),CHAR(10)," "),CHAR(13)," "))),"")))</f>
        <v/>
      </c>
      <c r="DP874">
        <f>IF($DM874=0,"",IF($L$8=0,"",IFERROR(IF(ISNUMBER(INDEX(PASTE_ALL,$DF874,$L$8)),INDEX(PASTE_ALL,$DF874,$L$8),TRIM(SUBSTITUTE(SUBSTITUTE(SUBSTITUTE(SUBSTITUTE(INDEX(PASTE_ALL,$DF874,$L$8)," "," "),CHAR(9)," "),CHAR(10)," "),CHAR(13)," "))),"")))</f>
        <v/>
      </c>
      <c r="DQ874">
        <f>IF($DM874=0,"",IF($L$9=0,"",IFERROR(IF(ISNUMBER(INDEX(PASTE_ALL,$DF874,$L$9)),INDEX(PASTE_ALL,$DF874,$L$9),TRIM(SUBSTITUTE(SUBSTITUTE(SUBSTITUTE(SUBSTITUTE(INDEX(PASTE_ALL,$DF874,$L$9)," "," "),CHAR(9)," "),CHAR(10)," "),CHAR(13)," "))),"")))</f>
        <v/>
      </c>
      <c r="DR874">
        <f>IF($DM874=0,"",IF($L$10=0,"",IFERROR(IF(ISNUMBER(INDEX(PASTE_ALL,$DF874,$L$10)),INDEX(PASTE_ALL,$DF874,$L$10),TRIM(SUBSTITUTE(SUBSTITUTE(SUBSTITUTE(SUBSTITUTE(INDEX(PASTE_ALL,$DF874,$L$10)," "," "),CHAR(9)," "),CHAR(10)," "),CHAR(13)," "))),"")))</f>
        <v/>
      </c>
      <c r="DS874">
        <f>IF($DM874=0,"",IF($L$11=0,"",IFERROR(IF(ISNUMBER(INDEX(PASTE_ALL,$DF874,$L$11)),INDEX(PASTE_ALL,$DF874,$L$11),TRIM(SUBSTITUTE(SUBSTITUTE(SUBSTITUTE(SUBSTITUTE(INDEX(PASTE_ALL,$DF874,$L$11)," "," "),CHAR(9)," "),CHAR(10)," "),CHAR(13)," "))),"")))</f>
        <v/>
      </c>
      <c r="DT874">
        <f>IF($DM874=0,"",IF($L$12=0,"",IFERROR(IF(ISNUMBER(INDEX(PASTE_ALL,$DF874,$L$12)),INDEX(PASTE_ALL,$DF874,$L$12),TRIM(SUBSTITUTE(SUBSTITUTE(SUBSTITUTE(SUBSTITUTE(INDEX(PASTE_ALL,$DF874,$L$12)," "," "),CHAR(9)," "),CHAR(10)," "),CHAR(13)," "))),"")))</f>
        <v/>
      </c>
      <c r="DU874">
        <f>IF($DM874=0,"",IF($L$13=0,"",IFERROR(IF(ISNUMBER(INDEX(PASTE_ALL,$DF874,$L$13)),INDEX(PASTE_ALL,$DF874,$L$13),TRIM(SUBSTITUTE(SUBSTITUTE(SUBSTITUTE(SUBSTITUTE(INDEX(PASTE_ALL,$DF874,$L$13)," "," "),CHAR(9)," "),CHAR(10)," "),CHAR(13)," "))),"")))</f>
        <v/>
      </c>
      <c r="DV874">
        <f>IF($DM874=0,"",IF($L$14=0,"",IFERROR(IF(ISNUMBER(INDEX(PASTE_ALL,$DF874,$L$14)),INDEX(PASTE_ALL,$DF874,$L$14),TRIM(SUBSTITUTE(SUBSTITUTE(SUBSTITUTE(SUBSTITUTE(INDEX(PASTE_ALL,$DF874,$L$14)," "," "),CHAR(9)," "),CHAR(10)," "),CHAR(13)," "))),"")))</f>
        <v/>
      </c>
      <c r="DW874">
        <f>IF($DM874=0,"",IF($L$15=0,"",IFERROR(IF(ISNUMBER(INDEX(PASTE_ALL,$DF874,$L$15)),INDEX(PASTE_ALL,$DF874,$L$15),IF(SUMPRODUCT(--ISNUMBER(FIND({"A","B","C","D","E","F","G","H","I","J","K","L","M","N","O","P","Q","R","S","T","U","V","W","X","Y","Z","0","1","2","3","4","5","6","7","8","9"},UPPER(TRIM(SUBSTITUTE(SUBSTITUTE(SUBSTITUTE(SUBSTITUTE(INDEX(PASTE_ALL,$DF874,$L$15)," "," "),CHAR(9)," "),CHAR(10)," "),CHAR(13)," "))))))&gt;0,TRIM(SUBSTITUTE(SUBSTITUTE(SUBSTITUTE(SUBSTITUTE(INDEX(PASTE_ALL,$DF874,$L$15)," "," "),CHAR(9)," "),CHAR(10)," "),CHAR(13)," ")),"")),"")))</f>
        <v/>
      </c>
      <c r="DX874">
        <f>IF($DM874=0,"",IF($L$16=0,"",IFERROR(IF(ISNUMBER(INDEX(PASTE_ALL,$DF874,$L$16)),INDEX(PASTE_ALL,$DF874,$L$16),SUBSTITUTE(SUBSTITUTE(TRIM(SUBSTITUTE(SUBSTITUTE(SUBSTITUTE(SUBSTITUTE(INDEX(PASTE_ALL,$DF874,$L$16)," "," "),CHAR(9)," "),CHAR(10)," "),CHAR(13)," ")),",",""),"%","")),"")))</f>
        <v/>
      </c>
      <c r="DY874">
        <f>IF($DM874=0,"",IFERROR(IF(ISNUMBER($DX874),$DX874,IF($DX874="","",IF(TRIM($DX874)="",0,IF(AND(AND(SUBSTITUTE(SUBSTITUTE(SUBSTITUTE(SUBSTITUTE(SUBSTITUTE(SUBSTITUTE(SUBSTITUTE(SUBSTITUTE(SUBSTITUTE(SUBSTITUTE(SUBSTITUTE(SUBSTITUTE(SUBSTITUTE(SUBSTITUTE(UPPER(TRIM($DX874)),"0",""),"1",""),"2",""),"3",""),"4",""),"5",""),"6",""),"7",""),"8",""),"9",""),".",""),"+",""),"-",""),"E","")="",LEN(SUBSTITUTE(SUBSTITUTE(MID(UPPER(TRIM($DX874)),1+OR(LEFT(UPPER(TRIM($DX874)),1)="+",LEFT(UPPER(TRIM($DX874)),1)="-"),999),"E+","E"),"E-","E"))=LEN(SUBSTITUTE(SUBSTITUTE(SUBSTITUTE(SUBSTITUTE(MID(UPPER(TRIM($DX874)),1+OR(LEFT(UPPER(TRIM($DX874)),1)="+",LEFT(UPPER(TRIM($DX874)),1)="-"),999),"E+","E"),"E-","E"),"+",""),"-","")),LEN(UPPER(TRIM($DX874)))-LEN(SUBSTITUTE(UPPER(TRIM($DX874)),"E",""))&lt;2,LEN(UPPER(TRIM($DX874)))-LEN(SUBSTITUTE(UPPER(TRIM($DX874)),".",""))&lt;2,IFERROR(FIND(".",UPPER(TRIM($DX874))),0)&lt;IFERROR(FIND("E",UPPER(TRIM($DX874))),999)),ISNUMBER(VALUE(TRIM($DX874)))),VALUE(TRIM($DX874)),"")))),""))</f>
        <v/>
      </c>
      <c r="DZ874">
        <f>IF($DM874=0,"",IF($L$17=0,"",IFERROR(IF(ISNUMBER(INDEX(PASTE_ALL,$DF874,$L$17)),INDEX(PASTE_ALL,$DF874,$L$17),SUBSTITUTE(SUBSTITUTE(TRIM(SUBSTITUTE(SUBSTITUTE(SUBSTITUTE(SUBSTITUTE(INDEX(PASTE_ALL,$DF874,$L$17)," "," "),CHAR(9)," "),CHAR(10)," "),CHAR(13)," ")),",",""),"%","")),"")))</f>
        <v/>
      </c>
      <c r="EA874">
        <f>IF($DM874=0,"",IFERROR(IF(ISNUMBER($DZ874),$DZ874,IF($DZ874="","",IF(TRIM($DZ874)="",0,IF(AND(AND(SUBSTITUTE(SUBSTITUTE(SUBSTITUTE(SUBSTITUTE(SUBSTITUTE(SUBSTITUTE(SUBSTITUTE(SUBSTITUTE(SUBSTITUTE(SUBSTITUTE(SUBSTITUTE(SUBSTITUTE(SUBSTITUTE(SUBSTITUTE(UPPER(TRIM($DZ874)),"0",""),"1",""),"2",""),"3",""),"4",""),"5",""),"6",""),"7",""),"8",""),"9",""),".",""),"+",""),"-",""),"E","")="",LEN(SUBSTITUTE(SUBSTITUTE(MID(UPPER(TRIM($DZ874)),1+OR(LEFT(UPPER(TRIM($DZ874)),1)="+",LEFT(UPPER(TRIM($DZ874)),1)="-"),999),"E+","E"),"E-","E"))=LEN(SUBSTITUTE(SUBSTITUTE(SUBSTITUTE(SUBSTITUTE(MID(UPPER(TRIM($DZ874)),1+OR(LEFT(UPPER(TRIM($DZ874)),1)="+",LEFT(UPPER(TRIM($DZ874)),1)="-"),999),"E+","E"),"E-","E"),"+",""),"-","")),LEN(UPPER(TRIM($DZ874)))-LEN(SUBSTITUTE(UPPER(TRIM($DZ874)),"E",""))&lt;2,LEN(UPPER(TRIM($DZ874)))-LEN(SUBSTITUTE(UPPER(TRIM($DZ874)),".",""))&lt;2,IFERROR(FIND(".",UPPER(TRIM($DZ874))),0)&lt;IFERROR(FIND("E",UPPER(TRIM($DZ874))),999)),ISNUMBER(VALUE(TRIM($DZ874)))),VALUE(TRIM($DZ874)),"")))),""))</f>
        <v/>
      </c>
      <c r="EB874">
        <f>IF($DM874=0,"",IF($L$18=0,"",IFERROR(IF(UPPER(TRIM(SUBSTITUTE(SUBSTITUTE(SUBSTITUTE(SUBSTITUTE(INDEX(PASTE_ALL,$DF874,$L$18)," "," "),CHAR(9)," "),CHAR(10)," "),CHAR(13)," ")))="READY","Ready",IF(UPPER(TRIM(SUBSTITUTE(SUBSTITUTE(SUBSTITUTE(SUBSTITUTE(INDEX(PASTE_ALL,$DF874,$L$18)," "," "),CHAR(9)," "),CHAR(10)," "),CHAR(13)," ")))="PM","PM",IF(OR(UPPER(TRIM(SUBSTITUTE(SUBSTITUTE(SUBSTITUTE(SUBSTITUTE(INDEX(PASTE_ALL,$DF874,$L$18)," "," "),CHAR(9)," "),CHAR(10)," "),CHAR(13)," ")))="OT",UPPER(TRIM(SUBSTITUTE(SUBSTITUTE(SUBSTITUTE(SUBSTITUTE(INDEX(PASTE_ALL,$DF874,$L$18)," "," "),CHAR(9)," "),CHAR(10)," "),CHAR(13)," ")))="OVERTIME",UPPER(TRIM(SUBSTITUTE(SUBSTITUTE(SUBSTITUTE(SUBSTITUTE(INDEX(PASTE_ALL,$DF874,$L$18)," "," "),CHAR(9)," "),CHAR(10)," "),CHAR(13)," ")))="TRIAL"),"OT",TRIM(SUBSTITUTE(SUBSTITUTE(SUBSTITUTE(SUBSTITUTE(INDEX(PASTE_ALL,$DF874,$L$18)," "," "),CHAR(9)," "),CHAR(10)," "),CHAR(13)," "))))),"")))</f>
        <v/>
      </c>
      <c r="EC874">
        <f>IF($DM874=0,"",IF($L$19=0,"",IFERROR(IF(ISNUMBER(INDEX(PASTE_ALL,$DF874,$L$19)),INDEX(PASTE_ALL,$DF874,$L$19),TRIM(SUBSTITUTE(SUBSTITUTE(SUBSTITUTE(SUBSTITUTE(INDEX(PASTE_ALL,$DF874,$L$19)," "," "),CHAR(9)," "),CHAR(10)," "),CHAR(13)," "))),"")))</f>
        <v/>
      </c>
      <c r="ED874">
        <f>IF($DM874=0,"",MATCH(1,INDEX(EXACT($DH$5:DH874,$DH874)*$DM$5:DM874,0),0))</f>
        <v/>
      </c>
      <c r="EE874">
        <f>IF($DM874=0,0,IF($ED874=$DE874,1,0))</f>
        <v/>
      </c>
      <c r="EF874">
        <f>EF873+$EE874</f>
        <v/>
      </c>
      <c r="EG874">
        <f>IF($DM874=0,"",INDEX($EF$5:$EF$1003,$ED874))</f>
        <v/>
      </c>
      <c r="EH874">
        <f>IF($DM874=0,"",IF($DO874&lt;&gt;"","",IFERROR(LOOKUP(2,1/(($EG$4:EG873=$EG874)*($DO$4:DO873&lt;&gt;"")),$DO$4:DO873),"")))</f>
        <v/>
      </c>
      <c r="EI874">
        <f>IF($DM874=0,"",IF($DO874&lt;&gt;"",$DO874,$EH874))</f>
        <v/>
      </c>
      <c r="EJ874">
        <f>IF($DM874=0,"",IF($EI874="",0,IF(OR(ISNUMBER($EI874),AND(AND(SUBSTITUTE(SUBSTITUTE(SUBSTITUTE(SUBSTITUTE(SUBSTITUTE(SUBSTITUTE(SUBSTITUTE(SUBSTITUTE(SUBSTITUTE(SUBSTITUTE(SUBSTITUTE(SUBSTITUTE(SUBSTITUTE(SUBSTITUTE(UPPER($EI874),"0",""),"1",""),"2",""),"3",""),"4",""),"5",""),"6",""),"7",""),"8",""),"9",""),".",""),"+",""),"-",""),"E","")="",LEN(SUBSTITUTE(SUBSTITUTE(MID(UPPER($EI874),1+OR(LEFT(UPPER($EI874),1)="+",LEFT(UPPER($EI874),1)="-"),999),"E+","E"),"E-","E"))=LEN(SUBSTITUTE(SUBSTITUTE(SUBSTITUTE(SUBSTITUTE(MID(UPPER($EI874),1+OR(LEFT(UPPER($EI874),1)="+",LEFT(UPPER($EI874),1)="-"),999),"E+","E"),"E-","E"),"+",""),"-","")),LEN(UPPER($EI874))-LEN(SUBSTITUTE(UPPER($EI874),"E",""))&lt;2,LEN(UPPER($EI874))-LEN(SUBSTITUTE(UPPER($EI874),".",""))&lt;2,IFERROR(FIND(".",UPPER($EI874)),0)&lt;IFERROR(FIND("E",UPPER($EI874)),999)),ISNUMBER(VALUE($EI874)))),1,2)))</f>
        <v/>
      </c>
      <c r="EK874">
        <f>IF($DM874=0,"",IF($EJ874=1,IF(ISNUMBER($EI874),$EI874,VALUE($EI874)),IF($EJ874=2,$DE874,0)))</f>
        <v/>
      </c>
      <c r="EL874">
        <f>IF($DM874=0,"",COUNTIF($EG$5:$EG$1003,"&lt;"&amp;$EG874)+SUMPRODUCT(($EG$5:$EG$1003=$EG874)*(($EJ$5:$EJ$1003&lt;$EJ874)+($EJ$5:$EJ$1003=$EJ874)*(($EK$5:$EK$1003&lt;$EK874)+($EK$5:$EK$1003=$EK874)*($DE$5:$DE$1003&lt;$DE874))))+1)</f>
        <v/>
      </c>
      <c r="EM874">
        <f>IF($DM874=0,"",$EL874+$EG874-1)</f>
        <v/>
      </c>
      <c r="EN874">
        <f>IF($DM874=0,0,IFERROR(MATCH(1,INDEX(--(TRIM(SUBSTITUTE(SUBSTITUTE(SUBSTITUTE(SUBSTITUTE(LINES_NAME&amp;""," "," "),CHAR(9)," "),CHAR(10)," "),CHAR(13)," "))=$DH874),0),0),0))</f>
        <v/>
      </c>
      <c r="EO874">
        <f>IF($EN874=0,0,IF(OR(UPPER(TRIM(INDEX(LINES_SCHEDULED,$EN874)&amp;""))="YES",UPPER(TRIM(INDEX(LINES_SCHEDULED,$EN874)&amp;""))="Y",UPPER(TRIM(INDEX(LINES_SCHEDULED,$EN874)&amp;""))="X"),1,0))</f>
        <v/>
      </c>
      <c r="EP874">
        <f>IF($DM874=0,"",IF(COUNTIFS($EG$5:$EG$1003,$EG874,$EB$5:$EB$1003,"Ready")&gt;0,"READY",IF(COUNTIFS($EG$5:$EG$1003,$EG874,$EB$5:$EB$1003,"PM")&gt;0,"PM",IF(COUNTIFS($EG$5:$EG$1003,$EG874,$EB$5:$EB$1003,"OT")&gt;0,"OT",""))))</f>
        <v/>
      </c>
      <c r="EQ874">
        <f>IF($EN874=0,"",UPPER(TRIM(INDEX(LINES_STATUS,$EN874)&amp;"")))</f>
        <v/>
      </c>
      <c r="ER874">
        <f>IF($DM874=0,"",IF(OR($EQ874="READY",$EQ874="PM",$EQ874="OT"),$EQ874,$EP874))</f>
        <v/>
      </c>
      <c r="ES874">
        <f>IF($DM874=0,"",IF(AND($DV874&lt;&gt;"",UPPER($DV874)&lt;&gt;"N"),"allergen",IF(ISNUMBER(SEARCH("oil",$DQ874)),"oil",IF(OR(EXACT($DS874,"A662"),EXACT($DS874,"A624")),"bulk",""))))</f>
        <v/>
      </c>
      <c r="ET874">
        <f>IF($DM874=0,"",IF(OR($EA874="",$EA874=0),"",$EA874/100))</f>
        <v/>
      </c>
      <c r="EU874">
        <f>IF(OR($ET874="",$DY874=""),"",INT($DY874*(1-$ET874)+0.5))</f>
        <v/>
      </c>
    </row>
    <row r="875">
      <c r="DA875" t="n">
        <v>871</v>
      </c>
      <c r="DB875">
        <f>IF($B$37=0,"",IFERROR(TRIM(SUBSTITUTE(SUBSTITUTE(SUBSTITUTE(SUBSTITUTE(INDEX(PASTE_ALL,871,$B$37)," "," "),CHAR(9)," "),CHAR(10)," "),CHAR(13)," ")),""))</f>
        <v/>
      </c>
      <c r="DC875">
        <f>IF(AND(871&gt;HEADER_ROW,UPPER(DB875)="LEGEND"),1,0)</f>
        <v/>
      </c>
      <c r="DE875" t="n">
        <v>871</v>
      </c>
      <c r="DF875">
        <f>HEADER_ROW+$DE875</f>
        <v/>
      </c>
      <c r="DG875">
        <f>IF(AND($DF875&lt;=1000,$DF875&lt;$B$8),1,0)</f>
        <v/>
      </c>
      <c r="DH875">
        <f>IF($DG875=1,IFERROR(INDEX($DB$5:$DB$1004,$DF875),""),"")</f>
        <v/>
      </c>
      <c r="DI875">
        <f>IF(AND($DG875=1,$DH875&lt;&gt;""),IFERROR(SUBSTITUTE(SUBSTITUTE(TRIM(SUBSTITUTE(SUBSTITUTE(SUBSTITUTE(SUBSTITUTE(IFERROR(INDEX(PASTE_ALL,$DF875,1)&amp;"","")&amp;"␟"&amp;IFERROR(INDEX(PASTE_ALL,$DF875,2)&amp;"","")&amp;"␟"&amp;IFERROR(INDEX(PASTE_ALL,$DF875,3)&amp;"","")&amp;"␟"&amp;IFERROR(INDEX(PASTE_ALL,$DF875,4)&amp;"","")&amp;"␟"&amp;IFERROR(INDEX(PASTE_ALL,$DF875,5)&amp;"","")&amp;"␟"&amp;IFERROR(INDEX(PASTE_ALL,$DF875,6)&amp;"","")&amp;"␟"&amp;IFERROR(INDEX(PASTE_ALL,$DF875,7)&amp;"","")&amp;"␟"&amp;IFERROR(INDEX(PASTE_ALL,$DF875,8)&amp;"","")&amp;"␟"&amp;IFERROR(INDEX(PASTE_ALL,$DF875,9)&amp;"","")&amp;"␟"&amp;IFERROR(INDEX(PASTE_ALL,$DF875,10)&amp;"","")&amp;"␟"&amp;IFERROR(INDEX(PASTE_ALL,$DF875,11)&amp;"","")&amp;"␟"&amp;IFERROR(INDEX(PASTE_ALL,$DF875,12)&amp;"","")&amp;"␟"&amp;IFERROR(INDEX(PASTE_ALL,$DF875,13)&amp;"","")&amp;"␟"&amp;IFERROR(INDEX(PASTE_ALL,$DF875,14)&amp;"","")&amp;"␟"&amp;IFERROR(INDEX(PASTE_ALL,$DF875,15)&amp;"","")&amp;"␟"&amp;IFERROR(INDEX(PASTE_ALL,$DF875,16)&amp;"","")&amp;"␟"&amp;IFERROR(INDEX(PASTE_ALL,$DF875,17)&amp;"","")&amp;"␟"&amp;IFERROR(INDEX(PASTE_ALL,$DF875,18)&amp;"","")&amp;"␟"&amp;IFERROR(INDEX(PASTE_ALL,$DF875,19)&amp;"","")&amp;"␟"&amp;IFERROR(INDEX(PASTE_ALL,$DF875,20)&amp;"","")&amp;"␟"&amp;IFERROR(INDEX(PASTE_ALL,$DF875,21)&amp;"","")&amp;"␟"&amp;IFERROR(INDEX(PASTE_ALL,$DF875,22)&amp;"","")&amp;"␟"&amp;IFERROR(INDEX(PASTE_ALL,$DF875,23)&amp;"","")&amp;"␟"&amp;IFERROR(INDEX(PASTE_ALL,$DF875,24)&amp;"","")&amp;"␟"&amp;IFERROR(INDEX(PASTE_ALL,$DF875,25)&amp;"","")&amp;"␟"&amp;IFERROR(INDEX(PASTE_ALL,$DF875,26)&amp;"","")&amp;"␟"&amp;IFERROR(INDEX(PASTE_ALL,$DF875,27)&amp;"","")&amp;"␟"&amp;IFERROR(INDEX(PASTE_ALL,$DF875,28)&amp;"","")&amp;"␟"&amp;IFERROR(INDEX(PASTE_ALL,$DF875,29)&amp;"","")&amp;"␟"&amp;IFERROR(INDEX(PASTE_ALL,$DF875,30)&amp;"","")&amp;"␟"&amp;IFERROR(INDEX(PASTE_ALL,$DF875,31)&amp;"","")&amp;"␟"&amp;IFERROR(INDEX(PASTE_ALL,$DF875,32)&amp;"","")&amp;"␟"&amp;IFERROR(INDEX(PASTE_ALL,$DF875,33)&amp;"","")&amp;"␟"&amp;IFERROR(INDEX(PASTE_ALL,$DF875,34)&amp;"","")&amp;"␟"&amp;IFERROR(INDEX(PASTE_ALL,$DF875,35)&amp;"","")&amp;"␟"&amp;IFERROR(INDEX(PASTE_ALL,$DF875,36)&amp;"","")&amp;"␟"&amp;IFERROR(INDEX(PASTE_ALL,$DF875,37)&amp;"","")&amp;"␟"&amp;IFERROR(INDEX(PASTE_ALL,$DF875,38)&amp;"","")&amp;"␟"&amp;IFERROR(INDEX(PASTE_ALL,$DF875,39)&amp;"","")&amp;"␟"&amp;IFERROR(INDEX(PASTE_ALL,$DF875,40)&amp;"","")&amp;"␟"&amp;IFERROR(INDEX(PASTE_ALL,$DF875,41)&amp;"","")&amp;"␟"&amp;IFERROR(INDEX(PASTE_ALL,$DF875,42)&amp;"","")&amp;"␟"&amp;IFERROR(INDEX(PASTE_ALL,$DF875,43)&amp;"","")&amp;"␟"&amp;IFERROR(INDEX(PASTE_ALL,$DF875,44)&amp;"","")&amp;"␟"&amp;IFERROR(INDEX(PASTE_ALL,$DF875,45)&amp;"","")&amp;"␟"&amp;IFERROR(INDEX(PASTE_ALL,$DF875,46)&amp;"","")&amp;"␟"&amp;IFERROR(INDEX(PASTE_ALL,$DF875,47)&amp;"","")&amp;"␟"&amp;IFERROR(INDEX(PASTE_ALL,$DF875,48)&amp;"","")&amp;"␟"&amp;IFERROR(INDEX(PASTE_ALL,$DF875,49)&amp;"","")&amp;"␟"&amp;IFERROR(INDEX(PASTE_ALL,$DF875,50)&amp;"","")&amp;"␟"&amp;IFERROR(INDEX(PASTE_ALL,$DF875,51)&amp;"","")&amp;"␟"&amp;IFERROR(INDEX(PASTE_ALL,$DF875,52)&amp;"","")&amp;"␟"&amp;IFERROR(INDEX(PASTE_ALL,$DF875,53)&amp;"","")&amp;"␟"&amp;IFERROR(INDEX(PASTE_ALL,$DF875,54)&amp;"","")&amp;"␟"&amp;IFERROR(INDEX(PASTE_ALL,$DF875,55)&amp;"","")&amp;"␟"&amp;IFERROR(INDEX(PASTE_ALL,$DF875,56)&amp;"","")&amp;"␟"&amp;IFERROR(INDEX(PASTE_ALL,$DF875,57)&amp;"","")&amp;"␟"&amp;IFERROR(INDEX(PASTE_ALL,$DF875,58)&amp;"","")&amp;"␟"&amp;IFERROR(INDEX(PASTE_ALL,$DF875,59)&amp;"","")&amp;"␟"&amp;IFERROR(INDEX(PASTE_ALL,$DF875,60)&amp;"","")," "," "),CHAR(9)," "),CHAR(10)," "),CHAR(13)," "))," ␟","␟"),"␟ ","␟"),"#"&amp;$DE875),"")</f>
        <v/>
      </c>
      <c r="DJ875">
        <f>IF($DI875="",0,IF(SUMPRODUCT(--EXACT($DI$4:DI874,$DI875))&gt;0,1,0))</f>
        <v/>
      </c>
      <c r="DK875">
        <f>IF(AND($DI875&lt;&gt;"",$DJ875=0),1,0)</f>
        <v/>
      </c>
      <c r="DL875">
        <f>DL874+$DK875</f>
        <v/>
      </c>
      <c r="DM875">
        <f>IF(AND($DK875=1,$DL875&lt;=600),1,0)</f>
        <v/>
      </c>
      <c r="DN875">
        <f>IF($DM875=0,"",IF($L$6=0,"",IFERROR(IF(ISNUMBER(INDEX(PASTE_ALL,$DF875,$L$6)),INDEX(PASTE_ALL,$DF875,$L$6),TRIM(SUBSTITUTE(SUBSTITUTE(SUBSTITUTE(SUBSTITUTE(INDEX(PASTE_ALL,$DF875,$L$6)," "," "),CHAR(9)," "),CHAR(10)," "),CHAR(13)," "))),"")))</f>
        <v/>
      </c>
      <c r="DO875">
        <f>IF($DM875=0,"",IF($L$7=0,"",IFERROR(IF(ISNUMBER(INDEX(PASTE_ALL,$DF875,$L$7)),INDEX(PASTE_ALL,$DF875,$L$7),TRIM(SUBSTITUTE(SUBSTITUTE(SUBSTITUTE(SUBSTITUTE(INDEX(PASTE_ALL,$DF875,$L$7)," "," "),CHAR(9)," "),CHAR(10)," "),CHAR(13)," "))),"")))</f>
        <v/>
      </c>
      <c r="DP875">
        <f>IF($DM875=0,"",IF($L$8=0,"",IFERROR(IF(ISNUMBER(INDEX(PASTE_ALL,$DF875,$L$8)),INDEX(PASTE_ALL,$DF875,$L$8),TRIM(SUBSTITUTE(SUBSTITUTE(SUBSTITUTE(SUBSTITUTE(INDEX(PASTE_ALL,$DF875,$L$8)," "," "),CHAR(9)," "),CHAR(10)," "),CHAR(13)," "))),"")))</f>
        <v/>
      </c>
      <c r="DQ875">
        <f>IF($DM875=0,"",IF($L$9=0,"",IFERROR(IF(ISNUMBER(INDEX(PASTE_ALL,$DF875,$L$9)),INDEX(PASTE_ALL,$DF875,$L$9),TRIM(SUBSTITUTE(SUBSTITUTE(SUBSTITUTE(SUBSTITUTE(INDEX(PASTE_ALL,$DF875,$L$9)," "," "),CHAR(9)," "),CHAR(10)," "),CHAR(13)," "))),"")))</f>
        <v/>
      </c>
      <c r="DR875">
        <f>IF($DM875=0,"",IF($L$10=0,"",IFERROR(IF(ISNUMBER(INDEX(PASTE_ALL,$DF875,$L$10)),INDEX(PASTE_ALL,$DF875,$L$10),TRIM(SUBSTITUTE(SUBSTITUTE(SUBSTITUTE(SUBSTITUTE(INDEX(PASTE_ALL,$DF875,$L$10)," "," "),CHAR(9)," "),CHAR(10)," "),CHAR(13)," "))),"")))</f>
        <v/>
      </c>
      <c r="DS875">
        <f>IF($DM875=0,"",IF($L$11=0,"",IFERROR(IF(ISNUMBER(INDEX(PASTE_ALL,$DF875,$L$11)),INDEX(PASTE_ALL,$DF875,$L$11),TRIM(SUBSTITUTE(SUBSTITUTE(SUBSTITUTE(SUBSTITUTE(INDEX(PASTE_ALL,$DF875,$L$11)," "," "),CHAR(9)," "),CHAR(10)," "),CHAR(13)," "))),"")))</f>
        <v/>
      </c>
      <c r="DT875">
        <f>IF($DM875=0,"",IF($L$12=0,"",IFERROR(IF(ISNUMBER(INDEX(PASTE_ALL,$DF875,$L$12)),INDEX(PASTE_ALL,$DF875,$L$12),TRIM(SUBSTITUTE(SUBSTITUTE(SUBSTITUTE(SUBSTITUTE(INDEX(PASTE_ALL,$DF875,$L$12)," "," "),CHAR(9)," "),CHAR(10)," "),CHAR(13)," "))),"")))</f>
        <v/>
      </c>
      <c r="DU875">
        <f>IF($DM875=0,"",IF($L$13=0,"",IFERROR(IF(ISNUMBER(INDEX(PASTE_ALL,$DF875,$L$13)),INDEX(PASTE_ALL,$DF875,$L$13),TRIM(SUBSTITUTE(SUBSTITUTE(SUBSTITUTE(SUBSTITUTE(INDEX(PASTE_ALL,$DF875,$L$13)," "," "),CHAR(9)," "),CHAR(10)," "),CHAR(13)," "))),"")))</f>
        <v/>
      </c>
      <c r="DV875">
        <f>IF($DM875=0,"",IF($L$14=0,"",IFERROR(IF(ISNUMBER(INDEX(PASTE_ALL,$DF875,$L$14)),INDEX(PASTE_ALL,$DF875,$L$14),TRIM(SUBSTITUTE(SUBSTITUTE(SUBSTITUTE(SUBSTITUTE(INDEX(PASTE_ALL,$DF875,$L$14)," "," "),CHAR(9)," "),CHAR(10)," "),CHAR(13)," "))),"")))</f>
        <v/>
      </c>
      <c r="DW875">
        <f>IF($DM875=0,"",IF($L$15=0,"",IFERROR(IF(ISNUMBER(INDEX(PASTE_ALL,$DF875,$L$15)),INDEX(PASTE_ALL,$DF875,$L$15),IF(SUMPRODUCT(--ISNUMBER(FIND({"A","B","C","D","E","F","G","H","I","J","K","L","M","N","O","P","Q","R","S","T","U","V","W","X","Y","Z","0","1","2","3","4","5","6","7","8","9"},UPPER(TRIM(SUBSTITUTE(SUBSTITUTE(SUBSTITUTE(SUBSTITUTE(INDEX(PASTE_ALL,$DF875,$L$15)," "," "),CHAR(9)," "),CHAR(10)," "),CHAR(13)," "))))))&gt;0,TRIM(SUBSTITUTE(SUBSTITUTE(SUBSTITUTE(SUBSTITUTE(INDEX(PASTE_ALL,$DF875,$L$15)," "," "),CHAR(9)," "),CHAR(10)," "),CHAR(13)," ")),"")),"")))</f>
        <v/>
      </c>
      <c r="DX875">
        <f>IF($DM875=0,"",IF($L$16=0,"",IFERROR(IF(ISNUMBER(INDEX(PASTE_ALL,$DF875,$L$16)),INDEX(PASTE_ALL,$DF875,$L$16),SUBSTITUTE(SUBSTITUTE(TRIM(SUBSTITUTE(SUBSTITUTE(SUBSTITUTE(SUBSTITUTE(INDEX(PASTE_ALL,$DF875,$L$16)," "," "),CHAR(9)," "),CHAR(10)," "),CHAR(13)," ")),",",""),"%","")),"")))</f>
        <v/>
      </c>
      <c r="DY875">
        <f>IF($DM875=0,"",IFERROR(IF(ISNUMBER($DX875),$DX875,IF($DX875="","",IF(TRIM($DX875)="",0,IF(AND(AND(SUBSTITUTE(SUBSTITUTE(SUBSTITUTE(SUBSTITUTE(SUBSTITUTE(SUBSTITUTE(SUBSTITUTE(SUBSTITUTE(SUBSTITUTE(SUBSTITUTE(SUBSTITUTE(SUBSTITUTE(SUBSTITUTE(SUBSTITUTE(UPPER(TRIM($DX875)),"0",""),"1",""),"2",""),"3",""),"4",""),"5",""),"6",""),"7",""),"8",""),"9",""),".",""),"+",""),"-",""),"E","")="",LEN(SUBSTITUTE(SUBSTITUTE(MID(UPPER(TRIM($DX875)),1+OR(LEFT(UPPER(TRIM($DX875)),1)="+",LEFT(UPPER(TRIM($DX875)),1)="-"),999),"E+","E"),"E-","E"))=LEN(SUBSTITUTE(SUBSTITUTE(SUBSTITUTE(SUBSTITUTE(MID(UPPER(TRIM($DX875)),1+OR(LEFT(UPPER(TRIM($DX875)),1)="+",LEFT(UPPER(TRIM($DX875)),1)="-"),999),"E+","E"),"E-","E"),"+",""),"-","")),LEN(UPPER(TRIM($DX875)))-LEN(SUBSTITUTE(UPPER(TRIM($DX875)),"E",""))&lt;2,LEN(UPPER(TRIM($DX875)))-LEN(SUBSTITUTE(UPPER(TRIM($DX875)),".",""))&lt;2,IFERROR(FIND(".",UPPER(TRIM($DX875))),0)&lt;IFERROR(FIND("E",UPPER(TRIM($DX875))),999)),ISNUMBER(VALUE(TRIM($DX875)))),VALUE(TRIM($DX875)),"")))),""))</f>
        <v/>
      </c>
      <c r="DZ875">
        <f>IF($DM875=0,"",IF($L$17=0,"",IFERROR(IF(ISNUMBER(INDEX(PASTE_ALL,$DF875,$L$17)),INDEX(PASTE_ALL,$DF875,$L$17),SUBSTITUTE(SUBSTITUTE(TRIM(SUBSTITUTE(SUBSTITUTE(SUBSTITUTE(SUBSTITUTE(INDEX(PASTE_ALL,$DF875,$L$17)," "," "),CHAR(9)," "),CHAR(10)," "),CHAR(13)," ")),",",""),"%","")),"")))</f>
        <v/>
      </c>
      <c r="EA875">
        <f>IF($DM875=0,"",IFERROR(IF(ISNUMBER($DZ875),$DZ875,IF($DZ875="","",IF(TRIM($DZ875)="",0,IF(AND(AND(SUBSTITUTE(SUBSTITUTE(SUBSTITUTE(SUBSTITUTE(SUBSTITUTE(SUBSTITUTE(SUBSTITUTE(SUBSTITUTE(SUBSTITUTE(SUBSTITUTE(SUBSTITUTE(SUBSTITUTE(SUBSTITUTE(SUBSTITUTE(UPPER(TRIM($DZ875)),"0",""),"1",""),"2",""),"3",""),"4",""),"5",""),"6",""),"7",""),"8",""),"9",""),".",""),"+",""),"-",""),"E","")="",LEN(SUBSTITUTE(SUBSTITUTE(MID(UPPER(TRIM($DZ875)),1+OR(LEFT(UPPER(TRIM($DZ875)),1)="+",LEFT(UPPER(TRIM($DZ875)),1)="-"),999),"E+","E"),"E-","E"))=LEN(SUBSTITUTE(SUBSTITUTE(SUBSTITUTE(SUBSTITUTE(MID(UPPER(TRIM($DZ875)),1+OR(LEFT(UPPER(TRIM($DZ875)),1)="+",LEFT(UPPER(TRIM($DZ875)),1)="-"),999),"E+","E"),"E-","E"),"+",""),"-","")),LEN(UPPER(TRIM($DZ875)))-LEN(SUBSTITUTE(UPPER(TRIM($DZ875)),"E",""))&lt;2,LEN(UPPER(TRIM($DZ875)))-LEN(SUBSTITUTE(UPPER(TRIM($DZ875)),".",""))&lt;2,IFERROR(FIND(".",UPPER(TRIM($DZ875))),0)&lt;IFERROR(FIND("E",UPPER(TRIM($DZ875))),999)),ISNUMBER(VALUE(TRIM($DZ875)))),VALUE(TRIM($DZ875)),"")))),""))</f>
        <v/>
      </c>
      <c r="EB875">
        <f>IF($DM875=0,"",IF($L$18=0,"",IFERROR(IF(UPPER(TRIM(SUBSTITUTE(SUBSTITUTE(SUBSTITUTE(SUBSTITUTE(INDEX(PASTE_ALL,$DF875,$L$18)," "," "),CHAR(9)," "),CHAR(10)," "),CHAR(13)," ")))="READY","Ready",IF(UPPER(TRIM(SUBSTITUTE(SUBSTITUTE(SUBSTITUTE(SUBSTITUTE(INDEX(PASTE_ALL,$DF875,$L$18)," "," "),CHAR(9)," "),CHAR(10)," "),CHAR(13)," ")))="PM","PM",IF(OR(UPPER(TRIM(SUBSTITUTE(SUBSTITUTE(SUBSTITUTE(SUBSTITUTE(INDEX(PASTE_ALL,$DF875,$L$18)," "," "),CHAR(9)," "),CHAR(10)," "),CHAR(13)," ")))="OT",UPPER(TRIM(SUBSTITUTE(SUBSTITUTE(SUBSTITUTE(SUBSTITUTE(INDEX(PASTE_ALL,$DF875,$L$18)," "," "),CHAR(9)," "),CHAR(10)," "),CHAR(13)," ")))="OVERTIME",UPPER(TRIM(SUBSTITUTE(SUBSTITUTE(SUBSTITUTE(SUBSTITUTE(INDEX(PASTE_ALL,$DF875,$L$18)," "," "),CHAR(9)," "),CHAR(10)," "),CHAR(13)," ")))="TRIAL"),"OT",TRIM(SUBSTITUTE(SUBSTITUTE(SUBSTITUTE(SUBSTITUTE(INDEX(PASTE_ALL,$DF875,$L$18)," "," "),CHAR(9)," "),CHAR(10)," "),CHAR(13)," "))))),"")))</f>
        <v/>
      </c>
      <c r="EC875">
        <f>IF($DM875=0,"",IF($L$19=0,"",IFERROR(IF(ISNUMBER(INDEX(PASTE_ALL,$DF875,$L$19)),INDEX(PASTE_ALL,$DF875,$L$19),TRIM(SUBSTITUTE(SUBSTITUTE(SUBSTITUTE(SUBSTITUTE(INDEX(PASTE_ALL,$DF875,$L$19)," "," "),CHAR(9)," "),CHAR(10)," "),CHAR(13)," "))),"")))</f>
        <v/>
      </c>
      <c r="ED875">
        <f>IF($DM875=0,"",MATCH(1,INDEX(EXACT($DH$5:DH875,$DH875)*$DM$5:DM875,0),0))</f>
        <v/>
      </c>
      <c r="EE875">
        <f>IF($DM875=0,0,IF($ED875=$DE875,1,0))</f>
        <v/>
      </c>
      <c r="EF875">
        <f>EF874+$EE875</f>
        <v/>
      </c>
      <c r="EG875">
        <f>IF($DM875=0,"",INDEX($EF$5:$EF$1003,$ED875))</f>
        <v/>
      </c>
      <c r="EH875">
        <f>IF($DM875=0,"",IF($DO875&lt;&gt;"","",IFERROR(LOOKUP(2,1/(($EG$4:EG874=$EG875)*($DO$4:DO874&lt;&gt;"")),$DO$4:DO874),"")))</f>
        <v/>
      </c>
      <c r="EI875">
        <f>IF($DM875=0,"",IF($DO875&lt;&gt;"",$DO875,$EH875))</f>
        <v/>
      </c>
      <c r="EJ875">
        <f>IF($DM875=0,"",IF($EI875="",0,IF(OR(ISNUMBER($EI875),AND(AND(SUBSTITUTE(SUBSTITUTE(SUBSTITUTE(SUBSTITUTE(SUBSTITUTE(SUBSTITUTE(SUBSTITUTE(SUBSTITUTE(SUBSTITUTE(SUBSTITUTE(SUBSTITUTE(SUBSTITUTE(SUBSTITUTE(SUBSTITUTE(UPPER($EI875),"0",""),"1",""),"2",""),"3",""),"4",""),"5",""),"6",""),"7",""),"8",""),"9",""),".",""),"+",""),"-",""),"E","")="",LEN(SUBSTITUTE(SUBSTITUTE(MID(UPPER($EI875),1+OR(LEFT(UPPER($EI875),1)="+",LEFT(UPPER($EI875),1)="-"),999),"E+","E"),"E-","E"))=LEN(SUBSTITUTE(SUBSTITUTE(SUBSTITUTE(SUBSTITUTE(MID(UPPER($EI875),1+OR(LEFT(UPPER($EI875),1)="+",LEFT(UPPER($EI875),1)="-"),999),"E+","E"),"E-","E"),"+",""),"-","")),LEN(UPPER($EI875))-LEN(SUBSTITUTE(UPPER($EI875),"E",""))&lt;2,LEN(UPPER($EI875))-LEN(SUBSTITUTE(UPPER($EI875),".",""))&lt;2,IFERROR(FIND(".",UPPER($EI875)),0)&lt;IFERROR(FIND("E",UPPER($EI875)),999)),ISNUMBER(VALUE($EI875)))),1,2)))</f>
        <v/>
      </c>
      <c r="EK875">
        <f>IF($DM875=0,"",IF($EJ875=1,IF(ISNUMBER($EI875),$EI875,VALUE($EI875)),IF($EJ875=2,$DE875,0)))</f>
        <v/>
      </c>
      <c r="EL875">
        <f>IF($DM875=0,"",COUNTIF($EG$5:$EG$1003,"&lt;"&amp;$EG875)+SUMPRODUCT(($EG$5:$EG$1003=$EG875)*(($EJ$5:$EJ$1003&lt;$EJ875)+($EJ$5:$EJ$1003=$EJ875)*(($EK$5:$EK$1003&lt;$EK875)+($EK$5:$EK$1003=$EK875)*($DE$5:$DE$1003&lt;$DE875))))+1)</f>
        <v/>
      </c>
      <c r="EM875">
        <f>IF($DM875=0,"",$EL875+$EG875-1)</f>
        <v/>
      </c>
      <c r="EN875">
        <f>IF($DM875=0,0,IFERROR(MATCH(1,INDEX(--(TRIM(SUBSTITUTE(SUBSTITUTE(SUBSTITUTE(SUBSTITUTE(LINES_NAME&amp;""," "," "),CHAR(9)," "),CHAR(10)," "),CHAR(13)," "))=$DH875),0),0),0))</f>
        <v/>
      </c>
      <c r="EO875">
        <f>IF($EN875=0,0,IF(OR(UPPER(TRIM(INDEX(LINES_SCHEDULED,$EN875)&amp;""))="YES",UPPER(TRIM(INDEX(LINES_SCHEDULED,$EN875)&amp;""))="Y",UPPER(TRIM(INDEX(LINES_SCHEDULED,$EN875)&amp;""))="X"),1,0))</f>
        <v/>
      </c>
      <c r="EP875">
        <f>IF($DM875=0,"",IF(COUNTIFS($EG$5:$EG$1003,$EG875,$EB$5:$EB$1003,"Ready")&gt;0,"READY",IF(COUNTIFS($EG$5:$EG$1003,$EG875,$EB$5:$EB$1003,"PM")&gt;0,"PM",IF(COUNTIFS($EG$5:$EG$1003,$EG875,$EB$5:$EB$1003,"OT")&gt;0,"OT",""))))</f>
        <v/>
      </c>
      <c r="EQ875">
        <f>IF($EN875=0,"",UPPER(TRIM(INDEX(LINES_STATUS,$EN875)&amp;"")))</f>
        <v/>
      </c>
      <c r="ER875">
        <f>IF($DM875=0,"",IF(OR($EQ875="READY",$EQ875="PM",$EQ875="OT"),$EQ875,$EP875))</f>
        <v/>
      </c>
      <c r="ES875">
        <f>IF($DM875=0,"",IF(AND($DV875&lt;&gt;"",UPPER($DV875)&lt;&gt;"N"),"allergen",IF(ISNUMBER(SEARCH("oil",$DQ875)),"oil",IF(OR(EXACT($DS875,"A662"),EXACT($DS875,"A624")),"bulk",""))))</f>
        <v/>
      </c>
      <c r="ET875">
        <f>IF($DM875=0,"",IF(OR($EA875="",$EA875=0),"",$EA875/100))</f>
        <v/>
      </c>
      <c r="EU875">
        <f>IF(OR($ET875="",$DY875=""),"",INT($DY875*(1-$ET875)+0.5))</f>
        <v/>
      </c>
    </row>
    <row r="876">
      <c r="DA876" t="n">
        <v>872</v>
      </c>
      <c r="DB876">
        <f>IF($B$37=0,"",IFERROR(TRIM(SUBSTITUTE(SUBSTITUTE(SUBSTITUTE(SUBSTITUTE(INDEX(PASTE_ALL,872,$B$37)," "," "),CHAR(9)," "),CHAR(10)," "),CHAR(13)," ")),""))</f>
        <v/>
      </c>
      <c r="DC876">
        <f>IF(AND(872&gt;HEADER_ROW,UPPER(DB876)="LEGEND"),1,0)</f>
        <v/>
      </c>
      <c r="DE876" t="n">
        <v>872</v>
      </c>
      <c r="DF876">
        <f>HEADER_ROW+$DE876</f>
        <v/>
      </c>
      <c r="DG876">
        <f>IF(AND($DF876&lt;=1000,$DF876&lt;$B$8),1,0)</f>
        <v/>
      </c>
      <c r="DH876">
        <f>IF($DG876=1,IFERROR(INDEX($DB$5:$DB$1004,$DF876),""),"")</f>
        <v/>
      </c>
      <c r="DI876">
        <f>IF(AND($DG876=1,$DH876&lt;&gt;""),IFERROR(SUBSTITUTE(SUBSTITUTE(TRIM(SUBSTITUTE(SUBSTITUTE(SUBSTITUTE(SUBSTITUTE(IFERROR(INDEX(PASTE_ALL,$DF876,1)&amp;"","")&amp;"␟"&amp;IFERROR(INDEX(PASTE_ALL,$DF876,2)&amp;"","")&amp;"␟"&amp;IFERROR(INDEX(PASTE_ALL,$DF876,3)&amp;"","")&amp;"␟"&amp;IFERROR(INDEX(PASTE_ALL,$DF876,4)&amp;"","")&amp;"␟"&amp;IFERROR(INDEX(PASTE_ALL,$DF876,5)&amp;"","")&amp;"␟"&amp;IFERROR(INDEX(PASTE_ALL,$DF876,6)&amp;"","")&amp;"␟"&amp;IFERROR(INDEX(PASTE_ALL,$DF876,7)&amp;"","")&amp;"␟"&amp;IFERROR(INDEX(PASTE_ALL,$DF876,8)&amp;"","")&amp;"␟"&amp;IFERROR(INDEX(PASTE_ALL,$DF876,9)&amp;"","")&amp;"␟"&amp;IFERROR(INDEX(PASTE_ALL,$DF876,10)&amp;"","")&amp;"␟"&amp;IFERROR(INDEX(PASTE_ALL,$DF876,11)&amp;"","")&amp;"␟"&amp;IFERROR(INDEX(PASTE_ALL,$DF876,12)&amp;"","")&amp;"␟"&amp;IFERROR(INDEX(PASTE_ALL,$DF876,13)&amp;"","")&amp;"␟"&amp;IFERROR(INDEX(PASTE_ALL,$DF876,14)&amp;"","")&amp;"␟"&amp;IFERROR(INDEX(PASTE_ALL,$DF876,15)&amp;"","")&amp;"␟"&amp;IFERROR(INDEX(PASTE_ALL,$DF876,16)&amp;"","")&amp;"␟"&amp;IFERROR(INDEX(PASTE_ALL,$DF876,17)&amp;"","")&amp;"␟"&amp;IFERROR(INDEX(PASTE_ALL,$DF876,18)&amp;"","")&amp;"␟"&amp;IFERROR(INDEX(PASTE_ALL,$DF876,19)&amp;"","")&amp;"␟"&amp;IFERROR(INDEX(PASTE_ALL,$DF876,20)&amp;"","")&amp;"␟"&amp;IFERROR(INDEX(PASTE_ALL,$DF876,21)&amp;"","")&amp;"␟"&amp;IFERROR(INDEX(PASTE_ALL,$DF876,22)&amp;"","")&amp;"␟"&amp;IFERROR(INDEX(PASTE_ALL,$DF876,23)&amp;"","")&amp;"␟"&amp;IFERROR(INDEX(PASTE_ALL,$DF876,24)&amp;"","")&amp;"␟"&amp;IFERROR(INDEX(PASTE_ALL,$DF876,25)&amp;"","")&amp;"␟"&amp;IFERROR(INDEX(PASTE_ALL,$DF876,26)&amp;"","")&amp;"␟"&amp;IFERROR(INDEX(PASTE_ALL,$DF876,27)&amp;"","")&amp;"␟"&amp;IFERROR(INDEX(PASTE_ALL,$DF876,28)&amp;"","")&amp;"␟"&amp;IFERROR(INDEX(PASTE_ALL,$DF876,29)&amp;"","")&amp;"␟"&amp;IFERROR(INDEX(PASTE_ALL,$DF876,30)&amp;"","")&amp;"␟"&amp;IFERROR(INDEX(PASTE_ALL,$DF876,31)&amp;"","")&amp;"␟"&amp;IFERROR(INDEX(PASTE_ALL,$DF876,32)&amp;"","")&amp;"␟"&amp;IFERROR(INDEX(PASTE_ALL,$DF876,33)&amp;"","")&amp;"␟"&amp;IFERROR(INDEX(PASTE_ALL,$DF876,34)&amp;"","")&amp;"␟"&amp;IFERROR(INDEX(PASTE_ALL,$DF876,35)&amp;"","")&amp;"␟"&amp;IFERROR(INDEX(PASTE_ALL,$DF876,36)&amp;"","")&amp;"␟"&amp;IFERROR(INDEX(PASTE_ALL,$DF876,37)&amp;"","")&amp;"␟"&amp;IFERROR(INDEX(PASTE_ALL,$DF876,38)&amp;"","")&amp;"␟"&amp;IFERROR(INDEX(PASTE_ALL,$DF876,39)&amp;"","")&amp;"␟"&amp;IFERROR(INDEX(PASTE_ALL,$DF876,40)&amp;"","")&amp;"␟"&amp;IFERROR(INDEX(PASTE_ALL,$DF876,41)&amp;"","")&amp;"␟"&amp;IFERROR(INDEX(PASTE_ALL,$DF876,42)&amp;"","")&amp;"␟"&amp;IFERROR(INDEX(PASTE_ALL,$DF876,43)&amp;"","")&amp;"␟"&amp;IFERROR(INDEX(PASTE_ALL,$DF876,44)&amp;"","")&amp;"␟"&amp;IFERROR(INDEX(PASTE_ALL,$DF876,45)&amp;"","")&amp;"␟"&amp;IFERROR(INDEX(PASTE_ALL,$DF876,46)&amp;"","")&amp;"␟"&amp;IFERROR(INDEX(PASTE_ALL,$DF876,47)&amp;"","")&amp;"␟"&amp;IFERROR(INDEX(PASTE_ALL,$DF876,48)&amp;"","")&amp;"␟"&amp;IFERROR(INDEX(PASTE_ALL,$DF876,49)&amp;"","")&amp;"␟"&amp;IFERROR(INDEX(PASTE_ALL,$DF876,50)&amp;"","")&amp;"␟"&amp;IFERROR(INDEX(PASTE_ALL,$DF876,51)&amp;"","")&amp;"␟"&amp;IFERROR(INDEX(PASTE_ALL,$DF876,52)&amp;"","")&amp;"␟"&amp;IFERROR(INDEX(PASTE_ALL,$DF876,53)&amp;"","")&amp;"␟"&amp;IFERROR(INDEX(PASTE_ALL,$DF876,54)&amp;"","")&amp;"␟"&amp;IFERROR(INDEX(PASTE_ALL,$DF876,55)&amp;"","")&amp;"␟"&amp;IFERROR(INDEX(PASTE_ALL,$DF876,56)&amp;"","")&amp;"␟"&amp;IFERROR(INDEX(PASTE_ALL,$DF876,57)&amp;"","")&amp;"␟"&amp;IFERROR(INDEX(PASTE_ALL,$DF876,58)&amp;"","")&amp;"␟"&amp;IFERROR(INDEX(PASTE_ALL,$DF876,59)&amp;"","")&amp;"␟"&amp;IFERROR(INDEX(PASTE_ALL,$DF876,60)&amp;"","")," "," "),CHAR(9)," "),CHAR(10)," "),CHAR(13)," "))," ␟","␟"),"␟ ","␟"),"#"&amp;$DE876),"")</f>
        <v/>
      </c>
      <c r="DJ876">
        <f>IF($DI876="",0,IF(SUMPRODUCT(--EXACT($DI$4:DI875,$DI876))&gt;0,1,0))</f>
        <v/>
      </c>
      <c r="DK876">
        <f>IF(AND($DI876&lt;&gt;"",$DJ876=0),1,0)</f>
        <v/>
      </c>
      <c r="DL876">
        <f>DL875+$DK876</f>
        <v/>
      </c>
      <c r="DM876">
        <f>IF(AND($DK876=1,$DL876&lt;=600),1,0)</f>
        <v/>
      </c>
      <c r="DN876">
        <f>IF($DM876=0,"",IF($L$6=0,"",IFERROR(IF(ISNUMBER(INDEX(PASTE_ALL,$DF876,$L$6)),INDEX(PASTE_ALL,$DF876,$L$6),TRIM(SUBSTITUTE(SUBSTITUTE(SUBSTITUTE(SUBSTITUTE(INDEX(PASTE_ALL,$DF876,$L$6)," "," "),CHAR(9)," "),CHAR(10)," "),CHAR(13)," "))),"")))</f>
        <v/>
      </c>
      <c r="DO876">
        <f>IF($DM876=0,"",IF($L$7=0,"",IFERROR(IF(ISNUMBER(INDEX(PASTE_ALL,$DF876,$L$7)),INDEX(PASTE_ALL,$DF876,$L$7),TRIM(SUBSTITUTE(SUBSTITUTE(SUBSTITUTE(SUBSTITUTE(INDEX(PASTE_ALL,$DF876,$L$7)," "," "),CHAR(9)," "),CHAR(10)," "),CHAR(13)," "))),"")))</f>
        <v/>
      </c>
      <c r="DP876">
        <f>IF($DM876=0,"",IF($L$8=0,"",IFERROR(IF(ISNUMBER(INDEX(PASTE_ALL,$DF876,$L$8)),INDEX(PASTE_ALL,$DF876,$L$8),TRIM(SUBSTITUTE(SUBSTITUTE(SUBSTITUTE(SUBSTITUTE(INDEX(PASTE_ALL,$DF876,$L$8)," "," "),CHAR(9)," "),CHAR(10)," "),CHAR(13)," "))),"")))</f>
        <v/>
      </c>
      <c r="DQ876">
        <f>IF($DM876=0,"",IF($L$9=0,"",IFERROR(IF(ISNUMBER(INDEX(PASTE_ALL,$DF876,$L$9)),INDEX(PASTE_ALL,$DF876,$L$9),TRIM(SUBSTITUTE(SUBSTITUTE(SUBSTITUTE(SUBSTITUTE(INDEX(PASTE_ALL,$DF876,$L$9)," "," "),CHAR(9)," "),CHAR(10)," "),CHAR(13)," "))),"")))</f>
        <v/>
      </c>
      <c r="DR876">
        <f>IF($DM876=0,"",IF($L$10=0,"",IFERROR(IF(ISNUMBER(INDEX(PASTE_ALL,$DF876,$L$10)),INDEX(PASTE_ALL,$DF876,$L$10),TRIM(SUBSTITUTE(SUBSTITUTE(SUBSTITUTE(SUBSTITUTE(INDEX(PASTE_ALL,$DF876,$L$10)," "," "),CHAR(9)," "),CHAR(10)," "),CHAR(13)," "))),"")))</f>
        <v/>
      </c>
      <c r="DS876">
        <f>IF($DM876=0,"",IF($L$11=0,"",IFERROR(IF(ISNUMBER(INDEX(PASTE_ALL,$DF876,$L$11)),INDEX(PASTE_ALL,$DF876,$L$11),TRIM(SUBSTITUTE(SUBSTITUTE(SUBSTITUTE(SUBSTITUTE(INDEX(PASTE_ALL,$DF876,$L$11)," "," "),CHAR(9)," "),CHAR(10)," "),CHAR(13)," "))),"")))</f>
        <v/>
      </c>
      <c r="DT876">
        <f>IF($DM876=0,"",IF($L$12=0,"",IFERROR(IF(ISNUMBER(INDEX(PASTE_ALL,$DF876,$L$12)),INDEX(PASTE_ALL,$DF876,$L$12),TRIM(SUBSTITUTE(SUBSTITUTE(SUBSTITUTE(SUBSTITUTE(INDEX(PASTE_ALL,$DF876,$L$12)," "," "),CHAR(9)," "),CHAR(10)," "),CHAR(13)," "))),"")))</f>
        <v/>
      </c>
      <c r="DU876">
        <f>IF($DM876=0,"",IF($L$13=0,"",IFERROR(IF(ISNUMBER(INDEX(PASTE_ALL,$DF876,$L$13)),INDEX(PASTE_ALL,$DF876,$L$13),TRIM(SUBSTITUTE(SUBSTITUTE(SUBSTITUTE(SUBSTITUTE(INDEX(PASTE_ALL,$DF876,$L$13)," "," "),CHAR(9)," "),CHAR(10)," "),CHAR(13)," "))),"")))</f>
        <v/>
      </c>
      <c r="DV876">
        <f>IF($DM876=0,"",IF($L$14=0,"",IFERROR(IF(ISNUMBER(INDEX(PASTE_ALL,$DF876,$L$14)),INDEX(PASTE_ALL,$DF876,$L$14),TRIM(SUBSTITUTE(SUBSTITUTE(SUBSTITUTE(SUBSTITUTE(INDEX(PASTE_ALL,$DF876,$L$14)," "," "),CHAR(9)," "),CHAR(10)," "),CHAR(13)," "))),"")))</f>
        <v/>
      </c>
      <c r="DW876">
        <f>IF($DM876=0,"",IF($L$15=0,"",IFERROR(IF(ISNUMBER(INDEX(PASTE_ALL,$DF876,$L$15)),INDEX(PASTE_ALL,$DF876,$L$15),IF(SUMPRODUCT(--ISNUMBER(FIND({"A","B","C","D","E","F","G","H","I","J","K","L","M","N","O","P","Q","R","S","T","U","V","W","X","Y","Z","0","1","2","3","4","5","6","7","8","9"},UPPER(TRIM(SUBSTITUTE(SUBSTITUTE(SUBSTITUTE(SUBSTITUTE(INDEX(PASTE_ALL,$DF876,$L$15)," "," "),CHAR(9)," "),CHAR(10)," "),CHAR(13)," "))))))&gt;0,TRIM(SUBSTITUTE(SUBSTITUTE(SUBSTITUTE(SUBSTITUTE(INDEX(PASTE_ALL,$DF876,$L$15)," "," "),CHAR(9)," "),CHAR(10)," "),CHAR(13)," ")),"")),"")))</f>
        <v/>
      </c>
      <c r="DX876">
        <f>IF($DM876=0,"",IF($L$16=0,"",IFERROR(IF(ISNUMBER(INDEX(PASTE_ALL,$DF876,$L$16)),INDEX(PASTE_ALL,$DF876,$L$16),SUBSTITUTE(SUBSTITUTE(TRIM(SUBSTITUTE(SUBSTITUTE(SUBSTITUTE(SUBSTITUTE(INDEX(PASTE_ALL,$DF876,$L$16)," "," "),CHAR(9)," "),CHAR(10)," "),CHAR(13)," ")),",",""),"%","")),"")))</f>
        <v/>
      </c>
      <c r="DY876">
        <f>IF($DM876=0,"",IFERROR(IF(ISNUMBER($DX876),$DX876,IF($DX876="","",IF(TRIM($DX876)="",0,IF(AND(AND(SUBSTITUTE(SUBSTITUTE(SUBSTITUTE(SUBSTITUTE(SUBSTITUTE(SUBSTITUTE(SUBSTITUTE(SUBSTITUTE(SUBSTITUTE(SUBSTITUTE(SUBSTITUTE(SUBSTITUTE(SUBSTITUTE(SUBSTITUTE(UPPER(TRIM($DX876)),"0",""),"1",""),"2",""),"3",""),"4",""),"5",""),"6",""),"7",""),"8",""),"9",""),".",""),"+",""),"-",""),"E","")="",LEN(SUBSTITUTE(SUBSTITUTE(MID(UPPER(TRIM($DX876)),1+OR(LEFT(UPPER(TRIM($DX876)),1)="+",LEFT(UPPER(TRIM($DX876)),1)="-"),999),"E+","E"),"E-","E"))=LEN(SUBSTITUTE(SUBSTITUTE(SUBSTITUTE(SUBSTITUTE(MID(UPPER(TRIM($DX876)),1+OR(LEFT(UPPER(TRIM($DX876)),1)="+",LEFT(UPPER(TRIM($DX876)),1)="-"),999),"E+","E"),"E-","E"),"+",""),"-","")),LEN(UPPER(TRIM($DX876)))-LEN(SUBSTITUTE(UPPER(TRIM($DX876)),"E",""))&lt;2,LEN(UPPER(TRIM($DX876)))-LEN(SUBSTITUTE(UPPER(TRIM($DX876)),".",""))&lt;2,IFERROR(FIND(".",UPPER(TRIM($DX876))),0)&lt;IFERROR(FIND("E",UPPER(TRIM($DX876))),999)),ISNUMBER(VALUE(TRIM($DX876)))),VALUE(TRIM($DX876)),"")))),""))</f>
        <v/>
      </c>
      <c r="DZ876">
        <f>IF($DM876=0,"",IF($L$17=0,"",IFERROR(IF(ISNUMBER(INDEX(PASTE_ALL,$DF876,$L$17)),INDEX(PASTE_ALL,$DF876,$L$17),SUBSTITUTE(SUBSTITUTE(TRIM(SUBSTITUTE(SUBSTITUTE(SUBSTITUTE(SUBSTITUTE(INDEX(PASTE_ALL,$DF876,$L$17)," "," "),CHAR(9)," "),CHAR(10)," "),CHAR(13)," ")),",",""),"%","")),"")))</f>
        <v/>
      </c>
      <c r="EA876">
        <f>IF($DM876=0,"",IFERROR(IF(ISNUMBER($DZ876),$DZ876,IF($DZ876="","",IF(TRIM($DZ876)="",0,IF(AND(AND(SUBSTITUTE(SUBSTITUTE(SUBSTITUTE(SUBSTITUTE(SUBSTITUTE(SUBSTITUTE(SUBSTITUTE(SUBSTITUTE(SUBSTITUTE(SUBSTITUTE(SUBSTITUTE(SUBSTITUTE(SUBSTITUTE(SUBSTITUTE(UPPER(TRIM($DZ876)),"0",""),"1",""),"2",""),"3",""),"4",""),"5",""),"6",""),"7",""),"8",""),"9",""),".",""),"+",""),"-",""),"E","")="",LEN(SUBSTITUTE(SUBSTITUTE(MID(UPPER(TRIM($DZ876)),1+OR(LEFT(UPPER(TRIM($DZ876)),1)="+",LEFT(UPPER(TRIM($DZ876)),1)="-"),999),"E+","E"),"E-","E"))=LEN(SUBSTITUTE(SUBSTITUTE(SUBSTITUTE(SUBSTITUTE(MID(UPPER(TRIM($DZ876)),1+OR(LEFT(UPPER(TRIM($DZ876)),1)="+",LEFT(UPPER(TRIM($DZ876)),1)="-"),999),"E+","E"),"E-","E"),"+",""),"-","")),LEN(UPPER(TRIM($DZ876)))-LEN(SUBSTITUTE(UPPER(TRIM($DZ876)),"E",""))&lt;2,LEN(UPPER(TRIM($DZ876)))-LEN(SUBSTITUTE(UPPER(TRIM($DZ876)),".",""))&lt;2,IFERROR(FIND(".",UPPER(TRIM($DZ876))),0)&lt;IFERROR(FIND("E",UPPER(TRIM($DZ876))),999)),ISNUMBER(VALUE(TRIM($DZ876)))),VALUE(TRIM($DZ876)),"")))),""))</f>
        <v/>
      </c>
      <c r="EB876">
        <f>IF($DM876=0,"",IF($L$18=0,"",IFERROR(IF(UPPER(TRIM(SUBSTITUTE(SUBSTITUTE(SUBSTITUTE(SUBSTITUTE(INDEX(PASTE_ALL,$DF876,$L$18)," "," "),CHAR(9)," "),CHAR(10)," "),CHAR(13)," ")))="READY","Ready",IF(UPPER(TRIM(SUBSTITUTE(SUBSTITUTE(SUBSTITUTE(SUBSTITUTE(INDEX(PASTE_ALL,$DF876,$L$18)," "," "),CHAR(9)," "),CHAR(10)," "),CHAR(13)," ")))="PM","PM",IF(OR(UPPER(TRIM(SUBSTITUTE(SUBSTITUTE(SUBSTITUTE(SUBSTITUTE(INDEX(PASTE_ALL,$DF876,$L$18)," "," "),CHAR(9)," "),CHAR(10)," "),CHAR(13)," ")))="OT",UPPER(TRIM(SUBSTITUTE(SUBSTITUTE(SUBSTITUTE(SUBSTITUTE(INDEX(PASTE_ALL,$DF876,$L$18)," "," "),CHAR(9)," "),CHAR(10)," "),CHAR(13)," ")))="OVERTIME",UPPER(TRIM(SUBSTITUTE(SUBSTITUTE(SUBSTITUTE(SUBSTITUTE(INDEX(PASTE_ALL,$DF876,$L$18)," "," "),CHAR(9)," "),CHAR(10)," "),CHAR(13)," ")))="TRIAL"),"OT",TRIM(SUBSTITUTE(SUBSTITUTE(SUBSTITUTE(SUBSTITUTE(INDEX(PASTE_ALL,$DF876,$L$18)," "," "),CHAR(9)," "),CHAR(10)," "),CHAR(13)," "))))),"")))</f>
        <v/>
      </c>
      <c r="EC876">
        <f>IF($DM876=0,"",IF($L$19=0,"",IFERROR(IF(ISNUMBER(INDEX(PASTE_ALL,$DF876,$L$19)),INDEX(PASTE_ALL,$DF876,$L$19),TRIM(SUBSTITUTE(SUBSTITUTE(SUBSTITUTE(SUBSTITUTE(INDEX(PASTE_ALL,$DF876,$L$19)," "," "),CHAR(9)," "),CHAR(10)," "),CHAR(13)," "))),"")))</f>
        <v/>
      </c>
      <c r="ED876">
        <f>IF($DM876=0,"",MATCH(1,INDEX(EXACT($DH$5:DH876,$DH876)*$DM$5:DM876,0),0))</f>
        <v/>
      </c>
      <c r="EE876">
        <f>IF($DM876=0,0,IF($ED876=$DE876,1,0))</f>
        <v/>
      </c>
      <c r="EF876">
        <f>EF875+$EE876</f>
        <v/>
      </c>
      <c r="EG876">
        <f>IF($DM876=0,"",INDEX($EF$5:$EF$1003,$ED876))</f>
        <v/>
      </c>
      <c r="EH876">
        <f>IF($DM876=0,"",IF($DO876&lt;&gt;"","",IFERROR(LOOKUP(2,1/(($EG$4:EG875=$EG876)*($DO$4:DO875&lt;&gt;"")),$DO$4:DO875),"")))</f>
        <v/>
      </c>
      <c r="EI876">
        <f>IF($DM876=0,"",IF($DO876&lt;&gt;"",$DO876,$EH876))</f>
        <v/>
      </c>
      <c r="EJ876">
        <f>IF($DM876=0,"",IF($EI876="",0,IF(OR(ISNUMBER($EI876),AND(AND(SUBSTITUTE(SUBSTITUTE(SUBSTITUTE(SUBSTITUTE(SUBSTITUTE(SUBSTITUTE(SUBSTITUTE(SUBSTITUTE(SUBSTITUTE(SUBSTITUTE(SUBSTITUTE(SUBSTITUTE(SUBSTITUTE(SUBSTITUTE(UPPER($EI876),"0",""),"1",""),"2",""),"3",""),"4",""),"5",""),"6",""),"7",""),"8",""),"9",""),".",""),"+",""),"-",""),"E","")="",LEN(SUBSTITUTE(SUBSTITUTE(MID(UPPER($EI876),1+OR(LEFT(UPPER($EI876),1)="+",LEFT(UPPER($EI876),1)="-"),999),"E+","E"),"E-","E"))=LEN(SUBSTITUTE(SUBSTITUTE(SUBSTITUTE(SUBSTITUTE(MID(UPPER($EI876),1+OR(LEFT(UPPER($EI876),1)="+",LEFT(UPPER($EI876),1)="-"),999),"E+","E"),"E-","E"),"+",""),"-","")),LEN(UPPER($EI876))-LEN(SUBSTITUTE(UPPER($EI876),"E",""))&lt;2,LEN(UPPER($EI876))-LEN(SUBSTITUTE(UPPER($EI876),".",""))&lt;2,IFERROR(FIND(".",UPPER($EI876)),0)&lt;IFERROR(FIND("E",UPPER($EI876)),999)),ISNUMBER(VALUE($EI876)))),1,2)))</f>
        <v/>
      </c>
      <c r="EK876">
        <f>IF($DM876=0,"",IF($EJ876=1,IF(ISNUMBER($EI876),$EI876,VALUE($EI876)),IF($EJ876=2,$DE876,0)))</f>
        <v/>
      </c>
      <c r="EL876">
        <f>IF($DM876=0,"",COUNTIF($EG$5:$EG$1003,"&lt;"&amp;$EG876)+SUMPRODUCT(($EG$5:$EG$1003=$EG876)*(($EJ$5:$EJ$1003&lt;$EJ876)+($EJ$5:$EJ$1003=$EJ876)*(($EK$5:$EK$1003&lt;$EK876)+($EK$5:$EK$1003=$EK876)*($DE$5:$DE$1003&lt;$DE876))))+1)</f>
        <v/>
      </c>
      <c r="EM876">
        <f>IF($DM876=0,"",$EL876+$EG876-1)</f>
        <v/>
      </c>
      <c r="EN876">
        <f>IF($DM876=0,0,IFERROR(MATCH(1,INDEX(--(TRIM(SUBSTITUTE(SUBSTITUTE(SUBSTITUTE(SUBSTITUTE(LINES_NAME&amp;""," "," "),CHAR(9)," "),CHAR(10)," "),CHAR(13)," "))=$DH876),0),0),0))</f>
        <v/>
      </c>
      <c r="EO876">
        <f>IF($EN876=0,0,IF(OR(UPPER(TRIM(INDEX(LINES_SCHEDULED,$EN876)&amp;""))="YES",UPPER(TRIM(INDEX(LINES_SCHEDULED,$EN876)&amp;""))="Y",UPPER(TRIM(INDEX(LINES_SCHEDULED,$EN876)&amp;""))="X"),1,0))</f>
        <v/>
      </c>
      <c r="EP876">
        <f>IF($DM876=0,"",IF(COUNTIFS($EG$5:$EG$1003,$EG876,$EB$5:$EB$1003,"Ready")&gt;0,"READY",IF(COUNTIFS($EG$5:$EG$1003,$EG876,$EB$5:$EB$1003,"PM")&gt;0,"PM",IF(COUNTIFS($EG$5:$EG$1003,$EG876,$EB$5:$EB$1003,"OT")&gt;0,"OT",""))))</f>
        <v/>
      </c>
      <c r="EQ876">
        <f>IF($EN876=0,"",UPPER(TRIM(INDEX(LINES_STATUS,$EN876)&amp;"")))</f>
        <v/>
      </c>
      <c r="ER876">
        <f>IF($DM876=0,"",IF(OR($EQ876="READY",$EQ876="PM",$EQ876="OT"),$EQ876,$EP876))</f>
        <v/>
      </c>
      <c r="ES876">
        <f>IF($DM876=0,"",IF(AND($DV876&lt;&gt;"",UPPER($DV876)&lt;&gt;"N"),"allergen",IF(ISNUMBER(SEARCH("oil",$DQ876)),"oil",IF(OR(EXACT($DS876,"A662"),EXACT($DS876,"A624")),"bulk",""))))</f>
        <v/>
      </c>
      <c r="ET876">
        <f>IF($DM876=0,"",IF(OR($EA876="",$EA876=0),"",$EA876/100))</f>
        <v/>
      </c>
      <c r="EU876">
        <f>IF(OR($ET876="",$DY876=""),"",INT($DY876*(1-$ET876)+0.5))</f>
        <v/>
      </c>
    </row>
    <row r="877">
      <c r="DA877" t="n">
        <v>873</v>
      </c>
      <c r="DB877">
        <f>IF($B$37=0,"",IFERROR(TRIM(SUBSTITUTE(SUBSTITUTE(SUBSTITUTE(SUBSTITUTE(INDEX(PASTE_ALL,873,$B$37)," "," "),CHAR(9)," "),CHAR(10)," "),CHAR(13)," ")),""))</f>
        <v/>
      </c>
      <c r="DC877">
        <f>IF(AND(873&gt;HEADER_ROW,UPPER(DB877)="LEGEND"),1,0)</f>
        <v/>
      </c>
      <c r="DE877" t="n">
        <v>873</v>
      </c>
      <c r="DF877">
        <f>HEADER_ROW+$DE877</f>
        <v/>
      </c>
      <c r="DG877">
        <f>IF(AND($DF877&lt;=1000,$DF877&lt;$B$8),1,0)</f>
        <v/>
      </c>
      <c r="DH877">
        <f>IF($DG877=1,IFERROR(INDEX($DB$5:$DB$1004,$DF877),""),"")</f>
        <v/>
      </c>
      <c r="DI877">
        <f>IF(AND($DG877=1,$DH877&lt;&gt;""),IFERROR(SUBSTITUTE(SUBSTITUTE(TRIM(SUBSTITUTE(SUBSTITUTE(SUBSTITUTE(SUBSTITUTE(IFERROR(INDEX(PASTE_ALL,$DF877,1)&amp;"","")&amp;"␟"&amp;IFERROR(INDEX(PASTE_ALL,$DF877,2)&amp;"","")&amp;"␟"&amp;IFERROR(INDEX(PASTE_ALL,$DF877,3)&amp;"","")&amp;"␟"&amp;IFERROR(INDEX(PASTE_ALL,$DF877,4)&amp;"","")&amp;"␟"&amp;IFERROR(INDEX(PASTE_ALL,$DF877,5)&amp;"","")&amp;"␟"&amp;IFERROR(INDEX(PASTE_ALL,$DF877,6)&amp;"","")&amp;"␟"&amp;IFERROR(INDEX(PASTE_ALL,$DF877,7)&amp;"","")&amp;"␟"&amp;IFERROR(INDEX(PASTE_ALL,$DF877,8)&amp;"","")&amp;"␟"&amp;IFERROR(INDEX(PASTE_ALL,$DF877,9)&amp;"","")&amp;"␟"&amp;IFERROR(INDEX(PASTE_ALL,$DF877,10)&amp;"","")&amp;"␟"&amp;IFERROR(INDEX(PASTE_ALL,$DF877,11)&amp;"","")&amp;"␟"&amp;IFERROR(INDEX(PASTE_ALL,$DF877,12)&amp;"","")&amp;"␟"&amp;IFERROR(INDEX(PASTE_ALL,$DF877,13)&amp;"","")&amp;"␟"&amp;IFERROR(INDEX(PASTE_ALL,$DF877,14)&amp;"","")&amp;"␟"&amp;IFERROR(INDEX(PASTE_ALL,$DF877,15)&amp;"","")&amp;"␟"&amp;IFERROR(INDEX(PASTE_ALL,$DF877,16)&amp;"","")&amp;"␟"&amp;IFERROR(INDEX(PASTE_ALL,$DF877,17)&amp;"","")&amp;"␟"&amp;IFERROR(INDEX(PASTE_ALL,$DF877,18)&amp;"","")&amp;"␟"&amp;IFERROR(INDEX(PASTE_ALL,$DF877,19)&amp;"","")&amp;"␟"&amp;IFERROR(INDEX(PASTE_ALL,$DF877,20)&amp;"","")&amp;"␟"&amp;IFERROR(INDEX(PASTE_ALL,$DF877,21)&amp;"","")&amp;"␟"&amp;IFERROR(INDEX(PASTE_ALL,$DF877,22)&amp;"","")&amp;"␟"&amp;IFERROR(INDEX(PASTE_ALL,$DF877,23)&amp;"","")&amp;"␟"&amp;IFERROR(INDEX(PASTE_ALL,$DF877,24)&amp;"","")&amp;"␟"&amp;IFERROR(INDEX(PASTE_ALL,$DF877,25)&amp;"","")&amp;"␟"&amp;IFERROR(INDEX(PASTE_ALL,$DF877,26)&amp;"","")&amp;"␟"&amp;IFERROR(INDEX(PASTE_ALL,$DF877,27)&amp;"","")&amp;"␟"&amp;IFERROR(INDEX(PASTE_ALL,$DF877,28)&amp;"","")&amp;"␟"&amp;IFERROR(INDEX(PASTE_ALL,$DF877,29)&amp;"","")&amp;"␟"&amp;IFERROR(INDEX(PASTE_ALL,$DF877,30)&amp;"","")&amp;"␟"&amp;IFERROR(INDEX(PASTE_ALL,$DF877,31)&amp;"","")&amp;"␟"&amp;IFERROR(INDEX(PASTE_ALL,$DF877,32)&amp;"","")&amp;"␟"&amp;IFERROR(INDEX(PASTE_ALL,$DF877,33)&amp;"","")&amp;"␟"&amp;IFERROR(INDEX(PASTE_ALL,$DF877,34)&amp;"","")&amp;"␟"&amp;IFERROR(INDEX(PASTE_ALL,$DF877,35)&amp;"","")&amp;"␟"&amp;IFERROR(INDEX(PASTE_ALL,$DF877,36)&amp;"","")&amp;"␟"&amp;IFERROR(INDEX(PASTE_ALL,$DF877,37)&amp;"","")&amp;"␟"&amp;IFERROR(INDEX(PASTE_ALL,$DF877,38)&amp;"","")&amp;"␟"&amp;IFERROR(INDEX(PASTE_ALL,$DF877,39)&amp;"","")&amp;"␟"&amp;IFERROR(INDEX(PASTE_ALL,$DF877,40)&amp;"","")&amp;"␟"&amp;IFERROR(INDEX(PASTE_ALL,$DF877,41)&amp;"","")&amp;"␟"&amp;IFERROR(INDEX(PASTE_ALL,$DF877,42)&amp;"","")&amp;"␟"&amp;IFERROR(INDEX(PASTE_ALL,$DF877,43)&amp;"","")&amp;"␟"&amp;IFERROR(INDEX(PASTE_ALL,$DF877,44)&amp;"","")&amp;"␟"&amp;IFERROR(INDEX(PASTE_ALL,$DF877,45)&amp;"","")&amp;"␟"&amp;IFERROR(INDEX(PASTE_ALL,$DF877,46)&amp;"","")&amp;"␟"&amp;IFERROR(INDEX(PASTE_ALL,$DF877,47)&amp;"","")&amp;"␟"&amp;IFERROR(INDEX(PASTE_ALL,$DF877,48)&amp;"","")&amp;"␟"&amp;IFERROR(INDEX(PASTE_ALL,$DF877,49)&amp;"","")&amp;"␟"&amp;IFERROR(INDEX(PASTE_ALL,$DF877,50)&amp;"","")&amp;"␟"&amp;IFERROR(INDEX(PASTE_ALL,$DF877,51)&amp;"","")&amp;"␟"&amp;IFERROR(INDEX(PASTE_ALL,$DF877,52)&amp;"","")&amp;"␟"&amp;IFERROR(INDEX(PASTE_ALL,$DF877,53)&amp;"","")&amp;"␟"&amp;IFERROR(INDEX(PASTE_ALL,$DF877,54)&amp;"","")&amp;"␟"&amp;IFERROR(INDEX(PASTE_ALL,$DF877,55)&amp;"","")&amp;"␟"&amp;IFERROR(INDEX(PASTE_ALL,$DF877,56)&amp;"","")&amp;"␟"&amp;IFERROR(INDEX(PASTE_ALL,$DF877,57)&amp;"","")&amp;"␟"&amp;IFERROR(INDEX(PASTE_ALL,$DF877,58)&amp;"","")&amp;"␟"&amp;IFERROR(INDEX(PASTE_ALL,$DF877,59)&amp;"","")&amp;"␟"&amp;IFERROR(INDEX(PASTE_ALL,$DF877,60)&amp;"","")," "," "),CHAR(9)," "),CHAR(10)," "),CHAR(13)," "))," ␟","␟"),"␟ ","␟"),"#"&amp;$DE877),"")</f>
        <v/>
      </c>
      <c r="DJ877">
        <f>IF($DI877="",0,IF(SUMPRODUCT(--EXACT($DI$4:DI876,$DI877))&gt;0,1,0))</f>
        <v/>
      </c>
      <c r="DK877">
        <f>IF(AND($DI877&lt;&gt;"",$DJ877=0),1,0)</f>
        <v/>
      </c>
      <c r="DL877">
        <f>DL876+$DK877</f>
        <v/>
      </c>
      <c r="DM877">
        <f>IF(AND($DK877=1,$DL877&lt;=600),1,0)</f>
        <v/>
      </c>
      <c r="DN877">
        <f>IF($DM877=0,"",IF($L$6=0,"",IFERROR(IF(ISNUMBER(INDEX(PASTE_ALL,$DF877,$L$6)),INDEX(PASTE_ALL,$DF877,$L$6),TRIM(SUBSTITUTE(SUBSTITUTE(SUBSTITUTE(SUBSTITUTE(INDEX(PASTE_ALL,$DF877,$L$6)," "," "),CHAR(9)," "),CHAR(10)," "),CHAR(13)," "))),"")))</f>
        <v/>
      </c>
      <c r="DO877">
        <f>IF($DM877=0,"",IF($L$7=0,"",IFERROR(IF(ISNUMBER(INDEX(PASTE_ALL,$DF877,$L$7)),INDEX(PASTE_ALL,$DF877,$L$7),TRIM(SUBSTITUTE(SUBSTITUTE(SUBSTITUTE(SUBSTITUTE(INDEX(PASTE_ALL,$DF877,$L$7)," "," "),CHAR(9)," "),CHAR(10)," "),CHAR(13)," "))),"")))</f>
        <v/>
      </c>
      <c r="DP877">
        <f>IF($DM877=0,"",IF($L$8=0,"",IFERROR(IF(ISNUMBER(INDEX(PASTE_ALL,$DF877,$L$8)),INDEX(PASTE_ALL,$DF877,$L$8),TRIM(SUBSTITUTE(SUBSTITUTE(SUBSTITUTE(SUBSTITUTE(INDEX(PASTE_ALL,$DF877,$L$8)," "," "),CHAR(9)," "),CHAR(10)," "),CHAR(13)," "))),"")))</f>
        <v/>
      </c>
      <c r="DQ877">
        <f>IF($DM877=0,"",IF($L$9=0,"",IFERROR(IF(ISNUMBER(INDEX(PASTE_ALL,$DF877,$L$9)),INDEX(PASTE_ALL,$DF877,$L$9),TRIM(SUBSTITUTE(SUBSTITUTE(SUBSTITUTE(SUBSTITUTE(INDEX(PASTE_ALL,$DF877,$L$9)," "," "),CHAR(9)," "),CHAR(10)," "),CHAR(13)," "))),"")))</f>
        <v/>
      </c>
      <c r="DR877">
        <f>IF($DM877=0,"",IF($L$10=0,"",IFERROR(IF(ISNUMBER(INDEX(PASTE_ALL,$DF877,$L$10)),INDEX(PASTE_ALL,$DF877,$L$10),TRIM(SUBSTITUTE(SUBSTITUTE(SUBSTITUTE(SUBSTITUTE(INDEX(PASTE_ALL,$DF877,$L$10)," "," "),CHAR(9)," "),CHAR(10)," "),CHAR(13)," "))),"")))</f>
        <v/>
      </c>
      <c r="DS877">
        <f>IF($DM877=0,"",IF($L$11=0,"",IFERROR(IF(ISNUMBER(INDEX(PASTE_ALL,$DF877,$L$11)),INDEX(PASTE_ALL,$DF877,$L$11),TRIM(SUBSTITUTE(SUBSTITUTE(SUBSTITUTE(SUBSTITUTE(INDEX(PASTE_ALL,$DF877,$L$11)," "," "),CHAR(9)," "),CHAR(10)," "),CHAR(13)," "))),"")))</f>
        <v/>
      </c>
      <c r="DT877">
        <f>IF($DM877=0,"",IF($L$12=0,"",IFERROR(IF(ISNUMBER(INDEX(PASTE_ALL,$DF877,$L$12)),INDEX(PASTE_ALL,$DF877,$L$12),TRIM(SUBSTITUTE(SUBSTITUTE(SUBSTITUTE(SUBSTITUTE(INDEX(PASTE_ALL,$DF877,$L$12)," "," "),CHAR(9)," "),CHAR(10)," "),CHAR(13)," "))),"")))</f>
        <v/>
      </c>
      <c r="DU877">
        <f>IF($DM877=0,"",IF($L$13=0,"",IFERROR(IF(ISNUMBER(INDEX(PASTE_ALL,$DF877,$L$13)),INDEX(PASTE_ALL,$DF877,$L$13),TRIM(SUBSTITUTE(SUBSTITUTE(SUBSTITUTE(SUBSTITUTE(INDEX(PASTE_ALL,$DF877,$L$13)," "," "),CHAR(9)," "),CHAR(10)," "),CHAR(13)," "))),"")))</f>
        <v/>
      </c>
      <c r="DV877">
        <f>IF($DM877=0,"",IF($L$14=0,"",IFERROR(IF(ISNUMBER(INDEX(PASTE_ALL,$DF877,$L$14)),INDEX(PASTE_ALL,$DF877,$L$14),TRIM(SUBSTITUTE(SUBSTITUTE(SUBSTITUTE(SUBSTITUTE(INDEX(PASTE_ALL,$DF877,$L$14)," "," "),CHAR(9)," "),CHAR(10)," "),CHAR(13)," "))),"")))</f>
        <v/>
      </c>
      <c r="DW877">
        <f>IF($DM877=0,"",IF($L$15=0,"",IFERROR(IF(ISNUMBER(INDEX(PASTE_ALL,$DF877,$L$15)),INDEX(PASTE_ALL,$DF877,$L$15),IF(SUMPRODUCT(--ISNUMBER(FIND({"A","B","C","D","E","F","G","H","I","J","K","L","M","N","O","P","Q","R","S","T","U","V","W","X","Y","Z","0","1","2","3","4","5","6","7","8","9"},UPPER(TRIM(SUBSTITUTE(SUBSTITUTE(SUBSTITUTE(SUBSTITUTE(INDEX(PASTE_ALL,$DF877,$L$15)," "," "),CHAR(9)," "),CHAR(10)," "),CHAR(13)," "))))))&gt;0,TRIM(SUBSTITUTE(SUBSTITUTE(SUBSTITUTE(SUBSTITUTE(INDEX(PASTE_ALL,$DF877,$L$15)," "," "),CHAR(9)," "),CHAR(10)," "),CHAR(13)," ")),"")),"")))</f>
        <v/>
      </c>
      <c r="DX877">
        <f>IF($DM877=0,"",IF($L$16=0,"",IFERROR(IF(ISNUMBER(INDEX(PASTE_ALL,$DF877,$L$16)),INDEX(PASTE_ALL,$DF877,$L$16),SUBSTITUTE(SUBSTITUTE(TRIM(SUBSTITUTE(SUBSTITUTE(SUBSTITUTE(SUBSTITUTE(INDEX(PASTE_ALL,$DF877,$L$16)," "," "),CHAR(9)," "),CHAR(10)," "),CHAR(13)," ")),",",""),"%","")),"")))</f>
        <v/>
      </c>
      <c r="DY877">
        <f>IF($DM877=0,"",IFERROR(IF(ISNUMBER($DX877),$DX877,IF($DX877="","",IF(TRIM($DX877)="",0,IF(AND(AND(SUBSTITUTE(SUBSTITUTE(SUBSTITUTE(SUBSTITUTE(SUBSTITUTE(SUBSTITUTE(SUBSTITUTE(SUBSTITUTE(SUBSTITUTE(SUBSTITUTE(SUBSTITUTE(SUBSTITUTE(SUBSTITUTE(SUBSTITUTE(UPPER(TRIM($DX877)),"0",""),"1",""),"2",""),"3",""),"4",""),"5",""),"6",""),"7",""),"8",""),"9",""),".",""),"+",""),"-",""),"E","")="",LEN(SUBSTITUTE(SUBSTITUTE(MID(UPPER(TRIM($DX877)),1+OR(LEFT(UPPER(TRIM($DX877)),1)="+",LEFT(UPPER(TRIM($DX877)),1)="-"),999),"E+","E"),"E-","E"))=LEN(SUBSTITUTE(SUBSTITUTE(SUBSTITUTE(SUBSTITUTE(MID(UPPER(TRIM($DX877)),1+OR(LEFT(UPPER(TRIM($DX877)),1)="+",LEFT(UPPER(TRIM($DX877)),1)="-"),999),"E+","E"),"E-","E"),"+",""),"-","")),LEN(UPPER(TRIM($DX877)))-LEN(SUBSTITUTE(UPPER(TRIM($DX877)),"E",""))&lt;2,LEN(UPPER(TRIM($DX877)))-LEN(SUBSTITUTE(UPPER(TRIM($DX877)),".",""))&lt;2,IFERROR(FIND(".",UPPER(TRIM($DX877))),0)&lt;IFERROR(FIND("E",UPPER(TRIM($DX877))),999)),ISNUMBER(VALUE(TRIM($DX877)))),VALUE(TRIM($DX877)),"")))),""))</f>
        <v/>
      </c>
      <c r="DZ877">
        <f>IF($DM877=0,"",IF($L$17=0,"",IFERROR(IF(ISNUMBER(INDEX(PASTE_ALL,$DF877,$L$17)),INDEX(PASTE_ALL,$DF877,$L$17),SUBSTITUTE(SUBSTITUTE(TRIM(SUBSTITUTE(SUBSTITUTE(SUBSTITUTE(SUBSTITUTE(INDEX(PASTE_ALL,$DF877,$L$17)," "," "),CHAR(9)," "),CHAR(10)," "),CHAR(13)," ")),",",""),"%","")),"")))</f>
        <v/>
      </c>
      <c r="EA877">
        <f>IF($DM877=0,"",IFERROR(IF(ISNUMBER($DZ877),$DZ877,IF($DZ877="","",IF(TRIM($DZ877)="",0,IF(AND(AND(SUBSTITUTE(SUBSTITUTE(SUBSTITUTE(SUBSTITUTE(SUBSTITUTE(SUBSTITUTE(SUBSTITUTE(SUBSTITUTE(SUBSTITUTE(SUBSTITUTE(SUBSTITUTE(SUBSTITUTE(SUBSTITUTE(SUBSTITUTE(UPPER(TRIM($DZ877)),"0",""),"1",""),"2",""),"3",""),"4",""),"5",""),"6",""),"7",""),"8",""),"9",""),".",""),"+",""),"-",""),"E","")="",LEN(SUBSTITUTE(SUBSTITUTE(MID(UPPER(TRIM($DZ877)),1+OR(LEFT(UPPER(TRIM($DZ877)),1)="+",LEFT(UPPER(TRIM($DZ877)),1)="-"),999),"E+","E"),"E-","E"))=LEN(SUBSTITUTE(SUBSTITUTE(SUBSTITUTE(SUBSTITUTE(MID(UPPER(TRIM($DZ877)),1+OR(LEFT(UPPER(TRIM($DZ877)),1)="+",LEFT(UPPER(TRIM($DZ877)),1)="-"),999),"E+","E"),"E-","E"),"+",""),"-","")),LEN(UPPER(TRIM($DZ877)))-LEN(SUBSTITUTE(UPPER(TRIM($DZ877)),"E",""))&lt;2,LEN(UPPER(TRIM($DZ877)))-LEN(SUBSTITUTE(UPPER(TRIM($DZ877)),".",""))&lt;2,IFERROR(FIND(".",UPPER(TRIM($DZ877))),0)&lt;IFERROR(FIND("E",UPPER(TRIM($DZ877))),999)),ISNUMBER(VALUE(TRIM($DZ877)))),VALUE(TRIM($DZ877)),"")))),""))</f>
        <v/>
      </c>
      <c r="EB877">
        <f>IF($DM877=0,"",IF($L$18=0,"",IFERROR(IF(UPPER(TRIM(SUBSTITUTE(SUBSTITUTE(SUBSTITUTE(SUBSTITUTE(INDEX(PASTE_ALL,$DF877,$L$18)," "," "),CHAR(9)," "),CHAR(10)," "),CHAR(13)," ")))="READY","Ready",IF(UPPER(TRIM(SUBSTITUTE(SUBSTITUTE(SUBSTITUTE(SUBSTITUTE(INDEX(PASTE_ALL,$DF877,$L$18)," "," "),CHAR(9)," "),CHAR(10)," "),CHAR(13)," ")))="PM","PM",IF(OR(UPPER(TRIM(SUBSTITUTE(SUBSTITUTE(SUBSTITUTE(SUBSTITUTE(INDEX(PASTE_ALL,$DF877,$L$18)," "," "),CHAR(9)," "),CHAR(10)," "),CHAR(13)," ")))="OT",UPPER(TRIM(SUBSTITUTE(SUBSTITUTE(SUBSTITUTE(SUBSTITUTE(INDEX(PASTE_ALL,$DF877,$L$18)," "," "),CHAR(9)," "),CHAR(10)," "),CHAR(13)," ")))="OVERTIME",UPPER(TRIM(SUBSTITUTE(SUBSTITUTE(SUBSTITUTE(SUBSTITUTE(INDEX(PASTE_ALL,$DF877,$L$18)," "," "),CHAR(9)," "),CHAR(10)," "),CHAR(13)," ")))="TRIAL"),"OT",TRIM(SUBSTITUTE(SUBSTITUTE(SUBSTITUTE(SUBSTITUTE(INDEX(PASTE_ALL,$DF877,$L$18)," "," "),CHAR(9)," "),CHAR(10)," "),CHAR(13)," "))))),"")))</f>
        <v/>
      </c>
      <c r="EC877">
        <f>IF($DM877=0,"",IF($L$19=0,"",IFERROR(IF(ISNUMBER(INDEX(PASTE_ALL,$DF877,$L$19)),INDEX(PASTE_ALL,$DF877,$L$19),TRIM(SUBSTITUTE(SUBSTITUTE(SUBSTITUTE(SUBSTITUTE(INDEX(PASTE_ALL,$DF877,$L$19)," "," "),CHAR(9)," "),CHAR(10)," "),CHAR(13)," "))),"")))</f>
        <v/>
      </c>
      <c r="ED877">
        <f>IF($DM877=0,"",MATCH(1,INDEX(EXACT($DH$5:DH877,$DH877)*$DM$5:DM877,0),0))</f>
        <v/>
      </c>
      <c r="EE877">
        <f>IF($DM877=0,0,IF($ED877=$DE877,1,0))</f>
        <v/>
      </c>
      <c r="EF877">
        <f>EF876+$EE877</f>
        <v/>
      </c>
      <c r="EG877">
        <f>IF($DM877=0,"",INDEX($EF$5:$EF$1003,$ED877))</f>
        <v/>
      </c>
      <c r="EH877">
        <f>IF($DM877=0,"",IF($DO877&lt;&gt;"","",IFERROR(LOOKUP(2,1/(($EG$4:EG876=$EG877)*($DO$4:DO876&lt;&gt;"")),$DO$4:DO876),"")))</f>
        <v/>
      </c>
      <c r="EI877">
        <f>IF($DM877=0,"",IF($DO877&lt;&gt;"",$DO877,$EH877))</f>
        <v/>
      </c>
      <c r="EJ877">
        <f>IF($DM877=0,"",IF($EI877="",0,IF(OR(ISNUMBER($EI877),AND(AND(SUBSTITUTE(SUBSTITUTE(SUBSTITUTE(SUBSTITUTE(SUBSTITUTE(SUBSTITUTE(SUBSTITUTE(SUBSTITUTE(SUBSTITUTE(SUBSTITUTE(SUBSTITUTE(SUBSTITUTE(SUBSTITUTE(SUBSTITUTE(UPPER($EI877),"0",""),"1",""),"2",""),"3",""),"4",""),"5",""),"6",""),"7",""),"8",""),"9",""),".",""),"+",""),"-",""),"E","")="",LEN(SUBSTITUTE(SUBSTITUTE(MID(UPPER($EI877),1+OR(LEFT(UPPER($EI877),1)="+",LEFT(UPPER($EI877),1)="-"),999),"E+","E"),"E-","E"))=LEN(SUBSTITUTE(SUBSTITUTE(SUBSTITUTE(SUBSTITUTE(MID(UPPER($EI877),1+OR(LEFT(UPPER($EI877),1)="+",LEFT(UPPER($EI877),1)="-"),999),"E+","E"),"E-","E"),"+",""),"-","")),LEN(UPPER($EI877))-LEN(SUBSTITUTE(UPPER($EI877),"E",""))&lt;2,LEN(UPPER($EI877))-LEN(SUBSTITUTE(UPPER($EI877),".",""))&lt;2,IFERROR(FIND(".",UPPER($EI877)),0)&lt;IFERROR(FIND("E",UPPER($EI877)),999)),ISNUMBER(VALUE($EI877)))),1,2)))</f>
        <v/>
      </c>
      <c r="EK877">
        <f>IF($DM877=0,"",IF($EJ877=1,IF(ISNUMBER($EI877),$EI877,VALUE($EI877)),IF($EJ877=2,$DE877,0)))</f>
        <v/>
      </c>
      <c r="EL877">
        <f>IF($DM877=0,"",COUNTIF($EG$5:$EG$1003,"&lt;"&amp;$EG877)+SUMPRODUCT(($EG$5:$EG$1003=$EG877)*(($EJ$5:$EJ$1003&lt;$EJ877)+($EJ$5:$EJ$1003=$EJ877)*(($EK$5:$EK$1003&lt;$EK877)+($EK$5:$EK$1003=$EK877)*($DE$5:$DE$1003&lt;$DE877))))+1)</f>
        <v/>
      </c>
      <c r="EM877">
        <f>IF($DM877=0,"",$EL877+$EG877-1)</f>
        <v/>
      </c>
      <c r="EN877">
        <f>IF($DM877=0,0,IFERROR(MATCH(1,INDEX(--(TRIM(SUBSTITUTE(SUBSTITUTE(SUBSTITUTE(SUBSTITUTE(LINES_NAME&amp;""," "," "),CHAR(9)," "),CHAR(10)," "),CHAR(13)," "))=$DH877),0),0),0))</f>
        <v/>
      </c>
      <c r="EO877">
        <f>IF($EN877=0,0,IF(OR(UPPER(TRIM(INDEX(LINES_SCHEDULED,$EN877)&amp;""))="YES",UPPER(TRIM(INDEX(LINES_SCHEDULED,$EN877)&amp;""))="Y",UPPER(TRIM(INDEX(LINES_SCHEDULED,$EN877)&amp;""))="X"),1,0))</f>
        <v/>
      </c>
      <c r="EP877">
        <f>IF($DM877=0,"",IF(COUNTIFS($EG$5:$EG$1003,$EG877,$EB$5:$EB$1003,"Ready")&gt;0,"READY",IF(COUNTIFS($EG$5:$EG$1003,$EG877,$EB$5:$EB$1003,"PM")&gt;0,"PM",IF(COUNTIFS($EG$5:$EG$1003,$EG877,$EB$5:$EB$1003,"OT")&gt;0,"OT",""))))</f>
        <v/>
      </c>
      <c r="EQ877">
        <f>IF($EN877=0,"",UPPER(TRIM(INDEX(LINES_STATUS,$EN877)&amp;"")))</f>
        <v/>
      </c>
      <c r="ER877">
        <f>IF($DM877=0,"",IF(OR($EQ877="READY",$EQ877="PM",$EQ877="OT"),$EQ877,$EP877))</f>
        <v/>
      </c>
      <c r="ES877">
        <f>IF($DM877=0,"",IF(AND($DV877&lt;&gt;"",UPPER($DV877)&lt;&gt;"N"),"allergen",IF(ISNUMBER(SEARCH("oil",$DQ877)),"oil",IF(OR(EXACT($DS877,"A662"),EXACT($DS877,"A624")),"bulk",""))))</f>
        <v/>
      </c>
      <c r="ET877">
        <f>IF($DM877=0,"",IF(OR($EA877="",$EA877=0),"",$EA877/100))</f>
        <v/>
      </c>
      <c r="EU877">
        <f>IF(OR($ET877="",$DY877=""),"",INT($DY877*(1-$ET877)+0.5))</f>
        <v/>
      </c>
    </row>
    <row r="878">
      <c r="DA878" t="n">
        <v>874</v>
      </c>
      <c r="DB878">
        <f>IF($B$37=0,"",IFERROR(TRIM(SUBSTITUTE(SUBSTITUTE(SUBSTITUTE(SUBSTITUTE(INDEX(PASTE_ALL,874,$B$37)," "," "),CHAR(9)," "),CHAR(10)," "),CHAR(13)," ")),""))</f>
        <v/>
      </c>
      <c r="DC878">
        <f>IF(AND(874&gt;HEADER_ROW,UPPER(DB878)="LEGEND"),1,0)</f>
        <v/>
      </c>
      <c r="DE878" t="n">
        <v>874</v>
      </c>
      <c r="DF878">
        <f>HEADER_ROW+$DE878</f>
        <v/>
      </c>
      <c r="DG878">
        <f>IF(AND($DF878&lt;=1000,$DF878&lt;$B$8),1,0)</f>
        <v/>
      </c>
      <c r="DH878">
        <f>IF($DG878=1,IFERROR(INDEX($DB$5:$DB$1004,$DF878),""),"")</f>
        <v/>
      </c>
      <c r="DI878">
        <f>IF(AND($DG878=1,$DH878&lt;&gt;""),IFERROR(SUBSTITUTE(SUBSTITUTE(TRIM(SUBSTITUTE(SUBSTITUTE(SUBSTITUTE(SUBSTITUTE(IFERROR(INDEX(PASTE_ALL,$DF878,1)&amp;"","")&amp;"␟"&amp;IFERROR(INDEX(PASTE_ALL,$DF878,2)&amp;"","")&amp;"␟"&amp;IFERROR(INDEX(PASTE_ALL,$DF878,3)&amp;"","")&amp;"␟"&amp;IFERROR(INDEX(PASTE_ALL,$DF878,4)&amp;"","")&amp;"␟"&amp;IFERROR(INDEX(PASTE_ALL,$DF878,5)&amp;"","")&amp;"␟"&amp;IFERROR(INDEX(PASTE_ALL,$DF878,6)&amp;"","")&amp;"␟"&amp;IFERROR(INDEX(PASTE_ALL,$DF878,7)&amp;"","")&amp;"␟"&amp;IFERROR(INDEX(PASTE_ALL,$DF878,8)&amp;"","")&amp;"␟"&amp;IFERROR(INDEX(PASTE_ALL,$DF878,9)&amp;"","")&amp;"␟"&amp;IFERROR(INDEX(PASTE_ALL,$DF878,10)&amp;"","")&amp;"␟"&amp;IFERROR(INDEX(PASTE_ALL,$DF878,11)&amp;"","")&amp;"␟"&amp;IFERROR(INDEX(PASTE_ALL,$DF878,12)&amp;"","")&amp;"␟"&amp;IFERROR(INDEX(PASTE_ALL,$DF878,13)&amp;"","")&amp;"␟"&amp;IFERROR(INDEX(PASTE_ALL,$DF878,14)&amp;"","")&amp;"␟"&amp;IFERROR(INDEX(PASTE_ALL,$DF878,15)&amp;"","")&amp;"␟"&amp;IFERROR(INDEX(PASTE_ALL,$DF878,16)&amp;"","")&amp;"␟"&amp;IFERROR(INDEX(PASTE_ALL,$DF878,17)&amp;"","")&amp;"␟"&amp;IFERROR(INDEX(PASTE_ALL,$DF878,18)&amp;"","")&amp;"␟"&amp;IFERROR(INDEX(PASTE_ALL,$DF878,19)&amp;"","")&amp;"␟"&amp;IFERROR(INDEX(PASTE_ALL,$DF878,20)&amp;"","")&amp;"␟"&amp;IFERROR(INDEX(PASTE_ALL,$DF878,21)&amp;"","")&amp;"␟"&amp;IFERROR(INDEX(PASTE_ALL,$DF878,22)&amp;"","")&amp;"␟"&amp;IFERROR(INDEX(PASTE_ALL,$DF878,23)&amp;"","")&amp;"␟"&amp;IFERROR(INDEX(PASTE_ALL,$DF878,24)&amp;"","")&amp;"␟"&amp;IFERROR(INDEX(PASTE_ALL,$DF878,25)&amp;"","")&amp;"␟"&amp;IFERROR(INDEX(PASTE_ALL,$DF878,26)&amp;"","")&amp;"␟"&amp;IFERROR(INDEX(PASTE_ALL,$DF878,27)&amp;"","")&amp;"␟"&amp;IFERROR(INDEX(PASTE_ALL,$DF878,28)&amp;"","")&amp;"␟"&amp;IFERROR(INDEX(PASTE_ALL,$DF878,29)&amp;"","")&amp;"␟"&amp;IFERROR(INDEX(PASTE_ALL,$DF878,30)&amp;"","")&amp;"␟"&amp;IFERROR(INDEX(PASTE_ALL,$DF878,31)&amp;"","")&amp;"␟"&amp;IFERROR(INDEX(PASTE_ALL,$DF878,32)&amp;"","")&amp;"␟"&amp;IFERROR(INDEX(PASTE_ALL,$DF878,33)&amp;"","")&amp;"␟"&amp;IFERROR(INDEX(PASTE_ALL,$DF878,34)&amp;"","")&amp;"␟"&amp;IFERROR(INDEX(PASTE_ALL,$DF878,35)&amp;"","")&amp;"␟"&amp;IFERROR(INDEX(PASTE_ALL,$DF878,36)&amp;"","")&amp;"␟"&amp;IFERROR(INDEX(PASTE_ALL,$DF878,37)&amp;"","")&amp;"␟"&amp;IFERROR(INDEX(PASTE_ALL,$DF878,38)&amp;"","")&amp;"␟"&amp;IFERROR(INDEX(PASTE_ALL,$DF878,39)&amp;"","")&amp;"␟"&amp;IFERROR(INDEX(PASTE_ALL,$DF878,40)&amp;"","")&amp;"␟"&amp;IFERROR(INDEX(PASTE_ALL,$DF878,41)&amp;"","")&amp;"␟"&amp;IFERROR(INDEX(PASTE_ALL,$DF878,42)&amp;"","")&amp;"␟"&amp;IFERROR(INDEX(PASTE_ALL,$DF878,43)&amp;"","")&amp;"␟"&amp;IFERROR(INDEX(PASTE_ALL,$DF878,44)&amp;"","")&amp;"␟"&amp;IFERROR(INDEX(PASTE_ALL,$DF878,45)&amp;"","")&amp;"␟"&amp;IFERROR(INDEX(PASTE_ALL,$DF878,46)&amp;"","")&amp;"␟"&amp;IFERROR(INDEX(PASTE_ALL,$DF878,47)&amp;"","")&amp;"␟"&amp;IFERROR(INDEX(PASTE_ALL,$DF878,48)&amp;"","")&amp;"␟"&amp;IFERROR(INDEX(PASTE_ALL,$DF878,49)&amp;"","")&amp;"␟"&amp;IFERROR(INDEX(PASTE_ALL,$DF878,50)&amp;"","")&amp;"␟"&amp;IFERROR(INDEX(PASTE_ALL,$DF878,51)&amp;"","")&amp;"␟"&amp;IFERROR(INDEX(PASTE_ALL,$DF878,52)&amp;"","")&amp;"␟"&amp;IFERROR(INDEX(PASTE_ALL,$DF878,53)&amp;"","")&amp;"␟"&amp;IFERROR(INDEX(PASTE_ALL,$DF878,54)&amp;"","")&amp;"␟"&amp;IFERROR(INDEX(PASTE_ALL,$DF878,55)&amp;"","")&amp;"␟"&amp;IFERROR(INDEX(PASTE_ALL,$DF878,56)&amp;"","")&amp;"␟"&amp;IFERROR(INDEX(PASTE_ALL,$DF878,57)&amp;"","")&amp;"␟"&amp;IFERROR(INDEX(PASTE_ALL,$DF878,58)&amp;"","")&amp;"␟"&amp;IFERROR(INDEX(PASTE_ALL,$DF878,59)&amp;"","")&amp;"␟"&amp;IFERROR(INDEX(PASTE_ALL,$DF878,60)&amp;"","")," "," "),CHAR(9)," "),CHAR(10)," "),CHAR(13)," "))," ␟","␟"),"␟ ","␟"),"#"&amp;$DE878),"")</f>
        <v/>
      </c>
      <c r="DJ878">
        <f>IF($DI878="",0,IF(SUMPRODUCT(--EXACT($DI$4:DI877,$DI878))&gt;0,1,0))</f>
        <v/>
      </c>
      <c r="DK878">
        <f>IF(AND($DI878&lt;&gt;"",$DJ878=0),1,0)</f>
        <v/>
      </c>
      <c r="DL878">
        <f>DL877+$DK878</f>
        <v/>
      </c>
      <c r="DM878">
        <f>IF(AND($DK878=1,$DL878&lt;=600),1,0)</f>
        <v/>
      </c>
      <c r="DN878">
        <f>IF($DM878=0,"",IF($L$6=0,"",IFERROR(IF(ISNUMBER(INDEX(PASTE_ALL,$DF878,$L$6)),INDEX(PASTE_ALL,$DF878,$L$6),TRIM(SUBSTITUTE(SUBSTITUTE(SUBSTITUTE(SUBSTITUTE(INDEX(PASTE_ALL,$DF878,$L$6)," "," "),CHAR(9)," "),CHAR(10)," "),CHAR(13)," "))),"")))</f>
        <v/>
      </c>
      <c r="DO878">
        <f>IF($DM878=0,"",IF($L$7=0,"",IFERROR(IF(ISNUMBER(INDEX(PASTE_ALL,$DF878,$L$7)),INDEX(PASTE_ALL,$DF878,$L$7),TRIM(SUBSTITUTE(SUBSTITUTE(SUBSTITUTE(SUBSTITUTE(INDEX(PASTE_ALL,$DF878,$L$7)," "," "),CHAR(9)," "),CHAR(10)," "),CHAR(13)," "))),"")))</f>
        <v/>
      </c>
      <c r="DP878">
        <f>IF($DM878=0,"",IF($L$8=0,"",IFERROR(IF(ISNUMBER(INDEX(PASTE_ALL,$DF878,$L$8)),INDEX(PASTE_ALL,$DF878,$L$8),TRIM(SUBSTITUTE(SUBSTITUTE(SUBSTITUTE(SUBSTITUTE(INDEX(PASTE_ALL,$DF878,$L$8)," "," "),CHAR(9)," "),CHAR(10)," "),CHAR(13)," "))),"")))</f>
        <v/>
      </c>
      <c r="DQ878">
        <f>IF($DM878=0,"",IF($L$9=0,"",IFERROR(IF(ISNUMBER(INDEX(PASTE_ALL,$DF878,$L$9)),INDEX(PASTE_ALL,$DF878,$L$9),TRIM(SUBSTITUTE(SUBSTITUTE(SUBSTITUTE(SUBSTITUTE(INDEX(PASTE_ALL,$DF878,$L$9)," "," "),CHAR(9)," "),CHAR(10)," "),CHAR(13)," "))),"")))</f>
        <v/>
      </c>
      <c r="DR878">
        <f>IF($DM878=0,"",IF($L$10=0,"",IFERROR(IF(ISNUMBER(INDEX(PASTE_ALL,$DF878,$L$10)),INDEX(PASTE_ALL,$DF878,$L$10),TRIM(SUBSTITUTE(SUBSTITUTE(SUBSTITUTE(SUBSTITUTE(INDEX(PASTE_ALL,$DF878,$L$10)," "," "),CHAR(9)," "),CHAR(10)," "),CHAR(13)," "))),"")))</f>
        <v/>
      </c>
      <c r="DS878">
        <f>IF($DM878=0,"",IF($L$11=0,"",IFERROR(IF(ISNUMBER(INDEX(PASTE_ALL,$DF878,$L$11)),INDEX(PASTE_ALL,$DF878,$L$11),TRIM(SUBSTITUTE(SUBSTITUTE(SUBSTITUTE(SUBSTITUTE(INDEX(PASTE_ALL,$DF878,$L$11)," "," "),CHAR(9)," "),CHAR(10)," "),CHAR(13)," "))),"")))</f>
        <v/>
      </c>
      <c r="DT878">
        <f>IF($DM878=0,"",IF($L$12=0,"",IFERROR(IF(ISNUMBER(INDEX(PASTE_ALL,$DF878,$L$12)),INDEX(PASTE_ALL,$DF878,$L$12),TRIM(SUBSTITUTE(SUBSTITUTE(SUBSTITUTE(SUBSTITUTE(INDEX(PASTE_ALL,$DF878,$L$12)," "," "),CHAR(9)," "),CHAR(10)," "),CHAR(13)," "))),"")))</f>
        <v/>
      </c>
      <c r="DU878">
        <f>IF($DM878=0,"",IF($L$13=0,"",IFERROR(IF(ISNUMBER(INDEX(PASTE_ALL,$DF878,$L$13)),INDEX(PASTE_ALL,$DF878,$L$13),TRIM(SUBSTITUTE(SUBSTITUTE(SUBSTITUTE(SUBSTITUTE(INDEX(PASTE_ALL,$DF878,$L$13)," "," "),CHAR(9)," "),CHAR(10)," "),CHAR(13)," "))),"")))</f>
        <v/>
      </c>
      <c r="DV878">
        <f>IF($DM878=0,"",IF($L$14=0,"",IFERROR(IF(ISNUMBER(INDEX(PASTE_ALL,$DF878,$L$14)),INDEX(PASTE_ALL,$DF878,$L$14),TRIM(SUBSTITUTE(SUBSTITUTE(SUBSTITUTE(SUBSTITUTE(INDEX(PASTE_ALL,$DF878,$L$14)," "," "),CHAR(9)," "),CHAR(10)," "),CHAR(13)," "))),"")))</f>
        <v/>
      </c>
      <c r="DW878">
        <f>IF($DM878=0,"",IF($L$15=0,"",IFERROR(IF(ISNUMBER(INDEX(PASTE_ALL,$DF878,$L$15)),INDEX(PASTE_ALL,$DF878,$L$15),IF(SUMPRODUCT(--ISNUMBER(FIND({"A","B","C","D","E","F","G","H","I","J","K","L","M","N","O","P","Q","R","S","T","U","V","W","X","Y","Z","0","1","2","3","4","5","6","7","8","9"},UPPER(TRIM(SUBSTITUTE(SUBSTITUTE(SUBSTITUTE(SUBSTITUTE(INDEX(PASTE_ALL,$DF878,$L$15)," "," "),CHAR(9)," "),CHAR(10)," "),CHAR(13)," "))))))&gt;0,TRIM(SUBSTITUTE(SUBSTITUTE(SUBSTITUTE(SUBSTITUTE(INDEX(PASTE_ALL,$DF878,$L$15)," "," "),CHAR(9)," "),CHAR(10)," "),CHAR(13)," ")),"")),"")))</f>
        <v/>
      </c>
      <c r="DX878">
        <f>IF($DM878=0,"",IF($L$16=0,"",IFERROR(IF(ISNUMBER(INDEX(PASTE_ALL,$DF878,$L$16)),INDEX(PASTE_ALL,$DF878,$L$16),SUBSTITUTE(SUBSTITUTE(TRIM(SUBSTITUTE(SUBSTITUTE(SUBSTITUTE(SUBSTITUTE(INDEX(PASTE_ALL,$DF878,$L$16)," "," "),CHAR(9)," "),CHAR(10)," "),CHAR(13)," ")),",",""),"%","")),"")))</f>
        <v/>
      </c>
      <c r="DY878">
        <f>IF($DM878=0,"",IFERROR(IF(ISNUMBER($DX878),$DX878,IF($DX878="","",IF(TRIM($DX878)="",0,IF(AND(AND(SUBSTITUTE(SUBSTITUTE(SUBSTITUTE(SUBSTITUTE(SUBSTITUTE(SUBSTITUTE(SUBSTITUTE(SUBSTITUTE(SUBSTITUTE(SUBSTITUTE(SUBSTITUTE(SUBSTITUTE(SUBSTITUTE(SUBSTITUTE(UPPER(TRIM($DX878)),"0",""),"1",""),"2",""),"3",""),"4",""),"5",""),"6",""),"7",""),"8",""),"9",""),".",""),"+",""),"-",""),"E","")="",LEN(SUBSTITUTE(SUBSTITUTE(MID(UPPER(TRIM($DX878)),1+OR(LEFT(UPPER(TRIM($DX878)),1)="+",LEFT(UPPER(TRIM($DX878)),1)="-"),999),"E+","E"),"E-","E"))=LEN(SUBSTITUTE(SUBSTITUTE(SUBSTITUTE(SUBSTITUTE(MID(UPPER(TRIM($DX878)),1+OR(LEFT(UPPER(TRIM($DX878)),1)="+",LEFT(UPPER(TRIM($DX878)),1)="-"),999),"E+","E"),"E-","E"),"+",""),"-","")),LEN(UPPER(TRIM($DX878)))-LEN(SUBSTITUTE(UPPER(TRIM($DX878)),"E",""))&lt;2,LEN(UPPER(TRIM($DX878)))-LEN(SUBSTITUTE(UPPER(TRIM($DX878)),".",""))&lt;2,IFERROR(FIND(".",UPPER(TRIM($DX878))),0)&lt;IFERROR(FIND("E",UPPER(TRIM($DX878))),999)),ISNUMBER(VALUE(TRIM($DX878)))),VALUE(TRIM($DX878)),"")))),""))</f>
        <v/>
      </c>
      <c r="DZ878">
        <f>IF($DM878=0,"",IF($L$17=0,"",IFERROR(IF(ISNUMBER(INDEX(PASTE_ALL,$DF878,$L$17)),INDEX(PASTE_ALL,$DF878,$L$17),SUBSTITUTE(SUBSTITUTE(TRIM(SUBSTITUTE(SUBSTITUTE(SUBSTITUTE(SUBSTITUTE(INDEX(PASTE_ALL,$DF878,$L$17)," "," "),CHAR(9)," "),CHAR(10)," "),CHAR(13)," ")),",",""),"%","")),"")))</f>
        <v/>
      </c>
      <c r="EA878">
        <f>IF($DM878=0,"",IFERROR(IF(ISNUMBER($DZ878),$DZ878,IF($DZ878="","",IF(TRIM($DZ878)="",0,IF(AND(AND(SUBSTITUTE(SUBSTITUTE(SUBSTITUTE(SUBSTITUTE(SUBSTITUTE(SUBSTITUTE(SUBSTITUTE(SUBSTITUTE(SUBSTITUTE(SUBSTITUTE(SUBSTITUTE(SUBSTITUTE(SUBSTITUTE(SUBSTITUTE(UPPER(TRIM($DZ878)),"0",""),"1",""),"2",""),"3",""),"4",""),"5",""),"6",""),"7",""),"8",""),"9",""),".",""),"+",""),"-",""),"E","")="",LEN(SUBSTITUTE(SUBSTITUTE(MID(UPPER(TRIM($DZ878)),1+OR(LEFT(UPPER(TRIM($DZ878)),1)="+",LEFT(UPPER(TRIM($DZ878)),1)="-"),999),"E+","E"),"E-","E"))=LEN(SUBSTITUTE(SUBSTITUTE(SUBSTITUTE(SUBSTITUTE(MID(UPPER(TRIM($DZ878)),1+OR(LEFT(UPPER(TRIM($DZ878)),1)="+",LEFT(UPPER(TRIM($DZ878)),1)="-"),999),"E+","E"),"E-","E"),"+",""),"-","")),LEN(UPPER(TRIM($DZ878)))-LEN(SUBSTITUTE(UPPER(TRIM($DZ878)),"E",""))&lt;2,LEN(UPPER(TRIM($DZ878)))-LEN(SUBSTITUTE(UPPER(TRIM($DZ878)),".",""))&lt;2,IFERROR(FIND(".",UPPER(TRIM($DZ878))),0)&lt;IFERROR(FIND("E",UPPER(TRIM($DZ878))),999)),ISNUMBER(VALUE(TRIM($DZ878)))),VALUE(TRIM($DZ878)),"")))),""))</f>
        <v/>
      </c>
      <c r="EB878">
        <f>IF($DM878=0,"",IF($L$18=0,"",IFERROR(IF(UPPER(TRIM(SUBSTITUTE(SUBSTITUTE(SUBSTITUTE(SUBSTITUTE(INDEX(PASTE_ALL,$DF878,$L$18)," "," "),CHAR(9)," "),CHAR(10)," "),CHAR(13)," ")))="READY","Ready",IF(UPPER(TRIM(SUBSTITUTE(SUBSTITUTE(SUBSTITUTE(SUBSTITUTE(INDEX(PASTE_ALL,$DF878,$L$18)," "," "),CHAR(9)," "),CHAR(10)," "),CHAR(13)," ")))="PM","PM",IF(OR(UPPER(TRIM(SUBSTITUTE(SUBSTITUTE(SUBSTITUTE(SUBSTITUTE(INDEX(PASTE_ALL,$DF878,$L$18)," "," "),CHAR(9)," "),CHAR(10)," "),CHAR(13)," ")))="OT",UPPER(TRIM(SUBSTITUTE(SUBSTITUTE(SUBSTITUTE(SUBSTITUTE(INDEX(PASTE_ALL,$DF878,$L$18)," "," "),CHAR(9)," "),CHAR(10)," "),CHAR(13)," ")))="OVERTIME",UPPER(TRIM(SUBSTITUTE(SUBSTITUTE(SUBSTITUTE(SUBSTITUTE(INDEX(PASTE_ALL,$DF878,$L$18)," "," "),CHAR(9)," "),CHAR(10)," "),CHAR(13)," ")))="TRIAL"),"OT",TRIM(SUBSTITUTE(SUBSTITUTE(SUBSTITUTE(SUBSTITUTE(INDEX(PASTE_ALL,$DF878,$L$18)," "," "),CHAR(9)," "),CHAR(10)," "),CHAR(13)," "))))),"")))</f>
        <v/>
      </c>
      <c r="EC878">
        <f>IF($DM878=0,"",IF($L$19=0,"",IFERROR(IF(ISNUMBER(INDEX(PASTE_ALL,$DF878,$L$19)),INDEX(PASTE_ALL,$DF878,$L$19),TRIM(SUBSTITUTE(SUBSTITUTE(SUBSTITUTE(SUBSTITUTE(INDEX(PASTE_ALL,$DF878,$L$19)," "," "),CHAR(9)," "),CHAR(10)," "),CHAR(13)," "))),"")))</f>
        <v/>
      </c>
      <c r="ED878">
        <f>IF($DM878=0,"",MATCH(1,INDEX(EXACT($DH$5:DH878,$DH878)*$DM$5:DM878,0),0))</f>
        <v/>
      </c>
      <c r="EE878">
        <f>IF($DM878=0,0,IF($ED878=$DE878,1,0))</f>
        <v/>
      </c>
      <c r="EF878">
        <f>EF877+$EE878</f>
        <v/>
      </c>
      <c r="EG878">
        <f>IF($DM878=0,"",INDEX($EF$5:$EF$1003,$ED878))</f>
        <v/>
      </c>
      <c r="EH878">
        <f>IF($DM878=0,"",IF($DO878&lt;&gt;"","",IFERROR(LOOKUP(2,1/(($EG$4:EG877=$EG878)*($DO$4:DO877&lt;&gt;"")),$DO$4:DO877),"")))</f>
        <v/>
      </c>
      <c r="EI878">
        <f>IF($DM878=0,"",IF($DO878&lt;&gt;"",$DO878,$EH878))</f>
        <v/>
      </c>
      <c r="EJ878">
        <f>IF($DM878=0,"",IF($EI878="",0,IF(OR(ISNUMBER($EI878),AND(AND(SUBSTITUTE(SUBSTITUTE(SUBSTITUTE(SUBSTITUTE(SUBSTITUTE(SUBSTITUTE(SUBSTITUTE(SUBSTITUTE(SUBSTITUTE(SUBSTITUTE(SUBSTITUTE(SUBSTITUTE(SUBSTITUTE(SUBSTITUTE(UPPER($EI878),"0",""),"1",""),"2",""),"3",""),"4",""),"5",""),"6",""),"7",""),"8",""),"9",""),".",""),"+",""),"-",""),"E","")="",LEN(SUBSTITUTE(SUBSTITUTE(MID(UPPER($EI878),1+OR(LEFT(UPPER($EI878),1)="+",LEFT(UPPER($EI878),1)="-"),999),"E+","E"),"E-","E"))=LEN(SUBSTITUTE(SUBSTITUTE(SUBSTITUTE(SUBSTITUTE(MID(UPPER($EI878),1+OR(LEFT(UPPER($EI878),1)="+",LEFT(UPPER($EI878),1)="-"),999),"E+","E"),"E-","E"),"+",""),"-","")),LEN(UPPER($EI878))-LEN(SUBSTITUTE(UPPER($EI878),"E",""))&lt;2,LEN(UPPER($EI878))-LEN(SUBSTITUTE(UPPER($EI878),".",""))&lt;2,IFERROR(FIND(".",UPPER($EI878)),0)&lt;IFERROR(FIND("E",UPPER($EI878)),999)),ISNUMBER(VALUE($EI878)))),1,2)))</f>
        <v/>
      </c>
      <c r="EK878">
        <f>IF($DM878=0,"",IF($EJ878=1,IF(ISNUMBER($EI878),$EI878,VALUE($EI878)),IF($EJ878=2,$DE878,0)))</f>
        <v/>
      </c>
      <c r="EL878">
        <f>IF($DM878=0,"",COUNTIF($EG$5:$EG$1003,"&lt;"&amp;$EG878)+SUMPRODUCT(($EG$5:$EG$1003=$EG878)*(($EJ$5:$EJ$1003&lt;$EJ878)+($EJ$5:$EJ$1003=$EJ878)*(($EK$5:$EK$1003&lt;$EK878)+($EK$5:$EK$1003=$EK878)*($DE$5:$DE$1003&lt;$DE878))))+1)</f>
        <v/>
      </c>
      <c r="EM878">
        <f>IF($DM878=0,"",$EL878+$EG878-1)</f>
        <v/>
      </c>
      <c r="EN878">
        <f>IF($DM878=0,0,IFERROR(MATCH(1,INDEX(--(TRIM(SUBSTITUTE(SUBSTITUTE(SUBSTITUTE(SUBSTITUTE(LINES_NAME&amp;""," "," "),CHAR(9)," "),CHAR(10)," "),CHAR(13)," "))=$DH878),0),0),0))</f>
        <v/>
      </c>
      <c r="EO878">
        <f>IF($EN878=0,0,IF(OR(UPPER(TRIM(INDEX(LINES_SCHEDULED,$EN878)&amp;""))="YES",UPPER(TRIM(INDEX(LINES_SCHEDULED,$EN878)&amp;""))="Y",UPPER(TRIM(INDEX(LINES_SCHEDULED,$EN878)&amp;""))="X"),1,0))</f>
        <v/>
      </c>
      <c r="EP878">
        <f>IF($DM878=0,"",IF(COUNTIFS($EG$5:$EG$1003,$EG878,$EB$5:$EB$1003,"Ready")&gt;0,"READY",IF(COUNTIFS($EG$5:$EG$1003,$EG878,$EB$5:$EB$1003,"PM")&gt;0,"PM",IF(COUNTIFS($EG$5:$EG$1003,$EG878,$EB$5:$EB$1003,"OT")&gt;0,"OT",""))))</f>
        <v/>
      </c>
      <c r="EQ878">
        <f>IF($EN878=0,"",UPPER(TRIM(INDEX(LINES_STATUS,$EN878)&amp;"")))</f>
        <v/>
      </c>
      <c r="ER878">
        <f>IF($DM878=0,"",IF(OR($EQ878="READY",$EQ878="PM",$EQ878="OT"),$EQ878,$EP878))</f>
        <v/>
      </c>
      <c r="ES878">
        <f>IF($DM878=0,"",IF(AND($DV878&lt;&gt;"",UPPER($DV878)&lt;&gt;"N"),"allergen",IF(ISNUMBER(SEARCH("oil",$DQ878)),"oil",IF(OR(EXACT($DS878,"A662"),EXACT($DS878,"A624")),"bulk",""))))</f>
        <v/>
      </c>
      <c r="ET878">
        <f>IF($DM878=0,"",IF(OR($EA878="",$EA878=0),"",$EA878/100))</f>
        <v/>
      </c>
      <c r="EU878">
        <f>IF(OR($ET878="",$DY878=""),"",INT($DY878*(1-$ET878)+0.5))</f>
        <v/>
      </c>
    </row>
    <row r="879">
      <c r="DA879" t="n">
        <v>875</v>
      </c>
      <c r="DB879">
        <f>IF($B$37=0,"",IFERROR(TRIM(SUBSTITUTE(SUBSTITUTE(SUBSTITUTE(SUBSTITUTE(INDEX(PASTE_ALL,875,$B$37)," "," "),CHAR(9)," "),CHAR(10)," "),CHAR(13)," ")),""))</f>
        <v/>
      </c>
      <c r="DC879">
        <f>IF(AND(875&gt;HEADER_ROW,UPPER(DB879)="LEGEND"),1,0)</f>
        <v/>
      </c>
      <c r="DE879" t="n">
        <v>875</v>
      </c>
      <c r="DF879">
        <f>HEADER_ROW+$DE879</f>
        <v/>
      </c>
      <c r="DG879">
        <f>IF(AND($DF879&lt;=1000,$DF879&lt;$B$8),1,0)</f>
        <v/>
      </c>
      <c r="DH879">
        <f>IF($DG879=1,IFERROR(INDEX($DB$5:$DB$1004,$DF879),""),"")</f>
        <v/>
      </c>
      <c r="DI879">
        <f>IF(AND($DG879=1,$DH879&lt;&gt;""),IFERROR(SUBSTITUTE(SUBSTITUTE(TRIM(SUBSTITUTE(SUBSTITUTE(SUBSTITUTE(SUBSTITUTE(IFERROR(INDEX(PASTE_ALL,$DF879,1)&amp;"","")&amp;"␟"&amp;IFERROR(INDEX(PASTE_ALL,$DF879,2)&amp;"","")&amp;"␟"&amp;IFERROR(INDEX(PASTE_ALL,$DF879,3)&amp;"","")&amp;"␟"&amp;IFERROR(INDEX(PASTE_ALL,$DF879,4)&amp;"","")&amp;"␟"&amp;IFERROR(INDEX(PASTE_ALL,$DF879,5)&amp;"","")&amp;"␟"&amp;IFERROR(INDEX(PASTE_ALL,$DF879,6)&amp;"","")&amp;"␟"&amp;IFERROR(INDEX(PASTE_ALL,$DF879,7)&amp;"","")&amp;"␟"&amp;IFERROR(INDEX(PASTE_ALL,$DF879,8)&amp;"","")&amp;"␟"&amp;IFERROR(INDEX(PASTE_ALL,$DF879,9)&amp;"","")&amp;"␟"&amp;IFERROR(INDEX(PASTE_ALL,$DF879,10)&amp;"","")&amp;"␟"&amp;IFERROR(INDEX(PASTE_ALL,$DF879,11)&amp;"","")&amp;"␟"&amp;IFERROR(INDEX(PASTE_ALL,$DF879,12)&amp;"","")&amp;"␟"&amp;IFERROR(INDEX(PASTE_ALL,$DF879,13)&amp;"","")&amp;"␟"&amp;IFERROR(INDEX(PASTE_ALL,$DF879,14)&amp;"","")&amp;"␟"&amp;IFERROR(INDEX(PASTE_ALL,$DF879,15)&amp;"","")&amp;"␟"&amp;IFERROR(INDEX(PASTE_ALL,$DF879,16)&amp;"","")&amp;"␟"&amp;IFERROR(INDEX(PASTE_ALL,$DF879,17)&amp;"","")&amp;"␟"&amp;IFERROR(INDEX(PASTE_ALL,$DF879,18)&amp;"","")&amp;"␟"&amp;IFERROR(INDEX(PASTE_ALL,$DF879,19)&amp;"","")&amp;"␟"&amp;IFERROR(INDEX(PASTE_ALL,$DF879,20)&amp;"","")&amp;"␟"&amp;IFERROR(INDEX(PASTE_ALL,$DF879,21)&amp;"","")&amp;"␟"&amp;IFERROR(INDEX(PASTE_ALL,$DF879,22)&amp;"","")&amp;"␟"&amp;IFERROR(INDEX(PASTE_ALL,$DF879,23)&amp;"","")&amp;"␟"&amp;IFERROR(INDEX(PASTE_ALL,$DF879,24)&amp;"","")&amp;"␟"&amp;IFERROR(INDEX(PASTE_ALL,$DF879,25)&amp;"","")&amp;"␟"&amp;IFERROR(INDEX(PASTE_ALL,$DF879,26)&amp;"","")&amp;"␟"&amp;IFERROR(INDEX(PASTE_ALL,$DF879,27)&amp;"","")&amp;"␟"&amp;IFERROR(INDEX(PASTE_ALL,$DF879,28)&amp;"","")&amp;"␟"&amp;IFERROR(INDEX(PASTE_ALL,$DF879,29)&amp;"","")&amp;"␟"&amp;IFERROR(INDEX(PASTE_ALL,$DF879,30)&amp;"","")&amp;"␟"&amp;IFERROR(INDEX(PASTE_ALL,$DF879,31)&amp;"","")&amp;"␟"&amp;IFERROR(INDEX(PASTE_ALL,$DF879,32)&amp;"","")&amp;"␟"&amp;IFERROR(INDEX(PASTE_ALL,$DF879,33)&amp;"","")&amp;"␟"&amp;IFERROR(INDEX(PASTE_ALL,$DF879,34)&amp;"","")&amp;"␟"&amp;IFERROR(INDEX(PASTE_ALL,$DF879,35)&amp;"","")&amp;"␟"&amp;IFERROR(INDEX(PASTE_ALL,$DF879,36)&amp;"","")&amp;"␟"&amp;IFERROR(INDEX(PASTE_ALL,$DF879,37)&amp;"","")&amp;"␟"&amp;IFERROR(INDEX(PASTE_ALL,$DF879,38)&amp;"","")&amp;"␟"&amp;IFERROR(INDEX(PASTE_ALL,$DF879,39)&amp;"","")&amp;"␟"&amp;IFERROR(INDEX(PASTE_ALL,$DF879,40)&amp;"","")&amp;"␟"&amp;IFERROR(INDEX(PASTE_ALL,$DF879,41)&amp;"","")&amp;"␟"&amp;IFERROR(INDEX(PASTE_ALL,$DF879,42)&amp;"","")&amp;"␟"&amp;IFERROR(INDEX(PASTE_ALL,$DF879,43)&amp;"","")&amp;"␟"&amp;IFERROR(INDEX(PASTE_ALL,$DF879,44)&amp;"","")&amp;"␟"&amp;IFERROR(INDEX(PASTE_ALL,$DF879,45)&amp;"","")&amp;"␟"&amp;IFERROR(INDEX(PASTE_ALL,$DF879,46)&amp;"","")&amp;"␟"&amp;IFERROR(INDEX(PASTE_ALL,$DF879,47)&amp;"","")&amp;"␟"&amp;IFERROR(INDEX(PASTE_ALL,$DF879,48)&amp;"","")&amp;"␟"&amp;IFERROR(INDEX(PASTE_ALL,$DF879,49)&amp;"","")&amp;"␟"&amp;IFERROR(INDEX(PASTE_ALL,$DF879,50)&amp;"","")&amp;"␟"&amp;IFERROR(INDEX(PASTE_ALL,$DF879,51)&amp;"","")&amp;"␟"&amp;IFERROR(INDEX(PASTE_ALL,$DF879,52)&amp;"","")&amp;"␟"&amp;IFERROR(INDEX(PASTE_ALL,$DF879,53)&amp;"","")&amp;"␟"&amp;IFERROR(INDEX(PASTE_ALL,$DF879,54)&amp;"","")&amp;"␟"&amp;IFERROR(INDEX(PASTE_ALL,$DF879,55)&amp;"","")&amp;"␟"&amp;IFERROR(INDEX(PASTE_ALL,$DF879,56)&amp;"","")&amp;"␟"&amp;IFERROR(INDEX(PASTE_ALL,$DF879,57)&amp;"","")&amp;"␟"&amp;IFERROR(INDEX(PASTE_ALL,$DF879,58)&amp;"","")&amp;"␟"&amp;IFERROR(INDEX(PASTE_ALL,$DF879,59)&amp;"","")&amp;"␟"&amp;IFERROR(INDEX(PASTE_ALL,$DF879,60)&amp;"","")," "," "),CHAR(9)," "),CHAR(10)," "),CHAR(13)," "))," ␟","␟"),"␟ ","␟"),"#"&amp;$DE879),"")</f>
        <v/>
      </c>
      <c r="DJ879">
        <f>IF($DI879="",0,IF(SUMPRODUCT(--EXACT($DI$4:DI878,$DI879))&gt;0,1,0))</f>
        <v/>
      </c>
      <c r="DK879">
        <f>IF(AND($DI879&lt;&gt;"",$DJ879=0),1,0)</f>
        <v/>
      </c>
      <c r="DL879">
        <f>DL878+$DK879</f>
        <v/>
      </c>
      <c r="DM879">
        <f>IF(AND($DK879=1,$DL879&lt;=600),1,0)</f>
        <v/>
      </c>
      <c r="DN879">
        <f>IF($DM879=0,"",IF($L$6=0,"",IFERROR(IF(ISNUMBER(INDEX(PASTE_ALL,$DF879,$L$6)),INDEX(PASTE_ALL,$DF879,$L$6),TRIM(SUBSTITUTE(SUBSTITUTE(SUBSTITUTE(SUBSTITUTE(INDEX(PASTE_ALL,$DF879,$L$6)," "," "),CHAR(9)," "),CHAR(10)," "),CHAR(13)," "))),"")))</f>
        <v/>
      </c>
      <c r="DO879">
        <f>IF($DM879=0,"",IF($L$7=0,"",IFERROR(IF(ISNUMBER(INDEX(PASTE_ALL,$DF879,$L$7)),INDEX(PASTE_ALL,$DF879,$L$7),TRIM(SUBSTITUTE(SUBSTITUTE(SUBSTITUTE(SUBSTITUTE(INDEX(PASTE_ALL,$DF879,$L$7)," "," "),CHAR(9)," "),CHAR(10)," "),CHAR(13)," "))),"")))</f>
        <v/>
      </c>
      <c r="DP879">
        <f>IF($DM879=0,"",IF($L$8=0,"",IFERROR(IF(ISNUMBER(INDEX(PASTE_ALL,$DF879,$L$8)),INDEX(PASTE_ALL,$DF879,$L$8),TRIM(SUBSTITUTE(SUBSTITUTE(SUBSTITUTE(SUBSTITUTE(INDEX(PASTE_ALL,$DF879,$L$8)," "," "),CHAR(9)," "),CHAR(10)," "),CHAR(13)," "))),"")))</f>
        <v/>
      </c>
      <c r="DQ879">
        <f>IF($DM879=0,"",IF($L$9=0,"",IFERROR(IF(ISNUMBER(INDEX(PASTE_ALL,$DF879,$L$9)),INDEX(PASTE_ALL,$DF879,$L$9),TRIM(SUBSTITUTE(SUBSTITUTE(SUBSTITUTE(SUBSTITUTE(INDEX(PASTE_ALL,$DF879,$L$9)," "," "),CHAR(9)," "),CHAR(10)," "),CHAR(13)," "))),"")))</f>
        <v/>
      </c>
      <c r="DR879">
        <f>IF($DM879=0,"",IF($L$10=0,"",IFERROR(IF(ISNUMBER(INDEX(PASTE_ALL,$DF879,$L$10)),INDEX(PASTE_ALL,$DF879,$L$10),TRIM(SUBSTITUTE(SUBSTITUTE(SUBSTITUTE(SUBSTITUTE(INDEX(PASTE_ALL,$DF879,$L$10)," "," "),CHAR(9)," "),CHAR(10)," "),CHAR(13)," "))),"")))</f>
        <v/>
      </c>
      <c r="DS879">
        <f>IF($DM879=0,"",IF($L$11=0,"",IFERROR(IF(ISNUMBER(INDEX(PASTE_ALL,$DF879,$L$11)),INDEX(PASTE_ALL,$DF879,$L$11),TRIM(SUBSTITUTE(SUBSTITUTE(SUBSTITUTE(SUBSTITUTE(INDEX(PASTE_ALL,$DF879,$L$11)," "," "),CHAR(9)," "),CHAR(10)," "),CHAR(13)," "))),"")))</f>
        <v/>
      </c>
      <c r="DT879">
        <f>IF($DM879=0,"",IF($L$12=0,"",IFERROR(IF(ISNUMBER(INDEX(PASTE_ALL,$DF879,$L$12)),INDEX(PASTE_ALL,$DF879,$L$12),TRIM(SUBSTITUTE(SUBSTITUTE(SUBSTITUTE(SUBSTITUTE(INDEX(PASTE_ALL,$DF879,$L$12)," "," "),CHAR(9)," "),CHAR(10)," "),CHAR(13)," "))),"")))</f>
        <v/>
      </c>
      <c r="DU879">
        <f>IF($DM879=0,"",IF($L$13=0,"",IFERROR(IF(ISNUMBER(INDEX(PASTE_ALL,$DF879,$L$13)),INDEX(PASTE_ALL,$DF879,$L$13),TRIM(SUBSTITUTE(SUBSTITUTE(SUBSTITUTE(SUBSTITUTE(INDEX(PASTE_ALL,$DF879,$L$13)," "," "),CHAR(9)," "),CHAR(10)," "),CHAR(13)," "))),"")))</f>
        <v/>
      </c>
      <c r="DV879">
        <f>IF($DM879=0,"",IF($L$14=0,"",IFERROR(IF(ISNUMBER(INDEX(PASTE_ALL,$DF879,$L$14)),INDEX(PASTE_ALL,$DF879,$L$14),TRIM(SUBSTITUTE(SUBSTITUTE(SUBSTITUTE(SUBSTITUTE(INDEX(PASTE_ALL,$DF879,$L$14)," "," "),CHAR(9)," "),CHAR(10)," "),CHAR(13)," "))),"")))</f>
        <v/>
      </c>
      <c r="DW879">
        <f>IF($DM879=0,"",IF($L$15=0,"",IFERROR(IF(ISNUMBER(INDEX(PASTE_ALL,$DF879,$L$15)),INDEX(PASTE_ALL,$DF879,$L$15),IF(SUMPRODUCT(--ISNUMBER(FIND({"A","B","C","D","E","F","G","H","I","J","K","L","M","N","O","P","Q","R","S","T","U","V","W","X","Y","Z","0","1","2","3","4","5","6","7","8","9"},UPPER(TRIM(SUBSTITUTE(SUBSTITUTE(SUBSTITUTE(SUBSTITUTE(INDEX(PASTE_ALL,$DF879,$L$15)," "," "),CHAR(9)," "),CHAR(10)," "),CHAR(13)," "))))))&gt;0,TRIM(SUBSTITUTE(SUBSTITUTE(SUBSTITUTE(SUBSTITUTE(INDEX(PASTE_ALL,$DF879,$L$15)," "," "),CHAR(9)," "),CHAR(10)," "),CHAR(13)," ")),"")),"")))</f>
        <v/>
      </c>
      <c r="DX879">
        <f>IF($DM879=0,"",IF($L$16=0,"",IFERROR(IF(ISNUMBER(INDEX(PASTE_ALL,$DF879,$L$16)),INDEX(PASTE_ALL,$DF879,$L$16),SUBSTITUTE(SUBSTITUTE(TRIM(SUBSTITUTE(SUBSTITUTE(SUBSTITUTE(SUBSTITUTE(INDEX(PASTE_ALL,$DF879,$L$16)," "," "),CHAR(9)," "),CHAR(10)," "),CHAR(13)," ")),",",""),"%","")),"")))</f>
        <v/>
      </c>
      <c r="DY879">
        <f>IF($DM879=0,"",IFERROR(IF(ISNUMBER($DX879),$DX879,IF($DX879="","",IF(TRIM($DX879)="",0,IF(AND(AND(SUBSTITUTE(SUBSTITUTE(SUBSTITUTE(SUBSTITUTE(SUBSTITUTE(SUBSTITUTE(SUBSTITUTE(SUBSTITUTE(SUBSTITUTE(SUBSTITUTE(SUBSTITUTE(SUBSTITUTE(SUBSTITUTE(SUBSTITUTE(UPPER(TRIM($DX879)),"0",""),"1",""),"2",""),"3",""),"4",""),"5",""),"6",""),"7",""),"8",""),"9",""),".",""),"+",""),"-",""),"E","")="",LEN(SUBSTITUTE(SUBSTITUTE(MID(UPPER(TRIM($DX879)),1+OR(LEFT(UPPER(TRIM($DX879)),1)="+",LEFT(UPPER(TRIM($DX879)),1)="-"),999),"E+","E"),"E-","E"))=LEN(SUBSTITUTE(SUBSTITUTE(SUBSTITUTE(SUBSTITUTE(MID(UPPER(TRIM($DX879)),1+OR(LEFT(UPPER(TRIM($DX879)),1)="+",LEFT(UPPER(TRIM($DX879)),1)="-"),999),"E+","E"),"E-","E"),"+",""),"-","")),LEN(UPPER(TRIM($DX879)))-LEN(SUBSTITUTE(UPPER(TRIM($DX879)),"E",""))&lt;2,LEN(UPPER(TRIM($DX879)))-LEN(SUBSTITUTE(UPPER(TRIM($DX879)),".",""))&lt;2,IFERROR(FIND(".",UPPER(TRIM($DX879))),0)&lt;IFERROR(FIND("E",UPPER(TRIM($DX879))),999)),ISNUMBER(VALUE(TRIM($DX879)))),VALUE(TRIM($DX879)),"")))),""))</f>
        <v/>
      </c>
      <c r="DZ879">
        <f>IF($DM879=0,"",IF($L$17=0,"",IFERROR(IF(ISNUMBER(INDEX(PASTE_ALL,$DF879,$L$17)),INDEX(PASTE_ALL,$DF879,$L$17),SUBSTITUTE(SUBSTITUTE(TRIM(SUBSTITUTE(SUBSTITUTE(SUBSTITUTE(SUBSTITUTE(INDEX(PASTE_ALL,$DF879,$L$17)," "," "),CHAR(9)," "),CHAR(10)," "),CHAR(13)," ")),",",""),"%","")),"")))</f>
        <v/>
      </c>
      <c r="EA879">
        <f>IF($DM879=0,"",IFERROR(IF(ISNUMBER($DZ879),$DZ879,IF($DZ879="","",IF(TRIM($DZ879)="",0,IF(AND(AND(SUBSTITUTE(SUBSTITUTE(SUBSTITUTE(SUBSTITUTE(SUBSTITUTE(SUBSTITUTE(SUBSTITUTE(SUBSTITUTE(SUBSTITUTE(SUBSTITUTE(SUBSTITUTE(SUBSTITUTE(SUBSTITUTE(SUBSTITUTE(UPPER(TRIM($DZ879)),"0",""),"1",""),"2",""),"3",""),"4",""),"5",""),"6",""),"7",""),"8",""),"9",""),".",""),"+",""),"-",""),"E","")="",LEN(SUBSTITUTE(SUBSTITUTE(MID(UPPER(TRIM($DZ879)),1+OR(LEFT(UPPER(TRIM($DZ879)),1)="+",LEFT(UPPER(TRIM($DZ879)),1)="-"),999),"E+","E"),"E-","E"))=LEN(SUBSTITUTE(SUBSTITUTE(SUBSTITUTE(SUBSTITUTE(MID(UPPER(TRIM($DZ879)),1+OR(LEFT(UPPER(TRIM($DZ879)),1)="+",LEFT(UPPER(TRIM($DZ879)),1)="-"),999),"E+","E"),"E-","E"),"+",""),"-","")),LEN(UPPER(TRIM($DZ879)))-LEN(SUBSTITUTE(UPPER(TRIM($DZ879)),"E",""))&lt;2,LEN(UPPER(TRIM($DZ879)))-LEN(SUBSTITUTE(UPPER(TRIM($DZ879)),".",""))&lt;2,IFERROR(FIND(".",UPPER(TRIM($DZ879))),0)&lt;IFERROR(FIND("E",UPPER(TRIM($DZ879))),999)),ISNUMBER(VALUE(TRIM($DZ879)))),VALUE(TRIM($DZ879)),"")))),""))</f>
        <v/>
      </c>
      <c r="EB879">
        <f>IF($DM879=0,"",IF($L$18=0,"",IFERROR(IF(UPPER(TRIM(SUBSTITUTE(SUBSTITUTE(SUBSTITUTE(SUBSTITUTE(INDEX(PASTE_ALL,$DF879,$L$18)," "," "),CHAR(9)," "),CHAR(10)," "),CHAR(13)," ")))="READY","Ready",IF(UPPER(TRIM(SUBSTITUTE(SUBSTITUTE(SUBSTITUTE(SUBSTITUTE(INDEX(PASTE_ALL,$DF879,$L$18)," "," "),CHAR(9)," "),CHAR(10)," "),CHAR(13)," ")))="PM","PM",IF(OR(UPPER(TRIM(SUBSTITUTE(SUBSTITUTE(SUBSTITUTE(SUBSTITUTE(INDEX(PASTE_ALL,$DF879,$L$18)," "," "),CHAR(9)," "),CHAR(10)," "),CHAR(13)," ")))="OT",UPPER(TRIM(SUBSTITUTE(SUBSTITUTE(SUBSTITUTE(SUBSTITUTE(INDEX(PASTE_ALL,$DF879,$L$18)," "," "),CHAR(9)," "),CHAR(10)," "),CHAR(13)," ")))="OVERTIME",UPPER(TRIM(SUBSTITUTE(SUBSTITUTE(SUBSTITUTE(SUBSTITUTE(INDEX(PASTE_ALL,$DF879,$L$18)," "," "),CHAR(9)," "),CHAR(10)," "),CHAR(13)," ")))="TRIAL"),"OT",TRIM(SUBSTITUTE(SUBSTITUTE(SUBSTITUTE(SUBSTITUTE(INDEX(PASTE_ALL,$DF879,$L$18)," "," "),CHAR(9)," "),CHAR(10)," "),CHAR(13)," "))))),"")))</f>
        <v/>
      </c>
      <c r="EC879">
        <f>IF($DM879=0,"",IF($L$19=0,"",IFERROR(IF(ISNUMBER(INDEX(PASTE_ALL,$DF879,$L$19)),INDEX(PASTE_ALL,$DF879,$L$19),TRIM(SUBSTITUTE(SUBSTITUTE(SUBSTITUTE(SUBSTITUTE(INDEX(PASTE_ALL,$DF879,$L$19)," "," "),CHAR(9)," "),CHAR(10)," "),CHAR(13)," "))),"")))</f>
        <v/>
      </c>
      <c r="ED879">
        <f>IF($DM879=0,"",MATCH(1,INDEX(EXACT($DH$5:DH879,$DH879)*$DM$5:DM879,0),0))</f>
        <v/>
      </c>
      <c r="EE879">
        <f>IF($DM879=0,0,IF($ED879=$DE879,1,0))</f>
        <v/>
      </c>
      <c r="EF879">
        <f>EF878+$EE879</f>
        <v/>
      </c>
      <c r="EG879">
        <f>IF($DM879=0,"",INDEX($EF$5:$EF$1003,$ED879))</f>
        <v/>
      </c>
      <c r="EH879">
        <f>IF($DM879=0,"",IF($DO879&lt;&gt;"","",IFERROR(LOOKUP(2,1/(($EG$4:EG878=$EG879)*($DO$4:DO878&lt;&gt;"")),$DO$4:DO878),"")))</f>
        <v/>
      </c>
      <c r="EI879">
        <f>IF($DM879=0,"",IF($DO879&lt;&gt;"",$DO879,$EH879))</f>
        <v/>
      </c>
      <c r="EJ879">
        <f>IF($DM879=0,"",IF($EI879="",0,IF(OR(ISNUMBER($EI879),AND(AND(SUBSTITUTE(SUBSTITUTE(SUBSTITUTE(SUBSTITUTE(SUBSTITUTE(SUBSTITUTE(SUBSTITUTE(SUBSTITUTE(SUBSTITUTE(SUBSTITUTE(SUBSTITUTE(SUBSTITUTE(SUBSTITUTE(SUBSTITUTE(UPPER($EI879),"0",""),"1",""),"2",""),"3",""),"4",""),"5",""),"6",""),"7",""),"8",""),"9",""),".",""),"+",""),"-",""),"E","")="",LEN(SUBSTITUTE(SUBSTITUTE(MID(UPPER($EI879),1+OR(LEFT(UPPER($EI879),1)="+",LEFT(UPPER($EI879),1)="-"),999),"E+","E"),"E-","E"))=LEN(SUBSTITUTE(SUBSTITUTE(SUBSTITUTE(SUBSTITUTE(MID(UPPER($EI879),1+OR(LEFT(UPPER($EI879),1)="+",LEFT(UPPER($EI879),1)="-"),999),"E+","E"),"E-","E"),"+",""),"-","")),LEN(UPPER($EI879))-LEN(SUBSTITUTE(UPPER($EI879),"E",""))&lt;2,LEN(UPPER($EI879))-LEN(SUBSTITUTE(UPPER($EI879),".",""))&lt;2,IFERROR(FIND(".",UPPER($EI879)),0)&lt;IFERROR(FIND("E",UPPER($EI879)),999)),ISNUMBER(VALUE($EI879)))),1,2)))</f>
        <v/>
      </c>
      <c r="EK879">
        <f>IF($DM879=0,"",IF($EJ879=1,IF(ISNUMBER($EI879),$EI879,VALUE($EI879)),IF($EJ879=2,$DE879,0)))</f>
        <v/>
      </c>
      <c r="EL879">
        <f>IF($DM879=0,"",COUNTIF($EG$5:$EG$1003,"&lt;"&amp;$EG879)+SUMPRODUCT(($EG$5:$EG$1003=$EG879)*(($EJ$5:$EJ$1003&lt;$EJ879)+($EJ$5:$EJ$1003=$EJ879)*(($EK$5:$EK$1003&lt;$EK879)+($EK$5:$EK$1003=$EK879)*($DE$5:$DE$1003&lt;$DE879))))+1)</f>
        <v/>
      </c>
      <c r="EM879">
        <f>IF($DM879=0,"",$EL879+$EG879-1)</f>
        <v/>
      </c>
      <c r="EN879">
        <f>IF($DM879=0,0,IFERROR(MATCH(1,INDEX(--(TRIM(SUBSTITUTE(SUBSTITUTE(SUBSTITUTE(SUBSTITUTE(LINES_NAME&amp;""," "," "),CHAR(9)," "),CHAR(10)," "),CHAR(13)," "))=$DH879),0),0),0))</f>
        <v/>
      </c>
      <c r="EO879">
        <f>IF($EN879=0,0,IF(OR(UPPER(TRIM(INDEX(LINES_SCHEDULED,$EN879)&amp;""))="YES",UPPER(TRIM(INDEX(LINES_SCHEDULED,$EN879)&amp;""))="Y",UPPER(TRIM(INDEX(LINES_SCHEDULED,$EN879)&amp;""))="X"),1,0))</f>
        <v/>
      </c>
      <c r="EP879">
        <f>IF($DM879=0,"",IF(COUNTIFS($EG$5:$EG$1003,$EG879,$EB$5:$EB$1003,"Ready")&gt;0,"READY",IF(COUNTIFS($EG$5:$EG$1003,$EG879,$EB$5:$EB$1003,"PM")&gt;0,"PM",IF(COUNTIFS($EG$5:$EG$1003,$EG879,$EB$5:$EB$1003,"OT")&gt;0,"OT",""))))</f>
        <v/>
      </c>
      <c r="EQ879">
        <f>IF($EN879=0,"",UPPER(TRIM(INDEX(LINES_STATUS,$EN879)&amp;"")))</f>
        <v/>
      </c>
      <c r="ER879">
        <f>IF($DM879=0,"",IF(OR($EQ879="READY",$EQ879="PM",$EQ879="OT"),$EQ879,$EP879))</f>
        <v/>
      </c>
      <c r="ES879">
        <f>IF($DM879=0,"",IF(AND($DV879&lt;&gt;"",UPPER($DV879)&lt;&gt;"N"),"allergen",IF(ISNUMBER(SEARCH("oil",$DQ879)),"oil",IF(OR(EXACT($DS879,"A662"),EXACT($DS879,"A624")),"bulk",""))))</f>
        <v/>
      </c>
      <c r="ET879">
        <f>IF($DM879=0,"",IF(OR($EA879="",$EA879=0),"",$EA879/100))</f>
        <v/>
      </c>
      <c r="EU879">
        <f>IF(OR($ET879="",$DY879=""),"",INT($DY879*(1-$ET879)+0.5))</f>
        <v/>
      </c>
    </row>
    <row r="880">
      <c r="DA880" t="n">
        <v>876</v>
      </c>
      <c r="DB880">
        <f>IF($B$37=0,"",IFERROR(TRIM(SUBSTITUTE(SUBSTITUTE(SUBSTITUTE(SUBSTITUTE(INDEX(PASTE_ALL,876,$B$37)," "," "),CHAR(9)," "),CHAR(10)," "),CHAR(13)," ")),""))</f>
        <v/>
      </c>
      <c r="DC880">
        <f>IF(AND(876&gt;HEADER_ROW,UPPER(DB880)="LEGEND"),1,0)</f>
        <v/>
      </c>
      <c r="DE880" t="n">
        <v>876</v>
      </c>
      <c r="DF880">
        <f>HEADER_ROW+$DE880</f>
        <v/>
      </c>
      <c r="DG880">
        <f>IF(AND($DF880&lt;=1000,$DF880&lt;$B$8),1,0)</f>
        <v/>
      </c>
      <c r="DH880">
        <f>IF($DG880=1,IFERROR(INDEX($DB$5:$DB$1004,$DF880),""),"")</f>
        <v/>
      </c>
      <c r="DI880">
        <f>IF(AND($DG880=1,$DH880&lt;&gt;""),IFERROR(SUBSTITUTE(SUBSTITUTE(TRIM(SUBSTITUTE(SUBSTITUTE(SUBSTITUTE(SUBSTITUTE(IFERROR(INDEX(PASTE_ALL,$DF880,1)&amp;"","")&amp;"␟"&amp;IFERROR(INDEX(PASTE_ALL,$DF880,2)&amp;"","")&amp;"␟"&amp;IFERROR(INDEX(PASTE_ALL,$DF880,3)&amp;"","")&amp;"␟"&amp;IFERROR(INDEX(PASTE_ALL,$DF880,4)&amp;"","")&amp;"␟"&amp;IFERROR(INDEX(PASTE_ALL,$DF880,5)&amp;"","")&amp;"␟"&amp;IFERROR(INDEX(PASTE_ALL,$DF880,6)&amp;"","")&amp;"␟"&amp;IFERROR(INDEX(PASTE_ALL,$DF880,7)&amp;"","")&amp;"␟"&amp;IFERROR(INDEX(PASTE_ALL,$DF880,8)&amp;"","")&amp;"␟"&amp;IFERROR(INDEX(PASTE_ALL,$DF880,9)&amp;"","")&amp;"␟"&amp;IFERROR(INDEX(PASTE_ALL,$DF880,10)&amp;"","")&amp;"␟"&amp;IFERROR(INDEX(PASTE_ALL,$DF880,11)&amp;"","")&amp;"␟"&amp;IFERROR(INDEX(PASTE_ALL,$DF880,12)&amp;"","")&amp;"␟"&amp;IFERROR(INDEX(PASTE_ALL,$DF880,13)&amp;"","")&amp;"␟"&amp;IFERROR(INDEX(PASTE_ALL,$DF880,14)&amp;"","")&amp;"␟"&amp;IFERROR(INDEX(PASTE_ALL,$DF880,15)&amp;"","")&amp;"␟"&amp;IFERROR(INDEX(PASTE_ALL,$DF880,16)&amp;"","")&amp;"␟"&amp;IFERROR(INDEX(PASTE_ALL,$DF880,17)&amp;"","")&amp;"␟"&amp;IFERROR(INDEX(PASTE_ALL,$DF880,18)&amp;"","")&amp;"␟"&amp;IFERROR(INDEX(PASTE_ALL,$DF880,19)&amp;"","")&amp;"␟"&amp;IFERROR(INDEX(PASTE_ALL,$DF880,20)&amp;"","")&amp;"␟"&amp;IFERROR(INDEX(PASTE_ALL,$DF880,21)&amp;"","")&amp;"␟"&amp;IFERROR(INDEX(PASTE_ALL,$DF880,22)&amp;"","")&amp;"␟"&amp;IFERROR(INDEX(PASTE_ALL,$DF880,23)&amp;"","")&amp;"␟"&amp;IFERROR(INDEX(PASTE_ALL,$DF880,24)&amp;"","")&amp;"␟"&amp;IFERROR(INDEX(PASTE_ALL,$DF880,25)&amp;"","")&amp;"␟"&amp;IFERROR(INDEX(PASTE_ALL,$DF880,26)&amp;"","")&amp;"␟"&amp;IFERROR(INDEX(PASTE_ALL,$DF880,27)&amp;"","")&amp;"␟"&amp;IFERROR(INDEX(PASTE_ALL,$DF880,28)&amp;"","")&amp;"␟"&amp;IFERROR(INDEX(PASTE_ALL,$DF880,29)&amp;"","")&amp;"␟"&amp;IFERROR(INDEX(PASTE_ALL,$DF880,30)&amp;"","")&amp;"␟"&amp;IFERROR(INDEX(PASTE_ALL,$DF880,31)&amp;"","")&amp;"␟"&amp;IFERROR(INDEX(PASTE_ALL,$DF880,32)&amp;"","")&amp;"␟"&amp;IFERROR(INDEX(PASTE_ALL,$DF880,33)&amp;"","")&amp;"␟"&amp;IFERROR(INDEX(PASTE_ALL,$DF880,34)&amp;"","")&amp;"␟"&amp;IFERROR(INDEX(PASTE_ALL,$DF880,35)&amp;"","")&amp;"␟"&amp;IFERROR(INDEX(PASTE_ALL,$DF880,36)&amp;"","")&amp;"␟"&amp;IFERROR(INDEX(PASTE_ALL,$DF880,37)&amp;"","")&amp;"␟"&amp;IFERROR(INDEX(PASTE_ALL,$DF880,38)&amp;"","")&amp;"␟"&amp;IFERROR(INDEX(PASTE_ALL,$DF880,39)&amp;"","")&amp;"␟"&amp;IFERROR(INDEX(PASTE_ALL,$DF880,40)&amp;"","")&amp;"␟"&amp;IFERROR(INDEX(PASTE_ALL,$DF880,41)&amp;"","")&amp;"␟"&amp;IFERROR(INDEX(PASTE_ALL,$DF880,42)&amp;"","")&amp;"␟"&amp;IFERROR(INDEX(PASTE_ALL,$DF880,43)&amp;"","")&amp;"␟"&amp;IFERROR(INDEX(PASTE_ALL,$DF880,44)&amp;"","")&amp;"␟"&amp;IFERROR(INDEX(PASTE_ALL,$DF880,45)&amp;"","")&amp;"␟"&amp;IFERROR(INDEX(PASTE_ALL,$DF880,46)&amp;"","")&amp;"␟"&amp;IFERROR(INDEX(PASTE_ALL,$DF880,47)&amp;"","")&amp;"␟"&amp;IFERROR(INDEX(PASTE_ALL,$DF880,48)&amp;"","")&amp;"␟"&amp;IFERROR(INDEX(PASTE_ALL,$DF880,49)&amp;"","")&amp;"␟"&amp;IFERROR(INDEX(PASTE_ALL,$DF880,50)&amp;"","")&amp;"␟"&amp;IFERROR(INDEX(PASTE_ALL,$DF880,51)&amp;"","")&amp;"␟"&amp;IFERROR(INDEX(PASTE_ALL,$DF880,52)&amp;"","")&amp;"␟"&amp;IFERROR(INDEX(PASTE_ALL,$DF880,53)&amp;"","")&amp;"␟"&amp;IFERROR(INDEX(PASTE_ALL,$DF880,54)&amp;"","")&amp;"␟"&amp;IFERROR(INDEX(PASTE_ALL,$DF880,55)&amp;"","")&amp;"␟"&amp;IFERROR(INDEX(PASTE_ALL,$DF880,56)&amp;"","")&amp;"␟"&amp;IFERROR(INDEX(PASTE_ALL,$DF880,57)&amp;"","")&amp;"␟"&amp;IFERROR(INDEX(PASTE_ALL,$DF880,58)&amp;"","")&amp;"␟"&amp;IFERROR(INDEX(PASTE_ALL,$DF880,59)&amp;"","")&amp;"␟"&amp;IFERROR(INDEX(PASTE_ALL,$DF880,60)&amp;"","")," "," "),CHAR(9)," "),CHAR(10)," "),CHAR(13)," "))," ␟","␟"),"␟ ","␟"),"#"&amp;$DE880),"")</f>
        <v/>
      </c>
      <c r="DJ880">
        <f>IF($DI880="",0,IF(SUMPRODUCT(--EXACT($DI$4:DI879,$DI880))&gt;0,1,0))</f>
        <v/>
      </c>
      <c r="DK880">
        <f>IF(AND($DI880&lt;&gt;"",$DJ880=0),1,0)</f>
        <v/>
      </c>
      <c r="DL880">
        <f>DL879+$DK880</f>
        <v/>
      </c>
      <c r="DM880">
        <f>IF(AND($DK880=1,$DL880&lt;=600),1,0)</f>
        <v/>
      </c>
      <c r="DN880">
        <f>IF($DM880=0,"",IF($L$6=0,"",IFERROR(IF(ISNUMBER(INDEX(PASTE_ALL,$DF880,$L$6)),INDEX(PASTE_ALL,$DF880,$L$6),TRIM(SUBSTITUTE(SUBSTITUTE(SUBSTITUTE(SUBSTITUTE(INDEX(PASTE_ALL,$DF880,$L$6)," "," "),CHAR(9)," "),CHAR(10)," "),CHAR(13)," "))),"")))</f>
        <v/>
      </c>
      <c r="DO880">
        <f>IF($DM880=0,"",IF($L$7=0,"",IFERROR(IF(ISNUMBER(INDEX(PASTE_ALL,$DF880,$L$7)),INDEX(PASTE_ALL,$DF880,$L$7),TRIM(SUBSTITUTE(SUBSTITUTE(SUBSTITUTE(SUBSTITUTE(INDEX(PASTE_ALL,$DF880,$L$7)," "," "),CHAR(9)," "),CHAR(10)," "),CHAR(13)," "))),"")))</f>
        <v/>
      </c>
      <c r="DP880">
        <f>IF($DM880=0,"",IF($L$8=0,"",IFERROR(IF(ISNUMBER(INDEX(PASTE_ALL,$DF880,$L$8)),INDEX(PASTE_ALL,$DF880,$L$8),TRIM(SUBSTITUTE(SUBSTITUTE(SUBSTITUTE(SUBSTITUTE(INDEX(PASTE_ALL,$DF880,$L$8)," "," "),CHAR(9)," "),CHAR(10)," "),CHAR(13)," "))),"")))</f>
        <v/>
      </c>
      <c r="DQ880">
        <f>IF($DM880=0,"",IF($L$9=0,"",IFERROR(IF(ISNUMBER(INDEX(PASTE_ALL,$DF880,$L$9)),INDEX(PASTE_ALL,$DF880,$L$9),TRIM(SUBSTITUTE(SUBSTITUTE(SUBSTITUTE(SUBSTITUTE(INDEX(PASTE_ALL,$DF880,$L$9)," "," "),CHAR(9)," "),CHAR(10)," "),CHAR(13)," "))),"")))</f>
        <v/>
      </c>
      <c r="DR880">
        <f>IF($DM880=0,"",IF($L$10=0,"",IFERROR(IF(ISNUMBER(INDEX(PASTE_ALL,$DF880,$L$10)),INDEX(PASTE_ALL,$DF880,$L$10),TRIM(SUBSTITUTE(SUBSTITUTE(SUBSTITUTE(SUBSTITUTE(INDEX(PASTE_ALL,$DF880,$L$10)," "," "),CHAR(9)," "),CHAR(10)," "),CHAR(13)," "))),"")))</f>
        <v/>
      </c>
      <c r="DS880">
        <f>IF($DM880=0,"",IF($L$11=0,"",IFERROR(IF(ISNUMBER(INDEX(PASTE_ALL,$DF880,$L$11)),INDEX(PASTE_ALL,$DF880,$L$11),TRIM(SUBSTITUTE(SUBSTITUTE(SUBSTITUTE(SUBSTITUTE(INDEX(PASTE_ALL,$DF880,$L$11)," "," "),CHAR(9)," "),CHAR(10)," "),CHAR(13)," "))),"")))</f>
        <v/>
      </c>
      <c r="DT880">
        <f>IF($DM880=0,"",IF($L$12=0,"",IFERROR(IF(ISNUMBER(INDEX(PASTE_ALL,$DF880,$L$12)),INDEX(PASTE_ALL,$DF880,$L$12),TRIM(SUBSTITUTE(SUBSTITUTE(SUBSTITUTE(SUBSTITUTE(INDEX(PASTE_ALL,$DF880,$L$12)," "," "),CHAR(9)," "),CHAR(10)," "),CHAR(13)," "))),"")))</f>
        <v/>
      </c>
      <c r="DU880">
        <f>IF($DM880=0,"",IF($L$13=0,"",IFERROR(IF(ISNUMBER(INDEX(PASTE_ALL,$DF880,$L$13)),INDEX(PASTE_ALL,$DF880,$L$13),TRIM(SUBSTITUTE(SUBSTITUTE(SUBSTITUTE(SUBSTITUTE(INDEX(PASTE_ALL,$DF880,$L$13)," "," "),CHAR(9)," "),CHAR(10)," "),CHAR(13)," "))),"")))</f>
        <v/>
      </c>
      <c r="DV880">
        <f>IF($DM880=0,"",IF($L$14=0,"",IFERROR(IF(ISNUMBER(INDEX(PASTE_ALL,$DF880,$L$14)),INDEX(PASTE_ALL,$DF880,$L$14),TRIM(SUBSTITUTE(SUBSTITUTE(SUBSTITUTE(SUBSTITUTE(INDEX(PASTE_ALL,$DF880,$L$14)," "," "),CHAR(9)," "),CHAR(10)," "),CHAR(13)," "))),"")))</f>
        <v/>
      </c>
      <c r="DW880">
        <f>IF($DM880=0,"",IF($L$15=0,"",IFERROR(IF(ISNUMBER(INDEX(PASTE_ALL,$DF880,$L$15)),INDEX(PASTE_ALL,$DF880,$L$15),IF(SUMPRODUCT(--ISNUMBER(FIND({"A","B","C","D","E","F","G","H","I","J","K","L","M","N","O","P","Q","R","S","T","U","V","W","X","Y","Z","0","1","2","3","4","5","6","7","8","9"},UPPER(TRIM(SUBSTITUTE(SUBSTITUTE(SUBSTITUTE(SUBSTITUTE(INDEX(PASTE_ALL,$DF880,$L$15)," "," "),CHAR(9)," "),CHAR(10)," "),CHAR(13)," "))))))&gt;0,TRIM(SUBSTITUTE(SUBSTITUTE(SUBSTITUTE(SUBSTITUTE(INDEX(PASTE_ALL,$DF880,$L$15)," "," "),CHAR(9)," "),CHAR(10)," "),CHAR(13)," ")),"")),"")))</f>
        <v/>
      </c>
      <c r="DX880">
        <f>IF($DM880=0,"",IF($L$16=0,"",IFERROR(IF(ISNUMBER(INDEX(PASTE_ALL,$DF880,$L$16)),INDEX(PASTE_ALL,$DF880,$L$16),SUBSTITUTE(SUBSTITUTE(TRIM(SUBSTITUTE(SUBSTITUTE(SUBSTITUTE(SUBSTITUTE(INDEX(PASTE_ALL,$DF880,$L$16)," "," "),CHAR(9)," "),CHAR(10)," "),CHAR(13)," ")),",",""),"%","")),"")))</f>
        <v/>
      </c>
      <c r="DY880">
        <f>IF($DM880=0,"",IFERROR(IF(ISNUMBER($DX880),$DX880,IF($DX880="","",IF(TRIM($DX880)="",0,IF(AND(AND(SUBSTITUTE(SUBSTITUTE(SUBSTITUTE(SUBSTITUTE(SUBSTITUTE(SUBSTITUTE(SUBSTITUTE(SUBSTITUTE(SUBSTITUTE(SUBSTITUTE(SUBSTITUTE(SUBSTITUTE(SUBSTITUTE(SUBSTITUTE(UPPER(TRIM($DX880)),"0",""),"1",""),"2",""),"3",""),"4",""),"5",""),"6",""),"7",""),"8",""),"9",""),".",""),"+",""),"-",""),"E","")="",LEN(SUBSTITUTE(SUBSTITUTE(MID(UPPER(TRIM($DX880)),1+OR(LEFT(UPPER(TRIM($DX880)),1)="+",LEFT(UPPER(TRIM($DX880)),1)="-"),999),"E+","E"),"E-","E"))=LEN(SUBSTITUTE(SUBSTITUTE(SUBSTITUTE(SUBSTITUTE(MID(UPPER(TRIM($DX880)),1+OR(LEFT(UPPER(TRIM($DX880)),1)="+",LEFT(UPPER(TRIM($DX880)),1)="-"),999),"E+","E"),"E-","E"),"+",""),"-","")),LEN(UPPER(TRIM($DX880)))-LEN(SUBSTITUTE(UPPER(TRIM($DX880)),"E",""))&lt;2,LEN(UPPER(TRIM($DX880)))-LEN(SUBSTITUTE(UPPER(TRIM($DX880)),".",""))&lt;2,IFERROR(FIND(".",UPPER(TRIM($DX880))),0)&lt;IFERROR(FIND("E",UPPER(TRIM($DX880))),999)),ISNUMBER(VALUE(TRIM($DX880)))),VALUE(TRIM($DX880)),"")))),""))</f>
        <v/>
      </c>
      <c r="DZ880">
        <f>IF($DM880=0,"",IF($L$17=0,"",IFERROR(IF(ISNUMBER(INDEX(PASTE_ALL,$DF880,$L$17)),INDEX(PASTE_ALL,$DF880,$L$17),SUBSTITUTE(SUBSTITUTE(TRIM(SUBSTITUTE(SUBSTITUTE(SUBSTITUTE(SUBSTITUTE(INDEX(PASTE_ALL,$DF880,$L$17)," "," "),CHAR(9)," "),CHAR(10)," "),CHAR(13)," ")),",",""),"%","")),"")))</f>
        <v/>
      </c>
      <c r="EA880">
        <f>IF($DM880=0,"",IFERROR(IF(ISNUMBER($DZ880),$DZ880,IF($DZ880="","",IF(TRIM($DZ880)="",0,IF(AND(AND(SUBSTITUTE(SUBSTITUTE(SUBSTITUTE(SUBSTITUTE(SUBSTITUTE(SUBSTITUTE(SUBSTITUTE(SUBSTITUTE(SUBSTITUTE(SUBSTITUTE(SUBSTITUTE(SUBSTITUTE(SUBSTITUTE(SUBSTITUTE(UPPER(TRIM($DZ880)),"0",""),"1",""),"2",""),"3",""),"4",""),"5",""),"6",""),"7",""),"8",""),"9",""),".",""),"+",""),"-",""),"E","")="",LEN(SUBSTITUTE(SUBSTITUTE(MID(UPPER(TRIM($DZ880)),1+OR(LEFT(UPPER(TRIM($DZ880)),1)="+",LEFT(UPPER(TRIM($DZ880)),1)="-"),999),"E+","E"),"E-","E"))=LEN(SUBSTITUTE(SUBSTITUTE(SUBSTITUTE(SUBSTITUTE(MID(UPPER(TRIM($DZ880)),1+OR(LEFT(UPPER(TRIM($DZ880)),1)="+",LEFT(UPPER(TRIM($DZ880)),1)="-"),999),"E+","E"),"E-","E"),"+",""),"-","")),LEN(UPPER(TRIM($DZ880)))-LEN(SUBSTITUTE(UPPER(TRIM($DZ880)),"E",""))&lt;2,LEN(UPPER(TRIM($DZ880)))-LEN(SUBSTITUTE(UPPER(TRIM($DZ880)),".",""))&lt;2,IFERROR(FIND(".",UPPER(TRIM($DZ880))),0)&lt;IFERROR(FIND("E",UPPER(TRIM($DZ880))),999)),ISNUMBER(VALUE(TRIM($DZ880)))),VALUE(TRIM($DZ880)),"")))),""))</f>
        <v/>
      </c>
      <c r="EB880">
        <f>IF($DM880=0,"",IF($L$18=0,"",IFERROR(IF(UPPER(TRIM(SUBSTITUTE(SUBSTITUTE(SUBSTITUTE(SUBSTITUTE(INDEX(PASTE_ALL,$DF880,$L$18)," "," "),CHAR(9)," "),CHAR(10)," "),CHAR(13)," ")))="READY","Ready",IF(UPPER(TRIM(SUBSTITUTE(SUBSTITUTE(SUBSTITUTE(SUBSTITUTE(INDEX(PASTE_ALL,$DF880,$L$18)," "," "),CHAR(9)," "),CHAR(10)," "),CHAR(13)," ")))="PM","PM",IF(OR(UPPER(TRIM(SUBSTITUTE(SUBSTITUTE(SUBSTITUTE(SUBSTITUTE(INDEX(PASTE_ALL,$DF880,$L$18)," "," "),CHAR(9)," "),CHAR(10)," "),CHAR(13)," ")))="OT",UPPER(TRIM(SUBSTITUTE(SUBSTITUTE(SUBSTITUTE(SUBSTITUTE(INDEX(PASTE_ALL,$DF880,$L$18)," "," "),CHAR(9)," "),CHAR(10)," "),CHAR(13)," ")))="OVERTIME",UPPER(TRIM(SUBSTITUTE(SUBSTITUTE(SUBSTITUTE(SUBSTITUTE(INDEX(PASTE_ALL,$DF880,$L$18)," "," "),CHAR(9)," "),CHAR(10)," "),CHAR(13)," ")))="TRIAL"),"OT",TRIM(SUBSTITUTE(SUBSTITUTE(SUBSTITUTE(SUBSTITUTE(INDEX(PASTE_ALL,$DF880,$L$18)," "," "),CHAR(9)," "),CHAR(10)," "),CHAR(13)," "))))),"")))</f>
        <v/>
      </c>
      <c r="EC880">
        <f>IF($DM880=0,"",IF($L$19=0,"",IFERROR(IF(ISNUMBER(INDEX(PASTE_ALL,$DF880,$L$19)),INDEX(PASTE_ALL,$DF880,$L$19),TRIM(SUBSTITUTE(SUBSTITUTE(SUBSTITUTE(SUBSTITUTE(INDEX(PASTE_ALL,$DF880,$L$19)," "," "),CHAR(9)," "),CHAR(10)," "),CHAR(13)," "))),"")))</f>
        <v/>
      </c>
      <c r="ED880">
        <f>IF($DM880=0,"",MATCH(1,INDEX(EXACT($DH$5:DH880,$DH880)*$DM$5:DM880,0),0))</f>
        <v/>
      </c>
      <c r="EE880">
        <f>IF($DM880=0,0,IF($ED880=$DE880,1,0))</f>
        <v/>
      </c>
      <c r="EF880">
        <f>EF879+$EE880</f>
        <v/>
      </c>
      <c r="EG880">
        <f>IF($DM880=0,"",INDEX($EF$5:$EF$1003,$ED880))</f>
        <v/>
      </c>
      <c r="EH880">
        <f>IF($DM880=0,"",IF($DO880&lt;&gt;"","",IFERROR(LOOKUP(2,1/(($EG$4:EG879=$EG880)*($DO$4:DO879&lt;&gt;"")),$DO$4:DO879),"")))</f>
        <v/>
      </c>
      <c r="EI880">
        <f>IF($DM880=0,"",IF($DO880&lt;&gt;"",$DO880,$EH880))</f>
        <v/>
      </c>
      <c r="EJ880">
        <f>IF($DM880=0,"",IF($EI880="",0,IF(OR(ISNUMBER($EI880),AND(AND(SUBSTITUTE(SUBSTITUTE(SUBSTITUTE(SUBSTITUTE(SUBSTITUTE(SUBSTITUTE(SUBSTITUTE(SUBSTITUTE(SUBSTITUTE(SUBSTITUTE(SUBSTITUTE(SUBSTITUTE(SUBSTITUTE(SUBSTITUTE(UPPER($EI880),"0",""),"1",""),"2",""),"3",""),"4",""),"5",""),"6",""),"7",""),"8",""),"9",""),".",""),"+",""),"-",""),"E","")="",LEN(SUBSTITUTE(SUBSTITUTE(MID(UPPER($EI880),1+OR(LEFT(UPPER($EI880),1)="+",LEFT(UPPER($EI880),1)="-"),999),"E+","E"),"E-","E"))=LEN(SUBSTITUTE(SUBSTITUTE(SUBSTITUTE(SUBSTITUTE(MID(UPPER($EI880),1+OR(LEFT(UPPER($EI880),1)="+",LEFT(UPPER($EI880),1)="-"),999),"E+","E"),"E-","E"),"+",""),"-","")),LEN(UPPER($EI880))-LEN(SUBSTITUTE(UPPER($EI880),"E",""))&lt;2,LEN(UPPER($EI880))-LEN(SUBSTITUTE(UPPER($EI880),".",""))&lt;2,IFERROR(FIND(".",UPPER($EI880)),0)&lt;IFERROR(FIND("E",UPPER($EI880)),999)),ISNUMBER(VALUE($EI880)))),1,2)))</f>
        <v/>
      </c>
      <c r="EK880">
        <f>IF($DM880=0,"",IF($EJ880=1,IF(ISNUMBER($EI880),$EI880,VALUE($EI880)),IF($EJ880=2,$DE880,0)))</f>
        <v/>
      </c>
      <c r="EL880">
        <f>IF($DM880=0,"",COUNTIF($EG$5:$EG$1003,"&lt;"&amp;$EG880)+SUMPRODUCT(($EG$5:$EG$1003=$EG880)*(($EJ$5:$EJ$1003&lt;$EJ880)+($EJ$5:$EJ$1003=$EJ880)*(($EK$5:$EK$1003&lt;$EK880)+($EK$5:$EK$1003=$EK880)*($DE$5:$DE$1003&lt;$DE880))))+1)</f>
        <v/>
      </c>
      <c r="EM880">
        <f>IF($DM880=0,"",$EL880+$EG880-1)</f>
        <v/>
      </c>
      <c r="EN880">
        <f>IF($DM880=0,0,IFERROR(MATCH(1,INDEX(--(TRIM(SUBSTITUTE(SUBSTITUTE(SUBSTITUTE(SUBSTITUTE(LINES_NAME&amp;""," "," "),CHAR(9)," "),CHAR(10)," "),CHAR(13)," "))=$DH880),0),0),0))</f>
        <v/>
      </c>
      <c r="EO880">
        <f>IF($EN880=0,0,IF(OR(UPPER(TRIM(INDEX(LINES_SCHEDULED,$EN880)&amp;""))="YES",UPPER(TRIM(INDEX(LINES_SCHEDULED,$EN880)&amp;""))="Y",UPPER(TRIM(INDEX(LINES_SCHEDULED,$EN880)&amp;""))="X"),1,0))</f>
        <v/>
      </c>
      <c r="EP880">
        <f>IF($DM880=0,"",IF(COUNTIFS($EG$5:$EG$1003,$EG880,$EB$5:$EB$1003,"Ready")&gt;0,"READY",IF(COUNTIFS($EG$5:$EG$1003,$EG880,$EB$5:$EB$1003,"PM")&gt;0,"PM",IF(COUNTIFS($EG$5:$EG$1003,$EG880,$EB$5:$EB$1003,"OT")&gt;0,"OT",""))))</f>
        <v/>
      </c>
      <c r="EQ880">
        <f>IF($EN880=0,"",UPPER(TRIM(INDEX(LINES_STATUS,$EN880)&amp;"")))</f>
        <v/>
      </c>
      <c r="ER880">
        <f>IF($DM880=0,"",IF(OR($EQ880="READY",$EQ880="PM",$EQ880="OT"),$EQ880,$EP880))</f>
        <v/>
      </c>
      <c r="ES880">
        <f>IF($DM880=0,"",IF(AND($DV880&lt;&gt;"",UPPER($DV880)&lt;&gt;"N"),"allergen",IF(ISNUMBER(SEARCH("oil",$DQ880)),"oil",IF(OR(EXACT($DS880,"A662"),EXACT($DS880,"A624")),"bulk",""))))</f>
        <v/>
      </c>
      <c r="ET880">
        <f>IF($DM880=0,"",IF(OR($EA880="",$EA880=0),"",$EA880/100))</f>
        <v/>
      </c>
      <c r="EU880">
        <f>IF(OR($ET880="",$DY880=""),"",INT($DY880*(1-$ET880)+0.5))</f>
        <v/>
      </c>
    </row>
    <row r="881">
      <c r="DA881" t="n">
        <v>877</v>
      </c>
      <c r="DB881">
        <f>IF($B$37=0,"",IFERROR(TRIM(SUBSTITUTE(SUBSTITUTE(SUBSTITUTE(SUBSTITUTE(INDEX(PASTE_ALL,877,$B$37)," "," "),CHAR(9)," "),CHAR(10)," "),CHAR(13)," ")),""))</f>
        <v/>
      </c>
      <c r="DC881">
        <f>IF(AND(877&gt;HEADER_ROW,UPPER(DB881)="LEGEND"),1,0)</f>
        <v/>
      </c>
      <c r="DE881" t="n">
        <v>877</v>
      </c>
      <c r="DF881">
        <f>HEADER_ROW+$DE881</f>
        <v/>
      </c>
      <c r="DG881">
        <f>IF(AND($DF881&lt;=1000,$DF881&lt;$B$8),1,0)</f>
        <v/>
      </c>
      <c r="DH881">
        <f>IF($DG881=1,IFERROR(INDEX($DB$5:$DB$1004,$DF881),""),"")</f>
        <v/>
      </c>
      <c r="DI881">
        <f>IF(AND($DG881=1,$DH881&lt;&gt;""),IFERROR(SUBSTITUTE(SUBSTITUTE(TRIM(SUBSTITUTE(SUBSTITUTE(SUBSTITUTE(SUBSTITUTE(IFERROR(INDEX(PASTE_ALL,$DF881,1)&amp;"","")&amp;"␟"&amp;IFERROR(INDEX(PASTE_ALL,$DF881,2)&amp;"","")&amp;"␟"&amp;IFERROR(INDEX(PASTE_ALL,$DF881,3)&amp;"","")&amp;"␟"&amp;IFERROR(INDEX(PASTE_ALL,$DF881,4)&amp;"","")&amp;"␟"&amp;IFERROR(INDEX(PASTE_ALL,$DF881,5)&amp;"","")&amp;"␟"&amp;IFERROR(INDEX(PASTE_ALL,$DF881,6)&amp;"","")&amp;"␟"&amp;IFERROR(INDEX(PASTE_ALL,$DF881,7)&amp;"","")&amp;"␟"&amp;IFERROR(INDEX(PASTE_ALL,$DF881,8)&amp;"","")&amp;"␟"&amp;IFERROR(INDEX(PASTE_ALL,$DF881,9)&amp;"","")&amp;"␟"&amp;IFERROR(INDEX(PASTE_ALL,$DF881,10)&amp;"","")&amp;"␟"&amp;IFERROR(INDEX(PASTE_ALL,$DF881,11)&amp;"","")&amp;"␟"&amp;IFERROR(INDEX(PASTE_ALL,$DF881,12)&amp;"","")&amp;"␟"&amp;IFERROR(INDEX(PASTE_ALL,$DF881,13)&amp;"","")&amp;"␟"&amp;IFERROR(INDEX(PASTE_ALL,$DF881,14)&amp;"","")&amp;"␟"&amp;IFERROR(INDEX(PASTE_ALL,$DF881,15)&amp;"","")&amp;"␟"&amp;IFERROR(INDEX(PASTE_ALL,$DF881,16)&amp;"","")&amp;"␟"&amp;IFERROR(INDEX(PASTE_ALL,$DF881,17)&amp;"","")&amp;"␟"&amp;IFERROR(INDEX(PASTE_ALL,$DF881,18)&amp;"","")&amp;"␟"&amp;IFERROR(INDEX(PASTE_ALL,$DF881,19)&amp;"","")&amp;"␟"&amp;IFERROR(INDEX(PASTE_ALL,$DF881,20)&amp;"","")&amp;"␟"&amp;IFERROR(INDEX(PASTE_ALL,$DF881,21)&amp;"","")&amp;"␟"&amp;IFERROR(INDEX(PASTE_ALL,$DF881,22)&amp;"","")&amp;"␟"&amp;IFERROR(INDEX(PASTE_ALL,$DF881,23)&amp;"","")&amp;"␟"&amp;IFERROR(INDEX(PASTE_ALL,$DF881,24)&amp;"","")&amp;"␟"&amp;IFERROR(INDEX(PASTE_ALL,$DF881,25)&amp;"","")&amp;"␟"&amp;IFERROR(INDEX(PASTE_ALL,$DF881,26)&amp;"","")&amp;"␟"&amp;IFERROR(INDEX(PASTE_ALL,$DF881,27)&amp;"","")&amp;"␟"&amp;IFERROR(INDEX(PASTE_ALL,$DF881,28)&amp;"","")&amp;"␟"&amp;IFERROR(INDEX(PASTE_ALL,$DF881,29)&amp;"","")&amp;"␟"&amp;IFERROR(INDEX(PASTE_ALL,$DF881,30)&amp;"","")&amp;"␟"&amp;IFERROR(INDEX(PASTE_ALL,$DF881,31)&amp;"","")&amp;"␟"&amp;IFERROR(INDEX(PASTE_ALL,$DF881,32)&amp;"","")&amp;"␟"&amp;IFERROR(INDEX(PASTE_ALL,$DF881,33)&amp;"","")&amp;"␟"&amp;IFERROR(INDEX(PASTE_ALL,$DF881,34)&amp;"","")&amp;"␟"&amp;IFERROR(INDEX(PASTE_ALL,$DF881,35)&amp;"","")&amp;"␟"&amp;IFERROR(INDEX(PASTE_ALL,$DF881,36)&amp;"","")&amp;"␟"&amp;IFERROR(INDEX(PASTE_ALL,$DF881,37)&amp;"","")&amp;"␟"&amp;IFERROR(INDEX(PASTE_ALL,$DF881,38)&amp;"","")&amp;"␟"&amp;IFERROR(INDEX(PASTE_ALL,$DF881,39)&amp;"","")&amp;"␟"&amp;IFERROR(INDEX(PASTE_ALL,$DF881,40)&amp;"","")&amp;"␟"&amp;IFERROR(INDEX(PASTE_ALL,$DF881,41)&amp;"","")&amp;"␟"&amp;IFERROR(INDEX(PASTE_ALL,$DF881,42)&amp;"","")&amp;"␟"&amp;IFERROR(INDEX(PASTE_ALL,$DF881,43)&amp;"","")&amp;"␟"&amp;IFERROR(INDEX(PASTE_ALL,$DF881,44)&amp;"","")&amp;"␟"&amp;IFERROR(INDEX(PASTE_ALL,$DF881,45)&amp;"","")&amp;"␟"&amp;IFERROR(INDEX(PASTE_ALL,$DF881,46)&amp;"","")&amp;"␟"&amp;IFERROR(INDEX(PASTE_ALL,$DF881,47)&amp;"","")&amp;"␟"&amp;IFERROR(INDEX(PASTE_ALL,$DF881,48)&amp;"","")&amp;"␟"&amp;IFERROR(INDEX(PASTE_ALL,$DF881,49)&amp;"","")&amp;"␟"&amp;IFERROR(INDEX(PASTE_ALL,$DF881,50)&amp;"","")&amp;"␟"&amp;IFERROR(INDEX(PASTE_ALL,$DF881,51)&amp;"","")&amp;"␟"&amp;IFERROR(INDEX(PASTE_ALL,$DF881,52)&amp;"","")&amp;"␟"&amp;IFERROR(INDEX(PASTE_ALL,$DF881,53)&amp;"","")&amp;"␟"&amp;IFERROR(INDEX(PASTE_ALL,$DF881,54)&amp;"","")&amp;"␟"&amp;IFERROR(INDEX(PASTE_ALL,$DF881,55)&amp;"","")&amp;"␟"&amp;IFERROR(INDEX(PASTE_ALL,$DF881,56)&amp;"","")&amp;"␟"&amp;IFERROR(INDEX(PASTE_ALL,$DF881,57)&amp;"","")&amp;"␟"&amp;IFERROR(INDEX(PASTE_ALL,$DF881,58)&amp;"","")&amp;"␟"&amp;IFERROR(INDEX(PASTE_ALL,$DF881,59)&amp;"","")&amp;"␟"&amp;IFERROR(INDEX(PASTE_ALL,$DF881,60)&amp;"","")," "," "),CHAR(9)," "),CHAR(10)," "),CHAR(13)," "))," ␟","␟"),"␟ ","␟"),"#"&amp;$DE881),"")</f>
        <v/>
      </c>
      <c r="DJ881">
        <f>IF($DI881="",0,IF(SUMPRODUCT(--EXACT($DI$4:DI880,$DI881))&gt;0,1,0))</f>
        <v/>
      </c>
      <c r="DK881">
        <f>IF(AND($DI881&lt;&gt;"",$DJ881=0),1,0)</f>
        <v/>
      </c>
      <c r="DL881">
        <f>DL880+$DK881</f>
        <v/>
      </c>
      <c r="DM881">
        <f>IF(AND($DK881=1,$DL881&lt;=600),1,0)</f>
        <v/>
      </c>
      <c r="DN881">
        <f>IF($DM881=0,"",IF($L$6=0,"",IFERROR(IF(ISNUMBER(INDEX(PASTE_ALL,$DF881,$L$6)),INDEX(PASTE_ALL,$DF881,$L$6),TRIM(SUBSTITUTE(SUBSTITUTE(SUBSTITUTE(SUBSTITUTE(INDEX(PASTE_ALL,$DF881,$L$6)," "," "),CHAR(9)," "),CHAR(10)," "),CHAR(13)," "))),"")))</f>
        <v/>
      </c>
      <c r="DO881">
        <f>IF($DM881=0,"",IF($L$7=0,"",IFERROR(IF(ISNUMBER(INDEX(PASTE_ALL,$DF881,$L$7)),INDEX(PASTE_ALL,$DF881,$L$7),TRIM(SUBSTITUTE(SUBSTITUTE(SUBSTITUTE(SUBSTITUTE(INDEX(PASTE_ALL,$DF881,$L$7)," "," "),CHAR(9)," "),CHAR(10)," "),CHAR(13)," "))),"")))</f>
        <v/>
      </c>
      <c r="DP881">
        <f>IF($DM881=0,"",IF($L$8=0,"",IFERROR(IF(ISNUMBER(INDEX(PASTE_ALL,$DF881,$L$8)),INDEX(PASTE_ALL,$DF881,$L$8),TRIM(SUBSTITUTE(SUBSTITUTE(SUBSTITUTE(SUBSTITUTE(INDEX(PASTE_ALL,$DF881,$L$8)," "," "),CHAR(9)," "),CHAR(10)," "),CHAR(13)," "))),"")))</f>
        <v/>
      </c>
      <c r="DQ881">
        <f>IF($DM881=0,"",IF($L$9=0,"",IFERROR(IF(ISNUMBER(INDEX(PASTE_ALL,$DF881,$L$9)),INDEX(PASTE_ALL,$DF881,$L$9),TRIM(SUBSTITUTE(SUBSTITUTE(SUBSTITUTE(SUBSTITUTE(INDEX(PASTE_ALL,$DF881,$L$9)," "," "),CHAR(9)," "),CHAR(10)," "),CHAR(13)," "))),"")))</f>
        <v/>
      </c>
      <c r="DR881">
        <f>IF($DM881=0,"",IF($L$10=0,"",IFERROR(IF(ISNUMBER(INDEX(PASTE_ALL,$DF881,$L$10)),INDEX(PASTE_ALL,$DF881,$L$10),TRIM(SUBSTITUTE(SUBSTITUTE(SUBSTITUTE(SUBSTITUTE(INDEX(PASTE_ALL,$DF881,$L$10)," "," "),CHAR(9)," "),CHAR(10)," "),CHAR(13)," "))),"")))</f>
        <v/>
      </c>
      <c r="DS881">
        <f>IF($DM881=0,"",IF($L$11=0,"",IFERROR(IF(ISNUMBER(INDEX(PASTE_ALL,$DF881,$L$11)),INDEX(PASTE_ALL,$DF881,$L$11),TRIM(SUBSTITUTE(SUBSTITUTE(SUBSTITUTE(SUBSTITUTE(INDEX(PASTE_ALL,$DF881,$L$11)," "," "),CHAR(9)," "),CHAR(10)," "),CHAR(13)," "))),"")))</f>
        <v/>
      </c>
      <c r="DT881">
        <f>IF($DM881=0,"",IF($L$12=0,"",IFERROR(IF(ISNUMBER(INDEX(PASTE_ALL,$DF881,$L$12)),INDEX(PASTE_ALL,$DF881,$L$12),TRIM(SUBSTITUTE(SUBSTITUTE(SUBSTITUTE(SUBSTITUTE(INDEX(PASTE_ALL,$DF881,$L$12)," "," "),CHAR(9)," "),CHAR(10)," "),CHAR(13)," "))),"")))</f>
        <v/>
      </c>
      <c r="DU881">
        <f>IF($DM881=0,"",IF($L$13=0,"",IFERROR(IF(ISNUMBER(INDEX(PASTE_ALL,$DF881,$L$13)),INDEX(PASTE_ALL,$DF881,$L$13),TRIM(SUBSTITUTE(SUBSTITUTE(SUBSTITUTE(SUBSTITUTE(INDEX(PASTE_ALL,$DF881,$L$13)," "," "),CHAR(9)," "),CHAR(10)," "),CHAR(13)," "))),"")))</f>
        <v/>
      </c>
      <c r="DV881">
        <f>IF($DM881=0,"",IF($L$14=0,"",IFERROR(IF(ISNUMBER(INDEX(PASTE_ALL,$DF881,$L$14)),INDEX(PASTE_ALL,$DF881,$L$14),TRIM(SUBSTITUTE(SUBSTITUTE(SUBSTITUTE(SUBSTITUTE(INDEX(PASTE_ALL,$DF881,$L$14)," "," "),CHAR(9)," "),CHAR(10)," "),CHAR(13)," "))),"")))</f>
        <v/>
      </c>
      <c r="DW881">
        <f>IF($DM881=0,"",IF($L$15=0,"",IFERROR(IF(ISNUMBER(INDEX(PASTE_ALL,$DF881,$L$15)),INDEX(PASTE_ALL,$DF881,$L$15),IF(SUMPRODUCT(--ISNUMBER(FIND({"A","B","C","D","E","F","G","H","I","J","K","L","M","N","O","P","Q","R","S","T","U","V","W","X","Y","Z","0","1","2","3","4","5","6","7","8","9"},UPPER(TRIM(SUBSTITUTE(SUBSTITUTE(SUBSTITUTE(SUBSTITUTE(INDEX(PASTE_ALL,$DF881,$L$15)," "," "),CHAR(9)," "),CHAR(10)," "),CHAR(13)," "))))))&gt;0,TRIM(SUBSTITUTE(SUBSTITUTE(SUBSTITUTE(SUBSTITUTE(INDEX(PASTE_ALL,$DF881,$L$15)," "," "),CHAR(9)," "),CHAR(10)," "),CHAR(13)," ")),"")),"")))</f>
        <v/>
      </c>
      <c r="DX881">
        <f>IF($DM881=0,"",IF($L$16=0,"",IFERROR(IF(ISNUMBER(INDEX(PASTE_ALL,$DF881,$L$16)),INDEX(PASTE_ALL,$DF881,$L$16),SUBSTITUTE(SUBSTITUTE(TRIM(SUBSTITUTE(SUBSTITUTE(SUBSTITUTE(SUBSTITUTE(INDEX(PASTE_ALL,$DF881,$L$16)," "," "),CHAR(9)," "),CHAR(10)," "),CHAR(13)," ")),",",""),"%","")),"")))</f>
        <v/>
      </c>
      <c r="DY881">
        <f>IF($DM881=0,"",IFERROR(IF(ISNUMBER($DX881),$DX881,IF($DX881="","",IF(TRIM($DX881)="",0,IF(AND(AND(SUBSTITUTE(SUBSTITUTE(SUBSTITUTE(SUBSTITUTE(SUBSTITUTE(SUBSTITUTE(SUBSTITUTE(SUBSTITUTE(SUBSTITUTE(SUBSTITUTE(SUBSTITUTE(SUBSTITUTE(SUBSTITUTE(SUBSTITUTE(UPPER(TRIM($DX881)),"0",""),"1",""),"2",""),"3",""),"4",""),"5",""),"6",""),"7",""),"8",""),"9",""),".",""),"+",""),"-",""),"E","")="",LEN(SUBSTITUTE(SUBSTITUTE(MID(UPPER(TRIM($DX881)),1+OR(LEFT(UPPER(TRIM($DX881)),1)="+",LEFT(UPPER(TRIM($DX881)),1)="-"),999),"E+","E"),"E-","E"))=LEN(SUBSTITUTE(SUBSTITUTE(SUBSTITUTE(SUBSTITUTE(MID(UPPER(TRIM($DX881)),1+OR(LEFT(UPPER(TRIM($DX881)),1)="+",LEFT(UPPER(TRIM($DX881)),1)="-"),999),"E+","E"),"E-","E"),"+",""),"-","")),LEN(UPPER(TRIM($DX881)))-LEN(SUBSTITUTE(UPPER(TRIM($DX881)),"E",""))&lt;2,LEN(UPPER(TRIM($DX881)))-LEN(SUBSTITUTE(UPPER(TRIM($DX881)),".",""))&lt;2,IFERROR(FIND(".",UPPER(TRIM($DX881))),0)&lt;IFERROR(FIND("E",UPPER(TRIM($DX881))),999)),ISNUMBER(VALUE(TRIM($DX881)))),VALUE(TRIM($DX881)),"")))),""))</f>
        <v/>
      </c>
      <c r="DZ881">
        <f>IF($DM881=0,"",IF($L$17=0,"",IFERROR(IF(ISNUMBER(INDEX(PASTE_ALL,$DF881,$L$17)),INDEX(PASTE_ALL,$DF881,$L$17),SUBSTITUTE(SUBSTITUTE(TRIM(SUBSTITUTE(SUBSTITUTE(SUBSTITUTE(SUBSTITUTE(INDEX(PASTE_ALL,$DF881,$L$17)," "," "),CHAR(9)," "),CHAR(10)," "),CHAR(13)," ")),",",""),"%","")),"")))</f>
        <v/>
      </c>
      <c r="EA881">
        <f>IF($DM881=0,"",IFERROR(IF(ISNUMBER($DZ881),$DZ881,IF($DZ881="","",IF(TRIM($DZ881)="",0,IF(AND(AND(SUBSTITUTE(SUBSTITUTE(SUBSTITUTE(SUBSTITUTE(SUBSTITUTE(SUBSTITUTE(SUBSTITUTE(SUBSTITUTE(SUBSTITUTE(SUBSTITUTE(SUBSTITUTE(SUBSTITUTE(SUBSTITUTE(SUBSTITUTE(UPPER(TRIM($DZ881)),"0",""),"1",""),"2",""),"3",""),"4",""),"5",""),"6",""),"7",""),"8",""),"9",""),".",""),"+",""),"-",""),"E","")="",LEN(SUBSTITUTE(SUBSTITUTE(MID(UPPER(TRIM($DZ881)),1+OR(LEFT(UPPER(TRIM($DZ881)),1)="+",LEFT(UPPER(TRIM($DZ881)),1)="-"),999),"E+","E"),"E-","E"))=LEN(SUBSTITUTE(SUBSTITUTE(SUBSTITUTE(SUBSTITUTE(MID(UPPER(TRIM($DZ881)),1+OR(LEFT(UPPER(TRIM($DZ881)),1)="+",LEFT(UPPER(TRIM($DZ881)),1)="-"),999),"E+","E"),"E-","E"),"+",""),"-","")),LEN(UPPER(TRIM($DZ881)))-LEN(SUBSTITUTE(UPPER(TRIM($DZ881)),"E",""))&lt;2,LEN(UPPER(TRIM($DZ881)))-LEN(SUBSTITUTE(UPPER(TRIM($DZ881)),".",""))&lt;2,IFERROR(FIND(".",UPPER(TRIM($DZ881))),0)&lt;IFERROR(FIND("E",UPPER(TRIM($DZ881))),999)),ISNUMBER(VALUE(TRIM($DZ881)))),VALUE(TRIM($DZ881)),"")))),""))</f>
        <v/>
      </c>
      <c r="EB881">
        <f>IF($DM881=0,"",IF($L$18=0,"",IFERROR(IF(UPPER(TRIM(SUBSTITUTE(SUBSTITUTE(SUBSTITUTE(SUBSTITUTE(INDEX(PASTE_ALL,$DF881,$L$18)," "," "),CHAR(9)," "),CHAR(10)," "),CHAR(13)," ")))="READY","Ready",IF(UPPER(TRIM(SUBSTITUTE(SUBSTITUTE(SUBSTITUTE(SUBSTITUTE(INDEX(PASTE_ALL,$DF881,$L$18)," "," "),CHAR(9)," "),CHAR(10)," "),CHAR(13)," ")))="PM","PM",IF(OR(UPPER(TRIM(SUBSTITUTE(SUBSTITUTE(SUBSTITUTE(SUBSTITUTE(INDEX(PASTE_ALL,$DF881,$L$18)," "," "),CHAR(9)," "),CHAR(10)," "),CHAR(13)," ")))="OT",UPPER(TRIM(SUBSTITUTE(SUBSTITUTE(SUBSTITUTE(SUBSTITUTE(INDEX(PASTE_ALL,$DF881,$L$18)," "," "),CHAR(9)," "),CHAR(10)," "),CHAR(13)," ")))="OVERTIME",UPPER(TRIM(SUBSTITUTE(SUBSTITUTE(SUBSTITUTE(SUBSTITUTE(INDEX(PASTE_ALL,$DF881,$L$18)," "," "),CHAR(9)," "),CHAR(10)," "),CHAR(13)," ")))="TRIAL"),"OT",TRIM(SUBSTITUTE(SUBSTITUTE(SUBSTITUTE(SUBSTITUTE(INDEX(PASTE_ALL,$DF881,$L$18)," "," "),CHAR(9)," "),CHAR(10)," "),CHAR(13)," "))))),"")))</f>
        <v/>
      </c>
      <c r="EC881">
        <f>IF($DM881=0,"",IF($L$19=0,"",IFERROR(IF(ISNUMBER(INDEX(PASTE_ALL,$DF881,$L$19)),INDEX(PASTE_ALL,$DF881,$L$19),TRIM(SUBSTITUTE(SUBSTITUTE(SUBSTITUTE(SUBSTITUTE(INDEX(PASTE_ALL,$DF881,$L$19)," "," "),CHAR(9)," "),CHAR(10)," "),CHAR(13)," "))),"")))</f>
        <v/>
      </c>
      <c r="ED881">
        <f>IF($DM881=0,"",MATCH(1,INDEX(EXACT($DH$5:DH881,$DH881)*$DM$5:DM881,0),0))</f>
        <v/>
      </c>
      <c r="EE881">
        <f>IF($DM881=0,0,IF($ED881=$DE881,1,0))</f>
        <v/>
      </c>
      <c r="EF881">
        <f>EF880+$EE881</f>
        <v/>
      </c>
      <c r="EG881">
        <f>IF($DM881=0,"",INDEX($EF$5:$EF$1003,$ED881))</f>
        <v/>
      </c>
      <c r="EH881">
        <f>IF($DM881=0,"",IF($DO881&lt;&gt;"","",IFERROR(LOOKUP(2,1/(($EG$4:EG880=$EG881)*($DO$4:DO880&lt;&gt;"")),$DO$4:DO880),"")))</f>
        <v/>
      </c>
      <c r="EI881">
        <f>IF($DM881=0,"",IF($DO881&lt;&gt;"",$DO881,$EH881))</f>
        <v/>
      </c>
      <c r="EJ881">
        <f>IF($DM881=0,"",IF($EI881="",0,IF(OR(ISNUMBER($EI881),AND(AND(SUBSTITUTE(SUBSTITUTE(SUBSTITUTE(SUBSTITUTE(SUBSTITUTE(SUBSTITUTE(SUBSTITUTE(SUBSTITUTE(SUBSTITUTE(SUBSTITUTE(SUBSTITUTE(SUBSTITUTE(SUBSTITUTE(SUBSTITUTE(UPPER($EI881),"0",""),"1",""),"2",""),"3",""),"4",""),"5",""),"6",""),"7",""),"8",""),"9",""),".",""),"+",""),"-",""),"E","")="",LEN(SUBSTITUTE(SUBSTITUTE(MID(UPPER($EI881),1+OR(LEFT(UPPER($EI881),1)="+",LEFT(UPPER($EI881),1)="-"),999),"E+","E"),"E-","E"))=LEN(SUBSTITUTE(SUBSTITUTE(SUBSTITUTE(SUBSTITUTE(MID(UPPER($EI881),1+OR(LEFT(UPPER($EI881),1)="+",LEFT(UPPER($EI881),1)="-"),999),"E+","E"),"E-","E"),"+",""),"-","")),LEN(UPPER($EI881))-LEN(SUBSTITUTE(UPPER($EI881),"E",""))&lt;2,LEN(UPPER($EI881))-LEN(SUBSTITUTE(UPPER($EI881),".",""))&lt;2,IFERROR(FIND(".",UPPER($EI881)),0)&lt;IFERROR(FIND("E",UPPER($EI881)),999)),ISNUMBER(VALUE($EI881)))),1,2)))</f>
        <v/>
      </c>
      <c r="EK881">
        <f>IF($DM881=0,"",IF($EJ881=1,IF(ISNUMBER($EI881),$EI881,VALUE($EI881)),IF($EJ881=2,$DE881,0)))</f>
        <v/>
      </c>
      <c r="EL881">
        <f>IF($DM881=0,"",COUNTIF($EG$5:$EG$1003,"&lt;"&amp;$EG881)+SUMPRODUCT(($EG$5:$EG$1003=$EG881)*(($EJ$5:$EJ$1003&lt;$EJ881)+($EJ$5:$EJ$1003=$EJ881)*(($EK$5:$EK$1003&lt;$EK881)+($EK$5:$EK$1003=$EK881)*($DE$5:$DE$1003&lt;$DE881))))+1)</f>
        <v/>
      </c>
      <c r="EM881">
        <f>IF($DM881=0,"",$EL881+$EG881-1)</f>
        <v/>
      </c>
      <c r="EN881">
        <f>IF($DM881=0,0,IFERROR(MATCH(1,INDEX(--(TRIM(SUBSTITUTE(SUBSTITUTE(SUBSTITUTE(SUBSTITUTE(LINES_NAME&amp;""," "," "),CHAR(9)," "),CHAR(10)," "),CHAR(13)," "))=$DH881),0),0),0))</f>
        <v/>
      </c>
      <c r="EO881">
        <f>IF($EN881=0,0,IF(OR(UPPER(TRIM(INDEX(LINES_SCHEDULED,$EN881)&amp;""))="YES",UPPER(TRIM(INDEX(LINES_SCHEDULED,$EN881)&amp;""))="Y",UPPER(TRIM(INDEX(LINES_SCHEDULED,$EN881)&amp;""))="X"),1,0))</f>
        <v/>
      </c>
      <c r="EP881">
        <f>IF($DM881=0,"",IF(COUNTIFS($EG$5:$EG$1003,$EG881,$EB$5:$EB$1003,"Ready")&gt;0,"READY",IF(COUNTIFS($EG$5:$EG$1003,$EG881,$EB$5:$EB$1003,"PM")&gt;0,"PM",IF(COUNTIFS($EG$5:$EG$1003,$EG881,$EB$5:$EB$1003,"OT")&gt;0,"OT",""))))</f>
        <v/>
      </c>
      <c r="EQ881">
        <f>IF($EN881=0,"",UPPER(TRIM(INDEX(LINES_STATUS,$EN881)&amp;"")))</f>
        <v/>
      </c>
      <c r="ER881">
        <f>IF($DM881=0,"",IF(OR($EQ881="READY",$EQ881="PM",$EQ881="OT"),$EQ881,$EP881))</f>
        <v/>
      </c>
      <c r="ES881">
        <f>IF($DM881=0,"",IF(AND($DV881&lt;&gt;"",UPPER($DV881)&lt;&gt;"N"),"allergen",IF(ISNUMBER(SEARCH("oil",$DQ881)),"oil",IF(OR(EXACT($DS881,"A662"),EXACT($DS881,"A624")),"bulk",""))))</f>
        <v/>
      </c>
      <c r="ET881">
        <f>IF($DM881=0,"",IF(OR($EA881="",$EA881=0),"",$EA881/100))</f>
        <v/>
      </c>
      <c r="EU881">
        <f>IF(OR($ET881="",$DY881=""),"",INT($DY881*(1-$ET881)+0.5))</f>
        <v/>
      </c>
    </row>
    <row r="882">
      <c r="DA882" t="n">
        <v>878</v>
      </c>
      <c r="DB882">
        <f>IF($B$37=0,"",IFERROR(TRIM(SUBSTITUTE(SUBSTITUTE(SUBSTITUTE(SUBSTITUTE(INDEX(PASTE_ALL,878,$B$37)," "," "),CHAR(9)," "),CHAR(10)," "),CHAR(13)," ")),""))</f>
        <v/>
      </c>
      <c r="DC882">
        <f>IF(AND(878&gt;HEADER_ROW,UPPER(DB882)="LEGEND"),1,0)</f>
        <v/>
      </c>
      <c r="DE882" t="n">
        <v>878</v>
      </c>
      <c r="DF882">
        <f>HEADER_ROW+$DE882</f>
        <v/>
      </c>
      <c r="DG882">
        <f>IF(AND($DF882&lt;=1000,$DF882&lt;$B$8),1,0)</f>
        <v/>
      </c>
      <c r="DH882">
        <f>IF($DG882=1,IFERROR(INDEX($DB$5:$DB$1004,$DF882),""),"")</f>
        <v/>
      </c>
      <c r="DI882">
        <f>IF(AND($DG882=1,$DH882&lt;&gt;""),IFERROR(SUBSTITUTE(SUBSTITUTE(TRIM(SUBSTITUTE(SUBSTITUTE(SUBSTITUTE(SUBSTITUTE(IFERROR(INDEX(PASTE_ALL,$DF882,1)&amp;"","")&amp;"␟"&amp;IFERROR(INDEX(PASTE_ALL,$DF882,2)&amp;"","")&amp;"␟"&amp;IFERROR(INDEX(PASTE_ALL,$DF882,3)&amp;"","")&amp;"␟"&amp;IFERROR(INDEX(PASTE_ALL,$DF882,4)&amp;"","")&amp;"␟"&amp;IFERROR(INDEX(PASTE_ALL,$DF882,5)&amp;"","")&amp;"␟"&amp;IFERROR(INDEX(PASTE_ALL,$DF882,6)&amp;"","")&amp;"␟"&amp;IFERROR(INDEX(PASTE_ALL,$DF882,7)&amp;"","")&amp;"␟"&amp;IFERROR(INDEX(PASTE_ALL,$DF882,8)&amp;"","")&amp;"␟"&amp;IFERROR(INDEX(PASTE_ALL,$DF882,9)&amp;"","")&amp;"␟"&amp;IFERROR(INDEX(PASTE_ALL,$DF882,10)&amp;"","")&amp;"␟"&amp;IFERROR(INDEX(PASTE_ALL,$DF882,11)&amp;"","")&amp;"␟"&amp;IFERROR(INDEX(PASTE_ALL,$DF882,12)&amp;"","")&amp;"␟"&amp;IFERROR(INDEX(PASTE_ALL,$DF882,13)&amp;"","")&amp;"␟"&amp;IFERROR(INDEX(PASTE_ALL,$DF882,14)&amp;"","")&amp;"␟"&amp;IFERROR(INDEX(PASTE_ALL,$DF882,15)&amp;"","")&amp;"␟"&amp;IFERROR(INDEX(PASTE_ALL,$DF882,16)&amp;"","")&amp;"␟"&amp;IFERROR(INDEX(PASTE_ALL,$DF882,17)&amp;"","")&amp;"␟"&amp;IFERROR(INDEX(PASTE_ALL,$DF882,18)&amp;"","")&amp;"␟"&amp;IFERROR(INDEX(PASTE_ALL,$DF882,19)&amp;"","")&amp;"␟"&amp;IFERROR(INDEX(PASTE_ALL,$DF882,20)&amp;"","")&amp;"␟"&amp;IFERROR(INDEX(PASTE_ALL,$DF882,21)&amp;"","")&amp;"␟"&amp;IFERROR(INDEX(PASTE_ALL,$DF882,22)&amp;"","")&amp;"␟"&amp;IFERROR(INDEX(PASTE_ALL,$DF882,23)&amp;"","")&amp;"␟"&amp;IFERROR(INDEX(PASTE_ALL,$DF882,24)&amp;"","")&amp;"␟"&amp;IFERROR(INDEX(PASTE_ALL,$DF882,25)&amp;"","")&amp;"␟"&amp;IFERROR(INDEX(PASTE_ALL,$DF882,26)&amp;"","")&amp;"␟"&amp;IFERROR(INDEX(PASTE_ALL,$DF882,27)&amp;"","")&amp;"␟"&amp;IFERROR(INDEX(PASTE_ALL,$DF882,28)&amp;"","")&amp;"␟"&amp;IFERROR(INDEX(PASTE_ALL,$DF882,29)&amp;"","")&amp;"␟"&amp;IFERROR(INDEX(PASTE_ALL,$DF882,30)&amp;"","")&amp;"␟"&amp;IFERROR(INDEX(PASTE_ALL,$DF882,31)&amp;"","")&amp;"␟"&amp;IFERROR(INDEX(PASTE_ALL,$DF882,32)&amp;"","")&amp;"␟"&amp;IFERROR(INDEX(PASTE_ALL,$DF882,33)&amp;"","")&amp;"␟"&amp;IFERROR(INDEX(PASTE_ALL,$DF882,34)&amp;"","")&amp;"␟"&amp;IFERROR(INDEX(PASTE_ALL,$DF882,35)&amp;"","")&amp;"␟"&amp;IFERROR(INDEX(PASTE_ALL,$DF882,36)&amp;"","")&amp;"␟"&amp;IFERROR(INDEX(PASTE_ALL,$DF882,37)&amp;"","")&amp;"␟"&amp;IFERROR(INDEX(PASTE_ALL,$DF882,38)&amp;"","")&amp;"␟"&amp;IFERROR(INDEX(PASTE_ALL,$DF882,39)&amp;"","")&amp;"␟"&amp;IFERROR(INDEX(PASTE_ALL,$DF882,40)&amp;"","")&amp;"␟"&amp;IFERROR(INDEX(PASTE_ALL,$DF882,41)&amp;"","")&amp;"␟"&amp;IFERROR(INDEX(PASTE_ALL,$DF882,42)&amp;"","")&amp;"␟"&amp;IFERROR(INDEX(PASTE_ALL,$DF882,43)&amp;"","")&amp;"␟"&amp;IFERROR(INDEX(PASTE_ALL,$DF882,44)&amp;"","")&amp;"␟"&amp;IFERROR(INDEX(PASTE_ALL,$DF882,45)&amp;"","")&amp;"␟"&amp;IFERROR(INDEX(PASTE_ALL,$DF882,46)&amp;"","")&amp;"␟"&amp;IFERROR(INDEX(PASTE_ALL,$DF882,47)&amp;"","")&amp;"␟"&amp;IFERROR(INDEX(PASTE_ALL,$DF882,48)&amp;"","")&amp;"␟"&amp;IFERROR(INDEX(PASTE_ALL,$DF882,49)&amp;"","")&amp;"␟"&amp;IFERROR(INDEX(PASTE_ALL,$DF882,50)&amp;"","")&amp;"␟"&amp;IFERROR(INDEX(PASTE_ALL,$DF882,51)&amp;"","")&amp;"␟"&amp;IFERROR(INDEX(PASTE_ALL,$DF882,52)&amp;"","")&amp;"␟"&amp;IFERROR(INDEX(PASTE_ALL,$DF882,53)&amp;"","")&amp;"␟"&amp;IFERROR(INDEX(PASTE_ALL,$DF882,54)&amp;"","")&amp;"␟"&amp;IFERROR(INDEX(PASTE_ALL,$DF882,55)&amp;"","")&amp;"␟"&amp;IFERROR(INDEX(PASTE_ALL,$DF882,56)&amp;"","")&amp;"␟"&amp;IFERROR(INDEX(PASTE_ALL,$DF882,57)&amp;"","")&amp;"␟"&amp;IFERROR(INDEX(PASTE_ALL,$DF882,58)&amp;"","")&amp;"␟"&amp;IFERROR(INDEX(PASTE_ALL,$DF882,59)&amp;"","")&amp;"␟"&amp;IFERROR(INDEX(PASTE_ALL,$DF882,60)&amp;"","")," "," "),CHAR(9)," "),CHAR(10)," "),CHAR(13)," "))," ␟","␟"),"␟ ","␟"),"#"&amp;$DE882),"")</f>
        <v/>
      </c>
      <c r="DJ882">
        <f>IF($DI882="",0,IF(SUMPRODUCT(--EXACT($DI$4:DI881,$DI882))&gt;0,1,0))</f>
        <v/>
      </c>
      <c r="DK882">
        <f>IF(AND($DI882&lt;&gt;"",$DJ882=0),1,0)</f>
        <v/>
      </c>
      <c r="DL882">
        <f>DL881+$DK882</f>
        <v/>
      </c>
      <c r="DM882">
        <f>IF(AND($DK882=1,$DL882&lt;=600),1,0)</f>
        <v/>
      </c>
      <c r="DN882">
        <f>IF($DM882=0,"",IF($L$6=0,"",IFERROR(IF(ISNUMBER(INDEX(PASTE_ALL,$DF882,$L$6)),INDEX(PASTE_ALL,$DF882,$L$6),TRIM(SUBSTITUTE(SUBSTITUTE(SUBSTITUTE(SUBSTITUTE(INDEX(PASTE_ALL,$DF882,$L$6)," "," "),CHAR(9)," "),CHAR(10)," "),CHAR(13)," "))),"")))</f>
        <v/>
      </c>
      <c r="DO882">
        <f>IF($DM882=0,"",IF($L$7=0,"",IFERROR(IF(ISNUMBER(INDEX(PASTE_ALL,$DF882,$L$7)),INDEX(PASTE_ALL,$DF882,$L$7),TRIM(SUBSTITUTE(SUBSTITUTE(SUBSTITUTE(SUBSTITUTE(INDEX(PASTE_ALL,$DF882,$L$7)," "," "),CHAR(9)," "),CHAR(10)," "),CHAR(13)," "))),"")))</f>
        <v/>
      </c>
      <c r="DP882">
        <f>IF($DM882=0,"",IF($L$8=0,"",IFERROR(IF(ISNUMBER(INDEX(PASTE_ALL,$DF882,$L$8)),INDEX(PASTE_ALL,$DF882,$L$8),TRIM(SUBSTITUTE(SUBSTITUTE(SUBSTITUTE(SUBSTITUTE(INDEX(PASTE_ALL,$DF882,$L$8)," "," "),CHAR(9)," "),CHAR(10)," "),CHAR(13)," "))),"")))</f>
        <v/>
      </c>
      <c r="DQ882">
        <f>IF($DM882=0,"",IF($L$9=0,"",IFERROR(IF(ISNUMBER(INDEX(PASTE_ALL,$DF882,$L$9)),INDEX(PASTE_ALL,$DF882,$L$9),TRIM(SUBSTITUTE(SUBSTITUTE(SUBSTITUTE(SUBSTITUTE(INDEX(PASTE_ALL,$DF882,$L$9)," "," "),CHAR(9)," "),CHAR(10)," "),CHAR(13)," "))),"")))</f>
        <v/>
      </c>
      <c r="DR882">
        <f>IF($DM882=0,"",IF($L$10=0,"",IFERROR(IF(ISNUMBER(INDEX(PASTE_ALL,$DF882,$L$10)),INDEX(PASTE_ALL,$DF882,$L$10),TRIM(SUBSTITUTE(SUBSTITUTE(SUBSTITUTE(SUBSTITUTE(INDEX(PASTE_ALL,$DF882,$L$10)," "," "),CHAR(9)," "),CHAR(10)," "),CHAR(13)," "))),"")))</f>
        <v/>
      </c>
      <c r="DS882">
        <f>IF($DM882=0,"",IF($L$11=0,"",IFERROR(IF(ISNUMBER(INDEX(PASTE_ALL,$DF882,$L$11)),INDEX(PASTE_ALL,$DF882,$L$11),TRIM(SUBSTITUTE(SUBSTITUTE(SUBSTITUTE(SUBSTITUTE(INDEX(PASTE_ALL,$DF882,$L$11)," "," "),CHAR(9)," "),CHAR(10)," "),CHAR(13)," "))),"")))</f>
        <v/>
      </c>
      <c r="DT882">
        <f>IF($DM882=0,"",IF($L$12=0,"",IFERROR(IF(ISNUMBER(INDEX(PASTE_ALL,$DF882,$L$12)),INDEX(PASTE_ALL,$DF882,$L$12),TRIM(SUBSTITUTE(SUBSTITUTE(SUBSTITUTE(SUBSTITUTE(INDEX(PASTE_ALL,$DF882,$L$12)," "," "),CHAR(9)," "),CHAR(10)," "),CHAR(13)," "))),"")))</f>
        <v/>
      </c>
      <c r="DU882">
        <f>IF($DM882=0,"",IF($L$13=0,"",IFERROR(IF(ISNUMBER(INDEX(PASTE_ALL,$DF882,$L$13)),INDEX(PASTE_ALL,$DF882,$L$13),TRIM(SUBSTITUTE(SUBSTITUTE(SUBSTITUTE(SUBSTITUTE(INDEX(PASTE_ALL,$DF882,$L$13)," "," "),CHAR(9)," "),CHAR(10)," "),CHAR(13)," "))),"")))</f>
        <v/>
      </c>
      <c r="DV882">
        <f>IF($DM882=0,"",IF($L$14=0,"",IFERROR(IF(ISNUMBER(INDEX(PASTE_ALL,$DF882,$L$14)),INDEX(PASTE_ALL,$DF882,$L$14),TRIM(SUBSTITUTE(SUBSTITUTE(SUBSTITUTE(SUBSTITUTE(INDEX(PASTE_ALL,$DF882,$L$14)," "," "),CHAR(9)," "),CHAR(10)," "),CHAR(13)," "))),"")))</f>
        <v/>
      </c>
      <c r="DW882">
        <f>IF($DM882=0,"",IF($L$15=0,"",IFERROR(IF(ISNUMBER(INDEX(PASTE_ALL,$DF882,$L$15)),INDEX(PASTE_ALL,$DF882,$L$15),IF(SUMPRODUCT(--ISNUMBER(FIND({"A","B","C","D","E","F","G","H","I","J","K","L","M","N","O","P","Q","R","S","T","U","V","W","X","Y","Z","0","1","2","3","4","5","6","7","8","9"},UPPER(TRIM(SUBSTITUTE(SUBSTITUTE(SUBSTITUTE(SUBSTITUTE(INDEX(PASTE_ALL,$DF882,$L$15)," "," "),CHAR(9)," "),CHAR(10)," "),CHAR(13)," "))))))&gt;0,TRIM(SUBSTITUTE(SUBSTITUTE(SUBSTITUTE(SUBSTITUTE(INDEX(PASTE_ALL,$DF882,$L$15)," "," "),CHAR(9)," "),CHAR(10)," "),CHAR(13)," ")),"")),"")))</f>
        <v/>
      </c>
      <c r="DX882">
        <f>IF($DM882=0,"",IF($L$16=0,"",IFERROR(IF(ISNUMBER(INDEX(PASTE_ALL,$DF882,$L$16)),INDEX(PASTE_ALL,$DF882,$L$16),SUBSTITUTE(SUBSTITUTE(TRIM(SUBSTITUTE(SUBSTITUTE(SUBSTITUTE(SUBSTITUTE(INDEX(PASTE_ALL,$DF882,$L$16)," "," "),CHAR(9)," "),CHAR(10)," "),CHAR(13)," ")),",",""),"%","")),"")))</f>
        <v/>
      </c>
      <c r="DY882">
        <f>IF($DM882=0,"",IFERROR(IF(ISNUMBER($DX882),$DX882,IF($DX882="","",IF(TRIM($DX882)="",0,IF(AND(AND(SUBSTITUTE(SUBSTITUTE(SUBSTITUTE(SUBSTITUTE(SUBSTITUTE(SUBSTITUTE(SUBSTITUTE(SUBSTITUTE(SUBSTITUTE(SUBSTITUTE(SUBSTITUTE(SUBSTITUTE(SUBSTITUTE(SUBSTITUTE(UPPER(TRIM($DX882)),"0",""),"1",""),"2",""),"3",""),"4",""),"5",""),"6",""),"7",""),"8",""),"9",""),".",""),"+",""),"-",""),"E","")="",LEN(SUBSTITUTE(SUBSTITUTE(MID(UPPER(TRIM($DX882)),1+OR(LEFT(UPPER(TRIM($DX882)),1)="+",LEFT(UPPER(TRIM($DX882)),1)="-"),999),"E+","E"),"E-","E"))=LEN(SUBSTITUTE(SUBSTITUTE(SUBSTITUTE(SUBSTITUTE(MID(UPPER(TRIM($DX882)),1+OR(LEFT(UPPER(TRIM($DX882)),1)="+",LEFT(UPPER(TRIM($DX882)),1)="-"),999),"E+","E"),"E-","E"),"+",""),"-","")),LEN(UPPER(TRIM($DX882)))-LEN(SUBSTITUTE(UPPER(TRIM($DX882)),"E",""))&lt;2,LEN(UPPER(TRIM($DX882)))-LEN(SUBSTITUTE(UPPER(TRIM($DX882)),".",""))&lt;2,IFERROR(FIND(".",UPPER(TRIM($DX882))),0)&lt;IFERROR(FIND("E",UPPER(TRIM($DX882))),999)),ISNUMBER(VALUE(TRIM($DX882)))),VALUE(TRIM($DX882)),"")))),""))</f>
        <v/>
      </c>
      <c r="DZ882">
        <f>IF($DM882=0,"",IF($L$17=0,"",IFERROR(IF(ISNUMBER(INDEX(PASTE_ALL,$DF882,$L$17)),INDEX(PASTE_ALL,$DF882,$L$17),SUBSTITUTE(SUBSTITUTE(TRIM(SUBSTITUTE(SUBSTITUTE(SUBSTITUTE(SUBSTITUTE(INDEX(PASTE_ALL,$DF882,$L$17)," "," "),CHAR(9)," "),CHAR(10)," "),CHAR(13)," ")),",",""),"%","")),"")))</f>
        <v/>
      </c>
      <c r="EA882">
        <f>IF($DM882=0,"",IFERROR(IF(ISNUMBER($DZ882),$DZ882,IF($DZ882="","",IF(TRIM($DZ882)="",0,IF(AND(AND(SUBSTITUTE(SUBSTITUTE(SUBSTITUTE(SUBSTITUTE(SUBSTITUTE(SUBSTITUTE(SUBSTITUTE(SUBSTITUTE(SUBSTITUTE(SUBSTITUTE(SUBSTITUTE(SUBSTITUTE(SUBSTITUTE(SUBSTITUTE(UPPER(TRIM($DZ882)),"0",""),"1",""),"2",""),"3",""),"4",""),"5",""),"6",""),"7",""),"8",""),"9",""),".",""),"+",""),"-",""),"E","")="",LEN(SUBSTITUTE(SUBSTITUTE(MID(UPPER(TRIM($DZ882)),1+OR(LEFT(UPPER(TRIM($DZ882)),1)="+",LEFT(UPPER(TRIM($DZ882)),1)="-"),999),"E+","E"),"E-","E"))=LEN(SUBSTITUTE(SUBSTITUTE(SUBSTITUTE(SUBSTITUTE(MID(UPPER(TRIM($DZ882)),1+OR(LEFT(UPPER(TRIM($DZ882)),1)="+",LEFT(UPPER(TRIM($DZ882)),1)="-"),999),"E+","E"),"E-","E"),"+",""),"-","")),LEN(UPPER(TRIM($DZ882)))-LEN(SUBSTITUTE(UPPER(TRIM($DZ882)),"E",""))&lt;2,LEN(UPPER(TRIM($DZ882)))-LEN(SUBSTITUTE(UPPER(TRIM($DZ882)),".",""))&lt;2,IFERROR(FIND(".",UPPER(TRIM($DZ882))),0)&lt;IFERROR(FIND("E",UPPER(TRIM($DZ882))),999)),ISNUMBER(VALUE(TRIM($DZ882)))),VALUE(TRIM($DZ882)),"")))),""))</f>
        <v/>
      </c>
      <c r="EB882">
        <f>IF($DM882=0,"",IF($L$18=0,"",IFERROR(IF(UPPER(TRIM(SUBSTITUTE(SUBSTITUTE(SUBSTITUTE(SUBSTITUTE(INDEX(PASTE_ALL,$DF882,$L$18)," "," "),CHAR(9)," "),CHAR(10)," "),CHAR(13)," ")))="READY","Ready",IF(UPPER(TRIM(SUBSTITUTE(SUBSTITUTE(SUBSTITUTE(SUBSTITUTE(INDEX(PASTE_ALL,$DF882,$L$18)," "," "),CHAR(9)," "),CHAR(10)," "),CHAR(13)," ")))="PM","PM",IF(OR(UPPER(TRIM(SUBSTITUTE(SUBSTITUTE(SUBSTITUTE(SUBSTITUTE(INDEX(PASTE_ALL,$DF882,$L$18)," "," "),CHAR(9)," "),CHAR(10)," "),CHAR(13)," ")))="OT",UPPER(TRIM(SUBSTITUTE(SUBSTITUTE(SUBSTITUTE(SUBSTITUTE(INDEX(PASTE_ALL,$DF882,$L$18)," "," "),CHAR(9)," "),CHAR(10)," "),CHAR(13)," ")))="OVERTIME",UPPER(TRIM(SUBSTITUTE(SUBSTITUTE(SUBSTITUTE(SUBSTITUTE(INDEX(PASTE_ALL,$DF882,$L$18)," "," "),CHAR(9)," "),CHAR(10)," "),CHAR(13)," ")))="TRIAL"),"OT",TRIM(SUBSTITUTE(SUBSTITUTE(SUBSTITUTE(SUBSTITUTE(INDEX(PASTE_ALL,$DF882,$L$18)," "," "),CHAR(9)," "),CHAR(10)," "),CHAR(13)," "))))),"")))</f>
        <v/>
      </c>
      <c r="EC882">
        <f>IF($DM882=0,"",IF($L$19=0,"",IFERROR(IF(ISNUMBER(INDEX(PASTE_ALL,$DF882,$L$19)),INDEX(PASTE_ALL,$DF882,$L$19),TRIM(SUBSTITUTE(SUBSTITUTE(SUBSTITUTE(SUBSTITUTE(INDEX(PASTE_ALL,$DF882,$L$19)," "," "),CHAR(9)," "),CHAR(10)," "),CHAR(13)," "))),"")))</f>
        <v/>
      </c>
      <c r="ED882">
        <f>IF($DM882=0,"",MATCH(1,INDEX(EXACT($DH$5:DH882,$DH882)*$DM$5:DM882,0),0))</f>
        <v/>
      </c>
      <c r="EE882">
        <f>IF($DM882=0,0,IF($ED882=$DE882,1,0))</f>
        <v/>
      </c>
      <c r="EF882">
        <f>EF881+$EE882</f>
        <v/>
      </c>
      <c r="EG882">
        <f>IF($DM882=0,"",INDEX($EF$5:$EF$1003,$ED882))</f>
        <v/>
      </c>
      <c r="EH882">
        <f>IF($DM882=0,"",IF($DO882&lt;&gt;"","",IFERROR(LOOKUP(2,1/(($EG$4:EG881=$EG882)*($DO$4:DO881&lt;&gt;"")),$DO$4:DO881),"")))</f>
        <v/>
      </c>
      <c r="EI882">
        <f>IF($DM882=0,"",IF($DO882&lt;&gt;"",$DO882,$EH882))</f>
        <v/>
      </c>
      <c r="EJ882">
        <f>IF($DM882=0,"",IF($EI882="",0,IF(OR(ISNUMBER($EI882),AND(AND(SUBSTITUTE(SUBSTITUTE(SUBSTITUTE(SUBSTITUTE(SUBSTITUTE(SUBSTITUTE(SUBSTITUTE(SUBSTITUTE(SUBSTITUTE(SUBSTITUTE(SUBSTITUTE(SUBSTITUTE(SUBSTITUTE(SUBSTITUTE(UPPER($EI882),"0",""),"1",""),"2",""),"3",""),"4",""),"5",""),"6",""),"7",""),"8",""),"9",""),".",""),"+",""),"-",""),"E","")="",LEN(SUBSTITUTE(SUBSTITUTE(MID(UPPER($EI882),1+OR(LEFT(UPPER($EI882),1)="+",LEFT(UPPER($EI882),1)="-"),999),"E+","E"),"E-","E"))=LEN(SUBSTITUTE(SUBSTITUTE(SUBSTITUTE(SUBSTITUTE(MID(UPPER($EI882),1+OR(LEFT(UPPER($EI882),1)="+",LEFT(UPPER($EI882),1)="-"),999),"E+","E"),"E-","E"),"+",""),"-","")),LEN(UPPER($EI882))-LEN(SUBSTITUTE(UPPER($EI882),"E",""))&lt;2,LEN(UPPER($EI882))-LEN(SUBSTITUTE(UPPER($EI882),".",""))&lt;2,IFERROR(FIND(".",UPPER($EI882)),0)&lt;IFERROR(FIND("E",UPPER($EI882)),999)),ISNUMBER(VALUE($EI882)))),1,2)))</f>
        <v/>
      </c>
      <c r="EK882">
        <f>IF($DM882=0,"",IF($EJ882=1,IF(ISNUMBER($EI882),$EI882,VALUE($EI882)),IF($EJ882=2,$DE882,0)))</f>
        <v/>
      </c>
      <c r="EL882">
        <f>IF($DM882=0,"",COUNTIF($EG$5:$EG$1003,"&lt;"&amp;$EG882)+SUMPRODUCT(($EG$5:$EG$1003=$EG882)*(($EJ$5:$EJ$1003&lt;$EJ882)+($EJ$5:$EJ$1003=$EJ882)*(($EK$5:$EK$1003&lt;$EK882)+($EK$5:$EK$1003=$EK882)*($DE$5:$DE$1003&lt;$DE882))))+1)</f>
        <v/>
      </c>
      <c r="EM882">
        <f>IF($DM882=0,"",$EL882+$EG882-1)</f>
        <v/>
      </c>
      <c r="EN882">
        <f>IF($DM882=0,0,IFERROR(MATCH(1,INDEX(--(TRIM(SUBSTITUTE(SUBSTITUTE(SUBSTITUTE(SUBSTITUTE(LINES_NAME&amp;""," "," "),CHAR(9)," "),CHAR(10)," "),CHAR(13)," "))=$DH882),0),0),0))</f>
        <v/>
      </c>
      <c r="EO882">
        <f>IF($EN882=0,0,IF(OR(UPPER(TRIM(INDEX(LINES_SCHEDULED,$EN882)&amp;""))="YES",UPPER(TRIM(INDEX(LINES_SCHEDULED,$EN882)&amp;""))="Y",UPPER(TRIM(INDEX(LINES_SCHEDULED,$EN882)&amp;""))="X"),1,0))</f>
        <v/>
      </c>
      <c r="EP882">
        <f>IF($DM882=0,"",IF(COUNTIFS($EG$5:$EG$1003,$EG882,$EB$5:$EB$1003,"Ready")&gt;0,"READY",IF(COUNTIFS($EG$5:$EG$1003,$EG882,$EB$5:$EB$1003,"PM")&gt;0,"PM",IF(COUNTIFS($EG$5:$EG$1003,$EG882,$EB$5:$EB$1003,"OT")&gt;0,"OT",""))))</f>
        <v/>
      </c>
      <c r="EQ882">
        <f>IF($EN882=0,"",UPPER(TRIM(INDEX(LINES_STATUS,$EN882)&amp;"")))</f>
        <v/>
      </c>
      <c r="ER882">
        <f>IF($DM882=0,"",IF(OR($EQ882="READY",$EQ882="PM",$EQ882="OT"),$EQ882,$EP882))</f>
        <v/>
      </c>
      <c r="ES882">
        <f>IF($DM882=0,"",IF(AND($DV882&lt;&gt;"",UPPER($DV882)&lt;&gt;"N"),"allergen",IF(ISNUMBER(SEARCH("oil",$DQ882)),"oil",IF(OR(EXACT($DS882,"A662"),EXACT($DS882,"A624")),"bulk",""))))</f>
        <v/>
      </c>
      <c r="ET882">
        <f>IF($DM882=0,"",IF(OR($EA882="",$EA882=0),"",$EA882/100))</f>
        <v/>
      </c>
      <c r="EU882">
        <f>IF(OR($ET882="",$DY882=""),"",INT($DY882*(1-$ET882)+0.5))</f>
        <v/>
      </c>
    </row>
    <row r="883">
      <c r="DA883" t="n">
        <v>879</v>
      </c>
      <c r="DB883">
        <f>IF($B$37=0,"",IFERROR(TRIM(SUBSTITUTE(SUBSTITUTE(SUBSTITUTE(SUBSTITUTE(INDEX(PASTE_ALL,879,$B$37)," "," "),CHAR(9)," "),CHAR(10)," "),CHAR(13)," ")),""))</f>
        <v/>
      </c>
      <c r="DC883">
        <f>IF(AND(879&gt;HEADER_ROW,UPPER(DB883)="LEGEND"),1,0)</f>
        <v/>
      </c>
      <c r="DE883" t="n">
        <v>879</v>
      </c>
      <c r="DF883">
        <f>HEADER_ROW+$DE883</f>
        <v/>
      </c>
      <c r="DG883">
        <f>IF(AND($DF883&lt;=1000,$DF883&lt;$B$8),1,0)</f>
        <v/>
      </c>
      <c r="DH883">
        <f>IF($DG883=1,IFERROR(INDEX($DB$5:$DB$1004,$DF883),""),"")</f>
        <v/>
      </c>
      <c r="DI883">
        <f>IF(AND($DG883=1,$DH883&lt;&gt;""),IFERROR(SUBSTITUTE(SUBSTITUTE(TRIM(SUBSTITUTE(SUBSTITUTE(SUBSTITUTE(SUBSTITUTE(IFERROR(INDEX(PASTE_ALL,$DF883,1)&amp;"","")&amp;"␟"&amp;IFERROR(INDEX(PASTE_ALL,$DF883,2)&amp;"","")&amp;"␟"&amp;IFERROR(INDEX(PASTE_ALL,$DF883,3)&amp;"","")&amp;"␟"&amp;IFERROR(INDEX(PASTE_ALL,$DF883,4)&amp;"","")&amp;"␟"&amp;IFERROR(INDEX(PASTE_ALL,$DF883,5)&amp;"","")&amp;"␟"&amp;IFERROR(INDEX(PASTE_ALL,$DF883,6)&amp;"","")&amp;"␟"&amp;IFERROR(INDEX(PASTE_ALL,$DF883,7)&amp;"","")&amp;"␟"&amp;IFERROR(INDEX(PASTE_ALL,$DF883,8)&amp;"","")&amp;"␟"&amp;IFERROR(INDEX(PASTE_ALL,$DF883,9)&amp;"","")&amp;"␟"&amp;IFERROR(INDEX(PASTE_ALL,$DF883,10)&amp;"","")&amp;"␟"&amp;IFERROR(INDEX(PASTE_ALL,$DF883,11)&amp;"","")&amp;"␟"&amp;IFERROR(INDEX(PASTE_ALL,$DF883,12)&amp;"","")&amp;"␟"&amp;IFERROR(INDEX(PASTE_ALL,$DF883,13)&amp;"","")&amp;"␟"&amp;IFERROR(INDEX(PASTE_ALL,$DF883,14)&amp;"","")&amp;"␟"&amp;IFERROR(INDEX(PASTE_ALL,$DF883,15)&amp;"","")&amp;"␟"&amp;IFERROR(INDEX(PASTE_ALL,$DF883,16)&amp;"","")&amp;"␟"&amp;IFERROR(INDEX(PASTE_ALL,$DF883,17)&amp;"","")&amp;"␟"&amp;IFERROR(INDEX(PASTE_ALL,$DF883,18)&amp;"","")&amp;"␟"&amp;IFERROR(INDEX(PASTE_ALL,$DF883,19)&amp;"","")&amp;"␟"&amp;IFERROR(INDEX(PASTE_ALL,$DF883,20)&amp;"","")&amp;"␟"&amp;IFERROR(INDEX(PASTE_ALL,$DF883,21)&amp;"","")&amp;"␟"&amp;IFERROR(INDEX(PASTE_ALL,$DF883,22)&amp;"","")&amp;"␟"&amp;IFERROR(INDEX(PASTE_ALL,$DF883,23)&amp;"","")&amp;"␟"&amp;IFERROR(INDEX(PASTE_ALL,$DF883,24)&amp;"","")&amp;"␟"&amp;IFERROR(INDEX(PASTE_ALL,$DF883,25)&amp;"","")&amp;"␟"&amp;IFERROR(INDEX(PASTE_ALL,$DF883,26)&amp;"","")&amp;"␟"&amp;IFERROR(INDEX(PASTE_ALL,$DF883,27)&amp;"","")&amp;"␟"&amp;IFERROR(INDEX(PASTE_ALL,$DF883,28)&amp;"","")&amp;"␟"&amp;IFERROR(INDEX(PASTE_ALL,$DF883,29)&amp;"","")&amp;"␟"&amp;IFERROR(INDEX(PASTE_ALL,$DF883,30)&amp;"","")&amp;"␟"&amp;IFERROR(INDEX(PASTE_ALL,$DF883,31)&amp;"","")&amp;"␟"&amp;IFERROR(INDEX(PASTE_ALL,$DF883,32)&amp;"","")&amp;"␟"&amp;IFERROR(INDEX(PASTE_ALL,$DF883,33)&amp;"","")&amp;"␟"&amp;IFERROR(INDEX(PASTE_ALL,$DF883,34)&amp;"","")&amp;"␟"&amp;IFERROR(INDEX(PASTE_ALL,$DF883,35)&amp;"","")&amp;"␟"&amp;IFERROR(INDEX(PASTE_ALL,$DF883,36)&amp;"","")&amp;"␟"&amp;IFERROR(INDEX(PASTE_ALL,$DF883,37)&amp;"","")&amp;"␟"&amp;IFERROR(INDEX(PASTE_ALL,$DF883,38)&amp;"","")&amp;"␟"&amp;IFERROR(INDEX(PASTE_ALL,$DF883,39)&amp;"","")&amp;"␟"&amp;IFERROR(INDEX(PASTE_ALL,$DF883,40)&amp;"","")&amp;"␟"&amp;IFERROR(INDEX(PASTE_ALL,$DF883,41)&amp;"","")&amp;"␟"&amp;IFERROR(INDEX(PASTE_ALL,$DF883,42)&amp;"","")&amp;"␟"&amp;IFERROR(INDEX(PASTE_ALL,$DF883,43)&amp;"","")&amp;"␟"&amp;IFERROR(INDEX(PASTE_ALL,$DF883,44)&amp;"","")&amp;"␟"&amp;IFERROR(INDEX(PASTE_ALL,$DF883,45)&amp;"","")&amp;"␟"&amp;IFERROR(INDEX(PASTE_ALL,$DF883,46)&amp;"","")&amp;"␟"&amp;IFERROR(INDEX(PASTE_ALL,$DF883,47)&amp;"","")&amp;"␟"&amp;IFERROR(INDEX(PASTE_ALL,$DF883,48)&amp;"","")&amp;"␟"&amp;IFERROR(INDEX(PASTE_ALL,$DF883,49)&amp;"","")&amp;"␟"&amp;IFERROR(INDEX(PASTE_ALL,$DF883,50)&amp;"","")&amp;"␟"&amp;IFERROR(INDEX(PASTE_ALL,$DF883,51)&amp;"","")&amp;"␟"&amp;IFERROR(INDEX(PASTE_ALL,$DF883,52)&amp;"","")&amp;"␟"&amp;IFERROR(INDEX(PASTE_ALL,$DF883,53)&amp;"","")&amp;"␟"&amp;IFERROR(INDEX(PASTE_ALL,$DF883,54)&amp;"","")&amp;"␟"&amp;IFERROR(INDEX(PASTE_ALL,$DF883,55)&amp;"","")&amp;"␟"&amp;IFERROR(INDEX(PASTE_ALL,$DF883,56)&amp;"","")&amp;"␟"&amp;IFERROR(INDEX(PASTE_ALL,$DF883,57)&amp;"","")&amp;"␟"&amp;IFERROR(INDEX(PASTE_ALL,$DF883,58)&amp;"","")&amp;"␟"&amp;IFERROR(INDEX(PASTE_ALL,$DF883,59)&amp;"","")&amp;"␟"&amp;IFERROR(INDEX(PASTE_ALL,$DF883,60)&amp;"","")," "," "),CHAR(9)," "),CHAR(10)," "),CHAR(13)," "))," ␟","␟"),"␟ ","␟"),"#"&amp;$DE883),"")</f>
        <v/>
      </c>
      <c r="DJ883">
        <f>IF($DI883="",0,IF(SUMPRODUCT(--EXACT($DI$4:DI882,$DI883))&gt;0,1,0))</f>
        <v/>
      </c>
      <c r="DK883">
        <f>IF(AND($DI883&lt;&gt;"",$DJ883=0),1,0)</f>
        <v/>
      </c>
      <c r="DL883">
        <f>DL882+$DK883</f>
        <v/>
      </c>
      <c r="DM883">
        <f>IF(AND($DK883=1,$DL883&lt;=600),1,0)</f>
        <v/>
      </c>
      <c r="DN883">
        <f>IF($DM883=0,"",IF($L$6=0,"",IFERROR(IF(ISNUMBER(INDEX(PASTE_ALL,$DF883,$L$6)),INDEX(PASTE_ALL,$DF883,$L$6),TRIM(SUBSTITUTE(SUBSTITUTE(SUBSTITUTE(SUBSTITUTE(INDEX(PASTE_ALL,$DF883,$L$6)," "," "),CHAR(9)," "),CHAR(10)," "),CHAR(13)," "))),"")))</f>
        <v/>
      </c>
      <c r="DO883">
        <f>IF($DM883=0,"",IF($L$7=0,"",IFERROR(IF(ISNUMBER(INDEX(PASTE_ALL,$DF883,$L$7)),INDEX(PASTE_ALL,$DF883,$L$7),TRIM(SUBSTITUTE(SUBSTITUTE(SUBSTITUTE(SUBSTITUTE(INDEX(PASTE_ALL,$DF883,$L$7)," "," "),CHAR(9)," "),CHAR(10)," "),CHAR(13)," "))),"")))</f>
        <v/>
      </c>
      <c r="DP883">
        <f>IF($DM883=0,"",IF($L$8=0,"",IFERROR(IF(ISNUMBER(INDEX(PASTE_ALL,$DF883,$L$8)),INDEX(PASTE_ALL,$DF883,$L$8),TRIM(SUBSTITUTE(SUBSTITUTE(SUBSTITUTE(SUBSTITUTE(INDEX(PASTE_ALL,$DF883,$L$8)," "," "),CHAR(9)," "),CHAR(10)," "),CHAR(13)," "))),"")))</f>
        <v/>
      </c>
      <c r="DQ883">
        <f>IF($DM883=0,"",IF($L$9=0,"",IFERROR(IF(ISNUMBER(INDEX(PASTE_ALL,$DF883,$L$9)),INDEX(PASTE_ALL,$DF883,$L$9),TRIM(SUBSTITUTE(SUBSTITUTE(SUBSTITUTE(SUBSTITUTE(INDEX(PASTE_ALL,$DF883,$L$9)," "," "),CHAR(9)," "),CHAR(10)," "),CHAR(13)," "))),"")))</f>
        <v/>
      </c>
      <c r="DR883">
        <f>IF($DM883=0,"",IF($L$10=0,"",IFERROR(IF(ISNUMBER(INDEX(PASTE_ALL,$DF883,$L$10)),INDEX(PASTE_ALL,$DF883,$L$10),TRIM(SUBSTITUTE(SUBSTITUTE(SUBSTITUTE(SUBSTITUTE(INDEX(PASTE_ALL,$DF883,$L$10)," "," "),CHAR(9)," "),CHAR(10)," "),CHAR(13)," "))),"")))</f>
        <v/>
      </c>
      <c r="DS883">
        <f>IF($DM883=0,"",IF($L$11=0,"",IFERROR(IF(ISNUMBER(INDEX(PASTE_ALL,$DF883,$L$11)),INDEX(PASTE_ALL,$DF883,$L$11),TRIM(SUBSTITUTE(SUBSTITUTE(SUBSTITUTE(SUBSTITUTE(INDEX(PASTE_ALL,$DF883,$L$11)," "," "),CHAR(9)," "),CHAR(10)," "),CHAR(13)," "))),"")))</f>
        <v/>
      </c>
      <c r="DT883">
        <f>IF($DM883=0,"",IF($L$12=0,"",IFERROR(IF(ISNUMBER(INDEX(PASTE_ALL,$DF883,$L$12)),INDEX(PASTE_ALL,$DF883,$L$12),TRIM(SUBSTITUTE(SUBSTITUTE(SUBSTITUTE(SUBSTITUTE(INDEX(PASTE_ALL,$DF883,$L$12)," "," "),CHAR(9)," "),CHAR(10)," "),CHAR(13)," "))),"")))</f>
        <v/>
      </c>
      <c r="DU883">
        <f>IF($DM883=0,"",IF($L$13=0,"",IFERROR(IF(ISNUMBER(INDEX(PASTE_ALL,$DF883,$L$13)),INDEX(PASTE_ALL,$DF883,$L$13),TRIM(SUBSTITUTE(SUBSTITUTE(SUBSTITUTE(SUBSTITUTE(INDEX(PASTE_ALL,$DF883,$L$13)," "," "),CHAR(9)," "),CHAR(10)," "),CHAR(13)," "))),"")))</f>
        <v/>
      </c>
      <c r="DV883">
        <f>IF($DM883=0,"",IF($L$14=0,"",IFERROR(IF(ISNUMBER(INDEX(PASTE_ALL,$DF883,$L$14)),INDEX(PASTE_ALL,$DF883,$L$14),TRIM(SUBSTITUTE(SUBSTITUTE(SUBSTITUTE(SUBSTITUTE(INDEX(PASTE_ALL,$DF883,$L$14)," "," "),CHAR(9)," "),CHAR(10)," "),CHAR(13)," "))),"")))</f>
        <v/>
      </c>
      <c r="DW883">
        <f>IF($DM883=0,"",IF($L$15=0,"",IFERROR(IF(ISNUMBER(INDEX(PASTE_ALL,$DF883,$L$15)),INDEX(PASTE_ALL,$DF883,$L$15),IF(SUMPRODUCT(--ISNUMBER(FIND({"A","B","C","D","E","F","G","H","I","J","K","L","M","N","O","P","Q","R","S","T","U","V","W","X","Y","Z","0","1","2","3","4","5","6","7","8","9"},UPPER(TRIM(SUBSTITUTE(SUBSTITUTE(SUBSTITUTE(SUBSTITUTE(INDEX(PASTE_ALL,$DF883,$L$15)," "," "),CHAR(9)," "),CHAR(10)," "),CHAR(13)," "))))))&gt;0,TRIM(SUBSTITUTE(SUBSTITUTE(SUBSTITUTE(SUBSTITUTE(INDEX(PASTE_ALL,$DF883,$L$15)," "," "),CHAR(9)," "),CHAR(10)," "),CHAR(13)," ")),"")),"")))</f>
        <v/>
      </c>
      <c r="DX883">
        <f>IF($DM883=0,"",IF($L$16=0,"",IFERROR(IF(ISNUMBER(INDEX(PASTE_ALL,$DF883,$L$16)),INDEX(PASTE_ALL,$DF883,$L$16),SUBSTITUTE(SUBSTITUTE(TRIM(SUBSTITUTE(SUBSTITUTE(SUBSTITUTE(SUBSTITUTE(INDEX(PASTE_ALL,$DF883,$L$16)," "," "),CHAR(9)," "),CHAR(10)," "),CHAR(13)," ")),",",""),"%","")),"")))</f>
        <v/>
      </c>
      <c r="DY883">
        <f>IF($DM883=0,"",IFERROR(IF(ISNUMBER($DX883),$DX883,IF($DX883="","",IF(TRIM($DX883)="",0,IF(AND(AND(SUBSTITUTE(SUBSTITUTE(SUBSTITUTE(SUBSTITUTE(SUBSTITUTE(SUBSTITUTE(SUBSTITUTE(SUBSTITUTE(SUBSTITUTE(SUBSTITUTE(SUBSTITUTE(SUBSTITUTE(SUBSTITUTE(SUBSTITUTE(UPPER(TRIM($DX883)),"0",""),"1",""),"2",""),"3",""),"4",""),"5",""),"6",""),"7",""),"8",""),"9",""),".",""),"+",""),"-",""),"E","")="",LEN(SUBSTITUTE(SUBSTITUTE(MID(UPPER(TRIM($DX883)),1+OR(LEFT(UPPER(TRIM($DX883)),1)="+",LEFT(UPPER(TRIM($DX883)),1)="-"),999),"E+","E"),"E-","E"))=LEN(SUBSTITUTE(SUBSTITUTE(SUBSTITUTE(SUBSTITUTE(MID(UPPER(TRIM($DX883)),1+OR(LEFT(UPPER(TRIM($DX883)),1)="+",LEFT(UPPER(TRIM($DX883)),1)="-"),999),"E+","E"),"E-","E"),"+",""),"-","")),LEN(UPPER(TRIM($DX883)))-LEN(SUBSTITUTE(UPPER(TRIM($DX883)),"E",""))&lt;2,LEN(UPPER(TRIM($DX883)))-LEN(SUBSTITUTE(UPPER(TRIM($DX883)),".",""))&lt;2,IFERROR(FIND(".",UPPER(TRIM($DX883))),0)&lt;IFERROR(FIND("E",UPPER(TRIM($DX883))),999)),ISNUMBER(VALUE(TRIM($DX883)))),VALUE(TRIM($DX883)),"")))),""))</f>
        <v/>
      </c>
      <c r="DZ883">
        <f>IF($DM883=0,"",IF($L$17=0,"",IFERROR(IF(ISNUMBER(INDEX(PASTE_ALL,$DF883,$L$17)),INDEX(PASTE_ALL,$DF883,$L$17),SUBSTITUTE(SUBSTITUTE(TRIM(SUBSTITUTE(SUBSTITUTE(SUBSTITUTE(SUBSTITUTE(INDEX(PASTE_ALL,$DF883,$L$17)," "," "),CHAR(9)," "),CHAR(10)," "),CHAR(13)," ")),",",""),"%","")),"")))</f>
        <v/>
      </c>
      <c r="EA883">
        <f>IF($DM883=0,"",IFERROR(IF(ISNUMBER($DZ883),$DZ883,IF($DZ883="","",IF(TRIM($DZ883)="",0,IF(AND(AND(SUBSTITUTE(SUBSTITUTE(SUBSTITUTE(SUBSTITUTE(SUBSTITUTE(SUBSTITUTE(SUBSTITUTE(SUBSTITUTE(SUBSTITUTE(SUBSTITUTE(SUBSTITUTE(SUBSTITUTE(SUBSTITUTE(SUBSTITUTE(UPPER(TRIM($DZ883)),"0",""),"1",""),"2",""),"3",""),"4",""),"5",""),"6",""),"7",""),"8",""),"9",""),".",""),"+",""),"-",""),"E","")="",LEN(SUBSTITUTE(SUBSTITUTE(MID(UPPER(TRIM($DZ883)),1+OR(LEFT(UPPER(TRIM($DZ883)),1)="+",LEFT(UPPER(TRIM($DZ883)),1)="-"),999),"E+","E"),"E-","E"))=LEN(SUBSTITUTE(SUBSTITUTE(SUBSTITUTE(SUBSTITUTE(MID(UPPER(TRIM($DZ883)),1+OR(LEFT(UPPER(TRIM($DZ883)),1)="+",LEFT(UPPER(TRIM($DZ883)),1)="-"),999),"E+","E"),"E-","E"),"+",""),"-","")),LEN(UPPER(TRIM($DZ883)))-LEN(SUBSTITUTE(UPPER(TRIM($DZ883)),"E",""))&lt;2,LEN(UPPER(TRIM($DZ883)))-LEN(SUBSTITUTE(UPPER(TRIM($DZ883)),".",""))&lt;2,IFERROR(FIND(".",UPPER(TRIM($DZ883))),0)&lt;IFERROR(FIND("E",UPPER(TRIM($DZ883))),999)),ISNUMBER(VALUE(TRIM($DZ883)))),VALUE(TRIM($DZ883)),"")))),""))</f>
        <v/>
      </c>
      <c r="EB883">
        <f>IF($DM883=0,"",IF($L$18=0,"",IFERROR(IF(UPPER(TRIM(SUBSTITUTE(SUBSTITUTE(SUBSTITUTE(SUBSTITUTE(INDEX(PASTE_ALL,$DF883,$L$18)," "," "),CHAR(9)," "),CHAR(10)," "),CHAR(13)," ")))="READY","Ready",IF(UPPER(TRIM(SUBSTITUTE(SUBSTITUTE(SUBSTITUTE(SUBSTITUTE(INDEX(PASTE_ALL,$DF883,$L$18)," "," "),CHAR(9)," "),CHAR(10)," "),CHAR(13)," ")))="PM","PM",IF(OR(UPPER(TRIM(SUBSTITUTE(SUBSTITUTE(SUBSTITUTE(SUBSTITUTE(INDEX(PASTE_ALL,$DF883,$L$18)," "," "),CHAR(9)," "),CHAR(10)," "),CHAR(13)," ")))="OT",UPPER(TRIM(SUBSTITUTE(SUBSTITUTE(SUBSTITUTE(SUBSTITUTE(INDEX(PASTE_ALL,$DF883,$L$18)," "," "),CHAR(9)," "),CHAR(10)," "),CHAR(13)," ")))="OVERTIME",UPPER(TRIM(SUBSTITUTE(SUBSTITUTE(SUBSTITUTE(SUBSTITUTE(INDEX(PASTE_ALL,$DF883,$L$18)," "," "),CHAR(9)," "),CHAR(10)," "),CHAR(13)," ")))="TRIAL"),"OT",TRIM(SUBSTITUTE(SUBSTITUTE(SUBSTITUTE(SUBSTITUTE(INDEX(PASTE_ALL,$DF883,$L$18)," "," "),CHAR(9)," "),CHAR(10)," "),CHAR(13)," "))))),"")))</f>
        <v/>
      </c>
      <c r="EC883">
        <f>IF($DM883=0,"",IF($L$19=0,"",IFERROR(IF(ISNUMBER(INDEX(PASTE_ALL,$DF883,$L$19)),INDEX(PASTE_ALL,$DF883,$L$19),TRIM(SUBSTITUTE(SUBSTITUTE(SUBSTITUTE(SUBSTITUTE(INDEX(PASTE_ALL,$DF883,$L$19)," "," "),CHAR(9)," "),CHAR(10)," "),CHAR(13)," "))),"")))</f>
        <v/>
      </c>
      <c r="ED883">
        <f>IF($DM883=0,"",MATCH(1,INDEX(EXACT($DH$5:DH883,$DH883)*$DM$5:DM883,0),0))</f>
        <v/>
      </c>
      <c r="EE883">
        <f>IF($DM883=0,0,IF($ED883=$DE883,1,0))</f>
        <v/>
      </c>
      <c r="EF883">
        <f>EF882+$EE883</f>
        <v/>
      </c>
      <c r="EG883">
        <f>IF($DM883=0,"",INDEX($EF$5:$EF$1003,$ED883))</f>
        <v/>
      </c>
      <c r="EH883">
        <f>IF($DM883=0,"",IF($DO883&lt;&gt;"","",IFERROR(LOOKUP(2,1/(($EG$4:EG882=$EG883)*($DO$4:DO882&lt;&gt;"")),$DO$4:DO882),"")))</f>
        <v/>
      </c>
      <c r="EI883">
        <f>IF($DM883=0,"",IF($DO883&lt;&gt;"",$DO883,$EH883))</f>
        <v/>
      </c>
      <c r="EJ883">
        <f>IF($DM883=0,"",IF($EI883="",0,IF(OR(ISNUMBER($EI883),AND(AND(SUBSTITUTE(SUBSTITUTE(SUBSTITUTE(SUBSTITUTE(SUBSTITUTE(SUBSTITUTE(SUBSTITUTE(SUBSTITUTE(SUBSTITUTE(SUBSTITUTE(SUBSTITUTE(SUBSTITUTE(SUBSTITUTE(SUBSTITUTE(UPPER($EI883),"0",""),"1",""),"2",""),"3",""),"4",""),"5",""),"6",""),"7",""),"8",""),"9",""),".",""),"+",""),"-",""),"E","")="",LEN(SUBSTITUTE(SUBSTITUTE(MID(UPPER($EI883),1+OR(LEFT(UPPER($EI883),1)="+",LEFT(UPPER($EI883),1)="-"),999),"E+","E"),"E-","E"))=LEN(SUBSTITUTE(SUBSTITUTE(SUBSTITUTE(SUBSTITUTE(MID(UPPER($EI883),1+OR(LEFT(UPPER($EI883),1)="+",LEFT(UPPER($EI883),1)="-"),999),"E+","E"),"E-","E"),"+",""),"-","")),LEN(UPPER($EI883))-LEN(SUBSTITUTE(UPPER($EI883),"E",""))&lt;2,LEN(UPPER($EI883))-LEN(SUBSTITUTE(UPPER($EI883),".",""))&lt;2,IFERROR(FIND(".",UPPER($EI883)),0)&lt;IFERROR(FIND("E",UPPER($EI883)),999)),ISNUMBER(VALUE($EI883)))),1,2)))</f>
        <v/>
      </c>
      <c r="EK883">
        <f>IF($DM883=0,"",IF($EJ883=1,IF(ISNUMBER($EI883),$EI883,VALUE($EI883)),IF($EJ883=2,$DE883,0)))</f>
        <v/>
      </c>
      <c r="EL883">
        <f>IF($DM883=0,"",COUNTIF($EG$5:$EG$1003,"&lt;"&amp;$EG883)+SUMPRODUCT(($EG$5:$EG$1003=$EG883)*(($EJ$5:$EJ$1003&lt;$EJ883)+($EJ$5:$EJ$1003=$EJ883)*(($EK$5:$EK$1003&lt;$EK883)+($EK$5:$EK$1003=$EK883)*($DE$5:$DE$1003&lt;$DE883))))+1)</f>
        <v/>
      </c>
      <c r="EM883">
        <f>IF($DM883=0,"",$EL883+$EG883-1)</f>
        <v/>
      </c>
      <c r="EN883">
        <f>IF($DM883=0,0,IFERROR(MATCH(1,INDEX(--(TRIM(SUBSTITUTE(SUBSTITUTE(SUBSTITUTE(SUBSTITUTE(LINES_NAME&amp;""," "," "),CHAR(9)," "),CHAR(10)," "),CHAR(13)," "))=$DH883),0),0),0))</f>
        <v/>
      </c>
      <c r="EO883">
        <f>IF($EN883=0,0,IF(OR(UPPER(TRIM(INDEX(LINES_SCHEDULED,$EN883)&amp;""))="YES",UPPER(TRIM(INDEX(LINES_SCHEDULED,$EN883)&amp;""))="Y",UPPER(TRIM(INDEX(LINES_SCHEDULED,$EN883)&amp;""))="X"),1,0))</f>
        <v/>
      </c>
      <c r="EP883">
        <f>IF($DM883=0,"",IF(COUNTIFS($EG$5:$EG$1003,$EG883,$EB$5:$EB$1003,"Ready")&gt;0,"READY",IF(COUNTIFS($EG$5:$EG$1003,$EG883,$EB$5:$EB$1003,"PM")&gt;0,"PM",IF(COUNTIFS($EG$5:$EG$1003,$EG883,$EB$5:$EB$1003,"OT")&gt;0,"OT",""))))</f>
        <v/>
      </c>
      <c r="EQ883">
        <f>IF($EN883=0,"",UPPER(TRIM(INDEX(LINES_STATUS,$EN883)&amp;"")))</f>
        <v/>
      </c>
      <c r="ER883">
        <f>IF($DM883=0,"",IF(OR($EQ883="READY",$EQ883="PM",$EQ883="OT"),$EQ883,$EP883))</f>
        <v/>
      </c>
      <c r="ES883">
        <f>IF($DM883=0,"",IF(AND($DV883&lt;&gt;"",UPPER($DV883)&lt;&gt;"N"),"allergen",IF(ISNUMBER(SEARCH("oil",$DQ883)),"oil",IF(OR(EXACT($DS883,"A662"),EXACT($DS883,"A624")),"bulk",""))))</f>
        <v/>
      </c>
      <c r="ET883">
        <f>IF($DM883=0,"",IF(OR($EA883="",$EA883=0),"",$EA883/100))</f>
        <v/>
      </c>
      <c r="EU883">
        <f>IF(OR($ET883="",$DY883=""),"",INT($DY883*(1-$ET883)+0.5))</f>
        <v/>
      </c>
    </row>
    <row r="884">
      <c r="DA884" t="n">
        <v>880</v>
      </c>
      <c r="DB884">
        <f>IF($B$37=0,"",IFERROR(TRIM(SUBSTITUTE(SUBSTITUTE(SUBSTITUTE(SUBSTITUTE(INDEX(PASTE_ALL,880,$B$37)," "," "),CHAR(9)," "),CHAR(10)," "),CHAR(13)," ")),""))</f>
        <v/>
      </c>
      <c r="DC884">
        <f>IF(AND(880&gt;HEADER_ROW,UPPER(DB884)="LEGEND"),1,0)</f>
        <v/>
      </c>
      <c r="DE884" t="n">
        <v>880</v>
      </c>
      <c r="DF884">
        <f>HEADER_ROW+$DE884</f>
        <v/>
      </c>
      <c r="DG884">
        <f>IF(AND($DF884&lt;=1000,$DF884&lt;$B$8),1,0)</f>
        <v/>
      </c>
      <c r="DH884">
        <f>IF($DG884=1,IFERROR(INDEX($DB$5:$DB$1004,$DF884),""),"")</f>
        <v/>
      </c>
      <c r="DI884">
        <f>IF(AND($DG884=1,$DH884&lt;&gt;""),IFERROR(SUBSTITUTE(SUBSTITUTE(TRIM(SUBSTITUTE(SUBSTITUTE(SUBSTITUTE(SUBSTITUTE(IFERROR(INDEX(PASTE_ALL,$DF884,1)&amp;"","")&amp;"␟"&amp;IFERROR(INDEX(PASTE_ALL,$DF884,2)&amp;"","")&amp;"␟"&amp;IFERROR(INDEX(PASTE_ALL,$DF884,3)&amp;"","")&amp;"␟"&amp;IFERROR(INDEX(PASTE_ALL,$DF884,4)&amp;"","")&amp;"␟"&amp;IFERROR(INDEX(PASTE_ALL,$DF884,5)&amp;"","")&amp;"␟"&amp;IFERROR(INDEX(PASTE_ALL,$DF884,6)&amp;"","")&amp;"␟"&amp;IFERROR(INDEX(PASTE_ALL,$DF884,7)&amp;"","")&amp;"␟"&amp;IFERROR(INDEX(PASTE_ALL,$DF884,8)&amp;"","")&amp;"␟"&amp;IFERROR(INDEX(PASTE_ALL,$DF884,9)&amp;"","")&amp;"␟"&amp;IFERROR(INDEX(PASTE_ALL,$DF884,10)&amp;"","")&amp;"␟"&amp;IFERROR(INDEX(PASTE_ALL,$DF884,11)&amp;"","")&amp;"␟"&amp;IFERROR(INDEX(PASTE_ALL,$DF884,12)&amp;"","")&amp;"␟"&amp;IFERROR(INDEX(PASTE_ALL,$DF884,13)&amp;"","")&amp;"␟"&amp;IFERROR(INDEX(PASTE_ALL,$DF884,14)&amp;"","")&amp;"␟"&amp;IFERROR(INDEX(PASTE_ALL,$DF884,15)&amp;"","")&amp;"␟"&amp;IFERROR(INDEX(PASTE_ALL,$DF884,16)&amp;"","")&amp;"␟"&amp;IFERROR(INDEX(PASTE_ALL,$DF884,17)&amp;"","")&amp;"␟"&amp;IFERROR(INDEX(PASTE_ALL,$DF884,18)&amp;"","")&amp;"␟"&amp;IFERROR(INDEX(PASTE_ALL,$DF884,19)&amp;"","")&amp;"␟"&amp;IFERROR(INDEX(PASTE_ALL,$DF884,20)&amp;"","")&amp;"␟"&amp;IFERROR(INDEX(PASTE_ALL,$DF884,21)&amp;"","")&amp;"␟"&amp;IFERROR(INDEX(PASTE_ALL,$DF884,22)&amp;"","")&amp;"␟"&amp;IFERROR(INDEX(PASTE_ALL,$DF884,23)&amp;"","")&amp;"␟"&amp;IFERROR(INDEX(PASTE_ALL,$DF884,24)&amp;"","")&amp;"␟"&amp;IFERROR(INDEX(PASTE_ALL,$DF884,25)&amp;"","")&amp;"␟"&amp;IFERROR(INDEX(PASTE_ALL,$DF884,26)&amp;"","")&amp;"␟"&amp;IFERROR(INDEX(PASTE_ALL,$DF884,27)&amp;"","")&amp;"␟"&amp;IFERROR(INDEX(PASTE_ALL,$DF884,28)&amp;"","")&amp;"␟"&amp;IFERROR(INDEX(PASTE_ALL,$DF884,29)&amp;"","")&amp;"␟"&amp;IFERROR(INDEX(PASTE_ALL,$DF884,30)&amp;"","")&amp;"␟"&amp;IFERROR(INDEX(PASTE_ALL,$DF884,31)&amp;"","")&amp;"␟"&amp;IFERROR(INDEX(PASTE_ALL,$DF884,32)&amp;"","")&amp;"␟"&amp;IFERROR(INDEX(PASTE_ALL,$DF884,33)&amp;"","")&amp;"␟"&amp;IFERROR(INDEX(PASTE_ALL,$DF884,34)&amp;"","")&amp;"␟"&amp;IFERROR(INDEX(PASTE_ALL,$DF884,35)&amp;"","")&amp;"␟"&amp;IFERROR(INDEX(PASTE_ALL,$DF884,36)&amp;"","")&amp;"␟"&amp;IFERROR(INDEX(PASTE_ALL,$DF884,37)&amp;"","")&amp;"␟"&amp;IFERROR(INDEX(PASTE_ALL,$DF884,38)&amp;"","")&amp;"␟"&amp;IFERROR(INDEX(PASTE_ALL,$DF884,39)&amp;"","")&amp;"␟"&amp;IFERROR(INDEX(PASTE_ALL,$DF884,40)&amp;"","")&amp;"␟"&amp;IFERROR(INDEX(PASTE_ALL,$DF884,41)&amp;"","")&amp;"␟"&amp;IFERROR(INDEX(PASTE_ALL,$DF884,42)&amp;"","")&amp;"␟"&amp;IFERROR(INDEX(PASTE_ALL,$DF884,43)&amp;"","")&amp;"␟"&amp;IFERROR(INDEX(PASTE_ALL,$DF884,44)&amp;"","")&amp;"␟"&amp;IFERROR(INDEX(PASTE_ALL,$DF884,45)&amp;"","")&amp;"␟"&amp;IFERROR(INDEX(PASTE_ALL,$DF884,46)&amp;"","")&amp;"␟"&amp;IFERROR(INDEX(PASTE_ALL,$DF884,47)&amp;"","")&amp;"␟"&amp;IFERROR(INDEX(PASTE_ALL,$DF884,48)&amp;"","")&amp;"␟"&amp;IFERROR(INDEX(PASTE_ALL,$DF884,49)&amp;"","")&amp;"␟"&amp;IFERROR(INDEX(PASTE_ALL,$DF884,50)&amp;"","")&amp;"␟"&amp;IFERROR(INDEX(PASTE_ALL,$DF884,51)&amp;"","")&amp;"␟"&amp;IFERROR(INDEX(PASTE_ALL,$DF884,52)&amp;"","")&amp;"␟"&amp;IFERROR(INDEX(PASTE_ALL,$DF884,53)&amp;"","")&amp;"␟"&amp;IFERROR(INDEX(PASTE_ALL,$DF884,54)&amp;"","")&amp;"␟"&amp;IFERROR(INDEX(PASTE_ALL,$DF884,55)&amp;"","")&amp;"␟"&amp;IFERROR(INDEX(PASTE_ALL,$DF884,56)&amp;"","")&amp;"␟"&amp;IFERROR(INDEX(PASTE_ALL,$DF884,57)&amp;"","")&amp;"␟"&amp;IFERROR(INDEX(PASTE_ALL,$DF884,58)&amp;"","")&amp;"␟"&amp;IFERROR(INDEX(PASTE_ALL,$DF884,59)&amp;"","")&amp;"␟"&amp;IFERROR(INDEX(PASTE_ALL,$DF884,60)&amp;"","")," "," "),CHAR(9)," "),CHAR(10)," "),CHAR(13)," "))," ␟","␟"),"␟ ","␟"),"#"&amp;$DE884),"")</f>
        <v/>
      </c>
      <c r="DJ884">
        <f>IF($DI884="",0,IF(SUMPRODUCT(--EXACT($DI$4:DI883,$DI884))&gt;0,1,0))</f>
        <v/>
      </c>
      <c r="DK884">
        <f>IF(AND($DI884&lt;&gt;"",$DJ884=0),1,0)</f>
        <v/>
      </c>
      <c r="DL884">
        <f>DL883+$DK884</f>
        <v/>
      </c>
      <c r="DM884">
        <f>IF(AND($DK884=1,$DL884&lt;=600),1,0)</f>
        <v/>
      </c>
      <c r="DN884">
        <f>IF($DM884=0,"",IF($L$6=0,"",IFERROR(IF(ISNUMBER(INDEX(PASTE_ALL,$DF884,$L$6)),INDEX(PASTE_ALL,$DF884,$L$6),TRIM(SUBSTITUTE(SUBSTITUTE(SUBSTITUTE(SUBSTITUTE(INDEX(PASTE_ALL,$DF884,$L$6)," "," "),CHAR(9)," "),CHAR(10)," "),CHAR(13)," "))),"")))</f>
        <v/>
      </c>
      <c r="DO884">
        <f>IF($DM884=0,"",IF($L$7=0,"",IFERROR(IF(ISNUMBER(INDEX(PASTE_ALL,$DF884,$L$7)),INDEX(PASTE_ALL,$DF884,$L$7),TRIM(SUBSTITUTE(SUBSTITUTE(SUBSTITUTE(SUBSTITUTE(INDEX(PASTE_ALL,$DF884,$L$7)," "," "),CHAR(9)," "),CHAR(10)," "),CHAR(13)," "))),"")))</f>
        <v/>
      </c>
      <c r="DP884">
        <f>IF($DM884=0,"",IF($L$8=0,"",IFERROR(IF(ISNUMBER(INDEX(PASTE_ALL,$DF884,$L$8)),INDEX(PASTE_ALL,$DF884,$L$8),TRIM(SUBSTITUTE(SUBSTITUTE(SUBSTITUTE(SUBSTITUTE(INDEX(PASTE_ALL,$DF884,$L$8)," "," "),CHAR(9)," "),CHAR(10)," "),CHAR(13)," "))),"")))</f>
        <v/>
      </c>
      <c r="DQ884">
        <f>IF($DM884=0,"",IF($L$9=0,"",IFERROR(IF(ISNUMBER(INDEX(PASTE_ALL,$DF884,$L$9)),INDEX(PASTE_ALL,$DF884,$L$9),TRIM(SUBSTITUTE(SUBSTITUTE(SUBSTITUTE(SUBSTITUTE(INDEX(PASTE_ALL,$DF884,$L$9)," "," "),CHAR(9)," "),CHAR(10)," "),CHAR(13)," "))),"")))</f>
        <v/>
      </c>
      <c r="DR884">
        <f>IF($DM884=0,"",IF($L$10=0,"",IFERROR(IF(ISNUMBER(INDEX(PASTE_ALL,$DF884,$L$10)),INDEX(PASTE_ALL,$DF884,$L$10),TRIM(SUBSTITUTE(SUBSTITUTE(SUBSTITUTE(SUBSTITUTE(INDEX(PASTE_ALL,$DF884,$L$10)," "," "),CHAR(9)," "),CHAR(10)," "),CHAR(13)," "))),"")))</f>
        <v/>
      </c>
      <c r="DS884">
        <f>IF($DM884=0,"",IF($L$11=0,"",IFERROR(IF(ISNUMBER(INDEX(PASTE_ALL,$DF884,$L$11)),INDEX(PASTE_ALL,$DF884,$L$11),TRIM(SUBSTITUTE(SUBSTITUTE(SUBSTITUTE(SUBSTITUTE(INDEX(PASTE_ALL,$DF884,$L$11)," "," "),CHAR(9)," "),CHAR(10)," "),CHAR(13)," "))),"")))</f>
        <v/>
      </c>
      <c r="DT884">
        <f>IF($DM884=0,"",IF($L$12=0,"",IFERROR(IF(ISNUMBER(INDEX(PASTE_ALL,$DF884,$L$12)),INDEX(PASTE_ALL,$DF884,$L$12),TRIM(SUBSTITUTE(SUBSTITUTE(SUBSTITUTE(SUBSTITUTE(INDEX(PASTE_ALL,$DF884,$L$12)," "," "),CHAR(9)," "),CHAR(10)," "),CHAR(13)," "))),"")))</f>
        <v/>
      </c>
      <c r="DU884">
        <f>IF($DM884=0,"",IF($L$13=0,"",IFERROR(IF(ISNUMBER(INDEX(PASTE_ALL,$DF884,$L$13)),INDEX(PASTE_ALL,$DF884,$L$13),TRIM(SUBSTITUTE(SUBSTITUTE(SUBSTITUTE(SUBSTITUTE(INDEX(PASTE_ALL,$DF884,$L$13)," "," "),CHAR(9)," "),CHAR(10)," "),CHAR(13)," "))),"")))</f>
        <v/>
      </c>
      <c r="DV884">
        <f>IF($DM884=0,"",IF($L$14=0,"",IFERROR(IF(ISNUMBER(INDEX(PASTE_ALL,$DF884,$L$14)),INDEX(PASTE_ALL,$DF884,$L$14),TRIM(SUBSTITUTE(SUBSTITUTE(SUBSTITUTE(SUBSTITUTE(INDEX(PASTE_ALL,$DF884,$L$14)," "," "),CHAR(9)," "),CHAR(10)," "),CHAR(13)," "))),"")))</f>
        <v/>
      </c>
      <c r="DW884">
        <f>IF($DM884=0,"",IF($L$15=0,"",IFERROR(IF(ISNUMBER(INDEX(PASTE_ALL,$DF884,$L$15)),INDEX(PASTE_ALL,$DF884,$L$15),IF(SUMPRODUCT(--ISNUMBER(FIND({"A","B","C","D","E","F","G","H","I","J","K","L","M","N","O","P","Q","R","S","T","U","V","W","X","Y","Z","0","1","2","3","4","5","6","7","8","9"},UPPER(TRIM(SUBSTITUTE(SUBSTITUTE(SUBSTITUTE(SUBSTITUTE(INDEX(PASTE_ALL,$DF884,$L$15)," "," "),CHAR(9)," "),CHAR(10)," "),CHAR(13)," "))))))&gt;0,TRIM(SUBSTITUTE(SUBSTITUTE(SUBSTITUTE(SUBSTITUTE(INDEX(PASTE_ALL,$DF884,$L$15)," "," "),CHAR(9)," "),CHAR(10)," "),CHAR(13)," ")),"")),"")))</f>
        <v/>
      </c>
      <c r="DX884">
        <f>IF($DM884=0,"",IF($L$16=0,"",IFERROR(IF(ISNUMBER(INDEX(PASTE_ALL,$DF884,$L$16)),INDEX(PASTE_ALL,$DF884,$L$16),SUBSTITUTE(SUBSTITUTE(TRIM(SUBSTITUTE(SUBSTITUTE(SUBSTITUTE(SUBSTITUTE(INDEX(PASTE_ALL,$DF884,$L$16)," "," "),CHAR(9)," "),CHAR(10)," "),CHAR(13)," ")),",",""),"%","")),"")))</f>
        <v/>
      </c>
      <c r="DY884">
        <f>IF($DM884=0,"",IFERROR(IF(ISNUMBER($DX884),$DX884,IF($DX884="","",IF(TRIM($DX884)="",0,IF(AND(AND(SUBSTITUTE(SUBSTITUTE(SUBSTITUTE(SUBSTITUTE(SUBSTITUTE(SUBSTITUTE(SUBSTITUTE(SUBSTITUTE(SUBSTITUTE(SUBSTITUTE(SUBSTITUTE(SUBSTITUTE(SUBSTITUTE(SUBSTITUTE(UPPER(TRIM($DX884)),"0",""),"1",""),"2",""),"3",""),"4",""),"5",""),"6",""),"7",""),"8",""),"9",""),".",""),"+",""),"-",""),"E","")="",LEN(SUBSTITUTE(SUBSTITUTE(MID(UPPER(TRIM($DX884)),1+OR(LEFT(UPPER(TRIM($DX884)),1)="+",LEFT(UPPER(TRIM($DX884)),1)="-"),999),"E+","E"),"E-","E"))=LEN(SUBSTITUTE(SUBSTITUTE(SUBSTITUTE(SUBSTITUTE(MID(UPPER(TRIM($DX884)),1+OR(LEFT(UPPER(TRIM($DX884)),1)="+",LEFT(UPPER(TRIM($DX884)),1)="-"),999),"E+","E"),"E-","E"),"+",""),"-","")),LEN(UPPER(TRIM($DX884)))-LEN(SUBSTITUTE(UPPER(TRIM($DX884)),"E",""))&lt;2,LEN(UPPER(TRIM($DX884)))-LEN(SUBSTITUTE(UPPER(TRIM($DX884)),".",""))&lt;2,IFERROR(FIND(".",UPPER(TRIM($DX884))),0)&lt;IFERROR(FIND("E",UPPER(TRIM($DX884))),999)),ISNUMBER(VALUE(TRIM($DX884)))),VALUE(TRIM($DX884)),"")))),""))</f>
        <v/>
      </c>
      <c r="DZ884">
        <f>IF($DM884=0,"",IF($L$17=0,"",IFERROR(IF(ISNUMBER(INDEX(PASTE_ALL,$DF884,$L$17)),INDEX(PASTE_ALL,$DF884,$L$17),SUBSTITUTE(SUBSTITUTE(TRIM(SUBSTITUTE(SUBSTITUTE(SUBSTITUTE(SUBSTITUTE(INDEX(PASTE_ALL,$DF884,$L$17)," "," "),CHAR(9)," "),CHAR(10)," "),CHAR(13)," ")),",",""),"%","")),"")))</f>
        <v/>
      </c>
      <c r="EA884">
        <f>IF($DM884=0,"",IFERROR(IF(ISNUMBER($DZ884),$DZ884,IF($DZ884="","",IF(TRIM($DZ884)="",0,IF(AND(AND(SUBSTITUTE(SUBSTITUTE(SUBSTITUTE(SUBSTITUTE(SUBSTITUTE(SUBSTITUTE(SUBSTITUTE(SUBSTITUTE(SUBSTITUTE(SUBSTITUTE(SUBSTITUTE(SUBSTITUTE(SUBSTITUTE(SUBSTITUTE(UPPER(TRIM($DZ884)),"0",""),"1",""),"2",""),"3",""),"4",""),"5",""),"6",""),"7",""),"8",""),"9",""),".",""),"+",""),"-",""),"E","")="",LEN(SUBSTITUTE(SUBSTITUTE(MID(UPPER(TRIM($DZ884)),1+OR(LEFT(UPPER(TRIM($DZ884)),1)="+",LEFT(UPPER(TRIM($DZ884)),1)="-"),999),"E+","E"),"E-","E"))=LEN(SUBSTITUTE(SUBSTITUTE(SUBSTITUTE(SUBSTITUTE(MID(UPPER(TRIM($DZ884)),1+OR(LEFT(UPPER(TRIM($DZ884)),1)="+",LEFT(UPPER(TRIM($DZ884)),1)="-"),999),"E+","E"),"E-","E"),"+",""),"-","")),LEN(UPPER(TRIM($DZ884)))-LEN(SUBSTITUTE(UPPER(TRIM($DZ884)),"E",""))&lt;2,LEN(UPPER(TRIM($DZ884)))-LEN(SUBSTITUTE(UPPER(TRIM($DZ884)),".",""))&lt;2,IFERROR(FIND(".",UPPER(TRIM($DZ884))),0)&lt;IFERROR(FIND("E",UPPER(TRIM($DZ884))),999)),ISNUMBER(VALUE(TRIM($DZ884)))),VALUE(TRIM($DZ884)),"")))),""))</f>
        <v/>
      </c>
      <c r="EB884">
        <f>IF($DM884=0,"",IF($L$18=0,"",IFERROR(IF(UPPER(TRIM(SUBSTITUTE(SUBSTITUTE(SUBSTITUTE(SUBSTITUTE(INDEX(PASTE_ALL,$DF884,$L$18)," "," "),CHAR(9)," "),CHAR(10)," "),CHAR(13)," ")))="READY","Ready",IF(UPPER(TRIM(SUBSTITUTE(SUBSTITUTE(SUBSTITUTE(SUBSTITUTE(INDEX(PASTE_ALL,$DF884,$L$18)," "," "),CHAR(9)," "),CHAR(10)," "),CHAR(13)," ")))="PM","PM",IF(OR(UPPER(TRIM(SUBSTITUTE(SUBSTITUTE(SUBSTITUTE(SUBSTITUTE(INDEX(PASTE_ALL,$DF884,$L$18)," "," "),CHAR(9)," "),CHAR(10)," "),CHAR(13)," ")))="OT",UPPER(TRIM(SUBSTITUTE(SUBSTITUTE(SUBSTITUTE(SUBSTITUTE(INDEX(PASTE_ALL,$DF884,$L$18)," "," "),CHAR(9)," "),CHAR(10)," "),CHAR(13)," ")))="OVERTIME",UPPER(TRIM(SUBSTITUTE(SUBSTITUTE(SUBSTITUTE(SUBSTITUTE(INDEX(PASTE_ALL,$DF884,$L$18)," "," "),CHAR(9)," "),CHAR(10)," "),CHAR(13)," ")))="TRIAL"),"OT",TRIM(SUBSTITUTE(SUBSTITUTE(SUBSTITUTE(SUBSTITUTE(INDEX(PASTE_ALL,$DF884,$L$18)," "," "),CHAR(9)," "),CHAR(10)," "),CHAR(13)," "))))),"")))</f>
        <v/>
      </c>
      <c r="EC884">
        <f>IF($DM884=0,"",IF($L$19=0,"",IFERROR(IF(ISNUMBER(INDEX(PASTE_ALL,$DF884,$L$19)),INDEX(PASTE_ALL,$DF884,$L$19),TRIM(SUBSTITUTE(SUBSTITUTE(SUBSTITUTE(SUBSTITUTE(INDEX(PASTE_ALL,$DF884,$L$19)," "," "),CHAR(9)," "),CHAR(10)," "),CHAR(13)," "))),"")))</f>
        <v/>
      </c>
      <c r="ED884">
        <f>IF($DM884=0,"",MATCH(1,INDEX(EXACT($DH$5:DH884,$DH884)*$DM$5:DM884,0),0))</f>
        <v/>
      </c>
      <c r="EE884">
        <f>IF($DM884=0,0,IF($ED884=$DE884,1,0))</f>
        <v/>
      </c>
      <c r="EF884">
        <f>EF883+$EE884</f>
        <v/>
      </c>
      <c r="EG884">
        <f>IF($DM884=0,"",INDEX($EF$5:$EF$1003,$ED884))</f>
        <v/>
      </c>
      <c r="EH884">
        <f>IF($DM884=0,"",IF($DO884&lt;&gt;"","",IFERROR(LOOKUP(2,1/(($EG$4:EG883=$EG884)*($DO$4:DO883&lt;&gt;"")),$DO$4:DO883),"")))</f>
        <v/>
      </c>
      <c r="EI884">
        <f>IF($DM884=0,"",IF($DO884&lt;&gt;"",$DO884,$EH884))</f>
        <v/>
      </c>
      <c r="EJ884">
        <f>IF($DM884=0,"",IF($EI884="",0,IF(OR(ISNUMBER($EI884),AND(AND(SUBSTITUTE(SUBSTITUTE(SUBSTITUTE(SUBSTITUTE(SUBSTITUTE(SUBSTITUTE(SUBSTITUTE(SUBSTITUTE(SUBSTITUTE(SUBSTITUTE(SUBSTITUTE(SUBSTITUTE(SUBSTITUTE(SUBSTITUTE(UPPER($EI884),"0",""),"1",""),"2",""),"3",""),"4",""),"5",""),"6",""),"7",""),"8",""),"9",""),".",""),"+",""),"-",""),"E","")="",LEN(SUBSTITUTE(SUBSTITUTE(MID(UPPER($EI884),1+OR(LEFT(UPPER($EI884),1)="+",LEFT(UPPER($EI884),1)="-"),999),"E+","E"),"E-","E"))=LEN(SUBSTITUTE(SUBSTITUTE(SUBSTITUTE(SUBSTITUTE(MID(UPPER($EI884),1+OR(LEFT(UPPER($EI884),1)="+",LEFT(UPPER($EI884),1)="-"),999),"E+","E"),"E-","E"),"+",""),"-","")),LEN(UPPER($EI884))-LEN(SUBSTITUTE(UPPER($EI884),"E",""))&lt;2,LEN(UPPER($EI884))-LEN(SUBSTITUTE(UPPER($EI884),".",""))&lt;2,IFERROR(FIND(".",UPPER($EI884)),0)&lt;IFERROR(FIND("E",UPPER($EI884)),999)),ISNUMBER(VALUE($EI884)))),1,2)))</f>
        <v/>
      </c>
      <c r="EK884">
        <f>IF($DM884=0,"",IF($EJ884=1,IF(ISNUMBER($EI884),$EI884,VALUE($EI884)),IF($EJ884=2,$DE884,0)))</f>
        <v/>
      </c>
      <c r="EL884">
        <f>IF($DM884=0,"",COUNTIF($EG$5:$EG$1003,"&lt;"&amp;$EG884)+SUMPRODUCT(($EG$5:$EG$1003=$EG884)*(($EJ$5:$EJ$1003&lt;$EJ884)+($EJ$5:$EJ$1003=$EJ884)*(($EK$5:$EK$1003&lt;$EK884)+($EK$5:$EK$1003=$EK884)*($DE$5:$DE$1003&lt;$DE884))))+1)</f>
        <v/>
      </c>
      <c r="EM884">
        <f>IF($DM884=0,"",$EL884+$EG884-1)</f>
        <v/>
      </c>
      <c r="EN884">
        <f>IF($DM884=0,0,IFERROR(MATCH(1,INDEX(--(TRIM(SUBSTITUTE(SUBSTITUTE(SUBSTITUTE(SUBSTITUTE(LINES_NAME&amp;""," "," "),CHAR(9)," "),CHAR(10)," "),CHAR(13)," "))=$DH884),0),0),0))</f>
        <v/>
      </c>
      <c r="EO884">
        <f>IF($EN884=0,0,IF(OR(UPPER(TRIM(INDEX(LINES_SCHEDULED,$EN884)&amp;""))="YES",UPPER(TRIM(INDEX(LINES_SCHEDULED,$EN884)&amp;""))="Y",UPPER(TRIM(INDEX(LINES_SCHEDULED,$EN884)&amp;""))="X"),1,0))</f>
        <v/>
      </c>
      <c r="EP884">
        <f>IF($DM884=0,"",IF(COUNTIFS($EG$5:$EG$1003,$EG884,$EB$5:$EB$1003,"Ready")&gt;0,"READY",IF(COUNTIFS($EG$5:$EG$1003,$EG884,$EB$5:$EB$1003,"PM")&gt;0,"PM",IF(COUNTIFS($EG$5:$EG$1003,$EG884,$EB$5:$EB$1003,"OT")&gt;0,"OT",""))))</f>
        <v/>
      </c>
      <c r="EQ884">
        <f>IF($EN884=0,"",UPPER(TRIM(INDEX(LINES_STATUS,$EN884)&amp;"")))</f>
        <v/>
      </c>
      <c r="ER884">
        <f>IF($DM884=0,"",IF(OR($EQ884="READY",$EQ884="PM",$EQ884="OT"),$EQ884,$EP884))</f>
        <v/>
      </c>
      <c r="ES884">
        <f>IF($DM884=0,"",IF(AND($DV884&lt;&gt;"",UPPER($DV884)&lt;&gt;"N"),"allergen",IF(ISNUMBER(SEARCH("oil",$DQ884)),"oil",IF(OR(EXACT($DS884,"A662"),EXACT($DS884,"A624")),"bulk",""))))</f>
        <v/>
      </c>
      <c r="ET884">
        <f>IF($DM884=0,"",IF(OR($EA884="",$EA884=0),"",$EA884/100))</f>
        <v/>
      </c>
      <c r="EU884">
        <f>IF(OR($ET884="",$DY884=""),"",INT($DY884*(1-$ET884)+0.5))</f>
        <v/>
      </c>
    </row>
    <row r="885">
      <c r="DA885" t="n">
        <v>881</v>
      </c>
      <c r="DB885">
        <f>IF($B$37=0,"",IFERROR(TRIM(SUBSTITUTE(SUBSTITUTE(SUBSTITUTE(SUBSTITUTE(INDEX(PASTE_ALL,881,$B$37)," "," "),CHAR(9)," "),CHAR(10)," "),CHAR(13)," ")),""))</f>
        <v/>
      </c>
      <c r="DC885">
        <f>IF(AND(881&gt;HEADER_ROW,UPPER(DB885)="LEGEND"),1,0)</f>
        <v/>
      </c>
      <c r="DE885" t="n">
        <v>881</v>
      </c>
      <c r="DF885">
        <f>HEADER_ROW+$DE885</f>
        <v/>
      </c>
      <c r="DG885">
        <f>IF(AND($DF885&lt;=1000,$DF885&lt;$B$8),1,0)</f>
        <v/>
      </c>
      <c r="DH885">
        <f>IF($DG885=1,IFERROR(INDEX($DB$5:$DB$1004,$DF885),""),"")</f>
        <v/>
      </c>
      <c r="DI885">
        <f>IF(AND($DG885=1,$DH885&lt;&gt;""),IFERROR(SUBSTITUTE(SUBSTITUTE(TRIM(SUBSTITUTE(SUBSTITUTE(SUBSTITUTE(SUBSTITUTE(IFERROR(INDEX(PASTE_ALL,$DF885,1)&amp;"","")&amp;"␟"&amp;IFERROR(INDEX(PASTE_ALL,$DF885,2)&amp;"","")&amp;"␟"&amp;IFERROR(INDEX(PASTE_ALL,$DF885,3)&amp;"","")&amp;"␟"&amp;IFERROR(INDEX(PASTE_ALL,$DF885,4)&amp;"","")&amp;"␟"&amp;IFERROR(INDEX(PASTE_ALL,$DF885,5)&amp;"","")&amp;"␟"&amp;IFERROR(INDEX(PASTE_ALL,$DF885,6)&amp;"","")&amp;"␟"&amp;IFERROR(INDEX(PASTE_ALL,$DF885,7)&amp;"","")&amp;"␟"&amp;IFERROR(INDEX(PASTE_ALL,$DF885,8)&amp;"","")&amp;"␟"&amp;IFERROR(INDEX(PASTE_ALL,$DF885,9)&amp;"","")&amp;"␟"&amp;IFERROR(INDEX(PASTE_ALL,$DF885,10)&amp;"","")&amp;"␟"&amp;IFERROR(INDEX(PASTE_ALL,$DF885,11)&amp;"","")&amp;"␟"&amp;IFERROR(INDEX(PASTE_ALL,$DF885,12)&amp;"","")&amp;"␟"&amp;IFERROR(INDEX(PASTE_ALL,$DF885,13)&amp;"","")&amp;"␟"&amp;IFERROR(INDEX(PASTE_ALL,$DF885,14)&amp;"","")&amp;"␟"&amp;IFERROR(INDEX(PASTE_ALL,$DF885,15)&amp;"","")&amp;"␟"&amp;IFERROR(INDEX(PASTE_ALL,$DF885,16)&amp;"","")&amp;"␟"&amp;IFERROR(INDEX(PASTE_ALL,$DF885,17)&amp;"","")&amp;"␟"&amp;IFERROR(INDEX(PASTE_ALL,$DF885,18)&amp;"","")&amp;"␟"&amp;IFERROR(INDEX(PASTE_ALL,$DF885,19)&amp;"","")&amp;"␟"&amp;IFERROR(INDEX(PASTE_ALL,$DF885,20)&amp;"","")&amp;"␟"&amp;IFERROR(INDEX(PASTE_ALL,$DF885,21)&amp;"","")&amp;"␟"&amp;IFERROR(INDEX(PASTE_ALL,$DF885,22)&amp;"","")&amp;"␟"&amp;IFERROR(INDEX(PASTE_ALL,$DF885,23)&amp;"","")&amp;"␟"&amp;IFERROR(INDEX(PASTE_ALL,$DF885,24)&amp;"","")&amp;"␟"&amp;IFERROR(INDEX(PASTE_ALL,$DF885,25)&amp;"","")&amp;"␟"&amp;IFERROR(INDEX(PASTE_ALL,$DF885,26)&amp;"","")&amp;"␟"&amp;IFERROR(INDEX(PASTE_ALL,$DF885,27)&amp;"","")&amp;"␟"&amp;IFERROR(INDEX(PASTE_ALL,$DF885,28)&amp;"","")&amp;"␟"&amp;IFERROR(INDEX(PASTE_ALL,$DF885,29)&amp;"","")&amp;"␟"&amp;IFERROR(INDEX(PASTE_ALL,$DF885,30)&amp;"","")&amp;"␟"&amp;IFERROR(INDEX(PASTE_ALL,$DF885,31)&amp;"","")&amp;"␟"&amp;IFERROR(INDEX(PASTE_ALL,$DF885,32)&amp;"","")&amp;"␟"&amp;IFERROR(INDEX(PASTE_ALL,$DF885,33)&amp;"","")&amp;"␟"&amp;IFERROR(INDEX(PASTE_ALL,$DF885,34)&amp;"","")&amp;"␟"&amp;IFERROR(INDEX(PASTE_ALL,$DF885,35)&amp;"","")&amp;"␟"&amp;IFERROR(INDEX(PASTE_ALL,$DF885,36)&amp;"","")&amp;"␟"&amp;IFERROR(INDEX(PASTE_ALL,$DF885,37)&amp;"","")&amp;"␟"&amp;IFERROR(INDEX(PASTE_ALL,$DF885,38)&amp;"","")&amp;"␟"&amp;IFERROR(INDEX(PASTE_ALL,$DF885,39)&amp;"","")&amp;"␟"&amp;IFERROR(INDEX(PASTE_ALL,$DF885,40)&amp;"","")&amp;"␟"&amp;IFERROR(INDEX(PASTE_ALL,$DF885,41)&amp;"","")&amp;"␟"&amp;IFERROR(INDEX(PASTE_ALL,$DF885,42)&amp;"","")&amp;"␟"&amp;IFERROR(INDEX(PASTE_ALL,$DF885,43)&amp;"","")&amp;"␟"&amp;IFERROR(INDEX(PASTE_ALL,$DF885,44)&amp;"","")&amp;"␟"&amp;IFERROR(INDEX(PASTE_ALL,$DF885,45)&amp;"","")&amp;"␟"&amp;IFERROR(INDEX(PASTE_ALL,$DF885,46)&amp;"","")&amp;"␟"&amp;IFERROR(INDEX(PASTE_ALL,$DF885,47)&amp;"","")&amp;"␟"&amp;IFERROR(INDEX(PASTE_ALL,$DF885,48)&amp;"","")&amp;"␟"&amp;IFERROR(INDEX(PASTE_ALL,$DF885,49)&amp;"","")&amp;"␟"&amp;IFERROR(INDEX(PASTE_ALL,$DF885,50)&amp;"","")&amp;"␟"&amp;IFERROR(INDEX(PASTE_ALL,$DF885,51)&amp;"","")&amp;"␟"&amp;IFERROR(INDEX(PASTE_ALL,$DF885,52)&amp;"","")&amp;"␟"&amp;IFERROR(INDEX(PASTE_ALL,$DF885,53)&amp;"","")&amp;"␟"&amp;IFERROR(INDEX(PASTE_ALL,$DF885,54)&amp;"","")&amp;"␟"&amp;IFERROR(INDEX(PASTE_ALL,$DF885,55)&amp;"","")&amp;"␟"&amp;IFERROR(INDEX(PASTE_ALL,$DF885,56)&amp;"","")&amp;"␟"&amp;IFERROR(INDEX(PASTE_ALL,$DF885,57)&amp;"","")&amp;"␟"&amp;IFERROR(INDEX(PASTE_ALL,$DF885,58)&amp;"","")&amp;"␟"&amp;IFERROR(INDEX(PASTE_ALL,$DF885,59)&amp;"","")&amp;"␟"&amp;IFERROR(INDEX(PASTE_ALL,$DF885,60)&amp;"","")," "," "),CHAR(9)," "),CHAR(10)," "),CHAR(13)," "))," ␟","␟"),"␟ ","␟"),"#"&amp;$DE885),"")</f>
        <v/>
      </c>
      <c r="DJ885">
        <f>IF($DI885="",0,IF(SUMPRODUCT(--EXACT($DI$4:DI884,$DI885))&gt;0,1,0))</f>
        <v/>
      </c>
      <c r="DK885">
        <f>IF(AND($DI885&lt;&gt;"",$DJ885=0),1,0)</f>
        <v/>
      </c>
      <c r="DL885">
        <f>DL884+$DK885</f>
        <v/>
      </c>
      <c r="DM885">
        <f>IF(AND($DK885=1,$DL885&lt;=600),1,0)</f>
        <v/>
      </c>
      <c r="DN885">
        <f>IF($DM885=0,"",IF($L$6=0,"",IFERROR(IF(ISNUMBER(INDEX(PASTE_ALL,$DF885,$L$6)),INDEX(PASTE_ALL,$DF885,$L$6),TRIM(SUBSTITUTE(SUBSTITUTE(SUBSTITUTE(SUBSTITUTE(INDEX(PASTE_ALL,$DF885,$L$6)," "," "),CHAR(9)," "),CHAR(10)," "),CHAR(13)," "))),"")))</f>
        <v/>
      </c>
      <c r="DO885">
        <f>IF($DM885=0,"",IF($L$7=0,"",IFERROR(IF(ISNUMBER(INDEX(PASTE_ALL,$DF885,$L$7)),INDEX(PASTE_ALL,$DF885,$L$7),TRIM(SUBSTITUTE(SUBSTITUTE(SUBSTITUTE(SUBSTITUTE(INDEX(PASTE_ALL,$DF885,$L$7)," "," "),CHAR(9)," "),CHAR(10)," "),CHAR(13)," "))),"")))</f>
        <v/>
      </c>
      <c r="DP885">
        <f>IF($DM885=0,"",IF($L$8=0,"",IFERROR(IF(ISNUMBER(INDEX(PASTE_ALL,$DF885,$L$8)),INDEX(PASTE_ALL,$DF885,$L$8),TRIM(SUBSTITUTE(SUBSTITUTE(SUBSTITUTE(SUBSTITUTE(INDEX(PASTE_ALL,$DF885,$L$8)," "," "),CHAR(9)," "),CHAR(10)," "),CHAR(13)," "))),"")))</f>
        <v/>
      </c>
      <c r="DQ885">
        <f>IF($DM885=0,"",IF($L$9=0,"",IFERROR(IF(ISNUMBER(INDEX(PASTE_ALL,$DF885,$L$9)),INDEX(PASTE_ALL,$DF885,$L$9),TRIM(SUBSTITUTE(SUBSTITUTE(SUBSTITUTE(SUBSTITUTE(INDEX(PASTE_ALL,$DF885,$L$9)," "," "),CHAR(9)," "),CHAR(10)," "),CHAR(13)," "))),"")))</f>
        <v/>
      </c>
      <c r="DR885">
        <f>IF($DM885=0,"",IF($L$10=0,"",IFERROR(IF(ISNUMBER(INDEX(PASTE_ALL,$DF885,$L$10)),INDEX(PASTE_ALL,$DF885,$L$10),TRIM(SUBSTITUTE(SUBSTITUTE(SUBSTITUTE(SUBSTITUTE(INDEX(PASTE_ALL,$DF885,$L$10)," "," "),CHAR(9)," "),CHAR(10)," "),CHAR(13)," "))),"")))</f>
        <v/>
      </c>
      <c r="DS885">
        <f>IF($DM885=0,"",IF($L$11=0,"",IFERROR(IF(ISNUMBER(INDEX(PASTE_ALL,$DF885,$L$11)),INDEX(PASTE_ALL,$DF885,$L$11),TRIM(SUBSTITUTE(SUBSTITUTE(SUBSTITUTE(SUBSTITUTE(INDEX(PASTE_ALL,$DF885,$L$11)," "," "),CHAR(9)," "),CHAR(10)," "),CHAR(13)," "))),"")))</f>
        <v/>
      </c>
      <c r="DT885">
        <f>IF($DM885=0,"",IF($L$12=0,"",IFERROR(IF(ISNUMBER(INDEX(PASTE_ALL,$DF885,$L$12)),INDEX(PASTE_ALL,$DF885,$L$12),TRIM(SUBSTITUTE(SUBSTITUTE(SUBSTITUTE(SUBSTITUTE(INDEX(PASTE_ALL,$DF885,$L$12)," "," "),CHAR(9)," "),CHAR(10)," "),CHAR(13)," "))),"")))</f>
        <v/>
      </c>
      <c r="DU885">
        <f>IF($DM885=0,"",IF($L$13=0,"",IFERROR(IF(ISNUMBER(INDEX(PASTE_ALL,$DF885,$L$13)),INDEX(PASTE_ALL,$DF885,$L$13),TRIM(SUBSTITUTE(SUBSTITUTE(SUBSTITUTE(SUBSTITUTE(INDEX(PASTE_ALL,$DF885,$L$13)," "," "),CHAR(9)," "),CHAR(10)," "),CHAR(13)," "))),"")))</f>
        <v/>
      </c>
      <c r="DV885">
        <f>IF($DM885=0,"",IF($L$14=0,"",IFERROR(IF(ISNUMBER(INDEX(PASTE_ALL,$DF885,$L$14)),INDEX(PASTE_ALL,$DF885,$L$14),TRIM(SUBSTITUTE(SUBSTITUTE(SUBSTITUTE(SUBSTITUTE(INDEX(PASTE_ALL,$DF885,$L$14)," "," "),CHAR(9)," "),CHAR(10)," "),CHAR(13)," "))),"")))</f>
        <v/>
      </c>
      <c r="DW885">
        <f>IF($DM885=0,"",IF($L$15=0,"",IFERROR(IF(ISNUMBER(INDEX(PASTE_ALL,$DF885,$L$15)),INDEX(PASTE_ALL,$DF885,$L$15),IF(SUMPRODUCT(--ISNUMBER(FIND({"A","B","C","D","E","F","G","H","I","J","K","L","M","N","O","P","Q","R","S","T","U","V","W","X","Y","Z","0","1","2","3","4","5","6","7","8","9"},UPPER(TRIM(SUBSTITUTE(SUBSTITUTE(SUBSTITUTE(SUBSTITUTE(INDEX(PASTE_ALL,$DF885,$L$15)," "," "),CHAR(9)," "),CHAR(10)," "),CHAR(13)," "))))))&gt;0,TRIM(SUBSTITUTE(SUBSTITUTE(SUBSTITUTE(SUBSTITUTE(INDEX(PASTE_ALL,$DF885,$L$15)," "," "),CHAR(9)," "),CHAR(10)," "),CHAR(13)," ")),"")),"")))</f>
        <v/>
      </c>
      <c r="DX885">
        <f>IF($DM885=0,"",IF($L$16=0,"",IFERROR(IF(ISNUMBER(INDEX(PASTE_ALL,$DF885,$L$16)),INDEX(PASTE_ALL,$DF885,$L$16),SUBSTITUTE(SUBSTITUTE(TRIM(SUBSTITUTE(SUBSTITUTE(SUBSTITUTE(SUBSTITUTE(INDEX(PASTE_ALL,$DF885,$L$16)," "," "),CHAR(9)," "),CHAR(10)," "),CHAR(13)," ")),",",""),"%","")),"")))</f>
        <v/>
      </c>
      <c r="DY885">
        <f>IF($DM885=0,"",IFERROR(IF(ISNUMBER($DX885),$DX885,IF($DX885="","",IF(TRIM($DX885)="",0,IF(AND(AND(SUBSTITUTE(SUBSTITUTE(SUBSTITUTE(SUBSTITUTE(SUBSTITUTE(SUBSTITUTE(SUBSTITUTE(SUBSTITUTE(SUBSTITUTE(SUBSTITUTE(SUBSTITUTE(SUBSTITUTE(SUBSTITUTE(SUBSTITUTE(UPPER(TRIM($DX885)),"0",""),"1",""),"2",""),"3",""),"4",""),"5",""),"6",""),"7",""),"8",""),"9",""),".",""),"+",""),"-",""),"E","")="",LEN(SUBSTITUTE(SUBSTITUTE(MID(UPPER(TRIM($DX885)),1+OR(LEFT(UPPER(TRIM($DX885)),1)="+",LEFT(UPPER(TRIM($DX885)),1)="-"),999),"E+","E"),"E-","E"))=LEN(SUBSTITUTE(SUBSTITUTE(SUBSTITUTE(SUBSTITUTE(MID(UPPER(TRIM($DX885)),1+OR(LEFT(UPPER(TRIM($DX885)),1)="+",LEFT(UPPER(TRIM($DX885)),1)="-"),999),"E+","E"),"E-","E"),"+",""),"-","")),LEN(UPPER(TRIM($DX885)))-LEN(SUBSTITUTE(UPPER(TRIM($DX885)),"E",""))&lt;2,LEN(UPPER(TRIM($DX885)))-LEN(SUBSTITUTE(UPPER(TRIM($DX885)),".",""))&lt;2,IFERROR(FIND(".",UPPER(TRIM($DX885))),0)&lt;IFERROR(FIND("E",UPPER(TRIM($DX885))),999)),ISNUMBER(VALUE(TRIM($DX885)))),VALUE(TRIM($DX885)),"")))),""))</f>
        <v/>
      </c>
      <c r="DZ885">
        <f>IF($DM885=0,"",IF($L$17=0,"",IFERROR(IF(ISNUMBER(INDEX(PASTE_ALL,$DF885,$L$17)),INDEX(PASTE_ALL,$DF885,$L$17),SUBSTITUTE(SUBSTITUTE(TRIM(SUBSTITUTE(SUBSTITUTE(SUBSTITUTE(SUBSTITUTE(INDEX(PASTE_ALL,$DF885,$L$17)," "," "),CHAR(9)," "),CHAR(10)," "),CHAR(13)," ")),",",""),"%","")),"")))</f>
        <v/>
      </c>
      <c r="EA885">
        <f>IF($DM885=0,"",IFERROR(IF(ISNUMBER($DZ885),$DZ885,IF($DZ885="","",IF(TRIM($DZ885)="",0,IF(AND(AND(SUBSTITUTE(SUBSTITUTE(SUBSTITUTE(SUBSTITUTE(SUBSTITUTE(SUBSTITUTE(SUBSTITUTE(SUBSTITUTE(SUBSTITUTE(SUBSTITUTE(SUBSTITUTE(SUBSTITUTE(SUBSTITUTE(SUBSTITUTE(UPPER(TRIM($DZ885)),"0",""),"1",""),"2",""),"3",""),"4",""),"5",""),"6",""),"7",""),"8",""),"9",""),".",""),"+",""),"-",""),"E","")="",LEN(SUBSTITUTE(SUBSTITUTE(MID(UPPER(TRIM($DZ885)),1+OR(LEFT(UPPER(TRIM($DZ885)),1)="+",LEFT(UPPER(TRIM($DZ885)),1)="-"),999),"E+","E"),"E-","E"))=LEN(SUBSTITUTE(SUBSTITUTE(SUBSTITUTE(SUBSTITUTE(MID(UPPER(TRIM($DZ885)),1+OR(LEFT(UPPER(TRIM($DZ885)),1)="+",LEFT(UPPER(TRIM($DZ885)),1)="-"),999),"E+","E"),"E-","E"),"+",""),"-","")),LEN(UPPER(TRIM($DZ885)))-LEN(SUBSTITUTE(UPPER(TRIM($DZ885)),"E",""))&lt;2,LEN(UPPER(TRIM($DZ885)))-LEN(SUBSTITUTE(UPPER(TRIM($DZ885)),".",""))&lt;2,IFERROR(FIND(".",UPPER(TRIM($DZ885))),0)&lt;IFERROR(FIND("E",UPPER(TRIM($DZ885))),999)),ISNUMBER(VALUE(TRIM($DZ885)))),VALUE(TRIM($DZ885)),"")))),""))</f>
        <v/>
      </c>
      <c r="EB885">
        <f>IF($DM885=0,"",IF($L$18=0,"",IFERROR(IF(UPPER(TRIM(SUBSTITUTE(SUBSTITUTE(SUBSTITUTE(SUBSTITUTE(INDEX(PASTE_ALL,$DF885,$L$18)," "," "),CHAR(9)," "),CHAR(10)," "),CHAR(13)," ")))="READY","Ready",IF(UPPER(TRIM(SUBSTITUTE(SUBSTITUTE(SUBSTITUTE(SUBSTITUTE(INDEX(PASTE_ALL,$DF885,$L$18)," "," "),CHAR(9)," "),CHAR(10)," "),CHAR(13)," ")))="PM","PM",IF(OR(UPPER(TRIM(SUBSTITUTE(SUBSTITUTE(SUBSTITUTE(SUBSTITUTE(INDEX(PASTE_ALL,$DF885,$L$18)," "," "),CHAR(9)," "),CHAR(10)," "),CHAR(13)," ")))="OT",UPPER(TRIM(SUBSTITUTE(SUBSTITUTE(SUBSTITUTE(SUBSTITUTE(INDEX(PASTE_ALL,$DF885,$L$18)," "," "),CHAR(9)," "),CHAR(10)," "),CHAR(13)," ")))="OVERTIME",UPPER(TRIM(SUBSTITUTE(SUBSTITUTE(SUBSTITUTE(SUBSTITUTE(INDEX(PASTE_ALL,$DF885,$L$18)," "," "),CHAR(9)," "),CHAR(10)," "),CHAR(13)," ")))="TRIAL"),"OT",TRIM(SUBSTITUTE(SUBSTITUTE(SUBSTITUTE(SUBSTITUTE(INDEX(PASTE_ALL,$DF885,$L$18)," "," "),CHAR(9)," "),CHAR(10)," "),CHAR(13)," "))))),"")))</f>
        <v/>
      </c>
      <c r="EC885">
        <f>IF($DM885=0,"",IF($L$19=0,"",IFERROR(IF(ISNUMBER(INDEX(PASTE_ALL,$DF885,$L$19)),INDEX(PASTE_ALL,$DF885,$L$19),TRIM(SUBSTITUTE(SUBSTITUTE(SUBSTITUTE(SUBSTITUTE(INDEX(PASTE_ALL,$DF885,$L$19)," "," "),CHAR(9)," "),CHAR(10)," "),CHAR(13)," "))),"")))</f>
        <v/>
      </c>
      <c r="ED885">
        <f>IF($DM885=0,"",MATCH(1,INDEX(EXACT($DH$5:DH885,$DH885)*$DM$5:DM885,0),0))</f>
        <v/>
      </c>
      <c r="EE885">
        <f>IF($DM885=0,0,IF($ED885=$DE885,1,0))</f>
        <v/>
      </c>
      <c r="EF885">
        <f>EF884+$EE885</f>
        <v/>
      </c>
      <c r="EG885">
        <f>IF($DM885=0,"",INDEX($EF$5:$EF$1003,$ED885))</f>
        <v/>
      </c>
      <c r="EH885">
        <f>IF($DM885=0,"",IF($DO885&lt;&gt;"","",IFERROR(LOOKUP(2,1/(($EG$4:EG884=$EG885)*($DO$4:DO884&lt;&gt;"")),$DO$4:DO884),"")))</f>
        <v/>
      </c>
      <c r="EI885">
        <f>IF($DM885=0,"",IF($DO885&lt;&gt;"",$DO885,$EH885))</f>
        <v/>
      </c>
      <c r="EJ885">
        <f>IF($DM885=0,"",IF($EI885="",0,IF(OR(ISNUMBER($EI885),AND(AND(SUBSTITUTE(SUBSTITUTE(SUBSTITUTE(SUBSTITUTE(SUBSTITUTE(SUBSTITUTE(SUBSTITUTE(SUBSTITUTE(SUBSTITUTE(SUBSTITUTE(SUBSTITUTE(SUBSTITUTE(SUBSTITUTE(SUBSTITUTE(UPPER($EI885),"0",""),"1",""),"2",""),"3",""),"4",""),"5",""),"6",""),"7",""),"8",""),"9",""),".",""),"+",""),"-",""),"E","")="",LEN(SUBSTITUTE(SUBSTITUTE(MID(UPPER($EI885),1+OR(LEFT(UPPER($EI885),1)="+",LEFT(UPPER($EI885),1)="-"),999),"E+","E"),"E-","E"))=LEN(SUBSTITUTE(SUBSTITUTE(SUBSTITUTE(SUBSTITUTE(MID(UPPER($EI885),1+OR(LEFT(UPPER($EI885),1)="+",LEFT(UPPER($EI885),1)="-"),999),"E+","E"),"E-","E"),"+",""),"-","")),LEN(UPPER($EI885))-LEN(SUBSTITUTE(UPPER($EI885),"E",""))&lt;2,LEN(UPPER($EI885))-LEN(SUBSTITUTE(UPPER($EI885),".",""))&lt;2,IFERROR(FIND(".",UPPER($EI885)),0)&lt;IFERROR(FIND("E",UPPER($EI885)),999)),ISNUMBER(VALUE($EI885)))),1,2)))</f>
        <v/>
      </c>
      <c r="EK885">
        <f>IF($DM885=0,"",IF($EJ885=1,IF(ISNUMBER($EI885),$EI885,VALUE($EI885)),IF($EJ885=2,$DE885,0)))</f>
        <v/>
      </c>
      <c r="EL885">
        <f>IF($DM885=0,"",COUNTIF($EG$5:$EG$1003,"&lt;"&amp;$EG885)+SUMPRODUCT(($EG$5:$EG$1003=$EG885)*(($EJ$5:$EJ$1003&lt;$EJ885)+($EJ$5:$EJ$1003=$EJ885)*(($EK$5:$EK$1003&lt;$EK885)+($EK$5:$EK$1003=$EK885)*($DE$5:$DE$1003&lt;$DE885))))+1)</f>
        <v/>
      </c>
      <c r="EM885">
        <f>IF($DM885=0,"",$EL885+$EG885-1)</f>
        <v/>
      </c>
      <c r="EN885">
        <f>IF($DM885=0,0,IFERROR(MATCH(1,INDEX(--(TRIM(SUBSTITUTE(SUBSTITUTE(SUBSTITUTE(SUBSTITUTE(LINES_NAME&amp;""," "," "),CHAR(9)," "),CHAR(10)," "),CHAR(13)," "))=$DH885),0),0),0))</f>
        <v/>
      </c>
      <c r="EO885">
        <f>IF($EN885=0,0,IF(OR(UPPER(TRIM(INDEX(LINES_SCHEDULED,$EN885)&amp;""))="YES",UPPER(TRIM(INDEX(LINES_SCHEDULED,$EN885)&amp;""))="Y",UPPER(TRIM(INDEX(LINES_SCHEDULED,$EN885)&amp;""))="X"),1,0))</f>
        <v/>
      </c>
      <c r="EP885">
        <f>IF($DM885=0,"",IF(COUNTIFS($EG$5:$EG$1003,$EG885,$EB$5:$EB$1003,"Ready")&gt;0,"READY",IF(COUNTIFS($EG$5:$EG$1003,$EG885,$EB$5:$EB$1003,"PM")&gt;0,"PM",IF(COUNTIFS($EG$5:$EG$1003,$EG885,$EB$5:$EB$1003,"OT")&gt;0,"OT",""))))</f>
        <v/>
      </c>
      <c r="EQ885">
        <f>IF($EN885=0,"",UPPER(TRIM(INDEX(LINES_STATUS,$EN885)&amp;"")))</f>
        <v/>
      </c>
      <c r="ER885">
        <f>IF($DM885=0,"",IF(OR($EQ885="READY",$EQ885="PM",$EQ885="OT"),$EQ885,$EP885))</f>
        <v/>
      </c>
      <c r="ES885">
        <f>IF($DM885=0,"",IF(AND($DV885&lt;&gt;"",UPPER($DV885)&lt;&gt;"N"),"allergen",IF(ISNUMBER(SEARCH("oil",$DQ885)),"oil",IF(OR(EXACT($DS885,"A662"),EXACT($DS885,"A624")),"bulk",""))))</f>
        <v/>
      </c>
      <c r="ET885">
        <f>IF($DM885=0,"",IF(OR($EA885="",$EA885=0),"",$EA885/100))</f>
        <v/>
      </c>
      <c r="EU885">
        <f>IF(OR($ET885="",$DY885=""),"",INT($DY885*(1-$ET885)+0.5))</f>
        <v/>
      </c>
    </row>
    <row r="886">
      <c r="DA886" t="n">
        <v>882</v>
      </c>
      <c r="DB886">
        <f>IF($B$37=0,"",IFERROR(TRIM(SUBSTITUTE(SUBSTITUTE(SUBSTITUTE(SUBSTITUTE(INDEX(PASTE_ALL,882,$B$37)," "," "),CHAR(9)," "),CHAR(10)," "),CHAR(13)," ")),""))</f>
        <v/>
      </c>
      <c r="DC886">
        <f>IF(AND(882&gt;HEADER_ROW,UPPER(DB886)="LEGEND"),1,0)</f>
        <v/>
      </c>
      <c r="DE886" t="n">
        <v>882</v>
      </c>
      <c r="DF886">
        <f>HEADER_ROW+$DE886</f>
        <v/>
      </c>
      <c r="DG886">
        <f>IF(AND($DF886&lt;=1000,$DF886&lt;$B$8),1,0)</f>
        <v/>
      </c>
      <c r="DH886">
        <f>IF($DG886=1,IFERROR(INDEX($DB$5:$DB$1004,$DF886),""),"")</f>
        <v/>
      </c>
      <c r="DI886">
        <f>IF(AND($DG886=1,$DH886&lt;&gt;""),IFERROR(SUBSTITUTE(SUBSTITUTE(TRIM(SUBSTITUTE(SUBSTITUTE(SUBSTITUTE(SUBSTITUTE(IFERROR(INDEX(PASTE_ALL,$DF886,1)&amp;"","")&amp;"␟"&amp;IFERROR(INDEX(PASTE_ALL,$DF886,2)&amp;"","")&amp;"␟"&amp;IFERROR(INDEX(PASTE_ALL,$DF886,3)&amp;"","")&amp;"␟"&amp;IFERROR(INDEX(PASTE_ALL,$DF886,4)&amp;"","")&amp;"␟"&amp;IFERROR(INDEX(PASTE_ALL,$DF886,5)&amp;"","")&amp;"␟"&amp;IFERROR(INDEX(PASTE_ALL,$DF886,6)&amp;"","")&amp;"␟"&amp;IFERROR(INDEX(PASTE_ALL,$DF886,7)&amp;"","")&amp;"␟"&amp;IFERROR(INDEX(PASTE_ALL,$DF886,8)&amp;"","")&amp;"␟"&amp;IFERROR(INDEX(PASTE_ALL,$DF886,9)&amp;"","")&amp;"␟"&amp;IFERROR(INDEX(PASTE_ALL,$DF886,10)&amp;"","")&amp;"␟"&amp;IFERROR(INDEX(PASTE_ALL,$DF886,11)&amp;"","")&amp;"␟"&amp;IFERROR(INDEX(PASTE_ALL,$DF886,12)&amp;"","")&amp;"␟"&amp;IFERROR(INDEX(PASTE_ALL,$DF886,13)&amp;"","")&amp;"␟"&amp;IFERROR(INDEX(PASTE_ALL,$DF886,14)&amp;"","")&amp;"␟"&amp;IFERROR(INDEX(PASTE_ALL,$DF886,15)&amp;"","")&amp;"␟"&amp;IFERROR(INDEX(PASTE_ALL,$DF886,16)&amp;"","")&amp;"␟"&amp;IFERROR(INDEX(PASTE_ALL,$DF886,17)&amp;"","")&amp;"␟"&amp;IFERROR(INDEX(PASTE_ALL,$DF886,18)&amp;"","")&amp;"␟"&amp;IFERROR(INDEX(PASTE_ALL,$DF886,19)&amp;"","")&amp;"␟"&amp;IFERROR(INDEX(PASTE_ALL,$DF886,20)&amp;"","")&amp;"␟"&amp;IFERROR(INDEX(PASTE_ALL,$DF886,21)&amp;"","")&amp;"␟"&amp;IFERROR(INDEX(PASTE_ALL,$DF886,22)&amp;"","")&amp;"␟"&amp;IFERROR(INDEX(PASTE_ALL,$DF886,23)&amp;"","")&amp;"␟"&amp;IFERROR(INDEX(PASTE_ALL,$DF886,24)&amp;"","")&amp;"␟"&amp;IFERROR(INDEX(PASTE_ALL,$DF886,25)&amp;"","")&amp;"␟"&amp;IFERROR(INDEX(PASTE_ALL,$DF886,26)&amp;"","")&amp;"␟"&amp;IFERROR(INDEX(PASTE_ALL,$DF886,27)&amp;"","")&amp;"␟"&amp;IFERROR(INDEX(PASTE_ALL,$DF886,28)&amp;"","")&amp;"␟"&amp;IFERROR(INDEX(PASTE_ALL,$DF886,29)&amp;"","")&amp;"␟"&amp;IFERROR(INDEX(PASTE_ALL,$DF886,30)&amp;"","")&amp;"␟"&amp;IFERROR(INDEX(PASTE_ALL,$DF886,31)&amp;"","")&amp;"␟"&amp;IFERROR(INDEX(PASTE_ALL,$DF886,32)&amp;"","")&amp;"␟"&amp;IFERROR(INDEX(PASTE_ALL,$DF886,33)&amp;"","")&amp;"␟"&amp;IFERROR(INDEX(PASTE_ALL,$DF886,34)&amp;"","")&amp;"␟"&amp;IFERROR(INDEX(PASTE_ALL,$DF886,35)&amp;"","")&amp;"␟"&amp;IFERROR(INDEX(PASTE_ALL,$DF886,36)&amp;"","")&amp;"␟"&amp;IFERROR(INDEX(PASTE_ALL,$DF886,37)&amp;"","")&amp;"␟"&amp;IFERROR(INDEX(PASTE_ALL,$DF886,38)&amp;"","")&amp;"␟"&amp;IFERROR(INDEX(PASTE_ALL,$DF886,39)&amp;"","")&amp;"␟"&amp;IFERROR(INDEX(PASTE_ALL,$DF886,40)&amp;"","")&amp;"␟"&amp;IFERROR(INDEX(PASTE_ALL,$DF886,41)&amp;"","")&amp;"␟"&amp;IFERROR(INDEX(PASTE_ALL,$DF886,42)&amp;"","")&amp;"␟"&amp;IFERROR(INDEX(PASTE_ALL,$DF886,43)&amp;"","")&amp;"␟"&amp;IFERROR(INDEX(PASTE_ALL,$DF886,44)&amp;"","")&amp;"␟"&amp;IFERROR(INDEX(PASTE_ALL,$DF886,45)&amp;"","")&amp;"␟"&amp;IFERROR(INDEX(PASTE_ALL,$DF886,46)&amp;"","")&amp;"␟"&amp;IFERROR(INDEX(PASTE_ALL,$DF886,47)&amp;"","")&amp;"␟"&amp;IFERROR(INDEX(PASTE_ALL,$DF886,48)&amp;"","")&amp;"␟"&amp;IFERROR(INDEX(PASTE_ALL,$DF886,49)&amp;"","")&amp;"␟"&amp;IFERROR(INDEX(PASTE_ALL,$DF886,50)&amp;"","")&amp;"␟"&amp;IFERROR(INDEX(PASTE_ALL,$DF886,51)&amp;"","")&amp;"␟"&amp;IFERROR(INDEX(PASTE_ALL,$DF886,52)&amp;"","")&amp;"␟"&amp;IFERROR(INDEX(PASTE_ALL,$DF886,53)&amp;"","")&amp;"␟"&amp;IFERROR(INDEX(PASTE_ALL,$DF886,54)&amp;"","")&amp;"␟"&amp;IFERROR(INDEX(PASTE_ALL,$DF886,55)&amp;"","")&amp;"␟"&amp;IFERROR(INDEX(PASTE_ALL,$DF886,56)&amp;"","")&amp;"␟"&amp;IFERROR(INDEX(PASTE_ALL,$DF886,57)&amp;"","")&amp;"␟"&amp;IFERROR(INDEX(PASTE_ALL,$DF886,58)&amp;"","")&amp;"␟"&amp;IFERROR(INDEX(PASTE_ALL,$DF886,59)&amp;"","")&amp;"␟"&amp;IFERROR(INDEX(PASTE_ALL,$DF886,60)&amp;"","")," "," "),CHAR(9)," "),CHAR(10)," "),CHAR(13)," "))," ␟","␟"),"␟ ","␟"),"#"&amp;$DE886),"")</f>
        <v/>
      </c>
      <c r="DJ886">
        <f>IF($DI886="",0,IF(SUMPRODUCT(--EXACT($DI$4:DI885,$DI886))&gt;0,1,0))</f>
        <v/>
      </c>
      <c r="DK886">
        <f>IF(AND($DI886&lt;&gt;"",$DJ886=0),1,0)</f>
        <v/>
      </c>
      <c r="DL886">
        <f>DL885+$DK886</f>
        <v/>
      </c>
      <c r="DM886">
        <f>IF(AND($DK886=1,$DL886&lt;=600),1,0)</f>
        <v/>
      </c>
      <c r="DN886">
        <f>IF($DM886=0,"",IF($L$6=0,"",IFERROR(IF(ISNUMBER(INDEX(PASTE_ALL,$DF886,$L$6)),INDEX(PASTE_ALL,$DF886,$L$6),TRIM(SUBSTITUTE(SUBSTITUTE(SUBSTITUTE(SUBSTITUTE(INDEX(PASTE_ALL,$DF886,$L$6)," "," "),CHAR(9)," "),CHAR(10)," "),CHAR(13)," "))),"")))</f>
        <v/>
      </c>
      <c r="DO886">
        <f>IF($DM886=0,"",IF($L$7=0,"",IFERROR(IF(ISNUMBER(INDEX(PASTE_ALL,$DF886,$L$7)),INDEX(PASTE_ALL,$DF886,$L$7),TRIM(SUBSTITUTE(SUBSTITUTE(SUBSTITUTE(SUBSTITUTE(INDEX(PASTE_ALL,$DF886,$L$7)," "," "),CHAR(9)," "),CHAR(10)," "),CHAR(13)," "))),"")))</f>
        <v/>
      </c>
      <c r="DP886">
        <f>IF($DM886=0,"",IF($L$8=0,"",IFERROR(IF(ISNUMBER(INDEX(PASTE_ALL,$DF886,$L$8)),INDEX(PASTE_ALL,$DF886,$L$8),TRIM(SUBSTITUTE(SUBSTITUTE(SUBSTITUTE(SUBSTITUTE(INDEX(PASTE_ALL,$DF886,$L$8)," "," "),CHAR(9)," "),CHAR(10)," "),CHAR(13)," "))),"")))</f>
        <v/>
      </c>
      <c r="DQ886">
        <f>IF($DM886=0,"",IF($L$9=0,"",IFERROR(IF(ISNUMBER(INDEX(PASTE_ALL,$DF886,$L$9)),INDEX(PASTE_ALL,$DF886,$L$9),TRIM(SUBSTITUTE(SUBSTITUTE(SUBSTITUTE(SUBSTITUTE(INDEX(PASTE_ALL,$DF886,$L$9)," "," "),CHAR(9)," "),CHAR(10)," "),CHAR(13)," "))),"")))</f>
        <v/>
      </c>
      <c r="DR886">
        <f>IF($DM886=0,"",IF($L$10=0,"",IFERROR(IF(ISNUMBER(INDEX(PASTE_ALL,$DF886,$L$10)),INDEX(PASTE_ALL,$DF886,$L$10),TRIM(SUBSTITUTE(SUBSTITUTE(SUBSTITUTE(SUBSTITUTE(INDEX(PASTE_ALL,$DF886,$L$10)," "," "),CHAR(9)," "),CHAR(10)," "),CHAR(13)," "))),"")))</f>
        <v/>
      </c>
      <c r="DS886">
        <f>IF($DM886=0,"",IF($L$11=0,"",IFERROR(IF(ISNUMBER(INDEX(PASTE_ALL,$DF886,$L$11)),INDEX(PASTE_ALL,$DF886,$L$11),TRIM(SUBSTITUTE(SUBSTITUTE(SUBSTITUTE(SUBSTITUTE(INDEX(PASTE_ALL,$DF886,$L$11)," "," "),CHAR(9)," "),CHAR(10)," "),CHAR(13)," "))),"")))</f>
        <v/>
      </c>
      <c r="DT886">
        <f>IF($DM886=0,"",IF($L$12=0,"",IFERROR(IF(ISNUMBER(INDEX(PASTE_ALL,$DF886,$L$12)),INDEX(PASTE_ALL,$DF886,$L$12),TRIM(SUBSTITUTE(SUBSTITUTE(SUBSTITUTE(SUBSTITUTE(INDEX(PASTE_ALL,$DF886,$L$12)," "," "),CHAR(9)," "),CHAR(10)," "),CHAR(13)," "))),"")))</f>
        <v/>
      </c>
      <c r="DU886">
        <f>IF($DM886=0,"",IF($L$13=0,"",IFERROR(IF(ISNUMBER(INDEX(PASTE_ALL,$DF886,$L$13)),INDEX(PASTE_ALL,$DF886,$L$13),TRIM(SUBSTITUTE(SUBSTITUTE(SUBSTITUTE(SUBSTITUTE(INDEX(PASTE_ALL,$DF886,$L$13)," "," "),CHAR(9)," "),CHAR(10)," "),CHAR(13)," "))),"")))</f>
        <v/>
      </c>
      <c r="DV886">
        <f>IF($DM886=0,"",IF($L$14=0,"",IFERROR(IF(ISNUMBER(INDEX(PASTE_ALL,$DF886,$L$14)),INDEX(PASTE_ALL,$DF886,$L$14),TRIM(SUBSTITUTE(SUBSTITUTE(SUBSTITUTE(SUBSTITUTE(INDEX(PASTE_ALL,$DF886,$L$14)," "," "),CHAR(9)," "),CHAR(10)," "),CHAR(13)," "))),"")))</f>
        <v/>
      </c>
      <c r="DW886">
        <f>IF($DM886=0,"",IF($L$15=0,"",IFERROR(IF(ISNUMBER(INDEX(PASTE_ALL,$DF886,$L$15)),INDEX(PASTE_ALL,$DF886,$L$15),IF(SUMPRODUCT(--ISNUMBER(FIND({"A","B","C","D","E","F","G","H","I","J","K","L","M","N","O","P","Q","R","S","T","U","V","W","X","Y","Z","0","1","2","3","4","5","6","7","8","9"},UPPER(TRIM(SUBSTITUTE(SUBSTITUTE(SUBSTITUTE(SUBSTITUTE(INDEX(PASTE_ALL,$DF886,$L$15)," "," "),CHAR(9)," "),CHAR(10)," "),CHAR(13)," "))))))&gt;0,TRIM(SUBSTITUTE(SUBSTITUTE(SUBSTITUTE(SUBSTITUTE(INDEX(PASTE_ALL,$DF886,$L$15)," "," "),CHAR(9)," "),CHAR(10)," "),CHAR(13)," ")),"")),"")))</f>
        <v/>
      </c>
      <c r="DX886">
        <f>IF($DM886=0,"",IF($L$16=0,"",IFERROR(IF(ISNUMBER(INDEX(PASTE_ALL,$DF886,$L$16)),INDEX(PASTE_ALL,$DF886,$L$16),SUBSTITUTE(SUBSTITUTE(TRIM(SUBSTITUTE(SUBSTITUTE(SUBSTITUTE(SUBSTITUTE(INDEX(PASTE_ALL,$DF886,$L$16)," "," "),CHAR(9)," "),CHAR(10)," "),CHAR(13)," ")),",",""),"%","")),"")))</f>
        <v/>
      </c>
      <c r="DY886">
        <f>IF($DM886=0,"",IFERROR(IF(ISNUMBER($DX886),$DX886,IF($DX886="","",IF(TRIM($DX886)="",0,IF(AND(AND(SUBSTITUTE(SUBSTITUTE(SUBSTITUTE(SUBSTITUTE(SUBSTITUTE(SUBSTITUTE(SUBSTITUTE(SUBSTITUTE(SUBSTITUTE(SUBSTITUTE(SUBSTITUTE(SUBSTITUTE(SUBSTITUTE(SUBSTITUTE(UPPER(TRIM($DX886)),"0",""),"1",""),"2",""),"3",""),"4",""),"5",""),"6",""),"7",""),"8",""),"9",""),".",""),"+",""),"-",""),"E","")="",LEN(SUBSTITUTE(SUBSTITUTE(MID(UPPER(TRIM($DX886)),1+OR(LEFT(UPPER(TRIM($DX886)),1)="+",LEFT(UPPER(TRIM($DX886)),1)="-"),999),"E+","E"),"E-","E"))=LEN(SUBSTITUTE(SUBSTITUTE(SUBSTITUTE(SUBSTITUTE(MID(UPPER(TRIM($DX886)),1+OR(LEFT(UPPER(TRIM($DX886)),1)="+",LEFT(UPPER(TRIM($DX886)),1)="-"),999),"E+","E"),"E-","E"),"+",""),"-","")),LEN(UPPER(TRIM($DX886)))-LEN(SUBSTITUTE(UPPER(TRIM($DX886)),"E",""))&lt;2,LEN(UPPER(TRIM($DX886)))-LEN(SUBSTITUTE(UPPER(TRIM($DX886)),".",""))&lt;2,IFERROR(FIND(".",UPPER(TRIM($DX886))),0)&lt;IFERROR(FIND("E",UPPER(TRIM($DX886))),999)),ISNUMBER(VALUE(TRIM($DX886)))),VALUE(TRIM($DX886)),"")))),""))</f>
        <v/>
      </c>
      <c r="DZ886">
        <f>IF($DM886=0,"",IF($L$17=0,"",IFERROR(IF(ISNUMBER(INDEX(PASTE_ALL,$DF886,$L$17)),INDEX(PASTE_ALL,$DF886,$L$17),SUBSTITUTE(SUBSTITUTE(TRIM(SUBSTITUTE(SUBSTITUTE(SUBSTITUTE(SUBSTITUTE(INDEX(PASTE_ALL,$DF886,$L$17)," "," "),CHAR(9)," "),CHAR(10)," "),CHAR(13)," ")),",",""),"%","")),"")))</f>
        <v/>
      </c>
      <c r="EA886">
        <f>IF($DM886=0,"",IFERROR(IF(ISNUMBER($DZ886),$DZ886,IF($DZ886="","",IF(TRIM($DZ886)="",0,IF(AND(AND(SUBSTITUTE(SUBSTITUTE(SUBSTITUTE(SUBSTITUTE(SUBSTITUTE(SUBSTITUTE(SUBSTITUTE(SUBSTITUTE(SUBSTITUTE(SUBSTITUTE(SUBSTITUTE(SUBSTITUTE(SUBSTITUTE(SUBSTITUTE(UPPER(TRIM($DZ886)),"0",""),"1",""),"2",""),"3",""),"4",""),"5",""),"6",""),"7",""),"8",""),"9",""),".",""),"+",""),"-",""),"E","")="",LEN(SUBSTITUTE(SUBSTITUTE(MID(UPPER(TRIM($DZ886)),1+OR(LEFT(UPPER(TRIM($DZ886)),1)="+",LEFT(UPPER(TRIM($DZ886)),1)="-"),999),"E+","E"),"E-","E"))=LEN(SUBSTITUTE(SUBSTITUTE(SUBSTITUTE(SUBSTITUTE(MID(UPPER(TRIM($DZ886)),1+OR(LEFT(UPPER(TRIM($DZ886)),1)="+",LEFT(UPPER(TRIM($DZ886)),1)="-"),999),"E+","E"),"E-","E"),"+",""),"-","")),LEN(UPPER(TRIM($DZ886)))-LEN(SUBSTITUTE(UPPER(TRIM($DZ886)),"E",""))&lt;2,LEN(UPPER(TRIM($DZ886)))-LEN(SUBSTITUTE(UPPER(TRIM($DZ886)),".",""))&lt;2,IFERROR(FIND(".",UPPER(TRIM($DZ886))),0)&lt;IFERROR(FIND("E",UPPER(TRIM($DZ886))),999)),ISNUMBER(VALUE(TRIM($DZ886)))),VALUE(TRIM($DZ886)),"")))),""))</f>
        <v/>
      </c>
      <c r="EB886">
        <f>IF($DM886=0,"",IF($L$18=0,"",IFERROR(IF(UPPER(TRIM(SUBSTITUTE(SUBSTITUTE(SUBSTITUTE(SUBSTITUTE(INDEX(PASTE_ALL,$DF886,$L$18)," "," "),CHAR(9)," "),CHAR(10)," "),CHAR(13)," ")))="READY","Ready",IF(UPPER(TRIM(SUBSTITUTE(SUBSTITUTE(SUBSTITUTE(SUBSTITUTE(INDEX(PASTE_ALL,$DF886,$L$18)," "," "),CHAR(9)," "),CHAR(10)," "),CHAR(13)," ")))="PM","PM",IF(OR(UPPER(TRIM(SUBSTITUTE(SUBSTITUTE(SUBSTITUTE(SUBSTITUTE(INDEX(PASTE_ALL,$DF886,$L$18)," "," "),CHAR(9)," "),CHAR(10)," "),CHAR(13)," ")))="OT",UPPER(TRIM(SUBSTITUTE(SUBSTITUTE(SUBSTITUTE(SUBSTITUTE(INDEX(PASTE_ALL,$DF886,$L$18)," "," "),CHAR(9)," "),CHAR(10)," "),CHAR(13)," ")))="OVERTIME",UPPER(TRIM(SUBSTITUTE(SUBSTITUTE(SUBSTITUTE(SUBSTITUTE(INDEX(PASTE_ALL,$DF886,$L$18)," "," "),CHAR(9)," "),CHAR(10)," "),CHAR(13)," ")))="TRIAL"),"OT",TRIM(SUBSTITUTE(SUBSTITUTE(SUBSTITUTE(SUBSTITUTE(INDEX(PASTE_ALL,$DF886,$L$18)," "," "),CHAR(9)," "),CHAR(10)," "),CHAR(13)," "))))),"")))</f>
        <v/>
      </c>
      <c r="EC886">
        <f>IF($DM886=0,"",IF($L$19=0,"",IFERROR(IF(ISNUMBER(INDEX(PASTE_ALL,$DF886,$L$19)),INDEX(PASTE_ALL,$DF886,$L$19),TRIM(SUBSTITUTE(SUBSTITUTE(SUBSTITUTE(SUBSTITUTE(INDEX(PASTE_ALL,$DF886,$L$19)," "," "),CHAR(9)," "),CHAR(10)," "),CHAR(13)," "))),"")))</f>
        <v/>
      </c>
      <c r="ED886">
        <f>IF($DM886=0,"",MATCH(1,INDEX(EXACT($DH$5:DH886,$DH886)*$DM$5:DM886,0),0))</f>
        <v/>
      </c>
      <c r="EE886">
        <f>IF($DM886=0,0,IF($ED886=$DE886,1,0))</f>
        <v/>
      </c>
      <c r="EF886">
        <f>EF885+$EE886</f>
        <v/>
      </c>
      <c r="EG886">
        <f>IF($DM886=0,"",INDEX($EF$5:$EF$1003,$ED886))</f>
        <v/>
      </c>
      <c r="EH886">
        <f>IF($DM886=0,"",IF($DO886&lt;&gt;"","",IFERROR(LOOKUP(2,1/(($EG$4:EG885=$EG886)*($DO$4:DO885&lt;&gt;"")),$DO$4:DO885),"")))</f>
        <v/>
      </c>
      <c r="EI886">
        <f>IF($DM886=0,"",IF($DO886&lt;&gt;"",$DO886,$EH886))</f>
        <v/>
      </c>
      <c r="EJ886">
        <f>IF($DM886=0,"",IF($EI886="",0,IF(OR(ISNUMBER($EI886),AND(AND(SUBSTITUTE(SUBSTITUTE(SUBSTITUTE(SUBSTITUTE(SUBSTITUTE(SUBSTITUTE(SUBSTITUTE(SUBSTITUTE(SUBSTITUTE(SUBSTITUTE(SUBSTITUTE(SUBSTITUTE(SUBSTITUTE(SUBSTITUTE(UPPER($EI886),"0",""),"1",""),"2",""),"3",""),"4",""),"5",""),"6",""),"7",""),"8",""),"9",""),".",""),"+",""),"-",""),"E","")="",LEN(SUBSTITUTE(SUBSTITUTE(MID(UPPER($EI886),1+OR(LEFT(UPPER($EI886),1)="+",LEFT(UPPER($EI886),1)="-"),999),"E+","E"),"E-","E"))=LEN(SUBSTITUTE(SUBSTITUTE(SUBSTITUTE(SUBSTITUTE(MID(UPPER($EI886),1+OR(LEFT(UPPER($EI886),1)="+",LEFT(UPPER($EI886),1)="-"),999),"E+","E"),"E-","E"),"+",""),"-","")),LEN(UPPER($EI886))-LEN(SUBSTITUTE(UPPER($EI886),"E",""))&lt;2,LEN(UPPER($EI886))-LEN(SUBSTITUTE(UPPER($EI886),".",""))&lt;2,IFERROR(FIND(".",UPPER($EI886)),0)&lt;IFERROR(FIND("E",UPPER($EI886)),999)),ISNUMBER(VALUE($EI886)))),1,2)))</f>
        <v/>
      </c>
      <c r="EK886">
        <f>IF($DM886=0,"",IF($EJ886=1,IF(ISNUMBER($EI886),$EI886,VALUE($EI886)),IF($EJ886=2,$DE886,0)))</f>
        <v/>
      </c>
      <c r="EL886">
        <f>IF($DM886=0,"",COUNTIF($EG$5:$EG$1003,"&lt;"&amp;$EG886)+SUMPRODUCT(($EG$5:$EG$1003=$EG886)*(($EJ$5:$EJ$1003&lt;$EJ886)+($EJ$5:$EJ$1003=$EJ886)*(($EK$5:$EK$1003&lt;$EK886)+($EK$5:$EK$1003=$EK886)*($DE$5:$DE$1003&lt;$DE886))))+1)</f>
        <v/>
      </c>
      <c r="EM886">
        <f>IF($DM886=0,"",$EL886+$EG886-1)</f>
        <v/>
      </c>
      <c r="EN886">
        <f>IF($DM886=0,0,IFERROR(MATCH(1,INDEX(--(TRIM(SUBSTITUTE(SUBSTITUTE(SUBSTITUTE(SUBSTITUTE(LINES_NAME&amp;""," "," "),CHAR(9)," "),CHAR(10)," "),CHAR(13)," "))=$DH886),0),0),0))</f>
        <v/>
      </c>
      <c r="EO886">
        <f>IF($EN886=0,0,IF(OR(UPPER(TRIM(INDEX(LINES_SCHEDULED,$EN886)&amp;""))="YES",UPPER(TRIM(INDEX(LINES_SCHEDULED,$EN886)&amp;""))="Y",UPPER(TRIM(INDEX(LINES_SCHEDULED,$EN886)&amp;""))="X"),1,0))</f>
        <v/>
      </c>
      <c r="EP886">
        <f>IF($DM886=0,"",IF(COUNTIFS($EG$5:$EG$1003,$EG886,$EB$5:$EB$1003,"Ready")&gt;0,"READY",IF(COUNTIFS($EG$5:$EG$1003,$EG886,$EB$5:$EB$1003,"PM")&gt;0,"PM",IF(COUNTIFS($EG$5:$EG$1003,$EG886,$EB$5:$EB$1003,"OT")&gt;0,"OT",""))))</f>
        <v/>
      </c>
      <c r="EQ886">
        <f>IF($EN886=0,"",UPPER(TRIM(INDEX(LINES_STATUS,$EN886)&amp;"")))</f>
        <v/>
      </c>
      <c r="ER886">
        <f>IF($DM886=0,"",IF(OR($EQ886="READY",$EQ886="PM",$EQ886="OT"),$EQ886,$EP886))</f>
        <v/>
      </c>
      <c r="ES886">
        <f>IF($DM886=0,"",IF(AND($DV886&lt;&gt;"",UPPER($DV886)&lt;&gt;"N"),"allergen",IF(ISNUMBER(SEARCH("oil",$DQ886)),"oil",IF(OR(EXACT($DS886,"A662"),EXACT($DS886,"A624")),"bulk",""))))</f>
        <v/>
      </c>
      <c r="ET886">
        <f>IF($DM886=0,"",IF(OR($EA886="",$EA886=0),"",$EA886/100))</f>
        <v/>
      </c>
      <c r="EU886">
        <f>IF(OR($ET886="",$DY886=""),"",INT($DY886*(1-$ET886)+0.5))</f>
        <v/>
      </c>
    </row>
    <row r="887">
      <c r="DA887" t="n">
        <v>883</v>
      </c>
      <c r="DB887">
        <f>IF($B$37=0,"",IFERROR(TRIM(SUBSTITUTE(SUBSTITUTE(SUBSTITUTE(SUBSTITUTE(INDEX(PASTE_ALL,883,$B$37)," "," "),CHAR(9)," "),CHAR(10)," "),CHAR(13)," ")),""))</f>
        <v/>
      </c>
      <c r="DC887">
        <f>IF(AND(883&gt;HEADER_ROW,UPPER(DB887)="LEGEND"),1,0)</f>
        <v/>
      </c>
      <c r="DE887" t="n">
        <v>883</v>
      </c>
      <c r="DF887">
        <f>HEADER_ROW+$DE887</f>
        <v/>
      </c>
      <c r="DG887">
        <f>IF(AND($DF887&lt;=1000,$DF887&lt;$B$8),1,0)</f>
        <v/>
      </c>
      <c r="DH887">
        <f>IF($DG887=1,IFERROR(INDEX($DB$5:$DB$1004,$DF887),""),"")</f>
        <v/>
      </c>
      <c r="DI887">
        <f>IF(AND($DG887=1,$DH887&lt;&gt;""),IFERROR(SUBSTITUTE(SUBSTITUTE(TRIM(SUBSTITUTE(SUBSTITUTE(SUBSTITUTE(SUBSTITUTE(IFERROR(INDEX(PASTE_ALL,$DF887,1)&amp;"","")&amp;"␟"&amp;IFERROR(INDEX(PASTE_ALL,$DF887,2)&amp;"","")&amp;"␟"&amp;IFERROR(INDEX(PASTE_ALL,$DF887,3)&amp;"","")&amp;"␟"&amp;IFERROR(INDEX(PASTE_ALL,$DF887,4)&amp;"","")&amp;"␟"&amp;IFERROR(INDEX(PASTE_ALL,$DF887,5)&amp;"","")&amp;"␟"&amp;IFERROR(INDEX(PASTE_ALL,$DF887,6)&amp;"","")&amp;"␟"&amp;IFERROR(INDEX(PASTE_ALL,$DF887,7)&amp;"","")&amp;"␟"&amp;IFERROR(INDEX(PASTE_ALL,$DF887,8)&amp;"","")&amp;"␟"&amp;IFERROR(INDEX(PASTE_ALL,$DF887,9)&amp;"","")&amp;"␟"&amp;IFERROR(INDEX(PASTE_ALL,$DF887,10)&amp;"","")&amp;"␟"&amp;IFERROR(INDEX(PASTE_ALL,$DF887,11)&amp;"","")&amp;"␟"&amp;IFERROR(INDEX(PASTE_ALL,$DF887,12)&amp;"","")&amp;"␟"&amp;IFERROR(INDEX(PASTE_ALL,$DF887,13)&amp;"","")&amp;"␟"&amp;IFERROR(INDEX(PASTE_ALL,$DF887,14)&amp;"","")&amp;"␟"&amp;IFERROR(INDEX(PASTE_ALL,$DF887,15)&amp;"","")&amp;"␟"&amp;IFERROR(INDEX(PASTE_ALL,$DF887,16)&amp;"","")&amp;"␟"&amp;IFERROR(INDEX(PASTE_ALL,$DF887,17)&amp;"","")&amp;"␟"&amp;IFERROR(INDEX(PASTE_ALL,$DF887,18)&amp;"","")&amp;"␟"&amp;IFERROR(INDEX(PASTE_ALL,$DF887,19)&amp;"","")&amp;"␟"&amp;IFERROR(INDEX(PASTE_ALL,$DF887,20)&amp;"","")&amp;"␟"&amp;IFERROR(INDEX(PASTE_ALL,$DF887,21)&amp;"","")&amp;"␟"&amp;IFERROR(INDEX(PASTE_ALL,$DF887,22)&amp;"","")&amp;"␟"&amp;IFERROR(INDEX(PASTE_ALL,$DF887,23)&amp;"","")&amp;"␟"&amp;IFERROR(INDEX(PASTE_ALL,$DF887,24)&amp;"","")&amp;"␟"&amp;IFERROR(INDEX(PASTE_ALL,$DF887,25)&amp;"","")&amp;"␟"&amp;IFERROR(INDEX(PASTE_ALL,$DF887,26)&amp;"","")&amp;"␟"&amp;IFERROR(INDEX(PASTE_ALL,$DF887,27)&amp;"","")&amp;"␟"&amp;IFERROR(INDEX(PASTE_ALL,$DF887,28)&amp;"","")&amp;"␟"&amp;IFERROR(INDEX(PASTE_ALL,$DF887,29)&amp;"","")&amp;"␟"&amp;IFERROR(INDEX(PASTE_ALL,$DF887,30)&amp;"","")&amp;"␟"&amp;IFERROR(INDEX(PASTE_ALL,$DF887,31)&amp;"","")&amp;"␟"&amp;IFERROR(INDEX(PASTE_ALL,$DF887,32)&amp;"","")&amp;"␟"&amp;IFERROR(INDEX(PASTE_ALL,$DF887,33)&amp;"","")&amp;"␟"&amp;IFERROR(INDEX(PASTE_ALL,$DF887,34)&amp;"","")&amp;"␟"&amp;IFERROR(INDEX(PASTE_ALL,$DF887,35)&amp;"","")&amp;"␟"&amp;IFERROR(INDEX(PASTE_ALL,$DF887,36)&amp;"","")&amp;"␟"&amp;IFERROR(INDEX(PASTE_ALL,$DF887,37)&amp;"","")&amp;"␟"&amp;IFERROR(INDEX(PASTE_ALL,$DF887,38)&amp;"","")&amp;"␟"&amp;IFERROR(INDEX(PASTE_ALL,$DF887,39)&amp;"","")&amp;"␟"&amp;IFERROR(INDEX(PASTE_ALL,$DF887,40)&amp;"","")&amp;"␟"&amp;IFERROR(INDEX(PASTE_ALL,$DF887,41)&amp;"","")&amp;"␟"&amp;IFERROR(INDEX(PASTE_ALL,$DF887,42)&amp;"","")&amp;"␟"&amp;IFERROR(INDEX(PASTE_ALL,$DF887,43)&amp;"","")&amp;"␟"&amp;IFERROR(INDEX(PASTE_ALL,$DF887,44)&amp;"","")&amp;"␟"&amp;IFERROR(INDEX(PASTE_ALL,$DF887,45)&amp;"","")&amp;"␟"&amp;IFERROR(INDEX(PASTE_ALL,$DF887,46)&amp;"","")&amp;"␟"&amp;IFERROR(INDEX(PASTE_ALL,$DF887,47)&amp;"","")&amp;"␟"&amp;IFERROR(INDEX(PASTE_ALL,$DF887,48)&amp;"","")&amp;"␟"&amp;IFERROR(INDEX(PASTE_ALL,$DF887,49)&amp;"","")&amp;"␟"&amp;IFERROR(INDEX(PASTE_ALL,$DF887,50)&amp;"","")&amp;"␟"&amp;IFERROR(INDEX(PASTE_ALL,$DF887,51)&amp;"","")&amp;"␟"&amp;IFERROR(INDEX(PASTE_ALL,$DF887,52)&amp;"","")&amp;"␟"&amp;IFERROR(INDEX(PASTE_ALL,$DF887,53)&amp;"","")&amp;"␟"&amp;IFERROR(INDEX(PASTE_ALL,$DF887,54)&amp;"","")&amp;"␟"&amp;IFERROR(INDEX(PASTE_ALL,$DF887,55)&amp;"","")&amp;"␟"&amp;IFERROR(INDEX(PASTE_ALL,$DF887,56)&amp;"","")&amp;"␟"&amp;IFERROR(INDEX(PASTE_ALL,$DF887,57)&amp;"","")&amp;"␟"&amp;IFERROR(INDEX(PASTE_ALL,$DF887,58)&amp;"","")&amp;"␟"&amp;IFERROR(INDEX(PASTE_ALL,$DF887,59)&amp;"","")&amp;"␟"&amp;IFERROR(INDEX(PASTE_ALL,$DF887,60)&amp;"","")," "," "),CHAR(9)," "),CHAR(10)," "),CHAR(13)," "))," ␟","␟"),"␟ ","␟"),"#"&amp;$DE887),"")</f>
        <v/>
      </c>
      <c r="DJ887">
        <f>IF($DI887="",0,IF(SUMPRODUCT(--EXACT($DI$4:DI886,$DI887))&gt;0,1,0))</f>
        <v/>
      </c>
      <c r="DK887">
        <f>IF(AND($DI887&lt;&gt;"",$DJ887=0),1,0)</f>
        <v/>
      </c>
      <c r="DL887">
        <f>DL886+$DK887</f>
        <v/>
      </c>
      <c r="DM887">
        <f>IF(AND($DK887=1,$DL887&lt;=600),1,0)</f>
        <v/>
      </c>
      <c r="DN887">
        <f>IF($DM887=0,"",IF($L$6=0,"",IFERROR(IF(ISNUMBER(INDEX(PASTE_ALL,$DF887,$L$6)),INDEX(PASTE_ALL,$DF887,$L$6),TRIM(SUBSTITUTE(SUBSTITUTE(SUBSTITUTE(SUBSTITUTE(INDEX(PASTE_ALL,$DF887,$L$6)," "," "),CHAR(9)," "),CHAR(10)," "),CHAR(13)," "))),"")))</f>
        <v/>
      </c>
      <c r="DO887">
        <f>IF($DM887=0,"",IF($L$7=0,"",IFERROR(IF(ISNUMBER(INDEX(PASTE_ALL,$DF887,$L$7)),INDEX(PASTE_ALL,$DF887,$L$7),TRIM(SUBSTITUTE(SUBSTITUTE(SUBSTITUTE(SUBSTITUTE(INDEX(PASTE_ALL,$DF887,$L$7)," "," "),CHAR(9)," "),CHAR(10)," "),CHAR(13)," "))),"")))</f>
        <v/>
      </c>
      <c r="DP887">
        <f>IF($DM887=0,"",IF($L$8=0,"",IFERROR(IF(ISNUMBER(INDEX(PASTE_ALL,$DF887,$L$8)),INDEX(PASTE_ALL,$DF887,$L$8),TRIM(SUBSTITUTE(SUBSTITUTE(SUBSTITUTE(SUBSTITUTE(INDEX(PASTE_ALL,$DF887,$L$8)," "," "),CHAR(9)," "),CHAR(10)," "),CHAR(13)," "))),"")))</f>
        <v/>
      </c>
      <c r="DQ887">
        <f>IF($DM887=0,"",IF($L$9=0,"",IFERROR(IF(ISNUMBER(INDEX(PASTE_ALL,$DF887,$L$9)),INDEX(PASTE_ALL,$DF887,$L$9),TRIM(SUBSTITUTE(SUBSTITUTE(SUBSTITUTE(SUBSTITUTE(INDEX(PASTE_ALL,$DF887,$L$9)," "," "),CHAR(9)," "),CHAR(10)," "),CHAR(13)," "))),"")))</f>
        <v/>
      </c>
      <c r="DR887">
        <f>IF($DM887=0,"",IF($L$10=0,"",IFERROR(IF(ISNUMBER(INDEX(PASTE_ALL,$DF887,$L$10)),INDEX(PASTE_ALL,$DF887,$L$10),TRIM(SUBSTITUTE(SUBSTITUTE(SUBSTITUTE(SUBSTITUTE(INDEX(PASTE_ALL,$DF887,$L$10)," "," "),CHAR(9)," "),CHAR(10)," "),CHAR(13)," "))),"")))</f>
        <v/>
      </c>
      <c r="DS887">
        <f>IF($DM887=0,"",IF($L$11=0,"",IFERROR(IF(ISNUMBER(INDEX(PASTE_ALL,$DF887,$L$11)),INDEX(PASTE_ALL,$DF887,$L$11),TRIM(SUBSTITUTE(SUBSTITUTE(SUBSTITUTE(SUBSTITUTE(INDEX(PASTE_ALL,$DF887,$L$11)," "," "),CHAR(9)," "),CHAR(10)," "),CHAR(13)," "))),"")))</f>
        <v/>
      </c>
      <c r="DT887">
        <f>IF($DM887=0,"",IF($L$12=0,"",IFERROR(IF(ISNUMBER(INDEX(PASTE_ALL,$DF887,$L$12)),INDEX(PASTE_ALL,$DF887,$L$12),TRIM(SUBSTITUTE(SUBSTITUTE(SUBSTITUTE(SUBSTITUTE(INDEX(PASTE_ALL,$DF887,$L$12)," "," "),CHAR(9)," "),CHAR(10)," "),CHAR(13)," "))),"")))</f>
        <v/>
      </c>
      <c r="DU887">
        <f>IF($DM887=0,"",IF($L$13=0,"",IFERROR(IF(ISNUMBER(INDEX(PASTE_ALL,$DF887,$L$13)),INDEX(PASTE_ALL,$DF887,$L$13),TRIM(SUBSTITUTE(SUBSTITUTE(SUBSTITUTE(SUBSTITUTE(INDEX(PASTE_ALL,$DF887,$L$13)," "," "),CHAR(9)," "),CHAR(10)," "),CHAR(13)," "))),"")))</f>
        <v/>
      </c>
      <c r="DV887">
        <f>IF($DM887=0,"",IF($L$14=0,"",IFERROR(IF(ISNUMBER(INDEX(PASTE_ALL,$DF887,$L$14)),INDEX(PASTE_ALL,$DF887,$L$14),TRIM(SUBSTITUTE(SUBSTITUTE(SUBSTITUTE(SUBSTITUTE(INDEX(PASTE_ALL,$DF887,$L$14)," "," "),CHAR(9)," "),CHAR(10)," "),CHAR(13)," "))),"")))</f>
        <v/>
      </c>
      <c r="DW887">
        <f>IF($DM887=0,"",IF($L$15=0,"",IFERROR(IF(ISNUMBER(INDEX(PASTE_ALL,$DF887,$L$15)),INDEX(PASTE_ALL,$DF887,$L$15),IF(SUMPRODUCT(--ISNUMBER(FIND({"A","B","C","D","E","F","G","H","I","J","K","L","M","N","O","P","Q","R","S","T","U","V","W","X","Y","Z","0","1","2","3","4","5","6","7","8","9"},UPPER(TRIM(SUBSTITUTE(SUBSTITUTE(SUBSTITUTE(SUBSTITUTE(INDEX(PASTE_ALL,$DF887,$L$15)," "," "),CHAR(9)," "),CHAR(10)," "),CHAR(13)," "))))))&gt;0,TRIM(SUBSTITUTE(SUBSTITUTE(SUBSTITUTE(SUBSTITUTE(INDEX(PASTE_ALL,$DF887,$L$15)," "," "),CHAR(9)," "),CHAR(10)," "),CHAR(13)," ")),"")),"")))</f>
        <v/>
      </c>
      <c r="DX887">
        <f>IF($DM887=0,"",IF($L$16=0,"",IFERROR(IF(ISNUMBER(INDEX(PASTE_ALL,$DF887,$L$16)),INDEX(PASTE_ALL,$DF887,$L$16),SUBSTITUTE(SUBSTITUTE(TRIM(SUBSTITUTE(SUBSTITUTE(SUBSTITUTE(SUBSTITUTE(INDEX(PASTE_ALL,$DF887,$L$16)," "," "),CHAR(9)," "),CHAR(10)," "),CHAR(13)," ")),",",""),"%","")),"")))</f>
        <v/>
      </c>
      <c r="DY887">
        <f>IF($DM887=0,"",IFERROR(IF(ISNUMBER($DX887),$DX887,IF($DX887="","",IF(TRIM($DX887)="",0,IF(AND(AND(SUBSTITUTE(SUBSTITUTE(SUBSTITUTE(SUBSTITUTE(SUBSTITUTE(SUBSTITUTE(SUBSTITUTE(SUBSTITUTE(SUBSTITUTE(SUBSTITUTE(SUBSTITUTE(SUBSTITUTE(SUBSTITUTE(SUBSTITUTE(UPPER(TRIM($DX887)),"0",""),"1",""),"2",""),"3",""),"4",""),"5",""),"6",""),"7",""),"8",""),"9",""),".",""),"+",""),"-",""),"E","")="",LEN(SUBSTITUTE(SUBSTITUTE(MID(UPPER(TRIM($DX887)),1+OR(LEFT(UPPER(TRIM($DX887)),1)="+",LEFT(UPPER(TRIM($DX887)),1)="-"),999),"E+","E"),"E-","E"))=LEN(SUBSTITUTE(SUBSTITUTE(SUBSTITUTE(SUBSTITUTE(MID(UPPER(TRIM($DX887)),1+OR(LEFT(UPPER(TRIM($DX887)),1)="+",LEFT(UPPER(TRIM($DX887)),1)="-"),999),"E+","E"),"E-","E"),"+",""),"-","")),LEN(UPPER(TRIM($DX887)))-LEN(SUBSTITUTE(UPPER(TRIM($DX887)),"E",""))&lt;2,LEN(UPPER(TRIM($DX887)))-LEN(SUBSTITUTE(UPPER(TRIM($DX887)),".",""))&lt;2,IFERROR(FIND(".",UPPER(TRIM($DX887))),0)&lt;IFERROR(FIND("E",UPPER(TRIM($DX887))),999)),ISNUMBER(VALUE(TRIM($DX887)))),VALUE(TRIM($DX887)),"")))),""))</f>
        <v/>
      </c>
      <c r="DZ887">
        <f>IF($DM887=0,"",IF($L$17=0,"",IFERROR(IF(ISNUMBER(INDEX(PASTE_ALL,$DF887,$L$17)),INDEX(PASTE_ALL,$DF887,$L$17),SUBSTITUTE(SUBSTITUTE(TRIM(SUBSTITUTE(SUBSTITUTE(SUBSTITUTE(SUBSTITUTE(INDEX(PASTE_ALL,$DF887,$L$17)," "," "),CHAR(9)," "),CHAR(10)," "),CHAR(13)," ")),",",""),"%","")),"")))</f>
        <v/>
      </c>
      <c r="EA887">
        <f>IF($DM887=0,"",IFERROR(IF(ISNUMBER($DZ887),$DZ887,IF($DZ887="","",IF(TRIM($DZ887)="",0,IF(AND(AND(SUBSTITUTE(SUBSTITUTE(SUBSTITUTE(SUBSTITUTE(SUBSTITUTE(SUBSTITUTE(SUBSTITUTE(SUBSTITUTE(SUBSTITUTE(SUBSTITUTE(SUBSTITUTE(SUBSTITUTE(SUBSTITUTE(SUBSTITUTE(UPPER(TRIM($DZ887)),"0",""),"1",""),"2",""),"3",""),"4",""),"5",""),"6",""),"7",""),"8",""),"9",""),".",""),"+",""),"-",""),"E","")="",LEN(SUBSTITUTE(SUBSTITUTE(MID(UPPER(TRIM($DZ887)),1+OR(LEFT(UPPER(TRIM($DZ887)),1)="+",LEFT(UPPER(TRIM($DZ887)),1)="-"),999),"E+","E"),"E-","E"))=LEN(SUBSTITUTE(SUBSTITUTE(SUBSTITUTE(SUBSTITUTE(MID(UPPER(TRIM($DZ887)),1+OR(LEFT(UPPER(TRIM($DZ887)),1)="+",LEFT(UPPER(TRIM($DZ887)),1)="-"),999),"E+","E"),"E-","E"),"+",""),"-","")),LEN(UPPER(TRIM($DZ887)))-LEN(SUBSTITUTE(UPPER(TRIM($DZ887)),"E",""))&lt;2,LEN(UPPER(TRIM($DZ887)))-LEN(SUBSTITUTE(UPPER(TRIM($DZ887)),".",""))&lt;2,IFERROR(FIND(".",UPPER(TRIM($DZ887))),0)&lt;IFERROR(FIND("E",UPPER(TRIM($DZ887))),999)),ISNUMBER(VALUE(TRIM($DZ887)))),VALUE(TRIM($DZ887)),"")))),""))</f>
        <v/>
      </c>
      <c r="EB887">
        <f>IF($DM887=0,"",IF($L$18=0,"",IFERROR(IF(UPPER(TRIM(SUBSTITUTE(SUBSTITUTE(SUBSTITUTE(SUBSTITUTE(INDEX(PASTE_ALL,$DF887,$L$18)," "," "),CHAR(9)," "),CHAR(10)," "),CHAR(13)," ")))="READY","Ready",IF(UPPER(TRIM(SUBSTITUTE(SUBSTITUTE(SUBSTITUTE(SUBSTITUTE(INDEX(PASTE_ALL,$DF887,$L$18)," "," "),CHAR(9)," "),CHAR(10)," "),CHAR(13)," ")))="PM","PM",IF(OR(UPPER(TRIM(SUBSTITUTE(SUBSTITUTE(SUBSTITUTE(SUBSTITUTE(INDEX(PASTE_ALL,$DF887,$L$18)," "," "),CHAR(9)," "),CHAR(10)," "),CHAR(13)," ")))="OT",UPPER(TRIM(SUBSTITUTE(SUBSTITUTE(SUBSTITUTE(SUBSTITUTE(INDEX(PASTE_ALL,$DF887,$L$18)," "," "),CHAR(9)," "),CHAR(10)," "),CHAR(13)," ")))="OVERTIME",UPPER(TRIM(SUBSTITUTE(SUBSTITUTE(SUBSTITUTE(SUBSTITUTE(INDEX(PASTE_ALL,$DF887,$L$18)," "," "),CHAR(9)," "),CHAR(10)," "),CHAR(13)," ")))="TRIAL"),"OT",TRIM(SUBSTITUTE(SUBSTITUTE(SUBSTITUTE(SUBSTITUTE(INDEX(PASTE_ALL,$DF887,$L$18)," "," "),CHAR(9)," "),CHAR(10)," "),CHAR(13)," "))))),"")))</f>
        <v/>
      </c>
      <c r="EC887">
        <f>IF($DM887=0,"",IF($L$19=0,"",IFERROR(IF(ISNUMBER(INDEX(PASTE_ALL,$DF887,$L$19)),INDEX(PASTE_ALL,$DF887,$L$19),TRIM(SUBSTITUTE(SUBSTITUTE(SUBSTITUTE(SUBSTITUTE(INDEX(PASTE_ALL,$DF887,$L$19)," "," "),CHAR(9)," "),CHAR(10)," "),CHAR(13)," "))),"")))</f>
        <v/>
      </c>
      <c r="ED887">
        <f>IF($DM887=0,"",MATCH(1,INDEX(EXACT($DH$5:DH887,$DH887)*$DM$5:DM887,0),0))</f>
        <v/>
      </c>
      <c r="EE887">
        <f>IF($DM887=0,0,IF($ED887=$DE887,1,0))</f>
        <v/>
      </c>
      <c r="EF887">
        <f>EF886+$EE887</f>
        <v/>
      </c>
      <c r="EG887">
        <f>IF($DM887=0,"",INDEX($EF$5:$EF$1003,$ED887))</f>
        <v/>
      </c>
      <c r="EH887">
        <f>IF($DM887=0,"",IF($DO887&lt;&gt;"","",IFERROR(LOOKUP(2,1/(($EG$4:EG886=$EG887)*($DO$4:DO886&lt;&gt;"")),$DO$4:DO886),"")))</f>
        <v/>
      </c>
      <c r="EI887">
        <f>IF($DM887=0,"",IF($DO887&lt;&gt;"",$DO887,$EH887))</f>
        <v/>
      </c>
      <c r="EJ887">
        <f>IF($DM887=0,"",IF($EI887="",0,IF(OR(ISNUMBER($EI887),AND(AND(SUBSTITUTE(SUBSTITUTE(SUBSTITUTE(SUBSTITUTE(SUBSTITUTE(SUBSTITUTE(SUBSTITUTE(SUBSTITUTE(SUBSTITUTE(SUBSTITUTE(SUBSTITUTE(SUBSTITUTE(SUBSTITUTE(SUBSTITUTE(UPPER($EI887),"0",""),"1",""),"2",""),"3",""),"4",""),"5",""),"6",""),"7",""),"8",""),"9",""),".",""),"+",""),"-",""),"E","")="",LEN(SUBSTITUTE(SUBSTITUTE(MID(UPPER($EI887),1+OR(LEFT(UPPER($EI887),1)="+",LEFT(UPPER($EI887),1)="-"),999),"E+","E"),"E-","E"))=LEN(SUBSTITUTE(SUBSTITUTE(SUBSTITUTE(SUBSTITUTE(MID(UPPER($EI887),1+OR(LEFT(UPPER($EI887),1)="+",LEFT(UPPER($EI887),1)="-"),999),"E+","E"),"E-","E"),"+",""),"-","")),LEN(UPPER($EI887))-LEN(SUBSTITUTE(UPPER($EI887),"E",""))&lt;2,LEN(UPPER($EI887))-LEN(SUBSTITUTE(UPPER($EI887),".",""))&lt;2,IFERROR(FIND(".",UPPER($EI887)),0)&lt;IFERROR(FIND("E",UPPER($EI887)),999)),ISNUMBER(VALUE($EI887)))),1,2)))</f>
        <v/>
      </c>
      <c r="EK887">
        <f>IF($DM887=0,"",IF($EJ887=1,IF(ISNUMBER($EI887),$EI887,VALUE($EI887)),IF($EJ887=2,$DE887,0)))</f>
        <v/>
      </c>
      <c r="EL887">
        <f>IF($DM887=0,"",COUNTIF($EG$5:$EG$1003,"&lt;"&amp;$EG887)+SUMPRODUCT(($EG$5:$EG$1003=$EG887)*(($EJ$5:$EJ$1003&lt;$EJ887)+($EJ$5:$EJ$1003=$EJ887)*(($EK$5:$EK$1003&lt;$EK887)+($EK$5:$EK$1003=$EK887)*($DE$5:$DE$1003&lt;$DE887))))+1)</f>
        <v/>
      </c>
      <c r="EM887">
        <f>IF($DM887=0,"",$EL887+$EG887-1)</f>
        <v/>
      </c>
      <c r="EN887">
        <f>IF($DM887=0,0,IFERROR(MATCH(1,INDEX(--(TRIM(SUBSTITUTE(SUBSTITUTE(SUBSTITUTE(SUBSTITUTE(LINES_NAME&amp;""," "," "),CHAR(9)," "),CHAR(10)," "),CHAR(13)," "))=$DH887),0),0),0))</f>
        <v/>
      </c>
      <c r="EO887">
        <f>IF($EN887=0,0,IF(OR(UPPER(TRIM(INDEX(LINES_SCHEDULED,$EN887)&amp;""))="YES",UPPER(TRIM(INDEX(LINES_SCHEDULED,$EN887)&amp;""))="Y",UPPER(TRIM(INDEX(LINES_SCHEDULED,$EN887)&amp;""))="X"),1,0))</f>
        <v/>
      </c>
      <c r="EP887">
        <f>IF($DM887=0,"",IF(COUNTIFS($EG$5:$EG$1003,$EG887,$EB$5:$EB$1003,"Ready")&gt;0,"READY",IF(COUNTIFS($EG$5:$EG$1003,$EG887,$EB$5:$EB$1003,"PM")&gt;0,"PM",IF(COUNTIFS($EG$5:$EG$1003,$EG887,$EB$5:$EB$1003,"OT")&gt;0,"OT",""))))</f>
        <v/>
      </c>
      <c r="EQ887">
        <f>IF($EN887=0,"",UPPER(TRIM(INDEX(LINES_STATUS,$EN887)&amp;"")))</f>
        <v/>
      </c>
      <c r="ER887">
        <f>IF($DM887=0,"",IF(OR($EQ887="READY",$EQ887="PM",$EQ887="OT"),$EQ887,$EP887))</f>
        <v/>
      </c>
      <c r="ES887">
        <f>IF($DM887=0,"",IF(AND($DV887&lt;&gt;"",UPPER($DV887)&lt;&gt;"N"),"allergen",IF(ISNUMBER(SEARCH("oil",$DQ887)),"oil",IF(OR(EXACT($DS887,"A662"),EXACT($DS887,"A624")),"bulk",""))))</f>
        <v/>
      </c>
      <c r="ET887">
        <f>IF($DM887=0,"",IF(OR($EA887="",$EA887=0),"",$EA887/100))</f>
        <v/>
      </c>
      <c r="EU887">
        <f>IF(OR($ET887="",$DY887=""),"",INT($DY887*(1-$ET887)+0.5))</f>
        <v/>
      </c>
    </row>
    <row r="888">
      <c r="DA888" t="n">
        <v>884</v>
      </c>
      <c r="DB888">
        <f>IF($B$37=0,"",IFERROR(TRIM(SUBSTITUTE(SUBSTITUTE(SUBSTITUTE(SUBSTITUTE(INDEX(PASTE_ALL,884,$B$37)," "," "),CHAR(9)," "),CHAR(10)," "),CHAR(13)," ")),""))</f>
        <v/>
      </c>
      <c r="DC888">
        <f>IF(AND(884&gt;HEADER_ROW,UPPER(DB888)="LEGEND"),1,0)</f>
        <v/>
      </c>
      <c r="DE888" t="n">
        <v>884</v>
      </c>
      <c r="DF888">
        <f>HEADER_ROW+$DE888</f>
        <v/>
      </c>
      <c r="DG888">
        <f>IF(AND($DF888&lt;=1000,$DF888&lt;$B$8),1,0)</f>
        <v/>
      </c>
      <c r="DH888">
        <f>IF($DG888=1,IFERROR(INDEX($DB$5:$DB$1004,$DF888),""),"")</f>
        <v/>
      </c>
      <c r="DI888">
        <f>IF(AND($DG888=1,$DH888&lt;&gt;""),IFERROR(SUBSTITUTE(SUBSTITUTE(TRIM(SUBSTITUTE(SUBSTITUTE(SUBSTITUTE(SUBSTITUTE(IFERROR(INDEX(PASTE_ALL,$DF888,1)&amp;"","")&amp;"␟"&amp;IFERROR(INDEX(PASTE_ALL,$DF888,2)&amp;"","")&amp;"␟"&amp;IFERROR(INDEX(PASTE_ALL,$DF888,3)&amp;"","")&amp;"␟"&amp;IFERROR(INDEX(PASTE_ALL,$DF888,4)&amp;"","")&amp;"␟"&amp;IFERROR(INDEX(PASTE_ALL,$DF888,5)&amp;"","")&amp;"␟"&amp;IFERROR(INDEX(PASTE_ALL,$DF888,6)&amp;"","")&amp;"␟"&amp;IFERROR(INDEX(PASTE_ALL,$DF888,7)&amp;"","")&amp;"␟"&amp;IFERROR(INDEX(PASTE_ALL,$DF888,8)&amp;"","")&amp;"␟"&amp;IFERROR(INDEX(PASTE_ALL,$DF888,9)&amp;"","")&amp;"␟"&amp;IFERROR(INDEX(PASTE_ALL,$DF888,10)&amp;"","")&amp;"␟"&amp;IFERROR(INDEX(PASTE_ALL,$DF888,11)&amp;"","")&amp;"␟"&amp;IFERROR(INDEX(PASTE_ALL,$DF888,12)&amp;"","")&amp;"␟"&amp;IFERROR(INDEX(PASTE_ALL,$DF888,13)&amp;"","")&amp;"␟"&amp;IFERROR(INDEX(PASTE_ALL,$DF888,14)&amp;"","")&amp;"␟"&amp;IFERROR(INDEX(PASTE_ALL,$DF888,15)&amp;"","")&amp;"␟"&amp;IFERROR(INDEX(PASTE_ALL,$DF888,16)&amp;"","")&amp;"␟"&amp;IFERROR(INDEX(PASTE_ALL,$DF888,17)&amp;"","")&amp;"␟"&amp;IFERROR(INDEX(PASTE_ALL,$DF888,18)&amp;"","")&amp;"␟"&amp;IFERROR(INDEX(PASTE_ALL,$DF888,19)&amp;"","")&amp;"␟"&amp;IFERROR(INDEX(PASTE_ALL,$DF888,20)&amp;"","")&amp;"␟"&amp;IFERROR(INDEX(PASTE_ALL,$DF888,21)&amp;"","")&amp;"␟"&amp;IFERROR(INDEX(PASTE_ALL,$DF888,22)&amp;"","")&amp;"␟"&amp;IFERROR(INDEX(PASTE_ALL,$DF888,23)&amp;"","")&amp;"␟"&amp;IFERROR(INDEX(PASTE_ALL,$DF888,24)&amp;"","")&amp;"␟"&amp;IFERROR(INDEX(PASTE_ALL,$DF888,25)&amp;"","")&amp;"␟"&amp;IFERROR(INDEX(PASTE_ALL,$DF888,26)&amp;"","")&amp;"␟"&amp;IFERROR(INDEX(PASTE_ALL,$DF888,27)&amp;"","")&amp;"␟"&amp;IFERROR(INDEX(PASTE_ALL,$DF888,28)&amp;"","")&amp;"␟"&amp;IFERROR(INDEX(PASTE_ALL,$DF888,29)&amp;"","")&amp;"␟"&amp;IFERROR(INDEX(PASTE_ALL,$DF888,30)&amp;"","")&amp;"␟"&amp;IFERROR(INDEX(PASTE_ALL,$DF888,31)&amp;"","")&amp;"␟"&amp;IFERROR(INDEX(PASTE_ALL,$DF888,32)&amp;"","")&amp;"␟"&amp;IFERROR(INDEX(PASTE_ALL,$DF888,33)&amp;"","")&amp;"␟"&amp;IFERROR(INDEX(PASTE_ALL,$DF888,34)&amp;"","")&amp;"␟"&amp;IFERROR(INDEX(PASTE_ALL,$DF888,35)&amp;"","")&amp;"␟"&amp;IFERROR(INDEX(PASTE_ALL,$DF888,36)&amp;"","")&amp;"␟"&amp;IFERROR(INDEX(PASTE_ALL,$DF888,37)&amp;"","")&amp;"␟"&amp;IFERROR(INDEX(PASTE_ALL,$DF888,38)&amp;"","")&amp;"␟"&amp;IFERROR(INDEX(PASTE_ALL,$DF888,39)&amp;"","")&amp;"␟"&amp;IFERROR(INDEX(PASTE_ALL,$DF888,40)&amp;"","")&amp;"␟"&amp;IFERROR(INDEX(PASTE_ALL,$DF888,41)&amp;"","")&amp;"␟"&amp;IFERROR(INDEX(PASTE_ALL,$DF888,42)&amp;"","")&amp;"␟"&amp;IFERROR(INDEX(PASTE_ALL,$DF888,43)&amp;"","")&amp;"␟"&amp;IFERROR(INDEX(PASTE_ALL,$DF888,44)&amp;"","")&amp;"␟"&amp;IFERROR(INDEX(PASTE_ALL,$DF888,45)&amp;"","")&amp;"␟"&amp;IFERROR(INDEX(PASTE_ALL,$DF888,46)&amp;"","")&amp;"␟"&amp;IFERROR(INDEX(PASTE_ALL,$DF888,47)&amp;"","")&amp;"␟"&amp;IFERROR(INDEX(PASTE_ALL,$DF888,48)&amp;"","")&amp;"␟"&amp;IFERROR(INDEX(PASTE_ALL,$DF888,49)&amp;"","")&amp;"␟"&amp;IFERROR(INDEX(PASTE_ALL,$DF888,50)&amp;"","")&amp;"␟"&amp;IFERROR(INDEX(PASTE_ALL,$DF888,51)&amp;"","")&amp;"␟"&amp;IFERROR(INDEX(PASTE_ALL,$DF888,52)&amp;"","")&amp;"␟"&amp;IFERROR(INDEX(PASTE_ALL,$DF888,53)&amp;"","")&amp;"␟"&amp;IFERROR(INDEX(PASTE_ALL,$DF888,54)&amp;"","")&amp;"␟"&amp;IFERROR(INDEX(PASTE_ALL,$DF888,55)&amp;"","")&amp;"␟"&amp;IFERROR(INDEX(PASTE_ALL,$DF888,56)&amp;"","")&amp;"␟"&amp;IFERROR(INDEX(PASTE_ALL,$DF888,57)&amp;"","")&amp;"␟"&amp;IFERROR(INDEX(PASTE_ALL,$DF888,58)&amp;"","")&amp;"␟"&amp;IFERROR(INDEX(PASTE_ALL,$DF888,59)&amp;"","")&amp;"␟"&amp;IFERROR(INDEX(PASTE_ALL,$DF888,60)&amp;"","")," "," "),CHAR(9)," "),CHAR(10)," "),CHAR(13)," "))," ␟","␟"),"␟ ","␟"),"#"&amp;$DE888),"")</f>
        <v/>
      </c>
      <c r="DJ888">
        <f>IF($DI888="",0,IF(SUMPRODUCT(--EXACT($DI$4:DI887,$DI888))&gt;0,1,0))</f>
        <v/>
      </c>
      <c r="DK888">
        <f>IF(AND($DI888&lt;&gt;"",$DJ888=0),1,0)</f>
        <v/>
      </c>
      <c r="DL888">
        <f>DL887+$DK888</f>
        <v/>
      </c>
      <c r="DM888">
        <f>IF(AND($DK888=1,$DL888&lt;=600),1,0)</f>
        <v/>
      </c>
      <c r="DN888">
        <f>IF($DM888=0,"",IF($L$6=0,"",IFERROR(IF(ISNUMBER(INDEX(PASTE_ALL,$DF888,$L$6)),INDEX(PASTE_ALL,$DF888,$L$6),TRIM(SUBSTITUTE(SUBSTITUTE(SUBSTITUTE(SUBSTITUTE(INDEX(PASTE_ALL,$DF888,$L$6)," "," "),CHAR(9)," "),CHAR(10)," "),CHAR(13)," "))),"")))</f>
        <v/>
      </c>
      <c r="DO888">
        <f>IF($DM888=0,"",IF($L$7=0,"",IFERROR(IF(ISNUMBER(INDEX(PASTE_ALL,$DF888,$L$7)),INDEX(PASTE_ALL,$DF888,$L$7),TRIM(SUBSTITUTE(SUBSTITUTE(SUBSTITUTE(SUBSTITUTE(INDEX(PASTE_ALL,$DF888,$L$7)," "," "),CHAR(9)," "),CHAR(10)," "),CHAR(13)," "))),"")))</f>
        <v/>
      </c>
      <c r="DP888">
        <f>IF($DM888=0,"",IF($L$8=0,"",IFERROR(IF(ISNUMBER(INDEX(PASTE_ALL,$DF888,$L$8)),INDEX(PASTE_ALL,$DF888,$L$8),TRIM(SUBSTITUTE(SUBSTITUTE(SUBSTITUTE(SUBSTITUTE(INDEX(PASTE_ALL,$DF888,$L$8)," "," "),CHAR(9)," "),CHAR(10)," "),CHAR(13)," "))),"")))</f>
        <v/>
      </c>
      <c r="DQ888">
        <f>IF($DM888=0,"",IF($L$9=0,"",IFERROR(IF(ISNUMBER(INDEX(PASTE_ALL,$DF888,$L$9)),INDEX(PASTE_ALL,$DF888,$L$9),TRIM(SUBSTITUTE(SUBSTITUTE(SUBSTITUTE(SUBSTITUTE(INDEX(PASTE_ALL,$DF888,$L$9)," "," "),CHAR(9)," "),CHAR(10)," "),CHAR(13)," "))),"")))</f>
        <v/>
      </c>
      <c r="DR888">
        <f>IF($DM888=0,"",IF($L$10=0,"",IFERROR(IF(ISNUMBER(INDEX(PASTE_ALL,$DF888,$L$10)),INDEX(PASTE_ALL,$DF888,$L$10),TRIM(SUBSTITUTE(SUBSTITUTE(SUBSTITUTE(SUBSTITUTE(INDEX(PASTE_ALL,$DF888,$L$10)," "," "),CHAR(9)," "),CHAR(10)," "),CHAR(13)," "))),"")))</f>
        <v/>
      </c>
      <c r="DS888">
        <f>IF($DM888=0,"",IF($L$11=0,"",IFERROR(IF(ISNUMBER(INDEX(PASTE_ALL,$DF888,$L$11)),INDEX(PASTE_ALL,$DF888,$L$11),TRIM(SUBSTITUTE(SUBSTITUTE(SUBSTITUTE(SUBSTITUTE(INDEX(PASTE_ALL,$DF888,$L$11)," "," "),CHAR(9)," "),CHAR(10)," "),CHAR(13)," "))),"")))</f>
        <v/>
      </c>
      <c r="DT888">
        <f>IF($DM888=0,"",IF($L$12=0,"",IFERROR(IF(ISNUMBER(INDEX(PASTE_ALL,$DF888,$L$12)),INDEX(PASTE_ALL,$DF888,$L$12),TRIM(SUBSTITUTE(SUBSTITUTE(SUBSTITUTE(SUBSTITUTE(INDEX(PASTE_ALL,$DF888,$L$12)," "," "),CHAR(9)," "),CHAR(10)," "),CHAR(13)," "))),"")))</f>
        <v/>
      </c>
      <c r="DU888">
        <f>IF($DM888=0,"",IF($L$13=0,"",IFERROR(IF(ISNUMBER(INDEX(PASTE_ALL,$DF888,$L$13)),INDEX(PASTE_ALL,$DF888,$L$13),TRIM(SUBSTITUTE(SUBSTITUTE(SUBSTITUTE(SUBSTITUTE(INDEX(PASTE_ALL,$DF888,$L$13)," "," "),CHAR(9)," "),CHAR(10)," "),CHAR(13)," "))),"")))</f>
        <v/>
      </c>
      <c r="DV888">
        <f>IF($DM888=0,"",IF($L$14=0,"",IFERROR(IF(ISNUMBER(INDEX(PASTE_ALL,$DF888,$L$14)),INDEX(PASTE_ALL,$DF888,$L$14),TRIM(SUBSTITUTE(SUBSTITUTE(SUBSTITUTE(SUBSTITUTE(INDEX(PASTE_ALL,$DF888,$L$14)," "," "),CHAR(9)," "),CHAR(10)," "),CHAR(13)," "))),"")))</f>
        <v/>
      </c>
      <c r="DW888">
        <f>IF($DM888=0,"",IF($L$15=0,"",IFERROR(IF(ISNUMBER(INDEX(PASTE_ALL,$DF888,$L$15)),INDEX(PASTE_ALL,$DF888,$L$15),IF(SUMPRODUCT(--ISNUMBER(FIND({"A","B","C","D","E","F","G","H","I","J","K","L","M","N","O","P","Q","R","S","T","U","V","W","X","Y","Z","0","1","2","3","4","5","6","7","8","9"},UPPER(TRIM(SUBSTITUTE(SUBSTITUTE(SUBSTITUTE(SUBSTITUTE(INDEX(PASTE_ALL,$DF888,$L$15)," "," "),CHAR(9)," "),CHAR(10)," "),CHAR(13)," "))))))&gt;0,TRIM(SUBSTITUTE(SUBSTITUTE(SUBSTITUTE(SUBSTITUTE(INDEX(PASTE_ALL,$DF888,$L$15)," "," "),CHAR(9)," "),CHAR(10)," "),CHAR(13)," ")),"")),"")))</f>
        <v/>
      </c>
      <c r="DX888">
        <f>IF($DM888=0,"",IF($L$16=0,"",IFERROR(IF(ISNUMBER(INDEX(PASTE_ALL,$DF888,$L$16)),INDEX(PASTE_ALL,$DF888,$L$16),SUBSTITUTE(SUBSTITUTE(TRIM(SUBSTITUTE(SUBSTITUTE(SUBSTITUTE(SUBSTITUTE(INDEX(PASTE_ALL,$DF888,$L$16)," "," "),CHAR(9)," "),CHAR(10)," "),CHAR(13)," ")),",",""),"%","")),"")))</f>
        <v/>
      </c>
      <c r="DY888">
        <f>IF($DM888=0,"",IFERROR(IF(ISNUMBER($DX888),$DX888,IF($DX888="","",IF(TRIM($DX888)="",0,IF(AND(AND(SUBSTITUTE(SUBSTITUTE(SUBSTITUTE(SUBSTITUTE(SUBSTITUTE(SUBSTITUTE(SUBSTITUTE(SUBSTITUTE(SUBSTITUTE(SUBSTITUTE(SUBSTITUTE(SUBSTITUTE(SUBSTITUTE(SUBSTITUTE(UPPER(TRIM($DX888)),"0",""),"1",""),"2",""),"3",""),"4",""),"5",""),"6",""),"7",""),"8",""),"9",""),".",""),"+",""),"-",""),"E","")="",LEN(SUBSTITUTE(SUBSTITUTE(MID(UPPER(TRIM($DX888)),1+OR(LEFT(UPPER(TRIM($DX888)),1)="+",LEFT(UPPER(TRIM($DX888)),1)="-"),999),"E+","E"),"E-","E"))=LEN(SUBSTITUTE(SUBSTITUTE(SUBSTITUTE(SUBSTITUTE(MID(UPPER(TRIM($DX888)),1+OR(LEFT(UPPER(TRIM($DX888)),1)="+",LEFT(UPPER(TRIM($DX888)),1)="-"),999),"E+","E"),"E-","E"),"+",""),"-","")),LEN(UPPER(TRIM($DX888)))-LEN(SUBSTITUTE(UPPER(TRIM($DX888)),"E",""))&lt;2,LEN(UPPER(TRIM($DX888)))-LEN(SUBSTITUTE(UPPER(TRIM($DX888)),".",""))&lt;2,IFERROR(FIND(".",UPPER(TRIM($DX888))),0)&lt;IFERROR(FIND("E",UPPER(TRIM($DX888))),999)),ISNUMBER(VALUE(TRIM($DX888)))),VALUE(TRIM($DX888)),"")))),""))</f>
        <v/>
      </c>
      <c r="DZ888">
        <f>IF($DM888=0,"",IF($L$17=0,"",IFERROR(IF(ISNUMBER(INDEX(PASTE_ALL,$DF888,$L$17)),INDEX(PASTE_ALL,$DF888,$L$17),SUBSTITUTE(SUBSTITUTE(TRIM(SUBSTITUTE(SUBSTITUTE(SUBSTITUTE(SUBSTITUTE(INDEX(PASTE_ALL,$DF888,$L$17)," "," "),CHAR(9)," "),CHAR(10)," "),CHAR(13)," ")),",",""),"%","")),"")))</f>
        <v/>
      </c>
      <c r="EA888">
        <f>IF($DM888=0,"",IFERROR(IF(ISNUMBER($DZ888),$DZ888,IF($DZ888="","",IF(TRIM($DZ888)="",0,IF(AND(AND(SUBSTITUTE(SUBSTITUTE(SUBSTITUTE(SUBSTITUTE(SUBSTITUTE(SUBSTITUTE(SUBSTITUTE(SUBSTITUTE(SUBSTITUTE(SUBSTITUTE(SUBSTITUTE(SUBSTITUTE(SUBSTITUTE(SUBSTITUTE(UPPER(TRIM($DZ888)),"0",""),"1",""),"2",""),"3",""),"4",""),"5",""),"6",""),"7",""),"8",""),"9",""),".",""),"+",""),"-",""),"E","")="",LEN(SUBSTITUTE(SUBSTITUTE(MID(UPPER(TRIM($DZ888)),1+OR(LEFT(UPPER(TRIM($DZ888)),1)="+",LEFT(UPPER(TRIM($DZ888)),1)="-"),999),"E+","E"),"E-","E"))=LEN(SUBSTITUTE(SUBSTITUTE(SUBSTITUTE(SUBSTITUTE(MID(UPPER(TRIM($DZ888)),1+OR(LEFT(UPPER(TRIM($DZ888)),1)="+",LEFT(UPPER(TRIM($DZ888)),1)="-"),999),"E+","E"),"E-","E"),"+",""),"-","")),LEN(UPPER(TRIM($DZ888)))-LEN(SUBSTITUTE(UPPER(TRIM($DZ888)),"E",""))&lt;2,LEN(UPPER(TRIM($DZ888)))-LEN(SUBSTITUTE(UPPER(TRIM($DZ888)),".",""))&lt;2,IFERROR(FIND(".",UPPER(TRIM($DZ888))),0)&lt;IFERROR(FIND("E",UPPER(TRIM($DZ888))),999)),ISNUMBER(VALUE(TRIM($DZ888)))),VALUE(TRIM($DZ888)),"")))),""))</f>
        <v/>
      </c>
      <c r="EB888">
        <f>IF($DM888=0,"",IF($L$18=0,"",IFERROR(IF(UPPER(TRIM(SUBSTITUTE(SUBSTITUTE(SUBSTITUTE(SUBSTITUTE(INDEX(PASTE_ALL,$DF888,$L$18)," "," "),CHAR(9)," "),CHAR(10)," "),CHAR(13)," ")))="READY","Ready",IF(UPPER(TRIM(SUBSTITUTE(SUBSTITUTE(SUBSTITUTE(SUBSTITUTE(INDEX(PASTE_ALL,$DF888,$L$18)," "," "),CHAR(9)," "),CHAR(10)," "),CHAR(13)," ")))="PM","PM",IF(OR(UPPER(TRIM(SUBSTITUTE(SUBSTITUTE(SUBSTITUTE(SUBSTITUTE(INDEX(PASTE_ALL,$DF888,$L$18)," "," "),CHAR(9)," "),CHAR(10)," "),CHAR(13)," ")))="OT",UPPER(TRIM(SUBSTITUTE(SUBSTITUTE(SUBSTITUTE(SUBSTITUTE(INDEX(PASTE_ALL,$DF888,$L$18)," "," "),CHAR(9)," "),CHAR(10)," "),CHAR(13)," ")))="OVERTIME",UPPER(TRIM(SUBSTITUTE(SUBSTITUTE(SUBSTITUTE(SUBSTITUTE(INDEX(PASTE_ALL,$DF888,$L$18)," "," "),CHAR(9)," "),CHAR(10)," "),CHAR(13)," ")))="TRIAL"),"OT",TRIM(SUBSTITUTE(SUBSTITUTE(SUBSTITUTE(SUBSTITUTE(INDEX(PASTE_ALL,$DF888,$L$18)," "," "),CHAR(9)," "),CHAR(10)," "),CHAR(13)," "))))),"")))</f>
        <v/>
      </c>
      <c r="EC888">
        <f>IF($DM888=0,"",IF($L$19=0,"",IFERROR(IF(ISNUMBER(INDEX(PASTE_ALL,$DF888,$L$19)),INDEX(PASTE_ALL,$DF888,$L$19),TRIM(SUBSTITUTE(SUBSTITUTE(SUBSTITUTE(SUBSTITUTE(INDEX(PASTE_ALL,$DF888,$L$19)," "," "),CHAR(9)," "),CHAR(10)," "),CHAR(13)," "))),"")))</f>
        <v/>
      </c>
      <c r="ED888">
        <f>IF($DM888=0,"",MATCH(1,INDEX(EXACT($DH$5:DH888,$DH888)*$DM$5:DM888,0),0))</f>
        <v/>
      </c>
      <c r="EE888">
        <f>IF($DM888=0,0,IF($ED888=$DE888,1,0))</f>
        <v/>
      </c>
      <c r="EF888">
        <f>EF887+$EE888</f>
        <v/>
      </c>
      <c r="EG888">
        <f>IF($DM888=0,"",INDEX($EF$5:$EF$1003,$ED888))</f>
        <v/>
      </c>
      <c r="EH888">
        <f>IF($DM888=0,"",IF($DO888&lt;&gt;"","",IFERROR(LOOKUP(2,1/(($EG$4:EG887=$EG888)*($DO$4:DO887&lt;&gt;"")),$DO$4:DO887),"")))</f>
        <v/>
      </c>
      <c r="EI888">
        <f>IF($DM888=0,"",IF($DO888&lt;&gt;"",$DO888,$EH888))</f>
        <v/>
      </c>
      <c r="EJ888">
        <f>IF($DM888=0,"",IF($EI888="",0,IF(OR(ISNUMBER($EI888),AND(AND(SUBSTITUTE(SUBSTITUTE(SUBSTITUTE(SUBSTITUTE(SUBSTITUTE(SUBSTITUTE(SUBSTITUTE(SUBSTITUTE(SUBSTITUTE(SUBSTITUTE(SUBSTITUTE(SUBSTITUTE(SUBSTITUTE(SUBSTITUTE(UPPER($EI888),"0",""),"1",""),"2",""),"3",""),"4",""),"5",""),"6",""),"7",""),"8",""),"9",""),".",""),"+",""),"-",""),"E","")="",LEN(SUBSTITUTE(SUBSTITUTE(MID(UPPER($EI888),1+OR(LEFT(UPPER($EI888),1)="+",LEFT(UPPER($EI888),1)="-"),999),"E+","E"),"E-","E"))=LEN(SUBSTITUTE(SUBSTITUTE(SUBSTITUTE(SUBSTITUTE(MID(UPPER($EI888),1+OR(LEFT(UPPER($EI888),1)="+",LEFT(UPPER($EI888),1)="-"),999),"E+","E"),"E-","E"),"+",""),"-","")),LEN(UPPER($EI888))-LEN(SUBSTITUTE(UPPER($EI888),"E",""))&lt;2,LEN(UPPER($EI888))-LEN(SUBSTITUTE(UPPER($EI888),".",""))&lt;2,IFERROR(FIND(".",UPPER($EI888)),0)&lt;IFERROR(FIND("E",UPPER($EI888)),999)),ISNUMBER(VALUE($EI888)))),1,2)))</f>
        <v/>
      </c>
      <c r="EK888">
        <f>IF($DM888=0,"",IF($EJ888=1,IF(ISNUMBER($EI888),$EI888,VALUE($EI888)),IF($EJ888=2,$DE888,0)))</f>
        <v/>
      </c>
      <c r="EL888">
        <f>IF($DM888=0,"",COUNTIF($EG$5:$EG$1003,"&lt;"&amp;$EG888)+SUMPRODUCT(($EG$5:$EG$1003=$EG888)*(($EJ$5:$EJ$1003&lt;$EJ888)+($EJ$5:$EJ$1003=$EJ888)*(($EK$5:$EK$1003&lt;$EK888)+($EK$5:$EK$1003=$EK888)*($DE$5:$DE$1003&lt;$DE888))))+1)</f>
        <v/>
      </c>
      <c r="EM888">
        <f>IF($DM888=0,"",$EL888+$EG888-1)</f>
        <v/>
      </c>
      <c r="EN888">
        <f>IF($DM888=0,0,IFERROR(MATCH(1,INDEX(--(TRIM(SUBSTITUTE(SUBSTITUTE(SUBSTITUTE(SUBSTITUTE(LINES_NAME&amp;""," "," "),CHAR(9)," "),CHAR(10)," "),CHAR(13)," "))=$DH888),0),0),0))</f>
        <v/>
      </c>
      <c r="EO888">
        <f>IF($EN888=0,0,IF(OR(UPPER(TRIM(INDEX(LINES_SCHEDULED,$EN888)&amp;""))="YES",UPPER(TRIM(INDEX(LINES_SCHEDULED,$EN888)&amp;""))="Y",UPPER(TRIM(INDEX(LINES_SCHEDULED,$EN888)&amp;""))="X"),1,0))</f>
        <v/>
      </c>
      <c r="EP888">
        <f>IF($DM888=0,"",IF(COUNTIFS($EG$5:$EG$1003,$EG888,$EB$5:$EB$1003,"Ready")&gt;0,"READY",IF(COUNTIFS($EG$5:$EG$1003,$EG888,$EB$5:$EB$1003,"PM")&gt;0,"PM",IF(COUNTIFS($EG$5:$EG$1003,$EG888,$EB$5:$EB$1003,"OT")&gt;0,"OT",""))))</f>
        <v/>
      </c>
      <c r="EQ888">
        <f>IF($EN888=0,"",UPPER(TRIM(INDEX(LINES_STATUS,$EN888)&amp;"")))</f>
        <v/>
      </c>
      <c r="ER888">
        <f>IF($DM888=0,"",IF(OR($EQ888="READY",$EQ888="PM",$EQ888="OT"),$EQ888,$EP888))</f>
        <v/>
      </c>
      <c r="ES888">
        <f>IF($DM888=0,"",IF(AND($DV888&lt;&gt;"",UPPER($DV888)&lt;&gt;"N"),"allergen",IF(ISNUMBER(SEARCH("oil",$DQ888)),"oil",IF(OR(EXACT($DS888,"A662"),EXACT($DS888,"A624")),"bulk",""))))</f>
        <v/>
      </c>
      <c r="ET888">
        <f>IF($DM888=0,"",IF(OR($EA888="",$EA888=0),"",$EA888/100))</f>
        <v/>
      </c>
      <c r="EU888">
        <f>IF(OR($ET888="",$DY888=""),"",INT($DY888*(1-$ET888)+0.5))</f>
        <v/>
      </c>
    </row>
    <row r="889">
      <c r="DA889" t="n">
        <v>885</v>
      </c>
      <c r="DB889">
        <f>IF($B$37=0,"",IFERROR(TRIM(SUBSTITUTE(SUBSTITUTE(SUBSTITUTE(SUBSTITUTE(INDEX(PASTE_ALL,885,$B$37)," "," "),CHAR(9)," "),CHAR(10)," "),CHAR(13)," ")),""))</f>
        <v/>
      </c>
      <c r="DC889">
        <f>IF(AND(885&gt;HEADER_ROW,UPPER(DB889)="LEGEND"),1,0)</f>
        <v/>
      </c>
      <c r="DE889" t="n">
        <v>885</v>
      </c>
      <c r="DF889">
        <f>HEADER_ROW+$DE889</f>
        <v/>
      </c>
      <c r="DG889">
        <f>IF(AND($DF889&lt;=1000,$DF889&lt;$B$8),1,0)</f>
        <v/>
      </c>
      <c r="DH889">
        <f>IF($DG889=1,IFERROR(INDEX($DB$5:$DB$1004,$DF889),""),"")</f>
        <v/>
      </c>
      <c r="DI889">
        <f>IF(AND($DG889=1,$DH889&lt;&gt;""),IFERROR(SUBSTITUTE(SUBSTITUTE(TRIM(SUBSTITUTE(SUBSTITUTE(SUBSTITUTE(SUBSTITUTE(IFERROR(INDEX(PASTE_ALL,$DF889,1)&amp;"","")&amp;"␟"&amp;IFERROR(INDEX(PASTE_ALL,$DF889,2)&amp;"","")&amp;"␟"&amp;IFERROR(INDEX(PASTE_ALL,$DF889,3)&amp;"","")&amp;"␟"&amp;IFERROR(INDEX(PASTE_ALL,$DF889,4)&amp;"","")&amp;"␟"&amp;IFERROR(INDEX(PASTE_ALL,$DF889,5)&amp;"","")&amp;"␟"&amp;IFERROR(INDEX(PASTE_ALL,$DF889,6)&amp;"","")&amp;"␟"&amp;IFERROR(INDEX(PASTE_ALL,$DF889,7)&amp;"","")&amp;"␟"&amp;IFERROR(INDEX(PASTE_ALL,$DF889,8)&amp;"","")&amp;"␟"&amp;IFERROR(INDEX(PASTE_ALL,$DF889,9)&amp;"","")&amp;"␟"&amp;IFERROR(INDEX(PASTE_ALL,$DF889,10)&amp;"","")&amp;"␟"&amp;IFERROR(INDEX(PASTE_ALL,$DF889,11)&amp;"","")&amp;"␟"&amp;IFERROR(INDEX(PASTE_ALL,$DF889,12)&amp;"","")&amp;"␟"&amp;IFERROR(INDEX(PASTE_ALL,$DF889,13)&amp;"","")&amp;"␟"&amp;IFERROR(INDEX(PASTE_ALL,$DF889,14)&amp;"","")&amp;"␟"&amp;IFERROR(INDEX(PASTE_ALL,$DF889,15)&amp;"","")&amp;"␟"&amp;IFERROR(INDEX(PASTE_ALL,$DF889,16)&amp;"","")&amp;"␟"&amp;IFERROR(INDEX(PASTE_ALL,$DF889,17)&amp;"","")&amp;"␟"&amp;IFERROR(INDEX(PASTE_ALL,$DF889,18)&amp;"","")&amp;"␟"&amp;IFERROR(INDEX(PASTE_ALL,$DF889,19)&amp;"","")&amp;"␟"&amp;IFERROR(INDEX(PASTE_ALL,$DF889,20)&amp;"","")&amp;"␟"&amp;IFERROR(INDEX(PASTE_ALL,$DF889,21)&amp;"","")&amp;"␟"&amp;IFERROR(INDEX(PASTE_ALL,$DF889,22)&amp;"","")&amp;"␟"&amp;IFERROR(INDEX(PASTE_ALL,$DF889,23)&amp;"","")&amp;"␟"&amp;IFERROR(INDEX(PASTE_ALL,$DF889,24)&amp;"","")&amp;"␟"&amp;IFERROR(INDEX(PASTE_ALL,$DF889,25)&amp;"","")&amp;"␟"&amp;IFERROR(INDEX(PASTE_ALL,$DF889,26)&amp;"","")&amp;"␟"&amp;IFERROR(INDEX(PASTE_ALL,$DF889,27)&amp;"","")&amp;"␟"&amp;IFERROR(INDEX(PASTE_ALL,$DF889,28)&amp;"","")&amp;"␟"&amp;IFERROR(INDEX(PASTE_ALL,$DF889,29)&amp;"","")&amp;"␟"&amp;IFERROR(INDEX(PASTE_ALL,$DF889,30)&amp;"","")&amp;"␟"&amp;IFERROR(INDEX(PASTE_ALL,$DF889,31)&amp;"","")&amp;"␟"&amp;IFERROR(INDEX(PASTE_ALL,$DF889,32)&amp;"","")&amp;"␟"&amp;IFERROR(INDEX(PASTE_ALL,$DF889,33)&amp;"","")&amp;"␟"&amp;IFERROR(INDEX(PASTE_ALL,$DF889,34)&amp;"","")&amp;"␟"&amp;IFERROR(INDEX(PASTE_ALL,$DF889,35)&amp;"","")&amp;"␟"&amp;IFERROR(INDEX(PASTE_ALL,$DF889,36)&amp;"","")&amp;"␟"&amp;IFERROR(INDEX(PASTE_ALL,$DF889,37)&amp;"","")&amp;"␟"&amp;IFERROR(INDEX(PASTE_ALL,$DF889,38)&amp;"","")&amp;"␟"&amp;IFERROR(INDEX(PASTE_ALL,$DF889,39)&amp;"","")&amp;"␟"&amp;IFERROR(INDEX(PASTE_ALL,$DF889,40)&amp;"","")&amp;"␟"&amp;IFERROR(INDEX(PASTE_ALL,$DF889,41)&amp;"","")&amp;"␟"&amp;IFERROR(INDEX(PASTE_ALL,$DF889,42)&amp;"","")&amp;"␟"&amp;IFERROR(INDEX(PASTE_ALL,$DF889,43)&amp;"","")&amp;"␟"&amp;IFERROR(INDEX(PASTE_ALL,$DF889,44)&amp;"","")&amp;"␟"&amp;IFERROR(INDEX(PASTE_ALL,$DF889,45)&amp;"","")&amp;"␟"&amp;IFERROR(INDEX(PASTE_ALL,$DF889,46)&amp;"","")&amp;"␟"&amp;IFERROR(INDEX(PASTE_ALL,$DF889,47)&amp;"","")&amp;"␟"&amp;IFERROR(INDEX(PASTE_ALL,$DF889,48)&amp;"","")&amp;"␟"&amp;IFERROR(INDEX(PASTE_ALL,$DF889,49)&amp;"","")&amp;"␟"&amp;IFERROR(INDEX(PASTE_ALL,$DF889,50)&amp;"","")&amp;"␟"&amp;IFERROR(INDEX(PASTE_ALL,$DF889,51)&amp;"","")&amp;"␟"&amp;IFERROR(INDEX(PASTE_ALL,$DF889,52)&amp;"","")&amp;"␟"&amp;IFERROR(INDEX(PASTE_ALL,$DF889,53)&amp;"","")&amp;"␟"&amp;IFERROR(INDEX(PASTE_ALL,$DF889,54)&amp;"","")&amp;"␟"&amp;IFERROR(INDEX(PASTE_ALL,$DF889,55)&amp;"","")&amp;"␟"&amp;IFERROR(INDEX(PASTE_ALL,$DF889,56)&amp;"","")&amp;"␟"&amp;IFERROR(INDEX(PASTE_ALL,$DF889,57)&amp;"","")&amp;"␟"&amp;IFERROR(INDEX(PASTE_ALL,$DF889,58)&amp;"","")&amp;"␟"&amp;IFERROR(INDEX(PASTE_ALL,$DF889,59)&amp;"","")&amp;"␟"&amp;IFERROR(INDEX(PASTE_ALL,$DF889,60)&amp;"","")," "," "),CHAR(9)," "),CHAR(10)," "),CHAR(13)," "))," ␟","␟"),"␟ ","␟"),"#"&amp;$DE889),"")</f>
        <v/>
      </c>
      <c r="DJ889">
        <f>IF($DI889="",0,IF(SUMPRODUCT(--EXACT($DI$4:DI888,$DI889))&gt;0,1,0))</f>
        <v/>
      </c>
      <c r="DK889">
        <f>IF(AND($DI889&lt;&gt;"",$DJ889=0),1,0)</f>
        <v/>
      </c>
      <c r="DL889">
        <f>DL888+$DK889</f>
        <v/>
      </c>
      <c r="DM889">
        <f>IF(AND($DK889=1,$DL889&lt;=600),1,0)</f>
        <v/>
      </c>
      <c r="DN889">
        <f>IF($DM889=0,"",IF($L$6=0,"",IFERROR(IF(ISNUMBER(INDEX(PASTE_ALL,$DF889,$L$6)),INDEX(PASTE_ALL,$DF889,$L$6),TRIM(SUBSTITUTE(SUBSTITUTE(SUBSTITUTE(SUBSTITUTE(INDEX(PASTE_ALL,$DF889,$L$6)," "," "),CHAR(9)," "),CHAR(10)," "),CHAR(13)," "))),"")))</f>
        <v/>
      </c>
      <c r="DO889">
        <f>IF($DM889=0,"",IF($L$7=0,"",IFERROR(IF(ISNUMBER(INDEX(PASTE_ALL,$DF889,$L$7)),INDEX(PASTE_ALL,$DF889,$L$7),TRIM(SUBSTITUTE(SUBSTITUTE(SUBSTITUTE(SUBSTITUTE(INDEX(PASTE_ALL,$DF889,$L$7)," "," "),CHAR(9)," "),CHAR(10)," "),CHAR(13)," "))),"")))</f>
        <v/>
      </c>
      <c r="DP889">
        <f>IF($DM889=0,"",IF($L$8=0,"",IFERROR(IF(ISNUMBER(INDEX(PASTE_ALL,$DF889,$L$8)),INDEX(PASTE_ALL,$DF889,$L$8),TRIM(SUBSTITUTE(SUBSTITUTE(SUBSTITUTE(SUBSTITUTE(INDEX(PASTE_ALL,$DF889,$L$8)," "," "),CHAR(9)," "),CHAR(10)," "),CHAR(13)," "))),"")))</f>
        <v/>
      </c>
      <c r="DQ889">
        <f>IF($DM889=0,"",IF($L$9=0,"",IFERROR(IF(ISNUMBER(INDEX(PASTE_ALL,$DF889,$L$9)),INDEX(PASTE_ALL,$DF889,$L$9),TRIM(SUBSTITUTE(SUBSTITUTE(SUBSTITUTE(SUBSTITUTE(INDEX(PASTE_ALL,$DF889,$L$9)," "," "),CHAR(9)," "),CHAR(10)," "),CHAR(13)," "))),"")))</f>
        <v/>
      </c>
      <c r="DR889">
        <f>IF($DM889=0,"",IF($L$10=0,"",IFERROR(IF(ISNUMBER(INDEX(PASTE_ALL,$DF889,$L$10)),INDEX(PASTE_ALL,$DF889,$L$10),TRIM(SUBSTITUTE(SUBSTITUTE(SUBSTITUTE(SUBSTITUTE(INDEX(PASTE_ALL,$DF889,$L$10)," "," "),CHAR(9)," "),CHAR(10)," "),CHAR(13)," "))),"")))</f>
        <v/>
      </c>
      <c r="DS889">
        <f>IF($DM889=0,"",IF($L$11=0,"",IFERROR(IF(ISNUMBER(INDEX(PASTE_ALL,$DF889,$L$11)),INDEX(PASTE_ALL,$DF889,$L$11),TRIM(SUBSTITUTE(SUBSTITUTE(SUBSTITUTE(SUBSTITUTE(INDEX(PASTE_ALL,$DF889,$L$11)," "," "),CHAR(9)," "),CHAR(10)," "),CHAR(13)," "))),"")))</f>
        <v/>
      </c>
      <c r="DT889">
        <f>IF($DM889=0,"",IF($L$12=0,"",IFERROR(IF(ISNUMBER(INDEX(PASTE_ALL,$DF889,$L$12)),INDEX(PASTE_ALL,$DF889,$L$12),TRIM(SUBSTITUTE(SUBSTITUTE(SUBSTITUTE(SUBSTITUTE(INDEX(PASTE_ALL,$DF889,$L$12)," "," "),CHAR(9)," "),CHAR(10)," "),CHAR(13)," "))),"")))</f>
        <v/>
      </c>
      <c r="DU889">
        <f>IF($DM889=0,"",IF($L$13=0,"",IFERROR(IF(ISNUMBER(INDEX(PASTE_ALL,$DF889,$L$13)),INDEX(PASTE_ALL,$DF889,$L$13),TRIM(SUBSTITUTE(SUBSTITUTE(SUBSTITUTE(SUBSTITUTE(INDEX(PASTE_ALL,$DF889,$L$13)," "," "),CHAR(9)," "),CHAR(10)," "),CHAR(13)," "))),"")))</f>
        <v/>
      </c>
      <c r="DV889">
        <f>IF($DM889=0,"",IF($L$14=0,"",IFERROR(IF(ISNUMBER(INDEX(PASTE_ALL,$DF889,$L$14)),INDEX(PASTE_ALL,$DF889,$L$14),TRIM(SUBSTITUTE(SUBSTITUTE(SUBSTITUTE(SUBSTITUTE(INDEX(PASTE_ALL,$DF889,$L$14)," "," "),CHAR(9)," "),CHAR(10)," "),CHAR(13)," "))),"")))</f>
        <v/>
      </c>
      <c r="DW889">
        <f>IF($DM889=0,"",IF($L$15=0,"",IFERROR(IF(ISNUMBER(INDEX(PASTE_ALL,$DF889,$L$15)),INDEX(PASTE_ALL,$DF889,$L$15),IF(SUMPRODUCT(--ISNUMBER(FIND({"A","B","C","D","E","F","G","H","I","J","K","L","M","N","O","P","Q","R","S","T","U","V","W","X","Y","Z","0","1","2","3","4","5","6","7","8","9"},UPPER(TRIM(SUBSTITUTE(SUBSTITUTE(SUBSTITUTE(SUBSTITUTE(INDEX(PASTE_ALL,$DF889,$L$15)," "," "),CHAR(9)," "),CHAR(10)," "),CHAR(13)," "))))))&gt;0,TRIM(SUBSTITUTE(SUBSTITUTE(SUBSTITUTE(SUBSTITUTE(INDEX(PASTE_ALL,$DF889,$L$15)," "," "),CHAR(9)," "),CHAR(10)," "),CHAR(13)," ")),"")),"")))</f>
        <v/>
      </c>
      <c r="DX889">
        <f>IF($DM889=0,"",IF($L$16=0,"",IFERROR(IF(ISNUMBER(INDEX(PASTE_ALL,$DF889,$L$16)),INDEX(PASTE_ALL,$DF889,$L$16),SUBSTITUTE(SUBSTITUTE(TRIM(SUBSTITUTE(SUBSTITUTE(SUBSTITUTE(SUBSTITUTE(INDEX(PASTE_ALL,$DF889,$L$16)," "," "),CHAR(9)," "),CHAR(10)," "),CHAR(13)," ")),",",""),"%","")),"")))</f>
        <v/>
      </c>
      <c r="DY889">
        <f>IF($DM889=0,"",IFERROR(IF(ISNUMBER($DX889),$DX889,IF($DX889="","",IF(TRIM($DX889)="",0,IF(AND(AND(SUBSTITUTE(SUBSTITUTE(SUBSTITUTE(SUBSTITUTE(SUBSTITUTE(SUBSTITUTE(SUBSTITUTE(SUBSTITUTE(SUBSTITUTE(SUBSTITUTE(SUBSTITUTE(SUBSTITUTE(SUBSTITUTE(SUBSTITUTE(UPPER(TRIM($DX889)),"0",""),"1",""),"2",""),"3",""),"4",""),"5",""),"6",""),"7",""),"8",""),"9",""),".",""),"+",""),"-",""),"E","")="",LEN(SUBSTITUTE(SUBSTITUTE(MID(UPPER(TRIM($DX889)),1+OR(LEFT(UPPER(TRIM($DX889)),1)="+",LEFT(UPPER(TRIM($DX889)),1)="-"),999),"E+","E"),"E-","E"))=LEN(SUBSTITUTE(SUBSTITUTE(SUBSTITUTE(SUBSTITUTE(MID(UPPER(TRIM($DX889)),1+OR(LEFT(UPPER(TRIM($DX889)),1)="+",LEFT(UPPER(TRIM($DX889)),1)="-"),999),"E+","E"),"E-","E"),"+",""),"-","")),LEN(UPPER(TRIM($DX889)))-LEN(SUBSTITUTE(UPPER(TRIM($DX889)),"E",""))&lt;2,LEN(UPPER(TRIM($DX889)))-LEN(SUBSTITUTE(UPPER(TRIM($DX889)),".",""))&lt;2,IFERROR(FIND(".",UPPER(TRIM($DX889))),0)&lt;IFERROR(FIND("E",UPPER(TRIM($DX889))),999)),ISNUMBER(VALUE(TRIM($DX889)))),VALUE(TRIM($DX889)),"")))),""))</f>
        <v/>
      </c>
      <c r="DZ889">
        <f>IF($DM889=0,"",IF($L$17=0,"",IFERROR(IF(ISNUMBER(INDEX(PASTE_ALL,$DF889,$L$17)),INDEX(PASTE_ALL,$DF889,$L$17),SUBSTITUTE(SUBSTITUTE(TRIM(SUBSTITUTE(SUBSTITUTE(SUBSTITUTE(SUBSTITUTE(INDEX(PASTE_ALL,$DF889,$L$17)," "," "),CHAR(9)," "),CHAR(10)," "),CHAR(13)," ")),",",""),"%","")),"")))</f>
        <v/>
      </c>
      <c r="EA889">
        <f>IF($DM889=0,"",IFERROR(IF(ISNUMBER($DZ889),$DZ889,IF($DZ889="","",IF(TRIM($DZ889)="",0,IF(AND(AND(SUBSTITUTE(SUBSTITUTE(SUBSTITUTE(SUBSTITUTE(SUBSTITUTE(SUBSTITUTE(SUBSTITUTE(SUBSTITUTE(SUBSTITUTE(SUBSTITUTE(SUBSTITUTE(SUBSTITUTE(SUBSTITUTE(SUBSTITUTE(UPPER(TRIM($DZ889)),"0",""),"1",""),"2",""),"3",""),"4",""),"5",""),"6",""),"7",""),"8",""),"9",""),".",""),"+",""),"-",""),"E","")="",LEN(SUBSTITUTE(SUBSTITUTE(MID(UPPER(TRIM($DZ889)),1+OR(LEFT(UPPER(TRIM($DZ889)),1)="+",LEFT(UPPER(TRIM($DZ889)),1)="-"),999),"E+","E"),"E-","E"))=LEN(SUBSTITUTE(SUBSTITUTE(SUBSTITUTE(SUBSTITUTE(MID(UPPER(TRIM($DZ889)),1+OR(LEFT(UPPER(TRIM($DZ889)),1)="+",LEFT(UPPER(TRIM($DZ889)),1)="-"),999),"E+","E"),"E-","E"),"+",""),"-","")),LEN(UPPER(TRIM($DZ889)))-LEN(SUBSTITUTE(UPPER(TRIM($DZ889)),"E",""))&lt;2,LEN(UPPER(TRIM($DZ889)))-LEN(SUBSTITUTE(UPPER(TRIM($DZ889)),".",""))&lt;2,IFERROR(FIND(".",UPPER(TRIM($DZ889))),0)&lt;IFERROR(FIND("E",UPPER(TRIM($DZ889))),999)),ISNUMBER(VALUE(TRIM($DZ889)))),VALUE(TRIM($DZ889)),"")))),""))</f>
        <v/>
      </c>
      <c r="EB889">
        <f>IF($DM889=0,"",IF($L$18=0,"",IFERROR(IF(UPPER(TRIM(SUBSTITUTE(SUBSTITUTE(SUBSTITUTE(SUBSTITUTE(INDEX(PASTE_ALL,$DF889,$L$18)," "," "),CHAR(9)," "),CHAR(10)," "),CHAR(13)," ")))="READY","Ready",IF(UPPER(TRIM(SUBSTITUTE(SUBSTITUTE(SUBSTITUTE(SUBSTITUTE(INDEX(PASTE_ALL,$DF889,$L$18)," "," "),CHAR(9)," "),CHAR(10)," "),CHAR(13)," ")))="PM","PM",IF(OR(UPPER(TRIM(SUBSTITUTE(SUBSTITUTE(SUBSTITUTE(SUBSTITUTE(INDEX(PASTE_ALL,$DF889,$L$18)," "," "),CHAR(9)," "),CHAR(10)," "),CHAR(13)," ")))="OT",UPPER(TRIM(SUBSTITUTE(SUBSTITUTE(SUBSTITUTE(SUBSTITUTE(INDEX(PASTE_ALL,$DF889,$L$18)," "," "),CHAR(9)," "),CHAR(10)," "),CHAR(13)," ")))="OVERTIME",UPPER(TRIM(SUBSTITUTE(SUBSTITUTE(SUBSTITUTE(SUBSTITUTE(INDEX(PASTE_ALL,$DF889,$L$18)," "," "),CHAR(9)," "),CHAR(10)," "),CHAR(13)," ")))="TRIAL"),"OT",TRIM(SUBSTITUTE(SUBSTITUTE(SUBSTITUTE(SUBSTITUTE(INDEX(PASTE_ALL,$DF889,$L$18)," "," "),CHAR(9)," "),CHAR(10)," "),CHAR(13)," "))))),"")))</f>
        <v/>
      </c>
      <c r="EC889">
        <f>IF($DM889=0,"",IF($L$19=0,"",IFERROR(IF(ISNUMBER(INDEX(PASTE_ALL,$DF889,$L$19)),INDEX(PASTE_ALL,$DF889,$L$19),TRIM(SUBSTITUTE(SUBSTITUTE(SUBSTITUTE(SUBSTITUTE(INDEX(PASTE_ALL,$DF889,$L$19)," "," "),CHAR(9)," "),CHAR(10)," "),CHAR(13)," "))),"")))</f>
        <v/>
      </c>
      <c r="ED889">
        <f>IF($DM889=0,"",MATCH(1,INDEX(EXACT($DH$5:DH889,$DH889)*$DM$5:DM889,0),0))</f>
        <v/>
      </c>
      <c r="EE889">
        <f>IF($DM889=0,0,IF($ED889=$DE889,1,0))</f>
        <v/>
      </c>
      <c r="EF889">
        <f>EF888+$EE889</f>
        <v/>
      </c>
      <c r="EG889">
        <f>IF($DM889=0,"",INDEX($EF$5:$EF$1003,$ED889))</f>
        <v/>
      </c>
      <c r="EH889">
        <f>IF($DM889=0,"",IF($DO889&lt;&gt;"","",IFERROR(LOOKUP(2,1/(($EG$4:EG888=$EG889)*($DO$4:DO888&lt;&gt;"")),$DO$4:DO888),"")))</f>
        <v/>
      </c>
      <c r="EI889">
        <f>IF($DM889=0,"",IF($DO889&lt;&gt;"",$DO889,$EH889))</f>
        <v/>
      </c>
      <c r="EJ889">
        <f>IF($DM889=0,"",IF($EI889="",0,IF(OR(ISNUMBER($EI889),AND(AND(SUBSTITUTE(SUBSTITUTE(SUBSTITUTE(SUBSTITUTE(SUBSTITUTE(SUBSTITUTE(SUBSTITUTE(SUBSTITUTE(SUBSTITUTE(SUBSTITUTE(SUBSTITUTE(SUBSTITUTE(SUBSTITUTE(SUBSTITUTE(UPPER($EI889),"0",""),"1",""),"2",""),"3",""),"4",""),"5",""),"6",""),"7",""),"8",""),"9",""),".",""),"+",""),"-",""),"E","")="",LEN(SUBSTITUTE(SUBSTITUTE(MID(UPPER($EI889),1+OR(LEFT(UPPER($EI889),1)="+",LEFT(UPPER($EI889),1)="-"),999),"E+","E"),"E-","E"))=LEN(SUBSTITUTE(SUBSTITUTE(SUBSTITUTE(SUBSTITUTE(MID(UPPER($EI889),1+OR(LEFT(UPPER($EI889),1)="+",LEFT(UPPER($EI889),1)="-"),999),"E+","E"),"E-","E"),"+",""),"-","")),LEN(UPPER($EI889))-LEN(SUBSTITUTE(UPPER($EI889),"E",""))&lt;2,LEN(UPPER($EI889))-LEN(SUBSTITUTE(UPPER($EI889),".",""))&lt;2,IFERROR(FIND(".",UPPER($EI889)),0)&lt;IFERROR(FIND("E",UPPER($EI889)),999)),ISNUMBER(VALUE($EI889)))),1,2)))</f>
        <v/>
      </c>
      <c r="EK889">
        <f>IF($DM889=0,"",IF($EJ889=1,IF(ISNUMBER($EI889),$EI889,VALUE($EI889)),IF($EJ889=2,$DE889,0)))</f>
        <v/>
      </c>
      <c r="EL889">
        <f>IF($DM889=0,"",COUNTIF($EG$5:$EG$1003,"&lt;"&amp;$EG889)+SUMPRODUCT(($EG$5:$EG$1003=$EG889)*(($EJ$5:$EJ$1003&lt;$EJ889)+($EJ$5:$EJ$1003=$EJ889)*(($EK$5:$EK$1003&lt;$EK889)+($EK$5:$EK$1003=$EK889)*($DE$5:$DE$1003&lt;$DE889))))+1)</f>
        <v/>
      </c>
      <c r="EM889">
        <f>IF($DM889=0,"",$EL889+$EG889-1)</f>
        <v/>
      </c>
      <c r="EN889">
        <f>IF($DM889=0,0,IFERROR(MATCH(1,INDEX(--(TRIM(SUBSTITUTE(SUBSTITUTE(SUBSTITUTE(SUBSTITUTE(LINES_NAME&amp;""," "," "),CHAR(9)," "),CHAR(10)," "),CHAR(13)," "))=$DH889),0),0),0))</f>
        <v/>
      </c>
      <c r="EO889">
        <f>IF($EN889=0,0,IF(OR(UPPER(TRIM(INDEX(LINES_SCHEDULED,$EN889)&amp;""))="YES",UPPER(TRIM(INDEX(LINES_SCHEDULED,$EN889)&amp;""))="Y",UPPER(TRIM(INDEX(LINES_SCHEDULED,$EN889)&amp;""))="X"),1,0))</f>
        <v/>
      </c>
      <c r="EP889">
        <f>IF($DM889=0,"",IF(COUNTIFS($EG$5:$EG$1003,$EG889,$EB$5:$EB$1003,"Ready")&gt;0,"READY",IF(COUNTIFS($EG$5:$EG$1003,$EG889,$EB$5:$EB$1003,"PM")&gt;0,"PM",IF(COUNTIFS($EG$5:$EG$1003,$EG889,$EB$5:$EB$1003,"OT")&gt;0,"OT",""))))</f>
        <v/>
      </c>
      <c r="EQ889">
        <f>IF($EN889=0,"",UPPER(TRIM(INDEX(LINES_STATUS,$EN889)&amp;"")))</f>
        <v/>
      </c>
      <c r="ER889">
        <f>IF($DM889=0,"",IF(OR($EQ889="READY",$EQ889="PM",$EQ889="OT"),$EQ889,$EP889))</f>
        <v/>
      </c>
      <c r="ES889">
        <f>IF($DM889=0,"",IF(AND($DV889&lt;&gt;"",UPPER($DV889)&lt;&gt;"N"),"allergen",IF(ISNUMBER(SEARCH("oil",$DQ889)),"oil",IF(OR(EXACT($DS889,"A662"),EXACT($DS889,"A624")),"bulk",""))))</f>
        <v/>
      </c>
      <c r="ET889">
        <f>IF($DM889=0,"",IF(OR($EA889="",$EA889=0),"",$EA889/100))</f>
        <v/>
      </c>
      <c r="EU889">
        <f>IF(OR($ET889="",$DY889=""),"",INT($DY889*(1-$ET889)+0.5))</f>
        <v/>
      </c>
    </row>
    <row r="890">
      <c r="DA890" t="n">
        <v>886</v>
      </c>
      <c r="DB890">
        <f>IF($B$37=0,"",IFERROR(TRIM(SUBSTITUTE(SUBSTITUTE(SUBSTITUTE(SUBSTITUTE(INDEX(PASTE_ALL,886,$B$37)," "," "),CHAR(9)," "),CHAR(10)," "),CHAR(13)," ")),""))</f>
        <v/>
      </c>
      <c r="DC890">
        <f>IF(AND(886&gt;HEADER_ROW,UPPER(DB890)="LEGEND"),1,0)</f>
        <v/>
      </c>
      <c r="DE890" t="n">
        <v>886</v>
      </c>
      <c r="DF890">
        <f>HEADER_ROW+$DE890</f>
        <v/>
      </c>
      <c r="DG890">
        <f>IF(AND($DF890&lt;=1000,$DF890&lt;$B$8),1,0)</f>
        <v/>
      </c>
      <c r="DH890">
        <f>IF($DG890=1,IFERROR(INDEX($DB$5:$DB$1004,$DF890),""),"")</f>
        <v/>
      </c>
      <c r="DI890">
        <f>IF(AND($DG890=1,$DH890&lt;&gt;""),IFERROR(SUBSTITUTE(SUBSTITUTE(TRIM(SUBSTITUTE(SUBSTITUTE(SUBSTITUTE(SUBSTITUTE(IFERROR(INDEX(PASTE_ALL,$DF890,1)&amp;"","")&amp;"␟"&amp;IFERROR(INDEX(PASTE_ALL,$DF890,2)&amp;"","")&amp;"␟"&amp;IFERROR(INDEX(PASTE_ALL,$DF890,3)&amp;"","")&amp;"␟"&amp;IFERROR(INDEX(PASTE_ALL,$DF890,4)&amp;"","")&amp;"␟"&amp;IFERROR(INDEX(PASTE_ALL,$DF890,5)&amp;"","")&amp;"␟"&amp;IFERROR(INDEX(PASTE_ALL,$DF890,6)&amp;"","")&amp;"␟"&amp;IFERROR(INDEX(PASTE_ALL,$DF890,7)&amp;"","")&amp;"␟"&amp;IFERROR(INDEX(PASTE_ALL,$DF890,8)&amp;"","")&amp;"␟"&amp;IFERROR(INDEX(PASTE_ALL,$DF890,9)&amp;"","")&amp;"␟"&amp;IFERROR(INDEX(PASTE_ALL,$DF890,10)&amp;"","")&amp;"␟"&amp;IFERROR(INDEX(PASTE_ALL,$DF890,11)&amp;"","")&amp;"␟"&amp;IFERROR(INDEX(PASTE_ALL,$DF890,12)&amp;"","")&amp;"␟"&amp;IFERROR(INDEX(PASTE_ALL,$DF890,13)&amp;"","")&amp;"␟"&amp;IFERROR(INDEX(PASTE_ALL,$DF890,14)&amp;"","")&amp;"␟"&amp;IFERROR(INDEX(PASTE_ALL,$DF890,15)&amp;"","")&amp;"␟"&amp;IFERROR(INDEX(PASTE_ALL,$DF890,16)&amp;"","")&amp;"␟"&amp;IFERROR(INDEX(PASTE_ALL,$DF890,17)&amp;"","")&amp;"␟"&amp;IFERROR(INDEX(PASTE_ALL,$DF890,18)&amp;"","")&amp;"␟"&amp;IFERROR(INDEX(PASTE_ALL,$DF890,19)&amp;"","")&amp;"␟"&amp;IFERROR(INDEX(PASTE_ALL,$DF890,20)&amp;"","")&amp;"␟"&amp;IFERROR(INDEX(PASTE_ALL,$DF890,21)&amp;"","")&amp;"␟"&amp;IFERROR(INDEX(PASTE_ALL,$DF890,22)&amp;"","")&amp;"␟"&amp;IFERROR(INDEX(PASTE_ALL,$DF890,23)&amp;"","")&amp;"␟"&amp;IFERROR(INDEX(PASTE_ALL,$DF890,24)&amp;"","")&amp;"␟"&amp;IFERROR(INDEX(PASTE_ALL,$DF890,25)&amp;"","")&amp;"␟"&amp;IFERROR(INDEX(PASTE_ALL,$DF890,26)&amp;"","")&amp;"␟"&amp;IFERROR(INDEX(PASTE_ALL,$DF890,27)&amp;"","")&amp;"␟"&amp;IFERROR(INDEX(PASTE_ALL,$DF890,28)&amp;"","")&amp;"␟"&amp;IFERROR(INDEX(PASTE_ALL,$DF890,29)&amp;"","")&amp;"␟"&amp;IFERROR(INDEX(PASTE_ALL,$DF890,30)&amp;"","")&amp;"␟"&amp;IFERROR(INDEX(PASTE_ALL,$DF890,31)&amp;"","")&amp;"␟"&amp;IFERROR(INDEX(PASTE_ALL,$DF890,32)&amp;"","")&amp;"␟"&amp;IFERROR(INDEX(PASTE_ALL,$DF890,33)&amp;"","")&amp;"␟"&amp;IFERROR(INDEX(PASTE_ALL,$DF890,34)&amp;"","")&amp;"␟"&amp;IFERROR(INDEX(PASTE_ALL,$DF890,35)&amp;"","")&amp;"␟"&amp;IFERROR(INDEX(PASTE_ALL,$DF890,36)&amp;"","")&amp;"␟"&amp;IFERROR(INDEX(PASTE_ALL,$DF890,37)&amp;"","")&amp;"␟"&amp;IFERROR(INDEX(PASTE_ALL,$DF890,38)&amp;"","")&amp;"␟"&amp;IFERROR(INDEX(PASTE_ALL,$DF890,39)&amp;"","")&amp;"␟"&amp;IFERROR(INDEX(PASTE_ALL,$DF890,40)&amp;"","")&amp;"␟"&amp;IFERROR(INDEX(PASTE_ALL,$DF890,41)&amp;"","")&amp;"␟"&amp;IFERROR(INDEX(PASTE_ALL,$DF890,42)&amp;"","")&amp;"␟"&amp;IFERROR(INDEX(PASTE_ALL,$DF890,43)&amp;"","")&amp;"␟"&amp;IFERROR(INDEX(PASTE_ALL,$DF890,44)&amp;"","")&amp;"␟"&amp;IFERROR(INDEX(PASTE_ALL,$DF890,45)&amp;"","")&amp;"␟"&amp;IFERROR(INDEX(PASTE_ALL,$DF890,46)&amp;"","")&amp;"␟"&amp;IFERROR(INDEX(PASTE_ALL,$DF890,47)&amp;"","")&amp;"␟"&amp;IFERROR(INDEX(PASTE_ALL,$DF890,48)&amp;"","")&amp;"␟"&amp;IFERROR(INDEX(PASTE_ALL,$DF890,49)&amp;"","")&amp;"␟"&amp;IFERROR(INDEX(PASTE_ALL,$DF890,50)&amp;"","")&amp;"␟"&amp;IFERROR(INDEX(PASTE_ALL,$DF890,51)&amp;"","")&amp;"␟"&amp;IFERROR(INDEX(PASTE_ALL,$DF890,52)&amp;"","")&amp;"␟"&amp;IFERROR(INDEX(PASTE_ALL,$DF890,53)&amp;"","")&amp;"␟"&amp;IFERROR(INDEX(PASTE_ALL,$DF890,54)&amp;"","")&amp;"␟"&amp;IFERROR(INDEX(PASTE_ALL,$DF890,55)&amp;"","")&amp;"␟"&amp;IFERROR(INDEX(PASTE_ALL,$DF890,56)&amp;"","")&amp;"␟"&amp;IFERROR(INDEX(PASTE_ALL,$DF890,57)&amp;"","")&amp;"␟"&amp;IFERROR(INDEX(PASTE_ALL,$DF890,58)&amp;"","")&amp;"␟"&amp;IFERROR(INDEX(PASTE_ALL,$DF890,59)&amp;"","")&amp;"␟"&amp;IFERROR(INDEX(PASTE_ALL,$DF890,60)&amp;"","")," "," "),CHAR(9)," "),CHAR(10)," "),CHAR(13)," "))," ␟","␟"),"␟ ","␟"),"#"&amp;$DE890),"")</f>
        <v/>
      </c>
      <c r="DJ890">
        <f>IF($DI890="",0,IF(SUMPRODUCT(--EXACT($DI$4:DI889,$DI890))&gt;0,1,0))</f>
        <v/>
      </c>
      <c r="DK890">
        <f>IF(AND($DI890&lt;&gt;"",$DJ890=0),1,0)</f>
        <v/>
      </c>
      <c r="DL890">
        <f>DL889+$DK890</f>
        <v/>
      </c>
      <c r="DM890">
        <f>IF(AND($DK890=1,$DL890&lt;=600),1,0)</f>
        <v/>
      </c>
      <c r="DN890">
        <f>IF($DM890=0,"",IF($L$6=0,"",IFERROR(IF(ISNUMBER(INDEX(PASTE_ALL,$DF890,$L$6)),INDEX(PASTE_ALL,$DF890,$L$6),TRIM(SUBSTITUTE(SUBSTITUTE(SUBSTITUTE(SUBSTITUTE(INDEX(PASTE_ALL,$DF890,$L$6)," "," "),CHAR(9)," "),CHAR(10)," "),CHAR(13)," "))),"")))</f>
        <v/>
      </c>
      <c r="DO890">
        <f>IF($DM890=0,"",IF($L$7=0,"",IFERROR(IF(ISNUMBER(INDEX(PASTE_ALL,$DF890,$L$7)),INDEX(PASTE_ALL,$DF890,$L$7),TRIM(SUBSTITUTE(SUBSTITUTE(SUBSTITUTE(SUBSTITUTE(INDEX(PASTE_ALL,$DF890,$L$7)," "," "),CHAR(9)," "),CHAR(10)," "),CHAR(13)," "))),"")))</f>
        <v/>
      </c>
      <c r="DP890">
        <f>IF($DM890=0,"",IF($L$8=0,"",IFERROR(IF(ISNUMBER(INDEX(PASTE_ALL,$DF890,$L$8)),INDEX(PASTE_ALL,$DF890,$L$8),TRIM(SUBSTITUTE(SUBSTITUTE(SUBSTITUTE(SUBSTITUTE(INDEX(PASTE_ALL,$DF890,$L$8)," "," "),CHAR(9)," "),CHAR(10)," "),CHAR(13)," "))),"")))</f>
        <v/>
      </c>
      <c r="DQ890">
        <f>IF($DM890=0,"",IF($L$9=0,"",IFERROR(IF(ISNUMBER(INDEX(PASTE_ALL,$DF890,$L$9)),INDEX(PASTE_ALL,$DF890,$L$9),TRIM(SUBSTITUTE(SUBSTITUTE(SUBSTITUTE(SUBSTITUTE(INDEX(PASTE_ALL,$DF890,$L$9)," "," "),CHAR(9)," "),CHAR(10)," "),CHAR(13)," "))),"")))</f>
        <v/>
      </c>
      <c r="DR890">
        <f>IF($DM890=0,"",IF($L$10=0,"",IFERROR(IF(ISNUMBER(INDEX(PASTE_ALL,$DF890,$L$10)),INDEX(PASTE_ALL,$DF890,$L$10),TRIM(SUBSTITUTE(SUBSTITUTE(SUBSTITUTE(SUBSTITUTE(INDEX(PASTE_ALL,$DF890,$L$10)," "," "),CHAR(9)," "),CHAR(10)," "),CHAR(13)," "))),"")))</f>
        <v/>
      </c>
      <c r="DS890">
        <f>IF($DM890=0,"",IF($L$11=0,"",IFERROR(IF(ISNUMBER(INDEX(PASTE_ALL,$DF890,$L$11)),INDEX(PASTE_ALL,$DF890,$L$11),TRIM(SUBSTITUTE(SUBSTITUTE(SUBSTITUTE(SUBSTITUTE(INDEX(PASTE_ALL,$DF890,$L$11)," "," "),CHAR(9)," "),CHAR(10)," "),CHAR(13)," "))),"")))</f>
        <v/>
      </c>
      <c r="DT890">
        <f>IF($DM890=0,"",IF($L$12=0,"",IFERROR(IF(ISNUMBER(INDEX(PASTE_ALL,$DF890,$L$12)),INDEX(PASTE_ALL,$DF890,$L$12),TRIM(SUBSTITUTE(SUBSTITUTE(SUBSTITUTE(SUBSTITUTE(INDEX(PASTE_ALL,$DF890,$L$12)," "," "),CHAR(9)," "),CHAR(10)," "),CHAR(13)," "))),"")))</f>
        <v/>
      </c>
      <c r="DU890">
        <f>IF($DM890=0,"",IF($L$13=0,"",IFERROR(IF(ISNUMBER(INDEX(PASTE_ALL,$DF890,$L$13)),INDEX(PASTE_ALL,$DF890,$L$13),TRIM(SUBSTITUTE(SUBSTITUTE(SUBSTITUTE(SUBSTITUTE(INDEX(PASTE_ALL,$DF890,$L$13)," "," "),CHAR(9)," "),CHAR(10)," "),CHAR(13)," "))),"")))</f>
        <v/>
      </c>
      <c r="DV890">
        <f>IF($DM890=0,"",IF($L$14=0,"",IFERROR(IF(ISNUMBER(INDEX(PASTE_ALL,$DF890,$L$14)),INDEX(PASTE_ALL,$DF890,$L$14),TRIM(SUBSTITUTE(SUBSTITUTE(SUBSTITUTE(SUBSTITUTE(INDEX(PASTE_ALL,$DF890,$L$14)," "," "),CHAR(9)," "),CHAR(10)," "),CHAR(13)," "))),"")))</f>
        <v/>
      </c>
      <c r="DW890">
        <f>IF($DM890=0,"",IF($L$15=0,"",IFERROR(IF(ISNUMBER(INDEX(PASTE_ALL,$DF890,$L$15)),INDEX(PASTE_ALL,$DF890,$L$15),IF(SUMPRODUCT(--ISNUMBER(FIND({"A","B","C","D","E","F","G","H","I","J","K","L","M","N","O","P","Q","R","S","T","U","V","W","X","Y","Z","0","1","2","3","4","5","6","7","8","9"},UPPER(TRIM(SUBSTITUTE(SUBSTITUTE(SUBSTITUTE(SUBSTITUTE(INDEX(PASTE_ALL,$DF890,$L$15)," "," "),CHAR(9)," "),CHAR(10)," "),CHAR(13)," "))))))&gt;0,TRIM(SUBSTITUTE(SUBSTITUTE(SUBSTITUTE(SUBSTITUTE(INDEX(PASTE_ALL,$DF890,$L$15)," "," "),CHAR(9)," "),CHAR(10)," "),CHAR(13)," ")),"")),"")))</f>
        <v/>
      </c>
      <c r="DX890">
        <f>IF($DM890=0,"",IF($L$16=0,"",IFERROR(IF(ISNUMBER(INDEX(PASTE_ALL,$DF890,$L$16)),INDEX(PASTE_ALL,$DF890,$L$16),SUBSTITUTE(SUBSTITUTE(TRIM(SUBSTITUTE(SUBSTITUTE(SUBSTITUTE(SUBSTITUTE(INDEX(PASTE_ALL,$DF890,$L$16)," "," "),CHAR(9)," "),CHAR(10)," "),CHAR(13)," ")),",",""),"%","")),"")))</f>
        <v/>
      </c>
      <c r="DY890">
        <f>IF($DM890=0,"",IFERROR(IF(ISNUMBER($DX890),$DX890,IF($DX890="","",IF(TRIM($DX890)="",0,IF(AND(AND(SUBSTITUTE(SUBSTITUTE(SUBSTITUTE(SUBSTITUTE(SUBSTITUTE(SUBSTITUTE(SUBSTITUTE(SUBSTITUTE(SUBSTITUTE(SUBSTITUTE(SUBSTITUTE(SUBSTITUTE(SUBSTITUTE(SUBSTITUTE(UPPER(TRIM($DX890)),"0",""),"1",""),"2",""),"3",""),"4",""),"5",""),"6",""),"7",""),"8",""),"9",""),".",""),"+",""),"-",""),"E","")="",LEN(SUBSTITUTE(SUBSTITUTE(MID(UPPER(TRIM($DX890)),1+OR(LEFT(UPPER(TRIM($DX890)),1)="+",LEFT(UPPER(TRIM($DX890)),1)="-"),999),"E+","E"),"E-","E"))=LEN(SUBSTITUTE(SUBSTITUTE(SUBSTITUTE(SUBSTITUTE(MID(UPPER(TRIM($DX890)),1+OR(LEFT(UPPER(TRIM($DX890)),1)="+",LEFT(UPPER(TRIM($DX890)),1)="-"),999),"E+","E"),"E-","E"),"+",""),"-","")),LEN(UPPER(TRIM($DX890)))-LEN(SUBSTITUTE(UPPER(TRIM($DX890)),"E",""))&lt;2,LEN(UPPER(TRIM($DX890)))-LEN(SUBSTITUTE(UPPER(TRIM($DX890)),".",""))&lt;2,IFERROR(FIND(".",UPPER(TRIM($DX890))),0)&lt;IFERROR(FIND("E",UPPER(TRIM($DX890))),999)),ISNUMBER(VALUE(TRIM($DX890)))),VALUE(TRIM($DX890)),"")))),""))</f>
        <v/>
      </c>
      <c r="DZ890">
        <f>IF($DM890=0,"",IF($L$17=0,"",IFERROR(IF(ISNUMBER(INDEX(PASTE_ALL,$DF890,$L$17)),INDEX(PASTE_ALL,$DF890,$L$17),SUBSTITUTE(SUBSTITUTE(TRIM(SUBSTITUTE(SUBSTITUTE(SUBSTITUTE(SUBSTITUTE(INDEX(PASTE_ALL,$DF890,$L$17)," "," "),CHAR(9)," "),CHAR(10)," "),CHAR(13)," ")),",",""),"%","")),"")))</f>
        <v/>
      </c>
      <c r="EA890">
        <f>IF($DM890=0,"",IFERROR(IF(ISNUMBER($DZ890),$DZ890,IF($DZ890="","",IF(TRIM($DZ890)="",0,IF(AND(AND(SUBSTITUTE(SUBSTITUTE(SUBSTITUTE(SUBSTITUTE(SUBSTITUTE(SUBSTITUTE(SUBSTITUTE(SUBSTITUTE(SUBSTITUTE(SUBSTITUTE(SUBSTITUTE(SUBSTITUTE(SUBSTITUTE(SUBSTITUTE(UPPER(TRIM($DZ890)),"0",""),"1",""),"2",""),"3",""),"4",""),"5",""),"6",""),"7",""),"8",""),"9",""),".",""),"+",""),"-",""),"E","")="",LEN(SUBSTITUTE(SUBSTITUTE(MID(UPPER(TRIM($DZ890)),1+OR(LEFT(UPPER(TRIM($DZ890)),1)="+",LEFT(UPPER(TRIM($DZ890)),1)="-"),999),"E+","E"),"E-","E"))=LEN(SUBSTITUTE(SUBSTITUTE(SUBSTITUTE(SUBSTITUTE(MID(UPPER(TRIM($DZ890)),1+OR(LEFT(UPPER(TRIM($DZ890)),1)="+",LEFT(UPPER(TRIM($DZ890)),1)="-"),999),"E+","E"),"E-","E"),"+",""),"-","")),LEN(UPPER(TRIM($DZ890)))-LEN(SUBSTITUTE(UPPER(TRIM($DZ890)),"E",""))&lt;2,LEN(UPPER(TRIM($DZ890)))-LEN(SUBSTITUTE(UPPER(TRIM($DZ890)),".",""))&lt;2,IFERROR(FIND(".",UPPER(TRIM($DZ890))),0)&lt;IFERROR(FIND("E",UPPER(TRIM($DZ890))),999)),ISNUMBER(VALUE(TRIM($DZ890)))),VALUE(TRIM($DZ890)),"")))),""))</f>
        <v/>
      </c>
      <c r="EB890">
        <f>IF($DM890=0,"",IF($L$18=0,"",IFERROR(IF(UPPER(TRIM(SUBSTITUTE(SUBSTITUTE(SUBSTITUTE(SUBSTITUTE(INDEX(PASTE_ALL,$DF890,$L$18)," "," "),CHAR(9)," "),CHAR(10)," "),CHAR(13)," ")))="READY","Ready",IF(UPPER(TRIM(SUBSTITUTE(SUBSTITUTE(SUBSTITUTE(SUBSTITUTE(INDEX(PASTE_ALL,$DF890,$L$18)," "," "),CHAR(9)," "),CHAR(10)," "),CHAR(13)," ")))="PM","PM",IF(OR(UPPER(TRIM(SUBSTITUTE(SUBSTITUTE(SUBSTITUTE(SUBSTITUTE(INDEX(PASTE_ALL,$DF890,$L$18)," "," "),CHAR(9)," "),CHAR(10)," "),CHAR(13)," ")))="OT",UPPER(TRIM(SUBSTITUTE(SUBSTITUTE(SUBSTITUTE(SUBSTITUTE(INDEX(PASTE_ALL,$DF890,$L$18)," "," "),CHAR(9)," "),CHAR(10)," "),CHAR(13)," ")))="OVERTIME",UPPER(TRIM(SUBSTITUTE(SUBSTITUTE(SUBSTITUTE(SUBSTITUTE(INDEX(PASTE_ALL,$DF890,$L$18)," "," "),CHAR(9)," "),CHAR(10)," "),CHAR(13)," ")))="TRIAL"),"OT",TRIM(SUBSTITUTE(SUBSTITUTE(SUBSTITUTE(SUBSTITUTE(INDEX(PASTE_ALL,$DF890,$L$18)," "," "),CHAR(9)," "),CHAR(10)," "),CHAR(13)," "))))),"")))</f>
        <v/>
      </c>
      <c r="EC890">
        <f>IF($DM890=0,"",IF($L$19=0,"",IFERROR(IF(ISNUMBER(INDEX(PASTE_ALL,$DF890,$L$19)),INDEX(PASTE_ALL,$DF890,$L$19),TRIM(SUBSTITUTE(SUBSTITUTE(SUBSTITUTE(SUBSTITUTE(INDEX(PASTE_ALL,$DF890,$L$19)," "," "),CHAR(9)," "),CHAR(10)," "),CHAR(13)," "))),"")))</f>
        <v/>
      </c>
      <c r="ED890">
        <f>IF($DM890=0,"",MATCH(1,INDEX(EXACT($DH$5:DH890,$DH890)*$DM$5:DM890,0),0))</f>
        <v/>
      </c>
      <c r="EE890">
        <f>IF($DM890=0,0,IF($ED890=$DE890,1,0))</f>
        <v/>
      </c>
      <c r="EF890">
        <f>EF889+$EE890</f>
        <v/>
      </c>
      <c r="EG890">
        <f>IF($DM890=0,"",INDEX($EF$5:$EF$1003,$ED890))</f>
        <v/>
      </c>
      <c r="EH890">
        <f>IF($DM890=0,"",IF($DO890&lt;&gt;"","",IFERROR(LOOKUP(2,1/(($EG$4:EG889=$EG890)*($DO$4:DO889&lt;&gt;"")),$DO$4:DO889),"")))</f>
        <v/>
      </c>
      <c r="EI890">
        <f>IF($DM890=0,"",IF($DO890&lt;&gt;"",$DO890,$EH890))</f>
        <v/>
      </c>
      <c r="EJ890">
        <f>IF($DM890=0,"",IF($EI890="",0,IF(OR(ISNUMBER($EI890),AND(AND(SUBSTITUTE(SUBSTITUTE(SUBSTITUTE(SUBSTITUTE(SUBSTITUTE(SUBSTITUTE(SUBSTITUTE(SUBSTITUTE(SUBSTITUTE(SUBSTITUTE(SUBSTITUTE(SUBSTITUTE(SUBSTITUTE(SUBSTITUTE(UPPER($EI890),"0",""),"1",""),"2",""),"3",""),"4",""),"5",""),"6",""),"7",""),"8",""),"9",""),".",""),"+",""),"-",""),"E","")="",LEN(SUBSTITUTE(SUBSTITUTE(MID(UPPER($EI890),1+OR(LEFT(UPPER($EI890),1)="+",LEFT(UPPER($EI890),1)="-"),999),"E+","E"),"E-","E"))=LEN(SUBSTITUTE(SUBSTITUTE(SUBSTITUTE(SUBSTITUTE(MID(UPPER($EI890),1+OR(LEFT(UPPER($EI890),1)="+",LEFT(UPPER($EI890),1)="-"),999),"E+","E"),"E-","E"),"+",""),"-","")),LEN(UPPER($EI890))-LEN(SUBSTITUTE(UPPER($EI890),"E",""))&lt;2,LEN(UPPER($EI890))-LEN(SUBSTITUTE(UPPER($EI890),".",""))&lt;2,IFERROR(FIND(".",UPPER($EI890)),0)&lt;IFERROR(FIND("E",UPPER($EI890)),999)),ISNUMBER(VALUE($EI890)))),1,2)))</f>
        <v/>
      </c>
      <c r="EK890">
        <f>IF($DM890=0,"",IF($EJ890=1,IF(ISNUMBER($EI890),$EI890,VALUE($EI890)),IF($EJ890=2,$DE890,0)))</f>
        <v/>
      </c>
      <c r="EL890">
        <f>IF($DM890=0,"",COUNTIF($EG$5:$EG$1003,"&lt;"&amp;$EG890)+SUMPRODUCT(($EG$5:$EG$1003=$EG890)*(($EJ$5:$EJ$1003&lt;$EJ890)+($EJ$5:$EJ$1003=$EJ890)*(($EK$5:$EK$1003&lt;$EK890)+($EK$5:$EK$1003=$EK890)*($DE$5:$DE$1003&lt;$DE890))))+1)</f>
        <v/>
      </c>
      <c r="EM890">
        <f>IF($DM890=0,"",$EL890+$EG890-1)</f>
        <v/>
      </c>
      <c r="EN890">
        <f>IF($DM890=0,0,IFERROR(MATCH(1,INDEX(--(TRIM(SUBSTITUTE(SUBSTITUTE(SUBSTITUTE(SUBSTITUTE(LINES_NAME&amp;""," "," "),CHAR(9)," "),CHAR(10)," "),CHAR(13)," "))=$DH890),0),0),0))</f>
        <v/>
      </c>
      <c r="EO890">
        <f>IF($EN890=0,0,IF(OR(UPPER(TRIM(INDEX(LINES_SCHEDULED,$EN890)&amp;""))="YES",UPPER(TRIM(INDEX(LINES_SCHEDULED,$EN890)&amp;""))="Y",UPPER(TRIM(INDEX(LINES_SCHEDULED,$EN890)&amp;""))="X"),1,0))</f>
        <v/>
      </c>
      <c r="EP890">
        <f>IF($DM890=0,"",IF(COUNTIFS($EG$5:$EG$1003,$EG890,$EB$5:$EB$1003,"Ready")&gt;0,"READY",IF(COUNTIFS($EG$5:$EG$1003,$EG890,$EB$5:$EB$1003,"PM")&gt;0,"PM",IF(COUNTIFS($EG$5:$EG$1003,$EG890,$EB$5:$EB$1003,"OT")&gt;0,"OT",""))))</f>
        <v/>
      </c>
      <c r="EQ890">
        <f>IF($EN890=0,"",UPPER(TRIM(INDEX(LINES_STATUS,$EN890)&amp;"")))</f>
        <v/>
      </c>
      <c r="ER890">
        <f>IF($DM890=0,"",IF(OR($EQ890="READY",$EQ890="PM",$EQ890="OT"),$EQ890,$EP890))</f>
        <v/>
      </c>
      <c r="ES890">
        <f>IF($DM890=0,"",IF(AND($DV890&lt;&gt;"",UPPER($DV890)&lt;&gt;"N"),"allergen",IF(ISNUMBER(SEARCH("oil",$DQ890)),"oil",IF(OR(EXACT($DS890,"A662"),EXACT($DS890,"A624")),"bulk",""))))</f>
        <v/>
      </c>
      <c r="ET890">
        <f>IF($DM890=0,"",IF(OR($EA890="",$EA890=0),"",$EA890/100))</f>
        <v/>
      </c>
      <c r="EU890">
        <f>IF(OR($ET890="",$DY890=""),"",INT($DY890*(1-$ET890)+0.5))</f>
        <v/>
      </c>
    </row>
    <row r="891">
      <c r="DA891" t="n">
        <v>887</v>
      </c>
      <c r="DB891">
        <f>IF($B$37=0,"",IFERROR(TRIM(SUBSTITUTE(SUBSTITUTE(SUBSTITUTE(SUBSTITUTE(INDEX(PASTE_ALL,887,$B$37)," "," "),CHAR(9)," "),CHAR(10)," "),CHAR(13)," ")),""))</f>
        <v/>
      </c>
      <c r="DC891">
        <f>IF(AND(887&gt;HEADER_ROW,UPPER(DB891)="LEGEND"),1,0)</f>
        <v/>
      </c>
      <c r="DE891" t="n">
        <v>887</v>
      </c>
      <c r="DF891">
        <f>HEADER_ROW+$DE891</f>
        <v/>
      </c>
      <c r="DG891">
        <f>IF(AND($DF891&lt;=1000,$DF891&lt;$B$8),1,0)</f>
        <v/>
      </c>
      <c r="DH891">
        <f>IF($DG891=1,IFERROR(INDEX($DB$5:$DB$1004,$DF891),""),"")</f>
        <v/>
      </c>
      <c r="DI891">
        <f>IF(AND($DG891=1,$DH891&lt;&gt;""),IFERROR(SUBSTITUTE(SUBSTITUTE(TRIM(SUBSTITUTE(SUBSTITUTE(SUBSTITUTE(SUBSTITUTE(IFERROR(INDEX(PASTE_ALL,$DF891,1)&amp;"","")&amp;"␟"&amp;IFERROR(INDEX(PASTE_ALL,$DF891,2)&amp;"","")&amp;"␟"&amp;IFERROR(INDEX(PASTE_ALL,$DF891,3)&amp;"","")&amp;"␟"&amp;IFERROR(INDEX(PASTE_ALL,$DF891,4)&amp;"","")&amp;"␟"&amp;IFERROR(INDEX(PASTE_ALL,$DF891,5)&amp;"","")&amp;"␟"&amp;IFERROR(INDEX(PASTE_ALL,$DF891,6)&amp;"","")&amp;"␟"&amp;IFERROR(INDEX(PASTE_ALL,$DF891,7)&amp;"","")&amp;"␟"&amp;IFERROR(INDEX(PASTE_ALL,$DF891,8)&amp;"","")&amp;"␟"&amp;IFERROR(INDEX(PASTE_ALL,$DF891,9)&amp;"","")&amp;"␟"&amp;IFERROR(INDEX(PASTE_ALL,$DF891,10)&amp;"","")&amp;"␟"&amp;IFERROR(INDEX(PASTE_ALL,$DF891,11)&amp;"","")&amp;"␟"&amp;IFERROR(INDEX(PASTE_ALL,$DF891,12)&amp;"","")&amp;"␟"&amp;IFERROR(INDEX(PASTE_ALL,$DF891,13)&amp;"","")&amp;"␟"&amp;IFERROR(INDEX(PASTE_ALL,$DF891,14)&amp;"","")&amp;"␟"&amp;IFERROR(INDEX(PASTE_ALL,$DF891,15)&amp;"","")&amp;"␟"&amp;IFERROR(INDEX(PASTE_ALL,$DF891,16)&amp;"","")&amp;"␟"&amp;IFERROR(INDEX(PASTE_ALL,$DF891,17)&amp;"","")&amp;"␟"&amp;IFERROR(INDEX(PASTE_ALL,$DF891,18)&amp;"","")&amp;"␟"&amp;IFERROR(INDEX(PASTE_ALL,$DF891,19)&amp;"","")&amp;"␟"&amp;IFERROR(INDEX(PASTE_ALL,$DF891,20)&amp;"","")&amp;"␟"&amp;IFERROR(INDEX(PASTE_ALL,$DF891,21)&amp;"","")&amp;"␟"&amp;IFERROR(INDEX(PASTE_ALL,$DF891,22)&amp;"","")&amp;"␟"&amp;IFERROR(INDEX(PASTE_ALL,$DF891,23)&amp;"","")&amp;"␟"&amp;IFERROR(INDEX(PASTE_ALL,$DF891,24)&amp;"","")&amp;"␟"&amp;IFERROR(INDEX(PASTE_ALL,$DF891,25)&amp;"","")&amp;"␟"&amp;IFERROR(INDEX(PASTE_ALL,$DF891,26)&amp;"","")&amp;"␟"&amp;IFERROR(INDEX(PASTE_ALL,$DF891,27)&amp;"","")&amp;"␟"&amp;IFERROR(INDEX(PASTE_ALL,$DF891,28)&amp;"","")&amp;"␟"&amp;IFERROR(INDEX(PASTE_ALL,$DF891,29)&amp;"","")&amp;"␟"&amp;IFERROR(INDEX(PASTE_ALL,$DF891,30)&amp;"","")&amp;"␟"&amp;IFERROR(INDEX(PASTE_ALL,$DF891,31)&amp;"","")&amp;"␟"&amp;IFERROR(INDEX(PASTE_ALL,$DF891,32)&amp;"","")&amp;"␟"&amp;IFERROR(INDEX(PASTE_ALL,$DF891,33)&amp;"","")&amp;"␟"&amp;IFERROR(INDEX(PASTE_ALL,$DF891,34)&amp;"","")&amp;"␟"&amp;IFERROR(INDEX(PASTE_ALL,$DF891,35)&amp;"","")&amp;"␟"&amp;IFERROR(INDEX(PASTE_ALL,$DF891,36)&amp;"","")&amp;"␟"&amp;IFERROR(INDEX(PASTE_ALL,$DF891,37)&amp;"","")&amp;"␟"&amp;IFERROR(INDEX(PASTE_ALL,$DF891,38)&amp;"","")&amp;"␟"&amp;IFERROR(INDEX(PASTE_ALL,$DF891,39)&amp;"","")&amp;"␟"&amp;IFERROR(INDEX(PASTE_ALL,$DF891,40)&amp;"","")&amp;"␟"&amp;IFERROR(INDEX(PASTE_ALL,$DF891,41)&amp;"","")&amp;"␟"&amp;IFERROR(INDEX(PASTE_ALL,$DF891,42)&amp;"","")&amp;"␟"&amp;IFERROR(INDEX(PASTE_ALL,$DF891,43)&amp;"","")&amp;"␟"&amp;IFERROR(INDEX(PASTE_ALL,$DF891,44)&amp;"","")&amp;"␟"&amp;IFERROR(INDEX(PASTE_ALL,$DF891,45)&amp;"","")&amp;"␟"&amp;IFERROR(INDEX(PASTE_ALL,$DF891,46)&amp;"","")&amp;"␟"&amp;IFERROR(INDEX(PASTE_ALL,$DF891,47)&amp;"","")&amp;"␟"&amp;IFERROR(INDEX(PASTE_ALL,$DF891,48)&amp;"","")&amp;"␟"&amp;IFERROR(INDEX(PASTE_ALL,$DF891,49)&amp;"","")&amp;"␟"&amp;IFERROR(INDEX(PASTE_ALL,$DF891,50)&amp;"","")&amp;"␟"&amp;IFERROR(INDEX(PASTE_ALL,$DF891,51)&amp;"","")&amp;"␟"&amp;IFERROR(INDEX(PASTE_ALL,$DF891,52)&amp;"","")&amp;"␟"&amp;IFERROR(INDEX(PASTE_ALL,$DF891,53)&amp;"","")&amp;"␟"&amp;IFERROR(INDEX(PASTE_ALL,$DF891,54)&amp;"","")&amp;"␟"&amp;IFERROR(INDEX(PASTE_ALL,$DF891,55)&amp;"","")&amp;"␟"&amp;IFERROR(INDEX(PASTE_ALL,$DF891,56)&amp;"","")&amp;"␟"&amp;IFERROR(INDEX(PASTE_ALL,$DF891,57)&amp;"","")&amp;"␟"&amp;IFERROR(INDEX(PASTE_ALL,$DF891,58)&amp;"","")&amp;"␟"&amp;IFERROR(INDEX(PASTE_ALL,$DF891,59)&amp;"","")&amp;"␟"&amp;IFERROR(INDEX(PASTE_ALL,$DF891,60)&amp;"","")," "," "),CHAR(9)," "),CHAR(10)," "),CHAR(13)," "))," ␟","␟"),"␟ ","␟"),"#"&amp;$DE891),"")</f>
        <v/>
      </c>
      <c r="DJ891">
        <f>IF($DI891="",0,IF(SUMPRODUCT(--EXACT($DI$4:DI890,$DI891))&gt;0,1,0))</f>
        <v/>
      </c>
      <c r="DK891">
        <f>IF(AND($DI891&lt;&gt;"",$DJ891=0),1,0)</f>
        <v/>
      </c>
      <c r="DL891">
        <f>DL890+$DK891</f>
        <v/>
      </c>
      <c r="DM891">
        <f>IF(AND($DK891=1,$DL891&lt;=600),1,0)</f>
        <v/>
      </c>
      <c r="DN891">
        <f>IF($DM891=0,"",IF($L$6=0,"",IFERROR(IF(ISNUMBER(INDEX(PASTE_ALL,$DF891,$L$6)),INDEX(PASTE_ALL,$DF891,$L$6),TRIM(SUBSTITUTE(SUBSTITUTE(SUBSTITUTE(SUBSTITUTE(INDEX(PASTE_ALL,$DF891,$L$6)," "," "),CHAR(9)," "),CHAR(10)," "),CHAR(13)," "))),"")))</f>
        <v/>
      </c>
      <c r="DO891">
        <f>IF($DM891=0,"",IF($L$7=0,"",IFERROR(IF(ISNUMBER(INDEX(PASTE_ALL,$DF891,$L$7)),INDEX(PASTE_ALL,$DF891,$L$7),TRIM(SUBSTITUTE(SUBSTITUTE(SUBSTITUTE(SUBSTITUTE(INDEX(PASTE_ALL,$DF891,$L$7)," "," "),CHAR(9)," "),CHAR(10)," "),CHAR(13)," "))),"")))</f>
        <v/>
      </c>
      <c r="DP891">
        <f>IF($DM891=0,"",IF($L$8=0,"",IFERROR(IF(ISNUMBER(INDEX(PASTE_ALL,$DF891,$L$8)),INDEX(PASTE_ALL,$DF891,$L$8),TRIM(SUBSTITUTE(SUBSTITUTE(SUBSTITUTE(SUBSTITUTE(INDEX(PASTE_ALL,$DF891,$L$8)," "," "),CHAR(9)," "),CHAR(10)," "),CHAR(13)," "))),"")))</f>
        <v/>
      </c>
      <c r="DQ891">
        <f>IF($DM891=0,"",IF($L$9=0,"",IFERROR(IF(ISNUMBER(INDEX(PASTE_ALL,$DF891,$L$9)),INDEX(PASTE_ALL,$DF891,$L$9),TRIM(SUBSTITUTE(SUBSTITUTE(SUBSTITUTE(SUBSTITUTE(INDEX(PASTE_ALL,$DF891,$L$9)," "," "),CHAR(9)," "),CHAR(10)," "),CHAR(13)," "))),"")))</f>
        <v/>
      </c>
      <c r="DR891">
        <f>IF($DM891=0,"",IF($L$10=0,"",IFERROR(IF(ISNUMBER(INDEX(PASTE_ALL,$DF891,$L$10)),INDEX(PASTE_ALL,$DF891,$L$10),TRIM(SUBSTITUTE(SUBSTITUTE(SUBSTITUTE(SUBSTITUTE(INDEX(PASTE_ALL,$DF891,$L$10)," "," "),CHAR(9)," "),CHAR(10)," "),CHAR(13)," "))),"")))</f>
        <v/>
      </c>
      <c r="DS891">
        <f>IF($DM891=0,"",IF($L$11=0,"",IFERROR(IF(ISNUMBER(INDEX(PASTE_ALL,$DF891,$L$11)),INDEX(PASTE_ALL,$DF891,$L$11),TRIM(SUBSTITUTE(SUBSTITUTE(SUBSTITUTE(SUBSTITUTE(INDEX(PASTE_ALL,$DF891,$L$11)," "," "),CHAR(9)," "),CHAR(10)," "),CHAR(13)," "))),"")))</f>
        <v/>
      </c>
      <c r="DT891">
        <f>IF($DM891=0,"",IF($L$12=0,"",IFERROR(IF(ISNUMBER(INDEX(PASTE_ALL,$DF891,$L$12)),INDEX(PASTE_ALL,$DF891,$L$12),TRIM(SUBSTITUTE(SUBSTITUTE(SUBSTITUTE(SUBSTITUTE(INDEX(PASTE_ALL,$DF891,$L$12)," "," "),CHAR(9)," "),CHAR(10)," "),CHAR(13)," "))),"")))</f>
        <v/>
      </c>
      <c r="DU891">
        <f>IF($DM891=0,"",IF($L$13=0,"",IFERROR(IF(ISNUMBER(INDEX(PASTE_ALL,$DF891,$L$13)),INDEX(PASTE_ALL,$DF891,$L$13),TRIM(SUBSTITUTE(SUBSTITUTE(SUBSTITUTE(SUBSTITUTE(INDEX(PASTE_ALL,$DF891,$L$13)," "," "),CHAR(9)," "),CHAR(10)," "),CHAR(13)," "))),"")))</f>
        <v/>
      </c>
      <c r="DV891">
        <f>IF($DM891=0,"",IF($L$14=0,"",IFERROR(IF(ISNUMBER(INDEX(PASTE_ALL,$DF891,$L$14)),INDEX(PASTE_ALL,$DF891,$L$14),TRIM(SUBSTITUTE(SUBSTITUTE(SUBSTITUTE(SUBSTITUTE(INDEX(PASTE_ALL,$DF891,$L$14)," "," "),CHAR(9)," "),CHAR(10)," "),CHAR(13)," "))),"")))</f>
        <v/>
      </c>
      <c r="DW891">
        <f>IF($DM891=0,"",IF($L$15=0,"",IFERROR(IF(ISNUMBER(INDEX(PASTE_ALL,$DF891,$L$15)),INDEX(PASTE_ALL,$DF891,$L$15),IF(SUMPRODUCT(--ISNUMBER(FIND({"A","B","C","D","E","F","G","H","I","J","K","L","M","N","O","P","Q","R","S","T","U","V","W","X","Y","Z","0","1","2","3","4","5","6","7","8","9"},UPPER(TRIM(SUBSTITUTE(SUBSTITUTE(SUBSTITUTE(SUBSTITUTE(INDEX(PASTE_ALL,$DF891,$L$15)," "," "),CHAR(9)," "),CHAR(10)," "),CHAR(13)," "))))))&gt;0,TRIM(SUBSTITUTE(SUBSTITUTE(SUBSTITUTE(SUBSTITUTE(INDEX(PASTE_ALL,$DF891,$L$15)," "," "),CHAR(9)," "),CHAR(10)," "),CHAR(13)," ")),"")),"")))</f>
        <v/>
      </c>
      <c r="DX891">
        <f>IF($DM891=0,"",IF($L$16=0,"",IFERROR(IF(ISNUMBER(INDEX(PASTE_ALL,$DF891,$L$16)),INDEX(PASTE_ALL,$DF891,$L$16),SUBSTITUTE(SUBSTITUTE(TRIM(SUBSTITUTE(SUBSTITUTE(SUBSTITUTE(SUBSTITUTE(INDEX(PASTE_ALL,$DF891,$L$16)," "," "),CHAR(9)," "),CHAR(10)," "),CHAR(13)," ")),",",""),"%","")),"")))</f>
        <v/>
      </c>
      <c r="DY891">
        <f>IF($DM891=0,"",IFERROR(IF(ISNUMBER($DX891),$DX891,IF($DX891="","",IF(TRIM($DX891)="",0,IF(AND(AND(SUBSTITUTE(SUBSTITUTE(SUBSTITUTE(SUBSTITUTE(SUBSTITUTE(SUBSTITUTE(SUBSTITUTE(SUBSTITUTE(SUBSTITUTE(SUBSTITUTE(SUBSTITUTE(SUBSTITUTE(SUBSTITUTE(SUBSTITUTE(UPPER(TRIM($DX891)),"0",""),"1",""),"2",""),"3",""),"4",""),"5",""),"6",""),"7",""),"8",""),"9",""),".",""),"+",""),"-",""),"E","")="",LEN(SUBSTITUTE(SUBSTITUTE(MID(UPPER(TRIM($DX891)),1+OR(LEFT(UPPER(TRIM($DX891)),1)="+",LEFT(UPPER(TRIM($DX891)),1)="-"),999),"E+","E"),"E-","E"))=LEN(SUBSTITUTE(SUBSTITUTE(SUBSTITUTE(SUBSTITUTE(MID(UPPER(TRIM($DX891)),1+OR(LEFT(UPPER(TRIM($DX891)),1)="+",LEFT(UPPER(TRIM($DX891)),1)="-"),999),"E+","E"),"E-","E"),"+",""),"-","")),LEN(UPPER(TRIM($DX891)))-LEN(SUBSTITUTE(UPPER(TRIM($DX891)),"E",""))&lt;2,LEN(UPPER(TRIM($DX891)))-LEN(SUBSTITUTE(UPPER(TRIM($DX891)),".",""))&lt;2,IFERROR(FIND(".",UPPER(TRIM($DX891))),0)&lt;IFERROR(FIND("E",UPPER(TRIM($DX891))),999)),ISNUMBER(VALUE(TRIM($DX891)))),VALUE(TRIM($DX891)),"")))),""))</f>
        <v/>
      </c>
      <c r="DZ891">
        <f>IF($DM891=0,"",IF($L$17=0,"",IFERROR(IF(ISNUMBER(INDEX(PASTE_ALL,$DF891,$L$17)),INDEX(PASTE_ALL,$DF891,$L$17),SUBSTITUTE(SUBSTITUTE(TRIM(SUBSTITUTE(SUBSTITUTE(SUBSTITUTE(SUBSTITUTE(INDEX(PASTE_ALL,$DF891,$L$17)," "," "),CHAR(9)," "),CHAR(10)," "),CHAR(13)," ")),",",""),"%","")),"")))</f>
        <v/>
      </c>
      <c r="EA891">
        <f>IF($DM891=0,"",IFERROR(IF(ISNUMBER($DZ891),$DZ891,IF($DZ891="","",IF(TRIM($DZ891)="",0,IF(AND(AND(SUBSTITUTE(SUBSTITUTE(SUBSTITUTE(SUBSTITUTE(SUBSTITUTE(SUBSTITUTE(SUBSTITUTE(SUBSTITUTE(SUBSTITUTE(SUBSTITUTE(SUBSTITUTE(SUBSTITUTE(SUBSTITUTE(SUBSTITUTE(UPPER(TRIM($DZ891)),"0",""),"1",""),"2",""),"3",""),"4",""),"5",""),"6",""),"7",""),"8",""),"9",""),".",""),"+",""),"-",""),"E","")="",LEN(SUBSTITUTE(SUBSTITUTE(MID(UPPER(TRIM($DZ891)),1+OR(LEFT(UPPER(TRIM($DZ891)),1)="+",LEFT(UPPER(TRIM($DZ891)),1)="-"),999),"E+","E"),"E-","E"))=LEN(SUBSTITUTE(SUBSTITUTE(SUBSTITUTE(SUBSTITUTE(MID(UPPER(TRIM($DZ891)),1+OR(LEFT(UPPER(TRIM($DZ891)),1)="+",LEFT(UPPER(TRIM($DZ891)),1)="-"),999),"E+","E"),"E-","E"),"+",""),"-","")),LEN(UPPER(TRIM($DZ891)))-LEN(SUBSTITUTE(UPPER(TRIM($DZ891)),"E",""))&lt;2,LEN(UPPER(TRIM($DZ891)))-LEN(SUBSTITUTE(UPPER(TRIM($DZ891)),".",""))&lt;2,IFERROR(FIND(".",UPPER(TRIM($DZ891))),0)&lt;IFERROR(FIND("E",UPPER(TRIM($DZ891))),999)),ISNUMBER(VALUE(TRIM($DZ891)))),VALUE(TRIM($DZ891)),"")))),""))</f>
        <v/>
      </c>
      <c r="EB891">
        <f>IF($DM891=0,"",IF($L$18=0,"",IFERROR(IF(UPPER(TRIM(SUBSTITUTE(SUBSTITUTE(SUBSTITUTE(SUBSTITUTE(INDEX(PASTE_ALL,$DF891,$L$18)," "," "),CHAR(9)," "),CHAR(10)," "),CHAR(13)," ")))="READY","Ready",IF(UPPER(TRIM(SUBSTITUTE(SUBSTITUTE(SUBSTITUTE(SUBSTITUTE(INDEX(PASTE_ALL,$DF891,$L$18)," "," "),CHAR(9)," "),CHAR(10)," "),CHAR(13)," ")))="PM","PM",IF(OR(UPPER(TRIM(SUBSTITUTE(SUBSTITUTE(SUBSTITUTE(SUBSTITUTE(INDEX(PASTE_ALL,$DF891,$L$18)," "," "),CHAR(9)," "),CHAR(10)," "),CHAR(13)," ")))="OT",UPPER(TRIM(SUBSTITUTE(SUBSTITUTE(SUBSTITUTE(SUBSTITUTE(INDEX(PASTE_ALL,$DF891,$L$18)," "," "),CHAR(9)," "),CHAR(10)," "),CHAR(13)," ")))="OVERTIME",UPPER(TRIM(SUBSTITUTE(SUBSTITUTE(SUBSTITUTE(SUBSTITUTE(INDEX(PASTE_ALL,$DF891,$L$18)," "," "),CHAR(9)," "),CHAR(10)," "),CHAR(13)," ")))="TRIAL"),"OT",TRIM(SUBSTITUTE(SUBSTITUTE(SUBSTITUTE(SUBSTITUTE(INDEX(PASTE_ALL,$DF891,$L$18)," "," "),CHAR(9)," "),CHAR(10)," "),CHAR(13)," "))))),"")))</f>
        <v/>
      </c>
      <c r="EC891">
        <f>IF($DM891=0,"",IF($L$19=0,"",IFERROR(IF(ISNUMBER(INDEX(PASTE_ALL,$DF891,$L$19)),INDEX(PASTE_ALL,$DF891,$L$19),TRIM(SUBSTITUTE(SUBSTITUTE(SUBSTITUTE(SUBSTITUTE(INDEX(PASTE_ALL,$DF891,$L$19)," "," "),CHAR(9)," "),CHAR(10)," "),CHAR(13)," "))),"")))</f>
        <v/>
      </c>
      <c r="ED891">
        <f>IF($DM891=0,"",MATCH(1,INDEX(EXACT($DH$5:DH891,$DH891)*$DM$5:DM891,0),0))</f>
        <v/>
      </c>
      <c r="EE891">
        <f>IF($DM891=0,0,IF($ED891=$DE891,1,0))</f>
        <v/>
      </c>
      <c r="EF891">
        <f>EF890+$EE891</f>
        <v/>
      </c>
      <c r="EG891">
        <f>IF($DM891=0,"",INDEX($EF$5:$EF$1003,$ED891))</f>
        <v/>
      </c>
      <c r="EH891">
        <f>IF($DM891=0,"",IF($DO891&lt;&gt;"","",IFERROR(LOOKUP(2,1/(($EG$4:EG890=$EG891)*($DO$4:DO890&lt;&gt;"")),$DO$4:DO890),"")))</f>
        <v/>
      </c>
      <c r="EI891">
        <f>IF($DM891=0,"",IF($DO891&lt;&gt;"",$DO891,$EH891))</f>
        <v/>
      </c>
      <c r="EJ891">
        <f>IF($DM891=0,"",IF($EI891="",0,IF(OR(ISNUMBER($EI891),AND(AND(SUBSTITUTE(SUBSTITUTE(SUBSTITUTE(SUBSTITUTE(SUBSTITUTE(SUBSTITUTE(SUBSTITUTE(SUBSTITUTE(SUBSTITUTE(SUBSTITUTE(SUBSTITUTE(SUBSTITUTE(SUBSTITUTE(SUBSTITUTE(UPPER($EI891),"0",""),"1",""),"2",""),"3",""),"4",""),"5",""),"6",""),"7",""),"8",""),"9",""),".",""),"+",""),"-",""),"E","")="",LEN(SUBSTITUTE(SUBSTITUTE(MID(UPPER($EI891),1+OR(LEFT(UPPER($EI891),1)="+",LEFT(UPPER($EI891),1)="-"),999),"E+","E"),"E-","E"))=LEN(SUBSTITUTE(SUBSTITUTE(SUBSTITUTE(SUBSTITUTE(MID(UPPER($EI891),1+OR(LEFT(UPPER($EI891),1)="+",LEFT(UPPER($EI891),1)="-"),999),"E+","E"),"E-","E"),"+",""),"-","")),LEN(UPPER($EI891))-LEN(SUBSTITUTE(UPPER($EI891),"E",""))&lt;2,LEN(UPPER($EI891))-LEN(SUBSTITUTE(UPPER($EI891),".",""))&lt;2,IFERROR(FIND(".",UPPER($EI891)),0)&lt;IFERROR(FIND("E",UPPER($EI891)),999)),ISNUMBER(VALUE($EI891)))),1,2)))</f>
        <v/>
      </c>
      <c r="EK891">
        <f>IF($DM891=0,"",IF($EJ891=1,IF(ISNUMBER($EI891),$EI891,VALUE($EI891)),IF($EJ891=2,$DE891,0)))</f>
        <v/>
      </c>
      <c r="EL891">
        <f>IF($DM891=0,"",COUNTIF($EG$5:$EG$1003,"&lt;"&amp;$EG891)+SUMPRODUCT(($EG$5:$EG$1003=$EG891)*(($EJ$5:$EJ$1003&lt;$EJ891)+($EJ$5:$EJ$1003=$EJ891)*(($EK$5:$EK$1003&lt;$EK891)+($EK$5:$EK$1003=$EK891)*($DE$5:$DE$1003&lt;$DE891))))+1)</f>
        <v/>
      </c>
      <c r="EM891">
        <f>IF($DM891=0,"",$EL891+$EG891-1)</f>
        <v/>
      </c>
      <c r="EN891">
        <f>IF($DM891=0,0,IFERROR(MATCH(1,INDEX(--(TRIM(SUBSTITUTE(SUBSTITUTE(SUBSTITUTE(SUBSTITUTE(LINES_NAME&amp;""," "," "),CHAR(9)," "),CHAR(10)," "),CHAR(13)," "))=$DH891),0),0),0))</f>
        <v/>
      </c>
      <c r="EO891">
        <f>IF($EN891=0,0,IF(OR(UPPER(TRIM(INDEX(LINES_SCHEDULED,$EN891)&amp;""))="YES",UPPER(TRIM(INDEX(LINES_SCHEDULED,$EN891)&amp;""))="Y",UPPER(TRIM(INDEX(LINES_SCHEDULED,$EN891)&amp;""))="X"),1,0))</f>
        <v/>
      </c>
      <c r="EP891">
        <f>IF($DM891=0,"",IF(COUNTIFS($EG$5:$EG$1003,$EG891,$EB$5:$EB$1003,"Ready")&gt;0,"READY",IF(COUNTIFS($EG$5:$EG$1003,$EG891,$EB$5:$EB$1003,"PM")&gt;0,"PM",IF(COUNTIFS($EG$5:$EG$1003,$EG891,$EB$5:$EB$1003,"OT")&gt;0,"OT",""))))</f>
        <v/>
      </c>
      <c r="EQ891">
        <f>IF($EN891=0,"",UPPER(TRIM(INDEX(LINES_STATUS,$EN891)&amp;"")))</f>
        <v/>
      </c>
      <c r="ER891">
        <f>IF($DM891=0,"",IF(OR($EQ891="READY",$EQ891="PM",$EQ891="OT"),$EQ891,$EP891))</f>
        <v/>
      </c>
      <c r="ES891">
        <f>IF($DM891=0,"",IF(AND($DV891&lt;&gt;"",UPPER($DV891)&lt;&gt;"N"),"allergen",IF(ISNUMBER(SEARCH("oil",$DQ891)),"oil",IF(OR(EXACT($DS891,"A662"),EXACT($DS891,"A624")),"bulk",""))))</f>
        <v/>
      </c>
      <c r="ET891">
        <f>IF($DM891=0,"",IF(OR($EA891="",$EA891=0),"",$EA891/100))</f>
        <v/>
      </c>
      <c r="EU891">
        <f>IF(OR($ET891="",$DY891=""),"",INT($DY891*(1-$ET891)+0.5))</f>
        <v/>
      </c>
    </row>
    <row r="892">
      <c r="DA892" t="n">
        <v>888</v>
      </c>
      <c r="DB892">
        <f>IF($B$37=0,"",IFERROR(TRIM(SUBSTITUTE(SUBSTITUTE(SUBSTITUTE(SUBSTITUTE(INDEX(PASTE_ALL,888,$B$37)," "," "),CHAR(9)," "),CHAR(10)," "),CHAR(13)," ")),""))</f>
        <v/>
      </c>
      <c r="DC892">
        <f>IF(AND(888&gt;HEADER_ROW,UPPER(DB892)="LEGEND"),1,0)</f>
        <v/>
      </c>
      <c r="DE892" t="n">
        <v>888</v>
      </c>
      <c r="DF892">
        <f>HEADER_ROW+$DE892</f>
        <v/>
      </c>
      <c r="DG892">
        <f>IF(AND($DF892&lt;=1000,$DF892&lt;$B$8),1,0)</f>
        <v/>
      </c>
      <c r="DH892">
        <f>IF($DG892=1,IFERROR(INDEX($DB$5:$DB$1004,$DF892),""),"")</f>
        <v/>
      </c>
      <c r="DI892">
        <f>IF(AND($DG892=1,$DH892&lt;&gt;""),IFERROR(SUBSTITUTE(SUBSTITUTE(TRIM(SUBSTITUTE(SUBSTITUTE(SUBSTITUTE(SUBSTITUTE(IFERROR(INDEX(PASTE_ALL,$DF892,1)&amp;"","")&amp;"␟"&amp;IFERROR(INDEX(PASTE_ALL,$DF892,2)&amp;"","")&amp;"␟"&amp;IFERROR(INDEX(PASTE_ALL,$DF892,3)&amp;"","")&amp;"␟"&amp;IFERROR(INDEX(PASTE_ALL,$DF892,4)&amp;"","")&amp;"␟"&amp;IFERROR(INDEX(PASTE_ALL,$DF892,5)&amp;"","")&amp;"␟"&amp;IFERROR(INDEX(PASTE_ALL,$DF892,6)&amp;"","")&amp;"␟"&amp;IFERROR(INDEX(PASTE_ALL,$DF892,7)&amp;"","")&amp;"␟"&amp;IFERROR(INDEX(PASTE_ALL,$DF892,8)&amp;"","")&amp;"␟"&amp;IFERROR(INDEX(PASTE_ALL,$DF892,9)&amp;"","")&amp;"␟"&amp;IFERROR(INDEX(PASTE_ALL,$DF892,10)&amp;"","")&amp;"␟"&amp;IFERROR(INDEX(PASTE_ALL,$DF892,11)&amp;"","")&amp;"␟"&amp;IFERROR(INDEX(PASTE_ALL,$DF892,12)&amp;"","")&amp;"␟"&amp;IFERROR(INDEX(PASTE_ALL,$DF892,13)&amp;"","")&amp;"␟"&amp;IFERROR(INDEX(PASTE_ALL,$DF892,14)&amp;"","")&amp;"␟"&amp;IFERROR(INDEX(PASTE_ALL,$DF892,15)&amp;"","")&amp;"␟"&amp;IFERROR(INDEX(PASTE_ALL,$DF892,16)&amp;"","")&amp;"␟"&amp;IFERROR(INDEX(PASTE_ALL,$DF892,17)&amp;"","")&amp;"␟"&amp;IFERROR(INDEX(PASTE_ALL,$DF892,18)&amp;"","")&amp;"␟"&amp;IFERROR(INDEX(PASTE_ALL,$DF892,19)&amp;"","")&amp;"␟"&amp;IFERROR(INDEX(PASTE_ALL,$DF892,20)&amp;"","")&amp;"␟"&amp;IFERROR(INDEX(PASTE_ALL,$DF892,21)&amp;"","")&amp;"␟"&amp;IFERROR(INDEX(PASTE_ALL,$DF892,22)&amp;"","")&amp;"␟"&amp;IFERROR(INDEX(PASTE_ALL,$DF892,23)&amp;"","")&amp;"␟"&amp;IFERROR(INDEX(PASTE_ALL,$DF892,24)&amp;"","")&amp;"␟"&amp;IFERROR(INDEX(PASTE_ALL,$DF892,25)&amp;"","")&amp;"␟"&amp;IFERROR(INDEX(PASTE_ALL,$DF892,26)&amp;"","")&amp;"␟"&amp;IFERROR(INDEX(PASTE_ALL,$DF892,27)&amp;"","")&amp;"␟"&amp;IFERROR(INDEX(PASTE_ALL,$DF892,28)&amp;"","")&amp;"␟"&amp;IFERROR(INDEX(PASTE_ALL,$DF892,29)&amp;"","")&amp;"␟"&amp;IFERROR(INDEX(PASTE_ALL,$DF892,30)&amp;"","")&amp;"␟"&amp;IFERROR(INDEX(PASTE_ALL,$DF892,31)&amp;"","")&amp;"␟"&amp;IFERROR(INDEX(PASTE_ALL,$DF892,32)&amp;"","")&amp;"␟"&amp;IFERROR(INDEX(PASTE_ALL,$DF892,33)&amp;"","")&amp;"␟"&amp;IFERROR(INDEX(PASTE_ALL,$DF892,34)&amp;"","")&amp;"␟"&amp;IFERROR(INDEX(PASTE_ALL,$DF892,35)&amp;"","")&amp;"␟"&amp;IFERROR(INDEX(PASTE_ALL,$DF892,36)&amp;"","")&amp;"␟"&amp;IFERROR(INDEX(PASTE_ALL,$DF892,37)&amp;"","")&amp;"␟"&amp;IFERROR(INDEX(PASTE_ALL,$DF892,38)&amp;"","")&amp;"␟"&amp;IFERROR(INDEX(PASTE_ALL,$DF892,39)&amp;"","")&amp;"␟"&amp;IFERROR(INDEX(PASTE_ALL,$DF892,40)&amp;"","")&amp;"␟"&amp;IFERROR(INDEX(PASTE_ALL,$DF892,41)&amp;"","")&amp;"␟"&amp;IFERROR(INDEX(PASTE_ALL,$DF892,42)&amp;"","")&amp;"␟"&amp;IFERROR(INDEX(PASTE_ALL,$DF892,43)&amp;"","")&amp;"␟"&amp;IFERROR(INDEX(PASTE_ALL,$DF892,44)&amp;"","")&amp;"␟"&amp;IFERROR(INDEX(PASTE_ALL,$DF892,45)&amp;"","")&amp;"␟"&amp;IFERROR(INDEX(PASTE_ALL,$DF892,46)&amp;"","")&amp;"␟"&amp;IFERROR(INDEX(PASTE_ALL,$DF892,47)&amp;"","")&amp;"␟"&amp;IFERROR(INDEX(PASTE_ALL,$DF892,48)&amp;"","")&amp;"␟"&amp;IFERROR(INDEX(PASTE_ALL,$DF892,49)&amp;"","")&amp;"␟"&amp;IFERROR(INDEX(PASTE_ALL,$DF892,50)&amp;"","")&amp;"␟"&amp;IFERROR(INDEX(PASTE_ALL,$DF892,51)&amp;"","")&amp;"␟"&amp;IFERROR(INDEX(PASTE_ALL,$DF892,52)&amp;"","")&amp;"␟"&amp;IFERROR(INDEX(PASTE_ALL,$DF892,53)&amp;"","")&amp;"␟"&amp;IFERROR(INDEX(PASTE_ALL,$DF892,54)&amp;"","")&amp;"␟"&amp;IFERROR(INDEX(PASTE_ALL,$DF892,55)&amp;"","")&amp;"␟"&amp;IFERROR(INDEX(PASTE_ALL,$DF892,56)&amp;"","")&amp;"␟"&amp;IFERROR(INDEX(PASTE_ALL,$DF892,57)&amp;"","")&amp;"␟"&amp;IFERROR(INDEX(PASTE_ALL,$DF892,58)&amp;"","")&amp;"␟"&amp;IFERROR(INDEX(PASTE_ALL,$DF892,59)&amp;"","")&amp;"␟"&amp;IFERROR(INDEX(PASTE_ALL,$DF892,60)&amp;"","")," "," "),CHAR(9)," "),CHAR(10)," "),CHAR(13)," "))," ␟","␟"),"␟ ","␟"),"#"&amp;$DE892),"")</f>
        <v/>
      </c>
      <c r="DJ892">
        <f>IF($DI892="",0,IF(SUMPRODUCT(--EXACT($DI$4:DI891,$DI892))&gt;0,1,0))</f>
        <v/>
      </c>
      <c r="DK892">
        <f>IF(AND($DI892&lt;&gt;"",$DJ892=0),1,0)</f>
        <v/>
      </c>
      <c r="DL892">
        <f>DL891+$DK892</f>
        <v/>
      </c>
      <c r="DM892">
        <f>IF(AND($DK892=1,$DL892&lt;=600),1,0)</f>
        <v/>
      </c>
      <c r="DN892">
        <f>IF($DM892=0,"",IF($L$6=0,"",IFERROR(IF(ISNUMBER(INDEX(PASTE_ALL,$DF892,$L$6)),INDEX(PASTE_ALL,$DF892,$L$6),TRIM(SUBSTITUTE(SUBSTITUTE(SUBSTITUTE(SUBSTITUTE(INDEX(PASTE_ALL,$DF892,$L$6)," "," "),CHAR(9)," "),CHAR(10)," "),CHAR(13)," "))),"")))</f>
        <v/>
      </c>
      <c r="DO892">
        <f>IF($DM892=0,"",IF($L$7=0,"",IFERROR(IF(ISNUMBER(INDEX(PASTE_ALL,$DF892,$L$7)),INDEX(PASTE_ALL,$DF892,$L$7),TRIM(SUBSTITUTE(SUBSTITUTE(SUBSTITUTE(SUBSTITUTE(INDEX(PASTE_ALL,$DF892,$L$7)," "," "),CHAR(9)," "),CHAR(10)," "),CHAR(13)," "))),"")))</f>
        <v/>
      </c>
      <c r="DP892">
        <f>IF($DM892=0,"",IF($L$8=0,"",IFERROR(IF(ISNUMBER(INDEX(PASTE_ALL,$DF892,$L$8)),INDEX(PASTE_ALL,$DF892,$L$8),TRIM(SUBSTITUTE(SUBSTITUTE(SUBSTITUTE(SUBSTITUTE(INDEX(PASTE_ALL,$DF892,$L$8)," "," "),CHAR(9)," "),CHAR(10)," "),CHAR(13)," "))),"")))</f>
        <v/>
      </c>
      <c r="DQ892">
        <f>IF($DM892=0,"",IF($L$9=0,"",IFERROR(IF(ISNUMBER(INDEX(PASTE_ALL,$DF892,$L$9)),INDEX(PASTE_ALL,$DF892,$L$9),TRIM(SUBSTITUTE(SUBSTITUTE(SUBSTITUTE(SUBSTITUTE(INDEX(PASTE_ALL,$DF892,$L$9)," "," "),CHAR(9)," "),CHAR(10)," "),CHAR(13)," "))),"")))</f>
        <v/>
      </c>
      <c r="DR892">
        <f>IF($DM892=0,"",IF($L$10=0,"",IFERROR(IF(ISNUMBER(INDEX(PASTE_ALL,$DF892,$L$10)),INDEX(PASTE_ALL,$DF892,$L$10),TRIM(SUBSTITUTE(SUBSTITUTE(SUBSTITUTE(SUBSTITUTE(INDEX(PASTE_ALL,$DF892,$L$10)," "," "),CHAR(9)," "),CHAR(10)," "),CHAR(13)," "))),"")))</f>
        <v/>
      </c>
      <c r="DS892">
        <f>IF($DM892=0,"",IF($L$11=0,"",IFERROR(IF(ISNUMBER(INDEX(PASTE_ALL,$DF892,$L$11)),INDEX(PASTE_ALL,$DF892,$L$11),TRIM(SUBSTITUTE(SUBSTITUTE(SUBSTITUTE(SUBSTITUTE(INDEX(PASTE_ALL,$DF892,$L$11)," "," "),CHAR(9)," "),CHAR(10)," "),CHAR(13)," "))),"")))</f>
        <v/>
      </c>
      <c r="DT892">
        <f>IF($DM892=0,"",IF($L$12=0,"",IFERROR(IF(ISNUMBER(INDEX(PASTE_ALL,$DF892,$L$12)),INDEX(PASTE_ALL,$DF892,$L$12),TRIM(SUBSTITUTE(SUBSTITUTE(SUBSTITUTE(SUBSTITUTE(INDEX(PASTE_ALL,$DF892,$L$12)," "," "),CHAR(9)," "),CHAR(10)," "),CHAR(13)," "))),"")))</f>
        <v/>
      </c>
      <c r="DU892">
        <f>IF($DM892=0,"",IF($L$13=0,"",IFERROR(IF(ISNUMBER(INDEX(PASTE_ALL,$DF892,$L$13)),INDEX(PASTE_ALL,$DF892,$L$13),TRIM(SUBSTITUTE(SUBSTITUTE(SUBSTITUTE(SUBSTITUTE(INDEX(PASTE_ALL,$DF892,$L$13)," "," "),CHAR(9)," "),CHAR(10)," "),CHAR(13)," "))),"")))</f>
        <v/>
      </c>
      <c r="DV892">
        <f>IF($DM892=0,"",IF($L$14=0,"",IFERROR(IF(ISNUMBER(INDEX(PASTE_ALL,$DF892,$L$14)),INDEX(PASTE_ALL,$DF892,$L$14),TRIM(SUBSTITUTE(SUBSTITUTE(SUBSTITUTE(SUBSTITUTE(INDEX(PASTE_ALL,$DF892,$L$14)," "," "),CHAR(9)," "),CHAR(10)," "),CHAR(13)," "))),"")))</f>
        <v/>
      </c>
      <c r="DW892">
        <f>IF($DM892=0,"",IF($L$15=0,"",IFERROR(IF(ISNUMBER(INDEX(PASTE_ALL,$DF892,$L$15)),INDEX(PASTE_ALL,$DF892,$L$15),IF(SUMPRODUCT(--ISNUMBER(FIND({"A","B","C","D","E","F","G","H","I","J","K","L","M","N","O","P","Q","R","S","T","U","V","W","X","Y","Z","0","1","2","3","4","5","6","7","8","9"},UPPER(TRIM(SUBSTITUTE(SUBSTITUTE(SUBSTITUTE(SUBSTITUTE(INDEX(PASTE_ALL,$DF892,$L$15)," "," "),CHAR(9)," "),CHAR(10)," "),CHAR(13)," "))))))&gt;0,TRIM(SUBSTITUTE(SUBSTITUTE(SUBSTITUTE(SUBSTITUTE(INDEX(PASTE_ALL,$DF892,$L$15)," "," "),CHAR(9)," "),CHAR(10)," "),CHAR(13)," ")),"")),"")))</f>
        <v/>
      </c>
      <c r="DX892">
        <f>IF($DM892=0,"",IF($L$16=0,"",IFERROR(IF(ISNUMBER(INDEX(PASTE_ALL,$DF892,$L$16)),INDEX(PASTE_ALL,$DF892,$L$16),SUBSTITUTE(SUBSTITUTE(TRIM(SUBSTITUTE(SUBSTITUTE(SUBSTITUTE(SUBSTITUTE(INDEX(PASTE_ALL,$DF892,$L$16)," "," "),CHAR(9)," "),CHAR(10)," "),CHAR(13)," ")),",",""),"%","")),"")))</f>
        <v/>
      </c>
      <c r="DY892">
        <f>IF($DM892=0,"",IFERROR(IF(ISNUMBER($DX892),$DX892,IF($DX892="","",IF(TRIM($DX892)="",0,IF(AND(AND(SUBSTITUTE(SUBSTITUTE(SUBSTITUTE(SUBSTITUTE(SUBSTITUTE(SUBSTITUTE(SUBSTITUTE(SUBSTITUTE(SUBSTITUTE(SUBSTITUTE(SUBSTITUTE(SUBSTITUTE(SUBSTITUTE(SUBSTITUTE(UPPER(TRIM($DX892)),"0",""),"1",""),"2",""),"3",""),"4",""),"5",""),"6",""),"7",""),"8",""),"9",""),".",""),"+",""),"-",""),"E","")="",LEN(SUBSTITUTE(SUBSTITUTE(MID(UPPER(TRIM($DX892)),1+OR(LEFT(UPPER(TRIM($DX892)),1)="+",LEFT(UPPER(TRIM($DX892)),1)="-"),999),"E+","E"),"E-","E"))=LEN(SUBSTITUTE(SUBSTITUTE(SUBSTITUTE(SUBSTITUTE(MID(UPPER(TRIM($DX892)),1+OR(LEFT(UPPER(TRIM($DX892)),1)="+",LEFT(UPPER(TRIM($DX892)),1)="-"),999),"E+","E"),"E-","E"),"+",""),"-","")),LEN(UPPER(TRIM($DX892)))-LEN(SUBSTITUTE(UPPER(TRIM($DX892)),"E",""))&lt;2,LEN(UPPER(TRIM($DX892)))-LEN(SUBSTITUTE(UPPER(TRIM($DX892)),".",""))&lt;2,IFERROR(FIND(".",UPPER(TRIM($DX892))),0)&lt;IFERROR(FIND("E",UPPER(TRIM($DX892))),999)),ISNUMBER(VALUE(TRIM($DX892)))),VALUE(TRIM($DX892)),"")))),""))</f>
        <v/>
      </c>
      <c r="DZ892">
        <f>IF($DM892=0,"",IF($L$17=0,"",IFERROR(IF(ISNUMBER(INDEX(PASTE_ALL,$DF892,$L$17)),INDEX(PASTE_ALL,$DF892,$L$17),SUBSTITUTE(SUBSTITUTE(TRIM(SUBSTITUTE(SUBSTITUTE(SUBSTITUTE(SUBSTITUTE(INDEX(PASTE_ALL,$DF892,$L$17)," "," "),CHAR(9)," "),CHAR(10)," "),CHAR(13)," ")),",",""),"%","")),"")))</f>
        <v/>
      </c>
      <c r="EA892">
        <f>IF($DM892=0,"",IFERROR(IF(ISNUMBER($DZ892),$DZ892,IF($DZ892="","",IF(TRIM($DZ892)="",0,IF(AND(AND(SUBSTITUTE(SUBSTITUTE(SUBSTITUTE(SUBSTITUTE(SUBSTITUTE(SUBSTITUTE(SUBSTITUTE(SUBSTITUTE(SUBSTITUTE(SUBSTITUTE(SUBSTITUTE(SUBSTITUTE(SUBSTITUTE(SUBSTITUTE(UPPER(TRIM($DZ892)),"0",""),"1",""),"2",""),"3",""),"4",""),"5",""),"6",""),"7",""),"8",""),"9",""),".",""),"+",""),"-",""),"E","")="",LEN(SUBSTITUTE(SUBSTITUTE(MID(UPPER(TRIM($DZ892)),1+OR(LEFT(UPPER(TRIM($DZ892)),1)="+",LEFT(UPPER(TRIM($DZ892)),1)="-"),999),"E+","E"),"E-","E"))=LEN(SUBSTITUTE(SUBSTITUTE(SUBSTITUTE(SUBSTITUTE(MID(UPPER(TRIM($DZ892)),1+OR(LEFT(UPPER(TRIM($DZ892)),1)="+",LEFT(UPPER(TRIM($DZ892)),1)="-"),999),"E+","E"),"E-","E"),"+",""),"-","")),LEN(UPPER(TRIM($DZ892)))-LEN(SUBSTITUTE(UPPER(TRIM($DZ892)),"E",""))&lt;2,LEN(UPPER(TRIM($DZ892)))-LEN(SUBSTITUTE(UPPER(TRIM($DZ892)),".",""))&lt;2,IFERROR(FIND(".",UPPER(TRIM($DZ892))),0)&lt;IFERROR(FIND("E",UPPER(TRIM($DZ892))),999)),ISNUMBER(VALUE(TRIM($DZ892)))),VALUE(TRIM($DZ892)),"")))),""))</f>
        <v/>
      </c>
      <c r="EB892">
        <f>IF($DM892=0,"",IF($L$18=0,"",IFERROR(IF(UPPER(TRIM(SUBSTITUTE(SUBSTITUTE(SUBSTITUTE(SUBSTITUTE(INDEX(PASTE_ALL,$DF892,$L$18)," "," "),CHAR(9)," "),CHAR(10)," "),CHAR(13)," ")))="READY","Ready",IF(UPPER(TRIM(SUBSTITUTE(SUBSTITUTE(SUBSTITUTE(SUBSTITUTE(INDEX(PASTE_ALL,$DF892,$L$18)," "," "),CHAR(9)," "),CHAR(10)," "),CHAR(13)," ")))="PM","PM",IF(OR(UPPER(TRIM(SUBSTITUTE(SUBSTITUTE(SUBSTITUTE(SUBSTITUTE(INDEX(PASTE_ALL,$DF892,$L$18)," "," "),CHAR(9)," "),CHAR(10)," "),CHAR(13)," ")))="OT",UPPER(TRIM(SUBSTITUTE(SUBSTITUTE(SUBSTITUTE(SUBSTITUTE(INDEX(PASTE_ALL,$DF892,$L$18)," "," "),CHAR(9)," "),CHAR(10)," "),CHAR(13)," ")))="OVERTIME",UPPER(TRIM(SUBSTITUTE(SUBSTITUTE(SUBSTITUTE(SUBSTITUTE(INDEX(PASTE_ALL,$DF892,$L$18)," "," "),CHAR(9)," "),CHAR(10)," "),CHAR(13)," ")))="TRIAL"),"OT",TRIM(SUBSTITUTE(SUBSTITUTE(SUBSTITUTE(SUBSTITUTE(INDEX(PASTE_ALL,$DF892,$L$18)," "," "),CHAR(9)," "),CHAR(10)," "),CHAR(13)," "))))),"")))</f>
        <v/>
      </c>
      <c r="EC892">
        <f>IF($DM892=0,"",IF($L$19=0,"",IFERROR(IF(ISNUMBER(INDEX(PASTE_ALL,$DF892,$L$19)),INDEX(PASTE_ALL,$DF892,$L$19),TRIM(SUBSTITUTE(SUBSTITUTE(SUBSTITUTE(SUBSTITUTE(INDEX(PASTE_ALL,$DF892,$L$19)," "," "),CHAR(9)," "),CHAR(10)," "),CHAR(13)," "))),"")))</f>
        <v/>
      </c>
      <c r="ED892">
        <f>IF($DM892=0,"",MATCH(1,INDEX(EXACT($DH$5:DH892,$DH892)*$DM$5:DM892,0),0))</f>
        <v/>
      </c>
      <c r="EE892">
        <f>IF($DM892=0,0,IF($ED892=$DE892,1,0))</f>
        <v/>
      </c>
      <c r="EF892">
        <f>EF891+$EE892</f>
        <v/>
      </c>
      <c r="EG892">
        <f>IF($DM892=0,"",INDEX($EF$5:$EF$1003,$ED892))</f>
        <v/>
      </c>
      <c r="EH892">
        <f>IF($DM892=0,"",IF($DO892&lt;&gt;"","",IFERROR(LOOKUP(2,1/(($EG$4:EG891=$EG892)*($DO$4:DO891&lt;&gt;"")),$DO$4:DO891),"")))</f>
        <v/>
      </c>
      <c r="EI892">
        <f>IF($DM892=0,"",IF($DO892&lt;&gt;"",$DO892,$EH892))</f>
        <v/>
      </c>
      <c r="EJ892">
        <f>IF($DM892=0,"",IF($EI892="",0,IF(OR(ISNUMBER($EI892),AND(AND(SUBSTITUTE(SUBSTITUTE(SUBSTITUTE(SUBSTITUTE(SUBSTITUTE(SUBSTITUTE(SUBSTITUTE(SUBSTITUTE(SUBSTITUTE(SUBSTITUTE(SUBSTITUTE(SUBSTITUTE(SUBSTITUTE(SUBSTITUTE(UPPER($EI892),"0",""),"1",""),"2",""),"3",""),"4",""),"5",""),"6",""),"7",""),"8",""),"9",""),".",""),"+",""),"-",""),"E","")="",LEN(SUBSTITUTE(SUBSTITUTE(MID(UPPER($EI892),1+OR(LEFT(UPPER($EI892),1)="+",LEFT(UPPER($EI892),1)="-"),999),"E+","E"),"E-","E"))=LEN(SUBSTITUTE(SUBSTITUTE(SUBSTITUTE(SUBSTITUTE(MID(UPPER($EI892),1+OR(LEFT(UPPER($EI892),1)="+",LEFT(UPPER($EI892),1)="-"),999),"E+","E"),"E-","E"),"+",""),"-","")),LEN(UPPER($EI892))-LEN(SUBSTITUTE(UPPER($EI892),"E",""))&lt;2,LEN(UPPER($EI892))-LEN(SUBSTITUTE(UPPER($EI892),".",""))&lt;2,IFERROR(FIND(".",UPPER($EI892)),0)&lt;IFERROR(FIND("E",UPPER($EI892)),999)),ISNUMBER(VALUE($EI892)))),1,2)))</f>
        <v/>
      </c>
      <c r="EK892">
        <f>IF($DM892=0,"",IF($EJ892=1,IF(ISNUMBER($EI892),$EI892,VALUE($EI892)),IF($EJ892=2,$DE892,0)))</f>
        <v/>
      </c>
      <c r="EL892">
        <f>IF($DM892=0,"",COUNTIF($EG$5:$EG$1003,"&lt;"&amp;$EG892)+SUMPRODUCT(($EG$5:$EG$1003=$EG892)*(($EJ$5:$EJ$1003&lt;$EJ892)+($EJ$5:$EJ$1003=$EJ892)*(($EK$5:$EK$1003&lt;$EK892)+($EK$5:$EK$1003=$EK892)*($DE$5:$DE$1003&lt;$DE892))))+1)</f>
        <v/>
      </c>
      <c r="EM892">
        <f>IF($DM892=0,"",$EL892+$EG892-1)</f>
        <v/>
      </c>
      <c r="EN892">
        <f>IF($DM892=0,0,IFERROR(MATCH(1,INDEX(--(TRIM(SUBSTITUTE(SUBSTITUTE(SUBSTITUTE(SUBSTITUTE(LINES_NAME&amp;""," "," "),CHAR(9)," "),CHAR(10)," "),CHAR(13)," "))=$DH892),0),0),0))</f>
        <v/>
      </c>
      <c r="EO892">
        <f>IF($EN892=0,0,IF(OR(UPPER(TRIM(INDEX(LINES_SCHEDULED,$EN892)&amp;""))="YES",UPPER(TRIM(INDEX(LINES_SCHEDULED,$EN892)&amp;""))="Y",UPPER(TRIM(INDEX(LINES_SCHEDULED,$EN892)&amp;""))="X"),1,0))</f>
        <v/>
      </c>
      <c r="EP892">
        <f>IF($DM892=0,"",IF(COUNTIFS($EG$5:$EG$1003,$EG892,$EB$5:$EB$1003,"Ready")&gt;0,"READY",IF(COUNTIFS($EG$5:$EG$1003,$EG892,$EB$5:$EB$1003,"PM")&gt;0,"PM",IF(COUNTIFS($EG$5:$EG$1003,$EG892,$EB$5:$EB$1003,"OT")&gt;0,"OT",""))))</f>
        <v/>
      </c>
      <c r="EQ892">
        <f>IF($EN892=0,"",UPPER(TRIM(INDEX(LINES_STATUS,$EN892)&amp;"")))</f>
        <v/>
      </c>
      <c r="ER892">
        <f>IF($DM892=0,"",IF(OR($EQ892="READY",$EQ892="PM",$EQ892="OT"),$EQ892,$EP892))</f>
        <v/>
      </c>
      <c r="ES892">
        <f>IF($DM892=0,"",IF(AND($DV892&lt;&gt;"",UPPER($DV892)&lt;&gt;"N"),"allergen",IF(ISNUMBER(SEARCH("oil",$DQ892)),"oil",IF(OR(EXACT($DS892,"A662"),EXACT($DS892,"A624")),"bulk",""))))</f>
        <v/>
      </c>
      <c r="ET892">
        <f>IF($DM892=0,"",IF(OR($EA892="",$EA892=0),"",$EA892/100))</f>
        <v/>
      </c>
      <c r="EU892">
        <f>IF(OR($ET892="",$DY892=""),"",INT($DY892*(1-$ET892)+0.5))</f>
        <v/>
      </c>
    </row>
    <row r="893">
      <c r="DA893" t="n">
        <v>889</v>
      </c>
      <c r="DB893">
        <f>IF($B$37=0,"",IFERROR(TRIM(SUBSTITUTE(SUBSTITUTE(SUBSTITUTE(SUBSTITUTE(INDEX(PASTE_ALL,889,$B$37)," "," "),CHAR(9)," "),CHAR(10)," "),CHAR(13)," ")),""))</f>
        <v/>
      </c>
      <c r="DC893">
        <f>IF(AND(889&gt;HEADER_ROW,UPPER(DB893)="LEGEND"),1,0)</f>
        <v/>
      </c>
      <c r="DE893" t="n">
        <v>889</v>
      </c>
      <c r="DF893">
        <f>HEADER_ROW+$DE893</f>
        <v/>
      </c>
      <c r="DG893">
        <f>IF(AND($DF893&lt;=1000,$DF893&lt;$B$8),1,0)</f>
        <v/>
      </c>
      <c r="DH893">
        <f>IF($DG893=1,IFERROR(INDEX($DB$5:$DB$1004,$DF893),""),"")</f>
        <v/>
      </c>
      <c r="DI893">
        <f>IF(AND($DG893=1,$DH893&lt;&gt;""),IFERROR(SUBSTITUTE(SUBSTITUTE(TRIM(SUBSTITUTE(SUBSTITUTE(SUBSTITUTE(SUBSTITUTE(IFERROR(INDEX(PASTE_ALL,$DF893,1)&amp;"","")&amp;"␟"&amp;IFERROR(INDEX(PASTE_ALL,$DF893,2)&amp;"","")&amp;"␟"&amp;IFERROR(INDEX(PASTE_ALL,$DF893,3)&amp;"","")&amp;"␟"&amp;IFERROR(INDEX(PASTE_ALL,$DF893,4)&amp;"","")&amp;"␟"&amp;IFERROR(INDEX(PASTE_ALL,$DF893,5)&amp;"","")&amp;"␟"&amp;IFERROR(INDEX(PASTE_ALL,$DF893,6)&amp;"","")&amp;"␟"&amp;IFERROR(INDEX(PASTE_ALL,$DF893,7)&amp;"","")&amp;"␟"&amp;IFERROR(INDEX(PASTE_ALL,$DF893,8)&amp;"","")&amp;"␟"&amp;IFERROR(INDEX(PASTE_ALL,$DF893,9)&amp;"","")&amp;"␟"&amp;IFERROR(INDEX(PASTE_ALL,$DF893,10)&amp;"","")&amp;"␟"&amp;IFERROR(INDEX(PASTE_ALL,$DF893,11)&amp;"","")&amp;"␟"&amp;IFERROR(INDEX(PASTE_ALL,$DF893,12)&amp;"","")&amp;"␟"&amp;IFERROR(INDEX(PASTE_ALL,$DF893,13)&amp;"","")&amp;"␟"&amp;IFERROR(INDEX(PASTE_ALL,$DF893,14)&amp;"","")&amp;"␟"&amp;IFERROR(INDEX(PASTE_ALL,$DF893,15)&amp;"","")&amp;"␟"&amp;IFERROR(INDEX(PASTE_ALL,$DF893,16)&amp;"","")&amp;"␟"&amp;IFERROR(INDEX(PASTE_ALL,$DF893,17)&amp;"","")&amp;"␟"&amp;IFERROR(INDEX(PASTE_ALL,$DF893,18)&amp;"","")&amp;"␟"&amp;IFERROR(INDEX(PASTE_ALL,$DF893,19)&amp;"","")&amp;"␟"&amp;IFERROR(INDEX(PASTE_ALL,$DF893,20)&amp;"","")&amp;"␟"&amp;IFERROR(INDEX(PASTE_ALL,$DF893,21)&amp;"","")&amp;"␟"&amp;IFERROR(INDEX(PASTE_ALL,$DF893,22)&amp;"","")&amp;"␟"&amp;IFERROR(INDEX(PASTE_ALL,$DF893,23)&amp;"","")&amp;"␟"&amp;IFERROR(INDEX(PASTE_ALL,$DF893,24)&amp;"","")&amp;"␟"&amp;IFERROR(INDEX(PASTE_ALL,$DF893,25)&amp;"","")&amp;"␟"&amp;IFERROR(INDEX(PASTE_ALL,$DF893,26)&amp;"","")&amp;"␟"&amp;IFERROR(INDEX(PASTE_ALL,$DF893,27)&amp;"","")&amp;"␟"&amp;IFERROR(INDEX(PASTE_ALL,$DF893,28)&amp;"","")&amp;"␟"&amp;IFERROR(INDEX(PASTE_ALL,$DF893,29)&amp;"","")&amp;"␟"&amp;IFERROR(INDEX(PASTE_ALL,$DF893,30)&amp;"","")&amp;"␟"&amp;IFERROR(INDEX(PASTE_ALL,$DF893,31)&amp;"","")&amp;"␟"&amp;IFERROR(INDEX(PASTE_ALL,$DF893,32)&amp;"","")&amp;"␟"&amp;IFERROR(INDEX(PASTE_ALL,$DF893,33)&amp;"","")&amp;"␟"&amp;IFERROR(INDEX(PASTE_ALL,$DF893,34)&amp;"","")&amp;"␟"&amp;IFERROR(INDEX(PASTE_ALL,$DF893,35)&amp;"","")&amp;"␟"&amp;IFERROR(INDEX(PASTE_ALL,$DF893,36)&amp;"","")&amp;"␟"&amp;IFERROR(INDEX(PASTE_ALL,$DF893,37)&amp;"","")&amp;"␟"&amp;IFERROR(INDEX(PASTE_ALL,$DF893,38)&amp;"","")&amp;"␟"&amp;IFERROR(INDEX(PASTE_ALL,$DF893,39)&amp;"","")&amp;"␟"&amp;IFERROR(INDEX(PASTE_ALL,$DF893,40)&amp;"","")&amp;"␟"&amp;IFERROR(INDEX(PASTE_ALL,$DF893,41)&amp;"","")&amp;"␟"&amp;IFERROR(INDEX(PASTE_ALL,$DF893,42)&amp;"","")&amp;"␟"&amp;IFERROR(INDEX(PASTE_ALL,$DF893,43)&amp;"","")&amp;"␟"&amp;IFERROR(INDEX(PASTE_ALL,$DF893,44)&amp;"","")&amp;"␟"&amp;IFERROR(INDEX(PASTE_ALL,$DF893,45)&amp;"","")&amp;"␟"&amp;IFERROR(INDEX(PASTE_ALL,$DF893,46)&amp;"","")&amp;"␟"&amp;IFERROR(INDEX(PASTE_ALL,$DF893,47)&amp;"","")&amp;"␟"&amp;IFERROR(INDEX(PASTE_ALL,$DF893,48)&amp;"","")&amp;"␟"&amp;IFERROR(INDEX(PASTE_ALL,$DF893,49)&amp;"","")&amp;"␟"&amp;IFERROR(INDEX(PASTE_ALL,$DF893,50)&amp;"","")&amp;"␟"&amp;IFERROR(INDEX(PASTE_ALL,$DF893,51)&amp;"","")&amp;"␟"&amp;IFERROR(INDEX(PASTE_ALL,$DF893,52)&amp;"","")&amp;"␟"&amp;IFERROR(INDEX(PASTE_ALL,$DF893,53)&amp;"","")&amp;"␟"&amp;IFERROR(INDEX(PASTE_ALL,$DF893,54)&amp;"","")&amp;"␟"&amp;IFERROR(INDEX(PASTE_ALL,$DF893,55)&amp;"","")&amp;"␟"&amp;IFERROR(INDEX(PASTE_ALL,$DF893,56)&amp;"","")&amp;"␟"&amp;IFERROR(INDEX(PASTE_ALL,$DF893,57)&amp;"","")&amp;"␟"&amp;IFERROR(INDEX(PASTE_ALL,$DF893,58)&amp;"","")&amp;"␟"&amp;IFERROR(INDEX(PASTE_ALL,$DF893,59)&amp;"","")&amp;"␟"&amp;IFERROR(INDEX(PASTE_ALL,$DF893,60)&amp;"","")," "," "),CHAR(9)," "),CHAR(10)," "),CHAR(13)," "))," ␟","␟"),"␟ ","␟"),"#"&amp;$DE893),"")</f>
        <v/>
      </c>
      <c r="DJ893">
        <f>IF($DI893="",0,IF(SUMPRODUCT(--EXACT($DI$4:DI892,$DI893))&gt;0,1,0))</f>
        <v/>
      </c>
      <c r="DK893">
        <f>IF(AND($DI893&lt;&gt;"",$DJ893=0),1,0)</f>
        <v/>
      </c>
      <c r="DL893">
        <f>DL892+$DK893</f>
        <v/>
      </c>
      <c r="DM893">
        <f>IF(AND($DK893=1,$DL893&lt;=600),1,0)</f>
        <v/>
      </c>
      <c r="DN893">
        <f>IF($DM893=0,"",IF($L$6=0,"",IFERROR(IF(ISNUMBER(INDEX(PASTE_ALL,$DF893,$L$6)),INDEX(PASTE_ALL,$DF893,$L$6),TRIM(SUBSTITUTE(SUBSTITUTE(SUBSTITUTE(SUBSTITUTE(INDEX(PASTE_ALL,$DF893,$L$6)," "," "),CHAR(9)," "),CHAR(10)," "),CHAR(13)," "))),"")))</f>
        <v/>
      </c>
      <c r="DO893">
        <f>IF($DM893=0,"",IF($L$7=0,"",IFERROR(IF(ISNUMBER(INDEX(PASTE_ALL,$DF893,$L$7)),INDEX(PASTE_ALL,$DF893,$L$7),TRIM(SUBSTITUTE(SUBSTITUTE(SUBSTITUTE(SUBSTITUTE(INDEX(PASTE_ALL,$DF893,$L$7)," "," "),CHAR(9)," "),CHAR(10)," "),CHAR(13)," "))),"")))</f>
        <v/>
      </c>
      <c r="DP893">
        <f>IF($DM893=0,"",IF($L$8=0,"",IFERROR(IF(ISNUMBER(INDEX(PASTE_ALL,$DF893,$L$8)),INDEX(PASTE_ALL,$DF893,$L$8),TRIM(SUBSTITUTE(SUBSTITUTE(SUBSTITUTE(SUBSTITUTE(INDEX(PASTE_ALL,$DF893,$L$8)," "," "),CHAR(9)," "),CHAR(10)," "),CHAR(13)," "))),"")))</f>
        <v/>
      </c>
      <c r="DQ893">
        <f>IF($DM893=0,"",IF($L$9=0,"",IFERROR(IF(ISNUMBER(INDEX(PASTE_ALL,$DF893,$L$9)),INDEX(PASTE_ALL,$DF893,$L$9),TRIM(SUBSTITUTE(SUBSTITUTE(SUBSTITUTE(SUBSTITUTE(INDEX(PASTE_ALL,$DF893,$L$9)," "," "),CHAR(9)," "),CHAR(10)," "),CHAR(13)," "))),"")))</f>
        <v/>
      </c>
      <c r="DR893">
        <f>IF($DM893=0,"",IF($L$10=0,"",IFERROR(IF(ISNUMBER(INDEX(PASTE_ALL,$DF893,$L$10)),INDEX(PASTE_ALL,$DF893,$L$10),TRIM(SUBSTITUTE(SUBSTITUTE(SUBSTITUTE(SUBSTITUTE(INDEX(PASTE_ALL,$DF893,$L$10)," "," "),CHAR(9)," "),CHAR(10)," "),CHAR(13)," "))),"")))</f>
        <v/>
      </c>
      <c r="DS893">
        <f>IF($DM893=0,"",IF($L$11=0,"",IFERROR(IF(ISNUMBER(INDEX(PASTE_ALL,$DF893,$L$11)),INDEX(PASTE_ALL,$DF893,$L$11),TRIM(SUBSTITUTE(SUBSTITUTE(SUBSTITUTE(SUBSTITUTE(INDEX(PASTE_ALL,$DF893,$L$11)," "," "),CHAR(9)," "),CHAR(10)," "),CHAR(13)," "))),"")))</f>
        <v/>
      </c>
      <c r="DT893">
        <f>IF($DM893=0,"",IF($L$12=0,"",IFERROR(IF(ISNUMBER(INDEX(PASTE_ALL,$DF893,$L$12)),INDEX(PASTE_ALL,$DF893,$L$12),TRIM(SUBSTITUTE(SUBSTITUTE(SUBSTITUTE(SUBSTITUTE(INDEX(PASTE_ALL,$DF893,$L$12)," "," "),CHAR(9)," "),CHAR(10)," "),CHAR(13)," "))),"")))</f>
        <v/>
      </c>
      <c r="DU893">
        <f>IF($DM893=0,"",IF($L$13=0,"",IFERROR(IF(ISNUMBER(INDEX(PASTE_ALL,$DF893,$L$13)),INDEX(PASTE_ALL,$DF893,$L$13),TRIM(SUBSTITUTE(SUBSTITUTE(SUBSTITUTE(SUBSTITUTE(INDEX(PASTE_ALL,$DF893,$L$13)," "," "),CHAR(9)," "),CHAR(10)," "),CHAR(13)," "))),"")))</f>
        <v/>
      </c>
      <c r="DV893">
        <f>IF($DM893=0,"",IF($L$14=0,"",IFERROR(IF(ISNUMBER(INDEX(PASTE_ALL,$DF893,$L$14)),INDEX(PASTE_ALL,$DF893,$L$14),TRIM(SUBSTITUTE(SUBSTITUTE(SUBSTITUTE(SUBSTITUTE(INDEX(PASTE_ALL,$DF893,$L$14)," "," "),CHAR(9)," "),CHAR(10)," "),CHAR(13)," "))),"")))</f>
        <v/>
      </c>
      <c r="DW893">
        <f>IF($DM893=0,"",IF($L$15=0,"",IFERROR(IF(ISNUMBER(INDEX(PASTE_ALL,$DF893,$L$15)),INDEX(PASTE_ALL,$DF893,$L$15),IF(SUMPRODUCT(--ISNUMBER(FIND({"A","B","C","D","E","F","G","H","I","J","K","L","M","N","O","P","Q","R","S","T","U","V","W","X","Y","Z","0","1","2","3","4","5","6","7","8","9"},UPPER(TRIM(SUBSTITUTE(SUBSTITUTE(SUBSTITUTE(SUBSTITUTE(INDEX(PASTE_ALL,$DF893,$L$15)," "," "),CHAR(9)," "),CHAR(10)," "),CHAR(13)," "))))))&gt;0,TRIM(SUBSTITUTE(SUBSTITUTE(SUBSTITUTE(SUBSTITUTE(INDEX(PASTE_ALL,$DF893,$L$15)," "," "),CHAR(9)," "),CHAR(10)," "),CHAR(13)," ")),"")),"")))</f>
        <v/>
      </c>
      <c r="DX893">
        <f>IF($DM893=0,"",IF($L$16=0,"",IFERROR(IF(ISNUMBER(INDEX(PASTE_ALL,$DF893,$L$16)),INDEX(PASTE_ALL,$DF893,$L$16),SUBSTITUTE(SUBSTITUTE(TRIM(SUBSTITUTE(SUBSTITUTE(SUBSTITUTE(SUBSTITUTE(INDEX(PASTE_ALL,$DF893,$L$16)," "," "),CHAR(9)," "),CHAR(10)," "),CHAR(13)," ")),",",""),"%","")),"")))</f>
        <v/>
      </c>
      <c r="DY893">
        <f>IF($DM893=0,"",IFERROR(IF(ISNUMBER($DX893),$DX893,IF($DX893="","",IF(TRIM($DX893)="",0,IF(AND(AND(SUBSTITUTE(SUBSTITUTE(SUBSTITUTE(SUBSTITUTE(SUBSTITUTE(SUBSTITUTE(SUBSTITUTE(SUBSTITUTE(SUBSTITUTE(SUBSTITUTE(SUBSTITUTE(SUBSTITUTE(SUBSTITUTE(SUBSTITUTE(UPPER(TRIM($DX893)),"0",""),"1",""),"2",""),"3",""),"4",""),"5",""),"6",""),"7",""),"8",""),"9",""),".",""),"+",""),"-",""),"E","")="",LEN(SUBSTITUTE(SUBSTITUTE(MID(UPPER(TRIM($DX893)),1+OR(LEFT(UPPER(TRIM($DX893)),1)="+",LEFT(UPPER(TRIM($DX893)),1)="-"),999),"E+","E"),"E-","E"))=LEN(SUBSTITUTE(SUBSTITUTE(SUBSTITUTE(SUBSTITUTE(MID(UPPER(TRIM($DX893)),1+OR(LEFT(UPPER(TRIM($DX893)),1)="+",LEFT(UPPER(TRIM($DX893)),1)="-"),999),"E+","E"),"E-","E"),"+",""),"-","")),LEN(UPPER(TRIM($DX893)))-LEN(SUBSTITUTE(UPPER(TRIM($DX893)),"E",""))&lt;2,LEN(UPPER(TRIM($DX893)))-LEN(SUBSTITUTE(UPPER(TRIM($DX893)),".",""))&lt;2,IFERROR(FIND(".",UPPER(TRIM($DX893))),0)&lt;IFERROR(FIND("E",UPPER(TRIM($DX893))),999)),ISNUMBER(VALUE(TRIM($DX893)))),VALUE(TRIM($DX893)),"")))),""))</f>
        <v/>
      </c>
      <c r="DZ893">
        <f>IF($DM893=0,"",IF($L$17=0,"",IFERROR(IF(ISNUMBER(INDEX(PASTE_ALL,$DF893,$L$17)),INDEX(PASTE_ALL,$DF893,$L$17),SUBSTITUTE(SUBSTITUTE(TRIM(SUBSTITUTE(SUBSTITUTE(SUBSTITUTE(SUBSTITUTE(INDEX(PASTE_ALL,$DF893,$L$17)," "," "),CHAR(9)," "),CHAR(10)," "),CHAR(13)," ")),",",""),"%","")),"")))</f>
        <v/>
      </c>
      <c r="EA893">
        <f>IF($DM893=0,"",IFERROR(IF(ISNUMBER($DZ893),$DZ893,IF($DZ893="","",IF(TRIM($DZ893)="",0,IF(AND(AND(SUBSTITUTE(SUBSTITUTE(SUBSTITUTE(SUBSTITUTE(SUBSTITUTE(SUBSTITUTE(SUBSTITUTE(SUBSTITUTE(SUBSTITUTE(SUBSTITUTE(SUBSTITUTE(SUBSTITUTE(SUBSTITUTE(SUBSTITUTE(UPPER(TRIM($DZ893)),"0",""),"1",""),"2",""),"3",""),"4",""),"5",""),"6",""),"7",""),"8",""),"9",""),".",""),"+",""),"-",""),"E","")="",LEN(SUBSTITUTE(SUBSTITUTE(MID(UPPER(TRIM($DZ893)),1+OR(LEFT(UPPER(TRIM($DZ893)),1)="+",LEFT(UPPER(TRIM($DZ893)),1)="-"),999),"E+","E"),"E-","E"))=LEN(SUBSTITUTE(SUBSTITUTE(SUBSTITUTE(SUBSTITUTE(MID(UPPER(TRIM($DZ893)),1+OR(LEFT(UPPER(TRIM($DZ893)),1)="+",LEFT(UPPER(TRIM($DZ893)),1)="-"),999),"E+","E"),"E-","E"),"+",""),"-","")),LEN(UPPER(TRIM($DZ893)))-LEN(SUBSTITUTE(UPPER(TRIM($DZ893)),"E",""))&lt;2,LEN(UPPER(TRIM($DZ893)))-LEN(SUBSTITUTE(UPPER(TRIM($DZ893)),".",""))&lt;2,IFERROR(FIND(".",UPPER(TRIM($DZ893))),0)&lt;IFERROR(FIND("E",UPPER(TRIM($DZ893))),999)),ISNUMBER(VALUE(TRIM($DZ893)))),VALUE(TRIM($DZ893)),"")))),""))</f>
        <v/>
      </c>
      <c r="EB893">
        <f>IF($DM893=0,"",IF($L$18=0,"",IFERROR(IF(UPPER(TRIM(SUBSTITUTE(SUBSTITUTE(SUBSTITUTE(SUBSTITUTE(INDEX(PASTE_ALL,$DF893,$L$18)," "," "),CHAR(9)," "),CHAR(10)," "),CHAR(13)," ")))="READY","Ready",IF(UPPER(TRIM(SUBSTITUTE(SUBSTITUTE(SUBSTITUTE(SUBSTITUTE(INDEX(PASTE_ALL,$DF893,$L$18)," "," "),CHAR(9)," "),CHAR(10)," "),CHAR(13)," ")))="PM","PM",IF(OR(UPPER(TRIM(SUBSTITUTE(SUBSTITUTE(SUBSTITUTE(SUBSTITUTE(INDEX(PASTE_ALL,$DF893,$L$18)," "," "),CHAR(9)," "),CHAR(10)," "),CHAR(13)," ")))="OT",UPPER(TRIM(SUBSTITUTE(SUBSTITUTE(SUBSTITUTE(SUBSTITUTE(INDEX(PASTE_ALL,$DF893,$L$18)," "," "),CHAR(9)," "),CHAR(10)," "),CHAR(13)," ")))="OVERTIME",UPPER(TRIM(SUBSTITUTE(SUBSTITUTE(SUBSTITUTE(SUBSTITUTE(INDEX(PASTE_ALL,$DF893,$L$18)," "," "),CHAR(9)," "),CHAR(10)," "),CHAR(13)," ")))="TRIAL"),"OT",TRIM(SUBSTITUTE(SUBSTITUTE(SUBSTITUTE(SUBSTITUTE(INDEX(PASTE_ALL,$DF893,$L$18)," "," "),CHAR(9)," "),CHAR(10)," "),CHAR(13)," "))))),"")))</f>
        <v/>
      </c>
      <c r="EC893">
        <f>IF($DM893=0,"",IF($L$19=0,"",IFERROR(IF(ISNUMBER(INDEX(PASTE_ALL,$DF893,$L$19)),INDEX(PASTE_ALL,$DF893,$L$19),TRIM(SUBSTITUTE(SUBSTITUTE(SUBSTITUTE(SUBSTITUTE(INDEX(PASTE_ALL,$DF893,$L$19)," "," "),CHAR(9)," "),CHAR(10)," "),CHAR(13)," "))),"")))</f>
        <v/>
      </c>
      <c r="ED893">
        <f>IF($DM893=0,"",MATCH(1,INDEX(EXACT($DH$5:DH893,$DH893)*$DM$5:DM893,0),0))</f>
        <v/>
      </c>
      <c r="EE893">
        <f>IF($DM893=0,0,IF($ED893=$DE893,1,0))</f>
        <v/>
      </c>
      <c r="EF893">
        <f>EF892+$EE893</f>
        <v/>
      </c>
      <c r="EG893">
        <f>IF($DM893=0,"",INDEX($EF$5:$EF$1003,$ED893))</f>
        <v/>
      </c>
      <c r="EH893">
        <f>IF($DM893=0,"",IF($DO893&lt;&gt;"","",IFERROR(LOOKUP(2,1/(($EG$4:EG892=$EG893)*($DO$4:DO892&lt;&gt;"")),$DO$4:DO892),"")))</f>
        <v/>
      </c>
      <c r="EI893">
        <f>IF($DM893=0,"",IF($DO893&lt;&gt;"",$DO893,$EH893))</f>
        <v/>
      </c>
      <c r="EJ893">
        <f>IF($DM893=0,"",IF($EI893="",0,IF(OR(ISNUMBER($EI893),AND(AND(SUBSTITUTE(SUBSTITUTE(SUBSTITUTE(SUBSTITUTE(SUBSTITUTE(SUBSTITUTE(SUBSTITUTE(SUBSTITUTE(SUBSTITUTE(SUBSTITUTE(SUBSTITUTE(SUBSTITUTE(SUBSTITUTE(SUBSTITUTE(UPPER($EI893),"0",""),"1",""),"2",""),"3",""),"4",""),"5",""),"6",""),"7",""),"8",""),"9",""),".",""),"+",""),"-",""),"E","")="",LEN(SUBSTITUTE(SUBSTITUTE(MID(UPPER($EI893),1+OR(LEFT(UPPER($EI893),1)="+",LEFT(UPPER($EI893),1)="-"),999),"E+","E"),"E-","E"))=LEN(SUBSTITUTE(SUBSTITUTE(SUBSTITUTE(SUBSTITUTE(MID(UPPER($EI893),1+OR(LEFT(UPPER($EI893),1)="+",LEFT(UPPER($EI893),1)="-"),999),"E+","E"),"E-","E"),"+",""),"-","")),LEN(UPPER($EI893))-LEN(SUBSTITUTE(UPPER($EI893),"E",""))&lt;2,LEN(UPPER($EI893))-LEN(SUBSTITUTE(UPPER($EI893),".",""))&lt;2,IFERROR(FIND(".",UPPER($EI893)),0)&lt;IFERROR(FIND("E",UPPER($EI893)),999)),ISNUMBER(VALUE($EI893)))),1,2)))</f>
        <v/>
      </c>
      <c r="EK893">
        <f>IF($DM893=0,"",IF($EJ893=1,IF(ISNUMBER($EI893),$EI893,VALUE($EI893)),IF($EJ893=2,$DE893,0)))</f>
        <v/>
      </c>
      <c r="EL893">
        <f>IF($DM893=0,"",COUNTIF($EG$5:$EG$1003,"&lt;"&amp;$EG893)+SUMPRODUCT(($EG$5:$EG$1003=$EG893)*(($EJ$5:$EJ$1003&lt;$EJ893)+($EJ$5:$EJ$1003=$EJ893)*(($EK$5:$EK$1003&lt;$EK893)+($EK$5:$EK$1003=$EK893)*($DE$5:$DE$1003&lt;$DE893))))+1)</f>
        <v/>
      </c>
      <c r="EM893">
        <f>IF($DM893=0,"",$EL893+$EG893-1)</f>
        <v/>
      </c>
      <c r="EN893">
        <f>IF($DM893=0,0,IFERROR(MATCH(1,INDEX(--(TRIM(SUBSTITUTE(SUBSTITUTE(SUBSTITUTE(SUBSTITUTE(LINES_NAME&amp;""," "," "),CHAR(9)," "),CHAR(10)," "),CHAR(13)," "))=$DH893),0),0),0))</f>
        <v/>
      </c>
      <c r="EO893">
        <f>IF($EN893=0,0,IF(OR(UPPER(TRIM(INDEX(LINES_SCHEDULED,$EN893)&amp;""))="YES",UPPER(TRIM(INDEX(LINES_SCHEDULED,$EN893)&amp;""))="Y",UPPER(TRIM(INDEX(LINES_SCHEDULED,$EN893)&amp;""))="X"),1,0))</f>
        <v/>
      </c>
      <c r="EP893">
        <f>IF($DM893=0,"",IF(COUNTIFS($EG$5:$EG$1003,$EG893,$EB$5:$EB$1003,"Ready")&gt;0,"READY",IF(COUNTIFS($EG$5:$EG$1003,$EG893,$EB$5:$EB$1003,"PM")&gt;0,"PM",IF(COUNTIFS($EG$5:$EG$1003,$EG893,$EB$5:$EB$1003,"OT")&gt;0,"OT",""))))</f>
        <v/>
      </c>
      <c r="EQ893">
        <f>IF($EN893=0,"",UPPER(TRIM(INDEX(LINES_STATUS,$EN893)&amp;"")))</f>
        <v/>
      </c>
      <c r="ER893">
        <f>IF($DM893=0,"",IF(OR($EQ893="READY",$EQ893="PM",$EQ893="OT"),$EQ893,$EP893))</f>
        <v/>
      </c>
      <c r="ES893">
        <f>IF($DM893=0,"",IF(AND($DV893&lt;&gt;"",UPPER($DV893)&lt;&gt;"N"),"allergen",IF(ISNUMBER(SEARCH("oil",$DQ893)),"oil",IF(OR(EXACT($DS893,"A662"),EXACT($DS893,"A624")),"bulk",""))))</f>
        <v/>
      </c>
      <c r="ET893">
        <f>IF($DM893=0,"",IF(OR($EA893="",$EA893=0),"",$EA893/100))</f>
        <v/>
      </c>
      <c r="EU893">
        <f>IF(OR($ET893="",$DY893=""),"",INT($DY893*(1-$ET893)+0.5))</f>
        <v/>
      </c>
    </row>
    <row r="894">
      <c r="DA894" t="n">
        <v>890</v>
      </c>
      <c r="DB894">
        <f>IF($B$37=0,"",IFERROR(TRIM(SUBSTITUTE(SUBSTITUTE(SUBSTITUTE(SUBSTITUTE(INDEX(PASTE_ALL,890,$B$37)," "," "),CHAR(9)," "),CHAR(10)," "),CHAR(13)," ")),""))</f>
        <v/>
      </c>
      <c r="DC894">
        <f>IF(AND(890&gt;HEADER_ROW,UPPER(DB894)="LEGEND"),1,0)</f>
        <v/>
      </c>
      <c r="DE894" t="n">
        <v>890</v>
      </c>
      <c r="DF894">
        <f>HEADER_ROW+$DE894</f>
        <v/>
      </c>
      <c r="DG894">
        <f>IF(AND($DF894&lt;=1000,$DF894&lt;$B$8),1,0)</f>
        <v/>
      </c>
      <c r="DH894">
        <f>IF($DG894=1,IFERROR(INDEX($DB$5:$DB$1004,$DF894),""),"")</f>
        <v/>
      </c>
      <c r="DI894">
        <f>IF(AND($DG894=1,$DH894&lt;&gt;""),IFERROR(SUBSTITUTE(SUBSTITUTE(TRIM(SUBSTITUTE(SUBSTITUTE(SUBSTITUTE(SUBSTITUTE(IFERROR(INDEX(PASTE_ALL,$DF894,1)&amp;"","")&amp;"␟"&amp;IFERROR(INDEX(PASTE_ALL,$DF894,2)&amp;"","")&amp;"␟"&amp;IFERROR(INDEX(PASTE_ALL,$DF894,3)&amp;"","")&amp;"␟"&amp;IFERROR(INDEX(PASTE_ALL,$DF894,4)&amp;"","")&amp;"␟"&amp;IFERROR(INDEX(PASTE_ALL,$DF894,5)&amp;"","")&amp;"␟"&amp;IFERROR(INDEX(PASTE_ALL,$DF894,6)&amp;"","")&amp;"␟"&amp;IFERROR(INDEX(PASTE_ALL,$DF894,7)&amp;"","")&amp;"␟"&amp;IFERROR(INDEX(PASTE_ALL,$DF894,8)&amp;"","")&amp;"␟"&amp;IFERROR(INDEX(PASTE_ALL,$DF894,9)&amp;"","")&amp;"␟"&amp;IFERROR(INDEX(PASTE_ALL,$DF894,10)&amp;"","")&amp;"␟"&amp;IFERROR(INDEX(PASTE_ALL,$DF894,11)&amp;"","")&amp;"␟"&amp;IFERROR(INDEX(PASTE_ALL,$DF894,12)&amp;"","")&amp;"␟"&amp;IFERROR(INDEX(PASTE_ALL,$DF894,13)&amp;"","")&amp;"␟"&amp;IFERROR(INDEX(PASTE_ALL,$DF894,14)&amp;"","")&amp;"␟"&amp;IFERROR(INDEX(PASTE_ALL,$DF894,15)&amp;"","")&amp;"␟"&amp;IFERROR(INDEX(PASTE_ALL,$DF894,16)&amp;"","")&amp;"␟"&amp;IFERROR(INDEX(PASTE_ALL,$DF894,17)&amp;"","")&amp;"␟"&amp;IFERROR(INDEX(PASTE_ALL,$DF894,18)&amp;"","")&amp;"␟"&amp;IFERROR(INDEX(PASTE_ALL,$DF894,19)&amp;"","")&amp;"␟"&amp;IFERROR(INDEX(PASTE_ALL,$DF894,20)&amp;"","")&amp;"␟"&amp;IFERROR(INDEX(PASTE_ALL,$DF894,21)&amp;"","")&amp;"␟"&amp;IFERROR(INDEX(PASTE_ALL,$DF894,22)&amp;"","")&amp;"␟"&amp;IFERROR(INDEX(PASTE_ALL,$DF894,23)&amp;"","")&amp;"␟"&amp;IFERROR(INDEX(PASTE_ALL,$DF894,24)&amp;"","")&amp;"␟"&amp;IFERROR(INDEX(PASTE_ALL,$DF894,25)&amp;"","")&amp;"␟"&amp;IFERROR(INDEX(PASTE_ALL,$DF894,26)&amp;"","")&amp;"␟"&amp;IFERROR(INDEX(PASTE_ALL,$DF894,27)&amp;"","")&amp;"␟"&amp;IFERROR(INDEX(PASTE_ALL,$DF894,28)&amp;"","")&amp;"␟"&amp;IFERROR(INDEX(PASTE_ALL,$DF894,29)&amp;"","")&amp;"␟"&amp;IFERROR(INDEX(PASTE_ALL,$DF894,30)&amp;"","")&amp;"␟"&amp;IFERROR(INDEX(PASTE_ALL,$DF894,31)&amp;"","")&amp;"␟"&amp;IFERROR(INDEX(PASTE_ALL,$DF894,32)&amp;"","")&amp;"␟"&amp;IFERROR(INDEX(PASTE_ALL,$DF894,33)&amp;"","")&amp;"␟"&amp;IFERROR(INDEX(PASTE_ALL,$DF894,34)&amp;"","")&amp;"␟"&amp;IFERROR(INDEX(PASTE_ALL,$DF894,35)&amp;"","")&amp;"␟"&amp;IFERROR(INDEX(PASTE_ALL,$DF894,36)&amp;"","")&amp;"␟"&amp;IFERROR(INDEX(PASTE_ALL,$DF894,37)&amp;"","")&amp;"␟"&amp;IFERROR(INDEX(PASTE_ALL,$DF894,38)&amp;"","")&amp;"␟"&amp;IFERROR(INDEX(PASTE_ALL,$DF894,39)&amp;"","")&amp;"␟"&amp;IFERROR(INDEX(PASTE_ALL,$DF894,40)&amp;"","")&amp;"␟"&amp;IFERROR(INDEX(PASTE_ALL,$DF894,41)&amp;"","")&amp;"␟"&amp;IFERROR(INDEX(PASTE_ALL,$DF894,42)&amp;"","")&amp;"␟"&amp;IFERROR(INDEX(PASTE_ALL,$DF894,43)&amp;"","")&amp;"␟"&amp;IFERROR(INDEX(PASTE_ALL,$DF894,44)&amp;"","")&amp;"␟"&amp;IFERROR(INDEX(PASTE_ALL,$DF894,45)&amp;"","")&amp;"␟"&amp;IFERROR(INDEX(PASTE_ALL,$DF894,46)&amp;"","")&amp;"␟"&amp;IFERROR(INDEX(PASTE_ALL,$DF894,47)&amp;"","")&amp;"␟"&amp;IFERROR(INDEX(PASTE_ALL,$DF894,48)&amp;"","")&amp;"␟"&amp;IFERROR(INDEX(PASTE_ALL,$DF894,49)&amp;"","")&amp;"␟"&amp;IFERROR(INDEX(PASTE_ALL,$DF894,50)&amp;"","")&amp;"␟"&amp;IFERROR(INDEX(PASTE_ALL,$DF894,51)&amp;"","")&amp;"␟"&amp;IFERROR(INDEX(PASTE_ALL,$DF894,52)&amp;"","")&amp;"␟"&amp;IFERROR(INDEX(PASTE_ALL,$DF894,53)&amp;"","")&amp;"␟"&amp;IFERROR(INDEX(PASTE_ALL,$DF894,54)&amp;"","")&amp;"␟"&amp;IFERROR(INDEX(PASTE_ALL,$DF894,55)&amp;"","")&amp;"␟"&amp;IFERROR(INDEX(PASTE_ALL,$DF894,56)&amp;"","")&amp;"␟"&amp;IFERROR(INDEX(PASTE_ALL,$DF894,57)&amp;"","")&amp;"␟"&amp;IFERROR(INDEX(PASTE_ALL,$DF894,58)&amp;"","")&amp;"␟"&amp;IFERROR(INDEX(PASTE_ALL,$DF894,59)&amp;"","")&amp;"␟"&amp;IFERROR(INDEX(PASTE_ALL,$DF894,60)&amp;"","")," "," "),CHAR(9)," "),CHAR(10)," "),CHAR(13)," "))," ␟","␟"),"␟ ","␟"),"#"&amp;$DE894),"")</f>
        <v/>
      </c>
      <c r="DJ894">
        <f>IF($DI894="",0,IF(SUMPRODUCT(--EXACT($DI$4:DI893,$DI894))&gt;0,1,0))</f>
        <v/>
      </c>
      <c r="DK894">
        <f>IF(AND($DI894&lt;&gt;"",$DJ894=0),1,0)</f>
        <v/>
      </c>
      <c r="DL894">
        <f>DL893+$DK894</f>
        <v/>
      </c>
      <c r="DM894">
        <f>IF(AND($DK894=1,$DL894&lt;=600),1,0)</f>
        <v/>
      </c>
      <c r="DN894">
        <f>IF($DM894=0,"",IF($L$6=0,"",IFERROR(IF(ISNUMBER(INDEX(PASTE_ALL,$DF894,$L$6)),INDEX(PASTE_ALL,$DF894,$L$6),TRIM(SUBSTITUTE(SUBSTITUTE(SUBSTITUTE(SUBSTITUTE(INDEX(PASTE_ALL,$DF894,$L$6)," "," "),CHAR(9)," "),CHAR(10)," "),CHAR(13)," "))),"")))</f>
        <v/>
      </c>
      <c r="DO894">
        <f>IF($DM894=0,"",IF($L$7=0,"",IFERROR(IF(ISNUMBER(INDEX(PASTE_ALL,$DF894,$L$7)),INDEX(PASTE_ALL,$DF894,$L$7),TRIM(SUBSTITUTE(SUBSTITUTE(SUBSTITUTE(SUBSTITUTE(INDEX(PASTE_ALL,$DF894,$L$7)," "," "),CHAR(9)," "),CHAR(10)," "),CHAR(13)," "))),"")))</f>
        <v/>
      </c>
      <c r="DP894">
        <f>IF($DM894=0,"",IF($L$8=0,"",IFERROR(IF(ISNUMBER(INDEX(PASTE_ALL,$DF894,$L$8)),INDEX(PASTE_ALL,$DF894,$L$8),TRIM(SUBSTITUTE(SUBSTITUTE(SUBSTITUTE(SUBSTITUTE(INDEX(PASTE_ALL,$DF894,$L$8)," "," "),CHAR(9)," "),CHAR(10)," "),CHAR(13)," "))),"")))</f>
        <v/>
      </c>
      <c r="DQ894">
        <f>IF($DM894=0,"",IF($L$9=0,"",IFERROR(IF(ISNUMBER(INDEX(PASTE_ALL,$DF894,$L$9)),INDEX(PASTE_ALL,$DF894,$L$9),TRIM(SUBSTITUTE(SUBSTITUTE(SUBSTITUTE(SUBSTITUTE(INDEX(PASTE_ALL,$DF894,$L$9)," "," "),CHAR(9)," "),CHAR(10)," "),CHAR(13)," "))),"")))</f>
        <v/>
      </c>
      <c r="DR894">
        <f>IF($DM894=0,"",IF($L$10=0,"",IFERROR(IF(ISNUMBER(INDEX(PASTE_ALL,$DF894,$L$10)),INDEX(PASTE_ALL,$DF894,$L$10),TRIM(SUBSTITUTE(SUBSTITUTE(SUBSTITUTE(SUBSTITUTE(INDEX(PASTE_ALL,$DF894,$L$10)," "," "),CHAR(9)," "),CHAR(10)," "),CHAR(13)," "))),"")))</f>
        <v/>
      </c>
      <c r="DS894">
        <f>IF($DM894=0,"",IF($L$11=0,"",IFERROR(IF(ISNUMBER(INDEX(PASTE_ALL,$DF894,$L$11)),INDEX(PASTE_ALL,$DF894,$L$11),TRIM(SUBSTITUTE(SUBSTITUTE(SUBSTITUTE(SUBSTITUTE(INDEX(PASTE_ALL,$DF894,$L$11)," "," "),CHAR(9)," "),CHAR(10)," "),CHAR(13)," "))),"")))</f>
        <v/>
      </c>
      <c r="DT894">
        <f>IF($DM894=0,"",IF($L$12=0,"",IFERROR(IF(ISNUMBER(INDEX(PASTE_ALL,$DF894,$L$12)),INDEX(PASTE_ALL,$DF894,$L$12),TRIM(SUBSTITUTE(SUBSTITUTE(SUBSTITUTE(SUBSTITUTE(INDEX(PASTE_ALL,$DF894,$L$12)," "," "),CHAR(9)," "),CHAR(10)," "),CHAR(13)," "))),"")))</f>
        <v/>
      </c>
      <c r="DU894">
        <f>IF($DM894=0,"",IF($L$13=0,"",IFERROR(IF(ISNUMBER(INDEX(PASTE_ALL,$DF894,$L$13)),INDEX(PASTE_ALL,$DF894,$L$13),TRIM(SUBSTITUTE(SUBSTITUTE(SUBSTITUTE(SUBSTITUTE(INDEX(PASTE_ALL,$DF894,$L$13)," "," "),CHAR(9)," "),CHAR(10)," "),CHAR(13)," "))),"")))</f>
        <v/>
      </c>
      <c r="DV894">
        <f>IF($DM894=0,"",IF($L$14=0,"",IFERROR(IF(ISNUMBER(INDEX(PASTE_ALL,$DF894,$L$14)),INDEX(PASTE_ALL,$DF894,$L$14),TRIM(SUBSTITUTE(SUBSTITUTE(SUBSTITUTE(SUBSTITUTE(INDEX(PASTE_ALL,$DF894,$L$14)," "," "),CHAR(9)," "),CHAR(10)," "),CHAR(13)," "))),"")))</f>
        <v/>
      </c>
      <c r="DW894">
        <f>IF($DM894=0,"",IF($L$15=0,"",IFERROR(IF(ISNUMBER(INDEX(PASTE_ALL,$DF894,$L$15)),INDEX(PASTE_ALL,$DF894,$L$15),IF(SUMPRODUCT(--ISNUMBER(FIND({"A","B","C","D","E","F","G","H","I","J","K","L","M","N","O","P","Q","R","S","T","U","V","W","X","Y","Z","0","1","2","3","4","5","6","7","8","9"},UPPER(TRIM(SUBSTITUTE(SUBSTITUTE(SUBSTITUTE(SUBSTITUTE(INDEX(PASTE_ALL,$DF894,$L$15)," "," "),CHAR(9)," "),CHAR(10)," "),CHAR(13)," "))))))&gt;0,TRIM(SUBSTITUTE(SUBSTITUTE(SUBSTITUTE(SUBSTITUTE(INDEX(PASTE_ALL,$DF894,$L$15)," "," "),CHAR(9)," "),CHAR(10)," "),CHAR(13)," ")),"")),"")))</f>
        <v/>
      </c>
      <c r="DX894">
        <f>IF($DM894=0,"",IF($L$16=0,"",IFERROR(IF(ISNUMBER(INDEX(PASTE_ALL,$DF894,$L$16)),INDEX(PASTE_ALL,$DF894,$L$16),SUBSTITUTE(SUBSTITUTE(TRIM(SUBSTITUTE(SUBSTITUTE(SUBSTITUTE(SUBSTITUTE(INDEX(PASTE_ALL,$DF894,$L$16)," "," "),CHAR(9)," "),CHAR(10)," "),CHAR(13)," ")),",",""),"%","")),"")))</f>
        <v/>
      </c>
      <c r="DY894">
        <f>IF($DM894=0,"",IFERROR(IF(ISNUMBER($DX894),$DX894,IF($DX894="","",IF(TRIM($DX894)="",0,IF(AND(AND(SUBSTITUTE(SUBSTITUTE(SUBSTITUTE(SUBSTITUTE(SUBSTITUTE(SUBSTITUTE(SUBSTITUTE(SUBSTITUTE(SUBSTITUTE(SUBSTITUTE(SUBSTITUTE(SUBSTITUTE(SUBSTITUTE(SUBSTITUTE(UPPER(TRIM($DX894)),"0",""),"1",""),"2",""),"3",""),"4",""),"5",""),"6",""),"7",""),"8",""),"9",""),".",""),"+",""),"-",""),"E","")="",LEN(SUBSTITUTE(SUBSTITUTE(MID(UPPER(TRIM($DX894)),1+OR(LEFT(UPPER(TRIM($DX894)),1)="+",LEFT(UPPER(TRIM($DX894)),1)="-"),999),"E+","E"),"E-","E"))=LEN(SUBSTITUTE(SUBSTITUTE(SUBSTITUTE(SUBSTITUTE(MID(UPPER(TRIM($DX894)),1+OR(LEFT(UPPER(TRIM($DX894)),1)="+",LEFT(UPPER(TRIM($DX894)),1)="-"),999),"E+","E"),"E-","E"),"+",""),"-","")),LEN(UPPER(TRIM($DX894)))-LEN(SUBSTITUTE(UPPER(TRIM($DX894)),"E",""))&lt;2,LEN(UPPER(TRIM($DX894)))-LEN(SUBSTITUTE(UPPER(TRIM($DX894)),".",""))&lt;2,IFERROR(FIND(".",UPPER(TRIM($DX894))),0)&lt;IFERROR(FIND("E",UPPER(TRIM($DX894))),999)),ISNUMBER(VALUE(TRIM($DX894)))),VALUE(TRIM($DX894)),"")))),""))</f>
        <v/>
      </c>
      <c r="DZ894">
        <f>IF($DM894=0,"",IF($L$17=0,"",IFERROR(IF(ISNUMBER(INDEX(PASTE_ALL,$DF894,$L$17)),INDEX(PASTE_ALL,$DF894,$L$17),SUBSTITUTE(SUBSTITUTE(TRIM(SUBSTITUTE(SUBSTITUTE(SUBSTITUTE(SUBSTITUTE(INDEX(PASTE_ALL,$DF894,$L$17)," "," "),CHAR(9)," "),CHAR(10)," "),CHAR(13)," ")),",",""),"%","")),"")))</f>
        <v/>
      </c>
      <c r="EA894">
        <f>IF($DM894=0,"",IFERROR(IF(ISNUMBER($DZ894),$DZ894,IF($DZ894="","",IF(TRIM($DZ894)="",0,IF(AND(AND(SUBSTITUTE(SUBSTITUTE(SUBSTITUTE(SUBSTITUTE(SUBSTITUTE(SUBSTITUTE(SUBSTITUTE(SUBSTITUTE(SUBSTITUTE(SUBSTITUTE(SUBSTITUTE(SUBSTITUTE(SUBSTITUTE(SUBSTITUTE(UPPER(TRIM($DZ894)),"0",""),"1",""),"2",""),"3",""),"4",""),"5",""),"6",""),"7",""),"8",""),"9",""),".",""),"+",""),"-",""),"E","")="",LEN(SUBSTITUTE(SUBSTITUTE(MID(UPPER(TRIM($DZ894)),1+OR(LEFT(UPPER(TRIM($DZ894)),1)="+",LEFT(UPPER(TRIM($DZ894)),1)="-"),999),"E+","E"),"E-","E"))=LEN(SUBSTITUTE(SUBSTITUTE(SUBSTITUTE(SUBSTITUTE(MID(UPPER(TRIM($DZ894)),1+OR(LEFT(UPPER(TRIM($DZ894)),1)="+",LEFT(UPPER(TRIM($DZ894)),1)="-"),999),"E+","E"),"E-","E"),"+",""),"-","")),LEN(UPPER(TRIM($DZ894)))-LEN(SUBSTITUTE(UPPER(TRIM($DZ894)),"E",""))&lt;2,LEN(UPPER(TRIM($DZ894)))-LEN(SUBSTITUTE(UPPER(TRIM($DZ894)),".",""))&lt;2,IFERROR(FIND(".",UPPER(TRIM($DZ894))),0)&lt;IFERROR(FIND("E",UPPER(TRIM($DZ894))),999)),ISNUMBER(VALUE(TRIM($DZ894)))),VALUE(TRIM($DZ894)),"")))),""))</f>
        <v/>
      </c>
      <c r="EB894">
        <f>IF($DM894=0,"",IF($L$18=0,"",IFERROR(IF(UPPER(TRIM(SUBSTITUTE(SUBSTITUTE(SUBSTITUTE(SUBSTITUTE(INDEX(PASTE_ALL,$DF894,$L$18)," "," "),CHAR(9)," "),CHAR(10)," "),CHAR(13)," ")))="READY","Ready",IF(UPPER(TRIM(SUBSTITUTE(SUBSTITUTE(SUBSTITUTE(SUBSTITUTE(INDEX(PASTE_ALL,$DF894,$L$18)," "," "),CHAR(9)," "),CHAR(10)," "),CHAR(13)," ")))="PM","PM",IF(OR(UPPER(TRIM(SUBSTITUTE(SUBSTITUTE(SUBSTITUTE(SUBSTITUTE(INDEX(PASTE_ALL,$DF894,$L$18)," "," "),CHAR(9)," "),CHAR(10)," "),CHAR(13)," ")))="OT",UPPER(TRIM(SUBSTITUTE(SUBSTITUTE(SUBSTITUTE(SUBSTITUTE(INDEX(PASTE_ALL,$DF894,$L$18)," "," "),CHAR(9)," "),CHAR(10)," "),CHAR(13)," ")))="OVERTIME",UPPER(TRIM(SUBSTITUTE(SUBSTITUTE(SUBSTITUTE(SUBSTITUTE(INDEX(PASTE_ALL,$DF894,$L$18)," "," "),CHAR(9)," "),CHAR(10)," "),CHAR(13)," ")))="TRIAL"),"OT",TRIM(SUBSTITUTE(SUBSTITUTE(SUBSTITUTE(SUBSTITUTE(INDEX(PASTE_ALL,$DF894,$L$18)," "," "),CHAR(9)," "),CHAR(10)," "),CHAR(13)," "))))),"")))</f>
        <v/>
      </c>
      <c r="EC894">
        <f>IF($DM894=0,"",IF($L$19=0,"",IFERROR(IF(ISNUMBER(INDEX(PASTE_ALL,$DF894,$L$19)),INDEX(PASTE_ALL,$DF894,$L$19),TRIM(SUBSTITUTE(SUBSTITUTE(SUBSTITUTE(SUBSTITUTE(INDEX(PASTE_ALL,$DF894,$L$19)," "," "),CHAR(9)," "),CHAR(10)," "),CHAR(13)," "))),"")))</f>
        <v/>
      </c>
      <c r="ED894">
        <f>IF($DM894=0,"",MATCH(1,INDEX(EXACT($DH$5:DH894,$DH894)*$DM$5:DM894,0),0))</f>
        <v/>
      </c>
      <c r="EE894">
        <f>IF($DM894=0,0,IF($ED894=$DE894,1,0))</f>
        <v/>
      </c>
      <c r="EF894">
        <f>EF893+$EE894</f>
        <v/>
      </c>
      <c r="EG894">
        <f>IF($DM894=0,"",INDEX($EF$5:$EF$1003,$ED894))</f>
        <v/>
      </c>
      <c r="EH894">
        <f>IF($DM894=0,"",IF($DO894&lt;&gt;"","",IFERROR(LOOKUP(2,1/(($EG$4:EG893=$EG894)*($DO$4:DO893&lt;&gt;"")),$DO$4:DO893),"")))</f>
        <v/>
      </c>
      <c r="EI894">
        <f>IF($DM894=0,"",IF($DO894&lt;&gt;"",$DO894,$EH894))</f>
        <v/>
      </c>
      <c r="EJ894">
        <f>IF($DM894=0,"",IF($EI894="",0,IF(OR(ISNUMBER($EI894),AND(AND(SUBSTITUTE(SUBSTITUTE(SUBSTITUTE(SUBSTITUTE(SUBSTITUTE(SUBSTITUTE(SUBSTITUTE(SUBSTITUTE(SUBSTITUTE(SUBSTITUTE(SUBSTITUTE(SUBSTITUTE(SUBSTITUTE(SUBSTITUTE(UPPER($EI894),"0",""),"1",""),"2",""),"3",""),"4",""),"5",""),"6",""),"7",""),"8",""),"9",""),".",""),"+",""),"-",""),"E","")="",LEN(SUBSTITUTE(SUBSTITUTE(MID(UPPER($EI894),1+OR(LEFT(UPPER($EI894),1)="+",LEFT(UPPER($EI894),1)="-"),999),"E+","E"),"E-","E"))=LEN(SUBSTITUTE(SUBSTITUTE(SUBSTITUTE(SUBSTITUTE(MID(UPPER($EI894),1+OR(LEFT(UPPER($EI894),1)="+",LEFT(UPPER($EI894),1)="-"),999),"E+","E"),"E-","E"),"+",""),"-","")),LEN(UPPER($EI894))-LEN(SUBSTITUTE(UPPER($EI894),"E",""))&lt;2,LEN(UPPER($EI894))-LEN(SUBSTITUTE(UPPER($EI894),".",""))&lt;2,IFERROR(FIND(".",UPPER($EI894)),0)&lt;IFERROR(FIND("E",UPPER($EI894)),999)),ISNUMBER(VALUE($EI894)))),1,2)))</f>
        <v/>
      </c>
      <c r="EK894">
        <f>IF($DM894=0,"",IF($EJ894=1,IF(ISNUMBER($EI894),$EI894,VALUE($EI894)),IF($EJ894=2,$DE894,0)))</f>
        <v/>
      </c>
      <c r="EL894">
        <f>IF($DM894=0,"",COUNTIF($EG$5:$EG$1003,"&lt;"&amp;$EG894)+SUMPRODUCT(($EG$5:$EG$1003=$EG894)*(($EJ$5:$EJ$1003&lt;$EJ894)+($EJ$5:$EJ$1003=$EJ894)*(($EK$5:$EK$1003&lt;$EK894)+($EK$5:$EK$1003=$EK894)*($DE$5:$DE$1003&lt;$DE894))))+1)</f>
        <v/>
      </c>
      <c r="EM894">
        <f>IF($DM894=0,"",$EL894+$EG894-1)</f>
        <v/>
      </c>
      <c r="EN894">
        <f>IF($DM894=0,0,IFERROR(MATCH(1,INDEX(--(TRIM(SUBSTITUTE(SUBSTITUTE(SUBSTITUTE(SUBSTITUTE(LINES_NAME&amp;""," "," "),CHAR(9)," "),CHAR(10)," "),CHAR(13)," "))=$DH894),0),0),0))</f>
        <v/>
      </c>
      <c r="EO894">
        <f>IF($EN894=0,0,IF(OR(UPPER(TRIM(INDEX(LINES_SCHEDULED,$EN894)&amp;""))="YES",UPPER(TRIM(INDEX(LINES_SCHEDULED,$EN894)&amp;""))="Y",UPPER(TRIM(INDEX(LINES_SCHEDULED,$EN894)&amp;""))="X"),1,0))</f>
        <v/>
      </c>
      <c r="EP894">
        <f>IF($DM894=0,"",IF(COUNTIFS($EG$5:$EG$1003,$EG894,$EB$5:$EB$1003,"Ready")&gt;0,"READY",IF(COUNTIFS($EG$5:$EG$1003,$EG894,$EB$5:$EB$1003,"PM")&gt;0,"PM",IF(COUNTIFS($EG$5:$EG$1003,$EG894,$EB$5:$EB$1003,"OT")&gt;0,"OT",""))))</f>
        <v/>
      </c>
      <c r="EQ894">
        <f>IF($EN894=0,"",UPPER(TRIM(INDEX(LINES_STATUS,$EN894)&amp;"")))</f>
        <v/>
      </c>
      <c r="ER894">
        <f>IF($DM894=0,"",IF(OR($EQ894="READY",$EQ894="PM",$EQ894="OT"),$EQ894,$EP894))</f>
        <v/>
      </c>
      <c r="ES894">
        <f>IF($DM894=0,"",IF(AND($DV894&lt;&gt;"",UPPER($DV894)&lt;&gt;"N"),"allergen",IF(ISNUMBER(SEARCH("oil",$DQ894)),"oil",IF(OR(EXACT($DS894,"A662"),EXACT($DS894,"A624")),"bulk",""))))</f>
        <v/>
      </c>
      <c r="ET894">
        <f>IF($DM894=0,"",IF(OR($EA894="",$EA894=0),"",$EA894/100))</f>
        <v/>
      </c>
      <c r="EU894">
        <f>IF(OR($ET894="",$DY894=""),"",INT($DY894*(1-$ET894)+0.5))</f>
        <v/>
      </c>
    </row>
    <row r="895">
      <c r="DA895" t="n">
        <v>891</v>
      </c>
      <c r="DB895">
        <f>IF($B$37=0,"",IFERROR(TRIM(SUBSTITUTE(SUBSTITUTE(SUBSTITUTE(SUBSTITUTE(INDEX(PASTE_ALL,891,$B$37)," "," "),CHAR(9)," "),CHAR(10)," "),CHAR(13)," ")),""))</f>
        <v/>
      </c>
      <c r="DC895">
        <f>IF(AND(891&gt;HEADER_ROW,UPPER(DB895)="LEGEND"),1,0)</f>
        <v/>
      </c>
      <c r="DE895" t="n">
        <v>891</v>
      </c>
      <c r="DF895">
        <f>HEADER_ROW+$DE895</f>
        <v/>
      </c>
      <c r="DG895">
        <f>IF(AND($DF895&lt;=1000,$DF895&lt;$B$8),1,0)</f>
        <v/>
      </c>
      <c r="DH895">
        <f>IF($DG895=1,IFERROR(INDEX($DB$5:$DB$1004,$DF895),""),"")</f>
        <v/>
      </c>
      <c r="DI895">
        <f>IF(AND($DG895=1,$DH895&lt;&gt;""),IFERROR(SUBSTITUTE(SUBSTITUTE(TRIM(SUBSTITUTE(SUBSTITUTE(SUBSTITUTE(SUBSTITUTE(IFERROR(INDEX(PASTE_ALL,$DF895,1)&amp;"","")&amp;"␟"&amp;IFERROR(INDEX(PASTE_ALL,$DF895,2)&amp;"","")&amp;"␟"&amp;IFERROR(INDEX(PASTE_ALL,$DF895,3)&amp;"","")&amp;"␟"&amp;IFERROR(INDEX(PASTE_ALL,$DF895,4)&amp;"","")&amp;"␟"&amp;IFERROR(INDEX(PASTE_ALL,$DF895,5)&amp;"","")&amp;"␟"&amp;IFERROR(INDEX(PASTE_ALL,$DF895,6)&amp;"","")&amp;"␟"&amp;IFERROR(INDEX(PASTE_ALL,$DF895,7)&amp;"","")&amp;"␟"&amp;IFERROR(INDEX(PASTE_ALL,$DF895,8)&amp;"","")&amp;"␟"&amp;IFERROR(INDEX(PASTE_ALL,$DF895,9)&amp;"","")&amp;"␟"&amp;IFERROR(INDEX(PASTE_ALL,$DF895,10)&amp;"","")&amp;"␟"&amp;IFERROR(INDEX(PASTE_ALL,$DF895,11)&amp;"","")&amp;"␟"&amp;IFERROR(INDEX(PASTE_ALL,$DF895,12)&amp;"","")&amp;"␟"&amp;IFERROR(INDEX(PASTE_ALL,$DF895,13)&amp;"","")&amp;"␟"&amp;IFERROR(INDEX(PASTE_ALL,$DF895,14)&amp;"","")&amp;"␟"&amp;IFERROR(INDEX(PASTE_ALL,$DF895,15)&amp;"","")&amp;"␟"&amp;IFERROR(INDEX(PASTE_ALL,$DF895,16)&amp;"","")&amp;"␟"&amp;IFERROR(INDEX(PASTE_ALL,$DF895,17)&amp;"","")&amp;"␟"&amp;IFERROR(INDEX(PASTE_ALL,$DF895,18)&amp;"","")&amp;"␟"&amp;IFERROR(INDEX(PASTE_ALL,$DF895,19)&amp;"","")&amp;"␟"&amp;IFERROR(INDEX(PASTE_ALL,$DF895,20)&amp;"","")&amp;"␟"&amp;IFERROR(INDEX(PASTE_ALL,$DF895,21)&amp;"","")&amp;"␟"&amp;IFERROR(INDEX(PASTE_ALL,$DF895,22)&amp;"","")&amp;"␟"&amp;IFERROR(INDEX(PASTE_ALL,$DF895,23)&amp;"","")&amp;"␟"&amp;IFERROR(INDEX(PASTE_ALL,$DF895,24)&amp;"","")&amp;"␟"&amp;IFERROR(INDEX(PASTE_ALL,$DF895,25)&amp;"","")&amp;"␟"&amp;IFERROR(INDEX(PASTE_ALL,$DF895,26)&amp;"","")&amp;"␟"&amp;IFERROR(INDEX(PASTE_ALL,$DF895,27)&amp;"","")&amp;"␟"&amp;IFERROR(INDEX(PASTE_ALL,$DF895,28)&amp;"","")&amp;"␟"&amp;IFERROR(INDEX(PASTE_ALL,$DF895,29)&amp;"","")&amp;"␟"&amp;IFERROR(INDEX(PASTE_ALL,$DF895,30)&amp;"","")&amp;"␟"&amp;IFERROR(INDEX(PASTE_ALL,$DF895,31)&amp;"","")&amp;"␟"&amp;IFERROR(INDEX(PASTE_ALL,$DF895,32)&amp;"","")&amp;"␟"&amp;IFERROR(INDEX(PASTE_ALL,$DF895,33)&amp;"","")&amp;"␟"&amp;IFERROR(INDEX(PASTE_ALL,$DF895,34)&amp;"","")&amp;"␟"&amp;IFERROR(INDEX(PASTE_ALL,$DF895,35)&amp;"","")&amp;"␟"&amp;IFERROR(INDEX(PASTE_ALL,$DF895,36)&amp;"","")&amp;"␟"&amp;IFERROR(INDEX(PASTE_ALL,$DF895,37)&amp;"","")&amp;"␟"&amp;IFERROR(INDEX(PASTE_ALL,$DF895,38)&amp;"","")&amp;"␟"&amp;IFERROR(INDEX(PASTE_ALL,$DF895,39)&amp;"","")&amp;"␟"&amp;IFERROR(INDEX(PASTE_ALL,$DF895,40)&amp;"","")&amp;"␟"&amp;IFERROR(INDEX(PASTE_ALL,$DF895,41)&amp;"","")&amp;"␟"&amp;IFERROR(INDEX(PASTE_ALL,$DF895,42)&amp;"","")&amp;"␟"&amp;IFERROR(INDEX(PASTE_ALL,$DF895,43)&amp;"","")&amp;"␟"&amp;IFERROR(INDEX(PASTE_ALL,$DF895,44)&amp;"","")&amp;"␟"&amp;IFERROR(INDEX(PASTE_ALL,$DF895,45)&amp;"","")&amp;"␟"&amp;IFERROR(INDEX(PASTE_ALL,$DF895,46)&amp;"","")&amp;"␟"&amp;IFERROR(INDEX(PASTE_ALL,$DF895,47)&amp;"","")&amp;"␟"&amp;IFERROR(INDEX(PASTE_ALL,$DF895,48)&amp;"","")&amp;"␟"&amp;IFERROR(INDEX(PASTE_ALL,$DF895,49)&amp;"","")&amp;"␟"&amp;IFERROR(INDEX(PASTE_ALL,$DF895,50)&amp;"","")&amp;"␟"&amp;IFERROR(INDEX(PASTE_ALL,$DF895,51)&amp;"","")&amp;"␟"&amp;IFERROR(INDEX(PASTE_ALL,$DF895,52)&amp;"","")&amp;"␟"&amp;IFERROR(INDEX(PASTE_ALL,$DF895,53)&amp;"","")&amp;"␟"&amp;IFERROR(INDEX(PASTE_ALL,$DF895,54)&amp;"","")&amp;"␟"&amp;IFERROR(INDEX(PASTE_ALL,$DF895,55)&amp;"","")&amp;"␟"&amp;IFERROR(INDEX(PASTE_ALL,$DF895,56)&amp;"","")&amp;"␟"&amp;IFERROR(INDEX(PASTE_ALL,$DF895,57)&amp;"","")&amp;"␟"&amp;IFERROR(INDEX(PASTE_ALL,$DF895,58)&amp;"","")&amp;"␟"&amp;IFERROR(INDEX(PASTE_ALL,$DF895,59)&amp;"","")&amp;"␟"&amp;IFERROR(INDEX(PASTE_ALL,$DF895,60)&amp;"","")," "," "),CHAR(9)," "),CHAR(10)," "),CHAR(13)," "))," ␟","␟"),"␟ ","␟"),"#"&amp;$DE895),"")</f>
        <v/>
      </c>
      <c r="DJ895">
        <f>IF($DI895="",0,IF(SUMPRODUCT(--EXACT($DI$4:DI894,$DI895))&gt;0,1,0))</f>
        <v/>
      </c>
      <c r="DK895">
        <f>IF(AND($DI895&lt;&gt;"",$DJ895=0),1,0)</f>
        <v/>
      </c>
      <c r="DL895">
        <f>DL894+$DK895</f>
        <v/>
      </c>
      <c r="DM895">
        <f>IF(AND($DK895=1,$DL895&lt;=600),1,0)</f>
        <v/>
      </c>
      <c r="DN895">
        <f>IF($DM895=0,"",IF($L$6=0,"",IFERROR(IF(ISNUMBER(INDEX(PASTE_ALL,$DF895,$L$6)),INDEX(PASTE_ALL,$DF895,$L$6),TRIM(SUBSTITUTE(SUBSTITUTE(SUBSTITUTE(SUBSTITUTE(INDEX(PASTE_ALL,$DF895,$L$6)," "," "),CHAR(9)," "),CHAR(10)," "),CHAR(13)," "))),"")))</f>
        <v/>
      </c>
      <c r="DO895">
        <f>IF($DM895=0,"",IF($L$7=0,"",IFERROR(IF(ISNUMBER(INDEX(PASTE_ALL,$DF895,$L$7)),INDEX(PASTE_ALL,$DF895,$L$7),TRIM(SUBSTITUTE(SUBSTITUTE(SUBSTITUTE(SUBSTITUTE(INDEX(PASTE_ALL,$DF895,$L$7)," "," "),CHAR(9)," "),CHAR(10)," "),CHAR(13)," "))),"")))</f>
        <v/>
      </c>
      <c r="DP895">
        <f>IF($DM895=0,"",IF($L$8=0,"",IFERROR(IF(ISNUMBER(INDEX(PASTE_ALL,$DF895,$L$8)),INDEX(PASTE_ALL,$DF895,$L$8),TRIM(SUBSTITUTE(SUBSTITUTE(SUBSTITUTE(SUBSTITUTE(INDEX(PASTE_ALL,$DF895,$L$8)," "," "),CHAR(9)," "),CHAR(10)," "),CHAR(13)," "))),"")))</f>
        <v/>
      </c>
      <c r="DQ895">
        <f>IF($DM895=0,"",IF($L$9=0,"",IFERROR(IF(ISNUMBER(INDEX(PASTE_ALL,$DF895,$L$9)),INDEX(PASTE_ALL,$DF895,$L$9),TRIM(SUBSTITUTE(SUBSTITUTE(SUBSTITUTE(SUBSTITUTE(INDEX(PASTE_ALL,$DF895,$L$9)," "," "),CHAR(9)," "),CHAR(10)," "),CHAR(13)," "))),"")))</f>
        <v/>
      </c>
      <c r="DR895">
        <f>IF($DM895=0,"",IF($L$10=0,"",IFERROR(IF(ISNUMBER(INDEX(PASTE_ALL,$DF895,$L$10)),INDEX(PASTE_ALL,$DF895,$L$10),TRIM(SUBSTITUTE(SUBSTITUTE(SUBSTITUTE(SUBSTITUTE(INDEX(PASTE_ALL,$DF895,$L$10)," "," "),CHAR(9)," "),CHAR(10)," "),CHAR(13)," "))),"")))</f>
        <v/>
      </c>
      <c r="DS895">
        <f>IF($DM895=0,"",IF($L$11=0,"",IFERROR(IF(ISNUMBER(INDEX(PASTE_ALL,$DF895,$L$11)),INDEX(PASTE_ALL,$DF895,$L$11),TRIM(SUBSTITUTE(SUBSTITUTE(SUBSTITUTE(SUBSTITUTE(INDEX(PASTE_ALL,$DF895,$L$11)," "," "),CHAR(9)," "),CHAR(10)," "),CHAR(13)," "))),"")))</f>
        <v/>
      </c>
      <c r="DT895">
        <f>IF($DM895=0,"",IF($L$12=0,"",IFERROR(IF(ISNUMBER(INDEX(PASTE_ALL,$DF895,$L$12)),INDEX(PASTE_ALL,$DF895,$L$12),TRIM(SUBSTITUTE(SUBSTITUTE(SUBSTITUTE(SUBSTITUTE(INDEX(PASTE_ALL,$DF895,$L$12)," "," "),CHAR(9)," "),CHAR(10)," "),CHAR(13)," "))),"")))</f>
        <v/>
      </c>
      <c r="DU895">
        <f>IF($DM895=0,"",IF($L$13=0,"",IFERROR(IF(ISNUMBER(INDEX(PASTE_ALL,$DF895,$L$13)),INDEX(PASTE_ALL,$DF895,$L$13),TRIM(SUBSTITUTE(SUBSTITUTE(SUBSTITUTE(SUBSTITUTE(INDEX(PASTE_ALL,$DF895,$L$13)," "," "),CHAR(9)," "),CHAR(10)," "),CHAR(13)," "))),"")))</f>
        <v/>
      </c>
      <c r="DV895">
        <f>IF($DM895=0,"",IF($L$14=0,"",IFERROR(IF(ISNUMBER(INDEX(PASTE_ALL,$DF895,$L$14)),INDEX(PASTE_ALL,$DF895,$L$14),TRIM(SUBSTITUTE(SUBSTITUTE(SUBSTITUTE(SUBSTITUTE(INDEX(PASTE_ALL,$DF895,$L$14)," "," "),CHAR(9)," "),CHAR(10)," "),CHAR(13)," "))),"")))</f>
        <v/>
      </c>
      <c r="DW895">
        <f>IF($DM895=0,"",IF($L$15=0,"",IFERROR(IF(ISNUMBER(INDEX(PASTE_ALL,$DF895,$L$15)),INDEX(PASTE_ALL,$DF895,$L$15),IF(SUMPRODUCT(--ISNUMBER(FIND({"A","B","C","D","E","F","G","H","I","J","K","L","M","N","O","P","Q","R","S","T","U","V","W","X","Y","Z","0","1","2","3","4","5","6","7","8","9"},UPPER(TRIM(SUBSTITUTE(SUBSTITUTE(SUBSTITUTE(SUBSTITUTE(INDEX(PASTE_ALL,$DF895,$L$15)," "," "),CHAR(9)," "),CHAR(10)," "),CHAR(13)," "))))))&gt;0,TRIM(SUBSTITUTE(SUBSTITUTE(SUBSTITUTE(SUBSTITUTE(INDEX(PASTE_ALL,$DF895,$L$15)," "," "),CHAR(9)," "),CHAR(10)," "),CHAR(13)," ")),"")),"")))</f>
        <v/>
      </c>
      <c r="DX895">
        <f>IF($DM895=0,"",IF($L$16=0,"",IFERROR(IF(ISNUMBER(INDEX(PASTE_ALL,$DF895,$L$16)),INDEX(PASTE_ALL,$DF895,$L$16),SUBSTITUTE(SUBSTITUTE(TRIM(SUBSTITUTE(SUBSTITUTE(SUBSTITUTE(SUBSTITUTE(INDEX(PASTE_ALL,$DF895,$L$16)," "," "),CHAR(9)," "),CHAR(10)," "),CHAR(13)," ")),",",""),"%","")),"")))</f>
        <v/>
      </c>
      <c r="DY895">
        <f>IF($DM895=0,"",IFERROR(IF(ISNUMBER($DX895),$DX895,IF($DX895="","",IF(TRIM($DX895)="",0,IF(AND(AND(SUBSTITUTE(SUBSTITUTE(SUBSTITUTE(SUBSTITUTE(SUBSTITUTE(SUBSTITUTE(SUBSTITUTE(SUBSTITUTE(SUBSTITUTE(SUBSTITUTE(SUBSTITUTE(SUBSTITUTE(SUBSTITUTE(SUBSTITUTE(UPPER(TRIM($DX895)),"0",""),"1",""),"2",""),"3",""),"4",""),"5",""),"6",""),"7",""),"8",""),"9",""),".",""),"+",""),"-",""),"E","")="",LEN(SUBSTITUTE(SUBSTITUTE(MID(UPPER(TRIM($DX895)),1+OR(LEFT(UPPER(TRIM($DX895)),1)="+",LEFT(UPPER(TRIM($DX895)),1)="-"),999),"E+","E"),"E-","E"))=LEN(SUBSTITUTE(SUBSTITUTE(SUBSTITUTE(SUBSTITUTE(MID(UPPER(TRIM($DX895)),1+OR(LEFT(UPPER(TRIM($DX895)),1)="+",LEFT(UPPER(TRIM($DX895)),1)="-"),999),"E+","E"),"E-","E"),"+",""),"-","")),LEN(UPPER(TRIM($DX895)))-LEN(SUBSTITUTE(UPPER(TRIM($DX895)),"E",""))&lt;2,LEN(UPPER(TRIM($DX895)))-LEN(SUBSTITUTE(UPPER(TRIM($DX895)),".",""))&lt;2,IFERROR(FIND(".",UPPER(TRIM($DX895))),0)&lt;IFERROR(FIND("E",UPPER(TRIM($DX895))),999)),ISNUMBER(VALUE(TRIM($DX895)))),VALUE(TRIM($DX895)),"")))),""))</f>
        <v/>
      </c>
      <c r="DZ895">
        <f>IF($DM895=0,"",IF($L$17=0,"",IFERROR(IF(ISNUMBER(INDEX(PASTE_ALL,$DF895,$L$17)),INDEX(PASTE_ALL,$DF895,$L$17),SUBSTITUTE(SUBSTITUTE(TRIM(SUBSTITUTE(SUBSTITUTE(SUBSTITUTE(SUBSTITUTE(INDEX(PASTE_ALL,$DF895,$L$17)," "," "),CHAR(9)," "),CHAR(10)," "),CHAR(13)," ")),",",""),"%","")),"")))</f>
        <v/>
      </c>
      <c r="EA895">
        <f>IF($DM895=0,"",IFERROR(IF(ISNUMBER($DZ895),$DZ895,IF($DZ895="","",IF(TRIM($DZ895)="",0,IF(AND(AND(SUBSTITUTE(SUBSTITUTE(SUBSTITUTE(SUBSTITUTE(SUBSTITUTE(SUBSTITUTE(SUBSTITUTE(SUBSTITUTE(SUBSTITUTE(SUBSTITUTE(SUBSTITUTE(SUBSTITUTE(SUBSTITUTE(SUBSTITUTE(UPPER(TRIM($DZ895)),"0",""),"1",""),"2",""),"3",""),"4",""),"5",""),"6",""),"7",""),"8",""),"9",""),".",""),"+",""),"-",""),"E","")="",LEN(SUBSTITUTE(SUBSTITUTE(MID(UPPER(TRIM($DZ895)),1+OR(LEFT(UPPER(TRIM($DZ895)),1)="+",LEFT(UPPER(TRIM($DZ895)),1)="-"),999),"E+","E"),"E-","E"))=LEN(SUBSTITUTE(SUBSTITUTE(SUBSTITUTE(SUBSTITUTE(MID(UPPER(TRIM($DZ895)),1+OR(LEFT(UPPER(TRIM($DZ895)),1)="+",LEFT(UPPER(TRIM($DZ895)),1)="-"),999),"E+","E"),"E-","E"),"+",""),"-","")),LEN(UPPER(TRIM($DZ895)))-LEN(SUBSTITUTE(UPPER(TRIM($DZ895)),"E",""))&lt;2,LEN(UPPER(TRIM($DZ895)))-LEN(SUBSTITUTE(UPPER(TRIM($DZ895)),".",""))&lt;2,IFERROR(FIND(".",UPPER(TRIM($DZ895))),0)&lt;IFERROR(FIND("E",UPPER(TRIM($DZ895))),999)),ISNUMBER(VALUE(TRIM($DZ895)))),VALUE(TRIM($DZ895)),"")))),""))</f>
        <v/>
      </c>
      <c r="EB895">
        <f>IF($DM895=0,"",IF($L$18=0,"",IFERROR(IF(UPPER(TRIM(SUBSTITUTE(SUBSTITUTE(SUBSTITUTE(SUBSTITUTE(INDEX(PASTE_ALL,$DF895,$L$18)," "," "),CHAR(9)," "),CHAR(10)," "),CHAR(13)," ")))="READY","Ready",IF(UPPER(TRIM(SUBSTITUTE(SUBSTITUTE(SUBSTITUTE(SUBSTITUTE(INDEX(PASTE_ALL,$DF895,$L$18)," "," "),CHAR(9)," "),CHAR(10)," "),CHAR(13)," ")))="PM","PM",IF(OR(UPPER(TRIM(SUBSTITUTE(SUBSTITUTE(SUBSTITUTE(SUBSTITUTE(INDEX(PASTE_ALL,$DF895,$L$18)," "," "),CHAR(9)," "),CHAR(10)," "),CHAR(13)," ")))="OT",UPPER(TRIM(SUBSTITUTE(SUBSTITUTE(SUBSTITUTE(SUBSTITUTE(INDEX(PASTE_ALL,$DF895,$L$18)," "," "),CHAR(9)," "),CHAR(10)," "),CHAR(13)," ")))="OVERTIME",UPPER(TRIM(SUBSTITUTE(SUBSTITUTE(SUBSTITUTE(SUBSTITUTE(INDEX(PASTE_ALL,$DF895,$L$18)," "," "),CHAR(9)," "),CHAR(10)," "),CHAR(13)," ")))="TRIAL"),"OT",TRIM(SUBSTITUTE(SUBSTITUTE(SUBSTITUTE(SUBSTITUTE(INDEX(PASTE_ALL,$DF895,$L$18)," "," "),CHAR(9)," "),CHAR(10)," "),CHAR(13)," "))))),"")))</f>
        <v/>
      </c>
      <c r="EC895">
        <f>IF($DM895=0,"",IF($L$19=0,"",IFERROR(IF(ISNUMBER(INDEX(PASTE_ALL,$DF895,$L$19)),INDEX(PASTE_ALL,$DF895,$L$19),TRIM(SUBSTITUTE(SUBSTITUTE(SUBSTITUTE(SUBSTITUTE(INDEX(PASTE_ALL,$DF895,$L$19)," "," "),CHAR(9)," "),CHAR(10)," "),CHAR(13)," "))),"")))</f>
        <v/>
      </c>
      <c r="ED895">
        <f>IF($DM895=0,"",MATCH(1,INDEX(EXACT($DH$5:DH895,$DH895)*$DM$5:DM895,0),0))</f>
        <v/>
      </c>
      <c r="EE895">
        <f>IF($DM895=0,0,IF($ED895=$DE895,1,0))</f>
        <v/>
      </c>
      <c r="EF895">
        <f>EF894+$EE895</f>
        <v/>
      </c>
      <c r="EG895">
        <f>IF($DM895=0,"",INDEX($EF$5:$EF$1003,$ED895))</f>
        <v/>
      </c>
      <c r="EH895">
        <f>IF($DM895=0,"",IF($DO895&lt;&gt;"","",IFERROR(LOOKUP(2,1/(($EG$4:EG894=$EG895)*($DO$4:DO894&lt;&gt;"")),$DO$4:DO894),"")))</f>
        <v/>
      </c>
      <c r="EI895">
        <f>IF($DM895=0,"",IF($DO895&lt;&gt;"",$DO895,$EH895))</f>
        <v/>
      </c>
      <c r="EJ895">
        <f>IF($DM895=0,"",IF($EI895="",0,IF(OR(ISNUMBER($EI895),AND(AND(SUBSTITUTE(SUBSTITUTE(SUBSTITUTE(SUBSTITUTE(SUBSTITUTE(SUBSTITUTE(SUBSTITUTE(SUBSTITUTE(SUBSTITUTE(SUBSTITUTE(SUBSTITUTE(SUBSTITUTE(SUBSTITUTE(SUBSTITUTE(UPPER($EI895),"0",""),"1",""),"2",""),"3",""),"4",""),"5",""),"6",""),"7",""),"8",""),"9",""),".",""),"+",""),"-",""),"E","")="",LEN(SUBSTITUTE(SUBSTITUTE(MID(UPPER($EI895),1+OR(LEFT(UPPER($EI895),1)="+",LEFT(UPPER($EI895),1)="-"),999),"E+","E"),"E-","E"))=LEN(SUBSTITUTE(SUBSTITUTE(SUBSTITUTE(SUBSTITUTE(MID(UPPER($EI895),1+OR(LEFT(UPPER($EI895),1)="+",LEFT(UPPER($EI895),1)="-"),999),"E+","E"),"E-","E"),"+",""),"-","")),LEN(UPPER($EI895))-LEN(SUBSTITUTE(UPPER($EI895),"E",""))&lt;2,LEN(UPPER($EI895))-LEN(SUBSTITUTE(UPPER($EI895),".",""))&lt;2,IFERROR(FIND(".",UPPER($EI895)),0)&lt;IFERROR(FIND("E",UPPER($EI895)),999)),ISNUMBER(VALUE($EI895)))),1,2)))</f>
        <v/>
      </c>
      <c r="EK895">
        <f>IF($DM895=0,"",IF($EJ895=1,IF(ISNUMBER($EI895),$EI895,VALUE($EI895)),IF($EJ895=2,$DE895,0)))</f>
        <v/>
      </c>
      <c r="EL895">
        <f>IF($DM895=0,"",COUNTIF($EG$5:$EG$1003,"&lt;"&amp;$EG895)+SUMPRODUCT(($EG$5:$EG$1003=$EG895)*(($EJ$5:$EJ$1003&lt;$EJ895)+($EJ$5:$EJ$1003=$EJ895)*(($EK$5:$EK$1003&lt;$EK895)+($EK$5:$EK$1003=$EK895)*($DE$5:$DE$1003&lt;$DE895))))+1)</f>
        <v/>
      </c>
      <c r="EM895">
        <f>IF($DM895=0,"",$EL895+$EG895-1)</f>
        <v/>
      </c>
      <c r="EN895">
        <f>IF($DM895=0,0,IFERROR(MATCH(1,INDEX(--(TRIM(SUBSTITUTE(SUBSTITUTE(SUBSTITUTE(SUBSTITUTE(LINES_NAME&amp;""," "," "),CHAR(9)," "),CHAR(10)," "),CHAR(13)," "))=$DH895),0),0),0))</f>
        <v/>
      </c>
      <c r="EO895">
        <f>IF($EN895=0,0,IF(OR(UPPER(TRIM(INDEX(LINES_SCHEDULED,$EN895)&amp;""))="YES",UPPER(TRIM(INDEX(LINES_SCHEDULED,$EN895)&amp;""))="Y",UPPER(TRIM(INDEX(LINES_SCHEDULED,$EN895)&amp;""))="X"),1,0))</f>
        <v/>
      </c>
      <c r="EP895">
        <f>IF($DM895=0,"",IF(COUNTIFS($EG$5:$EG$1003,$EG895,$EB$5:$EB$1003,"Ready")&gt;0,"READY",IF(COUNTIFS($EG$5:$EG$1003,$EG895,$EB$5:$EB$1003,"PM")&gt;0,"PM",IF(COUNTIFS($EG$5:$EG$1003,$EG895,$EB$5:$EB$1003,"OT")&gt;0,"OT",""))))</f>
        <v/>
      </c>
      <c r="EQ895">
        <f>IF($EN895=0,"",UPPER(TRIM(INDEX(LINES_STATUS,$EN895)&amp;"")))</f>
        <v/>
      </c>
      <c r="ER895">
        <f>IF($DM895=0,"",IF(OR($EQ895="READY",$EQ895="PM",$EQ895="OT"),$EQ895,$EP895))</f>
        <v/>
      </c>
      <c r="ES895">
        <f>IF($DM895=0,"",IF(AND($DV895&lt;&gt;"",UPPER($DV895)&lt;&gt;"N"),"allergen",IF(ISNUMBER(SEARCH("oil",$DQ895)),"oil",IF(OR(EXACT($DS895,"A662"),EXACT($DS895,"A624")),"bulk",""))))</f>
        <v/>
      </c>
      <c r="ET895">
        <f>IF($DM895=0,"",IF(OR($EA895="",$EA895=0),"",$EA895/100))</f>
        <v/>
      </c>
      <c r="EU895">
        <f>IF(OR($ET895="",$DY895=""),"",INT($DY895*(1-$ET895)+0.5))</f>
        <v/>
      </c>
    </row>
    <row r="896">
      <c r="DA896" t="n">
        <v>892</v>
      </c>
      <c r="DB896">
        <f>IF($B$37=0,"",IFERROR(TRIM(SUBSTITUTE(SUBSTITUTE(SUBSTITUTE(SUBSTITUTE(INDEX(PASTE_ALL,892,$B$37)," "," "),CHAR(9)," "),CHAR(10)," "),CHAR(13)," ")),""))</f>
        <v/>
      </c>
      <c r="DC896">
        <f>IF(AND(892&gt;HEADER_ROW,UPPER(DB896)="LEGEND"),1,0)</f>
        <v/>
      </c>
      <c r="DE896" t="n">
        <v>892</v>
      </c>
      <c r="DF896">
        <f>HEADER_ROW+$DE896</f>
        <v/>
      </c>
      <c r="DG896">
        <f>IF(AND($DF896&lt;=1000,$DF896&lt;$B$8),1,0)</f>
        <v/>
      </c>
      <c r="DH896">
        <f>IF($DG896=1,IFERROR(INDEX($DB$5:$DB$1004,$DF896),""),"")</f>
        <v/>
      </c>
      <c r="DI896">
        <f>IF(AND($DG896=1,$DH896&lt;&gt;""),IFERROR(SUBSTITUTE(SUBSTITUTE(TRIM(SUBSTITUTE(SUBSTITUTE(SUBSTITUTE(SUBSTITUTE(IFERROR(INDEX(PASTE_ALL,$DF896,1)&amp;"","")&amp;"␟"&amp;IFERROR(INDEX(PASTE_ALL,$DF896,2)&amp;"","")&amp;"␟"&amp;IFERROR(INDEX(PASTE_ALL,$DF896,3)&amp;"","")&amp;"␟"&amp;IFERROR(INDEX(PASTE_ALL,$DF896,4)&amp;"","")&amp;"␟"&amp;IFERROR(INDEX(PASTE_ALL,$DF896,5)&amp;"","")&amp;"␟"&amp;IFERROR(INDEX(PASTE_ALL,$DF896,6)&amp;"","")&amp;"␟"&amp;IFERROR(INDEX(PASTE_ALL,$DF896,7)&amp;"","")&amp;"␟"&amp;IFERROR(INDEX(PASTE_ALL,$DF896,8)&amp;"","")&amp;"␟"&amp;IFERROR(INDEX(PASTE_ALL,$DF896,9)&amp;"","")&amp;"␟"&amp;IFERROR(INDEX(PASTE_ALL,$DF896,10)&amp;"","")&amp;"␟"&amp;IFERROR(INDEX(PASTE_ALL,$DF896,11)&amp;"","")&amp;"␟"&amp;IFERROR(INDEX(PASTE_ALL,$DF896,12)&amp;"","")&amp;"␟"&amp;IFERROR(INDEX(PASTE_ALL,$DF896,13)&amp;"","")&amp;"␟"&amp;IFERROR(INDEX(PASTE_ALL,$DF896,14)&amp;"","")&amp;"␟"&amp;IFERROR(INDEX(PASTE_ALL,$DF896,15)&amp;"","")&amp;"␟"&amp;IFERROR(INDEX(PASTE_ALL,$DF896,16)&amp;"","")&amp;"␟"&amp;IFERROR(INDEX(PASTE_ALL,$DF896,17)&amp;"","")&amp;"␟"&amp;IFERROR(INDEX(PASTE_ALL,$DF896,18)&amp;"","")&amp;"␟"&amp;IFERROR(INDEX(PASTE_ALL,$DF896,19)&amp;"","")&amp;"␟"&amp;IFERROR(INDEX(PASTE_ALL,$DF896,20)&amp;"","")&amp;"␟"&amp;IFERROR(INDEX(PASTE_ALL,$DF896,21)&amp;"","")&amp;"␟"&amp;IFERROR(INDEX(PASTE_ALL,$DF896,22)&amp;"","")&amp;"␟"&amp;IFERROR(INDEX(PASTE_ALL,$DF896,23)&amp;"","")&amp;"␟"&amp;IFERROR(INDEX(PASTE_ALL,$DF896,24)&amp;"","")&amp;"␟"&amp;IFERROR(INDEX(PASTE_ALL,$DF896,25)&amp;"","")&amp;"␟"&amp;IFERROR(INDEX(PASTE_ALL,$DF896,26)&amp;"","")&amp;"␟"&amp;IFERROR(INDEX(PASTE_ALL,$DF896,27)&amp;"","")&amp;"␟"&amp;IFERROR(INDEX(PASTE_ALL,$DF896,28)&amp;"","")&amp;"␟"&amp;IFERROR(INDEX(PASTE_ALL,$DF896,29)&amp;"","")&amp;"␟"&amp;IFERROR(INDEX(PASTE_ALL,$DF896,30)&amp;"","")&amp;"␟"&amp;IFERROR(INDEX(PASTE_ALL,$DF896,31)&amp;"","")&amp;"␟"&amp;IFERROR(INDEX(PASTE_ALL,$DF896,32)&amp;"","")&amp;"␟"&amp;IFERROR(INDEX(PASTE_ALL,$DF896,33)&amp;"","")&amp;"␟"&amp;IFERROR(INDEX(PASTE_ALL,$DF896,34)&amp;"","")&amp;"␟"&amp;IFERROR(INDEX(PASTE_ALL,$DF896,35)&amp;"","")&amp;"␟"&amp;IFERROR(INDEX(PASTE_ALL,$DF896,36)&amp;"","")&amp;"␟"&amp;IFERROR(INDEX(PASTE_ALL,$DF896,37)&amp;"","")&amp;"␟"&amp;IFERROR(INDEX(PASTE_ALL,$DF896,38)&amp;"","")&amp;"␟"&amp;IFERROR(INDEX(PASTE_ALL,$DF896,39)&amp;"","")&amp;"␟"&amp;IFERROR(INDEX(PASTE_ALL,$DF896,40)&amp;"","")&amp;"␟"&amp;IFERROR(INDEX(PASTE_ALL,$DF896,41)&amp;"","")&amp;"␟"&amp;IFERROR(INDEX(PASTE_ALL,$DF896,42)&amp;"","")&amp;"␟"&amp;IFERROR(INDEX(PASTE_ALL,$DF896,43)&amp;"","")&amp;"␟"&amp;IFERROR(INDEX(PASTE_ALL,$DF896,44)&amp;"","")&amp;"␟"&amp;IFERROR(INDEX(PASTE_ALL,$DF896,45)&amp;"","")&amp;"␟"&amp;IFERROR(INDEX(PASTE_ALL,$DF896,46)&amp;"","")&amp;"␟"&amp;IFERROR(INDEX(PASTE_ALL,$DF896,47)&amp;"","")&amp;"␟"&amp;IFERROR(INDEX(PASTE_ALL,$DF896,48)&amp;"","")&amp;"␟"&amp;IFERROR(INDEX(PASTE_ALL,$DF896,49)&amp;"","")&amp;"␟"&amp;IFERROR(INDEX(PASTE_ALL,$DF896,50)&amp;"","")&amp;"␟"&amp;IFERROR(INDEX(PASTE_ALL,$DF896,51)&amp;"","")&amp;"␟"&amp;IFERROR(INDEX(PASTE_ALL,$DF896,52)&amp;"","")&amp;"␟"&amp;IFERROR(INDEX(PASTE_ALL,$DF896,53)&amp;"","")&amp;"␟"&amp;IFERROR(INDEX(PASTE_ALL,$DF896,54)&amp;"","")&amp;"␟"&amp;IFERROR(INDEX(PASTE_ALL,$DF896,55)&amp;"","")&amp;"␟"&amp;IFERROR(INDEX(PASTE_ALL,$DF896,56)&amp;"","")&amp;"␟"&amp;IFERROR(INDEX(PASTE_ALL,$DF896,57)&amp;"","")&amp;"␟"&amp;IFERROR(INDEX(PASTE_ALL,$DF896,58)&amp;"","")&amp;"␟"&amp;IFERROR(INDEX(PASTE_ALL,$DF896,59)&amp;"","")&amp;"␟"&amp;IFERROR(INDEX(PASTE_ALL,$DF896,60)&amp;"","")," "," "),CHAR(9)," "),CHAR(10)," "),CHAR(13)," "))," ␟","␟"),"␟ ","␟"),"#"&amp;$DE896),"")</f>
        <v/>
      </c>
      <c r="DJ896">
        <f>IF($DI896="",0,IF(SUMPRODUCT(--EXACT($DI$4:DI895,$DI896))&gt;0,1,0))</f>
        <v/>
      </c>
      <c r="DK896">
        <f>IF(AND($DI896&lt;&gt;"",$DJ896=0),1,0)</f>
        <v/>
      </c>
      <c r="DL896">
        <f>DL895+$DK896</f>
        <v/>
      </c>
      <c r="DM896">
        <f>IF(AND($DK896=1,$DL896&lt;=600),1,0)</f>
        <v/>
      </c>
      <c r="DN896">
        <f>IF($DM896=0,"",IF($L$6=0,"",IFERROR(IF(ISNUMBER(INDEX(PASTE_ALL,$DF896,$L$6)),INDEX(PASTE_ALL,$DF896,$L$6),TRIM(SUBSTITUTE(SUBSTITUTE(SUBSTITUTE(SUBSTITUTE(INDEX(PASTE_ALL,$DF896,$L$6)," "," "),CHAR(9)," "),CHAR(10)," "),CHAR(13)," "))),"")))</f>
        <v/>
      </c>
      <c r="DO896">
        <f>IF($DM896=0,"",IF($L$7=0,"",IFERROR(IF(ISNUMBER(INDEX(PASTE_ALL,$DF896,$L$7)),INDEX(PASTE_ALL,$DF896,$L$7),TRIM(SUBSTITUTE(SUBSTITUTE(SUBSTITUTE(SUBSTITUTE(INDEX(PASTE_ALL,$DF896,$L$7)," "," "),CHAR(9)," "),CHAR(10)," "),CHAR(13)," "))),"")))</f>
        <v/>
      </c>
      <c r="DP896">
        <f>IF($DM896=0,"",IF($L$8=0,"",IFERROR(IF(ISNUMBER(INDEX(PASTE_ALL,$DF896,$L$8)),INDEX(PASTE_ALL,$DF896,$L$8),TRIM(SUBSTITUTE(SUBSTITUTE(SUBSTITUTE(SUBSTITUTE(INDEX(PASTE_ALL,$DF896,$L$8)," "," "),CHAR(9)," "),CHAR(10)," "),CHAR(13)," "))),"")))</f>
        <v/>
      </c>
      <c r="DQ896">
        <f>IF($DM896=0,"",IF($L$9=0,"",IFERROR(IF(ISNUMBER(INDEX(PASTE_ALL,$DF896,$L$9)),INDEX(PASTE_ALL,$DF896,$L$9),TRIM(SUBSTITUTE(SUBSTITUTE(SUBSTITUTE(SUBSTITUTE(INDEX(PASTE_ALL,$DF896,$L$9)," "," "),CHAR(9)," "),CHAR(10)," "),CHAR(13)," "))),"")))</f>
        <v/>
      </c>
      <c r="DR896">
        <f>IF($DM896=0,"",IF($L$10=0,"",IFERROR(IF(ISNUMBER(INDEX(PASTE_ALL,$DF896,$L$10)),INDEX(PASTE_ALL,$DF896,$L$10),TRIM(SUBSTITUTE(SUBSTITUTE(SUBSTITUTE(SUBSTITUTE(INDEX(PASTE_ALL,$DF896,$L$10)," "," "),CHAR(9)," "),CHAR(10)," "),CHAR(13)," "))),"")))</f>
        <v/>
      </c>
      <c r="DS896">
        <f>IF($DM896=0,"",IF($L$11=0,"",IFERROR(IF(ISNUMBER(INDEX(PASTE_ALL,$DF896,$L$11)),INDEX(PASTE_ALL,$DF896,$L$11),TRIM(SUBSTITUTE(SUBSTITUTE(SUBSTITUTE(SUBSTITUTE(INDEX(PASTE_ALL,$DF896,$L$11)," "," "),CHAR(9)," "),CHAR(10)," "),CHAR(13)," "))),"")))</f>
        <v/>
      </c>
      <c r="DT896">
        <f>IF($DM896=0,"",IF($L$12=0,"",IFERROR(IF(ISNUMBER(INDEX(PASTE_ALL,$DF896,$L$12)),INDEX(PASTE_ALL,$DF896,$L$12),TRIM(SUBSTITUTE(SUBSTITUTE(SUBSTITUTE(SUBSTITUTE(INDEX(PASTE_ALL,$DF896,$L$12)," "," "),CHAR(9)," "),CHAR(10)," "),CHAR(13)," "))),"")))</f>
        <v/>
      </c>
      <c r="DU896">
        <f>IF($DM896=0,"",IF($L$13=0,"",IFERROR(IF(ISNUMBER(INDEX(PASTE_ALL,$DF896,$L$13)),INDEX(PASTE_ALL,$DF896,$L$13),TRIM(SUBSTITUTE(SUBSTITUTE(SUBSTITUTE(SUBSTITUTE(INDEX(PASTE_ALL,$DF896,$L$13)," "," "),CHAR(9)," "),CHAR(10)," "),CHAR(13)," "))),"")))</f>
        <v/>
      </c>
      <c r="DV896">
        <f>IF($DM896=0,"",IF($L$14=0,"",IFERROR(IF(ISNUMBER(INDEX(PASTE_ALL,$DF896,$L$14)),INDEX(PASTE_ALL,$DF896,$L$14),TRIM(SUBSTITUTE(SUBSTITUTE(SUBSTITUTE(SUBSTITUTE(INDEX(PASTE_ALL,$DF896,$L$14)," "," "),CHAR(9)," "),CHAR(10)," "),CHAR(13)," "))),"")))</f>
        <v/>
      </c>
      <c r="DW896">
        <f>IF($DM896=0,"",IF($L$15=0,"",IFERROR(IF(ISNUMBER(INDEX(PASTE_ALL,$DF896,$L$15)),INDEX(PASTE_ALL,$DF896,$L$15),IF(SUMPRODUCT(--ISNUMBER(FIND({"A","B","C","D","E","F","G","H","I","J","K","L","M","N","O","P","Q","R","S","T","U","V","W","X","Y","Z","0","1","2","3","4","5","6","7","8","9"},UPPER(TRIM(SUBSTITUTE(SUBSTITUTE(SUBSTITUTE(SUBSTITUTE(INDEX(PASTE_ALL,$DF896,$L$15)," "," "),CHAR(9)," "),CHAR(10)," "),CHAR(13)," "))))))&gt;0,TRIM(SUBSTITUTE(SUBSTITUTE(SUBSTITUTE(SUBSTITUTE(INDEX(PASTE_ALL,$DF896,$L$15)," "," "),CHAR(9)," "),CHAR(10)," "),CHAR(13)," ")),"")),"")))</f>
        <v/>
      </c>
      <c r="DX896">
        <f>IF($DM896=0,"",IF($L$16=0,"",IFERROR(IF(ISNUMBER(INDEX(PASTE_ALL,$DF896,$L$16)),INDEX(PASTE_ALL,$DF896,$L$16),SUBSTITUTE(SUBSTITUTE(TRIM(SUBSTITUTE(SUBSTITUTE(SUBSTITUTE(SUBSTITUTE(INDEX(PASTE_ALL,$DF896,$L$16)," "," "),CHAR(9)," "),CHAR(10)," "),CHAR(13)," ")),",",""),"%","")),"")))</f>
        <v/>
      </c>
      <c r="DY896">
        <f>IF($DM896=0,"",IFERROR(IF(ISNUMBER($DX896),$DX896,IF($DX896="","",IF(TRIM($DX896)="",0,IF(AND(AND(SUBSTITUTE(SUBSTITUTE(SUBSTITUTE(SUBSTITUTE(SUBSTITUTE(SUBSTITUTE(SUBSTITUTE(SUBSTITUTE(SUBSTITUTE(SUBSTITUTE(SUBSTITUTE(SUBSTITUTE(SUBSTITUTE(SUBSTITUTE(UPPER(TRIM($DX896)),"0",""),"1",""),"2",""),"3",""),"4",""),"5",""),"6",""),"7",""),"8",""),"9",""),".",""),"+",""),"-",""),"E","")="",LEN(SUBSTITUTE(SUBSTITUTE(MID(UPPER(TRIM($DX896)),1+OR(LEFT(UPPER(TRIM($DX896)),1)="+",LEFT(UPPER(TRIM($DX896)),1)="-"),999),"E+","E"),"E-","E"))=LEN(SUBSTITUTE(SUBSTITUTE(SUBSTITUTE(SUBSTITUTE(MID(UPPER(TRIM($DX896)),1+OR(LEFT(UPPER(TRIM($DX896)),1)="+",LEFT(UPPER(TRIM($DX896)),1)="-"),999),"E+","E"),"E-","E"),"+",""),"-","")),LEN(UPPER(TRIM($DX896)))-LEN(SUBSTITUTE(UPPER(TRIM($DX896)),"E",""))&lt;2,LEN(UPPER(TRIM($DX896)))-LEN(SUBSTITUTE(UPPER(TRIM($DX896)),".",""))&lt;2,IFERROR(FIND(".",UPPER(TRIM($DX896))),0)&lt;IFERROR(FIND("E",UPPER(TRIM($DX896))),999)),ISNUMBER(VALUE(TRIM($DX896)))),VALUE(TRIM($DX896)),"")))),""))</f>
        <v/>
      </c>
      <c r="DZ896">
        <f>IF($DM896=0,"",IF($L$17=0,"",IFERROR(IF(ISNUMBER(INDEX(PASTE_ALL,$DF896,$L$17)),INDEX(PASTE_ALL,$DF896,$L$17),SUBSTITUTE(SUBSTITUTE(TRIM(SUBSTITUTE(SUBSTITUTE(SUBSTITUTE(SUBSTITUTE(INDEX(PASTE_ALL,$DF896,$L$17)," "," "),CHAR(9)," "),CHAR(10)," "),CHAR(13)," ")),",",""),"%","")),"")))</f>
        <v/>
      </c>
      <c r="EA896">
        <f>IF($DM896=0,"",IFERROR(IF(ISNUMBER($DZ896),$DZ896,IF($DZ896="","",IF(TRIM($DZ896)="",0,IF(AND(AND(SUBSTITUTE(SUBSTITUTE(SUBSTITUTE(SUBSTITUTE(SUBSTITUTE(SUBSTITUTE(SUBSTITUTE(SUBSTITUTE(SUBSTITUTE(SUBSTITUTE(SUBSTITUTE(SUBSTITUTE(SUBSTITUTE(SUBSTITUTE(UPPER(TRIM($DZ896)),"0",""),"1",""),"2",""),"3",""),"4",""),"5",""),"6",""),"7",""),"8",""),"9",""),".",""),"+",""),"-",""),"E","")="",LEN(SUBSTITUTE(SUBSTITUTE(MID(UPPER(TRIM($DZ896)),1+OR(LEFT(UPPER(TRIM($DZ896)),1)="+",LEFT(UPPER(TRIM($DZ896)),1)="-"),999),"E+","E"),"E-","E"))=LEN(SUBSTITUTE(SUBSTITUTE(SUBSTITUTE(SUBSTITUTE(MID(UPPER(TRIM($DZ896)),1+OR(LEFT(UPPER(TRIM($DZ896)),1)="+",LEFT(UPPER(TRIM($DZ896)),1)="-"),999),"E+","E"),"E-","E"),"+",""),"-","")),LEN(UPPER(TRIM($DZ896)))-LEN(SUBSTITUTE(UPPER(TRIM($DZ896)),"E",""))&lt;2,LEN(UPPER(TRIM($DZ896)))-LEN(SUBSTITUTE(UPPER(TRIM($DZ896)),".",""))&lt;2,IFERROR(FIND(".",UPPER(TRIM($DZ896))),0)&lt;IFERROR(FIND("E",UPPER(TRIM($DZ896))),999)),ISNUMBER(VALUE(TRIM($DZ896)))),VALUE(TRIM($DZ896)),"")))),""))</f>
        <v/>
      </c>
      <c r="EB896">
        <f>IF($DM896=0,"",IF($L$18=0,"",IFERROR(IF(UPPER(TRIM(SUBSTITUTE(SUBSTITUTE(SUBSTITUTE(SUBSTITUTE(INDEX(PASTE_ALL,$DF896,$L$18)," "," "),CHAR(9)," "),CHAR(10)," "),CHAR(13)," ")))="READY","Ready",IF(UPPER(TRIM(SUBSTITUTE(SUBSTITUTE(SUBSTITUTE(SUBSTITUTE(INDEX(PASTE_ALL,$DF896,$L$18)," "," "),CHAR(9)," "),CHAR(10)," "),CHAR(13)," ")))="PM","PM",IF(OR(UPPER(TRIM(SUBSTITUTE(SUBSTITUTE(SUBSTITUTE(SUBSTITUTE(INDEX(PASTE_ALL,$DF896,$L$18)," "," "),CHAR(9)," "),CHAR(10)," "),CHAR(13)," ")))="OT",UPPER(TRIM(SUBSTITUTE(SUBSTITUTE(SUBSTITUTE(SUBSTITUTE(INDEX(PASTE_ALL,$DF896,$L$18)," "," "),CHAR(9)," "),CHAR(10)," "),CHAR(13)," ")))="OVERTIME",UPPER(TRIM(SUBSTITUTE(SUBSTITUTE(SUBSTITUTE(SUBSTITUTE(INDEX(PASTE_ALL,$DF896,$L$18)," "," "),CHAR(9)," "),CHAR(10)," "),CHAR(13)," ")))="TRIAL"),"OT",TRIM(SUBSTITUTE(SUBSTITUTE(SUBSTITUTE(SUBSTITUTE(INDEX(PASTE_ALL,$DF896,$L$18)," "," "),CHAR(9)," "),CHAR(10)," "),CHAR(13)," "))))),"")))</f>
        <v/>
      </c>
      <c r="EC896">
        <f>IF($DM896=0,"",IF($L$19=0,"",IFERROR(IF(ISNUMBER(INDEX(PASTE_ALL,$DF896,$L$19)),INDEX(PASTE_ALL,$DF896,$L$19),TRIM(SUBSTITUTE(SUBSTITUTE(SUBSTITUTE(SUBSTITUTE(INDEX(PASTE_ALL,$DF896,$L$19)," "," "),CHAR(9)," "),CHAR(10)," "),CHAR(13)," "))),"")))</f>
        <v/>
      </c>
      <c r="ED896">
        <f>IF($DM896=0,"",MATCH(1,INDEX(EXACT($DH$5:DH896,$DH896)*$DM$5:DM896,0),0))</f>
        <v/>
      </c>
      <c r="EE896">
        <f>IF($DM896=0,0,IF($ED896=$DE896,1,0))</f>
        <v/>
      </c>
      <c r="EF896">
        <f>EF895+$EE896</f>
        <v/>
      </c>
      <c r="EG896">
        <f>IF($DM896=0,"",INDEX($EF$5:$EF$1003,$ED896))</f>
        <v/>
      </c>
      <c r="EH896">
        <f>IF($DM896=0,"",IF($DO896&lt;&gt;"","",IFERROR(LOOKUP(2,1/(($EG$4:EG895=$EG896)*($DO$4:DO895&lt;&gt;"")),$DO$4:DO895),"")))</f>
        <v/>
      </c>
      <c r="EI896">
        <f>IF($DM896=0,"",IF($DO896&lt;&gt;"",$DO896,$EH896))</f>
        <v/>
      </c>
      <c r="EJ896">
        <f>IF($DM896=0,"",IF($EI896="",0,IF(OR(ISNUMBER($EI896),AND(AND(SUBSTITUTE(SUBSTITUTE(SUBSTITUTE(SUBSTITUTE(SUBSTITUTE(SUBSTITUTE(SUBSTITUTE(SUBSTITUTE(SUBSTITUTE(SUBSTITUTE(SUBSTITUTE(SUBSTITUTE(SUBSTITUTE(SUBSTITUTE(UPPER($EI896),"0",""),"1",""),"2",""),"3",""),"4",""),"5",""),"6",""),"7",""),"8",""),"9",""),".",""),"+",""),"-",""),"E","")="",LEN(SUBSTITUTE(SUBSTITUTE(MID(UPPER($EI896),1+OR(LEFT(UPPER($EI896),1)="+",LEFT(UPPER($EI896),1)="-"),999),"E+","E"),"E-","E"))=LEN(SUBSTITUTE(SUBSTITUTE(SUBSTITUTE(SUBSTITUTE(MID(UPPER($EI896),1+OR(LEFT(UPPER($EI896),1)="+",LEFT(UPPER($EI896),1)="-"),999),"E+","E"),"E-","E"),"+",""),"-","")),LEN(UPPER($EI896))-LEN(SUBSTITUTE(UPPER($EI896),"E",""))&lt;2,LEN(UPPER($EI896))-LEN(SUBSTITUTE(UPPER($EI896),".",""))&lt;2,IFERROR(FIND(".",UPPER($EI896)),0)&lt;IFERROR(FIND("E",UPPER($EI896)),999)),ISNUMBER(VALUE($EI896)))),1,2)))</f>
        <v/>
      </c>
      <c r="EK896">
        <f>IF($DM896=0,"",IF($EJ896=1,IF(ISNUMBER($EI896),$EI896,VALUE($EI896)),IF($EJ896=2,$DE896,0)))</f>
        <v/>
      </c>
      <c r="EL896">
        <f>IF($DM896=0,"",COUNTIF($EG$5:$EG$1003,"&lt;"&amp;$EG896)+SUMPRODUCT(($EG$5:$EG$1003=$EG896)*(($EJ$5:$EJ$1003&lt;$EJ896)+($EJ$5:$EJ$1003=$EJ896)*(($EK$5:$EK$1003&lt;$EK896)+($EK$5:$EK$1003=$EK896)*($DE$5:$DE$1003&lt;$DE896))))+1)</f>
        <v/>
      </c>
      <c r="EM896">
        <f>IF($DM896=0,"",$EL896+$EG896-1)</f>
        <v/>
      </c>
      <c r="EN896">
        <f>IF($DM896=0,0,IFERROR(MATCH(1,INDEX(--(TRIM(SUBSTITUTE(SUBSTITUTE(SUBSTITUTE(SUBSTITUTE(LINES_NAME&amp;""," "," "),CHAR(9)," "),CHAR(10)," "),CHAR(13)," "))=$DH896),0),0),0))</f>
        <v/>
      </c>
      <c r="EO896">
        <f>IF($EN896=0,0,IF(OR(UPPER(TRIM(INDEX(LINES_SCHEDULED,$EN896)&amp;""))="YES",UPPER(TRIM(INDEX(LINES_SCHEDULED,$EN896)&amp;""))="Y",UPPER(TRIM(INDEX(LINES_SCHEDULED,$EN896)&amp;""))="X"),1,0))</f>
        <v/>
      </c>
      <c r="EP896">
        <f>IF($DM896=0,"",IF(COUNTIFS($EG$5:$EG$1003,$EG896,$EB$5:$EB$1003,"Ready")&gt;0,"READY",IF(COUNTIFS($EG$5:$EG$1003,$EG896,$EB$5:$EB$1003,"PM")&gt;0,"PM",IF(COUNTIFS($EG$5:$EG$1003,$EG896,$EB$5:$EB$1003,"OT")&gt;0,"OT",""))))</f>
        <v/>
      </c>
      <c r="EQ896">
        <f>IF($EN896=0,"",UPPER(TRIM(INDEX(LINES_STATUS,$EN896)&amp;"")))</f>
        <v/>
      </c>
      <c r="ER896">
        <f>IF($DM896=0,"",IF(OR($EQ896="READY",$EQ896="PM",$EQ896="OT"),$EQ896,$EP896))</f>
        <v/>
      </c>
      <c r="ES896">
        <f>IF($DM896=0,"",IF(AND($DV896&lt;&gt;"",UPPER($DV896)&lt;&gt;"N"),"allergen",IF(ISNUMBER(SEARCH("oil",$DQ896)),"oil",IF(OR(EXACT($DS896,"A662"),EXACT($DS896,"A624")),"bulk",""))))</f>
        <v/>
      </c>
      <c r="ET896">
        <f>IF($DM896=0,"",IF(OR($EA896="",$EA896=0),"",$EA896/100))</f>
        <v/>
      </c>
      <c r="EU896">
        <f>IF(OR($ET896="",$DY896=""),"",INT($DY896*(1-$ET896)+0.5))</f>
        <v/>
      </c>
    </row>
    <row r="897">
      <c r="DA897" t="n">
        <v>893</v>
      </c>
      <c r="DB897">
        <f>IF($B$37=0,"",IFERROR(TRIM(SUBSTITUTE(SUBSTITUTE(SUBSTITUTE(SUBSTITUTE(INDEX(PASTE_ALL,893,$B$37)," "," "),CHAR(9)," "),CHAR(10)," "),CHAR(13)," ")),""))</f>
        <v/>
      </c>
      <c r="DC897">
        <f>IF(AND(893&gt;HEADER_ROW,UPPER(DB897)="LEGEND"),1,0)</f>
        <v/>
      </c>
      <c r="DE897" t="n">
        <v>893</v>
      </c>
      <c r="DF897">
        <f>HEADER_ROW+$DE897</f>
        <v/>
      </c>
      <c r="DG897">
        <f>IF(AND($DF897&lt;=1000,$DF897&lt;$B$8),1,0)</f>
        <v/>
      </c>
      <c r="DH897">
        <f>IF($DG897=1,IFERROR(INDEX($DB$5:$DB$1004,$DF897),""),"")</f>
        <v/>
      </c>
      <c r="DI897">
        <f>IF(AND($DG897=1,$DH897&lt;&gt;""),IFERROR(SUBSTITUTE(SUBSTITUTE(TRIM(SUBSTITUTE(SUBSTITUTE(SUBSTITUTE(SUBSTITUTE(IFERROR(INDEX(PASTE_ALL,$DF897,1)&amp;"","")&amp;"␟"&amp;IFERROR(INDEX(PASTE_ALL,$DF897,2)&amp;"","")&amp;"␟"&amp;IFERROR(INDEX(PASTE_ALL,$DF897,3)&amp;"","")&amp;"␟"&amp;IFERROR(INDEX(PASTE_ALL,$DF897,4)&amp;"","")&amp;"␟"&amp;IFERROR(INDEX(PASTE_ALL,$DF897,5)&amp;"","")&amp;"␟"&amp;IFERROR(INDEX(PASTE_ALL,$DF897,6)&amp;"","")&amp;"␟"&amp;IFERROR(INDEX(PASTE_ALL,$DF897,7)&amp;"","")&amp;"␟"&amp;IFERROR(INDEX(PASTE_ALL,$DF897,8)&amp;"","")&amp;"␟"&amp;IFERROR(INDEX(PASTE_ALL,$DF897,9)&amp;"","")&amp;"␟"&amp;IFERROR(INDEX(PASTE_ALL,$DF897,10)&amp;"","")&amp;"␟"&amp;IFERROR(INDEX(PASTE_ALL,$DF897,11)&amp;"","")&amp;"␟"&amp;IFERROR(INDEX(PASTE_ALL,$DF897,12)&amp;"","")&amp;"␟"&amp;IFERROR(INDEX(PASTE_ALL,$DF897,13)&amp;"","")&amp;"␟"&amp;IFERROR(INDEX(PASTE_ALL,$DF897,14)&amp;"","")&amp;"␟"&amp;IFERROR(INDEX(PASTE_ALL,$DF897,15)&amp;"","")&amp;"␟"&amp;IFERROR(INDEX(PASTE_ALL,$DF897,16)&amp;"","")&amp;"␟"&amp;IFERROR(INDEX(PASTE_ALL,$DF897,17)&amp;"","")&amp;"␟"&amp;IFERROR(INDEX(PASTE_ALL,$DF897,18)&amp;"","")&amp;"␟"&amp;IFERROR(INDEX(PASTE_ALL,$DF897,19)&amp;"","")&amp;"␟"&amp;IFERROR(INDEX(PASTE_ALL,$DF897,20)&amp;"","")&amp;"␟"&amp;IFERROR(INDEX(PASTE_ALL,$DF897,21)&amp;"","")&amp;"␟"&amp;IFERROR(INDEX(PASTE_ALL,$DF897,22)&amp;"","")&amp;"␟"&amp;IFERROR(INDEX(PASTE_ALL,$DF897,23)&amp;"","")&amp;"␟"&amp;IFERROR(INDEX(PASTE_ALL,$DF897,24)&amp;"","")&amp;"␟"&amp;IFERROR(INDEX(PASTE_ALL,$DF897,25)&amp;"","")&amp;"␟"&amp;IFERROR(INDEX(PASTE_ALL,$DF897,26)&amp;"","")&amp;"␟"&amp;IFERROR(INDEX(PASTE_ALL,$DF897,27)&amp;"","")&amp;"␟"&amp;IFERROR(INDEX(PASTE_ALL,$DF897,28)&amp;"","")&amp;"␟"&amp;IFERROR(INDEX(PASTE_ALL,$DF897,29)&amp;"","")&amp;"␟"&amp;IFERROR(INDEX(PASTE_ALL,$DF897,30)&amp;"","")&amp;"␟"&amp;IFERROR(INDEX(PASTE_ALL,$DF897,31)&amp;"","")&amp;"␟"&amp;IFERROR(INDEX(PASTE_ALL,$DF897,32)&amp;"","")&amp;"␟"&amp;IFERROR(INDEX(PASTE_ALL,$DF897,33)&amp;"","")&amp;"␟"&amp;IFERROR(INDEX(PASTE_ALL,$DF897,34)&amp;"","")&amp;"␟"&amp;IFERROR(INDEX(PASTE_ALL,$DF897,35)&amp;"","")&amp;"␟"&amp;IFERROR(INDEX(PASTE_ALL,$DF897,36)&amp;"","")&amp;"␟"&amp;IFERROR(INDEX(PASTE_ALL,$DF897,37)&amp;"","")&amp;"␟"&amp;IFERROR(INDEX(PASTE_ALL,$DF897,38)&amp;"","")&amp;"␟"&amp;IFERROR(INDEX(PASTE_ALL,$DF897,39)&amp;"","")&amp;"␟"&amp;IFERROR(INDEX(PASTE_ALL,$DF897,40)&amp;"","")&amp;"␟"&amp;IFERROR(INDEX(PASTE_ALL,$DF897,41)&amp;"","")&amp;"␟"&amp;IFERROR(INDEX(PASTE_ALL,$DF897,42)&amp;"","")&amp;"␟"&amp;IFERROR(INDEX(PASTE_ALL,$DF897,43)&amp;"","")&amp;"␟"&amp;IFERROR(INDEX(PASTE_ALL,$DF897,44)&amp;"","")&amp;"␟"&amp;IFERROR(INDEX(PASTE_ALL,$DF897,45)&amp;"","")&amp;"␟"&amp;IFERROR(INDEX(PASTE_ALL,$DF897,46)&amp;"","")&amp;"␟"&amp;IFERROR(INDEX(PASTE_ALL,$DF897,47)&amp;"","")&amp;"␟"&amp;IFERROR(INDEX(PASTE_ALL,$DF897,48)&amp;"","")&amp;"␟"&amp;IFERROR(INDEX(PASTE_ALL,$DF897,49)&amp;"","")&amp;"␟"&amp;IFERROR(INDEX(PASTE_ALL,$DF897,50)&amp;"","")&amp;"␟"&amp;IFERROR(INDEX(PASTE_ALL,$DF897,51)&amp;"","")&amp;"␟"&amp;IFERROR(INDEX(PASTE_ALL,$DF897,52)&amp;"","")&amp;"␟"&amp;IFERROR(INDEX(PASTE_ALL,$DF897,53)&amp;"","")&amp;"␟"&amp;IFERROR(INDEX(PASTE_ALL,$DF897,54)&amp;"","")&amp;"␟"&amp;IFERROR(INDEX(PASTE_ALL,$DF897,55)&amp;"","")&amp;"␟"&amp;IFERROR(INDEX(PASTE_ALL,$DF897,56)&amp;"","")&amp;"␟"&amp;IFERROR(INDEX(PASTE_ALL,$DF897,57)&amp;"","")&amp;"␟"&amp;IFERROR(INDEX(PASTE_ALL,$DF897,58)&amp;"","")&amp;"␟"&amp;IFERROR(INDEX(PASTE_ALL,$DF897,59)&amp;"","")&amp;"␟"&amp;IFERROR(INDEX(PASTE_ALL,$DF897,60)&amp;"","")," "," "),CHAR(9)," "),CHAR(10)," "),CHAR(13)," "))," ␟","␟"),"␟ ","␟"),"#"&amp;$DE897),"")</f>
        <v/>
      </c>
      <c r="DJ897">
        <f>IF($DI897="",0,IF(SUMPRODUCT(--EXACT($DI$4:DI896,$DI897))&gt;0,1,0))</f>
        <v/>
      </c>
      <c r="DK897">
        <f>IF(AND($DI897&lt;&gt;"",$DJ897=0),1,0)</f>
        <v/>
      </c>
      <c r="DL897">
        <f>DL896+$DK897</f>
        <v/>
      </c>
      <c r="DM897">
        <f>IF(AND($DK897=1,$DL897&lt;=600),1,0)</f>
        <v/>
      </c>
      <c r="DN897">
        <f>IF($DM897=0,"",IF($L$6=0,"",IFERROR(IF(ISNUMBER(INDEX(PASTE_ALL,$DF897,$L$6)),INDEX(PASTE_ALL,$DF897,$L$6),TRIM(SUBSTITUTE(SUBSTITUTE(SUBSTITUTE(SUBSTITUTE(INDEX(PASTE_ALL,$DF897,$L$6)," "," "),CHAR(9)," "),CHAR(10)," "),CHAR(13)," "))),"")))</f>
        <v/>
      </c>
      <c r="DO897">
        <f>IF($DM897=0,"",IF($L$7=0,"",IFERROR(IF(ISNUMBER(INDEX(PASTE_ALL,$DF897,$L$7)),INDEX(PASTE_ALL,$DF897,$L$7),TRIM(SUBSTITUTE(SUBSTITUTE(SUBSTITUTE(SUBSTITUTE(INDEX(PASTE_ALL,$DF897,$L$7)," "," "),CHAR(9)," "),CHAR(10)," "),CHAR(13)," "))),"")))</f>
        <v/>
      </c>
      <c r="DP897">
        <f>IF($DM897=0,"",IF($L$8=0,"",IFERROR(IF(ISNUMBER(INDEX(PASTE_ALL,$DF897,$L$8)),INDEX(PASTE_ALL,$DF897,$L$8),TRIM(SUBSTITUTE(SUBSTITUTE(SUBSTITUTE(SUBSTITUTE(INDEX(PASTE_ALL,$DF897,$L$8)," "," "),CHAR(9)," "),CHAR(10)," "),CHAR(13)," "))),"")))</f>
        <v/>
      </c>
      <c r="DQ897">
        <f>IF($DM897=0,"",IF($L$9=0,"",IFERROR(IF(ISNUMBER(INDEX(PASTE_ALL,$DF897,$L$9)),INDEX(PASTE_ALL,$DF897,$L$9),TRIM(SUBSTITUTE(SUBSTITUTE(SUBSTITUTE(SUBSTITUTE(INDEX(PASTE_ALL,$DF897,$L$9)," "," "),CHAR(9)," "),CHAR(10)," "),CHAR(13)," "))),"")))</f>
        <v/>
      </c>
      <c r="DR897">
        <f>IF($DM897=0,"",IF($L$10=0,"",IFERROR(IF(ISNUMBER(INDEX(PASTE_ALL,$DF897,$L$10)),INDEX(PASTE_ALL,$DF897,$L$10),TRIM(SUBSTITUTE(SUBSTITUTE(SUBSTITUTE(SUBSTITUTE(INDEX(PASTE_ALL,$DF897,$L$10)," "," "),CHAR(9)," "),CHAR(10)," "),CHAR(13)," "))),"")))</f>
        <v/>
      </c>
      <c r="DS897">
        <f>IF($DM897=0,"",IF($L$11=0,"",IFERROR(IF(ISNUMBER(INDEX(PASTE_ALL,$DF897,$L$11)),INDEX(PASTE_ALL,$DF897,$L$11),TRIM(SUBSTITUTE(SUBSTITUTE(SUBSTITUTE(SUBSTITUTE(INDEX(PASTE_ALL,$DF897,$L$11)," "," "),CHAR(9)," "),CHAR(10)," "),CHAR(13)," "))),"")))</f>
        <v/>
      </c>
      <c r="DT897">
        <f>IF($DM897=0,"",IF($L$12=0,"",IFERROR(IF(ISNUMBER(INDEX(PASTE_ALL,$DF897,$L$12)),INDEX(PASTE_ALL,$DF897,$L$12),TRIM(SUBSTITUTE(SUBSTITUTE(SUBSTITUTE(SUBSTITUTE(INDEX(PASTE_ALL,$DF897,$L$12)," "," "),CHAR(9)," "),CHAR(10)," "),CHAR(13)," "))),"")))</f>
        <v/>
      </c>
      <c r="DU897">
        <f>IF($DM897=0,"",IF($L$13=0,"",IFERROR(IF(ISNUMBER(INDEX(PASTE_ALL,$DF897,$L$13)),INDEX(PASTE_ALL,$DF897,$L$13),TRIM(SUBSTITUTE(SUBSTITUTE(SUBSTITUTE(SUBSTITUTE(INDEX(PASTE_ALL,$DF897,$L$13)," "," "),CHAR(9)," "),CHAR(10)," "),CHAR(13)," "))),"")))</f>
        <v/>
      </c>
      <c r="DV897">
        <f>IF($DM897=0,"",IF($L$14=0,"",IFERROR(IF(ISNUMBER(INDEX(PASTE_ALL,$DF897,$L$14)),INDEX(PASTE_ALL,$DF897,$L$14),TRIM(SUBSTITUTE(SUBSTITUTE(SUBSTITUTE(SUBSTITUTE(INDEX(PASTE_ALL,$DF897,$L$14)," "," "),CHAR(9)," "),CHAR(10)," "),CHAR(13)," "))),"")))</f>
        <v/>
      </c>
      <c r="DW897">
        <f>IF($DM897=0,"",IF($L$15=0,"",IFERROR(IF(ISNUMBER(INDEX(PASTE_ALL,$DF897,$L$15)),INDEX(PASTE_ALL,$DF897,$L$15),IF(SUMPRODUCT(--ISNUMBER(FIND({"A","B","C","D","E","F","G","H","I","J","K","L","M","N","O","P","Q","R","S","T","U","V","W","X","Y","Z","0","1","2","3","4","5","6","7","8","9"},UPPER(TRIM(SUBSTITUTE(SUBSTITUTE(SUBSTITUTE(SUBSTITUTE(INDEX(PASTE_ALL,$DF897,$L$15)," "," "),CHAR(9)," "),CHAR(10)," "),CHAR(13)," "))))))&gt;0,TRIM(SUBSTITUTE(SUBSTITUTE(SUBSTITUTE(SUBSTITUTE(INDEX(PASTE_ALL,$DF897,$L$15)," "," "),CHAR(9)," "),CHAR(10)," "),CHAR(13)," ")),"")),"")))</f>
        <v/>
      </c>
      <c r="DX897">
        <f>IF($DM897=0,"",IF($L$16=0,"",IFERROR(IF(ISNUMBER(INDEX(PASTE_ALL,$DF897,$L$16)),INDEX(PASTE_ALL,$DF897,$L$16),SUBSTITUTE(SUBSTITUTE(TRIM(SUBSTITUTE(SUBSTITUTE(SUBSTITUTE(SUBSTITUTE(INDEX(PASTE_ALL,$DF897,$L$16)," "," "),CHAR(9)," "),CHAR(10)," "),CHAR(13)," ")),",",""),"%","")),"")))</f>
        <v/>
      </c>
      <c r="DY897">
        <f>IF($DM897=0,"",IFERROR(IF(ISNUMBER($DX897),$DX897,IF($DX897="","",IF(TRIM($DX897)="",0,IF(AND(AND(SUBSTITUTE(SUBSTITUTE(SUBSTITUTE(SUBSTITUTE(SUBSTITUTE(SUBSTITUTE(SUBSTITUTE(SUBSTITUTE(SUBSTITUTE(SUBSTITUTE(SUBSTITUTE(SUBSTITUTE(SUBSTITUTE(SUBSTITUTE(UPPER(TRIM($DX897)),"0",""),"1",""),"2",""),"3",""),"4",""),"5",""),"6",""),"7",""),"8",""),"9",""),".",""),"+",""),"-",""),"E","")="",LEN(SUBSTITUTE(SUBSTITUTE(MID(UPPER(TRIM($DX897)),1+OR(LEFT(UPPER(TRIM($DX897)),1)="+",LEFT(UPPER(TRIM($DX897)),1)="-"),999),"E+","E"),"E-","E"))=LEN(SUBSTITUTE(SUBSTITUTE(SUBSTITUTE(SUBSTITUTE(MID(UPPER(TRIM($DX897)),1+OR(LEFT(UPPER(TRIM($DX897)),1)="+",LEFT(UPPER(TRIM($DX897)),1)="-"),999),"E+","E"),"E-","E"),"+",""),"-","")),LEN(UPPER(TRIM($DX897)))-LEN(SUBSTITUTE(UPPER(TRIM($DX897)),"E",""))&lt;2,LEN(UPPER(TRIM($DX897)))-LEN(SUBSTITUTE(UPPER(TRIM($DX897)),".",""))&lt;2,IFERROR(FIND(".",UPPER(TRIM($DX897))),0)&lt;IFERROR(FIND("E",UPPER(TRIM($DX897))),999)),ISNUMBER(VALUE(TRIM($DX897)))),VALUE(TRIM($DX897)),"")))),""))</f>
        <v/>
      </c>
      <c r="DZ897">
        <f>IF($DM897=0,"",IF($L$17=0,"",IFERROR(IF(ISNUMBER(INDEX(PASTE_ALL,$DF897,$L$17)),INDEX(PASTE_ALL,$DF897,$L$17),SUBSTITUTE(SUBSTITUTE(TRIM(SUBSTITUTE(SUBSTITUTE(SUBSTITUTE(SUBSTITUTE(INDEX(PASTE_ALL,$DF897,$L$17)," "," "),CHAR(9)," "),CHAR(10)," "),CHAR(13)," ")),",",""),"%","")),"")))</f>
        <v/>
      </c>
      <c r="EA897">
        <f>IF($DM897=0,"",IFERROR(IF(ISNUMBER($DZ897),$DZ897,IF($DZ897="","",IF(TRIM($DZ897)="",0,IF(AND(AND(SUBSTITUTE(SUBSTITUTE(SUBSTITUTE(SUBSTITUTE(SUBSTITUTE(SUBSTITUTE(SUBSTITUTE(SUBSTITUTE(SUBSTITUTE(SUBSTITUTE(SUBSTITUTE(SUBSTITUTE(SUBSTITUTE(SUBSTITUTE(UPPER(TRIM($DZ897)),"0",""),"1",""),"2",""),"3",""),"4",""),"5",""),"6",""),"7",""),"8",""),"9",""),".",""),"+",""),"-",""),"E","")="",LEN(SUBSTITUTE(SUBSTITUTE(MID(UPPER(TRIM($DZ897)),1+OR(LEFT(UPPER(TRIM($DZ897)),1)="+",LEFT(UPPER(TRIM($DZ897)),1)="-"),999),"E+","E"),"E-","E"))=LEN(SUBSTITUTE(SUBSTITUTE(SUBSTITUTE(SUBSTITUTE(MID(UPPER(TRIM($DZ897)),1+OR(LEFT(UPPER(TRIM($DZ897)),1)="+",LEFT(UPPER(TRIM($DZ897)),1)="-"),999),"E+","E"),"E-","E"),"+",""),"-","")),LEN(UPPER(TRIM($DZ897)))-LEN(SUBSTITUTE(UPPER(TRIM($DZ897)),"E",""))&lt;2,LEN(UPPER(TRIM($DZ897)))-LEN(SUBSTITUTE(UPPER(TRIM($DZ897)),".",""))&lt;2,IFERROR(FIND(".",UPPER(TRIM($DZ897))),0)&lt;IFERROR(FIND("E",UPPER(TRIM($DZ897))),999)),ISNUMBER(VALUE(TRIM($DZ897)))),VALUE(TRIM($DZ897)),"")))),""))</f>
        <v/>
      </c>
      <c r="EB897">
        <f>IF($DM897=0,"",IF($L$18=0,"",IFERROR(IF(UPPER(TRIM(SUBSTITUTE(SUBSTITUTE(SUBSTITUTE(SUBSTITUTE(INDEX(PASTE_ALL,$DF897,$L$18)," "," "),CHAR(9)," "),CHAR(10)," "),CHAR(13)," ")))="READY","Ready",IF(UPPER(TRIM(SUBSTITUTE(SUBSTITUTE(SUBSTITUTE(SUBSTITUTE(INDEX(PASTE_ALL,$DF897,$L$18)," "," "),CHAR(9)," "),CHAR(10)," "),CHAR(13)," ")))="PM","PM",IF(OR(UPPER(TRIM(SUBSTITUTE(SUBSTITUTE(SUBSTITUTE(SUBSTITUTE(INDEX(PASTE_ALL,$DF897,$L$18)," "," "),CHAR(9)," "),CHAR(10)," "),CHAR(13)," ")))="OT",UPPER(TRIM(SUBSTITUTE(SUBSTITUTE(SUBSTITUTE(SUBSTITUTE(INDEX(PASTE_ALL,$DF897,$L$18)," "," "),CHAR(9)," "),CHAR(10)," "),CHAR(13)," ")))="OVERTIME",UPPER(TRIM(SUBSTITUTE(SUBSTITUTE(SUBSTITUTE(SUBSTITUTE(INDEX(PASTE_ALL,$DF897,$L$18)," "," "),CHAR(9)," "),CHAR(10)," "),CHAR(13)," ")))="TRIAL"),"OT",TRIM(SUBSTITUTE(SUBSTITUTE(SUBSTITUTE(SUBSTITUTE(INDEX(PASTE_ALL,$DF897,$L$18)," "," "),CHAR(9)," "),CHAR(10)," "),CHAR(13)," "))))),"")))</f>
        <v/>
      </c>
      <c r="EC897">
        <f>IF($DM897=0,"",IF($L$19=0,"",IFERROR(IF(ISNUMBER(INDEX(PASTE_ALL,$DF897,$L$19)),INDEX(PASTE_ALL,$DF897,$L$19),TRIM(SUBSTITUTE(SUBSTITUTE(SUBSTITUTE(SUBSTITUTE(INDEX(PASTE_ALL,$DF897,$L$19)," "," "),CHAR(9)," "),CHAR(10)," "),CHAR(13)," "))),"")))</f>
        <v/>
      </c>
      <c r="ED897">
        <f>IF($DM897=0,"",MATCH(1,INDEX(EXACT($DH$5:DH897,$DH897)*$DM$5:DM897,0),0))</f>
        <v/>
      </c>
      <c r="EE897">
        <f>IF($DM897=0,0,IF($ED897=$DE897,1,0))</f>
        <v/>
      </c>
      <c r="EF897">
        <f>EF896+$EE897</f>
        <v/>
      </c>
      <c r="EG897">
        <f>IF($DM897=0,"",INDEX($EF$5:$EF$1003,$ED897))</f>
        <v/>
      </c>
      <c r="EH897">
        <f>IF($DM897=0,"",IF($DO897&lt;&gt;"","",IFERROR(LOOKUP(2,1/(($EG$4:EG896=$EG897)*($DO$4:DO896&lt;&gt;"")),$DO$4:DO896),"")))</f>
        <v/>
      </c>
      <c r="EI897">
        <f>IF($DM897=0,"",IF($DO897&lt;&gt;"",$DO897,$EH897))</f>
        <v/>
      </c>
      <c r="EJ897">
        <f>IF($DM897=0,"",IF($EI897="",0,IF(OR(ISNUMBER($EI897),AND(AND(SUBSTITUTE(SUBSTITUTE(SUBSTITUTE(SUBSTITUTE(SUBSTITUTE(SUBSTITUTE(SUBSTITUTE(SUBSTITUTE(SUBSTITUTE(SUBSTITUTE(SUBSTITUTE(SUBSTITUTE(SUBSTITUTE(SUBSTITUTE(UPPER($EI897),"0",""),"1",""),"2",""),"3",""),"4",""),"5",""),"6",""),"7",""),"8",""),"9",""),".",""),"+",""),"-",""),"E","")="",LEN(SUBSTITUTE(SUBSTITUTE(MID(UPPER($EI897),1+OR(LEFT(UPPER($EI897),1)="+",LEFT(UPPER($EI897),1)="-"),999),"E+","E"),"E-","E"))=LEN(SUBSTITUTE(SUBSTITUTE(SUBSTITUTE(SUBSTITUTE(MID(UPPER($EI897),1+OR(LEFT(UPPER($EI897),1)="+",LEFT(UPPER($EI897),1)="-"),999),"E+","E"),"E-","E"),"+",""),"-","")),LEN(UPPER($EI897))-LEN(SUBSTITUTE(UPPER($EI897),"E",""))&lt;2,LEN(UPPER($EI897))-LEN(SUBSTITUTE(UPPER($EI897),".",""))&lt;2,IFERROR(FIND(".",UPPER($EI897)),0)&lt;IFERROR(FIND("E",UPPER($EI897)),999)),ISNUMBER(VALUE($EI897)))),1,2)))</f>
        <v/>
      </c>
      <c r="EK897">
        <f>IF($DM897=0,"",IF($EJ897=1,IF(ISNUMBER($EI897),$EI897,VALUE($EI897)),IF($EJ897=2,$DE897,0)))</f>
        <v/>
      </c>
      <c r="EL897">
        <f>IF($DM897=0,"",COUNTIF($EG$5:$EG$1003,"&lt;"&amp;$EG897)+SUMPRODUCT(($EG$5:$EG$1003=$EG897)*(($EJ$5:$EJ$1003&lt;$EJ897)+($EJ$5:$EJ$1003=$EJ897)*(($EK$5:$EK$1003&lt;$EK897)+($EK$5:$EK$1003=$EK897)*($DE$5:$DE$1003&lt;$DE897))))+1)</f>
        <v/>
      </c>
      <c r="EM897">
        <f>IF($DM897=0,"",$EL897+$EG897-1)</f>
        <v/>
      </c>
      <c r="EN897">
        <f>IF($DM897=0,0,IFERROR(MATCH(1,INDEX(--(TRIM(SUBSTITUTE(SUBSTITUTE(SUBSTITUTE(SUBSTITUTE(LINES_NAME&amp;""," "," "),CHAR(9)," "),CHAR(10)," "),CHAR(13)," "))=$DH897),0),0),0))</f>
        <v/>
      </c>
      <c r="EO897">
        <f>IF($EN897=0,0,IF(OR(UPPER(TRIM(INDEX(LINES_SCHEDULED,$EN897)&amp;""))="YES",UPPER(TRIM(INDEX(LINES_SCHEDULED,$EN897)&amp;""))="Y",UPPER(TRIM(INDEX(LINES_SCHEDULED,$EN897)&amp;""))="X"),1,0))</f>
        <v/>
      </c>
      <c r="EP897">
        <f>IF($DM897=0,"",IF(COUNTIFS($EG$5:$EG$1003,$EG897,$EB$5:$EB$1003,"Ready")&gt;0,"READY",IF(COUNTIFS($EG$5:$EG$1003,$EG897,$EB$5:$EB$1003,"PM")&gt;0,"PM",IF(COUNTIFS($EG$5:$EG$1003,$EG897,$EB$5:$EB$1003,"OT")&gt;0,"OT",""))))</f>
        <v/>
      </c>
      <c r="EQ897">
        <f>IF($EN897=0,"",UPPER(TRIM(INDEX(LINES_STATUS,$EN897)&amp;"")))</f>
        <v/>
      </c>
      <c r="ER897">
        <f>IF($DM897=0,"",IF(OR($EQ897="READY",$EQ897="PM",$EQ897="OT"),$EQ897,$EP897))</f>
        <v/>
      </c>
      <c r="ES897">
        <f>IF($DM897=0,"",IF(AND($DV897&lt;&gt;"",UPPER($DV897)&lt;&gt;"N"),"allergen",IF(ISNUMBER(SEARCH("oil",$DQ897)),"oil",IF(OR(EXACT($DS897,"A662"),EXACT($DS897,"A624")),"bulk",""))))</f>
        <v/>
      </c>
      <c r="ET897">
        <f>IF($DM897=0,"",IF(OR($EA897="",$EA897=0),"",$EA897/100))</f>
        <v/>
      </c>
      <c r="EU897">
        <f>IF(OR($ET897="",$DY897=""),"",INT($DY897*(1-$ET897)+0.5))</f>
        <v/>
      </c>
    </row>
    <row r="898">
      <c r="DA898" t="n">
        <v>894</v>
      </c>
      <c r="DB898">
        <f>IF($B$37=0,"",IFERROR(TRIM(SUBSTITUTE(SUBSTITUTE(SUBSTITUTE(SUBSTITUTE(INDEX(PASTE_ALL,894,$B$37)," "," "),CHAR(9)," "),CHAR(10)," "),CHAR(13)," ")),""))</f>
        <v/>
      </c>
      <c r="DC898">
        <f>IF(AND(894&gt;HEADER_ROW,UPPER(DB898)="LEGEND"),1,0)</f>
        <v/>
      </c>
      <c r="DE898" t="n">
        <v>894</v>
      </c>
      <c r="DF898">
        <f>HEADER_ROW+$DE898</f>
        <v/>
      </c>
      <c r="DG898">
        <f>IF(AND($DF898&lt;=1000,$DF898&lt;$B$8),1,0)</f>
        <v/>
      </c>
      <c r="DH898">
        <f>IF($DG898=1,IFERROR(INDEX($DB$5:$DB$1004,$DF898),""),"")</f>
        <v/>
      </c>
      <c r="DI898">
        <f>IF(AND($DG898=1,$DH898&lt;&gt;""),IFERROR(SUBSTITUTE(SUBSTITUTE(TRIM(SUBSTITUTE(SUBSTITUTE(SUBSTITUTE(SUBSTITUTE(IFERROR(INDEX(PASTE_ALL,$DF898,1)&amp;"","")&amp;"␟"&amp;IFERROR(INDEX(PASTE_ALL,$DF898,2)&amp;"","")&amp;"␟"&amp;IFERROR(INDEX(PASTE_ALL,$DF898,3)&amp;"","")&amp;"␟"&amp;IFERROR(INDEX(PASTE_ALL,$DF898,4)&amp;"","")&amp;"␟"&amp;IFERROR(INDEX(PASTE_ALL,$DF898,5)&amp;"","")&amp;"␟"&amp;IFERROR(INDEX(PASTE_ALL,$DF898,6)&amp;"","")&amp;"␟"&amp;IFERROR(INDEX(PASTE_ALL,$DF898,7)&amp;"","")&amp;"␟"&amp;IFERROR(INDEX(PASTE_ALL,$DF898,8)&amp;"","")&amp;"␟"&amp;IFERROR(INDEX(PASTE_ALL,$DF898,9)&amp;"","")&amp;"␟"&amp;IFERROR(INDEX(PASTE_ALL,$DF898,10)&amp;"","")&amp;"␟"&amp;IFERROR(INDEX(PASTE_ALL,$DF898,11)&amp;"","")&amp;"␟"&amp;IFERROR(INDEX(PASTE_ALL,$DF898,12)&amp;"","")&amp;"␟"&amp;IFERROR(INDEX(PASTE_ALL,$DF898,13)&amp;"","")&amp;"␟"&amp;IFERROR(INDEX(PASTE_ALL,$DF898,14)&amp;"","")&amp;"␟"&amp;IFERROR(INDEX(PASTE_ALL,$DF898,15)&amp;"","")&amp;"␟"&amp;IFERROR(INDEX(PASTE_ALL,$DF898,16)&amp;"","")&amp;"␟"&amp;IFERROR(INDEX(PASTE_ALL,$DF898,17)&amp;"","")&amp;"␟"&amp;IFERROR(INDEX(PASTE_ALL,$DF898,18)&amp;"","")&amp;"␟"&amp;IFERROR(INDEX(PASTE_ALL,$DF898,19)&amp;"","")&amp;"␟"&amp;IFERROR(INDEX(PASTE_ALL,$DF898,20)&amp;"","")&amp;"␟"&amp;IFERROR(INDEX(PASTE_ALL,$DF898,21)&amp;"","")&amp;"␟"&amp;IFERROR(INDEX(PASTE_ALL,$DF898,22)&amp;"","")&amp;"␟"&amp;IFERROR(INDEX(PASTE_ALL,$DF898,23)&amp;"","")&amp;"␟"&amp;IFERROR(INDEX(PASTE_ALL,$DF898,24)&amp;"","")&amp;"␟"&amp;IFERROR(INDEX(PASTE_ALL,$DF898,25)&amp;"","")&amp;"␟"&amp;IFERROR(INDEX(PASTE_ALL,$DF898,26)&amp;"","")&amp;"␟"&amp;IFERROR(INDEX(PASTE_ALL,$DF898,27)&amp;"","")&amp;"␟"&amp;IFERROR(INDEX(PASTE_ALL,$DF898,28)&amp;"","")&amp;"␟"&amp;IFERROR(INDEX(PASTE_ALL,$DF898,29)&amp;"","")&amp;"␟"&amp;IFERROR(INDEX(PASTE_ALL,$DF898,30)&amp;"","")&amp;"␟"&amp;IFERROR(INDEX(PASTE_ALL,$DF898,31)&amp;"","")&amp;"␟"&amp;IFERROR(INDEX(PASTE_ALL,$DF898,32)&amp;"","")&amp;"␟"&amp;IFERROR(INDEX(PASTE_ALL,$DF898,33)&amp;"","")&amp;"␟"&amp;IFERROR(INDEX(PASTE_ALL,$DF898,34)&amp;"","")&amp;"␟"&amp;IFERROR(INDEX(PASTE_ALL,$DF898,35)&amp;"","")&amp;"␟"&amp;IFERROR(INDEX(PASTE_ALL,$DF898,36)&amp;"","")&amp;"␟"&amp;IFERROR(INDEX(PASTE_ALL,$DF898,37)&amp;"","")&amp;"␟"&amp;IFERROR(INDEX(PASTE_ALL,$DF898,38)&amp;"","")&amp;"␟"&amp;IFERROR(INDEX(PASTE_ALL,$DF898,39)&amp;"","")&amp;"␟"&amp;IFERROR(INDEX(PASTE_ALL,$DF898,40)&amp;"","")&amp;"␟"&amp;IFERROR(INDEX(PASTE_ALL,$DF898,41)&amp;"","")&amp;"␟"&amp;IFERROR(INDEX(PASTE_ALL,$DF898,42)&amp;"","")&amp;"␟"&amp;IFERROR(INDEX(PASTE_ALL,$DF898,43)&amp;"","")&amp;"␟"&amp;IFERROR(INDEX(PASTE_ALL,$DF898,44)&amp;"","")&amp;"␟"&amp;IFERROR(INDEX(PASTE_ALL,$DF898,45)&amp;"","")&amp;"␟"&amp;IFERROR(INDEX(PASTE_ALL,$DF898,46)&amp;"","")&amp;"␟"&amp;IFERROR(INDEX(PASTE_ALL,$DF898,47)&amp;"","")&amp;"␟"&amp;IFERROR(INDEX(PASTE_ALL,$DF898,48)&amp;"","")&amp;"␟"&amp;IFERROR(INDEX(PASTE_ALL,$DF898,49)&amp;"","")&amp;"␟"&amp;IFERROR(INDEX(PASTE_ALL,$DF898,50)&amp;"","")&amp;"␟"&amp;IFERROR(INDEX(PASTE_ALL,$DF898,51)&amp;"","")&amp;"␟"&amp;IFERROR(INDEX(PASTE_ALL,$DF898,52)&amp;"","")&amp;"␟"&amp;IFERROR(INDEX(PASTE_ALL,$DF898,53)&amp;"","")&amp;"␟"&amp;IFERROR(INDEX(PASTE_ALL,$DF898,54)&amp;"","")&amp;"␟"&amp;IFERROR(INDEX(PASTE_ALL,$DF898,55)&amp;"","")&amp;"␟"&amp;IFERROR(INDEX(PASTE_ALL,$DF898,56)&amp;"","")&amp;"␟"&amp;IFERROR(INDEX(PASTE_ALL,$DF898,57)&amp;"","")&amp;"␟"&amp;IFERROR(INDEX(PASTE_ALL,$DF898,58)&amp;"","")&amp;"␟"&amp;IFERROR(INDEX(PASTE_ALL,$DF898,59)&amp;"","")&amp;"␟"&amp;IFERROR(INDEX(PASTE_ALL,$DF898,60)&amp;"","")," "," "),CHAR(9)," "),CHAR(10)," "),CHAR(13)," "))," ␟","␟"),"␟ ","␟"),"#"&amp;$DE898),"")</f>
        <v/>
      </c>
      <c r="DJ898">
        <f>IF($DI898="",0,IF(SUMPRODUCT(--EXACT($DI$4:DI897,$DI898))&gt;0,1,0))</f>
        <v/>
      </c>
      <c r="DK898">
        <f>IF(AND($DI898&lt;&gt;"",$DJ898=0),1,0)</f>
        <v/>
      </c>
      <c r="DL898">
        <f>DL897+$DK898</f>
        <v/>
      </c>
      <c r="DM898">
        <f>IF(AND($DK898=1,$DL898&lt;=600),1,0)</f>
        <v/>
      </c>
      <c r="DN898">
        <f>IF($DM898=0,"",IF($L$6=0,"",IFERROR(IF(ISNUMBER(INDEX(PASTE_ALL,$DF898,$L$6)),INDEX(PASTE_ALL,$DF898,$L$6),TRIM(SUBSTITUTE(SUBSTITUTE(SUBSTITUTE(SUBSTITUTE(INDEX(PASTE_ALL,$DF898,$L$6)," "," "),CHAR(9)," "),CHAR(10)," "),CHAR(13)," "))),"")))</f>
        <v/>
      </c>
      <c r="DO898">
        <f>IF($DM898=0,"",IF($L$7=0,"",IFERROR(IF(ISNUMBER(INDEX(PASTE_ALL,$DF898,$L$7)),INDEX(PASTE_ALL,$DF898,$L$7),TRIM(SUBSTITUTE(SUBSTITUTE(SUBSTITUTE(SUBSTITUTE(INDEX(PASTE_ALL,$DF898,$L$7)," "," "),CHAR(9)," "),CHAR(10)," "),CHAR(13)," "))),"")))</f>
        <v/>
      </c>
      <c r="DP898">
        <f>IF($DM898=0,"",IF($L$8=0,"",IFERROR(IF(ISNUMBER(INDEX(PASTE_ALL,$DF898,$L$8)),INDEX(PASTE_ALL,$DF898,$L$8),TRIM(SUBSTITUTE(SUBSTITUTE(SUBSTITUTE(SUBSTITUTE(INDEX(PASTE_ALL,$DF898,$L$8)," "," "),CHAR(9)," "),CHAR(10)," "),CHAR(13)," "))),"")))</f>
        <v/>
      </c>
      <c r="DQ898">
        <f>IF($DM898=0,"",IF($L$9=0,"",IFERROR(IF(ISNUMBER(INDEX(PASTE_ALL,$DF898,$L$9)),INDEX(PASTE_ALL,$DF898,$L$9),TRIM(SUBSTITUTE(SUBSTITUTE(SUBSTITUTE(SUBSTITUTE(INDEX(PASTE_ALL,$DF898,$L$9)," "," "),CHAR(9)," "),CHAR(10)," "),CHAR(13)," "))),"")))</f>
        <v/>
      </c>
      <c r="DR898">
        <f>IF($DM898=0,"",IF($L$10=0,"",IFERROR(IF(ISNUMBER(INDEX(PASTE_ALL,$DF898,$L$10)),INDEX(PASTE_ALL,$DF898,$L$10),TRIM(SUBSTITUTE(SUBSTITUTE(SUBSTITUTE(SUBSTITUTE(INDEX(PASTE_ALL,$DF898,$L$10)," "," "),CHAR(9)," "),CHAR(10)," "),CHAR(13)," "))),"")))</f>
        <v/>
      </c>
      <c r="DS898">
        <f>IF($DM898=0,"",IF($L$11=0,"",IFERROR(IF(ISNUMBER(INDEX(PASTE_ALL,$DF898,$L$11)),INDEX(PASTE_ALL,$DF898,$L$11),TRIM(SUBSTITUTE(SUBSTITUTE(SUBSTITUTE(SUBSTITUTE(INDEX(PASTE_ALL,$DF898,$L$11)," "," "),CHAR(9)," "),CHAR(10)," "),CHAR(13)," "))),"")))</f>
        <v/>
      </c>
      <c r="DT898">
        <f>IF($DM898=0,"",IF($L$12=0,"",IFERROR(IF(ISNUMBER(INDEX(PASTE_ALL,$DF898,$L$12)),INDEX(PASTE_ALL,$DF898,$L$12),TRIM(SUBSTITUTE(SUBSTITUTE(SUBSTITUTE(SUBSTITUTE(INDEX(PASTE_ALL,$DF898,$L$12)," "," "),CHAR(9)," "),CHAR(10)," "),CHAR(13)," "))),"")))</f>
        <v/>
      </c>
      <c r="DU898">
        <f>IF($DM898=0,"",IF($L$13=0,"",IFERROR(IF(ISNUMBER(INDEX(PASTE_ALL,$DF898,$L$13)),INDEX(PASTE_ALL,$DF898,$L$13),TRIM(SUBSTITUTE(SUBSTITUTE(SUBSTITUTE(SUBSTITUTE(INDEX(PASTE_ALL,$DF898,$L$13)," "," "),CHAR(9)," "),CHAR(10)," "),CHAR(13)," "))),"")))</f>
        <v/>
      </c>
      <c r="DV898">
        <f>IF($DM898=0,"",IF($L$14=0,"",IFERROR(IF(ISNUMBER(INDEX(PASTE_ALL,$DF898,$L$14)),INDEX(PASTE_ALL,$DF898,$L$14),TRIM(SUBSTITUTE(SUBSTITUTE(SUBSTITUTE(SUBSTITUTE(INDEX(PASTE_ALL,$DF898,$L$14)," "," "),CHAR(9)," "),CHAR(10)," "),CHAR(13)," "))),"")))</f>
        <v/>
      </c>
      <c r="DW898">
        <f>IF($DM898=0,"",IF($L$15=0,"",IFERROR(IF(ISNUMBER(INDEX(PASTE_ALL,$DF898,$L$15)),INDEX(PASTE_ALL,$DF898,$L$15),IF(SUMPRODUCT(--ISNUMBER(FIND({"A","B","C","D","E","F","G","H","I","J","K","L","M","N","O","P","Q","R","S","T","U","V","W","X","Y","Z","0","1","2","3","4","5","6","7","8","9"},UPPER(TRIM(SUBSTITUTE(SUBSTITUTE(SUBSTITUTE(SUBSTITUTE(INDEX(PASTE_ALL,$DF898,$L$15)," "," "),CHAR(9)," "),CHAR(10)," "),CHAR(13)," "))))))&gt;0,TRIM(SUBSTITUTE(SUBSTITUTE(SUBSTITUTE(SUBSTITUTE(INDEX(PASTE_ALL,$DF898,$L$15)," "," "),CHAR(9)," "),CHAR(10)," "),CHAR(13)," ")),"")),"")))</f>
        <v/>
      </c>
      <c r="DX898">
        <f>IF($DM898=0,"",IF($L$16=0,"",IFERROR(IF(ISNUMBER(INDEX(PASTE_ALL,$DF898,$L$16)),INDEX(PASTE_ALL,$DF898,$L$16),SUBSTITUTE(SUBSTITUTE(TRIM(SUBSTITUTE(SUBSTITUTE(SUBSTITUTE(SUBSTITUTE(INDEX(PASTE_ALL,$DF898,$L$16)," "," "),CHAR(9)," "),CHAR(10)," "),CHAR(13)," ")),",",""),"%","")),"")))</f>
        <v/>
      </c>
      <c r="DY898">
        <f>IF($DM898=0,"",IFERROR(IF(ISNUMBER($DX898),$DX898,IF($DX898="","",IF(TRIM($DX898)="",0,IF(AND(AND(SUBSTITUTE(SUBSTITUTE(SUBSTITUTE(SUBSTITUTE(SUBSTITUTE(SUBSTITUTE(SUBSTITUTE(SUBSTITUTE(SUBSTITUTE(SUBSTITUTE(SUBSTITUTE(SUBSTITUTE(SUBSTITUTE(SUBSTITUTE(UPPER(TRIM($DX898)),"0",""),"1",""),"2",""),"3",""),"4",""),"5",""),"6",""),"7",""),"8",""),"9",""),".",""),"+",""),"-",""),"E","")="",LEN(SUBSTITUTE(SUBSTITUTE(MID(UPPER(TRIM($DX898)),1+OR(LEFT(UPPER(TRIM($DX898)),1)="+",LEFT(UPPER(TRIM($DX898)),1)="-"),999),"E+","E"),"E-","E"))=LEN(SUBSTITUTE(SUBSTITUTE(SUBSTITUTE(SUBSTITUTE(MID(UPPER(TRIM($DX898)),1+OR(LEFT(UPPER(TRIM($DX898)),1)="+",LEFT(UPPER(TRIM($DX898)),1)="-"),999),"E+","E"),"E-","E"),"+",""),"-","")),LEN(UPPER(TRIM($DX898)))-LEN(SUBSTITUTE(UPPER(TRIM($DX898)),"E",""))&lt;2,LEN(UPPER(TRIM($DX898)))-LEN(SUBSTITUTE(UPPER(TRIM($DX898)),".",""))&lt;2,IFERROR(FIND(".",UPPER(TRIM($DX898))),0)&lt;IFERROR(FIND("E",UPPER(TRIM($DX898))),999)),ISNUMBER(VALUE(TRIM($DX898)))),VALUE(TRIM($DX898)),"")))),""))</f>
        <v/>
      </c>
      <c r="DZ898">
        <f>IF($DM898=0,"",IF($L$17=0,"",IFERROR(IF(ISNUMBER(INDEX(PASTE_ALL,$DF898,$L$17)),INDEX(PASTE_ALL,$DF898,$L$17),SUBSTITUTE(SUBSTITUTE(TRIM(SUBSTITUTE(SUBSTITUTE(SUBSTITUTE(SUBSTITUTE(INDEX(PASTE_ALL,$DF898,$L$17)," "," "),CHAR(9)," "),CHAR(10)," "),CHAR(13)," ")),",",""),"%","")),"")))</f>
        <v/>
      </c>
      <c r="EA898">
        <f>IF($DM898=0,"",IFERROR(IF(ISNUMBER($DZ898),$DZ898,IF($DZ898="","",IF(TRIM($DZ898)="",0,IF(AND(AND(SUBSTITUTE(SUBSTITUTE(SUBSTITUTE(SUBSTITUTE(SUBSTITUTE(SUBSTITUTE(SUBSTITUTE(SUBSTITUTE(SUBSTITUTE(SUBSTITUTE(SUBSTITUTE(SUBSTITUTE(SUBSTITUTE(SUBSTITUTE(UPPER(TRIM($DZ898)),"0",""),"1",""),"2",""),"3",""),"4",""),"5",""),"6",""),"7",""),"8",""),"9",""),".",""),"+",""),"-",""),"E","")="",LEN(SUBSTITUTE(SUBSTITUTE(MID(UPPER(TRIM($DZ898)),1+OR(LEFT(UPPER(TRIM($DZ898)),1)="+",LEFT(UPPER(TRIM($DZ898)),1)="-"),999),"E+","E"),"E-","E"))=LEN(SUBSTITUTE(SUBSTITUTE(SUBSTITUTE(SUBSTITUTE(MID(UPPER(TRIM($DZ898)),1+OR(LEFT(UPPER(TRIM($DZ898)),1)="+",LEFT(UPPER(TRIM($DZ898)),1)="-"),999),"E+","E"),"E-","E"),"+",""),"-","")),LEN(UPPER(TRIM($DZ898)))-LEN(SUBSTITUTE(UPPER(TRIM($DZ898)),"E",""))&lt;2,LEN(UPPER(TRIM($DZ898)))-LEN(SUBSTITUTE(UPPER(TRIM($DZ898)),".",""))&lt;2,IFERROR(FIND(".",UPPER(TRIM($DZ898))),0)&lt;IFERROR(FIND("E",UPPER(TRIM($DZ898))),999)),ISNUMBER(VALUE(TRIM($DZ898)))),VALUE(TRIM($DZ898)),"")))),""))</f>
        <v/>
      </c>
      <c r="EB898">
        <f>IF($DM898=0,"",IF($L$18=0,"",IFERROR(IF(UPPER(TRIM(SUBSTITUTE(SUBSTITUTE(SUBSTITUTE(SUBSTITUTE(INDEX(PASTE_ALL,$DF898,$L$18)," "," "),CHAR(9)," "),CHAR(10)," "),CHAR(13)," ")))="READY","Ready",IF(UPPER(TRIM(SUBSTITUTE(SUBSTITUTE(SUBSTITUTE(SUBSTITUTE(INDEX(PASTE_ALL,$DF898,$L$18)," "," "),CHAR(9)," "),CHAR(10)," "),CHAR(13)," ")))="PM","PM",IF(OR(UPPER(TRIM(SUBSTITUTE(SUBSTITUTE(SUBSTITUTE(SUBSTITUTE(INDEX(PASTE_ALL,$DF898,$L$18)," "," "),CHAR(9)," "),CHAR(10)," "),CHAR(13)," ")))="OT",UPPER(TRIM(SUBSTITUTE(SUBSTITUTE(SUBSTITUTE(SUBSTITUTE(INDEX(PASTE_ALL,$DF898,$L$18)," "," "),CHAR(9)," "),CHAR(10)," "),CHAR(13)," ")))="OVERTIME",UPPER(TRIM(SUBSTITUTE(SUBSTITUTE(SUBSTITUTE(SUBSTITUTE(INDEX(PASTE_ALL,$DF898,$L$18)," "," "),CHAR(9)," "),CHAR(10)," "),CHAR(13)," ")))="TRIAL"),"OT",TRIM(SUBSTITUTE(SUBSTITUTE(SUBSTITUTE(SUBSTITUTE(INDEX(PASTE_ALL,$DF898,$L$18)," "," "),CHAR(9)," "),CHAR(10)," "),CHAR(13)," "))))),"")))</f>
        <v/>
      </c>
      <c r="EC898">
        <f>IF($DM898=0,"",IF($L$19=0,"",IFERROR(IF(ISNUMBER(INDEX(PASTE_ALL,$DF898,$L$19)),INDEX(PASTE_ALL,$DF898,$L$19),TRIM(SUBSTITUTE(SUBSTITUTE(SUBSTITUTE(SUBSTITUTE(INDEX(PASTE_ALL,$DF898,$L$19)," "," "),CHAR(9)," "),CHAR(10)," "),CHAR(13)," "))),"")))</f>
        <v/>
      </c>
      <c r="ED898">
        <f>IF($DM898=0,"",MATCH(1,INDEX(EXACT($DH$5:DH898,$DH898)*$DM$5:DM898,0),0))</f>
        <v/>
      </c>
      <c r="EE898">
        <f>IF($DM898=0,0,IF($ED898=$DE898,1,0))</f>
        <v/>
      </c>
      <c r="EF898">
        <f>EF897+$EE898</f>
        <v/>
      </c>
      <c r="EG898">
        <f>IF($DM898=0,"",INDEX($EF$5:$EF$1003,$ED898))</f>
        <v/>
      </c>
      <c r="EH898">
        <f>IF($DM898=0,"",IF($DO898&lt;&gt;"","",IFERROR(LOOKUP(2,1/(($EG$4:EG897=$EG898)*($DO$4:DO897&lt;&gt;"")),$DO$4:DO897),"")))</f>
        <v/>
      </c>
      <c r="EI898">
        <f>IF($DM898=0,"",IF($DO898&lt;&gt;"",$DO898,$EH898))</f>
        <v/>
      </c>
      <c r="EJ898">
        <f>IF($DM898=0,"",IF($EI898="",0,IF(OR(ISNUMBER($EI898),AND(AND(SUBSTITUTE(SUBSTITUTE(SUBSTITUTE(SUBSTITUTE(SUBSTITUTE(SUBSTITUTE(SUBSTITUTE(SUBSTITUTE(SUBSTITUTE(SUBSTITUTE(SUBSTITUTE(SUBSTITUTE(SUBSTITUTE(SUBSTITUTE(UPPER($EI898),"0",""),"1",""),"2",""),"3",""),"4",""),"5",""),"6",""),"7",""),"8",""),"9",""),".",""),"+",""),"-",""),"E","")="",LEN(SUBSTITUTE(SUBSTITUTE(MID(UPPER($EI898),1+OR(LEFT(UPPER($EI898),1)="+",LEFT(UPPER($EI898),1)="-"),999),"E+","E"),"E-","E"))=LEN(SUBSTITUTE(SUBSTITUTE(SUBSTITUTE(SUBSTITUTE(MID(UPPER($EI898),1+OR(LEFT(UPPER($EI898),1)="+",LEFT(UPPER($EI898),1)="-"),999),"E+","E"),"E-","E"),"+",""),"-","")),LEN(UPPER($EI898))-LEN(SUBSTITUTE(UPPER($EI898),"E",""))&lt;2,LEN(UPPER($EI898))-LEN(SUBSTITUTE(UPPER($EI898),".",""))&lt;2,IFERROR(FIND(".",UPPER($EI898)),0)&lt;IFERROR(FIND("E",UPPER($EI898)),999)),ISNUMBER(VALUE($EI898)))),1,2)))</f>
        <v/>
      </c>
      <c r="EK898">
        <f>IF($DM898=0,"",IF($EJ898=1,IF(ISNUMBER($EI898),$EI898,VALUE($EI898)),IF($EJ898=2,$DE898,0)))</f>
        <v/>
      </c>
      <c r="EL898">
        <f>IF($DM898=0,"",COUNTIF($EG$5:$EG$1003,"&lt;"&amp;$EG898)+SUMPRODUCT(($EG$5:$EG$1003=$EG898)*(($EJ$5:$EJ$1003&lt;$EJ898)+($EJ$5:$EJ$1003=$EJ898)*(($EK$5:$EK$1003&lt;$EK898)+($EK$5:$EK$1003=$EK898)*($DE$5:$DE$1003&lt;$DE898))))+1)</f>
        <v/>
      </c>
      <c r="EM898">
        <f>IF($DM898=0,"",$EL898+$EG898-1)</f>
        <v/>
      </c>
      <c r="EN898">
        <f>IF($DM898=0,0,IFERROR(MATCH(1,INDEX(--(TRIM(SUBSTITUTE(SUBSTITUTE(SUBSTITUTE(SUBSTITUTE(LINES_NAME&amp;""," "," "),CHAR(9)," "),CHAR(10)," "),CHAR(13)," "))=$DH898),0),0),0))</f>
        <v/>
      </c>
      <c r="EO898">
        <f>IF($EN898=0,0,IF(OR(UPPER(TRIM(INDEX(LINES_SCHEDULED,$EN898)&amp;""))="YES",UPPER(TRIM(INDEX(LINES_SCHEDULED,$EN898)&amp;""))="Y",UPPER(TRIM(INDEX(LINES_SCHEDULED,$EN898)&amp;""))="X"),1,0))</f>
        <v/>
      </c>
      <c r="EP898">
        <f>IF($DM898=0,"",IF(COUNTIFS($EG$5:$EG$1003,$EG898,$EB$5:$EB$1003,"Ready")&gt;0,"READY",IF(COUNTIFS($EG$5:$EG$1003,$EG898,$EB$5:$EB$1003,"PM")&gt;0,"PM",IF(COUNTIFS($EG$5:$EG$1003,$EG898,$EB$5:$EB$1003,"OT")&gt;0,"OT",""))))</f>
        <v/>
      </c>
      <c r="EQ898">
        <f>IF($EN898=0,"",UPPER(TRIM(INDEX(LINES_STATUS,$EN898)&amp;"")))</f>
        <v/>
      </c>
      <c r="ER898">
        <f>IF($DM898=0,"",IF(OR($EQ898="READY",$EQ898="PM",$EQ898="OT"),$EQ898,$EP898))</f>
        <v/>
      </c>
      <c r="ES898">
        <f>IF($DM898=0,"",IF(AND($DV898&lt;&gt;"",UPPER($DV898)&lt;&gt;"N"),"allergen",IF(ISNUMBER(SEARCH("oil",$DQ898)),"oil",IF(OR(EXACT($DS898,"A662"),EXACT($DS898,"A624")),"bulk",""))))</f>
        <v/>
      </c>
      <c r="ET898">
        <f>IF($DM898=0,"",IF(OR($EA898="",$EA898=0),"",$EA898/100))</f>
        <v/>
      </c>
      <c r="EU898">
        <f>IF(OR($ET898="",$DY898=""),"",INT($DY898*(1-$ET898)+0.5))</f>
        <v/>
      </c>
    </row>
    <row r="899">
      <c r="DA899" t="n">
        <v>895</v>
      </c>
      <c r="DB899">
        <f>IF($B$37=0,"",IFERROR(TRIM(SUBSTITUTE(SUBSTITUTE(SUBSTITUTE(SUBSTITUTE(INDEX(PASTE_ALL,895,$B$37)," "," "),CHAR(9)," "),CHAR(10)," "),CHAR(13)," ")),""))</f>
        <v/>
      </c>
      <c r="DC899">
        <f>IF(AND(895&gt;HEADER_ROW,UPPER(DB899)="LEGEND"),1,0)</f>
        <v/>
      </c>
      <c r="DE899" t="n">
        <v>895</v>
      </c>
      <c r="DF899">
        <f>HEADER_ROW+$DE899</f>
        <v/>
      </c>
      <c r="DG899">
        <f>IF(AND($DF899&lt;=1000,$DF899&lt;$B$8),1,0)</f>
        <v/>
      </c>
      <c r="DH899">
        <f>IF($DG899=1,IFERROR(INDEX($DB$5:$DB$1004,$DF899),""),"")</f>
        <v/>
      </c>
      <c r="DI899">
        <f>IF(AND($DG899=1,$DH899&lt;&gt;""),IFERROR(SUBSTITUTE(SUBSTITUTE(TRIM(SUBSTITUTE(SUBSTITUTE(SUBSTITUTE(SUBSTITUTE(IFERROR(INDEX(PASTE_ALL,$DF899,1)&amp;"","")&amp;"␟"&amp;IFERROR(INDEX(PASTE_ALL,$DF899,2)&amp;"","")&amp;"␟"&amp;IFERROR(INDEX(PASTE_ALL,$DF899,3)&amp;"","")&amp;"␟"&amp;IFERROR(INDEX(PASTE_ALL,$DF899,4)&amp;"","")&amp;"␟"&amp;IFERROR(INDEX(PASTE_ALL,$DF899,5)&amp;"","")&amp;"␟"&amp;IFERROR(INDEX(PASTE_ALL,$DF899,6)&amp;"","")&amp;"␟"&amp;IFERROR(INDEX(PASTE_ALL,$DF899,7)&amp;"","")&amp;"␟"&amp;IFERROR(INDEX(PASTE_ALL,$DF899,8)&amp;"","")&amp;"␟"&amp;IFERROR(INDEX(PASTE_ALL,$DF899,9)&amp;"","")&amp;"␟"&amp;IFERROR(INDEX(PASTE_ALL,$DF899,10)&amp;"","")&amp;"␟"&amp;IFERROR(INDEX(PASTE_ALL,$DF899,11)&amp;"","")&amp;"␟"&amp;IFERROR(INDEX(PASTE_ALL,$DF899,12)&amp;"","")&amp;"␟"&amp;IFERROR(INDEX(PASTE_ALL,$DF899,13)&amp;"","")&amp;"␟"&amp;IFERROR(INDEX(PASTE_ALL,$DF899,14)&amp;"","")&amp;"␟"&amp;IFERROR(INDEX(PASTE_ALL,$DF899,15)&amp;"","")&amp;"␟"&amp;IFERROR(INDEX(PASTE_ALL,$DF899,16)&amp;"","")&amp;"␟"&amp;IFERROR(INDEX(PASTE_ALL,$DF899,17)&amp;"","")&amp;"␟"&amp;IFERROR(INDEX(PASTE_ALL,$DF899,18)&amp;"","")&amp;"␟"&amp;IFERROR(INDEX(PASTE_ALL,$DF899,19)&amp;"","")&amp;"␟"&amp;IFERROR(INDEX(PASTE_ALL,$DF899,20)&amp;"","")&amp;"␟"&amp;IFERROR(INDEX(PASTE_ALL,$DF899,21)&amp;"","")&amp;"␟"&amp;IFERROR(INDEX(PASTE_ALL,$DF899,22)&amp;"","")&amp;"␟"&amp;IFERROR(INDEX(PASTE_ALL,$DF899,23)&amp;"","")&amp;"␟"&amp;IFERROR(INDEX(PASTE_ALL,$DF899,24)&amp;"","")&amp;"␟"&amp;IFERROR(INDEX(PASTE_ALL,$DF899,25)&amp;"","")&amp;"␟"&amp;IFERROR(INDEX(PASTE_ALL,$DF899,26)&amp;"","")&amp;"␟"&amp;IFERROR(INDEX(PASTE_ALL,$DF899,27)&amp;"","")&amp;"␟"&amp;IFERROR(INDEX(PASTE_ALL,$DF899,28)&amp;"","")&amp;"␟"&amp;IFERROR(INDEX(PASTE_ALL,$DF899,29)&amp;"","")&amp;"␟"&amp;IFERROR(INDEX(PASTE_ALL,$DF899,30)&amp;"","")&amp;"␟"&amp;IFERROR(INDEX(PASTE_ALL,$DF899,31)&amp;"","")&amp;"␟"&amp;IFERROR(INDEX(PASTE_ALL,$DF899,32)&amp;"","")&amp;"␟"&amp;IFERROR(INDEX(PASTE_ALL,$DF899,33)&amp;"","")&amp;"␟"&amp;IFERROR(INDEX(PASTE_ALL,$DF899,34)&amp;"","")&amp;"␟"&amp;IFERROR(INDEX(PASTE_ALL,$DF899,35)&amp;"","")&amp;"␟"&amp;IFERROR(INDEX(PASTE_ALL,$DF899,36)&amp;"","")&amp;"␟"&amp;IFERROR(INDEX(PASTE_ALL,$DF899,37)&amp;"","")&amp;"␟"&amp;IFERROR(INDEX(PASTE_ALL,$DF899,38)&amp;"","")&amp;"␟"&amp;IFERROR(INDEX(PASTE_ALL,$DF899,39)&amp;"","")&amp;"␟"&amp;IFERROR(INDEX(PASTE_ALL,$DF899,40)&amp;"","")&amp;"␟"&amp;IFERROR(INDEX(PASTE_ALL,$DF899,41)&amp;"","")&amp;"␟"&amp;IFERROR(INDEX(PASTE_ALL,$DF899,42)&amp;"","")&amp;"␟"&amp;IFERROR(INDEX(PASTE_ALL,$DF899,43)&amp;"","")&amp;"␟"&amp;IFERROR(INDEX(PASTE_ALL,$DF899,44)&amp;"","")&amp;"␟"&amp;IFERROR(INDEX(PASTE_ALL,$DF899,45)&amp;"","")&amp;"␟"&amp;IFERROR(INDEX(PASTE_ALL,$DF899,46)&amp;"","")&amp;"␟"&amp;IFERROR(INDEX(PASTE_ALL,$DF899,47)&amp;"","")&amp;"␟"&amp;IFERROR(INDEX(PASTE_ALL,$DF899,48)&amp;"","")&amp;"␟"&amp;IFERROR(INDEX(PASTE_ALL,$DF899,49)&amp;"","")&amp;"␟"&amp;IFERROR(INDEX(PASTE_ALL,$DF899,50)&amp;"","")&amp;"␟"&amp;IFERROR(INDEX(PASTE_ALL,$DF899,51)&amp;"","")&amp;"␟"&amp;IFERROR(INDEX(PASTE_ALL,$DF899,52)&amp;"","")&amp;"␟"&amp;IFERROR(INDEX(PASTE_ALL,$DF899,53)&amp;"","")&amp;"␟"&amp;IFERROR(INDEX(PASTE_ALL,$DF899,54)&amp;"","")&amp;"␟"&amp;IFERROR(INDEX(PASTE_ALL,$DF899,55)&amp;"","")&amp;"␟"&amp;IFERROR(INDEX(PASTE_ALL,$DF899,56)&amp;"","")&amp;"␟"&amp;IFERROR(INDEX(PASTE_ALL,$DF899,57)&amp;"","")&amp;"␟"&amp;IFERROR(INDEX(PASTE_ALL,$DF899,58)&amp;"","")&amp;"␟"&amp;IFERROR(INDEX(PASTE_ALL,$DF899,59)&amp;"","")&amp;"␟"&amp;IFERROR(INDEX(PASTE_ALL,$DF899,60)&amp;"","")," "," "),CHAR(9)," "),CHAR(10)," "),CHAR(13)," "))," ␟","␟"),"␟ ","␟"),"#"&amp;$DE899),"")</f>
        <v/>
      </c>
      <c r="DJ899">
        <f>IF($DI899="",0,IF(SUMPRODUCT(--EXACT($DI$4:DI898,$DI899))&gt;0,1,0))</f>
        <v/>
      </c>
      <c r="DK899">
        <f>IF(AND($DI899&lt;&gt;"",$DJ899=0),1,0)</f>
        <v/>
      </c>
      <c r="DL899">
        <f>DL898+$DK899</f>
        <v/>
      </c>
      <c r="DM899">
        <f>IF(AND($DK899=1,$DL899&lt;=600),1,0)</f>
        <v/>
      </c>
      <c r="DN899">
        <f>IF($DM899=0,"",IF($L$6=0,"",IFERROR(IF(ISNUMBER(INDEX(PASTE_ALL,$DF899,$L$6)),INDEX(PASTE_ALL,$DF899,$L$6),TRIM(SUBSTITUTE(SUBSTITUTE(SUBSTITUTE(SUBSTITUTE(INDEX(PASTE_ALL,$DF899,$L$6)," "," "),CHAR(9)," "),CHAR(10)," "),CHAR(13)," "))),"")))</f>
        <v/>
      </c>
      <c r="DO899">
        <f>IF($DM899=0,"",IF($L$7=0,"",IFERROR(IF(ISNUMBER(INDEX(PASTE_ALL,$DF899,$L$7)),INDEX(PASTE_ALL,$DF899,$L$7),TRIM(SUBSTITUTE(SUBSTITUTE(SUBSTITUTE(SUBSTITUTE(INDEX(PASTE_ALL,$DF899,$L$7)," "," "),CHAR(9)," "),CHAR(10)," "),CHAR(13)," "))),"")))</f>
        <v/>
      </c>
      <c r="DP899">
        <f>IF($DM899=0,"",IF($L$8=0,"",IFERROR(IF(ISNUMBER(INDEX(PASTE_ALL,$DF899,$L$8)),INDEX(PASTE_ALL,$DF899,$L$8),TRIM(SUBSTITUTE(SUBSTITUTE(SUBSTITUTE(SUBSTITUTE(INDEX(PASTE_ALL,$DF899,$L$8)," "," "),CHAR(9)," "),CHAR(10)," "),CHAR(13)," "))),"")))</f>
        <v/>
      </c>
      <c r="DQ899">
        <f>IF($DM899=0,"",IF($L$9=0,"",IFERROR(IF(ISNUMBER(INDEX(PASTE_ALL,$DF899,$L$9)),INDEX(PASTE_ALL,$DF899,$L$9),TRIM(SUBSTITUTE(SUBSTITUTE(SUBSTITUTE(SUBSTITUTE(INDEX(PASTE_ALL,$DF899,$L$9)," "," "),CHAR(9)," "),CHAR(10)," "),CHAR(13)," "))),"")))</f>
        <v/>
      </c>
      <c r="DR899">
        <f>IF($DM899=0,"",IF($L$10=0,"",IFERROR(IF(ISNUMBER(INDEX(PASTE_ALL,$DF899,$L$10)),INDEX(PASTE_ALL,$DF899,$L$10),TRIM(SUBSTITUTE(SUBSTITUTE(SUBSTITUTE(SUBSTITUTE(INDEX(PASTE_ALL,$DF899,$L$10)," "," "),CHAR(9)," "),CHAR(10)," "),CHAR(13)," "))),"")))</f>
        <v/>
      </c>
      <c r="DS899">
        <f>IF($DM899=0,"",IF($L$11=0,"",IFERROR(IF(ISNUMBER(INDEX(PASTE_ALL,$DF899,$L$11)),INDEX(PASTE_ALL,$DF899,$L$11),TRIM(SUBSTITUTE(SUBSTITUTE(SUBSTITUTE(SUBSTITUTE(INDEX(PASTE_ALL,$DF899,$L$11)," "," "),CHAR(9)," "),CHAR(10)," "),CHAR(13)," "))),"")))</f>
        <v/>
      </c>
      <c r="DT899">
        <f>IF($DM899=0,"",IF($L$12=0,"",IFERROR(IF(ISNUMBER(INDEX(PASTE_ALL,$DF899,$L$12)),INDEX(PASTE_ALL,$DF899,$L$12),TRIM(SUBSTITUTE(SUBSTITUTE(SUBSTITUTE(SUBSTITUTE(INDEX(PASTE_ALL,$DF899,$L$12)," "," "),CHAR(9)," "),CHAR(10)," "),CHAR(13)," "))),"")))</f>
        <v/>
      </c>
      <c r="DU899">
        <f>IF($DM899=0,"",IF($L$13=0,"",IFERROR(IF(ISNUMBER(INDEX(PASTE_ALL,$DF899,$L$13)),INDEX(PASTE_ALL,$DF899,$L$13),TRIM(SUBSTITUTE(SUBSTITUTE(SUBSTITUTE(SUBSTITUTE(INDEX(PASTE_ALL,$DF899,$L$13)," "," "),CHAR(9)," "),CHAR(10)," "),CHAR(13)," "))),"")))</f>
        <v/>
      </c>
      <c r="DV899">
        <f>IF($DM899=0,"",IF($L$14=0,"",IFERROR(IF(ISNUMBER(INDEX(PASTE_ALL,$DF899,$L$14)),INDEX(PASTE_ALL,$DF899,$L$14),TRIM(SUBSTITUTE(SUBSTITUTE(SUBSTITUTE(SUBSTITUTE(INDEX(PASTE_ALL,$DF899,$L$14)," "," "),CHAR(9)," "),CHAR(10)," "),CHAR(13)," "))),"")))</f>
        <v/>
      </c>
      <c r="DW899">
        <f>IF($DM899=0,"",IF($L$15=0,"",IFERROR(IF(ISNUMBER(INDEX(PASTE_ALL,$DF899,$L$15)),INDEX(PASTE_ALL,$DF899,$L$15),IF(SUMPRODUCT(--ISNUMBER(FIND({"A","B","C","D","E","F","G","H","I","J","K","L","M","N","O","P","Q","R","S","T","U","V","W","X","Y","Z","0","1","2","3","4","5","6","7","8","9"},UPPER(TRIM(SUBSTITUTE(SUBSTITUTE(SUBSTITUTE(SUBSTITUTE(INDEX(PASTE_ALL,$DF899,$L$15)," "," "),CHAR(9)," "),CHAR(10)," "),CHAR(13)," "))))))&gt;0,TRIM(SUBSTITUTE(SUBSTITUTE(SUBSTITUTE(SUBSTITUTE(INDEX(PASTE_ALL,$DF899,$L$15)," "," "),CHAR(9)," "),CHAR(10)," "),CHAR(13)," ")),"")),"")))</f>
        <v/>
      </c>
      <c r="DX899">
        <f>IF($DM899=0,"",IF($L$16=0,"",IFERROR(IF(ISNUMBER(INDEX(PASTE_ALL,$DF899,$L$16)),INDEX(PASTE_ALL,$DF899,$L$16),SUBSTITUTE(SUBSTITUTE(TRIM(SUBSTITUTE(SUBSTITUTE(SUBSTITUTE(SUBSTITUTE(INDEX(PASTE_ALL,$DF899,$L$16)," "," "),CHAR(9)," "),CHAR(10)," "),CHAR(13)," ")),",",""),"%","")),"")))</f>
        <v/>
      </c>
      <c r="DY899">
        <f>IF($DM899=0,"",IFERROR(IF(ISNUMBER($DX899),$DX899,IF($DX899="","",IF(TRIM($DX899)="",0,IF(AND(AND(SUBSTITUTE(SUBSTITUTE(SUBSTITUTE(SUBSTITUTE(SUBSTITUTE(SUBSTITUTE(SUBSTITUTE(SUBSTITUTE(SUBSTITUTE(SUBSTITUTE(SUBSTITUTE(SUBSTITUTE(SUBSTITUTE(SUBSTITUTE(UPPER(TRIM($DX899)),"0",""),"1",""),"2",""),"3",""),"4",""),"5",""),"6",""),"7",""),"8",""),"9",""),".",""),"+",""),"-",""),"E","")="",LEN(SUBSTITUTE(SUBSTITUTE(MID(UPPER(TRIM($DX899)),1+OR(LEFT(UPPER(TRIM($DX899)),1)="+",LEFT(UPPER(TRIM($DX899)),1)="-"),999),"E+","E"),"E-","E"))=LEN(SUBSTITUTE(SUBSTITUTE(SUBSTITUTE(SUBSTITUTE(MID(UPPER(TRIM($DX899)),1+OR(LEFT(UPPER(TRIM($DX899)),1)="+",LEFT(UPPER(TRIM($DX899)),1)="-"),999),"E+","E"),"E-","E"),"+",""),"-","")),LEN(UPPER(TRIM($DX899)))-LEN(SUBSTITUTE(UPPER(TRIM($DX899)),"E",""))&lt;2,LEN(UPPER(TRIM($DX899)))-LEN(SUBSTITUTE(UPPER(TRIM($DX899)),".",""))&lt;2,IFERROR(FIND(".",UPPER(TRIM($DX899))),0)&lt;IFERROR(FIND("E",UPPER(TRIM($DX899))),999)),ISNUMBER(VALUE(TRIM($DX899)))),VALUE(TRIM($DX899)),"")))),""))</f>
        <v/>
      </c>
      <c r="DZ899">
        <f>IF($DM899=0,"",IF($L$17=0,"",IFERROR(IF(ISNUMBER(INDEX(PASTE_ALL,$DF899,$L$17)),INDEX(PASTE_ALL,$DF899,$L$17),SUBSTITUTE(SUBSTITUTE(TRIM(SUBSTITUTE(SUBSTITUTE(SUBSTITUTE(SUBSTITUTE(INDEX(PASTE_ALL,$DF899,$L$17)," "," "),CHAR(9)," "),CHAR(10)," "),CHAR(13)," ")),",",""),"%","")),"")))</f>
        <v/>
      </c>
      <c r="EA899">
        <f>IF($DM899=0,"",IFERROR(IF(ISNUMBER($DZ899),$DZ899,IF($DZ899="","",IF(TRIM($DZ899)="",0,IF(AND(AND(SUBSTITUTE(SUBSTITUTE(SUBSTITUTE(SUBSTITUTE(SUBSTITUTE(SUBSTITUTE(SUBSTITUTE(SUBSTITUTE(SUBSTITUTE(SUBSTITUTE(SUBSTITUTE(SUBSTITUTE(SUBSTITUTE(SUBSTITUTE(UPPER(TRIM($DZ899)),"0",""),"1",""),"2",""),"3",""),"4",""),"5",""),"6",""),"7",""),"8",""),"9",""),".",""),"+",""),"-",""),"E","")="",LEN(SUBSTITUTE(SUBSTITUTE(MID(UPPER(TRIM($DZ899)),1+OR(LEFT(UPPER(TRIM($DZ899)),1)="+",LEFT(UPPER(TRIM($DZ899)),1)="-"),999),"E+","E"),"E-","E"))=LEN(SUBSTITUTE(SUBSTITUTE(SUBSTITUTE(SUBSTITUTE(MID(UPPER(TRIM($DZ899)),1+OR(LEFT(UPPER(TRIM($DZ899)),1)="+",LEFT(UPPER(TRIM($DZ899)),1)="-"),999),"E+","E"),"E-","E"),"+",""),"-","")),LEN(UPPER(TRIM($DZ899)))-LEN(SUBSTITUTE(UPPER(TRIM($DZ899)),"E",""))&lt;2,LEN(UPPER(TRIM($DZ899)))-LEN(SUBSTITUTE(UPPER(TRIM($DZ899)),".",""))&lt;2,IFERROR(FIND(".",UPPER(TRIM($DZ899))),0)&lt;IFERROR(FIND("E",UPPER(TRIM($DZ899))),999)),ISNUMBER(VALUE(TRIM($DZ899)))),VALUE(TRIM($DZ899)),"")))),""))</f>
        <v/>
      </c>
      <c r="EB899">
        <f>IF($DM899=0,"",IF($L$18=0,"",IFERROR(IF(UPPER(TRIM(SUBSTITUTE(SUBSTITUTE(SUBSTITUTE(SUBSTITUTE(INDEX(PASTE_ALL,$DF899,$L$18)," "," "),CHAR(9)," "),CHAR(10)," "),CHAR(13)," ")))="READY","Ready",IF(UPPER(TRIM(SUBSTITUTE(SUBSTITUTE(SUBSTITUTE(SUBSTITUTE(INDEX(PASTE_ALL,$DF899,$L$18)," "," "),CHAR(9)," "),CHAR(10)," "),CHAR(13)," ")))="PM","PM",IF(OR(UPPER(TRIM(SUBSTITUTE(SUBSTITUTE(SUBSTITUTE(SUBSTITUTE(INDEX(PASTE_ALL,$DF899,$L$18)," "," "),CHAR(9)," "),CHAR(10)," "),CHAR(13)," ")))="OT",UPPER(TRIM(SUBSTITUTE(SUBSTITUTE(SUBSTITUTE(SUBSTITUTE(INDEX(PASTE_ALL,$DF899,$L$18)," "," "),CHAR(9)," "),CHAR(10)," "),CHAR(13)," ")))="OVERTIME",UPPER(TRIM(SUBSTITUTE(SUBSTITUTE(SUBSTITUTE(SUBSTITUTE(INDEX(PASTE_ALL,$DF899,$L$18)," "," "),CHAR(9)," "),CHAR(10)," "),CHAR(13)," ")))="TRIAL"),"OT",TRIM(SUBSTITUTE(SUBSTITUTE(SUBSTITUTE(SUBSTITUTE(INDEX(PASTE_ALL,$DF899,$L$18)," "," "),CHAR(9)," "),CHAR(10)," "),CHAR(13)," "))))),"")))</f>
        <v/>
      </c>
      <c r="EC899">
        <f>IF($DM899=0,"",IF($L$19=0,"",IFERROR(IF(ISNUMBER(INDEX(PASTE_ALL,$DF899,$L$19)),INDEX(PASTE_ALL,$DF899,$L$19),TRIM(SUBSTITUTE(SUBSTITUTE(SUBSTITUTE(SUBSTITUTE(INDEX(PASTE_ALL,$DF899,$L$19)," "," "),CHAR(9)," "),CHAR(10)," "),CHAR(13)," "))),"")))</f>
        <v/>
      </c>
      <c r="ED899">
        <f>IF($DM899=0,"",MATCH(1,INDEX(EXACT($DH$5:DH899,$DH899)*$DM$5:DM899,0),0))</f>
        <v/>
      </c>
      <c r="EE899">
        <f>IF($DM899=0,0,IF($ED899=$DE899,1,0))</f>
        <v/>
      </c>
      <c r="EF899">
        <f>EF898+$EE899</f>
        <v/>
      </c>
      <c r="EG899">
        <f>IF($DM899=0,"",INDEX($EF$5:$EF$1003,$ED899))</f>
        <v/>
      </c>
      <c r="EH899">
        <f>IF($DM899=0,"",IF($DO899&lt;&gt;"","",IFERROR(LOOKUP(2,1/(($EG$4:EG898=$EG899)*($DO$4:DO898&lt;&gt;"")),$DO$4:DO898),"")))</f>
        <v/>
      </c>
      <c r="EI899">
        <f>IF($DM899=0,"",IF($DO899&lt;&gt;"",$DO899,$EH899))</f>
        <v/>
      </c>
      <c r="EJ899">
        <f>IF($DM899=0,"",IF($EI899="",0,IF(OR(ISNUMBER($EI899),AND(AND(SUBSTITUTE(SUBSTITUTE(SUBSTITUTE(SUBSTITUTE(SUBSTITUTE(SUBSTITUTE(SUBSTITUTE(SUBSTITUTE(SUBSTITUTE(SUBSTITUTE(SUBSTITUTE(SUBSTITUTE(SUBSTITUTE(SUBSTITUTE(UPPER($EI899),"0",""),"1",""),"2",""),"3",""),"4",""),"5",""),"6",""),"7",""),"8",""),"9",""),".",""),"+",""),"-",""),"E","")="",LEN(SUBSTITUTE(SUBSTITUTE(MID(UPPER($EI899),1+OR(LEFT(UPPER($EI899),1)="+",LEFT(UPPER($EI899),1)="-"),999),"E+","E"),"E-","E"))=LEN(SUBSTITUTE(SUBSTITUTE(SUBSTITUTE(SUBSTITUTE(MID(UPPER($EI899),1+OR(LEFT(UPPER($EI899),1)="+",LEFT(UPPER($EI899),1)="-"),999),"E+","E"),"E-","E"),"+",""),"-","")),LEN(UPPER($EI899))-LEN(SUBSTITUTE(UPPER($EI899),"E",""))&lt;2,LEN(UPPER($EI899))-LEN(SUBSTITUTE(UPPER($EI899),".",""))&lt;2,IFERROR(FIND(".",UPPER($EI899)),0)&lt;IFERROR(FIND("E",UPPER($EI899)),999)),ISNUMBER(VALUE($EI899)))),1,2)))</f>
        <v/>
      </c>
      <c r="EK899">
        <f>IF($DM899=0,"",IF($EJ899=1,IF(ISNUMBER($EI899),$EI899,VALUE($EI899)),IF($EJ899=2,$DE899,0)))</f>
        <v/>
      </c>
      <c r="EL899">
        <f>IF($DM899=0,"",COUNTIF($EG$5:$EG$1003,"&lt;"&amp;$EG899)+SUMPRODUCT(($EG$5:$EG$1003=$EG899)*(($EJ$5:$EJ$1003&lt;$EJ899)+($EJ$5:$EJ$1003=$EJ899)*(($EK$5:$EK$1003&lt;$EK899)+($EK$5:$EK$1003=$EK899)*($DE$5:$DE$1003&lt;$DE899))))+1)</f>
        <v/>
      </c>
      <c r="EM899">
        <f>IF($DM899=0,"",$EL899+$EG899-1)</f>
        <v/>
      </c>
      <c r="EN899">
        <f>IF($DM899=0,0,IFERROR(MATCH(1,INDEX(--(TRIM(SUBSTITUTE(SUBSTITUTE(SUBSTITUTE(SUBSTITUTE(LINES_NAME&amp;""," "," "),CHAR(9)," "),CHAR(10)," "),CHAR(13)," "))=$DH899),0),0),0))</f>
        <v/>
      </c>
      <c r="EO899">
        <f>IF($EN899=0,0,IF(OR(UPPER(TRIM(INDEX(LINES_SCHEDULED,$EN899)&amp;""))="YES",UPPER(TRIM(INDEX(LINES_SCHEDULED,$EN899)&amp;""))="Y",UPPER(TRIM(INDEX(LINES_SCHEDULED,$EN899)&amp;""))="X"),1,0))</f>
        <v/>
      </c>
      <c r="EP899">
        <f>IF($DM899=0,"",IF(COUNTIFS($EG$5:$EG$1003,$EG899,$EB$5:$EB$1003,"Ready")&gt;0,"READY",IF(COUNTIFS($EG$5:$EG$1003,$EG899,$EB$5:$EB$1003,"PM")&gt;0,"PM",IF(COUNTIFS($EG$5:$EG$1003,$EG899,$EB$5:$EB$1003,"OT")&gt;0,"OT",""))))</f>
        <v/>
      </c>
      <c r="EQ899">
        <f>IF($EN899=0,"",UPPER(TRIM(INDEX(LINES_STATUS,$EN899)&amp;"")))</f>
        <v/>
      </c>
      <c r="ER899">
        <f>IF($DM899=0,"",IF(OR($EQ899="READY",$EQ899="PM",$EQ899="OT"),$EQ899,$EP899))</f>
        <v/>
      </c>
      <c r="ES899">
        <f>IF($DM899=0,"",IF(AND($DV899&lt;&gt;"",UPPER($DV899)&lt;&gt;"N"),"allergen",IF(ISNUMBER(SEARCH("oil",$DQ899)),"oil",IF(OR(EXACT($DS899,"A662"),EXACT($DS899,"A624")),"bulk",""))))</f>
        <v/>
      </c>
      <c r="ET899">
        <f>IF($DM899=0,"",IF(OR($EA899="",$EA899=0),"",$EA899/100))</f>
        <v/>
      </c>
      <c r="EU899">
        <f>IF(OR($ET899="",$DY899=""),"",INT($DY899*(1-$ET899)+0.5))</f>
        <v/>
      </c>
    </row>
    <row r="900">
      <c r="DA900" t="n">
        <v>896</v>
      </c>
      <c r="DB900">
        <f>IF($B$37=0,"",IFERROR(TRIM(SUBSTITUTE(SUBSTITUTE(SUBSTITUTE(SUBSTITUTE(INDEX(PASTE_ALL,896,$B$37)," "," "),CHAR(9)," "),CHAR(10)," "),CHAR(13)," ")),""))</f>
        <v/>
      </c>
      <c r="DC900">
        <f>IF(AND(896&gt;HEADER_ROW,UPPER(DB900)="LEGEND"),1,0)</f>
        <v/>
      </c>
      <c r="DE900" t="n">
        <v>896</v>
      </c>
      <c r="DF900">
        <f>HEADER_ROW+$DE900</f>
        <v/>
      </c>
      <c r="DG900">
        <f>IF(AND($DF900&lt;=1000,$DF900&lt;$B$8),1,0)</f>
        <v/>
      </c>
      <c r="DH900">
        <f>IF($DG900=1,IFERROR(INDEX($DB$5:$DB$1004,$DF900),""),"")</f>
        <v/>
      </c>
      <c r="DI900">
        <f>IF(AND($DG900=1,$DH900&lt;&gt;""),IFERROR(SUBSTITUTE(SUBSTITUTE(TRIM(SUBSTITUTE(SUBSTITUTE(SUBSTITUTE(SUBSTITUTE(IFERROR(INDEX(PASTE_ALL,$DF900,1)&amp;"","")&amp;"␟"&amp;IFERROR(INDEX(PASTE_ALL,$DF900,2)&amp;"","")&amp;"␟"&amp;IFERROR(INDEX(PASTE_ALL,$DF900,3)&amp;"","")&amp;"␟"&amp;IFERROR(INDEX(PASTE_ALL,$DF900,4)&amp;"","")&amp;"␟"&amp;IFERROR(INDEX(PASTE_ALL,$DF900,5)&amp;"","")&amp;"␟"&amp;IFERROR(INDEX(PASTE_ALL,$DF900,6)&amp;"","")&amp;"␟"&amp;IFERROR(INDEX(PASTE_ALL,$DF900,7)&amp;"","")&amp;"␟"&amp;IFERROR(INDEX(PASTE_ALL,$DF900,8)&amp;"","")&amp;"␟"&amp;IFERROR(INDEX(PASTE_ALL,$DF900,9)&amp;"","")&amp;"␟"&amp;IFERROR(INDEX(PASTE_ALL,$DF900,10)&amp;"","")&amp;"␟"&amp;IFERROR(INDEX(PASTE_ALL,$DF900,11)&amp;"","")&amp;"␟"&amp;IFERROR(INDEX(PASTE_ALL,$DF900,12)&amp;"","")&amp;"␟"&amp;IFERROR(INDEX(PASTE_ALL,$DF900,13)&amp;"","")&amp;"␟"&amp;IFERROR(INDEX(PASTE_ALL,$DF900,14)&amp;"","")&amp;"␟"&amp;IFERROR(INDEX(PASTE_ALL,$DF900,15)&amp;"","")&amp;"␟"&amp;IFERROR(INDEX(PASTE_ALL,$DF900,16)&amp;"","")&amp;"␟"&amp;IFERROR(INDEX(PASTE_ALL,$DF900,17)&amp;"","")&amp;"␟"&amp;IFERROR(INDEX(PASTE_ALL,$DF900,18)&amp;"","")&amp;"␟"&amp;IFERROR(INDEX(PASTE_ALL,$DF900,19)&amp;"","")&amp;"␟"&amp;IFERROR(INDEX(PASTE_ALL,$DF900,20)&amp;"","")&amp;"␟"&amp;IFERROR(INDEX(PASTE_ALL,$DF900,21)&amp;"","")&amp;"␟"&amp;IFERROR(INDEX(PASTE_ALL,$DF900,22)&amp;"","")&amp;"␟"&amp;IFERROR(INDEX(PASTE_ALL,$DF900,23)&amp;"","")&amp;"␟"&amp;IFERROR(INDEX(PASTE_ALL,$DF900,24)&amp;"","")&amp;"␟"&amp;IFERROR(INDEX(PASTE_ALL,$DF900,25)&amp;"","")&amp;"␟"&amp;IFERROR(INDEX(PASTE_ALL,$DF900,26)&amp;"","")&amp;"␟"&amp;IFERROR(INDEX(PASTE_ALL,$DF900,27)&amp;"","")&amp;"␟"&amp;IFERROR(INDEX(PASTE_ALL,$DF900,28)&amp;"","")&amp;"␟"&amp;IFERROR(INDEX(PASTE_ALL,$DF900,29)&amp;"","")&amp;"␟"&amp;IFERROR(INDEX(PASTE_ALL,$DF900,30)&amp;"","")&amp;"␟"&amp;IFERROR(INDEX(PASTE_ALL,$DF900,31)&amp;"","")&amp;"␟"&amp;IFERROR(INDEX(PASTE_ALL,$DF900,32)&amp;"","")&amp;"␟"&amp;IFERROR(INDEX(PASTE_ALL,$DF900,33)&amp;"","")&amp;"␟"&amp;IFERROR(INDEX(PASTE_ALL,$DF900,34)&amp;"","")&amp;"␟"&amp;IFERROR(INDEX(PASTE_ALL,$DF900,35)&amp;"","")&amp;"␟"&amp;IFERROR(INDEX(PASTE_ALL,$DF900,36)&amp;"","")&amp;"␟"&amp;IFERROR(INDEX(PASTE_ALL,$DF900,37)&amp;"","")&amp;"␟"&amp;IFERROR(INDEX(PASTE_ALL,$DF900,38)&amp;"","")&amp;"␟"&amp;IFERROR(INDEX(PASTE_ALL,$DF900,39)&amp;"","")&amp;"␟"&amp;IFERROR(INDEX(PASTE_ALL,$DF900,40)&amp;"","")&amp;"␟"&amp;IFERROR(INDEX(PASTE_ALL,$DF900,41)&amp;"","")&amp;"␟"&amp;IFERROR(INDEX(PASTE_ALL,$DF900,42)&amp;"","")&amp;"␟"&amp;IFERROR(INDEX(PASTE_ALL,$DF900,43)&amp;"","")&amp;"␟"&amp;IFERROR(INDEX(PASTE_ALL,$DF900,44)&amp;"","")&amp;"␟"&amp;IFERROR(INDEX(PASTE_ALL,$DF900,45)&amp;"","")&amp;"␟"&amp;IFERROR(INDEX(PASTE_ALL,$DF900,46)&amp;"","")&amp;"␟"&amp;IFERROR(INDEX(PASTE_ALL,$DF900,47)&amp;"","")&amp;"␟"&amp;IFERROR(INDEX(PASTE_ALL,$DF900,48)&amp;"","")&amp;"␟"&amp;IFERROR(INDEX(PASTE_ALL,$DF900,49)&amp;"","")&amp;"␟"&amp;IFERROR(INDEX(PASTE_ALL,$DF900,50)&amp;"","")&amp;"␟"&amp;IFERROR(INDEX(PASTE_ALL,$DF900,51)&amp;"","")&amp;"␟"&amp;IFERROR(INDEX(PASTE_ALL,$DF900,52)&amp;"","")&amp;"␟"&amp;IFERROR(INDEX(PASTE_ALL,$DF900,53)&amp;"","")&amp;"␟"&amp;IFERROR(INDEX(PASTE_ALL,$DF900,54)&amp;"","")&amp;"␟"&amp;IFERROR(INDEX(PASTE_ALL,$DF900,55)&amp;"","")&amp;"␟"&amp;IFERROR(INDEX(PASTE_ALL,$DF900,56)&amp;"","")&amp;"␟"&amp;IFERROR(INDEX(PASTE_ALL,$DF900,57)&amp;"","")&amp;"␟"&amp;IFERROR(INDEX(PASTE_ALL,$DF900,58)&amp;"","")&amp;"␟"&amp;IFERROR(INDEX(PASTE_ALL,$DF900,59)&amp;"","")&amp;"␟"&amp;IFERROR(INDEX(PASTE_ALL,$DF900,60)&amp;"","")," "," "),CHAR(9)," "),CHAR(10)," "),CHAR(13)," "))," ␟","␟"),"␟ ","␟"),"#"&amp;$DE900),"")</f>
        <v/>
      </c>
      <c r="DJ900">
        <f>IF($DI900="",0,IF(SUMPRODUCT(--EXACT($DI$4:DI899,$DI900))&gt;0,1,0))</f>
        <v/>
      </c>
      <c r="DK900">
        <f>IF(AND($DI900&lt;&gt;"",$DJ900=0),1,0)</f>
        <v/>
      </c>
      <c r="DL900">
        <f>DL899+$DK900</f>
        <v/>
      </c>
      <c r="DM900">
        <f>IF(AND($DK900=1,$DL900&lt;=600),1,0)</f>
        <v/>
      </c>
      <c r="DN900">
        <f>IF($DM900=0,"",IF($L$6=0,"",IFERROR(IF(ISNUMBER(INDEX(PASTE_ALL,$DF900,$L$6)),INDEX(PASTE_ALL,$DF900,$L$6),TRIM(SUBSTITUTE(SUBSTITUTE(SUBSTITUTE(SUBSTITUTE(INDEX(PASTE_ALL,$DF900,$L$6)," "," "),CHAR(9)," "),CHAR(10)," "),CHAR(13)," "))),"")))</f>
        <v/>
      </c>
      <c r="DO900">
        <f>IF($DM900=0,"",IF($L$7=0,"",IFERROR(IF(ISNUMBER(INDEX(PASTE_ALL,$DF900,$L$7)),INDEX(PASTE_ALL,$DF900,$L$7),TRIM(SUBSTITUTE(SUBSTITUTE(SUBSTITUTE(SUBSTITUTE(INDEX(PASTE_ALL,$DF900,$L$7)," "," "),CHAR(9)," "),CHAR(10)," "),CHAR(13)," "))),"")))</f>
        <v/>
      </c>
      <c r="DP900">
        <f>IF($DM900=0,"",IF($L$8=0,"",IFERROR(IF(ISNUMBER(INDEX(PASTE_ALL,$DF900,$L$8)),INDEX(PASTE_ALL,$DF900,$L$8),TRIM(SUBSTITUTE(SUBSTITUTE(SUBSTITUTE(SUBSTITUTE(INDEX(PASTE_ALL,$DF900,$L$8)," "," "),CHAR(9)," "),CHAR(10)," "),CHAR(13)," "))),"")))</f>
        <v/>
      </c>
      <c r="DQ900">
        <f>IF($DM900=0,"",IF($L$9=0,"",IFERROR(IF(ISNUMBER(INDEX(PASTE_ALL,$DF900,$L$9)),INDEX(PASTE_ALL,$DF900,$L$9),TRIM(SUBSTITUTE(SUBSTITUTE(SUBSTITUTE(SUBSTITUTE(INDEX(PASTE_ALL,$DF900,$L$9)," "," "),CHAR(9)," "),CHAR(10)," "),CHAR(13)," "))),"")))</f>
        <v/>
      </c>
      <c r="DR900">
        <f>IF($DM900=0,"",IF($L$10=0,"",IFERROR(IF(ISNUMBER(INDEX(PASTE_ALL,$DF900,$L$10)),INDEX(PASTE_ALL,$DF900,$L$10),TRIM(SUBSTITUTE(SUBSTITUTE(SUBSTITUTE(SUBSTITUTE(INDEX(PASTE_ALL,$DF900,$L$10)," "," "),CHAR(9)," "),CHAR(10)," "),CHAR(13)," "))),"")))</f>
        <v/>
      </c>
      <c r="DS900">
        <f>IF($DM900=0,"",IF($L$11=0,"",IFERROR(IF(ISNUMBER(INDEX(PASTE_ALL,$DF900,$L$11)),INDEX(PASTE_ALL,$DF900,$L$11),TRIM(SUBSTITUTE(SUBSTITUTE(SUBSTITUTE(SUBSTITUTE(INDEX(PASTE_ALL,$DF900,$L$11)," "," "),CHAR(9)," "),CHAR(10)," "),CHAR(13)," "))),"")))</f>
        <v/>
      </c>
      <c r="DT900">
        <f>IF($DM900=0,"",IF($L$12=0,"",IFERROR(IF(ISNUMBER(INDEX(PASTE_ALL,$DF900,$L$12)),INDEX(PASTE_ALL,$DF900,$L$12),TRIM(SUBSTITUTE(SUBSTITUTE(SUBSTITUTE(SUBSTITUTE(INDEX(PASTE_ALL,$DF900,$L$12)," "," "),CHAR(9)," "),CHAR(10)," "),CHAR(13)," "))),"")))</f>
        <v/>
      </c>
      <c r="DU900">
        <f>IF($DM900=0,"",IF($L$13=0,"",IFERROR(IF(ISNUMBER(INDEX(PASTE_ALL,$DF900,$L$13)),INDEX(PASTE_ALL,$DF900,$L$13),TRIM(SUBSTITUTE(SUBSTITUTE(SUBSTITUTE(SUBSTITUTE(INDEX(PASTE_ALL,$DF900,$L$13)," "," "),CHAR(9)," "),CHAR(10)," "),CHAR(13)," "))),"")))</f>
        <v/>
      </c>
      <c r="DV900">
        <f>IF($DM900=0,"",IF($L$14=0,"",IFERROR(IF(ISNUMBER(INDEX(PASTE_ALL,$DF900,$L$14)),INDEX(PASTE_ALL,$DF900,$L$14),TRIM(SUBSTITUTE(SUBSTITUTE(SUBSTITUTE(SUBSTITUTE(INDEX(PASTE_ALL,$DF900,$L$14)," "," "),CHAR(9)," "),CHAR(10)," "),CHAR(13)," "))),"")))</f>
        <v/>
      </c>
      <c r="DW900">
        <f>IF($DM900=0,"",IF($L$15=0,"",IFERROR(IF(ISNUMBER(INDEX(PASTE_ALL,$DF900,$L$15)),INDEX(PASTE_ALL,$DF900,$L$15),IF(SUMPRODUCT(--ISNUMBER(FIND({"A","B","C","D","E","F","G","H","I","J","K","L","M","N","O","P","Q","R","S","T","U","V","W","X","Y","Z","0","1","2","3","4","5","6","7","8","9"},UPPER(TRIM(SUBSTITUTE(SUBSTITUTE(SUBSTITUTE(SUBSTITUTE(INDEX(PASTE_ALL,$DF900,$L$15)," "," "),CHAR(9)," "),CHAR(10)," "),CHAR(13)," "))))))&gt;0,TRIM(SUBSTITUTE(SUBSTITUTE(SUBSTITUTE(SUBSTITUTE(INDEX(PASTE_ALL,$DF900,$L$15)," "," "),CHAR(9)," "),CHAR(10)," "),CHAR(13)," ")),"")),"")))</f>
        <v/>
      </c>
      <c r="DX900">
        <f>IF($DM900=0,"",IF($L$16=0,"",IFERROR(IF(ISNUMBER(INDEX(PASTE_ALL,$DF900,$L$16)),INDEX(PASTE_ALL,$DF900,$L$16),SUBSTITUTE(SUBSTITUTE(TRIM(SUBSTITUTE(SUBSTITUTE(SUBSTITUTE(SUBSTITUTE(INDEX(PASTE_ALL,$DF900,$L$16)," "," "),CHAR(9)," "),CHAR(10)," "),CHAR(13)," ")),",",""),"%","")),"")))</f>
        <v/>
      </c>
      <c r="DY900">
        <f>IF($DM900=0,"",IFERROR(IF(ISNUMBER($DX900),$DX900,IF($DX900="","",IF(TRIM($DX900)="",0,IF(AND(AND(SUBSTITUTE(SUBSTITUTE(SUBSTITUTE(SUBSTITUTE(SUBSTITUTE(SUBSTITUTE(SUBSTITUTE(SUBSTITUTE(SUBSTITUTE(SUBSTITUTE(SUBSTITUTE(SUBSTITUTE(SUBSTITUTE(SUBSTITUTE(UPPER(TRIM($DX900)),"0",""),"1",""),"2",""),"3",""),"4",""),"5",""),"6",""),"7",""),"8",""),"9",""),".",""),"+",""),"-",""),"E","")="",LEN(SUBSTITUTE(SUBSTITUTE(MID(UPPER(TRIM($DX900)),1+OR(LEFT(UPPER(TRIM($DX900)),1)="+",LEFT(UPPER(TRIM($DX900)),1)="-"),999),"E+","E"),"E-","E"))=LEN(SUBSTITUTE(SUBSTITUTE(SUBSTITUTE(SUBSTITUTE(MID(UPPER(TRIM($DX900)),1+OR(LEFT(UPPER(TRIM($DX900)),1)="+",LEFT(UPPER(TRIM($DX900)),1)="-"),999),"E+","E"),"E-","E"),"+",""),"-","")),LEN(UPPER(TRIM($DX900)))-LEN(SUBSTITUTE(UPPER(TRIM($DX900)),"E",""))&lt;2,LEN(UPPER(TRIM($DX900)))-LEN(SUBSTITUTE(UPPER(TRIM($DX900)),".",""))&lt;2,IFERROR(FIND(".",UPPER(TRIM($DX900))),0)&lt;IFERROR(FIND("E",UPPER(TRIM($DX900))),999)),ISNUMBER(VALUE(TRIM($DX900)))),VALUE(TRIM($DX900)),"")))),""))</f>
        <v/>
      </c>
      <c r="DZ900">
        <f>IF($DM900=0,"",IF($L$17=0,"",IFERROR(IF(ISNUMBER(INDEX(PASTE_ALL,$DF900,$L$17)),INDEX(PASTE_ALL,$DF900,$L$17),SUBSTITUTE(SUBSTITUTE(TRIM(SUBSTITUTE(SUBSTITUTE(SUBSTITUTE(SUBSTITUTE(INDEX(PASTE_ALL,$DF900,$L$17)," "," "),CHAR(9)," "),CHAR(10)," "),CHAR(13)," ")),",",""),"%","")),"")))</f>
        <v/>
      </c>
      <c r="EA900">
        <f>IF($DM900=0,"",IFERROR(IF(ISNUMBER($DZ900),$DZ900,IF($DZ900="","",IF(TRIM($DZ900)="",0,IF(AND(AND(SUBSTITUTE(SUBSTITUTE(SUBSTITUTE(SUBSTITUTE(SUBSTITUTE(SUBSTITUTE(SUBSTITUTE(SUBSTITUTE(SUBSTITUTE(SUBSTITUTE(SUBSTITUTE(SUBSTITUTE(SUBSTITUTE(SUBSTITUTE(UPPER(TRIM($DZ900)),"0",""),"1",""),"2",""),"3",""),"4",""),"5",""),"6",""),"7",""),"8",""),"9",""),".",""),"+",""),"-",""),"E","")="",LEN(SUBSTITUTE(SUBSTITUTE(MID(UPPER(TRIM($DZ900)),1+OR(LEFT(UPPER(TRIM($DZ900)),1)="+",LEFT(UPPER(TRIM($DZ900)),1)="-"),999),"E+","E"),"E-","E"))=LEN(SUBSTITUTE(SUBSTITUTE(SUBSTITUTE(SUBSTITUTE(MID(UPPER(TRIM($DZ900)),1+OR(LEFT(UPPER(TRIM($DZ900)),1)="+",LEFT(UPPER(TRIM($DZ900)),1)="-"),999),"E+","E"),"E-","E"),"+",""),"-","")),LEN(UPPER(TRIM($DZ900)))-LEN(SUBSTITUTE(UPPER(TRIM($DZ900)),"E",""))&lt;2,LEN(UPPER(TRIM($DZ900)))-LEN(SUBSTITUTE(UPPER(TRIM($DZ900)),".",""))&lt;2,IFERROR(FIND(".",UPPER(TRIM($DZ900))),0)&lt;IFERROR(FIND("E",UPPER(TRIM($DZ900))),999)),ISNUMBER(VALUE(TRIM($DZ900)))),VALUE(TRIM($DZ900)),"")))),""))</f>
        <v/>
      </c>
      <c r="EB900">
        <f>IF($DM900=0,"",IF($L$18=0,"",IFERROR(IF(UPPER(TRIM(SUBSTITUTE(SUBSTITUTE(SUBSTITUTE(SUBSTITUTE(INDEX(PASTE_ALL,$DF900,$L$18)," "," "),CHAR(9)," "),CHAR(10)," "),CHAR(13)," ")))="READY","Ready",IF(UPPER(TRIM(SUBSTITUTE(SUBSTITUTE(SUBSTITUTE(SUBSTITUTE(INDEX(PASTE_ALL,$DF900,$L$18)," "," "),CHAR(9)," "),CHAR(10)," "),CHAR(13)," ")))="PM","PM",IF(OR(UPPER(TRIM(SUBSTITUTE(SUBSTITUTE(SUBSTITUTE(SUBSTITUTE(INDEX(PASTE_ALL,$DF900,$L$18)," "," "),CHAR(9)," "),CHAR(10)," "),CHAR(13)," ")))="OT",UPPER(TRIM(SUBSTITUTE(SUBSTITUTE(SUBSTITUTE(SUBSTITUTE(INDEX(PASTE_ALL,$DF900,$L$18)," "," "),CHAR(9)," "),CHAR(10)," "),CHAR(13)," ")))="OVERTIME",UPPER(TRIM(SUBSTITUTE(SUBSTITUTE(SUBSTITUTE(SUBSTITUTE(INDEX(PASTE_ALL,$DF900,$L$18)," "," "),CHAR(9)," "),CHAR(10)," "),CHAR(13)," ")))="TRIAL"),"OT",TRIM(SUBSTITUTE(SUBSTITUTE(SUBSTITUTE(SUBSTITUTE(INDEX(PASTE_ALL,$DF900,$L$18)," "," "),CHAR(9)," "),CHAR(10)," "),CHAR(13)," "))))),"")))</f>
        <v/>
      </c>
      <c r="EC900">
        <f>IF($DM900=0,"",IF($L$19=0,"",IFERROR(IF(ISNUMBER(INDEX(PASTE_ALL,$DF900,$L$19)),INDEX(PASTE_ALL,$DF900,$L$19),TRIM(SUBSTITUTE(SUBSTITUTE(SUBSTITUTE(SUBSTITUTE(INDEX(PASTE_ALL,$DF900,$L$19)," "," "),CHAR(9)," "),CHAR(10)," "),CHAR(13)," "))),"")))</f>
        <v/>
      </c>
      <c r="ED900">
        <f>IF($DM900=0,"",MATCH(1,INDEX(EXACT($DH$5:DH900,$DH900)*$DM$5:DM900,0),0))</f>
        <v/>
      </c>
      <c r="EE900">
        <f>IF($DM900=0,0,IF($ED900=$DE900,1,0))</f>
        <v/>
      </c>
      <c r="EF900">
        <f>EF899+$EE900</f>
        <v/>
      </c>
      <c r="EG900">
        <f>IF($DM900=0,"",INDEX($EF$5:$EF$1003,$ED900))</f>
        <v/>
      </c>
      <c r="EH900">
        <f>IF($DM900=0,"",IF($DO900&lt;&gt;"","",IFERROR(LOOKUP(2,1/(($EG$4:EG899=$EG900)*($DO$4:DO899&lt;&gt;"")),$DO$4:DO899),"")))</f>
        <v/>
      </c>
      <c r="EI900">
        <f>IF($DM900=0,"",IF($DO900&lt;&gt;"",$DO900,$EH900))</f>
        <v/>
      </c>
      <c r="EJ900">
        <f>IF($DM900=0,"",IF($EI900="",0,IF(OR(ISNUMBER($EI900),AND(AND(SUBSTITUTE(SUBSTITUTE(SUBSTITUTE(SUBSTITUTE(SUBSTITUTE(SUBSTITUTE(SUBSTITUTE(SUBSTITUTE(SUBSTITUTE(SUBSTITUTE(SUBSTITUTE(SUBSTITUTE(SUBSTITUTE(SUBSTITUTE(UPPER($EI900),"0",""),"1",""),"2",""),"3",""),"4",""),"5",""),"6",""),"7",""),"8",""),"9",""),".",""),"+",""),"-",""),"E","")="",LEN(SUBSTITUTE(SUBSTITUTE(MID(UPPER($EI900),1+OR(LEFT(UPPER($EI900),1)="+",LEFT(UPPER($EI900),1)="-"),999),"E+","E"),"E-","E"))=LEN(SUBSTITUTE(SUBSTITUTE(SUBSTITUTE(SUBSTITUTE(MID(UPPER($EI900),1+OR(LEFT(UPPER($EI900),1)="+",LEFT(UPPER($EI900),1)="-"),999),"E+","E"),"E-","E"),"+",""),"-","")),LEN(UPPER($EI900))-LEN(SUBSTITUTE(UPPER($EI900),"E",""))&lt;2,LEN(UPPER($EI900))-LEN(SUBSTITUTE(UPPER($EI900),".",""))&lt;2,IFERROR(FIND(".",UPPER($EI900)),0)&lt;IFERROR(FIND("E",UPPER($EI900)),999)),ISNUMBER(VALUE($EI900)))),1,2)))</f>
        <v/>
      </c>
      <c r="EK900">
        <f>IF($DM900=0,"",IF($EJ900=1,IF(ISNUMBER($EI900),$EI900,VALUE($EI900)),IF($EJ900=2,$DE900,0)))</f>
        <v/>
      </c>
      <c r="EL900">
        <f>IF($DM900=0,"",COUNTIF($EG$5:$EG$1003,"&lt;"&amp;$EG900)+SUMPRODUCT(($EG$5:$EG$1003=$EG900)*(($EJ$5:$EJ$1003&lt;$EJ900)+($EJ$5:$EJ$1003=$EJ900)*(($EK$5:$EK$1003&lt;$EK900)+($EK$5:$EK$1003=$EK900)*($DE$5:$DE$1003&lt;$DE900))))+1)</f>
        <v/>
      </c>
      <c r="EM900">
        <f>IF($DM900=0,"",$EL900+$EG900-1)</f>
        <v/>
      </c>
      <c r="EN900">
        <f>IF($DM900=0,0,IFERROR(MATCH(1,INDEX(--(TRIM(SUBSTITUTE(SUBSTITUTE(SUBSTITUTE(SUBSTITUTE(LINES_NAME&amp;""," "," "),CHAR(9)," "),CHAR(10)," "),CHAR(13)," "))=$DH900),0),0),0))</f>
        <v/>
      </c>
      <c r="EO900">
        <f>IF($EN900=0,0,IF(OR(UPPER(TRIM(INDEX(LINES_SCHEDULED,$EN900)&amp;""))="YES",UPPER(TRIM(INDEX(LINES_SCHEDULED,$EN900)&amp;""))="Y",UPPER(TRIM(INDEX(LINES_SCHEDULED,$EN900)&amp;""))="X"),1,0))</f>
        <v/>
      </c>
      <c r="EP900">
        <f>IF($DM900=0,"",IF(COUNTIFS($EG$5:$EG$1003,$EG900,$EB$5:$EB$1003,"Ready")&gt;0,"READY",IF(COUNTIFS($EG$5:$EG$1003,$EG900,$EB$5:$EB$1003,"PM")&gt;0,"PM",IF(COUNTIFS($EG$5:$EG$1003,$EG900,$EB$5:$EB$1003,"OT")&gt;0,"OT",""))))</f>
        <v/>
      </c>
      <c r="EQ900">
        <f>IF($EN900=0,"",UPPER(TRIM(INDEX(LINES_STATUS,$EN900)&amp;"")))</f>
        <v/>
      </c>
      <c r="ER900">
        <f>IF($DM900=0,"",IF(OR($EQ900="READY",$EQ900="PM",$EQ900="OT"),$EQ900,$EP900))</f>
        <v/>
      </c>
      <c r="ES900">
        <f>IF($DM900=0,"",IF(AND($DV900&lt;&gt;"",UPPER($DV900)&lt;&gt;"N"),"allergen",IF(ISNUMBER(SEARCH("oil",$DQ900)),"oil",IF(OR(EXACT($DS900,"A662"),EXACT($DS900,"A624")),"bulk",""))))</f>
        <v/>
      </c>
      <c r="ET900">
        <f>IF($DM900=0,"",IF(OR($EA900="",$EA900=0),"",$EA900/100))</f>
        <v/>
      </c>
      <c r="EU900">
        <f>IF(OR($ET900="",$DY900=""),"",INT($DY900*(1-$ET900)+0.5))</f>
        <v/>
      </c>
    </row>
    <row r="901">
      <c r="DA901" t="n">
        <v>897</v>
      </c>
      <c r="DB901">
        <f>IF($B$37=0,"",IFERROR(TRIM(SUBSTITUTE(SUBSTITUTE(SUBSTITUTE(SUBSTITUTE(INDEX(PASTE_ALL,897,$B$37)," "," "),CHAR(9)," "),CHAR(10)," "),CHAR(13)," ")),""))</f>
        <v/>
      </c>
      <c r="DC901">
        <f>IF(AND(897&gt;HEADER_ROW,UPPER(DB901)="LEGEND"),1,0)</f>
        <v/>
      </c>
      <c r="DE901" t="n">
        <v>897</v>
      </c>
      <c r="DF901">
        <f>HEADER_ROW+$DE901</f>
        <v/>
      </c>
      <c r="DG901">
        <f>IF(AND($DF901&lt;=1000,$DF901&lt;$B$8),1,0)</f>
        <v/>
      </c>
      <c r="DH901">
        <f>IF($DG901=1,IFERROR(INDEX($DB$5:$DB$1004,$DF901),""),"")</f>
        <v/>
      </c>
      <c r="DI901">
        <f>IF(AND($DG901=1,$DH901&lt;&gt;""),IFERROR(SUBSTITUTE(SUBSTITUTE(TRIM(SUBSTITUTE(SUBSTITUTE(SUBSTITUTE(SUBSTITUTE(IFERROR(INDEX(PASTE_ALL,$DF901,1)&amp;"","")&amp;"␟"&amp;IFERROR(INDEX(PASTE_ALL,$DF901,2)&amp;"","")&amp;"␟"&amp;IFERROR(INDEX(PASTE_ALL,$DF901,3)&amp;"","")&amp;"␟"&amp;IFERROR(INDEX(PASTE_ALL,$DF901,4)&amp;"","")&amp;"␟"&amp;IFERROR(INDEX(PASTE_ALL,$DF901,5)&amp;"","")&amp;"␟"&amp;IFERROR(INDEX(PASTE_ALL,$DF901,6)&amp;"","")&amp;"␟"&amp;IFERROR(INDEX(PASTE_ALL,$DF901,7)&amp;"","")&amp;"␟"&amp;IFERROR(INDEX(PASTE_ALL,$DF901,8)&amp;"","")&amp;"␟"&amp;IFERROR(INDEX(PASTE_ALL,$DF901,9)&amp;"","")&amp;"␟"&amp;IFERROR(INDEX(PASTE_ALL,$DF901,10)&amp;"","")&amp;"␟"&amp;IFERROR(INDEX(PASTE_ALL,$DF901,11)&amp;"","")&amp;"␟"&amp;IFERROR(INDEX(PASTE_ALL,$DF901,12)&amp;"","")&amp;"␟"&amp;IFERROR(INDEX(PASTE_ALL,$DF901,13)&amp;"","")&amp;"␟"&amp;IFERROR(INDEX(PASTE_ALL,$DF901,14)&amp;"","")&amp;"␟"&amp;IFERROR(INDEX(PASTE_ALL,$DF901,15)&amp;"","")&amp;"␟"&amp;IFERROR(INDEX(PASTE_ALL,$DF901,16)&amp;"","")&amp;"␟"&amp;IFERROR(INDEX(PASTE_ALL,$DF901,17)&amp;"","")&amp;"␟"&amp;IFERROR(INDEX(PASTE_ALL,$DF901,18)&amp;"","")&amp;"␟"&amp;IFERROR(INDEX(PASTE_ALL,$DF901,19)&amp;"","")&amp;"␟"&amp;IFERROR(INDEX(PASTE_ALL,$DF901,20)&amp;"","")&amp;"␟"&amp;IFERROR(INDEX(PASTE_ALL,$DF901,21)&amp;"","")&amp;"␟"&amp;IFERROR(INDEX(PASTE_ALL,$DF901,22)&amp;"","")&amp;"␟"&amp;IFERROR(INDEX(PASTE_ALL,$DF901,23)&amp;"","")&amp;"␟"&amp;IFERROR(INDEX(PASTE_ALL,$DF901,24)&amp;"","")&amp;"␟"&amp;IFERROR(INDEX(PASTE_ALL,$DF901,25)&amp;"","")&amp;"␟"&amp;IFERROR(INDEX(PASTE_ALL,$DF901,26)&amp;"","")&amp;"␟"&amp;IFERROR(INDEX(PASTE_ALL,$DF901,27)&amp;"","")&amp;"␟"&amp;IFERROR(INDEX(PASTE_ALL,$DF901,28)&amp;"","")&amp;"␟"&amp;IFERROR(INDEX(PASTE_ALL,$DF901,29)&amp;"","")&amp;"␟"&amp;IFERROR(INDEX(PASTE_ALL,$DF901,30)&amp;"","")&amp;"␟"&amp;IFERROR(INDEX(PASTE_ALL,$DF901,31)&amp;"","")&amp;"␟"&amp;IFERROR(INDEX(PASTE_ALL,$DF901,32)&amp;"","")&amp;"␟"&amp;IFERROR(INDEX(PASTE_ALL,$DF901,33)&amp;"","")&amp;"␟"&amp;IFERROR(INDEX(PASTE_ALL,$DF901,34)&amp;"","")&amp;"␟"&amp;IFERROR(INDEX(PASTE_ALL,$DF901,35)&amp;"","")&amp;"␟"&amp;IFERROR(INDEX(PASTE_ALL,$DF901,36)&amp;"","")&amp;"␟"&amp;IFERROR(INDEX(PASTE_ALL,$DF901,37)&amp;"","")&amp;"␟"&amp;IFERROR(INDEX(PASTE_ALL,$DF901,38)&amp;"","")&amp;"␟"&amp;IFERROR(INDEX(PASTE_ALL,$DF901,39)&amp;"","")&amp;"␟"&amp;IFERROR(INDEX(PASTE_ALL,$DF901,40)&amp;"","")&amp;"␟"&amp;IFERROR(INDEX(PASTE_ALL,$DF901,41)&amp;"","")&amp;"␟"&amp;IFERROR(INDEX(PASTE_ALL,$DF901,42)&amp;"","")&amp;"␟"&amp;IFERROR(INDEX(PASTE_ALL,$DF901,43)&amp;"","")&amp;"␟"&amp;IFERROR(INDEX(PASTE_ALL,$DF901,44)&amp;"","")&amp;"␟"&amp;IFERROR(INDEX(PASTE_ALL,$DF901,45)&amp;"","")&amp;"␟"&amp;IFERROR(INDEX(PASTE_ALL,$DF901,46)&amp;"","")&amp;"␟"&amp;IFERROR(INDEX(PASTE_ALL,$DF901,47)&amp;"","")&amp;"␟"&amp;IFERROR(INDEX(PASTE_ALL,$DF901,48)&amp;"","")&amp;"␟"&amp;IFERROR(INDEX(PASTE_ALL,$DF901,49)&amp;"","")&amp;"␟"&amp;IFERROR(INDEX(PASTE_ALL,$DF901,50)&amp;"","")&amp;"␟"&amp;IFERROR(INDEX(PASTE_ALL,$DF901,51)&amp;"","")&amp;"␟"&amp;IFERROR(INDEX(PASTE_ALL,$DF901,52)&amp;"","")&amp;"␟"&amp;IFERROR(INDEX(PASTE_ALL,$DF901,53)&amp;"","")&amp;"␟"&amp;IFERROR(INDEX(PASTE_ALL,$DF901,54)&amp;"","")&amp;"␟"&amp;IFERROR(INDEX(PASTE_ALL,$DF901,55)&amp;"","")&amp;"␟"&amp;IFERROR(INDEX(PASTE_ALL,$DF901,56)&amp;"","")&amp;"␟"&amp;IFERROR(INDEX(PASTE_ALL,$DF901,57)&amp;"","")&amp;"␟"&amp;IFERROR(INDEX(PASTE_ALL,$DF901,58)&amp;"","")&amp;"␟"&amp;IFERROR(INDEX(PASTE_ALL,$DF901,59)&amp;"","")&amp;"␟"&amp;IFERROR(INDEX(PASTE_ALL,$DF901,60)&amp;"","")," "," "),CHAR(9)," "),CHAR(10)," "),CHAR(13)," "))," ␟","␟"),"␟ ","␟"),"#"&amp;$DE901),"")</f>
        <v/>
      </c>
      <c r="DJ901">
        <f>IF($DI901="",0,IF(SUMPRODUCT(--EXACT($DI$4:DI900,$DI901))&gt;0,1,0))</f>
        <v/>
      </c>
      <c r="DK901">
        <f>IF(AND($DI901&lt;&gt;"",$DJ901=0),1,0)</f>
        <v/>
      </c>
      <c r="DL901">
        <f>DL900+$DK901</f>
        <v/>
      </c>
      <c r="DM901">
        <f>IF(AND($DK901=1,$DL901&lt;=600),1,0)</f>
        <v/>
      </c>
      <c r="DN901">
        <f>IF($DM901=0,"",IF($L$6=0,"",IFERROR(IF(ISNUMBER(INDEX(PASTE_ALL,$DF901,$L$6)),INDEX(PASTE_ALL,$DF901,$L$6),TRIM(SUBSTITUTE(SUBSTITUTE(SUBSTITUTE(SUBSTITUTE(INDEX(PASTE_ALL,$DF901,$L$6)," "," "),CHAR(9)," "),CHAR(10)," "),CHAR(13)," "))),"")))</f>
        <v/>
      </c>
      <c r="DO901">
        <f>IF($DM901=0,"",IF($L$7=0,"",IFERROR(IF(ISNUMBER(INDEX(PASTE_ALL,$DF901,$L$7)),INDEX(PASTE_ALL,$DF901,$L$7),TRIM(SUBSTITUTE(SUBSTITUTE(SUBSTITUTE(SUBSTITUTE(INDEX(PASTE_ALL,$DF901,$L$7)," "," "),CHAR(9)," "),CHAR(10)," "),CHAR(13)," "))),"")))</f>
        <v/>
      </c>
      <c r="DP901">
        <f>IF($DM901=0,"",IF($L$8=0,"",IFERROR(IF(ISNUMBER(INDEX(PASTE_ALL,$DF901,$L$8)),INDEX(PASTE_ALL,$DF901,$L$8),TRIM(SUBSTITUTE(SUBSTITUTE(SUBSTITUTE(SUBSTITUTE(INDEX(PASTE_ALL,$DF901,$L$8)," "," "),CHAR(9)," "),CHAR(10)," "),CHAR(13)," "))),"")))</f>
        <v/>
      </c>
      <c r="DQ901">
        <f>IF($DM901=0,"",IF($L$9=0,"",IFERROR(IF(ISNUMBER(INDEX(PASTE_ALL,$DF901,$L$9)),INDEX(PASTE_ALL,$DF901,$L$9),TRIM(SUBSTITUTE(SUBSTITUTE(SUBSTITUTE(SUBSTITUTE(INDEX(PASTE_ALL,$DF901,$L$9)," "," "),CHAR(9)," "),CHAR(10)," "),CHAR(13)," "))),"")))</f>
        <v/>
      </c>
      <c r="DR901">
        <f>IF($DM901=0,"",IF($L$10=0,"",IFERROR(IF(ISNUMBER(INDEX(PASTE_ALL,$DF901,$L$10)),INDEX(PASTE_ALL,$DF901,$L$10),TRIM(SUBSTITUTE(SUBSTITUTE(SUBSTITUTE(SUBSTITUTE(INDEX(PASTE_ALL,$DF901,$L$10)," "," "),CHAR(9)," "),CHAR(10)," "),CHAR(13)," "))),"")))</f>
        <v/>
      </c>
      <c r="DS901">
        <f>IF($DM901=0,"",IF($L$11=0,"",IFERROR(IF(ISNUMBER(INDEX(PASTE_ALL,$DF901,$L$11)),INDEX(PASTE_ALL,$DF901,$L$11),TRIM(SUBSTITUTE(SUBSTITUTE(SUBSTITUTE(SUBSTITUTE(INDEX(PASTE_ALL,$DF901,$L$11)," "," "),CHAR(9)," "),CHAR(10)," "),CHAR(13)," "))),"")))</f>
        <v/>
      </c>
      <c r="DT901">
        <f>IF($DM901=0,"",IF($L$12=0,"",IFERROR(IF(ISNUMBER(INDEX(PASTE_ALL,$DF901,$L$12)),INDEX(PASTE_ALL,$DF901,$L$12),TRIM(SUBSTITUTE(SUBSTITUTE(SUBSTITUTE(SUBSTITUTE(INDEX(PASTE_ALL,$DF901,$L$12)," "," "),CHAR(9)," "),CHAR(10)," "),CHAR(13)," "))),"")))</f>
        <v/>
      </c>
      <c r="DU901">
        <f>IF($DM901=0,"",IF($L$13=0,"",IFERROR(IF(ISNUMBER(INDEX(PASTE_ALL,$DF901,$L$13)),INDEX(PASTE_ALL,$DF901,$L$13),TRIM(SUBSTITUTE(SUBSTITUTE(SUBSTITUTE(SUBSTITUTE(INDEX(PASTE_ALL,$DF901,$L$13)," "," "),CHAR(9)," "),CHAR(10)," "),CHAR(13)," "))),"")))</f>
        <v/>
      </c>
      <c r="DV901">
        <f>IF($DM901=0,"",IF($L$14=0,"",IFERROR(IF(ISNUMBER(INDEX(PASTE_ALL,$DF901,$L$14)),INDEX(PASTE_ALL,$DF901,$L$14),TRIM(SUBSTITUTE(SUBSTITUTE(SUBSTITUTE(SUBSTITUTE(INDEX(PASTE_ALL,$DF901,$L$14)," "," "),CHAR(9)," "),CHAR(10)," "),CHAR(13)," "))),"")))</f>
        <v/>
      </c>
      <c r="DW901">
        <f>IF($DM901=0,"",IF($L$15=0,"",IFERROR(IF(ISNUMBER(INDEX(PASTE_ALL,$DF901,$L$15)),INDEX(PASTE_ALL,$DF901,$L$15),IF(SUMPRODUCT(--ISNUMBER(FIND({"A","B","C","D","E","F","G","H","I","J","K","L","M","N","O","P","Q","R","S","T","U","V","W","X","Y","Z","0","1","2","3","4","5","6","7","8","9"},UPPER(TRIM(SUBSTITUTE(SUBSTITUTE(SUBSTITUTE(SUBSTITUTE(INDEX(PASTE_ALL,$DF901,$L$15)," "," "),CHAR(9)," "),CHAR(10)," "),CHAR(13)," "))))))&gt;0,TRIM(SUBSTITUTE(SUBSTITUTE(SUBSTITUTE(SUBSTITUTE(INDEX(PASTE_ALL,$DF901,$L$15)," "," "),CHAR(9)," "),CHAR(10)," "),CHAR(13)," ")),"")),"")))</f>
        <v/>
      </c>
      <c r="DX901">
        <f>IF($DM901=0,"",IF($L$16=0,"",IFERROR(IF(ISNUMBER(INDEX(PASTE_ALL,$DF901,$L$16)),INDEX(PASTE_ALL,$DF901,$L$16),SUBSTITUTE(SUBSTITUTE(TRIM(SUBSTITUTE(SUBSTITUTE(SUBSTITUTE(SUBSTITUTE(INDEX(PASTE_ALL,$DF901,$L$16)," "," "),CHAR(9)," "),CHAR(10)," "),CHAR(13)," ")),",",""),"%","")),"")))</f>
        <v/>
      </c>
      <c r="DY901">
        <f>IF($DM901=0,"",IFERROR(IF(ISNUMBER($DX901),$DX901,IF($DX901="","",IF(TRIM($DX901)="",0,IF(AND(AND(SUBSTITUTE(SUBSTITUTE(SUBSTITUTE(SUBSTITUTE(SUBSTITUTE(SUBSTITUTE(SUBSTITUTE(SUBSTITUTE(SUBSTITUTE(SUBSTITUTE(SUBSTITUTE(SUBSTITUTE(SUBSTITUTE(SUBSTITUTE(UPPER(TRIM($DX901)),"0",""),"1",""),"2",""),"3",""),"4",""),"5",""),"6",""),"7",""),"8",""),"9",""),".",""),"+",""),"-",""),"E","")="",LEN(SUBSTITUTE(SUBSTITUTE(MID(UPPER(TRIM($DX901)),1+OR(LEFT(UPPER(TRIM($DX901)),1)="+",LEFT(UPPER(TRIM($DX901)),1)="-"),999),"E+","E"),"E-","E"))=LEN(SUBSTITUTE(SUBSTITUTE(SUBSTITUTE(SUBSTITUTE(MID(UPPER(TRIM($DX901)),1+OR(LEFT(UPPER(TRIM($DX901)),1)="+",LEFT(UPPER(TRIM($DX901)),1)="-"),999),"E+","E"),"E-","E"),"+",""),"-","")),LEN(UPPER(TRIM($DX901)))-LEN(SUBSTITUTE(UPPER(TRIM($DX901)),"E",""))&lt;2,LEN(UPPER(TRIM($DX901)))-LEN(SUBSTITUTE(UPPER(TRIM($DX901)),".",""))&lt;2,IFERROR(FIND(".",UPPER(TRIM($DX901))),0)&lt;IFERROR(FIND("E",UPPER(TRIM($DX901))),999)),ISNUMBER(VALUE(TRIM($DX901)))),VALUE(TRIM($DX901)),"")))),""))</f>
        <v/>
      </c>
      <c r="DZ901">
        <f>IF($DM901=0,"",IF($L$17=0,"",IFERROR(IF(ISNUMBER(INDEX(PASTE_ALL,$DF901,$L$17)),INDEX(PASTE_ALL,$DF901,$L$17),SUBSTITUTE(SUBSTITUTE(TRIM(SUBSTITUTE(SUBSTITUTE(SUBSTITUTE(SUBSTITUTE(INDEX(PASTE_ALL,$DF901,$L$17)," "," "),CHAR(9)," "),CHAR(10)," "),CHAR(13)," ")),",",""),"%","")),"")))</f>
        <v/>
      </c>
      <c r="EA901">
        <f>IF($DM901=0,"",IFERROR(IF(ISNUMBER($DZ901),$DZ901,IF($DZ901="","",IF(TRIM($DZ901)="",0,IF(AND(AND(SUBSTITUTE(SUBSTITUTE(SUBSTITUTE(SUBSTITUTE(SUBSTITUTE(SUBSTITUTE(SUBSTITUTE(SUBSTITUTE(SUBSTITUTE(SUBSTITUTE(SUBSTITUTE(SUBSTITUTE(SUBSTITUTE(SUBSTITUTE(UPPER(TRIM($DZ901)),"0",""),"1",""),"2",""),"3",""),"4",""),"5",""),"6",""),"7",""),"8",""),"9",""),".",""),"+",""),"-",""),"E","")="",LEN(SUBSTITUTE(SUBSTITUTE(MID(UPPER(TRIM($DZ901)),1+OR(LEFT(UPPER(TRIM($DZ901)),1)="+",LEFT(UPPER(TRIM($DZ901)),1)="-"),999),"E+","E"),"E-","E"))=LEN(SUBSTITUTE(SUBSTITUTE(SUBSTITUTE(SUBSTITUTE(MID(UPPER(TRIM($DZ901)),1+OR(LEFT(UPPER(TRIM($DZ901)),1)="+",LEFT(UPPER(TRIM($DZ901)),1)="-"),999),"E+","E"),"E-","E"),"+",""),"-","")),LEN(UPPER(TRIM($DZ901)))-LEN(SUBSTITUTE(UPPER(TRIM($DZ901)),"E",""))&lt;2,LEN(UPPER(TRIM($DZ901)))-LEN(SUBSTITUTE(UPPER(TRIM($DZ901)),".",""))&lt;2,IFERROR(FIND(".",UPPER(TRIM($DZ901))),0)&lt;IFERROR(FIND("E",UPPER(TRIM($DZ901))),999)),ISNUMBER(VALUE(TRIM($DZ901)))),VALUE(TRIM($DZ901)),"")))),""))</f>
        <v/>
      </c>
      <c r="EB901">
        <f>IF($DM901=0,"",IF($L$18=0,"",IFERROR(IF(UPPER(TRIM(SUBSTITUTE(SUBSTITUTE(SUBSTITUTE(SUBSTITUTE(INDEX(PASTE_ALL,$DF901,$L$18)," "," "),CHAR(9)," "),CHAR(10)," "),CHAR(13)," ")))="READY","Ready",IF(UPPER(TRIM(SUBSTITUTE(SUBSTITUTE(SUBSTITUTE(SUBSTITUTE(INDEX(PASTE_ALL,$DF901,$L$18)," "," "),CHAR(9)," "),CHAR(10)," "),CHAR(13)," ")))="PM","PM",IF(OR(UPPER(TRIM(SUBSTITUTE(SUBSTITUTE(SUBSTITUTE(SUBSTITUTE(INDEX(PASTE_ALL,$DF901,$L$18)," "," "),CHAR(9)," "),CHAR(10)," "),CHAR(13)," ")))="OT",UPPER(TRIM(SUBSTITUTE(SUBSTITUTE(SUBSTITUTE(SUBSTITUTE(INDEX(PASTE_ALL,$DF901,$L$18)," "," "),CHAR(9)," "),CHAR(10)," "),CHAR(13)," ")))="OVERTIME",UPPER(TRIM(SUBSTITUTE(SUBSTITUTE(SUBSTITUTE(SUBSTITUTE(INDEX(PASTE_ALL,$DF901,$L$18)," "," "),CHAR(9)," "),CHAR(10)," "),CHAR(13)," ")))="TRIAL"),"OT",TRIM(SUBSTITUTE(SUBSTITUTE(SUBSTITUTE(SUBSTITUTE(INDEX(PASTE_ALL,$DF901,$L$18)," "," "),CHAR(9)," "),CHAR(10)," "),CHAR(13)," "))))),"")))</f>
        <v/>
      </c>
      <c r="EC901">
        <f>IF($DM901=0,"",IF($L$19=0,"",IFERROR(IF(ISNUMBER(INDEX(PASTE_ALL,$DF901,$L$19)),INDEX(PASTE_ALL,$DF901,$L$19),TRIM(SUBSTITUTE(SUBSTITUTE(SUBSTITUTE(SUBSTITUTE(INDEX(PASTE_ALL,$DF901,$L$19)," "," "),CHAR(9)," "),CHAR(10)," "),CHAR(13)," "))),"")))</f>
        <v/>
      </c>
      <c r="ED901">
        <f>IF($DM901=0,"",MATCH(1,INDEX(EXACT($DH$5:DH901,$DH901)*$DM$5:DM901,0),0))</f>
        <v/>
      </c>
      <c r="EE901">
        <f>IF($DM901=0,0,IF($ED901=$DE901,1,0))</f>
        <v/>
      </c>
      <c r="EF901">
        <f>EF900+$EE901</f>
        <v/>
      </c>
      <c r="EG901">
        <f>IF($DM901=0,"",INDEX($EF$5:$EF$1003,$ED901))</f>
        <v/>
      </c>
      <c r="EH901">
        <f>IF($DM901=0,"",IF($DO901&lt;&gt;"","",IFERROR(LOOKUP(2,1/(($EG$4:EG900=$EG901)*($DO$4:DO900&lt;&gt;"")),$DO$4:DO900),"")))</f>
        <v/>
      </c>
      <c r="EI901">
        <f>IF($DM901=0,"",IF($DO901&lt;&gt;"",$DO901,$EH901))</f>
        <v/>
      </c>
      <c r="EJ901">
        <f>IF($DM901=0,"",IF($EI901="",0,IF(OR(ISNUMBER($EI901),AND(AND(SUBSTITUTE(SUBSTITUTE(SUBSTITUTE(SUBSTITUTE(SUBSTITUTE(SUBSTITUTE(SUBSTITUTE(SUBSTITUTE(SUBSTITUTE(SUBSTITUTE(SUBSTITUTE(SUBSTITUTE(SUBSTITUTE(SUBSTITUTE(UPPER($EI901),"0",""),"1",""),"2",""),"3",""),"4",""),"5",""),"6",""),"7",""),"8",""),"9",""),".",""),"+",""),"-",""),"E","")="",LEN(SUBSTITUTE(SUBSTITUTE(MID(UPPER($EI901),1+OR(LEFT(UPPER($EI901),1)="+",LEFT(UPPER($EI901),1)="-"),999),"E+","E"),"E-","E"))=LEN(SUBSTITUTE(SUBSTITUTE(SUBSTITUTE(SUBSTITUTE(MID(UPPER($EI901),1+OR(LEFT(UPPER($EI901),1)="+",LEFT(UPPER($EI901),1)="-"),999),"E+","E"),"E-","E"),"+",""),"-","")),LEN(UPPER($EI901))-LEN(SUBSTITUTE(UPPER($EI901),"E",""))&lt;2,LEN(UPPER($EI901))-LEN(SUBSTITUTE(UPPER($EI901),".",""))&lt;2,IFERROR(FIND(".",UPPER($EI901)),0)&lt;IFERROR(FIND("E",UPPER($EI901)),999)),ISNUMBER(VALUE($EI901)))),1,2)))</f>
        <v/>
      </c>
      <c r="EK901">
        <f>IF($DM901=0,"",IF($EJ901=1,IF(ISNUMBER($EI901),$EI901,VALUE($EI901)),IF($EJ901=2,$DE901,0)))</f>
        <v/>
      </c>
      <c r="EL901">
        <f>IF($DM901=0,"",COUNTIF($EG$5:$EG$1003,"&lt;"&amp;$EG901)+SUMPRODUCT(($EG$5:$EG$1003=$EG901)*(($EJ$5:$EJ$1003&lt;$EJ901)+($EJ$5:$EJ$1003=$EJ901)*(($EK$5:$EK$1003&lt;$EK901)+($EK$5:$EK$1003=$EK901)*($DE$5:$DE$1003&lt;$DE901))))+1)</f>
        <v/>
      </c>
      <c r="EM901">
        <f>IF($DM901=0,"",$EL901+$EG901-1)</f>
        <v/>
      </c>
      <c r="EN901">
        <f>IF($DM901=0,0,IFERROR(MATCH(1,INDEX(--(TRIM(SUBSTITUTE(SUBSTITUTE(SUBSTITUTE(SUBSTITUTE(LINES_NAME&amp;""," "," "),CHAR(9)," "),CHAR(10)," "),CHAR(13)," "))=$DH901),0),0),0))</f>
        <v/>
      </c>
      <c r="EO901">
        <f>IF($EN901=0,0,IF(OR(UPPER(TRIM(INDEX(LINES_SCHEDULED,$EN901)&amp;""))="YES",UPPER(TRIM(INDEX(LINES_SCHEDULED,$EN901)&amp;""))="Y",UPPER(TRIM(INDEX(LINES_SCHEDULED,$EN901)&amp;""))="X"),1,0))</f>
        <v/>
      </c>
      <c r="EP901">
        <f>IF($DM901=0,"",IF(COUNTIFS($EG$5:$EG$1003,$EG901,$EB$5:$EB$1003,"Ready")&gt;0,"READY",IF(COUNTIFS($EG$5:$EG$1003,$EG901,$EB$5:$EB$1003,"PM")&gt;0,"PM",IF(COUNTIFS($EG$5:$EG$1003,$EG901,$EB$5:$EB$1003,"OT")&gt;0,"OT",""))))</f>
        <v/>
      </c>
      <c r="EQ901">
        <f>IF($EN901=0,"",UPPER(TRIM(INDEX(LINES_STATUS,$EN901)&amp;"")))</f>
        <v/>
      </c>
      <c r="ER901">
        <f>IF($DM901=0,"",IF(OR($EQ901="READY",$EQ901="PM",$EQ901="OT"),$EQ901,$EP901))</f>
        <v/>
      </c>
      <c r="ES901">
        <f>IF($DM901=0,"",IF(AND($DV901&lt;&gt;"",UPPER($DV901)&lt;&gt;"N"),"allergen",IF(ISNUMBER(SEARCH("oil",$DQ901)),"oil",IF(OR(EXACT($DS901,"A662"),EXACT($DS901,"A624")),"bulk",""))))</f>
        <v/>
      </c>
      <c r="ET901">
        <f>IF($DM901=0,"",IF(OR($EA901="",$EA901=0),"",$EA901/100))</f>
        <v/>
      </c>
      <c r="EU901">
        <f>IF(OR($ET901="",$DY901=""),"",INT($DY901*(1-$ET901)+0.5))</f>
        <v/>
      </c>
    </row>
    <row r="902">
      <c r="DA902" t="n">
        <v>898</v>
      </c>
      <c r="DB902">
        <f>IF($B$37=0,"",IFERROR(TRIM(SUBSTITUTE(SUBSTITUTE(SUBSTITUTE(SUBSTITUTE(INDEX(PASTE_ALL,898,$B$37)," "," "),CHAR(9)," "),CHAR(10)," "),CHAR(13)," ")),""))</f>
        <v/>
      </c>
      <c r="DC902">
        <f>IF(AND(898&gt;HEADER_ROW,UPPER(DB902)="LEGEND"),1,0)</f>
        <v/>
      </c>
      <c r="DE902" t="n">
        <v>898</v>
      </c>
      <c r="DF902">
        <f>HEADER_ROW+$DE902</f>
        <v/>
      </c>
      <c r="DG902">
        <f>IF(AND($DF902&lt;=1000,$DF902&lt;$B$8),1,0)</f>
        <v/>
      </c>
      <c r="DH902">
        <f>IF($DG902=1,IFERROR(INDEX($DB$5:$DB$1004,$DF902),""),"")</f>
        <v/>
      </c>
      <c r="DI902">
        <f>IF(AND($DG902=1,$DH902&lt;&gt;""),IFERROR(SUBSTITUTE(SUBSTITUTE(TRIM(SUBSTITUTE(SUBSTITUTE(SUBSTITUTE(SUBSTITUTE(IFERROR(INDEX(PASTE_ALL,$DF902,1)&amp;"","")&amp;"␟"&amp;IFERROR(INDEX(PASTE_ALL,$DF902,2)&amp;"","")&amp;"␟"&amp;IFERROR(INDEX(PASTE_ALL,$DF902,3)&amp;"","")&amp;"␟"&amp;IFERROR(INDEX(PASTE_ALL,$DF902,4)&amp;"","")&amp;"␟"&amp;IFERROR(INDEX(PASTE_ALL,$DF902,5)&amp;"","")&amp;"␟"&amp;IFERROR(INDEX(PASTE_ALL,$DF902,6)&amp;"","")&amp;"␟"&amp;IFERROR(INDEX(PASTE_ALL,$DF902,7)&amp;"","")&amp;"␟"&amp;IFERROR(INDEX(PASTE_ALL,$DF902,8)&amp;"","")&amp;"␟"&amp;IFERROR(INDEX(PASTE_ALL,$DF902,9)&amp;"","")&amp;"␟"&amp;IFERROR(INDEX(PASTE_ALL,$DF902,10)&amp;"","")&amp;"␟"&amp;IFERROR(INDEX(PASTE_ALL,$DF902,11)&amp;"","")&amp;"␟"&amp;IFERROR(INDEX(PASTE_ALL,$DF902,12)&amp;"","")&amp;"␟"&amp;IFERROR(INDEX(PASTE_ALL,$DF902,13)&amp;"","")&amp;"␟"&amp;IFERROR(INDEX(PASTE_ALL,$DF902,14)&amp;"","")&amp;"␟"&amp;IFERROR(INDEX(PASTE_ALL,$DF902,15)&amp;"","")&amp;"␟"&amp;IFERROR(INDEX(PASTE_ALL,$DF902,16)&amp;"","")&amp;"␟"&amp;IFERROR(INDEX(PASTE_ALL,$DF902,17)&amp;"","")&amp;"␟"&amp;IFERROR(INDEX(PASTE_ALL,$DF902,18)&amp;"","")&amp;"␟"&amp;IFERROR(INDEX(PASTE_ALL,$DF902,19)&amp;"","")&amp;"␟"&amp;IFERROR(INDEX(PASTE_ALL,$DF902,20)&amp;"","")&amp;"␟"&amp;IFERROR(INDEX(PASTE_ALL,$DF902,21)&amp;"","")&amp;"␟"&amp;IFERROR(INDEX(PASTE_ALL,$DF902,22)&amp;"","")&amp;"␟"&amp;IFERROR(INDEX(PASTE_ALL,$DF902,23)&amp;"","")&amp;"␟"&amp;IFERROR(INDEX(PASTE_ALL,$DF902,24)&amp;"","")&amp;"␟"&amp;IFERROR(INDEX(PASTE_ALL,$DF902,25)&amp;"","")&amp;"␟"&amp;IFERROR(INDEX(PASTE_ALL,$DF902,26)&amp;"","")&amp;"␟"&amp;IFERROR(INDEX(PASTE_ALL,$DF902,27)&amp;"","")&amp;"␟"&amp;IFERROR(INDEX(PASTE_ALL,$DF902,28)&amp;"","")&amp;"␟"&amp;IFERROR(INDEX(PASTE_ALL,$DF902,29)&amp;"","")&amp;"␟"&amp;IFERROR(INDEX(PASTE_ALL,$DF902,30)&amp;"","")&amp;"␟"&amp;IFERROR(INDEX(PASTE_ALL,$DF902,31)&amp;"","")&amp;"␟"&amp;IFERROR(INDEX(PASTE_ALL,$DF902,32)&amp;"","")&amp;"␟"&amp;IFERROR(INDEX(PASTE_ALL,$DF902,33)&amp;"","")&amp;"␟"&amp;IFERROR(INDEX(PASTE_ALL,$DF902,34)&amp;"","")&amp;"␟"&amp;IFERROR(INDEX(PASTE_ALL,$DF902,35)&amp;"","")&amp;"␟"&amp;IFERROR(INDEX(PASTE_ALL,$DF902,36)&amp;"","")&amp;"␟"&amp;IFERROR(INDEX(PASTE_ALL,$DF902,37)&amp;"","")&amp;"␟"&amp;IFERROR(INDEX(PASTE_ALL,$DF902,38)&amp;"","")&amp;"␟"&amp;IFERROR(INDEX(PASTE_ALL,$DF902,39)&amp;"","")&amp;"␟"&amp;IFERROR(INDEX(PASTE_ALL,$DF902,40)&amp;"","")&amp;"␟"&amp;IFERROR(INDEX(PASTE_ALL,$DF902,41)&amp;"","")&amp;"␟"&amp;IFERROR(INDEX(PASTE_ALL,$DF902,42)&amp;"","")&amp;"␟"&amp;IFERROR(INDEX(PASTE_ALL,$DF902,43)&amp;"","")&amp;"␟"&amp;IFERROR(INDEX(PASTE_ALL,$DF902,44)&amp;"","")&amp;"␟"&amp;IFERROR(INDEX(PASTE_ALL,$DF902,45)&amp;"","")&amp;"␟"&amp;IFERROR(INDEX(PASTE_ALL,$DF902,46)&amp;"","")&amp;"␟"&amp;IFERROR(INDEX(PASTE_ALL,$DF902,47)&amp;"","")&amp;"␟"&amp;IFERROR(INDEX(PASTE_ALL,$DF902,48)&amp;"","")&amp;"␟"&amp;IFERROR(INDEX(PASTE_ALL,$DF902,49)&amp;"","")&amp;"␟"&amp;IFERROR(INDEX(PASTE_ALL,$DF902,50)&amp;"","")&amp;"␟"&amp;IFERROR(INDEX(PASTE_ALL,$DF902,51)&amp;"","")&amp;"␟"&amp;IFERROR(INDEX(PASTE_ALL,$DF902,52)&amp;"","")&amp;"␟"&amp;IFERROR(INDEX(PASTE_ALL,$DF902,53)&amp;"","")&amp;"␟"&amp;IFERROR(INDEX(PASTE_ALL,$DF902,54)&amp;"","")&amp;"␟"&amp;IFERROR(INDEX(PASTE_ALL,$DF902,55)&amp;"","")&amp;"␟"&amp;IFERROR(INDEX(PASTE_ALL,$DF902,56)&amp;"","")&amp;"␟"&amp;IFERROR(INDEX(PASTE_ALL,$DF902,57)&amp;"","")&amp;"␟"&amp;IFERROR(INDEX(PASTE_ALL,$DF902,58)&amp;"","")&amp;"␟"&amp;IFERROR(INDEX(PASTE_ALL,$DF902,59)&amp;"","")&amp;"␟"&amp;IFERROR(INDEX(PASTE_ALL,$DF902,60)&amp;"","")," "," "),CHAR(9)," "),CHAR(10)," "),CHAR(13)," "))," ␟","␟"),"␟ ","␟"),"#"&amp;$DE902),"")</f>
        <v/>
      </c>
      <c r="DJ902">
        <f>IF($DI902="",0,IF(SUMPRODUCT(--EXACT($DI$4:DI901,$DI902))&gt;0,1,0))</f>
        <v/>
      </c>
      <c r="DK902">
        <f>IF(AND($DI902&lt;&gt;"",$DJ902=0),1,0)</f>
        <v/>
      </c>
      <c r="DL902">
        <f>DL901+$DK902</f>
        <v/>
      </c>
      <c r="DM902">
        <f>IF(AND($DK902=1,$DL902&lt;=600),1,0)</f>
        <v/>
      </c>
      <c r="DN902">
        <f>IF($DM902=0,"",IF($L$6=0,"",IFERROR(IF(ISNUMBER(INDEX(PASTE_ALL,$DF902,$L$6)),INDEX(PASTE_ALL,$DF902,$L$6),TRIM(SUBSTITUTE(SUBSTITUTE(SUBSTITUTE(SUBSTITUTE(INDEX(PASTE_ALL,$DF902,$L$6)," "," "),CHAR(9)," "),CHAR(10)," "),CHAR(13)," "))),"")))</f>
        <v/>
      </c>
      <c r="DO902">
        <f>IF($DM902=0,"",IF($L$7=0,"",IFERROR(IF(ISNUMBER(INDEX(PASTE_ALL,$DF902,$L$7)),INDEX(PASTE_ALL,$DF902,$L$7),TRIM(SUBSTITUTE(SUBSTITUTE(SUBSTITUTE(SUBSTITUTE(INDEX(PASTE_ALL,$DF902,$L$7)," "," "),CHAR(9)," "),CHAR(10)," "),CHAR(13)," "))),"")))</f>
        <v/>
      </c>
      <c r="DP902">
        <f>IF($DM902=0,"",IF($L$8=0,"",IFERROR(IF(ISNUMBER(INDEX(PASTE_ALL,$DF902,$L$8)),INDEX(PASTE_ALL,$DF902,$L$8),TRIM(SUBSTITUTE(SUBSTITUTE(SUBSTITUTE(SUBSTITUTE(INDEX(PASTE_ALL,$DF902,$L$8)," "," "),CHAR(9)," "),CHAR(10)," "),CHAR(13)," "))),"")))</f>
        <v/>
      </c>
      <c r="DQ902">
        <f>IF($DM902=0,"",IF($L$9=0,"",IFERROR(IF(ISNUMBER(INDEX(PASTE_ALL,$DF902,$L$9)),INDEX(PASTE_ALL,$DF902,$L$9),TRIM(SUBSTITUTE(SUBSTITUTE(SUBSTITUTE(SUBSTITUTE(INDEX(PASTE_ALL,$DF902,$L$9)," "," "),CHAR(9)," "),CHAR(10)," "),CHAR(13)," "))),"")))</f>
        <v/>
      </c>
      <c r="DR902">
        <f>IF($DM902=0,"",IF($L$10=0,"",IFERROR(IF(ISNUMBER(INDEX(PASTE_ALL,$DF902,$L$10)),INDEX(PASTE_ALL,$DF902,$L$10),TRIM(SUBSTITUTE(SUBSTITUTE(SUBSTITUTE(SUBSTITUTE(INDEX(PASTE_ALL,$DF902,$L$10)," "," "),CHAR(9)," "),CHAR(10)," "),CHAR(13)," "))),"")))</f>
        <v/>
      </c>
      <c r="DS902">
        <f>IF($DM902=0,"",IF($L$11=0,"",IFERROR(IF(ISNUMBER(INDEX(PASTE_ALL,$DF902,$L$11)),INDEX(PASTE_ALL,$DF902,$L$11),TRIM(SUBSTITUTE(SUBSTITUTE(SUBSTITUTE(SUBSTITUTE(INDEX(PASTE_ALL,$DF902,$L$11)," "," "),CHAR(9)," "),CHAR(10)," "),CHAR(13)," "))),"")))</f>
        <v/>
      </c>
      <c r="DT902">
        <f>IF($DM902=0,"",IF($L$12=0,"",IFERROR(IF(ISNUMBER(INDEX(PASTE_ALL,$DF902,$L$12)),INDEX(PASTE_ALL,$DF902,$L$12),TRIM(SUBSTITUTE(SUBSTITUTE(SUBSTITUTE(SUBSTITUTE(INDEX(PASTE_ALL,$DF902,$L$12)," "," "),CHAR(9)," "),CHAR(10)," "),CHAR(13)," "))),"")))</f>
        <v/>
      </c>
      <c r="DU902">
        <f>IF($DM902=0,"",IF($L$13=0,"",IFERROR(IF(ISNUMBER(INDEX(PASTE_ALL,$DF902,$L$13)),INDEX(PASTE_ALL,$DF902,$L$13),TRIM(SUBSTITUTE(SUBSTITUTE(SUBSTITUTE(SUBSTITUTE(INDEX(PASTE_ALL,$DF902,$L$13)," "," "),CHAR(9)," "),CHAR(10)," "),CHAR(13)," "))),"")))</f>
        <v/>
      </c>
      <c r="DV902">
        <f>IF($DM902=0,"",IF($L$14=0,"",IFERROR(IF(ISNUMBER(INDEX(PASTE_ALL,$DF902,$L$14)),INDEX(PASTE_ALL,$DF902,$L$14),TRIM(SUBSTITUTE(SUBSTITUTE(SUBSTITUTE(SUBSTITUTE(INDEX(PASTE_ALL,$DF902,$L$14)," "," "),CHAR(9)," "),CHAR(10)," "),CHAR(13)," "))),"")))</f>
        <v/>
      </c>
      <c r="DW902">
        <f>IF($DM902=0,"",IF($L$15=0,"",IFERROR(IF(ISNUMBER(INDEX(PASTE_ALL,$DF902,$L$15)),INDEX(PASTE_ALL,$DF902,$L$15),IF(SUMPRODUCT(--ISNUMBER(FIND({"A","B","C","D","E","F","G","H","I","J","K","L","M","N","O","P","Q","R","S","T","U","V","W","X","Y","Z","0","1","2","3","4","5","6","7","8","9"},UPPER(TRIM(SUBSTITUTE(SUBSTITUTE(SUBSTITUTE(SUBSTITUTE(INDEX(PASTE_ALL,$DF902,$L$15)," "," "),CHAR(9)," "),CHAR(10)," "),CHAR(13)," "))))))&gt;0,TRIM(SUBSTITUTE(SUBSTITUTE(SUBSTITUTE(SUBSTITUTE(INDEX(PASTE_ALL,$DF902,$L$15)," "," "),CHAR(9)," "),CHAR(10)," "),CHAR(13)," ")),"")),"")))</f>
        <v/>
      </c>
      <c r="DX902">
        <f>IF($DM902=0,"",IF($L$16=0,"",IFERROR(IF(ISNUMBER(INDEX(PASTE_ALL,$DF902,$L$16)),INDEX(PASTE_ALL,$DF902,$L$16),SUBSTITUTE(SUBSTITUTE(TRIM(SUBSTITUTE(SUBSTITUTE(SUBSTITUTE(SUBSTITUTE(INDEX(PASTE_ALL,$DF902,$L$16)," "," "),CHAR(9)," "),CHAR(10)," "),CHAR(13)," ")),",",""),"%","")),"")))</f>
        <v/>
      </c>
      <c r="DY902">
        <f>IF($DM902=0,"",IFERROR(IF(ISNUMBER($DX902),$DX902,IF($DX902="","",IF(TRIM($DX902)="",0,IF(AND(AND(SUBSTITUTE(SUBSTITUTE(SUBSTITUTE(SUBSTITUTE(SUBSTITUTE(SUBSTITUTE(SUBSTITUTE(SUBSTITUTE(SUBSTITUTE(SUBSTITUTE(SUBSTITUTE(SUBSTITUTE(SUBSTITUTE(SUBSTITUTE(UPPER(TRIM($DX902)),"0",""),"1",""),"2",""),"3",""),"4",""),"5",""),"6",""),"7",""),"8",""),"9",""),".",""),"+",""),"-",""),"E","")="",LEN(SUBSTITUTE(SUBSTITUTE(MID(UPPER(TRIM($DX902)),1+OR(LEFT(UPPER(TRIM($DX902)),1)="+",LEFT(UPPER(TRIM($DX902)),1)="-"),999),"E+","E"),"E-","E"))=LEN(SUBSTITUTE(SUBSTITUTE(SUBSTITUTE(SUBSTITUTE(MID(UPPER(TRIM($DX902)),1+OR(LEFT(UPPER(TRIM($DX902)),1)="+",LEFT(UPPER(TRIM($DX902)),1)="-"),999),"E+","E"),"E-","E"),"+",""),"-","")),LEN(UPPER(TRIM($DX902)))-LEN(SUBSTITUTE(UPPER(TRIM($DX902)),"E",""))&lt;2,LEN(UPPER(TRIM($DX902)))-LEN(SUBSTITUTE(UPPER(TRIM($DX902)),".",""))&lt;2,IFERROR(FIND(".",UPPER(TRIM($DX902))),0)&lt;IFERROR(FIND("E",UPPER(TRIM($DX902))),999)),ISNUMBER(VALUE(TRIM($DX902)))),VALUE(TRIM($DX902)),"")))),""))</f>
        <v/>
      </c>
      <c r="DZ902">
        <f>IF($DM902=0,"",IF($L$17=0,"",IFERROR(IF(ISNUMBER(INDEX(PASTE_ALL,$DF902,$L$17)),INDEX(PASTE_ALL,$DF902,$L$17),SUBSTITUTE(SUBSTITUTE(TRIM(SUBSTITUTE(SUBSTITUTE(SUBSTITUTE(SUBSTITUTE(INDEX(PASTE_ALL,$DF902,$L$17)," "," "),CHAR(9)," "),CHAR(10)," "),CHAR(13)," ")),",",""),"%","")),"")))</f>
        <v/>
      </c>
      <c r="EA902">
        <f>IF($DM902=0,"",IFERROR(IF(ISNUMBER($DZ902),$DZ902,IF($DZ902="","",IF(TRIM($DZ902)="",0,IF(AND(AND(SUBSTITUTE(SUBSTITUTE(SUBSTITUTE(SUBSTITUTE(SUBSTITUTE(SUBSTITUTE(SUBSTITUTE(SUBSTITUTE(SUBSTITUTE(SUBSTITUTE(SUBSTITUTE(SUBSTITUTE(SUBSTITUTE(SUBSTITUTE(UPPER(TRIM($DZ902)),"0",""),"1",""),"2",""),"3",""),"4",""),"5",""),"6",""),"7",""),"8",""),"9",""),".",""),"+",""),"-",""),"E","")="",LEN(SUBSTITUTE(SUBSTITUTE(MID(UPPER(TRIM($DZ902)),1+OR(LEFT(UPPER(TRIM($DZ902)),1)="+",LEFT(UPPER(TRIM($DZ902)),1)="-"),999),"E+","E"),"E-","E"))=LEN(SUBSTITUTE(SUBSTITUTE(SUBSTITUTE(SUBSTITUTE(MID(UPPER(TRIM($DZ902)),1+OR(LEFT(UPPER(TRIM($DZ902)),1)="+",LEFT(UPPER(TRIM($DZ902)),1)="-"),999),"E+","E"),"E-","E"),"+",""),"-","")),LEN(UPPER(TRIM($DZ902)))-LEN(SUBSTITUTE(UPPER(TRIM($DZ902)),"E",""))&lt;2,LEN(UPPER(TRIM($DZ902)))-LEN(SUBSTITUTE(UPPER(TRIM($DZ902)),".",""))&lt;2,IFERROR(FIND(".",UPPER(TRIM($DZ902))),0)&lt;IFERROR(FIND("E",UPPER(TRIM($DZ902))),999)),ISNUMBER(VALUE(TRIM($DZ902)))),VALUE(TRIM($DZ902)),"")))),""))</f>
        <v/>
      </c>
      <c r="EB902">
        <f>IF($DM902=0,"",IF($L$18=0,"",IFERROR(IF(UPPER(TRIM(SUBSTITUTE(SUBSTITUTE(SUBSTITUTE(SUBSTITUTE(INDEX(PASTE_ALL,$DF902,$L$18)," "," "),CHAR(9)," "),CHAR(10)," "),CHAR(13)," ")))="READY","Ready",IF(UPPER(TRIM(SUBSTITUTE(SUBSTITUTE(SUBSTITUTE(SUBSTITUTE(INDEX(PASTE_ALL,$DF902,$L$18)," "," "),CHAR(9)," "),CHAR(10)," "),CHAR(13)," ")))="PM","PM",IF(OR(UPPER(TRIM(SUBSTITUTE(SUBSTITUTE(SUBSTITUTE(SUBSTITUTE(INDEX(PASTE_ALL,$DF902,$L$18)," "," "),CHAR(9)," "),CHAR(10)," "),CHAR(13)," ")))="OT",UPPER(TRIM(SUBSTITUTE(SUBSTITUTE(SUBSTITUTE(SUBSTITUTE(INDEX(PASTE_ALL,$DF902,$L$18)," "," "),CHAR(9)," "),CHAR(10)," "),CHAR(13)," ")))="OVERTIME",UPPER(TRIM(SUBSTITUTE(SUBSTITUTE(SUBSTITUTE(SUBSTITUTE(INDEX(PASTE_ALL,$DF902,$L$18)," "," "),CHAR(9)," "),CHAR(10)," "),CHAR(13)," ")))="TRIAL"),"OT",TRIM(SUBSTITUTE(SUBSTITUTE(SUBSTITUTE(SUBSTITUTE(INDEX(PASTE_ALL,$DF902,$L$18)," "," "),CHAR(9)," "),CHAR(10)," "),CHAR(13)," "))))),"")))</f>
        <v/>
      </c>
      <c r="EC902">
        <f>IF($DM902=0,"",IF($L$19=0,"",IFERROR(IF(ISNUMBER(INDEX(PASTE_ALL,$DF902,$L$19)),INDEX(PASTE_ALL,$DF902,$L$19),TRIM(SUBSTITUTE(SUBSTITUTE(SUBSTITUTE(SUBSTITUTE(INDEX(PASTE_ALL,$DF902,$L$19)," "," "),CHAR(9)," "),CHAR(10)," "),CHAR(13)," "))),"")))</f>
        <v/>
      </c>
      <c r="ED902">
        <f>IF($DM902=0,"",MATCH(1,INDEX(EXACT($DH$5:DH902,$DH902)*$DM$5:DM902,0),0))</f>
        <v/>
      </c>
      <c r="EE902">
        <f>IF($DM902=0,0,IF($ED902=$DE902,1,0))</f>
        <v/>
      </c>
      <c r="EF902">
        <f>EF901+$EE902</f>
        <v/>
      </c>
      <c r="EG902">
        <f>IF($DM902=0,"",INDEX($EF$5:$EF$1003,$ED902))</f>
        <v/>
      </c>
      <c r="EH902">
        <f>IF($DM902=0,"",IF($DO902&lt;&gt;"","",IFERROR(LOOKUP(2,1/(($EG$4:EG901=$EG902)*($DO$4:DO901&lt;&gt;"")),$DO$4:DO901),"")))</f>
        <v/>
      </c>
      <c r="EI902">
        <f>IF($DM902=0,"",IF($DO902&lt;&gt;"",$DO902,$EH902))</f>
        <v/>
      </c>
      <c r="EJ902">
        <f>IF($DM902=0,"",IF($EI902="",0,IF(OR(ISNUMBER($EI902),AND(AND(SUBSTITUTE(SUBSTITUTE(SUBSTITUTE(SUBSTITUTE(SUBSTITUTE(SUBSTITUTE(SUBSTITUTE(SUBSTITUTE(SUBSTITUTE(SUBSTITUTE(SUBSTITUTE(SUBSTITUTE(SUBSTITUTE(SUBSTITUTE(UPPER($EI902),"0",""),"1",""),"2",""),"3",""),"4",""),"5",""),"6",""),"7",""),"8",""),"9",""),".",""),"+",""),"-",""),"E","")="",LEN(SUBSTITUTE(SUBSTITUTE(MID(UPPER($EI902),1+OR(LEFT(UPPER($EI902),1)="+",LEFT(UPPER($EI902),1)="-"),999),"E+","E"),"E-","E"))=LEN(SUBSTITUTE(SUBSTITUTE(SUBSTITUTE(SUBSTITUTE(MID(UPPER($EI902),1+OR(LEFT(UPPER($EI902),1)="+",LEFT(UPPER($EI902),1)="-"),999),"E+","E"),"E-","E"),"+",""),"-","")),LEN(UPPER($EI902))-LEN(SUBSTITUTE(UPPER($EI902),"E",""))&lt;2,LEN(UPPER($EI902))-LEN(SUBSTITUTE(UPPER($EI902),".",""))&lt;2,IFERROR(FIND(".",UPPER($EI902)),0)&lt;IFERROR(FIND("E",UPPER($EI902)),999)),ISNUMBER(VALUE($EI902)))),1,2)))</f>
        <v/>
      </c>
      <c r="EK902">
        <f>IF($DM902=0,"",IF($EJ902=1,IF(ISNUMBER($EI902),$EI902,VALUE($EI902)),IF($EJ902=2,$DE902,0)))</f>
        <v/>
      </c>
      <c r="EL902">
        <f>IF($DM902=0,"",COUNTIF($EG$5:$EG$1003,"&lt;"&amp;$EG902)+SUMPRODUCT(($EG$5:$EG$1003=$EG902)*(($EJ$5:$EJ$1003&lt;$EJ902)+($EJ$5:$EJ$1003=$EJ902)*(($EK$5:$EK$1003&lt;$EK902)+($EK$5:$EK$1003=$EK902)*($DE$5:$DE$1003&lt;$DE902))))+1)</f>
        <v/>
      </c>
      <c r="EM902">
        <f>IF($DM902=0,"",$EL902+$EG902-1)</f>
        <v/>
      </c>
      <c r="EN902">
        <f>IF($DM902=0,0,IFERROR(MATCH(1,INDEX(--(TRIM(SUBSTITUTE(SUBSTITUTE(SUBSTITUTE(SUBSTITUTE(LINES_NAME&amp;""," "," "),CHAR(9)," "),CHAR(10)," "),CHAR(13)," "))=$DH902),0),0),0))</f>
        <v/>
      </c>
      <c r="EO902">
        <f>IF($EN902=0,0,IF(OR(UPPER(TRIM(INDEX(LINES_SCHEDULED,$EN902)&amp;""))="YES",UPPER(TRIM(INDEX(LINES_SCHEDULED,$EN902)&amp;""))="Y",UPPER(TRIM(INDEX(LINES_SCHEDULED,$EN902)&amp;""))="X"),1,0))</f>
        <v/>
      </c>
      <c r="EP902">
        <f>IF($DM902=0,"",IF(COUNTIFS($EG$5:$EG$1003,$EG902,$EB$5:$EB$1003,"Ready")&gt;0,"READY",IF(COUNTIFS($EG$5:$EG$1003,$EG902,$EB$5:$EB$1003,"PM")&gt;0,"PM",IF(COUNTIFS($EG$5:$EG$1003,$EG902,$EB$5:$EB$1003,"OT")&gt;0,"OT",""))))</f>
        <v/>
      </c>
      <c r="EQ902">
        <f>IF($EN902=0,"",UPPER(TRIM(INDEX(LINES_STATUS,$EN902)&amp;"")))</f>
        <v/>
      </c>
      <c r="ER902">
        <f>IF($DM902=0,"",IF(OR($EQ902="READY",$EQ902="PM",$EQ902="OT"),$EQ902,$EP902))</f>
        <v/>
      </c>
      <c r="ES902">
        <f>IF($DM902=0,"",IF(AND($DV902&lt;&gt;"",UPPER($DV902)&lt;&gt;"N"),"allergen",IF(ISNUMBER(SEARCH("oil",$DQ902)),"oil",IF(OR(EXACT($DS902,"A662"),EXACT($DS902,"A624")),"bulk",""))))</f>
        <v/>
      </c>
      <c r="ET902">
        <f>IF($DM902=0,"",IF(OR($EA902="",$EA902=0),"",$EA902/100))</f>
        <v/>
      </c>
      <c r="EU902">
        <f>IF(OR($ET902="",$DY902=""),"",INT($DY902*(1-$ET902)+0.5))</f>
        <v/>
      </c>
    </row>
    <row r="903">
      <c r="DA903" t="n">
        <v>899</v>
      </c>
      <c r="DB903">
        <f>IF($B$37=0,"",IFERROR(TRIM(SUBSTITUTE(SUBSTITUTE(SUBSTITUTE(SUBSTITUTE(INDEX(PASTE_ALL,899,$B$37)," "," "),CHAR(9)," "),CHAR(10)," "),CHAR(13)," ")),""))</f>
        <v/>
      </c>
      <c r="DC903">
        <f>IF(AND(899&gt;HEADER_ROW,UPPER(DB903)="LEGEND"),1,0)</f>
        <v/>
      </c>
      <c r="DE903" t="n">
        <v>899</v>
      </c>
      <c r="DF903">
        <f>HEADER_ROW+$DE903</f>
        <v/>
      </c>
      <c r="DG903">
        <f>IF(AND($DF903&lt;=1000,$DF903&lt;$B$8),1,0)</f>
        <v/>
      </c>
      <c r="DH903">
        <f>IF($DG903=1,IFERROR(INDEX($DB$5:$DB$1004,$DF903),""),"")</f>
        <v/>
      </c>
      <c r="DI903">
        <f>IF(AND($DG903=1,$DH903&lt;&gt;""),IFERROR(SUBSTITUTE(SUBSTITUTE(TRIM(SUBSTITUTE(SUBSTITUTE(SUBSTITUTE(SUBSTITUTE(IFERROR(INDEX(PASTE_ALL,$DF903,1)&amp;"","")&amp;"␟"&amp;IFERROR(INDEX(PASTE_ALL,$DF903,2)&amp;"","")&amp;"␟"&amp;IFERROR(INDEX(PASTE_ALL,$DF903,3)&amp;"","")&amp;"␟"&amp;IFERROR(INDEX(PASTE_ALL,$DF903,4)&amp;"","")&amp;"␟"&amp;IFERROR(INDEX(PASTE_ALL,$DF903,5)&amp;"","")&amp;"␟"&amp;IFERROR(INDEX(PASTE_ALL,$DF903,6)&amp;"","")&amp;"␟"&amp;IFERROR(INDEX(PASTE_ALL,$DF903,7)&amp;"","")&amp;"␟"&amp;IFERROR(INDEX(PASTE_ALL,$DF903,8)&amp;"","")&amp;"␟"&amp;IFERROR(INDEX(PASTE_ALL,$DF903,9)&amp;"","")&amp;"␟"&amp;IFERROR(INDEX(PASTE_ALL,$DF903,10)&amp;"","")&amp;"␟"&amp;IFERROR(INDEX(PASTE_ALL,$DF903,11)&amp;"","")&amp;"␟"&amp;IFERROR(INDEX(PASTE_ALL,$DF903,12)&amp;"","")&amp;"␟"&amp;IFERROR(INDEX(PASTE_ALL,$DF903,13)&amp;"","")&amp;"␟"&amp;IFERROR(INDEX(PASTE_ALL,$DF903,14)&amp;"","")&amp;"␟"&amp;IFERROR(INDEX(PASTE_ALL,$DF903,15)&amp;"","")&amp;"␟"&amp;IFERROR(INDEX(PASTE_ALL,$DF903,16)&amp;"","")&amp;"␟"&amp;IFERROR(INDEX(PASTE_ALL,$DF903,17)&amp;"","")&amp;"␟"&amp;IFERROR(INDEX(PASTE_ALL,$DF903,18)&amp;"","")&amp;"␟"&amp;IFERROR(INDEX(PASTE_ALL,$DF903,19)&amp;"","")&amp;"␟"&amp;IFERROR(INDEX(PASTE_ALL,$DF903,20)&amp;"","")&amp;"␟"&amp;IFERROR(INDEX(PASTE_ALL,$DF903,21)&amp;"","")&amp;"␟"&amp;IFERROR(INDEX(PASTE_ALL,$DF903,22)&amp;"","")&amp;"␟"&amp;IFERROR(INDEX(PASTE_ALL,$DF903,23)&amp;"","")&amp;"␟"&amp;IFERROR(INDEX(PASTE_ALL,$DF903,24)&amp;"","")&amp;"␟"&amp;IFERROR(INDEX(PASTE_ALL,$DF903,25)&amp;"","")&amp;"␟"&amp;IFERROR(INDEX(PASTE_ALL,$DF903,26)&amp;"","")&amp;"␟"&amp;IFERROR(INDEX(PASTE_ALL,$DF903,27)&amp;"","")&amp;"␟"&amp;IFERROR(INDEX(PASTE_ALL,$DF903,28)&amp;"","")&amp;"␟"&amp;IFERROR(INDEX(PASTE_ALL,$DF903,29)&amp;"","")&amp;"␟"&amp;IFERROR(INDEX(PASTE_ALL,$DF903,30)&amp;"","")&amp;"␟"&amp;IFERROR(INDEX(PASTE_ALL,$DF903,31)&amp;"","")&amp;"␟"&amp;IFERROR(INDEX(PASTE_ALL,$DF903,32)&amp;"","")&amp;"␟"&amp;IFERROR(INDEX(PASTE_ALL,$DF903,33)&amp;"","")&amp;"␟"&amp;IFERROR(INDEX(PASTE_ALL,$DF903,34)&amp;"","")&amp;"␟"&amp;IFERROR(INDEX(PASTE_ALL,$DF903,35)&amp;"","")&amp;"␟"&amp;IFERROR(INDEX(PASTE_ALL,$DF903,36)&amp;"","")&amp;"␟"&amp;IFERROR(INDEX(PASTE_ALL,$DF903,37)&amp;"","")&amp;"␟"&amp;IFERROR(INDEX(PASTE_ALL,$DF903,38)&amp;"","")&amp;"␟"&amp;IFERROR(INDEX(PASTE_ALL,$DF903,39)&amp;"","")&amp;"␟"&amp;IFERROR(INDEX(PASTE_ALL,$DF903,40)&amp;"","")&amp;"␟"&amp;IFERROR(INDEX(PASTE_ALL,$DF903,41)&amp;"","")&amp;"␟"&amp;IFERROR(INDEX(PASTE_ALL,$DF903,42)&amp;"","")&amp;"␟"&amp;IFERROR(INDEX(PASTE_ALL,$DF903,43)&amp;"","")&amp;"␟"&amp;IFERROR(INDEX(PASTE_ALL,$DF903,44)&amp;"","")&amp;"␟"&amp;IFERROR(INDEX(PASTE_ALL,$DF903,45)&amp;"","")&amp;"␟"&amp;IFERROR(INDEX(PASTE_ALL,$DF903,46)&amp;"","")&amp;"␟"&amp;IFERROR(INDEX(PASTE_ALL,$DF903,47)&amp;"","")&amp;"␟"&amp;IFERROR(INDEX(PASTE_ALL,$DF903,48)&amp;"","")&amp;"␟"&amp;IFERROR(INDEX(PASTE_ALL,$DF903,49)&amp;"","")&amp;"␟"&amp;IFERROR(INDEX(PASTE_ALL,$DF903,50)&amp;"","")&amp;"␟"&amp;IFERROR(INDEX(PASTE_ALL,$DF903,51)&amp;"","")&amp;"␟"&amp;IFERROR(INDEX(PASTE_ALL,$DF903,52)&amp;"","")&amp;"␟"&amp;IFERROR(INDEX(PASTE_ALL,$DF903,53)&amp;"","")&amp;"␟"&amp;IFERROR(INDEX(PASTE_ALL,$DF903,54)&amp;"","")&amp;"␟"&amp;IFERROR(INDEX(PASTE_ALL,$DF903,55)&amp;"","")&amp;"␟"&amp;IFERROR(INDEX(PASTE_ALL,$DF903,56)&amp;"","")&amp;"␟"&amp;IFERROR(INDEX(PASTE_ALL,$DF903,57)&amp;"","")&amp;"␟"&amp;IFERROR(INDEX(PASTE_ALL,$DF903,58)&amp;"","")&amp;"␟"&amp;IFERROR(INDEX(PASTE_ALL,$DF903,59)&amp;"","")&amp;"␟"&amp;IFERROR(INDEX(PASTE_ALL,$DF903,60)&amp;"","")," "," "),CHAR(9)," "),CHAR(10)," "),CHAR(13)," "))," ␟","␟"),"␟ ","␟"),"#"&amp;$DE903),"")</f>
        <v/>
      </c>
      <c r="DJ903">
        <f>IF($DI903="",0,IF(SUMPRODUCT(--EXACT($DI$4:DI902,$DI903))&gt;0,1,0))</f>
        <v/>
      </c>
      <c r="DK903">
        <f>IF(AND($DI903&lt;&gt;"",$DJ903=0),1,0)</f>
        <v/>
      </c>
      <c r="DL903">
        <f>DL902+$DK903</f>
        <v/>
      </c>
      <c r="DM903">
        <f>IF(AND($DK903=1,$DL903&lt;=600),1,0)</f>
        <v/>
      </c>
      <c r="DN903">
        <f>IF($DM903=0,"",IF($L$6=0,"",IFERROR(IF(ISNUMBER(INDEX(PASTE_ALL,$DF903,$L$6)),INDEX(PASTE_ALL,$DF903,$L$6),TRIM(SUBSTITUTE(SUBSTITUTE(SUBSTITUTE(SUBSTITUTE(INDEX(PASTE_ALL,$DF903,$L$6)," "," "),CHAR(9)," "),CHAR(10)," "),CHAR(13)," "))),"")))</f>
        <v/>
      </c>
      <c r="DO903">
        <f>IF($DM903=0,"",IF($L$7=0,"",IFERROR(IF(ISNUMBER(INDEX(PASTE_ALL,$DF903,$L$7)),INDEX(PASTE_ALL,$DF903,$L$7),TRIM(SUBSTITUTE(SUBSTITUTE(SUBSTITUTE(SUBSTITUTE(INDEX(PASTE_ALL,$DF903,$L$7)," "," "),CHAR(9)," "),CHAR(10)," "),CHAR(13)," "))),"")))</f>
        <v/>
      </c>
      <c r="DP903">
        <f>IF($DM903=0,"",IF($L$8=0,"",IFERROR(IF(ISNUMBER(INDEX(PASTE_ALL,$DF903,$L$8)),INDEX(PASTE_ALL,$DF903,$L$8),TRIM(SUBSTITUTE(SUBSTITUTE(SUBSTITUTE(SUBSTITUTE(INDEX(PASTE_ALL,$DF903,$L$8)," "," "),CHAR(9)," "),CHAR(10)," "),CHAR(13)," "))),"")))</f>
        <v/>
      </c>
      <c r="DQ903">
        <f>IF($DM903=0,"",IF($L$9=0,"",IFERROR(IF(ISNUMBER(INDEX(PASTE_ALL,$DF903,$L$9)),INDEX(PASTE_ALL,$DF903,$L$9),TRIM(SUBSTITUTE(SUBSTITUTE(SUBSTITUTE(SUBSTITUTE(INDEX(PASTE_ALL,$DF903,$L$9)," "," "),CHAR(9)," "),CHAR(10)," "),CHAR(13)," "))),"")))</f>
        <v/>
      </c>
      <c r="DR903">
        <f>IF($DM903=0,"",IF($L$10=0,"",IFERROR(IF(ISNUMBER(INDEX(PASTE_ALL,$DF903,$L$10)),INDEX(PASTE_ALL,$DF903,$L$10),TRIM(SUBSTITUTE(SUBSTITUTE(SUBSTITUTE(SUBSTITUTE(INDEX(PASTE_ALL,$DF903,$L$10)," "," "),CHAR(9)," "),CHAR(10)," "),CHAR(13)," "))),"")))</f>
        <v/>
      </c>
      <c r="DS903">
        <f>IF($DM903=0,"",IF($L$11=0,"",IFERROR(IF(ISNUMBER(INDEX(PASTE_ALL,$DF903,$L$11)),INDEX(PASTE_ALL,$DF903,$L$11),TRIM(SUBSTITUTE(SUBSTITUTE(SUBSTITUTE(SUBSTITUTE(INDEX(PASTE_ALL,$DF903,$L$11)," "," "),CHAR(9)," "),CHAR(10)," "),CHAR(13)," "))),"")))</f>
        <v/>
      </c>
      <c r="DT903">
        <f>IF($DM903=0,"",IF($L$12=0,"",IFERROR(IF(ISNUMBER(INDEX(PASTE_ALL,$DF903,$L$12)),INDEX(PASTE_ALL,$DF903,$L$12),TRIM(SUBSTITUTE(SUBSTITUTE(SUBSTITUTE(SUBSTITUTE(INDEX(PASTE_ALL,$DF903,$L$12)," "," "),CHAR(9)," "),CHAR(10)," "),CHAR(13)," "))),"")))</f>
        <v/>
      </c>
      <c r="DU903">
        <f>IF($DM903=0,"",IF($L$13=0,"",IFERROR(IF(ISNUMBER(INDEX(PASTE_ALL,$DF903,$L$13)),INDEX(PASTE_ALL,$DF903,$L$13),TRIM(SUBSTITUTE(SUBSTITUTE(SUBSTITUTE(SUBSTITUTE(INDEX(PASTE_ALL,$DF903,$L$13)," "," "),CHAR(9)," "),CHAR(10)," "),CHAR(13)," "))),"")))</f>
        <v/>
      </c>
      <c r="DV903">
        <f>IF($DM903=0,"",IF($L$14=0,"",IFERROR(IF(ISNUMBER(INDEX(PASTE_ALL,$DF903,$L$14)),INDEX(PASTE_ALL,$DF903,$L$14),TRIM(SUBSTITUTE(SUBSTITUTE(SUBSTITUTE(SUBSTITUTE(INDEX(PASTE_ALL,$DF903,$L$14)," "," "),CHAR(9)," "),CHAR(10)," "),CHAR(13)," "))),"")))</f>
        <v/>
      </c>
      <c r="DW903">
        <f>IF($DM903=0,"",IF($L$15=0,"",IFERROR(IF(ISNUMBER(INDEX(PASTE_ALL,$DF903,$L$15)),INDEX(PASTE_ALL,$DF903,$L$15),IF(SUMPRODUCT(--ISNUMBER(FIND({"A","B","C","D","E","F","G","H","I","J","K","L","M","N","O","P","Q","R","S","T","U","V","W","X","Y","Z","0","1","2","3","4","5","6","7","8","9"},UPPER(TRIM(SUBSTITUTE(SUBSTITUTE(SUBSTITUTE(SUBSTITUTE(INDEX(PASTE_ALL,$DF903,$L$15)," "," "),CHAR(9)," "),CHAR(10)," "),CHAR(13)," "))))))&gt;0,TRIM(SUBSTITUTE(SUBSTITUTE(SUBSTITUTE(SUBSTITUTE(INDEX(PASTE_ALL,$DF903,$L$15)," "," "),CHAR(9)," "),CHAR(10)," "),CHAR(13)," ")),"")),"")))</f>
        <v/>
      </c>
      <c r="DX903">
        <f>IF($DM903=0,"",IF($L$16=0,"",IFERROR(IF(ISNUMBER(INDEX(PASTE_ALL,$DF903,$L$16)),INDEX(PASTE_ALL,$DF903,$L$16),SUBSTITUTE(SUBSTITUTE(TRIM(SUBSTITUTE(SUBSTITUTE(SUBSTITUTE(SUBSTITUTE(INDEX(PASTE_ALL,$DF903,$L$16)," "," "),CHAR(9)," "),CHAR(10)," "),CHAR(13)," ")),",",""),"%","")),"")))</f>
        <v/>
      </c>
      <c r="DY903">
        <f>IF($DM903=0,"",IFERROR(IF(ISNUMBER($DX903),$DX903,IF($DX903="","",IF(TRIM($DX903)="",0,IF(AND(AND(SUBSTITUTE(SUBSTITUTE(SUBSTITUTE(SUBSTITUTE(SUBSTITUTE(SUBSTITUTE(SUBSTITUTE(SUBSTITUTE(SUBSTITUTE(SUBSTITUTE(SUBSTITUTE(SUBSTITUTE(SUBSTITUTE(SUBSTITUTE(UPPER(TRIM($DX903)),"0",""),"1",""),"2",""),"3",""),"4",""),"5",""),"6",""),"7",""),"8",""),"9",""),".",""),"+",""),"-",""),"E","")="",LEN(SUBSTITUTE(SUBSTITUTE(MID(UPPER(TRIM($DX903)),1+OR(LEFT(UPPER(TRIM($DX903)),1)="+",LEFT(UPPER(TRIM($DX903)),1)="-"),999),"E+","E"),"E-","E"))=LEN(SUBSTITUTE(SUBSTITUTE(SUBSTITUTE(SUBSTITUTE(MID(UPPER(TRIM($DX903)),1+OR(LEFT(UPPER(TRIM($DX903)),1)="+",LEFT(UPPER(TRIM($DX903)),1)="-"),999),"E+","E"),"E-","E"),"+",""),"-","")),LEN(UPPER(TRIM($DX903)))-LEN(SUBSTITUTE(UPPER(TRIM($DX903)),"E",""))&lt;2,LEN(UPPER(TRIM($DX903)))-LEN(SUBSTITUTE(UPPER(TRIM($DX903)),".",""))&lt;2,IFERROR(FIND(".",UPPER(TRIM($DX903))),0)&lt;IFERROR(FIND("E",UPPER(TRIM($DX903))),999)),ISNUMBER(VALUE(TRIM($DX903)))),VALUE(TRIM($DX903)),"")))),""))</f>
        <v/>
      </c>
      <c r="DZ903">
        <f>IF($DM903=0,"",IF($L$17=0,"",IFERROR(IF(ISNUMBER(INDEX(PASTE_ALL,$DF903,$L$17)),INDEX(PASTE_ALL,$DF903,$L$17),SUBSTITUTE(SUBSTITUTE(TRIM(SUBSTITUTE(SUBSTITUTE(SUBSTITUTE(SUBSTITUTE(INDEX(PASTE_ALL,$DF903,$L$17)," "," "),CHAR(9)," "),CHAR(10)," "),CHAR(13)," ")),",",""),"%","")),"")))</f>
        <v/>
      </c>
      <c r="EA903">
        <f>IF($DM903=0,"",IFERROR(IF(ISNUMBER($DZ903),$DZ903,IF($DZ903="","",IF(TRIM($DZ903)="",0,IF(AND(AND(SUBSTITUTE(SUBSTITUTE(SUBSTITUTE(SUBSTITUTE(SUBSTITUTE(SUBSTITUTE(SUBSTITUTE(SUBSTITUTE(SUBSTITUTE(SUBSTITUTE(SUBSTITUTE(SUBSTITUTE(SUBSTITUTE(SUBSTITUTE(UPPER(TRIM($DZ903)),"0",""),"1",""),"2",""),"3",""),"4",""),"5",""),"6",""),"7",""),"8",""),"9",""),".",""),"+",""),"-",""),"E","")="",LEN(SUBSTITUTE(SUBSTITUTE(MID(UPPER(TRIM($DZ903)),1+OR(LEFT(UPPER(TRIM($DZ903)),1)="+",LEFT(UPPER(TRIM($DZ903)),1)="-"),999),"E+","E"),"E-","E"))=LEN(SUBSTITUTE(SUBSTITUTE(SUBSTITUTE(SUBSTITUTE(MID(UPPER(TRIM($DZ903)),1+OR(LEFT(UPPER(TRIM($DZ903)),1)="+",LEFT(UPPER(TRIM($DZ903)),1)="-"),999),"E+","E"),"E-","E"),"+",""),"-","")),LEN(UPPER(TRIM($DZ903)))-LEN(SUBSTITUTE(UPPER(TRIM($DZ903)),"E",""))&lt;2,LEN(UPPER(TRIM($DZ903)))-LEN(SUBSTITUTE(UPPER(TRIM($DZ903)),".",""))&lt;2,IFERROR(FIND(".",UPPER(TRIM($DZ903))),0)&lt;IFERROR(FIND("E",UPPER(TRIM($DZ903))),999)),ISNUMBER(VALUE(TRIM($DZ903)))),VALUE(TRIM($DZ903)),"")))),""))</f>
        <v/>
      </c>
      <c r="EB903">
        <f>IF($DM903=0,"",IF($L$18=0,"",IFERROR(IF(UPPER(TRIM(SUBSTITUTE(SUBSTITUTE(SUBSTITUTE(SUBSTITUTE(INDEX(PASTE_ALL,$DF903,$L$18)," "," "),CHAR(9)," "),CHAR(10)," "),CHAR(13)," ")))="READY","Ready",IF(UPPER(TRIM(SUBSTITUTE(SUBSTITUTE(SUBSTITUTE(SUBSTITUTE(INDEX(PASTE_ALL,$DF903,$L$18)," "," "),CHAR(9)," "),CHAR(10)," "),CHAR(13)," ")))="PM","PM",IF(OR(UPPER(TRIM(SUBSTITUTE(SUBSTITUTE(SUBSTITUTE(SUBSTITUTE(INDEX(PASTE_ALL,$DF903,$L$18)," "," "),CHAR(9)," "),CHAR(10)," "),CHAR(13)," ")))="OT",UPPER(TRIM(SUBSTITUTE(SUBSTITUTE(SUBSTITUTE(SUBSTITUTE(INDEX(PASTE_ALL,$DF903,$L$18)," "," "),CHAR(9)," "),CHAR(10)," "),CHAR(13)," ")))="OVERTIME",UPPER(TRIM(SUBSTITUTE(SUBSTITUTE(SUBSTITUTE(SUBSTITUTE(INDEX(PASTE_ALL,$DF903,$L$18)," "," "),CHAR(9)," "),CHAR(10)," "),CHAR(13)," ")))="TRIAL"),"OT",TRIM(SUBSTITUTE(SUBSTITUTE(SUBSTITUTE(SUBSTITUTE(INDEX(PASTE_ALL,$DF903,$L$18)," "," "),CHAR(9)," "),CHAR(10)," "),CHAR(13)," "))))),"")))</f>
        <v/>
      </c>
      <c r="EC903">
        <f>IF($DM903=0,"",IF($L$19=0,"",IFERROR(IF(ISNUMBER(INDEX(PASTE_ALL,$DF903,$L$19)),INDEX(PASTE_ALL,$DF903,$L$19),TRIM(SUBSTITUTE(SUBSTITUTE(SUBSTITUTE(SUBSTITUTE(INDEX(PASTE_ALL,$DF903,$L$19)," "," "),CHAR(9)," "),CHAR(10)," "),CHAR(13)," "))),"")))</f>
        <v/>
      </c>
      <c r="ED903">
        <f>IF($DM903=0,"",MATCH(1,INDEX(EXACT($DH$5:DH903,$DH903)*$DM$5:DM903,0),0))</f>
        <v/>
      </c>
      <c r="EE903">
        <f>IF($DM903=0,0,IF($ED903=$DE903,1,0))</f>
        <v/>
      </c>
      <c r="EF903">
        <f>EF902+$EE903</f>
        <v/>
      </c>
      <c r="EG903">
        <f>IF($DM903=0,"",INDEX($EF$5:$EF$1003,$ED903))</f>
        <v/>
      </c>
      <c r="EH903">
        <f>IF($DM903=0,"",IF($DO903&lt;&gt;"","",IFERROR(LOOKUP(2,1/(($EG$4:EG902=$EG903)*($DO$4:DO902&lt;&gt;"")),$DO$4:DO902),"")))</f>
        <v/>
      </c>
      <c r="EI903">
        <f>IF($DM903=0,"",IF($DO903&lt;&gt;"",$DO903,$EH903))</f>
        <v/>
      </c>
      <c r="EJ903">
        <f>IF($DM903=0,"",IF($EI903="",0,IF(OR(ISNUMBER($EI903),AND(AND(SUBSTITUTE(SUBSTITUTE(SUBSTITUTE(SUBSTITUTE(SUBSTITUTE(SUBSTITUTE(SUBSTITUTE(SUBSTITUTE(SUBSTITUTE(SUBSTITUTE(SUBSTITUTE(SUBSTITUTE(SUBSTITUTE(SUBSTITUTE(UPPER($EI903),"0",""),"1",""),"2",""),"3",""),"4",""),"5",""),"6",""),"7",""),"8",""),"9",""),".",""),"+",""),"-",""),"E","")="",LEN(SUBSTITUTE(SUBSTITUTE(MID(UPPER($EI903),1+OR(LEFT(UPPER($EI903),1)="+",LEFT(UPPER($EI903),1)="-"),999),"E+","E"),"E-","E"))=LEN(SUBSTITUTE(SUBSTITUTE(SUBSTITUTE(SUBSTITUTE(MID(UPPER($EI903),1+OR(LEFT(UPPER($EI903),1)="+",LEFT(UPPER($EI903),1)="-"),999),"E+","E"),"E-","E"),"+",""),"-","")),LEN(UPPER($EI903))-LEN(SUBSTITUTE(UPPER($EI903),"E",""))&lt;2,LEN(UPPER($EI903))-LEN(SUBSTITUTE(UPPER($EI903),".",""))&lt;2,IFERROR(FIND(".",UPPER($EI903)),0)&lt;IFERROR(FIND("E",UPPER($EI903)),999)),ISNUMBER(VALUE($EI903)))),1,2)))</f>
        <v/>
      </c>
      <c r="EK903">
        <f>IF($DM903=0,"",IF($EJ903=1,IF(ISNUMBER($EI903),$EI903,VALUE($EI903)),IF($EJ903=2,$DE903,0)))</f>
        <v/>
      </c>
      <c r="EL903">
        <f>IF($DM903=0,"",COUNTIF($EG$5:$EG$1003,"&lt;"&amp;$EG903)+SUMPRODUCT(($EG$5:$EG$1003=$EG903)*(($EJ$5:$EJ$1003&lt;$EJ903)+($EJ$5:$EJ$1003=$EJ903)*(($EK$5:$EK$1003&lt;$EK903)+($EK$5:$EK$1003=$EK903)*($DE$5:$DE$1003&lt;$DE903))))+1)</f>
        <v/>
      </c>
      <c r="EM903">
        <f>IF($DM903=0,"",$EL903+$EG903-1)</f>
        <v/>
      </c>
      <c r="EN903">
        <f>IF($DM903=0,0,IFERROR(MATCH(1,INDEX(--(TRIM(SUBSTITUTE(SUBSTITUTE(SUBSTITUTE(SUBSTITUTE(LINES_NAME&amp;""," "," "),CHAR(9)," "),CHAR(10)," "),CHAR(13)," "))=$DH903),0),0),0))</f>
        <v/>
      </c>
      <c r="EO903">
        <f>IF($EN903=0,0,IF(OR(UPPER(TRIM(INDEX(LINES_SCHEDULED,$EN903)&amp;""))="YES",UPPER(TRIM(INDEX(LINES_SCHEDULED,$EN903)&amp;""))="Y",UPPER(TRIM(INDEX(LINES_SCHEDULED,$EN903)&amp;""))="X"),1,0))</f>
        <v/>
      </c>
      <c r="EP903">
        <f>IF($DM903=0,"",IF(COUNTIFS($EG$5:$EG$1003,$EG903,$EB$5:$EB$1003,"Ready")&gt;0,"READY",IF(COUNTIFS($EG$5:$EG$1003,$EG903,$EB$5:$EB$1003,"PM")&gt;0,"PM",IF(COUNTIFS($EG$5:$EG$1003,$EG903,$EB$5:$EB$1003,"OT")&gt;0,"OT",""))))</f>
        <v/>
      </c>
      <c r="EQ903">
        <f>IF($EN903=0,"",UPPER(TRIM(INDEX(LINES_STATUS,$EN903)&amp;"")))</f>
        <v/>
      </c>
      <c r="ER903">
        <f>IF($DM903=0,"",IF(OR($EQ903="READY",$EQ903="PM",$EQ903="OT"),$EQ903,$EP903))</f>
        <v/>
      </c>
      <c r="ES903">
        <f>IF($DM903=0,"",IF(AND($DV903&lt;&gt;"",UPPER($DV903)&lt;&gt;"N"),"allergen",IF(ISNUMBER(SEARCH("oil",$DQ903)),"oil",IF(OR(EXACT($DS903,"A662"),EXACT($DS903,"A624")),"bulk",""))))</f>
        <v/>
      </c>
      <c r="ET903">
        <f>IF($DM903=0,"",IF(OR($EA903="",$EA903=0),"",$EA903/100))</f>
        <v/>
      </c>
      <c r="EU903">
        <f>IF(OR($ET903="",$DY903=""),"",INT($DY903*(1-$ET903)+0.5))</f>
        <v/>
      </c>
    </row>
    <row r="904">
      <c r="DA904" t="n">
        <v>900</v>
      </c>
      <c r="DB904">
        <f>IF($B$37=0,"",IFERROR(TRIM(SUBSTITUTE(SUBSTITUTE(SUBSTITUTE(SUBSTITUTE(INDEX(PASTE_ALL,900,$B$37)," "," "),CHAR(9)," "),CHAR(10)," "),CHAR(13)," ")),""))</f>
        <v/>
      </c>
      <c r="DC904">
        <f>IF(AND(900&gt;HEADER_ROW,UPPER(DB904)="LEGEND"),1,0)</f>
        <v/>
      </c>
      <c r="DE904" t="n">
        <v>900</v>
      </c>
      <c r="DF904">
        <f>HEADER_ROW+$DE904</f>
        <v/>
      </c>
      <c r="DG904">
        <f>IF(AND($DF904&lt;=1000,$DF904&lt;$B$8),1,0)</f>
        <v/>
      </c>
      <c r="DH904">
        <f>IF($DG904=1,IFERROR(INDEX($DB$5:$DB$1004,$DF904),""),"")</f>
        <v/>
      </c>
      <c r="DI904">
        <f>IF(AND($DG904=1,$DH904&lt;&gt;""),IFERROR(SUBSTITUTE(SUBSTITUTE(TRIM(SUBSTITUTE(SUBSTITUTE(SUBSTITUTE(SUBSTITUTE(IFERROR(INDEX(PASTE_ALL,$DF904,1)&amp;"","")&amp;"␟"&amp;IFERROR(INDEX(PASTE_ALL,$DF904,2)&amp;"","")&amp;"␟"&amp;IFERROR(INDEX(PASTE_ALL,$DF904,3)&amp;"","")&amp;"␟"&amp;IFERROR(INDEX(PASTE_ALL,$DF904,4)&amp;"","")&amp;"␟"&amp;IFERROR(INDEX(PASTE_ALL,$DF904,5)&amp;"","")&amp;"␟"&amp;IFERROR(INDEX(PASTE_ALL,$DF904,6)&amp;"","")&amp;"␟"&amp;IFERROR(INDEX(PASTE_ALL,$DF904,7)&amp;"","")&amp;"␟"&amp;IFERROR(INDEX(PASTE_ALL,$DF904,8)&amp;"","")&amp;"␟"&amp;IFERROR(INDEX(PASTE_ALL,$DF904,9)&amp;"","")&amp;"␟"&amp;IFERROR(INDEX(PASTE_ALL,$DF904,10)&amp;"","")&amp;"␟"&amp;IFERROR(INDEX(PASTE_ALL,$DF904,11)&amp;"","")&amp;"␟"&amp;IFERROR(INDEX(PASTE_ALL,$DF904,12)&amp;"","")&amp;"␟"&amp;IFERROR(INDEX(PASTE_ALL,$DF904,13)&amp;"","")&amp;"␟"&amp;IFERROR(INDEX(PASTE_ALL,$DF904,14)&amp;"","")&amp;"␟"&amp;IFERROR(INDEX(PASTE_ALL,$DF904,15)&amp;"","")&amp;"␟"&amp;IFERROR(INDEX(PASTE_ALL,$DF904,16)&amp;"","")&amp;"␟"&amp;IFERROR(INDEX(PASTE_ALL,$DF904,17)&amp;"","")&amp;"␟"&amp;IFERROR(INDEX(PASTE_ALL,$DF904,18)&amp;"","")&amp;"␟"&amp;IFERROR(INDEX(PASTE_ALL,$DF904,19)&amp;"","")&amp;"␟"&amp;IFERROR(INDEX(PASTE_ALL,$DF904,20)&amp;"","")&amp;"␟"&amp;IFERROR(INDEX(PASTE_ALL,$DF904,21)&amp;"","")&amp;"␟"&amp;IFERROR(INDEX(PASTE_ALL,$DF904,22)&amp;"","")&amp;"␟"&amp;IFERROR(INDEX(PASTE_ALL,$DF904,23)&amp;"","")&amp;"␟"&amp;IFERROR(INDEX(PASTE_ALL,$DF904,24)&amp;"","")&amp;"␟"&amp;IFERROR(INDEX(PASTE_ALL,$DF904,25)&amp;"","")&amp;"␟"&amp;IFERROR(INDEX(PASTE_ALL,$DF904,26)&amp;"","")&amp;"␟"&amp;IFERROR(INDEX(PASTE_ALL,$DF904,27)&amp;"","")&amp;"␟"&amp;IFERROR(INDEX(PASTE_ALL,$DF904,28)&amp;"","")&amp;"␟"&amp;IFERROR(INDEX(PASTE_ALL,$DF904,29)&amp;"","")&amp;"␟"&amp;IFERROR(INDEX(PASTE_ALL,$DF904,30)&amp;"","")&amp;"␟"&amp;IFERROR(INDEX(PASTE_ALL,$DF904,31)&amp;"","")&amp;"␟"&amp;IFERROR(INDEX(PASTE_ALL,$DF904,32)&amp;"","")&amp;"␟"&amp;IFERROR(INDEX(PASTE_ALL,$DF904,33)&amp;"","")&amp;"␟"&amp;IFERROR(INDEX(PASTE_ALL,$DF904,34)&amp;"","")&amp;"␟"&amp;IFERROR(INDEX(PASTE_ALL,$DF904,35)&amp;"","")&amp;"␟"&amp;IFERROR(INDEX(PASTE_ALL,$DF904,36)&amp;"","")&amp;"␟"&amp;IFERROR(INDEX(PASTE_ALL,$DF904,37)&amp;"","")&amp;"␟"&amp;IFERROR(INDEX(PASTE_ALL,$DF904,38)&amp;"","")&amp;"␟"&amp;IFERROR(INDEX(PASTE_ALL,$DF904,39)&amp;"","")&amp;"␟"&amp;IFERROR(INDEX(PASTE_ALL,$DF904,40)&amp;"","")&amp;"␟"&amp;IFERROR(INDEX(PASTE_ALL,$DF904,41)&amp;"","")&amp;"␟"&amp;IFERROR(INDEX(PASTE_ALL,$DF904,42)&amp;"","")&amp;"␟"&amp;IFERROR(INDEX(PASTE_ALL,$DF904,43)&amp;"","")&amp;"␟"&amp;IFERROR(INDEX(PASTE_ALL,$DF904,44)&amp;"","")&amp;"␟"&amp;IFERROR(INDEX(PASTE_ALL,$DF904,45)&amp;"","")&amp;"␟"&amp;IFERROR(INDEX(PASTE_ALL,$DF904,46)&amp;"","")&amp;"␟"&amp;IFERROR(INDEX(PASTE_ALL,$DF904,47)&amp;"","")&amp;"␟"&amp;IFERROR(INDEX(PASTE_ALL,$DF904,48)&amp;"","")&amp;"␟"&amp;IFERROR(INDEX(PASTE_ALL,$DF904,49)&amp;"","")&amp;"␟"&amp;IFERROR(INDEX(PASTE_ALL,$DF904,50)&amp;"","")&amp;"␟"&amp;IFERROR(INDEX(PASTE_ALL,$DF904,51)&amp;"","")&amp;"␟"&amp;IFERROR(INDEX(PASTE_ALL,$DF904,52)&amp;"","")&amp;"␟"&amp;IFERROR(INDEX(PASTE_ALL,$DF904,53)&amp;"","")&amp;"␟"&amp;IFERROR(INDEX(PASTE_ALL,$DF904,54)&amp;"","")&amp;"␟"&amp;IFERROR(INDEX(PASTE_ALL,$DF904,55)&amp;"","")&amp;"␟"&amp;IFERROR(INDEX(PASTE_ALL,$DF904,56)&amp;"","")&amp;"␟"&amp;IFERROR(INDEX(PASTE_ALL,$DF904,57)&amp;"","")&amp;"␟"&amp;IFERROR(INDEX(PASTE_ALL,$DF904,58)&amp;"","")&amp;"␟"&amp;IFERROR(INDEX(PASTE_ALL,$DF904,59)&amp;"","")&amp;"␟"&amp;IFERROR(INDEX(PASTE_ALL,$DF904,60)&amp;"","")," "," "),CHAR(9)," "),CHAR(10)," "),CHAR(13)," "))," ␟","␟"),"␟ ","␟"),"#"&amp;$DE904),"")</f>
        <v/>
      </c>
      <c r="DJ904">
        <f>IF($DI904="",0,IF(SUMPRODUCT(--EXACT($DI$4:DI903,$DI904))&gt;0,1,0))</f>
        <v/>
      </c>
      <c r="DK904">
        <f>IF(AND($DI904&lt;&gt;"",$DJ904=0),1,0)</f>
        <v/>
      </c>
      <c r="DL904">
        <f>DL903+$DK904</f>
        <v/>
      </c>
      <c r="DM904">
        <f>IF(AND($DK904=1,$DL904&lt;=600),1,0)</f>
        <v/>
      </c>
      <c r="DN904">
        <f>IF($DM904=0,"",IF($L$6=0,"",IFERROR(IF(ISNUMBER(INDEX(PASTE_ALL,$DF904,$L$6)),INDEX(PASTE_ALL,$DF904,$L$6),TRIM(SUBSTITUTE(SUBSTITUTE(SUBSTITUTE(SUBSTITUTE(INDEX(PASTE_ALL,$DF904,$L$6)," "," "),CHAR(9)," "),CHAR(10)," "),CHAR(13)," "))),"")))</f>
        <v/>
      </c>
      <c r="DO904">
        <f>IF($DM904=0,"",IF($L$7=0,"",IFERROR(IF(ISNUMBER(INDEX(PASTE_ALL,$DF904,$L$7)),INDEX(PASTE_ALL,$DF904,$L$7),TRIM(SUBSTITUTE(SUBSTITUTE(SUBSTITUTE(SUBSTITUTE(INDEX(PASTE_ALL,$DF904,$L$7)," "," "),CHAR(9)," "),CHAR(10)," "),CHAR(13)," "))),"")))</f>
        <v/>
      </c>
      <c r="DP904">
        <f>IF($DM904=0,"",IF($L$8=0,"",IFERROR(IF(ISNUMBER(INDEX(PASTE_ALL,$DF904,$L$8)),INDEX(PASTE_ALL,$DF904,$L$8),TRIM(SUBSTITUTE(SUBSTITUTE(SUBSTITUTE(SUBSTITUTE(INDEX(PASTE_ALL,$DF904,$L$8)," "," "),CHAR(9)," "),CHAR(10)," "),CHAR(13)," "))),"")))</f>
        <v/>
      </c>
      <c r="DQ904">
        <f>IF($DM904=0,"",IF($L$9=0,"",IFERROR(IF(ISNUMBER(INDEX(PASTE_ALL,$DF904,$L$9)),INDEX(PASTE_ALL,$DF904,$L$9),TRIM(SUBSTITUTE(SUBSTITUTE(SUBSTITUTE(SUBSTITUTE(INDEX(PASTE_ALL,$DF904,$L$9)," "," "),CHAR(9)," "),CHAR(10)," "),CHAR(13)," "))),"")))</f>
        <v/>
      </c>
      <c r="DR904">
        <f>IF($DM904=0,"",IF($L$10=0,"",IFERROR(IF(ISNUMBER(INDEX(PASTE_ALL,$DF904,$L$10)),INDEX(PASTE_ALL,$DF904,$L$10),TRIM(SUBSTITUTE(SUBSTITUTE(SUBSTITUTE(SUBSTITUTE(INDEX(PASTE_ALL,$DF904,$L$10)," "," "),CHAR(9)," "),CHAR(10)," "),CHAR(13)," "))),"")))</f>
        <v/>
      </c>
      <c r="DS904">
        <f>IF($DM904=0,"",IF($L$11=0,"",IFERROR(IF(ISNUMBER(INDEX(PASTE_ALL,$DF904,$L$11)),INDEX(PASTE_ALL,$DF904,$L$11),TRIM(SUBSTITUTE(SUBSTITUTE(SUBSTITUTE(SUBSTITUTE(INDEX(PASTE_ALL,$DF904,$L$11)," "," "),CHAR(9)," "),CHAR(10)," "),CHAR(13)," "))),"")))</f>
        <v/>
      </c>
      <c r="DT904">
        <f>IF($DM904=0,"",IF($L$12=0,"",IFERROR(IF(ISNUMBER(INDEX(PASTE_ALL,$DF904,$L$12)),INDEX(PASTE_ALL,$DF904,$L$12),TRIM(SUBSTITUTE(SUBSTITUTE(SUBSTITUTE(SUBSTITUTE(INDEX(PASTE_ALL,$DF904,$L$12)," "," "),CHAR(9)," "),CHAR(10)," "),CHAR(13)," "))),"")))</f>
        <v/>
      </c>
      <c r="DU904">
        <f>IF($DM904=0,"",IF($L$13=0,"",IFERROR(IF(ISNUMBER(INDEX(PASTE_ALL,$DF904,$L$13)),INDEX(PASTE_ALL,$DF904,$L$13),TRIM(SUBSTITUTE(SUBSTITUTE(SUBSTITUTE(SUBSTITUTE(INDEX(PASTE_ALL,$DF904,$L$13)," "," "),CHAR(9)," "),CHAR(10)," "),CHAR(13)," "))),"")))</f>
        <v/>
      </c>
      <c r="DV904">
        <f>IF($DM904=0,"",IF($L$14=0,"",IFERROR(IF(ISNUMBER(INDEX(PASTE_ALL,$DF904,$L$14)),INDEX(PASTE_ALL,$DF904,$L$14),TRIM(SUBSTITUTE(SUBSTITUTE(SUBSTITUTE(SUBSTITUTE(INDEX(PASTE_ALL,$DF904,$L$14)," "," "),CHAR(9)," "),CHAR(10)," "),CHAR(13)," "))),"")))</f>
        <v/>
      </c>
      <c r="DW904">
        <f>IF($DM904=0,"",IF($L$15=0,"",IFERROR(IF(ISNUMBER(INDEX(PASTE_ALL,$DF904,$L$15)),INDEX(PASTE_ALL,$DF904,$L$15),IF(SUMPRODUCT(--ISNUMBER(FIND({"A","B","C","D","E","F","G","H","I","J","K","L","M","N","O","P","Q","R","S","T","U","V","W","X","Y","Z","0","1","2","3","4","5","6","7","8","9"},UPPER(TRIM(SUBSTITUTE(SUBSTITUTE(SUBSTITUTE(SUBSTITUTE(INDEX(PASTE_ALL,$DF904,$L$15)," "," "),CHAR(9)," "),CHAR(10)," "),CHAR(13)," "))))))&gt;0,TRIM(SUBSTITUTE(SUBSTITUTE(SUBSTITUTE(SUBSTITUTE(INDEX(PASTE_ALL,$DF904,$L$15)," "," "),CHAR(9)," "),CHAR(10)," "),CHAR(13)," ")),"")),"")))</f>
        <v/>
      </c>
      <c r="DX904">
        <f>IF($DM904=0,"",IF($L$16=0,"",IFERROR(IF(ISNUMBER(INDEX(PASTE_ALL,$DF904,$L$16)),INDEX(PASTE_ALL,$DF904,$L$16),SUBSTITUTE(SUBSTITUTE(TRIM(SUBSTITUTE(SUBSTITUTE(SUBSTITUTE(SUBSTITUTE(INDEX(PASTE_ALL,$DF904,$L$16)," "," "),CHAR(9)," "),CHAR(10)," "),CHAR(13)," ")),",",""),"%","")),"")))</f>
        <v/>
      </c>
      <c r="DY904">
        <f>IF($DM904=0,"",IFERROR(IF(ISNUMBER($DX904),$DX904,IF($DX904="","",IF(TRIM($DX904)="",0,IF(AND(AND(SUBSTITUTE(SUBSTITUTE(SUBSTITUTE(SUBSTITUTE(SUBSTITUTE(SUBSTITUTE(SUBSTITUTE(SUBSTITUTE(SUBSTITUTE(SUBSTITUTE(SUBSTITUTE(SUBSTITUTE(SUBSTITUTE(SUBSTITUTE(UPPER(TRIM($DX904)),"0",""),"1",""),"2",""),"3",""),"4",""),"5",""),"6",""),"7",""),"8",""),"9",""),".",""),"+",""),"-",""),"E","")="",LEN(SUBSTITUTE(SUBSTITUTE(MID(UPPER(TRIM($DX904)),1+OR(LEFT(UPPER(TRIM($DX904)),1)="+",LEFT(UPPER(TRIM($DX904)),1)="-"),999),"E+","E"),"E-","E"))=LEN(SUBSTITUTE(SUBSTITUTE(SUBSTITUTE(SUBSTITUTE(MID(UPPER(TRIM($DX904)),1+OR(LEFT(UPPER(TRIM($DX904)),1)="+",LEFT(UPPER(TRIM($DX904)),1)="-"),999),"E+","E"),"E-","E"),"+",""),"-","")),LEN(UPPER(TRIM($DX904)))-LEN(SUBSTITUTE(UPPER(TRIM($DX904)),"E",""))&lt;2,LEN(UPPER(TRIM($DX904)))-LEN(SUBSTITUTE(UPPER(TRIM($DX904)),".",""))&lt;2,IFERROR(FIND(".",UPPER(TRIM($DX904))),0)&lt;IFERROR(FIND("E",UPPER(TRIM($DX904))),999)),ISNUMBER(VALUE(TRIM($DX904)))),VALUE(TRIM($DX904)),"")))),""))</f>
        <v/>
      </c>
      <c r="DZ904">
        <f>IF($DM904=0,"",IF($L$17=0,"",IFERROR(IF(ISNUMBER(INDEX(PASTE_ALL,$DF904,$L$17)),INDEX(PASTE_ALL,$DF904,$L$17),SUBSTITUTE(SUBSTITUTE(TRIM(SUBSTITUTE(SUBSTITUTE(SUBSTITUTE(SUBSTITUTE(INDEX(PASTE_ALL,$DF904,$L$17)," "," "),CHAR(9)," "),CHAR(10)," "),CHAR(13)," ")),",",""),"%","")),"")))</f>
        <v/>
      </c>
      <c r="EA904">
        <f>IF($DM904=0,"",IFERROR(IF(ISNUMBER($DZ904),$DZ904,IF($DZ904="","",IF(TRIM($DZ904)="",0,IF(AND(AND(SUBSTITUTE(SUBSTITUTE(SUBSTITUTE(SUBSTITUTE(SUBSTITUTE(SUBSTITUTE(SUBSTITUTE(SUBSTITUTE(SUBSTITUTE(SUBSTITUTE(SUBSTITUTE(SUBSTITUTE(SUBSTITUTE(SUBSTITUTE(UPPER(TRIM($DZ904)),"0",""),"1",""),"2",""),"3",""),"4",""),"5",""),"6",""),"7",""),"8",""),"9",""),".",""),"+",""),"-",""),"E","")="",LEN(SUBSTITUTE(SUBSTITUTE(MID(UPPER(TRIM($DZ904)),1+OR(LEFT(UPPER(TRIM($DZ904)),1)="+",LEFT(UPPER(TRIM($DZ904)),1)="-"),999),"E+","E"),"E-","E"))=LEN(SUBSTITUTE(SUBSTITUTE(SUBSTITUTE(SUBSTITUTE(MID(UPPER(TRIM($DZ904)),1+OR(LEFT(UPPER(TRIM($DZ904)),1)="+",LEFT(UPPER(TRIM($DZ904)),1)="-"),999),"E+","E"),"E-","E"),"+",""),"-","")),LEN(UPPER(TRIM($DZ904)))-LEN(SUBSTITUTE(UPPER(TRIM($DZ904)),"E",""))&lt;2,LEN(UPPER(TRIM($DZ904)))-LEN(SUBSTITUTE(UPPER(TRIM($DZ904)),".",""))&lt;2,IFERROR(FIND(".",UPPER(TRIM($DZ904))),0)&lt;IFERROR(FIND("E",UPPER(TRIM($DZ904))),999)),ISNUMBER(VALUE(TRIM($DZ904)))),VALUE(TRIM($DZ904)),"")))),""))</f>
        <v/>
      </c>
      <c r="EB904">
        <f>IF($DM904=0,"",IF($L$18=0,"",IFERROR(IF(UPPER(TRIM(SUBSTITUTE(SUBSTITUTE(SUBSTITUTE(SUBSTITUTE(INDEX(PASTE_ALL,$DF904,$L$18)," "," "),CHAR(9)," "),CHAR(10)," "),CHAR(13)," ")))="READY","Ready",IF(UPPER(TRIM(SUBSTITUTE(SUBSTITUTE(SUBSTITUTE(SUBSTITUTE(INDEX(PASTE_ALL,$DF904,$L$18)," "," "),CHAR(9)," "),CHAR(10)," "),CHAR(13)," ")))="PM","PM",IF(OR(UPPER(TRIM(SUBSTITUTE(SUBSTITUTE(SUBSTITUTE(SUBSTITUTE(INDEX(PASTE_ALL,$DF904,$L$18)," "," "),CHAR(9)," "),CHAR(10)," "),CHAR(13)," ")))="OT",UPPER(TRIM(SUBSTITUTE(SUBSTITUTE(SUBSTITUTE(SUBSTITUTE(INDEX(PASTE_ALL,$DF904,$L$18)," "," "),CHAR(9)," "),CHAR(10)," "),CHAR(13)," ")))="OVERTIME",UPPER(TRIM(SUBSTITUTE(SUBSTITUTE(SUBSTITUTE(SUBSTITUTE(INDEX(PASTE_ALL,$DF904,$L$18)," "," "),CHAR(9)," "),CHAR(10)," "),CHAR(13)," ")))="TRIAL"),"OT",TRIM(SUBSTITUTE(SUBSTITUTE(SUBSTITUTE(SUBSTITUTE(INDEX(PASTE_ALL,$DF904,$L$18)," "," "),CHAR(9)," "),CHAR(10)," "),CHAR(13)," "))))),"")))</f>
        <v/>
      </c>
      <c r="EC904">
        <f>IF($DM904=0,"",IF($L$19=0,"",IFERROR(IF(ISNUMBER(INDEX(PASTE_ALL,$DF904,$L$19)),INDEX(PASTE_ALL,$DF904,$L$19),TRIM(SUBSTITUTE(SUBSTITUTE(SUBSTITUTE(SUBSTITUTE(INDEX(PASTE_ALL,$DF904,$L$19)," "," "),CHAR(9)," "),CHAR(10)," "),CHAR(13)," "))),"")))</f>
        <v/>
      </c>
      <c r="ED904">
        <f>IF($DM904=0,"",MATCH(1,INDEX(EXACT($DH$5:DH904,$DH904)*$DM$5:DM904,0),0))</f>
        <v/>
      </c>
      <c r="EE904">
        <f>IF($DM904=0,0,IF($ED904=$DE904,1,0))</f>
        <v/>
      </c>
      <c r="EF904">
        <f>EF903+$EE904</f>
        <v/>
      </c>
      <c r="EG904">
        <f>IF($DM904=0,"",INDEX($EF$5:$EF$1003,$ED904))</f>
        <v/>
      </c>
      <c r="EH904">
        <f>IF($DM904=0,"",IF($DO904&lt;&gt;"","",IFERROR(LOOKUP(2,1/(($EG$4:EG903=$EG904)*($DO$4:DO903&lt;&gt;"")),$DO$4:DO903),"")))</f>
        <v/>
      </c>
      <c r="EI904">
        <f>IF($DM904=0,"",IF($DO904&lt;&gt;"",$DO904,$EH904))</f>
        <v/>
      </c>
      <c r="EJ904">
        <f>IF($DM904=0,"",IF($EI904="",0,IF(OR(ISNUMBER($EI904),AND(AND(SUBSTITUTE(SUBSTITUTE(SUBSTITUTE(SUBSTITUTE(SUBSTITUTE(SUBSTITUTE(SUBSTITUTE(SUBSTITUTE(SUBSTITUTE(SUBSTITUTE(SUBSTITUTE(SUBSTITUTE(SUBSTITUTE(SUBSTITUTE(UPPER($EI904),"0",""),"1",""),"2",""),"3",""),"4",""),"5",""),"6",""),"7",""),"8",""),"9",""),".",""),"+",""),"-",""),"E","")="",LEN(SUBSTITUTE(SUBSTITUTE(MID(UPPER($EI904),1+OR(LEFT(UPPER($EI904),1)="+",LEFT(UPPER($EI904),1)="-"),999),"E+","E"),"E-","E"))=LEN(SUBSTITUTE(SUBSTITUTE(SUBSTITUTE(SUBSTITUTE(MID(UPPER($EI904),1+OR(LEFT(UPPER($EI904),1)="+",LEFT(UPPER($EI904),1)="-"),999),"E+","E"),"E-","E"),"+",""),"-","")),LEN(UPPER($EI904))-LEN(SUBSTITUTE(UPPER($EI904),"E",""))&lt;2,LEN(UPPER($EI904))-LEN(SUBSTITUTE(UPPER($EI904),".",""))&lt;2,IFERROR(FIND(".",UPPER($EI904)),0)&lt;IFERROR(FIND("E",UPPER($EI904)),999)),ISNUMBER(VALUE($EI904)))),1,2)))</f>
        <v/>
      </c>
      <c r="EK904">
        <f>IF($DM904=0,"",IF($EJ904=1,IF(ISNUMBER($EI904),$EI904,VALUE($EI904)),IF($EJ904=2,$DE904,0)))</f>
        <v/>
      </c>
      <c r="EL904">
        <f>IF($DM904=0,"",COUNTIF($EG$5:$EG$1003,"&lt;"&amp;$EG904)+SUMPRODUCT(($EG$5:$EG$1003=$EG904)*(($EJ$5:$EJ$1003&lt;$EJ904)+($EJ$5:$EJ$1003=$EJ904)*(($EK$5:$EK$1003&lt;$EK904)+($EK$5:$EK$1003=$EK904)*($DE$5:$DE$1003&lt;$DE904))))+1)</f>
        <v/>
      </c>
      <c r="EM904">
        <f>IF($DM904=0,"",$EL904+$EG904-1)</f>
        <v/>
      </c>
      <c r="EN904">
        <f>IF($DM904=0,0,IFERROR(MATCH(1,INDEX(--(TRIM(SUBSTITUTE(SUBSTITUTE(SUBSTITUTE(SUBSTITUTE(LINES_NAME&amp;""," "," "),CHAR(9)," "),CHAR(10)," "),CHAR(13)," "))=$DH904),0),0),0))</f>
        <v/>
      </c>
      <c r="EO904">
        <f>IF($EN904=0,0,IF(OR(UPPER(TRIM(INDEX(LINES_SCHEDULED,$EN904)&amp;""))="YES",UPPER(TRIM(INDEX(LINES_SCHEDULED,$EN904)&amp;""))="Y",UPPER(TRIM(INDEX(LINES_SCHEDULED,$EN904)&amp;""))="X"),1,0))</f>
        <v/>
      </c>
      <c r="EP904">
        <f>IF($DM904=0,"",IF(COUNTIFS($EG$5:$EG$1003,$EG904,$EB$5:$EB$1003,"Ready")&gt;0,"READY",IF(COUNTIFS($EG$5:$EG$1003,$EG904,$EB$5:$EB$1003,"PM")&gt;0,"PM",IF(COUNTIFS($EG$5:$EG$1003,$EG904,$EB$5:$EB$1003,"OT")&gt;0,"OT",""))))</f>
        <v/>
      </c>
      <c r="EQ904">
        <f>IF($EN904=0,"",UPPER(TRIM(INDEX(LINES_STATUS,$EN904)&amp;"")))</f>
        <v/>
      </c>
      <c r="ER904">
        <f>IF($DM904=0,"",IF(OR($EQ904="READY",$EQ904="PM",$EQ904="OT"),$EQ904,$EP904))</f>
        <v/>
      </c>
      <c r="ES904">
        <f>IF($DM904=0,"",IF(AND($DV904&lt;&gt;"",UPPER($DV904)&lt;&gt;"N"),"allergen",IF(ISNUMBER(SEARCH("oil",$DQ904)),"oil",IF(OR(EXACT($DS904,"A662"),EXACT($DS904,"A624")),"bulk",""))))</f>
        <v/>
      </c>
      <c r="ET904">
        <f>IF($DM904=0,"",IF(OR($EA904="",$EA904=0),"",$EA904/100))</f>
        <v/>
      </c>
      <c r="EU904">
        <f>IF(OR($ET904="",$DY904=""),"",INT($DY904*(1-$ET904)+0.5))</f>
        <v/>
      </c>
    </row>
    <row r="905">
      <c r="DA905" t="n">
        <v>901</v>
      </c>
      <c r="DB905">
        <f>IF($B$37=0,"",IFERROR(TRIM(SUBSTITUTE(SUBSTITUTE(SUBSTITUTE(SUBSTITUTE(INDEX(PASTE_ALL,901,$B$37)," "," "),CHAR(9)," "),CHAR(10)," "),CHAR(13)," ")),""))</f>
        <v/>
      </c>
      <c r="DC905">
        <f>IF(AND(901&gt;HEADER_ROW,UPPER(DB905)="LEGEND"),1,0)</f>
        <v/>
      </c>
      <c r="DE905" t="n">
        <v>901</v>
      </c>
      <c r="DF905">
        <f>HEADER_ROW+$DE905</f>
        <v/>
      </c>
      <c r="DG905">
        <f>IF(AND($DF905&lt;=1000,$DF905&lt;$B$8),1,0)</f>
        <v/>
      </c>
      <c r="DH905">
        <f>IF($DG905=1,IFERROR(INDEX($DB$5:$DB$1004,$DF905),""),"")</f>
        <v/>
      </c>
      <c r="DI905">
        <f>IF(AND($DG905=1,$DH905&lt;&gt;""),IFERROR(SUBSTITUTE(SUBSTITUTE(TRIM(SUBSTITUTE(SUBSTITUTE(SUBSTITUTE(SUBSTITUTE(IFERROR(INDEX(PASTE_ALL,$DF905,1)&amp;"","")&amp;"␟"&amp;IFERROR(INDEX(PASTE_ALL,$DF905,2)&amp;"","")&amp;"␟"&amp;IFERROR(INDEX(PASTE_ALL,$DF905,3)&amp;"","")&amp;"␟"&amp;IFERROR(INDEX(PASTE_ALL,$DF905,4)&amp;"","")&amp;"␟"&amp;IFERROR(INDEX(PASTE_ALL,$DF905,5)&amp;"","")&amp;"␟"&amp;IFERROR(INDEX(PASTE_ALL,$DF905,6)&amp;"","")&amp;"␟"&amp;IFERROR(INDEX(PASTE_ALL,$DF905,7)&amp;"","")&amp;"␟"&amp;IFERROR(INDEX(PASTE_ALL,$DF905,8)&amp;"","")&amp;"␟"&amp;IFERROR(INDEX(PASTE_ALL,$DF905,9)&amp;"","")&amp;"␟"&amp;IFERROR(INDEX(PASTE_ALL,$DF905,10)&amp;"","")&amp;"␟"&amp;IFERROR(INDEX(PASTE_ALL,$DF905,11)&amp;"","")&amp;"␟"&amp;IFERROR(INDEX(PASTE_ALL,$DF905,12)&amp;"","")&amp;"␟"&amp;IFERROR(INDEX(PASTE_ALL,$DF905,13)&amp;"","")&amp;"␟"&amp;IFERROR(INDEX(PASTE_ALL,$DF905,14)&amp;"","")&amp;"␟"&amp;IFERROR(INDEX(PASTE_ALL,$DF905,15)&amp;"","")&amp;"␟"&amp;IFERROR(INDEX(PASTE_ALL,$DF905,16)&amp;"","")&amp;"␟"&amp;IFERROR(INDEX(PASTE_ALL,$DF905,17)&amp;"","")&amp;"␟"&amp;IFERROR(INDEX(PASTE_ALL,$DF905,18)&amp;"","")&amp;"␟"&amp;IFERROR(INDEX(PASTE_ALL,$DF905,19)&amp;"","")&amp;"␟"&amp;IFERROR(INDEX(PASTE_ALL,$DF905,20)&amp;"","")&amp;"␟"&amp;IFERROR(INDEX(PASTE_ALL,$DF905,21)&amp;"","")&amp;"␟"&amp;IFERROR(INDEX(PASTE_ALL,$DF905,22)&amp;"","")&amp;"␟"&amp;IFERROR(INDEX(PASTE_ALL,$DF905,23)&amp;"","")&amp;"␟"&amp;IFERROR(INDEX(PASTE_ALL,$DF905,24)&amp;"","")&amp;"␟"&amp;IFERROR(INDEX(PASTE_ALL,$DF905,25)&amp;"","")&amp;"␟"&amp;IFERROR(INDEX(PASTE_ALL,$DF905,26)&amp;"","")&amp;"␟"&amp;IFERROR(INDEX(PASTE_ALL,$DF905,27)&amp;"","")&amp;"␟"&amp;IFERROR(INDEX(PASTE_ALL,$DF905,28)&amp;"","")&amp;"␟"&amp;IFERROR(INDEX(PASTE_ALL,$DF905,29)&amp;"","")&amp;"␟"&amp;IFERROR(INDEX(PASTE_ALL,$DF905,30)&amp;"","")&amp;"␟"&amp;IFERROR(INDEX(PASTE_ALL,$DF905,31)&amp;"","")&amp;"␟"&amp;IFERROR(INDEX(PASTE_ALL,$DF905,32)&amp;"","")&amp;"␟"&amp;IFERROR(INDEX(PASTE_ALL,$DF905,33)&amp;"","")&amp;"␟"&amp;IFERROR(INDEX(PASTE_ALL,$DF905,34)&amp;"","")&amp;"␟"&amp;IFERROR(INDEX(PASTE_ALL,$DF905,35)&amp;"","")&amp;"␟"&amp;IFERROR(INDEX(PASTE_ALL,$DF905,36)&amp;"","")&amp;"␟"&amp;IFERROR(INDEX(PASTE_ALL,$DF905,37)&amp;"","")&amp;"␟"&amp;IFERROR(INDEX(PASTE_ALL,$DF905,38)&amp;"","")&amp;"␟"&amp;IFERROR(INDEX(PASTE_ALL,$DF905,39)&amp;"","")&amp;"␟"&amp;IFERROR(INDEX(PASTE_ALL,$DF905,40)&amp;"","")&amp;"␟"&amp;IFERROR(INDEX(PASTE_ALL,$DF905,41)&amp;"","")&amp;"␟"&amp;IFERROR(INDEX(PASTE_ALL,$DF905,42)&amp;"","")&amp;"␟"&amp;IFERROR(INDEX(PASTE_ALL,$DF905,43)&amp;"","")&amp;"␟"&amp;IFERROR(INDEX(PASTE_ALL,$DF905,44)&amp;"","")&amp;"␟"&amp;IFERROR(INDEX(PASTE_ALL,$DF905,45)&amp;"","")&amp;"␟"&amp;IFERROR(INDEX(PASTE_ALL,$DF905,46)&amp;"","")&amp;"␟"&amp;IFERROR(INDEX(PASTE_ALL,$DF905,47)&amp;"","")&amp;"␟"&amp;IFERROR(INDEX(PASTE_ALL,$DF905,48)&amp;"","")&amp;"␟"&amp;IFERROR(INDEX(PASTE_ALL,$DF905,49)&amp;"","")&amp;"␟"&amp;IFERROR(INDEX(PASTE_ALL,$DF905,50)&amp;"","")&amp;"␟"&amp;IFERROR(INDEX(PASTE_ALL,$DF905,51)&amp;"","")&amp;"␟"&amp;IFERROR(INDEX(PASTE_ALL,$DF905,52)&amp;"","")&amp;"␟"&amp;IFERROR(INDEX(PASTE_ALL,$DF905,53)&amp;"","")&amp;"␟"&amp;IFERROR(INDEX(PASTE_ALL,$DF905,54)&amp;"","")&amp;"␟"&amp;IFERROR(INDEX(PASTE_ALL,$DF905,55)&amp;"","")&amp;"␟"&amp;IFERROR(INDEX(PASTE_ALL,$DF905,56)&amp;"","")&amp;"␟"&amp;IFERROR(INDEX(PASTE_ALL,$DF905,57)&amp;"","")&amp;"␟"&amp;IFERROR(INDEX(PASTE_ALL,$DF905,58)&amp;"","")&amp;"␟"&amp;IFERROR(INDEX(PASTE_ALL,$DF905,59)&amp;"","")&amp;"␟"&amp;IFERROR(INDEX(PASTE_ALL,$DF905,60)&amp;"","")," "," "),CHAR(9)," "),CHAR(10)," "),CHAR(13)," "))," ␟","␟"),"␟ ","␟"),"#"&amp;$DE905),"")</f>
        <v/>
      </c>
      <c r="DJ905">
        <f>IF($DI905="",0,IF(SUMPRODUCT(--EXACT($DI$4:DI904,$DI905))&gt;0,1,0))</f>
        <v/>
      </c>
      <c r="DK905">
        <f>IF(AND($DI905&lt;&gt;"",$DJ905=0),1,0)</f>
        <v/>
      </c>
      <c r="DL905">
        <f>DL904+$DK905</f>
        <v/>
      </c>
      <c r="DM905">
        <f>IF(AND($DK905=1,$DL905&lt;=600),1,0)</f>
        <v/>
      </c>
      <c r="DN905">
        <f>IF($DM905=0,"",IF($L$6=0,"",IFERROR(IF(ISNUMBER(INDEX(PASTE_ALL,$DF905,$L$6)),INDEX(PASTE_ALL,$DF905,$L$6),TRIM(SUBSTITUTE(SUBSTITUTE(SUBSTITUTE(SUBSTITUTE(INDEX(PASTE_ALL,$DF905,$L$6)," "," "),CHAR(9)," "),CHAR(10)," "),CHAR(13)," "))),"")))</f>
        <v/>
      </c>
      <c r="DO905">
        <f>IF($DM905=0,"",IF($L$7=0,"",IFERROR(IF(ISNUMBER(INDEX(PASTE_ALL,$DF905,$L$7)),INDEX(PASTE_ALL,$DF905,$L$7),TRIM(SUBSTITUTE(SUBSTITUTE(SUBSTITUTE(SUBSTITUTE(INDEX(PASTE_ALL,$DF905,$L$7)," "," "),CHAR(9)," "),CHAR(10)," "),CHAR(13)," "))),"")))</f>
        <v/>
      </c>
      <c r="DP905">
        <f>IF($DM905=0,"",IF($L$8=0,"",IFERROR(IF(ISNUMBER(INDEX(PASTE_ALL,$DF905,$L$8)),INDEX(PASTE_ALL,$DF905,$L$8),TRIM(SUBSTITUTE(SUBSTITUTE(SUBSTITUTE(SUBSTITUTE(INDEX(PASTE_ALL,$DF905,$L$8)," "," "),CHAR(9)," "),CHAR(10)," "),CHAR(13)," "))),"")))</f>
        <v/>
      </c>
      <c r="DQ905">
        <f>IF($DM905=0,"",IF($L$9=0,"",IFERROR(IF(ISNUMBER(INDEX(PASTE_ALL,$DF905,$L$9)),INDEX(PASTE_ALL,$DF905,$L$9),TRIM(SUBSTITUTE(SUBSTITUTE(SUBSTITUTE(SUBSTITUTE(INDEX(PASTE_ALL,$DF905,$L$9)," "," "),CHAR(9)," "),CHAR(10)," "),CHAR(13)," "))),"")))</f>
        <v/>
      </c>
      <c r="DR905">
        <f>IF($DM905=0,"",IF($L$10=0,"",IFERROR(IF(ISNUMBER(INDEX(PASTE_ALL,$DF905,$L$10)),INDEX(PASTE_ALL,$DF905,$L$10),TRIM(SUBSTITUTE(SUBSTITUTE(SUBSTITUTE(SUBSTITUTE(INDEX(PASTE_ALL,$DF905,$L$10)," "," "),CHAR(9)," "),CHAR(10)," "),CHAR(13)," "))),"")))</f>
        <v/>
      </c>
      <c r="DS905">
        <f>IF($DM905=0,"",IF($L$11=0,"",IFERROR(IF(ISNUMBER(INDEX(PASTE_ALL,$DF905,$L$11)),INDEX(PASTE_ALL,$DF905,$L$11),TRIM(SUBSTITUTE(SUBSTITUTE(SUBSTITUTE(SUBSTITUTE(INDEX(PASTE_ALL,$DF905,$L$11)," "," "),CHAR(9)," "),CHAR(10)," "),CHAR(13)," "))),"")))</f>
        <v/>
      </c>
      <c r="DT905">
        <f>IF($DM905=0,"",IF($L$12=0,"",IFERROR(IF(ISNUMBER(INDEX(PASTE_ALL,$DF905,$L$12)),INDEX(PASTE_ALL,$DF905,$L$12),TRIM(SUBSTITUTE(SUBSTITUTE(SUBSTITUTE(SUBSTITUTE(INDEX(PASTE_ALL,$DF905,$L$12)," "," "),CHAR(9)," "),CHAR(10)," "),CHAR(13)," "))),"")))</f>
        <v/>
      </c>
      <c r="DU905">
        <f>IF($DM905=0,"",IF($L$13=0,"",IFERROR(IF(ISNUMBER(INDEX(PASTE_ALL,$DF905,$L$13)),INDEX(PASTE_ALL,$DF905,$L$13),TRIM(SUBSTITUTE(SUBSTITUTE(SUBSTITUTE(SUBSTITUTE(INDEX(PASTE_ALL,$DF905,$L$13)," "," "),CHAR(9)," "),CHAR(10)," "),CHAR(13)," "))),"")))</f>
        <v/>
      </c>
      <c r="DV905">
        <f>IF($DM905=0,"",IF($L$14=0,"",IFERROR(IF(ISNUMBER(INDEX(PASTE_ALL,$DF905,$L$14)),INDEX(PASTE_ALL,$DF905,$L$14),TRIM(SUBSTITUTE(SUBSTITUTE(SUBSTITUTE(SUBSTITUTE(INDEX(PASTE_ALL,$DF905,$L$14)," "," "),CHAR(9)," "),CHAR(10)," "),CHAR(13)," "))),"")))</f>
        <v/>
      </c>
      <c r="DW905">
        <f>IF($DM905=0,"",IF($L$15=0,"",IFERROR(IF(ISNUMBER(INDEX(PASTE_ALL,$DF905,$L$15)),INDEX(PASTE_ALL,$DF905,$L$15),IF(SUMPRODUCT(--ISNUMBER(FIND({"A","B","C","D","E","F","G","H","I","J","K","L","M","N","O","P","Q","R","S","T","U","V","W","X","Y","Z","0","1","2","3","4","5","6","7","8","9"},UPPER(TRIM(SUBSTITUTE(SUBSTITUTE(SUBSTITUTE(SUBSTITUTE(INDEX(PASTE_ALL,$DF905,$L$15)," "," "),CHAR(9)," "),CHAR(10)," "),CHAR(13)," "))))))&gt;0,TRIM(SUBSTITUTE(SUBSTITUTE(SUBSTITUTE(SUBSTITUTE(INDEX(PASTE_ALL,$DF905,$L$15)," "," "),CHAR(9)," "),CHAR(10)," "),CHAR(13)," ")),"")),"")))</f>
        <v/>
      </c>
      <c r="DX905">
        <f>IF($DM905=0,"",IF($L$16=0,"",IFERROR(IF(ISNUMBER(INDEX(PASTE_ALL,$DF905,$L$16)),INDEX(PASTE_ALL,$DF905,$L$16),SUBSTITUTE(SUBSTITUTE(TRIM(SUBSTITUTE(SUBSTITUTE(SUBSTITUTE(SUBSTITUTE(INDEX(PASTE_ALL,$DF905,$L$16)," "," "),CHAR(9)," "),CHAR(10)," "),CHAR(13)," ")),",",""),"%","")),"")))</f>
        <v/>
      </c>
      <c r="DY905">
        <f>IF($DM905=0,"",IFERROR(IF(ISNUMBER($DX905),$DX905,IF($DX905="","",IF(TRIM($DX905)="",0,IF(AND(AND(SUBSTITUTE(SUBSTITUTE(SUBSTITUTE(SUBSTITUTE(SUBSTITUTE(SUBSTITUTE(SUBSTITUTE(SUBSTITUTE(SUBSTITUTE(SUBSTITUTE(SUBSTITUTE(SUBSTITUTE(SUBSTITUTE(SUBSTITUTE(UPPER(TRIM($DX905)),"0",""),"1",""),"2",""),"3",""),"4",""),"5",""),"6",""),"7",""),"8",""),"9",""),".",""),"+",""),"-",""),"E","")="",LEN(SUBSTITUTE(SUBSTITUTE(MID(UPPER(TRIM($DX905)),1+OR(LEFT(UPPER(TRIM($DX905)),1)="+",LEFT(UPPER(TRIM($DX905)),1)="-"),999),"E+","E"),"E-","E"))=LEN(SUBSTITUTE(SUBSTITUTE(SUBSTITUTE(SUBSTITUTE(MID(UPPER(TRIM($DX905)),1+OR(LEFT(UPPER(TRIM($DX905)),1)="+",LEFT(UPPER(TRIM($DX905)),1)="-"),999),"E+","E"),"E-","E"),"+",""),"-","")),LEN(UPPER(TRIM($DX905)))-LEN(SUBSTITUTE(UPPER(TRIM($DX905)),"E",""))&lt;2,LEN(UPPER(TRIM($DX905)))-LEN(SUBSTITUTE(UPPER(TRIM($DX905)),".",""))&lt;2,IFERROR(FIND(".",UPPER(TRIM($DX905))),0)&lt;IFERROR(FIND("E",UPPER(TRIM($DX905))),999)),ISNUMBER(VALUE(TRIM($DX905)))),VALUE(TRIM($DX905)),"")))),""))</f>
        <v/>
      </c>
      <c r="DZ905">
        <f>IF($DM905=0,"",IF($L$17=0,"",IFERROR(IF(ISNUMBER(INDEX(PASTE_ALL,$DF905,$L$17)),INDEX(PASTE_ALL,$DF905,$L$17),SUBSTITUTE(SUBSTITUTE(TRIM(SUBSTITUTE(SUBSTITUTE(SUBSTITUTE(SUBSTITUTE(INDEX(PASTE_ALL,$DF905,$L$17)," "," "),CHAR(9)," "),CHAR(10)," "),CHAR(13)," ")),",",""),"%","")),"")))</f>
        <v/>
      </c>
      <c r="EA905">
        <f>IF($DM905=0,"",IFERROR(IF(ISNUMBER($DZ905),$DZ905,IF($DZ905="","",IF(TRIM($DZ905)="",0,IF(AND(AND(SUBSTITUTE(SUBSTITUTE(SUBSTITUTE(SUBSTITUTE(SUBSTITUTE(SUBSTITUTE(SUBSTITUTE(SUBSTITUTE(SUBSTITUTE(SUBSTITUTE(SUBSTITUTE(SUBSTITUTE(SUBSTITUTE(SUBSTITUTE(UPPER(TRIM($DZ905)),"0",""),"1",""),"2",""),"3",""),"4",""),"5",""),"6",""),"7",""),"8",""),"9",""),".",""),"+",""),"-",""),"E","")="",LEN(SUBSTITUTE(SUBSTITUTE(MID(UPPER(TRIM($DZ905)),1+OR(LEFT(UPPER(TRIM($DZ905)),1)="+",LEFT(UPPER(TRIM($DZ905)),1)="-"),999),"E+","E"),"E-","E"))=LEN(SUBSTITUTE(SUBSTITUTE(SUBSTITUTE(SUBSTITUTE(MID(UPPER(TRIM($DZ905)),1+OR(LEFT(UPPER(TRIM($DZ905)),1)="+",LEFT(UPPER(TRIM($DZ905)),1)="-"),999),"E+","E"),"E-","E"),"+",""),"-","")),LEN(UPPER(TRIM($DZ905)))-LEN(SUBSTITUTE(UPPER(TRIM($DZ905)),"E",""))&lt;2,LEN(UPPER(TRIM($DZ905)))-LEN(SUBSTITUTE(UPPER(TRIM($DZ905)),".",""))&lt;2,IFERROR(FIND(".",UPPER(TRIM($DZ905))),0)&lt;IFERROR(FIND("E",UPPER(TRIM($DZ905))),999)),ISNUMBER(VALUE(TRIM($DZ905)))),VALUE(TRIM($DZ905)),"")))),""))</f>
        <v/>
      </c>
      <c r="EB905">
        <f>IF($DM905=0,"",IF($L$18=0,"",IFERROR(IF(UPPER(TRIM(SUBSTITUTE(SUBSTITUTE(SUBSTITUTE(SUBSTITUTE(INDEX(PASTE_ALL,$DF905,$L$18)," "," "),CHAR(9)," "),CHAR(10)," "),CHAR(13)," ")))="READY","Ready",IF(UPPER(TRIM(SUBSTITUTE(SUBSTITUTE(SUBSTITUTE(SUBSTITUTE(INDEX(PASTE_ALL,$DF905,$L$18)," "," "),CHAR(9)," "),CHAR(10)," "),CHAR(13)," ")))="PM","PM",IF(OR(UPPER(TRIM(SUBSTITUTE(SUBSTITUTE(SUBSTITUTE(SUBSTITUTE(INDEX(PASTE_ALL,$DF905,$L$18)," "," "),CHAR(9)," "),CHAR(10)," "),CHAR(13)," ")))="OT",UPPER(TRIM(SUBSTITUTE(SUBSTITUTE(SUBSTITUTE(SUBSTITUTE(INDEX(PASTE_ALL,$DF905,$L$18)," "," "),CHAR(9)," "),CHAR(10)," "),CHAR(13)," ")))="OVERTIME",UPPER(TRIM(SUBSTITUTE(SUBSTITUTE(SUBSTITUTE(SUBSTITUTE(INDEX(PASTE_ALL,$DF905,$L$18)," "," "),CHAR(9)," "),CHAR(10)," "),CHAR(13)," ")))="TRIAL"),"OT",TRIM(SUBSTITUTE(SUBSTITUTE(SUBSTITUTE(SUBSTITUTE(INDEX(PASTE_ALL,$DF905,$L$18)," "," "),CHAR(9)," "),CHAR(10)," "),CHAR(13)," "))))),"")))</f>
        <v/>
      </c>
      <c r="EC905">
        <f>IF($DM905=0,"",IF($L$19=0,"",IFERROR(IF(ISNUMBER(INDEX(PASTE_ALL,$DF905,$L$19)),INDEX(PASTE_ALL,$DF905,$L$19),TRIM(SUBSTITUTE(SUBSTITUTE(SUBSTITUTE(SUBSTITUTE(INDEX(PASTE_ALL,$DF905,$L$19)," "," "),CHAR(9)," "),CHAR(10)," "),CHAR(13)," "))),"")))</f>
        <v/>
      </c>
      <c r="ED905">
        <f>IF($DM905=0,"",MATCH(1,INDEX(EXACT($DH$5:DH905,$DH905)*$DM$5:DM905,0),0))</f>
        <v/>
      </c>
      <c r="EE905">
        <f>IF($DM905=0,0,IF($ED905=$DE905,1,0))</f>
        <v/>
      </c>
      <c r="EF905">
        <f>EF904+$EE905</f>
        <v/>
      </c>
      <c r="EG905">
        <f>IF($DM905=0,"",INDEX($EF$5:$EF$1003,$ED905))</f>
        <v/>
      </c>
      <c r="EH905">
        <f>IF($DM905=0,"",IF($DO905&lt;&gt;"","",IFERROR(LOOKUP(2,1/(($EG$4:EG904=$EG905)*($DO$4:DO904&lt;&gt;"")),$DO$4:DO904),"")))</f>
        <v/>
      </c>
      <c r="EI905">
        <f>IF($DM905=0,"",IF($DO905&lt;&gt;"",$DO905,$EH905))</f>
        <v/>
      </c>
      <c r="EJ905">
        <f>IF($DM905=0,"",IF($EI905="",0,IF(OR(ISNUMBER($EI905),AND(AND(SUBSTITUTE(SUBSTITUTE(SUBSTITUTE(SUBSTITUTE(SUBSTITUTE(SUBSTITUTE(SUBSTITUTE(SUBSTITUTE(SUBSTITUTE(SUBSTITUTE(SUBSTITUTE(SUBSTITUTE(SUBSTITUTE(SUBSTITUTE(UPPER($EI905),"0",""),"1",""),"2",""),"3",""),"4",""),"5",""),"6",""),"7",""),"8",""),"9",""),".",""),"+",""),"-",""),"E","")="",LEN(SUBSTITUTE(SUBSTITUTE(MID(UPPER($EI905),1+OR(LEFT(UPPER($EI905),1)="+",LEFT(UPPER($EI905),1)="-"),999),"E+","E"),"E-","E"))=LEN(SUBSTITUTE(SUBSTITUTE(SUBSTITUTE(SUBSTITUTE(MID(UPPER($EI905),1+OR(LEFT(UPPER($EI905),1)="+",LEFT(UPPER($EI905),1)="-"),999),"E+","E"),"E-","E"),"+",""),"-","")),LEN(UPPER($EI905))-LEN(SUBSTITUTE(UPPER($EI905),"E",""))&lt;2,LEN(UPPER($EI905))-LEN(SUBSTITUTE(UPPER($EI905),".",""))&lt;2,IFERROR(FIND(".",UPPER($EI905)),0)&lt;IFERROR(FIND("E",UPPER($EI905)),999)),ISNUMBER(VALUE($EI905)))),1,2)))</f>
        <v/>
      </c>
      <c r="EK905">
        <f>IF($DM905=0,"",IF($EJ905=1,IF(ISNUMBER($EI905),$EI905,VALUE($EI905)),IF($EJ905=2,$DE905,0)))</f>
        <v/>
      </c>
      <c r="EL905">
        <f>IF($DM905=0,"",COUNTIF($EG$5:$EG$1003,"&lt;"&amp;$EG905)+SUMPRODUCT(($EG$5:$EG$1003=$EG905)*(($EJ$5:$EJ$1003&lt;$EJ905)+($EJ$5:$EJ$1003=$EJ905)*(($EK$5:$EK$1003&lt;$EK905)+($EK$5:$EK$1003=$EK905)*($DE$5:$DE$1003&lt;$DE905))))+1)</f>
        <v/>
      </c>
      <c r="EM905">
        <f>IF($DM905=0,"",$EL905+$EG905-1)</f>
        <v/>
      </c>
      <c r="EN905">
        <f>IF($DM905=0,0,IFERROR(MATCH(1,INDEX(--(TRIM(SUBSTITUTE(SUBSTITUTE(SUBSTITUTE(SUBSTITUTE(LINES_NAME&amp;""," "," "),CHAR(9)," "),CHAR(10)," "),CHAR(13)," "))=$DH905),0),0),0))</f>
        <v/>
      </c>
      <c r="EO905">
        <f>IF($EN905=0,0,IF(OR(UPPER(TRIM(INDEX(LINES_SCHEDULED,$EN905)&amp;""))="YES",UPPER(TRIM(INDEX(LINES_SCHEDULED,$EN905)&amp;""))="Y",UPPER(TRIM(INDEX(LINES_SCHEDULED,$EN905)&amp;""))="X"),1,0))</f>
        <v/>
      </c>
      <c r="EP905">
        <f>IF($DM905=0,"",IF(COUNTIFS($EG$5:$EG$1003,$EG905,$EB$5:$EB$1003,"Ready")&gt;0,"READY",IF(COUNTIFS($EG$5:$EG$1003,$EG905,$EB$5:$EB$1003,"PM")&gt;0,"PM",IF(COUNTIFS($EG$5:$EG$1003,$EG905,$EB$5:$EB$1003,"OT")&gt;0,"OT",""))))</f>
        <v/>
      </c>
      <c r="EQ905">
        <f>IF($EN905=0,"",UPPER(TRIM(INDEX(LINES_STATUS,$EN905)&amp;"")))</f>
        <v/>
      </c>
      <c r="ER905">
        <f>IF($DM905=0,"",IF(OR($EQ905="READY",$EQ905="PM",$EQ905="OT"),$EQ905,$EP905))</f>
        <v/>
      </c>
      <c r="ES905">
        <f>IF($DM905=0,"",IF(AND($DV905&lt;&gt;"",UPPER($DV905)&lt;&gt;"N"),"allergen",IF(ISNUMBER(SEARCH("oil",$DQ905)),"oil",IF(OR(EXACT($DS905,"A662"),EXACT($DS905,"A624")),"bulk",""))))</f>
        <v/>
      </c>
      <c r="ET905">
        <f>IF($DM905=0,"",IF(OR($EA905="",$EA905=0),"",$EA905/100))</f>
        <v/>
      </c>
      <c r="EU905">
        <f>IF(OR($ET905="",$DY905=""),"",INT($DY905*(1-$ET905)+0.5))</f>
        <v/>
      </c>
    </row>
    <row r="906">
      <c r="DA906" t="n">
        <v>902</v>
      </c>
      <c r="DB906">
        <f>IF($B$37=0,"",IFERROR(TRIM(SUBSTITUTE(SUBSTITUTE(SUBSTITUTE(SUBSTITUTE(INDEX(PASTE_ALL,902,$B$37)," "," "),CHAR(9)," "),CHAR(10)," "),CHAR(13)," ")),""))</f>
        <v/>
      </c>
      <c r="DC906">
        <f>IF(AND(902&gt;HEADER_ROW,UPPER(DB906)="LEGEND"),1,0)</f>
        <v/>
      </c>
      <c r="DE906" t="n">
        <v>902</v>
      </c>
      <c r="DF906">
        <f>HEADER_ROW+$DE906</f>
        <v/>
      </c>
      <c r="DG906">
        <f>IF(AND($DF906&lt;=1000,$DF906&lt;$B$8),1,0)</f>
        <v/>
      </c>
      <c r="DH906">
        <f>IF($DG906=1,IFERROR(INDEX($DB$5:$DB$1004,$DF906),""),"")</f>
        <v/>
      </c>
      <c r="DI906">
        <f>IF(AND($DG906=1,$DH906&lt;&gt;""),IFERROR(SUBSTITUTE(SUBSTITUTE(TRIM(SUBSTITUTE(SUBSTITUTE(SUBSTITUTE(SUBSTITUTE(IFERROR(INDEX(PASTE_ALL,$DF906,1)&amp;"","")&amp;"␟"&amp;IFERROR(INDEX(PASTE_ALL,$DF906,2)&amp;"","")&amp;"␟"&amp;IFERROR(INDEX(PASTE_ALL,$DF906,3)&amp;"","")&amp;"␟"&amp;IFERROR(INDEX(PASTE_ALL,$DF906,4)&amp;"","")&amp;"␟"&amp;IFERROR(INDEX(PASTE_ALL,$DF906,5)&amp;"","")&amp;"␟"&amp;IFERROR(INDEX(PASTE_ALL,$DF906,6)&amp;"","")&amp;"␟"&amp;IFERROR(INDEX(PASTE_ALL,$DF906,7)&amp;"","")&amp;"␟"&amp;IFERROR(INDEX(PASTE_ALL,$DF906,8)&amp;"","")&amp;"␟"&amp;IFERROR(INDEX(PASTE_ALL,$DF906,9)&amp;"","")&amp;"␟"&amp;IFERROR(INDEX(PASTE_ALL,$DF906,10)&amp;"","")&amp;"␟"&amp;IFERROR(INDEX(PASTE_ALL,$DF906,11)&amp;"","")&amp;"␟"&amp;IFERROR(INDEX(PASTE_ALL,$DF906,12)&amp;"","")&amp;"␟"&amp;IFERROR(INDEX(PASTE_ALL,$DF906,13)&amp;"","")&amp;"␟"&amp;IFERROR(INDEX(PASTE_ALL,$DF906,14)&amp;"","")&amp;"␟"&amp;IFERROR(INDEX(PASTE_ALL,$DF906,15)&amp;"","")&amp;"␟"&amp;IFERROR(INDEX(PASTE_ALL,$DF906,16)&amp;"","")&amp;"␟"&amp;IFERROR(INDEX(PASTE_ALL,$DF906,17)&amp;"","")&amp;"␟"&amp;IFERROR(INDEX(PASTE_ALL,$DF906,18)&amp;"","")&amp;"␟"&amp;IFERROR(INDEX(PASTE_ALL,$DF906,19)&amp;"","")&amp;"␟"&amp;IFERROR(INDEX(PASTE_ALL,$DF906,20)&amp;"","")&amp;"␟"&amp;IFERROR(INDEX(PASTE_ALL,$DF906,21)&amp;"","")&amp;"␟"&amp;IFERROR(INDEX(PASTE_ALL,$DF906,22)&amp;"","")&amp;"␟"&amp;IFERROR(INDEX(PASTE_ALL,$DF906,23)&amp;"","")&amp;"␟"&amp;IFERROR(INDEX(PASTE_ALL,$DF906,24)&amp;"","")&amp;"␟"&amp;IFERROR(INDEX(PASTE_ALL,$DF906,25)&amp;"","")&amp;"␟"&amp;IFERROR(INDEX(PASTE_ALL,$DF906,26)&amp;"","")&amp;"␟"&amp;IFERROR(INDEX(PASTE_ALL,$DF906,27)&amp;"","")&amp;"␟"&amp;IFERROR(INDEX(PASTE_ALL,$DF906,28)&amp;"","")&amp;"␟"&amp;IFERROR(INDEX(PASTE_ALL,$DF906,29)&amp;"","")&amp;"␟"&amp;IFERROR(INDEX(PASTE_ALL,$DF906,30)&amp;"","")&amp;"␟"&amp;IFERROR(INDEX(PASTE_ALL,$DF906,31)&amp;"","")&amp;"␟"&amp;IFERROR(INDEX(PASTE_ALL,$DF906,32)&amp;"","")&amp;"␟"&amp;IFERROR(INDEX(PASTE_ALL,$DF906,33)&amp;"","")&amp;"␟"&amp;IFERROR(INDEX(PASTE_ALL,$DF906,34)&amp;"","")&amp;"␟"&amp;IFERROR(INDEX(PASTE_ALL,$DF906,35)&amp;"","")&amp;"␟"&amp;IFERROR(INDEX(PASTE_ALL,$DF906,36)&amp;"","")&amp;"␟"&amp;IFERROR(INDEX(PASTE_ALL,$DF906,37)&amp;"","")&amp;"␟"&amp;IFERROR(INDEX(PASTE_ALL,$DF906,38)&amp;"","")&amp;"␟"&amp;IFERROR(INDEX(PASTE_ALL,$DF906,39)&amp;"","")&amp;"␟"&amp;IFERROR(INDEX(PASTE_ALL,$DF906,40)&amp;"","")&amp;"␟"&amp;IFERROR(INDEX(PASTE_ALL,$DF906,41)&amp;"","")&amp;"␟"&amp;IFERROR(INDEX(PASTE_ALL,$DF906,42)&amp;"","")&amp;"␟"&amp;IFERROR(INDEX(PASTE_ALL,$DF906,43)&amp;"","")&amp;"␟"&amp;IFERROR(INDEX(PASTE_ALL,$DF906,44)&amp;"","")&amp;"␟"&amp;IFERROR(INDEX(PASTE_ALL,$DF906,45)&amp;"","")&amp;"␟"&amp;IFERROR(INDEX(PASTE_ALL,$DF906,46)&amp;"","")&amp;"␟"&amp;IFERROR(INDEX(PASTE_ALL,$DF906,47)&amp;"","")&amp;"␟"&amp;IFERROR(INDEX(PASTE_ALL,$DF906,48)&amp;"","")&amp;"␟"&amp;IFERROR(INDEX(PASTE_ALL,$DF906,49)&amp;"","")&amp;"␟"&amp;IFERROR(INDEX(PASTE_ALL,$DF906,50)&amp;"","")&amp;"␟"&amp;IFERROR(INDEX(PASTE_ALL,$DF906,51)&amp;"","")&amp;"␟"&amp;IFERROR(INDEX(PASTE_ALL,$DF906,52)&amp;"","")&amp;"␟"&amp;IFERROR(INDEX(PASTE_ALL,$DF906,53)&amp;"","")&amp;"␟"&amp;IFERROR(INDEX(PASTE_ALL,$DF906,54)&amp;"","")&amp;"␟"&amp;IFERROR(INDEX(PASTE_ALL,$DF906,55)&amp;"","")&amp;"␟"&amp;IFERROR(INDEX(PASTE_ALL,$DF906,56)&amp;"","")&amp;"␟"&amp;IFERROR(INDEX(PASTE_ALL,$DF906,57)&amp;"","")&amp;"␟"&amp;IFERROR(INDEX(PASTE_ALL,$DF906,58)&amp;"","")&amp;"␟"&amp;IFERROR(INDEX(PASTE_ALL,$DF906,59)&amp;"","")&amp;"␟"&amp;IFERROR(INDEX(PASTE_ALL,$DF906,60)&amp;"","")," "," "),CHAR(9)," "),CHAR(10)," "),CHAR(13)," "))," ␟","␟"),"␟ ","␟"),"#"&amp;$DE906),"")</f>
        <v/>
      </c>
      <c r="DJ906">
        <f>IF($DI906="",0,IF(SUMPRODUCT(--EXACT($DI$4:DI905,$DI906))&gt;0,1,0))</f>
        <v/>
      </c>
      <c r="DK906">
        <f>IF(AND($DI906&lt;&gt;"",$DJ906=0),1,0)</f>
        <v/>
      </c>
      <c r="DL906">
        <f>DL905+$DK906</f>
        <v/>
      </c>
      <c r="DM906">
        <f>IF(AND($DK906=1,$DL906&lt;=600),1,0)</f>
        <v/>
      </c>
      <c r="DN906">
        <f>IF($DM906=0,"",IF($L$6=0,"",IFERROR(IF(ISNUMBER(INDEX(PASTE_ALL,$DF906,$L$6)),INDEX(PASTE_ALL,$DF906,$L$6),TRIM(SUBSTITUTE(SUBSTITUTE(SUBSTITUTE(SUBSTITUTE(INDEX(PASTE_ALL,$DF906,$L$6)," "," "),CHAR(9)," "),CHAR(10)," "),CHAR(13)," "))),"")))</f>
        <v/>
      </c>
      <c r="DO906">
        <f>IF($DM906=0,"",IF($L$7=0,"",IFERROR(IF(ISNUMBER(INDEX(PASTE_ALL,$DF906,$L$7)),INDEX(PASTE_ALL,$DF906,$L$7),TRIM(SUBSTITUTE(SUBSTITUTE(SUBSTITUTE(SUBSTITUTE(INDEX(PASTE_ALL,$DF906,$L$7)," "," "),CHAR(9)," "),CHAR(10)," "),CHAR(13)," "))),"")))</f>
        <v/>
      </c>
      <c r="DP906">
        <f>IF($DM906=0,"",IF($L$8=0,"",IFERROR(IF(ISNUMBER(INDEX(PASTE_ALL,$DF906,$L$8)),INDEX(PASTE_ALL,$DF906,$L$8),TRIM(SUBSTITUTE(SUBSTITUTE(SUBSTITUTE(SUBSTITUTE(INDEX(PASTE_ALL,$DF906,$L$8)," "," "),CHAR(9)," "),CHAR(10)," "),CHAR(13)," "))),"")))</f>
        <v/>
      </c>
      <c r="DQ906">
        <f>IF($DM906=0,"",IF($L$9=0,"",IFERROR(IF(ISNUMBER(INDEX(PASTE_ALL,$DF906,$L$9)),INDEX(PASTE_ALL,$DF906,$L$9),TRIM(SUBSTITUTE(SUBSTITUTE(SUBSTITUTE(SUBSTITUTE(INDEX(PASTE_ALL,$DF906,$L$9)," "," "),CHAR(9)," "),CHAR(10)," "),CHAR(13)," "))),"")))</f>
        <v/>
      </c>
      <c r="DR906">
        <f>IF($DM906=0,"",IF($L$10=0,"",IFERROR(IF(ISNUMBER(INDEX(PASTE_ALL,$DF906,$L$10)),INDEX(PASTE_ALL,$DF906,$L$10),TRIM(SUBSTITUTE(SUBSTITUTE(SUBSTITUTE(SUBSTITUTE(INDEX(PASTE_ALL,$DF906,$L$10)," "," "),CHAR(9)," "),CHAR(10)," "),CHAR(13)," "))),"")))</f>
        <v/>
      </c>
      <c r="DS906">
        <f>IF($DM906=0,"",IF($L$11=0,"",IFERROR(IF(ISNUMBER(INDEX(PASTE_ALL,$DF906,$L$11)),INDEX(PASTE_ALL,$DF906,$L$11),TRIM(SUBSTITUTE(SUBSTITUTE(SUBSTITUTE(SUBSTITUTE(INDEX(PASTE_ALL,$DF906,$L$11)," "," "),CHAR(9)," "),CHAR(10)," "),CHAR(13)," "))),"")))</f>
        <v/>
      </c>
      <c r="DT906">
        <f>IF($DM906=0,"",IF($L$12=0,"",IFERROR(IF(ISNUMBER(INDEX(PASTE_ALL,$DF906,$L$12)),INDEX(PASTE_ALL,$DF906,$L$12),TRIM(SUBSTITUTE(SUBSTITUTE(SUBSTITUTE(SUBSTITUTE(INDEX(PASTE_ALL,$DF906,$L$12)," "," "),CHAR(9)," "),CHAR(10)," "),CHAR(13)," "))),"")))</f>
        <v/>
      </c>
      <c r="DU906">
        <f>IF($DM906=0,"",IF($L$13=0,"",IFERROR(IF(ISNUMBER(INDEX(PASTE_ALL,$DF906,$L$13)),INDEX(PASTE_ALL,$DF906,$L$13),TRIM(SUBSTITUTE(SUBSTITUTE(SUBSTITUTE(SUBSTITUTE(INDEX(PASTE_ALL,$DF906,$L$13)," "," "),CHAR(9)," "),CHAR(10)," "),CHAR(13)," "))),"")))</f>
        <v/>
      </c>
      <c r="DV906">
        <f>IF($DM906=0,"",IF($L$14=0,"",IFERROR(IF(ISNUMBER(INDEX(PASTE_ALL,$DF906,$L$14)),INDEX(PASTE_ALL,$DF906,$L$14),TRIM(SUBSTITUTE(SUBSTITUTE(SUBSTITUTE(SUBSTITUTE(INDEX(PASTE_ALL,$DF906,$L$14)," "," "),CHAR(9)," "),CHAR(10)," "),CHAR(13)," "))),"")))</f>
        <v/>
      </c>
      <c r="DW906">
        <f>IF($DM906=0,"",IF($L$15=0,"",IFERROR(IF(ISNUMBER(INDEX(PASTE_ALL,$DF906,$L$15)),INDEX(PASTE_ALL,$DF906,$L$15),IF(SUMPRODUCT(--ISNUMBER(FIND({"A","B","C","D","E","F","G","H","I","J","K","L","M","N","O","P","Q","R","S","T","U","V","W","X","Y","Z","0","1","2","3","4","5","6","7","8","9"},UPPER(TRIM(SUBSTITUTE(SUBSTITUTE(SUBSTITUTE(SUBSTITUTE(INDEX(PASTE_ALL,$DF906,$L$15)," "," "),CHAR(9)," "),CHAR(10)," "),CHAR(13)," "))))))&gt;0,TRIM(SUBSTITUTE(SUBSTITUTE(SUBSTITUTE(SUBSTITUTE(INDEX(PASTE_ALL,$DF906,$L$15)," "," "),CHAR(9)," "),CHAR(10)," "),CHAR(13)," ")),"")),"")))</f>
        <v/>
      </c>
      <c r="DX906">
        <f>IF($DM906=0,"",IF($L$16=0,"",IFERROR(IF(ISNUMBER(INDEX(PASTE_ALL,$DF906,$L$16)),INDEX(PASTE_ALL,$DF906,$L$16),SUBSTITUTE(SUBSTITUTE(TRIM(SUBSTITUTE(SUBSTITUTE(SUBSTITUTE(SUBSTITUTE(INDEX(PASTE_ALL,$DF906,$L$16)," "," "),CHAR(9)," "),CHAR(10)," "),CHAR(13)," ")),",",""),"%","")),"")))</f>
        <v/>
      </c>
      <c r="DY906">
        <f>IF($DM906=0,"",IFERROR(IF(ISNUMBER($DX906),$DX906,IF($DX906="","",IF(TRIM($DX906)="",0,IF(AND(AND(SUBSTITUTE(SUBSTITUTE(SUBSTITUTE(SUBSTITUTE(SUBSTITUTE(SUBSTITUTE(SUBSTITUTE(SUBSTITUTE(SUBSTITUTE(SUBSTITUTE(SUBSTITUTE(SUBSTITUTE(SUBSTITUTE(SUBSTITUTE(UPPER(TRIM($DX906)),"0",""),"1",""),"2",""),"3",""),"4",""),"5",""),"6",""),"7",""),"8",""),"9",""),".",""),"+",""),"-",""),"E","")="",LEN(SUBSTITUTE(SUBSTITUTE(MID(UPPER(TRIM($DX906)),1+OR(LEFT(UPPER(TRIM($DX906)),1)="+",LEFT(UPPER(TRIM($DX906)),1)="-"),999),"E+","E"),"E-","E"))=LEN(SUBSTITUTE(SUBSTITUTE(SUBSTITUTE(SUBSTITUTE(MID(UPPER(TRIM($DX906)),1+OR(LEFT(UPPER(TRIM($DX906)),1)="+",LEFT(UPPER(TRIM($DX906)),1)="-"),999),"E+","E"),"E-","E"),"+",""),"-","")),LEN(UPPER(TRIM($DX906)))-LEN(SUBSTITUTE(UPPER(TRIM($DX906)),"E",""))&lt;2,LEN(UPPER(TRIM($DX906)))-LEN(SUBSTITUTE(UPPER(TRIM($DX906)),".",""))&lt;2,IFERROR(FIND(".",UPPER(TRIM($DX906))),0)&lt;IFERROR(FIND("E",UPPER(TRIM($DX906))),999)),ISNUMBER(VALUE(TRIM($DX906)))),VALUE(TRIM($DX906)),"")))),""))</f>
        <v/>
      </c>
      <c r="DZ906">
        <f>IF($DM906=0,"",IF($L$17=0,"",IFERROR(IF(ISNUMBER(INDEX(PASTE_ALL,$DF906,$L$17)),INDEX(PASTE_ALL,$DF906,$L$17),SUBSTITUTE(SUBSTITUTE(TRIM(SUBSTITUTE(SUBSTITUTE(SUBSTITUTE(SUBSTITUTE(INDEX(PASTE_ALL,$DF906,$L$17)," "," "),CHAR(9)," "),CHAR(10)," "),CHAR(13)," ")),",",""),"%","")),"")))</f>
        <v/>
      </c>
      <c r="EA906">
        <f>IF($DM906=0,"",IFERROR(IF(ISNUMBER($DZ906),$DZ906,IF($DZ906="","",IF(TRIM($DZ906)="",0,IF(AND(AND(SUBSTITUTE(SUBSTITUTE(SUBSTITUTE(SUBSTITUTE(SUBSTITUTE(SUBSTITUTE(SUBSTITUTE(SUBSTITUTE(SUBSTITUTE(SUBSTITUTE(SUBSTITUTE(SUBSTITUTE(SUBSTITUTE(SUBSTITUTE(UPPER(TRIM($DZ906)),"0",""),"1",""),"2",""),"3",""),"4",""),"5",""),"6",""),"7",""),"8",""),"9",""),".",""),"+",""),"-",""),"E","")="",LEN(SUBSTITUTE(SUBSTITUTE(MID(UPPER(TRIM($DZ906)),1+OR(LEFT(UPPER(TRIM($DZ906)),1)="+",LEFT(UPPER(TRIM($DZ906)),1)="-"),999),"E+","E"),"E-","E"))=LEN(SUBSTITUTE(SUBSTITUTE(SUBSTITUTE(SUBSTITUTE(MID(UPPER(TRIM($DZ906)),1+OR(LEFT(UPPER(TRIM($DZ906)),1)="+",LEFT(UPPER(TRIM($DZ906)),1)="-"),999),"E+","E"),"E-","E"),"+",""),"-","")),LEN(UPPER(TRIM($DZ906)))-LEN(SUBSTITUTE(UPPER(TRIM($DZ906)),"E",""))&lt;2,LEN(UPPER(TRIM($DZ906)))-LEN(SUBSTITUTE(UPPER(TRIM($DZ906)),".",""))&lt;2,IFERROR(FIND(".",UPPER(TRIM($DZ906))),0)&lt;IFERROR(FIND("E",UPPER(TRIM($DZ906))),999)),ISNUMBER(VALUE(TRIM($DZ906)))),VALUE(TRIM($DZ906)),"")))),""))</f>
        <v/>
      </c>
      <c r="EB906">
        <f>IF($DM906=0,"",IF($L$18=0,"",IFERROR(IF(UPPER(TRIM(SUBSTITUTE(SUBSTITUTE(SUBSTITUTE(SUBSTITUTE(INDEX(PASTE_ALL,$DF906,$L$18)," "," "),CHAR(9)," "),CHAR(10)," "),CHAR(13)," ")))="READY","Ready",IF(UPPER(TRIM(SUBSTITUTE(SUBSTITUTE(SUBSTITUTE(SUBSTITUTE(INDEX(PASTE_ALL,$DF906,$L$18)," "," "),CHAR(9)," "),CHAR(10)," "),CHAR(13)," ")))="PM","PM",IF(OR(UPPER(TRIM(SUBSTITUTE(SUBSTITUTE(SUBSTITUTE(SUBSTITUTE(INDEX(PASTE_ALL,$DF906,$L$18)," "," "),CHAR(9)," "),CHAR(10)," "),CHAR(13)," ")))="OT",UPPER(TRIM(SUBSTITUTE(SUBSTITUTE(SUBSTITUTE(SUBSTITUTE(INDEX(PASTE_ALL,$DF906,$L$18)," "," "),CHAR(9)," "),CHAR(10)," "),CHAR(13)," ")))="OVERTIME",UPPER(TRIM(SUBSTITUTE(SUBSTITUTE(SUBSTITUTE(SUBSTITUTE(INDEX(PASTE_ALL,$DF906,$L$18)," "," "),CHAR(9)," "),CHAR(10)," "),CHAR(13)," ")))="TRIAL"),"OT",TRIM(SUBSTITUTE(SUBSTITUTE(SUBSTITUTE(SUBSTITUTE(INDEX(PASTE_ALL,$DF906,$L$18)," "," "),CHAR(9)," "),CHAR(10)," "),CHAR(13)," "))))),"")))</f>
        <v/>
      </c>
      <c r="EC906">
        <f>IF($DM906=0,"",IF($L$19=0,"",IFERROR(IF(ISNUMBER(INDEX(PASTE_ALL,$DF906,$L$19)),INDEX(PASTE_ALL,$DF906,$L$19),TRIM(SUBSTITUTE(SUBSTITUTE(SUBSTITUTE(SUBSTITUTE(INDEX(PASTE_ALL,$DF906,$L$19)," "," "),CHAR(9)," "),CHAR(10)," "),CHAR(13)," "))),"")))</f>
        <v/>
      </c>
      <c r="ED906">
        <f>IF($DM906=0,"",MATCH(1,INDEX(EXACT($DH$5:DH906,$DH906)*$DM$5:DM906,0),0))</f>
        <v/>
      </c>
      <c r="EE906">
        <f>IF($DM906=0,0,IF($ED906=$DE906,1,0))</f>
        <v/>
      </c>
      <c r="EF906">
        <f>EF905+$EE906</f>
        <v/>
      </c>
      <c r="EG906">
        <f>IF($DM906=0,"",INDEX($EF$5:$EF$1003,$ED906))</f>
        <v/>
      </c>
      <c r="EH906">
        <f>IF($DM906=0,"",IF($DO906&lt;&gt;"","",IFERROR(LOOKUP(2,1/(($EG$4:EG905=$EG906)*($DO$4:DO905&lt;&gt;"")),$DO$4:DO905),"")))</f>
        <v/>
      </c>
      <c r="EI906">
        <f>IF($DM906=0,"",IF($DO906&lt;&gt;"",$DO906,$EH906))</f>
        <v/>
      </c>
      <c r="EJ906">
        <f>IF($DM906=0,"",IF($EI906="",0,IF(OR(ISNUMBER($EI906),AND(AND(SUBSTITUTE(SUBSTITUTE(SUBSTITUTE(SUBSTITUTE(SUBSTITUTE(SUBSTITUTE(SUBSTITUTE(SUBSTITUTE(SUBSTITUTE(SUBSTITUTE(SUBSTITUTE(SUBSTITUTE(SUBSTITUTE(SUBSTITUTE(UPPER($EI906),"0",""),"1",""),"2",""),"3",""),"4",""),"5",""),"6",""),"7",""),"8",""),"9",""),".",""),"+",""),"-",""),"E","")="",LEN(SUBSTITUTE(SUBSTITUTE(MID(UPPER($EI906),1+OR(LEFT(UPPER($EI906),1)="+",LEFT(UPPER($EI906),1)="-"),999),"E+","E"),"E-","E"))=LEN(SUBSTITUTE(SUBSTITUTE(SUBSTITUTE(SUBSTITUTE(MID(UPPER($EI906),1+OR(LEFT(UPPER($EI906),1)="+",LEFT(UPPER($EI906),1)="-"),999),"E+","E"),"E-","E"),"+",""),"-","")),LEN(UPPER($EI906))-LEN(SUBSTITUTE(UPPER($EI906),"E",""))&lt;2,LEN(UPPER($EI906))-LEN(SUBSTITUTE(UPPER($EI906),".",""))&lt;2,IFERROR(FIND(".",UPPER($EI906)),0)&lt;IFERROR(FIND("E",UPPER($EI906)),999)),ISNUMBER(VALUE($EI906)))),1,2)))</f>
        <v/>
      </c>
      <c r="EK906">
        <f>IF($DM906=0,"",IF($EJ906=1,IF(ISNUMBER($EI906),$EI906,VALUE($EI906)),IF($EJ906=2,$DE906,0)))</f>
        <v/>
      </c>
      <c r="EL906">
        <f>IF($DM906=0,"",COUNTIF($EG$5:$EG$1003,"&lt;"&amp;$EG906)+SUMPRODUCT(($EG$5:$EG$1003=$EG906)*(($EJ$5:$EJ$1003&lt;$EJ906)+($EJ$5:$EJ$1003=$EJ906)*(($EK$5:$EK$1003&lt;$EK906)+($EK$5:$EK$1003=$EK906)*($DE$5:$DE$1003&lt;$DE906))))+1)</f>
        <v/>
      </c>
      <c r="EM906">
        <f>IF($DM906=0,"",$EL906+$EG906-1)</f>
        <v/>
      </c>
      <c r="EN906">
        <f>IF($DM906=0,0,IFERROR(MATCH(1,INDEX(--(TRIM(SUBSTITUTE(SUBSTITUTE(SUBSTITUTE(SUBSTITUTE(LINES_NAME&amp;""," "," "),CHAR(9)," "),CHAR(10)," "),CHAR(13)," "))=$DH906),0),0),0))</f>
        <v/>
      </c>
      <c r="EO906">
        <f>IF($EN906=0,0,IF(OR(UPPER(TRIM(INDEX(LINES_SCHEDULED,$EN906)&amp;""))="YES",UPPER(TRIM(INDEX(LINES_SCHEDULED,$EN906)&amp;""))="Y",UPPER(TRIM(INDEX(LINES_SCHEDULED,$EN906)&amp;""))="X"),1,0))</f>
        <v/>
      </c>
      <c r="EP906">
        <f>IF($DM906=0,"",IF(COUNTIFS($EG$5:$EG$1003,$EG906,$EB$5:$EB$1003,"Ready")&gt;0,"READY",IF(COUNTIFS($EG$5:$EG$1003,$EG906,$EB$5:$EB$1003,"PM")&gt;0,"PM",IF(COUNTIFS($EG$5:$EG$1003,$EG906,$EB$5:$EB$1003,"OT")&gt;0,"OT",""))))</f>
        <v/>
      </c>
      <c r="EQ906">
        <f>IF($EN906=0,"",UPPER(TRIM(INDEX(LINES_STATUS,$EN906)&amp;"")))</f>
        <v/>
      </c>
      <c r="ER906">
        <f>IF($DM906=0,"",IF(OR($EQ906="READY",$EQ906="PM",$EQ906="OT"),$EQ906,$EP906))</f>
        <v/>
      </c>
      <c r="ES906">
        <f>IF($DM906=0,"",IF(AND($DV906&lt;&gt;"",UPPER($DV906)&lt;&gt;"N"),"allergen",IF(ISNUMBER(SEARCH("oil",$DQ906)),"oil",IF(OR(EXACT($DS906,"A662"),EXACT($DS906,"A624")),"bulk",""))))</f>
        <v/>
      </c>
      <c r="ET906">
        <f>IF($DM906=0,"",IF(OR($EA906="",$EA906=0),"",$EA906/100))</f>
        <v/>
      </c>
      <c r="EU906">
        <f>IF(OR($ET906="",$DY906=""),"",INT($DY906*(1-$ET906)+0.5))</f>
        <v/>
      </c>
    </row>
    <row r="907">
      <c r="DA907" t="n">
        <v>903</v>
      </c>
      <c r="DB907">
        <f>IF($B$37=0,"",IFERROR(TRIM(SUBSTITUTE(SUBSTITUTE(SUBSTITUTE(SUBSTITUTE(INDEX(PASTE_ALL,903,$B$37)," "," "),CHAR(9)," "),CHAR(10)," "),CHAR(13)," ")),""))</f>
        <v/>
      </c>
      <c r="DC907">
        <f>IF(AND(903&gt;HEADER_ROW,UPPER(DB907)="LEGEND"),1,0)</f>
        <v/>
      </c>
      <c r="DE907" t="n">
        <v>903</v>
      </c>
      <c r="DF907">
        <f>HEADER_ROW+$DE907</f>
        <v/>
      </c>
      <c r="DG907">
        <f>IF(AND($DF907&lt;=1000,$DF907&lt;$B$8),1,0)</f>
        <v/>
      </c>
      <c r="DH907">
        <f>IF($DG907=1,IFERROR(INDEX($DB$5:$DB$1004,$DF907),""),"")</f>
        <v/>
      </c>
      <c r="DI907">
        <f>IF(AND($DG907=1,$DH907&lt;&gt;""),IFERROR(SUBSTITUTE(SUBSTITUTE(TRIM(SUBSTITUTE(SUBSTITUTE(SUBSTITUTE(SUBSTITUTE(IFERROR(INDEX(PASTE_ALL,$DF907,1)&amp;"","")&amp;"␟"&amp;IFERROR(INDEX(PASTE_ALL,$DF907,2)&amp;"","")&amp;"␟"&amp;IFERROR(INDEX(PASTE_ALL,$DF907,3)&amp;"","")&amp;"␟"&amp;IFERROR(INDEX(PASTE_ALL,$DF907,4)&amp;"","")&amp;"␟"&amp;IFERROR(INDEX(PASTE_ALL,$DF907,5)&amp;"","")&amp;"␟"&amp;IFERROR(INDEX(PASTE_ALL,$DF907,6)&amp;"","")&amp;"␟"&amp;IFERROR(INDEX(PASTE_ALL,$DF907,7)&amp;"","")&amp;"␟"&amp;IFERROR(INDEX(PASTE_ALL,$DF907,8)&amp;"","")&amp;"␟"&amp;IFERROR(INDEX(PASTE_ALL,$DF907,9)&amp;"","")&amp;"␟"&amp;IFERROR(INDEX(PASTE_ALL,$DF907,10)&amp;"","")&amp;"␟"&amp;IFERROR(INDEX(PASTE_ALL,$DF907,11)&amp;"","")&amp;"␟"&amp;IFERROR(INDEX(PASTE_ALL,$DF907,12)&amp;"","")&amp;"␟"&amp;IFERROR(INDEX(PASTE_ALL,$DF907,13)&amp;"","")&amp;"␟"&amp;IFERROR(INDEX(PASTE_ALL,$DF907,14)&amp;"","")&amp;"␟"&amp;IFERROR(INDEX(PASTE_ALL,$DF907,15)&amp;"","")&amp;"␟"&amp;IFERROR(INDEX(PASTE_ALL,$DF907,16)&amp;"","")&amp;"␟"&amp;IFERROR(INDEX(PASTE_ALL,$DF907,17)&amp;"","")&amp;"␟"&amp;IFERROR(INDEX(PASTE_ALL,$DF907,18)&amp;"","")&amp;"␟"&amp;IFERROR(INDEX(PASTE_ALL,$DF907,19)&amp;"","")&amp;"␟"&amp;IFERROR(INDEX(PASTE_ALL,$DF907,20)&amp;"","")&amp;"␟"&amp;IFERROR(INDEX(PASTE_ALL,$DF907,21)&amp;"","")&amp;"␟"&amp;IFERROR(INDEX(PASTE_ALL,$DF907,22)&amp;"","")&amp;"␟"&amp;IFERROR(INDEX(PASTE_ALL,$DF907,23)&amp;"","")&amp;"␟"&amp;IFERROR(INDEX(PASTE_ALL,$DF907,24)&amp;"","")&amp;"␟"&amp;IFERROR(INDEX(PASTE_ALL,$DF907,25)&amp;"","")&amp;"␟"&amp;IFERROR(INDEX(PASTE_ALL,$DF907,26)&amp;"","")&amp;"␟"&amp;IFERROR(INDEX(PASTE_ALL,$DF907,27)&amp;"","")&amp;"␟"&amp;IFERROR(INDEX(PASTE_ALL,$DF907,28)&amp;"","")&amp;"␟"&amp;IFERROR(INDEX(PASTE_ALL,$DF907,29)&amp;"","")&amp;"␟"&amp;IFERROR(INDEX(PASTE_ALL,$DF907,30)&amp;"","")&amp;"␟"&amp;IFERROR(INDEX(PASTE_ALL,$DF907,31)&amp;"","")&amp;"␟"&amp;IFERROR(INDEX(PASTE_ALL,$DF907,32)&amp;"","")&amp;"␟"&amp;IFERROR(INDEX(PASTE_ALL,$DF907,33)&amp;"","")&amp;"␟"&amp;IFERROR(INDEX(PASTE_ALL,$DF907,34)&amp;"","")&amp;"␟"&amp;IFERROR(INDEX(PASTE_ALL,$DF907,35)&amp;"","")&amp;"␟"&amp;IFERROR(INDEX(PASTE_ALL,$DF907,36)&amp;"","")&amp;"␟"&amp;IFERROR(INDEX(PASTE_ALL,$DF907,37)&amp;"","")&amp;"␟"&amp;IFERROR(INDEX(PASTE_ALL,$DF907,38)&amp;"","")&amp;"␟"&amp;IFERROR(INDEX(PASTE_ALL,$DF907,39)&amp;"","")&amp;"␟"&amp;IFERROR(INDEX(PASTE_ALL,$DF907,40)&amp;"","")&amp;"␟"&amp;IFERROR(INDEX(PASTE_ALL,$DF907,41)&amp;"","")&amp;"␟"&amp;IFERROR(INDEX(PASTE_ALL,$DF907,42)&amp;"","")&amp;"␟"&amp;IFERROR(INDEX(PASTE_ALL,$DF907,43)&amp;"","")&amp;"␟"&amp;IFERROR(INDEX(PASTE_ALL,$DF907,44)&amp;"","")&amp;"␟"&amp;IFERROR(INDEX(PASTE_ALL,$DF907,45)&amp;"","")&amp;"␟"&amp;IFERROR(INDEX(PASTE_ALL,$DF907,46)&amp;"","")&amp;"␟"&amp;IFERROR(INDEX(PASTE_ALL,$DF907,47)&amp;"","")&amp;"␟"&amp;IFERROR(INDEX(PASTE_ALL,$DF907,48)&amp;"","")&amp;"␟"&amp;IFERROR(INDEX(PASTE_ALL,$DF907,49)&amp;"","")&amp;"␟"&amp;IFERROR(INDEX(PASTE_ALL,$DF907,50)&amp;"","")&amp;"␟"&amp;IFERROR(INDEX(PASTE_ALL,$DF907,51)&amp;"","")&amp;"␟"&amp;IFERROR(INDEX(PASTE_ALL,$DF907,52)&amp;"","")&amp;"␟"&amp;IFERROR(INDEX(PASTE_ALL,$DF907,53)&amp;"","")&amp;"␟"&amp;IFERROR(INDEX(PASTE_ALL,$DF907,54)&amp;"","")&amp;"␟"&amp;IFERROR(INDEX(PASTE_ALL,$DF907,55)&amp;"","")&amp;"␟"&amp;IFERROR(INDEX(PASTE_ALL,$DF907,56)&amp;"","")&amp;"␟"&amp;IFERROR(INDEX(PASTE_ALL,$DF907,57)&amp;"","")&amp;"␟"&amp;IFERROR(INDEX(PASTE_ALL,$DF907,58)&amp;"","")&amp;"␟"&amp;IFERROR(INDEX(PASTE_ALL,$DF907,59)&amp;"","")&amp;"␟"&amp;IFERROR(INDEX(PASTE_ALL,$DF907,60)&amp;"","")," "," "),CHAR(9)," "),CHAR(10)," "),CHAR(13)," "))," ␟","␟"),"␟ ","␟"),"#"&amp;$DE907),"")</f>
        <v/>
      </c>
      <c r="DJ907">
        <f>IF($DI907="",0,IF(SUMPRODUCT(--EXACT($DI$4:DI906,$DI907))&gt;0,1,0))</f>
        <v/>
      </c>
      <c r="DK907">
        <f>IF(AND($DI907&lt;&gt;"",$DJ907=0),1,0)</f>
        <v/>
      </c>
      <c r="DL907">
        <f>DL906+$DK907</f>
        <v/>
      </c>
      <c r="DM907">
        <f>IF(AND($DK907=1,$DL907&lt;=600),1,0)</f>
        <v/>
      </c>
      <c r="DN907">
        <f>IF($DM907=0,"",IF($L$6=0,"",IFERROR(IF(ISNUMBER(INDEX(PASTE_ALL,$DF907,$L$6)),INDEX(PASTE_ALL,$DF907,$L$6),TRIM(SUBSTITUTE(SUBSTITUTE(SUBSTITUTE(SUBSTITUTE(INDEX(PASTE_ALL,$DF907,$L$6)," "," "),CHAR(9)," "),CHAR(10)," "),CHAR(13)," "))),"")))</f>
        <v/>
      </c>
      <c r="DO907">
        <f>IF($DM907=0,"",IF($L$7=0,"",IFERROR(IF(ISNUMBER(INDEX(PASTE_ALL,$DF907,$L$7)),INDEX(PASTE_ALL,$DF907,$L$7),TRIM(SUBSTITUTE(SUBSTITUTE(SUBSTITUTE(SUBSTITUTE(INDEX(PASTE_ALL,$DF907,$L$7)," "," "),CHAR(9)," "),CHAR(10)," "),CHAR(13)," "))),"")))</f>
        <v/>
      </c>
      <c r="DP907">
        <f>IF($DM907=0,"",IF($L$8=0,"",IFERROR(IF(ISNUMBER(INDEX(PASTE_ALL,$DF907,$L$8)),INDEX(PASTE_ALL,$DF907,$L$8),TRIM(SUBSTITUTE(SUBSTITUTE(SUBSTITUTE(SUBSTITUTE(INDEX(PASTE_ALL,$DF907,$L$8)," "," "),CHAR(9)," "),CHAR(10)," "),CHAR(13)," "))),"")))</f>
        <v/>
      </c>
      <c r="DQ907">
        <f>IF($DM907=0,"",IF($L$9=0,"",IFERROR(IF(ISNUMBER(INDEX(PASTE_ALL,$DF907,$L$9)),INDEX(PASTE_ALL,$DF907,$L$9),TRIM(SUBSTITUTE(SUBSTITUTE(SUBSTITUTE(SUBSTITUTE(INDEX(PASTE_ALL,$DF907,$L$9)," "," "),CHAR(9)," "),CHAR(10)," "),CHAR(13)," "))),"")))</f>
        <v/>
      </c>
      <c r="DR907">
        <f>IF($DM907=0,"",IF($L$10=0,"",IFERROR(IF(ISNUMBER(INDEX(PASTE_ALL,$DF907,$L$10)),INDEX(PASTE_ALL,$DF907,$L$10),TRIM(SUBSTITUTE(SUBSTITUTE(SUBSTITUTE(SUBSTITUTE(INDEX(PASTE_ALL,$DF907,$L$10)," "," "),CHAR(9)," "),CHAR(10)," "),CHAR(13)," "))),"")))</f>
        <v/>
      </c>
      <c r="DS907">
        <f>IF($DM907=0,"",IF($L$11=0,"",IFERROR(IF(ISNUMBER(INDEX(PASTE_ALL,$DF907,$L$11)),INDEX(PASTE_ALL,$DF907,$L$11),TRIM(SUBSTITUTE(SUBSTITUTE(SUBSTITUTE(SUBSTITUTE(INDEX(PASTE_ALL,$DF907,$L$11)," "," "),CHAR(9)," "),CHAR(10)," "),CHAR(13)," "))),"")))</f>
        <v/>
      </c>
      <c r="DT907">
        <f>IF($DM907=0,"",IF($L$12=0,"",IFERROR(IF(ISNUMBER(INDEX(PASTE_ALL,$DF907,$L$12)),INDEX(PASTE_ALL,$DF907,$L$12),TRIM(SUBSTITUTE(SUBSTITUTE(SUBSTITUTE(SUBSTITUTE(INDEX(PASTE_ALL,$DF907,$L$12)," "," "),CHAR(9)," "),CHAR(10)," "),CHAR(13)," "))),"")))</f>
        <v/>
      </c>
      <c r="DU907">
        <f>IF($DM907=0,"",IF($L$13=0,"",IFERROR(IF(ISNUMBER(INDEX(PASTE_ALL,$DF907,$L$13)),INDEX(PASTE_ALL,$DF907,$L$13),TRIM(SUBSTITUTE(SUBSTITUTE(SUBSTITUTE(SUBSTITUTE(INDEX(PASTE_ALL,$DF907,$L$13)," "," "),CHAR(9)," "),CHAR(10)," "),CHAR(13)," "))),"")))</f>
        <v/>
      </c>
      <c r="DV907">
        <f>IF($DM907=0,"",IF($L$14=0,"",IFERROR(IF(ISNUMBER(INDEX(PASTE_ALL,$DF907,$L$14)),INDEX(PASTE_ALL,$DF907,$L$14),TRIM(SUBSTITUTE(SUBSTITUTE(SUBSTITUTE(SUBSTITUTE(INDEX(PASTE_ALL,$DF907,$L$14)," "," "),CHAR(9)," "),CHAR(10)," "),CHAR(13)," "))),"")))</f>
        <v/>
      </c>
      <c r="DW907">
        <f>IF($DM907=0,"",IF($L$15=0,"",IFERROR(IF(ISNUMBER(INDEX(PASTE_ALL,$DF907,$L$15)),INDEX(PASTE_ALL,$DF907,$L$15),IF(SUMPRODUCT(--ISNUMBER(FIND({"A","B","C","D","E","F","G","H","I","J","K","L","M","N","O","P","Q","R","S","T","U","V","W","X","Y","Z","0","1","2","3","4","5","6","7","8","9"},UPPER(TRIM(SUBSTITUTE(SUBSTITUTE(SUBSTITUTE(SUBSTITUTE(INDEX(PASTE_ALL,$DF907,$L$15)," "," "),CHAR(9)," "),CHAR(10)," "),CHAR(13)," "))))))&gt;0,TRIM(SUBSTITUTE(SUBSTITUTE(SUBSTITUTE(SUBSTITUTE(INDEX(PASTE_ALL,$DF907,$L$15)," "," "),CHAR(9)," "),CHAR(10)," "),CHAR(13)," ")),"")),"")))</f>
        <v/>
      </c>
      <c r="DX907">
        <f>IF($DM907=0,"",IF($L$16=0,"",IFERROR(IF(ISNUMBER(INDEX(PASTE_ALL,$DF907,$L$16)),INDEX(PASTE_ALL,$DF907,$L$16),SUBSTITUTE(SUBSTITUTE(TRIM(SUBSTITUTE(SUBSTITUTE(SUBSTITUTE(SUBSTITUTE(INDEX(PASTE_ALL,$DF907,$L$16)," "," "),CHAR(9)," "),CHAR(10)," "),CHAR(13)," ")),",",""),"%","")),"")))</f>
        <v/>
      </c>
      <c r="DY907">
        <f>IF($DM907=0,"",IFERROR(IF(ISNUMBER($DX907),$DX907,IF($DX907="","",IF(TRIM($DX907)="",0,IF(AND(AND(SUBSTITUTE(SUBSTITUTE(SUBSTITUTE(SUBSTITUTE(SUBSTITUTE(SUBSTITUTE(SUBSTITUTE(SUBSTITUTE(SUBSTITUTE(SUBSTITUTE(SUBSTITUTE(SUBSTITUTE(SUBSTITUTE(SUBSTITUTE(UPPER(TRIM($DX907)),"0",""),"1",""),"2",""),"3",""),"4",""),"5",""),"6",""),"7",""),"8",""),"9",""),".",""),"+",""),"-",""),"E","")="",LEN(SUBSTITUTE(SUBSTITUTE(MID(UPPER(TRIM($DX907)),1+OR(LEFT(UPPER(TRIM($DX907)),1)="+",LEFT(UPPER(TRIM($DX907)),1)="-"),999),"E+","E"),"E-","E"))=LEN(SUBSTITUTE(SUBSTITUTE(SUBSTITUTE(SUBSTITUTE(MID(UPPER(TRIM($DX907)),1+OR(LEFT(UPPER(TRIM($DX907)),1)="+",LEFT(UPPER(TRIM($DX907)),1)="-"),999),"E+","E"),"E-","E"),"+",""),"-","")),LEN(UPPER(TRIM($DX907)))-LEN(SUBSTITUTE(UPPER(TRIM($DX907)),"E",""))&lt;2,LEN(UPPER(TRIM($DX907)))-LEN(SUBSTITUTE(UPPER(TRIM($DX907)),".",""))&lt;2,IFERROR(FIND(".",UPPER(TRIM($DX907))),0)&lt;IFERROR(FIND("E",UPPER(TRIM($DX907))),999)),ISNUMBER(VALUE(TRIM($DX907)))),VALUE(TRIM($DX907)),"")))),""))</f>
        <v/>
      </c>
      <c r="DZ907">
        <f>IF($DM907=0,"",IF($L$17=0,"",IFERROR(IF(ISNUMBER(INDEX(PASTE_ALL,$DF907,$L$17)),INDEX(PASTE_ALL,$DF907,$L$17),SUBSTITUTE(SUBSTITUTE(TRIM(SUBSTITUTE(SUBSTITUTE(SUBSTITUTE(SUBSTITUTE(INDEX(PASTE_ALL,$DF907,$L$17)," "," "),CHAR(9)," "),CHAR(10)," "),CHAR(13)," ")),",",""),"%","")),"")))</f>
        <v/>
      </c>
      <c r="EA907">
        <f>IF($DM907=0,"",IFERROR(IF(ISNUMBER($DZ907),$DZ907,IF($DZ907="","",IF(TRIM($DZ907)="",0,IF(AND(AND(SUBSTITUTE(SUBSTITUTE(SUBSTITUTE(SUBSTITUTE(SUBSTITUTE(SUBSTITUTE(SUBSTITUTE(SUBSTITUTE(SUBSTITUTE(SUBSTITUTE(SUBSTITUTE(SUBSTITUTE(SUBSTITUTE(SUBSTITUTE(UPPER(TRIM($DZ907)),"0",""),"1",""),"2",""),"3",""),"4",""),"5",""),"6",""),"7",""),"8",""),"9",""),".",""),"+",""),"-",""),"E","")="",LEN(SUBSTITUTE(SUBSTITUTE(MID(UPPER(TRIM($DZ907)),1+OR(LEFT(UPPER(TRIM($DZ907)),1)="+",LEFT(UPPER(TRIM($DZ907)),1)="-"),999),"E+","E"),"E-","E"))=LEN(SUBSTITUTE(SUBSTITUTE(SUBSTITUTE(SUBSTITUTE(MID(UPPER(TRIM($DZ907)),1+OR(LEFT(UPPER(TRIM($DZ907)),1)="+",LEFT(UPPER(TRIM($DZ907)),1)="-"),999),"E+","E"),"E-","E"),"+",""),"-","")),LEN(UPPER(TRIM($DZ907)))-LEN(SUBSTITUTE(UPPER(TRIM($DZ907)),"E",""))&lt;2,LEN(UPPER(TRIM($DZ907)))-LEN(SUBSTITUTE(UPPER(TRIM($DZ907)),".",""))&lt;2,IFERROR(FIND(".",UPPER(TRIM($DZ907))),0)&lt;IFERROR(FIND("E",UPPER(TRIM($DZ907))),999)),ISNUMBER(VALUE(TRIM($DZ907)))),VALUE(TRIM($DZ907)),"")))),""))</f>
        <v/>
      </c>
      <c r="EB907">
        <f>IF($DM907=0,"",IF($L$18=0,"",IFERROR(IF(UPPER(TRIM(SUBSTITUTE(SUBSTITUTE(SUBSTITUTE(SUBSTITUTE(INDEX(PASTE_ALL,$DF907,$L$18)," "," "),CHAR(9)," "),CHAR(10)," "),CHAR(13)," ")))="READY","Ready",IF(UPPER(TRIM(SUBSTITUTE(SUBSTITUTE(SUBSTITUTE(SUBSTITUTE(INDEX(PASTE_ALL,$DF907,$L$18)," "," "),CHAR(9)," "),CHAR(10)," "),CHAR(13)," ")))="PM","PM",IF(OR(UPPER(TRIM(SUBSTITUTE(SUBSTITUTE(SUBSTITUTE(SUBSTITUTE(INDEX(PASTE_ALL,$DF907,$L$18)," "," "),CHAR(9)," "),CHAR(10)," "),CHAR(13)," ")))="OT",UPPER(TRIM(SUBSTITUTE(SUBSTITUTE(SUBSTITUTE(SUBSTITUTE(INDEX(PASTE_ALL,$DF907,$L$18)," "," "),CHAR(9)," "),CHAR(10)," "),CHAR(13)," ")))="OVERTIME",UPPER(TRIM(SUBSTITUTE(SUBSTITUTE(SUBSTITUTE(SUBSTITUTE(INDEX(PASTE_ALL,$DF907,$L$18)," "," "),CHAR(9)," "),CHAR(10)," "),CHAR(13)," ")))="TRIAL"),"OT",TRIM(SUBSTITUTE(SUBSTITUTE(SUBSTITUTE(SUBSTITUTE(INDEX(PASTE_ALL,$DF907,$L$18)," "," "),CHAR(9)," "),CHAR(10)," "),CHAR(13)," "))))),"")))</f>
        <v/>
      </c>
      <c r="EC907">
        <f>IF($DM907=0,"",IF($L$19=0,"",IFERROR(IF(ISNUMBER(INDEX(PASTE_ALL,$DF907,$L$19)),INDEX(PASTE_ALL,$DF907,$L$19),TRIM(SUBSTITUTE(SUBSTITUTE(SUBSTITUTE(SUBSTITUTE(INDEX(PASTE_ALL,$DF907,$L$19)," "," "),CHAR(9)," "),CHAR(10)," "),CHAR(13)," "))),"")))</f>
        <v/>
      </c>
      <c r="ED907">
        <f>IF($DM907=0,"",MATCH(1,INDEX(EXACT($DH$5:DH907,$DH907)*$DM$5:DM907,0),0))</f>
        <v/>
      </c>
      <c r="EE907">
        <f>IF($DM907=0,0,IF($ED907=$DE907,1,0))</f>
        <v/>
      </c>
      <c r="EF907">
        <f>EF906+$EE907</f>
        <v/>
      </c>
      <c r="EG907">
        <f>IF($DM907=0,"",INDEX($EF$5:$EF$1003,$ED907))</f>
        <v/>
      </c>
      <c r="EH907">
        <f>IF($DM907=0,"",IF($DO907&lt;&gt;"","",IFERROR(LOOKUP(2,1/(($EG$4:EG906=$EG907)*($DO$4:DO906&lt;&gt;"")),$DO$4:DO906),"")))</f>
        <v/>
      </c>
      <c r="EI907">
        <f>IF($DM907=0,"",IF($DO907&lt;&gt;"",$DO907,$EH907))</f>
        <v/>
      </c>
      <c r="EJ907">
        <f>IF($DM907=0,"",IF($EI907="",0,IF(OR(ISNUMBER($EI907),AND(AND(SUBSTITUTE(SUBSTITUTE(SUBSTITUTE(SUBSTITUTE(SUBSTITUTE(SUBSTITUTE(SUBSTITUTE(SUBSTITUTE(SUBSTITUTE(SUBSTITUTE(SUBSTITUTE(SUBSTITUTE(SUBSTITUTE(SUBSTITUTE(UPPER($EI907),"0",""),"1",""),"2",""),"3",""),"4",""),"5",""),"6",""),"7",""),"8",""),"9",""),".",""),"+",""),"-",""),"E","")="",LEN(SUBSTITUTE(SUBSTITUTE(MID(UPPER($EI907),1+OR(LEFT(UPPER($EI907),1)="+",LEFT(UPPER($EI907),1)="-"),999),"E+","E"),"E-","E"))=LEN(SUBSTITUTE(SUBSTITUTE(SUBSTITUTE(SUBSTITUTE(MID(UPPER($EI907),1+OR(LEFT(UPPER($EI907),1)="+",LEFT(UPPER($EI907),1)="-"),999),"E+","E"),"E-","E"),"+",""),"-","")),LEN(UPPER($EI907))-LEN(SUBSTITUTE(UPPER($EI907),"E",""))&lt;2,LEN(UPPER($EI907))-LEN(SUBSTITUTE(UPPER($EI907),".",""))&lt;2,IFERROR(FIND(".",UPPER($EI907)),0)&lt;IFERROR(FIND("E",UPPER($EI907)),999)),ISNUMBER(VALUE($EI907)))),1,2)))</f>
        <v/>
      </c>
      <c r="EK907">
        <f>IF($DM907=0,"",IF($EJ907=1,IF(ISNUMBER($EI907),$EI907,VALUE($EI907)),IF($EJ907=2,$DE907,0)))</f>
        <v/>
      </c>
      <c r="EL907">
        <f>IF($DM907=0,"",COUNTIF($EG$5:$EG$1003,"&lt;"&amp;$EG907)+SUMPRODUCT(($EG$5:$EG$1003=$EG907)*(($EJ$5:$EJ$1003&lt;$EJ907)+($EJ$5:$EJ$1003=$EJ907)*(($EK$5:$EK$1003&lt;$EK907)+($EK$5:$EK$1003=$EK907)*($DE$5:$DE$1003&lt;$DE907))))+1)</f>
        <v/>
      </c>
      <c r="EM907">
        <f>IF($DM907=0,"",$EL907+$EG907-1)</f>
        <v/>
      </c>
      <c r="EN907">
        <f>IF($DM907=0,0,IFERROR(MATCH(1,INDEX(--(TRIM(SUBSTITUTE(SUBSTITUTE(SUBSTITUTE(SUBSTITUTE(LINES_NAME&amp;""," "," "),CHAR(9)," "),CHAR(10)," "),CHAR(13)," "))=$DH907),0),0),0))</f>
        <v/>
      </c>
      <c r="EO907">
        <f>IF($EN907=0,0,IF(OR(UPPER(TRIM(INDEX(LINES_SCHEDULED,$EN907)&amp;""))="YES",UPPER(TRIM(INDEX(LINES_SCHEDULED,$EN907)&amp;""))="Y",UPPER(TRIM(INDEX(LINES_SCHEDULED,$EN907)&amp;""))="X"),1,0))</f>
        <v/>
      </c>
      <c r="EP907">
        <f>IF($DM907=0,"",IF(COUNTIFS($EG$5:$EG$1003,$EG907,$EB$5:$EB$1003,"Ready")&gt;0,"READY",IF(COUNTIFS($EG$5:$EG$1003,$EG907,$EB$5:$EB$1003,"PM")&gt;0,"PM",IF(COUNTIFS($EG$5:$EG$1003,$EG907,$EB$5:$EB$1003,"OT")&gt;0,"OT",""))))</f>
        <v/>
      </c>
      <c r="EQ907">
        <f>IF($EN907=0,"",UPPER(TRIM(INDEX(LINES_STATUS,$EN907)&amp;"")))</f>
        <v/>
      </c>
      <c r="ER907">
        <f>IF($DM907=0,"",IF(OR($EQ907="READY",$EQ907="PM",$EQ907="OT"),$EQ907,$EP907))</f>
        <v/>
      </c>
      <c r="ES907">
        <f>IF($DM907=0,"",IF(AND($DV907&lt;&gt;"",UPPER($DV907)&lt;&gt;"N"),"allergen",IF(ISNUMBER(SEARCH("oil",$DQ907)),"oil",IF(OR(EXACT($DS907,"A662"),EXACT($DS907,"A624")),"bulk",""))))</f>
        <v/>
      </c>
      <c r="ET907">
        <f>IF($DM907=0,"",IF(OR($EA907="",$EA907=0),"",$EA907/100))</f>
        <v/>
      </c>
      <c r="EU907">
        <f>IF(OR($ET907="",$DY907=""),"",INT($DY907*(1-$ET907)+0.5))</f>
        <v/>
      </c>
    </row>
    <row r="908">
      <c r="DA908" t="n">
        <v>904</v>
      </c>
      <c r="DB908">
        <f>IF($B$37=0,"",IFERROR(TRIM(SUBSTITUTE(SUBSTITUTE(SUBSTITUTE(SUBSTITUTE(INDEX(PASTE_ALL,904,$B$37)," "," "),CHAR(9)," "),CHAR(10)," "),CHAR(13)," ")),""))</f>
        <v/>
      </c>
      <c r="DC908">
        <f>IF(AND(904&gt;HEADER_ROW,UPPER(DB908)="LEGEND"),1,0)</f>
        <v/>
      </c>
      <c r="DE908" t="n">
        <v>904</v>
      </c>
      <c r="DF908">
        <f>HEADER_ROW+$DE908</f>
        <v/>
      </c>
      <c r="DG908">
        <f>IF(AND($DF908&lt;=1000,$DF908&lt;$B$8),1,0)</f>
        <v/>
      </c>
      <c r="DH908">
        <f>IF($DG908=1,IFERROR(INDEX($DB$5:$DB$1004,$DF908),""),"")</f>
        <v/>
      </c>
      <c r="DI908">
        <f>IF(AND($DG908=1,$DH908&lt;&gt;""),IFERROR(SUBSTITUTE(SUBSTITUTE(TRIM(SUBSTITUTE(SUBSTITUTE(SUBSTITUTE(SUBSTITUTE(IFERROR(INDEX(PASTE_ALL,$DF908,1)&amp;"","")&amp;"␟"&amp;IFERROR(INDEX(PASTE_ALL,$DF908,2)&amp;"","")&amp;"␟"&amp;IFERROR(INDEX(PASTE_ALL,$DF908,3)&amp;"","")&amp;"␟"&amp;IFERROR(INDEX(PASTE_ALL,$DF908,4)&amp;"","")&amp;"␟"&amp;IFERROR(INDEX(PASTE_ALL,$DF908,5)&amp;"","")&amp;"␟"&amp;IFERROR(INDEX(PASTE_ALL,$DF908,6)&amp;"","")&amp;"␟"&amp;IFERROR(INDEX(PASTE_ALL,$DF908,7)&amp;"","")&amp;"␟"&amp;IFERROR(INDEX(PASTE_ALL,$DF908,8)&amp;"","")&amp;"␟"&amp;IFERROR(INDEX(PASTE_ALL,$DF908,9)&amp;"","")&amp;"␟"&amp;IFERROR(INDEX(PASTE_ALL,$DF908,10)&amp;"","")&amp;"␟"&amp;IFERROR(INDEX(PASTE_ALL,$DF908,11)&amp;"","")&amp;"␟"&amp;IFERROR(INDEX(PASTE_ALL,$DF908,12)&amp;"","")&amp;"␟"&amp;IFERROR(INDEX(PASTE_ALL,$DF908,13)&amp;"","")&amp;"␟"&amp;IFERROR(INDEX(PASTE_ALL,$DF908,14)&amp;"","")&amp;"␟"&amp;IFERROR(INDEX(PASTE_ALL,$DF908,15)&amp;"","")&amp;"␟"&amp;IFERROR(INDEX(PASTE_ALL,$DF908,16)&amp;"","")&amp;"␟"&amp;IFERROR(INDEX(PASTE_ALL,$DF908,17)&amp;"","")&amp;"␟"&amp;IFERROR(INDEX(PASTE_ALL,$DF908,18)&amp;"","")&amp;"␟"&amp;IFERROR(INDEX(PASTE_ALL,$DF908,19)&amp;"","")&amp;"␟"&amp;IFERROR(INDEX(PASTE_ALL,$DF908,20)&amp;"","")&amp;"␟"&amp;IFERROR(INDEX(PASTE_ALL,$DF908,21)&amp;"","")&amp;"␟"&amp;IFERROR(INDEX(PASTE_ALL,$DF908,22)&amp;"","")&amp;"␟"&amp;IFERROR(INDEX(PASTE_ALL,$DF908,23)&amp;"","")&amp;"␟"&amp;IFERROR(INDEX(PASTE_ALL,$DF908,24)&amp;"","")&amp;"␟"&amp;IFERROR(INDEX(PASTE_ALL,$DF908,25)&amp;"","")&amp;"␟"&amp;IFERROR(INDEX(PASTE_ALL,$DF908,26)&amp;"","")&amp;"␟"&amp;IFERROR(INDEX(PASTE_ALL,$DF908,27)&amp;"","")&amp;"␟"&amp;IFERROR(INDEX(PASTE_ALL,$DF908,28)&amp;"","")&amp;"␟"&amp;IFERROR(INDEX(PASTE_ALL,$DF908,29)&amp;"","")&amp;"␟"&amp;IFERROR(INDEX(PASTE_ALL,$DF908,30)&amp;"","")&amp;"␟"&amp;IFERROR(INDEX(PASTE_ALL,$DF908,31)&amp;"","")&amp;"␟"&amp;IFERROR(INDEX(PASTE_ALL,$DF908,32)&amp;"","")&amp;"␟"&amp;IFERROR(INDEX(PASTE_ALL,$DF908,33)&amp;"","")&amp;"␟"&amp;IFERROR(INDEX(PASTE_ALL,$DF908,34)&amp;"","")&amp;"␟"&amp;IFERROR(INDEX(PASTE_ALL,$DF908,35)&amp;"","")&amp;"␟"&amp;IFERROR(INDEX(PASTE_ALL,$DF908,36)&amp;"","")&amp;"␟"&amp;IFERROR(INDEX(PASTE_ALL,$DF908,37)&amp;"","")&amp;"␟"&amp;IFERROR(INDEX(PASTE_ALL,$DF908,38)&amp;"","")&amp;"␟"&amp;IFERROR(INDEX(PASTE_ALL,$DF908,39)&amp;"","")&amp;"␟"&amp;IFERROR(INDEX(PASTE_ALL,$DF908,40)&amp;"","")&amp;"␟"&amp;IFERROR(INDEX(PASTE_ALL,$DF908,41)&amp;"","")&amp;"␟"&amp;IFERROR(INDEX(PASTE_ALL,$DF908,42)&amp;"","")&amp;"␟"&amp;IFERROR(INDEX(PASTE_ALL,$DF908,43)&amp;"","")&amp;"␟"&amp;IFERROR(INDEX(PASTE_ALL,$DF908,44)&amp;"","")&amp;"␟"&amp;IFERROR(INDEX(PASTE_ALL,$DF908,45)&amp;"","")&amp;"␟"&amp;IFERROR(INDEX(PASTE_ALL,$DF908,46)&amp;"","")&amp;"␟"&amp;IFERROR(INDEX(PASTE_ALL,$DF908,47)&amp;"","")&amp;"␟"&amp;IFERROR(INDEX(PASTE_ALL,$DF908,48)&amp;"","")&amp;"␟"&amp;IFERROR(INDEX(PASTE_ALL,$DF908,49)&amp;"","")&amp;"␟"&amp;IFERROR(INDEX(PASTE_ALL,$DF908,50)&amp;"","")&amp;"␟"&amp;IFERROR(INDEX(PASTE_ALL,$DF908,51)&amp;"","")&amp;"␟"&amp;IFERROR(INDEX(PASTE_ALL,$DF908,52)&amp;"","")&amp;"␟"&amp;IFERROR(INDEX(PASTE_ALL,$DF908,53)&amp;"","")&amp;"␟"&amp;IFERROR(INDEX(PASTE_ALL,$DF908,54)&amp;"","")&amp;"␟"&amp;IFERROR(INDEX(PASTE_ALL,$DF908,55)&amp;"","")&amp;"␟"&amp;IFERROR(INDEX(PASTE_ALL,$DF908,56)&amp;"","")&amp;"␟"&amp;IFERROR(INDEX(PASTE_ALL,$DF908,57)&amp;"","")&amp;"␟"&amp;IFERROR(INDEX(PASTE_ALL,$DF908,58)&amp;"","")&amp;"␟"&amp;IFERROR(INDEX(PASTE_ALL,$DF908,59)&amp;"","")&amp;"␟"&amp;IFERROR(INDEX(PASTE_ALL,$DF908,60)&amp;"","")," "," "),CHAR(9)," "),CHAR(10)," "),CHAR(13)," "))," ␟","␟"),"␟ ","␟"),"#"&amp;$DE908),"")</f>
        <v/>
      </c>
      <c r="DJ908">
        <f>IF($DI908="",0,IF(SUMPRODUCT(--EXACT($DI$4:DI907,$DI908))&gt;0,1,0))</f>
        <v/>
      </c>
      <c r="DK908">
        <f>IF(AND($DI908&lt;&gt;"",$DJ908=0),1,0)</f>
        <v/>
      </c>
      <c r="DL908">
        <f>DL907+$DK908</f>
        <v/>
      </c>
      <c r="DM908">
        <f>IF(AND($DK908=1,$DL908&lt;=600),1,0)</f>
        <v/>
      </c>
      <c r="DN908">
        <f>IF($DM908=0,"",IF($L$6=0,"",IFERROR(IF(ISNUMBER(INDEX(PASTE_ALL,$DF908,$L$6)),INDEX(PASTE_ALL,$DF908,$L$6),TRIM(SUBSTITUTE(SUBSTITUTE(SUBSTITUTE(SUBSTITUTE(INDEX(PASTE_ALL,$DF908,$L$6)," "," "),CHAR(9)," "),CHAR(10)," "),CHAR(13)," "))),"")))</f>
        <v/>
      </c>
      <c r="DO908">
        <f>IF($DM908=0,"",IF($L$7=0,"",IFERROR(IF(ISNUMBER(INDEX(PASTE_ALL,$DF908,$L$7)),INDEX(PASTE_ALL,$DF908,$L$7),TRIM(SUBSTITUTE(SUBSTITUTE(SUBSTITUTE(SUBSTITUTE(INDEX(PASTE_ALL,$DF908,$L$7)," "," "),CHAR(9)," "),CHAR(10)," "),CHAR(13)," "))),"")))</f>
        <v/>
      </c>
      <c r="DP908">
        <f>IF($DM908=0,"",IF($L$8=0,"",IFERROR(IF(ISNUMBER(INDEX(PASTE_ALL,$DF908,$L$8)),INDEX(PASTE_ALL,$DF908,$L$8),TRIM(SUBSTITUTE(SUBSTITUTE(SUBSTITUTE(SUBSTITUTE(INDEX(PASTE_ALL,$DF908,$L$8)," "," "),CHAR(9)," "),CHAR(10)," "),CHAR(13)," "))),"")))</f>
        <v/>
      </c>
      <c r="DQ908">
        <f>IF($DM908=0,"",IF($L$9=0,"",IFERROR(IF(ISNUMBER(INDEX(PASTE_ALL,$DF908,$L$9)),INDEX(PASTE_ALL,$DF908,$L$9),TRIM(SUBSTITUTE(SUBSTITUTE(SUBSTITUTE(SUBSTITUTE(INDEX(PASTE_ALL,$DF908,$L$9)," "," "),CHAR(9)," "),CHAR(10)," "),CHAR(13)," "))),"")))</f>
        <v/>
      </c>
      <c r="DR908">
        <f>IF($DM908=0,"",IF($L$10=0,"",IFERROR(IF(ISNUMBER(INDEX(PASTE_ALL,$DF908,$L$10)),INDEX(PASTE_ALL,$DF908,$L$10),TRIM(SUBSTITUTE(SUBSTITUTE(SUBSTITUTE(SUBSTITUTE(INDEX(PASTE_ALL,$DF908,$L$10)," "," "),CHAR(9)," "),CHAR(10)," "),CHAR(13)," "))),"")))</f>
        <v/>
      </c>
      <c r="DS908">
        <f>IF($DM908=0,"",IF($L$11=0,"",IFERROR(IF(ISNUMBER(INDEX(PASTE_ALL,$DF908,$L$11)),INDEX(PASTE_ALL,$DF908,$L$11),TRIM(SUBSTITUTE(SUBSTITUTE(SUBSTITUTE(SUBSTITUTE(INDEX(PASTE_ALL,$DF908,$L$11)," "," "),CHAR(9)," "),CHAR(10)," "),CHAR(13)," "))),"")))</f>
        <v/>
      </c>
      <c r="DT908">
        <f>IF($DM908=0,"",IF($L$12=0,"",IFERROR(IF(ISNUMBER(INDEX(PASTE_ALL,$DF908,$L$12)),INDEX(PASTE_ALL,$DF908,$L$12),TRIM(SUBSTITUTE(SUBSTITUTE(SUBSTITUTE(SUBSTITUTE(INDEX(PASTE_ALL,$DF908,$L$12)," "," "),CHAR(9)," "),CHAR(10)," "),CHAR(13)," "))),"")))</f>
        <v/>
      </c>
      <c r="DU908">
        <f>IF($DM908=0,"",IF($L$13=0,"",IFERROR(IF(ISNUMBER(INDEX(PASTE_ALL,$DF908,$L$13)),INDEX(PASTE_ALL,$DF908,$L$13),TRIM(SUBSTITUTE(SUBSTITUTE(SUBSTITUTE(SUBSTITUTE(INDEX(PASTE_ALL,$DF908,$L$13)," "," "),CHAR(9)," "),CHAR(10)," "),CHAR(13)," "))),"")))</f>
        <v/>
      </c>
      <c r="DV908">
        <f>IF($DM908=0,"",IF($L$14=0,"",IFERROR(IF(ISNUMBER(INDEX(PASTE_ALL,$DF908,$L$14)),INDEX(PASTE_ALL,$DF908,$L$14),TRIM(SUBSTITUTE(SUBSTITUTE(SUBSTITUTE(SUBSTITUTE(INDEX(PASTE_ALL,$DF908,$L$14)," "," "),CHAR(9)," "),CHAR(10)," "),CHAR(13)," "))),"")))</f>
        <v/>
      </c>
      <c r="DW908">
        <f>IF($DM908=0,"",IF($L$15=0,"",IFERROR(IF(ISNUMBER(INDEX(PASTE_ALL,$DF908,$L$15)),INDEX(PASTE_ALL,$DF908,$L$15),IF(SUMPRODUCT(--ISNUMBER(FIND({"A","B","C","D","E","F","G","H","I","J","K","L","M","N","O","P","Q","R","S","T","U","V","W","X","Y","Z","0","1","2","3","4","5","6","7","8","9"},UPPER(TRIM(SUBSTITUTE(SUBSTITUTE(SUBSTITUTE(SUBSTITUTE(INDEX(PASTE_ALL,$DF908,$L$15)," "," "),CHAR(9)," "),CHAR(10)," "),CHAR(13)," "))))))&gt;0,TRIM(SUBSTITUTE(SUBSTITUTE(SUBSTITUTE(SUBSTITUTE(INDEX(PASTE_ALL,$DF908,$L$15)," "," "),CHAR(9)," "),CHAR(10)," "),CHAR(13)," ")),"")),"")))</f>
        <v/>
      </c>
      <c r="DX908">
        <f>IF($DM908=0,"",IF($L$16=0,"",IFERROR(IF(ISNUMBER(INDEX(PASTE_ALL,$DF908,$L$16)),INDEX(PASTE_ALL,$DF908,$L$16),SUBSTITUTE(SUBSTITUTE(TRIM(SUBSTITUTE(SUBSTITUTE(SUBSTITUTE(SUBSTITUTE(INDEX(PASTE_ALL,$DF908,$L$16)," "," "),CHAR(9)," "),CHAR(10)," "),CHAR(13)," ")),",",""),"%","")),"")))</f>
        <v/>
      </c>
      <c r="DY908">
        <f>IF($DM908=0,"",IFERROR(IF(ISNUMBER($DX908),$DX908,IF($DX908="","",IF(TRIM($DX908)="",0,IF(AND(AND(SUBSTITUTE(SUBSTITUTE(SUBSTITUTE(SUBSTITUTE(SUBSTITUTE(SUBSTITUTE(SUBSTITUTE(SUBSTITUTE(SUBSTITUTE(SUBSTITUTE(SUBSTITUTE(SUBSTITUTE(SUBSTITUTE(SUBSTITUTE(UPPER(TRIM($DX908)),"0",""),"1",""),"2",""),"3",""),"4",""),"5",""),"6",""),"7",""),"8",""),"9",""),".",""),"+",""),"-",""),"E","")="",LEN(SUBSTITUTE(SUBSTITUTE(MID(UPPER(TRIM($DX908)),1+OR(LEFT(UPPER(TRIM($DX908)),1)="+",LEFT(UPPER(TRIM($DX908)),1)="-"),999),"E+","E"),"E-","E"))=LEN(SUBSTITUTE(SUBSTITUTE(SUBSTITUTE(SUBSTITUTE(MID(UPPER(TRIM($DX908)),1+OR(LEFT(UPPER(TRIM($DX908)),1)="+",LEFT(UPPER(TRIM($DX908)),1)="-"),999),"E+","E"),"E-","E"),"+",""),"-","")),LEN(UPPER(TRIM($DX908)))-LEN(SUBSTITUTE(UPPER(TRIM($DX908)),"E",""))&lt;2,LEN(UPPER(TRIM($DX908)))-LEN(SUBSTITUTE(UPPER(TRIM($DX908)),".",""))&lt;2,IFERROR(FIND(".",UPPER(TRIM($DX908))),0)&lt;IFERROR(FIND("E",UPPER(TRIM($DX908))),999)),ISNUMBER(VALUE(TRIM($DX908)))),VALUE(TRIM($DX908)),"")))),""))</f>
        <v/>
      </c>
      <c r="DZ908">
        <f>IF($DM908=0,"",IF($L$17=0,"",IFERROR(IF(ISNUMBER(INDEX(PASTE_ALL,$DF908,$L$17)),INDEX(PASTE_ALL,$DF908,$L$17),SUBSTITUTE(SUBSTITUTE(TRIM(SUBSTITUTE(SUBSTITUTE(SUBSTITUTE(SUBSTITUTE(INDEX(PASTE_ALL,$DF908,$L$17)," "," "),CHAR(9)," "),CHAR(10)," "),CHAR(13)," ")),",",""),"%","")),"")))</f>
        <v/>
      </c>
      <c r="EA908">
        <f>IF($DM908=0,"",IFERROR(IF(ISNUMBER($DZ908),$DZ908,IF($DZ908="","",IF(TRIM($DZ908)="",0,IF(AND(AND(SUBSTITUTE(SUBSTITUTE(SUBSTITUTE(SUBSTITUTE(SUBSTITUTE(SUBSTITUTE(SUBSTITUTE(SUBSTITUTE(SUBSTITUTE(SUBSTITUTE(SUBSTITUTE(SUBSTITUTE(SUBSTITUTE(SUBSTITUTE(UPPER(TRIM($DZ908)),"0",""),"1",""),"2",""),"3",""),"4",""),"5",""),"6",""),"7",""),"8",""),"9",""),".",""),"+",""),"-",""),"E","")="",LEN(SUBSTITUTE(SUBSTITUTE(MID(UPPER(TRIM($DZ908)),1+OR(LEFT(UPPER(TRIM($DZ908)),1)="+",LEFT(UPPER(TRIM($DZ908)),1)="-"),999),"E+","E"),"E-","E"))=LEN(SUBSTITUTE(SUBSTITUTE(SUBSTITUTE(SUBSTITUTE(MID(UPPER(TRIM($DZ908)),1+OR(LEFT(UPPER(TRIM($DZ908)),1)="+",LEFT(UPPER(TRIM($DZ908)),1)="-"),999),"E+","E"),"E-","E"),"+",""),"-","")),LEN(UPPER(TRIM($DZ908)))-LEN(SUBSTITUTE(UPPER(TRIM($DZ908)),"E",""))&lt;2,LEN(UPPER(TRIM($DZ908)))-LEN(SUBSTITUTE(UPPER(TRIM($DZ908)),".",""))&lt;2,IFERROR(FIND(".",UPPER(TRIM($DZ908))),0)&lt;IFERROR(FIND("E",UPPER(TRIM($DZ908))),999)),ISNUMBER(VALUE(TRIM($DZ908)))),VALUE(TRIM($DZ908)),"")))),""))</f>
        <v/>
      </c>
      <c r="EB908">
        <f>IF($DM908=0,"",IF($L$18=0,"",IFERROR(IF(UPPER(TRIM(SUBSTITUTE(SUBSTITUTE(SUBSTITUTE(SUBSTITUTE(INDEX(PASTE_ALL,$DF908,$L$18)," "," "),CHAR(9)," "),CHAR(10)," "),CHAR(13)," ")))="READY","Ready",IF(UPPER(TRIM(SUBSTITUTE(SUBSTITUTE(SUBSTITUTE(SUBSTITUTE(INDEX(PASTE_ALL,$DF908,$L$18)," "," "),CHAR(9)," "),CHAR(10)," "),CHAR(13)," ")))="PM","PM",IF(OR(UPPER(TRIM(SUBSTITUTE(SUBSTITUTE(SUBSTITUTE(SUBSTITUTE(INDEX(PASTE_ALL,$DF908,$L$18)," "," "),CHAR(9)," "),CHAR(10)," "),CHAR(13)," ")))="OT",UPPER(TRIM(SUBSTITUTE(SUBSTITUTE(SUBSTITUTE(SUBSTITUTE(INDEX(PASTE_ALL,$DF908,$L$18)," "," "),CHAR(9)," "),CHAR(10)," "),CHAR(13)," ")))="OVERTIME",UPPER(TRIM(SUBSTITUTE(SUBSTITUTE(SUBSTITUTE(SUBSTITUTE(INDEX(PASTE_ALL,$DF908,$L$18)," "," "),CHAR(9)," "),CHAR(10)," "),CHAR(13)," ")))="TRIAL"),"OT",TRIM(SUBSTITUTE(SUBSTITUTE(SUBSTITUTE(SUBSTITUTE(INDEX(PASTE_ALL,$DF908,$L$18)," "," "),CHAR(9)," "),CHAR(10)," "),CHAR(13)," "))))),"")))</f>
        <v/>
      </c>
      <c r="EC908">
        <f>IF($DM908=0,"",IF($L$19=0,"",IFERROR(IF(ISNUMBER(INDEX(PASTE_ALL,$DF908,$L$19)),INDEX(PASTE_ALL,$DF908,$L$19),TRIM(SUBSTITUTE(SUBSTITUTE(SUBSTITUTE(SUBSTITUTE(INDEX(PASTE_ALL,$DF908,$L$19)," "," "),CHAR(9)," "),CHAR(10)," "),CHAR(13)," "))),"")))</f>
        <v/>
      </c>
      <c r="ED908">
        <f>IF($DM908=0,"",MATCH(1,INDEX(EXACT($DH$5:DH908,$DH908)*$DM$5:DM908,0),0))</f>
        <v/>
      </c>
      <c r="EE908">
        <f>IF($DM908=0,0,IF($ED908=$DE908,1,0))</f>
        <v/>
      </c>
      <c r="EF908">
        <f>EF907+$EE908</f>
        <v/>
      </c>
      <c r="EG908">
        <f>IF($DM908=0,"",INDEX($EF$5:$EF$1003,$ED908))</f>
        <v/>
      </c>
      <c r="EH908">
        <f>IF($DM908=0,"",IF($DO908&lt;&gt;"","",IFERROR(LOOKUP(2,1/(($EG$4:EG907=$EG908)*($DO$4:DO907&lt;&gt;"")),$DO$4:DO907),"")))</f>
        <v/>
      </c>
      <c r="EI908">
        <f>IF($DM908=0,"",IF($DO908&lt;&gt;"",$DO908,$EH908))</f>
        <v/>
      </c>
      <c r="EJ908">
        <f>IF($DM908=0,"",IF($EI908="",0,IF(OR(ISNUMBER($EI908),AND(AND(SUBSTITUTE(SUBSTITUTE(SUBSTITUTE(SUBSTITUTE(SUBSTITUTE(SUBSTITUTE(SUBSTITUTE(SUBSTITUTE(SUBSTITUTE(SUBSTITUTE(SUBSTITUTE(SUBSTITUTE(SUBSTITUTE(SUBSTITUTE(UPPER($EI908),"0",""),"1",""),"2",""),"3",""),"4",""),"5",""),"6",""),"7",""),"8",""),"9",""),".",""),"+",""),"-",""),"E","")="",LEN(SUBSTITUTE(SUBSTITUTE(MID(UPPER($EI908),1+OR(LEFT(UPPER($EI908),1)="+",LEFT(UPPER($EI908),1)="-"),999),"E+","E"),"E-","E"))=LEN(SUBSTITUTE(SUBSTITUTE(SUBSTITUTE(SUBSTITUTE(MID(UPPER($EI908),1+OR(LEFT(UPPER($EI908),1)="+",LEFT(UPPER($EI908),1)="-"),999),"E+","E"),"E-","E"),"+",""),"-","")),LEN(UPPER($EI908))-LEN(SUBSTITUTE(UPPER($EI908),"E",""))&lt;2,LEN(UPPER($EI908))-LEN(SUBSTITUTE(UPPER($EI908),".",""))&lt;2,IFERROR(FIND(".",UPPER($EI908)),0)&lt;IFERROR(FIND("E",UPPER($EI908)),999)),ISNUMBER(VALUE($EI908)))),1,2)))</f>
        <v/>
      </c>
      <c r="EK908">
        <f>IF($DM908=0,"",IF($EJ908=1,IF(ISNUMBER($EI908),$EI908,VALUE($EI908)),IF($EJ908=2,$DE908,0)))</f>
        <v/>
      </c>
      <c r="EL908">
        <f>IF($DM908=0,"",COUNTIF($EG$5:$EG$1003,"&lt;"&amp;$EG908)+SUMPRODUCT(($EG$5:$EG$1003=$EG908)*(($EJ$5:$EJ$1003&lt;$EJ908)+($EJ$5:$EJ$1003=$EJ908)*(($EK$5:$EK$1003&lt;$EK908)+($EK$5:$EK$1003=$EK908)*($DE$5:$DE$1003&lt;$DE908))))+1)</f>
        <v/>
      </c>
      <c r="EM908">
        <f>IF($DM908=0,"",$EL908+$EG908-1)</f>
        <v/>
      </c>
      <c r="EN908">
        <f>IF($DM908=0,0,IFERROR(MATCH(1,INDEX(--(TRIM(SUBSTITUTE(SUBSTITUTE(SUBSTITUTE(SUBSTITUTE(LINES_NAME&amp;""," "," "),CHAR(9)," "),CHAR(10)," "),CHAR(13)," "))=$DH908),0),0),0))</f>
        <v/>
      </c>
      <c r="EO908">
        <f>IF($EN908=0,0,IF(OR(UPPER(TRIM(INDEX(LINES_SCHEDULED,$EN908)&amp;""))="YES",UPPER(TRIM(INDEX(LINES_SCHEDULED,$EN908)&amp;""))="Y",UPPER(TRIM(INDEX(LINES_SCHEDULED,$EN908)&amp;""))="X"),1,0))</f>
        <v/>
      </c>
      <c r="EP908">
        <f>IF($DM908=0,"",IF(COUNTIFS($EG$5:$EG$1003,$EG908,$EB$5:$EB$1003,"Ready")&gt;0,"READY",IF(COUNTIFS($EG$5:$EG$1003,$EG908,$EB$5:$EB$1003,"PM")&gt;0,"PM",IF(COUNTIFS($EG$5:$EG$1003,$EG908,$EB$5:$EB$1003,"OT")&gt;0,"OT",""))))</f>
        <v/>
      </c>
      <c r="EQ908">
        <f>IF($EN908=0,"",UPPER(TRIM(INDEX(LINES_STATUS,$EN908)&amp;"")))</f>
        <v/>
      </c>
      <c r="ER908">
        <f>IF($DM908=0,"",IF(OR($EQ908="READY",$EQ908="PM",$EQ908="OT"),$EQ908,$EP908))</f>
        <v/>
      </c>
      <c r="ES908">
        <f>IF($DM908=0,"",IF(AND($DV908&lt;&gt;"",UPPER($DV908)&lt;&gt;"N"),"allergen",IF(ISNUMBER(SEARCH("oil",$DQ908)),"oil",IF(OR(EXACT($DS908,"A662"),EXACT($DS908,"A624")),"bulk",""))))</f>
        <v/>
      </c>
      <c r="ET908">
        <f>IF($DM908=0,"",IF(OR($EA908="",$EA908=0),"",$EA908/100))</f>
        <v/>
      </c>
      <c r="EU908">
        <f>IF(OR($ET908="",$DY908=""),"",INT($DY908*(1-$ET908)+0.5))</f>
        <v/>
      </c>
    </row>
    <row r="909">
      <c r="DA909" t="n">
        <v>905</v>
      </c>
      <c r="DB909">
        <f>IF($B$37=0,"",IFERROR(TRIM(SUBSTITUTE(SUBSTITUTE(SUBSTITUTE(SUBSTITUTE(INDEX(PASTE_ALL,905,$B$37)," "," "),CHAR(9)," "),CHAR(10)," "),CHAR(13)," ")),""))</f>
        <v/>
      </c>
      <c r="DC909">
        <f>IF(AND(905&gt;HEADER_ROW,UPPER(DB909)="LEGEND"),1,0)</f>
        <v/>
      </c>
      <c r="DE909" t="n">
        <v>905</v>
      </c>
      <c r="DF909">
        <f>HEADER_ROW+$DE909</f>
        <v/>
      </c>
      <c r="DG909">
        <f>IF(AND($DF909&lt;=1000,$DF909&lt;$B$8),1,0)</f>
        <v/>
      </c>
      <c r="DH909">
        <f>IF($DG909=1,IFERROR(INDEX($DB$5:$DB$1004,$DF909),""),"")</f>
        <v/>
      </c>
      <c r="DI909">
        <f>IF(AND($DG909=1,$DH909&lt;&gt;""),IFERROR(SUBSTITUTE(SUBSTITUTE(TRIM(SUBSTITUTE(SUBSTITUTE(SUBSTITUTE(SUBSTITUTE(IFERROR(INDEX(PASTE_ALL,$DF909,1)&amp;"","")&amp;"␟"&amp;IFERROR(INDEX(PASTE_ALL,$DF909,2)&amp;"","")&amp;"␟"&amp;IFERROR(INDEX(PASTE_ALL,$DF909,3)&amp;"","")&amp;"␟"&amp;IFERROR(INDEX(PASTE_ALL,$DF909,4)&amp;"","")&amp;"␟"&amp;IFERROR(INDEX(PASTE_ALL,$DF909,5)&amp;"","")&amp;"␟"&amp;IFERROR(INDEX(PASTE_ALL,$DF909,6)&amp;"","")&amp;"␟"&amp;IFERROR(INDEX(PASTE_ALL,$DF909,7)&amp;"","")&amp;"␟"&amp;IFERROR(INDEX(PASTE_ALL,$DF909,8)&amp;"","")&amp;"␟"&amp;IFERROR(INDEX(PASTE_ALL,$DF909,9)&amp;"","")&amp;"␟"&amp;IFERROR(INDEX(PASTE_ALL,$DF909,10)&amp;"","")&amp;"␟"&amp;IFERROR(INDEX(PASTE_ALL,$DF909,11)&amp;"","")&amp;"␟"&amp;IFERROR(INDEX(PASTE_ALL,$DF909,12)&amp;"","")&amp;"␟"&amp;IFERROR(INDEX(PASTE_ALL,$DF909,13)&amp;"","")&amp;"␟"&amp;IFERROR(INDEX(PASTE_ALL,$DF909,14)&amp;"","")&amp;"␟"&amp;IFERROR(INDEX(PASTE_ALL,$DF909,15)&amp;"","")&amp;"␟"&amp;IFERROR(INDEX(PASTE_ALL,$DF909,16)&amp;"","")&amp;"␟"&amp;IFERROR(INDEX(PASTE_ALL,$DF909,17)&amp;"","")&amp;"␟"&amp;IFERROR(INDEX(PASTE_ALL,$DF909,18)&amp;"","")&amp;"␟"&amp;IFERROR(INDEX(PASTE_ALL,$DF909,19)&amp;"","")&amp;"␟"&amp;IFERROR(INDEX(PASTE_ALL,$DF909,20)&amp;"","")&amp;"␟"&amp;IFERROR(INDEX(PASTE_ALL,$DF909,21)&amp;"","")&amp;"␟"&amp;IFERROR(INDEX(PASTE_ALL,$DF909,22)&amp;"","")&amp;"␟"&amp;IFERROR(INDEX(PASTE_ALL,$DF909,23)&amp;"","")&amp;"␟"&amp;IFERROR(INDEX(PASTE_ALL,$DF909,24)&amp;"","")&amp;"␟"&amp;IFERROR(INDEX(PASTE_ALL,$DF909,25)&amp;"","")&amp;"␟"&amp;IFERROR(INDEX(PASTE_ALL,$DF909,26)&amp;"","")&amp;"␟"&amp;IFERROR(INDEX(PASTE_ALL,$DF909,27)&amp;"","")&amp;"␟"&amp;IFERROR(INDEX(PASTE_ALL,$DF909,28)&amp;"","")&amp;"␟"&amp;IFERROR(INDEX(PASTE_ALL,$DF909,29)&amp;"","")&amp;"␟"&amp;IFERROR(INDEX(PASTE_ALL,$DF909,30)&amp;"","")&amp;"␟"&amp;IFERROR(INDEX(PASTE_ALL,$DF909,31)&amp;"","")&amp;"␟"&amp;IFERROR(INDEX(PASTE_ALL,$DF909,32)&amp;"","")&amp;"␟"&amp;IFERROR(INDEX(PASTE_ALL,$DF909,33)&amp;"","")&amp;"␟"&amp;IFERROR(INDEX(PASTE_ALL,$DF909,34)&amp;"","")&amp;"␟"&amp;IFERROR(INDEX(PASTE_ALL,$DF909,35)&amp;"","")&amp;"␟"&amp;IFERROR(INDEX(PASTE_ALL,$DF909,36)&amp;"","")&amp;"␟"&amp;IFERROR(INDEX(PASTE_ALL,$DF909,37)&amp;"","")&amp;"␟"&amp;IFERROR(INDEX(PASTE_ALL,$DF909,38)&amp;"","")&amp;"␟"&amp;IFERROR(INDEX(PASTE_ALL,$DF909,39)&amp;"","")&amp;"␟"&amp;IFERROR(INDEX(PASTE_ALL,$DF909,40)&amp;"","")&amp;"␟"&amp;IFERROR(INDEX(PASTE_ALL,$DF909,41)&amp;"","")&amp;"␟"&amp;IFERROR(INDEX(PASTE_ALL,$DF909,42)&amp;"","")&amp;"␟"&amp;IFERROR(INDEX(PASTE_ALL,$DF909,43)&amp;"","")&amp;"␟"&amp;IFERROR(INDEX(PASTE_ALL,$DF909,44)&amp;"","")&amp;"␟"&amp;IFERROR(INDEX(PASTE_ALL,$DF909,45)&amp;"","")&amp;"␟"&amp;IFERROR(INDEX(PASTE_ALL,$DF909,46)&amp;"","")&amp;"␟"&amp;IFERROR(INDEX(PASTE_ALL,$DF909,47)&amp;"","")&amp;"␟"&amp;IFERROR(INDEX(PASTE_ALL,$DF909,48)&amp;"","")&amp;"␟"&amp;IFERROR(INDEX(PASTE_ALL,$DF909,49)&amp;"","")&amp;"␟"&amp;IFERROR(INDEX(PASTE_ALL,$DF909,50)&amp;"","")&amp;"␟"&amp;IFERROR(INDEX(PASTE_ALL,$DF909,51)&amp;"","")&amp;"␟"&amp;IFERROR(INDEX(PASTE_ALL,$DF909,52)&amp;"","")&amp;"␟"&amp;IFERROR(INDEX(PASTE_ALL,$DF909,53)&amp;"","")&amp;"␟"&amp;IFERROR(INDEX(PASTE_ALL,$DF909,54)&amp;"","")&amp;"␟"&amp;IFERROR(INDEX(PASTE_ALL,$DF909,55)&amp;"","")&amp;"␟"&amp;IFERROR(INDEX(PASTE_ALL,$DF909,56)&amp;"","")&amp;"␟"&amp;IFERROR(INDEX(PASTE_ALL,$DF909,57)&amp;"","")&amp;"␟"&amp;IFERROR(INDEX(PASTE_ALL,$DF909,58)&amp;"","")&amp;"␟"&amp;IFERROR(INDEX(PASTE_ALL,$DF909,59)&amp;"","")&amp;"␟"&amp;IFERROR(INDEX(PASTE_ALL,$DF909,60)&amp;"","")," "," "),CHAR(9)," "),CHAR(10)," "),CHAR(13)," "))," ␟","␟"),"␟ ","␟"),"#"&amp;$DE909),"")</f>
        <v/>
      </c>
      <c r="DJ909">
        <f>IF($DI909="",0,IF(SUMPRODUCT(--EXACT($DI$4:DI908,$DI909))&gt;0,1,0))</f>
        <v/>
      </c>
      <c r="DK909">
        <f>IF(AND($DI909&lt;&gt;"",$DJ909=0),1,0)</f>
        <v/>
      </c>
      <c r="DL909">
        <f>DL908+$DK909</f>
        <v/>
      </c>
      <c r="DM909">
        <f>IF(AND($DK909=1,$DL909&lt;=600),1,0)</f>
        <v/>
      </c>
      <c r="DN909">
        <f>IF($DM909=0,"",IF($L$6=0,"",IFERROR(IF(ISNUMBER(INDEX(PASTE_ALL,$DF909,$L$6)),INDEX(PASTE_ALL,$DF909,$L$6),TRIM(SUBSTITUTE(SUBSTITUTE(SUBSTITUTE(SUBSTITUTE(INDEX(PASTE_ALL,$DF909,$L$6)," "," "),CHAR(9)," "),CHAR(10)," "),CHAR(13)," "))),"")))</f>
        <v/>
      </c>
      <c r="DO909">
        <f>IF($DM909=0,"",IF($L$7=0,"",IFERROR(IF(ISNUMBER(INDEX(PASTE_ALL,$DF909,$L$7)),INDEX(PASTE_ALL,$DF909,$L$7),TRIM(SUBSTITUTE(SUBSTITUTE(SUBSTITUTE(SUBSTITUTE(INDEX(PASTE_ALL,$DF909,$L$7)," "," "),CHAR(9)," "),CHAR(10)," "),CHAR(13)," "))),"")))</f>
        <v/>
      </c>
      <c r="DP909">
        <f>IF($DM909=0,"",IF($L$8=0,"",IFERROR(IF(ISNUMBER(INDEX(PASTE_ALL,$DF909,$L$8)),INDEX(PASTE_ALL,$DF909,$L$8),TRIM(SUBSTITUTE(SUBSTITUTE(SUBSTITUTE(SUBSTITUTE(INDEX(PASTE_ALL,$DF909,$L$8)," "," "),CHAR(9)," "),CHAR(10)," "),CHAR(13)," "))),"")))</f>
        <v/>
      </c>
      <c r="DQ909">
        <f>IF($DM909=0,"",IF($L$9=0,"",IFERROR(IF(ISNUMBER(INDEX(PASTE_ALL,$DF909,$L$9)),INDEX(PASTE_ALL,$DF909,$L$9),TRIM(SUBSTITUTE(SUBSTITUTE(SUBSTITUTE(SUBSTITUTE(INDEX(PASTE_ALL,$DF909,$L$9)," "," "),CHAR(9)," "),CHAR(10)," "),CHAR(13)," "))),"")))</f>
        <v/>
      </c>
      <c r="DR909">
        <f>IF($DM909=0,"",IF($L$10=0,"",IFERROR(IF(ISNUMBER(INDEX(PASTE_ALL,$DF909,$L$10)),INDEX(PASTE_ALL,$DF909,$L$10),TRIM(SUBSTITUTE(SUBSTITUTE(SUBSTITUTE(SUBSTITUTE(INDEX(PASTE_ALL,$DF909,$L$10)," "," "),CHAR(9)," "),CHAR(10)," "),CHAR(13)," "))),"")))</f>
        <v/>
      </c>
      <c r="DS909">
        <f>IF($DM909=0,"",IF($L$11=0,"",IFERROR(IF(ISNUMBER(INDEX(PASTE_ALL,$DF909,$L$11)),INDEX(PASTE_ALL,$DF909,$L$11),TRIM(SUBSTITUTE(SUBSTITUTE(SUBSTITUTE(SUBSTITUTE(INDEX(PASTE_ALL,$DF909,$L$11)," "," "),CHAR(9)," "),CHAR(10)," "),CHAR(13)," "))),"")))</f>
        <v/>
      </c>
      <c r="DT909">
        <f>IF($DM909=0,"",IF($L$12=0,"",IFERROR(IF(ISNUMBER(INDEX(PASTE_ALL,$DF909,$L$12)),INDEX(PASTE_ALL,$DF909,$L$12),TRIM(SUBSTITUTE(SUBSTITUTE(SUBSTITUTE(SUBSTITUTE(INDEX(PASTE_ALL,$DF909,$L$12)," "," "),CHAR(9)," "),CHAR(10)," "),CHAR(13)," "))),"")))</f>
        <v/>
      </c>
      <c r="DU909">
        <f>IF($DM909=0,"",IF($L$13=0,"",IFERROR(IF(ISNUMBER(INDEX(PASTE_ALL,$DF909,$L$13)),INDEX(PASTE_ALL,$DF909,$L$13),TRIM(SUBSTITUTE(SUBSTITUTE(SUBSTITUTE(SUBSTITUTE(INDEX(PASTE_ALL,$DF909,$L$13)," "," "),CHAR(9)," "),CHAR(10)," "),CHAR(13)," "))),"")))</f>
        <v/>
      </c>
      <c r="DV909">
        <f>IF($DM909=0,"",IF($L$14=0,"",IFERROR(IF(ISNUMBER(INDEX(PASTE_ALL,$DF909,$L$14)),INDEX(PASTE_ALL,$DF909,$L$14),TRIM(SUBSTITUTE(SUBSTITUTE(SUBSTITUTE(SUBSTITUTE(INDEX(PASTE_ALL,$DF909,$L$14)," "," "),CHAR(9)," "),CHAR(10)," "),CHAR(13)," "))),"")))</f>
        <v/>
      </c>
      <c r="DW909">
        <f>IF($DM909=0,"",IF($L$15=0,"",IFERROR(IF(ISNUMBER(INDEX(PASTE_ALL,$DF909,$L$15)),INDEX(PASTE_ALL,$DF909,$L$15),IF(SUMPRODUCT(--ISNUMBER(FIND({"A","B","C","D","E","F","G","H","I","J","K","L","M","N","O","P","Q","R","S","T","U","V","W","X","Y","Z","0","1","2","3","4","5","6","7","8","9"},UPPER(TRIM(SUBSTITUTE(SUBSTITUTE(SUBSTITUTE(SUBSTITUTE(INDEX(PASTE_ALL,$DF909,$L$15)," "," "),CHAR(9)," "),CHAR(10)," "),CHAR(13)," "))))))&gt;0,TRIM(SUBSTITUTE(SUBSTITUTE(SUBSTITUTE(SUBSTITUTE(INDEX(PASTE_ALL,$DF909,$L$15)," "," "),CHAR(9)," "),CHAR(10)," "),CHAR(13)," ")),"")),"")))</f>
        <v/>
      </c>
      <c r="DX909">
        <f>IF($DM909=0,"",IF($L$16=0,"",IFERROR(IF(ISNUMBER(INDEX(PASTE_ALL,$DF909,$L$16)),INDEX(PASTE_ALL,$DF909,$L$16),SUBSTITUTE(SUBSTITUTE(TRIM(SUBSTITUTE(SUBSTITUTE(SUBSTITUTE(SUBSTITUTE(INDEX(PASTE_ALL,$DF909,$L$16)," "," "),CHAR(9)," "),CHAR(10)," "),CHAR(13)," ")),",",""),"%","")),"")))</f>
        <v/>
      </c>
      <c r="DY909">
        <f>IF($DM909=0,"",IFERROR(IF(ISNUMBER($DX909),$DX909,IF($DX909="","",IF(TRIM($DX909)="",0,IF(AND(AND(SUBSTITUTE(SUBSTITUTE(SUBSTITUTE(SUBSTITUTE(SUBSTITUTE(SUBSTITUTE(SUBSTITUTE(SUBSTITUTE(SUBSTITUTE(SUBSTITUTE(SUBSTITUTE(SUBSTITUTE(SUBSTITUTE(SUBSTITUTE(UPPER(TRIM($DX909)),"0",""),"1",""),"2",""),"3",""),"4",""),"5",""),"6",""),"7",""),"8",""),"9",""),".",""),"+",""),"-",""),"E","")="",LEN(SUBSTITUTE(SUBSTITUTE(MID(UPPER(TRIM($DX909)),1+OR(LEFT(UPPER(TRIM($DX909)),1)="+",LEFT(UPPER(TRIM($DX909)),1)="-"),999),"E+","E"),"E-","E"))=LEN(SUBSTITUTE(SUBSTITUTE(SUBSTITUTE(SUBSTITUTE(MID(UPPER(TRIM($DX909)),1+OR(LEFT(UPPER(TRIM($DX909)),1)="+",LEFT(UPPER(TRIM($DX909)),1)="-"),999),"E+","E"),"E-","E"),"+",""),"-","")),LEN(UPPER(TRIM($DX909)))-LEN(SUBSTITUTE(UPPER(TRIM($DX909)),"E",""))&lt;2,LEN(UPPER(TRIM($DX909)))-LEN(SUBSTITUTE(UPPER(TRIM($DX909)),".",""))&lt;2,IFERROR(FIND(".",UPPER(TRIM($DX909))),0)&lt;IFERROR(FIND("E",UPPER(TRIM($DX909))),999)),ISNUMBER(VALUE(TRIM($DX909)))),VALUE(TRIM($DX909)),"")))),""))</f>
        <v/>
      </c>
      <c r="DZ909">
        <f>IF($DM909=0,"",IF($L$17=0,"",IFERROR(IF(ISNUMBER(INDEX(PASTE_ALL,$DF909,$L$17)),INDEX(PASTE_ALL,$DF909,$L$17),SUBSTITUTE(SUBSTITUTE(TRIM(SUBSTITUTE(SUBSTITUTE(SUBSTITUTE(SUBSTITUTE(INDEX(PASTE_ALL,$DF909,$L$17)," "," "),CHAR(9)," "),CHAR(10)," "),CHAR(13)," ")),",",""),"%","")),"")))</f>
        <v/>
      </c>
      <c r="EA909">
        <f>IF($DM909=0,"",IFERROR(IF(ISNUMBER($DZ909),$DZ909,IF($DZ909="","",IF(TRIM($DZ909)="",0,IF(AND(AND(SUBSTITUTE(SUBSTITUTE(SUBSTITUTE(SUBSTITUTE(SUBSTITUTE(SUBSTITUTE(SUBSTITUTE(SUBSTITUTE(SUBSTITUTE(SUBSTITUTE(SUBSTITUTE(SUBSTITUTE(SUBSTITUTE(SUBSTITUTE(UPPER(TRIM($DZ909)),"0",""),"1",""),"2",""),"3",""),"4",""),"5",""),"6",""),"7",""),"8",""),"9",""),".",""),"+",""),"-",""),"E","")="",LEN(SUBSTITUTE(SUBSTITUTE(MID(UPPER(TRIM($DZ909)),1+OR(LEFT(UPPER(TRIM($DZ909)),1)="+",LEFT(UPPER(TRIM($DZ909)),1)="-"),999),"E+","E"),"E-","E"))=LEN(SUBSTITUTE(SUBSTITUTE(SUBSTITUTE(SUBSTITUTE(MID(UPPER(TRIM($DZ909)),1+OR(LEFT(UPPER(TRIM($DZ909)),1)="+",LEFT(UPPER(TRIM($DZ909)),1)="-"),999),"E+","E"),"E-","E"),"+",""),"-","")),LEN(UPPER(TRIM($DZ909)))-LEN(SUBSTITUTE(UPPER(TRIM($DZ909)),"E",""))&lt;2,LEN(UPPER(TRIM($DZ909)))-LEN(SUBSTITUTE(UPPER(TRIM($DZ909)),".",""))&lt;2,IFERROR(FIND(".",UPPER(TRIM($DZ909))),0)&lt;IFERROR(FIND("E",UPPER(TRIM($DZ909))),999)),ISNUMBER(VALUE(TRIM($DZ909)))),VALUE(TRIM($DZ909)),"")))),""))</f>
        <v/>
      </c>
      <c r="EB909">
        <f>IF($DM909=0,"",IF($L$18=0,"",IFERROR(IF(UPPER(TRIM(SUBSTITUTE(SUBSTITUTE(SUBSTITUTE(SUBSTITUTE(INDEX(PASTE_ALL,$DF909,$L$18)," "," "),CHAR(9)," "),CHAR(10)," "),CHAR(13)," ")))="READY","Ready",IF(UPPER(TRIM(SUBSTITUTE(SUBSTITUTE(SUBSTITUTE(SUBSTITUTE(INDEX(PASTE_ALL,$DF909,$L$18)," "," "),CHAR(9)," "),CHAR(10)," "),CHAR(13)," ")))="PM","PM",IF(OR(UPPER(TRIM(SUBSTITUTE(SUBSTITUTE(SUBSTITUTE(SUBSTITUTE(INDEX(PASTE_ALL,$DF909,$L$18)," "," "),CHAR(9)," "),CHAR(10)," "),CHAR(13)," ")))="OT",UPPER(TRIM(SUBSTITUTE(SUBSTITUTE(SUBSTITUTE(SUBSTITUTE(INDEX(PASTE_ALL,$DF909,$L$18)," "," "),CHAR(9)," "),CHAR(10)," "),CHAR(13)," ")))="OVERTIME",UPPER(TRIM(SUBSTITUTE(SUBSTITUTE(SUBSTITUTE(SUBSTITUTE(INDEX(PASTE_ALL,$DF909,$L$18)," "," "),CHAR(9)," "),CHAR(10)," "),CHAR(13)," ")))="TRIAL"),"OT",TRIM(SUBSTITUTE(SUBSTITUTE(SUBSTITUTE(SUBSTITUTE(INDEX(PASTE_ALL,$DF909,$L$18)," "," "),CHAR(9)," "),CHAR(10)," "),CHAR(13)," "))))),"")))</f>
        <v/>
      </c>
      <c r="EC909">
        <f>IF($DM909=0,"",IF($L$19=0,"",IFERROR(IF(ISNUMBER(INDEX(PASTE_ALL,$DF909,$L$19)),INDEX(PASTE_ALL,$DF909,$L$19),TRIM(SUBSTITUTE(SUBSTITUTE(SUBSTITUTE(SUBSTITUTE(INDEX(PASTE_ALL,$DF909,$L$19)," "," "),CHAR(9)," "),CHAR(10)," "),CHAR(13)," "))),"")))</f>
        <v/>
      </c>
      <c r="ED909">
        <f>IF($DM909=0,"",MATCH(1,INDEX(EXACT($DH$5:DH909,$DH909)*$DM$5:DM909,0),0))</f>
        <v/>
      </c>
      <c r="EE909">
        <f>IF($DM909=0,0,IF($ED909=$DE909,1,0))</f>
        <v/>
      </c>
      <c r="EF909">
        <f>EF908+$EE909</f>
        <v/>
      </c>
      <c r="EG909">
        <f>IF($DM909=0,"",INDEX($EF$5:$EF$1003,$ED909))</f>
        <v/>
      </c>
      <c r="EH909">
        <f>IF($DM909=0,"",IF($DO909&lt;&gt;"","",IFERROR(LOOKUP(2,1/(($EG$4:EG908=$EG909)*($DO$4:DO908&lt;&gt;"")),$DO$4:DO908),"")))</f>
        <v/>
      </c>
      <c r="EI909">
        <f>IF($DM909=0,"",IF($DO909&lt;&gt;"",$DO909,$EH909))</f>
        <v/>
      </c>
      <c r="EJ909">
        <f>IF($DM909=0,"",IF($EI909="",0,IF(OR(ISNUMBER($EI909),AND(AND(SUBSTITUTE(SUBSTITUTE(SUBSTITUTE(SUBSTITUTE(SUBSTITUTE(SUBSTITUTE(SUBSTITUTE(SUBSTITUTE(SUBSTITUTE(SUBSTITUTE(SUBSTITUTE(SUBSTITUTE(SUBSTITUTE(SUBSTITUTE(UPPER($EI909),"0",""),"1",""),"2",""),"3",""),"4",""),"5",""),"6",""),"7",""),"8",""),"9",""),".",""),"+",""),"-",""),"E","")="",LEN(SUBSTITUTE(SUBSTITUTE(MID(UPPER($EI909),1+OR(LEFT(UPPER($EI909),1)="+",LEFT(UPPER($EI909),1)="-"),999),"E+","E"),"E-","E"))=LEN(SUBSTITUTE(SUBSTITUTE(SUBSTITUTE(SUBSTITUTE(MID(UPPER($EI909),1+OR(LEFT(UPPER($EI909),1)="+",LEFT(UPPER($EI909),1)="-"),999),"E+","E"),"E-","E"),"+",""),"-","")),LEN(UPPER($EI909))-LEN(SUBSTITUTE(UPPER($EI909),"E",""))&lt;2,LEN(UPPER($EI909))-LEN(SUBSTITUTE(UPPER($EI909),".",""))&lt;2,IFERROR(FIND(".",UPPER($EI909)),0)&lt;IFERROR(FIND("E",UPPER($EI909)),999)),ISNUMBER(VALUE($EI909)))),1,2)))</f>
        <v/>
      </c>
      <c r="EK909">
        <f>IF($DM909=0,"",IF($EJ909=1,IF(ISNUMBER($EI909),$EI909,VALUE($EI909)),IF($EJ909=2,$DE909,0)))</f>
        <v/>
      </c>
      <c r="EL909">
        <f>IF($DM909=0,"",COUNTIF($EG$5:$EG$1003,"&lt;"&amp;$EG909)+SUMPRODUCT(($EG$5:$EG$1003=$EG909)*(($EJ$5:$EJ$1003&lt;$EJ909)+($EJ$5:$EJ$1003=$EJ909)*(($EK$5:$EK$1003&lt;$EK909)+($EK$5:$EK$1003=$EK909)*($DE$5:$DE$1003&lt;$DE909))))+1)</f>
        <v/>
      </c>
      <c r="EM909">
        <f>IF($DM909=0,"",$EL909+$EG909-1)</f>
        <v/>
      </c>
      <c r="EN909">
        <f>IF($DM909=0,0,IFERROR(MATCH(1,INDEX(--(TRIM(SUBSTITUTE(SUBSTITUTE(SUBSTITUTE(SUBSTITUTE(LINES_NAME&amp;""," "," "),CHAR(9)," "),CHAR(10)," "),CHAR(13)," "))=$DH909),0),0),0))</f>
        <v/>
      </c>
      <c r="EO909">
        <f>IF($EN909=0,0,IF(OR(UPPER(TRIM(INDEX(LINES_SCHEDULED,$EN909)&amp;""))="YES",UPPER(TRIM(INDEX(LINES_SCHEDULED,$EN909)&amp;""))="Y",UPPER(TRIM(INDEX(LINES_SCHEDULED,$EN909)&amp;""))="X"),1,0))</f>
        <v/>
      </c>
      <c r="EP909">
        <f>IF($DM909=0,"",IF(COUNTIFS($EG$5:$EG$1003,$EG909,$EB$5:$EB$1003,"Ready")&gt;0,"READY",IF(COUNTIFS($EG$5:$EG$1003,$EG909,$EB$5:$EB$1003,"PM")&gt;0,"PM",IF(COUNTIFS($EG$5:$EG$1003,$EG909,$EB$5:$EB$1003,"OT")&gt;0,"OT",""))))</f>
        <v/>
      </c>
      <c r="EQ909">
        <f>IF($EN909=0,"",UPPER(TRIM(INDEX(LINES_STATUS,$EN909)&amp;"")))</f>
        <v/>
      </c>
      <c r="ER909">
        <f>IF($DM909=0,"",IF(OR($EQ909="READY",$EQ909="PM",$EQ909="OT"),$EQ909,$EP909))</f>
        <v/>
      </c>
      <c r="ES909">
        <f>IF($DM909=0,"",IF(AND($DV909&lt;&gt;"",UPPER($DV909)&lt;&gt;"N"),"allergen",IF(ISNUMBER(SEARCH("oil",$DQ909)),"oil",IF(OR(EXACT($DS909,"A662"),EXACT($DS909,"A624")),"bulk",""))))</f>
        <v/>
      </c>
      <c r="ET909">
        <f>IF($DM909=0,"",IF(OR($EA909="",$EA909=0),"",$EA909/100))</f>
        <v/>
      </c>
      <c r="EU909">
        <f>IF(OR($ET909="",$DY909=""),"",INT($DY909*(1-$ET909)+0.5))</f>
        <v/>
      </c>
    </row>
    <row r="910">
      <c r="DA910" t="n">
        <v>906</v>
      </c>
      <c r="DB910">
        <f>IF($B$37=0,"",IFERROR(TRIM(SUBSTITUTE(SUBSTITUTE(SUBSTITUTE(SUBSTITUTE(INDEX(PASTE_ALL,906,$B$37)," "," "),CHAR(9)," "),CHAR(10)," "),CHAR(13)," ")),""))</f>
        <v/>
      </c>
      <c r="DC910">
        <f>IF(AND(906&gt;HEADER_ROW,UPPER(DB910)="LEGEND"),1,0)</f>
        <v/>
      </c>
      <c r="DE910" t="n">
        <v>906</v>
      </c>
      <c r="DF910">
        <f>HEADER_ROW+$DE910</f>
        <v/>
      </c>
      <c r="DG910">
        <f>IF(AND($DF910&lt;=1000,$DF910&lt;$B$8),1,0)</f>
        <v/>
      </c>
      <c r="DH910">
        <f>IF($DG910=1,IFERROR(INDEX($DB$5:$DB$1004,$DF910),""),"")</f>
        <v/>
      </c>
      <c r="DI910">
        <f>IF(AND($DG910=1,$DH910&lt;&gt;""),IFERROR(SUBSTITUTE(SUBSTITUTE(TRIM(SUBSTITUTE(SUBSTITUTE(SUBSTITUTE(SUBSTITUTE(IFERROR(INDEX(PASTE_ALL,$DF910,1)&amp;"","")&amp;"␟"&amp;IFERROR(INDEX(PASTE_ALL,$DF910,2)&amp;"","")&amp;"␟"&amp;IFERROR(INDEX(PASTE_ALL,$DF910,3)&amp;"","")&amp;"␟"&amp;IFERROR(INDEX(PASTE_ALL,$DF910,4)&amp;"","")&amp;"␟"&amp;IFERROR(INDEX(PASTE_ALL,$DF910,5)&amp;"","")&amp;"␟"&amp;IFERROR(INDEX(PASTE_ALL,$DF910,6)&amp;"","")&amp;"␟"&amp;IFERROR(INDEX(PASTE_ALL,$DF910,7)&amp;"","")&amp;"␟"&amp;IFERROR(INDEX(PASTE_ALL,$DF910,8)&amp;"","")&amp;"␟"&amp;IFERROR(INDEX(PASTE_ALL,$DF910,9)&amp;"","")&amp;"␟"&amp;IFERROR(INDEX(PASTE_ALL,$DF910,10)&amp;"","")&amp;"␟"&amp;IFERROR(INDEX(PASTE_ALL,$DF910,11)&amp;"","")&amp;"␟"&amp;IFERROR(INDEX(PASTE_ALL,$DF910,12)&amp;"","")&amp;"␟"&amp;IFERROR(INDEX(PASTE_ALL,$DF910,13)&amp;"","")&amp;"␟"&amp;IFERROR(INDEX(PASTE_ALL,$DF910,14)&amp;"","")&amp;"␟"&amp;IFERROR(INDEX(PASTE_ALL,$DF910,15)&amp;"","")&amp;"␟"&amp;IFERROR(INDEX(PASTE_ALL,$DF910,16)&amp;"","")&amp;"␟"&amp;IFERROR(INDEX(PASTE_ALL,$DF910,17)&amp;"","")&amp;"␟"&amp;IFERROR(INDEX(PASTE_ALL,$DF910,18)&amp;"","")&amp;"␟"&amp;IFERROR(INDEX(PASTE_ALL,$DF910,19)&amp;"","")&amp;"␟"&amp;IFERROR(INDEX(PASTE_ALL,$DF910,20)&amp;"","")&amp;"␟"&amp;IFERROR(INDEX(PASTE_ALL,$DF910,21)&amp;"","")&amp;"␟"&amp;IFERROR(INDEX(PASTE_ALL,$DF910,22)&amp;"","")&amp;"␟"&amp;IFERROR(INDEX(PASTE_ALL,$DF910,23)&amp;"","")&amp;"␟"&amp;IFERROR(INDEX(PASTE_ALL,$DF910,24)&amp;"","")&amp;"␟"&amp;IFERROR(INDEX(PASTE_ALL,$DF910,25)&amp;"","")&amp;"␟"&amp;IFERROR(INDEX(PASTE_ALL,$DF910,26)&amp;"","")&amp;"␟"&amp;IFERROR(INDEX(PASTE_ALL,$DF910,27)&amp;"","")&amp;"␟"&amp;IFERROR(INDEX(PASTE_ALL,$DF910,28)&amp;"","")&amp;"␟"&amp;IFERROR(INDEX(PASTE_ALL,$DF910,29)&amp;"","")&amp;"␟"&amp;IFERROR(INDEX(PASTE_ALL,$DF910,30)&amp;"","")&amp;"␟"&amp;IFERROR(INDEX(PASTE_ALL,$DF910,31)&amp;"","")&amp;"␟"&amp;IFERROR(INDEX(PASTE_ALL,$DF910,32)&amp;"","")&amp;"␟"&amp;IFERROR(INDEX(PASTE_ALL,$DF910,33)&amp;"","")&amp;"␟"&amp;IFERROR(INDEX(PASTE_ALL,$DF910,34)&amp;"","")&amp;"␟"&amp;IFERROR(INDEX(PASTE_ALL,$DF910,35)&amp;"","")&amp;"␟"&amp;IFERROR(INDEX(PASTE_ALL,$DF910,36)&amp;"","")&amp;"␟"&amp;IFERROR(INDEX(PASTE_ALL,$DF910,37)&amp;"","")&amp;"␟"&amp;IFERROR(INDEX(PASTE_ALL,$DF910,38)&amp;"","")&amp;"␟"&amp;IFERROR(INDEX(PASTE_ALL,$DF910,39)&amp;"","")&amp;"␟"&amp;IFERROR(INDEX(PASTE_ALL,$DF910,40)&amp;"","")&amp;"␟"&amp;IFERROR(INDEX(PASTE_ALL,$DF910,41)&amp;"","")&amp;"␟"&amp;IFERROR(INDEX(PASTE_ALL,$DF910,42)&amp;"","")&amp;"␟"&amp;IFERROR(INDEX(PASTE_ALL,$DF910,43)&amp;"","")&amp;"␟"&amp;IFERROR(INDEX(PASTE_ALL,$DF910,44)&amp;"","")&amp;"␟"&amp;IFERROR(INDEX(PASTE_ALL,$DF910,45)&amp;"","")&amp;"␟"&amp;IFERROR(INDEX(PASTE_ALL,$DF910,46)&amp;"","")&amp;"␟"&amp;IFERROR(INDEX(PASTE_ALL,$DF910,47)&amp;"","")&amp;"␟"&amp;IFERROR(INDEX(PASTE_ALL,$DF910,48)&amp;"","")&amp;"␟"&amp;IFERROR(INDEX(PASTE_ALL,$DF910,49)&amp;"","")&amp;"␟"&amp;IFERROR(INDEX(PASTE_ALL,$DF910,50)&amp;"","")&amp;"␟"&amp;IFERROR(INDEX(PASTE_ALL,$DF910,51)&amp;"","")&amp;"␟"&amp;IFERROR(INDEX(PASTE_ALL,$DF910,52)&amp;"","")&amp;"␟"&amp;IFERROR(INDEX(PASTE_ALL,$DF910,53)&amp;"","")&amp;"␟"&amp;IFERROR(INDEX(PASTE_ALL,$DF910,54)&amp;"","")&amp;"␟"&amp;IFERROR(INDEX(PASTE_ALL,$DF910,55)&amp;"","")&amp;"␟"&amp;IFERROR(INDEX(PASTE_ALL,$DF910,56)&amp;"","")&amp;"␟"&amp;IFERROR(INDEX(PASTE_ALL,$DF910,57)&amp;"","")&amp;"␟"&amp;IFERROR(INDEX(PASTE_ALL,$DF910,58)&amp;"","")&amp;"␟"&amp;IFERROR(INDEX(PASTE_ALL,$DF910,59)&amp;"","")&amp;"␟"&amp;IFERROR(INDEX(PASTE_ALL,$DF910,60)&amp;"","")," "," "),CHAR(9)," "),CHAR(10)," "),CHAR(13)," "))," ␟","␟"),"␟ ","␟"),"#"&amp;$DE910),"")</f>
        <v/>
      </c>
      <c r="DJ910">
        <f>IF($DI910="",0,IF(SUMPRODUCT(--EXACT($DI$4:DI909,$DI910))&gt;0,1,0))</f>
        <v/>
      </c>
      <c r="DK910">
        <f>IF(AND($DI910&lt;&gt;"",$DJ910=0),1,0)</f>
        <v/>
      </c>
      <c r="DL910">
        <f>DL909+$DK910</f>
        <v/>
      </c>
      <c r="DM910">
        <f>IF(AND($DK910=1,$DL910&lt;=600),1,0)</f>
        <v/>
      </c>
      <c r="DN910">
        <f>IF($DM910=0,"",IF($L$6=0,"",IFERROR(IF(ISNUMBER(INDEX(PASTE_ALL,$DF910,$L$6)),INDEX(PASTE_ALL,$DF910,$L$6),TRIM(SUBSTITUTE(SUBSTITUTE(SUBSTITUTE(SUBSTITUTE(INDEX(PASTE_ALL,$DF910,$L$6)," "," "),CHAR(9)," "),CHAR(10)," "),CHAR(13)," "))),"")))</f>
        <v/>
      </c>
      <c r="DO910">
        <f>IF($DM910=0,"",IF($L$7=0,"",IFERROR(IF(ISNUMBER(INDEX(PASTE_ALL,$DF910,$L$7)),INDEX(PASTE_ALL,$DF910,$L$7),TRIM(SUBSTITUTE(SUBSTITUTE(SUBSTITUTE(SUBSTITUTE(INDEX(PASTE_ALL,$DF910,$L$7)," "," "),CHAR(9)," "),CHAR(10)," "),CHAR(13)," "))),"")))</f>
        <v/>
      </c>
      <c r="DP910">
        <f>IF($DM910=0,"",IF($L$8=0,"",IFERROR(IF(ISNUMBER(INDEX(PASTE_ALL,$DF910,$L$8)),INDEX(PASTE_ALL,$DF910,$L$8),TRIM(SUBSTITUTE(SUBSTITUTE(SUBSTITUTE(SUBSTITUTE(INDEX(PASTE_ALL,$DF910,$L$8)," "," "),CHAR(9)," "),CHAR(10)," "),CHAR(13)," "))),"")))</f>
        <v/>
      </c>
      <c r="DQ910">
        <f>IF($DM910=0,"",IF($L$9=0,"",IFERROR(IF(ISNUMBER(INDEX(PASTE_ALL,$DF910,$L$9)),INDEX(PASTE_ALL,$DF910,$L$9),TRIM(SUBSTITUTE(SUBSTITUTE(SUBSTITUTE(SUBSTITUTE(INDEX(PASTE_ALL,$DF910,$L$9)," "," "),CHAR(9)," "),CHAR(10)," "),CHAR(13)," "))),"")))</f>
        <v/>
      </c>
      <c r="DR910">
        <f>IF($DM910=0,"",IF($L$10=0,"",IFERROR(IF(ISNUMBER(INDEX(PASTE_ALL,$DF910,$L$10)),INDEX(PASTE_ALL,$DF910,$L$10),TRIM(SUBSTITUTE(SUBSTITUTE(SUBSTITUTE(SUBSTITUTE(INDEX(PASTE_ALL,$DF910,$L$10)," "," "),CHAR(9)," "),CHAR(10)," "),CHAR(13)," "))),"")))</f>
        <v/>
      </c>
      <c r="DS910">
        <f>IF($DM910=0,"",IF($L$11=0,"",IFERROR(IF(ISNUMBER(INDEX(PASTE_ALL,$DF910,$L$11)),INDEX(PASTE_ALL,$DF910,$L$11),TRIM(SUBSTITUTE(SUBSTITUTE(SUBSTITUTE(SUBSTITUTE(INDEX(PASTE_ALL,$DF910,$L$11)," "," "),CHAR(9)," "),CHAR(10)," "),CHAR(13)," "))),"")))</f>
        <v/>
      </c>
      <c r="DT910">
        <f>IF($DM910=0,"",IF($L$12=0,"",IFERROR(IF(ISNUMBER(INDEX(PASTE_ALL,$DF910,$L$12)),INDEX(PASTE_ALL,$DF910,$L$12),TRIM(SUBSTITUTE(SUBSTITUTE(SUBSTITUTE(SUBSTITUTE(INDEX(PASTE_ALL,$DF910,$L$12)," "," "),CHAR(9)," "),CHAR(10)," "),CHAR(13)," "))),"")))</f>
        <v/>
      </c>
      <c r="DU910">
        <f>IF($DM910=0,"",IF($L$13=0,"",IFERROR(IF(ISNUMBER(INDEX(PASTE_ALL,$DF910,$L$13)),INDEX(PASTE_ALL,$DF910,$L$13),TRIM(SUBSTITUTE(SUBSTITUTE(SUBSTITUTE(SUBSTITUTE(INDEX(PASTE_ALL,$DF910,$L$13)," "," "),CHAR(9)," "),CHAR(10)," "),CHAR(13)," "))),"")))</f>
        <v/>
      </c>
      <c r="DV910">
        <f>IF($DM910=0,"",IF($L$14=0,"",IFERROR(IF(ISNUMBER(INDEX(PASTE_ALL,$DF910,$L$14)),INDEX(PASTE_ALL,$DF910,$L$14),TRIM(SUBSTITUTE(SUBSTITUTE(SUBSTITUTE(SUBSTITUTE(INDEX(PASTE_ALL,$DF910,$L$14)," "," "),CHAR(9)," "),CHAR(10)," "),CHAR(13)," "))),"")))</f>
        <v/>
      </c>
      <c r="DW910">
        <f>IF($DM910=0,"",IF($L$15=0,"",IFERROR(IF(ISNUMBER(INDEX(PASTE_ALL,$DF910,$L$15)),INDEX(PASTE_ALL,$DF910,$L$15),IF(SUMPRODUCT(--ISNUMBER(FIND({"A","B","C","D","E","F","G","H","I","J","K","L","M","N","O","P","Q","R","S","T","U","V","W","X","Y","Z","0","1","2","3","4","5","6","7","8","9"},UPPER(TRIM(SUBSTITUTE(SUBSTITUTE(SUBSTITUTE(SUBSTITUTE(INDEX(PASTE_ALL,$DF910,$L$15)," "," "),CHAR(9)," "),CHAR(10)," "),CHAR(13)," "))))))&gt;0,TRIM(SUBSTITUTE(SUBSTITUTE(SUBSTITUTE(SUBSTITUTE(INDEX(PASTE_ALL,$DF910,$L$15)," "," "),CHAR(9)," "),CHAR(10)," "),CHAR(13)," ")),"")),"")))</f>
        <v/>
      </c>
      <c r="DX910">
        <f>IF($DM910=0,"",IF($L$16=0,"",IFERROR(IF(ISNUMBER(INDEX(PASTE_ALL,$DF910,$L$16)),INDEX(PASTE_ALL,$DF910,$L$16),SUBSTITUTE(SUBSTITUTE(TRIM(SUBSTITUTE(SUBSTITUTE(SUBSTITUTE(SUBSTITUTE(INDEX(PASTE_ALL,$DF910,$L$16)," "," "),CHAR(9)," "),CHAR(10)," "),CHAR(13)," ")),",",""),"%","")),"")))</f>
        <v/>
      </c>
      <c r="DY910">
        <f>IF($DM910=0,"",IFERROR(IF(ISNUMBER($DX910),$DX910,IF($DX910="","",IF(TRIM($DX910)="",0,IF(AND(AND(SUBSTITUTE(SUBSTITUTE(SUBSTITUTE(SUBSTITUTE(SUBSTITUTE(SUBSTITUTE(SUBSTITUTE(SUBSTITUTE(SUBSTITUTE(SUBSTITUTE(SUBSTITUTE(SUBSTITUTE(SUBSTITUTE(SUBSTITUTE(UPPER(TRIM($DX910)),"0",""),"1",""),"2",""),"3",""),"4",""),"5",""),"6",""),"7",""),"8",""),"9",""),".",""),"+",""),"-",""),"E","")="",LEN(SUBSTITUTE(SUBSTITUTE(MID(UPPER(TRIM($DX910)),1+OR(LEFT(UPPER(TRIM($DX910)),1)="+",LEFT(UPPER(TRIM($DX910)),1)="-"),999),"E+","E"),"E-","E"))=LEN(SUBSTITUTE(SUBSTITUTE(SUBSTITUTE(SUBSTITUTE(MID(UPPER(TRIM($DX910)),1+OR(LEFT(UPPER(TRIM($DX910)),1)="+",LEFT(UPPER(TRIM($DX910)),1)="-"),999),"E+","E"),"E-","E"),"+",""),"-","")),LEN(UPPER(TRIM($DX910)))-LEN(SUBSTITUTE(UPPER(TRIM($DX910)),"E",""))&lt;2,LEN(UPPER(TRIM($DX910)))-LEN(SUBSTITUTE(UPPER(TRIM($DX910)),".",""))&lt;2,IFERROR(FIND(".",UPPER(TRIM($DX910))),0)&lt;IFERROR(FIND("E",UPPER(TRIM($DX910))),999)),ISNUMBER(VALUE(TRIM($DX910)))),VALUE(TRIM($DX910)),"")))),""))</f>
        <v/>
      </c>
      <c r="DZ910">
        <f>IF($DM910=0,"",IF($L$17=0,"",IFERROR(IF(ISNUMBER(INDEX(PASTE_ALL,$DF910,$L$17)),INDEX(PASTE_ALL,$DF910,$L$17),SUBSTITUTE(SUBSTITUTE(TRIM(SUBSTITUTE(SUBSTITUTE(SUBSTITUTE(SUBSTITUTE(INDEX(PASTE_ALL,$DF910,$L$17)," "," "),CHAR(9)," "),CHAR(10)," "),CHAR(13)," ")),",",""),"%","")),"")))</f>
        <v/>
      </c>
      <c r="EA910">
        <f>IF($DM910=0,"",IFERROR(IF(ISNUMBER($DZ910),$DZ910,IF($DZ910="","",IF(TRIM($DZ910)="",0,IF(AND(AND(SUBSTITUTE(SUBSTITUTE(SUBSTITUTE(SUBSTITUTE(SUBSTITUTE(SUBSTITUTE(SUBSTITUTE(SUBSTITUTE(SUBSTITUTE(SUBSTITUTE(SUBSTITUTE(SUBSTITUTE(SUBSTITUTE(SUBSTITUTE(UPPER(TRIM($DZ910)),"0",""),"1",""),"2",""),"3",""),"4",""),"5",""),"6",""),"7",""),"8",""),"9",""),".",""),"+",""),"-",""),"E","")="",LEN(SUBSTITUTE(SUBSTITUTE(MID(UPPER(TRIM($DZ910)),1+OR(LEFT(UPPER(TRIM($DZ910)),1)="+",LEFT(UPPER(TRIM($DZ910)),1)="-"),999),"E+","E"),"E-","E"))=LEN(SUBSTITUTE(SUBSTITUTE(SUBSTITUTE(SUBSTITUTE(MID(UPPER(TRIM($DZ910)),1+OR(LEFT(UPPER(TRIM($DZ910)),1)="+",LEFT(UPPER(TRIM($DZ910)),1)="-"),999),"E+","E"),"E-","E"),"+",""),"-","")),LEN(UPPER(TRIM($DZ910)))-LEN(SUBSTITUTE(UPPER(TRIM($DZ910)),"E",""))&lt;2,LEN(UPPER(TRIM($DZ910)))-LEN(SUBSTITUTE(UPPER(TRIM($DZ910)),".",""))&lt;2,IFERROR(FIND(".",UPPER(TRIM($DZ910))),0)&lt;IFERROR(FIND("E",UPPER(TRIM($DZ910))),999)),ISNUMBER(VALUE(TRIM($DZ910)))),VALUE(TRIM($DZ910)),"")))),""))</f>
        <v/>
      </c>
      <c r="EB910">
        <f>IF($DM910=0,"",IF($L$18=0,"",IFERROR(IF(UPPER(TRIM(SUBSTITUTE(SUBSTITUTE(SUBSTITUTE(SUBSTITUTE(INDEX(PASTE_ALL,$DF910,$L$18)," "," "),CHAR(9)," "),CHAR(10)," "),CHAR(13)," ")))="READY","Ready",IF(UPPER(TRIM(SUBSTITUTE(SUBSTITUTE(SUBSTITUTE(SUBSTITUTE(INDEX(PASTE_ALL,$DF910,$L$18)," "," "),CHAR(9)," "),CHAR(10)," "),CHAR(13)," ")))="PM","PM",IF(OR(UPPER(TRIM(SUBSTITUTE(SUBSTITUTE(SUBSTITUTE(SUBSTITUTE(INDEX(PASTE_ALL,$DF910,$L$18)," "," "),CHAR(9)," "),CHAR(10)," "),CHAR(13)," ")))="OT",UPPER(TRIM(SUBSTITUTE(SUBSTITUTE(SUBSTITUTE(SUBSTITUTE(INDEX(PASTE_ALL,$DF910,$L$18)," "," "),CHAR(9)," "),CHAR(10)," "),CHAR(13)," ")))="OVERTIME",UPPER(TRIM(SUBSTITUTE(SUBSTITUTE(SUBSTITUTE(SUBSTITUTE(INDEX(PASTE_ALL,$DF910,$L$18)," "," "),CHAR(9)," "),CHAR(10)," "),CHAR(13)," ")))="TRIAL"),"OT",TRIM(SUBSTITUTE(SUBSTITUTE(SUBSTITUTE(SUBSTITUTE(INDEX(PASTE_ALL,$DF910,$L$18)," "," "),CHAR(9)," "),CHAR(10)," "),CHAR(13)," "))))),"")))</f>
        <v/>
      </c>
      <c r="EC910">
        <f>IF($DM910=0,"",IF($L$19=0,"",IFERROR(IF(ISNUMBER(INDEX(PASTE_ALL,$DF910,$L$19)),INDEX(PASTE_ALL,$DF910,$L$19),TRIM(SUBSTITUTE(SUBSTITUTE(SUBSTITUTE(SUBSTITUTE(INDEX(PASTE_ALL,$DF910,$L$19)," "," "),CHAR(9)," "),CHAR(10)," "),CHAR(13)," "))),"")))</f>
        <v/>
      </c>
      <c r="ED910">
        <f>IF($DM910=0,"",MATCH(1,INDEX(EXACT($DH$5:DH910,$DH910)*$DM$5:DM910,0),0))</f>
        <v/>
      </c>
      <c r="EE910">
        <f>IF($DM910=0,0,IF($ED910=$DE910,1,0))</f>
        <v/>
      </c>
      <c r="EF910">
        <f>EF909+$EE910</f>
        <v/>
      </c>
      <c r="EG910">
        <f>IF($DM910=0,"",INDEX($EF$5:$EF$1003,$ED910))</f>
        <v/>
      </c>
      <c r="EH910">
        <f>IF($DM910=0,"",IF($DO910&lt;&gt;"","",IFERROR(LOOKUP(2,1/(($EG$4:EG909=$EG910)*($DO$4:DO909&lt;&gt;"")),$DO$4:DO909),"")))</f>
        <v/>
      </c>
      <c r="EI910">
        <f>IF($DM910=0,"",IF($DO910&lt;&gt;"",$DO910,$EH910))</f>
        <v/>
      </c>
      <c r="EJ910">
        <f>IF($DM910=0,"",IF($EI910="",0,IF(OR(ISNUMBER($EI910),AND(AND(SUBSTITUTE(SUBSTITUTE(SUBSTITUTE(SUBSTITUTE(SUBSTITUTE(SUBSTITUTE(SUBSTITUTE(SUBSTITUTE(SUBSTITUTE(SUBSTITUTE(SUBSTITUTE(SUBSTITUTE(SUBSTITUTE(SUBSTITUTE(UPPER($EI910),"0",""),"1",""),"2",""),"3",""),"4",""),"5",""),"6",""),"7",""),"8",""),"9",""),".",""),"+",""),"-",""),"E","")="",LEN(SUBSTITUTE(SUBSTITUTE(MID(UPPER($EI910),1+OR(LEFT(UPPER($EI910),1)="+",LEFT(UPPER($EI910),1)="-"),999),"E+","E"),"E-","E"))=LEN(SUBSTITUTE(SUBSTITUTE(SUBSTITUTE(SUBSTITUTE(MID(UPPER($EI910),1+OR(LEFT(UPPER($EI910),1)="+",LEFT(UPPER($EI910),1)="-"),999),"E+","E"),"E-","E"),"+",""),"-","")),LEN(UPPER($EI910))-LEN(SUBSTITUTE(UPPER($EI910),"E",""))&lt;2,LEN(UPPER($EI910))-LEN(SUBSTITUTE(UPPER($EI910),".",""))&lt;2,IFERROR(FIND(".",UPPER($EI910)),0)&lt;IFERROR(FIND("E",UPPER($EI910)),999)),ISNUMBER(VALUE($EI910)))),1,2)))</f>
        <v/>
      </c>
      <c r="EK910">
        <f>IF($DM910=0,"",IF($EJ910=1,IF(ISNUMBER($EI910),$EI910,VALUE($EI910)),IF($EJ910=2,$DE910,0)))</f>
        <v/>
      </c>
      <c r="EL910">
        <f>IF($DM910=0,"",COUNTIF($EG$5:$EG$1003,"&lt;"&amp;$EG910)+SUMPRODUCT(($EG$5:$EG$1003=$EG910)*(($EJ$5:$EJ$1003&lt;$EJ910)+($EJ$5:$EJ$1003=$EJ910)*(($EK$5:$EK$1003&lt;$EK910)+($EK$5:$EK$1003=$EK910)*($DE$5:$DE$1003&lt;$DE910))))+1)</f>
        <v/>
      </c>
      <c r="EM910">
        <f>IF($DM910=0,"",$EL910+$EG910-1)</f>
        <v/>
      </c>
      <c r="EN910">
        <f>IF($DM910=0,0,IFERROR(MATCH(1,INDEX(--(TRIM(SUBSTITUTE(SUBSTITUTE(SUBSTITUTE(SUBSTITUTE(LINES_NAME&amp;""," "," "),CHAR(9)," "),CHAR(10)," "),CHAR(13)," "))=$DH910),0),0),0))</f>
        <v/>
      </c>
      <c r="EO910">
        <f>IF($EN910=0,0,IF(OR(UPPER(TRIM(INDEX(LINES_SCHEDULED,$EN910)&amp;""))="YES",UPPER(TRIM(INDEX(LINES_SCHEDULED,$EN910)&amp;""))="Y",UPPER(TRIM(INDEX(LINES_SCHEDULED,$EN910)&amp;""))="X"),1,0))</f>
        <v/>
      </c>
      <c r="EP910">
        <f>IF($DM910=0,"",IF(COUNTIFS($EG$5:$EG$1003,$EG910,$EB$5:$EB$1003,"Ready")&gt;0,"READY",IF(COUNTIFS($EG$5:$EG$1003,$EG910,$EB$5:$EB$1003,"PM")&gt;0,"PM",IF(COUNTIFS($EG$5:$EG$1003,$EG910,$EB$5:$EB$1003,"OT")&gt;0,"OT",""))))</f>
        <v/>
      </c>
      <c r="EQ910">
        <f>IF($EN910=0,"",UPPER(TRIM(INDEX(LINES_STATUS,$EN910)&amp;"")))</f>
        <v/>
      </c>
      <c r="ER910">
        <f>IF($DM910=0,"",IF(OR($EQ910="READY",$EQ910="PM",$EQ910="OT"),$EQ910,$EP910))</f>
        <v/>
      </c>
      <c r="ES910">
        <f>IF($DM910=0,"",IF(AND($DV910&lt;&gt;"",UPPER($DV910)&lt;&gt;"N"),"allergen",IF(ISNUMBER(SEARCH("oil",$DQ910)),"oil",IF(OR(EXACT($DS910,"A662"),EXACT($DS910,"A624")),"bulk",""))))</f>
        <v/>
      </c>
      <c r="ET910">
        <f>IF($DM910=0,"",IF(OR($EA910="",$EA910=0),"",$EA910/100))</f>
        <v/>
      </c>
      <c r="EU910">
        <f>IF(OR($ET910="",$DY910=""),"",INT($DY910*(1-$ET910)+0.5))</f>
        <v/>
      </c>
    </row>
    <row r="911">
      <c r="DA911" t="n">
        <v>907</v>
      </c>
      <c r="DB911">
        <f>IF($B$37=0,"",IFERROR(TRIM(SUBSTITUTE(SUBSTITUTE(SUBSTITUTE(SUBSTITUTE(INDEX(PASTE_ALL,907,$B$37)," "," "),CHAR(9)," "),CHAR(10)," "),CHAR(13)," ")),""))</f>
        <v/>
      </c>
      <c r="DC911">
        <f>IF(AND(907&gt;HEADER_ROW,UPPER(DB911)="LEGEND"),1,0)</f>
        <v/>
      </c>
      <c r="DE911" t="n">
        <v>907</v>
      </c>
      <c r="DF911">
        <f>HEADER_ROW+$DE911</f>
        <v/>
      </c>
      <c r="DG911">
        <f>IF(AND($DF911&lt;=1000,$DF911&lt;$B$8),1,0)</f>
        <v/>
      </c>
      <c r="DH911">
        <f>IF($DG911=1,IFERROR(INDEX($DB$5:$DB$1004,$DF911),""),"")</f>
        <v/>
      </c>
      <c r="DI911">
        <f>IF(AND($DG911=1,$DH911&lt;&gt;""),IFERROR(SUBSTITUTE(SUBSTITUTE(TRIM(SUBSTITUTE(SUBSTITUTE(SUBSTITUTE(SUBSTITUTE(IFERROR(INDEX(PASTE_ALL,$DF911,1)&amp;"","")&amp;"␟"&amp;IFERROR(INDEX(PASTE_ALL,$DF911,2)&amp;"","")&amp;"␟"&amp;IFERROR(INDEX(PASTE_ALL,$DF911,3)&amp;"","")&amp;"␟"&amp;IFERROR(INDEX(PASTE_ALL,$DF911,4)&amp;"","")&amp;"␟"&amp;IFERROR(INDEX(PASTE_ALL,$DF911,5)&amp;"","")&amp;"␟"&amp;IFERROR(INDEX(PASTE_ALL,$DF911,6)&amp;"","")&amp;"␟"&amp;IFERROR(INDEX(PASTE_ALL,$DF911,7)&amp;"","")&amp;"␟"&amp;IFERROR(INDEX(PASTE_ALL,$DF911,8)&amp;"","")&amp;"␟"&amp;IFERROR(INDEX(PASTE_ALL,$DF911,9)&amp;"","")&amp;"␟"&amp;IFERROR(INDEX(PASTE_ALL,$DF911,10)&amp;"","")&amp;"␟"&amp;IFERROR(INDEX(PASTE_ALL,$DF911,11)&amp;"","")&amp;"␟"&amp;IFERROR(INDEX(PASTE_ALL,$DF911,12)&amp;"","")&amp;"␟"&amp;IFERROR(INDEX(PASTE_ALL,$DF911,13)&amp;"","")&amp;"␟"&amp;IFERROR(INDEX(PASTE_ALL,$DF911,14)&amp;"","")&amp;"␟"&amp;IFERROR(INDEX(PASTE_ALL,$DF911,15)&amp;"","")&amp;"␟"&amp;IFERROR(INDEX(PASTE_ALL,$DF911,16)&amp;"","")&amp;"␟"&amp;IFERROR(INDEX(PASTE_ALL,$DF911,17)&amp;"","")&amp;"␟"&amp;IFERROR(INDEX(PASTE_ALL,$DF911,18)&amp;"","")&amp;"␟"&amp;IFERROR(INDEX(PASTE_ALL,$DF911,19)&amp;"","")&amp;"␟"&amp;IFERROR(INDEX(PASTE_ALL,$DF911,20)&amp;"","")&amp;"␟"&amp;IFERROR(INDEX(PASTE_ALL,$DF911,21)&amp;"","")&amp;"␟"&amp;IFERROR(INDEX(PASTE_ALL,$DF911,22)&amp;"","")&amp;"␟"&amp;IFERROR(INDEX(PASTE_ALL,$DF911,23)&amp;"","")&amp;"␟"&amp;IFERROR(INDEX(PASTE_ALL,$DF911,24)&amp;"","")&amp;"␟"&amp;IFERROR(INDEX(PASTE_ALL,$DF911,25)&amp;"","")&amp;"␟"&amp;IFERROR(INDEX(PASTE_ALL,$DF911,26)&amp;"","")&amp;"␟"&amp;IFERROR(INDEX(PASTE_ALL,$DF911,27)&amp;"","")&amp;"␟"&amp;IFERROR(INDEX(PASTE_ALL,$DF911,28)&amp;"","")&amp;"␟"&amp;IFERROR(INDEX(PASTE_ALL,$DF911,29)&amp;"","")&amp;"␟"&amp;IFERROR(INDEX(PASTE_ALL,$DF911,30)&amp;"","")&amp;"␟"&amp;IFERROR(INDEX(PASTE_ALL,$DF911,31)&amp;"","")&amp;"␟"&amp;IFERROR(INDEX(PASTE_ALL,$DF911,32)&amp;"","")&amp;"␟"&amp;IFERROR(INDEX(PASTE_ALL,$DF911,33)&amp;"","")&amp;"␟"&amp;IFERROR(INDEX(PASTE_ALL,$DF911,34)&amp;"","")&amp;"␟"&amp;IFERROR(INDEX(PASTE_ALL,$DF911,35)&amp;"","")&amp;"␟"&amp;IFERROR(INDEX(PASTE_ALL,$DF911,36)&amp;"","")&amp;"␟"&amp;IFERROR(INDEX(PASTE_ALL,$DF911,37)&amp;"","")&amp;"␟"&amp;IFERROR(INDEX(PASTE_ALL,$DF911,38)&amp;"","")&amp;"␟"&amp;IFERROR(INDEX(PASTE_ALL,$DF911,39)&amp;"","")&amp;"␟"&amp;IFERROR(INDEX(PASTE_ALL,$DF911,40)&amp;"","")&amp;"␟"&amp;IFERROR(INDEX(PASTE_ALL,$DF911,41)&amp;"","")&amp;"␟"&amp;IFERROR(INDEX(PASTE_ALL,$DF911,42)&amp;"","")&amp;"␟"&amp;IFERROR(INDEX(PASTE_ALL,$DF911,43)&amp;"","")&amp;"␟"&amp;IFERROR(INDEX(PASTE_ALL,$DF911,44)&amp;"","")&amp;"␟"&amp;IFERROR(INDEX(PASTE_ALL,$DF911,45)&amp;"","")&amp;"␟"&amp;IFERROR(INDEX(PASTE_ALL,$DF911,46)&amp;"","")&amp;"␟"&amp;IFERROR(INDEX(PASTE_ALL,$DF911,47)&amp;"","")&amp;"␟"&amp;IFERROR(INDEX(PASTE_ALL,$DF911,48)&amp;"","")&amp;"␟"&amp;IFERROR(INDEX(PASTE_ALL,$DF911,49)&amp;"","")&amp;"␟"&amp;IFERROR(INDEX(PASTE_ALL,$DF911,50)&amp;"","")&amp;"␟"&amp;IFERROR(INDEX(PASTE_ALL,$DF911,51)&amp;"","")&amp;"␟"&amp;IFERROR(INDEX(PASTE_ALL,$DF911,52)&amp;"","")&amp;"␟"&amp;IFERROR(INDEX(PASTE_ALL,$DF911,53)&amp;"","")&amp;"␟"&amp;IFERROR(INDEX(PASTE_ALL,$DF911,54)&amp;"","")&amp;"␟"&amp;IFERROR(INDEX(PASTE_ALL,$DF911,55)&amp;"","")&amp;"␟"&amp;IFERROR(INDEX(PASTE_ALL,$DF911,56)&amp;"","")&amp;"␟"&amp;IFERROR(INDEX(PASTE_ALL,$DF911,57)&amp;"","")&amp;"␟"&amp;IFERROR(INDEX(PASTE_ALL,$DF911,58)&amp;"","")&amp;"␟"&amp;IFERROR(INDEX(PASTE_ALL,$DF911,59)&amp;"","")&amp;"␟"&amp;IFERROR(INDEX(PASTE_ALL,$DF911,60)&amp;"","")," "," "),CHAR(9)," "),CHAR(10)," "),CHAR(13)," "))," ␟","␟"),"␟ ","␟"),"#"&amp;$DE911),"")</f>
        <v/>
      </c>
      <c r="DJ911">
        <f>IF($DI911="",0,IF(SUMPRODUCT(--EXACT($DI$4:DI910,$DI911))&gt;0,1,0))</f>
        <v/>
      </c>
      <c r="DK911">
        <f>IF(AND($DI911&lt;&gt;"",$DJ911=0),1,0)</f>
        <v/>
      </c>
      <c r="DL911">
        <f>DL910+$DK911</f>
        <v/>
      </c>
      <c r="DM911">
        <f>IF(AND($DK911=1,$DL911&lt;=600),1,0)</f>
        <v/>
      </c>
      <c r="DN911">
        <f>IF($DM911=0,"",IF($L$6=0,"",IFERROR(IF(ISNUMBER(INDEX(PASTE_ALL,$DF911,$L$6)),INDEX(PASTE_ALL,$DF911,$L$6),TRIM(SUBSTITUTE(SUBSTITUTE(SUBSTITUTE(SUBSTITUTE(INDEX(PASTE_ALL,$DF911,$L$6)," "," "),CHAR(9)," "),CHAR(10)," "),CHAR(13)," "))),"")))</f>
        <v/>
      </c>
      <c r="DO911">
        <f>IF($DM911=0,"",IF($L$7=0,"",IFERROR(IF(ISNUMBER(INDEX(PASTE_ALL,$DF911,$L$7)),INDEX(PASTE_ALL,$DF911,$L$7),TRIM(SUBSTITUTE(SUBSTITUTE(SUBSTITUTE(SUBSTITUTE(INDEX(PASTE_ALL,$DF911,$L$7)," "," "),CHAR(9)," "),CHAR(10)," "),CHAR(13)," "))),"")))</f>
        <v/>
      </c>
      <c r="DP911">
        <f>IF($DM911=0,"",IF($L$8=0,"",IFERROR(IF(ISNUMBER(INDEX(PASTE_ALL,$DF911,$L$8)),INDEX(PASTE_ALL,$DF911,$L$8),TRIM(SUBSTITUTE(SUBSTITUTE(SUBSTITUTE(SUBSTITUTE(INDEX(PASTE_ALL,$DF911,$L$8)," "," "),CHAR(9)," "),CHAR(10)," "),CHAR(13)," "))),"")))</f>
        <v/>
      </c>
      <c r="DQ911">
        <f>IF($DM911=0,"",IF($L$9=0,"",IFERROR(IF(ISNUMBER(INDEX(PASTE_ALL,$DF911,$L$9)),INDEX(PASTE_ALL,$DF911,$L$9),TRIM(SUBSTITUTE(SUBSTITUTE(SUBSTITUTE(SUBSTITUTE(INDEX(PASTE_ALL,$DF911,$L$9)," "," "),CHAR(9)," "),CHAR(10)," "),CHAR(13)," "))),"")))</f>
        <v/>
      </c>
      <c r="DR911">
        <f>IF($DM911=0,"",IF($L$10=0,"",IFERROR(IF(ISNUMBER(INDEX(PASTE_ALL,$DF911,$L$10)),INDEX(PASTE_ALL,$DF911,$L$10),TRIM(SUBSTITUTE(SUBSTITUTE(SUBSTITUTE(SUBSTITUTE(INDEX(PASTE_ALL,$DF911,$L$10)," "," "),CHAR(9)," "),CHAR(10)," "),CHAR(13)," "))),"")))</f>
        <v/>
      </c>
      <c r="DS911">
        <f>IF($DM911=0,"",IF($L$11=0,"",IFERROR(IF(ISNUMBER(INDEX(PASTE_ALL,$DF911,$L$11)),INDEX(PASTE_ALL,$DF911,$L$11),TRIM(SUBSTITUTE(SUBSTITUTE(SUBSTITUTE(SUBSTITUTE(INDEX(PASTE_ALL,$DF911,$L$11)," "," "),CHAR(9)," "),CHAR(10)," "),CHAR(13)," "))),"")))</f>
        <v/>
      </c>
      <c r="DT911">
        <f>IF($DM911=0,"",IF($L$12=0,"",IFERROR(IF(ISNUMBER(INDEX(PASTE_ALL,$DF911,$L$12)),INDEX(PASTE_ALL,$DF911,$L$12),TRIM(SUBSTITUTE(SUBSTITUTE(SUBSTITUTE(SUBSTITUTE(INDEX(PASTE_ALL,$DF911,$L$12)," "," "),CHAR(9)," "),CHAR(10)," "),CHAR(13)," "))),"")))</f>
        <v/>
      </c>
      <c r="DU911">
        <f>IF($DM911=0,"",IF($L$13=0,"",IFERROR(IF(ISNUMBER(INDEX(PASTE_ALL,$DF911,$L$13)),INDEX(PASTE_ALL,$DF911,$L$13),TRIM(SUBSTITUTE(SUBSTITUTE(SUBSTITUTE(SUBSTITUTE(INDEX(PASTE_ALL,$DF911,$L$13)," "," "),CHAR(9)," "),CHAR(10)," "),CHAR(13)," "))),"")))</f>
        <v/>
      </c>
      <c r="DV911">
        <f>IF($DM911=0,"",IF($L$14=0,"",IFERROR(IF(ISNUMBER(INDEX(PASTE_ALL,$DF911,$L$14)),INDEX(PASTE_ALL,$DF911,$L$14),TRIM(SUBSTITUTE(SUBSTITUTE(SUBSTITUTE(SUBSTITUTE(INDEX(PASTE_ALL,$DF911,$L$14)," "," "),CHAR(9)," "),CHAR(10)," "),CHAR(13)," "))),"")))</f>
        <v/>
      </c>
      <c r="DW911">
        <f>IF($DM911=0,"",IF($L$15=0,"",IFERROR(IF(ISNUMBER(INDEX(PASTE_ALL,$DF911,$L$15)),INDEX(PASTE_ALL,$DF911,$L$15),IF(SUMPRODUCT(--ISNUMBER(FIND({"A","B","C","D","E","F","G","H","I","J","K","L","M","N","O","P","Q","R","S","T","U","V","W","X","Y","Z","0","1","2","3","4","5","6","7","8","9"},UPPER(TRIM(SUBSTITUTE(SUBSTITUTE(SUBSTITUTE(SUBSTITUTE(INDEX(PASTE_ALL,$DF911,$L$15)," "," "),CHAR(9)," "),CHAR(10)," "),CHAR(13)," "))))))&gt;0,TRIM(SUBSTITUTE(SUBSTITUTE(SUBSTITUTE(SUBSTITUTE(INDEX(PASTE_ALL,$DF911,$L$15)," "," "),CHAR(9)," "),CHAR(10)," "),CHAR(13)," ")),"")),"")))</f>
        <v/>
      </c>
      <c r="DX911">
        <f>IF($DM911=0,"",IF($L$16=0,"",IFERROR(IF(ISNUMBER(INDEX(PASTE_ALL,$DF911,$L$16)),INDEX(PASTE_ALL,$DF911,$L$16),SUBSTITUTE(SUBSTITUTE(TRIM(SUBSTITUTE(SUBSTITUTE(SUBSTITUTE(SUBSTITUTE(INDEX(PASTE_ALL,$DF911,$L$16)," "," "),CHAR(9)," "),CHAR(10)," "),CHAR(13)," ")),",",""),"%","")),"")))</f>
        <v/>
      </c>
      <c r="DY911">
        <f>IF($DM911=0,"",IFERROR(IF(ISNUMBER($DX911),$DX911,IF($DX911="","",IF(TRIM($DX911)="",0,IF(AND(AND(SUBSTITUTE(SUBSTITUTE(SUBSTITUTE(SUBSTITUTE(SUBSTITUTE(SUBSTITUTE(SUBSTITUTE(SUBSTITUTE(SUBSTITUTE(SUBSTITUTE(SUBSTITUTE(SUBSTITUTE(SUBSTITUTE(SUBSTITUTE(UPPER(TRIM($DX911)),"0",""),"1",""),"2",""),"3",""),"4",""),"5",""),"6",""),"7",""),"8",""),"9",""),".",""),"+",""),"-",""),"E","")="",LEN(SUBSTITUTE(SUBSTITUTE(MID(UPPER(TRIM($DX911)),1+OR(LEFT(UPPER(TRIM($DX911)),1)="+",LEFT(UPPER(TRIM($DX911)),1)="-"),999),"E+","E"),"E-","E"))=LEN(SUBSTITUTE(SUBSTITUTE(SUBSTITUTE(SUBSTITUTE(MID(UPPER(TRIM($DX911)),1+OR(LEFT(UPPER(TRIM($DX911)),1)="+",LEFT(UPPER(TRIM($DX911)),1)="-"),999),"E+","E"),"E-","E"),"+",""),"-","")),LEN(UPPER(TRIM($DX911)))-LEN(SUBSTITUTE(UPPER(TRIM($DX911)),"E",""))&lt;2,LEN(UPPER(TRIM($DX911)))-LEN(SUBSTITUTE(UPPER(TRIM($DX911)),".",""))&lt;2,IFERROR(FIND(".",UPPER(TRIM($DX911))),0)&lt;IFERROR(FIND("E",UPPER(TRIM($DX911))),999)),ISNUMBER(VALUE(TRIM($DX911)))),VALUE(TRIM($DX911)),"")))),""))</f>
        <v/>
      </c>
      <c r="DZ911">
        <f>IF($DM911=0,"",IF($L$17=0,"",IFERROR(IF(ISNUMBER(INDEX(PASTE_ALL,$DF911,$L$17)),INDEX(PASTE_ALL,$DF911,$L$17),SUBSTITUTE(SUBSTITUTE(TRIM(SUBSTITUTE(SUBSTITUTE(SUBSTITUTE(SUBSTITUTE(INDEX(PASTE_ALL,$DF911,$L$17)," "," "),CHAR(9)," "),CHAR(10)," "),CHAR(13)," ")),",",""),"%","")),"")))</f>
        <v/>
      </c>
      <c r="EA911">
        <f>IF($DM911=0,"",IFERROR(IF(ISNUMBER($DZ911),$DZ911,IF($DZ911="","",IF(TRIM($DZ911)="",0,IF(AND(AND(SUBSTITUTE(SUBSTITUTE(SUBSTITUTE(SUBSTITUTE(SUBSTITUTE(SUBSTITUTE(SUBSTITUTE(SUBSTITUTE(SUBSTITUTE(SUBSTITUTE(SUBSTITUTE(SUBSTITUTE(SUBSTITUTE(SUBSTITUTE(UPPER(TRIM($DZ911)),"0",""),"1",""),"2",""),"3",""),"4",""),"5",""),"6",""),"7",""),"8",""),"9",""),".",""),"+",""),"-",""),"E","")="",LEN(SUBSTITUTE(SUBSTITUTE(MID(UPPER(TRIM($DZ911)),1+OR(LEFT(UPPER(TRIM($DZ911)),1)="+",LEFT(UPPER(TRIM($DZ911)),1)="-"),999),"E+","E"),"E-","E"))=LEN(SUBSTITUTE(SUBSTITUTE(SUBSTITUTE(SUBSTITUTE(MID(UPPER(TRIM($DZ911)),1+OR(LEFT(UPPER(TRIM($DZ911)),1)="+",LEFT(UPPER(TRIM($DZ911)),1)="-"),999),"E+","E"),"E-","E"),"+",""),"-","")),LEN(UPPER(TRIM($DZ911)))-LEN(SUBSTITUTE(UPPER(TRIM($DZ911)),"E",""))&lt;2,LEN(UPPER(TRIM($DZ911)))-LEN(SUBSTITUTE(UPPER(TRIM($DZ911)),".",""))&lt;2,IFERROR(FIND(".",UPPER(TRIM($DZ911))),0)&lt;IFERROR(FIND("E",UPPER(TRIM($DZ911))),999)),ISNUMBER(VALUE(TRIM($DZ911)))),VALUE(TRIM($DZ911)),"")))),""))</f>
        <v/>
      </c>
      <c r="EB911">
        <f>IF($DM911=0,"",IF($L$18=0,"",IFERROR(IF(UPPER(TRIM(SUBSTITUTE(SUBSTITUTE(SUBSTITUTE(SUBSTITUTE(INDEX(PASTE_ALL,$DF911,$L$18)," "," "),CHAR(9)," "),CHAR(10)," "),CHAR(13)," ")))="READY","Ready",IF(UPPER(TRIM(SUBSTITUTE(SUBSTITUTE(SUBSTITUTE(SUBSTITUTE(INDEX(PASTE_ALL,$DF911,$L$18)," "," "),CHAR(9)," "),CHAR(10)," "),CHAR(13)," ")))="PM","PM",IF(OR(UPPER(TRIM(SUBSTITUTE(SUBSTITUTE(SUBSTITUTE(SUBSTITUTE(INDEX(PASTE_ALL,$DF911,$L$18)," "," "),CHAR(9)," "),CHAR(10)," "),CHAR(13)," ")))="OT",UPPER(TRIM(SUBSTITUTE(SUBSTITUTE(SUBSTITUTE(SUBSTITUTE(INDEX(PASTE_ALL,$DF911,$L$18)," "," "),CHAR(9)," "),CHAR(10)," "),CHAR(13)," ")))="OVERTIME",UPPER(TRIM(SUBSTITUTE(SUBSTITUTE(SUBSTITUTE(SUBSTITUTE(INDEX(PASTE_ALL,$DF911,$L$18)," "," "),CHAR(9)," "),CHAR(10)," "),CHAR(13)," ")))="TRIAL"),"OT",TRIM(SUBSTITUTE(SUBSTITUTE(SUBSTITUTE(SUBSTITUTE(INDEX(PASTE_ALL,$DF911,$L$18)," "," "),CHAR(9)," "),CHAR(10)," "),CHAR(13)," "))))),"")))</f>
        <v/>
      </c>
      <c r="EC911">
        <f>IF($DM911=0,"",IF($L$19=0,"",IFERROR(IF(ISNUMBER(INDEX(PASTE_ALL,$DF911,$L$19)),INDEX(PASTE_ALL,$DF911,$L$19),TRIM(SUBSTITUTE(SUBSTITUTE(SUBSTITUTE(SUBSTITUTE(INDEX(PASTE_ALL,$DF911,$L$19)," "," "),CHAR(9)," "),CHAR(10)," "),CHAR(13)," "))),"")))</f>
        <v/>
      </c>
      <c r="ED911">
        <f>IF($DM911=0,"",MATCH(1,INDEX(EXACT($DH$5:DH911,$DH911)*$DM$5:DM911,0),0))</f>
        <v/>
      </c>
      <c r="EE911">
        <f>IF($DM911=0,0,IF($ED911=$DE911,1,0))</f>
        <v/>
      </c>
      <c r="EF911">
        <f>EF910+$EE911</f>
        <v/>
      </c>
      <c r="EG911">
        <f>IF($DM911=0,"",INDEX($EF$5:$EF$1003,$ED911))</f>
        <v/>
      </c>
      <c r="EH911">
        <f>IF($DM911=0,"",IF($DO911&lt;&gt;"","",IFERROR(LOOKUP(2,1/(($EG$4:EG910=$EG911)*($DO$4:DO910&lt;&gt;"")),$DO$4:DO910),"")))</f>
        <v/>
      </c>
      <c r="EI911">
        <f>IF($DM911=0,"",IF($DO911&lt;&gt;"",$DO911,$EH911))</f>
        <v/>
      </c>
      <c r="EJ911">
        <f>IF($DM911=0,"",IF($EI911="",0,IF(OR(ISNUMBER($EI911),AND(AND(SUBSTITUTE(SUBSTITUTE(SUBSTITUTE(SUBSTITUTE(SUBSTITUTE(SUBSTITUTE(SUBSTITUTE(SUBSTITUTE(SUBSTITUTE(SUBSTITUTE(SUBSTITUTE(SUBSTITUTE(SUBSTITUTE(SUBSTITUTE(UPPER($EI911),"0",""),"1",""),"2",""),"3",""),"4",""),"5",""),"6",""),"7",""),"8",""),"9",""),".",""),"+",""),"-",""),"E","")="",LEN(SUBSTITUTE(SUBSTITUTE(MID(UPPER($EI911),1+OR(LEFT(UPPER($EI911),1)="+",LEFT(UPPER($EI911),1)="-"),999),"E+","E"),"E-","E"))=LEN(SUBSTITUTE(SUBSTITUTE(SUBSTITUTE(SUBSTITUTE(MID(UPPER($EI911),1+OR(LEFT(UPPER($EI911),1)="+",LEFT(UPPER($EI911),1)="-"),999),"E+","E"),"E-","E"),"+",""),"-","")),LEN(UPPER($EI911))-LEN(SUBSTITUTE(UPPER($EI911),"E",""))&lt;2,LEN(UPPER($EI911))-LEN(SUBSTITUTE(UPPER($EI911),".",""))&lt;2,IFERROR(FIND(".",UPPER($EI911)),0)&lt;IFERROR(FIND("E",UPPER($EI911)),999)),ISNUMBER(VALUE($EI911)))),1,2)))</f>
        <v/>
      </c>
      <c r="EK911">
        <f>IF($DM911=0,"",IF($EJ911=1,IF(ISNUMBER($EI911),$EI911,VALUE($EI911)),IF($EJ911=2,$DE911,0)))</f>
        <v/>
      </c>
      <c r="EL911">
        <f>IF($DM911=0,"",COUNTIF($EG$5:$EG$1003,"&lt;"&amp;$EG911)+SUMPRODUCT(($EG$5:$EG$1003=$EG911)*(($EJ$5:$EJ$1003&lt;$EJ911)+($EJ$5:$EJ$1003=$EJ911)*(($EK$5:$EK$1003&lt;$EK911)+($EK$5:$EK$1003=$EK911)*($DE$5:$DE$1003&lt;$DE911))))+1)</f>
        <v/>
      </c>
      <c r="EM911">
        <f>IF($DM911=0,"",$EL911+$EG911-1)</f>
        <v/>
      </c>
      <c r="EN911">
        <f>IF($DM911=0,0,IFERROR(MATCH(1,INDEX(--(TRIM(SUBSTITUTE(SUBSTITUTE(SUBSTITUTE(SUBSTITUTE(LINES_NAME&amp;""," "," "),CHAR(9)," "),CHAR(10)," "),CHAR(13)," "))=$DH911),0),0),0))</f>
        <v/>
      </c>
      <c r="EO911">
        <f>IF($EN911=0,0,IF(OR(UPPER(TRIM(INDEX(LINES_SCHEDULED,$EN911)&amp;""))="YES",UPPER(TRIM(INDEX(LINES_SCHEDULED,$EN911)&amp;""))="Y",UPPER(TRIM(INDEX(LINES_SCHEDULED,$EN911)&amp;""))="X"),1,0))</f>
        <v/>
      </c>
      <c r="EP911">
        <f>IF($DM911=0,"",IF(COUNTIFS($EG$5:$EG$1003,$EG911,$EB$5:$EB$1003,"Ready")&gt;0,"READY",IF(COUNTIFS($EG$5:$EG$1003,$EG911,$EB$5:$EB$1003,"PM")&gt;0,"PM",IF(COUNTIFS($EG$5:$EG$1003,$EG911,$EB$5:$EB$1003,"OT")&gt;0,"OT",""))))</f>
        <v/>
      </c>
      <c r="EQ911">
        <f>IF($EN911=0,"",UPPER(TRIM(INDEX(LINES_STATUS,$EN911)&amp;"")))</f>
        <v/>
      </c>
      <c r="ER911">
        <f>IF($DM911=0,"",IF(OR($EQ911="READY",$EQ911="PM",$EQ911="OT"),$EQ911,$EP911))</f>
        <v/>
      </c>
      <c r="ES911">
        <f>IF($DM911=0,"",IF(AND($DV911&lt;&gt;"",UPPER($DV911)&lt;&gt;"N"),"allergen",IF(ISNUMBER(SEARCH("oil",$DQ911)),"oil",IF(OR(EXACT($DS911,"A662"),EXACT($DS911,"A624")),"bulk",""))))</f>
        <v/>
      </c>
      <c r="ET911">
        <f>IF($DM911=0,"",IF(OR($EA911="",$EA911=0),"",$EA911/100))</f>
        <v/>
      </c>
      <c r="EU911">
        <f>IF(OR($ET911="",$DY911=""),"",INT($DY911*(1-$ET911)+0.5))</f>
        <v/>
      </c>
    </row>
    <row r="912">
      <c r="DA912" t="n">
        <v>908</v>
      </c>
      <c r="DB912">
        <f>IF($B$37=0,"",IFERROR(TRIM(SUBSTITUTE(SUBSTITUTE(SUBSTITUTE(SUBSTITUTE(INDEX(PASTE_ALL,908,$B$37)," "," "),CHAR(9)," "),CHAR(10)," "),CHAR(13)," ")),""))</f>
        <v/>
      </c>
      <c r="DC912">
        <f>IF(AND(908&gt;HEADER_ROW,UPPER(DB912)="LEGEND"),1,0)</f>
        <v/>
      </c>
      <c r="DE912" t="n">
        <v>908</v>
      </c>
      <c r="DF912">
        <f>HEADER_ROW+$DE912</f>
        <v/>
      </c>
      <c r="DG912">
        <f>IF(AND($DF912&lt;=1000,$DF912&lt;$B$8),1,0)</f>
        <v/>
      </c>
      <c r="DH912">
        <f>IF($DG912=1,IFERROR(INDEX($DB$5:$DB$1004,$DF912),""),"")</f>
        <v/>
      </c>
      <c r="DI912">
        <f>IF(AND($DG912=1,$DH912&lt;&gt;""),IFERROR(SUBSTITUTE(SUBSTITUTE(TRIM(SUBSTITUTE(SUBSTITUTE(SUBSTITUTE(SUBSTITUTE(IFERROR(INDEX(PASTE_ALL,$DF912,1)&amp;"","")&amp;"␟"&amp;IFERROR(INDEX(PASTE_ALL,$DF912,2)&amp;"","")&amp;"␟"&amp;IFERROR(INDEX(PASTE_ALL,$DF912,3)&amp;"","")&amp;"␟"&amp;IFERROR(INDEX(PASTE_ALL,$DF912,4)&amp;"","")&amp;"␟"&amp;IFERROR(INDEX(PASTE_ALL,$DF912,5)&amp;"","")&amp;"␟"&amp;IFERROR(INDEX(PASTE_ALL,$DF912,6)&amp;"","")&amp;"␟"&amp;IFERROR(INDEX(PASTE_ALL,$DF912,7)&amp;"","")&amp;"␟"&amp;IFERROR(INDEX(PASTE_ALL,$DF912,8)&amp;"","")&amp;"␟"&amp;IFERROR(INDEX(PASTE_ALL,$DF912,9)&amp;"","")&amp;"␟"&amp;IFERROR(INDEX(PASTE_ALL,$DF912,10)&amp;"","")&amp;"␟"&amp;IFERROR(INDEX(PASTE_ALL,$DF912,11)&amp;"","")&amp;"␟"&amp;IFERROR(INDEX(PASTE_ALL,$DF912,12)&amp;"","")&amp;"␟"&amp;IFERROR(INDEX(PASTE_ALL,$DF912,13)&amp;"","")&amp;"␟"&amp;IFERROR(INDEX(PASTE_ALL,$DF912,14)&amp;"","")&amp;"␟"&amp;IFERROR(INDEX(PASTE_ALL,$DF912,15)&amp;"","")&amp;"␟"&amp;IFERROR(INDEX(PASTE_ALL,$DF912,16)&amp;"","")&amp;"␟"&amp;IFERROR(INDEX(PASTE_ALL,$DF912,17)&amp;"","")&amp;"␟"&amp;IFERROR(INDEX(PASTE_ALL,$DF912,18)&amp;"","")&amp;"␟"&amp;IFERROR(INDEX(PASTE_ALL,$DF912,19)&amp;"","")&amp;"␟"&amp;IFERROR(INDEX(PASTE_ALL,$DF912,20)&amp;"","")&amp;"␟"&amp;IFERROR(INDEX(PASTE_ALL,$DF912,21)&amp;"","")&amp;"␟"&amp;IFERROR(INDEX(PASTE_ALL,$DF912,22)&amp;"","")&amp;"␟"&amp;IFERROR(INDEX(PASTE_ALL,$DF912,23)&amp;"","")&amp;"␟"&amp;IFERROR(INDEX(PASTE_ALL,$DF912,24)&amp;"","")&amp;"␟"&amp;IFERROR(INDEX(PASTE_ALL,$DF912,25)&amp;"","")&amp;"␟"&amp;IFERROR(INDEX(PASTE_ALL,$DF912,26)&amp;"","")&amp;"␟"&amp;IFERROR(INDEX(PASTE_ALL,$DF912,27)&amp;"","")&amp;"␟"&amp;IFERROR(INDEX(PASTE_ALL,$DF912,28)&amp;"","")&amp;"␟"&amp;IFERROR(INDEX(PASTE_ALL,$DF912,29)&amp;"","")&amp;"␟"&amp;IFERROR(INDEX(PASTE_ALL,$DF912,30)&amp;"","")&amp;"␟"&amp;IFERROR(INDEX(PASTE_ALL,$DF912,31)&amp;"","")&amp;"␟"&amp;IFERROR(INDEX(PASTE_ALL,$DF912,32)&amp;"","")&amp;"␟"&amp;IFERROR(INDEX(PASTE_ALL,$DF912,33)&amp;"","")&amp;"␟"&amp;IFERROR(INDEX(PASTE_ALL,$DF912,34)&amp;"","")&amp;"␟"&amp;IFERROR(INDEX(PASTE_ALL,$DF912,35)&amp;"","")&amp;"␟"&amp;IFERROR(INDEX(PASTE_ALL,$DF912,36)&amp;"","")&amp;"␟"&amp;IFERROR(INDEX(PASTE_ALL,$DF912,37)&amp;"","")&amp;"␟"&amp;IFERROR(INDEX(PASTE_ALL,$DF912,38)&amp;"","")&amp;"␟"&amp;IFERROR(INDEX(PASTE_ALL,$DF912,39)&amp;"","")&amp;"␟"&amp;IFERROR(INDEX(PASTE_ALL,$DF912,40)&amp;"","")&amp;"␟"&amp;IFERROR(INDEX(PASTE_ALL,$DF912,41)&amp;"","")&amp;"␟"&amp;IFERROR(INDEX(PASTE_ALL,$DF912,42)&amp;"","")&amp;"␟"&amp;IFERROR(INDEX(PASTE_ALL,$DF912,43)&amp;"","")&amp;"␟"&amp;IFERROR(INDEX(PASTE_ALL,$DF912,44)&amp;"","")&amp;"␟"&amp;IFERROR(INDEX(PASTE_ALL,$DF912,45)&amp;"","")&amp;"␟"&amp;IFERROR(INDEX(PASTE_ALL,$DF912,46)&amp;"","")&amp;"␟"&amp;IFERROR(INDEX(PASTE_ALL,$DF912,47)&amp;"","")&amp;"␟"&amp;IFERROR(INDEX(PASTE_ALL,$DF912,48)&amp;"","")&amp;"␟"&amp;IFERROR(INDEX(PASTE_ALL,$DF912,49)&amp;"","")&amp;"␟"&amp;IFERROR(INDEX(PASTE_ALL,$DF912,50)&amp;"","")&amp;"␟"&amp;IFERROR(INDEX(PASTE_ALL,$DF912,51)&amp;"","")&amp;"␟"&amp;IFERROR(INDEX(PASTE_ALL,$DF912,52)&amp;"","")&amp;"␟"&amp;IFERROR(INDEX(PASTE_ALL,$DF912,53)&amp;"","")&amp;"␟"&amp;IFERROR(INDEX(PASTE_ALL,$DF912,54)&amp;"","")&amp;"␟"&amp;IFERROR(INDEX(PASTE_ALL,$DF912,55)&amp;"","")&amp;"␟"&amp;IFERROR(INDEX(PASTE_ALL,$DF912,56)&amp;"","")&amp;"␟"&amp;IFERROR(INDEX(PASTE_ALL,$DF912,57)&amp;"","")&amp;"␟"&amp;IFERROR(INDEX(PASTE_ALL,$DF912,58)&amp;"","")&amp;"␟"&amp;IFERROR(INDEX(PASTE_ALL,$DF912,59)&amp;"","")&amp;"␟"&amp;IFERROR(INDEX(PASTE_ALL,$DF912,60)&amp;"","")," "," "),CHAR(9)," "),CHAR(10)," "),CHAR(13)," "))," ␟","␟"),"␟ ","␟"),"#"&amp;$DE912),"")</f>
        <v/>
      </c>
      <c r="DJ912">
        <f>IF($DI912="",0,IF(SUMPRODUCT(--EXACT($DI$4:DI911,$DI912))&gt;0,1,0))</f>
        <v/>
      </c>
      <c r="DK912">
        <f>IF(AND($DI912&lt;&gt;"",$DJ912=0),1,0)</f>
        <v/>
      </c>
      <c r="DL912">
        <f>DL911+$DK912</f>
        <v/>
      </c>
      <c r="DM912">
        <f>IF(AND($DK912=1,$DL912&lt;=600),1,0)</f>
        <v/>
      </c>
      <c r="DN912">
        <f>IF($DM912=0,"",IF($L$6=0,"",IFERROR(IF(ISNUMBER(INDEX(PASTE_ALL,$DF912,$L$6)),INDEX(PASTE_ALL,$DF912,$L$6),TRIM(SUBSTITUTE(SUBSTITUTE(SUBSTITUTE(SUBSTITUTE(INDEX(PASTE_ALL,$DF912,$L$6)," "," "),CHAR(9)," "),CHAR(10)," "),CHAR(13)," "))),"")))</f>
        <v/>
      </c>
      <c r="DO912">
        <f>IF($DM912=0,"",IF($L$7=0,"",IFERROR(IF(ISNUMBER(INDEX(PASTE_ALL,$DF912,$L$7)),INDEX(PASTE_ALL,$DF912,$L$7),TRIM(SUBSTITUTE(SUBSTITUTE(SUBSTITUTE(SUBSTITUTE(INDEX(PASTE_ALL,$DF912,$L$7)," "," "),CHAR(9)," "),CHAR(10)," "),CHAR(13)," "))),"")))</f>
        <v/>
      </c>
      <c r="DP912">
        <f>IF($DM912=0,"",IF($L$8=0,"",IFERROR(IF(ISNUMBER(INDEX(PASTE_ALL,$DF912,$L$8)),INDEX(PASTE_ALL,$DF912,$L$8),TRIM(SUBSTITUTE(SUBSTITUTE(SUBSTITUTE(SUBSTITUTE(INDEX(PASTE_ALL,$DF912,$L$8)," "," "),CHAR(9)," "),CHAR(10)," "),CHAR(13)," "))),"")))</f>
        <v/>
      </c>
      <c r="DQ912">
        <f>IF($DM912=0,"",IF($L$9=0,"",IFERROR(IF(ISNUMBER(INDEX(PASTE_ALL,$DF912,$L$9)),INDEX(PASTE_ALL,$DF912,$L$9),TRIM(SUBSTITUTE(SUBSTITUTE(SUBSTITUTE(SUBSTITUTE(INDEX(PASTE_ALL,$DF912,$L$9)," "," "),CHAR(9)," "),CHAR(10)," "),CHAR(13)," "))),"")))</f>
        <v/>
      </c>
      <c r="DR912">
        <f>IF($DM912=0,"",IF($L$10=0,"",IFERROR(IF(ISNUMBER(INDEX(PASTE_ALL,$DF912,$L$10)),INDEX(PASTE_ALL,$DF912,$L$10),TRIM(SUBSTITUTE(SUBSTITUTE(SUBSTITUTE(SUBSTITUTE(INDEX(PASTE_ALL,$DF912,$L$10)," "," "),CHAR(9)," "),CHAR(10)," "),CHAR(13)," "))),"")))</f>
        <v/>
      </c>
      <c r="DS912">
        <f>IF($DM912=0,"",IF($L$11=0,"",IFERROR(IF(ISNUMBER(INDEX(PASTE_ALL,$DF912,$L$11)),INDEX(PASTE_ALL,$DF912,$L$11),TRIM(SUBSTITUTE(SUBSTITUTE(SUBSTITUTE(SUBSTITUTE(INDEX(PASTE_ALL,$DF912,$L$11)," "," "),CHAR(9)," "),CHAR(10)," "),CHAR(13)," "))),"")))</f>
        <v/>
      </c>
      <c r="DT912">
        <f>IF($DM912=0,"",IF($L$12=0,"",IFERROR(IF(ISNUMBER(INDEX(PASTE_ALL,$DF912,$L$12)),INDEX(PASTE_ALL,$DF912,$L$12),TRIM(SUBSTITUTE(SUBSTITUTE(SUBSTITUTE(SUBSTITUTE(INDEX(PASTE_ALL,$DF912,$L$12)," "," "),CHAR(9)," "),CHAR(10)," "),CHAR(13)," "))),"")))</f>
        <v/>
      </c>
      <c r="DU912">
        <f>IF($DM912=0,"",IF($L$13=0,"",IFERROR(IF(ISNUMBER(INDEX(PASTE_ALL,$DF912,$L$13)),INDEX(PASTE_ALL,$DF912,$L$13),TRIM(SUBSTITUTE(SUBSTITUTE(SUBSTITUTE(SUBSTITUTE(INDEX(PASTE_ALL,$DF912,$L$13)," "," "),CHAR(9)," "),CHAR(10)," "),CHAR(13)," "))),"")))</f>
        <v/>
      </c>
      <c r="DV912">
        <f>IF($DM912=0,"",IF($L$14=0,"",IFERROR(IF(ISNUMBER(INDEX(PASTE_ALL,$DF912,$L$14)),INDEX(PASTE_ALL,$DF912,$L$14),TRIM(SUBSTITUTE(SUBSTITUTE(SUBSTITUTE(SUBSTITUTE(INDEX(PASTE_ALL,$DF912,$L$14)," "," "),CHAR(9)," "),CHAR(10)," "),CHAR(13)," "))),"")))</f>
        <v/>
      </c>
      <c r="DW912">
        <f>IF($DM912=0,"",IF($L$15=0,"",IFERROR(IF(ISNUMBER(INDEX(PASTE_ALL,$DF912,$L$15)),INDEX(PASTE_ALL,$DF912,$L$15),IF(SUMPRODUCT(--ISNUMBER(FIND({"A","B","C","D","E","F","G","H","I","J","K","L","M","N","O","P","Q","R","S","T","U","V","W","X","Y","Z","0","1","2","3","4","5","6","7","8","9"},UPPER(TRIM(SUBSTITUTE(SUBSTITUTE(SUBSTITUTE(SUBSTITUTE(INDEX(PASTE_ALL,$DF912,$L$15)," "," "),CHAR(9)," "),CHAR(10)," "),CHAR(13)," "))))))&gt;0,TRIM(SUBSTITUTE(SUBSTITUTE(SUBSTITUTE(SUBSTITUTE(INDEX(PASTE_ALL,$DF912,$L$15)," "," "),CHAR(9)," "),CHAR(10)," "),CHAR(13)," ")),"")),"")))</f>
        <v/>
      </c>
      <c r="DX912">
        <f>IF($DM912=0,"",IF($L$16=0,"",IFERROR(IF(ISNUMBER(INDEX(PASTE_ALL,$DF912,$L$16)),INDEX(PASTE_ALL,$DF912,$L$16),SUBSTITUTE(SUBSTITUTE(TRIM(SUBSTITUTE(SUBSTITUTE(SUBSTITUTE(SUBSTITUTE(INDEX(PASTE_ALL,$DF912,$L$16)," "," "),CHAR(9)," "),CHAR(10)," "),CHAR(13)," ")),",",""),"%","")),"")))</f>
        <v/>
      </c>
      <c r="DY912">
        <f>IF($DM912=0,"",IFERROR(IF(ISNUMBER($DX912),$DX912,IF($DX912="","",IF(TRIM($DX912)="",0,IF(AND(AND(SUBSTITUTE(SUBSTITUTE(SUBSTITUTE(SUBSTITUTE(SUBSTITUTE(SUBSTITUTE(SUBSTITUTE(SUBSTITUTE(SUBSTITUTE(SUBSTITUTE(SUBSTITUTE(SUBSTITUTE(SUBSTITUTE(SUBSTITUTE(UPPER(TRIM($DX912)),"0",""),"1",""),"2",""),"3",""),"4",""),"5",""),"6",""),"7",""),"8",""),"9",""),".",""),"+",""),"-",""),"E","")="",LEN(SUBSTITUTE(SUBSTITUTE(MID(UPPER(TRIM($DX912)),1+OR(LEFT(UPPER(TRIM($DX912)),1)="+",LEFT(UPPER(TRIM($DX912)),1)="-"),999),"E+","E"),"E-","E"))=LEN(SUBSTITUTE(SUBSTITUTE(SUBSTITUTE(SUBSTITUTE(MID(UPPER(TRIM($DX912)),1+OR(LEFT(UPPER(TRIM($DX912)),1)="+",LEFT(UPPER(TRIM($DX912)),1)="-"),999),"E+","E"),"E-","E"),"+",""),"-","")),LEN(UPPER(TRIM($DX912)))-LEN(SUBSTITUTE(UPPER(TRIM($DX912)),"E",""))&lt;2,LEN(UPPER(TRIM($DX912)))-LEN(SUBSTITUTE(UPPER(TRIM($DX912)),".",""))&lt;2,IFERROR(FIND(".",UPPER(TRIM($DX912))),0)&lt;IFERROR(FIND("E",UPPER(TRIM($DX912))),999)),ISNUMBER(VALUE(TRIM($DX912)))),VALUE(TRIM($DX912)),"")))),""))</f>
        <v/>
      </c>
      <c r="DZ912">
        <f>IF($DM912=0,"",IF($L$17=0,"",IFERROR(IF(ISNUMBER(INDEX(PASTE_ALL,$DF912,$L$17)),INDEX(PASTE_ALL,$DF912,$L$17),SUBSTITUTE(SUBSTITUTE(TRIM(SUBSTITUTE(SUBSTITUTE(SUBSTITUTE(SUBSTITUTE(INDEX(PASTE_ALL,$DF912,$L$17)," "," "),CHAR(9)," "),CHAR(10)," "),CHAR(13)," ")),",",""),"%","")),"")))</f>
        <v/>
      </c>
      <c r="EA912">
        <f>IF($DM912=0,"",IFERROR(IF(ISNUMBER($DZ912),$DZ912,IF($DZ912="","",IF(TRIM($DZ912)="",0,IF(AND(AND(SUBSTITUTE(SUBSTITUTE(SUBSTITUTE(SUBSTITUTE(SUBSTITUTE(SUBSTITUTE(SUBSTITUTE(SUBSTITUTE(SUBSTITUTE(SUBSTITUTE(SUBSTITUTE(SUBSTITUTE(SUBSTITUTE(SUBSTITUTE(UPPER(TRIM($DZ912)),"0",""),"1",""),"2",""),"3",""),"4",""),"5",""),"6",""),"7",""),"8",""),"9",""),".",""),"+",""),"-",""),"E","")="",LEN(SUBSTITUTE(SUBSTITUTE(MID(UPPER(TRIM($DZ912)),1+OR(LEFT(UPPER(TRIM($DZ912)),1)="+",LEFT(UPPER(TRIM($DZ912)),1)="-"),999),"E+","E"),"E-","E"))=LEN(SUBSTITUTE(SUBSTITUTE(SUBSTITUTE(SUBSTITUTE(MID(UPPER(TRIM($DZ912)),1+OR(LEFT(UPPER(TRIM($DZ912)),1)="+",LEFT(UPPER(TRIM($DZ912)),1)="-"),999),"E+","E"),"E-","E"),"+",""),"-","")),LEN(UPPER(TRIM($DZ912)))-LEN(SUBSTITUTE(UPPER(TRIM($DZ912)),"E",""))&lt;2,LEN(UPPER(TRIM($DZ912)))-LEN(SUBSTITUTE(UPPER(TRIM($DZ912)),".",""))&lt;2,IFERROR(FIND(".",UPPER(TRIM($DZ912))),0)&lt;IFERROR(FIND("E",UPPER(TRIM($DZ912))),999)),ISNUMBER(VALUE(TRIM($DZ912)))),VALUE(TRIM($DZ912)),"")))),""))</f>
        <v/>
      </c>
      <c r="EB912">
        <f>IF($DM912=0,"",IF($L$18=0,"",IFERROR(IF(UPPER(TRIM(SUBSTITUTE(SUBSTITUTE(SUBSTITUTE(SUBSTITUTE(INDEX(PASTE_ALL,$DF912,$L$18)," "," "),CHAR(9)," "),CHAR(10)," "),CHAR(13)," ")))="READY","Ready",IF(UPPER(TRIM(SUBSTITUTE(SUBSTITUTE(SUBSTITUTE(SUBSTITUTE(INDEX(PASTE_ALL,$DF912,$L$18)," "," "),CHAR(9)," "),CHAR(10)," "),CHAR(13)," ")))="PM","PM",IF(OR(UPPER(TRIM(SUBSTITUTE(SUBSTITUTE(SUBSTITUTE(SUBSTITUTE(INDEX(PASTE_ALL,$DF912,$L$18)," "," "),CHAR(9)," "),CHAR(10)," "),CHAR(13)," ")))="OT",UPPER(TRIM(SUBSTITUTE(SUBSTITUTE(SUBSTITUTE(SUBSTITUTE(INDEX(PASTE_ALL,$DF912,$L$18)," "," "),CHAR(9)," "),CHAR(10)," "),CHAR(13)," ")))="OVERTIME",UPPER(TRIM(SUBSTITUTE(SUBSTITUTE(SUBSTITUTE(SUBSTITUTE(INDEX(PASTE_ALL,$DF912,$L$18)," "," "),CHAR(9)," "),CHAR(10)," "),CHAR(13)," ")))="TRIAL"),"OT",TRIM(SUBSTITUTE(SUBSTITUTE(SUBSTITUTE(SUBSTITUTE(INDEX(PASTE_ALL,$DF912,$L$18)," "," "),CHAR(9)," "),CHAR(10)," "),CHAR(13)," "))))),"")))</f>
        <v/>
      </c>
      <c r="EC912">
        <f>IF($DM912=0,"",IF($L$19=0,"",IFERROR(IF(ISNUMBER(INDEX(PASTE_ALL,$DF912,$L$19)),INDEX(PASTE_ALL,$DF912,$L$19),TRIM(SUBSTITUTE(SUBSTITUTE(SUBSTITUTE(SUBSTITUTE(INDEX(PASTE_ALL,$DF912,$L$19)," "," "),CHAR(9)," "),CHAR(10)," "),CHAR(13)," "))),"")))</f>
        <v/>
      </c>
      <c r="ED912">
        <f>IF($DM912=0,"",MATCH(1,INDEX(EXACT($DH$5:DH912,$DH912)*$DM$5:DM912,0),0))</f>
        <v/>
      </c>
      <c r="EE912">
        <f>IF($DM912=0,0,IF($ED912=$DE912,1,0))</f>
        <v/>
      </c>
      <c r="EF912">
        <f>EF911+$EE912</f>
        <v/>
      </c>
      <c r="EG912">
        <f>IF($DM912=0,"",INDEX($EF$5:$EF$1003,$ED912))</f>
        <v/>
      </c>
      <c r="EH912">
        <f>IF($DM912=0,"",IF($DO912&lt;&gt;"","",IFERROR(LOOKUP(2,1/(($EG$4:EG911=$EG912)*($DO$4:DO911&lt;&gt;"")),$DO$4:DO911),"")))</f>
        <v/>
      </c>
      <c r="EI912">
        <f>IF($DM912=0,"",IF($DO912&lt;&gt;"",$DO912,$EH912))</f>
        <v/>
      </c>
      <c r="EJ912">
        <f>IF($DM912=0,"",IF($EI912="",0,IF(OR(ISNUMBER($EI912),AND(AND(SUBSTITUTE(SUBSTITUTE(SUBSTITUTE(SUBSTITUTE(SUBSTITUTE(SUBSTITUTE(SUBSTITUTE(SUBSTITUTE(SUBSTITUTE(SUBSTITUTE(SUBSTITUTE(SUBSTITUTE(SUBSTITUTE(SUBSTITUTE(UPPER($EI912),"0",""),"1",""),"2",""),"3",""),"4",""),"5",""),"6",""),"7",""),"8",""),"9",""),".",""),"+",""),"-",""),"E","")="",LEN(SUBSTITUTE(SUBSTITUTE(MID(UPPER($EI912),1+OR(LEFT(UPPER($EI912),1)="+",LEFT(UPPER($EI912),1)="-"),999),"E+","E"),"E-","E"))=LEN(SUBSTITUTE(SUBSTITUTE(SUBSTITUTE(SUBSTITUTE(MID(UPPER($EI912),1+OR(LEFT(UPPER($EI912),1)="+",LEFT(UPPER($EI912),1)="-"),999),"E+","E"),"E-","E"),"+",""),"-","")),LEN(UPPER($EI912))-LEN(SUBSTITUTE(UPPER($EI912),"E",""))&lt;2,LEN(UPPER($EI912))-LEN(SUBSTITUTE(UPPER($EI912),".",""))&lt;2,IFERROR(FIND(".",UPPER($EI912)),0)&lt;IFERROR(FIND("E",UPPER($EI912)),999)),ISNUMBER(VALUE($EI912)))),1,2)))</f>
        <v/>
      </c>
      <c r="EK912">
        <f>IF($DM912=0,"",IF($EJ912=1,IF(ISNUMBER($EI912),$EI912,VALUE($EI912)),IF($EJ912=2,$DE912,0)))</f>
        <v/>
      </c>
      <c r="EL912">
        <f>IF($DM912=0,"",COUNTIF($EG$5:$EG$1003,"&lt;"&amp;$EG912)+SUMPRODUCT(($EG$5:$EG$1003=$EG912)*(($EJ$5:$EJ$1003&lt;$EJ912)+($EJ$5:$EJ$1003=$EJ912)*(($EK$5:$EK$1003&lt;$EK912)+($EK$5:$EK$1003=$EK912)*($DE$5:$DE$1003&lt;$DE912))))+1)</f>
        <v/>
      </c>
      <c r="EM912">
        <f>IF($DM912=0,"",$EL912+$EG912-1)</f>
        <v/>
      </c>
      <c r="EN912">
        <f>IF($DM912=0,0,IFERROR(MATCH(1,INDEX(--(TRIM(SUBSTITUTE(SUBSTITUTE(SUBSTITUTE(SUBSTITUTE(LINES_NAME&amp;""," "," "),CHAR(9)," "),CHAR(10)," "),CHAR(13)," "))=$DH912),0),0),0))</f>
        <v/>
      </c>
      <c r="EO912">
        <f>IF($EN912=0,0,IF(OR(UPPER(TRIM(INDEX(LINES_SCHEDULED,$EN912)&amp;""))="YES",UPPER(TRIM(INDEX(LINES_SCHEDULED,$EN912)&amp;""))="Y",UPPER(TRIM(INDEX(LINES_SCHEDULED,$EN912)&amp;""))="X"),1,0))</f>
        <v/>
      </c>
      <c r="EP912">
        <f>IF($DM912=0,"",IF(COUNTIFS($EG$5:$EG$1003,$EG912,$EB$5:$EB$1003,"Ready")&gt;0,"READY",IF(COUNTIFS($EG$5:$EG$1003,$EG912,$EB$5:$EB$1003,"PM")&gt;0,"PM",IF(COUNTIFS($EG$5:$EG$1003,$EG912,$EB$5:$EB$1003,"OT")&gt;0,"OT",""))))</f>
        <v/>
      </c>
      <c r="EQ912">
        <f>IF($EN912=0,"",UPPER(TRIM(INDEX(LINES_STATUS,$EN912)&amp;"")))</f>
        <v/>
      </c>
      <c r="ER912">
        <f>IF($DM912=0,"",IF(OR($EQ912="READY",$EQ912="PM",$EQ912="OT"),$EQ912,$EP912))</f>
        <v/>
      </c>
      <c r="ES912">
        <f>IF($DM912=0,"",IF(AND($DV912&lt;&gt;"",UPPER($DV912)&lt;&gt;"N"),"allergen",IF(ISNUMBER(SEARCH("oil",$DQ912)),"oil",IF(OR(EXACT($DS912,"A662"),EXACT($DS912,"A624")),"bulk",""))))</f>
        <v/>
      </c>
      <c r="ET912">
        <f>IF($DM912=0,"",IF(OR($EA912="",$EA912=0),"",$EA912/100))</f>
        <v/>
      </c>
      <c r="EU912">
        <f>IF(OR($ET912="",$DY912=""),"",INT($DY912*(1-$ET912)+0.5))</f>
        <v/>
      </c>
    </row>
    <row r="913">
      <c r="DA913" t="n">
        <v>909</v>
      </c>
      <c r="DB913">
        <f>IF($B$37=0,"",IFERROR(TRIM(SUBSTITUTE(SUBSTITUTE(SUBSTITUTE(SUBSTITUTE(INDEX(PASTE_ALL,909,$B$37)," "," "),CHAR(9)," "),CHAR(10)," "),CHAR(13)," ")),""))</f>
        <v/>
      </c>
      <c r="DC913">
        <f>IF(AND(909&gt;HEADER_ROW,UPPER(DB913)="LEGEND"),1,0)</f>
        <v/>
      </c>
      <c r="DE913" t="n">
        <v>909</v>
      </c>
      <c r="DF913">
        <f>HEADER_ROW+$DE913</f>
        <v/>
      </c>
      <c r="DG913">
        <f>IF(AND($DF913&lt;=1000,$DF913&lt;$B$8),1,0)</f>
        <v/>
      </c>
      <c r="DH913">
        <f>IF($DG913=1,IFERROR(INDEX($DB$5:$DB$1004,$DF913),""),"")</f>
        <v/>
      </c>
      <c r="DI913">
        <f>IF(AND($DG913=1,$DH913&lt;&gt;""),IFERROR(SUBSTITUTE(SUBSTITUTE(TRIM(SUBSTITUTE(SUBSTITUTE(SUBSTITUTE(SUBSTITUTE(IFERROR(INDEX(PASTE_ALL,$DF913,1)&amp;"","")&amp;"␟"&amp;IFERROR(INDEX(PASTE_ALL,$DF913,2)&amp;"","")&amp;"␟"&amp;IFERROR(INDEX(PASTE_ALL,$DF913,3)&amp;"","")&amp;"␟"&amp;IFERROR(INDEX(PASTE_ALL,$DF913,4)&amp;"","")&amp;"␟"&amp;IFERROR(INDEX(PASTE_ALL,$DF913,5)&amp;"","")&amp;"␟"&amp;IFERROR(INDEX(PASTE_ALL,$DF913,6)&amp;"","")&amp;"␟"&amp;IFERROR(INDEX(PASTE_ALL,$DF913,7)&amp;"","")&amp;"␟"&amp;IFERROR(INDEX(PASTE_ALL,$DF913,8)&amp;"","")&amp;"␟"&amp;IFERROR(INDEX(PASTE_ALL,$DF913,9)&amp;"","")&amp;"␟"&amp;IFERROR(INDEX(PASTE_ALL,$DF913,10)&amp;"","")&amp;"␟"&amp;IFERROR(INDEX(PASTE_ALL,$DF913,11)&amp;"","")&amp;"␟"&amp;IFERROR(INDEX(PASTE_ALL,$DF913,12)&amp;"","")&amp;"␟"&amp;IFERROR(INDEX(PASTE_ALL,$DF913,13)&amp;"","")&amp;"␟"&amp;IFERROR(INDEX(PASTE_ALL,$DF913,14)&amp;"","")&amp;"␟"&amp;IFERROR(INDEX(PASTE_ALL,$DF913,15)&amp;"","")&amp;"␟"&amp;IFERROR(INDEX(PASTE_ALL,$DF913,16)&amp;"","")&amp;"␟"&amp;IFERROR(INDEX(PASTE_ALL,$DF913,17)&amp;"","")&amp;"␟"&amp;IFERROR(INDEX(PASTE_ALL,$DF913,18)&amp;"","")&amp;"␟"&amp;IFERROR(INDEX(PASTE_ALL,$DF913,19)&amp;"","")&amp;"␟"&amp;IFERROR(INDEX(PASTE_ALL,$DF913,20)&amp;"","")&amp;"␟"&amp;IFERROR(INDEX(PASTE_ALL,$DF913,21)&amp;"","")&amp;"␟"&amp;IFERROR(INDEX(PASTE_ALL,$DF913,22)&amp;"","")&amp;"␟"&amp;IFERROR(INDEX(PASTE_ALL,$DF913,23)&amp;"","")&amp;"␟"&amp;IFERROR(INDEX(PASTE_ALL,$DF913,24)&amp;"","")&amp;"␟"&amp;IFERROR(INDEX(PASTE_ALL,$DF913,25)&amp;"","")&amp;"␟"&amp;IFERROR(INDEX(PASTE_ALL,$DF913,26)&amp;"","")&amp;"␟"&amp;IFERROR(INDEX(PASTE_ALL,$DF913,27)&amp;"","")&amp;"␟"&amp;IFERROR(INDEX(PASTE_ALL,$DF913,28)&amp;"","")&amp;"␟"&amp;IFERROR(INDEX(PASTE_ALL,$DF913,29)&amp;"","")&amp;"␟"&amp;IFERROR(INDEX(PASTE_ALL,$DF913,30)&amp;"","")&amp;"␟"&amp;IFERROR(INDEX(PASTE_ALL,$DF913,31)&amp;"","")&amp;"␟"&amp;IFERROR(INDEX(PASTE_ALL,$DF913,32)&amp;"","")&amp;"␟"&amp;IFERROR(INDEX(PASTE_ALL,$DF913,33)&amp;"","")&amp;"␟"&amp;IFERROR(INDEX(PASTE_ALL,$DF913,34)&amp;"","")&amp;"␟"&amp;IFERROR(INDEX(PASTE_ALL,$DF913,35)&amp;"","")&amp;"␟"&amp;IFERROR(INDEX(PASTE_ALL,$DF913,36)&amp;"","")&amp;"␟"&amp;IFERROR(INDEX(PASTE_ALL,$DF913,37)&amp;"","")&amp;"␟"&amp;IFERROR(INDEX(PASTE_ALL,$DF913,38)&amp;"","")&amp;"␟"&amp;IFERROR(INDEX(PASTE_ALL,$DF913,39)&amp;"","")&amp;"␟"&amp;IFERROR(INDEX(PASTE_ALL,$DF913,40)&amp;"","")&amp;"␟"&amp;IFERROR(INDEX(PASTE_ALL,$DF913,41)&amp;"","")&amp;"␟"&amp;IFERROR(INDEX(PASTE_ALL,$DF913,42)&amp;"","")&amp;"␟"&amp;IFERROR(INDEX(PASTE_ALL,$DF913,43)&amp;"","")&amp;"␟"&amp;IFERROR(INDEX(PASTE_ALL,$DF913,44)&amp;"","")&amp;"␟"&amp;IFERROR(INDEX(PASTE_ALL,$DF913,45)&amp;"","")&amp;"␟"&amp;IFERROR(INDEX(PASTE_ALL,$DF913,46)&amp;"","")&amp;"␟"&amp;IFERROR(INDEX(PASTE_ALL,$DF913,47)&amp;"","")&amp;"␟"&amp;IFERROR(INDEX(PASTE_ALL,$DF913,48)&amp;"","")&amp;"␟"&amp;IFERROR(INDEX(PASTE_ALL,$DF913,49)&amp;"","")&amp;"␟"&amp;IFERROR(INDEX(PASTE_ALL,$DF913,50)&amp;"","")&amp;"␟"&amp;IFERROR(INDEX(PASTE_ALL,$DF913,51)&amp;"","")&amp;"␟"&amp;IFERROR(INDEX(PASTE_ALL,$DF913,52)&amp;"","")&amp;"␟"&amp;IFERROR(INDEX(PASTE_ALL,$DF913,53)&amp;"","")&amp;"␟"&amp;IFERROR(INDEX(PASTE_ALL,$DF913,54)&amp;"","")&amp;"␟"&amp;IFERROR(INDEX(PASTE_ALL,$DF913,55)&amp;"","")&amp;"␟"&amp;IFERROR(INDEX(PASTE_ALL,$DF913,56)&amp;"","")&amp;"␟"&amp;IFERROR(INDEX(PASTE_ALL,$DF913,57)&amp;"","")&amp;"␟"&amp;IFERROR(INDEX(PASTE_ALL,$DF913,58)&amp;"","")&amp;"␟"&amp;IFERROR(INDEX(PASTE_ALL,$DF913,59)&amp;"","")&amp;"␟"&amp;IFERROR(INDEX(PASTE_ALL,$DF913,60)&amp;"","")," "," "),CHAR(9)," "),CHAR(10)," "),CHAR(13)," "))," ␟","␟"),"␟ ","␟"),"#"&amp;$DE913),"")</f>
        <v/>
      </c>
      <c r="DJ913">
        <f>IF($DI913="",0,IF(SUMPRODUCT(--EXACT($DI$4:DI912,$DI913))&gt;0,1,0))</f>
        <v/>
      </c>
      <c r="DK913">
        <f>IF(AND($DI913&lt;&gt;"",$DJ913=0),1,0)</f>
        <v/>
      </c>
      <c r="DL913">
        <f>DL912+$DK913</f>
        <v/>
      </c>
      <c r="DM913">
        <f>IF(AND($DK913=1,$DL913&lt;=600),1,0)</f>
        <v/>
      </c>
      <c r="DN913">
        <f>IF($DM913=0,"",IF($L$6=0,"",IFERROR(IF(ISNUMBER(INDEX(PASTE_ALL,$DF913,$L$6)),INDEX(PASTE_ALL,$DF913,$L$6),TRIM(SUBSTITUTE(SUBSTITUTE(SUBSTITUTE(SUBSTITUTE(INDEX(PASTE_ALL,$DF913,$L$6)," "," "),CHAR(9)," "),CHAR(10)," "),CHAR(13)," "))),"")))</f>
        <v/>
      </c>
      <c r="DO913">
        <f>IF($DM913=0,"",IF($L$7=0,"",IFERROR(IF(ISNUMBER(INDEX(PASTE_ALL,$DF913,$L$7)),INDEX(PASTE_ALL,$DF913,$L$7),TRIM(SUBSTITUTE(SUBSTITUTE(SUBSTITUTE(SUBSTITUTE(INDEX(PASTE_ALL,$DF913,$L$7)," "," "),CHAR(9)," "),CHAR(10)," "),CHAR(13)," "))),"")))</f>
        <v/>
      </c>
      <c r="DP913">
        <f>IF($DM913=0,"",IF($L$8=0,"",IFERROR(IF(ISNUMBER(INDEX(PASTE_ALL,$DF913,$L$8)),INDEX(PASTE_ALL,$DF913,$L$8),TRIM(SUBSTITUTE(SUBSTITUTE(SUBSTITUTE(SUBSTITUTE(INDEX(PASTE_ALL,$DF913,$L$8)," "," "),CHAR(9)," "),CHAR(10)," "),CHAR(13)," "))),"")))</f>
        <v/>
      </c>
      <c r="DQ913">
        <f>IF($DM913=0,"",IF($L$9=0,"",IFERROR(IF(ISNUMBER(INDEX(PASTE_ALL,$DF913,$L$9)),INDEX(PASTE_ALL,$DF913,$L$9),TRIM(SUBSTITUTE(SUBSTITUTE(SUBSTITUTE(SUBSTITUTE(INDEX(PASTE_ALL,$DF913,$L$9)," "," "),CHAR(9)," "),CHAR(10)," "),CHAR(13)," "))),"")))</f>
        <v/>
      </c>
      <c r="DR913">
        <f>IF($DM913=0,"",IF($L$10=0,"",IFERROR(IF(ISNUMBER(INDEX(PASTE_ALL,$DF913,$L$10)),INDEX(PASTE_ALL,$DF913,$L$10),TRIM(SUBSTITUTE(SUBSTITUTE(SUBSTITUTE(SUBSTITUTE(INDEX(PASTE_ALL,$DF913,$L$10)," "," "),CHAR(9)," "),CHAR(10)," "),CHAR(13)," "))),"")))</f>
        <v/>
      </c>
      <c r="DS913">
        <f>IF($DM913=0,"",IF($L$11=0,"",IFERROR(IF(ISNUMBER(INDEX(PASTE_ALL,$DF913,$L$11)),INDEX(PASTE_ALL,$DF913,$L$11),TRIM(SUBSTITUTE(SUBSTITUTE(SUBSTITUTE(SUBSTITUTE(INDEX(PASTE_ALL,$DF913,$L$11)," "," "),CHAR(9)," "),CHAR(10)," "),CHAR(13)," "))),"")))</f>
        <v/>
      </c>
      <c r="DT913">
        <f>IF($DM913=0,"",IF($L$12=0,"",IFERROR(IF(ISNUMBER(INDEX(PASTE_ALL,$DF913,$L$12)),INDEX(PASTE_ALL,$DF913,$L$12),TRIM(SUBSTITUTE(SUBSTITUTE(SUBSTITUTE(SUBSTITUTE(INDEX(PASTE_ALL,$DF913,$L$12)," "," "),CHAR(9)," "),CHAR(10)," "),CHAR(13)," "))),"")))</f>
        <v/>
      </c>
      <c r="DU913">
        <f>IF($DM913=0,"",IF($L$13=0,"",IFERROR(IF(ISNUMBER(INDEX(PASTE_ALL,$DF913,$L$13)),INDEX(PASTE_ALL,$DF913,$L$13),TRIM(SUBSTITUTE(SUBSTITUTE(SUBSTITUTE(SUBSTITUTE(INDEX(PASTE_ALL,$DF913,$L$13)," "," "),CHAR(9)," "),CHAR(10)," "),CHAR(13)," "))),"")))</f>
        <v/>
      </c>
      <c r="DV913">
        <f>IF($DM913=0,"",IF($L$14=0,"",IFERROR(IF(ISNUMBER(INDEX(PASTE_ALL,$DF913,$L$14)),INDEX(PASTE_ALL,$DF913,$L$14),TRIM(SUBSTITUTE(SUBSTITUTE(SUBSTITUTE(SUBSTITUTE(INDEX(PASTE_ALL,$DF913,$L$14)," "," "),CHAR(9)," "),CHAR(10)," "),CHAR(13)," "))),"")))</f>
        <v/>
      </c>
      <c r="DW913">
        <f>IF($DM913=0,"",IF($L$15=0,"",IFERROR(IF(ISNUMBER(INDEX(PASTE_ALL,$DF913,$L$15)),INDEX(PASTE_ALL,$DF913,$L$15),IF(SUMPRODUCT(--ISNUMBER(FIND({"A","B","C","D","E","F","G","H","I","J","K","L","M","N","O","P","Q","R","S","T","U","V","W","X","Y","Z","0","1","2","3","4","5","6","7","8","9"},UPPER(TRIM(SUBSTITUTE(SUBSTITUTE(SUBSTITUTE(SUBSTITUTE(INDEX(PASTE_ALL,$DF913,$L$15)," "," "),CHAR(9)," "),CHAR(10)," "),CHAR(13)," "))))))&gt;0,TRIM(SUBSTITUTE(SUBSTITUTE(SUBSTITUTE(SUBSTITUTE(INDEX(PASTE_ALL,$DF913,$L$15)," "," "),CHAR(9)," "),CHAR(10)," "),CHAR(13)," ")),"")),"")))</f>
        <v/>
      </c>
      <c r="DX913">
        <f>IF($DM913=0,"",IF($L$16=0,"",IFERROR(IF(ISNUMBER(INDEX(PASTE_ALL,$DF913,$L$16)),INDEX(PASTE_ALL,$DF913,$L$16),SUBSTITUTE(SUBSTITUTE(TRIM(SUBSTITUTE(SUBSTITUTE(SUBSTITUTE(SUBSTITUTE(INDEX(PASTE_ALL,$DF913,$L$16)," "," "),CHAR(9)," "),CHAR(10)," "),CHAR(13)," ")),",",""),"%","")),"")))</f>
        <v/>
      </c>
      <c r="DY913">
        <f>IF($DM913=0,"",IFERROR(IF(ISNUMBER($DX913),$DX913,IF($DX913="","",IF(TRIM($DX913)="",0,IF(AND(AND(SUBSTITUTE(SUBSTITUTE(SUBSTITUTE(SUBSTITUTE(SUBSTITUTE(SUBSTITUTE(SUBSTITUTE(SUBSTITUTE(SUBSTITUTE(SUBSTITUTE(SUBSTITUTE(SUBSTITUTE(SUBSTITUTE(SUBSTITUTE(UPPER(TRIM($DX913)),"0",""),"1",""),"2",""),"3",""),"4",""),"5",""),"6",""),"7",""),"8",""),"9",""),".",""),"+",""),"-",""),"E","")="",LEN(SUBSTITUTE(SUBSTITUTE(MID(UPPER(TRIM($DX913)),1+OR(LEFT(UPPER(TRIM($DX913)),1)="+",LEFT(UPPER(TRIM($DX913)),1)="-"),999),"E+","E"),"E-","E"))=LEN(SUBSTITUTE(SUBSTITUTE(SUBSTITUTE(SUBSTITUTE(MID(UPPER(TRIM($DX913)),1+OR(LEFT(UPPER(TRIM($DX913)),1)="+",LEFT(UPPER(TRIM($DX913)),1)="-"),999),"E+","E"),"E-","E"),"+",""),"-","")),LEN(UPPER(TRIM($DX913)))-LEN(SUBSTITUTE(UPPER(TRIM($DX913)),"E",""))&lt;2,LEN(UPPER(TRIM($DX913)))-LEN(SUBSTITUTE(UPPER(TRIM($DX913)),".",""))&lt;2,IFERROR(FIND(".",UPPER(TRIM($DX913))),0)&lt;IFERROR(FIND("E",UPPER(TRIM($DX913))),999)),ISNUMBER(VALUE(TRIM($DX913)))),VALUE(TRIM($DX913)),"")))),""))</f>
        <v/>
      </c>
      <c r="DZ913">
        <f>IF($DM913=0,"",IF($L$17=0,"",IFERROR(IF(ISNUMBER(INDEX(PASTE_ALL,$DF913,$L$17)),INDEX(PASTE_ALL,$DF913,$L$17),SUBSTITUTE(SUBSTITUTE(TRIM(SUBSTITUTE(SUBSTITUTE(SUBSTITUTE(SUBSTITUTE(INDEX(PASTE_ALL,$DF913,$L$17)," "," "),CHAR(9)," "),CHAR(10)," "),CHAR(13)," ")),",",""),"%","")),"")))</f>
        <v/>
      </c>
      <c r="EA913">
        <f>IF($DM913=0,"",IFERROR(IF(ISNUMBER($DZ913),$DZ913,IF($DZ913="","",IF(TRIM($DZ913)="",0,IF(AND(AND(SUBSTITUTE(SUBSTITUTE(SUBSTITUTE(SUBSTITUTE(SUBSTITUTE(SUBSTITUTE(SUBSTITUTE(SUBSTITUTE(SUBSTITUTE(SUBSTITUTE(SUBSTITUTE(SUBSTITUTE(SUBSTITUTE(SUBSTITUTE(UPPER(TRIM($DZ913)),"0",""),"1",""),"2",""),"3",""),"4",""),"5",""),"6",""),"7",""),"8",""),"9",""),".",""),"+",""),"-",""),"E","")="",LEN(SUBSTITUTE(SUBSTITUTE(MID(UPPER(TRIM($DZ913)),1+OR(LEFT(UPPER(TRIM($DZ913)),1)="+",LEFT(UPPER(TRIM($DZ913)),1)="-"),999),"E+","E"),"E-","E"))=LEN(SUBSTITUTE(SUBSTITUTE(SUBSTITUTE(SUBSTITUTE(MID(UPPER(TRIM($DZ913)),1+OR(LEFT(UPPER(TRIM($DZ913)),1)="+",LEFT(UPPER(TRIM($DZ913)),1)="-"),999),"E+","E"),"E-","E"),"+",""),"-","")),LEN(UPPER(TRIM($DZ913)))-LEN(SUBSTITUTE(UPPER(TRIM($DZ913)),"E",""))&lt;2,LEN(UPPER(TRIM($DZ913)))-LEN(SUBSTITUTE(UPPER(TRIM($DZ913)),".",""))&lt;2,IFERROR(FIND(".",UPPER(TRIM($DZ913))),0)&lt;IFERROR(FIND("E",UPPER(TRIM($DZ913))),999)),ISNUMBER(VALUE(TRIM($DZ913)))),VALUE(TRIM($DZ913)),"")))),""))</f>
        <v/>
      </c>
      <c r="EB913">
        <f>IF($DM913=0,"",IF($L$18=0,"",IFERROR(IF(UPPER(TRIM(SUBSTITUTE(SUBSTITUTE(SUBSTITUTE(SUBSTITUTE(INDEX(PASTE_ALL,$DF913,$L$18)," "," "),CHAR(9)," "),CHAR(10)," "),CHAR(13)," ")))="READY","Ready",IF(UPPER(TRIM(SUBSTITUTE(SUBSTITUTE(SUBSTITUTE(SUBSTITUTE(INDEX(PASTE_ALL,$DF913,$L$18)," "," "),CHAR(9)," "),CHAR(10)," "),CHAR(13)," ")))="PM","PM",IF(OR(UPPER(TRIM(SUBSTITUTE(SUBSTITUTE(SUBSTITUTE(SUBSTITUTE(INDEX(PASTE_ALL,$DF913,$L$18)," "," "),CHAR(9)," "),CHAR(10)," "),CHAR(13)," ")))="OT",UPPER(TRIM(SUBSTITUTE(SUBSTITUTE(SUBSTITUTE(SUBSTITUTE(INDEX(PASTE_ALL,$DF913,$L$18)," "," "),CHAR(9)," "),CHAR(10)," "),CHAR(13)," ")))="OVERTIME",UPPER(TRIM(SUBSTITUTE(SUBSTITUTE(SUBSTITUTE(SUBSTITUTE(INDEX(PASTE_ALL,$DF913,$L$18)," "," "),CHAR(9)," "),CHAR(10)," "),CHAR(13)," ")))="TRIAL"),"OT",TRIM(SUBSTITUTE(SUBSTITUTE(SUBSTITUTE(SUBSTITUTE(INDEX(PASTE_ALL,$DF913,$L$18)," "," "),CHAR(9)," "),CHAR(10)," "),CHAR(13)," "))))),"")))</f>
        <v/>
      </c>
      <c r="EC913">
        <f>IF($DM913=0,"",IF($L$19=0,"",IFERROR(IF(ISNUMBER(INDEX(PASTE_ALL,$DF913,$L$19)),INDEX(PASTE_ALL,$DF913,$L$19),TRIM(SUBSTITUTE(SUBSTITUTE(SUBSTITUTE(SUBSTITUTE(INDEX(PASTE_ALL,$DF913,$L$19)," "," "),CHAR(9)," "),CHAR(10)," "),CHAR(13)," "))),"")))</f>
        <v/>
      </c>
      <c r="ED913">
        <f>IF($DM913=0,"",MATCH(1,INDEX(EXACT($DH$5:DH913,$DH913)*$DM$5:DM913,0),0))</f>
        <v/>
      </c>
      <c r="EE913">
        <f>IF($DM913=0,0,IF($ED913=$DE913,1,0))</f>
        <v/>
      </c>
      <c r="EF913">
        <f>EF912+$EE913</f>
        <v/>
      </c>
      <c r="EG913">
        <f>IF($DM913=0,"",INDEX($EF$5:$EF$1003,$ED913))</f>
        <v/>
      </c>
      <c r="EH913">
        <f>IF($DM913=0,"",IF($DO913&lt;&gt;"","",IFERROR(LOOKUP(2,1/(($EG$4:EG912=$EG913)*($DO$4:DO912&lt;&gt;"")),$DO$4:DO912),"")))</f>
        <v/>
      </c>
      <c r="EI913">
        <f>IF($DM913=0,"",IF($DO913&lt;&gt;"",$DO913,$EH913))</f>
        <v/>
      </c>
      <c r="EJ913">
        <f>IF($DM913=0,"",IF($EI913="",0,IF(OR(ISNUMBER($EI913),AND(AND(SUBSTITUTE(SUBSTITUTE(SUBSTITUTE(SUBSTITUTE(SUBSTITUTE(SUBSTITUTE(SUBSTITUTE(SUBSTITUTE(SUBSTITUTE(SUBSTITUTE(SUBSTITUTE(SUBSTITUTE(SUBSTITUTE(SUBSTITUTE(UPPER($EI913),"0",""),"1",""),"2",""),"3",""),"4",""),"5",""),"6",""),"7",""),"8",""),"9",""),".",""),"+",""),"-",""),"E","")="",LEN(SUBSTITUTE(SUBSTITUTE(MID(UPPER($EI913),1+OR(LEFT(UPPER($EI913),1)="+",LEFT(UPPER($EI913),1)="-"),999),"E+","E"),"E-","E"))=LEN(SUBSTITUTE(SUBSTITUTE(SUBSTITUTE(SUBSTITUTE(MID(UPPER($EI913),1+OR(LEFT(UPPER($EI913),1)="+",LEFT(UPPER($EI913),1)="-"),999),"E+","E"),"E-","E"),"+",""),"-","")),LEN(UPPER($EI913))-LEN(SUBSTITUTE(UPPER($EI913),"E",""))&lt;2,LEN(UPPER($EI913))-LEN(SUBSTITUTE(UPPER($EI913),".",""))&lt;2,IFERROR(FIND(".",UPPER($EI913)),0)&lt;IFERROR(FIND("E",UPPER($EI913)),999)),ISNUMBER(VALUE($EI913)))),1,2)))</f>
        <v/>
      </c>
      <c r="EK913">
        <f>IF($DM913=0,"",IF($EJ913=1,IF(ISNUMBER($EI913),$EI913,VALUE($EI913)),IF($EJ913=2,$DE913,0)))</f>
        <v/>
      </c>
      <c r="EL913">
        <f>IF($DM913=0,"",COUNTIF($EG$5:$EG$1003,"&lt;"&amp;$EG913)+SUMPRODUCT(($EG$5:$EG$1003=$EG913)*(($EJ$5:$EJ$1003&lt;$EJ913)+($EJ$5:$EJ$1003=$EJ913)*(($EK$5:$EK$1003&lt;$EK913)+($EK$5:$EK$1003=$EK913)*($DE$5:$DE$1003&lt;$DE913))))+1)</f>
        <v/>
      </c>
      <c r="EM913">
        <f>IF($DM913=0,"",$EL913+$EG913-1)</f>
        <v/>
      </c>
      <c r="EN913">
        <f>IF($DM913=0,0,IFERROR(MATCH(1,INDEX(--(TRIM(SUBSTITUTE(SUBSTITUTE(SUBSTITUTE(SUBSTITUTE(LINES_NAME&amp;""," "," "),CHAR(9)," "),CHAR(10)," "),CHAR(13)," "))=$DH913),0),0),0))</f>
        <v/>
      </c>
      <c r="EO913">
        <f>IF($EN913=0,0,IF(OR(UPPER(TRIM(INDEX(LINES_SCHEDULED,$EN913)&amp;""))="YES",UPPER(TRIM(INDEX(LINES_SCHEDULED,$EN913)&amp;""))="Y",UPPER(TRIM(INDEX(LINES_SCHEDULED,$EN913)&amp;""))="X"),1,0))</f>
        <v/>
      </c>
      <c r="EP913">
        <f>IF($DM913=0,"",IF(COUNTIFS($EG$5:$EG$1003,$EG913,$EB$5:$EB$1003,"Ready")&gt;0,"READY",IF(COUNTIFS($EG$5:$EG$1003,$EG913,$EB$5:$EB$1003,"PM")&gt;0,"PM",IF(COUNTIFS($EG$5:$EG$1003,$EG913,$EB$5:$EB$1003,"OT")&gt;0,"OT",""))))</f>
        <v/>
      </c>
      <c r="EQ913">
        <f>IF($EN913=0,"",UPPER(TRIM(INDEX(LINES_STATUS,$EN913)&amp;"")))</f>
        <v/>
      </c>
      <c r="ER913">
        <f>IF($DM913=0,"",IF(OR($EQ913="READY",$EQ913="PM",$EQ913="OT"),$EQ913,$EP913))</f>
        <v/>
      </c>
      <c r="ES913">
        <f>IF($DM913=0,"",IF(AND($DV913&lt;&gt;"",UPPER($DV913)&lt;&gt;"N"),"allergen",IF(ISNUMBER(SEARCH("oil",$DQ913)),"oil",IF(OR(EXACT($DS913,"A662"),EXACT($DS913,"A624")),"bulk",""))))</f>
        <v/>
      </c>
      <c r="ET913">
        <f>IF($DM913=0,"",IF(OR($EA913="",$EA913=0),"",$EA913/100))</f>
        <v/>
      </c>
      <c r="EU913">
        <f>IF(OR($ET913="",$DY913=""),"",INT($DY913*(1-$ET913)+0.5))</f>
        <v/>
      </c>
    </row>
    <row r="914">
      <c r="DA914" t="n">
        <v>910</v>
      </c>
      <c r="DB914">
        <f>IF($B$37=0,"",IFERROR(TRIM(SUBSTITUTE(SUBSTITUTE(SUBSTITUTE(SUBSTITUTE(INDEX(PASTE_ALL,910,$B$37)," "," "),CHAR(9)," "),CHAR(10)," "),CHAR(13)," ")),""))</f>
        <v/>
      </c>
      <c r="DC914">
        <f>IF(AND(910&gt;HEADER_ROW,UPPER(DB914)="LEGEND"),1,0)</f>
        <v/>
      </c>
      <c r="DE914" t="n">
        <v>910</v>
      </c>
      <c r="DF914">
        <f>HEADER_ROW+$DE914</f>
        <v/>
      </c>
      <c r="DG914">
        <f>IF(AND($DF914&lt;=1000,$DF914&lt;$B$8),1,0)</f>
        <v/>
      </c>
      <c r="DH914">
        <f>IF($DG914=1,IFERROR(INDEX($DB$5:$DB$1004,$DF914),""),"")</f>
        <v/>
      </c>
      <c r="DI914">
        <f>IF(AND($DG914=1,$DH914&lt;&gt;""),IFERROR(SUBSTITUTE(SUBSTITUTE(TRIM(SUBSTITUTE(SUBSTITUTE(SUBSTITUTE(SUBSTITUTE(IFERROR(INDEX(PASTE_ALL,$DF914,1)&amp;"","")&amp;"␟"&amp;IFERROR(INDEX(PASTE_ALL,$DF914,2)&amp;"","")&amp;"␟"&amp;IFERROR(INDEX(PASTE_ALL,$DF914,3)&amp;"","")&amp;"␟"&amp;IFERROR(INDEX(PASTE_ALL,$DF914,4)&amp;"","")&amp;"␟"&amp;IFERROR(INDEX(PASTE_ALL,$DF914,5)&amp;"","")&amp;"␟"&amp;IFERROR(INDEX(PASTE_ALL,$DF914,6)&amp;"","")&amp;"␟"&amp;IFERROR(INDEX(PASTE_ALL,$DF914,7)&amp;"","")&amp;"␟"&amp;IFERROR(INDEX(PASTE_ALL,$DF914,8)&amp;"","")&amp;"␟"&amp;IFERROR(INDEX(PASTE_ALL,$DF914,9)&amp;"","")&amp;"␟"&amp;IFERROR(INDEX(PASTE_ALL,$DF914,10)&amp;"","")&amp;"␟"&amp;IFERROR(INDEX(PASTE_ALL,$DF914,11)&amp;"","")&amp;"␟"&amp;IFERROR(INDEX(PASTE_ALL,$DF914,12)&amp;"","")&amp;"␟"&amp;IFERROR(INDEX(PASTE_ALL,$DF914,13)&amp;"","")&amp;"␟"&amp;IFERROR(INDEX(PASTE_ALL,$DF914,14)&amp;"","")&amp;"␟"&amp;IFERROR(INDEX(PASTE_ALL,$DF914,15)&amp;"","")&amp;"␟"&amp;IFERROR(INDEX(PASTE_ALL,$DF914,16)&amp;"","")&amp;"␟"&amp;IFERROR(INDEX(PASTE_ALL,$DF914,17)&amp;"","")&amp;"␟"&amp;IFERROR(INDEX(PASTE_ALL,$DF914,18)&amp;"","")&amp;"␟"&amp;IFERROR(INDEX(PASTE_ALL,$DF914,19)&amp;"","")&amp;"␟"&amp;IFERROR(INDEX(PASTE_ALL,$DF914,20)&amp;"","")&amp;"␟"&amp;IFERROR(INDEX(PASTE_ALL,$DF914,21)&amp;"","")&amp;"␟"&amp;IFERROR(INDEX(PASTE_ALL,$DF914,22)&amp;"","")&amp;"␟"&amp;IFERROR(INDEX(PASTE_ALL,$DF914,23)&amp;"","")&amp;"␟"&amp;IFERROR(INDEX(PASTE_ALL,$DF914,24)&amp;"","")&amp;"␟"&amp;IFERROR(INDEX(PASTE_ALL,$DF914,25)&amp;"","")&amp;"␟"&amp;IFERROR(INDEX(PASTE_ALL,$DF914,26)&amp;"","")&amp;"␟"&amp;IFERROR(INDEX(PASTE_ALL,$DF914,27)&amp;"","")&amp;"␟"&amp;IFERROR(INDEX(PASTE_ALL,$DF914,28)&amp;"","")&amp;"␟"&amp;IFERROR(INDEX(PASTE_ALL,$DF914,29)&amp;"","")&amp;"␟"&amp;IFERROR(INDEX(PASTE_ALL,$DF914,30)&amp;"","")&amp;"␟"&amp;IFERROR(INDEX(PASTE_ALL,$DF914,31)&amp;"","")&amp;"␟"&amp;IFERROR(INDEX(PASTE_ALL,$DF914,32)&amp;"","")&amp;"␟"&amp;IFERROR(INDEX(PASTE_ALL,$DF914,33)&amp;"","")&amp;"␟"&amp;IFERROR(INDEX(PASTE_ALL,$DF914,34)&amp;"","")&amp;"␟"&amp;IFERROR(INDEX(PASTE_ALL,$DF914,35)&amp;"","")&amp;"␟"&amp;IFERROR(INDEX(PASTE_ALL,$DF914,36)&amp;"","")&amp;"␟"&amp;IFERROR(INDEX(PASTE_ALL,$DF914,37)&amp;"","")&amp;"␟"&amp;IFERROR(INDEX(PASTE_ALL,$DF914,38)&amp;"","")&amp;"␟"&amp;IFERROR(INDEX(PASTE_ALL,$DF914,39)&amp;"","")&amp;"␟"&amp;IFERROR(INDEX(PASTE_ALL,$DF914,40)&amp;"","")&amp;"␟"&amp;IFERROR(INDEX(PASTE_ALL,$DF914,41)&amp;"","")&amp;"␟"&amp;IFERROR(INDEX(PASTE_ALL,$DF914,42)&amp;"","")&amp;"␟"&amp;IFERROR(INDEX(PASTE_ALL,$DF914,43)&amp;"","")&amp;"␟"&amp;IFERROR(INDEX(PASTE_ALL,$DF914,44)&amp;"","")&amp;"␟"&amp;IFERROR(INDEX(PASTE_ALL,$DF914,45)&amp;"","")&amp;"␟"&amp;IFERROR(INDEX(PASTE_ALL,$DF914,46)&amp;"","")&amp;"␟"&amp;IFERROR(INDEX(PASTE_ALL,$DF914,47)&amp;"","")&amp;"␟"&amp;IFERROR(INDEX(PASTE_ALL,$DF914,48)&amp;"","")&amp;"␟"&amp;IFERROR(INDEX(PASTE_ALL,$DF914,49)&amp;"","")&amp;"␟"&amp;IFERROR(INDEX(PASTE_ALL,$DF914,50)&amp;"","")&amp;"␟"&amp;IFERROR(INDEX(PASTE_ALL,$DF914,51)&amp;"","")&amp;"␟"&amp;IFERROR(INDEX(PASTE_ALL,$DF914,52)&amp;"","")&amp;"␟"&amp;IFERROR(INDEX(PASTE_ALL,$DF914,53)&amp;"","")&amp;"␟"&amp;IFERROR(INDEX(PASTE_ALL,$DF914,54)&amp;"","")&amp;"␟"&amp;IFERROR(INDEX(PASTE_ALL,$DF914,55)&amp;"","")&amp;"␟"&amp;IFERROR(INDEX(PASTE_ALL,$DF914,56)&amp;"","")&amp;"␟"&amp;IFERROR(INDEX(PASTE_ALL,$DF914,57)&amp;"","")&amp;"␟"&amp;IFERROR(INDEX(PASTE_ALL,$DF914,58)&amp;"","")&amp;"␟"&amp;IFERROR(INDEX(PASTE_ALL,$DF914,59)&amp;"","")&amp;"␟"&amp;IFERROR(INDEX(PASTE_ALL,$DF914,60)&amp;"","")," "," "),CHAR(9)," "),CHAR(10)," "),CHAR(13)," "))," ␟","␟"),"␟ ","␟"),"#"&amp;$DE914),"")</f>
        <v/>
      </c>
      <c r="DJ914">
        <f>IF($DI914="",0,IF(SUMPRODUCT(--EXACT($DI$4:DI913,$DI914))&gt;0,1,0))</f>
        <v/>
      </c>
      <c r="DK914">
        <f>IF(AND($DI914&lt;&gt;"",$DJ914=0),1,0)</f>
        <v/>
      </c>
      <c r="DL914">
        <f>DL913+$DK914</f>
        <v/>
      </c>
      <c r="DM914">
        <f>IF(AND($DK914=1,$DL914&lt;=600),1,0)</f>
        <v/>
      </c>
      <c r="DN914">
        <f>IF($DM914=0,"",IF($L$6=0,"",IFERROR(IF(ISNUMBER(INDEX(PASTE_ALL,$DF914,$L$6)),INDEX(PASTE_ALL,$DF914,$L$6),TRIM(SUBSTITUTE(SUBSTITUTE(SUBSTITUTE(SUBSTITUTE(INDEX(PASTE_ALL,$DF914,$L$6)," "," "),CHAR(9)," "),CHAR(10)," "),CHAR(13)," "))),"")))</f>
        <v/>
      </c>
      <c r="DO914">
        <f>IF($DM914=0,"",IF($L$7=0,"",IFERROR(IF(ISNUMBER(INDEX(PASTE_ALL,$DF914,$L$7)),INDEX(PASTE_ALL,$DF914,$L$7),TRIM(SUBSTITUTE(SUBSTITUTE(SUBSTITUTE(SUBSTITUTE(INDEX(PASTE_ALL,$DF914,$L$7)," "," "),CHAR(9)," "),CHAR(10)," "),CHAR(13)," "))),"")))</f>
        <v/>
      </c>
      <c r="DP914">
        <f>IF($DM914=0,"",IF($L$8=0,"",IFERROR(IF(ISNUMBER(INDEX(PASTE_ALL,$DF914,$L$8)),INDEX(PASTE_ALL,$DF914,$L$8),TRIM(SUBSTITUTE(SUBSTITUTE(SUBSTITUTE(SUBSTITUTE(INDEX(PASTE_ALL,$DF914,$L$8)," "," "),CHAR(9)," "),CHAR(10)," "),CHAR(13)," "))),"")))</f>
        <v/>
      </c>
      <c r="DQ914">
        <f>IF($DM914=0,"",IF($L$9=0,"",IFERROR(IF(ISNUMBER(INDEX(PASTE_ALL,$DF914,$L$9)),INDEX(PASTE_ALL,$DF914,$L$9),TRIM(SUBSTITUTE(SUBSTITUTE(SUBSTITUTE(SUBSTITUTE(INDEX(PASTE_ALL,$DF914,$L$9)," "," "),CHAR(9)," "),CHAR(10)," "),CHAR(13)," "))),"")))</f>
        <v/>
      </c>
      <c r="DR914">
        <f>IF($DM914=0,"",IF($L$10=0,"",IFERROR(IF(ISNUMBER(INDEX(PASTE_ALL,$DF914,$L$10)),INDEX(PASTE_ALL,$DF914,$L$10),TRIM(SUBSTITUTE(SUBSTITUTE(SUBSTITUTE(SUBSTITUTE(INDEX(PASTE_ALL,$DF914,$L$10)," "," "),CHAR(9)," "),CHAR(10)," "),CHAR(13)," "))),"")))</f>
        <v/>
      </c>
      <c r="DS914">
        <f>IF($DM914=0,"",IF($L$11=0,"",IFERROR(IF(ISNUMBER(INDEX(PASTE_ALL,$DF914,$L$11)),INDEX(PASTE_ALL,$DF914,$L$11),TRIM(SUBSTITUTE(SUBSTITUTE(SUBSTITUTE(SUBSTITUTE(INDEX(PASTE_ALL,$DF914,$L$11)," "," "),CHAR(9)," "),CHAR(10)," "),CHAR(13)," "))),"")))</f>
        <v/>
      </c>
      <c r="DT914">
        <f>IF($DM914=0,"",IF($L$12=0,"",IFERROR(IF(ISNUMBER(INDEX(PASTE_ALL,$DF914,$L$12)),INDEX(PASTE_ALL,$DF914,$L$12),TRIM(SUBSTITUTE(SUBSTITUTE(SUBSTITUTE(SUBSTITUTE(INDEX(PASTE_ALL,$DF914,$L$12)," "," "),CHAR(9)," "),CHAR(10)," "),CHAR(13)," "))),"")))</f>
        <v/>
      </c>
      <c r="DU914">
        <f>IF($DM914=0,"",IF($L$13=0,"",IFERROR(IF(ISNUMBER(INDEX(PASTE_ALL,$DF914,$L$13)),INDEX(PASTE_ALL,$DF914,$L$13),TRIM(SUBSTITUTE(SUBSTITUTE(SUBSTITUTE(SUBSTITUTE(INDEX(PASTE_ALL,$DF914,$L$13)," "," "),CHAR(9)," "),CHAR(10)," "),CHAR(13)," "))),"")))</f>
        <v/>
      </c>
      <c r="DV914">
        <f>IF($DM914=0,"",IF($L$14=0,"",IFERROR(IF(ISNUMBER(INDEX(PASTE_ALL,$DF914,$L$14)),INDEX(PASTE_ALL,$DF914,$L$14),TRIM(SUBSTITUTE(SUBSTITUTE(SUBSTITUTE(SUBSTITUTE(INDEX(PASTE_ALL,$DF914,$L$14)," "," "),CHAR(9)," "),CHAR(10)," "),CHAR(13)," "))),"")))</f>
        <v/>
      </c>
      <c r="DW914">
        <f>IF($DM914=0,"",IF($L$15=0,"",IFERROR(IF(ISNUMBER(INDEX(PASTE_ALL,$DF914,$L$15)),INDEX(PASTE_ALL,$DF914,$L$15),IF(SUMPRODUCT(--ISNUMBER(FIND({"A","B","C","D","E","F","G","H","I","J","K","L","M","N","O","P","Q","R","S","T","U","V","W","X","Y","Z","0","1","2","3","4","5","6","7","8","9"},UPPER(TRIM(SUBSTITUTE(SUBSTITUTE(SUBSTITUTE(SUBSTITUTE(INDEX(PASTE_ALL,$DF914,$L$15)," "," "),CHAR(9)," "),CHAR(10)," "),CHAR(13)," "))))))&gt;0,TRIM(SUBSTITUTE(SUBSTITUTE(SUBSTITUTE(SUBSTITUTE(INDEX(PASTE_ALL,$DF914,$L$15)," "," "),CHAR(9)," "),CHAR(10)," "),CHAR(13)," ")),"")),"")))</f>
        <v/>
      </c>
      <c r="DX914">
        <f>IF($DM914=0,"",IF($L$16=0,"",IFERROR(IF(ISNUMBER(INDEX(PASTE_ALL,$DF914,$L$16)),INDEX(PASTE_ALL,$DF914,$L$16),SUBSTITUTE(SUBSTITUTE(TRIM(SUBSTITUTE(SUBSTITUTE(SUBSTITUTE(SUBSTITUTE(INDEX(PASTE_ALL,$DF914,$L$16)," "," "),CHAR(9)," "),CHAR(10)," "),CHAR(13)," ")),",",""),"%","")),"")))</f>
        <v/>
      </c>
      <c r="DY914">
        <f>IF($DM914=0,"",IFERROR(IF(ISNUMBER($DX914),$DX914,IF($DX914="","",IF(TRIM($DX914)="",0,IF(AND(AND(SUBSTITUTE(SUBSTITUTE(SUBSTITUTE(SUBSTITUTE(SUBSTITUTE(SUBSTITUTE(SUBSTITUTE(SUBSTITUTE(SUBSTITUTE(SUBSTITUTE(SUBSTITUTE(SUBSTITUTE(SUBSTITUTE(SUBSTITUTE(UPPER(TRIM($DX914)),"0",""),"1",""),"2",""),"3",""),"4",""),"5",""),"6",""),"7",""),"8",""),"9",""),".",""),"+",""),"-",""),"E","")="",LEN(SUBSTITUTE(SUBSTITUTE(MID(UPPER(TRIM($DX914)),1+OR(LEFT(UPPER(TRIM($DX914)),1)="+",LEFT(UPPER(TRIM($DX914)),1)="-"),999),"E+","E"),"E-","E"))=LEN(SUBSTITUTE(SUBSTITUTE(SUBSTITUTE(SUBSTITUTE(MID(UPPER(TRIM($DX914)),1+OR(LEFT(UPPER(TRIM($DX914)),1)="+",LEFT(UPPER(TRIM($DX914)),1)="-"),999),"E+","E"),"E-","E"),"+",""),"-","")),LEN(UPPER(TRIM($DX914)))-LEN(SUBSTITUTE(UPPER(TRIM($DX914)),"E",""))&lt;2,LEN(UPPER(TRIM($DX914)))-LEN(SUBSTITUTE(UPPER(TRIM($DX914)),".",""))&lt;2,IFERROR(FIND(".",UPPER(TRIM($DX914))),0)&lt;IFERROR(FIND("E",UPPER(TRIM($DX914))),999)),ISNUMBER(VALUE(TRIM($DX914)))),VALUE(TRIM($DX914)),"")))),""))</f>
        <v/>
      </c>
      <c r="DZ914">
        <f>IF($DM914=0,"",IF($L$17=0,"",IFERROR(IF(ISNUMBER(INDEX(PASTE_ALL,$DF914,$L$17)),INDEX(PASTE_ALL,$DF914,$L$17),SUBSTITUTE(SUBSTITUTE(TRIM(SUBSTITUTE(SUBSTITUTE(SUBSTITUTE(SUBSTITUTE(INDEX(PASTE_ALL,$DF914,$L$17)," "," "),CHAR(9)," "),CHAR(10)," "),CHAR(13)," ")),",",""),"%","")),"")))</f>
        <v/>
      </c>
      <c r="EA914">
        <f>IF($DM914=0,"",IFERROR(IF(ISNUMBER($DZ914),$DZ914,IF($DZ914="","",IF(TRIM($DZ914)="",0,IF(AND(AND(SUBSTITUTE(SUBSTITUTE(SUBSTITUTE(SUBSTITUTE(SUBSTITUTE(SUBSTITUTE(SUBSTITUTE(SUBSTITUTE(SUBSTITUTE(SUBSTITUTE(SUBSTITUTE(SUBSTITUTE(SUBSTITUTE(SUBSTITUTE(UPPER(TRIM($DZ914)),"0",""),"1",""),"2",""),"3",""),"4",""),"5",""),"6",""),"7",""),"8",""),"9",""),".",""),"+",""),"-",""),"E","")="",LEN(SUBSTITUTE(SUBSTITUTE(MID(UPPER(TRIM($DZ914)),1+OR(LEFT(UPPER(TRIM($DZ914)),1)="+",LEFT(UPPER(TRIM($DZ914)),1)="-"),999),"E+","E"),"E-","E"))=LEN(SUBSTITUTE(SUBSTITUTE(SUBSTITUTE(SUBSTITUTE(MID(UPPER(TRIM($DZ914)),1+OR(LEFT(UPPER(TRIM($DZ914)),1)="+",LEFT(UPPER(TRIM($DZ914)),1)="-"),999),"E+","E"),"E-","E"),"+",""),"-","")),LEN(UPPER(TRIM($DZ914)))-LEN(SUBSTITUTE(UPPER(TRIM($DZ914)),"E",""))&lt;2,LEN(UPPER(TRIM($DZ914)))-LEN(SUBSTITUTE(UPPER(TRIM($DZ914)),".",""))&lt;2,IFERROR(FIND(".",UPPER(TRIM($DZ914))),0)&lt;IFERROR(FIND("E",UPPER(TRIM($DZ914))),999)),ISNUMBER(VALUE(TRIM($DZ914)))),VALUE(TRIM($DZ914)),"")))),""))</f>
        <v/>
      </c>
      <c r="EB914">
        <f>IF($DM914=0,"",IF($L$18=0,"",IFERROR(IF(UPPER(TRIM(SUBSTITUTE(SUBSTITUTE(SUBSTITUTE(SUBSTITUTE(INDEX(PASTE_ALL,$DF914,$L$18)," "," "),CHAR(9)," "),CHAR(10)," "),CHAR(13)," ")))="READY","Ready",IF(UPPER(TRIM(SUBSTITUTE(SUBSTITUTE(SUBSTITUTE(SUBSTITUTE(INDEX(PASTE_ALL,$DF914,$L$18)," "," "),CHAR(9)," "),CHAR(10)," "),CHAR(13)," ")))="PM","PM",IF(OR(UPPER(TRIM(SUBSTITUTE(SUBSTITUTE(SUBSTITUTE(SUBSTITUTE(INDEX(PASTE_ALL,$DF914,$L$18)," "," "),CHAR(9)," "),CHAR(10)," "),CHAR(13)," ")))="OT",UPPER(TRIM(SUBSTITUTE(SUBSTITUTE(SUBSTITUTE(SUBSTITUTE(INDEX(PASTE_ALL,$DF914,$L$18)," "," "),CHAR(9)," "),CHAR(10)," "),CHAR(13)," ")))="OVERTIME",UPPER(TRIM(SUBSTITUTE(SUBSTITUTE(SUBSTITUTE(SUBSTITUTE(INDEX(PASTE_ALL,$DF914,$L$18)," "," "),CHAR(9)," "),CHAR(10)," "),CHAR(13)," ")))="TRIAL"),"OT",TRIM(SUBSTITUTE(SUBSTITUTE(SUBSTITUTE(SUBSTITUTE(INDEX(PASTE_ALL,$DF914,$L$18)," "," "),CHAR(9)," "),CHAR(10)," "),CHAR(13)," "))))),"")))</f>
        <v/>
      </c>
      <c r="EC914">
        <f>IF($DM914=0,"",IF($L$19=0,"",IFERROR(IF(ISNUMBER(INDEX(PASTE_ALL,$DF914,$L$19)),INDEX(PASTE_ALL,$DF914,$L$19),TRIM(SUBSTITUTE(SUBSTITUTE(SUBSTITUTE(SUBSTITUTE(INDEX(PASTE_ALL,$DF914,$L$19)," "," "),CHAR(9)," "),CHAR(10)," "),CHAR(13)," "))),"")))</f>
        <v/>
      </c>
      <c r="ED914">
        <f>IF($DM914=0,"",MATCH(1,INDEX(EXACT($DH$5:DH914,$DH914)*$DM$5:DM914,0),0))</f>
        <v/>
      </c>
      <c r="EE914">
        <f>IF($DM914=0,0,IF($ED914=$DE914,1,0))</f>
        <v/>
      </c>
      <c r="EF914">
        <f>EF913+$EE914</f>
        <v/>
      </c>
      <c r="EG914">
        <f>IF($DM914=0,"",INDEX($EF$5:$EF$1003,$ED914))</f>
        <v/>
      </c>
      <c r="EH914">
        <f>IF($DM914=0,"",IF($DO914&lt;&gt;"","",IFERROR(LOOKUP(2,1/(($EG$4:EG913=$EG914)*($DO$4:DO913&lt;&gt;"")),$DO$4:DO913),"")))</f>
        <v/>
      </c>
      <c r="EI914">
        <f>IF($DM914=0,"",IF($DO914&lt;&gt;"",$DO914,$EH914))</f>
        <v/>
      </c>
      <c r="EJ914">
        <f>IF($DM914=0,"",IF($EI914="",0,IF(OR(ISNUMBER($EI914),AND(AND(SUBSTITUTE(SUBSTITUTE(SUBSTITUTE(SUBSTITUTE(SUBSTITUTE(SUBSTITUTE(SUBSTITUTE(SUBSTITUTE(SUBSTITUTE(SUBSTITUTE(SUBSTITUTE(SUBSTITUTE(SUBSTITUTE(SUBSTITUTE(UPPER($EI914),"0",""),"1",""),"2",""),"3",""),"4",""),"5",""),"6",""),"7",""),"8",""),"9",""),".",""),"+",""),"-",""),"E","")="",LEN(SUBSTITUTE(SUBSTITUTE(MID(UPPER($EI914),1+OR(LEFT(UPPER($EI914),1)="+",LEFT(UPPER($EI914),1)="-"),999),"E+","E"),"E-","E"))=LEN(SUBSTITUTE(SUBSTITUTE(SUBSTITUTE(SUBSTITUTE(MID(UPPER($EI914),1+OR(LEFT(UPPER($EI914),1)="+",LEFT(UPPER($EI914),1)="-"),999),"E+","E"),"E-","E"),"+",""),"-","")),LEN(UPPER($EI914))-LEN(SUBSTITUTE(UPPER($EI914),"E",""))&lt;2,LEN(UPPER($EI914))-LEN(SUBSTITUTE(UPPER($EI914),".",""))&lt;2,IFERROR(FIND(".",UPPER($EI914)),0)&lt;IFERROR(FIND("E",UPPER($EI914)),999)),ISNUMBER(VALUE($EI914)))),1,2)))</f>
        <v/>
      </c>
      <c r="EK914">
        <f>IF($DM914=0,"",IF($EJ914=1,IF(ISNUMBER($EI914),$EI914,VALUE($EI914)),IF($EJ914=2,$DE914,0)))</f>
        <v/>
      </c>
      <c r="EL914">
        <f>IF($DM914=0,"",COUNTIF($EG$5:$EG$1003,"&lt;"&amp;$EG914)+SUMPRODUCT(($EG$5:$EG$1003=$EG914)*(($EJ$5:$EJ$1003&lt;$EJ914)+($EJ$5:$EJ$1003=$EJ914)*(($EK$5:$EK$1003&lt;$EK914)+($EK$5:$EK$1003=$EK914)*($DE$5:$DE$1003&lt;$DE914))))+1)</f>
        <v/>
      </c>
      <c r="EM914">
        <f>IF($DM914=0,"",$EL914+$EG914-1)</f>
        <v/>
      </c>
      <c r="EN914">
        <f>IF($DM914=0,0,IFERROR(MATCH(1,INDEX(--(TRIM(SUBSTITUTE(SUBSTITUTE(SUBSTITUTE(SUBSTITUTE(LINES_NAME&amp;""," "," "),CHAR(9)," "),CHAR(10)," "),CHAR(13)," "))=$DH914),0),0),0))</f>
        <v/>
      </c>
      <c r="EO914">
        <f>IF($EN914=0,0,IF(OR(UPPER(TRIM(INDEX(LINES_SCHEDULED,$EN914)&amp;""))="YES",UPPER(TRIM(INDEX(LINES_SCHEDULED,$EN914)&amp;""))="Y",UPPER(TRIM(INDEX(LINES_SCHEDULED,$EN914)&amp;""))="X"),1,0))</f>
        <v/>
      </c>
      <c r="EP914">
        <f>IF($DM914=0,"",IF(COUNTIFS($EG$5:$EG$1003,$EG914,$EB$5:$EB$1003,"Ready")&gt;0,"READY",IF(COUNTIFS($EG$5:$EG$1003,$EG914,$EB$5:$EB$1003,"PM")&gt;0,"PM",IF(COUNTIFS($EG$5:$EG$1003,$EG914,$EB$5:$EB$1003,"OT")&gt;0,"OT",""))))</f>
        <v/>
      </c>
      <c r="EQ914">
        <f>IF($EN914=0,"",UPPER(TRIM(INDEX(LINES_STATUS,$EN914)&amp;"")))</f>
        <v/>
      </c>
      <c r="ER914">
        <f>IF($DM914=0,"",IF(OR($EQ914="READY",$EQ914="PM",$EQ914="OT"),$EQ914,$EP914))</f>
        <v/>
      </c>
      <c r="ES914">
        <f>IF($DM914=0,"",IF(AND($DV914&lt;&gt;"",UPPER($DV914)&lt;&gt;"N"),"allergen",IF(ISNUMBER(SEARCH("oil",$DQ914)),"oil",IF(OR(EXACT($DS914,"A662"),EXACT($DS914,"A624")),"bulk",""))))</f>
        <v/>
      </c>
      <c r="ET914">
        <f>IF($DM914=0,"",IF(OR($EA914="",$EA914=0),"",$EA914/100))</f>
        <v/>
      </c>
      <c r="EU914">
        <f>IF(OR($ET914="",$DY914=""),"",INT($DY914*(1-$ET914)+0.5))</f>
        <v/>
      </c>
    </row>
    <row r="915">
      <c r="DA915" t="n">
        <v>911</v>
      </c>
      <c r="DB915">
        <f>IF($B$37=0,"",IFERROR(TRIM(SUBSTITUTE(SUBSTITUTE(SUBSTITUTE(SUBSTITUTE(INDEX(PASTE_ALL,911,$B$37)," "," "),CHAR(9)," "),CHAR(10)," "),CHAR(13)," ")),""))</f>
        <v/>
      </c>
      <c r="DC915">
        <f>IF(AND(911&gt;HEADER_ROW,UPPER(DB915)="LEGEND"),1,0)</f>
        <v/>
      </c>
      <c r="DE915" t="n">
        <v>911</v>
      </c>
      <c r="DF915">
        <f>HEADER_ROW+$DE915</f>
        <v/>
      </c>
      <c r="DG915">
        <f>IF(AND($DF915&lt;=1000,$DF915&lt;$B$8),1,0)</f>
        <v/>
      </c>
      <c r="DH915">
        <f>IF($DG915=1,IFERROR(INDEX($DB$5:$DB$1004,$DF915),""),"")</f>
        <v/>
      </c>
      <c r="DI915">
        <f>IF(AND($DG915=1,$DH915&lt;&gt;""),IFERROR(SUBSTITUTE(SUBSTITUTE(TRIM(SUBSTITUTE(SUBSTITUTE(SUBSTITUTE(SUBSTITUTE(IFERROR(INDEX(PASTE_ALL,$DF915,1)&amp;"","")&amp;"␟"&amp;IFERROR(INDEX(PASTE_ALL,$DF915,2)&amp;"","")&amp;"␟"&amp;IFERROR(INDEX(PASTE_ALL,$DF915,3)&amp;"","")&amp;"␟"&amp;IFERROR(INDEX(PASTE_ALL,$DF915,4)&amp;"","")&amp;"␟"&amp;IFERROR(INDEX(PASTE_ALL,$DF915,5)&amp;"","")&amp;"␟"&amp;IFERROR(INDEX(PASTE_ALL,$DF915,6)&amp;"","")&amp;"␟"&amp;IFERROR(INDEX(PASTE_ALL,$DF915,7)&amp;"","")&amp;"␟"&amp;IFERROR(INDEX(PASTE_ALL,$DF915,8)&amp;"","")&amp;"␟"&amp;IFERROR(INDEX(PASTE_ALL,$DF915,9)&amp;"","")&amp;"␟"&amp;IFERROR(INDEX(PASTE_ALL,$DF915,10)&amp;"","")&amp;"␟"&amp;IFERROR(INDEX(PASTE_ALL,$DF915,11)&amp;"","")&amp;"␟"&amp;IFERROR(INDEX(PASTE_ALL,$DF915,12)&amp;"","")&amp;"␟"&amp;IFERROR(INDEX(PASTE_ALL,$DF915,13)&amp;"","")&amp;"␟"&amp;IFERROR(INDEX(PASTE_ALL,$DF915,14)&amp;"","")&amp;"␟"&amp;IFERROR(INDEX(PASTE_ALL,$DF915,15)&amp;"","")&amp;"␟"&amp;IFERROR(INDEX(PASTE_ALL,$DF915,16)&amp;"","")&amp;"␟"&amp;IFERROR(INDEX(PASTE_ALL,$DF915,17)&amp;"","")&amp;"␟"&amp;IFERROR(INDEX(PASTE_ALL,$DF915,18)&amp;"","")&amp;"␟"&amp;IFERROR(INDEX(PASTE_ALL,$DF915,19)&amp;"","")&amp;"␟"&amp;IFERROR(INDEX(PASTE_ALL,$DF915,20)&amp;"","")&amp;"␟"&amp;IFERROR(INDEX(PASTE_ALL,$DF915,21)&amp;"","")&amp;"␟"&amp;IFERROR(INDEX(PASTE_ALL,$DF915,22)&amp;"","")&amp;"␟"&amp;IFERROR(INDEX(PASTE_ALL,$DF915,23)&amp;"","")&amp;"␟"&amp;IFERROR(INDEX(PASTE_ALL,$DF915,24)&amp;"","")&amp;"␟"&amp;IFERROR(INDEX(PASTE_ALL,$DF915,25)&amp;"","")&amp;"␟"&amp;IFERROR(INDEX(PASTE_ALL,$DF915,26)&amp;"","")&amp;"␟"&amp;IFERROR(INDEX(PASTE_ALL,$DF915,27)&amp;"","")&amp;"␟"&amp;IFERROR(INDEX(PASTE_ALL,$DF915,28)&amp;"","")&amp;"␟"&amp;IFERROR(INDEX(PASTE_ALL,$DF915,29)&amp;"","")&amp;"␟"&amp;IFERROR(INDEX(PASTE_ALL,$DF915,30)&amp;"","")&amp;"␟"&amp;IFERROR(INDEX(PASTE_ALL,$DF915,31)&amp;"","")&amp;"␟"&amp;IFERROR(INDEX(PASTE_ALL,$DF915,32)&amp;"","")&amp;"␟"&amp;IFERROR(INDEX(PASTE_ALL,$DF915,33)&amp;"","")&amp;"␟"&amp;IFERROR(INDEX(PASTE_ALL,$DF915,34)&amp;"","")&amp;"␟"&amp;IFERROR(INDEX(PASTE_ALL,$DF915,35)&amp;"","")&amp;"␟"&amp;IFERROR(INDEX(PASTE_ALL,$DF915,36)&amp;"","")&amp;"␟"&amp;IFERROR(INDEX(PASTE_ALL,$DF915,37)&amp;"","")&amp;"␟"&amp;IFERROR(INDEX(PASTE_ALL,$DF915,38)&amp;"","")&amp;"␟"&amp;IFERROR(INDEX(PASTE_ALL,$DF915,39)&amp;"","")&amp;"␟"&amp;IFERROR(INDEX(PASTE_ALL,$DF915,40)&amp;"","")&amp;"␟"&amp;IFERROR(INDEX(PASTE_ALL,$DF915,41)&amp;"","")&amp;"␟"&amp;IFERROR(INDEX(PASTE_ALL,$DF915,42)&amp;"","")&amp;"␟"&amp;IFERROR(INDEX(PASTE_ALL,$DF915,43)&amp;"","")&amp;"␟"&amp;IFERROR(INDEX(PASTE_ALL,$DF915,44)&amp;"","")&amp;"␟"&amp;IFERROR(INDEX(PASTE_ALL,$DF915,45)&amp;"","")&amp;"␟"&amp;IFERROR(INDEX(PASTE_ALL,$DF915,46)&amp;"","")&amp;"␟"&amp;IFERROR(INDEX(PASTE_ALL,$DF915,47)&amp;"","")&amp;"␟"&amp;IFERROR(INDEX(PASTE_ALL,$DF915,48)&amp;"","")&amp;"␟"&amp;IFERROR(INDEX(PASTE_ALL,$DF915,49)&amp;"","")&amp;"␟"&amp;IFERROR(INDEX(PASTE_ALL,$DF915,50)&amp;"","")&amp;"␟"&amp;IFERROR(INDEX(PASTE_ALL,$DF915,51)&amp;"","")&amp;"␟"&amp;IFERROR(INDEX(PASTE_ALL,$DF915,52)&amp;"","")&amp;"␟"&amp;IFERROR(INDEX(PASTE_ALL,$DF915,53)&amp;"","")&amp;"␟"&amp;IFERROR(INDEX(PASTE_ALL,$DF915,54)&amp;"","")&amp;"␟"&amp;IFERROR(INDEX(PASTE_ALL,$DF915,55)&amp;"","")&amp;"␟"&amp;IFERROR(INDEX(PASTE_ALL,$DF915,56)&amp;"","")&amp;"␟"&amp;IFERROR(INDEX(PASTE_ALL,$DF915,57)&amp;"","")&amp;"␟"&amp;IFERROR(INDEX(PASTE_ALL,$DF915,58)&amp;"","")&amp;"␟"&amp;IFERROR(INDEX(PASTE_ALL,$DF915,59)&amp;"","")&amp;"␟"&amp;IFERROR(INDEX(PASTE_ALL,$DF915,60)&amp;"","")," "," "),CHAR(9)," "),CHAR(10)," "),CHAR(13)," "))," ␟","␟"),"␟ ","␟"),"#"&amp;$DE915),"")</f>
        <v/>
      </c>
      <c r="DJ915">
        <f>IF($DI915="",0,IF(SUMPRODUCT(--EXACT($DI$4:DI914,$DI915))&gt;0,1,0))</f>
        <v/>
      </c>
      <c r="DK915">
        <f>IF(AND($DI915&lt;&gt;"",$DJ915=0),1,0)</f>
        <v/>
      </c>
      <c r="DL915">
        <f>DL914+$DK915</f>
        <v/>
      </c>
      <c r="DM915">
        <f>IF(AND($DK915=1,$DL915&lt;=600),1,0)</f>
        <v/>
      </c>
      <c r="DN915">
        <f>IF($DM915=0,"",IF($L$6=0,"",IFERROR(IF(ISNUMBER(INDEX(PASTE_ALL,$DF915,$L$6)),INDEX(PASTE_ALL,$DF915,$L$6),TRIM(SUBSTITUTE(SUBSTITUTE(SUBSTITUTE(SUBSTITUTE(INDEX(PASTE_ALL,$DF915,$L$6)," "," "),CHAR(9)," "),CHAR(10)," "),CHAR(13)," "))),"")))</f>
        <v/>
      </c>
      <c r="DO915">
        <f>IF($DM915=0,"",IF($L$7=0,"",IFERROR(IF(ISNUMBER(INDEX(PASTE_ALL,$DF915,$L$7)),INDEX(PASTE_ALL,$DF915,$L$7),TRIM(SUBSTITUTE(SUBSTITUTE(SUBSTITUTE(SUBSTITUTE(INDEX(PASTE_ALL,$DF915,$L$7)," "," "),CHAR(9)," "),CHAR(10)," "),CHAR(13)," "))),"")))</f>
        <v/>
      </c>
      <c r="DP915">
        <f>IF($DM915=0,"",IF($L$8=0,"",IFERROR(IF(ISNUMBER(INDEX(PASTE_ALL,$DF915,$L$8)),INDEX(PASTE_ALL,$DF915,$L$8),TRIM(SUBSTITUTE(SUBSTITUTE(SUBSTITUTE(SUBSTITUTE(INDEX(PASTE_ALL,$DF915,$L$8)," "," "),CHAR(9)," "),CHAR(10)," "),CHAR(13)," "))),"")))</f>
        <v/>
      </c>
      <c r="DQ915">
        <f>IF($DM915=0,"",IF($L$9=0,"",IFERROR(IF(ISNUMBER(INDEX(PASTE_ALL,$DF915,$L$9)),INDEX(PASTE_ALL,$DF915,$L$9),TRIM(SUBSTITUTE(SUBSTITUTE(SUBSTITUTE(SUBSTITUTE(INDEX(PASTE_ALL,$DF915,$L$9)," "," "),CHAR(9)," "),CHAR(10)," "),CHAR(13)," "))),"")))</f>
        <v/>
      </c>
      <c r="DR915">
        <f>IF($DM915=0,"",IF($L$10=0,"",IFERROR(IF(ISNUMBER(INDEX(PASTE_ALL,$DF915,$L$10)),INDEX(PASTE_ALL,$DF915,$L$10),TRIM(SUBSTITUTE(SUBSTITUTE(SUBSTITUTE(SUBSTITUTE(INDEX(PASTE_ALL,$DF915,$L$10)," "," "),CHAR(9)," "),CHAR(10)," "),CHAR(13)," "))),"")))</f>
        <v/>
      </c>
      <c r="DS915">
        <f>IF($DM915=0,"",IF($L$11=0,"",IFERROR(IF(ISNUMBER(INDEX(PASTE_ALL,$DF915,$L$11)),INDEX(PASTE_ALL,$DF915,$L$11),TRIM(SUBSTITUTE(SUBSTITUTE(SUBSTITUTE(SUBSTITUTE(INDEX(PASTE_ALL,$DF915,$L$11)," "," "),CHAR(9)," "),CHAR(10)," "),CHAR(13)," "))),"")))</f>
        <v/>
      </c>
      <c r="DT915">
        <f>IF($DM915=0,"",IF($L$12=0,"",IFERROR(IF(ISNUMBER(INDEX(PASTE_ALL,$DF915,$L$12)),INDEX(PASTE_ALL,$DF915,$L$12),TRIM(SUBSTITUTE(SUBSTITUTE(SUBSTITUTE(SUBSTITUTE(INDEX(PASTE_ALL,$DF915,$L$12)," "," "),CHAR(9)," "),CHAR(10)," "),CHAR(13)," "))),"")))</f>
        <v/>
      </c>
      <c r="DU915">
        <f>IF($DM915=0,"",IF($L$13=0,"",IFERROR(IF(ISNUMBER(INDEX(PASTE_ALL,$DF915,$L$13)),INDEX(PASTE_ALL,$DF915,$L$13),TRIM(SUBSTITUTE(SUBSTITUTE(SUBSTITUTE(SUBSTITUTE(INDEX(PASTE_ALL,$DF915,$L$13)," "," "),CHAR(9)," "),CHAR(10)," "),CHAR(13)," "))),"")))</f>
        <v/>
      </c>
      <c r="DV915">
        <f>IF($DM915=0,"",IF($L$14=0,"",IFERROR(IF(ISNUMBER(INDEX(PASTE_ALL,$DF915,$L$14)),INDEX(PASTE_ALL,$DF915,$L$14),TRIM(SUBSTITUTE(SUBSTITUTE(SUBSTITUTE(SUBSTITUTE(INDEX(PASTE_ALL,$DF915,$L$14)," "," "),CHAR(9)," "),CHAR(10)," "),CHAR(13)," "))),"")))</f>
        <v/>
      </c>
      <c r="DW915">
        <f>IF($DM915=0,"",IF($L$15=0,"",IFERROR(IF(ISNUMBER(INDEX(PASTE_ALL,$DF915,$L$15)),INDEX(PASTE_ALL,$DF915,$L$15),IF(SUMPRODUCT(--ISNUMBER(FIND({"A","B","C","D","E","F","G","H","I","J","K","L","M","N","O","P","Q","R","S","T","U","V","W","X","Y","Z","0","1","2","3","4","5","6","7","8","9"},UPPER(TRIM(SUBSTITUTE(SUBSTITUTE(SUBSTITUTE(SUBSTITUTE(INDEX(PASTE_ALL,$DF915,$L$15)," "," "),CHAR(9)," "),CHAR(10)," "),CHAR(13)," "))))))&gt;0,TRIM(SUBSTITUTE(SUBSTITUTE(SUBSTITUTE(SUBSTITUTE(INDEX(PASTE_ALL,$DF915,$L$15)," "," "),CHAR(9)," "),CHAR(10)," "),CHAR(13)," ")),"")),"")))</f>
        <v/>
      </c>
      <c r="DX915">
        <f>IF($DM915=0,"",IF($L$16=0,"",IFERROR(IF(ISNUMBER(INDEX(PASTE_ALL,$DF915,$L$16)),INDEX(PASTE_ALL,$DF915,$L$16),SUBSTITUTE(SUBSTITUTE(TRIM(SUBSTITUTE(SUBSTITUTE(SUBSTITUTE(SUBSTITUTE(INDEX(PASTE_ALL,$DF915,$L$16)," "," "),CHAR(9)," "),CHAR(10)," "),CHAR(13)," ")),",",""),"%","")),"")))</f>
        <v/>
      </c>
      <c r="DY915">
        <f>IF($DM915=0,"",IFERROR(IF(ISNUMBER($DX915),$DX915,IF($DX915="","",IF(TRIM($DX915)="",0,IF(AND(AND(SUBSTITUTE(SUBSTITUTE(SUBSTITUTE(SUBSTITUTE(SUBSTITUTE(SUBSTITUTE(SUBSTITUTE(SUBSTITUTE(SUBSTITUTE(SUBSTITUTE(SUBSTITUTE(SUBSTITUTE(SUBSTITUTE(SUBSTITUTE(UPPER(TRIM($DX915)),"0",""),"1",""),"2",""),"3",""),"4",""),"5",""),"6",""),"7",""),"8",""),"9",""),".",""),"+",""),"-",""),"E","")="",LEN(SUBSTITUTE(SUBSTITUTE(MID(UPPER(TRIM($DX915)),1+OR(LEFT(UPPER(TRIM($DX915)),1)="+",LEFT(UPPER(TRIM($DX915)),1)="-"),999),"E+","E"),"E-","E"))=LEN(SUBSTITUTE(SUBSTITUTE(SUBSTITUTE(SUBSTITUTE(MID(UPPER(TRIM($DX915)),1+OR(LEFT(UPPER(TRIM($DX915)),1)="+",LEFT(UPPER(TRIM($DX915)),1)="-"),999),"E+","E"),"E-","E"),"+",""),"-","")),LEN(UPPER(TRIM($DX915)))-LEN(SUBSTITUTE(UPPER(TRIM($DX915)),"E",""))&lt;2,LEN(UPPER(TRIM($DX915)))-LEN(SUBSTITUTE(UPPER(TRIM($DX915)),".",""))&lt;2,IFERROR(FIND(".",UPPER(TRIM($DX915))),0)&lt;IFERROR(FIND("E",UPPER(TRIM($DX915))),999)),ISNUMBER(VALUE(TRIM($DX915)))),VALUE(TRIM($DX915)),"")))),""))</f>
        <v/>
      </c>
      <c r="DZ915">
        <f>IF($DM915=0,"",IF($L$17=0,"",IFERROR(IF(ISNUMBER(INDEX(PASTE_ALL,$DF915,$L$17)),INDEX(PASTE_ALL,$DF915,$L$17),SUBSTITUTE(SUBSTITUTE(TRIM(SUBSTITUTE(SUBSTITUTE(SUBSTITUTE(SUBSTITUTE(INDEX(PASTE_ALL,$DF915,$L$17)," "," "),CHAR(9)," "),CHAR(10)," "),CHAR(13)," ")),",",""),"%","")),"")))</f>
        <v/>
      </c>
      <c r="EA915">
        <f>IF($DM915=0,"",IFERROR(IF(ISNUMBER($DZ915),$DZ915,IF($DZ915="","",IF(TRIM($DZ915)="",0,IF(AND(AND(SUBSTITUTE(SUBSTITUTE(SUBSTITUTE(SUBSTITUTE(SUBSTITUTE(SUBSTITUTE(SUBSTITUTE(SUBSTITUTE(SUBSTITUTE(SUBSTITUTE(SUBSTITUTE(SUBSTITUTE(SUBSTITUTE(SUBSTITUTE(UPPER(TRIM($DZ915)),"0",""),"1",""),"2",""),"3",""),"4",""),"5",""),"6",""),"7",""),"8",""),"9",""),".",""),"+",""),"-",""),"E","")="",LEN(SUBSTITUTE(SUBSTITUTE(MID(UPPER(TRIM($DZ915)),1+OR(LEFT(UPPER(TRIM($DZ915)),1)="+",LEFT(UPPER(TRIM($DZ915)),1)="-"),999),"E+","E"),"E-","E"))=LEN(SUBSTITUTE(SUBSTITUTE(SUBSTITUTE(SUBSTITUTE(MID(UPPER(TRIM($DZ915)),1+OR(LEFT(UPPER(TRIM($DZ915)),1)="+",LEFT(UPPER(TRIM($DZ915)),1)="-"),999),"E+","E"),"E-","E"),"+",""),"-","")),LEN(UPPER(TRIM($DZ915)))-LEN(SUBSTITUTE(UPPER(TRIM($DZ915)),"E",""))&lt;2,LEN(UPPER(TRIM($DZ915)))-LEN(SUBSTITUTE(UPPER(TRIM($DZ915)),".",""))&lt;2,IFERROR(FIND(".",UPPER(TRIM($DZ915))),0)&lt;IFERROR(FIND("E",UPPER(TRIM($DZ915))),999)),ISNUMBER(VALUE(TRIM($DZ915)))),VALUE(TRIM($DZ915)),"")))),""))</f>
        <v/>
      </c>
      <c r="EB915">
        <f>IF($DM915=0,"",IF($L$18=0,"",IFERROR(IF(UPPER(TRIM(SUBSTITUTE(SUBSTITUTE(SUBSTITUTE(SUBSTITUTE(INDEX(PASTE_ALL,$DF915,$L$18)," "," "),CHAR(9)," "),CHAR(10)," "),CHAR(13)," ")))="READY","Ready",IF(UPPER(TRIM(SUBSTITUTE(SUBSTITUTE(SUBSTITUTE(SUBSTITUTE(INDEX(PASTE_ALL,$DF915,$L$18)," "," "),CHAR(9)," "),CHAR(10)," "),CHAR(13)," ")))="PM","PM",IF(OR(UPPER(TRIM(SUBSTITUTE(SUBSTITUTE(SUBSTITUTE(SUBSTITUTE(INDEX(PASTE_ALL,$DF915,$L$18)," "," "),CHAR(9)," "),CHAR(10)," "),CHAR(13)," ")))="OT",UPPER(TRIM(SUBSTITUTE(SUBSTITUTE(SUBSTITUTE(SUBSTITUTE(INDEX(PASTE_ALL,$DF915,$L$18)," "," "),CHAR(9)," "),CHAR(10)," "),CHAR(13)," ")))="OVERTIME",UPPER(TRIM(SUBSTITUTE(SUBSTITUTE(SUBSTITUTE(SUBSTITUTE(INDEX(PASTE_ALL,$DF915,$L$18)," "," "),CHAR(9)," "),CHAR(10)," "),CHAR(13)," ")))="TRIAL"),"OT",TRIM(SUBSTITUTE(SUBSTITUTE(SUBSTITUTE(SUBSTITUTE(INDEX(PASTE_ALL,$DF915,$L$18)," "," "),CHAR(9)," "),CHAR(10)," "),CHAR(13)," "))))),"")))</f>
        <v/>
      </c>
      <c r="EC915">
        <f>IF($DM915=0,"",IF($L$19=0,"",IFERROR(IF(ISNUMBER(INDEX(PASTE_ALL,$DF915,$L$19)),INDEX(PASTE_ALL,$DF915,$L$19),TRIM(SUBSTITUTE(SUBSTITUTE(SUBSTITUTE(SUBSTITUTE(INDEX(PASTE_ALL,$DF915,$L$19)," "," "),CHAR(9)," "),CHAR(10)," "),CHAR(13)," "))),"")))</f>
        <v/>
      </c>
      <c r="ED915">
        <f>IF($DM915=0,"",MATCH(1,INDEX(EXACT($DH$5:DH915,$DH915)*$DM$5:DM915,0),0))</f>
        <v/>
      </c>
      <c r="EE915">
        <f>IF($DM915=0,0,IF($ED915=$DE915,1,0))</f>
        <v/>
      </c>
      <c r="EF915">
        <f>EF914+$EE915</f>
        <v/>
      </c>
      <c r="EG915">
        <f>IF($DM915=0,"",INDEX($EF$5:$EF$1003,$ED915))</f>
        <v/>
      </c>
      <c r="EH915">
        <f>IF($DM915=0,"",IF($DO915&lt;&gt;"","",IFERROR(LOOKUP(2,1/(($EG$4:EG914=$EG915)*($DO$4:DO914&lt;&gt;"")),$DO$4:DO914),"")))</f>
        <v/>
      </c>
      <c r="EI915">
        <f>IF($DM915=0,"",IF($DO915&lt;&gt;"",$DO915,$EH915))</f>
        <v/>
      </c>
      <c r="EJ915">
        <f>IF($DM915=0,"",IF($EI915="",0,IF(OR(ISNUMBER($EI915),AND(AND(SUBSTITUTE(SUBSTITUTE(SUBSTITUTE(SUBSTITUTE(SUBSTITUTE(SUBSTITUTE(SUBSTITUTE(SUBSTITUTE(SUBSTITUTE(SUBSTITUTE(SUBSTITUTE(SUBSTITUTE(SUBSTITUTE(SUBSTITUTE(UPPER($EI915),"0",""),"1",""),"2",""),"3",""),"4",""),"5",""),"6",""),"7",""),"8",""),"9",""),".",""),"+",""),"-",""),"E","")="",LEN(SUBSTITUTE(SUBSTITUTE(MID(UPPER($EI915),1+OR(LEFT(UPPER($EI915),1)="+",LEFT(UPPER($EI915),1)="-"),999),"E+","E"),"E-","E"))=LEN(SUBSTITUTE(SUBSTITUTE(SUBSTITUTE(SUBSTITUTE(MID(UPPER($EI915),1+OR(LEFT(UPPER($EI915),1)="+",LEFT(UPPER($EI915),1)="-"),999),"E+","E"),"E-","E"),"+",""),"-","")),LEN(UPPER($EI915))-LEN(SUBSTITUTE(UPPER($EI915),"E",""))&lt;2,LEN(UPPER($EI915))-LEN(SUBSTITUTE(UPPER($EI915),".",""))&lt;2,IFERROR(FIND(".",UPPER($EI915)),0)&lt;IFERROR(FIND("E",UPPER($EI915)),999)),ISNUMBER(VALUE($EI915)))),1,2)))</f>
        <v/>
      </c>
      <c r="EK915">
        <f>IF($DM915=0,"",IF($EJ915=1,IF(ISNUMBER($EI915),$EI915,VALUE($EI915)),IF($EJ915=2,$DE915,0)))</f>
        <v/>
      </c>
      <c r="EL915">
        <f>IF($DM915=0,"",COUNTIF($EG$5:$EG$1003,"&lt;"&amp;$EG915)+SUMPRODUCT(($EG$5:$EG$1003=$EG915)*(($EJ$5:$EJ$1003&lt;$EJ915)+($EJ$5:$EJ$1003=$EJ915)*(($EK$5:$EK$1003&lt;$EK915)+($EK$5:$EK$1003=$EK915)*($DE$5:$DE$1003&lt;$DE915))))+1)</f>
        <v/>
      </c>
      <c r="EM915">
        <f>IF($DM915=0,"",$EL915+$EG915-1)</f>
        <v/>
      </c>
      <c r="EN915">
        <f>IF($DM915=0,0,IFERROR(MATCH(1,INDEX(--(TRIM(SUBSTITUTE(SUBSTITUTE(SUBSTITUTE(SUBSTITUTE(LINES_NAME&amp;""," "," "),CHAR(9)," "),CHAR(10)," "),CHAR(13)," "))=$DH915),0),0),0))</f>
        <v/>
      </c>
      <c r="EO915">
        <f>IF($EN915=0,0,IF(OR(UPPER(TRIM(INDEX(LINES_SCHEDULED,$EN915)&amp;""))="YES",UPPER(TRIM(INDEX(LINES_SCHEDULED,$EN915)&amp;""))="Y",UPPER(TRIM(INDEX(LINES_SCHEDULED,$EN915)&amp;""))="X"),1,0))</f>
        <v/>
      </c>
      <c r="EP915">
        <f>IF($DM915=0,"",IF(COUNTIFS($EG$5:$EG$1003,$EG915,$EB$5:$EB$1003,"Ready")&gt;0,"READY",IF(COUNTIFS($EG$5:$EG$1003,$EG915,$EB$5:$EB$1003,"PM")&gt;0,"PM",IF(COUNTIFS($EG$5:$EG$1003,$EG915,$EB$5:$EB$1003,"OT")&gt;0,"OT",""))))</f>
        <v/>
      </c>
      <c r="EQ915">
        <f>IF($EN915=0,"",UPPER(TRIM(INDEX(LINES_STATUS,$EN915)&amp;"")))</f>
        <v/>
      </c>
      <c r="ER915">
        <f>IF($DM915=0,"",IF(OR($EQ915="READY",$EQ915="PM",$EQ915="OT"),$EQ915,$EP915))</f>
        <v/>
      </c>
      <c r="ES915">
        <f>IF($DM915=0,"",IF(AND($DV915&lt;&gt;"",UPPER($DV915)&lt;&gt;"N"),"allergen",IF(ISNUMBER(SEARCH("oil",$DQ915)),"oil",IF(OR(EXACT($DS915,"A662"),EXACT($DS915,"A624")),"bulk",""))))</f>
        <v/>
      </c>
      <c r="ET915">
        <f>IF($DM915=0,"",IF(OR($EA915="",$EA915=0),"",$EA915/100))</f>
        <v/>
      </c>
      <c r="EU915">
        <f>IF(OR($ET915="",$DY915=""),"",INT($DY915*(1-$ET915)+0.5))</f>
        <v/>
      </c>
    </row>
    <row r="916">
      <c r="DA916" t="n">
        <v>912</v>
      </c>
      <c r="DB916">
        <f>IF($B$37=0,"",IFERROR(TRIM(SUBSTITUTE(SUBSTITUTE(SUBSTITUTE(SUBSTITUTE(INDEX(PASTE_ALL,912,$B$37)," "," "),CHAR(9)," "),CHAR(10)," "),CHAR(13)," ")),""))</f>
        <v/>
      </c>
      <c r="DC916">
        <f>IF(AND(912&gt;HEADER_ROW,UPPER(DB916)="LEGEND"),1,0)</f>
        <v/>
      </c>
      <c r="DE916" t="n">
        <v>912</v>
      </c>
      <c r="DF916">
        <f>HEADER_ROW+$DE916</f>
        <v/>
      </c>
      <c r="DG916">
        <f>IF(AND($DF916&lt;=1000,$DF916&lt;$B$8),1,0)</f>
        <v/>
      </c>
      <c r="DH916">
        <f>IF($DG916=1,IFERROR(INDEX($DB$5:$DB$1004,$DF916),""),"")</f>
        <v/>
      </c>
      <c r="DI916">
        <f>IF(AND($DG916=1,$DH916&lt;&gt;""),IFERROR(SUBSTITUTE(SUBSTITUTE(TRIM(SUBSTITUTE(SUBSTITUTE(SUBSTITUTE(SUBSTITUTE(IFERROR(INDEX(PASTE_ALL,$DF916,1)&amp;"","")&amp;"␟"&amp;IFERROR(INDEX(PASTE_ALL,$DF916,2)&amp;"","")&amp;"␟"&amp;IFERROR(INDEX(PASTE_ALL,$DF916,3)&amp;"","")&amp;"␟"&amp;IFERROR(INDEX(PASTE_ALL,$DF916,4)&amp;"","")&amp;"␟"&amp;IFERROR(INDEX(PASTE_ALL,$DF916,5)&amp;"","")&amp;"␟"&amp;IFERROR(INDEX(PASTE_ALL,$DF916,6)&amp;"","")&amp;"␟"&amp;IFERROR(INDEX(PASTE_ALL,$DF916,7)&amp;"","")&amp;"␟"&amp;IFERROR(INDEX(PASTE_ALL,$DF916,8)&amp;"","")&amp;"␟"&amp;IFERROR(INDEX(PASTE_ALL,$DF916,9)&amp;"","")&amp;"␟"&amp;IFERROR(INDEX(PASTE_ALL,$DF916,10)&amp;"","")&amp;"␟"&amp;IFERROR(INDEX(PASTE_ALL,$DF916,11)&amp;"","")&amp;"␟"&amp;IFERROR(INDEX(PASTE_ALL,$DF916,12)&amp;"","")&amp;"␟"&amp;IFERROR(INDEX(PASTE_ALL,$DF916,13)&amp;"","")&amp;"␟"&amp;IFERROR(INDEX(PASTE_ALL,$DF916,14)&amp;"","")&amp;"␟"&amp;IFERROR(INDEX(PASTE_ALL,$DF916,15)&amp;"","")&amp;"␟"&amp;IFERROR(INDEX(PASTE_ALL,$DF916,16)&amp;"","")&amp;"␟"&amp;IFERROR(INDEX(PASTE_ALL,$DF916,17)&amp;"","")&amp;"␟"&amp;IFERROR(INDEX(PASTE_ALL,$DF916,18)&amp;"","")&amp;"␟"&amp;IFERROR(INDEX(PASTE_ALL,$DF916,19)&amp;"","")&amp;"␟"&amp;IFERROR(INDEX(PASTE_ALL,$DF916,20)&amp;"","")&amp;"␟"&amp;IFERROR(INDEX(PASTE_ALL,$DF916,21)&amp;"","")&amp;"␟"&amp;IFERROR(INDEX(PASTE_ALL,$DF916,22)&amp;"","")&amp;"␟"&amp;IFERROR(INDEX(PASTE_ALL,$DF916,23)&amp;"","")&amp;"␟"&amp;IFERROR(INDEX(PASTE_ALL,$DF916,24)&amp;"","")&amp;"␟"&amp;IFERROR(INDEX(PASTE_ALL,$DF916,25)&amp;"","")&amp;"␟"&amp;IFERROR(INDEX(PASTE_ALL,$DF916,26)&amp;"","")&amp;"␟"&amp;IFERROR(INDEX(PASTE_ALL,$DF916,27)&amp;"","")&amp;"␟"&amp;IFERROR(INDEX(PASTE_ALL,$DF916,28)&amp;"","")&amp;"␟"&amp;IFERROR(INDEX(PASTE_ALL,$DF916,29)&amp;"","")&amp;"␟"&amp;IFERROR(INDEX(PASTE_ALL,$DF916,30)&amp;"","")&amp;"␟"&amp;IFERROR(INDEX(PASTE_ALL,$DF916,31)&amp;"","")&amp;"␟"&amp;IFERROR(INDEX(PASTE_ALL,$DF916,32)&amp;"","")&amp;"␟"&amp;IFERROR(INDEX(PASTE_ALL,$DF916,33)&amp;"","")&amp;"␟"&amp;IFERROR(INDEX(PASTE_ALL,$DF916,34)&amp;"","")&amp;"␟"&amp;IFERROR(INDEX(PASTE_ALL,$DF916,35)&amp;"","")&amp;"␟"&amp;IFERROR(INDEX(PASTE_ALL,$DF916,36)&amp;"","")&amp;"␟"&amp;IFERROR(INDEX(PASTE_ALL,$DF916,37)&amp;"","")&amp;"␟"&amp;IFERROR(INDEX(PASTE_ALL,$DF916,38)&amp;"","")&amp;"␟"&amp;IFERROR(INDEX(PASTE_ALL,$DF916,39)&amp;"","")&amp;"␟"&amp;IFERROR(INDEX(PASTE_ALL,$DF916,40)&amp;"","")&amp;"␟"&amp;IFERROR(INDEX(PASTE_ALL,$DF916,41)&amp;"","")&amp;"␟"&amp;IFERROR(INDEX(PASTE_ALL,$DF916,42)&amp;"","")&amp;"␟"&amp;IFERROR(INDEX(PASTE_ALL,$DF916,43)&amp;"","")&amp;"␟"&amp;IFERROR(INDEX(PASTE_ALL,$DF916,44)&amp;"","")&amp;"␟"&amp;IFERROR(INDEX(PASTE_ALL,$DF916,45)&amp;"","")&amp;"␟"&amp;IFERROR(INDEX(PASTE_ALL,$DF916,46)&amp;"","")&amp;"␟"&amp;IFERROR(INDEX(PASTE_ALL,$DF916,47)&amp;"","")&amp;"␟"&amp;IFERROR(INDEX(PASTE_ALL,$DF916,48)&amp;"","")&amp;"␟"&amp;IFERROR(INDEX(PASTE_ALL,$DF916,49)&amp;"","")&amp;"␟"&amp;IFERROR(INDEX(PASTE_ALL,$DF916,50)&amp;"","")&amp;"␟"&amp;IFERROR(INDEX(PASTE_ALL,$DF916,51)&amp;"","")&amp;"␟"&amp;IFERROR(INDEX(PASTE_ALL,$DF916,52)&amp;"","")&amp;"␟"&amp;IFERROR(INDEX(PASTE_ALL,$DF916,53)&amp;"","")&amp;"␟"&amp;IFERROR(INDEX(PASTE_ALL,$DF916,54)&amp;"","")&amp;"␟"&amp;IFERROR(INDEX(PASTE_ALL,$DF916,55)&amp;"","")&amp;"␟"&amp;IFERROR(INDEX(PASTE_ALL,$DF916,56)&amp;"","")&amp;"␟"&amp;IFERROR(INDEX(PASTE_ALL,$DF916,57)&amp;"","")&amp;"␟"&amp;IFERROR(INDEX(PASTE_ALL,$DF916,58)&amp;"","")&amp;"␟"&amp;IFERROR(INDEX(PASTE_ALL,$DF916,59)&amp;"","")&amp;"␟"&amp;IFERROR(INDEX(PASTE_ALL,$DF916,60)&amp;"","")," "," "),CHAR(9)," "),CHAR(10)," "),CHAR(13)," "))," ␟","␟"),"␟ ","␟"),"#"&amp;$DE916),"")</f>
        <v/>
      </c>
      <c r="DJ916">
        <f>IF($DI916="",0,IF(SUMPRODUCT(--EXACT($DI$4:DI915,$DI916))&gt;0,1,0))</f>
        <v/>
      </c>
      <c r="DK916">
        <f>IF(AND($DI916&lt;&gt;"",$DJ916=0),1,0)</f>
        <v/>
      </c>
      <c r="DL916">
        <f>DL915+$DK916</f>
        <v/>
      </c>
      <c r="DM916">
        <f>IF(AND($DK916=1,$DL916&lt;=600),1,0)</f>
        <v/>
      </c>
      <c r="DN916">
        <f>IF($DM916=0,"",IF($L$6=0,"",IFERROR(IF(ISNUMBER(INDEX(PASTE_ALL,$DF916,$L$6)),INDEX(PASTE_ALL,$DF916,$L$6),TRIM(SUBSTITUTE(SUBSTITUTE(SUBSTITUTE(SUBSTITUTE(INDEX(PASTE_ALL,$DF916,$L$6)," "," "),CHAR(9)," "),CHAR(10)," "),CHAR(13)," "))),"")))</f>
        <v/>
      </c>
      <c r="DO916">
        <f>IF($DM916=0,"",IF($L$7=0,"",IFERROR(IF(ISNUMBER(INDEX(PASTE_ALL,$DF916,$L$7)),INDEX(PASTE_ALL,$DF916,$L$7),TRIM(SUBSTITUTE(SUBSTITUTE(SUBSTITUTE(SUBSTITUTE(INDEX(PASTE_ALL,$DF916,$L$7)," "," "),CHAR(9)," "),CHAR(10)," "),CHAR(13)," "))),"")))</f>
        <v/>
      </c>
      <c r="DP916">
        <f>IF($DM916=0,"",IF($L$8=0,"",IFERROR(IF(ISNUMBER(INDEX(PASTE_ALL,$DF916,$L$8)),INDEX(PASTE_ALL,$DF916,$L$8),TRIM(SUBSTITUTE(SUBSTITUTE(SUBSTITUTE(SUBSTITUTE(INDEX(PASTE_ALL,$DF916,$L$8)," "," "),CHAR(9)," "),CHAR(10)," "),CHAR(13)," "))),"")))</f>
        <v/>
      </c>
      <c r="DQ916">
        <f>IF($DM916=0,"",IF($L$9=0,"",IFERROR(IF(ISNUMBER(INDEX(PASTE_ALL,$DF916,$L$9)),INDEX(PASTE_ALL,$DF916,$L$9),TRIM(SUBSTITUTE(SUBSTITUTE(SUBSTITUTE(SUBSTITUTE(INDEX(PASTE_ALL,$DF916,$L$9)," "," "),CHAR(9)," "),CHAR(10)," "),CHAR(13)," "))),"")))</f>
        <v/>
      </c>
      <c r="DR916">
        <f>IF($DM916=0,"",IF($L$10=0,"",IFERROR(IF(ISNUMBER(INDEX(PASTE_ALL,$DF916,$L$10)),INDEX(PASTE_ALL,$DF916,$L$10),TRIM(SUBSTITUTE(SUBSTITUTE(SUBSTITUTE(SUBSTITUTE(INDEX(PASTE_ALL,$DF916,$L$10)," "," "),CHAR(9)," "),CHAR(10)," "),CHAR(13)," "))),"")))</f>
        <v/>
      </c>
      <c r="DS916">
        <f>IF($DM916=0,"",IF($L$11=0,"",IFERROR(IF(ISNUMBER(INDEX(PASTE_ALL,$DF916,$L$11)),INDEX(PASTE_ALL,$DF916,$L$11),TRIM(SUBSTITUTE(SUBSTITUTE(SUBSTITUTE(SUBSTITUTE(INDEX(PASTE_ALL,$DF916,$L$11)," "," "),CHAR(9)," "),CHAR(10)," "),CHAR(13)," "))),"")))</f>
        <v/>
      </c>
      <c r="DT916">
        <f>IF($DM916=0,"",IF($L$12=0,"",IFERROR(IF(ISNUMBER(INDEX(PASTE_ALL,$DF916,$L$12)),INDEX(PASTE_ALL,$DF916,$L$12),TRIM(SUBSTITUTE(SUBSTITUTE(SUBSTITUTE(SUBSTITUTE(INDEX(PASTE_ALL,$DF916,$L$12)," "," "),CHAR(9)," "),CHAR(10)," "),CHAR(13)," "))),"")))</f>
        <v/>
      </c>
      <c r="DU916">
        <f>IF($DM916=0,"",IF($L$13=0,"",IFERROR(IF(ISNUMBER(INDEX(PASTE_ALL,$DF916,$L$13)),INDEX(PASTE_ALL,$DF916,$L$13),TRIM(SUBSTITUTE(SUBSTITUTE(SUBSTITUTE(SUBSTITUTE(INDEX(PASTE_ALL,$DF916,$L$13)," "," "),CHAR(9)," "),CHAR(10)," "),CHAR(13)," "))),"")))</f>
        <v/>
      </c>
      <c r="DV916">
        <f>IF($DM916=0,"",IF($L$14=0,"",IFERROR(IF(ISNUMBER(INDEX(PASTE_ALL,$DF916,$L$14)),INDEX(PASTE_ALL,$DF916,$L$14),TRIM(SUBSTITUTE(SUBSTITUTE(SUBSTITUTE(SUBSTITUTE(INDEX(PASTE_ALL,$DF916,$L$14)," "," "),CHAR(9)," "),CHAR(10)," "),CHAR(13)," "))),"")))</f>
        <v/>
      </c>
      <c r="DW916">
        <f>IF($DM916=0,"",IF($L$15=0,"",IFERROR(IF(ISNUMBER(INDEX(PASTE_ALL,$DF916,$L$15)),INDEX(PASTE_ALL,$DF916,$L$15),IF(SUMPRODUCT(--ISNUMBER(FIND({"A","B","C","D","E","F","G","H","I","J","K","L","M","N","O","P","Q","R","S","T","U","V","W","X","Y","Z","0","1","2","3","4","5","6","7","8","9"},UPPER(TRIM(SUBSTITUTE(SUBSTITUTE(SUBSTITUTE(SUBSTITUTE(INDEX(PASTE_ALL,$DF916,$L$15)," "," "),CHAR(9)," "),CHAR(10)," "),CHAR(13)," "))))))&gt;0,TRIM(SUBSTITUTE(SUBSTITUTE(SUBSTITUTE(SUBSTITUTE(INDEX(PASTE_ALL,$DF916,$L$15)," "," "),CHAR(9)," "),CHAR(10)," "),CHAR(13)," ")),"")),"")))</f>
        <v/>
      </c>
      <c r="DX916">
        <f>IF($DM916=0,"",IF($L$16=0,"",IFERROR(IF(ISNUMBER(INDEX(PASTE_ALL,$DF916,$L$16)),INDEX(PASTE_ALL,$DF916,$L$16),SUBSTITUTE(SUBSTITUTE(TRIM(SUBSTITUTE(SUBSTITUTE(SUBSTITUTE(SUBSTITUTE(INDEX(PASTE_ALL,$DF916,$L$16)," "," "),CHAR(9)," "),CHAR(10)," "),CHAR(13)," ")),",",""),"%","")),"")))</f>
        <v/>
      </c>
      <c r="DY916">
        <f>IF($DM916=0,"",IFERROR(IF(ISNUMBER($DX916),$DX916,IF($DX916="","",IF(TRIM($DX916)="",0,IF(AND(AND(SUBSTITUTE(SUBSTITUTE(SUBSTITUTE(SUBSTITUTE(SUBSTITUTE(SUBSTITUTE(SUBSTITUTE(SUBSTITUTE(SUBSTITUTE(SUBSTITUTE(SUBSTITUTE(SUBSTITUTE(SUBSTITUTE(SUBSTITUTE(UPPER(TRIM($DX916)),"0",""),"1",""),"2",""),"3",""),"4",""),"5",""),"6",""),"7",""),"8",""),"9",""),".",""),"+",""),"-",""),"E","")="",LEN(SUBSTITUTE(SUBSTITUTE(MID(UPPER(TRIM($DX916)),1+OR(LEFT(UPPER(TRIM($DX916)),1)="+",LEFT(UPPER(TRIM($DX916)),1)="-"),999),"E+","E"),"E-","E"))=LEN(SUBSTITUTE(SUBSTITUTE(SUBSTITUTE(SUBSTITUTE(MID(UPPER(TRIM($DX916)),1+OR(LEFT(UPPER(TRIM($DX916)),1)="+",LEFT(UPPER(TRIM($DX916)),1)="-"),999),"E+","E"),"E-","E"),"+",""),"-","")),LEN(UPPER(TRIM($DX916)))-LEN(SUBSTITUTE(UPPER(TRIM($DX916)),"E",""))&lt;2,LEN(UPPER(TRIM($DX916)))-LEN(SUBSTITUTE(UPPER(TRIM($DX916)),".",""))&lt;2,IFERROR(FIND(".",UPPER(TRIM($DX916))),0)&lt;IFERROR(FIND("E",UPPER(TRIM($DX916))),999)),ISNUMBER(VALUE(TRIM($DX916)))),VALUE(TRIM($DX916)),"")))),""))</f>
        <v/>
      </c>
      <c r="DZ916">
        <f>IF($DM916=0,"",IF($L$17=0,"",IFERROR(IF(ISNUMBER(INDEX(PASTE_ALL,$DF916,$L$17)),INDEX(PASTE_ALL,$DF916,$L$17),SUBSTITUTE(SUBSTITUTE(TRIM(SUBSTITUTE(SUBSTITUTE(SUBSTITUTE(SUBSTITUTE(INDEX(PASTE_ALL,$DF916,$L$17)," "," "),CHAR(9)," "),CHAR(10)," "),CHAR(13)," ")),",",""),"%","")),"")))</f>
        <v/>
      </c>
      <c r="EA916">
        <f>IF($DM916=0,"",IFERROR(IF(ISNUMBER($DZ916),$DZ916,IF($DZ916="","",IF(TRIM($DZ916)="",0,IF(AND(AND(SUBSTITUTE(SUBSTITUTE(SUBSTITUTE(SUBSTITUTE(SUBSTITUTE(SUBSTITUTE(SUBSTITUTE(SUBSTITUTE(SUBSTITUTE(SUBSTITUTE(SUBSTITUTE(SUBSTITUTE(SUBSTITUTE(SUBSTITUTE(UPPER(TRIM($DZ916)),"0",""),"1",""),"2",""),"3",""),"4",""),"5",""),"6",""),"7",""),"8",""),"9",""),".",""),"+",""),"-",""),"E","")="",LEN(SUBSTITUTE(SUBSTITUTE(MID(UPPER(TRIM($DZ916)),1+OR(LEFT(UPPER(TRIM($DZ916)),1)="+",LEFT(UPPER(TRIM($DZ916)),1)="-"),999),"E+","E"),"E-","E"))=LEN(SUBSTITUTE(SUBSTITUTE(SUBSTITUTE(SUBSTITUTE(MID(UPPER(TRIM($DZ916)),1+OR(LEFT(UPPER(TRIM($DZ916)),1)="+",LEFT(UPPER(TRIM($DZ916)),1)="-"),999),"E+","E"),"E-","E"),"+",""),"-","")),LEN(UPPER(TRIM($DZ916)))-LEN(SUBSTITUTE(UPPER(TRIM($DZ916)),"E",""))&lt;2,LEN(UPPER(TRIM($DZ916)))-LEN(SUBSTITUTE(UPPER(TRIM($DZ916)),".",""))&lt;2,IFERROR(FIND(".",UPPER(TRIM($DZ916))),0)&lt;IFERROR(FIND("E",UPPER(TRIM($DZ916))),999)),ISNUMBER(VALUE(TRIM($DZ916)))),VALUE(TRIM($DZ916)),"")))),""))</f>
        <v/>
      </c>
      <c r="EB916">
        <f>IF($DM916=0,"",IF($L$18=0,"",IFERROR(IF(UPPER(TRIM(SUBSTITUTE(SUBSTITUTE(SUBSTITUTE(SUBSTITUTE(INDEX(PASTE_ALL,$DF916,$L$18)," "," "),CHAR(9)," "),CHAR(10)," "),CHAR(13)," ")))="READY","Ready",IF(UPPER(TRIM(SUBSTITUTE(SUBSTITUTE(SUBSTITUTE(SUBSTITUTE(INDEX(PASTE_ALL,$DF916,$L$18)," "," "),CHAR(9)," "),CHAR(10)," "),CHAR(13)," ")))="PM","PM",IF(OR(UPPER(TRIM(SUBSTITUTE(SUBSTITUTE(SUBSTITUTE(SUBSTITUTE(INDEX(PASTE_ALL,$DF916,$L$18)," "," "),CHAR(9)," "),CHAR(10)," "),CHAR(13)," ")))="OT",UPPER(TRIM(SUBSTITUTE(SUBSTITUTE(SUBSTITUTE(SUBSTITUTE(INDEX(PASTE_ALL,$DF916,$L$18)," "," "),CHAR(9)," "),CHAR(10)," "),CHAR(13)," ")))="OVERTIME",UPPER(TRIM(SUBSTITUTE(SUBSTITUTE(SUBSTITUTE(SUBSTITUTE(INDEX(PASTE_ALL,$DF916,$L$18)," "," "),CHAR(9)," "),CHAR(10)," "),CHAR(13)," ")))="TRIAL"),"OT",TRIM(SUBSTITUTE(SUBSTITUTE(SUBSTITUTE(SUBSTITUTE(INDEX(PASTE_ALL,$DF916,$L$18)," "," "),CHAR(9)," "),CHAR(10)," "),CHAR(13)," "))))),"")))</f>
        <v/>
      </c>
      <c r="EC916">
        <f>IF($DM916=0,"",IF($L$19=0,"",IFERROR(IF(ISNUMBER(INDEX(PASTE_ALL,$DF916,$L$19)),INDEX(PASTE_ALL,$DF916,$L$19),TRIM(SUBSTITUTE(SUBSTITUTE(SUBSTITUTE(SUBSTITUTE(INDEX(PASTE_ALL,$DF916,$L$19)," "," "),CHAR(9)," "),CHAR(10)," "),CHAR(13)," "))),"")))</f>
        <v/>
      </c>
      <c r="ED916">
        <f>IF($DM916=0,"",MATCH(1,INDEX(EXACT($DH$5:DH916,$DH916)*$DM$5:DM916,0),0))</f>
        <v/>
      </c>
      <c r="EE916">
        <f>IF($DM916=0,0,IF($ED916=$DE916,1,0))</f>
        <v/>
      </c>
      <c r="EF916">
        <f>EF915+$EE916</f>
        <v/>
      </c>
      <c r="EG916">
        <f>IF($DM916=0,"",INDEX($EF$5:$EF$1003,$ED916))</f>
        <v/>
      </c>
      <c r="EH916">
        <f>IF($DM916=0,"",IF($DO916&lt;&gt;"","",IFERROR(LOOKUP(2,1/(($EG$4:EG915=$EG916)*($DO$4:DO915&lt;&gt;"")),$DO$4:DO915),"")))</f>
        <v/>
      </c>
      <c r="EI916">
        <f>IF($DM916=0,"",IF($DO916&lt;&gt;"",$DO916,$EH916))</f>
        <v/>
      </c>
      <c r="EJ916">
        <f>IF($DM916=0,"",IF($EI916="",0,IF(OR(ISNUMBER($EI916),AND(AND(SUBSTITUTE(SUBSTITUTE(SUBSTITUTE(SUBSTITUTE(SUBSTITUTE(SUBSTITUTE(SUBSTITUTE(SUBSTITUTE(SUBSTITUTE(SUBSTITUTE(SUBSTITUTE(SUBSTITUTE(SUBSTITUTE(SUBSTITUTE(UPPER($EI916),"0",""),"1",""),"2",""),"3",""),"4",""),"5",""),"6",""),"7",""),"8",""),"9",""),".",""),"+",""),"-",""),"E","")="",LEN(SUBSTITUTE(SUBSTITUTE(MID(UPPER($EI916),1+OR(LEFT(UPPER($EI916),1)="+",LEFT(UPPER($EI916),1)="-"),999),"E+","E"),"E-","E"))=LEN(SUBSTITUTE(SUBSTITUTE(SUBSTITUTE(SUBSTITUTE(MID(UPPER($EI916),1+OR(LEFT(UPPER($EI916),1)="+",LEFT(UPPER($EI916),1)="-"),999),"E+","E"),"E-","E"),"+",""),"-","")),LEN(UPPER($EI916))-LEN(SUBSTITUTE(UPPER($EI916),"E",""))&lt;2,LEN(UPPER($EI916))-LEN(SUBSTITUTE(UPPER($EI916),".",""))&lt;2,IFERROR(FIND(".",UPPER($EI916)),0)&lt;IFERROR(FIND("E",UPPER($EI916)),999)),ISNUMBER(VALUE($EI916)))),1,2)))</f>
        <v/>
      </c>
      <c r="EK916">
        <f>IF($DM916=0,"",IF($EJ916=1,IF(ISNUMBER($EI916),$EI916,VALUE($EI916)),IF($EJ916=2,$DE916,0)))</f>
        <v/>
      </c>
      <c r="EL916">
        <f>IF($DM916=0,"",COUNTIF($EG$5:$EG$1003,"&lt;"&amp;$EG916)+SUMPRODUCT(($EG$5:$EG$1003=$EG916)*(($EJ$5:$EJ$1003&lt;$EJ916)+($EJ$5:$EJ$1003=$EJ916)*(($EK$5:$EK$1003&lt;$EK916)+($EK$5:$EK$1003=$EK916)*($DE$5:$DE$1003&lt;$DE916))))+1)</f>
        <v/>
      </c>
      <c r="EM916">
        <f>IF($DM916=0,"",$EL916+$EG916-1)</f>
        <v/>
      </c>
      <c r="EN916">
        <f>IF($DM916=0,0,IFERROR(MATCH(1,INDEX(--(TRIM(SUBSTITUTE(SUBSTITUTE(SUBSTITUTE(SUBSTITUTE(LINES_NAME&amp;""," "," "),CHAR(9)," "),CHAR(10)," "),CHAR(13)," "))=$DH916),0),0),0))</f>
        <v/>
      </c>
      <c r="EO916">
        <f>IF($EN916=0,0,IF(OR(UPPER(TRIM(INDEX(LINES_SCHEDULED,$EN916)&amp;""))="YES",UPPER(TRIM(INDEX(LINES_SCHEDULED,$EN916)&amp;""))="Y",UPPER(TRIM(INDEX(LINES_SCHEDULED,$EN916)&amp;""))="X"),1,0))</f>
        <v/>
      </c>
      <c r="EP916">
        <f>IF($DM916=0,"",IF(COUNTIFS($EG$5:$EG$1003,$EG916,$EB$5:$EB$1003,"Ready")&gt;0,"READY",IF(COUNTIFS($EG$5:$EG$1003,$EG916,$EB$5:$EB$1003,"PM")&gt;0,"PM",IF(COUNTIFS($EG$5:$EG$1003,$EG916,$EB$5:$EB$1003,"OT")&gt;0,"OT",""))))</f>
        <v/>
      </c>
      <c r="EQ916">
        <f>IF($EN916=0,"",UPPER(TRIM(INDEX(LINES_STATUS,$EN916)&amp;"")))</f>
        <v/>
      </c>
      <c r="ER916">
        <f>IF($DM916=0,"",IF(OR($EQ916="READY",$EQ916="PM",$EQ916="OT"),$EQ916,$EP916))</f>
        <v/>
      </c>
      <c r="ES916">
        <f>IF($DM916=0,"",IF(AND($DV916&lt;&gt;"",UPPER($DV916)&lt;&gt;"N"),"allergen",IF(ISNUMBER(SEARCH("oil",$DQ916)),"oil",IF(OR(EXACT($DS916,"A662"),EXACT($DS916,"A624")),"bulk",""))))</f>
        <v/>
      </c>
      <c r="ET916">
        <f>IF($DM916=0,"",IF(OR($EA916="",$EA916=0),"",$EA916/100))</f>
        <v/>
      </c>
      <c r="EU916">
        <f>IF(OR($ET916="",$DY916=""),"",INT($DY916*(1-$ET916)+0.5))</f>
        <v/>
      </c>
    </row>
    <row r="917">
      <c r="DA917" t="n">
        <v>913</v>
      </c>
      <c r="DB917">
        <f>IF($B$37=0,"",IFERROR(TRIM(SUBSTITUTE(SUBSTITUTE(SUBSTITUTE(SUBSTITUTE(INDEX(PASTE_ALL,913,$B$37)," "," "),CHAR(9)," "),CHAR(10)," "),CHAR(13)," ")),""))</f>
        <v/>
      </c>
      <c r="DC917">
        <f>IF(AND(913&gt;HEADER_ROW,UPPER(DB917)="LEGEND"),1,0)</f>
        <v/>
      </c>
      <c r="DE917" t="n">
        <v>913</v>
      </c>
      <c r="DF917">
        <f>HEADER_ROW+$DE917</f>
        <v/>
      </c>
      <c r="DG917">
        <f>IF(AND($DF917&lt;=1000,$DF917&lt;$B$8),1,0)</f>
        <v/>
      </c>
      <c r="DH917">
        <f>IF($DG917=1,IFERROR(INDEX($DB$5:$DB$1004,$DF917),""),"")</f>
        <v/>
      </c>
      <c r="DI917">
        <f>IF(AND($DG917=1,$DH917&lt;&gt;""),IFERROR(SUBSTITUTE(SUBSTITUTE(TRIM(SUBSTITUTE(SUBSTITUTE(SUBSTITUTE(SUBSTITUTE(IFERROR(INDEX(PASTE_ALL,$DF917,1)&amp;"","")&amp;"␟"&amp;IFERROR(INDEX(PASTE_ALL,$DF917,2)&amp;"","")&amp;"␟"&amp;IFERROR(INDEX(PASTE_ALL,$DF917,3)&amp;"","")&amp;"␟"&amp;IFERROR(INDEX(PASTE_ALL,$DF917,4)&amp;"","")&amp;"␟"&amp;IFERROR(INDEX(PASTE_ALL,$DF917,5)&amp;"","")&amp;"␟"&amp;IFERROR(INDEX(PASTE_ALL,$DF917,6)&amp;"","")&amp;"␟"&amp;IFERROR(INDEX(PASTE_ALL,$DF917,7)&amp;"","")&amp;"␟"&amp;IFERROR(INDEX(PASTE_ALL,$DF917,8)&amp;"","")&amp;"␟"&amp;IFERROR(INDEX(PASTE_ALL,$DF917,9)&amp;"","")&amp;"␟"&amp;IFERROR(INDEX(PASTE_ALL,$DF917,10)&amp;"","")&amp;"␟"&amp;IFERROR(INDEX(PASTE_ALL,$DF917,11)&amp;"","")&amp;"␟"&amp;IFERROR(INDEX(PASTE_ALL,$DF917,12)&amp;"","")&amp;"␟"&amp;IFERROR(INDEX(PASTE_ALL,$DF917,13)&amp;"","")&amp;"␟"&amp;IFERROR(INDEX(PASTE_ALL,$DF917,14)&amp;"","")&amp;"␟"&amp;IFERROR(INDEX(PASTE_ALL,$DF917,15)&amp;"","")&amp;"␟"&amp;IFERROR(INDEX(PASTE_ALL,$DF917,16)&amp;"","")&amp;"␟"&amp;IFERROR(INDEX(PASTE_ALL,$DF917,17)&amp;"","")&amp;"␟"&amp;IFERROR(INDEX(PASTE_ALL,$DF917,18)&amp;"","")&amp;"␟"&amp;IFERROR(INDEX(PASTE_ALL,$DF917,19)&amp;"","")&amp;"␟"&amp;IFERROR(INDEX(PASTE_ALL,$DF917,20)&amp;"","")&amp;"␟"&amp;IFERROR(INDEX(PASTE_ALL,$DF917,21)&amp;"","")&amp;"␟"&amp;IFERROR(INDEX(PASTE_ALL,$DF917,22)&amp;"","")&amp;"␟"&amp;IFERROR(INDEX(PASTE_ALL,$DF917,23)&amp;"","")&amp;"␟"&amp;IFERROR(INDEX(PASTE_ALL,$DF917,24)&amp;"","")&amp;"␟"&amp;IFERROR(INDEX(PASTE_ALL,$DF917,25)&amp;"","")&amp;"␟"&amp;IFERROR(INDEX(PASTE_ALL,$DF917,26)&amp;"","")&amp;"␟"&amp;IFERROR(INDEX(PASTE_ALL,$DF917,27)&amp;"","")&amp;"␟"&amp;IFERROR(INDEX(PASTE_ALL,$DF917,28)&amp;"","")&amp;"␟"&amp;IFERROR(INDEX(PASTE_ALL,$DF917,29)&amp;"","")&amp;"␟"&amp;IFERROR(INDEX(PASTE_ALL,$DF917,30)&amp;"","")&amp;"␟"&amp;IFERROR(INDEX(PASTE_ALL,$DF917,31)&amp;"","")&amp;"␟"&amp;IFERROR(INDEX(PASTE_ALL,$DF917,32)&amp;"","")&amp;"␟"&amp;IFERROR(INDEX(PASTE_ALL,$DF917,33)&amp;"","")&amp;"␟"&amp;IFERROR(INDEX(PASTE_ALL,$DF917,34)&amp;"","")&amp;"␟"&amp;IFERROR(INDEX(PASTE_ALL,$DF917,35)&amp;"","")&amp;"␟"&amp;IFERROR(INDEX(PASTE_ALL,$DF917,36)&amp;"","")&amp;"␟"&amp;IFERROR(INDEX(PASTE_ALL,$DF917,37)&amp;"","")&amp;"␟"&amp;IFERROR(INDEX(PASTE_ALL,$DF917,38)&amp;"","")&amp;"␟"&amp;IFERROR(INDEX(PASTE_ALL,$DF917,39)&amp;"","")&amp;"␟"&amp;IFERROR(INDEX(PASTE_ALL,$DF917,40)&amp;"","")&amp;"␟"&amp;IFERROR(INDEX(PASTE_ALL,$DF917,41)&amp;"","")&amp;"␟"&amp;IFERROR(INDEX(PASTE_ALL,$DF917,42)&amp;"","")&amp;"␟"&amp;IFERROR(INDEX(PASTE_ALL,$DF917,43)&amp;"","")&amp;"␟"&amp;IFERROR(INDEX(PASTE_ALL,$DF917,44)&amp;"","")&amp;"␟"&amp;IFERROR(INDEX(PASTE_ALL,$DF917,45)&amp;"","")&amp;"␟"&amp;IFERROR(INDEX(PASTE_ALL,$DF917,46)&amp;"","")&amp;"␟"&amp;IFERROR(INDEX(PASTE_ALL,$DF917,47)&amp;"","")&amp;"␟"&amp;IFERROR(INDEX(PASTE_ALL,$DF917,48)&amp;"","")&amp;"␟"&amp;IFERROR(INDEX(PASTE_ALL,$DF917,49)&amp;"","")&amp;"␟"&amp;IFERROR(INDEX(PASTE_ALL,$DF917,50)&amp;"","")&amp;"␟"&amp;IFERROR(INDEX(PASTE_ALL,$DF917,51)&amp;"","")&amp;"␟"&amp;IFERROR(INDEX(PASTE_ALL,$DF917,52)&amp;"","")&amp;"␟"&amp;IFERROR(INDEX(PASTE_ALL,$DF917,53)&amp;"","")&amp;"␟"&amp;IFERROR(INDEX(PASTE_ALL,$DF917,54)&amp;"","")&amp;"␟"&amp;IFERROR(INDEX(PASTE_ALL,$DF917,55)&amp;"","")&amp;"␟"&amp;IFERROR(INDEX(PASTE_ALL,$DF917,56)&amp;"","")&amp;"␟"&amp;IFERROR(INDEX(PASTE_ALL,$DF917,57)&amp;"","")&amp;"␟"&amp;IFERROR(INDEX(PASTE_ALL,$DF917,58)&amp;"","")&amp;"␟"&amp;IFERROR(INDEX(PASTE_ALL,$DF917,59)&amp;"","")&amp;"␟"&amp;IFERROR(INDEX(PASTE_ALL,$DF917,60)&amp;"","")," "," "),CHAR(9)," "),CHAR(10)," "),CHAR(13)," "))," ␟","␟"),"␟ ","␟"),"#"&amp;$DE917),"")</f>
        <v/>
      </c>
      <c r="DJ917">
        <f>IF($DI917="",0,IF(SUMPRODUCT(--EXACT($DI$4:DI916,$DI917))&gt;0,1,0))</f>
        <v/>
      </c>
      <c r="DK917">
        <f>IF(AND($DI917&lt;&gt;"",$DJ917=0),1,0)</f>
        <v/>
      </c>
      <c r="DL917">
        <f>DL916+$DK917</f>
        <v/>
      </c>
      <c r="DM917">
        <f>IF(AND($DK917=1,$DL917&lt;=600),1,0)</f>
        <v/>
      </c>
      <c r="DN917">
        <f>IF($DM917=0,"",IF($L$6=0,"",IFERROR(IF(ISNUMBER(INDEX(PASTE_ALL,$DF917,$L$6)),INDEX(PASTE_ALL,$DF917,$L$6),TRIM(SUBSTITUTE(SUBSTITUTE(SUBSTITUTE(SUBSTITUTE(INDEX(PASTE_ALL,$DF917,$L$6)," "," "),CHAR(9)," "),CHAR(10)," "),CHAR(13)," "))),"")))</f>
        <v/>
      </c>
      <c r="DO917">
        <f>IF($DM917=0,"",IF($L$7=0,"",IFERROR(IF(ISNUMBER(INDEX(PASTE_ALL,$DF917,$L$7)),INDEX(PASTE_ALL,$DF917,$L$7),TRIM(SUBSTITUTE(SUBSTITUTE(SUBSTITUTE(SUBSTITUTE(INDEX(PASTE_ALL,$DF917,$L$7)," "," "),CHAR(9)," "),CHAR(10)," "),CHAR(13)," "))),"")))</f>
        <v/>
      </c>
      <c r="DP917">
        <f>IF($DM917=0,"",IF($L$8=0,"",IFERROR(IF(ISNUMBER(INDEX(PASTE_ALL,$DF917,$L$8)),INDEX(PASTE_ALL,$DF917,$L$8),TRIM(SUBSTITUTE(SUBSTITUTE(SUBSTITUTE(SUBSTITUTE(INDEX(PASTE_ALL,$DF917,$L$8)," "," "),CHAR(9)," "),CHAR(10)," "),CHAR(13)," "))),"")))</f>
        <v/>
      </c>
      <c r="DQ917">
        <f>IF($DM917=0,"",IF($L$9=0,"",IFERROR(IF(ISNUMBER(INDEX(PASTE_ALL,$DF917,$L$9)),INDEX(PASTE_ALL,$DF917,$L$9),TRIM(SUBSTITUTE(SUBSTITUTE(SUBSTITUTE(SUBSTITUTE(INDEX(PASTE_ALL,$DF917,$L$9)," "," "),CHAR(9)," "),CHAR(10)," "),CHAR(13)," "))),"")))</f>
        <v/>
      </c>
      <c r="DR917">
        <f>IF($DM917=0,"",IF($L$10=0,"",IFERROR(IF(ISNUMBER(INDEX(PASTE_ALL,$DF917,$L$10)),INDEX(PASTE_ALL,$DF917,$L$10),TRIM(SUBSTITUTE(SUBSTITUTE(SUBSTITUTE(SUBSTITUTE(INDEX(PASTE_ALL,$DF917,$L$10)," "," "),CHAR(9)," "),CHAR(10)," "),CHAR(13)," "))),"")))</f>
        <v/>
      </c>
      <c r="DS917">
        <f>IF($DM917=0,"",IF($L$11=0,"",IFERROR(IF(ISNUMBER(INDEX(PASTE_ALL,$DF917,$L$11)),INDEX(PASTE_ALL,$DF917,$L$11),TRIM(SUBSTITUTE(SUBSTITUTE(SUBSTITUTE(SUBSTITUTE(INDEX(PASTE_ALL,$DF917,$L$11)," "," "),CHAR(9)," "),CHAR(10)," "),CHAR(13)," "))),"")))</f>
        <v/>
      </c>
      <c r="DT917">
        <f>IF($DM917=0,"",IF($L$12=0,"",IFERROR(IF(ISNUMBER(INDEX(PASTE_ALL,$DF917,$L$12)),INDEX(PASTE_ALL,$DF917,$L$12),TRIM(SUBSTITUTE(SUBSTITUTE(SUBSTITUTE(SUBSTITUTE(INDEX(PASTE_ALL,$DF917,$L$12)," "," "),CHAR(9)," "),CHAR(10)," "),CHAR(13)," "))),"")))</f>
        <v/>
      </c>
      <c r="DU917">
        <f>IF($DM917=0,"",IF($L$13=0,"",IFERROR(IF(ISNUMBER(INDEX(PASTE_ALL,$DF917,$L$13)),INDEX(PASTE_ALL,$DF917,$L$13),TRIM(SUBSTITUTE(SUBSTITUTE(SUBSTITUTE(SUBSTITUTE(INDEX(PASTE_ALL,$DF917,$L$13)," "," "),CHAR(9)," "),CHAR(10)," "),CHAR(13)," "))),"")))</f>
        <v/>
      </c>
      <c r="DV917">
        <f>IF($DM917=0,"",IF($L$14=0,"",IFERROR(IF(ISNUMBER(INDEX(PASTE_ALL,$DF917,$L$14)),INDEX(PASTE_ALL,$DF917,$L$14),TRIM(SUBSTITUTE(SUBSTITUTE(SUBSTITUTE(SUBSTITUTE(INDEX(PASTE_ALL,$DF917,$L$14)," "," "),CHAR(9)," "),CHAR(10)," "),CHAR(13)," "))),"")))</f>
        <v/>
      </c>
      <c r="DW917">
        <f>IF($DM917=0,"",IF($L$15=0,"",IFERROR(IF(ISNUMBER(INDEX(PASTE_ALL,$DF917,$L$15)),INDEX(PASTE_ALL,$DF917,$L$15),IF(SUMPRODUCT(--ISNUMBER(FIND({"A","B","C","D","E","F","G","H","I","J","K","L","M","N","O","P","Q","R","S","T","U","V","W","X","Y","Z","0","1","2","3","4","5","6","7","8","9"},UPPER(TRIM(SUBSTITUTE(SUBSTITUTE(SUBSTITUTE(SUBSTITUTE(INDEX(PASTE_ALL,$DF917,$L$15)," "," "),CHAR(9)," "),CHAR(10)," "),CHAR(13)," "))))))&gt;0,TRIM(SUBSTITUTE(SUBSTITUTE(SUBSTITUTE(SUBSTITUTE(INDEX(PASTE_ALL,$DF917,$L$15)," "," "),CHAR(9)," "),CHAR(10)," "),CHAR(13)," ")),"")),"")))</f>
        <v/>
      </c>
      <c r="DX917">
        <f>IF($DM917=0,"",IF($L$16=0,"",IFERROR(IF(ISNUMBER(INDEX(PASTE_ALL,$DF917,$L$16)),INDEX(PASTE_ALL,$DF917,$L$16),SUBSTITUTE(SUBSTITUTE(TRIM(SUBSTITUTE(SUBSTITUTE(SUBSTITUTE(SUBSTITUTE(INDEX(PASTE_ALL,$DF917,$L$16)," "," "),CHAR(9)," "),CHAR(10)," "),CHAR(13)," ")),",",""),"%","")),"")))</f>
        <v/>
      </c>
      <c r="DY917">
        <f>IF($DM917=0,"",IFERROR(IF(ISNUMBER($DX917),$DX917,IF($DX917="","",IF(TRIM($DX917)="",0,IF(AND(AND(SUBSTITUTE(SUBSTITUTE(SUBSTITUTE(SUBSTITUTE(SUBSTITUTE(SUBSTITUTE(SUBSTITUTE(SUBSTITUTE(SUBSTITUTE(SUBSTITUTE(SUBSTITUTE(SUBSTITUTE(SUBSTITUTE(SUBSTITUTE(UPPER(TRIM($DX917)),"0",""),"1",""),"2",""),"3",""),"4",""),"5",""),"6",""),"7",""),"8",""),"9",""),".",""),"+",""),"-",""),"E","")="",LEN(SUBSTITUTE(SUBSTITUTE(MID(UPPER(TRIM($DX917)),1+OR(LEFT(UPPER(TRIM($DX917)),1)="+",LEFT(UPPER(TRIM($DX917)),1)="-"),999),"E+","E"),"E-","E"))=LEN(SUBSTITUTE(SUBSTITUTE(SUBSTITUTE(SUBSTITUTE(MID(UPPER(TRIM($DX917)),1+OR(LEFT(UPPER(TRIM($DX917)),1)="+",LEFT(UPPER(TRIM($DX917)),1)="-"),999),"E+","E"),"E-","E"),"+",""),"-","")),LEN(UPPER(TRIM($DX917)))-LEN(SUBSTITUTE(UPPER(TRIM($DX917)),"E",""))&lt;2,LEN(UPPER(TRIM($DX917)))-LEN(SUBSTITUTE(UPPER(TRIM($DX917)),".",""))&lt;2,IFERROR(FIND(".",UPPER(TRIM($DX917))),0)&lt;IFERROR(FIND("E",UPPER(TRIM($DX917))),999)),ISNUMBER(VALUE(TRIM($DX917)))),VALUE(TRIM($DX917)),"")))),""))</f>
        <v/>
      </c>
      <c r="DZ917">
        <f>IF($DM917=0,"",IF($L$17=0,"",IFERROR(IF(ISNUMBER(INDEX(PASTE_ALL,$DF917,$L$17)),INDEX(PASTE_ALL,$DF917,$L$17),SUBSTITUTE(SUBSTITUTE(TRIM(SUBSTITUTE(SUBSTITUTE(SUBSTITUTE(SUBSTITUTE(INDEX(PASTE_ALL,$DF917,$L$17)," "," "),CHAR(9)," "),CHAR(10)," "),CHAR(13)," ")),",",""),"%","")),"")))</f>
        <v/>
      </c>
      <c r="EA917">
        <f>IF($DM917=0,"",IFERROR(IF(ISNUMBER($DZ917),$DZ917,IF($DZ917="","",IF(TRIM($DZ917)="",0,IF(AND(AND(SUBSTITUTE(SUBSTITUTE(SUBSTITUTE(SUBSTITUTE(SUBSTITUTE(SUBSTITUTE(SUBSTITUTE(SUBSTITUTE(SUBSTITUTE(SUBSTITUTE(SUBSTITUTE(SUBSTITUTE(SUBSTITUTE(SUBSTITUTE(UPPER(TRIM($DZ917)),"0",""),"1",""),"2",""),"3",""),"4",""),"5",""),"6",""),"7",""),"8",""),"9",""),".",""),"+",""),"-",""),"E","")="",LEN(SUBSTITUTE(SUBSTITUTE(MID(UPPER(TRIM($DZ917)),1+OR(LEFT(UPPER(TRIM($DZ917)),1)="+",LEFT(UPPER(TRIM($DZ917)),1)="-"),999),"E+","E"),"E-","E"))=LEN(SUBSTITUTE(SUBSTITUTE(SUBSTITUTE(SUBSTITUTE(MID(UPPER(TRIM($DZ917)),1+OR(LEFT(UPPER(TRIM($DZ917)),1)="+",LEFT(UPPER(TRIM($DZ917)),1)="-"),999),"E+","E"),"E-","E"),"+",""),"-","")),LEN(UPPER(TRIM($DZ917)))-LEN(SUBSTITUTE(UPPER(TRIM($DZ917)),"E",""))&lt;2,LEN(UPPER(TRIM($DZ917)))-LEN(SUBSTITUTE(UPPER(TRIM($DZ917)),".",""))&lt;2,IFERROR(FIND(".",UPPER(TRIM($DZ917))),0)&lt;IFERROR(FIND("E",UPPER(TRIM($DZ917))),999)),ISNUMBER(VALUE(TRIM($DZ917)))),VALUE(TRIM($DZ917)),"")))),""))</f>
        <v/>
      </c>
      <c r="EB917">
        <f>IF($DM917=0,"",IF($L$18=0,"",IFERROR(IF(UPPER(TRIM(SUBSTITUTE(SUBSTITUTE(SUBSTITUTE(SUBSTITUTE(INDEX(PASTE_ALL,$DF917,$L$18)," "," "),CHAR(9)," "),CHAR(10)," "),CHAR(13)," ")))="READY","Ready",IF(UPPER(TRIM(SUBSTITUTE(SUBSTITUTE(SUBSTITUTE(SUBSTITUTE(INDEX(PASTE_ALL,$DF917,$L$18)," "," "),CHAR(9)," "),CHAR(10)," "),CHAR(13)," ")))="PM","PM",IF(OR(UPPER(TRIM(SUBSTITUTE(SUBSTITUTE(SUBSTITUTE(SUBSTITUTE(INDEX(PASTE_ALL,$DF917,$L$18)," "," "),CHAR(9)," "),CHAR(10)," "),CHAR(13)," ")))="OT",UPPER(TRIM(SUBSTITUTE(SUBSTITUTE(SUBSTITUTE(SUBSTITUTE(INDEX(PASTE_ALL,$DF917,$L$18)," "," "),CHAR(9)," "),CHAR(10)," "),CHAR(13)," ")))="OVERTIME",UPPER(TRIM(SUBSTITUTE(SUBSTITUTE(SUBSTITUTE(SUBSTITUTE(INDEX(PASTE_ALL,$DF917,$L$18)," "," "),CHAR(9)," "),CHAR(10)," "),CHAR(13)," ")))="TRIAL"),"OT",TRIM(SUBSTITUTE(SUBSTITUTE(SUBSTITUTE(SUBSTITUTE(INDEX(PASTE_ALL,$DF917,$L$18)," "," "),CHAR(9)," "),CHAR(10)," "),CHAR(13)," "))))),"")))</f>
        <v/>
      </c>
      <c r="EC917">
        <f>IF($DM917=0,"",IF($L$19=0,"",IFERROR(IF(ISNUMBER(INDEX(PASTE_ALL,$DF917,$L$19)),INDEX(PASTE_ALL,$DF917,$L$19),TRIM(SUBSTITUTE(SUBSTITUTE(SUBSTITUTE(SUBSTITUTE(INDEX(PASTE_ALL,$DF917,$L$19)," "," "),CHAR(9)," "),CHAR(10)," "),CHAR(13)," "))),"")))</f>
        <v/>
      </c>
      <c r="ED917">
        <f>IF($DM917=0,"",MATCH(1,INDEX(EXACT($DH$5:DH917,$DH917)*$DM$5:DM917,0),0))</f>
        <v/>
      </c>
      <c r="EE917">
        <f>IF($DM917=0,0,IF($ED917=$DE917,1,0))</f>
        <v/>
      </c>
      <c r="EF917">
        <f>EF916+$EE917</f>
        <v/>
      </c>
      <c r="EG917">
        <f>IF($DM917=0,"",INDEX($EF$5:$EF$1003,$ED917))</f>
        <v/>
      </c>
      <c r="EH917">
        <f>IF($DM917=0,"",IF($DO917&lt;&gt;"","",IFERROR(LOOKUP(2,1/(($EG$4:EG916=$EG917)*($DO$4:DO916&lt;&gt;"")),$DO$4:DO916),"")))</f>
        <v/>
      </c>
      <c r="EI917">
        <f>IF($DM917=0,"",IF($DO917&lt;&gt;"",$DO917,$EH917))</f>
        <v/>
      </c>
      <c r="EJ917">
        <f>IF($DM917=0,"",IF($EI917="",0,IF(OR(ISNUMBER($EI917),AND(AND(SUBSTITUTE(SUBSTITUTE(SUBSTITUTE(SUBSTITUTE(SUBSTITUTE(SUBSTITUTE(SUBSTITUTE(SUBSTITUTE(SUBSTITUTE(SUBSTITUTE(SUBSTITUTE(SUBSTITUTE(SUBSTITUTE(SUBSTITUTE(UPPER($EI917),"0",""),"1",""),"2",""),"3",""),"4",""),"5",""),"6",""),"7",""),"8",""),"9",""),".",""),"+",""),"-",""),"E","")="",LEN(SUBSTITUTE(SUBSTITUTE(MID(UPPER($EI917),1+OR(LEFT(UPPER($EI917),1)="+",LEFT(UPPER($EI917),1)="-"),999),"E+","E"),"E-","E"))=LEN(SUBSTITUTE(SUBSTITUTE(SUBSTITUTE(SUBSTITUTE(MID(UPPER($EI917),1+OR(LEFT(UPPER($EI917),1)="+",LEFT(UPPER($EI917),1)="-"),999),"E+","E"),"E-","E"),"+",""),"-","")),LEN(UPPER($EI917))-LEN(SUBSTITUTE(UPPER($EI917),"E",""))&lt;2,LEN(UPPER($EI917))-LEN(SUBSTITUTE(UPPER($EI917),".",""))&lt;2,IFERROR(FIND(".",UPPER($EI917)),0)&lt;IFERROR(FIND("E",UPPER($EI917)),999)),ISNUMBER(VALUE($EI917)))),1,2)))</f>
        <v/>
      </c>
      <c r="EK917">
        <f>IF($DM917=0,"",IF($EJ917=1,IF(ISNUMBER($EI917),$EI917,VALUE($EI917)),IF($EJ917=2,$DE917,0)))</f>
        <v/>
      </c>
      <c r="EL917">
        <f>IF($DM917=0,"",COUNTIF($EG$5:$EG$1003,"&lt;"&amp;$EG917)+SUMPRODUCT(($EG$5:$EG$1003=$EG917)*(($EJ$5:$EJ$1003&lt;$EJ917)+($EJ$5:$EJ$1003=$EJ917)*(($EK$5:$EK$1003&lt;$EK917)+($EK$5:$EK$1003=$EK917)*($DE$5:$DE$1003&lt;$DE917))))+1)</f>
        <v/>
      </c>
      <c r="EM917">
        <f>IF($DM917=0,"",$EL917+$EG917-1)</f>
        <v/>
      </c>
      <c r="EN917">
        <f>IF($DM917=0,0,IFERROR(MATCH(1,INDEX(--(TRIM(SUBSTITUTE(SUBSTITUTE(SUBSTITUTE(SUBSTITUTE(LINES_NAME&amp;""," "," "),CHAR(9)," "),CHAR(10)," "),CHAR(13)," "))=$DH917),0),0),0))</f>
        <v/>
      </c>
      <c r="EO917">
        <f>IF($EN917=0,0,IF(OR(UPPER(TRIM(INDEX(LINES_SCHEDULED,$EN917)&amp;""))="YES",UPPER(TRIM(INDEX(LINES_SCHEDULED,$EN917)&amp;""))="Y",UPPER(TRIM(INDEX(LINES_SCHEDULED,$EN917)&amp;""))="X"),1,0))</f>
        <v/>
      </c>
      <c r="EP917">
        <f>IF($DM917=0,"",IF(COUNTIFS($EG$5:$EG$1003,$EG917,$EB$5:$EB$1003,"Ready")&gt;0,"READY",IF(COUNTIFS($EG$5:$EG$1003,$EG917,$EB$5:$EB$1003,"PM")&gt;0,"PM",IF(COUNTIFS($EG$5:$EG$1003,$EG917,$EB$5:$EB$1003,"OT")&gt;0,"OT",""))))</f>
        <v/>
      </c>
      <c r="EQ917">
        <f>IF($EN917=0,"",UPPER(TRIM(INDEX(LINES_STATUS,$EN917)&amp;"")))</f>
        <v/>
      </c>
      <c r="ER917">
        <f>IF($DM917=0,"",IF(OR($EQ917="READY",$EQ917="PM",$EQ917="OT"),$EQ917,$EP917))</f>
        <v/>
      </c>
      <c r="ES917">
        <f>IF($DM917=0,"",IF(AND($DV917&lt;&gt;"",UPPER($DV917)&lt;&gt;"N"),"allergen",IF(ISNUMBER(SEARCH("oil",$DQ917)),"oil",IF(OR(EXACT($DS917,"A662"),EXACT($DS917,"A624")),"bulk",""))))</f>
        <v/>
      </c>
      <c r="ET917">
        <f>IF($DM917=0,"",IF(OR($EA917="",$EA917=0),"",$EA917/100))</f>
        <v/>
      </c>
      <c r="EU917">
        <f>IF(OR($ET917="",$DY917=""),"",INT($DY917*(1-$ET917)+0.5))</f>
        <v/>
      </c>
    </row>
    <row r="918">
      <c r="DA918" t="n">
        <v>914</v>
      </c>
      <c r="DB918">
        <f>IF($B$37=0,"",IFERROR(TRIM(SUBSTITUTE(SUBSTITUTE(SUBSTITUTE(SUBSTITUTE(INDEX(PASTE_ALL,914,$B$37)," "," "),CHAR(9)," "),CHAR(10)," "),CHAR(13)," ")),""))</f>
        <v/>
      </c>
      <c r="DC918">
        <f>IF(AND(914&gt;HEADER_ROW,UPPER(DB918)="LEGEND"),1,0)</f>
        <v/>
      </c>
      <c r="DE918" t="n">
        <v>914</v>
      </c>
      <c r="DF918">
        <f>HEADER_ROW+$DE918</f>
        <v/>
      </c>
      <c r="DG918">
        <f>IF(AND($DF918&lt;=1000,$DF918&lt;$B$8),1,0)</f>
        <v/>
      </c>
      <c r="DH918">
        <f>IF($DG918=1,IFERROR(INDEX($DB$5:$DB$1004,$DF918),""),"")</f>
        <v/>
      </c>
      <c r="DI918">
        <f>IF(AND($DG918=1,$DH918&lt;&gt;""),IFERROR(SUBSTITUTE(SUBSTITUTE(TRIM(SUBSTITUTE(SUBSTITUTE(SUBSTITUTE(SUBSTITUTE(IFERROR(INDEX(PASTE_ALL,$DF918,1)&amp;"","")&amp;"␟"&amp;IFERROR(INDEX(PASTE_ALL,$DF918,2)&amp;"","")&amp;"␟"&amp;IFERROR(INDEX(PASTE_ALL,$DF918,3)&amp;"","")&amp;"␟"&amp;IFERROR(INDEX(PASTE_ALL,$DF918,4)&amp;"","")&amp;"␟"&amp;IFERROR(INDEX(PASTE_ALL,$DF918,5)&amp;"","")&amp;"␟"&amp;IFERROR(INDEX(PASTE_ALL,$DF918,6)&amp;"","")&amp;"␟"&amp;IFERROR(INDEX(PASTE_ALL,$DF918,7)&amp;"","")&amp;"␟"&amp;IFERROR(INDEX(PASTE_ALL,$DF918,8)&amp;"","")&amp;"␟"&amp;IFERROR(INDEX(PASTE_ALL,$DF918,9)&amp;"","")&amp;"␟"&amp;IFERROR(INDEX(PASTE_ALL,$DF918,10)&amp;"","")&amp;"␟"&amp;IFERROR(INDEX(PASTE_ALL,$DF918,11)&amp;"","")&amp;"␟"&amp;IFERROR(INDEX(PASTE_ALL,$DF918,12)&amp;"","")&amp;"␟"&amp;IFERROR(INDEX(PASTE_ALL,$DF918,13)&amp;"","")&amp;"␟"&amp;IFERROR(INDEX(PASTE_ALL,$DF918,14)&amp;"","")&amp;"␟"&amp;IFERROR(INDEX(PASTE_ALL,$DF918,15)&amp;"","")&amp;"␟"&amp;IFERROR(INDEX(PASTE_ALL,$DF918,16)&amp;"","")&amp;"␟"&amp;IFERROR(INDEX(PASTE_ALL,$DF918,17)&amp;"","")&amp;"␟"&amp;IFERROR(INDEX(PASTE_ALL,$DF918,18)&amp;"","")&amp;"␟"&amp;IFERROR(INDEX(PASTE_ALL,$DF918,19)&amp;"","")&amp;"␟"&amp;IFERROR(INDEX(PASTE_ALL,$DF918,20)&amp;"","")&amp;"␟"&amp;IFERROR(INDEX(PASTE_ALL,$DF918,21)&amp;"","")&amp;"␟"&amp;IFERROR(INDEX(PASTE_ALL,$DF918,22)&amp;"","")&amp;"␟"&amp;IFERROR(INDEX(PASTE_ALL,$DF918,23)&amp;"","")&amp;"␟"&amp;IFERROR(INDEX(PASTE_ALL,$DF918,24)&amp;"","")&amp;"␟"&amp;IFERROR(INDEX(PASTE_ALL,$DF918,25)&amp;"","")&amp;"␟"&amp;IFERROR(INDEX(PASTE_ALL,$DF918,26)&amp;"","")&amp;"␟"&amp;IFERROR(INDEX(PASTE_ALL,$DF918,27)&amp;"","")&amp;"␟"&amp;IFERROR(INDEX(PASTE_ALL,$DF918,28)&amp;"","")&amp;"␟"&amp;IFERROR(INDEX(PASTE_ALL,$DF918,29)&amp;"","")&amp;"␟"&amp;IFERROR(INDEX(PASTE_ALL,$DF918,30)&amp;"","")&amp;"␟"&amp;IFERROR(INDEX(PASTE_ALL,$DF918,31)&amp;"","")&amp;"␟"&amp;IFERROR(INDEX(PASTE_ALL,$DF918,32)&amp;"","")&amp;"␟"&amp;IFERROR(INDEX(PASTE_ALL,$DF918,33)&amp;"","")&amp;"␟"&amp;IFERROR(INDEX(PASTE_ALL,$DF918,34)&amp;"","")&amp;"␟"&amp;IFERROR(INDEX(PASTE_ALL,$DF918,35)&amp;"","")&amp;"␟"&amp;IFERROR(INDEX(PASTE_ALL,$DF918,36)&amp;"","")&amp;"␟"&amp;IFERROR(INDEX(PASTE_ALL,$DF918,37)&amp;"","")&amp;"␟"&amp;IFERROR(INDEX(PASTE_ALL,$DF918,38)&amp;"","")&amp;"␟"&amp;IFERROR(INDEX(PASTE_ALL,$DF918,39)&amp;"","")&amp;"␟"&amp;IFERROR(INDEX(PASTE_ALL,$DF918,40)&amp;"","")&amp;"␟"&amp;IFERROR(INDEX(PASTE_ALL,$DF918,41)&amp;"","")&amp;"␟"&amp;IFERROR(INDEX(PASTE_ALL,$DF918,42)&amp;"","")&amp;"␟"&amp;IFERROR(INDEX(PASTE_ALL,$DF918,43)&amp;"","")&amp;"␟"&amp;IFERROR(INDEX(PASTE_ALL,$DF918,44)&amp;"","")&amp;"␟"&amp;IFERROR(INDEX(PASTE_ALL,$DF918,45)&amp;"","")&amp;"␟"&amp;IFERROR(INDEX(PASTE_ALL,$DF918,46)&amp;"","")&amp;"␟"&amp;IFERROR(INDEX(PASTE_ALL,$DF918,47)&amp;"","")&amp;"␟"&amp;IFERROR(INDEX(PASTE_ALL,$DF918,48)&amp;"","")&amp;"␟"&amp;IFERROR(INDEX(PASTE_ALL,$DF918,49)&amp;"","")&amp;"␟"&amp;IFERROR(INDEX(PASTE_ALL,$DF918,50)&amp;"","")&amp;"␟"&amp;IFERROR(INDEX(PASTE_ALL,$DF918,51)&amp;"","")&amp;"␟"&amp;IFERROR(INDEX(PASTE_ALL,$DF918,52)&amp;"","")&amp;"␟"&amp;IFERROR(INDEX(PASTE_ALL,$DF918,53)&amp;"","")&amp;"␟"&amp;IFERROR(INDEX(PASTE_ALL,$DF918,54)&amp;"","")&amp;"␟"&amp;IFERROR(INDEX(PASTE_ALL,$DF918,55)&amp;"","")&amp;"␟"&amp;IFERROR(INDEX(PASTE_ALL,$DF918,56)&amp;"","")&amp;"␟"&amp;IFERROR(INDEX(PASTE_ALL,$DF918,57)&amp;"","")&amp;"␟"&amp;IFERROR(INDEX(PASTE_ALL,$DF918,58)&amp;"","")&amp;"␟"&amp;IFERROR(INDEX(PASTE_ALL,$DF918,59)&amp;"","")&amp;"␟"&amp;IFERROR(INDEX(PASTE_ALL,$DF918,60)&amp;"","")," "," "),CHAR(9)," "),CHAR(10)," "),CHAR(13)," "))," ␟","␟"),"␟ ","␟"),"#"&amp;$DE918),"")</f>
        <v/>
      </c>
      <c r="DJ918">
        <f>IF($DI918="",0,IF(SUMPRODUCT(--EXACT($DI$4:DI917,$DI918))&gt;0,1,0))</f>
        <v/>
      </c>
      <c r="DK918">
        <f>IF(AND($DI918&lt;&gt;"",$DJ918=0),1,0)</f>
        <v/>
      </c>
      <c r="DL918">
        <f>DL917+$DK918</f>
        <v/>
      </c>
      <c r="DM918">
        <f>IF(AND($DK918=1,$DL918&lt;=600),1,0)</f>
        <v/>
      </c>
      <c r="DN918">
        <f>IF($DM918=0,"",IF($L$6=0,"",IFERROR(IF(ISNUMBER(INDEX(PASTE_ALL,$DF918,$L$6)),INDEX(PASTE_ALL,$DF918,$L$6),TRIM(SUBSTITUTE(SUBSTITUTE(SUBSTITUTE(SUBSTITUTE(INDEX(PASTE_ALL,$DF918,$L$6)," "," "),CHAR(9)," "),CHAR(10)," "),CHAR(13)," "))),"")))</f>
        <v/>
      </c>
      <c r="DO918">
        <f>IF($DM918=0,"",IF($L$7=0,"",IFERROR(IF(ISNUMBER(INDEX(PASTE_ALL,$DF918,$L$7)),INDEX(PASTE_ALL,$DF918,$L$7),TRIM(SUBSTITUTE(SUBSTITUTE(SUBSTITUTE(SUBSTITUTE(INDEX(PASTE_ALL,$DF918,$L$7)," "," "),CHAR(9)," "),CHAR(10)," "),CHAR(13)," "))),"")))</f>
        <v/>
      </c>
      <c r="DP918">
        <f>IF($DM918=0,"",IF($L$8=0,"",IFERROR(IF(ISNUMBER(INDEX(PASTE_ALL,$DF918,$L$8)),INDEX(PASTE_ALL,$DF918,$L$8),TRIM(SUBSTITUTE(SUBSTITUTE(SUBSTITUTE(SUBSTITUTE(INDEX(PASTE_ALL,$DF918,$L$8)," "," "),CHAR(9)," "),CHAR(10)," "),CHAR(13)," "))),"")))</f>
        <v/>
      </c>
      <c r="DQ918">
        <f>IF($DM918=0,"",IF($L$9=0,"",IFERROR(IF(ISNUMBER(INDEX(PASTE_ALL,$DF918,$L$9)),INDEX(PASTE_ALL,$DF918,$L$9),TRIM(SUBSTITUTE(SUBSTITUTE(SUBSTITUTE(SUBSTITUTE(INDEX(PASTE_ALL,$DF918,$L$9)," "," "),CHAR(9)," "),CHAR(10)," "),CHAR(13)," "))),"")))</f>
        <v/>
      </c>
      <c r="DR918">
        <f>IF($DM918=0,"",IF($L$10=0,"",IFERROR(IF(ISNUMBER(INDEX(PASTE_ALL,$DF918,$L$10)),INDEX(PASTE_ALL,$DF918,$L$10),TRIM(SUBSTITUTE(SUBSTITUTE(SUBSTITUTE(SUBSTITUTE(INDEX(PASTE_ALL,$DF918,$L$10)," "," "),CHAR(9)," "),CHAR(10)," "),CHAR(13)," "))),"")))</f>
        <v/>
      </c>
      <c r="DS918">
        <f>IF($DM918=0,"",IF($L$11=0,"",IFERROR(IF(ISNUMBER(INDEX(PASTE_ALL,$DF918,$L$11)),INDEX(PASTE_ALL,$DF918,$L$11),TRIM(SUBSTITUTE(SUBSTITUTE(SUBSTITUTE(SUBSTITUTE(INDEX(PASTE_ALL,$DF918,$L$11)," "," "),CHAR(9)," "),CHAR(10)," "),CHAR(13)," "))),"")))</f>
        <v/>
      </c>
      <c r="DT918">
        <f>IF($DM918=0,"",IF($L$12=0,"",IFERROR(IF(ISNUMBER(INDEX(PASTE_ALL,$DF918,$L$12)),INDEX(PASTE_ALL,$DF918,$L$12),TRIM(SUBSTITUTE(SUBSTITUTE(SUBSTITUTE(SUBSTITUTE(INDEX(PASTE_ALL,$DF918,$L$12)," "," "),CHAR(9)," "),CHAR(10)," "),CHAR(13)," "))),"")))</f>
        <v/>
      </c>
      <c r="DU918">
        <f>IF($DM918=0,"",IF($L$13=0,"",IFERROR(IF(ISNUMBER(INDEX(PASTE_ALL,$DF918,$L$13)),INDEX(PASTE_ALL,$DF918,$L$13),TRIM(SUBSTITUTE(SUBSTITUTE(SUBSTITUTE(SUBSTITUTE(INDEX(PASTE_ALL,$DF918,$L$13)," "," "),CHAR(9)," "),CHAR(10)," "),CHAR(13)," "))),"")))</f>
        <v/>
      </c>
      <c r="DV918">
        <f>IF($DM918=0,"",IF($L$14=0,"",IFERROR(IF(ISNUMBER(INDEX(PASTE_ALL,$DF918,$L$14)),INDEX(PASTE_ALL,$DF918,$L$14),TRIM(SUBSTITUTE(SUBSTITUTE(SUBSTITUTE(SUBSTITUTE(INDEX(PASTE_ALL,$DF918,$L$14)," "," "),CHAR(9)," "),CHAR(10)," "),CHAR(13)," "))),"")))</f>
        <v/>
      </c>
      <c r="DW918">
        <f>IF($DM918=0,"",IF($L$15=0,"",IFERROR(IF(ISNUMBER(INDEX(PASTE_ALL,$DF918,$L$15)),INDEX(PASTE_ALL,$DF918,$L$15),IF(SUMPRODUCT(--ISNUMBER(FIND({"A","B","C","D","E","F","G","H","I","J","K","L","M","N","O","P","Q","R","S","T","U","V","W","X","Y","Z","0","1","2","3","4","5","6","7","8","9"},UPPER(TRIM(SUBSTITUTE(SUBSTITUTE(SUBSTITUTE(SUBSTITUTE(INDEX(PASTE_ALL,$DF918,$L$15)," "," "),CHAR(9)," "),CHAR(10)," "),CHAR(13)," "))))))&gt;0,TRIM(SUBSTITUTE(SUBSTITUTE(SUBSTITUTE(SUBSTITUTE(INDEX(PASTE_ALL,$DF918,$L$15)," "," "),CHAR(9)," "),CHAR(10)," "),CHAR(13)," ")),"")),"")))</f>
        <v/>
      </c>
      <c r="DX918">
        <f>IF($DM918=0,"",IF($L$16=0,"",IFERROR(IF(ISNUMBER(INDEX(PASTE_ALL,$DF918,$L$16)),INDEX(PASTE_ALL,$DF918,$L$16),SUBSTITUTE(SUBSTITUTE(TRIM(SUBSTITUTE(SUBSTITUTE(SUBSTITUTE(SUBSTITUTE(INDEX(PASTE_ALL,$DF918,$L$16)," "," "),CHAR(9)," "),CHAR(10)," "),CHAR(13)," ")),",",""),"%","")),"")))</f>
        <v/>
      </c>
      <c r="DY918">
        <f>IF($DM918=0,"",IFERROR(IF(ISNUMBER($DX918),$DX918,IF($DX918="","",IF(TRIM($DX918)="",0,IF(AND(AND(SUBSTITUTE(SUBSTITUTE(SUBSTITUTE(SUBSTITUTE(SUBSTITUTE(SUBSTITUTE(SUBSTITUTE(SUBSTITUTE(SUBSTITUTE(SUBSTITUTE(SUBSTITUTE(SUBSTITUTE(SUBSTITUTE(SUBSTITUTE(UPPER(TRIM($DX918)),"0",""),"1",""),"2",""),"3",""),"4",""),"5",""),"6",""),"7",""),"8",""),"9",""),".",""),"+",""),"-",""),"E","")="",LEN(SUBSTITUTE(SUBSTITUTE(MID(UPPER(TRIM($DX918)),1+OR(LEFT(UPPER(TRIM($DX918)),1)="+",LEFT(UPPER(TRIM($DX918)),1)="-"),999),"E+","E"),"E-","E"))=LEN(SUBSTITUTE(SUBSTITUTE(SUBSTITUTE(SUBSTITUTE(MID(UPPER(TRIM($DX918)),1+OR(LEFT(UPPER(TRIM($DX918)),1)="+",LEFT(UPPER(TRIM($DX918)),1)="-"),999),"E+","E"),"E-","E"),"+",""),"-","")),LEN(UPPER(TRIM($DX918)))-LEN(SUBSTITUTE(UPPER(TRIM($DX918)),"E",""))&lt;2,LEN(UPPER(TRIM($DX918)))-LEN(SUBSTITUTE(UPPER(TRIM($DX918)),".",""))&lt;2,IFERROR(FIND(".",UPPER(TRIM($DX918))),0)&lt;IFERROR(FIND("E",UPPER(TRIM($DX918))),999)),ISNUMBER(VALUE(TRIM($DX918)))),VALUE(TRIM($DX918)),"")))),""))</f>
        <v/>
      </c>
      <c r="DZ918">
        <f>IF($DM918=0,"",IF($L$17=0,"",IFERROR(IF(ISNUMBER(INDEX(PASTE_ALL,$DF918,$L$17)),INDEX(PASTE_ALL,$DF918,$L$17),SUBSTITUTE(SUBSTITUTE(TRIM(SUBSTITUTE(SUBSTITUTE(SUBSTITUTE(SUBSTITUTE(INDEX(PASTE_ALL,$DF918,$L$17)," "," "),CHAR(9)," "),CHAR(10)," "),CHAR(13)," ")),",",""),"%","")),"")))</f>
        <v/>
      </c>
      <c r="EA918">
        <f>IF($DM918=0,"",IFERROR(IF(ISNUMBER($DZ918),$DZ918,IF($DZ918="","",IF(TRIM($DZ918)="",0,IF(AND(AND(SUBSTITUTE(SUBSTITUTE(SUBSTITUTE(SUBSTITUTE(SUBSTITUTE(SUBSTITUTE(SUBSTITUTE(SUBSTITUTE(SUBSTITUTE(SUBSTITUTE(SUBSTITUTE(SUBSTITUTE(SUBSTITUTE(SUBSTITUTE(UPPER(TRIM($DZ918)),"0",""),"1",""),"2",""),"3",""),"4",""),"5",""),"6",""),"7",""),"8",""),"9",""),".",""),"+",""),"-",""),"E","")="",LEN(SUBSTITUTE(SUBSTITUTE(MID(UPPER(TRIM($DZ918)),1+OR(LEFT(UPPER(TRIM($DZ918)),1)="+",LEFT(UPPER(TRIM($DZ918)),1)="-"),999),"E+","E"),"E-","E"))=LEN(SUBSTITUTE(SUBSTITUTE(SUBSTITUTE(SUBSTITUTE(MID(UPPER(TRIM($DZ918)),1+OR(LEFT(UPPER(TRIM($DZ918)),1)="+",LEFT(UPPER(TRIM($DZ918)),1)="-"),999),"E+","E"),"E-","E"),"+",""),"-","")),LEN(UPPER(TRIM($DZ918)))-LEN(SUBSTITUTE(UPPER(TRIM($DZ918)),"E",""))&lt;2,LEN(UPPER(TRIM($DZ918)))-LEN(SUBSTITUTE(UPPER(TRIM($DZ918)),".",""))&lt;2,IFERROR(FIND(".",UPPER(TRIM($DZ918))),0)&lt;IFERROR(FIND("E",UPPER(TRIM($DZ918))),999)),ISNUMBER(VALUE(TRIM($DZ918)))),VALUE(TRIM($DZ918)),"")))),""))</f>
        <v/>
      </c>
      <c r="EB918">
        <f>IF($DM918=0,"",IF($L$18=0,"",IFERROR(IF(UPPER(TRIM(SUBSTITUTE(SUBSTITUTE(SUBSTITUTE(SUBSTITUTE(INDEX(PASTE_ALL,$DF918,$L$18)," "," "),CHAR(9)," "),CHAR(10)," "),CHAR(13)," ")))="READY","Ready",IF(UPPER(TRIM(SUBSTITUTE(SUBSTITUTE(SUBSTITUTE(SUBSTITUTE(INDEX(PASTE_ALL,$DF918,$L$18)," "," "),CHAR(9)," "),CHAR(10)," "),CHAR(13)," ")))="PM","PM",IF(OR(UPPER(TRIM(SUBSTITUTE(SUBSTITUTE(SUBSTITUTE(SUBSTITUTE(INDEX(PASTE_ALL,$DF918,$L$18)," "," "),CHAR(9)," "),CHAR(10)," "),CHAR(13)," ")))="OT",UPPER(TRIM(SUBSTITUTE(SUBSTITUTE(SUBSTITUTE(SUBSTITUTE(INDEX(PASTE_ALL,$DF918,$L$18)," "," "),CHAR(9)," "),CHAR(10)," "),CHAR(13)," ")))="OVERTIME",UPPER(TRIM(SUBSTITUTE(SUBSTITUTE(SUBSTITUTE(SUBSTITUTE(INDEX(PASTE_ALL,$DF918,$L$18)," "," "),CHAR(9)," "),CHAR(10)," "),CHAR(13)," ")))="TRIAL"),"OT",TRIM(SUBSTITUTE(SUBSTITUTE(SUBSTITUTE(SUBSTITUTE(INDEX(PASTE_ALL,$DF918,$L$18)," "," "),CHAR(9)," "),CHAR(10)," "),CHAR(13)," "))))),"")))</f>
        <v/>
      </c>
      <c r="EC918">
        <f>IF($DM918=0,"",IF($L$19=0,"",IFERROR(IF(ISNUMBER(INDEX(PASTE_ALL,$DF918,$L$19)),INDEX(PASTE_ALL,$DF918,$L$19),TRIM(SUBSTITUTE(SUBSTITUTE(SUBSTITUTE(SUBSTITUTE(INDEX(PASTE_ALL,$DF918,$L$19)," "," "),CHAR(9)," "),CHAR(10)," "),CHAR(13)," "))),"")))</f>
        <v/>
      </c>
      <c r="ED918">
        <f>IF($DM918=0,"",MATCH(1,INDEX(EXACT($DH$5:DH918,$DH918)*$DM$5:DM918,0),0))</f>
        <v/>
      </c>
      <c r="EE918">
        <f>IF($DM918=0,0,IF($ED918=$DE918,1,0))</f>
        <v/>
      </c>
      <c r="EF918">
        <f>EF917+$EE918</f>
        <v/>
      </c>
      <c r="EG918">
        <f>IF($DM918=0,"",INDEX($EF$5:$EF$1003,$ED918))</f>
        <v/>
      </c>
      <c r="EH918">
        <f>IF($DM918=0,"",IF($DO918&lt;&gt;"","",IFERROR(LOOKUP(2,1/(($EG$4:EG917=$EG918)*($DO$4:DO917&lt;&gt;"")),$DO$4:DO917),"")))</f>
        <v/>
      </c>
      <c r="EI918">
        <f>IF($DM918=0,"",IF($DO918&lt;&gt;"",$DO918,$EH918))</f>
        <v/>
      </c>
      <c r="EJ918">
        <f>IF($DM918=0,"",IF($EI918="",0,IF(OR(ISNUMBER($EI918),AND(AND(SUBSTITUTE(SUBSTITUTE(SUBSTITUTE(SUBSTITUTE(SUBSTITUTE(SUBSTITUTE(SUBSTITUTE(SUBSTITUTE(SUBSTITUTE(SUBSTITUTE(SUBSTITUTE(SUBSTITUTE(SUBSTITUTE(SUBSTITUTE(UPPER($EI918),"0",""),"1",""),"2",""),"3",""),"4",""),"5",""),"6",""),"7",""),"8",""),"9",""),".",""),"+",""),"-",""),"E","")="",LEN(SUBSTITUTE(SUBSTITUTE(MID(UPPER($EI918),1+OR(LEFT(UPPER($EI918),1)="+",LEFT(UPPER($EI918),1)="-"),999),"E+","E"),"E-","E"))=LEN(SUBSTITUTE(SUBSTITUTE(SUBSTITUTE(SUBSTITUTE(MID(UPPER($EI918),1+OR(LEFT(UPPER($EI918),1)="+",LEFT(UPPER($EI918),1)="-"),999),"E+","E"),"E-","E"),"+",""),"-","")),LEN(UPPER($EI918))-LEN(SUBSTITUTE(UPPER($EI918),"E",""))&lt;2,LEN(UPPER($EI918))-LEN(SUBSTITUTE(UPPER($EI918),".",""))&lt;2,IFERROR(FIND(".",UPPER($EI918)),0)&lt;IFERROR(FIND("E",UPPER($EI918)),999)),ISNUMBER(VALUE($EI918)))),1,2)))</f>
        <v/>
      </c>
      <c r="EK918">
        <f>IF($DM918=0,"",IF($EJ918=1,IF(ISNUMBER($EI918),$EI918,VALUE($EI918)),IF($EJ918=2,$DE918,0)))</f>
        <v/>
      </c>
      <c r="EL918">
        <f>IF($DM918=0,"",COUNTIF($EG$5:$EG$1003,"&lt;"&amp;$EG918)+SUMPRODUCT(($EG$5:$EG$1003=$EG918)*(($EJ$5:$EJ$1003&lt;$EJ918)+($EJ$5:$EJ$1003=$EJ918)*(($EK$5:$EK$1003&lt;$EK918)+($EK$5:$EK$1003=$EK918)*($DE$5:$DE$1003&lt;$DE918))))+1)</f>
        <v/>
      </c>
      <c r="EM918">
        <f>IF($DM918=0,"",$EL918+$EG918-1)</f>
        <v/>
      </c>
      <c r="EN918">
        <f>IF($DM918=0,0,IFERROR(MATCH(1,INDEX(--(TRIM(SUBSTITUTE(SUBSTITUTE(SUBSTITUTE(SUBSTITUTE(LINES_NAME&amp;""," "," "),CHAR(9)," "),CHAR(10)," "),CHAR(13)," "))=$DH918),0),0),0))</f>
        <v/>
      </c>
      <c r="EO918">
        <f>IF($EN918=0,0,IF(OR(UPPER(TRIM(INDEX(LINES_SCHEDULED,$EN918)&amp;""))="YES",UPPER(TRIM(INDEX(LINES_SCHEDULED,$EN918)&amp;""))="Y",UPPER(TRIM(INDEX(LINES_SCHEDULED,$EN918)&amp;""))="X"),1,0))</f>
        <v/>
      </c>
      <c r="EP918">
        <f>IF($DM918=0,"",IF(COUNTIFS($EG$5:$EG$1003,$EG918,$EB$5:$EB$1003,"Ready")&gt;0,"READY",IF(COUNTIFS($EG$5:$EG$1003,$EG918,$EB$5:$EB$1003,"PM")&gt;0,"PM",IF(COUNTIFS($EG$5:$EG$1003,$EG918,$EB$5:$EB$1003,"OT")&gt;0,"OT",""))))</f>
        <v/>
      </c>
      <c r="EQ918">
        <f>IF($EN918=0,"",UPPER(TRIM(INDEX(LINES_STATUS,$EN918)&amp;"")))</f>
        <v/>
      </c>
      <c r="ER918">
        <f>IF($DM918=0,"",IF(OR($EQ918="READY",$EQ918="PM",$EQ918="OT"),$EQ918,$EP918))</f>
        <v/>
      </c>
      <c r="ES918">
        <f>IF($DM918=0,"",IF(AND($DV918&lt;&gt;"",UPPER($DV918)&lt;&gt;"N"),"allergen",IF(ISNUMBER(SEARCH("oil",$DQ918)),"oil",IF(OR(EXACT($DS918,"A662"),EXACT($DS918,"A624")),"bulk",""))))</f>
        <v/>
      </c>
      <c r="ET918">
        <f>IF($DM918=0,"",IF(OR($EA918="",$EA918=0),"",$EA918/100))</f>
        <v/>
      </c>
      <c r="EU918">
        <f>IF(OR($ET918="",$DY918=""),"",INT($DY918*(1-$ET918)+0.5))</f>
        <v/>
      </c>
    </row>
    <row r="919">
      <c r="DA919" t="n">
        <v>915</v>
      </c>
      <c r="DB919">
        <f>IF($B$37=0,"",IFERROR(TRIM(SUBSTITUTE(SUBSTITUTE(SUBSTITUTE(SUBSTITUTE(INDEX(PASTE_ALL,915,$B$37)," "," "),CHAR(9)," "),CHAR(10)," "),CHAR(13)," ")),""))</f>
        <v/>
      </c>
      <c r="DC919">
        <f>IF(AND(915&gt;HEADER_ROW,UPPER(DB919)="LEGEND"),1,0)</f>
        <v/>
      </c>
      <c r="DE919" t="n">
        <v>915</v>
      </c>
      <c r="DF919">
        <f>HEADER_ROW+$DE919</f>
        <v/>
      </c>
      <c r="DG919">
        <f>IF(AND($DF919&lt;=1000,$DF919&lt;$B$8),1,0)</f>
        <v/>
      </c>
      <c r="DH919">
        <f>IF($DG919=1,IFERROR(INDEX($DB$5:$DB$1004,$DF919),""),"")</f>
        <v/>
      </c>
      <c r="DI919">
        <f>IF(AND($DG919=1,$DH919&lt;&gt;""),IFERROR(SUBSTITUTE(SUBSTITUTE(TRIM(SUBSTITUTE(SUBSTITUTE(SUBSTITUTE(SUBSTITUTE(IFERROR(INDEX(PASTE_ALL,$DF919,1)&amp;"","")&amp;"␟"&amp;IFERROR(INDEX(PASTE_ALL,$DF919,2)&amp;"","")&amp;"␟"&amp;IFERROR(INDEX(PASTE_ALL,$DF919,3)&amp;"","")&amp;"␟"&amp;IFERROR(INDEX(PASTE_ALL,$DF919,4)&amp;"","")&amp;"␟"&amp;IFERROR(INDEX(PASTE_ALL,$DF919,5)&amp;"","")&amp;"␟"&amp;IFERROR(INDEX(PASTE_ALL,$DF919,6)&amp;"","")&amp;"␟"&amp;IFERROR(INDEX(PASTE_ALL,$DF919,7)&amp;"","")&amp;"␟"&amp;IFERROR(INDEX(PASTE_ALL,$DF919,8)&amp;"","")&amp;"␟"&amp;IFERROR(INDEX(PASTE_ALL,$DF919,9)&amp;"","")&amp;"␟"&amp;IFERROR(INDEX(PASTE_ALL,$DF919,10)&amp;"","")&amp;"␟"&amp;IFERROR(INDEX(PASTE_ALL,$DF919,11)&amp;"","")&amp;"␟"&amp;IFERROR(INDEX(PASTE_ALL,$DF919,12)&amp;"","")&amp;"␟"&amp;IFERROR(INDEX(PASTE_ALL,$DF919,13)&amp;"","")&amp;"␟"&amp;IFERROR(INDEX(PASTE_ALL,$DF919,14)&amp;"","")&amp;"␟"&amp;IFERROR(INDEX(PASTE_ALL,$DF919,15)&amp;"","")&amp;"␟"&amp;IFERROR(INDEX(PASTE_ALL,$DF919,16)&amp;"","")&amp;"␟"&amp;IFERROR(INDEX(PASTE_ALL,$DF919,17)&amp;"","")&amp;"␟"&amp;IFERROR(INDEX(PASTE_ALL,$DF919,18)&amp;"","")&amp;"␟"&amp;IFERROR(INDEX(PASTE_ALL,$DF919,19)&amp;"","")&amp;"␟"&amp;IFERROR(INDEX(PASTE_ALL,$DF919,20)&amp;"","")&amp;"␟"&amp;IFERROR(INDEX(PASTE_ALL,$DF919,21)&amp;"","")&amp;"␟"&amp;IFERROR(INDEX(PASTE_ALL,$DF919,22)&amp;"","")&amp;"␟"&amp;IFERROR(INDEX(PASTE_ALL,$DF919,23)&amp;"","")&amp;"␟"&amp;IFERROR(INDEX(PASTE_ALL,$DF919,24)&amp;"","")&amp;"␟"&amp;IFERROR(INDEX(PASTE_ALL,$DF919,25)&amp;"","")&amp;"␟"&amp;IFERROR(INDEX(PASTE_ALL,$DF919,26)&amp;"","")&amp;"␟"&amp;IFERROR(INDEX(PASTE_ALL,$DF919,27)&amp;"","")&amp;"␟"&amp;IFERROR(INDEX(PASTE_ALL,$DF919,28)&amp;"","")&amp;"␟"&amp;IFERROR(INDEX(PASTE_ALL,$DF919,29)&amp;"","")&amp;"␟"&amp;IFERROR(INDEX(PASTE_ALL,$DF919,30)&amp;"","")&amp;"␟"&amp;IFERROR(INDEX(PASTE_ALL,$DF919,31)&amp;"","")&amp;"␟"&amp;IFERROR(INDEX(PASTE_ALL,$DF919,32)&amp;"","")&amp;"␟"&amp;IFERROR(INDEX(PASTE_ALL,$DF919,33)&amp;"","")&amp;"␟"&amp;IFERROR(INDEX(PASTE_ALL,$DF919,34)&amp;"","")&amp;"␟"&amp;IFERROR(INDEX(PASTE_ALL,$DF919,35)&amp;"","")&amp;"␟"&amp;IFERROR(INDEX(PASTE_ALL,$DF919,36)&amp;"","")&amp;"␟"&amp;IFERROR(INDEX(PASTE_ALL,$DF919,37)&amp;"","")&amp;"␟"&amp;IFERROR(INDEX(PASTE_ALL,$DF919,38)&amp;"","")&amp;"␟"&amp;IFERROR(INDEX(PASTE_ALL,$DF919,39)&amp;"","")&amp;"␟"&amp;IFERROR(INDEX(PASTE_ALL,$DF919,40)&amp;"","")&amp;"␟"&amp;IFERROR(INDEX(PASTE_ALL,$DF919,41)&amp;"","")&amp;"␟"&amp;IFERROR(INDEX(PASTE_ALL,$DF919,42)&amp;"","")&amp;"␟"&amp;IFERROR(INDEX(PASTE_ALL,$DF919,43)&amp;"","")&amp;"␟"&amp;IFERROR(INDEX(PASTE_ALL,$DF919,44)&amp;"","")&amp;"␟"&amp;IFERROR(INDEX(PASTE_ALL,$DF919,45)&amp;"","")&amp;"␟"&amp;IFERROR(INDEX(PASTE_ALL,$DF919,46)&amp;"","")&amp;"␟"&amp;IFERROR(INDEX(PASTE_ALL,$DF919,47)&amp;"","")&amp;"␟"&amp;IFERROR(INDEX(PASTE_ALL,$DF919,48)&amp;"","")&amp;"␟"&amp;IFERROR(INDEX(PASTE_ALL,$DF919,49)&amp;"","")&amp;"␟"&amp;IFERROR(INDEX(PASTE_ALL,$DF919,50)&amp;"","")&amp;"␟"&amp;IFERROR(INDEX(PASTE_ALL,$DF919,51)&amp;"","")&amp;"␟"&amp;IFERROR(INDEX(PASTE_ALL,$DF919,52)&amp;"","")&amp;"␟"&amp;IFERROR(INDEX(PASTE_ALL,$DF919,53)&amp;"","")&amp;"␟"&amp;IFERROR(INDEX(PASTE_ALL,$DF919,54)&amp;"","")&amp;"␟"&amp;IFERROR(INDEX(PASTE_ALL,$DF919,55)&amp;"","")&amp;"␟"&amp;IFERROR(INDEX(PASTE_ALL,$DF919,56)&amp;"","")&amp;"␟"&amp;IFERROR(INDEX(PASTE_ALL,$DF919,57)&amp;"","")&amp;"␟"&amp;IFERROR(INDEX(PASTE_ALL,$DF919,58)&amp;"","")&amp;"␟"&amp;IFERROR(INDEX(PASTE_ALL,$DF919,59)&amp;"","")&amp;"␟"&amp;IFERROR(INDEX(PASTE_ALL,$DF919,60)&amp;"","")," "," "),CHAR(9)," "),CHAR(10)," "),CHAR(13)," "))," ␟","␟"),"␟ ","␟"),"#"&amp;$DE919),"")</f>
        <v/>
      </c>
      <c r="DJ919">
        <f>IF($DI919="",0,IF(SUMPRODUCT(--EXACT($DI$4:DI918,$DI919))&gt;0,1,0))</f>
        <v/>
      </c>
      <c r="DK919">
        <f>IF(AND($DI919&lt;&gt;"",$DJ919=0),1,0)</f>
        <v/>
      </c>
      <c r="DL919">
        <f>DL918+$DK919</f>
        <v/>
      </c>
      <c r="DM919">
        <f>IF(AND($DK919=1,$DL919&lt;=600),1,0)</f>
        <v/>
      </c>
      <c r="DN919">
        <f>IF($DM919=0,"",IF($L$6=0,"",IFERROR(IF(ISNUMBER(INDEX(PASTE_ALL,$DF919,$L$6)),INDEX(PASTE_ALL,$DF919,$L$6),TRIM(SUBSTITUTE(SUBSTITUTE(SUBSTITUTE(SUBSTITUTE(INDEX(PASTE_ALL,$DF919,$L$6)," "," "),CHAR(9)," "),CHAR(10)," "),CHAR(13)," "))),"")))</f>
        <v/>
      </c>
      <c r="DO919">
        <f>IF($DM919=0,"",IF($L$7=0,"",IFERROR(IF(ISNUMBER(INDEX(PASTE_ALL,$DF919,$L$7)),INDEX(PASTE_ALL,$DF919,$L$7),TRIM(SUBSTITUTE(SUBSTITUTE(SUBSTITUTE(SUBSTITUTE(INDEX(PASTE_ALL,$DF919,$L$7)," "," "),CHAR(9)," "),CHAR(10)," "),CHAR(13)," "))),"")))</f>
        <v/>
      </c>
      <c r="DP919">
        <f>IF($DM919=0,"",IF($L$8=0,"",IFERROR(IF(ISNUMBER(INDEX(PASTE_ALL,$DF919,$L$8)),INDEX(PASTE_ALL,$DF919,$L$8),TRIM(SUBSTITUTE(SUBSTITUTE(SUBSTITUTE(SUBSTITUTE(INDEX(PASTE_ALL,$DF919,$L$8)," "," "),CHAR(9)," "),CHAR(10)," "),CHAR(13)," "))),"")))</f>
        <v/>
      </c>
      <c r="DQ919">
        <f>IF($DM919=0,"",IF($L$9=0,"",IFERROR(IF(ISNUMBER(INDEX(PASTE_ALL,$DF919,$L$9)),INDEX(PASTE_ALL,$DF919,$L$9),TRIM(SUBSTITUTE(SUBSTITUTE(SUBSTITUTE(SUBSTITUTE(INDEX(PASTE_ALL,$DF919,$L$9)," "," "),CHAR(9)," "),CHAR(10)," "),CHAR(13)," "))),"")))</f>
        <v/>
      </c>
      <c r="DR919">
        <f>IF($DM919=0,"",IF($L$10=0,"",IFERROR(IF(ISNUMBER(INDEX(PASTE_ALL,$DF919,$L$10)),INDEX(PASTE_ALL,$DF919,$L$10),TRIM(SUBSTITUTE(SUBSTITUTE(SUBSTITUTE(SUBSTITUTE(INDEX(PASTE_ALL,$DF919,$L$10)," "," "),CHAR(9)," "),CHAR(10)," "),CHAR(13)," "))),"")))</f>
        <v/>
      </c>
      <c r="DS919">
        <f>IF($DM919=0,"",IF($L$11=0,"",IFERROR(IF(ISNUMBER(INDEX(PASTE_ALL,$DF919,$L$11)),INDEX(PASTE_ALL,$DF919,$L$11),TRIM(SUBSTITUTE(SUBSTITUTE(SUBSTITUTE(SUBSTITUTE(INDEX(PASTE_ALL,$DF919,$L$11)," "," "),CHAR(9)," "),CHAR(10)," "),CHAR(13)," "))),"")))</f>
        <v/>
      </c>
      <c r="DT919">
        <f>IF($DM919=0,"",IF($L$12=0,"",IFERROR(IF(ISNUMBER(INDEX(PASTE_ALL,$DF919,$L$12)),INDEX(PASTE_ALL,$DF919,$L$12),TRIM(SUBSTITUTE(SUBSTITUTE(SUBSTITUTE(SUBSTITUTE(INDEX(PASTE_ALL,$DF919,$L$12)," "," "),CHAR(9)," "),CHAR(10)," "),CHAR(13)," "))),"")))</f>
        <v/>
      </c>
      <c r="DU919">
        <f>IF($DM919=0,"",IF($L$13=0,"",IFERROR(IF(ISNUMBER(INDEX(PASTE_ALL,$DF919,$L$13)),INDEX(PASTE_ALL,$DF919,$L$13),TRIM(SUBSTITUTE(SUBSTITUTE(SUBSTITUTE(SUBSTITUTE(INDEX(PASTE_ALL,$DF919,$L$13)," "," "),CHAR(9)," "),CHAR(10)," "),CHAR(13)," "))),"")))</f>
        <v/>
      </c>
      <c r="DV919">
        <f>IF($DM919=0,"",IF($L$14=0,"",IFERROR(IF(ISNUMBER(INDEX(PASTE_ALL,$DF919,$L$14)),INDEX(PASTE_ALL,$DF919,$L$14),TRIM(SUBSTITUTE(SUBSTITUTE(SUBSTITUTE(SUBSTITUTE(INDEX(PASTE_ALL,$DF919,$L$14)," "," "),CHAR(9)," "),CHAR(10)," "),CHAR(13)," "))),"")))</f>
        <v/>
      </c>
      <c r="DW919">
        <f>IF($DM919=0,"",IF($L$15=0,"",IFERROR(IF(ISNUMBER(INDEX(PASTE_ALL,$DF919,$L$15)),INDEX(PASTE_ALL,$DF919,$L$15),IF(SUMPRODUCT(--ISNUMBER(FIND({"A","B","C","D","E","F","G","H","I","J","K","L","M","N","O","P","Q","R","S","T","U","V","W","X","Y","Z","0","1","2","3","4","5","6","7","8","9"},UPPER(TRIM(SUBSTITUTE(SUBSTITUTE(SUBSTITUTE(SUBSTITUTE(INDEX(PASTE_ALL,$DF919,$L$15)," "," "),CHAR(9)," "),CHAR(10)," "),CHAR(13)," "))))))&gt;0,TRIM(SUBSTITUTE(SUBSTITUTE(SUBSTITUTE(SUBSTITUTE(INDEX(PASTE_ALL,$DF919,$L$15)," "," "),CHAR(9)," "),CHAR(10)," "),CHAR(13)," ")),"")),"")))</f>
        <v/>
      </c>
      <c r="DX919">
        <f>IF($DM919=0,"",IF($L$16=0,"",IFERROR(IF(ISNUMBER(INDEX(PASTE_ALL,$DF919,$L$16)),INDEX(PASTE_ALL,$DF919,$L$16),SUBSTITUTE(SUBSTITUTE(TRIM(SUBSTITUTE(SUBSTITUTE(SUBSTITUTE(SUBSTITUTE(INDEX(PASTE_ALL,$DF919,$L$16)," "," "),CHAR(9)," "),CHAR(10)," "),CHAR(13)," ")),",",""),"%","")),"")))</f>
        <v/>
      </c>
      <c r="DY919">
        <f>IF($DM919=0,"",IFERROR(IF(ISNUMBER($DX919),$DX919,IF($DX919="","",IF(TRIM($DX919)="",0,IF(AND(AND(SUBSTITUTE(SUBSTITUTE(SUBSTITUTE(SUBSTITUTE(SUBSTITUTE(SUBSTITUTE(SUBSTITUTE(SUBSTITUTE(SUBSTITUTE(SUBSTITUTE(SUBSTITUTE(SUBSTITUTE(SUBSTITUTE(SUBSTITUTE(UPPER(TRIM($DX919)),"0",""),"1",""),"2",""),"3",""),"4",""),"5",""),"6",""),"7",""),"8",""),"9",""),".",""),"+",""),"-",""),"E","")="",LEN(SUBSTITUTE(SUBSTITUTE(MID(UPPER(TRIM($DX919)),1+OR(LEFT(UPPER(TRIM($DX919)),1)="+",LEFT(UPPER(TRIM($DX919)),1)="-"),999),"E+","E"),"E-","E"))=LEN(SUBSTITUTE(SUBSTITUTE(SUBSTITUTE(SUBSTITUTE(MID(UPPER(TRIM($DX919)),1+OR(LEFT(UPPER(TRIM($DX919)),1)="+",LEFT(UPPER(TRIM($DX919)),1)="-"),999),"E+","E"),"E-","E"),"+",""),"-","")),LEN(UPPER(TRIM($DX919)))-LEN(SUBSTITUTE(UPPER(TRIM($DX919)),"E",""))&lt;2,LEN(UPPER(TRIM($DX919)))-LEN(SUBSTITUTE(UPPER(TRIM($DX919)),".",""))&lt;2,IFERROR(FIND(".",UPPER(TRIM($DX919))),0)&lt;IFERROR(FIND("E",UPPER(TRIM($DX919))),999)),ISNUMBER(VALUE(TRIM($DX919)))),VALUE(TRIM($DX919)),"")))),""))</f>
        <v/>
      </c>
      <c r="DZ919">
        <f>IF($DM919=0,"",IF($L$17=0,"",IFERROR(IF(ISNUMBER(INDEX(PASTE_ALL,$DF919,$L$17)),INDEX(PASTE_ALL,$DF919,$L$17),SUBSTITUTE(SUBSTITUTE(TRIM(SUBSTITUTE(SUBSTITUTE(SUBSTITUTE(SUBSTITUTE(INDEX(PASTE_ALL,$DF919,$L$17)," "," "),CHAR(9)," "),CHAR(10)," "),CHAR(13)," ")),",",""),"%","")),"")))</f>
        <v/>
      </c>
      <c r="EA919">
        <f>IF($DM919=0,"",IFERROR(IF(ISNUMBER($DZ919),$DZ919,IF($DZ919="","",IF(TRIM($DZ919)="",0,IF(AND(AND(SUBSTITUTE(SUBSTITUTE(SUBSTITUTE(SUBSTITUTE(SUBSTITUTE(SUBSTITUTE(SUBSTITUTE(SUBSTITUTE(SUBSTITUTE(SUBSTITUTE(SUBSTITUTE(SUBSTITUTE(SUBSTITUTE(SUBSTITUTE(UPPER(TRIM($DZ919)),"0",""),"1",""),"2",""),"3",""),"4",""),"5",""),"6",""),"7",""),"8",""),"9",""),".",""),"+",""),"-",""),"E","")="",LEN(SUBSTITUTE(SUBSTITUTE(MID(UPPER(TRIM($DZ919)),1+OR(LEFT(UPPER(TRIM($DZ919)),1)="+",LEFT(UPPER(TRIM($DZ919)),1)="-"),999),"E+","E"),"E-","E"))=LEN(SUBSTITUTE(SUBSTITUTE(SUBSTITUTE(SUBSTITUTE(MID(UPPER(TRIM($DZ919)),1+OR(LEFT(UPPER(TRIM($DZ919)),1)="+",LEFT(UPPER(TRIM($DZ919)),1)="-"),999),"E+","E"),"E-","E"),"+",""),"-","")),LEN(UPPER(TRIM($DZ919)))-LEN(SUBSTITUTE(UPPER(TRIM($DZ919)),"E",""))&lt;2,LEN(UPPER(TRIM($DZ919)))-LEN(SUBSTITUTE(UPPER(TRIM($DZ919)),".",""))&lt;2,IFERROR(FIND(".",UPPER(TRIM($DZ919))),0)&lt;IFERROR(FIND("E",UPPER(TRIM($DZ919))),999)),ISNUMBER(VALUE(TRIM($DZ919)))),VALUE(TRIM($DZ919)),"")))),""))</f>
        <v/>
      </c>
      <c r="EB919">
        <f>IF($DM919=0,"",IF($L$18=0,"",IFERROR(IF(UPPER(TRIM(SUBSTITUTE(SUBSTITUTE(SUBSTITUTE(SUBSTITUTE(INDEX(PASTE_ALL,$DF919,$L$18)," "," "),CHAR(9)," "),CHAR(10)," "),CHAR(13)," ")))="READY","Ready",IF(UPPER(TRIM(SUBSTITUTE(SUBSTITUTE(SUBSTITUTE(SUBSTITUTE(INDEX(PASTE_ALL,$DF919,$L$18)," "," "),CHAR(9)," "),CHAR(10)," "),CHAR(13)," ")))="PM","PM",IF(OR(UPPER(TRIM(SUBSTITUTE(SUBSTITUTE(SUBSTITUTE(SUBSTITUTE(INDEX(PASTE_ALL,$DF919,$L$18)," "," "),CHAR(9)," "),CHAR(10)," "),CHAR(13)," ")))="OT",UPPER(TRIM(SUBSTITUTE(SUBSTITUTE(SUBSTITUTE(SUBSTITUTE(INDEX(PASTE_ALL,$DF919,$L$18)," "," "),CHAR(9)," "),CHAR(10)," "),CHAR(13)," ")))="OVERTIME",UPPER(TRIM(SUBSTITUTE(SUBSTITUTE(SUBSTITUTE(SUBSTITUTE(INDEX(PASTE_ALL,$DF919,$L$18)," "," "),CHAR(9)," "),CHAR(10)," "),CHAR(13)," ")))="TRIAL"),"OT",TRIM(SUBSTITUTE(SUBSTITUTE(SUBSTITUTE(SUBSTITUTE(INDEX(PASTE_ALL,$DF919,$L$18)," "," "),CHAR(9)," "),CHAR(10)," "),CHAR(13)," "))))),"")))</f>
        <v/>
      </c>
      <c r="EC919">
        <f>IF($DM919=0,"",IF($L$19=0,"",IFERROR(IF(ISNUMBER(INDEX(PASTE_ALL,$DF919,$L$19)),INDEX(PASTE_ALL,$DF919,$L$19),TRIM(SUBSTITUTE(SUBSTITUTE(SUBSTITUTE(SUBSTITUTE(INDEX(PASTE_ALL,$DF919,$L$19)," "," "),CHAR(9)," "),CHAR(10)," "),CHAR(13)," "))),"")))</f>
        <v/>
      </c>
      <c r="ED919">
        <f>IF($DM919=0,"",MATCH(1,INDEX(EXACT($DH$5:DH919,$DH919)*$DM$5:DM919,0),0))</f>
        <v/>
      </c>
      <c r="EE919">
        <f>IF($DM919=0,0,IF($ED919=$DE919,1,0))</f>
        <v/>
      </c>
      <c r="EF919">
        <f>EF918+$EE919</f>
        <v/>
      </c>
      <c r="EG919">
        <f>IF($DM919=0,"",INDEX($EF$5:$EF$1003,$ED919))</f>
        <v/>
      </c>
      <c r="EH919">
        <f>IF($DM919=0,"",IF($DO919&lt;&gt;"","",IFERROR(LOOKUP(2,1/(($EG$4:EG918=$EG919)*($DO$4:DO918&lt;&gt;"")),$DO$4:DO918),"")))</f>
        <v/>
      </c>
      <c r="EI919">
        <f>IF($DM919=0,"",IF($DO919&lt;&gt;"",$DO919,$EH919))</f>
        <v/>
      </c>
      <c r="EJ919">
        <f>IF($DM919=0,"",IF($EI919="",0,IF(OR(ISNUMBER($EI919),AND(AND(SUBSTITUTE(SUBSTITUTE(SUBSTITUTE(SUBSTITUTE(SUBSTITUTE(SUBSTITUTE(SUBSTITUTE(SUBSTITUTE(SUBSTITUTE(SUBSTITUTE(SUBSTITUTE(SUBSTITUTE(SUBSTITUTE(SUBSTITUTE(UPPER($EI919),"0",""),"1",""),"2",""),"3",""),"4",""),"5",""),"6",""),"7",""),"8",""),"9",""),".",""),"+",""),"-",""),"E","")="",LEN(SUBSTITUTE(SUBSTITUTE(MID(UPPER($EI919),1+OR(LEFT(UPPER($EI919),1)="+",LEFT(UPPER($EI919),1)="-"),999),"E+","E"),"E-","E"))=LEN(SUBSTITUTE(SUBSTITUTE(SUBSTITUTE(SUBSTITUTE(MID(UPPER($EI919),1+OR(LEFT(UPPER($EI919),1)="+",LEFT(UPPER($EI919),1)="-"),999),"E+","E"),"E-","E"),"+",""),"-","")),LEN(UPPER($EI919))-LEN(SUBSTITUTE(UPPER($EI919),"E",""))&lt;2,LEN(UPPER($EI919))-LEN(SUBSTITUTE(UPPER($EI919),".",""))&lt;2,IFERROR(FIND(".",UPPER($EI919)),0)&lt;IFERROR(FIND("E",UPPER($EI919)),999)),ISNUMBER(VALUE($EI919)))),1,2)))</f>
        <v/>
      </c>
      <c r="EK919">
        <f>IF($DM919=0,"",IF($EJ919=1,IF(ISNUMBER($EI919),$EI919,VALUE($EI919)),IF($EJ919=2,$DE919,0)))</f>
        <v/>
      </c>
      <c r="EL919">
        <f>IF($DM919=0,"",COUNTIF($EG$5:$EG$1003,"&lt;"&amp;$EG919)+SUMPRODUCT(($EG$5:$EG$1003=$EG919)*(($EJ$5:$EJ$1003&lt;$EJ919)+($EJ$5:$EJ$1003=$EJ919)*(($EK$5:$EK$1003&lt;$EK919)+($EK$5:$EK$1003=$EK919)*($DE$5:$DE$1003&lt;$DE919))))+1)</f>
        <v/>
      </c>
      <c r="EM919">
        <f>IF($DM919=0,"",$EL919+$EG919-1)</f>
        <v/>
      </c>
      <c r="EN919">
        <f>IF($DM919=0,0,IFERROR(MATCH(1,INDEX(--(TRIM(SUBSTITUTE(SUBSTITUTE(SUBSTITUTE(SUBSTITUTE(LINES_NAME&amp;""," "," "),CHAR(9)," "),CHAR(10)," "),CHAR(13)," "))=$DH919),0),0),0))</f>
        <v/>
      </c>
      <c r="EO919">
        <f>IF($EN919=0,0,IF(OR(UPPER(TRIM(INDEX(LINES_SCHEDULED,$EN919)&amp;""))="YES",UPPER(TRIM(INDEX(LINES_SCHEDULED,$EN919)&amp;""))="Y",UPPER(TRIM(INDEX(LINES_SCHEDULED,$EN919)&amp;""))="X"),1,0))</f>
        <v/>
      </c>
      <c r="EP919">
        <f>IF($DM919=0,"",IF(COUNTIFS($EG$5:$EG$1003,$EG919,$EB$5:$EB$1003,"Ready")&gt;0,"READY",IF(COUNTIFS($EG$5:$EG$1003,$EG919,$EB$5:$EB$1003,"PM")&gt;0,"PM",IF(COUNTIFS($EG$5:$EG$1003,$EG919,$EB$5:$EB$1003,"OT")&gt;0,"OT",""))))</f>
        <v/>
      </c>
      <c r="EQ919">
        <f>IF($EN919=0,"",UPPER(TRIM(INDEX(LINES_STATUS,$EN919)&amp;"")))</f>
        <v/>
      </c>
      <c r="ER919">
        <f>IF($DM919=0,"",IF(OR($EQ919="READY",$EQ919="PM",$EQ919="OT"),$EQ919,$EP919))</f>
        <v/>
      </c>
      <c r="ES919">
        <f>IF($DM919=0,"",IF(AND($DV919&lt;&gt;"",UPPER($DV919)&lt;&gt;"N"),"allergen",IF(ISNUMBER(SEARCH("oil",$DQ919)),"oil",IF(OR(EXACT($DS919,"A662"),EXACT($DS919,"A624")),"bulk",""))))</f>
        <v/>
      </c>
      <c r="ET919">
        <f>IF($DM919=0,"",IF(OR($EA919="",$EA919=0),"",$EA919/100))</f>
        <v/>
      </c>
      <c r="EU919">
        <f>IF(OR($ET919="",$DY919=""),"",INT($DY919*(1-$ET919)+0.5))</f>
        <v/>
      </c>
    </row>
    <row r="920">
      <c r="DA920" t="n">
        <v>916</v>
      </c>
      <c r="DB920">
        <f>IF($B$37=0,"",IFERROR(TRIM(SUBSTITUTE(SUBSTITUTE(SUBSTITUTE(SUBSTITUTE(INDEX(PASTE_ALL,916,$B$37)," "," "),CHAR(9)," "),CHAR(10)," "),CHAR(13)," ")),""))</f>
        <v/>
      </c>
      <c r="DC920">
        <f>IF(AND(916&gt;HEADER_ROW,UPPER(DB920)="LEGEND"),1,0)</f>
        <v/>
      </c>
      <c r="DE920" t="n">
        <v>916</v>
      </c>
      <c r="DF920">
        <f>HEADER_ROW+$DE920</f>
        <v/>
      </c>
      <c r="DG920">
        <f>IF(AND($DF920&lt;=1000,$DF920&lt;$B$8),1,0)</f>
        <v/>
      </c>
      <c r="DH920">
        <f>IF($DG920=1,IFERROR(INDEX($DB$5:$DB$1004,$DF920),""),"")</f>
        <v/>
      </c>
      <c r="DI920">
        <f>IF(AND($DG920=1,$DH920&lt;&gt;""),IFERROR(SUBSTITUTE(SUBSTITUTE(TRIM(SUBSTITUTE(SUBSTITUTE(SUBSTITUTE(SUBSTITUTE(IFERROR(INDEX(PASTE_ALL,$DF920,1)&amp;"","")&amp;"␟"&amp;IFERROR(INDEX(PASTE_ALL,$DF920,2)&amp;"","")&amp;"␟"&amp;IFERROR(INDEX(PASTE_ALL,$DF920,3)&amp;"","")&amp;"␟"&amp;IFERROR(INDEX(PASTE_ALL,$DF920,4)&amp;"","")&amp;"␟"&amp;IFERROR(INDEX(PASTE_ALL,$DF920,5)&amp;"","")&amp;"␟"&amp;IFERROR(INDEX(PASTE_ALL,$DF920,6)&amp;"","")&amp;"␟"&amp;IFERROR(INDEX(PASTE_ALL,$DF920,7)&amp;"","")&amp;"␟"&amp;IFERROR(INDEX(PASTE_ALL,$DF920,8)&amp;"","")&amp;"␟"&amp;IFERROR(INDEX(PASTE_ALL,$DF920,9)&amp;"","")&amp;"␟"&amp;IFERROR(INDEX(PASTE_ALL,$DF920,10)&amp;"","")&amp;"␟"&amp;IFERROR(INDEX(PASTE_ALL,$DF920,11)&amp;"","")&amp;"␟"&amp;IFERROR(INDEX(PASTE_ALL,$DF920,12)&amp;"","")&amp;"␟"&amp;IFERROR(INDEX(PASTE_ALL,$DF920,13)&amp;"","")&amp;"␟"&amp;IFERROR(INDEX(PASTE_ALL,$DF920,14)&amp;"","")&amp;"␟"&amp;IFERROR(INDEX(PASTE_ALL,$DF920,15)&amp;"","")&amp;"␟"&amp;IFERROR(INDEX(PASTE_ALL,$DF920,16)&amp;"","")&amp;"␟"&amp;IFERROR(INDEX(PASTE_ALL,$DF920,17)&amp;"","")&amp;"␟"&amp;IFERROR(INDEX(PASTE_ALL,$DF920,18)&amp;"","")&amp;"␟"&amp;IFERROR(INDEX(PASTE_ALL,$DF920,19)&amp;"","")&amp;"␟"&amp;IFERROR(INDEX(PASTE_ALL,$DF920,20)&amp;"","")&amp;"␟"&amp;IFERROR(INDEX(PASTE_ALL,$DF920,21)&amp;"","")&amp;"␟"&amp;IFERROR(INDEX(PASTE_ALL,$DF920,22)&amp;"","")&amp;"␟"&amp;IFERROR(INDEX(PASTE_ALL,$DF920,23)&amp;"","")&amp;"␟"&amp;IFERROR(INDEX(PASTE_ALL,$DF920,24)&amp;"","")&amp;"␟"&amp;IFERROR(INDEX(PASTE_ALL,$DF920,25)&amp;"","")&amp;"␟"&amp;IFERROR(INDEX(PASTE_ALL,$DF920,26)&amp;"","")&amp;"␟"&amp;IFERROR(INDEX(PASTE_ALL,$DF920,27)&amp;"","")&amp;"␟"&amp;IFERROR(INDEX(PASTE_ALL,$DF920,28)&amp;"","")&amp;"␟"&amp;IFERROR(INDEX(PASTE_ALL,$DF920,29)&amp;"","")&amp;"␟"&amp;IFERROR(INDEX(PASTE_ALL,$DF920,30)&amp;"","")&amp;"␟"&amp;IFERROR(INDEX(PASTE_ALL,$DF920,31)&amp;"","")&amp;"␟"&amp;IFERROR(INDEX(PASTE_ALL,$DF920,32)&amp;"","")&amp;"␟"&amp;IFERROR(INDEX(PASTE_ALL,$DF920,33)&amp;"","")&amp;"␟"&amp;IFERROR(INDEX(PASTE_ALL,$DF920,34)&amp;"","")&amp;"␟"&amp;IFERROR(INDEX(PASTE_ALL,$DF920,35)&amp;"","")&amp;"␟"&amp;IFERROR(INDEX(PASTE_ALL,$DF920,36)&amp;"","")&amp;"␟"&amp;IFERROR(INDEX(PASTE_ALL,$DF920,37)&amp;"","")&amp;"␟"&amp;IFERROR(INDEX(PASTE_ALL,$DF920,38)&amp;"","")&amp;"␟"&amp;IFERROR(INDEX(PASTE_ALL,$DF920,39)&amp;"","")&amp;"␟"&amp;IFERROR(INDEX(PASTE_ALL,$DF920,40)&amp;"","")&amp;"␟"&amp;IFERROR(INDEX(PASTE_ALL,$DF920,41)&amp;"","")&amp;"␟"&amp;IFERROR(INDEX(PASTE_ALL,$DF920,42)&amp;"","")&amp;"␟"&amp;IFERROR(INDEX(PASTE_ALL,$DF920,43)&amp;"","")&amp;"␟"&amp;IFERROR(INDEX(PASTE_ALL,$DF920,44)&amp;"","")&amp;"␟"&amp;IFERROR(INDEX(PASTE_ALL,$DF920,45)&amp;"","")&amp;"␟"&amp;IFERROR(INDEX(PASTE_ALL,$DF920,46)&amp;"","")&amp;"␟"&amp;IFERROR(INDEX(PASTE_ALL,$DF920,47)&amp;"","")&amp;"␟"&amp;IFERROR(INDEX(PASTE_ALL,$DF920,48)&amp;"","")&amp;"␟"&amp;IFERROR(INDEX(PASTE_ALL,$DF920,49)&amp;"","")&amp;"␟"&amp;IFERROR(INDEX(PASTE_ALL,$DF920,50)&amp;"","")&amp;"␟"&amp;IFERROR(INDEX(PASTE_ALL,$DF920,51)&amp;"","")&amp;"␟"&amp;IFERROR(INDEX(PASTE_ALL,$DF920,52)&amp;"","")&amp;"␟"&amp;IFERROR(INDEX(PASTE_ALL,$DF920,53)&amp;"","")&amp;"␟"&amp;IFERROR(INDEX(PASTE_ALL,$DF920,54)&amp;"","")&amp;"␟"&amp;IFERROR(INDEX(PASTE_ALL,$DF920,55)&amp;"","")&amp;"␟"&amp;IFERROR(INDEX(PASTE_ALL,$DF920,56)&amp;"","")&amp;"␟"&amp;IFERROR(INDEX(PASTE_ALL,$DF920,57)&amp;"","")&amp;"␟"&amp;IFERROR(INDEX(PASTE_ALL,$DF920,58)&amp;"","")&amp;"␟"&amp;IFERROR(INDEX(PASTE_ALL,$DF920,59)&amp;"","")&amp;"␟"&amp;IFERROR(INDEX(PASTE_ALL,$DF920,60)&amp;"","")," "," "),CHAR(9)," "),CHAR(10)," "),CHAR(13)," "))," ␟","␟"),"␟ ","␟"),"#"&amp;$DE920),"")</f>
        <v/>
      </c>
      <c r="DJ920">
        <f>IF($DI920="",0,IF(SUMPRODUCT(--EXACT($DI$4:DI919,$DI920))&gt;0,1,0))</f>
        <v/>
      </c>
      <c r="DK920">
        <f>IF(AND($DI920&lt;&gt;"",$DJ920=0),1,0)</f>
        <v/>
      </c>
      <c r="DL920">
        <f>DL919+$DK920</f>
        <v/>
      </c>
      <c r="DM920">
        <f>IF(AND($DK920=1,$DL920&lt;=600),1,0)</f>
        <v/>
      </c>
      <c r="DN920">
        <f>IF($DM920=0,"",IF($L$6=0,"",IFERROR(IF(ISNUMBER(INDEX(PASTE_ALL,$DF920,$L$6)),INDEX(PASTE_ALL,$DF920,$L$6),TRIM(SUBSTITUTE(SUBSTITUTE(SUBSTITUTE(SUBSTITUTE(INDEX(PASTE_ALL,$DF920,$L$6)," "," "),CHAR(9)," "),CHAR(10)," "),CHAR(13)," "))),"")))</f>
        <v/>
      </c>
      <c r="DO920">
        <f>IF($DM920=0,"",IF($L$7=0,"",IFERROR(IF(ISNUMBER(INDEX(PASTE_ALL,$DF920,$L$7)),INDEX(PASTE_ALL,$DF920,$L$7),TRIM(SUBSTITUTE(SUBSTITUTE(SUBSTITUTE(SUBSTITUTE(INDEX(PASTE_ALL,$DF920,$L$7)," "," "),CHAR(9)," "),CHAR(10)," "),CHAR(13)," "))),"")))</f>
        <v/>
      </c>
      <c r="DP920">
        <f>IF($DM920=0,"",IF($L$8=0,"",IFERROR(IF(ISNUMBER(INDEX(PASTE_ALL,$DF920,$L$8)),INDEX(PASTE_ALL,$DF920,$L$8),TRIM(SUBSTITUTE(SUBSTITUTE(SUBSTITUTE(SUBSTITUTE(INDEX(PASTE_ALL,$DF920,$L$8)," "," "),CHAR(9)," "),CHAR(10)," "),CHAR(13)," "))),"")))</f>
        <v/>
      </c>
      <c r="DQ920">
        <f>IF($DM920=0,"",IF($L$9=0,"",IFERROR(IF(ISNUMBER(INDEX(PASTE_ALL,$DF920,$L$9)),INDEX(PASTE_ALL,$DF920,$L$9),TRIM(SUBSTITUTE(SUBSTITUTE(SUBSTITUTE(SUBSTITUTE(INDEX(PASTE_ALL,$DF920,$L$9)," "," "),CHAR(9)," "),CHAR(10)," "),CHAR(13)," "))),"")))</f>
        <v/>
      </c>
      <c r="DR920">
        <f>IF($DM920=0,"",IF($L$10=0,"",IFERROR(IF(ISNUMBER(INDEX(PASTE_ALL,$DF920,$L$10)),INDEX(PASTE_ALL,$DF920,$L$10),TRIM(SUBSTITUTE(SUBSTITUTE(SUBSTITUTE(SUBSTITUTE(INDEX(PASTE_ALL,$DF920,$L$10)," "," "),CHAR(9)," "),CHAR(10)," "),CHAR(13)," "))),"")))</f>
        <v/>
      </c>
      <c r="DS920">
        <f>IF($DM920=0,"",IF($L$11=0,"",IFERROR(IF(ISNUMBER(INDEX(PASTE_ALL,$DF920,$L$11)),INDEX(PASTE_ALL,$DF920,$L$11),TRIM(SUBSTITUTE(SUBSTITUTE(SUBSTITUTE(SUBSTITUTE(INDEX(PASTE_ALL,$DF920,$L$11)," "," "),CHAR(9)," "),CHAR(10)," "),CHAR(13)," "))),"")))</f>
        <v/>
      </c>
      <c r="DT920">
        <f>IF($DM920=0,"",IF($L$12=0,"",IFERROR(IF(ISNUMBER(INDEX(PASTE_ALL,$DF920,$L$12)),INDEX(PASTE_ALL,$DF920,$L$12),TRIM(SUBSTITUTE(SUBSTITUTE(SUBSTITUTE(SUBSTITUTE(INDEX(PASTE_ALL,$DF920,$L$12)," "," "),CHAR(9)," "),CHAR(10)," "),CHAR(13)," "))),"")))</f>
        <v/>
      </c>
      <c r="DU920">
        <f>IF($DM920=0,"",IF($L$13=0,"",IFERROR(IF(ISNUMBER(INDEX(PASTE_ALL,$DF920,$L$13)),INDEX(PASTE_ALL,$DF920,$L$13),TRIM(SUBSTITUTE(SUBSTITUTE(SUBSTITUTE(SUBSTITUTE(INDEX(PASTE_ALL,$DF920,$L$13)," "," "),CHAR(9)," "),CHAR(10)," "),CHAR(13)," "))),"")))</f>
        <v/>
      </c>
      <c r="DV920">
        <f>IF($DM920=0,"",IF($L$14=0,"",IFERROR(IF(ISNUMBER(INDEX(PASTE_ALL,$DF920,$L$14)),INDEX(PASTE_ALL,$DF920,$L$14),TRIM(SUBSTITUTE(SUBSTITUTE(SUBSTITUTE(SUBSTITUTE(INDEX(PASTE_ALL,$DF920,$L$14)," "," "),CHAR(9)," "),CHAR(10)," "),CHAR(13)," "))),"")))</f>
        <v/>
      </c>
      <c r="DW920">
        <f>IF($DM920=0,"",IF($L$15=0,"",IFERROR(IF(ISNUMBER(INDEX(PASTE_ALL,$DF920,$L$15)),INDEX(PASTE_ALL,$DF920,$L$15),IF(SUMPRODUCT(--ISNUMBER(FIND({"A","B","C","D","E","F","G","H","I","J","K","L","M","N","O","P","Q","R","S","T","U","V","W","X","Y","Z","0","1","2","3","4","5","6","7","8","9"},UPPER(TRIM(SUBSTITUTE(SUBSTITUTE(SUBSTITUTE(SUBSTITUTE(INDEX(PASTE_ALL,$DF920,$L$15)," "," "),CHAR(9)," "),CHAR(10)," "),CHAR(13)," "))))))&gt;0,TRIM(SUBSTITUTE(SUBSTITUTE(SUBSTITUTE(SUBSTITUTE(INDEX(PASTE_ALL,$DF920,$L$15)," "," "),CHAR(9)," "),CHAR(10)," "),CHAR(13)," ")),"")),"")))</f>
        <v/>
      </c>
      <c r="DX920">
        <f>IF($DM920=0,"",IF($L$16=0,"",IFERROR(IF(ISNUMBER(INDEX(PASTE_ALL,$DF920,$L$16)),INDEX(PASTE_ALL,$DF920,$L$16),SUBSTITUTE(SUBSTITUTE(TRIM(SUBSTITUTE(SUBSTITUTE(SUBSTITUTE(SUBSTITUTE(INDEX(PASTE_ALL,$DF920,$L$16)," "," "),CHAR(9)," "),CHAR(10)," "),CHAR(13)," ")),",",""),"%","")),"")))</f>
        <v/>
      </c>
      <c r="DY920">
        <f>IF($DM920=0,"",IFERROR(IF(ISNUMBER($DX920),$DX920,IF($DX920="","",IF(TRIM($DX920)="",0,IF(AND(AND(SUBSTITUTE(SUBSTITUTE(SUBSTITUTE(SUBSTITUTE(SUBSTITUTE(SUBSTITUTE(SUBSTITUTE(SUBSTITUTE(SUBSTITUTE(SUBSTITUTE(SUBSTITUTE(SUBSTITUTE(SUBSTITUTE(SUBSTITUTE(UPPER(TRIM($DX920)),"0",""),"1",""),"2",""),"3",""),"4",""),"5",""),"6",""),"7",""),"8",""),"9",""),".",""),"+",""),"-",""),"E","")="",LEN(SUBSTITUTE(SUBSTITUTE(MID(UPPER(TRIM($DX920)),1+OR(LEFT(UPPER(TRIM($DX920)),1)="+",LEFT(UPPER(TRIM($DX920)),1)="-"),999),"E+","E"),"E-","E"))=LEN(SUBSTITUTE(SUBSTITUTE(SUBSTITUTE(SUBSTITUTE(MID(UPPER(TRIM($DX920)),1+OR(LEFT(UPPER(TRIM($DX920)),1)="+",LEFT(UPPER(TRIM($DX920)),1)="-"),999),"E+","E"),"E-","E"),"+",""),"-","")),LEN(UPPER(TRIM($DX920)))-LEN(SUBSTITUTE(UPPER(TRIM($DX920)),"E",""))&lt;2,LEN(UPPER(TRIM($DX920)))-LEN(SUBSTITUTE(UPPER(TRIM($DX920)),".",""))&lt;2,IFERROR(FIND(".",UPPER(TRIM($DX920))),0)&lt;IFERROR(FIND("E",UPPER(TRIM($DX920))),999)),ISNUMBER(VALUE(TRIM($DX920)))),VALUE(TRIM($DX920)),"")))),""))</f>
        <v/>
      </c>
      <c r="DZ920">
        <f>IF($DM920=0,"",IF($L$17=0,"",IFERROR(IF(ISNUMBER(INDEX(PASTE_ALL,$DF920,$L$17)),INDEX(PASTE_ALL,$DF920,$L$17),SUBSTITUTE(SUBSTITUTE(TRIM(SUBSTITUTE(SUBSTITUTE(SUBSTITUTE(SUBSTITUTE(INDEX(PASTE_ALL,$DF920,$L$17)," "," "),CHAR(9)," "),CHAR(10)," "),CHAR(13)," ")),",",""),"%","")),"")))</f>
        <v/>
      </c>
      <c r="EA920">
        <f>IF($DM920=0,"",IFERROR(IF(ISNUMBER($DZ920),$DZ920,IF($DZ920="","",IF(TRIM($DZ920)="",0,IF(AND(AND(SUBSTITUTE(SUBSTITUTE(SUBSTITUTE(SUBSTITUTE(SUBSTITUTE(SUBSTITUTE(SUBSTITUTE(SUBSTITUTE(SUBSTITUTE(SUBSTITUTE(SUBSTITUTE(SUBSTITUTE(SUBSTITUTE(SUBSTITUTE(UPPER(TRIM($DZ920)),"0",""),"1",""),"2",""),"3",""),"4",""),"5",""),"6",""),"7",""),"8",""),"9",""),".",""),"+",""),"-",""),"E","")="",LEN(SUBSTITUTE(SUBSTITUTE(MID(UPPER(TRIM($DZ920)),1+OR(LEFT(UPPER(TRIM($DZ920)),1)="+",LEFT(UPPER(TRIM($DZ920)),1)="-"),999),"E+","E"),"E-","E"))=LEN(SUBSTITUTE(SUBSTITUTE(SUBSTITUTE(SUBSTITUTE(MID(UPPER(TRIM($DZ920)),1+OR(LEFT(UPPER(TRIM($DZ920)),1)="+",LEFT(UPPER(TRIM($DZ920)),1)="-"),999),"E+","E"),"E-","E"),"+",""),"-","")),LEN(UPPER(TRIM($DZ920)))-LEN(SUBSTITUTE(UPPER(TRIM($DZ920)),"E",""))&lt;2,LEN(UPPER(TRIM($DZ920)))-LEN(SUBSTITUTE(UPPER(TRIM($DZ920)),".",""))&lt;2,IFERROR(FIND(".",UPPER(TRIM($DZ920))),0)&lt;IFERROR(FIND("E",UPPER(TRIM($DZ920))),999)),ISNUMBER(VALUE(TRIM($DZ920)))),VALUE(TRIM($DZ920)),"")))),""))</f>
        <v/>
      </c>
      <c r="EB920">
        <f>IF($DM920=0,"",IF($L$18=0,"",IFERROR(IF(UPPER(TRIM(SUBSTITUTE(SUBSTITUTE(SUBSTITUTE(SUBSTITUTE(INDEX(PASTE_ALL,$DF920,$L$18)," "," "),CHAR(9)," "),CHAR(10)," "),CHAR(13)," ")))="READY","Ready",IF(UPPER(TRIM(SUBSTITUTE(SUBSTITUTE(SUBSTITUTE(SUBSTITUTE(INDEX(PASTE_ALL,$DF920,$L$18)," "," "),CHAR(9)," "),CHAR(10)," "),CHAR(13)," ")))="PM","PM",IF(OR(UPPER(TRIM(SUBSTITUTE(SUBSTITUTE(SUBSTITUTE(SUBSTITUTE(INDEX(PASTE_ALL,$DF920,$L$18)," "," "),CHAR(9)," "),CHAR(10)," "),CHAR(13)," ")))="OT",UPPER(TRIM(SUBSTITUTE(SUBSTITUTE(SUBSTITUTE(SUBSTITUTE(INDEX(PASTE_ALL,$DF920,$L$18)," "," "),CHAR(9)," "),CHAR(10)," "),CHAR(13)," ")))="OVERTIME",UPPER(TRIM(SUBSTITUTE(SUBSTITUTE(SUBSTITUTE(SUBSTITUTE(INDEX(PASTE_ALL,$DF920,$L$18)," "," "),CHAR(9)," "),CHAR(10)," "),CHAR(13)," ")))="TRIAL"),"OT",TRIM(SUBSTITUTE(SUBSTITUTE(SUBSTITUTE(SUBSTITUTE(INDEX(PASTE_ALL,$DF920,$L$18)," "," "),CHAR(9)," "),CHAR(10)," "),CHAR(13)," "))))),"")))</f>
        <v/>
      </c>
      <c r="EC920">
        <f>IF($DM920=0,"",IF($L$19=0,"",IFERROR(IF(ISNUMBER(INDEX(PASTE_ALL,$DF920,$L$19)),INDEX(PASTE_ALL,$DF920,$L$19),TRIM(SUBSTITUTE(SUBSTITUTE(SUBSTITUTE(SUBSTITUTE(INDEX(PASTE_ALL,$DF920,$L$19)," "," "),CHAR(9)," "),CHAR(10)," "),CHAR(13)," "))),"")))</f>
        <v/>
      </c>
      <c r="ED920">
        <f>IF($DM920=0,"",MATCH(1,INDEX(EXACT($DH$5:DH920,$DH920)*$DM$5:DM920,0),0))</f>
        <v/>
      </c>
      <c r="EE920">
        <f>IF($DM920=0,0,IF($ED920=$DE920,1,0))</f>
        <v/>
      </c>
      <c r="EF920">
        <f>EF919+$EE920</f>
        <v/>
      </c>
      <c r="EG920">
        <f>IF($DM920=0,"",INDEX($EF$5:$EF$1003,$ED920))</f>
        <v/>
      </c>
      <c r="EH920">
        <f>IF($DM920=0,"",IF($DO920&lt;&gt;"","",IFERROR(LOOKUP(2,1/(($EG$4:EG919=$EG920)*($DO$4:DO919&lt;&gt;"")),$DO$4:DO919),"")))</f>
        <v/>
      </c>
      <c r="EI920">
        <f>IF($DM920=0,"",IF($DO920&lt;&gt;"",$DO920,$EH920))</f>
        <v/>
      </c>
      <c r="EJ920">
        <f>IF($DM920=0,"",IF($EI920="",0,IF(OR(ISNUMBER($EI920),AND(AND(SUBSTITUTE(SUBSTITUTE(SUBSTITUTE(SUBSTITUTE(SUBSTITUTE(SUBSTITUTE(SUBSTITUTE(SUBSTITUTE(SUBSTITUTE(SUBSTITUTE(SUBSTITUTE(SUBSTITUTE(SUBSTITUTE(SUBSTITUTE(UPPER($EI920),"0",""),"1",""),"2",""),"3",""),"4",""),"5",""),"6",""),"7",""),"8",""),"9",""),".",""),"+",""),"-",""),"E","")="",LEN(SUBSTITUTE(SUBSTITUTE(MID(UPPER($EI920),1+OR(LEFT(UPPER($EI920),1)="+",LEFT(UPPER($EI920),1)="-"),999),"E+","E"),"E-","E"))=LEN(SUBSTITUTE(SUBSTITUTE(SUBSTITUTE(SUBSTITUTE(MID(UPPER($EI920),1+OR(LEFT(UPPER($EI920),1)="+",LEFT(UPPER($EI920),1)="-"),999),"E+","E"),"E-","E"),"+",""),"-","")),LEN(UPPER($EI920))-LEN(SUBSTITUTE(UPPER($EI920),"E",""))&lt;2,LEN(UPPER($EI920))-LEN(SUBSTITUTE(UPPER($EI920),".",""))&lt;2,IFERROR(FIND(".",UPPER($EI920)),0)&lt;IFERROR(FIND("E",UPPER($EI920)),999)),ISNUMBER(VALUE($EI920)))),1,2)))</f>
        <v/>
      </c>
      <c r="EK920">
        <f>IF($DM920=0,"",IF($EJ920=1,IF(ISNUMBER($EI920),$EI920,VALUE($EI920)),IF($EJ920=2,$DE920,0)))</f>
        <v/>
      </c>
      <c r="EL920">
        <f>IF($DM920=0,"",COUNTIF($EG$5:$EG$1003,"&lt;"&amp;$EG920)+SUMPRODUCT(($EG$5:$EG$1003=$EG920)*(($EJ$5:$EJ$1003&lt;$EJ920)+($EJ$5:$EJ$1003=$EJ920)*(($EK$5:$EK$1003&lt;$EK920)+($EK$5:$EK$1003=$EK920)*($DE$5:$DE$1003&lt;$DE920))))+1)</f>
        <v/>
      </c>
      <c r="EM920">
        <f>IF($DM920=0,"",$EL920+$EG920-1)</f>
        <v/>
      </c>
      <c r="EN920">
        <f>IF($DM920=0,0,IFERROR(MATCH(1,INDEX(--(TRIM(SUBSTITUTE(SUBSTITUTE(SUBSTITUTE(SUBSTITUTE(LINES_NAME&amp;""," "," "),CHAR(9)," "),CHAR(10)," "),CHAR(13)," "))=$DH920),0),0),0))</f>
        <v/>
      </c>
      <c r="EO920">
        <f>IF($EN920=0,0,IF(OR(UPPER(TRIM(INDEX(LINES_SCHEDULED,$EN920)&amp;""))="YES",UPPER(TRIM(INDEX(LINES_SCHEDULED,$EN920)&amp;""))="Y",UPPER(TRIM(INDEX(LINES_SCHEDULED,$EN920)&amp;""))="X"),1,0))</f>
        <v/>
      </c>
      <c r="EP920">
        <f>IF($DM920=0,"",IF(COUNTIFS($EG$5:$EG$1003,$EG920,$EB$5:$EB$1003,"Ready")&gt;0,"READY",IF(COUNTIFS($EG$5:$EG$1003,$EG920,$EB$5:$EB$1003,"PM")&gt;0,"PM",IF(COUNTIFS($EG$5:$EG$1003,$EG920,$EB$5:$EB$1003,"OT")&gt;0,"OT",""))))</f>
        <v/>
      </c>
      <c r="EQ920">
        <f>IF($EN920=0,"",UPPER(TRIM(INDEX(LINES_STATUS,$EN920)&amp;"")))</f>
        <v/>
      </c>
      <c r="ER920">
        <f>IF($DM920=0,"",IF(OR($EQ920="READY",$EQ920="PM",$EQ920="OT"),$EQ920,$EP920))</f>
        <v/>
      </c>
      <c r="ES920">
        <f>IF($DM920=0,"",IF(AND($DV920&lt;&gt;"",UPPER($DV920)&lt;&gt;"N"),"allergen",IF(ISNUMBER(SEARCH("oil",$DQ920)),"oil",IF(OR(EXACT($DS920,"A662"),EXACT($DS920,"A624")),"bulk",""))))</f>
        <v/>
      </c>
      <c r="ET920">
        <f>IF($DM920=0,"",IF(OR($EA920="",$EA920=0),"",$EA920/100))</f>
        <v/>
      </c>
      <c r="EU920">
        <f>IF(OR($ET920="",$DY920=""),"",INT($DY920*(1-$ET920)+0.5))</f>
        <v/>
      </c>
    </row>
    <row r="921">
      <c r="DA921" t="n">
        <v>917</v>
      </c>
      <c r="DB921">
        <f>IF($B$37=0,"",IFERROR(TRIM(SUBSTITUTE(SUBSTITUTE(SUBSTITUTE(SUBSTITUTE(INDEX(PASTE_ALL,917,$B$37)," "," "),CHAR(9)," "),CHAR(10)," "),CHAR(13)," ")),""))</f>
        <v/>
      </c>
      <c r="DC921">
        <f>IF(AND(917&gt;HEADER_ROW,UPPER(DB921)="LEGEND"),1,0)</f>
        <v/>
      </c>
      <c r="DE921" t="n">
        <v>917</v>
      </c>
      <c r="DF921">
        <f>HEADER_ROW+$DE921</f>
        <v/>
      </c>
      <c r="DG921">
        <f>IF(AND($DF921&lt;=1000,$DF921&lt;$B$8),1,0)</f>
        <v/>
      </c>
      <c r="DH921">
        <f>IF($DG921=1,IFERROR(INDEX($DB$5:$DB$1004,$DF921),""),"")</f>
        <v/>
      </c>
      <c r="DI921">
        <f>IF(AND($DG921=1,$DH921&lt;&gt;""),IFERROR(SUBSTITUTE(SUBSTITUTE(TRIM(SUBSTITUTE(SUBSTITUTE(SUBSTITUTE(SUBSTITUTE(IFERROR(INDEX(PASTE_ALL,$DF921,1)&amp;"","")&amp;"␟"&amp;IFERROR(INDEX(PASTE_ALL,$DF921,2)&amp;"","")&amp;"␟"&amp;IFERROR(INDEX(PASTE_ALL,$DF921,3)&amp;"","")&amp;"␟"&amp;IFERROR(INDEX(PASTE_ALL,$DF921,4)&amp;"","")&amp;"␟"&amp;IFERROR(INDEX(PASTE_ALL,$DF921,5)&amp;"","")&amp;"␟"&amp;IFERROR(INDEX(PASTE_ALL,$DF921,6)&amp;"","")&amp;"␟"&amp;IFERROR(INDEX(PASTE_ALL,$DF921,7)&amp;"","")&amp;"␟"&amp;IFERROR(INDEX(PASTE_ALL,$DF921,8)&amp;"","")&amp;"␟"&amp;IFERROR(INDEX(PASTE_ALL,$DF921,9)&amp;"","")&amp;"␟"&amp;IFERROR(INDEX(PASTE_ALL,$DF921,10)&amp;"","")&amp;"␟"&amp;IFERROR(INDEX(PASTE_ALL,$DF921,11)&amp;"","")&amp;"␟"&amp;IFERROR(INDEX(PASTE_ALL,$DF921,12)&amp;"","")&amp;"␟"&amp;IFERROR(INDEX(PASTE_ALL,$DF921,13)&amp;"","")&amp;"␟"&amp;IFERROR(INDEX(PASTE_ALL,$DF921,14)&amp;"","")&amp;"␟"&amp;IFERROR(INDEX(PASTE_ALL,$DF921,15)&amp;"","")&amp;"␟"&amp;IFERROR(INDEX(PASTE_ALL,$DF921,16)&amp;"","")&amp;"␟"&amp;IFERROR(INDEX(PASTE_ALL,$DF921,17)&amp;"","")&amp;"␟"&amp;IFERROR(INDEX(PASTE_ALL,$DF921,18)&amp;"","")&amp;"␟"&amp;IFERROR(INDEX(PASTE_ALL,$DF921,19)&amp;"","")&amp;"␟"&amp;IFERROR(INDEX(PASTE_ALL,$DF921,20)&amp;"","")&amp;"␟"&amp;IFERROR(INDEX(PASTE_ALL,$DF921,21)&amp;"","")&amp;"␟"&amp;IFERROR(INDEX(PASTE_ALL,$DF921,22)&amp;"","")&amp;"␟"&amp;IFERROR(INDEX(PASTE_ALL,$DF921,23)&amp;"","")&amp;"␟"&amp;IFERROR(INDEX(PASTE_ALL,$DF921,24)&amp;"","")&amp;"␟"&amp;IFERROR(INDEX(PASTE_ALL,$DF921,25)&amp;"","")&amp;"␟"&amp;IFERROR(INDEX(PASTE_ALL,$DF921,26)&amp;"","")&amp;"␟"&amp;IFERROR(INDEX(PASTE_ALL,$DF921,27)&amp;"","")&amp;"␟"&amp;IFERROR(INDEX(PASTE_ALL,$DF921,28)&amp;"","")&amp;"␟"&amp;IFERROR(INDEX(PASTE_ALL,$DF921,29)&amp;"","")&amp;"␟"&amp;IFERROR(INDEX(PASTE_ALL,$DF921,30)&amp;"","")&amp;"␟"&amp;IFERROR(INDEX(PASTE_ALL,$DF921,31)&amp;"","")&amp;"␟"&amp;IFERROR(INDEX(PASTE_ALL,$DF921,32)&amp;"","")&amp;"␟"&amp;IFERROR(INDEX(PASTE_ALL,$DF921,33)&amp;"","")&amp;"␟"&amp;IFERROR(INDEX(PASTE_ALL,$DF921,34)&amp;"","")&amp;"␟"&amp;IFERROR(INDEX(PASTE_ALL,$DF921,35)&amp;"","")&amp;"␟"&amp;IFERROR(INDEX(PASTE_ALL,$DF921,36)&amp;"","")&amp;"␟"&amp;IFERROR(INDEX(PASTE_ALL,$DF921,37)&amp;"","")&amp;"␟"&amp;IFERROR(INDEX(PASTE_ALL,$DF921,38)&amp;"","")&amp;"␟"&amp;IFERROR(INDEX(PASTE_ALL,$DF921,39)&amp;"","")&amp;"␟"&amp;IFERROR(INDEX(PASTE_ALL,$DF921,40)&amp;"","")&amp;"␟"&amp;IFERROR(INDEX(PASTE_ALL,$DF921,41)&amp;"","")&amp;"␟"&amp;IFERROR(INDEX(PASTE_ALL,$DF921,42)&amp;"","")&amp;"␟"&amp;IFERROR(INDEX(PASTE_ALL,$DF921,43)&amp;"","")&amp;"␟"&amp;IFERROR(INDEX(PASTE_ALL,$DF921,44)&amp;"","")&amp;"␟"&amp;IFERROR(INDEX(PASTE_ALL,$DF921,45)&amp;"","")&amp;"␟"&amp;IFERROR(INDEX(PASTE_ALL,$DF921,46)&amp;"","")&amp;"␟"&amp;IFERROR(INDEX(PASTE_ALL,$DF921,47)&amp;"","")&amp;"␟"&amp;IFERROR(INDEX(PASTE_ALL,$DF921,48)&amp;"","")&amp;"␟"&amp;IFERROR(INDEX(PASTE_ALL,$DF921,49)&amp;"","")&amp;"␟"&amp;IFERROR(INDEX(PASTE_ALL,$DF921,50)&amp;"","")&amp;"␟"&amp;IFERROR(INDEX(PASTE_ALL,$DF921,51)&amp;"","")&amp;"␟"&amp;IFERROR(INDEX(PASTE_ALL,$DF921,52)&amp;"","")&amp;"␟"&amp;IFERROR(INDEX(PASTE_ALL,$DF921,53)&amp;"","")&amp;"␟"&amp;IFERROR(INDEX(PASTE_ALL,$DF921,54)&amp;"","")&amp;"␟"&amp;IFERROR(INDEX(PASTE_ALL,$DF921,55)&amp;"","")&amp;"␟"&amp;IFERROR(INDEX(PASTE_ALL,$DF921,56)&amp;"","")&amp;"␟"&amp;IFERROR(INDEX(PASTE_ALL,$DF921,57)&amp;"","")&amp;"␟"&amp;IFERROR(INDEX(PASTE_ALL,$DF921,58)&amp;"","")&amp;"␟"&amp;IFERROR(INDEX(PASTE_ALL,$DF921,59)&amp;"","")&amp;"␟"&amp;IFERROR(INDEX(PASTE_ALL,$DF921,60)&amp;"","")," "," "),CHAR(9)," "),CHAR(10)," "),CHAR(13)," "))," ␟","␟"),"␟ ","␟"),"#"&amp;$DE921),"")</f>
        <v/>
      </c>
      <c r="DJ921">
        <f>IF($DI921="",0,IF(SUMPRODUCT(--EXACT($DI$4:DI920,$DI921))&gt;0,1,0))</f>
        <v/>
      </c>
      <c r="DK921">
        <f>IF(AND($DI921&lt;&gt;"",$DJ921=0),1,0)</f>
        <v/>
      </c>
      <c r="DL921">
        <f>DL920+$DK921</f>
        <v/>
      </c>
      <c r="DM921">
        <f>IF(AND($DK921=1,$DL921&lt;=600),1,0)</f>
        <v/>
      </c>
      <c r="DN921">
        <f>IF($DM921=0,"",IF($L$6=0,"",IFERROR(IF(ISNUMBER(INDEX(PASTE_ALL,$DF921,$L$6)),INDEX(PASTE_ALL,$DF921,$L$6),TRIM(SUBSTITUTE(SUBSTITUTE(SUBSTITUTE(SUBSTITUTE(INDEX(PASTE_ALL,$DF921,$L$6)," "," "),CHAR(9)," "),CHAR(10)," "),CHAR(13)," "))),"")))</f>
        <v/>
      </c>
      <c r="DO921">
        <f>IF($DM921=0,"",IF($L$7=0,"",IFERROR(IF(ISNUMBER(INDEX(PASTE_ALL,$DF921,$L$7)),INDEX(PASTE_ALL,$DF921,$L$7),TRIM(SUBSTITUTE(SUBSTITUTE(SUBSTITUTE(SUBSTITUTE(INDEX(PASTE_ALL,$DF921,$L$7)," "," "),CHAR(9)," "),CHAR(10)," "),CHAR(13)," "))),"")))</f>
        <v/>
      </c>
      <c r="DP921">
        <f>IF($DM921=0,"",IF($L$8=0,"",IFERROR(IF(ISNUMBER(INDEX(PASTE_ALL,$DF921,$L$8)),INDEX(PASTE_ALL,$DF921,$L$8),TRIM(SUBSTITUTE(SUBSTITUTE(SUBSTITUTE(SUBSTITUTE(INDEX(PASTE_ALL,$DF921,$L$8)," "," "),CHAR(9)," "),CHAR(10)," "),CHAR(13)," "))),"")))</f>
        <v/>
      </c>
      <c r="DQ921">
        <f>IF($DM921=0,"",IF($L$9=0,"",IFERROR(IF(ISNUMBER(INDEX(PASTE_ALL,$DF921,$L$9)),INDEX(PASTE_ALL,$DF921,$L$9),TRIM(SUBSTITUTE(SUBSTITUTE(SUBSTITUTE(SUBSTITUTE(INDEX(PASTE_ALL,$DF921,$L$9)," "," "),CHAR(9)," "),CHAR(10)," "),CHAR(13)," "))),"")))</f>
        <v/>
      </c>
      <c r="DR921">
        <f>IF($DM921=0,"",IF($L$10=0,"",IFERROR(IF(ISNUMBER(INDEX(PASTE_ALL,$DF921,$L$10)),INDEX(PASTE_ALL,$DF921,$L$10),TRIM(SUBSTITUTE(SUBSTITUTE(SUBSTITUTE(SUBSTITUTE(INDEX(PASTE_ALL,$DF921,$L$10)," "," "),CHAR(9)," "),CHAR(10)," "),CHAR(13)," "))),"")))</f>
        <v/>
      </c>
      <c r="DS921">
        <f>IF($DM921=0,"",IF($L$11=0,"",IFERROR(IF(ISNUMBER(INDEX(PASTE_ALL,$DF921,$L$11)),INDEX(PASTE_ALL,$DF921,$L$11),TRIM(SUBSTITUTE(SUBSTITUTE(SUBSTITUTE(SUBSTITUTE(INDEX(PASTE_ALL,$DF921,$L$11)," "," "),CHAR(9)," "),CHAR(10)," "),CHAR(13)," "))),"")))</f>
        <v/>
      </c>
      <c r="DT921">
        <f>IF($DM921=0,"",IF($L$12=0,"",IFERROR(IF(ISNUMBER(INDEX(PASTE_ALL,$DF921,$L$12)),INDEX(PASTE_ALL,$DF921,$L$12),TRIM(SUBSTITUTE(SUBSTITUTE(SUBSTITUTE(SUBSTITUTE(INDEX(PASTE_ALL,$DF921,$L$12)," "," "),CHAR(9)," "),CHAR(10)," "),CHAR(13)," "))),"")))</f>
        <v/>
      </c>
      <c r="DU921">
        <f>IF($DM921=0,"",IF($L$13=0,"",IFERROR(IF(ISNUMBER(INDEX(PASTE_ALL,$DF921,$L$13)),INDEX(PASTE_ALL,$DF921,$L$13),TRIM(SUBSTITUTE(SUBSTITUTE(SUBSTITUTE(SUBSTITUTE(INDEX(PASTE_ALL,$DF921,$L$13)," "," "),CHAR(9)," "),CHAR(10)," "),CHAR(13)," "))),"")))</f>
        <v/>
      </c>
      <c r="DV921">
        <f>IF($DM921=0,"",IF($L$14=0,"",IFERROR(IF(ISNUMBER(INDEX(PASTE_ALL,$DF921,$L$14)),INDEX(PASTE_ALL,$DF921,$L$14),TRIM(SUBSTITUTE(SUBSTITUTE(SUBSTITUTE(SUBSTITUTE(INDEX(PASTE_ALL,$DF921,$L$14)," "," "),CHAR(9)," "),CHAR(10)," "),CHAR(13)," "))),"")))</f>
        <v/>
      </c>
      <c r="DW921">
        <f>IF($DM921=0,"",IF($L$15=0,"",IFERROR(IF(ISNUMBER(INDEX(PASTE_ALL,$DF921,$L$15)),INDEX(PASTE_ALL,$DF921,$L$15),IF(SUMPRODUCT(--ISNUMBER(FIND({"A","B","C","D","E","F","G","H","I","J","K","L","M","N","O","P","Q","R","S","T","U","V","W","X","Y","Z","0","1","2","3","4","5","6","7","8","9"},UPPER(TRIM(SUBSTITUTE(SUBSTITUTE(SUBSTITUTE(SUBSTITUTE(INDEX(PASTE_ALL,$DF921,$L$15)," "," "),CHAR(9)," "),CHAR(10)," "),CHAR(13)," "))))))&gt;0,TRIM(SUBSTITUTE(SUBSTITUTE(SUBSTITUTE(SUBSTITUTE(INDEX(PASTE_ALL,$DF921,$L$15)," "," "),CHAR(9)," "),CHAR(10)," "),CHAR(13)," ")),"")),"")))</f>
        <v/>
      </c>
      <c r="DX921">
        <f>IF($DM921=0,"",IF($L$16=0,"",IFERROR(IF(ISNUMBER(INDEX(PASTE_ALL,$DF921,$L$16)),INDEX(PASTE_ALL,$DF921,$L$16),SUBSTITUTE(SUBSTITUTE(TRIM(SUBSTITUTE(SUBSTITUTE(SUBSTITUTE(SUBSTITUTE(INDEX(PASTE_ALL,$DF921,$L$16)," "," "),CHAR(9)," "),CHAR(10)," "),CHAR(13)," ")),",",""),"%","")),"")))</f>
        <v/>
      </c>
      <c r="DY921">
        <f>IF($DM921=0,"",IFERROR(IF(ISNUMBER($DX921),$DX921,IF($DX921="","",IF(TRIM($DX921)="",0,IF(AND(AND(SUBSTITUTE(SUBSTITUTE(SUBSTITUTE(SUBSTITUTE(SUBSTITUTE(SUBSTITUTE(SUBSTITUTE(SUBSTITUTE(SUBSTITUTE(SUBSTITUTE(SUBSTITUTE(SUBSTITUTE(SUBSTITUTE(SUBSTITUTE(UPPER(TRIM($DX921)),"0",""),"1",""),"2",""),"3",""),"4",""),"5",""),"6",""),"7",""),"8",""),"9",""),".",""),"+",""),"-",""),"E","")="",LEN(SUBSTITUTE(SUBSTITUTE(MID(UPPER(TRIM($DX921)),1+OR(LEFT(UPPER(TRIM($DX921)),1)="+",LEFT(UPPER(TRIM($DX921)),1)="-"),999),"E+","E"),"E-","E"))=LEN(SUBSTITUTE(SUBSTITUTE(SUBSTITUTE(SUBSTITUTE(MID(UPPER(TRIM($DX921)),1+OR(LEFT(UPPER(TRIM($DX921)),1)="+",LEFT(UPPER(TRIM($DX921)),1)="-"),999),"E+","E"),"E-","E"),"+",""),"-","")),LEN(UPPER(TRIM($DX921)))-LEN(SUBSTITUTE(UPPER(TRIM($DX921)),"E",""))&lt;2,LEN(UPPER(TRIM($DX921)))-LEN(SUBSTITUTE(UPPER(TRIM($DX921)),".",""))&lt;2,IFERROR(FIND(".",UPPER(TRIM($DX921))),0)&lt;IFERROR(FIND("E",UPPER(TRIM($DX921))),999)),ISNUMBER(VALUE(TRIM($DX921)))),VALUE(TRIM($DX921)),"")))),""))</f>
        <v/>
      </c>
      <c r="DZ921">
        <f>IF($DM921=0,"",IF($L$17=0,"",IFERROR(IF(ISNUMBER(INDEX(PASTE_ALL,$DF921,$L$17)),INDEX(PASTE_ALL,$DF921,$L$17),SUBSTITUTE(SUBSTITUTE(TRIM(SUBSTITUTE(SUBSTITUTE(SUBSTITUTE(SUBSTITUTE(INDEX(PASTE_ALL,$DF921,$L$17)," "," "),CHAR(9)," "),CHAR(10)," "),CHAR(13)," ")),",",""),"%","")),"")))</f>
        <v/>
      </c>
      <c r="EA921">
        <f>IF($DM921=0,"",IFERROR(IF(ISNUMBER($DZ921),$DZ921,IF($DZ921="","",IF(TRIM($DZ921)="",0,IF(AND(AND(SUBSTITUTE(SUBSTITUTE(SUBSTITUTE(SUBSTITUTE(SUBSTITUTE(SUBSTITUTE(SUBSTITUTE(SUBSTITUTE(SUBSTITUTE(SUBSTITUTE(SUBSTITUTE(SUBSTITUTE(SUBSTITUTE(SUBSTITUTE(UPPER(TRIM($DZ921)),"0",""),"1",""),"2",""),"3",""),"4",""),"5",""),"6",""),"7",""),"8",""),"9",""),".",""),"+",""),"-",""),"E","")="",LEN(SUBSTITUTE(SUBSTITUTE(MID(UPPER(TRIM($DZ921)),1+OR(LEFT(UPPER(TRIM($DZ921)),1)="+",LEFT(UPPER(TRIM($DZ921)),1)="-"),999),"E+","E"),"E-","E"))=LEN(SUBSTITUTE(SUBSTITUTE(SUBSTITUTE(SUBSTITUTE(MID(UPPER(TRIM($DZ921)),1+OR(LEFT(UPPER(TRIM($DZ921)),1)="+",LEFT(UPPER(TRIM($DZ921)),1)="-"),999),"E+","E"),"E-","E"),"+",""),"-","")),LEN(UPPER(TRIM($DZ921)))-LEN(SUBSTITUTE(UPPER(TRIM($DZ921)),"E",""))&lt;2,LEN(UPPER(TRIM($DZ921)))-LEN(SUBSTITUTE(UPPER(TRIM($DZ921)),".",""))&lt;2,IFERROR(FIND(".",UPPER(TRIM($DZ921))),0)&lt;IFERROR(FIND("E",UPPER(TRIM($DZ921))),999)),ISNUMBER(VALUE(TRIM($DZ921)))),VALUE(TRIM($DZ921)),"")))),""))</f>
        <v/>
      </c>
      <c r="EB921">
        <f>IF($DM921=0,"",IF($L$18=0,"",IFERROR(IF(UPPER(TRIM(SUBSTITUTE(SUBSTITUTE(SUBSTITUTE(SUBSTITUTE(INDEX(PASTE_ALL,$DF921,$L$18)," "," "),CHAR(9)," "),CHAR(10)," "),CHAR(13)," ")))="READY","Ready",IF(UPPER(TRIM(SUBSTITUTE(SUBSTITUTE(SUBSTITUTE(SUBSTITUTE(INDEX(PASTE_ALL,$DF921,$L$18)," "," "),CHAR(9)," "),CHAR(10)," "),CHAR(13)," ")))="PM","PM",IF(OR(UPPER(TRIM(SUBSTITUTE(SUBSTITUTE(SUBSTITUTE(SUBSTITUTE(INDEX(PASTE_ALL,$DF921,$L$18)," "," "),CHAR(9)," "),CHAR(10)," "),CHAR(13)," ")))="OT",UPPER(TRIM(SUBSTITUTE(SUBSTITUTE(SUBSTITUTE(SUBSTITUTE(INDEX(PASTE_ALL,$DF921,$L$18)," "," "),CHAR(9)," "),CHAR(10)," "),CHAR(13)," ")))="OVERTIME",UPPER(TRIM(SUBSTITUTE(SUBSTITUTE(SUBSTITUTE(SUBSTITUTE(INDEX(PASTE_ALL,$DF921,$L$18)," "," "),CHAR(9)," "),CHAR(10)," "),CHAR(13)," ")))="TRIAL"),"OT",TRIM(SUBSTITUTE(SUBSTITUTE(SUBSTITUTE(SUBSTITUTE(INDEX(PASTE_ALL,$DF921,$L$18)," "," "),CHAR(9)," "),CHAR(10)," "),CHAR(13)," "))))),"")))</f>
        <v/>
      </c>
      <c r="EC921">
        <f>IF($DM921=0,"",IF($L$19=0,"",IFERROR(IF(ISNUMBER(INDEX(PASTE_ALL,$DF921,$L$19)),INDEX(PASTE_ALL,$DF921,$L$19),TRIM(SUBSTITUTE(SUBSTITUTE(SUBSTITUTE(SUBSTITUTE(INDEX(PASTE_ALL,$DF921,$L$19)," "," "),CHAR(9)," "),CHAR(10)," "),CHAR(13)," "))),"")))</f>
        <v/>
      </c>
      <c r="ED921">
        <f>IF($DM921=0,"",MATCH(1,INDEX(EXACT($DH$5:DH921,$DH921)*$DM$5:DM921,0),0))</f>
        <v/>
      </c>
      <c r="EE921">
        <f>IF($DM921=0,0,IF($ED921=$DE921,1,0))</f>
        <v/>
      </c>
      <c r="EF921">
        <f>EF920+$EE921</f>
        <v/>
      </c>
      <c r="EG921">
        <f>IF($DM921=0,"",INDEX($EF$5:$EF$1003,$ED921))</f>
        <v/>
      </c>
      <c r="EH921">
        <f>IF($DM921=0,"",IF($DO921&lt;&gt;"","",IFERROR(LOOKUP(2,1/(($EG$4:EG920=$EG921)*($DO$4:DO920&lt;&gt;"")),$DO$4:DO920),"")))</f>
        <v/>
      </c>
      <c r="EI921">
        <f>IF($DM921=0,"",IF($DO921&lt;&gt;"",$DO921,$EH921))</f>
        <v/>
      </c>
      <c r="EJ921">
        <f>IF($DM921=0,"",IF($EI921="",0,IF(OR(ISNUMBER($EI921),AND(AND(SUBSTITUTE(SUBSTITUTE(SUBSTITUTE(SUBSTITUTE(SUBSTITUTE(SUBSTITUTE(SUBSTITUTE(SUBSTITUTE(SUBSTITUTE(SUBSTITUTE(SUBSTITUTE(SUBSTITUTE(SUBSTITUTE(SUBSTITUTE(UPPER($EI921),"0",""),"1",""),"2",""),"3",""),"4",""),"5",""),"6",""),"7",""),"8",""),"9",""),".",""),"+",""),"-",""),"E","")="",LEN(SUBSTITUTE(SUBSTITUTE(MID(UPPER($EI921),1+OR(LEFT(UPPER($EI921),1)="+",LEFT(UPPER($EI921),1)="-"),999),"E+","E"),"E-","E"))=LEN(SUBSTITUTE(SUBSTITUTE(SUBSTITUTE(SUBSTITUTE(MID(UPPER($EI921),1+OR(LEFT(UPPER($EI921),1)="+",LEFT(UPPER($EI921),1)="-"),999),"E+","E"),"E-","E"),"+",""),"-","")),LEN(UPPER($EI921))-LEN(SUBSTITUTE(UPPER($EI921),"E",""))&lt;2,LEN(UPPER($EI921))-LEN(SUBSTITUTE(UPPER($EI921),".",""))&lt;2,IFERROR(FIND(".",UPPER($EI921)),0)&lt;IFERROR(FIND("E",UPPER($EI921)),999)),ISNUMBER(VALUE($EI921)))),1,2)))</f>
        <v/>
      </c>
      <c r="EK921">
        <f>IF($DM921=0,"",IF($EJ921=1,IF(ISNUMBER($EI921),$EI921,VALUE($EI921)),IF($EJ921=2,$DE921,0)))</f>
        <v/>
      </c>
      <c r="EL921">
        <f>IF($DM921=0,"",COUNTIF($EG$5:$EG$1003,"&lt;"&amp;$EG921)+SUMPRODUCT(($EG$5:$EG$1003=$EG921)*(($EJ$5:$EJ$1003&lt;$EJ921)+($EJ$5:$EJ$1003=$EJ921)*(($EK$5:$EK$1003&lt;$EK921)+($EK$5:$EK$1003=$EK921)*($DE$5:$DE$1003&lt;$DE921))))+1)</f>
        <v/>
      </c>
      <c r="EM921">
        <f>IF($DM921=0,"",$EL921+$EG921-1)</f>
        <v/>
      </c>
      <c r="EN921">
        <f>IF($DM921=0,0,IFERROR(MATCH(1,INDEX(--(TRIM(SUBSTITUTE(SUBSTITUTE(SUBSTITUTE(SUBSTITUTE(LINES_NAME&amp;""," "," "),CHAR(9)," "),CHAR(10)," "),CHAR(13)," "))=$DH921),0),0),0))</f>
        <v/>
      </c>
      <c r="EO921">
        <f>IF($EN921=0,0,IF(OR(UPPER(TRIM(INDEX(LINES_SCHEDULED,$EN921)&amp;""))="YES",UPPER(TRIM(INDEX(LINES_SCHEDULED,$EN921)&amp;""))="Y",UPPER(TRIM(INDEX(LINES_SCHEDULED,$EN921)&amp;""))="X"),1,0))</f>
        <v/>
      </c>
      <c r="EP921">
        <f>IF($DM921=0,"",IF(COUNTIFS($EG$5:$EG$1003,$EG921,$EB$5:$EB$1003,"Ready")&gt;0,"READY",IF(COUNTIFS($EG$5:$EG$1003,$EG921,$EB$5:$EB$1003,"PM")&gt;0,"PM",IF(COUNTIFS($EG$5:$EG$1003,$EG921,$EB$5:$EB$1003,"OT")&gt;0,"OT",""))))</f>
        <v/>
      </c>
      <c r="EQ921">
        <f>IF($EN921=0,"",UPPER(TRIM(INDEX(LINES_STATUS,$EN921)&amp;"")))</f>
        <v/>
      </c>
      <c r="ER921">
        <f>IF($DM921=0,"",IF(OR($EQ921="READY",$EQ921="PM",$EQ921="OT"),$EQ921,$EP921))</f>
        <v/>
      </c>
      <c r="ES921">
        <f>IF($DM921=0,"",IF(AND($DV921&lt;&gt;"",UPPER($DV921)&lt;&gt;"N"),"allergen",IF(ISNUMBER(SEARCH("oil",$DQ921)),"oil",IF(OR(EXACT($DS921,"A662"),EXACT($DS921,"A624")),"bulk",""))))</f>
        <v/>
      </c>
      <c r="ET921">
        <f>IF($DM921=0,"",IF(OR($EA921="",$EA921=0),"",$EA921/100))</f>
        <v/>
      </c>
      <c r="EU921">
        <f>IF(OR($ET921="",$DY921=""),"",INT($DY921*(1-$ET921)+0.5))</f>
        <v/>
      </c>
    </row>
    <row r="922">
      <c r="DA922" t="n">
        <v>918</v>
      </c>
      <c r="DB922">
        <f>IF($B$37=0,"",IFERROR(TRIM(SUBSTITUTE(SUBSTITUTE(SUBSTITUTE(SUBSTITUTE(INDEX(PASTE_ALL,918,$B$37)," "," "),CHAR(9)," "),CHAR(10)," "),CHAR(13)," ")),""))</f>
        <v/>
      </c>
      <c r="DC922">
        <f>IF(AND(918&gt;HEADER_ROW,UPPER(DB922)="LEGEND"),1,0)</f>
        <v/>
      </c>
      <c r="DE922" t="n">
        <v>918</v>
      </c>
      <c r="DF922">
        <f>HEADER_ROW+$DE922</f>
        <v/>
      </c>
      <c r="DG922">
        <f>IF(AND($DF922&lt;=1000,$DF922&lt;$B$8),1,0)</f>
        <v/>
      </c>
      <c r="DH922">
        <f>IF($DG922=1,IFERROR(INDEX($DB$5:$DB$1004,$DF922),""),"")</f>
        <v/>
      </c>
      <c r="DI922">
        <f>IF(AND($DG922=1,$DH922&lt;&gt;""),IFERROR(SUBSTITUTE(SUBSTITUTE(TRIM(SUBSTITUTE(SUBSTITUTE(SUBSTITUTE(SUBSTITUTE(IFERROR(INDEX(PASTE_ALL,$DF922,1)&amp;"","")&amp;"␟"&amp;IFERROR(INDEX(PASTE_ALL,$DF922,2)&amp;"","")&amp;"␟"&amp;IFERROR(INDEX(PASTE_ALL,$DF922,3)&amp;"","")&amp;"␟"&amp;IFERROR(INDEX(PASTE_ALL,$DF922,4)&amp;"","")&amp;"␟"&amp;IFERROR(INDEX(PASTE_ALL,$DF922,5)&amp;"","")&amp;"␟"&amp;IFERROR(INDEX(PASTE_ALL,$DF922,6)&amp;"","")&amp;"␟"&amp;IFERROR(INDEX(PASTE_ALL,$DF922,7)&amp;"","")&amp;"␟"&amp;IFERROR(INDEX(PASTE_ALL,$DF922,8)&amp;"","")&amp;"␟"&amp;IFERROR(INDEX(PASTE_ALL,$DF922,9)&amp;"","")&amp;"␟"&amp;IFERROR(INDEX(PASTE_ALL,$DF922,10)&amp;"","")&amp;"␟"&amp;IFERROR(INDEX(PASTE_ALL,$DF922,11)&amp;"","")&amp;"␟"&amp;IFERROR(INDEX(PASTE_ALL,$DF922,12)&amp;"","")&amp;"␟"&amp;IFERROR(INDEX(PASTE_ALL,$DF922,13)&amp;"","")&amp;"␟"&amp;IFERROR(INDEX(PASTE_ALL,$DF922,14)&amp;"","")&amp;"␟"&amp;IFERROR(INDEX(PASTE_ALL,$DF922,15)&amp;"","")&amp;"␟"&amp;IFERROR(INDEX(PASTE_ALL,$DF922,16)&amp;"","")&amp;"␟"&amp;IFERROR(INDEX(PASTE_ALL,$DF922,17)&amp;"","")&amp;"␟"&amp;IFERROR(INDEX(PASTE_ALL,$DF922,18)&amp;"","")&amp;"␟"&amp;IFERROR(INDEX(PASTE_ALL,$DF922,19)&amp;"","")&amp;"␟"&amp;IFERROR(INDEX(PASTE_ALL,$DF922,20)&amp;"","")&amp;"␟"&amp;IFERROR(INDEX(PASTE_ALL,$DF922,21)&amp;"","")&amp;"␟"&amp;IFERROR(INDEX(PASTE_ALL,$DF922,22)&amp;"","")&amp;"␟"&amp;IFERROR(INDEX(PASTE_ALL,$DF922,23)&amp;"","")&amp;"␟"&amp;IFERROR(INDEX(PASTE_ALL,$DF922,24)&amp;"","")&amp;"␟"&amp;IFERROR(INDEX(PASTE_ALL,$DF922,25)&amp;"","")&amp;"␟"&amp;IFERROR(INDEX(PASTE_ALL,$DF922,26)&amp;"","")&amp;"␟"&amp;IFERROR(INDEX(PASTE_ALL,$DF922,27)&amp;"","")&amp;"␟"&amp;IFERROR(INDEX(PASTE_ALL,$DF922,28)&amp;"","")&amp;"␟"&amp;IFERROR(INDEX(PASTE_ALL,$DF922,29)&amp;"","")&amp;"␟"&amp;IFERROR(INDEX(PASTE_ALL,$DF922,30)&amp;"","")&amp;"␟"&amp;IFERROR(INDEX(PASTE_ALL,$DF922,31)&amp;"","")&amp;"␟"&amp;IFERROR(INDEX(PASTE_ALL,$DF922,32)&amp;"","")&amp;"␟"&amp;IFERROR(INDEX(PASTE_ALL,$DF922,33)&amp;"","")&amp;"␟"&amp;IFERROR(INDEX(PASTE_ALL,$DF922,34)&amp;"","")&amp;"␟"&amp;IFERROR(INDEX(PASTE_ALL,$DF922,35)&amp;"","")&amp;"␟"&amp;IFERROR(INDEX(PASTE_ALL,$DF922,36)&amp;"","")&amp;"␟"&amp;IFERROR(INDEX(PASTE_ALL,$DF922,37)&amp;"","")&amp;"␟"&amp;IFERROR(INDEX(PASTE_ALL,$DF922,38)&amp;"","")&amp;"␟"&amp;IFERROR(INDEX(PASTE_ALL,$DF922,39)&amp;"","")&amp;"␟"&amp;IFERROR(INDEX(PASTE_ALL,$DF922,40)&amp;"","")&amp;"␟"&amp;IFERROR(INDEX(PASTE_ALL,$DF922,41)&amp;"","")&amp;"␟"&amp;IFERROR(INDEX(PASTE_ALL,$DF922,42)&amp;"","")&amp;"␟"&amp;IFERROR(INDEX(PASTE_ALL,$DF922,43)&amp;"","")&amp;"␟"&amp;IFERROR(INDEX(PASTE_ALL,$DF922,44)&amp;"","")&amp;"␟"&amp;IFERROR(INDEX(PASTE_ALL,$DF922,45)&amp;"","")&amp;"␟"&amp;IFERROR(INDEX(PASTE_ALL,$DF922,46)&amp;"","")&amp;"␟"&amp;IFERROR(INDEX(PASTE_ALL,$DF922,47)&amp;"","")&amp;"␟"&amp;IFERROR(INDEX(PASTE_ALL,$DF922,48)&amp;"","")&amp;"␟"&amp;IFERROR(INDEX(PASTE_ALL,$DF922,49)&amp;"","")&amp;"␟"&amp;IFERROR(INDEX(PASTE_ALL,$DF922,50)&amp;"","")&amp;"␟"&amp;IFERROR(INDEX(PASTE_ALL,$DF922,51)&amp;"","")&amp;"␟"&amp;IFERROR(INDEX(PASTE_ALL,$DF922,52)&amp;"","")&amp;"␟"&amp;IFERROR(INDEX(PASTE_ALL,$DF922,53)&amp;"","")&amp;"␟"&amp;IFERROR(INDEX(PASTE_ALL,$DF922,54)&amp;"","")&amp;"␟"&amp;IFERROR(INDEX(PASTE_ALL,$DF922,55)&amp;"","")&amp;"␟"&amp;IFERROR(INDEX(PASTE_ALL,$DF922,56)&amp;"","")&amp;"␟"&amp;IFERROR(INDEX(PASTE_ALL,$DF922,57)&amp;"","")&amp;"␟"&amp;IFERROR(INDEX(PASTE_ALL,$DF922,58)&amp;"","")&amp;"␟"&amp;IFERROR(INDEX(PASTE_ALL,$DF922,59)&amp;"","")&amp;"␟"&amp;IFERROR(INDEX(PASTE_ALL,$DF922,60)&amp;"","")," "," "),CHAR(9)," "),CHAR(10)," "),CHAR(13)," "))," ␟","␟"),"␟ ","␟"),"#"&amp;$DE922),"")</f>
        <v/>
      </c>
      <c r="DJ922">
        <f>IF($DI922="",0,IF(SUMPRODUCT(--EXACT($DI$4:DI921,$DI922))&gt;0,1,0))</f>
        <v/>
      </c>
      <c r="DK922">
        <f>IF(AND($DI922&lt;&gt;"",$DJ922=0),1,0)</f>
        <v/>
      </c>
      <c r="DL922">
        <f>DL921+$DK922</f>
        <v/>
      </c>
      <c r="DM922">
        <f>IF(AND($DK922=1,$DL922&lt;=600),1,0)</f>
        <v/>
      </c>
      <c r="DN922">
        <f>IF($DM922=0,"",IF($L$6=0,"",IFERROR(IF(ISNUMBER(INDEX(PASTE_ALL,$DF922,$L$6)),INDEX(PASTE_ALL,$DF922,$L$6),TRIM(SUBSTITUTE(SUBSTITUTE(SUBSTITUTE(SUBSTITUTE(INDEX(PASTE_ALL,$DF922,$L$6)," "," "),CHAR(9)," "),CHAR(10)," "),CHAR(13)," "))),"")))</f>
        <v/>
      </c>
      <c r="DO922">
        <f>IF($DM922=0,"",IF($L$7=0,"",IFERROR(IF(ISNUMBER(INDEX(PASTE_ALL,$DF922,$L$7)),INDEX(PASTE_ALL,$DF922,$L$7),TRIM(SUBSTITUTE(SUBSTITUTE(SUBSTITUTE(SUBSTITUTE(INDEX(PASTE_ALL,$DF922,$L$7)," "," "),CHAR(9)," "),CHAR(10)," "),CHAR(13)," "))),"")))</f>
        <v/>
      </c>
      <c r="DP922">
        <f>IF($DM922=0,"",IF($L$8=0,"",IFERROR(IF(ISNUMBER(INDEX(PASTE_ALL,$DF922,$L$8)),INDEX(PASTE_ALL,$DF922,$L$8),TRIM(SUBSTITUTE(SUBSTITUTE(SUBSTITUTE(SUBSTITUTE(INDEX(PASTE_ALL,$DF922,$L$8)," "," "),CHAR(9)," "),CHAR(10)," "),CHAR(13)," "))),"")))</f>
        <v/>
      </c>
      <c r="DQ922">
        <f>IF($DM922=0,"",IF($L$9=0,"",IFERROR(IF(ISNUMBER(INDEX(PASTE_ALL,$DF922,$L$9)),INDEX(PASTE_ALL,$DF922,$L$9),TRIM(SUBSTITUTE(SUBSTITUTE(SUBSTITUTE(SUBSTITUTE(INDEX(PASTE_ALL,$DF922,$L$9)," "," "),CHAR(9)," "),CHAR(10)," "),CHAR(13)," "))),"")))</f>
        <v/>
      </c>
      <c r="DR922">
        <f>IF($DM922=0,"",IF($L$10=0,"",IFERROR(IF(ISNUMBER(INDEX(PASTE_ALL,$DF922,$L$10)),INDEX(PASTE_ALL,$DF922,$L$10),TRIM(SUBSTITUTE(SUBSTITUTE(SUBSTITUTE(SUBSTITUTE(INDEX(PASTE_ALL,$DF922,$L$10)," "," "),CHAR(9)," "),CHAR(10)," "),CHAR(13)," "))),"")))</f>
        <v/>
      </c>
      <c r="DS922">
        <f>IF($DM922=0,"",IF($L$11=0,"",IFERROR(IF(ISNUMBER(INDEX(PASTE_ALL,$DF922,$L$11)),INDEX(PASTE_ALL,$DF922,$L$11),TRIM(SUBSTITUTE(SUBSTITUTE(SUBSTITUTE(SUBSTITUTE(INDEX(PASTE_ALL,$DF922,$L$11)," "," "),CHAR(9)," "),CHAR(10)," "),CHAR(13)," "))),"")))</f>
        <v/>
      </c>
      <c r="DT922">
        <f>IF($DM922=0,"",IF($L$12=0,"",IFERROR(IF(ISNUMBER(INDEX(PASTE_ALL,$DF922,$L$12)),INDEX(PASTE_ALL,$DF922,$L$12),TRIM(SUBSTITUTE(SUBSTITUTE(SUBSTITUTE(SUBSTITUTE(INDEX(PASTE_ALL,$DF922,$L$12)," "," "),CHAR(9)," "),CHAR(10)," "),CHAR(13)," "))),"")))</f>
        <v/>
      </c>
      <c r="DU922">
        <f>IF($DM922=0,"",IF($L$13=0,"",IFERROR(IF(ISNUMBER(INDEX(PASTE_ALL,$DF922,$L$13)),INDEX(PASTE_ALL,$DF922,$L$13),TRIM(SUBSTITUTE(SUBSTITUTE(SUBSTITUTE(SUBSTITUTE(INDEX(PASTE_ALL,$DF922,$L$13)," "," "),CHAR(9)," "),CHAR(10)," "),CHAR(13)," "))),"")))</f>
        <v/>
      </c>
      <c r="DV922">
        <f>IF($DM922=0,"",IF($L$14=0,"",IFERROR(IF(ISNUMBER(INDEX(PASTE_ALL,$DF922,$L$14)),INDEX(PASTE_ALL,$DF922,$L$14),TRIM(SUBSTITUTE(SUBSTITUTE(SUBSTITUTE(SUBSTITUTE(INDEX(PASTE_ALL,$DF922,$L$14)," "," "),CHAR(9)," "),CHAR(10)," "),CHAR(13)," "))),"")))</f>
        <v/>
      </c>
      <c r="DW922">
        <f>IF($DM922=0,"",IF($L$15=0,"",IFERROR(IF(ISNUMBER(INDEX(PASTE_ALL,$DF922,$L$15)),INDEX(PASTE_ALL,$DF922,$L$15),IF(SUMPRODUCT(--ISNUMBER(FIND({"A","B","C","D","E","F","G","H","I","J","K","L","M","N","O","P","Q","R","S","T","U","V","W","X","Y","Z","0","1","2","3","4","5","6","7","8","9"},UPPER(TRIM(SUBSTITUTE(SUBSTITUTE(SUBSTITUTE(SUBSTITUTE(INDEX(PASTE_ALL,$DF922,$L$15)," "," "),CHAR(9)," "),CHAR(10)," "),CHAR(13)," "))))))&gt;0,TRIM(SUBSTITUTE(SUBSTITUTE(SUBSTITUTE(SUBSTITUTE(INDEX(PASTE_ALL,$DF922,$L$15)," "," "),CHAR(9)," "),CHAR(10)," "),CHAR(13)," ")),"")),"")))</f>
        <v/>
      </c>
      <c r="DX922">
        <f>IF($DM922=0,"",IF($L$16=0,"",IFERROR(IF(ISNUMBER(INDEX(PASTE_ALL,$DF922,$L$16)),INDEX(PASTE_ALL,$DF922,$L$16),SUBSTITUTE(SUBSTITUTE(TRIM(SUBSTITUTE(SUBSTITUTE(SUBSTITUTE(SUBSTITUTE(INDEX(PASTE_ALL,$DF922,$L$16)," "," "),CHAR(9)," "),CHAR(10)," "),CHAR(13)," ")),",",""),"%","")),"")))</f>
        <v/>
      </c>
      <c r="DY922">
        <f>IF($DM922=0,"",IFERROR(IF(ISNUMBER($DX922),$DX922,IF($DX922="","",IF(TRIM($DX922)="",0,IF(AND(AND(SUBSTITUTE(SUBSTITUTE(SUBSTITUTE(SUBSTITUTE(SUBSTITUTE(SUBSTITUTE(SUBSTITUTE(SUBSTITUTE(SUBSTITUTE(SUBSTITUTE(SUBSTITUTE(SUBSTITUTE(SUBSTITUTE(SUBSTITUTE(UPPER(TRIM($DX922)),"0",""),"1",""),"2",""),"3",""),"4",""),"5",""),"6",""),"7",""),"8",""),"9",""),".",""),"+",""),"-",""),"E","")="",LEN(SUBSTITUTE(SUBSTITUTE(MID(UPPER(TRIM($DX922)),1+OR(LEFT(UPPER(TRIM($DX922)),1)="+",LEFT(UPPER(TRIM($DX922)),1)="-"),999),"E+","E"),"E-","E"))=LEN(SUBSTITUTE(SUBSTITUTE(SUBSTITUTE(SUBSTITUTE(MID(UPPER(TRIM($DX922)),1+OR(LEFT(UPPER(TRIM($DX922)),1)="+",LEFT(UPPER(TRIM($DX922)),1)="-"),999),"E+","E"),"E-","E"),"+",""),"-","")),LEN(UPPER(TRIM($DX922)))-LEN(SUBSTITUTE(UPPER(TRIM($DX922)),"E",""))&lt;2,LEN(UPPER(TRIM($DX922)))-LEN(SUBSTITUTE(UPPER(TRIM($DX922)),".",""))&lt;2,IFERROR(FIND(".",UPPER(TRIM($DX922))),0)&lt;IFERROR(FIND("E",UPPER(TRIM($DX922))),999)),ISNUMBER(VALUE(TRIM($DX922)))),VALUE(TRIM($DX922)),"")))),""))</f>
        <v/>
      </c>
      <c r="DZ922">
        <f>IF($DM922=0,"",IF($L$17=0,"",IFERROR(IF(ISNUMBER(INDEX(PASTE_ALL,$DF922,$L$17)),INDEX(PASTE_ALL,$DF922,$L$17),SUBSTITUTE(SUBSTITUTE(TRIM(SUBSTITUTE(SUBSTITUTE(SUBSTITUTE(SUBSTITUTE(INDEX(PASTE_ALL,$DF922,$L$17)," "," "),CHAR(9)," "),CHAR(10)," "),CHAR(13)," ")),",",""),"%","")),"")))</f>
        <v/>
      </c>
      <c r="EA922">
        <f>IF($DM922=0,"",IFERROR(IF(ISNUMBER($DZ922),$DZ922,IF($DZ922="","",IF(TRIM($DZ922)="",0,IF(AND(AND(SUBSTITUTE(SUBSTITUTE(SUBSTITUTE(SUBSTITUTE(SUBSTITUTE(SUBSTITUTE(SUBSTITUTE(SUBSTITUTE(SUBSTITUTE(SUBSTITUTE(SUBSTITUTE(SUBSTITUTE(SUBSTITUTE(SUBSTITUTE(UPPER(TRIM($DZ922)),"0",""),"1",""),"2",""),"3",""),"4",""),"5",""),"6",""),"7",""),"8",""),"9",""),".",""),"+",""),"-",""),"E","")="",LEN(SUBSTITUTE(SUBSTITUTE(MID(UPPER(TRIM($DZ922)),1+OR(LEFT(UPPER(TRIM($DZ922)),1)="+",LEFT(UPPER(TRIM($DZ922)),1)="-"),999),"E+","E"),"E-","E"))=LEN(SUBSTITUTE(SUBSTITUTE(SUBSTITUTE(SUBSTITUTE(MID(UPPER(TRIM($DZ922)),1+OR(LEFT(UPPER(TRIM($DZ922)),1)="+",LEFT(UPPER(TRIM($DZ922)),1)="-"),999),"E+","E"),"E-","E"),"+",""),"-","")),LEN(UPPER(TRIM($DZ922)))-LEN(SUBSTITUTE(UPPER(TRIM($DZ922)),"E",""))&lt;2,LEN(UPPER(TRIM($DZ922)))-LEN(SUBSTITUTE(UPPER(TRIM($DZ922)),".",""))&lt;2,IFERROR(FIND(".",UPPER(TRIM($DZ922))),0)&lt;IFERROR(FIND("E",UPPER(TRIM($DZ922))),999)),ISNUMBER(VALUE(TRIM($DZ922)))),VALUE(TRIM($DZ922)),"")))),""))</f>
        <v/>
      </c>
      <c r="EB922">
        <f>IF($DM922=0,"",IF($L$18=0,"",IFERROR(IF(UPPER(TRIM(SUBSTITUTE(SUBSTITUTE(SUBSTITUTE(SUBSTITUTE(INDEX(PASTE_ALL,$DF922,$L$18)," "," "),CHAR(9)," "),CHAR(10)," "),CHAR(13)," ")))="READY","Ready",IF(UPPER(TRIM(SUBSTITUTE(SUBSTITUTE(SUBSTITUTE(SUBSTITUTE(INDEX(PASTE_ALL,$DF922,$L$18)," "," "),CHAR(9)," "),CHAR(10)," "),CHAR(13)," ")))="PM","PM",IF(OR(UPPER(TRIM(SUBSTITUTE(SUBSTITUTE(SUBSTITUTE(SUBSTITUTE(INDEX(PASTE_ALL,$DF922,$L$18)," "," "),CHAR(9)," "),CHAR(10)," "),CHAR(13)," ")))="OT",UPPER(TRIM(SUBSTITUTE(SUBSTITUTE(SUBSTITUTE(SUBSTITUTE(INDEX(PASTE_ALL,$DF922,$L$18)," "," "),CHAR(9)," "),CHAR(10)," "),CHAR(13)," ")))="OVERTIME",UPPER(TRIM(SUBSTITUTE(SUBSTITUTE(SUBSTITUTE(SUBSTITUTE(INDEX(PASTE_ALL,$DF922,$L$18)," "," "),CHAR(9)," "),CHAR(10)," "),CHAR(13)," ")))="TRIAL"),"OT",TRIM(SUBSTITUTE(SUBSTITUTE(SUBSTITUTE(SUBSTITUTE(INDEX(PASTE_ALL,$DF922,$L$18)," "," "),CHAR(9)," "),CHAR(10)," "),CHAR(13)," "))))),"")))</f>
        <v/>
      </c>
      <c r="EC922">
        <f>IF($DM922=0,"",IF($L$19=0,"",IFERROR(IF(ISNUMBER(INDEX(PASTE_ALL,$DF922,$L$19)),INDEX(PASTE_ALL,$DF922,$L$19),TRIM(SUBSTITUTE(SUBSTITUTE(SUBSTITUTE(SUBSTITUTE(INDEX(PASTE_ALL,$DF922,$L$19)," "," "),CHAR(9)," "),CHAR(10)," "),CHAR(13)," "))),"")))</f>
        <v/>
      </c>
      <c r="ED922">
        <f>IF($DM922=0,"",MATCH(1,INDEX(EXACT($DH$5:DH922,$DH922)*$DM$5:DM922,0),0))</f>
        <v/>
      </c>
      <c r="EE922">
        <f>IF($DM922=0,0,IF($ED922=$DE922,1,0))</f>
        <v/>
      </c>
      <c r="EF922">
        <f>EF921+$EE922</f>
        <v/>
      </c>
      <c r="EG922">
        <f>IF($DM922=0,"",INDEX($EF$5:$EF$1003,$ED922))</f>
        <v/>
      </c>
      <c r="EH922">
        <f>IF($DM922=0,"",IF($DO922&lt;&gt;"","",IFERROR(LOOKUP(2,1/(($EG$4:EG921=$EG922)*($DO$4:DO921&lt;&gt;"")),$DO$4:DO921),"")))</f>
        <v/>
      </c>
      <c r="EI922">
        <f>IF($DM922=0,"",IF($DO922&lt;&gt;"",$DO922,$EH922))</f>
        <v/>
      </c>
      <c r="EJ922">
        <f>IF($DM922=0,"",IF($EI922="",0,IF(OR(ISNUMBER($EI922),AND(AND(SUBSTITUTE(SUBSTITUTE(SUBSTITUTE(SUBSTITUTE(SUBSTITUTE(SUBSTITUTE(SUBSTITUTE(SUBSTITUTE(SUBSTITUTE(SUBSTITUTE(SUBSTITUTE(SUBSTITUTE(SUBSTITUTE(SUBSTITUTE(UPPER($EI922),"0",""),"1",""),"2",""),"3",""),"4",""),"5",""),"6",""),"7",""),"8",""),"9",""),".",""),"+",""),"-",""),"E","")="",LEN(SUBSTITUTE(SUBSTITUTE(MID(UPPER($EI922),1+OR(LEFT(UPPER($EI922),1)="+",LEFT(UPPER($EI922),1)="-"),999),"E+","E"),"E-","E"))=LEN(SUBSTITUTE(SUBSTITUTE(SUBSTITUTE(SUBSTITUTE(MID(UPPER($EI922),1+OR(LEFT(UPPER($EI922),1)="+",LEFT(UPPER($EI922),1)="-"),999),"E+","E"),"E-","E"),"+",""),"-","")),LEN(UPPER($EI922))-LEN(SUBSTITUTE(UPPER($EI922),"E",""))&lt;2,LEN(UPPER($EI922))-LEN(SUBSTITUTE(UPPER($EI922),".",""))&lt;2,IFERROR(FIND(".",UPPER($EI922)),0)&lt;IFERROR(FIND("E",UPPER($EI922)),999)),ISNUMBER(VALUE($EI922)))),1,2)))</f>
        <v/>
      </c>
      <c r="EK922">
        <f>IF($DM922=0,"",IF($EJ922=1,IF(ISNUMBER($EI922),$EI922,VALUE($EI922)),IF($EJ922=2,$DE922,0)))</f>
        <v/>
      </c>
      <c r="EL922">
        <f>IF($DM922=0,"",COUNTIF($EG$5:$EG$1003,"&lt;"&amp;$EG922)+SUMPRODUCT(($EG$5:$EG$1003=$EG922)*(($EJ$5:$EJ$1003&lt;$EJ922)+($EJ$5:$EJ$1003=$EJ922)*(($EK$5:$EK$1003&lt;$EK922)+($EK$5:$EK$1003=$EK922)*($DE$5:$DE$1003&lt;$DE922))))+1)</f>
        <v/>
      </c>
      <c r="EM922">
        <f>IF($DM922=0,"",$EL922+$EG922-1)</f>
        <v/>
      </c>
      <c r="EN922">
        <f>IF($DM922=0,0,IFERROR(MATCH(1,INDEX(--(TRIM(SUBSTITUTE(SUBSTITUTE(SUBSTITUTE(SUBSTITUTE(LINES_NAME&amp;""," "," "),CHAR(9)," "),CHAR(10)," "),CHAR(13)," "))=$DH922),0),0),0))</f>
        <v/>
      </c>
      <c r="EO922">
        <f>IF($EN922=0,0,IF(OR(UPPER(TRIM(INDEX(LINES_SCHEDULED,$EN922)&amp;""))="YES",UPPER(TRIM(INDEX(LINES_SCHEDULED,$EN922)&amp;""))="Y",UPPER(TRIM(INDEX(LINES_SCHEDULED,$EN922)&amp;""))="X"),1,0))</f>
        <v/>
      </c>
      <c r="EP922">
        <f>IF($DM922=0,"",IF(COUNTIFS($EG$5:$EG$1003,$EG922,$EB$5:$EB$1003,"Ready")&gt;0,"READY",IF(COUNTIFS($EG$5:$EG$1003,$EG922,$EB$5:$EB$1003,"PM")&gt;0,"PM",IF(COUNTIFS($EG$5:$EG$1003,$EG922,$EB$5:$EB$1003,"OT")&gt;0,"OT",""))))</f>
        <v/>
      </c>
      <c r="EQ922">
        <f>IF($EN922=0,"",UPPER(TRIM(INDEX(LINES_STATUS,$EN922)&amp;"")))</f>
        <v/>
      </c>
      <c r="ER922">
        <f>IF($DM922=0,"",IF(OR($EQ922="READY",$EQ922="PM",$EQ922="OT"),$EQ922,$EP922))</f>
        <v/>
      </c>
      <c r="ES922">
        <f>IF($DM922=0,"",IF(AND($DV922&lt;&gt;"",UPPER($DV922)&lt;&gt;"N"),"allergen",IF(ISNUMBER(SEARCH("oil",$DQ922)),"oil",IF(OR(EXACT($DS922,"A662"),EXACT($DS922,"A624")),"bulk",""))))</f>
        <v/>
      </c>
      <c r="ET922">
        <f>IF($DM922=0,"",IF(OR($EA922="",$EA922=0),"",$EA922/100))</f>
        <v/>
      </c>
      <c r="EU922">
        <f>IF(OR($ET922="",$DY922=""),"",INT($DY922*(1-$ET922)+0.5))</f>
        <v/>
      </c>
    </row>
    <row r="923">
      <c r="DA923" t="n">
        <v>919</v>
      </c>
      <c r="DB923">
        <f>IF($B$37=0,"",IFERROR(TRIM(SUBSTITUTE(SUBSTITUTE(SUBSTITUTE(SUBSTITUTE(INDEX(PASTE_ALL,919,$B$37)," "," "),CHAR(9)," "),CHAR(10)," "),CHAR(13)," ")),""))</f>
        <v/>
      </c>
      <c r="DC923">
        <f>IF(AND(919&gt;HEADER_ROW,UPPER(DB923)="LEGEND"),1,0)</f>
        <v/>
      </c>
      <c r="DE923" t="n">
        <v>919</v>
      </c>
      <c r="DF923">
        <f>HEADER_ROW+$DE923</f>
        <v/>
      </c>
      <c r="DG923">
        <f>IF(AND($DF923&lt;=1000,$DF923&lt;$B$8),1,0)</f>
        <v/>
      </c>
      <c r="DH923">
        <f>IF($DG923=1,IFERROR(INDEX($DB$5:$DB$1004,$DF923),""),"")</f>
        <v/>
      </c>
      <c r="DI923">
        <f>IF(AND($DG923=1,$DH923&lt;&gt;""),IFERROR(SUBSTITUTE(SUBSTITUTE(TRIM(SUBSTITUTE(SUBSTITUTE(SUBSTITUTE(SUBSTITUTE(IFERROR(INDEX(PASTE_ALL,$DF923,1)&amp;"","")&amp;"␟"&amp;IFERROR(INDEX(PASTE_ALL,$DF923,2)&amp;"","")&amp;"␟"&amp;IFERROR(INDEX(PASTE_ALL,$DF923,3)&amp;"","")&amp;"␟"&amp;IFERROR(INDEX(PASTE_ALL,$DF923,4)&amp;"","")&amp;"␟"&amp;IFERROR(INDEX(PASTE_ALL,$DF923,5)&amp;"","")&amp;"␟"&amp;IFERROR(INDEX(PASTE_ALL,$DF923,6)&amp;"","")&amp;"␟"&amp;IFERROR(INDEX(PASTE_ALL,$DF923,7)&amp;"","")&amp;"␟"&amp;IFERROR(INDEX(PASTE_ALL,$DF923,8)&amp;"","")&amp;"␟"&amp;IFERROR(INDEX(PASTE_ALL,$DF923,9)&amp;"","")&amp;"␟"&amp;IFERROR(INDEX(PASTE_ALL,$DF923,10)&amp;"","")&amp;"␟"&amp;IFERROR(INDEX(PASTE_ALL,$DF923,11)&amp;"","")&amp;"␟"&amp;IFERROR(INDEX(PASTE_ALL,$DF923,12)&amp;"","")&amp;"␟"&amp;IFERROR(INDEX(PASTE_ALL,$DF923,13)&amp;"","")&amp;"␟"&amp;IFERROR(INDEX(PASTE_ALL,$DF923,14)&amp;"","")&amp;"␟"&amp;IFERROR(INDEX(PASTE_ALL,$DF923,15)&amp;"","")&amp;"␟"&amp;IFERROR(INDEX(PASTE_ALL,$DF923,16)&amp;"","")&amp;"␟"&amp;IFERROR(INDEX(PASTE_ALL,$DF923,17)&amp;"","")&amp;"␟"&amp;IFERROR(INDEX(PASTE_ALL,$DF923,18)&amp;"","")&amp;"␟"&amp;IFERROR(INDEX(PASTE_ALL,$DF923,19)&amp;"","")&amp;"␟"&amp;IFERROR(INDEX(PASTE_ALL,$DF923,20)&amp;"","")&amp;"␟"&amp;IFERROR(INDEX(PASTE_ALL,$DF923,21)&amp;"","")&amp;"␟"&amp;IFERROR(INDEX(PASTE_ALL,$DF923,22)&amp;"","")&amp;"␟"&amp;IFERROR(INDEX(PASTE_ALL,$DF923,23)&amp;"","")&amp;"␟"&amp;IFERROR(INDEX(PASTE_ALL,$DF923,24)&amp;"","")&amp;"␟"&amp;IFERROR(INDEX(PASTE_ALL,$DF923,25)&amp;"","")&amp;"␟"&amp;IFERROR(INDEX(PASTE_ALL,$DF923,26)&amp;"","")&amp;"␟"&amp;IFERROR(INDEX(PASTE_ALL,$DF923,27)&amp;"","")&amp;"␟"&amp;IFERROR(INDEX(PASTE_ALL,$DF923,28)&amp;"","")&amp;"␟"&amp;IFERROR(INDEX(PASTE_ALL,$DF923,29)&amp;"","")&amp;"␟"&amp;IFERROR(INDEX(PASTE_ALL,$DF923,30)&amp;"","")&amp;"␟"&amp;IFERROR(INDEX(PASTE_ALL,$DF923,31)&amp;"","")&amp;"␟"&amp;IFERROR(INDEX(PASTE_ALL,$DF923,32)&amp;"","")&amp;"␟"&amp;IFERROR(INDEX(PASTE_ALL,$DF923,33)&amp;"","")&amp;"␟"&amp;IFERROR(INDEX(PASTE_ALL,$DF923,34)&amp;"","")&amp;"␟"&amp;IFERROR(INDEX(PASTE_ALL,$DF923,35)&amp;"","")&amp;"␟"&amp;IFERROR(INDEX(PASTE_ALL,$DF923,36)&amp;"","")&amp;"␟"&amp;IFERROR(INDEX(PASTE_ALL,$DF923,37)&amp;"","")&amp;"␟"&amp;IFERROR(INDEX(PASTE_ALL,$DF923,38)&amp;"","")&amp;"␟"&amp;IFERROR(INDEX(PASTE_ALL,$DF923,39)&amp;"","")&amp;"␟"&amp;IFERROR(INDEX(PASTE_ALL,$DF923,40)&amp;"","")&amp;"␟"&amp;IFERROR(INDEX(PASTE_ALL,$DF923,41)&amp;"","")&amp;"␟"&amp;IFERROR(INDEX(PASTE_ALL,$DF923,42)&amp;"","")&amp;"␟"&amp;IFERROR(INDEX(PASTE_ALL,$DF923,43)&amp;"","")&amp;"␟"&amp;IFERROR(INDEX(PASTE_ALL,$DF923,44)&amp;"","")&amp;"␟"&amp;IFERROR(INDEX(PASTE_ALL,$DF923,45)&amp;"","")&amp;"␟"&amp;IFERROR(INDEX(PASTE_ALL,$DF923,46)&amp;"","")&amp;"␟"&amp;IFERROR(INDEX(PASTE_ALL,$DF923,47)&amp;"","")&amp;"␟"&amp;IFERROR(INDEX(PASTE_ALL,$DF923,48)&amp;"","")&amp;"␟"&amp;IFERROR(INDEX(PASTE_ALL,$DF923,49)&amp;"","")&amp;"␟"&amp;IFERROR(INDEX(PASTE_ALL,$DF923,50)&amp;"","")&amp;"␟"&amp;IFERROR(INDEX(PASTE_ALL,$DF923,51)&amp;"","")&amp;"␟"&amp;IFERROR(INDEX(PASTE_ALL,$DF923,52)&amp;"","")&amp;"␟"&amp;IFERROR(INDEX(PASTE_ALL,$DF923,53)&amp;"","")&amp;"␟"&amp;IFERROR(INDEX(PASTE_ALL,$DF923,54)&amp;"","")&amp;"␟"&amp;IFERROR(INDEX(PASTE_ALL,$DF923,55)&amp;"","")&amp;"␟"&amp;IFERROR(INDEX(PASTE_ALL,$DF923,56)&amp;"","")&amp;"␟"&amp;IFERROR(INDEX(PASTE_ALL,$DF923,57)&amp;"","")&amp;"␟"&amp;IFERROR(INDEX(PASTE_ALL,$DF923,58)&amp;"","")&amp;"␟"&amp;IFERROR(INDEX(PASTE_ALL,$DF923,59)&amp;"","")&amp;"␟"&amp;IFERROR(INDEX(PASTE_ALL,$DF923,60)&amp;"","")," "," "),CHAR(9)," "),CHAR(10)," "),CHAR(13)," "))," ␟","␟"),"␟ ","␟"),"#"&amp;$DE923),"")</f>
        <v/>
      </c>
      <c r="DJ923">
        <f>IF($DI923="",0,IF(SUMPRODUCT(--EXACT($DI$4:DI922,$DI923))&gt;0,1,0))</f>
        <v/>
      </c>
      <c r="DK923">
        <f>IF(AND($DI923&lt;&gt;"",$DJ923=0),1,0)</f>
        <v/>
      </c>
      <c r="DL923">
        <f>DL922+$DK923</f>
        <v/>
      </c>
      <c r="DM923">
        <f>IF(AND($DK923=1,$DL923&lt;=600),1,0)</f>
        <v/>
      </c>
      <c r="DN923">
        <f>IF($DM923=0,"",IF($L$6=0,"",IFERROR(IF(ISNUMBER(INDEX(PASTE_ALL,$DF923,$L$6)),INDEX(PASTE_ALL,$DF923,$L$6),TRIM(SUBSTITUTE(SUBSTITUTE(SUBSTITUTE(SUBSTITUTE(INDEX(PASTE_ALL,$DF923,$L$6)," "," "),CHAR(9)," "),CHAR(10)," "),CHAR(13)," "))),"")))</f>
        <v/>
      </c>
      <c r="DO923">
        <f>IF($DM923=0,"",IF($L$7=0,"",IFERROR(IF(ISNUMBER(INDEX(PASTE_ALL,$DF923,$L$7)),INDEX(PASTE_ALL,$DF923,$L$7),TRIM(SUBSTITUTE(SUBSTITUTE(SUBSTITUTE(SUBSTITUTE(INDEX(PASTE_ALL,$DF923,$L$7)," "," "),CHAR(9)," "),CHAR(10)," "),CHAR(13)," "))),"")))</f>
        <v/>
      </c>
      <c r="DP923">
        <f>IF($DM923=0,"",IF($L$8=0,"",IFERROR(IF(ISNUMBER(INDEX(PASTE_ALL,$DF923,$L$8)),INDEX(PASTE_ALL,$DF923,$L$8),TRIM(SUBSTITUTE(SUBSTITUTE(SUBSTITUTE(SUBSTITUTE(INDEX(PASTE_ALL,$DF923,$L$8)," "," "),CHAR(9)," "),CHAR(10)," "),CHAR(13)," "))),"")))</f>
        <v/>
      </c>
      <c r="DQ923">
        <f>IF($DM923=0,"",IF($L$9=0,"",IFERROR(IF(ISNUMBER(INDEX(PASTE_ALL,$DF923,$L$9)),INDEX(PASTE_ALL,$DF923,$L$9),TRIM(SUBSTITUTE(SUBSTITUTE(SUBSTITUTE(SUBSTITUTE(INDEX(PASTE_ALL,$DF923,$L$9)," "," "),CHAR(9)," "),CHAR(10)," "),CHAR(13)," "))),"")))</f>
        <v/>
      </c>
      <c r="DR923">
        <f>IF($DM923=0,"",IF($L$10=0,"",IFERROR(IF(ISNUMBER(INDEX(PASTE_ALL,$DF923,$L$10)),INDEX(PASTE_ALL,$DF923,$L$10),TRIM(SUBSTITUTE(SUBSTITUTE(SUBSTITUTE(SUBSTITUTE(INDEX(PASTE_ALL,$DF923,$L$10)," "," "),CHAR(9)," "),CHAR(10)," "),CHAR(13)," "))),"")))</f>
        <v/>
      </c>
      <c r="DS923">
        <f>IF($DM923=0,"",IF($L$11=0,"",IFERROR(IF(ISNUMBER(INDEX(PASTE_ALL,$DF923,$L$11)),INDEX(PASTE_ALL,$DF923,$L$11),TRIM(SUBSTITUTE(SUBSTITUTE(SUBSTITUTE(SUBSTITUTE(INDEX(PASTE_ALL,$DF923,$L$11)," "," "),CHAR(9)," "),CHAR(10)," "),CHAR(13)," "))),"")))</f>
        <v/>
      </c>
      <c r="DT923">
        <f>IF($DM923=0,"",IF($L$12=0,"",IFERROR(IF(ISNUMBER(INDEX(PASTE_ALL,$DF923,$L$12)),INDEX(PASTE_ALL,$DF923,$L$12),TRIM(SUBSTITUTE(SUBSTITUTE(SUBSTITUTE(SUBSTITUTE(INDEX(PASTE_ALL,$DF923,$L$12)," "," "),CHAR(9)," "),CHAR(10)," "),CHAR(13)," "))),"")))</f>
        <v/>
      </c>
      <c r="DU923">
        <f>IF($DM923=0,"",IF($L$13=0,"",IFERROR(IF(ISNUMBER(INDEX(PASTE_ALL,$DF923,$L$13)),INDEX(PASTE_ALL,$DF923,$L$13),TRIM(SUBSTITUTE(SUBSTITUTE(SUBSTITUTE(SUBSTITUTE(INDEX(PASTE_ALL,$DF923,$L$13)," "," "),CHAR(9)," "),CHAR(10)," "),CHAR(13)," "))),"")))</f>
        <v/>
      </c>
      <c r="DV923">
        <f>IF($DM923=0,"",IF($L$14=0,"",IFERROR(IF(ISNUMBER(INDEX(PASTE_ALL,$DF923,$L$14)),INDEX(PASTE_ALL,$DF923,$L$14),TRIM(SUBSTITUTE(SUBSTITUTE(SUBSTITUTE(SUBSTITUTE(INDEX(PASTE_ALL,$DF923,$L$14)," "," "),CHAR(9)," "),CHAR(10)," "),CHAR(13)," "))),"")))</f>
        <v/>
      </c>
      <c r="DW923">
        <f>IF($DM923=0,"",IF($L$15=0,"",IFERROR(IF(ISNUMBER(INDEX(PASTE_ALL,$DF923,$L$15)),INDEX(PASTE_ALL,$DF923,$L$15),IF(SUMPRODUCT(--ISNUMBER(FIND({"A","B","C","D","E","F","G","H","I","J","K","L","M","N","O","P","Q","R","S","T","U","V","W","X","Y","Z","0","1","2","3","4","5","6","7","8","9"},UPPER(TRIM(SUBSTITUTE(SUBSTITUTE(SUBSTITUTE(SUBSTITUTE(INDEX(PASTE_ALL,$DF923,$L$15)," "," "),CHAR(9)," "),CHAR(10)," "),CHAR(13)," "))))))&gt;0,TRIM(SUBSTITUTE(SUBSTITUTE(SUBSTITUTE(SUBSTITUTE(INDEX(PASTE_ALL,$DF923,$L$15)," "," "),CHAR(9)," "),CHAR(10)," "),CHAR(13)," ")),"")),"")))</f>
        <v/>
      </c>
      <c r="DX923">
        <f>IF($DM923=0,"",IF($L$16=0,"",IFERROR(IF(ISNUMBER(INDEX(PASTE_ALL,$DF923,$L$16)),INDEX(PASTE_ALL,$DF923,$L$16),SUBSTITUTE(SUBSTITUTE(TRIM(SUBSTITUTE(SUBSTITUTE(SUBSTITUTE(SUBSTITUTE(INDEX(PASTE_ALL,$DF923,$L$16)," "," "),CHAR(9)," "),CHAR(10)," "),CHAR(13)," ")),",",""),"%","")),"")))</f>
        <v/>
      </c>
      <c r="DY923">
        <f>IF($DM923=0,"",IFERROR(IF(ISNUMBER($DX923),$DX923,IF($DX923="","",IF(TRIM($DX923)="",0,IF(AND(AND(SUBSTITUTE(SUBSTITUTE(SUBSTITUTE(SUBSTITUTE(SUBSTITUTE(SUBSTITUTE(SUBSTITUTE(SUBSTITUTE(SUBSTITUTE(SUBSTITUTE(SUBSTITUTE(SUBSTITUTE(SUBSTITUTE(SUBSTITUTE(UPPER(TRIM($DX923)),"0",""),"1",""),"2",""),"3",""),"4",""),"5",""),"6",""),"7",""),"8",""),"9",""),".",""),"+",""),"-",""),"E","")="",LEN(SUBSTITUTE(SUBSTITUTE(MID(UPPER(TRIM($DX923)),1+OR(LEFT(UPPER(TRIM($DX923)),1)="+",LEFT(UPPER(TRIM($DX923)),1)="-"),999),"E+","E"),"E-","E"))=LEN(SUBSTITUTE(SUBSTITUTE(SUBSTITUTE(SUBSTITUTE(MID(UPPER(TRIM($DX923)),1+OR(LEFT(UPPER(TRIM($DX923)),1)="+",LEFT(UPPER(TRIM($DX923)),1)="-"),999),"E+","E"),"E-","E"),"+",""),"-","")),LEN(UPPER(TRIM($DX923)))-LEN(SUBSTITUTE(UPPER(TRIM($DX923)),"E",""))&lt;2,LEN(UPPER(TRIM($DX923)))-LEN(SUBSTITUTE(UPPER(TRIM($DX923)),".",""))&lt;2,IFERROR(FIND(".",UPPER(TRIM($DX923))),0)&lt;IFERROR(FIND("E",UPPER(TRIM($DX923))),999)),ISNUMBER(VALUE(TRIM($DX923)))),VALUE(TRIM($DX923)),"")))),""))</f>
        <v/>
      </c>
      <c r="DZ923">
        <f>IF($DM923=0,"",IF($L$17=0,"",IFERROR(IF(ISNUMBER(INDEX(PASTE_ALL,$DF923,$L$17)),INDEX(PASTE_ALL,$DF923,$L$17),SUBSTITUTE(SUBSTITUTE(TRIM(SUBSTITUTE(SUBSTITUTE(SUBSTITUTE(SUBSTITUTE(INDEX(PASTE_ALL,$DF923,$L$17)," "," "),CHAR(9)," "),CHAR(10)," "),CHAR(13)," ")),",",""),"%","")),"")))</f>
        <v/>
      </c>
      <c r="EA923">
        <f>IF($DM923=0,"",IFERROR(IF(ISNUMBER($DZ923),$DZ923,IF($DZ923="","",IF(TRIM($DZ923)="",0,IF(AND(AND(SUBSTITUTE(SUBSTITUTE(SUBSTITUTE(SUBSTITUTE(SUBSTITUTE(SUBSTITUTE(SUBSTITUTE(SUBSTITUTE(SUBSTITUTE(SUBSTITUTE(SUBSTITUTE(SUBSTITUTE(SUBSTITUTE(SUBSTITUTE(UPPER(TRIM($DZ923)),"0",""),"1",""),"2",""),"3",""),"4",""),"5",""),"6",""),"7",""),"8",""),"9",""),".",""),"+",""),"-",""),"E","")="",LEN(SUBSTITUTE(SUBSTITUTE(MID(UPPER(TRIM($DZ923)),1+OR(LEFT(UPPER(TRIM($DZ923)),1)="+",LEFT(UPPER(TRIM($DZ923)),1)="-"),999),"E+","E"),"E-","E"))=LEN(SUBSTITUTE(SUBSTITUTE(SUBSTITUTE(SUBSTITUTE(MID(UPPER(TRIM($DZ923)),1+OR(LEFT(UPPER(TRIM($DZ923)),1)="+",LEFT(UPPER(TRIM($DZ923)),1)="-"),999),"E+","E"),"E-","E"),"+",""),"-","")),LEN(UPPER(TRIM($DZ923)))-LEN(SUBSTITUTE(UPPER(TRIM($DZ923)),"E",""))&lt;2,LEN(UPPER(TRIM($DZ923)))-LEN(SUBSTITUTE(UPPER(TRIM($DZ923)),".",""))&lt;2,IFERROR(FIND(".",UPPER(TRIM($DZ923))),0)&lt;IFERROR(FIND("E",UPPER(TRIM($DZ923))),999)),ISNUMBER(VALUE(TRIM($DZ923)))),VALUE(TRIM($DZ923)),"")))),""))</f>
        <v/>
      </c>
      <c r="EB923">
        <f>IF($DM923=0,"",IF($L$18=0,"",IFERROR(IF(UPPER(TRIM(SUBSTITUTE(SUBSTITUTE(SUBSTITUTE(SUBSTITUTE(INDEX(PASTE_ALL,$DF923,$L$18)," "," "),CHAR(9)," "),CHAR(10)," "),CHAR(13)," ")))="READY","Ready",IF(UPPER(TRIM(SUBSTITUTE(SUBSTITUTE(SUBSTITUTE(SUBSTITUTE(INDEX(PASTE_ALL,$DF923,$L$18)," "," "),CHAR(9)," "),CHAR(10)," "),CHAR(13)," ")))="PM","PM",IF(OR(UPPER(TRIM(SUBSTITUTE(SUBSTITUTE(SUBSTITUTE(SUBSTITUTE(INDEX(PASTE_ALL,$DF923,$L$18)," "," "),CHAR(9)," "),CHAR(10)," "),CHAR(13)," ")))="OT",UPPER(TRIM(SUBSTITUTE(SUBSTITUTE(SUBSTITUTE(SUBSTITUTE(INDEX(PASTE_ALL,$DF923,$L$18)," "," "),CHAR(9)," "),CHAR(10)," "),CHAR(13)," ")))="OVERTIME",UPPER(TRIM(SUBSTITUTE(SUBSTITUTE(SUBSTITUTE(SUBSTITUTE(INDEX(PASTE_ALL,$DF923,$L$18)," "," "),CHAR(9)," "),CHAR(10)," "),CHAR(13)," ")))="TRIAL"),"OT",TRIM(SUBSTITUTE(SUBSTITUTE(SUBSTITUTE(SUBSTITUTE(INDEX(PASTE_ALL,$DF923,$L$18)," "," "),CHAR(9)," "),CHAR(10)," "),CHAR(13)," "))))),"")))</f>
        <v/>
      </c>
      <c r="EC923">
        <f>IF($DM923=0,"",IF($L$19=0,"",IFERROR(IF(ISNUMBER(INDEX(PASTE_ALL,$DF923,$L$19)),INDEX(PASTE_ALL,$DF923,$L$19),TRIM(SUBSTITUTE(SUBSTITUTE(SUBSTITUTE(SUBSTITUTE(INDEX(PASTE_ALL,$DF923,$L$19)," "," "),CHAR(9)," "),CHAR(10)," "),CHAR(13)," "))),"")))</f>
        <v/>
      </c>
      <c r="ED923">
        <f>IF($DM923=0,"",MATCH(1,INDEX(EXACT($DH$5:DH923,$DH923)*$DM$5:DM923,0),0))</f>
        <v/>
      </c>
      <c r="EE923">
        <f>IF($DM923=0,0,IF($ED923=$DE923,1,0))</f>
        <v/>
      </c>
      <c r="EF923">
        <f>EF922+$EE923</f>
        <v/>
      </c>
      <c r="EG923">
        <f>IF($DM923=0,"",INDEX($EF$5:$EF$1003,$ED923))</f>
        <v/>
      </c>
      <c r="EH923">
        <f>IF($DM923=0,"",IF($DO923&lt;&gt;"","",IFERROR(LOOKUP(2,1/(($EG$4:EG922=$EG923)*($DO$4:DO922&lt;&gt;"")),$DO$4:DO922),"")))</f>
        <v/>
      </c>
      <c r="EI923">
        <f>IF($DM923=0,"",IF($DO923&lt;&gt;"",$DO923,$EH923))</f>
        <v/>
      </c>
      <c r="EJ923">
        <f>IF($DM923=0,"",IF($EI923="",0,IF(OR(ISNUMBER($EI923),AND(AND(SUBSTITUTE(SUBSTITUTE(SUBSTITUTE(SUBSTITUTE(SUBSTITUTE(SUBSTITUTE(SUBSTITUTE(SUBSTITUTE(SUBSTITUTE(SUBSTITUTE(SUBSTITUTE(SUBSTITUTE(SUBSTITUTE(SUBSTITUTE(UPPER($EI923),"0",""),"1",""),"2",""),"3",""),"4",""),"5",""),"6",""),"7",""),"8",""),"9",""),".",""),"+",""),"-",""),"E","")="",LEN(SUBSTITUTE(SUBSTITUTE(MID(UPPER($EI923),1+OR(LEFT(UPPER($EI923),1)="+",LEFT(UPPER($EI923),1)="-"),999),"E+","E"),"E-","E"))=LEN(SUBSTITUTE(SUBSTITUTE(SUBSTITUTE(SUBSTITUTE(MID(UPPER($EI923),1+OR(LEFT(UPPER($EI923),1)="+",LEFT(UPPER($EI923),1)="-"),999),"E+","E"),"E-","E"),"+",""),"-","")),LEN(UPPER($EI923))-LEN(SUBSTITUTE(UPPER($EI923),"E",""))&lt;2,LEN(UPPER($EI923))-LEN(SUBSTITUTE(UPPER($EI923),".",""))&lt;2,IFERROR(FIND(".",UPPER($EI923)),0)&lt;IFERROR(FIND("E",UPPER($EI923)),999)),ISNUMBER(VALUE($EI923)))),1,2)))</f>
        <v/>
      </c>
      <c r="EK923">
        <f>IF($DM923=0,"",IF($EJ923=1,IF(ISNUMBER($EI923),$EI923,VALUE($EI923)),IF($EJ923=2,$DE923,0)))</f>
        <v/>
      </c>
      <c r="EL923">
        <f>IF($DM923=0,"",COUNTIF($EG$5:$EG$1003,"&lt;"&amp;$EG923)+SUMPRODUCT(($EG$5:$EG$1003=$EG923)*(($EJ$5:$EJ$1003&lt;$EJ923)+($EJ$5:$EJ$1003=$EJ923)*(($EK$5:$EK$1003&lt;$EK923)+($EK$5:$EK$1003=$EK923)*($DE$5:$DE$1003&lt;$DE923))))+1)</f>
        <v/>
      </c>
      <c r="EM923">
        <f>IF($DM923=0,"",$EL923+$EG923-1)</f>
        <v/>
      </c>
      <c r="EN923">
        <f>IF($DM923=0,0,IFERROR(MATCH(1,INDEX(--(TRIM(SUBSTITUTE(SUBSTITUTE(SUBSTITUTE(SUBSTITUTE(LINES_NAME&amp;""," "," "),CHAR(9)," "),CHAR(10)," "),CHAR(13)," "))=$DH923),0),0),0))</f>
        <v/>
      </c>
      <c r="EO923">
        <f>IF($EN923=0,0,IF(OR(UPPER(TRIM(INDEX(LINES_SCHEDULED,$EN923)&amp;""))="YES",UPPER(TRIM(INDEX(LINES_SCHEDULED,$EN923)&amp;""))="Y",UPPER(TRIM(INDEX(LINES_SCHEDULED,$EN923)&amp;""))="X"),1,0))</f>
        <v/>
      </c>
      <c r="EP923">
        <f>IF($DM923=0,"",IF(COUNTIFS($EG$5:$EG$1003,$EG923,$EB$5:$EB$1003,"Ready")&gt;0,"READY",IF(COUNTIFS($EG$5:$EG$1003,$EG923,$EB$5:$EB$1003,"PM")&gt;0,"PM",IF(COUNTIFS($EG$5:$EG$1003,$EG923,$EB$5:$EB$1003,"OT")&gt;0,"OT",""))))</f>
        <v/>
      </c>
      <c r="EQ923">
        <f>IF($EN923=0,"",UPPER(TRIM(INDEX(LINES_STATUS,$EN923)&amp;"")))</f>
        <v/>
      </c>
      <c r="ER923">
        <f>IF($DM923=0,"",IF(OR($EQ923="READY",$EQ923="PM",$EQ923="OT"),$EQ923,$EP923))</f>
        <v/>
      </c>
      <c r="ES923">
        <f>IF($DM923=0,"",IF(AND($DV923&lt;&gt;"",UPPER($DV923)&lt;&gt;"N"),"allergen",IF(ISNUMBER(SEARCH("oil",$DQ923)),"oil",IF(OR(EXACT($DS923,"A662"),EXACT($DS923,"A624")),"bulk",""))))</f>
        <v/>
      </c>
      <c r="ET923">
        <f>IF($DM923=0,"",IF(OR($EA923="",$EA923=0),"",$EA923/100))</f>
        <v/>
      </c>
      <c r="EU923">
        <f>IF(OR($ET923="",$DY923=""),"",INT($DY923*(1-$ET923)+0.5))</f>
        <v/>
      </c>
    </row>
    <row r="924">
      <c r="DA924" t="n">
        <v>920</v>
      </c>
      <c r="DB924">
        <f>IF($B$37=0,"",IFERROR(TRIM(SUBSTITUTE(SUBSTITUTE(SUBSTITUTE(SUBSTITUTE(INDEX(PASTE_ALL,920,$B$37)," "," "),CHAR(9)," "),CHAR(10)," "),CHAR(13)," ")),""))</f>
        <v/>
      </c>
      <c r="DC924">
        <f>IF(AND(920&gt;HEADER_ROW,UPPER(DB924)="LEGEND"),1,0)</f>
        <v/>
      </c>
      <c r="DE924" t="n">
        <v>920</v>
      </c>
      <c r="DF924">
        <f>HEADER_ROW+$DE924</f>
        <v/>
      </c>
      <c r="DG924">
        <f>IF(AND($DF924&lt;=1000,$DF924&lt;$B$8),1,0)</f>
        <v/>
      </c>
      <c r="DH924">
        <f>IF($DG924=1,IFERROR(INDEX($DB$5:$DB$1004,$DF924),""),"")</f>
        <v/>
      </c>
      <c r="DI924">
        <f>IF(AND($DG924=1,$DH924&lt;&gt;""),IFERROR(SUBSTITUTE(SUBSTITUTE(TRIM(SUBSTITUTE(SUBSTITUTE(SUBSTITUTE(SUBSTITUTE(IFERROR(INDEX(PASTE_ALL,$DF924,1)&amp;"","")&amp;"␟"&amp;IFERROR(INDEX(PASTE_ALL,$DF924,2)&amp;"","")&amp;"␟"&amp;IFERROR(INDEX(PASTE_ALL,$DF924,3)&amp;"","")&amp;"␟"&amp;IFERROR(INDEX(PASTE_ALL,$DF924,4)&amp;"","")&amp;"␟"&amp;IFERROR(INDEX(PASTE_ALL,$DF924,5)&amp;"","")&amp;"␟"&amp;IFERROR(INDEX(PASTE_ALL,$DF924,6)&amp;"","")&amp;"␟"&amp;IFERROR(INDEX(PASTE_ALL,$DF924,7)&amp;"","")&amp;"␟"&amp;IFERROR(INDEX(PASTE_ALL,$DF924,8)&amp;"","")&amp;"␟"&amp;IFERROR(INDEX(PASTE_ALL,$DF924,9)&amp;"","")&amp;"␟"&amp;IFERROR(INDEX(PASTE_ALL,$DF924,10)&amp;"","")&amp;"␟"&amp;IFERROR(INDEX(PASTE_ALL,$DF924,11)&amp;"","")&amp;"␟"&amp;IFERROR(INDEX(PASTE_ALL,$DF924,12)&amp;"","")&amp;"␟"&amp;IFERROR(INDEX(PASTE_ALL,$DF924,13)&amp;"","")&amp;"␟"&amp;IFERROR(INDEX(PASTE_ALL,$DF924,14)&amp;"","")&amp;"␟"&amp;IFERROR(INDEX(PASTE_ALL,$DF924,15)&amp;"","")&amp;"␟"&amp;IFERROR(INDEX(PASTE_ALL,$DF924,16)&amp;"","")&amp;"␟"&amp;IFERROR(INDEX(PASTE_ALL,$DF924,17)&amp;"","")&amp;"␟"&amp;IFERROR(INDEX(PASTE_ALL,$DF924,18)&amp;"","")&amp;"␟"&amp;IFERROR(INDEX(PASTE_ALL,$DF924,19)&amp;"","")&amp;"␟"&amp;IFERROR(INDEX(PASTE_ALL,$DF924,20)&amp;"","")&amp;"␟"&amp;IFERROR(INDEX(PASTE_ALL,$DF924,21)&amp;"","")&amp;"␟"&amp;IFERROR(INDEX(PASTE_ALL,$DF924,22)&amp;"","")&amp;"␟"&amp;IFERROR(INDEX(PASTE_ALL,$DF924,23)&amp;"","")&amp;"␟"&amp;IFERROR(INDEX(PASTE_ALL,$DF924,24)&amp;"","")&amp;"␟"&amp;IFERROR(INDEX(PASTE_ALL,$DF924,25)&amp;"","")&amp;"␟"&amp;IFERROR(INDEX(PASTE_ALL,$DF924,26)&amp;"","")&amp;"␟"&amp;IFERROR(INDEX(PASTE_ALL,$DF924,27)&amp;"","")&amp;"␟"&amp;IFERROR(INDEX(PASTE_ALL,$DF924,28)&amp;"","")&amp;"␟"&amp;IFERROR(INDEX(PASTE_ALL,$DF924,29)&amp;"","")&amp;"␟"&amp;IFERROR(INDEX(PASTE_ALL,$DF924,30)&amp;"","")&amp;"␟"&amp;IFERROR(INDEX(PASTE_ALL,$DF924,31)&amp;"","")&amp;"␟"&amp;IFERROR(INDEX(PASTE_ALL,$DF924,32)&amp;"","")&amp;"␟"&amp;IFERROR(INDEX(PASTE_ALL,$DF924,33)&amp;"","")&amp;"␟"&amp;IFERROR(INDEX(PASTE_ALL,$DF924,34)&amp;"","")&amp;"␟"&amp;IFERROR(INDEX(PASTE_ALL,$DF924,35)&amp;"","")&amp;"␟"&amp;IFERROR(INDEX(PASTE_ALL,$DF924,36)&amp;"","")&amp;"␟"&amp;IFERROR(INDEX(PASTE_ALL,$DF924,37)&amp;"","")&amp;"␟"&amp;IFERROR(INDEX(PASTE_ALL,$DF924,38)&amp;"","")&amp;"␟"&amp;IFERROR(INDEX(PASTE_ALL,$DF924,39)&amp;"","")&amp;"␟"&amp;IFERROR(INDEX(PASTE_ALL,$DF924,40)&amp;"","")&amp;"␟"&amp;IFERROR(INDEX(PASTE_ALL,$DF924,41)&amp;"","")&amp;"␟"&amp;IFERROR(INDEX(PASTE_ALL,$DF924,42)&amp;"","")&amp;"␟"&amp;IFERROR(INDEX(PASTE_ALL,$DF924,43)&amp;"","")&amp;"␟"&amp;IFERROR(INDEX(PASTE_ALL,$DF924,44)&amp;"","")&amp;"␟"&amp;IFERROR(INDEX(PASTE_ALL,$DF924,45)&amp;"","")&amp;"␟"&amp;IFERROR(INDEX(PASTE_ALL,$DF924,46)&amp;"","")&amp;"␟"&amp;IFERROR(INDEX(PASTE_ALL,$DF924,47)&amp;"","")&amp;"␟"&amp;IFERROR(INDEX(PASTE_ALL,$DF924,48)&amp;"","")&amp;"␟"&amp;IFERROR(INDEX(PASTE_ALL,$DF924,49)&amp;"","")&amp;"␟"&amp;IFERROR(INDEX(PASTE_ALL,$DF924,50)&amp;"","")&amp;"␟"&amp;IFERROR(INDEX(PASTE_ALL,$DF924,51)&amp;"","")&amp;"␟"&amp;IFERROR(INDEX(PASTE_ALL,$DF924,52)&amp;"","")&amp;"␟"&amp;IFERROR(INDEX(PASTE_ALL,$DF924,53)&amp;"","")&amp;"␟"&amp;IFERROR(INDEX(PASTE_ALL,$DF924,54)&amp;"","")&amp;"␟"&amp;IFERROR(INDEX(PASTE_ALL,$DF924,55)&amp;"","")&amp;"␟"&amp;IFERROR(INDEX(PASTE_ALL,$DF924,56)&amp;"","")&amp;"␟"&amp;IFERROR(INDEX(PASTE_ALL,$DF924,57)&amp;"","")&amp;"␟"&amp;IFERROR(INDEX(PASTE_ALL,$DF924,58)&amp;"","")&amp;"␟"&amp;IFERROR(INDEX(PASTE_ALL,$DF924,59)&amp;"","")&amp;"␟"&amp;IFERROR(INDEX(PASTE_ALL,$DF924,60)&amp;"","")," "," "),CHAR(9)," "),CHAR(10)," "),CHAR(13)," "))," ␟","␟"),"␟ ","␟"),"#"&amp;$DE924),"")</f>
        <v/>
      </c>
      <c r="DJ924">
        <f>IF($DI924="",0,IF(SUMPRODUCT(--EXACT($DI$4:DI923,$DI924))&gt;0,1,0))</f>
        <v/>
      </c>
      <c r="DK924">
        <f>IF(AND($DI924&lt;&gt;"",$DJ924=0),1,0)</f>
        <v/>
      </c>
      <c r="DL924">
        <f>DL923+$DK924</f>
        <v/>
      </c>
      <c r="DM924">
        <f>IF(AND($DK924=1,$DL924&lt;=600),1,0)</f>
        <v/>
      </c>
      <c r="DN924">
        <f>IF($DM924=0,"",IF($L$6=0,"",IFERROR(IF(ISNUMBER(INDEX(PASTE_ALL,$DF924,$L$6)),INDEX(PASTE_ALL,$DF924,$L$6),TRIM(SUBSTITUTE(SUBSTITUTE(SUBSTITUTE(SUBSTITUTE(INDEX(PASTE_ALL,$DF924,$L$6)," "," "),CHAR(9)," "),CHAR(10)," "),CHAR(13)," "))),"")))</f>
        <v/>
      </c>
      <c r="DO924">
        <f>IF($DM924=0,"",IF($L$7=0,"",IFERROR(IF(ISNUMBER(INDEX(PASTE_ALL,$DF924,$L$7)),INDEX(PASTE_ALL,$DF924,$L$7),TRIM(SUBSTITUTE(SUBSTITUTE(SUBSTITUTE(SUBSTITUTE(INDEX(PASTE_ALL,$DF924,$L$7)," "," "),CHAR(9)," "),CHAR(10)," "),CHAR(13)," "))),"")))</f>
        <v/>
      </c>
      <c r="DP924">
        <f>IF($DM924=0,"",IF($L$8=0,"",IFERROR(IF(ISNUMBER(INDEX(PASTE_ALL,$DF924,$L$8)),INDEX(PASTE_ALL,$DF924,$L$8),TRIM(SUBSTITUTE(SUBSTITUTE(SUBSTITUTE(SUBSTITUTE(INDEX(PASTE_ALL,$DF924,$L$8)," "," "),CHAR(9)," "),CHAR(10)," "),CHAR(13)," "))),"")))</f>
        <v/>
      </c>
      <c r="DQ924">
        <f>IF($DM924=0,"",IF($L$9=0,"",IFERROR(IF(ISNUMBER(INDEX(PASTE_ALL,$DF924,$L$9)),INDEX(PASTE_ALL,$DF924,$L$9),TRIM(SUBSTITUTE(SUBSTITUTE(SUBSTITUTE(SUBSTITUTE(INDEX(PASTE_ALL,$DF924,$L$9)," "," "),CHAR(9)," "),CHAR(10)," "),CHAR(13)," "))),"")))</f>
        <v/>
      </c>
      <c r="DR924">
        <f>IF($DM924=0,"",IF($L$10=0,"",IFERROR(IF(ISNUMBER(INDEX(PASTE_ALL,$DF924,$L$10)),INDEX(PASTE_ALL,$DF924,$L$10),TRIM(SUBSTITUTE(SUBSTITUTE(SUBSTITUTE(SUBSTITUTE(INDEX(PASTE_ALL,$DF924,$L$10)," "," "),CHAR(9)," "),CHAR(10)," "),CHAR(13)," "))),"")))</f>
        <v/>
      </c>
      <c r="DS924">
        <f>IF($DM924=0,"",IF($L$11=0,"",IFERROR(IF(ISNUMBER(INDEX(PASTE_ALL,$DF924,$L$11)),INDEX(PASTE_ALL,$DF924,$L$11),TRIM(SUBSTITUTE(SUBSTITUTE(SUBSTITUTE(SUBSTITUTE(INDEX(PASTE_ALL,$DF924,$L$11)," "," "),CHAR(9)," "),CHAR(10)," "),CHAR(13)," "))),"")))</f>
        <v/>
      </c>
      <c r="DT924">
        <f>IF($DM924=0,"",IF($L$12=0,"",IFERROR(IF(ISNUMBER(INDEX(PASTE_ALL,$DF924,$L$12)),INDEX(PASTE_ALL,$DF924,$L$12),TRIM(SUBSTITUTE(SUBSTITUTE(SUBSTITUTE(SUBSTITUTE(INDEX(PASTE_ALL,$DF924,$L$12)," "," "),CHAR(9)," "),CHAR(10)," "),CHAR(13)," "))),"")))</f>
        <v/>
      </c>
      <c r="DU924">
        <f>IF($DM924=0,"",IF($L$13=0,"",IFERROR(IF(ISNUMBER(INDEX(PASTE_ALL,$DF924,$L$13)),INDEX(PASTE_ALL,$DF924,$L$13),TRIM(SUBSTITUTE(SUBSTITUTE(SUBSTITUTE(SUBSTITUTE(INDEX(PASTE_ALL,$DF924,$L$13)," "," "),CHAR(9)," "),CHAR(10)," "),CHAR(13)," "))),"")))</f>
        <v/>
      </c>
      <c r="DV924">
        <f>IF($DM924=0,"",IF($L$14=0,"",IFERROR(IF(ISNUMBER(INDEX(PASTE_ALL,$DF924,$L$14)),INDEX(PASTE_ALL,$DF924,$L$14),TRIM(SUBSTITUTE(SUBSTITUTE(SUBSTITUTE(SUBSTITUTE(INDEX(PASTE_ALL,$DF924,$L$14)," "," "),CHAR(9)," "),CHAR(10)," "),CHAR(13)," "))),"")))</f>
        <v/>
      </c>
      <c r="DW924">
        <f>IF($DM924=0,"",IF($L$15=0,"",IFERROR(IF(ISNUMBER(INDEX(PASTE_ALL,$DF924,$L$15)),INDEX(PASTE_ALL,$DF924,$L$15),IF(SUMPRODUCT(--ISNUMBER(FIND({"A","B","C","D","E","F","G","H","I","J","K","L","M","N","O","P","Q","R","S","T","U","V","W","X","Y","Z","0","1","2","3","4","5","6","7","8","9"},UPPER(TRIM(SUBSTITUTE(SUBSTITUTE(SUBSTITUTE(SUBSTITUTE(INDEX(PASTE_ALL,$DF924,$L$15)," "," "),CHAR(9)," "),CHAR(10)," "),CHAR(13)," "))))))&gt;0,TRIM(SUBSTITUTE(SUBSTITUTE(SUBSTITUTE(SUBSTITUTE(INDEX(PASTE_ALL,$DF924,$L$15)," "," "),CHAR(9)," "),CHAR(10)," "),CHAR(13)," ")),"")),"")))</f>
        <v/>
      </c>
      <c r="DX924">
        <f>IF($DM924=0,"",IF($L$16=0,"",IFERROR(IF(ISNUMBER(INDEX(PASTE_ALL,$DF924,$L$16)),INDEX(PASTE_ALL,$DF924,$L$16),SUBSTITUTE(SUBSTITUTE(TRIM(SUBSTITUTE(SUBSTITUTE(SUBSTITUTE(SUBSTITUTE(INDEX(PASTE_ALL,$DF924,$L$16)," "," "),CHAR(9)," "),CHAR(10)," "),CHAR(13)," ")),",",""),"%","")),"")))</f>
        <v/>
      </c>
      <c r="DY924">
        <f>IF($DM924=0,"",IFERROR(IF(ISNUMBER($DX924),$DX924,IF($DX924="","",IF(TRIM($DX924)="",0,IF(AND(AND(SUBSTITUTE(SUBSTITUTE(SUBSTITUTE(SUBSTITUTE(SUBSTITUTE(SUBSTITUTE(SUBSTITUTE(SUBSTITUTE(SUBSTITUTE(SUBSTITUTE(SUBSTITUTE(SUBSTITUTE(SUBSTITUTE(SUBSTITUTE(UPPER(TRIM($DX924)),"0",""),"1",""),"2",""),"3",""),"4",""),"5",""),"6",""),"7",""),"8",""),"9",""),".",""),"+",""),"-",""),"E","")="",LEN(SUBSTITUTE(SUBSTITUTE(MID(UPPER(TRIM($DX924)),1+OR(LEFT(UPPER(TRIM($DX924)),1)="+",LEFT(UPPER(TRIM($DX924)),1)="-"),999),"E+","E"),"E-","E"))=LEN(SUBSTITUTE(SUBSTITUTE(SUBSTITUTE(SUBSTITUTE(MID(UPPER(TRIM($DX924)),1+OR(LEFT(UPPER(TRIM($DX924)),1)="+",LEFT(UPPER(TRIM($DX924)),1)="-"),999),"E+","E"),"E-","E"),"+",""),"-","")),LEN(UPPER(TRIM($DX924)))-LEN(SUBSTITUTE(UPPER(TRIM($DX924)),"E",""))&lt;2,LEN(UPPER(TRIM($DX924)))-LEN(SUBSTITUTE(UPPER(TRIM($DX924)),".",""))&lt;2,IFERROR(FIND(".",UPPER(TRIM($DX924))),0)&lt;IFERROR(FIND("E",UPPER(TRIM($DX924))),999)),ISNUMBER(VALUE(TRIM($DX924)))),VALUE(TRIM($DX924)),"")))),""))</f>
        <v/>
      </c>
      <c r="DZ924">
        <f>IF($DM924=0,"",IF($L$17=0,"",IFERROR(IF(ISNUMBER(INDEX(PASTE_ALL,$DF924,$L$17)),INDEX(PASTE_ALL,$DF924,$L$17),SUBSTITUTE(SUBSTITUTE(TRIM(SUBSTITUTE(SUBSTITUTE(SUBSTITUTE(SUBSTITUTE(INDEX(PASTE_ALL,$DF924,$L$17)," "," "),CHAR(9)," "),CHAR(10)," "),CHAR(13)," ")),",",""),"%","")),"")))</f>
        <v/>
      </c>
      <c r="EA924">
        <f>IF($DM924=0,"",IFERROR(IF(ISNUMBER($DZ924),$DZ924,IF($DZ924="","",IF(TRIM($DZ924)="",0,IF(AND(AND(SUBSTITUTE(SUBSTITUTE(SUBSTITUTE(SUBSTITUTE(SUBSTITUTE(SUBSTITUTE(SUBSTITUTE(SUBSTITUTE(SUBSTITUTE(SUBSTITUTE(SUBSTITUTE(SUBSTITUTE(SUBSTITUTE(SUBSTITUTE(UPPER(TRIM($DZ924)),"0",""),"1",""),"2",""),"3",""),"4",""),"5",""),"6",""),"7",""),"8",""),"9",""),".",""),"+",""),"-",""),"E","")="",LEN(SUBSTITUTE(SUBSTITUTE(MID(UPPER(TRIM($DZ924)),1+OR(LEFT(UPPER(TRIM($DZ924)),1)="+",LEFT(UPPER(TRIM($DZ924)),1)="-"),999),"E+","E"),"E-","E"))=LEN(SUBSTITUTE(SUBSTITUTE(SUBSTITUTE(SUBSTITUTE(MID(UPPER(TRIM($DZ924)),1+OR(LEFT(UPPER(TRIM($DZ924)),1)="+",LEFT(UPPER(TRIM($DZ924)),1)="-"),999),"E+","E"),"E-","E"),"+",""),"-","")),LEN(UPPER(TRIM($DZ924)))-LEN(SUBSTITUTE(UPPER(TRIM($DZ924)),"E",""))&lt;2,LEN(UPPER(TRIM($DZ924)))-LEN(SUBSTITUTE(UPPER(TRIM($DZ924)),".",""))&lt;2,IFERROR(FIND(".",UPPER(TRIM($DZ924))),0)&lt;IFERROR(FIND("E",UPPER(TRIM($DZ924))),999)),ISNUMBER(VALUE(TRIM($DZ924)))),VALUE(TRIM($DZ924)),"")))),""))</f>
        <v/>
      </c>
      <c r="EB924">
        <f>IF($DM924=0,"",IF($L$18=0,"",IFERROR(IF(UPPER(TRIM(SUBSTITUTE(SUBSTITUTE(SUBSTITUTE(SUBSTITUTE(INDEX(PASTE_ALL,$DF924,$L$18)," "," "),CHAR(9)," "),CHAR(10)," "),CHAR(13)," ")))="READY","Ready",IF(UPPER(TRIM(SUBSTITUTE(SUBSTITUTE(SUBSTITUTE(SUBSTITUTE(INDEX(PASTE_ALL,$DF924,$L$18)," "," "),CHAR(9)," "),CHAR(10)," "),CHAR(13)," ")))="PM","PM",IF(OR(UPPER(TRIM(SUBSTITUTE(SUBSTITUTE(SUBSTITUTE(SUBSTITUTE(INDEX(PASTE_ALL,$DF924,$L$18)," "," "),CHAR(9)," "),CHAR(10)," "),CHAR(13)," ")))="OT",UPPER(TRIM(SUBSTITUTE(SUBSTITUTE(SUBSTITUTE(SUBSTITUTE(INDEX(PASTE_ALL,$DF924,$L$18)," "," "),CHAR(9)," "),CHAR(10)," "),CHAR(13)," ")))="OVERTIME",UPPER(TRIM(SUBSTITUTE(SUBSTITUTE(SUBSTITUTE(SUBSTITUTE(INDEX(PASTE_ALL,$DF924,$L$18)," "," "),CHAR(9)," "),CHAR(10)," "),CHAR(13)," ")))="TRIAL"),"OT",TRIM(SUBSTITUTE(SUBSTITUTE(SUBSTITUTE(SUBSTITUTE(INDEX(PASTE_ALL,$DF924,$L$18)," "," "),CHAR(9)," "),CHAR(10)," "),CHAR(13)," "))))),"")))</f>
        <v/>
      </c>
      <c r="EC924">
        <f>IF($DM924=0,"",IF($L$19=0,"",IFERROR(IF(ISNUMBER(INDEX(PASTE_ALL,$DF924,$L$19)),INDEX(PASTE_ALL,$DF924,$L$19),TRIM(SUBSTITUTE(SUBSTITUTE(SUBSTITUTE(SUBSTITUTE(INDEX(PASTE_ALL,$DF924,$L$19)," "," "),CHAR(9)," "),CHAR(10)," "),CHAR(13)," "))),"")))</f>
        <v/>
      </c>
      <c r="ED924">
        <f>IF($DM924=0,"",MATCH(1,INDEX(EXACT($DH$5:DH924,$DH924)*$DM$5:DM924,0),0))</f>
        <v/>
      </c>
      <c r="EE924">
        <f>IF($DM924=0,0,IF($ED924=$DE924,1,0))</f>
        <v/>
      </c>
      <c r="EF924">
        <f>EF923+$EE924</f>
        <v/>
      </c>
      <c r="EG924">
        <f>IF($DM924=0,"",INDEX($EF$5:$EF$1003,$ED924))</f>
        <v/>
      </c>
      <c r="EH924">
        <f>IF($DM924=0,"",IF($DO924&lt;&gt;"","",IFERROR(LOOKUP(2,1/(($EG$4:EG923=$EG924)*($DO$4:DO923&lt;&gt;"")),$DO$4:DO923),"")))</f>
        <v/>
      </c>
      <c r="EI924">
        <f>IF($DM924=0,"",IF($DO924&lt;&gt;"",$DO924,$EH924))</f>
        <v/>
      </c>
      <c r="EJ924">
        <f>IF($DM924=0,"",IF($EI924="",0,IF(OR(ISNUMBER($EI924),AND(AND(SUBSTITUTE(SUBSTITUTE(SUBSTITUTE(SUBSTITUTE(SUBSTITUTE(SUBSTITUTE(SUBSTITUTE(SUBSTITUTE(SUBSTITUTE(SUBSTITUTE(SUBSTITUTE(SUBSTITUTE(SUBSTITUTE(SUBSTITUTE(UPPER($EI924),"0",""),"1",""),"2",""),"3",""),"4",""),"5",""),"6",""),"7",""),"8",""),"9",""),".",""),"+",""),"-",""),"E","")="",LEN(SUBSTITUTE(SUBSTITUTE(MID(UPPER($EI924),1+OR(LEFT(UPPER($EI924),1)="+",LEFT(UPPER($EI924),1)="-"),999),"E+","E"),"E-","E"))=LEN(SUBSTITUTE(SUBSTITUTE(SUBSTITUTE(SUBSTITUTE(MID(UPPER($EI924),1+OR(LEFT(UPPER($EI924),1)="+",LEFT(UPPER($EI924),1)="-"),999),"E+","E"),"E-","E"),"+",""),"-","")),LEN(UPPER($EI924))-LEN(SUBSTITUTE(UPPER($EI924),"E",""))&lt;2,LEN(UPPER($EI924))-LEN(SUBSTITUTE(UPPER($EI924),".",""))&lt;2,IFERROR(FIND(".",UPPER($EI924)),0)&lt;IFERROR(FIND("E",UPPER($EI924)),999)),ISNUMBER(VALUE($EI924)))),1,2)))</f>
        <v/>
      </c>
      <c r="EK924">
        <f>IF($DM924=0,"",IF($EJ924=1,IF(ISNUMBER($EI924),$EI924,VALUE($EI924)),IF($EJ924=2,$DE924,0)))</f>
        <v/>
      </c>
      <c r="EL924">
        <f>IF($DM924=0,"",COUNTIF($EG$5:$EG$1003,"&lt;"&amp;$EG924)+SUMPRODUCT(($EG$5:$EG$1003=$EG924)*(($EJ$5:$EJ$1003&lt;$EJ924)+($EJ$5:$EJ$1003=$EJ924)*(($EK$5:$EK$1003&lt;$EK924)+($EK$5:$EK$1003=$EK924)*($DE$5:$DE$1003&lt;$DE924))))+1)</f>
        <v/>
      </c>
      <c r="EM924">
        <f>IF($DM924=0,"",$EL924+$EG924-1)</f>
        <v/>
      </c>
      <c r="EN924">
        <f>IF($DM924=0,0,IFERROR(MATCH(1,INDEX(--(TRIM(SUBSTITUTE(SUBSTITUTE(SUBSTITUTE(SUBSTITUTE(LINES_NAME&amp;""," "," "),CHAR(9)," "),CHAR(10)," "),CHAR(13)," "))=$DH924),0),0),0))</f>
        <v/>
      </c>
      <c r="EO924">
        <f>IF($EN924=0,0,IF(OR(UPPER(TRIM(INDEX(LINES_SCHEDULED,$EN924)&amp;""))="YES",UPPER(TRIM(INDEX(LINES_SCHEDULED,$EN924)&amp;""))="Y",UPPER(TRIM(INDEX(LINES_SCHEDULED,$EN924)&amp;""))="X"),1,0))</f>
        <v/>
      </c>
      <c r="EP924">
        <f>IF($DM924=0,"",IF(COUNTIFS($EG$5:$EG$1003,$EG924,$EB$5:$EB$1003,"Ready")&gt;0,"READY",IF(COUNTIFS($EG$5:$EG$1003,$EG924,$EB$5:$EB$1003,"PM")&gt;0,"PM",IF(COUNTIFS($EG$5:$EG$1003,$EG924,$EB$5:$EB$1003,"OT")&gt;0,"OT",""))))</f>
        <v/>
      </c>
      <c r="EQ924">
        <f>IF($EN924=0,"",UPPER(TRIM(INDEX(LINES_STATUS,$EN924)&amp;"")))</f>
        <v/>
      </c>
      <c r="ER924">
        <f>IF($DM924=0,"",IF(OR($EQ924="READY",$EQ924="PM",$EQ924="OT"),$EQ924,$EP924))</f>
        <v/>
      </c>
      <c r="ES924">
        <f>IF($DM924=0,"",IF(AND($DV924&lt;&gt;"",UPPER($DV924)&lt;&gt;"N"),"allergen",IF(ISNUMBER(SEARCH("oil",$DQ924)),"oil",IF(OR(EXACT($DS924,"A662"),EXACT($DS924,"A624")),"bulk",""))))</f>
        <v/>
      </c>
      <c r="ET924">
        <f>IF($DM924=0,"",IF(OR($EA924="",$EA924=0),"",$EA924/100))</f>
        <v/>
      </c>
      <c r="EU924">
        <f>IF(OR($ET924="",$DY924=""),"",INT($DY924*(1-$ET924)+0.5))</f>
        <v/>
      </c>
    </row>
    <row r="925">
      <c r="DA925" t="n">
        <v>921</v>
      </c>
      <c r="DB925">
        <f>IF($B$37=0,"",IFERROR(TRIM(SUBSTITUTE(SUBSTITUTE(SUBSTITUTE(SUBSTITUTE(INDEX(PASTE_ALL,921,$B$37)," "," "),CHAR(9)," "),CHAR(10)," "),CHAR(13)," ")),""))</f>
        <v/>
      </c>
      <c r="DC925">
        <f>IF(AND(921&gt;HEADER_ROW,UPPER(DB925)="LEGEND"),1,0)</f>
        <v/>
      </c>
      <c r="DE925" t="n">
        <v>921</v>
      </c>
      <c r="DF925">
        <f>HEADER_ROW+$DE925</f>
        <v/>
      </c>
      <c r="DG925">
        <f>IF(AND($DF925&lt;=1000,$DF925&lt;$B$8),1,0)</f>
        <v/>
      </c>
      <c r="DH925">
        <f>IF($DG925=1,IFERROR(INDEX($DB$5:$DB$1004,$DF925),""),"")</f>
        <v/>
      </c>
      <c r="DI925">
        <f>IF(AND($DG925=1,$DH925&lt;&gt;""),IFERROR(SUBSTITUTE(SUBSTITUTE(TRIM(SUBSTITUTE(SUBSTITUTE(SUBSTITUTE(SUBSTITUTE(IFERROR(INDEX(PASTE_ALL,$DF925,1)&amp;"","")&amp;"␟"&amp;IFERROR(INDEX(PASTE_ALL,$DF925,2)&amp;"","")&amp;"␟"&amp;IFERROR(INDEX(PASTE_ALL,$DF925,3)&amp;"","")&amp;"␟"&amp;IFERROR(INDEX(PASTE_ALL,$DF925,4)&amp;"","")&amp;"␟"&amp;IFERROR(INDEX(PASTE_ALL,$DF925,5)&amp;"","")&amp;"␟"&amp;IFERROR(INDEX(PASTE_ALL,$DF925,6)&amp;"","")&amp;"␟"&amp;IFERROR(INDEX(PASTE_ALL,$DF925,7)&amp;"","")&amp;"␟"&amp;IFERROR(INDEX(PASTE_ALL,$DF925,8)&amp;"","")&amp;"␟"&amp;IFERROR(INDEX(PASTE_ALL,$DF925,9)&amp;"","")&amp;"␟"&amp;IFERROR(INDEX(PASTE_ALL,$DF925,10)&amp;"","")&amp;"␟"&amp;IFERROR(INDEX(PASTE_ALL,$DF925,11)&amp;"","")&amp;"␟"&amp;IFERROR(INDEX(PASTE_ALL,$DF925,12)&amp;"","")&amp;"␟"&amp;IFERROR(INDEX(PASTE_ALL,$DF925,13)&amp;"","")&amp;"␟"&amp;IFERROR(INDEX(PASTE_ALL,$DF925,14)&amp;"","")&amp;"␟"&amp;IFERROR(INDEX(PASTE_ALL,$DF925,15)&amp;"","")&amp;"␟"&amp;IFERROR(INDEX(PASTE_ALL,$DF925,16)&amp;"","")&amp;"␟"&amp;IFERROR(INDEX(PASTE_ALL,$DF925,17)&amp;"","")&amp;"␟"&amp;IFERROR(INDEX(PASTE_ALL,$DF925,18)&amp;"","")&amp;"␟"&amp;IFERROR(INDEX(PASTE_ALL,$DF925,19)&amp;"","")&amp;"␟"&amp;IFERROR(INDEX(PASTE_ALL,$DF925,20)&amp;"","")&amp;"␟"&amp;IFERROR(INDEX(PASTE_ALL,$DF925,21)&amp;"","")&amp;"␟"&amp;IFERROR(INDEX(PASTE_ALL,$DF925,22)&amp;"","")&amp;"␟"&amp;IFERROR(INDEX(PASTE_ALL,$DF925,23)&amp;"","")&amp;"␟"&amp;IFERROR(INDEX(PASTE_ALL,$DF925,24)&amp;"","")&amp;"␟"&amp;IFERROR(INDEX(PASTE_ALL,$DF925,25)&amp;"","")&amp;"␟"&amp;IFERROR(INDEX(PASTE_ALL,$DF925,26)&amp;"","")&amp;"␟"&amp;IFERROR(INDEX(PASTE_ALL,$DF925,27)&amp;"","")&amp;"␟"&amp;IFERROR(INDEX(PASTE_ALL,$DF925,28)&amp;"","")&amp;"␟"&amp;IFERROR(INDEX(PASTE_ALL,$DF925,29)&amp;"","")&amp;"␟"&amp;IFERROR(INDEX(PASTE_ALL,$DF925,30)&amp;"","")&amp;"␟"&amp;IFERROR(INDEX(PASTE_ALL,$DF925,31)&amp;"","")&amp;"␟"&amp;IFERROR(INDEX(PASTE_ALL,$DF925,32)&amp;"","")&amp;"␟"&amp;IFERROR(INDEX(PASTE_ALL,$DF925,33)&amp;"","")&amp;"␟"&amp;IFERROR(INDEX(PASTE_ALL,$DF925,34)&amp;"","")&amp;"␟"&amp;IFERROR(INDEX(PASTE_ALL,$DF925,35)&amp;"","")&amp;"␟"&amp;IFERROR(INDEX(PASTE_ALL,$DF925,36)&amp;"","")&amp;"␟"&amp;IFERROR(INDEX(PASTE_ALL,$DF925,37)&amp;"","")&amp;"␟"&amp;IFERROR(INDEX(PASTE_ALL,$DF925,38)&amp;"","")&amp;"␟"&amp;IFERROR(INDEX(PASTE_ALL,$DF925,39)&amp;"","")&amp;"␟"&amp;IFERROR(INDEX(PASTE_ALL,$DF925,40)&amp;"","")&amp;"␟"&amp;IFERROR(INDEX(PASTE_ALL,$DF925,41)&amp;"","")&amp;"␟"&amp;IFERROR(INDEX(PASTE_ALL,$DF925,42)&amp;"","")&amp;"␟"&amp;IFERROR(INDEX(PASTE_ALL,$DF925,43)&amp;"","")&amp;"␟"&amp;IFERROR(INDEX(PASTE_ALL,$DF925,44)&amp;"","")&amp;"␟"&amp;IFERROR(INDEX(PASTE_ALL,$DF925,45)&amp;"","")&amp;"␟"&amp;IFERROR(INDEX(PASTE_ALL,$DF925,46)&amp;"","")&amp;"␟"&amp;IFERROR(INDEX(PASTE_ALL,$DF925,47)&amp;"","")&amp;"␟"&amp;IFERROR(INDEX(PASTE_ALL,$DF925,48)&amp;"","")&amp;"␟"&amp;IFERROR(INDEX(PASTE_ALL,$DF925,49)&amp;"","")&amp;"␟"&amp;IFERROR(INDEX(PASTE_ALL,$DF925,50)&amp;"","")&amp;"␟"&amp;IFERROR(INDEX(PASTE_ALL,$DF925,51)&amp;"","")&amp;"␟"&amp;IFERROR(INDEX(PASTE_ALL,$DF925,52)&amp;"","")&amp;"␟"&amp;IFERROR(INDEX(PASTE_ALL,$DF925,53)&amp;"","")&amp;"␟"&amp;IFERROR(INDEX(PASTE_ALL,$DF925,54)&amp;"","")&amp;"␟"&amp;IFERROR(INDEX(PASTE_ALL,$DF925,55)&amp;"","")&amp;"␟"&amp;IFERROR(INDEX(PASTE_ALL,$DF925,56)&amp;"","")&amp;"␟"&amp;IFERROR(INDEX(PASTE_ALL,$DF925,57)&amp;"","")&amp;"␟"&amp;IFERROR(INDEX(PASTE_ALL,$DF925,58)&amp;"","")&amp;"␟"&amp;IFERROR(INDEX(PASTE_ALL,$DF925,59)&amp;"","")&amp;"␟"&amp;IFERROR(INDEX(PASTE_ALL,$DF925,60)&amp;"","")," "," "),CHAR(9)," "),CHAR(10)," "),CHAR(13)," "))," ␟","␟"),"␟ ","␟"),"#"&amp;$DE925),"")</f>
        <v/>
      </c>
      <c r="DJ925">
        <f>IF($DI925="",0,IF(SUMPRODUCT(--EXACT($DI$4:DI924,$DI925))&gt;0,1,0))</f>
        <v/>
      </c>
      <c r="DK925">
        <f>IF(AND($DI925&lt;&gt;"",$DJ925=0),1,0)</f>
        <v/>
      </c>
      <c r="DL925">
        <f>DL924+$DK925</f>
        <v/>
      </c>
      <c r="DM925">
        <f>IF(AND($DK925=1,$DL925&lt;=600),1,0)</f>
        <v/>
      </c>
      <c r="DN925">
        <f>IF($DM925=0,"",IF($L$6=0,"",IFERROR(IF(ISNUMBER(INDEX(PASTE_ALL,$DF925,$L$6)),INDEX(PASTE_ALL,$DF925,$L$6),TRIM(SUBSTITUTE(SUBSTITUTE(SUBSTITUTE(SUBSTITUTE(INDEX(PASTE_ALL,$DF925,$L$6)," "," "),CHAR(9)," "),CHAR(10)," "),CHAR(13)," "))),"")))</f>
        <v/>
      </c>
      <c r="DO925">
        <f>IF($DM925=0,"",IF($L$7=0,"",IFERROR(IF(ISNUMBER(INDEX(PASTE_ALL,$DF925,$L$7)),INDEX(PASTE_ALL,$DF925,$L$7),TRIM(SUBSTITUTE(SUBSTITUTE(SUBSTITUTE(SUBSTITUTE(INDEX(PASTE_ALL,$DF925,$L$7)," "," "),CHAR(9)," "),CHAR(10)," "),CHAR(13)," "))),"")))</f>
        <v/>
      </c>
      <c r="DP925">
        <f>IF($DM925=0,"",IF($L$8=0,"",IFERROR(IF(ISNUMBER(INDEX(PASTE_ALL,$DF925,$L$8)),INDEX(PASTE_ALL,$DF925,$L$8),TRIM(SUBSTITUTE(SUBSTITUTE(SUBSTITUTE(SUBSTITUTE(INDEX(PASTE_ALL,$DF925,$L$8)," "," "),CHAR(9)," "),CHAR(10)," "),CHAR(13)," "))),"")))</f>
        <v/>
      </c>
      <c r="DQ925">
        <f>IF($DM925=0,"",IF($L$9=0,"",IFERROR(IF(ISNUMBER(INDEX(PASTE_ALL,$DF925,$L$9)),INDEX(PASTE_ALL,$DF925,$L$9),TRIM(SUBSTITUTE(SUBSTITUTE(SUBSTITUTE(SUBSTITUTE(INDEX(PASTE_ALL,$DF925,$L$9)," "," "),CHAR(9)," "),CHAR(10)," "),CHAR(13)," "))),"")))</f>
        <v/>
      </c>
      <c r="DR925">
        <f>IF($DM925=0,"",IF($L$10=0,"",IFERROR(IF(ISNUMBER(INDEX(PASTE_ALL,$DF925,$L$10)),INDEX(PASTE_ALL,$DF925,$L$10),TRIM(SUBSTITUTE(SUBSTITUTE(SUBSTITUTE(SUBSTITUTE(INDEX(PASTE_ALL,$DF925,$L$10)," "," "),CHAR(9)," "),CHAR(10)," "),CHAR(13)," "))),"")))</f>
        <v/>
      </c>
      <c r="DS925">
        <f>IF($DM925=0,"",IF($L$11=0,"",IFERROR(IF(ISNUMBER(INDEX(PASTE_ALL,$DF925,$L$11)),INDEX(PASTE_ALL,$DF925,$L$11),TRIM(SUBSTITUTE(SUBSTITUTE(SUBSTITUTE(SUBSTITUTE(INDEX(PASTE_ALL,$DF925,$L$11)," "," "),CHAR(9)," "),CHAR(10)," "),CHAR(13)," "))),"")))</f>
        <v/>
      </c>
      <c r="DT925">
        <f>IF($DM925=0,"",IF($L$12=0,"",IFERROR(IF(ISNUMBER(INDEX(PASTE_ALL,$DF925,$L$12)),INDEX(PASTE_ALL,$DF925,$L$12),TRIM(SUBSTITUTE(SUBSTITUTE(SUBSTITUTE(SUBSTITUTE(INDEX(PASTE_ALL,$DF925,$L$12)," "," "),CHAR(9)," "),CHAR(10)," "),CHAR(13)," "))),"")))</f>
        <v/>
      </c>
      <c r="DU925">
        <f>IF($DM925=0,"",IF($L$13=0,"",IFERROR(IF(ISNUMBER(INDEX(PASTE_ALL,$DF925,$L$13)),INDEX(PASTE_ALL,$DF925,$L$13),TRIM(SUBSTITUTE(SUBSTITUTE(SUBSTITUTE(SUBSTITUTE(INDEX(PASTE_ALL,$DF925,$L$13)," "," "),CHAR(9)," "),CHAR(10)," "),CHAR(13)," "))),"")))</f>
        <v/>
      </c>
      <c r="DV925">
        <f>IF($DM925=0,"",IF($L$14=0,"",IFERROR(IF(ISNUMBER(INDEX(PASTE_ALL,$DF925,$L$14)),INDEX(PASTE_ALL,$DF925,$L$14),TRIM(SUBSTITUTE(SUBSTITUTE(SUBSTITUTE(SUBSTITUTE(INDEX(PASTE_ALL,$DF925,$L$14)," "," "),CHAR(9)," "),CHAR(10)," "),CHAR(13)," "))),"")))</f>
        <v/>
      </c>
      <c r="DW925">
        <f>IF($DM925=0,"",IF($L$15=0,"",IFERROR(IF(ISNUMBER(INDEX(PASTE_ALL,$DF925,$L$15)),INDEX(PASTE_ALL,$DF925,$L$15),IF(SUMPRODUCT(--ISNUMBER(FIND({"A","B","C","D","E","F","G","H","I","J","K","L","M","N","O","P","Q","R","S","T","U","V","W","X","Y","Z","0","1","2","3","4","5","6","7","8","9"},UPPER(TRIM(SUBSTITUTE(SUBSTITUTE(SUBSTITUTE(SUBSTITUTE(INDEX(PASTE_ALL,$DF925,$L$15)," "," "),CHAR(9)," "),CHAR(10)," "),CHAR(13)," "))))))&gt;0,TRIM(SUBSTITUTE(SUBSTITUTE(SUBSTITUTE(SUBSTITUTE(INDEX(PASTE_ALL,$DF925,$L$15)," "," "),CHAR(9)," "),CHAR(10)," "),CHAR(13)," ")),"")),"")))</f>
        <v/>
      </c>
      <c r="DX925">
        <f>IF($DM925=0,"",IF($L$16=0,"",IFERROR(IF(ISNUMBER(INDEX(PASTE_ALL,$DF925,$L$16)),INDEX(PASTE_ALL,$DF925,$L$16),SUBSTITUTE(SUBSTITUTE(TRIM(SUBSTITUTE(SUBSTITUTE(SUBSTITUTE(SUBSTITUTE(INDEX(PASTE_ALL,$DF925,$L$16)," "," "),CHAR(9)," "),CHAR(10)," "),CHAR(13)," ")),",",""),"%","")),"")))</f>
        <v/>
      </c>
      <c r="DY925">
        <f>IF($DM925=0,"",IFERROR(IF(ISNUMBER($DX925),$DX925,IF($DX925="","",IF(TRIM($DX925)="",0,IF(AND(AND(SUBSTITUTE(SUBSTITUTE(SUBSTITUTE(SUBSTITUTE(SUBSTITUTE(SUBSTITUTE(SUBSTITUTE(SUBSTITUTE(SUBSTITUTE(SUBSTITUTE(SUBSTITUTE(SUBSTITUTE(SUBSTITUTE(SUBSTITUTE(UPPER(TRIM($DX925)),"0",""),"1",""),"2",""),"3",""),"4",""),"5",""),"6",""),"7",""),"8",""),"9",""),".",""),"+",""),"-",""),"E","")="",LEN(SUBSTITUTE(SUBSTITUTE(MID(UPPER(TRIM($DX925)),1+OR(LEFT(UPPER(TRIM($DX925)),1)="+",LEFT(UPPER(TRIM($DX925)),1)="-"),999),"E+","E"),"E-","E"))=LEN(SUBSTITUTE(SUBSTITUTE(SUBSTITUTE(SUBSTITUTE(MID(UPPER(TRIM($DX925)),1+OR(LEFT(UPPER(TRIM($DX925)),1)="+",LEFT(UPPER(TRIM($DX925)),1)="-"),999),"E+","E"),"E-","E"),"+",""),"-","")),LEN(UPPER(TRIM($DX925)))-LEN(SUBSTITUTE(UPPER(TRIM($DX925)),"E",""))&lt;2,LEN(UPPER(TRIM($DX925)))-LEN(SUBSTITUTE(UPPER(TRIM($DX925)),".",""))&lt;2,IFERROR(FIND(".",UPPER(TRIM($DX925))),0)&lt;IFERROR(FIND("E",UPPER(TRIM($DX925))),999)),ISNUMBER(VALUE(TRIM($DX925)))),VALUE(TRIM($DX925)),"")))),""))</f>
        <v/>
      </c>
      <c r="DZ925">
        <f>IF($DM925=0,"",IF($L$17=0,"",IFERROR(IF(ISNUMBER(INDEX(PASTE_ALL,$DF925,$L$17)),INDEX(PASTE_ALL,$DF925,$L$17),SUBSTITUTE(SUBSTITUTE(TRIM(SUBSTITUTE(SUBSTITUTE(SUBSTITUTE(SUBSTITUTE(INDEX(PASTE_ALL,$DF925,$L$17)," "," "),CHAR(9)," "),CHAR(10)," "),CHAR(13)," ")),",",""),"%","")),"")))</f>
        <v/>
      </c>
      <c r="EA925">
        <f>IF($DM925=0,"",IFERROR(IF(ISNUMBER($DZ925),$DZ925,IF($DZ925="","",IF(TRIM($DZ925)="",0,IF(AND(AND(SUBSTITUTE(SUBSTITUTE(SUBSTITUTE(SUBSTITUTE(SUBSTITUTE(SUBSTITUTE(SUBSTITUTE(SUBSTITUTE(SUBSTITUTE(SUBSTITUTE(SUBSTITUTE(SUBSTITUTE(SUBSTITUTE(SUBSTITUTE(UPPER(TRIM($DZ925)),"0",""),"1",""),"2",""),"3",""),"4",""),"5",""),"6",""),"7",""),"8",""),"9",""),".",""),"+",""),"-",""),"E","")="",LEN(SUBSTITUTE(SUBSTITUTE(MID(UPPER(TRIM($DZ925)),1+OR(LEFT(UPPER(TRIM($DZ925)),1)="+",LEFT(UPPER(TRIM($DZ925)),1)="-"),999),"E+","E"),"E-","E"))=LEN(SUBSTITUTE(SUBSTITUTE(SUBSTITUTE(SUBSTITUTE(MID(UPPER(TRIM($DZ925)),1+OR(LEFT(UPPER(TRIM($DZ925)),1)="+",LEFT(UPPER(TRIM($DZ925)),1)="-"),999),"E+","E"),"E-","E"),"+",""),"-","")),LEN(UPPER(TRIM($DZ925)))-LEN(SUBSTITUTE(UPPER(TRIM($DZ925)),"E",""))&lt;2,LEN(UPPER(TRIM($DZ925)))-LEN(SUBSTITUTE(UPPER(TRIM($DZ925)),".",""))&lt;2,IFERROR(FIND(".",UPPER(TRIM($DZ925))),0)&lt;IFERROR(FIND("E",UPPER(TRIM($DZ925))),999)),ISNUMBER(VALUE(TRIM($DZ925)))),VALUE(TRIM($DZ925)),"")))),""))</f>
        <v/>
      </c>
      <c r="EB925">
        <f>IF($DM925=0,"",IF($L$18=0,"",IFERROR(IF(UPPER(TRIM(SUBSTITUTE(SUBSTITUTE(SUBSTITUTE(SUBSTITUTE(INDEX(PASTE_ALL,$DF925,$L$18)," "," "),CHAR(9)," "),CHAR(10)," "),CHAR(13)," ")))="READY","Ready",IF(UPPER(TRIM(SUBSTITUTE(SUBSTITUTE(SUBSTITUTE(SUBSTITUTE(INDEX(PASTE_ALL,$DF925,$L$18)," "," "),CHAR(9)," "),CHAR(10)," "),CHAR(13)," ")))="PM","PM",IF(OR(UPPER(TRIM(SUBSTITUTE(SUBSTITUTE(SUBSTITUTE(SUBSTITUTE(INDEX(PASTE_ALL,$DF925,$L$18)," "," "),CHAR(9)," "),CHAR(10)," "),CHAR(13)," ")))="OT",UPPER(TRIM(SUBSTITUTE(SUBSTITUTE(SUBSTITUTE(SUBSTITUTE(INDEX(PASTE_ALL,$DF925,$L$18)," "," "),CHAR(9)," "),CHAR(10)," "),CHAR(13)," ")))="OVERTIME",UPPER(TRIM(SUBSTITUTE(SUBSTITUTE(SUBSTITUTE(SUBSTITUTE(INDEX(PASTE_ALL,$DF925,$L$18)," "," "),CHAR(9)," "),CHAR(10)," "),CHAR(13)," ")))="TRIAL"),"OT",TRIM(SUBSTITUTE(SUBSTITUTE(SUBSTITUTE(SUBSTITUTE(INDEX(PASTE_ALL,$DF925,$L$18)," "," "),CHAR(9)," "),CHAR(10)," "),CHAR(13)," "))))),"")))</f>
        <v/>
      </c>
      <c r="EC925">
        <f>IF($DM925=0,"",IF($L$19=0,"",IFERROR(IF(ISNUMBER(INDEX(PASTE_ALL,$DF925,$L$19)),INDEX(PASTE_ALL,$DF925,$L$19),TRIM(SUBSTITUTE(SUBSTITUTE(SUBSTITUTE(SUBSTITUTE(INDEX(PASTE_ALL,$DF925,$L$19)," "," "),CHAR(9)," "),CHAR(10)," "),CHAR(13)," "))),"")))</f>
        <v/>
      </c>
      <c r="ED925">
        <f>IF($DM925=0,"",MATCH(1,INDEX(EXACT($DH$5:DH925,$DH925)*$DM$5:DM925,0),0))</f>
        <v/>
      </c>
      <c r="EE925">
        <f>IF($DM925=0,0,IF($ED925=$DE925,1,0))</f>
        <v/>
      </c>
      <c r="EF925">
        <f>EF924+$EE925</f>
        <v/>
      </c>
      <c r="EG925">
        <f>IF($DM925=0,"",INDEX($EF$5:$EF$1003,$ED925))</f>
        <v/>
      </c>
      <c r="EH925">
        <f>IF($DM925=0,"",IF($DO925&lt;&gt;"","",IFERROR(LOOKUP(2,1/(($EG$4:EG924=$EG925)*($DO$4:DO924&lt;&gt;"")),$DO$4:DO924),"")))</f>
        <v/>
      </c>
      <c r="EI925">
        <f>IF($DM925=0,"",IF($DO925&lt;&gt;"",$DO925,$EH925))</f>
        <v/>
      </c>
      <c r="EJ925">
        <f>IF($DM925=0,"",IF($EI925="",0,IF(OR(ISNUMBER($EI925),AND(AND(SUBSTITUTE(SUBSTITUTE(SUBSTITUTE(SUBSTITUTE(SUBSTITUTE(SUBSTITUTE(SUBSTITUTE(SUBSTITUTE(SUBSTITUTE(SUBSTITUTE(SUBSTITUTE(SUBSTITUTE(SUBSTITUTE(SUBSTITUTE(UPPER($EI925),"0",""),"1",""),"2",""),"3",""),"4",""),"5",""),"6",""),"7",""),"8",""),"9",""),".",""),"+",""),"-",""),"E","")="",LEN(SUBSTITUTE(SUBSTITUTE(MID(UPPER($EI925),1+OR(LEFT(UPPER($EI925),1)="+",LEFT(UPPER($EI925),1)="-"),999),"E+","E"),"E-","E"))=LEN(SUBSTITUTE(SUBSTITUTE(SUBSTITUTE(SUBSTITUTE(MID(UPPER($EI925),1+OR(LEFT(UPPER($EI925),1)="+",LEFT(UPPER($EI925),1)="-"),999),"E+","E"),"E-","E"),"+",""),"-","")),LEN(UPPER($EI925))-LEN(SUBSTITUTE(UPPER($EI925),"E",""))&lt;2,LEN(UPPER($EI925))-LEN(SUBSTITUTE(UPPER($EI925),".",""))&lt;2,IFERROR(FIND(".",UPPER($EI925)),0)&lt;IFERROR(FIND("E",UPPER($EI925)),999)),ISNUMBER(VALUE($EI925)))),1,2)))</f>
        <v/>
      </c>
      <c r="EK925">
        <f>IF($DM925=0,"",IF($EJ925=1,IF(ISNUMBER($EI925),$EI925,VALUE($EI925)),IF($EJ925=2,$DE925,0)))</f>
        <v/>
      </c>
      <c r="EL925">
        <f>IF($DM925=0,"",COUNTIF($EG$5:$EG$1003,"&lt;"&amp;$EG925)+SUMPRODUCT(($EG$5:$EG$1003=$EG925)*(($EJ$5:$EJ$1003&lt;$EJ925)+($EJ$5:$EJ$1003=$EJ925)*(($EK$5:$EK$1003&lt;$EK925)+($EK$5:$EK$1003=$EK925)*($DE$5:$DE$1003&lt;$DE925))))+1)</f>
        <v/>
      </c>
      <c r="EM925">
        <f>IF($DM925=0,"",$EL925+$EG925-1)</f>
        <v/>
      </c>
      <c r="EN925">
        <f>IF($DM925=0,0,IFERROR(MATCH(1,INDEX(--(TRIM(SUBSTITUTE(SUBSTITUTE(SUBSTITUTE(SUBSTITUTE(LINES_NAME&amp;""," "," "),CHAR(9)," "),CHAR(10)," "),CHAR(13)," "))=$DH925),0),0),0))</f>
        <v/>
      </c>
      <c r="EO925">
        <f>IF($EN925=0,0,IF(OR(UPPER(TRIM(INDEX(LINES_SCHEDULED,$EN925)&amp;""))="YES",UPPER(TRIM(INDEX(LINES_SCHEDULED,$EN925)&amp;""))="Y",UPPER(TRIM(INDEX(LINES_SCHEDULED,$EN925)&amp;""))="X"),1,0))</f>
        <v/>
      </c>
      <c r="EP925">
        <f>IF($DM925=0,"",IF(COUNTIFS($EG$5:$EG$1003,$EG925,$EB$5:$EB$1003,"Ready")&gt;0,"READY",IF(COUNTIFS($EG$5:$EG$1003,$EG925,$EB$5:$EB$1003,"PM")&gt;0,"PM",IF(COUNTIFS($EG$5:$EG$1003,$EG925,$EB$5:$EB$1003,"OT")&gt;0,"OT",""))))</f>
        <v/>
      </c>
      <c r="EQ925">
        <f>IF($EN925=0,"",UPPER(TRIM(INDEX(LINES_STATUS,$EN925)&amp;"")))</f>
        <v/>
      </c>
      <c r="ER925">
        <f>IF($DM925=0,"",IF(OR($EQ925="READY",$EQ925="PM",$EQ925="OT"),$EQ925,$EP925))</f>
        <v/>
      </c>
      <c r="ES925">
        <f>IF($DM925=0,"",IF(AND($DV925&lt;&gt;"",UPPER($DV925)&lt;&gt;"N"),"allergen",IF(ISNUMBER(SEARCH("oil",$DQ925)),"oil",IF(OR(EXACT($DS925,"A662"),EXACT($DS925,"A624")),"bulk",""))))</f>
        <v/>
      </c>
      <c r="ET925">
        <f>IF($DM925=0,"",IF(OR($EA925="",$EA925=0),"",$EA925/100))</f>
        <v/>
      </c>
      <c r="EU925">
        <f>IF(OR($ET925="",$DY925=""),"",INT($DY925*(1-$ET925)+0.5))</f>
        <v/>
      </c>
    </row>
    <row r="926">
      <c r="DA926" t="n">
        <v>922</v>
      </c>
      <c r="DB926">
        <f>IF($B$37=0,"",IFERROR(TRIM(SUBSTITUTE(SUBSTITUTE(SUBSTITUTE(SUBSTITUTE(INDEX(PASTE_ALL,922,$B$37)," "," "),CHAR(9)," "),CHAR(10)," "),CHAR(13)," ")),""))</f>
        <v/>
      </c>
      <c r="DC926">
        <f>IF(AND(922&gt;HEADER_ROW,UPPER(DB926)="LEGEND"),1,0)</f>
        <v/>
      </c>
      <c r="DE926" t="n">
        <v>922</v>
      </c>
      <c r="DF926">
        <f>HEADER_ROW+$DE926</f>
        <v/>
      </c>
      <c r="DG926">
        <f>IF(AND($DF926&lt;=1000,$DF926&lt;$B$8),1,0)</f>
        <v/>
      </c>
      <c r="DH926">
        <f>IF($DG926=1,IFERROR(INDEX($DB$5:$DB$1004,$DF926),""),"")</f>
        <v/>
      </c>
      <c r="DI926">
        <f>IF(AND($DG926=1,$DH926&lt;&gt;""),IFERROR(SUBSTITUTE(SUBSTITUTE(TRIM(SUBSTITUTE(SUBSTITUTE(SUBSTITUTE(SUBSTITUTE(IFERROR(INDEX(PASTE_ALL,$DF926,1)&amp;"","")&amp;"␟"&amp;IFERROR(INDEX(PASTE_ALL,$DF926,2)&amp;"","")&amp;"␟"&amp;IFERROR(INDEX(PASTE_ALL,$DF926,3)&amp;"","")&amp;"␟"&amp;IFERROR(INDEX(PASTE_ALL,$DF926,4)&amp;"","")&amp;"␟"&amp;IFERROR(INDEX(PASTE_ALL,$DF926,5)&amp;"","")&amp;"␟"&amp;IFERROR(INDEX(PASTE_ALL,$DF926,6)&amp;"","")&amp;"␟"&amp;IFERROR(INDEX(PASTE_ALL,$DF926,7)&amp;"","")&amp;"␟"&amp;IFERROR(INDEX(PASTE_ALL,$DF926,8)&amp;"","")&amp;"␟"&amp;IFERROR(INDEX(PASTE_ALL,$DF926,9)&amp;"","")&amp;"␟"&amp;IFERROR(INDEX(PASTE_ALL,$DF926,10)&amp;"","")&amp;"␟"&amp;IFERROR(INDEX(PASTE_ALL,$DF926,11)&amp;"","")&amp;"␟"&amp;IFERROR(INDEX(PASTE_ALL,$DF926,12)&amp;"","")&amp;"␟"&amp;IFERROR(INDEX(PASTE_ALL,$DF926,13)&amp;"","")&amp;"␟"&amp;IFERROR(INDEX(PASTE_ALL,$DF926,14)&amp;"","")&amp;"␟"&amp;IFERROR(INDEX(PASTE_ALL,$DF926,15)&amp;"","")&amp;"␟"&amp;IFERROR(INDEX(PASTE_ALL,$DF926,16)&amp;"","")&amp;"␟"&amp;IFERROR(INDEX(PASTE_ALL,$DF926,17)&amp;"","")&amp;"␟"&amp;IFERROR(INDEX(PASTE_ALL,$DF926,18)&amp;"","")&amp;"␟"&amp;IFERROR(INDEX(PASTE_ALL,$DF926,19)&amp;"","")&amp;"␟"&amp;IFERROR(INDEX(PASTE_ALL,$DF926,20)&amp;"","")&amp;"␟"&amp;IFERROR(INDEX(PASTE_ALL,$DF926,21)&amp;"","")&amp;"␟"&amp;IFERROR(INDEX(PASTE_ALL,$DF926,22)&amp;"","")&amp;"␟"&amp;IFERROR(INDEX(PASTE_ALL,$DF926,23)&amp;"","")&amp;"␟"&amp;IFERROR(INDEX(PASTE_ALL,$DF926,24)&amp;"","")&amp;"␟"&amp;IFERROR(INDEX(PASTE_ALL,$DF926,25)&amp;"","")&amp;"␟"&amp;IFERROR(INDEX(PASTE_ALL,$DF926,26)&amp;"","")&amp;"␟"&amp;IFERROR(INDEX(PASTE_ALL,$DF926,27)&amp;"","")&amp;"␟"&amp;IFERROR(INDEX(PASTE_ALL,$DF926,28)&amp;"","")&amp;"␟"&amp;IFERROR(INDEX(PASTE_ALL,$DF926,29)&amp;"","")&amp;"␟"&amp;IFERROR(INDEX(PASTE_ALL,$DF926,30)&amp;"","")&amp;"␟"&amp;IFERROR(INDEX(PASTE_ALL,$DF926,31)&amp;"","")&amp;"␟"&amp;IFERROR(INDEX(PASTE_ALL,$DF926,32)&amp;"","")&amp;"␟"&amp;IFERROR(INDEX(PASTE_ALL,$DF926,33)&amp;"","")&amp;"␟"&amp;IFERROR(INDEX(PASTE_ALL,$DF926,34)&amp;"","")&amp;"␟"&amp;IFERROR(INDEX(PASTE_ALL,$DF926,35)&amp;"","")&amp;"␟"&amp;IFERROR(INDEX(PASTE_ALL,$DF926,36)&amp;"","")&amp;"␟"&amp;IFERROR(INDEX(PASTE_ALL,$DF926,37)&amp;"","")&amp;"␟"&amp;IFERROR(INDEX(PASTE_ALL,$DF926,38)&amp;"","")&amp;"␟"&amp;IFERROR(INDEX(PASTE_ALL,$DF926,39)&amp;"","")&amp;"␟"&amp;IFERROR(INDEX(PASTE_ALL,$DF926,40)&amp;"","")&amp;"␟"&amp;IFERROR(INDEX(PASTE_ALL,$DF926,41)&amp;"","")&amp;"␟"&amp;IFERROR(INDEX(PASTE_ALL,$DF926,42)&amp;"","")&amp;"␟"&amp;IFERROR(INDEX(PASTE_ALL,$DF926,43)&amp;"","")&amp;"␟"&amp;IFERROR(INDEX(PASTE_ALL,$DF926,44)&amp;"","")&amp;"␟"&amp;IFERROR(INDEX(PASTE_ALL,$DF926,45)&amp;"","")&amp;"␟"&amp;IFERROR(INDEX(PASTE_ALL,$DF926,46)&amp;"","")&amp;"␟"&amp;IFERROR(INDEX(PASTE_ALL,$DF926,47)&amp;"","")&amp;"␟"&amp;IFERROR(INDEX(PASTE_ALL,$DF926,48)&amp;"","")&amp;"␟"&amp;IFERROR(INDEX(PASTE_ALL,$DF926,49)&amp;"","")&amp;"␟"&amp;IFERROR(INDEX(PASTE_ALL,$DF926,50)&amp;"","")&amp;"␟"&amp;IFERROR(INDEX(PASTE_ALL,$DF926,51)&amp;"","")&amp;"␟"&amp;IFERROR(INDEX(PASTE_ALL,$DF926,52)&amp;"","")&amp;"␟"&amp;IFERROR(INDEX(PASTE_ALL,$DF926,53)&amp;"","")&amp;"␟"&amp;IFERROR(INDEX(PASTE_ALL,$DF926,54)&amp;"","")&amp;"␟"&amp;IFERROR(INDEX(PASTE_ALL,$DF926,55)&amp;"","")&amp;"␟"&amp;IFERROR(INDEX(PASTE_ALL,$DF926,56)&amp;"","")&amp;"␟"&amp;IFERROR(INDEX(PASTE_ALL,$DF926,57)&amp;"","")&amp;"␟"&amp;IFERROR(INDEX(PASTE_ALL,$DF926,58)&amp;"","")&amp;"␟"&amp;IFERROR(INDEX(PASTE_ALL,$DF926,59)&amp;"","")&amp;"␟"&amp;IFERROR(INDEX(PASTE_ALL,$DF926,60)&amp;"","")," "," "),CHAR(9)," "),CHAR(10)," "),CHAR(13)," "))," ␟","␟"),"␟ ","␟"),"#"&amp;$DE926),"")</f>
        <v/>
      </c>
      <c r="DJ926">
        <f>IF($DI926="",0,IF(SUMPRODUCT(--EXACT($DI$4:DI925,$DI926))&gt;0,1,0))</f>
        <v/>
      </c>
      <c r="DK926">
        <f>IF(AND($DI926&lt;&gt;"",$DJ926=0),1,0)</f>
        <v/>
      </c>
      <c r="DL926">
        <f>DL925+$DK926</f>
        <v/>
      </c>
      <c r="DM926">
        <f>IF(AND($DK926=1,$DL926&lt;=600),1,0)</f>
        <v/>
      </c>
      <c r="DN926">
        <f>IF($DM926=0,"",IF($L$6=0,"",IFERROR(IF(ISNUMBER(INDEX(PASTE_ALL,$DF926,$L$6)),INDEX(PASTE_ALL,$DF926,$L$6),TRIM(SUBSTITUTE(SUBSTITUTE(SUBSTITUTE(SUBSTITUTE(INDEX(PASTE_ALL,$DF926,$L$6)," "," "),CHAR(9)," "),CHAR(10)," "),CHAR(13)," "))),"")))</f>
        <v/>
      </c>
      <c r="DO926">
        <f>IF($DM926=0,"",IF($L$7=0,"",IFERROR(IF(ISNUMBER(INDEX(PASTE_ALL,$DF926,$L$7)),INDEX(PASTE_ALL,$DF926,$L$7),TRIM(SUBSTITUTE(SUBSTITUTE(SUBSTITUTE(SUBSTITUTE(INDEX(PASTE_ALL,$DF926,$L$7)," "," "),CHAR(9)," "),CHAR(10)," "),CHAR(13)," "))),"")))</f>
        <v/>
      </c>
      <c r="DP926">
        <f>IF($DM926=0,"",IF($L$8=0,"",IFERROR(IF(ISNUMBER(INDEX(PASTE_ALL,$DF926,$L$8)),INDEX(PASTE_ALL,$DF926,$L$8),TRIM(SUBSTITUTE(SUBSTITUTE(SUBSTITUTE(SUBSTITUTE(INDEX(PASTE_ALL,$DF926,$L$8)," "," "),CHAR(9)," "),CHAR(10)," "),CHAR(13)," "))),"")))</f>
        <v/>
      </c>
      <c r="DQ926">
        <f>IF($DM926=0,"",IF($L$9=0,"",IFERROR(IF(ISNUMBER(INDEX(PASTE_ALL,$DF926,$L$9)),INDEX(PASTE_ALL,$DF926,$L$9),TRIM(SUBSTITUTE(SUBSTITUTE(SUBSTITUTE(SUBSTITUTE(INDEX(PASTE_ALL,$DF926,$L$9)," "," "),CHAR(9)," "),CHAR(10)," "),CHAR(13)," "))),"")))</f>
        <v/>
      </c>
      <c r="DR926">
        <f>IF($DM926=0,"",IF($L$10=0,"",IFERROR(IF(ISNUMBER(INDEX(PASTE_ALL,$DF926,$L$10)),INDEX(PASTE_ALL,$DF926,$L$10),TRIM(SUBSTITUTE(SUBSTITUTE(SUBSTITUTE(SUBSTITUTE(INDEX(PASTE_ALL,$DF926,$L$10)," "," "),CHAR(9)," "),CHAR(10)," "),CHAR(13)," "))),"")))</f>
        <v/>
      </c>
      <c r="DS926">
        <f>IF($DM926=0,"",IF($L$11=0,"",IFERROR(IF(ISNUMBER(INDEX(PASTE_ALL,$DF926,$L$11)),INDEX(PASTE_ALL,$DF926,$L$11),TRIM(SUBSTITUTE(SUBSTITUTE(SUBSTITUTE(SUBSTITUTE(INDEX(PASTE_ALL,$DF926,$L$11)," "," "),CHAR(9)," "),CHAR(10)," "),CHAR(13)," "))),"")))</f>
        <v/>
      </c>
      <c r="DT926">
        <f>IF($DM926=0,"",IF($L$12=0,"",IFERROR(IF(ISNUMBER(INDEX(PASTE_ALL,$DF926,$L$12)),INDEX(PASTE_ALL,$DF926,$L$12),TRIM(SUBSTITUTE(SUBSTITUTE(SUBSTITUTE(SUBSTITUTE(INDEX(PASTE_ALL,$DF926,$L$12)," "," "),CHAR(9)," "),CHAR(10)," "),CHAR(13)," "))),"")))</f>
        <v/>
      </c>
      <c r="DU926">
        <f>IF($DM926=0,"",IF($L$13=0,"",IFERROR(IF(ISNUMBER(INDEX(PASTE_ALL,$DF926,$L$13)),INDEX(PASTE_ALL,$DF926,$L$13),TRIM(SUBSTITUTE(SUBSTITUTE(SUBSTITUTE(SUBSTITUTE(INDEX(PASTE_ALL,$DF926,$L$13)," "," "),CHAR(9)," "),CHAR(10)," "),CHAR(13)," "))),"")))</f>
        <v/>
      </c>
      <c r="DV926">
        <f>IF($DM926=0,"",IF($L$14=0,"",IFERROR(IF(ISNUMBER(INDEX(PASTE_ALL,$DF926,$L$14)),INDEX(PASTE_ALL,$DF926,$L$14),TRIM(SUBSTITUTE(SUBSTITUTE(SUBSTITUTE(SUBSTITUTE(INDEX(PASTE_ALL,$DF926,$L$14)," "," "),CHAR(9)," "),CHAR(10)," "),CHAR(13)," "))),"")))</f>
        <v/>
      </c>
      <c r="DW926">
        <f>IF($DM926=0,"",IF($L$15=0,"",IFERROR(IF(ISNUMBER(INDEX(PASTE_ALL,$DF926,$L$15)),INDEX(PASTE_ALL,$DF926,$L$15),IF(SUMPRODUCT(--ISNUMBER(FIND({"A","B","C","D","E","F","G","H","I","J","K","L","M","N","O","P","Q","R","S","T","U","V","W","X","Y","Z","0","1","2","3","4","5","6","7","8","9"},UPPER(TRIM(SUBSTITUTE(SUBSTITUTE(SUBSTITUTE(SUBSTITUTE(INDEX(PASTE_ALL,$DF926,$L$15)," "," "),CHAR(9)," "),CHAR(10)," "),CHAR(13)," "))))))&gt;0,TRIM(SUBSTITUTE(SUBSTITUTE(SUBSTITUTE(SUBSTITUTE(INDEX(PASTE_ALL,$DF926,$L$15)," "," "),CHAR(9)," "),CHAR(10)," "),CHAR(13)," ")),"")),"")))</f>
        <v/>
      </c>
      <c r="DX926">
        <f>IF($DM926=0,"",IF($L$16=0,"",IFERROR(IF(ISNUMBER(INDEX(PASTE_ALL,$DF926,$L$16)),INDEX(PASTE_ALL,$DF926,$L$16),SUBSTITUTE(SUBSTITUTE(TRIM(SUBSTITUTE(SUBSTITUTE(SUBSTITUTE(SUBSTITUTE(INDEX(PASTE_ALL,$DF926,$L$16)," "," "),CHAR(9)," "),CHAR(10)," "),CHAR(13)," ")),",",""),"%","")),"")))</f>
        <v/>
      </c>
      <c r="DY926">
        <f>IF($DM926=0,"",IFERROR(IF(ISNUMBER($DX926),$DX926,IF($DX926="","",IF(TRIM($DX926)="",0,IF(AND(AND(SUBSTITUTE(SUBSTITUTE(SUBSTITUTE(SUBSTITUTE(SUBSTITUTE(SUBSTITUTE(SUBSTITUTE(SUBSTITUTE(SUBSTITUTE(SUBSTITUTE(SUBSTITUTE(SUBSTITUTE(SUBSTITUTE(SUBSTITUTE(UPPER(TRIM($DX926)),"0",""),"1",""),"2",""),"3",""),"4",""),"5",""),"6",""),"7",""),"8",""),"9",""),".",""),"+",""),"-",""),"E","")="",LEN(SUBSTITUTE(SUBSTITUTE(MID(UPPER(TRIM($DX926)),1+OR(LEFT(UPPER(TRIM($DX926)),1)="+",LEFT(UPPER(TRIM($DX926)),1)="-"),999),"E+","E"),"E-","E"))=LEN(SUBSTITUTE(SUBSTITUTE(SUBSTITUTE(SUBSTITUTE(MID(UPPER(TRIM($DX926)),1+OR(LEFT(UPPER(TRIM($DX926)),1)="+",LEFT(UPPER(TRIM($DX926)),1)="-"),999),"E+","E"),"E-","E"),"+",""),"-","")),LEN(UPPER(TRIM($DX926)))-LEN(SUBSTITUTE(UPPER(TRIM($DX926)),"E",""))&lt;2,LEN(UPPER(TRIM($DX926)))-LEN(SUBSTITUTE(UPPER(TRIM($DX926)),".",""))&lt;2,IFERROR(FIND(".",UPPER(TRIM($DX926))),0)&lt;IFERROR(FIND("E",UPPER(TRIM($DX926))),999)),ISNUMBER(VALUE(TRIM($DX926)))),VALUE(TRIM($DX926)),"")))),""))</f>
        <v/>
      </c>
      <c r="DZ926">
        <f>IF($DM926=0,"",IF($L$17=0,"",IFERROR(IF(ISNUMBER(INDEX(PASTE_ALL,$DF926,$L$17)),INDEX(PASTE_ALL,$DF926,$L$17),SUBSTITUTE(SUBSTITUTE(TRIM(SUBSTITUTE(SUBSTITUTE(SUBSTITUTE(SUBSTITUTE(INDEX(PASTE_ALL,$DF926,$L$17)," "," "),CHAR(9)," "),CHAR(10)," "),CHAR(13)," ")),",",""),"%","")),"")))</f>
        <v/>
      </c>
      <c r="EA926">
        <f>IF($DM926=0,"",IFERROR(IF(ISNUMBER($DZ926),$DZ926,IF($DZ926="","",IF(TRIM($DZ926)="",0,IF(AND(AND(SUBSTITUTE(SUBSTITUTE(SUBSTITUTE(SUBSTITUTE(SUBSTITUTE(SUBSTITUTE(SUBSTITUTE(SUBSTITUTE(SUBSTITUTE(SUBSTITUTE(SUBSTITUTE(SUBSTITUTE(SUBSTITUTE(SUBSTITUTE(UPPER(TRIM($DZ926)),"0",""),"1",""),"2",""),"3",""),"4",""),"5",""),"6",""),"7",""),"8",""),"9",""),".",""),"+",""),"-",""),"E","")="",LEN(SUBSTITUTE(SUBSTITUTE(MID(UPPER(TRIM($DZ926)),1+OR(LEFT(UPPER(TRIM($DZ926)),1)="+",LEFT(UPPER(TRIM($DZ926)),1)="-"),999),"E+","E"),"E-","E"))=LEN(SUBSTITUTE(SUBSTITUTE(SUBSTITUTE(SUBSTITUTE(MID(UPPER(TRIM($DZ926)),1+OR(LEFT(UPPER(TRIM($DZ926)),1)="+",LEFT(UPPER(TRIM($DZ926)),1)="-"),999),"E+","E"),"E-","E"),"+",""),"-","")),LEN(UPPER(TRIM($DZ926)))-LEN(SUBSTITUTE(UPPER(TRIM($DZ926)),"E",""))&lt;2,LEN(UPPER(TRIM($DZ926)))-LEN(SUBSTITUTE(UPPER(TRIM($DZ926)),".",""))&lt;2,IFERROR(FIND(".",UPPER(TRIM($DZ926))),0)&lt;IFERROR(FIND("E",UPPER(TRIM($DZ926))),999)),ISNUMBER(VALUE(TRIM($DZ926)))),VALUE(TRIM($DZ926)),"")))),""))</f>
        <v/>
      </c>
      <c r="EB926">
        <f>IF($DM926=0,"",IF($L$18=0,"",IFERROR(IF(UPPER(TRIM(SUBSTITUTE(SUBSTITUTE(SUBSTITUTE(SUBSTITUTE(INDEX(PASTE_ALL,$DF926,$L$18)," "," "),CHAR(9)," "),CHAR(10)," "),CHAR(13)," ")))="READY","Ready",IF(UPPER(TRIM(SUBSTITUTE(SUBSTITUTE(SUBSTITUTE(SUBSTITUTE(INDEX(PASTE_ALL,$DF926,$L$18)," "," "),CHAR(9)," "),CHAR(10)," "),CHAR(13)," ")))="PM","PM",IF(OR(UPPER(TRIM(SUBSTITUTE(SUBSTITUTE(SUBSTITUTE(SUBSTITUTE(INDEX(PASTE_ALL,$DF926,$L$18)," "," "),CHAR(9)," "),CHAR(10)," "),CHAR(13)," ")))="OT",UPPER(TRIM(SUBSTITUTE(SUBSTITUTE(SUBSTITUTE(SUBSTITUTE(INDEX(PASTE_ALL,$DF926,$L$18)," "," "),CHAR(9)," "),CHAR(10)," "),CHAR(13)," ")))="OVERTIME",UPPER(TRIM(SUBSTITUTE(SUBSTITUTE(SUBSTITUTE(SUBSTITUTE(INDEX(PASTE_ALL,$DF926,$L$18)," "," "),CHAR(9)," "),CHAR(10)," "),CHAR(13)," ")))="TRIAL"),"OT",TRIM(SUBSTITUTE(SUBSTITUTE(SUBSTITUTE(SUBSTITUTE(INDEX(PASTE_ALL,$DF926,$L$18)," "," "),CHAR(9)," "),CHAR(10)," "),CHAR(13)," "))))),"")))</f>
        <v/>
      </c>
      <c r="EC926">
        <f>IF($DM926=0,"",IF($L$19=0,"",IFERROR(IF(ISNUMBER(INDEX(PASTE_ALL,$DF926,$L$19)),INDEX(PASTE_ALL,$DF926,$L$19),TRIM(SUBSTITUTE(SUBSTITUTE(SUBSTITUTE(SUBSTITUTE(INDEX(PASTE_ALL,$DF926,$L$19)," "," "),CHAR(9)," "),CHAR(10)," "),CHAR(13)," "))),"")))</f>
        <v/>
      </c>
      <c r="ED926">
        <f>IF($DM926=0,"",MATCH(1,INDEX(EXACT($DH$5:DH926,$DH926)*$DM$5:DM926,0),0))</f>
        <v/>
      </c>
      <c r="EE926">
        <f>IF($DM926=0,0,IF($ED926=$DE926,1,0))</f>
        <v/>
      </c>
      <c r="EF926">
        <f>EF925+$EE926</f>
        <v/>
      </c>
      <c r="EG926">
        <f>IF($DM926=0,"",INDEX($EF$5:$EF$1003,$ED926))</f>
        <v/>
      </c>
      <c r="EH926">
        <f>IF($DM926=0,"",IF($DO926&lt;&gt;"","",IFERROR(LOOKUP(2,1/(($EG$4:EG925=$EG926)*($DO$4:DO925&lt;&gt;"")),$DO$4:DO925),"")))</f>
        <v/>
      </c>
      <c r="EI926">
        <f>IF($DM926=0,"",IF($DO926&lt;&gt;"",$DO926,$EH926))</f>
        <v/>
      </c>
      <c r="EJ926">
        <f>IF($DM926=0,"",IF($EI926="",0,IF(OR(ISNUMBER($EI926),AND(AND(SUBSTITUTE(SUBSTITUTE(SUBSTITUTE(SUBSTITUTE(SUBSTITUTE(SUBSTITUTE(SUBSTITUTE(SUBSTITUTE(SUBSTITUTE(SUBSTITUTE(SUBSTITUTE(SUBSTITUTE(SUBSTITUTE(SUBSTITUTE(UPPER($EI926),"0",""),"1",""),"2",""),"3",""),"4",""),"5",""),"6",""),"7",""),"8",""),"9",""),".",""),"+",""),"-",""),"E","")="",LEN(SUBSTITUTE(SUBSTITUTE(MID(UPPER($EI926),1+OR(LEFT(UPPER($EI926),1)="+",LEFT(UPPER($EI926),1)="-"),999),"E+","E"),"E-","E"))=LEN(SUBSTITUTE(SUBSTITUTE(SUBSTITUTE(SUBSTITUTE(MID(UPPER($EI926),1+OR(LEFT(UPPER($EI926),1)="+",LEFT(UPPER($EI926),1)="-"),999),"E+","E"),"E-","E"),"+",""),"-","")),LEN(UPPER($EI926))-LEN(SUBSTITUTE(UPPER($EI926),"E",""))&lt;2,LEN(UPPER($EI926))-LEN(SUBSTITUTE(UPPER($EI926),".",""))&lt;2,IFERROR(FIND(".",UPPER($EI926)),0)&lt;IFERROR(FIND("E",UPPER($EI926)),999)),ISNUMBER(VALUE($EI926)))),1,2)))</f>
        <v/>
      </c>
      <c r="EK926">
        <f>IF($DM926=0,"",IF($EJ926=1,IF(ISNUMBER($EI926),$EI926,VALUE($EI926)),IF($EJ926=2,$DE926,0)))</f>
        <v/>
      </c>
      <c r="EL926">
        <f>IF($DM926=0,"",COUNTIF($EG$5:$EG$1003,"&lt;"&amp;$EG926)+SUMPRODUCT(($EG$5:$EG$1003=$EG926)*(($EJ$5:$EJ$1003&lt;$EJ926)+($EJ$5:$EJ$1003=$EJ926)*(($EK$5:$EK$1003&lt;$EK926)+($EK$5:$EK$1003=$EK926)*($DE$5:$DE$1003&lt;$DE926))))+1)</f>
        <v/>
      </c>
      <c r="EM926">
        <f>IF($DM926=0,"",$EL926+$EG926-1)</f>
        <v/>
      </c>
      <c r="EN926">
        <f>IF($DM926=0,0,IFERROR(MATCH(1,INDEX(--(TRIM(SUBSTITUTE(SUBSTITUTE(SUBSTITUTE(SUBSTITUTE(LINES_NAME&amp;""," "," "),CHAR(9)," "),CHAR(10)," "),CHAR(13)," "))=$DH926),0),0),0))</f>
        <v/>
      </c>
      <c r="EO926">
        <f>IF($EN926=0,0,IF(OR(UPPER(TRIM(INDEX(LINES_SCHEDULED,$EN926)&amp;""))="YES",UPPER(TRIM(INDEX(LINES_SCHEDULED,$EN926)&amp;""))="Y",UPPER(TRIM(INDEX(LINES_SCHEDULED,$EN926)&amp;""))="X"),1,0))</f>
        <v/>
      </c>
      <c r="EP926">
        <f>IF($DM926=0,"",IF(COUNTIFS($EG$5:$EG$1003,$EG926,$EB$5:$EB$1003,"Ready")&gt;0,"READY",IF(COUNTIFS($EG$5:$EG$1003,$EG926,$EB$5:$EB$1003,"PM")&gt;0,"PM",IF(COUNTIFS($EG$5:$EG$1003,$EG926,$EB$5:$EB$1003,"OT")&gt;0,"OT",""))))</f>
        <v/>
      </c>
      <c r="EQ926">
        <f>IF($EN926=0,"",UPPER(TRIM(INDEX(LINES_STATUS,$EN926)&amp;"")))</f>
        <v/>
      </c>
      <c r="ER926">
        <f>IF($DM926=0,"",IF(OR($EQ926="READY",$EQ926="PM",$EQ926="OT"),$EQ926,$EP926))</f>
        <v/>
      </c>
      <c r="ES926">
        <f>IF($DM926=0,"",IF(AND($DV926&lt;&gt;"",UPPER($DV926)&lt;&gt;"N"),"allergen",IF(ISNUMBER(SEARCH("oil",$DQ926)),"oil",IF(OR(EXACT($DS926,"A662"),EXACT($DS926,"A624")),"bulk",""))))</f>
        <v/>
      </c>
      <c r="ET926">
        <f>IF($DM926=0,"",IF(OR($EA926="",$EA926=0),"",$EA926/100))</f>
        <v/>
      </c>
      <c r="EU926">
        <f>IF(OR($ET926="",$DY926=""),"",INT($DY926*(1-$ET926)+0.5))</f>
        <v/>
      </c>
    </row>
    <row r="927">
      <c r="DA927" t="n">
        <v>923</v>
      </c>
      <c r="DB927">
        <f>IF($B$37=0,"",IFERROR(TRIM(SUBSTITUTE(SUBSTITUTE(SUBSTITUTE(SUBSTITUTE(INDEX(PASTE_ALL,923,$B$37)," "," "),CHAR(9)," "),CHAR(10)," "),CHAR(13)," ")),""))</f>
        <v/>
      </c>
      <c r="DC927">
        <f>IF(AND(923&gt;HEADER_ROW,UPPER(DB927)="LEGEND"),1,0)</f>
        <v/>
      </c>
      <c r="DE927" t="n">
        <v>923</v>
      </c>
      <c r="DF927">
        <f>HEADER_ROW+$DE927</f>
        <v/>
      </c>
      <c r="DG927">
        <f>IF(AND($DF927&lt;=1000,$DF927&lt;$B$8),1,0)</f>
        <v/>
      </c>
      <c r="DH927">
        <f>IF($DG927=1,IFERROR(INDEX($DB$5:$DB$1004,$DF927),""),"")</f>
        <v/>
      </c>
      <c r="DI927">
        <f>IF(AND($DG927=1,$DH927&lt;&gt;""),IFERROR(SUBSTITUTE(SUBSTITUTE(TRIM(SUBSTITUTE(SUBSTITUTE(SUBSTITUTE(SUBSTITUTE(IFERROR(INDEX(PASTE_ALL,$DF927,1)&amp;"","")&amp;"␟"&amp;IFERROR(INDEX(PASTE_ALL,$DF927,2)&amp;"","")&amp;"␟"&amp;IFERROR(INDEX(PASTE_ALL,$DF927,3)&amp;"","")&amp;"␟"&amp;IFERROR(INDEX(PASTE_ALL,$DF927,4)&amp;"","")&amp;"␟"&amp;IFERROR(INDEX(PASTE_ALL,$DF927,5)&amp;"","")&amp;"␟"&amp;IFERROR(INDEX(PASTE_ALL,$DF927,6)&amp;"","")&amp;"␟"&amp;IFERROR(INDEX(PASTE_ALL,$DF927,7)&amp;"","")&amp;"␟"&amp;IFERROR(INDEX(PASTE_ALL,$DF927,8)&amp;"","")&amp;"␟"&amp;IFERROR(INDEX(PASTE_ALL,$DF927,9)&amp;"","")&amp;"␟"&amp;IFERROR(INDEX(PASTE_ALL,$DF927,10)&amp;"","")&amp;"␟"&amp;IFERROR(INDEX(PASTE_ALL,$DF927,11)&amp;"","")&amp;"␟"&amp;IFERROR(INDEX(PASTE_ALL,$DF927,12)&amp;"","")&amp;"␟"&amp;IFERROR(INDEX(PASTE_ALL,$DF927,13)&amp;"","")&amp;"␟"&amp;IFERROR(INDEX(PASTE_ALL,$DF927,14)&amp;"","")&amp;"␟"&amp;IFERROR(INDEX(PASTE_ALL,$DF927,15)&amp;"","")&amp;"␟"&amp;IFERROR(INDEX(PASTE_ALL,$DF927,16)&amp;"","")&amp;"␟"&amp;IFERROR(INDEX(PASTE_ALL,$DF927,17)&amp;"","")&amp;"␟"&amp;IFERROR(INDEX(PASTE_ALL,$DF927,18)&amp;"","")&amp;"␟"&amp;IFERROR(INDEX(PASTE_ALL,$DF927,19)&amp;"","")&amp;"␟"&amp;IFERROR(INDEX(PASTE_ALL,$DF927,20)&amp;"","")&amp;"␟"&amp;IFERROR(INDEX(PASTE_ALL,$DF927,21)&amp;"","")&amp;"␟"&amp;IFERROR(INDEX(PASTE_ALL,$DF927,22)&amp;"","")&amp;"␟"&amp;IFERROR(INDEX(PASTE_ALL,$DF927,23)&amp;"","")&amp;"␟"&amp;IFERROR(INDEX(PASTE_ALL,$DF927,24)&amp;"","")&amp;"␟"&amp;IFERROR(INDEX(PASTE_ALL,$DF927,25)&amp;"","")&amp;"␟"&amp;IFERROR(INDEX(PASTE_ALL,$DF927,26)&amp;"","")&amp;"␟"&amp;IFERROR(INDEX(PASTE_ALL,$DF927,27)&amp;"","")&amp;"␟"&amp;IFERROR(INDEX(PASTE_ALL,$DF927,28)&amp;"","")&amp;"␟"&amp;IFERROR(INDEX(PASTE_ALL,$DF927,29)&amp;"","")&amp;"␟"&amp;IFERROR(INDEX(PASTE_ALL,$DF927,30)&amp;"","")&amp;"␟"&amp;IFERROR(INDEX(PASTE_ALL,$DF927,31)&amp;"","")&amp;"␟"&amp;IFERROR(INDEX(PASTE_ALL,$DF927,32)&amp;"","")&amp;"␟"&amp;IFERROR(INDEX(PASTE_ALL,$DF927,33)&amp;"","")&amp;"␟"&amp;IFERROR(INDEX(PASTE_ALL,$DF927,34)&amp;"","")&amp;"␟"&amp;IFERROR(INDEX(PASTE_ALL,$DF927,35)&amp;"","")&amp;"␟"&amp;IFERROR(INDEX(PASTE_ALL,$DF927,36)&amp;"","")&amp;"␟"&amp;IFERROR(INDEX(PASTE_ALL,$DF927,37)&amp;"","")&amp;"␟"&amp;IFERROR(INDEX(PASTE_ALL,$DF927,38)&amp;"","")&amp;"␟"&amp;IFERROR(INDEX(PASTE_ALL,$DF927,39)&amp;"","")&amp;"␟"&amp;IFERROR(INDEX(PASTE_ALL,$DF927,40)&amp;"","")&amp;"␟"&amp;IFERROR(INDEX(PASTE_ALL,$DF927,41)&amp;"","")&amp;"␟"&amp;IFERROR(INDEX(PASTE_ALL,$DF927,42)&amp;"","")&amp;"␟"&amp;IFERROR(INDEX(PASTE_ALL,$DF927,43)&amp;"","")&amp;"␟"&amp;IFERROR(INDEX(PASTE_ALL,$DF927,44)&amp;"","")&amp;"␟"&amp;IFERROR(INDEX(PASTE_ALL,$DF927,45)&amp;"","")&amp;"␟"&amp;IFERROR(INDEX(PASTE_ALL,$DF927,46)&amp;"","")&amp;"␟"&amp;IFERROR(INDEX(PASTE_ALL,$DF927,47)&amp;"","")&amp;"␟"&amp;IFERROR(INDEX(PASTE_ALL,$DF927,48)&amp;"","")&amp;"␟"&amp;IFERROR(INDEX(PASTE_ALL,$DF927,49)&amp;"","")&amp;"␟"&amp;IFERROR(INDEX(PASTE_ALL,$DF927,50)&amp;"","")&amp;"␟"&amp;IFERROR(INDEX(PASTE_ALL,$DF927,51)&amp;"","")&amp;"␟"&amp;IFERROR(INDEX(PASTE_ALL,$DF927,52)&amp;"","")&amp;"␟"&amp;IFERROR(INDEX(PASTE_ALL,$DF927,53)&amp;"","")&amp;"␟"&amp;IFERROR(INDEX(PASTE_ALL,$DF927,54)&amp;"","")&amp;"␟"&amp;IFERROR(INDEX(PASTE_ALL,$DF927,55)&amp;"","")&amp;"␟"&amp;IFERROR(INDEX(PASTE_ALL,$DF927,56)&amp;"","")&amp;"␟"&amp;IFERROR(INDEX(PASTE_ALL,$DF927,57)&amp;"","")&amp;"␟"&amp;IFERROR(INDEX(PASTE_ALL,$DF927,58)&amp;"","")&amp;"␟"&amp;IFERROR(INDEX(PASTE_ALL,$DF927,59)&amp;"","")&amp;"␟"&amp;IFERROR(INDEX(PASTE_ALL,$DF927,60)&amp;"","")," "," "),CHAR(9)," "),CHAR(10)," "),CHAR(13)," "))," ␟","␟"),"␟ ","␟"),"#"&amp;$DE927),"")</f>
        <v/>
      </c>
      <c r="DJ927">
        <f>IF($DI927="",0,IF(SUMPRODUCT(--EXACT($DI$4:DI926,$DI927))&gt;0,1,0))</f>
        <v/>
      </c>
      <c r="DK927">
        <f>IF(AND($DI927&lt;&gt;"",$DJ927=0),1,0)</f>
        <v/>
      </c>
      <c r="DL927">
        <f>DL926+$DK927</f>
        <v/>
      </c>
      <c r="DM927">
        <f>IF(AND($DK927=1,$DL927&lt;=600),1,0)</f>
        <v/>
      </c>
      <c r="DN927">
        <f>IF($DM927=0,"",IF($L$6=0,"",IFERROR(IF(ISNUMBER(INDEX(PASTE_ALL,$DF927,$L$6)),INDEX(PASTE_ALL,$DF927,$L$6),TRIM(SUBSTITUTE(SUBSTITUTE(SUBSTITUTE(SUBSTITUTE(INDEX(PASTE_ALL,$DF927,$L$6)," "," "),CHAR(9)," "),CHAR(10)," "),CHAR(13)," "))),"")))</f>
        <v/>
      </c>
      <c r="DO927">
        <f>IF($DM927=0,"",IF($L$7=0,"",IFERROR(IF(ISNUMBER(INDEX(PASTE_ALL,$DF927,$L$7)),INDEX(PASTE_ALL,$DF927,$L$7),TRIM(SUBSTITUTE(SUBSTITUTE(SUBSTITUTE(SUBSTITUTE(INDEX(PASTE_ALL,$DF927,$L$7)," "," "),CHAR(9)," "),CHAR(10)," "),CHAR(13)," "))),"")))</f>
        <v/>
      </c>
      <c r="DP927">
        <f>IF($DM927=0,"",IF($L$8=0,"",IFERROR(IF(ISNUMBER(INDEX(PASTE_ALL,$DF927,$L$8)),INDEX(PASTE_ALL,$DF927,$L$8),TRIM(SUBSTITUTE(SUBSTITUTE(SUBSTITUTE(SUBSTITUTE(INDEX(PASTE_ALL,$DF927,$L$8)," "," "),CHAR(9)," "),CHAR(10)," "),CHAR(13)," "))),"")))</f>
        <v/>
      </c>
      <c r="DQ927">
        <f>IF($DM927=0,"",IF($L$9=0,"",IFERROR(IF(ISNUMBER(INDEX(PASTE_ALL,$DF927,$L$9)),INDEX(PASTE_ALL,$DF927,$L$9),TRIM(SUBSTITUTE(SUBSTITUTE(SUBSTITUTE(SUBSTITUTE(INDEX(PASTE_ALL,$DF927,$L$9)," "," "),CHAR(9)," "),CHAR(10)," "),CHAR(13)," "))),"")))</f>
        <v/>
      </c>
      <c r="DR927">
        <f>IF($DM927=0,"",IF($L$10=0,"",IFERROR(IF(ISNUMBER(INDEX(PASTE_ALL,$DF927,$L$10)),INDEX(PASTE_ALL,$DF927,$L$10),TRIM(SUBSTITUTE(SUBSTITUTE(SUBSTITUTE(SUBSTITUTE(INDEX(PASTE_ALL,$DF927,$L$10)," "," "),CHAR(9)," "),CHAR(10)," "),CHAR(13)," "))),"")))</f>
        <v/>
      </c>
      <c r="DS927">
        <f>IF($DM927=0,"",IF($L$11=0,"",IFERROR(IF(ISNUMBER(INDEX(PASTE_ALL,$DF927,$L$11)),INDEX(PASTE_ALL,$DF927,$L$11),TRIM(SUBSTITUTE(SUBSTITUTE(SUBSTITUTE(SUBSTITUTE(INDEX(PASTE_ALL,$DF927,$L$11)," "," "),CHAR(9)," "),CHAR(10)," "),CHAR(13)," "))),"")))</f>
        <v/>
      </c>
      <c r="DT927">
        <f>IF($DM927=0,"",IF($L$12=0,"",IFERROR(IF(ISNUMBER(INDEX(PASTE_ALL,$DF927,$L$12)),INDEX(PASTE_ALL,$DF927,$L$12),TRIM(SUBSTITUTE(SUBSTITUTE(SUBSTITUTE(SUBSTITUTE(INDEX(PASTE_ALL,$DF927,$L$12)," "," "),CHAR(9)," "),CHAR(10)," "),CHAR(13)," "))),"")))</f>
        <v/>
      </c>
      <c r="DU927">
        <f>IF($DM927=0,"",IF($L$13=0,"",IFERROR(IF(ISNUMBER(INDEX(PASTE_ALL,$DF927,$L$13)),INDEX(PASTE_ALL,$DF927,$L$13),TRIM(SUBSTITUTE(SUBSTITUTE(SUBSTITUTE(SUBSTITUTE(INDEX(PASTE_ALL,$DF927,$L$13)," "," "),CHAR(9)," "),CHAR(10)," "),CHAR(13)," "))),"")))</f>
        <v/>
      </c>
      <c r="DV927">
        <f>IF($DM927=0,"",IF($L$14=0,"",IFERROR(IF(ISNUMBER(INDEX(PASTE_ALL,$DF927,$L$14)),INDEX(PASTE_ALL,$DF927,$L$14),TRIM(SUBSTITUTE(SUBSTITUTE(SUBSTITUTE(SUBSTITUTE(INDEX(PASTE_ALL,$DF927,$L$14)," "," "),CHAR(9)," "),CHAR(10)," "),CHAR(13)," "))),"")))</f>
        <v/>
      </c>
      <c r="DW927">
        <f>IF($DM927=0,"",IF($L$15=0,"",IFERROR(IF(ISNUMBER(INDEX(PASTE_ALL,$DF927,$L$15)),INDEX(PASTE_ALL,$DF927,$L$15),IF(SUMPRODUCT(--ISNUMBER(FIND({"A","B","C","D","E","F","G","H","I","J","K","L","M","N","O","P","Q","R","S","T","U","V","W","X","Y","Z","0","1","2","3","4","5","6","7","8","9"},UPPER(TRIM(SUBSTITUTE(SUBSTITUTE(SUBSTITUTE(SUBSTITUTE(INDEX(PASTE_ALL,$DF927,$L$15)," "," "),CHAR(9)," "),CHAR(10)," "),CHAR(13)," "))))))&gt;0,TRIM(SUBSTITUTE(SUBSTITUTE(SUBSTITUTE(SUBSTITUTE(INDEX(PASTE_ALL,$DF927,$L$15)," "," "),CHAR(9)," "),CHAR(10)," "),CHAR(13)," ")),"")),"")))</f>
        <v/>
      </c>
      <c r="DX927">
        <f>IF($DM927=0,"",IF($L$16=0,"",IFERROR(IF(ISNUMBER(INDEX(PASTE_ALL,$DF927,$L$16)),INDEX(PASTE_ALL,$DF927,$L$16),SUBSTITUTE(SUBSTITUTE(TRIM(SUBSTITUTE(SUBSTITUTE(SUBSTITUTE(SUBSTITUTE(INDEX(PASTE_ALL,$DF927,$L$16)," "," "),CHAR(9)," "),CHAR(10)," "),CHAR(13)," ")),",",""),"%","")),"")))</f>
        <v/>
      </c>
      <c r="DY927">
        <f>IF($DM927=0,"",IFERROR(IF(ISNUMBER($DX927),$DX927,IF($DX927="","",IF(TRIM($DX927)="",0,IF(AND(AND(SUBSTITUTE(SUBSTITUTE(SUBSTITUTE(SUBSTITUTE(SUBSTITUTE(SUBSTITUTE(SUBSTITUTE(SUBSTITUTE(SUBSTITUTE(SUBSTITUTE(SUBSTITUTE(SUBSTITUTE(SUBSTITUTE(SUBSTITUTE(UPPER(TRIM($DX927)),"0",""),"1",""),"2",""),"3",""),"4",""),"5",""),"6",""),"7",""),"8",""),"9",""),".",""),"+",""),"-",""),"E","")="",LEN(SUBSTITUTE(SUBSTITUTE(MID(UPPER(TRIM($DX927)),1+OR(LEFT(UPPER(TRIM($DX927)),1)="+",LEFT(UPPER(TRIM($DX927)),1)="-"),999),"E+","E"),"E-","E"))=LEN(SUBSTITUTE(SUBSTITUTE(SUBSTITUTE(SUBSTITUTE(MID(UPPER(TRIM($DX927)),1+OR(LEFT(UPPER(TRIM($DX927)),1)="+",LEFT(UPPER(TRIM($DX927)),1)="-"),999),"E+","E"),"E-","E"),"+",""),"-","")),LEN(UPPER(TRIM($DX927)))-LEN(SUBSTITUTE(UPPER(TRIM($DX927)),"E",""))&lt;2,LEN(UPPER(TRIM($DX927)))-LEN(SUBSTITUTE(UPPER(TRIM($DX927)),".",""))&lt;2,IFERROR(FIND(".",UPPER(TRIM($DX927))),0)&lt;IFERROR(FIND("E",UPPER(TRIM($DX927))),999)),ISNUMBER(VALUE(TRIM($DX927)))),VALUE(TRIM($DX927)),"")))),""))</f>
        <v/>
      </c>
      <c r="DZ927">
        <f>IF($DM927=0,"",IF($L$17=0,"",IFERROR(IF(ISNUMBER(INDEX(PASTE_ALL,$DF927,$L$17)),INDEX(PASTE_ALL,$DF927,$L$17),SUBSTITUTE(SUBSTITUTE(TRIM(SUBSTITUTE(SUBSTITUTE(SUBSTITUTE(SUBSTITUTE(INDEX(PASTE_ALL,$DF927,$L$17)," "," "),CHAR(9)," "),CHAR(10)," "),CHAR(13)," ")),",",""),"%","")),"")))</f>
        <v/>
      </c>
      <c r="EA927">
        <f>IF($DM927=0,"",IFERROR(IF(ISNUMBER($DZ927),$DZ927,IF($DZ927="","",IF(TRIM($DZ927)="",0,IF(AND(AND(SUBSTITUTE(SUBSTITUTE(SUBSTITUTE(SUBSTITUTE(SUBSTITUTE(SUBSTITUTE(SUBSTITUTE(SUBSTITUTE(SUBSTITUTE(SUBSTITUTE(SUBSTITUTE(SUBSTITUTE(SUBSTITUTE(SUBSTITUTE(UPPER(TRIM($DZ927)),"0",""),"1",""),"2",""),"3",""),"4",""),"5",""),"6",""),"7",""),"8",""),"9",""),".",""),"+",""),"-",""),"E","")="",LEN(SUBSTITUTE(SUBSTITUTE(MID(UPPER(TRIM($DZ927)),1+OR(LEFT(UPPER(TRIM($DZ927)),1)="+",LEFT(UPPER(TRIM($DZ927)),1)="-"),999),"E+","E"),"E-","E"))=LEN(SUBSTITUTE(SUBSTITUTE(SUBSTITUTE(SUBSTITUTE(MID(UPPER(TRIM($DZ927)),1+OR(LEFT(UPPER(TRIM($DZ927)),1)="+",LEFT(UPPER(TRIM($DZ927)),1)="-"),999),"E+","E"),"E-","E"),"+",""),"-","")),LEN(UPPER(TRIM($DZ927)))-LEN(SUBSTITUTE(UPPER(TRIM($DZ927)),"E",""))&lt;2,LEN(UPPER(TRIM($DZ927)))-LEN(SUBSTITUTE(UPPER(TRIM($DZ927)),".",""))&lt;2,IFERROR(FIND(".",UPPER(TRIM($DZ927))),0)&lt;IFERROR(FIND("E",UPPER(TRIM($DZ927))),999)),ISNUMBER(VALUE(TRIM($DZ927)))),VALUE(TRIM($DZ927)),"")))),""))</f>
        <v/>
      </c>
      <c r="EB927">
        <f>IF($DM927=0,"",IF($L$18=0,"",IFERROR(IF(UPPER(TRIM(SUBSTITUTE(SUBSTITUTE(SUBSTITUTE(SUBSTITUTE(INDEX(PASTE_ALL,$DF927,$L$18)," "," "),CHAR(9)," "),CHAR(10)," "),CHAR(13)," ")))="READY","Ready",IF(UPPER(TRIM(SUBSTITUTE(SUBSTITUTE(SUBSTITUTE(SUBSTITUTE(INDEX(PASTE_ALL,$DF927,$L$18)," "," "),CHAR(9)," "),CHAR(10)," "),CHAR(13)," ")))="PM","PM",IF(OR(UPPER(TRIM(SUBSTITUTE(SUBSTITUTE(SUBSTITUTE(SUBSTITUTE(INDEX(PASTE_ALL,$DF927,$L$18)," "," "),CHAR(9)," "),CHAR(10)," "),CHAR(13)," ")))="OT",UPPER(TRIM(SUBSTITUTE(SUBSTITUTE(SUBSTITUTE(SUBSTITUTE(INDEX(PASTE_ALL,$DF927,$L$18)," "," "),CHAR(9)," "),CHAR(10)," "),CHAR(13)," ")))="OVERTIME",UPPER(TRIM(SUBSTITUTE(SUBSTITUTE(SUBSTITUTE(SUBSTITUTE(INDEX(PASTE_ALL,$DF927,$L$18)," "," "),CHAR(9)," "),CHAR(10)," "),CHAR(13)," ")))="TRIAL"),"OT",TRIM(SUBSTITUTE(SUBSTITUTE(SUBSTITUTE(SUBSTITUTE(INDEX(PASTE_ALL,$DF927,$L$18)," "," "),CHAR(9)," "),CHAR(10)," "),CHAR(13)," "))))),"")))</f>
        <v/>
      </c>
      <c r="EC927">
        <f>IF($DM927=0,"",IF($L$19=0,"",IFERROR(IF(ISNUMBER(INDEX(PASTE_ALL,$DF927,$L$19)),INDEX(PASTE_ALL,$DF927,$L$19),TRIM(SUBSTITUTE(SUBSTITUTE(SUBSTITUTE(SUBSTITUTE(INDEX(PASTE_ALL,$DF927,$L$19)," "," "),CHAR(9)," "),CHAR(10)," "),CHAR(13)," "))),"")))</f>
        <v/>
      </c>
      <c r="ED927">
        <f>IF($DM927=0,"",MATCH(1,INDEX(EXACT($DH$5:DH927,$DH927)*$DM$5:DM927,0),0))</f>
        <v/>
      </c>
      <c r="EE927">
        <f>IF($DM927=0,0,IF($ED927=$DE927,1,0))</f>
        <v/>
      </c>
      <c r="EF927">
        <f>EF926+$EE927</f>
        <v/>
      </c>
      <c r="EG927">
        <f>IF($DM927=0,"",INDEX($EF$5:$EF$1003,$ED927))</f>
        <v/>
      </c>
      <c r="EH927">
        <f>IF($DM927=0,"",IF($DO927&lt;&gt;"","",IFERROR(LOOKUP(2,1/(($EG$4:EG926=$EG927)*($DO$4:DO926&lt;&gt;"")),$DO$4:DO926),"")))</f>
        <v/>
      </c>
      <c r="EI927">
        <f>IF($DM927=0,"",IF($DO927&lt;&gt;"",$DO927,$EH927))</f>
        <v/>
      </c>
      <c r="EJ927">
        <f>IF($DM927=0,"",IF($EI927="",0,IF(OR(ISNUMBER($EI927),AND(AND(SUBSTITUTE(SUBSTITUTE(SUBSTITUTE(SUBSTITUTE(SUBSTITUTE(SUBSTITUTE(SUBSTITUTE(SUBSTITUTE(SUBSTITUTE(SUBSTITUTE(SUBSTITUTE(SUBSTITUTE(SUBSTITUTE(SUBSTITUTE(UPPER($EI927),"0",""),"1",""),"2",""),"3",""),"4",""),"5",""),"6",""),"7",""),"8",""),"9",""),".",""),"+",""),"-",""),"E","")="",LEN(SUBSTITUTE(SUBSTITUTE(MID(UPPER($EI927),1+OR(LEFT(UPPER($EI927),1)="+",LEFT(UPPER($EI927),1)="-"),999),"E+","E"),"E-","E"))=LEN(SUBSTITUTE(SUBSTITUTE(SUBSTITUTE(SUBSTITUTE(MID(UPPER($EI927),1+OR(LEFT(UPPER($EI927),1)="+",LEFT(UPPER($EI927),1)="-"),999),"E+","E"),"E-","E"),"+",""),"-","")),LEN(UPPER($EI927))-LEN(SUBSTITUTE(UPPER($EI927),"E",""))&lt;2,LEN(UPPER($EI927))-LEN(SUBSTITUTE(UPPER($EI927),".",""))&lt;2,IFERROR(FIND(".",UPPER($EI927)),0)&lt;IFERROR(FIND("E",UPPER($EI927)),999)),ISNUMBER(VALUE($EI927)))),1,2)))</f>
        <v/>
      </c>
      <c r="EK927">
        <f>IF($DM927=0,"",IF($EJ927=1,IF(ISNUMBER($EI927),$EI927,VALUE($EI927)),IF($EJ927=2,$DE927,0)))</f>
        <v/>
      </c>
      <c r="EL927">
        <f>IF($DM927=0,"",COUNTIF($EG$5:$EG$1003,"&lt;"&amp;$EG927)+SUMPRODUCT(($EG$5:$EG$1003=$EG927)*(($EJ$5:$EJ$1003&lt;$EJ927)+($EJ$5:$EJ$1003=$EJ927)*(($EK$5:$EK$1003&lt;$EK927)+($EK$5:$EK$1003=$EK927)*($DE$5:$DE$1003&lt;$DE927))))+1)</f>
        <v/>
      </c>
      <c r="EM927">
        <f>IF($DM927=0,"",$EL927+$EG927-1)</f>
        <v/>
      </c>
      <c r="EN927">
        <f>IF($DM927=0,0,IFERROR(MATCH(1,INDEX(--(TRIM(SUBSTITUTE(SUBSTITUTE(SUBSTITUTE(SUBSTITUTE(LINES_NAME&amp;""," "," "),CHAR(9)," "),CHAR(10)," "),CHAR(13)," "))=$DH927),0),0),0))</f>
        <v/>
      </c>
      <c r="EO927">
        <f>IF($EN927=0,0,IF(OR(UPPER(TRIM(INDEX(LINES_SCHEDULED,$EN927)&amp;""))="YES",UPPER(TRIM(INDEX(LINES_SCHEDULED,$EN927)&amp;""))="Y",UPPER(TRIM(INDEX(LINES_SCHEDULED,$EN927)&amp;""))="X"),1,0))</f>
        <v/>
      </c>
      <c r="EP927">
        <f>IF($DM927=0,"",IF(COUNTIFS($EG$5:$EG$1003,$EG927,$EB$5:$EB$1003,"Ready")&gt;0,"READY",IF(COUNTIFS($EG$5:$EG$1003,$EG927,$EB$5:$EB$1003,"PM")&gt;0,"PM",IF(COUNTIFS($EG$5:$EG$1003,$EG927,$EB$5:$EB$1003,"OT")&gt;0,"OT",""))))</f>
        <v/>
      </c>
      <c r="EQ927">
        <f>IF($EN927=0,"",UPPER(TRIM(INDEX(LINES_STATUS,$EN927)&amp;"")))</f>
        <v/>
      </c>
      <c r="ER927">
        <f>IF($DM927=0,"",IF(OR($EQ927="READY",$EQ927="PM",$EQ927="OT"),$EQ927,$EP927))</f>
        <v/>
      </c>
      <c r="ES927">
        <f>IF($DM927=0,"",IF(AND($DV927&lt;&gt;"",UPPER($DV927)&lt;&gt;"N"),"allergen",IF(ISNUMBER(SEARCH("oil",$DQ927)),"oil",IF(OR(EXACT($DS927,"A662"),EXACT($DS927,"A624")),"bulk",""))))</f>
        <v/>
      </c>
      <c r="ET927">
        <f>IF($DM927=0,"",IF(OR($EA927="",$EA927=0),"",$EA927/100))</f>
        <v/>
      </c>
      <c r="EU927">
        <f>IF(OR($ET927="",$DY927=""),"",INT($DY927*(1-$ET927)+0.5))</f>
        <v/>
      </c>
    </row>
    <row r="928">
      <c r="DA928" t="n">
        <v>924</v>
      </c>
      <c r="DB928">
        <f>IF($B$37=0,"",IFERROR(TRIM(SUBSTITUTE(SUBSTITUTE(SUBSTITUTE(SUBSTITUTE(INDEX(PASTE_ALL,924,$B$37)," "," "),CHAR(9)," "),CHAR(10)," "),CHAR(13)," ")),""))</f>
        <v/>
      </c>
      <c r="DC928">
        <f>IF(AND(924&gt;HEADER_ROW,UPPER(DB928)="LEGEND"),1,0)</f>
        <v/>
      </c>
      <c r="DE928" t="n">
        <v>924</v>
      </c>
      <c r="DF928">
        <f>HEADER_ROW+$DE928</f>
        <v/>
      </c>
      <c r="DG928">
        <f>IF(AND($DF928&lt;=1000,$DF928&lt;$B$8),1,0)</f>
        <v/>
      </c>
      <c r="DH928">
        <f>IF($DG928=1,IFERROR(INDEX($DB$5:$DB$1004,$DF928),""),"")</f>
        <v/>
      </c>
      <c r="DI928">
        <f>IF(AND($DG928=1,$DH928&lt;&gt;""),IFERROR(SUBSTITUTE(SUBSTITUTE(TRIM(SUBSTITUTE(SUBSTITUTE(SUBSTITUTE(SUBSTITUTE(IFERROR(INDEX(PASTE_ALL,$DF928,1)&amp;"","")&amp;"␟"&amp;IFERROR(INDEX(PASTE_ALL,$DF928,2)&amp;"","")&amp;"␟"&amp;IFERROR(INDEX(PASTE_ALL,$DF928,3)&amp;"","")&amp;"␟"&amp;IFERROR(INDEX(PASTE_ALL,$DF928,4)&amp;"","")&amp;"␟"&amp;IFERROR(INDEX(PASTE_ALL,$DF928,5)&amp;"","")&amp;"␟"&amp;IFERROR(INDEX(PASTE_ALL,$DF928,6)&amp;"","")&amp;"␟"&amp;IFERROR(INDEX(PASTE_ALL,$DF928,7)&amp;"","")&amp;"␟"&amp;IFERROR(INDEX(PASTE_ALL,$DF928,8)&amp;"","")&amp;"␟"&amp;IFERROR(INDEX(PASTE_ALL,$DF928,9)&amp;"","")&amp;"␟"&amp;IFERROR(INDEX(PASTE_ALL,$DF928,10)&amp;"","")&amp;"␟"&amp;IFERROR(INDEX(PASTE_ALL,$DF928,11)&amp;"","")&amp;"␟"&amp;IFERROR(INDEX(PASTE_ALL,$DF928,12)&amp;"","")&amp;"␟"&amp;IFERROR(INDEX(PASTE_ALL,$DF928,13)&amp;"","")&amp;"␟"&amp;IFERROR(INDEX(PASTE_ALL,$DF928,14)&amp;"","")&amp;"␟"&amp;IFERROR(INDEX(PASTE_ALL,$DF928,15)&amp;"","")&amp;"␟"&amp;IFERROR(INDEX(PASTE_ALL,$DF928,16)&amp;"","")&amp;"␟"&amp;IFERROR(INDEX(PASTE_ALL,$DF928,17)&amp;"","")&amp;"␟"&amp;IFERROR(INDEX(PASTE_ALL,$DF928,18)&amp;"","")&amp;"␟"&amp;IFERROR(INDEX(PASTE_ALL,$DF928,19)&amp;"","")&amp;"␟"&amp;IFERROR(INDEX(PASTE_ALL,$DF928,20)&amp;"","")&amp;"␟"&amp;IFERROR(INDEX(PASTE_ALL,$DF928,21)&amp;"","")&amp;"␟"&amp;IFERROR(INDEX(PASTE_ALL,$DF928,22)&amp;"","")&amp;"␟"&amp;IFERROR(INDEX(PASTE_ALL,$DF928,23)&amp;"","")&amp;"␟"&amp;IFERROR(INDEX(PASTE_ALL,$DF928,24)&amp;"","")&amp;"␟"&amp;IFERROR(INDEX(PASTE_ALL,$DF928,25)&amp;"","")&amp;"␟"&amp;IFERROR(INDEX(PASTE_ALL,$DF928,26)&amp;"","")&amp;"␟"&amp;IFERROR(INDEX(PASTE_ALL,$DF928,27)&amp;"","")&amp;"␟"&amp;IFERROR(INDEX(PASTE_ALL,$DF928,28)&amp;"","")&amp;"␟"&amp;IFERROR(INDEX(PASTE_ALL,$DF928,29)&amp;"","")&amp;"␟"&amp;IFERROR(INDEX(PASTE_ALL,$DF928,30)&amp;"","")&amp;"␟"&amp;IFERROR(INDEX(PASTE_ALL,$DF928,31)&amp;"","")&amp;"␟"&amp;IFERROR(INDEX(PASTE_ALL,$DF928,32)&amp;"","")&amp;"␟"&amp;IFERROR(INDEX(PASTE_ALL,$DF928,33)&amp;"","")&amp;"␟"&amp;IFERROR(INDEX(PASTE_ALL,$DF928,34)&amp;"","")&amp;"␟"&amp;IFERROR(INDEX(PASTE_ALL,$DF928,35)&amp;"","")&amp;"␟"&amp;IFERROR(INDEX(PASTE_ALL,$DF928,36)&amp;"","")&amp;"␟"&amp;IFERROR(INDEX(PASTE_ALL,$DF928,37)&amp;"","")&amp;"␟"&amp;IFERROR(INDEX(PASTE_ALL,$DF928,38)&amp;"","")&amp;"␟"&amp;IFERROR(INDEX(PASTE_ALL,$DF928,39)&amp;"","")&amp;"␟"&amp;IFERROR(INDEX(PASTE_ALL,$DF928,40)&amp;"","")&amp;"␟"&amp;IFERROR(INDEX(PASTE_ALL,$DF928,41)&amp;"","")&amp;"␟"&amp;IFERROR(INDEX(PASTE_ALL,$DF928,42)&amp;"","")&amp;"␟"&amp;IFERROR(INDEX(PASTE_ALL,$DF928,43)&amp;"","")&amp;"␟"&amp;IFERROR(INDEX(PASTE_ALL,$DF928,44)&amp;"","")&amp;"␟"&amp;IFERROR(INDEX(PASTE_ALL,$DF928,45)&amp;"","")&amp;"␟"&amp;IFERROR(INDEX(PASTE_ALL,$DF928,46)&amp;"","")&amp;"␟"&amp;IFERROR(INDEX(PASTE_ALL,$DF928,47)&amp;"","")&amp;"␟"&amp;IFERROR(INDEX(PASTE_ALL,$DF928,48)&amp;"","")&amp;"␟"&amp;IFERROR(INDEX(PASTE_ALL,$DF928,49)&amp;"","")&amp;"␟"&amp;IFERROR(INDEX(PASTE_ALL,$DF928,50)&amp;"","")&amp;"␟"&amp;IFERROR(INDEX(PASTE_ALL,$DF928,51)&amp;"","")&amp;"␟"&amp;IFERROR(INDEX(PASTE_ALL,$DF928,52)&amp;"","")&amp;"␟"&amp;IFERROR(INDEX(PASTE_ALL,$DF928,53)&amp;"","")&amp;"␟"&amp;IFERROR(INDEX(PASTE_ALL,$DF928,54)&amp;"","")&amp;"␟"&amp;IFERROR(INDEX(PASTE_ALL,$DF928,55)&amp;"","")&amp;"␟"&amp;IFERROR(INDEX(PASTE_ALL,$DF928,56)&amp;"","")&amp;"␟"&amp;IFERROR(INDEX(PASTE_ALL,$DF928,57)&amp;"","")&amp;"␟"&amp;IFERROR(INDEX(PASTE_ALL,$DF928,58)&amp;"","")&amp;"␟"&amp;IFERROR(INDEX(PASTE_ALL,$DF928,59)&amp;"","")&amp;"␟"&amp;IFERROR(INDEX(PASTE_ALL,$DF928,60)&amp;"","")," "," "),CHAR(9)," "),CHAR(10)," "),CHAR(13)," "))," ␟","␟"),"␟ ","␟"),"#"&amp;$DE928),"")</f>
        <v/>
      </c>
      <c r="DJ928">
        <f>IF($DI928="",0,IF(SUMPRODUCT(--EXACT($DI$4:DI927,$DI928))&gt;0,1,0))</f>
        <v/>
      </c>
      <c r="DK928">
        <f>IF(AND($DI928&lt;&gt;"",$DJ928=0),1,0)</f>
        <v/>
      </c>
      <c r="DL928">
        <f>DL927+$DK928</f>
        <v/>
      </c>
      <c r="DM928">
        <f>IF(AND($DK928=1,$DL928&lt;=600),1,0)</f>
        <v/>
      </c>
      <c r="DN928">
        <f>IF($DM928=0,"",IF($L$6=0,"",IFERROR(IF(ISNUMBER(INDEX(PASTE_ALL,$DF928,$L$6)),INDEX(PASTE_ALL,$DF928,$L$6),TRIM(SUBSTITUTE(SUBSTITUTE(SUBSTITUTE(SUBSTITUTE(INDEX(PASTE_ALL,$DF928,$L$6)," "," "),CHAR(9)," "),CHAR(10)," "),CHAR(13)," "))),"")))</f>
        <v/>
      </c>
      <c r="DO928">
        <f>IF($DM928=0,"",IF($L$7=0,"",IFERROR(IF(ISNUMBER(INDEX(PASTE_ALL,$DF928,$L$7)),INDEX(PASTE_ALL,$DF928,$L$7),TRIM(SUBSTITUTE(SUBSTITUTE(SUBSTITUTE(SUBSTITUTE(INDEX(PASTE_ALL,$DF928,$L$7)," "," "),CHAR(9)," "),CHAR(10)," "),CHAR(13)," "))),"")))</f>
        <v/>
      </c>
      <c r="DP928">
        <f>IF($DM928=0,"",IF($L$8=0,"",IFERROR(IF(ISNUMBER(INDEX(PASTE_ALL,$DF928,$L$8)),INDEX(PASTE_ALL,$DF928,$L$8),TRIM(SUBSTITUTE(SUBSTITUTE(SUBSTITUTE(SUBSTITUTE(INDEX(PASTE_ALL,$DF928,$L$8)," "," "),CHAR(9)," "),CHAR(10)," "),CHAR(13)," "))),"")))</f>
        <v/>
      </c>
      <c r="DQ928">
        <f>IF($DM928=0,"",IF($L$9=0,"",IFERROR(IF(ISNUMBER(INDEX(PASTE_ALL,$DF928,$L$9)),INDEX(PASTE_ALL,$DF928,$L$9),TRIM(SUBSTITUTE(SUBSTITUTE(SUBSTITUTE(SUBSTITUTE(INDEX(PASTE_ALL,$DF928,$L$9)," "," "),CHAR(9)," "),CHAR(10)," "),CHAR(13)," "))),"")))</f>
        <v/>
      </c>
      <c r="DR928">
        <f>IF($DM928=0,"",IF($L$10=0,"",IFERROR(IF(ISNUMBER(INDEX(PASTE_ALL,$DF928,$L$10)),INDEX(PASTE_ALL,$DF928,$L$10),TRIM(SUBSTITUTE(SUBSTITUTE(SUBSTITUTE(SUBSTITUTE(INDEX(PASTE_ALL,$DF928,$L$10)," "," "),CHAR(9)," "),CHAR(10)," "),CHAR(13)," "))),"")))</f>
        <v/>
      </c>
      <c r="DS928">
        <f>IF($DM928=0,"",IF($L$11=0,"",IFERROR(IF(ISNUMBER(INDEX(PASTE_ALL,$DF928,$L$11)),INDEX(PASTE_ALL,$DF928,$L$11),TRIM(SUBSTITUTE(SUBSTITUTE(SUBSTITUTE(SUBSTITUTE(INDEX(PASTE_ALL,$DF928,$L$11)," "," "),CHAR(9)," "),CHAR(10)," "),CHAR(13)," "))),"")))</f>
        <v/>
      </c>
      <c r="DT928">
        <f>IF($DM928=0,"",IF($L$12=0,"",IFERROR(IF(ISNUMBER(INDEX(PASTE_ALL,$DF928,$L$12)),INDEX(PASTE_ALL,$DF928,$L$12),TRIM(SUBSTITUTE(SUBSTITUTE(SUBSTITUTE(SUBSTITUTE(INDEX(PASTE_ALL,$DF928,$L$12)," "," "),CHAR(9)," "),CHAR(10)," "),CHAR(13)," "))),"")))</f>
        <v/>
      </c>
      <c r="DU928">
        <f>IF($DM928=0,"",IF($L$13=0,"",IFERROR(IF(ISNUMBER(INDEX(PASTE_ALL,$DF928,$L$13)),INDEX(PASTE_ALL,$DF928,$L$13),TRIM(SUBSTITUTE(SUBSTITUTE(SUBSTITUTE(SUBSTITUTE(INDEX(PASTE_ALL,$DF928,$L$13)," "," "),CHAR(9)," "),CHAR(10)," "),CHAR(13)," "))),"")))</f>
        <v/>
      </c>
      <c r="DV928">
        <f>IF($DM928=0,"",IF($L$14=0,"",IFERROR(IF(ISNUMBER(INDEX(PASTE_ALL,$DF928,$L$14)),INDEX(PASTE_ALL,$DF928,$L$14),TRIM(SUBSTITUTE(SUBSTITUTE(SUBSTITUTE(SUBSTITUTE(INDEX(PASTE_ALL,$DF928,$L$14)," "," "),CHAR(9)," "),CHAR(10)," "),CHAR(13)," "))),"")))</f>
        <v/>
      </c>
      <c r="DW928">
        <f>IF($DM928=0,"",IF($L$15=0,"",IFERROR(IF(ISNUMBER(INDEX(PASTE_ALL,$DF928,$L$15)),INDEX(PASTE_ALL,$DF928,$L$15),IF(SUMPRODUCT(--ISNUMBER(FIND({"A","B","C","D","E","F","G","H","I","J","K","L","M","N","O","P","Q","R","S","T","U","V","W","X","Y","Z","0","1","2","3","4","5","6","7","8","9"},UPPER(TRIM(SUBSTITUTE(SUBSTITUTE(SUBSTITUTE(SUBSTITUTE(INDEX(PASTE_ALL,$DF928,$L$15)," "," "),CHAR(9)," "),CHAR(10)," "),CHAR(13)," "))))))&gt;0,TRIM(SUBSTITUTE(SUBSTITUTE(SUBSTITUTE(SUBSTITUTE(INDEX(PASTE_ALL,$DF928,$L$15)," "," "),CHAR(9)," "),CHAR(10)," "),CHAR(13)," ")),"")),"")))</f>
        <v/>
      </c>
      <c r="DX928">
        <f>IF($DM928=0,"",IF($L$16=0,"",IFERROR(IF(ISNUMBER(INDEX(PASTE_ALL,$DF928,$L$16)),INDEX(PASTE_ALL,$DF928,$L$16),SUBSTITUTE(SUBSTITUTE(TRIM(SUBSTITUTE(SUBSTITUTE(SUBSTITUTE(SUBSTITUTE(INDEX(PASTE_ALL,$DF928,$L$16)," "," "),CHAR(9)," "),CHAR(10)," "),CHAR(13)," ")),",",""),"%","")),"")))</f>
        <v/>
      </c>
      <c r="DY928">
        <f>IF($DM928=0,"",IFERROR(IF(ISNUMBER($DX928),$DX928,IF($DX928="","",IF(TRIM($DX928)="",0,IF(AND(AND(SUBSTITUTE(SUBSTITUTE(SUBSTITUTE(SUBSTITUTE(SUBSTITUTE(SUBSTITUTE(SUBSTITUTE(SUBSTITUTE(SUBSTITUTE(SUBSTITUTE(SUBSTITUTE(SUBSTITUTE(SUBSTITUTE(SUBSTITUTE(UPPER(TRIM($DX928)),"0",""),"1",""),"2",""),"3",""),"4",""),"5",""),"6",""),"7",""),"8",""),"9",""),".",""),"+",""),"-",""),"E","")="",LEN(SUBSTITUTE(SUBSTITUTE(MID(UPPER(TRIM($DX928)),1+OR(LEFT(UPPER(TRIM($DX928)),1)="+",LEFT(UPPER(TRIM($DX928)),1)="-"),999),"E+","E"),"E-","E"))=LEN(SUBSTITUTE(SUBSTITUTE(SUBSTITUTE(SUBSTITUTE(MID(UPPER(TRIM($DX928)),1+OR(LEFT(UPPER(TRIM($DX928)),1)="+",LEFT(UPPER(TRIM($DX928)),1)="-"),999),"E+","E"),"E-","E"),"+",""),"-","")),LEN(UPPER(TRIM($DX928)))-LEN(SUBSTITUTE(UPPER(TRIM($DX928)),"E",""))&lt;2,LEN(UPPER(TRIM($DX928)))-LEN(SUBSTITUTE(UPPER(TRIM($DX928)),".",""))&lt;2,IFERROR(FIND(".",UPPER(TRIM($DX928))),0)&lt;IFERROR(FIND("E",UPPER(TRIM($DX928))),999)),ISNUMBER(VALUE(TRIM($DX928)))),VALUE(TRIM($DX928)),"")))),""))</f>
        <v/>
      </c>
      <c r="DZ928">
        <f>IF($DM928=0,"",IF($L$17=0,"",IFERROR(IF(ISNUMBER(INDEX(PASTE_ALL,$DF928,$L$17)),INDEX(PASTE_ALL,$DF928,$L$17),SUBSTITUTE(SUBSTITUTE(TRIM(SUBSTITUTE(SUBSTITUTE(SUBSTITUTE(SUBSTITUTE(INDEX(PASTE_ALL,$DF928,$L$17)," "," "),CHAR(9)," "),CHAR(10)," "),CHAR(13)," ")),",",""),"%","")),"")))</f>
        <v/>
      </c>
      <c r="EA928">
        <f>IF($DM928=0,"",IFERROR(IF(ISNUMBER($DZ928),$DZ928,IF($DZ928="","",IF(TRIM($DZ928)="",0,IF(AND(AND(SUBSTITUTE(SUBSTITUTE(SUBSTITUTE(SUBSTITUTE(SUBSTITUTE(SUBSTITUTE(SUBSTITUTE(SUBSTITUTE(SUBSTITUTE(SUBSTITUTE(SUBSTITUTE(SUBSTITUTE(SUBSTITUTE(SUBSTITUTE(UPPER(TRIM($DZ928)),"0",""),"1",""),"2",""),"3",""),"4",""),"5",""),"6",""),"7",""),"8",""),"9",""),".",""),"+",""),"-",""),"E","")="",LEN(SUBSTITUTE(SUBSTITUTE(MID(UPPER(TRIM($DZ928)),1+OR(LEFT(UPPER(TRIM($DZ928)),1)="+",LEFT(UPPER(TRIM($DZ928)),1)="-"),999),"E+","E"),"E-","E"))=LEN(SUBSTITUTE(SUBSTITUTE(SUBSTITUTE(SUBSTITUTE(MID(UPPER(TRIM($DZ928)),1+OR(LEFT(UPPER(TRIM($DZ928)),1)="+",LEFT(UPPER(TRIM($DZ928)),1)="-"),999),"E+","E"),"E-","E"),"+",""),"-","")),LEN(UPPER(TRIM($DZ928)))-LEN(SUBSTITUTE(UPPER(TRIM($DZ928)),"E",""))&lt;2,LEN(UPPER(TRIM($DZ928)))-LEN(SUBSTITUTE(UPPER(TRIM($DZ928)),".",""))&lt;2,IFERROR(FIND(".",UPPER(TRIM($DZ928))),0)&lt;IFERROR(FIND("E",UPPER(TRIM($DZ928))),999)),ISNUMBER(VALUE(TRIM($DZ928)))),VALUE(TRIM($DZ928)),"")))),""))</f>
        <v/>
      </c>
      <c r="EB928">
        <f>IF($DM928=0,"",IF($L$18=0,"",IFERROR(IF(UPPER(TRIM(SUBSTITUTE(SUBSTITUTE(SUBSTITUTE(SUBSTITUTE(INDEX(PASTE_ALL,$DF928,$L$18)," "," "),CHAR(9)," "),CHAR(10)," "),CHAR(13)," ")))="READY","Ready",IF(UPPER(TRIM(SUBSTITUTE(SUBSTITUTE(SUBSTITUTE(SUBSTITUTE(INDEX(PASTE_ALL,$DF928,$L$18)," "," "),CHAR(9)," "),CHAR(10)," "),CHAR(13)," ")))="PM","PM",IF(OR(UPPER(TRIM(SUBSTITUTE(SUBSTITUTE(SUBSTITUTE(SUBSTITUTE(INDEX(PASTE_ALL,$DF928,$L$18)," "," "),CHAR(9)," "),CHAR(10)," "),CHAR(13)," ")))="OT",UPPER(TRIM(SUBSTITUTE(SUBSTITUTE(SUBSTITUTE(SUBSTITUTE(INDEX(PASTE_ALL,$DF928,$L$18)," "," "),CHAR(9)," "),CHAR(10)," "),CHAR(13)," ")))="OVERTIME",UPPER(TRIM(SUBSTITUTE(SUBSTITUTE(SUBSTITUTE(SUBSTITUTE(INDEX(PASTE_ALL,$DF928,$L$18)," "," "),CHAR(9)," "),CHAR(10)," "),CHAR(13)," ")))="TRIAL"),"OT",TRIM(SUBSTITUTE(SUBSTITUTE(SUBSTITUTE(SUBSTITUTE(INDEX(PASTE_ALL,$DF928,$L$18)," "," "),CHAR(9)," "),CHAR(10)," "),CHAR(13)," "))))),"")))</f>
        <v/>
      </c>
      <c r="EC928">
        <f>IF($DM928=0,"",IF($L$19=0,"",IFERROR(IF(ISNUMBER(INDEX(PASTE_ALL,$DF928,$L$19)),INDEX(PASTE_ALL,$DF928,$L$19),TRIM(SUBSTITUTE(SUBSTITUTE(SUBSTITUTE(SUBSTITUTE(INDEX(PASTE_ALL,$DF928,$L$19)," "," "),CHAR(9)," "),CHAR(10)," "),CHAR(13)," "))),"")))</f>
        <v/>
      </c>
      <c r="ED928">
        <f>IF($DM928=0,"",MATCH(1,INDEX(EXACT($DH$5:DH928,$DH928)*$DM$5:DM928,0),0))</f>
        <v/>
      </c>
      <c r="EE928">
        <f>IF($DM928=0,0,IF($ED928=$DE928,1,0))</f>
        <v/>
      </c>
      <c r="EF928">
        <f>EF927+$EE928</f>
        <v/>
      </c>
      <c r="EG928">
        <f>IF($DM928=0,"",INDEX($EF$5:$EF$1003,$ED928))</f>
        <v/>
      </c>
      <c r="EH928">
        <f>IF($DM928=0,"",IF($DO928&lt;&gt;"","",IFERROR(LOOKUP(2,1/(($EG$4:EG927=$EG928)*($DO$4:DO927&lt;&gt;"")),$DO$4:DO927),"")))</f>
        <v/>
      </c>
      <c r="EI928">
        <f>IF($DM928=0,"",IF($DO928&lt;&gt;"",$DO928,$EH928))</f>
        <v/>
      </c>
      <c r="EJ928">
        <f>IF($DM928=0,"",IF($EI928="",0,IF(OR(ISNUMBER($EI928),AND(AND(SUBSTITUTE(SUBSTITUTE(SUBSTITUTE(SUBSTITUTE(SUBSTITUTE(SUBSTITUTE(SUBSTITUTE(SUBSTITUTE(SUBSTITUTE(SUBSTITUTE(SUBSTITUTE(SUBSTITUTE(SUBSTITUTE(SUBSTITUTE(UPPER($EI928),"0",""),"1",""),"2",""),"3",""),"4",""),"5",""),"6",""),"7",""),"8",""),"9",""),".",""),"+",""),"-",""),"E","")="",LEN(SUBSTITUTE(SUBSTITUTE(MID(UPPER($EI928),1+OR(LEFT(UPPER($EI928),1)="+",LEFT(UPPER($EI928),1)="-"),999),"E+","E"),"E-","E"))=LEN(SUBSTITUTE(SUBSTITUTE(SUBSTITUTE(SUBSTITUTE(MID(UPPER($EI928),1+OR(LEFT(UPPER($EI928),1)="+",LEFT(UPPER($EI928),1)="-"),999),"E+","E"),"E-","E"),"+",""),"-","")),LEN(UPPER($EI928))-LEN(SUBSTITUTE(UPPER($EI928),"E",""))&lt;2,LEN(UPPER($EI928))-LEN(SUBSTITUTE(UPPER($EI928),".",""))&lt;2,IFERROR(FIND(".",UPPER($EI928)),0)&lt;IFERROR(FIND("E",UPPER($EI928)),999)),ISNUMBER(VALUE($EI928)))),1,2)))</f>
        <v/>
      </c>
      <c r="EK928">
        <f>IF($DM928=0,"",IF($EJ928=1,IF(ISNUMBER($EI928),$EI928,VALUE($EI928)),IF($EJ928=2,$DE928,0)))</f>
        <v/>
      </c>
      <c r="EL928">
        <f>IF($DM928=0,"",COUNTIF($EG$5:$EG$1003,"&lt;"&amp;$EG928)+SUMPRODUCT(($EG$5:$EG$1003=$EG928)*(($EJ$5:$EJ$1003&lt;$EJ928)+($EJ$5:$EJ$1003=$EJ928)*(($EK$5:$EK$1003&lt;$EK928)+($EK$5:$EK$1003=$EK928)*($DE$5:$DE$1003&lt;$DE928))))+1)</f>
        <v/>
      </c>
      <c r="EM928">
        <f>IF($DM928=0,"",$EL928+$EG928-1)</f>
        <v/>
      </c>
      <c r="EN928">
        <f>IF($DM928=0,0,IFERROR(MATCH(1,INDEX(--(TRIM(SUBSTITUTE(SUBSTITUTE(SUBSTITUTE(SUBSTITUTE(LINES_NAME&amp;""," "," "),CHAR(9)," "),CHAR(10)," "),CHAR(13)," "))=$DH928),0),0),0))</f>
        <v/>
      </c>
      <c r="EO928">
        <f>IF($EN928=0,0,IF(OR(UPPER(TRIM(INDEX(LINES_SCHEDULED,$EN928)&amp;""))="YES",UPPER(TRIM(INDEX(LINES_SCHEDULED,$EN928)&amp;""))="Y",UPPER(TRIM(INDEX(LINES_SCHEDULED,$EN928)&amp;""))="X"),1,0))</f>
        <v/>
      </c>
      <c r="EP928">
        <f>IF($DM928=0,"",IF(COUNTIFS($EG$5:$EG$1003,$EG928,$EB$5:$EB$1003,"Ready")&gt;0,"READY",IF(COUNTIFS($EG$5:$EG$1003,$EG928,$EB$5:$EB$1003,"PM")&gt;0,"PM",IF(COUNTIFS($EG$5:$EG$1003,$EG928,$EB$5:$EB$1003,"OT")&gt;0,"OT",""))))</f>
        <v/>
      </c>
      <c r="EQ928">
        <f>IF($EN928=0,"",UPPER(TRIM(INDEX(LINES_STATUS,$EN928)&amp;"")))</f>
        <v/>
      </c>
      <c r="ER928">
        <f>IF($DM928=0,"",IF(OR($EQ928="READY",$EQ928="PM",$EQ928="OT"),$EQ928,$EP928))</f>
        <v/>
      </c>
      <c r="ES928">
        <f>IF($DM928=0,"",IF(AND($DV928&lt;&gt;"",UPPER($DV928)&lt;&gt;"N"),"allergen",IF(ISNUMBER(SEARCH("oil",$DQ928)),"oil",IF(OR(EXACT($DS928,"A662"),EXACT($DS928,"A624")),"bulk",""))))</f>
        <v/>
      </c>
      <c r="ET928">
        <f>IF($DM928=0,"",IF(OR($EA928="",$EA928=0),"",$EA928/100))</f>
        <v/>
      </c>
      <c r="EU928">
        <f>IF(OR($ET928="",$DY928=""),"",INT($DY928*(1-$ET928)+0.5))</f>
        <v/>
      </c>
    </row>
    <row r="929">
      <c r="DA929" t="n">
        <v>925</v>
      </c>
      <c r="DB929">
        <f>IF($B$37=0,"",IFERROR(TRIM(SUBSTITUTE(SUBSTITUTE(SUBSTITUTE(SUBSTITUTE(INDEX(PASTE_ALL,925,$B$37)," "," "),CHAR(9)," "),CHAR(10)," "),CHAR(13)," ")),""))</f>
        <v/>
      </c>
      <c r="DC929">
        <f>IF(AND(925&gt;HEADER_ROW,UPPER(DB929)="LEGEND"),1,0)</f>
        <v/>
      </c>
      <c r="DE929" t="n">
        <v>925</v>
      </c>
      <c r="DF929">
        <f>HEADER_ROW+$DE929</f>
        <v/>
      </c>
      <c r="DG929">
        <f>IF(AND($DF929&lt;=1000,$DF929&lt;$B$8),1,0)</f>
        <v/>
      </c>
      <c r="DH929">
        <f>IF($DG929=1,IFERROR(INDEX($DB$5:$DB$1004,$DF929),""),"")</f>
        <v/>
      </c>
      <c r="DI929">
        <f>IF(AND($DG929=1,$DH929&lt;&gt;""),IFERROR(SUBSTITUTE(SUBSTITUTE(TRIM(SUBSTITUTE(SUBSTITUTE(SUBSTITUTE(SUBSTITUTE(IFERROR(INDEX(PASTE_ALL,$DF929,1)&amp;"","")&amp;"␟"&amp;IFERROR(INDEX(PASTE_ALL,$DF929,2)&amp;"","")&amp;"␟"&amp;IFERROR(INDEX(PASTE_ALL,$DF929,3)&amp;"","")&amp;"␟"&amp;IFERROR(INDEX(PASTE_ALL,$DF929,4)&amp;"","")&amp;"␟"&amp;IFERROR(INDEX(PASTE_ALL,$DF929,5)&amp;"","")&amp;"␟"&amp;IFERROR(INDEX(PASTE_ALL,$DF929,6)&amp;"","")&amp;"␟"&amp;IFERROR(INDEX(PASTE_ALL,$DF929,7)&amp;"","")&amp;"␟"&amp;IFERROR(INDEX(PASTE_ALL,$DF929,8)&amp;"","")&amp;"␟"&amp;IFERROR(INDEX(PASTE_ALL,$DF929,9)&amp;"","")&amp;"␟"&amp;IFERROR(INDEX(PASTE_ALL,$DF929,10)&amp;"","")&amp;"␟"&amp;IFERROR(INDEX(PASTE_ALL,$DF929,11)&amp;"","")&amp;"␟"&amp;IFERROR(INDEX(PASTE_ALL,$DF929,12)&amp;"","")&amp;"␟"&amp;IFERROR(INDEX(PASTE_ALL,$DF929,13)&amp;"","")&amp;"␟"&amp;IFERROR(INDEX(PASTE_ALL,$DF929,14)&amp;"","")&amp;"␟"&amp;IFERROR(INDEX(PASTE_ALL,$DF929,15)&amp;"","")&amp;"␟"&amp;IFERROR(INDEX(PASTE_ALL,$DF929,16)&amp;"","")&amp;"␟"&amp;IFERROR(INDEX(PASTE_ALL,$DF929,17)&amp;"","")&amp;"␟"&amp;IFERROR(INDEX(PASTE_ALL,$DF929,18)&amp;"","")&amp;"␟"&amp;IFERROR(INDEX(PASTE_ALL,$DF929,19)&amp;"","")&amp;"␟"&amp;IFERROR(INDEX(PASTE_ALL,$DF929,20)&amp;"","")&amp;"␟"&amp;IFERROR(INDEX(PASTE_ALL,$DF929,21)&amp;"","")&amp;"␟"&amp;IFERROR(INDEX(PASTE_ALL,$DF929,22)&amp;"","")&amp;"␟"&amp;IFERROR(INDEX(PASTE_ALL,$DF929,23)&amp;"","")&amp;"␟"&amp;IFERROR(INDEX(PASTE_ALL,$DF929,24)&amp;"","")&amp;"␟"&amp;IFERROR(INDEX(PASTE_ALL,$DF929,25)&amp;"","")&amp;"␟"&amp;IFERROR(INDEX(PASTE_ALL,$DF929,26)&amp;"","")&amp;"␟"&amp;IFERROR(INDEX(PASTE_ALL,$DF929,27)&amp;"","")&amp;"␟"&amp;IFERROR(INDEX(PASTE_ALL,$DF929,28)&amp;"","")&amp;"␟"&amp;IFERROR(INDEX(PASTE_ALL,$DF929,29)&amp;"","")&amp;"␟"&amp;IFERROR(INDEX(PASTE_ALL,$DF929,30)&amp;"","")&amp;"␟"&amp;IFERROR(INDEX(PASTE_ALL,$DF929,31)&amp;"","")&amp;"␟"&amp;IFERROR(INDEX(PASTE_ALL,$DF929,32)&amp;"","")&amp;"␟"&amp;IFERROR(INDEX(PASTE_ALL,$DF929,33)&amp;"","")&amp;"␟"&amp;IFERROR(INDEX(PASTE_ALL,$DF929,34)&amp;"","")&amp;"␟"&amp;IFERROR(INDEX(PASTE_ALL,$DF929,35)&amp;"","")&amp;"␟"&amp;IFERROR(INDEX(PASTE_ALL,$DF929,36)&amp;"","")&amp;"␟"&amp;IFERROR(INDEX(PASTE_ALL,$DF929,37)&amp;"","")&amp;"␟"&amp;IFERROR(INDEX(PASTE_ALL,$DF929,38)&amp;"","")&amp;"␟"&amp;IFERROR(INDEX(PASTE_ALL,$DF929,39)&amp;"","")&amp;"␟"&amp;IFERROR(INDEX(PASTE_ALL,$DF929,40)&amp;"","")&amp;"␟"&amp;IFERROR(INDEX(PASTE_ALL,$DF929,41)&amp;"","")&amp;"␟"&amp;IFERROR(INDEX(PASTE_ALL,$DF929,42)&amp;"","")&amp;"␟"&amp;IFERROR(INDEX(PASTE_ALL,$DF929,43)&amp;"","")&amp;"␟"&amp;IFERROR(INDEX(PASTE_ALL,$DF929,44)&amp;"","")&amp;"␟"&amp;IFERROR(INDEX(PASTE_ALL,$DF929,45)&amp;"","")&amp;"␟"&amp;IFERROR(INDEX(PASTE_ALL,$DF929,46)&amp;"","")&amp;"␟"&amp;IFERROR(INDEX(PASTE_ALL,$DF929,47)&amp;"","")&amp;"␟"&amp;IFERROR(INDEX(PASTE_ALL,$DF929,48)&amp;"","")&amp;"␟"&amp;IFERROR(INDEX(PASTE_ALL,$DF929,49)&amp;"","")&amp;"␟"&amp;IFERROR(INDEX(PASTE_ALL,$DF929,50)&amp;"","")&amp;"␟"&amp;IFERROR(INDEX(PASTE_ALL,$DF929,51)&amp;"","")&amp;"␟"&amp;IFERROR(INDEX(PASTE_ALL,$DF929,52)&amp;"","")&amp;"␟"&amp;IFERROR(INDEX(PASTE_ALL,$DF929,53)&amp;"","")&amp;"␟"&amp;IFERROR(INDEX(PASTE_ALL,$DF929,54)&amp;"","")&amp;"␟"&amp;IFERROR(INDEX(PASTE_ALL,$DF929,55)&amp;"","")&amp;"␟"&amp;IFERROR(INDEX(PASTE_ALL,$DF929,56)&amp;"","")&amp;"␟"&amp;IFERROR(INDEX(PASTE_ALL,$DF929,57)&amp;"","")&amp;"␟"&amp;IFERROR(INDEX(PASTE_ALL,$DF929,58)&amp;"","")&amp;"␟"&amp;IFERROR(INDEX(PASTE_ALL,$DF929,59)&amp;"","")&amp;"␟"&amp;IFERROR(INDEX(PASTE_ALL,$DF929,60)&amp;"","")," "," "),CHAR(9)," "),CHAR(10)," "),CHAR(13)," "))," ␟","␟"),"␟ ","␟"),"#"&amp;$DE929),"")</f>
        <v/>
      </c>
      <c r="DJ929">
        <f>IF($DI929="",0,IF(SUMPRODUCT(--EXACT($DI$4:DI928,$DI929))&gt;0,1,0))</f>
        <v/>
      </c>
      <c r="DK929">
        <f>IF(AND($DI929&lt;&gt;"",$DJ929=0),1,0)</f>
        <v/>
      </c>
      <c r="DL929">
        <f>DL928+$DK929</f>
        <v/>
      </c>
      <c r="DM929">
        <f>IF(AND($DK929=1,$DL929&lt;=600),1,0)</f>
        <v/>
      </c>
      <c r="DN929">
        <f>IF($DM929=0,"",IF($L$6=0,"",IFERROR(IF(ISNUMBER(INDEX(PASTE_ALL,$DF929,$L$6)),INDEX(PASTE_ALL,$DF929,$L$6),TRIM(SUBSTITUTE(SUBSTITUTE(SUBSTITUTE(SUBSTITUTE(INDEX(PASTE_ALL,$DF929,$L$6)," "," "),CHAR(9)," "),CHAR(10)," "),CHAR(13)," "))),"")))</f>
        <v/>
      </c>
      <c r="DO929">
        <f>IF($DM929=0,"",IF($L$7=0,"",IFERROR(IF(ISNUMBER(INDEX(PASTE_ALL,$DF929,$L$7)),INDEX(PASTE_ALL,$DF929,$L$7),TRIM(SUBSTITUTE(SUBSTITUTE(SUBSTITUTE(SUBSTITUTE(INDEX(PASTE_ALL,$DF929,$L$7)," "," "),CHAR(9)," "),CHAR(10)," "),CHAR(13)," "))),"")))</f>
        <v/>
      </c>
      <c r="DP929">
        <f>IF($DM929=0,"",IF($L$8=0,"",IFERROR(IF(ISNUMBER(INDEX(PASTE_ALL,$DF929,$L$8)),INDEX(PASTE_ALL,$DF929,$L$8),TRIM(SUBSTITUTE(SUBSTITUTE(SUBSTITUTE(SUBSTITUTE(INDEX(PASTE_ALL,$DF929,$L$8)," "," "),CHAR(9)," "),CHAR(10)," "),CHAR(13)," "))),"")))</f>
        <v/>
      </c>
      <c r="DQ929">
        <f>IF($DM929=0,"",IF($L$9=0,"",IFERROR(IF(ISNUMBER(INDEX(PASTE_ALL,$DF929,$L$9)),INDEX(PASTE_ALL,$DF929,$L$9),TRIM(SUBSTITUTE(SUBSTITUTE(SUBSTITUTE(SUBSTITUTE(INDEX(PASTE_ALL,$DF929,$L$9)," "," "),CHAR(9)," "),CHAR(10)," "),CHAR(13)," "))),"")))</f>
        <v/>
      </c>
      <c r="DR929">
        <f>IF($DM929=0,"",IF($L$10=0,"",IFERROR(IF(ISNUMBER(INDEX(PASTE_ALL,$DF929,$L$10)),INDEX(PASTE_ALL,$DF929,$L$10),TRIM(SUBSTITUTE(SUBSTITUTE(SUBSTITUTE(SUBSTITUTE(INDEX(PASTE_ALL,$DF929,$L$10)," "," "),CHAR(9)," "),CHAR(10)," "),CHAR(13)," "))),"")))</f>
        <v/>
      </c>
      <c r="DS929">
        <f>IF($DM929=0,"",IF($L$11=0,"",IFERROR(IF(ISNUMBER(INDEX(PASTE_ALL,$DF929,$L$11)),INDEX(PASTE_ALL,$DF929,$L$11),TRIM(SUBSTITUTE(SUBSTITUTE(SUBSTITUTE(SUBSTITUTE(INDEX(PASTE_ALL,$DF929,$L$11)," "," "),CHAR(9)," "),CHAR(10)," "),CHAR(13)," "))),"")))</f>
        <v/>
      </c>
      <c r="DT929">
        <f>IF($DM929=0,"",IF($L$12=0,"",IFERROR(IF(ISNUMBER(INDEX(PASTE_ALL,$DF929,$L$12)),INDEX(PASTE_ALL,$DF929,$L$12),TRIM(SUBSTITUTE(SUBSTITUTE(SUBSTITUTE(SUBSTITUTE(INDEX(PASTE_ALL,$DF929,$L$12)," "," "),CHAR(9)," "),CHAR(10)," "),CHAR(13)," "))),"")))</f>
        <v/>
      </c>
      <c r="DU929">
        <f>IF($DM929=0,"",IF($L$13=0,"",IFERROR(IF(ISNUMBER(INDEX(PASTE_ALL,$DF929,$L$13)),INDEX(PASTE_ALL,$DF929,$L$13),TRIM(SUBSTITUTE(SUBSTITUTE(SUBSTITUTE(SUBSTITUTE(INDEX(PASTE_ALL,$DF929,$L$13)," "," "),CHAR(9)," "),CHAR(10)," "),CHAR(13)," "))),"")))</f>
        <v/>
      </c>
      <c r="DV929">
        <f>IF($DM929=0,"",IF($L$14=0,"",IFERROR(IF(ISNUMBER(INDEX(PASTE_ALL,$DF929,$L$14)),INDEX(PASTE_ALL,$DF929,$L$14),TRIM(SUBSTITUTE(SUBSTITUTE(SUBSTITUTE(SUBSTITUTE(INDEX(PASTE_ALL,$DF929,$L$14)," "," "),CHAR(9)," "),CHAR(10)," "),CHAR(13)," "))),"")))</f>
        <v/>
      </c>
      <c r="DW929">
        <f>IF($DM929=0,"",IF($L$15=0,"",IFERROR(IF(ISNUMBER(INDEX(PASTE_ALL,$DF929,$L$15)),INDEX(PASTE_ALL,$DF929,$L$15),IF(SUMPRODUCT(--ISNUMBER(FIND({"A","B","C","D","E","F","G","H","I","J","K","L","M","N","O","P","Q","R","S","T","U","V","W","X","Y","Z","0","1","2","3","4","5","6","7","8","9"},UPPER(TRIM(SUBSTITUTE(SUBSTITUTE(SUBSTITUTE(SUBSTITUTE(INDEX(PASTE_ALL,$DF929,$L$15)," "," "),CHAR(9)," "),CHAR(10)," "),CHAR(13)," "))))))&gt;0,TRIM(SUBSTITUTE(SUBSTITUTE(SUBSTITUTE(SUBSTITUTE(INDEX(PASTE_ALL,$DF929,$L$15)," "," "),CHAR(9)," "),CHAR(10)," "),CHAR(13)," ")),"")),"")))</f>
        <v/>
      </c>
      <c r="DX929">
        <f>IF($DM929=0,"",IF($L$16=0,"",IFERROR(IF(ISNUMBER(INDEX(PASTE_ALL,$DF929,$L$16)),INDEX(PASTE_ALL,$DF929,$L$16),SUBSTITUTE(SUBSTITUTE(TRIM(SUBSTITUTE(SUBSTITUTE(SUBSTITUTE(SUBSTITUTE(INDEX(PASTE_ALL,$DF929,$L$16)," "," "),CHAR(9)," "),CHAR(10)," "),CHAR(13)," ")),",",""),"%","")),"")))</f>
        <v/>
      </c>
      <c r="DY929">
        <f>IF($DM929=0,"",IFERROR(IF(ISNUMBER($DX929),$DX929,IF($DX929="","",IF(TRIM($DX929)="",0,IF(AND(AND(SUBSTITUTE(SUBSTITUTE(SUBSTITUTE(SUBSTITUTE(SUBSTITUTE(SUBSTITUTE(SUBSTITUTE(SUBSTITUTE(SUBSTITUTE(SUBSTITUTE(SUBSTITUTE(SUBSTITUTE(SUBSTITUTE(SUBSTITUTE(UPPER(TRIM($DX929)),"0",""),"1",""),"2",""),"3",""),"4",""),"5",""),"6",""),"7",""),"8",""),"9",""),".",""),"+",""),"-",""),"E","")="",LEN(SUBSTITUTE(SUBSTITUTE(MID(UPPER(TRIM($DX929)),1+OR(LEFT(UPPER(TRIM($DX929)),1)="+",LEFT(UPPER(TRIM($DX929)),1)="-"),999),"E+","E"),"E-","E"))=LEN(SUBSTITUTE(SUBSTITUTE(SUBSTITUTE(SUBSTITUTE(MID(UPPER(TRIM($DX929)),1+OR(LEFT(UPPER(TRIM($DX929)),1)="+",LEFT(UPPER(TRIM($DX929)),1)="-"),999),"E+","E"),"E-","E"),"+",""),"-","")),LEN(UPPER(TRIM($DX929)))-LEN(SUBSTITUTE(UPPER(TRIM($DX929)),"E",""))&lt;2,LEN(UPPER(TRIM($DX929)))-LEN(SUBSTITUTE(UPPER(TRIM($DX929)),".",""))&lt;2,IFERROR(FIND(".",UPPER(TRIM($DX929))),0)&lt;IFERROR(FIND("E",UPPER(TRIM($DX929))),999)),ISNUMBER(VALUE(TRIM($DX929)))),VALUE(TRIM($DX929)),"")))),""))</f>
        <v/>
      </c>
      <c r="DZ929">
        <f>IF($DM929=0,"",IF($L$17=0,"",IFERROR(IF(ISNUMBER(INDEX(PASTE_ALL,$DF929,$L$17)),INDEX(PASTE_ALL,$DF929,$L$17),SUBSTITUTE(SUBSTITUTE(TRIM(SUBSTITUTE(SUBSTITUTE(SUBSTITUTE(SUBSTITUTE(INDEX(PASTE_ALL,$DF929,$L$17)," "," "),CHAR(9)," "),CHAR(10)," "),CHAR(13)," ")),",",""),"%","")),"")))</f>
        <v/>
      </c>
      <c r="EA929">
        <f>IF($DM929=0,"",IFERROR(IF(ISNUMBER($DZ929),$DZ929,IF($DZ929="","",IF(TRIM($DZ929)="",0,IF(AND(AND(SUBSTITUTE(SUBSTITUTE(SUBSTITUTE(SUBSTITUTE(SUBSTITUTE(SUBSTITUTE(SUBSTITUTE(SUBSTITUTE(SUBSTITUTE(SUBSTITUTE(SUBSTITUTE(SUBSTITUTE(SUBSTITUTE(SUBSTITUTE(UPPER(TRIM($DZ929)),"0",""),"1",""),"2",""),"3",""),"4",""),"5",""),"6",""),"7",""),"8",""),"9",""),".",""),"+",""),"-",""),"E","")="",LEN(SUBSTITUTE(SUBSTITUTE(MID(UPPER(TRIM($DZ929)),1+OR(LEFT(UPPER(TRIM($DZ929)),1)="+",LEFT(UPPER(TRIM($DZ929)),1)="-"),999),"E+","E"),"E-","E"))=LEN(SUBSTITUTE(SUBSTITUTE(SUBSTITUTE(SUBSTITUTE(MID(UPPER(TRIM($DZ929)),1+OR(LEFT(UPPER(TRIM($DZ929)),1)="+",LEFT(UPPER(TRIM($DZ929)),1)="-"),999),"E+","E"),"E-","E"),"+",""),"-","")),LEN(UPPER(TRIM($DZ929)))-LEN(SUBSTITUTE(UPPER(TRIM($DZ929)),"E",""))&lt;2,LEN(UPPER(TRIM($DZ929)))-LEN(SUBSTITUTE(UPPER(TRIM($DZ929)),".",""))&lt;2,IFERROR(FIND(".",UPPER(TRIM($DZ929))),0)&lt;IFERROR(FIND("E",UPPER(TRIM($DZ929))),999)),ISNUMBER(VALUE(TRIM($DZ929)))),VALUE(TRIM($DZ929)),"")))),""))</f>
        <v/>
      </c>
      <c r="EB929">
        <f>IF($DM929=0,"",IF($L$18=0,"",IFERROR(IF(UPPER(TRIM(SUBSTITUTE(SUBSTITUTE(SUBSTITUTE(SUBSTITUTE(INDEX(PASTE_ALL,$DF929,$L$18)," "," "),CHAR(9)," "),CHAR(10)," "),CHAR(13)," ")))="READY","Ready",IF(UPPER(TRIM(SUBSTITUTE(SUBSTITUTE(SUBSTITUTE(SUBSTITUTE(INDEX(PASTE_ALL,$DF929,$L$18)," "," "),CHAR(9)," "),CHAR(10)," "),CHAR(13)," ")))="PM","PM",IF(OR(UPPER(TRIM(SUBSTITUTE(SUBSTITUTE(SUBSTITUTE(SUBSTITUTE(INDEX(PASTE_ALL,$DF929,$L$18)," "," "),CHAR(9)," "),CHAR(10)," "),CHAR(13)," ")))="OT",UPPER(TRIM(SUBSTITUTE(SUBSTITUTE(SUBSTITUTE(SUBSTITUTE(INDEX(PASTE_ALL,$DF929,$L$18)," "," "),CHAR(9)," "),CHAR(10)," "),CHAR(13)," ")))="OVERTIME",UPPER(TRIM(SUBSTITUTE(SUBSTITUTE(SUBSTITUTE(SUBSTITUTE(INDEX(PASTE_ALL,$DF929,$L$18)," "," "),CHAR(9)," "),CHAR(10)," "),CHAR(13)," ")))="TRIAL"),"OT",TRIM(SUBSTITUTE(SUBSTITUTE(SUBSTITUTE(SUBSTITUTE(INDEX(PASTE_ALL,$DF929,$L$18)," "," "),CHAR(9)," "),CHAR(10)," "),CHAR(13)," "))))),"")))</f>
        <v/>
      </c>
      <c r="EC929">
        <f>IF($DM929=0,"",IF($L$19=0,"",IFERROR(IF(ISNUMBER(INDEX(PASTE_ALL,$DF929,$L$19)),INDEX(PASTE_ALL,$DF929,$L$19),TRIM(SUBSTITUTE(SUBSTITUTE(SUBSTITUTE(SUBSTITUTE(INDEX(PASTE_ALL,$DF929,$L$19)," "," "),CHAR(9)," "),CHAR(10)," "),CHAR(13)," "))),"")))</f>
        <v/>
      </c>
      <c r="ED929">
        <f>IF($DM929=0,"",MATCH(1,INDEX(EXACT($DH$5:DH929,$DH929)*$DM$5:DM929,0),0))</f>
        <v/>
      </c>
      <c r="EE929">
        <f>IF($DM929=0,0,IF($ED929=$DE929,1,0))</f>
        <v/>
      </c>
      <c r="EF929">
        <f>EF928+$EE929</f>
        <v/>
      </c>
      <c r="EG929">
        <f>IF($DM929=0,"",INDEX($EF$5:$EF$1003,$ED929))</f>
        <v/>
      </c>
      <c r="EH929">
        <f>IF($DM929=0,"",IF($DO929&lt;&gt;"","",IFERROR(LOOKUP(2,1/(($EG$4:EG928=$EG929)*($DO$4:DO928&lt;&gt;"")),$DO$4:DO928),"")))</f>
        <v/>
      </c>
      <c r="EI929">
        <f>IF($DM929=0,"",IF($DO929&lt;&gt;"",$DO929,$EH929))</f>
        <v/>
      </c>
      <c r="EJ929">
        <f>IF($DM929=0,"",IF($EI929="",0,IF(OR(ISNUMBER($EI929),AND(AND(SUBSTITUTE(SUBSTITUTE(SUBSTITUTE(SUBSTITUTE(SUBSTITUTE(SUBSTITUTE(SUBSTITUTE(SUBSTITUTE(SUBSTITUTE(SUBSTITUTE(SUBSTITUTE(SUBSTITUTE(SUBSTITUTE(SUBSTITUTE(UPPER($EI929),"0",""),"1",""),"2",""),"3",""),"4",""),"5",""),"6",""),"7",""),"8",""),"9",""),".",""),"+",""),"-",""),"E","")="",LEN(SUBSTITUTE(SUBSTITUTE(MID(UPPER($EI929),1+OR(LEFT(UPPER($EI929),1)="+",LEFT(UPPER($EI929),1)="-"),999),"E+","E"),"E-","E"))=LEN(SUBSTITUTE(SUBSTITUTE(SUBSTITUTE(SUBSTITUTE(MID(UPPER($EI929),1+OR(LEFT(UPPER($EI929),1)="+",LEFT(UPPER($EI929),1)="-"),999),"E+","E"),"E-","E"),"+",""),"-","")),LEN(UPPER($EI929))-LEN(SUBSTITUTE(UPPER($EI929),"E",""))&lt;2,LEN(UPPER($EI929))-LEN(SUBSTITUTE(UPPER($EI929),".",""))&lt;2,IFERROR(FIND(".",UPPER($EI929)),0)&lt;IFERROR(FIND("E",UPPER($EI929)),999)),ISNUMBER(VALUE($EI929)))),1,2)))</f>
        <v/>
      </c>
      <c r="EK929">
        <f>IF($DM929=0,"",IF($EJ929=1,IF(ISNUMBER($EI929),$EI929,VALUE($EI929)),IF($EJ929=2,$DE929,0)))</f>
        <v/>
      </c>
      <c r="EL929">
        <f>IF($DM929=0,"",COUNTIF($EG$5:$EG$1003,"&lt;"&amp;$EG929)+SUMPRODUCT(($EG$5:$EG$1003=$EG929)*(($EJ$5:$EJ$1003&lt;$EJ929)+($EJ$5:$EJ$1003=$EJ929)*(($EK$5:$EK$1003&lt;$EK929)+($EK$5:$EK$1003=$EK929)*($DE$5:$DE$1003&lt;$DE929))))+1)</f>
        <v/>
      </c>
      <c r="EM929">
        <f>IF($DM929=0,"",$EL929+$EG929-1)</f>
        <v/>
      </c>
      <c r="EN929">
        <f>IF($DM929=0,0,IFERROR(MATCH(1,INDEX(--(TRIM(SUBSTITUTE(SUBSTITUTE(SUBSTITUTE(SUBSTITUTE(LINES_NAME&amp;""," "," "),CHAR(9)," "),CHAR(10)," "),CHAR(13)," "))=$DH929),0),0),0))</f>
        <v/>
      </c>
      <c r="EO929">
        <f>IF($EN929=0,0,IF(OR(UPPER(TRIM(INDEX(LINES_SCHEDULED,$EN929)&amp;""))="YES",UPPER(TRIM(INDEX(LINES_SCHEDULED,$EN929)&amp;""))="Y",UPPER(TRIM(INDEX(LINES_SCHEDULED,$EN929)&amp;""))="X"),1,0))</f>
        <v/>
      </c>
      <c r="EP929">
        <f>IF($DM929=0,"",IF(COUNTIFS($EG$5:$EG$1003,$EG929,$EB$5:$EB$1003,"Ready")&gt;0,"READY",IF(COUNTIFS($EG$5:$EG$1003,$EG929,$EB$5:$EB$1003,"PM")&gt;0,"PM",IF(COUNTIFS($EG$5:$EG$1003,$EG929,$EB$5:$EB$1003,"OT")&gt;0,"OT",""))))</f>
        <v/>
      </c>
      <c r="EQ929">
        <f>IF($EN929=0,"",UPPER(TRIM(INDEX(LINES_STATUS,$EN929)&amp;"")))</f>
        <v/>
      </c>
      <c r="ER929">
        <f>IF($DM929=0,"",IF(OR($EQ929="READY",$EQ929="PM",$EQ929="OT"),$EQ929,$EP929))</f>
        <v/>
      </c>
      <c r="ES929">
        <f>IF($DM929=0,"",IF(AND($DV929&lt;&gt;"",UPPER($DV929)&lt;&gt;"N"),"allergen",IF(ISNUMBER(SEARCH("oil",$DQ929)),"oil",IF(OR(EXACT($DS929,"A662"),EXACT($DS929,"A624")),"bulk",""))))</f>
        <v/>
      </c>
      <c r="ET929">
        <f>IF($DM929=0,"",IF(OR($EA929="",$EA929=0),"",$EA929/100))</f>
        <v/>
      </c>
      <c r="EU929">
        <f>IF(OR($ET929="",$DY929=""),"",INT($DY929*(1-$ET929)+0.5))</f>
        <v/>
      </c>
    </row>
    <row r="930">
      <c r="DA930" t="n">
        <v>926</v>
      </c>
      <c r="DB930">
        <f>IF($B$37=0,"",IFERROR(TRIM(SUBSTITUTE(SUBSTITUTE(SUBSTITUTE(SUBSTITUTE(INDEX(PASTE_ALL,926,$B$37)," "," "),CHAR(9)," "),CHAR(10)," "),CHAR(13)," ")),""))</f>
        <v/>
      </c>
      <c r="DC930">
        <f>IF(AND(926&gt;HEADER_ROW,UPPER(DB930)="LEGEND"),1,0)</f>
        <v/>
      </c>
      <c r="DE930" t="n">
        <v>926</v>
      </c>
      <c r="DF930">
        <f>HEADER_ROW+$DE930</f>
        <v/>
      </c>
      <c r="DG930">
        <f>IF(AND($DF930&lt;=1000,$DF930&lt;$B$8),1,0)</f>
        <v/>
      </c>
      <c r="DH930">
        <f>IF($DG930=1,IFERROR(INDEX($DB$5:$DB$1004,$DF930),""),"")</f>
        <v/>
      </c>
      <c r="DI930">
        <f>IF(AND($DG930=1,$DH930&lt;&gt;""),IFERROR(SUBSTITUTE(SUBSTITUTE(TRIM(SUBSTITUTE(SUBSTITUTE(SUBSTITUTE(SUBSTITUTE(IFERROR(INDEX(PASTE_ALL,$DF930,1)&amp;"","")&amp;"␟"&amp;IFERROR(INDEX(PASTE_ALL,$DF930,2)&amp;"","")&amp;"␟"&amp;IFERROR(INDEX(PASTE_ALL,$DF930,3)&amp;"","")&amp;"␟"&amp;IFERROR(INDEX(PASTE_ALL,$DF930,4)&amp;"","")&amp;"␟"&amp;IFERROR(INDEX(PASTE_ALL,$DF930,5)&amp;"","")&amp;"␟"&amp;IFERROR(INDEX(PASTE_ALL,$DF930,6)&amp;"","")&amp;"␟"&amp;IFERROR(INDEX(PASTE_ALL,$DF930,7)&amp;"","")&amp;"␟"&amp;IFERROR(INDEX(PASTE_ALL,$DF930,8)&amp;"","")&amp;"␟"&amp;IFERROR(INDEX(PASTE_ALL,$DF930,9)&amp;"","")&amp;"␟"&amp;IFERROR(INDEX(PASTE_ALL,$DF930,10)&amp;"","")&amp;"␟"&amp;IFERROR(INDEX(PASTE_ALL,$DF930,11)&amp;"","")&amp;"␟"&amp;IFERROR(INDEX(PASTE_ALL,$DF930,12)&amp;"","")&amp;"␟"&amp;IFERROR(INDEX(PASTE_ALL,$DF930,13)&amp;"","")&amp;"␟"&amp;IFERROR(INDEX(PASTE_ALL,$DF930,14)&amp;"","")&amp;"␟"&amp;IFERROR(INDEX(PASTE_ALL,$DF930,15)&amp;"","")&amp;"␟"&amp;IFERROR(INDEX(PASTE_ALL,$DF930,16)&amp;"","")&amp;"␟"&amp;IFERROR(INDEX(PASTE_ALL,$DF930,17)&amp;"","")&amp;"␟"&amp;IFERROR(INDEX(PASTE_ALL,$DF930,18)&amp;"","")&amp;"␟"&amp;IFERROR(INDEX(PASTE_ALL,$DF930,19)&amp;"","")&amp;"␟"&amp;IFERROR(INDEX(PASTE_ALL,$DF930,20)&amp;"","")&amp;"␟"&amp;IFERROR(INDEX(PASTE_ALL,$DF930,21)&amp;"","")&amp;"␟"&amp;IFERROR(INDEX(PASTE_ALL,$DF930,22)&amp;"","")&amp;"␟"&amp;IFERROR(INDEX(PASTE_ALL,$DF930,23)&amp;"","")&amp;"␟"&amp;IFERROR(INDEX(PASTE_ALL,$DF930,24)&amp;"","")&amp;"␟"&amp;IFERROR(INDEX(PASTE_ALL,$DF930,25)&amp;"","")&amp;"␟"&amp;IFERROR(INDEX(PASTE_ALL,$DF930,26)&amp;"","")&amp;"␟"&amp;IFERROR(INDEX(PASTE_ALL,$DF930,27)&amp;"","")&amp;"␟"&amp;IFERROR(INDEX(PASTE_ALL,$DF930,28)&amp;"","")&amp;"␟"&amp;IFERROR(INDEX(PASTE_ALL,$DF930,29)&amp;"","")&amp;"␟"&amp;IFERROR(INDEX(PASTE_ALL,$DF930,30)&amp;"","")&amp;"␟"&amp;IFERROR(INDEX(PASTE_ALL,$DF930,31)&amp;"","")&amp;"␟"&amp;IFERROR(INDEX(PASTE_ALL,$DF930,32)&amp;"","")&amp;"␟"&amp;IFERROR(INDEX(PASTE_ALL,$DF930,33)&amp;"","")&amp;"␟"&amp;IFERROR(INDEX(PASTE_ALL,$DF930,34)&amp;"","")&amp;"␟"&amp;IFERROR(INDEX(PASTE_ALL,$DF930,35)&amp;"","")&amp;"␟"&amp;IFERROR(INDEX(PASTE_ALL,$DF930,36)&amp;"","")&amp;"␟"&amp;IFERROR(INDEX(PASTE_ALL,$DF930,37)&amp;"","")&amp;"␟"&amp;IFERROR(INDEX(PASTE_ALL,$DF930,38)&amp;"","")&amp;"␟"&amp;IFERROR(INDEX(PASTE_ALL,$DF930,39)&amp;"","")&amp;"␟"&amp;IFERROR(INDEX(PASTE_ALL,$DF930,40)&amp;"","")&amp;"␟"&amp;IFERROR(INDEX(PASTE_ALL,$DF930,41)&amp;"","")&amp;"␟"&amp;IFERROR(INDEX(PASTE_ALL,$DF930,42)&amp;"","")&amp;"␟"&amp;IFERROR(INDEX(PASTE_ALL,$DF930,43)&amp;"","")&amp;"␟"&amp;IFERROR(INDEX(PASTE_ALL,$DF930,44)&amp;"","")&amp;"␟"&amp;IFERROR(INDEX(PASTE_ALL,$DF930,45)&amp;"","")&amp;"␟"&amp;IFERROR(INDEX(PASTE_ALL,$DF930,46)&amp;"","")&amp;"␟"&amp;IFERROR(INDEX(PASTE_ALL,$DF930,47)&amp;"","")&amp;"␟"&amp;IFERROR(INDEX(PASTE_ALL,$DF930,48)&amp;"","")&amp;"␟"&amp;IFERROR(INDEX(PASTE_ALL,$DF930,49)&amp;"","")&amp;"␟"&amp;IFERROR(INDEX(PASTE_ALL,$DF930,50)&amp;"","")&amp;"␟"&amp;IFERROR(INDEX(PASTE_ALL,$DF930,51)&amp;"","")&amp;"␟"&amp;IFERROR(INDEX(PASTE_ALL,$DF930,52)&amp;"","")&amp;"␟"&amp;IFERROR(INDEX(PASTE_ALL,$DF930,53)&amp;"","")&amp;"␟"&amp;IFERROR(INDEX(PASTE_ALL,$DF930,54)&amp;"","")&amp;"␟"&amp;IFERROR(INDEX(PASTE_ALL,$DF930,55)&amp;"","")&amp;"␟"&amp;IFERROR(INDEX(PASTE_ALL,$DF930,56)&amp;"","")&amp;"␟"&amp;IFERROR(INDEX(PASTE_ALL,$DF930,57)&amp;"","")&amp;"␟"&amp;IFERROR(INDEX(PASTE_ALL,$DF930,58)&amp;"","")&amp;"␟"&amp;IFERROR(INDEX(PASTE_ALL,$DF930,59)&amp;"","")&amp;"␟"&amp;IFERROR(INDEX(PASTE_ALL,$DF930,60)&amp;"","")," "," "),CHAR(9)," "),CHAR(10)," "),CHAR(13)," "))," ␟","␟"),"␟ ","␟"),"#"&amp;$DE930),"")</f>
        <v/>
      </c>
      <c r="DJ930">
        <f>IF($DI930="",0,IF(SUMPRODUCT(--EXACT($DI$4:DI929,$DI930))&gt;0,1,0))</f>
        <v/>
      </c>
      <c r="DK930">
        <f>IF(AND($DI930&lt;&gt;"",$DJ930=0),1,0)</f>
        <v/>
      </c>
      <c r="DL930">
        <f>DL929+$DK930</f>
        <v/>
      </c>
      <c r="DM930">
        <f>IF(AND($DK930=1,$DL930&lt;=600),1,0)</f>
        <v/>
      </c>
      <c r="DN930">
        <f>IF($DM930=0,"",IF($L$6=0,"",IFERROR(IF(ISNUMBER(INDEX(PASTE_ALL,$DF930,$L$6)),INDEX(PASTE_ALL,$DF930,$L$6),TRIM(SUBSTITUTE(SUBSTITUTE(SUBSTITUTE(SUBSTITUTE(INDEX(PASTE_ALL,$DF930,$L$6)," "," "),CHAR(9)," "),CHAR(10)," "),CHAR(13)," "))),"")))</f>
        <v/>
      </c>
      <c r="DO930">
        <f>IF($DM930=0,"",IF($L$7=0,"",IFERROR(IF(ISNUMBER(INDEX(PASTE_ALL,$DF930,$L$7)),INDEX(PASTE_ALL,$DF930,$L$7),TRIM(SUBSTITUTE(SUBSTITUTE(SUBSTITUTE(SUBSTITUTE(INDEX(PASTE_ALL,$DF930,$L$7)," "," "),CHAR(9)," "),CHAR(10)," "),CHAR(13)," "))),"")))</f>
        <v/>
      </c>
      <c r="DP930">
        <f>IF($DM930=0,"",IF($L$8=0,"",IFERROR(IF(ISNUMBER(INDEX(PASTE_ALL,$DF930,$L$8)),INDEX(PASTE_ALL,$DF930,$L$8),TRIM(SUBSTITUTE(SUBSTITUTE(SUBSTITUTE(SUBSTITUTE(INDEX(PASTE_ALL,$DF930,$L$8)," "," "),CHAR(9)," "),CHAR(10)," "),CHAR(13)," "))),"")))</f>
        <v/>
      </c>
      <c r="DQ930">
        <f>IF($DM930=0,"",IF($L$9=0,"",IFERROR(IF(ISNUMBER(INDEX(PASTE_ALL,$DF930,$L$9)),INDEX(PASTE_ALL,$DF930,$L$9),TRIM(SUBSTITUTE(SUBSTITUTE(SUBSTITUTE(SUBSTITUTE(INDEX(PASTE_ALL,$DF930,$L$9)," "," "),CHAR(9)," "),CHAR(10)," "),CHAR(13)," "))),"")))</f>
        <v/>
      </c>
      <c r="DR930">
        <f>IF($DM930=0,"",IF($L$10=0,"",IFERROR(IF(ISNUMBER(INDEX(PASTE_ALL,$DF930,$L$10)),INDEX(PASTE_ALL,$DF930,$L$10),TRIM(SUBSTITUTE(SUBSTITUTE(SUBSTITUTE(SUBSTITUTE(INDEX(PASTE_ALL,$DF930,$L$10)," "," "),CHAR(9)," "),CHAR(10)," "),CHAR(13)," "))),"")))</f>
        <v/>
      </c>
      <c r="DS930">
        <f>IF($DM930=0,"",IF($L$11=0,"",IFERROR(IF(ISNUMBER(INDEX(PASTE_ALL,$DF930,$L$11)),INDEX(PASTE_ALL,$DF930,$L$11),TRIM(SUBSTITUTE(SUBSTITUTE(SUBSTITUTE(SUBSTITUTE(INDEX(PASTE_ALL,$DF930,$L$11)," "," "),CHAR(9)," "),CHAR(10)," "),CHAR(13)," "))),"")))</f>
        <v/>
      </c>
      <c r="DT930">
        <f>IF($DM930=0,"",IF($L$12=0,"",IFERROR(IF(ISNUMBER(INDEX(PASTE_ALL,$DF930,$L$12)),INDEX(PASTE_ALL,$DF930,$L$12),TRIM(SUBSTITUTE(SUBSTITUTE(SUBSTITUTE(SUBSTITUTE(INDEX(PASTE_ALL,$DF930,$L$12)," "," "),CHAR(9)," "),CHAR(10)," "),CHAR(13)," "))),"")))</f>
        <v/>
      </c>
      <c r="DU930">
        <f>IF($DM930=0,"",IF($L$13=0,"",IFERROR(IF(ISNUMBER(INDEX(PASTE_ALL,$DF930,$L$13)),INDEX(PASTE_ALL,$DF930,$L$13),TRIM(SUBSTITUTE(SUBSTITUTE(SUBSTITUTE(SUBSTITUTE(INDEX(PASTE_ALL,$DF930,$L$13)," "," "),CHAR(9)," "),CHAR(10)," "),CHAR(13)," "))),"")))</f>
        <v/>
      </c>
      <c r="DV930">
        <f>IF($DM930=0,"",IF($L$14=0,"",IFERROR(IF(ISNUMBER(INDEX(PASTE_ALL,$DF930,$L$14)),INDEX(PASTE_ALL,$DF930,$L$14),TRIM(SUBSTITUTE(SUBSTITUTE(SUBSTITUTE(SUBSTITUTE(INDEX(PASTE_ALL,$DF930,$L$14)," "," "),CHAR(9)," "),CHAR(10)," "),CHAR(13)," "))),"")))</f>
        <v/>
      </c>
      <c r="DW930">
        <f>IF($DM930=0,"",IF($L$15=0,"",IFERROR(IF(ISNUMBER(INDEX(PASTE_ALL,$DF930,$L$15)),INDEX(PASTE_ALL,$DF930,$L$15),IF(SUMPRODUCT(--ISNUMBER(FIND({"A","B","C","D","E","F","G","H","I","J","K","L","M","N","O","P","Q","R","S","T","U","V","W","X","Y","Z","0","1","2","3","4","5","6","7","8","9"},UPPER(TRIM(SUBSTITUTE(SUBSTITUTE(SUBSTITUTE(SUBSTITUTE(INDEX(PASTE_ALL,$DF930,$L$15)," "," "),CHAR(9)," "),CHAR(10)," "),CHAR(13)," "))))))&gt;0,TRIM(SUBSTITUTE(SUBSTITUTE(SUBSTITUTE(SUBSTITUTE(INDEX(PASTE_ALL,$DF930,$L$15)," "," "),CHAR(9)," "),CHAR(10)," "),CHAR(13)," ")),"")),"")))</f>
        <v/>
      </c>
      <c r="DX930">
        <f>IF($DM930=0,"",IF($L$16=0,"",IFERROR(IF(ISNUMBER(INDEX(PASTE_ALL,$DF930,$L$16)),INDEX(PASTE_ALL,$DF930,$L$16),SUBSTITUTE(SUBSTITUTE(TRIM(SUBSTITUTE(SUBSTITUTE(SUBSTITUTE(SUBSTITUTE(INDEX(PASTE_ALL,$DF930,$L$16)," "," "),CHAR(9)," "),CHAR(10)," "),CHAR(13)," ")),",",""),"%","")),"")))</f>
        <v/>
      </c>
      <c r="DY930">
        <f>IF($DM930=0,"",IFERROR(IF(ISNUMBER($DX930),$DX930,IF($DX930="","",IF(TRIM($DX930)="",0,IF(AND(AND(SUBSTITUTE(SUBSTITUTE(SUBSTITUTE(SUBSTITUTE(SUBSTITUTE(SUBSTITUTE(SUBSTITUTE(SUBSTITUTE(SUBSTITUTE(SUBSTITUTE(SUBSTITUTE(SUBSTITUTE(SUBSTITUTE(SUBSTITUTE(UPPER(TRIM($DX930)),"0",""),"1",""),"2",""),"3",""),"4",""),"5",""),"6",""),"7",""),"8",""),"9",""),".",""),"+",""),"-",""),"E","")="",LEN(SUBSTITUTE(SUBSTITUTE(MID(UPPER(TRIM($DX930)),1+OR(LEFT(UPPER(TRIM($DX930)),1)="+",LEFT(UPPER(TRIM($DX930)),1)="-"),999),"E+","E"),"E-","E"))=LEN(SUBSTITUTE(SUBSTITUTE(SUBSTITUTE(SUBSTITUTE(MID(UPPER(TRIM($DX930)),1+OR(LEFT(UPPER(TRIM($DX930)),1)="+",LEFT(UPPER(TRIM($DX930)),1)="-"),999),"E+","E"),"E-","E"),"+",""),"-","")),LEN(UPPER(TRIM($DX930)))-LEN(SUBSTITUTE(UPPER(TRIM($DX930)),"E",""))&lt;2,LEN(UPPER(TRIM($DX930)))-LEN(SUBSTITUTE(UPPER(TRIM($DX930)),".",""))&lt;2,IFERROR(FIND(".",UPPER(TRIM($DX930))),0)&lt;IFERROR(FIND("E",UPPER(TRIM($DX930))),999)),ISNUMBER(VALUE(TRIM($DX930)))),VALUE(TRIM($DX930)),"")))),""))</f>
        <v/>
      </c>
      <c r="DZ930">
        <f>IF($DM930=0,"",IF($L$17=0,"",IFERROR(IF(ISNUMBER(INDEX(PASTE_ALL,$DF930,$L$17)),INDEX(PASTE_ALL,$DF930,$L$17),SUBSTITUTE(SUBSTITUTE(TRIM(SUBSTITUTE(SUBSTITUTE(SUBSTITUTE(SUBSTITUTE(INDEX(PASTE_ALL,$DF930,$L$17)," "," "),CHAR(9)," "),CHAR(10)," "),CHAR(13)," ")),",",""),"%","")),"")))</f>
        <v/>
      </c>
      <c r="EA930">
        <f>IF($DM930=0,"",IFERROR(IF(ISNUMBER($DZ930),$DZ930,IF($DZ930="","",IF(TRIM($DZ930)="",0,IF(AND(AND(SUBSTITUTE(SUBSTITUTE(SUBSTITUTE(SUBSTITUTE(SUBSTITUTE(SUBSTITUTE(SUBSTITUTE(SUBSTITUTE(SUBSTITUTE(SUBSTITUTE(SUBSTITUTE(SUBSTITUTE(SUBSTITUTE(SUBSTITUTE(UPPER(TRIM($DZ930)),"0",""),"1",""),"2",""),"3",""),"4",""),"5",""),"6",""),"7",""),"8",""),"9",""),".",""),"+",""),"-",""),"E","")="",LEN(SUBSTITUTE(SUBSTITUTE(MID(UPPER(TRIM($DZ930)),1+OR(LEFT(UPPER(TRIM($DZ930)),1)="+",LEFT(UPPER(TRIM($DZ930)),1)="-"),999),"E+","E"),"E-","E"))=LEN(SUBSTITUTE(SUBSTITUTE(SUBSTITUTE(SUBSTITUTE(MID(UPPER(TRIM($DZ930)),1+OR(LEFT(UPPER(TRIM($DZ930)),1)="+",LEFT(UPPER(TRIM($DZ930)),1)="-"),999),"E+","E"),"E-","E"),"+",""),"-","")),LEN(UPPER(TRIM($DZ930)))-LEN(SUBSTITUTE(UPPER(TRIM($DZ930)),"E",""))&lt;2,LEN(UPPER(TRIM($DZ930)))-LEN(SUBSTITUTE(UPPER(TRIM($DZ930)),".",""))&lt;2,IFERROR(FIND(".",UPPER(TRIM($DZ930))),0)&lt;IFERROR(FIND("E",UPPER(TRIM($DZ930))),999)),ISNUMBER(VALUE(TRIM($DZ930)))),VALUE(TRIM($DZ930)),"")))),""))</f>
        <v/>
      </c>
      <c r="EB930">
        <f>IF($DM930=0,"",IF($L$18=0,"",IFERROR(IF(UPPER(TRIM(SUBSTITUTE(SUBSTITUTE(SUBSTITUTE(SUBSTITUTE(INDEX(PASTE_ALL,$DF930,$L$18)," "," "),CHAR(9)," "),CHAR(10)," "),CHAR(13)," ")))="READY","Ready",IF(UPPER(TRIM(SUBSTITUTE(SUBSTITUTE(SUBSTITUTE(SUBSTITUTE(INDEX(PASTE_ALL,$DF930,$L$18)," "," "),CHAR(9)," "),CHAR(10)," "),CHAR(13)," ")))="PM","PM",IF(OR(UPPER(TRIM(SUBSTITUTE(SUBSTITUTE(SUBSTITUTE(SUBSTITUTE(INDEX(PASTE_ALL,$DF930,$L$18)," "," "),CHAR(9)," "),CHAR(10)," "),CHAR(13)," ")))="OT",UPPER(TRIM(SUBSTITUTE(SUBSTITUTE(SUBSTITUTE(SUBSTITUTE(INDEX(PASTE_ALL,$DF930,$L$18)," "," "),CHAR(9)," "),CHAR(10)," "),CHAR(13)," ")))="OVERTIME",UPPER(TRIM(SUBSTITUTE(SUBSTITUTE(SUBSTITUTE(SUBSTITUTE(INDEX(PASTE_ALL,$DF930,$L$18)," "," "),CHAR(9)," "),CHAR(10)," "),CHAR(13)," ")))="TRIAL"),"OT",TRIM(SUBSTITUTE(SUBSTITUTE(SUBSTITUTE(SUBSTITUTE(INDEX(PASTE_ALL,$DF930,$L$18)," "," "),CHAR(9)," "),CHAR(10)," "),CHAR(13)," "))))),"")))</f>
        <v/>
      </c>
      <c r="EC930">
        <f>IF($DM930=0,"",IF($L$19=0,"",IFERROR(IF(ISNUMBER(INDEX(PASTE_ALL,$DF930,$L$19)),INDEX(PASTE_ALL,$DF930,$L$19),TRIM(SUBSTITUTE(SUBSTITUTE(SUBSTITUTE(SUBSTITUTE(INDEX(PASTE_ALL,$DF930,$L$19)," "," "),CHAR(9)," "),CHAR(10)," "),CHAR(13)," "))),"")))</f>
        <v/>
      </c>
      <c r="ED930">
        <f>IF($DM930=0,"",MATCH(1,INDEX(EXACT($DH$5:DH930,$DH930)*$DM$5:DM930,0),0))</f>
        <v/>
      </c>
      <c r="EE930">
        <f>IF($DM930=0,0,IF($ED930=$DE930,1,0))</f>
        <v/>
      </c>
      <c r="EF930">
        <f>EF929+$EE930</f>
        <v/>
      </c>
      <c r="EG930">
        <f>IF($DM930=0,"",INDEX($EF$5:$EF$1003,$ED930))</f>
        <v/>
      </c>
      <c r="EH930">
        <f>IF($DM930=0,"",IF($DO930&lt;&gt;"","",IFERROR(LOOKUP(2,1/(($EG$4:EG929=$EG930)*($DO$4:DO929&lt;&gt;"")),$DO$4:DO929),"")))</f>
        <v/>
      </c>
      <c r="EI930">
        <f>IF($DM930=0,"",IF($DO930&lt;&gt;"",$DO930,$EH930))</f>
        <v/>
      </c>
      <c r="EJ930">
        <f>IF($DM930=0,"",IF($EI930="",0,IF(OR(ISNUMBER($EI930),AND(AND(SUBSTITUTE(SUBSTITUTE(SUBSTITUTE(SUBSTITUTE(SUBSTITUTE(SUBSTITUTE(SUBSTITUTE(SUBSTITUTE(SUBSTITUTE(SUBSTITUTE(SUBSTITUTE(SUBSTITUTE(SUBSTITUTE(SUBSTITUTE(UPPER($EI930),"0",""),"1",""),"2",""),"3",""),"4",""),"5",""),"6",""),"7",""),"8",""),"9",""),".",""),"+",""),"-",""),"E","")="",LEN(SUBSTITUTE(SUBSTITUTE(MID(UPPER($EI930),1+OR(LEFT(UPPER($EI930),1)="+",LEFT(UPPER($EI930),1)="-"),999),"E+","E"),"E-","E"))=LEN(SUBSTITUTE(SUBSTITUTE(SUBSTITUTE(SUBSTITUTE(MID(UPPER($EI930),1+OR(LEFT(UPPER($EI930),1)="+",LEFT(UPPER($EI930),1)="-"),999),"E+","E"),"E-","E"),"+",""),"-","")),LEN(UPPER($EI930))-LEN(SUBSTITUTE(UPPER($EI930),"E",""))&lt;2,LEN(UPPER($EI930))-LEN(SUBSTITUTE(UPPER($EI930),".",""))&lt;2,IFERROR(FIND(".",UPPER($EI930)),0)&lt;IFERROR(FIND("E",UPPER($EI930)),999)),ISNUMBER(VALUE($EI930)))),1,2)))</f>
        <v/>
      </c>
      <c r="EK930">
        <f>IF($DM930=0,"",IF($EJ930=1,IF(ISNUMBER($EI930),$EI930,VALUE($EI930)),IF($EJ930=2,$DE930,0)))</f>
        <v/>
      </c>
      <c r="EL930">
        <f>IF($DM930=0,"",COUNTIF($EG$5:$EG$1003,"&lt;"&amp;$EG930)+SUMPRODUCT(($EG$5:$EG$1003=$EG930)*(($EJ$5:$EJ$1003&lt;$EJ930)+($EJ$5:$EJ$1003=$EJ930)*(($EK$5:$EK$1003&lt;$EK930)+($EK$5:$EK$1003=$EK930)*($DE$5:$DE$1003&lt;$DE930))))+1)</f>
        <v/>
      </c>
      <c r="EM930">
        <f>IF($DM930=0,"",$EL930+$EG930-1)</f>
        <v/>
      </c>
      <c r="EN930">
        <f>IF($DM930=0,0,IFERROR(MATCH(1,INDEX(--(TRIM(SUBSTITUTE(SUBSTITUTE(SUBSTITUTE(SUBSTITUTE(LINES_NAME&amp;""," "," "),CHAR(9)," "),CHAR(10)," "),CHAR(13)," "))=$DH930),0),0),0))</f>
        <v/>
      </c>
      <c r="EO930">
        <f>IF($EN930=0,0,IF(OR(UPPER(TRIM(INDEX(LINES_SCHEDULED,$EN930)&amp;""))="YES",UPPER(TRIM(INDEX(LINES_SCHEDULED,$EN930)&amp;""))="Y",UPPER(TRIM(INDEX(LINES_SCHEDULED,$EN930)&amp;""))="X"),1,0))</f>
        <v/>
      </c>
      <c r="EP930">
        <f>IF($DM930=0,"",IF(COUNTIFS($EG$5:$EG$1003,$EG930,$EB$5:$EB$1003,"Ready")&gt;0,"READY",IF(COUNTIFS($EG$5:$EG$1003,$EG930,$EB$5:$EB$1003,"PM")&gt;0,"PM",IF(COUNTIFS($EG$5:$EG$1003,$EG930,$EB$5:$EB$1003,"OT")&gt;0,"OT",""))))</f>
        <v/>
      </c>
      <c r="EQ930">
        <f>IF($EN930=0,"",UPPER(TRIM(INDEX(LINES_STATUS,$EN930)&amp;"")))</f>
        <v/>
      </c>
      <c r="ER930">
        <f>IF($DM930=0,"",IF(OR($EQ930="READY",$EQ930="PM",$EQ930="OT"),$EQ930,$EP930))</f>
        <v/>
      </c>
      <c r="ES930">
        <f>IF($DM930=0,"",IF(AND($DV930&lt;&gt;"",UPPER($DV930)&lt;&gt;"N"),"allergen",IF(ISNUMBER(SEARCH("oil",$DQ930)),"oil",IF(OR(EXACT($DS930,"A662"),EXACT($DS930,"A624")),"bulk",""))))</f>
        <v/>
      </c>
      <c r="ET930">
        <f>IF($DM930=0,"",IF(OR($EA930="",$EA930=0),"",$EA930/100))</f>
        <v/>
      </c>
      <c r="EU930">
        <f>IF(OR($ET930="",$DY930=""),"",INT($DY930*(1-$ET930)+0.5))</f>
        <v/>
      </c>
    </row>
    <row r="931">
      <c r="DA931" t="n">
        <v>927</v>
      </c>
      <c r="DB931">
        <f>IF($B$37=0,"",IFERROR(TRIM(SUBSTITUTE(SUBSTITUTE(SUBSTITUTE(SUBSTITUTE(INDEX(PASTE_ALL,927,$B$37)," "," "),CHAR(9)," "),CHAR(10)," "),CHAR(13)," ")),""))</f>
        <v/>
      </c>
      <c r="DC931">
        <f>IF(AND(927&gt;HEADER_ROW,UPPER(DB931)="LEGEND"),1,0)</f>
        <v/>
      </c>
      <c r="DE931" t="n">
        <v>927</v>
      </c>
      <c r="DF931">
        <f>HEADER_ROW+$DE931</f>
        <v/>
      </c>
      <c r="DG931">
        <f>IF(AND($DF931&lt;=1000,$DF931&lt;$B$8),1,0)</f>
        <v/>
      </c>
      <c r="DH931">
        <f>IF($DG931=1,IFERROR(INDEX($DB$5:$DB$1004,$DF931),""),"")</f>
        <v/>
      </c>
      <c r="DI931">
        <f>IF(AND($DG931=1,$DH931&lt;&gt;""),IFERROR(SUBSTITUTE(SUBSTITUTE(TRIM(SUBSTITUTE(SUBSTITUTE(SUBSTITUTE(SUBSTITUTE(IFERROR(INDEX(PASTE_ALL,$DF931,1)&amp;"","")&amp;"␟"&amp;IFERROR(INDEX(PASTE_ALL,$DF931,2)&amp;"","")&amp;"␟"&amp;IFERROR(INDEX(PASTE_ALL,$DF931,3)&amp;"","")&amp;"␟"&amp;IFERROR(INDEX(PASTE_ALL,$DF931,4)&amp;"","")&amp;"␟"&amp;IFERROR(INDEX(PASTE_ALL,$DF931,5)&amp;"","")&amp;"␟"&amp;IFERROR(INDEX(PASTE_ALL,$DF931,6)&amp;"","")&amp;"␟"&amp;IFERROR(INDEX(PASTE_ALL,$DF931,7)&amp;"","")&amp;"␟"&amp;IFERROR(INDEX(PASTE_ALL,$DF931,8)&amp;"","")&amp;"␟"&amp;IFERROR(INDEX(PASTE_ALL,$DF931,9)&amp;"","")&amp;"␟"&amp;IFERROR(INDEX(PASTE_ALL,$DF931,10)&amp;"","")&amp;"␟"&amp;IFERROR(INDEX(PASTE_ALL,$DF931,11)&amp;"","")&amp;"␟"&amp;IFERROR(INDEX(PASTE_ALL,$DF931,12)&amp;"","")&amp;"␟"&amp;IFERROR(INDEX(PASTE_ALL,$DF931,13)&amp;"","")&amp;"␟"&amp;IFERROR(INDEX(PASTE_ALL,$DF931,14)&amp;"","")&amp;"␟"&amp;IFERROR(INDEX(PASTE_ALL,$DF931,15)&amp;"","")&amp;"␟"&amp;IFERROR(INDEX(PASTE_ALL,$DF931,16)&amp;"","")&amp;"␟"&amp;IFERROR(INDEX(PASTE_ALL,$DF931,17)&amp;"","")&amp;"␟"&amp;IFERROR(INDEX(PASTE_ALL,$DF931,18)&amp;"","")&amp;"␟"&amp;IFERROR(INDEX(PASTE_ALL,$DF931,19)&amp;"","")&amp;"␟"&amp;IFERROR(INDEX(PASTE_ALL,$DF931,20)&amp;"","")&amp;"␟"&amp;IFERROR(INDEX(PASTE_ALL,$DF931,21)&amp;"","")&amp;"␟"&amp;IFERROR(INDEX(PASTE_ALL,$DF931,22)&amp;"","")&amp;"␟"&amp;IFERROR(INDEX(PASTE_ALL,$DF931,23)&amp;"","")&amp;"␟"&amp;IFERROR(INDEX(PASTE_ALL,$DF931,24)&amp;"","")&amp;"␟"&amp;IFERROR(INDEX(PASTE_ALL,$DF931,25)&amp;"","")&amp;"␟"&amp;IFERROR(INDEX(PASTE_ALL,$DF931,26)&amp;"","")&amp;"␟"&amp;IFERROR(INDEX(PASTE_ALL,$DF931,27)&amp;"","")&amp;"␟"&amp;IFERROR(INDEX(PASTE_ALL,$DF931,28)&amp;"","")&amp;"␟"&amp;IFERROR(INDEX(PASTE_ALL,$DF931,29)&amp;"","")&amp;"␟"&amp;IFERROR(INDEX(PASTE_ALL,$DF931,30)&amp;"","")&amp;"␟"&amp;IFERROR(INDEX(PASTE_ALL,$DF931,31)&amp;"","")&amp;"␟"&amp;IFERROR(INDEX(PASTE_ALL,$DF931,32)&amp;"","")&amp;"␟"&amp;IFERROR(INDEX(PASTE_ALL,$DF931,33)&amp;"","")&amp;"␟"&amp;IFERROR(INDEX(PASTE_ALL,$DF931,34)&amp;"","")&amp;"␟"&amp;IFERROR(INDEX(PASTE_ALL,$DF931,35)&amp;"","")&amp;"␟"&amp;IFERROR(INDEX(PASTE_ALL,$DF931,36)&amp;"","")&amp;"␟"&amp;IFERROR(INDEX(PASTE_ALL,$DF931,37)&amp;"","")&amp;"␟"&amp;IFERROR(INDEX(PASTE_ALL,$DF931,38)&amp;"","")&amp;"␟"&amp;IFERROR(INDEX(PASTE_ALL,$DF931,39)&amp;"","")&amp;"␟"&amp;IFERROR(INDEX(PASTE_ALL,$DF931,40)&amp;"","")&amp;"␟"&amp;IFERROR(INDEX(PASTE_ALL,$DF931,41)&amp;"","")&amp;"␟"&amp;IFERROR(INDEX(PASTE_ALL,$DF931,42)&amp;"","")&amp;"␟"&amp;IFERROR(INDEX(PASTE_ALL,$DF931,43)&amp;"","")&amp;"␟"&amp;IFERROR(INDEX(PASTE_ALL,$DF931,44)&amp;"","")&amp;"␟"&amp;IFERROR(INDEX(PASTE_ALL,$DF931,45)&amp;"","")&amp;"␟"&amp;IFERROR(INDEX(PASTE_ALL,$DF931,46)&amp;"","")&amp;"␟"&amp;IFERROR(INDEX(PASTE_ALL,$DF931,47)&amp;"","")&amp;"␟"&amp;IFERROR(INDEX(PASTE_ALL,$DF931,48)&amp;"","")&amp;"␟"&amp;IFERROR(INDEX(PASTE_ALL,$DF931,49)&amp;"","")&amp;"␟"&amp;IFERROR(INDEX(PASTE_ALL,$DF931,50)&amp;"","")&amp;"␟"&amp;IFERROR(INDEX(PASTE_ALL,$DF931,51)&amp;"","")&amp;"␟"&amp;IFERROR(INDEX(PASTE_ALL,$DF931,52)&amp;"","")&amp;"␟"&amp;IFERROR(INDEX(PASTE_ALL,$DF931,53)&amp;"","")&amp;"␟"&amp;IFERROR(INDEX(PASTE_ALL,$DF931,54)&amp;"","")&amp;"␟"&amp;IFERROR(INDEX(PASTE_ALL,$DF931,55)&amp;"","")&amp;"␟"&amp;IFERROR(INDEX(PASTE_ALL,$DF931,56)&amp;"","")&amp;"␟"&amp;IFERROR(INDEX(PASTE_ALL,$DF931,57)&amp;"","")&amp;"␟"&amp;IFERROR(INDEX(PASTE_ALL,$DF931,58)&amp;"","")&amp;"␟"&amp;IFERROR(INDEX(PASTE_ALL,$DF931,59)&amp;"","")&amp;"␟"&amp;IFERROR(INDEX(PASTE_ALL,$DF931,60)&amp;"","")," "," "),CHAR(9)," "),CHAR(10)," "),CHAR(13)," "))," ␟","␟"),"␟ ","␟"),"#"&amp;$DE931),"")</f>
        <v/>
      </c>
      <c r="DJ931">
        <f>IF($DI931="",0,IF(SUMPRODUCT(--EXACT($DI$4:DI930,$DI931))&gt;0,1,0))</f>
        <v/>
      </c>
      <c r="DK931">
        <f>IF(AND($DI931&lt;&gt;"",$DJ931=0),1,0)</f>
        <v/>
      </c>
      <c r="DL931">
        <f>DL930+$DK931</f>
        <v/>
      </c>
      <c r="DM931">
        <f>IF(AND($DK931=1,$DL931&lt;=600),1,0)</f>
        <v/>
      </c>
      <c r="DN931">
        <f>IF($DM931=0,"",IF($L$6=0,"",IFERROR(IF(ISNUMBER(INDEX(PASTE_ALL,$DF931,$L$6)),INDEX(PASTE_ALL,$DF931,$L$6),TRIM(SUBSTITUTE(SUBSTITUTE(SUBSTITUTE(SUBSTITUTE(INDEX(PASTE_ALL,$DF931,$L$6)," "," "),CHAR(9)," "),CHAR(10)," "),CHAR(13)," "))),"")))</f>
        <v/>
      </c>
      <c r="DO931">
        <f>IF($DM931=0,"",IF($L$7=0,"",IFERROR(IF(ISNUMBER(INDEX(PASTE_ALL,$DF931,$L$7)),INDEX(PASTE_ALL,$DF931,$L$7),TRIM(SUBSTITUTE(SUBSTITUTE(SUBSTITUTE(SUBSTITUTE(INDEX(PASTE_ALL,$DF931,$L$7)," "," "),CHAR(9)," "),CHAR(10)," "),CHAR(13)," "))),"")))</f>
        <v/>
      </c>
      <c r="DP931">
        <f>IF($DM931=0,"",IF($L$8=0,"",IFERROR(IF(ISNUMBER(INDEX(PASTE_ALL,$DF931,$L$8)),INDEX(PASTE_ALL,$DF931,$L$8),TRIM(SUBSTITUTE(SUBSTITUTE(SUBSTITUTE(SUBSTITUTE(INDEX(PASTE_ALL,$DF931,$L$8)," "," "),CHAR(9)," "),CHAR(10)," "),CHAR(13)," "))),"")))</f>
        <v/>
      </c>
      <c r="DQ931">
        <f>IF($DM931=0,"",IF($L$9=0,"",IFERROR(IF(ISNUMBER(INDEX(PASTE_ALL,$DF931,$L$9)),INDEX(PASTE_ALL,$DF931,$L$9),TRIM(SUBSTITUTE(SUBSTITUTE(SUBSTITUTE(SUBSTITUTE(INDEX(PASTE_ALL,$DF931,$L$9)," "," "),CHAR(9)," "),CHAR(10)," "),CHAR(13)," "))),"")))</f>
        <v/>
      </c>
      <c r="DR931">
        <f>IF($DM931=0,"",IF($L$10=0,"",IFERROR(IF(ISNUMBER(INDEX(PASTE_ALL,$DF931,$L$10)),INDEX(PASTE_ALL,$DF931,$L$10),TRIM(SUBSTITUTE(SUBSTITUTE(SUBSTITUTE(SUBSTITUTE(INDEX(PASTE_ALL,$DF931,$L$10)," "," "),CHAR(9)," "),CHAR(10)," "),CHAR(13)," "))),"")))</f>
        <v/>
      </c>
      <c r="DS931">
        <f>IF($DM931=0,"",IF($L$11=0,"",IFERROR(IF(ISNUMBER(INDEX(PASTE_ALL,$DF931,$L$11)),INDEX(PASTE_ALL,$DF931,$L$11),TRIM(SUBSTITUTE(SUBSTITUTE(SUBSTITUTE(SUBSTITUTE(INDEX(PASTE_ALL,$DF931,$L$11)," "," "),CHAR(9)," "),CHAR(10)," "),CHAR(13)," "))),"")))</f>
        <v/>
      </c>
      <c r="DT931">
        <f>IF($DM931=0,"",IF($L$12=0,"",IFERROR(IF(ISNUMBER(INDEX(PASTE_ALL,$DF931,$L$12)),INDEX(PASTE_ALL,$DF931,$L$12),TRIM(SUBSTITUTE(SUBSTITUTE(SUBSTITUTE(SUBSTITUTE(INDEX(PASTE_ALL,$DF931,$L$12)," "," "),CHAR(9)," "),CHAR(10)," "),CHAR(13)," "))),"")))</f>
        <v/>
      </c>
      <c r="DU931">
        <f>IF($DM931=0,"",IF($L$13=0,"",IFERROR(IF(ISNUMBER(INDEX(PASTE_ALL,$DF931,$L$13)),INDEX(PASTE_ALL,$DF931,$L$13),TRIM(SUBSTITUTE(SUBSTITUTE(SUBSTITUTE(SUBSTITUTE(INDEX(PASTE_ALL,$DF931,$L$13)," "," "),CHAR(9)," "),CHAR(10)," "),CHAR(13)," "))),"")))</f>
        <v/>
      </c>
      <c r="DV931">
        <f>IF($DM931=0,"",IF($L$14=0,"",IFERROR(IF(ISNUMBER(INDEX(PASTE_ALL,$DF931,$L$14)),INDEX(PASTE_ALL,$DF931,$L$14),TRIM(SUBSTITUTE(SUBSTITUTE(SUBSTITUTE(SUBSTITUTE(INDEX(PASTE_ALL,$DF931,$L$14)," "," "),CHAR(9)," "),CHAR(10)," "),CHAR(13)," "))),"")))</f>
        <v/>
      </c>
      <c r="DW931">
        <f>IF($DM931=0,"",IF($L$15=0,"",IFERROR(IF(ISNUMBER(INDEX(PASTE_ALL,$DF931,$L$15)),INDEX(PASTE_ALL,$DF931,$L$15),IF(SUMPRODUCT(--ISNUMBER(FIND({"A","B","C","D","E","F","G","H","I","J","K","L","M","N","O","P","Q","R","S","T","U","V","W","X","Y","Z","0","1","2","3","4","5","6","7","8","9"},UPPER(TRIM(SUBSTITUTE(SUBSTITUTE(SUBSTITUTE(SUBSTITUTE(INDEX(PASTE_ALL,$DF931,$L$15)," "," "),CHAR(9)," "),CHAR(10)," "),CHAR(13)," "))))))&gt;0,TRIM(SUBSTITUTE(SUBSTITUTE(SUBSTITUTE(SUBSTITUTE(INDEX(PASTE_ALL,$DF931,$L$15)," "," "),CHAR(9)," "),CHAR(10)," "),CHAR(13)," ")),"")),"")))</f>
        <v/>
      </c>
      <c r="DX931">
        <f>IF($DM931=0,"",IF($L$16=0,"",IFERROR(IF(ISNUMBER(INDEX(PASTE_ALL,$DF931,$L$16)),INDEX(PASTE_ALL,$DF931,$L$16),SUBSTITUTE(SUBSTITUTE(TRIM(SUBSTITUTE(SUBSTITUTE(SUBSTITUTE(SUBSTITUTE(INDEX(PASTE_ALL,$DF931,$L$16)," "," "),CHAR(9)," "),CHAR(10)," "),CHAR(13)," ")),",",""),"%","")),"")))</f>
        <v/>
      </c>
      <c r="DY931">
        <f>IF($DM931=0,"",IFERROR(IF(ISNUMBER($DX931),$DX931,IF($DX931="","",IF(TRIM($DX931)="",0,IF(AND(AND(SUBSTITUTE(SUBSTITUTE(SUBSTITUTE(SUBSTITUTE(SUBSTITUTE(SUBSTITUTE(SUBSTITUTE(SUBSTITUTE(SUBSTITUTE(SUBSTITUTE(SUBSTITUTE(SUBSTITUTE(SUBSTITUTE(SUBSTITUTE(UPPER(TRIM($DX931)),"0",""),"1",""),"2",""),"3",""),"4",""),"5",""),"6",""),"7",""),"8",""),"9",""),".",""),"+",""),"-",""),"E","")="",LEN(SUBSTITUTE(SUBSTITUTE(MID(UPPER(TRIM($DX931)),1+OR(LEFT(UPPER(TRIM($DX931)),1)="+",LEFT(UPPER(TRIM($DX931)),1)="-"),999),"E+","E"),"E-","E"))=LEN(SUBSTITUTE(SUBSTITUTE(SUBSTITUTE(SUBSTITUTE(MID(UPPER(TRIM($DX931)),1+OR(LEFT(UPPER(TRIM($DX931)),1)="+",LEFT(UPPER(TRIM($DX931)),1)="-"),999),"E+","E"),"E-","E"),"+",""),"-","")),LEN(UPPER(TRIM($DX931)))-LEN(SUBSTITUTE(UPPER(TRIM($DX931)),"E",""))&lt;2,LEN(UPPER(TRIM($DX931)))-LEN(SUBSTITUTE(UPPER(TRIM($DX931)),".",""))&lt;2,IFERROR(FIND(".",UPPER(TRIM($DX931))),0)&lt;IFERROR(FIND("E",UPPER(TRIM($DX931))),999)),ISNUMBER(VALUE(TRIM($DX931)))),VALUE(TRIM($DX931)),"")))),""))</f>
        <v/>
      </c>
      <c r="DZ931">
        <f>IF($DM931=0,"",IF($L$17=0,"",IFERROR(IF(ISNUMBER(INDEX(PASTE_ALL,$DF931,$L$17)),INDEX(PASTE_ALL,$DF931,$L$17),SUBSTITUTE(SUBSTITUTE(TRIM(SUBSTITUTE(SUBSTITUTE(SUBSTITUTE(SUBSTITUTE(INDEX(PASTE_ALL,$DF931,$L$17)," "," "),CHAR(9)," "),CHAR(10)," "),CHAR(13)," ")),",",""),"%","")),"")))</f>
        <v/>
      </c>
      <c r="EA931">
        <f>IF($DM931=0,"",IFERROR(IF(ISNUMBER($DZ931),$DZ931,IF($DZ931="","",IF(TRIM($DZ931)="",0,IF(AND(AND(SUBSTITUTE(SUBSTITUTE(SUBSTITUTE(SUBSTITUTE(SUBSTITUTE(SUBSTITUTE(SUBSTITUTE(SUBSTITUTE(SUBSTITUTE(SUBSTITUTE(SUBSTITUTE(SUBSTITUTE(SUBSTITUTE(SUBSTITUTE(UPPER(TRIM($DZ931)),"0",""),"1",""),"2",""),"3",""),"4",""),"5",""),"6",""),"7",""),"8",""),"9",""),".",""),"+",""),"-",""),"E","")="",LEN(SUBSTITUTE(SUBSTITUTE(MID(UPPER(TRIM($DZ931)),1+OR(LEFT(UPPER(TRIM($DZ931)),1)="+",LEFT(UPPER(TRIM($DZ931)),1)="-"),999),"E+","E"),"E-","E"))=LEN(SUBSTITUTE(SUBSTITUTE(SUBSTITUTE(SUBSTITUTE(MID(UPPER(TRIM($DZ931)),1+OR(LEFT(UPPER(TRIM($DZ931)),1)="+",LEFT(UPPER(TRIM($DZ931)),1)="-"),999),"E+","E"),"E-","E"),"+",""),"-","")),LEN(UPPER(TRIM($DZ931)))-LEN(SUBSTITUTE(UPPER(TRIM($DZ931)),"E",""))&lt;2,LEN(UPPER(TRIM($DZ931)))-LEN(SUBSTITUTE(UPPER(TRIM($DZ931)),".",""))&lt;2,IFERROR(FIND(".",UPPER(TRIM($DZ931))),0)&lt;IFERROR(FIND("E",UPPER(TRIM($DZ931))),999)),ISNUMBER(VALUE(TRIM($DZ931)))),VALUE(TRIM($DZ931)),"")))),""))</f>
        <v/>
      </c>
      <c r="EB931">
        <f>IF($DM931=0,"",IF($L$18=0,"",IFERROR(IF(UPPER(TRIM(SUBSTITUTE(SUBSTITUTE(SUBSTITUTE(SUBSTITUTE(INDEX(PASTE_ALL,$DF931,$L$18)," "," "),CHAR(9)," "),CHAR(10)," "),CHAR(13)," ")))="READY","Ready",IF(UPPER(TRIM(SUBSTITUTE(SUBSTITUTE(SUBSTITUTE(SUBSTITUTE(INDEX(PASTE_ALL,$DF931,$L$18)," "," "),CHAR(9)," "),CHAR(10)," "),CHAR(13)," ")))="PM","PM",IF(OR(UPPER(TRIM(SUBSTITUTE(SUBSTITUTE(SUBSTITUTE(SUBSTITUTE(INDEX(PASTE_ALL,$DF931,$L$18)," "," "),CHAR(9)," "),CHAR(10)," "),CHAR(13)," ")))="OT",UPPER(TRIM(SUBSTITUTE(SUBSTITUTE(SUBSTITUTE(SUBSTITUTE(INDEX(PASTE_ALL,$DF931,$L$18)," "," "),CHAR(9)," "),CHAR(10)," "),CHAR(13)," ")))="OVERTIME",UPPER(TRIM(SUBSTITUTE(SUBSTITUTE(SUBSTITUTE(SUBSTITUTE(INDEX(PASTE_ALL,$DF931,$L$18)," "," "),CHAR(9)," "),CHAR(10)," "),CHAR(13)," ")))="TRIAL"),"OT",TRIM(SUBSTITUTE(SUBSTITUTE(SUBSTITUTE(SUBSTITUTE(INDEX(PASTE_ALL,$DF931,$L$18)," "," "),CHAR(9)," "),CHAR(10)," "),CHAR(13)," "))))),"")))</f>
        <v/>
      </c>
      <c r="EC931">
        <f>IF($DM931=0,"",IF($L$19=0,"",IFERROR(IF(ISNUMBER(INDEX(PASTE_ALL,$DF931,$L$19)),INDEX(PASTE_ALL,$DF931,$L$19),TRIM(SUBSTITUTE(SUBSTITUTE(SUBSTITUTE(SUBSTITUTE(INDEX(PASTE_ALL,$DF931,$L$19)," "," "),CHAR(9)," "),CHAR(10)," "),CHAR(13)," "))),"")))</f>
        <v/>
      </c>
      <c r="ED931">
        <f>IF($DM931=0,"",MATCH(1,INDEX(EXACT($DH$5:DH931,$DH931)*$DM$5:DM931,0),0))</f>
        <v/>
      </c>
      <c r="EE931">
        <f>IF($DM931=0,0,IF($ED931=$DE931,1,0))</f>
        <v/>
      </c>
      <c r="EF931">
        <f>EF930+$EE931</f>
        <v/>
      </c>
      <c r="EG931">
        <f>IF($DM931=0,"",INDEX($EF$5:$EF$1003,$ED931))</f>
        <v/>
      </c>
      <c r="EH931">
        <f>IF($DM931=0,"",IF($DO931&lt;&gt;"","",IFERROR(LOOKUP(2,1/(($EG$4:EG930=$EG931)*($DO$4:DO930&lt;&gt;"")),$DO$4:DO930),"")))</f>
        <v/>
      </c>
      <c r="EI931">
        <f>IF($DM931=0,"",IF($DO931&lt;&gt;"",$DO931,$EH931))</f>
        <v/>
      </c>
      <c r="EJ931">
        <f>IF($DM931=0,"",IF($EI931="",0,IF(OR(ISNUMBER($EI931),AND(AND(SUBSTITUTE(SUBSTITUTE(SUBSTITUTE(SUBSTITUTE(SUBSTITUTE(SUBSTITUTE(SUBSTITUTE(SUBSTITUTE(SUBSTITUTE(SUBSTITUTE(SUBSTITUTE(SUBSTITUTE(SUBSTITUTE(SUBSTITUTE(UPPER($EI931),"0",""),"1",""),"2",""),"3",""),"4",""),"5",""),"6",""),"7",""),"8",""),"9",""),".",""),"+",""),"-",""),"E","")="",LEN(SUBSTITUTE(SUBSTITUTE(MID(UPPER($EI931),1+OR(LEFT(UPPER($EI931),1)="+",LEFT(UPPER($EI931),1)="-"),999),"E+","E"),"E-","E"))=LEN(SUBSTITUTE(SUBSTITUTE(SUBSTITUTE(SUBSTITUTE(MID(UPPER($EI931),1+OR(LEFT(UPPER($EI931),1)="+",LEFT(UPPER($EI931),1)="-"),999),"E+","E"),"E-","E"),"+",""),"-","")),LEN(UPPER($EI931))-LEN(SUBSTITUTE(UPPER($EI931),"E",""))&lt;2,LEN(UPPER($EI931))-LEN(SUBSTITUTE(UPPER($EI931),".",""))&lt;2,IFERROR(FIND(".",UPPER($EI931)),0)&lt;IFERROR(FIND("E",UPPER($EI931)),999)),ISNUMBER(VALUE($EI931)))),1,2)))</f>
        <v/>
      </c>
      <c r="EK931">
        <f>IF($DM931=0,"",IF($EJ931=1,IF(ISNUMBER($EI931),$EI931,VALUE($EI931)),IF($EJ931=2,$DE931,0)))</f>
        <v/>
      </c>
      <c r="EL931">
        <f>IF($DM931=0,"",COUNTIF($EG$5:$EG$1003,"&lt;"&amp;$EG931)+SUMPRODUCT(($EG$5:$EG$1003=$EG931)*(($EJ$5:$EJ$1003&lt;$EJ931)+($EJ$5:$EJ$1003=$EJ931)*(($EK$5:$EK$1003&lt;$EK931)+($EK$5:$EK$1003=$EK931)*($DE$5:$DE$1003&lt;$DE931))))+1)</f>
        <v/>
      </c>
      <c r="EM931">
        <f>IF($DM931=0,"",$EL931+$EG931-1)</f>
        <v/>
      </c>
      <c r="EN931">
        <f>IF($DM931=0,0,IFERROR(MATCH(1,INDEX(--(TRIM(SUBSTITUTE(SUBSTITUTE(SUBSTITUTE(SUBSTITUTE(LINES_NAME&amp;""," "," "),CHAR(9)," "),CHAR(10)," "),CHAR(13)," "))=$DH931),0),0),0))</f>
        <v/>
      </c>
      <c r="EO931">
        <f>IF($EN931=0,0,IF(OR(UPPER(TRIM(INDEX(LINES_SCHEDULED,$EN931)&amp;""))="YES",UPPER(TRIM(INDEX(LINES_SCHEDULED,$EN931)&amp;""))="Y",UPPER(TRIM(INDEX(LINES_SCHEDULED,$EN931)&amp;""))="X"),1,0))</f>
        <v/>
      </c>
      <c r="EP931">
        <f>IF($DM931=0,"",IF(COUNTIFS($EG$5:$EG$1003,$EG931,$EB$5:$EB$1003,"Ready")&gt;0,"READY",IF(COUNTIFS($EG$5:$EG$1003,$EG931,$EB$5:$EB$1003,"PM")&gt;0,"PM",IF(COUNTIFS($EG$5:$EG$1003,$EG931,$EB$5:$EB$1003,"OT")&gt;0,"OT",""))))</f>
        <v/>
      </c>
      <c r="EQ931">
        <f>IF($EN931=0,"",UPPER(TRIM(INDEX(LINES_STATUS,$EN931)&amp;"")))</f>
        <v/>
      </c>
      <c r="ER931">
        <f>IF($DM931=0,"",IF(OR($EQ931="READY",$EQ931="PM",$EQ931="OT"),$EQ931,$EP931))</f>
        <v/>
      </c>
      <c r="ES931">
        <f>IF($DM931=0,"",IF(AND($DV931&lt;&gt;"",UPPER($DV931)&lt;&gt;"N"),"allergen",IF(ISNUMBER(SEARCH("oil",$DQ931)),"oil",IF(OR(EXACT($DS931,"A662"),EXACT($DS931,"A624")),"bulk",""))))</f>
        <v/>
      </c>
      <c r="ET931">
        <f>IF($DM931=0,"",IF(OR($EA931="",$EA931=0),"",$EA931/100))</f>
        <v/>
      </c>
      <c r="EU931">
        <f>IF(OR($ET931="",$DY931=""),"",INT($DY931*(1-$ET931)+0.5))</f>
        <v/>
      </c>
    </row>
    <row r="932">
      <c r="DA932" t="n">
        <v>928</v>
      </c>
      <c r="DB932">
        <f>IF($B$37=0,"",IFERROR(TRIM(SUBSTITUTE(SUBSTITUTE(SUBSTITUTE(SUBSTITUTE(INDEX(PASTE_ALL,928,$B$37)," "," "),CHAR(9)," "),CHAR(10)," "),CHAR(13)," ")),""))</f>
        <v/>
      </c>
      <c r="DC932">
        <f>IF(AND(928&gt;HEADER_ROW,UPPER(DB932)="LEGEND"),1,0)</f>
        <v/>
      </c>
      <c r="DE932" t="n">
        <v>928</v>
      </c>
      <c r="DF932">
        <f>HEADER_ROW+$DE932</f>
        <v/>
      </c>
      <c r="DG932">
        <f>IF(AND($DF932&lt;=1000,$DF932&lt;$B$8),1,0)</f>
        <v/>
      </c>
      <c r="DH932">
        <f>IF($DG932=1,IFERROR(INDEX($DB$5:$DB$1004,$DF932),""),"")</f>
        <v/>
      </c>
      <c r="DI932">
        <f>IF(AND($DG932=1,$DH932&lt;&gt;""),IFERROR(SUBSTITUTE(SUBSTITUTE(TRIM(SUBSTITUTE(SUBSTITUTE(SUBSTITUTE(SUBSTITUTE(IFERROR(INDEX(PASTE_ALL,$DF932,1)&amp;"","")&amp;"␟"&amp;IFERROR(INDEX(PASTE_ALL,$DF932,2)&amp;"","")&amp;"␟"&amp;IFERROR(INDEX(PASTE_ALL,$DF932,3)&amp;"","")&amp;"␟"&amp;IFERROR(INDEX(PASTE_ALL,$DF932,4)&amp;"","")&amp;"␟"&amp;IFERROR(INDEX(PASTE_ALL,$DF932,5)&amp;"","")&amp;"␟"&amp;IFERROR(INDEX(PASTE_ALL,$DF932,6)&amp;"","")&amp;"␟"&amp;IFERROR(INDEX(PASTE_ALL,$DF932,7)&amp;"","")&amp;"␟"&amp;IFERROR(INDEX(PASTE_ALL,$DF932,8)&amp;"","")&amp;"␟"&amp;IFERROR(INDEX(PASTE_ALL,$DF932,9)&amp;"","")&amp;"␟"&amp;IFERROR(INDEX(PASTE_ALL,$DF932,10)&amp;"","")&amp;"␟"&amp;IFERROR(INDEX(PASTE_ALL,$DF932,11)&amp;"","")&amp;"␟"&amp;IFERROR(INDEX(PASTE_ALL,$DF932,12)&amp;"","")&amp;"␟"&amp;IFERROR(INDEX(PASTE_ALL,$DF932,13)&amp;"","")&amp;"␟"&amp;IFERROR(INDEX(PASTE_ALL,$DF932,14)&amp;"","")&amp;"␟"&amp;IFERROR(INDEX(PASTE_ALL,$DF932,15)&amp;"","")&amp;"␟"&amp;IFERROR(INDEX(PASTE_ALL,$DF932,16)&amp;"","")&amp;"␟"&amp;IFERROR(INDEX(PASTE_ALL,$DF932,17)&amp;"","")&amp;"␟"&amp;IFERROR(INDEX(PASTE_ALL,$DF932,18)&amp;"","")&amp;"␟"&amp;IFERROR(INDEX(PASTE_ALL,$DF932,19)&amp;"","")&amp;"␟"&amp;IFERROR(INDEX(PASTE_ALL,$DF932,20)&amp;"","")&amp;"␟"&amp;IFERROR(INDEX(PASTE_ALL,$DF932,21)&amp;"","")&amp;"␟"&amp;IFERROR(INDEX(PASTE_ALL,$DF932,22)&amp;"","")&amp;"␟"&amp;IFERROR(INDEX(PASTE_ALL,$DF932,23)&amp;"","")&amp;"␟"&amp;IFERROR(INDEX(PASTE_ALL,$DF932,24)&amp;"","")&amp;"␟"&amp;IFERROR(INDEX(PASTE_ALL,$DF932,25)&amp;"","")&amp;"␟"&amp;IFERROR(INDEX(PASTE_ALL,$DF932,26)&amp;"","")&amp;"␟"&amp;IFERROR(INDEX(PASTE_ALL,$DF932,27)&amp;"","")&amp;"␟"&amp;IFERROR(INDEX(PASTE_ALL,$DF932,28)&amp;"","")&amp;"␟"&amp;IFERROR(INDEX(PASTE_ALL,$DF932,29)&amp;"","")&amp;"␟"&amp;IFERROR(INDEX(PASTE_ALL,$DF932,30)&amp;"","")&amp;"␟"&amp;IFERROR(INDEX(PASTE_ALL,$DF932,31)&amp;"","")&amp;"␟"&amp;IFERROR(INDEX(PASTE_ALL,$DF932,32)&amp;"","")&amp;"␟"&amp;IFERROR(INDEX(PASTE_ALL,$DF932,33)&amp;"","")&amp;"␟"&amp;IFERROR(INDEX(PASTE_ALL,$DF932,34)&amp;"","")&amp;"␟"&amp;IFERROR(INDEX(PASTE_ALL,$DF932,35)&amp;"","")&amp;"␟"&amp;IFERROR(INDEX(PASTE_ALL,$DF932,36)&amp;"","")&amp;"␟"&amp;IFERROR(INDEX(PASTE_ALL,$DF932,37)&amp;"","")&amp;"␟"&amp;IFERROR(INDEX(PASTE_ALL,$DF932,38)&amp;"","")&amp;"␟"&amp;IFERROR(INDEX(PASTE_ALL,$DF932,39)&amp;"","")&amp;"␟"&amp;IFERROR(INDEX(PASTE_ALL,$DF932,40)&amp;"","")&amp;"␟"&amp;IFERROR(INDEX(PASTE_ALL,$DF932,41)&amp;"","")&amp;"␟"&amp;IFERROR(INDEX(PASTE_ALL,$DF932,42)&amp;"","")&amp;"␟"&amp;IFERROR(INDEX(PASTE_ALL,$DF932,43)&amp;"","")&amp;"␟"&amp;IFERROR(INDEX(PASTE_ALL,$DF932,44)&amp;"","")&amp;"␟"&amp;IFERROR(INDEX(PASTE_ALL,$DF932,45)&amp;"","")&amp;"␟"&amp;IFERROR(INDEX(PASTE_ALL,$DF932,46)&amp;"","")&amp;"␟"&amp;IFERROR(INDEX(PASTE_ALL,$DF932,47)&amp;"","")&amp;"␟"&amp;IFERROR(INDEX(PASTE_ALL,$DF932,48)&amp;"","")&amp;"␟"&amp;IFERROR(INDEX(PASTE_ALL,$DF932,49)&amp;"","")&amp;"␟"&amp;IFERROR(INDEX(PASTE_ALL,$DF932,50)&amp;"","")&amp;"␟"&amp;IFERROR(INDEX(PASTE_ALL,$DF932,51)&amp;"","")&amp;"␟"&amp;IFERROR(INDEX(PASTE_ALL,$DF932,52)&amp;"","")&amp;"␟"&amp;IFERROR(INDEX(PASTE_ALL,$DF932,53)&amp;"","")&amp;"␟"&amp;IFERROR(INDEX(PASTE_ALL,$DF932,54)&amp;"","")&amp;"␟"&amp;IFERROR(INDEX(PASTE_ALL,$DF932,55)&amp;"","")&amp;"␟"&amp;IFERROR(INDEX(PASTE_ALL,$DF932,56)&amp;"","")&amp;"␟"&amp;IFERROR(INDEX(PASTE_ALL,$DF932,57)&amp;"","")&amp;"␟"&amp;IFERROR(INDEX(PASTE_ALL,$DF932,58)&amp;"","")&amp;"␟"&amp;IFERROR(INDEX(PASTE_ALL,$DF932,59)&amp;"","")&amp;"␟"&amp;IFERROR(INDEX(PASTE_ALL,$DF932,60)&amp;"","")," "," "),CHAR(9)," "),CHAR(10)," "),CHAR(13)," "))," ␟","␟"),"␟ ","␟"),"#"&amp;$DE932),"")</f>
        <v/>
      </c>
      <c r="DJ932">
        <f>IF($DI932="",0,IF(SUMPRODUCT(--EXACT($DI$4:DI931,$DI932))&gt;0,1,0))</f>
        <v/>
      </c>
      <c r="DK932">
        <f>IF(AND($DI932&lt;&gt;"",$DJ932=0),1,0)</f>
        <v/>
      </c>
      <c r="DL932">
        <f>DL931+$DK932</f>
        <v/>
      </c>
      <c r="DM932">
        <f>IF(AND($DK932=1,$DL932&lt;=600),1,0)</f>
        <v/>
      </c>
      <c r="DN932">
        <f>IF($DM932=0,"",IF($L$6=0,"",IFERROR(IF(ISNUMBER(INDEX(PASTE_ALL,$DF932,$L$6)),INDEX(PASTE_ALL,$DF932,$L$6),TRIM(SUBSTITUTE(SUBSTITUTE(SUBSTITUTE(SUBSTITUTE(INDEX(PASTE_ALL,$DF932,$L$6)," "," "),CHAR(9)," "),CHAR(10)," "),CHAR(13)," "))),"")))</f>
        <v/>
      </c>
      <c r="DO932">
        <f>IF($DM932=0,"",IF($L$7=0,"",IFERROR(IF(ISNUMBER(INDEX(PASTE_ALL,$DF932,$L$7)),INDEX(PASTE_ALL,$DF932,$L$7),TRIM(SUBSTITUTE(SUBSTITUTE(SUBSTITUTE(SUBSTITUTE(INDEX(PASTE_ALL,$DF932,$L$7)," "," "),CHAR(9)," "),CHAR(10)," "),CHAR(13)," "))),"")))</f>
        <v/>
      </c>
      <c r="DP932">
        <f>IF($DM932=0,"",IF($L$8=0,"",IFERROR(IF(ISNUMBER(INDEX(PASTE_ALL,$DF932,$L$8)),INDEX(PASTE_ALL,$DF932,$L$8),TRIM(SUBSTITUTE(SUBSTITUTE(SUBSTITUTE(SUBSTITUTE(INDEX(PASTE_ALL,$DF932,$L$8)," "," "),CHAR(9)," "),CHAR(10)," "),CHAR(13)," "))),"")))</f>
        <v/>
      </c>
      <c r="DQ932">
        <f>IF($DM932=0,"",IF($L$9=0,"",IFERROR(IF(ISNUMBER(INDEX(PASTE_ALL,$DF932,$L$9)),INDEX(PASTE_ALL,$DF932,$L$9),TRIM(SUBSTITUTE(SUBSTITUTE(SUBSTITUTE(SUBSTITUTE(INDEX(PASTE_ALL,$DF932,$L$9)," "," "),CHAR(9)," "),CHAR(10)," "),CHAR(13)," "))),"")))</f>
        <v/>
      </c>
      <c r="DR932">
        <f>IF($DM932=0,"",IF($L$10=0,"",IFERROR(IF(ISNUMBER(INDEX(PASTE_ALL,$DF932,$L$10)),INDEX(PASTE_ALL,$DF932,$L$10),TRIM(SUBSTITUTE(SUBSTITUTE(SUBSTITUTE(SUBSTITUTE(INDEX(PASTE_ALL,$DF932,$L$10)," "," "),CHAR(9)," "),CHAR(10)," "),CHAR(13)," "))),"")))</f>
        <v/>
      </c>
      <c r="DS932">
        <f>IF($DM932=0,"",IF($L$11=0,"",IFERROR(IF(ISNUMBER(INDEX(PASTE_ALL,$DF932,$L$11)),INDEX(PASTE_ALL,$DF932,$L$11),TRIM(SUBSTITUTE(SUBSTITUTE(SUBSTITUTE(SUBSTITUTE(INDEX(PASTE_ALL,$DF932,$L$11)," "," "),CHAR(9)," "),CHAR(10)," "),CHAR(13)," "))),"")))</f>
        <v/>
      </c>
      <c r="DT932">
        <f>IF($DM932=0,"",IF($L$12=0,"",IFERROR(IF(ISNUMBER(INDEX(PASTE_ALL,$DF932,$L$12)),INDEX(PASTE_ALL,$DF932,$L$12),TRIM(SUBSTITUTE(SUBSTITUTE(SUBSTITUTE(SUBSTITUTE(INDEX(PASTE_ALL,$DF932,$L$12)," "," "),CHAR(9)," "),CHAR(10)," "),CHAR(13)," "))),"")))</f>
        <v/>
      </c>
      <c r="DU932">
        <f>IF($DM932=0,"",IF($L$13=0,"",IFERROR(IF(ISNUMBER(INDEX(PASTE_ALL,$DF932,$L$13)),INDEX(PASTE_ALL,$DF932,$L$13),TRIM(SUBSTITUTE(SUBSTITUTE(SUBSTITUTE(SUBSTITUTE(INDEX(PASTE_ALL,$DF932,$L$13)," "," "),CHAR(9)," "),CHAR(10)," "),CHAR(13)," "))),"")))</f>
        <v/>
      </c>
      <c r="DV932">
        <f>IF($DM932=0,"",IF($L$14=0,"",IFERROR(IF(ISNUMBER(INDEX(PASTE_ALL,$DF932,$L$14)),INDEX(PASTE_ALL,$DF932,$L$14),TRIM(SUBSTITUTE(SUBSTITUTE(SUBSTITUTE(SUBSTITUTE(INDEX(PASTE_ALL,$DF932,$L$14)," "," "),CHAR(9)," "),CHAR(10)," "),CHAR(13)," "))),"")))</f>
        <v/>
      </c>
      <c r="DW932">
        <f>IF($DM932=0,"",IF($L$15=0,"",IFERROR(IF(ISNUMBER(INDEX(PASTE_ALL,$DF932,$L$15)),INDEX(PASTE_ALL,$DF932,$L$15),IF(SUMPRODUCT(--ISNUMBER(FIND({"A","B","C","D","E","F","G","H","I","J","K","L","M","N","O","P","Q","R","S","T","U","V","W","X","Y","Z","0","1","2","3","4","5","6","7","8","9"},UPPER(TRIM(SUBSTITUTE(SUBSTITUTE(SUBSTITUTE(SUBSTITUTE(INDEX(PASTE_ALL,$DF932,$L$15)," "," "),CHAR(9)," "),CHAR(10)," "),CHAR(13)," "))))))&gt;0,TRIM(SUBSTITUTE(SUBSTITUTE(SUBSTITUTE(SUBSTITUTE(INDEX(PASTE_ALL,$DF932,$L$15)," "," "),CHAR(9)," "),CHAR(10)," "),CHAR(13)," ")),"")),"")))</f>
        <v/>
      </c>
      <c r="DX932">
        <f>IF($DM932=0,"",IF($L$16=0,"",IFERROR(IF(ISNUMBER(INDEX(PASTE_ALL,$DF932,$L$16)),INDEX(PASTE_ALL,$DF932,$L$16),SUBSTITUTE(SUBSTITUTE(TRIM(SUBSTITUTE(SUBSTITUTE(SUBSTITUTE(SUBSTITUTE(INDEX(PASTE_ALL,$DF932,$L$16)," "," "),CHAR(9)," "),CHAR(10)," "),CHAR(13)," ")),",",""),"%","")),"")))</f>
        <v/>
      </c>
      <c r="DY932">
        <f>IF($DM932=0,"",IFERROR(IF(ISNUMBER($DX932),$DX932,IF($DX932="","",IF(TRIM($DX932)="",0,IF(AND(AND(SUBSTITUTE(SUBSTITUTE(SUBSTITUTE(SUBSTITUTE(SUBSTITUTE(SUBSTITUTE(SUBSTITUTE(SUBSTITUTE(SUBSTITUTE(SUBSTITUTE(SUBSTITUTE(SUBSTITUTE(SUBSTITUTE(SUBSTITUTE(UPPER(TRIM($DX932)),"0",""),"1",""),"2",""),"3",""),"4",""),"5",""),"6",""),"7",""),"8",""),"9",""),".",""),"+",""),"-",""),"E","")="",LEN(SUBSTITUTE(SUBSTITUTE(MID(UPPER(TRIM($DX932)),1+OR(LEFT(UPPER(TRIM($DX932)),1)="+",LEFT(UPPER(TRIM($DX932)),1)="-"),999),"E+","E"),"E-","E"))=LEN(SUBSTITUTE(SUBSTITUTE(SUBSTITUTE(SUBSTITUTE(MID(UPPER(TRIM($DX932)),1+OR(LEFT(UPPER(TRIM($DX932)),1)="+",LEFT(UPPER(TRIM($DX932)),1)="-"),999),"E+","E"),"E-","E"),"+",""),"-","")),LEN(UPPER(TRIM($DX932)))-LEN(SUBSTITUTE(UPPER(TRIM($DX932)),"E",""))&lt;2,LEN(UPPER(TRIM($DX932)))-LEN(SUBSTITUTE(UPPER(TRIM($DX932)),".",""))&lt;2,IFERROR(FIND(".",UPPER(TRIM($DX932))),0)&lt;IFERROR(FIND("E",UPPER(TRIM($DX932))),999)),ISNUMBER(VALUE(TRIM($DX932)))),VALUE(TRIM($DX932)),"")))),""))</f>
        <v/>
      </c>
      <c r="DZ932">
        <f>IF($DM932=0,"",IF($L$17=0,"",IFERROR(IF(ISNUMBER(INDEX(PASTE_ALL,$DF932,$L$17)),INDEX(PASTE_ALL,$DF932,$L$17),SUBSTITUTE(SUBSTITUTE(TRIM(SUBSTITUTE(SUBSTITUTE(SUBSTITUTE(SUBSTITUTE(INDEX(PASTE_ALL,$DF932,$L$17)," "," "),CHAR(9)," "),CHAR(10)," "),CHAR(13)," ")),",",""),"%","")),"")))</f>
        <v/>
      </c>
      <c r="EA932">
        <f>IF($DM932=0,"",IFERROR(IF(ISNUMBER($DZ932),$DZ932,IF($DZ932="","",IF(TRIM($DZ932)="",0,IF(AND(AND(SUBSTITUTE(SUBSTITUTE(SUBSTITUTE(SUBSTITUTE(SUBSTITUTE(SUBSTITUTE(SUBSTITUTE(SUBSTITUTE(SUBSTITUTE(SUBSTITUTE(SUBSTITUTE(SUBSTITUTE(SUBSTITUTE(SUBSTITUTE(UPPER(TRIM($DZ932)),"0",""),"1",""),"2",""),"3",""),"4",""),"5",""),"6",""),"7",""),"8",""),"9",""),".",""),"+",""),"-",""),"E","")="",LEN(SUBSTITUTE(SUBSTITUTE(MID(UPPER(TRIM($DZ932)),1+OR(LEFT(UPPER(TRIM($DZ932)),1)="+",LEFT(UPPER(TRIM($DZ932)),1)="-"),999),"E+","E"),"E-","E"))=LEN(SUBSTITUTE(SUBSTITUTE(SUBSTITUTE(SUBSTITUTE(MID(UPPER(TRIM($DZ932)),1+OR(LEFT(UPPER(TRIM($DZ932)),1)="+",LEFT(UPPER(TRIM($DZ932)),1)="-"),999),"E+","E"),"E-","E"),"+",""),"-","")),LEN(UPPER(TRIM($DZ932)))-LEN(SUBSTITUTE(UPPER(TRIM($DZ932)),"E",""))&lt;2,LEN(UPPER(TRIM($DZ932)))-LEN(SUBSTITUTE(UPPER(TRIM($DZ932)),".",""))&lt;2,IFERROR(FIND(".",UPPER(TRIM($DZ932))),0)&lt;IFERROR(FIND("E",UPPER(TRIM($DZ932))),999)),ISNUMBER(VALUE(TRIM($DZ932)))),VALUE(TRIM($DZ932)),"")))),""))</f>
        <v/>
      </c>
      <c r="EB932">
        <f>IF($DM932=0,"",IF($L$18=0,"",IFERROR(IF(UPPER(TRIM(SUBSTITUTE(SUBSTITUTE(SUBSTITUTE(SUBSTITUTE(INDEX(PASTE_ALL,$DF932,$L$18)," "," "),CHAR(9)," "),CHAR(10)," "),CHAR(13)," ")))="READY","Ready",IF(UPPER(TRIM(SUBSTITUTE(SUBSTITUTE(SUBSTITUTE(SUBSTITUTE(INDEX(PASTE_ALL,$DF932,$L$18)," "," "),CHAR(9)," "),CHAR(10)," "),CHAR(13)," ")))="PM","PM",IF(OR(UPPER(TRIM(SUBSTITUTE(SUBSTITUTE(SUBSTITUTE(SUBSTITUTE(INDEX(PASTE_ALL,$DF932,$L$18)," "," "),CHAR(9)," "),CHAR(10)," "),CHAR(13)," ")))="OT",UPPER(TRIM(SUBSTITUTE(SUBSTITUTE(SUBSTITUTE(SUBSTITUTE(INDEX(PASTE_ALL,$DF932,$L$18)," "," "),CHAR(9)," "),CHAR(10)," "),CHAR(13)," ")))="OVERTIME",UPPER(TRIM(SUBSTITUTE(SUBSTITUTE(SUBSTITUTE(SUBSTITUTE(INDEX(PASTE_ALL,$DF932,$L$18)," "," "),CHAR(9)," "),CHAR(10)," "),CHAR(13)," ")))="TRIAL"),"OT",TRIM(SUBSTITUTE(SUBSTITUTE(SUBSTITUTE(SUBSTITUTE(INDEX(PASTE_ALL,$DF932,$L$18)," "," "),CHAR(9)," "),CHAR(10)," "),CHAR(13)," "))))),"")))</f>
        <v/>
      </c>
      <c r="EC932">
        <f>IF($DM932=0,"",IF($L$19=0,"",IFERROR(IF(ISNUMBER(INDEX(PASTE_ALL,$DF932,$L$19)),INDEX(PASTE_ALL,$DF932,$L$19),TRIM(SUBSTITUTE(SUBSTITUTE(SUBSTITUTE(SUBSTITUTE(INDEX(PASTE_ALL,$DF932,$L$19)," "," "),CHAR(9)," "),CHAR(10)," "),CHAR(13)," "))),"")))</f>
        <v/>
      </c>
      <c r="ED932">
        <f>IF($DM932=0,"",MATCH(1,INDEX(EXACT($DH$5:DH932,$DH932)*$DM$5:DM932,0),0))</f>
        <v/>
      </c>
      <c r="EE932">
        <f>IF($DM932=0,0,IF($ED932=$DE932,1,0))</f>
        <v/>
      </c>
      <c r="EF932">
        <f>EF931+$EE932</f>
        <v/>
      </c>
      <c r="EG932">
        <f>IF($DM932=0,"",INDEX($EF$5:$EF$1003,$ED932))</f>
        <v/>
      </c>
      <c r="EH932">
        <f>IF($DM932=0,"",IF($DO932&lt;&gt;"","",IFERROR(LOOKUP(2,1/(($EG$4:EG931=$EG932)*($DO$4:DO931&lt;&gt;"")),$DO$4:DO931),"")))</f>
        <v/>
      </c>
      <c r="EI932">
        <f>IF($DM932=0,"",IF($DO932&lt;&gt;"",$DO932,$EH932))</f>
        <v/>
      </c>
      <c r="EJ932">
        <f>IF($DM932=0,"",IF($EI932="",0,IF(OR(ISNUMBER($EI932),AND(AND(SUBSTITUTE(SUBSTITUTE(SUBSTITUTE(SUBSTITUTE(SUBSTITUTE(SUBSTITUTE(SUBSTITUTE(SUBSTITUTE(SUBSTITUTE(SUBSTITUTE(SUBSTITUTE(SUBSTITUTE(SUBSTITUTE(SUBSTITUTE(UPPER($EI932),"0",""),"1",""),"2",""),"3",""),"4",""),"5",""),"6",""),"7",""),"8",""),"9",""),".",""),"+",""),"-",""),"E","")="",LEN(SUBSTITUTE(SUBSTITUTE(MID(UPPER($EI932),1+OR(LEFT(UPPER($EI932),1)="+",LEFT(UPPER($EI932),1)="-"),999),"E+","E"),"E-","E"))=LEN(SUBSTITUTE(SUBSTITUTE(SUBSTITUTE(SUBSTITUTE(MID(UPPER($EI932),1+OR(LEFT(UPPER($EI932),1)="+",LEFT(UPPER($EI932),1)="-"),999),"E+","E"),"E-","E"),"+",""),"-","")),LEN(UPPER($EI932))-LEN(SUBSTITUTE(UPPER($EI932),"E",""))&lt;2,LEN(UPPER($EI932))-LEN(SUBSTITUTE(UPPER($EI932),".",""))&lt;2,IFERROR(FIND(".",UPPER($EI932)),0)&lt;IFERROR(FIND("E",UPPER($EI932)),999)),ISNUMBER(VALUE($EI932)))),1,2)))</f>
        <v/>
      </c>
      <c r="EK932">
        <f>IF($DM932=0,"",IF($EJ932=1,IF(ISNUMBER($EI932),$EI932,VALUE($EI932)),IF($EJ932=2,$DE932,0)))</f>
        <v/>
      </c>
      <c r="EL932">
        <f>IF($DM932=0,"",COUNTIF($EG$5:$EG$1003,"&lt;"&amp;$EG932)+SUMPRODUCT(($EG$5:$EG$1003=$EG932)*(($EJ$5:$EJ$1003&lt;$EJ932)+($EJ$5:$EJ$1003=$EJ932)*(($EK$5:$EK$1003&lt;$EK932)+($EK$5:$EK$1003=$EK932)*($DE$5:$DE$1003&lt;$DE932))))+1)</f>
        <v/>
      </c>
      <c r="EM932">
        <f>IF($DM932=0,"",$EL932+$EG932-1)</f>
        <v/>
      </c>
      <c r="EN932">
        <f>IF($DM932=0,0,IFERROR(MATCH(1,INDEX(--(TRIM(SUBSTITUTE(SUBSTITUTE(SUBSTITUTE(SUBSTITUTE(LINES_NAME&amp;""," "," "),CHAR(9)," "),CHAR(10)," "),CHAR(13)," "))=$DH932),0),0),0))</f>
        <v/>
      </c>
      <c r="EO932">
        <f>IF($EN932=0,0,IF(OR(UPPER(TRIM(INDEX(LINES_SCHEDULED,$EN932)&amp;""))="YES",UPPER(TRIM(INDEX(LINES_SCHEDULED,$EN932)&amp;""))="Y",UPPER(TRIM(INDEX(LINES_SCHEDULED,$EN932)&amp;""))="X"),1,0))</f>
        <v/>
      </c>
      <c r="EP932">
        <f>IF($DM932=0,"",IF(COUNTIFS($EG$5:$EG$1003,$EG932,$EB$5:$EB$1003,"Ready")&gt;0,"READY",IF(COUNTIFS($EG$5:$EG$1003,$EG932,$EB$5:$EB$1003,"PM")&gt;0,"PM",IF(COUNTIFS($EG$5:$EG$1003,$EG932,$EB$5:$EB$1003,"OT")&gt;0,"OT",""))))</f>
        <v/>
      </c>
      <c r="EQ932">
        <f>IF($EN932=0,"",UPPER(TRIM(INDEX(LINES_STATUS,$EN932)&amp;"")))</f>
        <v/>
      </c>
      <c r="ER932">
        <f>IF($DM932=0,"",IF(OR($EQ932="READY",$EQ932="PM",$EQ932="OT"),$EQ932,$EP932))</f>
        <v/>
      </c>
      <c r="ES932">
        <f>IF($DM932=0,"",IF(AND($DV932&lt;&gt;"",UPPER($DV932)&lt;&gt;"N"),"allergen",IF(ISNUMBER(SEARCH("oil",$DQ932)),"oil",IF(OR(EXACT($DS932,"A662"),EXACT($DS932,"A624")),"bulk",""))))</f>
        <v/>
      </c>
      <c r="ET932">
        <f>IF($DM932=0,"",IF(OR($EA932="",$EA932=0),"",$EA932/100))</f>
        <v/>
      </c>
      <c r="EU932">
        <f>IF(OR($ET932="",$DY932=""),"",INT($DY932*(1-$ET932)+0.5))</f>
        <v/>
      </c>
    </row>
    <row r="933">
      <c r="DA933" t="n">
        <v>929</v>
      </c>
      <c r="DB933">
        <f>IF($B$37=0,"",IFERROR(TRIM(SUBSTITUTE(SUBSTITUTE(SUBSTITUTE(SUBSTITUTE(INDEX(PASTE_ALL,929,$B$37)," "," "),CHAR(9)," "),CHAR(10)," "),CHAR(13)," ")),""))</f>
        <v/>
      </c>
      <c r="DC933">
        <f>IF(AND(929&gt;HEADER_ROW,UPPER(DB933)="LEGEND"),1,0)</f>
        <v/>
      </c>
      <c r="DE933" t="n">
        <v>929</v>
      </c>
      <c r="DF933">
        <f>HEADER_ROW+$DE933</f>
        <v/>
      </c>
      <c r="DG933">
        <f>IF(AND($DF933&lt;=1000,$DF933&lt;$B$8),1,0)</f>
        <v/>
      </c>
      <c r="DH933">
        <f>IF($DG933=1,IFERROR(INDEX($DB$5:$DB$1004,$DF933),""),"")</f>
        <v/>
      </c>
      <c r="DI933">
        <f>IF(AND($DG933=1,$DH933&lt;&gt;""),IFERROR(SUBSTITUTE(SUBSTITUTE(TRIM(SUBSTITUTE(SUBSTITUTE(SUBSTITUTE(SUBSTITUTE(IFERROR(INDEX(PASTE_ALL,$DF933,1)&amp;"","")&amp;"␟"&amp;IFERROR(INDEX(PASTE_ALL,$DF933,2)&amp;"","")&amp;"␟"&amp;IFERROR(INDEX(PASTE_ALL,$DF933,3)&amp;"","")&amp;"␟"&amp;IFERROR(INDEX(PASTE_ALL,$DF933,4)&amp;"","")&amp;"␟"&amp;IFERROR(INDEX(PASTE_ALL,$DF933,5)&amp;"","")&amp;"␟"&amp;IFERROR(INDEX(PASTE_ALL,$DF933,6)&amp;"","")&amp;"␟"&amp;IFERROR(INDEX(PASTE_ALL,$DF933,7)&amp;"","")&amp;"␟"&amp;IFERROR(INDEX(PASTE_ALL,$DF933,8)&amp;"","")&amp;"␟"&amp;IFERROR(INDEX(PASTE_ALL,$DF933,9)&amp;"","")&amp;"␟"&amp;IFERROR(INDEX(PASTE_ALL,$DF933,10)&amp;"","")&amp;"␟"&amp;IFERROR(INDEX(PASTE_ALL,$DF933,11)&amp;"","")&amp;"␟"&amp;IFERROR(INDEX(PASTE_ALL,$DF933,12)&amp;"","")&amp;"␟"&amp;IFERROR(INDEX(PASTE_ALL,$DF933,13)&amp;"","")&amp;"␟"&amp;IFERROR(INDEX(PASTE_ALL,$DF933,14)&amp;"","")&amp;"␟"&amp;IFERROR(INDEX(PASTE_ALL,$DF933,15)&amp;"","")&amp;"␟"&amp;IFERROR(INDEX(PASTE_ALL,$DF933,16)&amp;"","")&amp;"␟"&amp;IFERROR(INDEX(PASTE_ALL,$DF933,17)&amp;"","")&amp;"␟"&amp;IFERROR(INDEX(PASTE_ALL,$DF933,18)&amp;"","")&amp;"␟"&amp;IFERROR(INDEX(PASTE_ALL,$DF933,19)&amp;"","")&amp;"␟"&amp;IFERROR(INDEX(PASTE_ALL,$DF933,20)&amp;"","")&amp;"␟"&amp;IFERROR(INDEX(PASTE_ALL,$DF933,21)&amp;"","")&amp;"␟"&amp;IFERROR(INDEX(PASTE_ALL,$DF933,22)&amp;"","")&amp;"␟"&amp;IFERROR(INDEX(PASTE_ALL,$DF933,23)&amp;"","")&amp;"␟"&amp;IFERROR(INDEX(PASTE_ALL,$DF933,24)&amp;"","")&amp;"␟"&amp;IFERROR(INDEX(PASTE_ALL,$DF933,25)&amp;"","")&amp;"␟"&amp;IFERROR(INDEX(PASTE_ALL,$DF933,26)&amp;"","")&amp;"␟"&amp;IFERROR(INDEX(PASTE_ALL,$DF933,27)&amp;"","")&amp;"␟"&amp;IFERROR(INDEX(PASTE_ALL,$DF933,28)&amp;"","")&amp;"␟"&amp;IFERROR(INDEX(PASTE_ALL,$DF933,29)&amp;"","")&amp;"␟"&amp;IFERROR(INDEX(PASTE_ALL,$DF933,30)&amp;"","")&amp;"␟"&amp;IFERROR(INDEX(PASTE_ALL,$DF933,31)&amp;"","")&amp;"␟"&amp;IFERROR(INDEX(PASTE_ALL,$DF933,32)&amp;"","")&amp;"␟"&amp;IFERROR(INDEX(PASTE_ALL,$DF933,33)&amp;"","")&amp;"␟"&amp;IFERROR(INDEX(PASTE_ALL,$DF933,34)&amp;"","")&amp;"␟"&amp;IFERROR(INDEX(PASTE_ALL,$DF933,35)&amp;"","")&amp;"␟"&amp;IFERROR(INDEX(PASTE_ALL,$DF933,36)&amp;"","")&amp;"␟"&amp;IFERROR(INDEX(PASTE_ALL,$DF933,37)&amp;"","")&amp;"␟"&amp;IFERROR(INDEX(PASTE_ALL,$DF933,38)&amp;"","")&amp;"␟"&amp;IFERROR(INDEX(PASTE_ALL,$DF933,39)&amp;"","")&amp;"␟"&amp;IFERROR(INDEX(PASTE_ALL,$DF933,40)&amp;"","")&amp;"␟"&amp;IFERROR(INDEX(PASTE_ALL,$DF933,41)&amp;"","")&amp;"␟"&amp;IFERROR(INDEX(PASTE_ALL,$DF933,42)&amp;"","")&amp;"␟"&amp;IFERROR(INDEX(PASTE_ALL,$DF933,43)&amp;"","")&amp;"␟"&amp;IFERROR(INDEX(PASTE_ALL,$DF933,44)&amp;"","")&amp;"␟"&amp;IFERROR(INDEX(PASTE_ALL,$DF933,45)&amp;"","")&amp;"␟"&amp;IFERROR(INDEX(PASTE_ALL,$DF933,46)&amp;"","")&amp;"␟"&amp;IFERROR(INDEX(PASTE_ALL,$DF933,47)&amp;"","")&amp;"␟"&amp;IFERROR(INDEX(PASTE_ALL,$DF933,48)&amp;"","")&amp;"␟"&amp;IFERROR(INDEX(PASTE_ALL,$DF933,49)&amp;"","")&amp;"␟"&amp;IFERROR(INDEX(PASTE_ALL,$DF933,50)&amp;"","")&amp;"␟"&amp;IFERROR(INDEX(PASTE_ALL,$DF933,51)&amp;"","")&amp;"␟"&amp;IFERROR(INDEX(PASTE_ALL,$DF933,52)&amp;"","")&amp;"␟"&amp;IFERROR(INDEX(PASTE_ALL,$DF933,53)&amp;"","")&amp;"␟"&amp;IFERROR(INDEX(PASTE_ALL,$DF933,54)&amp;"","")&amp;"␟"&amp;IFERROR(INDEX(PASTE_ALL,$DF933,55)&amp;"","")&amp;"␟"&amp;IFERROR(INDEX(PASTE_ALL,$DF933,56)&amp;"","")&amp;"␟"&amp;IFERROR(INDEX(PASTE_ALL,$DF933,57)&amp;"","")&amp;"␟"&amp;IFERROR(INDEX(PASTE_ALL,$DF933,58)&amp;"","")&amp;"␟"&amp;IFERROR(INDEX(PASTE_ALL,$DF933,59)&amp;"","")&amp;"␟"&amp;IFERROR(INDEX(PASTE_ALL,$DF933,60)&amp;"","")," "," "),CHAR(9)," "),CHAR(10)," "),CHAR(13)," "))," ␟","␟"),"␟ ","␟"),"#"&amp;$DE933),"")</f>
        <v/>
      </c>
      <c r="DJ933">
        <f>IF($DI933="",0,IF(SUMPRODUCT(--EXACT($DI$4:DI932,$DI933))&gt;0,1,0))</f>
        <v/>
      </c>
      <c r="DK933">
        <f>IF(AND($DI933&lt;&gt;"",$DJ933=0),1,0)</f>
        <v/>
      </c>
      <c r="DL933">
        <f>DL932+$DK933</f>
        <v/>
      </c>
      <c r="DM933">
        <f>IF(AND($DK933=1,$DL933&lt;=600),1,0)</f>
        <v/>
      </c>
      <c r="DN933">
        <f>IF($DM933=0,"",IF($L$6=0,"",IFERROR(IF(ISNUMBER(INDEX(PASTE_ALL,$DF933,$L$6)),INDEX(PASTE_ALL,$DF933,$L$6),TRIM(SUBSTITUTE(SUBSTITUTE(SUBSTITUTE(SUBSTITUTE(INDEX(PASTE_ALL,$DF933,$L$6)," "," "),CHAR(9)," "),CHAR(10)," "),CHAR(13)," "))),"")))</f>
        <v/>
      </c>
      <c r="DO933">
        <f>IF($DM933=0,"",IF($L$7=0,"",IFERROR(IF(ISNUMBER(INDEX(PASTE_ALL,$DF933,$L$7)),INDEX(PASTE_ALL,$DF933,$L$7),TRIM(SUBSTITUTE(SUBSTITUTE(SUBSTITUTE(SUBSTITUTE(INDEX(PASTE_ALL,$DF933,$L$7)," "," "),CHAR(9)," "),CHAR(10)," "),CHAR(13)," "))),"")))</f>
        <v/>
      </c>
      <c r="DP933">
        <f>IF($DM933=0,"",IF($L$8=0,"",IFERROR(IF(ISNUMBER(INDEX(PASTE_ALL,$DF933,$L$8)),INDEX(PASTE_ALL,$DF933,$L$8),TRIM(SUBSTITUTE(SUBSTITUTE(SUBSTITUTE(SUBSTITUTE(INDEX(PASTE_ALL,$DF933,$L$8)," "," "),CHAR(9)," "),CHAR(10)," "),CHAR(13)," "))),"")))</f>
        <v/>
      </c>
      <c r="DQ933">
        <f>IF($DM933=0,"",IF($L$9=0,"",IFERROR(IF(ISNUMBER(INDEX(PASTE_ALL,$DF933,$L$9)),INDEX(PASTE_ALL,$DF933,$L$9),TRIM(SUBSTITUTE(SUBSTITUTE(SUBSTITUTE(SUBSTITUTE(INDEX(PASTE_ALL,$DF933,$L$9)," "," "),CHAR(9)," "),CHAR(10)," "),CHAR(13)," "))),"")))</f>
        <v/>
      </c>
      <c r="DR933">
        <f>IF($DM933=0,"",IF($L$10=0,"",IFERROR(IF(ISNUMBER(INDEX(PASTE_ALL,$DF933,$L$10)),INDEX(PASTE_ALL,$DF933,$L$10),TRIM(SUBSTITUTE(SUBSTITUTE(SUBSTITUTE(SUBSTITUTE(INDEX(PASTE_ALL,$DF933,$L$10)," "," "),CHAR(9)," "),CHAR(10)," "),CHAR(13)," "))),"")))</f>
        <v/>
      </c>
      <c r="DS933">
        <f>IF($DM933=0,"",IF($L$11=0,"",IFERROR(IF(ISNUMBER(INDEX(PASTE_ALL,$DF933,$L$11)),INDEX(PASTE_ALL,$DF933,$L$11),TRIM(SUBSTITUTE(SUBSTITUTE(SUBSTITUTE(SUBSTITUTE(INDEX(PASTE_ALL,$DF933,$L$11)," "," "),CHAR(9)," "),CHAR(10)," "),CHAR(13)," "))),"")))</f>
        <v/>
      </c>
      <c r="DT933">
        <f>IF($DM933=0,"",IF($L$12=0,"",IFERROR(IF(ISNUMBER(INDEX(PASTE_ALL,$DF933,$L$12)),INDEX(PASTE_ALL,$DF933,$L$12),TRIM(SUBSTITUTE(SUBSTITUTE(SUBSTITUTE(SUBSTITUTE(INDEX(PASTE_ALL,$DF933,$L$12)," "," "),CHAR(9)," "),CHAR(10)," "),CHAR(13)," "))),"")))</f>
        <v/>
      </c>
      <c r="DU933">
        <f>IF($DM933=0,"",IF($L$13=0,"",IFERROR(IF(ISNUMBER(INDEX(PASTE_ALL,$DF933,$L$13)),INDEX(PASTE_ALL,$DF933,$L$13),TRIM(SUBSTITUTE(SUBSTITUTE(SUBSTITUTE(SUBSTITUTE(INDEX(PASTE_ALL,$DF933,$L$13)," "," "),CHAR(9)," "),CHAR(10)," "),CHAR(13)," "))),"")))</f>
        <v/>
      </c>
      <c r="DV933">
        <f>IF($DM933=0,"",IF($L$14=0,"",IFERROR(IF(ISNUMBER(INDEX(PASTE_ALL,$DF933,$L$14)),INDEX(PASTE_ALL,$DF933,$L$14),TRIM(SUBSTITUTE(SUBSTITUTE(SUBSTITUTE(SUBSTITUTE(INDEX(PASTE_ALL,$DF933,$L$14)," "," "),CHAR(9)," "),CHAR(10)," "),CHAR(13)," "))),"")))</f>
        <v/>
      </c>
      <c r="DW933">
        <f>IF($DM933=0,"",IF($L$15=0,"",IFERROR(IF(ISNUMBER(INDEX(PASTE_ALL,$DF933,$L$15)),INDEX(PASTE_ALL,$DF933,$L$15),IF(SUMPRODUCT(--ISNUMBER(FIND({"A","B","C","D","E","F","G","H","I","J","K","L","M","N","O","P","Q","R","S","T","U","V","W","X","Y","Z","0","1","2","3","4","5","6","7","8","9"},UPPER(TRIM(SUBSTITUTE(SUBSTITUTE(SUBSTITUTE(SUBSTITUTE(INDEX(PASTE_ALL,$DF933,$L$15)," "," "),CHAR(9)," "),CHAR(10)," "),CHAR(13)," "))))))&gt;0,TRIM(SUBSTITUTE(SUBSTITUTE(SUBSTITUTE(SUBSTITUTE(INDEX(PASTE_ALL,$DF933,$L$15)," "," "),CHAR(9)," "),CHAR(10)," "),CHAR(13)," ")),"")),"")))</f>
        <v/>
      </c>
      <c r="DX933">
        <f>IF($DM933=0,"",IF($L$16=0,"",IFERROR(IF(ISNUMBER(INDEX(PASTE_ALL,$DF933,$L$16)),INDEX(PASTE_ALL,$DF933,$L$16),SUBSTITUTE(SUBSTITUTE(TRIM(SUBSTITUTE(SUBSTITUTE(SUBSTITUTE(SUBSTITUTE(INDEX(PASTE_ALL,$DF933,$L$16)," "," "),CHAR(9)," "),CHAR(10)," "),CHAR(13)," ")),",",""),"%","")),"")))</f>
        <v/>
      </c>
      <c r="DY933">
        <f>IF($DM933=0,"",IFERROR(IF(ISNUMBER($DX933),$DX933,IF($DX933="","",IF(TRIM($DX933)="",0,IF(AND(AND(SUBSTITUTE(SUBSTITUTE(SUBSTITUTE(SUBSTITUTE(SUBSTITUTE(SUBSTITUTE(SUBSTITUTE(SUBSTITUTE(SUBSTITUTE(SUBSTITUTE(SUBSTITUTE(SUBSTITUTE(SUBSTITUTE(SUBSTITUTE(UPPER(TRIM($DX933)),"0",""),"1",""),"2",""),"3",""),"4",""),"5",""),"6",""),"7",""),"8",""),"9",""),".",""),"+",""),"-",""),"E","")="",LEN(SUBSTITUTE(SUBSTITUTE(MID(UPPER(TRIM($DX933)),1+OR(LEFT(UPPER(TRIM($DX933)),1)="+",LEFT(UPPER(TRIM($DX933)),1)="-"),999),"E+","E"),"E-","E"))=LEN(SUBSTITUTE(SUBSTITUTE(SUBSTITUTE(SUBSTITUTE(MID(UPPER(TRIM($DX933)),1+OR(LEFT(UPPER(TRIM($DX933)),1)="+",LEFT(UPPER(TRIM($DX933)),1)="-"),999),"E+","E"),"E-","E"),"+",""),"-","")),LEN(UPPER(TRIM($DX933)))-LEN(SUBSTITUTE(UPPER(TRIM($DX933)),"E",""))&lt;2,LEN(UPPER(TRIM($DX933)))-LEN(SUBSTITUTE(UPPER(TRIM($DX933)),".",""))&lt;2,IFERROR(FIND(".",UPPER(TRIM($DX933))),0)&lt;IFERROR(FIND("E",UPPER(TRIM($DX933))),999)),ISNUMBER(VALUE(TRIM($DX933)))),VALUE(TRIM($DX933)),"")))),""))</f>
        <v/>
      </c>
      <c r="DZ933">
        <f>IF($DM933=0,"",IF($L$17=0,"",IFERROR(IF(ISNUMBER(INDEX(PASTE_ALL,$DF933,$L$17)),INDEX(PASTE_ALL,$DF933,$L$17),SUBSTITUTE(SUBSTITUTE(TRIM(SUBSTITUTE(SUBSTITUTE(SUBSTITUTE(SUBSTITUTE(INDEX(PASTE_ALL,$DF933,$L$17)," "," "),CHAR(9)," "),CHAR(10)," "),CHAR(13)," ")),",",""),"%","")),"")))</f>
        <v/>
      </c>
      <c r="EA933">
        <f>IF($DM933=0,"",IFERROR(IF(ISNUMBER($DZ933),$DZ933,IF($DZ933="","",IF(TRIM($DZ933)="",0,IF(AND(AND(SUBSTITUTE(SUBSTITUTE(SUBSTITUTE(SUBSTITUTE(SUBSTITUTE(SUBSTITUTE(SUBSTITUTE(SUBSTITUTE(SUBSTITUTE(SUBSTITUTE(SUBSTITUTE(SUBSTITUTE(SUBSTITUTE(SUBSTITUTE(UPPER(TRIM($DZ933)),"0",""),"1",""),"2",""),"3",""),"4",""),"5",""),"6",""),"7",""),"8",""),"9",""),".",""),"+",""),"-",""),"E","")="",LEN(SUBSTITUTE(SUBSTITUTE(MID(UPPER(TRIM($DZ933)),1+OR(LEFT(UPPER(TRIM($DZ933)),1)="+",LEFT(UPPER(TRIM($DZ933)),1)="-"),999),"E+","E"),"E-","E"))=LEN(SUBSTITUTE(SUBSTITUTE(SUBSTITUTE(SUBSTITUTE(MID(UPPER(TRIM($DZ933)),1+OR(LEFT(UPPER(TRIM($DZ933)),1)="+",LEFT(UPPER(TRIM($DZ933)),1)="-"),999),"E+","E"),"E-","E"),"+",""),"-","")),LEN(UPPER(TRIM($DZ933)))-LEN(SUBSTITUTE(UPPER(TRIM($DZ933)),"E",""))&lt;2,LEN(UPPER(TRIM($DZ933)))-LEN(SUBSTITUTE(UPPER(TRIM($DZ933)),".",""))&lt;2,IFERROR(FIND(".",UPPER(TRIM($DZ933))),0)&lt;IFERROR(FIND("E",UPPER(TRIM($DZ933))),999)),ISNUMBER(VALUE(TRIM($DZ933)))),VALUE(TRIM($DZ933)),"")))),""))</f>
        <v/>
      </c>
      <c r="EB933">
        <f>IF($DM933=0,"",IF($L$18=0,"",IFERROR(IF(UPPER(TRIM(SUBSTITUTE(SUBSTITUTE(SUBSTITUTE(SUBSTITUTE(INDEX(PASTE_ALL,$DF933,$L$18)," "," "),CHAR(9)," "),CHAR(10)," "),CHAR(13)," ")))="READY","Ready",IF(UPPER(TRIM(SUBSTITUTE(SUBSTITUTE(SUBSTITUTE(SUBSTITUTE(INDEX(PASTE_ALL,$DF933,$L$18)," "," "),CHAR(9)," "),CHAR(10)," "),CHAR(13)," ")))="PM","PM",IF(OR(UPPER(TRIM(SUBSTITUTE(SUBSTITUTE(SUBSTITUTE(SUBSTITUTE(INDEX(PASTE_ALL,$DF933,$L$18)," "," "),CHAR(9)," "),CHAR(10)," "),CHAR(13)," ")))="OT",UPPER(TRIM(SUBSTITUTE(SUBSTITUTE(SUBSTITUTE(SUBSTITUTE(INDEX(PASTE_ALL,$DF933,$L$18)," "," "),CHAR(9)," "),CHAR(10)," "),CHAR(13)," ")))="OVERTIME",UPPER(TRIM(SUBSTITUTE(SUBSTITUTE(SUBSTITUTE(SUBSTITUTE(INDEX(PASTE_ALL,$DF933,$L$18)," "," "),CHAR(9)," "),CHAR(10)," "),CHAR(13)," ")))="TRIAL"),"OT",TRIM(SUBSTITUTE(SUBSTITUTE(SUBSTITUTE(SUBSTITUTE(INDEX(PASTE_ALL,$DF933,$L$18)," "," "),CHAR(9)," "),CHAR(10)," "),CHAR(13)," "))))),"")))</f>
        <v/>
      </c>
      <c r="EC933">
        <f>IF($DM933=0,"",IF($L$19=0,"",IFERROR(IF(ISNUMBER(INDEX(PASTE_ALL,$DF933,$L$19)),INDEX(PASTE_ALL,$DF933,$L$19),TRIM(SUBSTITUTE(SUBSTITUTE(SUBSTITUTE(SUBSTITUTE(INDEX(PASTE_ALL,$DF933,$L$19)," "," "),CHAR(9)," "),CHAR(10)," "),CHAR(13)," "))),"")))</f>
        <v/>
      </c>
      <c r="ED933">
        <f>IF($DM933=0,"",MATCH(1,INDEX(EXACT($DH$5:DH933,$DH933)*$DM$5:DM933,0),0))</f>
        <v/>
      </c>
      <c r="EE933">
        <f>IF($DM933=0,0,IF($ED933=$DE933,1,0))</f>
        <v/>
      </c>
      <c r="EF933">
        <f>EF932+$EE933</f>
        <v/>
      </c>
      <c r="EG933">
        <f>IF($DM933=0,"",INDEX($EF$5:$EF$1003,$ED933))</f>
        <v/>
      </c>
      <c r="EH933">
        <f>IF($DM933=0,"",IF($DO933&lt;&gt;"","",IFERROR(LOOKUP(2,1/(($EG$4:EG932=$EG933)*($DO$4:DO932&lt;&gt;"")),$DO$4:DO932),"")))</f>
        <v/>
      </c>
      <c r="EI933">
        <f>IF($DM933=0,"",IF($DO933&lt;&gt;"",$DO933,$EH933))</f>
        <v/>
      </c>
      <c r="EJ933">
        <f>IF($DM933=0,"",IF($EI933="",0,IF(OR(ISNUMBER($EI933),AND(AND(SUBSTITUTE(SUBSTITUTE(SUBSTITUTE(SUBSTITUTE(SUBSTITUTE(SUBSTITUTE(SUBSTITUTE(SUBSTITUTE(SUBSTITUTE(SUBSTITUTE(SUBSTITUTE(SUBSTITUTE(SUBSTITUTE(SUBSTITUTE(UPPER($EI933),"0",""),"1",""),"2",""),"3",""),"4",""),"5",""),"6",""),"7",""),"8",""),"9",""),".",""),"+",""),"-",""),"E","")="",LEN(SUBSTITUTE(SUBSTITUTE(MID(UPPER($EI933),1+OR(LEFT(UPPER($EI933),1)="+",LEFT(UPPER($EI933),1)="-"),999),"E+","E"),"E-","E"))=LEN(SUBSTITUTE(SUBSTITUTE(SUBSTITUTE(SUBSTITUTE(MID(UPPER($EI933),1+OR(LEFT(UPPER($EI933),1)="+",LEFT(UPPER($EI933),1)="-"),999),"E+","E"),"E-","E"),"+",""),"-","")),LEN(UPPER($EI933))-LEN(SUBSTITUTE(UPPER($EI933),"E",""))&lt;2,LEN(UPPER($EI933))-LEN(SUBSTITUTE(UPPER($EI933),".",""))&lt;2,IFERROR(FIND(".",UPPER($EI933)),0)&lt;IFERROR(FIND("E",UPPER($EI933)),999)),ISNUMBER(VALUE($EI933)))),1,2)))</f>
        <v/>
      </c>
      <c r="EK933">
        <f>IF($DM933=0,"",IF($EJ933=1,IF(ISNUMBER($EI933),$EI933,VALUE($EI933)),IF($EJ933=2,$DE933,0)))</f>
        <v/>
      </c>
      <c r="EL933">
        <f>IF($DM933=0,"",COUNTIF($EG$5:$EG$1003,"&lt;"&amp;$EG933)+SUMPRODUCT(($EG$5:$EG$1003=$EG933)*(($EJ$5:$EJ$1003&lt;$EJ933)+($EJ$5:$EJ$1003=$EJ933)*(($EK$5:$EK$1003&lt;$EK933)+($EK$5:$EK$1003=$EK933)*($DE$5:$DE$1003&lt;$DE933))))+1)</f>
        <v/>
      </c>
      <c r="EM933">
        <f>IF($DM933=0,"",$EL933+$EG933-1)</f>
        <v/>
      </c>
      <c r="EN933">
        <f>IF($DM933=0,0,IFERROR(MATCH(1,INDEX(--(TRIM(SUBSTITUTE(SUBSTITUTE(SUBSTITUTE(SUBSTITUTE(LINES_NAME&amp;""," "," "),CHAR(9)," "),CHAR(10)," "),CHAR(13)," "))=$DH933),0),0),0))</f>
        <v/>
      </c>
      <c r="EO933">
        <f>IF($EN933=0,0,IF(OR(UPPER(TRIM(INDEX(LINES_SCHEDULED,$EN933)&amp;""))="YES",UPPER(TRIM(INDEX(LINES_SCHEDULED,$EN933)&amp;""))="Y",UPPER(TRIM(INDEX(LINES_SCHEDULED,$EN933)&amp;""))="X"),1,0))</f>
        <v/>
      </c>
      <c r="EP933">
        <f>IF($DM933=0,"",IF(COUNTIFS($EG$5:$EG$1003,$EG933,$EB$5:$EB$1003,"Ready")&gt;0,"READY",IF(COUNTIFS($EG$5:$EG$1003,$EG933,$EB$5:$EB$1003,"PM")&gt;0,"PM",IF(COUNTIFS($EG$5:$EG$1003,$EG933,$EB$5:$EB$1003,"OT")&gt;0,"OT",""))))</f>
        <v/>
      </c>
      <c r="EQ933">
        <f>IF($EN933=0,"",UPPER(TRIM(INDEX(LINES_STATUS,$EN933)&amp;"")))</f>
        <v/>
      </c>
      <c r="ER933">
        <f>IF($DM933=0,"",IF(OR($EQ933="READY",$EQ933="PM",$EQ933="OT"),$EQ933,$EP933))</f>
        <v/>
      </c>
      <c r="ES933">
        <f>IF($DM933=0,"",IF(AND($DV933&lt;&gt;"",UPPER($DV933)&lt;&gt;"N"),"allergen",IF(ISNUMBER(SEARCH("oil",$DQ933)),"oil",IF(OR(EXACT($DS933,"A662"),EXACT($DS933,"A624")),"bulk",""))))</f>
        <v/>
      </c>
      <c r="ET933">
        <f>IF($DM933=0,"",IF(OR($EA933="",$EA933=0),"",$EA933/100))</f>
        <v/>
      </c>
      <c r="EU933">
        <f>IF(OR($ET933="",$DY933=""),"",INT($DY933*(1-$ET933)+0.5))</f>
        <v/>
      </c>
    </row>
    <row r="934">
      <c r="DA934" t="n">
        <v>930</v>
      </c>
      <c r="DB934">
        <f>IF($B$37=0,"",IFERROR(TRIM(SUBSTITUTE(SUBSTITUTE(SUBSTITUTE(SUBSTITUTE(INDEX(PASTE_ALL,930,$B$37)," "," "),CHAR(9)," "),CHAR(10)," "),CHAR(13)," ")),""))</f>
        <v/>
      </c>
      <c r="DC934">
        <f>IF(AND(930&gt;HEADER_ROW,UPPER(DB934)="LEGEND"),1,0)</f>
        <v/>
      </c>
      <c r="DE934" t="n">
        <v>930</v>
      </c>
      <c r="DF934">
        <f>HEADER_ROW+$DE934</f>
        <v/>
      </c>
      <c r="DG934">
        <f>IF(AND($DF934&lt;=1000,$DF934&lt;$B$8),1,0)</f>
        <v/>
      </c>
      <c r="DH934">
        <f>IF($DG934=1,IFERROR(INDEX($DB$5:$DB$1004,$DF934),""),"")</f>
        <v/>
      </c>
      <c r="DI934">
        <f>IF(AND($DG934=1,$DH934&lt;&gt;""),IFERROR(SUBSTITUTE(SUBSTITUTE(TRIM(SUBSTITUTE(SUBSTITUTE(SUBSTITUTE(SUBSTITUTE(IFERROR(INDEX(PASTE_ALL,$DF934,1)&amp;"","")&amp;"␟"&amp;IFERROR(INDEX(PASTE_ALL,$DF934,2)&amp;"","")&amp;"␟"&amp;IFERROR(INDEX(PASTE_ALL,$DF934,3)&amp;"","")&amp;"␟"&amp;IFERROR(INDEX(PASTE_ALL,$DF934,4)&amp;"","")&amp;"␟"&amp;IFERROR(INDEX(PASTE_ALL,$DF934,5)&amp;"","")&amp;"␟"&amp;IFERROR(INDEX(PASTE_ALL,$DF934,6)&amp;"","")&amp;"␟"&amp;IFERROR(INDEX(PASTE_ALL,$DF934,7)&amp;"","")&amp;"␟"&amp;IFERROR(INDEX(PASTE_ALL,$DF934,8)&amp;"","")&amp;"␟"&amp;IFERROR(INDEX(PASTE_ALL,$DF934,9)&amp;"","")&amp;"␟"&amp;IFERROR(INDEX(PASTE_ALL,$DF934,10)&amp;"","")&amp;"␟"&amp;IFERROR(INDEX(PASTE_ALL,$DF934,11)&amp;"","")&amp;"␟"&amp;IFERROR(INDEX(PASTE_ALL,$DF934,12)&amp;"","")&amp;"␟"&amp;IFERROR(INDEX(PASTE_ALL,$DF934,13)&amp;"","")&amp;"␟"&amp;IFERROR(INDEX(PASTE_ALL,$DF934,14)&amp;"","")&amp;"␟"&amp;IFERROR(INDEX(PASTE_ALL,$DF934,15)&amp;"","")&amp;"␟"&amp;IFERROR(INDEX(PASTE_ALL,$DF934,16)&amp;"","")&amp;"␟"&amp;IFERROR(INDEX(PASTE_ALL,$DF934,17)&amp;"","")&amp;"␟"&amp;IFERROR(INDEX(PASTE_ALL,$DF934,18)&amp;"","")&amp;"␟"&amp;IFERROR(INDEX(PASTE_ALL,$DF934,19)&amp;"","")&amp;"␟"&amp;IFERROR(INDEX(PASTE_ALL,$DF934,20)&amp;"","")&amp;"␟"&amp;IFERROR(INDEX(PASTE_ALL,$DF934,21)&amp;"","")&amp;"␟"&amp;IFERROR(INDEX(PASTE_ALL,$DF934,22)&amp;"","")&amp;"␟"&amp;IFERROR(INDEX(PASTE_ALL,$DF934,23)&amp;"","")&amp;"␟"&amp;IFERROR(INDEX(PASTE_ALL,$DF934,24)&amp;"","")&amp;"␟"&amp;IFERROR(INDEX(PASTE_ALL,$DF934,25)&amp;"","")&amp;"␟"&amp;IFERROR(INDEX(PASTE_ALL,$DF934,26)&amp;"","")&amp;"␟"&amp;IFERROR(INDEX(PASTE_ALL,$DF934,27)&amp;"","")&amp;"␟"&amp;IFERROR(INDEX(PASTE_ALL,$DF934,28)&amp;"","")&amp;"␟"&amp;IFERROR(INDEX(PASTE_ALL,$DF934,29)&amp;"","")&amp;"␟"&amp;IFERROR(INDEX(PASTE_ALL,$DF934,30)&amp;"","")&amp;"␟"&amp;IFERROR(INDEX(PASTE_ALL,$DF934,31)&amp;"","")&amp;"␟"&amp;IFERROR(INDEX(PASTE_ALL,$DF934,32)&amp;"","")&amp;"␟"&amp;IFERROR(INDEX(PASTE_ALL,$DF934,33)&amp;"","")&amp;"␟"&amp;IFERROR(INDEX(PASTE_ALL,$DF934,34)&amp;"","")&amp;"␟"&amp;IFERROR(INDEX(PASTE_ALL,$DF934,35)&amp;"","")&amp;"␟"&amp;IFERROR(INDEX(PASTE_ALL,$DF934,36)&amp;"","")&amp;"␟"&amp;IFERROR(INDEX(PASTE_ALL,$DF934,37)&amp;"","")&amp;"␟"&amp;IFERROR(INDEX(PASTE_ALL,$DF934,38)&amp;"","")&amp;"␟"&amp;IFERROR(INDEX(PASTE_ALL,$DF934,39)&amp;"","")&amp;"␟"&amp;IFERROR(INDEX(PASTE_ALL,$DF934,40)&amp;"","")&amp;"␟"&amp;IFERROR(INDEX(PASTE_ALL,$DF934,41)&amp;"","")&amp;"␟"&amp;IFERROR(INDEX(PASTE_ALL,$DF934,42)&amp;"","")&amp;"␟"&amp;IFERROR(INDEX(PASTE_ALL,$DF934,43)&amp;"","")&amp;"␟"&amp;IFERROR(INDEX(PASTE_ALL,$DF934,44)&amp;"","")&amp;"␟"&amp;IFERROR(INDEX(PASTE_ALL,$DF934,45)&amp;"","")&amp;"␟"&amp;IFERROR(INDEX(PASTE_ALL,$DF934,46)&amp;"","")&amp;"␟"&amp;IFERROR(INDEX(PASTE_ALL,$DF934,47)&amp;"","")&amp;"␟"&amp;IFERROR(INDEX(PASTE_ALL,$DF934,48)&amp;"","")&amp;"␟"&amp;IFERROR(INDEX(PASTE_ALL,$DF934,49)&amp;"","")&amp;"␟"&amp;IFERROR(INDEX(PASTE_ALL,$DF934,50)&amp;"","")&amp;"␟"&amp;IFERROR(INDEX(PASTE_ALL,$DF934,51)&amp;"","")&amp;"␟"&amp;IFERROR(INDEX(PASTE_ALL,$DF934,52)&amp;"","")&amp;"␟"&amp;IFERROR(INDEX(PASTE_ALL,$DF934,53)&amp;"","")&amp;"␟"&amp;IFERROR(INDEX(PASTE_ALL,$DF934,54)&amp;"","")&amp;"␟"&amp;IFERROR(INDEX(PASTE_ALL,$DF934,55)&amp;"","")&amp;"␟"&amp;IFERROR(INDEX(PASTE_ALL,$DF934,56)&amp;"","")&amp;"␟"&amp;IFERROR(INDEX(PASTE_ALL,$DF934,57)&amp;"","")&amp;"␟"&amp;IFERROR(INDEX(PASTE_ALL,$DF934,58)&amp;"","")&amp;"␟"&amp;IFERROR(INDEX(PASTE_ALL,$DF934,59)&amp;"","")&amp;"␟"&amp;IFERROR(INDEX(PASTE_ALL,$DF934,60)&amp;"","")," "," "),CHAR(9)," "),CHAR(10)," "),CHAR(13)," "))," ␟","␟"),"␟ ","␟"),"#"&amp;$DE934),"")</f>
        <v/>
      </c>
      <c r="DJ934">
        <f>IF($DI934="",0,IF(SUMPRODUCT(--EXACT($DI$4:DI933,$DI934))&gt;0,1,0))</f>
        <v/>
      </c>
      <c r="DK934">
        <f>IF(AND($DI934&lt;&gt;"",$DJ934=0),1,0)</f>
        <v/>
      </c>
      <c r="DL934">
        <f>DL933+$DK934</f>
        <v/>
      </c>
      <c r="DM934">
        <f>IF(AND($DK934=1,$DL934&lt;=600),1,0)</f>
        <v/>
      </c>
      <c r="DN934">
        <f>IF($DM934=0,"",IF($L$6=0,"",IFERROR(IF(ISNUMBER(INDEX(PASTE_ALL,$DF934,$L$6)),INDEX(PASTE_ALL,$DF934,$L$6),TRIM(SUBSTITUTE(SUBSTITUTE(SUBSTITUTE(SUBSTITUTE(INDEX(PASTE_ALL,$DF934,$L$6)," "," "),CHAR(9)," "),CHAR(10)," "),CHAR(13)," "))),"")))</f>
        <v/>
      </c>
      <c r="DO934">
        <f>IF($DM934=0,"",IF($L$7=0,"",IFERROR(IF(ISNUMBER(INDEX(PASTE_ALL,$DF934,$L$7)),INDEX(PASTE_ALL,$DF934,$L$7),TRIM(SUBSTITUTE(SUBSTITUTE(SUBSTITUTE(SUBSTITUTE(INDEX(PASTE_ALL,$DF934,$L$7)," "," "),CHAR(9)," "),CHAR(10)," "),CHAR(13)," "))),"")))</f>
        <v/>
      </c>
      <c r="DP934">
        <f>IF($DM934=0,"",IF($L$8=0,"",IFERROR(IF(ISNUMBER(INDEX(PASTE_ALL,$DF934,$L$8)),INDEX(PASTE_ALL,$DF934,$L$8),TRIM(SUBSTITUTE(SUBSTITUTE(SUBSTITUTE(SUBSTITUTE(INDEX(PASTE_ALL,$DF934,$L$8)," "," "),CHAR(9)," "),CHAR(10)," "),CHAR(13)," "))),"")))</f>
        <v/>
      </c>
      <c r="DQ934">
        <f>IF($DM934=0,"",IF($L$9=0,"",IFERROR(IF(ISNUMBER(INDEX(PASTE_ALL,$DF934,$L$9)),INDEX(PASTE_ALL,$DF934,$L$9),TRIM(SUBSTITUTE(SUBSTITUTE(SUBSTITUTE(SUBSTITUTE(INDEX(PASTE_ALL,$DF934,$L$9)," "," "),CHAR(9)," "),CHAR(10)," "),CHAR(13)," "))),"")))</f>
        <v/>
      </c>
      <c r="DR934">
        <f>IF($DM934=0,"",IF($L$10=0,"",IFERROR(IF(ISNUMBER(INDEX(PASTE_ALL,$DF934,$L$10)),INDEX(PASTE_ALL,$DF934,$L$10),TRIM(SUBSTITUTE(SUBSTITUTE(SUBSTITUTE(SUBSTITUTE(INDEX(PASTE_ALL,$DF934,$L$10)," "," "),CHAR(9)," "),CHAR(10)," "),CHAR(13)," "))),"")))</f>
        <v/>
      </c>
      <c r="DS934">
        <f>IF($DM934=0,"",IF($L$11=0,"",IFERROR(IF(ISNUMBER(INDEX(PASTE_ALL,$DF934,$L$11)),INDEX(PASTE_ALL,$DF934,$L$11),TRIM(SUBSTITUTE(SUBSTITUTE(SUBSTITUTE(SUBSTITUTE(INDEX(PASTE_ALL,$DF934,$L$11)," "," "),CHAR(9)," "),CHAR(10)," "),CHAR(13)," "))),"")))</f>
        <v/>
      </c>
      <c r="DT934">
        <f>IF($DM934=0,"",IF($L$12=0,"",IFERROR(IF(ISNUMBER(INDEX(PASTE_ALL,$DF934,$L$12)),INDEX(PASTE_ALL,$DF934,$L$12),TRIM(SUBSTITUTE(SUBSTITUTE(SUBSTITUTE(SUBSTITUTE(INDEX(PASTE_ALL,$DF934,$L$12)," "," "),CHAR(9)," "),CHAR(10)," "),CHAR(13)," "))),"")))</f>
        <v/>
      </c>
      <c r="DU934">
        <f>IF($DM934=0,"",IF($L$13=0,"",IFERROR(IF(ISNUMBER(INDEX(PASTE_ALL,$DF934,$L$13)),INDEX(PASTE_ALL,$DF934,$L$13),TRIM(SUBSTITUTE(SUBSTITUTE(SUBSTITUTE(SUBSTITUTE(INDEX(PASTE_ALL,$DF934,$L$13)," "," "),CHAR(9)," "),CHAR(10)," "),CHAR(13)," "))),"")))</f>
        <v/>
      </c>
      <c r="DV934">
        <f>IF($DM934=0,"",IF($L$14=0,"",IFERROR(IF(ISNUMBER(INDEX(PASTE_ALL,$DF934,$L$14)),INDEX(PASTE_ALL,$DF934,$L$14),TRIM(SUBSTITUTE(SUBSTITUTE(SUBSTITUTE(SUBSTITUTE(INDEX(PASTE_ALL,$DF934,$L$14)," "," "),CHAR(9)," "),CHAR(10)," "),CHAR(13)," "))),"")))</f>
        <v/>
      </c>
      <c r="DW934">
        <f>IF($DM934=0,"",IF($L$15=0,"",IFERROR(IF(ISNUMBER(INDEX(PASTE_ALL,$DF934,$L$15)),INDEX(PASTE_ALL,$DF934,$L$15),IF(SUMPRODUCT(--ISNUMBER(FIND({"A","B","C","D","E","F","G","H","I","J","K","L","M","N","O","P","Q","R","S","T","U","V","W","X","Y","Z","0","1","2","3","4","5","6","7","8","9"},UPPER(TRIM(SUBSTITUTE(SUBSTITUTE(SUBSTITUTE(SUBSTITUTE(INDEX(PASTE_ALL,$DF934,$L$15)," "," "),CHAR(9)," "),CHAR(10)," "),CHAR(13)," "))))))&gt;0,TRIM(SUBSTITUTE(SUBSTITUTE(SUBSTITUTE(SUBSTITUTE(INDEX(PASTE_ALL,$DF934,$L$15)," "," "),CHAR(9)," "),CHAR(10)," "),CHAR(13)," ")),"")),"")))</f>
        <v/>
      </c>
      <c r="DX934">
        <f>IF($DM934=0,"",IF($L$16=0,"",IFERROR(IF(ISNUMBER(INDEX(PASTE_ALL,$DF934,$L$16)),INDEX(PASTE_ALL,$DF934,$L$16),SUBSTITUTE(SUBSTITUTE(TRIM(SUBSTITUTE(SUBSTITUTE(SUBSTITUTE(SUBSTITUTE(INDEX(PASTE_ALL,$DF934,$L$16)," "," "),CHAR(9)," "),CHAR(10)," "),CHAR(13)," ")),",",""),"%","")),"")))</f>
        <v/>
      </c>
      <c r="DY934">
        <f>IF($DM934=0,"",IFERROR(IF(ISNUMBER($DX934),$DX934,IF($DX934="","",IF(TRIM($DX934)="",0,IF(AND(AND(SUBSTITUTE(SUBSTITUTE(SUBSTITUTE(SUBSTITUTE(SUBSTITUTE(SUBSTITUTE(SUBSTITUTE(SUBSTITUTE(SUBSTITUTE(SUBSTITUTE(SUBSTITUTE(SUBSTITUTE(SUBSTITUTE(SUBSTITUTE(UPPER(TRIM($DX934)),"0",""),"1",""),"2",""),"3",""),"4",""),"5",""),"6",""),"7",""),"8",""),"9",""),".",""),"+",""),"-",""),"E","")="",LEN(SUBSTITUTE(SUBSTITUTE(MID(UPPER(TRIM($DX934)),1+OR(LEFT(UPPER(TRIM($DX934)),1)="+",LEFT(UPPER(TRIM($DX934)),1)="-"),999),"E+","E"),"E-","E"))=LEN(SUBSTITUTE(SUBSTITUTE(SUBSTITUTE(SUBSTITUTE(MID(UPPER(TRIM($DX934)),1+OR(LEFT(UPPER(TRIM($DX934)),1)="+",LEFT(UPPER(TRIM($DX934)),1)="-"),999),"E+","E"),"E-","E"),"+",""),"-","")),LEN(UPPER(TRIM($DX934)))-LEN(SUBSTITUTE(UPPER(TRIM($DX934)),"E",""))&lt;2,LEN(UPPER(TRIM($DX934)))-LEN(SUBSTITUTE(UPPER(TRIM($DX934)),".",""))&lt;2,IFERROR(FIND(".",UPPER(TRIM($DX934))),0)&lt;IFERROR(FIND("E",UPPER(TRIM($DX934))),999)),ISNUMBER(VALUE(TRIM($DX934)))),VALUE(TRIM($DX934)),"")))),""))</f>
        <v/>
      </c>
      <c r="DZ934">
        <f>IF($DM934=0,"",IF($L$17=0,"",IFERROR(IF(ISNUMBER(INDEX(PASTE_ALL,$DF934,$L$17)),INDEX(PASTE_ALL,$DF934,$L$17),SUBSTITUTE(SUBSTITUTE(TRIM(SUBSTITUTE(SUBSTITUTE(SUBSTITUTE(SUBSTITUTE(INDEX(PASTE_ALL,$DF934,$L$17)," "," "),CHAR(9)," "),CHAR(10)," "),CHAR(13)," ")),",",""),"%","")),"")))</f>
        <v/>
      </c>
      <c r="EA934">
        <f>IF($DM934=0,"",IFERROR(IF(ISNUMBER($DZ934),$DZ934,IF($DZ934="","",IF(TRIM($DZ934)="",0,IF(AND(AND(SUBSTITUTE(SUBSTITUTE(SUBSTITUTE(SUBSTITUTE(SUBSTITUTE(SUBSTITUTE(SUBSTITUTE(SUBSTITUTE(SUBSTITUTE(SUBSTITUTE(SUBSTITUTE(SUBSTITUTE(SUBSTITUTE(SUBSTITUTE(UPPER(TRIM($DZ934)),"0",""),"1",""),"2",""),"3",""),"4",""),"5",""),"6",""),"7",""),"8",""),"9",""),".",""),"+",""),"-",""),"E","")="",LEN(SUBSTITUTE(SUBSTITUTE(MID(UPPER(TRIM($DZ934)),1+OR(LEFT(UPPER(TRIM($DZ934)),1)="+",LEFT(UPPER(TRIM($DZ934)),1)="-"),999),"E+","E"),"E-","E"))=LEN(SUBSTITUTE(SUBSTITUTE(SUBSTITUTE(SUBSTITUTE(MID(UPPER(TRIM($DZ934)),1+OR(LEFT(UPPER(TRIM($DZ934)),1)="+",LEFT(UPPER(TRIM($DZ934)),1)="-"),999),"E+","E"),"E-","E"),"+",""),"-","")),LEN(UPPER(TRIM($DZ934)))-LEN(SUBSTITUTE(UPPER(TRIM($DZ934)),"E",""))&lt;2,LEN(UPPER(TRIM($DZ934)))-LEN(SUBSTITUTE(UPPER(TRIM($DZ934)),".",""))&lt;2,IFERROR(FIND(".",UPPER(TRIM($DZ934))),0)&lt;IFERROR(FIND("E",UPPER(TRIM($DZ934))),999)),ISNUMBER(VALUE(TRIM($DZ934)))),VALUE(TRIM($DZ934)),"")))),""))</f>
        <v/>
      </c>
      <c r="EB934">
        <f>IF($DM934=0,"",IF($L$18=0,"",IFERROR(IF(UPPER(TRIM(SUBSTITUTE(SUBSTITUTE(SUBSTITUTE(SUBSTITUTE(INDEX(PASTE_ALL,$DF934,$L$18)," "," "),CHAR(9)," "),CHAR(10)," "),CHAR(13)," ")))="READY","Ready",IF(UPPER(TRIM(SUBSTITUTE(SUBSTITUTE(SUBSTITUTE(SUBSTITUTE(INDEX(PASTE_ALL,$DF934,$L$18)," "," "),CHAR(9)," "),CHAR(10)," "),CHAR(13)," ")))="PM","PM",IF(OR(UPPER(TRIM(SUBSTITUTE(SUBSTITUTE(SUBSTITUTE(SUBSTITUTE(INDEX(PASTE_ALL,$DF934,$L$18)," "," "),CHAR(9)," "),CHAR(10)," "),CHAR(13)," ")))="OT",UPPER(TRIM(SUBSTITUTE(SUBSTITUTE(SUBSTITUTE(SUBSTITUTE(INDEX(PASTE_ALL,$DF934,$L$18)," "," "),CHAR(9)," "),CHAR(10)," "),CHAR(13)," ")))="OVERTIME",UPPER(TRIM(SUBSTITUTE(SUBSTITUTE(SUBSTITUTE(SUBSTITUTE(INDEX(PASTE_ALL,$DF934,$L$18)," "," "),CHAR(9)," "),CHAR(10)," "),CHAR(13)," ")))="TRIAL"),"OT",TRIM(SUBSTITUTE(SUBSTITUTE(SUBSTITUTE(SUBSTITUTE(INDEX(PASTE_ALL,$DF934,$L$18)," "," "),CHAR(9)," "),CHAR(10)," "),CHAR(13)," "))))),"")))</f>
        <v/>
      </c>
      <c r="EC934">
        <f>IF($DM934=0,"",IF($L$19=0,"",IFERROR(IF(ISNUMBER(INDEX(PASTE_ALL,$DF934,$L$19)),INDEX(PASTE_ALL,$DF934,$L$19),TRIM(SUBSTITUTE(SUBSTITUTE(SUBSTITUTE(SUBSTITUTE(INDEX(PASTE_ALL,$DF934,$L$19)," "," "),CHAR(9)," "),CHAR(10)," "),CHAR(13)," "))),"")))</f>
        <v/>
      </c>
      <c r="ED934">
        <f>IF($DM934=0,"",MATCH(1,INDEX(EXACT($DH$5:DH934,$DH934)*$DM$5:DM934,0),0))</f>
        <v/>
      </c>
      <c r="EE934">
        <f>IF($DM934=0,0,IF($ED934=$DE934,1,0))</f>
        <v/>
      </c>
      <c r="EF934">
        <f>EF933+$EE934</f>
        <v/>
      </c>
      <c r="EG934">
        <f>IF($DM934=0,"",INDEX($EF$5:$EF$1003,$ED934))</f>
        <v/>
      </c>
      <c r="EH934">
        <f>IF($DM934=0,"",IF($DO934&lt;&gt;"","",IFERROR(LOOKUP(2,1/(($EG$4:EG933=$EG934)*($DO$4:DO933&lt;&gt;"")),$DO$4:DO933),"")))</f>
        <v/>
      </c>
      <c r="EI934">
        <f>IF($DM934=0,"",IF($DO934&lt;&gt;"",$DO934,$EH934))</f>
        <v/>
      </c>
      <c r="EJ934">
        <f>IF($DM934=0,"",IF($EI934="",0,IF(OR(ISNUMBER($EI934),AND(AND(SUBSTITUTE(SUBSTITUTE(SUBSTITUTE(SUBSTITUTE(SUBSTITUTE(SUBSTITUTE(SUBSTITUTE(SUBSTITUTE(SUBSTITUTE(SUBSTITUTE(SUBSTITUTE(SUBSTITUTE(SUBSTITUTE(SUBSTITUTE(UPPER($EI934),"0",""),"1",""),"2",""),"3",""),"4",""),"5",""),"6",""),"7",""),"8",""),"9",""),".",""),"+",""),"-",""),"E","")="",LEN(SUBSTITUTE(SUBSTITUTE(MID(UPPER($EI934),1+OR(LEFT(UPPER($EI934),1)="+",LEFT(UPPER($EI934),1)="-"),999),"E+","E"),"E-","E"))=LEN(SUBSTITUTE(SUBSTITUTE(SUBSTITUTE(SUBSTITUTE(MID(UPPER($EI934),1+OR(LEFT(UPPER($EI934),1)="+",LEFT(UPPER($EI934),1)="-"),999),"E+","E"),"E-","E"),"+",""),"-","")),LEN(UPPER($EI934))-LEN(SUBSTITUTE(UPPER($EI934),"E",""))&lt;2,LEN(UPPER($EI934))-LEN(SUBSTITUTE(UPPER($EI934),".",""))&lt;2,IFERROR(FIND(".",UPPER($EI934)),0)&lt;IFERROR(FIND("E",UPPER($EI934)),999)),ISNUMBER(VALUE($EI934)))),1,2)))</f>
        <v/>
      </c>
      <c r="EK934">
        <f>IF($DM934=0,"",IF($EJ934=1,IF(ISNUMBER($EI934),$EI934,VALUE($EI934)),IF($EJ934=2,$DE934,0)))</f>
        <v/>
      </c>
      <c r="EL934">
        <f>IF($DM934=0,"",COUNTIF($EG$5:$EG$1003,"&lt;"&amp;$EG934)+SUMPRODUCT(($EG$5:$EG$1003=$EG934)*(($EJ$5:$EJ$1003&lt;$EJ934)+($EJ$5:$EJ$1003=$EJ934)*(($EK$5:$EK$1003&lt;$EK934)+($EK$5:$EK$1003=$EK934)*($DE$5:$DE$1003&lt;$DE934))))+1)</f>
        <v/>
      </c>
      <c r="EM934">
        <f>IF($DM934=0,"",$EL934+$EG934-1)</f>
        <v/>
      </c>
      <c r="EN934">
        <f>IF($DM934=0,0,IFERROR(MATCH(1,INDEX(--(TRIM(SUBSTITUTE(SUBSTITUTE(SUBSTITUTE(SUBSTITUTE(LINES_NAME&amp;""," "," "),CHAR(9)," "),CHAR(10)," "),CHAR(13)," "))=$DH934),0),0),0))</f>
        <v/>
      </c>
      <c r="EO934">
        <f>IF($EN934=0,0,IF(OR(UPPER(TRIM(INDEX(LINES_SCHEDULED,$EN934)&amp;""))="YES",UPPER(TRIM(INDEX(LINES_SCHEDULED,$EN934)&amp;""))="Y",UPPER(TRIM(INDEX(LINES_SCHEDULED,$EN934)&amp;""))="X"),1,0))</f>
        <v/>
      </c>
      <c r="EP934">
        <f>IF($DM934=0,"",IF(COUNTIFS($EG$5:$EG$1003,$EG934,$EB$5:$EB$1003,"Ready")&gt;0,"READY",IF(COUNTIFS($EG$5:$EG$1003,$EG934,$EB$5:$EB$1003,"PM")&gt;0,"PM",IF(COUNTIFS($EG$5:$EG$1003,$EG934,$EB$5:$EB$1003,"OT")&gt;0,"OT",""))))</f>
        <v/>
      </c>
      <c r="EQ934">
        <f>IF($EN934=0,"",UPPER(TRIM(INDEX(LINES_STATUS,$EN934)&amp;"")))</f>
        <v/>
      </c>
      <c r="ER934">
        <f>IF($DM934=0,"",IF(OR($EQ934="READY",$EQ934="PM",$EQ934="OT"),$EQ934,$EP934))</f>
        <v/>
      </c>
      <c r="ES934">
        <f>IF($DM934=0,"",IF(AND($DV934&lt;&gt;"",UPPER($DV934)&lt;&gt;"N"),"allergen",IF(ISNUMBER(SEARCH("oil",$DQ934)),"oil",IF(OR(EXACT($DS934,"A662"),EXACT($DS934,"A624")),"bulk",""))))</f>
        <v/>
      </c>
      <c r="ET934">
        <f>IF($DM934=0,"",IF(OR($EA934="",$EA934=0),"",$EA934/100))</f>
        <v/>
      </c>
      <c r="EU934">
        <f>IF(OR($ET934="",$DY934=""),"",INT($DY934*(1-$ET934)+0.5))</f>
        <v/>
      </c>
    </row>
    <row r="935">
      <c r="DA935" t="n">
        <v>931</v>
      </c>
      <c r="DB935">
        <f>IF($B$37=0,"",IFERROR(TRIM(SUBSTITUTE(SUBSTITUTE(SUBSTITUTE(SUBSTITUTE(INDEX(PASTE_ALL,931,$B$37)," "," "),CHAR(9)," "),CHAR(10)," "),CHAR(13)," ")),""))</f>
        <v/>
      </c>
      <c r="DC935">
        <f>IF(AND(931&gt;HEADER_ROW,UPPER(DB935)="LEGEND"),1,0)</f>
        <v/>
      </c>
      <c r="DE935" t="n">
        <v>931</v>
      </c>
      <c r="DF935">
        <f>HEADER_ROW+$DE935</f>
        <v/>
      </c>
      <c r="DG935">
        <f>IF(AND($DF935&lt;=1000,$DF935&lt;$B$8),1,0)</f>
        <v/>
      </c>
      <c r="DH935">
        <f>IF($DG935=1,IFERROR(INDEX($DB$5:$DB$1004,$DF935),""),"")</f>
        <v/>
      </c>
      <c r="DI935">
        <f>IF(AND($DG935=1,$DH935&lt;&gt;""),IFERROR(SUBSTITUTE(SUBSTITUTE(TRIM(SUBSTITUTE(SUBSTITUTE(SUBSTITUTE(SUBSTITUTE(IFERROR(INDEX(PASTE_ALL,$DF935,1)&amp;"","")&amp;"␟"&amp;IFERROR(INDEX(PASTE_ALL,$DF935,2)&amp;"","")&amp;"␟"&amp;IFERROR(INDEX(PASTE_ALL,$DF935,3)&amp;"","")&amp;"␟"&amp;IFERROR(INDEX(PASTE_ALL,$DF935,4)&amp;"","")&amp;"␟"&amp;IFERROR(INDEX(PASTE_ALL,$DF935,5)&amp;"","")&amp;"␟"&amp;IFERROR(INDEX(PASTE_ALL,$DF935,6)&amp;"","")&amp;"␟"&amp;IFERROR(INDEX(PASTE_ALL,$DF935,7)&amp;"","")&amp;"␟"&amp;IFERROR(INDEX(PASTE_ALL,$DF935,8)&amp;"","")&amp;"␟"&amp;IFERROR(INDEX(PASTE_ALL,$DF935,9)&amp;"","")&amp;"␟"&amp;IFERROR(INDEX(PASTE_ALL,$DF935,10)&amp;"","")&amp;"␟"&amp;IFERROR(INDEX(PASTE_ALL,$DF935,11)&amp;"","")&amp;"␟"&amp;IFERROR(INDEX(PASTE_ALL,$DF935,12)&amp;"","")&amp;"␟"&amp;IFERROR(INDEX(PASTE_ALL,$DF935,13)&amp;"","")&amp;"␟"&amp;IFERROR(INDEX(PASTE_ALL,$DF935,14)&amp;"","")&amp;"␟"&amp;IFERROR(INDEX(PASTE_ALL,$DF935,15)&amp;"","")&amp;"␟"&amp;IFERROR(INDEX(PASTE_ALL,$DF935,16)&amp;"","")&amp;"␟"&amp;IFERROR(INDEX(PASTE_ALL,$DF935,17)&amp;"","")&amp;"␟"&amp;IFERROR(INDEX(PASTE_ALL,$DF935,18)&amp;"","")&amp;"␟"&amp;IFERROR(INDEX(PASTE_ALL,$DF935,19)&amp;"","")&amp;"␟"&amp;IFERROR(INDEX(PASTE_ALL,$DF935,20)&amp;"","")&amp;"␟"&amp;IFERROR(INDEX(PASTE_ALL,$DF935,21)&amp;"","")&amp;"␟"&amp;IFERROR(INDEX(PASTE_ALL,$DF935,22)&amp;"","")&amp;"␟"&amp;IFERROR(INDEX(PASTE_ALL,$DF935,23)&amp;"","")&amp;"␟"&amp;IFERROR(INDEX(PASTE_ALL,$DF935,24)&amp;"","")&amp;"␟"&amp;IFERROR(INDEX(PASTE_ALL,$DF935,25)&amp;"","")&amp;"␟"&amp;IFERROR(INDEX(PASTE_ALL,$DF935,26)&amp;"","")&amp;"␟"&amp;IFERROR(INDEX(PASTE_ALL,$DF935,27)&amp;"","")&amp;"␟"&amp;IFERROR(INDEX(PASTE_ALL,$DF935,28)&amp;"","")&amp;"␟"&amp;IFERROR(INDEX(PASTE_ALL,$DF935,29)&amp;"","")&amp;"␟"&amp;IFERROR(INDEX(PASTE_ALL,$DF935,30)&amp;"","")&amp;"␟"&amp;IFERROR(INDEX(PASTE_ALL,$DF935,31)&amp;"","")&amp;"␟"&amp;IFERROR(INDEX(PASTE_ALL,$DF935,32)&amp;"","")&amp;"␟"&amp;IFERROR(INDEX(PASTE_ALL,$DF935,33)&amp;"","")&amp;"␟"&amp;IFERROR(INDEX(PASTE_ALL,$DF935,34)&amp;"","")&amp;"␟"&amp;IFERROR(INDEX(PASTE_ALL,$DF935,35)&amp;"","")&amp;"␟"&amp;IFERROR(INDEX(PASTE_ALL,$DF935,36)&amp;"","")&amp;"␟"&amp;IFERROR(INDEX(PASTE_ALL,$DF935,37)&amp;"","")&amp;"␟"&amp;IFERROR(INDEX(PASTE_ALL,$DF935,38)&amp;"","")&amp;"␟"&amp;IFERROR(INDEX(PASTE_ALL,$DF935,39)&amp;"","")&amp;"␟"&amp;IFERROR(INDEX(PASTE_ALL,$DF935,40)&amp;"","")&amp;"␟"&amp;IFERROR(INDEX(PASTE_ALL,$DF935,41)&amp;"","")&amp;"␟"&amp;IFERROR(INDEX(PASTE_ALL,$DF935,42)&amp;"","")&amp;"␟"&amp;IFERROR(INDEX(PASTE_ALL,$DF935,43)&amp;"","")&amp;"␟"&amp;IFERROR(INDEX(PASTE_ALL,$DF935,44)&amp;"","")&amp;"␟"&amp;IFERROR(INDEX(PASTE_ALL,$DF935,45)&amp;"","")&amp;"␟"&amp;IFERROR(INDEX(PASTE_ALL,$DF935,46)&amp;"","")&amp;"␟"&amp;IFERROR(INDEX(PASTE_ALL,$DF935,47)&amp;"","")&amp;"␟"&amp;IFERROR(INDEX(PASTE_ALL,$DF935,48)&amp;"","")&amp;"␟"&amp;IFERROR(INDEX(PASTE_ALL,$DF935,49)&amp;"","")&amp;"␟"&amp;IFERROR(INDEX(PASTE_ALL,$DF935,50)&amp;"","")&amp;"␟"&amp;IFERROR(INDEX(PASTE_ALL,$DF935,51)&amp;"","")&amp;"␟"&amp;IFERROR(INDEX(PASTE_ALL,$DF935,52)&amp;"","")&amp;"␟"&amp;IFERROR(INDEX(PASTE_ALL,$DF935,53)&amp;"","")&amp;"␟"&amp;IFERROR(INDEX(PASTE_ALL,$DF935,54)&amp;"","")&amp;"␟"&amp;IFERROR(INDEX(PASTE_ALL,$DF935,55)&amp;"","")&amp;"␟"&amp;IFERROR(INDEX(PASTE_ALL,$DF935,56)&amp;"","")&amp;"␟"&amp;IFERROR(INDEX(PASTE_ALL,$DF935,57)&amp;"","")&amp;"␟"&amp;IFERROR(INDEX(PASTE_ALL,$DF935,58)&amp;"","")&amp;"␟"&amp;IFERROR(INDEX(PASTE_ALL,$DF935,59)&amp;"","")&amp;"␟"&amp;IFERROR(INDEX(PASTE_ALL,$DF935,60)&amp;"","")," "," "),CHAR(9)," "),CHAR(10)," "),CHAR(13)," "))," ␟","␟"),"␟ ","␟"),"#"&amp;$DE935),"")</f>
        <v/>
      </c>
      <c r="DJ935">
        <f>IF($DI935="",0,IF(SUMPRODUCT(--EXACT($DI$4:DI934,$DI935))&gt;0,1,0))</f>
        <v/>
      </c>
      <c r="DK935">
        <f>IF(AND($DI935&lt;&gt;"",$DJ935=0),1,0)</f>
        <v/>
      </c>
      <c r="DL935">
        <f>DL934+$DK935</f>
        <v/>
      </c>
      <c r="DM935">
        <f>IF(AND($DK935=1,$DL935&lt;=600),1,0)</f>
        <v/>
      </c>
      <c r="DN935">
        <f>IF($DM935=0,"",IF($L$6=0,"",IFERROR(IF(ISNUMBER(INDEX(PASTE_ALL,$DF935,$L$6)),INDEX(PASTE_ALL,$DF935,$L$6),TRIM(SUBSTITUTE(SUBSTITUTE(SUBSTITUTE(SUBSTITUTE(INDEX(PASTE_ALL,$DF935,$L$6)," "," "),CHAR(9)," "),CHAR(10)," "),CHAR(13)," "))),"")))</f>
        <v/>
      </c>
      <c r="DO935">
        <f>IF($DM935=0,"",IF($L$7=0,"",IFERROR(IF(ISNUMBER(INDEX(PASTE_ALL,$DF935,$L$7)),INDEX(PASTE_ALL,$DF935,$L$7),TRIM(SUBSTITUTE(SUBSTITUTE(SUBSTITUTE(SUBSTITUTE(INDEX(PASTE_ALL,$DF935,$L$7)," "," "),CHAR(9)," "),CHAR(10)," "),CHAR(13)," "))),"")))</f>
        <v/>
      </c>
      <c r="DP935">
        <f>IF($DM935=0,"",IF($L$8=0,"",IFERROR(IF(ISNUMBER(INDEX(PASTE_ALL,$DF935,$L$8)),INDEX(PASTE_ALL,$DF935,$L$8),TRIM(SUBSTITUTE(SUBSTITUTE(SUBSTITUTE(SUBSTITUTE(INDEX(PASTE_ALL,$DF935,$L$8)," "," "),CHAR(9)," "),CHAR(10)," "),CHAR(13)," "))),"")))</f>
        <v/>
      </c>
      <c r="DQ935">
        <f>IF($DM935=0,"",IF($L$9=0,"",IFERROR(IF(ISNUMBER(INDEX(PASTE_ALL,$DF935,$L$9)),INDEX(PASTE_ALL,$DF935,$L$9),TRIM(SUBSTITUTE(SUBSTITUTE(SUBSTITUTE(SUBSTITUTE(INDEX(PASTE_ALL,$DF935,$L$9)," "," "),CHAR(9)," "),CHAR(10)," "),CHAR(13)," "))),"")))</f>
        <v/>
      </c>
      <c r="DR935">
        <f>IF($DM935=0,"",IF($L$10=0,"",IFERROR(IF(ISNUMBER(INDEX(PASTE_ALL,$DF935,$L$10)),INDEX(PASTE_ALL,$DF935,$L$10),TRIM(SUBSTITUTE(SUBSTITUTE(SUBSTITUTE(SUBSTITUTE(INDEX(PASTE_ALL,$DF935,$L$10)," "," "),CHAR(9)," "),CHAR(10)," "),CHAR(13)," "))),"")))</f>
        <v/>
      </c>
      <c r="DS935">
        <f>IF($DM935=0,"",IF($L$11=0,"",IFERROR(IF(ISNUMBER(INDEX(PASTE_ALL,$DF935,$L$11)),INDEX(PASTE_ALL,$DF935,$L$11),TRIM(SUBSTITUTE(SUBSTITUTE(SUBSTITUTE(SUBSTITUTE(INDEX(PASTE_ALL,$DF935,$L$11)," "," "),CHAR(9)," "),CHAR(10)," "),CHAR(13)," "))),"")))</f>
        <v/>
      </c>
      <c r="DT935">
        <f>IF($DM935=0,"",IF($L$12=0,"",IFERROR(IF(ISNUMBER(INDEX(PASTE_ALL,$DF935,$L$12)),INDEX(PASTE_ALL,$DF935,$L$12),TRIM(SUBSTITUTE(SUBSTITUTE(SUBSTITUTE(SUBSTITUTE(INDEX(PASTE_ALL,$DF935,$L$12)," "," "),CHAR(9)," "),CHAR(10)," "),CHAR(13)," "))),"")))</f>
        <v/>
      </c>
      <c r="DU935">
        <f>IF($DM935=0,"",IF($L$13=0,"",IFERROR(IF(ISNUMBER(INDEX(PASTE_ALL,$DF935,$L$13)),INDEX(PASTE_ALL,$DF935,$L$13),TRIM(SUBSTITUTE(SUBSTITUTE(SUBSTITUTE(SUBSTITUTE(INDEX(PASTE_ALL,$DF935,$L$13)," "," "),CHAR(9)," "),CHAR(10)," "),CHAR(13)," "))),"")))</f>
        <v/>
      </c>
      <c r="DV935">
        <f>IF($DM935=0,"",IF($L$14=0,"",IFERROR(IF(ISNUMBER(INDEX(PASTE_ALL,$DF935,$L$14)),INDEX(PASTE_ALL,$DF935,$L$14),TRIM(SUBSTITUTE(SUBSTITUTE(SUBSTITUTE(SUBSTITUTE(INDEX(PASTE_ALL,$DF935,$L$14)," "," "),CHAR(9)," "),CHAR(10)," "),CHAR(13)," "))),"")))</f>
        <v/>
      </c>
      <c r="DW935">
        <f>IF($DM935=0,"",IF($L$15=0,"",IFERROR(IF(ISNUMBER(INDEX(PASTE_ALL,$DF935,$L$15)),INDEX(PASTE_ALL,$DF935,$L$15),IF(SUMPRODUCT(--ISNUMBER(FIND({"A","B","C","D","E","F","G","H","I","J","K","L","M","N","O","P","Q","R","S","T","U","V","W","X","Y","Z","0","1","2","3","4","5","6","7","8","9"},UPPER(TRIM(SUBSTITUTE(SUBSTITUTE(SUBSTITUTE(SUBSTITUTE(INDEX(PASTE_ALL,$DF935,$L$15)," "," "),CHAR(9)," "),CHAR(10)," "),CHAR(13)," "))))))&gt;0,TRIM(SUBSTITUTE(SUBSTITUTE(SUBSTITUTE(SUBSTITUTE(INDEX(PASTE_ALL,$DF935,$L$15)," "," "),CHAR(9)," "),CHAR(10)," "),CHAR(13)," ")),"")),"")))</f>
        <v/>
      </c>
      <c r="DX935">
        <f>IF($DM935=0,"",IF($L$16=0,"",IFERROR(IF(ISNUMBER(INDEX(PASTE_ALL,$DF935,$L$16)),INDEX(PASTE_ALL,$DF935,$L$16),SUBSTITUTE(SUBSTITUTE(TRIM(SUBSTITUTE(SUBSTITUTE(SUBSTITUTE(SUBSTITUTE(INDEX(PASTE_ALL,$DF935,$L$16)," "," "),CHAR(9)," "),CHAR(10)," "),CHAR(13)," ")),",",""),"%","")),"")))</f>
        <v/>
      </c>
      <c r="DY935">
        <f>IF($DM935=0,"",IFERROR(IF(ISNUMBER($DX935),$DX935,IF($DX935="","",IF(TRIM($DX935)="",0,IF(AND(AND(SUBSTITUTE(SUBSTITUTE(SUBSTITUTE(SUBSTITUTE(SUBSTITUTE(SUBSTITUTE(SUBSTITUTE(SUBSTITUTE(SUBSTITUTE(SUBSTITUTE(SUBSTITUTE(SUBSTITUTE(SUBSTITUTE(SUBSTITUTE(UPPER(TRIM($DX935)),"0",""),"1",""),"2",""),"3",""),"4",""),"5",""),"6",""),"7",""),"8",""),"9",""),".",""),"+",""),"-",""),"E","")="",LEN(SUBSTITUTE(SUBSTITUTE(MID(UPPER(TRIM($DX935)),1+OR(LEFT(UPPER(TRIM($DX935)),1)="+",LEFT(UPPER(TRIM($DX935)),1)="-"),999),"E+","E"),"E-","E"))=LEN(SUBSTITUTE(SUBSTITUTE(SUBSTITUTE(SUBSTITUTE(MID(UPPER(TRIM($DX935)),1+OR(LEFT(UPPER(TRIM($DX935)),1)="+",LEFT(UPPER(TRIM($DX935)),1)="-"),999),"E+","E"),"E-","E"),"+",""),"-","")),LEN(UPPER(TRIM($DX935)))-LEN(SUBSTITUTE(UPPER(TRIM($DX935)),"E",""))&lt;2,LEN(UPPER(TRIM($DX935)))-LEN(SUBSTITUTE(UPPER(TRIM($DX935)),".",""))&lt;2,IFERROR(FIND(".",UPPER(TRIM($DX935))),0)&lt;IFERROR(FIND("E",UPPER(TRIM($DX935))),999)),ISNUMBER(VALUE(TRIM($DX935)))),VALUE(TRIM($DX935)),"")))),""))</f>
        <v/>
      </c>
      <c r="DZ935">
        <f>IF($DM935=0,"",IF($L$17=0,"",IFERROR(IF(ISNUMBER(INDEX(PASTE_ALL,$DF935,$L$17)),INDEX(PASTE_ALL,$DF935,$L$17),SUBSTITUTE(SUBSTITUTE(TRIM(SUBSTITUTE(SUBSTITUTE(SUBSTITUTE(SUBSTITUTE(INDEX(PASTE_ALL,$DF935,$L$17)," "," "),CHAR(9)," "),CHAR(10)," "),CHAR(13)," ")),",",""),"%","")),"")))</f>
        <v/>
      </c>
      <c r="EA935">
        <f>IF($DM935=0,"",IFERROR(IF(ISNUMBER($DZ935),$DZ935,IF($DZ935="","",IF(TRIM($DZ935)="",0,IF(AND(AND(SUBSTITUTE(SUBSTITUTE(SUBSTITUTE(SUBSTITUTE(SUBSTITUTE(SUBSTITUTE(SUBSTITUTE(SUBSTITUTE(SUBSTITUTE(SUBSTITUTE(SUBSTITUTE(SUBSTITUTE(SUBSTITUTE(SUBSTITUTE(UPPER(TRIM($DZ935)),"0",""),"1",""),"2",""),"3",""),"4",""),"5",""),"6",""),"7",""),"8",""),"9",""),".",""),"+",""),"-",""),"E","")="",LEN(SUBSTITUTE(SUBSTITUTE(MID(UPPER(TRIM($DZ935)),1+OR(LEFT(UPPER(TRIM($DZ935)),1)="+",LEFT(UPPER(TRIM($DZ935)),1)="-"),999),"E+","E"),"E-","E"))=LEN(SUBSTITUTE(SUBSTITUTE(SUBSTITUTE(SUBSTITUTE(MID(UPPER(TRIM($DZ935)),1+OR(LEFT(UPPER(TRIM($DZ935)),1)="+",LEFT(UPPER(TRIM($DZ935)),1)="-"),999),"E+","E"),"E-","E"),"+",""),"-","")),LEN(UPPER(TRIM($DZ935)))-LEN(SUBSTITUTE(UPPER(TRIM($DZ935)),"E",""))&lt;2,LEN(UPPER(TRIM($DZ935)))-LEN(SUBSTITUTE(UPPER(TRIM($DZ935)),".",""))&lt;2,IFERROR(FIND(".",UPPER(TRIM($DZ935))),0)&lt;IFERROR(FIND("E",UPPER(TRIM($DZ935))),999)),ISNUMBER(VALUE(TRIM($DZ935)))),VALUE(TRIM($DZ935)),"")))),""))</f>
        <v/>
      </c>
      <c r="EB935">
        <f>IF($DM935=0,"",IF($L$18=0,"",IFERROR(IF(UPPER(TRIM(SUBSTITUTE(SUBSTITUTE(SUBSTITUTE(SUBSTITUTE(INDEX(PASTE_ALL,$DF935,$L$18)," "," "),CHAR(9)," "),CHAR(10)," "),CHAR(13)," ")))="READY","Ready",IF(UPPER(TRIM(SUBSTITUTE(SUBSTITUTE(SUBSTITUTE(SUBSTITUTE(INDEX(PASTE_ALL,$DF935,$L$18)," "," "),CHAR(9)," "),CHAR(10)," "),CHAR(13)," ")))="PM","PM",IF(OR(UPPER(TRIM(SUBSTITUTE(SUBSTITUTE(SUBSTITUTE(SUBSTITUTE(INDEX(PASTE_ALL,$DF935,$L$18)," "," "),CHAR(9)," "),CHAR(10)," "),CHAR(13)," ")))="OT",UPPER(TRIM(SUBSTITUTE(SUBSTITUTE(SUBSTITUTE(SUBSTITUTE(INDEX(PASTE_ALL,$DF935,$L$18)," "," "),CHAR(9)," "),CHAR(10)," "),CHAR(13)," ")))="OVERTIME",UPPER(TRIM(SUBSTITUTE(SUBSTITUTE(SUBSTITUTE(SUBSTITUTE(INDEX(PASTE_ALL,$DF935,$L$18)," "," "),CHAR(9)," "),CHAR(10)," "),CHAR(13)," ")))="TRIAL"),"OT",TRIM(SUBSTITUTE(SUBSTITUTE(SUBSTITUTE(SUBSTITUTE(INDEX(PASTE_ALL,$DF935,$L$18)," "," "),CHAR(9)," "),CHAR(10)," "),CHAR(13)," "))))),"")))</f>
        <v/>
      </c>
      <c r="EC935">
        <f>IF($DM935=0,"",IF($L$19=0,"",IFERROR(IF(ISNUMBER(INDEX(PASTE_ALL,$DF935,$L$19)),INDEX(PASTE_ALL,$DF935,$L$19),TRIM(SUBSTITUTE(SUBSTITUTE(SUBSTITUTE(SUBSTITUTE(INDEX(PASTE_ALL,$DF935,$L$19)," "," "),CHAR(9)," "),CHAR(10)," "),CHAR(13)," "))),"")))</f>
        <v/>
      </c>
      <c r="ED935">
        <f>IF($DM935=0,"",MATCH(1,INDEX(EXACT($DH$5:DH935,$DH935)*$DM$5:DM935,0),0))</f>
        <v/>
      </c>
      <c r="EE935">
        <f>IF($DM935=0,0,IF($ED935=$DE935,1,0))</f>
        <v/>
      </c>
      <c r="EF935">
        <f>EF934+$EE935</f>
        <v/>
      </c>
      <c r="EG935">
        <f>IF($DM935=0,"",INDEX($EF$5:$EF$1003,$ED935))</f>
        <v/>
      </c>
      <c r="EH935">
        <f>IF($DM935=0,"",IF($DO935&lt;&gt;"","",IFERROR(LOOKUP(2,1/(($EG$4:EG934=$EG935)*($DO$4:DO934&lt;&gt;"")),$DO$4:DO934),"")))</f>
        <v/>
      </c>
      <c r="EI935">
        <f>IF($DM935=0,"",IF($DO935&lt;&gt;"",$DO935,$EH935))</f>
        <v/>
      </c>
      <c r="EJ935">
        <f>IF($DM935=0,"",IF($EI935="",0,IF(OR(ISNUMBER($EI935),AND(AND(SUBSTITUTE(SUBSTITUTE(SUBSTITUTE(SUBSTITUTE(SUBSTITUTE(SUBSTITUTE(SUBSTITUTE(SUBSTITUTE(SUBSTITUTE(SUBSTITUTE(SUBSTITUTE(SUBSTITUTE(SUBSTITUTE(SUBSTITUTE(UPPER($EI935),"0",""),"1",""),"2",""),"3",""),"4",""),"5",""),"6",""),"7",""),"8",""),"9",""),".",""),"+",""),"-",""),"E","")="",LEN(SUBSTITUTE(SUBSTITUTE(MID(UPPER($EI935),1+OR(LEFT(UPPER($EI935),1)="+",LEFT(UPPER($EI935),1)="-"),999),"E+","E"),"E-","E"))=LEN(SUBSTITUTE(SUBSTITUTE(SUBSTITUTE(SUBSTITUTE(MID(UPPER($EI935),1+OR(LEFT(UPPER($EI935),1)="+",LEFT(UPPER($EI935),1)="-"),999),"E+","E"),"E-","E"),"+",""),"-","")),LEN(UPPER($EI935))-LEN(SUBSTITUTE(UPPER($EI935),"E",""))&lt;2,LEN(UPPER($EI935))-LEN(SUBSTITUTE(UPPER($EI935),".",""))&lt;2,IFERROR(FIND(".",UPPER($EI935)),0)&lt;IFERROR(FIND("E",UPPER($EI935)),999)),ISNUMBER(VALUE($EI935)))),1,2)))</f>
        <v/>
      </c>
      <c r="EK935">
        <f>IF($DM935=0,"",IF($EJ935=1,IF(ISNUMBER($EI935),$EI935,VALUE($EI935)),IF($EJ935=2,$DE935,0)))</f>
        <v/>
      </c>
      <c r="EL935">
        <f>IF($DM935=0,"",COUNTIF($EG$5:$EG$1003,"&lt;"&amp;$EG935)+SUMPRODUCT(($EG$5:$EG$1003=$EG935)*(($EJ$5:$EJ$1003&lt;$EJ935)+($EJ$5:$EJ$1003=$EJ935)*(($EK$5:$EK$1003&lt;$EK935)+($EK$5:$EK$1003=$EK935)*($DE$5:$DE$1003&lt;$DE935))))+1)</f>
        <v/>
      </c>
      <c r="EM935">
        <f>IF($DM935=0,"",$EL935+$EG935-1)</f>
        <v/>
      </c>
      <c r="EN935">
        <f>IF($DM935=0,0,IFERROR(MATCH(1,INDEX(--(TRIM(SUBSTITUTE(SUBSTITUTE(SUBSTITUTE(SUBSTITUTE(LINES_NAME&amp;""," "," "),CHAR(9)," "),CHAR(10)," "),CHAR(13)," "))=$DH935),0),0),0))</f>
        <v/>
      </c>
      <c r="EO935">
        <f>IF($EN935=0,0,IF(OR(UPPER(TRIM(INDEX(LINES_SCHEDULED,$EN935)&amp;""))="YES",UPPER(TRIM(INDEX(LINES_SCHEDULED,$EN935)&amp;""))="Y",UPPER(TRIM(INDEX(LINES_SCHEDULED,$EN935)&amp;""))="X"),1,0))</f>
        <v/>
      </c>
      <c r="EP935">
        <f>IF($DM935=0,"",IF(COUNTIFS($EG$5:$EG$1003,$EG935,$EB$5:$EB$1003,"Ready")&gt;0,"READY",IF(COUNTIFS($EG$5:$EG$1003,$EG935,$EB$5:$EB$1003,"PM")&gt;0,"PM",IF(COUNTIFS($EG$5:$EG$1003,$EG935,$EB$5:$EB$1003,"OT")&gt;0,"OT",""))))</f>
        <v/>
      </c>
      <c r="EQ935">
        <f>IF($EN935=0,"",UPPER(TRIM(INDEX(LINES_STATUS,$EN935)&amp;"")))</f>
        <v/>
      </c>
      <c r="ER935">
        <f>IF($DM935=0,"",IF(OR($EQ935="READY",$EQ935="PM",$EQ935="OT"),$EQ935,$EP935))</f>
        <v/>
      </c>
      <c r="ES935">
        <f>IF($DM935=0,"",IF(AND($DV935&lt;&gt;"",UPPER($DV935)&lt;&gt;"N"),"allergen",IF(ISNUMBER(SEARCH("oil",$DQ935)),"oil",IF(OR(EXACT($DS935,"A662"),EXACT($DS935,"A624")),"bulk",""))))</f>
        <v/>
      </c>
      <c r="ET935">
        <f>IF($DM935=0,"",IF(OR($EA935="",$EA935=0),"",$EA935/100))</f>
        <v/>
      </c>
      <c r="EU935">
        <f>IF(OR($ET935="",$DY935=""),"",INT($DY935*(1-$ET935)+0.5))</f>
        <v/>
      </c>
    </row>
    <row r="936">
      <c r="DA936" t="n">
        <v>932</v>
      </c>
      <c r="DB936">
        <f>IF($B$37=0,"",IFERROR(TRIM(SUBSTITUTE(SUBSTITUTE(SUBSTITUTE(SUBSTITUTE(INDEX(PASTE_ALL,932,$B$37)," "," "),CHAR(9)," "),CHAR(10)," "),CHAR(13)," ")),""))</f>
        <v/>
      </c>
      <c r="DC936">
        <f>IF(AND(932&gt;HEADER_ROW,UPPER(DB936)="LEGEND"),1,0)</f>
        <v/>
      </c>
      <c r="DE936" t="n">
        <v>932</v>
      </c>
      <c r="DF936">
        <f>HEADER_ROW+$DE936</f>
        <v/>
      </c>
      <c r="DG936">
        <f>IF(AND($DF936&lt;=1000,$DF936&lt;$B$8),1,0)</f>
        <v/>
      </c>
      <c r="DH936">
        <f>IF($DG936=1,IFERROR(INDEX($DB$5:$DB$1004,$DF936),""),"")</f>
        <v/>
      </c>
      <c r="DI936">
        <f>IF(AND($DG936=1,$DH936&lt;&gt;""),IFERROR(SUBSTITUTE(SUBSTITUTE(TRIM(SUBSTITUTE(SUBSTITUTE(SUBSTITUTE(SUBSTITUTE(IFERROR(INDEX(PASTE_ALL,$DF936,1)&amp;"","")&amp;"␟"&amp;IFERROR(INDEX(PASTE_ALL,$DF936,2)&amp;"","")&amp;"␟"&amp;IFERROR(INDEX(PASTE_ALL,$DF936,3)&amp;"","")&amp;"␟"&amp;IFERROR(INDEX(PASTE_ALL,$DF936,4)&amp;"","")&amp;"␟"&amp;IFERROR(INDEX(PASTE_ALL,$DF936,5)&amp;"","")&amp;"␟"&amp;IFERROR(INDEX(PASTE_ALL,$DF936,6)&amp;"","")&amp;"␟"&amp;IFERROR(INDEX(PASTE_ALL,$DF936,7)&amp;"","")&amp;"␟"&amp;IFERROR(INDEX(PASTE_ALL,$DF936,8)&amp;"","")&amp;"␟"&amp;IFERROR(INDEX(PASTE_ALL,$DF936,9)&amp;"","")&amp;"␟"&amp;IFERROR(INDEX(PASTE_ALL,$DF936,10)&amp;"","")&amp;"␟"&amp;IFERROR(INDEX(PASTE_ALL,$DF936,11)&amp;"","")&amp;"␟"&amp;IFERROR(INDEX(PASTE_ALL,$DF936,12)&amp;"","")&amp;"␟"&amp;IFERROR(INDEX(PASTE_ALL,$DF936,13)&amp;"","")&amp;"␟"&amp;IFERROR(INDEX(PASTE_ALL,$DF936,14)&amp;"","")&amp;"␟"&amp;IFERROR(INDEX(PASTE_ALL,$DF936,15)&amp;"","")&amp;"␟"&amp;IFERROR(INDEX(PASTE_ALL,$DF936,16)&amp;"","")&amp;"␟"&amp;IFERROR(INDEX(PASTE_ALL,$DF936,17)&amp;"","")&amp;"␟"&amp;IFERROR(INDEX(PASTE_ALL,$DF936,18)&amp;"","")&amp;"␟"&amp;IFERROR(INDEX(PASTE_ALL,$DF936,19)&amp;"","")&amp;"␟"&amp;IFERROR(INDEX(PASTE_ALL,$DF936,20)&amp;"","")&amp;"␟"&amp;IFERROR(INDEX(PASTE_ALL,$DF936,21)&amp;"","")&amp;"␟"&amp;IFERROR(INDEX(PASTE_ALL,$DF936,22)&amp;"","")&amp;"␟"&amp;IFERROR(INDEX(PASTE_ALL,$DF936,23)&amp;"","")&amp;"␟"&amp;IFERROR(INDEX(PASTE_ALL,$DF936,24)&amp;"","")&amp;"␟"&amp;IFERROR(INDEX(PASTE_ALL,$DF936,25)&amp;"","")&amp;"␟"&amp;IFERROR(INDEX(PASTE_ALL,$DF936,26)&amp;"","")&amp;"␟"&amp;IFERROR(INDEX(PASTE_ALL,$DF936,27)&amp;"","")&amp;"␟"&amp;IFERROR(INDEX(PASTE_ALL,$DF936,28)&amp;"","")&amp;"␟"&amp;IFERROR(INDEX(PASTE_ALL,$DF936,29)&amp;"","")&amp;"␟"&amp;IFERROR(INDEX(PASTE_ALL,$DF936,30)&amp;"","")&amp;"␟"&amp;IFERROR(INDEX(PASTE_ALL,$DF936,31)&amp;"","")&amp;"␟"&amp;IFERROR(INDEX(PASTE_ALL,$DF936,32)&amp;"","")&amp;"␟"&amp;IFERROR(INDEX(PASTE_ALL,$DF936,33)&amp;"","")&amp;"␟"&amp;IFERROR(INDEX(PASTE_ALL,$DF936,34)&amp;"","")&amp;"␟"&amp;IFERROR(INDEX(PASTE_ALL,$DF936,35)&amp;"","")&amp;"␟"&amp;IFERROR(INDEX(PASTE_ALL,$DF936,36)&amp;"","")&amp;"␟"&amp;IFERROR(INDEX(PASTE_ALL,$DF936,37)&amp;"","")&amp;"␟"&amp;IFERROR(INDEX(PASTE_ALL,$DF936,38)&amp;"","")&amp;"␟"&amp;IFERROR(INDEX(PASTE_ALL,$DF936,39)&amp;"","")&amp;"␟"&amp;IFERROR(INDEX(PASTE_ALL,$DF936,40)&amp;"","")&amp;"␟"&amp;IFERROR(INDEX(PASTE_ALL,$DF936,41)&amp;"","")&amp;"␟"&amp;IFERROR(INDEX(PASTE_ALL,$DF936,42)&amp;"","")&amp;"␟"&amp;IFERROR(INDEX(PASTE_ALL,$DF936,43)&amp;"","")&amp;"␟"&amp;IFERROR(INDEX(PASTE_ALL,$DF936,44)&amp;"","")&amp;"␟"&amp;IFERROR(INDEX(PASTE_ALL,$DF936,45)&amp;"","")&amp;"␟"&amp;IFERROR(INDEX(PASTE_ALL,$DF936,46)&amp;"","")&amp;"␟"&amp;IFERROR(INDEX(PASTE_ALL,$DF936,47)&amp;"","")&amp;"␟"&amp;IFERROR(INDEX(PASTE_ALL,$DF936,48)&amp;"","")&amp;"␟"&amp;IFERROR(INDEX(PASTE_ALL,$DF936,49)&amp;"","")&amp;"␟"&amp;IFERROR(INDEX(PASTE_ALL,$DF936,50)&amp;"","")&amp;"␟"&amp;IFERROR(INDEX(PASTE_ALL,$DF936,51)&amp;"","")&amp;"␟"&amp;IFERROR(INDEX(PASTE_ALL,$DF936,52)&amp;"","")&amp;"␟"&amp;IFERROR(INDEX(PASTE_ALL,$DF936,53)&amp;"","")&amp;"␟"&amp;IFERROR(INDEX(PASTE_ALL,$DF936,54)&amp;"","")&amp;"␟"&amp;IFERROR(INDEX(PASTE_ALL,$DF936,55)&amp;"","")&amp;"␟"&amp;IFERROR(INDEX(PASTE_ALL,$DF936,56)&amp;"","")&amp;"␟"&amp;IFERROR(INDEX(PASTE_ALL,$DF936,57)&amp;"","")&amp;"␟"&amp;IFERROR(INDEX(PASTE_ALL,$DF936,58)&amp;"","")&amp;"␟"&amp;IFERROR(INDEX(PASTE_ALL,$DF936,59)&amp;"","")&amp;"␟"&amp;IFERROR(INDEX(PASTE_ALL,$DF936,60)&amp;"","")," "," "),CHAR(9)," "),CHAR(10)," "),CHAR(13)," "))," ␟","␟"),"␟ ","␟"),"#"&amp;$DE936),"")</f>
        <v/>
      </c>
      <c r="DJ936">
        <f>IF($DI936="",0,IF(SUMPRODUCT(--EXACT($DI$4:DI935,$DI936))&gt;0,1,0))</f>
        <v/>
      </c>
      <c r="DK936">
        <f>IF(AND($DI936&lt;&gt;"",$DJ936=0),1,0)</f>
        <v/>
      </c>
      <c r="DL936">
        <f>DL935+$DK936</f>
        <v/>
      </c>
      <c r="DM936">
        <f>IF(AND($DK936=1,$DL936&lt;=600),1,0)</f>
        <v/>
      </c>
      <c r="DN936">
        <f>IF($DM936=0,"",IF($L$6=0,"",IFERROR(IF(ISNUMBER(INDEX(PASTE_ALL,$DF936,$L$6)),INDEX(PASTE_ALL,$DF936,$L$6),TRIM(SUBSTITUTE(SUBSTITUTE(SUBSTITUTE(SUBSTITUTE(INDEX(PASTE_ALL,$DF936,$L$6)," "," "),CHAR(9)," "),CHAR(10)," "),CHAR(13)," "))),"")))</f>
        <v/>
      </c>
      <c r="DO936">
        <f>IF($DM936=0,"",IF($L$7=0,"",IFERROR(IF(ISNUMBER(INDEX(PASTE_ALL,$DF936,$L$7)),INDEX(PASTE_ALL,$DF936,$L$7),TRIM(SUBSTITUTE(SUBSTITUTE(SUBSTITUTE(SUBSTITUTE(INDEX(PASTE_ALL,$DF936,$L$7)," "," "),CHAR(9)," "),CHAR(10)," "),CHAR(13)," "))),"")))</f>
        <v/>
      </c>
      <c r="DP936">
        <f>IF($DM936=0,"",IF($L$8=0,"",IFERROR(IF(ISNUMBER(INDEX(PASTE_ALL,$DF936,$L$8)),INDEX(PASTE_ALL,$DF936,$L$8),TRIM(SUBSTITUTE(SUBSTITUTE(SUBSTITUTE(SUBSTITUTE(INDEX(PASTE_ALL,$DF936,$L$8)," "," "),CHAR(9)," "),CHAR(10)," "),CHAR(13)," "))),"")))</f>
        <v/>
      </c>
      <c r="DQ936">
        <f>IF($DM936=0,"",IF($L$9=0,"",IFERROR(IF(ISNUMBER(INDEX(PASTE_ALL,$DF936,$L$9)),INDEX(PASTE_ALL,$DF936,$L$9),TRIM(SUBSTITUTE(SUBSTITUTE(SUBSTITUTE(SUBSTITUTE(INDEX(PASTE_ALL,$DF936,$L$9)," "," "),CHAR(9)," "),CHAR(10)," "),CHAR(13)," "))),"")))</f>
        <v/>
      </c>
      <c r="DR936">
        <f>IF($DM936=0,"",IF($L$10=0,"",IFERROR(IF(ISNUMBER(INDEX(PASTE_ALL,$DF936,$L$10)),INDEX(PASTE_ALL,$DF936,$L$10),TRIM(SUBSTITUTE(SUBSTITUTE(SUBSTITUTE(SUBSTITUTE(INDEX(PASTE_ALL,$DF936,$L$10)," "," "),CHAR(9)," "),CHAR(10)," "),CHAR(13)," "))),"")))</f>
        <v/>
      </c>
      <c r="DS936">
        <f>IF($DM936=0,"",IF($L$11=0,"",IFERROR(IF(ISNUMBER(INDEX(PASTE_ALL,$DF936,$L$11)),INDEX(PASTE_ALL,$DF936,$L$11),TRIM(SUBSTITUTE(SUBSTITUTE(SUBSTITUTE(SUBSTITUTE(INDEX(PASTE_ALL,$DF936,$L$11)," "," "),CHAR(9)," "),CHAR(10)," "),CHAR(13)," "))),"")))</f>
        <v/>
      </c>
      <c r="DT936">
        <f>IF($DM936=0,"",IF($L$12=0,"",IFERROR(IF(ISNUMBER(INDEX(PASTE_ALL,$DF936,$L$12)),INDEX(PASTE_ALL,$DF936,$L$12),TRIM(SUBSTITUTE(SUBSTITUTE(SUBSTITUTE(SUBSTITUTE(INDEX(PASTE_ALL,$DF936,$L$12)," "," "),CHAR(9)," "),CHAR(10)," "),CHAR(13)," "))),"")))</f>
        <v/>
      </c>
      <c r="DU936">
        <f>IF($DM936=0,"",IF($L$13=0,"",IFERROR(IF(ISNUMBER(INDEX(PASTE_ALL,$DF936,$L$13)),INDEX(PASTE_ALL,$DF936,$L$13),TRIM(SUBSTITUTE(SUBSTITUTE(SUBSTITUTE(SUBSTITUTE(INDEX(PASTE_ALL,$DF936,$L$13)," "," "),CHAR(9)," "),CHAR(10)," "),CHAR(13)," "))),"")))</f>
        <v/>
      </c>
      <c r="DV936">
        <f>IF($DM936=0,"",IF($L$14=0,"",IFERROR(IF(ISNUMBER(INDEX(PASTE_ALL,$DF936,$L$14)),INDEX(PASTE_ALL,$DF936,$L$14),TRIM(SUBSTITUTE(SUBSTITUTE(SUBSTITUTE(SUBSTITUTE(INDEX(PASTE_ALL,$DF936,$L$14)," "," "),CHAR(9)," "),CHAR(10)," "),CHAR(13)," "))),"")))</f>
        <v/>
      </c>
      <c r="DW936">
        <f>IF($DM936=0,"",IF($L$15=0,"",IFERROR(IF(ISNUMBER(INDEX(PASTE_ALL,$DF936,$L$15)),INDEX(PASTE_ALL,$DF936,$L$15),IF(SUMPRODUCT(--ISNUMBER(FIND({"A","B","C","D","E","F","G","H","I","J","K","L","M","N","O","P","Q","R","S","T","U","V","W","X","Y","Z","0","1","2","3","4","5","6","7","8","9"},UPPER(TRIM(SUBSTITUTE(SUBSTITUTE(SUBSTITUTE(SUBSTITUTE(INDEX(PASTE_ALL,$DF936,$L$15)," "," "),CHAR(9)," "),CHAR(10)," "),CHAR(13)," "))))))&gt;0,TRIM(SUBSTITUTE(SUBSTITUTE(SUBSTITUTE(SUBSTITUTE(INDEX(PASTE_ALL,$DF936,$L$15)," "," "),CHAR(9)," "),CHAR(10)," "),CHAR(13)," ")),"")),"")))</f>
        <v/>
      </c>
      <c r="DX936">
        <f>IF($DM936=0,"",IF($L$16=0,"",IFERROR(IF(ISNUMBER(INDEX(PASTE_ALL,$DF936,$L$16)),INDEX(PASTE_ALL,$DF936,$L$16),SUBSTITUTE(SUBSTITUTE(TRIM(SUBSTITUTE(SUBSTITUTE(SUBSTITUTE(SUBSTITUTE(INDEX(PASTE_ALL,$DF936,$L$16)," "," "),CHAR(9)," "),CHAR(10)," "),CHAR(13)," ")),",",""),"%","")),"")))</f>
        <v/>
      </c>
      <c r="DY936">
        <f>IF($DM936=0,"",IFERROR(IF(ISNUMBER($DX936),$DX936,IF($DX936="","",IF(TRIM($DX936)="",0,IF(AND(AND(SUBSTITUTE(SUBSTITUTE(SUBSTITUTE(SUBSTITUTE(SUBSTITUTE(SUBSTITUTE(SUBSTITUTE(SUBSTITUTE(SUBSTITUTE(SUBSTITUTE(SUBSTITUTE(SUBSTITUTE(SUBSTITUTE(SUBSTITUTE(UPPER(TRIM($DX936)),"0",""),"1",""),"2",""),"3",""),"4",""),"5",""),"6",""),"7",""),"8",""),"9",""),".",""),"+",""),"-",""),"E","")="",LEN(SUBSTITUTE(SUBSTITUTE(MID(UPPER(TRIM($DX936)),1+OR(LEFT(UPPER(TRIM($DX936)),1)="+",LEFT(UPPER(TRIM($DX936)),1)="-"),999),"E+","E"),"E-","E"))=LEN(SUBSTITUTE(SUBSTITUTE(SUBSTITUTE(SUBSTITUTE(MID(UPPER(TRIM($DX936)),1+OR(LEFT(UPPER(TRIM($DX936)),1)="+",LEFT(UPPER(TRIM($DX936)),1)="-"),999),"E+","E"),"E-","E"),"+",""),"-","")),LEN(UPPER(TRIM($DX936)))-LEN(SUBSTITUTE(UPPER(TRIM($DX936)),"E",""))&lt;2,LEN(UPPER(TRIM($DX936)))-LEN(SUBSTITUTE(UPPER(TRIM($DX936)),".",""))&lt;2,IFERROR(FIND(".",UPPER(TRIM($DX936))),0)&lt;IFERROR(FIND("E",UPPER(TRIM($DX936))),999)),ISNUMBER(VALUE(TRIM($DX936)))),VALUE(TRIM($DX936)),"")))),""))</f>
        <v/>
      </c>
      <c r="DZ936">
        <f>IF($DM936=0,"",IF($L$17=0,"",IFERROR(IF(ISNUMBER(INDEX(PASTE_ALL,$DF936,$L$17)),INDEX(PASTE_ALL,$DF936,$L$17),SUBSTITUTE(SUBSTITUTE(TRIM(SUBSTITUTE(SUBSTITUTE(SUBSTITUTE(SUBSTITUTE(INDEX(PASTE_ALL,$DF936,$L$17)," "," "),CHAR(9)," "),CHAR(10)," "),CHAR(13)," ")),",",""),"%","")),"")))</f>
        <v/>
      </c>
      <c r="EA936">
        <f>IF($DM936=0,"",IFERROR(IF(ISNUMBER($DZ936),$DZ936,IF($DZ936="","",IF(TRIM($DZ936)="",0,IF(AND(AND(SUBSTITUTE(SUBSTITUTE(SUBSTITUTE(SUBSTITUTE(SUBSTITUTE(SUBSTITUTE(SUBSTITUTE(SUBSTITUTE(SUBSTITUTE(SUBSTITUTE(SUBSTITUTE(SUBSTITUTE(SUBSTITUTE(SUBSTITUTE(UPPER(TRIM($DZ936)),"0",""),"1",""),"2",""),"3",""),"4",""),"5",""),"6",""),"7",""),"8",""),"9",""),".",""),"+",""),"-",""),"E","")="",LEN(SUBSTITUTE(SUBSTITUTE(MID(UPPER(TRIM($DZ936)),1+OR(LEFT(UPPER(TRIM($DZ936)),1)="+",LEFT(UPPER(TRIM($DZ936)),1)="-"),999),"E+","E"),"E-","E"))=LEN(SUBSTITUTE(SUBSTITUTE(SUBSTITUTE(SUBSTITUTE(MID(UPPER(TRIM($DZ936)),1+OR(LEFT(UPPER(TRIM($DZ936)),1)="+",LEFT(UPPER(TRIM($DZ936)),1)="-"),999),"E+","E"),"E-","E"),"+",""),"-","")),LEN(UPPER(TRIM($DZ936)))-LEN(SUBSTITUTE(UPPER(TRIM($DZ936)),"E",""))&lt;2,LEN(UPPER(TRIM($DZ936)))-LEN(SUBSTITUTE(UPPER(TRIM($DZ936)),".",""))&lt;2,IFERROR(FIND(".",UPPER(TRIM($DZ936))),0)&lt;IFERROR(FIND("E",UPPER(TRIM($DZ936))),999)),ISNUMBER(VALUE(TRIM($DZ936)))),VALUE(TRIM($DZ936)),"")))),""))</f>
        <v/>
      </c>
      <c r="EB936">
        <f>IF($DM936=0,"",IF($L$18=0,"",IFERROR(IF(UPPER(TRIM(SUBSTITUTE(SUBSTITUTE(SUBSTITUTE(SUBSTITUTE(INDEX(PASTE_ALL,$DF936,$L$18)," "," "),CHAR(9)," "),CHAR(10)," "),CHAR(13)," ")))="READY","Ready",IF(UPPER(TRIM(SUBSTITUTE(SUBSTITUTE(SUBSTITUTE(SUBSTITUTE(INDEX(PASTE_ALL,$DF936,$L$18)," "," "),CHAR(9)," "),CHAR(10)," "),CHAR(13)," ")))="PM","PM",IF(OR(UPPER(TRIM(SUBSTITUTE(SUBSTITUTE(SUBSTITUTE(SUBSTITUTE(INDEX(PASTE_ALL,$DF936,$L$18)," "," "),CHAR(9)," "),CHAR(10)," "),CHAR(13)," ")))="OT",UPPER(TRIM(SUBSTITUTE(SUBSTITUTE(SUBSTITUTE(SUBSTITUTE(INDEX(PASTE_ALL,$DF936,$L$18)," "," "),CHAR(9)," "),CHAR(10)," "),CHAR(13)," ")))="OVERTIME",UPPER(TRIM(SUBSTITUTE(SUBSTITUTE(SUBSTITUTE(SUBSTITUTE(INDEX(PASTE_ALL,$DF936,$L$18)," "," "),CHAR(9)," "),CHAR(10)," "),CHAR(13)," ")))="TRIAL"),"OT",TRIM(SUBSTITUTE(SUBSTITUTE(SUBSTITUTE(SUBSTITUTE(INDEX(PASTE_ALL,$DF936,$L$18)," "," "),CHAR(9)," "),CHAR(10)," "),CHAR(13)," "))))),"")))</f>
        <v/>
      </c>
      <c r="EC936">
        <f>IF($DM936=0,"",IF($L$19=0,"",IFERROR(IF(ISNUMBER(INDEX(PASTE_ALL,$DF936,$L$19)),INDEX(PASTE_ALL,$DF936,$L$19),TRIM(SUBSTITUTE(SUBSTITUTE(SUBSTITUTE(SUBSTITUTE(INDEX(PASTE_ALL,$DF936,$L$19)," "," "),CHAR(9)," "),CHAR(10)," "),CHAR(13)," "))),"")))</f>
        <v/>
      </c>
      <c r="ED936">
        <f>IF($DM936=0,"",MATCH(1,INDEX(EXACT($DH$5:DH936,$DH936)*$DM$5:DM936,0),0))</f>
        <v/>
      </c>
      <c r="EE936">
        <f>IF($DM936=0,0,IF($ED936=$DE936,1,0))</f>
        <v/>
      </c>
      <c r="EF936">
        <f>EF935+$EE936</f>
        <v/>
      </c>
      <c r="EG936">
        <f>IF($DM936=0,"",INDEX($EF$5:$EF$1003,$ED936))</f>
        <v/>
      </c>
      <c r="EH936">
        <f>IF($DM936=0,"",IF($DO936&lt;&gt;"","",IFERROR(LOOKUP(2,1/(($EG$4:EG935=$EG936)*($DO$4:DO935&lt;&gt;"")),$DO$4:DO935),"")))</f>
        <v/>
      </c>
      <c r="EI936">
        <f>IF($DM936=0,"",IF($DO936&lt;&gt;"",$DO936,$EH936))</f>
        <v/>
      </c>
      <c r="EJ936">
        <f>IF($DM936=0,"",IF($EI936="",0,IF(OR(ISNUMBER($EI936),AND(AND(SUBSTITUTE(SUBSTITUTE(SUBSTITUTE(SUBSTITUTE(SUBSTITUTE(SUBSTITUTE(SUBSTITUTE(SUBSTITUTE(SUBSTITUTE(SUBSTITUTE(SUBSTITUTE(SUBSTITUTE(SUBSTITUTE(SUBSTITUTE(UPPER($EI936),"0",""),"1",""),"2",""),"3",""),"4",""),"5",""),"6",""),"7",""),"8",""),"9",""),".",""),"+",""),"-",""),"E","")="",LEN(SUBSTITUTE(SUBSTITUTE(MID(UPPER($EI936),1+OR(LEFT(UPPER($EI936),1)="+",LEFT(UPPER($EI936),1)="-"),999),"E+","E"),"E-","E"))=LEN(SUBSTITUTE(SUBSTITUTE(SUBSTITUTE(SUBSTITUTE(MID(UPPER($EI936),1+OR(LEFT(UPPER($EI936),1)="+",LEFT(UPPER($EI936),1)="-"),999),"E+","E"),"E-","E"),"+",""),"-","")),LEN(UPPER($EI936))-LEN(SUBSTITUTE(UPPER($EI936),"E",""))&lt;2,LEN(UPPER($EI936))-LEN(SUBSTITUTE(UPPER($EI936),".",""))&lt;2,IFERROR(FIND(".",UPPER($EI936)),0)&lt;IFERROR(FIND("E",UPPER($EI936)),999)),ISNUMBER(VALUE($EI936)))),1,2)))</f>
        <v/>
      </c>
      <c r="EK936">
        <f>IF($DM936=0,"",IF($EJ936=1,IF(ISNUMBER($EI936),$EI936,VALUE($EI936)),IF($EJ936=2,$DE936,0)))</f>
        <v/>
      </c>
      <c r="EL936">
        <f>IF($DM936=0,"",COUNTIF($EG$5:$EG$1003,"&lt;"&amp;$EG936)+SUMPRODUCT(($EG$5:$EG$1003=$EG936)*(($EJ$5:$EJ$1003&lt;$EJ936)+($EJ$5:$EJ$1003=$EJ936)*(($EK$5:$EK$1003&lt;$EK936)+($EK$5:$EK$1003=$EK936)*($DE$5:$DE$1003&lt;$DE936))))+1)</f>
        <v/>
      </c>
      <c r="EM936">
        <f>IF($DM936=0,"",$EL936+$EG936-1)</f>
        <v/>
      </c>
      <c r="EN936">
        <f>IF($DM936=0,0,IFERROR(MATCH(1,INDEX(--(TRIM(SUBSTITUTE(SUBSTITUTE(SUBSTITUTE(SUBSTITUTE(LINES_NAME&amp;""," "," "),CHAR(9)," "),CHAR(10)," "),CHAR(13)," "))=$DH936),0),0),0))</f>
        <v/>
      </c>
      <c r="EO936">
        <f>IF($EN936=0,0,IF(OR(UPPER(TRIM(INDEX(LINES_SCHEDULED,$EN936)&amp;""))="YES",UPPER(TRIM(INDEX(LINES_SCHEDULED,$EN936)&amp;""))="Y",UPPER(TRIM(INDEX(LINES_SCHEDULED,$EN936)&amp;""))="X"),1,0))</f>
        <v/>
      </c>
      <c r="EP936">
        <f>IF($DM936=0,"",IF(COUNTIFS($EG$5:$EG$1003,$EG936,$EB$5:$EB$1003,"Ready")&gt;0,"READY",IF(COUNTIFS($EG$5:$EG$1003,$EG936,$EB$5:$EB$1003,"PM")&gt;0,"PM",IF(COUNTIFS($EG$5:$EG$1003,$EG936,$EB$5:$EB$1003,"OT")&gt;0,"OT",""))))</f>
        <v/>
      </c>
      <c r="EQ936">
        <f>IF($EN936=0,"",UPPER(TRIM(INDEX(LINES_STATUS,$EN936)&amp;"")))</f>
        <v/>
      </c>
      <c r="ER936">
        <f>IF($DM936=0,"",IF(OR($EQ936="READY",$EQ936="PM",$EQ936="OT"),$EQ936,$EP936))</f>
        <v/>
      </c>
      <c r="ES936">
        <f>IF($DM936=0,"",IF(AND($DV936&lt;&gt;"",UPPER($DV936)&lt;&gt;"N"),"allergen",IF(ISNUMBER(SEARCH("oil",$DQ936)),"oil",IF(OR(EXACT($DS936,"A662"),EXACT($DS936,"A624")),"bulk",""))))</f>
        <v/>
      </c>
      <c r="ET936">
        <f>IF($DM936=0,"",IF(OR($EA936="",$EA936=0),"",$EA936/100))</f>
        <v/>
      </c>
      <c r="EU936">
        <f>IF(OR($ET936="",$DY936=""),"",INT($DY936*(1-$ET936)+0.5))</f>
        <v/>
      </c>
    </row>
    <row r="937">
      <c r="DA937" t="n">
        <v>933</v>
      </c>
      <c r="DB937">
        <f>IF($B$37=0,"",IFERROR(TRIM(SUBSTITUTE(SUBSTITUTE(SUBSTITUTE(SUBSTITUTE(INDEX(PASTE_ALL,933,$B$37)," "," "),CHAR(9)," "),CHAR(10)," "),CHAR(13)," ")),""))</f>
        <v/>
      </c>
      <c r="DC937">
        <f>IF(AND(933&gt;HEADER_ROW,UPPER(DB937)="LEGEND"),1,0)</f>
        <v/>
      </c>
      <c r="DE937" t="n">
        <v>933</v>
      </c>
      <c r="DF937">
        <f>HEADER_ROW+$DE937</f>
        <v/>
      </c>
      <c r="DG937">
        <f>IF(AND($DF937&lt;=1000,$DF937&lt;$B$8),1,0)</f>
        <v/>
      </c>
      <c r="DH937">
        <f>IF($DG937=1,IFERROR(INDEX($DB$5:$DB$1004,$DF937),""),"")</f>
        <v/>
      </c>
      <c r="DI937">
        <f>IF(AND($DG937=1,$DH937&lt;&gt;""),IFERROR(SUBSTITUTE(SUBSTITUTE(TRIM(SUBSTITUTE(SUBSTITUTE(SUBSTITUTE(SUBSTITUTE(IFERROR(INDEX(PASTE_ALL,$DF937,1)&amp;"","")&amp;"␟"&amp;IFERROR(INDEX(PASTE_ALL,$DF937,2)&amp;"","")&amp;"␟"&amp;IFERROR(INDEX(PASTE_ALL,$DF937,3)&amp;"","")&amp;"␟"&amp;IFERROR(INDEX(PASTE_ALL,$DF937,4)&amp;"","")&amp;"␟"&amp;IFERROR(INDEX(PASTE_ALL,$DF937,5)&amp;"","")&amp;"␟"&amp;IFERROR(INDEX(PASTE_ALL,$DF937,6)&amp;"","")&amp;"␟"&amp;IFERROR(INDEX(PASTE_ALL,$DF937,7)&amp;"","")&amp;"␟"&amp;IFERROR(INDEX(PASTE_ALL,$DF937,8)&amp;"","")&amp;"␟"&amp;IFERROR(INDEX(PASTE_ALL,$DF937,9)&amp;"","")&amp;"␟"&amp;IFERROR(INDEX(PASTE_ALL,$DF937,10)&amp;"","")&amp;"␟"&amp;IFERROR(INDEX(PASTE_ALL,$DF937,11)&amp;"","")&amp;"␟"&amp;IFERROR(INDEX(PASTE_ALL,$DF937,12)&amp;"","")&amp;"␟"&amp;IFERROR(INDEX(PASTE_ALL,$DF937,13)&amp;"","")&amp;"␟"&amp;IFERROR(INDEX(PASTE_ALL,$DF937,14)&amp;"","")&amp;"␟"&amp;IFERROR(INDEX(PASTE_ALL,$DF937,15)&amp;"","")&amp;"␟"&amp;IFERROR(INDEX(PASTE_ALL,$DF937,16)&amp;"","")&amp;"␟"&amp;IFERROR(INDEX(PASTE_ALL,$DF937,17)&amp;"","")&amp;"␟"&amp;IFERROR(INDEX(PASTE_ALL,$DF937,18)&amp;"","")&amp;"␟"&amp;IFERROR(INDEX(PASTE_ALL,$DF937,19)&amp;"","")&amp;"␟"&amp;IFERROR(INDEX(PASTE_ALL,$DF937,20)&amp;"","")&amp;"␟"&amp;IFERROR(INDEX(PASTE_ALL,$DF937,21)&amp;"","")&amp;"␟"&amp;IFERROR(INDEX(PASTE_ALL,$DF937,22)&amp;"","")&amp;"␟"&amp;IFERROR(INDEX(PASTE_ALL,$DF937,23)&amp;"","")&amp;"␟"&amp;IFERROR(INDEX(PASTE_ALL,$DF937,24)&amp;"","")&amp;"␟"&amp;IFERROR(INDEX(PASTE_ALL,$DF937,25)&amp;"","")&amp;"␟"&amp;IFERROR(INDEX(PASTE_ALL,$DF937,26)&amp;"","")&amp;"␟"&amp;IFERROR(INDEX(PASTE_ALL,$DF937,27)&amp;"","")&amp;"␟"&amp;IFERROR(INDEX(PASTE_ALL,$DF937,28)&amp;"","")&amp;"␟"&amp;IFERROR(INDEX(PASTE_ALL,$DF937,29)&amp;"","")&amp;"␟"&amp;IFERROR(INDEX(PASTE_ALL,$DF937,30)&amp;"","")&amp;"␟"&amp;IFERROR(INDEX(PASTE_ALL,$DF937,31)&amp;"","")&amp;"␟"&amp;IFERROR(INDEX(PASTE_ALL,$DF937,32)&amp;"","")&amp;"␟"&amp;IFERROR(INDEX(PASTE_ALL,$DF937,33)&amp;"","")&amp;"␟"&amp;IFERROR(INDEX(PASTE_ALL,$DF937,34)&amp;"","")&amp;"␟"&amp;IFERROR(INDEX(PASTE_ALL,$DF937,35)&amp;"","")&amp;"␟"&amp;IFERROR(INDEX(PASTE_ALL,$DF937,36)&amp;"","")&amp;"␟"&amp;IFERROR(INDEX(PASTE_ALL,$DF937,37)&amp;"","")&amp;"␟"&amp;IFERROR(INDEX(PASTE_ALL,$DF937,38)&amp;"","")&amp;"␟"&amp;IFERROR(INDEX(PASTE_ALL,$DF937,39)&amp;"","")&amp;"␟"&amp;IFERROR(INDEX(PASTE_ALL,$DF937,40)&amp;"","")&amp;"␟"&amp;IFERROR(INDEX(PASTE_ALL,$DF937,41)&amp;"","")&amp;"␟"&amp;IFERROR(INDEX(PASTE_ALL,$DF937,42)&amp;"","")&amp;"␟"&amp;IFERROR(INDEX(PASTE_ALL,$DF937,43)&amp;"","")&amp;"␟"&amp;IFERROR(INDEX(PASTE_ALL,$DF937,44)&amp;"","")&amp;"␟"&amp;IFERROR(INDEX(PASTE_ALL,$DF937,45)&amp;"","")&amp;"␟"&amp;IFERROR(INDEX(PASTE_ALL,$DF937,46)&amp;"","")&amp;"␟"&amp;IFERROR(INDEX(PASTE_ALL,$DF937,47)&amp;"","")&amp;"␟"&amp;IFERROR(INDEX(PASTE_ALL,$DF937,48)&amp;"","")&amp;"␟"&amp;IFERROR(INDEX(PASTE_ALL,$DF937,49)&amp;"","")&amp;"␟"&amp;IFERROR(INDEX(PASTE_ALL,$DF937,50)&amp;"","")&amp;"␟"&amp;IFERROR(INDEX(PASTE_ALL,$DF937,51)&amp;"","")&amp;"␟"&amp;IFERROR(INDEX(PASTE_ALL,$DF937,52)&amp;"","")&amp;"␟"&amp;IFERROR(INDEX(PASTE_ALL,$DF937,53)&amp;"","")&amp;"␟"&amp;IFERROR(INDEX(PASTE_ALL,$DF937,54)&amp;"","")&amp;"␟"&amp;IFERROR(INDEX(PASTE_ALL,$DF937,55)&amp;"","")&amp;"␟"&amp;IFERROR(INDEX(PASTE_ALL,$DF937,56)&amp;"","")&amp;"␟"&amp;IFERROR(INDEX(PASTE_ALL,$DF937,57)&amp;"","")&amp;"␟"&amp;IFERROR(INDEX(PASTE_ALL,$DF937,58)&amp;"","")&amp;"␟"&amp;IFERROR(INDEX(PASTE_ALL,$DF937,59)&amp;"","")&amp;"␟"&amp;IFERROR(INDEX(PASTE_ALL,$DF937,60)&amp;"","")," "," "),CHAR(9)," "),CHAR(10)," "),CHAR(13)," "))," ␟","␟"),"␟ ","␟"),"#"&amp;$DE937),"")</f>
        <v/>
      </c>
      <c r="DJ937">
        <f>IF($DI937="",0,IF(SUMPRODUCT(--EXACT($DI$4:DI936,$DI937))&gt;0,1,0))</f>
        <v/>
      </c>
      <c r="DK937">
        <f>IF(AND($DI937&lt;&gt;"",$DJ937=0),1,0)</f>
        <v/>
      </c>
      <c r="DL937">
        <f>DL936+$DK937</f>
        <v/>
      </c>
      <c r="DM937">
        <f>IF(AND($DK937=1,$DL937&lt;=600),1,0)</f>
        <v/>
      </c>
      <c r="DN937">
        <f>IF($DM937=0,"",IF($L$6=0,"",IFERROR(IF(ISNUMBER(INDEX(PASTE_ALL,$DF937,$L$6)),INDEX(PASTE_ALL,$DF937,$L$6),TRIM(SUBSTITUTE(SUBSTITUTE(SUBSTITUTE(SUBSTITUTE(INDEX(PASTE_ALL,$DF937,$L$6)," "," "),CHAR(9)," "),CHAR(10)," "),CHAR(13)," "))),"")))</f>
        <v/>
      </c>
      <c r="DO937">
        <f>IF($DM937=0,"",IF($L$7=0,"",IFERROR(IF(ISNUMBER(INDEX(PASTE_ALL,$DF937,$L$7)),INDEX(PASTE_ALL,$DF937,$L$7),TRIM(SUBSTITUTE(SUBSTITUTE(SUBSTITUTE(SUBSTITUTE(INDEX(PASTE_ALL,$DF937,$L$7)," "," "),CHAR(9)," "),CHAR(10)," "),CHAR(13)," "))),"")))</f>
        <v/>
      </c>
      <c r="DP937">
        <f>IF($DM937=0,"",IF($L$8=0,"",IFERROR(IF(ISNUMBER(INDEX(PASTE_ALL,$DF937,$L$8)),INDEX(PASTE_ALL,$DF937,$L$8),TRIM(SUBSTITUTE(SUBSTITUTE(SUBSTITUTE(SUBSTITUTE(INDEX(PASTE_ALL,$DF937,$L$8)," "," "),CHAR(9)," "),CHAR(10)," "),CHAR(13)," "))),"")))</f>
        <v/>
      </c>
      <c r="DQ937">
        <f>IF($DM937=0,"",IF($L$9=0,"",IFERROR(IF(ISNUMBER(INDEX(PASTE_ALL,$DF937,$L$9)),INDEX(PASTE_ALL,$DF937,$L$9),TRIM(SUBSTITUTE(SUBSTITUTE(SUBSTITUTE(SUBSTITUTE(INDEX(PASTE_ALL,$DF937,$L$9)," "," "),CHAR(9)," "),CHAR(10)," "),CHAR(13)," "))),"")))</f>
        <v/>
      </c>
      <c r="DR937">
        <f>IF($DM937=0,"",IF($L$10=0,"",IFERROR(IF(ISNUMBER(INDEX(PASTE_ALL,$DF937,$L$10)),INDEX(PASTE_ALL,$DF937,$L$10),TRIM(SUBSTITUTE(SUBSTITUTE(SUBSTITUTE(SUBSTITUTE(INDEX(PASTE_ALL,$DF937,$L$10)," "," "),CHAR(9)," "),CHAR(10)," "),CHAR(13)," "))),"")))</f>
        <v/>
      </c>
      <c r="DS937">
        <f>IF($DM937=0,"",IF($L$11=0,"",IFERROR(IF(ISNUMBER(INDEX(PASTE_ALL,$DF937,$L$11)),INDEX(PASTE_ALL,$DF937,$L$11),TRIM(SUBSTITUTE(SUBSTITUTE(SUBSTITUTE(SUBSTITUTE(INDEX(PASTE_ALL,$DF937,$L$11)," "," "),CHAR(9)," "),CHAR(10)," "),CHAR(13)," "))),"")))</f>
        <v/>
      </c>
      <c r="DT937">
        <f>IF($DM937=0,"",IF($L$12=0,"",IFERROR(IF(ISNUMBER(INDEX(PASTE_ALL,$DF937,$L$12)),INDEX(PASTE_ALL,$DF937,$L$12),TRIM(SUBSTITUTE(SUBSTITUTE(SUBSTITUTE(SUBSTITUTE(INDEX(PASTE_ALL,$DF937,$L$12)," "," "),CHAR(9)," "),CHAR(10)," "),CHAR(13)," "))),"")))</f>
        <v/>
      </c>
      <c r="DU937">
        <f>IF($DM937=0,"",IF($L$13=0,"",IFERROR(IF(ISNUMBER(INDEX(PASTE_ALL,$DF937,$L$13)),INDEX(PASTE_ALL,$DF937,$L$13),TRIM(SUBSTITUTE(SUBSTITUTE(SUBSTITUTE(SUBSTITUTE(INDEX(PASTE_ALL,$DF937,$L$13)," "," "),CHAR(9)," "),CHAR(10)," "),CHAR(13)," "))),"")))</f>
        <v/>
      </c>
      <c r="DV937">
        <f>IF($DM937=0,"",IF($L$14=0,"",IFERROR(IF(ISNUMBER(INDEX(PASTE_ALL,$DF937,$L$14)),INDEX(PASTE_ALL,$DF937,$L$14),TRIM(SUBSTITUTE(SUBSTITUTE(SUBSTITUTE(SUBSTITUTE(INDEX(PASTE_ALL,$DF937,$L$14)," "," "),CHAR(9)," "),CHAR(10)," "),CHAR(13)," "))),"")))</f>
        <v/>
      </c>
      <c r="DW937">
        <f>IF($DM937=0,"",IF($L$15=0,"",IFERROR(IF(ISNUMBER(INDEX(PASTE_ALL,$DF937,$L$15)),INDEX(PASTE_ALL,$DF937,$L$15),IF(SUMPRODUCT(--ISNUMBER(FIND({"A","B","C","D","E","F","G","H","I","J","K","L","M","N","O","P","Q","R","S","T","U","V","W","X","Y","Z","0","1","2","3","4","5","6","7","8","9"},UPPER(TRIM(SUBSTITUTE(SUBSTITUTE(SUBSTITUTE(SUBSTITUTE(INDEX(PASTE_ALL,$DF937,$L$15)," "," "),CHAR(9)," "),CHAR(10)," "),CHAR(13)," "))))))&gt;0,TRIM(SUBSTITUTE(SUBSTITUTE(SUBSTITUTE(SUBSTITUTE(INDEX(PASTE_ALL,$DF937,$L$15)," "," "),CHAR(9)," "),CHAR(10)," "),CHAR(13)," ")),"")),"")))</f>
        <v/>
      </c>
      <c r="DX937">
        <f>IF($DM937=0,"",IF($L$16=0,"",IFERROR(IF(ISNUMBER(INDEX(PASTE_ALL,$DF937,$L$16)),INDEX(PASTE_ALL,$DF937,$L$16),SUBSTITUTE(SUBSTITUTE(TRIM(SUBSTITUTE(SUBSTITUTE(SUBSTITUTE(SUBSTITUTE(INDEX(PASTE_ALL,$DF937,$L$16)," "," "),CHAR(9)," "),CHAR(10)," "),CHAR(13)," ")),",",""),"%","")),"")))</f>
        <v/>
      </c>
      <c r="DY937">
        <f>IF($DM937=0,"",IFERROR(IF(ISNUMBER($DX937),$DX937,IF($DX937="","",IF(TRIM($DX937)="",0,IF(AND(AND(SUBSTITUTE(SUBSTITUTE(SUBSTITUTE(SUBSTITUTE(SUBSTITUTE(SUBSTITUTE(SUBSTITUTE(SUBSTITUTE(SUBSTITUTE(SUBSTITUTE(SUBSTITUTE(SUBSTITUTE(SUBSTITUTE(SUBSTITUTE(UPPER(TRIM($DX937)),"0",""),"1",""),"2",""),"3",""),"4",""),"5",""),"6",""),"7",""),"8",""),"9",""),".",""),"+",""),"-",""),"E","")="",LEN(SUBSTITUTE(SUBSTITUTE(MID(UPPER(TRIM($DX937)),1+OR(LEFT(UPPER(TRIM($DX937)),1)="+",LEFT(UPPER(TRIM($DX937)),1)="-"),999),"E+","E"),"E-","E"))=LEN(SUBSTITUTE(SUBSTITUTE(SUBSTITUTE(SUBSTITUTE(MID(UPPER(TRIM($DX937)),1+OR(LEFT(UPPER(TRIM($DX937)),1)="+",LEFT(UPPER(TRIM($DX937)),1)="-"),999),"E+","E"),"E-","E"),"+",""),"-","")),LEN(UPPER(TRIM($DX937)))-LEN(SUBSTITUTE(UPPER(TRIM($DX937)),"E",""))&lt;2,LEN(UPPER(TRIM($DX937)))-LEN(SUBSTITUTE(UPPER(TRIM($DX937)),".",""))&lt;2,IFERROR(FIND(".",UPPER(TRIM($DX937))),0)&lt;IFERROR(FIND("E",UPPER(TRIM($DX937))),999)),ISNUMBER(VALUE(TRIM($DX937)))),VALUE(TRIM($DX937)),"")))),""))</f>
        <v/>
      </c>
      <c r="DZ937">
        <f>IF($DM937=0,"",IF($L$17=0,"",IFERROR(IF(ISNUMBER(INDEX(PASTE_ALL,$DF937,$L$17)),INDEX(PASTE_ALL,$DF937,$L$17),SUBSTITUTE(SUBSTITUTE(TRIM(SUBSTITUTE(SUBSTITUTE(SUBSTITUTE(SUBSTITUTE(INDEX(PASTE_ALL,$DF937,$L$17)," "," "),CHAR(9)," "),CHAR(10)," "),CHAR(13)," ")),",",""),"%","")),"")))</f>
        <v/>
      </c>
      <c r="EA937">
        <f>IF($DM937=0,"",IFERROR(IF(ISNUMBER($DZ937),$DZ937,IF($DZ937="","",IF(TRIM($DZ937)="",0,IF(AND(AND(SUBSTITUTE(SUBSTITUTE(SUBSTITUTE(SUBSTITUTE(SUBSTITUTE(SUBSTITUTE(SUBSTITUTE(SUBSTITUTE(SUBSTITUTE(SUBSTITUTE(SUBSTITUTE(SUBSTITUTE(SUBSTITUTE(SUBSTITUTE(UPPER(TRIM($DZ937)),"0",""),"1",""),"2",""),"3",""),"4",""),"5",""),"6",""),"7",""),"8",""),"9",""),".",""),"+",""),"-",""),"E","")="",LEN(SUBSTITUTE(SUBSTITUTE(MID(UPPER(TRIM($DZ937)),1+OR(LEFT(UPPER(TRIM($DZ937)),1)="+",LEFT(UPPER(TRIM($DZ937)),1)="-"),999),"E+","E"),"E-","E"))=LEN(SUBSTITUTE(SUBSTITUTE(SUBSTITUTE(SUBSTITUTE(MID(UPPER(TRIM($DZ937)),1+OR(LEFT(UPPER(TRIM($DZ937)),1)="+",LEFT(UPPER(TRIM($DZ937)),1)="-"),999),"E+","E"),"E-","E"),"+",""),"-","")),LEN(UPPER(TRIM($DZ937)))-LEN(SUBSTITUTE(UPPER(TRIM($DZ937)),"E",""))&lt;2,LEN(UPPER(TRIM($DZ937)))-LEN(SUBSTITUTE(UPPER(TRIM($DZ937)),".",""))&lt;2,IFERROR(FIND(".",UPPER(TRIM($DZ937))),0)&lt;IFERROR(FIND("E",UPPER(TRIM($DZ937))),999)),ISNUMBER(VALUE(TRIM($DZ937)))),VALUE(TRIM($DZ937)),"")))),""))</f>
        <v/>
      </c>
      <c r="EB937">
        <f>IF($DM937=0,"",IF($L$18=0,"",IFERROR(IF(UPPER(TRIM(SUBSTITUTE(SUBSTITUTE(SUBSTITUTE(SUBSTITUTE(INDEX(PASTE_ALL,$DF937,$L$18)," "," "),CHAR(9)," "),CHAR(10)," "),CHAR(13)," ")))="READY","Ready",IF(UPPER(TRIM(SUBSTITUTE(SUBSTITUTE(SUBSTITUTE(SUBSTITUTE(INDEX(PASTE_ALL,$DF937,$L$18)," "," "),CHAR(9)," "),CHAR(10)," "),CHAR(13)," ")))="PM","PM",IF(OR(UPPER(TRIM(SUBSTITUTE(SUBSTITUTE(SUBSTITUTE(SUBSTITUTE(INDEX(PASTE_ALL,$DF937,$L$18)," "," "),CHAR(9)," "),CHAR(10)," "),CHAR(13)," ")))="OT",UPPER(TRIM(SUBSTITUTE(SUBSTITUTE(SUBSTITUTE(SUBSTITUTE(INDEX(PASTE_ALL,$DF937,$L$18)," "," "),CHAR(9)," "),CHAR(10)," "),CHAR(13)," ")))="OVERTIME",UPPER(TRIM(SUBSTITUTE(SUBSTITUTE(SUBSTITUTE(SUBSTITUTE(INDEX(PASTE_ALL,$DF937,$L$18)," "," "),CHAR(9)," "),CHAR(10)," "),CHAR(13)," ")))="TRIAL"),"OT",TRIM(SUBSTITUTE(SUBSTITUTE(SUBSTITUTE(SUBSTITUTE(INDEX(PASTE_ALL,$DF937,$L$18)," "," "),CHAR(9)," "),CHAR(10)," "),CHAR(13)," "))))),"")))</f>
        <v/>
      </c>
      <c r="EC937">
        <f>IF($DM937=0,"",IF($L$19=0,"",IFERROR(IF(ISNUMBER(INDEX(PASTE_ALL,$DF937,$L$19)),INDEX(PASTE_ALL,$DF937,$L$19),TRIM(SUBSTITUTE(SUBSTITUTE(SUBSTITUTE(SUBSTITUTE(INDEX(PASTE_ALL,$DF937,$L$19)," "," "),CHAR(9)," "),CHAR(10)," "),CHAR(13)," "))),"")))</f>
        <v/>
      </c>
      <c r="ED937">
        <f>IF($DM937=0,"",MATCH(1,INDEX(EXACT($DH$5:DH937,$DH937)*$DM$5:DM937,0),0))</f>
        <v/>
      </c>
      <c r="EE937">
        <f>IF($DM937=0,0,IF($ED937=$DE937,1,0))</f>
        <v/>
      </c>
      <c r="EF937">
        <f>EF936+$EE937</f>
        <v/>
      </c>
      <c r="EG937">
        <f>IF($DM937=0,"",INDEX($EF$5:$EF$1003,$ED937))</f>
        <v/>
      </c>
      <c r="EH937">
        <f>IF($DM937=0,"",IF($DO937&lt;&gt;"","",IFERROR(LOOKUP(2,1/(($EG$4:EG936=$EG937)*($DO$4:DO936&lt;&gt;"")),$DO$4:DO936),"")))</f>
        <v/>
      </c>
      <c r="EI937">
        <f>IF($DM937=0,"",IF($DO937&lt;&gt;"",$DO937,$EH937))</f>
        <v/>
      </c>
      <c r="EJ937">
        <f>IF($DM937=0,"",IF($EI937="",0,IF(OR(ISNUMBER($EI937),AND(AND(SUBSTITUTE(SUBSTITUTE(SUBSTITUTE(SUBSTITUTE(SUBSTITUTE(SUBSTITUTE(SUBSTITUTE(SUBSTITUTE(SUBSTITUTE(SUBSTITUTE(SUBSTITUTE(SUBSTITUTE(SUBSTITUTE(SUBSTITUTE(UPPER($EI937),"0",""),"1",""),"2",""),"3",""),"4",""),"5",""),"6",""),"7",""),"8",""),"9",""),".",""),"+",""),"-",""),"E","")="",LEN(SUBSTITUTE(SUBSTITUTE(MID(UPPER($EI937),1+OR(LEFT(UPPER($EI937),1)="+",LEFT(UPPER($EI937),1)="-"),999),"E+","E"),"E-","E"))=LEN(SUBSTITUTE(SUBSTITUTE(SUBSTITUTE(SUBSTITUTE(MID(UPPER($EI937),1+OR(LEFT(UPPER($EI937),1)="+",LEFT(UPPER($EI937),1)="-"),999),"E+","E"),"E-","E"),"+",""),"-","")),LEN(UPPER($EI937))-LEN(SUBSTITUTE(UPPER($EI937),"E",""))&lt;2,LEN(UPPER($EI937))-LEN(SUBSTITUTE(UPPER($EI937),".",""))&lt;2,IFERROR(FIND(".",UPPER($EI937)),0)&lt;IFERROR(FIND("E",UPPER($EI937)),999)),ISNUMBER(VALUE($EI937)))),1,2)))</f>
        <v/>
      </c>
      <c r="EK937">
        <f>IF($DM937=0,"",IF($EJ937=1,IF(ISNUMBER($EI937),$EI937,VALUE($EI937)),IF($EJ937=2,$DE937,0)))</f>
        <v/>
      </c>
      <c r="EL937">
        <f>IF($DM937=0,"",COUNTIF($EG$5:$EG$1003,"&lt;"&amp;$EG937)+SUMPRODUCT(($EG$5:$EG$1003=$EG937)*(($EJ$5:$EJ$1003&lt;$EJ937)+($EJ$5:$EJ$1003=$EJ937)*(($EK$5:$EK$1003&lt;$EK937)+($EK$5:$EK$1003=$EK937)*($DE$5:$DE$1003&lt;$DE937))))+1)</f>
        <v/>
      </c>
      <c r="EM937">
        <f>IF($DM937=0,"",$EL937+$EG937-1)</f>
        <v/>
      </c>
      <c r="EN937">
        <f>IF($DM937=0,0,IFERROR(MATCH(1,INDEX(--(TRIM(SUBSTITUTE(SUBSTITUTE(SUBSTITUTE(SUBSTITUTE(LINES_NAME&amp;""," "," "),CHAR(9)," "),CHAR(10)," "),CHAR(13)," "))=$DH937),0),0),0))</f>
        <v/>
      </c>
      <c r="EO937">
        <f>IF($EN937=0,0,IF(OR(UPPER(TRIM(INDEX(LINES_SCHEDULED,$EN937)&amp;""))="YES",UPPER(TRIM(INDEX(LINES_SCHEDULED,$EN937)&amp;""))="Y",UPPER(TRIM(INDEX(LINES_SCHEDULED,$EN937)&amp;""))="X"),1,0))</f>
        <v/>
      </c>
      <c r="EP937">
        <f>IF($DM937=0,"",IF(COUNTIFS($EG$5:$EG$1003,$EG937,$EB$5:$EB$1003,"Ready")&gt;0,"READY",IF(COUNTIFS($EG$5:$EG$1003,$EG937,$EB$5:$EB$1003,"PM")&gt;0,"PM",IF(COUNTIFS($EG$5:$EG$1003,$EG937,$EB$5:$EB$1003,"OT")&gt;0,"OT",""))))</f>
        <v/>
      </c>
      <c r="EQ937">
        <f>IF($EN937=0,"",UPPER(TRIM(INDEX(LINES_STATUS,$EN937)&amp;"")))</f>
        <v/>
      </c>
      <c r="ER937">
        <f>IF($DM937=0,"",IF(OR($EQ937="READY",$EQ937="PM",$EQ937="OT"),$EQ937,$EP937))</f>
        <v/>
      </c>
      <c r="ES937">
        <f>IF($DM937=0,"",IF(AND($DV937&lt;&gt;"",UPPER($DV937)&lt;&gt;"N"),"allergen",IF(ISNUMBER(SEARCH("oil",$DQ937)),"oil",IF(OR(EXACT($DS937,"A662"),EXACT($DS937,"A624")),"bulk",""))))</f>
        <v/>
      </c>
      <c r="ET937">
        <f>IF($DM937=0,"",IF(OR($EA937="",$EA937=0),"",$EA937/100))</f>
        <v/>
      </c>
      <c r="EU937">
        <f>IF(OR($ET937="",$DY937=""),"",INT($DY937*(1-$ET937)+0.5))</f>
        <v/>
      </c>
    </row>
    <row r="938">
      <c r="DA938" t="n">
        <v>934</v>
      </c>
      <c r="DB938">
        <f>IF($B$37=0,"",IFERROR(TRIM(SUBSTITUTE(SUBSTITUTE(SUBSTITUTE(SUBSTITUTE(INDEX(PASTE_ALL,934,$B$37)," "," "),CHAR(9)," "),CHAR(10)," "),CHAR(13)," ")),""))</f>
        <v/>
      </c>
      <c r="DC938">
        <f>IF(AND(934&gt;HEADER_ROW,UPPER(DB938)="LEGEND"),1,0)</f>
        <v/>
      </c>
      <c r="DE938" t="n">
        <v>934</v>
      </c>
      <c r="DF938">
        <f>HEADER_ROW+$DE938</f>
        <v/>
      </c>
      <c r="DG938">
        <f>IF(AND($DF938&lt;=1000,$DF938&lt;$B$8),1,0)</f>
        <v/>
      </c>
      <c r="DH938">
        <f>IF($DG938=1,IFERROR(INDEX($DB$5:$DB$1004,$DF938),""),"")</f>
        <v/>
      </c>
      <c r="DI938">
        <f>IF(AND($DG938=1,$DH938&lt;&gt;""),IFERROR(SUBSTITUTE(SUBSTITUTE(TRIM(SUBSTITUTE(SUBSTITUTE(SUBSTITUTE(SUBSTITUTE(IFERROR(INDEX(PASTE_ALL,$DF938,1)&amp;"","")&amp;"␟"&amp;IFERROR(INDEX(PASTE_ALL,$DF938,2)&amp;"","")&amp;"␟"&amp;IFERROR(INDEX(PASTE_ALL,$DF938,3)&amp;"","")&amp;"␟"&amp;IFERROR(INDEX(PASTE_ALL,$DF938,4)&amp;"","")&amp;"␟"&amp;IFERROR(INDEX(PASTE_ALL,$DF938,5)&amp;"","")&amp;"␟"&amp;IFERROR(INDEX(PASTE_ALL,$DF938,6)&amp;"","")&amp;"␟"&amp;IFERROR(INDEX(PASTE_ALL,$DF938,7)&amp;"","")&amp;"␟"&amp;IFERROR(INDEX(PASTE_ALL,$DF938,8)&amp;"","")&amp;"␟"&amp;IFERROR(INDEX(PASTE_ALL,$DF938,9)&amp;"","")&amp;"␟"&amp;IFERROR(INDEX(PASTE_ALL,$DF938,10)&amp;"","")&amp;"␟"&amp;IFERROR(INDEX(PASTE_ALL,$DF938,11)&amp;"","")&amp;"␟"&amp;IFERROR(INDEX(PASTE_ALL,$DF938,12)&amp;"","")&amp;"␟"&amp;IFERROR(INDEX(PASTE_ALL,$DF938,13)&amp;"","")&amp;"␟"&amp;IFERROR(INDEX(PASTE_ALL,$DF938,14)&amp;"","")&amp;"␟"&amp;IFERROR(INDEX(PASTE_ALL,$DF938,15)&amp;"","")&amp;"␟"&amp;IFERROR(INDEX(PASTE_ALL,$DF938,16)&amp;"","")&amp;"␟"&amp;IFERROR(INDEX(PASTE_ALL,$DF938,17)&amp;"","")&amp;"␟"&amp;IFERROR(INDEX(PASTE_ALL,$DF938,18)&amp;"","")&amp;"␟"&amp;IFERROR(INDEX(PASTE_ALL,$DF938,19)&amp;"","")&amp;"␟"&amp;IFERROR(INDEX(PASTE_ALL,$DF938,20)&amp;"","")&amp;"␟"&amp;IFERROR(INDEX(PASTE_ALL,$DF938,21)&amp;"","")&amp;"␟"&amp;IFERROR(INDEX(PASTE_ALL,$DF938,22)&amp;"","")&amp;"␟"&amp;IFERROR(INDEX(PASTE_ALL,$DF938,23)&amp;"","")&amp;"␟"&amp;IFERROR(INDEX(PASTE_ALL,$DF938,24)&amp;"","")&amp;"␟"&amp;IFERROR(INDEX(PASTE_ALL,$DF938,25)&amp;"","")&amp;"␟"&amp;IFERROR(INDEX(PASTE_ALL,$DF938,26)&amp;"","")&amp;"␟"&amp;IFERROR(INDEX(PASTE_ALL,$DF938,27)&amp;"","")&amp;"␟"&amp;IFERROR(INDEX(PASTE_ALL,$DF938,28)&amp;"","")&amp;"␟"&amp;IFERROR(INDEX(PASTE_ALL,$DF938,29)&amp;"","")&amp;"␟"&amp;IFERROR(INDEX(PASTE_ALL,$DF938,30)&amp;"","")&amp;"␟"&amp;IFERROR(INDEX(PASTE_ALL,$DF938,31)&amp;"","")&amp;"␟"&amp;IFERROR(INDEX(PASTE_ALL,$DF938,32)&amp;"","")&amp;"␟"&amp;IFERROR(INDEX(PASTE_ALL,$DF938,33)&amp;"","")&amp;"␟"&amp;IFERROR(INDEX(PASTE_ALL,$DF938,34)&amp;"","")&amp;"␟"&amp;IFERROR(INDEX(PASTE_ALL,$DF938,35)&amp;"","")&amp;"␟"&amp;IFERROR(INDEX(PASTE_ALL,$DF938,36)&amp;"","")&amp;"␟"&amp;IFERROR(INDEX(PASTE_ALL,$DF938,37)&amp;"","")&amp;"␟"&amp;IFERROR(INDEX(PASTE_ALL,$DF938,38)&amp;"","")&amp;"␟"&amp;IFERROR(INDEX(PASTE_ALL,$DF938,39)&amp;"","")&amp;"␟"&amp;IFERROR(INDEX(PASTE_ALL,$DF938,40)&amp;"","")&amp;"␟"&amp;IFERROR(INDEX(PASTE_ALL,$DF938,41)&amp;"","")&amp;"␟"&amp;IFERROR(INDEX(PASTE_ALL,$DF938,42)&amp;"","")&amp;"␟"&amp;IFERROR(INDEX(PASTE_ALL,$DF938,43)&amp;"","")&amp;"␟"&amp;IFERROR(INDEX(PASTE_ALL,$DF938,44)&amp;"","")&amp;"␟"&amp;IFERROR(INDEX(PASTE_ALL,$DF938,45)&amp;"","")&amp;"␟"&amp;IFERROR(INDEX(PASTE_ALL,$DF938,46)&amp;"","")&amp;"␟"&amp;IFERROR(INDEX(PASTE_ALL,$DF938,47)&amp;"","")&amp;"␟"&amp;IFERROR(INDEX(PASTE_ALL,$DF938,48)&amp;"","")&amp;"␟"&amp;IFERROR(INDEX(PASTE_ALL,$DF938,49)&amp;"","")&amp;"␟"&amp;IFERROR(INDEX(PASTE_ALL,$DF938,50)&amp;"","")&amp;"␟"&amp;IFERROR(INDEX(PASTE_ALL,$DF938,51)&amp;"","")&amp;"␟"&amp;IFERROR(INDEX(PASTE_ALL,$DF938,52)&amp;"","")&amp;"␟"&amp;IFERROR(INDEX(PASTE_ALL,$DF938,53)&amp;"","")&amp;"␟"&amp;IFERROR(INDEX(PASTE_ALL,$DF938,54)&amp;"","")&amp;"␟"&amp;IFERROR(INDEX(PASTE_ALL,$DF938,55)&amp;"","")&amp;"␟"&amp;IFERROR(INDEX(PASTE_ALL,$DF938,56)&amp;"","")&amp;"␟"&amp;IFERROR(INDEX(PASTE_ALL,$DF938,57)&amp;"","")&amp;"␟"&amp;IFERROR(INDEX(PASTE_ALL,$DF938,58)&amp;"","")&amp;"␟"&amp;IFERROR(INDEX(PASTE_ALL,$DF938,59)&amp;"","")&amp;"␟"&amp;IFERROR(INDEX(PASTE_ALL,$DF938,60)&amp;"","")," "," "),CHAR(9)," "),CHAR(10)," "),CHAR(13)," "))," ␟","␟"),"␟ ","␟"),"#"&amp;$DE938),"")</f>
        <v/>
      </c>
      <c r="DJ938">
        <f>IF($DI938="",0,IF(SUMPRODUCT(--EXACT($DI$4:DI937,$DI938))&gt;0,1,0))</f>
        <v/>
      </c>
      <c r="DK938">
        <f>IF(AND($DI938&lt;&gt;"",$DJ938=0),1,0)</f>
        <v/>
      </c>
      <c r="DL938">
        <f>DL937+$DK938</f>
        <v/>
      </c>
      <c r="DM938">
        <f>IF(AND($DK938=1,$DL938&lt;=600),1,0)</f>
        <v/>
      </c>
      <c r="DN938">
        <f>IF($DM938=0,"",IF($L$6=0,"",IFERROR(IF(ISNUMBER(INDEX(PASTE_ALL,$DF938,$L$6)),INDEX(PASTE_ALL,$DF938,$L$6),TRIM(SUBSTITUTE(SUBSTITUTE(SUBSTITUTE(SUBSTITUTE(INDEX(PASTE_ALL,$DF938,$L$6)," "," "),CHAR(9)," "),CHAR(10)," "),CHAR(13)," "))),"")))</f>
        <v/>
      </c>
      <c r="DO938">
        <f>IF($DM938=0,"",IF($L$7=0,"",IFERROR(IF(ISNUMBER(INDEX(PASTE_ALL,$DF938,$L$7)),INDEX(PASTE_ALL,$DF938,$L$7),TRIM(SUBSTITUTE(SUBSTITUTE(SUBSTITUTE(SUBSTITUTE(INDEX(PASTE_ALL,$DF938,$L$7)," "," "),CHAR(9)," "),CHAR(10)," "),CHAR(13)," "))),"")))</f>
        <v/>
      </c>
      <c r="DP938">
        <f>IF($DM938=0,"",IF($L$8=0,"",IFERROR(IF(ISNUMBER(INDEX(PASTE_ALL,$DF938,$L$8)),INDEX(PASTE_ALL,$DF938,$L$8),TRIM(SUBSTITUTE(SUBSTITUTE(SUBSTITUTE(SUBSTITUTE(INDEX(PASTE_ALL,$DF938,$L$8)," "," "),CHAR(9)," "),CHAR(10)," "),CHAR(13)," "))),"")))</f>
        <v/>
      </c>
      <c r="DQ938">
        <f>IF($DM938=0,"",IF($L$9=0,"",IFERROR(IF(ISNUMBER(INDEX(PASTE_ALL,$DF938,$L$9)),INDEX(PASTE_ALL,$DF938,$L$9),TRIM(SUBSTITUTE(SUBSTITUTE(SUBSTITUTE(SUBSTITUTE(INDEX(PASTE_ALL,$DF938,$L$9)," "," "),CHAR(9)," "),CHAR(10)," "),CHAR(13)," "))),"")))</f>
        <v/>
      </c>
      <c r="DR938">
        <f>IF($DM938=0,"",IF($L$10=0,"",IFERROR(IF(ISNUMBER(INDEX(PASTE_ALL,$DF938,$L$10)),INDEX(PASTE_ALL,$DF938,$L$10),TRIM(SUBSTITUTE(SUBSTITUTE(SUBSTITUTE(SUBSTITUTE(INDEX(PASTE_ALL,$DF938,$L$10)," "," "),CHAR(9)," "),CHAR(10)," "),CHAR(13)," "))),"")))</f>
        <v/>
      </c>
      <c r="DS938">
        <f>IF($DM938=0,"",IF($L$11=0,"",IFERROR(IF(ISNUMBER(INDEX(PASTE_ALL,$DF938,$L$11)),INDEX(PASTE_ALL,$DF938,$L$11),TRIM(SUBSTITUTE(SUBSTITUTE(SUBSTITUTE(SUBSTITUTE(INDEX(PASTE_ALL,$DF938,$L$11)," "," "),CHAR(9)," "),CHAR(10)," "),CHAR(13)," "))),"")))</f>
        <v/>
      </c>
      <c r="DT938">
        <f>IF($DM938=0,"",IF($L$12=0,"",IFERROR(IF(ISNUMBER(INDEX(PASTE_ALL,$DF938,$L$12)),INDEX(PASTE_ALL,$DF938,$L$12),TRIM(SUBSTITUTE(SUBSTITUTE(SUBSTITUTE(SUBSTITUTE(INDEX(PASTE_ALL,$DF938,$L$12)," "," "),CHAR(9)," "),CHAR(10)," "),CHAR(13)," "))),"")))</f>
        <v/>
      </c>
      <c r="DU938">
        <f>IF($DM938=0,"",IF($L$13=0,"",IFERROR(IF(ISNUMBER(INDEX(PASTE_ALL,$DF938,$L$13)),INDEX(PASTE_ALL,$DF938,$L$13),TRIM(SUBSTITUTE(SUBSTITUTE(SUBSTITUTE(SUBSTITUTE(INDEX(PASTE_ALL,$DF938,$L$13)," "," "),CHAR(9)," "),CHAR(10)," "),CHAR(13)," "))),"")))</f>
        <v/>
      </c>
      <c r="DV938">
        <f>IF($DM938=0,"",IF($L$14=0,"",IFERROR(IF(ISNUMBER(INDEX(PASTE_ALL,$DF938,$L$14)),INDEX(PASTE_ALL,$DF938,$L$14),TRIM(SUBSTITUTE(SUBSTITUTE(SUBSTITUTE(SUBSTITUTE(INDEX(PASTE_ALL,$DF938,$L$14)," "," "),CHAR(9)," "),CHAR(10)," "),CHAR(13)," "))),"")))</f>
        <v/>
      </c>
      <c r="DW938">
        <f>IF($DM938=0,"",IF($L$15=0,"",IFERROR(IF(ISNUMBER(INDEX(PASTE_ALL,$DF938,$L$15)),INDEX(PASTE_ALL,$DF938,$L$15),IF(SUMPRODUCT(--ISNUMBER(FIND({"A","B","C","D","E","F","G","H","I","J","K","L","M","N","O","P","Q","R","S","T","U","V","W","X","Y","Z","0","1","2","3","4","5","6","7","8","9"},UPPER(TRIM(SUBSTITUTE(SUBSTITUTE(SUBSTITUTE(SUBSTITUTE(INDEX(PASTE_ALL,$DF938,$L$15)," "," "),CHAR(9)," "),CHAR(10)," "),CHAR(13)," "))))))&gt;0,TRIM(SUBSTITUTE(SUBSTITUTE(SUBSTITUTE(SUBSTITUTE(INDEX(PASTE_ALL,$DF938,$L$15)," "," "),CHAR(9)," "),CHAR(10)," "),CHAR(13)," ")),"")),"")))</f>
        <v/>
      </c>
      <c r="DX938">
        <f>IF($DM938=0,"",IF($L$16=0,"",IFERROR(IF(ISNUMBER(INDEX(PASTE_ALL,$DF938,$L$16)),INDEX(PASTE_ALL,$DF938,$L$16),SUBSTITUTE(SUBSTITUTE(TRIM(SUBSTITUTE(SUBSTITUTE(SUBSTITUTE(SUBSTITUTE(INDEX(PASTE_ALL,$DF938,$L$16)," "," "),CHAR(9)," "),CHAR(10)," "),CHAR(13)," ")),",",""),"%","")),"")))</f>
        <v/>
      </c>
      <c r="DY938">
        <f>IF($DM938=0,"",IFERROR(IF(ISNUMBER($DX938),$DX938,IF($DX938="","",IF(TRIM($DX938)="",0,IF(AND(AND(SUBSTITUTE(SUBSTITUTE(SUBSTITUTE(SUBSTITUTE(SUBSTITUTE(SUBSTITUTE(SUBSTITUTE(SUBSTITUTE(SUBSTITUTE(SUBSTITUTE(SUBSTITUTE(SUBSTITUTE(SUBSTITUTE(SUBSTITUTE(UPPER(TRIM($DX938)),"0",""),"1",""),"2",""),"3",""),"4",""),"5",""),"6",""),"7",""),"8",""),"9",""),".",""),"+",""),"-",""),"E","")="",LEN(SUBSTITUTE(SUBSTITUTE(MID(UPPER(TRIM($DX938)),1+OR(LEFT(UPPER(TRIM($DX938)),1)="+",LEFT(UPPER(TRIM($DX938)),1)="-"),999),"E+","E"),"E-","E"))=LEN(SUBSTITUTE(SUBSTITUTE(SUBSTITUTE(SUBSTITUTE(MID(UPPER(TRIM($DX938)),1+OR(LEFT(UPPER(TRIM($DX938)),1)="+",LEFT(UPPER(TRIM($DX938)),1)="-"),999),"E+","E"),"E-","E"),"+",""),"-","")),LEN(UPPER(TRIM($DX938)))-LEN(SUBSTITUTE(UPPER(TRIM($DX938)),"E",""))&lt;2,LEN(UPPER(TRIM($DX938)))-LEN(SUBSTITUTE(UPPER(TRIM($DX938)),".",""))&lt;2,IFERROR(FIND(".",UPPER(TRIM($DX938))),0)&lt;IFERROR(FIND("E",UPPER(TRIM($DX938))),999)),ISNUMBER(VALUE(TRIM($DX938)))),VALUE(TRIM($DX938)),"")))),""))</f>
        <v/>
      </c>
      <c r="DZ938">
        <f>IF($DM938=0,"",IF($L$17=0,"",IFERROR(IF(ISNUMBER(INDEX(PASTE_ALL,$DF938,$L$17)),INDEX(PASTE_ALL,$DF938,$L$17),SUBSTITUTE(SUBSTITUTE(TRIM(SUBSTITUTE(SUBSTITUTE(SUBSTITUTE(SUBSTITUTE(INDEX(PASTE_ALL,$DF938,$L$17)," "," "),CHAR(9)," "),CHAR(10)," "),CHAR(13)," ")),",",""),"%","")),"")))</f>
        <v/>
      </c>
      <c r="EA938">
        <f>IF($DM938=0,"",IFERROR(IF(ISNUMBER($DZ938),$DZ938,IF($DZ938="","",IF(TRIM($DZ938)="",0,IF(AND(AND(SUBSTITUTE(SUBSTITUTE(SUBSTITUTE(SUBSTITUTE(SUBSTITUTE(SUBSTITUTE(SUBSTITUTE(SUBSTITUTE(SUBSTITUTE(SUBSTITUTE(SUBSTITUTE(SUBSTITUTE(SUBSTITUTE(SUBSTITUTE(UPPER(TRIM($DZ938)),"0",""),"1",""),"2",""),"3",""),"4",""),"5",""),"6",""),"7",""),"8",""),"9",""),".",""),"+",""),"-",""),"E","")="",LEN(SUBSTITUTE(SUBSTITUTE(MID(UPPER(TRIM($DZ938)),1+OR(LEFT(UPPER(TRIM($DZ938)),1)="+",LEFT(UPPER(TRIM($DZ938)),1)="-"),999),"E+","E"),"E-","E"))=LEN(SUBSTITUTE(SUBSTITUTE(SUBSTITUTE(SUBSTITUTE(MID(UPPER(TRIM($DZ938)),1+OR(LEFT(UPPER(TRIM($DZ938)),1)="+",LEFT(UPPER(TRIM($DZ938)),1)="-"),999),"E+","E"),"E-","E"),"+",""),"-","")),LEN(UPPER(TRIM($DZ938)))-LEN(SUBSTITUTE(UPPER(TRIM($DZ938)),"E",""))&lt;2,LEN(UPPER(TRIM($DZ938)))-LEN(SUBSTITUTE(UPPER(TRIM($DZ938)),".",""))&lt;2,IFERROR(FIND(".",UPPER(TRIM($DZ938))),0)&lt;IFERROR(FIND("E",UPPER(TRIM($DZ938))),999)),ISNUMBER(VALUE(TRIM($DZ938)))),VALUE(TRIM($DZ938)),"")))),""))</f>
        <v/>
      </c>
      <c r="EB938">
        <f>IF($DM938=0,"",IF($L$18=0,"",IFERROR(IF(UPPER(TRIM(SUBSTITUTE(SUBSTITUTE(SUBSTITUTE(SUBSTITUTE(INDEX(PASTE_ALL,$DF938,$L$18)," "," "),CHAR(9)," "),CHAR(10)," "),CHAR(13)," ")))="READY","Ready",IF(UPPER(TRIM(SUBSTITUTE(SUBSTITUTE(SUBSTITUTE(SUBSTITUTE(INDEX(PASTE_ALL,$DF938,$L$18)," "," "),CHAR(9)," "),CHAR(10)," "),CHAR(13)," ")))="PM","PM",IF(OR(UPPER(TRIM(SUBSTITUTE(SUBSTITUTE(SUBSTITUTE(SUBSTITUTE(INDEX(PASTE_ALL,$DF938,$L$18)," "," "),CHAR(9)," "),CHAR(10)," "),CHAR(13)," ")))="OT",UPPER(TRIM(SUBSTITUTE(SUBSTITUTE(SUBSTITUTE(SUBSTITUTE(INDEX(PASTE_ALL,$DF938,$L$18)," "," "),CHAR(9)," "),CHAR(10)," "),CHAR(13)," ")))="OVERTIME",UPPER(TRIM(SUBSTITUTE(SUBSTITUTE(SUBSTITUTE(SUBSTITUTE(INDEX(PASTE_ALL,$DF938,$L$18)," "," "),CHAR(9)," "),CHAR(10)," "),CHAR(13)," ")))="TRIAL"),"OT",TRIM(SUBSTITUTE(SUBSTITUTE(SUBSTITUTE(SUBSTITUTE(INDEX(PASTE_ALL,$DF938,$L$18)," "," "),CHAR(9)," "),CHAR(10)," "),CHAR(13)," "))))),"")))</f>
        <v/>
      </c>
      <c r="EC938">
        <f>IF($DM938=0,"",IF($L$19=0,"",IFERROR(IF(ISNUMBER(INDEX(PASTE_ALL,$DF938,$L$19)),INDEX(PASTE_ALL,$DF938,$L$19),TRIM(SUBSTITUTE(SUBSTITUTE(SUBSTITUTE(SUBSTITUTE(INDEX(PASTE_ALL,$DF938,$L$19)," "," "),CHAR(9)," "),CHAR(10)," "),CHAR(13)," "))),"")))</f>
        <v/>
      </c>
      <c r="ED938">
        <f>IF($DM938=0,"",MATCH(1,INDEX(EXACT($DH$5:DH938,$DH938)*$DM$5:DM938,0),0))</f>
        <v/>
      </c>
      <c r="EE938">
        <f>IF($DM938=0,0,IF($ED938=$DE938,1,0))</f>
        <v/>
      </c>
      <c r="EF938">
        <f>EF937+$EE938</f>
        <v/>
      </c>
      <c r="EG938">
        <f>IF($DM938=0,"",INDEX($EF$5:$EF$1003,$ED938))</f>
        <v/>
      </c>
      <c r="EH938">
        <f>IF($DM938=0,"",IF($DO938&lt;&gt;"","",IFERROR(LOOKUP(2,1/(($EG$4:EG937=$EG938)*($DO$4:DO937&lt;&gt;"")),$DO$4:DO937),"")))</f>
        <v/>
      </c>
      <c r="EI938">
        <f>IF($DM938=0,"",IF($DO938&lt;&gt;"",$DO938,$EH938))</f>
        <v/>
      </c>
      <c r="EJ938">
        <f>IF($DM938=0,"",IF($EI938="",0,IF(OR(ISNUMBER($EI938),AND(AND(SUBSTITUTE(SUBSTITUTE(SUBSTITUTE(SUBSTITUTE(SUBSTITUTE(SUBSTITUTE(SUBSTITUTE(SUBSTITUTE(SUBSTITUTE(SUBSTITUTE(SUBSTITUTE(SUBSTITUTE(SUBSTITUTE(SUBSTITUTE(UPPER($EI938),"0",""),"1",""),"2",""),"3",""),"4",""),"5",""),"6",""),"7",""),"8",""),"9",""),".",""),"+",""),"-",""),"E","")="",LEN(SUBSTITUTE(SUBSTITUTE(MID(UPPER($EI938),1+OR(LEFT(UPPER($EI938),1)="+",LEFT(UPPER($EI938),1)="-"),999),"E+","E"),"E-","E"))=LEN(SUBSTITUTE(SUBSTITUTE(SUBSTITUTE(SUBSTITUTE(MID(UPPER($EI938),1+OR(LEFT(UPPER($EI938),1)="+",LEFT(UPPER($EI938),1)="-"),999),"E+","E"),"E-","E"),"+",""),"-","")),LEN(UPPER($EI938))-LEN(SUBSTITUTE(UPPER($EI938),"E",""))&lt;2,LEN(UPPER($EI938))-LEN(SUBSTITUTE(UPPER($EI938),".",""))&lt;2,IFERROR(FIND(".",UPPER($EI938)),0)&lt;IFERROR(FIND("E",UPPER($EI938)),999)),ISNUMBER(VALUE($EI938)))),1,2)))</f>
        <v/>
      </c>
      <c r="EK938">
        <f>IF($DM938=0,"",IF($EJ938=1,IF(ISNUMBER($EI938),$EI938,VALUE($EI938)),IF($EJ938=2,$DE938,0)))</f>
        <v/>
      </c>
      <c r="EL938">
        <f>IF($DM938=0,"",COUNTIF($EG$5:$EG$1003,"&lt;"&amp;$EG938)+SUMPRODUCT(($EG$5:$EG$1003=$EG938)*(($EJ$5:$EJ$1003&lt;$EJ938)+($EJ$5:$EJ$1003=$EJ938)*(($EK$5:$EK$1003&lt;$EK938)+($EK$5:$EK$1003=$EK938)*($DE$5:$DE$1003&lt;$DE938))))+1)</f>
        <v/>
      </c>
      <c r="EM938">
        <f>IF($DM938=0,"",$EL938+$EG938-1)</f>
        <v/>
      </c>
      <c r="EN938">
        <f>IF($DM938=0,0,IFERROR(MATCH(1,INDEX(--(TRIM(SUBSTITUTE(SUBSTITUTE(SUBSTITUTE(SUBSTITUTE(LINES_NAME&amp;""," "," "),CHAR(9)," "),CHAR(10)," "),CHAR(13)," "))=$DH938),0),0),0))</f>
        <v/>
      </c>
      <c r="EO938">
        <f>IF($EN938=0,0,IF(OR(UPPER(TRIM(INDEX(LINES_SCHEDULED,$EN938)&amp;""))="YES",UPPER(TRIM(INDEX(LINES_SCHEDULED,$EN938)&amp;""))="Y",UPPER(TRIM(INDEX(LINES_SCHEDULED,$EN938)&amp;""))="X"),1,0))</f>
        <v/>
      </c>
      <c r="EP938">
        <f>IF($DM938=0,"",IF(COUNTIFS($EG$5:$EG$1003,$EG938,$EB$5:$EB$1003,"Ready")&gt;0,"READY",IF(COUNTIFS($EG$5:$EG$1003,$EG938,$EB$5:$EB$1003,"PM")&gt;0,"PM",IF(COUNTIFS($EG$5:$EG$1003,$EG938,$EB$5:$EB$1003,"OT")&gt;0,"OT",""))))</f>
        <v/>
      </c>
      <c r="EQ938">
        <f>IF($EN938=0,"",UPPER(TRIM(INDEX(LINES_STATUS,$EN938)&amp;"")))</f>
        <v/>
      </c>
      <c r="ER938">
        <f>IF($DM938=0,"",IF(OR($EQ938="READY",$EQ938="PM",$EQ938="OT"),$EQ938,$EP938))</f>
        <v/>
      </c>
      <c r="ES938">
        <f>IF($DM938=0,"",IF(AND($DV938&lt;&gt;"",UPPER($DV938)&lt;&gt;"N"),"allergen",IF(ISNUMBER(SEARCH("oil",$DQ938)),"oil",IF(OR(EXACT($DS938,"A662"),EXACT($DS938,"A624")),"bulk",""))))</f>
        <v/>
      </c>
      <c r="ET938">
        <f>IF($DM938=0,"",IF(OR($EA938="",$EA938=0),"",$EA938/100))</f>
        <v/>
      </c>
      <c r="EU938">
        <f>IF(OR($ET938="",$DY938=""),"",INT($DY938*(1-$ET938)+0.5))</f>
        <v/>
      </c>
    </row>
    <row r="939">
      <c r="DA939" t="n">
        <v>935</v>
      </c>
      <c r="DB939">
        <f>IF($B$37=0,"",IFERROR(TRIM(SUBSTITUTE(SUBSTITUTE(SUBSTITUTE(SUBSTITUTE(INDEX(PASTE_ALL,935,$B$37)," "," "),CHAR(9)," "),CHAR(10)," "),CHAR(13)," ")),""))</f>
        <v/>
      </c>
      <c r="DC939">
        <f>IF(AND(935&gt;HEADER_ROW,UPPER(DB939)="LEGEND"),1,0)</f>
        <v/>
      </c>
      <c r="DE939" t="n">
        <v>935</v>
      </c>
      <c r="DF939">
        <f>HEADER_ROW+$DE939</f>
        <v/>
      </c>
      <c r="DG939">
        <f>IF(AND($DF939&lt;=1000,$DF939&lt;$B$8),1,0)</f>
        <v/>
      </c>
      <c r="DH939">
        <f>IF($DG939=1,IFERROR(INDEX($DB$5:$DB$1004,$DF939),""),"")</f>
        <v/>
      </c>
      <c r="DI939">
        <f>IF(AND($DG939=1,$DH939&lt;&gt;""),IFERROR(SUBSTITUTE(SUBSTITUTE(TRIM(SUBSTITUTE(SUBSTITUTE(SUBSTITUTE(SUBSTITUTE(IFERROR(INDEX(PASTE_ALL,$DF939,1)&amp;"","")&amp;"␟"&amp;IFERROR(INDEX(PASTE_ALL,$DF939,2)&amp;"","")&amp;"␟"&amp;IFERROR(INDEX(PASTE_ALL,$DF939,3)&amp;"","")&amp;"␟"&amp;IFERROR(INDEX(PASTE_ALL,$DF939,4)&amp;"","")&amp;"␟"&amp;IFERROR(INDEX(PASTE_ALL,$DF939,5)&amp;"","")&amp;"␟"&amp;IFERROR(INDEX(PASTE_ALL,$DF939,6)&amp;"","")&amp;"␟"&amp;IFERROR(INDEX(PASTE_ALL,$DF939,7)&amp;"","")&amp;"␟"&amp;IFERROR(INDEX(PASTE_ALL,$DF939,8)&amp;"","")&amp;"␟"&amp;IFERROR(INDEX(PASTE_ALL,$DF939,9)&amp;"","")&amp;"␟"&amp;IFERROR(INDEX(PASTE_ALL,$DF939,10)&amp;"","")&amp;"␟"&amp;IFERROR(INDEX(PASTE_ALL,$DF939,11)&amp;"","")&amp;"␟"&amp;IFERROR(INDEX(PASTE_ALL,$DF939,12)&amp;"","")&amp;"␟"&amp;IFERROR(INDEX(PASTE_ALL,$DF939,13)&amp;"","")&amp;"␟"&amp;IFERROR(INDEX(PASTE_ALL,$DF939,14)&amp;"","")&amp;"␟"&amp;IFERROR(INDEX(PASTE_ALL,$DF939,15)&amp;"","")&amp;"␟"&amp;IFERROR(INDEX(PASTE_ALL,$DF939,16)&amp;"","")&amp;"␟"&amp;IFERROR(INDEX(PASTE_ALL,$DF939,17)&amp;"","")&amp;"␟"&amp;IFERROR(INDEX(PASTE_ALL,$DF939,18)&amp;"","")&amp;"␟"&amp;IFERROR(INDEX(PASTE_ALL,$DF939,19)&amp;"","")&amp;"␟"&amp;IFERROR(INDEX(PASTE_ALL,$DF939,20)&amp;"","")&amp;"␟"&amp;IFERROR(INDEX(PASTE_ALL,$DF939,21)&amp;"","")&amp;"␟"&amp;IFERROR(INDEX(PASTE_ALL,$DF939,22)&amp;"","")&amp;"␟"&amp;IFERROR(INDEX(PASTE_ALL,$DF939,23)&amp;"","")&amp;"␟"&amp;IFERROR(INDEX(PASTE_ALL,$DF939,24)&amp;"","")&amp;"␟"&amp;IFERROR(INDEX(PASTE_ALL,$DF939,25)&amp;"","")&amp;"␟"&amp;IFERROR(INDEX(PASTE_ALL,$DF939,26)&amp;"","")&amp;"␟"&amp;IFERROR(INDEX(PASTE_ALL,$DF939,27)&amp;"","")&amp;"␟"&amp;IFERROR(INDEX(PASTE_ALL,$DF939,28)&amp;"","")&amp;"␟"&amp;IFERROR(INDEX(PASTE_ALL,$DF939,29)&amp;"","")&amp;"␟"&amp;IFERROR(INDEX(PASTE_ALL,$DF939,30)&amp;"","")&amp;"␟"&amp;IFERROR(INDEX(PASTE_ALL,$DF939,31)&amp;"","")&amp;"␟"&amp;IFERROR(INDEX(PASTE_ALL,$DF939,32)&amp;"","")&amp;"␟"&amp;IFERROR(INDEX(PASTE_ALL,$DF939,33)&amp;"","")&amp;"␟"&amp;IFERROR(INDEX(PASTE_ALL,$DF939,34)&amp;"","")&amp;"␟"&amp;IFERROR(INDEX(PASTE_ALL,$DF939,35)&amp;"","")&amp;"␟"&amp;IFERROR(INDEX(PASTE_ALL,$DF939,36)&amp;"","")&amp;"␟"&amp;IFERROR(INDEX(PASTE_ALL,$DF939,37)&amp;"","")&amp;"␟"&amp;IFERROR(INDEX(PASTE_ALL,$DF939,38)&amp;"","")&amp;"␟"&amp;IFERROR(INDEX(PASTE_ALL,$DF939,39)&amp;"","")&amp;"␟"&amp;IFERROR(INDEX(PASTE_ALL,$DF939,40)&amp;"","")&amp;"␟"&amp;IFERROR(INDEX(PASTE_ALL,$DF939,41)&amp;"","")&amp;"␟"&amp;IFERROR(INDEX(PASTE_ALL,$DF939,42)&amp;"","")&amp;"␟"&amp;IFERROR(INDEX(PASTE_ALL,$DF939,43)&amp;"","")&amp;"␟"&amp;IFERROR(INDEX(PASTE_ALL,$DF939,44)&amp;"","")&amp;"␟"&amp;IFERROR(INDEX(PASTE_ALL,$DF939,45)&amp;"","")&amp;"␟"&amp;IFERROR(INDEX(PASTE_ALL,$DF939,46)&amp;"","")&amp;"␟"&amp;IFERROR(INDEX(PASTE_ALL,$DF939,47)&amp;"","")&amp;"␟"&amp;IFERROR(INDEX(PASTE_ALL,$DF939,48)&amp;"","")&amp;"␟"&amp;IFERROR(INDEX(PASTE_ALL,$DF939,49)&amp;"","")&amp;"␟"&amp;IFERROR(INDEX(PASTE_ALL,$DF939,50)&amp;"","")&amp;"␟"&amp;IFERROR(INDEX(PASTE_ALL,$DF939,51)&amp;"","")&amp;"␟"&amp;IFERROR(INDEX(PASTE_ALL,$DF939,52)&amp;"","")&amp;"␟"&amp;IFERROR(INDEX(PASTE_ALL,$DF939,53)&amp;"","")&amp;"␟"&amp;IFERROR(INDEX(PASTE_ALL,$DF939,54)&amp;"","")&amp;"␟"&amp;IFERROR(INDEX(PASTE_ALL,$DF939,55)&amp;"","")&amp;"␟"&amp;IFERROR(INDEX(PASTE_ALL,$DF939,56)&amp;"","")&amp;"␟"&amp;IFERROR(INDEX(PASTE_ALL,$DF939,57)&amp;"","")&amp;"␟"&amp;IFERROR(INDEX(PASTE_ALL,$DF939,58)&amp;"","")&amp;"␟"&amp;IFERROR(INDEX(PASTE_ALL,$DF939,59)&amp;"","")&amp;"␟"&amp;IFERROR(INDEX(PASTE_ALL,$DF939,60)&amp;"","")," "," "),CHAR(9)," "),CHAR(10)," "),CHAR(13)," "))," ␟","␟"),"␟ ","␟"),"#"&amp;$DE939),"")</f>
        <v/>
      </c>
      <c r="DJ939">
        <f>IF($DI939="",0,IF(SUMPRODUCT(--EXACT($DI$4:DI938,$DI939))&gt;0,1,0))</f>
        <v/>
      </c>
      <c r="DK939">
        <f>IF(AND($DI939&lt;&gt;"",$DJ939=0),1,0)</f>
        <v/>
      </c>
      <c r="DL939">
        <f>DL938+$DK939</f>
        <v/>
      </c>
      <c r="DM939">
        <f>IF(AND($DK939=1,$DL939&lt;=600),1,0)</f>
        <v/>
      </c>
      <c r="DN939">
        <f>IF($DM939=0,"",IF($L$6=0,"",IFERROR(IF(ISNUMBER(INDEX(PASTE_ALL,$DF939,$L$6)),INDEX(PASTE_ALL,$DF939,$L$6),TRIM(SUBSTITUTE(SUBSTITUTE(SUBSTITUTE(SUBSTITUTE(INDEX(PASTE_ALL,$DF939,$L$6)," "," "),CHAR(9)," "),CHAR(10)," "),CHAR(13)," "))),"")))</f>
        <v/>
      </c>
      <c r="DO939">
        <f>IF($DM939=0,"",IF($L$7=0,"",IFERROR(IF(ISNUMBER(INDEX(PASTE_ALL,$DF939,$L$7)),INDEX(PASTE_ALL,$DF939,$L$7),TRIM(SUBSTITUTE(SUBSTITUTE(SUBSTITUTE(SUBSTITUTE(INDEX(PASTE_ALL,$DF939,$L$7)," "," "),CHAR(9)," "),CHAR(10)," "),CHAR(13)," "))),"")))</f>
        <v/>
      </c>
      <c r="DP939">
        <f>IF($DM939=0,"",IF($L$8=0,"",IFERROR(IF(ISNUMBER(INDEX(PASTE_ALL,$DF939,$L$8)),INDEX(PASTE_ALL,$DF939,$L$8),TRIM(SUBSTITUTE(SUBSTITUTE(SUBSTITUTE(SUBSTITUTE(INDEX(PASTE_ALL,$DF939,$L$8)," "," "),CHAR(9)," "),CHAR(10)," "),CHAR(13)," "))),"")))</f>
        <v/>
      </c>
      <c r="DQ939">
        <f>IF($DM939=0,"",IF($L$9=0,"",IFERROR(IF(ISNUMBER(INDEX(PASTE_ALL,$DF939,$L$9)),INDEX(PASTE_ALL,$DF939,$L$9),TRIM(SUBSTITUTE(SUBSTITUTE(SUBSTITUTE(SUBSTITUTE(INDEX(PASTE_ALL,$DF939,$L$9)," "," "),CHAR(9)," "),CHAR(10)," "),CHAR(13)," "))),"")))</f>
        <v/>
      </c>
      <c r="DR939">
        <f>IF($DM939=0,"",IF($L$10=0,"",IFERROR(IF(ISNUMBER(INDEX(PASTE_ALL,$DF939,$L$10)),INDEX(PASTE_ALL,$DF939,$L$10),TRIM(SUBSTITUTE(SUBSTITUTE(SUBSTITUTE(SUBSTITUTE(INDEX(PASTE_ALL,$DF939,$L$10)," "," "),CHAR(9)," "),CHAR(10)," "),CHAR(13)," "))),"")))</f>
        <v/>
      </c>
      <c r="DS939">
        <f>IF($DM939=0,"",IF($L$11=0,"",IFERROR(IF(ISNUMBER(INDEX(PASTE_ALL,$DF939,$L$11)),INDEX(PASTE_ALL,$DF939,$L$11),TRIM(SUBSTITUTE(SUBSTITUTE(SUBSTITUTE(SUBSTITUTE(INDEX(PASTE_ALL,$DF939,$L$11)," "," "),CHAR(9)," "),CHAR(10)," "),CHAR(13)," "))),"")))</f>
        <v/>
      </c>
      <c r="DT939">
        <f>IF($DM939=0,"",IF($L$12=0,"",IFERROR(IF(ISNUMBER(INDEX(PASTE_ALL,$DF939,$L$12)),INDEX(PASTE_ALL,$DF939,$L$12),TRIM(SUBSTITUTE(SUBSTITUTE(SUBSTITUTE(SUBSTITUTE(INDEX(PASTE_ALL,$DF939,$L$12)," "," "),CHAR(9)," "),CHAR(10)," "),CHAR(13)," "))),"")))</f>
        <v/>
      </c>
      <c r="DU939">
        <f>IF($DM939=0,"",IF($L$13=0,"",IFERROR(IF(ISNUMBER(INDEX(PASTE_ALL,$DF939,$L$13)),INDEX(PASTE_ALL,$DF939,$L$13),TRIM(SUBSTITUTE(SUBSTITUTE(SUBSTITUTE(SUBSTITUTE(INDEX(PASTE_ALL,$DF939,$L$13)," "," "),CHAR(9)," "),CHAR(10)," "),CHAR(13)," "))),"")))</f>
        <v/>
      </c>
      <c r="DV939">
        <f>IF($DM939=0,"",IF($L$14=0,"",IFERROR(IF(ISNUMBER(INDEX(PASTE_ALL,$DF939,$L$14)),INDEX(PASTE_ALL,$DF939,$L$14),TRIM(SUBSTITUTE(SUBSTITUTE(SUBSTITUTE(SUBSTITUTE(INDEX(PASTE_ALL,$DF939,$L$14)," "," "),CHAR(9)," "),CHAR(10)," "),CHAR(13)," "))),"")))</f>
        <v/>
      </c>
      <c r="DW939">
        <f>IF($DM939=0,"",IF($L$15=0,"",IFERROR(IF(ISNUMBER(INDEX(PASTE_ALL,$DF939,$L$15)),INDEX(PASTE_ALL,$DF939,$L$15),IF(SUMPRODUCT(--ISNUMBER(FIND({"A","B","C","D","E","F","G","H","I","J","K","L","M","N","O","P","Q","R","S","T","U","V","W","X","Y","Z","0","1","2","3","4","5","6","7","8","9"},UPPER(TRIM(SUBSTITUTE(SUBSTITUTE(SUBSTITUTE(SUBSTITUTE(INDEX(PASTE_ALL,$DF939,$L$15)," "," "),CHAR(9)," "),CHAR(10)," "),CHAR(13)," "))))))&gt;0,TRIM(SUBSTITUTE(SUBSTITUTE(SUBSTITUTE(SUBSTITUTE(INDEX(PASTE_ALL,$DF939,$L$15)," "," "),CHAR(9)," "),CHAR(10)," "),CHAR(13)," ")),"")),"")))</f>
        <v/>
      </c>
      <c r="DX939">
        <f>IF($DM939=0,"",IF($L$16=0,"",IFERROR(IF(ISNUMBER(INDEX(PASTE_ALL,$DF939,$L$16)),INDEX(PASTE_ALL,$DF939,$L$16),SUBSTITUTE(SUBSTITUTE(TRIM(SUBSTITUTE(SUBSTITUTE(SUBSTITUTE(SUBSTITUTE(INDEX(PASTE_ALL,$DF939,$L$16)," "," "),CHAR(9)," "),CHAR(10)," "),CHAR(13)," ")),",",""),"%","")),"")))</f>
        <v/>
      </c>
      <c r="DY939">
        <f>IF($DM939=0,"",IFERROR(IF(ISNUMBER($DX939),$DX939,IF($DX939="","",IF(TRIM($DX939)="",0,IF(AND(AND(SUBSTITUTE(SUBSTITUTE(SUBSTITUTE(SUBSTITUTE(SUBSTITUTE(SUBSTITUTE(SUBSTITUTE(SUBSTITUTE(SUBSTITUTE(SUBSTITUTE(SUBSTITUTE(SUBSTITUTE(SUBSTITUTE(SUBSTITUTE(UPPER(TRIM($DX939)),"0",""),"1",""),"2",""),"3",""),"4",""),"5",""),"6",""),"7",""),"8",""),"9",""),".",""),"+",""),"-",""),"E","")="",LEN(SUBSTITUTE(SUBSTITUTE(MID(UPPER(TRIM($DX939)),1+OR(LEFT(UPPER(TRIM($DX939)),1)="+",LEFT(UPPER(TRIM($DX939)),1)="-"),999),"E+","E"),"E-","E"))=LEN(SUBSTITUTE(SUBSTITUTE(SUBSTITUTE(SUBSTITUTE(MID(UPPER(TRIM($DX939)),1+OR(LEFT(UPPER(TRIM($DX939)),1)="+",LEFT(UPPER(TRIM($DX939)),1)="-"),999),"E+","E"),"E-","E"),"+",""),"-","")),LEN(UPPER(TRIM($DX939)))-LEN(SUBSTITUTE(UPPER(TRIM($DX939)),"E",""))&lt;2,LEN(UPPER(TRIM($DX939)))-LEN(SUBSTITUTE(UPPER(TRIM($DX939)),".",""))&lt;2,IFERROR(FIND(".",UPPER(TRIM($DX939))),0)&lt;IFERROR(FIND("E",UPPER(TRIM($DX939))),999)),ISNUMBER(VALUE(TRIM($DX939)))),VALUE(TRIM($DX939)),"")))),""))</f>
        <v/>
      </c>
      <c r="DZ939">
        <f>IF($DM939=0,"",IF($L$17=0,"",IFERROR(IF(ISNUMBER(INDEX(PASTE_ALL,$DF939,$L$17)),INDEX(PASTE_ALL,$DF939,$L$17),SUBSTITUTE(SUBSTITUTE(TRIM(SUBSTITUTE(SUBSTITUTE(SUBSTITUTE(SUBSTITUTE(INDEX(PASTE_ALL,$DF939,$L$17)," "," "),CHAR(9)," "),CHAR(10)," "),CHAR(13)," ")),",",""),"%","")),"")))</f>
        <v/>
      </c>
      <c r="EA939">
        <f>IF($DM939=0,"",IFERROR(IF(ISNUMBER($DZ939),$DZ939,IF($DZ939="","",IF(TRIM($DZ939)="",0,IF(AND(AND(SUBSTITUTE(SUBSTITUTE(SUBSTITUTE(SUBSTITUTE(SUBSTITUTE(SUBSTITUTE(SUBSTITUTE(SUBSTITUTE(SUBSTITUTE(SUBSTITUTE(SUBSTITUTE(SUBSTITUTE(SUBSTITUTE(SUBSTITUTE(UPPER(TRIM($DZ939)),"0",""),"1",""),"2",""),"3",""),"4",""),"5",""),"6",""),"7",""),"8",""),"9",""),".",""),"+",""),"-",""),"E","")="",LEN(SUBSTITUTE(SUBSTITUTE(MID(UPPER(TRIM($DZ939)),1+OR(LEFT(UPPER(TRIM($DZ939)),1)="+",LEFT(UPPER(TRIM($DZ939)),1)="-"),999),"E+","E"),"E-","E"))=LEN(SUBSTITUTE(SUBSTITUTE(SUBSTITUTE(SUBSTITUTE(MID(UPPER(TRIM($DZ939)),1+OR(LEFT(UPPER(TRIM($DZ939)),1)="+",LEFT(UPPER(TRIM($DZ939)),1)="-"),999),"E+","E"),"E-","E"),"+",""),"-","")),LEN(UPPER(TRIM($DZ939)))-LEN(SUBSTITUTE(UPPER(TRIM($DZ939)),"E",""))&lt;2,LEN(UPPER(TRIM($DZ939)))-LEN(SUBSTITUTE(UPPER(TRIM($DZ939)),".",""))&lt;2,IFERROR(FIND(".",UPPER(TRIM($DZ939))),0)&lt;IFERROR(FIND("E",UPPER(TRIM($DZ939))),999)),ISNUMBER(VALUE(TRIM($DZ939)))),VALUE(TRIM($DZ939)),"")))),""))</f>
        <v/>
      </c>
      <c r="EB939">
        <f>IF($DM939=0,"",IF($L$18=0,"",IFERROR(IF(UPPER(TRIM(SUBSTITUTE(SUBSTITUTE(SUBSTITUTE(SUBSTITUTE(INDEX(PASTE_ALL,$DF939,$L$18)," "," "),CHAR(9)," "),CHAR(10)," "),CHAR(13)," ")))="READY","Ready",IF(UPPER(TRIM(SUBSTITUTE(SUBSTITUTE(SUBSTITUTE(SUBSTITUTE(INDEX(PASTE_ALL,$DF939,$L$18)," "," "),CHAR(9)," "),CHAR(10)," "),CHAR(13)," ")))="PM","PM",IF(OR(UPPER(TRIM(SUBSTITUTE(SUBSTITUTE(SUBSTITUTE(SUBSTITUTE(INDEX(PASTE_ALL,$DF939,$L$18)," "," "),CHAR(9)," "),CHAR(10)," "),CHAR(13)," ")))="OT",UPPER(TRIM(SUBSTITUTE(SUBSTITUTE(SUBSTITUTE(SUBSTITUTE(INDEX(PASTE_ALL,$DF939,$L$18)," "," "),CHAR(9)," "),CHAR(10)," "),CHAR(13)," ")))="OVERTIME",UPPER(TRIM(SUBSTITUTE(SUBSTITUTE(SUBSTITUTE(SUBSTITUTE(INDEX(PASTE_ALL,$DF939,$L$18)," "," "),CHAR(9)," "),CHAR(10)," "),CHAR(13)," ")))="TRIAL"),"OT",TRIM(SUBSTITUTE(SUBSTITUTE(SUBSTITUTE(SUBSTITUTE(INDEX(PASTE_ALL,$DF939,$L$18)," "," "),CHAR(9)," "),CHAR(10)," "),CHAR(13)," "))))),"")))</f>
        <v/>
      </c>
      <c r="EC939">
        <f>IF($DM939=0,"",IF($L$19=0,"",IFERROR(IF(ISNUMBER(INDEX(PASTE_ALL,$DF939,$L$19)),INDEX(PASTE_ALL,$DF939,$L$19),TRIM(SUBSTITUTE(SUBSTITUTE(SUBSTITUTE(SUBSTITUTE(INDEX(PASTE_ALL,$DF939,$L$19)," "," "),CHAR(9)," "),CHAR(10)," "),CHAR(13)," "))),"")))</f>
        <v/>
      </c>
      <c r="ED939">
        <f>IF($DM939=0,"",MATCH(1,INDEX(EXACT($DH$5:DH939,$DH939)*$DM$5:DM939,0),0))</f>
        <v/>
      </c>
      <c r="EE939">
        <f>IF($DM939=0,0,IF($ED939=$DE939,1,0))</f>
        <v/>
      </c>
      <c r="EF939">
        <f>EF938+$EE939</f>
        <v/>
      </c>
      <c r="EG939">
        <f>IF($DM939=0,"",INDEX($EF$5:$EF$1003,$ED939))</f>
        <v/>
      </c>
      <c r="EH939">
        <f>IF($DM939=0,"",IF($DO939&lt;&gt;"","",IFERROR(LOOKUP(2,1/(($EG$4:EG938=$EG939)*($DO$4:DO938&lt;&gt;"")),$DO$4:DO938),"")))</f>
        <v/>
      </c>
      <c r="EI939">
        <f>IF($DM939=0,"",IF($DO939&lt;&gt;"",$DO939,$EH939))</f>
        <v/>
      </c>
      <c r="EJ939">
        <f>IF($DM939=0,"",IF($EI939="",0,IF(OR(ISNUMBER($EI939),AND(AND(SUBSTITUTE(SUBSTITUTE(SUBSTITUTE(SUBSTITUTE(SUBSTITUTE(SUBSTITUTE(SUBSTITUTE(SUBSTITUTE(SUBSTITUTE(SUBSTITUTE(SUBSTITUTE(SUBSTITUTE(SUBSTITUTE(SUBSTITUTE(UPPER($EI939),"0",""),"1",""),"2",""),"3",""),"4",""),"5",""),"6",""),"7",""),"8",""),"9",""),".",""),"+",""),"-",""),"E","")="",LEN(SUBSTITUTE(SUBSTITUTE(MID(UPPER($EI939),1+OR(LEFT(UPPER($EI939),1)="+",LEFT(UPPER($EI939),1)="-"),999),"E+","E"),"E-","E"))=LEN(SUBSTITUTE(SUBSTITUTE(SUBSTITUTE(SUBSTITUTE(MID(UPPER($EI939),1+OR(LEFT(UPPER($EI939),1)="+",LEFT(UPPER($EI939),1)="-"),999),"E+","E"),"E-","E"),"+",""),"-","")),LEN(UPPER($EI939))-LEN(SUBSTITUTE(UPPER($EI939),"E",""))&lt;2,LEN(UPPER($EI939))-LEN(SUBSTITUTE(UPPER($EI939),".",""))&lt;2,IFERROR(FIND(".",UPPER($EI939)),0)&lt;IFERROR(FIND("E",UPPER($EI939)),999)),ISNUMBER(VALUE($EI939)))),1,2)))</f>
        <v/>
      </c>
      <c r="EK939">
        <f>IF($DM939=0,"",IF($EJ939=1,IF(ISNUMBER($EI939),$EI939,VALUE($EI939)),IF($EJ939=2,$DE939,0)))</f>
        <v/>
      </c>
      <c r="EL939">
        <f>IF($DM939=0,"",COUNTIF($EG$5:$EG$1003,"&lt;"&amp;$EG939)+SUMPRODUCT(($EG$5:$EG$1003=$EG939)*(($EJ$5:$EJ$1003&lt;$EJ939)+($EJ$5:$EJ$1003=$EJ939)*(($EK$5:$EK$1003&lt;$EK939)+($EK$5:$EK$1003=$EK939)*($DE$5:$DE$1003&lt;$DE939))))+1)</f>
        <v/>
      </c>
      <c r="EM939">
        <f>IF($DM939=0,"",$EL939+$EG939-1)</f>
        <v/>
      </c>
      <c r="EN939">
        <f>IF($DM939=0,0,IFERROR(MATCH(1,INDEX(--(TRIM(SUBSTITUTE(SUBSTITUTE(SUBSTITUTE(SUBSTITUTE(LINES_NAME&amp;""," "," "),CHAR(9)," "),CHAR(10)," "),CHAR(13)," "))=$DH939),0),0),0))</f>
        <v/>
      </c>
      <c r="EO939">
        <f>IF($EN939=0,0,IF(OR(UPPER(TRIM(INDEX(LINES_SCHEDULED,$EN939)&amp;""))="YES",UPPER(TRIM(INDEX(LINES_SCHEDULED,$EN939)&amp;""))="Y",UPPER(TRIM(INDEX(LINES_SCHEDULED,$EN939)&amp;""))="X"),1,0))</f>
        <v/>
      </c>
      <c r="EP939">
        <f>IF($DM939=0,"",IF(COUNTIFS($EG$5:$EG$1003,$EG939,$EB$5:$EB$1003,"Ready")&gt;0,"READY",IF(COUNTIFS($EG$5:$EG$1003,$EG939,$EB$5:$EB$1003,"PM")&gt;0,"PM",IF(COUNTIFS($EG$5:$EG$1003,$EG939,$EB$5:$EB$1003,"OT")&gt;0,"OT",""))))</f>
        <v/>
      </c>
      <c r="EQ939">
        <f>IF($EN939=0,"",UPPER(TRIM(INDEX(LINES_STATUS,$EN939)&amp;"")))</f>
        <v/>
      </c>
      <c r="ER939">
        <f>IF($DM939=0,"",IF(OR($EQ939="READY",$EQ939="PM",$EQ939="OT"),$EQ939,$EP939))</f>
        <v/>
      </c>
      <c r="ES939">
        <f>IF($DM939=0,"",IF(AND($DV939&lt;&gt;"",UPPER($DV939)&lt;&gt;"N"),"allergen",IF(ISNUMBER(SEARCH("oil",$DQ939)),"oil",IF(OR(EXACT($DS939,"A662"),EXACT($DS939,"A624")),"bulk",""))))</f>
        <v/>
      </c>
      <c r="ET939">
        <f>IF($DM939=0,"",IF(OR($EA939="",$EA939=0),"",$EA939/100))</f>
        <v/>
      </c>
      <c r="EU939">
        <f>IF(OR($ET939="",$DY939=""),"",INT($DY939*(1-$ET939)+0.5))</f>
        <v/>
      </c>
    </row>
    <row r="940">
      <c r="DA940" t="n">
        <v>936</v>
      </c>
      <c r="DB940">
        <f>IF($B$37=0,"",IFERROR(TRIM(SUBSTITUTE(SUBSTITUTE(SUBSTITUTE(SUBSTITUTE(INDEX(PASTE_ALL,936,$B$37)," "," "),CHAR(9)," "),CHAR(10)," "),CHAR(13)," ")),""))</f>
        <v/>
      </c>
      <c r="DC940">
        <f>IF(AND(936&gt;HEADER_ROW,UPPER(DB940)="LEGEND"),1,0)</f>
        <v/>
      </c>
      <c r="DE940" t="n">
        <v>936</v>
      </c>
      <c r="DF940">
        <f>HEADER_ROW+$DE940</f>
        <v/>
      </c>
      <c r="DG940">
        <f>IF(AND($DF940&lt;=1000,$DF940&lt;$B$8),1,0)</f>
        <v/>
      </c>
      <c r="DH940">
        <f>IF($DG940=1,IFERROR(INDEX($DB$5:$DB$1004,$DF940),""),"")</f>
        <v/>
      </c>
      <c r="DI940">
        <f>IF(AND($DG940=1,$DH940&lt;&gt;""),IFERROR(SUBSTITUTE(SUBSTITUTE(TRIM(SUBSTITUTE(SUBSTITUTE(SUBSTITUTE(SUBSTITUTE(IFERROR(INDEX(PASTE_ALL,$DF940,1)&amp;"","")&amp;"␟"&amp;IFERROR(INDEX(PASTE_ALL,$DF940,2)&amp;"","")&amp;"␟"&amp;IFERROR(INDEX(PASTE_ALL,$DF940,3)&amp;"","")&amp;"␟"&amp;IFERROR(INDEX(PASTE_ALL,$DF940,4)&amp;"","")&amp;"␟"&amp;IFERROR(INDEX(PASTE_ALL,$DF940,5)&amp;"","")&amp;"␟"&amp;IFERROR(INDEX(PASTE_ALL,$DF940,6)&amp;"","")&amp;"␟"&amp;IFERROR(INDEX(PASTE_ALL,$DF940,7)&amp;"","")&amp;"␟"&amp;IFERROR(INDEX(PASTE_ALL,$DF940,8)&amp;"","")&amp;"␟"&amp;IFERROR(INDEX(PASTE_ALL,$DF940,9)&amp;"","")&amp;"␟"&amp;IFERROR(INDEX(PASTE_ALL,$DF940,10)&amp;"","")&amp;"␟"&amp;IFERROR(INDEX(PASTE_ALL,$DF940,11)&amp;"","")&amp;"␟"&amp;IFERROR(INDEX(PASTE_ALL,$DF940,12)&amp;"","")&amp;"␟"&amp;IFERROR(INDEX(PASTE_ALL,$DF940,13)&amp;"","")&amp;"␟"&amp;IFERROR(INDEX(PASTE_ALL,$DF940,14)&amp;"","")&amp;"␟"&amp;IFERROR(INDEX(PASTE_ALL,$DF940,15)&amp;"","")&amp;"␟"&amp;IFERROR(INDEX(PASTE_ALL,$DF940,16)&amp;"","")&amp;"␟"&amp;IFERROR(INDEX(PASTE_ALL,$DF940,17)&amp;"","")&amp;"␟"&amp;IFERROR(INDEX(PASTE_ALL,$DF940,18)&amp;"","")&amp;"␟"&amp;IFERROR(INDEX(PASTE_ALL,$DF940,19)&amp;"","")&amp;"␟"&amp;IFERROR(INDEX(PASTE_ALL,$DF940,20)&amp;"","")&amp;"␟"&amp;IFERROR(INDEX(PASTE_ALL,$DF940,21)&amp;"","")&amp;"␟"&amp;IFERROR(INDEX(PASTE_ALL,$DF940,22)&amp;"","")&amp;"␟"&amp;IFERROR(INDEX(PASTE_ALL,$DF940,23)&amp;"","")&amp;"␟"&amp;IFERROR(INDEX(PASTE_ALL,$DF940,24)&amp;"","")&amp;"␟"&amp;IFERROR(INDEX(PASTE_ALL,$DF940,25)&amp;"","")&amp;"␟"&amp;IFERROR(INDEX(PASTE_ALL,$DF940,26)&amp;"","")&amp;"␟"&amp;IFERROR(INDEX(PASTE_ALL,$DF940,27)&amp;"","")&amp;"␟"&amp;IFERROR(INDEX(PASTE_ALL,$DF940,28)&amp;"","")&amp;"␟"&amp;IFERROR(INDEX(PASTE_ALL,$DF940,29)&amp;"","")&amp;"␟"&amp;IFERROR(INDEX(PASTE_ALL,$DF940,30)&amp;"","")&amp;"␟"&amp;IFERROR(INDEX(PASTE_ALL,$DF940,31)&amp;"","")&amp;"␟"&amp;IFERROR(INDEX(PASTE_ALL,$DF940,32)&amp;"","")&amp;"␟"&amp;IFERROR(INDEX(PASTE_ALL,$DF940,33)&amp;"","")&amp;"␟"&amp;IFERROR(INDEX(PASTE_ALL,$DF940,34)&amp;"","")&amp;"␟"&amp;IFERROR(INDEX(PASTE_ALL,$DF940,35)&amp;"","")&amp;"␟"&amp;IFERROR(INDEX(PASTE_ALL,$DF940,36)&amp;"","")&amp;"␟"&amp;IFERROR(INDEX(PASTE_ALL,$DF940,37)&amp;"","")&amp;"␟"&amp;IFERROR(INDEX(PASTE_ALL,$DF940,38)&amp;"","")&amp;"␟"&amp;IFERROR(INDEX(PASTE_ALL,$DF940,39)&amp;"","")&amp;"␟"&amp;IFERROR(INDEX(PASTE_ALL,$DF940,40)&amp;"","")&amp;"␟"&amp;IFERROR(INDEX(PASTE_ALL,$DF940,41)&amp;"","")&amp;"␟"&amp;IFERROR(INDEX(PASTE_ALL,$DF940,42)&amp;"","")&amp;"␟"&amp;IFERROR(INDEX(PASTE_ALL,$DF940,43)&amp;"","")&amp;"␟"&amp;IFERROR(INDEX(PASTE_ALL,$DF940,44)&amp;"","")&amp;"␟"&amp;IFERROR(INDEX(PASTE_ALL,$DF940,45)&amp;"","")&amp;"␟"&amp;IFERROR(INDEX(PASTE_ALL,$DF940,46)&amp;"","")&amp;"␟"&amp;IFERROR(INDEX(PASTE_ALL,$DF940,47)&amp;"","")&amp;"␟"&amp;IFERROR(INDEX(PASTE_ALL,$DF940,48)&amp;"","")&amp;"␟"&amp;IFERROR(INDEX(PASTE_ALL,$DF940,49)&amp;"","")&amp;"␟"&amp;IFERROR(INDEX(PASTE_ALL,$DF940,50)&amp;"","")&amp;"␟"&amp;IFERROR(INDEX(PASTE_ALL,$DF940,51)&amp;"","")&amp;"␟"&amp;IFERROR(INDEX(PASTE_ALL,$DF940,52)&amp;"","")&amp;"␟"&amp;IFERROR(INDEX(PASTE_ALL,$DF940,53)&amp;"","")&amp;"␟"&amp;IFERROR(INDEX(PASTE_ALL,$DF940,54)&amp;"","")&amp;"␟"&amp;IFERROR(INDEX(PASTE_ALL,$DF940,55)&amp;"","")&amp;"␟"&amp;IFERROR(INDEX(PASTE_ALL,$DF940,56)&amp;"","")&amp;"␟"&amp;IFERROR(INDEX(PASTE_ALL,$DF940,57)&amp;"","")&amp;"␟"&amp;IFERROR(INDEX(PASTE_ALL,$DF940,58)&amp;"","")&amp;"␟"&amp;IFERROR(INDEX(PASTE_ALL,$DF940,59)&amp;"","")&amp;"␟"&amp;IFERROR(INDEX(PASTE_ALL,$DF940,60)&amp;"","")," "," "),CHAR(9)," "),CHAR(10)," "),CHAR(13)," "))," ␟","␟"),"␟ ","␟"),"#"&amp;$DE940),"")</f>
        <v/>
      </c>
      <c r="DJ940">
        <f>IF($DI940="",0,IF(SUMPRODUCT(--EXACT($DI$4:DI939,$DI940))&gt;0,1,0))</f>
        <v/>
      </c>
      <c r="DK940">
        <f>IF(AND($DI940&lt;&gt;"",$DJ940=0),1,0)</f>
        <v/>
      </c>
      <c r="DL940">
        <f>DL939+$DK940</f>
        <v/>
      </c>
      <c r="DM940">
        <f>IF(AND($DK940=1,$DL940&lt;=600),1,0)</f>
        <v/>
      </c>
      <c r="DN940">
        <f>IF($DM940=0,"",IF($L$6=0,"",IFERROR(IF(ISNUMBER(INDEX(PASTE_ALL,$DF940,$L$6)),INDEX(PASTE_ALL,$DF940,$L$6),TRIM(SUBSTITUTE(SUBSTITUTE(SUBSTITUTE(SUBSTITUTE(INDEX(PASTE_ALL,$DF940,$L$6)," "," "),CHAR(9)," "),CHAR(10)," "),CHAR(13)," "))),"")))</f>
        <v/>
      </c>
      <c r="DO940">
        <f>IF($DM940=0,"",IF($L$7=0,"",IFERROR(IF(ISNUMBER(INDEX(PASTE_ALL,$DF940,$L$7)),INDEX(PASTE_ALL,$DF940,$L$7),TRIM(SUBSTITUTE(SUBSTITUTE(SUBSTITUTE(SUBSTITUTE(INDEX(PASTE_ALL,$DF940,$L$7)," "," "),CHAR(9)," "),CHAR(10)," "),CHAR(13)," "))),"")))</f>
        <v/>
      </c>
      <c r="DP940">
        <f>IF($DM940=0,"",IF($L$8=0,"",IFERROR(IF(ISNUMBER(INDEX(PASTE_ALL,$DF940,$L$8)),INDEX(PASTE_ALL,$DF940,$L$8),TRIM(SUBSTITUTE(SUBSTITUTE(SUBSTITUTE(SUBSTITUTE(INDEX(PASTE_ALL,$DF940,$L$8)," "," "),CHAR(9)," "),CHAR(10)," "),CHAR(13)," "))),"")))</f>
        <v/>
      </c>
      <c r="DQ940">
        <f>IF($DM940=0,"",IF($L$9=0,"",IFERROR(IF(ISNUMBER(INDEX(PASTE_ALL,$DF940,$L$9)),INDEX(PASTE_ALL,$DF940,$L$9),TRIM(SUBSTITUTE(SUBSTITUTE(SUBSTITUTE(SUBSTITUTE(INDEX(PASTE_ALL,$DF940,$L$9)," "," "),CHAR(9)," "),CHAR(10)," "),CHAR(13)," "))),"")))</f>
        <v/>
      </c>
      <c r="DR940">
        <f>IF($DM940=0,"",IF($L$10=0,"",IFERROR(IF(ISNUMBER(INDEX(PASTE_ALL,$DF940,$L$10)),INDEX(PASTE_ALL,$DF940,$L$10),TRIM(SUBSTITUTE(SUBSTITUTE(SUBSTITUTE(SUBSTITUTE(INDEX(PASTE_ALL,$DF940,$L$10)," "," "),CHAR(9)," "),CHAR(10)," "),CHAR(13)," "))),"")))</f>
        <v/>
      </c>
      <c r="DS940">
        <f>IF($DM940=0,"",IF($L$11=0,"",IFERROR(IF(ISNUMBER(INDEX(PASTE_ALL,$DF940,$L$11)),INDEX(PASTE_ALL,$DF940,$L$11),TRIM(SUBSTITUTE(SUBSTITUTE(SUBSTITUTE(SUBSTITUTE(INDEX(PASTE_ALL,$DF940,$L$11)," "," "),CHAR(9)," "),CHAR(10)," "),CHAR(13)," "))),"")))</f>
        <v/>
      </c>
      <c r="DT940">
        <f>IF($DM940=0,"",IF($L$12=0,"",IFERROR(IF(ISNUMBER(INDEX(PASTE_ALL,$DF940,$L$12)),INDEX(PASTE_ALL,$DF940,$L$12),TRIM(SUBSTITUTE(SUBSTITUTE(SUBSTITUTE(SUBSTITUTE(INDEX(PASTE_ALL,$DF940,$L$12)," "," "),CHAR(9)," "),CHAR(10)," "),CHAR(13)," "))),"")))</f>
        <v/>
      </c>
      <c r="DU940">
        <f>IF($DM940=0,"",IF($L$13=0,"",IFERROR(IF(ISNUMBER(INDEX(PASTE_ALL,$DF940,$L$13)),INDEX(PASTE_ALL,$DF940,$L$13),TRIM(SUBSTITUTE(SUBSTITUTE(SUBSTITUTE(SUBSTITUTE(INDEX(PASTE_ALL,$DF940,$L$13)," "," "),CHAR(9)," "),CHAR(10)," "),CHAR(13)," "))),"")))</f>
        <v/>
      </c>
      <c r="DV940">
        <f>IF($DM940=0,"",IF($L$14=0,"",IFERROR(IF(ISNUMBER(INDEX(PASTE_ALL,$DF940,$L$14)),INDEX(PASTE_ALL,$DF940,$L$14),TRIM(SUBSTITUTE(SUBSTITUTE(SUBSTITUTE(SUBSTITUTE(INDEX(PASTE_ALL,$DF940,$L$14)," "," "),CHAR(9)," "),CHAR(10)," "),CHAR(13)," "))),"")))</f>
        <v/>
      </c>
      <c r="DW940">
        <f>IF($DM940=0,"",IF($L$15=0,"",IFERROR(IF(ISNUMBER(INDEX(PASTE_ALL,$DF940,$L$15)),INDEX(PASTE_ALL,$DF940,$L$15),IF(SUMPRODUCT(--ISNUMBER(FIND({"A","B","C","D","E","F","G","H","I","J","K","L","M","N","O","P","Q","R","S","T","U","V","W","X","Y","Z","0","1","2","3","4","5","6","7","8","9"},UPPER(TRIM(SUBSTITUTE(SUBSTITUTE(SUBSTITUTE(SUBSTITUTE(INDEX(PASTE_ALL,$DF940,$L$15)," "," "),CHAR(9)," "),CHAR(10)," "),CHAR(13)," "))))))&gt;0,TRIM(SUBSTITUTE(SUBSTITUTE(SUBSTITUTE(SUBSTITUTE(INDEX(PASTE_ALL,$DF940,$L$15)," "," "),CHAR(9)," "),CHAR(10)," "),CHAR(13)," ")),"")),"")))</f>
        <v/>
      </c>
      <c r="DX940">
        <f>IF($DM940=0,"",IF($L$16=0,"",IFERROR(IF(ISNUMBER(INDEX(PASTE_ALL,$DF940,$L$16)),INDEX(PASTE_ALL,$DF940,$L$16),SUBSTITUTE(SUBSTITUTE(TRIM(SUBSTITUTE(SUBSTITUTE(SUBSTITUTE(SUBSTITUTE(INDEX(PASTE_ALL,$DF940,$L$16)," "," "),CHAR(9)," "),CHAR(10)," "),CHAR(13)," ")),",",""),"%","")),"")))</f>
        <v/>
      </c>
      <c r="DY940">
        <f>IF($DM940=0,"",IFERROR(IF(ISNUMBER($DX940),$DX940,IF($DX940="","",IF(TRIM($DX940)="",0,IF(AND(AND(SUBSTITUTE(SUBSTITUTE(SUBSTITUTE(SUBSTITUTE(SUBSTITUTE(SUBSTITUTE(SUBSTITUTE(SUBSTITUTE(SUBSTITUTE(SUBSTITUTE(SUBSTITUTE(SUBSTITUTE(SUBSTITUTE(SUBSTITUTE(UPPER(TRIM($DX940)),"0",""),"1",""),"2",""),"3",""),"4",""),"5",""),"6",""),"7",""),"8",""),"9",""),".",""),"+",""),"-",""),"E","")="",LEN(SUBSTITUTE(SUBSTITUTE(MID(UPPER(TRIM($DX940)),1+OR(LEFT(UPPER(TRIM($DX940)),1)="+",LEFT(UPPER(TRIM($DX940)),1)="-"),999),"E+","E"),"E-","E"))=LEN(SUBSTITUTE(SUBSTITUTE(SUBSTITUTE(SUBSTITUTE(MID(UPPER(TRIM($DX940)),1+OR(LEFT(UPPER(TRIM($DX940)),1)="+",LEFT(UPPER(TRIM($DX940)),1)="-"),999),"E+","E"),"E-","E"),"+",""),"-","")),LEN(UPPER(TRIM($DX940)))-LEN(SUBSTITUTE(UPPER(TRIM($DX940)),"E",""))&lt;2,LEN(UPPER(TRIM($DX940)))-LEN(SUBSTITUTE(UPPER(TRIM($DX940)),".",""))&lt;2,IFERROR(FIND(".",UPPER(TRIM($DX940))),0)&lt;IFERROR(FIND("E",UPPER(TRIM($DX940))),999)),ISNUMBER(VALUE(TRIM($DX940)))),VALUE(TRIM($DX940)),"")))),""))</f>
        <v/>
      </c>
      <c r="DZ940">
        <f>IF($DM940=0,"",IF($L$17=0,"",IFERROR(IF(ISNUMBER(INDEX(PASTE_ALL,$DF940,$L$17)),INDEX(PASTE_ALL,$DF940,$L$17),SUBSTITUTE(SUBSTITUTE(TRIM(SUBSTITUTE(SUBSTITUTE(SUBSTITUTE(SUBSTITUTE(INDEX(PASTE_ALL,$DF940,$L$17)," "," "),CHAR(9)," "),CHAR(10)," "),CHAR(13)," ")),",",""),"%","")),"")))</f>
        <v/>
      </c>
      <c r="EA940">
        <f>IF($DM940=0,"",IFERROR(IF(ISNUMBER($DZ940),$DZ940,IF($DZ940="","",IF(TRIM($DZ940)="",0,IF(AND(AND(SUBSTITUTE(SUBSTITUTE(SUBSTITUTE(SUBSTITUTE(SUBSTITUTE(SUBSTITUTE(SUBSTITUTE(SUBSTITUTE(SUBSTITUTE(SUBSTITUTE(SUBSTITUTE(SUBSTITUTE(SUBSTITUTE(SUBSTITUTE(UPPER(TRIM($DZ940)),"0",""),"1",""),"2",""),"3",""),"4",""),"5",""),"6",""),"7",""),"8",""),"9",""),".",""),"+",""),"-",""),"E","")="",LEN(SUBSTITUTE(SUBSTITUTE(MID(UPPER(TRIM($DZ940)),1+OR(LEFT(UPPER(TRIM($DZ940)),1)="+",LEFT(UPPER(TRIM($DZ940)),1)="-"),999),"E+","E"),"E-","E"))=LEN(SUBSTITUTE(SUBSTITUTE(SUBSTITUTE(SUBSTITUTE(MID(UPPER(TRIM($DZ940)),1+OR(LEFT(UPPER(TRIM($DZ940)),1)="+",LEFT(UPPER(TRIM($DZ940)),1)="-"),999),"E+","E"),"E-","E"),"+",""),"-","")),LEN(UPPER(TRIM($DZ940)))-LEN(SUBSTITUTE(UPPER(TRIM($DZ940)),"E",""))&lt;2,LEN(UPPER(TRIM($DZ940)))-LEN(SUBSTITUTE(UPPER(TRIM($DZ940)),".",""))&lt;2,IFERROR(FIND(".",UPPER(TRIM($DZ940))),0)&lt;IFERROR(FIND("E",UPPER(TRIM($DZ940))),999)),ISNUMBER(VALUE(TRIM($DZ940)))),VALUE(TRIM($DZ940)),"")))),""))</f>
        <v/>
      </c>
      <c r="EB940">
        <f>IF($DM940=0,"",IF($L$18=0,"",IFERROR(IF(UPPER(TRIM(SUBSTITUTE(SUBSTITUTE(SUBSTITUTE(SUBSTITUTE(INDEX(PASTE_ALL,$DF940,$L$18)," "," "),CHAR(9)," "),CHAR(10)," "),CHAR(13)," ")))="READY","Ready",IF(UPPER(TRIM(SUBSTITUTE(SUBSTITUTE(SUBSTITUTE(SUBSTITUTE(INDEX(PASTE_ALL,$DF940,$L$18)," "," "),CHAR(9)," "),CHAR(10)," "),CHAR(13)," ")))="PM","PM",IF(OR(UPPER(TRIM(SUBSTITUTE(SUBSTITUTE(SUBSTITUTE(SUBSTITUTE(INDEX(PASTE_ALL,$DF940,$L$18)," "," "),CHAR(9)," "),CHAR(10)," "),CHAR(13)," ")))="OT",UPPER(TRIM(SUBSTITUTE(SUBSTITUTE(SUBSTITUTE(SUBSTITUTE(INDEX(PASTE_ALL,$DF940,$L$18)," "," "),CHAR(9)," "),CHAR(10)," "),CHAR(13)," ")))="OVERTIME",UPPER(TRIM(SUBSTITUTE(SUBSTITUTE(SUBSTITUTE(SUBSTITUTE(INDEX(PASTE_ALL,$DF940,$L$18)," "," "),CHAR(9)," "),CHAR(10)," "),CHAR(13)," ")))="TRIAL"),"OT",TRIM(SUBSTITUTE(SUBSTITUTE(SUBSTITUTE(SUBSTITUTE(INDEX(PASTE_ALL,$DF940,$L$18)," "," "),CHAR(9)," "),CHAR(10)," "),CHAR(13)," "))))),"")))</f>
        <v/>
      </c>
      <c r="EC940">
        <f>IF($DM940=0,"",IF($L$19=0,"",IFERROR(IF(ISNUMBER(INDEX(PASTE_ALL,$DF940,$L$19)),INDEX(PASTE_ALL,$DF940,$L$19),TRIM(SUBSTITUTE(SUBSTITUTE(SUBSTITUTE(SUBSTITUTE(INDEX(PASTE_ALL,$DF940,$L$19)," "," "),CHAR(9)," "),CHAR(10)," "),CHAR(13)," "))),"")))</f>
        <v/>
      </c>
      <c r="ED940">
        <f>IF($DM940=0,"",MATCH(1,INDEX(EXACT($DH$5:DH940,$DH940)*$DM$5:DM940,0),0))</f>
        <v/>
      </c>
      <c r="EE940">
        <f>IF($DM940=0,0,IF($ED940=$DE940,1,0))</f>
        <v/>
      </c>
      <c r="EF940">
        <f>EF939+$EE940</f>
        <v/>
      </c>
      <c r="EG940">
        <f>IF($DM940=0,"",INDEX($EF$5:$EF$1003,$ED940))</f>
        <v/>
      </c>
      <c r="EH940">
        <f>IF($DM940=0,"",IF($DO940&lt;&gt;"","",IFERROR(LOOKUP(2,1/(($EG$4:EG939=$EG940)*($DO$4:DO939&lt;&gt;"")),$DO$4:DO939),"")))</f>
        <v/>
      </c>
      <c r="EI940">
        <f>IF($DM940=0,"",IF($DO940&lt;&gt;"",$DO940,$EH940))</f>
        <v/>
      </c>
      <c r="EJ940">
        <f>IF($DM940=0,"",IF($EI940="",0,IF(OR(ISNUMBER($EI940),AND(AND(SUBSTITUTE(SUBSTITUTE(SUBSTITUTE(SUBSTITUTE(SUBSTITUTE(SUBSTITUTE(SUBSTITUTE(SUBSTITUTE(SUBSTITUTE(SUBSTITUTE(SUBSTITUTE(SUBSTITUTE(SUBSTITUTE(SUBSTITUTE(UPPER($EI940),"0",""),"1",""),"2",""),"3",""),"4",""),"5",""),"6",""),"7",""),"8",""),"9",""),".",""),"+",""),"-",""),"E","")="",LEN(SUBSTITUTE(SUBSTITUTE(MID(UPPER($EI940),1+OR(LEFT(UPPER($EI940),1)="+",LEFT(UPPER($EI940),1)="-"),999),"E+","E"),"E-","E"))=LEN(SUBSTITUTE(SUBSTITUTE(SUBSTITUTE(SUBSTITUTE(MID(UPPER($EI940),1+OR(LEFT(UPPER($EI940),1)="+",LEFT(UPPER($EI940),1)="-"),999),"E+","E"),"E-","E"),"+",""),"-","")),LEN(UPPER($EI940))-LEN(SUBSTITUTE(UPPER($EI940),"E",""))&lt;2,LEN(UPPER($EI940))-LEN(SUBSTITUTE(UPPER($EI940),".",""))&lt;2,IFERROR(FIND(".",UPPER($EI940)),0)&lt;IFERROR(FIND("E",UPPER($EI940)),999)),ISNUMBER(VALUE($EI940)))),1,2)))</f>
        <v/>
      </c>
      <c r="EK940">
        <f>IF($DM940=0,"",IF($EJ940=1,IF(ISNUMBER($EI940),$EI940,VALUE($EI940)),IF($EJ940=2,$DE940,0)))</f>
        <v/>
      </c>
      <c r="EL940">
        <f>IF($DM940=0,"",COUNTIF($EG$5:$EG$1003,"&lt;"&amp;$EG940)+SUMPRODUCT(($EG$5:$EG$1003=$EG940)*(($EJ$5:$EJ$1003&lt;$EJ940)+($EJ$5:$EJ$1003=$EJ940)*(($EK$5:$EK$1003&lt;$EK940)+($EK$5:$EK$1003=$EK940)*($DE$5:$DE$1003&lt;$DE940))))+1)</f>
        <v/>
      </c>
      <c r="EM940">
        <f>IF($DM940=0,"",$EL940+$EG940-1)</f>
        <v/>
      </c>
      <c r="EN940">
        <f>IF($DM940=0,0,IFERROR(MATCH(1,INDEX(--(TRIM(SUBSTITUTE(SUBSTITUTE(SUBSTITUTE(SUBSTITUTE(LINES_NAME&amp;""," "," "),CHAR(9)," "),CHAR(10)," "),CHAR(13)," "))=$DH940),0),0),0))</f>
        <v/>
      </c>
      <c r="EO940">
        <f>IF($EN940=0,0,IF(OR(UPPER(TRIM(INDEX(LINES_SCHEDULED,$EN940)&amp;""))="YES",UPPER(TRIM(INDEX(LINES_SCHEDULED,$EN940)&amp;""))="Y",UPPER(TRIM(INDEX(LINES_SCHEDULED,$EN940)&amp;""))="X"),1,0))</f>
        <v/>
      </c>
      <c r="EP940">
        <f>IF($DM940=0,"",IF(COUNTIFS($EG$5:$EG$1003,$EG940,$EB$5:$EB$1003,"Ready")&gt;0,"READY",IF(COUNTIFS($EG$5:$EG$1003,$EG940,$EB$5:$EB$1003,"PM")&gt;0,"PM",IF(COUNTIFS($EG$5:$EG$1003,$EG940,$EB$5:$EB$1003,"OT")&gt;0,"OT",""))))</f>
        <v/>
      </c>
      <c r="EQ940">
        <f>IF($EN940=0,"",UPPER(TRIM(INDEX(LINES_STATUS,$EN940)&amp;"")))</f>
        <v/>
      </c>
      <c r="ER940">
        <f>IF($DM940=0,"",IF(OR($EQ940="READY",$EQ940="PM",$EQ940="OT"),$EQ940,$EP940))</f>
        <v/>
      </c>
      <c r="ES940">
        <f>IF($DM940=0,"",IF(AND($DV940&lt;&gt;"",UPPER($DV940)&lt;&gt;"N"),"allergen",IF(ISNUMBER(SEARCH("oil",$DQ940)),"oil",IF(OR(EXACT($DS940,"A662"),EXACT($DS940,"A624")),"bulk",""))))</f>
        <v/>
      </c>
      <c r="ET940">
        <f>IF($DM940=0,"",IF(OR($EA940="",$EA940=0),"",$EA940/100))</f>
        <v/>
      </c>
      <c r="EU940">
        <f>IF(OR($ET940="",$DY940=""),"",INT($DY940*(1-$ET940)+0.5))</f>
        <v/>
      </c>
    </row>
    <row r="941">
      <c r="DA941" t="n">
        <v>937</v>
      </c>
      <c r="DB941">
        <f>IF($B$37=0,"",IFERROR(TRIM(SUBSTITUTE(SUBSTITUTE(SUBSTITUTE(SUBSTITUTE(INDEX(PASTE_ALL,937,$B$37)," "," "),CHAR(9)," "),CHAR(10)," "),CHAR(13)," ")),""))</f>
        <v/>
      </c>
      <c r="DC941">
        <f>IF(AND(937&gt;HEADER_ROW,UPPER(DB941)="LEGEND"),1,0)</f>
        <v/>
      </c>
      <c r="DE941" t="n">
        <v>937</v>
      </c>
      <c r="DF941">
        <f>HEADER_ROW+$DE941</f>
        <v/>
      </c>
      <c r="DG941">
        <f>IF(AND($DF941&lt;=1000,$DF941&lt;$B$8),1,0)</f>
        <v/>
      </c>
      <c r="DH941">
        <f>IF($DG941=1,IFERROR(INDEX($DB$5:$DB$1004,$DF941),""),"")</f>
        <v/>
      </c>
      <c r="DI941">
        <f>IF(AND($DG941=1,$DH941&lt;&gt;""),IFERROR(SUBSTITUTE(SUBSTITUTE(TRIM(SUBSTITUTE(SUBSTITUTE(SUBSTITUTE(SUBSTITUTE(IFERROR(INDEX(PASTE_ALL,$DF941,1)&amp;"","")&amp;"␟"&amp;IFERROR(INDEX(PASTE_ALL,$DF941,2)&amp;"","")&amp;"␟"&amp;IFERROR(INDEX(PASTE_ALL,$DF941,3)&amp;"","")&amp;"␟"&amp;IFERROR(INDEX(PASTE_ALL,$DF941,4)&amp;"","")&amp;"␟"&amp;IFERROR(INDEX(PASTE_ALL,$DF941,5)&amp;"","")&amp;"␟"&amp;IFERROR(INDEX(PASTE_ALL,$DF941,6)&amp;"","")&amp;"␟"&amp;IFERROR(INDEX(PASTE_ALL,$DF941,7)&amp;"","")&amp;"␟"&amp;IFERROR(INDEX(PASTE_ALL,$DF941,8)&amp;"","")&amp;"␟"&amp;IFERROR(INDEX(PASTE_ALL,$DF941,9)&amp;"","")&amp;"␟"&amp;IFERROR(INDEX(PASTE_ALL,$DF941,10)&amp;"","")&amp;"␟"&amp;IFERROR(INDEX(PASTE_ALL,$DF941,11)&amp;"","")&amp;"␟"&amp;IFERROR(INDEX(PASTE_ALL,$DF941,12)&amp;"","")&amp;"␟"&amp;IFERROR(INDEX(PASTE_ALL,$DF941,13)&amp;"","")&amp;"␟"&amp;IFERROR(INDEX(PASTE_ALL,$DF941,14)&amp;"","")&amp;"␟"&amp;IFERROR(INDEX(PASTE_ALL,$DF941,15)&amp;"","")&amp;"␟"&amp;IFERROR(INDEX(PASTE_ALL,$DF941,16)&amp;"","")&amp;"␟"&amp;IFERROR(INDEX(PASTE_ALL,$DF941,17)&amp;"","")&amp;"␟"&amp;IFERROR(INDEX(PASTE_ALL,$DF941,18)&amp;"","")&amp;"␟"&amp;IFERROR(INDEX(PASTE_ALL,$DF941,19)&amp;"","")&amp;"␟"&amp;IFERROR(INDEX(PASTE_ALL,$DF941,20)&amp;"","")&amp;"␟"&amp;IFERROR(INDEX(PASTE_ALL,$DF941,21)&amp;"","")&amp;"␟"&amp;IFERROR(INDEX(PASTE_ALL,$DF941,22)&amp;"","")&amp;"␟"&amp;IFERROR(INDEX(PASTE_ALL,$DF941,23)&amp;"","")&amp;"␟"&amp;IFERROR(INDEX(PASTE_ALL,$DF941,24)&amp;"","")&amp;"␟"&amp;IFERROR(INDEX(PASTE_ALL,$DF941,25)&amp;"","")&amp;"␟"&amp;IFERROR(INDEX(PASTE_ALL,$DF941,26)&amp;"","")&amp;"␟"&amp;IFERROR(INDEX(PASTE_ALL,$DF941,27)&amp;"","")&amp;"␟"&amp;IFERROR(INDEX(PASTE_ALL,$DF941,28)&amp;"","")&amp;"␟"&amp;IFERROR(INDEX(PASTE_ALL,$DF941,29)&amp;"","")&amp;"␟"&amp;IFERROR(INDEX(PASTE_ALL,$DF941,30)&amp;"","")&amp;"␟"&amp;IFERROR(INDEX(PASTE_ALL,$DF941,31)&amp;"","")&amp;"␟"&amp;IFERROR(INDEX(PASTE_ALL,$DF941,32)&amp;"","")&amp;"␟"&amp;IFERROR(INDEX(PASTE_ALL,$DF941,33)&amp;"","")&amp;"␟"&amp;IFERROR(INDEX(PASTE_ALL,$DF941,34)&amp;"","")&amp;"␟"&amp;IFERROR(INDEX(PASTE_ALL,$DF941,35)&amp;"","")&amp;"␟"&amp;IFERROR(INDEX(PASTE_ALL,$DF941,36)&amp;"","")&amp;"␟"&amp;IFERROR(INDEX(PASTE_ALL,$DF941,37)&amp;"","")&amp;"␟"&amp;IFERROR(INDEX(PASTE_ALL,$DF941,38)&amp;"","")&amp;"␟"&amp;IFERROR(INDEX(PASTE_ALL,$DF941,39)&amp;"","")&amp;"␟"&amp;IFERROR(INDEX(PASTE_ALL,$DF941,40)&amp;"","")&amp;"␟"&amp;IFERROR(INDEX(PASTE_ALL,$DF941,41)&amp;"","")&amp;"␟"&amp;IFERROR(INDEX(PASTE_ALL,$DF941,42)&amp;"","")&amp;"␟"&amp;IFERROR(INDEX(PASTE_ALL,$DF941,43)&amp;"","")&amp;"␟"&amp;IFERROR(INDEX(PASTE_ALL,$DF941,44)&amp;"","")&amp;"␟"&amp;IFERROR(INDEX(PASTE_ALL,$DF941,45)&amp;"","")&amp;"␟"&amp;IFERROR(INDEX(PASTE_ALL,$DF941,46)&amp;"","")&amp;"␟"&amp;IFERROR(INDEX(PASTE_ALL,$DF941,47)&amp;"","")&amp;"␟"&amp;IFERROR(INDEX(PASTE_ALL,$DF941,48)&amp;"","")&amp;"␟"&amp;IFERROR(INDEX(PASTE_ALL,$DF941,49)&amp;"","")&amp;"␟"&amp;IFERROR(INDEX(PASTE_ALL,$DF941,50)&amp;"","")&amp;"␟"&amp;IFERROR(INDEX(PASTE_ALL,$DF941,51)&amp;"","")&amp;"␟"&amp;IFERROR(INDEX(PASTE_ALL,$DF941,52)&amp;"","")&amp;"␟"&amp;IFERROR(INDEX(PASTE_ALL,$DF941,53)&amp;"","")&amp;"␟"&amp;IFERROR(INDEX(PASTE_ALL,$DF941,54)&amp;"","")&amp;"␟"&amp;IFERROR(INDEX(PASTE_ALL,$DF941,55)&amp;"","")&amp;"␟"&amp;IFERROR(INDEX(PASTE_ALL,$DF941,56)&amp;"","")&amp;"␟"&amp;IFERROR(INDEX(PASTE_ALL,$DF941,57)&amp;"","")&amp;"␟"&amp;IFERROR(INDEX(PASTE_ALL,$DF941,58)&amp;"","")&amp;"␟"&amp;IFERROR(INDEX(PASTE_ALL,$DF941,59)&amp;"","")&amp;"␟"&amp;IFERROR(INDEX(PASTE_ALL,$DF941,60)&amp;"","")," "," "),CHAR(9)," "),CHAR(10)," "),CHAR(13)," "))," ␟","␟"),"␟ ","␟"),"#"&amp;$DE941),"")</f>
        <v/>
      </c>
      <c r="DJ941">
        <f>IF($DI941="",0,IF(SUMPRODUCT(--EXACT($DI$4:DI940,$DI941))&gt;0,1,0))</f>
        <v/>
      </c>
      <c r="DK941">
        <f>IF(AND($DI941&lt;&gt;"",$DJ941=0),1,0)</f>
        <v/>
      </c>
      <c r="DL941">
        <f>DL940+$DK941</f>
        <v/>
      </c>
      <c r="DM941">
        <f>IF(AND($DK941=1,$DL941&lt;=600),1,0)</f>
        <v/>
      </c>
      <c r="DN941">
        <f>IF($DM941=0,"",IF($L$6=0,"",IFERROR(IF(ISNUMBER(INDEX(PASTE_ALL,$DF941,$L$6)),INDEX(PASTE_ALL,$DF941,$L$6),TRIM(SUBSTITUTE(SUBSTITUTE(SUBSTITUTE(SUBSTITUTE(INDEX(PASTE_ALL,$DF941,$L$6)," "," "),CHAR(9)," "),CHAR(10)," "),CHAR(13)," "))),"")))</f>
        <v/>
      </c>
      <c r="DO941">
        <f>IF($DM941=0,"",IF($L$7=0,"",IFERROR(IF(ISNUMBER(INDEX(PASTE_ALL,$DF941,$L$7)),INDEX(PASTE_ALL,$DF941,$L$7),TRIM(SUBSTITUTE(SUBSTITUTE(SUBSTITUTE(SUBSTITUTE(INDEX(PASTE_ALL,$DF941,$L$7)," "," "),CHAR(9)," "),CHAR(10)," "),CHAR(13)," "))),"")))</f>
        <v/>
      </c>
      <c r="DP941">
        <f>IF($DM941=0,"",IF($L$8=0,"",IFERROR(IF(ISNUMBER(INDEX(PASTE_ALL,$DF941,$L$8)),INDEX(PASTE_ALL,$DF941,$L$8),TRIM(SUBSTITUTE(SUBSTITUTE(SUBSTITUTE(SUBSTITUTE(INDEX(PASTE_ALL,$DF941,$L$8)," "," "),CHAR(9)," "),CHAR(10)," "),CHAR(13)," "))),"")))</f>
        <v/>
      </c>
      <c r="DQ941">
        <f>IF($DM941=0,"",IF($L$9=0,"",IFERROR(IF(ISNUMBER(INDEX(PASTE_ALL,$DF941,$L$9)),INDEX(PASTE_ALL,$DF941,$L$9),TRIM(SUBSTITUTE(SUBSTITUTE(SUBSTITUTE(SUBSTITUTE(INDEX(PASTE_ALL,$DF941,$L$9)," "," "),CHAR(9)," "),CHAR(10)," "),CHAR(13)," "))),"")))</f>
        <v/>
      </c>
      <c r="DR941">
        <f>IF($DM941=0,"",IF($L$10=0,"",IFERROR(IF(ISNUMBER(INDEX(PASTE_ALL,$DF941,$L$10)),INDEX(PASTE_ALL,$DF941,$L$10),TRIM(SUBSTITUTE(SUBSTITUTE(SUBSTITUTE(SUBSTITUTE(INDEX(PASTE_ALL,$DF941,$L$10)," "," "),CHAR(9)," "),CHAR(10)," "),CHAR(13)," "))),"")))</f>
        <v/>
      </c>
      <c r="DS941">
        <f>IF($DM941=0,"",IF($L$11=0,"",IFERROR(IF(ISNUMBER(INDEX(PASTE_ALL,$DF941,$L$11)),INDEX(PASTE_ALL,$DF941,$L$11),TRIM(SUBSTITUTE(SUBSTITUTE(SUBSTITUTE(SUBSTITUTE(INDEX(PASTE_ALL,$DF941,$L$11)," "," "),CHAR(9)," "),CHAR(10)," "),CHAR(13)," "))),"")))</f>
        <v/>
      </c>
      <c r="DT941">
        <f>IF($DM941=0,"",IF($L$12=0,"",IFERROR(IF(ISNUMBER(INDEX(PASTE_ALL,$DF941,$L$12)),INDEX(PASTE_ALL,$DF941,$L$12),TRIM(SUBSTITUTE(SUBSTITUTE(SUBSTITUTE(SUBSTITUTE(INDEX(PASTE_ALL,$DF941,$L$12)," "," "),CHAR(9)," "),CHAR(10)," "),CHAR(13)," "))),"")))</f>
        <v/>
      </c>
      <c r="DU941">
        <f>IF($DM941=0,"",IF($L$13=0,"",IFERROR(IF(ISNUMBER(INDEX(PASTE_ALL,$DF941,$L$13)),INDEX(PASTE_ALL,$DF941,$L$13),TRIM(SUBSTITUTE(SUBSTITUTE(SUBSTITUTE(SUBSTITUTE(INDEX(PASTE_ALL,$DF941,$L$13)," "," "),CHAR(9)," "),CHAR(10)," "),CHAR(13)," "))),"")))</f>
        <v/>
      </c>
      <c r="DV941">
        <f>IF($DM941=0,"",IF($L$14=0,"",IFERROR(IF(ISNUMBER(INDEX(PASTE_ALL,$DF941,$L$14)),INDEX(PASTE_ALL,$DF941,$L$14),TRIM(SUBSTITUTE(SUBSTITUTE(SUBSTITUTE(SUBSTITUTE(INDEX(PASTE_ALL,$DF941,$L$14)," "," "),CHAR(9)," "),CHAR(10)," "),CHAR(13)," "))),"")))</f>
        <v/>
      </c>
      <c r="DW941">
        <f>IF($DM941=0,"",IF($L$15=0,"",IFERROR(IF(ISNUMBER(INDEX(PASTE_ALL,$DF941,$L$15)),INDEX(PASTE_ALL,$DF941,$L$15),IF(SUMPRODUCT(--ISNUMBER(FIND({"A","B","C","D","E","F","G","H","I","J","K","L","M","N","O","P","Q","R","S","T","U","V","W","X","Y","Z","0","1","2","3","4","5","6","7","8","9"},UPPER(TRIM(SUBSTITUTE(SUBSTITUTE(SUBSTITUTE(SUBSTITUTE(INDEX(PASTE_ALL,$DF941,$L$15)," "," "),CHAR(9)," "),CHAR(10)," "),CHAR(13)," "))))))&gt;0,TRIM(SUBSTITUTE(SUBSTITUTE(SUBSTITUTE(SUBSTITUTE(INDEX(PASTE_ALL,$DF941,$L$15)," "," "),CHAR(9)," "),CHAR(10)," "),CHAR(13)," ")),"")),"")))</f>
        <v/>
      </c>
      <c r="DX941">
        <f>IF($DM941=0,"",IF($L$16=0,"",IFERROR(IF(ISNUMBER(INDEX(PASTE_ALL,$DF941,$L$16)),INDEX(PASTE_ALL,$DF941,$L$16),SUBSTITUTE(SUBSTITUTE(TRIM(SUBSTITUTE(SUBSTITUTE(SUBSTITUTE(SUBSTITUTE(INDEX(PASTE_ALL,$DF941,$L$16)," "," "),CHAR(9)," "),CHAR(10)," "),CHAR(13)," ")),",",""),"%","")),"")))</f>
        <v/>
      </c>
      <c r="DY941">
        <f>IF($DM941=0,"",IFERROR(IF(ISNUMBER($DX941),$DX941,IF($DX941="","",IF(TRIM($DX941)="",0,IF(AND(AND(SUBSTITUTE(SUBSTITUTE(SUBSTITUTE(SUBSTITUTE(SUBSTITUTE(SUBSTITUTE(SUBSTITUTE(SUBSTITUTE(SUBSTITUTE(SUBSTITUTE(SUBSTITUTE(SUBSTITUTE(SUBSTITUTE(SUBSTITUTE(UPPER(TRIM($DX941)),"0",""),"1",""),"2",""),"3",""),"4",""),"5",""),"6",""),"7",""),"8",""),"9",""),".",""),"+",""),"-",""),"E","")="",LEN(SUBSTITUTE(SUBSTITUTE(MID(UPPER(TRIM($DX941)),1+OR(LEFT(UPPER(TRIM($DX941)),1)="+",LEFT(UPPER(TRIM($DX941)),1)="-"),999),"E+","E"),"E-","E"))=LEN(SUBSTITUTE(SUBSTITUTE(SUBSTITUTE(SUBSTITUTE(MID(UPPER(TRIM($DX941)),1+OR(LEFT(UPPER(TRIM($DX941)),1)="+",LEFT(UPPER(TRIM($DX941)),1)="-"),999),"E+","E"),"E-","E"),"+",""),"-","")),LEN(UPPER(TRIM($DX941)))-LEN(SUBSTITUTE(UPPER(TRIM($DX941)),"E",""))&lt;2,LEN(UPPER(TRIM($DX941)))-LEN(SUBSTITUTE(UPPER(TRIM($DX941)),".",""))&lt;2,IFERROR(FIND(".",UPPER(TRIM($DX941))),0)&lt;IFERROR(FIND("E",UPPER(TRIM($DX941))),999)),ISNUMBER(VALUE(TRIM($DX941)))),VALUE(TRIM($DX941)),"")))),""))</f>
        <v/>
      </c>
      <c r="DZ941">
        <f>IF($DM941=0,"",IF($L$17=0,"",IFERROR(IF(ISNUMBER(INDEX(PASTE_ALL,$DF941,$L$17)),INDEX(PASTE_ALL,$DF941,$L$17),SUBSTITUTE(SUBSTITUTE(TRIM(SUBSTITUTE(SUBSTITUTE(SUBSTITUTE(SUBSTITUTE(INDEX(PASTE_ALL,$DF941,$L$17)," "," "),CHAR(9)," "),CHAR(10)," "),CHAR(13)," ")),",",""),"%","")),"")))</f>
        <v/>
      </c>
      <c r="EA941">
        <f>IF($DM941=0,"",IFERROR(IF(ISNUMBER($DZ941),$DZ941,IF($DZ941="","",IF(TRIM($DZ941)="",0,IF(AND(AND(SUBSTITUTE(SUBSTITUTE(SUBSTITUTE(SUBSTITUTE(SUBSTITUTE(SUBSTITUTE(SUBSTITUTE(SUBSTITUTE(SUBSTITUTE(SUBSTITUTE(SUBSTITUTE(SUBSTITUTE(SUBSTITUTE(SUBSTITUTE(UPPER(TRIM($DZ941)),"0",""),"1",""),"2",""),"3",""),"4",""),"5",""),"6",""),"7",""),"8",""),"9",""),".",""),"+",""),"-",""),"E","")="",LEN(SUBSTITUTE(SUBSTITUTE(MID(UPPER(TRIM($DZ941)),1+OR(LEFT(UPPER(TRIM($DZ941)),1)="+",LEFT(UPPER(TRIM($DZ941)),1)="-"),999),"E+","E"),"E-","E"))=LEN(SUBSTITUTE(SUBSTITUTE(SUBSTITUTE(SUBSTITUTE(MID(UPPER(TRIM($DZ941)),1+OR(LEFT(UPPER(TRIM($DZ941)),1)="+",LEFT(UPPER(TRIM($DZ941)),1)="-"),999),"E+","E"),"E-","E"),"+",""),"-","")),LEN(UPPER(TRIM($DZ941)))-LEN(SUBSTITUTE(UPPER(TRIM($DZ941)),"E",""))&lt;2,LEN(UPPER(TRIM($DZ941)))-LEN(SUBSTITUTE(UPPER(TRIM($DZ941)),".",""))&lt;2,IFERROR(FIND(".",UPPER(TRIM($DZ941))),0)&lt;IFERROR(FIND("E",UPPER(TRIM($DZ941))),999)),ISNUMBER(VALUE(TRIM($DZ941)))),VALUE(TRIM($DZ941)),"")))),""))</f>
        <v/>
      </c>
      <c r="EB941">
        <f>IF($DM941=0,"",IF($L$18=0,"",IFERROR(IF(UPPER(TRIM(SUBSTITUTE(SUBSTITUTE(SUBSTITUTE(SUBSTITUTE(INDEX(PASTE_ALL,$DF941,$L$18)," "," "),CHAR(9)," "),CHAR(10)," "),CHAR(13)," ")))="READY","Ready",IF(UPPER(TRIM(SUBSTITUTE(SUBSTITUTE(SUBSTITUTE(SUBSTITUTE(INDEX(PASTE_ALL,$DF941,$L$18)," "," "),CHAR(9)," "),CHAR(10)," "),CHAR(13)," ")))="PM","PM",IF(OR(UPPER(TRIM(SUBSTITUTE(SUBSTITUTE(SUBSTITUTE(SUBSTITUTE(INDEX(PASTE_ALL,$DF941,$L$18)," "," "),CHAR(9)," "),CHAR(10)," "),CHAR(13)," ")))="OT",UPPER(TRIM(SUBSTITUTE(SUBSTITUTE(SUBSTITUTE(SUBSTITUTE(INDEX(PASTE_ALL,$DF941,$L$18)," "," "),CHAR(9)," "),CHAR(10)," "),CHAR(13)," ")))="OVERTIME",UPPER(TRIM(SUBSTITUTE(SUBSTITUTE(SUBSTITUTE(SUBSTITUTE(INDEX(PASTE_ALL,$DF941,$L$18)," "," "),CHAR(9)," "),CHAR(10)," "),CHAR(13)," ")))="TRIAL"),"OT",TRIM(SUBSTITUTE(SUBSTITUTE(SUBSTITUTE(SUBSTITUTE(INDEX(PASTE_ALL,$DF941,$L$18)," "," "),CHAR(9)," "),CHAR(10)," "),CHAR(13)," "))))),"")))</f>
        <v/>
      </c>
      <c r="EC941">
        <f>IF($DM941=0,"",IF($L$19=0,"",IFERROR(IF(ISNUMBER(INDEX(PASTE_ALL,$DF941,$L$19)),INDEX(PASTE_ALL,$DF941,$L$19),TRIM(SUBSTITUTE(SUBSTITUTE(SUBSTITUTE(SUBSTITUTE(INDEX(PASTE_ALL,$DF941,$L$19)," "," "),CHAR(9)," "),CHAR(10)," "),CHAR(13)," "))),"")))</f>
        <v/>
      </c>
      <c r="ED941">
        <f>IF($DM941=0,"",MATCH(1,INDEX(EXACT($DH$5:DH941,$DH941)*$DM$5:DM941,0),0))</f>
        <v/>
      </c>
      <c r="EE941">
        <f>IF($DM941=0,0,IF($ED941=$DE941,1,0))</f>
        <v/>
      </c>
      <c r="EF941">
        <f>EF940+$EE941</f>
        <v/>
      </c>
      <c r="EG941">
        <f>IF($DM941=0,"",INDEX($EF$5:$EF$1003,$ED941))</f>
        <v/>
      </c>
      <c r="EH941">
        <f>IF($DM941=0,"",IF($DO941&lt;&gt;"","",IFERROR(LOOKUP(2,1/(($EG$4:EG940=$EG941)*($DO$4:DO940&lt;&gt;"")),$DO$4:DO940),"")))</f>
        <v/>
      </c>
      <c r="EI941">
        <f>IF($DM941=0,"",IF($DO941&lt;&gt;"",$DO941,$EH941))</f>
        <v/>
      </c>
      <c r="EJ941">
        <f>IF($DM941=0,"",IF($EI941="",0,IF(OR(ISNUMBER($EI941),AND(AND(SUBSTITUTE(SUBSTITUTE(SUBSTITUTE(SUBSTITUTE(SUBSTITUTE(SUBSTITUTE(SUBSTITUTE(SUBSTITUTE(SUBSTITUTE(SUBSTITUTE(SUBSTITUTE(SUBSTITUTE(SUBSTITUTE(SUBSTITUTE(UPPER($EI941),"0",""),"1",""),"2",""),"3",""),"4",""),"5",""),"6",""),"7",""),"8",""),"9",""),".",""),"+",""),"-",""),"E","")="",LEN(SUBSTITUTE(SUBSTITUTE(MID(UPPER($EI941),1+OR(LEFT(UPPER($EI941),1)="+",LEFT(UPPER($EI941),1)="-"),999),"E+","E"),"E-","E"))=LEN(SUBSTITUTE(SUBSTITUTE(SUBSTITUTE(SUBSTITUTE(MID(UPPER($EI941),1+OR(LEFT(UPPER($EI941),1)="+",LEFT(UPPER($EI941),1)="-"),999),"E+","E"),"E-","E"),"+",""),"-","")),LEN(UPPER($EI941))-LEN(SUBSTITUTE(UPPER($EI941),"E",""))&lt;2,LEN(UPPER($EI941))-LEN(SUBSTITUTE(UPPER($EI941),".",""))&lt;2,IFERROR(FIND(".",UPPER($EI941)),0)&lt;IFERROR(FIND("E",UPPER($EI941)),999)),ISNUMBER(VALUE($EI941)))),1,2)))</f>
        <v/>
      </c>
      <c r="EK941">
        <f>IF($DM941=0,"",IF($EJ941=1,IF(ISNUMBER($EI941),$EI941,VALUE($EI941)),IF($EJ941=2,$DE941,0)))</f>
        <v/>
      </c>
      <c r="EL941">
        <f>IF($DM941=0,"",COUNTIF($EG$5:$EG$1003,"&lt;"&amp;$EG941)+SUMPRODUCT(($EG$5:$EG$1003=$EG941)*(($EJ$5:$EJ$1003&lt;$EJ941)+($EJ$5:$EJ$1003=$EJ941)*(($EK$5:$EK$1003&lt;$EK941)+($EK$5:$EK$1003=$EK941)*($DE$5:$DE$1003&lt;$DE941))))+1)</f>
        <v/>
      </c>
      <c r="EM941">
        <f>IF($DM941=0,"",$EL941+$EG941-1)</f>
        <v/>
      </c>
      <c r="EN941">
        <f>IF($DM941=0,0,IFERROR(MATCH(1,INDEX(--(TRIM(SUBSTITUTE(SUBSTITUTE(SUBSTITUTE(SUBSTITUTE(LINES_NAME&amp;""," "," "),CHAR(9)," "),CHAR(10)," "),CHAR(13)," "))=$DH941),0),0),0))</f>
        <v/>
      </c>
      <c r="EO941">
        <f>IF($EN941=0,0,IF(OR(UPPER(TRIM(INDEX(LINES_SCHEDULED,$EN941)&amp;""))="YES",UPPER(TRIM(INDEX(LINES_SCHEDULED,$EN941)&amp;""))="Y",UPPER(TRIM(INDEX(LINES_SCHEDULED,$EN941)&amp;""))="X"),1,0))</f>
        <v/>
      </c>
      <c r="EP941">
        <f>IF($DM941=0,"",IF(COUNTIFS($EG$5:$EG$1003,$EG941,$EB$5:$EB$1003,"Ready")&gt;0,"READY",IF(COUNTIFS($EG$5:$EG$1003,$EG941,$EB$5:$EB$1003,"PM")&gt;0,"PM",IF(COUNTIFS($EG$5:$EG$1003,$EG941,$EB$5:$EB$1003,"OT")&gt;0,"OT",""))))</f>
        <v/>
      </c>
      <c r="EQ941">
        <f>IF($EN941=0,"",UPPER(TRIM(INDEX(LINES_STATUS,$EN941)&amp;"")))</f>
        <v/>
      </c>
      <c r="ER941">
        <f>IF($DM941=0,"",IF(OR($EQ941="READY",$EQ941="PM",$EQ941="OT"),$EQ941,$EP941))</f>
        <v/>
      </c>
      <c r="ES941">
        <f>IF($DM941=0,"",IF(AND($DV941&lt;&gt;"",UPPER($DV941)&lt;&gt;"N"),"allergen",IF(ISNUMBER(SEARCH("oil",$DQ941)),"oil",IF(OR(EXACT($DS941,"A662"),EXACT($DS941,"A624")),"bulk",""))))</f>
        <v/>
      </c>
      <c r="ET941">
        <f>IF($DM941=0,"",IF(OR($EA941="",$EA941=0),"",$EA941/100))</f>
        <v/>
      </c>
      <c r="EU941">
        <f>IF(OR($ET941="",$DY941=""),"",INT($DY941*(1-$ET941)+0.5))</f>
        <v/>
      </c>
    </row>
    <row r="942">
      <c r="DA942" t="n">
        <v>938</v>
      </c>
      <c r="DB942">
        <f>IF($B$37=0,"",IFERROR(TRIM(SUBSTITUTE(SUBSTITUTE(SUBSTITUTE(SUBSTITUTE(INDEX(PASTE_ALL,938,$B$37)," "," "),CHAR(9)," "),CHAR(10)," "),CHAR(13)," ")),""))</f>
        <v/>
      </c>
      <c r="DC942">
        <f>IF(AND(938&gt;HEADER_ROW,UPPER(DB942)="LEGEND"),1,0)</f>
        <v/>
      </c>
      <c r="DE942" t="n">
        <v>938</v>
      </c>
      <c r="DF942">
        <f>HEADER_ROW+$DE942</f>
        <v/>
      </c>
      <c r="DG942">
        <f>IF(AND($DF942&lt;=1000,$DF942&lt;$B$8),1,0)</f>
        <v/>
      </c>
      <c r="DH942">
        <f>IF($DG942=1,IFERROR(INDEX($DB$5:$DB$1004,$DF942),""),"")</f>
        <v/>
      </c>
      <c r="DI942">
        <f>IF(AND($DG942=1,$DH942&lt;&gt;""),IFERROR(SUBSTITUTE(SUBSTITUTE(TRIM(SUBSTITUTE(SUBSTITUTE(SUBSTITUTE(SUBSTITUTE(IFERROR(INDEX(PASTE_ALL,$DF942,1)&amp;"","")&amp;"␟"&amp;IFERROR(INDEX(PASTE_ALL,$DF942,2)&amp;"","")&amp;"␟"&amp;IFERROR(INDEX(PASTE_ALL,$DF942,3)&amp;"","")&amp;"␟"&amp;IFERROR(INDEX(PASTE_ALL,$DF942,4)&amp;"","")&amp;"␟"&amp;IFERROR(INDEX(PASTE_ALL,$DF942,5)&amp;"","")&amp;"␟"&amp;IFERROR(INDEX(PASTE_ALL,$DF942,6)&amp;"","")&amp;"␟"&amp;IFERROR(INDEX(PASTE_ALL,$DF942,7)&amp;"","")&amp;"␟"&amp;IFERROR(INDEX(PASTE_ALL,$DF942,8)&amp;"","")&amp;"␟"&amp;IFERROR(INDEX(PASTE_ALL,$DF942,9)&amp;"","")&amp;"␟"&amp;IFERROR(INDEX(PASTE_ALL,$DF942,10)&amp;"","")&amp;"␟"&amp;IFERROR(INDEX(PASTE_ALL,$DF942,11)&amp;"","")&amp;"␟"&amp;IFERROR(INDEX(PASTE_ALL,$DF942,12)&amp;"","")&amp;"␟"&amp;IFERROR(INDEX(PASTE_ALL,$DF942,13)&amp;"","")&amp;"␟"&amp;IFERROR(INDEX(PASTE_ALL,$DF942,14)&amp;"","")&amp;"␟"&amp;IFERROR(INDEX(PASTE_ALL,$DF942,15)&amp;"","")&amp;"␟"&amp;IFERROR(INDEX(PASTE_ALL,$DF942,16)&amp;"","")&amp;"␟"&amp;IFERROR(INDEX(PASTE_ALL,$DF942,17)&amp;"","")&amp;"␟"&amp;IFERROR(INDEX(PASTE_ALL,$DF942,18)&amp;"","")&amp;"␟"&amp;IFERROR(INDEX(PASTE_ALL,$DF942,19)&amp;"","")&amp;"␟"&amp;IFERROR(INDEX(PASTE_ALL,$DF942,20)&amp;"","")&amp;"␟"&amp;IFERROR(INDEX(PASTE_ALL,$DF942,21)&amp;"","")&amp;"␟"&amp;IFERROR(INDEX(PASTE_ALL,$DF942,22)&amp;"","")&amp;"␟"&amp;IFERROR(INDEX(PASTE_ALL,$DF942,23)&amp;"","")&amp;"␟"&amp;IFERROR(INDEX(PASTE_ALL,$DF942,24)&amp;"","")&amp;"␟"&amp;IFERROR(INDEX(PASTE_ALL,$DF942,25)&amp;"","")&amp;"␟"&amp;IFERROR(INDEX(PASTE_ALL,$DF942,26)&amp;"","")&amp;"␟"&amp;IFERROR(INDEX(PASTE_ALL,$DF942,27)&amp;"","")&amp;"␟"&amp;IFERROR(INDEX(PASTE_ALL,$DF942,28)&amp;"","")&amp;"␟"&amp;IFERROR(INDEX(PASTE_ALL,$DF942,29)&amp;"","")&amp;"␟"&amp;IFERROR(INDEX(PASTE_ALL,$DF942,30)&amp;"","")&amp;"␟"&amp;IFERROR(INDEX(PASTE_ALL,$DF942,31)&amp;"","")&amp;"␟"&amp;IFERROR(INDEX(PASTE_ALL,$DF942,32)&amp;"","")&amp;"␟"&amp;IFERROR(INDEX(PASTE_ALL,$DF942,33)&amp;"","")&amp;"␟"&amp;IFERROR(INDEX(PASTE_ALL,$DF942,34)&amp;"","")&amp;"␟"&amp;IFERROR(INDEX(PASTE_ALL,$DF942,35)&amp;"","")&amp;"␟"&amp;IFERROR(INDEX(PASTE_ALL,$DF942,36)&amp;"","")&amp;"␟"&amp;IFERROR(INDEX(PASTE_ALL,$DF942,37)&amp;"","")&amp;"␟"&amp;IFERROR(INDEX(PASTE_ALL,$DF942,38)&amp;"","")&amp;"␟"&amp;IFERROR(INDEX(PASTE_ALL,$DF942,39)&amp;"","")&amp;"␟"&amp;IFERROR(INDEX(PASTE_ALL,$DF942,40)&amp;"","")&amp;"␟"&amp;IFERROR(INDEX(PASTE_ALL,$DF942,41)&amp;"","")&amp;"␟"&amp;IFERROR(INDEX(PASTE_ALL,$DF942,42)&amp;"","")&amp;"␟"&amp;IFERROR(INDEX(PASTE_ALL,$DF942,43)&amp;"","")&amp;"␟"&amp;IFERROR(INDEX(PASTE_ALL,$DF942,44)&amp;"","")&amp;"␟"&amp;IFERROR(INDEX(PASTE_ALL,$DF942,45)&amp;"","")&amp;"␟"&amp;IFERROR(INDEX(PASTE_ALL,$DF942,46)&amp;"","")&amp;"␟"&amp;IFERROR(INDEX(PASTE_ALL,$DF942,47)&amp;"","")&amp;"␟"&amp;IFERROR(INDEX(PASTE_ALL,$DF942,48)&amp;"","")&amp;"␟"&amp;IFERROR(INDEX(PASTE_ALL,$DF942,49)&amp;"","")&amp;"␟"&amp;IFERROR(INDEX(PASTE_ALL,$DF942,50)&amp;"","")&amp;"␟"&amp;IFERROR(INDEX(PASTE_ALL,$DF942,51)&amp;"","")&amp;"␟"&amp;IFERROR(INDEX(PASTE_ALL,$DF942,52)&amp;"","")&amp;"␟"&amp;IFERROR(INDEX(PASTE_ALL,$DF942,53)&amp;"","")&amp;"␟"&amp;IFERROR(INDEX(PASTE_ALL,$DF942,54)&amp;"","")&amp;"␟"&amp;IFERROR(INDEX(PASTE_ALL,$DF942,55)&amp;"","")&amp;"␟"&amp;IFERROR(INDEX(PASTE_ALL,$DF942,56)&amp;"","")&amp;"␟"&amp;IFERROR(INDEX(PASTE_ALL,$DF942,57)&amp;"","")&amp;"␟"&amp;IFERROR(INDEX(PASTE_ALL,$DF942,58)&amp;"","")&amp;"␟"&amp;IFERROR(INDEX(PASTE_ALL,$DF942,59)&amp;"","")&amp;"␟"&amp;IFERROR(INDEX(PASTE_ALL,$DF942,60)&amp;"","")," "," "),CHAR(9)," "),CHAR(10)," "),CHAR(13)," "))," ␟","␟"),"␟ ","␟"),"#"&amp;$DE942),"")</f>
        <v/>
      </c>
      <c r="DJ942">
        <f>IF($DI942="",0,IF(SUMPRODUCT(--EXACT($DI$4:DI941,$DI942))&gt;0,1,0))</f>
        <v/>
      </c>
      <c r="DK942">
        <f>IF(AND($DI942&lt;&gt;"",$DJ942=0),1,0)</f>
        <v/>
      </c>
      <c r="DL942">
        <f>DL941+$DK942</f>
        <v/>
      </c>
      <c r="DM942">
        <f>IF(AND($DK942=1,$DL942&lt;=600),1,0)</f>
        <v/>
      </c>
      <c r="DN942">
        <f>IF($DM942=0,"",IF($L$6=0,"",IFERROR(IF(ISNUMBER(INDEX(PASTE_ALL,$DF942,$L$6)),INDEX(PASTE_ALL,$DF942,$L$6),TRIM(SUBSTITUTE(SUBSTITUTE(SUBSTITUTE(SUBSTITUTE(INDEX(PASTE_ALL,$DF942,$L$6)," "," "),CHAR(9)," "),CHAR(10)," "),CHAR(13)," "))),"")))</f>
        <v/>
      </c>
      <c r="DO942">
        <f>IF($DM942=0,"",IF($L$7=0,"",IFERROR(IF(ISNUMBER(INDEX(PASTE_ALL,$DF942,$L$7)),INDEX(PASTE_ALL,$DF942,$L$7),TRIM(SUBSTITUTE(SUBSTITUTE(SUBSTITUTE(SUBSTITUTE(INDEX(PASTE_ALL,$DF942,$L$7)," "," "),CHAR(9)," "),CHAR(10)," "),CHAR(13)," "))),"")))</f>
        <v/>
      </c>
      <c r="DP942">
        <f>IF($DM942=0,"",IF($L$8=0,"",IFERROR(IF(ISNUMBER(INDEX(PASTE_ALL,$DF942,$L$8)),INDEX(PASTE_ALL,$DF942,$L$8),TRIM(SUBSTITUTE(SUBSTITUTE(SUBSTITUTE(SUBSTITUTE(INDEX(PASTE_ALL,$DF942,$L$8)," "," "),CHAR(9)," "),CHAR(10)," "),CHAR(13)," "))),"")))</f>
        <v/>
      </c>
      <c r="DQ942">
        <f>IF($DM942=0,"",IF($L$9=0,"",IFERROR(IF(ISNUMBER(INDEX(PASTE_ALL,$DF942,$L$9)),INDEX(PASTE_ALL,$DF942,$L$9),TRIM(SUBSTITUTE(SUBSTITUTE(SUBSTITUTE(SUBSTITUTE(INDEX(PASTE_ALL,$DF942,$L$9)," "," "),CHAR(9)," "),CHAR(10)," "),CHAR(13)," "))),"")))</f>
        <v/>
      </c>
      <c r="DR942">
        <f>IF($DM942=0,"",IF($L$10=0,"",IFERROR(IF(ISNUMBER(INDEX(PASTE_ALL,$DF942,$L$10)),INDEX(PASTE_ALL,$DF942,$L$10),TRIM(SUBSTITUTE(SUBSTITUTE(SUBSTITUTE(SUBSTITUTE(INDEX(PASTE_ALL,$DF942,$L$10)," "," "),CHAR(9)," "),CHAR(10)," "),CHAR(13)," "))),"")))</f>
        <v/>
      </c>
      <c r="DS942">
        <f>IF($DM942=0,"",IF($L$11=0,"",IFERROR(IF(ISNUMBER(INDEX(PASTE_ALL,$DF942,$L$11)),INDEX(PASTE_ALL,$DF942,$L$11),TRIM(SUBSTITUTE(SUBSTITUTE(SUBSTITUTE(SUBSTITUTE(INDEX(PASTE_ALL,$DF942,$L$11)," "," "),CHAR(9)," "),CHAR(10)," "),CHAR(13)," "))),"")))</f>
        <v/>
      </c>
      <c r="DT942">
        <f>IF($DM942=0,"",IF($L$12=0,"",IFERROR(IF(ISNUMBER(INDEX(PASTE_ALL,$DF942,$L$12)),INDEX(PASTE_ALL,$DF942,$L$12),TRIM(SUBSTITUTE(SUBSTITUTE(SUBSTITUTE(SUBSTITUTE(INDEX(PASTE_ALL,$DF942,$L$12)," "," "),CHAR(9)," "),CHAR(10)," "),CHAR(13)," "))),"")))</f>
        <v/>
      </c>
      <c r="DU942">
        <f>IF($DM942=0,"",IF($L$13=0,"",IFERROR(IF(ISNUMBER(INDEX(PASTE_ALL,$DF942,$L$13)),INDEX(PASTE_ALL,$DF942,$L$13),TRIM(SUBSTITUTE(SUBSTITUTE(SUBSTITUTE(SUBSTITUTE(INDEX(PASTE_ALL,$DF942,$L$13)," "," "),CHAR(9)," "),CHAR(10)," "),CHAR(13)," "))),"")))</f>
        <v/>
      </c>
      <c r="DV942">
        <f>IF($DM942=0,"",IF($L$14=0,"",IFERROR(IF(ISNUMBER(INDEX(PASTE_ALL,$DF942,$L$14)),INDEX(PASTE_ALL,$DF942,$L$14),TRIM(SUBSTITUTE(SUBSTITUTE(SUBSTITUTE(SUBSTITUTE(INDEX(PASTE_ALL,$DF942,$L$14)," "," "),CHAR(9)," "),CHAR(10)," "),CHAR(13)," "))),"")))</f>
        <v/>
      </c>
      <c r="DW942">
        <f>IF($DM942=0,"",IF($L$15=0,"",IFERROR(IF(ISNUMBER(INDEX(PASTE_ALL,$DF942,$L$15)),INDEX(PASTE_ALL,$DF942,$L$15),IF(SUMPRODUCT(--ISNUMBER(FIND({"A","B","C","D","E","F","G","H","I","J","K","L","M","N","O","P","Q","R","S","T","U","V","W","X","Y","Z","0","1","2","3","4","5","6","7","8","9"},UPPER(TRIM(SUBSTITUTE(SUBSTITUTE(SUBSTITUTE(SUBSTITUTE(INDEX(PASTE_ALL,$DF942,$L$15)," "," "),CHAR(9)," "),CHAR(10)," "),CHAR(13)," "))))))&gt;0,TRIM(SUBSTITUTE(SUBSTITUTE(SUBSTITUTE(SUBSTITUTE(INDEX(PASTE_ALL,$DF942,$L$15)," "," "),CHAR(9)," "),CHAR(10)," "),CHAR(13)," ")),"")),"")))</f>
        <v/>
      </c>
      <c r="DX942">
        <f>IF($DM942=0,"",IF($L$16=0,"",IFERROR(IF(ISNUMBER(INDEX(PASTE_ALL,$DF942,$L$16)),INDEX(PASTE_ALL,$DF942,$L$16),SUBSTITUTE(SUBSTITUTE(TRIM(SUBSTITUTE(SUBSTITUTE(SUBSTITUTE(SUBSTITUTE(INDEX(PASTE_ALL,$DF942,$L$16)," "," "),CHAR(9)," "),CHAR(10)," "),CHAR(13)," ")),",",""),"%","")),"")))</f>
        <v/>
      </c>
      <c r="DY942">
        <f>IF($DM942=0,"",IFERROR(IF(ISNUMBER($DX942),$DX942,IF($DX942="","",IF(TRIM($DX942)="",0,IF(AND(AND(SUBSTITUTE(SUBSTITUTE(SUBSTITUTE(SUBSTITUTE(SUBSTITUTE(SUBSTITUTE(SUBSTITUTE(SUBSTITUTE(SUBSTITUTE(SUBSTITUTE(SUBSTITUTE(SUBSTITUTE(SUBSTITUTE(SUBSTITUTE(UPPER(TRIM($DX942)),"0",""),"1",""),"2",""),"3",""),"4",""),"5",""),"6",""),"7",""),"8",""),"9",""),".",""),"+",""),"-",""),"E","")="",LEN(SUBSTITUTE(SUBSTITUTE(MID(UPPER(TRIM($DX942)),1+OR(LEFT(UPPER(TRIM($DX942)),1)="+",LEFT(UPPER(TRIM($DX942)),1)="-"),999),"E+","E"),"E-","E"))=LEN(SUBSTITUTE(SUBSTITUTE(SUBSTITUTE(SUBSTITUTE(MID(UPPER(TRIM($DX942)),1+OR(LEFT(UPPER(TRIM($DX942)),1)="+",LEFT(UPPER(TRIM($DX942)),1)="-"),999),"E+","E"),"E-","E"),"+",""),"-","")),LEN(UPPER(TRIM($DX942)))-LEN(SUBSTITUTE(UPPER(TRIM($DX942)),"E",""))&lt;2,LEN(UPPER(TRIM($DX942)))-LEN(SUBSTITUTE(UPPER(TRIM($DX942)),".",""))&lt;2,IFERROR(FIND(".",UPPER(TRIM($DX942))),0)&lt;IFERROR(FIND("E",UPPER(TRIM($DX942))),999)),ISNUMBER(VALUE(TRIM($DX942)))),VALUE(TRIM($DX942)),"")))),""))</f>
        <v/>
      </c>
      <c r="DZ942">
        <f>IF($DM942=0,"",IF($L$17=0,"",IFERROR(IF(ISNUMBER(INDEX(PASTE_ALL,$DF942,$L$17)),INDEX(PASTE_ALL,$DF942,$L$17),SUBSTITUTE(SUBSTITUTE(TRIM(SUBSTITUTE(SUBSTITUTE(SUBSTITUTE(SUBSTITUTE(INDEX(PASTE_ALL,$DF942,$L$17)," "," "),CHAR(9)," "),CHAR(10)," "),CHAR(13)," ")),",",""),"%","")),"")))</f>
        <v/>
      </c>
      <c r="EA942">
        <f>IF($DM942=0,"",IFERROR(IF(ISNUMBER($DZ942),$DZ942,IF($DZ942="","",IF(TRIM($DZ942)="",0,IF(AND(AND(SUBSTITUTE(SUBSTITUTE(SUBSTITUTE(SUBSTITUTE(SUBSTITUTE(SUBSTITUTE(SUBSTITUTE(SUBSTITUTE(SUBSTITUTE(SUBSTITUTE(SUBSTITUTE(SUBSTITUTE(SUBSTITUTE(SUBSTITUTE(UPPER(TRIM($DZ942)),"0",""),"1",""),"2",""),"3",""),"4",""),"5",""),"6",""),"7",""),"8",""),"9",""),".",""),"+",""),"-",""),"E","")="",LEN(SUBSTITUTE(SUBSTITUTE(MID(UPPER(TRIM($DZ942)),1+OR(LEFT(UPPER(TRIM($DZ942)),1)="+",LEFT(UPPER(TRIM($DZ942)),1)="-"),999),"E+","E"),"E-","E"))=LEN(SUBSTITUTE(SUBSTITUTE(SUBSTITUTE(SUBSTITUTE(MID(UPPER(TRIM($DZ942)),1+OR(LEFT(UPPER(TRIM($DZ942)),1)="+",LEFT(UPPER(TRIM($DZ942)),1)="-"),999),"E+","E"),"E-","E"),"+",""),"-","")),LEN(UPPER(TRIM($DZ942)))-LEN(SUBSTITUTE(UPPER(TRIM($DZ942)),"E",""))&lt;2,LEN(UPPER(TRIM($DZ942)))-LEN(SUBSTITUTE(UPPER(TRIM($DZ942)),".",""))&lt;2,IFERROR(FIND(".",UPPER(TRIM($DZ942))),0)&lt;IFERROR(FIND("E",UPPER(TRIM($DZ942))),999)),ISNUMBER(VALUE(TRIM($DZ942)))),VALUE(TRIM($DZ942)),"")))),""))</f>
        <v/>
      </c>
      <c r="EB942">
        <f>IF($DM942=0,"",IF($L$18=0,"",IFERROR(IF(UPPER(TRIM(SUBSTITUTE(SUBSTITUTE(SUBSTITUTE(SUBSTITUTE(INDEX(PASTE_ALL,$DF942,$L$18)," "," "),CHAR(9)," "),CHAR(10)," "),CHAR(13)," ")))="READY","Ready",IF(UPPER(TRIM(SUBSTITUTE(SUBSTITUTE(SUBSTITUTE(SUBSTITUTE(INDEX(PASTE_ALL,$DF942,$L$18)," "," "),CHAR(9)," "),CHAR(10)," "),CHAR(13)," ")))="PM","PM",IF(OR(UPPER(TRIM(SUBSTITUTE(SUBSTITUTE(SUBSTITUTE(SUBSTITUTE(INDEX(PASTE_ALL,$DF942,$L$18)," "," "),CHAR(9)," "),CHAR(10)," "),CHAR(13)," ")))="OT",UPPER(TRIM(SUBSTITUTE(SUBSTITUTE(SUBSTITUTE(SUBSTITUTE(INDEX(PASTE_ALL,$DF942,$L$18)," "," "),CHAR(9)," "),CHAR(10)," "),CHAR(13)," ")))="OVERTIME",UPPER(TRIM(SUBSTITUTE(SUBSTITUTE(SUBSTITUTE(SUBSTITUTE(INDEX(PASTE_ALL,$DF942,$L$18)," "," "),CHAR(9)," "),CHAR(10)," "),CHAR(13)," ")))="TRIAL"),"OT",TRIM(SUBSTITUTE(SUBSTITUTE(SUBSTITUTE(SUBSTITUTE(INDEX(PASTE_ALL,$DF942,$L$18)," "," "),CHAR(9)," "),CHAR(10)," "),CHAR(13)," "))))),"")))</f>
        <v/>
      </c>
      <c r="EC942">
        <f>IF($DM942=0,"",IF($L$19=0,"",IFERROR(IF(ISNUMBER(INDEX(PASTE_ALL,$DF942,$L$19)),INDEX(PASTE_ALL,$DF942,$L$19),TRIM(SUBSTITUTE(SUBSTITUTE(SUBSTITUTE(SUBSTITUTE(INDEX(PASTE_ALL,$DF942,$L$19)," "," "),CHAR(9)," "),CHAR(10)," "),CHAR(13)," "))),"")))</f>
        <v/>
      </c>
      <c r="ED942">
        <f>IF($DM942=0,"",MATCH(1,INDEX(EXACT($DH$5:DH942,$DH942)*$DM$5:DM942,0),0))</f>
        <v/>
      </c>
      <c r="EE942">
        <f>IF($DM942=0,0,IF($ED942=$DE942,1,0))</f>
        <v/>
      </c>
      <c r="EF942">
        <f>EF941+$EE942</f>
        <v/>
      </c>
      <c r="EG942">
        <f>IF($DM942=0,"",INDEX($EF$5:$EF$1003,$ED942))</f>
        <v/>
      </c>
      <c r="EH942">
        <f>IF($DM942=0,"",IF($DO942&lt;&gt;"","",IFERROR(LOOKUP(2,1/(($EG$4:EG941=$EG942)*($DO$4:DO941&lt;&gt;"")),$DO$4:DO941),"")))</f>
        <v/>
      </c>
      <c r="EI942">
        <f>IF($DM942=0,"",IF($DO942&lt;&gt;"",$DO942,$EH942))</f>
        <v/>
      </c>
      <c r="EJ942">
        <f>IF($DM942=0,"",IF($EI942="",0,IF(OR(ISNUMBER($EI942),AND(AND(SUBSTITUTE(SUBSTITUTE(SUBSTITUTE(SUBSTITUTE(SUBSTITUTE(SUBSTITUTE(SUBSTITUTE(SUBSTITUTE(SUBSTITUTE(SUBSTITUTE(SUBSTITUTE(SUBSTITUTE(SUBSTITUTE(SUBSTITUTE(UPPER($EI942),"0",""),"1",""),"2",""),"3",""),"4",""),"5",""),"6",""),"7",""),"8",""),"9",""),".",""),"+",""),"-",""),"E","")="",LEN(SUBSTITUTE(SUBSTITUTE(MID(UPPER($EI942),1+OR(LEFT(UPPER($EI942),1)="+",LEFT(UPPER($EI942),1)="-"),999),"E+","E"),"E-","E"))=LEN(SUBSTITUTE(SUBSTITUTE(SUBSTITUTE(SUBSTITUTE(MID(UPPER($EI942),1+OR(LEFT(UPPER($EI942),1)="+",LEFT(UPPER($EI942),1)="-"),999),"E+","E"),"E-","E"),"+",""),"-","")),LEN(UPPER($EI942))-LEN(SUBSTITUTE(UPPER($EI942),"E",""))&lt;2,LEN(UPPER($EI942))-LEN(SUBSTITUTE(UPPER($EI942),".",""))&lt;2,IFERROR(FIND(".",UPPER($EI942)),0)&lt;IFERROR(FIND("E",UPPER($EI942)),999)),ISNUMBER(VALUE($EI942)))),1,2)))</f>
        <v/>
      </c>
      <c r="EK942">
        <f>IF($DM942=0,"",IF($EJ942=1,IF(ISNUMBER($EI942),$EI942,VALUE($EI942)),IF($EJ942=2,$DE942,0)))</f>
        <v/>
      </c>
      <c r="EL942">
        <f>IF($DM942=0,"",COUNTIF($EG$5:$EG$1003,"&lt;"&amp;$EG942)+SUMPRODUCT(($EG$5:$EG$1003=$EG942)*(($EJ$5:$EJ$1003&lt;$EJ942)+($EJ$5:$EJ$1003=$EJ942)*(($EK$5:$EK$1003&lt;$EK942)+($EK$5:$EK$1003=$EK942)*($DE$5:$DE$1003&lt;$DE942))))+1)</f>
        <v/>
      </c>
      <c r="EM942">
        <f>IF($DM942=0,"",$EL942+$EG942-1)</f>
        <v/>
      </c>
      <c r="EN942">
        <f>IF($DM942=0,0,IFERROR(MATCH(1,INDEX(--(TRIM(SUBSTITUTE(SUBSTITUTE(SUBSTITUTE(SUBSTITUTE(LINES_NAME&amp;""," "," "),CHAR(9)," "),CHAR(10)," "),CHAR(13)," "))=$DH942),0),0),0))</f>
        <v/>
      </c>
      <c r="EO942">
        <f>IF($EN942=0,0,IF(OR(UPPER(TRIM(INDEX(LINES_SCHEDULED,$EN942)&amp;""))="YES",UPPER(TRIM(INDEX(LINES_SCHEDULED,$EN942)&amp;""))="Y",UPPER(TRIM(INDEX(LINES_SCHEDULED,$EN942)&amp;""))="X"),1,0))</f>
        <v/>
      </c>
      <c r="EP942">
        <f>IF($DM942=0,"",IF(COUNTIFS($EG$5:$EG$1003,$EG942,$EB$5:$EB$1003,"Ready")&gt;0,"READY",IF(COUNTIFS($EG$5:$EG$1003,$EG942,$EB$5:$EB$1003,"PM")&gt;0,"PM",IF(COUNTIFS($EG$5:$EG$1003,$EG942,$EB$5:$EB$1003,"OT")&gt;0,"OT",""))))</f>
        <v/>
      </c>
      <c r="EQ942">
        <f>IF($EN942=0,"",UPPER(TRIM(INDEX(LINES_STATUS,$EN942)&amp;"")))</f>
        <v/>
      </c>
      <c r="ER942">
        <f>IF($DM942=0,"",IF(OR($EQ942="READY",$EQ942="PM",$EQ942="OT"),$EQ942,$EP942))</f>
        <v/>
      </c>
      <c r="ES942">
        <f>IF($DM942=0,"",IF(AND($DV942&lt;&gt;"",UPPER($DV942)&lt;&gt;"N"),"allergen",IF(ISNUMBER(SEARCH("oil",$DQ942)),"oil",IF(OR(EXACT($DS942,"A662"),EXACT($DS942,"A624")),"bulk",""))))</f>
        <v/>
      </c>
      <c r="ET942">
        <f>IF($DM942=0,"",IF(OR($EA942="",$EA942=0),"",$EA942/100))</f>
        <v/>
      </c>
      <c r="EU942">
        <f>IF(OR($ET942="",$DY942=""),"",INT($DY942*(1-$ET942)+0.5))</f>
        <v/>
      </c>
    </row>
    <row r="943">
      <c r="DA943" t="n">
        <v>939</v>
      </c>
      <c r="DB943">
        <f>IF($B$37=0,"",IFERROR(TRIM(SUBSTITUTE(SUBSTITUTE(SUBSTITUTE(SUBSTITUTE(INDEX(PASTE_ALL,939,$B$37)," "," "),CHAR(9)," "),CHAR(10)," "),CHAR(13)," ")),""))</f>
        <v/>
      </c>
      <c r="DC943">
        <f>IF(AND(939&gt;HEADER_ROW,UPPER(DB943)="LEGEND"),1,0)</f>
        <v/>
      </c>
      <c r="DE943" t="n">
        <v>939</v>
      </c>
      <c r="DF943">
        <f>HEADER_ROW+$DE943</f>
        <v/>
      </c>
      <c r="DG943">
        <f>IF(AND($DF943&lt;=1000,$DF943&lt;$B$8),1,0)</f>
        <v/>
      </c>
      <c r="DH943">
        <f>IF($DG943=1,IFERROR(INDEX($DB$5:$DB$1004,$DF943),""),"")</f>
        <v/>
      </c>
      <c r="DI943">
        <f>IF(AND($DG943=1,$DH943&lt;&gt;""),IFERROR(SUBSTITUTE(SUBSTITUTE(TRIM(SUBSTITUTE(SUBSTITUTE(SUBSTITUTE(SUBSTITUTE(IFERROR(INDEX(PASTE_ALL,$DF943,1)&amp;"","")&amp;"␟"&amp;IFERROR(INDEX(PASTE_ALL,$DF943,2)&amp;"","")&amp;"␟"&amp;IFERROR(INDEX(PASTE_ALL,$DF943,3)&amp;"","")&amp;"␟"&amp;IFERROR(INDEX(PASTE_ALL,$DF943,4)&amp;"","")&amp;"␟"&amp;IFERROR(INDEX(PASTE_ALL,$DF943,5)&amp;"","")&amp;"␟"&amp;IFERROR(INDEX(PASTE_ALL,$DF943,6)&amp;"","")&amp;"␟"&amp;IFERROR(INDEX(PASTE_ALL,$DF943,7)&amp;"","")&amp;"␟"&amp;IFERROR(INDEX(PASTE_ALL,$DF943,8)&amp;"","")&amp;"␟"&amp;IFERROR(INDEX(PASTE_ALL,$DF943,9)&amp;"","")&amp;"␟"&amp;IFERROR(INDEX(PASTE_ALL,$DF943,10)&amp;"","")&amp;"␟"&amp;IFERROR(INDEX(PASTE_ALL,$DF943,11)&amp;"","")&amp;"␟"&amp;IFERROR(INDEX(PASTE_ALL,$DF943,12)&amp;"","")&amp;"␟"&amp;IFERROR(INDEX(PASTE_ALL,$DF943,13)&amp;"","")&amp;"␟"&amp;IFERROR(INDEX(PASTE_ALL,$DF943,14)&amp;"","")&amp;"␟"&amp;IFERROR(INDEX(PASTE_ALL,$DF943,15)&amp;"","")&amp;"␟"&amp;IFERROR(INDEX(PASTE_ALL,$DF943,16)&amp;"","")&amp;"␟"&amp;IFERROR(INDEX(PASTE_ALL,$DF943,17)&amp;"","")&amp;"␟"&amp;IFERROR(INDEX(PASTE_ALL,$DF943,18)&amp;"","")&amp;"␟"&amp;IFERROR(INDEX(PASTE_ALL,$DF943,19)&amp;"","")&amp;"␟"&amp;IFERROR(INDEX(PASTE_ALL,$DF943,20)&amp;"","")&amp;"␟"&amp;IFERROR(INDEX(PASTE_ALL,$DF943,21)&amp;"","")&amp;"␟"&amp;IFERROR(INDEX(PASTE_ALL,$DF943,22)&amp;"","")&amp;"␟"&amp;IFERROR(INDEX(PASTE_ALL,$DF943,23)&amp;"","")&amp;"␟"&amp;IFERROR(INDEX(PASTE_ALL,$DF943,24)&amp;"","")&amp;"␟"&amp;IFERROR(INDEX(PASTE_ALL,$DF943,25)&amp;"","")&amp;"␟"&amp;IFERROR(INDEX(PASTE_ALL,$DF943,26)&amp;"","")&amp;"␟"&amp;IFERROR(INDEX(PASTE_ALL,$DF943,27)&amp;"","")&amp;"␟"&amp;IFERROR(INDEX(PASTE_ALL,$DF943,28)&amp;"","")&amp;"␟"&amp;IFERROR(INDEX(PASTE_ALL,$DF943,29)&amp;"","")&amp;"␟"&amp;IFERROR(INDEX(PASTE_ALL,$DF943,30)&amp;"","")&amp;"␟"&amp;IFERROR(INDEX(PASTE_ALL,$DF943,31)&amp;"","")&amp;"␟"&amp;IFERROR(INDEX(PASTE_ALL,$DF943,32)&amp;"","")&amp;"␟"&amp;IFERROR(INDEX(PASTE_ALL,$DF943,33)&amp;"","")&amp;"␟"&amp;IFERROR(INDEX(PASTE_ALL,$DF943,34)&amp;"","")&amp;"␟"&amp;IFERROR(INDEX(PASTE_ALL,$DF943,35)&amp;"","")&amp;"␟"&amp;IFERROR(INDEX(PASTE_ALL,$DF943,36)&amp;"","")&amp;"␟"&amp;IFERROR(INDEX(PASTE_ALL,$DF943,37)&amp;"","")&amp;"␟"&amp;IFERROR(INDEX(PASTE_ALL,$DF943,38)&amp;"","")&amp;"␟"&amp;IFERROR(INDEX(PASTE_ALL,$DF943,39)&amp;"","")&amp;"␟"&amp;IFERROR(INDEX(PASTE_ALL,$DF943,40)&amp;"","")&amp;"␟"&amp;IFERROR(INDEX(PASTE_ALL,$DF943,41)&amp;"","")&amp;"␟"&amp;IFERROR(INDEX(PASTE_ALL,$DF943,42)&amp;"","")&amp;"␟"&amp;IFERROR(INDEX(PASTE_ALL,$DF943,43)&amp;"","")&amp;"␟"&amp;IFERROR(INDEX(PASTE_ALL,$DF943,44)&amp;"","")&amp;"␟"&amp;IFERROR(INDEX(PASTE_ALL,$DF943,45)&amp;"","")&amp;"␟"&amp;IFERROR(INDEX(PASTE_ALL,$DF943,46)&amp;"","")&amp;"␟"&amp;IFERROR(INDEX(PASTE_ALL,$DF943,47)&amp;"","")&amp;"␟"&amp;IFERROR(INDEX(PASTE_ALL,$DF943,48)&amp;"","")&amp;"␟"&amp;IFERROR(INDEX(PASTE_ALL,$DF943,49)&amp;"","")&amp;"␟"&amp;IFERROR(INDEX(PASTE_ALL,$DF943,50)&amp;"","")&amp;"␟"&amp;IFERROR(INDEX(PASTE_ALL,$DF943,51)&amp;"","")&amp;"␟"&amp;IFERROR(INDEX(PASTE_ALL,$DF943,52)&amp;"","")&amp;"␟"&amp;IFERROR(INDEX(PASTE_ALL,$DF943,53)&amp;"","")&amp;"␟"&amp;IFERROR(INDEX(PASTE_ALL,$DF943,54)&amp;"","")&amp;"␟"&amp;IFERROR(INDEX(PASTE_ALL,$DF943,55)&amp;"","")&amp;"␟"&amp;IFERROR(INDEX(PASTE_ALL,$DF943,56)&amp;"","")&amp;"␟"&amp;IFERROR(INDEX(PASTE_ALL,$DF943,57)&amp;"","")&amp;"␟"&amp;IFERROR(INDEX(PASTE_ALL,$DF943,58)&amp;"","")&amp;"␟"&amp;IFERROR(INDEX(PASTE_ALL,$DF943,59)&amp;"","")&amp;"␟"&amp;IFERROR(INDEX(PASTE_ALL,$DF943,60)&amp;"","")," "," "),CHAR(9)," "),CHAR(10)," "),CHAR(13)," "))," ␟","␟"),"␟ ","␟"),"#"&amp;$DE943),"")</f>
        <v/>
      </c>
      <c r="DJ943">
        <f>IF($DI943="",0,IF(SUMPRODUCT(--EXACT($DI$4:DI942,$DI943))&gt;0,1,0))</f>
        <v/>
      </c>
      <c r="DK943">
        <f>IF(AND($DI943&lt;&gt;"",$DJ943=0),1,0)</f>
        <v/>
      </c>
      <c r="DL943">
        <f>DL942+$DK943</f>
        <v/>
      </c>
      <c r="DM943">
        <f>IF(AND($DK943=1,$DL943&lt;=600),1,0)</f>
        <v/>
      </c>
      <c r="DN943">
        <f>IF($DM943=0,"",IF($L$6=0,"",IFERROR(IF(ISNUMBER(INDEX(PASTE_ALL,$DF943,$L$6)),INDEX(PASTE_ALL,$DF943,$L$6),TRIM(SUBSTITUTE(SUBSTITUTE(SUBSTITUTE(SUBSTITUTE(INDEX(PASTE_ALL,$DF943,$L$6)," "," "),CHAR(9)," "),CHAR(10)," "),CHAR(13)," "))),"")))</f>
        <v/>
      </c>
      <c r="DO943">
        <f>IF($DM943=0,"",IF($L$7=0,"",IFERROR(IF(ISNUMBER(INDEX(PASTE_ALL,$DF943,$L$7)),INDEX(PASTE_ALL,$DF943,$L$7),TRIM(SUBSTITUTE(SUBSTITUTE(SUBSTITUTE(SUBSTITUTE(INDEX(PASTE_ALL,$DF943,$L$7)," "," "),CHAR(9)," "),CHAR(10)," "),CHAR(13)," "))),"")))</f>
        <v/>
      </c>
      <c r="DP943">
        <f>IF($DM943=0,"",IF($L$8=0,"",IFERROR(IF(ISNUMBER(INDEX(PASTE_ALL,$DF943,$L$8)),INDEX(PASTE_ALL,$DF943,$L$8),TRIM(SUBSTITUTE(SUBSTITUTE(SUBSTITUTE(SUBSTITUTE(INDEX(PASTE_ALL,$DF943,$L$8)," "," "),CHAR(9)," "),CHAR(10)," "),CHAR(13)," "))),"")))</f>
        <v/>
      </c>
      <c r="DQ943">
        <f>IF($DM943=0,"",IF($L$9=0,"",IFERROR(IF(ISNUMBER(INDEX(PASTE_ALL,$DF943,$L$9)),INDEX(PASTE_ALL,$DF943,$L$9),TRIM(SUBSTITUTE(SUBSTITUTE(SUBSTITUTE(SUBSTITUTE(INDEX(PASTE_ALL,$DF943,$L$9)," "," "),CHAR(9)," "),CHAR(10)," "),CHAR(13)," "))),"")))</f>
        <v/>
      </c>
      <c r="DR943">
        <f>IF($DM943=0,"",IF($L$10=0,"",IFERROR(IF(ISNUMBER(INDEX(PASTE_ALL,$DF943,$L$10)),INDEX(PASTE_ALL,$DF943,$L$10),TRIM(SUBSTITUTE(SUBSTITUTE(SUBSTITUTE(SUBSTITUTE(INDEX(PASTE_ALL,$DF943,$L$10)," "," "),CHAR(9)," "),CHAR(10)," "),CHAR(13)," "))),"")))</f>
        <v/>
      </c>
      <c r="DS943">
        <f>IF($DM943=0,"",IF($L$11=0,"",IFERROR(IF(ISNUMBER(INDEX(PASTE_ALL,$DF943,$L$11)),INDEX(PASTE_ALL,$DF943,$L$11),TRIM(SUBSTITUTE(SUBSTITUTE(SUBSTITUTE(SUBSTITUTE(INDEX(PASTE_ALL,$DF943,$L$11)," "," "),CHAR(9)," "),CHAR(10)," "),CHAR(13)," "))),"")))</f>
        <v/>
      </c>
      <c r="DT943">
        <f>IF($DM943=0,"",IF($L$12=0,"",IFERROR(IF(ISNUMBER(INDEX(PASTE_ALL,$DF943,$L$12)),INDEX(PASTE_ALL,$DF943,$L$12),TRIM(SUBSTITUTE(SUBSTITUTE(SUBSTITUTE(SUBSTITUTE(INDEX(PASTE_ALL,$DF943,$L$12)," "," "),CHAR(9)," "),CHAR(10)," "),CHAR(13)," "))),"")))</f>
        <v/>
      </c>
      <c r="DU943">
        <f>IF($DM943=0,"",IF($L$13=0,"",IFERROR(IF(ISNUMBER(INDEX(PASTE_ALL,$DF943,$L$13)),INDEX(PASTE_ALL,$DF943,$L$13),TRIM(SUBSTITUTE(SUBSTITUTE(SUBSTITUTE(SUBSTITUTE(INDEX(PASTE_ALL,$DF943,$L$13)," "," "),CHAR(9)," "),CHAR(10)," "),CHAR(13)," "))),"")))</f>
        <v/>
      </c>
      <c r="DV943">
        <f>IF($DM943=0,"",IF($L$14=0,"",IFERROR(IF(ISNUMBER(INDEX(PASTE_ALL,$DF943,$L$14)),INDEX(PASTE_ALL,$DF943,$L$14),TRIM(SUBSTITUTE(SUBSTITUTE(SUBSTITUTE(SUBSTITUTE(INDEX(PASTE_ALL,$DF943,$L$14)," "," "),CHAR(9)," "),CHAR(10)," "),CHAR(13)," "))),"")))</f>
        <v/>
      </c>
      <c r="DW943">
        <f>IF($DM943=0,"",IF($L$15=0,"",IFERROR(IF(ISNUMBER(INDEX(PASTE_ALL,$DF943,$L$15)),INDEX(PASTE_ALL,$DF943,$L$15),IF(SUMPRODUCT(--ISNUMBER(FIND({"A","B","C","D","E","F","G","H","I","J","K","L","M","N","O","P","Q","R","S","T","U","V","W","X","Y","Z","0","1","2","3","4","5","6","7","8","9"},UPPER(TRIM(SUBSTITUTE(SUBSTITUTE(SUBSTITUTE(SUBSTITUTE(INDEX(PASTE_ALL,$DF943,$L$15)," "," "),CHAR(9)," "),CHAR(10)," "),CHAR(13)," "))))))&gt;0,TRIM(SUBSTITUTE(SUBSTITUTE(SUBSTITUTE(SUBSTITUTE(INDEX(PASTE_ALL,$DF943,$L$15)," "," "),CHAR(9)," "),CHAR(10)," "),CHAR(13)," ")),"")),"")))</f>
        <v/>
      </c>
      <c r="DX943">
        <f>IF($DM943=0,"",IF($L$16=0,"",IFERROR(IF(ISNUMBER(INDEX(PASTE_ALL,$DF943,$L$16)),INDEX(PASTE_ALL,$DF943,$L$16),SUBSTITUTE(SUBSTITUTE(TRIM(SUBSTITUTE(SUBSTITUTE(SUBSTITUTE(SUBSTITUTE(INDEX(PASTE_ALL,$DF943,$L$16)," "," "),CHAR(9)," "),CHAR(10)," "),CHAR(13)," ")),",",""),"%","")),"")))</f>
        <v/>
      </c>
      <c r="DY943">
        <f>IF($DM943=0,"",IFERROR(IF(ISNUMBER($DX943),$DX943,IF($DX943="","",IF(TRIM($DX943)="",0,IF(AND(AND(SUBSTITUTE(SUBSTITUTE(SUBSTITUTE(SUBSTITUTE(SUBSTITUTE(SUBSTITUTE(SUBSTITUTE(SUBSTITUTE(SUBSTITUTE(SUBSTITUTE(SUBSTITUTE(SUBSTITUTE(SUBSTITUTE(SUBSTITUTE(UPPER(TRIM($DX943)),"0",""),"1",""),"2",""),"3",""),"4",""),"5",""),"6",""),"7",""),"8",""),"9",""),".",""),"+",""),"-",""),"E","")="",LEN(SUBSTITUTE(SUBSTITUTE(MID(UPPER(TRIM($DX943)),1+OR(LEFT(UPPER(TRIM($DX943)),1)="+",LEFT(UPPER(TRIM($DX943)),1)="-"),999),"E+","E"),"E-","E"))=LEN(SUBSTITUTE(SUBSTITUTE(SUBSTITUTE(SUBSTITUTE(MID(UPPER(TRIM($DX943)),1+OR(LEFT(UPPER(TRIM($DX943)),1)="+",LEFT(UPPER(TRIM($DX943)),1)="-"),999),"E+","E"),"E-","E"),"+",""),"-","")),LEN(UPPER(TRIM($DX943)))-LEN(SUBSTITUTE(UPPER(TRIM($DX943)),"E",""))&lt;2,LEN(UPPER(TRIM($DX943)))-LEN(SUBSTITUTE(UPPER(TRIM($DX943)),".",""))&lt;2,IFERROR(FIND(".",UPPER(TRIM($DX943))),0)&lt;IFERROR(FIND("E",UPPER(TRIM($DX943))),999)),ISNUMBER(VALUE(TRIM($DX943)))),VALUE(TRIM($DX943)),"")))),""))</f>
        <v/>
      </c>
      <c r="DZ943">
        <f>IF($DM943=0,"",IF($L$17=0,"",IFERROR(IF(ISNUMBER(INDEX(PASTE_ALL,$DF943,$L$17)),INDEX(PASTE_ALL,$DF943,$L$17),SUBSTITUTE(SUBSTITUTE(TRIM(SUBSTITUTE(SUBSTITUTE(SUBSTITUTE(SUBSTITUTE(INDEX(PASTE_ALL,$DF943,$L$17)," "," "),CHAR(9)," "),CHAR(10)," "),CHAR(13)," ")),",",""),"%","")),"")))</f>
        <v/>
      </c>
      <c r="EA943">
        <f>IF($DM943=0,"",IFERROR(IF(ISNUMBER($DZ943),$DZ943,IF($DZ943="","",IF(TRIM($DZ943)="",0,IF(AND(AND(SUBSTITUTE(SUBSTITUTE(SUBSTITUTE(SUBSTITUTE(SUBSTITUTE(SUBSTITUTE(SUBSTITUTE(SUBSTITUTE(SUBSTITUTE(SUBSTITUTE(SUBSTITUTE(SUBSTITUTE(SUBSTITUTE(SUBSTITUTE(UPPER(TRIM($DZ943)),"0",""),"1",""),"2",""),"3",""),"4",""),"5",""),"6",""),"7",""),"8",""),"9",""),".",""),"+",""),"-",""),"E","")="",LEN(SUBSTITUTE(SUBSTITUTE(MID(UPPER(TRIM($DZ943)),1+OR(LEFT(UPPER(TRIM($DZ943)),1)="+",LEFT(UPPER(TRIM($DZ943)),1)="-"),999),"E+","E"),"E-","E"))=LEN(SUBSTITUTE(SUBSTITUTE(SUBSTITUTE(SUBSTITUTE(MID(UPPER(TRIM($DZ943)),1+OR(LEFT(UPPER(TRIM($DZ943)),1)="+",LEFT(UPPER(TRIM($DZ943)),1)="-"),999),"E+","E"),"E-","E"),"+",""),"-","")),LEN(UPPER(TRIM($DZ943)))-LEN(SUBSTITUTE(UPPER(TRIM($DZ943)),"E",""))&lt;2,LEN(UPPER(TRIM($DZ943)))-LEN(SUBSTITUTE(UPPER(TRIM($DZ943)),".",""))&lt;2,IFERROR(FIND(".",UPPER(TRIM($DZ943))),0)&lt;IFERROR(FIND("E",UPPER(TRIM($DZ943))),999)),ISNUMBER(VALUE(TRIM($DZ943)))),VALUE(TRIM($DZ943)),"")))),""))</f>
        <v/>
      </c>
      <c r="EB943">
        <f>IF($DM943=0,"",IF($L$18=0,"",IFERROR(IF(UPPER(TRIM(SUBSTITUTE(SUBSTITUTE(SUBSTITUTE(SUBSTITUTE(INDEX(PASTE_ALL,$DF943,$L$18)," "," "),CHAR(9)," "),CHAR(10)," "),CHAR(13)," ")))="READY","Ready",IF(UPPER(TRIM(SUBSTITUTE(SUBSTITUTE(SUBSTITUTE(SUBSTITUTE(INDEX(PASTE_ALL,$DF943,$L$18)," "," "),CHAR(9)," "),CHAR(10)," "),CHAR(13)," ")))="PM","PM",IF(OR(UPPER(TRIM(SUBSTITUTE(SUBSTITUTE(SUBSTITUTE(SUBSTITUTE(INDEX(PASTE_ALL,$DF943,$L$18)," "," "),CHAR(9)," "),CHAR(10)," "),CHAR(13)," ")))="OT",UPPER(TRIM(SUBSTITUTE(SUBSTITUTE(SUBSTITUTE(SUBSTITUTE(INDEX(PASTE_ALL,$DF943,$L$18)," "," "),CHAR(9)," "),CHAR(10)," "),CHAR(13)," ")))="OVERTIME",UPPER(TRIM(SUBSTITUTE(SUBSTITUTE(SUBSTITUTE(SUBSTITUTE(INDEX(PASTE_ALL,$DF943,$L$18)," "," "),CHAR(9)," "),CHAR(10)," "),CHAR(13)," ")))="TRIAL"),"OT",TRIM(SUBSTITUTE(SUBSTITUTE(SUBSTITUTE(SUBSTITUTE(INDEX(PASTE_ALL,$DF943,$L$18)," "," "),CHAR(9)," "),CHAR(10)," "),CHAR(13)," "))))),"")))</f>
        <v/>
      </c>
      <c r="EC943">
        <f>IF($DM943=0,"",IF($L$19=0,"",IFERROR(IF(ISNUMBER(INDEX(PASTE_ALL,$DF943,$L$19)),INDEX(PASTE_ALL,$DF943,$L$19),TRIM(SUBSTITUTE(SUBSTITUTE(SUBSTITUTE(SUBSTITUTE(INDEX(PASTE_ALL,$DF943,$L$19)," "," "),CHAR(9)," "),CHAR(10)," "),CHAR(13)," "))),"")))</f>
        <v/>
      </c>
      <c r="ED943">
        <f>IF($DM943=0,"",MATCH(1,INDEX(EXACT($DH$5:DH943,$DH943)*$DM$5:DM943,0),0))</f>
        <v/>
      </c>
      <c r="EE943">
        <f>IF($DM943=0,0,IF($ED943=$DE943,1,0))</f>
        <v/>
      </c>
      <c r="EF943">
        <f>EF942+$EE943</f>
        <v/>
      </c>
      <c r="EG943">
        <f>IF($DM943=0,"",INDEX($EF$5:$EF$1003,$ED943))</f>
        <v/>
      </c>
      <c r="EH943">
        <f>IF($DM943=0,"",IF($DO943&lt;&gt;"","",IFERROR(LOOKUP(2,1/(($EG$4:EG942=$EG943)*($DO$4:DO942&lt;&gt;"")),$DO$4:DO942),"")))</f>
        <v/>
      </c>
      <c r="EI943">
        <f>IF($DM943=0,"",IF($DO943&lt;&gt;"",$DO943,$EH943))</f>
        <v/>
      </c>
      <c r="EJ943">
        <f>IF($DM943=0,"",IF($EI943="",0,IF(OR(ISNUMBER($EI943),AND(AND(SUBSTITUTE(SUBSTITUTE(SUBSTITUTE(SUBSTITUTE(SUBSTITUTE(SUBSTITUTE(SUBSTITUTE(SUBSTITUTE(SUBSTITUTE(SUBSTITUTE(SUBSTITUTE(SUBSTITUTE(SUBSTITUTE(SUBSTITUTE(UPPER($EI943),"0",""),"1",""),"2",""),"3",""),"4",""),"5",""),"6",""),"7",""),"8",""),"9",""),".",""),"+",""),"-",""),"E","")="",LEN(SUBSTITUTE(SUBSTITUTE(MID(UPPER($EI943),1+OR(LEFT(UPPER($EI943),1)="+",LEFT(UPPER($EI943),1)="-"),999),"E+","E"),"E-","E"))=LEN(SUBSTITUTE(SUBSTITUTE(SUBSTITUTE(SUBSTITUTE(MID(UPPER($EI943),1+OR(LEFT(UPPER($EI943),1)="+",LEFT(UPPER($EI943),1)="-"),999),"E+","E"),"E-","E"),"+",""),"-","")),LEN(UPPER($EI943))-LEN(SUBSTITUTE(UPPER($EI943),"E",""))&lt;2,LEN(UPPER($EI943))-LEN(SUBSTITUTE(UPPER($EI943),".",""))&lt;2,IFERROR(FIND(".",UPPER($EI943)),0)&lt;IFERROR(FIND("E",UPPER($EI943)),999)),ISNUMBER(VALUE($EI943)))),1,2)))</f>
        <v/>
      </c>
      <c r="EK943">
        <f>IF($DM943=0,"",IF($EJ943=1,IF(ISNUMBER($EI943),$EI943,VALUE($EI943)),IF($EJ943=2,$DE943,0)))</f>
        <v/>
      </c>
      <c r="EL943">
        <f>IF($DM943=0,"",COUNTIF($EG$5:$EG$1003,"&lt;"&amp;$EG943)+SUMPRODUCT(($EG$5:$EG$1003=$EG943)*(($EJ$5:$EJ$1003&lt;$EJ943)+($EJ$5:$EJ$1003=$EJ943)*(($EK$5:$EK$1003&lt;$EK943)+($EK$5:$EK$1003=$EK943)*($DE$5:$DE$1003&lt;$DE943))))+1)</f>
        <v/>
      </c>
      <c r="EM943">
        <f>IF($DM943=0,"",$EL943+$EG943-1)</f>
        <v/>
      </c>
      <c r="EN943">
        <f>IF($DM943=0,0,IFERROR(MATCH(1,INDEX(--(TRIM(SUBSTITUTE(SUBSTITUTE(SUBSTITUTE(SUBSTITUTE(LINES_NAME&amp;""," "," "),CHAR(9)," "),CHAR(10)," "),CHAR(13)," "))=$DH943),0),0),0))</f>
        <v/>
      </c>
      <c r="EO943">
        <f>IF($EN943=0,0,IF(OR(UPPER(TRIM(INDEX(LINES_SCHEDULED,$EN943)&amp;""))="YES",UPPER(TRIM(INDEX(LINES_SCHEDULED,$EN943)&amp;""))="Y",UPPER(TRIM(INDEX(LINES_SCHEDULED,$EN943)&amp;""))="X"),1,0))</f>
        <v/>
      </c>
      <c r="EP943">
        <f>IF($DM943=0,"",IF(COUNTIFS($EG$5:$EG$1003,$EG943,$EB$5:$EB$1003,"Ready")&gt;0,"READY",IF(COUNTIFS($EG$5:$EG$1003,$EG943,$EB$5:$EB$1003,"PM")&gt;0,"PM",IF(COUNTIFS($EG$5:$EG$1003,$EG943,$EB$5:$EB$1003,"OT")&gt;0,"OT",""))))</f>
        <v/>
      </c>
      <c r="EQ943">
        <f>IF($EN943=0,"",UPPER(TRIM(INDEX(LINES_STATUS,$EN943)&amp;"")))</f>
        <v/>
      </c>
      <c r="ER943">
        <f>IF($DM943=0,"",IF(OR($EQ943="READY",$EQ943="PM",$EQ943="OT"),$EQ943,$EP943))</f>
        <v/>
      </c>
      <c r="ES943">
        <f>IF($DM943=0,"",IF(AND($DV943&lt;&gt;"",UPPER($DV943)&lt;&gt;"N"),"allergen",IF(ISNUMBER(SEARCH("oil",$DQ943)),"oil",IF(OR(EXACT($DS943,"A662"),EXACT($DS943,"A624")),"bulk",""))))</f>
        <v/>
      </c>
      <c r="ET943">
        <f>IF($DM943=0,"",IF(OR($EA943="",$EA943=0),"",$EA943/100))</f>
        <v/>
      </c>
      <c r="EU943">
        <f>IF(OR($ET943="",$DY943=""),"",INT($DY943*(1-$ET943)+0.5))</f>
        <v/>
      </c>
    </row>
    <row r="944">
      <c r="DA944" t="n">
        <v>940</v>
      </c>
      <c r="DB944">
        <f>IF($B$37=0,"",IFERROR(TRIM(SUBSTITUTE(SUBSTITUTE(SUBSTITUTE(SUBSTITUTE(INDEX(PASTE_ALL,940,$B$37)," "," "),CHAR(9)," "),CHAR(10)," "),CHAR(13)," ")),""))</f>
        <v/>
      </c>
      <c r="DC944">
        <f>IF(AND(940&gt;HEADER_ROW,UPPER(DB944)="LEGEND"),1,0)</f>
        <v/>
      </c>
      <c r="DE944" t="n">
        <v>940</v>
      </c>
      <c r="DF944">
        <f>HEADER_ROW+$DE944</f>
        <v/>
      </c>
      <c r="DG944">
        <f>IF(AND($DF944&lt;=1000,$DF944&lt;$B$8),1,0)</f>
        <v/>
      </c>
      <c r="DH944">
        <f>IF($DG944=1,IFERROR(INDEX($DB$5:$DB$1004,$DF944),""),"")</f>
        <v/>
      </c>
      <c r="DI944">
        <f>IF(AND($DG944=1,$DH944&lt;&gt;""),IFERROR(SUBSTITUTE(SUBSTITUTE(TRIM(SUBSTITUTE(SUBSTITUTE(SUBSTITUTE(SUBSTITUTE(IFERROR(INDEX(PASTE_ALL,$DF944,1)&amp;"","")&amp;"␟"&amp;IFERROR(INDEX(PASTE_ALL,$DF944,2)&amp;"","")&amp;"␟"&amp;IFERROR(INDEX(PASTE_ALL,$DF944,3)&amp;"","")&amp;"␟"&amp;IFERROR(INDEX(PASTE_ALL,$DF944,4)&amp;"","")&amp;"␟"&amp;IFERROR(INDEX(PASTE_ALL,$DF944,5)&amp;"","")&amp;"␟"&amp;IFERROR(INDEX(PASTE_ALL,$DF944,6)&amp;"","")&amp;"␟"&amp;IFERROR(INDEX(PASTE_ALL,$DF944,7)&amp;"","")&amp;"␟"&amp;IFERROR(INDEX(PASTE_ALL,$DF944,8)&amp;"","")&amp;"␟"&amp;IFERROR(INDEX(PASTE_ALL,$DF944,9)&amp;"","")&amp;"␟"&amp;IFERROR(INDEX(PASTE_ALL,$DF944,10)&amp;"","")&amp;"␟"&amp;IFERROR(INDEX(PASTE_ALL,$DF944,11)&amp;"","")&amp;"␟"&amp;IFERROR(INDEX(PASTE_ALL,$DF944,12)&amp;"","")&amp;"␟"&amp;IFERROR(INDEX(PASTE_ALL,$DF944,13)&amp;"","")&amp;"␟"&amp;IFERROR(INDEX(PASTE_ALL,$DF944,14)&amp;"","")&amp;"␟"&amp;IFERROR(INDEX(PASTE_ALL,$DF944,15)&amp;"","")&amp;"␟"&amp;IFERROR(INDEX(PASTE_ALL,$DF944,16)&amp;"","")&amp;"␟"&amp;IFERROR(INDEX(PASTE_ALL,$DF944,17)&amp;"","")&amp;"␟"&amp;IFERROR(INDEX(PASTE_ALL,$DF944,18)&amp;"","")&amp;"␟"&amp;IFERROR(INDEX(PASTE_ALL,$DF944,19)&amp;"","")&amp;"␟"&amp;IFERROR(INDEX(PASTE_ALL,$DF944,20)&amp;"","")&amp;"␟"&amp;IFERROR(INDEX(PASTE_ALL,$DF944,21)&amp;"","")&amp;"␟"&amp;IFERROR(INDEX(PASTE_ALL,$DF944,22)&amp;"","")&amp;"␟"&amp;IFERROR(INDEX(PASTE_ALL,$DF944,23)&amp;"","")&amp;"␟"&amp;IFERROR(INDEX(PASTE_ALL,$DF944,24)&amp;"","")&amp;"␟"&amp;IFERROR(INDEX(PASTE_ALL,$DF944,25)&amp;"","")&amp;"␟"&amp;IFERROR(INDEX(PASTE_ALL,$DF944,26)&amp;"","")&amp;"␟"&amp;IFERROR(INDEX(PASTE_ALL,$DF944,27)&amp;"","")&amp;"␟"&amp;IFERROR(INDEX(PASTE_ALL,$DF944,28)&amp;"","")&amp;"␟"&amp;IFERROR(INDEX(PASTE_ALL,$DF944,29)&amp;"","")&amp;"␟"&amp;IFERROR(INDEX(PASTE_ALL,$DF944,30)&amp;"","")&amp;"␟"&amp;IFERROR(INDEX(PASTE_ALL,$DF944,31)&amp;"","")&amp;"␟"&amp;IFERROR(INDEX(PASTE_ALL,$DF944,32)&amp;"","")&amp;"␟"&amp;IFERROR(INDEX(PASTE_ALL,$DF944,33)&amp;"","")&amp;"␟"&amp;IFERROR(INDEX(PASTE_ALL,$DF944,34)&amp;"","")&amp;"␟"&amp;IFERROR(INDEX(PASTE_ALL,$DF944,35)&amp;"","")&amp;"␟"&amp;IFERROR(INDEX(PASTE_ALL,$DF944,36)&amp;"","")&amp;"␟"&amp;IFERROR(INDEX(PASTE_ALL,$DF944,37)&amp;"","")&amp;"␟"&amp;IFERROR(INDEX(PASTE_ALL,$DF944,38)&amp;"","")&amp;"␟"&amp;IFERROR(INDEX(PASTE_ALL,$DF944,39)&amp;"","")&amp;"␟"&amp;IFERROR(INDEX(PASTE_ALL,$DF944,40)&amp;"","")&amp;"␟"&amp;IFERROR(INDEX(PASTE_ALL,$DF944,41)&amp;"","")&amp;"␟"&amp;IFERROR(INDEX(PASTE_ALL,$DF944,42)&amp;"","")&amp;"␟"&amp;IFERROR(INDEX(PASTE_ALL,$DF944,43)&amp;"","")&amp;"␟"&amp;IFERROR(INDEX(PASTE_ALL,$DF944,44)&amp;"","")&amp;"␟"&amp;IFERROR(INDEX(PASTE_ALL,$DF944,45)&amp;"","")&amp;"␟"&amp;IFERROR(INDEX(PASTE_ALL,$DF944,46)&amp;"","")&amp;"␟"&amp;IFERROR(INDEX(PASTE_ALL,$DF944,47)&amp;"","")&amp;"␟"&amp;IFERROR(INDEX(PASTE_ALL,$DF944,48)&amp;"","")&amp;"␟"&amp;IFERROR(INDEX(PASTE_ALL,$DF944,49)&amp;"","")&amp;"␟"&amp;IFERROR(INDEX(PASTE_ALL,$DF944,50)&amp;"","")&amp;"␟"&amp;IFERROR(INDEX(PASTE_ALL,$DF944,51)&amp;"","")&amp;"␟"&amp;IFERROR(INDEX(PASTE_ALL,$DF944,52)&amp;"","")&amp;"␟"&amp;IFERROR(INDEX(PASTE_ALL,$DF944,53)&amp;"","")&amp;"␟"&amp;IFERROR(INDEX(PASTE_ALL,$DF944,54)&amp;"","")&amp;"␟"&amp;IFERROR(INDEX(PASTE_ALL,$DF944,55)&amp;"","")&amp;"␟"&amp;IFERROR(INDEX(PASTE_ALL,$DF944,56)&amp;"","")&amp;"␟"&amp;IFERROR(INDEX(PASTE_ALL,$DF944,57)&amp;"","")&amp;"␟"&amp;IFERROR(INDEX(PASTE_ALL,$DF944,58)&amp;"","")&amp;"␟"&amp;IFERROR(INDEX(PASTE_ALL,$DF944,59)&amp;"","")&amp;"␟"&amp;IFERROR(INDEX(PASTE_ALL,$DF944,60)&amp;"","")," "," "),CHAR(9)," "),CHAR(10)," "),CHAR(13)," "))," ␟","␟"),"␟ ","␟"),"#"&amp;$DE944),"")</f>
        <v/>
      </c>
      <c r="DJ944">
        <f>IF($DI944="",0,IF(SUMPRODUCT(--EXACT($DI$4:DI943,$DI944))&gt;0,1,0))</f>
        <v/>
      </c>
      <c r="DK944">
        <f>IF(AND($DI944&lt;&gt;"",$DJ944=0),1,0)</f>
        <v/>
      </c>
      <c r="DL944">
        <f>DL943+$DK944</f>
        <v/>
      </c>
      <c r="DM944">
        <f>IF(AND($DK944=1,$DL944&lt;=600),1,0)</f>
        <v/>
      </c>
      <c r="DN944">
        <f>IF($DM944=0,"",IF($L$6=0,"",IFERROR(IF(ISNUMBER(INDEX(PASTE_ALL,$DF944,$L$6)),INDEX(PASTE_ALL,$DF944,$L$6),TRIM(SUBSTITUTE(SUBSTITUTE(SUBSTITUTE(SUBSTITUTE(INDEX(PASTE_ALL,$DF944,$L$6)," "," "),CHAR(9)," "),CHAR(10)," "),CHAR(13)," "))),"")))</f>
        <v/>
      </c>
      <c r="DO944">
        <f>IF($DM944=0,"",IF($L$7=0,"",IFERROR(IF(ISNUMBER(INDEX(PASTE_ALL,$DF944,$L$7)),INDEX(PASTE_ALL,$DF944,$L$7),TRIM(SUBSTITUTE(SUBSTITUTE(SUBSTITUTE(SUBSTITUTE(INDEX(PASTE_ALL,$DF944,$L$7)," "," "),CHAR(9)," "),CHAR(10)," "),CHAR(13)," "))),"")))</f>
        <v/>
      </c>
      <c r="DP944">
        <f>IF($DM944=0,"",IF($L$8=0,"",IFERROR(IF(ISNUMBER(INDEX(PASTE_ALL,$DF944,$L$8)),INDEX(PASTE_ALL,$DF944,$L$8),TRIM(SUBSTITUTE(SUBSTITUTE(SUBSTITUTE(SUBSTITUTE(INDEX(PASTE_ALL,$DF944,$L$8)," "," "),CHAR(9)," "),CHAR(10)," "),CHAR(13)," "))),"")))</f>
        <v/>
      </c>
      <c r="DQ944">
        <f>IF($DM944=0,"",IF($L$9=0,"",IFERROR(IF(ISNUMBER(INDEX(PASTE_ALL,$DF944,$L$9)),INDEX(PASTE_ALL,$DF944,$L$9),TRIM(SUBSTITUTE(SUBSTITUTE(SUBSTITUTE(SUBSTITUTE(INDEX(PASTE_ALL,$DF944,$L$9)," "," "),CHAR(9)," "),CHAR(10)," "),CHAR(13)," "))),"")))</f>
        <v/>
      </c>
      <c r="DR944">
        <f>IF($DM944=0,"",IF($L$10=0,"",IFERROR(IF(ISNUMBER(INDEX(PASTE_ALL,$DF944,$L$10)),INDEX(PASTE_ALL,$DF944,$L$10),TRIM(SUBSTITUTE(SUBSTITUTE(SUBSTITUTE(SUBSTITUTE(INDEX(PASTE_ALL,$DF944,$L$10)," "," "),CHAR(9)," "),CHAR(10)," "),CHAR(13)," "))),"")))</f>
        <v/>
      </c>
      <c r="DS944">
        <f>IF($DM944=0,"",IF($L$11=0,"",IFERROR(IF(ISNUMBER(INDEX(PASTE_ALL,$DF944,$L$11)),INDEX(PASTE_ALL,$DF944,$L$11),TRIM(SUBSTITUTE(SUBSTITUTE(SUBSTITUTE(SUBSTITUTE(INDEX(PASTE_ALL,$DF944,$L$11)," "," "),CHAR(9)," "),CHAR(10)," "),CHAR(13)," "))),"")))</f>
        <v/>
      </c>
      <c r="DT944">
        <f>IF($DM944=0,"",IF($L$12=0,"",IFERROR(IF(ISNUMBER(INDEX(PASTE_ALL,$DF944,$L$12)),INDEX(PASTE_ALL,$DF944,$L$12),TRIM(SUBSTITUTE(SUBSTITUTE(SUBSTITUTE(SUBSTITUTE(INDEX(PASTE_ALL,$DF944,$L$12)," "," "),CHAR(9)," "),CHAR(10)," "),CHAR(13)," "))),"")))</f>
        <v/>
      </c>
      <c r="DU944">
        <f>IF($DM944=0,"",IF($L$13=0,"",IFERROR(IF(ISNUMBER(INDEX(PASTE_ALL,$DF944,$L$13)),INDEX(PASTE_ALL,$DF944,$L$13),TRIM(SUBSTITUTE(SUBSTITUTE(SUBSTITUTE(SUBSTITUTE(INDEX(PASTE_ALL,$DF944,$L$13)," "," "),CHAR(9)," "),CHAR(10)," "),CHAR(13)," "))),"")))</f>
        <v/>
      </c>
      <c r="DV944">
        <f>IF($DM944=0,"",IF($L$14=0,"",IFERROR(IF(ISNUMBER(INDEX(PASTE_ALL,$DF944,$L$14)),INDEX(PASTE_ALL,$DF944,$L$14),TRIM(SUBSTITUTE(SUBSTITUTE(SUBSTITUTE(SUBSTITUTE(INDEX(PASTE_ALL,$DF944,$L$14)," "," "),CHAR(9)," "),CHAR(10)," "),CHAR(13)," "))),"")))</f>
        <v/>
      </c>
      <c r="DW944">
        <f>IF($DM944=0,"",IF($L$15=0,"",IFERROR(IF(ISNUMBER(INDEX(PASTE_ALL,$DF944,$L$15)),INDEX(PASTE_ALL,$DF944,$L$15),IF(SUMPRODUCT(--ISNUMBER(FIND({"A","B","C","D","E","F","G","H","I","J","K","L","M","N","O","P","Q","R","S","T","U","V","W","X","Y","Z","0","1","2","3","4","5","6","7","8","9"},UPPER(TRIM(SUBSTITUTE(SUBSTITUTE(SUBSTITUTE(SUBSTITUTE(INDEX(PASTE_ALL,$DF944,$L$15)," "," "),CHAR(9)," "),CHAR(10)," "),CHAR(13)," "))))))&gt;0,TRIM(SUBSTITUTE(SUBSTITUTE(SUBSTITUTE(SUBSTITUTE(INDEX(PASTE_ALL,$DF944,$L$15)," "," "),CHAR(9)," "),CHAR(10)," "),CHAR(13)," ")),"")),"")))</f>
        <v/>
      </c>
      <c r="DX944">
        <f>IF($DM944=0,"",IF($L$16=0,"",IFERROR(IF(ISNUMBER(INDEX(PASTE_ALL,$DF944,$L$16)),INDEX(PASTE_ALL,$DF944,$L$16),SUBSTITUTE(SUBSTITUTE(TRIM(SUBSTITUTE(SUBSTITUTE(SUBSTITUTE(SUBSTITUTE(INDEX(PASTE_ALL,$DF944,$L$16)," "," "),CHAR(9)," "),CHAR(10)," "),CHAR(13)," ")),",",""),"%","")),"")))</f>
        <v/>
      </c>
      <c r="DY944">
        <f>IF($DM944=0,"",IFERROR(IF(ISNUMBER($DX944),$DX944,IF($DX944="","",IF(TRIM($DX944)="",0,IF(AND(AND(SUBSTITUTE(SUBSTITUTE(SUBSTITUTE(SUBSTITUTE(SUBSTITUTE(SUBSTITUTE(SUBSTITUTE(SUBSTITUTE(SUBSTITUTE(SUBSTITUTE(SUBSTITUTE(SUBSTITUTE(SUBSTITUTE(SUBSTITUTE(UPPER(TRIM($DX944)),"0",""),"1",""),"2",""),"3",""),"4",""),"5",""),"6",""),"7",""),"8",""),"9",""),".",""),"+",""),"-",""),"E","")="",LEN(SUBSTITUTE(SUBSTITUTE(MID(UPPER(TRIM($DX944)),1+OR(LEFT(UPPER(TRIM($DX944)),1)="+",LEFT(UPPER(TRIM($DX944)),1)="-"),999),"E+","E"),"E-","E"))=LEN(SUBSTITUTE(SUBSTITUTE(SUBSTITUTE(SUBSTITUTE(MID(UPPER(TRIM($DX944)),1+OR(LEFT(UPPER(TRIM($DX944)),1)="+",LEFT(UPPER(TRIM($DX944)),1)="-"),999),"E+","E"),"E-","E"),"+",""),"-","")),LEN(UPPER(TRIM($DX944)))-LEN(SUBSTITUTE(UPPER(TRIM($DX944)),"E",""))&lt;2,LEN(UPPER(TRIM($DX944)))-LEN(SUBSTITUTE(UPPER(TRIM($DX944)),".",""))&lt;2,IFERROR(FIND(".",UPPER(TRIM($DX944))),0)&lt;IFERROR(FIND("E",UPPER(TRIM($DX944))),999)),ISNUMBER(VALUE(TRIM($DX944)))),VALUE(TRIM($DX944)),"")))),""))</f>
        <v/>
      </c>
      <c r="DZ944">
        <f>IF($DM944=0,"",IF($L$17=0,"",IFERROR(IF(ISNUMBER(INDEX(PASTE_ALL,$DF944,$L$17)),INDEX(PASTE_ALL,$DF944,$L$17),SUBSTITUTE(SUBSTITUTE(TRIM(SUBSTITUTE(SUBSTITUTE(SUBSTITUTE(SUBSTITUTE(INDEX(PASTE_ALL,$DF944,$L$17)," "," "),CHAR(9)," "),CHAR(10)," "),CHAR(13)," ")),",",""),"%","")),"")))</f>
        <v/>
      </c>
      <c r="EA944">
        <f>IF($DM944=0,"",IFERROR(IF(ISNUMBER($DZ944),$DZ944,IF($DZ944="","",IF(TRIM($DZ944)="",0,IF(AND(AND(SUBSTITUTE(SUBSTITUTE(SUBSTITUTE(SUBSTITUTE(SUBSTITUTE(SUBSTITUTE(SUBSTITUTE(SUBSTITUTE(SUBSTITUTE(SUBSTITUTE(SUBSTITUTE(SUBSTITUTE(SUBSTITUTE(SUBSTITUTE(UPPER(TRIM($DZ944)),"0",""),"1",""),"2",""),"3",""),"4",""),"5",""),"6",""),"7",""),"8",""),"9",""),".",""),"+",""),"-",""),"E","")="",LEN(SUBSTITUTE(SUBSTITUTE(MID(UPPER(TRIM($DZ944)),1+OR(LEFT(UPPER(TRIM($DZ944)),1)="+",LEFT(UPPER(TRIM($DZ944)),1)="-"),999),"E+","E"),"E-","E"))=LEN(SUBSTITUTE(SUBSTITUTE(SUBSTITUTE(SUBSTITUTE(MID(UPPER(TRIM($DZ944)),1+OR(LEFT(UPPER(TRIM($DZ944)),1)="+",LEFT(UPPER(TRIM($DZ944)),1)="-"),999),"E+","E"),"E-","E"),"+",""),"-","")),LEN(UPPER(TRIM($DZ944)))-LEN(SUBSTITUTE(UPPER(TRIM($DZ944)),"E",""))&lt;2,LEN(UPPER(TRIM($DZ944)))-LEN(SUBSTITUTE(UPPER(TRIM($DZ944)),".",""))&lt;2,IFERROR(FIND(".",UPPER(TRIM($DZ944))),0)&lt;IFERROR(FIND("E",UPPER(TRIM($DZ944))),999)),ISNUMBER(VALUE(TRIM($DZ944)))),VALUE(TRIM($DZ944)),"")))),""))</f>
        <v/>
      </c>
      <c r="EB944">
        <f>IF($DM944=0,"",IF($L$18=0,"",IFERROR(IF(UPPER(TRIM(SUBSTITUTE(SUBSTITUTE(SUBSTITUTE(SUBSTITUTE(INDEX(PASTE_ALL,$DF944,$L$18)," "," "),CHAR(9)," "),CHAR(10)," "),CHAR(13)," ")))="READY","Ready",IF(UPPER(TRIM(SUBSTITUTE(SUBSTITUTE(SUBSTITUTE(SUBSTITUTE(INDEX(PASTE_ALL,$DF944,$L$18)," "," "),CHAR(9)," "),CHAR(10)," "),CHAR(13)," ")))="PM","PM",IF(OR(UPPER(TRIM(SUBSTITUTE(SUBSTITUTE(SUBSTITUTE(SUBSTITUTE(INDEX(PASTE_ALL,$DF944,$L$18)," "," "),CHAR(9)," "),CHAR(10)," "),CHAR(13)," ")))="OT",UPPER(TRIM(SUBSTITUTE(SUBSTITUTE(SUBSTITUTE(SUBSTITUTE(INDEX(PASTE_ALL,$DF944,$L$18)," "," "),CHAR(9)," "),CHAR(10)," "),CHAR(13)," ")))="OVERTIME",UPPER(TRIM(SUBSTITUTE(SUBSTITUTE(SUBSTITUTE(SUBSTITUTE(INDEX(PASTE_ALL,$DF944,$L$18)," "," "),CHAR(9)," "),CHAR(10)," "),CHAR(13)," ")))="TRIAL"),"OT",TRIM(SUBSTITUTE(SUBSTITUTE(SUBSTITUTE(SUBSTITUTE(INDEX(PASTE_ALL,$DF944,$L$18)," "," "),CHAR(9)," "),CHAR(10)," "),CHAR(13)," "))))),"")))</f>
        <v/>
      </c>
      <c r="EC944">
        <f>IF($DM944=0,"",IF($L$19=0,"",IFERROR(IF(ISNUMBER(INDEX(PASTE_ALL,$DF944,$L$19)),INDEX(PASTE_ALL,$DF944,$L$19),TRIM(SUBSTITUTE(SUBSTITUTE(SUBSTITUTE(SUBSTITUTE(INDEX(PASTE_ALL,$DF944,$L$19)," "," "),CHAR(9)," "),CHAR(10)," "),CHAR(13)," "))),"")))</f>
        <v/>
      </c>
      <c r="ED944">
        <f>IF($DM944=0,"",MATCH(1,INDEX(EXACT($DH$5:DH944,$DH944)*$DM$5:DM944,0),0))</f>
        <v/>
      </c>
      <c r="EE944">
        <f>IF($DM944=0,0,IF($ED944=$DE944,1,0))</f>
        <v/>
      </c>
      <c r="EF944">
        <f>EF943+$EE944</f>
        <v/>
      </c>
      <c r="EG944">
        <f>IF($DM944=0,"",INDEX($EF$5:$EF$1003,$ED944))</f>
        <v/>
      </c>
      <c r="EH944">
        <f>IF($DM944=0,"",IF($DO944&lt;&gt;"","",IFERROR(LOOKUP(2,1/(($EG$4:EG943=$EG944)*($DO$4:DO943&lt;&gt;"")),$DO$4:DO943),"")))</f>
        <v/>
      </c>
      <c r="EI944">
        <f>IF($DM944=0,"",IF($DO944&lt;&gt;"",$DO944,$EH944))</f>
        <v/>
      </c>
      <c r="EJ944">
        <f>IF($DM944=0,"",IF($EI944="",0,IF(OR(ISNUMBER($EI944),AND(AND(SUBSTITUTE(SUBSTITUTE(SUBSTITUTE(SUBSTITUTE(SUBSTITUTE(SUBSTITUTE(SUBSTITUTE(SUBSTITUTE(SUBSTITUTE(SUBSTITUTE(SUBSTITUTE(SUBSTITUTE(SUBSTITUTE(SUBSTITUTE(UPPER($EI944),"0",""),"1",""),"2",""),"3",""),"4",""),"5",""),"6",""),"7",""),"8",""),"9",""),".",""),"+",""),"-",""),"E","")="",LEN(SUBSTITUTE(SUBSTITUTE(MID(UPPER($EI944),1+OR(LEFT(UPPER($EI944),1)="+",LEFT(UPPER($EI944),1)="-"),999),"E+","E"),"E-","E"))=LEN(SUBSTITUTE(SUBSTITUTE(SUBSTITUTE(SUBSTITUTE(MID(UPPER($EI944),1+OR(LEFT(UPPER($EI944),1)="+",LEFT(UPPER($EI944),1)="-"),999),"E+","E"),"E-","E"),"+",""),"-","")),LEN(UPPER($EI944))-LEN(SUBSTITUTE(UPPER($EI944),"E",""))&lt;2,LEN(UPPER($EI944))-LEN(SUBSTITUTE(UPPER($EI944),".",""))&lt;2,IFERROR(FIND(".",UPPER($EI944)),0)&lt;IFERROR(FIND("E",UPPER($EI944)),999)),ISNUMBER(VALUE($EI944)))),1,2)))</f>
        <v/>
      </c>
      <c r="EK944">
        <f>IF($DM944=0,"",IF($EJ944=1,IF(ISNUMBER($EI944),$EI944,VALUE($EI944)),IF($EJ944=2,$DE944,0)))</f>
        <v/>
      </c>
      <c r="EL944">
        <f>IF($DM944=0,"",COUNTIF($EG$5:$EG$1003,"&lt;"&amp;$EG944)+SUMPRODUCT(($EG$5:$EG$1003=$EG944)*(($EJ$5:$EJ$1003&lt;$EJ944)+($EJ$5:$EJ$1003=$EJ944)*(($EK$5:$EK$1003&lt;$EK944)+($EK$5:$EK$1003=$EK944)*($DE$5:$DE$1003&lt;$DE944))))+1)</f>
        <v/>
      </c>
      <c r="EM944">
        <f>IF($DM944=0,"",$EL944+$EG944-1)</f>
        <v/>
      </c>
      <c r="EN944">
        <f>IF($DM944=0,0,IFERROR(MATCH(1,INDEX(--(TRIM(SUBSTITUTE(SUBSTITUTE(SUBSTITUTE(SUBSTITUTE(LINES_NAME&amp;""," "," "),CHAR(9)," "),CHAR(10)," "),CHAR(13)," "))=$DH944),0),0),0))</f>
        <v/>
      </c>
      <c r="EO944">
        <f>IF($EN944=0,0,IF(OR(UPPER(TRIM(INDEX(LINES_SCHEDULED,$EN944)&amp;""))="YES",UPPER(TRIM(INDEX(LINES_SCHEDULED,$EN944)&amp;""))="Y",UPPER(TRIM(INDEX(LINES_SCHEDULED,$EN944)&amp;""))="X"),1,0))</f>
        <v/>
      </c>
      <c r="EP944">
        <f>IF($DM944=0,"",IF(COUNTIFS($EG$5:$EG$1003,$EG944,$EB$5:$EB$1003,"Ready")&gt;0,"READY",IF(COUNTIFS($EG$5:$EG$1003,$EG944,$EB$5:$EB$1003,"PM")&gt;0,"PM",IF(COUNTIFS($EG$5:$EG$1003,$EG944,$EB$5:$EB$1003,"OT")&gt;0,"OT",""))))</f>
        <v/>
      </c>
      <c r="EQ944">
        <f>IF($EN944=0,"",UPPER(TRIM(INDEX(LINES_STATUS,$EN944)&amp;"")))</f>
        <v/>
      </c>
      <c r="ER944">
        <f>IF($DM944=0,"",IF(OR($EQ944="READY",$EQ944="PM",$EQ944="OT"),$EQ944,$EP944))</f>
        <v/>
      </c>
      <c r="ES944">
        <f>IF($DM944=0,"",IF(AND($DV944&lt;&gt;"",UPPER($DV944)&lt;&gt;"N"),"allergen",IF(ISNUMBER(SEARCH("oil",$DQ944)),"oil",IF(OR(EXACT($DS944,"A662"),EXACT($DS944,"A624")),"bulk",""))))</f>
        <v/>
      </c>
      <c r="ET944">
        <f>IF($DM944=0,"",IF(OR($EA944="",$EA944=0),"",$EA944/100))</f>
        <v/>
      </c>
      <c r="EU944">
        <f>IF(OR($ET944="",$DY944=""),"",INT($DY944*(1-$ET944)+0.5))</f>
        <v/>
      </c>
    </row>
    <row r="945">
      <c r="DA945" t="n">
        <v>941</v>
      </c>
      <c r="DB945">
        <f>IF($B$37=0,"",IFERROR(TRIM(SUBSTITUTE(SUBSTITUTE(SUBSTITUTE(SUBSTITUTE(INDEX(PASTE_ALL,941,$B$37)," "," "),CHAR(9)," "),CHAR(10)," "),CHAR(13)," ")),""))</f>
        <v/>
      </c>
      <c r="DC945">
        <f>IF(AND(941&gt;HEADER_ROW,UPPER(DB945)="LEGEND"),1,0)</f>
        <v/>
      </c>
      <c r="DE945" t="n">
        <v>941</v>
      </c>
      <c r="DF945">
        <f>HEADER_ROW+$DE945</f>
        <v/>
      </c>
      <c r="DG945">
        <f>IF(AND($DF945&lt;=1000,$DF945&lt;$B$8),1,0)</f>
        <v/>
      </c>
      <c r="DH945">
        <f>IF($DG945=1,IFERROR(INDEX($DB$5:$DB$1004,$DF945),""),"")</f>
        <v/>
      </c>
      <c r="DI945">
        <f>IF(AND($DG945=1,$DH945&lt;&gt;""),IFERROR(SUBSTITUTE(SUBSTITUTE(TRIM(SUBSTITUTE(SUBSTITUTE(SUBSTITUTE(SUBSTITUTE(IFERROR(INDEX(PASTE_ALL,$DF945,1)&amp;"","")&amp;"␟"&amp;IFERROR(INDEX(PASTE_ALL,$DF945,2)&amp;"","")&amp;"␟"&amp;IFERROR(INDEX(PASTE_ALL,$DF945,3)&amp;"","")&amp;"␟"&amp;IFERROR(INDEX(PASTE_ALL,$DF945,4)&amp;"","")&amp;"␟"&amp;IFERROR(INDEX(PASTE_ALL,$DF945,5)&amp;"","")&amp;"␟"&amp;IFERROR(INDEX(PASTE_ALL,$DF945,6)&amp;"","")&amp;"␟"&amp;IFERROR(INDEX(PASTE_ALL,$DF945,7)&amp;"","")&amp;"␟"&amp;IFERROR(INDEX(PASTE_ALL,$DF945,8)&amp;"","")&amp;"␟"&amp;IFERROR(INDEX(PASTE_ALL,$DF945,9)&amp;"","")&amp;"␟"&amp;IFERROR(INDEX(PASTE_ALL,$DF945,10)&amp;"","")&amp;"␟"&amp;IFERROR(INDEX(PASTE_ALL,$DF945,11)&amp;"","")&amp;"␟"&amp;IFERROR(INDEX(PASTE_ALL,$DF945,12)&amp;"","")&amp;"␟"&amp;IFERROR(INDEX(PASTE_ALL,$DF945,13)&amp;"","")&amp;"␟"&amp;IFERROR(INDEX(PASTE_ALL,$DF945,14)&amp;"","")&amp;"␟"&amp;IFERROR(INDEX(PASTE_ALL,$DF945,15)&amp;"","")&amp;"␟"&amp;IFERROR(INDEX(PASTE_ALL,$DF945,16)&amp;"","")&amp;"␟"&amp;IFERROR(INDEX(PASTE_ALL,$DF945,17)&amp;"","")&amp;"␟"&amp;IFERROR(INDEX(PASTE_ALL,$DF945,18)&amp;"","")&amp;"␟"&amp;IFERROR(INDEX(PASTE_ALL,$DF945,19)&amp;"","")&amp;"␟"&amp;IFERROR(INDEX(PASTE_ALL,$DF945,20)&amp;"","")&amp;"␟"&amp;IFERROR(INDEX(PASTE_ALL,$DF945,21)&amp;"","")&amp;"␟"&amp;IFERROR(INDEX(PASTE_ALL,$DF945,22)&amp;"","")&amp;"␟"&amp;IFERROR(INDEX(PASTE_ALL,$DF945,23)&amp;"","")&amp;"␟"&amp;IFERROR(INDEX(PASTE_ALL,$DF945,24)&amp;"","")&amp;"␟"&amp;IFERROR(INDEX(PASTE_ALL,$DF945,25)&amp;"","")&amp;"␟"&amp;IFERROR(INDEX(PASTE_ALL,$DF945,26)&amp;"","")&amp;"␟"&amp;IFERROR(INDEX(PASTE_ALL,$DF945,27)&amp;"","")&amp;"␟"&amp;IFERROR(INDEX(PASTE_ALL,$DF945,28)&amp;"","")&amp;"␟"&amp;IFERROR(INDEX(PASTE_ALL,$DF945,29)&amp;"","")&amp;"␟"&amp;IFERROR(INDEX(PASTE_ALL,$DF945,30)&amp;"","")&amp;"␟"&amp;IFERROR(INDEX(PASTE_ALL,$DF945,31)&amp;"","")&amp;"␟"&amp;IFERROR(INDEX(PASTE_ALL,$DF945,32)&amp;"","")&amp;"␟"&amp;IFERROR(INDEX(PASTE_ALL,$DF945,33)&amp;"","")&amp;"␟"&amp;IFERROR(INDEX(PASTE_ALL,$DF945,34)&amp;"","")&amp;"␟"&amp;IFERROR(INDEX(PASTE_ALL,$DF945,35)&amp;"","")&amp;"␟"&amp;IFERROR(INDEX(PASTE_ALL,$DF945,36)&amp;"","")&amp;"␟"&amp;IFERROR(INDEX(PASTE_ALL,$DF945,37)&amp;"","")&amp;"␟"&amp;IFERROR(INDEX(PASTE_ALL,$DF945,38)&amp;"","")&amp;"␟"&amp;IFERROR(INDEX(PASTE_ALL,$DF945,39)&amp;"","")&amp;"␟"&amp;IFERROR(INDEX(PASTE_ALL,$DF945,40)&amp;"","")&amp;"␟"&amp;IFERROR(INDEX(PASTE_ALL,$DF945,41)&amp;"","")&amp;"␟"&amp;IFERROR(INDEX(PASTE_ALL,$DF945,42)&amp;"","")&amp;"␟"&amp;IFERROR(INDEX(PASTE_ALL,$DF945,43)&amp;"","")&amp;"␟"&amp;IFERROR(INDEX(PASTE_ALL,$DF945,44)&amp;"","")&amp;"␟"&amp;IFERROR(INDEX(PASTE_ALL,$DF945,45)&amp;"","")&amp;"␟"&amp;IFERROR(INDEX(PASTE_ALL,$DF945,46)&amp;"","")&amp;"␟"&amp;IFERROR(INDEX(PASTE_ALL,$DF945,47)&amp;"","")&amp;"␟"&amp;IFERROR(INDEX(PASTE_ALL,$DF945,48)&amp;"","")&amp;"␟"&amp;IFERROR(INDEX(PASTE_ALL,$DF945,49)&amp;"","")&amp;"␟"&amp;IFERROR(INDEX(PASTE_ALL,$DF945,50)&amp;"","")&amp;"␟"&amp;IFERROR(INDEX(PASTE_ALL,$DF945,51)&amp;"","")&amp;"␟"&amp;IFERROR(INDEX(PASTE_ALL,$DF945,52)&amp;"","")&amp;"␟"&amp;IFERROR(INDEX(PASTE_ALL,$DF945,53)&amp;"","")&amp;"␟"&amp;IFERROR(INDEX(PASTE_ALL,$DF945,54)&amp;"","")&amp;"␟"&amp;IFERROR(INDEX(PASTE_ALL,$DF945,55)&amp;"","")&amp;"␟"&amp;IFERROR(INDEX(PASTE_ALL,$DF945,56)&amp;"","")&amp;"␟"&amp;IFERROR(INDEX(PASTE_ALL,$DF945,57)&amp;"","")&amp;"␟"&amp;IFERROR(INDEX(PASTE_ALL,$DF945,58)&amp;"","")&amp;"␟"&amp;IFERROR(INDEX(PASTE_ALL,$DF945,59)&amp;"","")&amp;"␟"&amp;IFERROR(INDEX(PASTE_ALL,$DF945,60)&amp;"","")," "," "),CHAR(9)," "),CHAR(10)," "),CHAR(13)," "))," ␟","␟"),"␟ ","␟"),"#"&amp;$DE945),"")</f>
        <v/>
      </c>
      <c r="DJ945">
        <f>IF($DI945="",0,IF(SUMPRODUCT(--EXACT($DI$4:DI944,$DI945))&gt;0,1,0))</f>
        <v/>
      </c>
      <c r="DK945">
        <f>IF(AND($DI945&lt;&gt;"",$DJ945=0),1,0)</f>
        <v/>
      </c>
      <c r="DL945">
        <f>DL944+$DK945</f>
        <v/>
      </c>
      <c r="DM945">
        <f>IF(AND($DK945=1,$DL945&lt;=600),1,0)</f>
        <v/>
      </c>
      <c r="DN945">
        <f>IF($DM945=0,"",IF($L$6=0,"",IFERROR(IF(ISNUMBER(INDEX(PASTE_ALL,$DF945,$L$6)),INDEX(PASTE_ALL,$DF945,$L$6),TRIM(SUBSTITUTE(SUBSTITUTE(SUBSTITUTE(SUBSTITUTE(INDEX(PASTE_ALL,$DF945,$L$6)," "," "),CHAR(9)," "),CHAR(10)," "),CHAR(13)," "))),"")))</f>
        <v/>
      </c>
      <c r="DO945">
        <f>IF($DM945=0,"",IF($L$7=0,"",IFERROR(IF(ISNUMBER(INDEX(PASTE_ALL,$DF945,$L$7)),INDEX(PASTE_ALL,$DF945,$L$7),TRIM(SUBSTITUTE(SUBSTITUTE(SUBSTITUTE(SUBSTITUTE(INDEX(PASTE_ALL,$DF945,$L$7)," "," "),CHAR(9)," "),CHAR(10)," "),CHAR(13)," "))),"")))</f>
        <v/>
      </c>
      <c r="DP945">
        <f>IF($DM945=0,"",IF($L$8=0,"",IFERROR(IF(ISNUMBER(INDEX(PASTE_ALL,$DF945,$L$8)),INDEX(PASTE_ALL,$DF945,$L$8),TRIM(SUBSTITUTE(SUBSTITUTE(SUBSTITUTE(SUBSTITUTE(INDEX(PASTE_ALL,$DF945,$L$8)," "," "),CHAR(9)," "),CHAR(10)," "),CHAR(13)," "))),"")))</f>
        <v/>
      </c>
      <c r="DQ945">
        <f>IF($DM945=0,"",IF($L$9=0,"",IFERROR(IF(ISNUMBER(INDEX(PASTE_ALL,$DF945,$L$9)),INDEX(PASTE_ALL,$DF945,$L$9),TRIM(SUBSTITUTE(SUBSTITUTE(SUBSTITUTE(SUBSTITUTE(INDEX(PASTE_ALL,$DF945,$L$9)," "," "),CHAR(9)," "),CHAR(10)," "),CHAR(13)," "))),"")))</f>
        <v/>
      </c>
      <c r="DR945">
        <f>IF($DM945=0,"",IF($L$10=0,"",IFERROR(IF(ISNUMBER(INDEX(PASTE_ALL,$DF945,$L$10)),INDEX(PASTE_ALL,$DF945,$L$10),TRIM(SUBSTITUTE(SUBSTITUTE(SUBSTITUTE(SUBSTITUTE(INDEX(PASTE_ALL,$DF945,$L$10)," "," "),CHAR(9)," "),CHAR(10)," "),CHAR(13)," "))),"")))</f>
        <v/>
      </c>
      <c r="DS945">
        <f>IF($DM945=0,"",IF($L$11=0,"",IFERROR(IF(ISNUMBER(INDEX(PASTE_ALL,$DF945,$L$11)),INDEX(PASTE_ALL,$DF945,$L$11),TRIM(SUBSTITUTE(SUBSTITUTE(SUBSTITUTE(SUBSTITUTE(INDEX(PASTE_ALL,$DF945,$L$11)," "," "),CHAR(9)," "),CHAR(10)," "),CHAR(13)," "))),"")))</f>
        <v/>
      </c>
      <c r="DT945">
        <f>IF($DM945=0,"",IF($L$12=0,"",IFERROR(IF(ISNUMBER(INDEX(PASTE_ALL,$DF945,$L$12)),INDEX(PASTE_ALL,$DF945,$L$12),TRIM(SUBSTITUTE(SUBSTITUTE(SUBSTITUTE(SUBSTITUTE(INDEX(PASTE_ALL,$DF945,$L$12)," "," "),CHAR(9)," "),CHAR(10)," "),CHAR(13)," "))),"")))</f>
        <v/>
      </c>
      <c r="DU945">
        <f>IF($DM945=0,"",IF($L$13=0,"",IFERROR(IF(ISNUMBER(INDEX(PASTE_ALL,$DF945,$L$13)),INDEX(PASTE_ALL,$DF945,$L$13),TRIM(SUBSTITUTE(SUBSTITUTE(SUBSTITUTE(SUBSTITUTE(INDEX(PASTE_ALL,$DF945,$L$13)," "," "),CHAR(9)," "),CHAR(10)," "),CHAR(13)," "))),"")))</f>
        <v/>
      </c>
      <c r="DV945">
        <f>IF($DM945=0,"",IF($L$14=0,"",IFERROR(IF(ISNUMBER(INDEX(PASTE_ALL,$DF945,$L$14)),INDEX(PASTE_ALL,$DF945,$L$14),TRIM(SUBSTITUTE(SUBSTITUTE(SUBSTITUTE(SUBSTITUTE(INDEX(PASTE_ALL,$DF945,$L$14)," "," "),CHAR(9)," "),CHAR(10)," "),CHAR(13)," "))),"")))</f>
        <v/>
      </c>
      <c r="DW945">
        <f>IF($DM945=0,"",IF($L$15=0,"",IFERROR(IF(ISNUMBER(INDEX(PASTE_ALL,$DF945,$L$15)),INDEX(PASTE_ALL,$DF945,$L$15),IF(SUMPRODUCT(--ISNUMBER(FIND({"A","B","C","D","E","F","G","H","I","J","K","L","M","N","O","P","Q","R","S","T","U","V","W","X","Y","Z","0","1","2","3","4","5","6","7","8","9"},UPPER(TRIM(SUBSTITUTE(SUBSTITUTE(SUBSTITUTE(SUBSTITUTE(INDEX(PASTE_ALL,$DF945,$L$15)," "," "),CHAR(9)," "),CHAR(10)," "),CHAR(13)," "))))))&gt;0,TRIM(SUBSTITUTE(SUBSTITUTE(SUBSTITUTE(SUBSTITUTE(INDEX(PASTE_ALL,$DF945,$L$15)," "," "),CHAR(9)," "),CHAR(10)," "),CHAR(13)," ")),"")),"")))</f>
        <v/>
      </c>
      <c r="DX945">
        <f>IF($DM945=0,"",IF($L$16=0,"",IFERROR(IF(ISNUMBER(INDEX(PASTE_ALL,$DF945,$L$16)),INDEX(PASTE_ALL,$DF945,$L$16),SUBSTITUTE(SUBSTITUTE(TRIM(SUBSTITUTE(SUBSTITUTE(SUBSTITUTE(SUBSTITUTE(INDEX(PASTE_ALL,$DF945,$L$16)," "," "),CHAR(9)," "),CHAR(10)," "),CHAR(13)," ")),",",""),"%","")),"")))</f>
        <v/>
      </c>
      <c r="DY945">
        <f>IF($DM945=0,"",IFERROR(IF(ISNUMBER($DX945),$DX945,IF($DX945="","",IF(TRIM($DX945)="",0,IF(AND(AND(SUBSTITUTE(SUBSTITUTE(SUBSTITUTE(SUBSTITUTE(SUBSTITUTE(SUBSTITUTE(SUBSTITUTE(SUBSTITUTE(SUBSTITUTE(SUBSTITUTE(SUBSTITUTE(SUBSTITUTE(SUBSTITUTE(SUBSTITUTE(UPPER(TRIM($DX945)),"0",""),"1",""),"2",""),"3",""),"4",""),"5",""),"6",""),"7",""),"8",""),"9",""),".",""),"+",""),"-",""),"E","")="",LEN(SUBSTITUTE(SUBSTITUTE(MID(UPPER(TRIM($DX945)),1+OR(LEFT(UPPER(TRIM($DX945)),1)="+",LEFT(UPPER(TRIM($DX945)),1)="-"),999),"E+","E"),"E-","E"))=LEN(SUBSTITUTE(SUBSTITUTE(SUBSTITUTE(SUBSTITUTE(MID(UPPER(TRIM($DX945)),1+OR(LEFT(UPPER(TRIM($DX945)),1)="+",LEFT(UPPER(TRIM($DX945)),1)="-"),999),"E+","E"),"E-","E"),"+",""),"-","")),LEN(UPPER(TRIM($DX945)))-LEN(SUBSTITUTE(UPPER(TRIM($DX945)),"E",""))&lt;2,LEN(UPPER(TRIM($DX945)))-LEN(SUBSTITUTE(UPPER(TRIM($DX945)),".",""))&lt;2,IFERROR(FIND(".",UPPER(TRIM($DX945))),0)&lt;IFERROR(FIND("E",UPPER(TRIM($DX945))),999)),ISNUMBER(VALUE(TRIM($DX945)))),VALUE(TRIM($DX945)),"")))),""))</f>
        <v/>
      </c>
      <c r="DZ945">
        <f>IF($DM945=0,"",IF($L$17=0,"",IFERROR(IF(ISNUMBER(INDEX(PASTE_ALL,$DF945,$L$17)),INDEX(PASTE_ALL,$DF945,$L$17),SUBSTITUTE(SUBSTITUTE(TRIM(SUBSTITUTE(SUBSTITUTE(SUBSTITUTE(SUBSTITUTE(INDEX(PASTE_ALL,$DF945,$L$17)," "," "),CHAR(9)," "),CHAR(10)," "),CHAR(13)," ")),",",""),"%","")),"")))</f>
        <v/>
      </c>
      <c r="EA945">
        <f>IF($DM945=0,"",IFERROR(IF(ISNUMBER($DZ945),$DZ945,IF($DZ945="","",IF(TRIM($DZ945)="",0,IF(AND(AND(SUBSTITUTE(SUBSTITUTE(SUBSTITUTE(SUBSTITUTE(SUBSTITUTE(SUBSTITUTE(SUBSTITUTE(SUBSTITUTE(SUBSTITUTE(SUBSTITUTE(SUBSTITUTE(SUBSTITUTE(SUBSTITUTE(SUBSTITUTE(UPPER(TRIM($DZ945)),"0",""),"1",""),"2",""),"3",""),"4",""),"5",""),"6",""),"7",""),"8",""),"9",""),".",""),"+",""),"-",""),"E","")="",LEN(SUBSTITUTE(SUBSTITUTE(MID(UPPER(TRIM($DZ945)),1+OR(LEFT(UPPER(TRIM($DZ945)),1)="+",LEFT(UPPER(TRIM($DZ945)),1)="-"),999),"E+","E"),"E-","E"))=LEN(SUBSTITUTE(SUBSTITUTE(SUBSTITUTE(SUBSTITUTE(MID(UPPER(TRIM($DZ945)),1+OR(LEFT(UPPER(TRIM($DZ945)),1)="+",LEFT(UPPER(TRIM($DZ945)),1)="-"),999),"E+","E"),"E-","E"),"+",""),"-","")),LEN(UPPER(TRIM($DZ945)))-LEN(SUBSTITUTE(UPPER(TRIM($DZ945)),"E",""))&lt;2,LEN(UPPER(TRIM($DZ945)))-LEN(SUBSTITUTE(UPPER(TRIM($DZ945)),".",""))&lt;2,IFERROR(FIND(".",UPPER(TRIM($DZ945))),0)&lt;IFERROR(FIND("E",UPPER(TRIM($DZ945))),999)),ISNUMBER(VALUE(TRIM($DZ945)))),VALUE(TRIM($DZ945)),"")))),""))</f>
        <v/>
      </c>
      <c r="EB945">
        <f>IF($DM945=0,"",IF($L$18=0,"",IFERROR(IF(UPPER(TRIM(SUBSTITUTE(SUBSTITUTE(SUBSTITUTE(SUBSTITUTE(INDEX(PASTE_ALL,$DF945,$L$18)," "," "),CHAR(9)," "),CHAR(10)," "),CHAR(13)," ")))="READY","Ready",IF(UPPER(TRIM(SUBSTITUTE(SUBSTITUTE(SUBSTITUTE(SUBSTITUTE(INDEX(PASTE_ALL,$DF945,$L$18)," "," "),CHAR(9)," "),CHAR(10)," "),CHAR(13)," ")))="PM","PM",IF(OR(UPPER(TRIM(SUBSTITUTE(SUBSTITUTE(SUBSTITUTE(SUBSTITUTE(INDEX(PASTE_ALL,$DF945,$L$18)," "," "),CHAR(9)," "),CHAR(10)," "),CHAR(13)," ")))="OT",UPPER(TRIM(SUBSTITUTE(SUBSTITUTE(SUBSTITUTE(SUBSTITUTE(INDEX(PASTE_ALL,$DF945,$L$18)," "," "),CHAR(9)," "),CHAR(10)," "),CHAR(13)," ")))="OVERTIME",UPPER(TRIM(SUBSTITUTE(SUBSTITUTE(SUBSTITUTE(SUBSTITUTE(INDEX(PASTE_ALL,$DF945,$L$18)," "," "),CHAR(9)," "),CHAR(10)," "),CHAR(13)," ")))="TRIAL"),"OT",TRIM(SUBSTITUTE(SUBSTITUTE(SUBSTITUTE(SUBSTITUTE(INDEX(PASTE_ALL,$DF945,$L$18)," "," "),CHAR(9)," "),CHAR(10)," "),CHAR(13)," "))))),"")))</f>
        <v/>
      </c>
      <c r="EC945">
        <f>IF($DM945=0,"",IF($L$19=0,"",IFERROR(IF(ISNUMBER(INDEX(PASTE_ALL,$DF945,$L$19)),INDEX(PASTE_ALL,$DF945,$L$19),TRIM(SUBSTITUTE(SUBSTITUTE(SUBSTITUTE(SUBSTITUTE(INDEX(PASTE_ALL,$DF945,$L$19)," "," "),CHAR(9)," "),CHAR(10)," "),CHAR(13)," "))),"")))</f>
        <v/>
      </c>
      <c r="ED945">
        <f>IF($DM945=0,"",MATCH(1,INDEX(EXACT($DH$5:DH945,$DH945)*$DM$5:DM945,0),0))</f>
        <v/>
      </c>
      <c r="EE945">
        <f>IF($DM945=0,0,IF($ED945=$DE945,1,0))</f>
        <v/>
      </c>
      <c r="EF945">
        <f>EF944+$EE945</f>
        <v/>
      </c>
      <c r="EG945">
        <f>IF($DM945=0,"",INDEX($EF$5:$EF$1003,$ED945))</f>
        <v/>
      </c>
      <c r="EH945">
        <f>IF($DM945=0,"",IF($DO945&lt;&gt;"","",IFERROR(LOOKUP(2,1/(($EG$4:EG944=$EG945)*($DO$4:DO944&lt;&gt;"")),$DO$4:DO944),"")))</f>
        <v/>
      </c>
      <c r="EI945">
        <f>IF($DM945=0,"",IF($DO945&lt;&gt;"",$DO945,$EH945))</f>
        <v/>
      </c>
      <c r="EJ945">
        <f>IF($DM945=0,"",IF($EI945="",0,IF(OR(ISNUMBER($EI945),AND(AND(SUBSTITUTE(SUBSTITUTE(SUBSTITUTE(SUBSTITUTE(SUBSTITUTE(SUBSTITUTE(SUBSTITUTE(SUBSTITUTE(SUBSTITUTE(SUBSTITUTE(SUBSTITUTE(SUBSTITUTE(SUBSTITUTE(SUBSTITUTE(UPPER($EI945),"0",""),"1",""),"2",""),"3",""),"4",""),"5",""),"6",""),"7",""),"8",""),"9",""),".",""),"+",""),"-",""),"E","")="",LEN(SUBSTITUTE(SUBSTITUTE(MID(UPPER($EI945),1+OR(LEFT(UPPER($EI945),1)="+",LEFT(UPPER($EI945),1)="-"),999),"E+","E"),"E-","E"))=LEN(SUBSTITUTE(SUBSTITUTE(SUBSTITUTE(SUBSTITUTE(MID(UPPER($EI945),1+OR(LEFT(UPPER($EI945),1)="+",LEFT(UPPER($EI945),1)="-"),999),"E+","E"),"E-","E"),"+",""),"-","")),LEN(UPPER($EI945))-LEN(SUBSTITUTE(UPPER($EI945),"E",""))&lt;2,LEN(UPPER($EI945))-LEN(SUBSTITUTE(UPPER($EI945),".",""))&lt;2,IFERROR(FIND(".",UPPER($EI945)),0)&lt;IFERROR(FIND("E",UPPER($EI945)),999)),ISNUMBER(VALUE($EI945)))),1,2)))</f>
        <v/>
      </c>
      <c r="EK945">
        <f>IF($DM945=0,"",IF($EJ945=1,IF(ISNUMBER($EI945),$EI945,VALUE($EI945)),IF($EJ945=2,$DE945,0)))</f>
        <v/>
      </c>
      <c r="EL945">
        <f>IF($DM945=0,"",COUNTIF($EG$5:$EG$1003,"&lt;"&amp;$EG945)+SUMPRODUCT(($EG$5:$EG$1003=$EG945)*(($EJ$5:$EJ$1003&lt;$EJ945)+($EJ$5:$EJ$1003=$EJ945)*(($EK$5:$EK$1003&lt;$EK945)+($EK$5:$EK$1003=$EK945)*($DE$5:$DE$1003&lt;$DE945))))+1)</f>
        <v/>
      </c>
      <c r="EM945">
        <f>IF($DM945=0,"",$EL945+$EG945-1)</f>
        <v/>
      </c>
      <c r="EN945">
        <f>IF($DM945=0,0,IFERROR(MATCH(1,INDEX(--(TRIM(SUBSTITUTE(SUBSTITUTE(SUBSTITUTE(SUBSTITUTE(LINES_NAME&amp;""," "," "),CHAR(9)," "),CHAR(10)," "),CHAR(13)," "))=$DH945),0),0),0))</f>
        <v/>
      </c>
      <c r="EO945">
        <f>IF($EN945=0,0,IF(OR(UPPER(TRIM(INDEX(LINES_SCHEDULED,$EN945)&amp;""))="YES",UPPER(TRIM(INDEX(LINES_SCHEDULED,$EN945)&amp;""))="Y",UPPER(TRIM(INDEX(LINES_SCHEDULED,$EN945)&amp;""))="X"),1,0))</f>
        <v/>
      </c>
      <c r="EP945">
        <f>IF($DM945=0,"",IF(COUNTIFS($EG$5:$EG$1003,$EG945,$EB$5:$EB$1003,"Ready")&gt;0,"READY",IF(COUNTIFS($EG$5:$EG$1003,$EG945,$EB$5:$EB$1003,"PM")&gt;0,"PM",IF(COUNTIFS($EG$5:$EG$1003,$EG945,$EB$5:$EB$1003,"OT")&gt;0,"OT",""))))</f>
        <v/>
      </c>
      <c r="EQ945">
        <f>IF($EN945=0,"",UPPER(TRIM(INDEX(LINES_STATUS,$EN945)&amp;"")))</f>
        <v/>
      </c>
      <c r="ER945">
        <f>IF($DM945=0,"",IF(OR($EQ945="READY",$EQ945="PM",$EQ945="OT"),$EQ945,$EP945))</f>
        <v/>
      </c>
      <c r="ES945">
        <f>IF($DM945=0,"",IF(AND($DV945&lt;&gt;"",UPPER($DV945)&lt;&gt;"N"),"allergen",IF(ISNUMBER(SEARCH("oil",$DQ945)),"oil",IF(OR(EXACT($DS945,"A662"),EXACT($DS945,"A624")),"bulk",""))))</f>
        <v/>
      </c>
      <c r="ET945">
        <f>IF($DM945=0,"",IF(OR($EA945="",$EA945=0),"",$EA945/100))</f>
        <v/>
      </c>
      <c r="EU945">
        <f>IF(OR($ET945="",$DY945=""),"",INT($DY945*(1-$ET945)+0.5))</f>
        <v/>
      </c>
    </row>
    <row r="946">
      <c r="DA946" t="n">
        <v>942</v>
      </c>
      <c r="DB946">
        <f>IF($B$37=0,"",IFERROR(TRIM(SUBSTITUTE(SUBSTITUTE(SUBSTITUTE(SUBSTITUTE(INDEX(PASTE_ALL,942,$B$37)," "," "),CHAR(9)," "),CHAR(10)," "),CHAR(13)," ")),""))</f>
        <v/>
      </c>
      <c r="DC946">
        <f>IF(AND(942&gt;HEADER_ROW,UPPER(DB946)="LEGEND"),1,0)</f>
        <v/>
      </c>
      <c r="DE946" t="n">
        <v>942</v>
      </c>
      <c r="DF946">
        <f>HEADER_ROW+$DE946</f>
        <v/>
      </c>
      <c r="DG946">
        <f>IF(AND($DF946&lt;=1000,$DF946&lt;$B$8),1,0)</f>
        <v/>
      </c>
      <c r="DH946">
        <f>IF($DG946=1,IFERROR(INDEX($DB$5:$DB$1004,$DF946),""),"")</f>
        <v/>
      </c>
      <c r="DI946">
        <f>IF(AND($DG946=1,$DH946&lt;&gt;""),IFERROR(SUBSTITUTE(SUBSTITUTE(TRIM(SUBSTITUTE(SUBSTITUTE(SUBSTITUTE(SUBSTITUTE(IFERROR(INDEX(PASTE_ALL,$DF946,1)&amp;"","")&amp;"␟"&amp;IFERROR(INDEX(PASTE_ALL,$DF946,2)&amp;"","")&amp;"␟"&amp;IFERROR(INDEX(PASTE_ALL,$DF946,3)&amp;"","")&amp;"␟"&amp;IFERROR(INDEX(PASTE_ALL,$DF946,4)&amp;"","")&amp;"␟"&amp;IFERROR(INDEX(PASTE_ALL,$DF946,5)&amp;"","")&amp;"␟"&amp;IFERROR(INDEX(PASTE_ALL,$DF946,6)&amp;"","")&amp;"␟"&amp;IFERROR(INDEX(PASTE_ALL,$DF946,7)&amp;"","")&amp;"␟"&amp;IFERROR(INDEX(PASTE_ALL,$DF946,8)&amp;"","")&amp;"␟"&amp;IFERROR(INDEX(PASTE_ALL,$DF946,9)&amp;"","")&amp;"␟"&amp;IFERROR(INDEX(PASTE_ALL,$DF946,10)&amp;"","")&amp;"␟"&amp;IFERROR(INDEX(PASTE_ALL,$DF946,11)&amp;"","")&amp;"␟"&amp;IFERROR(INDEX(PASTE_ALL,$DF946,12)&amp;"","")&amp;"␟"&amp;IFERROR(INDEX(PASTE_ALL,$DF946,13)&amp;"","")&amp;"␟"&amp;IFERROR(INDEX(PASTE_ALL,$DF946,14)&amp;"","")&amp;"␟"&amp;IFERROR(INDEX(PASTE_ALL,$DF946,15)&amp;"","")&amp;"␟"&amp;IFERROR(INDEX(PASTE_ALL,$DF946,16)&amp;"","")&amp;"␟"&amp;IFERROR(INDEX(PASTE_ALL,$DF946,17)&amp;"","")&amp;"␟"&amp;IFERROR(INDEX(PASTE_ALL,$DF946,18)&amp;"","")&amp;"␟"&amp;IFERROR(INDEX(PASTE_ALL,$DF946,19)&amp;"","")&amp;"␟"&amp;IFERROR(INDEX(PASTE_ALL,$DF946,20)&amp;"","")&amp;"␟"&amp;IFERROR(INDEX(PASTE_ALL,$DF946,21)&amp;"","")&amp;"␟"&amp;IFERROR(INDEX(PASTE_ALL,$DF946,22)&amp;"","")&amp;"␟"&amp;IFERROR(INDEX(PASTE_ALL,$DF946,23)&amp;"","")&amp;"␟"&amp;IFERROR(INDEX(PASTE_ALL,$DF946,24)&amp;"","")&amp;"␟"&amp;IFERROR(INDEX(PASTE_ALL,$DF946,25)&amp;"","")&amp;"␟"&amp;IFERROR(INDEX(PASTE_ALL,$DF946,26)&amp;"","")&amp;"␟"&amp;IFERROR(INDEX(PASTE_ALL,$DF946,27)&amp;"","")&amp;"␟"&amp;IFERROR(INDEX(PASTE_ALL,$DF946,28)&amp;"","")&amp;"␟"&amp;IFERROR(INDEX(PASTE_ALL,$DF946,29)&amp;"","")&amp;"␟"&amp;IFERROR(INDEX(PASTE_ALL,$DF946,30)&amp;"","")&amp;"␟"&amp;IFERROR(INDEX(PASTE_ALL,$DF946,31)&amp;"","")&amp;"␟"&amp;IFERROR(INDEX(PASTE_ALL,$DF946,32)&amp;"","")&amp;"␟"&amp;IFERROR(INDEX(PASTE_ALL,$DF946,33)&amp;"","")&amp;"␟"&amp;IFERROR(INDEX(PASTE_ALL,$DF946,34)&amp;"","")&amp;"␟"&amp;IFERROR(INDEX(PASTE_ALL,$DF946,35)&amp;"","")&amp;"␟"&amp;IFERROR(INDEX(PASTE_ALL,$DF946,36)&amp;"","")&amp;"␟"&amp;IFERROR(INDEX(PASTE_ALL,$DF946,37)&amp;"","")&amp;"␟"&amp;IFERROR(INDEX(PASTE_ALL,$DF946,38)&amp;"","")&amp;"␟"&amp;IFERROR(INDEX(PASTE_ALL,$DF946,39)&amp;"","")&amp;"␟"&amp;IFERROR(INDEX(PASTE_ALL,$DF946,40)&amp;"","")&amp;"␟"&amp;IFERROR(INDEX(PASTE_ALL,$DF946,41)&amp;"","")&amp;"␟"&amp;IFERROR(INDEX(PASTE_ALL,$DF946,42)&amp;"","")&amp;"␟"&amp;IFERROR(INDEX(PASTE_ALL,$DF946,43)&amp;"","")&amp;"␟"&amp;IFERROR(INDEX(PASTE_ALL,$DF946,44)&amp;"","")&amp;"␟"&amp;IFERROR(INDEX(PASTE_ALL,$DF946,45)&amp;"","")&amp;"␟"&amp;IFERROR(INDEX(PASTE_ALL,$DF946,46)&amp;"","")&amp;"␟"&amp;IFERROR(INDEX(PASTE_ALL,$DF946,47)&amp;"","")&amp;"␟"&amp;IFERROR(INDEX(PASTE_ALL,$DF946,48)&amp;"","")&amp;"␟"&amp;IFERROR(INDEX(PASTE_ALL,$DF946,49)&amp;"","")&amp;"␟"&amp;IFERROR(INDEX(PASTE_ALL,$DF946,50)&amp;"","")&amp;"␟"&amp;IFERROR(INDEX(PASTE_ALL,$DF946,51)&amp;"","")&amp;"␟"&amp;IFERROR(INDEX(PASTE_ALL,$DF946,52)&amp;"","")&amp;"␟"&amp;IFERROR(INDEX(PASTE_ALL,$DF946,53)&amp;"","")&amp;"␟"&amp;IFERROR(INDEX(PASTE_ALL,$DF946,54)&amp;"","")&amp;"␟"&amp;IFERROR(INDEX(PASTE_ALL,$DF946,55)&amp;"","")&amp;"␟"&amp;IFERROR(INDEX(PASTE_ALL,$DF946,56)&amp;"","")&amp;"␟"&amp;IFERROR(INDEX(PASTE_ALL,$DF946,57)&amp;"","")&amp;"␟"&amp;IFERROR(INDEX(PASTE_ALL,$DF946,58)&amp;"","")&amp;"␟"&amp;IFERROR(INDEX(PASTE_ALL,$DF946,59)&amp;"","")&amp;"␟"&amp;IFERROR(INDEX(PASTE_ALL,$DF946,60)&amp;"","")," "," "),CHAR(9)," "),CHAR(10)," "),CHAR(13)," "))," ␟","␟"),"␟ ","␟"),"#"&amp;$DE946),"")</f>
        <v/>
      </c>
      <c r="DJ946">
        <f>IF($DI946="",0,IF(SUMPRODUCT(--EXACT($DI$4:DI945,$DI946))&gt;0,1,0))</f>
        <v/>
      </c>
      <c r="DK946">
        <f>IF(AND($DI946&lt;&gt;"",$DJ946=0),1,0)</f>
        <v/>
      </c>
      <c r="DL946">
        <f>DL945+$DK946</f>
        <v/>
      </c>
      <c r="DM946">
        <f>IF(AND($DK946=1,$DL946&lt;=600),1,0)</f>
        <v/>
      </c>
      <c r="DN946">
        <f>IF($DM946=0,"",IF($L$6=0,"",IFERROR(IF(ISNUMBER(INDEX(PASTE_ALL,$DF946,$L$6)),INDEX(PASTE_ALL,$DF946,$L$6),TRIM(SUBSTITUTE(SUBSTITUTE(SUBSTITUTE(SUBSTITUTE(INDEX(PASTE_ALL,$DF946,$L$6)," "," "),CHAR(9)," "),CHAR(10)," "),CHAR(13)," "))),"")))</f>
        <v/>
      </c>
      <c r="DO946">
        <f>IF($DM946=0,"",IF($L$7=0,"",IFERROR(IF(ISNUMBER(INDEX(PASTE_ALL,$DF946,$L$7)),INDEX(PASTE_ALL,$DF946,$L$7),TRIM(SUBSTITUTE(SUBSTITUTE(SUBSTITUTE(SUBSTITUTE(INDEX(PASTE_ALL,$DF946,$L$7)," "," "),CHAR(9)," "),CHAR(10)," "),CHAR(13)," "))),"")))</f>
        <v/>
      </c>
      <c r="DP946">
        <f>IF($DM946=0,"",IF($L$8=0,"",IFERROR(IF(ISNUMBER(INDEX(PASTE_ALL,$DF946,$L$8)),INDEX(PASTE_ALL,$DF946,$L$8),TRIM(SUBSTITUTE(SUBSTITUTE(SUBSTITUTE(SUBSTITUTE(INDEX(PASTE_ALL,$DF946,$L$8)," "," "),CHAR(9)," "),CHAR(10)," "),CHAR(13)," "))),"")))</f>
        <v/>
      </c>
      <c r="DQ946">
        <f>IF($DM946=0,"",IF($L$9=0,"",IFERROR(IF(ISNUMBER(INDEX(PASTE_ALL,$DF946,$L$9)),INDEX(PASTE_ALL,$DF946,$L$9),TRIM(SUBSTITUTE(SUBSTITUTE(SUBSTITUTE(SUBSTITUTE(INDEX(PASTE_ALL,$DF946,$L$9)," "," "),CHAR(9)," "),CHAR(10)," "),CHAR(13)," "))),"")))</f>
        <v/>
      </c>
      <c r="DR946">
        <f>IF($DM946=0,"",IF($L$10=0,"",IFERROR(IF(ISNUMBER(INDEX(PASTE_ALL,$DF946,$L$10)),INDEX(PASTE_ALL,$DF946,$L$10),TRIM(SUBSTITUTE(SUBSTITUTE(SUBSTITUTE(SUBSTITUTE(INDEX(PASTE_ALL,$DF946,$L$10)," "," "),CHAR(9)," "),CHAR(10)," "),CHAR(13)," "))),"")))</f>
        <v/>
      </c>
      <c r="DS946">
        <f>IF($DM946=0,"",IF($L$11=0,"",IFERROR(IF(ISNUMBER(INDEX(PASTE_ALL,$DF946,$L$11)),INDEX(PASTE_ALL,$DF946,$L$11),TRIM(SUBSTITUTE(SUBSTITUTE(SUBSTITUTE(SUBSTITUTE(INDEX(PASTE_ALL,$DF946,$L$11)," "," "),CHAR(9)," "),CHAR(10)," "),CHAR(13)," "))),"")))</f>
        <v/>
      </c>
      <c r="DT946">
        <f>IF($DM946=0,"",IF($L$12=0,"",IFERROR(IF(ISNUMBER(INDEX(PASTE_ALL,$DF946,$L$12)),INDEX(PASTE_ALL,$DF946,$L$12),TRIM(SUBSTITUTE(SUBSTITUTE(SUBSTITUTE(SUBSTITUTE(INDEX(PASTE_ALL,$DF946,$L$12)," "," "),CHAR(9)," "),CHAR(10)," "),CHAR(13)," "))),"")))</f>
        <v/>
      </c>
      <c r="DU946">
        <f>IF($DM946=0,"",IF($L$13=0,"",IFERROR(IF(ISNUMBER(INDEX(PASTE_ALL,$DF946,$L$13)),INDEX(PASTE_ALL,$DF946,$L$13),TRIM(SUBSTITUTE(SUBSTITUTE(SUBSTITUTE(SUBSTITUTE(INDEX(PASTE_ALL,$DF946,$L$13)," "," "),CHAR(9)," "),CHAR(10)," "),CHAR(13)," "))),"")))</f>
        <v/>
      </c>
      <c r="DV946">
        <f>IF($DM946=0,"",IF($L$14=0,"",IFERROR(IF(ISNUMBER(INDEX(PASTE_ALL,$DF946,$L$14)),INDEX(PASTE_ALL,$DF946,$L$14),TRIM(SUBSTITUTE(SUBSTITUTE(SUBSTITUTE(SUBSTITUTE(INDEX(PASTE_ALL,$DF946,$L$14)," "," "),CHAR(9)," "),CHAR(10)," "),CHAR(13)," "))),"")))</f>
        <v/>
      </c>
      <c r="DW946">
        <f>IF($DM946=0,"",IF($L$15=0,"",IFERROR(IF(ISNUMBER(INDEX(PASTE_ALL,$DF946,$L$15)),INDEX(PASTE_ALL,$DF946,$L$15),IF(SUMPRODUCT(--ISNUMBER(FIND({"A","B","C","D","E","F","G","H","I","J","K","L","M","N","O","P","Q","R","S","T","U","V","W","X","Y","Z","0","1","2","3","4","5","6","7","8","9"},UPPER(TRIM(SUBSTITUTE(SUBSTITUTE(SUBSTITUTE(SUBSTITUTE(INDEX(PASTE_ALL,$DF946,$L$15)," "," "),CHAR(9)," "),CHAR(10)," "),CHAR(13)," "))))))&gt;0,TRIM(SUBSTITUTE(SUBSTITUTE(SUBSTITUTE(SUBSTITUTE(INDEX(PASTE_ALL,$DF946,$L$15)," "," "),CHAR(9)," "),CHAR(10)," "),CHAR(13)," ")),"")),"")))</f>
        <v/>
      </c>
      <c r="DX946">
        <f>IF($DM946=0,"",IF($L$16=0,"",IFERROR(IF(ISNUMBER(INDEX(PASTE_ALL,$DF946,$L$16)),INDEX(PASTE_ALL,$DF946,$L$16),SUBSTITUTE(SUBSTITUTE(TRIM(SUBSTITUTE(SUBSTITUTE(SUBSTITUTE(SUBSTITUTE(INDEX(PASTE_ALL,$DF946,$L$16)," "," "),CHAR(9)," "),CHAR(10)," "),CHAR(13)," ")),",",""),"%","")),"")))</f>
        <v/>
      </c>
      <c r="DY946">
        <f>IF($DM946=0,"",IFERROR(IF(ISNUMBER($DX946),$DX946,IF($DX946="","",IF(TRIM($DX946)="",0,IF(AND(AND(SUBSTITUTE(SUBSTITUTE(SUBSTITUTE(SUBSTITUTE(SUBSTITUTE(SUBSTITUTE(SUBSTITUTE(SUBSTITUTE(SUBSTITUTE(SUBSTITUTE(SUBSTITUTE(SUBSTITUTE(SUBSTITUTE(SUBSTITUTE(UPPER(TRIM($DX946)),"0",""),"1",""),"2",""),"3",""),"4",""),"5",""),"6",""),"7",""),"8",""),"9",""),".",""),"+",""),"-",""),"E","")="",LEN(SUBSTITUTE(SUBSTITUTE(MID(UPPER(TRIM($DX946)),1+OR(LEFT(UPPER(TRIM($DX946)),1)="+",LEFT(UPPER(TRIM($DX946)),1)="-"),999),"E+","E"),"E-","E"))=LEN(SUBSTITUTE(SUBSTITUTE(SUBSTITUTE(SUBSTITUTE(MID(UPPER(TRIM($DX946)),1+OR(LEFT(UPPER(TRIM($DX946)),1)="+",LEFT(UPPER(TRIM($DX946)),1)="-"),999),"E+","E"),"E-","E"),"+",""),"-","")),LEN(UPPER(TRIM($DX946)))-LEN(SUBSTITUTE(UPPER(TRIM($DX946)),"E",""))&lt;2,LEN(UPPER(TRIM($DX946)))-LEN(SUBSTITUTE(UPPER(TRIM($DX946)),".",""))&lt;2,IFERROR(FIND(".",UPPER(TRIM($DX946))),0)&lt;IFERROR(FIND("E",UPPER(TRIM($DX946))),999)),ISNUMBER(VALUE(TRIM($DX946)))),VALUE(TRIM($DX946)),"")))),""))</f>
        <v/>
      </c>
      <c r="DZ946">
        <f>IF($DM946=0,"",IF($L$17=0,"",IFERROR(IF(ISNUMBER(INDEX(PASTE_ALL,$DF946,$L$17)),INDEX(PASTE_ALL,$DF946,$L$17),SUBSTITUTE(SUBSTITUTE(TRIM(SUBSTITUTE(SUBSTITUTE(SUBSTITUTE(SUBSTITUTE(INDEX(PASTE_ALL,$DF946,$L$17)," "," "),CHAR(9)," "),CHAR(10)," "),CHAR(13)," ")),",",""),"%","")),"")))</f>
        <v/>
      </c>
      <c r="EA946">
        <f>IF($DM946=0,"",IFERROR(IF(ISNUMBER($DZ946),$DZ946,IF($DZ946="","",IF(TRIM($DZ946)="",0,IF(AND(AND(SUBSTITUTE(SUBSTITUTE(SUBSTITUTE(SUBSTITUTE(SUBSTITUTE(SUBSTITUTE(SUBSTITUTE(SUBSTITUTE(SUBSTITUTE(SUBSTITUTE(SUBSTITUTE(SUBSTITUTE(SUBSTITUTE(SUBSTITUTE(UPPER(TRIM($DZ946)),"0",""),"1",""),"2",""),"3",""),"4",""),"5",""),"6",""),"7",""),"8",""),"9",""),".",""),"+",""),"-",""),"E","")="",LEN(SUBSTITUTE(SUBSTITUTE(MID(UPPER(TRIM($DZ946)),1+OR(LEFT(UPPER(TRIM($DZ946)),1)="+",LEFT(UPPER(TRIM($DZ946)),1)="-"),999),"E+","E"),"E-","E"))=LEN(SUBSTITUTE(SUBSTITUTE(SUBSTITUTE(SUBSTITUTE(MID(UPPER(TRIM($DZ946)),1+OR(LEFT(UPPER(TRIM($DZ946)),1)="+",LEFT(UPPER(TRIM($DZ946)),1)="-"),999),"E+","E"),"E-","E"),"+",""),"-","")),LEN(UPPER(TRIM($DZ946)))-LEN(SUBSTITUTE(UPPER(TRIM($DZ946)),"E",""))&lt;2,LEN(UPPER(TRIM($DZ946)))-LEN(SUBSTITUTE(UPPER(TRIM($DZ946)),".",""))&lt;2,IFERROR(FIND(".",UPPER(TRIM($DZ946))),0)&lt;IFERROR(FIND("E",UPPER(TRIM($DZ946))),999)),ISNUMBER(VALUE(TRIM($DZ946)))),VALUE(TRIM($DZ946)),"")))),""))</f>
        <v/>
      </c>
      <c r="EB946">
        <f>IF($DM946=0,"",IF($L$18=0,"",IFERROR(IF(UPPER(TRIM(SUBSTITUTE(SUBSTITUTE(SUBSTITUTE(SUBSTITUTE(INDEX(PASTE_ALL,$DF946,$L$18)," "," "),CHAR(9)," "),CHAR(10)," "),CHAR(13)," ")))="READY","Ready",IF(UPPER(TRIM(SUBSTITUTE(SUBSTITUTE(SUBSTITUTE(SUBSTITUTE(INDEX(PASTE_ALL,$DF946,$L$18)," "," "),CHAR(9)," "),CHAR(10)," "),CHAR(13)," ")))="PM","PM",IF(OR(UPPER(TRIM(SUBSTITUTE(SUBSTITUTE(SUBSTITUTE(SUBSTITUTE(INDEX(PASTE_ALL,$DF946,$L$18)," "," "),CHAR(9)," "),CHAR(10)," "),CHAR(13)," ")))="OT",UPPER(TRIM(SUBSTITUTE(SUBSTITUTE(SUBSTITUTE(SUBSTITUTE(INDEX(PASTE_ALL,$DF946,$L$18)," "," "),CHAR(9)," "),CHAR(10)," "),CHAR(13)," ")))="OVERTIME",UPPER(TRIM(SUBSTITUTE(SUBSTITUTE(SUBSTITUTE(SUBSTITUTE(INDEX(PASTE_ALL,$DF946,$L$18)," "," "),CHAR(9)," "),CHAR(10)," "),CHAR(13)," ")))="TRIAL"),"OT",TRIM(SUBSTITUTE(SUBSTITUTE(SUBSTITUTE(SUBSTITUTE(INDEX(PASTE_ALL,$DF946,$L$18)," "," "),CHAR(9)," "),CHAR(10)," "),CHAR(13)," "))))),"")))</f>
        <v/>
      </c>
      <c r="EC946">
        <f>IF($DM946=0,"",IF($L$19=0,"",IFERROR(IF(ISNUMBER(INDEX(PASTE_ALL,$DF946,$L$19)),INDEX(PASTE_ALL,$DF946,$L$19),TRIM(SUBSTITUTE(SUBSTITUTE(SUBSTITUTE(SUBSTITUTE(INDEX(PASTE_ALL,$DF946,$L$19)," "," "),CHAR(9)," "),CHAR(10)," "),CHAR(13)," "))),"")))</f>
        <v/>
      </c>
      <c r="ED946">
        <f>IF($DM946=0,"",MATCH(1,INDEX(EXACT($DH$5:DH946,$DH946)*$DM$5:DM946,0),0))</f>
        <v/>
      </c>
      <c r="EE946">
        <f>IF($DM946=0,0,IF($ED946=$DE946,1,0))</f>
        <v/>
      </c>
      <c r="EF946">
        <f>EF945+$EE946</f>
        <v/>
      </c>
      <c r="EG946">
        <f>IF($DM946=0,"",INDEX($EF$5:$EF$1003,$ED946))</f>
        <v/>
      </c>
      <c r="EH946">
        <f>IF($DM946=0,"",IF($DO946&lt;&gt;"","",IFERROR(LOOKUP(2,1/(($EG$4:EG945=$EG946)*($DO$4:DO945&lt;&gt;"")),$DO$4:DO945),"")))</f>
        <v/>
      </c>
      <c r="EI946">
        <f>IF($DM946=0,"",IF($DO946&lt;&gt;"",$DO946,$EH946))</f>
        <v/>
      </c>
      <c r="EJ946">
        <f>IF($DM946=0,"",IF($EI946="",0,IF(OR(ISNUMBER($EI946),AND(AND(SUBSTITUTE(SUBSTITUTE(SUBSTITUTE(SUBSTITUTE(SUBSTITUTE(SUBSTITUTE(SUBSTITUTE(SUBSTITUTE(SUBSTITUTE(SUBSTITUTE(SUBSTITUTE(SUBSTITUTE(SUBSTITUTE(SUBSTITUTE(UPPER($EI946),"0",""),"1",""),"2",""),"3",""),"4",""),"5",""),"6",""),"7",""),"8",""),"9",""),".",""),"+",""),"-",""),"E","")="",LEN(SUBSTITUTE(SUBSTITUTE(MID(UPPER($EI946),1+OR(LEFT(UPPER($EI946),1)="+",LEFT(UPPER($EI946),1)="-"),999),"E+","E"),"E-","E"))=LEN(SUBSTITUTE(SUBSTITUTE(SUBSTITUTE(SUBSTITUTE(MID(UPPER($EI946),1+OR(LEFT(UPPER($EI946),1)="+",LEFT(UPPER($EI946),1)="-"),999),"E+","E"),"E-","E"),"+",""),"-","")),LEN(UPPER($EI946))-LEN(SUBSTITUTE(UPPER($EI946),"E",""))&lt;2,LEN(UPPER($EI946))-LEN(SUBSTITUTE(UPPER($EI946),".",""))&lt;2,IFERROR(FIND(".",UPPER($EI946)),0)&lt;IFERROR(FIND("E",UPPER($EI946)),999)),ISNUMBER(VALUE($EI946)))),1,2)))</f>
        <v/>
      </c>
      <c r="EK946">
        <f>IF($DM946=0,"",IF($EJ946=1,IF(ISNUMBER($EI946),$EI946,VALUE($EI946)),IF($EJ946=2,$DE946,0)))</f>
        <v/>
      </c>
      <c r="EL946">
        <f>IF($DM946=0,"",COUNTIF($EG$5:$EG$1003,"&lt;"&amp;$EG946)+SUMPRODUCT(($EG$5:$EG$1003=$EG946)*(($EJ$5:$EJ$1003&lt;$EJ946)+($EJ$5:$EJ$1003=$EJ946)*(($EK$5:$EK$1003&lt;$EK946)+($EK$5:$EK$1003=$EK946)*($DE$5:$DE$1003&lt;$DE946))))+1)</f>
        <v/>
      </c>
      <c r="EM946">
        <f>IF($DM946=0,"",$EL946+$EG946-1)</f>
        <v/>
      </c>
      <c r="EN946">
        <f>IF($DM946=0,0,IFERROR(MATCH(1,INDEX(--(TRIM(SUBSTITUTE(SUBSTITUTE(SUBSTITUTE(SUBSTITUTE(LINES_NAME&amp;""," "," "),CHAR(9)," "),CHAR(10)," "),CHAR(13)," "))=$DH946),0),0),0))</f>
        <v/>
      </c>
      <c r="EO946">
        <f>IF($EN946=0,0,IF(OR(UPPER(TRIM(INDEX(LINES_SCHEDULED,$EN946)&amp;""))="YES",UPPER(TRIM(INDEX(LINES_SCHEDULED,$EN946)&amp;""))="Y",UPPER(TRIM(INDEX(LINES_SCHEDULED,$EN946)&amp;""))="X"),1,0))</f>
        <v/>
      </c>
      <c r="EP946">
        <f>IF($DM946=0,"",IF(COUNTIFS($EG$5:$EG$1003,$EG946,$EB$5:$EB$1003,"Ready")&gt;0,"READY",IF(COUNTIFS($EG$5:$EG$1003,$EG946,$EB$5:$EB$1003,"PM")&gt;0,"PM",IF(COUNTIFS($EG$5:$EG$1003,$EG946,$EB$5:$EB$1003,"OT")&gt;0,"OT",""))))</f>
        <v/>
      </c>
      <c r="EQ946">
        <f>IF($EN946=0,"",UPPER(TRIM(INDEX(LINES_STATUS,$EN946)&amp;"")))</f>
        <v/>
      </c>
      <c r="ER946">
        <f>IF($DM946=0,"",IF(OR($EQ946="READY",$EQ946="PM",$EQ946="OT"),$EQ946,$EP946))</f>
        <v/>
      </c>
      <c r="ES946">
        <f>IF($DM946=0,"",IF(AND($DV946&lt;&gt;"",UPPER($DV946)&lt;&gt;"N"),"allergen",IF(ISNUMBER(SEARCH("oil",$DQ946)),"oil",IF(OR(EXACT($DS946,"A662"),EXACT($DS946,"A624")),"bulk",""))))</f>
        <v/>
      </c>
      <c r="ET946">
        <f>IF($DM946=0,"",IF(OR($EA946="",$EA946=0),"",$EA946/100))</f>
        <v/>
      </c>
      <c r="EU946">
        <f>IF(OR($ET946="",$DY946=""),"",INT($DY946*(1-$ET946)+0.5))</f>
        <v/>
      </c>
    </row>
    <row r="947">
      <c r="DA947" t="n">
        <v>943</v>
      </c>
      <c r="DB947">
        <f>IF($B$37=0,"",IFERROR(TRIM(SUBSTITUTE(SUBSTITUTE(SUBSTITUTE(SUBSTITUTE(INDEX(PASTE_ALL,943,$B$37)," "," "),CHAR(9)," "),CHAR(10)," "),CHAR(13)," ")),""))</f>
        <v/>
      </c>
      <c r="DC947">
        <f>IF(AND(943&gt;HEADER_ROW,UPPER(DB947)="LEGEND"),1,0)</f>
        <v/>
      </c>
      <c r="DE947" t="n">
        <v>943</v>
      </c>
      <c r="DF947">
        <f>HEADER_ROW+$DE947</f>
        <v/>
      </c>
      <c r="DG947">
        <f>IF(AND($DF947&lt;=1000,$DF947&lt;$B$8),1,0)</f>
        <v/>
      </c>
      <c r="DH947">
        <f>IF($DG947=1,IFERROR(INDEX($DB$5:$DB$1004,$DF947),""),"")</f>
        <v/>
      </c>
      <c r="DI947">
        <f>IF(AND($DG947=1,$DH947&lt;&gt;""),IFERROR(SUBSTITUTE(SUBSTITUTE(TRIM(SUBSTITUTE(SUBSTITUTE(SUBSTITUTE(SUBSTITUTE(IFERROR(INDEX(PASTE_ALL,$DF947,1)&amp;"","")&amp;"␟"&amp;IFERROR(INDEX(PASTE_ALL,$DF947,2)&amp;"","")&amp;"␟"&amp;IFERROR(INDEX(PASTE_ALL,$DF947,3)&amp;"","")&amp;"␟"&amp;IFERROR(INDEX(PASTE_ALL,$DF947,4)&amp;"","")&amp;"␟"&amp;IFERROR(INDEX(PASTE_ALL,$DF947,5)&amp;"","")&amp;"␟"&amp;IFERROR(INDEX(PASTE_ALL,$DF947,6)&amp;"","")&amp;"␟"&amp;IFERROR(INDEX(PASTE_ALL,$DF947,7)&amp;"","")&amp;"␟"&amp;IFERROR(INDEX(PASTE_ALL,$DF947,8)&amp;"","")&amp;"␟"&amp;IFERROR(INDEX(PASTE_ALL,$DF947,9)&amp;"","")&amp;"␟"&amp;IFERROR(INDEX(PASTE_ALL,$DF947,10)&amp;"","")&amp;"␟"&amp;IFERROR(INDEX(PASTE_ALL,$DF947,11)&amp;"","")&amp;"␟"&amp;IFERROR(INDEX(PASTE_ALL,$DF947,12)&amp;"","")&amp;"␟"&amp;IFERROR(INDEX(PASTE_ALL,$DF947,13)&amp;"","")&amp;"␟"&amp;IFERROR(INDEX(PASTE_ALL,$DF947,14)&amp;"","")&amp;"␟"&amp;IFERROR(INDEX(PASTE_ALL,$DF947,15)&amp;"","")&amp;"␟"&amp;IFERROR(INDEX(PASTE_ALL,$DF947,16)&amp;"","")&amp;"␟"&amp;IFERROR(INDEX(PASTE_ALL,$DF947,17)&amp;"","")&amp;"␟"&amp;IFERROR(INDEX(PASTE_ALL,$DF947,18)&amp;"","")&amp;"␟"&amp;IFERROR(INDEX(PASTE_ALL,$DF947,19)&amp;"","")&amp;"␟"&amp;IFERROR(INDEX(PASTE_ALL,$DF947,20)&amp;"","")&amp;"␟"&amp;IFERROR(INDEX(PASTE_ALL,$DF947,21)&amp;"","")&amp;"␟"&amp;IFERROR(INDEX(PASTE_ALL,$DF947,22)&amp;"","")&amp;"␟"&amp;IFERROR(INDEX(PASTE_ALL,$DF947,23)&amp;"","")&amp;"␟"&amp;IFERROR(INDEX(PASTE_ALL,$DF947,24)&amp;"","")&amp;"␟"&amp;IFERROR(INDEX(PASTE_ALL,$DF947,25)&amp;"","")&amp;"␟"&amp;IFERROR(INDEX(PASTE_ALL,$DF947,26)&amp;"","")&amp;"␟"&amp;IFERROR(INDEX(PASTE_ALL,$DF947,27)&amp;"","")&amp;"␟"&amp;IFERROR(INDEX(PASTE_ALL,$DF947,28)&amp;"","")&amp;"␟"&amp;IFERROR(INDEX(PASTE_ALL,$DF947,29)&amp;"","")&amp;"␟"&amp;IFERROR(INDEX(PASTE_ALL,$DF947,30)&amp;"","")&amp;"␟"&amp;IFERROR(INDEX(PASTE_ALL,$DF947,31)&amp;"","")&amp;"␟"&amp;IFERROR(INDEX(PASTE_ALL,$DF947,32)&amp;"","")&amp;"␟"&amp;IFERROR(INDEX(PASTE_ALL,$DF947,33)&amp;"","")&amp;"␟"&amp;IFERROR(INDEX(PASTE_ALL,$DF947,34)&amp;"","")&amp;"␟"&amp;IFERROR(INDEX(PASTE_ALL,$DF947,35)&amp;"","")&amp;"␟"&amp;IFERROR(INDEX(PASTE_ALL,$DF947,36)&amp;"","")&amp;"␟"&amp;IFERROR(INDEX(PASTE_ALL,$DF947,37)&amp;"","")&amp;"␟"&amp;IFERROR(INDEX(PASTE_ALL,$DF947,38)&amp;"","")&amp;"␟"&amp;IFERROR(INDEX(PASTE_ALL,$DF947,39)&amp;"","")&amp;"␟"&amp;IFERROR(INDEX(PASTE_ALL,$DF947,40)&amp;"","")&amp;"␟"&amp;IFERROR(INDEX(PASTE_ALL,$DF947,41)&amp;"","")&amp;"␟"&amp;IFERROR(INDEX(PASTE_ALL,$DF947,42)&amp;"","")&amp;"␟"&amp;IFERROR(INDEX(PASTE_ALL,$DF947,43)&amp;"","")&amp;"␟"&amp;IFERROR(INDEX(PASTE_ALL,$DF947,44)&amp;"","")&amp;"␟"&amp;IFERROR(INDEX(PASTE_ALL,$DF947,45)&amp;"","")&amp;"␟"&amp;IFERROR(INDEX(PASTE_ALL,$DF947,46)&amp;"","")&amp;"␟"&amp;IFERROR(INDEX(PASTE_ALL,$DF947,47)&amp;"","")&amp;"␟"&amp;IFERROR(INDEX(PASTE_ALL,$DF947,48)&amp;"","")&amp;"␟"&amp;IFERROR(INDEX(PASTE_ALL,$DF947,49)&amp;"","")&amp;"␟"&amp;IFERROR(INDEX(PASTE_ALL,$DF947,50)&amp;"","")&amp;"␟"&amp;IFERROR(INDEX(PASTE_ALL,$DF947,51)&amp;"","")&amp;"␟"&amp;IFERROR(INDEX(PASTE_ALL,$DF947,52)&amp;"","")&amp;"␟"&amp;IFERROR(INDEX(PASTE_ALL,$DF947,53)&amp;"","")&amp;"␟"&amp;IFERROR(INDEX(PASTE_ALL,$DF947,54)&amp;"","")&amp;"␟"&amp;IFERROR(INDEX(PASTE_ALL,$DF947,55)&amp;"","")&amp;"␟"&amp;IFERROR(INDEX(PASTE_ALL,$DF947,56)&amp;"","")&amp;"␟"&amp;IFERROR(INDEX(PASTE_ALL,$DF947,57)&amp;"","")&amp;"␟"&amp;IFERROR(INDEX(PASTE_ALL,$DF947,58)&amp;"","")&amp;"␟"&amp;IFERROR(INDEX(PASTE_ALL,$DF947,59)&amp;"","")&amp;"␟"&amp;IFERROR(INDEX(PASTE_ALL,$DF947,60)&amp;"","")," "," "),CHAR(9)," "),CHAR(10)," "),CHAR(13)," "))," ␟","␟"),"␟ ","␟"),"#"&amp;$DE947),"")</f>
        <v/>
      </c>
      <c r="DJ947">
        <f>IF($DI947="",0,IF(SUMPRODUCT(--EXACT($DI$4:DI946,$DI947))&gt;0,1,0))</f>
        <v/>
      </c>
      <c r="DK947">
        <f>IF(AND($DI947&lt;&gt;"",$DJ947=0),1,0)</f>
        <v/>
      </c>
      <c r="DL947">
        <f>DL946+$DK947</f>
        <v/>
      </c>
      <c r="DM947">
        <f>IF(AND($DK947=1,$DL947&lt;=600),1,0)</f>
        <v/>
      </c>
      <c r="DN947">
        <f>IF($DM947=0,"",IF($L$6=0,"",IFERROR(IF(ISNUMBER(INDEX(PASTE_ALL,$DF947,$L$6)),INDEX(PASTE_ALL,$DF947,$L$6),TRIM(SUBSTITUTE(SUBSTITUTE(SUBSTITUTE(SUBSTITUTE(INDEX(PASTE_ALL,$DF947,$L$6)," "," "),CHAR(9)," "),CHAR(10)," "),CHAR(13)," "))),"")))</f>
        <v/>
      </c>
      <c r="DO947">
        <f>IF($DM947=0,"",IF($L$7=0,"",IFERROR(IF(ISNUMBER(INDEX(PASTE_ALL,$DF947,$L$7)),INDEX(PASTE_ALL,$DF947,$L$7),TRIM(SUBSTITUTE(SUBSTITUTE(SUBSTITUTE(SUBSTITUTE(INDEX(PASTE_ALL,$DF947,$L$7)," "," "),CHAR(9)," "),CHAR(10)," "),CHAR(13)," "))),"")))</f>
        <v/>
      </c>
      <c r="DP947">
        <f>IF($DM947=0,"",IF($L$8=0,"",IFERROR(IF(ISNUMBER(INDEX(PASTE_ALL,$DF947,$L$8)),INDEX(PASTE_ALL,$DF947,$L$8),TRIM(SUBSTITUTE(SUBSTITUTE(SUBSTITUTE(SUBSTITUTE(INDEX(PASTE_ALL,$DF947,$L$8)," "," "),CHAR(9)," "),CHAR(10)," "),CHAR(13)," "))),"")))</f>
        <v/>
      </c>
      <c r="DQ947">
        <f>IF($DM947=0,"",IF($L$9=0,"",IFERROR(IF(ISNUMBER(INDEX(PASTE_ALL,$DF947,$L$9)),INDEX(PASTE_ALL,$DF947,$L$9),TRIM(SUBSTITUTE(SUBSTITUTE(SUBSTITUTE(SUBSTITUTE(INDEX(PASTE_ALL,$DF947,$L$9)," "," "),CHAR(9)," "),CHAR(10)," "),CHAR(13)," "))),"")))</f>
        <v/>
      </c>
      <c r="DR947">
        <f>IF($DM947=0,"",IF($L$10=0,"",IFERROR(IF(ISNUMBER(INDEX(PASTE_ALL,$DF947,$L$10)),INDEX(PASTE_ALL,$DF947,$L$10),TRIM(SUBSTITUTE(SUBSTITUTE(SUBSTITUTE(SUBSTITUTE(INDEX(PASTE_ALL,$DF947,$L$10)," "," "),CHAR(9)," "),CHAR(10)," "),CHAR(13)," "))),"")))</f>
        <v/>
      </c>
      <c r="DS947">
        <f>IF($DM947=0,"",IF($L$11=0,"",IFERROR(IF(ISNUMBER(INDEX(PASTE_ALL,$DF947,$L$11)),INDEX(PASTE_ALL,$DF947,$L$11),TRIM(SUBSTITUTE(SUBSTITUTE(SUBSTITUTE(SUBSTITUTE(INDEX(PASTE_ALL,$DF947,$L$11)," "," "),CHAR(9)," "),CHAR(10)," "),CHAR(13)," "))),"")))</f>
        <v/>
      </c>
      <c r="DT947">
        <f>IF($DM947=0,"",IF($L$12=0,"",IFERROR(IF(ISNUMBER(INDEX(PASTE_ALL,$DF947,$L$12)),INDEX(PASTE_ALL,$DF947,$L$12),TRIM(SUBSTITUTE(SUBSTITUTE(SUBSTITUTE(SUBSTITUTE(INDEX(PASTE_ALL,$DF947,$L$12)," "," "),CHAR(9)," "),CHAR(10)," "),CHAR(13)," "))),"")))</f>
        <v/>
      </c>
      <c r="DU947">
        <f>IF($DM947=0,"",IF($L$13=0,"",IFERROR(IF(ISNUMBER(INDEX(PASTE_ALL,$DF947,$L$13)),INDEX(PASTE_ALL,$DF947,$L$13),TRIM(SUBSTITUTE(SUBSTITUTE(SUBSTITUTE(SUBSTITUTE(INDEX(PASTE_ALL,$DF947,$L$13)," "," "),CHAR(9)," "),CHAR(10)," "),CHAR(13)," "))),"")))</f>
        <v/>
      </c>
      <c r="DV947">
        <f>IF($DM947=0,"",IF($L$14=0,"",IFERROR(IF(ISNUMBER(INDEX(PASTE_ALL,$DF947,$L$14)),INDEX(PASTE_ALL,$DF947,$L$14),TRIM(SUBSTITUTE(SUBSTITUTE(SUBSTITUTE(SUBSTITUTE(INDEX(PASTE_ALL,$DF947,$L$14)," "," "),CHAR(9)," "),CHAR(10)," "),CHAR(13)," "))),"")))</f>
        <v/>
      </c>
      <c r="DW947">
        <f>IF($DM947=0,"",IF($L$15=0,"",IFERROR(IF(ISNUMBER(INDEX(PASTE_ALL,$DF947,$L$15)),INDEX(PASTE_ALL,$DF947,$L$15),IF(SUMPRODUCT(--ISNUMBER(FIND({"A","B","C","D","E","F","G","H","I","J","K","L","M","N","O","P","Q","R","S","T","U","V","W","X","Y","Z","0","1","2","3","4","5","6","7","8","9"},UPPER(TRIM(SUBSTITUTE(SUBSTITUTE(SUBSTITUTE(SUBSTITUTE(INDEX(PASTE_ALL,$DF947,$L$15)," "," "),CHAR(9)," "),CHAR(10)," "),CHAR(13)," "))))))&gt;0,TRIM(SUBSTITUTE(SUBSTITUTE(SUBSTITUTE(SUBSTITUTE(INDEX(PASTE_ALL,$DF947,$L$15)," "," "),CHAR(9)," "),CHAR(10)," "),CHAR(13)," ")),"")),"")))</f>
        <v/>
      </c>
      <c r="DX947">
        <f>IF($DM947=0,"",IF($L$16=0,"",IFERROR(IF(ISNUMBER(INDEX(PASTE_ALL,$DF947,$L$16)),INDEX(PASTE_ALL,$DF947,$L$16),SUBSTITUTE(SUBSTITUTE(TRIM(SUBSTITUTE(SUBSTITUTE(SUBSTITUTE(SUBSTITUTE(INDEX(PASTE_ALL,$DF947,$L$16)," "," "),CHAR(9)," "),CHAR(10)," "),CHAR(13)," ")),",",""),"%","")),"")))</f>
        <v/>
      </c>
      <c r="DY947">
        <f>IF($DM947=0,"",IFERROR(IF(ISNUMBER($DX947),$DX947,IF($DX947="","",IF(TRIM($DX947)="",0,IF(AND(AND(SUBSTITUTE(SUBSTITUTE(SUBSTITUTE(SUBSTITUTE(SUBSTITUTE(SUBSTITUTE(SUBSTITUTE(SUBSTITUTE(SUBSTITUTE(SUBSTITUTE(SUBSTITUTE(SUBSTITUTE(SUBSTITUTE(SUBSTITUTE(UPPER(TRIM($DX947)),"0",""),"1",""),"2",""),"3",""),"4",""),"5",""),"6",""),"7",""),"8",""),"9",""),".",""),"+",""),"-",""),"E","")="",LEN(SUBSTITUTE(SUBSTITUTE(MID(UPPER(TRIM($DX947)),1+OR(LEFT(UPPER(TRIM($DX947)),1)="+",LEFT(UPPER(TRIM($DX947)),1)="-"),999),"E+","E"),"E-","E"))=LEN(SUBSTITUTE(SUBSTITUTE(SUBSTITUTE(SUBSTITUTE(MID(UPPER(TRIM($DX947)),1+OR(LEFT(UPPER(TRIM($DX947)),1)="+",LEFT(UPPER(TRIM($DX947)),1)="-"),999),"E+","E"),"E-","E"),"+",""),"-","")),LEN(UPPER(TRIM($DX947)))-LEN(SUBSTITUTE(UPPER(TRIM($DX947)),"E",""))&lt;2,LEN(UPPER(TRIM($DX947)))-LEN(SUBSTITUTE(UPPER(TRIM($DX947)),".",""))&lt;2,IFERROR(FIND(".",UPPER(TRIM($DX947))),0)&lt;IFERROR(FIND("E",UPPER(TRIM($DX947))),999)),ISNUMBER(VALUE(TRIM($DX947)))),VALUE(TRIM($DX947)),"")))),""))</f>
        <v/>
      </c>
      <c r="DZ947">
        <f>IF($DM947=0,"",IF($L$17=0,"",IFERROR(IF(ISNUMBER(INDEX(PASTE_ALL,$DF947,$L$17)),INDEX(PASTE_ALL,$DF947,$L$17),SUBSTITUTE(SUBSTITUTE(TRIM(SUBSTITUTE(SUBSTITUTE(SUBSTITUTE(SUBSTITUTE(INDEX(PASTE_ALL,$DF947,$L$17)," "," "),CHAR(9)," "),CHAR(10)," "),CHAR(13)," ")),",",""),"%","")),"")))</f>
        <v/>
      </c>
      <c r="EA947">
        <f>IF($DM947=0,"",IFERROR(IF(ISNUMBER($DZ947),$DZ947,IF($DZ947="","",IF(TRIM($DZ947)="",0,IF(AND(AND(SUBSTITUTE(SUBSTITUTE(SUBSTITUTE(SUBSTITUTE(SUBSTITUTE(SUBSTITUTE(SUBSTITUTE(SUBSTITUTE(SUBSTITUTE(SUBSTITUTE(SUBSTITUTE(SUBSTITUTE(SUBSTITUTE(SUBSTITUTE(UPPER(TRIM($DZ947)),"0",""),"1",""),"2",""),"3",""),"4",""),"5",""),"6",""),"7",""),"8",""),"9",""),".",""),"+",""),"-",""),"E","")="",LEN(SUBSTITUTE(SUBSTITUTE(MID(UPPER(TRIM($DZ947)),1+OR(LEFT(UPPER(TRIM($DZ947)),1)="+",LEFT(UPPER(TRIM($DZ947)),1)="-"),999),"E+","E"),"E-","E"))=LEN(SUBSTITUTE(SUBSTITUTE(SUBSTITUTE(SUBSTITUTE(MID(UPPER(TRIM($DZ947)),1+OR(LEFT(UPPER(TRIM($DZ947)),1)="+",LEFT(UPPER(TRIM($DZ947)),1)="-"),999),"E+","E"),"E-","E"),"+",""),"-","")),LEN(UPPER(TRIM($DZ947)))-LEN(SUBSTITUTE(UPPER(TRIM($DZ947)),"E",""))&lt;2,LEN(UPPER(TRIM($DZ947)))-LEN(SUBSTITUTE(UPPER(TRIM($DZ947)),".",""))&lt;2,IFERROR(FIND(".",UPPER(TRIM($DZ947))),0)&lt;IFERROR(FIND("E",UPPER(TRIM($DZ947))),999)),ISNUMBER(VALUE(TRIM($DZ947)))),VALUE(TRIM($DZ947)),"")))),""))</f>
        <v/>
      </c>
      <c r="EB947">
        <f>IF($DM947=0,"",IF($L$18=0,"",IFERROR(IF(UPPER(TRIM(SUBSTITUTE(SUBSTITUTE(SUBSTITUTE(SUBSTITUTE(INDEX(PASTE_ALL,$DF947,$L$18)," "," "),CHAR(9)," "),CHAR(10)," "),CHAR(13)," ")))="READY","Ready",IF(UPPER(TRIM(SUBSTITUTE(SUBSTITUTE(SUBSTITUTE(SUBSTITUTE(INDEX(PASTE_ALL,$DF947,$L$18)," "," "),CHAR(9)," "),CHAR(10)," "),CHAR(13)," ")))="PM","PM",IF(OR(UPPER(TRIM(SUBSTITUTE(SUBSTITUTE(SUBSTITUTE(SUBSTITUTE(INDEX(PASTE_ALL,$DF947,$L$18)," "," "),CHAR(9)," "),CHAR(10)," "),CHAR(13)," ")))="OT",UPPER(TRIM(SUBSTITUTE(SUBSTITUTE(SUBSTITUTE(SUBSTITUTE(INDEX(PASTE_ALL,$DF947,$L$18)," "," "),CHAR(9)," "),CHAR(10)," "),CHAR(13)," ")))="OVERTIME",UPPER(TRIM(SUBSTITUTE(SUBSTITUTE(SUBSTITUTE(SUBSTITUTE(INDEX(PASTE_ALL,$DF947,$L$18)," "," "),CHAR(9)," "),CHAR(10)," "),CHAR(13)," ")))="TRIAL"),"OT",TRIM(SUBSTITUTE(SUBSTITUTE(SUBSTITUTE(SUBSTITUTE(INDEX(PASTE_ALL,$DF947,$L$18)," "," "),CHAR(9)," "),CHAR(10)," "),CHAR(13)," "))))),"")))</f>
        <v/>
      </c>
      <c r="EC947">
        <f>IF($DM947=0,"",IF($L$19=0,"",IFERROR(IF(ISNUMBER(INDEX(PASTE_ALL,$DF947,$L$19)),INDEX(PASTE_ALL,$DF947,$L$19),TRIM(SUBSTITUTE(SUBSTITUTE(SUBSTITUTE(SUBSTITUTE(INDEX(PASTE_ALL,$DF947,$L$19)," "," "),CHAR(9)," "),CHAR(10)," "),CHAR(13)," "))),"")))</f>
        <v/>
      </c>
      <c r="ED947">
        <f>IF($DM947=0,"",MATCH(1,INDEX(EXACT($DH$5:DH947,$DH947)*$DM$5:DM947,0),0))</f>
        <v/>
      </c>
      <c r="EE947">
        <f>IF($DM947=0,0,IF($ED947=$DE947,1,0))</f>
        <v/>
      </c>
      <c r="EF947">
        <f>EF946+$EE947</f>
        <v/>
      </c>
      <c r="EG947">
        <f>IF($DM947=0,"",INDEX($EF$5:$EF$1003,$ED947))</f>
        <v/>
      </c>
      <c r="EH947">
        <f>IF($DM947=0,"",IF($DO947&lt;&gt;"","",IFERROR(LOOKUP(2,1/(($EG$4:EG946=$EG947)*($DO$4:DO946&lt;&gt;"")),$DO$4:DO946),"")))</f>
        <v/>
      </c>
      <c r="EI947">
        <f>IF($DM947=0,"",IF($DO947&lt;&gt;"",$DO947,$EH947))</f>
        <v/>
      </c>
      <c r="EJ947">
        <f>IF($DM947=0,"",IF($EI947="",0,IF(OR(ISNUMBER($EI947),AND(AND(SUBSTITUTE(SUBSTITUTE(SUBSTITUTE(SUBSTITUTE(SUBSTITUTE(SUBSTITUTE(SUBSTITUTE(SUBSTITUTE(SUBSTITUTE(SUBSTITUTE(SUBSTITUTE(SUBSTITUTE(SUBSTITUTE(SUBSTITUTE(UPPER($EI947),"0",""),"1",""),"2",""),"3",""),"4",""),"5",""),"6",""),"7",""),"8",""),"9",""),".",""),"+",""),"-",""),"E","")="",LEN(SUBSTITUTE(SUBSTITUTE(MID(UPPER($EI947),1+OR(LEFT(UPPER($EI947),1)="+",LEFT(UPPER($EI947),1)="-"),999),"E+","E"),"E-","E"))=LEN(SUBSTITUTE(SUBSTITUTE(SUBSTITUTE(SUBSTITUTE(MID(UPPER($EI947),1+OR(LEFT(UPPER($EI947),1)="+",LEFT(UPPER($EI947),1)="-"),999),"E+","E"),"E-","E"),"+",""),"-","")),LEN(UPPER($EI947))-LEN(SUBSTITUTE(UPPER($EI947),"E",""))&lt;2,LEN(UPPER($EI947))-LEN(SUBSTITUTE(UPPER($EI947),".",""))&lt;2,IFERROR(FIND(".",UPPER($EI947)),0)&lt;IFERROR(FIND("E",UPPER($EI947)),999)),ISNUMBER(VALUE($EI947)))),1,2)))</f>
        <v/>
      </c>
      <c r="EK947">
        <f>IF($DM947=0,"",IF($EJ947=1,IF(ISNUMBER($EI947),$EI947,VALUE($EI947)),IF($EJ947=2,$DE947,0)))</f>
        <v/>
      </c>
      <c r="EL947">
        <f>IF($DM947=0,"",COUNTIF($EG$5:$EG$1003,"&lt;"&amp;$EG947)+SUMPRODUCT(($EG$5:$EG$1003=$EG947)*(($EJ$5:$EJ$1003&lt;$EJ947)+($EJ$5:$EJ$1003=$EJ947)*(($EK$5:$EK$1003&lt;$EK947)+($EK$5:$EK$1003=$EK947)*($DE$5:$DE$1003&lt;$DE947))))+1)</f>
        <v/>
      </c>
      <c r="EM947">
        <f>IF($DM947=0,"",$EL947+$EG947-1)</f>
        <v/>
      </c>
      <c r="EN947">
        <f>IF($DM947=0,0,IFERROR(MATCH(1,INDEX(--(TRIM(SUBSTITUTE(SUBSTITUTE(SUBSTITUTE(SUBSTITUTE(LINES_NAME&amp;""," "," "),CHAR(9)," "),CHAR(10)," "),CHAR(13)," "))=$DH947),0),0),0))</f>
        <v/>
      </c>
      <c r="EO947">
        <f>IF($EN947=0,0,IF(OR(UPPER(TRIM(INDEX(LINES_SCHEDULED,$EN947)&amp;""))="YES",UPPER(TRIM(INDEX(LINES_SCHEDULED,$EN947)&amp;""))="Y",UPPER(TRIM(INDEX(LINES_SCHEDULED,$EN947)&amp;""))="X"),1,0))</f>
        <v/>
      </c>
      <c r="EP947">
        <f>IF($DM947=0,"",IF(COUNTIFS($EG$5:$EG$1003,$EG947,$EB$5:$EB$1003,"Ready")&gt;0,"READY",IF(COUNTIFS($EG$5:$EG$1003,$EG947,$EB$5:$EB$1003,"PM")&gt;0,"PM",IF(COUNTIFS($EG$5:$EG$1003,$EG947,$EB$5:$EB$1003,"OT")&gt;0,"OT",""))))</f>
        <v/>
      </c>
      <c r="EQ947">
        <f>IF($EN947=0,"",UPPER(TRIM(INDEX(LINES_STATUS,$EN947)&amp;"")))</f>
        <v/>
      </c>
      <c r="ER947">
        <f>IF($DM947=0,"",IF(OR($EQ947="READY",$EQ947="PM",$EQ947="OT"),$EQ947,$EP947))</f>
        <v/>
      </c>
      <c r="ES947">
        <f>IF($DM947=0,"",IF(AND($DV947&lt;&gt;"",UPPER($DV947)&lt;&gt;"N"),"allergen",IF(ISNUMBER(SEARCH("oil",$DQ947)),"oil",IF(OR(EXACT($DS947,"A662"),EXACT($DS947,"A624")),"bulk",""))))</f>
        <v/>
      </c>
      <c r="ET947">
        <f>IF($DM947=0,"",IF(OR($EA947="",$EA947=0),"",$EA947/100))</f>
        <v/>
      </c>
      <c r="EU947">
        <f>IF(OR($ET947="",$DY947=""),"",INT($DY947*(1-$ET947)+0.5))</f>
        <v/>
      </c>
    </row>
    <row r="948">
      <c r="DA948" t="n">
        <v>944</v>
      </c>
      <c r="DB948">
        <f>IF($B$37=0,"",IFERROR(TRIM(SUBSTITUTE(SUBSTITUTE(SUBSTITUTE(SUBSTITUTE(INDEX(PASTE_ALL,944,$B$37)," "," "),CHAR(9)," "),CHAR(10)," "),CHAR(13)," ")),""))</f>
        <v/>
      </c>
      <c r="DC948">
        <f>IF(AND(944&gt;HEADER_ROW,UPPER(DB948)="LEGEND"),1,0)</f>
        <v/>
      </c>
      <c r="DE948" t="n">
        <v>944</v>
      </c>
      <c r="DF948">
        <f>HEADER_ROW+$DE948</f>
        <v/>
      </c>
      <c r="DG948">
        <f>IF(AND($DF948&lt;=1000,$DF948&lt;$B$8),1,0)</f>
        <v/>
      </c>
      <c r="DH948">
        <f>IF($DG948=1,IFERROR(INDEX($DB$5:$DB$1004,$DF948),""),"")</f>
        <v/>
      </c>
      <c r="DI948">
        <f>IF(AND($DG948=1,$DH948&lt;&gt;""),IFERROR(SUBSTITUTE(SUBSTITUTE(TRIM(SUBSTITUTE(SUBSTITUTE(SUBSTITUTE(SUBSTITUTE(IFERROR(INDEX(PASTE_ALL,$DF948,1)&amp;"","")&amp;"␟"&amp;IFERROR(INDEX(PASTE_ALL,$DF948,2)&amp;"","")&amp;"␟"&amp;IFERROR(INDEX(PASTE_ALL,$DF948,3)&amp;"","")&amp;"␟"&amp;IFERROR(INDEX(PASTE_ALL,$DF948,4)&amp;"","")&amp;"␟"&amp;IFERROR(INDEX(PASTE_ALL,$DF948,5)&amp;"","")&amp;"␟"&amp;IFERROR(INDEX(PASTE_ALL,$DF948,6)&amp;"","")&amp;"␟"&amp;IFERROR(INDEX(PASTE_ALL,$DF948,7)&amp;"","")&amp;"␟"&amp;IFERROR(INDEX(PASTE_ALL,$DF948,8)&amp;"","")&amp;"␟"&amp;IFERROR(INDEX(PASTE_ALL,$DF948,9)&amp;"","")&amp;"␟"&amp;IFERROR(INDEX(PASTE_ALL,$DF948,10)&amp;"","")&amp;"␟"&amp;IFERROR(INDEX(PASTE_ALL,$DF948,11)&amp;"","")&amp;"␟"&amp;IFERROR(INDEX(PASTE_ALL,$DF948,12)&amp;"","")&amp;"␟"&amp;IFERROR(INDEX(PASTE_ALL,$DF948,13)&amp;"","")&amp;"␟"&amp;IFERROR(INDEX(PASTE_ALL,$DF948,14)&amp;"","")&amp;"␟"&amp;IFERROR(INDEX(PASTE_ALL,$DF948,15)&amp;"","")&amp;"␟"&amp;IFERROR(INDEX(PASTE_ALL,$DF948,16)&amp;"","")&amp;"␟"&amp;IFERROR(INDEX(PASTE_ALL,$DF948,17)&amp;"","")&amp;"␟"&amp;IFERROR(INDEX(PASTE_ALL,$DF948,18)&amp;"","")&amp;"␟"&amp;IFERROR(INDEX(PASTE_ALL,$DF948,19)&amp;"","")&amp;"␟"&amp;IFERROR(INDEX(PASTE_ALL,$DF948,20)&amp;"","")&amp;"␟"&amp;IFERROR(INDEX(PASTE_ALL,$DF948,21)&amp;"","")&amp;"␟"&amp;IFERROR(INDEX(PASTE_ALL,$DF948,22)&amp;"","")&amp;"␟"&amp;IFERROR(INDEX(PASTE_ALL,$DF948,23)&amp;"","")&amp;"␟"&amp;IFERROR(INDEX(PASTE_ALL,$DF948,24)&amp;"","")&amp;"␟"&amp;IFERROR(INDEX(PASTE_ALL,$DF948,25)&amp;"","")&amp;"␟"&amp;IFERROR(INDEX(PASTE_ALL,$DF948,26)&amp;"","")&amp;"␟"&amp;IFERROR(INDEX(PASTE_ALL,$DF948,27)&amp;"","")&amp;"␟"&amp;IFERROR(INDEX(PASTE_ALL,$DF948,28)&amp;"","")&amp;"␟"&amp;IFERROR(INDEX(PASTE_ALL,$DF948,29)&amp;"","")&amp;"␟"&amp;IFERROR(INDEX(PASTE_ALL,$DF948,30)&amp;"","")&amp;"␟"&amp;IFERROR(INDEX(PASTE_ALL,$DF948,31)&amp;"","")&amp;"␟"&amp;IFERROR(INDEX(PASTE_ALL,$DF948,32)&amp;"","")&amp;"␟"&amp;IFERROR(INDEX(PASTE_ALL,$DF948,33)&amp;"","")&amp;"␟"&amp;IFERROR(INDEX(PASTE_ALL,$DF948,34)&amp;"","")&amp;"␟"&amp;IFERROR(INDEX(PASTE_ALL,$DF948,35)&amp;"","")&amp;"␟"&amp;IFERROR(INDEX(PASTE_ALL,$DF948,36)&amp;"","")&amp;"␟"&amp;IFERROR(INDEX(PASTE_ALL,$DF948,37)&amp;"","")&amp;"␟"&amp;IFERROR(INDEX(PASTE_ALL,$DF948,38)&amp;"","")&amp;"␟"&amp;IFERROR(INDEX(PASTE_ALL,$DF948,39)&amp;"","")&amp;"␟"&amp;IFERROR(INDEX(PASTE_ALL,$DF948,40)&amp;"","")&amp;"␟"&amp;IFERROR(INDEX(PASTE_ALL,$DF948,41)&amp;"","")&amp;"␟"&amp;IFERROR(INDEX(PASTE_ALL,$DF948,42)&amp;"","")&amp;"␟"&amp;IFERROR(INDEX(PASTE_ALL,$DF948,43)&amp;"","")&amp;"␟"&amp;IFERROR(INDEX(PASTE_ALL,$DF948,44)&amp;"","")&amp;"␟"&amp;IFERROR(INDEX(PASTE_ALL,$DF948,45)&amp;"","")&amp;"␟"&amp;IFERROR(INDEX(PASTE_ALL,$DF948,46)&amp;"","")&amp;"␟"&amp;IFERROR(INDEX(PASTE_ALL,$DF948,47)&amp;"","")&amp;"␟"&amp;IFERROR(INDEX(PASTE_ALL,$DF948,48)&amp;"","")&amp;"␟"&amp;IFERROR(INDEX(PASTE_ALL,$DF948,49)&amp;"","")&amp;"␟"&amp;IFERROR(INDEX(PASTE_ALL,$DF948,50)&amp;"","")&amp;"␟"&amp;IFERROR(INDEX(PASTE_ALL,$DF948,51)&amp;"","")&amp;"␟"&amp;IFERROR(INDEX(PASTE_ALL,$DF948,52)&amp;"","")&amp;"␟"&amp;IFERROR(INDEX(PASTE_ALL,$DF948,53)&amp;"","")&amp;"␟"&amp;IFERROR(INDEX(PASTE_ALL,$DF948,54)&amp;"","")&amp;"␟"&amp;IFERROR(INDEX(PASTE_ALL,$DF948,55)&amp;"","")&amp;"␟"&amp;IFERROR(INDEX(PASTE_ALL,$DF948,56)&amp;"","")&amp;"␟"&amp;IFERROR(INDEX(PASTE_ALL,$DF948,57)&amp;"","")&amp;"␟"&amp;IFERROR(INDEX(PASTE_ALL,$DF948,58)&amp;"","")&amp;"␟"&amp;IFERROR(INDEX(PASTE_ALL,$DF948,59)&amp;"","")&amp;"␟"&amp;IFERROR(INDEX(PASTE_ALL,$DF948,60)&amp;"","")," "," "),CHAR(9)," "),CHAR(10)," "),CHAR(13)," "))," ␟","␟"),"␟ ","␟"),"#"&amp;$DE948),"")</f>
        <v/>
      </c>
      <c r="DJ948">
        <f>IF($DI948="",0,IF(SUMPRODUCT(--EXACT($DI$4:DI947,$DI948))&gt;0,1,0))</f>
        <v/>
      </c>
      <c r="DK948">
        <f>IF(AND($DI948&lt;&gt;"",$DJ948=0),1,0)</f>
        <v/>
      </c>
      <c r="DL948">
        <f>DL947+$DK948</f>
        <v/>
      </c>
      <c r="DM948">
        <f>IF(AND($DK948=1,$DL948&lt;=600),1,0)</f>
        <v/>
      </c>
      <c r="DN948">
        <f>IF($DM948=0,"",IF($L$6=0,"",IFERROR(IF(ISNUMBER(INDEX(PASTE_ALL,$DF948,$L$6)),INDEX(PASTE_ALL,$DF948,$L$6),TRIM(SUBSTITUTE(SUBSTITUTE(SUBSTITUTE(SUBSTITUTE(INDEX(PASTE_ALL,$DF948,$L$6)," "," "),CHAR(9)," "),CHAR(10)," "),CHAR(13)," "))),"")))</f>
        <v/>
      </c>
      <c r="DO948">
        <f>IF($DM948=0,"",IF($L$7=0,"",IFERROR(IF(ISNUMBER(INDEX(PASTE_ALL,$DF948,$L$7)),INDEX(PASTE_ALL,$DF948,$L$7),TRIM(SUBSTITUTE(SUBSTITUTE(SUBSTITUTE(SUBSTITUTE(INDEX(PASTE_ALL,$DF948,$L$7)," "," "),CHAR(9)," "),CHAR(10)," "),CHAR(13)," "))),"")))</f>
        <v/>
      </c>
      <c r="DP948">
        <f>IF($DM948=0,"",IF($L$8=0,"",IFERROR(IF(ISNUMBER(INDEX(PASTE_ALL,$DF948,$L$8)),INDEX(PASTE_ALL,$DF948,$L$8),TRIM(SUBSTITUTE(SUBSTITUTE(SUBSTITUTE(SUBSTITUTE(INDEX(PASTE_ALL,$DF948,$L$8)," "," "),CHAR(9)," "),CHAR(10)," "),CHAR(13)," "))),"")))</f>
        <v/>
      </c>
      <c r="DQ948">
        <f>IF($DM948=0,"",IF($L$9=0,"",IFERROR(IF(ISNUMBER(INDEX(PASTE_ALL,$DF948,$L$9)),INDEX(PASTE_ALL,$DF948,$L$9),TRIM(SUBSTITUTE(SUBSTITUTE(SUBSTITUTE(SUBSTITUTE(INDEX(PASTE_ALL,$DF948,$L$9)," "," "),CHAR(9)," "),CHAR(10)," "),CHAR(13)," "))),"")))</f>
        <v/>
      </c>
      <c r="DR948">
        <f>IF($DM948=0,"",IF($L$10=0,"",IFERROR(IF(ISNUMBER(INDEX(PASTE_ALL,$DF948,$L$10)),INDEX(PASTE_ALL,$DF948,$L$10),TRIM(SUBSTITUTE(SUBSTITUTE(SUBSTITUTE(SUBSTITUTE(INDEX(PASTE_ALL,$DF948,$L$10)," "," "),CHAR(9)," "),CHAR(10)," "),CHAR(13)," "))),"")))</f>
        <v/>
      </c>
      <c r="DS948">
        <f>IF($DM948=0,"",IF($L$11=0,"",IFERROR(IF(ISNUMBER(INDEX(PASTE_ALL,$DF948,$L$11)),INDEX(PASTE_ALL,$DF948,$L$11),TRIM(SUBSTITUTE(SUBSTITUTE(SUBSTITUTE(SUBSTITUTE(INDEX(PASTE_ALL,$DF948,$L$11)," "," "),CHAR(9)," "),CHAR(10)," "),CHAR(13)," "))),"")))</f>
        <v/>
      </c>
      <c r="DT948">
        <f>IF($DM948=0,"",IF($L$12=0,"",IFERROR(IF(ISNUMBER(INDEX(PASTE_ALL,$DF948,$L$12)),INDEX(PASTE_ALL,$DF948,$L$12),TRIM(SUBSTITUTE(SUBSTITUTE(SUBSTITUTE(SUBSTITUTE(INDEX(PASTE_ALL,$DF948,$L$12)," "," "),CHAR(9)," "),CHAR(10)," "),CHAR(13)," "))),"")))</f>
        <v/>
      </c>
      <c r="DU948">
        <f>IF($DM948=0,"",IF($L$13=0,"",IFERROR(IF(ISNUMBER(INDEX(PASTE_ALL,$DF948,$L$13)),INDEX(PASTE_ALL,$DF948,$L$13),TRIM(SUBSTITUTE(SUBSTITUTE(SUBSTITUTE(SUBSTITUTE(INDEX(PASTE_ALL,$DF948,$L$13)," "," "),CHAR(9)," "),CHAR(10)," "),CHAR(13)," "))),"")))</f>
        <v/>
      </c>
      <c r="DV948">
        <f>IF($DM948=0,"",IF($L$14=0,"",IFERROR(IF(ISNUMBER(INDEX(PASTE_ALL,$DF948,$L$14)),INDEX(PASTE_ALL,$DF948,$L$14),TRIM(SUBSTITUTE(SUBSTITUTE(SUBSTITUTE(SUBSTITUTE(INDEX(PASTE_ALL,$DF948,$L$14)," "," "),CHAR(9)," "),CHAR(10)," "),CHAR(13)," "))),"")))</f>
        <v/>
      </c>
      <c r="DW948">
        <f>IF($DM948=0,"",IF($L$15=0,"",IFERROR(IF(ISNUMBER(INDEX(PASTE_ALL,$DF948,$L$15)),INDEX(PASTE_ALL,$DF948,$L$15),IF(SUMPRODUCT(--ISNUMBER(FIND({"A","B","C","D","E","F","G","H","I","J","K","L","M","N","O","P","Q","R","S","T","U","V","W","X","Y","Z","0","1","2","3","4","5","6","7","8","9"},UPPER(TRIM(SUBSTITUTE(SUBSTITUTE(SUBSTITUTE(SUBSTITUTE(INDEX(PASTE_ALL,$DF948,$L$15)," "," "),CHAR(9)," "),CHAR(10)," "),CHAR(13)," "))))))&gt;0,TRIM(SUBSTITUTE(SUBSTITUTE(SUBSTITUTE(SUBSTITUTE(INDEX(PASTE_ALL,$DF948,$L$15)," "," "),CHAR(9)," "),CHAR(10)," "),CHAR(13)," ")),"")),"")))</f>
        <v/>
      </c>
      <c r="DX948">
        <f>IF($DM948=0,"",IF($L$16=0,"",IFERROR(IF(ISNUMBER(INDEX(PASTE_ALL,$DF948,$L$16)),INDEX(PASTE_ALL,$DF948,$L$16),SUBSTITUTE(SUBSTITUTE(TRIM(SUBSTITUTE(SUBSTITUTE(SUBSTITUTE(SUBSTITUTE(INDEX(PASTE_ALL,$DF948,$L$16)," "," "),CHAR(9)," "),CHAR(10)," "),CHAR(13)," ")),",",""),"%","")),"")))</f>
        <v/>
      </c>
      <c r="DY948">
        <f>IF($DM948=0,"",IFERROR(IF(ISNUMBER($DX948),$DX948,IF($DX948="","",IF(TRIM($DX948)="",0,IF(AND(AND(SUBSTITUTE(SUBSTITUTE(SUBSTITUTE(SUBSTITUTE(SUBSTITUTE(SUBSTITUTE(SUBSTITUTE(SUBSTITUTE(SUBSTITUTE(SUBSTITUTE(SUBSTITUTE(SUBSTITUTE(SUBSTITUTE(SUBSTITUTE(UPPER(TRIM($DX948)),"0",""),"1",""),"2",""),"3",""),"4",""),"5",""),"6",""),"7",""),"8",""),"9",""),".",""),"+",""),"-",""),"E","")="",LEN(SUBSTITUTE(SUBSTITUTE(MID(UPPER(TRIM($DX948)),1+OR(LEFT(UPPER(TRIM($DX948)),1)="+",LEFT(UPPER(TRIM($DX948)),1)="-"),999),"E+","E"),"E-","E"))=LEN(SUBSTITUTE(SUBSTITUTE(SUBSTITUTE(SUBSTITUTE(MID(UPPER(TRIM($DX948)),1+OR(LEFT(UPPER(TRIM($DX948)),1)="+",LEFT(UPPER(TRIM($DX948)),1)="-"),999),"E+","E"),"E-","E"),"+",""),"-","")),LEN(UPPER(TRIM($DX948)))-LEN(SUBSTITUTE(UPPER(TRIM($DX948)),"E",""))&lt;2,LEN(UPPER(TRIM($DX948)))-LEN(SUBSTITUTE(UPPER(TRIM($DX948)),".",""))&lt;2,IFERROR(FIND(".",UPPER(TRIM($DX948))),0)&lt;IFERROR(FIND("E",UPPER(TRIM($DX948))),999)),ISNUMBER(VALUE(TRIM($DX948)))),VALUE(TRIM($DX948)),"")))),""))</f>
        <v/>
      </c>
      <c r="DZ948">
        <f>IF($DM948=0,"",IF($L$17=0,"",IFERROR(IF(ISNUMBER(INDEX(PASTE_ALL,$DF948,$L$17)),INDEX(PASTE_ALL,$DF948,$L$17),SUBSTITUTE(SUBSTITUTE(TRIM(SUBSTITUTE(SUBSTITUTE(SUBSTITUTE(SUBSTITUTE(INDEX(PASTE_ALL,$DF948,$L$17)," "," "),CHAR(9)," "),CHAR(10)," "),CHAR(13)," ")),",",""),"%","")),"")))</f>
        <v/>
      </c>
      <c r="EA948">
        <f>IF($DM948=0,"",IFERROR(IF(ISNUMBER($DZ948),$DZ948,IF($DZ948="","",IF(TRIM($DZ948)="",0,IF(AND(AND(SUBSTITUTE(SUBSTITUTE(SUBSTITUTE(SUBSTITUTE(SUBSTITUTE(SUBSTITUTE(SUBSTITUTE(SUBSTITUTE(SUBSTITUTE(SUBSTITUTE(SUBSTITUTE(SUBSTITUTE(SUBSTITUTE(SUBSTITUTE(UPPER(TRIM($DZ948)),"0",""),"1",""),"2",""),"3",""),"4",""),"5",""),"6",""),"7",""),"8",""),"9",""),".",""),"+",""),"-",""),"E","")="",LEN(SUBSTITUTE(SUBSTITUTE(MID(UPPER(TRIM($DZ948)),1+OR(LEFT(UPPER(TRIM($DZ948)),1)="+",LEFT(UPPER(TRIM($DZ948)),1)="-"),999),"E+","E"),"E-","E"))=LEN(SUBSTITUTE(SUBSTITUTE(SUBSTITUTE(SUBSTITUTE(MID(UPPER(TRIM($DZ948)),1+OR(LEFT(UPPER(TRIM($DZ948)),1)="+",LEFT(UPPER(TRIM($DZ948)),1)="-"),999),"E+","E"),"E-","E"),"+",""),"-","")),LEN(UPPER(TRIM($DZ948)))-LEN(SUBSTITUTE(UPPER(TRIM($DZ948)),"E",""))&lt;2,LEN(UPPER(TRIM($DZ948)))-LEN(SUBSTITUTE(UPPER(TRIM($DZ948)),".",""))&lt;2,IFERROR(FIND(".",UPPER(TRIM($DZ948))),0)&lt;IFERROR(FIND("E",UPPER(TRIM($DZ948))),999)),ISNUMBER(VALUE(TRIM($DZ948)))),VALUE(TRIM($DZ948)),"")))),""))</f>
        <v/>
      </c>
      <c r="EB948">
        <f>IF($DM948=0,"",IF($L$18=0,"",IFERROR(IF(UPPER(TRIM(SUBSTITUTE(SUBSTITUTE(SUBSTITUTE(SUBSTITUTE(INDEX(PASTE_ALL,$DF948,$L$18)," "," "),CHAR(9)," "),CHAR(10)," "),CHAR(13)," ")))="READY","Ready",IF(UPPER(TRIM(SUBSTITUTE(SUBSTITUTE(SUBSTITUTE(SUBSTITUTE(INDEX(PASTE_ALL,$DF948,$L$18)," "," "),CHAR(9)," "),CHAR(10)," "),CHAR(13)," ")))="PM","PM",IF(OR(UPPER(TRIM(SUBSTITUTE(SUBSTITUTE(SUBSTITUTE(SUBSTITUTE(INDEX(PASTE_ALL,$DF948,$L$18)," "," "),CHAR(9)," "),CHAR(10)," "),CHAR(13)," ")))="OT",UPPER(TRIM(SUBSTITUTE(SUBSTITUTE(SUBSTITUTE(SUBSTITUTE(INDEX(PASTE_ALL,$DF948,$L$18)," "," "),CHAR(9)," "),CHAR(10)," "),CHAR(13)," ")))="OVERTIME",UPPER(TRIM(SUBSTITUTE(SUBSTITUTE(SUBSTITUTE(SUBSTITUTE(INDEX(PASTE_ALL,$DF948,$L$18)," "," "),CHAR(9)," "),CHAR(10)," "),CHAR(13)," ")))="TRIAL"),"OT",TRIM(SUBSTITUTE(SUBSTITUTE(SUBSTITUTE(SUBSTITUTE(INDEX(PASTE_ALL,$DF948,$L$18)," "," "),CHAR(9)," "),CHAR(10)," "),CHAR(13)," "))))),"")))</f>
        <v/>
      </c>
      <c r="EC948">
        <f>IF($DM948=0,"",IF($L$19=0,"",IFERROR(IF(ISNUMBER(INDEX(PASTE_ALL,$DF948,$L$19)),INDEX(PASTE_ALL,$DF948,$L$19),TRIM(SUBSTITUTE(SUBSTITUTE(SUBSTITUTE(SUBSTITUTE(INDEX(PASTE_ALL,$DF948,$L$19)," "," "),CHAR(9)," "),CHAR(10)," "),CHAR(13)," "))),"")))</f>
        <v/>
      </c>
      <c r="ED948">
        <f>IF($DM948=0,"",MATCH(1,INDEX(EXACT($DH$5:DH948,$DH948)*$DM$5:DM948,0),0))</f>
        <v/>
      </c>
      <c r="EE948">
        <f>IF($DM948=0,0,IF($ED948=$DE948,1,0))</f>
        <v/>
      </c>
      <c r="EF948">
        <f>EF947+$EE948</f>
        <v/>
      </c>
      <c r="EG948">
        <f>IF($DM948=0,"",INDEX($EF$5:$EF$1003,$ED948))</f>
        <v/>
      </c>
      <c r="EH948">
        <f>IF($DM948=0,"",IF($DO948&lt;&gt;"","",IFERROR(LOOKUP(2,1/(($EG$4:EG947=$EG948)*($DO$4:DO947&lt;&gt;"")),$DO$4:DO947),"")))</f>
        <v/>
      </c>
      <c r="EI948">
        <f>IF($DM948=0,"",IF($DO948&lt;&gt;"",$DO948,$EH948))</f>
        <v/>
      </c>
      <c r="EJ948">
        <f>IF($DM948=0,"",IF($EI948="",0,IF(OR(ISNUMBER($EI948),AND(AND(SUBSTITUTE(SUBSTITUTE(SUBSTITUTE(SUBSTITUTE(SUBSTITUTE(SUBSTITUTE(SUBSTITUTE(SUBSTITUTE(SUBSTITUTE(SUBSTITUTE(SUBSTITUTE(SUBSTITUTE(SUBSTITUTE(SUBSTITUTE(UPPER($EI948),"0",""),"1",""),"2",""),"3",""),"4",""),"5",""),"6",""),"7",""),"8",""),"9",""),".",""),"+",""),"-",""),"E","")="",LEN(SUBSTITUTE(SUBSTITUTE(MID(UPPER($EI948),1+OR(LEFT(UPPER($EI948),1)="+",LEFT(UPPER($EI948),1)="-"),999),"E+","E"),"E-","E"))=LEN(SUBSTITUTE(SUBSTITUTE(SUBSTITUTE(SUBSTITUTE(MID(UPPER($EI948),1+OR(LEFT(UPPER($EI948),1)="+",LEFT(UPPER($EI948),1)="-"),999),"E+","E"),"E-","E"),"+",""),"-","")),LEN(UPPER($EI948))-LEN(SUBSTITUTE(UPPER($EI948),"E",""))&lt;2,LEN(UPPER($EI948))-LEN(SUBSTITUTE(UPPER($EI948),".",""))&lt;2,IFERROR(FIND(".",UPPER($EI948)),0)&lt;IFERROR(FIND("E",UPPER($EI948)),999)),ISNUMBER(VALUE($EI948)))),1,2)))</f>
        <v/>
      </c>
      <c r="EK948">
        <f>IF($DM948=0,"",IF($EJ948=1,IF(ISNUMBER($EI948),$EI948,VALUE($EI948)),IF($EJ948=2,$DE948,0)))</f>
        <v/>
      </c>
      <c r="EL948">
        <f>IF($DM948=0,"",COUNTIF($EG$5:$EG$1003,"&lt;"&amp;$EG948)+SUMPRODUCT(($EG$5:$EG$1003=$EG948)*(($EJ$5:$EJ$1003&lt;$EJ948)+($EJ$5:$EJ$1003=$EJ948)*(($EK$5:$EK$1003&lt;$EK948)+($EK$5:$EK$1003=$EK948)*($DE$5:$DE$1003&lt;$DE948))))+1)</f>
        <v/>
      </c>
      <c r="EM948">
        <f>IF($DM948=0,"",$EL948+$EG948-1)</f>
        <v/>
      </c>
      <c r="EN948">
        <f>IF($DM948=0,0,IFERROR(MATCH(1,INDEX(--(TRIM(SUBSTITUTE(SUBSTITUTE(SUBSTITUTE(SUBSTITUTE(LINES_NAME&amp;""," "," "),CHAR(9)," "),CHAR(10)," "),CHAR(13)," "))=$DH948),0),0),0))</f>
        <v/>
      </c>
      <c r="EO948">
        <f>IF($EN948=0,0,IF(OR(UPPER(TRIM(INDEX(LINES_SCHEDULED,$EN948)&amp;""))="YES",UPPER(TRIM(INDEX(LINES_SCHEDULED,$EN948)&amp;""))="Y",UPPER(TRIM(INDEX(LINES_SCHEDULED,$EN948)&amp;""))="X"),1,0))</f>
        <v/>
      </c>
      <c r="EP948">
        <f>IF($DM948=0,"",IF(COUNTIFS($EG$5:$EG$1003,$EG948,$EB$5:$EB$1003,"Ready")&gt;0,"READY",IF(COUNTIFS($EG$5:$EG$1003,$EG948,$EB$5:$EB$1003,"PM")&gt;0,"PM",IF(COUNTIFS($EG$5:$EG$1003,$EG948,$EB$5:$EB$1003,"OT")&gt;0,"OT",""))))</f>
        <v/>
      </c>
      <c r="EQ948">
        <f>IF($EN948=0,"",UPPER(TRIM(INDEX(LINES_STATUS,$EN948)&amp;"")))</f>
        <v/>
      </c>
      <c r="ER948">
        <f>IF($DM948=0,"",IF(OR($EQ948="READY",$EQ948="PM",$EQ948="OT"),$EQ948,$EP948))</f>
        <v/>
      </c>
      <c r="ES948">
        <f>IF($DM948=0,"",IF(AND($DV948&lt;&gt;"",UPPER($DV948)&lt;&gt;"N"),"allergen",IF(ISNUMBER(SEARCH("oil",$DQ948)),"oil",IF(OR(EXACT($DS948,"A662"),EXACT($DS948,"A624")),"bulk",""))))</f>
        <v/>
      </c>
      <c r="ET948">
        <f>IF($DM948=0,"",IF(OR($EA948="",$EA948=0),"",$EA948/100))</f>
        <v/>
      </c>
      <c r="EU948">
        <f>IF(OR($ET948="",$DY948=""),"",INT($DY948*(1-$ET948)+0.5))</f>
        <v/>
      </c>
    </row>
    <row r="949">
      <c r="DA949" t="n">
        <v>945</v>
      </c>
      <c r="DB949">
        <f>IF($B$37=0,"",IFERROR(TRIM(SUBSTITUTE(SUBSTITUTE(SUBSTITUTE(SUBSTITUTE(INDEX(PASTE_ALL,945,$B$37)," "," "),CHAR(9)," "),CHAR(10)," "),CHAR(13)," ")),""))</f>
        <v/>
      </c>
      <c r="DC949">
        <f>IF(AND(945&gt;HEADER_ROW,UPPER(DB949)="LEGEND"),1,0)</f>
        <v/>
      </c>
      <c r="DE949" t="n">
        <v>945</v>
      </c>
      <c r="DF949">
        <f>HEADER_ROW+$DE949</f>
        <v/>
      </c>
      <c r="DG949">
        <f>IF(AND($DF949&lt;=1000,$DF949&lt;$B$8),1,0)</f>
        <v/>
      </c>
      <c r="DH949">
        <f>IF($DG949=1,IFERROR(INDEX($DB$5:$DB$1004,$DF949),""),"")</f>
        <v/>
      </c>
      <c r="DI949">
        <f>IF(AND($DG949=1,$DH949&lt;&gt;""),IFERROR(SUBSTITUTE(SUBSTITUTE(TRIM(SUBSTITUTE(SUBSTITUTE(SUBSTITUTE(SUBSTITUTE(IFERROR(INDEX(PASTE_ALL,$DF949,1)&amp;"","")&amp;"␟"&amp;IFERROR(INDEX(PASTE_ALL,$DF949,2)&amp;"","")&amp;"␟"&amp;IFERROR(INDEX(PASTE_ALL,$DF949,3)&amp;"","")&amp;"␟"&amp;IFERROR(INDEX(PASTE_ALL,$DF949,4)&amp;"","")&amp;"␟"&amp;IFERROR(INDEX(PASTE_ALL,$DF949,5)&amp;"","")&amp;"␟"&amp;IFERROR(INDEX(PASTE_ALL,$DF949,6)&amp;"","")&amp;"␟"&amp;IFERROR(INDEX(PASTE_ALL,$DF949,7)&amp;"","")&amp;"␟"&amp;IFERROR(INDEX(PASTE_ALL,$DF949,8)&amp;"","")&amp;"␟"&amp;IFERROR(INDEX(PASTE_ALL,$DF949,9)&amp;"","")&amp;"␟"&amp;IFERROR(INDEX(PASTE_ALL,$DF949,10)&amp;"","")&amp;"␟"&amp;IFERROR(INDEX(PASTE_ALL,$DF949,11)&amp;"","")&amp;"␟"&amp;IFERROR(INDEX(PASTE_ALL,$DF949,12)&amp;"","")&amp;"␟"&amp;IFERROR(INDEX(PASTE_ALL,$DF949,13)&amp;"","")&amp;"␟"&amp;IFERROR(INDEX(PASTE_ALL,$DF949,14)&amp;"","")&amp;"␟"&amp;IFERROR(INDEX(PASTE_ALL,$DF949,15)&amp;"","")&amp;"␟"&amp;IFERROR(INDEX(PASTE_ALL,$DF949,16)&amp;"","")&amp;"␟"&amp;IFERROR(INDEX(PASTE_ALL,$DF949,17)&amp;"","")&amp;"␟"&amp;IFERROR(INDEX(PASTE_ALL,$DF949,18)&amp;"","")&amp;"␟"&amp;IFERROR(INDEX(PASTE_ALL,$DF949,19)&amp;"","")&amp;"␟"&amp;IFERROR(INDEX(PASTE_ALL,$DF949,20)&amp;"","")&amp;"␟"&amp;IFERROR(INDEX(PASTE_ALL,$DF949,21)&amp;"","")&amp;"␟"&amp;IFERROR(INDEX(PASTE_ALL,$DF949,22)&amp;"","")&amp;"␟"&amp;IFERROR(INDEX(PASTE_ALL,$DF949,23)&amp;"","")&amp;"␟"&amp;IFERROR(INDEX(PASTE_ALL,$DF949,24)&amp;"","")&amp;"␟"&amp;IFERROR(INDEX(PASTE_ALL,$DF949,25)&amp;"","")&amp;"␟"&amp;IFERROR(INDEX(PASTE_ALL,$DF949,26)&amp;"","")&amp;"␟"&amp;IFERROR(INDEX(PASTE_ALL,$DF949,27)&amp;"","")&amp;"␟"&amp;IFERROR(INDEX(PASTE_ALL,$DF949,28)&amp;"","")&amp;"␟"&amp;IFERROR(INDEX(PASTE_ALL,$DF949,29)&amp;"","")&amp;"␟"&amp;IFERROR(INDEX(PASTE_ALL,$DF949,30)&amp;"","")&amp;"␟"&amp;IFERROR(INDEX(PASTE_ALL,$DF949,31)&amp;"","")&amp;"␟"&amp;IFERROR(INDEX(PASTE_ALL,$DF949,32)&amp;"","")&amp;"␟"&amp;IFERROR(INDEX(PASTE_ALL,$DF949,33)&amp;"","")&amp;"␟"&amp;IFERROR(INDEX(PASTE_ALL,$DF949,34)&amp;"","")&amp;"␟"&amp;IFERROR(INDEX(PASTE_ALL,$DF949,35)&amp;"","")&amp;"␟"&amp;IFERROR(INDEX(PASTE_ALL,$DF949,36)&amp;"","")&amp;"␟"&amp;IFERROR(INDEX(PASTE_ALL,$DF949,37)&amp;"","")&amp;"␟"&amp;IFERROR(INDEX(PASTE_ALL,$DF949,38)&amp;"","")&amp;"␟"&amp;IFERROR(INDEX(PASTE_ALL,$DF949,39)&amp;"","")&amp;"␟"&amp;IFERROR(INDEX(PASTE_ALL,$DF949,40)&amp;"","")&amp;"␟"&amp;IFERROR(INDEX(PASTE_ALL,$DF949,41)&amp;"","")&amp;"␟"&amp;IFERROR(INDEX(PASTE_ALL,$DF949,42)&amp;"","")&amp;"␟"&amp;IFERROR(INDEX(PASTE_ALL,$DF949,43)&amp;"","")&amp;"␟"&amp;IFERROR(INDEX(PASTE_ALL,$DF949,44)&amp;"","")&amp;"␟"&amp;IFERROR(INDEX(PASTE_ALL,$DF949,45)&amp;"","")&amp;"␟"&amp;IFERROR(INDEX(PASTE_ALL,$DF949,46)&amp;"","")&amp;"␟"&amp;IFERROR(INDEX(PASTE_ALL,$DF949,47)&amp;"","")&amp;"␟"&amp;IFERROR(INDEX(PASTE_ALL,$DF949,48)&amp;"","")&amp;"␟"&amp;IFERROR(INDEX(PASTE_ALL,$DF949,49)&amp;"","")&amp;"␟"&amp;IFERROR(INDEX(PASTE_ALL,$DF949,50)&amp;"","")&amp;"␟"&amp;IFERROR(INDEX(PASTE_ALL,$DF949,51)&amp;"","")&amp;"␟"&amp;IFERROR(INDEX(PASTE_ALL,$DF949,52)&amp;"","")&amp;"␟"&amp;IFERROR(INDEX(PASTE_ALL,$DF949,53)&amp;"","")&amp;"␟"&amp;IFERROR(INDEX(PASTE_ALL,$DF949,54)&amp;"","")&amp;"␟"&amp;IFERROR(INDEX(PASTE_ALL,$DF949,55)&amp;"","")&amp;"␟"&amp;IFERROR(INDEX(PASTE_ALL,$DF949,56)&amp;"","")&amp;"␟"&amp;IFERROR(INDEX(PASTE_ALL,$DF949,57)&amp;"","")&amp;"␟"&amp;IFERROR(INDEX(PASTE_ALL,$DF949,58)&amp;"","")&amp;"␟"&amp;IFERROR(INDEX(PASTE_ALL,$DF949,59)&amp;"","")&amp;"␟"&amp;IFERROR(INDEX(PASTE_ALL,$DF949,60)&amp;"","")," "," "),CHAR(9)," "),CHAR(10)," "),CHAR(13)," "))," ␟","␟"),"␟ ","␟"),"#"&amp;$DE949),"")</f>
        <v/>
      </c>
      <c r="DJ949">
        <f>IF($DI949="",0,IF(SUMPRODUCT(--EXACT($DI$4:DI948,$DI949))&gt;0,1,0))</f>
        <v/>
      </c>
      <c r="DK949">
        <f>IF(AND($DI949&lt;&gt;"",$DJ949=0),1,0)</f>
        <v/>
      </c>
      <c r="DL949">
        <f>DL948+$DK949</f>
        <v/>
      </c>
      <c r="DM949">
        <f>IF(AND($DK949=1,$DL949&lt;=600),1,0)</f>
        <v/>
      </c>
      <c r="DN949">
        <f>IF($DM949=0,"",IF($L$6=0,"",IFERROR(IF(ISNUMBER(INDEX(PASTE_ALL,$DF949,$L$6)),INDEX(PASTE_ALL,$DF949,$L$6),TRIM(SUBSTITUTE(SUBSTITUTE(SUBSTITUTE(SUBSTITUTE(INDEX(PASTE_ALL,$DF949,$L$6)," "," "),CHAR(9)," "),CHAR(10)," "),CHAR(13)," "))),"")))</f>
        <v/>
      </c>
      <c r="DO949">
        <f>IF($DM949=0,"",IF($L$7=0,"",IFERROR(IF(ISNUMBER(INDEX(PASTE_ALL,$DF949,$L$7)),INDEX(PASTE_ALL,$DF949,$L$7),TRIM(SUBSTITUTE(SUBSTITUTE(SUBSTITUTE(SUBSTITUTE(INDEX(PASTE_ALL,$DF949,$L$7)," "," "),CHAR(9)," "),CHAR(10)," "),CHAR(13)," "))),"")))</f>
        <v/>
      </c>
      <c r="DP949">
        <f>IF($DM949=0,"",IF($L$8=0,"",IFERROR(IF(ISNUMBER(INDEX(PASTE_ALL,$DF949,$L$8)),INDEX(PASTE_ALL,$DF949,$L$8),TRIM(SUBSTITUTE(SUBSTITUTE(SUBSTITUTE(SUBSTITUTE(INDEX(PASTE_ALL,$DF949,$L$8)," "," "),CHAR(9)," "),CHAR(10)," "),CHAR(13)," "))),"")))</f>
        <v/>
      </c>
      <c r="DQ949">
        <f>IF($DM949=0,"",IF($L$9=0,"",IFERROR(IF(ISNUMBER(INDEX(PASTE_ALL,$DF949,$L$9)),INDEX(PASTE_ALL,$DF949,$L$9),TRIM(SUBSTITUTE(SUBSTITUTE(SUBSTITUTE(SUBSTITUTE(INDEX(PASTE_ALL,$DF949,$L$9)," "," "),CHAR(9)," "),CHAR(10)," "),CHAR(13)," "))),"")))</f>
        <v/>
      </c>
      <c r="DR949">
        <f>IF($DM949=0,"",IF($L$10=0,"",IFERROR(IF(ISNUMBER(INDEX(PASTE_ALL,$DF949,$L$10)),INDEX(PASTE_ALL,$DF949,$L$10),TRIM(SUBSTITUTE(SUBSTITUTE(SUBSTITUTE(SUBSTITUTE(INDEX(PASTE_ALL,$DF949,$L$10)," "," "),CHAR(9)," "),CHAR(10)," "),CHAR(13)," "))),"")))</f>
        <v/>
      </c>
      <c r="DS949">
        <f>IF($DM949=0,"",IF($L$11=0,"",IFERROR(IF(ISNUMBER(INDEX(PASTE_ALL,$DF949,$L$11)),INDEX(PASTE_ALL,$DF949,$L$11),TRIM(SUBSTITUTE(SUBSTITUTE(SUBSTITUTE(SUBSTITUTE(INDEX(PASTE_ALL,$DF949,$L$11)," "," "),CHAR(9)," "),CHAR(10)," "),CHAR(13)," "))),"")))</f>
        <v/>
      </c>
      <c r="DT949">
        <f>IF($DM949=0,"",IF($L$12=0,"",IFERROR(IF(ISNUMBER(INDEX(PASTE_ALL,$DF949,$L$12)),INDEX(PASTE_ALL,$DF949,$L$12),TRIM(SUBSTITUTE(SUBSTITUTE(SUBSTITUTE(SUBSTITUTE(INDEX(PASTE_ALL,$DF949,$L$12)," "," "),CHAR(9)," "),CHAR(10)," "),CHAR(13)," "))),"")))</f>
        <v/>
      </c>
      <c r="DU949">
        <f>IF($DM949=0,"",IF($L$13=0,"",IFERROR(IF(ISNUMBER(INDEX(PASTE_ALL,$DF949,$L$13)),INDEX(PASTE_ALL,$DF949,$L$13),TRIM(SUBSTITUTE(SUBSTITUTE(SUBSTITUTE(SUBSTITUTE(INDEX(PASTE_ALL,$DF949,$L$13)," "," "),CHAR(9)," "),CHAR(10)," "),CHAR(13)," "))),"")))</f>
        <v/>
      </c>
      <c r="DV949">
        <f>IF($DM949=0,"",IF($L$14=0,"",IFERROR(IF(ISNUMBER(INDEX(PASTE_ALL,$DF949,$L$14)),INDEX(PASTE_ALL,$DF949,$L$14),TRIM(SUBSTITUTE(SUBSTITUTE(SUBSTITUTE(SUBSTITUTE(INDEX(PASTE_ALL,$DF949,$L$14)," "," "),CHAR(9)," "),CHAR(10)," "),CHAR(13)," "))),"")))</f>
        <v/>
      </c>
      <c r="DW949">
        <f>IF($DM949=0,"",IF($L$15=0,"",IFERROR(IF(ISNUMBER(INDEX(PASTE_ALL,$DF949,$L$15)),INDEX(PASTE_ALL,$DF949,$L$15),IF(SUMPRODUCT(--ISNUMBER(FIND({"A","B","C","D","E","F","G","H","I","J","K","L","M","N","O","P","Q","R","S","T","U","V","W","X","Y","Z","0","1","2","3","4","5","6","7","8","9"},UPPER(TRIM(SUBSTITUTE(SUBSTITUTE(SUBSTITUTE(SUBSTITUTE(INDEX(PASTE_ALL,$DF949,$L$15)," "," "),CHAR(9)," "),CHAR(10)," "),CHAR(13)," "))))))&gt;0,TRIM(SUBSTITUTE(SUBSTITUTE(SUBSTITUTE(SUBSTITUTE(INDEX(PASTE_ALL,$DF949,$L$15)," "," "),CHAR(9)," "),CHAR(10)," "),CHAR(13)," ")),"")),"")))</f>
        <v/>
      </c>
      <c r="DX949">
        <f>IF($DM949=0,"",IF($L$16=0,"",IFERROR(IF(ISNUMBER(INDEX(PASTE_ALL,$DF949,$L$16)),INDEX(PASTE_ALL,$DF949,$L$16),SUBSTITUTE(SUBSTITUTE(TRIM(SUBSTITUTE(SUBSTITUTE(SUBSTITUTE(SUBSTITUTE(INDEX(PASTE_ALL,$DF949,$L$16)," "," "),CHAR(9)," "),CHAR(10)," "),CHAR(13)," ")),",",""),"%","")),"")))</f>
        <v/>
      </c>
      <c r="DY949">
        <f>IF($DM949=0,"",IFERROR(IF(ISNUMBER($DX949),$DX949,IF($DX949="","",IF(TRIM($DX949)="",0,IF(AND(AND(SUBSTITUTE(SUBSTITUTE(SUBSTITUTE(SUBSTITUTE(SUBSTITUTE(SUBSTITUTE(SUBSTITUTE(SUBSTITUTE(SUBSTITUTE(SUBSTITUTE(SUBSTITUTE(SUBSTITUTE(SUBSTITUTE(SUBSTITUTE(UPPER(TRIM($DX949)),"0",""),"1",""),"2",""),"3",""),"4",""),"5",""),"6",""),"7",""),"8",""),"9",""),".",""),"+",""),"-",""),"E","")="",LEN(SUBSTITUTE(SUBSTITUTE(MID(UPPER(TRIM($DX949)),1+OR(LEFT(UPPER(TRIM($DX949)),1)="+",LEFT(UPPER(TRIM($DX949)),1)="-"),999),"E+","E"),"E-","E"))=LEN(SUBSTITUTE(SUBSTITUTE(SUBSTITUTE(SUBSTITUTE(MID(UPPER(TRIM($DX949)),1+OR(LEFT(UPPER(TRIM($DX949)),1)="+",LEFT(UPPER(TRIM($DX949)),1)="-"),999),"E+","E"),"E-","E"),"+",""),"-","")),LEN(UPPER(TRIM($DX949)))-LEN(SUBSTITUTE(UPPER(TRIM($DX949)),"E",""))&lt;2,LEN(UPPER(TRIM($DX949)))-LEN(SUBSTITUTE(UPPER(TRIM($DX949)),".",""))&lt;2,IFERROR(FIND(".",UPPER(TRIM($DX949))),0)&lt;IFERROR(FIND("E",UPPER(TRIM($DX949))),999)),ISNUMBER(VALUE(TRIM($DX949)))),VALUE(TRIM($DX949)),"")))),""))</f>
        <v/>
      </c>
      <c r="DZ949">
        <f>IF($DM949=0,"",IF($L$17=0,"",IFERROR(IF(ISNUMBER(INDEX(PASTE_ALL,$DF949,$L$17)),INDEX(PASTE_ALL,$DF949,$L$17),SUBSTITUTE(SUBSTITUTE(TRIM(SUBSTITUTE(SUBSTITUTE(SUBSTITUTE(SUBSTITUTE(INDEX(PASTE_ALL,$DF949,$L$17)," "," "),CHAR(9)," "),CHAR(10)," "),CHAR(13)," ")),",",""),"%","")),"")))</f>
        <v/>
      </c>
      <c r="EA949">
        <f>IF($DM949=0,"",IFERROR(IF(ISNUMBER($DZ949),$DZ949,IF($DZ949="","",IF(TRIM($DZ949)="",0,IF(AND(AND(SUBSTITUTE(SUBSTITUTE(SUBSTITUTE(SUBSTITUTE(SUBSTITUTE(SUBSTITUTE(SUBSTITUTE(SUBSTITUTE(SUBSTITUTE(SUBSTITUTE(SUBSTITUTE(SUBSTITUTE(SUBSTITUTE(SUBSTITUTE(UPPER(TRIM($DZ949)),"0",""),"1",""),"2",""),"3",""),"4",""),"5",""),"6",""),"7",""),"8",""),"9",""),".",""),"+",""),"-",""),"E","")="",LEN(SUBSTITUTE(SUBSTITUTE(MID(UPPER(TRIM($DZ949)),1+OR(LEFT(UPPER(TRIM($DZ949)),1)="+",LEFT(UPPER(TRIM($DZ949)),1)="-"),999),"E+","E"),"E-","E"))=LEN(SUBSTITUTE(SUBSTITUTE(SUBSTITUTE(SUBSTITUTE(MID(UPPER(TRIM($DZ949)),1+OR(LEFT(UPPER(TRIM($DZ949)),1)="+",LEFT(UPPER(TRIM($DZ949)),1)="-"),999),"E+","E"),"E-","E"),"+",""),"-","")),LEN(UPPER(TRIM($DZ949)))-LEN(SUBSTITUTE(UPPER(TRIM($DZ949)),"E",""))&lt;2,LEN(UPPER(TRIM($DZ949)))-LEN(SUBSTITUTE(UPPER(TRIM($DZ949)),".",""))&lt;2,IFERROR(FIND(".",UPPER(TRIM($DZ949))),0)&lt;IFERROR(FIND("E",UPPER(TRIM($DZ949))),999)),ISNUMBER(VALUE(TRIM($DZ949)))),VALUE(TRIM($DZ949)),"")))),""))</f>
        <v/>
      </c>
      <c r="EB949">
        <f>IF($DM949=0,"",IF($L$18=0,"",IFERROR(IF(UPPER(TRIM(SUBSTITUTE(SUBSTITUTE(SUBSTITUTE(SUBSTITUTE(INDEX(PASTE_ALL,$DF949,$L$18)," "," "),CHAR(9)," "),CHAR(10)," "),CHAR(13)," ")))="READY","Ready",IF(UPPER(TRIM(SUBSTITUTE(SUBSTITUTE(SUBSTITUTE(SUBSTITUTE(INDEX(PASTE_ALL,$DF949,$L$18)," "," "),CHAR(9)," "),CHAR(10)," "),CHAR(13)," ")))="PM","PM",IF(OR(UPPER(TRIM(SUBSTITUTE(SUBSTITUTE(SUBSTITUTE(SUBSTITUTE(INDEX(PASTE_ALL,$DF949,$L$18)," "," "),CHAR(9)," "),CHAR(10)," "),CHAR(13)," ")))="OT",UPPER(TRIM(SUBSTITUTE(SUBSTITUTE(SUBSTITUTE(SUBSTITUTE(INDEX(PASTE_ALL,$DF949,$L$18)," "," "),CHAR(9)," "),CHAR(10)," "),CHAR(13)," ")))="OVERTIME",UPPER(TRIM(SUBSTITUTE(SUBSTITUTE(SUBSTITUTE(SUBSTITUTE(INDEX(PASTE_ALL,$DF949,$L$18)," "," "),CHAR(9)," "),CHAR(10)," "),CHAR(13)," ")))="TRIAL"),"OT",TRIM(SUBSTITUTE(SUBSTITUTE(SUBSTITUTE(SUBSTITUTE(INDEX(PASTE_ALL,$DF949,$L$18)," "," "),CHAR(9)," "),CHAR(10)," "),CHAR(13)," "))))),"")))</f>
        <v/>
      </c>
      <c r="EC949">
        <f>IF($DM949=0,"",IF($L$19=0,"",IFERROR(IF(ISNUMBER(INDEX(PASTE_ALL,$DF949,$L$19)),INDEX(PASTE_ALL,$DF949,$L$19),TRIM(SUBSTITUTE(SUBSTITUTE(SUBSTITUTE(SUBSTITUTE(INDEX(PASTE_ALL,$DF949,$L$19)," "," "),CHAR(9)," "),CHAR(10)," "),CHAR(13)," "))),"")))</f>
        <v/>
      </c>
      <c r="ED949">
        <f>IF($DM949=0,"",MATCH(1,INDEX(EXACT($DH$5:DH949,$DH949)*$DM$5:DM949,0),0))</f>
        <v/>
      </c>
      <c r="EE949">
        <f>IF($DM949=0,0,IF($ED949=$DE949,1,0))</f>
        <v/>
      </c>
      <c r="EF949">
        <f>EF948+$EE949</f>
        <v/>
      </c>
      <c r="EG949">
        <f>IF($DM949=0,"",INDEX($EF$5:$EF$1003,$ED949))</f>
        <v/>
      </c>
      <c r="EH949">
        <f>IF($DM949=0,"",IF($DO949&lt;&gt;"","",IFERROR(LOOKUP(2,1/(($EG$4:EG948=$EG949)*($DO$4:DO948&lt;&gt;"")),$DO$4:DO948),"")))</f>
        <v/>
      </c>
      <c r="EI949">
        <f>IF($DM949=0,"",IF($DO949&lt;&gt;"",$DO949,$EH949))</f>
        <v/>
      </c>
      <c r="EJ949">
        <f>IF($DM949=0,"",IF($EI949="",0,IF(OR(ISNUMBER($EI949),AND(AND(SUBSTITUTE(SUBSTITUTE(SUBSTITUTE(SUBSTITUTE(SUBSTITUTE(SUBSTITUTE(SUBSTITUTE(SUBSTITUTE(SUBSTITUTE(SUBSTITUTE(SUBSTITUTE(SUBSTITUTE(SUBSTITUTE(SUBSTITUTE(UPPER($EI949),"0",""),"1",""),"2",""),"3",""),"4",""),"5",""),"6",""),"7",""),"8",""),"9",""),".",""),"+",""),"-",""),"E","")="",LEN(SUBSTITUTE(SUBSTITUTE(MID(UPPER($EI949),1+OR(LEFT(UPPER($EI949),1)="+",LEFT(UPPER($EI949),1)="-"),999),"E+","E"),"E-","E"))=LEN(SUBSTITUTE(SUBSTITUTE(SUBSTITUTE(SUBSTITUTE(MID(UPPER($EI949),1+OR(LEFT(UPPER($EI949),1)="+",LEFT(UPPER($EI949),1)="-"),999),"E+","E"),"E-","E"),"+",""),"-","")),LEN(UPPER($EI949))-LEN(SUBSTITUTE(UPPER($EI949),"E",""))&lt;2,LEN(UPPER($EI949))-LEN(SUBSTITUTE(UPPER($EI949),".",""))&lt;2,IFERROR(FIND(".",UPPER($EI949)),0)&lt;IFERROR(FIND("E",UPPER($EI949)),999)),ISNUMBER(VALUE($EI949)))),1,2)))</f>
        <v/>
      </c>
      <c r="EK949">
        <f>IF($DM949=0,"",IF($EJ949=1,IF(ISNUMBER($EI949),$EI949,VALUE($EI949)),IF($EJ949=2,$DE949,0)))</f>
        <v/>
      </c>
      <c r="EL949">
        <f>IF($DM949=0,"",COUNTIF($EG$5:$EG$1003,"&lt;"&amp;$EG949)+SUMPRODUCT(($EG$5:$EG$1003=$EG949)*(($EJ$5:$EJ$1003&lt;$EJ949)+($EJ$5:$EJ$1003=$EJ949)*(($EK$5:$EK$1003&lt;$EK949)+($EK$5:$EK$1003=$EK949)*($DE$5:$DE$1003&lt;$DE949))))+1)</f>
        <v/>
      </c>
      <c r="EM949">
        <f>IF($DM949=0,"",$EL949+$EG949-1)</f>
        <v/>
      </c>
      <c r="EN949">
        <f>IF($DM949=0,0,IFERROR(MATCH(1,INDEX(--(TRIM(SUBSTITUTE(SUBSTITUTE(SUBSTITUTE(SUBSTITUTE(LINES_NAME&amp;""," "," "),CHAR(9)," "),CHAR(10)," "),CHAR(13)," "))=$DH949),0),0),0))</f>
        <v/>
      </c>
      <c r="EO949">
        <f>IF($EN949=0,0,IF(OR(UPPER(TRIM(INDEX(LINES_SCHEDULED,$EN949)&amp;""))="YES",UPPER(TRIM(INDEX(LINES_SCHEDULED,$EN949)&amp;""))="Y",UPPER(TRIM(INDEX(LINES_SCHEDULED,$EN949)&amp;""))="X"),1,0))</f>
        <v/>
      </c>
      <c r="EP949">
        <f>IF($DM949=0,"",IF(COUNTIFS($EG$5:$EG$1003,$EG949,$EB$5:$EB$1003,"Ready")&gt;0,"READY",IF(COUNTIFS($EG$5:$EG$1003,$EG949,$EB$5:$EB$1003,"PM")&gt;0,"PM",IF(COUNTIFS($EG$5:$EG$1003,$EG949,$EB$5:$EB$1003,"OT")&gt;0,"OT",""))))</f>
        <v/>
      </c>
      <c r="EQ949">
        <f>IF($EN949=0,"",UPPER(TRIM(INDEX(LINES_STATUS,$EN949)&amp;"")))</f>
        <v/>
      </c>
      <c r="ER949">
        <f>IF($DM949=0,"",IF(OR($EQ949="READY",$EQ949="PM",$EQ949="OT"),$EQ949,$EP949))</f>
        <v/>
      </c>
      <c r="ES949">
        <f>IF($DM949=0,"",IF(AND($DV949&lt;&gt;"",UPPER($DV949)&lt;&gt;"N"),"allergen",IF(ISNUMBER(SEARCH("oil",$DQ949)),"oil",IF(OR(EXACT($DS949,"A662"),EXACT($DS949,"A624")),"bulk",""))))</f>
        <v/>
      </c>
      <c r="ET949">
        <f>IF($DM949=0,"",IF(OR($EA949="",$EA949=0),"",$EA949/100))</f>
        <v/>
      </c>
      <c r="EU949">
        <f>IF(OR($ET949="",$DY949=""),"",INT($DY949*(1-$ET949)+0.5))</f>
        <v/>
      </c>
    </row>
    <row r="950">
      <c r="DA950" t="n">
        <v>946</v>
      </c>
      <c r="DB950">
        <f>IF($B$37=0,"",IFERROR(TRIM(SUBSTITUTE(SUBSTITUTE(SUBSTITUTE(SUBSTITUTE(INDEX(PASTE_ALL,946,$B$37)," "," "),CHAR(9)," "),CHAR(10)," "),CHAR(13)," ")),""))</f>
        <v/>
      </c>
      <c r="DC950">
        <f>IF(AND(946&gt;HEADER_ROW,UPPER(DB950)="LEGEND"),1,0)</f>
        <v/>
      </c>
      <c r="DE950" t="n">
        <v>946</v>
      </c>
      <c r="DF950">
        <f>HEADER_ROW+$DE950</f>
        <v/>
      </c>
      <c r="DG950">
        <f>IF(AND($DF950&lt;=1000,$DF950&lt;$B$8),1,0)</f>
        <v/>
      </c>
      <c r="DH950">
        <f>IF($DG950=1,IFERROR(INDEX($DB$5:$DB$1004,$DF950),""),"")</f>
        <v/>
      </c>
      <c r="DI950">
        <f>IF(AND($DG950=1,$DH950&lt;&gt;""),IFERROR(SUBSTITUTE(SUBSTITUTE(TRIM(SUBSTITUTE(SUBSTITUTE(SUBSTITUTE(SUBSTITUTE(IFERROR(INDEX(PASTE_ALL,$DF950,1)&amp;"","")&amp;"␟"&amp;IFERROR(INDEX(PASTE_ALL,$DF950,2)&amp;"","")&amp;"␟"&amp;IFERROR(INDEX(PASTE_ALL,$DF950,3)&amp;"","")&amp;"␟"&amp;IFERROR(INDEX(PASTE_ALL,$DF950,4)&amp;"","")&amp;"␟"&amp;IFERROR(INDEX(PASTE_ALL,$DF950,5)&amp;"","")&amp;"␟"&amp;IFERROR(INDEX(PASTE_ALL,$DF950,6)&amp;"","")&amp;"␟"&amp;IFERROR(INDEX(PASTE_ALL,$DF950,7)&amp;"","")&amp;"␟"&amp;IFERROR(INDEX(PASTE_ALL,$DF950,8)&amp;"","")&amp;"␟"&amp;IFERROR(INDEX(PASTE_ALL,$DF950,9)&amp;"","")&amp;"␟"&amp;IFERROR(INDEX(PASTE_ALL,$DF950,10)&amp;"","")&amp;"␟"&amp;IFERROR(INDEX(PASTE_ALL,$DF950,11)&amp;"","")&amp;"␟"&amp;IFERROR(INDEX(PASTE_ALL,$DF950,12)&amp;"","")&amp;"␟"&amp;IFERROR(INDEX(PASTE_ALL,$DF950,13)&amp;"","")&amp;"␟"&amp;IFERROR(INDEX(PASTE_ALL,$DF950,14)&amp;"","")&amp;"␟"&amp;IFERROR(INDEX(PASTE_ALL,$DF950,15)&amp;"","")&amp;"␟"&amp;IFERROR(INDEX(PASTE_ALL,$DF950,16)&amp;"","")&amp;"␟"&amp;IFERROR(INDEX(PASTE_ALL,$DF950,17)&amp;"","")&amp;"␟"&amp;IFERROR(INDEX(PASTE_ALL,$DF950,18)&amp;"","")&amp;"␟"&amp;IFERROR(INDEX(PASTE_ALL,$DF950,19)&amp;"","")&amp;"␟"&amp;IFERROR(INDEX(PASTE_ALL,$DF950,20)&amp;"","")&amp;"␟"&amp;IFERROR(INDEX(PASTE_ALL,$DF950,21)&amp;"","")&amp;"␟"&amp;IFERROR(INDEX(PASTE_ALL,$DF950,22)&amp;"","")&amp;"␟"&amp;IFERROR(INDEX(PASTE_ALL,$DF950,23)&amp;"","")&amp;"␟"&amp;IFERROR(INDEX(PASTE_ALL,$DF950,24)&amp;"","")&amp;"␟"&amp;IFERROR(INDEX(PASTE_ALL,$DF950,25)&amp;"","")&amp;"␟"&amp;IFERROR(INDEX(PASTE_ALL,$DF950,26)&amp;"","")&amp;"␟"&amp;IFERROR(INDEX(PASTE_ALL,$DF950,27)&amp;"","")&amp;"␟"&amp;IFERROR(INDEX(PASTE_ALL,$DF950,28)&amp;"","")&amp;"␟"&amp;IFERROR(INDEX(PASTE_ALL,$DF950,29)&amp;"","")&amp;"␟"&amp;IFERROR(INDEX(PASTE_ALL,$DF950,30)&amp;"","")&amp;"␟"&amp;IFERROR(INDEX(PASTE_ALL,$DF950,31)&amp;"","")&amp;"␟"&amp;IFERROR(INDEX(PASTE_ALL,$DF950,32)&amp;"","")&amp;"␟"&amp;IFERROR(INDEX(PASTE_ALL,$DF950,33)&amp;"","")&amp;"␟"&amp;IFERROR(INDEX(PASTE_ALL,$DF950,34)&amp;"","")&amp;"␟"&amp;IFERROR(INDEX(PASTE_ALL,$DF950,35)&amp;"","")&amp;"␟"&amp;IFERROR(INDEX(PASTE_ALL,$DF950,36)&amp;"","")&amp;"␟"&amp;IFERROR(INDEX(PASTE_ALL,$DF950,37)&amp;"","")&amp;"␟"&amp;IFERROR(INDEX(PASTE_ALL,$DF950,38)&amp;"","")&amp;"␟"&amp;IFERROR(INDEX(PASTE_ALL,$DF950,39)&amp;"","")&amp;"␟"&amp;IFERROR(INDEX(PASTE_ALL,$DF950,40)&amp;"","")&amp;"␟"&amp;IFERROR(INDEX(PASTE_ALL,$DF950,41)&amp;"","")&amp;"␟"&amp;IFERROR(INDEX(PASTE_ALL,$DF950,42)&amp;"","")&amp;"␟"&amp;IFERROR(INDEX(PASTE_ALL,$DF950,43)&amp;"","")&amp;"␟"&amp;IFERROR(INDEX(PASTE_ALL,$DF950,44)&amp;"","")&amp;"␟"&amp;IFERROR(INDEX(PASTE_ALL,$DF950,45)&amp;"","")&amp;"␟"&amp;IFERROR(INDEX(PASTE_ALL,$DF950,46)&amp;"","")&amp;"␟"&amp;IFERROR(INDEX(PASTE_ALL,$DF950,47)&amp;"","")&amp;"␟"&amp;IFERROR(INDEX(PASTE_ALL,$DF950,48)&amp;"","")&amp;"␟"&amp;IFERROR(INDEX(PASTE_ALL,$DF950,49)&amp;"","")&amp;"␟"&amp;IFERROR(INDEX(PASTE_ALL,$DF950,50)&amp;"","")&amp;"␟"&amp;IFERROR(INDEX(PASTE_ALL,$DF950,51)&amp;"","")&amp;"␟"&amp;IFERROR(INDEX(PASTE_ALL,$DF950,52)&amp;"","")&amp;"␟"&amp;IFERROR(INDEX(PASTE_ALL,$DF950,53)&amp;"","")&amp;"␟"&amp;IFERROR(INDEX(PASTE_ALL,$DF950,54)&amp;"","")&amp;"␟"&amp;IFERROR(INDEX(PASTE_ALL,$DF950,55)&amp;"","")&amp;"␟"&amp;IFERROR(INDEX(PASTE_ALL,$DF950,56)&amp;"","")&amp;"␟"&amp;IFERROR(INDEX(PASTE_ALL,$DF950,57)&amp;"","")&amp;"␟"&amp;IFERROR(INDEX(PASTE_ALL,$DF950,58)&amp;"","")&amp;"␟"&amp;IFERROR(INDEX(PASTE_ALL,$DF950,59)&amp;"","")&amp;"␟"&amp;IFERROR(INDEX(PASTE_ALL,$DF950,60)&amp;"","")," "," "),CHAR(9)," "),CHAR(10)," "),CHAR(13)," "))," ␟","␟"),"␟ ","␟"),"#"&amp;$DE950),"")</f>
        <v/>
      </c>
      <c r="DJ950">
        <f>IF($DI950="",0,IF(SUMPRODUCT(--EXACT($DI$4:DI949,$DI950))&gt;0,1,0))</f>
        <v/>
      </c>
      <c r="DK950">
        <f>IF(AND($DI950&lt;&gt;"",$DJ950=0),1,0)</f>
        <v/>
      </c>
      <c r="DL950">
        <f>DL949+$DK950</f>
        <v/>
      </c>
      <c r="DM950">
        <f>IF(AND($DK950=1,$DL950&lt;=600),1,0)</f>
        <v/>
      </c>
      <c r="DN950">
        <f>IF($DM950=0,"",IF($L$6=0,"",IFERROR(IF(ISNUMBER(INDEX(PASTE_ALL,$DF950,$L$6)),INDEX(PASTE_ALL,$DF950,$L$6),TRIM(SUBSTITUTE(SUBSTITUTE(SUBSTITUTE(SUBSTITUTE(INDEX(PASTE_ALL,$DF950,$L$6)," "," "),CHAR(9)," "),CHAR(10)," "),CHAR(13)," "))),"")))</f>
        <v/>
      </c>
      <c r="DO950">
        <f>IF($DM950=0,"",IF($L$7=0,"",IFERROR(IF(ISNUMBER(INDEX(PASTE_ALL,$DF950,$L$7)),INDEX(PASTE_ALL,$DF950,$L$7),TRIM(SUBSTITUTE(SUBSTITUTE(SUBSTITUTE(SUBSTITUTE(INDEX(PASTE_ALL,$DF950,$L$7)," "," "),CHAR(9)," "),CHAR(10)," "),CHAR(13)," "))),"")))</f>
        <v/>
      </c>
      <c r="DP950">
        <f>IF($DM950=0,"",IF($L$8=0,"",IFERROR(IF(ISNUMBER(INDEX(PASTE_ALL,$DF950,$L$8)),INDEX(PASTE_ALL,$DF950,$L$8),TRIM(SUBSTITUTE(SUBSTITUTE(SUBSTITUTE(SUBSTITUTE(INDEX(PASTE_ALL,$DF950,$L$8)," "," "),CHAR(9)," "),CHAR(10)," "),CHAR(13)," "))),"")))</f>
        <v/>
      </c>
      <c r="DQ950">
        <f>IF($DM950=0,"",IF($L$9=0,"",IFERROR(IF(ISNUMBER(INDEX(PASTE_ALL,$DF950,$L$9)),INDEX(PASTE_ALL,$DF950,$L$9),TRIM(SUBSTITUTE(SUBSTITUTE(SUBSTITUTE(SUBSTITUTE(INDEX(PASTE_ALL,$DF950,$L$9)," "," "),CHAR(9)," "),CHAR(10)," "),CHAR(13)," "))),"")))</f>
        <v/>
      </c>
      <c r="DR950">
        <f>IF($DM950=0,"",IF($L$10=0,"",IFERROR(IF(ISNUMBER(INDEX(PASTE_ALL,$DF950,$L$10)),INDEX(PASTE_ALL,$DF950,$L$10),TRIM(SUBSTITUTE(SUBSTITUTE(SUBSTITUTE(SUBSTITUTE(INDEX(PASTE_ALL,$DF950,$L$10)," "," "),CHAR(9)," "),CHAR(10)," "),CHAR(13)," "))),"")))</f>
        <v/>
      </c>
      <c r="DS950">
        <f>IF($DM950=0,"",IF($L$11=0,"",IFERROR(IF(ISNUMBER(INDEX(PASTE_ALL,$DF950,$L$11)),INDEX(PASTE_ALL,$DF950,$L$11),TRIM(SUBSTITUTE(SUBSTITUTE(SUBSTITUTE(SUBSTITUTE(INDEX(PASTE_ALL,$DF950,$L$11)," "," "),CHAR(9)," "),CHAR(10)," "),CHAR(13)," "))),"")))</f>
        <v/>
      </c>
      <c r="DT950">
        <f>IF($DM950=0,"",IF($L$12=0,"",IFERROR(IF(ISNUMBER(INDEX(PASTE_ALL,$DF950,$L$12)),INDEX(PASTE_ALL,$DF950,$L$12),TRIM(SUBSTITUTE(SUBSTITUTE(SUBSTITUTE(SUBSTITUTE(INDEX(PASTE_ALL,$DF950,$L$12)," "," "),CHAR(9)," "),CHAR(10)," "),CHAR(13)," "))),"")))</f>
        <v/>
      </c>
      <c r="DU950">
        <f>IF($DM950=0,"",IF($L$13=0,"",IFERROR(IF(ISNUMBER(INDEX(PASTE_ALL,$DF950,$L$13)),INDEX(PASTE_ALL,$DF950,$L$13),TRIM(SUBSTITUTE(SUBSTITUTE(SUBSTITUTE(SUBSTITUTE(INDEX(PASTE_ALL,$DF950,$L$13)," "," "),CHAR(9)," "),CHAR(10)," "),CHAR(13)," "))),"")))</f>
        <v/>
      </c>
      <c r="DV950">
        <f>IF($DM950=0,"",IF($L$14=0,"",IFERROR(IF(ISNUMBER(INDEX(PASTE_ALL,$DF950,$L$14)),INDEX(PASTE_ALL,$DF950,$L$14),TRIM(SUBSTITUTE(SUBSTITUTE(SUBSTITUTE(SUBSTITUTE(INDEX(PASTE_ALL,$DF950,$L$14)," "," "),CHAR(9)," "),CHAR(10)," "),CHAR(13)," "))),"")))</f>
        <v/>
      </c>
      <c r="DW950">
        <f>IF($DM950=0,"",IF($L$15=0,"",IFERROR(IF(ISNUMBER(INDEX(PASTE_ALL,$DF950,$L$15)),INDEX(PASTE_ALL,$DF950,$L$15),IF(SUMPRODUCT(--ISNUMBER(FIND({"A","B","C","D","E","F","G","H","I","J","K","L","M","N","O","P","Q","R","S","T","U","V","W","X","Y","Z","0","1","2","3","4","5","6","7","8","9"},UPPER(TRIM(SUBSTITUTE(SUBSTITUTE(SUBSTITUTE(SUBSTITUTE(INDEX(PASTE_ALL,$DF950,$L$15)," "," "),CHAR(9)," "),CHAR(10)," "),CHAR(13)," "))))))&gt;0,TRIM(SUBSTITUTE(SUBSTITUTE(SUBSTITUTE(SUBSTITUTE(INDEX(PASTE_ALL,$DF950,$L$15)," "," "),CHAR(9)," "),CHAR(10)," "),CHAR(13)," ")),"")),"")))</f>
        <v/>
      </c>
      <c r="DX950">
        <f>IF($DM950=0,"",IF($L$16=0,"",IFERROR(IF(ISNUMBER(INDEX(PASTE_ALL,$DF950,$L$16)),INDEX(PASTE_ALL,$DF950,$L$16),SUBSTITUTE(SUBSTITUTE(TRIM(SUBSTITUTE(SUBSTITUTE(SUBSTITUTE(SUBSTITUTE(INDEX(PASTE_ALL,$DF950,$L$16)," "," "),CHAR(9)," "),CHAR(10)," "),CHAR(13)," ")),",",""),"%","")),"")))</f>
        <v/>
      </c>
      <c r="DY950">
        <f>IF($DM950=0,"",IFERROR(IF(ISNUMBER($DX950),$DX950,IF($DX950="","",IF(TRIM($DX950)="",0,IF(AND(AND(SUBSTITUTE(SUBSTITUTE(SUBSTITUTE(SUBSTITUTE(SUBSTITUTE(SUBSTITUTE(SUBSTITUTE(SUBSTITUTE(SUBSTITUTE(SUBSTITUTE(SUBSTITUTE(SUBSTITUTE(SUBSTITUTE(SUBSTITUTE(UPPER(TRIM($DX950)),"0",""),"1",""),"2",""),"3",""),"4",""),"5",""),"6",""),"7",""),"8",""),"9",""),".",""),"+",""),"-",""),"E","")="",LEN(SUBSTITUTE(SUBSTITUTE(MID(UPPER(TRIM($DX950)),1+OR(LEFT(UPPER(TRIM($DX950)),1)="+",LEFT(UPPER(TRIM($DX950)),1)="-"),999),"E+","E"),"E-","E"))=LEN(SUBSTITUTE(SUBSTITUTE(SUBSTITUTE(SUBSTITUTE(MID(UPPER(TRIM($DX950)),1+OR(LEFT(UPPER(TRIM($DX950)),1)="+",LEFT(UPPER(TRIM($DX950)),1)="-"),999),"E+","E"),"E-","E"),"+",""),"-","")),LEN(UPPER(TRIM($DX950)))-LEN(SUBSTITUTE(UPPER(TRIM($DX950)),"E",""))&lt;2,LEN(UPPER(TRIM($DX950)))-LEN(SUBSTITUTE(UPPER(TRIM($DX950)),".",""))&lt;2,IFERROR(FIND(".",UPPER(TRIM($DX950))),0)&lt;IFERROR(FIND("E",UPPER(TRIM($DX950))),999)),ISNUMBER(VALUE(TRIM($DX950)))),VALUE(TRIM($DX950)),"")))),""))</f>
        <v/>
      </c>
      <c r="DZ950">
        <f>IF($DM950=0,"",IF($L$17=0,"",IFERROR(IF(ISNUMBER(INDEX(PASTE_ALL,$DF950,$L$17)),INDEX(PASTE_ALL,$DF950,$L$17),SUBSTITUTE(SUBSTITUTE(TRIM(SUBSTITUTE(SUBSTITUTE(SUBSTITUTE(SUBSTITUTE(INDEX(PASTE_ALL,$DF950,$L$17)," "," "),CHAR(9)," "),CHAR(10)," "),CHAR(13)," ")),",",""),"%","")),"")))</f>
        <v/>
      </c>
      <c r="EA950">
        <f>IF($DM950=0,"",IFERROR(IF(ISNUMBER($DZ950),$DZ950,IF($DZ950="","",IF(TRIM($DZ950)="",0,IF(AND(AND(SUBSTITUTE(SUBSTITUTE(SUBSTITUTE(SUBSTITUTE(SUBSTITUTE(SUBSTITUTE(SUBSTITUTE(SUBSTITUTE(SUBSTITUTE(SUBSTITUTE(SUBSTITUTE(SUBSTITUTE(SUBSTITUTE(SUBSTITUTE(UPPER(TRIM($DZ950)),"0",""),"1",""),"2",""),"3",""),"4",""),"5",""),"6",""),"7",""),"8",""),"9",""),".",""),"+",""),"-",""),"E","")="",LEN(SUBSTITUTE(SUBSTITUTE(MID(UPPER(TRIM($DZ950)),1+OR(LEFT(UPPER(TRIM($DZ950)),1)="+",LEFT(UPPER(TRIM($DZ950)),1)="-"),999),"E+","E"),"E-","E"))=LEN(SUBSTITUTE(SUBSTITUTE(SUBSTITUTE(SUBSTITUTE(MID(UPPER(TRIM($DZ950)),1+OR(LEFT(UPPER(TRIM($DZ950)),1)="+",LEFT(UPPER(TRIM($DZ950)),1)="-"),999),"E+","E"),"E-","E"),"+",""),"-","")),LEN(UPPER(TRIM($DZ950)))-LEN(SUBSTITUTE(UPPER(TRIM($DZ950)),"E",""))&lt;2,LEN(UPPER(TRIM($DZ950)))-LEN(SUBSTITUTE(UPPER(TRIM($DZ950)),".",""))&lt;2,IFERROR(FIND(".",UPPER(TRIM($DZ950))),0)&lt;IFERROR(FIND("E",UPPER(TRIM($DZ950))),999)),ISNUMBER(VALUE(TRIM($DZ950)))),VALUE(TRIM($DZ950)),"")))),""))</f>
        <v/>
      </c>
      <c r="EB950">
        <f>IF($DM950=0,"",IF($L$18=0,"",IFERROR(IF(UPPER(TRIM(SUBSTITUTE(SUBSTITUTE(SUBSTITUTE(SUBSTITUTE(INDEX(PASTE_ALL,$DF950,$L$18)," "," "),CHAR(9)," "),CHAR(10)," "),CHAR(13)," ")))="READY","Ready",IF(UPPER(TRIM(SUBSTITUTE(SUBSTITUTE(SUBSTITUTE(SUBSTITUTE(INDEX(PASTE_ALL,$DF950,$L$18)," "," "),CHAR(9)," "),CHAR(10)," "),CHAR(13)," ")))="PM","PM",IF(OR(UPPER(TRIM(SUBSTITUTE(SUBSTITUTE(SUBSTITUTE(SUBSTITUTE(INDEX(PASTE_ALL,$DF950,$L$18)," "," "),CHAR(9)," "),CHAR(10)," "),CHAR(13)," ")))="OT",UPPER(TRIM(SUBSTITUTE(SUBSTITUTE(SUBSTITUTE(SUBSTITUTE(INDEX(PASTE_ALL,$DF950,$L$18)," "," "),CHAR(9)," "),CHAR(10)," "),CHAR(13)," ")))="OVERTIME",UPPER(TRIM(SUBSTITUTE(SUBSTITUTE(SUBSTITUTE(SUBSTITUTE(INDEX(PASTE_ALL,$DF950,$L$18)," "," "),CHAR(9)," "),CHAR(10)," "),CHAR(13)," ")))="TRIAL"),"OT",TRIM(SUBSTITUTE(SUBSTITUTE(SUBSTITUTE(SUBSTITUTE(INDEX(PASTE_ALL,$DF950,$L$18)," "," "),CHAR(9)," "),CHAR(10)," "),CHAR(13)," "))))),"")))</f>
        <v/>
      </c>
      <c r="EC950">
        <f>IF($DM950=0,"",IF($L$19=0,"",IFERROR(IF(ISNUMBER(INDEX(PASTE_ALL,$DF950,$L$19)),INDEX(PASTE_ALL,$DF950,$L$19),TRIM(SUBSTITUTE(SUBSTITUTE(SUBSTITUTE(SUBSTITUTE(INDEX(PASTE_ALL,$DF950,$L$19)," "," "),CHAR(9)," "),CHAR(10)," "),CHAR(13)," "))),"")))</f>
        <v/>
      </c>
      <c r="ED950">
        <f>IF($DM950=0,"",MATCH(1,INDEX(EXACT($DH$5:DH950,$DH950)*$DM$5:DM950,0),0))</f>
        <v/>
      </c>
      <c r="EE950">
        <f>IF($DM950=0,0,IF($ED950=$DE950,1,0))</f>
        <v/>
      </c>
      <c r="EF950">
        <f>EF949+$EE950</f>
        <v/>
      </c>
      <c r="EG950">
        <f>IF($DM950=0,"",INDEX($EF$5:$EF$1003,$ED950))</f>
        <v/>
      </c>
      <c r="EH950">
        <f>IF($DM950=0,"",IF($DO950&lt;&gt;"","",IFERROR(LOOKUP(2,1/(($EG$4:EG949=$EG950)*($DO$4:DO949&lt;&gt;"")),$DO$4:DO949),"")))</f>
        <v/>
      </c>
      <c r="EI950">
        <f>IF($DM950=0,"",IF($DO950&lt;&gt;"",$DO950,$EH950))</f>
        <v/>
      </c>
      <c r="EJ950">
        <f>IF($DM950=0,"",IF($EI950="",0,IF(OR(ISNUMBER($EI950),AND(AND(SUBSTITUTE(SUBSTITUTE(SUBSTITUTE(SUBSTITUTE(SUBSTITUTE(SUBSTITUTE(SUBSTITUTE(SUBSTITUTE(SUBSTITUTE(SUBSTITUTE(SUBSTITUTE(SUBSTITUTE(SUBSTITUTE(SUBSTITUTE(UPPER($EI950),"0",""),"1",""),"2",""),"3",""),"4",""),"5",""),"6",""),"7",""),"8",""),"9",""),".",""),"+",""),"-",""),"E","")="",LEN(SUBSTITUTE(SUBSTITUTE(MID(UPPER($EI950),1+OR(LEFT(UPPER($EI950),1)="+",LEFT(UPPER($EI950),1)="-"),999),"E+","E"),"E-","E"))=LEN(SUBSTITUTE(SUBSTITUTE(SUBSTITUTE(SUBSTITUTE(MID(UPPER($EI950),1+OR(LEFT(UPPER($EI950),1)="+",LEFT(UPPER($EI950),1)="-"),999),"E+","E"),"E-","E"),"+",""),"-","")),LEN(UPPER($EI950))-LEN(SUBSTITUTE(UPPER($EI950),"E",""))&lt;2,LEN(UPPER($EI950))-LEN(SUBSTITUTE(UPPER($EI950),".",""))&lt;2,IFERROR(FIND(".",UPPER($EI950)),0)&lt;IFERROR(FIND("E",UPPER($EI950)),999)),ISNUMBER(VALUE($EI950)))),1,2)))</f>
        <v/>
      </c>
      <c r="EK950">
        <f>IF($DM950=0,"",IF($EJ950=1,IF(ISNUMBER($EI950),$EI950,VALUE($EI950)),IF($EJ950=2,$DE950,0)))</f>
        <v/>
      </c>
      <c r="EL950">
        <f>IF($DM950=0,"",COUNTIF($EG$5:$EG$1003,"&lt;"&amp;$EG950)+SUMPRODUCT(($EG$5:$EG$1003=$EG950)*(($EJ$5:$EJ$1003&lt;$EJ950)+($EJ$5:$EJ$1003=$EJ950)*(($EK$5:$EK$1003&lt;$EK950)+($EK$5:$EK$1003=$EK950)*($DE$5:$DE$1003&lt;$DE950))))+1)</f>
        <v/>
      </c>
      <c r="EM950">
        <f>IF($DM950=0,"",$EL950+$EG950-1)</f>
        <v/>
      </c>
      <c r="EN950">
        <f>IF($DM950=0,0,IFERROR(MATCH(1,INDEX(--(TRIM(SUBSTITUTE(SUBSTITUTE(SUBSTITUTE(SUBSTITUTE(LINES_NAME&amp;""," "," "),CHAR(9)," "),CHAR(10)," "),CHAR(13)," "))=$DH950),0),0),0))</f>
        <v/>
      </c>
      <c r="EO950">
        <f>IF($EN950=0,0,IF(OR(UPPER(TRIM(INDEX(LINES_SCHEDULED,$EN950)&amp;""))="YES",UPPER(TRIM(INDEX(LINES_SCHEDULED,$EN950)&amp;""))="Y",UPPER(TRIM(INDEX(LINES_SCHEDULED,$EN950)&amp;""))="X"),1,0))</f>
        <v/>
      </c>
      <c r="EP950">
        <f>IF($DM950=0,"",IF(COUNTIFS($EG$5:$EG$1003,$EG950,$EB$5:$EB$1003,"Ready")&gt;0,"READY",IF(COUNTIFS($EG$5:$EG$1003,$EG950,$EB$5:$EB$1003,"PM")&gt;0,"PM",IF(COUNTIFS($EG$5:$EG$1003,$EG950,$EB$5:$EB$1003,"OT")&gt;0,"OT",""))))</f>
        <v/>
      </c>
      <c r="EQ950">
        <f>IF($EN950=0,"",UPPER(TRIM(INDEX(LINES_STATUS,$EN950)&amp;"")))</f>
        <v/>
      </c>
      <c r="ER950">
        <f>IF($DM950=0,"",IF(OR($EQ950="READY",$EQ950="PM",$EQ950="OT"),$EQ950,$EP950))</f>
        <v/>
      </c>
      <c r="ES950">
        <f>IF($DM950=0,"",IF(AND($DV950&lt;&gt;"",UPPER($DV950)&lt;&gt;"N"),"allergen",IF(ISNUMBER(SEARCH("oil",$DQ950)),"oil",IF(OR(EXACT($DS950,"A662"),EXACT($DS950,"A624")),"bulk",""))))</f>
        <v/>
      </c>
      <c r="ET950">
        <f>IF($DM950=0,"",IF(OR($EA950="",$EA950=0),"",$EA950/100))</f>
        <v/>
      </c>
      <c r="EU950">
        <f>IF(OR($ET950="",$DY950=""),"",INT($DY950*(1-$ET950)+0.5))</f>
        <v/>
      </c>
    </row>
    <row r="951">
      <c r="DA951" t="n">
        <v>947</v>
      </c>
      <c r="DB951">
        <f>IF($B$37=0,"",IFERROR(TRIM(SUBSTITUTE(SUBSTITUTE(SUBSTITUTE(SUBSTITUTE(INDEX(PASTE_ALL,947,$B$37)," "," "),CHAR(9)," "),CHAR(10)," "),CHAR(13)," ")),""))</f>
        <v/>
      </c>
      <c r="DC951">
        <f>IF(AND(947&gt;HEADER_ROW,UPPER(DB951)="LEGEND"),1,0)</f>
        <v/>
      </c>
      <c r="DE951" t="n">
        <v>947</v>
      </c>
      <c r="DF951">
        <f>HEADER_ROW+$DE951</f>
        <v/>
      </c>
      <c r="DG951">
        <f>IF(AND($DF951&lt;=1000,$DF951&lt;$B$8),1,0)</f>
        <v/>
      </c>
      <c r="DH951">
        <f>IF($DG951=1,IFERROR(INDEX($DB$5:$DB$1004,$DF951),""),"")</f>
        <v/>
      </c>
      <c r="DI951">
        <f>IF(AND($DG951=1,$DH951&lt;&gt;""),IFERROR(SUBSTITUTE(SUBSTITUTE(TRIM(SUBSTITUTE(SUBSTITUTE(SUBSTITUTE(SUBSTITUTE(IFERROR(INDEX(PASTE_ALL,$DF951,1)&amp;"","")&amp;"␟"&amp;IFERROR(INDEX(PASTE_ALL,$DF951,2)&amp;"","")&amp;"␟"&amp;IFERROR(INDEX(PASTE_ALL,$DF951,3)&amp;"","")&amp;"␟"&amp;IFERROR(INDEX(PASTE_ALL,$DF951,4)&amp;"","")&amp;"␟"&amp;IFERROR(INDEX(PASTE_ALL,$DF951,5)&amp;"","")&amp;"␟"&amp;IFERROR(INDEX(PASTE_ALL,$DF951,6)&amp;"","")&amp;"␟"&amp;IFERROR(INDEX(PASTE_ALL,$DF951,7)&amp;"","")&amp;"␟"&amp;IFERROR(INDEX(PASTE_ALL,$DF951,8)&amp;"","")&amp;"␟"&amp;IFERROR(INDEX(PASTE_ALL,$DF951,9)&amp;"","")&amp;"␟"&amp;IFERROR(INDEX(PASTE_ALL,$DF951,10)&amp;"","")&amp;"␟"&amp;IFERROR(INDEX(PASTE_ALL,$DF951,11)&amp;"","")&amp;"␟"&amp;IFERROR(INDEX(PASTE_ALL,$DF951,12)&amp;"","")&amp;"␟"&amp;IFERROR(INDEX(PASTE_ALL,$DF951,13)&amp;"","")&amp;"␟"&amp;IFERROR(INDEX(PASTE_ALL,$DF951,14)&amp;"","")&amp;"␟"&amp;IFERROR(INDEX(PASTE_ALL,$DF951,15)&amp;"","")&amp;"␟"&amp;IFERROR(INDEX(PASTE_ALL,$DF951,16)&amp;"","")&amp;"␟"&amp;IFERROR(INDEX(PASTE_ALL,$DF951,17)&amp;"","")&amp;"␟"&amp;IFERROR(INDEX(PASTE_ALL,$DF951,18)&amp;"","")&amp;"␟"&amp;IFERROR(INDEX(PASTE_ALL,$DF951,19)&amp;"","")&amp;"␟"&amp;IFERROR(INDEX(PASTE_ALL,$DF951,20)&amp;"","")&amp;"␟"&amp;IFERROR(INDEX(PASTE_ALL,$DF951,21)&amp;"","")&amp;"␟"&amp;IFERROR(INDEX(PASTE_ALL,$DF951,22)&amp;"","")&amp;"␟"&amp;IFERROR(INDEX(PASTE_ALL,$DF951,23)&amp;"","")&amp;"␟"&amp;IFERROR(INDEX(PASTE_ALL,$DF951,24)&amp;"","")&amp;"␟"&amp;IFERROR(INDEX(PASTE_ALL,$DF951,25)&amp;"","")&amp;"␟"&amp;IFERROR(INDEX(PASTE_ALL,$DF951,26)&amp;"","")&amp;"␟"&amp;IFERROR(INDEX(PASTE_ALL,$DF951,27)&amp;"","")&amp;"␟"&amp;IFERROR(INDEX(PASTE_ALL,$DF951,28)&amp;"","")&amp;"␟"&amp;IFERROR(INDEX(PASTE_ALL,$DF951,29)&amp;"","")&amp;"␟"&amp;IFERROR(INDEX(PASTE_ALL,$DF951,30)&amp;"","")&amp;"␟"&amp;IFERROR(INDEX(PASTE_ALL,$DF951,31)&amp;"","")&amp;"␟"&amp;IFERROR(INDEX(PASTE_ALL,$DF951,32)&amp;"","")&amp;"␟"&amp;IFERROR(INDEX(PASTE_ALL,$DF951,33)&amp;"","")&amp;"␟"&amp;IFERROR(INDEX(PASTE_ALL,$DF951,34)&amp;"","")&amp;"␟"&amp;IFERROR(INDEX(PASTE_ALL,$DF951,35)&amp;"","")&amp;"␟"&amp;IFERROR(INDEX(PASTE_ALL,$DF951,36)&amp;"","")&amp;"␟"&amp;IFERROR(INDEX(PASTE_ALL,$DF951,37)&amp;"","")&amp;"␟"&amp;IFERROR(INDEX(PASTE_ALL,$DF951,38)&amp;"","")&amp;"␟"&amp;IFERROR(INDEX(PASTE_ALL,$DF951,39)&amp;"","")&amp;"␟"&amp;IFERROR(INDEX(PASTE_ALL,$DF951,40)&amp;"","")&amp;"␟"&amp;IFERROR(INDEX(PASTE_ALL,$DF951,41)&amp;"","")&amp;"␟"&amp;IFERROR(INDEX(PASTE_ALL,$DF951,42)&amp;"","")&amp;"␟"&amp;IFERROR(INDEX(PASTE_ALL,$DF951,43)&amp;"","")&amp;"␟"&amp;IFERROR(INDEX(PASTE_ALL,$DF951,44)&amp;"","")&amp;"␟"&amp;IFERROR(INDEX(PASTE_ALL,$DF951,45)&amp;"","")&amp;"␟"&amp;IFERROR(INDEX(PASTE_ALL,$DF951,46)&amp;"","")&amp;"␟"&amp;IFERROR(INDEX(PASTE_ALL,$DF951,47)&amp;"","")&amp;"␟"&amp;IFERROR(INDEX(PASTE_ALL,$DF951,48)&amp;"","")&amp;"␟"&amp;IFERROR(INDEX(PASTE_ALL,$DF951,49)&amp;"","")&amp;"␟"&amp;IFERROR(INDEX(PASTE_ALL,$DF951,50)&amp;"","")&amp;"␟"&amp;IFERROR(INDEX(PASTE_ALL,$DF951,51)&amp;"","")&amp;"␟"&amp;IFERROR(INDEX(PASTE_ALL,$DF951,52)&amp;"","")&amp;"␟"&amp;IFERROR(INDEX(PASTE_ALL,$DF951,53)&amp;"","")&amp;"␟"&amp;IFERROR(INDEX(PASTE_ALL,$DF951,54)&amp;"","")&amp;"␟"&amp;IFERROR(INDEX(PASTE_ALL,$DF951,55)&amp;"","")&amp;"␟"&amp;IFERROR(INDEX(PASTE_ALL,$DF951,56)&amp;"","")&amp;"␟"&amp;IFERROR(INDEX(PASTE_ALL,$DF951,57)&amp;"","")&amp;"␟"&amp;IFERROR(INDEX(PASTE_ALL,$DF951,58)&amp;"","")&amp;"␟"&amp;IFERROR(INDEX(PASTE_ALL,$DF951,59)&amp;"","")&amp;"␟"&amp;IFERROR(INDEX(PASTE_ALL,$DF951,60)&amp;"","")," "," "),CHAR(9)," "),CHAR(10)," "),CHAR(13)," "))," ␟","␟"),"␟ ","␟"),"#"&amp;$DE951),"")</f>
        <v/>
      </c>
      <c r="DJ951">
        <f>IF($DI951="",0,IF(SUMPRODUCT(--EXACT($DI$4:DI950,$DI951))&gt;0,1,0))</f>
        <v/>
      </c>
      <c r="DK951">
        <f>IF(AND($DI951&lt;&gt;"",$DJ951=0),1,0)</f>
        <v/>
      </c>
      <c r="DL951">
        <f>DL950+$DK951</f>
        <v/>
      </c>
      <c r="DM951">
        <f>IF(AND($DK951=1,$DL951&lt;=600),1,0)</f>
        <v/>
      </c>
      <c r="DN951">
        <f>IF($DM951=0,"",IF($L$6=0,"",IFERROR(IF(ISNUMBER(INDEX(PASTE_ALL,$DF951,$L$6)),INDEX(PASTE_ALL,$DF951,$L$6),TRIM(SUBSTITUTE(SUBSTITUTE(SUBSTITUTE(SUBSTITUTE(INDEX(PASTE_ALL,$DF951,$L$6)," "," "),CHAR(9)," "),CHAR(10)," "),CHAR(13)," "))),"")))</f>
        <v/>
      </c>
      <c r="DO951">
        <f>IF($DM951=0,"",IF($L$7=0,"",IFERROR(IF(ISNUMBER(INDEX(PASTE_ALL,$DF951,$L$7)),INDEX(PASTE_ALL,$DF951,$L$7),TRIM(SUBSTITUTE(SUBSTITUTE(SUBSTITUTE(SUBSTITUTE(INDEX(PASTE_ALL,$DF951,$L$7)," "," "),CHAR(9)," "),CHAR(10)," "),CHAR(13)," "))),"")))</f>
        <v/>
      </c>
      <c r="DP951">
        <f>IF($DM951=0,"",IF($L$8=0,"",IFERROR(IF(ISNUMBER(INDEX(PASTE_ALL,$DF951,$L$8)),INDEX(PASTE_ALL,$DF951,$L$8),TRIM(SUBSTITUTE(SUBSTITUTE(SUBSTITUTE(SUBSTITUTE(INDEX(PASTE_ALL,$DF951,$L$8)," "," "),CHAR(9)," "),CHAR(10)," "),CHAR(13)," "))),"")))</f>
        <v/>
      </c>
      <c r="DQ951">
        <f>IF($DM951=0,"",IF($L$9=0,"",IFERROR(IF(ISNUMBER(INDEX(PASTE_ALL,$DF951,$L$9)),INDEX(PASTE_ALL,$DF951,$L$9),TRIM(SUBSTITUTE(SUBSTITUTE(SUBSTITUTE(SUBSTITUTE(INDEX(PASTE_ALL,$DF951,$L$9)," "," "),CHAR(9)," "),CHAR(10)," "),CHAR(13)," "))),"")))</f>
        <v/>
      </c>
      <c r="DR951">
        <f>IF($DM951=0,"",IF($L$10=0,"",IFERROR(IF(ISNUMBER(INDEX(PASTE_ALL,$DF951,$L$10)),INDEX(PASTE_ALL,$DF951,$L$10),TRIM(SUBSTITUTE(SUBSTITUTE(SUBSTITUTE(SUBSTITUTE(INDEX(PASTE_ALL,$DF951,$L$10)," "," "),CHAR(9)," "),CHAR(10)," "),CHAR(13)," "))),"")))</f>
        <v/>
      </c>
      <c r="DS951">
        <f>IF($DM951=0,"",IF($L$11=0,"",IFERROR(IF(ISNUMBER(INDEX(PASTE_ALL,$DF951,$L$11)),INDEX(PASTE_ALL,$DF951,$L$11),TRIM(SUBSTITUTE(SUBSTITUTE(SUBSTITUTE(SUBSTITUTE(INDEX(PASTE_ALL,$DF951,$L$11)," "," "),CHAR(9)," "),CHAR(10)," "),CHAR(13)," "))),"")))</f>
        <v/>
      </c>
      <c r="DT951">
        <f>IF($DM951=0,"",IF($L$12=0,"",IFERROR(IF(ISNUMBER(INDEX(PASTE_ALL,$DF951,$L$12)),INDEX(PASTE_ALL,$DF951,$L$12),TRIM(SUBSTITUTE(SUBSTITUTE(SUBSTITUTE(SUBSTITUTE(INDEX(PASTE_ALL,$DF951,$L$12)," "," "),CHAR(9)," "),CHAR(10)," "),CHAR(13)," "))),"")))</f>
        <v/>
      </c>
      <c r="DU951">
        <f>IF($DM951=0,"",IF($L$13=0,"",IFERROR(IF(ISNUMBER(INDEX(PASTE_ALL,$DF951,$L$13)),INDEX(PASTE_ALL,$DF951,$L$13),TRIM(SUBSTITUTE(SUBSTITUTE(SUBSTITUTE(SUBSTITUTE(INDEX(PASTE_ALL,$DF951,$L$13)," "," "),CHAR(9)," "),CHAR(10)," "),CHAR(13)," "))),"")))</f>
        <v/>
      </c>
      <c r="DV951">
        <f>IF($DM951=0,"",IF($L$14=0,"",IFERROR(IF(ISNUMBER(INDEX(PASTE_ALL,$DF951,$L$14)),INDEX(PASTE_ALL,$DF951,$L$14),TRIM(SUBSTITUTE(SUBSTITUTE(SUBSTITUTE(SUBSTITUTE(INDEX(PASTE_ALL,$DF951,$L$14)," "," "),CHAR(9)," "),CHAR(10)," "),CHAR(13)," "))),"")))</f>
        <v/>
      </c>
      <c r="DW951">
        <f>IF($DM951=0,"",IF($L$15=0,"",IFERROR(IF(ISNUMBER(INDEX(PASTE_ALL,$DF951,$L$15)),INDEX(PASTE_ALL,$DF951,$L$15),IF(SUMPRODUCT(--ISNUMBER(FIND({"A","B","C","D","E","F","G","H","I","J","K","L","M","N","O","P","Q","R","S","T","U","V","W","X","Y","Z","0","1","2","3","4","5","6","7","8","9"},UPPER(TRIM(SUBSTITUTE(SUBSTITUTE(SUBSTITUTE(SUBSTITUTE(INDEX(PASTE_ALL,$DF951,$L$15)," "," "),CHAR(9)," "),CHAR(10)," "),CHAR(13)," "))))))&gt;0,TRIM(SUBSTITUTE(SUBSTITUTE(SUBSTITUTE(SUBSTITUTE(INDEX(PASTE_ALL,$DF951,$L$15)," "," "),CHAR(9)," "),CHAR(10)," "),CHAR(13)," ")),"")),"")))</f>
        <v/>
      </c>
      <c r="DX951">
        <f>IF($DM951=0,"",IF($L$16=0,"",IFERROR(IF(ISNUMBER(INDEX(PASTE_ALL,$DF951,$L$16)),INDEX(PASTE_ALL,$DF951,$L$16),SUBSTITUTE(SUBSTITUTE(TRIM(SUBSTITUTE(SUBSTITUTE(SUBSTITUTE(SUBSTITUTE(INDEX(PASTE_ALL,$DF951,$L$16)," "," "),CHAR(9)," "),CHAR(10)," "),CHAR(13)," ")),",",""),"%","")),"")))</f>
        <v/>
      </c>
      <c r="DY951">
        <f>IF($DM951=0,"",IFERROR(IF(ISNUMBER($DX951),$DX951,IF($DX951="","",IF(TRIM($DX951)="",0,IF(AND(AND(SUBSTITUTE(SUBSTITUTE(SUBSTITUTE(SUBSTITUTE(SUBSTITUTE(SUBSTITUTE(SUBSTITUTE(SUBSTITUTE(SUBSTITUTE(SUBSTITUTE(SUBSTITUTE(SUBSTITUTE(SUBSTITUTE(SUBSTITUTE(UPPER(TRIM($DX951)),"0",""),"1",""),"2",""),"3",""),"4",""),"5",""),"6",""),"7",""),"8",""),"9",""),".",""),"+",""),"-",""),"E","")="",LEN(SUBSTITUTE(SUBSTITUTE(MID(UPPER(TRIM($DX951)),1+OR(LEFT(UPPER(TRIM($DX951)),1)="+",LEFT(UPPER(TRIM($DX951)),1)="-"),999),"E+","E"),"E-","E"))=LEN(SUBSTITUTE(SUBSTITUTE(SUBSTITUTE(SUBSTITUTE(MID(UPPER(TRIM($DX951)),1+OR(LEFT(UPPER(TRIM($DX951)),1)="+",LEFT(UPPER(TRIM($DX951)),1)="-"),999),"E+","E"),"E-","E"),"+",""),"-","")),LEN(UPPER(TRIM($DX951)))-LEN(SUBSTITUTE(UPPER(TRIM($DX951)),"E",""))&lt;2,LEN(UPPER(TRIM($DX951)))-LEN(SUBSTITUTE(UPPER(TRIM($DX951)),".",""))&lt;2,IFERROR(FIND(".",UPPER(TRIM($DX951))),0)&lt;IFERROR(FIND("E",UPPER(TRIM($DX951))),999)),ISNUMBER(VALUE(TRIM($DX951)))),VALUE(TRIM($DX951)),"")))),""))</f>
        <v/>
      </c>
      <c r="DZ951">
        <f>IF($DM951=0,"",IF($L$17=0,"",IFERROR(IF(ISNUMBER(INDEX(PASTE_ALL,$DF951,$L$17)),INDEX(PASTE_ALL,$DF951,$L$17),SUBSTITUTE(SUBSTITUTE(TRIM(SUBSTITUTE(SUBSTITUTE(SUBSTITUTE(SUBSTITUTE(INDEX(PASTE_ALL,$DF951,$L$17)," "," "),CHAR(9)," "),CHAR(10)," "),CHAR(13)," ")),",",""),"%","")),"")))</f>
        <v/>
      </c>
      <c r="EA951">
        <f>IF($DM951=0,"",IFERROR(IF(ISNUMBER($DZ951),$DZ951,IF($DZ951="","",IF(TRIM($DZ951)="",0,IF(AND(AND(SUBSTITUTE(SUBSTITUTE(SUBSTITUTE(SUBSTITUTE(SUBSTITUTE(SUBSTITUTE(SUBSTITUTE(SUBSTITUTE(SUBSTITUTE(SUBSTITUTE(SUBSTITUTE(SUBSTITUTE(SUBSTITUTE(SUBSTITUTE(UPPER(TRIM($DZ951)),"0",""),"1",""),"2",""),"3",""),"4",""),"5",""),"6",""),"7",""),"8",""),"9",""),".",""),"+",""),"-",""),"E","")="",LEN(SUBSTITUTE(SUBSTITUTE(MID(UPPER(TRIM($DZ951)),1+OR(LEFT(UPPER(TRIM($DZ951)),1)="+",LEFT(UPPER(TRIM($DZ951)),1)="-"),999),"E+","E"),"E-","E"))=LEN(SUBSTITUTE(SUBSTITUTE(SUBSTITUTE(SUBSTITUTE(MID(UPPER(TRIM($DZ951)),1+OR(LEFT(UPPER(TRIM($DZ951)),1)="+",LEFT(UPPER(TRIM($DZ951)),1)="-"),999),"E+","E"),"E-","E"),"+",""),"-","")),LEN(UPPER(TRIM($DZ951)))-LEN(SUBSTITUTE(UPPER(TRIM($DZ951)),"E",""))&lt;2,LEN(UPPER(TRIM($DZ951)))-LEN(SUBSTITUTE(UPPER(TRIM($DZ951)),".",""))&lt;2,IFERROR(FIND(".",UPPER(TRIM($DZ951))),0)&lt;IFERROR(FIND("E",UPPER(TRIM($DZ951))),999)),ISNUMBER(VALUE(TRIM($DZ951)))),VALUE(TRIM($DZ951)),"")))),""))</f>
        <v/>
      </c>
      <c r="EB951">
        <f>IF($DM951=0,"",IF($L$18=0,"",IFERROR(IF(UPPER(TRIM(SUBSTITUTE(SUBSTITUTE(SUBSTITUTE(SUBSTITUTE(INDEX(PASTE_ALL,$DF951,$L$18)," "," "),CHAR(9)," "),CHAR(10)," "),CHAR(13)," ")))="READY","Ready",IF(UPPER(TRIM(SUBSTITUTE(SUBSTITUTE(SUBSTITUTE(SUBSTITUTE(INDEX(PASTE_ALL,$DF951,$L$18)," "," "),CHAR(9)," "),CHAR(10)," "),CHAR(13)," ")))="PM","PM",IF(OR(UPPER(TRIM(SUBSTITUTE(SUBSTITUTE(SUBSTITUTE(SUBSTITUTE(INDEX(PASTE_ALL,$DF951,$L$18)," "," "),CHAR(9)," "),CHAR(10)," "),CHAR(13)," ")))="OT",UPPER(TRIM(SUBSTITUTE(SUBSTITUTE(SUBSTITUTE(SUBSTITUTE(INDEX(PASTE_ALL,$DF951,$L$18)," "," "),CHAR(9)," "),CHAR(10)," "),CHAR(13)," ")))="OVERTIME",UPPER(TRIM(SUBSTITUTE(SUBSTITUTE(SUBSTITUTE(SUBSTITUTE(INDEX(PASTE_ALL,$DF951,$L$18)," "," "),CHAR(9)," "),CHAR(10)," "),CHAR(13)," ")))="TRIAL"),"OT",TRIM(SUBSTITUTE(SUBSTITUTE(SUBSTITUTE(SUBSTITUTE(INDEX(PASTE_ALL,$DF951,$L$18)," "," "),CHAR(9)," "),CHAR(10)," "),CHAR(13)," "))))),"")))</f>
        <v/>
      </c>
      <c r="EC951">
        <f>IF($DM951=0,"",IF($L$19=0,"",IFERROR(IF(ISNUMBER(INDEX(PASTE_ALL,$DF951,$L$19)),INDEX(PASTE_ALL,$DF951,$L$19),TRIM(SUBSTITUTE(SUBSTITUTE(SUBSTITUTE(SUBSTITUTE(INDEX(PASTE_ALL,$DF951,$L$19)," "," "),CHAR(9)," "),CHAR(10)," "),CHAR(13)," "))),"")))</f>
        <v/>
      </c>
      <c r="ED951">
        <f>IF($DM951=0,"",MATCH(1,INDEX(EXACT($DH$5:DH951,$DH951)*$DM$5:DM951,0),0))</f>
        <v/>
      </c>
      <c r="EE951">
        <f>IF($DM951=0,0,IF($ED951=$DE951,1,0))</f>
        <v/>
      </c>
      <c r="EF951">
        <f>EF950+$EE951</f>
        <v/>
      </c>
      <c r="EG951">
        <f>IF($DM951=0,"",INDEX($EF$5:$EF$1003,$ED951))</f>
        <v/>
      </c>
      <c r="EH951">
        <f>IF($DM951=0,"",IF($DO951&lt;&gt;"","",IFERROR(LOOKUP(2,1/(($EG$4:EG950=$EG951)*($DO$4:DO950&lt;&gt;"")),$DO$4:DO950),"")))</f>
        <v/>
      </c>
      <c r="EI951">
        <f>IF($DM951=0,"",IF($DO951&lt;&gt;"",$DO951,$EH951))</f>
        <v/>
      </c>
      <c r="EJ951">
        <f>IF($DM951=0,"",IF($EI951="",0,IF(OR(ISNUMBER($EI951),AND(AND(SUBSTITUTE(SUBSTITUTE(SUBSTITUTE(SUBSTITUTE(SUBSTITUTE(SUBSTITUTE(SUBSTITUTE(SUBSTITUTE(SUBSTITUTE(SUBSTITUTE(SUBSTITUTE(SUBSTITUTE(SUBSTITUTE(SUBSTITUTE(UPPER($EI951),"0",""),"1",""),"2",""),"3",""),"4",""),"5",""),"6",""),"7",""),"8",""),"9",""),".",""),"+",""),"-",""),"E","")="",LEN(SUBSTITUTE(SUBSTITUTE(MID(UPPER($EI951),1+OR(LEFT(UPPER($EI951),1)="+",LEFT(UPPER($EI951),1)="-"),999),"E+","E"),"E-","E"))=LEN(SUBSTITUTE(SUBSTITUTE(SUBSTITUTE(SUBSTITUTE(MID(UPPER($EI951),1+OR(LEFT(UPPER($EI951),1)="+",LEFT(UPPER($EI951),1)="-"),999),"E+","E"),"E-","E"),"+",""),"-","")),LEN(UPPER($EI951))-LEN(SUBSTITUTE(UPPER($EI951),"E",""))&lt;2,LEN(UPPER($EI951))-LEN(SUBSTITUTE(UPPER($EI951),".",""))&lt;2,IFERROR(FIND(".",UPPER($EI951)),0)&lt;IFERROR(FIND("E",UPPER($EI951)),999)),ISNUMBER(VALUE($EI951)))),1,2)))</f>
        <v/>
      </c>
      <c r="EK951">
        <f>IF($DM951=0,"",IF($EJ951=1,IF(ISNUMBER($EI951),$EI951,VALUE($EI951)),IF($EJ951=2,$DE951,0)))</f>
        <v/>
      </c>
      <c r="EL951">
        <f>IF($DM951=0,"",COUNTIF($EG$5:$EG$1003,"&lt;"&amp;$EG951)+SUMPRODUCT(($EG$5:$EG$1003=$EG951)*(($EJ$5:$EJ$1003&lt;$EJ951)+($EJ$5:$EJ$1003=$EJ951)*(($EK$5:$EK$1003&lt;$EK951)+($EK$5:$EK$1003=$EK951)*($DE$5:$DE$1003&lt;$DE951))))+1)</f>
        <v/>
      </c>
      <c r="EM951">
        <f>IF($DM951=0,"",$EL951+$EG951-1)</f>
        <v/>
      </c>
      <c r="EN951">
        <f>IF($DM951=0,0,IFERROR(MATCH(1,INDEX(--(TRIM(SUBSTITUTE(SUBSTITUTE(SUBSTITUTE(SUBSTITUTE(LINES_NAME&amp;""," "," "),CHAR(9)," "),CHAR(10)," "),CHAR(13)," "))=$DH951),0),0),0))</f>
        <v/>
      </c>
      <c r="EO951">
        <f>IF($EN951=0,0,IF(OR(UPPER(TRIM(INDEX(LINES_SCHEDULED,$EN951)&amp;""))="YES",UPPER(TRIM(INDEX(LINES_SCHEDULED,$EN951)&amp;""))="Y",UPPER(TRIM(INDEX(LINES_SCHEDULED,$EN951)&amp;""))="X"),1,0))</f>
        <v/>
      </c>
      <c r="EP951">
        <f>IF($DM951=0,"",IF(COUNTIFS($EG$5:$EG$1003,$EG951,$EB$5:$EB$1003,"Ready")&gt;0,"READY",IF(COUNTIFS($EG$5:$EG$1003,$EG951,$EB$5:$EB$1003,"PM")&gt;0,"PM",IF(COUNTIFS($EG$5:$EG$1003,$EG951,$EB$5:$EB$1003,"OT")&gt;0,"OT",""))))</f>
        <v/>
      </c>
      <c r="EQ951">
        <f>IF($EN951=0,"",UPPER(TRIM(INDEX(LINES_STATUS,$EN951)&amp;"")))</f>
        <v/>
      </c>
      <c r="ER951">
        <f>IF($DM951=0,"",IF(OR($EQ951="READY",$EQ951="PM",$EQ951="OT"),$EQ951,$EP951))</f>
        <v/>
      </c>
      <c r="ES951">
        <f>IF($DM951=0,"",IF(AND($DV951&lt;&gt;"",UPPER($DV951)&lt;&gt;"N"),"allergen",IF(ISNUMBER(SEARCH("oil",$DQ951)),"oil",IF(OR(EXACT($DS951,"A662"),EXACT($DS951,"A624")),"bulk",""))))</f>
        <v/>
      </c>
      <c r="ET951">
        <f>IF($DM951=0,"",IF(OR($EA951="",$EA951=0),"",$EA951/100))</f>
        <v/>
      </c>
      <c r="EU951">
        <f>IF(OR($ET951="",$DY951=""),"",INT($DY951*(1-$ET951)+0.5))</f>
        <v/>
      </c>
    </row>
    <row r="952">
      <c r="DA952" t="n">
        <v>948</v>
      </c>
      <c r="DB952">
        <f>IF($B$37=0,"",IFERROR(TRIM(SUBSTITUTE(SUBSTITUTE(SUBSTITUTE(SUBSTITUTE(INDEX(PASTE_ALL,948,$B$37)," "," "),CHAR(9)," "),CHAR(10)," "),CHAR(13)," ")),""))</f>
        <v/>
      </c>
      <c r="DC952">
        <f>IF(AND(948&gt;HEADER_ROW,UPPER(DB952)="LEGEND"),1,0)</f>
        <v/>
      </c>
      <c r="DE952" t="n">
        <v>948</v>
      </c>
      <c r="DF952">
        <f>HEADER_ROW+$DE952</f>
        <v/>
      </c>
      <c r="DG952">
        <f>IF(AND($DF952&lt;=1000,$DF952&lt;$B$8),1,0)</f>
        <v/>
      </c>
      <c r="DH952">
        <f>IF($DG952=1,IFERROR(INDEX($DB$5:$DB$1004,$DF952),""),"")</f>
        <v/>
      </c>
      <c r="DI952">
        <f>IF(AND($DG952=1,$DH952&lt;&gt;""),IFERROR(SUBSTITUTE(SUBSTITUTE(TRIM(SUBSTITUTE(SUBSTITUTE(SUBSTITUTE(SUBSTITUTE(IFERROR(INDEX(PASTE_ALL,$DF952,1)&amp;"","")&amp;"␟"&amp;IFERROR(INDEX(PASTE_ALL,$DF952,2)&amp;"","")&amp;"␟"&amp;IFERROR(INDEX(PASTE_ALL,$DF952,3)&amp;"","")&amp;"␟"&amp;IFERROR(INDEX(PASTE_ALL,$DF952,4)&amp;"","")&amp;"␟"&amp;IFERROR(INDEX(PASTE_ALL,$DF952,5)&amp;"","")&amp;"␟"&amp;IFERROR(INDEX(PASTE_ALL,$DF952,6)&amp;"","")&amp;"␟"&amp;IFERROR(INDEX(PASTE_ALL,$DF952,7)&amp;"","")&amp;"␟"&amp;IFERROR(INDEX(PASTE_ALL,$DF952,8)&amp;"","")&amp;"␟"&amp;IFERROR(INDEX(PASTE_ALL,$DF952,9)&amp;"","")&amp;"␟"&amp;IFERROR(INDEX(PASTE_ALL,$DF952,10)&amp;"","")&amp;"␟"&amp;IFERROR(INDEX(PASTE_ALL,$DF952,11)&amp;"","")&amp;"␟"&amp;IFERROR(INDEX(PASTE_ALL,$DF952,12)&amp;"","")&amp;"␟"&amp;IFERROR(INDEX(PASTE_ALL,$DF952,13)&amp;"","")&amp;"␟"&amp;IFERROR(INDEX(PASTE_ALL,$DF952,14)&amp;"","")&amp;"␟"&amp;IFERROR(INDEX(PASTE_ALL,$DF952,15)&amp;"","")&amp;"␟"&amp;IFERROR(INDEX(PASTE_ALL,$DF952,16)&amp;"","")&amp;"␟"&amp;IFERROR(INDEX(PASTE_ALL,$DF952,17)&amp;"","")&amp;"␟"&amp;IFERROR(INDEX(PASTE_ALL,$DF952,18)&amp;"","")&amp;"␟"&amp;IFERROR(INDEX(PASTE_ALL,$DF952,19)&amp;"","")&amp;"␟"&amp;IFERROR(INDEX(PASTE_ALL,$DF952,20)&amp;"","")&amp;"␟"&amp;IFERROR(INDEX(PASTE_ALL,$DF952,21)&amp;"","")&amp;"␟"&amp;IFERROR(INDEX(PASTE_ALL,$DF952,22)&amp;"","")&amp;"␟"&amp;IFERROR(INDEX(PASTE_ALL,$DF952,23)&amp;"","")&amp;"␟"&amp;IFERROR(INDEX(PASTE_ALL,$DF952,24)&amp;"","")&amp;"␟"&amp;IFERROR(INDEX(PASTE_ALL,$DF952,25)&amp;"","")&amp;"␟"&amp;IFERROR(INDEX(PASTE_ALL,$DF952,26)&amp;"","")&amp;"␟"&amp;IFERROR(INDEX(PASTE_ALL,$DF952,27)&amp;"","")&amp;"␟"&amp;IFERROR(INDEX(PASTE_ALL,$DF952,28)&amp;"","")&amp;"␟"&amp;IFERROR(INDEX(PASTE_ALL,$DF952,29)&amp;"","")&amp;"␟"&amp;IFERROR(INDEX(PASTE_ALL,$DF952,30)&amp;"","")&amp;"␟"&amp;IFERROR(INDEX(PASTE_ALL,$DF952,31)&amp;"","")&amp;"␟"&amp;IFERROR(INDEX(PASTE_ALL,$DF952,32)&amp;"","")&amp;"␟"&amp;IFERROR(INDEX(PASTE_ALL,$DF952,33)&amp;"","")&amp;"␟"&amp;IFERROR(INDEX(PASTE_ALL,$DF952,34)&amp;"","")&amp;"␟"&amp;IFERROR(INDEX(PASTE_ALL,$DF952,35)&amp;"","")&amp;"␟"&amp;IFERROR(INDEX(PASTE_ALL,$DF952,36)&amp;"","")&amp;"␟"&amp;IFERROR(INDEX(PASTE_ALL,$DF952,37)&amp;"","")&amp;"␟"&amp;IFERROR(INDEX(PASTE_ALL,$DF952,38)&amp;"","")&amp;"␟"&amp;IFERROR(INDEX(PASTE_ALL,$DF952,39)&amp;"","")&amp;"␟"&amp;IFERROR(INDEX(PASTE_ALL,$DF952,40)&amp;"","")&amp;"␟"&amp;IFERROR(INDEX(PASTE_ALL,$DF952,41)&amp;"","")&amp;"␟"&amp;IFERROR(INDEX(PASTE_ALL,$DF952,42)&amp;"","")&amp;"␟"&amp;IFERROR(INDEX(PASTE_ALL,$DF952,43)&amp;"","")&amp;"␟"&amp;IFERROR(INDEX(PASTE_ALL,$DF952,44)&amp;"","")&amp;"␟"&amp;IFERROR(INDEX(PASTE_ALL,$DF952,45)&amp;"","")&amp;"␟"&amp;IFERROR(INDEX(PASTE_ALL,$DF952,46)&amp;"","")&amp;"␟"&amp;IFERROR(INDEX(PASTE_ALL,$DF952,47)&amp;"","")&amp;"␟"&amp;IFERROR(INDEX(PASTE_ALL,$DF952,48)&amp;"","")&amp;"␟"&amp;IFERROR(INDEX(PASTE_ALL,$DF952,49)&amp;"","")&amp;"␟"&amp;IFERROR(INDEX(PASTE_ALL,$DF952,50)&amp;"","")&amp;"␟"&amp;IFERROR(INDEX(PASTE_ALL,$DF952,51)&amp;"","")&amp;"␟"&amp;IFERROR(INDEX(PASTE_ALL,$DF952,52)&amp;"","")&amp;"␟"&amp;IFERROR(INDEX(PASTE_ALL,$DF952,53)&amp;"","")&amp;"␟"&amp;IFERROR(INDEX(PASTE_ALL,$DF952,54)&amp;"","")&amp;"␟"&amp;IFERROR(INDEX(PASTE_ALL,$DF952,55)&amp;"","")&amp;"␟"&amp;IFERROR(INDEX(PASTE_ALL,$DF952,56)&amp;"","")&amp;"␟"&amp;IFERROR(INDEX(PASTE_ALL,$DF952,57)&amp;"","")&amp;"␟"&amp;IFERROR(INDEX(PASTE_ALL,$DF952,58)&amp;"","")&amp;"␟"&amp;IFERROR(INDEX(PASTE_ALL,$DF952,59)&amp;"","")&amp;"␟"&amp;IFERROR(INDEX(PASTE_ALL,$DF952,60)&amp;"","")," "," "),CHAR(9)," "),CHAR(10)," "),CHAR(13)," "))," ␟","␟"),"␟ ","␟"),"#"&amp;$DE952),"")</f>
        <v/>
      </c>
      <c r="DJ952">
        <f>IF($DI952="",0,IF(SUMPRODUCT(--EXACT($DI$4:DI951,$DI952))&gt;0,1,0))</f>
        <v/>
      </c>
      <c r="DK952">
        <f>IF(AND($DI952&lt;&gt;"",$DJ952=0),1,0)</f>
        <v/>
      </c>
      <c r="DL952">
        <f>DL951+$DK952</f>
        <v/>
      </c>
      <c r="DM952">
        <f>IF(AND($DK952=1,$DL952&lt;=600),1,0)</f>
        <v/>
      </c>
      <c r="DN952">
        <f>IF($DM952=0,"",IF($L$6=0,"",IFERROR(IF(ISNUMBER(INDEX(PASTE_ALL,$DF952,$L$6)),INDEX(PASTE_ALL,$DF952,$L$6),TRIM(SUBSTITUTE(SUBSTITUTE(SUBSTITUTE(SUBSTITUTE(INDEX(PASTE_ALL,$DF952,$L$6)," "," "),CHAR(9)," "),CHAR(10)," "),CHAR(13)," "))),"")))</f>
        <v/>
      </c>
      <c r="DO952">
        <f>IF($DM952=0,"",IF($L$7=0,"",IFERROR(IF(ISNUMBER(INDEX(PASTE_ALL,$DF952,$L$7)),INDEX(PASTE_ALL,$DF952,$L$7),TRIM(SUBSTITUTE(SUBSTITUTE(SUBSTITUTE(SUBSTITUTE(INDEX(PASTE_ALL,$DF952,$L$7)," "," "),CHAR(9)," "),CHAR(10)," "),CHAR(13)," "))),"")))</f>
        <v/>
      </c>
      <c r="DP952">
        <f>IF($DM952=0,"",IF($L$8=0,"",IFERROR(IF(ISNUMBER(INDEX(PASTE_ALL,$DF952,$L$8)),INDEX(PASTE_ALL,$DF952,$L$8),TRIM(SUBSTITUTE(SUBSTITUTE(SUBSTITUTE(SUBSTITUTE(INDEX(PASTE_ALL,$DF952,$L$8)," "," "),CHAR(9)," "),CHAR(10)," "),CHAR(13)," "))),"")))</f>
        <v/>
      </c>
      <c r="DQ952">
        <f>IF($DM952=0,"",IF($L$9=0,"",IFERROR(IF(ISNUMBER(INDEX(PASTE_ALL,$DF952,$L$9)),INDEX(PASTE_ALL,$DF952,$L$9),TRIM(SUBSTITUTE(SUBSTITUTE(SUBSTITUTE(SUBSTITUTE(INDEX(PASTE_ALL,$DF952,$L$9)," "," "),CHAR(9)," "),CHAR(10)," "),CHAR(13)," "))),"")))</f>
        <v/>
      </c>
      <c r="DR952">
        <f>IF($DM952=0,"",IF($L$10=0,"",IFERROR(IF(ISNUMBER(INDEX(PASTE_ALL,$DF952,$L$10)),INDEX(PASTE_ALL,$DF952,$L$10),TRIM(SUBSTITUTE(SUBSTITUTE(SUBSTITUTE(SUBSTITUTE(INDEX(PASTE_ALL,$DF952,$L$10)," "," "),CHAR(9)," "),CHAR(10)," "),CHAR(13)," "))),"")))</f>
        <v/>
      </c>
      <c r="DS952">
        <f>IF($DM952=0,"",IF($L$11=0,"",IFERROR(IF(ISNUMBER(INDEX(PASTE_ALL,$DF952,$L$11)),INDEX(PASTE_ALL,$DF952,$L$11),TRIM(SUBSTITUTE(SUBSTITUTE(SUBSTITUTE(SUBSTITUTE(INDEX(PASTE_ALL,$DF952,$L$11)," "," "),CHAR(9)," "),CHAR(10)," "),CHAR(13)," "))),"")))</f>
        <v/>
      </c>
      <c r="DT952">
        <f>IF($DM952=0,"",IF($L$12=0,"",IFERROR(IF(ISNUMBER(INDEX(PASTE_ALL,$DF952,$L$12)),INDEX(PASTE_ALL,$DF952,$L$12),TRIM(SUBSTITUTE(SUBSTITUTE(SUBSTITUTE(SUBSTITUTE(INDEX(PASTE_ALL,$DF952,$L$12)," "," "),CHAR(9)," "),CHAR(10)," "),CHAR(13)," "))),"")))</f>
        <v/>
      </c>
      <c r="DU952">
        <f>IF($DM952=0,"",IF($L$13=0,"",IFERROR(IF(ISNUMBER(INDEX(PASTE_ALL,$DF952,$L$13)),INDEX(PASTE_ALL,$DF952,$L$13),TRIM(SUBSTITUTE(SUBSTITUTE(SUBSTITUTE(SUBSTITUTE(INDEX(PASTE_ALL,$DF952,$L$13)," "," "),CHAR(9)," "),CHAR(10)," "),CHAR(13)," "))),"")))</f>
        <v/>
      </c>
      <c r="DV952">
        <f>IF($DM952=0,"",IF($L$14=0,"",IFERROR(IF(ISNUMBER(INDEX(PASTE_ALL,$DF952,$L$14)),INDEX(PASTE_ALL,$DF952,$L$14),TRIM(SUBSTITUTE(SUBSTITUTE(SUBSTITUTE(SUBSTITUTE(INDEX(PASTE_ALL,$DF952,$L$14)," "," "),CHAR(9)," "),CHAR(10)," "),CHAR(13)," "))),"")))</f>
        <v/>
      </c>
      <c r="DW952">
        <f>IF($DM952=0,"",IF($L$15=0,"",IFERROR(IF(ISNUMBER(INDEX(PASTE_ALL,$DF952,$L$15)),INDEX(PASTE_ALL,$DF952,$L$15),IF(SUMPRODUCT(--ISNUMBER(FIND({"A","B","C","D","E","F","G","H","I","J","K","L","M","N","O","P","Q","R","S","T","U","V","W","X","Y","Z","0","1","2","3","4","5","6","7","8","9"},UPPER(TRIM(SUBSTITUTE(SUBSTITUTE(SUBSTITUTE(SUBSTITUTE(INDEX(PASTE_ALL,$DF952,$L$15)," "," "),CHAR(9)," "),CHAR(10)," "),CHAR(13)," "))))))&gt;0,TRIM(SUBSTITUTE(SUBSTITUTE(SUBSTITUTE(SUBSTITUTE(INDEX(PASTE_ALL,$DF952,$L$15)," "," "),CHAR(9)," "),CHAR(10)," "),CHAR(13)," ")),"")),"")))</f>
        <v/>
      </c>
      <c r="DX952">
        <f>IF($DM952=0,"",IF($L$16=0,"",IFERROR(IF(ISNUMBER(INDEX(PASTE_ALL,$DF952,$L$16)),INDEX(PASTE_ALL,$DF952,$L$16),SUBSTITUTE(SUBSTITUTE(TRIM(SUBSTITUTE(SUBSTITUTE(SUBSTITUTE(SUBSTITUTE(INDEX(PASTE_ALL,$DF952,$L$16)," "," "),CHAR(9)," "),CHAR(10)," "),CHAR(13)," ")),",",""),"%","")),"")))</f>
        <v/>
      </c>
      <c r="DY952">
        <f>IF($DM952=0,"",IFERROR(IF(ISNUMBER($DX952),$DX952,IF($DX952="","",IF(TRIM($DX952)="",0,IF(AND(AND(SUBSTITUTE(SUBSTITUTE(SUBSTITUTE(SUBSTITUTE(SUBSTITUTE(SUBSTITUTE(SUBSTITUTE(SUBSTITUTE(SUBSTITUTE(SUBSTITUTE(SUBSTITUTE(SUBSTITUTE(SUBSTITUTE(SUBSTITUTE(UPPER(TRIM($DX952)),"0",""),"1",""),"2",""),"3",""),"4",""),"5",""),"6",""),"7",""),"8",""),"9",""),".",""),"+",""),"-",""),"E","")="",LEN(SUBSTITUTE(SUBSTITUTE(MID(UPPER(TRIM($DX952)),1+OR(LEFT(UPPER(TRIM($DX952)),1)="+",LEFT(UPPER(TRIM($DX952)),1)="-"),999),"E+","E"),"E-","E"))=LEN(SUBSTITUTE(SUBSTITUTE(SUBSTITUTE(SUBSTITUTE(MID(UPPER(TRIM($DX952)),1+OR(LEFT(UPPER(TRIM($DX952)),1)="+",LEFT(UPPER(TRIM($DX952)),1)="-"),999),"E+","E"),"E-","E"),"+",""),"-","")),LEN(UPPER(TRIM($DX952)))-LEN(SUBSTITUTE(UPPER(TRIM($DX952)),"E",""))&lt;2,LEN(UPPER(TRIM($DX952)))-LEN(SUBSTITUTE(UPPER(TRIM($DX952)),".",""))&lt;2,IFERROR(FIND(".",UPPER(TRIM($DX952))),0)&lt;IFERROR(FIND("E",UPPER(TRIM($DX952))),999)),ISNUMBER(VALUE(TRIM($DX952)))),VALUE(TRIM($DX952)),"")))),""))</f>
        <v/>
      </c>
      <c r="DZ952">
        <f>IF($DM952=0,"",IF($L$17=0,"",IFERROR(IF(ISNUMBER(INDEX(PASTE_ALL,$DF952,$L$17)),INDEX(PASTE_ALL,$DF952,$L$17),SUBSTITUTE(SUBSTITUTE(TRIM(SUBSTITUTE(SUBSTITUTE(SUBSTITUTE(SUBSTITUTE(INDEX(PASTE_ALL,$DF952,$L$17)," "," "),CHAR(9)," "),CHAR(10)," "),CHAR(13)," ")),",",""),"%","")),"")))</f>
        <v/>
      </c>
      <c r="EA952">
        <f>IF($DM952=0,"",IFERROR(IF(ISNUMBER($DZ952),$DZ952,IF($DZ952="","",IF(TRIM($DZ952)="",0,IF(AND(AND(SUBSTITUTE(SUBSTITUTE(SUBSTITUTE(SUBSTITUTE(SUBSTITUTE(SUBSTITUTE(SUBSTITUTE(SUBSTITUTE(SUBSTITUTE(SUBSTITUTE(SUBSTITUTE(SUBSTITUTE(SUBSTITUTE(SUBSTITUTE(UPPER(TRIM($DZ952)),"0",""),"1",""),"2",""),"3",""),"4",""),"5",""),"6",""),"7",""),"8",""),"9",""),".",""),"+",""),"-",""),"E","")="",LEN(SUBSTITUTE(SUBSTITUTE(MID(UPPER(TRIM($DZ952)),1+OR(LEFT(UPPER(TRIM($DZ952)),1)="+",LEFT(UPPER(TRIM($DZ952)),1)="-"),999),"E+","E"),"E-","E"))=LEN(SUBSTITUTE(SUBSTITUTE(SUBSTITUTE(SUBSTITUTE(MID(UPPER(TRIM($DZ952)),1+OR(LEFT(UPPER(TRIM($DZ952)),1)="+",LEFT(UPPER(TRIM($DZ952)),1)="-"),999),"E+","E"),"E-","E"),"+",""),"-","")),LEN(UPPER(TRIM($DZ952)))-LEN(SUBSTITUTE(UPPER(TRIM($DZ952)),"E",""))&lt;2,LEN(UPPER(TRIM($DZ952)))-LEN(SUBSTITUTE(UPPER(TRIM($DZ952)),".",""))&lt;2,IFERROR(FIND(".",UPPER(TRIM($DZ952))),0)&lt;IFERROR(FIND("E",UPPER(TRIM($DZ952))),999)),ISNUMBER(VALUE(TRIM($DZ952)))),VALUE(TRIM($DZ952)),"")))),""))</f>
        <v/>
      </c>
      <c r="EB952">
        <f>IF($DM952=0,"",IF($L$18=0,"",IFERROR(IF(UPPER(TRIM(SUBSTITUTE(SUBSTITUTE(SUBSTITUTE(SUBSTITUTE(INDEX(PASTE_ALL,$DF952,$L$18)," "," "),CHAR(9)," "),CHAR(10)," "),CHAR(13)," ")))="READY","Ready",IF(UPPER(TRIM(SUBSTITUTE(SUBSTITUTE(SUBSTITUTE(SUBSTITUTE(INDEX(PASTE_ALL,$DF952,$L$18)," "," "),CHAR(9)," "),CHAR(10)," "),CHAR(13)," ")))="PM","PM",IF(OR(UPPER(TRIM(SUBSTITUTE(SUBSTITUTE(SUBSTITUTE(SUBSTITUTE(INDEX(PASTE_ALL,$DF952,$L$18)," "," "),CHAR(9)," "),CHAR(10)," "),CHAR(13)," ")))="OT",UPPER(TRIM(SUBSTITUTE(SUBSTITUTE(SUBSTITUTE(SUBSTITUTE(INDEX(PASTE_ALL,$DF952,$L$18)," "," "),CHAR(9)," "),CHAR(10)," "),CHAR(13)," ")))="OVERTIME",UPPER(TRIM(SUBSTITUTE(SUBSTITUTE(SUBSTITUTE(SUBSTITUTE(INDEX(PASTE_ALL,$DF952,$L$18)," "," "),CHAR(9)," "),CHAR(10)," "),CHAR(13)," ")))="TRIAL"),"OT",TRIM(SUBSTITUTE(SUBSTITUTE(SUBSTITUTE(SUBSTITUTE(INDEX(PASTE_ALL,$DF952,$L$18)," "," "),CHAR(9)," "),CHAR(10)," "),CHAR(13)," "))))),"")))</f>
        <v/>
      </c>
      <c r="EC952">
        <f>IF($DM952=0,"",IF($L$19=0,"",IFERROR(IF(ISNUMBER(INDEX(PASTE_ALL,$DF952,$L$19)),INDEX(PASTE_ALL,$DF952,$L$19),TRIM(SUBSTITUTE(SUBSTITUTE(SUBSTITUTE(SUBSTITUTE(INDEX(PASTE_ALL,$DF952,$L$19)," "," "),CHAR(9)," "),CHAR(10)," "),CHAR(13)," "))),"")))</f>
        <v/>
      </c>
      <c r="ED952">
        <f>IF($DM952=0,"",MATCH(1,INDEX(EXACT($DH$5:DH952,$DH952)*$DM$5:DM952,0),0))</f>
        <v/>
      </c>
      <c r="EE952">
        <f>IF($DM952=0,0,IF($ED952=$DE952,1,0))</f>
        <v/>
      </c>
      <c r="EF952">
        <f>EF951+$EE952</f>
        <v/>
      </c>
      <c r="EG952">
        <f>IF($DM952=0,"",INDEX($EF$5:$EF$1003,$ED952))</f>
        <v/>
      </c>
      <c r="EH952">
        <f>IF($DM952=0,"",IF($DO952&lt;&gt;"","",IFERROR(LOOKUP(2,1/(($EG$4:EG951=$EG952)*($DO$4:DO951&lt;&gt;"")),$DO$4:DO951),"")))</f>
        <v/>
      </c>
      <c r="EI952">
        <f>IF($DM952=0,"",IF($DO952&lt;&gt;"",$DO952,$EH952))</f>
        <v/>
      </c>
      <c r="EJ952">
        <f>IF($DM952=0,"",IF($EI952="",0,IF(OR(ISNUMBER($EI952),AND(AND(SUBSTITUTE(SUBSTITUTE(SUBSTITUTE(SUBSTITUTE(SUBSTITUTE(SUBSTITUTE(SUBSTITUTE(SUBSTITUTE(SUBSTITUTE(SUBSTITUTE(SUBSTITUTE(SUBSTITUTE(SUBSTITUTE(SUBSTITUTE(UPPER($EI952),"0",""),"1",""),"2",""),"3",""),"4",""),"5",""),"6",""),"7",""),"8",""),"9",""),".",""),"+",""),"-",""),"E","")="",LEN(SUBSTITUTE(SUBSTITUTE(MID(UPPER($EI952),1+OR(LEFT(UPPER($EI952),1)="+",LEFT(UPPER($EI952),1)="-"),999),"E+","E"),"E-","E"))=LEN(SUBSTITUTE(SUBSTITUTE(SUBSTITUTE(SUBSTITUTE(MID(UPPER($EI952),1+OR(LEFT(UPPER($EI952),1)="+",LEFT(UPPER($EI952),1)="-"),999),"E+","E"),"E-","E"),"+",""),"-","")),LEN(UPPER($EI952))-LEN(SUBSTITUTE(UPPER($EI952),"E",""))&lt;2,LEN(UPPER($EI952))-LEN(SUBSTITUTE(UPPER($EI952),".",""))&lt;2,IFERROR(FIND(".",UPPER($EI952)),0)&lt;IFERROR(FIND("E",UPPER($EI952)),999)),ISNUMBER(VALUE($EI952)))),1,2)))</f>
        <v/>
      </c>
      <c r="EK952">
        <f>IF($DM952=0,"",IF($EJ952=1,IF(ISNUMBER($EI952),$EI952,VALUE($EI952)),IF($EJ952=2,$DE952,0)))</f>
        <v/>
      </c>
      <c r="EL952">
        <f>IF($DM952=0,"",COUNTIF($EG$5:$EG$1003,"&lt;"&amp;$EG952)+SUMPRODUCT(($EG$5:$EG$1003=$EG952)*(($EJ$5:$EJ$1003&lt;$EJ952)+($EJ$5:$EJ$1003=$EJ952)*(($EK$5:$EK$1003&lt;$EK952)+($EK$5:$EK$1003=$EK952)*($DE$5:$DE$1003&lt;$DE952))))+1)</f>
        <v/>
      </c>
      <c r="EM952">
        <f>IF($DM952=0,"",$EL952+$EG952-1)</f>
        <v/>
      </c>
      <c r="EN952">
        <f>IF($DM952=0,0,IFERROR(MATCH(1,INDEX(--(TRIM(SUBSTITUTE(SUBSTITUTE(SUBSTITUTE(SUBSTITUTE(LINES_NAME&amp;""," "," "),CHAR(9)," "),CHAR(10)," "),CHAR(13)," "))=$DH952),0),0),0))</f>
        <v/>
      </c>
      <c r="EO952">
        <f>IF($EN952=0,0,IF(OR(UPPER(TRIM(INDEX(LINES_SCHEDULED,$EN952)&amp;""))="YES",UPPER(TRIM(INDEX(LINES_SCHEDULED,$EN952)&amp;""))="Y",UPPER(TRIM(INDEX(LINES_SCHEDULED,$EN952)&amp;""))="X"),1,0))</f>
        <v/>
      </c>
      <c r="EP952">
        <f>IF($DM952=0,"",IF(COUNTIFS($EG$5:$EG$1003,$EG952,$EB$5:$EB$1003,"Ready")&gt;0,"READY",IF(COUNTIFS($EG$5:$EG$1003,$EG952,$EB$5:$EB$1003,"PM")&gt;0,"PM",IF(COUNTIFS($EG$5:$EG$1003,$EG952,$EB$5:$EB$1003,"OT")&gt;0,"OT",""))))</f>
        <v/>
      </c>
      <c r="EQ952">
        <f>IF($EN952=0,"",UPPER(TRIM(INDEX(LINES_STATUS,$EN952)&amp;"")))</f>
        <v/>
      </c>
      <c r="ER952">
        <f>IF($DM952=0,"",IF(OR($EQ952="READY",$EQ952="PM",$EQ952="OT"),$EQ952,$EP952))</f>
        <v/>
      </c>
      <c r="ES952">
        <f>IF($DM952=0,"",IF(AND($DV952&lt;&gt;"",UPPER($DV952)&lt;&gt;"N"),"allergen",IF(ISNUMBER(SEARCH("oil",$DQ952)),"oil",IF(OR(EXACT($DS952,"A662"),EXACT($DS952,"A624")),"bulk",""))))</f>
        <v/>
      </c>
      <c r="ET952">
        <f>IF($DM952=0,"",IF(OR($EA952="",$EA952=0),"",$EA952/100))</f>
        <v/>
      </c>
      <c r="EU952">
        <f>IF(OR($ET952="",$DY952=""),"",INT($DY952*(1-$ET952)+0.5))</f>
        <v/>
      </c>
    </row>
    <row r="953">
      <c r="DA953" t="n">
        <v>949</v>
      </c>
      <c r="DB953">
        <f>IF($B$37=0,"",IFERROR(TRIM(SUBSTITUTE(SUBSTITUTE(SUBSTITUTE(SUBSTITUTE(INDEX(PASTE_ALL,949,$B$37)," "," "),CHAR(9)," "),CHAR(10)," "),CHAR(13)," ")),""))</f>
        <v/>
      </c>
      <c r="DC953">
        <f>IF(AND(949&gt;HEADER_ROW,UPPER(DB953)="LEGEND"),1,0)</f>
        <v/>
      </c>
      <c r="DE953" t="n">
        <v>949</v>
      </c>
      <c r="DF953">
        <f>HEADER_ROW+$DE953</f>
        <v/>
      </c>
      <c r="DG953">
        <f>IF(AND($DF953&lt;=1000,$DF953&lt;$B$8),1,0)</f>
        <v/>
      </c>
      <c r="DH953">
        <f>IF($DG953=1,IFERROR(INDEX($DB$5:$DB$1004,$DF953),""),"")</f>
        <v/>
      </c>
      <c r="DI953">
        <f>IF(AND($DG953=1,$DH953&lt;&gt;""),IFERROR(SUBSTITUTE(SUBSTITUTE(TRIM(SUBSTITUTE(SUBSTITUTE(SUBSTITUTE(SUBSTITUTE(IFERROR(INDEX(PASTE_ALL,$DF953,1)&amp;"","")&amp;"␟"&amp;IFERROR(INDEX(PASTE_ALL,$DF953,2)&amp;"","")&amp;"␟"&amp;IFERROR(INDEX(PASTE_ALL,$DF953,3)&amp;"","")&amp;"␟"&amp;IFERROR(INDEX(PASTE_ALL,$DF953,4)&amp;"","")&amp;"␟"&amp;IFERROR(INDEX(PASTE_ALL,$DF953,5)&amp;"","")&amp;"␟"&amp;IFERROR(INDEX(PASTE_ALL,$DF953,6)&amp;"","")&amp;"␟"&amp;IFERROR(INDEX(PASTE_ALL,$DF953,7)&amp;"","")&amp;"␟"&amp;IFERROR(INDEX(PASTE_ALL,$DF953,8)&amp;"","")&amp;"␟"&amp;IFERROR(INDEX(PASTE_ALL,$DF953,9)&amp;"","")&amp;"␟"&amp;IFERROR(INDEX(PASTE_ALL,$DF953,10)&amp;"","")&amp;"␟"&amp;IFERROR(INDEX(PASTE_ALL,$DF953,11)&amp;"","")&amp;"␟"&amp;IFERROR(INDEX(PASTE_ALL,$DF953,12)&amp;"","")&amp;"␟"&amp;IFERROR(INDEX(PASTE_ALL,$DF953,13)&amp;"","")&amp;"␟"&amp;IFERROR(INDEX(PASTE_ALL,$DF953,14)&amp;"","")&amp;"␟"&amp;IFERROR(INDEX(PASTE_ALL,$DF953,15)&amp;"","")&amp;"␟"&amp;IFERROR(INDEX(PASTE_ALL,$DF953,16)&amp;"","")&amp;"␟"&amp;IFERROR(INDEX(PASTE_ALL,$DF953,17)&amp;"","")&amp;"␟"&amp;IFERROR(INDEX(PASTE_ALL,$DF953,18)&amp;"","")&amp;"␟"&amp;IFERROR(INDEX(PASTE_ALL,$DF953,19)&amp;"","")&amp;"␟"&amp;IFERROR(INDEX(PASTE_ALL,$DF953,20)&amp;"","")&amp;"␟"&amp;IFERROR(INDEX(PASTE_ALL,$DF953,21)&amp;"","")&amp;"␟"&amp;IFERROR(INDEX(PASTE_ALL,$DF953,22)&amp;"","")&amp;"␟"&amp;IFERROR(INDEX(PASTE_ALL,$DF953,23)&amp;"","")&amp;"␟"&amp;IFERROR(INDEX(PASTE_ALL,$DF953,24)&amp;"","")&amp;"␟"&amp;IFERROR(INDEX(PASTE_ALL,$DF953,25)&amp;"","")&amp;"␟"&amp;IFERROR(INDEX(PASTE_ALL,$DF953,26)&amp;"","")&amp;"␟"&amp;IFERROR(INDEX(PASTE_ALL,$DF953,27)&amp;"","")&amp;"␟"&amp;IFERROR(INDEX(PASTE_ALL,$DF953,28)&amp;"","")&amp;"␟"&amp;IFERROR(INDEX(PASTE_ALL,$DF953,29)&amp;"","")&amp;"␟"&amp;IFERROR(INDEX(PASTE_ALL,$DF953,30)&amp;"","")&amp;"␟"&amp;IFERROR(INDEX(PASTE_ALL,$DF953,31)&amp;"","")&amp;"␟"&amp;IFERROR(INDEX(PASTE_ALL,$DF953,32)&amp;"","")&amp;"␟"&amp;IFERROR(INDEX(PASTE_ALL,$DF953,33)&amp;"","")&amp;"␟"&amp;IFERROR(INDEX(PASTE_ALL,$DF953,34)&amp;"","")&amp;"␟"&amp;IFERROR(INDEX(PASTE_ALL,$DF953,35)&amp;"","")&amp;"␟"&amp;IFERROR(INDEX(PASTE_ALL,$DF953,36)&amp;"","")&amp;"␟"&amp;IFERROR(INDEX(PASTE_ALL,$DF953,37)&amp;"","")&amp;"␟"&amp;IFERROR(INDEX(PASTE_ALL,$DF953,38)&amp;"","")&amp;"␟"&amp;IFERROR(INDEX(PASTE_ALL,$DF953,39)&amp;"","")&amp;"␟"&amp;IFERROR(INDEX(PASTE_ALL,$DF953,40)&amp;"","")&amp;"␟"&amp;IFERROR(INDEX(PASTE_ALL,$DF953,41)&amp;"","")&amp;"␟"&amp;IFERROR(INDEX(PASTE_ALL,$DF953,42)&amp;"","")&amp;"␟"&amp;IFERROR(INDEX(PASTE_ALL,$DF953,43)&amp;"","")&amp;"␟"&amp;IFERROR(INDEX(PASTE_ALL,$DF953,44)&amp;"","")&amp;"␟"&amp;IFERROR(INDEX(PASTE_ALL,$DF953,45)&amp;"","")&amp;"␟"&amp;IFERROR(INDEX(PASTE_ALL,$DF953,46)&amp;"","")&amp;"␟"&amp;IFERROR(INDEX(PASTE_ALL,$DF953,47)&amp;"","")&amp;"␟"&amp;IFERROR(INDEX(PASTE_ALL,$DF953,48)&amp;"","")&amp;"␟"&amp;IFERROR(INDEX(PASTE_ALL,$DF953,49)&amp;"","")&amp;"␟"&amp;IFERROR(INDEX(PASTE_ALL,$DF953,50)&amp;"","")&amp;"␟"&amp;IFERROR(INDEX(PASTE_ALL,$DF953,51)&amp;"","")&amp;"␟"&amp;IFERROR(INDEX(PASTE_ALL,$DF953,52)&amp;"","")&amp;"␟"&amp;IFERROR(INDEX(PASTE_ALL,$DF953,53)&amp;"","")&amp;"␟"&amp;IFERROR(INDEX(PASTE_ALL,$DF953,54)&amp;"","")&amp;"␟"&amp;IFERROR(INDEX(PASTE_ALL,$DF953,55)&amp;"","")&amp;"␟"&amp;IFERROR(INDEX(PASTE_ALL,$DF953,56)&amp;"","")&amp;"␟"&amp;IFERROR(INDEX(PASTE_ALL,$DF953,57)&amp;"","")&amp;"␟"&amp;IFERROR(INDEX(PASTE_ALL,$DF953,58)&amp;"","")&amp;"␟"&amp;IFERROR(INDEX(PASTE_ALL,$DF953,59)&amp;"","")&amp;"␟"&amp;IFERROR(INDEX(PASTE_ALL,$DF953,60)&amp;"","")," "," "),CHAR(9)," "),CHAR(10)," "),CHAR(13)," "))," ␟","␟"),"␟ ","␟"),"#"&amp;$DE953),"")</f>
        <v/>
      </c>
      <c r="DJ953">
        <f>IF($DI953="",0,IF(SUMPRODUCT(--EXACT($DI$4:DI952,$DI953))&gt;0,1,0))</f>
        <v/>
      </c>
      <c r="DK953">
        <f>IF(AND($DI953&lt;&gt;"",$DJ953=0),1,0)</f>
        <v/>
      </c>
      <c r="DL953">
        <f>DL952+$DK953</f>
        <v/>
      </c>
      <c r="DM953">
        <f>IF(AND($DK953=1,$DL953&lt;=600),1,0)</f>
        <v/>
      </c>
      <c r="DN953">
        <f>IF($DM953=0,"",IF($L$6=0,"",IFERROR(IF(ISNUMBER(INDEX(PASTE_ALL,$DF953,$L$6)),INDEX(PASTE_ALL,$DF953,$L$6),TRIM(SUBSTITUTE(SUBSTITUTE(SUBSTITUTE(SUBSTITUTE(INDEX(PASTE_ALL,$DF953,$L$6)," "," "),CHAR(9)," "),CHAR(10)," "),CHAR(13)," "))),"")))</f>
        <v/>
      </c>
      <c r="DO953">
        <f>IF($DM953=0,"",IF($L$7=0,"",IFERROR(IF(ISNUMBER(INDEX(PASTE_ALL,$DF953,$L$7)),INDEX(PASTE_ALL,$DF953,$L$7),TRIM(SUBSTITUTE(SUBSTITUTE(SUBSTITUTE(SUBSTITUTE(INDEX(PASTE_ALL,$DF953,$L$7)," "," "),CHAR(9)," "),CHAR(10)," "),CHAR(13)," "))),"")))</f>
        <v/>
      </c>
      <c r="DP953">
        <f>IF($DM953=0,"",IF($L$8=0,"",IFERROR(IF(ISNUMBER(INDEX(PASTE_ALL,$DF953,$L$8)),INDEX(PASTE_ALL,$DF953,$L$8),TRIM(SUBSTITUTE(SUBSTITUTE(SUBSTITUTE(SUBSTITUTE(INDEX(PASTE_ALL,$DF953,$L$8)," "," "),CHAR(9)," "),CHAR(10)," "),CHAR(13)," "))),"")))</f>
        <v/>
      </c>
      <c r="DQ953">
        <f>IF($DM953=0,"",IF($L$9=0,"",IFERROR(IF(ISNUMBER(INDEX(PASTE_ALL,$DF953,$L$9)),INDEX(PASTE_ALL,$DF953,$L$9),TRIM(SUBSTITUTE(SUBSTITUTE(SUBSTITUTE(SUBSTITUTE(INDEX(PASTE_ALL,$DF953,$L$9)," "," "),CHAR(9)," "),CHAR(10)," "),CHAR(13)," "))),"")))</f>
        <v/>
      </c>
      <c r="DR953">
        <f>IF($DM953=0,"",IF($L$10=0,"",IFERROR(IF(ISNUMBER(INDEX(PASTE_ALL,$DF953,$L$10)),INDEX(PASTE_ALL,$DF953,$L$10),TRIM(SUBSTITUTE(SUBSTITUTE(SUBSTITUTE(SUBSTITUTE(INDEX(PASTE_ALL,$DF953,$L$10)," "," "),CHAR(9)," "),CHAR(10)," "),CHAR(13)," "))),"")))</f>
        <v/>
      </c>
      <c r="DS953">
        <f>IF($DM953=0,"",IF($L$11=0,"",IFERROR(IF(ISNUMBER(INDEX(PASTE_ALL,$DF953,$L$11)),INDEX(PASTE_ALL,$DF953,$L$11),TRIM(SUBSTITUTE(SUBSTITUTE(SUBSTITUTE(SUBSTITUTE(INDEX(PASTE_ALL,$DF953,$L$11)," "," "),CHAR(9)," "),CHAR(10)," "),CHAR(13)," "))),"")))</f>
        <v/>
      </c>
      <c r="DT953">
        <f>IF($DM953=0,"",IF($L$12=0,"",IFERROR(IF(ISNUMBER(INDEX(PASTE_ALL,$DF953,$L$12)),INDEX(PASTE_ALL,$DF953,$L$12),TRIM(SUBSTITUTE(SUBSTITUTE(SUBSTITUTE(SUBSTITUTE(INDEX(PASTE_ALL,$DF953,$L$12)," "," "),CHAR(9)," "),CHAR(10)," "),CHAR(13)," "))),"")))</f>
        <v/>
      </c>
      <c r="DU953">
        <f>IF($DM953=0,"",IF($L$13=0,"",IFERROR(IF(ISNUMBER(INDEX(PASTE_ALL,$DF953,$L$13)),INDEX(PASTE_ALL,$DF953,$L$13),TRIM(SUBSTITUTE(SUBSTITUTE(SUBSTITUTE(SUBSTITUTE(INDEX(PASTE_ALL,$DF953,$L$13)," "," "),CHAR(9)," "),CHAR(10)," "),CHAR(13)," "))),"")))</f>
        <v/>
      </c>
      <c r="DV953">
        <f>IF($DM953=0,"",IF($L$14=0,"",IFERROR(IF(ISNUMBER(INDEX(PASTE_ALL,$DF953,$L$14)),INDEX(PASTE_ALL,$DF953,$L$14),TRIM(SUBSTITUTE(SUBSTITUTE(SUBSTITUTE(SUBSTITUTE(INDEX(PASTE_ALL,$DF953,$L$14)," "," "),CHAR(9)," "),CHAR(10)," "),CHAR(13)," "))),"")))</f>
        <v/>
      </c>
      <c r="DW953">
        <f>IF($DM953=0,"",IF($L$15=0,"",IFERROR(IF(ISNUMBER(INDEX(PASTE_ALL,$DF953,$L$15)),INDEX(PASTE_ALL,$DF953,$L$15),IF(SUMPRODUCT(--ISNUMBER(FIND({"A","B","C","D","E","F","G","H","I","J","K","L","M","N","O","P","Q","R","S","T","U","V","W","X","Y","Z","0","1","2","3","4","5","6","7","8","9"},UPPER(TRIM(SUBSTITUTE(SUBSTITUTE(SUBSTITUTE(SUBSTITUTE(INDEX(PASTE_ALL,$DF953,$L$15)," "," "),CHAR(9)," "),CHAR(10)," "),CHAR(13)," "))))))&gt;0,TRIM(SUBSTITUTE(SUBSTITUTE(SUBSTITUTE(SUBSTITUTE(INDEX(PASTE_ALL,$DF953,$L$15)," "," "),CHAR(9)," "),CHAR(10)," "),CHAR(13)," ")),"")),"")))</f>
        <v/>
      </c>
      <c r="DX953">
        <f>IF($DM953=0,"",IF($L$16=0,"",IFERROR(IF(ISNUMBER(INDEX(PASTE_ALL,$DF953,$L$16)),INDEX(PASTE_ALL,$DF953,$L$16),SUBSTITUTE(SUBSTITUTE(TRIM(SUBSTITUTE(SUBSTITUTE(SUBSTITUTE(SUBSTITUTE(INDEX(PASTE_ALL,$DF953,$L$16)," "," "),CHAR(9)," "),CHAR(10)," "),CHAR(13)," ")),",",""),"%","")),"")))</f>
        <v/>
      </c>
      <c r="DY953">
        <f>IF($DM953=0,"",IFERROR(IF(ISNUMBER($DX953),$DX953,IF($DX953="","",IF(TRIM($DX953)="",0,IF(AND(AND(SUBSTITUTE(SUBSTITUTE(SUBSTITUTE(SUBSTITUTE(SUBSTITUTE(SUBSTITUTE(SUBSTITUTE(SUBSTITUTE(SUBSTITUTE(SUBSTITUTE(SUBSTITUTE(SUBSTITUTE(SUBSTITUTE(SUBSTITUTE(UPPER(TRIM($DX953)),"0",""),"1",""),"2",""),"3",""),"4",""),"5",""),"6",""),"7",""),"8",""),"9",""),".",""),"+",""),"-",""),"E","")="",LEN(SUBSTITUTE(SUBSTITUTE(MID(UPPER(TRIM($DX953)),1+OR(LEFT(UPPER(TRIM($DX953)),1)="+",LEFT(UPPER(TRIM($DX953)),1)="-"),999),"E+","E"),"E-","E"))=LEN(SUBSTITUTE(SUBSTITUTE(SUBSTITUTE(SUBSTITUTE(MID(UPPER(TRIM($DX953)),1+OR(LEFT(UPPER(TRIM($DX953)),1)="+",LEFT(UPPER(TRIM($DX953)),1)="-"),999),"E+","E"),"E-","E"),"+",""),"-","")),LEN(UPPER(TRIM($DX953)))-LEN(SUBSTITUTE(UPPER(TRIM($DX953)),"E",""))&lt;2,LEN(UPPER(TRIM($DX953)))-LEN(SUBSTITUTE(UPPER(TRIM($DX953)),".",""))&lt;2,IFERROR(FIND(".",UPPER(TRIM($DX953))),0)&lt;IFERROR(FIND("E",UPPER(TRIM($DX953))),999)),ISNUMBER(VALUE(TRIM($DX953)))),VALUE(TRIM($DX953)),"")))),""))</f>
        <v/>
      </c>
      <c r="DZ953">
        <f>IF($DM953=0,"",IF($L$17=0,"",IFERROR(IF(ISNUMBER(INDEX(PASTE_ALL,$DF953,$L$17)),INDEX(PASTE_ALL,$DF953,$L$17),SUBSTITUTE(SUBSTITUTE(TRIM(SUBSTITUTE(SUBSTITUTE(SUBSTITUTE(SUBSTITUTE(INDEX(PASTE_ALL,$DF953,$L$17)," "," "),CHAR(9)," "),CHAR(10)," "),CHAR(13)," ")),",",""),"%","")),"")))</f>
        <v/>
      </c>
      <c r="EA953">
        <f>IF($DM953=0,"",IFERROR(IF(ISNUMBER($DZ953),$DZ953,IF($DZ953="","",IF(TRIM($DZ953)="",0,IF(AND(AND(SUBSTITUTE(SUBSTITUTE(SUBSTITUTE(SUBSTITUTE(SUBSTITUTE(SUBSTITUTE(SUBSTITUTE(SUBSTITUTE(SUBSTITUTE(SUBSTITUTE(SUBSTITUTE(SUBSTITUTE(SUBSTITUTE(SUBSTITUTE(UPPER(TRIM($DZ953)),"0",""),"1",""),"2",""),"3",""),"4",""),"5",""),"6",""),"7",""),"8",""),"9",""),".",""),"+",""),"-",""),"E","")="",LEN(SUBSTITUTE(SUBSTITUTE(MID(UPPER(TRIM($DZ953)),1+OR(LEFT(UPPER(TRIM($DZ953)),1)="+",LEFT(UPPER(TRIM($DZ953)),1)="-"),999),"E+","E"),"E-","E"))=LEN(SUBSTITUTE(SUBSTITUTE(SUBSTITUTE(SUBSTITUTE(MID(UPPER(TRIM($DZ953)),1+OR(LEFT(UPPER(TRIM($DZ953)),1)="+",LEFT(UPPER(TRIM($DZ953)),1)="-"),999),"E+","E"),"E-","E"),"+",""),"-","")),LEN(UPPER(TRIM($DZ953)))-LEN(SUBSTITUTE(UPPER(TRIM($DZ953)),"E",""))&lt;2,LEN(UPPER(TRIM($DZ953)))-LEN(SUBSTITUTE(UPPER(TRIM($DZ953)),".",""))&lt;2,IFERROR(FIND(".",UPPER(TRIM($DZ953))),0)&lt;IFERROR(FIND("E",UPPER(TRIM($DZ953))),999)),ISNUMBER(VALUE(TRIM($DZ953)))),VALUE(TRIM($DZ953)),"")))),""))</f>
        <v/>
      </c>
      <c r="EB953">
        <f>IF($DM953=0,"",IF($L$18=0,"",IFERROR(IF(UPPER(TRIM(SUBSTITUTE(SUBSTITUTE(SUBSTITUTE(SUBSTITUTE(INDEX(PASTE_ALL,$DF953,$L$18)," "," "),CHAR(9)," "),CHAR(10)," "),CHAR(13)," ")))="READY","Ready",IF(UPPER(TRIM(SUBSTITUTE(SUBSTITUTE(SUBSTITUTE(SUBSTITUTE(INDEX(PASTE_ALL,$DF953,$L$18)," "," "),CHAR(9)," "),CHAR(10)," "),CHAR(13)," ")))="PM","PM",IF(OR(UPPER(TRIM(SUBSTITUTE(SUBSTITUTE(SUBSTITUTE(SUBSTITUTE(INDEX(PASTE_ALL,$DF953,$L$18)," "," "),CHAR(9)," "),CHAR(10)," "),CHAR(13)," ")))="OT",UPPER(TRIM(SUBSTITUTE(SUBSTITUTE(SUBSTITUTE(SUBSTITUTE(INDEX(PASTE_ALL,$DF953,$L$18)," "," "),CHAR(9)," "),CHAR(10)," "),CHAR(13)," ")))="OVERTIME",UPPER(TRIM(SUBSTITUTE(SUBSTITUTE(SUBSTITUTE(SUBSTITUTE(INDEX(PASTE_ALL,$DF953,$L$18)," "," "),CHAR(9)," "),CHAR(10)," "),CHAR(13)," ")))="TRIAL"),"OT",TRIM(SUBSTITUTE(SUBSTITUTE(SUBSTITUTE(SUBSTITUTE(INDEX(PASTE_ALL,$DF953,$L$18)," "," "),CHAR(9)," "),CHAR(10)," "),CHAR(13)," "))))),"")))</f>
        <v/>
      </c>
      <c r="EC953">
        <f>IF($DM953=0,"",IF($L$19=0,"",IFERROR(IF(ISNUMBER(INDEX(PASTE_ALL,$DF953,$L$19)),INDEX(PASTE_ALL,$DF953,$L$19),TRIM(SUBSTITUTE(SUBSTITUTE(SUBSTITUTE(SUBSTITUTE(INDEX(PASTE_ALL,$DF953,$L$19)," "," "),CHAR(9)," "),CHAR(10)," "),CHAR(13)," "))),"")))</f>
        <v/>
      </c>
      <c r="ED953">
        <f>IF($DM953=0,"",MATCH(1,INDEX(EXACT($DH$5:DH953,$DH953)*$DM$5:DM953,0),0))</f>
        <v/>
      </c>
      <c r="EE953">
        <f>IF($DM953=0,0,IF($ED953=$DE953,1,0))</f>
        <v/>
      </c>
      <c r="EF953">
        <f>EF952+$EE953</f>
        <v/>
      </c>
      <c r="EG953">
        <f>IF($DM953=0,"",INDEX($EF$5:$EF$1003,$ED953))</f>
        <v/>
      </c>
      <c r="EH953">
        <f>IF($DM953=0,"",IF($DO953&lt;&gt;"","",IFERROR(LOOKUP(2,1/(($EG$4:EG952=$EG953)*($DO$4:DO952&lt;&gt;"")),$DO$4:DO952),"")))</f>
        <v/>
      </c>
      <c r="EI953">
        <f>IF($DM953=0,"",IF($DO953&lt;&gt;"",$DO953,$EH953))</f>
        <v/>
      </c>
      <c r="EJ953">
        <f>IF($DM953=0,"",IF($EI953="",0,IF(OR(ISNUMBER($EI953),AND(AND(SUBSTITUTE(SUBSTITUTE(SUBSTITUTE(SUBSTITUTE(SUBSTITUTE(SUBSTITUTE(SUBSTITUTE(SUBSTITUTE(SUBSTITUTE(SUBSTITUTE(SUBSTITUTE(SUBSTITUTE(SUBSTITUTE(SUBSTITUTE(UPPER($EI953),"0",""),"1",""),"2",""),"3",""),"4",""),"5",""),"6",""),"7",""),"8",""),"9",""),".",""),"+",""),"-",""),"E","")="",LEN(SUBSTITUTE(SUBSTITUTE(MID(UPPER($EI953),1+OR(LEFT(UPPER($EI953),1)="+",LEFT(UPPER($EI953),1)="-"),999),"E+","E"),"E-","E"))=LEN(SUBSTITUTE(SUBSTITUTE(SUBSTITUTE(SUBSTITUTE(MID(UPPER($EI953),1+OR(LEFT(UPPER($EI953),1)="+",LEFT(UPPER($EI953),1)="-"),999),"E+","E"),"E-","E"),"+",""),"-","")),LEN(UPPER($EI953))-LEN(SUBSTITUTE(UPPER($EI953),"E",""))&lt;2,LEN(UPPER($EI953))-LEN(SUBSTITUTE(UPPER($EI953),".",""))&lt;2,IFERROR(FIND(".",UPPER($EI953)),0)&lt;IFERROR(FIND("E",UPPER($EI953)),999)),ISNUMBER(VALUE($EI953)))),1,2)))</f>
        <v/>
      </c>
      <c r="EK953">
        <f>IF($DM953=0,"",IF($EJ953=1,IF(ISNUMBER($EI953),$EI953,VALUE($EI953)),IF($EJ953=2,$DE953,0)))</f>
        <v/>
      </c>
      <c r="EL953">
        <f>IF($DM953=0,"",COUNTIF($EG$5:$EG$1003,"&lt;"&amp;$EG953)+SUMPRODUCT(($EG$5:$EG$1003=$EG953)*(($EJ$5:$EJ$1003&lt;$EJ953)+($EJ$5:$EJ$1003=$EJ953)*(($EK$5:$EK$1003&lt;$EK953)+($EK$5:$EK$1003=$EK953)*($DE$5:$DE$1003&lt;$DE953))))+1)</f>
        <v/>
      </c>
      <c r="EM953">
        <f>IF($DM953=0,"",$EL953+$EG953-1)</f>
        <v/>
      </c>
      <c r="EN953">
        <f>IF($DM953=0,0,IFERROR(MATCH(1,INDEX(--(TRIM(SUBSTITUTE(SUBSTITUTE(SUBSTITUTE(SUBSTITUTE(LINES_NAME&amp;""," "," "),CHAR(9)," "),CHAR(10)," "),CHAR(13)," "))=$DH953),0),0),0))</f>
        <v/>
      </c>
      <c r="EO953">
        <f>IF($EN953=0,0,IF(OR(UPPER(TRIM(INDEX(LINES_SCHEDULED,$EN953)&amp;""))="YES",UPPER(TRIM(INDEX(LINES_SCHEDULED,$EN953)&amp;""))="Y",UPPER(TRIM(INDEX(LINES_SCHEDULED,$EN953)&amp;""))="X"),1,0))</f>
        <v/>
      </c>
      <c r="EP953">
        <f>IF($DM953=0,"",IF(COUNTIFS($EG$5:$EG$1003,$EG953,$EB$5:$EB$1003,"Ready")&gt;0,"READY",IF(COUNTIFS($EG$5:$EG$1003,$EG953,$EB$5:$EB$1003,"PM")&gt;0,"PM",IF(COUNTIFS($EG$5:$EG$1003,$EG953,$EB$5:$EB$1003,"OT")&gt;0,"OT",""))))</f>
        <v/>
      </c>
      <c r="EQ953">
        <f>IF($EN953=0,"",UPPER(TRIM(INDEX(LINES_STATUS,$EN953)&amp;"")))</f>
        <v/>
      </c>
      <c r="ER953">
        <f>IF($DM953=0,"",IF(OR($EQ953="READY",$EQ953="PM",$EQ953="OT"),$EQ953,$EP953))</f>
        <v/>
      </c>
      <c r="ES953">
        <f>IF($DM953=0,"",IF(AND($DV953&lt;&gt;"",UPPER($DV953)&lt;&gt;"N"),"allergen",IF(ISNUMBER(SEARCH("oil",$DQ953)),"oil",IF(OR(EXACT($DS953,"A662"),EXACT($DS953,"A624")),"bulk",""))))</f>
        <v/>
      </c>
      <c r="ET953">
        <f>IF($DM953=0,"",IF(OR($EA953="",$EA953=0),"",$EA953/100))</f>
        <v/>
      </c>
      <c r="EU953">
        <f>IF(OR($ET953="",$DY953=""),"",INT($DY953*(1-$ET953)+0.5))</f>
        <v/>
      </c>
    </row>
    <row r="954">
      <c r="DA954" t="n">
        <v>950</v>
      </c>
      <c r="DB954">
        <f>IF($B$37=0,"",IFERROR(TRIM(SUBSTITUTE(SUBSTITUTE(SUBSTITUTE(SUBSTITUTE(INDEX(PASTE_ALL,950,$B$37)," "," "),CHAR(9)," "),CHAR(10)," "),CHAR(13)," ")),""))</f>
        <v/>
      </c>
      <c r="DC954">
        <f>IF(AND(950&gt;HEADER_ROW,UPPER(DB954)="LEGEND"),1,0)</f>
        <v/>
      </c>
      <c r="DE954" t="n">
        <v>950</v>
      </c>
      <c r="DF954">
        <f>HEADER_ROW+$DE954</f>
        <v/>
      </c>
      <c r="DG954">
        <f>IF(AND($DF954&lt;=1000,$DF954&lt;$B$8),1,0)</f>
        <v/>
      </c>
      <c r="DH954">
        <f>IF($DG954=1,IFERROR(INDEX($DB$5:$DB$1004,$DF954),""),"")</f>
        <v/>
      </c>
      <c r="DI954">
        <f>IF(AND($DG954=1,$DH954&lt;&gt;""),IFERROR(SUBSTITUTE(SUBSTITUTE(TRIM(SUBSTITUTE(SUBSTITUTE(SUBSTITUTE(SUBSTITUTE(IFERROR(INDEX(PASTE_ALL,$DF954,1)&amp;"","")&amp;"␟"&amp;IFERROR(INDEX(PASTE_ALL,$DF954,2)&amp;"","")&amp;"␟"&amp;IFERROR(INDEX(PASTE_ALL,$DF954,3)&amp;"","")&amp;"␟"&amp;IFERROR(INDEX(PASTE_ALL,$DF954,4)&amp;"","")&amp;"␟"&amp;IFERROR(INDEX(PASTE_ALL,$DF954,5)&amp;"","")&amp;"␟"&amp;IFERROR(INDEX(PASTE_ALL,$DF954,6)&amp;"","")&amp;"␟"&amp;IFERROR(INDEX(PASTE_ALL,$DF954,7)&amp;"","")&amp;"␟"&amp;IFERROR(INDEX(PASTE_ALL,$DF954,8)&amp;"","")&amp;"␟"&amp;IFERROR(INDEX(PASTE_ALL,$DF954,9)&amp;"","")&amp;"␟"&amp;IFERROR(INDEX(PASTE_ALL,$DF954,10)&amp;"","")&amp;"␟"&amp;IFERROR(INDEX(PASTE_ALL,$DF954,11)&amp;"","")&amp;"␟"&amp;IFERROR(INDEX(PASTE_ALL,$DF954,12)&amp;"","")&amp;"␟"&amp;IFERROR(INDEX(PASTE_ALL,$DF954,13)&amp;"","")&amp;"␟"&amp;IFERROR(INDEX(PASTE_ALL,$DF954,14)&amp;"","")&amp;"␟"&amp;IFERROR(INDEX(PASTE_ALL,$DF954,15)&amp;"","")&amp;"␟"&amp;IFERROR(INDEX(PASTE_ALL,$DF954,16)&amp;"","")&amp;"␟"&amp;IFERROR(INDEX(PASTE_ALL,$DF954,17)&amp;"","")&amp;"␟"&amp;IFERROR(INDEX(PASTE_ALL,$DF954,18)&amp;"","")&amp;"␟"&amp;IFERROR(INDEX(PASTE_ALL,$DF954,19)&amp;"","")&amp;"␟"&amp;IFERROR(INDEX(PASTE_ALL,$DF954,20)&amp;"","")&amp;"␟"&amp;IFERROR(INDEX(PASTE_ALL,$DF954,21)&amp;"","")&amp;"␟"&amp;IFERROR(INDEX(PASTE_ALL,$DF954,22)&amp;"","")&amp;"␟"&amp;IFERROR(INDEX(PASTE_ALL,$DF954,23)&amp;"","")&amp;"␟"&amp;IFERROR(INDEX(PASTE_ALL,$DF954,24)&amp;"","")&amp;"␟"&amp;IFERROR(INDEX(PASTE_ALL,$DF954,25)&amp;"","")&amp;"␟"&amp;IFERROR(INDEX(PASTE_ALL,$DF954,26)&amp;"","")&amp;"␟"&amp;IFERROR(INDEX(PASTE_ALL,$DF954,27)&amp;"","")&amp;"␟"&amp;IFERROR(INDEX(PASTE_ALL,$DF954,28)&amp;"","")&amp;"␟"&amp;IFERROR(INDEX(PASTE_ALL,$DF954,29)&amp;"","")&amp;"␟"&amp;IFERROR(INDEX(PASTE_ALL,$DF954,30)&amp;"","")&amp;"␟"&amp;IFERROR(INDEX(PASTE_ALL,$DF954,31)&amp;"","")&amp;"␟"&amp;IFERROR(INDEX(PASTE_ALL,$DF954,32)&amp;"","")&amp;"␟"&amp;IFERROR(INDEX(PASTE_ALL,$DF954,33)&amp;"","")&amp;"␟"&amp;IFERROR(INDEX(PASTE_ALL,$DF954,34)&amp;"","")&amp;"␟"&amp;IFERROR(INDEX(PASTE_ALL,$DF954,35)&amp;"","")&amp;"␟"&amp;IFERROR(INDEX(PASTE_ALL,$DF954,36)&amp;"","")&amp;"␟"&amp;IFERROR(INDEX(PASTE_ALL,$DF954,37)&amp;"","")&amp;"␟"&amp;IFERROR(INDEX(PASTE_ALL,$DF954,38)&amp;"","")&amp;"␟"&amp;IFERROR(INDEX(PASTE_ALL,$DF954,39)&amp;"","")&amp;"␟"&amp;IFERROR(INDEX(PASTE_ALL,$DF954,40)&amp;"","")&amp;"␟"&amp;IFERROR(INDEX(PASTE_ALL,$DF954,41)&amp;"","")&amp;"␟"&amp;IFERROR(INDEX(PASTE_ALL,$DF954,42)&amp;"","")&amp;"␟"&amp;IFERROR(INDEX(PASTE_ALL,$DF954,43)&amp;"","")&amp;"␟"&amp;IFERROR(INDEX(PASTE_ALL,$DF954,44)&amp;"","")&amp;"␟"&amp;IFERROR(INDEX(PASTE_ALL,$DF954,45)&amp;"","")&amp;"␟"&amp;IFERROR(INDEX(PASTE_ALL,$DF954,46)&amp;"","")&amp;"␟"&amp;IFERROR(INDEX(PASTE_ALL,$DF954,47)&amp;"","")&amp;"␟"&amp;IFERROR(INDEX(PASTE_ALL,$DF954,48)&amp;"","")&amp;"␟"&amp;IFERROR(INDEX(PASTE_ALL,$DF954,49)&amp;"","")&amp;"␟"&amp;IFERROR(INDEX(PASTE_ALL,$DF954,50)&amp;"","")&amp;"␟"&amp;IFERROR(INDEX(PASTE_ALL,$DF954,51)&amp;"","")&amp;"␟"&amp;IFERROR(INDEX(PASTE_ALL,$DF954,52)&amp;"","")&amp;"␟"&amp;IFERROR(INDEX(PASTE_ALL,$DF954,53)&amp;"","")&amp;"␟"&amp;IFERROR(INDEX(PASTE_ALL,$DF954,54)&amp;"","")&amp;"␟"&amp;IFERROR(INDEX(PASTE_ALL,$DF954,55)&amp;"","")&amp;"␟"&amp;IFERROR(INDEX(PASTE_ALL,$DF954,56)&amp;"","")&amp;"␟"&amp;IFERROR(INDEX(PASTE_ALL,$DF954,57)&amp;"","")&amp;"␟"&amp;IFERROR(INDEX(PASTE_ALL,$DF954,58)&amp;"","")&amp;"␟"&amp;IFERROR(INDEX(PASTE_ALL,$DF954,59)&amp;"","")&amp;"␟"&amp;IFERROR(INDEX(PASTE_ALL,$DF954,60)&amp;"","")," "," "),CHAR(9)," "),CHAR(10)," "),CHAR(13)," "))," ␟","␟"),"␟ ","␟"),"#"&amp;$DE954),"")</f>
        <v/>
      </c>
      <c r="DJ954">
        <f>IF($DI954="",0,IF(SUMPRODUCT(--EXACT($DI$4:DI953,$DI954))&gt;0,1,0))</f>
        <v/>
      </c>
      <c r="DK954">
        <f>IF(AND($DI954&lt;&gt;"",$DJ954=0),1,0)</f>
        <v/>
      </c>
      <c r="DL954">
        <f>DL953+$DK954</f>
        <v/>
      </c>
      <c r="DM954">
        <f>IF(AND($DK954=1,$DL954&lt;=600),1,0)</f>
        <v/>
      </c>
      <c r="DN954">
        <f>IF($DM954=0,"",IF($L$6=0,"",IFERROR(IF(ISNUMBER(INDEX(PASTE_ALL,$DF954,$L$6)),INDEX(PASTE_ALL,$DF954,$L$6),TRIM(SUBSTITUTE(SUBSTITUTE(SUBSTITUTE(SUBSTITUTE(INDEX(PASTE_ALL,$DF954,$L$6)," "," "),CHAR(9)," "),CHAR(10)," "),CHAR(13)," "))),"")))</f>
        <v/>
      </c>
      <c r="DO954">
        <f>IF($DM954=0,"",IF($L$7=0,"",IFERROR(IF(ISNUMBER(INDEX(PASTE_ALL,$DF954,$L$7)),INDEX(PASTE_ALL,$DF954,$L$7),TRIM(SUBSTITUTE(SUBSTITUTE(SUBSTITUTE(SUBSTITUTE(INDEX(PASTE_ALL,$DF954,$L$7)," "," "),CHAR(9)," "),CHAR(10)," "),CHAR(13)," "))),"")))</f>
        <v/>
      </c>
      <c r="DP954">
        <f>IF($DM954=0,"",IF($L$8=0,"",IFERROR(IF(ISNUMBER(INDEX(PASTE_ALL,$DF954,$L$8)),INDEX(PASTE_ALL,$DF954,$L$8),TRIM(SUBSTITUTE(SUBSTITUTE(SUBSTITUTE(SUBSTITUTE(INDEX(PASTE_ALL,$DF954,$L$8)," "," "),CHAR(9)," "),CHAR(10)," "),CHAR(13)," "))),"")))</f>
        <v/>
      </c>
      <c r="DQ954">
        <f>IF($DM954=0,"",IF($L$9=0,"",IFERROR(IF(ISNUMBER(INDEX(PASTE_ALL,$DF954,$L$9)),INDEX(PASTE_ALL,$DF954,$L$9),TRIM(SUBSTITUTE(SUBSTITUTE(SUBSTITUTE(SUBSTITUTE(INDEX(PASTE_ALL,$DF954,$L$9)," "," "),CHAR(9)," "),CHAR(10)," "),CHAR(13)," "))),"")))</f>
        <v/>
      </c>
      <c r="DR954">
        <f>IF($DM954=0,"",IF($L$10=0,"",IFERROR(IF(ISNUMBER(INDEX(PASTE_ALL,$DF954,$L$10)),INDEX(PASTE_ALL,$DF954,$L$10),TRIM(SUBSTITUTE(SUBSTITUTE(SUBSTITUTE(SUBSTITUTE(INDEX(PASTE_ALL,$DF954,$L$10)," "," "),CHAR(9)," "),CHAR(10)," "),CHAR(13)," "))),"")))</f>
        <v/>
      </c>
      <c r="DS954">
        <f>IF($DM954=0,"",IF($L$11=0,"",IFERROR(IF(ISNUMBER(INDEX(PASTE_ALL,$DF954,$L$11)),INDEX(PASTE_ALL,$DF954,$L$11),TRIM(SUBSTITUTE(SUBSTITUTE(SUBSTITUTE(SUBSTITUTE(INDEX(PASTE_ALL,$DF954,$L$11)," "," "),CHAR(9)," "),CHAR(10)," "),CHAR(13)," "))),"")))</f>
        <v/>
      </c>
      <c r="DT954">
        <f>IF($DM954=0,"",IF($L$12=0,"",IFERROR(IF(ISNUMBER(INDEX(PASTE_ALL,$DF954,$L$12)),INDEX(PASTE_ALL,$DF954,$L$12),TRIM(SUBSTITUTE(SUBSTITUTE(SUBSTITUTE(SUBSTITUTE(INDEX(PASTE_ALL,$DF954,$L$12)," "," "),CHAR(9)," "),CHAR(10)," "),CHAR(13)," "))),"")))</f>
        <v/>
      </c>
      <c r="DU954">
        <f>IF($DM954=0,"",IF($L$13=0,"",IFERROR(IF(ISNUMBER(INDEX(PASTE_ALL,$DF954,$L$13)),INDEX(PASTE_ALL,$DF954,$L$13),TRIM(SUBSTITUTE(SUBSTITUTE(SUBSTITUTE(SUBSTITUTE(INDEX(PASTE_ALL,$DF954,$L$13)," "," "),CHAR(9)," "),CHAR(10)," "),CHAR(13)," "))),"")))</f>
        <v/>
      </c>
      <c r="DV954">
        <f>IF($DM954=0,"",IF($L$14=0,"",IFERROR(IF(ISNUMBER(INDEX(PASTE_ALL,$DF954,$L$14)),INDEX(PASTE_ALL,$DF954,$L$14),TRIM(SUBSTITUTE(SUBSTITUTE(SUBSTITUTE(SUBSTITUTE(INDEX(PASTE_ALL,$DF954,$L$14)," "," "),CHAR(9)," "),CHAR(10)," "),CHAR(13)," "))),"")))</f>
        <v/>
      </c>
      <c r="DW954">
        <f>IF($DM954=0,"",IF($L$15=0,"",IFERROR(IF(ISNUMBER(INDEX(PASTE_ALL,$DF954,$L$15)),INDEX(PASTE_ALL,$DF954,$L$15),IF(SUMPRODUCT(--ISNUMBER(FIND({"A","B","C","D","E","F","G","H","I","J","K","L","M","N","O","P","Q","R","S","T","U","V","W","X","Y","Z","0","1","2","3","4","5","6","7","8","9"},UPPER(TRIM(SUBSTITUTE(SUBSTITUTE(SUBSTITUTE(SUBSTITUTE(INDEX(PASTE_ALL,$DF954,$L$15)," "," "),CHAR(9)," "),CHAR(10)," "),CHAR(13)," "))))))&gt;0,TRIM(SUBSTITUTE(SUBSTITUTE(SUBSTITUTE(SUBSTITUTE(INDEX(PASTE_ALL,$DF954,$L$15)," "," "),CHAR(9)," "),CHAR(10)," "),CHAR(13)," ")),"")),"")))</f>
        <v/>
      </c>
      <c r="DX954">
        <f>IF($DM954=0,"",IF($L$16=0,"",IFERROR(IF(ISNUMBER(INDEX(PASTE_ALL,$DF954,$L$16)),INDEX(PASTE_ALL,$DF954,$L$16),SUBSTITUTE(SUBSTITUTE(TRIM(SUBSTITUTE(SUBSTITUTE(SUBSTITUTE(SUBSTITUTE(INDEX(PASTE_ALL,$DF954,$L$16)," "," "),CHAR(9)," "),CHAR(10)," "),CHAR(13)," ")),",",""),"%","")),"")))</f>
        <v/>
      </c>
      <c r="DY954">
        <f>IF($DM954=0,"",IFERROR(IF(ISNUMBER($DX954),$DX954,IF($DX954="","",IF(TRIM($DX954)="",0,IF(AND(AND(SUBSTITUTE(SUBSTITUTE(SUBSTITUTE(SUBSTITUTE(SUBSTITUTE(SUBSTITUTE(SUBSTITUTE(SUBSTITUTE(SUBSTITUTE(SUBSTITUTE(SUBSTITUTE(SUBSTITUTE(SUBSTITUTE(SUBSTITUTE(UPPER(TRIM($DX954)),"0",""),"1",""),"2",""),"3",""),"4",""),"5",""),"6",""),"7",""),"8",""),"9",""),".",""),"+",""),"-",""),"E","")="",LEN(SUBSTITUTE(SUBSTITUTE(MID(UPPER(TRIM($DX954)),1+OR(LEFT(UPPER(TRIM($DX954)),1)="+",LEFT(UPPER(TRIM($DX954)),1)="-"),999),"E+","E"),"E-","E"))=LEN(SUBSTITUTE(SUBSTITUTE(SUBSTITUTE(SUBSTITUTE(MID(UPPER(TRIM($DX954)),1+OR(LEFT(UPPER(TRIM($DX954)),1)="+",LEFT(UPPER(TRIM($DX954)),1)="-"),999),"E+","E"),"E-","E"),"+",""),"-","")),LEN(UPPER(TRIM($DX954)))-LEN(SUBSTITUTE(UPPER(TRIM($DX954)),"E",""))&lt;2,LEN(UPPER(TRIM($DX954)))-LEN(SUBSTITUTE(UPPER(TRIM($DX954)),".",""))&lt;2,IFERROR(FIND(".",UPPER(TRIM($DX954))),0)&lt;IFERROR(FIND("E",UPPER(TRIM($DX954))),999)),ISNUMBER(VALUE(TRIM($DX954)))),VALUE(TRIM($DX954)),"")))),""))</f>
        <v/>
      </c>
      <c r="DZ954">
        <f>IF($DM954=0,"",IF($L$17=0,"",IFERROR(IF(ISNUMBER(INDEX(PASTE_ALL,$DF954,$L$17)),INDEX(PASTE_ALL,$DF954,$L$17),SUBSTITUTE(SUBSTITUTE(TRIM(SUBSTITUTE(SUBSTITUTE(SUBSTITUTE(SUBSTITUTE(INDEX(PASTE_ALL,$DF954,$L$17)," "," "),CHAR(9)," "),CHAR(10)," "),CHAR(13)," ")),",",""),"%","")),"")))</f>
        <v/>
      </c>
      <c r="EA954">
        <f>IF($DM954=0,"",IFERROR(IF(ISNUMBER($DZ954),$DZ954,IF($DZ954="","",IF(TRIM($DZ954)="",0,IF(AND(AND(SUBSTITUTE(SUBSTITUTE(SUBSTITUTE(SUBSTITUTE(SUBSTITUTE(SUBSTITUTE(SUBSTITUTE(SUBSTITUTE(SUBSTITUTE(SUBSTITUTE(SUBSTITUTE(SUBSTITUTE(SUBSTITUTE(SUBSTITUTE(UPPER(TRIM($DZ954)),"0",""),"1",""),"2",""),"3",""),"4",""),"5",""),"6",""),"7",""),"8",""),"9",""),".",""),"+",""),"-",""),"E","")="",LEN(SUBSTITUTE(SUBSTITUTE(MID(UPPER(TRIM($DZ954)),1+OR(LEFT(UPPER(TRIM($DZ954)),1)="+",LEFT(UPPER(TRIM($DZ954)),1)="-"),999),"E+","E"),"E-","E"))=LEN(SUBSTITUTE(SUBSTITUTE(SUBSTITUTE(SUBSTITUTE(MID(UPPER(TRIM($DZ954)),1+OR(LEFT(UPPER(TRIM($DZ954)),1)="+",LEFT(UPPER(TRIM($DZ954)),1)="-"),999),"E+","E"),"E-","E"),"+",""),"-","")),LEN(UPPER(TRIM($DZ954)))-LEN(SUBSTITUTE(UPPER(TRIM($DZ954)),"E",""))&lt;2,LEN(UPPER(TRIM($DZ954)))-LEN(SUBSTITUTE(UPPER(TRIM($DZ954)),".",""))&lt;2,IFERROR(FIND(".",UPPER(TRIM($DZ954))),0)&lt;IFERROR(FIND("E",UPPER(TRIM($DZ954))),999)),ISNUMBER(VALUE(TRIM($DZ954)))),VALUE(TRIM($DZ954)),"")))),""))</f>
        <v/>
      </c>
      <c r="EB954">
        <f>IF($DM954=0,"",IF($L$18=0,"",IFERROR(IF(UPPER(TRIM(SUBSTITUTE(SUBSTITUTE(SUBSTITUTE(SUBSTITUTE(INDEX(PASTE_ALL,$DF954,$L$18)," "," "),CHAR(9)," "),CHAR(10)," "),CHAR(13)," ")))="READY","Ready",IF(UPPER(TRIM(SUBSTITUTE(SUBSTITUTE(SUBSTITUTE(SUBSTITUTE(INDEX(PASTE_ALL,$DF954,$L$18)," "," "),CHAR(9)," "),CHAR(10)," "),CHAR(13)," ")))="PM","PM",IF(OR(UPPER(TRIM(SUBSTITUTE(SUBSTITUTE(SUBSTITUTE(SUBSTITUTE(INDEX(PASTE_ALL,$DF954,$L$18)," "," "),CHAR(9)," "),CHAR(10)," "),CHAR(13)," ")))="OT",UPPER(TRIM(SUBSTITUTE(SUBSTITUTE(SUBSTITUTE(SUBSTITUTE(INDEX(PASTE_ALL,$DF954,$L$18)," "," "),CHAR(9)," "),CHAR(10)," "),CHAR(13)," ")))="OVERTIME",UPPER(TRIM(SUBSTITUTE(SUBSTITUTE(SUBSTITUTE(SUBSTITUTE(INDEX(PASTE_ALL,$DF954,$L$18)," "," "),CHAR(9)," "),CHAR(10)," "),CHAR(13)," ")))="TRIAL"),"OT",TRIM(SUBSTITUTE(SUBSTITUTE(SUBSTITUTE(SUBSTITUTE(INDEX(PASTE_ALL,$DF954,$L$18)," "," "),CHAR(9)," "),CHAR(10)," "),CHAR(13)," "))))),"")))</f>
        <v/>
      </c>
      <c r="EC954">
        <f>IF($DM954=0,"",IF($L$19=0,"",IFERROR(IF(ISNUMBER(INDEX(PASTE_ALL,$DF954,$L$19)),INDEX(PASTE_ALL,$DF954,$L$19),TRIM(SUBSTITUTE(SUBSTITUTE(SUBSTITUTE(SUBSTITUTE(INDEX(PASTE_ALL,$DF954,$L$19)," "," "),CHAR(9)," "),CHAR(10)," "),CHAR(13)," "))),"")))</f>
        <v/>
      </c>
      <c r="ED954">
        <f>IF($DM954=0,"",MATCH(1,INDEX(EXACT($DH$5:DH954,$DH954)*$DM$5:DM954,0),0))</f>
        <v/>
      </c>
      <c r="EE954">
        <f>IF($DM954=0,0,IF($ED954=$DE954,1,0))</f>
        <v/>
      </c>
      <c r="EF954">
        <f>EF953+$EE954</f>
        <v/>
      </c>
      <c r="EG954">
        <f>IF($DM954=0,"",INDEX($EF$5:$EF$1003,$ED954))</f>
        <v/>
      </c>
      <c r="EH954">
        <f>IF($DM954=0,"",IF($DO954&lt;&gt;"","",IFERROR(LOOKUP(2,1/(($EG$4:EG953=$EG954)*($DO$4:DO953&lt;&gt;"")),$DO$4:DO953),"")))</f>
        <v/>
      </c>
      <c r="EI954">
        <f>IF($DM954=0,"",IF($DO954&lt;&gt;"",$DO954,$EH954))</f>
        <v/>
      </c>
      <c r="EJ954">
        <f>IF($DM954=0,"",IF($EI954="",0,IF(OR(ISNUMBER($EI954),AND(AND(SUBSTITUTE(SUBSTITUTE(SUBSTITUTE(SUBSTITUTE(SUBSTITUTE(SUBSTITUTE(SUBSTITUTE(SUBSTITUTE(SUBSTITUTE(SUBSTITUTE(SUBSTITUTE(SUBSTITUTE(SUBSTITUTE(SUBSTITUTE(UPPER($EI954),"0",""),"1",""),"2",""),"3",""),"4",""),"5",""),"6",""),"7",""),"8",""),"9",""),".",""),"+",""),"-",""),"E","")="",LEN(SUBSTITUTE(SUBSTITUTE(MID(UPPER($EI954),1+OR(LEFT(UPPER($EI954),1)="+",LEFT(UPPER($EI954),1)="-"),999),"E+","E"),"E-","E"))=LEN(SUBSTITUTE(SUBSTITUTE(SUBSTITUTE(SUBSTITUTE(MID(UPPER($EI954),1+OR(LEFT(UPPER($EI954),1)="+",LEFT(UPPER($EI954),1)="-"),999),"E+","E"),"E-","E"),"+",""),"-","")),LEN(UPPER($EI954))-LEN(SUBSTITUTE(UPPER($EI954),"E",""))&lt;2,LEN(UPPER($EI954))-LEN(SUBSTITUTE(UPPER($EI954),".",""))&lt;2,IFERROR(FIND(".",UPPER($EI954)),0)&lt;IFERROR(FIND("E",UPPER($EI954)),999)),ISNUMBER(VALUE($EI954)))),1,2)))</f>
        <v/>
      </c>
      <c r="EK954">
        <f>IF($DM954=0,"",IF($EJ954=1,IF(ISNUMBER($EI954),$EI954,VALUE($EI954)),IF($EJ954=2,$DE954,0)))</f>
        <v/>
      </c>
      <c r="EL954">
        <f>IF($DM954=0,"",COUNTIF($EG$5:$EG$1003,"&lt;"&amp;$EG954)+SUMPRODUCT(($EG$5:$EG$1003=$EG954)*(($EJ$5:$EJ$1003&lt;$EJ954)+($EJ$5:$EJ$1003=$EJ954)*(($EK$5:$EK$1003&lt;$EK954)+($EK$5:$EK$1003=$EK954)*($DE$5:$DE$1003&lt;$DE954))))+1)</f>
        <v/>
      </c>
      <c r="EM954">
        <f>IF($DM954=0,"",$EL954+$EG954-1)</f>
        <v/>
      </c>
      <c r="EN954">
        <f>IF($DM954=0,0,IFERROR(MATCH(1,INDEX(--(TRIM(SUBSTITUTE(SUBSTITUTE(SUBSTITUTE(SUBSTITUTE(LINES_NAME&amp;""," "," "),CHAR(9)," "),CHAR(10)," "),CHAR(13)," "))=$DH954),0),0),0))</f>
        <v/>
      </c>
      <c r="EO954">
        <f>IF($EN954=0,0,IF(OR(UPPER(TRIM(INDEX(LINES_SCHEDULED,$EN954)&amp;""))="YES",UPPER(TRIM(INDEX(LINES_SCHEDULED,$EN954)&amp;""))="Y",UPPER(TRIM(INDEX(LINES_SCHEDULED,$EN954)&amp;""))="X"),1,0))</f>
        <v/>
      </c>
      <c r="EP954">
        <f>IF($DM954=0,"",IF(COUNTIFS($EG$5:$EG$1003,$EG954,$EB$5:$EB$1003,"Ready")&gt;0,"READY",IF(COUNTIFS($EG$5:$EG$1003,$EG954,$EB$5:$EB$1003,"PM")&gt;0,"PM",IF(COUNTIFS($EG$5:$EG$1003,$EG954,$EB$5:$EB$1003,"OT")&gt;0,"OT",""))))</f>
        <v/>
      </c>
      <c r="EQ954">
        <f>IF($EN954=0,"",UPPER(TRIM(INDEX(LINES_STATUS,$EN954)&amp;"")))</f>
        <v/>
      </c>
      <c r="ER954">
        <f>IF($DM954=0,"",IF(OR($EQ954="READY",$EQ954="PM",$EQ954="OT"),$EQ954,$EP954))</f>
        <v/>
      </c>
      <c r="ES954">
        <f>IF($DM954=0,"",IF(AND($DV954&lt;&gt;"",UPPER($DV954)&lt;&gt;"N"),"allergen",IF(ISNUMBER(SEARCH("oil",$DQ954)),"oil",IF(OR(EXACT($DS954,"A662"),EXACT($DS954,"A624")),"bulk",""))))</f>
        <v/>
      </c>
      <c r="ET954">
        <f>IF($DM954=0,"",IF(OR($EA954="",$EA954=0),"",$EA954/100))</f>
        <v/>
      </c>
      <c r="EU954">
        <f>IF(OR($ET954="",$DY954=""),"",INT($DY954*(1-$ET954)+0.5))</f>
        <v/>
      </c>
    </row>
    <row r="955">
      <c r="DA955" t="n">
        <v>951</v>
      </c>
      <c r="DB955">
        <f>IF($B$37=0,"",IFERROR(TRIM(SUBSTITUTE(SUBSTITUTE(SUBSTITUTE(SUBSTITUTE(INDEX(PASTE_ALL,951,$B$37)," "," "),CHAR(9)," "),CHAR(10)," "),CHAR(13)," ")),""))</f>
        <v/>
      </c>
      <c r="DC955">
        <f>IF(AND(951&gt;HEADER_ROW,UPPER(DB955)="LEGEND"),1,0)</f>
        <v/>
      </c>
      <c r="DE955" t="n">
        <v>951</v>
      </c>
      <c r="DF955">
        <f>HEADER_ROW+$DE955</f>
        <v/>
      </c>
      <c r="DG955">
        <f>IF(AND($DF955&lt;=1000,$DF955&lt;$B$8),1,0)</f>
        <v/>
      </c>
      <c r="DH955">
        <f>IF($DG955=1,IFERROR(INDEX($DB$5:$DB$1004,$DF955),""),"")</f>
        <v/>
      </c>
      <c r="DI955">
        <f>IF(AND($DG955=1,$DH955&lt;&gt;""),IFERROR(SUBSTITUTE(SUBSTITUTE(TRIM(SUBSTITUTE(SUBSTITUTE(SUBSTITUTE(SUBSTITUTE(IFERROR(INDEX(PASTE_ALL,$DF955,1)&amp;"","")&amp;"␟"&amp;IFERROR(INDEX(PASTE_ALL,$DF955,2)&amp;"","")&amp;"␟"&amp;IFERROR(INDEX(PASTE_ALL,$DF955,3)&amp;"","")&amp;"␟"&amp;IFERROR(INDEX(PASTE_ALL,$DF955,4)&amp;"","")&amp;"␟"&amp;IFERROR(INDEX(PASTE_ALL,$DF955,5)&amp;"","")&amp;"␟"&amp;IFERROR(INDEX(PASTE_ALL,$DF955,6)&amp;"","")&amp;"␟"&amp;IFERROR(INDEX(PASTE_ALL,$DF955,7)&amp;"","")&amp;"␟"&amp;IFERROR(INDEX(PASTE_ALL,$DF955,8)&amp;"","")&amp;"␟"&amp;IFERROR(INDEX(PASTE_ALL,$DF955,9)&amp;"","")&amp;"␟"&amp;IFERROR(INDEX(PASTE_ALL,$DF955,10)&amp;"","")&amp;"␟"&amp;IFERROR(INDEX(PASTE_ALL,$DF955,11)&amp;"","")&amp;"␟"&amp;IFERROR(INDEX(PASTE_ALL,$DF955,12)&amp;"","")&amp;"␟"&amp;IFERROR(INDEX(PASTE_ALL,$DF955,13)&amp;"","")&amp;"␟"&amp;IFERROR(INDEX(PASTE_ALL,$DF955,14)&amp;"","")&amp;"␟"&amp;IFERROR(INDEX(PASTE_ALL,$DF955,15)&amp;"","")&amp;"␟"&amp;IFERROR(INDEX(PASTE_ALL,$DF955,16)&amp;"","")&amp;"␟"&amp;IFERROR(INDEX(PASTE_ALL,$DF955,17)&amp;"","")&amp;"␟"&amp;IFERROR(INDEX(PASTE_ALL,$DF955,18)&amp;"","")&amp;"␟"&amp;IFERROR(INDEX(PASTE_ALL,$DF955,19)&amp;"","")&amp;"␟"&amp;IFERROR(INDEX(PASTE_ALL,$DF955,20)&amp;"","")&amp;"␟"&amp;IFERROR(INDEX(PASTE_ALL,$DF955,21)&amp;"","")&amp;"␟"&amp;IFERROR(INDEX(PASTE_ALL,$DF955,22)&amp;"","")&amp;"␟"&amp;IFERROR(INDEX(PASTE_ALL,$DF955,23)&amp;"","")&amp;"␟"&amp;IFERROR(INDEX(PASTE_ALL,$DF955,24)&amp;"","")&amp;"␟"&amp;IFERROR(INDEX(PASTE_ALL,$DF955,25)&amp;"","")&amp;"␟"&amp;IFERROR(INDEX(PASTE_ALL,$DF955,26)&amp;"","")&amp;"␟"&amp;IFERROR(INDEX(PASTE_ALL,$DF955,27)&amp;"","")&amp;"␟"&amp;IFERROR(INDEX(PASTE_ALL,$DF955,28)&amp;"","")&amp;"␟"&amp;IFERROR(INDEX(PASTE_ALL,$DF955,29)&amp;"","")&amp;"␟"&amp;IFERROR(INDEX(PASTE_ALL,$DF955,30)&amp;"","")&amp;"␟"&amp;IFERROR(INDEX(PASTE_ALL,$DF955,31)&amp;"","")&amp;"␟"&amp;IFERROR(INDEX(PASTE_ALL,$DF955,32)&amp;"","")&amp;"␟"&amp;IFERROR(INDEX(PASTE_ALL,$DF955,33)&amp;"","")&amp;"␟"&amp;IFERROR(INDEX(PASTE_ALL,$DF955,34)&amp;"","")&amp;"␟"&amp;IFERROR(INDEX(PASTE_ALL,$DF955,35)&amp;"","")&amp;"␟"&amp;IFERROR(INDEX(PASTE_ALL,$DF955,36)&amp;"","")&amp;"␟"&amp;IFERROR(INDEX(PASTE_ALL,$DF955,37)&amp;"","")&amp;"␟"&amp;IFERROR(INDEX(PASTE_ALL,$DF955,38)&amp;"","")&amp;"␟"&amp;IFERROR(INDEX(PASTE_ALL,$DF955,39)&amp;"","")&amp;"␟"&amp;IFERROR(INDEX(PASTE_ALL,$DF955,40)&amp;"","")&amp;"␟"&amp;IFERROR(INDEX(PASTE_ALL,$DF955,41)&amp;"","")&amp;"␟"&amp;IFERROR(INDEX(PASTE_ALL,$DF955,42)&amp;"","")&amp;"␟"&amp;IFERROR(INDEX(PASTE_ALL,$DF955,43)&amp;"","")&amp;"␟"&amp;IFERROR(INDEX(PASTE_ALL,$DF955,44)&amp;"","")&amp;"␟"&amp;IFERROR(INDEX(PASTE_ALL,$DF955,45)&amp;"","")&amp;"␟"&amp;IFERROR(INDEX(PASTE_ALL,$DF955,46)&amp;"","")&amp;"␟"&amp;IFERROR(INDEX(PASTE_ALL,$DF955,47)&amp;"","")&amp;"␟"&amp;IFERROR(INDEX(PASTE_ALL,$DF955,48)&amp;"","")&amp;"␟"&amp;IFERROR(INDEX(PASTE_ALL,$DF955,49)&amp;"","")&amp;"␟"&amp;IFERROR(INDEX(PASTE_ALL,$DF955,50)&amp;"","")&amp;"␟"&amp;IFERROR(INDEX(PASTE_ALL,$DF955,51)&amp;"","")&amp;"␟"&amp;IFERROR(INDEX(PASTE_ALL,$DF955,52)&amp;"","")&amp;"␟"&amp;IFERROR(INDEX(PASTE_ALL,$DF955,53)&amp;"","")&amp;"␟"&amp;IFERROR(INDEX(PASTE_ALL,$DF955,54)&amp;"","")&amp;"␟"&amp;IFERROR(INDEX(PASTE_ALL,$DF955,55)&amp;"","")&amp;"␟"&amp;IFERROR(INDEX(PASTE_ALL,$DF955,56)&amp;"","")&amp;"␟"&amp;IFERROR(INDEX(PASTE_ALL,$DF955,57)&amp;"","")&amp;"␟"&amp;IFERROR(INDEX(PASTE_ALL,$DF955,58)&amp;"","")&amp;"␟"&amp;IFERROR(INDEX(PASTE_ALL,$DF955,59)&amp;"","")&amp;"␟"&amp;IFERROR(INDEX(PASTE_ALL,$DF955,60)&amp;"","")," "," "),CHAR(9)," "),CHAR(10)," "),CHAR(13)," "))," ␟","␟"),"␟ ","␟"),"#"&amp;$DE955),"")</f>
        <v/>
      </c>
      <c r="DJ955">
        <f>IF($DI955="",0,IF(SUMPRODUCT(--EXACT($DI$4:DI954,$DI955))&gt;0,1,0))</f>
        <v/>
      </c>
      <c r="DK955">
        <f>IF(AND($DI955&lt;&gt;"",$DJ955=0),1,0)</f>
        <v/>
      </c>
      <c r="DL955">
        <f>DL954+$DK955</f>
        <v/>
      </c>
      <c r="DM955">
        <f>IF(AND($DK955=1,$DL955&lt;=600),1,0)</f>
        <v/>
      </c>
      <c r="DN955">
        <f>IF($DM955=0,"",IF($L$6=0,"",IFERROR(IF(ISNUMBER(INDEX(PASTE_ALL,$DF955,$L$6)),INDEX(PASTE_ALL,$DF955,$L$6),TRIM(SUBSTITUTE(SUBSTITUTE(SUBSTITUTE(SUBSTITUTE(INDEX(PASTE_ALL,$DF955,$L$6)," "," "),CHAR(9)," "),CHAR(10)," "),CHAR(13)," "))),"")))</f>
        <v/>
      </c>
      <c r="DO955">
        <f>IF($DM955=0,"",IF($L$7=0,"",IFERROR(IF(ISNUMBER(INDEX(PASTE_ALL,$DF955,$L$7)),INDEX(PASTE_ALL,$DF955,$L$7),TRIM(SUBSTITUTE(SUBSTITUTE(SUBSTITUTE(SUBSTITUTE(INDEX(PASTE_ALL,$DF955,$L$7)," "," "),CHAR(9)," "),CHAR(10)," "),CHAR(13)," "))),"")))</f>
        <v/>
      </c>
      <c r="DP955">
        <f>IF($DM955=0,"",IF($L$8=0,"",IFERROR(IF(ISNUMBER(INDEX(PASTE_ALL,$DF955,$L$8)),INDEX(PASTE_ALL,$DF955,$L$8),TRIM(SUBSTITUTE(SUBSTITUTE(SUBSTITUTE(SUBSTITUTE(INDEX(PASTE_ALL,$DF955,$L$8)," "," "),CHAR(9)," "),CHAR(10)," "),CHAR(13)," "))),"")))</f>
        <v/>
      </c>
      <c r="DQ955">
        <f>IF($DM955=0,"",IF($L$9=0,"",IFERROR(IF(ISNUMBER(INDEX(PASTE_ALL,$DF955,$L$9)),INDEX(PASTE_ALL,$DF955,$L$9),TRIM(SUBSTITUTE(SUBSTITUTE(SUBSTITUTE(SUBSTITUTE(INDEX(PASTE_ALL,$DF955,$L$9)," "," "),CHAR(9)," "),CHAR(10)," "),CHAR(13)," "))),"")))</f>
        <v/>
      </c>
      <c r="DR955">
        <f>IF($DM955=0,"",IF($L$10=0,"",IFERROR(IF(ISNUMBER(INDEX(PASTE_ALL,$DF955,$L$10)),INDEX(PASTE_ALL,$DF955,$L$10),TRIM(SUBSTITUTE(SUBSTITUTE(SUBSTITUTE(SUBSTITUTE(INDEX(PASTE_ALL,$DF955,$L$10)," "," "),CHAR(9)," "),CHAR(10)," "),CHAR(13)," "))),"")))</f>
        <v/>
      </c>
      <c r="DS955">
        <f>IF($DM955=0,"",IF($L$11=0,"",IFERROR(IF(ISNUMBER(INDEX(PASTE_ALL,$DF955,$L$11)),INDEX(PASTE_ALL,$DF955,$L$11),TRIM(SUBSTITUTE(SUBSTITUTE(SUBSTITUTE(SUBSTITUTE(INDEX(PASTE_ALL,$DF955,$L$11)," "," "),CHAR(9)," "),CHAR(10)," "),CHAR(13)," "))),"")))</f>
        <v/>
      </c>
      <c r="DT955">
        <f>IF($DM955=0,"",IF($L$12=0,"",IFERROR(IF(ISNUMBER(INDEX(PASTE_ALL,$DF955,$L$12)),INDEX(PASTE_ALL,$DF955,$L$12),TRIM(SUBSTITUTE(SUBSTITUTE(SUBSTITUTE(SUBSTITUTE(INDEX(PASTE_ALL,$DF955,$L$12)," "," "),CHAR(9)," "),CHAR(10)," "),CHAR(13)," "))),"")))</f>
        <v/>
      </c>
      <c r="DU955">
        <f>IF($DM955=0,"",IF($L$13=0,"",IFERROR(IF(ISNUMBER(INDEX(PASTE_ALL,$DF955,$L$13)),INDEX(PASTE_ALL,$DF955,$L$13),TRIM(SUBSTITUTE(SUBSTITUTE(SUBSTITUTE(SUBSTITUTE(INDEX(PASTE_ALL,$DF955,$L$13)," "," "),CHAR(9)," "),CHAR(10)," "),CHAR(13)," "))),"")))</f>
        <v/>
      </c>
      <c r="DV955">
        <f>IF($DM955=0,"",IF($L$14=0,"",IFERROR(IF(ISNUMBER(INDEX(PASTE_ALL,$DF955,$L$14)),INDEX(PASTE_ALL,$DF955,$L$14),TRIM(SUBSTITUTE(SUBSTITUTE(SUBSTITUTE(SUBSTITUTE(INDEX(PASTE_ALL,$DF955,$L$14)," "," "),CHAR(9)," "),CHAR(10)," "),CHAR(13)," "))),"")))</f>
        <v/>
      </c>
      <c r="DW955">
        <f>IF($DM955=0,"",IF($L$15=0,"",IFERROR(IF(ISNUMBER(INDEX(PASTE_ALL,$DF955,$L$15)),INDEX(PASTE_ALL,$DF955,$L$15),IF(SUMPRODUCT(--ISNUMBER(FIND({"A","B","C","D","E","F","G","H","I","J","K","L","M","N","O","P","Q","R","S","T","U","V","W","X","Y","Z","0","1","2","3","4","5","6","7","8","9"},UPPER(TRIM(SUBSTITUTE(SUBSTITUTE(SUBSTITUTE(SUBSTITUTE(INDEX(PASTE_ALL,$DF955,$L$15)," "," "),CHAR(9)," "),CHAR(10)," "),CHAR(13)," "))))))&gt;0,TRIM(SUBSTITUTE(SUBSTITUTE(SUBSTITUTE(SUBSTITUTE(INDEX(PASTE_ALL,$DF955,$L$15)," "," "),CHAR(9)," "),CHAR(10)," "),CHAR(13)," ")),"")),"")))</f>
        <v/>
      </c>
      <c r="DX955">
        <f>IF($DM955=0,"",IF($L$16=0,"",IFERROR(IF(ISNUMBER(INDEX(PASTE_ALL,$DF955,$L$16)),INDEX(PASTE_ALL,$DF955,$L$16),SUBSTITUTE(SUBSTITUTE(TRIM(SUBSTITUTE(SUBSTITUTE(SUBSTITUTE(SUBSTITUTE(INDEX(PASTE_ALL,$DF955,$L$16)," "," "),CHAR(9)," "),CHAR(10)," "),CHAR(13)," ")),",",""),"%","")),"")))</f>
        <v/>
      </c>
      <c r="DY955">
        <f>IF($DM955=0,"",IFERROR(IF(ISNUMBER($DX955),$DX955,IF($DX955="","",IF(TRIM($DX955)="",0,IF(AND(AND(SUBSTITUTE(SUBSTITUTE(SUBSTITUTE(SUBSTITUTE(SUBSTITUTE(SUBSTITUTE(SUBSTITUTE(SUBSTITUTE(SUBSTITUTE(SUBSTITUTE(SUBSTITUTE(SUBSTITUTE(SUBSTITUTE(SUBSTITUTE(UPPER(TRIM($DX955)),"0",""),"1",""),"2",""),"3",""),"4",""),"5",""),"6",""),"7",""),"8",""),"9",""),".",""),"+",""),"-",""),"E","")="",LEN(SUBSTITUTE(SUBSTITUTE(MID(UPPER(TRIM($DX955)),1+OR(LEFT(UPPER(TRIM($DX955)),1)="+",LEFT(UPPER(TRIM($DX955)),1)="-"),999),"E+","E"),"E-","E"))=LEN(SUBSTITUTE(SUBSTITUTE(SUBSTITUTE(SUBSTITUTE(MID(UPPER(TRIM($DX955)),1+OR(LEFT(UPPER(TRIM($DX955)),1)="+",LEFT(UPPER(TRIM($DX955)),1)="-"),999),"E+","E"),"E-","E"),"+",""),"-","")),LEN(UPPER(TRIM($DX955)))-LEN(SUBSTITUTE(UPPER(TRIM($DX955)),"E",""))&lt;2,LEN(UPPER(TRIM($DX955)))-LEN(SUBSTITUTE(UPPER(TRIM($DX955)),".",""))&lt;2,IFERROR(FIND(".",UPPER(TRIM($DX955))),0)&lt;IFERROR(FIND("E",UPPER(TRIM($DX955))),999)),ISNUMBER(VALUE(TRIM($DX955)))),VALUE(TRIM($DX955)),"")))),""))</f>
        <v/>
      </c>
      <c r="DZ955">
        <f>IF($DM955=0,"",IF($L$17=0,"",IFERROR(IF(ISNUMBER(INDEX(PASTE_ALL,$DF955,$L$17)),INDEX(PASTE_ALL,$DF955,$L$17),SUBSTITUTE(SUBSTITUTE(TRIM(SUBSTITUTE(SUBSTITUTE(SUBSTITUTE(SUBSTITUTE(INDEX(PASTE_ALL,$DF955,$L$17)," "," "),CHAR(9)," "),CHAR(10)," "),CHAR(13)," ")),",",""),"%","")),"")))</f>
        <v/>
      </c>
      <c r="EA955">
        <f>IF($DM955=0,"",IFERROR(IF(ISNUMBER($DZ955),$DZ955,IF($DZ955="","",IF(TRIM($DZ955)="",0,IF(AND(AND(SUBSTITUTE(SUBSTITUTE(SUBSTITUTE(SUBSTITUTE(SUBSTITUTE(SUBSTITUTE(SUBSTITUTE(SUBSTITUTE(SUBSTITUTE(SUBSTITUTE(SUBSTITUTE(SUBSTITUTE(SUBSTITUTE(SUBSTITUTE(UPPER(TRIM($DZ955)),"0",""),"1",""),"2",""),"3",""),"4",""),"5",""),"6",""),"7",""),"8",""),"9",""),".",""),"+",""),"-",""),"E","")="",LEN(SUBSTITUTE(SUBSTITUTE(MID(UPPER(TRIM($DZ955)),1+OR(LEFT(UPPER(TRIM($DZ955)),1)="+",LEFT(UPPER(TRIM($DZ955)),1)="-"),999),"E+","E"),"E-","E"))=LEN(SUBSTITUTE(SUBSTITUTE(SUBSTITUTE(SUBSTITUTE(MID(UPPER(TRIM($DZ955)),1+OR(LEFT(UPPER(TRIM($DZ955)),1)="+",LEFT(UPPER(TRIM($DZ955)),1)="-"),999),"E+","E"),"E-","E"),"+",""),"-","")),LEN(UPPER(TRIM($DZ955)))-LEN(SUBSTITUTE(UPPER(TRIM($DZ955)),"E",""))&lt;2,LEN(UPPER(TRIM($DZ955)))-LEN(SUBSTITUTE(UPPER(TRIM($DZ955)),".",""))&lt;2,IFERROR(FIND(".",UPPER(TRIM($DZ955))),0)&lt;IFERROR(FIND("E",UPPER(TRIM($DZ955))),999)),ISNUMBER(VALUE(TRIM($DZ955)))),VALUE(TRIM($DZ955)),"")))),""))</f>
        <v/>
      </c>
      <c r="EB955">
        <f>IF($DM955=0,"",IF($L$18=0,"",IFERROR(IF(UPPER(TRIM(SUBSTITUTE(SUBSTITUTE(SUBSTITUTE(SUBSTITUTE(INDEX(PASTE_ALL,$DF955,$L$18)," "," "),CHAR(9)," "),CHAR(10)," "),CHAR(13)," ")))="READY","Ready",IF(UPPER(TRIM(SUBSTITUTE(SUBSTITUTE(SUBSTITUTE(SUBSTITUTE(INDEX(PASTE_ALL,$DF955,$L$18)," "," "),CHAR(9)," "),CHAR(10)," "),CHAR(13)," ")))="PM","PM",IF(OR(UPPER(TRIM(SUBSTITUTE(SUBSTITUTE(SUBSTITUTE(SUBSTITUTE(INDEX(PASTE_ALL,$DF955,$L$18)," "," "),CHAR(9)," "),CHAR(10)," "),CHAR(13)," ")))="OT",UPPER(TRIM(SUBSTITUTE(SUBSTITUTE(SUBSTITUTE(SUBSTITUTE(INDEX(PASTE_ALL,$DF955,$L$18)," "," "),CHAR(9)," "),CHAR(10)," "),CHAR(13)," ")))="OVERTIME",UPPER(TRIM(SUBSTITUTE(SUBSTITUTE(SUBSTITUTE(SUBSTITUTE(INDEX(PASTE_ALL,$DF955,$L$18)," "," "),CHAR(9)," "),CHAR(10)," "),CHAR(13)," ")))="TRIAL"),"OT",TRIM(SUBSTITUTE(SUBSTITUTE(SUBSTITUTE(SUBSTITUTE(INDEX(PASTE_ALL,$DF955,$L$18)," "," "),CHAR(9)," "),CHAR(10)," "),CHAR(13)," "))))),"")))</f>
        <v/>
      </c>
      <c r="EC955">
        <f>IF($DM955=0,"",IF($L$19=0,"",IFERROR(IF(ISNUMBER(INDEX(PASTE_ALL,$DF955,$L$19)),INDEX(PASTE_ALL,$DF955,$L$19),TRIM(SUBSTITUTE(SUBSTITUTE(SUBSTITUTE(SUBSTITUTE(INDEX(PASTE_ALL,$DF955,$L$19)," "," "),CHAR(9)," "),CHAR(10)," "),CHAR(13)," "))),"")))</f>
        <v/>
      </c>
      <c r="ED955">
        <f>IF($DM955=0,"",MATCH(1,INDEX(EXACT($DH$5:DH955,$DH955)*$DM$5:DM955,0),0))</f>
        <v/>
      </c>
      <c r="EE955">
        <f>IF($DM955=0,0,IF($ED955=$DE955,1,0))</f>
        <v/>
      </c>
      <c r="EF955">
        <f>EF954+$EE955</f>
        <v/>
      </c>
      <c r="EG955">
        <f>IF($DM955=0,"",INDEX($EF$5:$EF$1003,$ED955))</f>
        <v/>
      </c>
      <c r="EH955">
        <f>IF($DM955=0,"",IF($DO955&lt;&gt;"","",IFERROR(LOOKUP(2,1/(($EG$4:EG954=$EG955)*($DO$4:DO954&lt;&gt;"")),$DO$4:DO954),"")))</f>
        <v/>
      </c>
      <c r="EI955">
        <f>IF($DM955=0,"",IF($DO955&lt;&gt;"",$DO955,$EH955))</f>
        <v/>
      </c>
      <c r="EJ955">
        <f>IF($DM955=0,"",IF($EI955="",0,IF(OR(ISNUMBER($EI955),AND(AND(SUBSTITUTE(SUBSTITUTE(SUBSTITUTE(SUBSTITUTE(SUBSTITUTE(SUBSTITUTE(SUBSTITUTE(SUBSTITUTE(SUBSTITUTE(SUBSTITUTE(SUBSTITUTE(SUBSTITUTE(SUBSTITUTE(SUBSTITUTE(UPPER($EI955),"0",""),"1",""),"2",""),"3",""),"4",""),"5",""),"6",""),"7",""),"8",""),"9",""),".",""),"+",""),"-",""),"E","")="",LEN(SUBSTITUTE(SUBSTITUTE(MID(UPPER($EI955),1+OR(LEFT(UPPER($EI955),1)="+",LEFT(UPPER($EI955),1)="-"),999),"E+","E"),"E-","E"))=LEN(SUBSTITUTE(SUBSTITUTE(SUBSTITUTE(SUBSTITUTE(MID(UPPER($EI955),1+OR(LEFT(UPPER($EI955),1)="+",LEFT(UPPER($EI955),1)="-"),999),"E+","E"),"E-","E"),"+",""),"-","")),LEN(UPPER($EI955))-LEN(SUBSTITUTE(UPPER($EI955),"E",""))&lt;2,LEN(UPPER($EI955))-LEN(SUBSTITUTE(UPPER($EI955),".",""))&lt;2,IFERROR(FIND(".",UPPER($EI955)),0)&lt;IFERROR(FIND("E",UPPER($EI955)),999)),ISNUMBER(VALUE($EI955)))),1,2)))</f>
        <v/>
      </c>
      <c r="EK955">
        <f>IF($DM955=0,"",IF($EJ955=1,IF(ISNUMBER($EI955),$EI955,VALUE($EI955)),IF($EJ955=2,$DE955,0)))</f>
        <v/>
      </c>
      <c r="EL955">
        <f>IF($DM955=0,"",COUNTIF($EG$5:$EG$1003,"&lt;"&amp;$EG955)+SUMPRODUCT(($EG$5:$EG$1003=$EG955)*(($EJ$5:$EJ$1003&lt;$EJ955)+($EJ$5:$EJ$1003=$EJ955)*(($EK$5:$EK$1003&lt;$EK955)+($EK$5:$EK$1003=$EK955)*($DE$5:$DE$1003&lt;$DE955))))+1)</f>
        <v/>
      </c>
      <c r="EM955">
        <f>IF($DM955=0,"",$EL955+$EG955-1)</f>
        <v/>
      </c>
      <c r="EN955">
        <f>IF($DM955=0,0,IFERROR(MATCH(1,INDEX(--(TRIM(SUBSTITUTE(SUBSTITUTE(SUBSTITUTE(SUBSTITUTE(LINES_NAME&amp;""," "," "),CHAR(9)," "),CHAR(10)," "),CHAR(13)," "))=$DH955),0),0),0))</f>
        <v/>
      </c>
      <c r="EO955">
        <f>IF($EN955=0,0,IF(OR(UPPER(TRIM(INDEX(LINES_SCHEDULED,$EN955)&amp;""))="YES",UPPER(TRIM(INDEX(LINES_SCHEDULED,$EN955)&amp;""))="Y",UPPER(TRIM(INDEX(LINES_SCHEDULED,$EN955)&amp;""))="X"),1,0))</f>
        <v/>
      </c>
      <c r="EP955">
        <f>IF($DM955=0,"",IF(COUNTIFS($EG$5:$EG$1003,$EG955,$EB$5:$EB$1003,"Ready")&gt;0,"READY",IF(COUNTIFS($EG$5:$EG$1003,$EG955,$EB$5:$EB$1003,"PM")&gt;0,"PM",IF(COUNTIFS($EG$5:$EG$1003,$EG955,$EB$5:$EB$1003,"OT")&gt;0,"OT",""))))</f>
        <v/>
      </c>
      <c r="EQ955">
        <f>IF($EN955=0,"",UPPER(TRIM(INDEX(LINES_STATUS,$EN955)&amp;"")))</f>
        <v/>
      </c>
      <c r="ER955">
        <f>IF($DM955=0,"",IF(OR($EQ955="READY",$EQ955="PM",$EQ955="OT"),$EQ955,$EP955))</f>
        <v/>
      </c>
      <c r="ES955">
        <f>IF($DM955=0,"",IF(AND($DV955&lt;&gt;"",UPPER($DV955)&lt;&gt;"N"),"allergen",IF(ISNUMBER(SEARCH("oil",$DQ955)),"oil",IF(OR(EXACT($DS955,"A662"),EXACT($DS955,"A624")),"bulk",""))))</f>
        <v/>
      </c>
      <c r="ET955">
        <f>IF($DM955=0,"",IF(OR($EA955="",$EA955=0),"",$EA955/100))</f>
        <v/>
      </c>
      <c r="EU955">
        <f>IF(OR($ET955="",$DY955=""),"",INT($DY955*(1-$ET955)+0.5))</f>
        <v/>
      </c>
    </row>
    <row r="956">
      <c r="DA956" t="n">
        <v>952</v>
      </c>
      <c r="DB956">
        <f>IF($B$37=0,"",IFERROR(TRIM(SUBSTITUTE(SUBSTITUTE(SUBSTITUTE(SUBSTITUTE(INDEX(PASTE_ALL,952,$B$37)," "," "),CHAR(9)," "),CHAR(10)," "),CHAR(13)," ")),""))</f>
        <v/>
      </c>
      <c r="DC956">
        <f>IF(AND(952&gt;HEADER_ROW,UPPER(DB956)="LEGEND"),1,0)</f>
        <v/>
      </c>
      <c r="DE956" t="n">
        <v>952</v>
      </c>
      <c r="DF956">
        <f>HEADER_ROW+$DE956</f>
        <v/>
      </c>
      <c r="DG956">
        <f>IF(AND($DF956&lt;=1000,$DF956&lt;$B$8),1,0)</f>
        <v/>
      </c>
      <c r="DH956">
        <f>IF($DG956=1,IFERROR(INDEX($DB$5:$DB$1004,$DF956),""),"")</f>
        <v/>
      </c>
      <c r="DI956">
        <f>IF(AND($DG956=1,$DH956&lt;&gt;""),IFERROR(SUBSTITUTE(SUBSTITUTE(TRIM(SUBSTITUTE(SUBSTITUTE(SUBSTITUTE(SUBSTITUTE(IFERROR(INDEX(PASTE_ALL,$DF956,1)&amp;"","")&amp;"␟"&amp;IFERROR(INDEX(PASTE_ALL,$DF956,2)&amp;"","")&amp;"␟"&amp;IFERROR(INDEX(PASTE_ALL,$DF956,3)&amp;"","")&amp;"␟"&amp;IFERROR(INDEX(PASTE_ALL,$DF956,4)&amp;"","")&amp;"␟"&amp;IFERROR(INDEX(PASTE_ALL,$DF956,5)&amp;"","")&amp;"␟"&amp;IFERROR(INDEX(PASTE_ALL,$DF956,6)&amp;"","")&amp;"␟"&amp;IFERROR(INDEX(PASTE_ALL,$DF956,7)&amp;"","")&amp;"␟"&amp;IFERROR(INDEX(PASTE_ALL,$DF956,8)&amp;"","")&amp;"␟"&amp;IFERROR(INDEX(PASTE_ALL,$DF956,9)&amp;"","")&amp;"␟"&amp;IFERROR(INDEX(PASTE_ALL,$DF956,10)&amp;"","")&amp;"␟"&amp;IFERROR(INDEX(PASTE_ALL,$DF956,11)&amp;"","")&amp;"␟"&amp;IFERROR(INDEX(PASTE_ALL,$DF956,12)&amp;"","")&amp;"␟"&amp;IFERROR(INDEX(PASTE_ALL,$DF956,13)&amp;"","")&amp;"␟"&amp;IFERROR(INDEX(PASTE_ALL,$DF956,14)&amp;"","")&amp;"␟"&amp;IFERROR(INDEX(PASTE_ALL,$DF956,15)&amp;"","")&amp;"␟"&amp;IFERROR(INDEX(PASTE_ALL,$DF956,16)&amp;"","")&amp;"␟"&amp;IFERROR(INDEX(PASTE_ALL,$DF956,17)&amp;"","")&amp;"␟"&amp;IFERROR(INDEX(PASTE_ALL,$DF956,18)&amp;"","")&amp;"␟"&amp;IFERROR(INDEX(PASTE_ALL,$DF956,19)&amp;"","")&amp;"␟"&amp;IFERROR(INDEX(PASTE_ALL,$DF956,20)&amp;"","")&amp;"␟"&amp;IFERROR(INDEX(PASTE_ALL,$DF956,21)&amp;"","")&amp;"␟"&amp;IFERROR(INDEX(PASTE_ALL,$DF956,22)&amp;"","")&amp;"␟"&amp;IFERROR(INDEX(PASTE_ALL,$DF956,23)&amp;"","")&amp;"␟"&amp;IFERROR(INDEX(PASTE_ALL,$DF956,24)&amp;"","")&amp;"␟"&amp;IFERROR(INDEX(PASTE_ALL,$DF956,25)&amp;"","")&amp;"␟"&amp;IFERROR(INDEX(PASTE_ALL,$DF956,26)&amp;"","")&amp;"␟"&amp;IFERROR(INDEX(PASTE_ALL,$DF956,27)&amp;"","")&amp;"␟"&amp;IFERROR(INDEX(PASTE_ALL,$DF956,28)&amp;"","")&amp;"␟"&amp;IFERROR(INDEX(PASTE_ALL,$DF956,29)&amp;"","")&amp;"␟"&amp;IFERROR(INDEX(PASTE_ALL,$DF956,30)&amp;"","")&amp;"␟"&amp;IFERROR(INDEX(PASTE_ALL,$DF956,31)&amp;"","")&amp;"␟"&amp;IFERROR(INDEX(PASTE_ALL,$DF956,32)&amp;"","")&amp;"␟"&amp;IFERROR(INDEX(PASTE_ALL,$DF956,33)&amp;"","")&amp;"␟"&amp;IFERROR(INDEX(PASTE_ALL,$DF956,34)&amp;"","")&amp;"␟"&amp;IFERROR(INDEX(PASTE_ALL,$DF956,35)&amp;"","")&amp;"␟"&amp;IFERROR(INDEX(PASTE_ALL,$DF956,36)&amp;"","")&amp;"␟"&amp;IFERROR(INDEX(PASTE_ALL,$DF956,37)&amp;"","")&amp;"␟"&amp;IFERROR(INDEX(PASTE_ALL,$DF956,38)&amp;"","")&amp;"␟"&amp;IFERROR(INDEX(PASTE_ALL,$DF956,39)&amp;"","")&amp;"␟"&amp;IFERROR(INDEX(PASTE_ALL,$DF956,40)&amp;"","")&amp;"␟"&amp;IFERROR(INDEX(PASTE_ALL,$DF956,41)&amp;"","")&amp;"␟"&amp;IFERROR(INDEX(PASTE_ALL,$DF956,42)&amp;"","")&amp;"␟"&amp;IFERROR(INDEX(PASTE_ALL,$DF956,43)&amp;"","")&amp;"␟"&amp;IFERROR(INDEX(PASTE_ALL,$DF956,44)&amp;"","")&amp;"␟"&amp;IFERROR(INDEX(PASTE_ALL,$DF956,45)&amp;"","")&amp;"␟"&amp;IFERROR(INDEX(PASTE_ALL,$DF956,46)&amp;"","")&amp;"␟"&amp;IFERROR(INDEX(PASTE_ALL,$DF956,47)&amp;"","")&amp;"␟"&amp;IFERROR(INDEX(PASTE_ALL,$DF956,48)&amp;"","")&amp;"␟"&amp;IFERROR(INDEX(PASTE_ALL,$DF956,49)&amp;"","")&amp;"␟"&amp;IFERROR(INDEX(PASTE_ALL,$DF956,50)&amp;"","")&amp;"␟"&amp;IFERROR(INDEX(PASTE_ALL,$DF956,51)&amp;"","")&amp;"␟"&amp;IFERROR(INDEX(PASTE_ALL,$DF956,52)&amp;"","")&amp;"␟"&amp;IFERROR(INDEX(PASTE_ALL,$DF956,53)&amp;"","")&amp;"␟"&amp;IFERROR(INDEX(PASTE_ALL,$DF956,54)&amp;"","")&amp;"␟"&amp;IFERROR(INDEX(PASTE_ALL,$DF956,55)&amp;"","")&amp;"␟"&amp;IFERROR(INDEX(PASTE_ALL,$DF956,56)&amp;"","")&amp;"␟"&amp;IFERROR(INDEX(PASTE_ALL,$DF956,57)&amp;"","")&amp;"␟"&amp;IFERROR(INDEX(PASTE_ALL,$DF956,58)&amp;"","")&amp;"␟"&amp;IFERROR(INDEX(PASTE_ALL,$DF956,59)&amp;"","")&amp;"␟"&amp;IFERROR(INDEX(PASTE_ALL,$DF956,60)&amp;"","")," "," "),CHAR(9)," "),CHAR(10)," "),CHAR(13)," "))," ␟","␟"),"␟ ","␟"),"#"&amp;$DE956),"")</f>
        <v/>
      </c>
      <c r="DJ956">
        <f>IF($DI956="",0,IF(SUMPRODUCT(--EXACT($DI$4:DI955,$DI956))&gt;0,1,0))</f>
        <v/>
      </c>
      <c r="DK956">
        <f>IF(AND($DI956&lt;&gt;"",$DJ956=0),1,0)</f>
        <v/>
      </c>
      <c r="DL956">
        <f>DL955+$DK956</f>
        <v/>
      </c>
      <c r="DM956">
        <f>IF(AND($DK956=1,$DL956&lt;=600),1,0)</f>
        <v/>
      </c>
      <c r="DN956">
        <f>IF($DM956=0,"",IF($L$6=0,"",IFERROR(IF(ISNUMBER(INDEX(PASTE_ALL,$DF956,$L$6)),INDEX(PASTE_ALL,$DF956,$L$6),TRIM(SUBSTITUTE(SUBSTITUTE(SUBSTITUTE(SUBSTITUTE(INDEX(PASTE_ALL,$DF956,$L$6)," "," "),CHAR(9)," "),CHAR(10)," "),CHAR(13)," "))),"")))</f>
        <v/>
      </c>
      <c r="DO956">
        <f>IF($DM956=0,"",IF($L$7=0,"",IFERROR(IF(ISNUMBER(INDEX(PASTE_ALL,$DF956,$L$7)),INDEX(PASTE_ALL,$DF956,$L$7),TRIM(SUBSTITUTE(SUBSTITUTE(SUBSTITUTE(SUBSTITUTE(INDEX(PASTE_ALL,$DF956,$L$7)," "," "),CHAR(9)," "),CHAR(10)," "),CHAR(13)," "))),"")))</f>
        <v/>
      </c>
      <c r="DP956">
        <f>IF($DM956=0,"",IF($L$8=0,"",IFERROR(IF(ISNUMBER(INDEX(PASTE_ALL,$DF956,$L$8)),INDEX(PASTE_ALL,$DF956,$L$8),TRIM(SUBSTITUTE(SUBSTITUTE(SUBSTITUTE(SUBSTITUTE(INDEX(PASTE_ALL,$DF956,$L$8)," "," "),CHAR(9)," "),CHAR(10)," "),CHAR(13)," "))),"")))</f>
        <v/>
      </c>
      <c r="DQ956">
        <f>IF($DM956=0,"",IF($L$9=0,"",IFERROR(IF(ISNUMBER(INDEX(PASTE_ALL,$DF956,$L$9)),INDEX(PASTE_ALL,$DF956,$L$9),TRIM(SUBSTITUTE(SUBSTITUTE(SUBSTITUTE(SUBSTITUTE(INDEX(PASTE_ALL,$DF956,$L$9)," "," "),CHAR(9)," "),CHAR(10)," "),CHAR(13)," "))),"")))</f>
        <v/>
      </c>
      <c r="DR956">
        <f>IF($DM956=0,"",IF($L$10=0,"",IFERROR(IF(ISNUMBER(INDEX(PASTE_ALL,$DF956,$L$10)),INDEX(PASTE_ALL,$DF956,$L$10),TRIM(SUBSTITUTE(SUBSTITUTE(SUBSTITUTE(SUBSTITUTE(INDEX(PASTE_ALL,$DF956,$L$10)," "," "),CHAR(9)," "),CHAR(10)," "),CHAR(13)," "))),"")))</f>
        <v/>
      </c>
      <c r="DS956">
        <f>IF($DM956=0,"",IF($L$11=0,"",IFERROR(IF(ISNUMBER(INDEX(PASTE_ALL,$DF956,$L$11)),INDEX(PASTE_ALL,$DF956,$L$11),TRIM(SUBSTITUTE(SUBSTITUTE(SUBSTITUTE(SUBSTITUTE(INDEX(PASTE_ALL,$DF956,$L$11)," "," "),CHAR(9)," "),CHAR(10)," "),CHAR(13)," "))),"")))</f>
        <v/>
      </c>
      <c r="DT956">
        <f>IF($DM956=0,"",IF($L$12=0,"",IFERROR(IF(ISNUMBER(INDEX(PASTE_ALL,$DF956,$L$12)),INDEX(PASTE_ALL,$DF956,$L$12),TRIM(SUBSTITUTE(SUBSTITUTE(SUBSTITUTE(SUBSTITUTE(INDEX(PASTE_ALL,$DF956,$L$12)," "," "),CHAR(9)," "),CHAR(10)," "),CHAR(13)," "))),"")))</f>
        <v/>
      </c>
      <c r="DU956">
        <f>IF($DM956=0,"",IF($L$13=0,"",IFERROR(IF(ISNUMBER(INDEX(PASTE_ALL,$DF956,$L$13)),INDEX(PASTE_ALL,$DF956,$L$13),TRIM(SUBSTITUTE(SUBSTITUTE(SUBSTITUTE(SUBSTITUTE(INDEX(PASTE_ALL,$DF956,$L$13)," "," "),CHAR(9)," "),CHAR(10)," "),CHAR(13)," "))),"")))</f>
        <v/>
      </c>
      <c r="DV956">
        <f>IF($DM956=0,"",IF($L$14=0,"",IFERROR(IF(ISNUMBER(INDEX(PASTE_ALL,$DF956,$L$14)),INDEX(PASTE_ALL,$DF956,$L$14),TRIM(SUBSTITUTE(SUBSTITUTE(SUBSTITUTE(SUBSTITUTE(INDEX(PASTE_ALL,$DF956,$L$14)," "," "),CHAR(9)," "),CHAR(10)," "),CHAR(13)," "))),"")))</f>
        <v/>
      </c>
      <c r="DW956">
        <f>IF($DM956=0,"",IF($L$15=0,"",IFERROR(IF(ISNUMBER(INDEX(PASTE_ALL,$DF956,$L$15)),INDEX(PASTE_ALL,$DF956,$L$15),IF(SUMPRODUCT(--ISNUMBER(FIND({"A","B","C","D","E","F","G","H","I","J","K","L","M","N","O","P","Q","R","S","T","U","V","W","X","Y","Z","0","1","2","3","4","5","6","7","8","9"},UPPER(TRIM(SUBSTITUTE(SUBSTITUTE(SUBSTITUTE(SUBSTITUTE(INDEX(PASTE_ALL,$DF956,$L$15)," "," "),CHAR(9)," "),CHAR(10)," "),CHAR(13)," "))))))&gt;0,TRIM(SUBSTITUTE(SUBSTITUTE(SUBSTITUTE(SUBSTITUTE(INDEX(PASTE_ALL,$DF956,$L$15)," "," "),CHAR(9)," "),CHAR(10)," "),CHAR(13)," ")),"")),"")))</f>
        <v/>
      </c>
      <c r="DX956">
        <f>IF($DM956=0,"",IF($L$16=0,"",IFERROR(IF(ISNUMBER(INDEX(PASTE_ALL,$DF956,$L$16)),INDEX(PASTE_ALL,$DF956,$L$16),SUBSTITUTE(SUBSTITUTE(TRIM(SUBSTITUTE(SUBSTITUTE(SUBSTITUTE(SUBSTITUTE(INDEX(PASTE_ALL,$DF956,$L$16)," "," "),CHAR(9)," "),CHAR(10)," "),CHAR(13)," ")),",",""),"%","")),"")))</f>
        <v/>
      </c>
      <c r="DY956">
        <f>IF($DM956=0,"",IFERROR(IF(ISNUMBER($DX956),$DX956,IF($DX956="","",IF(TRIM($DX956)="",0,IF(AND(AND(SUBSTITUTE(SUBSTITUTE(SUBSTITUTE(SUBSTITUTE(SUBSTITUTE(SUBSTITUTE(SUBSTITUTE(SUBSTITUTE(SUBSTITUTE(SUBSTITUTE(SUBSTITUTE(SUBSTITUTE(SUBSTITUTE(SUBSTITUTE(UPPER(TRIM($DX956)),"0",""),"1",""),"2",""),"3",""),"4",""),"5",""),"6",""),"7",""),"8",""),"9",""),".",""),"+",""),"-",""),"E","")="",LEN(SUBSTITUTE(SUBSTITUTE(MID(UPPER(TRIM($DX956)),1+OR(LEFT(UPPER(TRIM($DX956)),1)="+",LEFT(UPPER(TRIM($DX956)),1)="-"),999),"E+","E"),"E-","E"))=LEN(SUBSTITUTE(SUBSTITUTE(SUBSTITUTE(SUBSTITUTE(MID(UPPER(TRIM($DX956)),1+OR(LEFT(UPPER(TRIM($DX956)),1)="+",LEFT(UPPER(TRIM($DX956)),1)="-"),999),"E+","E"),"E-","E"),"+",""),"-","")),LEN(UPPER(TRIM($DX956)))-LEN(SUBSTITUTE(UPPER(TRIM($DX956)),"E",""))&lt;2,LEN(UPPER(TRIM($DX956)))-LEN(SUBSTITUTE(UPPER(TRIM($DX956)),".",""))&lt;2,IFERROR(FIND(".",UPPER(TRIM($DX956))),0)&lt;IFERROR(FIND("E",UPPER(TRIM($DX956))),999)),ISNUMBER(VALUE(TRIM($DX956)))),VALUE(TRIM($DX956)),"")))),""))</f>
        <v/>
      </c>
      <c r="DZ956">
        <f>IF($DM956=0,"",IF($L$17=0,"",IFERROR(IF(ISNUMBER(INDEX(PASTE_ALL,$DF956,$L$17)),INDEX(PASTE_ALL,$DF956,$L$17),SUBSTITUTE(SUBSTITUTE(TRIM(SUBSTITUTE(SUBSTITUTE(SUBSTITUTE(SUBSTITUTE(INDEX(PASTE_ALL,$DF956,$L$17)," "," "),CHAR(9)," "),CHAR(10)," "),CHAR(13)," ")),",",""),"%","")),"")))</f>
        <v/>
      </c>
      <c r="EA956">
        <f>IF($DM956=0,"",IFERROR(IF(ISNUMBER($DZ956),$DZ956,IF($DZ956="","",IF(TRIM($DZ956)="",0,IF(AND(AND(SUBSTITUTE(SUBSTITUTE(SUBSTITUTE(SUBSTITUTE(SUBSTITUTE(SUBSTITUTE(SUBSTITUTE(SUBSTITUTE(SUBSTITUTE(SUBSTITUTE(SUBSTITUTE(SUBSTITUTE(SUBSTITUTE(SUBSTITUTE(UPPER(TRIM($DZ956)),"0",""),"1",""),"2",""),"3",""),"4",""),"5",""),"6",""),"7",""),"8",""),"9",""),".",""),"+",""),"-",""),"E","")="",LEN(SUBSTITUTE(SUBSTITUTE(MID(UPPER(TRIM($DZ956)),1+OR(LEFT(UPPER(TRIM($DZ956)),1)="+",LEFT(UPPER(TRIM($DZ956)),1)="-"),999),"E+","E"),"E-","E"))=LEN(SUBSTITUTE(SUBSTITUTE(SUBSTITUTE(SUBSTITUTE(MID(UPPER(TRIM($DZ956)),1+OR(LEFT(UPPER(TRIM($DZ956)),1)="+",LEFT(UPPER(TRIM($DZ956)),1)="-"),999),"E+","E"),"E-","E"),"+",""),"-","")),LEN(UPPER(TRIM($DZ956)))-LEN(SUBSTITUTE(UPPER(TRIM($DZ956)),"E",""))&lt;2,LEN(UPPER(TRIM($DZ956)))-LEN(SUBSTITUTE(UPPER(TRIM($DZ956)),".",""))&lt;2,IFERROR(FIND(".",UPPER(TRIM($DZ956))),0)&lt;IFERROR(FIND("E",UPPER(TRIM($DZ956))),999)),ISNUMBER(VALUE(TRIM($DZ956)))),VALUE(TRIM($DZ956)),"")))),""))</f>
        <v/>
      </c>
      <c r="EB956">
        <f>IF($DM956=0,"",IF($L$18=0,"",IFERROR(IF(UPPER(TRIM(SUBSTITUTE(SUBSTITUTE(SUBSTITUTE(SUBSTITUTE(INDEX(PASTE_ALL,$DF956,$L$18)," "," "),CHAR(9)," "),CHAR(10)," "),CHAR(13)," ")))="READY","Ready",IF(UPPER(TRIM(SUBSTITUTE(SUBSTITUTE(SUBSTITUTE(SUBSTITUTE(INDEX(PASTE_ALL,$DF956,$L$18)," "," "),CHAR(9)," "),CHAR(10)," "),CHAR(13)," ")))="PM","PM",IF(OR(UPPER(TRIM(SUBSTITUTE(SUBSTITUTE(SUBSTITUTE(SUBSTITUTE(INDEX(PASTE_ALL,$DF956,$L$18)," "," "),CHAR(9)," "),CHAR(10)," "),CHAR(13)," ")))="OT",UPPER(TRIM(SUBSTITUTE(SUBSTITUTE(SUBSTITUTE(SUBSTITUTE(INDEX(PASTE_ALL,$DF956,$L$18)," "," "),CHAR(9)," "),CHAR(10)," "),CHAR(13)," ")))="OVERTIME",UPPER(TRIM(SUBSTITUTE(SUBSTITUTE(SUBSTITUTE(SUBSTITUTE(INDEX(PASTE_ALL,$DF956,$L$18)," "," "),CHAR(9)," "),CHAR(10)," "),CHAR(13)," ")))="TRIAL"),"OT",TRIM(SUBSTITUTE(SUBSTITUTE(SUBSTITUTE(SUBSTITUTE(INDEX(PASTE_ALL,$DF956,$L$18)," "," "),CHAR(9)," "),CHAR(10)," "),CHAR(13)," "))))),"")))</f>
        <v/>
      </c>
      <c r="EC956">
        <f>IF($DM956=0,"",IF($L$19=0,"",IFERROR(IF(ISNUMBER(INDEX(PASTE_ALL,$DF956,$L$19)),INDEX(PASTE_ALL,$DF956,$L$19),TRIM(SUBSTITUTE(SUBSTITUTE(SUBSTITUTE(SUBSTITUTE(INDEX(PASTE_ALL,$DF956,$L$19)," "," "),CHAR(9)," "),CHAR(10)," "),CHAR(13)," "))),"")))</f>
        <v/>
      </c>
      <c r="ED956">
        <f>IF($DM956=0,"",MATCH(1,INDEX(EXACT($DH$5:DH956,$DH956)*$DM$5:DM956,0),0))</f>
        <v/>
      </c>
      <c r="EE956">
        <f>IF($DM956=0,0,IF($ED956=$DE956,1,0))</f>
        <v/>
      </c>
      <c r="EF956">
        <f>EF955+$EE956</f>
        <v/>
      </c>
      <c r="EG956">
        <f>IF($DM956=0,"",INDEX($EF$5:$EF$1003,$ED956))</f>
        <v/>
      </c>
      <c r="EH956">
        <f>IF($DM956=0,"",IF($DO956&lt;&gt;"","",IFERROR(LOOKUP(2,1/(($EG$4:EG955=$EG956)*($DO$4:DO955&lt;&gt;"")),$DO$4:DO955),"")))</f>
        <v/>
      </c>
      <c r="EI956">
        <f>IF($DM956=0,"",IF($DO956&lt;&gt;"",$DO956,$EH956))</f>
        <v/>
      </c>
      <c r="EJ956">
        <f>IF($DM956=0,"",IF($EI956="",0,IF(OR(ISNUMBER($EI956),AND(AND(SUBSTITUTE(SUBSTITUTE(SUBSTITUTE(SUBSTITUTE(SUBSTITUTE(SUBSTITUTE(SUBSTITUTE(SUBSTITUTE(SUBSTITUTE(SUBSTITUTE(SUBSTITUTE(SUBSTITUTE(SUBSTITUTE(SUBSTITUTE(UPPER($EI956),"0",""),"1",""),"2",""),"3",""),"4",""),"5",""),"6",""),"7",""),"8",""),"9",""),".",""),"+",""),"-",""),"E","")="",LEN(SUBSTITUTE(SUBSTITUTE(MID(UPPER($EI956),1+OR(LEFT(UPPER($EI956),1)="+",LEFT(UPPER($EI956),1)="-"),999),"E+","E"),"E-","E"))=LEN(SUBSTITUTE(SUBSTITUTE(SUBSTITUTE(SUBSTITUTE(MID(UPPER($EI956),1+OR(LEFT(UPPER($EI956),1)="+",LEFT(UPPER($EI956),1)="-"),999),"E+","E"),"E-","E"),"+",""),"-","")),LEN(UPPER($EI956))-LEN(SUBSTITUTE(UPPER($EI956),"E",""))&lt;2,LEN(UPPER($EI956))-LEN(SUBSTITUTE(UPPER($EI956),".",""))&lt;2,IFERROR(FIND(".",UPPER($EI956)),0)&lt;IFERROR(FIND("E",UPPER($EI956)),999)),ISNUMBER(VALUE($EI956)))),1,2)))</f>
        <v/>
      </c>
      <c r="EK956">
        <f>IF($DM956=0,"",IF($EJ956=1,IF(ISNUMBER($EI956),$EI956,VALUE($EI956)),IF($EJ956=2,$DE956,0)))</f>
        <v/>
      </c>
      <c r="EL956">
        <f>IF($DM956=0,"",COUNTIF($EG$5:$EG$1003,"&lt;"&amp;$EG956)+SUMPRODUCT(($EG$5:$EG$1003=$EG956)*(($EJ$5:$EJ$1003&lt;$EJ956)+($EJ$5:$EJ$1003=$EJ956)*(($EK$5:$EK$1003&lt;$EK956)+($EK$5:$EK$1003=$EK956)*($DE$5:$DE$1003&lt;$DE956))))+1)</f>
        <v/>
      </c>
      <c r="EM956">
        <f>IF($DM956=0,"",$EL956+$EG956-1)</f>
        <v/>
      </c>
      <c r="EN956">
        <f>IF($DM956=0,0,IFERROR(MATCH(1,INDEX(--(TRIM(SUBSTITUTE(SUBSTITUTE(SUBSTITUTE(SUBSTITUTE(LINES_NAME&amp;""," "," "),CHAR(9)," "),CHAR(10)," "),CHAR(13)," "))=$DH956),0),0),0))</f>
        <v/>
      </c>
      <c r="EO956">
        <f>IF($EN956=0,0,IF(OR(UPPER(TRIM(INDEX(LINES_SCHEDULED,$EN956)&amp;""))="YES",UPPER(TRIM(INDEX(LINES_SCHEDULED,$EN956)&amp;""))="Y",UPPER(TRIM(INDEX(LINES_SCHEDULED,$EN956)&amp;""))="X"),1,0))</f>
        <v/>
      </c>
      <c r="EP956">
        <f>IF($DM956=0,"",IF(COUNTIFS($EG$5:$EG$1003,$EG956,$EB$5:$EB$1003,"Ready")&gt;0,"READY",IF(COUNTIFS($EG$5:$EG$1003,$EG956,$EB$5:$EB$1003,"PM")&gt;0,"PM",IF(COUNTIFS($EG$5:$EG$1003,$EG956,$EB$5:$EB$1003,"OT")&gt;0,"OT",""))))</f>
        <v/>
      </c>
      <c r="EQ956">
        <f>IF($EN956=0,"",UPPER(TRIM(INDEX(LINES_STATUS,$EN956)&amp;"")))</f>
        <v/>
      </c>
      <c r="ER956">
        <f>IF($DM956=0,"",IF(OR($EQ956="READY",$EQ956="PM",$EQ956="OT"),$EQ956,$EP956))</f>
        <v/>
      </c>
      <c r="ES956">
        <f>IF($DM956=0,"",IF(AND($DV956&lt;&gt;"",UPPER($DV956)&lt;&gt;"N"),"allergen",IF(ISNUMBER(SEARCH("oil",$DQ956)),"oil",IF(OR(EXACT($DS956,"A662"),EXACT($DS956,"A624")),"bulk",""))))</f>
        <v/>
      </c>
      <c r="ET956">
        <f>IF($DM956=0,"",IF(OR($EA956="",$EA956=0),"",$EA956/100))</f>
        <v/>
      </c>
      <c r="EU956">
        <f>IF(OR($ET956="",$DY956=""),"",INT($DY956*(1-$ET956)+0.5))</f>
        <v/>
      </c>
    </row>
    <row r="957">
      <c r="DA957" t="n">
        <v>953</v>
      </c>
      <c r="DB957">
        <f>IF($B$37=0,"",IFERROR(TRIM(SUBSTITUTE(SUBSTITUTE(SUBSTITUTE(SUBSTITUTE(INDEX(PASTE_ALL,953,$B$37)," "," "),CHAR(9)," "),CHAR(10)," "),CHAR(13)," ")),""))</f>
        <v/>
      </c>
      <c r="DC957">
        <f>IF(AND(953&gt;HEADER_ROW,UPPER(DB957)="LEGEND"),1,0)</f>
        <v/>
      </c>
      <c r="DE957" t="n">
        <v>953</v>
      </c>
      <c r="DF957">
        <f>HEADER_ROW+$DE957</f>
        <v/>
      </c>
      <c r="DG957">
        <f>IF(AND($DF957&lt;=1000,$DF957&lt;$B$8),1,0)</f>
        <v/>
      </c>
      <c r="DH957">
        <f>IF($DG957=1,IFERROR(INDEX($DB$5:$DB$1004,$DF957),""),"")</f>
        <v/>
      </c>
      <c r="DI957">
        <f>IF(AND($DG957=1,$DH957&lt;&gt;""),IFERROR(SUBSTITUTE(SUBSTITUTE(TRIM(SUBSTITUTE(SUBSTITUTE(SUBSTITUTE(SUBSTITUTE(IFERROR(INDEX(PASTE_ALL,$DF957,1)&amp;"","")&amp;"␟"&amp;IFERROR(INDEX(PASTE_ALL,$DF957,2)&amp;"","")&amp;"␟"&amp;IFERROR(INDEX(PASTE_ALL,$DF957,3)&amp;"","")&amp;"␟"&amp;IFERROR(INDEX(PASTE_ALL,$DF957,4)&amp;"","")&amp;"␟"&amp;IFERROR(INDEX(PASTE_ALL,$DF957,5)&amp;"","")&amp;"␟"&amp;IFERROR(INDEX(PASTE_ALL,$DF957,6)&amp;"","")&amp;"␟"&amp;IFERROR(INDEX(PASTE_ALL,$DF957,7)&amp;"","")&amp;"␟"&amp;IFERROR(INDEX(PASTE_ALL,$DF957,8)&amp;"","")&amp;"␟"&amp;IFERROR(INDEX(PASTE_ALL,$DF957,9)&amp;"","")&amp;"␟"&amp;IFERROR(INDEX(PASTE_ALL,$DF957,10)&amp;"","")&amp;"␟"&amp;IFERROR(INDEX(PASTE_ALL,$DF957,11)&amp;"","")&amp;"␟"&amp;IFERROR(INDEX(PASTE_ALL,$DF957,12)&amp;"","")&amp;"␟"&amp;IFERROR(INDEX(PASTE_ALL,$DF957,13)&amp;"","")&amp;"␟"&amp;IFERROR(INDEX(PASTE_ALL,$DF957,14)&amp;"","")&amp;"␟"&amp;IFERROR(INDEX(PASTE_ALL,$DF957,15)&amp;"","")&amp;"␟"&amp;IFERROR(INDEX(PASTE_ALL,$DF957,16)&amp;"","")&amp;"␟"&amp;IFERROR(INDEX(PASTE_ALL,$DF957,17)&amp;"","")&amp;"␟"&amp;IFERROR(INDEX(PASTE_ALL,$DF957,18)&amp;"","")&amp;"␟"&amp;IFERROR(INDEX(PASTE_ALL,$DF957,19)&amp;"","")&amp;"␟"&amp;IFERROR(INDEX(PASTE_ALL,$DF957,20)&amp;"","")&amp;"␟"&amp;IFERROR(INDEX(PASTE_ALL,$DF957,21)&amp;"","")&amp;"␟"&amp;IFERROR(INDEX(PASTE_ALL,$DF957,22)&amp;"","")&amp;"␟"&amp;IFERROR(INDEX(PASTE_ALL,$DF957,23)&amp;"","")&amp;"␟"&amp;IFERROR(INDEX(PASTE_ALL,$DF957,24)&amp;"","")&amp;"␟"&amp;IFERROR(INDEX(PASTE_ALL,$DF957,25)&amp;"","")&amp;"␟"&amp;IFERROR(INDEX(PASTE_ALL,$DF957,26)&amp;"","")&amp;"␟"&amp;IFERROR(INDEX(PASTE_ALL,$DF957,27)&amp;"","")&amp;"␟"&amp;IFERROR(INDEX(PASTE_ALL,$DF957,28)&amp;"","")&amp;"␟"&amp;IFERROR(INDEX(PASTE_ALL,$DF957,29)&amp;"","")&amp;"␟"&amp;IFERROR(INDEX(PASTE_ALL,$DF957,30)&amp;"","")&amp;"␟"&amp;IFERROR(INDEX(PASTE_ALL,$DF957,31)&amp;"","")&amp;"␟"&amp;IFERROR(INDEX(PASTE_ALL,$DF957,32)&amp;"","")&amp;"␟"&amp;IFERROR(INDEX(PASTE_ALL,$DF957,33)&amp;"","")&amp;"␟"&amp;IFERROR(INDEX(PASTE_ALL,$DF957,34)&amp;"","")&amp;"␟"&amp;IFERROR(INDEX(PASTE_ALL,$DF957,35)&amp;"","")&amp;"␟"&amp;IFERROR(INDEX(PASTE_ALL,$DF957,36)&amp;"","")&amp;"␟"&amp;IFERROR(INDEX(PASTE_ALL,$DF957,37)&amp;"","")&amp;"␟"&amp;IFERROR(INDEX(PASTE_ALL,$DF957,38)&amp;"","")&amp;"␟"&amp;IFERROR(INDEX(PASTE_ALL,$DF957,39)&amp;"","")&amp;"␟"&amp;IFERROR(INDEX(PASTE_ALL,$DF957,40)&amp;"","")&amp;"␟"&amp;IFERROR(INDEX(PASTE_ALL,$DF957,41)&amp;"","")&amp;"␟"&amp;IFERROR(INDEX(PASTE_ALL,$DF957,42)&amp;"","")&amp;"␟"&amp;IFERROR(INDEX(PASTE_ALL,$DF957,43)&amp;"","")&amp;"␟"&amp;IFERROR(INDEX(PASTE_ALL,$DF957,44)&amp;"","")&amp;"␟"&amp;IFERROR(INDEX(PASTE_ALL,$DF957,45)&amp;"","")&amp;"␟"&amp;IFERROR(INDEX(PASTE_ALL,$DF957,46)&amp;"","")&amp;"␟"&amp;IFERROR(INDEX(PASTE_ALL,$DF957,47)&amp;"","")&amp;"␟"&amp;IFERROR(INDEX(PASTE_ALL,$DF957,48)&amp;"","")&amp;"␟"&amp;IFERROR(INDEX(PASTE_ALL,$DF957,49)&amp;"","")&amp;"␟"&amp;IFERROR(INDEX(PASTE_ALL,$DF957,50)&amp;"","")&amp;"␟"&amp;IFERROR(INDEX(PASTE_ALL,$DF957,51)&amp;"","")&amp;"␟"&amp;IFERROR(INDEX(PASTE_ALL,$DF957,52)&amp;"","")&amp;"␟"&amp;IFERROR(INDEX(PASTE_ALL,$DF957,53)&amp;"","")&amp;"␟"&amp;IFERROR(INDEX(PASTE_ALL,$DF957,54)&amp;"","")&amp;"␟"&amp;IFERROR(INDEX(PASTE_ALL,$DF957,55)&amp;"","")&amp;"␟"&amp;IFERROR(INDEX(PASTE_ALL,$DF957,56)&amp;"","")&amp;"␟"&amp;IFERROR(INDEX(PASTE_ALL,$DF957,57)&amp;"","")&amp;"␟"&amp;IFERROR(INDEX(PASTE_ALL,$DF957,58)&amp;"","")&amp;"␟"&amp;IFERROR(INDEX(PASTE_ALL,$DF957,59)&amp;"","")&amp;"␟"&amp;IFERROR(INDEX(PASTE_ALL,$DF957,60)&amp;"","")," "," "),CHAR(9)," "),CHAR(10)," "),CHAR(13)," "))," ␟","␟"),"␟ ","␟"),"#"&amp;$DE957),"")</f>
        <v/>
      </c>
      <c r="DJ957">
        <f>IF($DI957="",0,IF(SUMPRODUCT(--EXACT($DI$4:DI956,$DI957))&gt;0,1,0))</f>
        <v/>
      </c>
      <c r="DK957">
        <f>IF(AND($DI957&lt;&gt;"",$DJ957=0),1,0)</f>
        <v/>
      </c>
      <c r="DL957">
        <f>DL956+$DK957</f>
        <v/>
      </c>
      <c r="DM957">
        <f>IF(AND($DK957=1,$DL957&lt;=600),1,0)</f>
        <v/>
      </c>
      <c r="DN957">
        <f>IF($DM957=0,"",IF($L$6=0,"",IFERROR(IF(ISNUMBER(INDEX(PASTE_ALL,$DF957,$L$6)),INDEX(PASTE_ALL,$DF957,$L$6),TRIM(SUBSTITUTE(SUBSTITUTE(SUBSTITUTE(SUBSTITUTE(INDEX(PASTE_ALL,$DF957,$L$6)," "," "),CHAR(9)," "),CHAR(10)," "),CHAR(13)," "))),"")))</f>
        <v/>
      </c>
      <c r="DO957">
        <f>IF($DM957=0,"",IF($L$7=0,"",IFERROR(IF(ISNUMBER(INDEX(PASTE_ALL,$DF957,$L$7)),INDEX(PASTE_ALL,$DF957,$L$7),TRIM(SUBSTITUTE(SUBSTITUTE(SUBSTITUTE(SUBSTITUTE(INDEX(PASTE_ALL,$DF957,$L$7)," "," "),CHAR(9)," "),CHAR(10)," "),CHAR(13)," "))),"")))</f>
        <v/>
      </c>
      <c r="DP957">
        <f>IF($DM957=0,"",IF($L$8=0,"",IFERROR(IF(ISNUMBER(INDEX(PASTE_ALL,$DF957,$L$8)),INDEX(PASTE_ALL,$DF957,$L$8),TRIM(SUBSTITUTE(SUBSTITUTE(SUBSTITUTE(SUBSTITUTE(INDEX(PASTE_ALL,$DF957,$L$8)," "," "),CHAR(9)," "),CHAR(10)," "),CHAR(13)," "))),"")))</f>
        <v/>
      </c>
      <c r="DQ957">
        <f>IF($DM957=0,"",IF($L$9=0,"",IFERROR(IF(ISNUMBER(INDEX(PASTE_ALL,$DF957,$L$9)),INDEX(PASTE_ALL,$DF957,$L$9),TRIM(SUBSTITUTE(SUBSTITUTE(SUBSTITUTE(SUBSTITUTE(INDEX(PASTE_ALL,$DF957,$L$9)," "," "),CHAR(9)," "),CHAR(10)," "),CHAR(13)," "))),"")))</f>
        <v/>
      </c>
      <c r="DR957">
        <f>IF($DM957=0,"",IF($L$10=0,"",IFERROR(IF(ISNUMBER(INDEX(PASTE_ALL,$DF957,$L$10)),INDEX(PASTE_ALL,$DF957,$L$10),TRIM(SUBSTITUTE(SUBSTITUTE(SUBSTITUTE(SUBSTITUTE(INDEX(PASTE_ALL,$DF957,$L$10)," "," "),CHAR(9)," "),CHAR(10)," "),CHAR(13)," "))),"")))</f>
        <v/>
      </c>
      <c r="DS957">
        <f>IF($DM957=0,"",IF($L$11=0,"",IFERROR(IF(ISNUMBER(INDEX(PASTE_ALL,$DF957,$L$11)),INDEX(PASTE_ALL,$DF957,$L$11),TRIM(SUBSTITUTE(SUBSTITUTE(SUBSTITUTE(SUBSTITUTE(INDEX(PASTE_ALL,$DF957,$L$11)," "," "),CHAR(9)," "),CHAR(10)," "),CHAR(13)," "))),"")))</f>
        <v/>
      </c>
      <c r="DT957">
        <f>IF($DM957=0,"",IF($L$12=0,"",IFERROR(IF(ISNUMBER(INDEX(PASTE_ALL,$DF957,$L$12)),INDEX(PASTE_ALL,$DF957,$L$12),TRIM(SUBSTITUTE(SUBSTITUTE(SUBSTITUTE(SUBSTITUTE(INDEX(PASTE_ALL,$DF957,$L$12)," "," "),CHAR(9)," "),CHAR(10)," "),CHAR(13)," "))),"")))</f>
        <v/>
      </c>
      <c r="DU957">
        <f>IF($DM957=0,"",IF($L$13=0,"",IFERROR(IF(ISNUMBER(INDEX(PASTE_ALL,$DF957,$L$13)),INDEX(PASTE_ALL,$DF957,$L$13),TRIM(SUBSTITUTE(SUBSTITUTE(SUBSTITUTE(SUBSTITUTE(INDEX(PASTE_ALL,$DF957,$L$13)," "," "),CHAR(9)," "),CHAR(10)," "),CHAR(13)," "))),"")))</f>
        <v/>
      </c>
      <c r="DV957">
        <f>IF($DM957=0,"",IF($L$14=0,"",IFERROR(IF(ISNUMBER(INDEX(PASTE_ALL,$DF957,$L$14)),INDEX(PASTE_ALL,$DF957,$L$14),TRIM(SUBSTITUTE(SUBSTITUTE(SUBSTITUTE(SUBSTITUTE(INDEX(PASTE_ALL,$DF957,$L$14)," "," "),CHAR(9)," "),CHAR(10)," "),CHAR(13)," "))),"")))</f>
        <v/>
      </c>
      <c r="DW957">
        <f>IF($DM957=0,"",IF($L$15=0,"",IFERROR(IF(ISNUMBER(INDEX(PASTE_ALL,$DF957,$L$15)),INDEX(PASTE_ALL,$DF957,$L$15),IF(SUMPRODUCT(--ISNUMBER(FIND({"A","B","C","D","E","F","G","H","I","J","K","L","M","N","O","P","Q","R","S","T","U","V","W","X","Y","Z","0","1","2","3","4","5","6","7","8","9"},UPPER(TRIM(SUBSTITUTE(SUBSTITUTE(SUBSTITUTE(SUBSTITUTE(INDEX(PASTE_ALL,$DF957,$L$15)," "," "),CHAR(9)," "),CHAR(10)," "),CHAR(13)," "))))))&gt;0,TRIM(SUBSTITUTE(SUBSTITUTE(SUBSTITUTE(SUBSTITUTE(INDEX(PASTE_ALL,$DF957,$L$15)," "," "),CHAR(9)," "),CHAR(10)," "),CHAR(13)," ")),"")),"")))</f>
        <v/>
      </c>
      <c r="DX957">
        <f>IF($DM957=0,"",IF($L$16=0,"",IFERROR(IF(ISNUMBER(INDEX(PASTE_ALL,$DF957,$L$16)),INDEX(PASTE_ALL,$DF957,$L$16),SUBSTITUTE(SUBSTITUTE(TRIM(SUBSTITUTE(SUBSTITUTE(SUBSTITUTE(SUBSTITUTE(INDEX(PASTE_ALL,$DF957,$L$16)," "," "),CHAR(9)," "),CHAR(10)," "),CHAR(13)," ")),",",""),"%","")),"")))</f>
        <v/>
      </c>
      <c r="DY957">
        <f>IF($DM957=0,"",IFERROR(IF(ISNUMBER($DX957),$DX957,IF($DX957="","",IF(TRIM($DX957)="",0,IF(AND(AND(SUBSTITUTE(SUBSTITUTE(SUBSTITUTE(SUBSTITUTE(SUBSTITUTE(SUBSTITUTE(SUBSTITUTE(SUBSTITUTE(SUBSTITUTE(SUBSTITUTE(SUBSTITUTE(SUBSTITUTE(SUBSTITUTE(SUBSTITUTE(UPPER(TRIM($DX957)),"0",""),"1",""),"2",""),"3",""),"4",""),"5",""),"6",""),"7",""),"8",""),"9",""),".",""),"+",""),"-",""),"E","")="",LEN(SUBSTITUTE(SUBSTITUTE(MID(UPPER(TRIM($DX957)),1+OR(LEFT(UPPER(TRIM($DX957)),1)="+",LEFT(UPPER(TRIM($DX957)),1)="-"),999),"E+","E"),"E-","E"))=LEN(SUBSTITUTE(SUBSTITUTE(SUBSTITUTE(SUBSTITUTE(MID(UPPER(TRIM($DX957)),1+OR(LEFT(UPPER(TRIM($DX957)),1)="+",LEFT(UPPER(TRIM($DX957)),1)="-"),999),"E+","E"),"E-","E"),"+",""),"-","")),LEN(UPPER(TRIM($DX957)))-LEN(SUBSTITUTE(UPPER(TRIM($DX957)),"E",""))&lt;2,LEN(UPPER(TRIM($DX957)))-LEN(SUBSTITUTE(UPPER(TRIM($DX957)),".",""))&lt;2,IFERROR(FIND(".",UPPER(TRIM($DX957))),0)&lt;IFERROR(FIND("E",UPPER(TRIM($DX957))),999)),ISNUMBER(VALUE(TRIM($DX957)))),VALUE(TRIM($DX957)),"")))),""))</f>
        <v/>
      </c>
      <c r="DZ957">
        <f>IF($DM957=0,"",IF($L$17=0,"",IFERROR(IF(ISNUMBER(INDEX(PASTE_ALL,$DF957,$L$17)),INDEX(PASTE_ALL,$DF957,$L$17),SUBSTITUTE(SUBSTITUTE(TRIM(SUBSTITUTE(SUBSTITUTE(SUBSTITUTE(SUBSTITUTE(INDEX(PASTE_ALL,$DF957,$L$17)," "," "),CHAR(9)," "),CHAR(10)," "),CHAR(13)," ")),",",""),"%","")),"")))</f>
        <v/>
      </c>
      <c r="EA957">
        <f>IF($DM957=0,"",IFERROR(IF(ISNUMBER($DZ957),$DZ957,IF($DZ957="","",IF(TRIM($DZ957)="",0,IF(AND(AND(SUBSTITUTE(SUBSTITUTE(SUBSTITUTE(SUBSTITUTE(SUBSTITUTE(SUBSTITUTE(SUBSTITUTE(SUBSTITUTE(SUBSTITUTE(SUBSTITUTE(SUBSTITUTE(SUBSTITUTE(SUBSTITUTE(SUBSTITUTE(UPPER(TRIM($DZ957)),"0",""),"1",""),"2",""),"3",""),"4",""),"5",""),"6",""),"7",""),"8",""),"9",""),".",""),"+",""),"-",""),"E","")="",LEN(SUBSTITUTE(SUBSTITUTE(MID(UPPER(TRIM($DZ957)),1+OR(LEFT(UPPER(TRIM($DZ957)),1)="+",LEFT(UPPER(TRIM($DZ957)),1)="-"),999),"E+","E"),"E-","E"))=LEN(SUBSTITUTE(SUBSTITUTE(SUBSTITUTE(SUBSTITUTE(MID(UPPER(TRIM($DZ957)),1+OR(LEFT(UPPER(TRIM($DZ957)),1)="+",LEFT(UPPER(TRIM($DZ957)),1)="-"),999),"E+","E"),"E-","E"),"+",""),"-","")),LEN(UPPER(TRIM($DZ957)))-LEN(SUBSTITUTE(UPPER(TRIM($DZ957)),"E",""))&lt;2,LEN(UPPER(TRIM($DZ957)))-LEN(SUBSTITUTE(UPPER(TRIM($DZ957)),".",""))&lt;2,IFERROR(FIND(".",UPPER(TRIM($DZ957))),0)&lt;IFERROR(FIND("E",UPPER(TRIM($DZ957))),999)),ISNUMBER(VALUE(TRIM($DZ957)))),VALUE(TRIM($DZ957)),"")))),""))</f>
        <v/>
      </c>
      <c r="EB957">
        <f>IF($DM957=0,"",IF($L$18=0,"",IFERROR(IF(UPPER(TRIM(SUBSTITUTE(SUBSTITUTE(SUBSTITUTE(SUBSTITUTE(INDEX(PASTE_ALL,$DF957,$L$18)," "," "),CHAR(9)," "),CHAR(10)," "),CHAR(13)," ")))="READY","Ready",IF(UPPER(TRIM(SUBSTITUTE(SUBSTITUTE(SUBSTITUTE(SUBSTITUTE(INDEX(PASTE_ALL,$DF957,$L$18)," "," "),CHAR(9)," "),CHAR(10)," "),CHAR(13)," ")))="PM","PM",IF(OR(UPPER(TRIM(SUBSTITUTE(SUBSTITUTE(SUBSTITUTE(SUBSTITUTE(INDEX(PASTE_ALL,$DF957,$L$18)," "," "),CHAR(9)," "),CHAR(10)," "),CHAR(13)," ")))="OT",UPPER(TRIM(SUBSTITUTE(SUBSTITUTE(SUBSTITUTE(SUBSTITUTE(INDEX(PASTE_ALL,$DF957,$L$18)," "," "),CHAR(9)," "),CHAR(10)," "),CHAR(13)," ")))="OVERTIME",UPPER(TRIM(SUBSTITUTE(SUBSTITUTE(SUBSTITUTE(SUBSTITUTE(INDEX(PASTE_ALL,$DF957,$L$18)," "," "),CHAR(9)," "),CHAR(10)," "),CHAR(13)," ")))="TRIAL"),"OT",TRIM(SUBSTITUTE(SUBSTITUTE(SUBSTITUTE(SUBSTITUTE(INDEX(PASTE_ALL,$DF957,$L$18)," "," "),CHAR(9)," "),CHAR(10)," "),CHAR(13)," "))))),"")))</f>
        <v/>
      </c>
      <c r="EC957">
        <f>IF($DM957=0,"",IF($L$19=0,"",IFERROR(IF(ISNUMBER(INDEX(PASTE_ALL,$DF957,$L$19)),INDEX(PASTE_ALL,$DF957,$L$19),TRIM(SUBSTITUTE(SUBSTITUTE(SUBSTITUTE(SUBSTITUTE(INDEX(PASTE_ALL,$DF957,$L$19)," "," "),CHAR(9)," "),CHAR(10)," "),CHAR(13)," "))),"")))</f>
        <v/>
      </c>
      <c r="ED957">
        <f>IF($DM957=0,"",MATCH(1,INDEX(EXACT($DH$5:DH957,$DH957)*$DM$5:DM957,0),0))</f>
        <v/>
      </c>
      <c r="EE957">
        <f>IF($DM957=0,0,IF($ED957=$DE957,1,0))</f>
        <v/>
      </c>
      <c r="EF957">
        <f>EF956+$EE957</f>
        <v/>
      </c>
      <c r="EG957">
        <f>IF($DM957=0,"",INDEX($EF$5:$EF$1003,$ED957))</f>
        <v/>
      </c>
      <c r="EH957">
        <f>IF($DM957=0,"",IF($DO957&lt;&gt;"","",IFERROR(LOOKUP(2,1/(($EG$4:EG956=$EG957)*($DO$4:DO956&lt;&gt;"")),$DO$4:DO956),"")))</f>
        <v/>
      </c>
      <c r="EI957">
        <f>IF($DM957=0,"",IF($DO957&lt;&gt;"",$DO957,$EH957))</f>
        <v/>
      </c>
      <c r="EJ957">
        <f>IF($DM957=0,"",IF($EI957="",0,IF(OR(ISNUMBER($EI957),AND(AND(SUBSTITUTE(SUBSTITUTE(SUBSTITUTE(SUBSTITUTE(SUBSTITUTE(SUBSTITUTE(SUBSTITUTE(SUBSTITUTE(SUBSTITUTE(SUBSTITUTE(SUBSTITUTE(SUBSTITUTE(SUBSTITUTE(SUBSTITUTE(UPPER($EI957),"0",""),"1",""),"2",""),"3",""),"4",""),"5",""),"6",""),"7",""),"8",""),"9",""),".",""),"+",""),"-",""),"E","")="",LEN(SUBSTITUTE(SUBSTITUTE(MID(UPPER($EI957),1+OR(LEFT(UPPER($EI957),1)="+",LEFT(UPPER($EI957),1)="-"),999),"E+","E"),"E-","E"))=LEN(SUBSTITUTE(SUBSTITUTE(SUBSTITUTE(SUBSTITUTE(MID(UPPER($EI957),1+OR(LEFT(UPPER($EI957),1)="+",LEFT(UPPER($EI957),1)="-"),999),"E+","E"),"E-","E"),"+",""),"-","")),LEN(UPPER($EI957))-LEN(SUBSTITUTE(UPPER($EI957),"E",""))&lt;2,LEN(UPPER($EI957))-LEN(SUBSTITUTE(UPPER($EI957),".",""))&lt;2,IFERROR(FIND(".",UPPER($EI957)),0)&lt;IFERROR(FIND("E",UPPER($EI957)),999)),ISNUMBER(VALUE($EI957)))),1,2)))</f>
        <v/>
      </c>
      <c r="EK957">
        <f>IF($DM957=0,"",IF($EJ957=1,IF(ISNUMBER($EI957),$EI957,VALUE($EI957)),IF($EJ957=2,$DE957,0)))</f>
        <v/>
      </c>
      <c r="EL957">
        <f>IF($DM957=0,"",COUNTIF($EG$5:$EG$1003,"&lt;"&amp;$EG957)+SUMPRODUCT(($EG$5:$EG$1003=$EG957)*(($EJ$5:$EJ$1003&lt;$EJ957)+($EJ$5:$EJ$1003=$EJ957)*(($EK$5:$EK$1003&lt;$EK957)+($EK$5:$EK$1003=$EK957)*($DE$5:$DE$1003&lt;$DE957))))+1)</f>
        <v/>
      </c>
      <c r="EM957">
        <f>IF($DM957=0,"",$EL957+$EG957-1)</f>
        <v/>
      </c>
      <c r="EN957">
        <f>IF($DM957=0,0,IFERROR(MATCH(1,INDEX(--(TRIM(SUBSTITUTE(SUBSTITUTE(SUBSTITUTE(SUBSTITUTE(LINES_NAME&amp;""," "," "),CHAR(9)," "),CHAR(10)," "),CHAR(13)," "))=$DH957),0),0),0))</f>
        <v/>
      </c>
      <c r="EO957">
        <f>IF($EN957=0,0,IF(OR(UPPER(TRIM(INDEX(LINES_SCHEDULED,$EN957)&amp;""))="YES",UPPER(TRIM(INDEX(LINES_SCHEDULED,$EN957)&amp;""))="Y",UPPER(TRIM(INDEX(LINES_SCHEDULED,$EN957)&amp;""))="X"),1,0))</f>
        <v/>
      </c>
      <c r="EP957">
        <f>IF($DM957=0,"",IF(COUNTIFS($EG$5:$EG$1003,$EG957,$EB$5:$EB$1003,"Ready")&gt;0,"READY",IF(COUNTIFS($EG$5:$EG$1003,$EG957,$EB$5:$EB$1003,"PM")&gt;0,"PM",IF(COUNTIFS($EG$5:$EG$1003,$EG957,$EB$5:$EB$1003,"OT")&gt;0,"OT",""))))</f>
        <v/>
      </c>
      <c r="EQ957">
        <f>IF($EN957=0,"",UPPER(TRIM(INDEX(LINES_STATUS,$EN957)&amp;"")))</f>
        <v/>
      </c>
      <c r="ER957">
        <f>IF($DM957=0,"",IF(OR($EQ957="READY",$EQ957="PM",$EQ957="OT"),$EQ957,$EP957))</f>
        <v/>
      </c>
      <c r="ES957">
        <f>IF($DM957=0,"",IF(AND($DV957&lt;&gt;"",UPPER($DV957)&lt;&gt;"N"),"allergen",IF(ISNUMBER(SEARCH("oil",$DQ957)),"oil",IF(OR(EXACT($DS957,"A662"),EXACT($DS957,"A624")),"bulk",""))))</f>
        <v/>
      </c>
      <c r="ET957">
        <f>IF($DM957=0,"",IF(OR($EA957="",$EA957=0),"",$EA957/100))</f>
        <v/>
      </c>
      <c r="EU957">
        <f>IF(OR($ET957="",$DY957=""),"",INT($DY957*(1-$ET957)+0.5))</f>
        <v/>
      </c>
    </row>
    <row r="958">
      <c r="DA958" t="n">
        <v>954</v>
      </c>
      <c r="DB958">
        <f>IF($B$37=0,"",IFERROR(TRIM(SUBSTITUTE(SUBSTITUTE(SUBSTITUTE(SUBSTITUTE(INDEX(PASTE_ALL,954,$B$37)," "," "),CHAR(9)," "),CHAR(10)," "),CHAR(13)," ")),""))</f>
        <v/>
      </c>
      <c r="DC958">
        <f>IF(AND(954&gt;HEADER_ROW,UPPER(DB958)="LEGEND"),1,0)</f>
        <v/>
      </c>
      <c r="DE958" t="n">
        <v>954</v>
      </c>
      <c r="DF958">
        <f>HEADER_ROW+$DE958</f>
        <v/>
      </c>
      <c r="DG958">
        <f>IF(AND($DF958&lt;=1000,$DF958&lt;$B$8),1,0)</f>
        <v/>
      </c>
      <c r="DH958">
        <f>IF($DG958=1,IFERROR(INDEX($DB$5:$DB$1004,$DF958),""),"")</f>
        <v/>
      </c>
      <c r="DI958">
        <f>IF(AND($DG958=1,$DH958&lt;&gt;""),IFERROR(SUBSTITUTE(SUBSTITUTE(TRIM(SUBSTITUTE(SUBSTITUTE(SUBSTITUTE(SUBSTITUTE(IFERROR(INDEX(PASTE_ALL,$DF958,1)&amp;"","")&amp;"␟"&amp;IFERROR(INDEX(PASTE_ALL,$DF958,2)&amp;"","")&amp;"␟"&amp;IFERROR(INDEX(PASTE_ALL,$DF958,3)&amp;"","")&amp;"␟"&amp;IFERROR(INDEX(PASTE_ALL,$DF958,4)&amp;"","")&amp;"␟"&amp;IFERROR(INDEX(PASTE_ALL,$DF958,5)&amp;"","")&amp;"␟"&amp;IFERROR(INDEX(PASTE_ALL,$DF958,6)&amp;"","")&amp;"␟"&amp;IFERROR(INDEX(PASTE_ALL,$DF958,7)&amp;"","")&amp;"␟"&amp;IFERROR(INDEX(PASTE_ALL,$DF958,8)&amp;"","")&amp;"␟"&amp;IFERROR(INDEX(PASTE_ALL,$DF958,9)&amp;"","")&amp;"␟"&amp;IFERROR(INDEX(PASTE_ALL,$DF958,10)&amp;"","")&amp;"␟"&amp;IFERROR(INDEX(PASTE_ALL,$DF958,11)&amp;"","")&amp;"␟"&amp;IFERROR(INDEX(PASTE_ALL,$DF958,12)&amp;"","")&amp;"␟"&amp;IFERROR(INDEX(PASTE_ALL,$DF958,13)&amp;"","")&amp;"␟"&amp;IFERROR(INDEX(PASTE_ALL,$DF958,14)&amp;"","")&amp;"␟"&amp;IFERROR(INDEX(PASTE_ALL,$DF958,15)&amp;"","")&amp;"␟"&amp;IFERROR(INDEX(PASTE_ALL,$DF958,16)&amp;"","")&amp;"␟"&amp;IFERROR(INDEX(PASTE_ALL,$DF958,17)&amp;"","")&amp;"␟"&amp;IFERROR(INDEX(PASTE_ALL,$DF958,18)&amp;"","")&amp;"␟"&amp;IFERROR(INDEX(PASTE_ALL,$DF958,19)&amp;"","")&amp;"␟"&amp;IFERROR(INDEX(PASTE_ALL,$DF958,20)&amp;"","")&amp;"␟"&amp;IFERROR(INDEX(PASTE_ALL,$DF958,21)&amp;"","")&amp;"␟"&amp;IFERROR(INDEX(PASTE_ALL,$DF958,22)&amp;"","")&amp;"␟"&amp;IFERROR(INDEX(PASTE_ALL,$DF958,23)&amp;"","")&amp;"␟"&amp;IFERROR(INDEX(PASTE_ALL,$DF958,24)&amp;"","")&amp;"␟"&amp;IFERROR(INDEX(PASTE_ALL,$DF958,25)&amp;"","")&amp;"␟"&amp;IFERROR(INDEX(PASTE_ALL,$DF958,26)&amp;"","")&amp;"␟"&amp;IFERROR(INDEX(PASTE_ALL,$DF958,27)&amp;"","")&amp;"␟"&amp;IFERROR(INDEX(PASTE_ALL,$DF958,28)&amp;"","")&amp;"␟"&amp;IFERROR(INDEX(PASTE_ALL,$DF958,29)&amp;"","")&amp;"␟"&amp;IFERROR(INDEX(PASTE_ALL,$DF958,30)&amp;"","")&amp;"␟"&amp;IFERROR(INDEX(PASTE_ALL,$DF958,31)&amp;"","")&amp;"␟"&amp;IFERROR(INDEX(PASTE_ALL,$DF958,32)&amp;"","")&amp;"␟"&amp;IFERROR(INDEX(PASTE_ALL,$DF958,33)&amp;"","")&amp;"␟"&amp;IFERROR(INDEX(PASTE_ALL,$DF958,34)&amp;"","")&amp;"␟"&amp;IFERROR(INDEX(PASTE_ALL,$DF958,35)&amp;"","")&amp;"␟"&amp;IFERROR(INDEX(PASTE_ALL,$DF958,36)&amp;"","")&amp;"␟"&amp;IFERROR(INDEX(PASTE_ALL,$DF958,37)&amp;"","")&amp;"␟"&amp;IFERROR(INDEX(PASTE_ALL,$DF958,38)&amp;"","")&amp;"␟"&amp;IFERROR(INDEX(PASTE_ALL,$DF958,39)&amp;"","")&amp;"␟"&amp;IFERROR(INDEX(PASTE_ALL,$DF958,40)&amp;"","")&amp;"␟"&amp;IFERROR(INDEX(PASTE_ALL,$DF958,41)&amp;"","")&amp;"␟"&amp;IFERROR(INDEX(PASTE_ALL,$DF958,42)&amp;"","")&amp;"␟"&amp;IFERROR(INDEX(PASTE_ALL,$DF958,43)&amp;"","")&amp;"␟"&amp;IFERROR(INDEX(PASTE_ALL,$DF958,44)&amp;"","")&amp;"␟"&amp;IFERROR(INDEX(PASTE_ALL,$DF958,45)&amp;"","")&amp;"␟"&amp;IFERROR(INDEX(PASTE_ALL,$DF958,46)&amp;"","")&amp;"␟"&amp;IFERROR(INDEX(PASTE_ALL,$DF958,47)&amp;"","")&amp;"␟"&amp;IFERROR(INDEX(PASTE_ALL,$DF958,48)&amp;"","")&amp;"␟"&amp;IFERROR(INDEX(PASTE_ALL,$DF958,49)&amp;"","")&amp;"␟"&amp;IFERROR(INDEX(PASTE_ALL,$DF958,50)&amp;"","")&amp;"␟"&amp;IFERROR(INDEX(PASTE_ALL,$DF958,51)&amp;"","")&amp;"␟"&amp;IFERROR(INDEX(PASTE_ALL,$DF958,52)&amp;"","")&amp;"␟"&amp;IFERROR(INDEX(PASTE_ALL,$DF958,53)&amp;"","")&amp;"␟"&amp;IFERROR(INDEX(PASTE_ALL,$DF958,54)&amp;"","")&amp;"␟"&amp;IFERROR(INDEX(PASTE_ALL,$DF958,55)&amp;"","")&amp;"␟"&amp;IFERROR(INDEX(PASTE_ALL,$DF958,56)&amp;"","")&amp;"␟"&amp;IFERROR(INDEX(PASTE_ALL,$DF958,57)&amp;"","")&amp;"␟"&amp;IFERROR(INDEX(PASTE_ALL,$DF958,58)&amp;"","")&amp;"␟"&amp;IFERROR(INDEX(PASTE_ALL,$DF958,59)&amp;"","")&amp;"␟"&amp;IFERROR(INDEX(PASTE_ALL,$DF958,60)&amp;"","")," "," "),CHAR(9)," "),CHAR(10)," "),CHAR(13)," "))," ␟","␟"),"␟ ","␟"),"#"&amp;$DE958),"")</f>
        <v/>
      </c>
      <c r="DJ958">
        <f>IF($DI958="",0,IF(SUMPRODUCT(--EXACT($DI$4:DI957,$DI958))&gt;0,1,0))</f>
        <v/>
      </c>
      <c r="DK958">
        <f>IF(AND($DI958&lt;&gt;"",$DJ958=0),1,0)</f>
        <v/>
      </c>
      <c r="DL958">
        <f>DL957+$DK958</f>
        <v/>
      </c>
      <c r="DM958">
        <f>IF(AND($DK958=1,$DL958&lt;=600),1,0)</f>
        <v/>
      </c>
      <c r="DN958">
        <f>IF($DM958=0,"",IF($L$6=0,"",IFERROR(IF(ISNUMBER(INDEX(PASTE_ALL,$DF958,$L$6)),INDEX(PASTE_ALL,$DF958,$L$6),TRIM(SUBSTITUTE(SUBSTITUTE(SUBSTITUTE(SUBSTITUTE(INDEX(PASTE_ALL,$DF958,$L$6)," "," "),CHAR(9)," "),CHAR(10)," "),CHAR(13)," "))),"")))</f>
        <v/>
      </c>
      <c r="DO958">
        <f>IF($DM958=0,"",IF($L$7=0,"",IFERROR(IF(ISNUMBER(INDEX(PASTE_ALL,$DF958,$L$7)),INDEX(PASTE_ALL,$DF958,$L$7),TRIM(SUBSTITUTE(SUBSTITUTE(SUBSTITUTE(SUBSTITUTE(INDEX(PASTE_ALL,$DF958,$L$7)," "," "),CHAR(9)," "),CHAR(10)," "),CHAR(13)," "))),"")))</f>
        <v/>
      </c>
      <c r="DP958">
        <f>IF($DM958=0,"",IF($L$8=0,"",IFERROR(IF(ISNUMBER(INDEX(PASTE_ALL,$DF958,$L$8)),INDEX(PASTE_ALL,$DF958,$L$8),TRIM(SUBSTITUTE(SUBSTITUTE(SUBSTITUTE(SUBSTITUTE(INDEX(PASTE_ALL,$DF958,$L$8)," "," "),CHAR(9)," "),CHAR(10)," "),CHAR(13)," "))),"")))</f>
        <v/>
      </c>
      <c r="DQ958">
        <f>IF($DM958=0,"",IF($L$9=0,"",IFERROR(IF(ISNUMBER(INDEX(PASTE_ALL,$DF958,$L$9)),INDEX(PASTE_ALL,$DF958,$L$9),TRIM(SUBSTITUTE(SUBSTITUTE(SUBSTITUTE(SUBSTITUTE(INDEX(PASTE_ALL,$DF958,$L$9)," "," "),CHAR(9)," "),CHAR(10)," "),CHAR(13)," "))),"")))</f>
        <v/>
      </c>
      <c r="DR958">
        <f>IF($DM958=0,"",IF($L$10=0,"",IFERROR(IF(ISNUMBER(INDEX(PASTE_ALL,$DF958,$L$10)),INDEX(PASTE_ALL,$DF958,$L$10),TRIM(SUBSTITUTE(SUBSTITUTE(SUBSTITUTE(SUBSTITUTE(INDEX(PASTE_ALL,$DF958,$L$10)," "," "),CHAR(9)," "),CHAR(10)," "),CHAR(13)," "))),"")))</f>
        <v/>
      </c>
      <c r="DS958">
        <f>IF($DM958=0,"",IF($L$11=0,"",IFERROR(IF(ISNUMBER(INDEX(PASTE_ALL,$DF958,$L$11)),INDEX(PASTE_ALL,$DF958,$L$11),TRIM(SUBSTITUTE(SUBSTITUTE(SUBSTITUTE(SUBSTITUTE(INDEX(PASTE_ALL,$DF958,$L$11)," "," "),CHAR(9)," "),CHAR(10)," "),CHAR(13)," "))),"")))</f>
        <v/>
      </c>
      <c r="DT958">
        <f>IF($DM958=0,"",IF($L$12=0,"",IFERROR(IF(ISNUMBER(INDEX(PASTE_ALL,$DF958,$L$12)),INDEX(PASTE_ALL,$DF958,$L$12),TRIM(SUBSTITUTE(SUBSTITUTE(SUBSTITUTE(SUBSTITUTE(INDEX(PASTE_ALL,$DF958,$L$12)," "," "),CHAR(9)," "),CHAR(10)," "),CHAR(13)," "))),"")))</f>
        <v/>
      </c>
      <c r="DU958">
        <f>IF($DM958=0,"",IF($L$13=0,"",IFERROR(IF(ISNUMBER(INDEX(PASTE_ALL,$DF958,$L$13)),INDEX(PASTE_ALL,$DF958,$L$13),TRIM(SUBSTITUTE(SUBSTITUTE(SUBSTITUTE(SUBSTITUTE(INDEX(PASTE_ALL,$DF958,$L$13)," "," "),CHAR(9)," "),CHAR(10)," "),CHAR(13)," "))),"")))</f>
        <v/>
      </c>
      <c r="DV958">
        <f>IF($DM958=0,"",IF($L$14=0,"",IFERROR(IF(ISNUMBER(INDEX(PASTE_ALL,$DF958,$L$14)),INDEX(PASTE_ALL,$DF958,$L$14),TRIM(SUBSTITUTE(SUBSTITUTE(SUBSTITUTE(SUBSTITUTE(INDEX(PASTE_ALL,$DF958,$L$14)," "," "),CHAR(9)," "),CHAR(10)," "),CHAR(13)," "))),"")))</f>
        <v/>
      </c>
      <c r="DW958">
        <f>IF($DM958=0,"",IF($L$15=0,"",IFERROR(IF(ISNUMBER(INDEX(PASTE_ALL,$DF958,$L$15)),INDEX(PASTE_ALL,$DF958,$L$15),IF(SUMPRODUCT(--ISNUMBER(FIND({"A","B","C","D","E","F","G","H","I","J","K","L","M","N","O","P","Q","R","S","T","U","V","W","X","Y","Z","0","1","2","3","4","5","6","7","8","9"},UPPER(TRIM(SUBSTITUTE(SUBSTITUTE(SUBSTITUTE(SUBSTITUTE(INDEX(PASTE_ALL,$DF958,$L$15)," "," "),CHAR(9)," "),CHAR(10)," "),CHAR(13)," "))))))&gt;0,TRIM(SUBSTITUTE(SUBSTITUTE(SUBSTITUTE(SUBSTITUTE(INDEX(PASTE_ALL,$DF958,$L$15)," "," "),CHAR(9)," "),CHAR(10)," "),CHAR(13)," ")),"")),"")))</f>
        <v/>
      </c>
      <c r="DX958">
        <f>IF($DM958=0,"",IF($L$16=0,"",IFERROR(IF(ISNUMBER(INDEX(PASTE_ALL,$DF958,$L$16)),INDEX(PASTE_ALL,$DF958,$L$16),SUBSTITUTE(SUBSTITUTE(TRIM(SUBSTITUTE(SUBSTITUTE(SUBSTITUTE(SUBSTITUTE(INDEX(PASTE_ALL,$DF958,$L$16)," "," "),CHAR(9)," "),CHAR(10)," "),CHAR(13)," ")),",",""),"%","")),"")))</f>
        <v/>
      </c>
      <c r="DY958">
        <f>IF($DM958=0,"",IFERROR(IF(ISNUMBER($DX958),$DX958,IF($DX958="","",IF(TRIM($DX958)="",0,IF(AND(AND(SUBSTITUTE(SUBSTITUTE(SUBSTITUTE(SUBSTITUTE(SUBSTITUTE(SUBSTITUTE(SUBSTITUTE(SUBSTITUTE(SUBSTITUTE(SUBSTITUTE(SUBSTITUTE(SUBSTITUTE(SUBSTITUTE(SUBSTITUTE(UPPER(TRIM($DX958)),"0",""),"1",""),"2",""),"3",""),"4",""),"5",""),"6",""),"7",""),"8",""),"9",""),".",""),"+",""),"-",""),"E","")="",LEN(SUBSTITUTE(SUBSTITUTE(MID(UPPER(TRIM($DX958)),1+OR(LEFT(UPPER(TRIM($DX958)),1)="+",LEFT(UPPER(TRIM($DX958)),1)="-"),999),"E+","E"),"E-","E"))=LEN(SUBSTITUTE(SUBSTITUTE(SUBSTITUTE(SUBSTITUTE(MID(UPPER(TRIM($DX958)),1+OR(LEFT(UPPER(TRIM($DX958)),1)="+",LEFT(UPPER(TRIM($DX958)),1)="-"),999),"E+","E"),"E-","E"),"+",""),"-","")),LEN(UPPER(TRIM($DX958)))-LEN(SUBSTITUTE(UPPER(TRIM($DX958)),"E",""))&lt;2,LEN(UPPER(TRIM($DX958)))-LEN(SUBSTITUTE(UPPER(TRIM($DX958)),".",""))&lt;2,IFERROR(FIND(".",UPPER(TRIM($DX958))),0)&lt;IFERROR(FIND("E",UPPER(TRIM($DX958))),999)),ISNUMBER(VALUE(TRIM($DX958)))),VALUE(TRIM($DX958)),"")))),""))</f>
        <v/>
      </c>
      <c r="DZ958">
        <f>IF($DM958=0,"",IF($L$17=0,"",IFERROR(IF(ISNUMBER(INDEX(PASTE_ALL,$DF958,$L$17)),INDEX(PASTE_ALL,$DF958,$L$17),SUBSTITUTE(SUBSTITUTE(TRIM(SUBSTITUTE(SUBSTITUTE(SUBSTITUTE(SUBSTITUTE(INDEX(PASTE_ALL,$DF958,$L$17)," "," "),CHAR(9)," "),CHAR(10)," "),CHAR(13)," ")),",",""),"%","")),"")))</f>
        <v/>
      </c>
      <c r="EA958">
        <f>IF($DM958=0,"",IFERROR(IF(ISNUMBER($DZ958),$DZ958,IF($DZ958="","",IF(TRIM($DZ958)="",0,IF(AND(AND(SUBSTITUTE(SUBSTITUTE(SUBSTITUTE(SUBSTITUTE(SUBSTITUTE(SUBSTITUTE(SUBSTITUTE(SUBSTITUTE(SUBSTITUTE(SUBSTITUTE(SUBSTITUTE(SUBSTITUTE(SUBSTITUTE(SUBSTITUTE(UPPER(TRIM($DZ958)),"0",""),"1",""),"2",""),"3",""),"4",""),"5",""),"6",""),"7",""),"8",""),"9",""),".",""),"+",""),"-",""),"E","")="",LEN(SUBSTITUTE(SUBSTITUTE(MID(UPPER(TRIM($DZ958)),1+OR(LEFT(UPPER(TRIM($DZ958)),1)="+",LEFT(UPPER(TRIM($DZ958)),1)="-"),999),"E+","E"),"E-","E"))=LEN(SUBSTITUTE(SUBSTITUTE(SUBSTITUTE(SUBSTITUTE(MID(UPPER(TRIM($DZ958)),1+OR(LEFT(UPPER(TRIM($DZ958)),1)="+",LEFT(UPPER(TRIM($DZ958)),1)="-"),999),"E+","E"),"E-","E"),"+",""),"-","")),LEN(UPPER(TRIM($DZ958)))-LEN(SUBSTITUTE(UPPER(TRIM($DZ958)),"E",""))&lt;2,LEN(UPPER(TRIM($DZ958)))-LEN(SUBSTITUTE(UPPER(TRIM($DZ958)),".",""))&lt;2,IFERROR(FIND(".",UPPER(TRIM($DZ958))),0)&lt;IFERROR(FIND("E",UPPER(TRIM($DZ958))),999)),ISNUMBER(VALUE(TRIM($DZ958)))),VALUE(TRIM($DZ958)),"")))),""))</f>
        <v/>
      </c>
      <c r="EB958">
        <f>IF($DM958=0,"",IF($L$18=0,"",IFERROR(IF(UPPER(TRIM(SUBSTITUTE(SUBSTITUTE(SUBSTITUTE(SUBSTITUTE(INDEX(PASTE_ALL,$DF958,$L$18)," "," "),CHAR(9)," "),CHAR(10)," "),CHAR(13)," ")))="READY","Ready",IF(UPPER(TRIM(SUBSTITUTE(SUBSTITUTE(SUBSTITUTE(SUBSTITUTE(INDEX(PASTE_ALL,$DF958,$L$18)," "," "),CHAR(9)," "),CHAR(10)," "),CHAR(13)," ")))="PM","PM",IF(OR(UPPER(TRIM(SUBSTITUTE(SUBSTITUTE(SUBSTITUTE(SUBSTITUTE(INDEX(PASTE_ALL,$DF958,$L$18)," "," "),CHAR(9)," "),CHAR(10)," "),CHAR(13)," ")))="OT",UPPER(TRIM(SUBSTITUTE(SUBSTITUTE(SUBSTITUTE(SUBSTITUTE(INDEX(PASTE_ALL,$DF958,$L$18)," "," "),CHAR(9)," "),CHAR(10)," "),CHAR(13)," ")))="OVERTIME",UPPER(TRIM(SUBSTITUTE(SUBSTITUTE(SUBSTITUTE(SUBSTITUTE(INDEX(PASTE_ALL,$DF958,$L$18)," "," "),CHAR(9)," "),CHAR(10)," "),CHAR(13)," ")))="TRIAL"),"OT",TRIM(SUBSTITUTE(SUBSTITUTE(SUBSTITUTE(SUBSTITUTE(INDEX(PASTE_ALL,$DF958,$L$18)," "," "),CHAR(9)," "),CHAR(10)," "),CHAR(13)," "))))),"")))</f>
        <v/>
      </c>
      <c r="EC958">
        <f>IF($DM958=0,"",IF($L$19=0,"",IFERROR(IF(ISNUMBER(INDEX(PASTE_ALL,$DF958,$L$19)),INDEX(PASTE_ALL,$DF958,$L$19),TRIM(SUBSTITUTE(SUBSTITUTE(SUBSTITUTE(SUBSTITUTE(INDEX(PASTE_ALL,$DF958,$L$19)," "," "),CHAR(9)," "),CHAR(10)," "),CHAR(13)," "))),"")))</f>
        <v/>
      </c>
      <c r="ED958">
        <f>IF($DM958=0,"",MATCH(1,INDEX(EXACT($DH$5:DH958,$DH958)*$DM$5:DM958,0),0))</f>
        <v/>
      </c>
      <c r="EE958">
        <f>IF($DM958=0,0,IF($ED958=$DE958,1,0))</f>
        <v/>
      </c>
      <c r="EF958">
        <f>EF957+$EE958</f>
        <v/>
      </c>
      <c r="EG958">
        <f>IF($DM958=0,"",INDEX($EF$5:$EF$1003,$ED958))</f>
        <v/>
      </c>
      <c r="EH958">
        <f>IF($DM958=0,"",IF($DO958&lt;&gt;"","",IFERROR(LOOKUP(2,1/(($EG$4:EG957=$EG958)*($DO$4:DO957&lt;&gt;"")),$DO$4:DO957),"")))</f>
        <v/>
      </c>
      <c r="EI958">
        <f>IF($DM958=0,"",IF($DO958&lt;&gt;"",$DO958,$EH958))</f>
        <v/>
      </c>
      <c r="EJ958">
        <f>IF($DM958=0,"",IF($EI958="",0,IF(OR(ISNUMBER($EI958),AND(AND(SUBSTITUTE(SUBSTITUTE(SUBSTITUTE(SUBSTITUTE(SUBSTITUTE(SUBSTITUTE(SUBSTITUTE(SUBSTITUTE(SUBSTITUTE(SUBSTITUTE(SUBSTITUTE(SUBSTITUTE(SUBSTITUTE(SUBSTITUTE(UPPER($EI958),"0",""),"1",""),"2",""),"3",""),"4",""),"5",""),"6",""),"7",""),"8",""),"9",""),".",""),"+",""),"-",""),"E","")="",LEN(SUBSTITUTE(SUBSTITUTE(MID(UPPER($EI958),1+OR(LEFT(UPPER($EI958),1)="+",LEFT(UPPER($EI958),1)="-"),999),"E+","E"),"E-","E"))=LEN(SUBSTITUTE(SUBSTITUTE(SUBSTITUTE(SUBSTITUTE(MID(UPPER($EI958),1+OR(LEFT(UPPER($EI958),1)="+",LEFT(UPPER($EI958),1)="-"),999),"E+","E"),"E-","E"),"+",""),"-","")),LEN(UPPER($EI958))-LEN(SUBSTITUTE(UPPER($EI958),"E",""))&lt;2,LEN(UPPER($EI958))-LEN(SUBSTITUTE(UPPER($EI958),".",""))&lt;2,IFERROR(FIND(".",UPPER($EI958)),0)&lt;IFERROR(FIND("E",UPPER($EI958)),999)),ISNUMBER(VALUE($EI958)))),1,2)))</f>
        <v/>
      </c>
      <c r="EK958">
        <f>IF($DM958=0,"",IF($EJ958=1,IF(ISNUMBER($EI958),$EI958,VALUE($EI958)),IF($EJ958=2,$DE958,0)))</f>
        <v/>
      </c>
      <c r="EL958">
        <f>IF($DM958=0,"",COUNTIF($EG$5:$EG$1003,"&lt;"&amp;$EG958)+SUMPRODUCT(($EG$5:$EG$1003=$EG958)*(($EJ$5:$EJ$1003&lt;$EJ958)+($EJ$5:$EJ$1003=$EJ958)*(($EK$5:$EK$1003&lt;$EK958)+($EK$5:$EK$1003=$EK958)*($DE$5:$DE$1003&lt;$DE958))))+1)</f>
        <v/>
      </c>
      <c r="EM958">
        <f>IF($DM958=0,"",$EL958+$EG958-1)</f>
        <v/>
      </c>
      <c r="EN958">
        <f>IF($DM958=0,0,IFERROR(MATCH(1,INDEX(--(TRIM(SUBSTITUTE(SUBSTITUTE(SUBSTITUTE(SUBSTITUTE(LINES_NAME&amp;""," "," "),CHAR(9)," "),CHAR(10)," "),CHAR(13)," "))=$DH958),0),0),0))</f>
        <v/>
      </c>
      <c r="EO958">
        <f>IF($EN958=0,0,IF(OR(UPPER(TRIM(INDEX(LINES_SCHEDULED,$EN958)&amp;""))="YES",UPPER(TRIM(INDEX(LINES_SCHEDULED,$EN958)&amp;""))="Y",UPPER(TRIM(INDEX(LINES_SCHEDULED,$EN958)&amp;""))="X"),1,0))</f>
        <v/>
      </c>
      <c r="EP958">
        <f>IF($DM958=0,"",IF(COUNTIFS($EG$5:$EG$1003,$EG958,$EB$5:$EB$1003,"Ready")&gt;0,"READY",IF(COUNTIFS($EG$5:$EG$1003,$EG958,$EB$5:$EB$1003,"PM")&gt;0,"PM",IF(COUNTIFS($EG$5:$EG$1003,$EG958,$EB$5:$EB$1003,"OT")&gt;0,"OT",""))))</f>
        <v/>
      </c>
      <c r="EQ958">
        <f>IF($EN958=0,"",UPPER(TRIM(INDEX(LINES_STATUS,$EN958)&amp;"")))</f>
        <v/>
      </c>
      <c r="ER958">
        <f>IF($DM958=0,"",IF(OR($EQ958="READY",$EQ958="PM",$EQ958="OT"),$EQ958,$EP958))</f>
        <v/>
      </c>
      <c r="ES958">
        <f>IF($DM958=0,"",IF(AND($DV958&lt;&gt;"",UPPER($DV958)&lt;&gt;"N"),"allergen",IF(ISNUMBER(SEARCH("oil",$DQ958)),"oil",IF(OR(EXACT($DS958,"A662"),EXACT($DS958,"A624")),"bulk",""))))</f>
        <v/>
      </c>
      <c r="ET958">
        <f>IF($DM958=0,"",IF(OR($EA958="",$EA958=0),"",$EA958/100))</f>
        <v/>
      </c>
      <c r="EU958">
        <f>IF(OR($ET958="",$DY958=""),"",INT($DY958*(1-$ET958)+0.5))</f>
        <v/>
      </c>
    </row>
    <row r="959">
      <c r="DA959" t="n">
        <v>955</v>
      </c>
      <c r="DB959">
        <f>IF($B$37=0,"",IFERROR(TRIM(SUBSTITUTE(SUBSTITUTE(SUBSTITUTE(SUBSTITUTE(INDEX(PASTE_ALL,955,$B$37)," "," "),CHAR(9)," "),CHAR(10)," "),CHAR(13)," ")),""))</f>
        <v/>
      </c>
      <c r="DC959">
        <f>IF(AND(955&gt;HEADER_ROW,UPPER(DB959)="LEGEND"),1,0)</f>
        <v/>
      </c>
      <c r="DE959" t="n">
        <v>955</v>
      </c>
      <c r="DF959">
        <f>HEADER_ROW+$DE959</f>
        <v/>
      </c>
      <c r="DG959">
        <f>IF(AND($DF959&lt;=1000,$DF959&lt;$B$8),1,0)</f>
        <v/>
      </c>
      <c r="DH959">
        <f>IF($DG959=1,IFERROR(INDEX($DB$5:$DB$1004,$DF959),""),"")</f>
        <v/>
      </c>
      <c r="DI959">
        <f>IF(AND($DG959=1,$DH959&lt;&gt;""),IFERROR(SUBSTITUTE(SUBSTITUTE(TRIM(SUBSTITUTE(SUBSTITUTE(SUBSTITUTE(SUBSTITUTE(IFERROR(INDEX(PASTE_ALL,$DF959,1)&amp;"","")&amp;"␟"&amp;IFERROR(INDEX(PASTE_ALL,$DF959,2)&amp;"","")&amp;"␟"&amp;IFERROR(INDEX(PASTE_ALL,$DF959,3)&amp;"","")&amp;"␟"&amp;IFERROR(INDEX(PASTE_ALL,$DF959,4)&amp;"","")&amp;"␟"&amp;IFERROR(INDEX(PASTE_ALL,$DF959,5)&amp;"","")&amp;"␟"&amp;IFERROR(INDEX(PASTE_ALL,$DF959,6)&amp;"","")&amp;"␟"&amp;IFERROR(INDEX(PASTE_ALL,$DF959,7)&amp;"","")&amp;"␟"&amp;IFERROR(INDEX(PASTE_ALL,$DF959,8)&amp;"","")&amp;"␟"&amp;IFERROR(INDEX(PASTE_ALL,$DF959,9)&amp;"","")&amp;"␟"&amp;IFERROR(INDEX(PASTE_ALL,$DF959,10)&amp;"","")&amp;"␟"&amp;IFERROR(INDEX(PASTE_ALL,$DF959,11)&amp;"","")&amp;"␟"&amp;IFERROR(INDEX(PASTE_ALL,$DF959,12)&amp;"","")&amp;"␟"&amp;IFERROR(INDEX(PASTE_ALL,$DF959,13)&amp;"","")&amp;"␟"&amp;IFERROR(INDEX(PASTE_ALL,$DF959,14)&amp;"","")&amp;"␟"&amp;IFERROR(INDEX(PASTE_ALL,$DF959,15)&amp;"","")&amp;"␟"&amp;IFERROR(INDEX(PASTE_ALL,$DF959,16)&amp;"","")&amp;"␟"&amp;IFERROR(INDEX(PASTE_ALL,$DF959,17)&amp;"","")&amp;"␟"&amp;IFERROR(INDEX(PASTE_ALL,$DF959,18)&amp;"","")&amp;"␟"&amp;IFERROR(INDEX(PASTE_ALL,$DF959,19)&amp;"","")&amp;"␟"&amp;IFERROR(INDEX(PASTE_ALL,$DF959,20)&amp;"","")&amp;"␟"&amp;IFERROR(INDEX(PASTE_ALL,$DF959,21)&amp;"","")&amp;"␟"&amp;IFERROR(INDEX(PASTE_ALL,$DF959,22)&amp;"","")&amp;"␟"&amp;IFERROR(INDEX(PASTE_ALL,$DF959,23)&amp;"","")&amp;"␟"&amp;IFERROR(INDEX(PASTE_ALL,$DF959,24)&amp;"","")&amp;"␟"&amp;IFERROR(INDEX(PASTE_ALL,$DF959,25)&amp;"","")&amp;"␟"&amp;IFERROR(INDEX(PASTE_ALL,$DF959,26)&amp;"","")&amp;"␟"&amp;IFERROR(INDEX(PASTE_ALL,$DF959,27)&amp;"","")&amp;"␟"&amp;IFERROR(INDEX(PASTE_ALL,$DF959,28)&amp;"","")&amp;"␟"&amp;IFERROR(INDEX(PASTE_ALL,$DF959,29)&amp;"","")&amp;"␟"&amp;IFERROR(INDEX(PASTE_ALL,$DF959,30)&amp;"","")&amp;"␟"&amp;IFERROR(INDEX(PASTE_ALL,$DF959,31)&amp;"","")&amp;"␟"&amp;IFERROR(INDEX(PASTE_ALL,$DF959,32)&amp;"","")&amp;"␟"&amp;IFERROR(INDEX(PASTE_ALL,$DF959,33)&amp;"","")&amp;"␟"&amp;IFERROR(INDEX(PASTE_ALL,$DF959,34)&amp;"","")&amp;"␟"&amp;IFERROR(INDEX(PASTE_ALL,$DF959,35)&amp;"","")&amp;"␟"&amp;IFERROR(INDEX(PASTE_ALL,$DF959,36)&amp;"","")&amp;"␟"&amp;IFERROR(INDEX(PASTE_ALL,$DF959,37)&amp;"","")&amp;"␟"&amp;IFERROR(INDEX(PASTE_ALL,$DF959,38)&amp;"","")&amp;"␟"&amp;IFERROR(INDEX(PASTE_ALL,$DF959,39)&amp;"","")&amp;"␟"&amp;IFERROR(INDEX(PASTE_ALL,$DF959,40)&amp;"","")&amp;"␟"&amp;IFERROR(INDEX(PASTE_ALL,$DF959,41)&amp;"","")&amp;"␟"&amp;IFERROR(INDEX(PASTE_ALL,$DF959,42)&amp;"","")&amp;"␟"&amp;IFERROR(INDEX(PASTE_ALL,$DF959,43)&amp;"","")&amp;"␟"&amp;IFERROR(INDEX(PASTE_ALL,$DF959,44)&amp;"","")&amp;"␟"&amp;IFERROR(INDEX(PASTE_ALL,$DF959,45)&amp;"","")&amp;"␟"&amp;IFERROR(INDEX(PASTE_ALL,$DF959,46)&amp;"","")&amp;"␟"&amp;IFERROR(INDEX(PASTE_ALL,$DF959,47)&amp;"","")&amp;"␟"&amp;IFERROR(INDEX(PASTE_ALL,$DF959,48)&amp;"","")&amp;"␟"&amp;IFERROR(INDEX(PASTE_ALL,$DF959,49)&amp;"","")&amp;"␟"&amp;IFERROR(INDEX(PASTE_ALL,$DF959,50)&amp;"","")&amp;"␟"&amp;IFERROR(INDEX(PASTE_ALL,$DF959,51)&amp;"","")&amp;"␟"&amp;IFERROR(INDEX(PASTE_ALL,$DF959,52)&amp;"","")&amp;"␟"&amp;IFERROR(INDEX(PASTE_ALL,$DF959,53)&amp;"","")&amp;"␟"&amp;IFERROR(INDEX(PASTE_ALL,$DF959,54)&amp;"","")&amp;"␟"&amp;IFERROR(INDEX(PASTE_ALL,$DF959,55)&amp;"","")&amp;"␟"&amp;IFERROR(INDEX(PASTE_ALL,$DF959,56)&amp;"","")&amp;"␟"&amp;IFERROR(INDEX(PASTE_ALL,$DF959,57)&amp;"","")&amp;"␟"&amp;IFERROR(INDEX(PASTE_ALL,$DF959,58)&amp;"","")&amp;"␟"&amp;IFERROR(INDEX(PASTE_ALL,$DF959,59)&amp;"","")&amp;"␟"&amp;IFERROR(INDEX(PASTE_ALL,$DF959,60)&amp;"","")," "," "),CHAR(9)," "),CHAR(10)," "),CHAR(13)," "))," ␟","␟"),"␟ ","␟"),"#"&amp;$DE959),"")</f>
        <v/>
      </c>
      <c r="DJ959">
        <f>IF($DI959="",0,IF(SUMPRODUCT(--EXACT($DI$4:DI958,$DI959))&gt;0,1,0))</f>
        <v/>
      </c>
      <c r="DK959">
        <f>IF(AND($DI959&lt;&gt;"",$DJ959=0),1,0)</f>
        <v/>
      </c>
      <c r="DL959">
        <f>DL958+$DK959</f>
        <v/>
      </c>
      <c r="DM959">
        <f>IF(AND($DK959=1,$DL959&lt;=600),1,0)</f>
        <v/>
      </c>
      <c r="DN959">
        <f>IF($DM959=0,"",IF($L$6=0,"",IFERROR(IF(ISNUMBER(INDEX(PASTE_ALL,$DF959,$L$6)),INDEX(PASTE_ALL,$DF959,$L$6),TRIM(SUBSTITUTE(SUBSTITUTE(SUBSTITUTE(SUBSTITUTE(INDEX(PASTE_ALL,$DF959,$L$6)," "," "),CHAR(9)," "),CHAR(10)," "),CHAR(13)," "))),"")))</f>
        <v/>
      </c>
      <c r="DO959">
        <f>IF($DM959=0,"",IF($L$7=0,"",IFERROR(IF(ISNUMBER(INDEX(PASTE_ALL,$DF959,$L$7)),INDEX(PASTE_ALL,$DF959,$L$7),TRIM(SUBSTITUTE(SUBSTITUTE(SUBSTITUTE(SUBSTITUTE(INDEX(PASTE_ALL,$DF959,$L$7)," "," "),CHAR(9)," "),CHAR(10)," "),CHAR(13)," "))),"")))</f>
        <v/>
      </c>
      <c r="DP959">
        <f>IF($DM959=0,"",IF($L$8=0,"",IFERROR(IF(ISNUMBER(INDEX(PASTE_ALL,$DF959,$L$8)),INDEX(PASTE_ALL,$DF959,$L$8),TRIM(SUBSTITUTE(SUBSTITUTE(SUBSTITUTE(SUBSTITUTE(INDEX(PASTE_ALL,$DF959,$L$8)," "," "),CHAR(9)," "),CHAR(10)," "),CHAR(13)," "))),"")))</f>
        <v/>
      </c>
      <c r="DQ959">
        <f>IF($DM959=0,"",IF($L$9=0,"",IFERROR(IF(ISNUMBER(INDEX(PASTE_ALL,$DF959,$L$9)),INDEX(PASTE_ALL,$DF959,$L$9),TRIM(SUBSTITUTE(SUBSTITUTE(SUBSTITUTE(SUBSTITUTE(INDEX(PASTE_ALL,$DF959,$L$9)," "," "),CHAR(9)," "),CHAR(10)," "),CHAR(13)," "))),"")))</f>
        <v/>
      </c>
      <c r="DR959">
        <f>IF($DM959=0,"",IF($L$10=0,"",IFERROR(IF(ISNUMBER(INDEX(PASTE_ALL,$DF959,$L$10)),INDEX(PASTE_ALL,$DF959,$L$10),TRIM(SUBSTITUTE(SUBSTITUTE(SUBSTITUTE(SUBSTITUTE(INDEX(PASTE_ALL,$DF959,$L$10)," "," "),CHAR(9)," "),CHAR(10)," "),CHAR(13)," "))),"")))</f>
        <v/>
      </c>
      <c r="DS959">
        <f>IF($DM959=0,"",IF($L$11=0,"",IFERROR(IF(ISNUMBER(INDEX(PASTE_ALL,$DF959,$L$11)),INDEX(PASTE_ALL,$DF959,$L$11),TRIM(SUBSTITUTE(SUBSTITUTE(SUBSTITUTE(SUBSTITUTE(INDEX(PASTE_ALL,$DF959,$L$11)," "," "),CHAR(9)," "),CHAR(10)," "),CHAR(13)," "))),"")))</f>
        <v/>
      </c>
      <c r="DT959">
        <f>IF($DM959=0,"",IF($L$12=0,"",IFERROR(IF(ISNUMBER(INDEX(PASTE_ALL,$DF959,$L$12)),INDEX(PASTE_ALL,$DF959,$L$12),TRIM(SUBSTITUTE(SUBSTITUTE(SUBSTITUTE(SUBSTITUTE(INDEX(PASTE_ALL,$DF959,$L$12)," "," "),CHAR(9)," "),CHAR(10)," "),CHAR(13)," "))),"")))</f>
        <v/>
      </c>
      <c r="DU959">
        <f>IF($DM959=0,"",IF($L$13=0,"",IFERROR(IF(ISNUMBER(INDEX(PASTE_ALL,$DF959,$L$13)),INDEX(PASTE_ALL,$DF959,$L$13),TRIM(SUBSTITUTE(SUBSTITUTE(SUBSTITUTE(SUBSTITUTE(INDEX(PASTE_ALL,$DF959,$L$13)," "," "),CHAR(9)," "),CHAR(10)," "),CHAR(13)," "))),"")))</f>
        <v/>
      </c>
      <c r="DV959">
        <f>IF($DM959=0,"",IF($L$14=0,"",IFERROR(IF(ISNUMBER(INDEX(PASTE_ALL,$DF959,$L$14)),INDEX(PASTE_ALL,$DF959,$L$14),TRIM(SUBSTITUTE(SUBSTITUTE(SUBSTITUTE(SUBSTITUTE(INDEX(PASTE_ALL,$DF959,$L$14)," "," "),CHAR(9)," "),CHAR(10)," "),CHAR(13)," "))),"")))</f>
        <v/>
      </c>
      <c r="DW959">
        <f>IF($DM959=0,"",IF($L$15=0,"",IFERROR(IF(ISNUMBER(INDEX(PASTE_ALL,$DF959,$L$15)),INDEX(PASTE_ALL,$DF959,$L$15),IF(SUMPRODUCT(--ISNUMBER(FIND({"A","B","C","D","E","F","G","H","I","J","K","L","M","N","O","P","Q","R","S","T","U","V","W","X","Y","Z","0","1","2","3","4","5","6","7","8","9"},UPPER(TRIM(SUBSTITUTE(SUBSTITUTE(SUBSTITUTE(SUBSTITUTE(INDEX(PASTE_ALL,$DF959,$L$15)," "," "),CHAR(9)," "),CHAR(10)," "),CHAR(13)," "))))))&gt;0,TRIM(SUBSTITUTE(SUBSTITUTE(SUBSTITUTE(SUBSTITUTE(INDEX(PASTE_ALL,$DF959,$L$15)," "," "),CHAR(9)," "),CHAR(10)," "),CHAR(13)," ")),"")),"")))</f>
        <v/>
      </c>
      <c r="DX959">
        <f>IF($DM959=0,"",IF($L$16=0,"",IFERROR(IF(ISNUMBER(INDEX(PASTE_ALL,$DF959,$L$16)),INDEX(PASTE_ALL,$DF959,$L$16),SUBSTITUTE(SUBSTITUTE(TRIM(SUBSTITUTE(SUBSTITUTE(SUBSTITUTE(SUBSTITUTE(INDEX(PASTE_ALL,$DF959,$L$16)," "," "),CHAR(9)," "),CHAR(10)," "),CHAR(13)," ")),",",""),"%","")),"")))</f>
        <v/>
      </c>
      <c r="DY959">
        <f>IF($DM959=0,"",IFERROR(IF(ISNUMBER($DX959),$DX959,IF($DX959="","",IF(TRIM($DX959)="",0,IF(AND(AND(SUBSTITUTE(SUBSTITUTE(SUBSTITUTE(SUBSTITUTE(SUBSTITUTE(SUBSTITUTE(SUBSTITUTE(SUBSTITUTE(SUBSTITUTE(SUBSTITUTE(SUBSTITUTE(SUBSTITUTE(SUBSTITUTE(SUBSTITUTE(UPPER(TRIM($DX959)),"0",""),"1",""),"2",""),"3",""),"4",""),"5",""),"6",""),"7",""),"8",""),"9",""),".",""),"+",""),"-",""),"E","")="",LEN(SUBSTITUTE(SUBSTITUTE(MID(UPPER(TRIM($DX959)),1+OR(LEFT(UPPER(TRIM($DX959)),1)="+",LEFT(UPPER(TRIM($DX959)),1)="-"),999),"E+","E"),"E-","E"))=LEN(SUBSTITUTE(SUBSTITUTE(SUBSTITUTE(SUBSTITUTE(MID(UPPER(TRIM($DX959)),1+OR(LEFT(UPPER(TRIM($DX959)),1)="+",LEFT(UPPER(TRIM($DX959)),1)="-"),999),"E+","E"),"E-","E"),"+",""),"-","")),LEN(UPPER(TRIM($DX959)))-LEN(SUBSTITUTE(UPPER(TRIM($DX959)),"E",""))&lt;2,LEN(UPPER(TRIM($DX959)))-LEN(SUBSTITUTE(UPPER(TRIM($DX959)),".",""))&lt;2,IFERROR(FIND(".",UPPER(TRIM($DX959))),0)&lt;IFERROR(FIND("E",UPPER(TRIM($DX959))),999)),ISNUMBER(VALUE(TRIM($DX959)))),VALUE(TRIM($DX959)),"")))),""))</f>
        <v/>
      </c>
      <c r="DZ959">
        <f>IF($DM959=0,"",IF($L$17=0,"",IFERROR(IF(ISNUMBER(INDEX(PASTE_ALL,$DF959,$L$17)),INDEX(PASTE_ALL,$DF959,$L$17),SUBSTITUTE(SUBSTITUTE(TRIM(SUBSTITUTE(SUBSTITUTE(SUBSTITUTE(SUBSTITUTE(INDEX(PASTE_ALL,$DF959,$L$17)," "," "),CHAR(9)," "),CHAR(10)," "),CHAR(13)," ")),",",""),"%","")),"")))</f>
        <v/>
      </c>
      <c r="EA959">
        <f>IF($DM959=0,"",IFERROR(IF(ISNUMBER($DZ959),$DZ959,IF($DZ959="","",IF(TRIM($DZ959)="",0,IF(AND(AND(SUBSTITUTE(SUBSTITUTE(SUBSTITUTE(SUBSTITUTE(SUBSTITUTE(SUBSTITUTE(SUBSTITUTE(SUBSTITUTE(SUBSTITUTE(SUBSTITUTE(SUBSTITUTE(SUBSTITUTE(SUBSTITUTE(SUBSTITUTE(UPPER(TRIM($DZ959)),"0",""),"1",""),"2",""),"3",""),"4",""),"5",""),"6",""),"7",""),"8",""),"9",""),".",""),"+",""),"-",""),"E","")="",LEN(SUBSTITUTE(SUBSTITUTE(MID(UPPER(TRIM($DZ959)),1+OR(LEFT(UPPER(TRIM($DZ959)),1)="+",LEFT(UPPER(TRIM($DZ959)),1)="-"),999),"E+","E"),"E-","E"))=LEN(SUBSTITUTE(SUBSTITUTE(SUBSTITUTE(SUBSTITUTE(MID(UPPER(TRIM($DZ959)),1+OR(LEFT(UPPER(TRIM($DZ959)),1)="+",LEFT(UPPER(TRIM($DZ959)),1)="-"),999),"E+","E"),"E-","E"),"+",""),"-","")),LEN(UPPER(TRIM($DZ959)))-LEN(SUBSTITUTE(UPPER(TRIM($DZ959)),"E",""))&lt;2,LEN(UPPER(TRIM($DZ959)))-LEN(SUBSTITUTE(UPPER(TRIM($DZ959)),".",""))&lt;2,IFERROR(FIND(".",UPPER(TRIM($DZ959))),0)&lt;IFERROR(FIND("E",UPPER(TRIM($DZ959))),999)),ISNUMBER(VALUE(TRIM($DZ959)))),VALUE(TRIM($DZ959)),"")))),""))</f>
        <v/>
      </c>
      <c r="EB959">
        <f>IF($DM959=0,"",IF($L$18=0,"",IFERROR(IF(UPPER(TRIM(SUBSTITUTE(SUBSTITUTE(SUBSTITUTE(SUBSTITUTE(INDEX(PASTE_ALL,$DF959,$L$18)," "," "),CHAR(9)," "),CHAR(10)," "),CHAR(13)," ")))="READY","Ready",IF(UPPER(TRIM(SUBSTITUTE(SUBSTITUTE(SUBSTITUTE(SUBSTITUTE(INDEX(PASTE_ALL,$DF959,$L$18)," "," "),CHAR(9)," "),CHAR(10)," "),CHAR(13)," ")))="PM","PM",IF(OR(UPPER(TRIM(SUBSTITUTE(SUBSTITUTE(SUBSTITUTE(SUBSTITUTE(INDEX(PASTE_ALL,$DF959,$L$18)," "," "),CHAR(9)," "),CHAR(10)," "),CHAR(13)," ")))="OT",UPPER(TRIM(SUBSTITUTE(SUBSTITUTE(SUBSTITUTE(SUBSTITUTE(INDEX(PASTE_ALL,$DF959,$L$18)," "," "),CHAR(9)," "),CHAR(10)," "),CHAR(13)," ")))="OVERTIME",UPPER(TRIM(SUBSTITUTE(SUBSTITUTE(SUBSTITUTE(SUBSTITUTE(INDEX(PASTE_ALL,$DF959,$L$18)," "," "),CHAR(9)," "),CHAR(10)," "),CHAR(13)," ")))="TRIAL"),"OT",TRIM(SUBSTITUTE(SUBSTITUTE(SUBSTITUTE(SUBSTITUTE(INDEX(PASTE_ALL,$DF959,$L$18)," "," "),CHAR(9)," "),CHAR(10)," "),CHAR(13)," "))))),"")))</f>
        <v/>
      </c>
      <c r="EC959">
        <f>IF($DM959=0,"",IF($L$19=0,"",IFERROR(IF(ISNUMBER(INDEX(PASTE_ALL,$DF959,$L$19)),INDEX(PASTE_ALL,$DF959,$L$19),TRIM(SUBSTITUTE(SUBSTITUTE(SUBSTITUTE(SUBSTITUTE(INDEX(PASTE_ALL,$DF959,$L$19)," "," "),CHAR(9)," "),CHAR(10)," "),CHAR(13)," "))),"")))</f>
        <v/>
      </c>
      <c r="ED959">
        <f>IF($DM959=0,"",MATCH(1,INDEX(EXACT($DH$5:DH959,$DH959)*$DM$5:DM959,0),0))</f>
        <v/>
      </c>
      <c r="EE959">
        <f>IF($DM959=0,0,IF($ED959=$DE959,1,0))</f>
        <v/>
      </c>
      <c r="EF959">
        <f>EF958+$EE959</f>
        <v/>
      </c>
      <c r="EG959">
        <f>IF($DM959=0,"",INDEX($EF$5:$EF$1003,$ED959))</f>
        <v/>
      </c>
      <c r="EH959">
        <f>IF($DM959=0,"",IF($DO959&lt;&gt;"","",IFERROR(LOOKUP(2,1/(($EG$4:EG958=$EG959)*($DO$4:DO958&lt;&gt;"")),$DO$4:DO958),"")))</f>
        <v/>
      </c>
      <c r="EI959">
        <f>IF($DM959=0,"",IF($DO959&lt;&gt;"",$DO959,$EH959))</f>
        <v/>
      </c>
      <c r="EJ959">
        <f>IF($DM959=0,"",IF($EI959="",0,IF(OR(ISNUMBER($EI959),AND(AND(SUBSTITUTE(SUBSTITUTE(SUBSTITUTE(SUBSTITUTE(SUBSTITUTE(SUBSTITUTE(SUBSTITUTE(SUBSTITUTE(SUBSTITUTE(SUBSTITUTE(SUBSTITUTE(SUBSTITUTE(SUBSTITUTE(SUBSTITUTE(UPPER($EI959),"0",""),"1",""),"2",""),"3",""),"4",""),"5",""),"6",""),"7",""),"8",""),"9",""),".",""),"+",""),"-",""),"E","")="",LEN(SUBSTITUTE(SUBSTITUTE(MID(UPPER($EI959),1+OR(LEFT(UPPER($EI959),1)="+",LEFT(UPPER($EI959),1)="-"),999),"E+","E"),"E-","E"))=LEN(SUBSTITUTE(SUBSTITUTE(SUBSTITUTE(SUBSTITUTE(MID(UPPER($EI959),1+OR(LEFT(UPPER($EI959),1)="+",LEFT(UPPER($EI959),1)="-"),999),"E+","E"),"E-","E"),"+",""),"-","")),LEN(UPPER($EI959))-LEN(SUBSTITUTE(UPPER($EI959),"E",""))&lt;2,LEN(UPPER($EI959))-LEN(SUBSTITUTE(UPPER($EI959),".",""))&lt;2,IFERROR(FIND(".",UPPER($EI959)),0)&lt;IFERROR(FIND("E",UPPER($EI959)),999)),ISNUMBER(VALUE($EI959)))),1,2)))</f>
        <v/>
      </c>
      <c r="EK959">
        <f>IF($DM959=0,"",IF($EJ959=1,IF(ISNUMBER($EI959),$EI959,VALUE($EI959)),IF($EJ959=2,$DE959,0)))</f>
        <v/>
      </c>
      <c r="EL959">
        <f>IF($DM959=0,"",COUNTIF($EG$5:$EG$1003,"&lt;"&amp;$EG959)+SUMPRODUCT(($EG$5:$EG$1003=$EG959)*(($EJ$5:$EJ$1003&lt;$EJ959)+($EJ$5:$EJ$1003=$EJ959)*(($EK$5:$EK$1003&lt;$EK959)+($EK$5:$EK$1003=$EK959)*($DE$5:$DE$1003&lt;$DE959))))+1)</f>
        <v/>
      </c>
      <c r="EM959">
        <f>IF($DM959=0,"",$EL959+$EG959-1)</f>
        <v/>
      </c>
      <c r="EN959">
        <f>IF($DM959=0,0,IFERROR(MATCH(1,INDEX(--(TRIM(SUBSTITUTE(SUBSTITUTE(SUBSTITUTE(SUBSTITUTE(LINES_NAME&amp;""," "," "),CHAR(9)," "),CHAR(10)," "),CHAR(13)," "))=$DH959),0),0),0))</f>
        <v/>
      </c>
      <c r="EO959">
        <f>IF($EN959=0,0,IF(OR(UPPER(TRIM(INDEX(LINES_SCHEDULED,$EN959)&amp;""))="YES",UPPER(TRIM(INDEX(LINES_SCHEDULED,$EN959)&amp;""))="Y",UPPER(TRIM(INDEX(LINES_SCHEDULED,$EN959)&amp;""))="X"),1,0))</f>
        <v/>
      </c>
      <c r="EP959">
        <f>IF($DM959=0,"",IF(COUNTIFS($EG$5:$EG$1003,$EG959,$EB$5:$EB$1003,"Ready")&gt;0,"READY",IF(COUNTIFS($EG$5:$EG$1003,$EG959,$EB$5:$EB$1003,"PM")&gt;0,"PM",IF(COUNTIFS($EG$5:$EG$1003,$EG959,$EB$5:$EB$1003,"OT")&gt;0,"OT",""))))</f>
        <v/>
      </c>
      <c r="EQ959">
        <f>IF($EN959=0,"",UPPER(TRIM(INDEX(LINES_STATUS,$EN959)&amp;"")))</f>
        <v/>
      </c>
      <c r="ER959">
        <f>IF($DM959=0,"",IF(OR($EQ959="READY",$EQ959="PM",$EQ959="OT"),$EQ959,$EP959))</f>
        <v/>
      </c>
      <c r="ES959">
        <f>IF($DM959=0,"",IF(AND($DV959&lt;&gt;"",UPPER($DV959)&lt;&gt;"N"),"allergen",IF(ISNUMBER(SEARCH("oil",$DQ959)),"oil",IF(OR(EXACT($DS959,"A662"),EXACT($DS959,"A624")),"bulk",""))))</f>
        <v/>
      </c>
      <c r="ET959">
        <f>IF($DM959=0,"",IF(OR($EA959="",$EA959=0),"",$EA959/100))</f>
        <v/>
      </c>
      <c r="EU959">
        <f>IF(OR($ET959="",$DY959=""),"",INT($DY959*(1-$ET959)+0.5))</f>
        <v/>
      </c>
    </row>
    <row r="960">
      <c r="DA960" t="n">
        <v>956</v>
      </c>
      <c r="DB960">
        <f>IF($B$37=0,"",IFERROR(TRIM(SUBSTITUTE(SUBSTITUTE(SUBSTITUTE(SUBSTITUTE(INDEX(PASTE_ALL,956,$B$37)," "," "),CHAR(9)," "),CHAR(10)," "),CHAR(13)," ")),""))</f>
        <v/>
      </c>
      <c r="DC960">
        <f>IF(AND(956&gt;HEADER_ROW,UPPER(DB960)="LEGEND"),1,0)</f>
        <v/>
      </c>
      <c r="DE960" t="n">
        <v>956</v>
      </c>
      <c r="DF960">
        <f>HEADER_ROW+$DE960</f>
        <v/>
      </c>
      <c r="DG960">
        <f>IF(AND($DF960&lt;=1000,$DF960&lt;$B$8),1,0)</f>
        <v/>
      </c>
      <c r="DH960">
        <f>IF($DG960=1,IFERROR(INDEX($DB$5:$DB$1004,$DF960),""),"")</f>
        <v/>
      </c>
      <c r="DI960">
        <f>IF(AND($DG960=1,$DH960&lt;&gt;""),IFERROR(SUBSTITUTE(SUBSTITUTE(TRIM(SUBSTITUTE(SUBSTITUTE(SUBSTITUTE(SUBSTITUTE(IFERROR(INDEX(PASTE_ALL,$DF960,1)&amp;"","")&amp;"␟"&amp;IFERROR(INDEX(PASTE_ALL,$DF960,2)&amp;"","")&amp;"␟"&amp;IFERROR(INDEX(PASTE_ALL,$DF960,3)&amp;"","")&amp;"␟"&amp;IFERROR(INDEX(PASTE_ALL,$DF960,4)&amp;"","")&amp;"␟"&amp;IFERROR(INDEX(PASTE_ALL,$DF960,5)&amp;"","")&amp;"␟"&amp;IFERROR(INDEX(PASTE_ALL,$DF960,6)&amp;"","")&amp;"␟"&amp;IFERROR(INDEX(PASTE_ALL,$DF960,7)&amp;"","")&amp;"␟"&amp;IFERROR(INDEX(PASTE_ALL,$DF960,8)&amp;"","")&amp;"␟"&amp;IFERROR(INDEX(PASTE_ALL,$DF960,9)&amp;"","")&amp;"␟"&amp;IFERROR(INDEX(PASTE_ALL,$DF960,10)&amp;"","")&amp;"␟"&amp;IFERROR(INDEX(PASTE_ALL,$DF960,11)&amp;"","")&amp;"␟"&amp;IFERROR(INDEX(PASTE_ALL,$DF960,12)&amp;"","")&amp;"␟"&amp;IFERROR(INDEX(PASTE_ALL,$DF960,13)&amp;"","")&amp;"␟"&amp;IFERROR(INDEX(PASTE_ALL,$DF960,14)&amp;"","")&amp;"␟"&amp;IFERROR(INDEX(PASTE_ALL,$DF960,15)&amp;"","")&amp;"␟"&amp;IFERROR(INDEX(PASTE_ALL,$DF960,16)&amp;"","")&amp;"␟"&amp;IFERROR(INDEX(PASTE_ALL,$DF960,17)&amp;"","")&amp;"␟"&amp;IFERROR(INDEX(PASTE_ALL,$DF960,18)&amp;"","")&amp;"␟"&amp;IFERROR(INDEX(PASTE_ALL,$DF960,19)&amp;"","")&amp;"␟"&amp;IFERROR(INDEX(PASTE_ALL,$DF960,20)&amp;"","")&amp;"␟"&amp;IFERROR(INDEX(PASTE_ALL,$DF960,21)&amp;"","")&amp;"␟"&amp;IFERROR(INDEX(PASTE_ALL,$DF960,22)&amp;"","")&amp;"␟"&amp;IFERROR(INDEX(PASTE_ALL,$DF960,23)&amp;"","")&amp;"␟"&amp;IFERROR(INDEX(PASTE_ALL,$DF960,24)&amp;"","")&amp;"␟"&amp;IFERROR(INDEX(PASTE_ALL,$DF960,25)&amp;"","")&amp;"␟"&amp;IFERROR(INDEX(PASTE_ALL,$DF960,26)&amp;"","")&amp;"␟"&amp;IFERROR(INDEX(PASTE_ALL,$DF960,27)&amp;"","")&amp;"␟"&amp;IFERROR(INDEX(PASTE_ALL,$DF960,28)&amp;"","")&amp;"␟"&amp;IFERROR(INDEX(PASTE_ALL,$DF960,29)&amp;"","")&amp;"␟"&amp;IFERROR(INDEX(PASTE_ALL,$DF960,30)&amp;"","")&amp;"␟"&amp;IFERROR(INDEX(PASTE_ALL,$DF960,31)&amp;"","")&amp;"␟"&amp;IFERROR(INDEX(PASTE_ALL,$DF960,32)&amp;"","")&amp;"␟"&amp;IFERROR(INDEX(PASTE_ALL,$DF960,33)&amp;"","")&amp;"␟"&amp;IFERROR(INDEX(PASTE_ALL,$DF960,34)&amp;"","")&amp;"␟"&amp;IFERROR(INDEX(PASTE_ALL,$DF960,35)&amp;"","")&amp;"␟"&amp;IFERROR(INDEX(PASTE_ALL,$DF960,36)&amp;"","")&amp;"␟"&amp;IFERROR(INDEX(PASTE_ALL,$DF960,37)&amp;"","")&amp;"␟"&amp;IFERROR(INDEX(PASTE_ALL,$DF960,38)&amp;"","")&amp;"␟"&amp;IFERROR(INDEX(PASTE_ALL,$DF960,39)&amp;"","")&amp;"␟"&amp;IFERROR(INDEX(PASTE_ALL,$DF960,40)&amp;"","")&amp;"␟"&amp;IFERROR(INDEX(PASTE_ALL,$DF960,41)&amp;"","")&amp;"␟"&amp;IFERROR(INDEX(PASTE_ALL,$DF960,42)&amp;"","")&amp;"␟"&amp;IFERROR(INDEX(PASTE_ALL,$DF960,43)&amp;"","")&amp;"␟"&amp;IFERROR(INDEX(PASTE_ALL,$DF960,44)&amp;"","")&amp;"␟"&amp;IFERROR(INDEX(PASTE_ALL,$DF960,45)&amp;"","")&amp;"␟"&amp;IFERROR(INDEX(PASTE_ALL,$DF960,46)&amp;"","")&amp;"␟"&amp;IFERROR(INDEX(PASTE_ALL,$DF960,47)&amp;"","")&amp;"␟"&amp;IFERROR(INDEX(PASTE_ALL,$DF960,48)&amp;"","")&amp;"␟"&amp;IFERROR(INDEX(PASTE_ALL,$DF960,49)&amp;"","")&amp;"␟"&amp;IFERROR(INDEX(PASTE_ALL,$DF960,50)&amp;"","")&amp;"␟"&amp;IFERROR(INDEX(PASTE_ALL,$DF960,51)&amp;"","")&amp;"␟"&amp;IFERROR(INDEX(PASTE_ALL,$DF960,52)&amp;"","")&amp;"␟"&amp;IFERROR(INDEX(PASTE_ALL,$DF960,53)&amp;"","")&amp;"␟"&amp;IFERROR(INDEX(PASTE_ALL,$DF960,54)&amp;"","")&amp;"␟"&amp;IFERROR(INDEX(PASTE_ALL,$DF960,55)&amp;"","")&amp;"␟"&amp;IFERROR(INDEX(PASTE_ALL,$DF960,56)&amp;"","")&amp;"␟"&amp;IFERROR(INDEX(PASTE_ALL,$DF960,57)&amp;"","")&amp;"␟"&amp;IFERROR(INDEX(PASTE_ALL,$DF960,58)&amp;"","")&amp;"␟"&amp;IFERROR(INDEX(PASTE_ALL,$DF960,59)&amp;"","")&amp;"␟"&amp;IFERROR(INDEX(PASTE_ALL,$DF960,60)&amp;"","")," "," "),CHAR(9)," "),CHAR(10)," "),CHAR(13)," "))," ␟","␟"),"␟ ","␟"),"#"&amp;$DE960),"")</f>
        <v/>
      </c>
      <c r="DJ960">
        <f>IF($DI960="",0,IF(SUMPRODUCT(--EXACT($DI$4:DI959,$DI960))&gt;0,1,0))</f>
        <v/>
      </c>
      <c r="DK960">
        <f>IF(AND($DI960&lt;&gt;"",$DJ960=0),1,0)</f>
        <v/>
      </c>
      <c r="DL960">
        <f>DL959+$DK960</f>
        <v/>
      </c>
      <c r="DM960">
        <f>IF(AND($DK960=1,$DL960&lt;=600),1,0)</f>
        <v/>
      </c>
      <c r="DN960">
        <f>IF($DM960=0,"",IF($L$6=0,"",IFERROR(IF(ISNUMBER(INDEX(PASTE_ALL,$DF960,$L$6)),INDEX(PASTE_ALL,$DF960,$L$6),TRIM(SUBSTITUTE(SUBSTITUTE(SUBSTITUTE(SUBSTITUTE(INDEX(PASTE_ALL,$DF960,$L$6)," "," "),CHAR(9)," "),CHAR(10)," "),CHAR(13)," "))),"")))</f>
        <v/>
      </c>
      <c r="DO960">
        <f>IF($DM960=0,"",IF($L$7=0,"",IFERROR(IF(ISNUMBER(INDEX(PASTE_ALL,$DF960,$L$7)),INDEX(PASTE_ALL,$DF960,$L$7),TRIM(SUBSTITUTE(SUBSTITUTE(SUBSTITUTE(SUBSTITUTE(INDEX(PASTE_ALL,$DF960,$L$7)," "," "),CHAR(9)," "),CHAR(10)," "),CHAR(13)," "))),"")))</f>
        <v/>
      </c>
      <c r="DP960">
        <f>IF($DM960=0,"",IF($L$8=0,"",IFERROR(IF(ISNUMBER(INDEX(PASTE_ALL,$DF960,$L$8)),INDEX(PASTE_ALL,$DF960,$L$8),TRIM(SUBSTITUTE(SUBSTITUTE(SUBSTITUTE(SUBSTITUTE(INDEX(PASTE_ALL,$DF960,$L$8)," "," "),CHAR(9)," "),CHAR(10)," "),CHAR(13)," "))),"")))</f>
        <v/>
      </c>
      <c r="DQ960">
        <f>IF($DM960=0,"",IF($L$9=0,"",IFERROR(IF(ISNUMBER(INDEX(PASTE_ALL,$DF960,$L$9)),INDEX(PASTE_ALL,$DF960,$L$9),TRIM(SUBSTITUTE(SUBSTITUTE(SUBSTITUTE(SUBSTITUTE(INDEX(PASTE_ALL,$DF960,$L$9)," "," "),CHAR(9)," "),CHAR(10)," "),CHAR(13)," "))),"")))</f>
        <v/>
      </c>
      <c r="DR960">
        <f>IF($DM960=0,"",IF($L$10=0,"",IFERROR(IF(ISNUMBER(INDEX(PASTE_ALL,$DF960,$L$10)),INDEX(PASTE_ALL,$DF960,$L$10),TRIM(SUBSTITUTE(SUBSTITUTE(SUBSTITUTE(SUBSTITUTE(INDEX(PASTE_ALL,$DF960,$L$10)," "," "),CHAR(9)," "),CHAR(10)," "),CHAR(13)," "))),"")))</f>
        <v/>
      </c>
      <c r="DS960">
        <f>IF($DM960=0,"",IF($L$11=0,"",IFERROR(IF(ISNUMBER(INDEX(PASTE_ALL,$DF960,$L$11)),INDEX(PASTE_ALL,$DF960,$L$11),TRIM(SUBSTITUTE(SUBSTITUTE(SUBSTITUTE(SUBSTITUTE(INDEX(PASTE_ALL,$DF960,$L$11)," "," "),CHAR(9)," "),CHAR(10)," "),CHAR(13)," "))),"")))</f>
        <v/>
      </c>
      <c r="DT960">
        <f>IF($DM960=0,"",IF($L$12=0,"",IFERROR(IF(ISNUMBER(INDEX(PASTE_ALL,$DF960,$L$12)),INDEX(PASTE_ALL,$DF960,$L$12),TRIM(SUBSTITUTE(SUBSTITUTE(SUBSTITUTE(SUBSTITUTE(INDEX(PASTE_ALL,$DF960,$L$12)," "," "),CHAR(9)," "),CHAR(10)," "),CHAR(13)," "))),"")))</f>
        <v/>
      </c>
      <c r="DU960">
        <f>IF($DM960=0,"",IF($L$13=0,"",IFERROR(IF(ISNUMBER(INDEX(PASTE_ALL,$DF960,$L$13)),INDEX(PASTE_ALL,$DF960,$L$13),TRIM(SUBSTITUTE(SUBSTITUTE(SUBSTITUTE(SUBSTITUTE(INDEX(PASTE_ALL,$DF960,$L$13)," "," "),CHAR(9)," "),CHAR(10)," "),CHAR(13)," "))),"")))</f>
        <v/>
      </c>
      <c r="DV960">
        <f>IF($DM960=0,"",IF($L$14=0,"",IFERROR(IF(ISNUMBER(INDEX(PASTE_ALL,$DF960,$L$14)),INDEX(PASTE_ALL,$DF960,$L$14),TRIM(SUBSTITUTE(SUBSTITUTE(SUBSTITUTE(SUBSTITUTE(INDEX(PASTE_ALL,$DF960,$L$14)," "," "),CHAR(9)," "),CHAR(10)," "),CHAR(13)," "))),"")))</f>
        <v/>
      </c>
      <c r="DW960">
        <f>IF($DM960=0,"",IF($L$15=0,"",IFERROR(IF(ISNUMBER(INDEX(PASTE_ALL,$DF960,$L$15)),INDEX(PASTE_ALL,$DF960,$L$15),IF(SUMPRODUCT(--ISNUMBER(FIND({"A","B","C","D","E","F","G","H","I","J","K","L","M","N","O","P","Q","R","S","T","U","V","W","X","Y","Z","0","1","2","3","4","5","6","7","8","9"},UPPER(TRIM(SUBSTITUTE(SUBSTITUTE(SUBSTITUTE(SUBSTITUTE(INDEX(PASTE_ALL,$DF960,$L$15)," "," "),CHAR(9)," "),CHAR(10)," "),CHAR(13)," "))))))&gt;0,TRIM(SUBSTITUTE(SUBSTITUTE(SUBSTITUTE(SUBSTITUTE(INDEX(PASTE_ALL,$DF960,$L$15)," "," "),CHAR(9)," "),CHAR(10)," "),CHAR(13)," ")),"")),"")))</f>
        <v/>
      </c>
      <c r="DX960">
        <f>IF($DM960=0,"",IF($L$16=0,"",IFERROR(IF(ISNUMBER(INDEX(PASTE_ALL,$DF960,$L$16)),INDEX(PASTE_ALL,$DF960,$L$16),SUBSTITUTE(SUBSTITUTE(TRIM(SUBSTITUTE(SUBSTITUTE(SUBSTITUTE(SUBSTITUTE(INDEX(PASTE_ALL,$DF960,$L$16)," "," "),CHAR(9)," "),CHAR(10)," "),CHAR(13)," ")),",",""),"%","")),"")))</f>
        <v/>
      </c>
      <c r="DY960">
        <f>IF($DM960=0,"",IFERROR(IF(ISNUMBER($DX960),$DX960,IF($DX960="","",IF(TRIM($DX960)="",0,IF(AND(AND(SUBSTITUTE(SUBSTITUTE(SUBSTITUTE(SUBSTITUTE(SUBSTITUTE(SUBSTITUTE(SUBSTITUTE(SUBSTITUTE(SUBSTITUTE(SUBSTITUTE(SUBSTITUTE(SUBSTITUTE(SUBSTITUTE(SUBSTITUTE(UPPER(TRIM($DX960)),"0",""),"1",""),"2",""),"3",""),"4",""),"5",""),"6",""),"7",""),"8",""),"9",""),".",""),"+",""),"-",""),"E","")="",LEN(SUBSTITUTE(SUBSTITUTE(MID(UPPER(TRIM($DX960)),1+OR(LEFT(UPPER(TRIM($DX960)),1)="+",LEFT(UPPER(TRIM($DX960)),1)="-"),999),"E+","E"),"E-","E"))=LEN(SUBSTITUTE(SUBSTITUTE(SUBSTITUTE(SUBSTITUTE(MID(UPPER(TRIM($DX960)),1+OR(LEFT(UPPER(TRIM($DX960)),1)="+",LEFT(UPPER(TRIM($DX960)),1)="-"),999),"E+","E"),"E-","E"),"+",""),"-","")),LEN(UPPER(TRIM($DX960)))-LEN(SUBSTITUTE(UPPER(TRIM($DX960)),"E",""))&lt;2,LEN(UPPER(TRIM($DX960)))-LEN(SUBSTITUTE(UPPER(TRIM($DX960)),".",""))&lt;2,IFERROR(FIND(".",UPPER(TRIM($DX960))),0)&lt;IFERROR(FIND("E",UPPER(TRIM($DX960))),999)),ISNUMBER(VALUE(TRIM($DX960)))),VALUE(TRIM($DX960)),"")))),""))</f>
        <v/>
      </c>
      <c r="DZ960">
        <f>IF($DM960=0,"",IF($L$17=0,"",IFERROR(IF(ISNUMBER(INDEX(PASTE_ALL,$DF960,$L$17)),INDEX(PASTE_ALL,$DF960,$L$17),SUBSTITUTE(SUBSTITUTE(TRIM(SUBSTITUTE(SUBSTITUTE(SUBSTITUTE(SUBSTITUTE(INDEX(PASTE_ALL,$DF960,$L$17)," "," "),CHAR(9)," "),CHAR(10)," "),CHAR(13)," ")),",",""),"%","")),"")))</f>
        <v/>
      </c>
      <c r="EA960">
        <f>IF($DM960=0,"",IFERROR(IF(ISNUMBER($DZ960),$DZ960,IF($DZ960="","",IF(TRIM($DZ960)="",0,IF(AND(AND(SUBSTITUTE(SUBSTITUTE(SUBSTITUTE(SUBSTITUTE(SUBSTITUTE(SUBSTITUTE(SUBSTITUTE(SUBSTITUTE(SUBSTITUTE(SUBSTITUTE(SUBSTITUTE(SUBSTITUTE(SUBSTITUTE(SUBSTITUTE(UPPER(TRIM($DZ960)),"0",""),"1",""),"2",""),"3",""),"4",""),"5",""),"6",""),"7",""),"8",""),"9",""),".",""),"+",""),"-",""),"E","")="",LEN(SUBSTITUTE(SUBSTITUTE(MID(UPPER(TRIM($DZ960)),1+OR(LEFT(UPPER(TRIM($DZ960)),1)="+",LEFT(UPPER(TRIM($DZ960)),1)="-"),999),"E+","E"),"E-","E"))=LEN(SUBSTITUTE(SUBSTITUTE(SUBSTITUTE(SUBSTITUTE(MID(UPPER(TRIM($DZ960)),1+OR(LEFT(UPPER(TRIM($DZ960)),1)="+",LEFT(UPPER(TRIM($DZ960)),1)="-"),999),"E+","E"),"E-","E"),"+",""),"-","")),LEN(UPPER(TRIM($DZ960)))-LEN(SUBSTITUTE(UPPER(TRIM($DZ960)),"E",""))&lt;2,LEN(UPPER(TRIM($DZ960)))-LEN(SUBSTITUTE(UPPER(TRIM($DZ960)),".",""))&lt;2,IFERROR(FIND(".",UPPER(TRIM($DZ960))),0)&lt;IFERROR(FIND("E",UPPER(TRIM($DZ960))),999)),ISNUMBER(VALUE(TRIM($DZ960)))),VALUE(TRIM($DZ960)),"")))),""))</f>
        <v/>
      </c>
      <c r="EB960">
        <f>IF($DM960=0,"",IF($L$18=0,"",IFERROR(IF(UPPER(TRIM(SUBSTITUTE(SUBSTITUTE(SUBSTITUTE(SUBSTITUTE(INDEX(PASTE_ALL,$DF960,$L$18)," "," "),CHAR(9)," "),CHAR(10)," "),CHAR(13)," ")))="READY","Ready",IF(UPPER(TRIM(SUBSTITUTE(SUBSTITUTE(SUBSTITUTE(SUBSTITUTE(INDEX(PASTE_ALL,$DF960,$L$18)," "," "),CHAR(9)," "),CHAR(10)," "),CHAR(13)," ")))="PM","PM",IF(OR(UPPER(TRIM(SUBSTITUTE(SUBSTITUTE(SUBSTITUTE(SUBSTITUTE(INDEX(PASTE_ALL,$DF960,$L$18)," "," "),CHAR(9)," "),CHAR(10)," "),CHAR(13)," ")))="OT",UPPER(TRIM(SUBSTITUTE(SUBSTITUTE(SUBSTITUTE(SUBSTITUTE(INDEX(PASTE_ALL,$DF960,$L$18)," "," "),CHAR(9)," "),CHAR(10)," "),CHAR(13)," ")))="OVERTIME",UPPER(TRIM(SUBSTITUTE(SUBSTITUTE(SUBSTITUTE(SUBSTITUTE(INDEX(PASTE_ALL,$DF960,$L$18)," "," "),CHAR(9)," "),CHAR(10)," "),CHAR(13)," ")))="TRIAL"),"OT",TRIM(SUBSTITUTE(SUBSTITUTE(SUBSTITUTE(SUBSTITUTE(INDEX(PASTE_ALL,$DF960,$L$18)," "," "),CHAR(9)," "),CHAR(10)," "),CHAR(13)," "))))),"")))</f>
        <v/>
      </c>
      <c r="EC960">
        <f>IF($DM960=0,"",IF($L$19=0,"",IFERROR(IF(ISNUMBER(INDEX(PASTE_ALL,$DF960,$L$19)),INDEX(PASTE_ALL,$DF960,$L$19),TRIM(SUBSTITUTE(SUBSTITUTE(SUBSTITUTE(SUBSTITUTE(INDEX(PASTE_ALL,$DF960,$L$19)," "," "),CHAR(9)," "),CHAR(10)," "),CHAR(13)," "))),"")))</f>
        <v/>
      </c>
      <c r="ED960">
        <f>IF($DM960=0,"",MATCH(1,INDEX(EXACT($DH$5:DH960,$DH960)*$DM$5:DM960,0),0))</f>
        <v/>
      </c>
      <c r="EE960">
        <f>IF($DM960=0,0,IF($ED960=$DE960,1,0))</f>
        <v/>
      </c>
      <c r="EF960">
        <f>EF959+$EE960</f>
        <v/>
      </c>
      <c r="EG960">
        <f>IF($DM960=0,"",INDEX($EF$5:$EF$1003,$ED960))</f>
        <v/>
      </c>
      <c r="EH960">
        <f>IF($DM960=0,"",IF($DO960&lt;&gt;"","",IFERROR(LOOKUP(2,1/(($EG$4:EG959=$EG960)*($DO$4:DO959&lt;&gt;"")),$DO$4:DO959),"")))</f>
        <v/>
      </c>
      <c r="EI960">
        <f>IF($DM960=0,"",IF($DO960&lt;&gt;"",$DO960,$EH960))</f>
        <v/>
      </c>
      <c r="EJ960">
        <f>IF($DM960=0,"",IF($EI960="",0,IF(OR(ISNUMBER($EI960),AND(AND(SUBSTITUTE(SUBSTITUTE(SUBSTITUTE(SUBSTITUTE(SUBSTITUTE(SUBSTITUTE(SUBSTITUTE(SUBSTITUTE(SUBSTITUTE(SUBSTITUTE(SUBSTITUTE(SUBSTITUTE(SUBSTITUTE(SUBSTITUTE(UPPER($EI960),"0",""),"1",""),"2",""),"3",""),"4",""),"5",""),"6",""),"7",""),"8",""),"9",""),".",""),"+",""),"-",""),"E","")="",LEN(SUBSTITUTE(SUBSTITUTE(MID(UPPER($EI960),1+OR(LEFT(UPPER($EI960),1)="+",LEFT(UPPER($EI960),1)="-"),999),"E+","E"),"E-","E"))=LEN(SUBSTITUTE(SUBSTITUTE(SUBSTITUTE(SUBSTITUTE(MID(UPPER($EI960),1+OR(LEFT(UPPER($EI960),1)="+",LEFT(UPPER($EI960),1)="-"),999),"E+","E"),"E-","E"),"+",""),"-","")),LEN(UPPER($EI960))-LEN(SUBSTITUTE(UPPER($EI960),"E",""))&lt;2,LEN(UPPER($EI960))-LEN(SUBSTITUTE(UPPER($EI960),".",""))&lt;2,IFERROR(FIND(".",UPPER($EI960)),0)&lt;IFERROR(FIND("E",UPPER($EI960)),999)),ISNUMBER(VALUE($EI960)))),1,2)))</f>
        <v/>
      </c>
      <c r="EK960">
        <f>IF($DM960=0,"",IF($EJ960=1,IF(ISNUMBER($EI960),$EI960,VALUE($EI960)),IF($EJ960=2,$DE960,0)))</f>
        <v/>
      </c>
      <c r="EL960">
        <f>IF($DM960=0,"",COUNTIF($EG$5:$EG$1003,"&lt;"&amp;$EG960)+SUMPRODUCT(($EG$5:$EG$1003=$EG960)*(($EJ$5:$EJ$1003&lt;$EJ960)+($EJ$5:$EJ$1003=$EJ960)*(($EK$5:$EK$1003&lt;$EK960)+($EK$5:$EK$1003=$EK960)*($DE$5:$DE$1003&lt;$DE960))))+1)</f>
        <v/>
      </c>
      <c r="EM960">
        <f>IF($DM960=0,"",$EL960+$EG960-1)</f>
        <v/>
      </c>
      <c r="EN960">
        <f>IF($DM960=0,0,IFERROR(MATCH(1,INDEX(--(TRIM(SUBSTITUTE(SUBSTITUTE(SUBSTITUTE(SUBSTITUTE(LINES_NAME&amp;""," "," "),CHAR(9)," "),CHAR(10)," "),CHAR(13)," "))=$DH960),0),0),0))</f>
        <v/>
      </c>
      <c r="EO960">
        <f>IF($EN960=0,0,IF(OR(UPPER(TRIM(INDEX(LINES_SCHEDULED,$EN960)&amp;""))="YES",UPPER(TRIM(INDEX(LINES_SCHEDULED,$EN960)&amp;""))="Y",UPPER(TRIM(INDEX(LINES_SCHEDULED,$EN960)&amp;""))="X"),1,0))</f>
        <v/>
      </c>
      <c r="EP960">
        <f>IF($DM960=0,"",IF(COUNTIFS($EG$5:$EG$1003,$EG960,$EB$5:$EB$1003,"Ready")&gt;0,"READY",IF(COUNTIFS($EG$5:$EG$1003,$EG960,$EB$5:$EB$1003,"PM")&gt;0,"PM",IF(COUNTIFS($EG$5:$EG$1003,$EG960,$EB$5:$EB$1003,"OT")&gt;0,"OT",""))))</f>
        <v/>
      </c>
      <c r="EQ960">
        <f>IF($EN960=0,"",UPPER(TRIM(INDEX(LINES_STATUS,$EN960)&amp;"")))</f>
        <v/>
      </c>
      <c r="ER960">
        <f>IF($DM960=0,"",IF(OR($EQ960="READY",$EQ960="PM",$EQ960="OT"),$EQ960,$EP960))</f>
        <v/>
      </c>
      <c r="ES960">
        <f>IF($DM960=0,"",IF(AND($DV960&lt;&gt;"",UPPER($DV960)&lt;&gt;"N"),"allergen",IF(ISNUMBER(SEARCH("oil",$DQ960)),"oil",IF(OR(EXACT($DS960,"A662"),EXACT($DS960,"A624")),"bulk",""))))</f>
        <v/>
      </c>
      <c r="ET960">
        <f>IF($DM960=0,"",IF(OR($EA960="",$EA960=0),"",$EA960/100))</f>
        <v/>
      </c>
      <c r="EU960">
        <f>IF(OR($ET960="",$DY960=""),"",INT($DY960*(1-$ET960)+0.5))</f>
        <v/>
      </c>
    </row>
    <row r="961">
      <c r="DA961" t="n">
        <v>957</v>
      </c>
      <c r="DB961">
        <f>IF($B$37=0,"",IFERROR(TRIM(SUBSTITUTE(SUBSTITUTE(SUBSTITUTE(SUBSTITUTE(INDEX(PASTE_ALL,957,$B$37)," "," "),CHAR(9)," "),CHAR(10)," "),CHAR(13)," ")),""))</f>
        <v/>
      </c>
      <c r="DC961">
        <f>IF(AND(957&gt;HEADER_ROW,UPPER(DB961)="LEGEND"),1,0)</f>
        <v/>
      </c>
      <c r="DE961" t="n">
        <v>957</v>
      </c>
      <c r="DF961">
        <f>HEADER_ROW+$DE961</f>
        <v/>
      </c>
      <c r="DG961">
        <f>IF(AND($DF961&lt;=1000,$DF961&lt;$B$8),1,0)</f>
        <v/>
      </c>
      <c r="DH961">
        <f>IF($DG961=1,IFERROR(INDEX($DB$5:$DB$1004,$DF961),""),"")</f>
        <v/>
      </c>
      <c r="DI961">
        <f>IF(AND($DG961=1,$DH961&lt;&gt;""),IFERROR(SUBSTITUTE(SUBSTITUTE(TRIM(SUBSTITUTE(SUBSTITUTE(SUBSTITUTE(SUBSTITUTE(IFERROR(INDEX(PASTE_ALL,$DF961,1)&amp;"","")&amp;"␟"&amp;IFERROR(INDEX(PASTE_ALL,$DF961,2)&amp;"","")&amp;"␟"&amp;IFERROR(INDEX(PASTE_ALL,$DF961,3)&amp;"","")&amp;"␟"&amp;IFERROR(INDEX(PASTE_ALL,$DF961,4)&amp;"","")&amp;"␟"&amp;IFERROR(INDEX(PASTE_ALL,$DF961,5)&amp;"","")&amp;"␟"&amp;IFERROR(INDEX(PASTE_ALL,$DF961,6)&amp;"","")&amp;"␟"&amp;IFERROR(INDEX(PASTE_ALL,$DF961,7)&amp;"","")&amp;"␟"&amp;IFERROR(INDEX(PASTE_ALL,$DF961,8)&amp;"","")&amp;"␟"&amp;IFERROR(INDEX(PASTE_ALL,$DF961,9)&amp;"","")&amp;"␟"&amp;IFERROR(INDEX(PASTE_ALL,$DF961,10)&amp;"","")&amp;"␟"&amp;IFERROR(INDEX(PASTE_ALL,$DF961,11)&amp;"","")&amp;"␟"&amp;IFERROR(INDEX(PASTE_ALL,$DF961,12)&amp;"","")&amp;"␟"&amp;IFERROR(INDEX(PASTE_ALL,$DF961,13)&amp;"","")&amp;"␟"&amp;IFERROR(INDEX(PASTE_ALL,$DF961,14)&amp;"","")&amp;"␟"&amp;IFERROR(INDEX(PASTE_ALL,$DF961,15)&amp;"","")&amp;"␟"&amp;IFERROR(INDEX(PASTE_ALL,$DF961,16)&amp;"","")&amp;"␟"&amp;IFERROR(INDEX(PASTE_ALL,$DF961,17)&amp;"","")&amp;"␟"&amp;IFERROR(INDEX(PASTE_ALL,$DF961,18)&amp;"","")&amp;"␟"&amp;IFERROR(INDEX(PASTE_ALL,$DF961,19)&amp;"","")&amp;"␟"&amp;IFERROR(INDEX(PASTE_ALL,$DF961,20)&amp;"","")&amp;"␟"&amp;IFERROR(INDEX(PASTE_ALL,$DF961,21)&amp;"","")&amp;"␟"&amp;IFERROR(INDEX(PASTE_ALL,$DF961,22)&amp;"","")&amp;"␟"&amp;IFERROR(INDEX(PASTE_ALL,$DF961,23)&amp;"","")&amp;"␟"&amp;IFERROR(INDEX(PASTE_ALL,$DF961,24)&amp;"","")&amp;"␟"&amp;IFERROR(INDEX(PASTE_ALL,$DF961,25)&amp;"","")&amp;"␟"&amp;IFERROR(INDEX(PASTE_ALL,$DF961,26)&amp;"","")&amp;"␟"&amp;IFERROR(INDEX(PASTE_ALL,$DF961,27)&amp;"","")&amp;"␟"&amp;IFERROR(INDEX(PASTE_ALL,$DF961,28)&amp;"","")&amp;"␟"&amp;IFERROR(INDEX(PASTE_ALL,$DF961,29)&amp;"","")&amp;"␟"&amp;IFERROR(INDEX(PASTE_ALL,$DF961,30)&amp;"","")&amp;"␟"&amp;IFERROR(INDEX(PASTE_ALL,$DF961,31)&amp;"","")&amp;"␟"&amp;IFERROR(INDEX(PASTE_ALL,$DF961,32)&amp;"","")&amp;"␟"&amp;IFERROR(INDEX(PASTE_ALL,$DF961,33)&amp;"","")&amp;"␟"&amp;IFERROR(INDEX(PASTE_ALL,$DF961,34)&amp;"","")&amp;"␟"&amp;IFERROR(INDEX(PASTE_ALL,$DF961,35)&amp;"","")&amp;"␟"&amp;IFERROR(INDEX(PASTE_ALL,$DF961,36)&amp;"","")&amp;"␟"&amp;IFERROR(INDEX(PASTE_ALL,$DF961,37)&amp;"","")&amp;"␟"&amp;IFERROR(INDEX(PASTE_ALL,$DF961,38)&amp;"","")&amp;"␟"&amp;IFERROR(INDEX(PASTE_ALL,$DF961,39)&amp;"","")&amp;"␟"&amp;IFERROR(INDEX(PASTE_ALL,$DF961,40)&amp;"","")&amp;"␟"&amp;IFERROR(INDEX(PASTE_ALL,$DF961,41)&amp;"","")&amp;"␟"&amp;IFERROR(INDEX(PASTE_ALL,$DF961,42)&amp;"","")&amp;"␟"&amp;IFERROR(INDEX(PASTE_ALL,$DF961,43)&amp;"","")&amp;"␟"&amp;IFERROR(INDEX(PASTE_ALL,$DF961,44)&amp;"","")&amp;"␟"&amp;IFERROR(INDEX(PASTE_ALL,$DF961,45)&amp;"","")&amp;"␟"&amp;IFERROR(INDEX(PASTE_ALL,$DF961,46)&amp;"","")&amp;"␟"&amp;IFERROR(INDEX(PASTE_ALL,$DF961,47)&amp;"","")&amp;"␟"&amp;IFERROR(INDEX(PASTE_ALL,$DF961,48)&amp;"","")&amp;"␟"&amp;IFERROR(INDEX(PASTE_ALL,$DF961,49)&amp;"","")&amp;"␟"&amp;IFERROR(INDEX(PASTE_ALL,$DF961,50)&amp;"","")&amp;"␟"&amp;IFERROR(INDEX(PASTE_ALL,$DF961,51)&amp;"","")&amp;"␟"&amp;IFERROR(INDEX(PASTE_ALL,$DF961,52)&amp;"","")&amp;"␟"&amp;IFERROR(INDEX(PASTE_ALL,$DF961,53)&amp;"","")&amp;"␟"&amp;IFERROR(INDEX(PASTE_ALL,$DF961,54)&amp;"","")&amp;"␟"&amp;IFERROR(INDEX(PASTE_ALL,$DF961,55)&amp;"","")&amp;"␟"&amp;IFERROR(INDEX(PASTE_ALL,$DF961,56)&amp;"","")&amp;"␟"&amp;IFERROR(INDEX(PASTE_ALL,$DF961,57)&amp;"","")&amp;"␟"&amp;IFERROR(INDEX(PASTE_ALL,$DF961,58)&amp;"","")&amp;"␟"&amp;IFERROR(INDEX(PASTE_ALL,$DF961,59)&amp;"","")&amp;"␟"&amp;IFERROR(INDEX(PASTE_ALL,$DF961,60)&amp;"","")," "," "),CHAR(9)," "),CHAR(10)," "),CHAR(13)," "))," ␟","␟"),"␟ ","␟"),"#"&amp;$DE961),"")</f>
        <v/>
      </c>
      <c r="DJ961">
        <f>IF($DI961="",0,IF(SUMPRODUCT(--EXACT($DI$4:DI960,$DI961))&gt;0,1,0))</f>
        <v/>
      </c>
      <c r="DK961">
        <f>IF(AND($DI961&lt;&gt;"",$DJ961=0),1,0)</f>
        <v/>
      </c>
      <c r="DL961">
        <f>DL960+$DK961</f>
        <v/>
      </c>
      <c r="DM961">
        <f>IF(AND($DK961=1,$DL961&lt;=600),1,0)</f>
        <v/>
      </c>
      <c r="DN961">
        <f>IF($DM961=0,"",IF($L$6=0,"",IFERROR(IF(ISNUMBER(INDEX(PASTE_ALL,$DF961,$L$6)),INDEX(PASTE_ALL,$DF961,$L$6),TRIM(SUBSTITUTE(SUBSTITUTE(SUBSTITUTE(SUBSTITUTE(INDEX(PASTE_ALL,$DF961,$L$6)," "," "),CHAR(9)," "),CHAR(10)," "),CHAR(13)," "))),"")))</f>
        <v/>
      </c>
      <c r="DO961">
        <f>IF($DM961=0,"",IF($L$7=0,"",IFERROR(IF(ISNUMBER(INDEX(PASTE_ALL,$DF961,$L$7)),INDEX(PASTE_ALL,$DF961,$L$7),TRIM(SUBSTITUTE(SUBSTITUTE(SUBSTITUTE(SUBSTITUTE(INDEX(PASTE_ALL,$DF961,$L$7)," "," "),CHAR(9)," "),CHAR(10)," "),CHAR(13)," "))),"")))</f>
        <v/>
      </c>
      <c r="DP961">
        <f>IF($DM961=0,"",IF($L$8=0,"",IFERROR(IF(ISNUMBER(INDEX(PASTE_ALL,$DF961,$L$8)),INDEX(PASTE_ALL,$DF961,$L$8),TRIM(SUBSTITUTE(SUBSTITUTE(SUBSTITUTE(SUBSTITUTE(INDEX(PASTE_ALL,$DF961,$L$8)," "," "),CHAR(9)," "),CHAR(10)," "),CHAR(13)," "))),"")))</f>
        <v/>
      </c>
      <c r="DQ961">
        <f>IF($DM961=0,"",IF($L$9=0,"",IFERROR(IF(ISNUMBER(INDEX(PASTE_ALL,$DF961,$L$9)),INDEX(PASTE_ALL,$DF961,$L$9),TRIM(SUBSTITUTE(SUBSTITUTE(SUBSTITUTE(SUBSTITUTE(INDEX(PASTE_ALL,$DF961,$L$9)," "," "),CHAR(9)," "),CHAR(10)," "),CHAR(13)," "))),"")))</f>
        <v/>
      </c>
      <c r="DR961">
        <f>IF($DM961=0,"",IF($L$10=0,"",IFERROR(IF(ISNUMBER(INDEX(PASTE_ALL,$DF961,$L$10)),INDEX(PASTE_ALL,$DF961,$L$10),TRIM(SUBSTITUTE(SUBSTITUTE(SUBSTITUTE(SUBSTITUTE(INDEX(PASTE_ALL,$DF961,$L$10)," "," "),CHAR(9)," "),CHAR(10)," "),CHAR(13)," "))),"")))</f>
        <v/>
      </c>
      <c r="DS961">
        <f>IF($DM961=0,"",IF($L$11=0,"",IFERROR(IF(ISNUMBER(INDEX(PASTE_ALL,$DF961,$L$11)),INDEX(PASTE_ALL,$DF961,$L$11),TRIM(SUBSTITUTE(SUBSTITUTE(SUBSTITUTE(SUBSTITUTE(INDEX(PASTE_ALL,$DF961,$L$11)," "," "),CHAR(9)," "),CHAR(10)," "),CHAR(13)," "))),"")))</f>
        <v/>
      </c>
      <c r="DT961">
        <f>IF($DM961=0,"",IF($L$12=0,"",IFERROR(IF(ISNUMBER(INDEX(PASTE_ALL,$DF961,$L$12)),INDEX(PASTE_ALL,$DF961,$L$12),TRIM(SUBSTITUTE(SUBSTITUTE(SUBSTITUTE(SUBSTITUTE(INDEX(PASTE_ALL,$DF961,$L$12)," "," "),CHAR(9)," "),CHAR(10)," "),CHAR(13)," "))),"")))</f>
        <v/>
      </c>
      <c r="DU961">
        <f>IF($DM961=0,"",IF($L$13=0,"",IFERROR(IF(ISNUMBER(INDEX(PASTE_ALL,$DF961,$L$13)),INDEX(PASTE_ALL,$DF961,$L$13),TRIM(SUBSTITUTE(SUBSTITUTE(SUBSTITUTE(SUBSTITUTE(INDEX(PASTE_ALL,$DF961,$L$13)," "," "),CHAR(9)," "),CHAR(10)," "),CHAR(13)," "))),"")))</f>
        <v/>
      </c>
      <c r="DV961">
        <f>IF($DM961=0,"",IF($L$14=0,"",IFERROR(IF(ISNUMBER(INDEX(PASTE_ALL,$DF961,$L$14)),INDEX(PASTE_ALL,$DF961,$L$14),TRIM(SUBSTITUTE(SUBSTITUTE(SUBSTITUTE(SUBSTITUTE(INDEX(PASTE_ALL,$DF961,$L$14)," "," "),CHAR(9)," "),CHAR(10)," "),CHAR(13)," "))),"")))</f>
        <v/>
      </c>
      <c r="DW961">
        <f>IF($DM961=0,"",IF($L$15=0,"",IFERROR(IF(ISNUMBER(INDEX(PASTE_ALL,$DF961,$L$15)),INDEX(PASTE_ALL,$DF961,$L$15),IF(SUMPRODUCT(--ISNUMBER(FIND({"A","B","C","D","E","F","G","H","I","J","K","L","M","N","O","P","Q","R","S","T","U","V","W","X","Y","Z","0","1","2","3","4","5","6","7","8","9"},UPPER(TRIM(SUBSTITUTE(SUBSTITUTE(SUBSTITUTE(SUBSTITUTE(INDEX(PASTE_ALL,$DF961,$L$15)," "," "),CHAR(9)," "),CHAR(10)," "),CHAR(13)," "))))))&gt;0,TRIM(SUBSTITUTE(SUBSTITUTE(SUBSTITUTE(SUBSTITUTE(INDEX(PASTE_ALL,$DF961,$L$15)," "," "),CHAR(9)," "),CHAR(10)," "),CHAR(13)," ")),"")),"")))</f>
        <v/>
      </c>
      <c r="DX961">
        <f>IF($DM961=0,"",IF($L$16=0,"",IFERROR(IF(ISNUMBER(INDEX(PASTE_ALL,$DF961,$L$16)),INDEX(PASTE_ALL,$DF961,$L$16),SUBSTITUTE(SUBSTITUTE(TRIM(SUBSTITUTE(SUBSTITUTE(SUBSTITUTE(SUBSTITUTE(INDEX(PASTE_ALL,$DF961,$L$16)," "," "),CHAR(9)," "),CHAR(10)," "),CHAR(13)," ")),",",""),"%","")),"")))</f>
        <v/>
      </c>
      <c r="DY961">
        <f>IF($DM961=0,"",IFERROR(IF(ISNUMBER($DX961),$DX961,IF($DX961="","",IF(TRIM($DX961)="",0,IF(AND(AND(SUBSTITUTE(SUBSTITUTE(SUBSTITUTE(SUBSTITUTE(SUBSTITUTE(SUBSTITUTE(SUBSTITUTE(SUBSTITUTE(SUBSTITUTE(SUBSTITUTE(SUBSTITUTE(SUBSTITUTE(SUBSTITUTE(SUBSTITUTE(UPPER(TRIM($DX961)),"0",""),"1",""),"2",""),"3",""),"4",""),"5",""),"6",""),"7",""),"8",""),"9",""),".",""),"+",""),"-",""),"E","")="",LEN(SUBSTITUTE(SUBSTITUTE(MID(UPPER(TRIM($DX961)),1+OR(LEFT(UPPER(TRIM($DX961)),1)="+",LEFT(UPPER(TRIM($DX961)),1)="-"),999),"E+","E"),"E-","E"))=LEN(SUBSTITUTE(SUBSTITUTE(SUBSTITUTE(SUBSTITUTE(MID(UPPER(TRIM($DX961)),1+OR(LEFT(UPPER(TRIM($DX961)),1)="+",LEFT(UPPER(TRIM($DX961)),1)="-"),999),"E+","E"),"E-","E"),"+",""),"-","")),LEN(UPPER(TRIM($DX961)))-LEN(SUBSTITUTE(UPPER(TRIM($DX961)),"E",""))&lt;2,LEN(UPPER(TRIM($DX961)))-LEN(SUBSTITUTE(UPPER(TRIM($DX961)),".",""))&lt;2,IFERROR(FIND(".",UPPER(TRIM($DX961))),0)&lt;IFERROR(FIND("E",UPPER(TRIM($DX961))),999)),ISNUMBER(VALUE(TRIM($DX961)))),VALUE(TRIM($DX961)),"")))),""))</f>
        <v/>
      </c>
      <c r="DZ961">
        <f>IF($DM961=0,"",IF($L$17=0,"",IFERROR(IF(ISNUMBER(INDEX(PASTE_ALL,$DF961,$L$17)),INDEX(PASTE_ALL,$DF961,$L$17),SUBSTITUTE(SUBSTITUTE(TRIM(SUBSTITUTE(SUBSTITUTE(SUBSTITUTE(SUBSTITUTE(INDEX(PASTE_ALL,$DF961,$L$17)," "," "),CHAR(9)," "),CHAR(10)," "),CHAR(13)," ")),",",""),"%","")),"")))</f>
        <v/>
      </c>
      <c r="EA961">
        <f>IF($DM961=0,"",IFERROR(IF(ISNUMBER($DZ961),$DZ961,IF($DZ961="","",IF(TRIM($DZ961)="",0,IF(AND(AND(SUBSTITUTE(SUBSTITUTE(SUBSTITUTE(SUBSTITUTE(SUBSTITUTE(SUBSTITUTE(SUBSTITUTE(SUBSTITUTE(SUBSTITUTE(SUBSTITUTE(SUBSTITUTE(SUBSTITUTE(SUBSTITUTE(SUBSTITUTE(UPPER(TRIM($DZ961)),"0",""),"1",""),"2",""),"3",""),"4",""),"5",""),"6",""),"7",""),"8",""),"9",""),".",""),"+",""),"-",""),"E","")="",LEN(SUBSTITUTE(SUBSTITUTE(MID(UPPER(TRIM($DZ961)),1+OR(LEFT(UPPER(TRIM($DZ961)),1)="+",LEFT(UPPER(TRIM($DZ961)),1)="-"),999),"E+","E"),"E-","E"))=LEN(SUBSTITUTE(SUBSTITUTE(SUBSTITUTE(SUBSTITUTE(MID(UPPER(TRIM($DZ961)),1+OR(LEFT(UPPER(TRIM($DZ961)),1)="+",LEFT(UPPER(TRIM($DZ961)),1)="-"),999),"E+","E"),"E-","E"),"+",""),"-","")),LEN(UPPER(TRIM($DZ961)))-LEN(SUBSTITUTE(UPPER(TRIM($DZ961)),"E",""))&lt;2,LEN(UPPER(TRIM($DZ961)))-LEN(SUBSTITUTE(UPPER(TRIM($DZ961)),".",""))&lt;2,IFERROR(FIND(".",UPPER(TRIM($DZ961))),0)&lt;IFERROR(FIND("E",UPPER(TRIM($DZ961))),999)),ISNUMBER(VALUE(TRIM($DZ961)))),VALUE(TRIM($DZ961)),"")))),""))</f>
        <v/>
      </c>
      <c r="EB961">
        <f>IF($DM961=0,"",IF($L$18=0,"",IFERROR(IF(UPPER(TRIM(SUBSTITUTE(SUBSTITUTE(SUBSTITUTE(SUBSTITUTE(INDEX(PASTE_ALL,$DF961,$L$18)," "," "),CHAR(9)," "),CHAR(10)," "),CHAR(13)," ")))="READY","Ready",IF(UPPER(TRIM(SUBSTITUTE(SUBSTITUTE(SUBSTITUTE(SUBSTITUTE(INDEX(PASTE_ALL,$DF961,$L$18)," "," "),CHAR(9)," "),CHAR(10)," "),CHAR(13)," ")))="PM","PM",IF(OR(UPPER(TRIM(SUBSTITUTE(SUBSTITUTE(SUBSTITUTE(SUBSTITUTE(INDEX(PASTE_ALL,$DF961,$L$18)," "," "),CHAR(9)," "),CHAR(10)," "),CHAR(13)," ")))="OT",UPPER(TRIM(SUBSTITUTE(SUBSTITUTE(SUBSTITUTE(SUBSTITUTE(INDEX(PASTE_ALL,$DF961,$L$18)," "," "),CHAR(9)," "),CHAR(10)," "),CHAR(13)," ")))="OVERTIME",UPPER(TRIM(SUBSTITUTE(SUBSTITUTE(SUBSTITUTE(SUBSTITUTE(INDEX(PASTE_ALL,$DF961,$L$18)," "," "),CHAR(9)," "),CHAR(10)," "),CHAR(13)," ")))="TRIAL"),"OT",TRIM(SUBSTITUTE(SUBSTITUTE(SUBSTITUTE(SUBSTITUTE(INDEX(PASTE_ALL,$DF961,$L$18)," "," "),CHAR(9)," "),CHAR(10)," "),CHAR(13)," "))))),"")))</f>
        <v/>
      </c>
      <c r="EC961">
        <f>IF($DM961=0,"",IF($L$19=0,"",IFERROR(IF(ISNUMBER(INDEX(PASTE_ALL,$DF961,$L$19)),INDEX(PASTE_ALL,$DF961,$L$19),TRIM(SUBSTITUTE(SUBSTITUTE(SUBSTITUTE(SUBSTITUTE(INDEX(PASTE_ALL,$DF961,$L$19)," "," "),CHAR(9)," "),CHAR(10)," "),CHAR(13)," "))),"")))</f>
        <v/>
      </c>
      <c r="ED961">
        <f>IF($DM961=0,"",MATCH(1,INDEX(EXACT($DH$5:DH961,$DH961)*$DM$5:DM961,0),0))</f>
        <v/>
      </c>
      <c r="EE961">
        <f>IF($DM961=0,0,IF($ED961=$DE961,1,0))</f>
        <v/>
      </c>
      <c r="EF961">
        <f>EF960+$EE961</f>
        <v/>
      </c>
      <c r="EG961">
        <f>IF($DM961=0,"",INDEX($EF$5:$EF$1003,$ED961))</f>
        <v/>
      </c>
      <c r="EH961">
        <f>IF($DM961=0,"",IF($DO961&lt;&gt;"","",IFERROR(LOOKUP(2,1/(($EG$4:EG960=$EG961)*($DO$4:DO960&lt;&gt;"")),$DO$4:DO960),"")))</f>
        <v/>
      </c>
      <c r="EI961">
        <f>IF($DM961=0,"",IF($DO961&lt;&gt;"",$DO961,$EH961))</f>
        <v/>
      </c>
      <c r="EJ961">
        <f>IF($DM961=0,"",IF($EI961="",0,IF(OR(ISNUMBER($EI961),AND(AND(SUBSTITUTE(SUBSTITUTE(SUBSTITUTE(SUBSTITUTE(SUBSTITUTE(SUBSTITUTE(SUBSTITUTE(SUBSTITUTE(SUBSTITUTE(SUBSTITUTE(SUBSTITUTE(SUBSTITUTE(SUBSTITUTE(SUBSTITUTE(UPPER($EI961),"0",""),"1",""),"2",""),"3",""),"4",""),"5",""),"6",""),"7",""),"8",""),"9",""),".",""),"+",""),"-",""),"E","")="",LEN(SUBSTITUTE(SUBSTITUTE(MID(UPPER($EI961),1+OR(LEFT(UPPER($EI961),1)="+",LEFT(UPPER($EI961),1)="-"),999),"E+","E"),"E-","E"))=LEN(SUBSTITUTE(SUBSTITUTE(SUBSTITUTE(SUBSTITUTE(MID(UPPER($EI961),1+OR(LEFT(UPPER($EI961),1)="+",LEFT(UPPER($EI961),1)="-"),999),"E+","E"),"E-","E"),"+",""),"-","")),LEN(UPPER($EI961))-LEN(SUBSTITUTE(UPPER($EI961),"E",""))&lt;2,LEN(UPPER($EI961))-LEN(SUBSTITUTE(UPPER($EI961),".",""))&lt;2,IFERROR(FIND(".",UPPER($EI961)),0)&lt;IFERROR(FIND("E",UPPER($EI961)),999)),ISNUMBER(VALUE($EI961)))),1,2)))</f>
        <v/>
      </c>
      <c r="EK961">
        <f>IF($DM961=0,"",IF($EJ961=1,IF(ISNUMBER($EI961),$EI961,VALUE($EI961)),IF($EJ961=2,$DE961,0)))</f>
        <v/>
      </c>
      <c r="EL961">
        <f>IF($DM961=0,"",COUNTIF($EG$5:$EG$1003,"&lt;"&amp;$EG961)+SUMPRODUCT(($EG$5:$EG$1003=$EG961)*(($EJ$5:$EJ$1003&lt;$EJ961)+($EJ$5:$EJ$1003=$EJ961)*(($EK$5:$EK$1003&lt;$EK961)+($EK$5:$EK$1003=$EK961)*($DE$5:$DE$1003&lt;$DE961))))+1)</f>
        <v/>
      </c>
      <c r="EM961">
        <f>IF($DM961=0,"",$EL961+$EG961-1)</f>
        <v/>
      </c>
      <c r="EN961">
        <f>IF($DM961=0,0,IFERROR(MATCH(1,INDEX(--(TRIM(SUBSTITUTE(SUBSTITUTE(SUBSTITUTE(SUBSTITUTE(LINES_NAME&amp;""," "," "),CHAR(9)," "),CHAR(10)," "),CHAR(13)," "))=$DH961),0),0),0))</f>
        <v/>
      </c>
      <c r="EO961">
        <f>IF($EN961=0,0,IF(OR(UPPER(TRIM(INDEX(LINES_SCHEDULED,$EN961)&amp;""))="YES",UPPER(TRIM(INDEX(LINES_SCHEDULED,$EN961)&amp;""))="Y",UPPER(TRIM(INDEX(LINES_SCHEDULED,$EN961)&amp;""))="X"),1,0))</f>
        <v/>
      </c>
      <c r="EP961">
        <f>IF($DM961=0,"",IF(COUNTIFS($EG$5:$EG$1003,$EG961,$EB$5:$EB$1003,"Ready")&gt;0,"READY",IF(COUNTIFS($EG$5:$EG$1003,$EG961,$EB$5:$EB$1003,"PM")&gt;0,"PM",IF(COUNTIFS($EG$5:$EG$1003,$EG961,$EB$5:$EB$1003,"OT")&gt;0,"OT",""))))</f>
        <v/>
      </c>
      <c r="EQ961">
        <f>IF($EN961=0,"",UPPER(TRIM(INDEX(LINES_STATUS,$EN961)&amp;"")))</f>
        <v/>
      </c>
      <c r="ER961">
        <f>IF($DM961=0,"",IF(OR($EQ961="READY",$EQ961="PM",$EQ961="OT"),$EQ961,$EP961))</f>
        <v/>
      </c>
      <c r="ES961">
        <f>IF($DM961=0,"",IF(AND($DV961&lt;&gt;"",UPPER($DV961)&lt;&gt;"N"),"allergen",IF(ISNUMBER(SEARCH("oil",$DQ961)),"oil",IF(OR(EXACT($DS961,"A662"),EXACT($DS961,"A624")),"bulk",""))))</f>
        <v/>
      </c>
      <c r="ET961">
        <f>IF($DM961=0,"",IF(OR($EA961="",$EA961=0),"",$EA961/100))</f>
        <v/>
      </c>
      <c r="EU961">
        <f>IF(OR($ET961="",$DY961=""),"",INT($DY961*(1-$ET961)+0.5))</f>
        <v/>
      </c>
    </row>
    <row r="962">
      <c r="DA962" t="n">
        <v>958</v>
      </c>
      <c r="DB962">
        <f>IF($B$37=0,"",IFERROR(TRIM(SUBSTITUTE(SUBSTITUTE(SUBSTITUTE(SUBSTITUTE(INDEX(PASTE_ALL,958,$B$37)," "," "),CHAR(9)," "),CHAR(10)," "),CHAR(13)," ")),""))</f>
        <v/>
      </c>
      <c r="DC962">
        <f>IF(AND(958&gt;HEADER_ROW,UPPER(DB962)="LEGEND"),1,0)</f>
        <v/>
      </c>
      <c r="DE962" t="n">
        <v>958</v>
      </c>
      <c r="DF962">
        <f>HEADER_ROW+$DE962</f>
        <v/>
      </c>
      <c r="DG962">
        <f>IF(AND($DF962&lt;=1000,$DF962&lt;$B$8),1,0)</f>
        <v/>
      </c>
      <c r="DH962">
        <f>IF($DG962=1,IFERROR(INDEX($DB$5:$DB$1004,$DF962),""),"")</f>
        <v/>
      </c>
      <c r="DI962">
        <f>IF(AND($DG962=1,$DH962&lt;&gt;""),IFERROR(SUBSTITUTE(SUBSTITUTE(TRIM(SUBSTITUTE(SUBSTITUTE(SUBSTITUTE(SUBSTITUTE(IFERROR(INDEX(PASTE_ALL,$DF962,1)&amp;"","")&amp;"␟"&amp;IFERROR(INDEX(PASTE_ALL,$DF962,2)&amp;"","")&amp;"␟"&amp;IFERROR(INDEX(PASTE_ALL,$DF962,3)&amp;"","")&amp;"␟"&amp;IFERROR(INDEX(PASTE_ALL,$DF962,4)&amp;"","")&amp;"␟"&amp;IFERROR(INDEX(PASTE_ALL,$DF962,5)&amp;"","")&amp;"␟"&amp;IFERROR(INDEX(PASTE_ALL,$DF962,6)&amp;"","")&amp;"␟"&amp;IFERROR(INDEX(PASTE_ALL,$DF962,7)&amp;"","")&amp;"␟"&amp;IFERROR(INDEX(PASTE_ALL,$DF962,8)&amp;"","")&amp;"␟"&amp;IFERROR(INDEX(PASTE_ALL,$DF962,9)&amp;"","")&amp;"␟"&amp;IFERROR(INDEX(PASTE_ALL,$DF962,10)&amp;"","")&amp;"␟"&amp;IFERROR(INDEX(PASTE_ALL,$DF962,11)&amp;"","")&amp;"␟"&amp;IFERROR(INDEX(PASTE_ALL,$DF962,12)&amp;"","")&amp;"␟"&amp;IFERROR(INDEX(PASTE_ALL,$DF962,13)&amp;"","")&amp;"␟"&amp;IFERROR(INDEX(PASTE_ALL,$DF962,14)&amp;"","")&amp;"␟"&amp;IFERROR(INDEX(PASTE_ALL,$DF962,15)&amp;"","")&amp;"␟"&amp;IFERROR(INDEX(PASTE_ALL,$DF962,16)&amp;"","")&amp;"␟"&amp;IFERROR(INDEX(PASTE_ALL,$DF962,17)&amp;"","")&amp;"␟"&amp;IFERROR(INDEX(PASTE_ALL,$DF962,18)&amp;"","")&amp;"␟"&amp;IFERROR(INDEX(PASTE_ALL,$DF962,19)&amp;"","")&amp;"␟"&amp;IFERROR(INDEX(PASTE_ALL,$DF962,20)&amp;"","")&amp;"␟"&amp;IFERROR(INDEX(PASTE_ALL,$DF962,21)&amp;"","")&amp;"␟"&amp;IFERROR(INDEX(PASTE_ALL,$DF962,22)&amp;"","")&amp;"␟"&amp;IFERROR(INDEX(PASTE_ALL,$DF962,23)&amp;"","")&amp;"␟"&amp;IFERROR(INDEX(PASTE_ALL,$DF962,24)&amp;"","")&amp;"␟"&amp;IFERROR(INDEX(PASTE_ALL,$DF962,25)&amp;"","")&amp;"␟"&amp;IFERROR(INDEX(PASTE_ALL,$DF962,26)&amp;"","")&amp;"␟"&amp;IFERROR(INDEX(PASTE_ALL,$DF962,27)&amp;"","")&amp;"␟"&amp;IFERROR(INDEX(PASTE_ALL,$DF962,28)&amp;"","")&amp;"␟"&amp;IFERROR(INDEX(PASTE_ALL,$DF962,29)&amp;"","")&amp;"␟"&amp;IFERROR(INDEX(PASTE_ALL,$DF962,30)&amp;"","")&amp;"␟"&amp;IFERROR(INDEX(PASTE_ALL,$DF962,31)&amp;"","")&amp;"␟"&amp;IFERROR(INDEX(PASTE_ALL,$DF962,32)&amp;"","")&amp;"␟"&amp;IFERROR(INDEX(PASTE_ALL,$DF962,33)&amp;"","")&amp;"␟"&amp;IFERROR(INDEX(PASTE_ALL,$DF962,34)&amp;"","")&amp;"␟"&amp;IFERROR(INDEX(PASTE_ALL,$DF962,35)&amp;"","")&amp;"␟"&amp;IFERROR(INDEX(PASTE_ALL,$DF962,36)&amp;"","")&amp;"␟"&amp;IFERROR(INDEX(PASTE_ALL,$DF962,37)&amp;"","")&amp;"␟"&amp;IFERROR(INDEX(PASTE_ALL,$DF962,38)&amp;"","")&amp;"␟"&amp;IFERROR(INDEX(PASTE_ALL,$DF962,39)&amp;"","")&amp;"␟"&amp;IFERROR(INDEX(PASTE_ALL,$DF962,40)&amp;"","")&amp;"␟"&amp;IFERROR(INDEX(PASTE_ALL,$DF962,41)&amp;"","")&amp;"␟"&amp;IFERROR(INDEX(PASTE_ALL,$DF962,42)&amp;"","")&amp;"␟"&amp;IFERROR(INDEX(PASTE_ALL,$DF962,43)&amp;"","")&amp;"␟"&amp;IFERROR(INDEX(PASTE_ALL,$DF962,44)&amp;"","")&amp;"␟"&amp;IFERROR(INDEX(PASTE_ALL,$DF962,45)&amp;"","")&amp;"␟"&amp;IFERROR(INDEX(PASTE_ALL,$DF962,46)&amp;"","")&amp;"␟"&amp;IFERROR(INDEX(PASTE_ALL,$DF962,47)&amp;"","")&amp;"␟"&amp;IFERROR(INDEX(PASTE_ALL,$DF962,48)&amp;"","")&amp;"␟"&amp;IFERROR(INDEX(PASTE_ALL,$DF962,49)&amp;"","")&amp;"␟"&amp;IFERROR(INDEX(PASTE_ALL,$DF962,50)&amp;"","")&amp;"␟"&amp;IFERROR(INDEX(PASTE_ALL,$DF962,51)&amp;"","")&amp;"␟"&amp;IFERROR(INDEX(PASTE_ALL,$DF962,52)&amp;"","")&amp;"␟"&amp;IFERROR(INDEX(PASTE_ALL,$DF962,53)&amp;"","")&amp;"␟"&amp;IFERROR(INDEX(PASTE_ALL,$DF962,54)&amp;"","")&amp;"␟"&amp;IFERROR(INDEX(PASTE_ALL,$DF962,55)&amp;"","")&amp;"␟"&amp;IFERROR(INDEX(PASTE_ALL,$DF962,56)&amp;"","")&amp;"␟"&amp;IFERROR(INDEX(PASTE_ALL,$DF962,57)&amp;"","")&amp;"␟"&amp;IFERROR(INDEX(PASTE_ALL,$DF962,58)&amp;"","")&amp;"␟"&amp;IFERROR(INDEX(PASTE_ALL,$DF962,59)&amp;"","")&amp;"␟"&amp;IFERROR(INDEX(PASTE_ALL,$DF962,60)&amp;"","")," "," "),CHAR(9)," "),CHAR(10)," "),CHAR(13)," "))," ␟","␟"),"␟ ","␟"),"#"&amp;$DE962),"")</f>
        <v/>
      </c>
      <c r="DJ962">
        <f>IF($DI962="",0,IF(SUMPRODUCT(--EXACT($DI$4:DI961,$DI962))&gt;0,1,0))</f>
        <v/>
      </c>
      <c r="DK962">
        <f>IF(AND($DI962&lt;&gt;"",$DJ962=0),1,0)</f>
        <v/>
      </c>
      <c r="DL962">
        <f>DL961+$DK962</f>
        <v/>
      </c>
      <c r="DM962">
        <f>IF(AND($DK962=1,$DL962&lt;=600),1,0)</f>
        <v/>
      </c>
      <c r="DN962">
        <f>IF($DM962=0,"",IF($L$6=0,"",IFERROR(IF(ISNUMBER(INDEX(PASTE_ALL,$DF962,$L$6)),INDEX(PASTE_ALL,$DF962,$L$6),TRIM(SUBSTITUTE(SUBSTITUTE(SUBSTITUTE(SUBSTITUTE(INDEX(PASTE_ALL,$DF962,$L$6)," "," "),CHAR(9)," "),CHAR(10)," "),CHAR(13)," "))),"")))</f>
        <v/>
      </c>
      <c r="DO962">
        <f>IF($DM962=0,"",IF($L$7=0,"",IFERROR(IF(ISNUMBER(INDEX(PASTE_ALL,$DF962,$L$7)),INDEX(PASTE_ALL,$DF962,$L$7),TRIM(SUBSTITUTE(SUBSTITUTE(SUBSTITUTE(SUBSTITUTE(INDEX(PASTE_ALL,$DF962,$L$7)," "," "),CHAR(9)," "),CHAR(10)," "),CHAR(13)," "))),"")))</f>
        <v/>
      </c>
      <c r="DP962">
        <f>IF($DM962=0,"",IF($L$8=0,"",IFERROR(IF(ISNUMBER(INDEX(PASTE_ALL,$DF962,$L$8)),INDEX(PASTE_ALL,$DF962,$L$8),TRIM(SUBSTITUTE(SUBSTITUTE(SUBSTITUTE(SUBSTITUTE(INDEX(PASTE_ALL,$DF962,$L$8)," "," "),CHAR(9)," "),CHAR(10)," "),CHAR(13)," "))),"")))</f>
        <v/>
      </c>
      <c r="DQ962">
        <f>IF($DM962=0,"",IF($L$9=0,"",IFERROR(IF(ISNUMBER(INDEX(PASTE_ALL,$DF962,$L$9)),INDEX(PASTE_ALL,$DF962,$L$9),TRIM(SUBSTITUTE(SUBSTITUTE(SUBSTITUTE(SUBSTITUTE(INDEX(PASTE_ALL,$DF962,$L$9)," "," "),CHAR(9)," "),CHAR(10)," "),CHAR(13)," "))),"")))</f>
        <v/>
      </c>
      <c r="DR962">
        <f>IF($DM962=0,"",IF($L$10=0,"",IFERROR(IF(ISNUMBER(INDEX(PASTE_ALL,$DF962,$L$10)),INDEX(PASTE_ALL,$DF962,$L$10),TRIM(SUBSTITUTE(SUBSTITUTE(SUBSTITUTE(SUBSTITUTE(INDEX(PASTE_ALL,$DF962,$L$10)," "," "),CHAR(9)," "),CHAR(10)," "),CHAR(13)," "))),"")))</f>
        <v/>
      </c>
      <c r="DS962">
        <f>IF($DM962=0,"",IF($L$11=0,"",IFERROR(IF(ISNUMBER(INDEX(PASTE_ALL,$DF962,$L$11)),INDEX(PASTE_ALL,$DF962,$L$11),TRIM(SUBSTITUTE(SUBSTITUTE(SUBSTITUTE(SUBSTITUTE(INDEX(PASTE_ALL,$DF962,$L$11)," "," "),CHAR(9)," "),CHAR(10)," "),CHAR(13)," "))),"")))</f>
        <v/>
      </c>
      <c r="DT962">
        <f>IF($DM962=0,"",IF($L$12=0,"",IFERROR(IF(ISNUMBER(INDEX(PASTE_ALL,$DF962,$L$12)),INDEX(PASTE_ALL,$DF962,$L$12),TRIM(SUBSTITUTE(SUBSTITUTE(SUBSTITUTE(SUBSTITUTE(INDEX(PASTE_ALL,$DF962,$L$12)," "," "),CHAR(9)," "),CHAR(10)," "),CHAR(13)," "))),"")))</f>
        <v/>
      </c>
      <c r="DU962">
        <f>IF($DM962=0,"",IF($L$13=0,"",IFERROR(IF(ISNUMBER(INDEX(PASTE_ALL,$DF962,$L$13)),INDEX(PASTE_ALL,$DF962,$L$13),TRIM(SUBSTITUTE(SUBSTITUTE(SUBSTITUTE(SUBSTITUTE(INDEX(PASTE_ALL,$DF962,$L$13)," "," "),CHAR(9)," "),CHAR(10)," "),CHAR(13)," "))),"")))</f>
        <v/>
      </c>
      <c r="DV962">
        <f>IF($DM962=0,"",IF($L$14=0,"",IFERROR(IF(ISNUMBER(INDEX(PASTE_ALL,$DF962,$L$14)),INDEX(PASTE_ALL,$DF962,$L$14),TRIM(SUBSTITUTE(SUBSTITUTE(SUBSTITUTE(SUBSTITUTE(INDEX(PASTE_ALL,$DF962,$L$14)," "," "),CHAR(9)," "),CHAR(10)," "),CHAR(13)," "))),"")))</f>
        <v/>
      </c>
      <c r="DW962">
        <f>IF($DM962=0,"",IF($L$15=0,"",IFERROR(IF(ISNUMBER(INDEX(PASTE_ALL,$DF962,$L$15)),INDEX(PASTE_ALL,$DF962,$L$15),IF(SUMPRODUCT(--ISNUMBER(FIND({"A","B","C","D","E","F","G","H","I","J","K","L","M","N","O","P","Q","R","S","T","U","V","W","X","Y","Z","0","1","2","3","4","5","6","7","8","9"},UPPER(TRIM(SUBSTITUTE(SUBSTITUTE(SUBSTITUTE(SUBSTITUTE(INDEX(PASTE_ALL,$DF962,$L$15)," "," "),CHAR(9)," "),CHAR(10)," "),CHAR(13)," "))))))&gt;0,TRIM(SUBSTITUTE(SUBSTITUTE(SUBSTITUTE(SUBSTITUTE(INDEX(PASTE_ALL,$DF962,$L$15)," "," "),CHAR(9)," "),CHAR(10)," "),CHAR(13)," ")),"")),"")))</f>
        <v/>
      </c>
      <c r="DX962">
        <f>IF($DM962=0,"",IF($L$16=0,"",IFERROR(IF(ISNUMBER(INDEX(PASTE_ALL,$DF962,$L$16)),INDEX(PASTE_ALL,$DF962,$L$16),SUBSTITUTE(SUBSTITUTE(TRIM(SUBSTITUTE(SUBSTITUTE(SUBSTITUTE(SUBSTITUTE(INDEX(PASTE_ALL,$DF962,$L$16)," "," "),CHAR(9)," "),CHAR(10)," "),CHAR(13)," ")),",",""),"%","")),"")))</f>
        <v/>
      </c>
      <c r="DY962">
        <f>IF($DM962=0,"",IFERROR(IF(ISNUMBER($DX962),$DX962,IF($DX962="","",IF(TRIM($DX962)="",0,IF(AND(AND(SUBSTITUTE(SUBSTITUTE(SUBSTITUTE(SUBSTITUTE(SUBSTITUTE(SUBSTITUTE(SUBSTITUTE(SUBSTITUTE(SUBSTITUTE(SUBSTITUTE(SUBSTITUTE(SUBSTITUTE(SUBSTITUTE(SUBSTITUTE(UPPER(TRIM($DX962)),"0",""),"1",""),"2",""),"3",""),"4",""),"5",""),"6",""),"7",""),"8",""),"9",""),".",""),"+",""),"-",""),"E","")="",LEN(SUBSTITUTE(SUBSTITUTE(MID(UPPER(TRIM($DX962)),1+OR(LEFT(UPPER(TRIM($DX962)),1)="+",LEFT(UPPER(TRIM($DX962)),1)="-"),999),"E+","E"),"E-","E"))=LEN(SUBSTITUTE(SUBSTITUTE(SUBSTITUTE(SUBSTITUTE(MID(UPPER(TRIM($DX962)),1+OR(LEFT(UPPER(TRIM($DX962)),1)="+",LEFT(UPPER(TRIM($DX962)),1)="-"),999),"E+","E"),"E-","E"),"+",""),"-","")),LEN(UPPER(TRIM($DX962)))-LEN(SUBSTITUTE(UPPER(TRIM($DX962)),"E",""))&lt;2,LEN(UPPER(TRIM($DX962)))-LEN(SUBSTITUTE(UPPER(TRIM($DX962)),".",""))&lt;2,IFERROR(FIND(".",UPPER(TRIM($DX962))),0)&lt;IFERROR(FIND("E",UPPER(TRIM($DX962))),999)),ISNUMBER(VALUE(TRIM($DX962)))),VALUE(TRIM($DX962)),"")))),""))</f>
        <v/>
      </c>
      <c r="DZ962">
        <f>IF($DM962=0,"",IF($L$17=0,"",IFERROR(IF(ISNUMBER(INDEX(PASTE_ALL,$DF962,$L$17)),INDEX(PASTE_ALL,$DF962,$L$17),SUBSTITUTE(SUBSTITUTE(TRIM(SUBSTITUTE(SUBSTITUTE(SUBSTITUTE(SUBSTITUTE(INDEX(PASTE_ALL,$DF962,$L$17)," "," "),CHAR(9)," "),CHAR(10)," "),CHAR(13)," ")),",",""),"%","")),"")))</f>
        <v/>
      </c>
      <c r="EA962">
        <f>IF($DM962=0,"",IFERROR(IF(ISNUMBER($DZ962),$DZ962,IF($DZ962="","",IF(TRIM($DZ962)="",0,IF(AND(AND(SUBSTITUTE(SUBSTITUTE(SUBSTITUTE(SUBSTITUTE(SUBSTITUTE(SUBSTITUTE(SUBSTITUTE(SUBSTITUTE(SUBSTITUTE(SUBSTITUTE(SUBSTITUTE(SUBSTITUTE(SUBSTITUTE(SUBSTITUTE(UPPER(TRIM($DZ962)),"0",""),"1",""),"2",""),"3",""),"4",""),"5",""),"6",""),"7",""),"8",""),"9",""),".",""),"+",""),"-",""),"E","")="",LEN(SUBSTITUTE(SUBSTITUTE(MID(UPPER(TRIM($DZ962)),1+OR(LEFT(UPPER(TRIM($DZ962)),1)="+",LEFT(UPPER(TRIM($DZ962)),1)="-"),999),"E+","E"),"E-","E"))=LEN(SUBSTITUTE(SUBSTITUTE(SUBSTITUTE(SUBSTITUTE(MID(UPPER(TRIM($DZ962)),1+OR(LEFT(UPPER(TRIM($DZ962)),1)="+",LEFT(UPPER(TRIM($DZ962)),1)="-"),999),"E+","E"),"E-","E"),"+",""),"-","")),LEN(UPPER(TRIM($DZ962)))-LEN(SUBSTITUTE(UPPER(TRIM($DZ962)),"E",""))&lt;2,LEN(UPPER(TRIM($DZ962)))-LEN(SUBSTITUTE(UPPER(TRIM($DZ962)),".",""))&lt;2,IFERROR(FIND(".",UPPER(TRIM($DZ962))),0)&lt;IFERROR(FIND("E",UPPER(TRIM($DZ962))),999)),ISNUMBER(VALUE(TRIM($DZ962)))),VALUE(TRIM($DZ962)),"")))),""))</f>
        <v/>
      </c>
      <c r="EB962">
        <f>IF($DM962=0,"",IF($L$18=0,"",IFERROR(IF(UPPER(TRIM(SUBSTITUTE(SUBSTITUTE(SUBSTITUTE(SUBSTITUTE(INDEX(PASTE_ALL,$DF962,$L$18)," "," "),CHAR(9)," "),CHAR(10)," "),CHAR(13)," ")))="READY","Ready",IF(UPPER(TRIM(SUBSTITUTE(SUBSTITUTE(SUBSTITUTE(SUBSTITUTE(INDEX(PASTE_ALL,$DF962,$L$18)," "," "),CHAR(9)," "),CHAR(10)," "),CHAR(13)," ")))="PM","PM",IF(OR(UPPER(TRIM(SUBSTITUTE(SUBSTITUTE(SUBSTITUTE(SUBSTITUTE(INDEX(PASTE_ALL,$DF962,$L$18)," "," "),CHAR(9)," "),CHAR(10)," "),CHAR(13)," ")))="OT",UPPER(TRIM(SUBSTITUTE(SUBSTITUTE(SUBSTITUTE(SUBSTITUTE(INDEX(PASTE_ALL,$DF962,$L$18)," "," "),CHAR(9)," "),CHAR(10)," "),CHAR(13)," ")))="OVERTIME",UPPER(TRIM(SUBSTITUTE(SUBSTITUTE(SUBSTITUTE(SUBSTITUTE(INDEX(PASTE_ALL,$DF962,$L$18)," "," "),CHAR(9)," "),CHAR(10)," "),CHAR(13)," ")))="TRIAL"),"OT",TRIM(SUBSTITUTE(SUBSTITUTE(SUBSTITUTE(SUBSTITUTE(INDEX(PASTE_ALL,$DF962,$L$18)," "," "),CHAR(9)," "),CHAR(10)," "),CHAR(13)," "))))),"")))</f>
        <v/>
      </c>
      <c r="EC962">
        <f>IF($DM962=0,"",IF($L$19=0,"",IFERROR(IF(ISNUMBER(INDEX(PASTE_ALL,$DF962,$L$19)),INDEX(PASTE_ALL,$DF962,$L$19),TRIM(SUBSTITUTE(SUBSTITUTE(SUBSTITUTE(SUBSTITUTE(INDEX(PASTE_ALL,$DF962,$L$19)," "," "),CHAR(9)," "),CHAR(10)," "),CHAR(13)," "))),"")))</f>
        <v/>
      </c>
      <c r="ED962">
        <f>IF($DM962=0,"",MATCH(1,INDEX(EXACT($DH$5:DH962,$DH962)*$DM$5:DM962,0),0))</f>
        <v/>
      </c>
      <c r="EE962">
        <f>IF($DM962=0,0,IF($ED962=$DE962,1,0))</f>
        <v/>
      </c>
      <c r="EF962">
        <f>EF961+$EE962</f>
        <v/>
      </c>
      <c r="EG962">
        <f>IF($DM962=0,"",INDEX($EF$5:$EF$1003,$ED962))</f>
        <v/>
      </c>
      <c r="EH962">
        <f>IF($DM962=0,"",IF($DO962&lt;&gt;"","",IFERROR(LOOKUP(2,1/(($EG$4:EG961=$EG962)*($DO$4:DO961&lt;&gt;"")),$DO$4:DO961),"")))</f>
        <v/>
      </c>
      <c r="EI962">
        <f>IF($DM962=0,"",IF($DO962&lt;&gt;"",$DO962,$EH962))</f>
        <v/>
      </c>
      <c r="EJ962">
        <f>IF($DM962=0,"",IF($EI962="",0,IF(OR(ISNUMBER($EI962),AND(AND(SUBSTITUTE(SUBSTITUTE(SUBSTITUTE(SUBSTITUTE(SUBSTITUTE(SUBSTITUTE(SUBSTITUTE(SUBSTITUTE(SUBSTITUTE(SUBSTITUTE(SUBSTITUTE(SUBSTITUTE(SUBSTITUTE(SUBSTITUTE(UPPER($EI962),"0",""),"1",""),"2",""),"3",""),"4",""),"5",""),"6",""),"7",""),"8",""),"9",""),".",""),"+",""),"-",""),"E","")="",LEN(SUBSTITUTE(SUBSTITUTE(MID(UPPER($EI962),1+OR(LEFT(UPPER($EI962),1)="+",LEFT(UPPER($EI962),1)="-"),999),"E+","E"),"E-","E"))=LEN(SUBSTITUTE(SUBSTITUTE(SUBSTITUTE(SUBSTITUTE(MID(UPPER($EI962),1+OR(LEFT(UPPER($EI962),1)="+",LEFT(UPPER($EI962),1)="-"),999),"E+","E"),"E-","E"),"+",""),"-","")),LEN(UPPER($EI962))-LEN(SUBSTITUTE(UPPER($EI962),"E",""))&lt;2,LEN(UPPER($EI962))-LEN(SUBSTITUTE(UPPER($EI962),".",""))&lt;2,IFERROR(FIND(".",UPPER($EI962)),0)&lt;IFERROR(FIND("E",UPPER($EI962)),999)),ISNUMBER(VALUE($EI962)))),1,2)))</f>
        <v/>
      </c>
      <c r="EK962">
        <f>IF($DM962=0,"",IF($EJ962=1,IF(ISNUMBER($EI962),$EI962,VALUE($EI962)),IF($EJ962=2,$DE962,0)))</f>
        <v/>
      </c>
      <c r="EL962">
        <f>IF($DM962=0,"",COUNTIF($EG$5:$EG$1003,"&lt;"&amp;$EG962)+SUMPRODUCT(($EG$5:$EG$1003=$EG962)*(($EJ$5:$EJ$1003&lt;$EJ962)+($EJ$5:$EJ$1003=$EJ962)*(($EK$5:$EK$1003&lt;$EK962)+($EK$5:$EK$1003=$EK962)*($DE$5:$DE$1003&lt;$DE962))))+1)</f>
        <v/>
      </c>
      <c r="EM962">
        <f>IF($DM962=0,"",$EL962+$EG962-1)</f>
        <v/>
      </c>
      <c r="EN962">
        <f>IF($DM962=0,0,IFERROR(MATCH(1,INDEX(--(TRIM(SUBSTITUTE(SUBSTITUTE(SUBSTITUTE(SUBSTITUTE(LINES_NAME&amp;""," "," "),CHAR(9)," "),CHAR(10)," "),CHAR(13)," "))=$DH962),0),0),0))</f>
        <v/>
      </c>
      <c r="EO962">
        <f>IF($EN962=0,0,IF(OR(UPPER(TRIM(INDEX(LINES_SCHEDULED,$EN962)&amp;""))="YES",UPPER(TRIM(INDEX(LINES_SCHEDULED,$EN962)&amp;""))="Y",UPPER(TRIM(INDEX(LINES_SCHEDULED,$EN962)&amp;""))="X"),1,0))</f>
        <v/>
      </c>
      <c r="EP962">
        <f>IF($DM962=0,"",IF(COUNTIFS($EG$5:$EG$1003,$EG962,$EB$5:$EB$1003,"Ready")&gt;0,"READY",IF(COUNTIFS($EG$5:$EG$1003,$EG962,$EB$5:$EB$1003,"PM")&gt;0,"PM",IF(COUNTIFS($EG$5:$EG$1003,$EG962,$EB$5:$EB$1003,"OT")&gt;0,"OT",""))))</f>
        <v/>
      </c>
      <c r="EQ962">
        <f>IF($EN962=0,"",UPPER(TRIM(INDEX(LINES_STATUS,$EN962)&amp;"")))</f>
        <v/>
      </c>
      <c r="ER962">
        <f>IF($DM962=0,"",IF(OR($EQ962="READY",$EQ962="PM",$EQ962="OT"),$EQ962,$EP962))</f>
        <v/>
      </c>
      <c r="ES962">
        <f>IF($DM962=0,"",IF(AND($DV962&lt;&gt;"",UPPER($DV962)&lt;&gt;"N"),"allergen",IF(ISNUMBER(SEARCH("oil",$DQ962)),"oil",IF(OR(EXACT($DS962,"A662"),EXACT($DS962,"A624")),"bulk",""))))</f>
        <v/>
      </c>
      <c r="ET962">
        <f>IF($DM962=0,"",IF(OR($EA962="",$EA962=0),"",$EA962/100))</f>
        <v/>
      </c>
      <c r="EU962">
        <f>IF(OR($ET962="",$DY962=""),"",INT($DY962*(1-$ET962)+0.5))</f>
        <v/>
      </c>
    </row>
    <row r="963">
      <c r="DA963" t="n">
        <v>959</v>
      </c>
      <c r="DB963">
        <f>IF($B$37=0,"",IFERROR(TRIM(SUBSTITUTE(SUBSTITUTE(SUBSTITUTE(SUBSTITUTE(INDEX(PASTE_ALL,959,$B$37)," "," "),CHAR(9)," "),CHAR(10)," "),CHAR(13)," ")),""))</f>
        <v/>
      </c>
      <c r="DC963">
        <f>IF(AND(959&gt;HEADER_ROW,UPPER(DB963)="LEGEND"),1,0)</f>
        <v/>
      </c>
      <c r="DE963" t="n">
        <v>959</v>
      </c>
      <c r="DF963">
        <f>HEADER_ROW+$DE963</f>
        <v/>
      </c>
      <c r="DG963">
        <f>IF(AND($DF963&lt;=1000,$DF963&lt;$B$8),1,0)</f>
        <v/>
      </c>
      <c r="DH963">
        <f>IF($DG963=1,IFERROR(INDEX($DB$5:$DB$1004,$DF963),""),"")</f>
        <v/>
      </c>
      <c r="DI963">
        <f>IF(AND($DG963=1,$DH963&lt;&gt;""),IFERROR(SUBSTITUTE(SUBSTITUTE(TRIM(SUBSTITUTE(SUBSTITUTE(SUBSTITUTE(SUBSTITUTE(IFERROR(INDEX(PASTE_ALL,$DF963,1)&amp;"","")&amp;"␟"&amp;IFERROR(INDEX(PASTE_ALL,$DF963,2)&amp;"","")&amp;"␟"&amp;IFERROR(INDEX(PASTE_ALL,$DF963,3)&amp;"","")&amp;"␟"&amp;IFERROR(INDEX(PASTE_ALL,$DF963,4)&amp;"","")&amp;"␟"&amp;IFERROR(INDEX(PASTE_ALL,$DF963,5)&amp;"","")&amp;"␟"&amp;IFERROR(INDEX(PASTE_ALL,$DF963,6)&amp;"","")&amp;"␟"&amp;IFERROR(INDEX(PASTE_ALL,$DF963,7)&amp;"","")&amp;"␟"&amp;IFERROR(INDEX(PASTE_ALL,$DF963,8)&amp;"","")&amp;"␟"&amp;IFERROR(INDEX(PASTE_ALL,$DF963,9)&amp;"","")&amp;"␟"&amp;IFERROR(INDEX(PASTE_ALL,$DF963,10)&amp;"","")&amp;"␟"&amp;IFERROR(INDEX(PASTE_ALL,$DF963,11)&amp;"","")&amp;"␟"&amp;IFERROR(INDEX(PASTE_ALL,$DF963,12)&amp;"","")&amp;"␟"&amp;IFERROR(INDEX(PASTE_ALL,$DF963,13)&amp;"","")&amp;"␟"&amp;IFERROR(INDEX(PASTE_ALL,$DF963,14)&amp;"","")&amp;"␟"&amp;IFERROR(INDEX(PASTE_ALL,$DF963,15)&amp;"","")&amp;"␟"&amp;IFERROR(INDEX(PASTE_ALL,$DF963,16)&amp;"","")&amp;"␟"&amp;IFERROR(INDEX(PASTE_ALL,$DF963,17)&amp;"","")&amp;"␟"&amp;IFERROR(INDEX(PASTE_ALL,$DF963,18)&amp;"","")&amp;"␟"&amp;IFERROR(INDEX(PASTE_ALL,$DF963,19)&amp;"","")&amp;"␟"&amp;IFERROR(INDEX(PASTE_ALL,$DF963,20)&amp;"","")&amp;"␟"&amp;IFERROR(INDEX(PASTE_ALL,$DF963,21)&amp;"","")&amp;"␟"&amp;IFERROR(INDEX(PASTE_ALL,$DF963,22)&amp;"","")&amp;"␟"&amp;IFERROR(INDEX(PASTE_ALL,$DF963,23)&amp;"","")&amp;"␟"&amp;IFERROR(INDEX(PASTE_ALL,$DF963,24)&amp;"","")&amp;"␟"&amp;IFERROR(INDEX(PASTE_ALL,$DF963,25)&amp;"","")&amp;"␟"&amp;IFERROR(INDEX(PASTE_ALL,$DF963,26)&amp;"","")&amp;"␟"&amp;IFERROR(INDEX(PASTE_ALL,$DF963,27)&amp;"","")&amp;"␟"&amp;IFERROR(INDEX(PASTE_ALL,$DF963,28)&amp;"","")&amp;"␟"&amp;IFERROR(INDEX(PASTE_ALL,$DF963,29)&amp;"","")&amp;"␟"&amp;IFERROR(INDEX(PASTE_ALL,$DF963,30)&amp;"","")&amp;"␟"&amp;IFERROR(INDEX(PASTE_ALL,$DF963,31)&amp;"","")&amp;"␟"&amp;IFERROR(INDEX(PASTE_ALL,$DF963,32)&amp;"","")&amp;"␟"&amp;IFERROR(INDEX(PASTE_ALL,$DF963,33)&amp;"","")&amp;"␟"&amp;IFERROR(INDEX(PASTE_ALL,$DF963,34)&amp;"","")&amp;"␟"&amp;IFERROR(INDEX(PASTE_ALL,$DF963,35)&amp;"","")&amp;"␟"&amp;IFERROR(INDEX(PASTE_ALL,$DF963,36)&amp;"","")&amp;"␟"&amp;IFERROR(INDEX(PASTE_ALL,$DF963,37)&amp;"","")&amp;"␟"&amp;IFERROR(INDEX(PASTE_ALL,$DF963,38)&amp;"","")&amp;"␟"&amp;IFERROR(INDEX(PASTE_ALL,$DF963,39)&amp;"","")&amp;"␟"&amp;IFERROR(INDEX(PASTE_ALL,$DF963,40)&amp;"","")&amp;"␟"&amp;IFERROR(INDEX(PASTE_ALL,$DF963,41)&amp;"","")&amp;"␟"&amp;IFERROR(INDEX(PASTE_ALL,$DF963,42)&amp;"","")&amp;"␟"&amp;IFERROR(INDEX(PASTE_ALL,$DF963,43)&amp;"","")&amp;"␟"&amp;IFERROR(INDEX(PASTE_ALL,$DF963,44)&amp;"","")&amp;"␟"&amp;IFERROR(INDEX(PASTE_ALL,$DF963,45)&amp;"","")&amp;"␟"&amp;IFERROR(INDEX(PASTE_ALL,$DF963,46)&amp;"","")&amp;"␟"&amp;IFERROR(INDEX(PASTE_ALL,$DF963,47)&amp;"","")&amp;"␟"&amp;IFERROR(INDEX(PASTE_ALL,$DF963,48)&amp;"","")&amp;"␟"&amp;IFERROR(INDEX(PASTE_ALL,$DF963,49)&amp;"","")&amp;"␟"&amp;IFERROR(INDEX(PASTE_ALL,$DF963,50)&amp;"","")&amp;"␟"&amp;IFERROR(INDEX(PASTE_ALL,$DF963,51)&amp;"","")&amp;"␟"&amp;IFERROR(INDEX(PASTE_ALL,$DF963,52)&amp;"","")&amp;"␟"&amp;IFERROR(INDEX(PASTE_ALL,$DF963,53)&amp;"","")&amp;"␟"&amp;IFERROR(INDEX(PASTE_ALL,$DF963,54)&amp;"","")&amp;"␟"&amp;IFERROR(INDEX(PASTE_ALL,$DF963,55)&amp;"","")&amp;"␟"&amp;IFERROR(INDEX(PASTE_ALL,$DF963,56)&amp;"","")&amp;"␟"&amp;IFERROR(INDEX(PASTE_ALL,$DF963,57)&amp;"","")&amp;"␟"&amp;IFERROR(INDEX(PASTE_ALL,$DF963,58)&amp;"","")&amp;"␟"&amp;IFERROR(INDEX(PASTE_ALL,$DF963,59)&amp;"","")&amp;"␟"&amp;IFERROR(INDEX(PASTE_ALL,$DF963,60)&amp;"","")," "," "),CHAR(9)," "),CHAR(10)," "),CHAR(13)," "))," ␟","␟"),"␟ ","␟"),"#"&amp;$DE963),"")</f>
        <v/>
      </c>
      <c r="DJ963">
        <f>IF($DI963="",0,IF(SUMPRODUCT(--EXACT($DI$4:DI962,$DI963))&gt;0,1,0))</f>
        <v/>
      </c>
      <c r="DK963">
        <f>IF(AND($DI963&lt;&gt;"",$DJ963=0),1,0)</f>
        <v/>
      </c>
      <c r="DL963">
        <f>DL962+$DK963</f>
        <v/>
      </c>
      <c r="DM963">
        <f>IF(AND($DK963=1,$DL963&lt;=600),1,0)</f>
        <v/>
      </c>
      <c r="DN963">
        <f>IF($DM963=0,"",IF($L$6=0,"",IFERROR(IF(ISNUMBER(INDEX(PASTE_ALL,$DF963,$L$6)),INDEX(PASTE_ALL,$DF963,$L$6),TRIM(SUBSTITUTE(SUBSTITUTE(SUBSTITUTE(SUBSTITUTE(INDEX(PASTE_ALL,$DF963,$L$6)," "," "),CHAR(9)," "),CHAR(10)," "),CHAR(13)," "))),"")))</f>
        <v/>
      </c>
      <c r="DO963">
        <f>IF($DM963=0,"",IF($L$7=0,"",IFERROR(IF(ISNUMBER(INDEX(PASTE_ALL,$DF963,$L$7)),INDEX(PASTE_ALL,$DF963,$L$7),TRIM(SUBSTITUTE(SUBSTITUTE(SUBSTITUTE(SUBSTITUTE(INDEX(PASTE_ALL,$DF963,$L$7)," "," "),CHAR(9)," "),CHAR(10)," "),CHAR(13)," "))),"")))</f>
        <v/>
      </c>
      <c r="DP963">
        <f>IF($DM963=0,"",IF($L$8=0,"",IFERROR(IF(ISNUMBER(INDEX(PASTE_ALL,$DF963,$L$8)),INDEX(PASTE_ALL,$DF963,$L$8),TRIM(SUBSTITUTE(SUBSTITUTE(SUBSTITUTE(SUBSTITUTE(INDEX(PASTE_ALL,$DF963,$L$8)," "," "),CHAR(9)," "),CHAR(10)," "),CHAR(13)," "))),"")))</f>
        <v/>
      </c>
      <c r="DQ963">
        <f>IF($DM963=0,"",IF($L$9=0,"",IFERROR(IF(ISNUMBER(INDEX(PASTE_ALL,$DF963,$L$9)),INDEX(PASTE_ALL,$DF963,$L$9),TRIM(SUBSTITUTE(SUBSTITUTE(SUBSTITUTE(SUBSTITUTE(INDEX(PASTE_ALL,$DF963,$L$9)," "," "),CHAR(9)," "),CHAR(10)," "),CHAR(13)," "))),"")))</f>
        <v/>
      </c>
      <c r="DR963">
        <f>IF($DM963=0,"",IF($L$10=0,"",IFERROR(IF(ISNUMBER(INDEX(PASTE_ALL,$DF963,$L$10)),INDEX(PASTE_ALL,$DF963,$L$10),TRIM(SUBSTITUTE(SUBSTITUTE(SUBSTITUTE(SUBSTITUTE(INDEX(PASTE_ALL,$DF963,$L$10)," "," "),CHAR(9)," "),CHAR(10)," "),CHAR(13)," "))),"")))</f>
        <v/>
      </c>
      <c r="DS963">
        <f>IF($DM963=0,"",IF($L$11=0,"",IFERROR(IF(ISNUMBER(INDEX(PASTE_ALL,$DF963,$L$11)),INDEX(PASTE_ALL,$DF963,$L$11),TRIM(SUBSTITUTE(SUBSTITUTE(SUBSTITUTE(SUBSTITUTE(INDEX(PASTE_ALL,$DF963,$L$11)," "," "),CHAR(9)," "),CHAR(10)," "),CHAR(13)," "))),"")))</f>
        <v/>
      </c>
      <c r="DT963">
        <f>IF($DM963=0,"",IF($L$12=0,"",IFERROR(IF(ISNUMBER(INDEX(PASTE_ALL,$DF963,$L$12)),INDEX(PASTE_ALL,$DF963,$L$12),TRIM(SUBSTITUTE(SUBSTITUTE(SUBSTITUTE(SUBSTITUTE(INDEX(PASTE_ALL,$DF963,$L$12)," "," "),CHAR(9)," "),CHAR(10)," "),CHAR(13)," "))),"")))</f>
        <v/>
      </c>
      <c r="DU963">
        <f>IF($DM963=0,"",IF($L$13=0,"",IFERROR(IF(ISNUMBER(INDEX(PASTE_ALL,$DF963,$L$13)),INDEX(PASTE_ALL,$DF963,$L$13),TRIM(SUBSTITUTE(SUBSTITUTE(SUBSTITUTE(SUBSTITUTE(INDEX(PASTE_ALL,$DF963,$L$13)," "," "),CHAR(9)," "),CHAR(10)," "),CHAR(13)," "))),"")))</f>
        <v/>
      </c>
      <c r="DV963">
        <f>IF($DM963=0,"",IF($L$14=0,"",IFERROR(IF(ISNUMBER(INDEX(PASTE_ALL,$DF963,$L$14)),INDEX(PASTE_ALL,$DF963,$L$14),TRIM(SUBSTITUTE(SUBSTITUTE(SUBSTITUTE(SUBSTITUTE(INDEX(PASTE_ALL,$DF963,$L$14)," "," "),CHAR(9)," "),CHAR(10)," "),CHAR(13)," "))),"")))</f>
        <v/>
      </c>
      <c r="DW963">
        <f>IF($DM963=0,"",IF($L$15=0,"",IFERROR(IF(ISNUMBER(INDEX(PASTE_ALL,$DF963,$L$15)),INDEX(PASTE_ALL,$DF963,$L$15),IF(SUMPRODUCT(--ISNUMBER(FIND({"A","B","C","D","E","F","G","H","I","J","K","L","M","N","O","P","Q","R","S","T","U","V","W","X","Y","Z","0","1","2","3","4","5","6","7","8","9"},UPPER(TRIM(SUBSTITUTE(SUBSTITUTE(SUBSTITUTE(SUBSTITUTE(INDEX(PASTE_ALL,$DF963,$L$15)," "," "),CHAR(9)," "),CHAR(10)," "),CHAR(13)," "))))))&gt;0,TRIM(SUBSTITUTE(SUBSTITUTE(SUBSTITUTE(SUBSTITUTE(INDEX(PASTE_ALL,$DF963,$L$15)," "," "),CHAR(9)," "),CHAR(10)," "),CHAR(13)," ")),"")),"")))</f>
        <v/>
      </c>
      <c r="DX963">
        <f>IF($DM963=0,"",IF($L$16=0,"",IFERROR(IF(ISNUMBER(INDEX(PASTE_ALL,$DF963,$L$16)),INDEX(PASTE_ALL,$DF963,$L$16),SUBSTITUTE(SUBSTITUTE(TRIM(SUBSTITUTE(SUBSTITUTE(SUBSTITUTE(SUBSTITUTE(INDEX(PASTE_ALL,$DF963,$L$16)," "," "),CHAR(9)," "),CHAR(10)," "),CHAR(13)," ")),",",""),"%","")),"")))</f>
        <v/>
      </c>
      <c r="DY963">
        <f>IF($DM963=0,"",IFERROR(IF(ISNUMBER($DX963),$DX963,IF($DX963="","",IF(TRIM($DX963)="",0,IF(AND(AND(SUBSTITUTE(SUBSTITUTE(SUBSTITUTE(SUBSTITUTE(SUBSTITUTE(SUBSTITUTE(SUBSTITUTE(SUBSTITUTE(SUBSTITUTE(SUBSTITUTE(SUBSTITUTE(SUBSTITUTE(SUBSTITUTE(SUBSTITUTE(UPPER(TRIM($DX963)),"0",""),"1",""),"2",""),"3",""),"4",""),"5",""),"6",""),"7",""),"8",""),"9",""),".",""),"+",""),"-",""),"E","")="",LEN(SUBSTITUTE(SUBSTITUTE(MID(UPPER(TRIM($DX963)),1+OR(LEFT(UPPER(TRIM($DX963)),1)="+",LEFT(UPPER(TRIM($DX963)),1)="-"),999),"E+","E"),"E-","E"))=LEN(SUBSTITUTE(SUBSTITUTE(SUBSTITUTE(SUBSTITUTE(MID(UPPER(TRIM($DX963)),1+OR(LEFT(UPPER(TRIM($DX963)),1)="+",LEFT(UPPER(TRIM($DX963)),1)="-"),999),"E+","E"),"E-","E"),"+",""),"-","")),LEN(UPPER(TRIM($DX963)))-LEN(SUBSTITUTE(UPPER(TRIM($DX963)),"E",""))&lt;2,LEN(UPPER(TRIM($DX963)))-LEN(SUBSTITUTE(UPPER(TRIM($DX963)),".",""))&lt;2,IFERROR(FIND(".",UPPER(TRIM($DX963))),0)&lt;IFERROR(FIND("E",UPPER(TRIM($DX963))),999)),ISNUMBER(VALUE(TRIM($DX963)))),VALUE(TRIM($DX963)),"")))),""))</f>
        <v/>
      </c>
      <c r="DZ963">
        <f>IF($DM963=0,"",IF($L$17=0,"",IFERROR(IF(ISNUMBER(INDEX(PASTE_ALL,$DF963,$L$17)),INDEX(PASTE_ALL,$DF963,$L$17),SUBSTITUTE(SUBSTITUTE(TRIM(SUBSTITUTE(SUBSTITUTE(SUBSTITUTE(SUBSTITUTE(INDEX(PASTE_ALL,$DF963,$L$17)," "," "),CHAR(9)," "),CHAR(10)," "),CHAR(13)," ")),",",""),"%","")),"")))</f>
        <v/>
      </c>
      <c r="EA963">
        <f>IF($DM963=0,"",IFERROR(IF(ISNUMBER($DZ963),$DZ963,IF($DZ963="","",IF(TRIM($DZ963)="",0,IF(AND(AND(SUBSTITUTE(SUBSTITUTE(SUBSTITUTE(SUBSTITUTE(SUBSTITUTE(SUBSTITUTE(SUBSTITUTE(SUBSTITUTE(SUBSTITUTE(SUBSTITUTE(SUBSTITUTE(SUBSTITUTE(SUBSTITUTE(SUBSTITUTE(UPPER(TRIM($DZ963)),"0",""),"1",""),"2",""),"3",""),"4",""),"5",""),"6",""),"7",""),"8",""),"9",""),".",""),"+",""),"-",""),"E","")="",LEN(SUBSTITUTE(SUBSTITUTE(MID(UPPER(TRIM($DZ963)),1+OR(LEFT(UPPER(TRIM($DZ963)),1)="+",LEFT(UPPER(TRIM($DZ963)),1)="-"),999),"E+","E"),"E-","E"))=LEN(SUBSTITUTE(SUBSTITUTE(SUBSTITUTE(SUBSTITUTE(MID(UPPER(TRIM($DZ963)),1+OR(LEFT(UPPER(TRIM($DZ963)),1)="+",LEFT(UPPER(TRIM($DZ963)),1)="-"),999),"E+","E"),"E-","E"),"+",""),"-","")),LEN(UPPER(TRIM($DZ963)))-LEN(SUBSTITUTE(UPPER(TRIM($DZ963)),"E",""))&lt;2,LEN(UPPER(TRIM($DZ963)))-LEN(SUBSTITUTE(UPPER(TRIM($DZ963)),".",""))&lt;2,IFERROR(FIND(".",UPPER(TRIM($DZ963))),0)&lt;IFERROR(FIND("E",UPPER(TRIM($DZ963))),999)),ISNUMBER(VALUE(TRIM($DZ963)))),VALUE(TRIM($DZ963)),"")))),""))</f>
        <v/>
      </c>
      <c r="EB963">
        <f>IF($DM963=0,"",IF($L$18=0,"",IFERROR(IF(UPPER(TRIM(SUBSTITUTE(SUBSTITUTE(SUBSTITUTE(SUBSTITUTE(INDEX(PASTE_ALL,$DF963,$L$18)," "," "),CHAR(9)," "),CHAR(10)," "),CHAR(13)," ")))="READY","Ready",IF(UPPER(TRIM(SUBSTITUTE(SUBSTITUTE(SUBSTITUTE(SUBSTITUTE(INDEX(PASTE_ALL,$DF963,$L$18)," "," "),CHAR(9)," "),CHAR(10)," "),CHAR(13)," ")))="PM","PM",IF(OR(UPPER(TRIM(SUBSTITUTE(SUBSTITUTE(SUBSTITUTE(SUBSTITUTE(INDEX(PASTE_ALL,$DF963,$L$18)," "," "),CHAR(9)," "),CHAR(10)," "),CHAR(13)," ")))="OT",UPPER(TRIM(SUBSTITUTE(SUBSTITUTE(SUBSTITUTE(SUBSTITUTE(INDEX(PASTE_ALL,$DF963,$L$18)," "," "),CHAR(9)," "),CHAR(10)," "),CHAR(13)," ")))="OVERTIME",UPPER(TRIM(SUBSTITUTE(SUBSTITUTE(SUBSTITUTE(SUBSTITUTE(INDEX(PASTE_ALL,$DF963,$L$18)," "," "),CHAR(9)," "),CHAR(10)," "),CHAR(13)," ")))="TRIAL"),"OT",TRIM(SUBSTITUTE(SUBSTITUTE(SUBSTITUTE(SUBSTITUTE(INDEX(PASTE_ALL,$DF963,$L$18)," "," "),CHAR(9)," "),CHAR(10)," "),CHAR(13)," "))))),"")))</f>
        <v/>
      </c>
      <c r="EC963">
        <f>IF($DM963=0,"",IF($L$19=0,"",IFERROR(IF(ISNUMBER(INDEX(PASTE_ALL,$DF963,$L$19)),INDEX(PASTE_ALL,$DF963,$L$19),TRIM(SUBSTITUTE(SUBSTITUTE(SUBSTITUTE(SUBSTITUTE(INDEX(PASTE_ALL,$DF963,$L$19)," "," "),CHAR(9)," "),CHAR(10)," "),CHAR(13)," "))),"")))</f>
        <v/>
      </c>
      <c r="ED963">
        <f>IF($DM963=0,"",MATCH(1,INDEX(EXACT($DH$5:DH963,$DH963)*$DM$5:DM963,0),0))</f>
        <v/>
      </c>
      <c r="EE963">
        <f>IF($DM963=0,0,IF($ED963=$DE963,1,0))</f>
        <v/>
      </c>
      <c r="EF963">
        <f>EF962+$EE963</f>
        <v/>
      </c>
      <c r="EG963">
        <f>IF($DM963=0,"",INDEX($EF$5:$EF$1003,$ED963))</f>
        <v/>
      </c>
      <c r="EH963">
        <f>IF($DM963=0,"",IF($DO963&lt;&gt;"","",IFERROR(LOOKUP(2,1/(($EG$4:EG962=$EG963)*($DO$4:DO962&lt;&gt;"")),$DO$4:DO962),"")))</f>
        <v/>
      </c>
      <c r="EI963">
        <f>IF($DM963=0,"",IF($DO963&lt;&gt;"",$DO963,$EH963))</f>
        <v/>
      </c>
      <c r="EJ963">
        <f>IF($DM963=0,"",IF($EI963="",0,IF(OR(ISNUMBER($EI963),AND(AND(SUBSTITUTE(SUBSTITUTE(SUBSTITUTE(SUBSTITUTE(SUBSTITUTE(SUBSTITUTE(SUBSTITUTE(SUBSTITUTE(SUBSTITUTE(SUBSTITUTE(SUBSTITUTE(SUBSTITUTE(SUBSTITUTE(SUBSTITUTE(UPPER($EI963),"0",""),"1",""),"2",""),"3",""),"4",""),"5",""),"6",""),"7",""),"8",""),"9",""),".",""),"+",""),"-",""),"E","")="",LEN(SUBSTITUTE(SUBSTITUTE(MID(UPPER($EI963),1+OR(LEFT(UPPER($EI963),1)="+",LEFT(UPPER($EI963),1)="-"),999),"E+","E"),"E-","E"))=LEN(SUBSTITUTE(SUBSTITUTE(SUBSTITUTE(SUBSTITUTE(MID(UPPER($EI963),1+OR(LEFT(UPPER($EI963),1)="+",LEFT(UPPER($EI963),1)="-"),999),"E+","E"),"E-","E"),"+",""),"-","")),LEN(UPPER($EI963))-LEN(SUBSTITUTE(UPPER($EI963),"E",""))&lt;2,LEN(UPPER($EI963))-LEN(SUBSTITUTE(UPPER($EI963),".",""))&lt;2,IFERROR(FIND(".",UPPER($EI963)),0)&lt;IFERROR(FIND("E",UPPER($EI963)),999)),ISNUMBER(VALUE($EI963)))),1,2)))</f>
        <v/>
      </c>
      <c r="EK963">
        <f>IF($DM963=0,"",IF($EJ963=1,IF(ISNUMBER($EI963),$EI963,VALUE($EI963)),IF($EJ963=2,$DE963,0)))</f>
        <v/>
      </c>
      <c r="EL963">
        <f>IF($DM963=0,"",COUNTIF($EG$5:$EG$1003,"&lt;"&amp;$EG963)+SUMPRODUCT(($EG$5:$EG$1003=$EG963)*(($EJ$5:$EJ$1003&lt;$EJ963)+($EJ$5:$EJ$1003=$EJ963)*(($EK$5:$EK$1003&lt;$EK963)+($EK$5:$EK$1003=$EK963)*($DE$5:$DE$1003&lt;$DE963))))+1)</f>
        <v/>
      </c>
      <c r="EM963">
        <f>IF($DM963=0,"",$EL963+$EG963-1)</f>
        <v/>
      </c>
      <c r="EN963">
        <f>IF($DM963=0,0,IFERROR(MATCH(1,INDEX(--(TRIM(SUBSTITUTE(SUBSTITUTE(SUBSTITUTE(SUBSTITUTE(LINES_NAME&amp;""," "," "),CHAR(9)," "),CHAR(10)," "),CHAR(13)," "))=$DH963),0),0),0))</f>
        <v/>
      </c>
      <c r="EO963">
        <f>IF($EN963=0,0,IF(OR(UPPER(TRIM(INDEX(LINES_SCHEDULED,$EN963)&amp;""))="YES",UPPER(TRIM(INDEX(LINES_SCHEDULED,$EN963)&amp;""))="Y",UPPER(TRIM(INDEX(LINES_SCHEDULED,$EN963)&amp;""))="X"),1,0))</f>
        <v/>
      </c>
      <c r="EP963">
        <f>IF($DM963=0,"",IF(COUNTIFS($EG$5:$EG$1003,$EG963,$EB$5:$EB$1003,"Ready")&gt;0,"READY",IF(COUNTIFS($EG$5:$EG$1003,$EG963,$EB$5:$EB$1003,"PM")&gt;0,"PM",IF(COUNTIFS($EG$5:$EG$1003,$EG963,$EB$5:$EB$1003,"OT")&gt;0,"OT",""))))</f>
        <v/>
      </c>
      <c r="EQ963">
        <f>IF($EN963=0,"",UPPER(TRIM(INDEX(LINES_STATUS,$EN963)&amp;"")))</f>
        <v/>
      </c>
      <c r="ER963">
        <f>IF($DM963=0,"",IF(OR($EQ963="READY",$EQ963="PM",$EQ963="OT"),$EQ963,$EP963))</f>
        <v/>
      </c>
      <c r="ES963">
        <f>IF($DM963=0,"",IF(AND($DV963&lt;&gt;"",UPPER($DV963)&lt;&gt;"N"),"allergen",IF(ISNUMBER(SEARCH("oil",$DQ963)),"oil",IF(OR(EXACT($DS963,"A662"),EXACT($DS963,"A624")),"bulk",""))))</f>
        <v/>
      </c>
      <c r="ET963">
        <f>IF($DM963=0,"",IF(OR($EA963="",$EA963=0),"",$EA963/100))</f>
        <v/>
      </c>
      <c r="EU963">
        <f>IF(OR($ET963="",$DY963=""),"",INT($DY963*(1-$ET963)+0.5))</f>
        <v/>
      </c>
    </row>
    <row r="964">
      <c r="DA964" t="n">
        <v>960</v>
      </c>
      <c r="DB964">
        <f>IF($B$37=0,"",IFERROR(TRIM(SUBSTITUTE(SUBSTITUTE(SUBSTITUTE(SUBSTITUTE(INDEX(PASTE_ALL,960,$B$37)," "," "),CHAR(9)," "),CHAR(10)," "),CHAR(13)," ")),""))</f>
        <v/>
      </c>
      <c r="DC964">
        <f>IF(AND(960&gt;HEADER_ROW,UPPER(DB964)="LEGEND"),1,0)</f>
        <v/>
      </c>
      <c r="DE964" t="n">
        <v>960</v>
      </c>
      <c r="DF964">
        <f>HEADER_ROW+$DE964</f>
        <v/>
      </c>
      <c r="DG964">
        <f>IF(AND($DF964&lt;=1000,$DF964&lt;$B$8),1,0)</f>
        <v/>
      </c>
      <c r="DH964">
        <f>IF($DG964=1,IFERROR(INDEX($DB$5:$DB$1004,$DF964),""),"")</f>
        <v/>
      </c>
      <c r="DI964">
        <f>IF(AND($DG964=1,$DH964&lt;&gt;""),IFERROR(SUBSTITUTE(SUBSTITUTE(TRIM(SUBSTITUTE(SUBSTITUTE(SUBSTITUTE(SUBSTITUTE(IFERROR(INDEX(PASTE_ALL,$DF964,1)&amp;"","")&amp;"␟"&amp;IFERROR(INDEX(PASTE_ALL,$DF964,2)&amp;"","")&amp;"␟"&amp;IFERROR(INDEX(PASTE_ALL,$DF964,3)&amp;"","")&amp;"␟"&amp;IFERROR(INDEX(PASTE_ALL,$DF964,4)&amp;"","")&amp;"␟"&amp;IFERROR(INDEX(PASTE_ALL,$DF964,5)&amp;"","")&amp;"␟"&amp;IFERROR(INDEX(PASTE_ALL,$DF964,6)&amp;"","")&amp;"␟"&amp;IFERROR(INDEX(PASTE_ALL,$DF964,7)&amp;"","")&amp;"␟"&amp;IFERROR(INDEX(PASTE_ALL,$DF964,8)&amp;"","")&amp;"␟"&amp;IFERROR(INDEX(PASTE_ALL,$DF964,9)&amp;"","")&amp;"␟"&amp;IFERROR(INDEX(PASTE_ALL,$DF964,10)&amp;"","")&amp;"␟"&amp;IFERROR(INDEX(PASTE_ALL,$DF964,11)&amp;"","")&amp;"␟"&amp;IFERROR(INDEX(PASTE_ALL,$DF964,12)&amp;"","")&amp;"␟"&amp;IFERROR(INDEX(PASTE_ALL,$DF964,13)&amp;"","")&amp;"␟"&amp;IFERROR(INDEX(PASTE_ALL,$DF964,14)&amp;"","")&amp;"␟"&amp;IFERROR(INDEX(PASTE_ALL,$DF964,15)&amp;"","")&amp;"␟"&amp;IFERROR(INDEX(PASTE_ALL,$DF964,16)&amp;"","")&amp;"␟"&amp;IFERROR(INDEX(PASTE_ALL,$DF964,17)&amp;"","")&amp;"␟"&amp;IFERROR(INDEX(PASTE_ALL,$DF964,18)&amp;"","")&amp;"␟"&amp;IFERROR(INDEX(PASTE_ALL,$DF964,19)&amp;"","")&amp;"␟"&amp;IFERROR(INDEX(PASTE_ALL,$DF964,20)&amp;"","")&amp;"␟"&amp;IFERROR(INDEX(PASTE_ALL,$DF964,21)&amp;"","")&amp;"␟"&amp;IFERROR(INDEX(PASTE_ALL,$DF964,22)&amp;"","")&amp;"␟"&amp;IFERROR(INDEX(PASTE_ALL,$DF964,23)&amp;"","")&amp;"␟"&amp;IFERROR(INDEX(PASTE_ALL,$DF964,24)&amp;"","")&amp;"␟"&amp;IFERROR(INDEX(PASTE_ALL,$DF964,25)&amp;"","")&amp;"␟"&amp;IFERROR(INDEX(PASTE_ALL,$DF964,26)&amp;"","")&amp;"␟"&amp;IFERROR(INDEX(PASTE_ALL,$DF964,27)&amp;"","")&amp;"␟"&amp;IFERROR(INDEX(PASTE_ALL,$DF964,28)&amp;"","")&amp;"␟"&amp;IFERROR(INDEX(PASTE_ALL,$DF964,29)&amp;"","")&amp;"␟"&amp;IFERROR(INDEX(PASTE_ALL,$DF964,30)&amp;"","")&amp;"␟"&amp;IFERROR(INDEX(PASTE_ALL,$DF964,31)&amp;"","")&amp;"␟"&amp;IFERROR(INDEX(PASTE_ALL,$DF964,32)&amp;"","")&amp;"␟"&amp;IFERROR(INDEX(PASTE_ALL,$DF964,33)&amp;"","")&amp;"␟"&amp;IFERROR(INDEX(PASTE_ALL,$DF964,34)&amp;"","")&amp;"␟"&amp;IFERROR(INDEX(PASTE_ALL,$DF964,35)&amp;"","")&amp;"␟"&amp;IFERROR(INDEX(PASTE_ALL,$DF964,36)&amp;"","")&amp;"␟"&amp;IFERROR(INDEX(PASTE_ALL,$DF964,37)&amp;"","")&amp;"␟"&amp;IFERROR(INDEX(PASTE_ALL,$DF964,38)&amp;"","")&amp;"␟"&amp;IFERROR(INDEX(PASTE_ALL,$DF964,39)&amp;"","")&amp;"␟"&amp;IFERROR(INDEX(PASTE_ALL,$DF964,40)&amp;"","")&amp;"␟"&amp;IFERROR(INDEX(PASTE_ALL,$DF964,41)&amp;"","")&amp;"␟"&amp;IFERROR(INDEX(PASTE_ALL,$DF964,42)&amp;"","")&amp;"␟"&amp;IFERROR(INDEX(PASTE_ALL,$DF964,43)&amp;"","")&amp;"␟"&amp;IFERROR(INDEX(PASTE_ALL,$DF964,44)&amp;"","")&amp;"␟"&amp;IFERROR(INDEX(PASTE_ALL,$DF964,45)&amp;"","")&amp;"␟"&amp;IFERROR(INDEX(PASTE_ALL,$DF964,46)&amp;"","")&amp;"␟"&amp;IFERROR(INDEX(PASTE_ALL,$DF964,47)&amp;"","")&amp;"␟"&amp;IFERROR(INDEX(PASTE_ALL,$DF964,48)&amp;"","")&amp;"␟"&amp;IFERROR(INDEX(PASTE_ALL,$DF964,49)&amp;"","")&amp;"␟"&amp;IFERROR(INDEX(PASTE_ALL,$DF964,50)&amp;"","")&amp;"␟"&amp;IFERROR(INDEX(PASTE_ALL,$DF964,51)&amp;"","")&amp;"␟"&amp;IFERROR(INDEX(PASTE_ALL,$DF964,52)&amp;"","")&amp;"␟"&amp;IFERROR(INDEX(PASTE_ALL,$DF964,53)&amp;"","")&amp;"␟"&amp;IFERROR(INDEX(PASTE_ALL,$DF964,54)&amp;"","")&amp;"␟"&amp;IFERROR(INDEX(PASTE_ALL,$DF964,55)&amp;"","")&amp;"␟"&amp;IFERROR(INDEX(PASTE_ALL,$DF964,56)&amp;"","")&amp;"␟"&amp;IFERROR(INDEX(PASTE_ALL,$DF964,57)&amp;"","")&amp;"␟"&amp;IFERROR(INDEX(PASTE_ALL,$DF964,58)&amp;"","")&amp;"␟"&amp;IFERROR(INDEX(PASTE_ALL,$DF964,59)&amp;"","")&amp;"␟"&amp;IFERROR(INDEX(PASTE_ALL,$DF964,60)&amp;"","")," "," "),CHAR(9)," "),CHAR(10)," "),CHAR(13)," "))," ␟","␟"),"␟ ","␟"),"#"&amp;$DE964),"")</f>
        <v/>
      </c>
      <c r="DJ964">
        <f>IF($DI964="",0,IF(SUMPRODUCT(--EXACT($DI$4:DI963,$DI964))&gt;0,1,0))</f>
        <v/>
      </c>
      <c r="DK964">
        <f>IF(AND($DI964&lt;&gt;"",$DJ964=0),1,0)</f>
        <v/>
      </c>
      <c r="DL964">
        <f>DL963+$DK964</f>
        <v/>
      </c>
      <c r="DM964">
        <f>IF(AND($DK964=1,$DL964&lt;=600),1,0)</f>
        <v/>
      </c>
      <c r="DN964">
        <f>IF($DM964=0,"",IF($L$6=0,"",IFERROR(IF(ISNUMBER(INDEX(PASTE_ALL,$DF964,$L$6)),INDEX(PASTE_ALL,$DF964,$L$6),TRIM(SUBSTITUTE(SUBSTITUTE(SUBSTITUTE(SUBSTITUTE(INDEX(PASTE_ALL,$DF964,$L$6)," "," "),CHAR(9)," "),CHAR(10)," "),CHAR(13)," "))),"")))</f>
        <v/>
      </c>
      <c r="DO964">
        <f>IF($DM964=0,"",IF($L$7=0,"",IFERROR(IF(ISNUMBER(INDEX(PASTE_ALL,$DF964,$L$7)),INDEX(PASTE_ALL,$DF964,$L$7),TRIM(SUBSTITUTE(SUBSTITUTE(SUBSTITUTE(SUBSTITUTE(INDEX(PASTE_ALL,$DF964,$L$7)," "," "),CHAR(9)," "),CHAR(10)," "),CHAR(13)," "))),"")))</f>
        <v/>
      </c>
      <c r="DP964">
        <f>IF($DM964=0,"",IF($L$8=0,"",IFERROR(IF(ISNUMBER(INDEX(PASTE_ALL,$DF964,$L$8)),INDEX(PASTE_ALL,$DF964,$L$8),TRIM(SUBSTITUTE(SUBSTITUTE(SUBSTITUTE(SUBSTITUTE(INDEX(PASTE_ALL,$DF964,$L$8)," "," "),CHAR(9)," "),CHAR(10)," "),CHAR(13)," "))),"")))</f>
        <v/>
      </c>
      <c r="DQ964">
        <f>IF($DM964=0,"",IF($L$9=0,"",IFERROR(IF(ISNUMBER(INDEX(PASTE_ALL,$DF964,$L$9)),INDEX(PASTE_ALL,$DF964,$L$9),TRIM(SUBSTITUTE(SUBSTITUTE(SUBSTITUTE(SUBSTITUTE(INDEX(PASTE_ALL,$DF964,$L$9)," "," "),CHAR(9)," "),CHAR(10)," "),CHAR(13)," "))),"")))</f>
        <v/>
      </c>
      <c r="DR964">
        <f>IF($DM964=0,"",IF($L$10=0,"",IFERROR(IF(ISNUMBER(INDEX(PASTE_ALL,$DF964,$L$10)),INDEX(PASTE_ALL,$DF964,$L$10),TRIM(SUBSTITUTE(SUBSTITUTE(SUBSTITUTE(SUBSTITUTE(INDEX(PASTE_ALL,$DF964,$L$10)," "," "),CHAR(9)," "),CHAR(10)," "),CHAR(13)," "))),"")))</f>
        <v/>
      </c>
      <c r="DS964">
        <f>IF($DM964=0,"",IF($L$11=0,"",IFERROR(IF(ISNUMBER(INDEX(PASTE_ALL,$DF964,$L$11)),INDEX(PASTE_ALL,$DF964,$L$11),TRIM(SUBSTITUTE(SUBSTITUTE(SUBSTITUTE(SUBSTITUTE(INDEX(PASTE_ALL,$DF964,$L$11)," "," "),CHAR(9)," "),CHAR(10)," "),CHAR(13)," "))),"")))</f>
        <v/>
      </c>
      <c r="DT964">
        <f>IF($DM964=0,"",IF($L$12=0,"",IFERROR(IF(ISNUMBER(INDEX(PASTE_ALL,$DF964,$L$12)),INDEX(PASTE_ALL,$DF964,$L$12),TRIM(SUBSTITUTE(SUBSTITUTE(SUBSTITUTE(SUBSTITUTE(INDEX(PASTE_ALL,$DF964,$L$12)," "," "),CHAR(9)," "),CHAR(10)," "),CHAR(13)," "))),"")))</f>
        <v/>
      </c>
      <c r="DU964">
        <f>IF($DM964=0,"",IF($L$13=0,"",IFERROR(IF(ISNUMBER(INDEX(PASTE_ALL,$DF964,$L$13)),INDEX(PASTE_ALL,$DF964,$L$13),TRIM(SUBSTITUTE(SUBSTITUTE(SUBSTITUTE(SUBSTITUTE(INDEX(PASTE_ALL,$DF964,$L$13)," "," "),CHAR(9)," "),CHAR(10)," "),CHAR(13)," "))),"")))</f>
        <v/>
      </c>
      <c r="DV964">
        <f>IF($DM964=0,"",IF($L$14=0,"",IFERROR(IF(ISNUMBER(INDEX(PASTE_ALL,$DF964,$L$14)),INDEX(PASTE_ALL,$DF964,$L$14),TRIM(SUBSTITUTE(SUBSTITUTE(SUBSTITUTE(SUBSTITUTE(INDEX(PASTE_ALL,$DF964,$L$14)," "," "),CHAR(9)," "),CHAR(10)," "),CHAR(13)," "))),"")))</f>
        <v/>
      </c>
      <c r="DW964">
        <f>IF($DM964=0,"",IF($L$15=0,"",IFERROR(IF(ISNUMBER(INDEX(PASTE_ALL,$DF964,$L$15)),INDEX(PASTE_ALL,$DF964,$L$15),IF(SUMPRODUCT(--ISNUMBER(FIND({"A","B","C","D","E","F","G","H","I","J","K","L","M","N","O","P","Q","R","S","T","U","V","W","X","Y","Z","0","1","2","3","4","5","6","7","8","9"},UPPER(TRIM(SUBSTITUTE(SUBSTITUTE(SUBSTITUTE(SUBSTITUTE(INDEX(PASTE_ALL,$DF964,$L$15)," "," "),CHAR(9)," "),CHAR(10)," "),CHAR(13)," "))))))&gt;0,TRIM(SUBSTITUTE(SUBSTITUTE(SUBSTITUTE(SUBSTITUTE(INDEX(PASTE_ALL,$DF964,$L$15)," "," "),CHAR(9)," "),CHAR(10)," "),CHAR(13)," ")),"")),"")))</f>
        <v/>
      </c>
      <c r="DX964">
        <f>IF($DM964=0,"",IF($L$16=0,"",IFERROR(IF(ISNUMBER(INDEX(PASTE_ALL,$DF964,$L$16)),INDEX(PASTE_ALL,$DF964,$L$16),SUBSTITUTE(SUBSTITUTE(TRIM(SUBSTITUTE(SUBSTITUTE(SUBSTITUTE(SUBSTITUTE(INDEX(PASTE_ALL,$DF964,$L$16)," "," "),CHAR(9)," "),CHAR(10)," "),CHAR(13)," ")),",",""),"%","")),"")))</f>
        <v/>
      </c>
      <c r="DY964">
        <f>IF($DM964=0,"",IFERROR(IF(ISNUMBER($DX964),$DX964,IF($DX964="","",IF(TRIM($DX964)="",0,IF(AND(AND(SUBSTITUTE(SUBSTITUTE(SUBSTITUTE(SUBSTITUTE(SUBSTITUTE(SUBSTITUTE(SUBSTITUTE(SUBSTITUTE(SUBSTITUTE(SUBSTITUTE(SUBSTITUTE(SUBSTITUTE(SUBSTITUTE(SUBSTITUTE(UPPER(TRIM($DX964)),"0",""),"1",""),"2",""),"3",""),"4",""),"5",""),"6",""),"7",""),"8",""),"9",""),".",""),"+",""),"-",""),"E","")="",LEN(SUBSTITUTE(SUBSTITUTE(MID(UPPER(TRIM($DX964)),1+OR(LEFT(UPPER(TRIM($DX964)),1)="+",LEFT(UPPER(TRIM($DX964)),1)="-"),999),"E+","E"),"E-","E"))=LEN(SUBSTITUTE(SUBSTITUTE(SUBSTITUTE(SUBSTITUTE(MID(UPPER(TRIM($DX964)),1+OR(LEFT(UPPER(TRIM($DX964)),1)="+",LEFT(UPPER(TRIM($DX964)),1)="-"),999),"E+","E"),"E-","E"),"+",""),"-","")),LEN(UPPER(TRIM($DX964)))-LEN(SUBSTITUTE(UPPER(TRIM($DX964)),"E",""))&lt;2,LEN(UPPER(TRIM($DX964)))-LEN(SUBSTITUTE(UPPER(TRIM($DX964)),".",""))&lt;2,IFERROR(FIND(".",UPPER(TRIM($DX964))),0)&lt;IFERROR(FIND("E",UPPER(TRIM($DX964))),999)),ISNUMBER(VALUE(TRIM($DX964)))),VALUE(TRIM($DX964)),"")))),""))</f>
        <v/>
      </c>
      <c r="DZ964">
        <f>IF($DM964=0,"",IF($L$17=0,"",IFERROR(IF(ISNUMBER(INDEX(PASTE_ALL,$DF964,$L$17)),INDEX(PASTE_ALL,$DF964,$L$17),SUBSTITUTE(SUBSTITUTE(TRIM(SUBSTITUTE(SUBSTITUTE(SUBSTITUTE(SUBSTITUTE(INDEX(PASTE_ALL,$DF964,$L$17)," "," "),CHAR(9)," "),CHAR(10)," "),CHAR(13)," ")),",",""),"%","")),"")))</f>
        <v/>
      </c>
      <c r="EA964">
        <f>IF($DM964=0,"",IFERROR(IF(ISNUMBER($DZ964),$DZ964,IF($DZ964="","",IF(TRIM($DZ964)="",0,IF(AND(AND(SUBSTITUTE(SUBSTITUTE(SUBSTITUTE(SUBSTITUTE(SUBSTITUTE(SUBSTITUTE(SUBSTITUTE(SUBSTITUTE(SUBSTITUTE(SUBSTITUTE(SUBSTITUTE(SUBSTITUTE(SUBSTITUTE(SUBSTITUTE(UPPER(TRIM($DZ964)),"0",""),"1",""),"2",""),"3",""),"4",""),"5",""),"6",""),"7",""),"8",""),"9",""),".",""),"+",""),"-",""),"E","")="",LEN(SUBSTITUTE(SUBSTITUTE(MID(UPPER(TRIM($DZ964)),1+OR(LEFT(UPPER(TRIM($DZ964)),1)="+",LEFT(UPPER(TRIM($DZ964)),1)="-"),999),"E+","E"),"E-","E"))=LEN(SUBSTITUTE(SUBSTITUTE(SUBSTITUTE(SUBSTITUTE(MID(UPPER(TRIM($DZ964)),1+OR(LEFT(UPPER(TRIM($DZ964)),1)="+",LEFT(UPPER(TRIM($DZ964)),1)="-"),999),"E+","E"),"E-","E"),"+",""),"-","")),LEN(UPPER(TRIM($DZ964)))-LEN(SUBSTITUTE(UPPER(TRIM($DZ964)),"E",""))&lt;2,LEN(UPPER(TRIM($DZ964)))-LEN(SUBSTITUTE(UPPER(TRIM($DZ964)),".",""))&lt;2,IFERROR(FIND(".",UPPER(TRIM($DZ964))),0)&lt;IFERROR(FIND("E",UPPER(TRIM($DZ964))),999)),ISNUMBER(VALUE(TRIM($DZ964)))),VALUE(TRIM($DZ964)),"")))),""))</f>
        <v/>
      </c>
      <c r="EB964">
        <f>IF($DM964=0,"",IF($L$18=0,"",IFERROR(IF(UPPER(TRIM(SUBSTITUTE(SUBSTITUTE(SUBSTITUTE(SUBSTITUTE(INDEX(PASTE_ALL,$DF964,$L$18)," "," "),CHAR(9)," "),CHAR(10)," "),CHAR(13)," ")))="READY","Ready",IF(UPPER(TRIM(SUBSTITUTE(SUBSTITUTE(SUBSTITUTE(SUBSTITUTE(INDEX(PASTE_ALL,$DF964,$L$18)," "," "),CHAR(9)," "),CHAR(10)," "),CHAR(13)," ")))="PM","PM",IF(OR(UPPER(TRIM(SUBSTITUTE(SUBSTITUTE(SUBSTITUTE(SUBSTITUTE(INDEX(PASTE_ALL,$DF964,$L$18)," "," "),CHAR(9)," "),CHAR(10)," "),CHAR(13)," ")))="OT",UPPER(TRIM(SUBSTITUTE(SUBSTITUTE(SUBSTITUTE(SUBSTITUTE(INDEX(PASTE_ALL,$DF964,$L$18)," "," "),CHAR(9)," "),CHAR(10)," "),CHAR(13)," ")))="OVERTIME",UPPER(TRIM(SUBSTITUTE(SUBSTITUTE(SUBSTITUTE(SUBSTITUTE(INDEX(PASTE_ALL,$DF964,$L$18)," "," "),CHAR(9)," "),CHAR(10)," "),CHAR(13)," ")))="TRIAL"),"OT",TRIM(SUBSTITUTE(SUBSTITUTE(SUBSTITUTE(SUBSTITUTE(INDEX(PASTE_ALL,$DF964,$L$18)," "," "),CHAR(9)," "),CHAR(10)," "),CHAR(13)," "))))),"")))</f>
        <v/>
      </c>
      <c r="EC964">
        <f>IF($DM964=0,"",IF($L$19=0,"",IFERROR(IF(ISNUMBER(INDEX(PASTE_ALL,$DF964,$L$19)),INDEX(PASTE_ALL,$DF964,$L$19),TRIM(SUBSTITUTE(SUBSTITUTE(SUBSTITUTE(SUBSTITUTE(INDEX(PASTE_ALL,$DF964,$L$19)," "," "),CHAR(9)," "),CHAR(10)," "),CHAR(13)," "))),"")))</f>
        <v/>
      </c>
      <c r="ED964">
        <f>IF($DM964=0,"",MATCH(1,INDEX(EXACT($DH$5:DH964,$DH964)*$DM$5:DM964,0),0))</f>
        <v/>
      </c>
      <c r="EE964">
        <f>IF($DM964=0,0,IF($ED964=$DE964,1,0))</f>
        <v/>
      </c>
      <c r="EF964">
        <f>EF963+$EE964</f>
        <v/>
      </c>
      <c r="EG964">
        <f>IF($DM964=0,"",INDEX($EF$5:$EF$1003,$ED964))</f>
        <v/>
      </c>
      <c r="EH964">
        <f>IF($DM964=0,"",IF($DO964&lt;&gt;"","",IFERROR(LOOKUP(2,1/(($EG$4:EG963=$EG964)*($DO$4:DO963&lt;&gt;"")),$DO$4:DO963),"")))</f>
        <v/>
      </c>
      <c r="EI964">
        <f>IF($DM964=0,"",IF($DO964&lt;&gt;"",$DO964,$EH964))</f>
        <v/>
      </c>
      <c r="EJ964">
        <f>IF($DM964=0,"",IF($EI964="",0,IF(OR(ISNUMBER($EI964),AND(AND(SUBSTITUTE(SUBSTITUTE(SUBSTITUTE(SUBSTITUTE(SUBSTITUTE(SUBSTITUTE(SUBSTITUTE(SUBSTITUTE(SUBSTITUTE(SUBSTITUTE(SUBSTITUTE(SUBSTITUTE(SUBSTITUTE(SUBSTITUTE(UPPER($EI964),"0",""),"1",""),"2",""),"3",""),"4",""),"5",""),"6",""),"7",""),"8",""),"9",""),".",""),"+",""),"-",""),"E","")="",LEN(SUBSTITUTE(SUBSTITUTE(MID(UPPER($EI964),1+OR(LEFT(UPPER($EI964),1)="+",LEFT(UPPER($EI964),1)="-"),999),"E+","E"),"E-","E"))=LEN(SUBSTITUTE(SUBSTITUTE(SUBSTITUTE(SUBSTITUTE(MID(UPPER($EI964),1+OR(LEFT(UPPER($EI964),1)="+",LEFT(UPPER($EI964),1)="-"),999),"E+","E"),"E-","E"),"+",""),"-","")),LEN(UPPER($EI964))-LEN(SUBSTITUTE(UPPER($EI964),"E",""))&lt;2,LEN(UPPER($EI964))-LEN(SUBSTITUTE(UPPER($EI964),".",""))&lt;2,IFERROR(FIND(".",UPPER($EI964)),0)&lt;IFERROR(FIND("E",UPPER($EI964)),999)),ISNUMBER(VALUE($EI964)))),1,2)))</f>
        <v/>
      </c>
      <c r="EK964">
        <f>IF($DM964=0,"",IF($EJ964=1,IF(ISNUMBER($EI964),$EI964,VALUE($EI964)),IF($EJ964=2,$DE964,0)))</f>
        <v/>
      </c>
      <c r="EL964">
        <f>IF($DM964=0,"",COUNTIF($EG$5:$EG$1003,"&lt;"&amp;$EG964)+SUMPRODUCT(($EG$5:$EG$1003=$EG964)*(($EJ$5:$EJ$1003&lt;$EJ964)+($EJ$5:$EJ$1003=$EJ964)*(($EK$5:$EK$1003&lt;$EK964)+($EK$5:$EK$1003=$EK964)*($DE$5:$DE$1003&lt;$DE964))))+1)</f>
        <v/>
      </c>
      <c r="EM964">
        <f>IF($DM964=0,"",$EL964+$EG964-1)</f>
        <v/>
      </c>
      <c r="EN964">
        <f>IF($DM964=0,0,IFERROR(MATCH(1,INDEX(--(TRIM(SUBSTITUTE(SUBSTITUTE(SUBSTITUTE(SUBSTITUTE(LINES_NAME&amp;""," "," "),CHAR(9)," "),CHAR(10)," "),CHAR(13)," "))=$DH964),0),0),0))</f>
        <v/>
      </c>
      <c r="EO964">
        <f>IF($EN964=0,0,IF(OR(UPPER(TRIM(INDEX(LINES_SCHEDULED,$EN964)&amp;""))="YES",UPPER(TRIM(INDEX(LINES_SCHEDULED,$EN964)&amp;""))="Y",UPPER(TRIM(INDEX(LINES_SCHEDULED,$EN964)&amp;""))="X"),1,0))</f>
        <v/>
      </c>
      <c r="EP964">
        <f>IF($DM964=0,"",IF(COUNTIFS($EG$5:$EG$1003,$EG964,$EB$5:$EB$1003,"Ready")&gt;0,"READY",IF(COUNTIFS($EG$5:$EG$1003,$EG964,$EB$5:$EB$1003,"PM")&gt;0,"PM",IF(COUNTIFS($EG$5:$EG$1003,$EG964,$EB$5:$EB$1003,"OT")&gt;0,"OT",""))))</f>
        <v/>
      </c>
      <c r="EQ964">
        <f>IF($EN964=0,"",UPPER(TRIM(INDEX(LINES_STATUS,$EN964)&amp;"")))</f>
        <v/>
      </c>
      <c r="ER964">
        <f>IF($DM964=0,"",IF(OR($EQ964="READY",$EQ964="PM",$EQ964="OT"),$EQ964,$EP964))</f>
        <v/>
      </c>
      <c r="ES964">
        <f>IF($DM964=0,"",IF(AND($DV964&lt;&gt;"",UPPER($DV964)&lt;&gt;"N"),"allergen",IF(ISNUMBER(SEARCH("oil",$DQ964)),"oil",IF(OR(EXACT($DS964,"A662"),EXACT($DS964,"A624")),"bulk",""))))</f>
        <v/>
      </c>
      <c r="ET964">
        <f>IF($DM964=0,"",IF(OR($EA964="",$EA964=0),"",$EA964/100))</f>
        <v/>
      </c>
      <c r="EU964">
        <f>IF(OR($ET964="",$DY964=""),"",INT($DY964*(1-$ET964)+0.5))</f>
        <v/>
      </c>
    </row>
    <row r="965">
      <c r="DA965" t="n">
        <v>961</v>
      </c>
      <c r="DB965">
        <f>IF($B$37=0,"",IFERROR(TRIM(SUBSTITUTE(SUBSTITUTE(SUBSTITUTE(SUBSTITUTE(INDEX(PASTE_ALL,961,$B$37)," "," "),CHAR(9)," "),CHAR(10)," "),CHAR(13)," ")),""))</f>
        <v/>
      </c>
      <c r="DC965">
        <f>IF(AND(961&gt;HEADER_ROW,UPPER(DB965)="LEGEND"),1,0)</f>
        <v/>
      </c>
      <c r="DE965" t="n">
        <v>961</v>
      </c>
      <c r="DF965">
        <f>HEADER_ROW+$DE965</f>
        <v/>
      </c>
      <c r="DG965">
        <f>IF(AND($DF965&lt;=1000,$DF965&lt;$B$8),1,0)</f>
        <v/>
      </c>
      <c r="DH965">
        <f>IF($DG965=1,IFERROR(INDEX($DB$5:$DB$1004,$DF965),""),"")</f>
        <v/>
      </c>
      <c r="DI965">
        <f>IF(AND($DG965=1,$DH965&lt;&gt;""),IFERROR(SUBSTITUTE(SUBSTITUTE(TRIM(SUBSTITUTE(SUBSTITUTE(SUBSTITUTE(SUBSTITUTE(IFERROR(INDEX(PASTE_ALL,$DF965,1)&amp;"","")&amp;"␟"&amp;IFERROR(INDEX(PASTE_ALL,$DF965,2)&amp;"","")&amp;"␟"&amp;IFERROR(INDEX(PASTE_ALL,$DF965,3)&amp;"","")&amp;"␟"&amp;IFERROR(INDEX(PASTE_ALL,$DF965,4)&amp;"","")&amp;"␟"&amp;IFERROR(INDEX(PASTE_ALL,$DF965,5)&amp;"","")&amp;"␟"&amp;IFERROR(INDEX(PASTE_ALL,$DF965,6)&amp;"","")&amp;"␟"&amp;IFERROR(INDEX(PASTE_ALL,$DF965,7)&amp;"","")&amp;"␟"&amp;IFERROR(INDEX(PASTE_ALL,$DF965,8)&amp;"","")&amp;"␟"&amp;IFERROR(INDEX(PASTE_ALL,$DF965,9)&amp;"","")&amp;"␟"&amp;IFERROR(INDEX(PASTE_ALL,$DF965,10)&amp;"","")&amp;"␟"&amp;IFERROR(INDEX(PASTE_ALL,$DF965,11)&amp;"","")&amp;"␟"&amp;IFERROR(INDEX(PASTE_ALL,$DF965,12)&amp;"","")&amp;"␟"&amp;IFERROR(INDEX(PASTE_ALL,$DF965,13)&amp;"","")&amp;"␟"&amp;IFERROR(INDEX(PASTE_ALL,$DF965,14)&amp;"","")&amp;"␟"&amp;IFERROR(INDEX(PASTE_ALL,$DF965,15)&amp;"","")&amp;"␟"&amp;IFERROR(INDEX(PASTE_ALL,$DF965,16)&amp;"","")&amp;"␟"&amp;IFERROR(INDEX(PASTE_ALL,$DF965,17)&amp;"","")&amp;"␟"&amp;IFERROR(INDEX(PASTE_ALL,$DF965,18)&amp;"","")&amp;"␟"&amp;IFERROR(INDEX(PASTE_ALL,$DF965,19)&amp;"","")&amp;"␟"&amp;IFERROR(INDEX(PASTE_ALL,$DF965,20)&amp;"","")&amp;"␟"&amp;IFERROR(INDEX(PASTE_ALL,$DF965,21)&amp;"","")&amp;"␟"&amp;IFERROR(INDEX(PASTE_ALL,$DF965,22)&amp;"","")&amp;"␟"&amp;IFERROR(INDEX(PASTE_ALL,$DF965,23)&amp;"","")&amp;"␟"&amp;IFERROR(INDEX(PASTE_ALL,$DF965,24)&amp;"","")&amp;"␟"&amp;IFERROR(INDEX(PASTE_ALL,$DF965,25)&amp;"","")&amp;"␟"&amp;IFERROR(INDEX(PASTE_ALL,$DF965,26)&amp;"","")&amp;"␟"&amp;IFERROR(INDEX(PASTE_ALL,$DF965,27)&amp;"","")&amp;"␟"&amp;IFERROR(INDEX(PASTE_ALL,$DF965,28)&amp;"","")&amp;"␟"&amp;IFERROR(INDEX(PASTE_ALL,$DF965,29)&amp;"","")&amp;"␟"&amp;IFERROR(INDEX(PASTE_ALL,$DF965,30)&amp;"","")&amp;"␟"&amp;IFERROR(INDEX(PASTE_ALL,$DF965,31)&amp;"","")&amp;"␟"&amp;IFERROR(INDEX(PASTE_ALL,$DF965,32)&amp;"","")&amp;"␟"&amp;IFERROR(INDEX(PASTE_ALL,$DF965,33)&amp;"","")&amp;"␟"&amp;IFERROR(INDEX(PASTE_ALL,$DF965,34)&amp;"","")&amp;"␟"&amp;IFERROR(INDEX(PASTE_ALL,$DF965,35)&amp;"","")&amp;"␟"&amp;IFERROR(INDEX(PASTE_ALL,$DF965,36)&amp;"","")&amp;"␟"&amp;IFERROR(INDEX(PASTE_ALL,$DF965,37)&amp;"","")&amp;"␟"&amp;IFERROR(INDEX(PASTE_ALL,$DF965,38)&amp;"","")&amp;"␟"&amp;IFERROR(INDEX(PASTE_ALL,$DF965,39)&amp;"","")&amp;"␟"&amp;IFERROR(INDEX(PASTE_ALL,$DF965,40)&amp;"","")&amp;"␟"&amp;IFERROR(INDEX(PASTE_ALL,$DF965,41)&amp;"","")&amp;"␟"&amp;IFERROR(INDEX(PASTE_ALL,$DF965,42)&amp;"","")&amp;"␟"&amp;IFERROR(INDEX(PASTE_ALL,$DF965,43)&amp;"","")&amp;"␟"&amp;IFERROR(INDEX(PASTE_ALL,$DF965,44)&amp;"","")&amp;"␟"&amp;IFERROR(INDEX(PASTE_ALL,$DF965,45)&amp;"","")&amp;"␟"&amp;IFERROR(INDEX(PASTE_ALL,$DF965,46)&amp;"","")&amp;"␟"&amp;IFERROR(INDEX(PASTE_ALL,$DF965,47)&amp;"","")&amp;"␟"&amp;IFERROR(INDEX(PASTE_ALL,$DF965,48)&amp;"","")&amp;"␟"&amp;IFERROR(INDEX(PASTE_ALL,$DF965,49)&amp;"","")&amp;"␟"&amp;IFERROR(INDEX(PASTE_ALL,$DF965,50)&amp;"","")&amp;"␟"&amp;IFERROR(INDEX(PASTE_ALL,$DF965,51)&amp;"","")&amp;"␟"&amp;IFERROR(INDEX(PASTE_ALL,$DF965,52)&amp;"","")&amp;"␟"&amp;IFERROR(INDEX(PASTE_ALL,$DF965,53)&amp;"","")&amp;"␟"&amp;IFERROR(INDEX(PASTE_ALL,$DF965,54)&amp;"","")&amp;"␟"&amp;IFERROR(INDEX(PASTE_ALL,$DF965,55)&amp;"","")&amp;"␟"&amp;IFERROR(INDEX(PASTE_ALL,$DF965,56)&amp;"","")&amp;"␟"&amp;IFERROR(INDEX(PASTE_ALL,$DF965,57)&amp;"","")&amp;"␟"&amp;IFERROR(INDEX(PASTE_ALL,$DF965,58)&amp;"","")&amp;"␟"&amp;IFERROR(INDEX(PASTE_ALL,$DF965,59)&amp;"","")&amp;"␟"&amp;IFERROR(INDEX(PASTE_ALL,$DF965,60)&amp;"","")," "," "),CHAR(9)," "),CHAR(10)," "),CHAR(13)," "))," ␟","␟"),"␟ ","␟"),"#"&amp;$DE965),"")</f>
        <v/>
      </c>
      <c r="DJ965">
        <f>IF($DI965="",0,IF(SUMPRODUCT(--EXACT($DI$4:DI964,$DI965))&gt;0,1,0))</f>
        <v/>
      </c>
      <c r="DK965">
        <f>IF(AND($DI965&lt;&gt;"",$DJ965=0),1,0)</f>
        <v/>
      </c>
      <c r="DL965">
        <f>DL964+$DK965</f>
        <v/>
      </c>
      <c r="DM965">
        <f>IF(AND($DK965=1,$DL965&lt;=600),1,0)</f>
        <v/>
      </c>
      <c r="DN965">
        <f>IF($DM965=0,"",IF($L$6=0,"",IFERROR(IF(ISNUMBER(INDEX(PASTE_ALL,$DF965,$L$6)),INDEX(PASTE_ALL,$DF965,$L$6),TRIM(SUBSTITUTE(SUBSTITUTE(SUBSTITUTE(SUBSTITUTE(INDEX(PASTE_ALL,$DF965,$L$6)," "," "),CHAR(9)," "),CHAR(10)," "),CHAR(13)," "))),"")))</f>
        <v/>
      </c>
      <c r="DO965">
        <f>IF($DM965=0,"",IF($L$7=0,"",IFERROR(IF(ISNUMBER(INDEX(PASTE_ALL,$DF965,$L$7)),INDEX(PASTE_ALL,$DF965,$L$7),TRIM(SUBSTITUTE(SUBSTITUTE(SUBSTITUTE(SUBSTITUTE(INDEX(PASTE_ALL,$DF965,$L$7)," "," "),CHAR(9)," "),CHAR(10)," "),CHAR(13)," "))),"")))</f>
        <v/>
      </c>
      <c r="DP965">
        <f>IF($DM965=0,"",IF($L$8=0,"",IFERROR(IF(ISNUMBER(INDEX(PASTE_ALL,$DF965,$L$8)),INDEX(PASTE_ALL,$DF965,$L$8),TRIM(SUBSTITUTE(SUBSTITUTE(SUBSTITUTE(SUBSTITUTE(INDEX(PASTE_ALL,$DF965,$L$8)," "," "),CHAR(9)," "),CHAR(10)," "),CHAR(13)," "))),"")))</f>
        <v/>
      </c>
      <c r="DQ965">
        <f>IF($DM965=0,"",IF($L$9=0,"",IFERROR(IF(ISNUMBER(INDEX(PASTE_ALL,$DF965,$L$9)),INDEX(PASTE_ALL,$DF965,$L$9),TRIM(SUBSTITUTE(SUBSTITUTE(SUBSTITUTE(SUBSTITUTE(INDEX(PASTE_ALL,$DF965,$L$9)," "," "),CHAR(9)," "),CHAR(10)," "),CHAR(13)," "))),"")))</f>
        <v/>
      </c>
      <c r="DR965">
        <f>IF($DM965=0,"",IF($L$10=0,"",IFERROR(IF(ISNUMBER(INDEX(PASTE_ALL,$DF965,$L$10)),INDEX(PASTE_ALL,$DF965,$L$10),TRIM(SUBSTITUTE(SUBSTITUTE(SUBSTITUTE(SUBSTITUTE(INDEX(PASTE_ALL,$DF965,$L$10)," "," "),CHAR(9)," "),CHAR(10)," "),CHAR(13)," "))),"")))</f>
        <v/>
      </c>
      <c r="DS965">
        <f>IF($DM965=0,"",IF($L$11=0,"",IFERROR(IF(ISNUMBER(INDEX(PASTE_ALL,$DF965,$L$11)),INDEX(PASTE_ALL,$DF965,$L$11),TRIM(SUBSTITUTE(SUBSTITUTE(SUBSTITUTE(SUBSTITUTE(INDEX(PASTE_ALL,$DF965,$L$11)," "," "),CHAR(9)," "),CHAR(10)," "),CHAR(13)," "))),"")))</f>
        <v/>
      </c>
      <c r="DT965">
        <f>IF($DM965=0,"",IF($L$12=0,"",IFERROR(IF(ISNUMBER(INDEX(PASTE_ALL,$DF965,$L$12)),INDEX(PASTE_ALL,$DF965,$L$12),TRIM(SUBSTITUTE(SUBSTITUTE(SUBSTITUTE(SUBSTITUTE(INDEX(PASTE_ALL,$DF965,$L$12)," "," "),CHAR(9)," "),CHAR(10)," "),CHAR(13)," "))),"")))</f>
        <v/>
      </c>
      <c r="DU965">
        <f>IF($DM965=0,"",IF($L$13=0,"",IFERROR(IF(ISNUMBER(INDEX(PASTE_ALL,$DF965,$L$13)),INDEX(PASTE_ALL,$DF965,$L$13),TRIM(SUBSTITUTE(SUBSTITUTE(SUBSTITUTE(SUBSTITUTE(INDEX(PASTE_ALL,$DF965,$L$13)," "," "),CHAR(9)," "),CHAR(10)," "),CHAR(13)," "))),"")))</f>
        <v/>
      </c>
      <c r="DV965">
        <f>IF($DM965=0,"",IF($L$14=0,"",IFERROR(IF(ISNUMBER(INDEX(PASTE_ALL,$DF965,$L$14)),INDEX(PASTE_ALL,$DF965,$L$14),TRIM(SUBSTITUTE(SUBSTITUTE(SUBSTITUTE(SUBSTITUTE(INDEX(PASTE_ALL,$DF965,$L$14)," "," "),CHAR(9)," "),CHAR(10)," "),CHAR(13)," "))),"")))</f>
        <v/>
      </c>
      <c r="DW965">
        <f>IF($DM965=0,"",IF($L$15=0,"",IFERROR(IF(ISNUMBER(INDEX(PASTE_ALL,$DF965,$L$15)),INDEX(PASTE_ALL,$DF965,$L$15),IF(SUMPRODUCT(--ISNUMBER(FIND({"A","B","C","D","E","F","G","H","I","J","K","L","M","N","O","P","Q","R","S","T","U","V","W","X","Y","Z","0","1","2","3","4","5","6","7","8","9"},UPPER(TRIM(SUBSTITUTE(SUBSTITUTE(SUBSTITUTE(SUBSTITUTE(INDEX(PASTE_ALL,$DF965,$L$15)," "," "),CHAR(9)," "),CHAR(10)," "),CHAR(13)," "))))))&gt;0,TRIM(SUBSTITUTE(SUBSTITUTE(SUBSTITUTE(SUBSTITUTE(INDEX(PASTE_ALL,$DF965,$L$15)," "," "),CHAR(9)," "),CHAR(10)," "),CHAR(13)," ")),"")),"")))</f>
        <v/>
      </c>
      <c r="DX965">
        <f>IF($DM965=0,"",IF($L$16=0,"",IFERROR(IF(ISNUMBER(INDEX(PASTE_ALL,$DF965,$L$16)),INDEX(PASTE_ALL,$DF965,$L$16),SUBSTITUTE(SUBSTITUTE(TRIM(SUBSTITUTE(SUBSTITUTE(SUBSTITUTE(SUBSTITUTE(INDEX(PASTE_ALL,$DF965,$L$16)," "," "),CHAR(9)," "),CHAR(10)," "),CHAR(13)," ")),",",""),"%","")),"")))</f>
        <v/>
      </c>
      <c r="DY965">
        <f>IF($DM965=0,"",IFERROR(IF(ISNUMBER($DX965),$DX965,IF($DX965="","",IF(TRIM($DX965)="",0,IF(AND(AND(SUBSTITUTE(SUBSTITUTE(SUBSTITUTE(SUBSTITUTE(SUBSTITUTE(SUBSTITUTE(SUBSTITUTE(SUBSTITUTE(SUBSTITUTE(SUBSTITUTE(SUBSTITUTE(SUBSTITUTE(SUBSTITUTE(SUBSTITUTE(UPPER(TRIM($DX965)),"0",""),"1",""),"2",""),"3",""),"4",""),"5",""),"6",""),"7",""),"8",""),"9",""),".",""),"+",""),"-",""),"E","")="",LEN(SUBSTITUTE(SUBSTITUTE(MID(UPPER(TRIM($DX965)),1+OR(LEFT(UPPER(TRIM($DX965)),1)="+",LEFT(UPPER(TRIM($DX965)),1)="-"),999),"E+","E"),"E-","E"))=LEN(SUBSTITUTE(SUBSTITUTE(SUBSTITUTE(SUBSTITUTE(MID(UPPER(TRIM($DX965)),1+OR(LEFT(UPPER(TRIM($DX965)),1)="+",LEFT(UPPER(TRIM($DX965)),1)="-"),999),"E+","E"),"E-","E"),"+",""),"-","")),LEN(UPPER(TRIM($DX965)))-LEN(SUBSTITUTE(UPPER(TRIM($DX965)),"E",""))&lt;2,LEN(UPPER(TRIM($DX965)))-LEN(SUBSTITUTE(UPPER(TRIM($DX965)),".",""))&lt;2,IFERROR(FIND(".",UPPER(TRIM($DX965))),0)&lt;IFERROR(FIND("E",UPPER(TRIM($DX965))),999)),ISNUMBER(VALUE(TRIM($DX965)))),VALUE(TRIM($DX965)),"")))),""))</f>
        <v/>
      </c>
      <c r="DZ965">
        <f>IF($DM965=0,"",IF($L$17=0,"",IFERROR(IF(ISNUMBER(INDEX(PASTE_ALL,$DF965,$L$17)),INDEX(PASTE_ALL,$DF965,$L$17),SUBSTITUTE(SUBSTITUTE(TRIM(SUBSTITUTE(SUBSTITUTE(SUBSTITUTE(SUBSTITUTE(INDEX(PASTE_ALL,$DF965,$L$17)," "," "),CHAR(9)," "),CHAR(10)," "),CHAR(13)," ")),",",""),"%","")),"")))</f>
        <v/>
      </c>
      <c r="EA965">
        <f>IF($DM965=0,"",IFERROR(IF(ISNUMBER($DZ965),$DZ965,IF($DZ965="","",IF(TRIM($DZ965)="",0,IF(AND(AND(SUBSTITUTE(SUBSTITUTE(SUBSTITUTE(SUBSTITUTE(SUBSTITUTE(SUBSTITUTE(SUBSTITUTE(SUBSTITUTE(SUBSTITUTE(SUBSTITUTE(SUBSTITUTE(SUBSTITUTE(SUBSTITUTE(SUBSTITUTE(UPPER(TRIM($DZ965)),"0",""),"1",""),"2",""),"3",""),"4",""),"5",""),"6",""),"7",""),"8",""),"9",""),".",""),"+",""),"-",""),"E","")="",LEN(SUBSTITUTE(SUBSTITUTE(MID(UPPER(TRIM($DZ965)),1+OR(LEFT(UPPER(TRIM($DZ965)),1)="+",LEFT(UPPER(TRIM($DZ965)),1)="-"),999),"E+","E"),"E-","E"))=LEN(SUBSTITUTE(SUBSTITUTE(SUBSTITUTE(SUBSTITUTE(MID(UPPER(TRIM($DZ965)),1+OR(LEFT(UPPER(TRIM($DZ965)),1)="+",LEFT(UPPER(TRIM($DZ965)),1)="-"),999),"E+","E"),"E-","E"),"+",""),"-","")),LEN(UPPER(TRIM($DZ965)))-LEN(SUBSTITUTE(UPPER(TRIM($DZ965)),"E",""))&lt;2,LEN(UPPER(TRIM($DZ965)))-LEN(SUBSTITUTE(UPPER(TRIM($DZ965)),".",""))&lt;2,IFERROR(FIND(".",UPPER(TRIM($DZ965))),0)&lt;IFERROR(FIND("E",UPPER(TRIM($DZ965))),999)),ISNUMBER(VALUE(TRIM($DZ965)))),VALUE(TRIM($DZ965)),"")))),""))</f>
        <v/>
      </c>
      <c r="EB965">
        <f>IF($DM965=0,"",IF($L$18=0,"",IFERROR(IF(UPPER(TRIM(SUBSTITUTE(SUBSTITUTE(SUBSTITUTE(SUBSTITUTE(INDEX(PASTE_ALL,$DF965,$L$18)," "," "),CHAR(9)," "),CHAR(10)," "),CHAR(13)," ")))="READY","Ready",IF(UPPER(TRIM(SUBSTITUTE(SUBSTITUTE(SUBSTITUTE(SUBSTITUTE(INDEX(PASTE_ALL,$DF965,$L$18)," "," "),CHAR(9)," "),CHAR(10)," "),CHAR(13)," ")))="PM","PM",IF(OR(UPPER(TRIM(SUBSTITUTE(SUBSTITUTE(SUBSTITUTE(SUBSTITUTE(INDEX(PASTE_ALL,$DF965,$L$18)," "," "),CHAR(9)," "),CHAR(10)," "),CHAR(13)," ")))="OT",UPPER(TRIM(SUBSTITUTE(SUBSTITUTE(SUBSTITUTE(SUBSTITUTE(INDEX(PASTE_ALL,$DF965,$L$18)," "," "),CHAR(9)," "),CHAR(10)," "),CHAR(13)," ")))="OVERTIME",UPPER(TRIM(SUBSTITUTE(SUBSTITUTE(SUBSTITUTE(SUBSTITUTE(INDEX(PASTE_ALL,$DF965,$L$18)," "," "),CHAR(9)," "),CHAR(10)," "),CHAR(13)," ")))="TRIAL"),"OT",TRIM(SUBSTITUTE(SUBSTITUTE(SUBSTITUTE(SUBSTITUTE(INDEX(PASTE_ALL,$DF965,$L$18)," "," "),CHAR(9)," "),CHAR(10)," "),CHAR(13)," "))))),"")))</f>
        <v/>
      </c>
      <c r="EC965">
        <f>IF($DM965=0,"",IF($L$19=0,"",IFERROR(IF(ISNUMBER(INDEX(PASTE_ALL,$DF965,$L$19)),INDEX(PASTE_ALL,$DF965,$L$19),TRIM(SUBSTITUTE(SUBSTITUTE(SUBSTITUTE(SUBSTITUTE(INDEX(PASTE_ALL,$DF965,$L$19)," "," "),CHAR(9)," "),CHAR(10)," "),CHAR(13)," "))),"")))</f>
        <v/>
      </c>
      <c r="ED965">
        <f>IF($DM965=0,"",MATCH(1,INDEX(EXACT($DH$5:DH965,$DH965)*$DM$5:DM965,0),0))</f>
        <v/>
      </c>
      <c r="EE965">
        <f>IF($DM965=0,0,IF($ED965=$DE965,1,0))</f>
        <v/>
      </c>
      <c r="EF965">
        <f>EF964+$EE965</f>
        <v/>
      </c>
      <c r="EG965">
        <f>IF($DM965=0,"",INDEX($EF$5:$EF$1003,$ED965))</f>
        <v/>
      </c>
      <c r="EH965">
        <f>IF($DM965=0,"",IF($DO965&lt;&gt;"","",IFERROR(LOOKUP(2,1/(($EG$4:EG964=$EG965)*($DO$4:DO964&lt;&gt;"")),$DO$4:DO964),"")))</f>
        <v/>
      </c>
      <c r="EI965">
        <f>IF($DM965=0,"",IF($DO965&lt;&gt;"",$DO965,$EH965))</f>
        <v/>
      </c>
      <c r="EJ965">
        <f>IF($DM965=0,"",IF($EI965="",0,IF(OR(ISNUMBER($EI965),AND(AND(SUBSTITUTE(SUBSTITUTE(SUBSTITUTE(SUBSTITUTE(SUBSTITUTE(SUBSTITUTE(SUBSTITUTE(SUBSTITUTE(SUBSTITUTE(SUBSTITUTE(SUBSTITUTE(SUBSTITUTE(SUBSTITUTE(SUBSTITUTE(UPPER($EI965),"0",""),"1",""),"2",""),"3",""),"4",""),"5",""),"6",""),"7",""),"8",""),"9",""),".",""),"+",""),"-",""),"E","")="",LEN(SUBSTITUTE(SUBSTITUTE(MID(UPPER($EI965),1+OR(LEFT(UPPER($EI965),1)="+",LEFT(UPPER($EI965),1)="-"),999),"E+","E"),"E-","E"))=LEN(SUBSTITUTE(SUBSTITUTE(SUBSTITUTE(SUBSTITUTE(MID(UPPER($EI965),1+OR(LEFT(UPPER($EI965),1)="+",LEFT(UPPER($EI965),1)="-"),999),"E+","E"),"E-","E"),"+",""),"-","")),LEN(UPPER($EI965))-LEN(SUBSTITUTE(UPPER($EI965),"E",""))&lt;2,LEN(UPPER($EI965))-LEN(SUBSTITUTE(UPPER($EI965),".",""))&lt;2,IFERROR(FIND(".",UPPER($EI965)),0)&lt;IFERROR(FIND("E",UPPER($EI965)),999)),ISNUMBER(VALUE($EI965)))),1,2)))</f>
        <v/>
      </c>
      <c r="EK965">
        <f>IF($DM965=0,"",IF($EJ965=1,IF(ISNUMBER($EI965),$EI965,VALUE($EI965)),IF($EJ965=2,$DE965,0)))</f>
        <v/>
      </c>
      <c r="EL965">
        <f>IF($DM965=0,"",COUNTIF($EG$5:$EG$1003,"&lt;"&amp;$EG965)+SUMPRODUCT(($EG$5:$EG$1003=$EG965)*(($EJ$5:$EJ$1003&lt;$EJ965)+($EJ$5:$EJ$1003=$EJ965)*(($EK$5:$EK$1003&lt;$EK965)+($EK$5:$EK$1003=$EK965)*($DE$5:$DE$1003&lt;$DE965))))+1)</f>
        <v/>
      </c>
      <c r="EM965">
        <f>IF($DM965=0,"",$EL965+$EG965-1)</f>
        <v/>
      </c>
      <c r="EN965">
        <f>IF($DM965=0,0,IFERROR(MATCH(1,INDEX(--(TRIM(SUBSTITUTE(SUBSTITUTE(SUBSTITUTE(SUBSTITUTE(LINES_NAME&amp;""," "," "),CHAR(9)," "),CHAR(10)," "),CHAR(13)," "))=$DH965),0),0),0))</f>
        <v/>
      </c>
      <c r="EO965">
        <f>IF($EN965=0,0,IF(OR(UPPER(TRIM(INDEX(LINES_SCHEDULED,$EN965)&amp;""))="YES",UPPER(TRIM(INDEX(LINES_SCHEDULED,$EN965)&amp;""))="Y",UPPER(TRIM(INDEX(LINES_SCHEDULED,$EN965)&amp;""))="X"),1,0))</f>
        <v/>
      </c>
      <c r="EP965">
        <f>IF($DM965=0,"",IF(COUNTIFS($EG$5:$EG$1003,$EG965,$EB$5:$EB$1003,"Ready")&gt;0,"READY",IF(COUNTIFS($EG$5:$EG$1003,$EG965,$EB$5:$EB$1003,"PM")&gt;0,"PM",IF(COUNTIFS($EG$5:$EG$1003,$EG965,$EB$5:$EB$1003,"OT")&gt;0,"OT",""))))</f>
        <v/>
      </c>
      <c r="EQ965">
        <f>IF($EN965=0,"",UPPER(TRIM(INDEX(LINES_STATUS,$EN965)&amp;"")))</f>
        <v/>
      </c>
      <c r="ER965">
        <f>IF($DM965=0,"",IF(OR($EQ965="READY",$EQ965="PM",$EQ965="OT"),$EQ965,$EP965))</f>
        <v/>
      </c>
      <c r="ES965">
        <f>IF($DM965=0,"",IF(AND($DV965&lt;&gt;"",UPPER($DV965)&lt;&gt;"N"),"allergen",IF(ISNUMBER(SEARCH("oil",$DQ965)),"oil",IF(OR(EXACT($DS965,"A662"),EXACT($DS965,"A624")),"bulk",""))))</f>
        <v/>
      </c>
      <c r="ET965">
        <f>IF($DM965=0,"",IF(OR($EA965="",$EA965=0),"",$EA965/100))</f>
        <v/>
      </c>
      <c r="EU965">
        <f>IF(OR($ET965="",$DY965=""),"",INT($DY965*(1-$ET965)+0.5))</f>
        <v/>
      </c>
    </row>
    <row r="966">
      <c r="DA966" t="n">
        <v>962</v>
      </c>
      <c r="DB966">
        <f>IF($B$37=0,"",IFERROR(TRIM(SUBSTITUTE(SUBSTITUTE(SUBSTITUTE(SUBSTITUTE(INDEX(PASTE_ALL,962,$B$37)," "," "),CHAR(9)," "),CHAR(10)," "),CHAR(13)," ")),""))</f>
        <v/>
      </c>
      <c r="DC966">
        <f>IF(AND(962&gt;HEADER_ROW,UPPER(DB966)="LEGEND"),1,0)</f>
        <v/>
      </c>
      <c r="DE966" t="n">
        <v>962</v>
      </c>
      <c r="DF966">
        <f>HEADER_ROW+$DE966</f>
        <v/>
      </c>
      <c r="DG966">
        <f>IF(AND($DF966&lt;=1000,$DF966&lt;$B$8),1,0)</f>
        <v/>
      </c>
      <c r="DH966">
        <f>IF($DG966=1,IFERROR(INDEX($DB$5:$DB$1004,$DF966),""),"")</f>
        <v/>
      </c>
      <c r="DI966">
        <f>IF(AND($DG966=1,$DH966&lt;&gt;""),IFERROR(SUBSTITUTE(SUBSTITUTE(TRIM(SUBSTITUTE(SUBSTITUTE(SUBSTITUTE(SUBSTITUTE(IFERROR(INDEX(PASTE_ALL,$DF966,1)&amp;"","")&amp;"␟"&amp;IFERROR(INDEX(PASTE_ALL,$DF966,2)&amp;"","")&amp;"␟"&amp;IFERROR(INDEX(PASTE_ALL,$DF966,3)&amp;"","")&amp;"␟"&amp;IFERROR(INDEX(PASTE_ALL,$DF966,4)&amp;"","")&amp;"␟"&amp;IFERROR(INDEX(PASTE_ALL,$DF966,5)&amp;"","")&amp;"␟"&amp;IFERROR(INDEX(PASTE_ALL,$DF966,6)&amp;"","")&amp;"␟"&amp;IFERROR(INDEX(PASTE_ALL,$DF966,7)&amp;"","")&amp;"␟"&amp;IFERROR(INDEX(PASTE_ALL,$DF966,8)&amp;"","")&amp;"␟"&amp;IFERROR(INDEX(PASTE_ALL,$DF966,9)&amp;"","")&amp;"␟"&amp;IFERROR(INDEX(PASTE_ALL,$DF966,10)&amp;"","")&amp;"␟"&amp;IFERROR(INDEX(PASTE_ALL,$DF966,11)&amp;"","")&amp;"␟"&amp;IFERROR(INDEX(PASTE_ALL,$DF966,12)&amp;"","")&amp;"␟"&amp;IFERROR(INDEX(PASTE_ALL,$DF966,13)&amp;"","")&amp;"␟"&amp;IFERROR(INDEX(PASTE_ALL,$DF966,14)&amp;"","")&amp;"␟"&amp;IFERROR(INDEX(PASTE_ALL,$DF966,15)&amp;"","")&amp;"␟"&amp;IFERROR(INDEX(PASTE_ALL,$DF966,16)&amp;"","")&amp;"␟"&amp;IFERROR(INDEX(PASTE_ALL,$DF966,17)&amp;"","")&amp;"␟"&amp;IFERROR(INDEX(PASTE_ALL,$DF966,18)&amp;"","")&amp;"␟"&amp;IFERROR(INDEX(PASTE_ALL,$DF966,19)&amp;"","")&amp;"␟"&amp;IFERROR(INDEX(PASTE_ALL,$DF966,20)&amp;"","")&amp;"␟"&amp;IFERROR(INDEX(PASTE_ALL,$DF966,21)&amp;"","")&amp;"␟"&amp;IFERROR(INDEX(PASTE_ALL,$DF966,22)&amp;"","")&amp;"␟"&amp;IFERROR(INDEX(PASTE_ALL,$DF966,23)&amp;"","")&amp;"␟"&amp;IFERROR(INDEX(PASTE_ALL,$DF966,24)&amp;"","")&amp;"␟"&amp;IFERROR(INDEX(PASTE_ALL,$DF966,25)&amp;"","")&amp;"␟"&amp;IFERROR(INDEX(PASTE_ALL,$DF966,26)&amp;"","")&amp;"␟"&amp;IFERROR(INDEX(PASTE_ALL,$DF966,27)&amp;"","")&amp;"␟"&amp;IFERROR(INDEX(PASTE_ALL,$DF966,28)&amp;"","")&amp;"␟"&amp;IFERROR(INDEX(PASTE_ALL,$DF966,29)&amp;"","")&amp;"␟"&amp;IFERROR(INDEX(PASTE_ALL,$DF966,30)&amp;"","")&amp;"␟"&amp;IFERROR(INDEX(PASTE_ALL,$DF966,31)&amp;"","")&amp;"␟"&amp;IFERROR(INDEX(PASTE_ALL,$DF966,32)&amp;"","")&amp;"␟"&amp;IFERROR(INDEX(PASTE_ALL,$DF966,33)&amp;"","")&amp;"␟"&amp;IFERROR(INDEX(PASTE_ALL,$DF966,34)&amp;"","")&amp;"␟"&amp;IFERROR(INDEX(PASTE_ALL,$DF966,35)&amp;"","")&amp;"␟"&amp;IFERROR(INDEX(PASTE_ALL,$DF966,36)&amp;"","")&amp;"␟"&amp;IFERROR(INDEX(PASTE_ALL,$DF966,37)&amp;"","")&amp;"␟"&amp;IFERROR(INDEX(PASTE_ALL,$DF966,38)&amp;"","")&amp;"␟"&amp;IFERROR(INDEX(PASTE_ALL,$DF966,39)&amp;"","")&amp;"␟"&amp;IFERROR(INDEX(PASTE_ALL,$DF966,40)&amp;"","")&amp;"␟"&amp;IFERROR(INDEX(PASTE_ALL,$DF966,41)&amp;"","")&amp;"␟"&amp;IFERROR(INDEX(PASTE_ALL,$DF966,42)&amp;"","")&amp;"␟"&amp;IFERROR(INDEX(PASTE_ALL,$DF966,43)&amp;"","")&amp;"␟"&amp;IFERROR(INDEX(PASTE_ALL,$DF966,44)&amp;"","")&amp;"␟"&amp;IFERROR(INDEX(PASTE_ALL,$DF966,45)&amp;"","")&amp;"␟"&amp;IFERROR(INDEX(PASTE_ALL,$DF966,46)&amp;"","")&amp;"␟"&amp;IFERROR(INDEX(PASTE_ALL,$DF966,47)&amp;"","")&amp;"␟"&amp;IFERROR(INDEX(PASTE_ALL,$DF966,48)&amp;"","")&amp;"␟"&amp;IFERROR(INDEX(PASTE_ALL,$DF966,49)&amp;"","")&amp;"␟"&amp;IFERROR(INDEX(PASTE_ALL,$DF966,50)&amp;"","")&amp;"␟"&amp;IFERROR(INDEX(PASTE_ALL,$DF966,51)&amp;"","")&amp;"␟"&amp;IFERROR(INDEX(PASTE_ALL,$DF966,52)&amp;"","")&amp;"␟"&amp;IFERROR(INDEX(PASTE_ALL,$DF966,53)&amp;"","")&amp;"␟"&amp;IFERROR(INDEX(PASTE_ALL,$DF966,54)&amp;"","")&amp;"␟"&amp;IFERROR(INDEX(PASTE_ALL,$DF966,55)&amp;"","")&amp;"␟"&amp;IFERROR(INDEX(PASTE_ALL,$DF966,56)&amp;"","")&amp;"␟"&amp;IFERROR(INDEX(PASTE_ALL,$DF966,57)&amp;"","")&amp;"␟"&amp;IFERROR(INDEX(PASTE_ALL,$DF966,58)&amp;"","")&amp;"␟"&amp;IFERROR(INDEX(PASTE_ALL,$DF966,59)&amp;"","")&amp;"␟"&amp;IFERROR(INDEX(PASTE_ALL,$DF966,60)&amp;"","")," "," "),CHAR(9)," "),CHAR(10)," "),CHAR(13)," "))," ␟","␟"),"␟ ","␟"),"#"&amp;$DE966),"")</f>
        <v/>
      </c>
      <c r="DJ966">
        <f>IF($DI966="",0,IF(SUMPRODUCT(--EXACT($DI$4:DI965,$DI966))&gt;0,1,0))</f>
        <v/>
      </c>
      <c r="DK966">
        <f>IF(AND($DI966&lt;&gt;"",$DJ966=0),1,0)</f>
        <v/>
      </c>
      <c r="DL966">
        <f>DL965+$DK966</f>
        <v/>
      </c>
      <c r="DM966">
        <f>IF(AND($DK966=1,$DL966&lt;=600),1,0)</f>
        <v/>
      </c>
      <c r="DN966">
        <f>IF($DM966=0,"",IF($L$6=0,"",IFERROR(IF(ISNUMBER(INDEX(PASTE_ALL,$DF966,$L$6)),INDEX(PASTE_ALL,$DF966,$L$6),TRIM(SUBSTITUTE(SUBSTITUTE(SUBSTITUTE(SUBSTITUTE(INDEX(PASTE_ALL,$DF966,$L$6)," "," "),CHAR(9)," "),CHAR(10)," "),CHAR(13)," "))),"")))</f>
        <v/>
      </c>
      <c r="DO966">
        <f>IF($DM966=0,"",IF($L$7=0,"",IFERROR(IF(ISNUMBER(INDEX(PASTE_ALL,$DF966,$L$7)),INDEX(PASTE_ALL,$DF966,$L$7),TRIM(SUBSTITUTE(SUBSTITUTE(SUBSTITUTE(SUBSTITUTE(INDEX(PASTE_ALL,$DF966,$L$7)," "," "),CHAR(9)," "),CHAR(10)," "),CHAR(13)," "))),"")))</f>
        <v/>
      </c>
      <c r="DP966">
        <f>IF($DM966=0,"",IF($L$8=0,"",IFERROR(IF(ISNUMBER(INDEX(PASTE_ALL,$DF966,$L$8)),INDEX(PASTE_ALL,$DF966,$L$8),TRIM(SUBSTITUTE(SUBSTITUTE(SUBSTITUTE(SUBSTITUTE(INDEX(PASTE_ALL,$DF966,$L$8)," "," "),CHAR(9)," "),CHAR(10)," "),CHAR(13)," "))),"")))</f>
        <v/>
      </c>
      <c r="DQ966">
        <f>IF($DM966=0,"",IF($L$9=0,"",IFERROR(IF(ISNUMBER(INDEX(PASTE_ALL,$DF966,$L$9)),INDEX(PASTE_ALL,$DF966,$L$9),TRIM(SUBSTITUTE(SUBSTITUTE(SUBSTITUTE(SUBSTITUTE(INDEX(PASTE_ALL,$DF966,$L$9)," "," "),CHAR(9)," "),CHAR(10)," "),CHAR(13)," "))),"")))</f>
        <v/>
      </c>
      <c r="DR966">
        <f>IF($DM966=0,"",IF($L$10=0,"",IFERROR(IF(ISNUMBER(INDEX(PASTE_ALL,$DF966,$L$10)),INDEX(PASTE_ALL,$DF966,$L$10),TRIM(SUBSTITUTE(SUBSTITUTE(SUBSTITUTE(SUBSTITUTE(INDEX(PASTE_ALL,$DF966,$L$10)," "," "),CHAR(9)," "),CHAR(10)," "),CHAR(13)," "))),"")))</f>
        <v/>
      </c>
      <c r="DS966">
        <f>IF($DM966=0,"",IF($L$11=0,"",IFERROR(IF(ISNUMBER(INDEX(PASTE_ALL,$DF966,$L$11)),INDEX(PASTE_ALL,$DF966,$L$11),TRIM(SUBSTITUTE(SUBSTITUTE(SUBSTITUTE(SUBSTITUTE(INDEX(PASTE_ALL,$DF966,$L$11)," "," "),CHAR(9)," "),CHAR(10)," "),CHAR(13)," "))),"")))</f>
        <v/>
      </c>
      <c r="DT966">
        <f>IF($DM966=0,"",IF($L$12=0,"",IFERROR(IF(ISNUMBER(INDEX(PASTE_ALL,$DF966,$L$12)),INDEX(PASTE_ALL,$DF966,$L$12),TRIM(SUBSTITUTE(SUBSTITUTE(SUBSTITUTE(SUBSTITUTE(INDEX(PASTE_ALL,$DF966,$L$12)," "," "),CHAR(9)," "),CHAR(10)," "),CHAR(13)," "))),"")))</f>
        <v/>
      </c>
      <c r="DU966">
        <f>IF($DM966=0,"",IF($L$13=0,"",IFERROR(IF(ISNUMBER(INDEX(PASTE_ALL,$DF966,$L$13)),INDEX(PASTE_ALL,$DF966,$L$13),TRIM(SUBSTITUTE(SUBSTITUTE(SUBSTITUTE(SUBSTITUTE(INDEX(PASTE_ALL,$DF966,$L$13)," "," "),CHAR(9)," "),CHAR(10)," "),CHAR(13)," "))),"")))</f>
        <v/>
      </c>
      <c r="DV966">
        <f>IF($DM966=0,"",IF($L$14=0,"",IFERROR(IF(ISNUMBER(INDEX(PASTE_ALL,$DF966,$L$14)),INDEX(PASTE_ALL,$DF966,$L$14),TRIM(SUBSTITUTE(SUBSTITUTE(SUBSTITUTE(SUBSTITUTE(INDEX(PASTE_ALL,$DF966,$L$14)," "," "),CHAR(9)," "),CHAR(10)," "),CHAR(13)," "))),"")))</f>
        <v/>
      </c>
      <c r="DW966">
        <f>IF($DM966=0,"",IF($L$15=0,"",IFERROR(IF(ISNUMBER(INDEX(PASTE_ALL,$DF966,$L$15)),INDEX(PASTE_ALL,$DF966,$L$15),IF(SUMPRODUCT(--ISNUMBER(FIND({"A","B","C","D","E","F","G","H","I","J","K","L","M","N","O","P","Q","R","S","T","U","V","W","X","Y","Z","0","1","2","3","4","5","6","7","8","9"},UPPER(TRIM(SUBSTITUTE(SUBSTITUTE(SUBSTITUTE(SUBSTITUTE(INDEX(PASTE_ALL,$DF966,$L$15)," "," "),CHAR(9)," "),CHAR(10)," "),CHAR(13)," "))))))&gt;0,TRIM(SUBSTITUTE(SUBSTITUTE(SUBSTITUTE(SUBSTITUTE(INDEX(PASTE_ALL,$DF966,$L$15)," "," "),CHAR(9)," "),CHAR(10)," "),CHAR(13)," ")),"")),"")))</f>
        <v/>
      </c>
      <c r="DX966">
        <f>IF($DM966=0,"",IF($L$16=0,"",IFERROR(IF(ISNUMBER(INDEX(PASTE_ALL,$DF966,$L$16)),INDEX(PASTE_ALL,$DF966,$L$16),SUBSTITUTE(SUBSTITUTE(TRIM(SUBSTITUTE(SUBSTITUTE(SUBSTITUTE(SUBSTITUTE(INDEX(PASTE_ALL,$DF966,$L$16)," "," "),CHAR(9)," "),CHAR(10)," "),CHAR(13)," ")),",",""),"%","")),"")))</f>
        <v/>
      </c>
      <c r="DY966">
        <f>IF($DM966=0,"",IFERROR(IF(ISNUMBER($DX966),$DX966,IF($DX966="","",IF(TRIM($DX966)="",0,IF(AND(AND(SUBSTITUTE(SUBSTITUTE(SUBSTITUTE(SUBSTITUTE(SUBSTITUTE(SUBSTITUTE(SUBSTITUTE(SUBSTITUTE(SUBSTITUTE(SUBSTITUTE(SUBSTITUTE(SUBSTITUTE(SUBSTITUTE(SUBSTITUTE(UPPER(TRIM($DX966)),"0",""),"1",""),"2",""),"3",""),"4",""),"5",""),"6",""),"7",""),"8",""),"9",""),".",""),"+",""),"-",""),"E","")="",LEN(SUBSTITUTE(SUBSTITUTE(MID(UPPER(TRIM($DX966)),1+OR(LEFT(UPPER(TRIM($DX966)),1)="+",LEFT(UPPER(TRIM($DX966)),1)="-"),999),"E+","E"),"E-","E"))=LEN(SUBSTITUTE(SUBSTITUTE(SUBSTITUTE(SUBSTITUTE(MID(UPPER(TRIM($DX966)),1+OR(LEFT(UPPER(TRIM($DX966)),1)="+",LEFT(UPPER(TRIM($DX966)),1)="-"),999),"E+","E"),"E-","E"),"+",""),"-","")),LEN(UPPER(TRIM($DX966)))-LEN(SUBSTITUTE(UPPER(TRIM($DX966)),"E",""))&lt;2,LEN(UPPER(TRIM($DX966)))-LEN(SUBSTITUTE(UPPER(TRIM($DX966)),".",""))&lt;2,IFERROR(FIND(".",UPPER(TRIM($DX966))),0)&lt;IFERROR(FIND("E",UPPER(TRIM($DX966))),999)),ISNUMBER(VALUE(TRIM($DX966)))),VALUE(TRIM($DX966)),"")))),""))</f>
        <v/>
      </c>
      <c r="DZ966">
        <f>IF($DM966=0,"",IF($L$17=0,"",IFERROR(IF(ISNUMBER(INDEX(PASTE_ALL,$DF966,$L$17)),INDEX(PASTE_ALL,$DF966,$L$17),SUBSTITUTE(SUBSTITUTE(TRIM(SUBSTITUTE(SUBSTITUTE(SUBSTITUTE(SUBSTITUTE(INDEX(PASTE_ALL,$DF966,$L$17)," "," "),CHAR(9)," "),CHAR(10)," "),CHAR(13)," ")),",",""),"%","")),"")))</f>
        <v/>
      </c>
      <c r="EA966">
        <f>IF($DM966=0,"",IFERROR(IF(ISNUMBER($DZ966),$DZ966,IF($DZ966="","",IF(TRIM($DZ966)="",0,IF(AND(AND(SUBSTITUTE(SUBSTITUTE(SUBSTITUTE(SUBSTITUTE(SUBSTITUTE(SUBSTITUTE(SUBSTITUTE(SUBSTITUTE(SUBSTITUTE(SUBSTITUTE(SUBSTITUTE(SUBSTITUTE(SUBSTITUTE(SUBSTITUTE(UPPER(TRIM($DZ966)),"0",""),"1",""),"2",""),"3",""),"4",""),"5",""),"6",""),"7",""),"8",""),"9",""),".",""),"+",""),"-",""),"E","")="",LEN(SUBSTITUTE(SUBSTITUTE(MID(UPPER(TRIM($DZ966)),1+OR(LEFT(UPPER(TRIM($DZ966)),1)="+",LEFT(UPPER(TRIM($DZ966)),1)="-"),999),"E+","E"),"E-","E"))=LEN(SUBSTITUTE(SUBSTITUTE(SUBSTITUTE(SUBSTITUTE(MID(UPPER(TRIM($DZ966)),1+OR(LEFT(UPPER(TRIM($DZ966)),1)="+",LEFT(UPPER(TRIM($DZ966)),1)="-"),999),"E+","E"),"E-","E"),"+",""),"-","")),LEN(UPPER(TRIM($DZ966)))-LEN(SUBSTITUTE(UPPER(TRIM($DZ966)),"E",""))&lt;2,LEN(UPPER(TRIM($DZ966)))-LEN(SUBSTITUTE(UPPER(TRIM($DZ966)),".",""))&lt;2,IFERROR(FIND(".",UPPER(TRIM($DZ966))),0)&lt;IFERROR(FIND("E",UPPER(TRIM($DZ966))),999)),ISNUMBER(VALUE(TRIM($DZ966)))),VALUE(TRIM($DZ966)),"")))),""))</f>
        <v/>
      </c>
      <c r="EB966">
        <f>IF($DM966=0,"",IF($L$18=0,"",IFERROR(IF(UPPER(TRIM(SUBSTITUTE(SUBSTITUTE(SUBSTITUTE(SUBSTITUTE(INDEX(PASTE_ALL,$DF966,$L$18)," "," "),CHAR(9)," "),CHAR(10)," "),CHAR(13)," ")))="READY","Ready",IF(UPPER(TRIM(SUBSTITUTE(SUBSTITUTE(SUBSTITUTE(SUBSTITUTE(INDEX(PASTE_ALL,$DF966,$L$18)," "," "),CHAR(9)," "),CHAR(10)," "),CHAR(13)," ")))="PM","PM",IF(OR(UPPER(TRIM(SUBSTITUTE(SUBSTITUTE(SUBSTITUTE(SUBSTITUTE(INDEX(PASTE_ALL,$DF966,$L$18)," "," "),CHAR(9)," "),CHAR(10)," "),CHAR(13)," ")))="OT",UPPER(TRIM(SUBSTITUTE(SUBSTITUTE(SUBSTITUTE(SUBSTITUTE(INDEX(PASTE_ALL,$DF966,$L$18)," "," "),CHAR(9)," "),CHAR(10)," "),CHAR(13)," ")))="OVERTIME",UPPER(TRIM(SUBSTITUTE(SUBSTITUTE(SUBSTITUTE(SUBSTITUTE(INDEX(PASTE_ALL,$DF966,$L$18)," "," "),CHAR(9)," "),CHAR(10)," "),CHAR(13)," ")))="TRIAL"),"OT",TRIM(SUBSTITUTE(SUBSTITUTE(SUBSTITUTE(SUBSTITUTE(INDEX(PASTE_ALL,$DF966,$L$18)," "," "),CHAR(9)," "),CHAR(10)," "),CHAR(13)," "))))),"")))</f>
        <v/>
      </c>
      <c r="EC966">
        <f>IF($DM966=0,"",IF($L$19=0,"",IFERROR(IF(ISNUMBER(INDEX(PASTE_ALL,$DF966,$L$19)),INDEX(PASTE_ALL,$DF966,$L$19),TRIM(SUBSTITUTE(SUBSTITUTE(SUBSTITUTE(SUBSTITUTE(INDEX(PASTE_ALL,$DF966,$L$19)," "," "),CHAR(9)," "),CHAR(10)," "),CHAR(13)," "))),"")))</f>
        <v/>
      </c>
      <c r="ED966">
        <f>IF($DM966=0,"",MATCH(1,INDEX(EXACT($DH$5:DH966,$DH966)*$DM$5:DM966,0),0))</f>
        <v/>
      </c>
      <c r="EE966">
        <f>IF($DM966=0,0,IF($ED966=$DE966,1,0))</f>
        <v/>
      </c>
      <c r="EF966">
        <f>EF965+$EE966</f>
        <v/>
      </c>
      <c r="EG966">
        <f>IF($DM966=0,"",INDEX($EF$5:$EF$1003,$ED966))</f>
        <v/>
      </c>
      <c r="EH966">
        <f>IF($DM966=0,"",IF($DO966&lt;&gt;"","",IFERROR(LOOKUP(2,1/(($EG$4:EG965=$EG966)*($DO$4:DO965&lt;&gt;"")),$DO$4:DO965),"")))</f>
        <v/>
      </c>
      <c r="EI966">
        <f>IF($DM966=0,"",IF($DO966&lt;&gt;"",$DO966,$EH966))</f>
        <v/>
      </c>
      <c r="EJ966">
        <f>IF($DM966=0,"",IF($EI966="",0,IF(OR(ISNUMBER($EI966),AND(AND(SUBSTITUTE(SUBSTITUTE(SUBSTITUTE(SUBSTITUTE(SUBSTITUTE(SUBSTITUTE(SUBSTITUTE(SUBSTITUTE(SUBSTITUTE(SUBSTITUTE(SUBSTITUTE(SUBSTITUTE(SUBSTITUTE(SUBSTITUTE(UPPER($EI966),"0",""),"1",""),"2",""),"3",""),"4",""),"5",""),"6",""),"7",""),"8",""),"9",""),".",""),"+",""),"-",""),"E","")="",LEN(SUBSTITUTE(SUBSTITUTE(MID(UPPER($EI966),1+OR(LEFT(UPPER($EI966),1)="+",LEFT(UPPER($EI966),1)="-"),999),"E+","E"),"E-","E"))=LEN(SUBSTITUTE(SUBSTITUTE(SUBSTITUTE(SUBSTITUTE(MID(UPPER($EI966),1+OR(LEFT(UPPER($EI966),1)="+",LEFT(UPPER($EI966),1)="-"),999),"E+","E"),"E-","E"),"+",""),"-","")),LEN(UPPER($EI966))-LEN(SUBSTITUTE(UPPER($EI966),"E",""))&lt;2,LEN(UPPER($EI966))-LEN(SUBSTITUTE(UPPER($EI966),".",""))&lt;2,IFERROR(FIND(".",UPPER($EI966)),0)&lt;IFERROR(FIND("E",UPPER($EI966)),999)),ISNUMBER(VALUE($EI966)))),1,2)))</f>
        <v/>
      </c>
      <c r="EK966">
        <f>IF($DM966=0,"",IF($EJ966=1,IF(ISNUMBER($EI966),$EI966,VALUE($EI966)),IF($EJ966=2,$DE966,0)))</f>
        <v/>
      </c>
      <c r="EL966">
        <f>IF($DM966=0,"",COUNTIF($EG$5:$EG$1003,"&lt;"&amp;$EG966)+SUMPRODUCT(($EG$5:$EG$1003=$EG966)*(($EJ$5:$EJ$1003&lt;$EJ966)+($EJ$5:$EJ$1003=$EJ966)*(($EK$5:$EK$1003&lt;$EK966)+($EK$5:$EK$1003=$EK966)*($DE$5:$DE$1003&lt;$DE966))))+1)</f>
        <v/>
      </c>
      <c r="EM966">
        <f>IF($DM966=0,"",$EL966+$EG966-1)</f>
        <v/>
      </c>
      <c r="EN966">
        <f>IF($DM966=0,0,IFERROR(MATCH(1,INDEX(--(TRIM(SUBSTITUTE(SUBSTITUTE(SUBSTITUTE(SUBSTITUTE(LINES_NAME&amp;""," "," "),CHAR(9)," "),CHAR(10)," "),CHAR(13)," "))=$DH966),0),0),0))</f>
        <v/>
      </c>
      <c r="EO966">
        <f>IF($EN966=0,0,IF(OR(UPPER(TRIM(INDEX(LINES_SCHEDULED,$EN966)&amp;""))="YES",UPPER(TRIM(INDEX(LINES_SCHEDULED,$EN966)&amp;""))="Y",UPPER(TRIM(INDEX(LINES_SCHEDULED,$EN966)&amp;""))="X"),1,0))</f>
        <v/>
      </c>
      <c r="EP966">
        <f>IF($DM966=0,"",IF(COUNTIFS($EG$5:$EG$1003,$EG966,$EB$5:$EB$1003,"Ready")&gt;0,"READY",IF(COUNTIFS($EG$5:$EG$1003,$EG966,$EB$5:$EB$1003,"PM")&gt;0,"PM",IF(COUNTIFS($EG$5:$EG$1003,$EG966,$EB$5:$EB$1003,"OT")&gt;0,"OT",""))))</f>
        <v/>
      </c>
      <c r="EQ966">
        <f>IF($EN966=0,"",UPPER(TRIM(INDEX(LINES_STATUS,$EN966)&amp;"")))</f>
        <v/>
      </c>
      <c r="ER966">
        <f>IF($DM966=0,"",IF(OR($EQ966="READY",$EQ966="PM",$EQ966="OT"),$EQ966,$EP966))</f>
        <v/>
      </c>
      <c r="ES966">
        <f>IF($DM966=0,"",IF(AND($DV966&lt;&gt;"",UPPER($DV966)&lt;&gt;"N"),"allergen",IF(ISNUMBER(SEARCH("oil",$DQ966)),"oil",IF(OR(EXACT($DS966,"A662"),EXACT($DS966,"A624")),"bulk",""))))</f>
        <v/>
      </c>
      <c r="ET966">
        <f>IF($DM966=0,"",IF(OR($EA966="",$EA966=0),"",$EA966/100))</f>
        <v/>
      </c>
      <c r="EU966">
        <f>IF(OR($ET966="",$DY966=""),"",INT($DY966*(1-$ET966)+0.5))</f>
        <v/>
      </c>
    </row>
    <row r="967">
      <c r="DA967" t="n">
        <v>963</v>
      </c>
      <c r="DB967">
        <f>IF($B$37=0,"",IFERROR(TRIM(SUBSTITUTE(SUBSTITUTE(SUBSTITUTE(SUBSTITUTE(INDEX(PASTE_ALL,963,$B$37)," "," "),CHAR(9)," "),CHAR(10)," "),CHAR(13)," ")),""))</f>
        <v/>
      </c>
      <c r="DC967">
        <f>IF(AND(963&gt;HEADER_ROW,UPPER(DB967)="LEGEND"),1,0)</f>
        <v/>
      </c>
      <c r="DE967" t="n">
        <v>963</v>
      </c>
      <c r="DF967">
        <f>HEADER_ROW+$DE967</f>
        <v/>
      </c>
      <c r="DG967">
        <f>IF(AND($DF967&lt;=1000,$DF967&lt;$B$8),1,0)</f>
        <v/>
      </c>
      <c r="DH967">
        <f>IF($DG967=1,IFERROR(INDEX($DB$5:$DB$1004,$DF967),""),"")</f>
        <v/>
      </c>
      <c r="DI967">
        <f>IF(AND($DG967=1,$DH967&lt;&gt;""),IFERROR(SUBSTITUTE(SUBSTITUTE(TRIM(SUBSTITUTE(SUBSTITUTE(SUBSTITUTE(SUBSTITUTE(IFERROR(INDEX(PASTE_ALL,$DF967,1)&amp;"","")&amp;"␟"&amp;IFERROR(INDEX(PASTE_ALL,$DF967,2)&amp;"","")&amp;"␟"&amp;IFERROR(INDEX(PASTE_ALL,$DF967,3)&amp;"","")&amp;"␟"&amp;IFERROR(INDEX(PASTE_ALL,$DF967,4)&amp;"","")&amp;"␟"&amp;IFERROR(INDEX(PASTE_ALL,$DF967,5)&amp;"","")&amp;"␟"&amp;IFERROR(INDEX(PASTE_ALL,$DF967,6)&amp;"","")&amp;"␟"&amp;IFERROR(INDEX(PASTE_ALL,$DF967,7)&amp;"","")&amp;"␟"&amp;IFERROR(INDEX(PASTE_ALL,$DF967,8)&amp;"","")&amp;"␟"&amp;IFERROR(INDEX(PASTE_ALL,$DF967,9)&amp;"","")&amp;"␟"&amp;IFERROR(INDEX(PASTE_ALL,$DF967,10)&amp;"","")&amp;"␟"&amp;IFERROR(INDEX(PASTE_ALL,$DF967,11)&amp;"","")&amp;"␟"&amp;IFERROR(INDEX(PASTE_ALL,$DF967,12)&amp;"","")&amp;"␟"&amp;IFERROR(INDEX(PASTE_ALL,$DF967,13)&amp;"","")&amp;"␟"&amp;IFERROR(INDEX(PASTE_ALL,$DF967,14)&amp;"","")&amp;"␟"&amp;IFERROR(INDEX(PASTE_ALL,$DF967,15)&amp;"","")&amp;"␟"&amp;IFERROR(INDEX(PASTE_ALL,$DF967,16)&amp;"","")&amp;"␟"&amp;IFERROR(INDEX(PASTE_ALL,$DF967,17)&amp;"","")&amp;"␟"&amp;IFERROR(INDEX(PASTE_ALL,$DF967,18)&amp;"","")&amp;"␟"&amp;IFERROR(INDEX(PASTE_ALL,$DF967,19)&amp;"","")&amp;"␟"&amp;IFERROR(INDEX(PASTE_ALL,$DF967,20)&amp;"","")&amp;"␟"&amp;IFERROR(INDEX(PASTE_ALL,$DF967,21)&amp;"","")&amp;"␟"&amp;IFERROR(INDEX(PASTE_ALL,$DF967,22)&amp;"","")&amp;"␟"&amp;IFERROR(INDEX(PASTE_ALL,$DF967,23)&amp;"","")&amp;"␟"&amp;IFERROR(INDEX(PASTE_ALL,$DF967,24)&amp;"","")&amp;"␟"&amp;IFERROR(INDEX(PASTE_ALL,$DF967,25)&amp;"","")&amp;"␟"&amp;IFERROR(INDEX(PASTE_ALL,$DF967,26)&amp;"","")&amp;"␟"&amp;IFERROR(INDEX(PASTE_ALL,$DF967,27)&amp;"","")&amp;"␟"&amp;IFERROR(INDEX(PASTE_ALL,$DF967,28)&amp;"","")&amp;"␟"&amp;IFERROR(INDEX(PASTE_ALL,$DF967,29)&amp;"","")&amp;"␟"&amp;IFERROR(INDEX(PASTE_ALL,$DF967,30)&amp;"","")&amp;"␟"&amp;IFERROR(INDEX(PASTE_ALL,$DF967,31)&amp;"","")&amp;"␟"&amp;IFERROR(INDEX(PASTE_ALL,$DF967,32)&amp;"","")&amp;"␟"&amp;IFERROR(INDEX(PASTE_ALL,$DF967,33)&amp;"","")&amp;"␟"&amp;IFERROR(INDEX(PASTE_ALL,$DF967,34)&amp;"","")&amp;"␟"&amp;IFERROR(INDEX(PASTE_ALL,$DF967,35)&amp;"","")&amp;"␟"&amp;IFERROR(INDEX(PASTE_ALL,$DF967,36)&amp;"","")&amp;"␟"&amp;IFERROR(INDEX(PASTE_ALL,$DF967,37)&amp;"","")&amp;"␟"&amp;IFERROR(INDEX(PASTE_ALL,$DF967,38)&amp;"","")&amp;"␟"&amp;IFERROR(INDEX(PASTE_ALL,$DF967,39)&amp;"","")&amp;"␟"&amp;IFERROR(INDEX(PASTE_ALL,$DF967,40)&amp;"","")&amp;"␟"&amp;IFERROR(INDEX(PASTE_ALL,$DF967,41)&amp;"","")&amp;"␟"&amp;IFERROR(INDEX(PASTE_ALL,$DF967,42)&amp;"","")&amp;"␟"&amp;IFERROR(INDEX(PASTE_ALL,$DF967,43)&amp;"","")&amp;"␟"&amp;IFERROR(INDEX(PASTE_ALL,$DF967,44)&amp;"","")&amp;"␟"&amp;IFERROR(INDEX(PASTE_ALL,$DF967,45)&amp;"","")&amp;"␟"&amp;IFERROR(INDEX(PASTE_ALL,$DF967,46)&amp;"","")&amp;"␟"&amp;IFERROR(INDEX(PASTE_ALL,$DF967,47)&amp;"","")&amp;"␟"&amp;IFERROR(INDEX(PASTE_ALL,$DF967,48)&amp;"","")&amp;"␟"&amp;IFERROR(INDEX(PASTE_ALL,$DF967,49)&amp;"","")&amp;"␟"&amp;IFERROR(INDEX(PASTE_ALL,$DF967,50)&amp;"","")&amp;"␟"&amp;IFERROR(INDEX(PASTE_ALL,$DF967,51)&amp;"","")&amp;"␟"&amp;IFERROR(INDEX(PASTE_ALL,$DF967,52)&amp;"","")&amp;"␟"&amp;IFERROR(INDEX(PASTE_ALL,$DF967,53)&amp;"","")&amp;"␟"&amp;IFERROR(INDEX(PASTE_ALL,$DF967,54)&amp;"","")&amp;"␟"&amp;IFERROR(INDEX(PASTE_ALL,$DF967,55)&amp;"","")&amp;"␟"&amp;IFERROR(INDEX(PASTE_ALL,$DF967,56)&amp;"","")&amp;"␟"&amp;IFERROR(INDEX(PASTE_ALL,$DF967,57)&amp;"","")&amp;"␟"&amp;IFERROR(INDEX(PASTE_ALL,$DF967,58)&amp;"","")&amp;"␟"&amp;IFERROR(INDEX(PASTE_ALL,$DF967,59)&amp;"","")&amp;"␟"&amp;IFERROR(INDEX(PASTE_ALL,$DF967,60)&amp;"","")," "," "),CHAR(9)," "),CHAR(10)," "),CHAR(13)," "))," ␟","␟"),"␟ ","␟"),"#"&amp;$DE967),"")</f>
        <v/>
      </c>
      <c r="DJ967">
        <f>IF($DI967="",0,IF(SUMPRODUCT(--EXACT($DI$4:DI966,$DI967))&gt;0,1,0))</f>
        <v/>
      </c>
      <c r="DK967">
        <f>IF(AND($DI967&lt;&gt;"",$DJ967=0),1,0)</f>
        <v/>
      </c>
      <c r="DL967">
        <f>DL966+$DK967</f>
        <v/>
      </c>
      <c r="DM967">
        <f>IF(AND($DK967=1,$DL967&lt;=600),1,0)</f>
        <v/>
      </c>
      <c r="DN967">
        <f>IF($DM967=0,"",IF($L$6=0,"",IFERROR(IF(ISNUMBER(INDEX(PASTE_ALL,$DF967,$L$6)),INDEX(PASTE_ALL,$DF967,$L$6),TRIM(SUBSTITUTE(SUBSTITUTE(SUBSTITUTE(SUBSTITUTE(INDEX(PASTE_ALL,$DF967,$L$6)," "," "),CHAR(9)," "),CHAR(10)," "),CHAR(13)," "))),"")))</f>
        <v/>
      </c>
      <c r="DO967">
        <f>IF($DM967=0,"",IF($L$7=0,"",IFERROR(IF(ISNUMBER(INDEX(PASTE_ALL,$DF967,$L$7)),INDEX(PASTE_ALL,$DF967,$L$7),TRIM(SUBSTITUTE(SUBSTITUTE(SUBSTITUTE(SUBSTITUTE(INDEX(PASTE_ALL,$DF967,$L$7)," "," "),CHAR(9)," "),CHAR(10)," "),CHAR(13)," "))),"")))</f>
        <v/>
      </c>
      <c r="DP967">
        <f>IF($DM967=0,"",IF($L$8=0,"",IFERROR(IF(ISNUMBER(INDEX(PASTE_ALL,$DF967,$L$8)),INDEX(PASTE_ALL,$DF967,$L$8),TRIM(SUBSTITUTE(SUBSTITUTE(SUBSTITUTE(SUBSTITUTE(INDEX(PASTE_ALL,$DF967,$L$8)," "," "),CHAR(9)," "),CHAR(10)," "),CHAR(13)," "))),"")))</f>
        <v/>
      </c>
      <c r="DQ967">
        <f>IF($DM967=0,"",IF($L$9=0,"",IFERROR(IF(ISNUMBER(INDEX(PASTE_ALL,$DF967,$L$9)),INDEX(PASTE_ALL,$DF967,$L$9),TRIM(SUBSTITUTE(SUBSTITUTE(SUBSTITUTE(SUBSTITUTE(INDEX(PASTE_ALL,$DF967,$L$9)," "," "),CHAR(9)," "),CHAR(10)," "),CHAR(13)," "))),"")))</f>
        <v/>
      </c>
      <c r="DR967">
        <f>IF($DM967=0,"",IF($L$10=0,"",IFERROR(IF(ISNUMBER(INDEX(PASTE_ALL,$DF967,$L$10)),INDEX(PASTE_ALL,$DF967,$L$10),TRIM(SUBSTITUTE(SUBSTITUTE(SUBSTITUTE(SUBSTITUTE(INDEX(PASTE_ALL,$DF967,$L$10)," "," "),CHAR(9)," "),CHAR(10)," "),CHAR(13)," "))),"")))</f>
        <v/>
      </c>
      <c r="DS967">
        <f>IF($DM967=0,"",IF($L$11=0,"",IFERROR(IF(ISNUMBER(INDEX(PASTE_ALL,$DF967,$L$11)),INDEX(PASTE_ALL,$DF967,$L$11),TRIM(SUBSTITUTE(SUBSTITUTE(SUBSTITUTE(SUBSTITUTE(INDEX(PASTE_ALL,$DF967,$L$11)," "," "),CHAR(9)," "),CHAR(10)," "),CHAR(13)," "))),"")))</f>
        <v/>
      </c>
      <c r="DT967">
        <f>IF($DM967=0,"",IF($L$12=0,"",IFERROR(IF(ISNUMBER(INDEX(PASTE_ALL,$DF967,$L$12)),INDEX(PASTE_ALL,$DF967,$L$12),TRIM(SUBSTITUTE(SUBSTITUTE(SUBSTITUTE(SUBSTITUTE(INDEX(PASTE_ALL,$DF967,$L$12)," "," "),CHAR(9)," "),CHAR(10)," "),CHAR(13)," "))),"")))</f>
        <v/>
      </c>
      <c r="DU967">
        <f>IF($DM967=0,"",IF($L$13=0,"",IFERROR(IF(ISNUMBER(INDEX(PASTE_ALL,$DF967,$L$13)),INDEX(PASTE_ALL,$DF967,$L$13),TRIM(SUBSTITUTE(SUBSTITUTE(SUBSTITUTE(SUBSTITUTE(INDEX(PASTE_ALL,$DF967,$L$13)," "," "),CHAR(9)," "),CHAR(10)," "),CHAR(13)," "))),"")))</f>
        <v/>
      </c>
      <c r="DV967">
        <f>IF($DM967=0,"",IF($L$14=0,"",IFERROR(IF(ISNUMBER(INDEX(PASTE_ALL,$DF967,$L$14)),INDEX(PASTE_ALL,$DF967,$L$14),TRIM(SUBSTITUTE(SUBSTITUTE(SUBSTITUTE(SUBSTITUTE(INDEX(PASTE_ALL,$DF967,$L$14)," "," "),CHAR(9)," "),CHAR(10)," "),CHAR(13)," "))),"")))</f>
        <v/>
      </c>
      <c r="DW967">
        <f>IF($DM967=0,"",IF($L$15=0,"",IFERROR(IF(ISNUMBER(INDEX(PASTE_ALL,$DF967,$L$15)),INDEX(PASTE_ALL,$DF967,$L$15),IF(SUMPRODUCT(--ISNUMBER(FIND({"A","B","C","D","E","F","G","H","I","J","K","L","M","N","O","P","Q","R","S","T","U","V","W","X","Y","Z","0","1","2","3","4","5","6","7","8","9"},UPPER(TRIM(SUBSTITUTE(SUBSTITUTE(SUBSTITUTE(SUBSTITUTE(INDEX(PASTE_ALL,$DF967,$L$15)," "," "),CHAR(9)," "),CHAR(10)," "),CHAR(13)," "))))))&gt;0,TRIM(SUBSTITUTE(SUBSTITUTE(SUBSTITUTE(SUBSTITUTE(INDEX(PASTE_ALL,$DF967,$L$15)," "," "),CHAR(9)," "),CHAR(10)," "),CHAR(13)," ")),"")),"")))</f>
        <v/>
      </c>
      <c r="DX967">
        <f>IF($DM967=0,"",IF($L$16=0,"",IFERROR(IF(ISNUMBER(INDEX(PASTE_ALL,$DF967,$L$16)),INDEX(PASTE_ALL,$DF967,$L$16),SUBSTITUTE(SUBSTITUTE(TRIM(SUBSTITUTE(SUBSTITUTE(SUBSTITUTE(SUBSTITUTE(INDEX(PASTE_ALL,$DF967,$L$16)," "," "),CHAR(9)," "),CHAR(10)," "),CHAR(13)," ")),",",""),"%","")),"")))</f>
        <v/>
      </c>
      <c r="DY967">
        <f>IF($DM967=0,"",IFERROR(IF(ISNUMBER($DX967),$DX967,IF($DX967="","",IF(TRIM($DX967)="",0,IF(AND(AND(SUBSTITUTE(SUBSTITUTE(SUBSTITUTE(SUBSTITUTE(SUBSTITUTE(SUBSTITUTE(SUBSTITUTE(SUBSTITUTE(SUBSTITUTE(SUBSTITUTE(SUBSTITUTE(SUBSTITUTE(SUBSTITUTE(SUBSTITUTE(UPPER(TRIM($DX967)),"0",""),"1",""),"2",""),"3",""),"4",""),"5",""),"6",""),"7",""),"8",""),"9",""),".",""),"+",""),"-",""),"E","")="",LEN(SUBSTITUTE(SUBSTITUTE(MID(UPPER(TRIM($DX967)),1+OR(LEFT(UPPER(TRIM($DX967)),1)="+",LEFT(UPPER(TRIM($DX967)),1)="-"),999),"E+","E"),"E-","E"))=LEN(SUBSTITUTE(SUBSTITUTE(SUBSTITUTE(SUBSTITUTE(MID(UPPER(TRIM($DX967)),1+OR(LEFT(UPPER(TRIM($DX967)),1)="+",LEFT(UPPER(TRIM($DX967)),1)="-"),999),"E+","E"),"E-","E"),"+",""),"-","")),LEN(UPPER(TRIM($DX967)))-LEN(SUBSTITUTE(UPPER(TRIM($DX967)),"E",""))&lt;2,LEN(UPPER(TRIM($DX967)))-LEN(SUBSTITUTE(UPPER(TRIM($DX967)),".",""))&lt;2,IFERROR(FIND(".",UPPER(TRIM($DX967))),0)&lt;IFERROR(FIND("E",UPPER(TRIM($DX967))),999)),ISNUMBER(VALUE(TRIM($DX967)))),VALUE(TRIM($DX967)),"")))),""))</f>
        <v/>
      </c>
      <c r="DZ967">
        <f>IF($DM967=0,"",IF($L$17=0,"",IFERROR(IF(ISNUMBER(INDEX(PASTE_ALL,$DF967,$L$17)),INDEX(PASTE_ALL,$DF967,$L$17),SUBSTITUTE(SUBSTITUTE(TRIM(SUBSTITUTE(SUBSTITUTE(SUBSTITUTE(SUBSTITUTE(INDEX(PASTE_ALL,$DF967,$L$17)," "," "),CHAR(9)," "),CHAR(10)," "),CHAR(13)," ")),",",""),"%","")),"")))</f>
        <v/>
      </c>
      <c r="EA967">
        <f>IF($DM967=0,"",IFERROR(IF(ISNUMBER($DZ967),$DZ967,IF($DZ967="","",IF(TRIM($DZ967)="",0,IF(AND(AND(SUBSTITUTE(SUBSTITUTE(SUBSTITUTE(SUBSTITUTE(SUBSTITUTE(SUBSTITUTE(SUBSTITUTE(SUBSTITUTE(SUBSTITUTE(SUBSTITUTE(SUBSTITUTE(SUBSTITUTE(SUBSTITUTE(SUBSTITUTE(UPPER(TRIM($DZ967)),"0",""),"1",""),"2",""),"3",""),"4",""),"5",""),"6",""),"7",""),"8",""),"9",""),".",""),"+",""),"-",""),"E","")="",LEN(SUBSTITUTE(SUBSTITUTE(MID(UPPER(TRIM($DZ967)),1+OR(LEFT(UPPER(TRIM($DZ967)),1)="+",LEFT(UPPER(TRIM($DZ967)),1)="-"),999),"E+","E"),"E-","E"))=LEN(SUBSTITUTE(SUBSTITUTE(SUBSTITUTE(SUBSTITUTE(MID(UPPER(TRIM($DZ967)),1+OR(LEFT(UPPER(TRIM($DZ967)),1)="+",LEFT(UPPER(TRIM($DZ967)),1)="-"),999),"E+","E"),"E-","E"),"+",""),"-","")),LEN(UPPER(TRIM($DZ967)))-LEN(SUBSTITUTE(UPPER(TRIM($DZ967)),"E",""))&lt;2,LEN(UPPER(TRIM($DZ967)))-LEN(SUBSTITUTE(UPPER(TRIM($DZ967)),".",""))&lt;2,IFERROR(FIND(".",UPPER(TRIM($DZ967))),0)&lt;IFERROR(FIND("E",UPPER(TRIM($DZ967))),999)),ISNUMBER(VALUE(TRIM($DZ967)))),VALUE(TRIM($DZ967)),"")))),""))</f>
        <v/>
      </c>
      <c r="EB967">
        <f>IF($DM967=0,"",IF($L$18=0,"",IFERROR(IF(UPPER(TRIM(SUBSTITUTE(SUBSTITUTE(SUBSTITUTE(SUBSTITUTE(INDEX(PASTE_ALL,$DF967,$L$18)," "," "),CHAR(9)," "),CHAR(10)," "),CHAR(13)," ")))="READY","Ready",IF(UPPER(TRIM(SUBSTITUTE(SUBSTITUTE(SUBSTITUTE(SUBSTITUTE(INDEX(PASTE_ALL,$DF967,$L$18)," "," "),CHAR(9)," "),CHAR(10)," "),CHAR(13)," ")))="PM","PM",IF(OR(UPPER(TRIM(SUBSTITUTE(SUBSTITUTE(SUBSTITUTE(SUBSTITUTE(INDEX(PASTE_ALL,$DF967,$L$18)," "," "),CHAR(9)," "),CHAR(10)," "),CHAR(13)," ")))="OT",UPPER(TRIM(SUBSTITUTE(SUBSTITUTE(SUBSTITUTE(SUBSTITUTE(INDEX(PASTE_ALL,$DF967,$L$18)," "," "),CHAR(9)," "),CHAR(10)," "),CHAR(13)," ")))="OVERTIME",UPPER(TRIM(SUBSTITUTE(SUBSTITUTE(SUBSTITUTE(SUBSTITUTE(INDEX(PASTE_ALL,$DF967,$L$18)," "," "),CHAR(9)," "),CHAR(10)," "),CHAR(13)," ")))="TRIAL"),"OT",TRIM(SUBSTITUTE(SUBSTITUTE(SUBSTITUTE(SUBSTITUTE(INDEX(PASTE_ALL,$DF967,$L$18)," "," "),CHAR(9)," "),CHAR(10)," "),CHAR(13)," "))))),"")))</f>
        <v/>
      </c>
      <c r="EC967">
        <f>IF($DM967=0,"",IF($L$19=0,"",IFERROR(IF(ISNUMBER(INDEX(PASTE_ALL,$DF967,$L$19)),INDEX(PASTE_ALL,$DF967,$L$19),TRIM(SUBSTITUTE(SUBSTITUTE(SUBSTITUTE(SUBSTITUTE(INDEX(PASTE_ALL,$DF967,$L$19)," "," "),CHAR(9)," "),CHAR(10)," "),CHAR(13)," "))),"")))</f>
        <v/>
      </c>
      <c r="ED967">
        <f>IF($DM967=0,"",MATCH(1,INDEX(EXACT($DH$5:DH967,$DH967)*$DM$5:DM967,0),0))</f>
        <v/>
      </c>
      <c r="EE967">
        <f>IF($DM967=0,0,IF($ED967=$DE967,1,0))</f>
        <v/>
      </c>
      <c r="EF967">
        <f>EF966+$EE967</f>
        <v/>
      </c>
      <c r="EG967">
        <f>IF($DM967=0,"",INDEX($EF$5:$EF$1003,$ED967))</f>
        <v/>
      </c>
      <c r="EH967">
        <f>IF($DM967=0,"",IF($DO967&lt;&gt;"","",IFERROR(LOOKUP(2,1/(($EG$4:EG966=$EG967)*($DO$4:DO966&lt;&gt;"")),$DO$4:DO966),"")))</f>
        <v/>
      </c>
      <c r="EI967">
        <f>IF($DM967=0,"",IF($DO967&lt;&gt;"",$DO967,$EH967))</f>
        <v/>
      </c>
      <c r="EJ967">
        <f>IF($DM967=0,"",IF($EI967="",0,IF(OR(ISNUMBER($EI967),AND(AND(SUBSTITUTE(SUBSTITUTE(SUBSTITUTE(SUBSTITUTE(SUBSTITUTE(SUBSTITUTE(SUBSTITUTE(SUBSTITUTE(SUBSTITUTE(SUBSTITUTE(SUBSTITUTE(SUBSTITUTE(SUBSTITUTE(SUBSTITUTE(UPPER($EI967),"0",""),"1",""),"2",""),"3",""),"4",""),"5",""),"6",""),"7",""),"8",""),"9",""),".",""),"+",""),"-",""),"E","")="",LEN(SUBSTITUTE(SUBSTITUTE(MID(UPPER($EI967),1+OR(LEFT(UPPER($EI967),1)="+",LEFT(UPPER($EI967),1)="-"),999),"E+","E"),"E-","E"))=LEN(SUBSTITUTE(SUBSTITUTE(SUBSTITUTE(SUBSTITUTE(MID(UPPER($EI967),1+OR(LEFT(UPPER($EI967),1)="+",LEFT(UPPER($EI967),1)="-"),999),"E+","E"),"E-","E"),"+",""),"-","")),LEN(UPPER($EI967))-LEN(SUBSTITUTE(UPPER($EI967),"E",""))&lt;2,LEN(UPPER($EI967))-LEN(SUBSTITUTE(UPPER($EI967),".",""))&lt;2,IFERROR(FIND(".",UPPER($EI967)),0)&lt;IFERROR(FIND("E",UPPER($EI967)),999)),ISNUMBER(VALUE($EI967)))),1,2)))</f>
        <v/>
      </c>
      <c r="EK967">
        <f>IF($DM967=0,"",IF($EJ967=1,IF(ISNUMBER($EI967),$EI967,VALUE($EI967)),IF($EJ967=2,$DE967,0)))</f>
        <v/>
      </c>
      <c r="EL967">
        <f>IF($DM967=0,"",COUNTIF($EG$5:$EG$1003,"&lt;"&amp;$EG967)+SUMPRODUCT(($EG$5:$EG$1003=$EG967)*(($EJ$5:$EJ$1003&lt;$EJ967)+($EJ$5:$EJ$1003=$EJ967)*(($EK$5:$EK$1003&lt;$EK967)+($EK$5:$EK$1003=$EK967)*($DE$5:$DE$1003&lt;$DE967))))+1)</f>
        <v/>
      </c>
      <c r="EM967">
        <f>IF($DM967=0,"",$EL967+$EG967-1)</f>
        <v/>
      </c>
      <c r="EN967">
        <f>IF($DM967=0,0,IFERROR(MATCH(1,INDEX(--(TRIM(SUBSTITUTE(SUBSTITUTE(SUBSTITUTE(SUBSTITUTE(LINES_NAME&amp;""," "," "),CHAR(9)," "),CHAR(10)," "),CHAR(13)," "))=$DH967),0),0),0))</f>
        <v/>
      </c>
      <c r="EO967">
        <f>IF($EN967=0,0,IF(OR(UPPER(TRIM(INDEX(LINES_SCHEDULED,$EN967)&amp;""))="YES",UPPER(TRIM(INDEX(LINES_SCHEDULED,$EN967)&amp;""))="Y",UPPER(TRIM(INDEX(LINES_SCHEDULED,$EN967)&amp;""))="X"),1,0))</f>
        <v/>
      </c>
      <c r="EP967">
        <f>IF($DM967=0,"",IF(COUNTIFS($EG$5:$EG$1003,$EG967,$EB$5:$EB$1003,"Ready")&gt;0,"READY",IF(COUNTIFS($EG$5:$EG$1003,$EG967,$EB$5:$EB$1003,"PM")&gt;0,"PM",IF(COUNTIFS($EG$5:$EG$1003,$EG967,$EB$5:$EB$1003,"OT")&gt;0,"OT",""))))</f>
        <v/>
      </c>
      <c r="EQ967">
        <f>IF($EN967=0,"",UPPER(TRIM(INDEX(LINES_STATUS,$EN967)&amp;"")))</f>
        <v/>
      </c>
      <c r="ER967">
        <f>IF($DM967=0,"",IF(OR($EQ967="READY",$EQ967="PM",$EQ967="OT"),$EQ967,$EP967))</f>
        <v/>
      </c>
      <c r="ES967">
        <f>IF($DM967=0,"",IF(AND($DV967&lt;&gt;"",UPPER($DV967)&lt;&gt;"N"),"allergen",IF(ISNUMBER(SEARCH("oil",$DQ967)),"oil",IF(OR(EXACT($DS967,"A662"),EXACT($DS967,"A624")),"bulk",""))))</f>
        <v/>
      </c>
      <c r="ET967">
        <f>IF($DM967=0,"",IF(OR($EA967="",$EA967=0),"",$EA967/100))</f>
        <v/>
      </c>
      <c r="EU967">
        <f>IF(OR($ET967="",$DY967=""),"",INT($DY967*(1-$ET967)+0.5))</f>
        <v/>
      </c>
    </row>
    <row r="968">
      <c r="DA968" t="n">
        <v>964</v>
      </c>
      <c r="DB968">
        <f>IF($B$37=0,"",IFERROR(TRIM(SUBSTITUTE(SUBSTITUTE(SUBSTITUTE(SUBSTITUTE(INDEX(PASTE_ALL,964,$B$37)," "," "),CHAR(9)," "),CHAR(10)," "),CHAR(13)," ")),""))</f>
        <v/>
      </c>
      <c r="DC968">
        <f>IF(AND(964&gt;HEADER_ROW,UPPER(DB968)="LEGEND"),1,0)</f>
        <v/>
      </c>
      <c r="DE968" t="n">
        <v>964</v>
      </c>
      <c r="DF968">
        <f>HEADER_ROW+$DE968</f>
        <v/>
      </c>
      <c r="DG968">
        <f>IF(AND($DF968&lt;=1000,$DF968&lt;$B$8),1,0)</f>
        <v/>
      </c>
      <c r="DH968">
        <f>IF($DG968=1,IFERROR(INDEX($DB$5:$DB$1004,$DF968),""),"")</f>
        <v/>
      </c>
      <c r="DI968">
        <f>IF(AND($DG968=1,$DH968&lt;&gt;""),IFERROR(SUBSTITUTE(SUBSTITUTE(TRIM(SUBSTITUTE(SUBSTITUTE(SUBSTITUTE(SUBSTITUTE(IFERROR(INDEX(PASTE_ALL,$DF968,1)&amp;"","")&amp;"␟"&amp;IFERROR(INDEX(PASTE_ALL,$DF968,2)&amp;"","")&amp;"␟"&amp;IFERROR(INDEX(PASTE_ALL,$DF968,3)&amp;"","")&amp;"␟"&amp;IFERROR(INDEX(PASTE_ALL,$DF968,4)&amp;"","")&amp;"␟"&amp;IFERROR(INDEX(PASTE_ALL,$DF968,5)&amp;"","")&amp;"␟"&amp;IFERROR(INDEX(PASTE_ALL,$DF968,6)&amp;"","")&amp;"␟"&amp;IFERROR(INDEX(PASTE_ALL,$DF968,7)&amp;"","")&amp;"␟"&amp;IFERROR(INDEX(PASTE_ALL,$DF968,8)&amp;"","")&amp;"␟"&amp;IFERROR(INDEX(PASTE_ALL,$DF968,9)&amp;"","")&amp;"␟"&amp;IFERROR(INDEX(PASTE_ALL,$DF968,10)&amp;"","")&amp;"␟"&amp;IFERROR(INDEX(PASTE_ALL,$DF968,11)&amp;"","")&amp;"␟"&amp;IFERROR(INDEX(PASTE_ALL,$DF968,12)&amp;"","")&amp;"␟"&amp;IFERROR(INDEX(PASTE_ALL,$DF968,13)&amp;"","")&amp;"␟"&amp;IFERROR(INDEX(PASTE_ALL,$DF968,14)&amp;"","")&amp;"␟"&amp;IFERROR(INDEX(PASTE_ALL,$DF968,15)&amp;"","")&amp;"␟"&amp;IFERROR(INDEX(PASTE_ALL,$DF968,16)&amp;"","")&amp;"␟"&amp;IFERROR(INDEX(PASTE_ALL,$DF968,17)&amp;"","")&amp;"␟"&amp;IFERROR(INDEX(PASTE_ALL,$DF968,18)&amp;"","")&amp;"␟"&amp;IFERROR(INDEX(PASTE_ALL,$DF968,19)&amp;"","")&amp;"␟"&amp;IFERROR(INDEX(PASTE_ALL,$DF968,20)&amp;"","")&amp;"␟"&amp;IFERROR(INDEX(PASTE_ALL,$DF968,21)&amp;"","")&amp;"␟"&amp;IFERROR(INDEX(PASTE_ALL,$DF968,22)&amp;"","")&amp;"␟"&amp;IFERROR(INDEX(PASTE_ALL,$DF968,23)&amp;"","")&amp;"␟"&amp;IFERROR(INDEX(PASTE_ALL,$DF968,24)&amp;"","")&amp;"␟"&amp;IFERROR(INDEX(PASTE_ALL,$DF968,25)&amp;"","")&amp;"␟"&amp;IFERROR(INDEX(PASTE_ALL,$DF968,26)&amp;"","")&amp;"␟"&amp;IFERROR(INDEX(PASTE_ALL,$DF968,27)&amp;"","")&amp;"␟"&amp;IFERROR(INDEX(PASTE_ALL,$DF968,28)&amp;"","")&amp;"␟"&amp;IFERROR(INDEX(PASTE_ALL,$DF968,29)&amp;"","")&amp;"␟"&amp;IFERROR(INDEX(PASTE_ALL,$DF968,30)&amp;"","")&amp;"␟"&amp;IFERROR(INDEX(PASTE_ALL,$DF968,31)&amp;"","")&amp;"␟"&amp;IFERROR(INDEX(PASTE_ALL,$DF968,32)&amp;"","")&amp;"␟"&amp;IFERROR(INDEX(PASTE_ALL,$DF968,33)&amp;"","")&amp;"␟"&amp;IFERROR(INDEX(PASTE_ALL,$DF968,34)&amp;"","")&amp;"␟"&amp;IFERROR(INDEX(PASTE_ALL,$DF968,35)&amp;"","")&amp;"␟"&amp;IFERROR(INDEX(PASTE_ALL,$DF968,36)&amp;"","")&amp;"␟"&amp;IFERROR(INDEX(PASTE_ALL,$DF968,37)&amp;"","")&amp;"␟"&amp;IFERROR(INDEX(PASTE_ALL,$DF968,38)&amp;"","")&amp;"␟"&amp;IFERROR(INDEX(PASTE_ALL,$DF968,39)&amp;"","")&amp;"␟"&amp;IFERROR(INDEX(PASTE_ALL,$DF968,40)&amp;"","")&amp;"␟"&amp;IFERROR(INDEX(PASTE_ALL,$DF968,41)&amp;"","")&amp;"␟"&amp;IFERROR(INDEX(PASTE_ALL,$DF968,42)&amp;"","")&amp;"␟"&amp;IFERROR(INDEX(PASTE_ALL,$DF968,43)&amp;"","")&amp;"␟"&amp;IFERROR(INDEX(PASTE_ALL,$DF968,44)&amp;"","")&amp;"␟"&amp;IFERROR(INDEX(PASTE_ALL,$DF968,45)&amp;"","")&amp;"␟"&amp;IFERROR(INDEX(PASTE_ALL,$DF968,46)&amp;"","")&amp;"␟"&amp;IFERROR(INDEX(PASTE_ALL,$DF968,47)&amp;"","")&amp;"␟"&amp;IFERROR(INDEX(PASTE_ALL,$DF968,48)&amp;"","")&amp;"␟"&amp;IFERROR(INDEX(PASTE_ALL,$DF968,49)&amp;"","")&amp;"␟"&amp;IFERROR(INDEX(PASTE_ALL,$DF968,50)&amp;"","")&amp;"␟"&amp;IFERROR(INDEX(PASTE_ALL,$DF968,51)&amp;"","")&amp;"␟"&amp;IFERROR(INDEX(PASTE_ALL,$DF968,52)&amp;"","")&amp;"␟"&amp;IFERROR(INDEX(PASTE_ALL,$DF968,53)&amp;"","")&amp;"␟"&amp;IFERROR(INDEX(PASTE_ALL,$DF968,54)&amp;"","")&amp;"␟"&amp;IFERROR(INDEX(PASTE_ALL,$DF968,55)&amp;"","")&amp;"␟"&amp;IFERROR(INDEX(PASTE_ALL,$DF968,56)&amp;"","")&amp;"␟"&amp;IFERROR(INDEX(PASTE_ALL,$DF968,57)&amp;"","")&amp;"␟"&amp;IFERROR(INDEX(PASTE_ALL,$DF968,58)&amp;"","")&amp;"␟"&amp;IFERROR(INDEX(PASTE_ALL,$DF968,59)&amp;"","")&amp;"␟"&amp;IFERROR(INDEX(PASTE_ALL,$DF968,60)&amp;"","")," "," "),CHAR(9)," "),CHAR(10)," "),CHAR(13)," "))," ␟","␟"),"␟ ","␟"),"#"&amp;$DE968),"")</f>
        <v/>
      </c>
      <c r="DJ968">
        <f>IF($DI968="",0,IF(SUMPRODUCT(--EXACT($DI$4:DI967,$DI968))&gt;0,1,0))</f>
        <v/>
      </c>
      <c r="DK968">
        <f>IF(AND($DI968&lt;&gt;"",$DJ968=0),1,0)</f>
        <v/>
      </c>
      <c r="DL968">
        <f>DL967+$DK968</f>
        <v/>
      </c>
      <c r="DM968">
        <f>IF(AND($DK968=1,$DL968&lt;=600),1,0)</f>
        <v/>
      </c>
      <c r="DN968">
        <f>IF($DM968=0,"",IF($L$6=0,"",IFERROR(IF(ISNUMBER(INDEX(PASTE_ALL,$DF968,$L$6)),INDEX(PASTE_ALL,$DF968,$L$6),TRIM(SUBSTITUTE(SUBSTITUTE(SUBSTITUTE(SUBSTITUTE(INDEX(PASTE_ALL,$DF968,$L$6)," "," "),CHAR(9)," "),CHAR(10)," "),CHAR(13)," "))),"")))</f>
        <v/>
      </c>
      <c r="DO968">
        <f>IF($DM968=0,"",IF($L$7=0,"",IFERROR(IF(ISNUMBER(INDEX(PASTE_ALL,$DF968,$L$7)),INDEX(PASTE_ALL,$DF968,$L$7),TRIM(SUBSTITUTE(SUBSTITUTE(SUBSTITUTE(SUBSTITUTE(INDEX(PASTE_ALL,$DF968,$L$7)," "," "),CHAR(9)," "),CHAR(10)," "),CHAR(13)," "))),"")))</f>
        <v/>
      </c>
      <c r="DP968">
        <f>IF($DM968=0,"",IF($L$8=0,"",IFERROR(IF(ISNUMBER(INDEX(PASTE_ALL,$DF968,$L$8)),INDEX(PASTE_ALL,$DF968,$L$8),TRIM(SUBSTITUTE(SUBSTITUTE(SUBSTITUTE(SUBSTITUTE(INDEX(PASTE_ALL,$DF968,$L$8)," "," "),CHAR(9)," "),CHAR(10)," "),CHAR(13)," "))),"")))</f>
        <v/>
      </c>
      <c r="DQ968">
        <f>IF($DM968=0,"",IF($L$9=0,"",IFERROR(IF(ISNUMBER(INDEX(PASTE_ALL,$DF968,$L$9)),INDEX(PASTE_ALL,$DF968,$L$9),TRIM(SUBSTITUTE(SUBSTITUTE(SUBSTITUTE(SUBSTITUTE(INDEX(PASTE_ALL,$DF968,$L$9)," "," "),CHAR(9)," "),CHAR(10)," "),CHAR(13)," "))),"")))</f>
        <v/>
      </c>
      <c r="DR968">
        <f>IF($DM968=0,"",IF($L$10=0,"",IFERROR(IF(ISNUMBER(INDEX(PASTE_ALL,$DF968,$L$10)),INDEX(PASTE_ALL,$DF968,$L$10),TRIM(SUBSTITUTE(SUBSTITUTE(SUBSTITUTE(SUBSTITUTE(INDEX(PASTE_ALL,$DF968,$L$10)," "," "),CHAR(9)," "),CHAR(10)," "),CHAR(13)," "))),"")))</f>
        <v/>
      </c>
      <c r="DS968">
        <f>IF($DM968=0,"",IF($L$11=0,"",IFERROR(IF(ISNUMBER(INDEX(PASTE_ALL,$DF968,$L$11)),INDEX(PASTE_ALL,$DF968,$L$11),TRIM(SUBSTITUTE(SUBSTITUTE(SUBSTITUTE(SUBSTITUTE(INDEX(PASTE_ALL,$DF968,$L$11)," "," "),CHAR(9)," "),CHAR(10)," "),CHAR(13)," "))),"")))</f>
        <v/>
      </c>
      <c r="DT968">
        <f>IF($DM968=0,"",IF($L$12=0,"",IFERROR(IF(ISNUMBER(INDEX(PASTE_ALL,$DF968,$L$12)),INDEX(PASTE_ALL,$DF968,$L$12),TRIM(SUBSTITUTE(SUBSTITUTE(SUBSTITUTE(SUBSTITUTE(INDEX(PASTE_ALL,$DF968,$L$12)," "," "),CHAR(9)," "),CHAR(10)," "),CHAR(13)," "))),"")))</f>
        <v/>
      </c>
      <c r="DU968">
        <f>IF($DM968=0,"",IF($L$13=0,"",IFERROR(IF(ISNUMBER(INDEX(PASTE_ALL,$DF968,$L$13)),INDEX(PASTE_ALL,$DF968,$L$13),TRIM(SUBSTITUTE(SUBSTITUTE(SUBSTITUTE(SUBSTITUTE(INDEX(PASTE_ALL,$DF968,$L$13)," "," "),CHAR(9)," "),CHAR(10)," "),CHAR(13)," "))),"")))</f>
        <v/>
      </c>
      <c r="DV968">
        <f>IF($DM968=0,"",IF($L$14=0,"",IFERROR(IF(ISNUMBER(INDEX(PASTE_ALL,$DF968,$L$14)),INDEX(PASTE_ALL,$DF968,$L$14),TRIM(SUBSTITUTE(SUBSTITUTE(SUBSTITUTE(SUBSTITUTE(INDEX(PASTE_ALL,$DF968,$L$14)," "," "),CHAR(9)," "),CHAR(10)," "),CHAR(13)," "))),"")))</f>
        <v/>
      </c>
      <c r="DW968">
        <f>IF($DM968=0,"",IF($L$15=0,"",IFERROR(IF(ISNUMBER(INDEX(PASTE_ALL,$DF968,$L$15)),INDEX(PASTE_ALL,$DF968,$L$15),IF(SUMPRODUCT(--ISNUMBER(FIND({"A","B","C","D","E","F","G","H","I","J","K","L","M","N","O","P","Q","R","S","T","U","V","W","X","Y","Z","0","1","2","3","4","5","6","7","8","9"},UPPER(TRIM(SUBSTITUTE(SUBSTITUTE(SUBSTITUTE(SUBSTITUTE(INDEX(PASTE_ALL,$DF968,$L$15)," "," "),CHAR(9)," "),CHAR(10)," "),CHAR(13)," "))))))&gt;0,TRIM(SUBSTITUTE(SUBSTITUTE(SUBSTITUTE(SUBSTITUTE(INDEX(PASTE_ALL,$DF968,$L$15)," "," "),CHAR(9)," "),CHAR(10)," "),CHAR(13)," ")),"")),"")))</f>
        <v/>
      </c>
      <c r="DX968">
        <f>IF($DM968=0,"",IF($L$16=0,"",IFERROR(IF(ISNUMBER(INDEX(PASTE_ALL,$DF968,$L$16)),INDEX(PASTE_ALL,$DF968,$L$16),SUBSTITUTE(SUBSTITUTE(TRIM(SUBSTITUTE(SUBSTITUTE(SUBSTITUTE(SUBSTITUTE(INDEX(PASTE_ALL,$DF968,$L$16)," "," "),CHAR(9)," "),CHAR(10)," "),CHAR(13)," ")),",",""),"%","")),"")))</f>
        <v/>
      </c>
      <c r="DY968">
        <f>IF($DM968=0,"",IFERROR(IF(ISNUMBER($DX968),$DX968,IF($DX968="","",IF(TRIM($DX968)="",0,IF(AND(AND(SUBSTITUTE(SUBSTITUTE(SUBSTITUTE(SUBSTITUTE(SUBSTITUTE(SUBSTITUTE(SUBSTITUTE(SUBSTITUTE(SUBSTITUTE(SUBSTITUTE(SUBSTITUTE(SUBSTITUTE(SUBSTITUTE(SUBSTITUTE(UPPER(TRIM($DX968)),"0",""),"1",""),"2",""),"3",""),"4",""),"5",""),"6",""),"7",""),"8",""),"9",""),".",""),"+",""),"-",""),"E","")="",LEN(SUBSTITUTE(SUBSTITUTE(MID(UPPER(TRIM($DX968)),1+OR(LEFT(UPPER(TRIM($DX968)),1)="+",LEFT(UPPER(TRIM($DX968)),1)="-"),999),"E+","E"),"E-","E"))=LEN(SUBSTITUTE(SUBSTITUTE(SUBSTITUTE(SUBSTITUTE(MID(UPPER(TRIM($DX968)),1+OR(LEFT(UPPER(TRIM($DX968)),1)="+",LEFT(UPPER(TRIM($DX968)),1)="-"),999),"E+","E"),"E-","E"),"+",""),"-","")),LEN(UPPER(TRIM($DX968)))-LEN(SUBSTITUTE(UPPER(TRIM($DX968)),"E",""))&lt;2,LEN(UPPER(TRIM($DX968)))-LEN(SUBSTITUTE(UPPER(TRIM($DX968)),".",""))&lt;2,IFERROR(FIND(".",UPPER(TRIM($DX968))),0)&lt;IFERROR(FIND("E",UPPER(TRIM($DX968))),999)),ISNUMBER(VALUE(TRIM($DX968)))),VALUE(TRIM($DX968)),"")))),""))</f>
        <v/>
      </c>
      <c r="DZ968">
        <f>IF($DM968=0,"",IF($L$17=0,"",IFERROR(IF(ISNUMBER(INDEX(PASTE_ALL,$DF968,$L$17)),INDEX(PASTE_ALL,$DF968,$L$17),SUBSTITUTE(SUBSTITUTE(TRIM(SUBSTITUTE(SUBSTITUTE(SUBSTITUTE(SUBSTITUTE(INDEX(PASTE_ALL,$DF968,$L$17)," "," "),CHAR(9)," "),CHAR(10)," "),CHAR(13)," ")),",",""),"%","")),"")))</f>
        <v/>
      </c>
      <c r="EA968">
        <f>IF($DM968=0,"",IFERROR(IF(ISNUMBER($DZ968),$DZ968,IF($DZ968="","",IF(TRIM($DZ968)="",0,IF(AND(AND(SUBSTITUTE(SUBSTITUTE(SUBSTITUTE(SUBSTITUTE(SUBSTITUTE(SUBSTITUTE(SUBSTITUTE(SUBSTITUTE(SUBSTITUTE(SUBSTITUTE(SUBSTITUTE(SUBSTITUTE(SUBSTITUTE(SUBSTITUTE(UPPER(TRIM($DZ968)),"0",""),"1",""),"2",""),"3",""),"4",""),"5",""),"6",""),"7",""),"8",""),"9",""),".",""),"+",""),"-",""),"E","")="",LEN(SUBSTITUTE(SUBSTITUTE(MID(UPPER(TRIM($DZ968)),1+OR(LEFT(UPPER(TRIM($DZ968)),1)="+",LEFT(UPPER(TRIM($DZ968)),1)="-"),999),"E+","E"),"E-","E"))=LEN(SUBSTITUTE(SUBSTITUTE(SUBSTITUTE(SUBSTITUTE(MID(UPPER(TRIM($DZ968)),1+OR(LEFT(UPPER(TRIM($DZ968)),1)="+",LEFT(UPPER(TRIM($DZ968)),1)="-"),999),"E+","E"),"E-","E"),"+",""),"-","")),LEN(UPPER(TRIM($DZ968)))-LEN(SUBSTITUTE(UPPER(TRIM($DZ968)),"E",""))&lt;2,LEN(UPPER(TRIM($DZ968)))-LEN(SUBSTITUTE(UPPER(TRIM($DZ968)),".",""))&lt;2,IFERROR(FIND(".",UPPER(TRIM($DZ968))),0)&lt;IFERROR(FIND("E",UPPER(TRIM($DZ968))),999)),ISNUMBER(VALUE(TRIM($DZ968)))),VALUE(TRIM($DZ968)),"")))),""))</f>
        <v/>
      </c>
      <c r="EB968">
        <f>IF($DM968=0,"",IF($L$18=0,"",IFERROR(IF(UPPER(TRIM(SUBSTITUTE(SUBSTITUTE(SUBSTITUTE(SUBSTITUTE(INDEX(PASTE_ALL,$DF968,$L$18)," "," "),CHAR(9)," "),CHAR(10)," "),CHAR(13)," ")))="READY","Ready",IF(UPPER(TRIM(SUBSTITUTE(SUBSTITUTE(SUBSTITUTE(SUBSTITUTE(INDEX(PASTE_ALL,$DF968,$L$18)," "," "),CHAR(9)," "),CHAR(10)," "),CHAR(13)," ")))="PM","PM",IF(OR(UPPER(TRIM(SUBSTITUTE(SUBSTITUTE(SUBSTITUTE(SUBSTITUTE(INDEX(PASTE_ALL,$DF968,$L$18)," "," "),CHAR(9)," "),CHAR(10)," "),CHAR(13)," ")))="OT",UPPER(TRIM(SUBSTITUTE(SUBSTITUTE(SUBSTITUTE(SUBSTITUTE(INDEX(PASTE_ALL,$DF968,$L$18)," "," "),CHAR(9)," "),CHAR(10)," "),CHAR(13)," ")))="OVERTIME",UPPER(TRIM(SUBSTITUTE(SUBSTITUTE(SUBSTITUTE(SUBSTITUTE(INDEX(PASTE_ALL,$DF968,$L$18)," "," "),CHAR(9)," "),CHAR(10)," "),CHAR(13)," ")))="TRIAL"),"OT",TRIM(SUBSTITUTE(SUBSTITUTE(SUBSTITUTE(SUBSTITUTE(INDEX(PASTE_ALL,$DF968,$L$18)," "," "),CHAR(9)," "),CHAR(10)," "),CHAR(13)," "))))),"")))</f>
        <v/>
      </c>
      <c r="EC968">
        <f>IF($DM968=0,"",IF($L$19=0,"",IFERROR(IF(ISNUMBER(INDEX(PASTE_ALL,$DF968,$L$19)),INDEX(PASTE_ALL,$DF968,$L$19),TRIM(SUBSTITUTE(SUBSTITUTE(SUBSTITUTE(SUBSTITUTE(INDEX(PASTE_ALL,$DF968,$L$19)," "," "),CHAR(9)," "),CHAR(10)," "),CHAR(13)," "))),"")))</f>
        <v/>
      </c>
      <c r="ED968">
        <f>IF($DM968=0,"",MATCH(1,INDEX(EXACT($DH$5:DH968,$DH968)*$DM$5:DM968,0),0))</f>
        <v/>
      </c>
      <c r="EE968">
        <f>IF($DM968=0,0,IF($ED968=$DE968,1,0))</f>
        <v/>
      </c>
      <c r="EF968">
        <f>EF967+$EE968</f>
        <v/>
      </c>
      <c r="EG968">
        <f>IF($DM968=0,"",INDEX($EF$5:$EF$1003,$ED968))</f>
        <v/>
      </c>
      <c r="EH968">
        <f>IF($DM968=0,"",IF($DO968&lt;&gt;"","",IFERROR(LOOKUP(2,1/(($EG$4:EG967=$EG968)*($DO$4:DO967&lt;&gt;"")),$DO$4:DO967),"")))</f>
        <v/>
      </c>
      <c r="EI968">
        <f>IF($DM968=0,"",IF($DO968&lt;&gt;"",$DO968,$EH968))</f>
        <v/>
      </c>
      <c r="EJ968">
        <f>IF($DM968=0,"",IF($EI968="",0,IF(OR(ISNUMBER($EI968),AND(AND(SUBSTITUTE(SUBSTITUTE(SUBSTITUTE(SUBSTITUTE(SUBSTITUTE(SUBSTITUTE(SUBSTITUTE(SUBSTITUTE(SUBSTITUTE(SUBSTITUTE(SUBSTITUTE(SUBSTITUTE(SUBSTITUTE(SUBSTITUTE(UPPER($EI968),"0",""),"1",""),"2",""),"3",""),"4",""),"5",""),"6",""),"7",""),"8",""),"9",""),".",""),"+",""),"-",""),"E","")="",LEN(SUBSTITUTE(SUBSTITUTE(MID(UPPER($EI968),1+OR(LEFT(UPPER($EI968),1)="+",LEFT(UPPER($EI968),1)="-"),999),"E+","E"),"E-","E"))=LEN(SUBSTITUTE(SUBSTITUTE(SUBSTITUTE(SUBSTITUTE(MID(UPPER($EI968),1+OR(LEFT(UPPER($EI968),1)="+",LEFT(UPPER($EI968),1)="-"),999),"E+","E"),"E-","E"),"+",""),"-","")),LEN(UPPER($EI968))-LEN(SUBSTITUTE(UPPER($EI968),"E",""))&lt;2,LEN(UPPER($EI968))-LEN(SUBSTITUTE(UPPER($EI968),".",""))&lt;2,IFERROR(FIND(".",UPPER($EI968)),0)&lt;IFERROR(FIND("E",UPPER($EI968)),999)),ISNUMBER(VALUE($EI968)))),1,2)))</f>
        <v/>
      </c>
      <c r="EK968">
        <f>IF($DM968=0,"",IF($EJ968=1,IF(ISNUMBER($EI968),$EI968,VALUE($EI968)),IF($EJ968=2,$DE968,0)))</f>
        <v/>
      </c>
      <c r="EL968">
        <f>IF($DM968=0,"",COUNTIF($EG$5:$EG$1003,"&lt;"&amp;$EG968)+SUMPRODUCT(($EG$5:$EG$1003=$EG968)*(($EJ$5:$EJ$1003&lt;$EJ968)+($EJ$5:$EJ$1003=$EJ968)*(($EK$5:$EK$1003&lt;$EK968)+($EK$5:$EK$1003=$EK968)*($DE$5:$DE$1003&lt;$DE968))))+1)</f>
        <v/>
      </c>
      <c r="EM968">
        <f>IF($DM968=0,"",$EL968+$EG968-1)</f>
        <v/>
      </c>
      <c r="EN968">
        <f>IF($DM968=0,0,IFERROR(MATCH(1,INDEX(--(TRIM(SUBSTITUTE(SUBSTITUTE(SUBSTITUTE(SUBSTITUTE(LINES_NAME&amp;""," "," "),CHAR(9)," "),CHAR(10)," "),CHAR(13)," "))=$DH968),0),0),0))</f>
        <v/>
      </c>
      <c r="EO968">
        <f>IF($EN968=0,0,IF(OR(UPPER(TRIM(INDEX(LINES_SCHEDULED,$EN968)&amp;""))="YES",UPPER(TRIM(INDEX(LINES_SCHEDULED,$EN968)&amp;""))="Y",UPPER(TRIM(INDEX(LINES_SCHEDULED,$EN968)&amp;""))="X"),1,0))</f>
        <v/>
      </c>
      <c r="EP968">
        <f>IF($DM968=0,"",IF(COUNTIFS($EG$5:$EG$1003,$EG968,$EB$5:$EB$1003,"Ready")&gt;0,"READY",IF(COUNTIFS($EG$5:$EG$1003,$EG968,$EB$5:$EB$1003,"PM")&gt;0,"PM",IF(COUNTIFS($EG$5:$EG$1003,$EG968,$EB$5:$EB$1003,"OT")&gt;0,"OT",""))))</f>
        <v/>
      </c>
      <c r="EQ968">
        <f>IF($EN968=0,"",UPPER(TRIM(INDEX(LINES_STATUS,$EN968)&amp;"")))</f>
        <v/>
      </c>
      <c r="ER968">
        <f>IF($DM968=0,"",IF(OR($EQ968="READY",$EQ968="PM",$EQ968="OT"),$EQ968,$EP968))</f>
        <v/>
      </c>
      <c r="ES968">
        <f>IF($DM968=0,"",IF(AND($DV968&lt;&gt;"",UPPER($DV968)&lt;&gt;"N"),"allergen",IF(ISNUMBER(SEARCH("oil",$DQ968)),"oil",IF(OR(EXACT($DS968,"A662"),EXACT($DS968,"A624")),"bulk",""))))</f>
        <v/>
      </c>
      <c r="ET968">
        <f>IF($DM968=0,"",IF(OR($EA968="",$EA968=0),"",$EA968/100))</f>
        <v/>
      </c>
      <c r="EU968">
        <f>IF(OR($ET968="",$DY968=""),"",INT($DY968*(1-$ET968)+0.5))</f>
        <v/>
      </c>
    </row>
    <row r="969">
      <c r="DA969" t="n">
        <v>965</v>
      </c>
      <c r="DB969">
        <f>IF($B$37=0,"",IFERROR(TRIM(SUBSTITUTE(SUBSTITUTE(SUBSTITUTE(SUBSTITUTE(INDEX(PASTE_ALL,965,$B$37)," "," "),CHAR(9)," "),CHAR(10)," "),CHAR(13)," ")),""))</f>
        <v/>
      </c>
      <c r="DC969">
        <f>IF(AND(965&gt;HEADER_ROW,UPPER(DB969)="LEGEND"),1,0)</f>
        <v/>
      </c>
      <c r="DE969" t="n">
        <v>965</v>
      </c>
      <c r="DF969">
        <f>HEADER_ROW+$DE969</f>
        <v/>
      </c>
      <c r="DG969">
        <f>IF(AND($DF969&lt;=1000,$DF969&lt;$B$8),1,0)</f>
        <v/>
      </c>
      <c r="DH969">
        <f>IF($DG969=1,IFERROR(INDEX($DB$5:$DB$1004,$DF969),""),"")</f>
        <v/>
      </c>
      <c r="DI969">
        <f>IF(AND($DG969=1,$DH969&lt;&gt;""),IFERROR(SUBSTITUTE(SUBSTITUTE(TRIM(SUBSTITUTE(SUBSTITUTE(SUBSTITUTE(SUBSTITUTE(IFERROR(INDEX(PASTE_ALL,$DF969,1)&amp;"","")&amp;"␟"&amp;IFERROR(INDEX(PASTE_ALL,$DF969,2)&amp;"","")&amp;"␟"&amp;IFERROR(INDEX(PASTE_ALL,$DF969,3)&amp;"","")&amp;"␟"&amp;IFERROR(INDEX(PASTE_ALL,$DF969,4)&amp;"","")&amp;"␟"&amp;IFERROR(INDEX(PASTE_ALL,$DF969,5)&amp;"","")&amp;"␟"&amp;IFERROR(INDEX(PASTE_ALL,$DF969,6)&amp;"","")&amp;"␟"&amp;IFERROR(INDEX(PASTE_ALL,$DF969,7)&amp;"","")&amp;"␟"&amp;IFERROR(INDEX(PASTE_ALL,$DF969,8)&amp;"","")&amp;"␟"&amp;IFERROR(INDEX(PASTE_ALL,$DF969,9)&amp;"","")&amp;"␟"&amp;IFERROR(INDEX(PASTE_ALL,$DF969,10)&amp;"","")&amp;"␟"&amp;IFERROR(INDEX(PASTE_ALL,$DF969,11)&amp;"","")&amp;"␟"&amp;IFERROR(INDEX(PASTE_ALL,$DF969,12)&amp;"","")&amp;"␟"&amp;IFERROR(INDEX(PASTE_ALL,$DF969,13)&amp;"","")&amp;"␟"&amp;IFERROR(INDEX(PASTE_ALL,$DF969,14)&amp;"","")&amp;"␟"&amp;IFERROR(INDEX(PASTE_ALL,$DF969,15)&amp;"","")&amp;"␟"&amp;IFERROR(INDEX(PASTE_ALL,$DF969,16)&amp;"","")&amp;"␟"&amp;IFERROR(INDEX(PASTE_ALL,$DF969,17)&amp;"","")&amp;"␟"&amp;IFERROR(INDEX(PASTE_ALL,$DF969,18)&amp;"","")&amp;"␟"&amp;IFERROR(INDEX(PASTE_ALL,$DF969,19)&amp;"","")&amp;"␟"&amp;IFERROR(INDEX(PASTE_ALL,$DF969,20)&amp;"","")&amp;"␟"&amp;IFERROR(INDEX(PASTE_ALL,$DF969,21)&amp;"","")&amp;"␟"&amp;IFERROR(INDEX(PASTE_ALL,$DF969,22)&amp;"","")&amp;"␟"&amp;IFERROR(INDEX(PASTE_ALL,$DF969,23)&amp;"","")&amp;"␟"&amp;IFERROR(INDEX(PASTE_ALL,$DF969,24)&amp;"","")&amp;"␟"&amp;IFERROR(INDEX(PASTE_ALL,$DF969,25)&amp;"","")&amp;"␟"&amp;IFERROR(INDEX(PASTE_ALL,$DF969,26)&amp;"","")&amp;"␟"&amp;IFERROR(INDEX(PASTE_ALL,$DF969,27)&amp;"","")&amp;"␟"&amp;IFERROR(INDEX(PASTE_ALL,$DF969,28)&amp;"","")&amp;"␟"&amp;IFERROR(INDEX(PASTE_ALL,$DF969,29)&amp;"","")&amp;"␟"&amp;IFERROR(INDEX(PASTE_ALL,$DF969,30)&amp;"","")&amp;"␟"&amp;IFERROR(INDEX(PASTE_ALL,$DF969,31)&amp;"","")&amp;"␟"&amp;IFERROR(INDEX(PASTE_ALL,$DF969,32)&amp;"","")&amp;"␟"&amp;IFERROR(INDEX(PASTE_ALL,$DF969,33)&amp;"","")&amp;"␟"&amp;IFERROR(INDEX(PASTE_ALL,$DF969,34)&amp;"","")&amp;"␟"&amp;IFERROR(INDEX(PASTE_ALL,$DF969,35)&amp;"","")&amp;"␟"&amp;IFERROR(INDEX(PASTE_ALL,$DF969,36)&amp;"","")&amp;"␟"&amp;IFERROR(INDEX(PASTE_ALL,$DF969,37)&amp;"","")&amp;"␟"&amp;IFERROR(INDEX(PASTE_ALL,$DF969,38)&amp;"","")&amp;"␟"&amp;IFERROR(INDEX(PASTE_ALL,$DF969,39)&amp;"","")&amp;"␟"&amp;IFERROR(INDEX(PASTE_ALL,$DF969,40)&amp;"","")&amp;"␟"&amp;IFERROR(INDEX(PASTE_ALL,$DF969,41)&amp;"","")&amp;"␟"&amp;IFERROR(INDEX(PASTE_ALL,$DF969,42)&amp;"","")&amp;"␟"&amp;IFERROR(INDEX(PASTE_ALL,$DF969,43)&amp;"","")&amp;"␟"&amp;IFERROR(INDEX(PASTE_ALL,$DF969,44)&amp;"","")&amp;"␟"&amp;IFERROR(INDEX(PASTE_ALL,$DF969,45)&amp;"","")&amp;"␟"&amp;IFERROR(INDEX(PASTE_ALL,$DF969,46)&amp;"","")&amp;"␟"&amp;IFERROR(INDEX(PASTE_ALL,$DF969,47)&amp;"","")&amp;"␟"&amp;IFERROR(INDEX(PASTE_ALL,$DF969,48)&amp;"","")&amp;"␟"&amp;IFERROR(INDEX(PASTE_ALL,$DF969,49)&amp;"","")&amp;"␟"&amp;IFERROR(INDEX(PASTE_ALL,$DF969,50)&amp;"","")&amp;"␟"&amp;IFERROR(INDEX(PASTE_ALL,$DF969,51)&amp;"","")&amp;"␟"&amp;IFERROR(INDEX(PASTE_ALL,$DF969,52)&amp;"","")&amp;"␟"&amp;IFERROR(INDEX(PASTE_ALL,$DF969,53)&amp;"","")&amp;"␟"&amp;IFERROR(INDEX(PASTE_ALL,$DF969,54)&amp;"","")&amp;"␟"&amp;IFERROR(INDEX(PASTE_ALL,$DF969,55)&amp;"","")&amp;"␟"&amp;IFERROR(INDEX(PASTE_ALL,$DF969,56)&amp;"","")&amp;"␟"&amp;IFERROR(INDEX(PASTE_ALL,$DF969,57)&amp;"","")&amp;"␟"&amp;IFERROR(INDEX(PASTE_ALL,$DF969,58)&amp;"","")&amp;"␟"&amp;IFERROR(INDEX(PASTE_ALL,$DF969,59)&amp;"","")&amp;"␟"&amp;IFERROR(INDEX(PASTE_ALL,$DF969,60)&amp;"","")," "," "),CHAR(9)," "),CHAR(10)," "),CHAR(13)," "))," ␟","␟"),"␟ ","␟"),"#"&amp;$DE969),"")</f>
        <v/>
      </c>
      <c r="DJ969">
        <f>IF($DI969="",0,IF(SUMPRODUCT(--EXACT($DI$4:DI968,$DI969))&gt;0,1,0))</f>
        <v/>
      </c>
      <c r="DK969">
        <f>IF(AND($DI969&lt;&gt;"",$DJ969=0),1,0)</f>
        <v/>
      </c>
      <c r="DL969">
        <f>DL968+$DK969</f>
        <v/>
      </c>
      <c r="DM969">
        <f>IF(AND($DK969=1,$DL969&lt;=600),1,0)</f>
        <v/>
      </c>
      <c r="DN969">
        <f>IF($DM969=0,"",IF($L$6=0,"",IFERROR(IF(ISNUMBER(INDEX(PASTE_ALL,$DF969,$L$6)),INDEX(PASTE_ALL,$DF969,$L$6),TRIM(SUBSTITUTE(SUBSTITUTE(SUBSTITUTE(SUBSTITUTE(INDEX(PASTE_ALL,$DF969,$L$6)," "," "),CHAR(9)," "),CHAR(10)," "),CHAR(13)," "))),"")))</f>
        <v/>
      </c>
      <c r="DO969">
        <f>IF($DM969=0,"",IF($L$7=0,"",IFERROR(IF(ISNUMBER(INDEX(PASTE_ALL,$DF969,$L$7)),INDEX(PASTE_ALL,$DF969,$L$7),TRIM(SUBSTITUTE(SUBSTITUTE(SUBSTITUTE(SUBSTITUTE(INDEX(PASTE_ALL,$DF969,$L$7)," "," "),CHAR(9)," "),CHAR(10)," "),CHAR(13)," "))),"")))</f>
        <v/>
      </c>
      <c r="DP969">
        <f>IF($DM969=0,"",IF($L$8=0,"",IFERROR(IF(ISNUMBER(INDEX(PASTE_ALL,$DF969,$L$8)),INDEX(PASTE_ALL,$DF969,$L$8),TRIM(SUBSTITUTE(SUBSTITUTE(SUBSTITUTE(SUBSTITUTE(INDEX(PASTE_ALL,$DF969,$L$8)," "," "),CHAR(9)," "),CHAR(10)," "),CHAR(13)," "))),"")))</f>
        <v/>
      </c>
      <c r="DQ969">
        <f>IF($DM969=0,"",IF($L$9=0,"",IFERROR(IF(ISNUMBER(INDEX(PASTE_ALL,$DF969,$L$9)),INDEX(PASTE_ALL,$DF969,$L$9),TRIM(SUBSTITUTE(SUBSTITUTE(SUBSTITUTE(SUBSTITUTE(INDEX(PASTE_ALL,$DF969,$L$9)," "," "),CHAR(9)," "),CHAR(10)," "),CHAR(13)," "))),"")))</f>
        <v/>
      </c>
      <c r="DR969">
        <f>IF($DM969=0,"",IF($L$10=0,"",IFERROR(IF(ISNUMBER(INDEX(PASTE_ALL,$DF969,$L$10)),INDEX(PASTE_ALL,$DF969,$L$10),TRIM(SUBSTITUTE(SUBSTITUTE(SUBSTITUTE(SUBSTITUTE(INDEX(PASTE_ALL,$DF969,$L$10)," "," "),CHAR(9)," "),CHAR(10)," "),CHAR(13)," "))),"")))</f>
        <v/>
      </c>
      <c r="DS969">
        <f>IF($DM969=0,"",IF($L$11=0,"",IFERROR(IF(ISNUMBER(INDEX(PASTE_ALL,$DF969,$L$11)),INDEX(PASTE_ALL,$DF969,$L$11),TRIM(SUBSTITUTE(SUBSTITUTE(SUBSTITUTE(SUBSTITUTE(INDEX(PASTE_ALL,$DF969,$L$11)," "," "),CHAR(9)," "),CHAR(10)," "),CHAR(13)," "))),"")))</f>
        <v/>
      </c>
      <c r="DT969">
        <f>IF($DM969=0,"",IF($L$12=0,"",IFERROR(IF(ISNUMBER(INDEX(PASTE_ALL,$DF969,$L$12)),INDEX(PASTE_ALL,$DF969,$L$12),TRIM(SUBSTITUTE(SUBSTITUTE(SUBSTITUTE(SUBSTITUTE(INDEX(PASTE_ALL,$DF969,$L$12)," "," "),CHAR(9)," "),CHAR(10)," "),CHAR(13)," "))),"")))</f>
        <v/>
      </c>
      <c r="DU969">
        <f>IF($DM969=0,"",IF($L$13=0,"",IFERROR(IF(ISNUMBER(INDEX(PASTE_ALL,$DF969,$L$13)),INDEX(PASTE_ALL,$DF969,$L$13),TRIM(SUBSTITUTE(SUBSTITUTE(SUBSTITUTE(SUBSTITUTE(INDEX(PASTE_ALL,$DF969,$L$13)," "," "),CHAR(9)," "),CHAR(10)," "),CHAR(13)," "))),"")))</f>
        <v/>
      </c>
      <c r="DV969">
        <f>IF($DM969=0,"",IF($L$14=0,"",IFERROR(IF(ISNUMBER(INDEX(PASTE_ALL,$DF969,$L$14)),INDEX(PASTE_ALL,$DF969,$L$14),TRIM(SUBSTITUTE(SUBSTITUTE(SUBSTITUTE(SUBSTITUTE(INDEX(PASTE_ALL,$DF969,$L$14)," "," "),CHAR(9)," "),CHAR(10)," "),CHAR(13)," "))),"")))</f>
        <v/>
      </c>
      <c r="DW969">
        <f>IF($DM969=0,"",IF($L$15=0,"",IFERROR(IF(ISNUMBER(INDEX(PASTE_ALL,$DF969,$L$15)),INDEX(PASTE_ALL,$DF969,$L$15),IF(SUMPRODUCT(--ISNUMBER(FIND({"A","B","C","D","E","F","G","H","I","J","K","L","M","N","O","P","Q","R","S","T","U","V","W","X","Y","Z","0","1","2","3","4","5","6","7","8","9"},UPPER(TRIM(SUBSTITUTE(SUBSTITUTE(SUBSTITUTE(SUBSTITUTE(INDEX(PASTE_ALL,$DF969,$L$15)," "," "),CHAR(9)," "),CHAR(10)," "),CHAR(13)," "))))))&gt;0,TRIM(SUBSTITUTE(SUBSTITUTE(SUBSTITUTE(SUBSTITUTE(INDEX(PASTE_ALL,$DF969,$L$15)," "," "),CHAR(9)," "),CHAR(10)," "),CHAR(13)," ")),"")),"")))</f>
        <v/>
      </c>
      <c r="DX969">
        <f>IF($DM969=0,"",IF($L$16=0,"",IFERROR(IF(ISNUMBER(INDEX(PASTE_ALL,$DF969,$L$16)),INDEX(PASTE_ALL,$DF969,$L$16),SUBSTITUTE(SUBSTITUTE(TRIM(SUBSTITUTE(SUBSTITUTE(SUBSTITUTE(SUBSTITUTE(INDEX(PASTE_ALL,$DF969,$L$16)," "," "),CHAR(9)," "),CHAR(10)," "),CHAR(13)," ")),",",""),"%","")),"")))</f>
        <v/>
      </c>
      <c r="DY969">
        <f>IF($DM969=0,"",IFERROR(IF(ISNUMBER($DX969),$DX969,IF($DX969="","",IF(TRIM($DX969)="",0,IF(AND(AND(SUBSTITUTE(SUBSTITUTE(SUBSTITUTE(SUBSTITUTE(SUBSTITUTE(SUBSTITUTE(SUBSTITUTE(SUBSTITUTE(SUBSTITUTE(SUBSTITUTE(SUBSTITUTE(SUBSTITUTE(SUBSTITUTE(SUBSTITUTE(UPPER(TRIM($DX969)),"0",""),"1",""),"2",""),"3",""),"4",""),"5",""),"6",""),"7",""),"8",""),"9",""),".",""),"+",""),"-",""),"E","")="",LEN(SUBSTITUTE(SUBSTITUTE(MID(UPPER(TRIM($DX969)),1+OR(LEFT(UPPER(TRIM($DX969)),1)="+",LEFT(UPPER(TRIM($DX969)),1)="-"),999),"E+","E"),"E-","E"))=LEN(SUBSTITUTE(SUBSTITUTE(SUBSTITUTE(SUBSTITUTE(MID(UPPER(TRIM($DX969)),1+OR(LEFT(UPPER(TRIM($DX969)),1)="+",LEFT(UPPER(TRIM($DX969)),1)="-"),999),"E+","E"),"E-","E"),"+",""),"-","")),LEN(UPPER(TRIM($DX969)))-LEN(SUBSTITUTE(UPPER(TRIM($DX969)),"E",""))&lt;2,LEN(UPPER(TRIM($DX969)))-LEN(SUBSTITUTE(UPPER(TRIM($DX969)),".",""))&lt;2,IFERROR(FIND(".",UPPER(TRIM($DX969))),0)&lt;IFERROR(FIND("E",UPPER(TRIM($DX969))),999)),ISNUMBER(VALUE(TRIM($DX969)))),VALUE(TRIM($DX969)),"")))),""))</f>
        <v/>
      </c>
      <c r="DZ969">
        <f>IF($DM969=0,"",IF($L$17=0,"",IFERROR(IF(ISNUMBER(INDEX(PASTE_ALL,$DF969,$L$17)),INDEX(PASTE_ALL,$DF969,$L$17),SUBSTITUTE(SUBSTITUTE(TRIM(SUBSTITUTE(SUBSTITUTE(SUBSTITUTE(SUBSTITUTE(INDEX(PASTE_ALL,$DF969,$L$17)," "," "),CHAR(9)," "),CHAR(10)," "),CHAR(13)," ")),",",""),"%","")),"")))</f>
        <v/>
      </c>
      <c r="EA969">
        <f>IF($DM969=0,"",IFERROR(IF(ISNUMBER($DZ969),$DZ969,IF($DZ969="","",IF(TRIM($DZ969)="",0,IF(AND(AND(SUBSTITUTE(SUBSTITUTE(SUBSTITUTE(SUBSTITUTE(SUBSTITUTE(SUBSTITUTE(SUBSTITUTE(SUBSTITUTE(SUBSTITUTE(SUBSTITUTE(SUBSTITUTE(SUBSTITUTE(SUBSTITUTE(SUBSTITUTE(UPPER(TRIM($DZ969)),"0",""),"1",""),"2",""),"3",""),"4",""),"5",""),"6",""),"7",""),"8",""),"9",""),".",""),"+",""),"-",""),"E","")="",LEN(SUBSTITUTE(SUBSTITUTE(MID(UPPER(TRIM($DZ969)),1+OR(LEFT(UPPER(TRIM($DZ969)),1)="+",LEFT(UPPER(TRIM($DZ969)),1)="-"),999),"E+","E"),"E-","E"))=LEN(SUBSTITUTE(SUBSTITUTE(SUBSTITUTE(SUBSTITUTE(MID(UPPER(TRIM($DZ969)),1+OR(LEFT(UPPER(TRIM($DZ969)),1)="+",LEFT(UPPER(TRIM($DZ969)),1)="-"),999),"E+","E"),"E-","E"),"+",""),"-","")),LEN(UPPER(TRIM($DZ969)))-LEN(SUBSTITUTE(UPPER(TRIM($DZ969)),"E",""))&lt;2,LEN(UPPER(TRIM($DZ969)))-LEN(SUBSTITUTE(UPPER(TRIM($DZ969)),".",""))&lt;2,IFERROR(FIND(".",UPPER(TRIM($DZ969))),0)&lt;IFERROR(FIND("E",UPPER(TRIM($DZ969))),999)),ISNUMBER(VALUE(TRIM($DZ969)))),VALUE(TRIM($DZ969)),"")))),""))</f>
        <v/>
      </c>
      <c r="EB969">
        <f>IF($DM969=0,"",IF($L$18=0,"",IFERROR(IF(UPPER(TRIM(SUBSTITUTE(SUBSTITUTE(SUBSTITUTE(SUBSTITUTE(INDEX(PASTE_ALL,$DF969,$L$18)," "," "),CHAR(9)," "),CHAR(10)," "),CHAR(13)," ")))="READY","Ready",IF(UPPER(TRIM(SUBSTITUTE(SUBSTITUTE(SUBSTITUTE(SUBSTITUTE(INDEX(PASTE_ALL,$DF969,$L$18)," "," "),CHAR(9)," "),CHAR(10)," "),CHAR(13)," ")))="PM","PM",IF(OR(UPPER(TRIM(SUBSTITUTE(SUBSTITUTE(SUBSTITUTE(SUBSTITUTE(INDEX(PASTE_ALL,$DF969,$L$18)," "," "),CHAR(9)," "),CHAR(10)," "),CHAR(13)," ")))="OT",UPPER(TRIM(SUBSTITUTE(SUBSTITUTE(SUBSTITUTE(SUBSTITUTE(INDEX(PASTE_ALL,$DF969,$L$18)," "," "),CHAR(9)," "),CHAR(10)," "),CHAR(13)," ")))="OVERTIME",UPPER(TRIM(SUBSTITUTE(SUBSTITUTE(SUBSTITUTE(SUBSTITUTE(INDEX(PASTE_ALL,$DF969,$L$18)," "," "),CHAR(9)," "),CHAR(10)," "),CHAR(13)," ")))="TRIAL"),"OT",TRIM(SUBSTITUTE(SUBSTITUTE(SUBSTITUTE(SUBSTITUTE(INDEX(PASTE_ALL,$DF969,$L$18)," "," "),CHAR(9)," "),CHAR(10)," "),CHAR(13)," "))))),"")))</f>
        <v/>
      </c>
      <c r="EC969">
        <f>IF($DM969=0,"",IF($L$19=0,"",IFERROR(IF(ISNUMBER(INDEX(PASTE_ALL,$DF969,$L$19)),INDEX(PASTE_ALL,$DF969,$L$19),TRIM(SUBSTITUTE(SUBSTITUTE(SUBSTITUTE(SUBSTITUTE(INDEX(PASTE_ALL,$DF969,$L$19)," "," "),CHAR(9)," "),CHAR(10)," "),CHAR(13)," "))),"")))</f>
        <v/>
      </c>
      <c r="ED969">
        <f>IF($DM969=0,"",MATCH(1,INDEX(EXACT($DH$5:DH969,$DH969)*$DM$5:DM969,0),0))</f>
        <v/>
      </c>
      <c r="EE969">
        <f>IF($DM969=0,0,IF($ED969=$DE969,1,0))</f>
        <v/>
      </c>
      <c r="EF969">
        <f>EF968+$EE969</f>
        <v/>
      </c>
      <c r="EG969">
        <f>IF($DM969=0,"",INDEX($EF$5:$EF$1003,$ED969))</f>
        <v/>
      </c>
      <c r="EH969">
        <f>IF($DM969=0,"",IF($DO969&lt;&gt;"","",IFERROR(LOOKUP(2,1/(($EG$4:EG968=$EG969)*($DO$4:DO968&lt;&gt;"")),$DO$4:DO968),"")))</f>
        <v/>
      </c>
      <c r="EI969">
        <f>IF($DM969=0,"",IF($DO969&lt;&gt;"",$DO969,$EH969))</f>
        <v/>
      </c>
      <c r="EJ969">
        <f>IF($DM969=0,"",IF($EI969="",0,IF(OR(ISNUMBER($EI969),AND(AND(SUBSTITUTE(SUBSTITUTE(SUBSTITUTE(SUBSTITUTE(SUBSTITUTE(SUBSTITUTE(SUBSTITUTE(SUBSTITUTE(SUBSTITUTE(SUBSTITUTE(SUBSTITUTE(SUBSTITUTE(SUBSTITUTE(SUBSTITUTE(UPPER($EI969),"0",""),"1",""),"2",""),"3",""),"4",""),"5",""),"6",""),"7",""),"8",""),"9",""),".",""),"+",""),"-",""),"E","")="",LEN(SUBSTITUTE(SUBSTITUTE(MID(UPPER($EI969),1+OR(LEFT(UPPER($EI969),1)="+",LEFT(UPPER($EI969),1)="-"),999),"E+","E"),"E-","E"))=LEN(SUBSTITUTE(SUBSTITUTE(SUBSTITUTE(SUBSTITUTE(MID(UPPER($EI969),1+OR(LEFT(UPPER($EI969),1)="+",LEFT(UPPER($EI969),1)="-"),999),"E+","E"),"E-","E"),"+",""),"-","")),LEN(UPPER($EI969))-LEN(SUBSTITUTE(UPPER($EI969),"E",""))&lt;2,LEN(UPPER($EI969))-LEN(SUBSTITUTE(UPPER($EI969),".",""))&lt;2,IFERROR(FIND(".",UPPER($EI969)),0)&lt;IFERROR(FIND("E",UPPER($EI969)),999)),ISNUMBER(VALUE($EI969)))),1,2)))</f>
        <v/>
      </c>
      <c r="EK969">
        <f>IF($DM969=0,"",IF($EJ969=1,IF(ISNUMBER($EI969),$EI969,VALUE($EI969)),IF($EJ969=2,$DE969,0)))</f>
        <v/>
      </c>
      <c r="EL969">
        <f>IF($DM969=0,"",COUNTIF($EG$5:$EG$1003,"&lt;"&amp;$EG969)+SUMPRODUCT(($EG$5:$EG$1003=$EG969)*(($EJ$5:$EJ$1003&lt;$EJ969)+($EJ$5:$EJ$1003=$EJ969)*(($EK$5:$EK$1003&lt;$EK969)+($EK$5:$EK$1003=$EK969)*($DE$5:$DE$1003&lt;$DE969))))+1)</f>
        <v/>
      </c>
      <c r="EM969">
        <f>IF($DM969=0,"",$EL969+$EG969-1)</f>
        <v/>
      </c>
      <c r="EN969">
        <f>IF($DM969=0,0,IFERROR(MATCH(1,INDEX(--(TRIM(SUBSTITUTE(SUBSTITUTE(SUBSTITUTE(SUBSTITUTE(LINES_NAME&amp;""," "," "),CHAR(9)," "),CHAR(10)," "),CHAR(13)," "))=$DH969),0),0),0))</f>
        <v/>
      </c>
      <c r="EO969">
        <f>IF($EN969=0,0,IF(OR(UPPER(TRIM(INDEX(LINES_SCHEDULED,$EN969)&amp;""))="YES",UPPER(TRIM(INDEX(LINES_SCHEDULED,$EN969)&amp;""))="Y",UPPER(TRIM(INDEX(LINES_SCHEDULED,$EN969)&amp;""))="X"),1,0))</f>
        <v/>
      </c>
      <c r="EP969">
        <f>IF($DM969=0,"",IF(COUNTIFS($EG$5:$EG$1003,$EG969,$EB$5:$EB$1003,"Ready")&gt;0,"READY",IF(COUNTIFS($EG$5:$EG$1003,$EG969,$EB$5:$EB$1003,"PM")&gt;0,"PM",IF(COUNTIFS($EG$5:$EG$1003,$EG969,$EB$5:$EB$1003,"OT")&gt;0,"OT",""))))</f>
        <v/>
      </c>
      <c r="EQ969">
        <f>IF($EN969=0,"",UPPER(TRIM(INDEX(LINES_STATUS,$EN969)&amp;"")))</f>
        <v/>
      </c>
      <c r="ER969">
        <f>IF($DM969=0,"",IF(OR($EQ969="READY",$EQ969="PM",$EQ969="OT"),$EQ969,$EP969))</f>
        <v/>
      </c>
      <c r="ES969">
        <f>IF($DM969=0,"",IF(AND($DV969&lt;&gt;"",UPPER($DV969)&lt;&gt;"N"),"allergen",IF(ISNUMBER(SEARCH("oil",$DQ969)),"oil",IF(OR(EXACT($DS969,"A662"),EXACT($DS969,"A624")),"bulk",""))))</f>
        <v/>
      </c>
      <c r="ET969">
        <f>IF($DM969=0,"",IF(OR($EA969="",$EA969=0),"",$EA969/100))</f>
        <v/>
      </c>
      <c r="EU969">
        <f>IF(OR($ET969="",$DY969=""),"",INT($DY969*(1-$ET969)+0.5))</f>
        <v/>
      </c>
    </row>
    <row r="970">
      <c r="DA970" t="n">
        <v>966</v>
      </c>
      <c r="DB970">
        <f>IF($B$37=0,"",IFERROR(TRIM(SUBSTITUTE(SUBSTITUTE(SUBSTITUTE(SUBSTITUTE(INDEX(PASTE_ALL,966,$B$37)," "," "),CHAR(9)," "),CHAR(10)," "),CHAR(13)," ")),""))</f>
        <v/>
      </c>
      <c r="DC970">
        <f>IF(AND(966&gt;HEADER_ROW,UPPER(DB970)="LEGEND"),1,0)</f>
        <v/>
      </c>
      <c r="DE970" t="n">
        <v>966</v>
      </c>
      <c r="DF970">
        <f>HEADER_ROW+$DE970</f>
        <v/>
      </c>
      <c r="DG970">
        <f>IF(AND($DF970&lt;=1000,$DF970&lt;$B$8),1,0)</f>
        <v/>
      </c>
      <c r="DH970">
        <f>IF($DG970=1,IFERROR(INDEX($DB$5:$DB$1004,$DF970),""),"")</f>
        <v/>
      </c>
      <c r="DI970">
        <f>IF(AND($DG970=1,$DH970&lt;&gt;""),IFERROR(SUBSTITUTE(SUBSTITUTE(TRIM(SUBSTITUTE(SUBSTITUTE(SUBSTITUTE(SUBSTITUTE(IFERROR(INDEX(PASTE_ALL,$DF970,1)&amp;"","")&amp;"␟"&amp;IFERROR(INDEX(PASTE_ALL,$DF970,2)&amp;"","")&amp;"␟"&amp;IFERROR(INDEX(PASTE_ALL,$DF970,3)&amp;"","")&amp;"␟"&amp;IFERROR(INDEX(PASTE_ALL,$DF970,4)&amp;"","")&amp;"␟"&amp;IFERROR(INDEX(PASTE_ALL,$DF970,5)&amp;"","")&amp;"␟"&amp;IFERROR(INDEX(PASTE_ALL,$DF970,6)&amp;"","")&amp;"␟"&amp;IFERROR(INDEX(PASTE_ALL,$DF970,7)&amp;"","")&amp;"␟"&amp;IFERROR(INDEX(PASTE_ALL,$DF970,8)&amp;"","")&amp;"␟"&amp;IFERROR(INDEX(PASTE_ALL,$DF970,9)&amp;"","")&amp;"␟"&amp;IFERROR(INDEX(PASTE_ALL,$DF970,10)&amp;"","")&amp;"␟"&amp;IFERROR(INDEX(PASTE_ALL,$DF970,11)&amp;"","")&amp;"␟"&amp;IFERROR(INDEX(PASTE_ALL,$DF970,12)&amp;"","")&amp;"␟"&amp;IFERROR(INDEX(PASTE_ALL,$DF970,13)&amp;"","")&amp;"␟"&amp;IFERROR(INDEX(PASTE_ALL,$DF970,14)&amp;"","")&amp;"␟"&amp;IFERROR(INDEX(PASTE_ALL,$DF970,15)&amp;"","")&amp;"␟"&amp;IFERROR(INDEX(PASTE_ALL,$DF970,16)&amp;"","")&amp;"␟"&amp;IFERROR(INDEX(PASTE_ALL,$DF970,17)&amp;"","")&amp;"␟"&amp;IFERROR(INDEX(PASTE_ALL,$DF970,18)&amp;"","")&amp;"␟"&amp;IFERROR(INDEX(PASTE_ALL,$DF970,19)&amp;"","")&amp;"␟"&amp;IFERROR(INDEX(PASTE_ALL,$DF970,20)&amp;"","")&amp;"␟"&amp;IFERROR(INDEX(PASTE_ALL,$DF970,21)&amp;"","")&amp;"␟"&amp;IFERROR(INDEX(PASTE_ALL,$DF970,22)&amp;"","")&amp;"␟"&amp;IFERROR(INDEX(PASTE_ALL,$DF970,23)&amp;"","")&amp;"␟"&amp;IFERROR(INDEX(PASTE_ALL,$DF970,24)&amp;"","")&amp;"␟"&amp;IFERROR(INDEX(PASTE_ALL,$DF970,25)&amp;"","")&amp;"␟"&amp;IFERROR(INDEX(PASTE_ALL,$DF970,26)&amp;"","")&amp;"␟"&amp;IFERROR(INDEX(PASTE_ALL,$DF970,27)&amp;"","")&amp;"␟"&amp;IFERROR(INDEX(PASTE_ALL,$DF970,28)&amp;"","")&amp;"␟"&amp;IFERROR(INDEX(PASTE_ALL,$DF970,29)&amp;"","")&amp;"␟"&amp;IFERROR(INDEX(PASTE_ALL,$DF970,30)&amp;"","")&amp;"␟"&amp;IFERROR(INDEX(PASTE_ALL,$DF970,31)&amp;"","")&amp;"␟"&amp;IFERROR(INDEX(PASTE_ALL,$DF970,32)&amp;"","")&amp;"␟"&amp;IFERROR(INDEX(PASTE_ALL,$DF970,33)&amp;"","")&amp;"␟"&amp;IFERROR(INDEX(PASTE_ALL,$DF970,34)&amp;"","")&amp;"␟"&amp;IFERROR(INDEX(PASTE_ALL,$DF970,35)&amp;"","")&amp;"␟"&amp;IFERROR(INDEX(PASTE_ALL,$DF970,36)&amp;"","")&amp;"␟"&amp;IFERROR(INDEX(PASTE_ALL,$DF970,37)&amp;"","")&amp;"␟"&amp;IFERROR(INDEX(PASTE_ALL,$DF970,38)&amp;"","")&amp;"␟"&amp;IFERROR(INDEX(PASTE_ALL,$DF970,39)&amp;"","")&amp;"␟"&amp;IFERROR(INDEX(PASTE_ALL,$DF970,40)&amp;"","")&amp;"␟"&amp;IFERROR(INDEX(PASTE_ALL,$DF970,41)&amp;"","")&amp;"␟"&amp;IFERROR(INDEX(PASTE_ALL,$DF970,42)&amp;"","")&amp;"␟"&amp;IFERROR(INDEX(PASTE_ALL,$DF970,43)&amp;"","")&amp;"␟"&amp;IFERROR(INDEX(PASTE_ALL,$DF970,44)&amp;"","")&amp;"␟"&amp;IFERROR(INDEX(PASTE_ALL,$DF970,45)&amp;"","")&amp;"␟"&amp;IFERROR(INDEX(PASTE_ALL,$DF970,46)&amp;"","")&amp;"␟"&amp;IFERROR(INDEX(PASTE_ALL,$DF970,47)&amp;"","")&amp;"␟"&amp;IFERROR(INDEX(PASTE_ALL,$DF970,48)&amp;"","")&amp;"␟"&amp;IFERROR(INDEX(PASTE_ALL,$DF970,49)&amp;"","")&amp;"␟"&amp;IFERROR(INDEX(PASTE_ALL,$DF970,50)&amp;"","")&amp;"␟"&amp;IFERROR(INDEX(PASTE_ALL,$DF970,51)&amp;"","")&amp;"␟"&amp;IFERROR(INDEX(PASTE_ALL,$DF970,52)&amp;"","")&amp;"␟"&amp;IFERROR(INDEX(PASTE_ALL,$DF970,53)&amp;"","")&amp;"␟"&amp;IFERROR(INDEX(PASTE_ALL,$DF970,54)&amp;"","")&amp;"␟"&amp;IFERROR(INDEX(PASTE_ALL,$DF970,55)&amp;"","")&amp;"␟"&amp;IFERROR(INDEX(PASTE_ALL,$DF970,56)&amp;"","")&amp;"␟"&amp;IFERROR(INDEX(PASTE_ALL,$DF970,57)&amp;"","")&amp;"␟"&amp;IFERROR(INDEX(PASTE_ALL,$DF970,58)&amp;"","")&amp;"␟"&amp;IFERROR(INDEX(PASTE_ALL,$DF970,59)&amp;"","")&amp;"␟"&amp;IFERROR(INDEX(PASTE_ALL,$DF970,60)&amp;"","")," "," "),CHAR(9)," "),CHAR(10)," "),CHAR(13)," "))," ␟","␟"),"␟ ","␟"),"#"&amp;$DE970),"")</f>
        <v/>
      </c>
      <c r="DJ970">
        <f>IF($DI970="",0,IF(SUMPRODUCT(--EXACT($DI$4:DI969,$DI970))&gt;0,1,0))</f>
        <v/>
      </c>
      <c r="DK970">
        <f>IF(AND($DI970&lt;&gt;"",$DJ970=0),1,0)</f>
        <v/>
      </c>
      <c r="DL970">
        <f>DL969+$DK970</f>
        <v/>
      </c>
      <c r="DM970">
        <f>IF(AND($DK970=1,$DL970&lt;=600),1,0)</f>
        <v/>
      </c>
      <c r="DN970">
        <f>IF($DM970=0,"",IF($L$6=0,"",IFERROR(IF(ISNUMBER(INDEX(PASTE_ALL,$DF970,$L$6)),INDEX(PASTE_ALL,$DF970,$L$6),TRIM(SUBSTITUTE(SUBSTITUTE(SUBSTITUTE(SUBSTITUTE(INDEX(PASTE_ALL,$DF970,$L$6)," "," "),CHAR(9)," "),CHAR(10)," "),CHAR(13)," "))),"")))</f>
        <v/>
      </c>
      <c r="DO970">
        <f>IF($DM970=0,"",IF($L$7=0,"",IFERROR(IF(ISNUMBER(INDEX(PASTE_ALL,$DF970,$L$7)),INDEX(PASTE_ALL,$DF970,$L$7),TRIM(SUBSTITUTE(SUBSTITUTE(SUBSTITUTE(SUBSTITUTE(INDEX(PASTE_ALL,$DF970,$L$7)," "," "),CHAR(9)," "),CHAR(10)," "),CHAR(13)," "))),"")))</f>
        <v/>
      </c>
      <c r="DP970">
        <f>IF($DM970=0,"",IF($L$8=0,"",IFERROR(IF(ISNUMBER(INDEX(PASTE_ALL,$DF970,$L$8)),INDEX(PASTE_ALL,$DF970,$L$8),TRIM(SUBSTITUTE(SUBSTITUTE(SUBSTITUTE(SUBSTITUTE(INDEX(PASTE_ALL,$DF970,$L$8)," "," "),CHAR(9)," "),CHAR(10)," "),CHAR(13)," "))),"")))</f>
        <v/>
      </c>
      <c r="DQ970">
        <f>IF($DM970=0,"",IF($L$9=0,"",IFERROR(IF(ISNUMBER(INDEX(PASTE_ALL,$DF970,$L$9)),INDEX(PASTE_ALL,$DF970,$L$9),TRIM(SUBSTITUTE(SUBSTITUTE(SUBSTITUTE(SUBSTITUTE(INDEX(PASTE_ALL,$DF970,$L$9)," "," "),CHAR(9)," "),CHAR(10)," "),CHAR(13)," "))),"")))</f>
        <v/>
      </c>
      <c r="DR970">
        <f>IF($DM970=0,"",IF($L$10=0,"",IFERROR(IF(ISNUMBER(INDEX(PASTE_ALL,$DF970,$L$10)),INDEX(PASTE_ALL,$DF970,$L$10),TRIM(SUBSTITUTE(SUBSTITUTE(SUBSTITUTE(SUBSTITUTE(INDEX(PASTE_ALL,$DF970,$L$10)," "," "),CHAR(9)," "),CHAR(10)," "),CHAR(13)," "))),"")))</f>
        <v/>
      </c>
      <c r="DS970">
        <f>IF($DM970=0,"",IF($L$11=0,"",IFERROR(IF(ISNUMBER(INDEX(PASTE_ALL,$DF970,$L$11)),INDEX(PASTE_ALL,$DF970,$L$11),TRIM(SUBSTITUTE(SUBSTITUTE(SUBSTITUTE(SUBSTITUTE(INDEX(PASTE_ALL,$DF970,$L$11)," "," "),CHAR(9)," "),CHAR(10)," "),CHAR(13)," "))),"")))</f>
        <v/>
      </c>
      <c r="DT970">
        <f>IF($DM970=0,"",IF($L$12=0,"",IFERROR(IF(ISNUMBER(INDEX(PASTE_ALL,$DF970,$L$12)),INDEX(PASTE_ALL,$DF970,$L$12),TRIM(SUBSTITUTE(SUBSTITUTE(SUBSTITUTE(SUBSTITUTE(INDEX(PASTE_ALL,$DF970,$L$12)," "," "),CHAR(9)," "),CHAR(10)," "),CHAR(13)," "))),"")))</f>
        <v/>
      </c>
      <c r="DU970">
        <f>IF($DM970=0,"",IF($L$13=0,"",IFERROR(IF(ISNUMBER(INDEX(PASTE_ALL,$DF970,$L$13)),INDEX(PASTE_ALL,$DF970,$L$13),TRIM(SUBSTITUTE(SUBSTITUTE(SUBSTITUTE(SUBSTITUTE(INDEX(PASTE_ALL,$DF970,$L$13)," "," "),CHAR(9)," "),CHAR(10)," "),CHAR(13)," "))),"")))</f>
        <v/>
      </c>
      <c r="DV970">
        <f>IF($DM970=0,"",IF($L$14=0,"",IFERROR(IF(ISNUMBER(INDEX(PASTE_ALL,$DF970,$L$14)),INDEX(PASTE_ALL,$DF970,$L$14),TRIM(SUBSTITUTE(SUBSTITUTE(SUBSTITUTE(SUBSTITUTE(INDEX(PASTE_ALL,$DF970,$L$14)," "," "),CHAR(9)," "),CHAR(10)," "),CHAR(13)," "))),"")))</f>
        <v/>
      </c>
      <c r="DW970">
        <f>IF($DM970=0,"",IF($L$15=0,"",IFERROR(IF(ISNUMBER(INDEX(PASTE_ALL,$DF970,$L$15)),INDEX(PASTE_ALL,$DF970,$L$15),IF(SUMPRODUCT(--ISNUMBER(FIND({"A","B","C","D","E","F","G","H","I","J","K","L","M","N","O","P","Q","R","S","T","U","V","W","X","Y","Z","0","1","2","3","4","5","6","7","8","9"},UPPER(TRIM(SUBSTITUTE(SUBSTITUTE(SUBSTITUTE(SUBSTITUTE(INDEX(PASTE_ALL,$DF970,$L$15)," "," "),CHAR(9)," "),CHAR(10)," "),CHAR(13)," "))))))&gt;0,TRIM(SUBSTITUTE(SUBSTITUTE(SUBSTITUTE(SUBSTITUTE(INDEX(PASTE_ALL,$DF970,$L$15)," "," "),CHAR(9)," "),CHAR(10)," "),CHAR(13)," ")),"")),"")))</f>
        <v/>
      </c>
      <c r="DX970">
        <f>IF($DM970=0,"",IF($L$16=0,"",IFERROR(IF(ISNUMBER(INDEX(PASTE_ALL,$DF970,$L$16)),INDEX(PASTE_ALL,$DF970,$L$16),SUBSTITUTE(SUBSTITUTE(TRIM(SUBSTITUTE(SUBSTITUTE(SUBSTITUTE(SUBSTITUTE(INDEX(PASTE_ALL,$DF970,$L$16)," "," "),CHAR(9)," "),CHAR(10)," "),CHAR(13)," ")),",",""),"%","")),"")))</f>
        <v/>
      </c>
      <c r="DY970">
        <f>IF($DM970=0,"",IFERROR(IF(ISNUMBER($DX970),$DX970,IF($DX970="","",IF(TRIM($DX970)="",0,IF(AND(AND(SUBSTITUTE(SUBSTITUTE(SUBSTITUTE(SUBSTITUTE(SUBSTITUTE(SUBSTITUTE(SUBSTITUTE(SUBSTITUTE(SUBSTITUTE(SUBSTITUTE(SUBSTITUTE(SUBSTITUTE(SUBSTITUTE(SUBSTITUTE(UPPER(TRIM($DX970)),"0",""),"1",""),"2",""),"3",""),"4",""),"5",""),"6",""),"7",""),"8",""),"9",""),".",""),"+",""),"-",""),"E","")="",LEN(SUBSTITUTE(SUBSTITUTE(MID(UPPER(TRIM($DX970)),1+OR(LEFT(UPPER(TRIM($DX970)),1)="+",LEFT(UPPER(TRIM($DX970)),1)="-"),999),"E+","E"),"E-","E"))=LEN(SUBSTITUTE(SUBSTITUTE(SUBSTITUTE(SUBSTITUTE(MID(UPPER(TRIM($DX970)),1+OR(LEFT(UPPER(TRIM($DX970)),1)="+",LEFT(UPPER(TRIM($DX970)),1)="-"),999),"E+","E"),"E-","E"),"+",""),"-","")),LEN(UPPER(TRIM($DX970)))-LEN(SUBSTITUTE(UPPER(TRIM($DX970)),"E",""))&lt;2,LEN(UPPER(TRIM($DX970)))-LEN(SUBSTITUTE(UPPER(TRIM($DX970)),".",""))&lt;2,IFERROR(FIND(".",UPPER(TRIM($DX970))),0)&lt;IFERROR(FIND("E",UPPER(TRIM($DX970))),999)),ISNUMBER(VALUE(TRIM($DX970)))),VALUE(TRIM($DX970)),"")))),""))</f>
        <v/>
      </c>
      <c r="DZ970">
        <f>IF($DM970=0,"",IF($L$17=0,"",IFERROR(IF(ISNUMBER(INDEX(PASTE_ALL,$DF970,$L$17)),INDEX(PASTE_ALL,$DF970,$L$17),SUBSTITUTE(SUBSTITUTE(TRIM(SUBSTITUTE(SUBSTITUTE(SUBSTITUTE(SUBSTITUTE(INDEX(PASTE_ALL,$DF970,$L$17)," "," "),CHAR(9)," "),CHAR(10)," "),CHAR(13)," ")),",",""),"%","")),"")))</f>
        <v/>
      </c>
      <c r="EA970">
        <f>IF($DM970=0,"",IFERROR(IF(ISNUMBER($DZ970),$DZ970,IF($DZ970="","",IF(TRIM($DZ970)="",0,IF(AND(AND(SUBSTITUTE(SUBSTITUTE(SUBSTITUTE(SUBSTITUTE(SUBSTITUTE(SUBSTITUTE(SUBSTITUTE(SUBSTITUTE(SUBSTITUTE(SUBSTITUTE(SUBSTITUTE(SUBSTITUTE(SUBSTITUTE(SUBSTITUTE(UPPER(TRIM($DZ970)),"0",""),"1",""),"2",""),"3",""),"4",""),"5",""),"6",""),"7",""),"8",""),"9",""),".",""),"+",""),"-",""),"E","")="",LEN(SUBSTITUTE(SUBSTITUTE(MID(UPPER(TRIM($DZ970)),1+OR(LEFT(UPPER(TRIM($DZ970)),1)="+",LEFT(UPPER(TRIM($DZ970)),1)="-"),999),"E+","E"),"E-","E"))=LEN(SUBSTITUTE(SUBSTITUTE(SUBSTITUTE(SUBSTITUTE(MID(UPPER(TRIM($DZ970)),1+OR(LEFT(UPPER(TRIM($DZ970)),1)="+",LEFT(UPPER(TRIM($DZ970)),1)="-"),999),"E+","E"),"E-","E"),"+",""),"-","")),LEN(UPPER(TRIM($DZ970)))-LEN(SUBSTITUTE(UPPER(TRIM($DZ970)),"E",""))&lt;2,LEN(UPPER(TRIM($DZ970)))-LEN(SUBSTITUTE(UPPER(TRIM($DZ970)),".",""))&lt;2,IFERROR(FIND(".",UPPER(TRIM($DZ970))),0)&lt;IFERROR(FIND("E",UPPER(TRIM($DZ970))),999)),ISNUMBER(VALUE(TRIM($DZ970)))),VALUE(TRIM($DZ970)),"")))),""))</f>
        <v/>
      </c>
      <c r="EB970">
        <f>IF($DM970=0,"",IF($L$18=0,"",IFERROR(IF(UPPER(TRIM(SUBSTITUTE(SUBSTITUTE(SUBSTITUTE(SUBSTITUTE(INDEX(PASTE_ALL,$DF970,$L$18)," "," "),CHAR(9)," "),CHAR(10)," "),CHAR(13)," ")))="READY","Ready",IF(UPPER(TRIM(SUBSTITUTE(SUBSTITUTE(SUBSTITUTE(SUBSTITUTE(INDEX(PASTE_ALL,$DF970,$L$18)," "," "),CHAR(9)," "),CHAR(10)," "),CHAR(13)," ")))="PM","PM",IF(OR(UPPER(TRIM(SUBSTITUTE(SUBSTITUTE(SUBSTITUTE(SUBSTITUTE(INDEX(PASTE_ALL,$DF970,$L$18)," "," "),CHAR(9)," "),CHAR(10)," "),CHAR(13)," ")))="OT",UPPER(TRIM(SUBSTITUTE(SUBSTITUTE(SUBSTITUTE(SUBSTITUTE(INDEX(PASTE_ALL,$DF970,$L$18)," "," "),CHAR(9)," "),CHAR(10)," "),CHAR(13)," ")))="OVERTIME",UPPER(TRIM(SUBSTITUTE(SUBSTITUTE(SUBSTITUTE(SUBSTITUTE(INDEX(PASTE_ALL,$DF970,$L$18)," "," "),CHAR(9)," "),CHAR(10)," "),CHAR(13)," ")))="TRIAL"),"OT",TRIM(SUBSTITUTE(SUBSTITUTE(SUBSTITUTE(SUBSTITUTE(INDEX(PASTE_ALL,$DF970,$L$18)," "," "),CHAR(9)," "),CHAR(10)," "),CHAR(13)," "))))),"")))</f>
        <v/>
      </c>
      <c r="EC970">
        <f>IF($DM970=0,"",IF($L$19=0,"",IFERROR(IF(ISNUMBER(INDEX(PASTE_ALL,$DF970,$L$19)),INDEX(PASTE_ALL,$DF970,$L$19),TRIM(SUBSTITUTE(SUBSTITUTE(SUBSTITUTE(SUBSTITUTE(INDEX(PASTE_ALL,$DF970,$L$19)," "," "),CHAR(9)," "),CHAR(10)," "),CHAR(13)," "))),"")))</f>
        <v/>
      </c>
      <c r="ED970">
        <f>IF($DM970=0,"",MATCH(1,INDEX(EXACT($DH$5:DH970,$DH970)*$DM$5:DM970,0),0))</f>
        <v/>
      </c>
      <c r="EE970">
        <f>IF($DM970=0,0,IF($ED970=$DE970,1,0))</f>
        <v/>
      </c>
      <c r="EF970">
        <f>EF969+$EE970</f>
        <v/>
      </c>
      <c r="EG970">
        <f>IF($DM970=0,"",INDEX($EF$5:$EF$1003,$ED970))</f>
        <v/>
      </c>
      <c r="EH970">
        <f>IF($DM970=0,"",IF($DO970&lt;&gt;"","",IFERROR(LOOKUP(2,1/(($EG$4:EG969=$EG970)*($DO$4:DO969&lt;&gt;"")),$DO$4:DO969),"")))</f>
        <v/>
      </c>
      <c r="EI970">
        <f>IF($DM970=0,"",IF($DO970&lt;&gt;"",$DO970,$EH970))</f>
        <v/>
      </c>
      <c r="EJ970">
        <f>IF($DM970=0,"",IF($EI970="",0,IF(OR(ISNUMBER($EI970),AND(AND(SUBSTITUTE(SUBSTITUTE(SUBSTITUTE(SUBSTITUTE(SUBSTITUTE(SUBSTITUTE(SUBSTITUTE(SUBSTITUTE(SUBSTITUTE(SUBSTITUTE(SUBSTITUTE(SUBSTITUTE(SUBSTITUTE(SUBSTITUTE(UPPER($EI970),"0",""),"1",""),"2",""),"3",""),"4",""),"5",""),"6",""),"7",""),"8",""),"9",""),".",""),"+",""),"-",""),"E","")="",LEN(SUBSTITUTE(SUBSTITUTE(MID(UPPER($EI970),1+OR(LEFT(UPPER($EI970),1)="+",LEFT(UPPER($EI970),1)="-"),999),"E+","E"),"E-","E"))=LEN(SUBSTITUTE(SUBSTITUTE(SUBSTITUTE(SUBSTITUTE(MID(UPPER($EI970),1+OR(LEFT(UPPER($EI970),1)="+",LEFT(UPPER($EI970),1)="-"),999),"E+","E"),"E-","E"),"+",""),"-","")),LEN(UPPER($EI970))-LEN(SUBSTITUTE(UPPER($EI970),"E",""))&lt;2,LEN(UPPER($EI970))-LEN(SUBSTITUTE(UPPER($EI970),".",""))&lt;2,IFERROR(FIND(".",UPPER($EI970)),0)&lt;IFERROR(FIND("E",UPPER($EI970)),999)),ISNUMBER(VALUE($EI970)))),1,2)))</f>
        <v/>
      </c>
      <c r="EK970">
        <f>IF($DM970=0,"",IF($EJ970=1,IF(ISNUMBER($EI970),$EI970,VALUE($EI970)),IF($EJ970=2,$DE970,0)))</f>
        <v/>
      </c>
      <c r="EL970">
        <f>IF($DM970=0,"",COUNTIF($EG$5:$EG$1003,"&lt;"&amp;$EG970)+SUMPRODUCT(($EG$5:$EG$1003=$EG970)*(($EJ$5:$EJ$1003&lt;$EJ970)+($EJ$5:$EJ$1003=$EJ970)*(($EK$5:$EK$1003&lt;$EK970)+($EK$5:$EK$1003=$EK970)*($DE$5:$DE$1003&lt;$DE970))))+1)</f>
        <v/>
      </c>
      <c r="EM970">
        <f>IF($DM970=0,"",$EL970+$EG970-1)</f>
        <v/>
      </c>
      <c r="EN970">
        <f>IF($DM970=0,0,IFERROR(MATCH(1,INDEX(--(TRIM(SUBSTITUTE(SUBSTITUTE(SUBSTITUTE(SUBSTITUTE(LINES_NAME&amp;""," "," "),CHAR(9)," "),CHAR(10)," "),CHAR(13)," "))=$DH970),0),0),0))</f>
        <v/>
      </c>
      <c r="EO970">
        <f>IF($EN970=0,0,IF(OR(UPPER(TRIM(INDEX(LINES_SCHEDULED,$EN970)&amp;""))="YES",UPPER(TRIM(INDEX(LINES_SCHEDULED,$EN970)&amp;""))="Y",UPPER(TRIM(INDEX(LINES_SCHEDULED,$EN970)&amp;""))="X"),1,0))</f>
        <v/>
      </c>
      <c r="EP970">
        <f>IF($DM970=0,"",IF(COUNTIFS($EG$5:$EG$1003,$EG970,$EB$5:$EB$1003,"Ready")&gt;0,"READY",IF(COUNTIFS($EG$5:$EG$1003,$EG970,$EB$5:$EB$1003,"PM")&gt;0,"PM",IF(COUNTIFS($EG$5:$EG$1003,$EG970,$EB$5:$EB$1003,"OT")&gt;0,"OT",""))))</f>
        <v/>
      </c>
      <c r="EQ970">
        <f>IF($EN970=0,"",UPPER(TRIM(INDEX(LINES_STATUS,$EN970)&amp;"")))</f>
        <v/>
      </c>
      <c r="ER970">
        <f>IF($DM970=0,"",IF(OR($EQ970="READY",$EQ970="PM",$EQ970="OT"),$EQ970,$EP970))</f>
        <v/>
      </c>
      <c r="ES970">
        <f>IF($DM970=0,"",IF(AND($DV970&lt;&gt;"",UPPER($DV970)&lt;&gt;"N"),"allergen",IF(ISNUMBER(SEARCH("oil",$DQ970)),"oil",IF(OR(EXACT($DS970,"A662"),EXACT($DS970,"A624")),"bulk",""))))</f>
        <v/>
      </c>
      <c r="ET970">
        <f>IF($DM970=0,"",IF(OR($EA970="",$EA970=0),"",$EA970/100))</f>
        <v/>
      </c>
      <c r="EU970">
        <f>IF(OR($ET970="",$DY970=""),"",INT($DY970*(1-$ET970)+0.5))</f>
        <v/>
      </c>
    </row>
    <row r="971">
      <c r="DA971" t="n">
        <v>967</v>
      </c>
      <c r="DB971">
        <f>IF($B$37=0,"",IFERROR(TRIM(SUBSTITUTE(SUBSTITUTE(SUBSTITUTE(SUBSTITUTE(INDEX(PASTE_ALL,967,$B$37)," "," "),CHAR(9)," "),CHAR(10)," "),CHAR(13)," ")),""))</f>
        <v/>
      </c>
      <c r="DC971">
        <f>IF(AND(967&gt;HEADER_ROW,UPPER(DB971)="LEGEND"),1,0)</f>
        <v/>
      </c>
      <c r="DE971" t="n">
        <v>967</v>
      </c>
      <c r="DF971">
        <f>HEADER_ROW+$DE971</f>
        <v/>
      </c>
      <c r="DG971">
        <f>IF(AND($DF971&lt;=1000,$DF971&lt;$B$8),1,0)</f>
        <v/>
      </c>
      <c r="DH971">
        <f>IF($DG971=1,IFERROR(INDEX($DB$5:$DB$1004,$DF971),""),"")</f>
        <v/>
      </c>
      <c r="DI971">
        <f>IF(AND($DG971=1,$DH971&lt;&gt;""),IFERROR(SUBSTITUTE(SUBSTITUTE(TRIM(SUBSTITUTE(SUBSTITUTE(SUBSTITUTE(SUBSTITUTE(IFERROR(INDEX(PASTE_ALL,$DF971,1)&amp;"","")&amp;"␟"&amp;IFERROR(INDEX(PASTE_ALL,$DF971,2)&amp;"","")&amp;"␟"&amp;IFERROR(INDEX(PASTE_ALL,$DF971,3)&amp;"","")&amp;"␟"&amp;IFERROR(INDEX(PASTE_ALL,$DF971,4)&amp;"","")&amp;"␟"&amp;IFERROR(INDEX(PASTE_ALL,$DF971,5)&amp;"","")&amp;"␟"&amp;IFERROR(INDEX(PASTE_ALL,$DF971,6)&amp;"","")&amp;"␟"&amp;IFERROR(INDEX(PASTE_ALL,$DF971,7)&amp;"","")&amp;"␟"&amp;IFERROR(INDEX(PASTE_ALL,$DF971,8)&amp;"","")&amp;"␟"&amp;IFERROR(INDEX(PASTE_ALL,$DF971,9)&amp;"","")&amp;"␟"&amp;IFERROR(INDEX(PASTE_ALL,$DF971,10)&amp;"","")&amp;"␟"&amp;IFERROR(INDEX(PASTE_ALL,$DF971,11)&amp;"","")&amp;"␟"&amp;IFERROR(INDEX(PASTE_ALL,$DF971,12)&amp;"","")&amp;"␟"&amp;IFERROR(INDEX(PASTE_ALL,$DF971,13)&amp;"","")&amp;"␟"&amp;IFERROR(INDEX(PASTE_ALL,$DF971,14)&amp;"","")&amp;"␟"&amp;IFERROR(INDEX(PASTE_ALL,$DF971,15)&amp;"","")&amp;"␟"&amp;IFERROR(INDEX(PASTE_ALL,$DF971,16)&amp;"","")&amp;"␟"&amp;IFERROR(INDEX(PASTE_ALL,$DF971,17)&amp;"","")&amp;"␟"&amp;IFERROR(INDEX(PASTE_ALL,$DF971,18)&amp;"","")&amp;"␟"&amp;IFERROR(INDEX(PASTE_ALL,$DF971,19)&amp;"","")&amp;"␟"&amp;IFERROR(INDEX(PASTE_ALL,$DF971,20)&amp;"","")&amp;"␟"&amp;IFERROR(INDEX(PASTE_ALL,$DF971,21)&amp;"","")&amp;"␟"&amp;IFERROR(INDEX(PASTE_ALL,$DF971,22)&amp;"","")&amp;"␟"&amp;IFERROR(INDEX(PASTE_ALL,$DF971,23)&amp;"","")&amp;"␟"&amp;IFERROR(INDEX(PASTE_ALL,$DF971,24)&amp;"","")&amp;"␟"&amp;IFERROR(INDEX(PASTE_ALL,$DF971,25)&amp;"","")&amp;"␟"&amp;IFERROR(INDEX(PASTE_ALL,$DF971,26)&amp;"","")&amp;"␟"&amp;IFERROR(INDEX(PASTE_ALL,$DF971,27)&amp;"","")&amp;"␟"&amp;IFERROR(INDEX(PASTE_ALL,$DF971,28)&amp;"","")&amp;"␟"&amp;IFERROR(INDEX(PASTE_ALL,$DF971,29)&amp;"","")&amp;"␟"&amp;IFERROR(INDEX(PASTE_ALL,$DF971,30)&amp;"","")&amp;"␟"&amp;IFERROR(INDEX(PASTE_ALL,$DF971,31)&amp;"","")&amp;"␟"&amp;IFERROR(INDEX(PASTE_ALL,$DF971,32)&amp;"","")&amp;"␟"&amp;IFERROR(INDEX(PASTE_ALL,$DF971,33)&amp;"","")&amp;"␟"&amp;IFERROR(INDEX(PASTE_ALL,$DF971,34)&amp;"","")&amp;"␟"&amp;IFERROR(INDEX(PASTE_ALL,$DF971,35)&amp;"","")&amp;"␟"&amp;IFERROR(INDEX(PASTE_ALL,$DF971,36)&amp;"","")&amp;"␟"&amp;IFERROR(INDEX(PASTE_ALL,$DF971,37)&amp;"","")&amp;"␟"&amp;IFERROR(INDEX(PASTE_ALL,$DF971,38)&amp;"","")&amp;"␟"&amp;IFERROR(INDEX(PASTE_ALL,$DF971,39)&amp;"","")&amp;"␟"&amp;IFERROR(INDEX(PASTE_ALL,$DF971,40)&amp;"","")&amp;"␟"&amp;IFERROR(INDEX(PASTE_ALL,$DF971,41)&amp;"","")&amp;"␟"&amp;IFERROR(INDEX(PASTE_ALL,$DF971,42)&amp;"","")&amp;"␟"&amp;IFERROR(INDEX(PASTE_ALL,$DF971,43)&amp;"","")&amp;"␟"&amp;IFERROR(INDEX(PASTE_ALL,$DF971,44)&amp;"","")&amp;"␟"&amp;IFERROR(INDEX(PASTE_ALL,$DF971,45)&amp;"","")&amp;"␟"&amp;IFERROR(INDEX(PASTE_ALL,$DF971,46)&amp;"","")&amp;"␟"&amp;IFERROR(INDEX(PASTE_ALL,$DF971,47)&amp;"","")&amp;"␟"&amp;IFERROR(INDEX(PASTE_ALL,$DF971,48)&amp;"","")&amp;"␟"&amp;IFERROR(INDEX(PASTE_ALL,$DF971,49)&amp;"","")&amp;"␟"&amp;IFERROR(INDEX(PASTE_ALL,$DF971,50)&amp;"","")&amp;"␟"&amp;IFERROR(INDEX(PASTE_ALL,$DF971,51)&amp;"","")&amp;"␟"&amp;IFERROR(INDEX(PASTE_ALL,$DF971,52)&amp;"","")&amp;"␟"&amp;IFERROR(INDEX(PASTE_ALL,$DF971,53)&amp;"","")&amp;"␟"&amp;IFERROR(INDEX(PASTE_ALL,$DF971,54)&amp;"","")&amp;"␟"&amp;IFERROR(INDEX(PASTE_ALL,$DF971,55)&amp;"","")&amp;"␟"&amp;IFERROR(INDEX(PASTE_ALL,$DF971,56)&amp;"","")&amp;"␟"&amp;IFERROR(INDEX(PASTE_ALL,$DF971,57)&amp;"","")&amp;"␟"&amp;IFERROR(INDEX(PASTE_ALL,$DF971,58)&amp;"","")&amp;"␟"&amp;IFERROR(INDEX(PASTE_ALL,$DF971,59)&amp;"","")&amp;"␟"&amp;IFERROR(INDEX(PASTE_ALL,$DF971,60)&amp;"","")," "," "),CHAR(9)," "),CHAR(10)," "),CHAR(13)," "))," ␟","␟"),"␟ ","␟"),"#"&amp;$DE971),"")</f>
        <v/>
      </c>
      <c r="DJ971">
        <f>IF($DI971="",0,IF(SUMPRODUCT(--EXACT($DI$4:DI970,$DI971))&gt;0,1,0))</f>
        <v/>
      </c>
      <c r="DK971">
        <f>IF(AND($DI971&lt;&gt;"",$DJ971=0),1,0)</f>
        <v/>
      </c>
      <c r="DL971">
        <f>DL970+$DK971</f>
        <v/>
      </c>
      <c r="DM971">
        <f>IF(AND($DK971=1,$DL971&lt;=600),1,0)</f>
        <v/>
      </c>
      <c r="DN971">
        <f>IF($DM971=0,"",IF($L$6=0,"",IFERROR(IF(ISNUMBER(INDEX(PASTE_ALL,$DF971,$L$6)),INDEX(PASTE_ALL,$DF971,$L$6),TRIM(SUBSTITUTE(SUBSTITUTE(SUBSTITUTE(SUBSTITUTE(INDEX(PASTE_ALL,$DF971,$L$6)," "," "),CHAR(9)," "),CHAR(10)," "),CHAR(13)," "))),"")))</f>
        <v/>
      </c>
      <c r="DO971">
        <f>IF($DM971=0,"",IF($L$7=0,"",IFERROR(IF(ISNUMBER(INDEX(PASTE_ALL,$DF971,$L$7)),INDEX(PASTE_ALL,$DF971,$L$7),TRIM(SUBSTITUTE(SUBSTITUTE(SUBSTITUTE(SUBSTITUTE(INDEX(PASTE_ALL,$DF971,$L$7)," "," "),CHAR(9)," "),CHAR(10)," "),CHAR(13)," "))),"")))</f>
        <v/>
      </c>
      <c r="DP971">
        <f>IF($DM971=0,"",IF($L$8=0,"",IFERROR(IF(ISNUMBER(INDEX(PASTE_ALL,$DF971,$L$8)),INDEX(PASTE_ALL,$DF971,$L$8),TRIM(SUBSTITUTE(SUBSTITUTE(SUBSTITUTE(SUBSTITUTE(INDEX(PASTE_ALL,$DF971,$L$8)," "," "),CHAR(9)," "),CHAR(10)," "),CHAR(13)," "))),"")))</f>
        <v/>
      </c>
      <c r="DQ971">
        <f>IF($DM971=0,"",IF($L$9=0,"",IFERROR(IF(ISNUMBER(INDEX(PASTE_ALL,$DF971,$L$9)),INDEX(PASTE_ALL,$DF971,$L$9),TRIM(SUBSTITUTE(SUBSTITUTE(SUBSTITUTE(SUBSTITUTE(INDEX(PASTE_ALL,$DF971,$L$9)," "," "),CHAR(9)," "),CHAR(10)," "),CHAR(13)," "))),"")))</f>
        <v/>
      </c>
      <c r="DR971">
        <f>IF($DM971=0,"",IF($L$10=0,"",IFERROR(IF(ISNUMBER(INDEX(PASTE_ALL,$DF971,$L$10)),INDEX(PASTE_ALL,$DF971,$L$10),TRIM(SUBSTITUTE(SUBSTITUTE(SUBSTITUTE(SUBSTITUTE(INDEX(PASTE_ALL,$DF971,$L$10)," "," "),CHAR(9)," "),CHAR(10)," "),CHAR(13)," "))),"")))</f>
        <v/>
      </c>
      <c r="DS971">
        <f>IF($DM971=0,"",IF($L$11=0,"",IFERROR(IF(ISNUMBER(INDEX(PASTE_ALL,$DF971,$L$11)),INDEX(PASTE_ALL,$DF971,$L$11),TRIM(SUBSTITUTE(SUBSTITUTE(SUBSTITUTE(SUBSTITUTE(INDEX(PASTE_ALL,$DF971,$L$11)," "," "),CHAR(9)," "),CHAR(10)," "),CHAR(13)," "))),"")))</f>
        <v/>
      </c>
      <c r="DT971">
        <f>IF($DM971=0,"",IF($L$12=0,"",IFERROR(IF(ISNUMBER(INDEX(PASTE_ALL,$DF971,$L$12)),INDEX(PASTE_ALL,$DF971,$L$12),TRIM(SUBSTITUTE(SUBSTITUTE(SUBSTITUTE(SUBSTITUTE(INDEX(PASTE_ALL,$DF971,$L$12)," "," "),CHAR(9)," "),CHAR(10)," "),CHAR(13)," "))),"")))</f>
        <v/>
      </c>
      <c r="DU971">
        <f>IF($DM971=0,"",IF($L$13=0,"",IFERROR(IF(ISNUMBER(INDEX(PASTE_ALL,$DF971,$L$13)),INDEX(PASTE_ALL,$DF971,$L$13),TRIM(SUBSTITUTE(SUBSTITUTE(SUBSTITUTE(SUBSTITUTE(INDEX(PASTE_ALL,$DF971,$L$13)," "," "),CHAR(9)," "),CHAR(10)," "),CHAR(13)," "))),"")))</f>
        <v/>
      </c>
      <c r="DV971">
        <f>IF($DM971=0,"",IF($L$14=0,"",IFERROR(IF(ISNUMBER(INDEX(PASTE_ALL,$DF971,$L$14)),INDEX(PASTE_ALL,$DF971,$L$14),TRIM(SUBSTITUTE(SUBSTITUTE(SUBSTITUTE(SUBSTITUTE(INDEX(PASTE_ALL,$DF971,$L$14)," "," "),CHAR(9)," "),CHAR(10)," "),CHAR(13)," "))),"")))</f>
        <v/>
      </c>
      <c r="DW971">
        <f>IF($DM971=0,"",IF($L$15=0,"",IFERROR(IF(ISNUMBER(INDEX(PASTE_ALL,$DF971,$L$15)),INDEX(PASTE_ALL,$DF971,$L$15),IF(SUMPRODUCT(--ISNUMBER(FIND({"A","B","C","D","E","F","G","H","I","J","K","L","M","N","O","P","Q","R","S","T","U","V","W","X","Y","Z","0","1","2","3","4","5","6","7","8","9"},UPPER(TRIM(SUBSTITUTE(SUBSTITUTE(SUBSTITUTE(SUBSTITUTE(INDEX(PASTE_ALL,$DF971,$L$15)," "," "),CHAR(9)," "),CHAR(10)," "),CHAR(13)," "))))))&gt;0,TRIM(SUBSTITUTE(SUBSTITUTE(SUBSTITUTE(SUBSTITUTE(INDEX(PASTE_ALL,$DF971,$L$15)," "," "),CHAR(9)," "),CHAR(10)," "),CHAR(13)," ")),"")),"")))</f>
        <v/>
      </c>
      <c r="DX971">
        <f>IF($DM971=0,"",IF($L$16=0,"",IFERROR(IF(ISNUMBER(INDEX(PASTE_ALL,$DF971,$L$16)),INDEX(PASTE_ALL,$DF971,$L$16),SUBSTITUTE(SUBSTITUTE(TRIM(SUBSTITUTE(SUBSTITUTE(SUBSTITUTE(SUBSTITUTE(INDEX(PASTE_ALL,$DF971,$L$16)," "," "),CHAR(9)," "),CHAR(10)," "),CHAR(13)," ")),",",""),"%","")),"")))</f>
        <v/>
      </c>
      <c r="DY971">
        <f>IF($DM971=0,"",IFERROR(IF(ISNUMBER($DX971),$DX971,IF($DX971="","",IF(TRIM($DX971)="",0,IF(AND(AND(SUBSTITUTE(SUBSTITUTE(SUBSTITUTE(SUBSTITUTE(SUBSTITUTE(SUBSTITUTE(SUBSTITUTE(SUBSTITUTE(SUBSTITUTE(SUBSTITUTE(SUBSTITUTE(SUBSTITUTE(SUBSTITUTE(SUBSTITUTE(UPPER(TRIM($DX971)),"0",""),"1",""),"2",""),"3",""),"4",""),"5",""),"6",""),"7",""),"8",""),"9",""),".",""),"+",""),"-",""),"E","")="",LEN(SUBSTITUTE(SUBSTITUTE(MID(UPPER(TRIM($DX971)),1+OR(LEFT(UPPER(TRIM($DX971)),1)="+",LEFT(UPPER(TRIM($DX971)),1)="-"),999),"E+","E"),"E-","E"))=LEN(SUBSTITUTE(SUBSTITUTE(SUBSTITUTE(SUBSTITUTE(MID(UPPER(TRIM($DX971)),1+OR(LEFT(UPPER(TRIM($DX971)),1)="+",LEFT(UPPER(TRIM($DX971)),1)="-"),999),"E+","E"),"E-","E"),"+",""),"-","")),LEN(UPPER(TRIM($DX971)))-LEN(SUBSTITUTE(UPPER(TRIM($DX971)),"E",""))&lt;2,LEN(UPPER(TRIM($DX971)))-LEN(SUBSTITUTE(UPPER(TRIM($DX971)),".",""))&lt;2,IFERROR(FIND(".",UPPER(TRIM($DX971))),0)&lt;IFERROR(FIND("E",UPPER(TRIM($DX971))),999)),ISNUMBER(VALUE(TRIM($DX971)))),VALUE(TRIM($DX971)),"")))),""))</f>
        <v/>
      </c>
      <c r="DZ971">
        <f>IF($DM971=0,"",IF($L$17=0,"",IFERROR(IF(ISNUMBER(INDEX(PASTE_ALL,$DF971,$L$17)),INDEX(PASTE_ALL,$DF971,$L$17),SUBSTITUTE(SUBSTITUTE(TRIM(SUBSTITUTE(SUBSTITUTE(SUBSTITUTE(SUBSTITUTE(INDEX(PASTE_ALL,$DF971,$L$17)," "," "),CHAR(9)," "),CHAR(10)," "),CHAR(13)," ")),",",""),"%","")),"")))</f>
        <v/>
      </c>
      <c r="EA971">
        <f>IF($DM971=0,"",IFERROR(IF(ISNUMBER($DZ971),$DZ971,IF($DZ971="","",IF(TRIM($DZ971)="",0,IF(AND(AND(SUBSTITUTE(SUBSTITUTE(SUBSTITUTE(SUBSTITUTE(SUBSTITUTE(SUBSTITUTE(SUBSTITUTE(SUBSTITUTE(SUBSTITUTE(SUBSTITUTE(SUBSTITUTE(SUBSTITUTE(SUBSTITUTE(SUBSTITUTE(UPPER(TRIM($DZ971)),"0",""),"1",""),"2",""),"3",""),"4",""),"5",""),"6",""),"7",""),"8",""),"9",""),".",""),"+",""),"-",""),"E","")="",LEN(SUBSTITUTE(SUBSTITUTE(MID(UPPER(TRIM($DZ971)),1+OR(LEFT(UPPER(TRIM($DZ971)),1)="+",LEFT(UPPER(TRIM($DZ971)),1)="-"),999),"E+","E"),"E-","E"))=LEN(SUBSTITUTE(SUBSTITUTE(SUBSTITUTE(SUBSTITUTE(MID(UPPER(TRIM($DZ971)),1+OR(LEFT(UPPER(TRIM($DZ971)),1)="+",LEFT(UPPER(TRIM($DZ971)),1)="-"),999),"E+","E"),"E-","E"),"+",""),"-","")),LEN(UPPER(TRIM($DZ971)))-LEN(SUBSTITUTE(UPPER(TRIM($DZ971)),"E",""))&lt;2,LEN(UPPER(TRIM($DZ971)))-LEN(SUBSTITUTE(UPPER(TRIM($DZ971)),".",""))&lt;2,IFERROR(FIND(".",UPPER(TRIM($DZ971))),0)&lt;IFERROR(FIND("E",UPPER(TRIM($DZ971))),999)),ISNUMBER(VALUE(TRIM($DZ971)))),VALUE(TRIM($DZ971)),"")))),""))</f>
        <v/>
      </c>
      <c r="EB971">
        <f>IF($DM971=0,"",IF($L$18=0,"",IFERROR(IF(UPPER(TRIM(SUBSTITUTE(SUBSTITUTE(SUBSTITUTE(SUBSTITUTE(INDEX(PASTE_ALL,$DF971,$L$18)," "," "),CHAR(9)," "),CHAR(10)," "),CHAR(13)," ")))="READY","Ready",IF(UPPER(TRIM(SUBSTITUTE(SUBSTITUTE(SUBSTITUTE(SUBSTITUTE(INDEX(PASTE_ALL,$DF971,$L$18)," "," "),CHAR(9)," "),CHAR(10)," "),CHAR(13)," ")))="PM","PM",IF(OR(UPPER(TRIM(SUBSTITUTE(SUBSTITUTE(SUBSTITUTE(SUBSTITUTE(INDEX(PASTE_ALL,$DF971,$L$18)," "," "),CHAR(9)," "),CHAR(10)," "),CHAR(13)," ")))="OT",UPPER(TRIM(SUBSTITUTE(SUBSTITUTE(SUBSTITUTE(SUBSTITUTE(INDEX(PASTE_ALL,$DF971,$L$18)," "," "),CHAR(9)," "),CHAR(10)," "),CHAR(13)," ")))="OVERTIME",UPPER(TRIM(SUBSTITUTE(SUBSTITUTE(SUBSTITUTE(SUBSTITUTE(INDEX(PASTE_ALL,$DF971,$L$18)," "," "),CHAR(9)," "),CHAR(10)," "),CHAR(13)," ")))="TRIAL"),"OT",TRIM(SUBSTITUTE(SUBSTITUTE(SUBSTITUTE(SUBSTITUTE(INDEX(PASTE_ALL,$DF971,$L$18)," "," "),CHAR(9)," "),CHAR(10)," "),CHAR(13)," "))))),"")))</f>
        <v/>
      </c>
      <c r="EC971">
        <f>IF($DM971=0,"",IF($L$19=0,"",IFERROR(IF(ISNUMBER(INDEX(PASTE_ALL,$DF971,$L$19)),INDEX(PASTE_ALL,$DF971,$L$19),TRIM(SUBSTITUTE(SUBSTITUTE(SUBSTITUTE(SUBSTITUTE(INDEX(PASTE_ALL,$DF971,$L$19)," "," "),CHAR(9)," "),CHAR(10)," "),CHAR(13)," "))),"")))</f>
        <v/>
      </c>
      <c r="ED971">
        <f>IF($DM971=0,"",MATCH(1,INDEX(EXACT($DH$5:DH971,$DH971)*$DM$5:DM971,0),0))</f>
        <v/>
      </c>
      <c r="EE971">
        <f>IF($DM971=0,0,IF($ED971=$DE971,1,0))</f>
        <v/>
      </c>
      <c r="EF971">
        <f>EF970+$EE971</f>
        <v/>
      </c>
      <c r="EG971">
        <f>IF($DM971=0,"",INDEX($EF$5:$EF$1003,$ED971))</f>
        <v/>
      </c>
      <c r="EH971">
        <f>IF($DM971=0,"",IF($DO971&lt;&gt;"","",IFERROR(LOOKUP(2,1/(($EG$4:EG970=$EG971)*($DO$4:DO970&lt;&gt;"")),$DO$4:DO970),"")))</f>
        <v/>
      </c>
      <c r="EI971">
        <f>IF($DM971=0,"",IF($DO971&lt;&gt;"",$DO971,$EH971))</f>
        <v/>
      </c>
      <c r="EJ971">
        <f>IF($DM971=0,"",IF($EI971="",0,IF(OR(ISNUMBER($EI971),AND(AND(SUBSTITUTE(SUBSTITUTE(SUBSTITUTE(SUBSTITUTE(SUBSTITUTE(SUBSTITUTE(SUBSTITUTE(SUBSTITUTE(SUBSTITUTE(SUBSTITUTE(SUBSTITUTE(SUBSTITUTE(SUBSTITUTE(SUBSTITUTE(UPPER($EI971),"0",""),"1",""),"2",""),"3",""),"4",""),"5",""),"6",""),"7",""),"8",""),"9",""),".",""),"+",""),"-",""),"E","")="",LEN(SUBSTITUTE(SUBSTITUTE(MID(UPPER($EI971),1+OR(LEFT(UPPER($EI971),1)="+",LEFT(UPPER($EI971),1)="-"),999),"E+","E"),"E-","E"))=LEN(SUBSTITUTE(SUBSTITUTE(SUBSTITUTE(SUBSTITUTE(MID(UPPER($EI971),1+OR(LEFT(UPPER($EI971),1)="+",LEFT(UPPER($EI971),1)="-"),999),"E+","E"),"E-","E"),"+",""),"-","")),LEN(UPPER($EI971))-LEN(SUBSTITUTE(UPPER($EI971),"E",""))&lt;2,LEN(UPPER($EI971))-LEN(SUBSTITUTE(UPPER($EI971),".",""))&lt;2,IFERROR(FIND(".",UPPER($EI971)),0)&lt;IFERROR(FIND("E",UPPER($EI971)),999)),ISNUMBER(VALUE($EI971)))),1,2)))</f>
        <v/>
      </c>
      <c r="EK971">
        <f>IF($DM971=0,"",IF($EJ971=1,IF(ISNUMBER($EI971),$EI971,VALUE($EI971)),IF($EJ971=2,$DE971,0)))</f>
        <v/>
      </c>
      <c r="EL971">
        <f>IF($DM971=0,"",COUNTIF($EG$5:$EG$1003,"&lt;"&amp;$EG971)+SUMPRODUCT(($EG$5:$EG$1003=$EG971)*(($EJ$5:$EJ$1003&lt;$EJ971)+($EJ$5:$EJ$1003=$EJ971)*(($EK$5:$EK$1003&lt;$EK971)+($EK$5:$EK$1003=$EK971)*($DE$5:$DE$1003&lt;$DE971))))+1)</f>
        <v/>
      </c>
      <c r="EM971">
        <f>IF($DM971=0,"",$EL971+$EG971-1)</f>
        <v/>
      </c>
      <c r="EN971">
        <f>IF($DM971=0,0,IFERROR(MATCH(1,INDEX(--(TRIM(SUBSTITUTE(SUBSTITUTE(SUBSTITUTE(SUBSTITUTE(LINES_NAME&amp;""," "," "),CHAR(9)," "),CHAR(10)," "),CHAR(13)," "))=$DH971),0),0),0))</f>
        <v/>
      </c>
      <c r="EO971">
        <f>IF($EN971=0,0,IF(OR(UPPER(TRIM(INDEX(LINES_SCHEDULED,$EN971)&amp;""))="YES",UPPER(TRIM(INDEX(LINES_SCHEDULED,$EN971)&amp;""))="Y",UPPER(TRIM(INDEX(LINES_SCHEDULED,$EN971)&amp;""))="X"),1,0))</f>
        <v/>
      </c>
      <c r="EP971">
        <f>IF($DM971=0,"",IF(COUNTIFS($EG$5:$EG$1003,$EG971,$EB$5:$EB$1003,"Ready")&gt;0,"READY",IF(COUNTIFS($EG$5:$EG$1003,$EG971,$EB$5:$EB$1003,"PM")&gt;0,"PM",IF(COUNTIFS($EG$5:$EG$1003,$EG971,$EB$5:$EB$1003,"OT")&gt;0,"OT",""))))</f>
        <v/>
      </c>
      <c r="EQ971">
        <f>IF($EN971=0,"",UPPER(TRIM(INDEX(LINES_STATUS,$EN971)&amp;"")))</f>
        <v/>
      </c>
      <c r="ER971">
        <f>IF($DM971=0,"",IF(OR($EQ971="READY",$EQ971="PM",$EQ971="OT"),$EQ971,$EP971))</f>
        <v/>
      </c>
      <c r="ES971">
        <f>IF($DM971=0,"",IF(AND($DV971&lt;&gt;"",UPPER($DV971)&lt;&gt;"N"),"allergen",IF(ISNUMBER(SEARCH("oil",$DQ971)),"oil",IF(OR(EXACT($DS971,"A662"),EXACT($DS971,"A624")),"bulk",""))))</f>
        <v/>
      </c>
      <c r="ET971">
        <f>IF($DM971=0,"",IF(OR($EA971="",$EA971=0),"",$EA971/100))</f>
        <v/>
      </c>
      <c r="EU971">
        <f>IF(OR($ET971="",$DY971=""),"",INT($DY971*(1-$ET971)+0.5))</f>
        <v/>
      </c>
    </row>
    <row r="972">
      <c r="DA972" t="n">
        <v>968</v>
      </c>
      <c r="DB972">
        <f>IF($B$37=0,"",IFERROR(TRIM(SUBSTITUTE(SUBSTITUTE(SUBSTITUTE(SUBSTITUTE(INDEX(PASTE_ALL,968,$B$37)," "," "),CHAR(9)," "),CHAR(10)," "),CHAR(13)," ")),""))</f>
        <v/>
      </c>
      <c r="DC972">
        <f>IF(AND(968&gt;HEADER_ROW,UPPER(DB972)="LEGEND"),1,0)</f>
        <v/>
      </c>
      <c r="DE972" t="n">
        <v>968</v>
      </c>
      <c r="DF972">
        <f>HEADER_ROW+$DE972</f>
        <v/>
      </c>
      <c r="DG972">
        <f>IF(AND($DF972&lt;=1000,$DF972&lt;$B$8),1,0)</f>
        <v/>
      </c>
      <c r="DH972">
        <f>IF($DG972=1,IFERROR(INDEX($DB$5:$DB$1004,$DF972),""),"")</f>
        <v/>
      </c>
      <c r="DI972">
        <f>IF(AND($DG972=1,$DH972&lt;&gt;""),IFERROR(SUBSTITUTE(SUBSTITUTE(TRIM(SUBSTITUTE(SUBSTITUTE(SUBSTITUTE(SUBSTITUTE(IFERROR(INDEX(PASTE_ALL,$DF972,1)&amp;"","")&amp;"␟"&amp;IFERROR(INDEX(PASTE_ALL,$DF972,2)&amp;"","")&amp;"␟"&amp;IFERROR(INDEX(PASTE_ALL,$DF972,3)&amp;"","")&amp;"␟"&amp;IFERROR(INDEX(PASTE_ALL,$DF972,4)&amp;"","")&amp;"␟"&amp;IFERROR(INDEX(PASTE_ALL,$DF972,5)&amp;"","")&amp;"␟"&amp;IFERROR(INDEX(PASTE_ALL,$DF972,6)&amp;"","")&amp;"␟"&amp;IFERROR(INDEX(PASTE_ALL,$DF972,7)&amp;"","")&amp;"␟"&amp;IFERROR(INDEX(PASTE_ALL,$DF972,8)&amp;"","")&amp;"␟"&amp;IFERROR(INDEX(PASTE_ALL,$DF972,9)&amp;"","")&amp;"␟"&amp;IFERROR(INDEX(PASTE_ALL,$DF972,10)&amp;"","")&amp;"␟"&amp;IFERROR(INDEX(PASTE_ALL,$DF972,11)&amp;"","")&amp;"␟"&amp;IFERROR(INDEX(PASTE_ALL,$DF972,12)&amp;"","")&amp;"␟"&amp;IFERROR(INDEX(PASTE_ALL,$DF972,13)&amp;"","")&amp;"␟"&amp;IFERROR(INDEX(PASTE_ALL,$DF972,14)&amp;"","")&amp;"␟"&amp;IFERROR(INDEX(PASTE_ALL,$DF972,15)&amp;"","")&amp;"␟"&amp;IFERROR(INDEX(PASTE_ALL,$DF972,16)&amp;"","")&amp;"␟"&amp;IFERROR(INDEX(PASTE_ALL,$DF972,17)&amp;"","")&amp;"␟"&amp;IFERROR(INDEX(PASTE_ALL,$DF972,18)&amp;"","")&amp;"␟"&amp;IFERROR(INDEX(PASTE_ALL,$DF972,19)&amp;"","")&amp;"␟"&amp;IFERROR(INDEX(PASTE_ALL,$DF972,20)&amp;"","")&amp;"␟"&amp;IFERROR(INDEX(PASTE_ALL,$DF972,21)&amp;"","")&amp;"␟"&amp;IFERROR(INDEX(PASTE_ALL,$DF972,22)&amp;"","")&amp;"␟"&amp;IFERROR(INDEX(PASTE_ALL,$DF972,23)&amp;"","")&amp;"␟"&amp;IFERROR(INDEX(PASTE_ALL,$DF972,24)&amp;"","")&amp;"␟"&amp;IFERROR(INDEX(PASTE_ALL,$DF972,25)&amp;"","")&amp;"␟"&amp;IFERROR(INDEX(PASTE_ALL,$DF972,26)&amp;"","")&amp;"␟"&amp;IFERROR(INDEX(PASTE_ALL,$DF972,27)&amp;"","")&amp;"␟"&amp;IFERROR(INDEX(PASTE_ALL,$DF972,28)&amp;"","")&amp;"␟"&amp;IFERROR(INDEX(PASTE_ALL,$DF972,29)&amp;"","")&amp;"␟"&amp;IFERROR(INDEX(PASTE_ALL,$DF972,30)&amp;"","")&amp;"␟"&amp;IFERROR(INDEX(PASTE_ALL,$DF972,31)&amp;"","")&amp;"␟"&amp;IFERROR(INDEX(PASTE_ALL,$DF972,32)&amp;"","")&amp;"␟"&amp;IFERROR(INDEX(PASTE_ALL,$DF972,33)&amp;"","")&amp;"␟"&amp;IFERROR(INDEX(PASTE_ALL,$DF972,34)&amp;"","")&amp;"␟"&amp;IFERROR(INDEX(PASTE_ALL,$DF972,35)&amp;"","")&amp;"␟"&amp;IFERROR(INDEX(PASTE_ALL,$DF972,36)&amp;"","")&amp;"␟"&amp;IFERROR(INDEX(PASTE_ALL,$DF972,37)&amp;"","")&amp;"␟"&amp;IFERROR(INDEX(PASTE_ALL,$DF972,38)&amp;"","")&amp;"␟"&amp;IFERROR(INDEX(PASTE_ALL,$DF972,39)&amp;"","")&amp;"␟"&amp;IFERROR(INDEX(PASTE_ALL,$DF972,40)&amp;"","")&amp;"␟"&amp;IFERROR(INDEX(PASTE_ALL,$DF972,41)&amp;"","")&amp;"␟"&amp;IFERROR(INDEX(PASTE_ALL,$DF972,42)&amp;"","")&amp;"␟"&amp;IFERROR(INDEX(PASTE_ALL,$DF972,43)&amp;"","")&amp;"␟"&amp;IFERROR(INDEX(PASTE_ALL,$DF972,44)&amp;"","")&amp;"␟"&amp;IFERROR(INDEX(PASTE_ALL,$DF972,45)&amp;"","")&amp;"␟"&amp;IFERROR(INDEX(PASTE_ALL,$DF972,46)&amp;"","")&amp;"␟"&amp;IFERROR(INDEX(PASTE_ALL,$DF972,47)&amp;"","")&amp;"␟"&amp;IFERROR(INDEX(PASTE_ALL,$DF972,48)&amp;"","")&amp;"␟"&amp;IFERROR(INDEX(PASTE_ALL,$DF972,49)&amp;"","")&amp;"␟"&amp;IFERROR(INDEX(PASTE_ALL,$DF972,50)&amp;"","")&amp;"␟"&amp;IFERROR(INDEX(PASTE_ALL,$DF972,51)&amp;"","")&amp;"␟"&amp;IFERROR(INDEX(PASTE_ALL,$DF972,52)&amp;"","")&amp;"␟"&amp;IFERROR(INDEX(PASTE_ALL,$DF972,53)&amp;"","")&amp;"␟"&amp;IFERROR(INDEX(PASTE_ALL,$DF972,54)&amp;"","")&amp;"␟"&amp;IFERROR(INDEX(PASTE_ALL,$DF972,55)&amp;"","")&amp;"␟"&amp;IFERROR(INDEX(PASTE_ALL,$DF972,56)&amp;"","")&amp;"␟"&amp;IFERROR(INDEX(PASTE_ALL,$DF972,57)&amp;"","")&amp;"␟"&amp;IFERROR(INDEX(PASTE_ALL,$DF972,58)&amp;"","")&amp;"␟"&amp;IFERROR(INDEX(PASTE_ALL,$DF972,59)&amp;"","")&amp;"␟"&amp;IFERROR(INDEX(PASTE_ALL,$DF972,60)&amp;"","")," "," "),CHAR(9)," "),CHAR(10)," "),CHAR(13)," "))," ␟","␟"),"␟ ","␟"),"#"&amp;$DE972),"")</f>
        <v/>
      </c>
      <c r="DJ972">
        <f>IF($DI972="",0,IF(SUMPRODUCT(--EXACT($DI$4:DI971,$DI972))&gt;0,1,0))</f>
        <v/>
      </c>
      <c r="DK972">
        <f>IF(AND($DI972&lt;&gt;"",$DJ972=0),1,0)</f>
        <v/>
      </c>
      <c r="DL972">
        <f>DL971+$DK972</f>
        <v/>
      </c>
      <c r="DM972">
        <f>IF(AND($DK972=1,$DL972&lt;=600),1,0)</f>
        <v/>
      </c>
      <c r="DN972">
        <f>IF($DM972=0,"",IF($L$6=0,"",IFERROR(IF(ISNUMBER(INDEX(PASTE_ALL,$DF972,$L$6)),INDEX(PASTE_ALL,$DF972,$L$6),TRIM(SUBSTITUTE(SUBSTITUTE(SUBSTITUTE(SUBSTITUTE(INDEX(PASTE_ALL,$DF972,$L$6)," "," "),CHAR(9)," "),CHAR(10)," "),CHAR(13)," "))),"")))</f>
        <v/>
      </c>
      <c r="DO972">
        <f>IF($DM972=0,"",IF($L$7=0,"",IFERROR(IF(ISNUMBER(INDEX(PASTE_ALL,$DF972,$L$7)),INDEX(PASTE_ALL,$DF972,$L$7),TRIM(SUBSTITUTE(SUBSTITUTE(SUBSTITUTE(SUBSTITUTE(INDEX(PASTE_ALL,$DF972,$L$7)," "," "),CHAR(9)," "),CHAR(10)," "),CHAR(13)," "))),"")))</f>
        <v/>
      </c>
      <c r="DP972">
        <f>IF($DM972=0,"",IF($L$8=0,"",IFERROR(IF(ISNUMBER(INDEX(PASTE_ALL,$DF972,$L$8)),INDEX(PASTE_ALL,$DF972,$L$8),TRIM(SUBSTITUTE(SUBSTITUTE(SUBSTITUTE(SUBSTITUTE(INDEX(PASTE_ALL,$DF972,$L$8)," "," "),CHAR(9)," "),CHAR(10)," "),CHAR(13)," "))),"")))</f>
        <v/>
      </c>
      <c r="DQ972">
        <f>IF($DM972=0,"",IF($L$9=0,"",IFERROR(IF(ISNUMBER(INDEX(PASTE_ALL,$DF972,$L$9)),INDEX(PASTE_ALL,$DF972,$L$9),TRIM(SUBSTITUTE(SUBSTITUTE(SUBSTITUTE(SUBSTITUTE(INDEX(PASTE_ALL,$DF972,$L$9)," "," "),CHAR(9)," "),CHAR(10)," "),CHAR(13)," "))),"")))</f>
        <v/>
      </c>
      <c r="DR972">
        <f>IF($DM972=0,"",IF($L$10=0,"",IFERROR(IF(ISNUMBER(INDEX(PASTE_ALL,$DF972,$L$10)),INDEX(PASTE_ALL,$DF972,$L$10),TRIM(SUBSTITUTE(SUBSTITUTE(SUBSTITUTE(SUBSTITUTE(INDEX(PASTE_ALL,$DF972,$L$10)," "," "),CHAR(9)," "),CHAR(10)," "),CHAR(13)," "))),"")))</f>
        <v/>
      </c>
      <c r="DS972">
        <f>IF($DM972=0,"",IF($L$11=0,"",IFERROR(IF(ISNUMBER(INDEX(PASTE_ALL,$DF972,$L$11)),INDEX(PASTE_ALL,$DF972,$L$11),TRIM(SUBSTITUTE(SUBSTITUTE(SUBSTITUTE(SUBSTITUTE(INDEX(PASTE_ALL,$DF972,$L$11)," "," "),CHAR(9)," "),CHAR(10)," "),CHAR(13)," "))),"")))</f>
        <v/>
      </c>
      <c r="DT972">
        <f>IF($DM972=0,"",IF($L$12=0,"",IFERROR(IF(ISNUMBER(INDEX(PASTE_ALL,$DF972,$L$12)),INDEX(PASTE_ALL,$DF972,$L$12),TRIM(SUBSTITUTE(SUBSTITUTE(SUBSTITUTE(SUBSTITUTE(INDEX(PASTE_ALL,$DF972,$L$12)," "," "),CHAR(9)," "),CHAR(10)," "),CHAR(13)," "))),"")))</f>
        <v/>
      </c>
      <c r="DU972">
        <f>IF($DM972=0,"",IF($L$13=0,"",IFERROR(IF(ISNUMBER(INDEX(PASTE_ALL,$DF972,$L$13)),INDEX(PASTE_ALL,$DF972,$L$13),TRIM(SUBSTITUTE(SUBSTITUTE(SUBSTITUTE(SUBSTITUTE(INDEX(PASTE_ALL,$DF972,$L$13)," "," "),CHAR(9)," "),CHAR(10)," "),CHAR(13)," "))),"")))</f>
        <v/>
      </c>
      <c r="DV972">
        <f>IF($DM972=0,"",IF($L$14=0,"",IFERROR(IF(ISNUMBER(INDEX(PASTE_ALL,$DF972,$L$14)),INDEX(PASTE_ALL,$DF972,$L$14),TRIM(SUBSTITUTE(SUBSTITUTE(SUBSTITUTE(SUBSTITUTE(INDEX(PASTE_ALL,$DF972,$L$14)," "," "),CHAR(9)," "),CHAR(10)," "),CHAR(13)," "))),"")))</f>
        <v/>
      </c>
      <c r="DW972">
        <f>IF($DM972=0,"",IF($L$15=0,"",IFERROR(IF(ISNUMBER(INDEX(PASTE_ALL,$DF972,$L$15)),INDEX(PASTE_ALL,$DF972,$L$15),IF(SUMPRODUCT(--ISNUMBER(FIND({"A","B","C","D","E","F","G","H","I","J","K","L","M","N","O","P","Q","R","S","T","U","V","W","X","Y","Z","0","1","2","3","4","5","6","7","8","9"},UPPER(TRIM(SUBSTITUTE(SUBSTITUTE(SUBSTITUTE(SUBSTITUTE(INDEX(PASTE_ALL,$DF972,$L$15)," "," "),CHAR(9)," "),CHAR(10)," "),CHAR(13)," "))))))&gt;0,TRIM(SUBSTITUTE(SUBSTITUTE(SUBSTITUTE(SUBSTITUTE(INDEX(PASTE_ALL,$DF972,$L$15)," "," "),CHAR(9)," "),CHAR(10)," "),CHAR(13)," ")),"")),"")))</f>
        <v/>
      </c>
      <c r="DX972">
        <f>IF($DM972=0,"",IF($L$16=0,"",IFERROR(IF(ISNUMBER(INDEX(PASTE_ALL,$DF972,$L$16)),INDEX(PASTE_ALL,$DF972,$L$16),SUBSTITUTE(SUBSTITUTE(TRIM(SUBSTITUTE(SUBSTITUTE(SUBSTITUTE(SUBSTITUTE(INDEX(PASTE_ALL,$DF972,$L$16)," "," "),CHAR(9)," "),CHAR(10)," "),CHAR(13)," ")),",",""),"%","")),"")))</f>
        <v/>
      </c>
      <c r="DY972">
        <f>IF($DM972=0,"",IFERROR(IF(ISNUMBER($DX972),$DX972,IF($DX972="","",IF(TRIM($DX972)="",0,IF(AND(AND(SUBSTITUTE(SUBSTITUTE(SUBSTITUTE(SUBSTITUTE(SUBSTITUTE(SUBSTITUTE(SUBSTITUTE(SUBSTITUTE(SUBSTITUTE(SUBSTITUTE(SUBSTITUTE(SUBSTITUTE(SUBSTITUTE(SUBSTITUTE(UPPER(TRIM($DX972)),"0",""),"1",""),"2",""),"3",""),"4",""),"5",""),"6",""),"7",""),"8",""),"9",""),".",""),"+",""),"-",""),"E","")="",LEN(SUBSTITUTE(SUBSTITUTE(MID(UPPER(TRIM($DX972)),1+OR(LEFT(UPPER(TRIM($DX972)),1)="+",LEFT(UPPER(TRIM($DX972)),1)="-"),999),"E+","E"),"E-","E"))=LEN(SUBSTITUTE(SUBSTITUTE(SUBSTITUTE(SUBSTITUTE(MID(UPPER(TRIM($DX972)),1+OR(LEFT(UPPER(TRIM($DX972)),1)="+",LEFT(UPPER(TRIM($DX972)),1)="-"),999),"E+","E"),"E-","E"),"+",""),"-","")),LEN(UPPER(TRIM($DX972)))-LEN(SUBSTITUTE(UPPER(TRIM($DX972)),"E",""))&lt;2,LEN(UPPER(TRIM($DX972)))-LEN(SUBSTITUTE(UPPER(TRIM($DX972)),".",""))&lt;2,IFERROR(FIND(".",UPPER(TRIM($DX972))),0)&lt;IFERROR(FIND("E",UPPER(TRIM($DX972))),999)),ISNUMBER(VALUE(TRIM($DX972)))),VALUE(TRIM($DX972)),"")))),""))</f>
        <v/>
      </c>
      <c r="DZ972">
        <f>IF($DM972=0,"",IF($L$17=0,"",IFERROR(IF(ISNUMBER(INDEX(PASTE_ALL,$DF972,$L$17)),INDEX(PASTE_ALL,$DF972,$L$17),SUBSTITUTE(SUBSTITUTE(TRIM(SUBSTITUTE(SUBSTITUTE(SUBSTITUTE(SUBSTITUTE(INDEX(PASTE_ALL,$DF972,$L$17)," "," "),CHAR(9)," "),CHAR(10)," "),CHAR(13)," ")),",",""),"%","")),"")))</f>
        <v/>
      </c>
      <c r="EA972">
        <f>IF($DM972=0,"",IFERROR(IF(ISNUMBER($DZ972),$DZ972,IF($DZ972="","",IF(TRIM($DZ972)="",0,IF(AND(AND(SUBSTITUTE(SUBSTITUTE(SUBSTITUTE(SUBSTITUTE(SUBSTITUTE(SUBSTITUTE(SUBSTITUTE(SUBSTITUTE(SUBSTITUTE(SUBSTITUTE(SUBSTITUTE(SUBSTITUTE(SUBSTITUTE(SUBSTITUTE(UPPER(TRIM($DZ972)),"0",""),"1",""),"2",""),"3",""),"4",""),"5",""),"6",""),"7",""),"8",""),"9",""),".",""),"+",""),"-",""),"E","")="",LEN(SUBSTITUTE(SUBSTITUTE(MID(UPPER(TRIM($DZ972)),1+OR(LEFT(UPPER(TRIM($DZ972)),1)="+",LEFT(UPPER(TRIM($DZ972)),1)="-"),999),"E+","E"),"E-","E"))=LEN(SUBSTITUTE(SUBSTITUTE(SUBSTITUTE(SUBSTITUTE(MID(UPPER(TRIM($DZ972)),1+OR(LEFT(UPPER(TRIM($DZ972)),1)="+",LEFT(UPPER(TRIM($DZ972)),1)="-"),999),"E+","E"),"E-","E"),"+",""),"-","")),LEN(UPPER(TRIM($DZ972)))-LEN(SUBSTITUTE(UPPER(TRIM($DZ972)),"E",""))&lt;2,LEN(UPPER(TRIM($DZ972)))-LEN(SUBSTITUTE(UPPER(TRIM($DZ972)),".",""))&lt;2,IFERROR(FIND(".",UPPER(TRIM($DZ972))),0)&lt;IFERROR(FIND("E",UPPER(TRIM($DZ972))),999)),ISNUMBER(VALUE(TRIM($DZ972)))),VALUE(TRIM($DZ972)),"")))),""))</f>
        <v/>
      </c>
      <c r="EB972">
        <f>IF($DM972=0,"",IF($L$18=0,"",IFERROR(IF(UPPER(TRIM(SUBSTITUTE(SUBSTITUTE(SUBSTITUTE(SUBSTITUTE(INDEX(PASTE_ALL,$DF972,$L$18)," "," "),CHAR(9)," "),CHAR(10)," "),CHAR(13)," ")))="READY","Ready",IF(UPPER(TRIM(SUBSTITUTE(SUBSTITUTE(SUBSTITUTE(SUBSTITUTE(INDEX(PASTE_ALL,$DF972,$L$18)," "," "),CHAR(9)," "),CHAR(10)," "),CHAR(13)," ")))="PM","PM",IF(OR(UPPER(TRIM(SUBSTITUTE(SUBSTITUTE(SUBSTITUTE(SUBSTITUTE(INDEX(PASTE_ALL,$DF972,$L$18)," "," "),CHAR(9)," "),CHAR(10)," "),CHAR(13)," ")))="OT",UPPER(TRIM(SUBSTITUTE(SUBSTITUTE(SUBSTITUTE(SUBSTITUTE(INDEX(PASTE_ALL,$DF972,$L$18)," "," "),CHAR(9)," "),CHAR(10)," "),CHAR(13)," ")))="OVERTIME",UPPER(TRIM(SUBSTITUTE(SUBSTITUTE(SUBSTITUTE(SUBSTITUTE(INDEX(PASTE_ALL,$DF972,$L$18)," "," "),CHAR(9)," "),CHAR(10)," "),CHAR(13)," ")))="TRIAL"),"OT",TRIM(SUBSTITUTE(SUBSTITUTE(SUBSTITUTE(SUBSTITUTE(INDEX(PASTE_ALL,$DF972,$L$18)," "," "),CHAR(9)," "),CHAR(10)," "),CHAR(13)," "))))),"")))</f>
        <v/>
      </c>
      <c r="EC972">
        <f>IF($DM972=0,"",IF($L$19=0,"",IFERROR(IF(ISNUMBER(INDEX(PASTE_ALL,$DF972,$L$19)),INDEX(PASTE_ALL,$DF972,$L$19),TRIM(SUBSTITUTE(SUBSTITUTE(SUBSTITUTE(SUBSTITUTE(INDEX(PASTE_ALL,$DF972,$L$19)," "," "),CHAR(9)," "),CHAR(10)," "),CHAR(13)," "))),"")))</f>
        <v/>
      </c>
      <c r="ED972">
        <f>IF($DM972=0,"",MATCH(1,INDEX(EXACT($DH$5:DH972,$DH972)*$DM$5:DM972,0),0))</f>
        <v/>
      </c>
      <c r="EE972">
        <f>IF($DM972=0,0,IF($ED972=$DE972,1,0))</f>
        <v/>
      </c>
      <c r="EF972">
        <f>EF971+$EE972</f>
        <v/>
      </c>
      <c r="EG972">
        <f>IF($DM972=0,"",INDEX($EF$5:$EF$1003,$ED972))</f>
        <v/>
      </c>
      <c r="EH972">
        <f>IF($DM972=0,"",IF($DO972&lt;&gt;"","",IFERROR(LOOKUP(2,1/(($EG$4:EG971=$EG972)*($DO$4:DO971&lt;&gt;"")),$DO$4:DO971),"")))</f>
        <v/>
      </c>
      <c r="EI972">
        <f>IF($DM972=0,"",IF($DO972&lt;&gt;"",$DO972,$EH972))</f>
        <v/>
      </c>
      <c r="EJ972">
        <f>IF($DM972=0,"",IF($EI972="",0,IF(OR(ISNUMBER($EI972),AND(AND(SUBSTITUTE(SUBSTITUTE(SUBSTITUTE(SUBSTITUTE(SUBSTITUTE(SUBSTITUTE(SUBSTITUTE(SUBSTITUTE(SUBSTITUTE(SUBSTITUTE(SUBSTITUTE(SUBSTITUTE(SUBSTITUTE(SUBSTITUTE(UPPER($EI972),"0",""),"1",""),"2",""),"3",""),"4",""),"5",""),"6",""),"7",""),"8",""),"9",""),".",""),"+",""),"-",""),"E","")="",LEN(SUBSTITUTE(SUBSTITUTE(MID(UPPER($EI972),1+OR(LEFT(UPPER($EI972),1)="+",LEFT(UPPER($EI972),1)="-"),999),"E+","E"),"E-","E"))=LEN(SUBSTITUTE(SUBSTITUTE(SUBSTITUTE(SUBSTITUTE(MID(UPPER($EI972),1+OR(LEFT(UPPER($EI972),1)="+",LEFT(UPPER($EI972),1)="-"),999),"E+","E"),"E-","E"),"+",""),"-","")),LEN(UPPER($EI972))-LEN(SUBSTITUTE(UPPER($EI972),"E",""))&lt;2,LEN(UPPER($EI972))-LEN(SUBSTITUTE(UPPER($EI972),".",""))&lt;2,IFERROR(FIND(".",UPPER($EI972)),0)&lt;IFERROR(FIND("E",UPPER($EI972)),999)),ISNUMBER(VALUE($EI972)))),1,2)))</f>
        <v/>
      </c>
      <c r="EK972">
        <f>IF($DM972=0,"",IF($EJ972=1,IF(ISNUMBER($EI972),$EI972,VALUE($EI972)),IF($EJ972=2,$DE972,0)))</f>
        <v/>
      </c>
      <c r="EL972">
        <f>IF($DM972=0,"",COUNTIF($EG$5:$EG$1003,"&lt;"&amp;$EG972)+SUMPRODUCT(($EG$5:$EG$1003=$EG972)*(($EJ$5:$EJ$1003&lt;$EJ972)+($EJ$5:$EJ$1003=$EJ972)*(($EK$5:$EK$1003&lt;$EK972)+($EK$5:$EK$1003=$EK972)*($DE$5:$DE$1003&lt;$DE972))))+1)</f>
        <v/>
      </c>
      <c r="EM972">
        <f>IF($DM972=0,"",$EL972+$EG972-1)</f>
        <v/>
      </c>
      <c r="EN972">
        <f>IF($DM972=0,0,IFERROR(MATCH(1,INDEX(--(TRIM(SUBSTITUTE(SUBSTITUTE(SUBSTITUTE(SUBSTITUTE(LINES_NAME&amp;""," "," "),CHAR(9)," "),CHAR(10)," "),CHAR(13)," "))=$DH972),0),0),0))</f>
        <v/>
      </c>
      <c r="EO972">
        <f>IF($EN972=0,0,IF(OR(UPPER(TRIM(INDEX(LINES_SCHEDULED,$EN972)&amp;""))="YES",UPPER(TRIM(INDEX(LINES_SCHEDULED,$EN972)&amp;""))="Y",UPPER(TRIM(INDEX(LINES_SCHEDULED,$EN972)&amp;""))="X"),1,0))</f>
        <v/>
      </c>
      <c r="EP972">
        <f>IF($DM972=0,"",IF(COUNTIFS($EG$5:$EG$1003,$EG972,$EB$5:$EB$1003,"Ready")&gt;0,"READY",IF(COUNTIFS($EG$5:$EG$1003,$EG972,$EB$5:$EB$1003,"PM")&gt;0,"PM",IF(COUNTIFS($EG$5:$EG$1003,$EG972,$EB$5:$EB$1003,"OT")&gt;0,"OT",""))))</f>
        <v/>
      </c>
      <c r="EQ972">
        <f>IF($EN972=0,"",UPPER(TRIM(INDEX(LINES_STATUS,$EN972)&amp;"")))</f>
        <v/>
      </c>
      <c r="ER972">
        <f>IF($DM972=0,"",IF(OR($EQ972="READY",$EQ972="PM",$EQ972="OT"),$EQ972,$EP972))</f>
        <v/>
      </c>
      <c r="ES972">
        <f>IF($DM972=0,"",IF(AND($DV972&lt;&gt;"",UPPER($DV972)&lt;&gt;"N"),"allergen",IF(ISNUMBER(SEARCH("oil",$DQ972)),"oil",IF(OR(EXACT($DS972,"A662"),EXACT($DS972,"A624")),"bulk",""))))</f>
        <v/>
      </c>
      <c r="ET972">
        <f>IF($DM972=0,"",IF(OR($EA972="",$EA972=0),"",$EA972/100))</f>
        <v/>
      </c>
      <c r="EU972">
        <f>IF(OR($ET972="",$DY972=""),"",INT($DY972*(1-$ET972)+0.5))</f>
        <v/>
      </c>
    </row>
    <row r="973">
      <c r="DA973" t="n">
        <v>969</v>
      </c>
      <c r="DB973">
        <f>IF($B$37=0,"",IFERROR(TRIM(SUBSTITUTE(SUBSTITUTE(SUBSTITUTE(SUBSTITUTE(INDEX(PASTE_ALL,969,$B$37)," "," "),CHAR(9)," "),CHAR(10)," "),CHAR(13)," ")),""))</f>
        <v/>
      </c>
      <c r="DC973">
        <f>IF(AND(969&gt;HEADER_ROW,UPPER(DB973)="LEGEND"),1,0)</f>
        <v/>
      </c>
      <c r="DE973" t="n">
        <v>969</v>
      </c>
      <c r="DF973">
        <f>HEADER_ROW+$DE973</f>
        <v/>
      </c>
      <c r="DG973">
        <f>IF(AND($DF973&lt;=1000,$DF973&lt;$B$8),1,0)</f>
        <v/>
      </c>
      <c r="DH973">
        <f>IF($DG973=1,IFERROR(INDEX($DB$5:$DB$1004,$DF973),""),"")</f>
        <v/>
      </c>
      <c r="DI973">
        <f>IF(AND($DG973=1,$DH973&lt;&gt;""),IFERROR(SUBSTITUTE(SUBSTITUTE(TRIM(SUBSTITUTE(SUBSTITUTE(SUBSTITUTE(SUBSTITUTE(IFERROR(INDEX(PASTE_ALL,$DF973,1)&amp;"","")&amp;"␟"&amp;IFERROR(INDEX(PASTE_ALL,$DF973,2)&amp;"","")&amp;"␟"&amp;IFERROR(INDEX(PASTE_ALL,$DF973,3)&amp;"","")&amp;"␟"&amp;IFERROR(INDEX(PASTE_ALL,$DF973,4)&amp;"","")&amp;"␟"&amp;IFERROR(INDEX(PASTE_ALL,$DF973,5)&amp;"","")&amp;"␟"&amp;IFERROR(INDEX(PASTE_ALL,$DF973,6)&amp;"","")&amp;"␟"&amp;IFERROR(INDEX(PASTE_ALL,$DF973,7)&amp;"","")&amp;"␟"&amp;IFERROR(INDEX(PASTE_ALL,$DF973,8)&amp;"","")&amp;"␟"&amp;IFERROR(INDEX(PASTE_ALL,$DF973,9)&amp;"","")&amp;"␟"&amp;IFERROR(INDEX(PASTE_ALL,$DF973,10)&amp;"","")&amp;"␟"&amp;IFERROR(INDEX(PASTE_ALL,$DF973,11)&amp;"","")&amp;"␟"&amp;IFERROR(INDEX(PASTE_ALL,$DF973,12)&amp;"","")&amp;"␟"&amp;IFERROR(INDEX(PASTE_ALL,$DF973,13)&amp;"","")&amp;"␟"&amp;IFERROR(INDEX(PASTE_ALL,$DF973,14)&amp;"","")&amp;"␟"&amp;IFERROR(INDEX(PASTE_ALL,$DF973,15)&amp;"","")&amp;"␟"&amp;IFERROR(INDEX(PASTE_ALL,$DF973,16)&amp;"","")&amp;"␟"&amp;IFERROR(INDEX(PASTE_ALL,$DF973,17)&amp;"","")&amp;"␟"&amp;IFERROR(INDEX(PASTE_ALL,$DF973,18)&amp;"","")&amp;"␟"&amp;IFERROR(INDEX(PASTE_ALL,$DF973,19)&amp;"","")&amp;"␟"&amp;IFERROR(INDEX(PASTE_ALL,$DF973,20)&amp;"","")&amp;"␟"&amp;IFERROR(INDEX(PASTE_ALL,$DF973,21)&amp;"","")&amp;"␟"&amp;IFERROR(INDEX(PASTE_ALL,$DF973,22)&amp;"","")&amp;"␟"&amp;IFERROR(INDEX(PASTE_ALL,$DF973,23)&amp;"","")&amp;"␟"&amp;IFERROR(INDEX(PASTE_ALL,$DF973,24)&amp;"","")&amp;"␟"&amp;IFERROR(INDEX(PASTE_ALL,$DF973,25)&amp;"","")&amp;"␟"&amp;IFERROR(INDEX(PASTE_ALL,$DF973,26)&amp;"","")&amp;"␟"&amp;IFERROR(INDEX(PASTE_ALL,$DF973,27)&amp;"","")&amp;"␟"&amp;IFERROR(INDEX(PASTE_ALL,$DF973,28)&amp;"","")&amp;"␟"&amp;IFERROR(INDEX(PASTE_ALL,$DF973,29)&amp;"","")&amp;"␟"&amp;IFERROR(INDEX(PASTE_ALL,$DF973,30)&amp;"","")&amp;"␟"&amp;IFERROR(INDEX(PASTE_ALL,$DF973,31)&amp;"","")&amp;"␟"&amp;IFERROR(INDEX(PASTE_ALL,$DF973,32)&amp;"","")&amp;"␟"&amp;IFERROR(INDEX(PASTE_ALL,$DF973,33)&amp;"","")&amp;"␟"&amp;IFERROR(INDEX(PASTE_ALL,$DF973,34)&amp;"","")&amp;"␟"&amp;IFERROR(INDEX(PASTE_ALL,$DF973,35)&amp;"","")&amp;"␟"&amp;IFERROR(INDEX(PASTE_ALL,$DF973,36)&amp;"","")&amp;"␟"&amp;IFERROR(INDEX(PASTE_ALL,$DF973,37)&amp;"","")&amp;"␟"&amp;IFERROR(INDEX(PASTE_ALL,$DF973,38)&amp;"","")&amp;"␟"&amp;IFERROR(INDEX(PASTE_ALL,$DF973,39)&amp;"","")&amp;"␟"&amp;IFERROR(INDEX(PASTE_ALL,$DF973,40)&amp;"","")&amp;"␟"&amp;IFERROR(INDEX(PASTE_ALL,$DF973,41)&amp;"","")&amp;"␟"&amp;IFERROR(INDEX(PASTE_ALL,$DF973,42)&amp;"","")&amp;"␟"&amp;IFERROR(INDEX(PASTE_ALL,$DF973,43)&amp;"","")&amp;"␟"&amp;IFERROR(INDEX(PASTE_ALL,$DF973,44)&amp;"","")&amp;"␟"&amp;IFERROR(INDEX(PASTE_ALL,$DF973,45)&amp;"","")&amp;"␟"&amp;IFERROR(INDEX(PASTE_ALL,$DF973,46)&amp;"","")&amp;"␟"&amp;IFERROR(INDEX(PASTE_ALL,$DF973,47)&amp;"","")&amp;"␟"&amp;IFERROR(INDEX(PASTE_ALL,$DF973,48)&amp;"","")&amp;"␟"&amp;IFERROR(INDEX(PASTE_ALL,$DF973,49)&amp;"","")&amp;"␟"&amp;IFERROR(INDEX(PASTE_ALL,$DF973,50)&amp;"","")&amp;"␟"&amp;IFERROR(INDEX(PASTE_ALL,$DF973,51)&amp;"","")&amp;"␟"&amp;IFERROR(INDEX(PASTE_ALL,$DF973,52)&amp;"","")&amp;"␟"&amp;IFERROR(INDEX(PASTE_ALL,$DF973,53)&amp;"","")&amp;"␟"&amp;IFERROR(INDEX(PASTE_ALL,$DF973,54)&amp;"","")&amp;"␟"&amp;IFERROR(INDEX(PASTE_ALL,$DF973,55)&amp;"","")&amp;"␟"&amp;IFERROR(INDEX(PASTE_ALL,$DF973,56)&amp;"","")&amp;"␟"&amp;IFERROR(INDEX(PASTE_ALL,$DF973,57)&amp;"","")&amp;"␟"&amp;IFERROR(INDEX(PASTE_ALL,$DF973,58)&amp;"","")&amp;"␟"&amp;IFERROR(INDEX(PASTE_ALL,$DF973,59)&amp;"","")&amp;"␟"&amp;IFERROR(INDEX(PASTE_ALL,$DF973,60)&amp;"","")," "," "),CHAR(9)," "),CHAR(10)," "),CHAR(13)," "))," ␟","␟"),"␟ ","␟"),"#"&amp;$DE973),"")</f>
        <v/>
      </c>
      <c r="DJ973">
        <f>IF($DI973="",0,IF(SUMPRODUCT(--EXACT($DI$4:DI972,$DI973))&gt;0,1,0))</f>
        <v/>
      </c>
      <c r="DK973">
        <f>IF(AND($DI973&lt;&gt;"",$DJ973=0),1,0)</f>
        <v/>
      </c>
      <c r="DL973">
        <f>DL972+$DK973</f>
        <v/>
      </c>
      <c r="DM973">
        <f>IF(AND($DK973=1,$DL973&lt;=600),1,0)</f>
        <v/>
      </c>
      <c r="DN973">
        <f>IF($DM973=0,"",IF($L$6=0,"",IFERROR(IF(ISNUMBER(INDEX(PASTE_ALL,$DF973,$L$6)),INDEX(PASTE_ALL,$DF973,$L$6),TRIM(SUBSTITUTE(SUBSTITUTE(SUBSTITUTE(SUBSTITUTE(INDEX(PASTE_ALL,$DF973,$L$6)," "," "),CHAR(9)," "),CHAR(10)," "),CHAR(13)," "))),"")))</f>
        <v/>
      </c>
      <c r="DO973">
        <f>IF($DM973=0,"",IF($L$7=0,"",IFERROR(IF(ISNUMBER(INDEX(PASTE_ALL,$DF973,$L$7)),INDEX(PASTE_ALL,$DF973,$L$7),TRIM(SUBSTITUTE(SUBSTITUTE(SUBSTITUTE(SUBSTITUTE(INDEX(PASTE_ALL,$DF973,$L$7)," "," "),CHAR(9)," "),CHAR(10)," "),CHAR(13)," "))),"")))</f>
        <v/>
      </c>
      <c r="DP973">
        <f>IF($DM973=0,"",IF($L$8=0,"",IFERROR(IF(ISNUMBER(INDEX(PASTE_ALL,$DF973,$L$8)),INDEX(PASTE_ALL,$DF973,$L$8),TRIM(SUBSTITUTE(SUBSTITUTE(SUBSTITUTE(SUBSTITUTE(INDEX(PASTE_ALL,$DF973,$L$8)," "," "),CHAR(9)," "),CHAR(10)," "),CHAR(13)," "))),"")))</f>
        <v/>
      </c>
      <c r="DQ973">
        <f>IF($DM973=0,"",IF($L$9=0,"",IFERROR(IF(ISNUMBER(INDEX(PASTE_ALL,$DF973,$L$9)),INDEX(PASTE_ALL,$DF973,$L$9),TRIM(SUBSTITUTE(SUBSTITUTE(SUBSTITUTE(SUBSTITUTE(INDEX(PASTE_ALL,$DF973,$L$9)," "," "),CHAR(9)," "),CHAR(10)," "),CHAR(13)," "))),"")))</f>
        <v/>
      </c>
      <c r="DR973">
        <f>IF($DM973=0,"",IF($L$10=0,"",IFERROR(IF(ISNUMBER(INDEX(PASTE_ALL,$DF973,$L$10)),INDEX(PASTE_ALL,$DF973,$L$10),TRIM(SUBSTITUTE(SUBSTITUTE(SUBSTITUTE(SUBSTITUTE(INDEX(PASTE_ALL,$DF973,$L$10)," "," "),CHAR(9)," "),CHAR(10)," "),CHAR(13)," "))),"")))</f>
        <v/>
      </c>
      <c r="DS973">
        <f>IF($DM973=0,"",IF($L$11=0,"",IFERROR(IF(ISNUMBER(INDEX(PASTE_ALL,$DF973,$L$11)),INDEX(PASTE_ALL,$DF973,$L$11),TRIM(SUBSTITUTE(SUBSTITUTE(SUBSTITUTE(SUBSTITUTE(INDEX(PASTE_ALL,$DF973,$L$11)," "," "),CHAR(9)," "),CHAR(10)," "),CHAR(13)," "))),"")))</f>
        <v/>
      </c>
      <c r="DT973">
        <f>IF($DM973=0,"",IF($L$12=0,"",IFERROR(IF(ISNUMBER(INDEX(PASTE_ALL,$DF973,$L$12)),INDEX(PASTE_ALL,$DF973,$L$12),TRIM(SUBSTITUTE(SUBSTITUTE(SUBSTITUTE(SUBSTITUTE(INDEX(PASTE_ALL,$DF973,$L$12)," "," "),CHAR(9)," "),CHAR(10)," "),CHAR(13)," "))),"")))</f>
        <v/>
      </c>
      <c r="DU973">
        <f>IF($DM973=0,"",IF($L$13=0,"",IFERROR(IF(ISNUMBER(INDEX(PASTE_ALL,$DF973,$L$13)),INDEX(PASTE_ALL,$DF973,$L$13),TRIM(SUBSTITUTE(SUBSTITUTE(SUBSTITUTE(SUBSTITUTE(INDEX(PASTE_ALL,$DF973,$L$13)," "," "),CHAR(9)," "),CHAR(10)," "),CHAR(13)," "))),"")))</f>
        <v/>
      </c>
      <c r="DV973">
        <f>IF($DM973=0,"",IF($L$14=0,"",IFERROR(IF(ISNUMBER(INDEX(PASTE_ALL,$DF973,$L$14)),INDEX(PASTE_ALL,$DF973,$L$14),TRIM(SUBSTITUTE(SUBSTITUTE(SUBSTITUTE(SUBSTITUTE(INDEX(PASTE_ALL,$DF973,$L$14)," "," "),CHAR(9)," "),CHAR(10)," "),CHAR(13)," "))),"")))</f>
        <v/>
      </c>
      <c r="DW973">
        <f>IF($DM973=0,"",IF($L$15=0,"",IFERROR(IF(ISNUMBER(INDEX(PASTE_ALL,$DF973,$L$15)),INDEX(PASTE_ALL,$DF973,$L$15),IF(SUMPRODUCT(--ISNUMBER(FIND({"A","B","C","D","E","F","G","H","I","J","K","L","M","N","O","P","Q","R","S","T","U","V","W","X","Y","Z","0","1","2","3","4","5","6","7","8","9"},UPPER(TRIM(SUBSTITUTE(SUBSTITUTE(SUBSTITUTE(SUBSTITUTE(INDEX(PASTE_ALL,$DF973,$L$15)," "," "),CHAR(9)," "),CHAR(10)," "),CHAR(13)," "))))))&gt;0,TRIM(SUBSTITUTE(SUBSTITUTE(SUBSTITUTE(SUBSTITUTE(INDEX(PASTE_ALL,$DF973,$L$15)," "," "),CHAR(9)," "),CHAR(10)," "),CHAR(13)," ")),"")),"")))</f>
        <v/>
      </c>
      <c r="DX973">
        <f>IF($DM973=0,"",IF($L$16=0,"",IFERROR(IF(ISNUMBER(INDEX(PASTE_ALL,$DF973,$L$16)),INDEX(PASTE_ALL,$DF973,$L$16),SUBSTITUTE(SUBSTITUTE(TRIM(SUBSTITUTE(SUBSTITUTE(SUBSTITUTE(SUBSTITUTE(INDEX(PASTE_ALL,$DF973,$L$16)," "," "),CHAR(9)," "),CHAR(10)," "),CHAR(13)," ")),",",""),"%","")),"")))</f>
        <v/>
      </c>
      <c r="DY973">
        <f>IF($DM973=0,"",IFERROR(IF(ISNUMBER($DX973),$DX973,IF($DX973="","",IF(TRIM($DX973)="",0,IF(AND(AND(SUBSTITUTE(SUBSTITUTE(SUBSTITUTE(SUBSTITUTE(SUBSTITUTE(SUBSTITUTE(SUBSTITUTE(SUBSTITUTE(SUBSTITUTE(SUBSTITUTE(SUBSTITUTE(SUBSTITUTE(SUBSTITUTE(SUBSTITUTE(UPPER(TRIM($DX973)),"0",""),"1",""),"2",""),"3",""),"4",""),"5",""),"6",""),"7",""),"8",""),"9",""),".",""),"+",""),"-",""),"E","")="",LEN(SUBSTITUTE(SUBSTITUTE(MID(UPPER(TRIM($DX973)),1+OR(LEFT(UPPER(TRIM($DX973)),1)="+",LEFT(UPPER(TRIM($DX973)),1)="-"),999),"E+","E"),"E-","E"))=LEN(SUBSTITUTE(SUBSTITUTE(SUBSTITUTE(SUBSTITUTE(MID(UPPER(TRIM($DX973)),1+OR(LEFT(UPPER(TRIM($DX973)),1)="+",LEFT(UPPER(TRIM($DX973)),1)="-"),999),"E+","E"),"E-","E"),"+",""),"-","")),LEN(UPPER(TRIM($DX973)))-LEN(SUBSTITUTE(UPPER(TRIM($DX973)),"E",""))&lt;2,LEN(UPPER(TRIM($DX973)))-LEN(SUBSTITUTE(UPPER(TRIM($DX973)),".",""))&lt;2,IFERROR(FIND(".",UPPER(TRIM($DX973))),0)&lt;IFERROR(FIND("E",UPPER(TRIM($DX973))),999)),ISNUMBER(VALUE(TRIM($DX973)))),VALUE(TRIM($DX973)),"")))),""))</f>
        <v/>
      </c>
      <c r="DZ973">
        <f>IF($DM973=0,"",IF($L$17=0,"",IFERROR(IF(ISNUMBER(INDEX(PASTE_ALL,$DF973,$L$17)),INDEX(PASTE_ALL,$DF973,$L$17),SUBSTITUTE(SUBSTITUTE(TRIM(SUBSTITUTE(SUBSTITUTE(SUBSTITUTE(SUBSTITUTE(INDEX(PASTE_ALL,$DF973,$L$17)," "," "),CHAR(9)," "),CHAR(10)," "),CHAR(13)," ")),",",""),"%","")),"")))</f>
        <v/>
      </c>
      <c r="EA973">
        <f>IF($DM973=0,"",IFERROR(IF(ISNUMBER($DZ973),$DZ973,IF($DZ973="","",IF(TRIM($DZ973)="",0,IF(AND(AND(SUBSTITUTE(SUBSTITUTE(SUBSTITUTE(SUBSTITUTE(SUBSTITUTE(SUBSTITUTE(SUBSTITUTE(SUBSTITUTE(SUBSTITUTE(SUBSTITUTE(SUBSTITUTE(SUBSTITUTE(SUBSTITUTE(SUBSTITUTE(UPPER(TRIM($DZ973)),"0",""),"1",""),"2",""),"3",""),"4",""),"5",""),"6",""),"7",""),"8",""),"9",""),".",""),"+",""),"-",""),"E","")="",LEN(SUBSTITUTE(SUBSTITUTE(MID(UPPER(TRIM($DZ973)),1+OR(LEFT(UPPER(TRIM($DZ973)),1)="+",LEFT(UPPER(TRIM($DZ973)),1)="-"),999),"E+","E"),"E-","E"))=LEN(SUBSTITUTE(SUBSTITUTE(SUBSTITUTE(SUBSTITUTE(MID(UPPER(TRIM($DZ973)),1+OR(LEFT(UPPER(TRIM($DZ973)),1)="+",LEFT(UPPER(TRIM($DZ973)),1)="-"),999),"E+","E"),"E-","E"),"+",""),"-","")),LEN(UPPER(TRIM($DZ973)))-LEN(SUBSTITUTE(UPPER(TRIM($DZ973)),"E",""))&lt;2,LEN(UPPER(TRIM($DZ973)))-LEN(SUBSTITUTE(UPPER(TRIM($DZ973)),".",""))&lt;2,IFERROR(FIND(".",UPPER(TRIM($DZ973))),0)&lt;IFERROR(FIND("E",UPPER(TRIM($DZ973))),999)),ISNUMBER(VALUE(TRIM($DZ973)))),VALUE(TRIM($DZ973)),"")))),""))</f>
        <v/>
      </c>
      <c r="EB973">
        <f>IF($DM973=0,"",IF($L$18=0,"",IFERROR(IF(UPPER(TRIM(SUBSTITUTE(SUBSTITUTE(SUBSTITUTE(SUBSTITUTE(INDEX(PASTE_ALL,$DF973,$L$18)," "," "),CHAR(9)," "),CHAR(10)," "),CHAR(13)," ")))="READY","Ready",IF(UPPER(TRIM(SUBSTITUTE(SUBSTITUTE(SUBSTITUTE(SUBSTITUTE(INDEX(PASTE_ALL,$DF973,$L$18)," "," "),CHAR(9)," "),CHAR(10)," "),CHAR(13)," ")))="PM","PM",IF(OR(UPPER(TRIM(SUBSTITUTE(SUBSTITUTE(SUBSTITUTE(SUBSTITUTE(INDEX(PASTE_ALL,$DF973,$L$18)," "," "),CHAR(9)," "),CHAR(10)," "),CHAR(13)," ")))="OT",UPPER(TRIM(SUBSTITUTE(SUBSTITUTE(SUBSTITUTE(SUBSTITUTE(INDEX(PASTE_ALL,$DF973,$L$18)," "," "),CHAR(9)," "),CHAR(10)," "),CHAR(13)," ")))="OVERTIME",UPPER(TRIM(SUBSTITUTE(SUBSTITUTE(SUBSTITUTE(SUBSTITUTE(INDEX(PASTE_ALL,$DF973,$L$18)," "," "),CHAR(9)," "),CHAR(10)," "),CHAR(13)," ")))="TRIAL"),"OT",TRIM(SUBSTITUTE(SUBSTITUTE(SUBSTITUTE(SUBSTITUTE(INDEX(PASTE_ALL,$DF973,$L$18)," "," "),CHAR(9)," "),CHAR(10)," "),CHAR(13)," "))))),"")))</f>
        <v/>
      </c>
      <c r="EC973">
        <f>IF($DM973=0,"",IF($L$19=0,"",IFERROR(IF(ISNUMBER(INDEX(PASTE_ALL,$DF973,$L$19)),INDEX(PASTE_ALL,$DF973,$L$19),TRIM(SUBSTITUTE(SUBSTITUTE(SUBSTITUTE(SUBSTITUTE(INDEX(PASTE_ALL,$DF973,$L$19)," "," "),CHAR(9)," "),CHAR(10)," "),CHAR(13)," "))),"")))</f>
        <v/>
      </c>
      <c r="ED973">
        <f>IF($DM973=0,"",MATCH(1,INDEX(EXACT($DH$5:DH973,$DH973)*$DM$5:DM973,0),0))</f>
        <v/>
      </c>
      <c r="EE973">
        <f>IF($DM973=0,0,IF($ED973=$DE973,1,0))</f>
        <v/>
      </c>
      <c r="EF973">
        <f>EF972+$EE973</f>
        <v/>
      </c>
      <c r="EG973">
        <f>IF($DM973=0,"",INDEX($EF$5:$EF$1003,$ED973))</f>
        <v/>
      </c>
      <c r="EH973">
        <f>IF($DM973=0,"",IF($DO973&lt;&gt;"","",IFERROR(LOOKUP(2,1/(($EG$4:EG972=$EG973)*($DO$4:DO972&lt;&gt;"")),$DO$4:DO972),"")))</f>
        <v/>
      </c>
      <c r="EI973">
        <f>IF($DM973=0,"",IF($DO973&lt;&gt;"",$DO973,$EH973))</f>
        <v/>
      </c>
      <c r="EJ973">
        <f>IF($DM973=0,"",IF($EI973="",0,IF(OR(ISNUMBER($EI973),AND(AND(SUBSTITUTE(SUBSTITUTE(SUBSTITUTE(SUBSTITUTE(SUBSTITUTE(SUBSTITUTE(SUBSTITUTE(SUBSTITUTE(SUBSTITUTE(SUBSTITUTE(SUBSTITUTE(SUBSTITUTE(SUBSTITUTE(SUBSTITUTE(UPPER($EI973),"0",""),"1",""),"2",""),"3",""),"4",""),"5",""),"6",""),"7",""),"8",""),"9",""),".",""),"+",""),"-",""),"E","")="",LEN(SUBSTITUTE(SUBSTITUTE(MID(UPPER($EI973),1+OR(LEFT(UPPER($EI973),1)="+",LEFT(UPPER($EI973),1)="-"),999),"E+","E"),"E-","E"))=LEN(SUBSTITUTE(SUBSTITUTE(SUBSTITUTE(SUBSTITUTE(MID(UPPER($EI973),1+OR(LEFT(UPPER($EI973),1)="+",LEFT(UPPER($EI973),1)="-"),999),"E+","E"),"E-","E"),"+",""),"-","")),LEN(UPPER($EI973))-LEN(SUBSTITUTE(UPPER($EI973),"E",""))&lt;2,LEN(UPPER($EI973))-LEN(SUBSTITUTE(UPPER($EI973),".",""))&lt;2,IFERROR(FIND(".",UPPER($EI973)),0)&lt;IFERROR(FIND("E",UPPER($EI973)),999)),ISNUMBER(VALUE($EI973)))),1,2)))</f>
        <v/>
      </c>
      <c r="EK973">
        <f>IF($DM973=0,"",IF($EJ973=1,IF(ISNUMBER($EI973),$EI973,VALUE($EI973)),IF($EJ973=2,$DE973,0)))</f>
        <v/>
      </c>
      <c r="EL973">
        <f>IF($DM973=0,"",COUNTIF($EG$5:$EG$1003,"&lt;"&amp;$EG973)+SUMPRODUCT(($EG$5:$EG$1003=$EG973)*(($EJ$5:$EJ$1003&lt;$EJ973)+($EJ$5:$EJ$1003=$EJ973)*(($EK$5:$EK$1003&lt;$EK973)+($EK$5:$EK$1003=$EK973)*($DE$5:$DE$1003&lt;$DE973))))+1)</f>
        <v/>
      </c>
      <c r="EM973">
        <f>IF($DM973=0,"",$EL973+$EG973-1)</f>
        <v/>
      </c>
      <c r="EN973">
        <f>IF($DM973=0,0,IFERROR(MATCH(1,INDEX(--(TRIM(SUBSTITUTE(SUBSTITUTE(SUBSTITUTE(SUBSTITUTE(LINES_NAME&amp;""," "," "),CHAR(9)," "),CHAR(10)," "),CHAR(13)," "))=$DH973),0),0),0))</f>
        <v/>
      </c>
      <c r="EO973">
        <f>IF($EN973=0,0,IF(OR(UPPER(TRIM(INDEX(LINES_SCHEDULED,$EN973)&amp;""))="YES",UPPER(TRIM(INDEX(LINES_SCHEDULED,$EN973)&amp;""))="Y",UPPER(TRIM(INDEX(LINES_SCHEDULED,$EN973)&amp;""))="X"),1,0))</f>
        <v/>
      </c>
      <c r="EP973">
        <f>IF($DM973=0,"",IF(COUNTIFS($EG$5:$EG$1003,$EG973,$EB$5:$EB$1003,"Ready")&gt;0,"READY",IF(COUNTIFS($EG$5:$EG$1003,$EG973,$EB$5:$EB$1003,"PM")&gt;0,"PM",IF(COUNTIFS($EG$5:$EG$1003,$EG973,$EB$5:$EB$1003,"OT")&gt;0,"OT",""))))</f>
        <v/>
      </c>
      <c r="EQ973">
        <f>IF($EN973=0,"",UPPER(TRIM(INDEX(LINES_STATUS,$EN973)&amp;"")))</f>
        <v/>
      </c>
      <c r="ER973">
        <f>IF($DM973=0,"",IF(OR($EQ973="READY",$EQ973="PM",$EQ973="OT"),$EQ973,$EP973))</f>
        <v/>
      </c>
      <c r="ES973">
        <f>IF($DM973=0,"",IF(AND($DV973&lt;&gt;"",UPPER($DV973)&lt;&gt;"N"),"allergen",IF(ISNUMBER(SEARCH("oil",$DQ973)),"oil",IF(OR(EXACT($DS973,"A662"),EXACT($DS973,"A624")),"bulk",""))))</f>
        <v/>
      </c>
      <c r="ET973">
        <f>IF($DM973=0,"",IF(OR($EA973="",$EA973=0),"",$EA973/100))</f>
        <v/>
      </c>
      <c r="EU973">
        <f>IF(OR($ET973="",$DY973=""),"",INT($DY973*(1-$ET973)+0.5))</f>
        <v/>
      </c>
    </row>
    <row r="974">
      <c r="DA974" t="n">
        <v>970</v>
      </c>
      <c r="DB974">
        <f>IF($B$37=0,"",IFERROR(TRIM(SUBSTITUTE(SUBSTITUTE(SUBSTITUTE(SUBSTITUTE(INDEX(PASTE_ALL,970,$B$37)," "," "),CHAR(9)," "),CHAR(10)," "),CHAR(13)," ")),""))</f>
        <v/>
      </c>
      <c r="DC974">
        <f>IF(AND(970&gt;HEADER_ROW,UPPER(DB974)="LEGEND"),1,0)</f>
        <v/>
      </c>
      <c r="DE974" t="n">
        <v>970</v>
      </c>
      <c r="DF974">
        <f>HEADER_ROW+$DE974</f>
        <v/>
      </c>
      <c r="DG974">
        <f>IF(AND($DF974&lt;=1000,$DF974&lt;$B$8),1,0)</f>
        <v/>
      </c>
      <c r="DH974">
        <f>IF($DG974=1,IFERROR(INDEX($DB$5:$DB$1004,$DF974),""),"")</f>
        <v/>
      </c>
      <c r="DI974">
        <f>IF(AND($DG974=1,$DH974&lt;&gt;""),IFERROR(SUBSTITUTE(SUBSTITUTE(TRIM(SUBSTITUTE(SUBSTITUTE(SUBSTITUTE(SUBSTITUTE(IFERROR(INDEX(PASTE_ALL,$DF974,1)&amp;"","")&amp;"␟"&amp;IFERROR(INDEX(PASTE_ALL,$DF974,2)&amp;"","")&amp;"␟"&amp;IFERROR(INDEX(PASTE_ALL,$DF974,3)&amp;"","")&amp;"␟"&amp;IFERROR(INDEX(PASTE_ALL,$DF974,4)&amp;"","")&amp;"␟"&amp;IFERROR(INDEX(PASTE_ALL,$DF974,5)&amp;"","")&amp;"␟"&amp;IFERROR(INDEX(PASTE_ALL,$DF974,6)&amp;"","")&amp;"␟"&amp;IFERROR(INDEX(PASTE_ALL,$DF974,7)&amp;"","")&amp;"␟"&amp;IFERROR(INDEX(PASTE_ALL,$DF974,8)&amp;"","")&amp;"␟"&amp;IFERROR(INDEX(PASTE_ALL,$DF974,9)&amp;"","")&amp;"␟"&amp;IFERROR(INDEX(PASTE_ALL,$DF974,10)&amp;"","")&amp;"␟"&amp;IFERROR(INDEX(PASTE_ALL,$DF974,11)&amp;"","")&amp;"␟"&amp;IFERROR(INDEX(PASTE_ALL,$DF974,12)&amp;"","")&amp;"␟"&amp;IFERROR(INDEX(PASTE_ALL,$DF974,13)&amp;"","")&amp;"␟"&amp;IFERROR(INDEX(PASTE_ALL,$DF974,14)&amp;"","")&amp;"␟"&amp;IFERROR(INDEX(PASTE_ALL,$DF974,15)&amp;"","")&amp;"␟"&amp;IFERROR(INDEX(PASTE_ALL,$DF974,16)&amp;"","")&amp;"␟"&amp;IFERROR(INDEX(PASTE_ALL,$DF974,17)&amp;"","")&amp;"␟"&amp;IFERROR(INDEX(PASTE_ALL,$DF974,18)&amp;"","")&amp;"␟"&amp;IFERROR(INDEX(PASTE_ALL,$DF974,19)&amp;"","")&amp;"␟"&amp;IFERROR(INDEX(PASTE_ALL,$DF974,20)&amp;"","")&amp;"␟"&amp;IFERROR(INDEX(PASTE_ALL,$DF974,21)&amp;"","")&amp;"␟"&amp;IFERROR(INDEX(PASTE_ALL,$DF974,22)&amp;"","")&amp;"␟"&amp;IFERROR(INDEX(PASTE_ALL,$DF974,23)&amp;"","")&amp;"␟"&amp;IFERROR(INDEX(PASTE_ALL,$DF974,24)&amp;"","")&amp;"␟"&amp;IFERROR(INDEX(PASTE_ALL,$DF974,25)&amp;"","")&amp;"␟"&amp;IFERROR(INDEX(PASTE_ALL,$DF974,26)&amp;"","")&amp;"␟"&amp;IFERROR(INDEX(PASTE_ALL,$DF974,27)&amp;"","")&amp;"␟"&amp;IFERROR(INDEX(PASTE_ALL,$DF974,28)&amp;"","")&amp;"␟"&amp;IFERROR(INDEX(PASTE_ALL,$DF974,29)&amp;"","")&amp;"␟"&amp;IFERROR(INDEX(PASTE_ALL,$DF974,30)&amp;"","")&amp;"␟"&amp;IFERROR(INDEX(PASTE_ALL,$DF974,31)&amp;"","")&amp;"␟"&amp;IFERROR(INDEX(PASTE_ALL,$DF974,32)&amp;"","")&amp;"␟"&amp;IFERROR(INDEX(PASTE_ALL,$DF974,33)&amp;"","")&amp;"␟"&amp;IFERROR(INDEX(PASTE_ALL,$DF974,34)&amp;"","")&amp;"␟"&amp;IFERROR(INDEX(PASTE_ALL,$DF974,35)&amp;"","")&amp;"␟"&amp;IFERROR(INDEX(PASTE_ALL,$DF974,36)&amp;"","")&amp;"␟"&amp;IFERROR(INDEX(PASTE_ALL,$DF974,37)&amp;"","")&amp;"␟"&amp;IFERROR(INDEX(PASTE_ALL,$DF974,38)&amp;"","")&amp;"␟"&amp;IFERROR(INDEX(PASTE_ALL,$DF974,39)&amp;"","")&amp;"␟"&amp;IFERROR(INDEX(PASTE_ALL,$DF974,40)&amp;"","")&amp;"␟"&amp;IFERROR(INDEX(PASTE_ALL,$DF974,41)&amp;"","")&amp;"␟"&amp;IFERROR(INDEX(PASTE_ALL,$DF974,42)&amp;"","")&amp;"␟"&amp;IFERROR(INDEX(PASTE_ALL,$DF974,43)&amp;"","")&amp;"␟"&amp;IFERROR(INDEX(PASTE_ALL,$DF974,44)&amp;"","")&amp;"␟"&amp;IFERROR(INDEX(PASTE_ALL,$DF974,45)&amp;"","")&amp;"␟"&amp;IFERROR(INDEX(PASTE_ALL,$DF974,46)&amp;"","")&amp;"␟"&amp;IFERROR(INDEX(PASTE_ALL,$DF974,47)&amp;"","")&amp;"␟"&amp;IFERROR(INDEX(PASTE_ALL,$DF974,48)&amp;"","")&amp;"␟"&amp;IFERROR(INDEX(PASTE_ALL,$DF974,49)&amp;"","")&amp;"␟"&amp;IFERROR(INDEX(PASTE_ALL,$DF974,50)&amp;"","")&amp;"␟"&amp;IFERROR(INDEX(PASTE_ALL,$DF974,51)&amp;"","")&amp;"␟"&amp;IFERROR(INDEX(PASTE_ALL,$DF974,52)&amp;"","")&amp;"␟"&amp;IFERROR(INDEX(PASTE_ALL,$DF974,53)&amp;"","")&amp;"␟"&amp;IFERROR(INDEX(PASTE_ALL,$DF974,54)&amp;"","")&amp;"␟"&amp;IFERROR(INDEX(PASTE_ALL,$DF974,55)&amp;"","")&amp;"␟"&amp;IFERROR(INDEX(PASTE_ALL,$DF974,56)&amp;"","")&amp;"␟"&amp;IFERROR(INDEX(PASTE_ALL,$DF974,57)&amp;"","")&amp;"␟"&amp;IFERROR(INDEX(PASTE_ALL,$DF974,58)&amp;"","")&amp;"␟"&amp;IFERROR(INDEX(PASTE_ALL,$DF974,59)&amp;"","")&amp;"␟"&amp;IFERROR(INDEX(PASTE_ALL,$DF974,60)&amp;"","")," "," "),CHAR(9)," "),CHAR(10)," "),CHAR(13)," "))," ␟","␟"),"␟ ","␟"),"#"&amp;$DE974),"")</f>
        <v/>
      </c>
      <c r="DJ974">
        <f>IF($DI974="",0,IF(SUMPRODUCT(--EXACT($DI$4:DI973,$DI974))&gt;0,1,0))</f>
        <v/>
      </c>
      <c r="DK974">
        <f>IF(AND($DI974&lt;&gt;"",$DJ974=0),1,0)</f>
        <v/>
      </c>
      <c r="DL974">
        <f>DL973+$DK974</f>
        <v/>
      </c>
      <c r="DM974">
        <f>IF(AND($DK974=1,$DL974&lt;=600),1,0)</f>
        <v/>
      </c>
      <c r="DN974">
        <f>IF($DM974=0,"",IF($L$6=0,"",IFERROR(IF(ISNUMBER(INDEX(PASTE_ALL,$DF974,$L$6)),INDEX(PASTE_ALL,$DF974,$L$6),TRIM(SUBSTITUTE(SUBSTITUTE(SUBSTITUTE(SUBSTITUTE(INDEX(PASTE_ALL,$DF974,$L$6)," "," "),CHAR(9)," "),CHAR(10)," "),CHAR(13)," "))),"")))</f>
        <v/>
      </c>
      <c r="DO974">
        <f>IF($DM974=0,"",IF($L$7=0,"",IFERROR(IF(ISNUMBER(INDEX(PASTE_ALL,$DF974,$L$7)),INDEX(PASTE_ALL,$DF974,$L$7),TRIM(SUBSTITUTE(SUBSTITUTE(SUBSTITUTE(SUBSTITUTE(INDEX(PASTE_ALL,$DF974,$L$7)," "," "),CHAR(9)," "),CHAR(10)," "),CHAR(13)," "))),"")))</f>
        <v/>
      </c>
      <c r="DP974">
        <f>IF($DM974=0,"",IF($L$8=0,"",IFERROR(IF(ISNUMBER(INDEX(PASTE_ALL,$DF974,$L$8)),INDEX(PASTE_ALL,$DF974,$L$8),TRIM(SUBSTITUTE(SUBSTITUTE(SUBSTITUTE(SUBSTITUTE(INDEX(PASTE_ALL,$DF974,$L$8)," "," "),CHAR(9)," "),CHAR(10)," "),CHAR(13)," "))),"")))</f>
        <v/>
      </c>
      <c r="DQ974">
        <f>IF($DM974=0,"",IF($L$9=0,"",IFERROR(IF(ISNUMBER(INDEX(PASTE_ALL,$DF974,$L$9)),INDEX(PASTE_ALL,$DF974,$L$9),TRIM(SUBSTITUTE(SUBSTITUTE(SUBSTITUTE(SUBSTITUTE(INDEX(PASTE_ALL,$DF974,$L$9)," "," "),CHAR(9)," "),CHAR(10)," "),CHAR(13)," "))),"")))</f>
        <v/>
      </c>
      <c r="DR974">
        <f>IF($DM974=0,"",IF($L$10=0,"",IFERROR(IF(ISNUMBER(INDEX(PASTE_ALL,$DF974,$L$10)),INDEX(PASTE_ALL,$DF974,$L$10),TRIM(SUBSTITUTE(SUBSTITUTE(SUBSTITUTE(SUBSTITUTE(INDEX(PASTE_ALL,$DF974,$L$10)," "," "),CHAR(9)," "),CHAR(10)," "),CHAR(13)," "))),"")))</f>
        <v/>
      </c>
      <c r="DS974">
        <f>IF($DM974=0,"",IF($L$11=0,"",IFERROR(IF(ISNUMBER(INDEX(PASTE_ALL,$DF974,$L$11)),INDEX(PASTE_ALL,$DF974,$L$11),TRIM(SUBSTITUTE(SUBSTITUTE(SUBSTITUTE(SUBSTITUTE(INDEX(PASTE_ALL,$DF974,$L$11)," "," "),CHAR(9)," "),CHAR(10)," "),CHAR(13)," "))),"")))</f>
        <v/>
      </c>
      <c r="DT974">
        <f>IF($DM974=0,"",IF($L$12=0,"",IFERROR(IF(ISNUMBER(INDEX(PASTE_ALL,$DF974,$L$12)),INDEX(PASTE_ALL,$DF974,$L$12),TRIM(SUBSTITUTE(SUBSTITUTE(SUBSTITUTE(SUBSTITUTE(INDEX(PASTE_ALL,$DF974,$L$12)," "," "),CHAR(9)," "),CHAR(10)," "),CHAR(13)," "))),"")))</f>
        <v/>
      </c>
      <c r="DU974">
        <f>IF($DM974=0,"",IF($L$13=0,"",IFERROR(IF(ISNUMBER(INDEX(PASTE_ALL,$DF974,$L$13)),INDEX(PASTE_ALL,$DF974,$L$13),TRIM(SUBSTITUTE(SUBSTITUTE(SUBSTITUTE(SUBSTITUTE(INDEX(PASTE_ALL,$DF974,$L$13)," "," "),CHAR(9)," "),CHAR(10)," "),CHAR(13)," "))),"")))</f>
        <v/>
      </c>
      <c r="DV974">
        <f>IF($DM974=0,"",IF($L$14=0,"",IFERROR(IF(ISNUMBER(INDEX(PASTE_ALL,$DF974,$L$14)),INDEX(PASTE_ALL,$DF974,$L$14),TRIM(SUBSTITUTE(SUBSTITUTE(SUBSTITUTE(SUBSTITUTE(INDEX(PASTE_ALL,$DF974,$L$14)," "," "),CHAR(9)," "),CHAR(10)," "),CHAR(13)," "))),"")))</f>
        <v/>
      </c>
      <c r="DW974">
        <f>IF($DM974=0,"",IF($L$15=0,"",IFERROR(IF(ISNUMBER(INDEX(PASTE_ALL,$DF974,$L$15)),INDEX(PASTE_ALL,$DF974,$L$15),IF(SUMPRODUCT(--ISNUMBER(FIND({"A","B","C","D","E","F","G","H","I","J","K","L","M","N","O","P","Q","R","S","T","U","V","W","X","Y","Z","0","1","2","3","4","5","6","7","8","9"},UPPER(TRIM(SUBSTITUTE(SUBSTITUTE(SUBSTITUTE(SUBSTITUTE(INDEX(PASTE_ALL,$DF974,$L$15)," "," "),CHAR(9)," "),CHAR(10)," "),CHAR(13)," "))))))&gt;0,TRIM(SUBSTITUTE(SUBSTITUTE(SUBSTITUTE(SUBSTITUTE(INDEX(PASTE_ALL,$DF974,$L$15)," "," "),CHAR(9)," "),CHAR(10)," "),CHAR(13)," ")),"")),"")))</f>
        <v/>
      </c>
      <c r="DX974">
        <f>IF($DM974=0,"",IF($L$16=0,"",IFERROR(IF(ISNUMBER(INDEX(PASTE_ALL,$DF974,$L$16)),INDEX(PASTE_ALL,$DF974,$L$16),SUBSTITUTE(SUBSTITUTE(TRIM(SUBSTITUTE(SUBSTITUTE(SUBSTITUTE(SUBSTITUTE(INDEX(PASTE_ALL,$DF974,$L$16)," "," "),CHAR(9)," "),CHAR(10)," "),CHAR(13)," ")),",",""),"%","")),"")))</f>
        <v/>
      </c>
      <c r="DY974">
        <f>IF($DM974=0,"",IFERROR(IF(ISNUMBER($DX974),$DX974,IF($DX974="","",IF(TRIM($DX974)="",0,IF(AND(AND(SUBSTITUTE(SUBSTITUTE(SUBSTITUTE(SUBSTITUTE(SUBSTITUTE(SUBSTITUTE(SUBSTITUTE(SUBSTITUTE(SUBSTITUTE(SUBSTITUTE(SUBSTITUTE(SUBSTITUTE(SUBSTITUTE(SUBSTITUTE(UPPER(TRIM($DX974)),"0",""),"1",""),"2",""),"3",""),"4",""),"5",""),"6",""),"7",""),"8",""),"9",""),".",""),"+",""),"-",""),"E","")="",LEN(SUBSTITUTE(SUBSTITUTE(MID(UPPER(TRIM($DX974)),1+OR(LEFT(UPPER(TRIM($DX974)),1)="+",LEFT(UPPER(TRIM($DX974)),1)="-"),999),"E+","E"),"E-","E"))=LEN(SUBSTITUTE(SUBSTITUTE(SUBSTITUTE(SUBSTITUTE(MID(UPPER(TRIM($DX974)),1+OR(LEFT(UPPER(TRIM($DX974)),1)="+",LEFT(UPPER(TRIM($DX974)),1)="-"),999),"E+","E"),"E-","E"),"+",""),"-","")),LEN(UPPER(TRIM($DX974)))-LEN(SUBSTITUTE(UPPER(TRIM($DX974)),"E",""))&lt;2,LEN(UPPER(TRIM($DX974)))-LEN(SUBSTITUTE(UPPER(TRIM($DX974)),".",""))&lt;2,IFERROR(FIND(".",UPPER(TRIM($DX974))),0)&lt;IFERROR(FIND("E",UPPER(TRIM($DX974))),999)),ISNUMBER(VALUE(TRIM($DX974)))),VALUE(TRIM($DX974)),"")))),""))</f>
        <v/>
      </c>
      <c r="DZ974">
        <f>IF($DM974=0,"",IF($L$17=0,"",IFERROR(IF(ISNUMBER(INDEX(PASTE_ALL,$DF974,$L$17)),INDEX(PASTE_ALL,$DF974,$L$17),SUBSTITUTE(SUBSTITUTE(TRIM(SUBSTITUTE(SUBSTITUTE(SUBSTITUTE(SUBSTITUTE(INDEX(PASTE_ALL,$DF974,$L$17)," "," "),CHAR(9)," "),CHAR(10)," "),CHAR(13)," ")),",",""),"%","")),"")))</f>
        <v/>
      </c>
      <c r="EA974">
        <f>IF($DM974=0,"",IFERROR(IF(ISNUMBER($DZ974),$DZ974,IF($DZ974="","",IF(TRIM($DZ974)="",0,IF(AND(AND(SUBSTITUTE(SUBSTITUTE(SUBSTITUTE(SUBSTITUTE(SUBSTITUTE(SUBSTITUTE(SUBSTITUTE(SUBSTITUTE(SUBSTITUTE(SUBSTITUTE(SUBSTITUTE(SUBSTITUTE(SUBSTITUTE(SUBSTITUTE(UPPER(TRIM($DZ974)),"0",""),"1",""),"2",""),"3",""),"4",""),"5",""),"6",""),"7",""),"8",""),"9",""),".",""),"+",""),"-",""),"E","")="",LEN(SUBSTITUTE(SUBSTITUTE(MID(UPPER(TRIM($DZ974)),1+OR(LEFT(UPPER(TRIM($DZ974)),1)="+",LEFT(UPPER(TRIM($DZ974)),1)="-"),999),"E+","E"),"E-","E"))=LEN(SUBSTITUTE(SUBSTITUTE(SUBSTITUTE(SUBSTITUTE(MID(UPPER(TRIM($DZ974)),1+OR(LEFT(UPPER(TRIM($DZ974)),1)="+",LEFT(UPPER(TRIM($DZ974)),1)="-"),999),"E+","E"),"E-","E"),"+",""),"-","")),LEN(UPPER(TRIM($DZ974)))-LEN(SUBSTITUTE(UPPER(TRIM($DZ974)),"E",""))&lt;2,LEN(UPPER(TRIM($DZ974)))-LEN(SUBSTITUTE(UPPER(TRIM($DZ974)),".",""))&lt;2,IFERROR(FIND(".",UPPER(TRIM($DZ974))),0)&lt;IFERROR(FIND("E",UPPER(TRIM($DZ974))),999)),ISNUMBER(VALUE(TRIM($DZ974)))),VALUE(TRIM($DZ974)),"")))),""))</f>
        <v/>
      </c>
      <c r="EB974">
        <f>IF($DM974=0,"",IF($L$18=0,"",IFERROR(IF(UPPER(TRIM(SUBSTITUTE(SUBSTITUTE(SUBSTITUTE(SUBSTITUTE(INDEX(PASTE_ALL,$DF974,$L$18)," "," "),CHAR(9)," "),CHAR(10)," "),CHAR(13)," ")))="READY","Ready",IF(UPPER(TRIM(SUBSTITUTE(SUBSTITUTE(SUBSTITUTE(SUBSTITUTE(INDEX(PASTE_ALL,$DF974,$L$18)," "," "),CHAR(9)," "),CHAR(10)," "),CHAR(13)," ")))="PM","PM",IF(OR(UPPER(TRIM(SUBSTITUTE(SUBSTITUTE(SUBSTITUTE(SUBSTITUTE(INDEX(PASTE_ALL,$DF974,$L$18)," "," "),CHAR(9)," "),CHAR(10)," "),CHAR(13)," ")))="OT",UPPER(TRIM(SUBSTITUTE(SUBSTITUTE(SUBSTITUTE(SUBSTITUTE(INDEX(PASTE_ALL,$DF974,$L$18)," "," "),CHAR(9)," "),CHAR(10)," "),CHAR(13)," ")))="OVERTIME",UPPER(TRIM(SUBSTITUTE(SUBSTITUTE(SUBSTITUTE(SUBSTITUTE(INDEX(PASTE_ALL,$DF974,$L$18)," "," "),CHAR(9)," "),CHAR(10)," "),CHAR(13)," ")))="TRIAL"),"OT",TRIM(SUBSTITUTE(SUBSTITUTE(SUBSTITUTE(SUBSTITUTE(INDEX(PASTE_ALL,$DF974,$L$18)," "," "),CHAR(9)," "),CHAR(10)," "),CHAR(13)," "))))),"")))</f>
        <v/>
      </c>
      <c r="EC974">
        <f>IF($DM974=0,"",IF($L$19=0,"",IFERROR(IF(ISNUMBER(INDEX(PASTE_ALL,$DF974,$L$19)),INDEX(PASTE_ALL,$DF974,$L$19),TRIM(SUBSTITUTE(SUBSTITUTE(SUBSTITUTE(SUBSTITUTE(INDEX(PASTE_ALL,$DF974,$L$19)," "," "),CHAR(9)," "),CHAR(10)," "),CHAR(13)," "))),"")))</f>
        <v/>
      </c>
      <c r="ED974">
        <f>IF($DM974=0,"",MATCH(1,INDEX(EXACT($DH$5:DH974,$DH974)*$DM$5:DM974,0),0))</f>
        <v/>
      </c>
      <c r="EE974">
        <f>IF($DM974=0,0,IF($ED974=$DE974,1,0))</f>
        <v/>
      </c>
      <c r="EF974">
        <f>EF973+$EE974</f>
        <v/>
      </c>
      <c r="EG974">
        <f>IF($DM974=0,"",INDEX($EF$5:$EF$1003,$ED974))</f>
        <v/>
      </c>
      <c r="EH974">
        <f>IF($DM974=0,"",IF($DO974&lt;&gt;"","",IFERROR(LOOKUP(2,1/(($EG$4:EG973=$EG974)*($DO$4:DO973&lt;&gt;"")),$DO$4:DO973),"")))</f>
        <v/>
      </c>
      <c r="EI974">
        <f>IF($DM974=0,"",IF($DO974&lt;&gt;"",$DO974,$EH974))</f>
        <v/>
      </c>
      <c r="EJ974">
        <f>IF($DM974=0,"",IF($EI974="",0,IF(OR(ISNUMBER($EI974),AND(AND(SUBSTITUTE(SUBSTITUTE(SUBSTITUTE(SUBSTITUTE(SUBSTITUTE(SUBSTITUTE(SUBSTITUTE(SUBSTITUTE(SUBSTITUTE(SUBSTITUTE(SUBSTITUTE(SUBSTITUTE(SUBSTITUTE(SUBSTITUTE(UPPER($EI974),"0",""),"1",""),"2",""),"3",""),"4",""),"5",""),"6",""),"7",""),"8",""),"9",""),".",""),"+",""),"-",""),"E","")="",LEN(SUBSTITUTE(SUBSTITUTE(MID(UPPER($EI974),1+OR(LEFT(UPPER($EI974),1)="+",LEFT(UPPER($EI974),1)="-"),999),"E+","E"),"E-","E"))=LEN(SUBSTITUTE(SUBSTITUTE(SUBSTITUTE(SUBSTITUTE(MID(UPPER($EI974),1+OR(LEFT(UPPER($EI974),1)="+",LEFT(UPPER($EI974),1)="-"),999),"E+","E"),"E-","E"),"+",""),"-","")),LEN(UPPER($EI974))-LEN(SUBSTITUTE(UPPER($EI974),"E",""))&lt;2,LEN(UPPER($EI974))-LEN(SUBSTITUTE(UPPER($EI974),".",""))&lt;2,IFERROR(FIND(".",UPPER($EI974)),0)&lt;IFERROR(FIND("E",UPPER($EI974)),999)),ISNUMBER(VALUE($EI974)))),1,2)))</f>
        <v/>
      </c>
      <c r="EK974">
        <f>IF($DM974=0,"",IF($EJ974=1,IF(ISNUMBER($EI974),$EI974,VALUE($EI974)),IF($EJ974=2,$DE974,0)))</f>
        <v/>
      </c>
      <c r="EL974">
        <f>IF($DM974=0,"",COUNTIF($EG$5:$EG$1003,"&lt;"&amp;$EG974)+SUMPRODUCT(($EG$5:$EG$1003=$EG974)*(($EJ$5:$EJ$1003&lt;$EJ974)+($EJ$5:$EJ$1003=$EJ974)*(($EK$5:$EK$1003&lt;$EK974)+($EK$5:$EK$1003=$EK974)*($DE$5:$DE$1003&lt;$DE974))))+1)</f>
        <v/>
      </c>
      <c r="EM974">
        <f>IF($DM974=0,"",$EL974+$EG974-1)</f>
        <v/>
      </c>
      <c r="EN974">
        <f>IF($DM974=0,0,IFERROR(MATCH(1,INDEX(--(TRIM(SUBSTITUTE(SUBSTITUTE(SUBSTITUTE(SUBSTITUTE(LINES_NAME&amp;""," "," "),CHAR(9)," "),CHAR(10)," "),CHAR(13)," "))=$DH974),0),0),0))</f>
        <v/>
      </c>
      <c r="EO974">
        <f>IF($EN974=0,0,IF(OR(UPPER(TRIM(INDEX(LINES_SCHEDULED,$EN974)&amp;""))="YES",UPPER(TRIM(INDEX(LINES_SCHEDULED,$EN974)&amp;""))="Y",UPPER(TRIM(INDEX(LINES_SCHEDULED,$EN974)&amp;""))="X"),1,0))</f>
        <v/>
      </c>
      <c r="EP974">
        <f>IF($DM974=0,"",IF(COUNTIFS($EG$5:$EG$1003,$EG974,$EB$5:$EB$1003,"Ready")&gt;0,"READY",IF(COUNTIFS($EG$5:$EG$1003,$EG974,$EB$5:$EB$1003,"PM")&gt;0,"PM",IF(COUNTIFS($EG$5:$EG$1003,$EG974,$EB$5:$EB$1003,"OT")&gt;0,"OT",""))))</f>
        <v/>
      </c>
      <c r="EQ974">
        <f>IF($EN974=0,"",UPPER(TRIM(INDEX(LINES_STATUS,$EN974)&amp;"")))</f>
        <v/>
      </c>
      <c r="ER974">
        <f>IF($DM974=0,"",IF(OR($EQ974="READY",$EQ974="PM",$EQ974="OT"),$EQ974,$EP974))</f>
        <v/>
      </c>
      <c r="ES974">
        <f>IF($DM974=0,"",IF(AND($DV974&lt;&gt;"",UPPER($DV974)&lt;&gt;"N"),"allergen",IF(ISNUMBER(SEARCH("oil",$DQ974)),"oil",IF(OR(EXACT($DS974,"A662"),EXACT($DS974,"A624")),"bulk",""))))</f>
        <v/>
      </c>
      <c r="ET974">
        <f>IF($DM974=0,"",IF(OR($EA974="",$EA974=0),"",$EA974/100))</f>
        <v/>
      </c>
      <c r="EU974">
        <f>IF(OR($ET974="",$DY974=""),"",INT($DY974*(1-$ET974)+0.5))</f>
        <v/>
      </c>
    </row>
    <row r="975">
      <c r="DA975" t="n">
        <v>971</v>
      </c>
      <c r="DB975">
        <f>IF($B$37=0,"",IFERROR(TRIM(SUBSTITUTE(SUBSTITUTE(SUBSTITUTE(SUBSTITUTE(INDEX(PASTE_ALL,971,$B$37)," "," "),CHAR(9)," "),CHAR(10)," "),CHAR(13)," ")),""))</f>
        <v/>
      </c>
      <c r="DC975">
        <f>IF(AND(971&gt;HEADER_ROW,UPPER(DB975)="LEGEND"),1,0)</f>
        <v/>
      </c>
      <c r="DE975" t="n">
        <v>971</v>
      </c>
      <c r="DF975">
        <f>HEADER_ROW+$DE975</f>
        <v/>
      </c>
      <c r="DG975">
        <f>IF(AND($DF975&lt;=1000,$DF975&lt;$B$8),1,0)</f>
        <v/>
      </c>
      <c r="DH975">
        <f>IF($DG975=1,IFERROR(INDEX($DB$5:$DB$1004,$DF975),""),"")</f>
        <v/>
      </c>
      <c r="DI975">
        <f>IF(AND($DG975=1,$DH975&lt;&gt;""),IFERROR(SUBSTITUTE(SUBSTITUTE(TRIM(SUBSTITUTE(SUBSTITUTE(SUBSTITUTE(SUBSTITUTE(IFERROR(INDEX(PASTE_ALL,$DF975,1)&amp;"","")&amp;"␟"&amp;IFERROR(INDEX(PASTE_ALL,$DF975,2)&amp;"","")&amp;"␟"&amp;IFERROR(INDEX(PASTE_ALL,$DF975,3)&amp;"","")&amp;"␟"&amp;IFERROR(INDEX(PASTE_ALL,$DF975,4)&amp;"","")&amp;"␟"&amp;IFERROR(INDEX(PASTE_ALL,$DF975,5)&amp;"","")&amp;"␟"&amp;IFERROR(INDEX(PASTE_ALL,$DF975,6)&amp;"","")&amp;"␟"&amp;IFERROR(INDEX(PASTE_ALL,$DF975,7)&amp;"","")&amp;"␟"&amp;IFERROR(INDEX(PASTE_ALL,$DF975,8)&amp;"","")&amp;"␟"&amp;IFERROR(INDEX(PASTE_ALL,$DF975,9)&amp;"","")&amp;"␟"&amp;IFERROR(INDEX(PASTE_ALL,$DF975,10)&amp;"","")&amp;"␟"&amp;IFERROR(INDEX(PASTE_ALL,$DF975,11)&amp;"","")&amp;"␟"&amp;IFERROR(INDEX(PASTE_ALL,$DF975,12)&amp;"","")&amp;"␟"&amp;IFERROR(INDEX(PASTE_ALL,$DF975,13)&amp;"","")&amp;"␟"&amp;IFERROR(INDEX(PASTE_ALL,$DF975,14)&amp;"","")&amp;"␟"&amp;IFERROR(INDEX(PASTE_ALL,$DF975,15)&amp;"","")&amp;"␟"&amp;IFERROR(INDEX(PASTE_ALL,$DF975,16)&amp;"","")&amp;"␟"&amp;IFERROR(INDEX(PASTE_ALL,$DF975,17)&amp;"","")&amp;"␟"&amp;IFERROR(INDEX(PASTE_ALL,$DF975,18)&amp;"","")&amp;"␟"&amp;IFERROR(INDEX(PASTE_ALL,$DF975,19)&amp;"","")&amp;"␟"&amp;IFERROR(INDEX(PASTE_ALL,$DF975,20)&amp;"","")&amp;"␟"&amp;IFERROR(INDEX(PASTE_ALL,$DF975,21)&amp;"","")&amp;"␟"&amp;IFERROR(INDEX(PASTE_ALL,$DF975,22)&amp;"","")&amp;"␟"&amp;IFERROR(INDEX(PASTE_ALL,$DF975,23)&amp;"","")&amp;"␟"&amp;IFERROR(INDEX(PASTE_ALL,$DF975,24)&amp;"","")&amp;"␟"&amp;IFERROR(INDEX(PASTE_ALL,$DF975,25)&amp;"","")&amp;"␟"&amp;IFERROR(INDEX(PASTE_ALL,$DF975,26)&amp;"","")&amp;"␟"&amp;IFERROR(INDEX(PASTE_ALL,$DF975,27)&amp;"","")&amp;"␟"&amp;IFERROR(INDEX(PASTE_ALL,$DF975,28)&amp;"","")&amp;"␟"&amp;IFERROR(INDEX(PASTE_ALL,$DF975,29)&amp;"","")&amp;"␟"&amp;IFERROR(INDEX(PASTE_ALL,$DF975,30)&amp;"","")&amp;"␟"&amp;IFERROR(INDEX(PASTE_ALL,$DF975,31)&amp;"","")&amp;"␟"&amp;IFERROR(INDEX(PASTE_ALL,$DF975,32)&amp;"","")&amp;"␟"&amp;IFERROR(INDEX(PASTE_ALL,$DF975,33)&amp;"","")&amp;"␟"&amp;IFERROR(INDEX(PASTE_ALL,$DF975,34)&amp;"","")&amp;"␟"&amp;IFERROR(INDEX(PASTE_ALL,$DF975,35)&amp;"","")&amp;"␟"&amp;IFERROR(INDEX(PASTE_ALL,$DF975,36)&amp;"","")&amp;"␟"&amp;IFERROR(INDEX(PASTE_ALL,$DF975,37)&amp;"","")&amp;"␟"&amp;IFERROR(INDEX(PASTE_ALL,$DF975,38)&amp;"","")&amp;"␟"&amp;IFERROR(INDEX(PASTE_ALL,$DF975,39)&amp;"","")&amp;"␟"&amp;IFERROR(INDEX(PASTE_ALL,$DF975,40)&amp;"","")&amp;"␟"&amp;IFERROR(INDEX(PASTE_ALL,$DF975,41)&amp;"","")&amp;"␟"&amp;IFERROR(INDEX(PASTE_ALL,$DF975,42)&amp;"","")&amp;"␟"&amp;IFERROR(INDEX(PASTE_ALL,$DF975,43)&amp;"","")&amp;"␟"&amp;IFERROR(INDEX(PASTE_ALL,$DF975,44)&amp;"","")&amp;"␟"&amp;IFERROR(INDEX(PASTE_ALL,$DF975,45)&amp;"","")&amp;"␟"&amp;IFERROR(INDEX(PASTE_ALL,$DF975,46)&amp;"","")&amp;"␟"&amp;IFERROR(INDEX(PASTE_ALL,$DF975,47)&amp;"","")&amp;"␟"&amp;IFERROR(INDEX(PASTE_ALL,$DF975,48)&amp;"","")&amp;"␟"&amp;IFERROR(INDEX(PASTE_ALL,$DF975,49)&amp;"","")&amp;"␟"&amp;IFERROR(INDEX(PASTE_ALL,$DF975,50)&amp;"","")&amp;"␟"&amp;IFERROR(INDEX(PASTE_ALL,$DF975,51)&amp;"","")&amp;"␟"&amp;IFERROR(INDEX(PASTE_ALL,$DF975,52)&amp;"","")&amp;"␟"&amp;IFERROR(INDEX(PASTE_ALL,$DF975,53)&amp;"","")&amp;"␟"&amp;IFERROR(INDEX(PASTE_ALL,$DF975,54)&amp;"","")&amp;"␟"&amp;IFERROR(INDEX(PASTE_ALL,$DF975,55)&amp;"","")&amp;"␟"&amp;IFERROR(INDEX(PASTE_ALL,$DF975,56)&amp;"","")&amp;"␟"&amp;IFERROR(INDEX(PASTE_ALL,$DF975,57)&amp;"","")&amp;"␟"&amp;IFERROR(INDEX(PASTE_ALL,$DF975,58)&amp;"","")&amp;"␟"&amp;IFERROR(INDEX(PASTE_ALL,$DF975,59)&amp;"","")&amp;"␟"&amp;IFERROR(INDEX(PASTE_ALL,$DF975,60)&amp;"","")," "," "),CHAR(9)," "),CHAR(10)," "),CHAR(13)," "))," ␟","␟"),"␟ ","␟"),"#"&amp;$DE975),"")</f>
        <v/>
      </c>
      <c r="DJ975">
        <f>IF($DI975="",0,IF(SUMPRODUCT(--EXACT($DI$4:DI974,$DI975))&gt;0,1,0))</f>
        <v/>
      </c>
      <c r="DK975">
        <f>IF(AND($DI975&lt;&gt;"",$DJ975=0),1,0)</f>
        <v/>
      </c>
      <c r="DL975">
        <f>DL974+$DK975</f>
        <v/>
      </c>
      <c r="DM975">
        <f>IF(AND($DK975=1,$DL975&lt;=600),1,0)</f>
        <v/>
      </c>
      <c r="DN975">
        <f>IF($DM975=0,"",IF($L$6=0,"",IFERROR(IF(ISNUMBER(INDEX(PASTE_ALL,$DF975,$L$6)),INDEX(PASTE_ALL,$DF975,$L$6),TRIM(SUBSTITUTE(SUBSTITUTE(SUBSTITUTE(SUBSTITUTE(INDEX(PASTE_ALL,$DF975,$L$6)," "," "),CHAR(9)," "),CHAR(10)," "),CHAR(13)," "))),"")))</f>
        <v/>
      </c>
      <c r="DO975">
        <f>IF($DM975=0,"",IF($L$7=0,"",IFERROR(IF(ISNUMBER(INDEX(PASTE_ALL,$DF975,$L$7)),INDEX(PASTE_ALL,$DF975,$L$7),TRIM(SUBSTITUTE(SUBSTITUTE(SUBSTITUTE(SUBSTITUTE(INDEX(PASTE_ALL,$DF975,$L$7)," "," "),CHAR(9)," "),CHAR(10)," "),CHAR(13)," "))),"")))</f>
        <v/>
      </c>
      <c r="DP975">
        <f>IF($DM975=0,"",IF($L$8=0,"",IFERROR(IF(ISNUMBER(INDEX(PASTE_ALL,$DF975,$L$8)),INDEX(PASTE_ALL,$DF975,$L$8),TRIM(SUBSTITUTE(SUBSTITUTE(SUBSTITUTE(SUBSTITUTE(INDEX(PASTE_ALL,$DF975,$L$8)," "," "),CHAR(9)," "),CHAR(10)," "),CHAR(13)," "))),"")))</f>
        <v/>
      </c>
      <c r="DQ975">
        <f>IF($DM975=0,"",IF($L$9=0,"",IFERROR(IF(ISNUMBER(INDEX(PASTE_ALL,$DF975,$L$9)),INDEX(PASTE_ALL,$DF975,$L$9),TRIM(SUBSTITUTE(SUBSTITUTE(SUBSTITUTE(SUBSTITUTE(INDEX(PASTE_ALL,$DF975,$L$9)," "," "),CHAR(9)," "),CHAR(10)," "),CHAR(13)," "))),"")))</f>
        <v/>
      </c>
      <c r="DR975">
        <f>IF($DM975=0,"",IF($L$10=0,"",IFERROR(IF(ISNUMBER(INDEX(PASTE_ALL,$DF975,$L$10)),INDEX(PASTE_ALL,$DF975,$L$10),TRIM(SUBSTITUTE(SUBSTITUTE(SUBSTITUTE(SUBSTITUTE(INDEX(PASTE_ALL,$DF975,$L$10)," "," "),CHAR(9)," "),CHAR(10)," "),CHAR(13)," "))),"")))</f>
        <v/>
      </c>
      <c r="DS975">
        <f>IF($DM975=0,"",IF($L$11=0,"",IFERROR(IF(ISNUMBER(INDEX(PASTE_ALL,$DF975,$L$11)),INDEX(PASTE_ALL,$DF975,$L$11),TRIM(SUBSTITUTE(SUBSTITUTE(SUBSTITUTE(SUBSTITUTE(INDEX(PASTE_ALL,$DF975,$L$11)," "," "),CHAR(9)," "),CHAR(10)," "),CHAR(13)," "))),"")))</f>
        <v/>
      </c>
      <c r="DT975">
        <f>IF($DM975=0,"",IF($L$12=0,"",IFERROR(IF(ISNUMBER(INDEX(PASTE_ALL,$DF975,$L$12)),INDEX(PASTE_ALL,$DF975,$L$12),TRIM(SUBSTITUTE(SUBSTITUTE(SUBSTITUTE(SUBSTITUTE(INDEX(PASTE_ALL,$DF975,$L$12)," "," "),CHAR(9)," "),CHAR(10)," "),CHAR(13)," "))),"")))</f>
        <v/>
      </c>
      <c r="DU975">
        <f>IF($DM975=0,"",IF($L$13=0,"",IFERROR(IF(ISNUMBER(INDEX(PASTE_ALL,$DF975,$L$13)),INDEX(PASTE_ALL,$DF975,$L$13),TRIM(SUBSTITUTE(SUBSTITUTE(SUBSTITUTE(SUBSTITUTE(INDEX(PASTE_ALL,$DF975,$L$13)," "," "),CHAR(9)," "),CHAR(10)," "),CHAR(13)," "))),"")))</f>
        <v/>
      </c>
      <c r="DV975">
        <f>IF($DM975=0,"",IF($L$14=0,"",IFERROR(IF(ISNUMBER(INDEX(PASTE_ALL,$DF975,$L$14)),INDEX(PASTE_ALL,$DF975,$L$14),TRIM(SUBSTITUTE(SUBSTITUTE(SUBSTITUTE(SUBSTITUTE(INDEX(PASTE_ALL,$DF975,$L$14)," "," "),CHAR(9)," "),CHAR(10)," "),CHAR(13)," "))),"")))</f>
        <v/>
      </c>
      <c r="DW975">
        <f>IF($DM975=0,"",IF($L$15=0,"",IFERROR(IF(ISNUMBER(INDEX(PASTE_ALL,$DF975,$L$15)),INDEX(PASTE_ALL,$DF975,$L$15),IF(SUMPRODUCT(--ISNUMBER(FIND({"A","B","C","D","E","F","G","H","I","J","K","L","M","N","O","P","Q","R","S","T","U","V","W","X","Y","Z","0","1","2","3","4","5","6","7","8","9"},UPPER(TRIM(SUBSTITUTE(SUBSTITUTE(SUBSTITUTE(SUBSTITUTE(INDEX(PASTE_ALL,$DF975,$L$15)," "," "),CHAR(9)," "),CHAR(10)," "),CHAR(13)," "))))))&gt;0,TRIM(SUBSTITUTE(SUBSTITUTE(SUBSTITUTE(SUBSTITUTE(INDEX(PASTE_ALL,$DF975,$L$15)," "," "),CHAR(9)," "),CHAR(10)," "),CHAR(13)," ")),"")),"")))</f>
        <v/>
      </c>
      <c r="DX975">
        <f>IF($DM975=0,"",IF($L$16=0,"",IFERROR(IF(ISNUMBER(INDEX(PASTE_ALL,$DF975,$L$16)),INDEX(PASTE_ALL,$DF975,$L$16),SUBSTITUTE(SUBSTITUTE(TRIM(SUBSTITUTE(SUBSTITUTE(SUBSTITUTE(SUBSTITUTE(INDEX(PASTE_ALL,$DF975,$L$16)," "," "),CHAR(9)," "),CHAR(10)," "),CHAR(13)," ")),",",""),"%","")),"")))</f>
        <v/>
      </c>
      <c r="DY975">
        <f>IF($DM975=0,"",IFERROR(IF(ISNUMBER($DX975),$DX975,IF($DX975="","",IF(TRIM($DX975)="",0,IF(AND(AND(SUBSTITUTE(SUBSTITUTE(SUBSTITUTE(SUBSTITUTE(SUBSTITUTE(SUBSTITUTE(SUBSTITUTE(SUBSTITUTE(SUBSTITUTE(SUBSTITUTE(SUBSTITUTE(SUBSTITUTE(SUBSTITUTE(SUBSTITUTE(UPPER(TRIM($DX975)),"0",""),"1",""),"2",""),"3",""),"4",""),"5",""),"6",""),"7",""),"8",""),"9",""),".",""),"+",""),"-",""),"E","")="",LEN(SUBSTITUTE(SUBSTITUTE(MID(UPPER(TRIM($DX975)),1+OR(LEFT(UPPER(TRIM($DX975)),1)="+",LEFT(UPPER(TRIM($DX975)),1)="-"),999),"E+","E"),"E-","E"))=LEN(SUBSTITUTE(SUBSTITUTE(SUBSTITUTE(SUBSTITUTE(MID(UPPER(TRIM($DX975)),1+OR(LEFT(UPPER(TRIM($DX975)),1)="+",LEFT(UPPER(TRIM($DX975)),1)="-"),999),"E+","E"),"E-","E"),"+",""),"-","")),LEN(UPPER(TRIM($DX975)))-LEN(SUBSTITUTE(UPPER(TRIM($DX975)),"E",""))&lt;2,LEN(UPPER(TRIM($DX975)))-LEN(SUBSTITUTE(UPPER(TRIM($DX975)),".",""))&lt;2,IFERROR(FIND(".",UPPER(TRIM($DX975))),0)&lt;IFERROR(FIND("E",UPPER(TRIM($DX975))),999)),ISNUMBER(VALUE(TRIM($DX975)))),VALUE(TRIM($DX975)),"")))),""))</f>
        <v/>
      </c>
      <c r="DZ975">
        <f>IF($DM975=0,"",IF($L$17=0,"",IFERROR(IF(ISNUMBER(INDEX(PASTE_ALL,$DF975,$L$17)),INDEX(PASTE_ALL,$DF975,$L$17),SUBSTITUTE(SUBSTITUTE(TRIM(SUBSTITUTE(SUBSTITUTE(SUBSTITUTE(SUBSTITUTE(INDEX(PASTE_ALL,$DF975,$L$17)," "," "),CHAR(9)," "),CHAR(10)," "),CHAR(13)," ")),",",""),"%","")),"")))</f>
        <v/>
      </c>
      <c r="EA975">
        <f>IF($DM975=0,"",IFERROR(IF(ISNUMBER($DZ975),$DZ975,IF($DZ975="","",IF(TRIM($DZ975)="",0,IF(AND(AND(SUBSTITUTE(SUBSTITUTE(SUBSTITUTE(SUBSTITUTE(SUBSTITUTE(SUBSTITUTE(SUBSTITUTE(SUBSTITUTE(SUBSTITUTE(SUBSTITUTE(SUBSTITUTE(SUBSTITUTE(SUBSTITUTE(SUBSTITUTE(UPPER(TRIM($DZ975)),"0",""),"1",""),"2",""),"3",""),"4",""),"5",""),"6",""),"7",""),"8",""),"9",""),".",""),"+",""),"-",""),"E","")="",LEN(SUBSTITUTE(SUBSTITUTE(MID(UPPER(TRIM($DZ975)),1+OR(LEFT(UPPER(TRIM($DZ975)),1)="+",LEFT(UPPER(TRIM($DZ975)),1)="-"),999),"E+","E"),"E-","E"))=LEN(SUBSTITUTE(SUBSTITUTE(SUBSTITUTE(SUBSTITUTE(MID(UPPER(TRIM($DZ975)),1+OR(LEFT(UPPER(TRIM($DZ975)),1)="+",LEFT(UPPER(TRIM($DZ975)),1)="-"),999),"E+","E"),"E-","E"),"+",""),"-","")),LEN(UPPER(TRIM($DZ975)))-LEN(SUBSTITUTE(UPPER(TRIM($DZ975)),"E",""))&lt;2,LEN(UPPER(TRIM($DZ975)))-LEN(SUBSTITUTE(UPPER(TRIM($DZ975)),".",""))&lt;2,IFERROR(FIND(".",UPPER(TRIM($DZ975))),0)&lt;IFERROR(FIND("E",UPPER(TRIM($DZ975))),999)),ISNUMBER(VALUE(TRIM($DZ975)))),VALUE(TRIM($DZ975)),"")))),""))</f>
        <v/>
      </c>
      <c r="EB975">
        <f>IF($DM975=0,"",IF($L$18=0,"",IFERROR(IF(UPPER(TRIM(SUBSTITUTE(SUBSTITUTE(SUBSTITUTE(SUBSTITUTE(INDEX(PASTE_ALL,$DF975,$L$18)," "," "),CHAR(9)," "),CHAR(10)," "),CHAR(13)," ")))="READY","Ready",IF(UPPER(TRIM(SUBSTITUTE(SUBSTITUTE(SUBSTITUTE(SUBSTITUTE(INDEX(PASTE_ALL,$DF975,$L$18)," "," "),CHAR(9)," "),CHAR(10)," "),CHAR(13)," ")))="PM","PM",IF(OR(UPPER(TRIM(SUBSTITUTE(SUBSTITUTE(SUBSTITUTE(SUBSTITUTE(INDEX(PASTE_ALL,$DF975,$L$18)," "," "),CHAR(9)," "),CHAR(10)," "),CHAR(13)," ")))="OT",UPPER(TRIM(SUBSTITUTE(SUBSTITUTE(SUBSTITUTE(SUBSTITUTE(INDEX(PASTE_ALL,$DF975,$L$18)," "," "),CHAR(9)," "),CHAR(10)," "),CHAR(13)," ")))="OVERTIME",UPPER(TRIM(SUBSTITUTE(SUBSTITUTE(SUBSTITUTE(SUBSTITUTE(INDEX(PASTE_ALL,$DF975,$L$18)," "," "),CHAR(9)," "),CHAR(10)," "),CHAR(13)," ")))="TRIAL"),"OT",TRIM(SUBSTITUTE(SUBSTITUTE(SUBSTITUTE(SUBSTITUTE(INDEX(PASTE_ALL,$DF975,$L$18)," "," "),CHAR(9)," "),CHAR(10)," "),CHAR(13)," "))))),"")))</f>
        <v/>
      </c>
      <c r="EC975">
        <f>IF($DM975=0,"",IF($L$19=0,"",IFERROR(IF(ISNUMBER(INDEX(PASTE_ALL,$DF975,$L$19)),INDEX(PASTE_ALL,$DF975,$L$19),TRIM(SUBSTITUTE(SUBSTITUTE(SUBSTITUTE(SUBSTITUTE(INDEX(PASTE_ALL,$DF975,$L$19)," "," "),CHAR(9)," "),CHAR(10)," "),CHAR(13)," "))),"")))</f>
        <v/>
      </c>
      <c r="ED975">
        <f>IF($DM975=0,"",MATCH(1,INDEX(EXACT($DH$5:DH975,$DH975)*$DM$5:DM975,0),0))</f>
        <v/>
      </c>
      <c r="EE975">
        <f>IF($DM975=0,0,IF($ED975=$DE975,1,0))</f>
        <v/>
      </c>
      <c r="EF975">
        <f>EF974+$EE975</f>
        <v/>
      </c>
      <c r="EG975">
        <f>IF($DM975=0,"",INDEX($EF$5:$EF$1003,$ED975))</f>
        <v/>
      </c>
      <c r="EH975">
        <f>IF($DM975=0,"",IF($DO975&lt;&gt;"","",IFERROR(LOOKUP(2,1/(($EG$4:EG974=$EG975)*($DO$4:DO974&lt;&gt;"")),$DO$4:DO974),"")))</f>
        <v/>
      </c>
      <c r="EI975">
        <f>IF($DM975=0,"",IF($DO975&lt;&gt;"",$DO975,$EH975))</f>
        <v/>
      </c>
      <c r="EJ975">
        <f>IF($DM975=0,"",IF($EI975="",0,IF(OR(ISNUMBER($EI975),AND(AND(SUBSTITUTE(SUBSTITUTE(SUBSTITUTE(SUBSTITUTE(SUBSTITUTE(SUBSTITUTE(SUBSTITUTE(SUBSTITUTE(SUBSTITUTE(SUBSTITUTE(SUBSTITUTE(SUBSTITUTE(SUBSTITUTE(SUBSTITUTE(UPPER($EI975),"0",""),"1",""),"2",""),"3",""),"4",""),"5",""),"6",""),"7",""),"8",""),"9",""),".",""),"+",""),"-",""),"E","")="",LEN(SUBSTITUTE(SUBSTITUTE(MID(UPPER($EI975),1+OR(LEFT(UPPER($EI975),1)="+",LEFT(UPPER($EI975),1)="-"),999),"E+","E"),"E-","E"))=LEN(SUBSTITUTE(SUBSTITUTE(SUBSTITUTE(SUBSTITUTE(MID(UPPER($EI975),1+OR(LEFT(UPPER($EI975),1)="+",LEFT(UPPER($EI975),1)="-"),999),"E+","E"),"E-","E"),"+",""),"-","")),LEN(UPPER($EI975))-LEN(SUBSTITUTE(UPPER($EI975),"E",""))&lt;2,LEN(UPPER($EI975))-LEN(SUBSTITUTE(UPPER($EI975),".",""))&lt;2,IFERROR(FIND(".",UPPER($EI975)),0)&lt;IFERROR(FIND("E",UPPER($EI975)),999)),ISNUMBER(VALUE($EI975)))),1,2)))</f>
        <v/>
      </c>
      <c r="EK975">
        <f>IF($DM975=0,"",IF($EJ975=1,IF(ISNUMBER($EI975),$EI975,VALUE($EI975)),IF($EJ975=2,$DE975,0)))</f>
        <v/>
      </c>
      <c r="EL975">
        <f>IF($DM975=0,"",COUNTIF($EG$5:$EG$1003,"&lt;"&amp;$EG975)+SUMPRODUCT(($EG$5:$EG$1003=$EG975)*(($EJ$5:$EJ$1003&lt;$EJ975)+($EJ$5:$EJ$1003=$EJ975)*(($EK$5:$EK$1003&lt;$EK975)+($EK$5:$EK$1003=$EK975)*($DE$5:$DE$1003&lt;$DE975))))+1)</f>
        <v/>
      </c>
      <c r="EM975">
        <f>IF($DM975=0,"",$EL975+$EG975-1)</f>
        <v/>
      </c>
      <c r="EN975">
        <f>IF($DM975=0,0,IFERROR(MATCH(1,INDEX(--(TRIM(SUBSTITUTE(SUBSTITUTE(SUBSTITUTE(SUBSTITUTE(LINES_NAME&amp;""," "," "),CHAR(9)," "),CHAR(10)," "),CHAR(13)," "))=$DH975),0),0),0))</f>
        <v/>
      </c>
      <c r="EO975">
        <f>IF($EN975=0,0,IF(OR(UPPER(TRIM(INDEX(LINES_SCHEDULED,$EN975)&amp;""))="YES",UPPER(TRIM(INDEX(LINES_SCHEDULED,$EN975)&amp;""))="Y",UPPER(TRIM(INDEX(LINES_SCHEDULED,$EN975)&amp;""))="X"),1,0))</f>
        <v/>
      </c>
      <c r="EP975">
        <f>IF($DM975=0,"",IF(COUNTIFS($EG$5:$EG$1003,$EG975,$EB$5:$EB$1003,"Ready")&gt;0,"READY",IF(COUNTIFS($EG$5:$EG$1003,$EG975,$EB$5:$EB$1003,"PM")&gt;0,"PM",IF(COUNTIFS($EG$5:$EG$1003,$EG975,$EB$5:$EB$1003,"OT")&gt;0,"OT",""))))</f>
        <v/>
      </c>
      <c r="EQ975">
        <f>IF($EN975=0,"",UPPER(TRIM(INDEX(LINES_STATUS,$EN975)&amp;"")))</f>
        <v/>
      </c>
      <c r="ER975">
        <f>IF($DM975=0,"",IF(OR($EQ975="READY",$EQ975="PM",$EQ975="OT"),$EQ975,$EP975))</f>
        <v/>
      </c>
      <c r="ES975">
        <f>IF($DM975=0,"",IF(AND($DV975&lt;&gt;"",UPPER($DV975)&lt;&gt;"N"),"allergen",IF(ISNUMBER(SEARCH("oil",$DQ975)),"oil",IF(OR(EXACT($DS975,"A662"),EXACT($DS975,"A624")),"bulk",""))))</f>
        <v/>
      </c>
      <c r="ET975">
        <f>IF($DM975=0,"",IF(OR($EA975="",$EA975=0),"",$EA975/100))</f>
        <v/>
      </c>
      <c r="EU975">
        <f>IF(OR($ET975="",$DY975=""),"",INT($DY975*(1-$ET975)+0.5))</f>
        <v/>
      </c>
    </row>
    <row r="976">
      <c r="DA976" t="n">
        <v>972</v>
      </c>
      <c r="DB976">
        <f>IF($B$37=0,"",IFERROR(TRIM(SUBSTITUTE(SUBSTITUTE(SUBSTITUTE(SUBSTITUTE(INDEX(PASTE_ALL,972,$B$37)," "," "),CHAR(9)," "),CHAR(10)," "),CHAR(13)," ")),""))</f>
        <v/>
      </c>
      <c r="DC976">
        <f>IF(AND(972&gt;HEADER_ROW,UPPER(DB976)="LEGEND"),1,0)</f>
        <v/>
      </c>
      <c r="DE976" t="n">
        <v>972</v>
      </c>
      <c r="DF976">
        <f>HEADER_ROW+$DE976</f>
        <v/>
      </c>
      <c r="DG976">
        <f>IF(AND($DF976&lt;=1000,$DF976&lt;$B$8),1,0)</f>
        <v/>
      </c>
      <c r="DH976">
        <f>IF($DG976=1,IFERROR(INDEX($DB$5:$DB$1004,$DF976),""),"")</f>
        <v/>
      </c>
      <c r="DI976">
        <f>IF(AND($DG976=1,$DH976&lt;&gt;""),IFERROR(SUBSTITUTE(SUBSTITUTE(TRIM(SUBSTITUTE(SUBSTITUTE(SUBSTITUTE(SUBSTITUTE(IFERROR(INDEX(PASTE_ALL,$DF976,1)&amp;"","")&amp;"␟"&amp;IFERROR(INDEX(PASTE_ALL,$DF976,2)&amp;"","")&amp;"␟"&amp;IFERROR(INDEX(PASTE_ALL,$DF976,3)&amp;"","")&amp;"␟"&amp;IFERROR(INDEX(PASTE_ALL,$DF976,4)&amp;"","")&amp;"␟"&amp;IFERROR(INDEX(PASTE_ALL,$DF976,5)&amp;"","")&amp;"␟"&amp;IFERROR(INDEX(PASTE_ALL,$DF976,6)&amp;"","")&amp;"␟"&amp;IFERROR(INDEX(PASTE_ALL,$DF976,7)&amp;"","")&amp;"␟"&amp;IFERROR(INDEX(PASTE_ALL,$DF976,8)&amp;"","")&amp;"␟"&amp;IFERROR(INDEX(PASTE_ALL,$DF976,9)&amp;"","")&amp;"␟"&amp;IFERROR(INDEX(PASTE_ALL,$DF976,10)&amp;"","")&amp;"␟"&amp;IFERROR(INDEX(PASTE_ALL,$DF976,11)&amp;"","")&amp;"␟"&amp;IFERROR(INDEX(PASTE_ALL,$DF976,12)&amp;"","")&amp;"␟"&amp;IFERROR(INDEX(PASTE_ALL,$DF976,13)&amp;"","")&amp;"␟"&amp;IFERROR(INDEX(PASTE_ALL,$DF976,14)&amp;"","")&amp;"␟"&amp;IFERROR(INDEX(PASTE_ALL,$DF976,15)&amp;"","")&amp;"␟"&amp;IFERROR(INDEX(PASTE_ALL,$DF976,16)&amp;"","")&amp;"␟"&amp;IFERROR(INDEX(PASTE_ALL,$DF976,17)&amp;"","")&amp;"␟"&amp;IFERROR(INDEX(PASTE_ALL,$DF976,18)&amp;"","")&amp;"␟"&amp;IFERROR(INDEX(PASTE_ALL,$DF976,19)&amp;"","")&amp;"␟"&amp;IFERROR(INDEX(PASTE_ALL,$DF976,20)&amp;"","")&amp;"␟"&amp;IFERROR(INDEX(PASTE_ALL,$DF976,21)&amp;"","")&amp;"␟"&amp;IFERROR(INDEX(PASTE_ALL,$DF976,22)&amp;"","")&amp;"␟"&amp;IFERROR(INDEX(PASTE_ALL,$DF976,23)&amp;"","")&amp;"␟"&amp;IFERROR(INDEX(PASTE_ALL,$DF976,24)&amp;"","")&amp;"␟"&amp;IFERROR(INDEX(PASTE_ALL,$DF976,25)&amp;"","")&amp;"␟"&amp;IFERROR(INDEX(PASTE_ALL,$DF976,26)&amp;"","")&amp;"␟"&amp;IFERROR(INDEX(PASTE_ALL,$DF976,27)&amp;"","")&amp;"␟"&amp;IFERROR(INDEX(PASTE_ALL,$DF976,28)&amp;"","")&amp;"␟"&amp;IFERROR(INDEX(PASTE_ALL,$DF976,29)&amp;"","")&amp;"␟"&amp;IFERROR(INDEX(PASTE_ALL,$DF976,30)&amp;"","")&amp;"␟"&amp;IFERROR(INDEX(PASTE_ALL,$DF976,31)&amp;"","")&amp;"␟"&amp;IFERROR(INDEX(PASTE_ALL,$DF976,32)&amp;"","")&amp;"␟"&amp;IFERROR(INDEX(PASTE_ALL,$DF976,33)&amp;"","")&amp;"␟"&amp;IFERROR(INDEX(PASTE_ALL,$DF976,34)&amp;"","")&amp;"␟"&amp;IFERROR(INDEX(PASTE_ALL,$DF976,35)&amp;"","")&amp;"␟"&amp;IFERROR(INDEX(PASTE_ALL,$DF976,36)&amp;"","")&amp;"␟"&amp;IFERROR(INDEX(PASTE_ALL,$DF976,37)&amp;"","")&amp;"␟"&amp;IFERROR(INDEX(PASTE_ALL,$DF976,38)&amp;"","")&amp;"␟"&amp;IFERROR(INDEX(PASTE_ALL,$DF976,39)&amp;"","")&amp;"␟"&amp;IFERROR(INDEX(PASTE_ALL,$DF976,40)&amp;"","")&amp;"␟"&amp;IFERROR(INDEX(PASTE_ALL,$DF976,41)&amp;"","")&amp;"␟"&amp;IFERROR(INDEX(PASTE_ALL,$DF976,42)&amp;"","")&amp;"␟"&amp;IFERROR(INDEX(PASTE_ALL,$DF976,43)&amp;"","")&amp;"␟"&amp;IFERROR(INDEX(PASTE_ALL,$DF976,44)&amp;"","")&amp;"␟"&amp;IFERROR(INDEX(PASTE_ALL,$DF976,45)&amp;"","")&amp;"␟"&amp;IFERROR(INDEX(PASTE_ALL,$DF976,46)&amp;"","")&amp;"␟"&amp;IFERROR(INDEX(PASTE_ALL,$DF976,47)&amp;"","")&amp;"␟"&amp;IFERROR(INDEX(PASTE_ALL,$DF976,48)&amp;"","")&amp;"␟"&amp;IFERROR(INDEX(PASTE_ALL,$DF976,49)&amp;"","")&amp;"␟"&amp;IFERROR(INDEX(PASTE_ALL,$DF976,50)&amp;"","")&amp;"␟"&amp;IFERROR(INDEX(PASTE_ALL,$DF976,51)&amp;"","")&amp;"␟"&amp;IFERROR(INDEX(PASTE_ALL,$DF976,52)&amp;"","")&amp;"␟"&amp;IFERROR(INDEX(PASTE_ALL,$DF976,53)&amp;"","")&amp;"␟"&amp;IFERROR(INDEX(PASTE_ALL,$DF976,54)&amp;"","")&amp;"␟"&amp;IFERROR(INDEX(PASTE_ALL,$DF976,55)&amp;"","")&amp;"␟"&amp;IFERROR(INDEX(PASTE_ALL,$DF976,56)&amp;"","")&amp;"␟"&amp;IFERROR(INDEX(PASTE_ALL,$DF976,57)&amp;"","")&amp;"␟"&amp;IFERROR(INDEX(PASTE_ALL,$DF976,58)&amp;"","")&amp;"␟"&amp;IFERROR(INDEX(PASTE_ALL,$DF976,59)&amp;"","")&amp;"␟"&amp;IFERROR(INDEX(PASTE_ALL,$DF976,60)&amp;"","")," "," "),CHAR(9)," "),CHAR(10)," "),CHAR(13)," "))," ␟","␟"),"␟ ","␟"),"#"&amp;$DE976),"")</f>
        <v/>
      </c>
      <c r="DJ976">
        <f>IF($DI976="",0,IF(SUMPRODUCT(--EXACT($DI$4:DI975,$DI976))&gt;0,1,0))</f>
        <v/>
      </c>
      <c r="DK976">
        <f>IF(AND($DI976&lt;&gt;"",$DJ976=0),1,0)</f>
        <v/>
      </c>
      <c r="DL976">
        <f>DL975+$DK976</f>
        <v/>
      </c>
      <c r="DM976">
        <f>IF(AND($DK976=1,$DL976&lt;=600),1,0)</f>
        <v/>
      </c>
      <c r="DN976">
        <f>IF($DM976=0,"",IF($L$6=0,"",IFERROR(IF(ISNUMBER(INDEX(PASTE_ALL,$DF976,$L$6)),INDEX(PASTE_ALL,$DF976,$L$6),TRIM(SUBSTITUTE(SUBSTITUTE(SUBSTITUTE(SUBSTITUTE(INDEX(PASTE_ALL,$DF976,$L$6)," "," "),CHAR(9)," "),CHAR(10)," "),CHAR(13)," "))),"")))</f>
        <v/>
      </c>
      <c r="DO976">
        <f>IF($DM976=0,"",IF($L$7=0,"",IFERROR(IF(ISNUMBER(INDEX(PASTE_ALL,$DF976,$L$7)),INDEX(PASTE_ALL,$DF976,$L$7),TRIM(SUBSTITUTE(SUBSTITUTE(SUBSTITUTE(SUBSTITUTE(INDEX(PASTE_ALL,$DF976,$L$7)," "," "),CHAR(9)," "),CHAR(10)," "),CHAR(13)," "))),"")))</f>
        <v/>
      </c>
      <c r="DP976">
        <f>IF($DM976=0,"",IF($L$8=0,"",IFERROR(IF(ISNUMBER(INDEX(PASTE_ALL,$DF976,$L$8)),INDEX(PASTE_ALL,$DF976,$L$8),TRIM(SUBSTITUTE(SUBSTITUTE(SUBSTITUTE(SUBSTITUTE(INDEX(PASTE_ALL,$DF976,$L$8)," "," "),CHAR(9)," "),CHAR(10)," "),CHAR(13)," "))),"")))</f>
        <v/>
      </c>
      <c r="DQ976">
        <f>IF($DM976=0,"",IF($L$9=0,"",IFERROR(IF(ISNUMBER(INDEX(PASTE_ALL,$DF976,$L$9)),INDEX(PASTE_ALL,$DF976,$L$9),TRIM(SUBSTITUTE(SUBSTITUTE(SUBSTITUTE(SUBSTITUTE(INDEX(PASTE_ALL,$DF976,$L$9)," "," "),CHAR(9)," "),CHAR(10)," "),CHAR(13)," "))),"")))</f>
        <v/>
      </c>
      <c r="DR976">
        <f>IF($DM976=0,"",IF($L$10=0,"",IFERROR(IF(ISNUMBER(INDEX(PASTE_ALL,$DF976,$L$10)),INDEX(PASTE_ALL,$DF976,$L$10),TRIM(SUBSTITUTE(SUBSTITUTE(SUBSTITUTE(SUBSTITUTE(INDEX(PASTE_ALL,$DF976,$L$10)," "," "),CHAR(9)," "),CHAR(10)," "),CHAR(13)," "))),"")))</f>
        <v/>
      </c>
      <c r="DS976">
        <f>IF($DM976=0,"",IF($L$11=0,"",IFERROR(IF(ISNUMBER(INDEX(PASTE_ALL,$DF976,$L$11)),INDEX(PASTE_ALL,$DF976,$L$11),TRIM(SUBSTITUTE(SUBSTITUTE(SUBSTITUTE(SUBSTITUTE(INDEX(PASTE_ALL,$DF976,$L$11)," "," "),CHAR(9)," "),CHAR(10)," "),CHAR(13)," "))),"")))</f>
        <v/>
      </c>
      <c r="DT976">
        <f>IF($DM976=0,"",IF($L$12=0,"",IFERROR(IF(ISNUMBER(INDEX(PASTE_ALL,$DF976,$L$12)),INDEX(PASTE_ALL,$DF976,$L$12),TRIM(SUBSTITUTE(SUBSTITUTE(SUBSTITUTE(SUBSTITUTE(INDEX(PASTE_ALL,$DF976,$L$12)," "," "),CHAR(9)," "),CHAR(10)," "),CHAR(13)," "))),"")))</f>
        <v/>
      </c>
      <c r="DU976">
        <f>IF($DM976=0,"",IF($L$13=0,"",IFERROR(IF(ISNUMBER(INDEX(PASTE_ALL,$DF976,$L$13)),INDEX(PASTE_ALL,$DF976,$L$13),TRIM(SUBSTITUTE(SUBSTITUTE(SUBSTITUTE(SUBSTITUTE(INDEX(PASTE_ALL,$DF976,$L$13)," "," "),CHAR(9)," "),CHAR(10)," "),CHAR(13)," "))),"")))</f>
        <v/>
      </c>
      <c r="DV976">
        <f>IF($DM976=0,"",IF($L$14=0,"",IFERROR(IF(ISNUMBER(INDEX(PASTE_ALL,$DF976,$L$14)),INDEX(PASTE_ALL,$DF976,$L$14),TRIM(SUBSTITUTE(SUBSTITUTE(SUBSTITUTE(SUBSTITUTE(INDEX(PASTE_ALL,$DF976,$L$14)," "," "),CHAR(9)," "),CHAR(10)," "),CHAR(13)," "))),"")))</f>
        <v/>
      </c>
      <c r="DW976">
        <f>IF($DM976=0,"",IF($L$15=0,"",IFERROR(IF(ISNUMBER(INDEX(PASTE_ALL,$DF976,$L$15)),INDEX(PASTE_ALL,$DF976,$L$15),IF(SUMPRODUCT(--ISNUMBER(FIND({"A","B","C","D","E","F","G","H","I","J","K","L","M","N","O","P","Q","R","S","T","U","V","W","X","Y","Z","0","1","2","3","4","5","6","7","8","9"},UPPER(TRIM(SUBSTITUTE(SUBSTITUTE(SUBSTITUTE(SUBSTITUTE(INDEX(PASTE_ALL,$DF976,$L$15)," "," "),CHAR(9)," "),CHAR(10)," "),CHAR(13)," "))))))&gt;0,TRIM(SUBSTITUTE(SUBSTITUTE(SUBSTITUTE(SUBSTITUTE(INDEX(PASTE_ALL,$DF976,$L$15)," "," "),CHAR(9)," "),CHAR(10)," "),CHAR(13)," ")),"")),"")))</f>
        <v/>
      </c>
      <c r="DX976">
        <f>IF($DM976=0,"",IF($L$16=0,"",IFERROR(IF(ISNUMBER(INDEX(PASTE_ALL,$DF976,$L$16)),INDEX(PASTE_ALL,$DF976,$L$16),SUBSTITUTE(SUBSTITUTE(TRIM(SUBSTITUTE(SUBSTITUTE(SUBSTITUTE(SUBSTITUTE(INDEX(PASTE_ALL,$DF976,$L$16)," "," "),CHAR(9)," "),CHAR(10)," "),CHAR(13)," ")),",",""),"%","")),"")))</f>
        <v/>
      </c>
      <c r="DY976">
        <f>IF($DM976=0,"",IFERROR(IF(ISNUMBER($DX976),$DX976,IF($DX976="","",IF(TRIM($DX976)="",0,IF(AND(AND(SUBSTITUTE(SUBSTITUTE(SUBSTITUTE(SUBSTITUTE(SUBSTITUTE(SUBSTITUTE(SUBSTITUTE(SUBSTITUTE(SUBSTITUTE(SUBSTITUTE(SUBSTITUTE(SUBSTITUTE(SUBSTITUTE(SUBSTITUTE(UPPER(TRIM($DX976)),"0",""),"1",""),"2",""),"3",""),"4",""),"5",""),"6",""),"7",""),"8",""),"9",""),".",""),"+",""),"-",""),"E","")="",LEN(SUBSTITUTE(SUBSTITUTE(MID(UPPER(TRIM($DX976)),1+OR(LEFT(UPPER(TRIM($DX976)),1)="+",LEFT(UPPER(TRIM($DX976)),1)="-"),999),"E+","E"),"E-","E"))=LEN(SUBSTITUTE(SUBSTITUTE(SUBSTITUTE(SUBSTITUTE(MID(UPPER(TRIM($DX976)),1+OR(LEFT(UPPER(TRIM($DX976)),1)="+",LEFT(UPPER(TRIM($DX976)),1)="-"),999),"E+","E"),"E-","E"),"+",""),"-","")),LEN(UPPER(TRIM($DX976)))-LEN(SUBSTITUTE(UPPER(TRIM($DX976)),"E",""))&lt;2,LEN(UPPER(TRIM($DX976)))-LEN(SUBSTITUTE(UPPER(TRIM($DX976)),".",""))&lt;2,IFERROR(FIND(".",UPPER(TRIM($DX976))),0)&lt;IFERROR(FIND("E",UPPER(TRIM($DX976))),999)),ISNUMBER(VALUE(TRIM($DX976)))),VALUE(TRIM($DX976)),"")))),""))</f>
        <v/>
      </c>
      <c r="DZ976">
        <f>IF($DM976=0,"",IF($L$17=0,"",IFERROR(IF(ISNUMBER(INDEX(PASTE_ALL,$DF976,$L$17)),INDEX(PASTE_ALL,$DF976,$L$17),SUBSTITUTE(SUBSTITUTE(TRIM(SUBSTITUTE(SUBSTITUTE(SUBSTITUTE(SUBSTITUTE(INDEX(PASTE_ALL,$DF976,$L$17)," "," "),CHAR(9)," "),CHAR(10)," "),CHAR(13)," ")),",",""),"%","")),"")))</f>
        <v/>
      </c>
      <c r="EA976">
        <f>IF($DM976=0,"",IFERROR(IF(ISNUMBER($DZ976),$DZ976,IF($DZ976="","",IF(TRIM($DZ976)="",0,IF(AND(AND(SUBSTITUTE(SUBSTITUTE(SUBSTITUTE(SUBSTITUTE(SUBSTITUTE(SUBSTITUTE(SUBSTITUTE(SUBSTITUTE(SUBSTITUTE(SUBSTITUTE(SUBSTITUTE(SUBSTITUTE(SUBSTITUTE(SUBSTITUTE(UPPER(TRIM($DZ976)),"0",""),"1",""),"2",""),"3",""),"4",""),"5",""),"6",""),"7",""),"8",""),"9",""),".",""),"+",""),"-",""),"E","")="",LEN(SUBSTITUTE(SUBSTITUTE(MID(UPPER(TRIM($DZ976)),1+OR(LEFT(UPPER(TRIM($DZ976)),1)="+",LEFT(UPPER(TRIM($DZ976)),1)="-"),999),"E+","E"),"E-","E"))=LEN(SUBSTITUTE(SUBSTITUTE(SUBSTITUTE(SUBSTITUTE(MID(UPPER(TRIM($DZ976)),1+OR(LEFT(UPPER(TRIM($DZ976)),1)="+",LEFT(UPPER(TRIM($DZ976)),1)="-"),999),"E+","E"),"E-","E"),"+",""),"-","")),LEN(UPPER(TRIM($DZ976)))-LEN(SUBSTITUTE(UPPER(TRIM($DZ976)),"E",""))&lt;2,LEN(UPPER(TRIM($DZ976)))-LEN(SUBSTITUTE(UPPER(TRIM($DZ976)),".",""))&lt;2,IFERROR(FIND(".",UPPER(TRIM($DZ976))),0)&lt;IFERROR(FIND("E",UPPER(TRIM($DZ976))),999)),ISNUMBER(VALUE(TRIM($DZ976)))),VALUE(TRIM($DZ976)),"")))),""))</f>
        <v/>
      </c>
      <c r="EB976">
        <f>IF($DM976=0,"",IF($L$18=0,"",IFERROR(IF(UPPER(TRIM(SUBSTITUTE(SUBSTITUTE(SUBSTITUTE(SUBSTITUTE(INDEX(PASTE_ALL,$DF976,$L$18)," "," "),CHAR(9)," "),CHAR(10)," "),CHAR(13)," ")))="READY","Ready",IF(UPPER(TRIM(SUBSTITUTE(SUBSTITUTE(SUBSTITUTE(SUBSTITUTE(INDEX(PASTE_ALL,$DF976,$L$18)," "," "),CHAR(9)," "),CHAR(10)," "),CHAR(13)," ")))="PM","PM",IF(OR(UPPER(TRIM(SUBSTITUTE(SUBSTITUTE(SUBSTITUTE(SUBSTITUTE(INDEX(PASTE_ALL,$DF976,$L$18)," "," "),CHAR(9)," "),CHAR(10)," "),CHAR(13)," ")))="OT",UPPER(TRIM(SUBSTITUTE(SUBSTITUTE(SUBSTITUTE(SUBSTITUTE(INDEX(PASTE_ALL,$DF976,$L$18)," "," "),CHAR(9)," "),CHAR(10)," "),CHAR(13)," ")))="OVERTIME",UPPER(TRIM(SUBSTITUTE(SUBSTITUTE(SUBSTITUTE(SUBSTITUTE(INDEX(PASTE_ALL,$DF976,$L$18)," "," "),CHAR(9)," "),CHAR(10)," "),CHAR(13)," ")))="TRIAL"),"OT",TRIM(SUBSTITUTE(SUBSTITUTE(SUBSTITUTE(SUBSTITUTE(INDEX(PASTE_ALL,$DF976,$L$18)," "," "),CHAR(9)," "),CHAR(10)," "),CHAR(13)," "))))),"")))</f>
        <v/>
      </c>
      <c r="EC976">
        <f>IF($DM976=0,"",IF($L$19=0,"",IFERROR(IF(ISNUMBER(INDEX(PASTE_ALL,$DF976,$L$19)),INDEX(PASTE_ALL,$DF976,$L$19),TRIM(SUBSTITUTE(SUBSTITUTE(SUBSTITUTE(SUBSTITUTE(INDEX(PASTE_ALL,$DF976,$L$19)," "," "),CHAR(9)," "),CHAR(10)," "),CHAR(13)," "))),"")))</f>
        <v/>
      </c>
      <c r="ED976">
        <f>IF($DM976=0,"",MATCH(1,INDEX(EXACT($DH$5:DH976,$DH976)*$DM$5:DM976,0),0))</f>
        <v/>
      </c>
      <c r="EE976">
        <f>IF($DM976=0,0,IF($ED976=$DE976,1,0))</f>
        <v/>
      </c>
      <c r="EF976">
        <f>EF975+$EE976</f>
        <v/>
      </c>
      <c r="EG976">
        <f>IF($DM976=0,"",INDEX($EF$5:$EF$1003,$ED976))</f>
        <v/>
      </c>
      <c r="EH976">
        <f>IF($DM976=0,"",IF($DO976&lt;&gt;"","",IFERROR(LOOKUP(2,1/(($EG$4:EG975=$EG976)*($DO$4:DO975&lt;&gt;"")),$DO$4:DO975),"")))</f>
        <v/>
      </c>
      <c r="EI976">
        <f>IF($DM976=0,"",IF($DO976&lt;&gt;"",$DO976,$EH976))</f>
        <v/>
      </c>
      <c r="EJ976">
        <f>IF($DM976=0,"",IF($EI976="",0,IF(OR(ISNUMBER($EI976),AND(AND(SUBSTITUTE(SUBSTITUTE(SUBSTITUTE(SUBSTITUTE(SUBSTITUTE(SUBSTITUTE(SUBSTITUTE(SUBSTITUTE(SUBSTITUTE(SUBSTITUTE(SUBSTITUTE(SUBSTITUTE(SUBSTITUTE(SUBSTITUTE(UPPER($EI976),"0",""),"1",""),"2",""),"3",""),"4",""),"5",""),"6",""),"7",""),"8",""),"9",""),".",""),"+",""),"-",""),"E","")="",LEN(SUBSTITUTE(SUBSTITUTE(MID(UPPER($EI976),1+OR(LEFT(UPPER($EI976),1)="+",LEFT(UPPER($EI976),1)="-"),999),"E+","E"),"E-","E"))=LEN(SUBSTITUTE(SUBSTITUTE(SUBSTITUTE(SUBSTITUTE(MID(UPPER($EI976),1+OR(LEFT(UPPER($EI976),1)="+",LEFT(UPPER($EI976),1)="-"),999),"E+","E"),"E-","E"),"+",""),"-","")),LEN(UPPER($EI976))-LEN(SUBSTITUTE(UPPER($EI976),"E",""))&lt;2,LEN(UPPER($EI976))-LEN(SUBSTITUTE(UPPER($EI976),".",""))&lt;2,IFERROR(FIND(".",UPPER($EI976)),0)&lt;IFERROR(FIND("E",UPPER($EI976)),999)),ISNUMBER(VALUE($EI976)))),1,2)))</f>
        <v/>
      </c>
      <c r="EK976">
        <f>IF($DM976=0,"",IF($EJ976=1,IF(ISNUMBER($EI976),$EI976,VALUE($EI976)),IF($EJ976=2,$DE976,0)))</f>
        <v/>
      </c>
      <c r="EL976">
        <f>IF($DM976=0,"",COUNTIF($EG$5:$EG$1003,"&lt;"&amp;$EG976)+SUMPRODUCT(($EG$5:$EG$1003=$EG976)*(($EJ$5:$EJ$1003&lt;$EJ976)+($EJ$5:$EJ$1003=$EJ976)*(($EK$5:$EK$1003&lt;$EK976)+($EK$5:$EK$1003=$EK976)*($DE$5:$DE$1003&lt;$DE976))))+1)</f>
        <v/>
      </c>
      <c r="EM976">
        <f>IF($DM976=0,"",$EL976+$EG976-1)</f>
        <v/>
      </c>
      <c r="EN976">
        <f>IF($DM976=0,0,IFERROR(MATCH(1,INDEX(--(TRIM(SUBSTITUTE(SUBSTITUTE(SUBSTITUTE(SUBSTITUTE(LINES_NAME&amp;""," "," "),CHAR(9)," "),CHAR(10)," "),CHAR(13)," "))=$DH976),0),0),0))</f>
        <v/>
      </c>
      <c r="EO976">
        <f>IF($EN976=0,0,IF(OR(UPPER(TRIM(INDEX(LINES_SCHEDULED,$EN976)&amp;""))="YES",UPPER(TRIM(INDEX(LINES_SCHEDULED,$EN976)&amp;""))="Y",UPPER(TRIM(INDEX(LINES_SCHEDULED,$EN976)&amp;""))="X"),1,0))</f>
        <v/>
      </c>
      <c r="EP976">
        <f>IF($DM976=0,"",IF(COUNTIFS($EG$5:$EG$1003,$EG976,$EB$5:$EB$1003,"Ready")&gt;0,"READY",IF(COUNTIFS($EG$5:$EG$1003,$EG976,$EB$5:$EB$1003,"PM")&gt;0,"PM",IF(COUNTIFS($EG$5:$EG$1003,$EG976,$EB$5:$EB$1003,"OT")&gt;0,"OT",""))))</f>
        <v/>
      </c>
      <c r="EQ976">
        <f>IF($EN976=0,"",UPPER(TRIM(INDEX(LINES_STATUS,$EN976)&amp;"")))</f>
        <v/>
      </c>
      <c r="ER976">
        <f>IF($DM976=0,"",IF(OR($EQ976="READY",$EQ976="PM",$EQ976="OT"),$EQ976,$EP976))</f>
        <v/>
      </c>
      <c r="ES976">
        <f>IF($DM976=0,"",IF(AND($DV976&lt;&gt;"",UPPER($DV976)&lt;&gt;"N"),"allergen",IF(ISNUMBER(SEARCH("oil",$DQ976)),"oil",IF(OR(EXACT($DS976,"A662"),EXACT($DS976,"A624")),"bulk",""))))</f>
        <v/>
      </c>
      <c r="ET976">
        <f>IF($DM976=0,"",IF(OR($EA976="",$EA976=0),"",$EA976/100))</f>
        <v/>
      </c>
      <c r="EU976">
        <f>IF(OR($ET976="",$DY976=""),"",INT($DY976*(1-$ET976)+0.5))</f>
        <v/>
      </c>
    </row>
    <row r="977">
      <c r="DA977" t="n">
        <v>973</v>
      </c>
      <c r="DB977">
        <f>IF($B$37=0,"",IFERROR(TRIM(SUBSTITUTE(SUBSTITUTE(SUBSTITUTE(SUBSTITUTE(INDEX(PASTE_ALL,973,$B$37)," "," "),CHAR(9)," "),CHAR(10)," "),CHAR(13)," ")),""))</f>
        <v/>
      </c>
      <c r="DC977">
        <f>IF(AND(973&gt;HEADER_ROW,UPPER(DB977)="LEGEND"),1,0)</f>
        <v/>
      </c>
      <c r="DE977" t="n">
        <v>973</v>
      </c>
      <c r="DF977">
        <f>HEADER_ROW+$DE977</f>
        <v/>
      </c>
      <c r="DG977">
        <f>IF(AND($DF977&lt;=1000,$DF977&lt;$B$8),1,0)</f>
        <v/>
      </c>
      <c r="DH977">
        <f>IF($DG977=1,IFERROR(INDEX($DB$5:$DB$1004,$DF977),""),"")</f>
        <v/>
      </c>
      <c r="DI977">
        <f>IF(AND($DG977=1,$DH977&lt;&gt;""),IFERROR(SUBSTITUTE(SUBSTITUTE(TRIM(SUBSTITUTE(SUBSTITUTE(SUBSTITUTE(SUBSTITUTE(IFERROR(INDEX(PASTE_ALL,$DF977,1)&amp;"","")&amp;"␟"&amp;IFERROR(INDEX(PASTE_ALL,$DF977,2)&amp;"","")&amp;"␟"&amp;IFERROR(INDEX(PASTE_ALL,$DF977,3)&amp;"","")&amp;"␟"&amp;IFERROR(INDEX(PASTE_ALL,$DF977,4)&amp;"","")&amp;"␟"&amp;IFERROR(INDEX(PASTE_ALL,$DF977,5)&amp;"","")&amp;"␟"&amp;IFERROR(INDEX(PASTE_ALL,$DF977,6)&amp;"","")&amp;"␟"&amp;IFERROR(INDEX(PASTE_ALL,$DF977,7)&amp;"","")&amp;"␟"&amp;IFERROR(INDEX(PASTE_ALL,$DF977,8)&amp;"","")&amp;"␟"&amp;IFERROR(INDEX(PASTE_ALL,$DF977,9)&amp;"","")&amp;"␟"&amp;IFERROR(INDEX(PASTE_ALL,$DF977,10)&amp;"","")&amp;"␟"&amp;IFERROR(INDEX(PASTE_ALL,$DF977,11)&amp;"","")&amp;"␟"&amp;IFERROR(INDEX(PASTE_ALL,$DF977,12)&amp;"","")&amp;"␟"&amp;IFERROR(INDEX(PASTE_ALL,$DF977,13)&amp;"","")&amp;"␟"&amp;IFERROR(INDEX(PASTE_ALL,$DF977,14)&amp;"","")&amp;"␟"&amp;IFERROR(INDEX(PASTE_ALL,$DF977,15)&amp;"","")&amp;"␟"&amp;IFERROR(INDEX(PASTE_ALL,$DF977,16)&amp;"","")&amp;"␟"&amp;IFERROR(INDEX(PASTE_ALL,$DF977,17)&amp;"","")&amp;"␟"&amp;IFERROR(INDEX(PASTE_ALL,$DF977,18)&amp;"","")&amp;"␟"&amp;IFERROR(INDEX(PASTE_ALL,$DF977,19)&amp;"","")&amp;"␟"&amp;IFERROR(INDEX(PASTE_ALL,$DF977,20)&amp;"","")&amp;"␟"&amp;IFERROR(INDEX(PASTE_ALL,$DF977,21)&amp;"","")&amp;"␟"&amp;IFERROR(INDEX(PASTE_ALL,$DF977,22)&amp;"","")&amp;"␟"&amp;IFERROR(INDEX(PASTE_ALL,$DF977,23)&amp;"","")&amp;"␟"&amp;IFERROR(INDEX(PASTE_ALL,$DF977,24)&amp;"","")&amp;"␟"&amp;IFERROR(INDEX(PASTE_ALL,$DF977,25)&amp;"","")&amp;"␟"&amp;IFERROR(INDEX(PASTE_ALL,$DF977,26)&amp;"","")&amp;"␟"&amp;IFERROR(INDEX(PASTE_ALL,$DF977,27)&amp;"","")&amp;"␟"&amp;IFERROR(INDEX(PASTE_ALL,$DF977,28)&amp;"","")&amp;"␟"&amp;IFERROR(INDEX(PASTE_ALL,$DF977,29)&amp;"","")&amp;"␟"&amp;IFERROR(INDEX(PASTE_ALL,$DF977,30)&amp;"","")&amp;"␟"&amp;IFERROR(INDEX(PASTE_ALL,$DF977,31)&amp;"","")&amp;"␟"&amp;IFERROR(INDEX(PASTE_ALL,$DF977,32)&amp;"","")&amp;"␟"&amp;IFERROR(INDEX(PASTE_ALL,$DF977,33)&amp;"","")&amp;"␟"&amp;IFERROR(INDEX(PASTE_ALL,$DF977,34)&amp;"","")&amp;"␟"&amp;IFERROR(INDEX(PASTE_ALL,$DF977,35)&amp;"","")&amp;"␟"&amp;IFERROR(INDEX(PASTE_ALL,$DF977,36)&amp;"","")&amp;"␟"&amp;IFERROR(INDEX(PASTE_ALL,$DF977,37)&amp;"","")&amp;"␟"&amp;IFERROR(INDEX(PASTE_ALL,$DF977,38)&amp;"","")&amp;"␟"&amp;IFERROR(INDEX(PASTE_ALL,$DF977,39)&amp;"","")&amp;"␟"&amp;IFERROR(INDEX(PASTE_ALL,$DF977,40)&amp;"","")&amp;"␟"&amp;IFERROR(INDEX(PASTE_ALL,$DF977,41)&amp;"","")&amp;"␟"&amp;IFERROR(INDEX(PASTE_ALL,$DF977,42)&amp;"","")&amp;"␟"&amp;IFERROR(INDEX(PASTE_ALL,$DF977,43)&amp;"","")&amp;"␟"&amp;IFERROR(INDEX(PASTE_ALL,$DF977,44)&amp;"","")&amp;"␟"&amp;IFERROR(INDEX(PASTE_ALL,$DF977,45)&amp;"","")&amp;"␟"&amp;IFERROR(INDEX(PASTE_ALL,$DF977,46)&amp;"","")&amp;"␟"&amp;IFERROR(INDEX(PASTE_ALL,$DF977,47)&amp;"","")&amp;"␟"&amp;IFERROR(INDEX(PASTE_ALL,$DF977,48)&amp;"","")&amp;"␟"&amp;IFERROR(INDEX(PASTE_ALL,$DF977,49)&amp;"","")&amp;"␟"&amp;IFERROR(INDEX(PASTE_ALL,$DF977,50)&amp;"","")&amp;"␟"&amp;IFERROR(INDEX(PASTE_ALL,$DF977,51)&amp;"","")&amp;"␟"&amp;IFERROR(INDEX(PASTE_ALL,$DF977,52)&amp;"","")&amp;"␟"&amp;IFERROR(INDEX(PASTE_ALL,$DF977,53)&amp;"","")&amp;"␟"&amp;IFERROR(INDEX(PASTE_ALL,$DF977,54)&amp;"","")&amp;"␟"&amp;IFERROR(INDEX(PASTE_ALL,$DF977,55)&amp;"","")&amp;"␟"&amp;IFERROR(INDEX(PASTE_ALL,$DF977,56)&amp;"","")&amp;"␟"&amp;IFERROR(INDEX(PASTE_ALL,$DF977,57)&amp;"","")&amp;"␟"&amp;IFERROR(INDEX(PASTE_ALL,$DF977,58)&amp;"","")&amp;"␟"&amp;IFERROR(INDEX(PASTE_ALL,$DF977,59)&amp;"","")&amp;"␟"&amp;IFERROR(INDEX(PASTE_ALL,$DF977,60)&amp;"","")," "," "),CHAR(9)," "),CHAR(10)," "),CHAR(13)," "))," ␟","␟"),"␟ ","␟"),"#"&amp;$DE977),"")</f>
        <v/>
      </c>
      <c r="DJ977">
        <f>IF($DI977="",0,IF(SUMPRODUCT(--EXACT($DI$4:DI976,$DI977))&gt;0,1,0))</f>
        <v/>
      </c>
      <c r="DK977">
        <f>IF(AND($DI977&lt;&gt;"",$DJ977=0),1,0)</f>
        <v/>
      </c>
      <c r="DL977">
        <f>DL976+$DK977</f>
        <v/>
      </c>
      <c r="DM977">
        <f>IF(AND($DK977=1,$DL977&lt;=600),1,0)</f>
        <v/>
      </c>
      <c r="DN977">
        <f>IF($DM977=0,"",IF($L$6=0,"",IFERROR(IF(ISNUMBER(INDEX(PASTE_ALL,$DF977,$L$6)),INDEX(PASTE_ALL,$DF977,$L$6),TRIM(SUBSTITUTE(SUBSTITUTE(SUBSTITUTE(SUBSTITUTE(INDEX(PASTE_ALL,$DF977,$L$6)," "," "),CHAR(9)," "),CHAR(10)," "),CHAR(13)," "))),"")))</f>
        <v/>
      </c>
      <c r="DO977">
        <f>IF($DM977=0,"",IF($L$7=0,"",IFERROR(IF(ISNUMBER(INDEX(PASTE_ALL,$DF977,$L$7)),INDEX(PASTE_ALL,$DF977,$L$7),TRIM(SUBSTITUTE(SUBSTITUTE(SUBSTITUTE(SUBSTITUTE(INDEX(PASTE_ALL,$DF977,$L$7)," "," "),CHAR(9)," "),CHAR(10)," "),CHAR(13)," "))),"")))</f>
        <v/>
      </c>
      <c r="DP977">
        <f>IF($DM977=0,"",IF($L$8=0,"",IFERROR(IF(ISNUMBER(INDEX(PASTE_ALL,$DF977,$L$8)),INDEX(PASTE_ALL,$DF977,$L$8),TRIM(SUBSTITUTE(SUBSTITUTE(SUBSTITUTE(SUBSTITUTE(INDEX(PASTE_ALL,$DF977,$L$8)," "," "),CHAR(9)," "),CHAR(10)," "),CHAR(13)," "))),"")))</f>
        <v/>
      </c>
      <c r="DQ977">
        <f>IF($DM977=0,"",IF($L$9=0,"",IFERROR(IF(ISNUMBER(INDEX(PASTE_ALL,$DF977,$L$9)),INDEX(PASTE_ALL,$DF977,$L$9),TRIM(SUBSTITUTE(SUBSTITUTE(SUBSTITUTE(SUBSTITUTE(INDEX(PASTE_ALL,$DF977,$L$9)," "," "),CHAR(9)," "),CHAR(10)," "),CHAR(13)," "))),"")))</f>
        <v/>
      </c>
      <c r="DR977">
        <f>IF($DM977=0,"",IF($L$10=0,"",IFERROR(IF(ISNUMBER(INDEX(PASTE_ALL,$DF977,$L$10)),INDEX(PASTE_ALL,$DF977,$L$10),TRIM(SUBSTITUTE(SUBSTITUTE(SUBSTITUTE(SUBSTITUTE(INDEX(PASTE_ALL,$DF977,$L$10)," "," "),CHAR(9)," "),CHAR(10)," "),CHAR(13)," "))),"")))</f>
        <v/>
      </c>
      <c r="DS977">
        <f>IF($DM977=0,"",IF($L$11=0,"",IFERROR(IF(ISNUMBER(INDEX(PASTE_ALL,$DF977,$L$11)),INDEX(PASTE_ALL,$DF977,$L$11),TRIM(SUBSTITUTE(SUBSTITUTE(SUBSTITUTE(SUBSTITUTE(INDEX(PASTE_ALL,$DF977,$L$11)," "," "),CHAR(9)," "),CHAR(10)," "),CHAR(13)," "))),"")))</f>
        <v/>
      </c>
      <c r="DT977">
        <f>IF($DM977=0,"",IF($L$12=0,"",IFERROR(IF(ISNUMBER(INDEX(PASTE_ALL,$DF977,$L$12)),INDEX(PASTE_ALL,$DF977,$L$12),TRIM(SUBSTITUTE(SUBSTITUTE(SUBSTITUTE(SUBSTITUTE(INDEX(PASTE_ALL,$DF977,$L$12)," "," "),CHAR(9)," "),CHAR(10)," "),CHAR(13)," "))),"")))</f>
        <v/>
      </c>
      <c r="DU977">
        <f>IF($DM977=0,"",IF($L$13=0,"",IFERROR(IF(ISNUMBER(INDEX(PASTE_ALL,$DF977,$L$13)),INDEX(PASTE_ALL,$DF977,$L$13),TRIM(SUBSTITUTE(SUBSTITUTE(SUBSTITUTE(SUBSTITUTE(INDEX(PASTE_ALL,$DF977,$L$13)," "," "),CHAR(9)," "),CHAR(10)," "),CHAR(13)," "))),"")))</f>
        <v/>
      </c>
      <c r="DV977">
        <f>IF($DM977=0,"",IF($L$14=0,"",IFERROR(IF(ISNUMBER(INDEX(PASTE_ALL,$DF977,$L$14)),INDEX(PASTE_ALL,$DF977,$L$14),TRIM(SUBSTITUTE(SUBSTITUTE(SUBSTITUTE(SUBSTITUTE(INDEX(PASTE_ALL,$DF977,$L$14)," "," "),CHAR(9)," "),CHAR(10)," "),CHAR(13)," "))),"")))</f>
        <v/>
      </c>
      <c r="DW977">
        <f>IF($DM977=0,"",IF($L$15=0,"",IFERROR(IF(ISNUMBER(INDEX(PASTE_ALL,$DF977,$L$15)),INDEX(PASTE_ALL,$DF977,$L$15),IF(SUMPRODUCT(--ISNUMBER(FIND({"A","B","C","D","E","F","G","H","I","J","K","L","M","N","O","P","Q","R","S","T","U","V","W","X","Y","Z","0","1","2","3","4","5","6","7","8","9"},UPPER(TRIM(SUBSTITUTE(SUBSTITUTE(SUBSTITUTE(SUBSTITUTE(INDEX(PASTE_ALL,$DF977,$L$15)," "," "),CHAR(9)," "),CHAR(10)," "),CHAR(13)," "))))))&gt;0,TRIM(SUBSTITUTE(SUBSTITUTE(SUBSTITUTE(SUBSTITUTE(INDEX(PASTE_ALL,$DF977,$L$15)," "," "),CHAR(9)," "),CHAR(10)," "),CHAR(13)," ")),"")),"")))</f>
        <v/>
      </c>
      <c r="DX977">
        <f>IF($DM977=0,"",IF($L$16=0,"",IFERROR(IF(ISNUMBER(INDEX(PASTE_ALL,$DF977,$L$16)),INDEX(PASTE_ALL,$DF977,$L$16),SUBSTITUTE(SUBSTITUTE(TRIM(SUBSTITUTE(SUBSTITUTE(SUBSTITUTE(SUBSTITUTE(INDEX(PASTE_ALL,$DF977,$L$16)," "," "),CHAR(9)," "),CHAR(10)," "),CHAR(13)," ")),",",""),"%","")),"")))</f>
        <v/>
      </c>
      <c r="DY977">
        <f>IF($DM977=0,"",IFERROR(IF(ISNUMBER($DX977),$DX977,IF($DX977="","",IF(TRIM($DX977)="",0,IF(AND(AND(SUBSTITUTE(SUBSTITUTE(SUBSTITUTE(SUBSTITUTE(SUBSTITUTE(SUBSTITUTE(SUBSTITUTE(SUBSTITUTE(SUBSTITUTE(SUBSTITUTE(SUBSTITUTE(SUBSTITUTE(SUBSTITUTE(SUBSTITUTE(UPPER(TRIM($DX977)),"0",""),"1",""),"2",""),"3",""),"4",""),"5",""),"6",""),"7",""),"8",""),"9",""),".",""),"+",""),"-",""),"E","")="",LEN(SUBSTITUTE(SUBSTITUTE(MID(UPPER(TRIM($DX977)),1+OR(LEFT(UPPER(TRIM($DX977)),1)="+",LEFT(UPPER(TRIM($DX977)),1)="-"),999),"E+","E"),"E-","E"))=LEN(SUBSTITUTE(SUBSTITUTE(SUBSTITUTE(SUBSTITUTE(MID(UPPER(TRIM($DX977)),1+OR(LEFT(UPPER(TRIM($DX977)),1)="+",LEFT(UPPER(TRIM($DX977)),1)="-"),999),"E+","E"),"E-","E"),"+",""),"-","")),LEN(UPPER(TRIM($DX977)))-LEN(SUBSTITUTE(UPPER(TRIM($DX977)),"E",""))&lt;2,LEN(UPPER(TRIM($DX977)))-LEN(SUBSTITUTE(UPPER(TRIM($DX977)),".",""))&lt;2,IFERROR(FIND(".",UPPER(TRIM($DX977))),0)&lt;IFERROR(FIND("E",UPPER(TRIM($DX977))),999)),ISNUMBER(VALUE(TRIM($DX977)))),VALUE(TRIM($DX977)),"")))),""))</f>
        <v/>
      </c>
      <c r="DZ977">
        <f>IF($DM977=0,"",IF($L$17=0,"",IFERROR(IF(ISNUMBER(INDEX(PASTE_ALL,$DF977,$L$17)),INDEX(PASTE_ALL,$DF977,$L$17),SUBSTITUTE(SUBSTITUTE(TRIM(SUBSTITUTE(SUBSTITUTE(SUBSTITUTE(SUBSTITUTE(INDEX(PASTE_ALL,$DF977,$L$17)," "," "),CHAR(9)," "),CHAR(10)," "),CHAR(13)," ")),",",""),"%","")),"")))</f>
        <v/>
      </c>
      <c r="EA977">
        <f>IF($DM977=0,"",IFERROR(IF(ISNUMBER($DZ977),$DZ977,IF($DZ977="","",IF(TRIM($DZ977)="",0,IF(AND(AND(SUBSTITUTE(SUBSTITUTE(SUBSTITUTE(SUBSTITUTE(SUBSTITUTE(SUBSTITUTE(SUBSTITUTE(SUBSTITUTE(SUBSTITUTE(SUBSTITUTE(SUBSTITUTE(SUBSTITUTE(SUBSTITUTE(SUBSTITUTE(UPPER(TRIM($DZ977)),"0",""),"1",""),"2",""),"3",""),"4",""),"5",""),"6",""),"7",""),"8",""),"9",""),".",""),"+",""),"-",""),"E","")="",LEN(SUBSTITUTE(SUBSTITUTE(MID(UPPER(TRIM($DZ977)),1+OR(LEFT(UPPER(TRIM($DZ977)),1)="+",LEFT(UPPER(TRIM($DZ977)),1)="-"),999),"E+","E"),"E-","E"))=LEN(SUBSTITUTE(SUBSTITUTE(SUBSTITUTE(SUBSTITUTE(MID(UPPER(TRIM($DZ977)),1+OR(LEFT(UPPER(TRIM($DZ977)),1)="+",LEFT(UPPER(TRIM($DZ977)),1)="-"),999),"E+","E"),"E-","E"),"+",""),"-","")),LEN(UPPER(TRIM($DZ977)))-LEN(SUBSTITUTE(UPPER(TRIM($DZ977)),"E",""))&lt;2,LEN(UPPER(TRIM($DZ977)))-LEN(SUBSTITUTE(UPPER(TRIM($DZ977)),".",""))&lt;2,IFERROR(FIND(".",UPPER(TRIM($DZ977))),0)&lt;IFERROR(FIND("E",UPPER(TRIM($DZ977))),999)),ISNUMBER(VALUE(TRIM($DZ977)))),VALUE(TRIM($DZ977)),"")))),""))</f>
        <v/>
      </c>
      <c r="EB977">
        <f>IF($DM977=0,"",IF($L$18=0,"",IFERROR(IF(UPPER(TRIM(SUBSTITUTE(SUBSTITUTE(SUBSTITUTE(SUBSTITUTE(INDEX(PASTE_ALL,$DF977,$L$18)," "," "),CHAR(9)," "),CHAR(10)," "),CHAR(13)," ")))="READY","Ready",IF(UPPER(TRIM(SUBSTITUTE(SUBSTITUTE(SUBSTITUTE(SUBSTITUTE(INDEX(PASTE_ALL,$DF977,$L$18)," "," "),CHAR(9)," "),CHAR(10)," "),CHAR(13)," ")))="PM","PM",IF(OR(UPPER(TRIM(SUBSTITUTE(SUBSTITUTE(SUBSTITUTE(SUBSTITUTE(INDEX(PASTE_ALL,$DF977,$L$18)," "," "),CHAR(9)," "),CHAR(10)," "),CHAR(13)," ")))="OT",UPPER(TRIM(SUBSTITUTE(SUBSTITUTE(SUBSTITUTE(SUBSTITUTE(INDEX(PASTE_ALL,$DF977,$L$18)," "," "),CHAR(9)," "),CHAR(10)," "),CHAR(13)," ")))="OVERTIME",UPPER(TRIM(SUBSTITUTE(SUBSTITUTE(SUBSTITUTE(SUBSTITUTE(INDEX(PASTE_ALL,$DF977,$L$18)," "," "),CHAR(9)," "),CHAR(10)," "),CHAR(13)," ")))="TRIAL"),"OT",TRIM(SUBSTITUTE(SUBSTITUTE(SUBSTITUTE(SUBSTITUTE(INDEX(PASTE_ALL,$DF977,$L$18)," "," "),CHAR(9)," "),CHAR(10)," "),CHAR(13)," "))))),"")))</f>
        <v/>
      </c>
      <c r="EC977">
        <f>IF($DM977=0,"",IF($L$19=0,"",IFERROR(IF(ISNUMBER(INDEX(PASTE_ALL,$DF977,$L$19)),INDEX(PASTE_ALL,$DF977,$L$19),TRIM(SUBSTITUTE(SUBSTITUTE(SUBSTITUTE(SUBSTITUTE(INDEX(PASTE_ALL,$DF977,$L$19)," "," "),CHAR(9)," "),CHAR(10)," "),CHAR(13)," "))),"")))</f>
        <v/>
      </c>
      <c r="ED977">
        <f>IF($DM977=0,"",MATCH(1,INDEX(EXACT($DH$5:DH977,$DH977)*$DM$5:DM977,0),0))</f>
        <v/>
      </c>
      <c r="EE977">
        <f>IF($DM977=0,0,IF($ED977=$DE977,1,0))</f>
        <v/>
      </c>
      <c r="EF977">
        <f>EF976+$EE977</f>
        <v/>
      </c>
      <c r="EG977">
        <f>IF($DM977=0,"",INDEX($EF$5:$EF$1003,$ED977))</f>
        <v/>
      </c>
      <c r="EH977">
        <f>IF($DM977=0,"",IF($DO977&lt;&gt;"","",IFERROR(LOOKUP(2,1/(($EG$4:EG976=$EG977)*($DO$4:DO976&lt;&gt;"")),$DO$4:DO976),"")))</f>
        <v/>
      </c>
      <c r="EI977">
        <f>IF($DM977=0,"",IF($DO977&lt;&gt;"",$DO977,$EH977))</f>
        <v/>
      </c>
      <c r="EJ977">
        <f>IF($DM977=0,"",IF($EI977="",0,IF(OR(ISNUMBER($EI977),AND(AND(SUBSTITUTE(SUBSTITUTE(SUBSTITUTE(SUBSTITUTE(SUBSTITUTE(SUBSTITUTE(SUBSTITUTE(SUBSTITUTE(SUBSTITUTE(SUBSTITUTE(SUBSTITUTE(SUBSTITUTE(SUBSTITUTE(SUBSTITUTE(UPPER($EI977),"0",""),"1",""),"2",""),"3",""),"4",""),"5",""),"6",""),"7",""),"8",""),"9",""),".",""),"+",""),"-",""),"E","")="",LEN(SUBSTITUTE(SUBSTITUTE(MID(UPPER($EI977),1+OR(LEFT(UPPER($EI977),1)="+",LEFT(UPPER($EI977),1)="-"),999),"E+","E"),"E-","E"))=LEN(SUBSTITUTE(SUBSTITUTE(SUBSTITUTE(SUBSTITUTE(MID(UPPER($EI977),1+OR(LEFT(UPPER($EI977),1)="+",LEFT(UPPER($EI977),1)="-"),999),"E+","E"),"E-","E"),"+",""),"-","")),LEN(UPPER($EI977))-LEN(SUBSTITUTE(UPPER($EI977),"E",""))&lt;2,LEN(UPPER($EI977))-LEN(SUBSTITUTE(UPPER($EI977),".",""))&lt;2,IFERROR(FIND(".",UPPER($EI977)),0)&lt;IFERROR(FIND("E",UPPER($EI977)),999)),ISNUMBER(VALUE($EI977)))),1,2)))</f>
        <v/>
      </c>
      <c r="EK977">
        <f>IF($DM977=0,"",IF($EJ977=1,IF(ISNUMBER($EI977),$EI977,VALUE($EI977)),IF($EJ977=2,$DE977,0)))</f>
        <v/>
      </c>
      <c r="EL977">
        <f>IF($DM977=0,"",COUNTIF($EG$5:$EG$1003,"&lt;"&amp;$EG977)+SUMPRODUCT(($EG$5:$EG$1003=$EG977)*(($EJ$5:$EJ$1003&lt;$EJ977)+($EJ$5:$EJ$1003=$EJ977)*(($EK$5:$EK$1003&lt;$EK977)+($EK$5:$EK$1003=$EK977)*($DE$5:$DE$1003&lt;$DE977))))+1)</f>
        <v/>
      </c>
      <c r="EM977">
        <f>IF($DM977=0,"",$EL977+$EG977-1)</f>
        <v/>
      </c>
      <c r="EN977">
        <f>IF($DM977=0,0,IFERROR(MATCH(1,INDEX(--(TRIM(SUBSTITUTE(SUBSTITUTE(SUBSTITUTE(SUBSTITUTE(LINES_NAME&amp;""," "," "),CHAR(9)," "),CHAR(10)," "),CHAR(13)," "))=$DH977),0),0),0))</f>
        <v/>
      </c>
      <c r="EO977">
        <f>IF($EN977=0,0,IF(OR(UPPER(TRIM(INDEX(LINES_SCHEDULED,$EN977)&amp;""))="YES",UPPER(TRIM(INDEX(LINES_SCHEDULED,$EN977)&amp;""))="Y",UPPER(TRIM(INDEX(LINES_SCHEDULED,$EN977)&amp;""))="X"),1,0))</f>
        <v/>
      </c>
      <c r="EP977">
        <f>IF($DM977=0,"",IF(COUNTIFS($EG$5:$EG$1003,$EG977,$EB$5:$EB$1003,"Ready")&gt;0,"READY",IF(COUNTIFS($EG$5:$EG$1003,$EG977,$EB$5:$EB$1003,"PM")&gt;0,"PM",IF(COUNTIFS($EG$5:$EG$1003,$EG977,$EB$5:$EB$1003,"OT")&gt;0,"OT",""))))</f>
        <v/>
      </c>
      <c r="EQ977">
        <f>IF($EN977=0,"",UPPER(TRIM(INDEX(LINES_STATUS,$EN977)&amp;"")))</f>
        <v/>
      </c>
      <c r="ER977">
        <f>IF($DM977=0,"",IF(OR($EQ977="READY",$EQ977="PM",$EQ977="OT"),$EQ977,$EP977))</f>
        <v/>
      </c>
      <c r="ES977">
        <f>IF($DM977=0,"",IF(AND($DV977&lt;&gt;"",UPPER($DV977)&lt;&gt;"N"),"allergen",IF(ISNUMBER(SEARCH("oil",$DQ977)),"oil",IF(OR(EXACT($DS977,"A662"),EXACT($DS977,"A624")),"bulk",""))))</f>
        <v/>
      </c>
      <c r="ET977">
        <f>IF($DM977=0,"",IF(OR($EA977="",$EA977=0),"",$EA977/100))</f>
        <v/>
      </c>
      <c r="EU977">
        <f>IF(OR($ET977="",$DY977=""),"",INT($DY977*(1-$ET977)+0.5))</f>
        <v/>
      </c>
    </row>
    <row r="978">
      <c r="DA978" t="n">
        <v>974</v>
      </c>
      <c r="DB978">
        <f>IF($B$37=0,"",IFERROR(TRIM(SUBSTITUTE(SUBSTITUTE(SUBSTITUTE(SUBSTITUTE(INDEX(PASTE_ALL,974,$B$37)," "," "),CHAR(9)," "),CHAR(10)," "),CHAR(13)," ")),""))</f>
        <v/>
      </c>
      <c r="DC978">
        <f>IF(AND(974&gt;HEADER_ROW,UPPER(DB978)="LEGEND"),1,0)</f>
        <v/>
      </c>
      <c r="DE978" t="n">
        <v>974</v>
      </c>
      <c r="DF978">
        <f>HEADER_ROW+$DE978</f>
        <v/>
      </c>
      <c r="DG978">
        <f>IF(AND($DF978&lt;=1000,$DF978&lt;$B$8),1,0)</f>
        <v/>
      </c>
      <c r="DH978">
        <f>IF($DG978=1,IFERROR(INDEX($DB$5:$DB$1004,$DF978),""),"")</f>
        <v/>
      </c>
      <c r="DI978">
        <f>IF(AND($DG978=1,$DH978&lt;&gt;""),IFERROR(SUBSTITUTE(SUBSTITUTE(TRIM(SUBSTITUTE(SUBSTITUTE(SUBSTITUTE(SUBSTITUTE(IFERROR(INDEX(PASTE_ALL,$DF978,1)&amp;"","")&amp;"␟"&amp;IFERROR(INDEX(PASTE_ALL,$DF978,2)&amp;"","")&amp;"␟"&amp;IFERROR(INDEX(PASTE_ALL,$DF978,3)&amp;"","")&amp;"␟"&amp;IFERROR(INDEX(PASTE_ALL,$DF978,4)&amp;"","")&amp;"␟"&amp;IFERROR(INDEX(PASTE_ALL,$DF978,5)&amp;"","")&amp;"␟"&amp;IFERROR(INDEX(PASTE_ALL,$DF978,6)&amp;"","")&amp;"␟"&amp;IFERROR(INDEX(PASTE_ALL,$DF978,7)&amp;"","")&amp;"␟"&amp;IFERROR(INDEX(PASTE_ALL,$DF978,8)&amp;"","")&amp;"␟"&amp;IFERROR(INDEX(PASTE_ALL,$DF978,9)&amp;"","")&amp;"␟"&amp;IFERROR(INDEX(PASTE_ALL,$DF978,10)&amp;"","")&amp;"␟"&amp;IFERROR(INDEX(PASTE_ALL,$DF978,11)&amp;"","")&amp;"␟"&amp;IFERROR(INDEX(PASTE_ALL,$DF978,12)&amp;"","")&amp;"␟"&amp;IFERROR(INDEX(PASTE_ALL,$DF978,13)&amp;"","")&amp;"␟"&amp;IFERROR(INDEX(PASTE_ALL,$DF978,14)&amp;"","")&amp;"␟"&amp;IFERROR(INDEX(PASTE_ALL,$DF978,15)&amp;"","")&amp;"␟"&amp;IFERROR(INDEX(PASTE_ALL,$DF978,16)&amp;"","")&amp;"␟"&amp;IFERROR(INDEX(PASTE_ALL,$DF978,17)&amp;"","")&amp;"␟"&amp;IFERROR(INDEX(PASTE_ALL,$DF978,18)&amp;"","")&amp;"␟"&amp;IFERROR(INDEX(PASTE_ALL,$DF978,19)&amp;"","")&amp;"␟"&amp;IFERROR(INDEX(PASTE_ALL,$DF978,20)&amp;"","")&amp;"␟"&amp;IFERROR(INDEX(PASTE_ALL,$DF978,21)&amp;"","")&amp;"␟"&amp;IFERROR(INDEX(PASTE_ALL,$DF978,22)&amp;"","")&amp;"␟"&amp;IFERROR(INDEX(PASTE_ALL,$DF978,23)&amp;"","")&amp;"␟"&amp;IFERROR(INDEX(PASTE_ALL,$DF978,24)&amp;"","")&amp;"␟"&amp;IFERROR(INDEX(PASTE_ALL,$DF978,25)&amp;"","")&amp;"␟"&amp;IFERROR(INDEX(PASTE_ALL,$DF978,26)&amp;"","")&amp;"␟"&amp;IFERROR(INDEX(PASTE_ALL,$DF978,27)&amp;"","")&amp;"␟"&amp;IFERROR(INDEX(PASTE_ALL,$DF978,28)&amp;"","")&amp;"␟"&amp;IFERROR(INDEX(PASTE_ALL,$DF978,29)&amp;"","")&amp;"␟"&amp;IFERROR(INDEX(PASTE_ALL,$DF978,30)&amp;"","")&amp;"␟"&amp;IFERROR(INDEX(PASTE_ALL,$DF978,31)&amp;"","")&amp;"␟"&amp;IFERROR(INDEX(PASTE_ALL,$DF978,32)&amp;"","")&amp;"␟"&amp;IFERROR(INDEX(PASTE_ALL,$DF978,33)&amp;"","")&amp;"␟"&amp;IFERROR(INDEX(PASTE_ALL,$DF978,34)&amp;"","")&amp;"␟"&amp;IFERROR(INDEX(PASTE_ALL,$DF978,35)&amp;"","")&amp;"␟"&amp;IFERROR(INDEX(PASTE_ALL,$DF978,36)&amp;"","")&amp;"␟"&amp;IFERROR(INDEX(PASTE_ALL,$DF978,37)&amp;"","")&amp;"␟"&amp;IFERROR(INDEX(PASTE_ALL,$DF978,38)&amp;"","")&amp;"␟"&amp;IFERROR(INDEX(PASTE_ALL,$DF978,39)&amp;"","")&amp;"␟"&amp;IFERROR(INDEX(PASTE_ALL,$DF978,40)&amp;"","")&amp;"␟"&amp;IFERROR(INDEX(PASTE_ALL,$DF978,41)&amp;"","")&amp;"␟"&amp;IFERROR(INDEX(PASTE_ALL,$DF978,42)&amp;"","")&amp;"␟"&amp;IFERROR(INDEX(PASTE_ALL,$DF978,43)&amp;"","")&amp;"␟"&amp;IFERROR(INDEX(PASTE_ALL,$DF978,44)&amp;"","")&amp;"␟"&amp;IFERROR(INDEX(PASTE_ALL,$DF978,45)&amp;"","")&amp;"␟"&amp;IFERROR(INDEX(PASTE_ALL,$DF978,46)&amp;"","")&amp;"␟"&amp;IFERROR(INDEX(PASTE_ALL,$DF978,47)&amp;"","")&amp;"␟"&amp;IFERROR(INDEX(PASTE_ALL,$DF978,48)&amp;"","")&amp;"␟"&amp;IFERROR(INDEX(PASTE_ALL,$DF978,49)&amp;"","")&amp;"␟"&amp;IFERROR(INDEX(PASTE_ALL,$DF978,50)&amp;"","")&amp;"␟"&amp;IFERROR(INDEX(PASTE_ALL,$DF978,51)&amp;"","")&amp;"␟"&amp;IFERROR(INDEX(PASTE_ALL,$DF978,52)&amp;"","")&amp;"␟"&amp;IFERROR(INDEX(PASTE_ALL,$DF978,53)&amp;"","")&amp;"␟"&amp;IFERROR(INDEX(PASTE_ALL,$DF978,54)&amp;"","")&amp;"␟"&amp;IFERROR(INDEX(PASTE_ALL,$DF978,55)&amp;"","")&amp;"␟"&amp;IFERROR(INDEX(PASTE_ALL,$DF978,56)&amp;"","")&amp;"␟"&amp;IFERROR(INDEX(PASTE_ALL,$DF978,57)&amp;"","")&amp;"␟"&amp;IFERROR(INDEX(PASTE_ALL,$DF978,58)&amp;"","")&amp;"␟"&amp;IFERROR(INDEX(PASTE_ALL,$DF978,59)&amp;"","")&amp;"␟"&amp;IFERROR(INDEX(PASTE_ALL,$DF978,60)&amp;"","")," "," "),CHAR(9)," "),CHAR(10)," "),CHAR(13)," "))," ␟","␟"),"␟ ","␟"),"#"&amp;$DE978),"")</f>
        <v/>
      </c>
      <c r="DJ978">
        <f>IF($DI978="",0,IF(SUMPRODUCT(--EXACT($DI$4:DI977,$DI978))&gt;0,1,0))</f>
        <v/>
      </c>
      <c r="DK978">
        <f>IF(AND($DI978&lt;&gt;"",$DJ978=0),1,0)</f>
        <v/>
      </c>
      <c r="DL978">
        <f>DL977+$DK978</f>
        <v/>
      </c>
      <c r="DM978">
        <f>IF(AND($DK978=1,$DL978&lt;=600),1,0)</f>
        <v/>
      </c>
      <c r="DN978">
        <f>IF($DM978=0,"",IF($L$6=0,"",IFERROR(IF(ISNUMBER(INDEX(PASTE_ALL,$DF978,$L$6)),INDEX(PASTE_ALL,$DF978,$L$6),TRIM(SUBSTITUTE(SUBSTITUTE(SUBSTITUTE(SUBSTITUTE(INDEX(PASTE_ALL,$DF978,$L$6)," "," "),CHAR(9)," "),CHAR(10)," "),CHAR(13)," "))),"")))</f>
        <v/>
      </c>
      <c r="DO978">
        <f>IF($DM978=0,"",IF($L$7=0,"",IFERROR(IF(ISNUMBER(INDEX(PASTE_ALL,$DF978,$L$7)),INDEX(PASTE_ALL,$DF978,$L$7),TRIM(SUBSTITUTE(SUBSTITUTE(SUBSTITUTE(SUBSTITUTE(INDEX(PASTE_ALL,$DF978,$L$7)," "," "),CHAR(9)," "),CHAR(10)," "),CHAR(13)," "))),"")))</f>
        <v/>
      </c>
      <c r="DP978">
        <f>IF($DM978=0,"",IF($L$8=0,"",IFERROR(IF(ISNUMBER(INDEX(PASTE_ALL,$DF978,$L$8)),INDEX(PASTE_ALL,$DF978,$L$8),TRIM(SUBSTITUTE(SUBSTITUTE(SUBSTITUTE(SUBSTITUTE(INDEX(PASTE_ALL,$DF978,$L$8)," "," "),CHAR(9)," "),CHAR(10)," "),CHAR(13)," "))),"")))</f>
        <v/>
      </c>
      <c r="DQ978">
        <f>IF($DM978=0,"",IF($L$9=0,"",IFERROR(IF(ISNUMBER(INDEX(PASTE_ALL,$DF978,$L$9)),INDEX(PASTE_ALL,$DF978,$L$9),TRIM(SUBSTITUTE(SUBSTITUTE(SUBSTITUTE(SUBSTITUTE(INDEX(PASTE_ALL,$DF978,$L$9)," "," "),CHAR(9)," "),CHAR(10)," "),CHAR(13)," "))),"")))</f>
        <v/>
      </c>
      <c r="DR978">
        <f>IF($DM978=0,"",IF($L$10=0,"",IFERROR(IF(ISNUMBER(INDEX(PASTE_ALL,$DF978,$L$10)),INDEX(PASTE_ALL,$DF978,$L$10),TRIM(SUBSTITUTE(SUBSTITUTE(SUBSTITUTE(SUBSTITUTE(INDEX(PASTE_ALL,$DF978,$L$10)," "," "),CHAR(9)," "),CHAR(10)," "),CHAR(13)," "))),"")))</f>
        <v/>
      </c>
      <c r="DS978">
        <f>IF($DM978=0,"",IF($L$11=0,"",IFERROR(IF(ISNUMBER(INDEX(PASTE_ALL,$DF978,$L$11)),INDEX(PASTE_ALL,$DF978,$L$11),TRIM(SUBSTITUTE(SUBSTITUTE(SUBSTITUTE(SUBSTITUTE(INDEX(PASTE_ALL,$DF978,$L$11)," "," "),CHAR(9)," "),CHAR(10)," "),CHAR(13)," "))),"")))</f>
        <v/>
      </c>
      <c r="DT978">
        <f>IF($DM978=0,"",IF($L$12=0,"",IFERROR(IF(ISNUMBER(INDEX(PASTE_ALL,$DF978,$L$12)),INDEX(PASTE_ALL,$DF978,$L$12),TRIM(SUBSTITUTE(SUBSTITUTE(SUBSTITUTE(SUBSTITUTE(INDEX(PASTE_ALL,$DF978,$L$12)," "," "),CHAR(9)," "),CHAR(10)," "),CHAR(13)," "))),"")))</f>
        <v/>
      </c>
      <c r="DU978">
        <f>IF($DM978=0,"",IF($L$13=0,"",IFERROR(IF(ISNUMBER(INDEX(PASTE_ALL,$DF978,$L$13)),INDEX(PASTE_ALL,$DF978,$L$13),TRIM(SUBSTITUTE(SUBSTITUTE(SUBSTITUTE(SUBSTITUTE(INDEX(PASTE_ALL,$DF978,$L$13)," "," "),CHAR(9)," "),CHAR(10)," "),CHAR(13)," "))),"")))</f>
        <v/>
      </c>
      <c r="DV978">
        <f>IF($DM978=0,"",IF($L$14=0,"",IFERROR(IF(ISNUMBER(INDEX(PASTE_ALL,$DF978,$L$14)),INDEX(PASTE_ALL,$DF978,$L$14),TRIM(SUBSTITUTE(SUBSTITUTE(SUBSTITUTE(SUBSTITUTE(INDEX(PASTE_ALL,$DF978,$L$14)," "," "),CHAR(9)," "),CHAR(10)," "),CHAR(13)," "))),"")))</f>
        <v/>
      </c>
      <c r="DW978">
        <f>IF($DM978=0,"",IF($L$15=0,"",IFERROR(IF(ISNUMBER(INDEX(PASTE_ALL,$DF978,$L$15)),INDEX(PASTE_ALL,$DF978,$L$15),IF(SUMPRODUCT(--ISNUMBER(FIND({"A","B","C","D","E","F","G","H","I","J","K","L","M","N","O","P","Q","R","S","T","U","V","W","X","Y","Z","0","1","2","3","4","5","6","7","8","9"},UPPER(TRIM(SUBSTITUTE(SUBSTITUTE(SUBSTITUTE(SUBSTITUTE(INDEX(PASTE_ALL,$DF978,$L$15)," "," "),CHAR(9)," "),CHAR(10)," "),CHAR(13)," "))))))&gt;0,TRIM(SUBSTITUTE(SUBSTITUTE(SUBSTITUTE(SUBSTITUTE(INDEX(PASTE_ALL,$DF978,$L$15)," "," "),CHAR(9)," "),CHAR(10)," "),CHAR(13)," ")),"")),"")))</f>
        <v/>
      </c>
      <c r="DX978">
        <f>IF($DM978=0,"",IF($L$16=0,"",IFERROR(IF(ISNUMBER(INDEX(PASTE_ALL,$DF978,$L$16)),INDEX(PASTE_ALL,$DF978,$L$16),SUBSTITUTE(SUBSTITUTE(TRIM(SUBSTITUTE(SUBSTITUTE(SUBSTITUTE(SUBSTITUTE(INDEX(PASTE_ALL,$DF978,$L$16)," "," "),CHAR(9)," "),CHAR(10)," "),CHAR(13)," ")),",",""),"%","")),"")))</f>
        <v/>
      </c>
      <c r="DY978">
        <f>IF($DM978=0,"",IFERROR(IF(ISNUMBER($DX978),$DX978,IF($DX978="","",IF(TRIM($DX978)="",0,IF(AND(AND(SUBSTITUTE(SUBSTITUTE(SUBSTITUTE(SUBSTITUTE(SUBSTITUTE(SUBSTITUTE(SUBSTITUTE(SUBSTITUTE(SUBSTITUTE(SUBSTITUTE(SUBSTITUTE(SUBSTITUTE(SUBSTITUTE(SUBSTITUTE(UPPER(TRIM($DX978)),"0",""),"1",""),"2",""),"3",""),"4",""),"5",""),"6",""),"7",""),"8",""),"9",""),".",""),"+",""),"-",""),"E","")="",LEN(SUBSTITUTE(SUBSTITUTE(MID(UPPER(TRIM($DX978)),1+OR(LEFT(UPPER(TRIM($DX978)),1)="+",LEFT(UPPER(TRIM($DX978)),1)="-"),999),"E+","E"),"E-","E"))=LEN(SUBSTITUTE(SUBSTITUTE(SUBSTITUTE(SUBSTITUTE(MID(UPPER(TRIM($DX978)),1+OR(LEFT(UPPER(TRIM($DX978)),1)="+",LEFT(UPPER(TRIM($DX978)),1)="-"),999),"E+","E"),"E-","E"),"+",""),"-","")),LEN(UPPER(TRIM($DX978)))-LEN(SUBSTITUTE(UPPER(TRIM($DX978)),"E",""))&lt;2,LEN(UPPER(TRIM($DX978)))-LEN(SUBSTITUTE(UPPER(TRIM($DX978)),".",""))&lt;2,IFERROR(FIND(".",UPPER(TRIM($DX978))),0)&lt;IFERROR(FIND("E",UPPER(TRIM($DX978))),999)),ISNUMBER(VALUE(TRIM($DX978)))),VALUE(TRIM($DX978)),"")))),""))</f>
        <v/>
      </c>
      <c r="DZ978">
        <f>IF($DM978=0,"",IF($L$17=0,"",IFERROR(IF(ISNUMBER(INDEX(PASTE_ALL,$DF978,$L$17)),INDEX(PASTE_ALL,$DF978,$L$17),SUBSTITUTE(SUBSTITUTE(TRIM(SUBSTITUTE(SUBSTITUTE(SUBSTITUTE(SUBSTITUTE(INDEX(PASTE_ALL,$DF978,$L$17)," "," "),CHAR(9)," "),CHAR(10)," "),CHAR(13)," ")),",",""),"%","")),"")))</f>
        <v/>
      </c>
      <c r="EA978">
        <f>IF($DM978=0,"",IFERROR(IF(ISNUMBER($DZ978),$DZ978,IF($DZ978="","",IF(TRIM($DZ978)="",0,IF(AND(AND(SUBSTITUTE(SUBSTITUTE(SUBSTITUTE(SUBSTITUTE(SUBSTITUTE(SUBSTITUTE(SUBSTITUTE(SUBSTITUTE(SUBSTITUTE(SUBSTITUTE(SUBSTITUTE(SUBSTITUTE(SUBSTITUTE(SUBSTITUTE(UPPER(TRIM($DZ978)),"0",""),"1",""),"2",""),"3",""),"4",""),"5",""),"6",""),"7",""),"8",""),"9",""),".",""),"+",""),"-",""),"E","")="",LEN(SUBSTITUTE(SUBSTITUTE(MID(UPPER(TRIM($DZ978)),1+OR(LEFT(UPPER(TRIM($DZ978)),1)="+",LEFT(UPPER(TRIM($DZ978)),1)="-"),999),"E+","E"),"E-","E"))=LEN(SUBSTITUTE(SUBSTITUTE(SUBSTITUTE(SUBSTITUTE(MID(UPPER(TRIM($DZ978)),1+OR(LEFT(UPPER(TRIM($DZ978)),1)="+",LEFT(UPPER(TRIM($DZ978)),1)="-"),999),"E+","E"),"E-","E"),"+",""),"-","")),LEN(UPPER(TRIM($DZ978)))-LEN(SUBSTITUTE(UPPER(TRIM($DZ978)),"E",""))&lt;2,LEN(UPPER(TRIM($DZ978)))-LEN(SUBSTITUTE(UPPER(TRIM($DZ978)),".",""))&lt;2,IFERROR(FIND(".",UPPER(TRIM($DZ978))),0)&lt;IFERROR(FIND("E",UPPER(TRIM($DZ978))),999)),ISNUMBER(VALUE(TRIM($DZ978)))),VALUE(TRIM($DZ978)),"")))),""))</f>
        <v/>
      </c>
      <c r="EB978">
        <f>IF($DM978=0,"",IF($L$18=0,"",IFERROR(IF(UPPER(TRIM(SUBSTITUTE(SUBSTITUTE(SUBSTITUTE(SUBSTITUTE(INDEX(PASTE_ALL,$DF978,$L$18)," "," "),CHAR(9)," "),CHAR(10)," "),CHAR(13)," ")))="READY","Ready",IF(UPPER(TRIM(SUBSTITUTE(SUBSTITUTE(SUBSTITUTE(SUBSTITUTE(INDEX(PASTE_ALL,$DF978,$L$18)," "," "),CHAR(9)," "),CHAR(10)," "),CHAR(13)," ")))="PM","PM",IF(OR(UPPER(TRIM(SUBSTITUTE(SUBSTITUTE(SUBSTITUTE(SUBSTITUTE(INDEX(PASTE_ALL,$DF978,$L$18)," "," "),CHAR(9)," "),CHAR(10)," "),CHAR(13)," ")))="OT",UPPER(TRIM(SUBSTITUTE(SUBSTITUTE(SUBSTITUTE(SUBSTITUTE(INDEX(PASTE_ALL,$DF978,$L$18)," "," "),CHAR(9)," "),CHAR(10)," "),CHAR(13)," ")))="OVERTIME",UPPER(TRIM(SUBSTITUTE(SUBSTITUTE(SUBSTITUTE(SUBSTITUTE(INDEX(PASTE_ALL,$DF978,$L$18)," "," "),CHAR(9)," "),CHAR(10)," "),CHAR(13)," ")))="TRIAL"),"OT",TRIM(SUBSTITUTE(SUBSTITUTE(SUBSTITUTE(SUBSTITUTE(INDEX(PASTE_ALL,$DF978,$L$18)," "," "),CHAR(9)," "),CHAR(10)," "),CHAR(13)," "))))),"")))</f>
        <v/>
      </c>
      <c r="EC978">
        <f>IF($DM978=0,"",IF($L$19=0,"",IFERROR(IF(ISNUMBER(INDEX(PASTE_ALL,$DF978,$L$19)),INDEX(PASTE_ALL,$DF978,$L$19),TRIM(SUBSTITUTE(SUBSTITUTE(SUBSTITUTE(SUBSTITUTE(INDEX(PASTE_ALL,$DF978,$L$19)," "," "),CHAR(9)," "),CHAR(10)," "),CHAR(13)," "))),"")))</f>
        <v/>
      </c>
      <c r="ED978">
        <f>IF($DM978=0,"",MATCH(1,INDEX(EXACT($DH$5:DH978,$DH978)*$DM$5:DM978,0),0))</f>
        <v/>
      </c>
      <c r="EE978">
        <f>IF($DM978=0,0,IF($ED978=$DE978,1,0))</f>
        <v/>
      </c>
      <c r="EF978">
        <f>EF977+$EE978</f>
        <v/>
      </c>
      <c r="EG978">
        <f>IF($DM978=0,"",INDEX($EF$5:$EF$1003,$ED978))</f>
        <v/>
      </c>
      <c r="EH978">
        <f>IF($DM978=0,"",IF($DO978&lt;&gt;"","",IFERROR(LOOKUP(2,1/(($EG$4:EG977=$EG978)*($DO$4:DO977&lt;&gt;"")),$DO$4:DO977),"")))</f>
        <v/>
      </c>
      <c r="EI978">
        <f>IF($DM978=0,"",IF($DO978&lt;&gt;"",$DO978,$EH978))</f>
        <v/>
      </c>
      <c r="EJ978">
        <f>IF($DM978=0,"",IF($EI978="",0,IF(OR(ISNUMBER($EI978),AND(AND(SUBSTITUTE(SUBSTITUTE(SUBSTITUTE(SUBSTITUTE(SUBSTITUTE(SUBSTITUTE(SUBSTITUTE(SUBSTITUTE(SUBSTITUTE(SUBSTITUTE(SUBSTITUTE(SUBSTITUTE(SUBSTITUTE(SUBSTITUTE(UPPER($EI978),"0",""),"1",""),"2",""),"3",""),"4",""),"5",""),"6",""),"7",""),"8",""),"9",""),".",""),"+",""),"-",""),"E","")="",LEN(SUBSTITUTE(SUBSTITUTE(MID(UPPER($EI978),1+OR(LEFT(UPPER($EI978),1)="+",LEFT(UPPER($EI978),1)="-"),999),"E+","E"),"E-","E"))=LEN(SUBSTITUTE(SUBSTITUTE(SUBSTITUTE(SUBSTITUTE(MID(UPPER($EI978),1+OR(LEFT(UPPER($EI978),1)="+",LEFT(UPPER($EI978),1)="-"),999),"E+","E"),"E-","E"),"+",""),"-","")),LEN(UPPER($EI978))-LEN(SUBSTITUTE(UPPER($EI978),"E",""))&lt;2,LEN(UPPER($EI978))-LEN(SUBSTITUTE(UPPER($EI978),".",""))&lt;2,IFERROR(FIND(".",UPPER($EI978)),0)&lt;IFERROR(FIND("E",UPPER($EI978)),999)),ISNUMBER(VALUE($EI978)))),1,2)))</f>
        <v/>
      </c>
      <c r="EK978">
        <f>IF($DM978=0,"",IF($EJ978=1,IF(ISNUMBER($EI978),$EI978,VALUE($EI978)),IF($EJ978=2,$DE978,0)))</f>
        <v/>
      </c>
      <c r="EL978">
        <f>IF($DM978=0,"",COUNTIF($EG$5:$EG$1003,"&lt;"&amp;$EG978)+SUMPRODUCT(($EG$5:$EG$1003=$EG978)*(($EJ$5:$EJ$1003&lt;$EJ978)+($EJ$5:$EJ$1003=$EJ978)*(($EK$5:$EK$1003&lt;$EK978)+($EK$5:$EK$1003=$EK978)*($DE$5:$DE$1003&lt;$DE978))))+1)</f>
        <v/>
      </c>
      <c r="EM978">
        <f>IF($DM978=0,"",$EL978+$EG978-1)</f>
        <v/>
      </c>
      <c r="EN978">
        <f>IF($DM978=0,0,IFERROR(MATCH(1,INDEX(--(TRIM(SUBSTITUTE(SUBSTITUTE(SUBSTITUTE(SUBSTITUTE(LINES_NAME&amp;""," "," "),CHAR(9)," "),CHAR(10)," "),CHAR(13)," "))=$DH978),0),0),0))</f>
        <v/>
      </c>
      <c r="EO978">
        <f>IF($EN978=0,0,IF(OR(UPPER(TRIM(INDEX(LINES_SCHEDULED,$EN978)&amp;""))="YES",UPPER(TRIM(INDEX(LINES_SCHEDULED,$EN978)&amp;""))="Y",UPPER(TRIM(INDEX(LINES_SCHEDULED,$EN978)&amp;""))="X"),1,0))</f>
        <v/>
      </c>
      <c r="EP978">
        <f>IF($DM978=0,"",IF(COUNTIFS($EG$5:$EG$1003,$EG978,$EB$5:$EB$1003,"Ready")&gt;0,"READY",IF(COUNTIFS($EG$5:$EG$1003,$EG978,$EB$5:$EB$1003,"PM")&gt;0,"PM",IF(COUNTIFS($EG$5:$EG$1003,$EG978,$EB$5:$EB$1003,"OT")&gt;0,"OT",""))))</f>
        <v/>
      </c>
      <c r="EQ978">
        <f>IF($EN978=0,"",UPPER(TRIM(INDEX(LINES_STATUS,$EN978)&amp;"")))</f>
        <v/>
      </c>
      <c r="ER978">
        <f>IF($DM978=0,"",IF(OR($EQ978="READY",$EQ978="PM",$EQ978="OT"),$EQ978,$EP978))</f>
        <v/>
      </c>
      <c r="ES978">
        <f>IF($DM978=0,"",IF(AND($DV978&lt;&gt;"",UPPER($DV978)&lt;&gt;"N"),"allergen",IF(ISNUMBER(SEARCH("oil",$DQ978)),"oil",IF(OR(EXACT($DS978,"A662"),EXACT($DS978,"A624")),"bulk",""))))</f>
        <v/>
      </c>
      <c r="ET978">
        <f>IF($DM978=0,"",IF(OR($EA978="",$EA978=0),"",$EA978/100))</f>
        <v/>
      </c>
      <c r="EU978">
        <f>IF(OR($ET978="",$DY978=""),"",INT($DY978*(1-$ET978)+0.5))</f>
        <v/>
      </c>
    </row>
    <row r="979">
      <c r="DA979" t="n">
        <v>975</v>
      </c>
      <c r="DB979">
        <f>IF($B$37=0,"",IFERROR(TRIM(SUBSTITUTE(SUBSTITUTE(SUBSTITUTE(SUBSTITUTE(INDEX(PASTE_ALL,975,$B$37)," "," "),CHAR(9)," "),CHAR(10)," "),CHAR(13)," ")),""))</f>
        <v/>
      </c>
      <c r="DC979">
        <f>IF(AND(975&gt;HEADER_ROW,UPPER(DB979)="LEGEND"),1,0)</f>
        <v/>
      </c>
      <c r="DE979" t="n">
        <v>975</v>
      </c>
      <c r="DF979">
        <f>HEADER_ROW+$DE979</f>
        <v/>
      </c>
      <c r="DG979">
        <f>IF(AND($DF979&lt;=1000,$DF979&lt;$B$8),1,0)</f>
        <v/>
      </c>
      <c r="DH979">
        <f>IF($DG979=1,IFERROR(INDEX($DB$5:$DB$1004,$DF979),""),"")</f>
        <v/>
      </c>
      <c r="DI979">
        <f>IF(AND($DG979=1,$DH979&lt;&gt;""),IFERROR(SUBSTITUTE(SUBSTITUTE(TRIM(SUBSTITUTE(SUBSTITUTE(SUBSTITUTE(SUBSTITUTE(IFERROR(INDEX(PASTE_ALL,$DF979,1)&amp;"","")&amp;"␟"&amp;IFERROR(INDEX(PASTE_ALL,$DF979,2)&amp;"","")&amp;"␟"&amp;IFERROR(INDEX(PASTE_ALL,$DF979,3)&amp;"","")&amp;"␟"&amp;IFERROR(INDEX(PASTE_ALL,$DF979,4)&amp;"","")&amp;"␟"&amp;IFERROR(INDEX(PASTE_ALL,$DF979,5)&amp;"","")&amp;"␟"&amp;IFERROR(INDEX(PASTE_ALL,$DF979,6)&amp;"","")&amp;"␟"&amp;IFERROR(INDEX(PASTE_ALL,$DF979,7)&amp;"","")&amp;"␟"&amp;IFERROR(INDEX(PASTE_ALL,$DF979,8)&amp;"","")&amp;"␟"&amp;IFERROR(INDEX(PASTE_ALL,$DF979,9)&amp;"","")&amp;"␟"&amp;IFERROR(INDEX(PASTE_ALL,$DF979,10)&amp;"","")&amp;"␟"&amp;IFERROR(INDEX(PASTE_ALL,$DF979,11)&amp;"","")&amp;"␟"&amp;IFERROR(INDEX(PASTE_ALL,$DF979,12)&amp;"","")&amp;"␟"&amp;IFERROR(INDEX(PASTE_ALL,$DF979,13)&amp;"","")&amp;"␟"&amp;IFERROR(INDEX(PASTE_ALL,$DF979,14)&amp;"","")&amp;"␟"&amp;IFERROR(INDEX(PASTE_ALL,$DF979,15)&amp;"","")&amp;"␟"&amp;IFERROR(INDEX(PASTE_ALL,$DF979,16)&amp;"","")&amp;"␟"&amp;IFERROR(INDEX(PASTE_ALL,$DF979,17)&amp;"","")&amp;"␟"&amp;IFERROR(INDEX(PASTE_ALL,$DF979,18)&amp;"","")&amp;"␟"&amp;IFERROR(INDEX(PASTE_ALL,$DF979,19)&amp;"","")&amp;"␟"&amp;IFERROR(INDEX(PASTE_ALL,$DF979,20)&amp;"","")&amp;"␟"&amp;IFERROR(INDEX(PASTE_ALL,$DF979,21)&amp;"","")&amp;"␟"&amp;IFERROR(INDEX(PASTE_ALL,$DF979,22)&amp;"","")&amp;"␟"&amp;IFERROR(INDEX(PASTE_ALL,$DF979,23)&amp;"","")&amp;"␟"&amp;IFERROR(INDEX(PASTE_ALL,$DF979,24)&amp;"","")&amp;"␟"&amp;IFERROR(INDEX(PASTE_ALL,$DF979,25)&amp;"","")&amp;"␟"&amp;IFERROR(INDEX(PASTE_ALL,$DF979,26)&amp;"","")&amp;"␟"&amp;IFERROR(INDEX(PASTE_ALL,$DF979,27)&amp;"","")&amp;"␟"&amp;IFERROR(INDEX(PASTE_ALL,$DF979,28)&amp;"","")&amp;"␟"&amp;IFERROR(INDEX(PASTE_ALL,$DF979,29)&amp;"","")&amp;"␟"&amp;IFERROR(INDEX(PASTE_ALL,$DF979,30)&amp;"","")&amp;"␟"&amp;IFERROR(INDEX(PASTE_ALL,$DF979,31)&amp;"","")&amp;"␟"&amp;IFERROR(INDEX(PASTE_ALL,$DF979,32)&amp;"","")&amp;"␟"&amp;IFERROR(INDEX(PASTE_ALL,$DF979,33)&amp;"","")&amp;"␟"&amp;IFERROR(INDEX(PASTE_ALL,$DF979,34)&amp;"","")&amp;"␟"&amp;IFERROR(INDEX(PASTE_ALL,$DF979,35)&amp;"","")&amp;"␟"&amp;IFERROR(INDEX(PASTE_ALL,$DF979,36)&amp;"","")&amp;"␟"&amp;IFERROR(INDEX(PASTE_ALL,$DF979,37)&amp;"","")&amp;"␟"&amp;IFERROR(INDEX(PASTE_ALL,$DF979,38)&amp;"","")&amp;"␟"&amp;IFERROR(INDEX(PASTE_ALL,$DF979,39)&amp;"","")&amp;"␟"&amp;IFERROR(INDEX(PASTE_ALL,$DF979,40)&amp;"","")&amp;"␟"&amp;IFERROR(INDEX(PASTE_ALL,$DF979,41)&amp;"","")&amp;"␟"&amp;IFERROR(INDEX(PASTE_ALL,$DF979,42)&amp;"","")&amp;"␟"&amp;IFERROR(INDEX(PASTE_ALL,$DF979,43)&amp;"","")&amp;"␟"&amp;IFERROR(INDEX(PASTE_ALL,$DF979,44)&amp;"","")&amp;"␟"&amp;IFERROR(INDEX(PASTE_ALL,$DF979,45)&amp;"","")&amp;"␟"&amp;IFERROR(INDEX(PASTE_ALL,$DF979,46)&amp;"","")&amp;"␟"&amp;IFERROR(INDEX(PASTE_ALL,$DF979,47)&amp;"","")&amp;"␟"&amp;IFERROR(INDEX(PASTE_ALL,$DF979,48)&amp;"","")&amp;"␟"&amp;IFERROR(INDEX(PASTE_ALL,$DF979,49)&amp;"","")&amp;"␟"&amp;IFERROR(INDEX(PASTE_ALL,$DF979,50)&amp;"","")&amp;"␟"&amp;IFERROR(INDEX(PASTE_ALL,$DF979,51)&amp;"","")&amp;"␟"&amp;IFERROR(INDEX(PASTE_ALL,$DF979,52)&amp;"","")&amp;"␟"&amp;IFERROR(INDEX(PASTE_ALL,$DF979,53)&amp;"","")&amp;"␟"&amp;IFERROR(INDEX(PASTE_ALL,$DF979,54)&amp;"","")&amp;"␟"&amp;IFERROR(INDEX(PASTE_ALL,$DF979,55)&amp;"","")&amp;"␟"&amp;IFERROR(INDEX(PASTE_ALL,$DF979,56)&amp;"","")&amp;"␟"&amp;IFERROR(INDEX(PASTE_ALL,$DF979,57)&amp;"","")&amp;"␟"&amp;IFERROR(INDEX(PASTE_ALL,$DF979,58)&amp;"","")&amp;"␟"&amp;IFERROR(INDEX(PASTE_ALL,$DF979,59)&amp;"","")&amp;"␟"&amp;IFERROR(INDEX(PASTE_ALL,$DF979,60)&amp;"","")," "," "),CHAR(9)," "),CHAR(10)," "),CHAR(13)," "))," ␟","␟"),"␟ ","␟"),"#"&amp;$DE979),"")</f>
        <v/>
      </c>
      <c r="DJ979">
        <f>IF($DI979="",0,IF(SUMPRODUCT(--EXACT($DI$4:DI978,$DI979))&gt;0,1,0))</f>
        <v/>
      </c>
      <c r="DK979">
        <f>IF(AND($DI979&lt;&gt;"",$DJ979=0),1,0)</f>
        <v/>
      </c>
      <c r="DL979">
        <f>DL978+$DK979</f>
        <v/>
      </c>
      <c r="DM979">
        <f>IF(AND($DK979=1,$DL979&lt;=600),1,0)</f>
        <v/>
      </c>
      <c r="DN979">
        <f>IF($DM979=0,"",IF($L$6=0,"",IFERROR(IF(ISNUMBER(INDEX(PASTE_ALL,$DF979,$L$6)),INDEX(PASTE_ALL,$DF979,$L$6),TRIM(SUBSTITUTE(SUBSTITUTE(SUBSTITUTE(SUBSTITUTE(INDEX(PASTE_ALL,$DF979,$L$6)," "," "),CHAR(9)," "),CHAR(10)," "),CHAR(13)," "))),"")))</f>
        <v/>
      </c>
      <c r="DO979">
        <f>IF($DM979=0,"",IF($L$7=0,"",IFERROR(IF(ISNUMBER(INDEX(PASTE_ALL,$DF979,$L$7)),INDEX(PASTE_ALL,$DF979,$L$7),TRIM(SUBSTITUTE(SUBSTITUTE(SUBSTITUTE(SUBSTITUTE(INDEX(PASTE_ALL,$DF979,$L$7)," "," "),CHAR(9)," "),CHAR(10)," "),CHAR(13)," "))),"")))</f>
        <v/>
      </c>
      <c r="DP979">
        <f>IF($DM979=0,"",IF($L$8=0,"",IFERROR(IF(ISNUMBER(INDEX(PASTE_ALL,$DF979,$L$8)),INDEX(PASTE_ALL,$DF979,$L$8),TRIM(SUBSTITUTE(SUBSTITUTE(SUBSTITUTE(SUBSTITUTE(INDEX(PASTE_ALL,$DF979,$L$8)," "," "),CHAR(9)," "),CHAR(10)," "),CHAR(13)," "))),"")))</f>
        <v/>
      </c>
      <c r="DQ979">
        <f>IF($DM979=0,"",IF($L$9=0,"",IFERROR(IF(ISNUMBER(INDEX(PASTE_ALL,$DF979,$L$9)),INDEX(PASTE_ALL,$DF979,$L$9),TRIM(SUBSTITUTE(SUBSTITUTE(SUBSTITUTE(SUBSTITUTE(INDEX(PASTE_ALL,$DF979,$L$9)," "," "),CHAR(9)," "),CHAR(10)," "),CHAR(13)," "))),"")))</f>
        <v/>
      </c>
      <c r="DR979">
        <f>IF($DM979=0,"",IF($L$10=0,"",IFERROR(IF(ISNUMBER(INDEX(PASTE_ALL,$DF979,$L$10)),INDEX(PASTE_ALL,$DF979,$L$10),TRIM(SUBSTITUTE(SUBSTITUTE(SUBSTITUTE(SUBSTITUTE(INDEX(PASTE_ALL,$DF979,$L$10)," "," "),CHAR(9)," "),CHAR(10)," "),CHAR(13)," "))),"")))</f>
        <v/>
      </c>
      <c r="DS979">
        <f>IF($DM979=0,"",IF($L$11=0,"",IFERROR(IF(ISNUMBER(INDEX(PASTE_ALL,$DF979,$L$11)),INDEX(PASTE_ALL,$DF979,$L$11),TRIM(SUBSTITUTE(SUBSTITUTE(SUBSTITUTE(SUBSTITUTE(INDEX(PASTE_ALL,$DF979,$L$11)," "," "),CHAR(9)," "),CHAR(10)," "),CHAR(13)," "))),"")))</f>
        <v/>
      </c>
      <c r="DT979">
        <f>IF($DM979=0,"",IF($L$12=0,"",IFERROR(IF(ISNUMBER(INDEX(PASTE_ALL,$DF979,$L$12)),INDEX(PASTE_ALL,$DF979,$L$12),TRIM(SUBSTITUTE(SUBSTITUTE(SUBSTITUTE(SUBSTITUTE(INDEX(PASTE_ALL,$DF979,$L$12)," "," "),CHAR(9)," "),CHAR(10)," "),CHAR(13)," "))),"")))</f>
        <v/>
      </c>
      <c r="DU979">
        <f>IF($DM979=0,"",IF($L$13=0,"",IFERROR(IF(ISNUMBER(INDEX(PASTE_ALL,$DF979,$L$13)),INDEX(PASTE_ALL,$DF979,$L$13),TRIM(SUBSTITUTE(SUBSTITUTE(SUBSTITUTE(SUBSTITUTE(INDEX(PASTE_ALL,$DF979,$L$13)," "," "),CHAR(9)," "),CHAR(10)," "),CHAR(13)," "))),"")))</f>
        <v/>
      </c>
      <c r="DV979">
        <f>IF($DM979=0,"",IF($L$14=0,"",IFERROR(IF(ISNUMBER(INDEX(PASTE_ALL,$DF979,$L$14)),INDEX(PASTE_ALL,$DF979,$L$14),TRIM(SUBSTITUTE(SUBSTITUTE(SUBSTITUTE(SUBSTITUTE(INDEX(PASTE_ALL,$DF979,$L$14)," "," "),CHAR(9)," "),CHAR(10)," "),CHAR(13)," "))),"")))</f>
        <v/>
      </c>
      <c r="DW979">
        <f>IF($DM979=0,"",IF($L$15=0,"",IFERROR(IF(ISNUMBER(INDEX(PASTE_ALL,$DF979,$L$15)),INDEX(PASTE_ALL,$DF979,$L$15),IF(SUMPRODUCT(--ISNUMBER(FIND({"A","B","C","D","E","F","G","H","I","J","K","L","M","N","O","P","Q","R","S","T","U","V","W","X","Y","Z","0","1","2","3","4","5","6","7","8","9"},UPPER(TRIM(SUBSTITUTE(SUBSTITUTE(SUBSTITUTE(SUBSTITUTE(INDEX(PASTE_ALL,$DF979,$L$15)," "," "),CHAR(9)," "),CHAR(10)," "),CHAR(13)," "))))))&gt;0,TRIM(SUBSTITUTE(SUBSTITUTE(SUBSTITUTE(SUBSTITUTE(INDEX(PASTE_ALL,$DF979,$L$15)," "," "),CHAR(9)," "),CHAR(10)," "),CHAR(13)," ")),"")),"")))</f>
        <v/>
      </c>
      <c r="DX979">
        <f>IF($DM979=0,"",IF($L$16=0,"",IFERROR(IF(ISNUMBER(INDEX(PASTE_ALL,$DF979,$L$16)),INDEX(PASTE_ALL,$DF979,$L$16),SUBSTITUTE(SUBSTITUTE(TRIM(SUBSTITUTE(SUBSTITUTE(SUBSTITUTE(SUBSTITUTE(INDEX(PASTE_ALL,$DF979,$L$16)," "," "),CHAR(9)," "),CHAR(10)," "),CHAR(13)," ")),",",""),"%","")),"")))</f>
        <v/>
      </c>
      <c r="DY979">
        <f>IF($DM979=0,"",IFERROR(IF(ISNUMBER($DX979),$DX979,IF($DX979="","",IF(TRIM($DX979)="",0,IF(AND(AND(SUBSTITUTE(SUBSTITUTE(SUBSTITUTE(SUBSTITUTE(SUBSTITUTE(SUBSTITUTE(SUBSTITUTE(SUBSTITUTE(SUBSTITUTE(SUBSTITUTE(SUBSTITUTE(SUBSTITUTE(SUBSTITUTE(SUBSTITUTE(UPPER(TRIM($DX979)),"0",""),"1",""),"2",""),"3",""),"4",""),"5",""),"6",""),"7",""),"8",""),"9",""),".",""),"+",""),"-",""),"E","")="",LEN(SUBSTITUTE(SUBSTITUTE(MID(UPPER(TRIM($DX979)),1+OR(LEFT(UPPER(TRIM($DX979)),1)="+",LEFT(UPPER(TRIM($DX979)),1)="-"),999),"E+","E"),"E-","E"))=LEN(SUBSTITUTE(SUBSTITUTE(SUBSTITUTE(SUBSTITUTE(MID(UPPER(TRIM($DX979)),1+OR(LEFT(UPPER(TRIM($DX979)),1)="+",LEFT(UPPER(TRIM($DX979)),1)="-"),999),"E+","E"),"E-","E"),"+",""),"-","")),LEN(UPPER(TRIM($DX979)))-LEN(SUBSTITUTE(UPPER(TRIM($DX979)),"E",""))&lt;2,LEN(UPPER(TRIM($DX979)))-LEN(SUBSTITUTE(UPPER(TRIM($DX979)),".",""))&lt;2,IFERROR(FIND(".",UPPER(TRIM($DX979))),0)&lt;IFERROR(FIND("E",UPPER(TRIM($DX979))),999)),ISNUMBER(VALUE(TRIM($DX979)))),VALUE(TRIM($DX979)),"")))),""))</f>
        <v/>
      </c>
      <c r="DZ979">
        <f>IF($DM979=0,"",IF($L$17=0,"",IFERROR(IF(ISNUMBER(INDEX(PASTE_ALL,$DF979,$L$17)),INDEX(PASTE_ALL,$DF979,$L$17),SUBSTITUTE(SUBSTITUTE(TRIM(SUBSTITUTE(SUBSTITUTE(SUBSTITUTE(SUBSTITUTE(INDEX(PASTE_ALL,$DF979,$L$17)," "," "),CHAR(9)," "),CHAR(10)," "),CHAR(13)," ")),",",""),"%","")),"")))</f>
        <v/>
      </c>
      <c r="EA979">
        <f>IF($DM979=0,"",IFERROR(IF(ISNUMBER($DZ979),$DZ979,IF($DZ979="","",IF(TRIM($DZ979)="",0,IF(AND(AND(SUBSTITUTE(SUBSTITUTE(SUBSTITUTE(SUBSTITUTE(SUBSTITUTE(SUBSTITUTE(SUBSTITUTE(SUBSTITUTE(SUBSTITUTE(SUBSTITUTE(SUBSTITUTE(SUBSTITUTE(SUBSTITUTE(SUBSTITUTE(UPPER(TRIM($DZ979)),"0",""),"1",""),"2",""),"3",""),"4",""),"5",""),"6",""),"7",""),"8",""),"9",""),".",""),"+",""),"-",""),"E","")="",LEN(SUBSTITUTE(SUBSTITUTE(MID(UPPER(TRIM($DZ979)),1+OR(LEFT(UPPER(TRIM($DZ979)),1)="+",LEFT(UPPER(TRIM($DZ979)),1)="-"),999),"E+","E"),"E-","E"))=LEN(SUBSTITUTE(SUBSTITUTE(SUBSTITUTE(SUBSTITUTE(MID(UPPER(TRIM($DZ979)),1+OR(LEFT(UPPER(TRIM($DZ979)),1)="+",LEFT(UPPER(TRIM($DZ979)),1)="-"),999),"E+","E"),"E-","E"),"+",""),"-","")),LEN(UPPER(TRIM($DZ979)))-LEN(SUBSTITUTE(UPPER(TRIM($DZ979)),"E",""))&lt;2,LEN(UPPER(TRIM($DZ979)))-LEN(SUBSTITUTE(UPPER(TRIM($DZ979)),".",""))&lt;2,IFERROR(FIND(".",UPPER(TRIM($DZ979))),0)&lt;IFERROR(FIND("E",UPPER(TRIM($DZ979))),999)),ISNUMBER(VALUE(TRIM($DZ979)))),VALUE(TRIM($DZ979)),"")))),""))</f>
        <v/>
      </c>
      <c r="EB979">
        <f>IF($DM979=0,"",IF($L$18=0,"",IFERROR(IF(UPPER(TRIM(SUBSTITUTE(SUBSTITUTE(SUBSTITUTE(SUBSTITUTE(INDEX(PASTE_ALL,$DF979,$L$18)," "," "),CHAR(9)," "),CHAR(10)," "),CHAR(13)," ")))="READY","Ready",IF(UPPER(TRIM(SUBSTITUTE(SUBSTITUTE(SUBSTITUTE(SUBSTITUTE(INDEX(PASTE_ALL,$DF979,$L$18)," "," "),CHAR(9)," "),CHAR(10)," "),CHAR(13)," ")))="PM","PM",IF(OR(UPPER(TRIM(SUBSTITUTE(SUBSTITUTE(SUBSTITUTE(SUBSTITUTE(INDEX(PASTE_ALL,$DF979,$L$18)," "," "),CHAR(9)," "),CHAR(10)," "),CHAR(13)," ")))="OT",UPPER(TRIM(SUBSTITUTE(SUBSTITUTE(SUBSTITUTE(SUBSTITUTE(INDEX(PASTE_ALL,$DF979,$L$18)," "," "),CHAR(9)," "),CHAR(10)," "),CHAR(13)," ")))="OVERTIME",UPPER(TRIM(SUBSTITUTE(SUBSTITUTE(SUBSTITUTE(SUBSTITUTE(INDEX(PASTE_ALL,$DF979,$L$18)," "," "),CHAR(9)," "),CHAR(10)," "),CHAR(13)," ")))="TRIAL"),"OT",TRIM(SUBSTITUTE(SUBSTITUTE(SUBSTITUTE(SUBSTITUTE(INDEX(PASTE_ALL,$DF979,$L$18)," "," "),CHAR(9)," "),CHAR(10)," "),CHAR(13)," "))))),"")))</f>
        <v/>
      </c>
      <c r="EC979">
        <f>IF($DM979=0,"",IF($L$19=0,"",IFERROR(IF(ISNUMBER(INDEX(PASTE_ALL,$DF979,$L$19)),INDEX(PASTE_ALL,$DF979,$L$19),TRIM(SUBSTITUTE(SUBSTITUTE(SUBSTITUTE(SUBSTITUTE(INDEX(PASTE_ALL,$DF979,$L$19)," "," "),CHAR(9)," "),CHAR(10)," "),CHAR(13)," "))),"")))</f>
        <v/>
      </c>
      <c r="ED979">
        <f>IF($DM979=0,"",MATCH(1,INDEX(EXACT($DH$5:DH979,$DH979)*$DM$5:DM979,0),0))</f>
        <v/>
      </c>
      <c r="EE979">
        <f>IF($DM979=0,0,IF($ED979=$DE979,1,0))</f>
        <v/>
      </c>
      <c r="EF979">
        <f>EF978+$EE979</f>
        <v/>
      </c>
      <c r="EG979">
        <f>IF($DM979=0,"",INDEX($EF$5:$EF$1003,$ED979))</f>
        <v/>
      </c>
      <c r="EH979">
        <f>IF($DM979=0,"",IF($DO979&lt;&gt;"","",IFERROR(LOOKUP(2,1/(($EG$4:EG978=$EG979)*($DO$4:DO978&lt;&gt;"")),$DO$4:DO978),"")))</f>
        <v/>
      </c>
      <c r="EI979">
        <f>IF($DM979=0,"",IF($DO979&lt;&gt;"",$DO979,$EH979))</f>
        <v/>
      </c>
      <c r="EJ979">
        <f>IF($DM979=0,"",IF($EI979="",0,IF(OR(ISNUMBER($EI979),AND(AND(SUBSTITUTE(SUBSTITUTE(SUBSTITUTE(SUBSTITUTE(SUBSTITUTE(SUBSTITUTE(SUBSTITUTE(SUBSTITUTE(SUBSTITUTE(SUBSTITUTE(SUBSTITUTE(SUBSTITUTE(SUBSTITUTE(SUBSTITUTE(UPPER($EI979),"0",""),"1",""),"2",""),"3",""),"4",""),"5",""),"6",""),"7",""),"8",""),"9",""),".",""),"+",""),"-",""),"E","")="",LEN(SUBSTITUTE(SUBSTITUTE(MID(UPPER($EI979),1+OR(LEFT(UPPER($EI979),1)="+",LEFT(UPPER($EI979),1)="-"),999),"E+","E"),"E-","E"))=LEN(SUBSTITUTE(SUBSTITUTE(SUBSTITUTE(SUBSTITUTE(MID(UPPER($EI979),1+OR(LEFT(UPPER($EI979),1)="+",LEFT(UPPER($EI979),1)="-"),999),"E+","E"),"E-","E"),"+",""),"-","")),LEN(UPPER($EI979))-LEN(SUBSTITUTE(UPPER($EI979),"E",""))&lt;2,LEN(UPPER($EI979))-LEN(SUBSTITUTE(UPPER($EI979),".",""))&lt;2,IFERROR(FIND(".",UPPER($EI979)),0)&lt;IFERROR(FIND("E",UPPER($EI979)),999)),ISNUMBER(VALUE($EI979)))),1,2)))</f>
        <v/>
      </c>
      <c r="EK979">
        <f>IF($DM979=0,"",IF($EJ979=1,IF(ISNUMBER($EI979),$EI979,VALUE($EI979)),IF($EJ979=2,$DE979,0)))</f>
        <v/>
      </c>
      <c r="EL979">
        <f>IF($DM979=0,"",COUNTIF($EG$5:$EG$1003,"&lt;"&amp;$EG979)+SUMPRODUCT(($EG$5:$EG$1003=$EG979)*(($EJ$5:$EJ$1003&lt;$EJ979)+($EJ$5:$EJ$1003=$EJ979)*(($EK$5:$EK$1003&lt;$EK979)+($EK$5:$EK$1003=$EK979)*($DE$5:$DE$1003&lt;$DE979))))+1)</f>
        <v/>
      </c>
      <c r="EM979">
        <f>IF($DM979=0,"",$EL979+$EG979-1)</f>
        <v/>
      </c>
      <c r="EN979">
        <f>IF($DM979=0,0,IFERROR(MATCH(1,INDEX(--(TRIM(SUBSTITUTE(SUBSTITUTE(SUBSTITUTE(SUBSTITUTE(LINES_NAME&amp;""," "," "),CHAR(9)," "),CHAR(10)," "),CHAR(13)," "))=$DH979),0),0),0))</f>
        <v/>
      </c>
      <c r="EO979">
        <f>IF($EN979=0,0,IF(OR(UPPER(TRIM(INDEX(LINES_SCHEDULED,$EN979)&amp;""))="YES",UPPER(TRIM(INDEX(LINES_SCHEDULED,$EN979)&amp;""))="Y",UPPER(TRIM(INDEX(LINES_SCHEDULED,$EN979)&amp;""))="X"),1,0))</f>
        <v/>
      </c>
      <c r="EP979">
        <f>IF($DM979=0,"",IF(COUNTIFS($EG$5:$EG$1003,$EG979,$EB$5:$EB$1003,"Ready")&gt;0,"READY",IF(COUNTIFS($EG$5:$EG$1003,$EG979,$EB$5:$EB$1003,"PM")&gt;0,"PM",IF(COUNTIFS($EG$5:$EG$1003,$EG979,$EB$5:$EB$1003,"OT")&gt;0,"OT",""))))</f>
        <v/>
      </c>
      <c r="EQ979">
        <f>IF($EN979=0,"",UPPER(TRIM(INDEX(LINES_STATUS,$EN979)&amp;"")))</f>
        <v/>
      </c>
      <c r="ER979">
        <f>IF($DM979=0,"",IF(OR($EQ979="READY",$EQ979="PM",$EQ979="OT"),$EQ979,$EP979))</f>
        <v/>
      </c>
      <c r="ES979">
        <f>IF($DM979=0,"",IF(AND($DV979&lt;&gt;"",UPPER($DV979)&lt;&gt;"N"),"allergen",IF(ISNUMBER(SEARCH("oil",$DQ979)),"oil",IF(OR(EXACT($DS979,"A662"),EXACT($DS979,"A624")),"bulk",""))))</f>
        <v/>
      </c>
      <c r="ET979">
        <f>IF($DM979=0,"",IF(OR($EA979="",$EA979=0),"",$EA979/100))</f>
        <v/>
      </c>
      <c r="EU979">
        <f>IF(OR($ET979="",$DY979=""),"",INT($DY979*(1-$ET979)+0.5))</f>
        <v/>
      </c>
    </row>
    <row r="980">
      <c r="DA980" t="n">
        <v>976</v>
      </c>
      <c r="DB980">
        <f>IF($B$37=0,"",IFERROR(TRIM(SUBSTITUTE(SUBSTITUTE(SUBSTITUTE(SUBSTITUTE(INDEX(PASTE_ALL,976,$B$37)," "," "),CHAR(9)," "),CHAR(10)," "),CHAR(13)," ")),""))</f>
        <v/>
      </c>
      <c r="DC980">
        <f>IF(AND(976&gt;HEADER_ROW,UPPER(DB980)="LEGEND"),1,0)</f>
        <v/>
      </c>
      <c r="DE980" t="n">
        <v>976</v>
      </c>
      <c r="DF980">
        <f>HEADER_ROW+$DE980</f>
        <v/>
      </c>
      <c r="DG980">
        <f>IF(AND($DF980&lt;=1000,$DF980&lt;$B$8),1,0)</f>
        <v/>
      </c>
      <c r="DH980">
        <f>IF($DG980=1,IFERROR(INDEX($DB$5:$DB$1004,$DF980),""),"")</f>
        <v/>
      </c>
      <c r="DI980">
        <f>IF(AND($DG980=1,$DH980&lt;&gt;""),IFERROR(SUBSTITUTE(SUBSTITUTE(TRIM(SUBSTITUTE(SUBSTITUTE(SUBSTITUTE(SUBSTITUTE(IFERROR(INDEX(PASTE_ALL,$DF980,1)&amp;"","")&amp;"␟"&amp;IFERROR(INDEX(PASTE_ALL,$DF980,2)&amp;"","")&amp;"␟"&amp;IFERROR(INDEX(PASTE_ALL,$DF980,3)&amp;"","")&amp;"␟"&amp;IFERROR(INDEX(PASTE_ALL,$DF980,4)&amp;"","")&amp;"␟"&amp;IFERROR(INDEX(PASTE_ALL,$DF980,5)&amp;"","")&amp;"␟"&amp;IFERROR(INDEX(PASTE_ALL,$DF980,6)&amp;"","")&amp;"␟"&amp;IFERROR(INDEX(PASTE_ALL,$DF980,7)&amp;"","")&amp;"␟"&amp;IFERROR(INDEX(PASTE_ALL,$DF980,8)&amp;"","")&amp;"␟"&amp;IFERROR(INDEX(PASTE_ALL,$DF980,9)&amp;"","")&amp;"␟"&amp;IFERROR(INDEX(PASTE_ALL,$DF980,10)&amp;"","")&amp;"␟"&amp;IFERROR(INDEX(PASTE_ALL,$DF980,11)&amp;"","")&amp;"␟"&amp;IFERROR(INDEX(PASTE_ALL,$DF980,12)&amp;"","")&amp;"␟"&amp;IFERROR(INDEX(PASTE_ALL,$DF980,13)&amp;"","")&amp;"␟"&amp;IFERROR(INDEX(PASTE_ALL,$DF980,14)&amp;"","")&amp;"␟"&amp;IFERROR(INDEX(PASTE_ALL,$DF980,15)&amp;"","")&amp;"␟"&amp;IFERROR(INDEX(PASTE_ALL,$DF980,16)&amp;"","")&amp;"␟"&amp;IFERROR(INDEX(PASTE_ALL,$DF980,17)&amp;"","")&amp;"␟"&amp;IFERROR(INDEX(PASTE_ALL,$DF980,18)&amp;"","")&amp;"␟"&amp;IFERROR(INDEX(PASTE_ALL,$DF980,19)&amp;"","")&amp;"␟"&amp;IFERROR(INDEX(PASTE_ALL,$DF980,20)&amp;"","")&amp;"␟"&amp;IFERROR(INDEX(PASTE_ALL,$DF980,21)&amp;"","")&amp;"␟"&amp;IFERROR(INDEX(PASTE_ALL,$DF980,22)&amp;"","")&amp;"␟"&amp;IFERROR(INDEX(PASTE_ALL,$DF980,23)&amp;"","")&amp;"␟"&amp;IFERROR(INDEX(PASTE_ALL,$DF980,24)&amp;"","")&amp;"␟"&amp;IFERROR(INDEX(PASTE_ALL,$DF980,25)&amp;"","")&amp;"␟"&amp;IFERROR(INDEX(PASTE_ALL,$DF980,26)&amp;"","")&amp;"␟"&amp;IFERROR(INDEX(PASTE_ALL,$DF980,27)&amp;"","")&amp;"␟"&amp;IFERROR(INDEX(PASTE_ALL,$DF980,28)&amp;"","")&amp;"␟"&amp;IFERROR(INDEX(PASTE_ALL,$DF980,29)&amp;"","")&amp;"␟"&amp;IFERROR(INDEX(PASTE_ALL,$DF980,30)&amp;"","")&amp;"␟"&amp;IFERROR(INDEX(PASTE_ALL,$DF980,31)&amp;"","")&amp;"␟"&amp;IFERROR(INDEX(PASTE_ALL,$DF980,32)&amp;"","")&amp;"␟"&amp;IFERROR(INDEX(PASTE_ALL,$DF980,33)&amp;"","")&amp;"␟"&amp;IFERROR(INDEX(PASTE_ALL,$DF980,34)&amp;"","")&amp;"␟"&amp;IFERROR(INDEX(PASTE_ALL,$DF980,35)&amp;"","")&amp;"␟"&amp;IFERROR(INDEX(PASTE_ALL,$DF980,36)&amp;"","")&amp;"␟"&amp;IFERROR(INDEX(PASTE_ALL,$DF980,37)&amp;"","")&amp;"␟"&amp;IFERROR(INDEX(PASTE_ALL,$DF980,38)&amp;"","")&amp;"␟"&amp;IFERROR(INDEX(PASTE_ALL,$DF980,39)&amp;"","")&amp;"␟"&amp;IFERROR(INDEX(PASTE_ALL,$DF980,40)&amp;"","")&amp;"␟"&amp;IFERROR(INDEX(PASTE_ALL,$DF980,41)&amp;"","")&amp;"␟"&amp;IFERROR(INDEX(PASTE_ALL,$DF980,42)&amp;"","")&amp;"␟"&amp;IFERROR(INDEX(PASTE_ALL,$DF980,43)&amp;"","")&amp;"␟"&amp;IFERROR(INDEX(PASTE_ALL,$DF980,44)&amp;"","")&amp;"␟"&amp;IFERROR(INDEX(PASTE_ALL,$DF980,45)&amp;"","")&amp;"␟"&amp;IFERROR(INDEX(PASTE_ALL,$DF980,46)&amp;"","")&amp;"␟"&amp;IFERROR(INDEX(PASTE_ALL,$DF980,47)&amp;"","")&amp;"␟"&amp;IFERROR(INDEX(PASTE_ALL,$DF980,48)&amp;"","")&amp;"␟"&amp;IFERROR(INDEX(PASTE_ALL,$DF980,49)&amp;"","")&amp;"␟"&amp;IFERROR(INDEX(PASTE_ALL,$DF980,50)&amp;"","")&amp;"␟"&amp;IFERROR(INDEX(PASTE_ALL,$DF980,51)&amp;"","")&amp;"␟"&amp;IFERROR(INDEX(PASTE_ALL,$DF980,52)&amp;"","")&amp;"␟"&amp;IFERROR(INDEX(PASTE_ALL,$DF980,53)&amp;"","")&amp;"␟"&amp;IFERROR(INDEX(PASTE_ALL,$DF980,54)&amp;"","")&amp;"␟"&amp;IFERROR(INDEX(PASTE_ALL,$DF980,55)&amp;"","")&amp;"␟"&amp;IFERROR(INDEX(PASTE_ALL,$DF980,56)&amp;"","")&amp;"␟"&amp;IFERROR(INDEX(PASTE_ALL,$DF980,57)&amp;"","")&amp;"␟"&amp;IFERROR(INDEX(PASTE_ALL,$DF980,58)&amp;"","")&amp;"␟"&amp;IFERROR(INDEX(PASTE_ALL,$DF980,59)&amp;"","")&amp;"␟"&amp;IFERROR(INDEX(PASTE_ALL,$DF980,60)&amp;"","")," "," "),CHAR(9)," "),CHAR(10)," "),CHAR(13)," "))," ␟","␟"),"␟ ","␟"),"#"&amp;$DE980),"")</f>
        <v/>
      </c>
      <c r="DJ980">
        <f>IF($DI980="",0,IF(SUMPRODUCT(--EXACT($DI$4:DI979,$DI980))&gt;0,1,0))</f>
        <v/>
      </c>
      <c r="DK980">
        <f>IF(AND($DI980&lt;&gt;"",$DJ980=0),1,0)</f>
        <v/>
      </c>
      <c r="DL980">
        <f>DL979+$DK980</f>
        <v/>
      </c>
      <c r="DM980">
        <f>IF(AND($DK980=1,$DL980&lt;=600),1,0)</f>
        <v/>
      </c>
      <c r="DN980">
        <f>IF($DM980=0,"",IF($L$6=0,"",IFERROR(IF(ISNUMBER(INDEX(PASTE_ALL,$DF980,$L$6)),INDEX(PASTE_ALL,$DF980,$L$6),TRIM(SUBSTITUTE(SUBSTITUTE(SUBSTITUTE(SUBSTITUTE(INDEX(PASTE_ALL,$DF980,$L$6)," "," "),CHAR(9)," "),CHAR(10)," "),CHAR(13)," "))),"")))</f>
        <v/>
      </c>
      <c r="DO980">
        <f>IF($DM980=0,"",IF($L$7=0,"",IFERROR(IF(ISNUMBER(INDEX(PASTE_ALL,$DF980,$L$7)),INDEX(PASTE_ALL,$DF980,$L$7),TRIM(SUBSTITUTE(SUBSTITUTE(SUBSTITUTE(SUBSTITUTE(INDEX(PASTE_ALL,$DF980,$L$7)," "," "),CHAR(9)," "),CHAR(10)," "),CHAR(13)," "))),"")))</f>
        <v/>
      </c>
      <c r="DP980">
        <f>IF($DM980=0,"",IF($L$8=0,"",IFERROR(IF(ISNUMBER(INDEX(PASTE_ALL,$DF980,$L$8)),INDEX(PASTE_ALL,$DF980,$L$8),TRIM(SUBSTITUTE(SUBSTITUTE(SUBSTITUTE(SUBSTITUTE(INDEX(PASTE_ALL,$DF980,$L$8)," "," "),CHAR(9)," "),CHAR(10)," "),CHAR(13)," "))),"")))</f>
        <v/>
      </c>
      <c r="DQ980">
        <f>IF($DM980=0,"",IF($L$9=0,"",IFERROR(IF(ISNUMBER(INDEX(PASTE_ALL,$DF980,$L$9)),INDEX(PASTE_ALL,$DF980,$L$9),TRIM(SUBSTITUTE(SUBSTITUTE(SUBSTITUTE(SUBSTITUTE(INDEX(PASTE_ALL,$DF980,$L$9)," "," "),CHAR(9)," "),CHAR(10)," "),CHAR(13)," "))),"")))</f>
        <v/>
      </c>
      <c r="DR980">
        <f>IF($DM980=0,"",IF($L$10=0,"",IFERROR(IF(ISNUMBER(INDEX(PASTE_ALL,$DF980,$L$10)),INDEX(PASTE_ALL,$DF980,$L$10),TRIM(SUBSTITUTE(SUBSTITUTE(SUBSTITUTE(SUBSTITUTE(INDEX(PASTE_ALL,$DF980,$L$10)," "," "),CHAR(9)," "),CHAR(10)," "),CHAR(13)," "))),"")))</f>
        <v/>
      </c>
      <c r="DS980">
        <f>IF($DM980=0,"",IF($L$11=0,"",IFERROR(IF(ISNUMBER(INDEX(PASTE_ALL,$DF980,$L$11)),INDEX(PASTE_ALL,$DF980,$L$11),TRIM(SUBSTITUTE(SUBSTITUTE(SUBSTITUTE(SUBSTITUTE(INDEX(PASTE_ALL,$DF980,$L$11)," "," "),CHAR(9)," "),CHAR(10)," "),CHAR(13)," "))),"")))</f>
        <v/>
      </c>
      <c r="DT980">
        <f>IF($DM980=0,"",IF($L$12=0,"",IFERROR(IF(ISNUMBER(INDEX(PASTE_ALL,$DF980,$L$12)),INDEX(PASTE_ALL,$DF980,$L$12),TRIM(SUBSTITUTE(SUBSTITUTE(SUBSTITUTE(SUBSTITUTE(INDEX(PASTE_ALL,$DF980,$L$12)," "," "),CHAR(9)," "),CHAR(10)," "),CHAR(13)," "))),"")))</f>
        <v/>
      </c>
      <c r="DU980">
        <f>IF($DM980=0,"",IF($L$13=0,"",IFERROR(IF(ISNUMBER(INDEX(PASTE_ALL,$DF980,$L$13)),INDEX(PASTE_ALL,$DF980,$L$13),TRIM(SUBSTITUTE(SUBSTITUTE(SUBSTITUTE(SUBSTITUTE(INDEX(PASTE_ALL,$DF980,$L$13)," "," "),CHAR(9)," "),CHAR(10)," "),CHAR(13)," "))),"")))</f>
        <v/>
      </c>
      <c r="DV980">
        <f>IF($DM980=0,"",IF($L$14=0,"",IFERROR(IF(ISNUMBER(INDEX(PASTE_ALL,$DF980,$L$14)),INDEX(PASTE_ALL,$DF980,$L$14),TRIM(SUBSTITUTE(SUBSTITUTE(SUBSTITUTE(SUBSTITUTE(INDEX(PASTE_ALL,$DF980,$L$14)," "," "),CHAR(9)," "),CHAR(10)," "),CHAR(13)," "))),"")))</f>
        <v/>
      </c>
      <c r="DW980">
        <f>IF($DM980=0,"",IF($L$15=0,"",IFERROR(IF(ISNUMBER(INDEX(PASTE_ALL,$DF980,$L$15)),INDEX(PASTE_ALL,$DF980,$L$15),IF(SUMPRODUCT(--ISNUMBER(FIND({"A","B","C","D","E","F","G","H","I","J","K","L","M","N","O","P","Q","R","S","T","U","V","W","X","Y","Z","0","1","2","3","4","5","6","7","8","9"},UPPER(TRIM(SUBSTITUTE(SUBSTITUTE(SUBSTITUTE(SUBSTITUTE(INDEX(PASTE_ALL,$DF980,$L$15)," "," "),CHAR(9)," "),CHAR(10)," "),CHAR(13)," "))))))&gt;0,TRIM(SUBSTITUTE(SUBSTITUTE(SUBSTITUTE(SUBSTITUTE(INDEX(PASTE_ALL,$DF980,$L$15)," "," "),CHAR(9)," "),CHAR(10)," "),CHAR(13)," ")),"")),"")))</f>
        <v/>
      </c>
      <c r="DX980">
        <f>IF($DM980=0,"",IF($L$16=0,"",IFERROR(IF(ISNUMBER(INDEX(PASTE_ALL,$DF980,$L$16)),INDEX(PASTE_ALL,$DF980,$L$16),SUBSTITUTE(SUBSTITUTE(TRIM(SUBSTITUTE(SUBSTITUTE(SUBSTITUTE(SUBSTITUTE(INDEX(PASTE_ALL,$DF980,$L$16)," "," "),CHAR(9)," "),CHAR(10)," "),CHAR(13)," ")),",",""),"%","")),"")))</f>
        <v/>
      </c>
      <c r="DY980">
        <f>IF($DM980=0,"",IFERROR(IF(ISNUMBER($DX980),$DX980,IF($DX980="","",IF(TRIM($DX980)="",0,IF(AND(AND(SUBSTITUTE(SUBSTITUTE(SUBSTITUTE(SUBSTITUTE(SUBSTITUTE(SUBSTITUTE(SUBSTITUTE(SUBSTITUTE(SUBSTITUTE(SUBSTITUTE(SUBSTITUTE(SUBSTITUTE(SUBSTITUTE(SUBSTITUTE(UPPER(TRIM($DX980)),"0",""),"1",""),"2",""),"3",""),"4",""),"5",""),"6",""),"7",""),"8",""),"9",""),".",""),"+",""),"-",""),"E","")="",LEN(SUBSTITUTE(SUBSTITUTE(MID(UPPER(TRIM($DX980)),1+OR(LEFT(UPPER(TRIM($DX980)),1)="+",LEFT(UPPER(TRIM($DX980)),1)="-"),999),"E+","E"),"E-","E"))=LEN(SUBSTITUTE(SUBSTITUTE(SUBSTITUTE(SUBSTITUTE(MID(UPPER(TRIM($DX980)),1+OR(LEFT(UPPER(TRIM($DX980)),1)="+",LEFT(UPPER(TRIM($DX980)),1)="-"),999),"E+","E"),"E-","E"),"+",""),"-","")),LEN(UPPER(TRIM($DX980)))-LEN(SUBSTITUTE(UPPER(TRIM($DX980)),"E",""))&lt;2,LEN(UPPER(TRIM($DX980)))-LEN(SUBSTITUTE(UPPER(TRIM($DX980)),".",""))&lt;2,IFERROR(FIND(".",UPPER(TRIM($DX980))),0)&lt;IFERROR(FIND("E",UPPER(TRIM($DX980))),999)),ISNUMBER(VALUE(TRIM($DX980)))),VALUE(TRIM($DX980)),"")))),""))</f>
        <v/>
      </c>
      <c r="DZ980">
        <f>IF($DM980=0,"",IF($L$17=0,"",IFERROR(IF(ISNUMBER(INDEX(PASTE_ALL,$DF980,$L$17)),INDEX(PASTE_ALL,$DF980,$L$17),SUBSTITUTE(SUBSTITUTE(TRIM(SUBSTITUTE(SUBSTITUTE(SUBSTITUTE(SUBSTITUTE(INDEX(PASTE_ALL,$DF980,$L$17)," "," "),CHAR(9)," "),CHAR(10)," "),CHAR(13)," ")),",",""),"%","")),"")))</f>
        <v/>
      </c>
      <c r="EA980">
        <f>IF($DM980=0,"",IFERROR(IF(ISNUMBER($DZ980),$DZ980,IF($DZ980="","",IF(TRIM($DZ980)="",0,IF(AND(AND(SUBSTITUTE(SUBSTITUTE(SUBSTITUTE(SUBSTITUTE(SUBSTITUTE(SUBSTITUTE(SUBSTITUTE(SUBSTITUTE(SUBSTITUTE(SUBSTITUTE(SUBSTITUTE(SUBSTITUTE(SUBSTITUTE(SUBSTITUTE(UPPER(TRIM($DZ980)),"0",""),"1",""),"2",""),"3",""),"4",""),"5",""),"6",""),"7",""),"8",""),"9",""),".",""),"+",""),"-",""),"E","")="",LEN(SUBSTITUTE(SUBSTITUTE(MID(UPPER(TRIM($DZ980)),1+OR(LEFT(UPPER(TRIM($DZ980)),1)="+",LEFT(UPPER(TRIM($DZ980)),1)="-"),999),"E+","E"),"E-","E"))=LEN(SUBSTITUTE(SUBSTITUTE(SUBSTITUTE(SUBSTITUTE(MID(UPPER(TRIM($DZ980)),1+OR(LEFT(UPPER(TRIM($DZ980)),1)="+",LEFT(UPPER(TRIM($DZ980)),1)="-"),999),"E+","E"),"E-","E"),"+",""),"-","")),LEN(UPPER(TRIM($DZ980)))-LEN(SUBSTITUTE(UPPER(TRIM($DZ980)),"E",""))&lt;2,LEN(UPPER(TRIM($DZ980)))-LEN(SUBSTITUTE(UPPER(TRIM($DZ980)),".",""))&lt;2,IFERROR(FIND(".",UPPER(TRIM($DZ980))),0)&lt;IFERROR(FIND("E",UPPER(TRIM($DZ980))),999)),ISNUMBER(VALUE(TRIM($DZ980)))),VALUE(TRIM($DZ980)),"")))),""))</f>
        <v/>
      </c>
      <c r="EB980">
        <f>IF($DM980=0,"",IF($L$18=0,"",IFERROR(IF(UPPER(TRIM(SUBSTITUTE(SUBSTITUTE(SUBSTITUTE(SUBSTITUTE(INDEX(PASTE_ALL,$DF980,$L$18)," "," "),CHAR(9)," "),CHAR(10)," "),CHAR(13)," ")))="READY","Ready",IF(UPPER(TRIM(SUBSTITUTE(SUBSTITUTE(SUBSTITUTE(SUBSTITUTE(INDEX(PASTE_ALL,$DF980,$L$18)," "," "),CHAR(9)," "),CHAR(10)," "),CHAR(13)," ")))="PM","PM",IF(OR(UPPER(TRIM(SUBSTITUTE(SUBSTITUTE(SUBSTITUTE(SUBSTITUTE(INDEX(PASTE_ALL,$DF980,$L$18)," "," "),CHAR(9)," "),CHAR(10)," "),CHAR(13)," ")))="OT",UPPER(TRIM(SUBSTITUTE(SUBSTITUTE(SUBSTITUTE(SUBSTITUTE(INDEX(PASTE_ALL,$DF980,$L$18)," "," "),CHAR(9)," "),CHAR(10)," "),CHAR(13)," ")))="OVERTIME",UPPER(TRIM(SUBSTITUTE(SUBSTITUTE(SUBSTITUTE(SUBSTITUTE(INDEX(PASTE_ALL,$DF980,$L$18)," "," "),CHAR(9)," "),CHAR(10)," "),CHAR(13)," ")))="TRIAL"),"OT",TRIM(SUBSTITUTE(SUBSTITUTE(SUBSTITUTE(SUBSTITUTE(INDEX(PASTE_ALL,$DF980,$L$18)," "," "),CHAR(9)," "),CHAR(10)," "),CHAR(13)," "))))),"")))</f>
        <v/>
      </c>
      <c r="EC980">
        <f>IF($DM980=0,"",IF($L$19=0,"",IFERROR(IF(ISNUMBER(INDEX(PASTE_ALL,$DF980,$L$19)),INDEX(PASTE_ALL,$DF980,$L$19),TRIM(SUBSTITUTE(SUBSTITUTE(SUBSTITUTE(SUBSTITUTE(INDEX(PASTE_ALL,$DF980,$L$19)," "," "),CHAR(9)," "),CHAR(10)," "),CHAR(13)," "))),"")))</f>
        <v/>
      </c>
      <c r="ED980">
        <f>IF($DM980=0,"",MATCH(1,INDEX(EXACT($DH$5:DH980,$DH980)*$DM$5:DM980,0),0))</f>
        <v/>
      </c>
      <c r="EE980">
        <f>IF($DM980=0,0,IF($ED980=$DE980,1,0))</f>
        <v/>
      </c>
      <c r="EF980">
        <f>EF979+$EE980</f>
        <v/>
      </c>
      <c r="EG980">
        <f>IF($DM980=0,"",INDEX($EF$5:$EF$1003,$ED980))</f>
        <v/>
      </c>
      <c r="EH980">
        <f>IF($DM980=0,"",IF($DO980&lt;&gt;"","",IFERROR(LOOKUP(2,1/(($EG$4:EG979=$EG980)*($DO$4:DO979&lt;&gt;"")),$DO$4:DO979),"")))</f>
        <v/>
      </c>
      <c r="EI980">
        <f>IF($DM980=0,"",IF($DO980&lt;&gt;"",$DO980,$EH980))</f>
        <v/>
      </c>
      <c r="EJ980">
        <f>IF($DM980=0,"",IF($EI980="",0,IF(OR(ISNUMBER($EI980),AND(AND(SUBSTITUTE(SUBSTITUTE(SUBSTITUTE(SUBSTITUTE(SUBSTITUTE(SUBSTITUTE(SUBSTITUTE(SUBSTITUTE(SUBSTITUTE(SUBSTITUTE(SUBSTITUTE(SUBSTITUTE(SUBSTITUTE(SUBSTITUTE(UPPER($EI980),"0",""),"1",""),"2",""),"3",""),"4",""),"5",""),"6",""),"7",""),"8",""),"9",""),".",""),"+",""),"-",""),"E","")="",LEN(SUBSTITUTE(SUBSTITUTE(MID(UPPER($EI980),1+OR(LEFT(UPPER($EI980),1)="+",LEFT(UPPER($EI980),1)="-"),999),"E+","E"),"E-","E"))=LEN(SUBSTITUTE(SUBSTITUTE(SUBSTITUTE(SUBSTITUTE(MID(UPPER($EI980),1+OR(LEFT(UPPER($EI980),1)="+",LEFT(UPPER($EI980),1)="-"),999),"E+","E"),"E-","E"),"+",""),"-","")),LEN(UPPER($EI980))-LEN(SUBSTITUTE(UPPER($EI980),"E",""))&lt;2,LEN(UPPER($EI980))-LEN(SUBSTITUTE(UPPER($EI980),".",""))&lt;2,IFERROR(FIND(".",UPPER($EI980)),0)&lt;IFERROR(FIND("E",UPPER($EI980)),999)),ISNUMBER(VALUE($EI980)))),1,2)))</f>
        <v/>
      </c>
      <c r="EK980">
        <f>IF($DM980=0,"",IF($EJ980=1,IF(ISNUMBER($EI980),$EI980,VALUE($EI980)),IF($EJ980=2,$DE980,0)))</f>
        <v/>
      </c>
      <c r="EL980">
        <f>IF($DM980=0,"",COUNTIF($EG$5:$EG$1003,"&lt;"&amp;$EG980)+SUMPRODUCT(($EG$5:$EG$1003=$EG980)*(($EJ$5:$EJ$1003&lt;$EJ980)+($EJ$5:$EJ$1003=$EJ980)*(($EK$5:$EK$1003&lt;$EK980)+($EK$5:$EK$1003=$EK980)*($DE$5:$DE$1003&lt;$DE980))))+1)</f>
        <v/>
      </c>
      <c r="EM980">
        <f>IF($DM980=0,"",$EL980+$EG980-1)</f>
        <v/>
      </c>
      <c r="EN980">
        <f>IF($DM980=0,0,IFERROR(MATCH(1,INDEX(--(TRIM(SUBSTITUTE(SUBSTITUTE(SUBSTITUTE(SUBSTITUTE(LINES_NAME&amp;""," "," "),CHAR(9)," "),CHAR(10)," "),CHAR(13)," "))=$DH980),0),0),0))</f>
        <v/>
      </c>
      <c r="EO980">
        <f>IF($EN980=0,0,IF(OR(UPPER(TRIM(INDEX(LINES_SCHEDULED,$EN980)&amp;""))="YES",UPPER(TRIM(INDEX(LINES_SCHEDULED,$EN980)&amp;""))="Y",UPPER(TRIM(INDEX(LINES_SCHEDULED,$EN980)&amp;""))="X"),1,0))</f>
        <v/>
      </c>
      <c r="EP980">
        <f>IF($DM980=0,"",IF(COUNTIFS($EG$5:$EG$1003,$EG980,$EB$5:$EB$1003,"Ready")&gt;0,"READY",IF(COUNTIFS($EG$5:$EG$1003,$EG980,$EB$5:$EB$1003,"PM")&gt;0,"PM",IF(COUNTIFS($EG$5:$EG$1003,$EG980,$EB$5:$EB$1003,"OT")&gt;0,"OT",""))))</f>
        <v/>
      </c>
      <c r="EQ980">
        <f>IF($EN980=0,"",UPPER(TRIM(INDEX(LINES_STATUS,$EN980)&amp;"")))</f>
        <v/>
      </c>
      <c r="ER980">
        <f>IF($DM980=0,"",IF(OR($EQ980="READY",$EQ980="PM",$EQ980="OT"),$EQ980,$EP980))</f>
        <v/>
      </c>
      <c r="ES980">
        <f>IF($DM980=0,"",IF(AND($DV980&lt;&gt;"",UPPER($DV980)&lt;&gt;"N"),"allergen",IF(ISNUMBER(SEARCH("oil",$DQ980)),"oil",IF(OR(EXACT($DS980,"A662"),EXACT($DS980,"A624")),"bulk",""))))</f>
        <v/>
      </c>
      <c r="ET980">
        <f>IF($DM980=0,"",IF(OR($EA980="",$EA980=0),"",$EA980/100))</f>
        <v/>
      </c>
      <c r="EU980">
        <f>IF(OR($ET980="",$DY980=""),"",INT($DY980*(1-$ET980)+0.5))</f>
        <v/>
      </c>
    </row>
    <row r="981">
      <c r="DA981" t="n">
        <v>977</v>
      </c>
      <c r="DB981">
        <f>IF($B$37=0,"",IFERROR(TRIM(SUBSTITUTE(SUBSTITUTE(SUBSTITUTE(SUBSTITUTE(INDEX(PASTE_ALL,977,$B$37)," "," "),CHAR(9)," "),CHAR(10)," "),CHAR(13)," ")),""))</f>
        <v/>
      </c>
      <c r="DC981">
        <f>IF(AND(977&gt;HEADER_ROW,UPPER(DB981)="LEGEND"),1,0)</f>
        <v/>
      </c>
      <c r="DE981" t="n">
        <v>977</v>
      </c>
      <c r="DF981">
        <f>HEADER_ROW+$DE981</f>
        <v/>
      </c>
      <c r="DG981">
        <f>IF(AND($DF981&lt;=1000,$DF981&lt;$B$8),1,0)</f>
        <v/>
      </c>
      <c r="DH981">
        <f>IF($DG981=1,IFERROR(INDEX($DB$5:$DB$1004,$DF981),""),"")</f>
        <v/>
      </c>
      <c r="DI981">
        <f>IF(AND($DG981=1,$DH981&lt;&gt;""),IFERROR(SUBSTITUTE(SUBSTITUTE(TRIM(SUBSTITUTE(SUBSTITUTE(SUBSTITUTE(SUBSTITUTE(IFERROR(INDEX(PASTE_ALL,$DF981,1)&amp;"","")&amp;"␟"&amp;IFERROR(INDEX(PASTE_ALL,$DF981,2)&amp;"","")&amp;"␟"&amp;IFERROR(INDEX(PASTE_ALL,$DF981,3)&amp;"","")&amp;"␟"&amp;IFERROR(INDEX(PASTE_ALL,$DF981,4)&amp;"","")&amp;"␟"&amp;IFERROR(INDEX(PASTE_ALL,$DF981,5)&amp;"","")&amp;"␟"&amp;IFERROR(INDEX(PASTE_ALL,$DF981,6)&amp;"","")&amp;"␟"&amp;IFERROR(INDEX(PASTE_ALL,$DF981,7)&amp;"","")&amp;"␟"&amp;IFERROR(INDEX(PASTE_ALL,$DF981,8)&amp;"","")&amp;"␟"&amp;IFERROR(INDEX(PASTE_ALL,$DF981,9)&amp;"","")&amp;"␟"&amp;IFERROR(INDEX(PASTE_ALL,$DF981,10)&amp;"","")&amp;"␟"&amp;IFERROR(INDEX(PASTE_ALL,$DF981,11)&amp;"","")&amp;"␟"&amp;IFERROR(INDEX(PASTE_ALL,$DF981,12)&amp;"","")&amp;"␟"&amp;IFERROR(INDEX(PASTE_ALL,$DF981,13)&amp;"","")&amp;"␟"&amp;IFERROR(INDEX(PASTE_ALL,$DF981,14)&amp;"","")&amp;"␟"&amp;IFERROR(INDEX(PASTE_ALL,$DF981,15)&amp;"","")&amp;"␟"&amp;IFERROR(INDEX(PASTE_ALL,$DF981,16)&amp;"","")&amp;"␟"&amp;IFERROR(INDEX(PASTE_ALL,$DF981,17)&amp;"","")&amp;"␟"&amp;IFERROR(INDEX(PASTE_ALL,$DF981,18)&amp;"","")&amp;"␟"&amp;IFERROR(INDEX(PASTE_ALL,$DF981,19)&amp;"","")&amp;"␟"&amp;IFERROR(INDEX(PASTE_ALL,$DF981,20)&amp;"","")&amp;"␟"&amp;IFERROR(INDEX(PASTE_ALL,$DF981,21)&amp;"","")&amp;"␟"&amp;IFERROR(INDEX(PASTE_ALL,$DF981,22)&amp;"","")&amp;"␟"&amp;IFERROR(INDEX(PASTE_ALL,$DF981,23)&amp;"","")&amp;"␟"&amp;IFERROR(INDEX(PASTE_ALL,$DF981,24)&amp;"","")&amp;"␟"&amp;IFERROR(INDEX(PASTE_ALL,$DF981,25)&amp;"","")&amp;"␟"&amp;IFERROR(INDEX(PASTE_ALL,$DF981,26)&amp;"","")&amp;"␟"&amp;IFERROR(INDEX(PASTE_ALL,$DF981,27)&amp;"","")&amp;"␟"&amp;IFERROR(INDEX(PASTE_ALL,$DF981,28)&amp;"","")&amp;"␟"&amp;IFERROR(INDEX(PASTE_ALL,$DF981,29)&amp;"","")&amp;"␟"&amp;IFERROR(INDEX(PASTE_ALL,$DF981,30)&amp;"","")&amp;"␟"&amp;IFERROR(INDEX(PASTE_ALL,$DF981,31)&amp;"","")&amp;"␟"&amp;IFERROR(INDEX(PASTE_ALL,$DF981,32)&amp;"","")&amp;"␟"&amp;IFERROR(INDEX(PASTE_ALL,$DF981,33)&amp;"","")&amp;"␟"&amp;IFERROR(INDEX(PASTE_ALL,$DF981,34)&amp;"","")&amp;"␟"&amp;IFERROR(INDEX(PASTE_ALL,$DF981,35)&amp;"","")&amp;"␟"&amp;IFERROR(INDEX(PASTE_ALL,$DF981,36)&amp;"","")&amp;"␟"&amp;IFERROR(INDEX(PASTE_ALL,$DF981,37)&amp;"","")&amp;"␟"&amp;IFERROR(INDEX(PASTE_ALL,$DF981,38)&amp;"","")&amp;"␟"&amp;IFERROR(INDEX(PASTE_ALL,$DF981,39)&amp;"","")&amp;"␟"&amp;IFERROR(INDEX(PASTE_ALL,$DF981,40)&amp;"","")&amp;"␟"&amp;IFERROR(INDEX(PASTE_ALL,$DF981,41)&amp;"","")&amp;"␟"&amp;IFERROR(INDEX(PASTE_ALL,$DF981,42)&amp;"","")&amp;"␟"&amp;IFERROR(INDEX(PASTE_ALL,$DF981,43)&amp;"","")&amp;"␟"&amp;IFERROR(INDEX(PASTE_ALL,$DF981,44)&amp;"","")&amp;"␟"&amp;IFERROR(INDEX(PASTE_ALL,$DF981,45)&amp;"","")&amp;"␟"&amp;IFERROR(INDEX(PASTE_ALL,$DF981,46)&amp;"","")&amp;"␟"&amp;IFERROR(INDEX(PASTE_ALL,$DF981,47)&amp;"","")&amp;"␟"&amp;IFERROR(INDEX(PASTE_ALL,$DF981,48)&amp;"","")&amp;"␟"&amp;IFERROR(INDEX(PASTE_ALL,$DF981,49)&amp;"","")&amp;"␟"&amp;IFERROR(INDEX(PASTE_ALL,$DF981,50)&amp;"","")&amp;"␟"&amp;IFERROR(INDEX(PASTE_ALL,$DF981,51)&amp;"","")&amp;"␟"&amp;IFERROR(INDEX(PASTE_ALL,$DF981,52)&amp;"","")&amp;"␟"&amp;IFERROR(INDEX(PASTE_ALL,$DF981,53)&amp;"","")&amp;"␟"&amp;IFERROR(INDEX(PASTE_ALL,$DF981,54)&amp;"","")&amp;"␟"&amp;IFERROR(INDEX(PASTE_ALL,$DF981,55)&amp;"","")&amp;"␟"&amp;IFERROR(INDEX(PASTE_ALL,$DF981,56)&amp;"","")&amp;"␟"&amp;IFERROR(INDEX(PASTE_ALL,$DF981,57)&amp;"","")&amp;"␟"&amp;IFERROR(INDEX(PASTE_ALL,$DF981,58)&amp;"","")&amp;"␟"&amp;IFERROR(INDEX(PASTE_ALL,$DF981,59)&amp;"","")&amp;"␟"&amp;IFERROR(INDEX(PASTE_ALL,$DF981,60)&amp;"","")," "," "),CHAR(9)," "),CHAR(10)," "),CHAR(13)," "))," ␟","␟"),"␟ ","␟"),"#"&amp;$DE981),"")</f>
        <v/>
      </c>
      <c r="DJ981">
        <f>IF($DI981="",0,IF(SUMPRODUCT(--EXACT($DI$4:DI980,$DI981))&gt;0,1,0))</f>
        <v/>
      </c>
      <c r="DK981">
        <f>IF(AND($DI981&lt;&gt;"",$DJ981=0),1,0)</f>
        <v/>
      </c>
      <c r="DL981">
        <f>DL980+$DK981</f>
        <v/>
      </c>
      <c r="DM981">
        <f>IF(AND($DK981=1,$DL981&lt;=600),1,0)</f>
        <v/>
      </c>
      <c r="DN981">
        <f>IF($DM981=0,"",IF($L$6=0,"",IFERROR(IF(ISNUMBER(INDEX(PASTE_ALL,$DF981,$L$6)),INDEX(PASTE_ALL,$DF981,$L$6),TRIM(SUBSTITUTE(SUBSTITUTE(SUBSTITUTE(SUBSTITUTE(INDEX(PASTE_ALL,$DF981,$L$6)," "," "),CHAR(9)," "),CHAR(10)," "),CHAR(13)," "))),"")))</f>
        <v/>
      </c>
      <c r="DO981">
        <f>IF($DM981=0,"",IF($L$7=0,"",IFERROR(IF(ISNUMBER(INDEX(PASTE_ALL,$DF981,$L$7)),INDEX(PASTE_ALL,$DF981,$L$7),TRIM(SUBSTITUTE(SUBSTITUTE(SUBSTITUTE(SUBSTITUTE(INDEX(PASTE_ALL,$DF981,$L$7)," "," "),CHAR(9)," "),CHAR(10)," "),CHAR(13)," "))),"")))</f>
        <v/>
      </c>
      <c r="DP981">
        <f>IF($DM981=0,"",IF($L$8=0,"",IFERROR(IF(ISNUMBER(INDEX(PASTE_ALL,$DF981,$L$8)),INDEX(PASTE_ALL,$DF981,$L$8),TRIM(SUBSTITUTE(SUBSTITUTE(SUBSTITUTE(SUBSTITUTE(INDEX(PASTE_ALL,$DF981,$L$8)," "," "),CHAR(9)," "),CHAR(10)," "),CHAR(13)," "))),"")))</f>
        <v/>
      </c>
      <c r="DQ981">
        <f>IF($DM981=0,"",IF($L$9=0,"",IFERROR(IF(ISNUMBER(INDEX(PASTE_ALL,$DF981,$L$9)),INDEX(PASTE_ALL,$DF981,$L$9),TRIM(SUBSTITUTE(SUBSTITUTE(SUBSTITUTE(SUBSTITUTE(INDEX(PASTE_ALL,$DF981,$L$9)," "," "),CHAR(9)," "),CHAR(10)," "),CHAR(13)," "))),"")))</f>
        <v/>
      </c>
      <c r="DR981">
        <f>IF($DM981=0,"",IF($L$10=0,"",IFERROR(IF(ISNUMBER(INDEX(PASTE_ALL,$DF981,$L$10)),INDEX(PASTE_ALL,$DF981,$L$10),TRIM(SUBSTITUTE(SUBSTITUTE(SUBSTITUTE(SUBSTITUTE(INDEX(PASTE_ALL,$DF981,$L$10)," "," "),CHAR(9)," "),CHAR(10)," "),CHAR(13)," "))),"")))</f>
        <v/>
      </c>
      <c r="DS981">
        <f>IF($DM981=0,"",IF($L$11=0,"",IFERROR(IF(ISNUMBER(INDEX(PASTE_ALL,$DF981,$L$11)),INDEX(PASTE_ALL,$DF981,$L$11),TRIM(SUBSTITUTE(SUBSTITUTE(SUBSTITUTE(SUBSTITUTE(INDEX(PASTE_ALL,$DF981,$L$11)," "," "),CHAR(9)," "),CHAR(10)," "),CHAR(13)," "))),"")))</f>
        <v/>
      </c>
      <c r="DT981">
        <f>IF($DM981=0,"",IF($L$12=0,"",IFERROR(IF(ISNUMBER(INDEX(PASTE_ALL,$DF981,$L$12)),INDEX(PASTE_ALL,$DF981,$L$12),TRIM(SUBSTITUTE(SUBSTITUTE(SUBSTITUTE(SUBSTITUTE(INDEX(PASTE_ALL,$DF981,$L$12)," "," "),CHAR(9)," "),CHAR(10)," "),CHAR(13)," "))),"")))</f>
        <v/>
      </c>
      <c r="DU981">
        <f>IF($DM981=0,"",IF($L$13=0,"",IFERROR(IF(ISNUMBER(INDEX(PASTE_ALL,$DF981,$L$13)),INDEX(PASTE_ALL,$DF981,$L$13),TRIM(SUBSTITUTE(SUBSTITUTE(SUBSTITUTE(SUBSTITUTE(INDEX(PASTE_ALL,$DF981,$L$13)," "," "),CHAR(9)," "),CHAR(10)," "),CHAR(13)," "))),"")))</f>
        <v/>
      </c>
      <c r="DV981">
        <f>IF($DM981=0,"",IF($L$14=0,"",IFERROR(IF(ISNUMBER(INDEX(PASTE_ALL,$DF981,$L$14)),INDEX(PASTE_ALL,$DF981,$L$14),TRIM(SUBSTITUTE(SUBSTITUTE(SUBSTITUTE(SUBSTITUTE(INDEX(PASTE_ALL,$DF981,$L$14)," "," "),CHAR(9)," "),CHAR(10)," "),CHAR(13)," "))),"")))</f>
        <v/>
      </c>
      <c r="DW981">
        <f>IF($DM981=0,"",IF($L$15=0,"",IFERROR(IF(ISNUMBER(INDEX(PASTE_ALL,$DF981,$L$15)),INDEX(PASTE_ALL,$DF981,$L$15),IF(SUMPRODUCT(--ISNUMBER(FIND({"A","B","C","D","E","F","G","H","I","J","K","L","M","N","O","P","Q","R","S","T","U","V","W","X","Y","Z","0","1","2","3","4","5","6","7","8","9"},UPPER(TRIM(SUBSTITUTE(SUBSTITUTE(SUBSTITUTE(SUBSTITUTE(INDEX(PASTE_ALL,$DF981,$L$15)," "," "),CHAR(9)," "),CHAR(10)," "),CHAR(13)," "))))))&gt;0,TRIM(SUBSTITUTE(SUBSTITUTE(SUBSTITUTE(SUBSTITUTE(INDEX(PASTE_ALL,$DF981,$L$15)," "," "),CHAR(9)," "),CHAR(10)," "),CHAR(13)," ")),"")),"")))</f>
        <v/>
      </c>
      <c r="DX981">
        <f>IF($DM981=0,"",IF($L$16=0,"",IFERROR(IF(ISNUMBER(INDEX(PASTE_ALL,$DF981,$L$16)),INDEX(PASTE_ALL,$DF981,$L$16),SUBSTITUTE(SUBSTITUTE(TRIM(SUBSTITUTE(SUBSTITUTE(SUBSTITUTE(SUBSTITUTE(INDEX(PASTE_ALL,$DF981,$L$16)," "," "),CHAR(9)," "),CHAR(10)," "),CHAR(13)," ")),",",""),"%","")),"")))</f>
        <v/>
      </c>
      <c r="DY981">
        <f>IF($DM981=0,"",IFERROR(IF(ISNUMBER($DX981),$DX981,IF($DX981="","",IF(TRIM($DX981)="",0,IF(AND(AND(SUBSTITUTE(SUBSTITUTE(SUBSTITUTE(SUBSTITUTE(SUBSTITUTE(SUBSTITUTE(SUBSTITUTE(SUBSTITUTE(SUBSTITUTE(SUBSTITUTE(SUBSTITUTE(SUBSTITUTE(SUBSTITUTE(SUBSTITUTE(UPPER(TRIM($DX981)),"0",""),"1",""),"2",""),"3",""),"4",""),"5",""),"6",""),"7",""),"8",""),"9",""),".",""),"+",""),"-",""),"E","")="",LEN(SUBSTITUTE(SUBSTITUTE(MID(UPPER(TRIM($DX981)),1+OR(LEFT(UPPER(TRIM($DX981)),1)="+",LEFT(UPPER(TRIM($DX981)),1)="-"),999),"E+","E"),"E-","E"))=LEN(SUBSTITUTE(SUBSTITUTE(SUBSTITUTE(SUBSTITUTE(MID(UPPER(TRIM($DX981)),1+OR(LEFT(UPPER(TRIM($DX981)),1)="+",LEFT(UPPER(TRIM($DX981)),1)="-"),999),"E+","E"),"E-","E"),"+",""),"-","")),LEN(UPPER(TRIM($DX981)))-LEN(SUBSTITUTE(UPPER(TRIM($DX981)),"E",""))&lt;2,LEN(UPPER(TRIM($DX981)))-LEN(SUBSTITUTE(UPPER(TRIM($DX981)),".",""))&lt;2,IFERROR(FIND(".",UPPER(TRIM($DX981))),0)&lt;IFERROR(FIND("E",UPPER(TRIM($DX981))),999)),ISNUMBER(VALUE(TRIM($DX981)))),VALUE(TRIM($DX981)),"")))),""))</f>
        <v/>
      </c>
      <c r="DZ981">
        <f>IF($DM981=0,"",IF($L$17=0,"",IFERROR(IF(ISNUMBER(INDEX(PASTE_ALL,$DF981,$L$17)),INDEX(PASTE_ALL,$DF981,$L$17),SUBSTITUTE(SUBSTITUTE(TRIM(SUBSTITUTE(SUBSTITUTE(SUBSTITUTE(SUBSTITUTE(INDEX(PASTE_ALL,$DF981,$L$17)," "," "),CHAR(9)," "),CHAR(10)," "),CHAR(13)," ")),",",""),"%","")),"")))</f>
        <v/>
      </c>
      <c r="EA981">
        <f>IF($DM981=0,"",IFERROR(IF(ISNUMBER($DZ981),$DZ981,IF($DZ981="","",IF(TRIM($DZ981)="",0,IF(AND(AND(SUBSTITUTE(SUBSTITUTE(SUBSTITUTE(SUBSTITUTE(SUBSTITUTE(SUBSTITUTE(SUBSTITUTE(SUBSTITUTE(SUBSTITUTE(SUBSTITUTE(SUBSTITUTE(SUBSTITUTE(SUBSTITUTE(SUBSTITUTE(UPPER(TRIM($DZ981)),"0",""),"1",""),"2",""),"3",""),"4",""),"5",""),"6",""),"7",""),"8",""),"9",""),".",""),"+",""),"-",""),"E","")="",LEN(SUBSTITUTE(SUBSTITUTE(MID(UPPER(TRIM($DZ981)),1+OR(LEFT(UPPER(TRIM($DZ981)),1)="+",LEFT(UPPER(TRIM($DZ981)),1)="-"),999),"E+","E"),"E-","E"))=LEN(SUBSTITUTE(SUBSTITUTE(SUBSTITUTE(SUBSTITUTE(MID(UPPER(TRIM($DZ981)),1+OR(LEFT(UPPER(TRIM($DZ981)),1)="+",LEFT(UPPER(TRIM($DZ981)),1)="-"),999),"E+","E"),"E-","E"),"+",""),"-","")),LEN(UPPER(TRIM($DZ981)))-LEN(SUBSTITUTE(UPPER(TRIM($DZ981)),"E",""))&lt;2,LEN(UPPER(TRIM($DZ981)))-LEN(SUBSTITUTE(UPPER(TRIM($DZ981)),".",""))&lt;2,IFERROR(FIND(".",UPPER(TRIM($DZ981))),0)&lt;IFERROR(FIND("E",UPPER(TRIM($DZ981))),999)),ISNUMBER(VALUE(TRIM($DZ981)))),VALUE(TRIM($DZ981)),"")))),""))</f>
        <v/>
      </c>
      <c r="EB981">
        <f>IF($DM981=0,"",IF($L$18=0,"",IFERROR(IF(UPPER(TRIM(SUBSTITUTE(SUBSTITUTE(SUBSTITUTE(SUBSTITUTE(INDEX(PASTE_ALL,$DF981,$L$18)," "," "),CHAR(9)," "),CHAR(10)," "),CHAR(13)," ")))="READY","Ready",IF(UPPER(TRIM(SUBSTITUTE(SUBSTITUTE(SUBSTITUTE(SUBSTITUTE(INDEX(PASTE_ALL,$DF981,$L$18)," "," "),CHAR(9)," "),CHAR(10)," "),CHAR(13)," ")))="PM","PM",IF(OR(UPPER(TRIM(SUBSTITUTE(SUBSTITUTE(SUBSTITUTE(SUBSTITUTE(INDEX(PASTE_ALL,$DF981,$L$18)," "," "),CHAR(9)," "),CHAR(10)," "),CHAR(13)," ")))="OT",UPPER(TRIM(SUBSTITUTE(SUBSTITUTE(SUBSTITUTE(SUBSTITUTE(INDEX(PASTE_ALL,$DF981,$L$18)," "," "),CHAR(9)," "),CHAR(10)," "),CHAR(13)," ")))="OVERTIME",UPPER(TRIM(SUBSTITUTE(SUBSTITUTE(SUBSTITUTE(SUBSTITUTE(INDEX(PASTE_ALL,$DF981,$L$18)," "," "),CHAR(9)," "),CHAR(10)," "),CHAR(13)," ")))="TRIAL"),"OT",TRIM(SUBSTITUTE(SUBSTITUTE(SUBSTITUTE(SUBSTITUTE(INDEX(PASTE_ALL,$DF981,$L$18)," "," "),CHAR(9)," "),CHAR(10)," "),CHAR(13)," "))))),"")))</f>
        <v/>
      </c>
      <c r="EC981">
        <f>IF($DM981=0,"",IF($L$19=0,"",IFERROR(IF(ISNUMBER(INDEX(PASTE_ALL,$DF981,$L$19)),INDEX(PASTE_ALL,$DF981,$L$19),TRIM(SUBSTITUTE(SUBSTITUTE(SUBSTITUTE(SUBSTITUTE(INDEX(PASTE_ALL,$DF981,$L$19)," "," "),CHAR(9)," "),CHAR(10)," "),CHAR(13)," "))),"")))</f>
        <v/>
      </c>
      <c r="ED981">
        <f>IF($DM981=0,"",MATCH(1,INDEX(EXACT($DH$5:DH981,$DH981)*$DM$5:DM981,0),0))</f>
        <v/>
      </c>
      <c r="EE981">
        <f>IF($DM981=0,0,IF($ED981=$DE981,1,0))</f>
        <v/>
      </c>
      <c r="EF981">
        <f>EF980+$EE981</f>
        <v/>
      </c>
      <c r="EG981">
        <f>IF($DM981=0,"",INDEX($EF$5:$EF$1003,$ED981))</f>
        <v/>
      </c>
      <c r="EH981">
        <f>IF($DM981=0,"",IF($DO981&lt;&gt;"","",IFERROR(LOOKUP(2,1/(($EG$4:EG980=$EG981)*($DO$4:DO980&lt;&gt;"")),$DO$4:DO980),"")))</f>
        <v/>
      </c>
      <c r="EI981">
        <f>IF($DM981=0,"",IF($DO981&lt;&gt;"",$DO981,$EH981))</f>
        <v/>
      </c>
      <c r="EJ981">
        <f>IF($DM981=0,"",IF($EI981="",0,IF(OR(ISNUMBER($EI981),AND(AND(SUBSTITUTE(SUBSTITUTE(SUBSTITUTE(SUBSTITUTE(SUBSTITUTE(SUBSTITUTE(SUBSTITUTE(SUBSTITUTE(SUBSTITUTE(SUBSTITUTE(SUBSTITUTE(SUBSTITUTE(SUBSTITUTE(SUBSTITUTE(UPPER($EI981),"0",""),"1",""),"2",""),"3",""),"4",""),"5",""),"6",""),"7",""),"8",""),"9",""),".",""),"+",""),"-",""),"E","")="",LEN(SUBSTITUTE(SUBSTITUTE(MID(UPPER($EI981),1+OR(LEFT(UPPER($EI981),1)="+",LEFT(UPPER($EI981),1)="-"),999),"E+","E"),"E-","E"))=LEN(SUBSTITUTE(SUBSTITUTE(SUBSTITUTE(SUBSTITUTE(MID(UPPER($EI981),1+OR(LEFT(UPPER($EI981),1)="+",LEFT(UPPER($EI981),1)="-"),999),"E+","E"),"E-","E"),"+",""),"-","")),LEN(UPPER($EI981))-LEN(SUBSTITUTE(UPPER($EI981),"E",""))&lt;2,LEN(UPPER($EI981))-LEN(SUBSTITUTE(UPPER($EI981),".",""))&lt;2,IFERROR(FIND(".",UPPER($EI981)),0)&lt;IFERROR(FIND("E",UPPER($EI981)),999)),ISNUMBER(VALUE($EI981)))),1,2)))</f>
        <v/>
      </c>
      <c r="EK981">
        <f>IF($DM981=0,"",IF($EJ981=1,IF(ISNUMBER($EI981),$EI981,VALUE($EI981)),IF($EJ981=2,$DE981,0)))</f>
        <v/>
      </c>
      <c r="EL981">
        <f>IF($DM981=0,"",COUNTIF($EG$5:$EG$1003,"&lt;"&amp;$EG981)+SUMPRODUCT(($EG$5:$EG$1003=$EG981)*(($EJ$5:$EJ$1003&lt;$EJ981)+($EJ$5:$EJ$1003=$EJ981)*(($EK$5:$EK$1003&lt;$EK981)+($EK$5:$EK$1003=$EK981)*($DE$5:$DE$1003&lt;$DE981))))+1)</f>
        <v/>
      </c>
      <c r="EM981">
        <f>IF($DM981=0,"",$EL981+$EG981-1)</f>
        <v/>
      </c>
      <c r="EN981">
        <f>IF($DM981=0,0,IFERROR(MATCH(1,INDEX(--(TRIM(SUBSTITUTE(SUBSTITUTE(SUBSTITUTE(SUBSTITUTE(LINES_NAME&amp;""," "," "),CHAR(9)," "),CHAR(10)," "),CHAR(13)," "))=$DH981),0),0),0))</f>
        <v/>
      </c>
      <c r="EO981">
        <f>IF($EN981=0,0,IF(OR(UPPER(TRIM(INDEX(LINES_SCHEDULED,$EN981)&amp;""))="YES",UPPER(TRIM(INDEX(LINES_SCHEDULED,$EN981)&amp;""))="Y",UPPER(TRIM(INDEX(LINES_SCHEDULED,$EN981)&amp;""))="X"),1,0))</f>
        <v/>
      </c>
      <c r="EP981">
        <f>IF($DM981=0,"",IF(COUNTIFS($EG$5:$EG$1003,$EG981,$EB$5:$EB$1003,"Ready")&gt;0,"READY",IF(COUNTIFS($EG$5:$EG$1003,$EG981,$EB$5:$EB$1003,"PM")&gt;0,"PM",IF(COUNTIFS($EG$5:$EG$1003,$EG981,$EB$5:$EB$1003,"OT")&gt;0,"OT",""))))</f>
        <v/>
      </c>
      <c r="EQ981">
        <f>IF($EN981=0,"",UPPER(TRIM(INDEX(LINES_STATUS,$EN981)&amp;"")))</f>
        <v/>
      </c>
      <c r="ER981">
        <f>IF($DM981=0,"",IF(OR($EQ981="READY",$EQ981="PM",$EQ981="OT"),$EQ981,$EP981))</f>
        <v/>
      </c>
      <c r="ES981">
        <f>IF($DM981=0,"",IF(AND($DV981&lt;&gt;"",UPPER($DV981)&lt;&gt;"N"),"allergen",IF(ISNUMBER(SEARCH("oil",$DQ981)),"oil",IF(OR(EXACT($DS981,"A662"),EXACT($DS981,"A624")),"bulk",""))))</f>
        <v/>
      </c>
      <c r="ET981">
        <f>IF($DM981=0,"",IF(OR($EA981="",$EA981=0),"",$EA981/100))</f>
        <v/>
      </c>
      <c r="EU981">
        <f>IF(OR($ET981="",$DY981=""),"",INT($DY981*(1-$ET981)+0.5))</f>
        <v/>
      </c>
    </row>
    <row r="982">
      <c r="DA982" t="n">
        <v>978</v>
      </c>
      <c r="DB982">
        <f>IF($B$37=0,"",IFERROR(TRIM(SUBSTITUTE(SUBSTITUTE(SUBSTITUTE(SUBSTITUTE(INDEX(PASTE_ALL,978,$B$37)," "," "),CHAR(9)," "),CHAR(10)," "),CHAR(13)," ")),""))</f>
        <v/>
      </c>
      <c r="DC982">
        <f>IF(AND(978&gt;HEADER_ROW,UPPER(DB982)="LEGEND"),1,0)</f>
        <v/>
      </c>
      <c r="DE982" t="n">
        <v>978</v>
      </c>
      <c r="DF982">
        <f>HEADER_ROW+$DE982</f>
        <v/>
      </c>
      <c r="DG982">
        <f>IF(AND($DF982&lt;=1000,$DF982&lt;$B$8),1,0)</f>
        <v/>
      </c>
      <c r="DH982">
        <f>IF($DG982=1,IFERROR(INDEX($DB$5:$DB$1004,$DF982),""),"")</f>
        <v/>
      </c>
      <c r="DI982">
        <f>IF(AND($DG982=1,$DH982&lt;&gt;""),IFERROR(SUBSTITUTE(SUBSTITUTE(TRIM(SUBSTITUTE(SUBSTITUTE(SUBSTITUTE(SUBSTITUTE(IFERROR(INDEX(PASTE_ALL,$DF982,1)&amp;"","")&amp;"␟"&amp;IFERROR(INDEX(PASTE_ALL,$DF982,2)&amp;"","")&amp;"␟"&amp;IFERROR(INDEX(PASTE_ALL,$DF982,3)&amp;"","")&amp;"␟"&amp;IFERROR(INDEX(PASTE_ALL,$DF982,4)&amp;"","")&amp;"␟"&amp;IFERROR(INDEX(PASTE_ALL,$DF982,5)&amp;"","")&amp;"␟"&amp;IFERROR(INDEX(PASTE_ALL,$DF982,6)&amp;"","")&amp;"␟"&amp;IFERROR(INDEX(PASTE_ALL,$DF982,7)&amp;"","")&amp;"␟"&amp;IFERROR(INDEX(PASTE_ALL,$DF982,8)&amp;"","")&amp;"␟"&amp;IFERROR(INDEX(PASTE_ALL,$DF982,9)&amp;"","")&amp;"␟"&amp;IFERROR(INDEX(PASTE_ALL,$DF982,10)&amp;"","")&amp;"␟"&amp;IFERROR(INDEX(PASTE_ALL,$DF982,11)&amp;"","")&amp;"␟"&amp;IFERROR(INDEX(PASTE_ALL,$DF982,12)&amp;"","")&amp;"␟"&amp;IFERROR(INDEX(PASTE_ALL,$DF982,13)&amp;"","")&amp;"␟"&amp;IFERROR(INDEX(PASTE_ALL,$DF982,14)&amp;"","")&amp;"␟"&amp;IFERROR(INDEX(PASTE_ALL,$DF982,15)&amp;"","")&amp;"␟"&amp;IFERROR(INDEX(PASTE_ALL,$DF982,16)&amp;"","")&amp;"␟"&amp;IFERROR(INDEX(PASTE_ALL,$DF982,17)&amp;"","")&amp;"␟"&amp;IFERROR(INDEX(PASTE_ALL,$DF982,18)&amp;"","")&amp;"␟"&amp;IFERROR(INDEX(PASTE_ALL,$DF982,19)&amp;"","")&amp;"␟"&amp;IFERROR(INDEX(PASTE_ALL,$DF982,20)&amp;"","")&amp;"␟"&amp;IFERROR(INDEX(PASTE_ALL,$DF982,21)&amp;"","")&amp;"␟"&amp;IFERROR(INDEX(PASTE_ALL,$DF982,22)&amp;"","")&amp;"␟"&amp;IFERROR(INDEX(PASTE_ALL,$DF982,23)&amp;"","")&amp;"␟"&amp;IFERROR(INDEX(PASTE_ALL,$DF982,24)&amp;"","")&amp;"␟"&amp;IFERROR(INDEX(PASTE_ALL,$DF982,25)&amp;"","")&amp;"␟"&amp;IFERROR(INDEX(PASTE_ALL,$DF982,26)&amp;"","")&amp;"␟"&amp;IFERROR(INDEX(PASTE_ALL,$DF982,27)&amp;"","")&amp;"␟"&amp;IFERROR(INDEX(PASTE_ALL,$DF982,28)&amp;"","")&amp;"␟"&amp;IFERROR(INDEX(PASTE_ALL,$DF982,29)&amp;"","")&amp;"␟"&amp;IFERROR(INDEX(PASTE_ALL,$DF982,30)&amp;"","")&amp;"␟"&amp;IFERROR(INDEX(PASTE_ALL,$DF982,31)&amp;"","")&amp;"␟"&amp;IFERROR(INDEX(PASTE_ALL,$DF982,32)&amp;"","")&amp;"␟"&amp;IFERROR(INDEX(PASTE_ALL,$DF982,33)&amp;"","")&amp;"␟"&amp;IFERROR(INDEX(PASTE_ALL,$DF982,34)&amp;"","")&amp;"␟"&amp;IFERROR(INDEX(PASTE_ALL,$DF982,35)&amp;"","")&amp;"␟"&amp;IFERROR(INDEX(PASTE_ALL,$DF982,36)&amp;"","")&amp;"␟"&amp;IFERROR(INDEX(PASTE_ALL,$DF982,37)&amp;"","")&amp;"␟"&amp;IFERROR(INDEX(PASTE_ALL,$DF982,38)&amp;"","")&amp;"␟"&amp;IFERROR(INDEX(PASTE_ALL,$DF982,39)&amp;"","")&amp;"␟"&amp;IFERROR(INDEX(PASTE_ALL,$DF982,40)&amp;"","")&amp;"␟"&amp;IFERROR(INDEX(PASTE_ALL,$DF982,41)&amp;"","")&amp;"␟"&amp;IFERROR(INDEX(PASTE_ALL,$DF982,42)&amp;"","")&amp;"␟"&amp;IFERROR(INDEX(PASTE_ALL,$DF982,43)&amp;"","")&amp;"␟"&amp;IFERROR(INDEX(PASTE_ALL,$DF982,44)&amp;"","")&amp;"␟"&amp;IFERROR(INDEX(PASTE_ALL,$DF982,45)&amp;"","")&amp;"␟"&amp;IFERROR(INDEX(PASTE_ALL,$DF982,46)&amp;"","")&amp;"␟"&amp;IFERROR(INDEX(PASTE_ALL,$DF982,47)&amp;"","")&amp;"␟"&amp;IFERROR(INDEX(PASTE_ALL,$DF982,48)&amp;"","")&amp;"␟"&amp;IFERROR(INDEX(PASTE_ALL,$DF982,49)&amp;"","")&amp;"␟"&amp;IFERROR(INDEX(PASTE_ALL,$DF982,50)&amp;"","")&amp;"␟"&amp;IFERROR(INDEX(PASTE_ALL,$DF982,51)&amp;"","")&amp;"␟"&amp;IFERROR(INDEX(PASTE_ALL,$DF982,52)&amp;"","")&amp;"␟"&amp;IFERROR(INDEX(PASTE_ALL,$DF982,53)&amp;"","")&amp;"␟"&amp;IFERROR(INDEX(PASTE_ALL,$DF982,54)&amp;"","")&amp;"␟"&amp;IFERROR(INDEX(PASTE_ALL,$DF982,55)&amp;"","")&amp;"␟"&amp;IFERROR(INDEX(PASTE_ALL,$DF982,56)&amp;"","")&amp;"␟"&amp;IFERROR(INDEX(PASTE_ALL,$DF982,57)&amp;"","")&amp;"␟"&amp;IFERROR(INDEX(PASTE_ALL,$DF982,58)&amp;"","")&amp;"␟"&amp;IFERROR(INDEX(PASTE_ALL,$DF982,59)&amp;"","")&amp;"␟"&amp;IFERROR(INDEX(PASTE_ALL,$DF982,60)&amp;"","")," "," "),CHAR(9)," "),CHAR(10)," "),CHAR(13)," "))," ␟","␟"),"␟ ","␟"),"#"&amp;$DE982),"")</f>
        <v/>
      </c>
      <c r="DJ982">
        <f>IF($DI982="",0,IF(SUMPRODUCT(--EXACT($DI$4:DI981,$DI982))&gt;0,1,0))</f>
        <v/>
      </c>
      <c r="DK982">
        <f>IF(AND($DI982&lt;&gt;"",$DJ982=0),1,0)</f>
        <v/>
      </c>
      <c r="DL982">
        <f>DL981+$DK982</f>
        <v/>
      </c>
      <c r="DM982">
        <f>IF(AND($DK982=1,$DL982&lt;=600),1,0)</f>
        <v/>
      </c>
      <c r="DN982">
        <f>IF($DM982=0,"",IF($L$6=0,"",IFERROR(IF(ISNUMBER(INDEX(PASTE_ALL,$DF982,$L$6)),INDEX(PASTE_ALL,$DF982,$L$6),TRIM(SUBSTITUTE(SUBSTITUTE(SUBSTITUTE(SUBSTITUTE(INDEX(PASTE_ALL,$DF982,$L$6)," "," "),CHAR(9)," "),CHAR(10)," "),CHAR(13)," "))),"")))</f>
        <v/>
      </c>
      <c r="DO982">
        <f>IF($DM982=0,"",IF($L$7=0,"",IFERROR(IF(ISNUMBER(INDEX(PASTE_ALL,$DF982,$L$7)),INDEX(PASTE_ALL,$DF982,$L$7),TRIM(SUBSTITUTE(SUBSTITUTE(SUBSTITUTE(SUBSTITUTE(INDEX(PASTE_ALL,$DF982,$L$7)," "," "),CHAR(9)," "),CHAR(10)," "),CHAR(13)," "))),"")))</f>
        <v/>
      </c>
      <c r="DP982">
        <f>IF($DM982=0,"",IF($L$8=0,"",IFERROR(IF(ISNUMBER(INDEX(PASTE_ALL,$DF982,$L$8)),INDEX(PASTE_ALL,$DF982,$L$8),TRIM(SUBSTITUTE(SUBSTITUTE(SUBSTITUTE(SUBSTITUTE(INDEX(PASTE_ALL,$DF982,$L$8)," "," "),CHAR(9)," "),CHAR(10)," "),CHAR(13)," "))),"")))</f>
        <v/>
      </c>
      <c r="DQ982">
        <f>IF($DM982=0,"",IF($L$9=0,"",IFERROR(IF(ISNUMBER(INDEX(PASTE_ALL,$DF982,$L$9)),INDEX(PASTE_ALL,$DF982,$L$9),TRIM(SUBSTITUTE(SUBSTITUTE(SUBSTITUTE(SUBSTITUTE(INDEX(PASTE_ALL,$DF982,$L$9)," "," "),CHAR(9)," "),CHAR(10)," "),CHAR(13)," "))),"")))</f>
        <v/>
      </c>
      <c r="DR982">
        <f>IF($DM982=0,"",IF($L$10=0,"",IFERROR(IF(ISNUMBER(INDEX(PASTE_ALL,$DF982,$L$10)),INDEX(PASTE_ALL,$DF982,$L$10),TRIM(SUBSTITUTE(SUBSTITUTE(SUBSTITUTE(SUBSTITUTE(INDEX(PASTE_ALL,$DF982,$L$10)," "," "),CHAR(9)," "),CHAR(10)," "),CHAR(13)," "))),"")))</f>
        <v/>
      </c>
      <c r="DS982">
        <f>IF($DM982=0,"",IF($L$11=0,"",IFERROR(IF(ISNUMBER(INDEX(PASTE_ALL,$DF982,$L$11)),INDEX(PASTE_ALL,$DF982,$L$11),TRIM(SUBSTITUTE(SUBSTITUTE(SUBSTITUTE(SUBSTITUTE(INDEX(PASTE_ALL,$DF982,$L$11)," "," "),CHAR(9)," "),CHAR(10)," "),CHAR(13)," "))),"")))</f>
        <v/>
      </c>
      <c r="DT982">
        <f>IF($DM982=0,"",IF($L$12=0,"",IFERROR(IF(ISNUMBER(INDEX(PASTE_ALL,$DF982,$L$12)),INDEX(PASTE_ALL,$DF982,$L$12),TRIM(SUBSTITUTE(SUBSTITUTE(SUBSTITUTE(SUBSTITUTE(INDEX(PASTE_ALL,$DF982,$L$12)," "," "),CHAR(9)," "),CHAR(10)," "),CHAR(13)," "))),"")))</f>
        <v/>
      </c>
      <c r="DU982">
        <f>IF($DM982=0,"",IF($L$13=0,"",IFERROR(IF(ISNUMBER(INDEX(PASTE_ALL,$DF982,$L$13)),INDEX(PASTE_ALL,$DF982,$L$13),TRIM(SUBSTITUTE(SUBSTITUTE(SUBSTITUTE(SUBSTITUTE(INDEX(PASTE_ALL,$DF982,$L$13)," "," "),CHAR(9)," "),CHAR(10)," "),CHAR(13)," "))),"")))</f>
        <v/>
      </c>
      <c r="DV982">
        <f>IF($DM982=0,"",IF($L$14=0,"",IFERROR(IF(ISNUMBER(INDEX(PASTE_ALL,$DF982,$L$14)),INDEX(PASTE_ALL,$DF982,$L$14),TRIM(SUBSTITUTE(SUBSTITUTE(SUBSTITUTE(SUBSTITUTE(INDEX(PASTE_ALL,$DF982,$L$14)," "," "),CHAR(9)," "),CHAR(10)," "),CHAR(13)," "))),"")))</f>
        <v/>
      </c>
      <c r="DW982">
        <f>IF($DM982=0,"",IF($L$15=0,"",IFERROR(IF(ISNUMBER(INDEX(PASTE_ALL,$DF982,$L$15)),INDEX(PASTE_ALL,$DF982,$L$15),IF(SUMPRODUCT(--ISNUMBER(FIND({"A","B","C","D","E","F","G","H","I","J","K","L","M","N","O","P","Q","R","S","T","U","V","W","X","Y","Z","0","1","2","3","4","5","6","7","8","9"},UPPER(TRIM(SUBSTITUTE(SUBSTITUTE(SUBSTITUTE(SUBSTITUTE(INDEX(PASTE_ALL,$DF982,$L$15)," "," "),CHAR(9)," "),CHAR(10)," "),CHAR(13)," "))))))&gt;0,TRIM(SUBSTITUTE(SUBSTITUTE(SUBSTITUTE(SUBSTITUTE(INDEX(PASTE_ALL,$DF982,$L$15)," "," "),CHAR(9)," "),CHAR(10)," "),CHAR(13)," ")),"")),"")))</f>
        <v/>
      </c>
      <c r="DX982">
        <f>IF($DM982=0,"",IF($L$16=0,"",IFERROR(IF(ISNUMBER(INDEX(PASTE_ALL,$DF982,$L$16)),INDEX(PASTE_ALL,$DF982,$L$16),SUBSTITUTE(SUBSTITUTE(TRIM(SUBSTITUTE(SUBSTITUTE(SUBSTITUTE(SUBSTITUTE(INDEX(PASTE_ALL,$DF982,$L$16)," "," "),CHAR(9)," "),CHAR(10)," "),CHAR(13)," ")),",",""),"%","")),"")))</f>
        <v/>
      </c>
      <c r="DY982">
        <f>IF($DM982=0,"",IFERROR(IF(ISNUMBER($DX982),$DX982,IF($DX982="","",IF(TRIM($DX982)="",0,IF(AND(AND(SUBSTITUTE(SUBSTITUTE(SUBSTITUTE(SUBSTITUTE(SUBSTITUTE(SUBSTITUTE(SUBSTITUTE(SUBSTITUTE(SUBSTITUTE(SUBSTITUTE(SUBSTITUTE(SUBSTITUTE(SUBSTITUTE(SUBSTITUTE(UPPER(TRIM($DX982)),"0",""),"1",""),"2",""),"3",""),"4",""),"5",""),"6",""),"7",""),"8",""),"9",""),".",""),"+",""),"-",""),"E","")="",LEN(SUBSTITUTE(SUBSTITUTE(MID(UPPER(TRIM($DX982)),1+OR(LEFT(UPPER(TRIM($DX982)),1)="+",LEFT(UPPER(TRIM($DX982)),1)="-"),999),"E+","E"),"E-","E"))=LEN(SUBSTITUTE(SUBSTITUTE(SUBSTITUTE(SUBSTITUTE(MID(UPPER(TRIM($DX982)),1+OR(LEFT(UPPER(TRIM($DX982)),1)="+",LEFT(UPPER(TRIM($DX982)),1)="-"),999),"E+","E"),"E-","E"),"+",""),"-","")),LEN(UPPER(TRIM($DX982)))-LEN(SUBSTITUTE(UPPER(TRIM($DX982)),"E",""))&lt;2,LEN(UPPER(TRIM($DX982)))-LEN(SUBSTITUTE(UPPER(TRIM($DX982)),".",""))&lt;2,IFERROR(FIND(".",UPPER(TRIM($DX982))),0)&lt;IFERROR(FIND("E",UPPER(TRIM($DX982))),999)),ISNUMBER(VALUE(TRIM($DX982)))),VALUE(TRIM($DX982)),"")))),""))</f>
        <v/>
      </c>
      <c r="DZ982">
        <f>IF($DM982=0,"",IF($L$17=0,"",IFERROR(IF(ISNUMBER(INDEX(PASTE_ALL,$DF982,$L$17)),INDEX(PASTE_ALL,$DF982,$L$17),SUBSTITUTE(SUBSTITUTE(TRIM(SUBSTITUTE(SUBSTITUTE(SUBSTITUTE(SUBSTITUTE(INDEX(PASTE_ALL,$DF982,$L$17)," "," "),CHAR(9)," "),CHAR(10)," "),CHAR(13)," ")),",",""),"%","")),"")))</f>
        <v/>
      </c>
      <c r="EA982">
        <f>IF($DM982=0,"",IFERROR(IF(ISNUMBER($DZ982),$DZ982,IF($DZ982="","",IF(TRIM($DZ982)="",0,IF(AND(AND(SUBSTITUTE(SUBSTITUTE(SUBSTITUTE(SUBSTITUTE(SUBSTITUTE(SUBSTITUTE(SUBSTITUTE(SUBSTITUTE(SUBSTITUTE(SUBSTITUTE(SUBSTITUTE(SUBSTITUTE(SUBSTITUTE(SUBSTITUTE(UPPER(TRIM($DZ982)),"0",""),"1",""),"2",""),"3",""),"4",""),"5",""),"6",""),"7",""),"8",""),"9",""),".",""),"+",""),"-",""),"E","")="",LEN(SUBSTITUTE(SUBSTITUTE(MID(UPPER(TRIM($DZ982)),1+OR(LEFT(UPPER(TRIM($DZ982)),1)="+",LEFT(UPPER(TRIM($DZ982)),1)="-"),999),"E+","E"),"E-","E"))=LEN(SUBSTITUTE(SUBSTITUTE(SUBSTITUTE(SUBSTITUTE(MID(UPPER(TRIM($DZ982)),1+OR(LEFT(UPPER(TRIM($DZ982)),1)="+",LEFT(UPPER(TRIM($DZ982)),1)="-"),999),"E+","E"),"E-","E"),"+",""),"-","")),LEN(UPPER(TRIM($DZ982)))-LEN(SUBSTITUTE(UPPER(TRIM($DZ982)),"E",""))&lt;2,LEN(UPPER(TRIM($DZ982)))-LEN(SUBSTITUTE(UPPER(TRIM($DZ982)),".",""))&lt;2,IFERROR(FIND(".",UPPER(TRIM($DZ982))),0)&lt;IFERROR(FIND("E",UPPER(TRIM($DZ982))),999)),ISNUMBER(VALUE(TRIM($DZ982)))),VALUE(TRIM($DZ982)),"")))),""))</f>
        <v/>
      </c>
      <c r="EB982">
        <f>IF($DM982=0,"",IF($L$18=0,"",IFERROR(IF(UPPER(TRIM(SUBSTITUTE(SUBSTITUTE(SUBSTITUTE(SUBSTITUTE(INDEX(PASTE_ALL,$DF982,$L$18)," "," "),CHAR(9)," "),CHAR(10)," "),CHAR(13)," ")))="READY","Ready",IF(UPPER(TRIM(SUBSTITUTE(SUBSTITUTE(SUBSTITUTE(SUBSTITUTE(INDEX(PASTE_ALL,$DF982,$L$18)," "," "),CHAR(9)," "),CHAR(10)," "),CHAR(13)," ")))="PM","PM",IF(OR(UPPER(TRIM(SUBSTITUTE(SUBSTITUTE(SUBSTITUTE(SUBSTITUTE(INDEX(PASTE_ALL,$DF982,$L$18)," "," "),CHAR(9)," "),CHAR(10)," "),CHAR(13)," ")))="OT",UPPER(TRIM(SUBSTITUTE(SUBSTITUTE(SUBSTITUTE(SUBSTITUTE(INDEX(PASTE_ALL,$DF982,$L$18)," "," "),CHAR(9)," "),CHAR(10)," "),CHAR(13)," ")))="OVERTIME",UPPER(TRIM(SUBSTITUTE(SUBSTITUTE(SUBSTITUTE(SUBSTITUTE(INDEX(PASTE_ALL,$DF982,$L$18)," "," "),CHAR(9)," "),CHAR(10)," "),CHAR(13)," ")))="TRIAL"),"OT",TRIM(SUBSTITUTE(SUBSTITUTE(SUBSTITUTE(SUBSTITUTE(INDEX(PASTE_ALL,$DF982,$L$18)," "," "),CHAR(9)," "),CHAR(10)," "),CHAR(13)," "))))),"")))</f>
        <v/>
      </c>
      <c r="EC982">
        <f>IF($DM982=0,"",IF($L$19=0,"",IFERROR(IF(ISNUMBER(INDEX(PASTE_ALL,$DF982,$L$19)),INDEX(PASTE_ALL,$DF982,$L$19),TRIM(SUBSTITUTE(SUBSTITUTE(SUBSTITUTE(SUBSTITUTE(INDEX(PASTE_ALL,$DF982,$L$19)," "," "),CHAR(9)," "),CHAR(10)," "),CHAR(13)," "))),"")))</f>
        <v/>
      </c>
      <c r="ED982">
        <f>IF($DM982=0,"",MATCH(1,INDEX(EXACT($DH$5:DH982,$DH982)*$DM$5:DM982,0),0))</f>
        <v/>
      </c>
      <c r="EE982">
        <f>IF($DM982=0,0,IF($ED982=$DE982,1,0))</f>
        <v/>
      </c>
      <c r="EF982">
        <f>EF981+$EE982</f>
        <v/>
      </c>
      <c r="EG982">
        <f>IF($DM982=0,"",INDEX($EF$5:$EF$1003,$ED982))</f>
        <v/>
      </c>
      <c r="EH982">
        <f>IF($DM982=0,"",IF($DO982&lt;&gt;"","",IFERROR(LOOKUP(2,1/(($EG$4:EG981=$EG982)*($DO$4:DO981&lt;&gt;"")),$DO$4:DO981),"")))</f>
        <v/>
      </c>
      <c r="EI982">
        <f>IF($DM982=0,"",IF($DO982&lt;&gt;"",$DO982,$EH982))</f>
        <v/>
      </c>
      <c r="EJ982">
        <f>IF($DM982=0,"",IF($EI982="",0,IF(OR(ISNUMBER($EI982),AND(AND(SUBSTITUTE(SUBSTITUTE(SUBSTITUTE(SUBSTITUTE(SUBSTITUTE(SUBSTITUTE(SUBSTITUTE(SUBSTITUTE(SUBSTITUTE(SUBSTITUTE(SUBSTITUTE(SUBSTITUTE(SUBSTITUTE(SUBSTITUTE(UPPER($EI982),"0",""),"1",""),"2",""),"3",""),"4",""),"5",""),"6",""),"7",""),"8",""),"9",""),".",""),"+",""),"-",""),"E","")="",LEN(SUBSTITUTE(SUBSTITUTE(MID(UPPER($EI982),1+OR(LEFT(UPPER($EI982),1)="+",LEFT(UPPER($EI982),1)="-"),999),"E+","E"),"E-","E"))=LEN(SUBSTITUTE(SUBSTITUTE(SUBSTITUTE(SUBSTITUTE(MID(UPPER($EI982),1+OR(LEFT(UPPER($EI982),1)="+",LEFT(UPPER($EI982),1)="-"),999),"E+","E"),"E-","E"),"+",""),"-","")),LEN(UPPER($EI982))-LEN(SUBSTITUTE(UPPER($EI982),"E",""))&lt;2,LEN(UPPER($EI982))-LEN(SUBSTITUTE(UPPER($EI982),".",""))&lt;2,IFERROR(FIND(".",UPPER($EI982)),0)&lt;IFERROR(FIND("E",UPPER($EI982)),999)),ISNUMBER(VALUE($EI982)))),1,2)))</f>
        <v/>
      </c>
      <c r="EK982">
        <f>IF($DM982=0,"",IF($EJ982=1,IF(ISNUMBER($EI982),$EI982,VALUE($EI982)),IF($EJ982=2,$DE982,0)))</f>
        <v/>
      </c>
      <c r="EL982">
        <f>IF($DM982=0,"",COUNTIF($EG$5:$EG$1003,"&lt;"&amp;$EG982)+SUMPRODUCT(($EG$5:$EG$1003=$EG982)*(($EJ$5:$EJ$1003&lt;$EJ982)+($EJ$5:$EJ$1003=$EJ982)*(($EK$5:$EK$1003&lt;$EK982)+($EK$5:$EK$1003=$EK982)*($DE$5:$DE$1003&lt;$DE982))))+1)</f>
        <v/>
      </c>
      <c r="EM982">
        <f>IF($DM982=0,"",$EL982+$EG982-1)</f>
        <v/>
      </c>
      <c r="EN982">
        <f>IF($DM982=0,0,IFERROR(MATCH(1,INDEX(--(TRIM(SUBSTITUTE(SUBSTITUTE(SUBSTITUTE(SUBSTITUTE(LINES_NAME&amp;""," "," "),CHAR(9)," "),CHAR(10)," "),CHAR(13)," "))=$DH982),0),0),0))</f>
        <v/>
      </c>
      <c r="EO982">
        <f>IF($EN982=0,0,IF(OR(UPPER(TRIM(INDEX(LINES_SCHEDULED,$EN982)&amp;""))="YES",UPPER(TRIM(INDEX(LINES_SCHEDULED,$EN982)&amp;""))="Y",UPPER(TRIM(INDEX(LINES_SCHEDULED,$EN982)&amp;""))="X"),1,0))</f>
        <v/>
      </c>
      <c r="EP982">
        <f>IF($DM982=0,"",IF(COUNTIFS($EG$5:$EG$1003,$EG982,$EB$5:$EB$1003,"Ready")&gt;0,"READY",IF(COUNTIFS($EG$5:$EG$1003,$EG982,$EB$5:$EB$1003,"PM")&gt;0,"PM",IF(COUNTIFS($EG$5:$EG$1003,$EG982,$EB$5:$EB$1003,"OT")&gt;0,"OT",""))))</f>
        <v/>
      </c>
      <c r="EQ982">
        <f>IF($EN982=0,"",UPPER(TRIM(INDEX(LINES_STATUS,$EN982)&amp;"")))</f>
        <v/>
      </c>
      <c r="ER982">
        <f>IF($DM982=0,"",IF(OR($EQ982="READY",$EQ982="PM",$EQ982="OT"),$EQ982,$EP982))</f>
        <v/>
      </c>
      <c r="ES982">
        <f>IF($DM982=0,"",IF(AND($DV982&lt;&gt;"",UPPER($DV982)&lt;&gt;"N"),"allergen",IF(ISNUMBER(SEARCH("oil",$DQ982)),"oil",IF(OR(EXACT($DS982,"A662"),EXACT($DS982,"A624")),"bulk",""))))</f>
        <v/>
      </c>
      <c r="ET982">
        <f>IF($DM982=0,"",IF(OR($EA982="",$EA982=0),"",$EA982/100))</f>
        <v/>
      </c>
      <c r="EU982">
        <f>IF(OR($ET982="",$DY982=""),"",INT($DY982*(1-$ET982)+0.5))</f>
        <v/>
      </c>
    </row>
    <row r="983">
      <c r="DA983" t="n">
        <v>979</v>
      </c>
      <c r="DB983">
        <f>IF($B$37=0,"",IFERROR(TRIM(SUBSTITUTE(SUBSTITUTE(SUBSTITUTE(SUBSTITUTE(INDEX(PASTE_ALL,979,$B$37)," "," "),CHAR(9)," "),CHAR(10)," "),CHAR(13)," ")),""))</f>
        <v/>
      </c>
      <c r="DC983">
        <f>IF(AND(979&gt;HEADER_ROW,UPPER(DB983)="LEGEND"),1,0)</f>
        <v/>
      </c>
      <c r="DE983" t="n">
        <v>979</v>
      </c>
      <c r="DF983">
        <f>HEADER_ROW+$DE983</f>
        <v/>
      </c>
      <c r="DG983">
        <f>IF(AND($DF983&lt;=1000,$DF983&lt;$B$8),1,0)</f>
        <v/>
      </c>
      <c r="DH983">
        <f>IF($DG983=1,IFERROR(INDEX($DB$5:$DB$1004,$DF983),""),"")</f>
        <v/>
      </c>
      <c r="DI983">
        <f>IF(AND($DG983=1,$DH983&lt;&gt;""),IFERROR(SUBSTITUTE(SUBSTITUTE(TRIM(SUBSTITUTE(SUBSTITUTE(SUBSTITUTE(SUBSTITUTE(IFERROR(INDEX(PASTE_ALL,$DF983,1)&amp;"","")&amp;"␟"&amp;IFERROR(INDEX(PASTE_ALL,$DF983,2)&amp;"","")&amp;"␟"&amp;IFERROR(INDEX(PASTE_ALL,$DF983,3)&amp;"","")&amp;"␟"&amp;IFERROR(INDEX(PASTE_ALL,$DF983,4)&amp;"","")&amp;"␟"&amp;IFERROR(INDEX(PASTE_ALL,$DF983,5)&amp;"","")&amp;"␟"&amp;IFERROR(INDEX(PASTE_ALL,$DF983,6)&amp;"","")&amp;"␟"&amp;IFERROR(INDEX(PASTE_ALL,$DF983,7)&amp;"","")&amp;"␟"&amp;IFERROR(INDEX(PASTE_ALL,$DF983,8)&amp;"","")&amp;"␟"&amp;IFERROR(INDEX(PASTE_ALL,$DF983,9)&amp;"","")&amp;"␟"&amp;IFERROR(INDEX(PASTE_ALL,$DF983,10)&amp;"","")&amp;"␟"&amp;IFERROR(INDEX(PASTE_ALL,$DF983,11)&amp;"","")&amp;"␟"&amp;IFERROR(INDEX(PASTE_ALL,$DF983,12)&amp;"","")&amp;"␟"&amp;IFERROR(INDEX(PASTE_ALL,$DF983,13)&amp;"","")&amp;"␟"&amp;IFERROR(INDEX(PASTE_ALL,$DF983,14)&amp;"","")&amp;"␟"&amp;IFERROR(INDEX(PASTE_ALL,$DF983,15)&amp;"","")&amp;"␟"&amp;IFERROR(INDEX(PASTE_ALL,$DF983,16)&amp;"","")&amp;"␟"&amp;IFERROR(INDEX(PASTE_ALL,$DF983,17)&amp;"","")&amp;"␟"&amp;IFERROR(INDEX(PASTE_ALL,$DF983,18)&amp;"","")&amp;"␟"&amp;IFERROR(INDEX(PASTE_ALL,$DF983,19)&amp;"","")&amp;"␟"&amp;IFERROR(INDEX(PASTE_ALL,$DF983,20)&amp;"","")&amp;"␟"&amp;IFERROR(INDEX(PASTE_ALL,$DF983,21)&amp;"","")&amp;"␟"&amp;IFERROR(INDEX(PASTE_ALL,$DF983,22)&amp;"","")&amp;"␟"&amp;IFERROR(INDEX(PASTE_ALL,$DF983,23)&amp;"","")&amp;"␟"&amp;IFERROR(INDEX(PASTE_ALL,$DF983,24)&amp;"","")&amp;"␟"&amp;IFERROR(INDEX(PASTE_ALL,$DF983,25)&amp;"","")&amp;"␟"&amp;IFERROR(INDEX(PASTE_ALL,$DF983,26)&amp;"","")&amp;"␟"&amp;IFERROR(INDEX(PASTE_ALL,$DF983,27)&amp;"","")&amp;"␟"&amp;IFERROR(INDEX(PASTE_ALL,$DF983,28)&amp;"","")&amp;"␟"&amp;IFERROR(INDEX(PASTE_ALL,$DF983,29)&amp;"","")&amp;"␟"&amp;IFERROR(INDEX(PASTE_ALL,$DF983,30)&amp;"","")&amp;"␟"&amp;IFERROR(INDEX(PASTE_ALL,$DF983,31)&amp;"","")&amp;"␟"&amp;IFERROR(INDEX(PASTE_ALL,$DF983,32)&amp;"","")&amp;"␟"&amp;IFERROR(INDEX(PASTE_ALL,$DF983,33)&amp;"","")&amp;"␟"&amp;IFERROR(INDEX(PASTE_ALL,$DF983,34)&amp;"","")&amp;"␟"&amp;IFERROR(INDEX(PASTE_ALL,$DF983,35)&amp;"","")&amp;"␟"&amp;IFERROR(INDEX(PASTE_ALL,$DF983,36)&amp;"","")&amp;"␟"&amp;IFERROR(INDEX(PASTE_ALL,$DF983,37)&amp;"","")&amp;"␟"&amp;IFERROR(INDEX(PASTE_ALL,$DF983,38)&amp;"","")&amp;"␟"&amp;IFERROR(INDEX(PASTE_ALL,$DF983,39)&amp;"","")&amp;"␟"&amp;IFERROR(INDEX(PASTE_ALL,$DF983,40)&amp;"","")&amp;"␟"&amp;IFERROR(INDEX(PASTE_ALL,$DF983,41)&amp;"","")&amp;"␟"&amp;IFERROR(INDEX(PASTE_ALL,$DF983,42)&amp;"","")&amp;"␟"&amp;IFERROR(INDEX(PASTE_ALL,$DF983,43)&amp;"","")&amp;"␟"&amp;IFERROR(INDEX(PASTE_ALL,$DF983,44)&amp;"","")&amp;"␟"&amp;IFERROR(INDEX(PASTE_ALL,$DF983,45)&amp;"","")&amp;"␟"&amp;IFERROR(INDEX(PASTE_ALL,$DF983,46)&amp;"","")&amp;"␟"&amp;IFERROR(INDEX(PASTE_ALL,$DF983,47)&amp;"","")&amp;"␟"&amp;IFERROR(INDEX(PASTE_ALL,$DF983,48)&amp;"","")&amp;"␟"&amp;IFERROR(INDEX(PASTE_ALL,$DF983,49)&amp;"","")&amp;"␟"&amp;IFERROR(INDEX(PASTE_ALL,$DF983,50)&amp;"","")&amp;"␟"&amp;IFERROR(INDEX(PASTE_ALL,$DF983,51)&amp;"","")&amp;"␟"&amp;IFERROR(INDEX(PASTE_ALL,$DF983,52)&amp;"","")&amp;"␟"&amp;IFERROR(INDEX(PASTE_ALL,$DF983,53)&amp;"","")&amp;"␟"&amp;IFERROR(INDEX(PASTE_ALL,$DF983,54)&amp;"","")&amp;"␟"&amp;IFERROR(INDEX(PASTE_ALL,$DF983,55)&amp;"","")&amp;"␟"&amp;IFERROR(INDEX(PASTE_ALL,$DF983,56)&amp;"","")&amp;"␟"&amp;IFERROR(INDEX(PASTE_ALL,$DF983,57)&amp;"","")&amp;"␟"&amp;IFERROR(INDEX(PASTE_ALL,$DF983,58)&amp;"","")&amp;"␟"&amp;IFERROR(INDEX(PASTE_ALL,$DF983,59)&amp;"","")&amp;"␟"&amp;IFERROR(INDEX(PASTE_ALL,$DF983,60)&amp;"","")," "," "),CHAR(9)," "),CHAR(10)," "),CHAR(13)," "))," ␟","␟"),"␟ ","␟"),"#"&amp;$DE983),"")</f>
        <v/>
      </c>
      <c r="DJ983">
        <f>IF($DI983="",0,IF(SUMPRODUCT(--EXACT($DI$4:DI982,$DI983))&gt;0,1,0))</f>
        <v/>
      </c>
      <c r="DK983">
        <f>IF(AND($DI983&lt;&gt;"",$DJ983=0),1,0)</f>
        <v/>
      </c>
      <c r="DL983">
        <f>DL982+$DK983</f>
        <v/>
      </c>
      <c r="DM983">
        <f>IF(AND($DK983=1,$DL983&lt;=600),1,0)</f>
        <v/>
      </c>
      <c r="DN983">
        <f>IF($DM983=0,"",IF($L$6=0,"",IFERROR(IF(ISNUMBER(INDEX(PASTE_ALL,$DF983,$L$6)),INDEX(PASTE_ALL,$DF983,$L$6),TRIM(SUBSTITUTE(SUBSTITUTE(SUBSTITUTE(SUBSTITUTE(INDEX(PASTE_ALL,$DF983,$L$6)," "," "),CHAR(9)," "),CHAR(10)," "),CHAR(13)," "))),"")))</f>
        <v/>
      </c>
      <c r="DO983">
        <f>IF($DM983=0,"",IF($L$7=0,"",IFERROR(IF(ISNUMBER(INDEX(PASTE_ALL,$DF983,$L$7)),INDEX(PASTE_ALL,$DF983,$L$7),TRIM(SUBSTITUTE(SUBSTITUTE(SUBSTITUTE(SUBSTITUTE(INDEX(PASTE_ALL,$DF983,$L$7)," "," "),CHAR(9)," "),CHAR(10)," "),CHAR(13)," "))),"")))</f>
        <v/>
      </c>
      <c r="DP983">
        <f>IF($DM983=0,"",IF($L$8=0,"",IFERROR(IF(ISNUMBER(INDEX(PASTE_ALL,$DF983,$L$8)),INDEX(PASTE_ALL,$DF983,$L$8),TRIM(SUBSTITUTE(SUBSTITUTE(SUBSTITUTE(SUBSTITUTE(INDEX(PASTE_ALL,$DF983,$L$8)," "," "),CHAR(9)," "),CHAR(10)," "),CHAR(13)," "))),"")))</f>
        <v/>
      </c>
      <c r="DQ983">
        <f>IF($DM983=0,"",IF($L$9=0,"",IFERROR(IF(ISNUMBER(INDEX(PASTE_ALL,$DF983,$L$9)),INDEX(PASTE_ALL,$DF983,$L$9),TRIM(SUBSTITUTE(SUBSTITUTE(SUBSTITUTE(SUBSTITUTE(INDEX(PASTE_ALL,$DF983,$L$9)," "," "),CHAR(9)," "),CHAR(10)," "),CHAR(13)," "))),"")))</f>
        <v/>
      </c>
      <c r="DR983">
        <f>IF($DM983=0,"",IF($L$10=0,"",IFERROR(IF(ISNUMBER(INDEX(PASTE_ALL,$DF983,$L$10)),INDEX(PASTE_ALL,$DF983,$L$10),TRIM(SUBSTITUTE(SUBSTITUTE(SUBSTITUTE(SUBSTITUTE(INDEX(PASTE_ALL,$DF983,$L$10)," "," "),CHAR(9)," "),CHAR(10)," "),CHAR(13)," "))),"")))</f>
        <v/>
      </c>
      <c r="DS983">
        <f>IF($DM983=0,"",IF($L$11=0,"",IFERROR(IF(ISNUMBER(INDEX(PASTE_ALL,$DF983,$L$11)),INDEX(PASTE_ALL,$DF983,$L$11),TRIM(SUBSTITUTE(SUBSTITUTE(SUBSTITUTE(SUBSTITUTE(INDEX(PASTE_ALL,$DF983,$L$11)," "," "),CHAR(9)," "),CHAR(10)," "),CHAR(13)," "))),"")))</f>
        <v/>
      </c>
      <c r="DT983">
        <f>IF($DM983=0,"",IF($L$12=0,"",IFERROR(IF(ISNUMBER(INDEX(PASTE_ALL,$DF983,$L$12)),INDEX(PASTE_ALL,$DF983,$L$12),TRIM(SUBSTITUTE(SUBSTITUTE(SUBSTITUTE(SUBSTITUTE(INDEX(PASTE_ALL,$DF983,$L$12)," "," "),CHAR(9)," "),CHAR(10)," "),CHAR(13)," "))),"")))</f>
        <v/>
      </c>
      <c r="DU983">
        <f>IF($DM983=0,"",IF($L$13=0,"",IFERROR(IF(ISNUMBER(INDEX(PASTE_ALL,$DF983,$L$13)),INDEX(PASTE_ALL,$DF983,$L$13),TRIM(SUBSTITUTE(SUBSTITUTE(SUBSTITUTE(SUBSTITUTE(INDEX(PASTE_ALL,$DF983,$L$13)," "," "),CHAR(9)," "),CHAR(10)," "),CHAR(13)," "))),"")))</f>
        <v/>
      </c>
      <c r="DV983">
        <f>IF($DM983=0,"",IF($L$14=0,"",IFERROR(IF(ISNUMBER(INDEX(PASTE_ALL,$DF983,$L$14)),INDEX(PASTE_ALL,$DF983,$L$14),TRIM(SUBSTITUTE(SUBSTITUTE(SUBSTITUTE(SUBSTITUTE(INDEX(PASTE_ALL,$DF983,$L$14)," "," "),CHAR(9)," "),CHAR(10)," "),CHAR(13)," "))),"")))</f>
        <v/>
      </c>
      <c r="DW983">
        <f>IF($DM983=0,"",IF($L$15=0,"",IFERROR(IF(ISNUMBER(INDEX(PASTE_ALL,$DF983,$L$15)),INDEX(PASTE_ALL,$DF983,$L$15),IF(SUMPRODUCT(--ISNUMBER(FIND({"A","B","C","D","E","F","G","H","I","J","K","L","M","N","O","P","Q","R","S","T","U","V","W","X","Y","Z","0","1","2","3","4","5","6","7","8","9"},UPPER(TRIM(SUBSTITUTE(SUBSTITUTE(SUBSTITUTE(SUBSTITUTE(INDEX(PASTE_ALL,$DF983,$L$15)," "," "),CHAR(9)," "),CHAR(10)," "),CHAR(13)," "))))))&gt;0,TRIM(SUBSTITUTE(SUBSTITUTE(SUBSTITUTE(SUBSTITUTE(INDEX(PASTE_ALL,$DF983,$L$15)," "," "),CHAR(9)," "),CHAR(10)," "),CHAR(13)," ")),"")),"")))</f>
        <v/>
      </c>
      <c r="DX983">
        <f>IF($DM983=0,"",IF($L$16=0,"",IFERROR(IF(ISNUMBER(INDEX(PASTE_ALL,$DF983,$L$16)),INDEX(PASTE_ALL,$DF983,$L$16),SUBSTITUTE(SUBSTITUTE(TRIM(SUBSTITUTE(SUBSTITUTE(SUBSTITUTE(SUBSTITUTE(INDEX(PASTE_ALL,$DF983,$L$16)," "," "),CHAR(9)," "),CHAR(10)," "),CHAR(13)," ")),",",""),"%","")),"")))</f>
        <v/>
      </c>
      <c r="DY983">
        <f>IF($DM983=0,"",IFERROR(IF(ISNUMBER($DX983),$DX983,IF($DX983="","",IF(TRIM($DX983)="",0,IF(AND(AND(SUBSTITUTE(SUBSTITUTE(SUBSTITUTE(SUBSTITUTE(SUBSTITUTE(SUBSTITUTE(SUBSTITUTE(SUBSTITUTE(SUBSTITUTE(SUBSTITUTE(SUBSTITUTE(SUBSTITUTE(SUBSTITUTE(SUBSTITUTE(UPPER(TRIM($DX983)),"0",""),"1",""),"2",""),"3",""),"4",""),"5",""),"6",""),"7",""),"8",""),"9",""),".",""),"+",""),"-",""),"E","")="",LEN(SUBSTITUTE(SUBSTITUTE(MID(UPPER(TRIM($DX983)),1+OR(LEFT(UPPER(TRIM($DX983)),1)="+",LEFT(UPPER(TRIM($DX983)),1)="-"),999),"E+","E"),"E-","E"))=LEN(SUBSTITUTE(SUBSTITUTE(SUBSTITUTE(SUBSTITUTE(MID(UPPER(TRIM($DX983)),1+OR(LEFT(UPPER(TRIM($DX983)),1)="+",LEFT(UPPER(TRIM($DX983)),1)="-"),999),"E+","E"),"E-","E"),"+",""),"-","")),LEN(UPPER(TRIM($DX983)))-LEN(SUBSTITUTE(UPPER(TRIM($DX983)),"E",""))&lt;2,LEN(UPPER(TRIM($DX983)))-LEN(SUBSTITUTE(UPPER(TRIM($DX983)),".",""))&lt;2,IFERROR(FIND(".",UPPER(TRIM($DX983))),0)&lt;IFERROR(FIND("E",UPPER(TRIM($DX983))),999)),ISNUMBER(VALUE(TRIM($DX983)))),VALUE(TRIM($DX983)),"")))),""))</f>
        <v/>
      </c>
      <c r="DZ983">
        <f>IF($DM983=0,"",IF($L$17=0,"",IFERROR(IF(ISNUMBER(INDEX(PASTE_ALL,$DF983,$L$17)),INDEX(PASTE_ALL,$DF983,$L$17),SUBSTITUTE(SUBSTITUTE(TRIM(SUBSTITUTE(SUBSTITUTE(SUBSTITUTE(SUBSTITUTE(INDEX(PASTE_ALL,$DF983,$L$17)," "," "),CHAR(9)," "),CHAR(10)," "),CHAR(13)," ")),",",""),"%","")),"")))</f>
        <v/>
      </c>
      <c r="EA983">
        <f>IF($DM983=0,"",IFERROR(IF(ISNUMBER($DZ983),$DZ983,IF($DZ983="","",IF(TRIM($DZ983)="",0,IF(AND(AND(SUBSTITUTE(SUBSTITUTE(SUBSTITUTE(SUBSTITUTE(SUBSTITUTE(SUBSTITUTE(SUBSTITUTE(SUBSTITUTE(SUBSTITUTE(SUBSTITUTE(SUBSTITUTE(SUBSTITUTE(SUBSTITUTE(SUBSTITUTE(UPPER(TRIM($DZ983)),"0",""),"1",""),"2",""),"3",""),"4",""),"5",""),"6",""),"7",""),"8",""),"9",""),".",""),"+",""),"-",""),"E","")="",LEN(SUBSTITUTE(SUBSTITUTE(MID(UPPER(TRIM($DZ983)),1+OR(LEFT(UPPER(TRIM($DZ983)),1)="+",LEFT(UPPER(TRIM($DZ983)),1)="-"),999),"E+","E"),"E-","E"))=LEN(SUBSTITUTE(SUBSTITUTE(SUBSTITUTE(SUBSTITUTE(MID(UPPER(TRIM($DZ983)),1+OR(LEFT(UPPER(TRIM($DZ983)),1)="+",LEFT(UPPER(TRIM($DZ983)),1)="-"),999),"E+","E"),"E-","E"),"+",""),"-","")),LEN(UPPER(TRIM($DZ983)))-LEN(SUBSTITUTE(UPPER(TRIM($DZ983)),"E",""))&lt;2,LEN(UPPER(TRIM($DZ983)))-LEN(SUBSTITUTE(UPPER(TRIM($DZ983)),".",""))&lt;2,IFERROR(FIND(".",UPPER(TRIM($DZ983))),0)&lt;IFERROR(FIND("E",UPPER(TRIM($DZ983))),999)),ISNUMBER(VALUE(TRIM($DZ983)))),VALUE(TRIM($DZ983)),"")))),""))</f>
        <v/>
      </c>
      <c r="EB983">
        <f>IF($DM983=0,"",IF($L$18=0,"",IFERROR(IF(UPPER(TRIM(SUBSTITUTE(SUBSTITUTE(SUBSTITUTE(SUBSTITUTE(INDEX(PASTE_ALL,$DF983,$L$18)," "," "),CHAR(9)," "),CHAR(10)," "),CHAR(13)," ")))="READY","Ready",IF(UPPER(TRIM(SUBSTITUTE(SUBSTITUTE(SUBSTITUTE(SUBSTITUTE(INDEX(PASTE_ALL,$DF983,$L$18)," "," "),CHAR(9)," "),CHAR(10)," "),CHAR(13)," ")))="PM","PM",IF(OR(UPPER(TRIM(SUBSTITUTE(SUBSTITUTE(SUBSTITUTE(SUBSTITUTE(INDEX(PASTE_ALL,$DF983,$L$18)," "," "),CHAR(9)," "),CHAR(10)," "),CHAR(13)," ")))="OT",UPPER(TRIM(SUBSTITUTE(SUBSTITUTE(SUBSTITUTE(SUBSTITUTE(INDEX(PASTE_ALL,$DF983,$L$18)," "," "),CHAR(9)," "),CHAR(10)," "),CHAR(13)," ")))="OVERTIME",UPPER(TRIM(SUBSTITUTE(SUBSTITUTE(SUBSTITUTE(SUBSTITUTE(INDEX(PASTE_ALL,$DF983,$L$18)," "," "),CHAR(9)," "),CHAR(10)," "),CHAR(13)," ")))="TRIAL"),"OT",TRIM(SUBSTITUTE(SUBSTITUTE(SUBSTITUTE(SUBSTITUTE(INDEX(PASTE_ALL,$DF983,$L$18)," "," "),CHAR(9)," "),CHAR(10)," "),CHAR(13)," "))))),"")))</f>
        <v/>
      </c>
      <c r="EC983">
        <f>IF($DM983=0,"",IF($L$19=0,"",IFERROR(IF(ISNUMBER(INDEX(PASTE_ALL,$DF983,$L$19)),INDEX(PASTE_ALL,$DF983,$L$19),TRIM(SUBSTITUTE(SUBSTITUTE(SUBSTITUTE(SUBSTITUTE(INDEX(PASTE_ALL,$DF983,$L$19)," "," "),CHAR(9)," "),CHAR(10)," "),CHAR(13)," "))),"")))</f>
        <v/>
      </c>
      <c r="ED983">
        <f>IF($DM983=0,"",MATCH(1,INDEX(EXACT($DH$5:DH983,$DH983)*$DM$5:DM983,0),0))</f>
        <v/>
      </c>
      <c r="EE983">
        <f>IF($DM983=0,0,IF($ED983=$DE983,1,0))</f>
        <v/>
      </c>
      <c r="EF983">
        <f>EF982+$EE983</f>
        <v/>
      </c>
      <c r="EG983">
        <f>IF($DM983=0,"",INDEX($EF$5:$EF$1003,$ED983))</f>
        <v/>
      </c>
      <c r="EH983">
        <f>IF($DM983=0,"",IF($DO983&lt;&gt;"","",IFERROR(LOOKUP(2,1/(($EG$4:EG982=$EG983)*($DO$4:DO982&lt;&gt;"")),$DO$4:DO982),"")))</f>
        <v/>
      </c>
      <c r="EI983">
        <f>IF($DM983=0,"",IF($DO983&lt;&gt;"",$DO983,$EH983))</f>
        <v/>
      </c>
      <c r="EJ983">
        <f>IF($DM983=0,"",IF($EI983="",0,IF(OR(ISNUMBER($EI983),AND(AND(SUBSTITUTE(SUBSTITUTE(SUBSTITUTE(SUBSTITUTE(SUBSTITUTE(SUBSTITUTE(SUBSTITUTE(SUBSTITUTE(SUBSTITUTE(SUBSTITUTE(SUBSTITUTE(SUBSTITUTE(SUBSTITUTE(SUBSTITUTE(UPPER($EI983),"0",""),"1",""),"2",""),"3",""),"4",""),"5",""),"6",""),"7",""),"8",""),"9",""),".",""),"+",""),"-",""),"E","")="",LEN(SUBSTITUTE(SUBSTITUTE(MID(UPPER($EI983),1+OR(LEFT(UPPER($EI983),1)="+",LEFT(UPPER($EI983),1)="-"),999),"E+","E"),"E-","E"))=LEN(SUBSTITUTE(SUBSTITUTE(SUBSTITUTE(SUBSTITUTE(MID(UPPER($EI983),1+OR(LEFT(UPPER($EI983),1)="+",LEFT(UPPER($EI983),1)="-"),999),"E+","E"),"E-","E"),"+",""),"-","")),LEN(UPPER($EI983))-LEN(SUBSTITUTE(UPPER($EI983),"E",""))&lt;2,LEN(UPPER($EI983))-LEN(SUBSTITUTE(UPPER($EI983),".",""))&lt;2,IFERROR(FIND(".",UPPER($EI983)),0)&lt;IFERROR(FIND("E",UPPER($EI983)),999)),ISNUMBER(VALUE($EI983)))),1,2)))</f>
        <v/>
      </c>
      <c r="EK983">
        <f>IF($DM983=0,"",IF($EJ983=1,IF(ISNUMBER($EI983),$EI983,VALUE($EI983)),IF($EJ983=2,$DE983,0)))</f>
        <v/>
      </c>
      <c r="EL983">
        <f>IF($DM983=0,"",COUNTIF($EG$5:$EG$1003,"&lt;"&amp;$EG983)+SUMPRODUCT(($EG$5:$EG$1003=$EG983)*(($EJ$5:$EJ$1003&lt;$EJ983)+($EJ$5:$EJ$1003=$EJ983)*(($EK$5:$EK$1003&lt;$EK983)+($EK$5:$EK$1003=$EK983)*($DE$5:$DE$1003&lt;$DE983))))+1)</f>
        <v/>
      </c>
      <c r="EM983">
        <f>IF($DM983=0,"",$EL983+$EG983-1)</f>
        <v/>
      </c>
      <c r="EN983">
        <f>IF($DM983=0,0,IFERROR(MATCH(1,INDEX(--(TRIM(SUBSTITUTE(SUBSTITUTE(SUBSTITUTE(SUBSTITUTE(LINES_NAME&amp;""," "," "),CHAR(9)," "),CHAR(10)," "),CHAR(13)," "))=$DH983),0),0),0))</f>
        <v/>
      </c>
      <c r="EO983">
        <f>IF($EN983=0,0,IF(OR(UPPER(TRIM(INDEX(LINES_SCHEDULED,$EN983)&amp;""))="YES",UPPER(TRIM(INDEX(LINES_SCHEDULED,$EN983)&amp;""))="Y",UPPER(TRIM(INDEX(LINES_SCHEDULED,$EN983)&amp;""))="X"),1,0))</f>
        <v/>
      </c>
      <c r="EP983">
        <f>IF($DM983=0,"",IF(COUNTIFS($EG$5:$EG$1003,$EG983,$EB$5:$EB$1003,"Ready")&gt;0,"READY",IF(COUNTIFS($EG$5:$EG$1003,$EG983,$EB$5:$EB$1003,"PM")&gt;0,"PM",IF(COUNTIFS($EG$5:$EG$1003,$EG983,$EB$5:$EB$1003,"OT")&gt;0,"OT",""))))</f>
        <v/>
      </c>
      <c r="EQ983">
        <f>IF($EN983=0,"",UPPER(TRIM(INDEX(LINES_STATUS,$EN983)&amp;"")))</f>
        <v/>
      </c>
      <c r="ER983">
        <f>IF($DM983=0,"",IF(OR($EQ983="READY",$EQ983="PM",$EQ983="OT"),$EQ983,$EP983))</f>
        <v/>
      </c>
      <c r="ES983">
        <f>IF($DM983=0,"",IF(AND($DV983&lt;&gt;"",UPPER($DV983)&lt;&gt;"N"),"allergen",IF(ISNUMBER(SEARCH("oil",$DQ983)),"oil",IF(OR(EXACT($DS983,"A662"),EXACT($DS983,"A624")),"bulk",""))))</f>
        <v/>
      </c>
      <c r="ET983">
        <f>IF($DM983=0,"",IF(OR($EA983="",$EA983=0),"",$EA983/100))</f>
        <v/>
      </c>
      <c r="EU983">
        <f>IF(OR($ET983="",$DY983=""),"",INT($DY983*(1-$ET983)+0.5))</f>
        <v/>
      </c>
    </row>
    <row r="984">
      <c r="DA984" t="n">
        <v>980</v>
      </c>
      <c r="DB984">
        <f>IF($B$37=0,"",IFERROR(TRIM(SUBSTITUTE(SUBSTITUTE(SUBSTITUTE(SUBSTITUTE(INDEX(PASTE_ALL,980,$B$37)," "," "),CHAR(9)," "),CHAR(10)," "),CHAR(13)," ")),""))</f>
        <v/>
      </c>
      <c r="DC984">
        <f>IF(AND(980&gt;HEADER_ROW,UPPER(DB984)="LEGEND"),1,0)</f>
        <v/>
      </c>
      <c r="DE984" t="n">
        <v>980</v>
      </c>
      <c r="DF984">
        <f>HEADER_ROW+$DE984</f>
        <v/>
      </c>
      <c r="DG984">
        <f>IF(AND($DF984&lt;=1000,$DF984&lt;$B$8),1,0)</f>
        <v/>
      </c>
      <c r="DH984">
        <f>IF($DG984=1,IFERROR(INDEX($DB$5:$DB$1004,$DF984),""),"")</f>
        <v/>
      </c>
      <c r="DI984">
        <f>IF(AND($DG984=1,$DH984&lt;&gt;""),IFERROR(SUBSTITUTE(SUBSTITUTE(TRIM(SUBSTITUTE(SUBSTITUTE(SUBSTITUTE(SUBSTITUTE(IFERROR(INDEX(PASTE_ALL,$DF984,1)&amp;"","")&amp;"␟"&amp;IFERROR(INDEX(PASTE_ALL,$DF984,2)&amp;"","")&amp;"␟"&amp;IFERROR(INDEX(PASTE_ALL,$DF984,3)&amp;"","")&amp;"␟"&amp;IFERROR(INDEX(PASTE_ALL,$DF984,4)&amp;"","")&amp;"␟"&amp;IFERROR(INDEX(PASTE_ALL,$DF984,5)&amp;"","")&amp;"␟"&amp;IFERROR(INDEX(PASTE_ALL,$DF984,6)&amp;"","")&amp;"␟"&amp;IFERROR(INDEX(PASTE_ALL,$DF984,7)&amp;"","")&amp;"␟"&amp;IFERROR(INDEX(PASTE_ALL,$DF984,8)&amp;"","")&amp;"␟"&amp;IFERROR(INDEX(PASTE_ALL,$DF984,9)&amp;"","")&amp;"␟"&amp;IFERROR(INDEX(PASTE_ALL,$DF984,10)&amp;"","")&amp;"␟"&amp;IFERROR(INDEX(PASTE_ALL,$DF984,11)&amp;"","")&amp;"␟"&amp;IFERROR(INDEX(PASTE_ALL,$DF984,12)&amp;"","")&amp;"␟"&amp;IFERROR(INDEX(PASTE_ALL,$DF984,13)&amp;"","")&amp;"␟"&amp;IFERROR(INDEX(PASTE_ALL,$DF984,14)&amp;"","")&amp;"␟"&amp;IFERROR(INDEX(PASTE_ALL,$DF984,15)&amp;"","")&amp;"␟"&amp;IFERROR(INDEX(PASTE_ALL,$DF984,16)&amp;"","")&amp;"␟"&amp;IFERROR(INDEX(PASTE_ALL,$DF984,17)&amp;"","")&amp;"␟"&amp;IFERROR(INDEX(PASTE_ALL,$DF984,18)&amp;"","")&amp;"␟"&amp;IFERROR(INDEX(PASTE_ALL,$DF984,19)&amp;"","")&amp;"␟"&amp;IFERROR(INDEX(PASTE_ALL,$DF984,20)&amp;"","")&amp;"␟"&amp;IFERROR(INDEX(PASTE_ALL,$DF984,21)&amp;"","")&amp;"␟"&amp;IFERROR(INDEX(PASTE_ALL,$DF984,22)&amp;"","")&amp;"␟"&amp;IFERROR(INDEX(PASTE_ALL,$DF984,23)&amp;"","")&amp;"␟"&amp;IFERROR(INDEX(PASTE_ALL,$DF984,24)&amp;"","")&amp;"␟"&amp;IFERROR(INDEX(PASTE_ALL,$DF984,25)&amp;"","")&amp;"␟"&amp;IFERROR(INDEX(PASTE_ALL,$DF984,26)&amp;"","")&amp;"␟"&amp;IFERROR(INDEX(PASTE_ALL,$DF984,27)&amp;"","")&amp;"␟"&amp;IFERROR(INDEX(PASTE_ALL,$DF984,28)&amp;"","")&amp;"␟"&amp;IFERROR(INDEX(PASTE_ALL,$DF984,29)&amp;"","")&amp;"␟"&amp;IFERROR(INDEX(PASTE_ALL,$DF984,30)&amp;"","")&amp;"␟"&amp;IFERROR(INDEX(PASTE_ALL,$DF984,31)&amp;"","")&amp;"␟"&amp;IFERROR(INDEX(PASTE_ALL,$DF984,32)&amp;"","")&amp;"␟"&amp;IFERROR(INDEX(PASTE_ALL,$DF984,33)&amp;"","")&amp;"␟"&amp;IFERROR(INDEX(PASTE_ALL,$DF984,34)&amp;"","")&amp;"␟"&amp;IFERROR(INDEX(PASTE_ALL,$DF984,35)&amp;"","")&amp;"␟"&amp;IFERROR(INDEX(PASTE_ALL,$DF984,36)&amp;"","")&amp;"␟"&amp;IFERROR(INDEX(PASTE_ALL,$DF984,37)&amp;"","")&amp;"␟"&amp;IFERROR(INDEX(PASTE_ALL,$DF984,38)&amp;"","")&amp;"␟"&amp;IFERROR(INDEX(PASTE_ALL,$DF984,39)&amp;"","")&amp;"␟"&amp;IFERROR(INDEX(PASTE_ALL,$DF984,40)&amp;"","")&amp;"␟"&amp;IFERROR(INDEX(PASTE_ALL,$DF984,41)&amp;"","")&amp;"␟"&amp;IFERROR(INDEX(PASTE_ALL,$DF984,42)&amp;"","")&amp;"␟"&amp;IFERROR(INDEX(PASTE_ALL,$DF984,43)&amp;"","")&amp;"␟"&amp;IFERROR(INDEX(PASTE_ALL,$DF984,44)&amp;"","")&amp;"␟"&amp;IFERROR(INDEX(PASTE_ALL,$DF984,45)&amp;"","")&amp;"␟"&amp;IFERROR(INDEX(PASTE_ALL,$DF984,46)&amp;"","")&amp;"␟"&amp;IFERROR(INDEX(PASTE_ALL,$DF984,47)&amp;"","")&amp;"␟"&amp;IFERROR(INDEX(PASTE_ALL,$DF984,48)&amp;"","")&amp;"␟"&amp;IFERROR(INDEX(PASTE_ALL,$DF984,49)&amp;"","")&amp;"␟"&amp;IFERROR(INDEX(PASTE_ALL,$DF984,50)&amp;"","")&amp;"␟"&amp;IFERROR(INDEX(PASTE_ALL,$DF984,51)&amp;"","")&amp;"␟"&amp;IFERROR(INDEX(PASTE_ALL,$DF984,52)&amp;"","")&amp;"␟"&amp;IFERROR(INDEX(PASTE_ALL,$DF984,53)&amp;"","")&amp;"␟"&amp;IFERROR(INDEX(PASTE_ALL,$DF984,54)&amp;"","")&amp;"␟"&amp;IFERROR(INDEX(PASTE_ALL,$DF984,55)&amp;"","")&amp;"␟"&amp;IFERROR(INDEX(PASTE_ALL,$DF984,56)&amp;"","")&amp;"␟"&amp;IFERROR(INDEX(PASTE_ALL,$DF984,57)&amp;"","")&amp;"␟"&amp;IFERROR(INDEX(PASTE_ALL,$DF984,58)&amp;"","")&amp;"␟"&amp;IFERROR(INDEX(PASTE_ALL,$DF984,59)&amp;"","")&amp;"␟"&amp;IFERROR(INDEX(PASTE_ALL,$DF984,60)&amp;"","")," "," "),CHAR(9)," "),CHAR(10)," "),CHAR(13)," "))," ␟","␟"),"␟ ","␟"),"#"&amp;$DE984),"")</f>
        <v/>
      </c>
      <c r="DJ984">
        <f>IF($DI984="",0,IF(SUMPRODUCT(--EXACT($DI$4:DI983,$DI984))&gt;0,1,0))</f>
        <v/>
      </c>
      <c r="DK984">
        <f>IF(AND($DI984&lt;&gt;"",$DJ984=0),1,0)</f>
        <v/>
      </c>
      <c r="DL984">
        <f>DL983+$DK984</f>
        <v/>
      </c>
      <c r="DM984">
        <f>IF(AND($DK984=1,$DL984&lt;=600),1,0)</f>
        <v/>
      </c>
      <c r="DN984">
        <f>IF($DM984=0,"",IF($L$6=0,"",IFERROR(IF(ISNUMBER(INDEX(PASTE_ALL,$DF984,$L$6)),INDEX(PASTE_ALL,$DF984,$L$6),TRIM(SUBSTITUTE(SUBSTITUTE(SUBSTITUTE(SUBSTITUTE(INDEX(PASTE_ALL,$DF984,$L$6)," "," "),CHAR(9)," "),CHAR(10)," "),CHAR(13)," "))),"")))</f>
        <v/>
      </c>
      <c r="DO984">
        <f>IF($DM984=0,"",IF($L$7=0,"",IFERROR(IF(ISNUMBER(INDEX(PASTE_ALL,$DF984,$L$7)),INDEX(PASTE_ALL,$DF984,$L$7),TRIM(SUBSTITUTE(SUBSTITUTE(SUBSTITUTE(SUBSTITUTE(INDEX(PASTE_ALL,$DF984,$L$7)," "," "),CHAR(9)," "),CHAR(10)," "),CHAR(13)," "))),"")))</f>
        <v/>
      </c>
      <c r="DP984">
        <f>IF($DM984=0,"",IF($L$8=0,"",IFERROR(IF(ISNUMBER(INDEX(PASTE_ALL,$DF984,$L$8)),INDEX(PASTE_ALL,$DF984,$L$8),TRIM(SUBSTITUTE(SUBSTITUTE(SUBSTITUTE(SUBSTITUTE(INDEX(PASTE_ALL,$DF984,$L$8)," "," "),CHAR(9)," "),CHAR(10)," "),CHAR(13)," "))),"")))</f>
        <v/>
      </c>
      <c r="DQ984">
        <f>IF($DM984=0,"",IF($L$9=0,"",IFERROR(IF(ISNUMBER(INDEX(PASTE_ALL,$DF984,$L$9)),INDEX(PASTE_ALL,$DF984,$L$9),TRIM(SUBSTITUTE(SUBSTITUTE(SUBSTITUTE(SUBSTITUTE(INDEX(PASTE_ALL,$DF984,$L$9)," "," "),CHAR(9)," "),CHAR(10)," "),CHAR(13)," "))),"")))</f>
        <v/>
      </c>
      <c r="DR984">
        <f>IF($DM984=0,"",IF($L$10=0,"",IFERROR(IF(ISNUMBER(INDEX(PASTE_ALL,$DF984,$L$10)),INDEX(PASTE_ALL,$DF984,$L$10),TRIM(SUBSTITUTE(SUBSTITUTE(SUBSTITUTE(SUBSTITUTE(INDEX(PASTE_ALL,$DF984,$L$10)," "," "),CHAR(9)," "),CHAR(10)," "),CHAR(13)," "))),"")))</f>
        <v/>
      </c>
      <c r="DS984">
        <f>IF($DM984=0,"",IF($L$11=0,"",IFERROR(IF(ISNUMBER(INDEX(PASTE_ALL,$DF984,$L$11)),INDEX(PASTE_ALL,$DF984,$L$11),TRIM(SUBSTITUTE(SUBSTITUTE(SUBSTITUTE(SUBSTITUTE(INDEX(PASTE_ALL,$DF984,$L$11)," "," "),CHAR(9)," "),CHAR(10)," "),CHAR(13)," "))),"")))</f>
        <v/>
      </c>
      <c r="DT984">
        <f>IF($DM984=0,"",IF($L$12=0,"",IFERROR(IF(ISNUMBER(INDEX(PASTE_ALL,$DF984,$L$12)),INDEX(PASTE_ALL,$DF984,$L$12),TRIM(SUBSTITUTE(SUBSTITUTE(SUBSTITUTE(SUBSTITUTE(INDEX(PASTE_ALL,$DF984,$L$12)," "," "),CHAR(9)," "),CHAR(10)," "),CHAR(13)," "))),"")))</f>
        <v/>
      </c>
      <c r="DU984">
        <f>IF($DM984=0,"",IF($L$13=0,"",IFERROR(IF(ISNUMBER(INDEX(PASTE_ALL,$DF984,$L$13)),INDEX(PASTE_ALL,$DF984,$L$13),TRIM(SUBSTITUTE(SUBSTITUTE(SUBSTITUTE(SUBSTITUTE(INDEX(PASTE_ALL,$DF984,$L$13)," "," "),CHAR(9)," "),CHAR(10)," "),CHAR(13)," "))),"")))</f>
        <v/>
      </c>
      <c r="DV984">
        <f>IF($DM984=0,"",IF($L$14=0,"",IFERROR(IF(ISNUMBER(INDEX(PASTE_ALL,$DF984,$L$14)),INDEX(PASTE_ALL,$DF984,$L$14),TRIM(SUBSTITUTE(SUBSTITUTE(SUBSTITUTE(SUBSTITUTE(INDEX(PASTE_ALL,$DF984,$L$14)," "," "),CHAR(9)," "),CHAR(10)," "),CHAR(13)," "))),"")))</f>
        <v/>
      </c>
      <c r="DW984">
        <f>IF($DM984=0,"",IF($L$15=0,"",IFERROR(IF(ISNUMBER(INDEX(PASTE_ALL,$DF984,$L$15)),INDEX(PASTE_ALL,$DF984,$L$15),IF(SUMPRODUCT(--ISNUMBER(FIND({"A","B","C","D","E","F","G","H","I","J","K","L","M","N","O","P","Q","R","S","T","U","V","W","X","Y","Z","0","1","2","3","4","5","6","7","8","9"},UPPER(TRIM(SUBSTITUTE(SUBSTITUTE(SUBSTITUTE(SUBSTITUTE(INDEX(PASTE_ALL,$DF984,$L$15)," "," "),CHAR(9)," "),CHAR(10)," "),CHAR(13)," "))))))&gt;0,TRIM(SUBSTITUTE(SUBSTITUTE(SUBSTITUTE(SUBSTITUTE(INDEX(PASTE_ALL,$DF984,$L$15)," "," "),CHAR(9)," "),CHAR(10)," "),CHAR(13)," ")),"")),"")))</f>
        <v/>
      </c>
      <c r="DX984">
        <f>IF($DM984=0,"",IF($L$16=0,"",IFERROR(IF(ISNUMBER(INDEX(PASTE_ALL,$DF984,$L$16)),INDEX(PASTE_ALL,$DF984,$L$16),SUBSTITUTE(SUBSTITUTE(TRIM(SUBSTITUTE(SUBSTITUTE(SUBSTITUTE(SUBSTITUTE(INDEX(PASTE_ALL,$DF984,$L$16)," "," "),CHAR(9)," "),CHAR(10)," "),CHAR(13)," ")),",",""),"%","")),"")))</f>
        <v/>
      </c>
      <c r="DY984">
        <f>IF($DM984=0,"",IFERROR(IF(ISNUMBER($DX984),$DX984,IF($DX984="","",IF(TRIM($DX984)="",0,IF(AND(AND(SUBSTITUTE(SUBSTITUTE(SUBSTITUTE(SUBSTITUTE(SUBSTITUTE(SUBSTITUTE(SUBSTITUTE(SUBSTITUTE(SUBSTITUTE(SUBSTITUTE(SUBSTITUTE(SUBSTITUTE(SUBSTITUTE(SUBSTITUTE(UPPER(TRIM($DX984)),"0",""),"1",""),"2",""),"3",""),"4",""),"5",""),"6",""),"7",""),"8",""),"9",""),".",""),"+",""),"-",""),"E","")="",LEN(SUBSTITUTE(SUBSTITUTE(MID(UPPER(TRIM($DX984)),1+OR(LEFT(UPPER(TRIM($DX984)),1)="+",LEFT(UPPER(TRIM($DX984)),1)="-"),999),"E+","E"),"E-","E"))=LEN(SUBSTITUTE(SUBSTITUTE(SUBSTITUTE(SUBSTITUTE(MID(UPPER(TRIM($DX984)),1+OR(LEFT(UPPER(TRIM($DX984)),1)="+",LEFT(UPPER(TRIM($DX984)),1)="-"),999),"E+","E"),"E-","E"),"+",""),"-","")),LEN(UPPER(TRIM($DX984)))-LEN(SUBSTITUTE(UPPER(TRIM($DX984)),"E",""))&lt;2,LEN(UPPER(TRIM($DX984)))-LEN(SUBSTITUTE(UPPER(TRIM($DX984)),".",""))&lt;2,IFERROR(FIND(".",UPPER(TRIM($DX984))),0)&lt;IFERROR(FIND("E",UPPER(TRIM($DX984))),999)),ISNUMBER(VALUE(TRIM($DX984)))),VALUE(TRIM($DX984)),"")))),""))</f>
        <v/>
      </c>
      <c r="DZ984">
        <f>IF($DM984=0,"",IF($L$17=0,"",IFERROR(IF(ISNUMBER(INDEX(PASTE_ALL,$DF984,$L$17)),INDEX(PASTE_ALL,$DF984,$L$17),SUBSTITUTE(SUBSTITUTE(TRIM(SUBSTITUTE(SUBSTITUTE(SUBSTITUTE(SUBSTITUTE(INDEX(PASTE_ALL,$DF984,$L$17)," "," "),CHAR(9)," "),CHAR(10)," "),CHAR(13)," ")),",",""),"%","")),"")))</f>
        <v/>
      </c>
      <c r="EA984">
        <f>IF($DM984=0,"",IFERROR(IF(ISNUMBER($DZ984),$DZ984,IF($DZ984="","",IF(TRIM($DZ984)="",0,IF(AND(AND(SUBSTITUTE(SUBSTITUTE(SUBSTITUTE(SUBSTITUTE(SUBSTITUTE(SUBSTITUTE(SUBSTITUTE(SUBSTITUTE(SUBSTITUTE(SUBSTITUTE(SUBSTITUTE(SUBSTITUTE(SUBSTITUTE(SUBSTITUTE(UPPER(TRIM($DZ984)),"0",""),"1",""),"2",""),"3",""),"4",""),"5",""),"6",""),"7",""),"8",""),"9",""),".",""),"+",""),"-",""),"E","")="",LEN(SUBSTITUTE(SUBSTITUTE(MID(UPPER(TRIM($DZ984)),1+OR(LEFT(UPPER(TRIM($DZ984)),1)="+",LEFT(UPPER(TRIM($DZ984)),1)="-"),999),"E+","E"),"E-","E"))=LEN(SUBSTITUTE(SUBSTITUTE(SUBSTITUTE(SUBSTITUTE(MID(UPPER(TRIM($DZ984)),1+OR(LEFT(UPPER(TRIM($DZ984)),1)="+",LEFT(UPPER(TRIM($DZ984)),1)="-"),999),"E+","E"),"E-","E"),"+",""),"-","")),LEN(UPPER(TRIM($DZ984)))-LEN(SUBSTITUTE(UPPER(TRIM($DZ984)),"E",""))&lt;2,LEN(UPPER(TRIM($DZ984)))-LEN(SUBSTITUTE(UPPER(TRIM($DZ984)),".",""))&lt;2,IFERROR(FIND(".",UPPER(TRIM($DZ984))),0)&lt;IFERROR(FIND("E",UPPER(TRIM($DZ984))),999)),ISNUMBER(VALUE(TRIM($DZ984)))),VALUE(TRIM($DZ984)),"")))),""))</f>
        <v/>
      </c>
      <c r="EB984">
        <f>IF($DM984=0,"",IF($L$18=0,"",IFERROR(IF(UPPER(TRIM(SUBSTITUTE(SUBSTITUTE(SUBSTITUTE(SUBSTITUTE(INDEX(PASTE_ALL,$DF984,$L$18)," "," "),CHAR(9)," "),CHAR(10)," "),CHAR(13)," ")))="READY","Ready",IF(UPPER(TRIM(SUBSTITUTE(SUBSTITUTE(SUBSTITUTE(SUBSTITUTE(INDEX(PASTE_ALL,$DF984,$L$18)," "," "),CHAR(9)," "),CHAR(10)," "),CHAR(13)," ")))="PM","PM",IF(OR(UPPER(TRIM(SUBSTITUTE(SUBSTITUTE(SUBSTITUTE(SUBSTITUTE(INDEX(PASTE_ALL,$DF984,$L$18)," "," "),CHAR(9)," "),CHAR(10)," "),CHAR(13)," ")))="OT",UPPER(TRIM(SUBSTITUTE(SUBSTITUTE(SUBSTITUTE(SUBSTITUTE(INDEX(PASTE_ALL,$DF984,$L$18)," "," "),CHAR(9)," "),CHAR(10)," "),CHAR(13)," ")))="OVERTIME",UPPER(TRIM(SUBSTITUTE(SUBSTITUTE(SUBSTITUTE(SUBSTITUTE(INDEX(PASTE_ALL,$DF984,$L$18)," "," "),CHAR(9)," "),CHAR(10)," "),CHAR(13)," ")))="TRIAL"),"OT",TRIM(SUBSTITUTE(SUBSTITUTE(SUBSTITUTE(SUBSTITUTE(INDEX(PASTE_ALL,$DF984,$L$18)," "," "),CHAR(9)," "),CHAR(10)," "),CHAR(13)," "))))),"")))</f>
        <v/>
      </c>
      <c r="EC984">
        <f>IF($DM984=0,"",IF($L$19=0,"",IFERROR(IF(ISNUMBER(INDEX(PASTE_ALL,$DF984,$L$19)),INDEX(PASTE_ALL,$DF984,$L$19),TRIM(SUBSTITUTE(SUBSTITUTE(SUBSTITUTE(SUBSTITUTE(INDEX(PASTE_ALL,$DF984,$L$19)," "," "),CHAR(9)," "),CHAR(10)," "),CHAR(13)," "))),"")))</f>
        <v/>
      </c>
      <c r="ED984">
        <f>IF($DM984=0,"",MATCH(1,INDEX(EXACT($DH$5:DH984,$DH984)*$DM$5:DM984,0),0))</f>
        <v/>
      </c>
      <c r="EE984">
        <f>IF($DM984=0,0,IF($ED984=$DE984,1,0))</f>
        <v/>
      </c>
      <c r="EF984">
        <f>EF983+$EE984</f>
        <v/>
      </c>
      <c r="EG984">
        <f>IF($DM984=0,"",INDEX($EF$5:$EF$1003,$ED984))</f>
        <v/>
      </c>
      <c r="EH984">
        <f>IF($DM984=0,"",IF($DO984&lt;&gt;"","",IFERROR(LOOKUP(2,1/(($EG$4:EG983=$EG984)*($DO$4:DO983&lt;&gt;"")),$DO$4:DO983),"")))</f>
        <v/>
      </c>
      <c r="EI984">
        <f>IF($DM984=0,"",IF($DO984&lt;&gt;"",$DO984,$EH984))</f>
        <v/>
      </c>
      <c r="EJ984">
        <f>IF($DM984=0,"",IF($EI984="",0,IF(OR(ISNUMBER($EI984),AND(AND(SUBSTITUTE(SUBSTITUTE(SUBSTITUTE(SUBSTITUTE(SUBSTITUTE(SUBSTITUTE(SUBSTITUTE(SUBSTITUTE(SUBSTITUTE(SUBSTITUTE(SUBSTITUTE(SUBSTITUTE(SUBSTITUTE(SUBSTITUTE(UPPER($EI984),"0",""),"1",""),"2",""),"3",""),"4",""),"5",""),"6",""),"7",""),"8",""),"9",""),".",""),"+",""),"-",""),"E","")="",LEN(SUBSTITUTE(SUBSTITUTE(MID(UPPER($EI984),1+OR(LEFT(UPPER($EI984),1)="+",LEFT(UPPER($EI984),1)="-"),999),"E+","E"),"E-","E"))=LEN(SUBSTITUTE(SUBSTITUTE(SUBSTITUTE(SUBSTITUTE(MID(UPPER($EI984),1+OR(LEFT(UPPER($EI984),1)="+",LEFT(UPPER($EI984),1)="-"),999),"E+","E"),"E-","E"),"+",""),"-","")),LEN(UPPER($EI984))-LEN(SUBSTITUTE(UPPER($EI984),"E",""))&lt;2,LEN(UPPER($EI984))-LEN(SUBSTITUTE(UPPER($EI984),".",""))&lt;2,IFERROR(FIND(".",UPPER($EI984)),0)&lt;IFERROR(FIND("E",UPPER($EI984)),999)),ISNUMBER(VALUE($EI984)))),1,2)))</f>
        <v/>
      </c>
      <c r="EK984">
        <f>IF($DM984=0,"",IF($EJ984=1,IF(ISNUMBER($EI984),$EI984,VALUE($EI984)),IF($EJ984=2,$DE984,0)))</f>
        <v/>
      </c>
      <c r="EL984">
        <f>IF($DM984=0,"",COUNTIF($EG$5:$EG$1003,"&lt;"&amp;$EG984)+SUMPRODUCT(($EG$5:$EG$1003=$EG984)*(($EJ$5:$EJ$1003&lt;$EJ984)+($EJ$5:$EJ$1003=$EJ984)*(($EK$5:$EK$1003&lt;$EK984)+($EK$5:$EK$1003=$EK984)*($DE$5:$DE$1003&lt;$DE984))))+1)</f>
        <v/>
      </c>
      <c r="EM984">
        <f>IF($DM984=0,"",$EL984+$EG984-1)</f>
        <v/>
      </c>
      <c r="EN984">
        <f>IF($DM984=0,0,IFERROR(MATCH(1,INDEX(--(TRIM(SUBSTITUTE(SUBSTITUTE(SUBSTITUTE(SUBSTITUTE(LINES_NAME&amp;""," "," "),CHAR(9)," "),CHAR(10)," "),CHAR(13)," "))=$DH984),0),0),0))</f>
        <v/>
      </c>
      <c r="EO984">
        <f>IF($EN984=0,0,IF(OR(UPPER(TRIM(INDEX(LINES_SCHEDULED,$EN984)&amp;""))="YES",UPPER(TRIM(INDEX(LINES_SCHEDULED,$EN984)&amp;""))="Y",UPPER(TRIM(INDEX(LINES_SCHEDULED,$EN984)&amp;""))="X"),1,0))</f>
        <v/>
      </c>
      <c r="EP984">
        <f>IF($DM984=0,"",IF(COUNTIFS($EG$5:$EG$1003,$EG984,$EB$5:$EB$1003,"Ready")&gt;0,"READY",IF(COUNTIFS($EG$5:$EG$1003,$EG984,$EB$5:$EB$1003,"PM")&gt;0,"PM",IF(COUNTIFS($EG$5:$EG$1003,$EG984,$EB$5:$EB$1003,"OT")&gt;0,"OT",""))))</f>
        <v/>
      </c>
      <c r="EQ984">
        <f>IF($EN984=0,"",UPPER(TRIM(INDEX(LINES_STATUS,$EN984)&amp;"")))</f>
        <v/>
      </c>
      <c r="ER984">
        <f>IF($DM984=0,"",IF(OR($EQ984="READY",$EQ984="PM",$EQ984="OT"),$EQ984,$EP984))</f>
        <v/>
      </c>
      <c r="ES984">
        <f>IF($DM984=0,"",IF(AND($DV984&lt;&gt;"",UPPER($DV984)&lt;&gt;"N"),"allergen",IF(ISNUMBER(SEARCH("oil",$DQ984)),"oil",IF(OR(EXACT($DS984,"A662"),EXACT($DS984,"A624")),"bulk",""))))</f>
        <v/>
      </c>
      <c r="ET984">
        <f>IF($DM984=0,"",IF(OR($EA984="",$EA984=0),"",$EA984/100))</f>
        <v/>
      </c>
      <c r="EU984">
        <f>IF(OR($ET984="",$DY984=""),"",INT($DY984*(1-$ET984)+0.5))</f>
        <v/>
      </c>
    </row>
    <row r="985">
      <c r="DA985" t="n">
        <v>981</v>
      </c>
      <c r="DB985">
        <f>IF($B$37=0,"",IFERROR(TRIM(SUBSTITUTE(SUBSTITUTE(SUBSTITUTE(SUBSTITUTE(INDEX(PASTE_ALL,981,$B$37)," "," "),CHAR(9)," "),CHAR(10)," "),CHAR(13)," ")),""))</f>
        <v/>
      </c>
      <c r="DC985">
        <f>IF(AND(981&gt;HEADER_ROW,UPPER(DB985)="LEGEND"),1,0)</f>
        <v/>
      </c>
      <c r="DE985" t="n">
        <v>981</v>
      </c>
      <c r="DF985">
        <f>HEADER_ROW+$DE985</f>
        <v/>
      </c>
      <c r="DG985">
        <f>IF(AND($DF985&lt;=1000,$DF985&lt;$B$8),1,0)</f>
        <v/>
      </c>
      <c r="DH985">
        <f>IF($DG985=1,IFERROR(INDEX($DB$5:$DB$1004,$DF985),""),"")</f>
        <v/>
      </c>
      <c r="DI985">
        <f>IF(AND($DG985=1,$DH985&lt;&gt;""),IFERROR(SUBSTITUTE(SUBSTITUTE(TRIM(SUBSTITUTE(SUBSTITUTE(SUBSTITUTE(SUBSTITUTE(IFERROR(INDEX(PASTE_ALL,$DF985,1)&amp;"","")&amp;"␟"&amp;IFERROR(INDEX(PASTE_ALL,$DF985,2)&amp;"","")&amp;"␟"&amp;IFERROR(INDEX(PASTE_ALL,$DF985,3)&amp;"","")&amp;"␟"&amp;IFERROR(INDEX(PASTE_ALL,$DF985,4)&amp;"","")&amp;"␟"&amp;IFERROR(INDEX(PASTE_ALL,$DF985,5)&amp;"","")&amp;"␟"&amp;IFERROR(INDEX(PASTE_ALL,$DF985,6)&amp;"","")&amp;"␟"&amp;IFERROR(INDEX(PASTE_ALL,$DF985,7)&amp;"","")&amp;"␟"&amp;IFERROR(INDEX(PASTE_ALL,$DF985,8)&amp;"","")&amp;"␟"&amp;IFERROR(INDEX(PASTE_ALL,$DF985,9)&amp;"","")&amp;"␟"&amp;IFERROR(INDEX(PASTE_ALL,$DF985,10)&amp;"","")&amp;"␟"&amp;IFERROR(INDEX(PASTE_ALL,$DF985,11)&amp;"","")&amp;"␟"&amp;IFERROR(INDEX(PASTE_ALL,$DF985,12)&amp;"","")&amp;"␟"&amp;IFERROR(INDEX(PASTE_ALL,$DF985,13)&amp;"","")&amp;"␟"&amp;IFERROR(INDEX(PASTE_ALL,$DF985,14)&amp;"","")&amp;"␟"&amp;IFERROR(INDEX(PASTE_ALL,$DF985,15)&amp;"","")&amp;"␟"&amp;IFERROR(INDEX(PASTE_ALL,$DF985,16)&amp;"","")&amp;"␟"&amp;IFERROR(INDEX(PASTE_ALL,$DF985,17)&amp;"","")&amp;"␟"&amp;IFERROR(INDEX(PASTE_ALL,$DF985,18)&amp;"","")&amp;"␟"&amp;IFERROR(INDEX(PASTE_ALL,$DF985,19)&amp;"","")&amp;"␟"&amp;IFERROR(INDEX(PASTE_ALL,$DF985,20)&amp;"","")&amp;"␟"&amp;IFERROR(INDEX(PASTE_ALL,$DF985,21)&amp;"","")&amp;"␟"&amp;IFERROR(INDEX(PASTE_ALL,$DF985,22)&amp;"","")&amp;"␟"&amp;IFERROR(INDEX(PASTE_ALL,$DF985,23)&amp;"","")&amp;"␟"&amp;IFERROR(INDEX(PASTE_ALL,$DF985,24)&amp;"","")&amp;"␟"&amp;IFERROR(INDEX(PASTE_ALL,$DF985,25)&amp;"","")&amp;"␟"&amp;IFERROR(INDEX(PASTE_ALL,$DF985,26)&amp;"","")&amp;"␟"&amp;IFERROR(INDEX(PASTE_ALL,$DF985,27)&amp;"","")&amp;"␟"&amp;IFERROR(INDEX(PASTE_ALL,$DF985,28)&amp;"","")&amp;"␟"&amp;IFERROR(INDEX(PASTE_ALL,$DF985,29)&amp;"","")&amp;"␟"&amp;IFERROR(INDEX(PASTE_ALL,$DF985,30)&amp;"","")&amp;"␟"&amp;IFERROR(INDEX(PASTE_ALL,$DF985,31)&amp;"","")&amp;"␟"&amp;IFERROR(INDEX(PASTE_ALL,$DF985,32)&amp;"","")&amp;"␟"&amp;IFERROR(INDEX(PASTE_ALL,$DF985,33)&amp;"","")&amp;"␟"&amp;IFERROR(INDEX(PASTE_ALL,$DF985,34)&amp;"","")&amp;"␟"&amp;IFERROR(INDEX(PASTE_ALL,$DF985,35)&amp;"","")&amp;"␟"&amp;IFERROR(INDEX(PASTE_ALL,$DF985,36)&amp;"","")&amp;"␟"&amp;IFERROR(INDEX(PASTE_ALL,$DF985,37)&amp;"","")&amp;"␟"&amp;IFERROR(INDEX(PASTE_ALL,$DF985,38)&amp;"","")&amp;"␟"&amp;IFERROR(INDEX(PASTE_ALL,$DF985,39)&amp;"","")&amp;"␟"&amp;IFERROR(INDEX(PASTE_ALL,$DF985,40)&amp;"","")&amp;"␟"&amp;IFERROR(INDEX(PASTE_ALL,$DF985,41)&amp;"","")&amp;"␟"&amp;IFERROR(INDEX(PASTE_ALL,$DF985,42)&amp;"","")&amp;"␟"&amp;IFERROR(INDEX(PASTE_ALL,$DF985,43)&amp;"","")&amp;"␟"&amp;IFERROR(INDEX(PASTE_ALL,$DF985,44)&amp;"","")&amp;"␟"&amp;IFERROR(INDEX(PASTE_ALL,$DF985,45)&amp;"","")&amp;"␟"&amp;IFERROR(INDEX(PASTE_ALL,$DF985,46)&amp;"","")&amp;"␟"&amp;IFERROR(INDEX(PASTE_ALL,$DF985,47)&amp;"","")&amp;"␟"&amp;IFERROR(INDEX(PASTE_ALL,$DF985,48)&amp;"","")&amp;"␟"&amp;IFERROR(INDEX(PASTE_ALL,$DF985,49)&amp;"","")&amp;"␟"&amp;IFERROR(INDEX(PASTE_ALL,$DF985,50)&amp;"","")&amp;"␟"&amp;IFERROR(INDEX(PASTE_ALL,$DF985,51)&amp;"","")&amp;"␟"&amp;IFERROR(INDEX(PASTE_ALL,$DF985,52)&amp;"","")&amp;"␟"&amp;IFERROR(INDEX(PASTE_ALL,$DF985,53)&amp;"","")&amp;"␟"&amp;IFERROR(INDEX(PASTE_ALL,$DF985,54)&amp;"","")&amp;"␟"&amp;IFERROR(INDEX(PASTE_ALL,$DF985,55)&amp;"","")&amp;"␟"&amp;IFERROR(INDEX(PASTE_ALL,$DF985,56)&amp;"","")&amp;"␟"&amp;IFERROR(INDEX(PASTE_ALL,$DF985,57)&amp;"","")&amp;"␟"&amp;IFERROR(INDEX(PASTE_ALL,$DF985,58)&amp;"","")&amp;"␟"&amp;IFERROR(INDEX(PASTE_ALL,$DF985,59)&amp;"","")&amp;"␟"&amp;IFERROR(INDEX(PASTE_ALL,$DF985,60)&amp;"","")," "," "),CHAR(9)," "),CHAR(10)," "),CHAR(13)," "))," ␟","␟"),"␟ ","␟"),"#"&amp;$DE985),"")</f>
        <v/>
      </c>
      <c r="DJ985">
        <f>IF($DI985="",0,IF(SUMPRODUCT(--EXACT($DI$4:DI984,$DI985))&gt;0,1,0))</f>
        <v/>
      </c>
      <c r="DK985">
        <f>IF(AND($DI985&lt;&gt;"",$DJ985=0),1,0)</f>
        <v/>
      </c>
      <c r="DL985">
        <f>DL984+$DK985</f>
        <v/>
      </c>
      <c r="DM985">
        <f>IF(AND($DK985=1,$DL985&lt;=600),1,0)</f>
        <v/>
      </c>
      <c r="DN985">
        <f>IF($DM985=0,"",IF($L$6=0,"",IFERROR(IF(ISNUMBER(INDEX(PASTE_ALL,$DF985,$L$6)),INDEX(PASTE_ALL,$DF985,$L$6),TRIM(SUBSTITUTE(SUBSTITUTE(SUBSTITUTE(SUBSTITUTE(INDEX(PASTE_ALL,$DF985,$L$6)," "," "),CHAR(9)," "),CHAR(10)," "),CHAR(13)," "))),"")))</f>
        <v/>
      </c>
      <c r="DO985">
        <f>IF($DM985=0,"",IF($L$7=0,"",IFERROR(IF(ISNUMBER(INDEX(PASTE_ALL,$DF985,$L$7)),INDEX(PASTE_ALL,$DF985,$L$7),TRIM(SUBSTITUTE(SUBSTITUTE(SUBSTITUTE(SUBSTITUTE(INDEX(PASTE_ALL,$DF985,$L$7)," "," "),CHAR(9)," "),CHAR(10)," "),CHAR(13)," "))),"")))</f>
        <v/>
      </c>
      <c r="DP985">
        <f>IF($DM985=0,"",IF($L$8=0,"",IFERROR(IF(ISNUMBER(INDEX(PASTE_ALL,$DF985,$L$8)),INDEX(PASTE_ALL,$DF985,$L$8),TRIM(SUBSTITUTE(SUBSTITUTE(SUBSTITUTE(SUBSTITUTE(INDEX(PASTE_ALL,$DF985,$L$8)," "," "),CHAR(9)," "),CHAR(10)," "),CHAR(13)," "))),"")))</f>
        <v/>
      </c>
      <c r="DQ985">
        <f>IF($DM985=0,"",IF($L$9=0,"",IFERROR(IF(ISNUMBER(INDEX(PASTE_ALL,$DF985,$L$9)),INDEX(PASTE_ALL,$DF985,$L$9),TRIM(SUBSTITUTE(SUBSTITUTE(SUBSTITUTE(SUBSTITUTE(INDEX(PASTE_ALL,$DF985,$L$9)," "," "),CHAR(9)," "),CHAR(10)," "),CHAR(13)," "))),"")))</f>
        <v/>
      </c>
      <c r="DR985">
        <f>IF($DM985=0,"",IF($L$10=0,"",IFERROR(IF(ISNUMBER(INDEX(PASTE_ALL,$DF985,$L$10)),INDEX(PASTE_ALL,$DF985,$L$10),TRIM(SUBSTITUTE(SUBSTITUTE(SUBSTITUTE(SUBSTITUTE(INDEX(PASTE_ALL,$DF985,$L$10)," "," "),CHAR(9)," "),CHAR(10)," "),CHAR(13)," "))),"")))</f>
        <v/>
      </c>
      <c r="DS985">
        <f>IF($DM985=0,"",IF($L$11=0,"",IFERROR(IF(ISNUMBER(INDEX(PASTE_ALL,$DF985,$L$11)),INDEX(PASTE_ALL,$DF985,$L$11),TRIM(SUBSTITUTE(SUBSTITUTE(SUBSTITUTE(SUBSTITUTE(INDEX(PASTE_ALL,$DF985,$L$11)," "," "),CHAR(9)," "),CHAR(10)," "),CHAR(13)," "))),"")))</f>
        <v/>
      </c>
      <c r="DT985">
        <f>IF($DM985=0,"",IF($L$12=0,"",IFERROR(IF(ISNUMBER(INDEX(PASTE_ALL,$DF985,$L$12)),INDEX(PASTE_ALL,$DF985,$L$12),TRIM(SUBSTITUTE(SUBSTITUTE(SUBSTITUTE(SUBSTITUTE(INDEX(PASTE_ALL,$DF985,$L$12)," "," "),CHAR(9)," "),CHAR(10)," "),CHAR(13)," "))),"")))</f>
        <v/>
      </c>
      <c r="DU985">
        <f>IF($DM985=0,"",IF($L$13=0,"",IFERROR(IF(ISNUMBER(INDEX(PASTE_ALL,$DF985,$L$13)),INDEX(PASTE_ALL,$DF985,$L$13),TRIM(SUBSTITUTE(SUBSTITUTE(SUBSTITUTE(SUBSTITUTE(INDEX(PASTE_ALL,$DF985,$L$13)," "," "),CHAR(9)," "),CHAR(10)," "),CHAR(13)," "))),"")))</f>
        <v/>
      </c>
      <c r="DV985">
        <f>IF($DM985=0,"",IF($L$14=0,"",IFERROR(IF(ISNUMBER(INDEX(PASTE_ALL,$DF985,$L$14)),INDEX(PASTE_ALL,$DF985,$L$14),TRIM(SUBSTITUTE(SUBSTITUTE(SUBSTITUTE(SUBSTITUTE(INDEX(PASTE_ALL,$DF985,$L$14)," "," "),CHAR(9)," "),CHAR(10)," "),CHAR(13)," "))),"")))</f>
        <v/>
      </c>
      <c r="DW985">
        <f>IF($DM985=0,"",IF($L$15=0,"",IFERROR(IF(ISNUMBER(INDEX(PASTE_ALL,$DF985,$L$15)),INDEX(PASTE_ALL,$DF985,$L$15),IF(SUMPRODUCT(--ISNUMBER(FIND({"A","B","C","D","E","F","G","H","I","J","K","L","M","N","O","P","Q","R","S","T","U","V","W","X","Y","Z","0","1","2","3","4","5","6","7","8","9"},UPPER(TRIM(SUBSTITUTE(SUBSTITUTE(SUBSTITUTE(SUBSTITUTE(INDEX(PASTE_ALL,$DF985,$L$15)," "," "),CHAR(9)," "),CHAR(10)," "),CHAR(13)," "))))))&gt;0,TRIM(SUBSTITUTE(SUBSTITUTE(SUBSTITUTE(SUBSTITUTE(INDEX(PASTE_ALL,$DF985,$L$15)," "," "),CHAR(9)," "),CHAR(10)," "),CHAR(13)," ")),"")),"")))</f>
        <v/>
      </c>
      <c r="DX985">
        <f>IF($DM985=0,"",IF($L$16=0,"",IFERROR(IF(ISNUMBER(INDEX(PASTE_ALL,$DF985,$L$16)),INDEX(PASTE_ALL,$DF985,$L$16),SUBSTITUTE(SUBSTITUTE(TRIM(SUBSTITUTE(SUBSTITUTE(SUBSTITUTE(SUBSTITUTE(INDEX(PASTE_ALL,$DF985,$L$16)," "," "),CHAR(9)," "),CHAR(10)," "),CHAR(13)," ")),",",""),"%","")),"")))</f>
        <v/>
      </c>
      <c r="DY985">
        <f>IF($DM985=0,"",IFERROR(IF(ISNUMBER($DX985),$DX985,IF($DX985="","",IF(TRIM($DX985)="",0,IF(AND(AND(SUBSTITUTE(SUBSTITUTE(SUBSTITUTE(SUBSTITUTE(SUBSTITUTE(SUBSTITUTE(SUBSTITUTE(SUBSTITUTE(SUBSTITUTE(SUBSTITUTE(SUBSTITUTE(SUBSTITUTE(SUBSTITUTE(SUBSTITUTE(UPPER(TRIM($DX985)),"0",""),"1",""),"2",""),"3",""),"4",""),"5",""),"6",""),"7",""),"8",""),"9",""),".",""),"+",""),"-",""),"E","")="",LEN(SUBSTITUTE(SUBSTITUTE(MID(UPPER(TRIM($DX985)),1+OR(LEFT(UPPER(TRIM($DX985)),1)="+",LEFT(UPPER(TRIM($DX985)),1)="-"),999),"E+","E"),"E-","E"))=LEN(SUBSTITUTE(SUBSTITUTE(SUBSTITUTE(SUBSTITUTE(MID(UPPER(TRIM($DX985)),1+OR(LEFT(UPPER(TRIM($DX985)),1)="+",LEFT(UPPER(TRIM($DX985)),1)="-"),999),"E+","E"),"E-","E"),"+",""),"-","")),LEN(UPPER(TRIM($DX985)))-LEN(SUBSTITUTE(UPPER(TRIM($DX985)),"E",""))&lt;2,LEN(UPPER(TRIM($DX985)))-LEN(SUBSTITUTE(UPPER(TRIM($DX985)),".",""))&lt;2,IFERROR(FIND(".",UPPER(TRIM($DX985))),0)&lt;IFERROR(FIND("E",UPPER(TRIM($DX985))),999)),ISNUMBER(VALUE(TRIM($DX985)))),VALUE(TRIM($DX985)),"")))),""))</f>
        <v/>
      </c>
      <c r="DZ985">
        <f>IF($DM985=0,"",IF($L$17=0,"",IFERROR(IF(ISNUMBER(INDEX(PASTE_ALL,$DF985,$L$17)),INDEX(PASTE_ALL,$DF985,$L$17),SUBSTITUTE(SUBSTITUTE(TRIM(SUBSTITUTE(SUBSTITUTE(SUBSTITUTE(SUBSTITUTE(INDEX(PASTE_ALL,$DF985,$L$17)," "," "),CHAR(9)," "),CHAR(10)," "),CHAR(13)," ")),",",""),"%","")),"")))</f>
        <v/>
      </c>
      <c r="EA985">
        <f>IF($DM985=0,"",IFERROR(IF(ISNUMBER($DZ985),$DZ985,IF($DZ985="","",IF(TRIM($DZ985)="",0,IF(AND(AND(SUBSTITUTE(SUBSTITUTE(SUBSTITUTE(SUBSTITUTE(SUBSTITUTE(SUBSTITUTE(SUBSTITUTE(SUBSTITUTE(SUBSTITUTE(SUBSTITUTE(SUBSTITUTE(SUBSTITUTE(SUBSTITUTE(SUBSTITUTE(UPPER(TRIM($DZ985)),"0",""),"1",""),"2",""),"3",""),"4",""),"5",""),"6",""),"7",""),"8",""),"9",""),".",""),"+",""),"-",""),"E","")="",LEN(SUBSTITUTE(SUBSTITUTE(MID(UPPER(TRIM($DZ985)),1+OR(LEFT(UPPER(TRIM($DZ985)),1)="+",LEFT(UPPER(TRIM($DZ985)),1)="-"),999),"E+","E"),"E-","E"))=LEN(SUBSTITUTE(SUBSTITUTE(SUBSTITUTE(SUBSTITUTE(MID(UPPER(TRIM($DZ985)),1+OR(LEFT(UPPER(TRIM($DZ985)),1)="+",LEFT(UPPER(TRIM($DZ985)),1)="-"),999),"E+","E"),"E-","E"),"+",""),"-","")),LEN(UPPER(TRIM($DZ985)))-LEN(SUBSTITUTE(UPPER(TRIM($DZ985)),"E",""))&lt;2,LEN(UPPER(TRIM($DZ985)))-LEN(SUBSTITUTE(UPPER(TRIM($DZ985)),".",""))&lt;2,IFERROR(FIND(".",UPPER(TRIM($DZ985))),0)&lt;IFERROR(FIND("E",UPPER(TRIM($DZ985))),999)),ISNUMBER(VALUE(TRIM($DZ985)))),VALUE(TRIM($DZ985)),"")))),""))</f>
        <v/>
      </c>
      <c r="EB985">
        <f>IF($DM985=0,"",IF($L$18=0,"",IFERROR(IF(UPPER(TRIM(SUBSTITUTE(SUBSTITUTE(SUBSTITUTE(SUBSTITUTE(INDEX(PASTE_ALL,$DF985,$L$18)," "," "),CHAR(9)," "),CHAR(10)," "),CHAR(13)," ")))="READY","Ready",IF(UPPER(TRIM(SUBSTITUTE(SUBSTITUTE(SUBSTITUTE(SUBSTITUTE(INDEX(PASTE_ALL,$DF985,$L$18)," "," "),CHAR(9)," "),CHAR(10)," "),CHAR(13)," ")))="PM","PM",IF(OR(UPPER(TRIM(SUBSTITUTE(SUBSTITUTE(SUBSTITUTE(SUBSTITUTE(INDEX(PASTE_ALL,$DF985,$L$18)," "," "),CHAR(9)," "),CHAR(10)," "),CHAR(13)," ")))="OT",UPPER(TRIM(SUBSTITUTE(SUBSTITUTE(SUBSTITUTE(SUBSTITUTE(INDEX(PASTE_ALL,$DF985,$L$18)," "," "),CHAR(9)," "),CHAR(10)," "),CHAR(13)," ")))="OVERTIME",UPPER(TRIM(SUBSTITUTE(SUBSTITUTE(SUBSTITUTE(SUBSTITUTE(INDEX(PASTE_ALL,$DF985,$L$18)," "," "),CHAR(9)," "),CHAR(10)," "),CHAR(13)," ")))="TRIAL"),"OT",TRIM(SUBSTITUTE(SUBSTITUTE(SUBSTITUTE(SUBSTITUTE(INDEX(PASTE_ALL,$DF985,$L$18)," "," "),CHAR(9)," "),CHAR(10)," "),CHAR(13)," "))))),"")))</f>
        <v/>
      </c>
      <c r="EC985">
        <f>IF($DM985=0,"",IF($L$19=0,"",IFERROR(IF(ISNUMBER(INDEX(PASTE_ALL,$DF985,$L$19)),INDEX(PASTE_ALL,$DF985,$L$19),TRIM(SUBSTITUTE(SUBSTITUTE(SUBSTITUTE(SUBSTITUTE(INDEX(PASTE_ALL,$DF985,$L$19)," "," "),CHAR(9)," "),CHAR(10)," "),CHAR(13)," "))),"")))</f>
        <v/>
      </c>
      <c r="ED985">
        <f>IF($DM985=0,"",MATCH(1,INDEX(EXACT($DH$5:DH985,$DH985)*$DM$5:DM985,0),0))</f>
        <v/>
      </c>
      <c r="EE985">
        <f>IF($DM985=0,0,IF($ED985=$DE985,1,0))</f>
        <v/>
      </c>
      <c r="EF985">
        <f>EF984+$EE985</f>
        <v/>
      </c>
      <c r="EG985">
        <f>IF($DM985=0,"",INDEX($EF$5:$EF$1003,$ED985))</f>
        <v/>
      </c>
      <c r="EH985">
        <f>IF($DM985=0,"",IF($DO985&lt;&gt;"","",IFERROR(LOOKUP(2,1/(($EG$4:EG984=$EG985)*($DO$4:DO984&lt;&gt;"")),$DO$4:DO984),"")))</f>
        <v/>
      </c>
      <c r="EI985">
        <f>IF($DM985=0,"",IF($DO985&lt;&gt;"",$DO985,$EH985))</f>
        <v/>
      </c>
      <c r="EJ985">
        <f>IF($DM985=0,"",IF($EI985="",0,IF(OR(ISNUMBER($EI985),AND(AND(SUBSTITUTE(SUBSTITUTE(SUBSTITUTE(SUBSTITUTE(SUBSTITUTE(SUBSTITUTE(SUBSTITUTE(SUBSTITUTE(SUBSTITUTE(SUBSTITUTE(SUBSTITUTE(SUBSTITUTE(SUBSTITUTE(SUBSTITUTE(UPPER($EI985),"0",""),"1",""),"2",""),"3",""),"4",""),"5",""),"6",""),"7",""),"8",""),"9",""),".",""),"+",""),"-",""),"E","")="",LEN(SUBSTITUTE(SUBSTITUTE(MID(UPPER($EI985),1+OR(LEFT(UPPER($EI985),1)="+",LEFT(UPPER($EI985),1)="-"),999),"E+","E"),"E-","E"))=LEN(SUBSTITUTE(SUBSTITUTE(SUBSTITUTE(SUBSTITUTE(MID(UPPER($EI985),1+OR(LEFT(UPPER($EI985),1)="+",LEFT(UPPER($EI985),1)="-"),999),"E+","E"),"E-","E"),"+",""),"-","")),LEN(UPPER($EI985))-LEN(SUBSTITUTE(UPPER($EI985),"E",""))&lt;2,LEN(UPPER($EI985))-LEN(SUBSTITUTE(UPPER($EI985),".",""))&lt;2,IFERROR(FIND(".",UPPER($EI985)),0)&lt;IFERROR(FIND("E",UPPER($EI985)),999)),ISNUMBER(VALUE($EI985)))),1,2)))</f>
        <v/>
      </c>
      <c r="EK985">
        <f>IF($DM985=0,"",IF($EJ985=1,IF(ISNUMBER($EI985),$EI985,VALUE($EI985)),IF($EJ985=2,$DE985,0)))</f>
        <v/>
      </c>
      <c r="EL985">
        <f>IF($DM985=0,"",COUNTIF($EG$5:$EG$1003,"&lt;"&amp;$EG985)+SUMPRODUCT(($EG$5:$EG$1003=$EG985)*(($EJ$5:$EJ$1003&lt;$EJ985)+($EJ$5:$EJ$1003=$EJ985)*(($EK$5:$EK$1003&lt;$EK985)+($EK$5:$EK$1003=$EK985)*($DE$5:$DE$1003&lt;$DE985))))+1)</f>
        <v/>
      </c>
      <c r="EM985">
        <f>IF($DM985=0,"",$EL985+$EG985-1)</f>
        <v/>
      </c>
      <c r="EN985">
        <f>IF($DM985=0,0,IFERROR(MATCH(1,INDEX(--(TRIM(SUBSTITUTE(SUBSTITUTE(SUBSTITUTE(SUBSTITUTE(LINES_NAME&amp;""," "," "),CHAR(9)," "),CHAR(10)," "),CHAR(13)," "))=$DH985),0),0),0))</f>
        <v/>
      </c>
      <c r="EO985">
        <f>IF($EN985=0,0,IF(OR(UPPER(TRIM(INDEX(LINES_SCHEDULED,$EN985)&amp;""))="YES",UPPER(TRIM(INDEX(LINES_SCHEDULED,$EN985)&amp;""))="Y",UPPER(TRIM(INDEX(LINES_SCHEDULED,$EN985)&amp;""))="X"),1,0))</f>
        <v/>
      </c>
      <c r="EP985">
        <f>IF($DM985=0,"",IF(COUNTIFS($EG$5:$EG$1003,$EG985,$EB$5:$EB$1003,"Ready")&gt;0,"READY",IF(COUNTIFS($EG$5:$EG$1003,$EG985,$EB$5:$EB$1003,"PM")&gt;0,"PM",IF(COUNTIFS($EG$5:$EG$1003,$EG985,$EB$5:$EB$1003,"OT")&gt;0,"OT",""))))</f>
        <v/>
      </c>
      <c r="EQ985">
        <f>IF($EN985=0,"",UPPER(TRIM(INDEX(LINES_STATUS,$EN985)&amp;"")))</f>
        <v/>
      </c>
      <c r="ER985">
        <f>IF($DM985=0,"",IF(OR($EQ985="READY",$EQ985="PM",$EQ985="OT"),$EQ985,$EP985))</f>
        <v/>
      </c>
      <c r="ES985">
        <f>IF($DM985=0,"",IF(AND($DV985&lt;&gt;"",UPPER($DV985)&lt;&gt;"N"),"allergen",IF(ISNUMBER(SEARCH("oil",$DQ985)),"oil",IF(OR(EXACT($DS985,"A662"),EXACT($DS985,"A624")),"bulk",""))))</f>
        <v/>
      </c>
      <c r="ET985">
        <f>IF($DM985=0,"",IF(OR($EA985="",$EA985=0),"",$EA985/100))</f>
        <v/>
      </c>
      <c r="EU985">
        <f>IF(OR($ET985="",$DY985=""),"",INT($DY985*(1-$ET985)+0.5))</f>
        <v/>
      </c>
    </row>
    <row r="986">
      <c r="DA986" t="n">
        <v>982</v>
      </c>
      <c r="DB986">
        <f>IF($B$37=0,"",IFERROR(TRIM(SUBSTITUTE(SUBSTITUTE(SUBSTITUTE(SUBSTITUTE(INDEX(PASTE_ALL,982,$B$37)," "," "),CHAR(9)," "),CHAR(10)," "),CHAR(13)," ")),""))</f>
        <v/>
      </c>
      <c r="DC986">
        <f>IF(AND(982&gt;HEADER_ROW,UPPER(DB986)="LEGEND"),1,0)</f>
        <v/>
      </c>
      <c r="DE986" t="n">
        <v>982</v>
      </c>
      <c r="DF986">
        <f>HEADER_ROW+$DE986</f>
        <v/>
      </c>
      <c r="DG986">
        <f>IF(AND($DF986&lt;=1000,$DF986&lt;$B$8),1,0)</f>
        <v/>
      </c>
      <c r="DH986">
        <f>IF($DG986=1,IFERROR(INDEX($DB$5:$DB$1004,$DF986),""),"")</f>
        <v/>
      </c>
      <c r="DI986">
        <f>IF(AND($DG986=1,$DH986&lt;&gt;""),IFERROR(SUBSTITUTE(SUBSTITUTE(TRIM(SUBSTITUTE(SUBSTITUTE(SUBSTITUTE(SUBSTITUTE(IFERROR(INDEX(PASTE_ALL,$DF986,1)&amp;"","")&amp;"␟"&amp;IFERROR(INDEX(PASTE_ALL,$DF986,2)&amp;"","")&amp;"␟"&amp;IFERROR(INDEX(PASTE_ALL,$DF986,3)&amp;"","")&amp;"␟"&amp;IFERROR(INDEX(PASTE_ALL,$DF986,4)&amp;"","")&amp;"␟"&amp;IFERROR(INDEX(PASTE_ALL,$DF986,5)&amp;"","")&amp;"␟"&amp;IFERROR(INDEX(PASTE_ALL,$DF986,6)&amp;"","")&amp;"␟"&amp;IFERROR(INDEX(PASTE_ALL,$DF986,7)&amp;"","")&amp;"␟"&amp;IFERROR(INDEX(PASTE_ALL,$DF986,8)&amp;"","")&amp;"␟"&amp;IFERROR(INDEX(PASTE_ALL,$DF986,9)&amp;"","")&amp;"␟"&amp;IFERROR(INDEX(PASTE_ALL,$DF986,10)&amp;"","")&amp;"␟"&amp;IFERROR(INDEX(PASTE_ALL,$DF986,11)&amp;"","")&amp;"␟"&amp;IFERROR(INDEX(PASTE_ALL,$DF986,12)&amp;"","")&amp;"␟"&amp;IFERROR(INDEX(PASTE_ALL,$DF986,13)&amp;"","")&amp;"␟"&amp;IFERROR(INDEX(PASTE_ALL,$DF986,14)&amp;"","")&amp;"␟"&amp;IFERROR(INDEX(PASTE_ALL,$DF986,15)&amp;"","")&amp;"␟"&amp;IFERROR(INDEX(PASTE_ALL,$DF986,16)&amp;"","")&amp;"␟"&amp;IFERROR(INDEX(PASTE_ALL,$DF986,17)&amp;"","")&amp;"␟"&amp;IFERROR(INDEX(PASTE_ALL,$DF986,18)&amp;"","")&amp;"␟"&amp;IFERROR(INDEX(PASTE_ALL,$DF986,19)&amp;"","")&amp;"␟"&amp;IFERROR(INDEX(PASTE_ALL,$DF986,20)&amp;"","")&amp;"␟"&amp;IFERROR(INDEX(PASTE_ALL,$DF986,21)&amp;"","")&amp;"␟"&amp;IFERROR(INDEX(PASTE_ALL,$DF986,22)&amp;"","")&amp;"␟"&amp;IFERROR(INDEX(PASTE_ALL,$DF986,23)&amp;"","")&amp;"␟"&amp;IFERROR(INDEX(PASTE_ALL,$DF986,24)&amp;"","")&amp;"␟"&amp;IFERROR(INDEX(PASTE_ALL,$DF986,25)&amp;"","")&amp;"␟"&amp;IFERROR(INDEX(PASTE_ALL,$DF986,26)&amp;"","")&amp;"␟"&amp;IFERROR(INDEX(PASTE_ALL,$DF986,27)&amp;"","")&amp;"␟"&amp;IFERROR(INDEX(PASTE_ALL,$DF986,28)&amp;"","")&amp;"␟"&amp;IFERROR(INDEX(PASTE_ALL,$DF986,29)&amp;"","")&amp;"␟"&amp;IFERROR(INDEX(PASTE_ALL,$DF986,30)&amp;"","")&amp;"␟"&amp;IFERROR(INDEX(PASTE_ALL,$DF986,31)&amp;"","")&amp;"␟"&amp;IFERROR(INDEX(PASTE_ALL,$DF986,32)&amp;"","")&amp;"␟"&amp;IFERROR(INDEX(PASTE_ALL,$DF986,33)&amp;"","")&amp;"␟"&amp;IFERROR(INDEX(PASTE_ALL,$DF986,34)&amp;"","")&amp;"␟"&amp;IFERROR(INDEX(PASTE_ALL,$DF986,35)&amp;"","")&amp;"␟"&amp;IFERROR(INDEX(PASTE_ALL,$DF986,36)&amp;"","")&amp;"␟"&amp;IFERROR(INDEX(PASTE_ALL,$DF986,37)&amp;"","")&amp;"␟"&amp;IFERROR(INDEX(PASTE_ALL,$DF986,38)&amp;"","")&amp;"␟"&amp;IFERROR(INDEX(PASTE_ALL,$DF986,39)&amp;"","")&amp;"␟"&amp;IFERROR(INDEX(PASTE_ALL,$DF986,40)&amp;"","")&amp;"␟"&amp;IFERROR(INDEX(PASTE_ALL,$DF986,41)&amp;"","")&amp;"␟"&amp;IFERROR(INDEX(PASTE_ALL,$DF986,42)&amp;"","")&amp;"␟"&amp;IFERROR(INDEX(PASTE_ALL,$DF986,43)&amp;"","")&amp;"␟"&amp;IFERROR(INDEX(PASTE_ALL,$DF986,44)&amp;"","")&amp;"␟"&amp;IFERROR(INDEX(PASTE_ALL,$DF986,45)&amp;"","")&amp;"␟"&amp;IFERROR(INDEX(PASTE_ALL,$DF986,46)&amp;"","")&amp;"␟"&amp;IFERROR(INDEX(PASTE_ALL,$DF986,47)&amp;"","")&amp;"␟"&amp;IFERROR(INDEX(PASTE_ALL,$DF986,48)&amp;"","")&amp;"␟"&amp;IFERROR(INDEX(PASTE_ALL,$DF986,49)&amp;"","")&amp;"␟"&amp;IFERROR(INDEX(PASTE_ALL,$DF986,50)&amp;"","")&amp;"␟"&amp;IFERROR(INDEX(PASTE_ALL,$DF986,51)&amp;"","")&amp;"␟"&amp;IFERROR(INDEX(PASTE_ALL,$DF986,52)&amp;"","")&amp;"␟"&amp;IFERROR(INDEX(PASTE_ALL,$DF986,53)&amp;"","")&amp;"␟"&amp;IFERROR(INDEX(PASTE_ALL,$DF986,54)&amp;"","")&amp;"␟"&amp;IFERROR(INDEX(PASTE_ALL,$DF986,55)&amp;"","")&amp;"␟"&amp;IFERROR(INDEX(PASTE_ALL,$DF986,56)&amp;"","")&amp;"␟"&amp;IFERROR(INDEX(PASTE_ALL,$DF986,57)&amp;"","")&amp;"␟"&amp;IFERROR(INDEX(PASTE_ALL,$DF986,58)&amp;"","")&amp;"␟"&amp;IFERROR(INDEX(PASTE_ALL,$DF986,59)&amp;"","")&amp;"␟"&amp;IFERROR(INDEX(PASTE_ALL,$DF986,60)&amp;"","")," "," "),CHAR(9)," "),CHAR(10)," "),CHAR(13)," "))," ␟","␟"),"␟ ","␟"),"#"&amp;$DE986),"")</f>
        <v/>
      </c>
      <c r="DJ986">
        <f>IF($DI986="",0,IF(SUMPRODUCT(--EXACT($DI$4:DI985,$DI986))&gt;0,1,0))</f>
        <v/>
      </c>
      <c r="DK986">
        <f>IF(AND($DI986&lt;&gt;"",$DJ986=0),1,0)</f>
        <v/>
      </c>
      <c r="DL986">
        <f>DL985+$DK986</f>
        <v/>
      </c>
      <c r="DM986">
        <f>IF(AND($DK986=1,$DL986&lt;=600),1,0)</f>
        <v/>
      </c>
      <c r="DN986">
        <f>IF($DM986=0,"",IF($L$6=0,"",IFERROR(IF(ISNUMBER(INDEX(PASTE_ALL,$DF986,$L$6)),INDEX(PASTE_ALL,$DF986,$L$6),TRIM(SUBSTITUTE(SUBSTITUTE(SUBSTITUTE(SUBSTITUTE(INDEX(PASTE_ALL,$DF986,$L$6)," "," "),CHAR(9)," "),CHAR(10)," "),CHAR(13)," "))),"")))</f>
        <v/>
      </c>
      <c r="DO986">
        <f>IF($DM986=0,"",IF($L$7=0,"",IFERROR(IF(ISNUMBER(INDEX(PASTE_ALL,$DF986,$L$7)),INDEX(PASTE_ALL,$DF986,$L$7),TRIM(SUBSTITUTE(SUBSTITUTE(SUBSTITUTE(SUBSTITUTE(INDEX(PASTE_ALL,$DF986,$L$7)," "," "),CHAR(9)," "),CHAR(10)," "),CHAR(13)," "))),"")))</f>
        <v/>
      </c>
      <c r="DP986">
        <f>IF($DM986=0,"",IF($L$8=0,"",IFERROR(IF(ISNUMBER(INDEX(PASTE_ALL,$DF986,$L$8)),INDEX(PASTE_ALL,$DF986,$L$8),TRIM(SUBSTITUTE(SUBSTITUTE(SUBSTITUTE(SUBSTITUTE(INDEX(PASTE_ALL,$DF986,$L$8)," "," "),CHAR(9)," "),CHAR(10)," "),CHAR(13)," "))),"")))</f>
        <v/>
      </c>
      <c r="DQ986">
        <f>IF($DM986=0,"",IF($L$9=0,"",IFERROR(IF(ISNUMBER(INDEX(PASTE_ALL,$DF986,$L$9)),INDEX(PASTE_ALL,$DF986,$L$9),TRIM(SUBSTITUTE(SUBSTITUTE(SUBSTITUTE(SUBSTITUTE(INDEX(PASTE_ALL,$DF986,$L$9)," "," "),CHAR(9)," "),CHAR(10)," "),CHAR(13)," "))),"")))</f>
        <v/>
      </c>
      <c r="DR986">
        <f>IF($DM986=0,"",IF($L$10=0,"",IFERROR(IF(ISNUMBER(INDEX(PASTE_ALL,$DF986,$L$10)),INDEX(PASTE_ALL,$DF986,$L$10),TRIM(SUBSTITUTE(SUBSTITUTE(SUBSTITUTE(SUBSTITUTE(INDEX(PASTE_ALL,$DF986,$L$10)," "," "),CHAR(9)," "),CHAR(10)," "),CHAR(13)," "))),"")))</f>
        <v/>
      </c>
      <c r="DS986">
        <f>IF($DM986=0,"",IF($L$11=0,"",IFERROR(IF(ISNUMBER(INDEX(PASTE_ALL,$DF986,$L$11)),INDEX(PASTE_ALL,$DF986,$L$11),TRIM(SUBSTITUTE(SUBSTITUTE(SUBSTITUTE(SUBSTITUTE(INDEX(PASTE_ALL,$DF986,$L$11)," "," "),CHAR(9)," "),CHAR(10)," "),CHAR(13)," "))),"")))</f>
        <v/>
      </c>
      <c r="DT986">
        <f>IF($DM986=0,"",IF($L$12=0,"",IFERROR(IF(ISNUMBER(INDEX(PASTE_ALL,$DF986,$L$12)),INDEX(PASTE_ALL,$DF986,$L$12),TRIM(SUBSTITUTE(SUBSTITUTE(SUBSTITUTE(SUBSTITUTE(INDEX(PASTE_ALL,$DF986,$L$12)," "," "),CHAR(9)," "),CHAR(10)," "),CHAR(13)," "))),"")))</f>
        <v/>
      </c>
      <c r="DU986">
        <f>IF($DM986=0,"",IF($L$13=0,"",IFERROR(IF(ISNUMBER(INDEX(PASTE_ALL,$DF986,$L$13)),INDEX(PASTE_ALL,$DF986,$L$13),TRIM(SUBSTITUTE(SUBSTITUTE(SUBSTITUTE(SUBSTITUTE(INDEX(PASTE_ALL,$DF986,$L$13)," "," "),CHAR(9)," "),CHAR(10)," "),CHAR(13)," "))),"")))</f>
        <v/>
      </c>
      <c r="DV986">
        <f>IF($DM986=0,"",IF($L$14=0,"",IFERROR(IF(ISNUMBER(INDEX(PASTE_ALL,$DF986,$L$14)),INDEX(PASTE_ALL,$DF986,$L$14),TRIM(SUBSTITUTE(SUBSTITUTE(SUBSTITUTE(SUBSTITUTE(INDEX(PASTE_ALL,$DF986,$L$14)," "," "),CHAR(9)," "),CHAR(10)," "),CHAR(13)," "))),"")))</f>
        <v/>
      </c>
      <c r="DW986">
        <f>IF($DM986=0,"",IF($L$15=0,"",IFERROR(IF(ISNUMBER(INDEX(PASTE_ALL,$DF986,$L$15)),INDEX(PASTE_ALL,$DF986,$L$15),IF(SUMPRODUCT(--ISNUMBER(FIND({"A","B","C","D","E","F","G","H","I","J","K","L","M","N","O","P","Q","R","S","T","U","V","W","X","Y","Z","0","1","2","3","4","5","6","7","8","9"},UPPER(TRIM(SUBSTITUTE(SUBSTITUTE(SUBSTITUTE(SUBSTITUTE(INDEX(PASTE_ALL,$DF986,$L$15)," "," "),CHAR(9)," "),CHAR(10)," "),CHAR(13)," "))))))&gt;0,TRIM(SUBSTITUTE(SUBSTITUTE(SUBSTITUTE(SUBSTITUTE(INDEX(PASTE_ALL,$DF986,$L$15)," "," "),CHAR(9)," "),CHAR(10)," "),CHAR(13)," ")),"")),"")))</f>
        <v/>
      </c>
      <c r="DX986">
        <f>IF($DM986=0,"",IF($L$16=0,"",IFERROR(IF(ISNUMBER(INDEX(PASTE_ALL,$DF986,$L$16)),INDEX(PASTE_ALL,$DF986,$L$16),SUBSTITUTE(SUBSTITUTE(TRIM(SUBSTITUTE(SUBSTITUTE(SUBSTITUTE(SUBSTITUTE(INDEX(PASTE_ALL,$DF986,$L$16)," "," "),CHAR(9)," "),CHAR(10)," "),CHAR(13)," ")),",",""),"%","")),"")))</f>
        <v/>
      </c>
      <c r="DY986">
        <f>IF($DM986=0,"",IFERROR(IF(ISNUMBER($DX986),$DX986,IF($DX986="","",IF(TRIM($DX986)="",0,IF(AND(AND(SUBSTITUTE(SUBSTITUTE(SUBSTITUTE(SUBSTITUTE(SUBSTITUTE(SUBSTITUTE(SUBSTITUTE(SUBSTITUTE(SUBSTITUTE(SUBSTITUTE(SUBSTITUTE(SUBSTITUTE(SUBSTITUTE(SUBSTITUTE(UPPER(TRIM($DX986)),"0",""),"1",""),"2",""),"3",""),"4",""),"5",""),"6",""),"7",""),"8",""),"9",""),".",""),"+",""),"-",""),"E","")="",LEN(SUBSTITUTE(SUBSTITUTE(MID(UPPER(TRIM($DX986)),1+OR(LEFT(UPPER(TRIM($DX986)),1)="+",LEFT(UPPER(TRIM($DX986)),1)="-"),999),"E+","E"),"E-","E"))=LEN(SUBSTITUTE(SUBSTITUTE(SUBSTITUTE(SUBSTITUTE(MID(UPPER(TRIM($DX986)),1+OR(LEFT(UPPER(TRIM($DX986)),1)="+",LEFT(UPPER(TRIM($DX986)),1)="-"),999),"E+","E"),"E-","E"),"+",""),"-","")),LEN(UPPER(TRIM($DX986)))-LEN(SUBSTITUTE(UPPER(TRIM($DX986)),"E",""))&lt;2,LEN(UPPER(TRIM($DX986)))-LEN(SUBSTITUTE(UPPER(TRIM($DX986)),".",""))&lt;2,IFERROR(FIND(".",UPPER(TRIM($DX986))),0)&lt;IFERROR(FIND("E",UPPER(TRIM($DX986))),999)),ISNUMBER(VALUE(TRIM($DX986)))),VALUE(TRIM($DX986)),"")))),""))</f>
        <v/>
      </c>
      <c r="DZ986">
        <f>IF($DM986=0,"",IF($L$17=0,"",IFERROR(IF(ISNUMBER(INDEX(PASTE_ALL,$DF986,$L$17)),INDEX(PASTE_ALL,$DF986,$L$17),SUBSTITUTE(SUBSTITUTE(TRIM(SUBSTITUTE(SUBSTITUTE(SUBSTITUTE(SUBSTITUTE(INDEX(PASTE_ALL,$DF986,$L$17)," "," "),CHAR(9)," "),CHAR(10)," "),CHAR(13)," ")),",",""),"%","")),"")))</f>
        <v/>
      </c>
      <c r="EA986">
        <f>IF($DM986=0,"",IFERROR(IF(ISNUMBER($DZ986),$DZ986,IF($DZ986="","",IF(TRIM($DZ986)="",0,IF(AND(AND(SUBSTITUTE(SUBSTITUTE(SUBSTITUTE(SUBSTITUTE(SUBSTITUTE(SUBSTITUTE(SUBSTITUTE(SUBSTITUTE(SUBSTITUTE(SUBSTITUTE(SUBSTITUTE(SUBSTITUTE(SUBSTITUTE(SUBSTITUTE(UPPER(TRIM($DZ986)),"0",""),"1",""),"2",""),"3",""),"4",""),"5",""),"6",""),"7",""),"8",""),"9",""),".",""),"+",""),"-",""),"E","")="",LEN(SUBSTITUTE(SUBSTITUTE(MID(UPPER(TRIM($DZ986)),1+OR(LEFT(UPPER(TRIM($DZ986)),1)="+",LEFT(UPPER(TRIM($DZ986)),1)="-"),999),"E+","E"),"E-","E"))=LEN(SUBSTITUTE(SUBSTITUTE(SUBSTITUTE(SUBSTITUTE(MID(UPPER(TRIM($DZ986)),1+OR(LEFT(UPPER(TRIM($DZ986)),1)="+",LEFT(UPPER(TRIM($DZ986)),1)="-"),999),"E+","E"),"E-","E"),"+",""),"-","")),LEN(UPPER(TRIM($DZ986)))-LEN(SUBSTITUTE(UPPER(TRIM($DZ986)),"E",""))&lt;2,LEN(UPPER(TRIM($DZ986)))-LEN(SUBSTITUTE(UPPER(TRIM($DZ986)),".",""))&lt;2,IFERROR(FIND(".",UPPER(TRIM($DZ986))),0)&lt;IFERROR(FIND("E",UPPER(TRIM($DZ986))),999)),ISNUMBER(VALUE(TRIM($DZ986)))),VALUE(TRIM($DZ986)),"")))),""))</f>
        <v/>
      </c>
      <c r="EB986">
        <f>IF($DM986=0,"",IF($L$18=0,"",IFERROR(IF(UPPER(TRIM(SUBSTITUTE(SUBSTITUTE(SUBSTITUTE(SUBSTITUTE(INDEX(PASTE_ALL,$DF986,$L$18)," "," "),CHAR(9)," "),CHAR(10)," "),CHAR(13)," ")))="READY","Ready",IF(UPPER(TRIM(SUBSTITUTE(SUBSTITUTE(SUBSTITUTE(SUBSTITUTE(INDEX(PASTE_ALL,$DF986,$L$18)," "," "),CHAR(9)," "),CHAR(10)," "),CHAR(13)," ")))="PM","PM",IF(OR(UPPER(TRIM(SUBSTITUTE(SUBSTITUTE(SUBSTITUTE(SUBSTITUTE(INDEX(PASTE_ALL,$DF986,$L$18)," "," "),CHAR(9)," "),CHAR(10)," "),CHAR(13)," ")))="OT",UPPER(TRIM(SUBSTITUTE(SUBSTITUTE(SUBSTITUTE(SUBSTITUTE(INDEX(PASTE_ALL,$DF986,$L$18)," "," "),CHAR(9)," "),CHAR(10)," "),CHAR(13)," ")))="OVERTIME",UPPER(TRIM(SUBSTITUTE(SUBSTITUTE(SUBSTITUTE(SUBSTITUTE(INDEX(PASTE_ALL,$DF986,$L$18)," "," "),CHAR(9)," "),CHAR(10)," "),CHAR(13)," ")))="TRIAL"),"OT",TRIM(SUBSTITUTE(SUBSTITUTE(SUBSTITUTE(SUBSTITUTE(INDEX(PASTE_ALL,$DF986,$L$18)," "," "),CHAR(9)," "),CHAR(10)," "),CHAR(13)," "))))),"")))</f>
        <v/>
      </c>
      <c r="EC986">
        <f>IF($DM986=0,"",IF($L$19=0,"",IFERROR(IF(ISNUMBER(INDEX(PASTE_ALL,$DF986,$L$19)),INDEX(PASTE_ALL,$DF986,$L$19),TRIM(SUBSTITUTE(SUBSTITUTE(SUBSTITUTE(SUBSTITUTE(INDEX(PASTE_ALL,$DF986,$L$19)," "," "),CHAR(9)," "),CHAR(10)," "),CHAR(13)," "))),"")))</f>
        <v/>
      </c>
      <c r="ED986">
        <f>IF($DM986=0,"",MATCH(1,INDEX(EXACT($DH$5:DH986,$DH986)*$DM$5:DM986,0),0))</f>
        <v/>
      </c>
      <c r="EE986">
        <f>IF($DM986=0,0,IF($ED986=$DE986,1,0))</f>
        <v/>
      </c>
      <c r="EF986">
        <f>EF985+$EE986</f>
        <v/>
      </c>
      <c r="EG986">
        <f>IF($DM986=0,"",INDEX($EF$5:$EF$1003,$ED986))</f>
        <v/>
      </c>
      <c r="EH986">
        <f>IF($DM986=0,"",IF($DO986&lt;&gt;"","",IFERROR(LOOKUP(2,1/(($EG$4:EG985=$EG986)*($DO$4:DO985&lt;&gt;"")),$DO$4:DO985),"")))</f>
        <v/>
      </c>
      <c r="EI986">
        <f>IF($DM986=0,"",IF($DO986&lt;&gt;"",$DO986,$EH986))</f>
        <v/>
      </c>
      <c r="EJ986">
        <f>IF($DM986=0,"",IF($EI986="",0,IF(OR(ISNUMBER($EI986),AND(AND(SUBSTITUTE(SUBSTITUTE(SUBSTITUTE(SUBSTITUTE(SUBSTITUTE(SUBSTITUTE(SUBSTITUTE(SUBSTITUTE(SUBSTITUTE(SUBSTITUTE(SUBSTITUTE(SUBSTITUTE(SUBSTITUTE(SUBSTITUTE(UPPER($EI986),"0",""),"1",""),"2",""),"3",""),"4",""),"5",""),"6",""),"7",""),"8",""),"9",""),".",""),"+",""),"-",""),"E","")="",LEN(SUBSTITUTE(SUBSTITUTE(MID(UPPER($EI986),1+OR(LEFT(UPPER($EI986),1)="+",LEFT(UPPER($EI986),1)="-"),999),"E+","E"),"E-","E"))=LEN(SUBSTITUTE(SUBSTITUTE(SUBSTITUTE(SUBSTITUTE(MID(UPPER($EI986),1+OR(LEFT(UPPER($EI986),1)="+",LEFT(UPPER($EI986),1)="-"),999),"E+","E"),"E-","E"),"+",""),"-","")),LEN(UPPER($EI986))-LEN(SUBSTITUTE(UPPER($EI986),"E",""))&lt;2,LEN(UPPER($EI986))-LEN(SUBSTITUTE(UPPER($EI986),".",""))&lt;2,IFERROR(FIND(".",UPPER($EI986)),0)&lt;IFERROR(FIND("E",UPPER($EI986)),999)),ISNUMBER(VALUE($EI986)))),1,2)))</f>
        <v/>
      </c>
      <c r="EK986">
        <f>IF($DM986=0,"",IF($EJ986=1,IF(ISNUMBER($EI986),$EI986,VALUE($EI986)),IF($EJ986=2,$DE986,0)))</f>
        <v/>
      </c>
      <c r="EL986">
        <f>IF($DM986=0,"",COUNTIF($EG$5:$EG$1003,"&lt;"&amp;$EG986)+SUMPRODUCT(($EG$5:$EG$1003=$EG986)*(($EJ$5:$EJ$1003&lt;$EJ986)+($EJ$5:$EJ$1003=$EJ986)*(($EK$5:$EK$1003&lt;$EK986)+($EK$5:$EK$1003=$EK986)*($DE$5:$DE$1003&lt;$DE986))))+1)</f>
        <v/>
      </c>
      <c r="EM986">
        <f>IF($DM986=0,"",$EL986+$EG986-1)</f>
        <v/>
      </c>
      <c r="EN986">
        <f>IF($DM986=0,0,IFERROR(MATCH(1,INDEX(--(TRIM(SUBSTITUTE(SUBSTITUTE(SUBSTITUTE(SUBSTITUTE(LINES_NAME&amp;""," "," "),CHAR(9)," "),CHAR(10)," "),CHAR(13)," "))=$DH986),0),0),0))</f>
        <v/>
      </c>
      <c r="EO986">
        <f>IF($EN986=0,0,IF(OR(UPPER(TRIM(INDEX(LINES_SCHEDULED,$EN986)&amp;""))="YES",UPPER(TRIM(INDEX(LINES_SCHEDULED,$EN986)&amp;""))="Y",UPPER(TRIM(INDEX(LINES_SCHEDULED,$EN986)&amp;""))="X"),1,0))</f>
        <v/>
      </c>
      <c r="EP986">
        <f>IF($DM986=0,"",IF(COUNTIFS($EG$5:$EG$1003,$EG986,$EB$5:$EB$1003,"Ready")&gt;0,"READY",IF(COUNTIFS($EG$5:$EG$1003,$EG986,$EB$5:$EB$1003,"PM")&gt;0,"PM",IF(COUNTIFS($EG$5:$EG$1003,$EG986,$EB$5:$EB$1003,"OT")&gt;0,"OT",""))))</f>
        <v/>
      </c>
      <c r="EQ986">
        <f>IF($EN986=0,"",UPPER(TRIM(INDEX(LINES_STATUS,$EN986)&amp;"")))</f>
        <v/>
      </c>
      <c r="ER986">
        <f>IF($DM986=0,"",IF(OR($EQ986="READY",$EQ986="PM",$EQ986="OT"),$EQ986,$EP986))</f>
        <v/>
      </c>
      <c r="ES986">
        <f>IF($DM986=0,"",IF(AND($DV986&lt;&gt;"",UPPER($DV986)&lt;&gt;"N"),"allergen",IF(ISNUMBER(SEARCH("oil",$DQ986)),"oil",IF(OR(EXACT($DS986,"A662"),EXACT($DS986,"A624")),"bulk",""))))</f>
        <v/>
      </c>
      <c r="ET986">
        <f>IF($DM986=0,"",IF(OR($EA986="",$EA986=0),"",$EA986/100))</f>
        <v/>
      </c>
      <c r="EU986">
        <f>IF(OR($ET986="",$DY986=""),"",INT($DY986*(1-$ET986)+0.5))</f>
        <v/>
      </c>
    </row>
    <row r="987">
      <c r="DA987" t="n">
        <v>983</v>
      </c>
      <c r="DB987">
        <f>IF($B$37=0,"",IFERROR(TRIM(SUBSTITUTE(SUBSTITUTE(SUBSTITUTE(SUBSTITUTE(INDEX(PASTE_ALL,983,$B$37)," "," "),CHAR(9)," "),CHAR(10)," "),CHAR(13)," ")),""))</f>
        <v/>
      </c>
      <c r="DC987">
        <f>IF(AND(983&gt;HEADER_ROW,UPPER(DB987)="LEGEND"),1,0)</f>
        <v/>
      </c>
      <c r="DE987" t="n">
        <v>983</v>
      </c>
      <c r="DF987">
        <f>HEADER_ROW+$DE987</f>
        <v/>
      </c>
      <c r="DG987">
        <f>IF(AND($DF987&lt;=1000,$DF987&lt;$B$8),1,0)</f>
        <v/>
      </c>
      <c r="DH987">
        <f>IF($DG987=1,IFERROR(INDEX($DB$5:$DB$1004,$DF987),""),"")</f>
        <v/>
      </c>
      <c r="DI987">
        <f>IF(AND($DG987=1,$DH987&lt;&gt;""),IFERROR(SUBSTITUTE(SUBSTITUTE(TRIM(SUBSTITUTE(SUBSTITUTE(SUBSTITUTE(SUBSTITUTE(IFERROR(INDEX(PASTE_ALL,$DF987,1)&amp;"","")&amp;"␟"&amp;IFERROR(INDEX(PASTE_ALL,$DF987,2)&amp;"","")&amp;"␟"&amp;IFERROR(INDEX(PASTE_ALL,$DF987,3)&amp;"","")&amp;"␟"&amp;IFERROR(INDEX(PASTE_ALL,$DF987,4)&amp;"","")&amp;"␟"&amp;IFERROR(INDEX(PASTE_ALL,$DF987,5)&amp;"","")&amp;"␟"&amp;IFERROR(INDEX(PASTE_ALL,$DF987,6)&amp;"","")&amp;"␟"&amp;IFERROR(INDEX(PASTE_ALL,$DF987,7)&amp;"","")&amp;"␟"&amp;IFERROR(INDEX(PASTE_ALL,$DF987,8)&amp;"","")&amp;"␟"&amp;IFERROR(INDEX(PASTE_ALL,$DF987,9)&amp;"","")&amp;"␟"&amp;IFERROR(INDEX(PASTE_ALL,$DF987,10)&amp;"","")&amp;"␟"&amp;IFERROR(INDEX(PASTE_ALL,$DF987,11)&amp;"","")&amp;"␟"&amp;IFERROR(INDEX(PASTE_ALL,$DF987,12)&amp;"","")&amp;"␟"&amp;IFERROR(INDEX(PASTE_ALL,$DF987,13)&amp;"","")&amp;"␟"&amp;IFERROR(INDEX(PASTE_ALL,$DF987,14)&amp;"","")&amp;"␟"&amp;IFERROR(INDEX(PASTE_ALL,$DF987,15)&amp;"","")&amp;"␟"&amp;IFERROR(INDEX(PASTE_ALL,$DF987,16)&amp;"","")&amp;"␟"&amp;IFERROR(INDEX(PASTE_ALL,$DF987,17)&amp;"","")&amp;"␟"&amp;IFERROR(INDEX(PASTE_ALL,$DF987,18)&amp;"","")&amp;"␟"&amp;IFERROR(INDEX(PASTE_ALL,$DF987,19)&amp;"","")&amp;"␟"&amp;IFERROR(INDEX(PASTE_ALL,$DF987,20)&amp;"","")&amp;"␟"&amp;IFERROR(INDEX(PASTE_ALL,$DF987,21)&amp;"","")&amp;"␟"&amp;IFERROR(INDEX(PASTE_ALL,$DF987,22)&amp;"","")&amp;"␟"&amp;IFERROR(INDEX(PASTE_ALL,$DF987,23)&amp;"","")&amp;"␟"&amp;IFERROR(INDEX(PASTE_ALL,$DF987,24)&amp;"","")&amp;"␟"&amp;IFERROR(INDEX(PASTE_ALL,$DF987,25)&amp;"","")&amp;"␟"&amp;IFERROR(INDEX(PASTE_ALL,$DF987,26)&amp;"","")&amp;"␟"&amp;IFERROR(INDEX(PASTE_ALL,$DF987,27)&amp;"","")&amp;"␟"&amp;IFERROR(INDEX(PASTE_ALL,$DF987,28)&amp;"","")&amp;"␟"&amp;IFERROR(INDEX(PASTE_ALL,$DF987,29)&amp;"","")&amp;"␟"&amp;IFERROR(INDEX(PASTE_ALL,$DF987,30)&amp;"","")&amp;"␟"&amp;IFERROR(INDEX(PASTE_ALL,$DF987,31)&amp;"","")&amp;"␟"&amp;IFERROR(INDEX(PASTE_ALL,$DF987,32)&amp;"","")&amp;"␟"&amp;IFERROR(INDEX(PASTE_ALL,$DF987,33)&amp;"","")&amp;"␟"&amp;IFERROR(INDEX(PASTE_ALL,$DF987,34)&amp;"","")&amp;"␟"&amp;IFERROR(INDEX(PASTE_ALL,$DF987,35)&amp;"","")&amp;"␟"&amp;IFERROR(INDEX(PASTE_ALL,$DF987,36)&amp;"","")&amp;"␟"&amp;IFERROR(INDEX(PASTE_ALL,$DF987,37)&amp;"","")&amp;"␟"&amp;IFERROR(INDEX(PASTE_ALL,$DF987,38)&amp;"","")&amp;"␟"&amp;IFERROR(INDEX(PASTE_ALL,$DF987,39)&amp;"","")&amp;"␟"&amp;IFERROR(INDEX(PASTE_ALL,$DF987,40)&amp;"","")&amp;"␟"&amp;IFERROR(INDEX(PASTE_ALL,$DF987,41)&amp;"","")&amp;"␟"&amp;IFERROR(INDEX(PASTE_ALL,$DF987,42)&amp;"","")&amp;"␟"&amp;IFERROR(INDEX(PASTE_ALL,$DF987,43)&amp;"","")&amp;"␟"&amp;IFERROR(INDEX(PASTE_ALL,$DF987,44)&amp;"","")&amp;"␟"&amp;IFERROR(INDEX(PASTE_ALL,$DF987,45)&amp;"","")&amp;"␟"&amp;IFERROR(INDEX(PASTE_ALL,$DF987,46)&amp;"","")&amp;"␟"&amp;IFERROR(INDEX(PASTE_ALL,$DF987,47)&amp;"","")&amp;"␟"&amp;IFERROR(INDEX(PASTE_ALL,$DF987,48)&amp;"","")&amp;"␟"&amp;IFERROR(INDEX(PASTE_ALL,$DF987,49)&amp;"","")&amp;"␟"&amp;IFERROR(INDEX(PASTE_ALL,$DF987,50)&amp;"","")&amp;"␟"&amp;IFERROR(INDEX(PASTE_ALL,$DF987,51)&amp;"","")&amp;"␟"&amp;IFERROR(INDEX(PASTE_ALL,$DF987,52)&amp;"","")&amp;"␟"&amp;IFERROR(INDEX(PASTE_ALL,$DF987,53)&amp;"","")&amp;"␟"&amp;IFERROR(INDEX(PASTE_ALL,$DF987,54)&amp;"","")&amp;"␟"&amp;IFERROR(INDEX(PASTE_ALL,$DF987,55)&amp;"","")&amp;"␟"&amp;IFERROR(INDEX(PASTE_ALL,$DF987,56)&amp;"","")&amp;"␟"&amp;IFERROR(INDEX(PASTE_ALL,$DF987,57)&amp;"","")&amp;"␟"&amp;IFERROR(INDEX(PASTE_ALL,$DF987,58)&amp;"","")&amp;"␟"&amp;IFERROR(INDEX(PASTE_ALL,$DF987,59)&amp;"","")&amp;"␟"&amp;IFERROR(INDEX(PASTE_ALL,$DF987,60)&amp;"","")," "," "),CHAR(9)," "),CHAR(10)," "),CHAR(13)," "))," ␟","␟"),"␟ ","␟"),"#"&amp;$DE987),"")</f>
        <v/>
      </c>
      <c r="DJ987">
        <f>IF($DI987="",0,IF(SUMPRODUCT(--EXACT($DI$4:DI986,$DI987))&gt;0,1,0))</f>
        <v/>
      </c>
      <c r="DK987">
        <f>IF(AND($DI987&lt;&gt;"",$DJ987=0),1,0)</f>
        <v/>
      </c>
      <c r="DL987">
        <f>DL986+$DK987</f>
        <v/>
      </c>
      <c r="DM987">
        <f>IF(AND($DK987=1,$DL987&lt;=600),1,0)</f>
        <v/>
      </c>
      <c r="DN987">
        <f>IF($DM987=0,"",IF($L$6=0,"",IFERROR(IF(ISNUMBER(INDEX(PASTE_ALL,$DF987,$L$6)),INDEX(PASTE_ALL,$DF987,$L$6),TRIM(SUBSTITUTE(SUBSTITUTE(SUBSTITUTE(SUBSTITUTE(INDEX(PASTE_ALL,$DF987,$L$6)," "," "),CHAR(9)," "),CHAR(10)," "),CHAR(13)," "))),"")))</f>
        <v/>
      </c>
      <c r="DO987">
        <f>IF($DM987=0,"",IF($L$7=0,"",IFERROR(IF(ISNUMBER(INDEX(PASTE_ALL,$DF987,$L$7)),INDEX(PASTE_ALL,$DF987,$L$7),TRIM(SUBSTITUTE(SUBSTITUTE(SUBSTITUTE(SUBSTITUTE(INDEX(PASTE_ALL,$DF987,$L$7)," "," "),CHAR(9)," "),CHAR(10)," "),CHAR(13)," "))),"")))</f>
        <v/>
      </c>
      <c r="DP987">
        <f>IF($DM987=0,"",IF($L$8=0,"",IFERROR(IF(ISNUMBER(INDEX(PASTE_ALL,$DF987,$L$8)),INDEX(PASTE_ALL,$DF987,$L$8),TRIM(SUBSTITUTE(SUBSTITUTE(SUBSTITUTE(SUBSTITUTE(INDEX(PASTE_ALL,$DF987,$L$8)," "," "),CHAR(9)," "),CHAR(10)," "),CHAR(13)," "))),"")))</f>
        <v/>
      </c>
      <c r="DQ987">
        <f>IF($DM987=0,"",IF($L$9=0,"",IFERROR(IF(ISNUMBER(INDEX(PASTE_ALL,$DF987,$L$9)),INDEX(PASTE_ALL,$DF987,$L$9),TRIM(SUBSTITUTE(SUBSTITUTE(SUBSTITUTE(SUBSTITUTE(INDEX(PASTE_ALL,$DF987,$L$9)," "," "),CHAR(9)," "),CHAR(10)," "),CHAR(13)," "))),"")))</f>
        <v/>
      </c>
      <c r="DR987">
        <f>IF($DM987=0,"",IF($L$10=0,"",IFERROR(IF(ISNUMBER(INDEX(PASTE_ALL,$DF987,$L$10)),INDEX(PASTE_ALL,$DF987,$L$10),TRIM(SUBSTITUTE(SUBSTITUTE(SUBSTITUTE(SUBSTITUTE(INDEX(PASTE_ALL,$DF987,$L$10)," "," "),CHAR(9)," "),CHAR(10)," "),CHAR(13)," "))),"")))</f>
        <v/>
      </c>
      <c r="DS987">
        <f>IF($DM987=0,"",IF($L$11=0,"",IFERROR(IF(ISNUMBER(INDEX(PASTE_ALL,$DF987,$L$11)),INDEX(PASTE_ALL,$DF987,$L$11),TRIM(SUBSTITUTE(SUBSTITUTE(SUBSTITUTE(SUBSTITUTE(INDEX(PASTE_ALL,$DF987,$L$11)," "," "),CHAR(9)," "),CHAR(10)," "),CHAR(13)," "))),"")))</f>
        <v/>
      </c>
      <c r="DT987">
        <f>IF($DM987=0,"",IF($L$12=0,"",IFERROR(IF(ISNUMBER(INDEX(PASTE_ALL,$DF987,$L$12)),INDEX(PASTE_ALL,$DF987,$L$12),TRIM(SUBSTITUTE(SUBSTITUTE(SUBSTITUTE(SUBSTITUTE(INDEX(PASTE_ALL,$DF987,$L$12)," "," "),CHAR(9)," "),CHAR(10)," "),CHAR(13)," "))),"")))</f>
        <v/>
      </c>
      <c r="DU987">
        <f>IF($DM987=0,"",IF($L$13=0,"",IFERROR(IF(ISNUMBER(INDEX(PASTE_ALL,$DF987,$L$13)),INDEX(PASTE_ALL,$DF987,$L$13),TRIM(SUBSTITUTE(SUBSTITUTE(SUBSTITUTE(SUBSTITUTE(INDEX(PASTE_ALL,$DF987,$L$13)," "," "),CHAR(9)," "),CHAR(10)," "),CHAR(13)," "))),"")))</f>
        <v/>
      </c>
      <c r="DV987">
        <f>IF($DM987=0,"",IF($L$14=0,"",IFERROR(IF(ISNUMBER(INDEX(PASTE_ALL,$DF987,$L$14)),INDEX(PASTE_ALL,$DF987,$L$14),TRIM(SUBSTITUTE(SUBSTITUTE(SUBSTITUTE(SUBSTITUTE(INDEX(PASTE_ALL,$DF987,$L$14)," "," "),CHAR(9)," "),CHAR(10)," "),CHAR(13)," "))),"")))</f>
        <v/>
      </c>
      <c r="DW987">
        <f>IF($DM987=0,"",IF($L$15=0,"",IFERROR(IF(ISNUMBER(INDEX(PASTE_ALL,$DF987,$L$15)),INDEX(PASTE_ALL,$DF987,$L$15),IF(SUMPRODUCT(--ISNUMBER(FIND({"A","B","C","D","E","F","G","H","I","J","K","L","M","N","O","P","Q","R","S","T","U","V","W","X","Y","Z","0","1","2","3","4","5","6","7","8","9"},UPPER(TRIM(SUBSTITUTE(SUBSTITUTE(SUBSTITUTE(SUBSTITUTE(INDEX(PASTE_ALL,$DF987,$L$15)," "," "),CHAR(9)," "),CHAR(10)," "),CHAR(13)," "))))))&gt;0,TRIM(SUBSTITUTE(SUBSTITUTE(SUBSTITUTE(SUBSTITUTE(INDEX(PASTE_ALL,$DF987,$L$15)," "," "),CHAR(9)," "),CHAR(10)," "),CHAR(13)," ")),"")),"")))</f>
        <v/>
      </c>
      <c r="DX987">
        <f>IF($DM987=0,"",IF($L$16=0,"",IFERROR(IF(ISNUMBER(INDEX(PASTE_ALL,$DF987,$L$16)),INDEX(PASTE_ALL,$DF987,$L$16),SUBSTITUTE(SUBSTITUTE(TRIM(SUBSTITUTE(SUBSTITUTE(SUBSTITUTE(SUBSTITUTE(INDEX(PASTE_ALL,$DF987,$L$16)," "," "),CHAR(9)," "),CHAR(10)," "),CHAR(13)," ")),",",""),"%","")),"")))</f>
        <v/>
      </c>
      <c r="DY987">
        <f>IF($DM987=0,"",IFERROR(IF(ISNUMBER($DX987),$DX987,IF($DX987="","",IF(TRIM($DX987)="",0,IF(AND(AND(SUBSTITUTE(SUBSTITUTE(SUBSTITUTE(SUBSTITUTE(SUBSTITUTE(SUBSTITUTE(SUBSTITUTE(SUBSTITUTE(SUBSTITUTE(SUBSTITUTE(SUBSTITUTE(SUBSTITUTE(SUBSTITUTE(SUBSTITUTE(UPPER(TRIM($DX987)),"0",""),"1",""),"2",""),"3",""),"4",""),"5",""),"6",""),"7",""),"8",""),"9",""),".",""),"+",""),"-",""),"E","")="",LEN(SUBSTITUTE(SUBSTITUTE(MID(UPPER(TRIM($DX987)),1+OR(LEFT(UPPER(TRIM($DX987)),1)="+",LEFT(UPPER(TRIM($DX987)),1)="-"),999),"E+","E"),"E-","E"))=LEN(SUBSTITUTE(SUBSTITUTE(SUBSTITUTE(SUBSTITUTE(MID(UPPER(TRIM($DX987)),1+OR(LEFT(UPPER(TRIM($DX987)),1)="+",LEFT(UPPER(TRIM($DX987)),1)="-"),999),"E+","E"),"E-","E"),"+",""),"-","")),LEN(UPPER(TRIM($DX987)))-LEN(SUBSTITUTE(UPPER(TRIM($DX987)),"E",""))&lt;2,LEN(UPPER(TRIM($DX987)))-LEN(SUBSTITUTE(UPPER(TRIM($DX987)),".",""))&lt;2,IFERROR(FIND(".",UPPER(TRIM($DX987))),0)&lt;IFERROR(FIND("E",UPPER(TRIM($DX987))),999)),ISNUMBER(VALUE(TRIM($DX987)))),VALUE(TRIM($DX987)),"")))),""))</f>
        <v/>
      </c>
      <c r="DZ987">
        <f>IF($DM987=0,"",IF($L$17=0,"",IFERROR(IF(ISNUMBER(INDEX(PASTE_ALL,$DF987,$L$17)),INDEX(PASTE_ALL,$DF987,$L$17),SUBSTITUTE(SUBSTITUTE(TRIM(SUBSTITUTE(SUBSTITUTE(SUBSTITUTE(SUBSTITUTE(INDEX(PASTE_ALL,$DF987,$L$17)," "," "),CHAR(9)," "),CHAR(10)," "),CHAR(13)," ")),",",""),"%","")),"")))</f>
        <v/>
      </c>
      <c r="EA987">
        <f>IF($DM987=0,"",IFERROR(IF(ISNUMBER($DZ987),$DZ987,IF($DZ987="","",IF(TRIM($DZ987)="",0,IF(AND(AND(SUBSTITUTE(SUBSTITUTE(SUBSTITUTE(SUBSTITUTE(SUBSTITUTE(SUBSTITUTE(SUBSTITUTE(SUBSTITUTE(SUBSTITUTE(SUBSTITUTE(SUBSTITUTE(SUBSTITUTE(SUBSTITUTE(SUBSTITUTE(UPPER(TRIM($DZ987)),"0",""),"1",""),"2",""),"3",""),"4",""),"5",""),"6",""),"7",""),"8",""),"9",""),".",""),"+",""),"-",""),"E","")="",LEN(SUBSTITUTE(SUBSTITUTE(MID(UPPER(TRIM($DZ987)),1+OR(LEFT(UPPER(TRIM($DZ987)),1)="+",LEFT(UPPER(TRIM($DZ987)),1)="-"),999),"E+","E"),"E-","E"))=LEN(SUBSTITUTE(SUBSTITUTE(SUBSTITUTE(SUBSTITUTE(MID(UPPER(TRIM($DZ987)),1+OR(LEFT(UPPER(TRIM($DZ987)),1)="+",LEFT(UPPER(TRIM($DZ987)),1)="-"),999),"E+","E"),"E-","E"),"+",""),"-","")),LEN(UPPER(TRIM($DZ987)))-LEN(SUBSTITUTE(UPPER(TRIM($DZ987)),"E",""))&lt;2,LEN(UPPER(TRIM($DZ987)))-LEN(SUBSTITUTE(UPPER(TRIM($DZ987)),".",""))&lt;2,IFERROR(FIND(".",UPPER(TRIM($DZ987))),0)&lt;IFERROR(FIND("E",UPPER(TRIM($DZ987))),999)),ISNUMBER(VALUE(TRIM($DZ987)))),VALUE(TRIM($DZ987)),"")))),""))</f>
        <v/>
      </c>
      <c r="EB987">
        <f>IF($DM987=0,"",IF($L$18=0,"",IFERROR(IF(UPPER(TRIM(SUBSTITUTE(SUBSTITUTE(SUBSTITUTE(SUBSTITUTE(INDEX(PASTE_ALL,$DF987,$L$18)," "," "),CHAR(9)," "),CHAR(10)," "),CHAR(13)," ")))="READY","Ready",IF(UPPER(TRIM(SUBSTITUTE(SUBSTITUTE(SUBSTITUTE(SUBSTITUTE(INDEX(PASTE_ALL,$DF987,$L$18)," "," "),CHAR(9)," "),CHAR(10)," "),CHAR(13)," ")))="PM","PM",IF(OR(UPPER(TRIM(SUBSTITUTE(SUBSTITUTE(SUBSTITUTE(SUBSTITUTE(INDEX(PASTE_ALL,$DF987,$L$18)," "," "),CHAR(9)," "),CHAR(10)," "),CHAR(13)," ")))="OT",UPPER(TRIM(SUBSTITUTE(SUBSTITUTE(SUBSTITUTE(SUBSTITUTE(INDEX(PASTE_ALL,$DF987,$L$18)," "," "),CHAR(9)," "),CHAR(10)," "),CHAR(13)," ")))="OVERTIME",UPPER(TRIM(SUBSTITUTE(SUBSTITUTE(SUBSTITUTE(SUBSTITUTE(INDEX(PASTE_ALL,$DF987,$L$18)," "," "),CHAR(9)," "),CHAR(10)," "),CHAR(13)," ")))="TRIAL"),"OT",TRIM(SUBSTITUTE(SUBSTITUTE(SUBSTITUTE(SUBSTITUTE(INDEX(PASTE_ALL,$DF987,$L$18)," "," "),CHAR(9)," "),CHAR(10)," "),CHAR(13)," "))))),"")))</f>
        <v/>
      </c>
      <c r="EC987">
        <f>IF($DM987=0,"",IF($L$19=0,"",IFERROR(IF(ISNUMBER(INDEX(PASTE_ALL,$DF987,$L$19)),INDEX(PASTE_ALL,$DF987,$L$19),TRIM(SUBSTITUTE(SUBSTITUTE(SUBSTITUTE(SUBSTITUTE(INDEX(PASTE_ALL,$DF987,$L$19)," "," "),CHAR(9)," "),CHAR(10)," "),CHAR(13)," "))),"")))</f>
        <v/>
      </c>
      <c r="ED987">
        <f>IF($DM987=0,"",MATCH(1,INDEX(EXACT($DH$5:DH987,$DH987)*$DM$5:DM987,0),0))</f>
        <v/>
      </c>
      <c r="EE987">
        <f>IF($DM987=0,0,IF($ED987=$DE987,1,0))</f>
        <v/>
      </c>
      <c r="EF987">
        <f>EF986+$EE987</f>
        <v/>
      </c>
      <c r="EG987">
        <f>IF($DM987=0,"",INDEX($EF$5:$EF$1003,$ED987))</f>
        <v/>
      </c>
      <c r="EH987">
        <f>IF($DM987=0,"",IF($DO987&lt;&gt;"","",IFERROR(LOOKUP(2,1/(($EG$4:EG986=$EG987)*($DO$4:DO986&lt;&gt;"")),$DO$4:DO986),"")))</f>
        <v/>
      </c>
      <c r="EI987">
        <f>IF($DM987=0,"",IF($DO987&lt;&gt;"",$DO987,$EH987))</f>
        <v/>
      </c>
      <c r="EJ987">
        <f>IF($DM987=0,"",IF($EI987="",0,IF(OR(ISNUMBER($EI987),AND(AND(SUBSTITUTE(SUBSTITUTE(SUBSTITUTE(SUBSTITUTE(SUBSTITUTE(SUBSTITUTE(SUBSTITUTE(SUBSTITUTE(SUBSTITUTE(SUBSTITUTE(SUBSTITUTE(SUBSTITUTE(SUBSTITUTE(SUBSTITUTE(UPPER($EI987),"0",""),"1",""),"2",""),"3",""),"4",""),"5",""),"6",""),"7",""),"8",""),"9",""),".",""),"+",""),"-",""),"E","")="",LEN(SUBSTITUTE(SUBSTITUTE(MID(UPPER($EI987),1+OR(LEFT(UPPER($EI987),1)="+",LEFT(UPPER($EI987),1)="-"),999),"E+","E"),"E-","E"))=LEN(SUBSTITUTE(SUBSTITUTE(SUBSTITUTE(SUBSTITUTE(MID(UPPER($EI987),1+OR(LEFT(UPPER($EI987),1)="+",LEFT(UPPER($EI987),1)="-"),999),"E+","E"),"E-","E"),"+",""),"-","")),LEN(UPPER($EI987))-LEN(SUBSTITUTE(UPPER($EI987),"E",""))&lt;2,LEN(UPPER($EI987))-LEN(SUBSTITUTE(UPPER($EI987),".",""))&lt;2,IFERROR(FIND(".",UPPER($EI987)),0)&lt;IFERROR(FIND("E",UPPER($EI987)),999)),ISNUMBER(VALUE($EI987)))),1,2)))</f>
        <v/>
      </c>
      <c r="EK987">
        <f>IF($DM987=0,"",IF($EJ987=1,IF(ISNUMBER($EI987),$EI987,VALUE($EI987)),IF($EJ987=2,$DE987,0)))</f>
        <v/>
      </c>
      <c r="EL987">
        <f>IF($DM987=0,"",COUNTIF($EG$5:$EG$1003,"&lt;"&amp;$EG987)+SUMPRODUCT(($EG$5:$EG$1003=$EG987)*(($EJ$5:$EJ$1003&lt;$EJ987)+($EJ$5:$EJ$1003=$EJ987)*(($EK$5:$EK$1003&lt;$EK987)+($EK$5:$EK$1003=$EK987)*($DE$5:$DE$1003&lt;$DE987))))+1)</f>
        <v/>
      </c>
      <c r="EM987">
        <f>IF($DM987=0,"",$EL987+$EG987-1)</f>
        <v/>
      </c>
      <c r="EN987">
        <f>IF($DM987=0,0,IFERROR(MATCH(1,INDEX(--(TRIM(SUBSTITUTE(SUBSTITUTE(SUBSTITUTE(SUBSTITUTE(LINES_NAME&amp;""," "," "),CHAR(9)," "),CHAR(10)," "),CHAR(13)," "))=$DH987),0),0),0))</f>
        <v/>
      </c>
      <c r="EO987">
        <f>IF($EN987=0,0,IF(OR(UPPER(TRIM(INDEX(LINES_SCHEDULED,$EN987)&amp;""))="YES",UPPER(TRIM(INDEX(LINES_SCHEDULED,$EN987)&amp;""))="Y",UPPER(TRIM(INDEX(LINES_SCHEDULED,$EN987)&amp;""))="X"),1,0))</f>
        <v/>
      </c>
      <c r="EP987">
        <f>IF($DM987=0,"",IF(COUNTIFS($EG$5:$EG$1003,$EG987,$EB$5:$EB$1003,"Ready")&gt;0,"READY",IF(COUNTIFS($EG$5:$EG$1003,$EG987,$EB$5:$EB$1003,"PM")&gt;0,"PM",IF(COUNTIFS($EG$5:$EG$1003,$EG987,$EB$5:$EB$1003,"OT")&gt;0,"OT",""))))</f>
        <v/>
      </c>
      <c r="EQ987">
        <f>IF($EN987=0,"",UPPER(TRIM(INDEX(LINES_STATUS,$EN987)&amp;"")))</f>
        <v/>
      </c>
      <c r="ER987">
        <f>IF($DM987=0,"",IF(OR($EQ987="READY",$EQ987="PM",$EQ987="OT"),$EQ987,$EP987))</f>
        <v/>
      </c>
      <c r="ES987">
        <f>IF($DM987=0,"",IF(AND($DV987&lt;&gt;"",UPPER($DV987)&lt;&gt;"N"),"allergen",IF(ISNUMBER(SEARCH("oil",$DQ987)),"oil",IF(OR(EXACT($DS987,"A662"),EXACT($DS987,"A624")),"bulk",""))))</f>
        <v/>
      </c>
      <c r="ET987">
        <f>IF($DM987=0,"",IF(OR($EA987="",$EA987=0),"",$EA987/100))</f>
        <v/>
      </c>
      <c r="EU987">
        <f>IF(OR($ET987="",$DY987=""),"",INT($DY987*(1-$ET987)+0.5))</f>
        <v/>
      </c>
    </row>
    <row r="988">
      <c r="DA988" t="n">
        <v>984</v>
      </c>
      <c r="DB988">
        <f>IF($B$37=0,"",IFERROR(TRIM(SUBSTITUTE(SUBSTITUTE(SUBSTITUTE(SUBSTITUTE(INDEX(PASTE_ALL,984,$B$37)," "," "),CHAR(9)," "),CHAR(10)," "),CHAR(13)," ")),""))</f>
        <v/>
      </c>
      <c r="DC988">
        <f>IF(AND(984&gt;HEADER_ROW,UPPER(DB988)="LEGEND"),1,0)</f>
        <v/>
      </c>
      <c r="DE988" t="n">
        <v>984</v>
      </c>
      <c r="DF988">
        <f>HEADER_ROW+$DE988</f>
        <v/>
      </c>
      <c r="DG988">
        <f>IF(AND($DF988&lt;=1000,$DF988&lt;$B$8),1,0)</f>
        <v/>
      </c>
      <c r="DH988">
        <f>IF($DG988=1,IFERROR(INDEX($DB$5:$DB$1004,$DF988),""),"")</f>
        <v/>
      </c>
      <c r="DI988">
        <f>IF(AND($DG988=1,$DH988&lt;&gt;""),IFERROR(SUBSTITUTE(SUBSTITUTE(TRIM(SUBSTITUTE(SUBSTITUTE(SUBSTITUTE(SUBSTITUTE(IFERROR(INDEX(PASTE_ALL,$DF988,1)&amp;"","")&amp;"␟"&amp;IFERROR(INDEX(PASTE_ALL,$DF988,2)&amp;"","")&amp;"␟"&amp;IFERROR(INDEX(PASTE_ALL,$DF988,3)&amp;"","")&amp;"␟"&amp;IFERROR(INDEX(PASTE_ALL,$DF988,4)&amp;"","")&amp;"␟"&amp;IFERROR(INDEX(PASTE_ALL,$DF988,5)&amp;"","")&amp;"␟"&amp;IFERROR(INDEX(PASTE_ALL,$DF988,6)&amp;"","")&amp;"␟"&amp;IFERROR(INDEX(PASTE_ALL,$DF988,7)&amp;"","")&amp;"␟"&amp;IFERROR(INDEX(PASTE_ALL,$DF988,8)&amp;"","")&amp;"␟"&amp;IFERROR(INDEX(PASTE_ALL,$DF988,9)&amp;"","")&amp;"␟"&amp;IFERROR(INDEX(PASTE_ALL,$DF988,10)&amp;"","")&amp;"␟"&amp;IFERROR(INDEX(PASTE_ALL,$DF988,11)&amp;"","")&amp;"␟"&amp;IFERROR(INDEX(PASTE_ALL,$DF988,12)&amp;"","")&amp;"␟"&amp;IFERROR(INDEX(PASTE_ALL,$DF988,13)&amp;"","")&amp;"␟"&amp;IFERROR(INDEX(PASTE_ALL,$DF988,14)&amp;"","")&amp;"␟"&amp;IFERROR(INDEX(PASTE_ALL,$DF988,15)&amp;"","")&amp;"␟"&amp;IFERROR(INDEX(PASTE_ALL,$DF988,16)&amp;"","")&amp;"␟"&amp;IFERROR(INDEX(PASTE_ALL,$DF988,17)&amp;"","")&amp;"␟"&amp;IFERROR(INDEX(PASTE_ALL,$DF988,18)&amp;"","")&amp;"␟"&amp;IFERROR(INDEX(PASTE_ALL,$DF988,19)&amp;"","")&amp;"␟"&amp;IFERROR(INDEX(PASTE_ALL,$DF988,20)&amp;"","")&amp;"␟"&amp;IFERROR(INDEX(PASTE_ALL,$DF988,21)&amp;"","")&amp;"␟"&amp;IFERROR(INDEX(PASTE_ALL,$DF988,22)&amp;"","")&amp;"␟"&amp;IFERROR(INDEX(PASTE_ALL,$DF988,23)&amp;"","")&amp;"␟"&amp;IFERROR(INDEX(PASTE_ALL,$DF988,24)&amp;"","")&amp;"␟"&amp;IFERROR(INDEX(PASTE_ALL,$DF988,25)&amp;"","")&amp;"␟"&amp;IFERROR(INDEX(PASTE_ALL,$DF988,26)&amp;"","")&amp;"␟"&amp;IFERROR(INDEX(PASTE_ALL,$DF988,27)&amp;"","")&amp;"␟"&amp;IFERROR(INDEX(PASTE_ALL,$DF988,28)&amp;"","")&amp;"␟"&amp;IFERROR(INDEX(PASTE_ALL,$DF988,29)&amp;"","")&amp;"␟"&amp;IFERROR(INDEX(PASTE_ALL,$DF988,30)&amp;"","")&amp;"␟"&amp;IFERROR(INDEX(PASTE_ALL,$DF988,31)&amp;"","")&amp;"␟"&amp;IFERROR(INDEX(PASTE_ALL,$DF988,32)&amp;"","")&amp;"␟"&amp;IFERROR(INDEX(PASTE_ALL,$DF988,33)&amp;"","")&amp;"␟"&amp;IFERROR(INDEX(PASTE_ALL,$DF988,34)&amp;"","")&amp;"␟"&amp;IFERROR(INDEX(PASTE_ALL,$DF988,35)&amp;"","")&amp;"␟"&amp;IFERROR(INDEX(PASTE_ALL,$DF988,36)&amp;"","")&amp;"␟"&amp;IFERROR(INDEX(PASTE_ALL,$DF988,37)&amp;"","")&amp;"␟"&amp;IFERROR(INDEX(PASTE_ALL,$DF988,38)&amp;"","")&amp;"␟"&amp;IFERROR(INDEX(PASTE_ALL,$DF988,39)&amp;"","")&amp;"␟"&amp;IFERROR(INDEX(PASTE_ALL,$DF988,40)&amp;"","")&amp;"␟"&amp;IFERROR(INDEX(PASTE_ALL,$DF988,41)&amp;"","")&amp;"␟"&amp;IFERROR(INDEX(PASTE_ALL,$DF988,42)&amp;"","")&amp;"␟"&amp;IFERROR(INDEX(PASTE_ALL,$DF988,43)&amp;"","")&amp;"␟"&amp;IFERROR(INDEX(PASTE_ALL,$DF988,44)&amp;"","")&amp;"␟"&amp;IFERROR(INDEX(PASTE_ALL,$DF988,45)&amp;"","")&amp;"␟"&amp;IFERROR(INDEX(PASTE_ALL,$DF988,46)&amp;"","")&amp;"␟"&amp;IFERROR(INDEX(PASTE_ALL,$DF988,47)&amp;"","")&amp;"␟"&amp;IFERROR(INDEX(PASTE_ALL,$DF988,48)&amp;"","")&amp;"␟"&amp;IFERROR(INDEX(PASTE_ALL,$DF988,49)&amp;"","")&amp;"␟"&amp;IFERROR(INDEX(PASTE_ALL,$DF988,50)&amp;"","")&amp;"␟"&amp;IFERROR(INDEX(PASTE_ALL,$DF988,51)&amp;"","")&amp;"␟"&amp;IFERROR(INDEX(PASTE_ALL,$DF988,52)&amp;"","")&amp;"␟"&amp;IFERROR(INDEX(PASTE_ALL,$DF988,53)&amp;"","")&amp;"␟"&amp;IFERROR(INDEX(PASTE_ALL,$DF988,54)&amp;"","")&amp;"␟"&amp;IFERROR(INDEX(PASTE_ALL,$DF988,55)&amp;"","")&amp;"␟"&amp;IFERROR(INDEX(PASTE_ALL,$DF988,56)&amp;"","")&amp;"␟"&amp;IFERROR(INDEX(PASTE_ALL,$DF988,57)&amp;"","")&amp;"␟"&amp;IFERROR(INDEX(PASTE_ALL,$DF988,58)&amp;"","")&amp;"␟"&amp;IFERROR(INDEX(PASTE_ALL,$DF988,59)&amp;"","")&amp;"␟"&amp;IFERROR(INDEX(PASTE_ALL,$DF988,60)&amp;"","")," "," "),CHAR(9)," "),CHAR(10)," "),CHAR(13)," "))," ␟","␟"),"␟ ","␟"),"#"&amp;$DE988),"")</f>
        <v/>
      </c>
      <c r="DJ988">
        <f>IF($DI988="",0,IF(SUMPRODUCT(--EXACT($DI$4:DI987,$DI988))&gt;0,1,0))</f>
        <v/>
      </c>
      <c r="DK988">
        <f>IF(AND($DI988&lt;&gt;"",$DJ988=0),1,0)</f>
        <v/>
      </c>
      <c r="DL988">
        <f>DL987+$DK988</f>
        <v/>
      </c>
      <c r="DM988">
        <f>IF(AND($DK988=1,$DL988&lt;=600),1,0)</f>
        <v/>
      </c>
      <c r="DN988">
        <f>IF($DM988=0,"",IF($L$6=0,"",IFERROR(IF(ISNUMBER(INDEX(PASTE_ALL,$DF988,$L$6)),INDEX(PASTE_ALL,$DF988,$L$6),TRIM(SUBSTITUTE(SUBSTITUTE(SUBSTITUTE(SUBSTITUTE(INDEX(PASTE_ALL,$DF988,$L$6)," "," "),CHAR(9)," "),CHAR(10)," "),CHAR(13)," "))),"")))</f>
        <v/>
      </c>
      <c r="DO988">
        <f>IF($DM988=0,"",IF($L$7=0,"",IFERROR(IF(ISNUMBER(INDEX(PASTE_ALL,$DF988,$L$7)),INDEX(PASTE_ALL,$DF988,$L$7),TRIM(SUBSTITUTE(SUBSTITUTE(SUBSTITUTE(SUBSTITUTE(INDEX(PASTE_ALL,$DF988,$L$7)," "," "),CHAR(9)," "),CHAR(10)," "),CHAR(13)," "))),"")))</f>
        <v/>
      </c>
      <c r="DP988">
        <f>IF($DM988=0,"",IF($L$8=0,"",IFERROR(IF(ISNUMBER(INDEX(PASTE_ALL,$DF988,$L$8)),INDEX(PASTE_ALL,$DF988,$L$8),TRIM(SUBSTITUTE(SUBSTITUTE(SUBSTITUTE(SUBSTITUTE(INDEX(PASTE_ALL,$DF988,$L$8)," "," "),CHAR(9)," "),CHAR(10)," "),CHAR(13)," "))),"")))</f>
        <v/>
      </c>
      <c r="DQ988">
        <f>IF($DM988=0,"",IF($L$9=0,"",IFERROR(IF(ISNUMBER(INDEX(PASTE_ALL,$DF988,$L$9)),INDEX(PASTE_ALL,$DF988,$L$9),TRIM(SUBSTITUTE(SUBSTITUTE(SUBSTITUTE(SUBSTITUTE(INDEX(PASTE_ALL,$DF988,$L$9)," "," "),CHAR(9)," "),CHAR(10)," "),CHAR(13)," "))),"")))</f>
        <v/>
      </c>
      <c r="DR988">
        <f>IF($DM988=0,"",IF($L$10=0,"",IFERROR(IF(ISNUMBER(INDEX(PASTE_ALL,$DF988,$L$10)),INDEX(PASTE_ALL,$DF988,$L$10),TRIM(SUBSTITUTE(SUBSTITUTE(SUBSTITUTE(SUBSTITUTE(INDEX(PASTE_ALL,$DF988,$L$10)," "," "),CHAR(9)," "),CHAR(10)," "),CHAR(13)," "))),"")))</f>
        <v/>
      </c>
      <c r="DS988">
        <f>IF($DM988=0,"",IF($L$11=0,"",IFERROR(IF(ISNUMBER(INDEX(PASTE_ALL,$DF988,$L$11)),INDEX(PASTE_ALL,$DF988,$L$11),TRIM(SUBSTITUTE(SUBSTITUTE(SUBSTITUTE(SUBSTITUTE(INDEX(PASTE_ALL,$DF988,$L$11)," "," "),CHAR(9)," "),CHAR(10)," "),CHAR(13)," "))),"")))</f>
        <v/>
      </c>
      <c r="DT988">
        <f>IF($DM988=0,"",IF($L$12=0,"",IFERROR(IF(ISNUMBER(INDEX(PASTE_ALL,$DF988,$L$12)),INDEX(PASTE_ALL,$DF988,$L$12),TRIM(SUBSTITUTE(SUBSTITUTE(SUBSTITUTE(SUBSTITUTE(INDEX(PASTE_ALL,$DF988,$L$12)," "," "),CHAR(9)," "),CHAR(10)," "),CHAR(13)," "))),"")))</f>
        <v/>
      </c>
      <c r="DU988">
        <f>IF($DM988=0,"",IF($L$13=0,"",IFERROR(IF(ISNUMBER(INDEX(PASTE_ALL,$DF988,$L$13)),INDEX(PASTE_ALL,$DF988,$L$13),TRIM(SUBSTITUTE(SUBSTITUTE(SUBSTITUTE(SUBSTITUTE(INDEX(PASTE_ALL,$DF988,$L$13)," "," "),CHAR(9)," "),CHAR(10)," "),CHAR(13)," "))),"")))</f>
        <v/>
      </c>
      <c r="DV988">
        <f>IF($DM988=0,"",IF($L$14=0,"",IFERROR(IF(ISNUMBER(INDEX(PASTE_ALL,$DF988,$L$14)),INDEX(PASTE_ALL,$DF988,$L$14),TRIM(SUBSTITUTE(SUBSTITUTE(SUBSTITUTE(SUBSTITUTE(INDEX(PASTE_ALL,$DF988,$L$14)," "," "),CHAR(9)," "),CHAR(10)," "),CHAR(13)," "))),"")))</f>
        <v/>
      </c>
      <c r="DW988">
        <f>IF($DM988=0,"",IF($L$15=0,"",IFERROR(IF(ISNUMBER(INDEX(PASTE_ALL,$DF988,$L$15)),INDEX(PASTE_ALL,$DF988,$L$15),IF(SUMPRODUCT(--ISNUMBER(FIND({"A","B","C","D","E","F","G","H","I","J","K","L","M","N","O","P","Q","R","S","T","U","V","W","X","Y","Z","0","1","2","3","4","5","6","7","8","9"},UPPER(TRIM(SUBSTITUTE(SUBSTITUTE(SUBSTITUTE(SUBSTITUTE(INDEX(PASTE_ALL,$DF988,$L$15)," "," "),CHAR(9)," "),CHAR(10)," "),CHAR(13)," "))))))&gt;0,TRIM(SUBSTITUTE(SUBSTITUTE(SUBSTITUTE(SUBSTITUTE(INDEX(PASTE_ALL,$DF988,$L$15)," "," "),CHAR(9)," "),CHAR(10)," "),CHAR(13)," ")),"")),"")))</f>
        <v/>
      </c>
      <c r="DX988">
        <f>IF($DM988=0,"",IF($L$16=0,"",IFERROR(IF(ISNUMBER(INDEX(PASTE_ALL,$DF988,$L$16)),INDEX(PASTE_ALL,$DF988,$L$16),SUBSTITUTE(SUBSTITUTE(TRIM(SUBSTITUTE(SUBSTITUTE(SUBSTITUTE(SUBSTITUTE(INDEX(PASTE_ALL,$DF988,$L$16)," "," "),CHAR(9)," "),CHAR(10)," "),CHAR(13)," ")),",",""),"%","")),"")))</f>
        <v/>
      </c>
      <c r="DY988">
        <f>IF($DM988=0,"",IFERROR(IF(ISNUMBER($DX988),$DX988,IF($DX988="","",IF(TRIM($DX988)="",0,IF(AND(AND(SUBSTITUTE(SUBSTITUTE(SUBSTITUTE(SUBSTITUTE(SUBSTITUTE(SUBSTITUTE(SUBSTITUTE(SUBSTITUTE(SUBSTITUTE(SUBSTITUTE(SUBSTITUTE(SUBSTITUTE(SUBSTITUTE(SUBSTITUTE(UPPER(TRIM($DX988)),"0",""),"1",""),"2",""),"3",""),"4",""),"5",""),"6",""),"7",""),"8",""),"9",""),".",""),"+",""),"-",""),"E","")="",LEN(SUBSTITUTE(SUBSTITUTE(MID(UPPER(TRIM($DX988)),1+OR(LEFT(UPPER(TRIM($DX988)),1)="+",LEFT(UPPER(TRIM($DX988)),1)="-"),999),"E+","E"),"E-","E"))=LEN(SUBSTITUTE(SUBSTITUTE(SUBSTITUTE(SUBSTITUTE(MID(UPPER(TRIM($DX988)),1+OR(LEFT(UPPER(TRIM($DX988)),1)="+",LEFT(UPPER(TRIM($DX988)),1)="-"),999),"E+","E"),"E-","E"),"+",""),"-","")),LEN(UPPER(TRIM($DX988)))-LEN(SUBSTITUTE(UPPER(TRIM($DX988)),"E",""))&lt;2,LEN(UPPER(TRIM($DX988)))-LEN(SUBSTITUTE(UPPER(TRIM($DX988)),".",""))&lt;2,IFERROR(FIND(".",UPPER(TRIM($DX988))),0)&lt;IFERROR(FIND("E",UPPER(TRIM($DX988))),999)),ISNUMBER(VALUE(TRIM($DX988)))),VALUE(TRIM($DX988)),"")))),""))</f>
        <v/>
      </c>
      <c r="DZ988">
        <f>IF($DM988=0,"",IF($L$17=0,"",IFERROR(IF(ISNUMBER(INDEX(PASTE_ALL,$DF988,$L$17)),INDEX(PASTE_ALL,$DF988,$L$17),SUBSTITUTE(SUBSTITUTE(TRIM(SUBSTITUTE(SUBSTITUTE(SUBSTITUTE(SUBSTITUTE(INDEX(PASTE_ALL,$DF988,$L$17)," "," "),CHAR(9)," "),CHAR(10)," "),CHAR(13)," ")),",",""),"%","")),"")))</f>
        <v/>
      </c>
      <c r="EA988">
        <f>IF($DM988=0,"",IFERROR(IF(ISNUMBER($DZ988),$DZ988,IF($DZ988="","",IF(TRIM($DZ988)="",0,IF(AND(AND(SUBSTITUTE(SUBSTITUTE(SUBSTITUTE(SUBSTITUTE(SUBSTITUTE(SUBSTITUTE(SUBSTITUTE(SUBSTITUTE(SUBSTITUTE(SUBSTITUTE(SUBSTITUTE(SUBSTITUTE(SUBSTITUTE(SUBSTITUTE(UPPER(TRIM($DZ988)),"0",""),"1",""),"2",""),"3",""),"4",""),"5",""),"6",""),"7",""),"8",""),"9",""),".",""),"+",""),"-",""),"E","")="",LEN(SUBSTITUTE(SUBSTITUTE(MID(UPPER(TRIM($DZ988)),1+OR(LEFT(UPPER(TRIM($DZ988)),1)="+",LEFT(UPPER(TRIM($DZ988)),1)="-"),999),"E+","E"),"E-","E"))=LEN(SUBSTITUTE(SUBSTITUTE(SUBSTITUTE(SUBSTITUTE(MID(UPPER(TRIM($DZ988)),1+OR(LEFT(UPPER(TRIM($DZ988)),1)="+",LEFT(UPPER(TRIM($DZ988)),1)="-"),999),"E+","E"),"E-","E"),"+",""),"-","")),LEN(UPPER(TRIM($DZ988)))-LEN(SUBSTITUTE(UPPER(TRIM($DZ988)),"E",""))&lt;2,LEN(UPPER(TRIM($DZ988)))-LEN(SUBSTITUTE(UPPER(TRIM($DZ988)),".",""))&lt;2,IFERROR(FIND(".",UPPER(TRIM($DZ988))),0)&lt;IFERROR(FIND("E",UPPER(TRIM($DZ988))),999)),ISNUMBER(VALUE(TRIM($DZ988)))),VALUE(TRIM($DZ988)),"")))),""))</f>
        <v/>
      </c>
      <c r="EB988">
        <f>IF($DM988=0,"",IF($L$18=0,"",IFERROR(IF(UPPER(TRIM(SUBSTITUTE(SUBSTITUTE(SUBSTITUTE(SUBSTITUTE(INDEX(PASTE_ALL,$DF988,$L$18)," "," "),CHAR(9)," "),CHAR(10)," "),CHAR(13)," ")))="READY","Ready",IF(UPPER(TRIM(SUBSTITUTE(SUBSTITUTE(SUBSTITUTE(SUBSTITUTE(INDEX(PASTE_ALL,$DF988,$L$18)," "," "),CHAR(9)," "),CHAR(10)," "),CHAR(13)," ")))="PM","PM",IF(OR(UPPER(TRIM(SUBSTITUTE(SUBSTITUTE(SUBSTITUTE(SUBSTITUTE(INDEX(PASTE_ALL,$DF988,$L$18)," "," "),CHAR(9)," "),CHAR(10)," "),CHAR(13)," ")))="OT",UPPER(TRIM(SUBSTITUTE(SUBSTITUTE(SUBSTITUTE(SUBSTITUTE(INDEX(PASTE_ALL,$DF988,$L$18)," "," "),CHAR(9)," "),CHAR(10)," "),CHAR(13)," ")))="OVERTIME",UPPER(TRIM(SUBSTITUTE(SUBSTITUTE(SUBSTITUTE(SUBSTITUTE(INDEX(PASTE_ALL,$DF988,$L$18)," "," "),CHAR(9)," "),CHAR(10)," "),CHAR(13)," ")))="TRIAL"),"OT",TRIM(SUBSTITUTE(SUBSTITUTE(SUBSTITUTE(SUBSTITUTE(INDEX(PASTE_ALL,$DF988,$L$18)," "," "),CHAR(9)," "),CHAR(10)," "),CHAR(13)," "))))),"")))</f>
        <v/>
      </c>
      <c r="EC988">
        <f>IF($DM988=0,"",IF($L$19=0,"",IFERROR(IF(ISNUMBER(INDEX(PASTE_ALL,$DF988,$L$19)),INDEX(PASTE_ALL,$DF988,$L$19),TRIM(SUBSTITUTE(SUBSTITUTE(SUBSTITUTE(SUBSTITUTE(INDEX(PASTE_ALL,$DF988,$L$19)," "," "),CHAR(9)," "),CHAR(10)," "),CHAR(13)," "))),"")))</f>
        <v/>
      </c>
      <c r="ED988">
        <f>IF($DM988=0,"",MATCH(1,INDEX(EXACT($DH$5:DH988,$DH988)*$DM$5:DM988,0),0))</f>
        <v/>
      </c>
      <c r="EE988">
        <f>IF($DM988=0,0,IF($ED988=$DE988,1,0))</f>
        <v/>
      </c>
      <c r="EF988">
        <f>EF987+$EE988</f>
        <v/>
      </c>
      <c r="EG988">
        <f>IF($DM988=0,"",INDEX($EF$5:$EF$1003,$ED988))</f>
        <v/>
      </c>
      <c r="EH988">
        <f>IF($DM988=0,"",IF($DO988&lt;&gt;"","",IFERROR(LOOKUP(2,1/(($EG$4:EG987=$EG988)*($DO$4:DO987&lt;&gt;"")),$DO$4:DO987),"")))</f>
        <v/>
      </c>
      <c r="EI988">
        <f>IF($DM988=0,"",IF($DO988&lt;&gt;"",$DO988,$EH988))</f>
        <v/>
      </c>
      <c r="EJ988">
        <f>IF($DM988=0,"",IF($EI988="",0,IF(OR(ISNUMBER($EI988),AND(AND(SUBSTITUTE(SUBSTITUTE(SUBSTITUTE(SUBSTITUTE(SUBSTITUTE(SUBSTITUTE(SUBSTITUTE(SUBSTITUTE(SUBSTITUTE(SUBSTITUTE(SUBSTITUTE(SUBSTITUTE(SUBSTITUTE(SUBSTITUTE(UPPER($EI988),"0",""),"1",""),"2",""),"3",""),"4",""),"5",""),"6",""),"7",""),"8",""),"9",""),".",""),"+",""),"-",""),"E","")="",LEN(SUBSTITUTE(SUBSTITUTE(MID(UPPER($EI988),1+OR(LEFT(UPPER($EI988),1)="+",LEFT(UPPER($EI988),1)="-"),999),"E+","E"),"E-","E"))=LEN(SUBSTITUTE(SUBSTITUTE(SUBSTITUTE(SUBSTITUTE(MID(UPPER($EI988),1+OR(LEFT(UPPER($EI988),1)="+",LEFT(UPPER($EI988),1)="-"),999),"E+","E"),"E-","E"),"+",""),"-","")),LEN(UPPER($EI988))-LEN(SUBSTITUTE(UPPER($EI988),"E",""))&lt;2,LEN(UPPER($EI988))-LEN(SUBSTITUTE(UPPER($EI988),".",""))&lt;2,IFERROR(FIND(".",UPPER($EI988)),0)&lt;IFERROR(FIND("E",UPPER($EI988)),999)),ISNUMBER(VALUE($EI988)))),1,2)))</f>
        <v/>
      </c>
      <c r="EK988">
        <f>IF($DM988=0,"",IF($EJ988=1,IF(ISNUMBER($EI988),$EI988,VALUE($EI988)),IF($EJ988=2,$DE988,0)))</f>
        <v/>
      </c>
      <c r="EL988">
        <f>IF($DM988=0,"",COUNTIF($EG$5:$EG$1003,"&lt;"&amp;$EG988)+SUMPRODUCT(($EG$5:$EG$1003=$EG988)*(($EJ$5:$EJ$1003&lt;$EJ988)+($EJ$5:$EJ$1003=$EJ988)*(($EK$5:$EK$1003&lt;$EK988)+($EK$5:$EK$1003=$EK988)*($DE$5:$DE$1003&lt;$DE988))))+1)</f>
        <v/>
      </c>
      <c r="EM988">
        <f>IF($DM988=0,"",$EL988+$EG988-1)</f>
        <v/>
      </c>
      <c r="EN988">
        <f>IF($DM988=0,0,IFERROR(MATCH(1,INDEX(--(TRIM(SUBSTITUTE(SUBSTITUTE(SUBSTITUTE(SUBSTITUTE(LINES_NAME&amp;""," "," "),CHAR(9)," "),CHAR(10)," "),CHAR(13)," "))=$DH988),0),0),0))</f>
        <v/>
      </c>
      <c r="EO988">
        <f>IF($EN988=0,0,IF(OR(UPPER(TRIM(INDEX(LINES_SCHEDULED,$EN988)&amp;""))="YES",UPPER(TRIM(INDEX(LINES_SCHEDULED,$EN988)&amp;""))="Y",UPPER(TRIM(INDEX(LINES_SCHEDULED,$EN988)&amp;""))="X"),1,0))</f>
        <v/>
      </c>
      <c r="EP988">
        <f>IF($DM988=0,"",IF(COUNTIFS($EG$5:$EG$1003,$EG988,$EB$5:$EB$1003,"Ready")&gt;0,"READY",IF(COUNTIFS($EG$5:$EG$1003,$EG988,$EB$5:$EB$1003,"PM")&gt;0,"PM",IF(COUNTIFS($EG$5:$EG$1003,$EG988,$EB$5:$EB$1003,"OT")&gt;0,"OT",""))))</f>
        <v/>
      </c>
      <c r="EQ988">
        <f>IF($EN988=0,"",UPPER(TRIM(INDEX(LINES_STATUS,$EN988)&amp;"")))</f>
        <v/>
      </c>
      <c r="ER988">
        <f>IF($DM988=0,"",IF(OR($EQ988="READY",$EQ988="PM",$EQ988="OT"),$EQ988,$EP988))</f>
        <v/>
      </c>
      <c r="ES988">
        <f>IF($DM988=0,"",IF(AND($DV988&lt;&gt;"",UPPER($DV988)&lt;&gt;"N"),"allergen",IF(ISNUMBER(SEARCH("oil",$DQ988)),"oil",IF(OR(EXACT($DS988,"A662"),EXACT($DS988,"A624")),"bulk",""))))</f>
        <v/>
      </c>
      <c r="ET988">
        <f>IF($DM988=0,"",IF(OR($EA988="",$EA988=0),"",$EA988/100))</f>
        <v/>
      </c>
      <c r="EU988">
        <f>IF(OR($ET988="",$DY988=""),"",INT($DY988*(1-$ET988)+0.5))</f>
        <v/>
      </c>
    </row>
    <row r="989">
      <c r="DA989" t="n">
        <v>985</v>
      </c>
      <c r="DB989">
        <f>IF($B$37=0,"",IFERROR(TRIM(SUBSTITUTE(SUBSTITUTE(SUBSTITUTE(SUBSTITUTE(INDEX(PASTE_ALL,985,$B$37)," "," "),CHAR(9)," "),CHAR(10)," "),CHAR(13)," ")),""))</f>
        <v/>
      </c>
      <c r="DC989">
        <f>IF(AND(985&gt;HEADER_ROW,UPPER(DB989)="LEGEND"),1,0)</f>
        <v/>
      </c>
      <c r="DE989" t="n">
        <v>985</v>
      </c>
      <c r="DF989">
        <f>HEADER_ROW+$DE989</f>
        <v/>
      </c>
      <c r="DG989">
        <f>IF(AND($DF989&lt;=1000,$DF989&lt;$B$8),1,0)</f>
        <v/>
      </c>
      <c r="DH989">
        <f>IF($DG989=1,IFERROR(INDEX($DB$5:$DB$1004,$DF989),""),"")</f>
        <v/>
      </c>
      <c r="DI989">
        <f>IF(AND($DG989=1,$DH989&lt;&gt;""),IFERROR(SUBSTITUTE(SUBSTITUTE(TRIM(SUBSTITUTE(SUBSTITUTE(SUBSTITUTE(SUBSTITUTE(IFERROR(INDEX(PASTE_ALL,$DF989,1)&amp;"","")&amp;"␟"&amp;IFERROR(INDEX(PASTE_ALL,$DF989,2)&amp;"","")&amp;"␟"&amp;IFERROR(INDEX(PASTE_ALL,$DF989,3)&amp;"","")&amp;"␟"&amp;IFERROR(INDEX(PASTE_ALL,$DF989,4)&amp;"","")&amp;"␟"&amp;IFERROR(INDEX(PASTE_ALL,$DF989,5)&amp;"","")&amp;"␟"&amp;IFERROR(INDEX(PASTE_ALL,$DF989,6)&amp;"","")&amp;"␟"&amp;IFERROR(INDEX(PASTE_ALL,$DF989,7)&amp;"","")&amp;"␟"&amp;IFERROR(INDEX(PASTE_ALL,$DF989,8)&amp;"","")&amp;"␟"&amp;IFERROR(INDEX(PASTE_ALL,$DF989,9)&amp;"","")&amp;"␟"&amp;IFERROR(INDEX(PASTE_ALL,$DF989,10)&amp;"","")&amp;"␟"&amp;IFERROR(INDEX(PASTE_ALL,$DF989,11)&amp;"","")&amp;"␟"&amp;IFERROR(INDEX(PASTE_ALL,$DF989,12)&amp;"","")&amp;"␟"&amp;IFERROR(INDEX(PASTE_ALL,$DF989,13)&amp;"","")&amp;"␟"&amp;IFERROR(INDEX(PASTE_ALL,$DF989,14)&amp;"","")&amp;"␟"&amp;IFERROR(INDEX(PASTE_ALL,$DF989,15)&amp;"","")&amp;"␟"&amp;IFERROR(INDEX(PASTE_ALL,$DF989,16)&amp;"","")&amp;"␟"&amp;IFERROR(INDEX(PASTE_ALL,$DF989,17)&amp;"","")&amp;"␟"&amp;IFERROR(INDEX(PASTE_ALL,$DF989,18)&amp;"","")&amp;"␟"&amp;IFERROR(INDEX(PASTE_ALL,$DF989,19)&amp;"","")&amp;"␟"&amp;IFERROR(INDEX(PASTE_ALL,$DF989,20)&amp;"","")&amp;"␟"&amp;IFERROR(INDEX(PASTE_ALL,$DF989,21)&amp;"","")&amp;"␟"&amp;IFERROR(INDEX(PASTE_ALL,$DF989,22)&amp;"","")&amp;"␟"&amp;IFERROR(INDEX(PASTE_ALL,$DF989,23)&amp;"","")&amp;"␟"&amp;IFERROR(INDEX(PASTE_ALL,$DF989,24)&amp;"","")&amp;"␟"&amp;IFERROR(INDEX(PASTE_ALL,$DF989,25)&amp;"","")&amp;"␟"&amp;IFERROR(INDEX(PASTE_ALL,$DF989,26)&amp;"","")&amp;"␟"&amp;IFERROR(INDEX(PASTE_ALL,$DF989,27)&amp;"","")&amp;"␟"&amp;IFERROR(INDEX(PASTE_ALL,$DF989,28)&amp;"","")&amp;"␟"&amp;IFERROR(INDEX(PASTE_ALL,$DF989,29)&amp;"","")&amp;"␟"&amp;IFERROR(INDEX(PASTE_ALL,$DF989,30)&amp;"","")&amp;"␟"&amp;IFERROR(INDEX(PASTE_ALL,$DF989,31)&amp;"","")&amp;"␟"&amp;IFERROR(INDEX(PASTE_ALL,$DF989,32)&amp;"","")&amp;"␟"&amp;IFERROR(INDEX(PASTE_ALL,$DF989,33)&amp;"","")&amp;"␟"&amp;IFERROR(INDEX(PASTE_ALL,$DF989,34)&amp;"","")&amp;"␟"&amp;IFERROR(INDEX(PASTE_ALL,$DF989,35)&amp;"","")&amp;"␟"&amp;IFERROR(INDEX(PASTE_ALL,$DF989,36)&amp;"","")&amp;"␟"&amp;IFERROR(INDEX(PASTE_ALL,$DF989,37)&amp;"","")&amp;"␟"&amp;IFERROR(INDEX(PASTE_ALL,$DF989,38)&amp;"","")&amp;"␟"&amp;IFERROR(INDEX(PASTE_ALL,$DF989,39)&amp;"","")&amp;"␟"&amp;IFERROR(INDEX(PASTE_ALL,$DF989,40)&amp;"","")&amp;"␟"&amp;IFERROR(INDEX(PASTE_ALL,$DF989,41)&amp;"","")&amp;"␟"&amp;IFERROR(INDEX(PASTE_ALL,$DF989,42)&amp;"","")&amp;"␟"&amp;IFERROR(INDEX(PASTE_ALL,$DF989,43)&amp;"","")&amp;"␟"&amp;IFERROR(INDEX(PASTE_ALL,$DF989,44)&amp;"","")&amp;"␟"&amp;IFERROR(INDEX(PASTE_ALL,$DF989,45)&amp;"","")&amp;"␟"&amp;IFERROR(INDEX(PASTE_ALL,$DF989,46)&amp;"","")&amp;"␟"&amp;IFERROR(INDEX(PASTE_ALL,$DF989,47)&amp;"","")&amp;"␟"&amp;IFERROR(INDEX(PASTE_ALL,$DF989,48)&amp;"","")&amp;"␟"&amp;IFERROR(INDEX(PASTE_ALL,$DF989,49)&amp;"","")&amp;"␟"&amp;IFERROR(INDEX(PASTE_ALL,$DF989,50)&amp;"","")&amp;"␟"&amp;IFERROR(INDEX(PASTE_ALL,$DF989,51)&amp;"","")&amp;"␟"&amp;IFERROR(INDEX(PASTE_ALL,$DF989,52)&amp;"","")&amp;"␟"&amp;IFERROR(INDEX(PASTE_ALL,$DF989,53)&amp;"","")&amp;"␟"&amp;IFERROR(INDEX(PASTE_ALL,$DF989,54)&amp;"","")&amp;"␟"&amp;IFERROR(INDEX(PASTE_ALL,$DF989,55)&amp;"","")&amp;"␟"&amp;IFERROR(INDEX(PASTE_ALL,$DF989,56)&amp;"","")&amp;"␟"&amp;IFERROR(INDEX(PASTE_ALL,$DF989,57)&amp;"","")&amp;"␟"&amp;IFERROR(INDEX(PASTE_ALL,$DF989,58)&amp;"","")&amp;"␟"&amp;IFERROR(INDEX(PASTE_ALL,$DF989,59)&amp;"","")&amp;"␟"&amp;IFERROR(INDEX(PASTE_ALL,$DF989,60)&amp;"","")," "," "),CHAR(9)," "),CHAR(10)," "),CHAR(13)," "))," ␟","␟"),"␟ ","␟"),"#"&amp;$DE989),"")</f>
        <v/>
      </c>
      <c r="DJ989">
        <f>IF($DI989="",0,IF(SUMPRODUCT(--EXACT($DI$4:DI988,$DI989))&gt;0,1,0))</f>
        <v/>
      </c>
      <c r="DK989">
        <f>IF(AND($DI989&lt;&gt;"",$DJ989=0),1,0)</f>
        <v/>
      </c>
      <c r="DL989">
        <f>DL988+$DK989</f>
        <v/>
      </c>
      <c r="DM989">
        <f>IF(AND($DK989=1,$DL989&lt;=600),1,0)</f>
        <v/>
      </c>
      <c r="DN989">
        <f>IF($DM989=0,"",IF($L$6=0,"",IFERROR(IF(ISNUMBER(INDEX(PASTE_ALL,$DF989,$L$6)),INDEX(PASTE_ALL,$DF989,$L$6),TRIM(SUBSTITUTE(SUBSTITUTE(SUBSTITUTE(SUBSTITUTE(INDEX(PASTE_ALL,$DF989,$L$6)," "," "),CHAR(9)," "),CHAR(10)," "),CHAR(13)," "))),"")))</f>
        <v/>
      </c>
      <c r="DO989">
        <f>IF($DM989=0,"",IF($L$7=0,"",IFERROR(IF(ISNUMBER(INDEX(PASTE_ALL,$DF989,$L$7)),INDEX(PASTE_ALL,$DF989,$L$7),TRIM(SUBSTITUTE(SUBSTITUTE(SUBSTITUTE(SUBSTITUTE(INDEX(PASTE_ALL,$DF989,$L$7)," "," "),CHAR(9)," "),CHAR(10)," "),CHAR(13)," "))),"")))</f>
        <v/>
      </c>
      <c r="DP989">
        <f>IF($DM989=0,"",IF($L$8=0,"",IFERROR(IF(ISNUMBER(INDEX(PASTE_ALL,$DF989,$L$8)),INDEX(PASTE_ALL,$DF989,$L$8),TRIM(SUBSTITUTE(SUBSTITUTE(SUBSTITUTE(SUBSTITUTE(INDEX(PASTE_ALL,$DF989,$L$8)," "," "),CHAR(9)," "),CHAR(10)," "),CHAR(13)," "))),"")))</f>
        <v/>
      </c>
      <c r="DQ989">
        <f>IF($DM989=0,"",IF($L$9=0,"",IFERROR(IF(ISNUMBER(INDEX(PASTE_ALL,$DF989,$L$9)),INDEX(PASTE_ALL,$DF989,$L$9),TRIM(SUBSTITUTE(SUBSTITUTE(SUBSTITUTE(SUBSTITUTE(INDEX(PASTE_ALL,$DF989,$L$9)," "," "),CHAR(9)," "),CHAR(10)," "),CHAR(13)," "))),"")))</f>
        <v/>
      </c>
      <c r="DR989">
        <f>IF($DM989=0,"",IF($L$10=0,"",IFERROR(IF(ISNUMBER(INDEX(PASTE_ALL,$DF989,$L$10)),INDEX(PASTE_ALL,$DF989,$L$10),TRIM(SUBSTITUTE(SUBSTITUTE(SUBSTITUTE(SUBSTITUTE(INDEX(PASTE_ALL,$DF989,$L$10)," "," "),CHAR(9)," "),CHAR(10)," "),CHAR(13)," "))),"")))</f>
        <v/>
      </c>
      <c r="DS989">
        <f>IF($DM989=0,"",IF($L$11=0,"",IFERROR(IF(ISNUMBER(INDEX(PASTE_ALL,$DF989,$L$11)),INDEX(PASTE_ALL,$DF989,$L$11),TRIM(SUBSTITUTE(SUBSTITUTE(SUBSTITUTE(SUBSTITUTE(INDEX(PASTE_ALL,$DF989,$L$11)," "," "),CHAR(9)," "),CHAR(10)," "),CHAR(13)," "))),"")))</f>
        <v/>
      </c>
      <c r="DT989">
        <f>IF($DM989=0,"",IF($L$12=0,"",IFERROR(IF(ISNUMBER(INDEX(PASTE_ALL,$DF989,$L$12)),INDEX(PASTE_ALL,$DF989,$L$12),TRIM(SUBSTITUTE(SUBSTITUTE(SUBSTITUTE(SUBSTITUTE(INDEX(PASTE_ALL,$DF989,$L$12)," "," "),CHAR(9)," "),CHAR(10)," "),CHAR(13)," "))),"")))</f>
        <v/>
      </c>
      <c r="DU989">
        <f>IF($DM989=0,"",IF($L$13=0,"",IFERROR(IF(ISNUMBER(INDEX(PASTE_ALL,$DF989,$L$13)),INDEX(PASTE_ALL,$DF989,$L$13),TRIM(SUBSTITUTE(SUBSTITUTE(SUBSTITUTE(SUBSTITUTE(INDEX(PASTE_ALL,$DF989,$L$13)," "," "),CHAR(9)," "),CHAR(10)," "),CHAR(13)," "))),"")))</f>
        <v/>
      </c>
      <c r="DV989">
        <f>IF($DM989=0,"",IF($L$14=0,"",IFERROR(IF(ISNUMBER(INDEX(PASTE_ALL,$DF989,$L$14)),INDEX(PASTE_ALL,$DF989,$L$14),TRIM(SUBSTITUTE(SUBSTITUTE(SUBSTITUTE(SUBSTITUTE(INDEX(PASTE_ALL,$DF989,$L$14)," "," "),CHAR(9)," "),CHAR(10)," "),CHAR(13)," "))),"")))</f>
        <v/>
      </c>
      <c r="DW989">
        <f>IF($DM989=0,"",IF($L$15=0,"",IFERROR(IF(ISNUMBER(INDEX(PASTE_ALL,$DF989,$L$15)),INDEX(PASTE_ALL,$DF989,$L$15),IF(SUMPRODUCT(--ISNUMBER(FIND({"A","B","C","D","E","F","G","H","I","J","K","L","M","N","O","P","Q","R","S","T","U","V","W","X","Y","Z","0","1","2","3","4","5","6","7","8","9"},UPPER(TRIM(SUBSTITUTE(SUBSTITUTE(SUBSTITUTE(SUBSTITUTE(INDEX(PASTE_ALL,$DF989,$L$15)," "," "),CHAR(9)," "),CHAR(10)," "),CHAR(13)," "))))))&gt;0,TRIM(SUBSTITUTE(SUBSTITUTE(SUBSTITUTE(SUBSTITUTE(INDEX(PASTE_ALL,$DF989,$L$15)," "," "),CHAR(9)," "),CHAR(10)," "),CHAR(13)," ")),"")),"")))</f>
        <v/>
      </c>
      <c r="DX989">
        <f>IF($DM989=0,"",IF($L$16=0,"",IFERROR(IF(ISNUMBER(INDEX(PASTE_ALL,$DF989,$L$16)),INDEX(PASTE_ALL,$DF989,$L$16),SUBSTITUTE(SUBSTITUTE(TRIM(SUBSTITUTE(SUBSTITUTE(SUBSTITUTE(SUBSTITUTE(INDEX(PASTE_ALL,$DF989,$L$16)," "," "),CHAR(9)," "),CHAR(10)," "),CHAR(13)," ")),",",""),"%","")),"")))</f>
        <v/>
      </c>
      <c r="DY989">
        <f>IF($DM989=0,"",IFERROR(IF(ISNUMBER($DX989),$DX989,IF($DX989="","",IF(TRIM($DX989)="",0,IF(AND(AND(SUBSTITUTE(SUBSTITUTE(SUBSTITUTE(SUBSTITUTE(SUBSTITUTE(SUBSTITUTE(SUBSTITUTE(SUBSTITUTE(SUBSTITUTE(SUBSTITUTE(SUBSTITUTE(SUBSTITUTE(SUBSTITUTE(SUBSTITUTE(UPPER(TRIM($DX989)),"0",""),"1",""),"2",""),"3",""),"4",""),"5",""),"6",""),"7",""),"8",""),"9",""),".",""),"+",""),"-",""),"E","")="",LEN(SUBSTITUTE(SUBSTITUTE(MID(UPPER(TRIM($DX989)),1+OR(LEFT(UPPER(TRIM($DX989)),1)="+",LEFT(UPPER(TRIM($DX989)),1)="-"),999),"E+","E"),"E-","E"))=LEN(SUBSTITUTE(SUBSTITUTE(SUBSTITUTE(SUBSTITUTE(MID(UPPER(TRIM($DX989)),1+OR(LEFT(UPPER(TRIM($DX989)),1)="+",LEFT(UPPER(TRIM($DX989)),1)="-"),999),"E+","E"),"E-","E"),"+",""),"-","")),LEN(UPPER(TRIM($DX989)))-LEN(SUBSTITUTE(UPPER(TRIM($DX989)),"E",""))&lt;2,LEN(UPPER(TRIM($DX989)))-LEN(SUBSTITUTE(UPPER(TRIM($DX989)),".",""))&lt;2,IFERROR(FIND(".",UPPER(TRIM($DX989))),0)&lt;IFERROR(FIND("E",UPPER(TRIM($DX989))),999)),ISNUMBER(VALUE(TRIM($DX989)))),VALUE(TRIM($DX989)),"")))),""))</f>
        <v/>
      </c>
      <c r="DZ989">
        <f>IF($DM989=0,"",IF($L$17=0,"",IFERROR(IF(ISNUMBER(INDEX(PASTE_ALL,$DF989,$L$17)),INDEX(PASTE_ALL,$DF989,$L$17),SUBSTITUTE(SUBSTITUTE(TRIM(SUBSTITUTE(SUBSTITUTE(SUBSTITUTE(SUBSTITUTE(INDEX(PASTE_ALL,$DF989,$L$17)," "," "),CHAR(9)," "),CHAR(10)," "),CHAR(13)," ")),",",""),"%","")),"")))</f>
        <v/>
      </c>
      <c r="EA989">
        <f>IF($DM989=0,"",IFERROR(IF(ISNUMBER($DZ989),$DZ989,IF($DZ989="","",IF(TRIM($DZ989)="",0,IF(AND(AND(SUBSTITUTE(SUBSTITUTE(SUBSTITUTE(SUBSTITUTE(SUBSTITUTE(SUBSTITUTE(SUBSTITUTE(SUBSTITUTE(SUBSTITUTE(SUBSTITUTE(SUBSTITUTE(SUBSTITUTE(SUBSTITUTE(SUBSTITUTE(UPPER(TRIM($DZ989)),"0",""),"1",""),"2",""),"3",""),"4",""),"5",""),"6",""),"7",""),"8",""),"9",""),".",""),"+",""),"-",""),"E","")="",LEN(SUBSTITUTE(SUBSTITUTE(MID(UPPER(TRIM($DZ989)),1+OR(LEFT(UPPER(TRIM($DZ989)),1)="+",LEFT(UPPER(TRIM($DZ989)),1)="-"),999),"E+","E"),"E-","E"))=LEN(SUBSTITUTE(SUBSTITUTE(SUBSTITUTE(SUBSTITUTE(MID(UPPER(TRIM($DZ989)),1+OR(LEFT(UPPER(TRIM($DZ989)),1)="+",LEFT(UPPER(TRIM($DZ989)),1)="-"),999),"E+","E"),"E-","E"),"+",""),"-","")),LEN(UPPER(TRIM($DZ989)))-LEN(SUBSTITUTE(UPPER(TRIM($DZ989)),"E",""))&lt;2,LEN(UPPER(TRIM($DZ989)))-LEN(SUBSTITUTE(UPPER(TRIM($DZ989)),".",""))&lt;2,IFERROR(FIND(".",UPPER(TRIM($DZ989))),0)&lt;IFERROR(FIND("E",UPPER(TRIM($DZ989))),999)),ISNUMBER(VALUE(TRIM($DZ989)))),VALUE(TRIM($DZ989)),"")))),""))</f>
        <v/>
      </c>
      <c r="EB989">
        <f>IF($DM989=0,"",IF($L$18=0,"",IFERROR(IF(UPPER(TRIM(SUBSTITUTE(SUBSTITUTE(SUBSTITUTE(SUBSTITUTE(INDEX(PASTE_ALL,$DF989,$L$18)," "," "),CHAR(9)," "),CHAR(10)," "),CHAR(13)," ")))="READY","Ready",IF(UPPER(TRIM(SUBSTITUTE(SUBSTITUTE(SUBSTITUTE(SUBSTITUTE(INDEX(PASTE_ALL,$DF989,$L$18)," "," "),CHAR(9)," "),CHAR(10)," "),CHAR(13)," ")))="PM","PM",IF(OR(UPPER(TRIM(SUBSTITUTE(SUBSTITUTE(SUBSTITUTE(SUBSTITUTE(INDEX(PASTE_ALL,$DF989,$L$18)," "," "),CHAR(9)," "),CHAR(10)," "),CHAR(13)," ")))="OT",UPPER(TRIM(SUBSTITUTE(SUBSTITUTE(SUBSTITUTE(SUBSTITUTE(INDEX(PASTE_ALL,$DF989,$L$18)," "," "),CHAR(9)," "),CHAR(10)," "),CHAR(13)," ")))="OVERTIME",UPPER(TRIM(SUBSTITUTE(SUBSTITUTE(SUBSTITUTE(SUBSTITUTE(INDEX(PASTE_ALL,$DF989,$L$18)," "," "),CHAR(9)," "),CHAR(10)," "),CHAR(13)," ")))="TRIAL"),"OT",TRIM(SUBSTITUTE(SUBSTITUTE(SUBSTITUTE(SUBSTITUTE(INDEX(PASTE_ALL,$DF989,$L$18)," "," "),CHAR(9)," "),CHAR(10)," "),CHAR(13)," "))))),"")))</f>
        <v/>
      </c>
      <c r="EC989">
        <f>IF($DM989=0,"",IF($L$19=0,"",IFERROR(IF(ISNUMBER(INDEX(PASTE_ALL,$DF989,$L$19)),INDEX(PASTE_ALL,$DF989,$L$19),TRIM(SUBSTITUTE(SUBSTITUTE(SUBSTITUTE(SUBSTITUTE(INDEX(PASTE_ALL,$DF989,$L$19)," "," "),CHAR(9)," "),CHAR(10)," "),CHAR(13)," "))),"")))</f>
        <v/>
      </c>
      <c r="ED989">
        <f>IF($DM989=0,"",MATCH(1,INDEX(EXACT($DH$5:DH989,$DH989)*$DM$5:DM989,0),0))</f>
        <v/>
      </c>
      <c r="EE989">
        <f>IF($DM989=0,0,IF($ED989=$DE989,1,0))</f>
        <v/>
      </c>
      <c r="EF989">
        <f>EF988+$EE989</f>
        <v/>
      </c>
      <c r="EG989">
        <f>IF($DM989=0,"",INDEX($EF$5:$EF$1003,$ED989))</f>
        <v/>
      </c>
      <c r="EH989">
        <f>IF($DM989=0,"",IF($DO989&lt;&gt;"","",IFERROR(LOOKUP(2,1/(($EG$4:EG988=$EG989)*($DO$4:DO988&lt;&gt;"")),$DO$4:DO988),"")))</f>
        <v/>
      </c>
      <c r="EI989">
        <f>IF($DM989=0,"",IF($DO989&lt;&gt;"",$DO989,$EH989))</f>
        <v/>
      </c>
      <c r="EJ989">
        <f>IF($DM989=0,"",IF($EI989="",0,IF(OR(ISNUMBER($EI989),AND(AND(SUBSTITUTE(SUBSTITUTE(SUBSTITUTE(SUBSTITUTE(SUBSTITUTE(SUBSTITUTE(SUBSTITUTE(SUBSTITUTE(SUBSTITUTE(SUBSTITUTE(SUBSTITUTE(SUBSTITUTE(SUBSTITUTE(SUBSTITUTE(UPPER($EI989),"0",""),"1",""),"2",""),"3",""),"4",""),"5",""),"6",""),"7",""),"8",""),"9",""),".",""),"+",""),"-",""),"E","")="",LEN(SUBSTITUTE(SUBSTITUTE(MID(UPPER($EI989),1+OR(LEFT(UPPER($EI989),1)="+",LEFT(UPPER($EI989),1)="-"),999),"E+","E"),"E-","E"))=LEN(SUBSTITUTE(SUBSTITUTE(SUBSTITUTE(SUBSTITUTE(MID(UPPER($EI989),1+OR(LEFT(UPPER($EI989),1)="+",LEFT(UPPER($EI989),1)="-"),999),"E+","E"),"E-","E"),"+",""),"-","")),LEN(UPPER($EI989))-LEN(SUBSTITUTE(UPPER($EI989),"E",""))&lt;2,LEN(UPPER($EI989))-LEN(SUBSTITUTE(UPPER($EI989),".",""))&lt;2,IFERROR(FIND(".",UPPER($EI989)),0)&lt;IFERROR(FIND("E",UPPER($EI989)),999)),ISNUMBER(VALUE($EI989)))),1,2)))</f>
        <v/>
      </c>
      <c r="EK989">
        <f>IF($DM989=0,"",IF($EJ989=1,IF(ISNUMBER($EI989),$EI989,VALUE($EI989)),IF($EJ989=2,$DE989,0)))</f>
        <v/>
      </c>
      <c r="EL989">
        <f>IF($DM989=0,"",COUNTIF($EG$5:$EG$1003,"&lt;"&amp;$EG989)+SUMPRODUCT(($EG$5:$EG$1003=$EG989)*(($EJ$5:$EJ$1003&lt;$EJ989)+($EJ$5:$EJ$1003=$EJ989)*(($EK$5:$EK$1003&lt;$EK989)+($EK$5:$EK$1003=$EK989)*($DE$5:$DE$1003&lt;$DE989))))+1)</f>
        <v/>
      </c>
      <c r="EM989">
        <f>IF($DM989=0,"",$EL989+$EG989-1)</f>
        <v/>
      </c>
      <c r="EN989">
        <f>IF($DM989=0,0,IFERROR(MATCH(1,INDEX(--(TRIM(SUBSTITUTE(SUBSTITUTE(SUBSTITUTE(SUBSTITUTE(LINES_NAME&amp;""," "," "),CHAR(9)," "),CHAR(10)," "),CHAR(13)," "))=$DH989),0),0),0))</f>
        <v/>
      </c>
      <c r="EO989">
        <f>IF($EN989=0,0,IF(OR(UPPER(TRIM(INDEX(LINES_SCHEDULED,$EN989)&amp;""))="YES",UPPER(TRIM(INDEX(LINES_SCHEDULED,$EN989)&amp;""))="Y",UPPER(TRIM(INDEX(LINES_SCHEDULED,$EN989)&amp;""))="X"),1,0))</f>
        <v/>
      </c>
      <c r="EP989">
        <f>IF($DM989=0,"",IF(COUNTIFS($EG$5:$EG$1003,$EG989,$EB$5:$EB$1003,"Ready")&gt;0,"READY",IF(COUNTIFS($EG$5:$EG$1003,$EG989,$EB$5:$EB$1003,"PM")&gt;0,"PM",IF(COUNTIFS($EG$5:$EG$1003,$EG989,$EB$5:$EB$1003,"OT")&gt;0,"OT",""))))</f>
        <v/>
      </c>
      <c r="EQ989">
        <f>IF($EN989=0,"",UPPER(TRIM(INDEX(LINES_STATUS,$EN989)&amp;"")))</f>
        <v/>
      </c>
      <c r="ER989">
        <f>IF($DM989=0,"",IF(OR($EQ989="READY",$EQ989="PM",$EQ989="OT"),$EQ989,$EP989))</f>
        <v/>
      </c>
      <c r="ES989">
        <f>IF($DM989=0,"",IF(AND($DV989&lt;&gt;"",UPPER($DV989)&lt;&gt;"N"),"allergen",IF(ISNUMBER(SEARCH("oil",$DQ989)),"oil",IF(OR(EXACT($DS989,"A662"),EXACT($DS989,"A624")),"bulk",""))))</f>
        <v/>
      </c>
      <c r="ET989">
        <f>IF($DM989=0,"",IF(OR($EA989="",$EA989=0),"",$EA989/100))</f>
        <v/>
      </c>
      <c r="EU989">
        <f>IF(OR($ET989="",$DY989=""),"",INT($DY989*(1-$ET989)+0.5))</f>
        <v/>
      </c>
    </row>
    <row r="990">
      <c r="DA990" t="n">
        <v>986</v>
      </c>
      <c r="DB990">
        <f>IF($B$37=0,"",IFERROR(TRIM(SUBSTITUTE(SUBSTITUTE(SUBSTITUTE(SUBSTITUTE(INDEX(PASTE_ALL,986,$B$37)," "," "),CHAR(9)," "),CHAR(10)," "),CHAR(13)," ")),""))</f>
        <v/>
      </c>
      <c r="DC990">
        <f>IF(AND(986&gt;HEADER_ROW,UPPER(DB990)="LEGEND"),1,0)</f>
        <v/>
      </c>
      <c r="DE990" t="n">
        <v>986</v>
      </c>
      <c r="DF990">
        <f>HEADER_ROW+$DE990</f>
        <v/>
      </c>
      <c r="DG990">
        <f>IF(AND($DF990&lt;=1000,$DF990&lt;$B$8),1,0)</f>
        <v/>
      </c>
      <c r="DH990">
        <f>IF($DG990=1,IFERROR(INDEX($DB$5:$DB$1004,$DF990),""),"")</f>
        <v/>
      </c>
      <c r="DI990">
        <f>IF(AND($DG990=1,$DH990&lt;&gt;""),IFERROR(SUBSTITUTE(SUBSTITUTE(TRIM(SUBSTITUTE(SUBSTITUTE(SUBSTITUTE(SUBSTITUTE(IFERROR(INDEX(PASTE_ALL,$DF990,1)&amp;"","")&amp;"␟"&amp;IFERROR(INDEX(PASTE_ALL,$DF990,2)&amp;"","")&amp;"␟"&amp;IFERROR(INDEX(PASTE_ALL,$DF990,3)&amp;"","")&amp;"␟"&amp;IFERROR(INDEX(PASTE_ALL,$DF990,4)&amp;"","")&amp;"␟"&amp;IFERROR(INDEX(PASTE_ALL,$DF990,5)&amp;"","")&amp;"␟"&amp;IFERROR(INDEX(PASTE_ALL,$DF990,6)&amp;"","")&amp;"␟"&amp;IFERROR(INDEX(PASTE_ALL,$DF990,7)&amp;"","")&amp;"␟"&amp;IFERROR(INDEX(PASTE_ALL,$DF990,8)&amp;"","")&amp;"␟"&amp;IFERROR(INDEX(PASTE_ALL,$DF990,9)&amp;"","")&amp;"␟"&amp;IFERROR(INDEX(PASTE_ALL,$DF990,10)&amp;"","")&amp;"␟"&amp;IFERROR(INDEX(PASTE_ALL,$DF990,11)&amp;"","")&amp;"␟"&amp;IFERROR(INDEX(PASTE_ALL,$DF990,12)&amp;"","")&amp;"␟"&amp;IFERROR(INDEX(PASTE_ALL,$DF990,13)&amp;"","")&amp;"␟"&amp;IFERROR(INDEX(PASTE_ALL,$DF990,14)&amp;"","")&amp;"␟"&amp;IFERROR(INDEX(PASTE_ALL,$DF990,15)&amp;"","")&amp;"␟"&amp;IFERROR(INDEX(PASTE_ALL,$DF990,16)&amp;"","")&amp;"␟"&amp;IFERROR(INDEX(PASTE_ALL,$DF990,17)&amp;"","")&amp;"␟"&amp;IFERROR(INDEX(PASTE_ALL,$DF990,18)&amp;"","")&amp;"␟"&amp;IFERROR(INDEX(PASTE_ALL,$DF990,19)&amp;"","")&amp;"␟"&amp;IFERROR(INDEX(PASTE_ALL,$DF990,20)&amp;"","")&amp;"␟"&amp;IFERROR(INDEX(PASTE_ALL,$DF990,21)&amp;"","")&amp;"␟"&amp;IFERROR(INDEX(PASTE_ALL,$DF990,22)&amp;"","")&amp;"␟"&amp;IFERROR(INDEX(PASTE_ALL,$DF990,23)&amp;"","")&amp;"␟"&amp;IFERROR(INDEX(PASTE_ALL,$DF990,24)&amp;"","")&amp;"␟"&amp;IFERROR(INDEX(PASTE_ALL,$DF990,25)&amp;"","")&amp;"␟"&amp;IFERROR(INDEX(PASTE_ALL,$DF990,26)&amp;"","")&amp;"␟"&amp;IFERROR(INDEX(PASTE_ALL,$DF990,27)&amp;"","")&amp;"␟"&amp;IFERROR(INDEX(PASTE_ALL,$DF990,28)&amp;"","")&amp;"␟"&amp;IFERROR(INDEX(PASTE_ALL,$DF990,29)&amp;"","")&amp;"␟"&amp;IFERROR(INDEX(PASTE_ALL,$DF990,30)&amp;"","")&amp;"␟"&amp;IFERROR(INDEX(PASTE_ALL,$DF990,31)&amp;"","")&amp;"␟"&amp;IFERROR(INDEX(PASTE_ALL,$DF990,32)&amp;"","")&amp;"␟"&amp;IFERROR(INDEX(PASTE_ALL,$DF990,33)&amp;"","")&amp;"␟"&amp;IFERROR(INDEX(PASTE_ALL,$DF990,34)&amp;"","")&amp;"␟"&amp;IFERROR(INDEX(PASTE_ALL,$DF990,35)&amp;"","")&amp;"␟"&amp;IFERROR(INDEX(PASTE_ALL,$DF990,36)&amp;"","")&amp;"␟"&amp;IFERROR(INDEX(PASTE_ALL,$DF990,37)&amp;"","")&amp;"␟"&amp;IFERROR(INDEX(PASTE_ALL,$DF990,38)&amp;"","")&amp;"␟"&amp;IFERROR(INDEX(PASTE_ALL,$DF990,39)&amp;"","")&amp;"␟"&amp;IFERROR(INDEX(PASTE_ALL,$DF990,40)&amp;"","")&amp;"␟"&amp;IFERROR(INDEX(PASTE_ALL,$DF990,41)&amp;"","")&amp;"␟"&amp;IFERROR(INDEX(PASTE_ALL,$DF990,42)&amp;"","")&amp;"␟"&amp;IFERROR(INDEX(PASTE_ALL,$DF990,43)&amp;"","")&amp;"␟"&amp;IFERROR(INDEX(PASTE_ALL,$DF990,44)&amp;"","")&amp;"␟"&amp;IFERROR(INDEX(PASTE_ALL,$DF990,45)&amp;"","")&amp;"␟"&amp;IFERROR(INDEX(PASTE_ALL,$DF990,46)&amp;"","")&amp;"␟"&amp;IFERROR(INDEX(PASTE_ALL,$DF990,47)&amp;"","")&amp;"␟"&amp;IFERROR(INDEX(PASTE_ALL,$DF990,48)&amp;"","")&amp;"␟"&amp;IFERROR(INDEX(PASTE_ALL,$DF990,49)&amp;"","")&amp;"␟"&amp;IFERROR(INDEX(PASTE_ALL,$DF990,50)&amp;"","")&amp;"␟"&amp;IFERROR(INDEX(PASTE_ALL,$DF990,51)&amp;"","")&amp;"␟"&amp;IFERROR(INDEX(PASTE_ALL,$DF990,52)&amp;"","")&amp;"␟"&amp;IFERROR(INDEX(PASTE_ALL,$DF990,53)&amp;"","")&amp;"␟"&amp;IFERROR(INDEX(PASTE_ALL,$DF990,54)&amp;"","")&amp;"␟"&amp;IFERROR(INDEX(PASTE_ALL,$DF990,55)&amp;"","")&amp;"␟"&amp;IFERROR(INDEX(PASTE_ALL,$DF990,56)&amp;"","")&amp;"␟"&amp;IFERROR(INDEX(PASTE_ALL,$DF990,57)&amp;"","")&amp;"␟"&amp;IFERROR(INDEX(PASTE_ALL,$DF990,58)&amp;"","")&amp;"␟"&amp;IFERROR(INDEX(PASTE_ALL,$DF990,59)&amp;"","")&amp;"␟"&amp;IFERROR(INDEX(PASTE_ALL,$DF990,60)&amp;"","")," "," "),CHAR(9)," "),CHAR(10)," "),CHAR(13)," "))," ␟","␟"),"␟ ","␟"),"#"&amp;$DE990),"")</f>
        <v/>
      </c>
      <c r="DJ990">
        <f>IF($DI990="",0,IF(SUMPRODUCT(--EXACT($DI$4:DI989,$DI990))&gt;0,1,0))</f>
        <v/>
      </c>
      <c r="DK990">
        <f>IF(AND($DI990&lt;&gt;"",$DJ990=0),1,0)</f>
        <v/>
      </c>
      <c r="DL990">
        <f>DL989+$DK990</f>
        <v/>
      </c>
      <c r="DM990">
        <f>IF(AND($DK990=1,$DL990&lt;=600),1,0)</f>
        <v/>
      </c>
      <c r="DN990">
        <f>IF($DM990=0,"",IF($L$6=0,"",IFERROR(IF(ISNUMBER(INDEX(PASTE_ALL,$DF990,$L$6)),INDEX(PASTE_ALL,$DF990,$L$6),TRIM(SUBSTITUTE(SUBSTITUTE(SUBSTITUTE(SUBSTITUTE(INDEX(PASTE_ALL,$DF990,$L$6)," "," "),CHAR(9)," "),CHAR(10)," "),CHAR(13)," "))),"")))</f>
        <v/>
      </c>
      <c r="DO990">
        <f>IF($DM990=0,"",IF($L$7=0,"",IFERROR(IF(ISNUMBER(INDEX(PASTE_ALL,$DF990,$L$7)),INDEX(PASTE_ALL,$DF990,$L$7),TRIM(SUBSTITUTE(SUBSTITUTE(SUBSTITUTE(SUBSTITUTE(INDEX(PASTE_ALL,$DF990,$L$7)," "," "),CHAR(9)," "),CHAR(10)," "),CHAR(13)," "))),"")))</f>
        <v/>
      </c>
      <c r="DP990">
        <f>IF($DM990=0,"",IF($L$8=0,"",IFERROR(IF(ISNUMBER(INDEX(PASTE_ALL,$DF990,$L$8)),INDEX(PASTE_ALL,$DF990,$L$8),TRIM(SUBSTITUTE(SUBSTITUTE(SUBSTITUTE(SUBSTITUTE(INDEX(PASTE_ALL,$DF990,$L$8)," "," "),CHAR(9)," "),CHAR(10)," "),CHAR(13)," "))),"")))</f>
        <v/>
      </c>
      <c r="DQ990">
        <f>IF($DM990=0,"",IF($L$9=0,"",IFERROR(IF(ISNUMBER(INDEX(PASTE_ALL,$DF990,$L$9)),INDEX(PASTE_ALL,$DF990,$L$9),TRIM(SUBSTITUTE(SUBSTITUTE(SUBSTITUTE(SUBSTITUTE(INDEX(PASTE_ALL,$DF990,$L$9)," "," "),CHAR(9)," "),CHAR(10)," "),CHAR(13)," "))),"")))</f>
        <v/>
      </c>
      <c r="DR990">
        <f>IF($DM990=0,"",IF($L$10=0,"",IFERROR(IF(ISNUMBER(INDEX(PASTE_ALL,$DF990,$L$10)),INDEX(PASTE_ALL,$DF990,$L$10),TRIM(SUBSTITUTE(SUBSTITUTE(SUBSTITUTE(SUBSTITUTE(INDEX(PASTE_ALL,$DF990,$L$10)," "," "),CHAR(9)," "),CHAR(10)," "),CHAR(13)," "))),"")))</f>
        <v/>
      </c>
      <c r="DS990">
        <f>IF($DM990=0,"",IF($L$11=0,"",IFERROR(IF(ISNUMBER(INDEX(PASTE_ALL,$DF990,$L$11)),INDEX(PASTE_ALL,$DF990,$L$11),TRIM(SUBSTITUTE(SUBSTITUTE(SUBSTITUTE(SUBSTITUTE(INDEX(PASTE_ALL,$DF990,$L$11)," "," "),CHAR(9)," "),CHAR(10)," "),CHAR(13)," "))),"")))</f>
        <v/>
      </c>
      <c r="DT990">
        <f>IF($DM990=0,"",IF($L$12=0,"",IFERROR(IF(ISNUMBER(INDEX(PASTE_ALL,$DF990,$L$12)),INDEX(PASTE_ALL,$DF990,$L$12),TRIM(SUBSTITUTE(SUBSTITUTE(SUBSTITUTE(SUBSTITUTE(INDEX(PASTE_ALL,$DF990,$L$12)," "," "),CHAR(9)," "),CHAR(10)," "),CHAR(13)," "))),"")))</f>
        <v/>
      </c>
      <c r="DU990">
        <f>IF($DM990=0,"",IF($L$13=0,"",IFERROR(IF(ISNUMBER(INDEX(PASTE_ALL,$DF990,$L$13)),INDEX(PASTE_ALL,$DF990,$L$13),TRIM(SUBSTITUTE(SUBSTITUTE(SUBSTITUTE(SUBSTITUTE(INDEX(PASTE_ALL,$DF990,$L$13)," "," "),CHAR(9)," "),CHAR(10)," "),CHAR(13)," "))),"")))</f>
        <v/>
      </c>
      <c r="DV990">
        <f>IF($DM990=0,"",IF($L$14=0,"",IFERROR(IF(ISNUMBER(INDEX(PASTE_ALL,$DF990,$L$14)),INDEX(PASTE_ALL,$DF990,$L$14),TRIM(SUBSTITUTE(SUBSTITUTE(SUBSTITUTE(SUBSTITUTE(INDEX(PASTE_ALL,$DF990,$L$14)," "," "),CHAR(9)," "),CHAR(10)," "),CHAR(13)," "))),"")))</f>
        <v/>
      </c>
      <c r="DW990">
        <f>IF($DM990=0,"",IF($L$15=0,"",IFERROR(IF(ISNUMBER(INDEX(PASTE_ALL,$DF990,$L$15)),INDEX(PASTE_ALL,$DF990,$L$15),IF(SUMPRODUCT(--ISNUMBER(FIND({"A","B","C","D","E","F","G","H","I","J","K","L","M","N","O","P","Q","R","S","T","U","V","W","X","Y","Z","0","1","2","3","4","5","6","7","8","9"},UPPER(TRIM(SUBSTITUTE(SUBSTITUTE(SUBSTITUTE(SUBSTITUTE(INDEX(PASTE_ALL,$DF990,$L$15)," "," "),CHAR(9)," "),CHAR(10)," "),CHAR(13)," "))))))&gt;0,TRIM(SUBSTITUTE(SUBSTITUTE(SUBSTITUTE(SUBSTITUTE(INDEX(PASTE_ALL,$DF990,$L$15)," "," "),CHAR(9)," "),CHAR(10)," "),CHAR(13)," ")),"")),"")))</f>
        <v/>
      </c>
      <c r="DX990">
        <f>IF($DM990=0,"",IF($L$16=0,"",IFERROR(IF(ISNUMBER(INDEX(PASTE_ALL,$DF990,$L$16)),INDEX(PASTE_ALL,$DF990,$L$16),SUBSTITUTE(SUBSTITUTE(TRIM(SUBSTITUTE(SUBSTITUTE(SUBSTITUTE(SUBSTITUTE(INDEX(PASTE_ALL,$DF990,$L$16)," "," "),CHAR(9)," "),CHAR(10)," "),CHAR(13)," ")),",",""),"%","")),"")))</f>
        <v/>
      </c>
      <c r="DY990">
        <f>IF($DM990=0,"",IFERROR(IF(ISNUMBER($DX990),$DX990,IF($DX990="","",IF(TRIM($DX990)="",0,IF(AND(AND(SUBSTITUTE(SUBSTITUTE(SUBSTITUTE(SUBSTITUTE(SUBSTITUTE(SUBSTITUTE(SUBSTITUTE(SUBSTITUTE(SUBSTITUTE(SUBSTITUTE(SUBSTITUTE(SUBSTITUTE(SUBSTITUTE(SUBSTITUTE(UPPER(TRIM($DX990)),"0",""),"1",""),"2",""),"3",""),"4",""),"5",""),"6",""),"7",""),"8",""),"9",""),".",""),"+",""),"-",""),"E","")="",LEN(SUBSTITUTE(SUBSTITUTE(MID(UPPER(TRIM($DX990)),1+OR(LEFT(UPPER(TRIM($DX990)),1)="+",LEFT(UPPER(TRIM($DX990)),1)="-"),999),"E+","E"),"E-","E"))=LEN(SUBSTITUTE(SUBSTITUTE(SUBSTITUTE(SUBSTITUTE(MID(UPPER(TRIM($DX990)),1+OR(LEFT(UPPER(TRIM($DX990)),1)="+",LEFT(UPPER(TRIM($DX990)),1)="-"),999),"E+","E"),"E-","E"),"+",""),"-","")),LEN(UPPER(TRIM($DX990)))-LEN(SUBSTITUTE(UPPER(TRIM($DX990)),"E",""))&lt;2,LEN(UPPER(TRIM($DX990)))-LEN(SUBSTITUTE(UPPER(TRIM($DX990)),".",""))&lt;2,IFERROR(FIND(".",UPPER(TRIM($DX990))),0)&lt;IFERROR(FIND("E",UPPER(TRIM($DX990))),999)),ISNUMBER(VALUE(TRIM($DX990)))),VALUE(TRIM($DX990)),"")))),""))</f>
        <v/>
      </c>
      <c r="DZ990">
        <f>IF($DM990=0,"",IF($L$17=0,"",IFERROR(IF(ISNUMBER(INDEX(PASTE_ALL,$DF990,$L$17)),INDEX(PASTE_ALL,$DF990,$L$17),SUBSTITUTE(SUBSTITUTE(TRIM(SUBSTITUTE(SUBSTITUTE(SUBSTITUTE(SUBSTITUTE(INDEX(PASTE_ALL,$DF990,$L$17)," "," "),CHAR(9)," "),CHAR(10)," "),CHAR(13)," ")),",",""),"%","")),"")))</f>
        <v/>
      </c>
      <c r="EA990">
        <f>IF($DM990=0,"",IFERROR(IF(ISNUMBER($DZ990),$DZ990,IF($DZ990="","",IF(TRIM($DZ990)="",0,IF(AND(AND(SUBSTITUTE(SUBSTITUTE(SUBSTITUTE(SUBSTITUTE(SUBSTITUTE(SUBSTITUTE(SUBSTITUTE(SUBSTITUTE(SUBSTITUTE(SUBSTITUTE(SUBSTITUTE(SUBSTITUTE(SUBSTITUTE(SUBSTITUTE(UPPER(TRIM($DZ990)),"0",""),"1",""),"2",""),"3",""),"4",""),"5",""),"6",""),"7",""),"8",""),"9",""),".",""),"+",""),"-",""),"E","")="",LEN(SUBSTITUTE(SUBSTITUTE(MID(UPPER(TRIM($DZ990)),1+OR(LEFT(UPPER(TRIM($DZ990)),1)="+",LEFT(UPPER(TRIM($DZ990)),1)="-"),999),"E+","E"),"E-","E"))=LEN(SUBSTITUTE(SUBSTITUTE(SUBSTITUTE(SUBSTITUTE(MID(UPPER(TRIM($DZ990)),1+OR(LEFT(UPPER(TRIM($DZ990)),1)="+",LEFT(UPPER(TRIM($DZ990)),1)="-"),999),"E+","E"),"E-","E"),"+",""),"-","")),LEN(UPPER(TRIM($DZ990)))-LEN(SUBSTITUTE(UPPER(TRIM($DZ990)),"E",""))&lt;2,LEN(UPPER(TRIM($DZ990)))-LEN(SUBSTITUTE(UPPER(TRIM($DZ990)),".",""))&lt;2,IFERROR(FIND(".",UPPER(TRIM($DZ990))),0)&lt;IFERROR(FIND("E",UPPER(TRIM($DZ990))),999)),ISNUMBER(VALUE(TRIM($DZ990)))),VALUE(TRIM($DZ990)),"")))),""))</f>
        <v/>
      </c>
      <c r="EB990">
        <f>IF($DM990=0,"",IF($L$18=0,"",IFERROR(IF(UPPER(TRIM(SUBSTITUTE(SUBSTITUTE(SUBSTITUTE(SUBSTITUTE(INDEX(PASTE_ALL,$DF990,$L$18)," "," "),CHAR(9)," "),CHAR(10)," "),CHAR(13)," ")))="READY","Ready",IF(UPPER(TRIM(SUBSTITUTE(SUBSTITUTE(SUBSTITUTE(SUBSTITUTE(INDEX(PASTE_ALL,$DF990,$L$18)," "," "),CHAR(9)," "),CHAR(10)," "),CHAR(13)," ")))="PM","PM",IF(OR(UPPER(TRIM(SUBSTITUTE(SUBSTITUTE(SUBSTITUTE(SUBSTITUTE(INDEX(PASTE_ALL,$DF990,$L$18)," "," "),CHAR(9)," "),CHAR(10)," "),CHAR(13)," ")))="OT",UPPER(TRIM(SUBSTITUTE(SUBSTITUTE(SUBSTITUTE(SUBSTITUTE(INDEX(PASTE_ALL,$DF990,$L$18)," "," "),CHAR(9)," "),CHAR(10)," "),CHAR(13)," ")))="OVERTIME",UPPER(TRIM(SUBSTITUTE(SUBSTITUTE(SUBSTITUTE(SUBSTITUTE(INDEX(PASTE_ALL,$DF990,$L$18)," "," "),CHAR(9)," "),CHAR(10)," "),CHAR(13)," ")))="TRIAL"),"OT",TRIM(SUBSTITUTE(SUBSTITUTE(SUBSTITUTE(SUBSTITUTE(INDEX(PASTE_ALL,$DF990,$L$18)," "," "),CHAR(9)," "),CHAR(10)," "),CHAR(13)," "))))),"")))</f>
        <v/>
      </c>
      <c r="EC990">
        <f>IF($DM990=0,"",IF($L$19=0,"",IFERROR(IF(ISNUMBER(INDEX(PASTE_ALL,$DF990,$L$19)),INDEX(PASTE_ALL,$DF990,$L$19),TRIM(SUBSTITUTE(SUBSTITUTE(SUBSTITUTE(SUBSTITUTE(INDEX(PASTE_ALL,$DF990,$L$19)," "," "),CHAR(9)," "),CHAR(10)," "),CHAR(13)," "))),"")))</f>
        <v/>
      </c>
      <c r="ED990">
        <f>IF($DM990=0,"",MATCH(1,INDEX(EXACT($DH$5:DH990,$DH990)*$DM$5:DM990,0),0))</f>
        <v/>
      </c>
      <c r="EE990">
        <f>IF($DM990=0,0,IF($ED990=$DE990,1,0))</f>
        <v/>
      </c>
      <c r="EF990">
        <f>EF989+$EE990</f>
        <v/>
      </c>
      <c r="EG990">
        <f>IF($DM990=0,"",INDEX($EF$5:$EF$1003,$ED990))</f>
        <v/>
      </c>
      <c r="EH990">
        <f>IF($DM990=0,"",IF($DO990&lt;&gt;"","",IFERROR(LOOKUP(2,1/(($EG$4:EG989=$EG990)*($DO$4:DO989&lt;&gt;"")),$DO$4:DO989),"")))</f>
        <v/>
      </c>
      <c r="EI990">
        <f>IF($DM990=0,"",IF($DO990&lt;&gt;"",$DO990,$EH990))</f>
        <v/>
      </c>
      <c r="EJ990">
        <f>IF($DM990=0,"",IF($EI990="",0,IF(OR(ISNUMBER($EI990),AND(AND(SUBSTITUTE(SUBSTITUTE(SUBSTITUTE(SUBSTITUTE(SUBSTITUTE(SUBSTITUTE(SUBSTITUTE(SUBSTITUTE(SUBSTITUTE(SUBSTITUTE(SUBSTITUTE(SUBSTITUTE(SUBSTITUTE(SUBSTITUTE(UPPER($EI990),"0",""),"1",""),"2",""),"3",""),"4",""),"5",""),"6",""),"7",""),"8",""),"9",""),".",""),"+",""),"-",""),"E","")="",LEN(SUBSTITUTE(SUBSTITUTE(MID(UPPER($EI990),1+OR(LEFT(UPPER($EI990),1)="+",LEFT(UPPER($EI990),1)="-"),999),"E+","E"),"E-","E"))=LEN(SUBSTITUTE(SUBSTITUTE(SUBSTITUTE(SUBSTITUTE(MID(UPPER($EI990),1+OR(LEFT(UPPER($EI990),1)="+",LEFT(UPPER($EI990),1)="-"),999),"E+","E"),"E-","E"),"+",""),"-","")),LEN(UPPER($EI990))-LEN(SUBSTITUTE(UPPER($EI990),"E",""))&lt;2,LEN(UPPER($EI990))-LEN(SUBSTITUTE(UPPER($EI990),".",""))&lt;2,IFERROR(FIND(".",UPPER($EI990)),0)&lt;IFERROR(FIND("E",UPPER($EI990)),999)),ISNUMBER(VALUE($EI990)))),1,2)))</f>
        <v/>
      </c>
      <c r="EK990">
        <f>IF($DM990=0,"",IF($EJ990=1,IF(ISNUMBER($EI990),$EI990,VALUE($EI990)),IF($EJ990=2,$DE990,0)))</f>
        <v/>
      </c>
      <c r="EL990">
        <f>IF($DM990=0,"",COUNTIF($EG$5:$EG$1003,"&lt;"&amp;$EG990)+SUMPRODUCT(($EG$5:$EG$1003=$EG990)*(($EJ$5:$EJ$1003&lt;$EJ990)+($EJ$5:$EJ$1003=$EJ990)*(($EK$5:$EK$1003&lt;$EK990)+($EK$5:$EK$1003=$EK990)*($DE$5:$DE$1003&lt;$DE990))))+1)</f>
        <v/>
      </c>
      <c r="EM990">
        <f>IF($DM990=0,"",$EL990+$EG990-1)</f>
        <v/>
      </c>
      <c r="EN990">
        <f>IF($DM990=0,0,IFERROR(MATCH(1,INDEX(--(TRIM(SUBSTITUTE(SUBSTITUTE(SUBSTITUTE(SUBSTITUTE(LINES_NAME&amp;""," "," "),CHAR(9)," "),CHAR(10)," "),CHAR(13)," "))=$DH990),0),0),0))</f>
        <v/>
      </c>
      <c r="EO990">
        <f>IF($EN990=0,0,IF(OR(UPPER(TRIM(INDEX(LINES_SCHEDULED,$EN990)&amp;""))="YES",UPPER(TRIM(INDEX(LINES_SCHEDULED,$EN990)&amp;""))="Y",UPPER(TRIM(INDEX(LINES_SCHEDULED,$EN990)&amp;""))="X"),1,0))</f>
        <v/>
      </c>
      <c r="EP990">
        <f>IF($DM990=0,"",IF(COUNTIFS($EG$5:$EG$1003,$EG990,$EB$5:$EB$1003,"Ready")&gt;0,"READY",IF(COUNTIFS($EG$5:$EG$1003,$EG990,$EB$5:$EB$1003,"PM")&gt;0,"PM",IF(COUNTIFS($EG$5:$EG$1003,$EG990,$EB$5:$EB$1003,"OT")&gt;0,"OT",""))))</f>
        <v/>
      </c>
      <c r="EQ990">
        <f>IF($EN990=0,"",UPPER(TRIM(INDEX(LINES_STATUS,$EN990)&amp;"")))</f>
        <v/>
      </c>
      <c r="ER990">
        <f>IF($DM990=0,"",IF(OR($EQ990="READY",$EQ990="PM",$EQ990="OT"),$EQ990,$EP990))</f>
        <v/>
      </c>
      <c r="ES990">
        <f>IF($DM990=0,"",IF(AND($DV990&lt;&gt;"",UPPER($DV990)&lt;&gt;"N"),"allergen",IF(ISNUMBER(SEARCH("oil",$DQ990)),"oil",IF(OR(EXACT($DS990,"A662"),EXACT($DS990,"A624")),"bulk",""))))</f>
        <v/>
      </c>
      <c r="ET990">
        <f>IF($DM990=0,"",IF(OR($EA990="",$EA990=0),"",$EA990/100))</f>
        <v/>
      </c>
      <c r="EU990">
        <f>IF(OR($ET990="",$DY990=""),"",INT($DY990*(1-$ET990)+0.5))</f>
        <v/>
      </c>
    </row>
    <row r="991">
      <c r="DA991" t="n">
        <v>987</v>
      </c>
      <c r="DB991">
        <f>IF($B$37=0,"",IFERROR(TRIM(SUBSTITUTE(SUBSTITUTE(SUBSTITUTE(SUBSTITUTE(INDEX(PASTE_ALL,987,$B$37)," "," "),CHAR(9)," "),CHAR(10)," "),CHAR(13)," ")),""))</f>
        <v/>
      </c>
      <c r="DC991">
        <f>IF(AND(987&gt;HEADER_ROW,UPPER(DB991)="LEGEND"),1,0)</f>
        <v/>
      </c>
      <c r="DE991" t="n">
        <v>987</v>
      </c>
      <c r="DF991">
        <f>HEADER_ROW+$DE991</f>
        <v/>
      </c>
      <c r="DG991">
        <f>IF(AND($DF991&lt;=1000,$DF991&lt;$B$8),1,0)</f>
        <v/>
      </c>
      <c r="DH991">
        <f>IF($DG991=1,IFERROR(INDEX($DB$5:$DB$1004,$DF991),""),"")</f>
        <v/>
      </c>
      <c r="DI991">
        <f>IF(AND($DG991=1,$DH991&lt;&gt;""),IFERROR(SUBSTITUTE(SUBSTITUTE(TRIM(SUBSTITUTE(SUBSTITUTE(SUBSTITUTE(SUBSTITUTE(IFERROR(INDEX(PASTE_ALL,$DF991,1)&amp;"","")&amp;"␟"&amp;IFERROR(INDEX(PASTE_ALL,$DF991,2)&amp;"","")&amp;"␟"&amp;IFERROR(INDEX(PASTE_ALL,$DF991,3)&amp;"","")&amp;"␟"&amp;IFERROR(INDEX(PASTE_ALL,$DF991,4)&amp;"","")&amp;"␟"&amp;IFERROR(INDEX(PASTE_ALL,$DF991,5)&amp;"","")&amp;"␟"&amp;IFERROR(INDEX(PASTE_ALL,$DF991,6)&amp;"","")&amp;"␟"&amp;IFERROR(INDEX(PASTE_ALL,$DF991,7)&amp;"","")&amp;"␟"&amp;IFERROR(INDEX(PASTE_ALL,$DF991,8)&amp;"","")&amp;"␟"&amp;IFERROR(INDEX(PASTE_ALL,$DF991,9)&amp;"","")&amp;"␟"&amp;IFERROR(INDEX(PASTE_ALL,$DF991,10)&amp;"","")&amp;"␟"&amp;IFERROR(INDEX(PASTE_ALL,$DF991,11)&amp;"","")&amp;"␟"&amp;IFERROR(INDEX(PASTE_ALL,$DF991,12)&amp;"","")&amp;"␟"&amp;IFERROR(INDEX(PASTE_ALL,$DF991,13)&amp;"","")&amp;"␟"&amp;IFERROR(INDEX(PASTE_ALL,$DF991,14)&amp;"","")&amp;"␟"&amp;IFERROR(INDEX(PASTE_ALL,$DF991,15)&amp;"","")&amp;"␟"&amp;IFERROR(INDEX(PASTE_ALL,$DF991,16)&amp;"","")&amp;"␟"&amp;IFERROR(INDEX(PASTE_ALL,$DF991,17)&amp;"","")&amp;"␟"&amp;IFERROR(INDEX(PASTE_ALL,$DF991,18)&amp;"","")&amp;"␟"&amp;IFERROR(INDEX(PASTE_ALL,$DF991,19)&amp;"","")&amp;"␟"&amp;IFERROR(INDEX(PASTE_ALL,$DF991,20)&amp;"","")&amp;"␟"&amp;IFERROR(INDEX(PASTE_ALL,$DF991,21)&amp;"","")&amp;"␟"&amp;IFERROR(INDEX(PASTE_ALL,$DF991,22)&amp;"","")&amp;"␟"&amp;IFERROR(INDEX(PASTE_ALL,$DF991,23)&amp;"","")&amp;"␟"&amp;IFERROR(INDEX(PASTE_ALL,$DF991,24)&amp;"","")&amp;"␟"&amp;IFERROR(INDEX(PASTE_ALL,$DF991,25)&amp;"","")&amp;"␟"&amp;IFERROR(INDEX(PASTE_ALL,$DF991,26)&amp;"","")&amp;"␟"&amp;IFERROR(INDEX(PASTE_ALL,$DF991,27)&amp;"","")&amp;"␟"&amp;IFERROR(INDEX(PASTE_ALL,$DF991,28)&amp;"","")&amp;"␟"&amp;IFERROR(INDEX(PASTE_ALL,$DF991,29)&amp;"","")&amp;"␟"&amp;IFERROR(INDEX(PASTE_ALL,$DF991,30)&amp;"","")&amp;"␟"&amp;IFERROR(INDEX(PASTE_ALL,$DF991,31)&amp;"","")&amp;"␟"&amp;IFERROR(INDEX(PASTE_ALL,$DF991,32)&amp;"","")&amp;"␟"&amp;IFERROR(INDEX(PASTE_ALL,$DF991,33)&amp;"","")&amp;"␟"&amp;IFERROR(INDEX(PASTE_ALL,$DF991,34)&amp;"","")&amp;"␟"&amp;IFERROR(INDEX(PASTE_ALL,$DF991,35)&amp;"","")&amp;"␟"&amp;IFERROR(INDEX(PASTE_ALL,$DF991,36)&amp;"","")&amp;"␟"&amp;IFERROR(INDEX(PASTE_ALL,$DF991,37)&amp;"","")&amp;"␟"&amp;IFERROR(INDEX(PASTE_ALL,$DF991,38)&amp;"","")&amp;"␟"&amp;IFERROR(INDEX(PASTE_ALL,$DF991,39)&amp;"","")&amp;"␟"&amp;IFERROR(INDEX(PASTE_ALL,$DF991,40)&amp;"","")&amp;"␟"&amp;IFERROR(INDEX(PASTE_ALL,$DF991,41)&amp;"","")&amp;"␟"&amp;IFERROR(INDEX(PASTE_ALL,$DF991,42)&amp;"","")&amp;"␟"&amp;IFERROR(INDEX(PASTE_ALL,$DF991,43)&amp;"","")&amp;"␟"&amp;IFERROR(INDEX(PASTE_ALL,$DF991,44)&amp;"","")&amp;"␟"&amp;IFERROR(INDEX(PASTE_ALL,$DF991,45)&amp;"","")&amp;"␟"&amp;IFERROR(INDEX(PASTE_ALL,$DF991,46)&amp;"","")&amp;"␟"&amp;IFERROR(INDEX(PASTE_ALL,$DF991,47)&amp;"","")&amp;"␟"&amp;IFERROR(INDEX(PASTE_ALL,$DF991,48)&amp;"","")&amp;"␟"&amp;IFERROR(INDEX(PASTE_ALL,$DF991,49)&amp;"","")&amp;"␟"&amp;IFERROR(INDEX(PASTE_ALL,$DF991,50)&amp;"","")&amp;"␟"&amp;IFERROR(INDEX(PASTE_ALL,$DF991,51)&amp;"","")&amp;"␟"&amp;IFERROR(INDEX(PASTE_ALL,$DF991,52)&amp;"","")&amp;"␟"&amp;IFERROR(INDEX(PASTE_ALL,$DF991,53)&amp;"","")&amp;"␟"&amp;IFERROR(INDEX(PASTE_ALL,$DF991,54)&amp;"","")&amp;"␟"&amp;IFERROR(INDEX(PASTE_ALL,$DF991,55)&amp;"","")&amp;"␟"&amp;IFERROR(INDEX(PASTE_ALL,$DF991,56)&amp;"","")&amp;"␟"&amp;IFERROR(INDEX(PASTE_ALL,$DF991,57)&amp;"","")&amp;"␟"&amp;IFERROR(INDEX(PASTE_ALL,$DF991,58)&amp;"","")&amp;"␟"&amp;IFERROR(INDEX(PASTE_ALL,$DF991,59)&amp;"","")&amp;"␟"&amp;IFERROR(INDEX(PASTE_ALL,$DF991,60)&amp;"","")," "," "),CHAR(9)," "),CHAR(10)," "),CHAR(13)," "))," ␟","␟"),"␟ ","␟"),"#"&amp;$DE991),"")</f>
        <v/>
      </c>
      <c r="DJ991">
        <f>IF($DI991="",0,IF(SUMPRODUCT(--EXACT($DI$4:DI990,$DI991))&gt;0,1,0))</f>
        <v/>
      </c>
      <c r="DK991">
        <f>IF(AND($DI991&lt;&gt;"",$DJ991=0),1,0)</f>
        <v/>
      </c>
      <c r="DL991">
        <f>DL990+$DK991</f>
        <v/>
      </c>
      <c r="DM991">
        <f>IF(AND($DK991=1,$DL991&lt;=600),1,0)</f>
        <v/>
      </c>
      <c r="DN991">
        <f>IF($DM991=0,"",IF($L$6=0,"",IFERROR(IF(ISNUMBER(INDEX(PASTE_ALL,$DF991,$L$6)),INDEX(PASTE_ALL,$DF991,$L$6),TRIM(SUBSTITUTE(SUBSTITUTE(SUBSTITUTE(SUBSTITUTE(INDEX(PASTE_ALL,$DF991,$L$6)," "," "),CHAR(9)," "),CHAR(10)," "),CHAR(13)," "))),"")))</f>
        <v/>
      </c>
      <c r="DO991">
        <f>IF($DM991=0,"",IF($L$7=0,"",IFERROR(IF(ISNUMBER(INDEX(PASTE_ALL,$DF991,$L$7)),INDEX(PASTE_ALL,$DF991,$L$7),TRIM(SUBSTITUTE(SUBSTITUTE(SUBSTITUTE(SUBSTITUTE(INDEX(PASTE_ALL,$DF991,$L$7)," "," "),CHAR(9)," "),CHAR(10)," "),CHAR(13)," "))),"")))</f>
        <v/>
      </c>
      <c r="DP991">
        <f>IF($DM991=0,"",IF($L$8=0,"",IFERROR(IF(ISNUMBER(INDEX(PASTE_ALL,$DF991,$L$8)),INDEX(PASTE_ALL,$DF991,$L$8),TRIM(SUBSTITUTE(SUBSTITUTE(SUBSTITUTE(SUBSTITUTE(INDEX(PASTE_ALL,$DF991,$L$8)," "," "),CHAR(9)," "),CHAR(10)," "),CHAR(13)," "))),"")))</f>
        <v/>
      </c>
      <c r="DQ991">
        <f>IF($DM991=0,"",IF($L$9=0,"",IFERROR(IF(ISNUMBER(INDEX(PASTE_ALL,$DF991,$L$9)),INDEX(PASTE_ALL,$DF991,$L$9),TRIM(SUBSTITUTE(SUBSTITUTE(SUBSTITUTE(SUBSTITUTE(INDEX(PASTE_ALL,$DF991,$L$9)," "," "),CHAR(9)," "),CHAR(10)," "),CHAR(13)," "))),"")))</f>
        <v/>
      </c>
      <c r="DR991">
        <f>IF($DM991=0,"",IF($L$10=0,"",IFERROR(IF(ISNUMBER(INDEX(PASTE_ALL,$DF991,$L$10)),INDEX(PASTE_ALL,$DF991,$L$10),TRIM(SUBSTITUTE(SUBSTITUTE(SUBSTITUTE(SUBSTITUTE(INDEX(PASTE_ALL,$DF991,$L$10)," "," "),CHAR(9)," "),CHAR(10)," "),CHAR(13)," "))),"")))</f>
        <v/>
      </c>
      <c r="DS991">
        <f>IF($DM991=0,"",IF($L$11=0,"",IFERROR(IF(ISNUMBER(INDEX(PASTE_ALL,$DF991,$L$11)),INDEX(PASTE_ALL,$DF991,$L$11),TRIM(SUBSTITUTE(SUBSTITUTE(SUBSTITUTE(SUBSTITUTE(INDEX(PASTE_ALL,$DF991,$L$11)," "," "),CHAR(9)," "),CHAR(10)," "),CHAR(13)," "))),"")))</f>
        <v/>
      </c>
      <c r="DT991">
        <f>IF($DM991=0,"",IF($L$12=0,"",IFERROR(IF(ISNUMBER(INDEX(PASTE_ALL,$DF991,$L$12)),INDEX(PASTE_ALL,$DF991,$L$12),TRIM(SUBSTITUTE(SUBSTITUTE(SUBSTITUTE(SUBSTITUTE(INDEX(PASTE_ALL,$DF991,$L$12)," "," "),CHAR(9)," "),CHAR(10)," "),CHAR(13)," "))),"")))</f>
        <v/>
      </c>
      <c r="DU991">
        <f>IF($DM991=0,"",IF($L$13=0,"",IFERROR(IF(ISNUMBER(INDEX(PASTE_ALL,$DF991,$L$13)),INDEX(PASTE_ALL,$DF991,$L$13),TRIM(SUBSTITUTE(SUBSTITUTE(SUBSTITUTE(SUBSTITUTE(INDEX(PASTE_ALL,$DF991,$L$13)," "," "),CHAR(9)," "),CHAR(10)," "),CHAR(13)," "))),"")))</f>
        <v/>
      </c>
      <c r="DV991">
        <f>IF($DM991=0,"",IF($L$14=0,"",IFERROR(IF(ISNUMBER(INDEX(PASTE_ALL,$DF991,$L$14)),INDEX(PASTE_ALL,$DF991,$L$14),TRIM(SUBSTITUTE(SUBSTITUTE(SUBSTITUTE(SUBSTITUTE(INDEX(PASTE_ALL,$DF991,$L$14)," "," "),CHAR(9)," "),CHAR(10)," "),CHAR(13)," "))),"")))</f>
        <v/>
      </c>
      <c r="DW991">
        <f>IF($DM991=0,"",IF($L$15=0,"",IFERROR(IF(ISNUMBER(INDEX(PASTE_ALL,$DF991,$L$15)),INDEX(PASTE_ALL,$DF991,$L$15),IF(SUMPRODUCT(--ISNUMBER(FIND({"A","B","C","D","E","F","G","H","I","J","K","L","M","N","O","P","Q","R","S","T","U","V","W","X","Y","Z","0","1","2","3","4","5","6","7","8","9"},UPPER(TRIM(SUBSTITUTE(SUBSTITUTE(SUBSTITUTE(SUBSTITUTE(INDEX(PASTE_ALL,$DF991,$L$15)," "," "),CHAR(9)," "),CHAR(10)," "),CHAR(13)," "))))))&gt;0,TRIM(SUBSTITUTE(SUBSTITUTE(SUBSTITUTE(SUBSTITUTE(INDEX(PASTE_ALL,$DF991,$L$15)," "," "),CHAR(9)," "),CHAR(10)," "),CHAR(13)," ")),"")),"")))</f>
        <v/>
      </c>
      <c r="DX991">
        <f>IF($DM991=0,"",IF($L$16=0,"",IFERROR(IF(ISNUMBER(INDEX(PASTE_ALL,$DF991,$L$16)),INDEX(PASTE_ALL,$DF991,$L$16),SUBSTITUTE(SUBSTITUTE(TRIM(SUBSTITUTE(SUBSTITUTE(SUBSTITUTE(SUBSTITUTE(INDEX(PASTE_ALL,$DF991,$L$16)," "," "),CHAR(9)," "),CHAR(10)," "),CHAR(13)," ")),",",""),"%","")),"")))</f>
        <v/>
      </c>
      <c r="DY991">
        <f>IF($DM991=0,"",IFERROR(IF(ISNUMBER($DX991),$DX991,IF($DX991="","",IF(TRIM($DX991)="",0,IF(AND(AND(SUBSTITUTE(SUBSTITUTE(SUBSTITUTE(SUBSTITUTE(SUBSTITUTE(SUBSTITUTE(SUBSTITUTE(SUBSTITUTE(SUBSTITUTE(SUBSTITUTE(SUBSTITUTE(SUBSTITUTE(SUBSTITUTE(SUBSTITUTE(UPPER(TRIM($DX991)),"0",""),"1",""),"2",""),"3",""),"4",""),"5",""),"6",""),"7",""),"8",""),"9",""),".",""),"+",""),"-",""),"E","")="",LEN(SUBSTITUTE(SUBSTITUTE(MID(UPPER(TRIM($DX991)),1+OR(LEFT(UPPER(TRIM($DX991)),1)="+",LEFT(UPPER(TRIM($DX991)),1)="-"),999),"E+","E"),"E-","E"))=LEN(SUBSTITUTE(SUBSTITUTE(SUBSTITUTE(SUBSTITUTE(MID(UPPER(TRIM($DX991)),1+OR(LEFT(UPPER(TRIM($DX991)),1)="+",LEFT(UPPER(TRIM($DX991)),1)="-"),999),"E+","E"),"E-","E"),"+",""),"-","")),LEN(UPPER(TRIM($DX991)))-LEN(SUBSTITUTE(UPPER(TRIM($DX991)),"E",""))&lt;2,LEN(UPPER(TRIM($DX991)))-LEN(SUBSTITUTE(UPPER(TRIM($DX991)),".",""))&lt;2,IFERROR(FIND(".",UPPER(TRIM($DX991))),0)&lt;IFERROR(FIND("E",UPPER(TRIM($DX991))),999)),ISNUMBER(VALUE(TRIM($DX991)))),VALUE(TRIM($DX991)),"")))),""))</f>
        <v/>
      </c>
      <c r="DZ991">
        <f>IF($DM991=0,"",IF($L$17=0,"",IFERROR(IF(ISNUMBER(INDEX(PASTE_ALL,$DF991,$L$17)),INDEX(PASTE_ALL,$DF991,$L$17),SUBSTITUTE(SUBSTITUTE(TRIM(SUBSTITUTE(SUBSTITUTE(SUBSTITUTE(SUBSTITUTE(INDEX(PASTE_ALL,$DF991,$L$17)," "," "),CHAR(9)," "),CHAR(10)," "),CHAR(13)," ")),",",""),"%","")),"")))</f>
        <v/>
      </c>
      <c r="EA991">
        <f>IF($DM991=0,"",IFERROR(IF(ISNUMBER($DZ991),$DZ991,IF($DZ991="","",IF(TRIM($DZ991)="",0,IF(AND(AND(SUBSTITUTE(SUBSTITUTE(SUBSTITUTE(SUBSTITUTE(SUBSTITUTE(SUBSTITUTE(SUBSTITUTE(SUBSTITUTE(SUBSTITUTE(SUBSTITUTE(SUBSTITUTE(SUBSTITUTE(SUBSTITUTE(SUBSTITUTE(UPPER(TRIM($DZ991)),"0",""),"1",""),"2",""),"3",""),"4",""),"5",""),"6",""),"7",""),"8",""),"9",""),".",""),"+",""),"-",""),"E","")="",LEN(SUBSTITUTE(SUBSTITUTE(MID(UPPER(TRIM($DZ991)),1+OR(LEFT(UPPER(TRIM($DZ991)),1)="+",LEFT(UPPER(TRIM($DZ991)),1)="-"),999),"E+","E"),"E-","E"))=LEN(SUBSTITUTE(SUBSTITUTE(SUBSTITUTE(SUBSTITUTE(MID(UPPER(TRIM($DZ991)),1+OR(LEFT(UPPER(TRIM($DZ991)),1)="+",LEFT(UPPER(TRIM($DZ991)),1)="-"),999),"E+","E"),"E-","E"),"+",""),"-","")),LEN(UPPER(TRIM($DZ991)))-LEN(SUBSTITUTE(UPPER(TRIM($DZ991)),"E",""))&lt;2,LEN(UPPER(TRIM($DZ991)))-LEN(SUBSTITUTE(UPPER(TRIM($DZ991)),".",""))&lt;2,IFERROR(FIND(".",UPPER(TRIM($DZ991))),0)&lt;IFERROR(FIND("E",UPPER(TRIM($DZ991))),999)),ISNUMBER(VALUE(TRIM($DZ991)))),VALUE(TRIM($DZ991)),"")))),""))</f>
        <v/>
      </c>
      <c r="EB991">
        <f>IF($DM991=0,"",IF($L$18=0,"",IFERROR(IF(UPPER(TRIM(SUBSTITUTE(SUBSTITUTE(SUBSTITUTE(SUBSTITUTE(INDEX(PASTE_ALL,$DF991,$L$18)," "," "),CHAR(9)," "),CHAR(10)," "),CHAR(13)," ")))="READY","Ready",IF(UPPER(TRIM(SUBSTITUTE(SUBSTITUTE(SUBSTITUTE(SUBSTITUTE(INDEX(PASTE_ALL,$DF991,$L$18)," "," "),CHAR(9)," "),CHAR(10)," "),CHAR(13)," ")))="PM","PM",IF(OR(UPPER(TRIM(SUBSTITUTE(SUBSTITUTE(SUBSTITUTE(SUBSTITUTE(INDEX(PASTE_ALL,$DF991,$L$18)," "," "),CHAR(9)," "),CHAR(10)," "),CHAR(13)," ")))="OT",UPPER(TRIM(SUBSTITUTE(SUBSTITUTE(SUBSTITUTE(SUBSTITUTE(INDEX(PASTE_ALL,$DF991,$L$18)," "," "),CHAR(9)," "),CHAR(10)," "),CHAR(13)," ")))="OVERTIME",UPPER(TRIM(SUBSTITUTE(SUBSTITUTE(SUBSTITUTE(SUBSTITUTE(INDEX(PASTE_ALL,$DF991,$L$18)," "," "),CHAR(9)," "),CHAR(10)," "),CHAR(13)," ")))="TRIAL"),"OT",TRIM(SUBSTITUTE(SUBSTITUTE(SUBSTITUTE(SUBSTITUTE(INDEX(PASTE_ALL,$DF991,$L$18)," "," "),CHAR(9)," "),CHAR(10)," "),CHAR(13)," "))))),"")))</f>
        <v/>
      </c>
      <c r="EC991">
        <f>IF($DM991=0,"",IF($L$19=0,"",IFERROR(IF(ISNUMBER(INDEX(PASTE_ALL,$DF991,$L$19)),INDEX(PASTE_ALL,$DF991,$L$19),TRIM(SUBSTITUTE(SUBSTITUTE(SUBSTITUTE(SUBSTITUTE(INDEX(PASTE_ALL,$DF991,$L$19)," "," "),CHAR(9)," "),CHAR(10)," "),CHAR(13)," "))),"")))</f>
        <v/>
      </c>
      <c r="ED991">
        <f>IF($DM991=0,"",MATCH(1,INDEX(EXACT($DH$5:DH991,$DH991)*$DM$5:DM991,0),0))</f>
        <v/>
      </c>
      <c r="EE991">
        <f>IF($DM991=0,0,IF($ED991=$DE991,1,0))</f>
        <v/>
      </c>
      <c r="EF991">
        <f>EF990+$EE991</f>
        <v/>
      </c>
      <c r="EG991">
        <f>IF($DM991=0,"",INDEX($EF$5:$EF$1003,$ED991))</f>
        <v/>
      </c>
      <c r="EH991">
        <f>IF($DM991=0,"",IF($DO991&lt;&gt;"","",IFERROR(LOOKUP(2,1/(($EG$4:EG990=$EG991)*($DO$4:DO990&lt;&gt;"")),$DO$4:DO990),"")))</f>
        <v/>
      </c>
      <c r="EI991">
        <f>IF($DM991=0,"",IF($DO991&lt;&gt;"",$DO991,$EH991))</f>
        <v/>
      </c>
      <c r="EJ991">
        <f>IF($DM991=0,"",IF($EI991="",0,IF(OR(ISNUMBER($EI991),AND(AND(SUBSTITUTE(SUBSTITUTE(SUBSTITUTE(SUBSTITUTE(SUBSTITUTE(SUBSTITUTE(SUBSTITUTE(SUBSTITUTE(SUBSTITUTE(SUBSTITUTE(SUBSTITUTE(SUBSTITUTE(SUBSTITUTE(SUBSTITUTE(UPPER($EI991),"0",""),"1",""),"2",""),"3",""),"4",""),"5",""),"6",""),"7",""),"8",""),"9",""),".",""),"+",""),"-",""),"E","")="",LEN(SUBSTITUTE(SUBSTITUTE(MID(UPPER($EI991),1+OR(LEFT(UPPER($EI991),1)="+",LEFT(UPPER($EI991),1)="-"),999),"E+","E"),"E-","E"))=LEN(SUBSTITUTE(SUBSTITUTE(SUBSTITUTE(SUBSTITUTE(MID(UPPER($EI991),1+OR(LEFT(UPPER($EI991),1)="+",LEFT(UPPER($EI991),1)="-"),999),"E+","E"),"E-","E"),"+",""),"-","")),LEN(UPPER($EI991))-LEN(SUBSTITUTE(UPPER($EI991),"E",""))&lt;2,LEN(UPPER($EI991))-LEN(SUBSTITUTE(UPPER($EI991),".",""))&lt;2,IFERROR(FIND(".",UPPER($EI991)),0)&lt;IFERROR(FIND("E",UPPER($EI991)),999)),ISNUMBER(VALUE($EI991)))),1,2)))</f>
        <v/>
      </c>
      <c r="EK991">
        <f>IF($DM991=0,"",IF($EJ991=1,IF(ISNUMBER($EI991),$EI991,VALUE($EI991)),IF($EJ991=2,$DE991,0)))</f>
        <v/>
      </c>
      <c r="EL991">
        <f>IF($DM991=0,"",COUNTIF($EG$5:$EG$1003,"&lt;"&amp;$EG991)+SUMPRODUCT(($EG$5:$EG$1003=$EG991)*(($EJ$5:$EJ$1003&lt;$EJ991)+($EJ$5:$EJ$1003=$EJ991)*(($EK$5:$EK$1003&lt;$EK991)+($EK$5:$EK$1003=$EK991)*($DE$5:$DE$1003&lt;$DE991))))+1)</f>
        <v/>
      </c>
      <c r="EM991">
        <f>IF($DM991=0,"",$EL991+$EG991-1)</f>
        <v/>
      </c>
      <c r="EN991">
        <f>IF($DM991=0,0,IFERROR(MATCH(1,INDEX(--(TRIM(SUBSTITUTE(SUBSTITUTE(SUBSTITUTE(SUBSTITUTE(LINES_NAME&amp;""," "," "),CHAR(9)," "),CHAR(10)," "),CHAR(13)," "))=$DH991),0),0),0))</f>
        <v/>
      </c>
      <c r="EO991">
        <f>IF($EN991=0,0,IF(OR(UPPER(TRIM(INDEX(LINES_SCHEDULED,$EN991)&amp;""))="YES",UPPER(TRIM(INDEX(LINES_SCHEDULED,$EN991)&amp;""))="Y",UPPER(TRIM(INDEX(LINES_SCHEDULED,$EN991)&amp;""))="X"),1,0))</f>
        <v/>
      </c>
      <c r="EP991">
        <f>IF($DM991=0,"",IF(COUNTIFS($EG$5:$EG$1003,$EG991,$EB$5:$EB$1003,"Ready")&gt;0,"READY",IF(COUNTIFS($EG$5:$EG$1003,$EG991,$EB$5:$EB$1003,"PM")&gt;0,"PM",IF(COUNTIFS($EG$5:$EG$1003,$EG991,$EB$5:$EB$1003,"OT")&gt;0,"OT",""))))</f>
        <v/>
      </c>
      <c r="EQ991">
        <f>IF($EN991=0,"",UPPER(TRIM(INDEX(LINES_STATUS,$EN991)&amp;"")))</f>
        <v/>
      </c>
      <c r="ER991">
        <f>IF($DM991=0,"",IF(OR($EQ991="READY",$EQ991="PM",$EQ991="OT"),$EQ991,$EP991))</f>
        <v/>
      </c>
      <c r="ES991">
        <f>IF($DM991=0,"",IF(AND($DV991&lt;&gt;"",UPPER($DV991)&lt;&gt;"N"),"allergen",IF(ISNUMBER(SEARCH("oil",$DQ991)),"oil",IF(OR(EXACT($DS991,"A662"),EXACT($DS991,"A624")),"bulk",""))))</f>
        <v/>
      </c>
      <c r="ET991">
        <f>IF($DM991=0,"",IF(OR($EA991="",$EA991=0),"",$EA991/100))</f>
        <v/>
      </c>
      <c r="EU991">
        <f>IF(OR($ET991="",$DY991=""),"",INT($DY991*(1-$ET991)+0.5))</f>
        <v/>
      </c>
    </row>
    <row r="992">
      <c r="DA992" t="n">
        <v>988</v>
      </c>
      <c r="DB992">
        <f>IF($B$37=0,"",IFERROR(TRIM(SUBSTITUTE(SUBSTITUTE(SUBSTITUTE(SUBSTITUTE(INDEX(PASTE_ALL,988,$B$37)," "," "),CHAR(9)," "),CHAR(10)," "),CHAR(13)," ")),""))</f>
        <v/>
      </c>
      <c r="DC992">
        <f>IF(AND(988&gt;HEADER_ROW,UPPER(DB992)="LEGEND"),1,0)</f>
        <v/>
      </c>
      <c r="DE992" t="n">
        <v>988</v>
      </c>
      <c r="DF992">
        <f>HEADER_ROW+$DE992</f>
        <v/>
      </c>
      <c r="DG992">
        <f>IF(AND($DF992&lt;=1000,$DF992&lt;$B$8),1,0)</f>
        <v/>
      </c>
      <c r="DH992">
        <f>IF($DG992=1,IFERROR(INDEX($DB$5:$DB$1004,$DF992),""),"")</f>
        <v/>
      </c>
      <c r="DI992">
        <f>IF(AND($DG992=1,$DH992&lt;&gt;""),IFERROR(SUBSTITUTE(SUBSTITUTE(TRIM(SUBSTITUTE(SUBSTITUTE(SUBSTITUTE(SUBSTITUTE(IFERROR(INDEX(PASTE_ALL,$DF992,1)&amp;"","")&amp;"␟"&amp;IFERROR(INDEX(PASTE_ALL,$DF992,2)&amp;"","")&amp;"␟"&amp;IFERROR(INDEX(PASTE_ALL,$DF992,3)&amp;"","")&amp;"␟"&amp;IFERROR(INDEX(PASTE_ALL,$DF992,4)&amp;"","")&amp;"␟"&amp;IFERROR(INDEX(PASTE_ALL,$DF992,5)&amp;"","")&amp;"␟"&amp;IFERROR(INDEX(PASTE_ALL,$DF992,6)&amp;"","")&amp;"␟"&amp;IFERROR(INDEX(PASTE_ALL,$DF992,7)&amp;"","")&amp;"␟"&amp;IFERROR(INDEX(PASTE_ALL,$DF992,8)&amp;"","")&amp;"␟"&amp;IFERROR(INDEX(PASTE_ALL,$DF992,9)&amp;"","")&amp;"␟"&amp;IFERROR(INDEX(PASTE_ALL,$DF992,10)&amp;"","")&amp;"␟"&amp;IFERROR(INDEX(PASTE_ALL,$DF992,11)&amp;"","")&amp;"␟"&amp;IFERROR(INDEX(PASTE_ALL,$DF992,12)&amp;"","")&amp;"␟"&amp;IFERROR(INDEX(PASTE_ALL,$DF992,13)&amp;"","")&amp;"␟"&amp;IFERROR(INDEX(PASTE_ALL,$DF992,14)&amp;"","")&amp;"␟"&amp;IFERROR(INDEX(PASTE_ALL,$DF992,15)&amp;"","")&amp;"␟"&amp;IFERROR(INDEX(PASTE_ALL,$DF992,16)&amp;"","")&amp;"␟"&amp;IFERROR(INDEX(PASTE_ALL,$DF992,17)&amp;"","")&amp;"␟"&amp;IFERROR(INDEX(PASTE_ALL,$DF992,18)&amp;"","")&amp;"␟"&amp;IFERROR(INDEX(PASTE_ALL,$DF992,19)&amp;"","")&amp;"␟"&amp;IFERROR(INDEX(PASTE_ALL,$DF992,20)&amp;"","")&amp;"␟"&amp;IFERROR(INDEX(PASTE_ALL,$DF992,21)&amp;"","")&amp;"␟"&amp;IFERROR(INDEX(PASTE_ALL,$DF992,22)&amp;"","")&amp;"␟"&amp;IFERROR(INDEX(PASTE_ALL,$DF992,23)&amp;"","")&amp;"␟"&amp;IFERROR(INDEX(PASTE_ALL,$DF992,24)&amp;"","")&amp;"␟"&amp;IFERROR(INDEX(PASTE_ALL,$DF992,25)&amp;"","")&amp;"␟"&amp;IFERROR(INDEX(PASTE_ALL,$DF992,26)&amp;"","")&amp;"␟"&amp;IFERROR(INDEX(PASTE_ALL,$DF992,27)&amp;"","")&amp;"␟"&amp;IFERROR(INDEX(PASTE_ALL,$DF992,28)&amp;"","")&amp;"␟"&amp;IFERROR(INDEX(PASTE_ALL,$DF992,29)&amp;"","")&amp;"␟"&amp;IFERROR(INDEX(PASTE_ALL,$DF992,30)&amp;"","")&amp;"␟"&amp;IFERROR(INDEX(PASTE_ALL,$DF992,31)&amp;"","")&amp;"␟"&amp;IFERROR(INDEX(PASTE_ALL,$DF992,32)&amp;"","")&amp;"␟"&amp;IFERROR(INDEX(PASTE_ALL,$DF992,33)&amp;"","")&amp;"␟"&amp;IFERROR(INDEX(PASTE_ALL,$DF992,34)&amp;"","")&amp;"␟"&amp;IFERROR(INDEX(PASTE_ALL,$DF992,35)&amp;"","")&amp;"␟"&amp;IFERROR(INDEX(PASTE_ALL,$DF992,36)&amp;"","")&amp;"␟"&amp;IFERROR(INDEX(PASTE_ALL,$DF992,37)&amp;"","")&amp;"␟"&amp;IFERROR(INDEX(PASTE_ALL,$DF992,38)&amp;"","")&amp;"␟"&amp;IFERROR(INDEX(PASTE_ALL,$DF992,39)&amp;"","")&amp;"␟"&amp;IFERROR(INDEX(PASTE_ALL,$DF992,40)&amp;"","")&amp;"␟"&amp;IFERROR(INDEX(PASTE_ALL,$DF992,41)&amp;"","")&amp;"␟"&amp;IFERROR(INDEX(PASTE_ALL,$DF992,42)&amp;"","")&amp;"␟"&amp;IFERROR(INDEX(PASTE_ALL,$DF992,43)&amp;"","")&amp;"␟"&amp;IFERROR(INDEX(PASTE_ALL,$DF992,44)&amp;"","")&amp;"␟"&amp;IFERROR(INDEX(PASTE_ALL,$DF992,45)&amp;"","")&amp;"␟"&amp;IFERROR(INDEX(PASTE_ALL,$DF992,46)&amp;"","")&amp;"␟"&amp;IFERROR(INDEX(PASTE_ALL,$DF992,47)&amp;"","")&amp;"␟"&amp;IFERROR(INDEX(PASTE_ALL,$DF992,48)&amp;"","")&amp;"␟"&amp;IFERROR(INDEX(PASTE_ALL,$DF992,49)&amp;"","")&amp;"␟"&amp;IFERROR(INDEX(PASTE_ALL,$DF992,50)&amp;"","")&amp;"␟"&amp;IFERROR(INDEX(PASTE_ALL,$DF992,51)&amp;"","")&amp;"␟"&amp;IFERROR(INDEX(PASTE_ALL,$DF992,52)&amp;"","")&amp;"␟"&amp;IFERROR(INDEX(PASTE_ALL,$DF992,53)&amp;"","")&amp;"␟"&amp;IFERROR(INDEX(PASTE_ALL,$DF992,54)&amp;"","")&amp;"␟"&amp;IFERROR(INDEX(PASTE_ALL,$DF992,55)&amp;"","")&amp;"␟"&amp;IFERROR(INDEX(PASTE_ALL,$DF992,56)&amp;"","")&amp;"␟"&amp;IFERROR(INDEX(PASTE_ALL,$DF992,57)&amp;"","")&amp;"␟"&amp;IFERROR(INDEX(PASTE_ALL,$DF992,58)&amp;"","")&amp;"␟"&amp;IFERROR(INDEX(PASTE_ALL,$DF992,59)&amp;"","")&amp;"␟"&amp;IFERROR(INDEX(PASTE_ALL,$DF992,60)&amp;"","")," "," "),CHAR(9)," "),CHAR(10)," "),CHAR(13)," "))," ␟","␟"),"␟ ","␟"),"#"&amp;$DE992),"")</f>
        <v/>
      </c>
      <c r="DJ992">
        <f>IF($DI992="",0,IF(SUMPRODUCT(--EXACT($DI$4:DI991,$DI992))&gt;0,1,0))</f>
        <v/>
      </c>
      <c r="DK992">
        <f>IF(AND($DI992&lt;&gt;"",$DJ992=0),1,0)</f>
        <v/>
      </c>
      <c r="DL992">
        <f>DL991+$DK992</f>
        <v/>
      </c>
      <c r="DM992">
        <f>IF(AND($DK992=1,$DL992&lt;=600),1,0)</f>
        <v/>
      </c>
      <c r="DN992">
        <f>IF($DM992=0,"",IF($L$6=0,"",IFERROR(IF(ISNUMBER(INDEX(PASTE_ALL,$DF992,$L$6)),INDEX(PASTE_ALL,$DF992,$L$6),TRIM(SUBSTITUTE(SUBSTITUTE(SUBSTITUTE(SUBSTITUTE(INDEX(PASTE_ALL,$DF992,$L$6)," "," "),CHAR(9)," "),CHAR(10)," "),CHAR(13)," "))),"")))</f>
        <v/>
      </c>
      <c r="DO992">
        <f>IF($DM992=0,"",IF($L$7=0,"",IFERROR(IF(ISNUMBER(INDEX(PASTE_ALL,$DF992,$L$7)),INDEX(PASTE_ALL,$DF992,$L$7),TRIM(SUBSTITUTE(SUBSTITUTE(SUBSTITUTE(SUBSTITUTE(INDEX(PASTE_ALL,$DF992,$L$7)," "," "),CHAR(9)," "),CHAR(10)," "),CHAR(13)," "))),"")))</f>
        <v/>
      </c>
      <c r="DP992">
        <f>IF($DM992=0,"",IF($L$8=0,"",IFERROR(IF(ISNUMBER(INDEX(PASTE_ALL,$DF992,$L$8)),INDEX(PASTE_ALL,$DF992,$L$8),TRIM(SUBSTITUTE(SUBSTITUTE(SUBSTITUTE(SUBSTITUTE(INDEX(PASTE_ALL,$DF992,$L$8)," "," "),CHAR(9)," "),CHAR(10)," "),CHAR(13)," "))),"")))</f>
        <v/>
      </c>
      <c r="DQ992">
        <f>IF($DM992=0,"",IF($L$9=0,"",IFERROR(IF(ISNUMBER(INDEX(PASTE_ALL,$DF992,$L$9)),INDEX(PASTE_ALL,$DF992,$L$9),TRIM(SUBSTITUTE(SUBSTITUTE(SUBSTITUTE(SUBSTITUTE(INDEX(PASTE_ALL,$DF992,$L$9)," "," "),CHAR(9)," "),CHAR(10)," "),CHAR(13)," "))),"")))</f>
        <v/>
      </c>
      <c r="DR992">
        <f>IF($DM992=0,"",IF($L$10=0,"",IFERROR(IF(ISNUMBER(INDEX(PASTE_ALL,$DF992,$L$10)),INDEX(PASTE_ALL,$DF992,$L$10),TRIM(SUBSTITUTE(SUBSTITUTE(SUBSTITUTE(SUBSTITUTE(INDEX(PASTE_ALL,$DF992,$L$10)," "," "),CHAR(9)," "),CHAR(10)," "),CHAR(13)," "))),"")))</f>
        <v/>
      </c>
      <c r="DS992">
        <f>IF($DM992=0,"",IF($L$11=0,"",IFERROR(IF(ISNUMBER(INDEX(PASTE_ALL,$DF992,$L$11)),INDEX(PASTE_ALL,$DF992,$L$11),TRIM(SUBSTITUTE(SUBSTITUTE(SUBSTITUTE(SUBSTITUTE(INDEX(PASTE_ALL,$DF992,$L$11)," "," "),CHAR(9)," "),CHAR(10)," "),CHAR(13)," "))),"")))</f>
        <v/>
      </c>
      <c r="DT992">
        <f>IF($DM992=0,"",IF($L$12=0,"",IFERROR(IF(ISNUMBER(INDEX(PASTE_ALL,$DF992,$L$12)),INDEX(PASTE_ALL,$DF992,$L$12),TRIM(SUBSTITUTE(SUBSTITUTE(SUBSTITUTE(SUBSTITUTE(INDEX(PASTE_ALL,$DF992,$L$12)," "," "),CHAR(9)," "),CHAR(10)," "),CHAR(13)," "))),"")))</f>
        <v/>
      </c>
      <c r="DU992">
        <f>IF($DM992=0,"",IF($L$13=0,"",IFERROR(IF(ISNUMBER(INDEX(PASTE_ALL,$DF992,$L$13)),INDEX(PASTE_ALL,$DF992,$L$13),TRIM(SUBSTITUTE(SUBSTITUTE(SUBSTITUTE(SUBSTITUTE(INDEX(PASTE_ALL,$DF992,$L$13)," "," "),CHAR(9)," "),CHAR(10)," "),CHAR(13)," "))),"")))</f>
        <v/>
      </c>
      <c r="DV992">
        <f>IF($DM992=0,"",IF($L$14=0,"",IFERROR(IF(ISNUMBER(INDEX(PASTE_ALL,$DF992,$L$14)),INDEX(PASTE_ALL,$DF992,$L$14),TRIM(SUBSTITUTE(SUBSTITUTE(SUBSTITUTE(SUBSTITUTE(INDEX(PASTE_ALL,$DF992,$L$14)," "," "),CHAR(9)," "),CHAR(10)," "),CHAR(13)," "))),"")))</f>
        <v/>
      </c>
      <c r="DW992">
        <f>IF($DM992=0,"",IF($L$15=0,"",IFERROR(IF(ISNUMBER(INDEX(PASTE_ALL,$DF992,$L$15)),INDEX(PASTE_ALL,$DF992,$L$15),IF(SUMPRODUCT(--ISNUMBER(FIND({"A","B","C","D","E","F","G","H","I","J","K","L","M","N","O","P","Q","R","S","T","U","V","W","X","Y","Z","0","1","2","3","4","5","6","7","8","9"},UPPER(TRIM(SUBSTITUTE(SUBSTITUTE(SUBSTITUTE(SUBSTITUTE(INDEX(PASTE_ALL,$DF992,$L$15)," "," "),CHAR(9)," "),CHAR(10)," "),CHAR(13)," "))))))&gt;0,TRIM(SUBSTITUTE(SUBSTITUTE(SUBSTITUTE(SUBSTITUTE(INDEX(PASTE_ALL,$DF992,$L$15)," "," "),CHAR(9)," "),CHAR(10)," "),CHAR(13)," ")),"")),"")))</f>
        <v/>
      </c>
      <c r="DX992">
        <f>IF($DM992=0,"",IF($L$16=0,"",IFERROR(IF(ISNUMBER(INDEX(PASTE_ALL,$DF992,$L$16)),INDEX(PASTE_ALL,$DF992,$L$16),SUBSTITUTE(SUBSTITUTE(TRIM(SUBSTITUTE(SUBSTITUTE(SUBSTITUTE(SUBSTITUTE(INDEX(PASTE_ALL,$DF992,$L$16)," "," "),CHAR(9)," "),CHAR(10)," "),CHAR(13)," ")),",",""),"%","")),"")))</f>
        <v/>
      </c>
      <c r="DY992">
        <f>IF($DM992=0,"",IFERROR(IF(ISNUMBER($DX992),$DX992,IF($DX992="","",IF(TRIM($DX992)="",0,IF(AND(AND(SUBSTITUTE(SUBSTITUTE(SUBSTITUTE(SUBSTITUTE(SUBSTITUTE(SUBSTITUTE(SUBSTITUTE(SUBSTITUTE(SUBSTITUTE(SUBSTITUTE(SUBSTITUTE(SUBSTITUTE(SUBSTITUTE(SUBSTITUTE(UPPER(TRIM($DX992)),"0",""),"1",""),"2",""),"3",""),"4",""),"5",""),"6",""),"7",""),"8",""),"9",""),".",""),"+",""),"-",""),"E","")="",LEN(SUBSTITUTE(SUBSTITUTE(MID(UPPER(TRIM($DX992)),1+OR(LEFT(UPPER(TRIM($DX992)),1)="+",LEFT(UPPER(TRIM($DX992)),1)="-"),999),"E+","E"),"E-","E"))=LEN(SUBSTITUTE(SUBSTITUTE(SUBSTITUTE(SUBSTITUTE(MID(UPPER(TRIM($DX992)),1+OR(LEFT(UPPER(TRIM($DX992)),1)="+",LEFT(UPPER(TRIM($DX992)),1)="-"),999),"E+","E"),"E-","E"),"+",""),"-","")),LEN(UPPER(TRIM($DX992)))-LEN(SUBSTITUTE(UPPER(TRIM($DX992)),"E",""))&lt;2,LEN(UPPER(TRIM($DX992)))-LEN(SUBSTITUTE(UPPER(TRIM($DX992)),".",""))&lt;2,IFERROR(FIND(".",UPPER(TRIM($DX992))),0)&lt;IFERROR(FIND("E",UPPER(TRIM($DX992))),999)),ISNUMBER(VALUE(TRIM($DX992)))),VALUE(TRIM($DX992)),"")))),""))</f>
        <v/>
      </c>
      <c r="DZ992">
        <f>IF($DM992=0,"",IF($L$17=0,"",IFERROR(IF(ISNUMBER(INDEX(PASTE_ALL,$DF992,$L$17)),INDEX(PASTE_ALL,$DF992,$L$17),SUBSTITUTE(SUBSTITUTE(TRIM(SUBSTITUTE(SUBSTITUTE(SUBSTITUTE(SUBSTITUTE(INDEX(PASTE_ALL,$DF992,$L$17)," "," "),CHAR(9)," "),CHAR(10)," "),CHAR(13)," ")),",",""),"%","")),"")))</f>
        <v/>
      </c>
      <c r="EA992">
        <f>IF($DM992=0,"",IFERROR(IF(ISNUMBER($DZ992),$DZ992,IF($DZ992="","",IF(TRIM($DZ992)="",0,IF(AND(AND(SUBSTITUTE(SUBSTITUTE(SUBSTITUTE(SUBSTITUTE(SUBSTITUTE(SUBSTITUTE(SUBSTITUTE(SUBSTITUTE(SUBSTITUTE(SUBSTITUTE(SUBSTITUTE(SUBSTITUTE(SUBSTITUTE(SUBSTITUTE(UPPER(TRIM($DZ992)),"0",""),"1",""),"2",""),"3",""),"4",""),"5",""),"6",""),"7",""),"8",""),"9",""),".",""),"+",""),"-",""),"E","")="",LEN(SUBSTITUTE(SUBSTITUTE(MID(UPPER(TRIM($DZ992)),1+OR(LEFT(UPPER(TRIM($DZ992)),1)="+",LEFT(UPPER(TRIM($DZ992)),1)="-"),999),"E+","E"),"E-","E"))=LEN(SUBSTITUTE(SUBSTITUTE(SUBSTITUTE(SUBSTITUTE(MID(UPPER(TRIM($DZ992)),1+OR(LEFT(UPPER(TRIM($DZ992)),1)="+",LEFT(UPPER(TRIM($DZ992)),1)="-"),999),"E+","E"),"E-","E"),"+",""),"-","")),LEN(UPPER(TRIM($DZ992)))-LEN(SUBSTITUTE(UPPER(TRIM($DZ992)),"E",""))&lt;2,LEN(UPPER(TRIM($DZ992)))-LEN(SUBSTITUTE(UPPER(TRIM($DZ992)),".",""))&lt;2,IFERROR(FIND(".",UPPER(TRIM($DZ992))),0)&lt;IFERROR(FIND("E",UPPER(TRIM($DZ992))),999)),ISNUMBER(VALUE(TRIM($DZ992)))),VALUE(TRIM($DZ992)),"")))),""))</f>
        <v/>
      </c>
      <c r="EB992">
        <f>IF($DM992=0,"",IF($L$18=0,"",IFERROR(IF(UPPER(TRIM(SUBSTITUTE(SUBSTITUTE(SUBSTITUTE(SUBSTITUTE(INDEX(PASTE_ALL,$DF992,$L$18)," "," "),CHAR(9)," "),CHAR(10)," "),CHAR(13)," ")))="READY","Ready",IF(UPPER(TRIM(SUBSTITUTE(SUBSTITUTE(SUBSTITUTE(SUBSTITUTE(INDEX(PASTE_ALL,$DF992,$L$18)," "," "),CHAR(9)," "),CHAR(10)," "),CHAR(13)," ")))="PM","PM",IF(OR(UPPER(TRIM(SUBSTITUTE(SUBSTITUTE(SUBSTITUTE(SUBSTITUTE(INDEX(PASTE_ALL,$DF992,$L$18)," "," "),CHAR(9)," "),CHAR(10)," "),CHAR(13)," ")))="OT",UPPER(TRIM(SUBSTITUTE(SUBSTITUTE(SUBSTITUTE(SUBSTITUTE(INDEX(PASTE_ALL,$DF992,$L$18)," "," "),CHAR(9)," "),CHAR(10)," "),CHAR(13)," ")))="OVERTIME",UPPER(TRIM(SUBSTITUTE(SUBSTITUTE(SUBSTITUTE(SUBSTITUTE(INDEX(PASTE_ALL,$DF992,$L$18)," "," "),CHAR(9)," "),CHAR(10)," "),CHAR(13)," ")))="TRIAL"),"OT",TRIM(SUBSTITUTE(SUBSTITUTE(SUBSTITUTE(SUBSTITUTE(INDEX(PASTE_ALL,$DF992,$L$18)," "," "),CHAR(9)," "),CHAR(10)," "),CHAR(13)," "))))),"")))</f>
        <v/>
      </c>
      <c r="EC992">
        <f>IF($DM992=0,"",IF($L$19=0,"",IFERROR(IF(ISNUMBER(INDEX(PASTE_ALL,$DF992,$L$19)),INDEX(PASTE_ALL,$DF992,$L$19),TRIM(SUBSTITUTE(SUBSTITUTE(SUBSTITUTE(SUBSTITUTE(INDEX(PASTE_ALL,$DF992,$L$19)," "," "),CHAR(9)," "),CHAR(10)," "),CHAR(13)," "))),"")))</f>
        <v/>
      </c>
      <c r="ED992">
        <f>IF($DM992=0,"",MATCH(1,INDEX(EXACT($DH$5:DH992,$DH992)*$DM$5:DM992,0),0))</f>
        <v/>
      </c>
      <c r="EE992">
        <f>IF($DM992=0,0,IF($ED992=$DE992,1,0))</f>
        <v/>
      </c>
      <c r="EF992">
        <f>EF991+$EE992</f>
        <v/>
      </c>
      <c r="EG992">
        <f>IF($DM992=0,"",INDEX($EF$5:$EF$1003,$ED992))</f>
        <v/>
      </c>
      <c r="EH992">
        <f>IF($DM992=0,"",IF($DO992&lt;&gt;"","",IFERROR(LOOKUP(2,1/(($EG$4:EG991=$EG992)*($DO$4:DO991&lt;&gt;"")),$DO$4:DO991),"")))</f>
        <v/>
      </c>
      <c r="EI992">
        <f>IF($DM992=0,"",IF($DO992&lt;&gt;"",$DO992,$EH992))</f>
        <v/>
      </c>
      <c r="EJ992">
        <f>IF($DM992=0,"",IF($EI992="",0,IF(OR(ISNUMBER($EI992),AND(AND(SUBSTITUTE(SUBSTITUTE(SUBSTITUTE(SUBSTITUTE(SUBSTITUTE(SUBSTITUTE(SUBSTITUTE(SUBSTITUTE(SUBSTITUTE(SUBSTITUTE(SUBSTITUTE(SUBSTITUTE(SUBSTITUTE(SUBSTITUTE(UPPER($EI992),"0",""),"1",""),"2",""),"3",""),"4",""),"5",""),"6",""),"7",""),"8",""),"9",""),".",""),"+",""),"-",""),"E","")="",LEN(SUBSTITUTE(SUBSTITUTE(MID(UPPER($EI992),1+OR(LEFT(UPPER($EI992),1)="+",LEFT(UPPER($EI992),1)="-"),999),"E+","E"),"E-","E"))=LEN(SUBSTITUTE(SUBSTITUTE(SUBSTITUTE(SUBSTITUTE(MID(UPPER($EI992),1+OR(LEFT(UPPER($EI992),1)="+",LEFT(UPPER($EI992),1)="-"),999),"E+","E"),"E-","E"),"+",""),"-","")),LEN(UPPER($EI992))-LEN(SUBSTITUTE(UPPER($EI992),"E",""))&lt;2,LEN(UPPER($EI992))-LEN(SUBSTITUTE(UPPER($EI992),".",""))&lt;2,IFERROR(FIND(".",UPPER($EI992)),0)&lt;IFERROR(FIND("E",UPPER($EI992)),999)),ISNUMBER(VALUE($EI992)))),1,2)))</f>
        <v/>
      </c>
      <c r="EK992">
        <f>IF($DM992=0,"",IF($EJ992=1,IF(ISNUMBER($EI992),$EI992,VALUE($EI992)),IF($EJ992=2,$DE992,0)))</f>
        <v/>
      </c>
      <c r="EL992">
        <f>IF($DM992=0,"",COUNTIF($EG$5:$EG$1003,"&lt;"&amp;$EG992)+SUMPRODUCT(($EG$5:$EG$1003=$EG992)*(($EJ$5:$EJ$1003&lt;$EJ992)+($EJ$5:$EJ$1003=$EJ992)*(($EK$5:$EK$1003&lt;$EK992)+($EK$5:$EK$1003=$EK992)*($DE$5:$DE$1003&lt;$DE992))))+1)</f>
        <v/>
      </c>
      <c r="EM992">
        <f>IF($DM992=0,"",$EL992+$EG992-1)</f>
        <v/>
      </c>
      <c r="EN992">
        <f>IF($DM992=0,0,IFERROR(MATCH(1,INDEX(--(TRIM(SUBSTITUTE(SUBSTITUTE(SUBSTITUTE(SUBSTITUTE(LINES_NAME&amp;""," "," "),CHAR(9)," "),CHAR(10)," "),CHAR(13)," "))=$DH992),0),0),0))</f>
        <v/>
      </c>
      <c r="EO992">
        <f>IF($EN992=0,0,IF(OR(UPPER(TRIM(INDEX(LINES_SCHEDULED,$EN992)&amp;""))="YES",UPPER(TRIM(INDEX(LINES_SCHEDULED,$EN992)&amp;""))="Y",UPPER(TRIM(INDEX(LINES_SCHEDULED,$EN992)&amp;""))="X"),1,0))</f>
        <v/>
      </c>
      <c r="EP992">
        <f>IF($DM992=0,"",IF(COUNTIFS($EG$5:$EG$1003,$EG992,$EB$5:$EB$1003,"Ready")&gt;0,"READY",IF(COUNTIFS($EG$5:$EG$1003,$EG992,$EB$5:$EB$1003,"PM")&gt;0,"PM",IF(COUNTIFS($EG$5:$EG$1003,$EG992,$EB$5:$EB$1003,"OT")&gt;0,"OT",""))))</f>
        <v/>
      </c>
      <c r="EQ992">
        <f>IF($EN992=0,"",UPPER(TRIM(INDEX(LINES_STATUS,$EN992)&amp;"")))</f>
        <v/>
      </c>
      <c r="ER992">
        <f>IF($DM992=0,"",IF(OR($EQ992="READY",$EQ992="PM",$EQ992="OT"),$EQ992,$EP992))</f>
        <v/>
      </c>
      <c r="ES992">
        <f>IF($DM992=0,"",IF(AND($DV992&lt;&gt;"",UPPER($DV992)&lt;&gt;"N"),"allergen",IF(ISNUMBER(SEARCH("oil",$DQ992)),"oil",IF(OR(EXACT($DS992,"A662"),EXACT($DS992,"A624")),"bulk",""))))</f>
        <v/>
      </c>
      <c r="ET992">
        <f>IF($DM992=0,"",IF(OR($EA992="",$EA992=0),"",$EA992/100))</f>
        <v/>
      </c>
      <c r="EU992">
        <f>IF(OR($ET992="",$DY992=""),"",INT($DY992*(1-$ET992)+0.5))</f>
        <v/>
      </c>
    </row>
    <row r="993">
      <c r="DA993" t="n">
        <v>989</v>
      </c>
      <c r="DB993">
        <f>IF($B$37=0,"",IFERROR(TRIM(SUBSTITUTE(SUBSTITUTE(SUBSTITUTE(SUBSTITUTE(INDEX(PASTE_ALL,989,$B$37)," "," "),CHAR(9)," "),CHAR(10)," "),CHAR(13)," ")),""))</f>
        <v/>
      </c>
      <c r="DC993">
        <f>IF(AND(989&gt;HEADER_ROW,UPPER(DB993)="LEGEND"),1,0)</f>
        <v/>
      </c>
      <c r="DE993" t="n">
        <v>989</v>
      </c>
      <c r="DF993">
        <f>HEADER_ROW+$DE993</f>
        <v/>
      </c>
      <c r="DG993">
        <f>IF(AND($DF993&lt;=1000,$DF993&lt;$B$8),1,0)</f>
        <v/>
      </c>
      <c r="DH993">
        <f>IF($DG993=1,IFERROR(INDEX($DB$5:$DB$1004,$DF993),""),"")</f>
        <v/>
      </c>
      <c r="DI993">
        <f>IF(AND($DG993=1,$DH993&lt;&gt;""),IFERROR(SUBSTITUTE(SUBSTITUTE(TRIM(SUBSTITUTE(SUBSTITUTE(SUBSTITUTE(SUBSTITUTE(IFERROR(INDEX(PASTE_ALL,$DF993,1)&amp;"","")&amp;"␟"&amp;IFERROR(INDEX(PASTE_ALL,$DF993,2)&amp;"","")&amp;"␟"&amp;IFERROR(INDEX(PASTE_ALL,$DF993,3)&amp;"","")&amp;"␟"&amp;IFERROR(INDEX(PASTE_ALL,$DF993,4)&amp;"","")&amp;"␟"&amp;IFERROR(INDEX(PASTE_ALL,$DF993,5)&amp;"","")&amp;"␟"&amp;IFERROR(INDEX(PASTE_ALL,$DF993,6)&amp;"","")&amp;"␟"&amp;IFERROR(INDEX(PASTE_ALL,$DF993,7)&amp;"","")&amp;"␟"&amp;IFERROR(INDEX(PASTE_ALL,$DF993,8)&amp;"","")&amp;"␟"&amp;IFERROR(INDEX(PASTE_ALL,$DF993,9)&amp;"","")&amp;"␟"&amp;IFERROR(INDEX(PASTE_ALL,$DF993,10)&amp;"","")&amp;"␟"&amp;IFERROR(INDEX(PASTE_ALL,$DF993,11)&amp;"","")&amp;"␟"&amp;IFERROR(INDEX(PASTE_ALL,$DF993,12)&amp;"","")&amp;"␟"&amp;IFERROR(INDEX(PASTE_ALL,$DF993,13)&amp;"","")&amp;"␟"&amp;IFERROR(INDEX(PASTE_ALL,$DF993,14)&amp;"","")&amp;"␟"&amp;IFERROR(INDEX(PASTE_ALL,$DF993,15)&amp;"","")&amp;"␟"&amp;IFERROR(INDEX(PASTE_ALL,$DF993,16)&amp;"","")&amp;"␟"&amp;IFERROR(INDEX(PASTE_ALL,$DF993,17)&amp;"","")&amp;"␟"&amp;IFERROR(INDEX(PASTE_ALL,$DF993,18)&amp;"","")&amp;"␟"&amp;IFERROR(INDEX(PASTE_ALL,$DF993,19)&amp;"","")&amp;"␟"&amp;IFERROR(INDEX(PASTE_ALL,$DF993,20)&amp;"","")&amp;"␟"&amp;IFERROR(INDEX(PASTE_ALL,$DF993,21)&amp;"","")&amp;"␟"&amp;IFERROR(INDEX(PASTE_ALL,$DF993,22)&amp;"","")&amp;"␟"&amp;IFERROR(INDEX(PASTE_ALL,$DF993,23)&amp;"","")&amp;"␟"&amp;IFERROR(INDEX(PASTE_ALL,$DF993,24)&amp;"","")&amp;"␟"&amp;IFERROR(INDEX(PASTE_ALL,$DF993,25)&amp;"","")&amp;"␟"&amp;IFERROR(INDEX(PASTE_ALL,$DF993,26)&amp;"","")&amp;"␟"&amp;IFERROR(INDEX(PASTE_ALL,$DF993,27)&amp;"","")&amp;"␟"&amp;IFERROR(INDEX(PASTE_ALL,$DF993,28)&amp;"","")&amp;"␟"&amp;IFERROR(INDEX(PASTE_ALL,$DF993,29)&amp;"","")&amp;"␟"&amp;IFERROR(INDEX(PASTE_ALL,$DF993,30)&amp;"","")&amp;"␟"&amp;IFERROR(INDEX(PASTE_ALL,$DF993,31)&amp;"","")&amp;"␟"&amp;IFERROR(INDEX(PASTE_ALL,$DF993,32)&amp;"","")&amp;"␟"&amp;IFERROR(INDEX(PASTE_ALL,$DF993,33)&amp;"","")&amp;"␟"&amp;IFERROR(INDEX(PASTE_ALL,$DF993,34)&amp;"","")&amp;"␟"&amp;IFERROR(INDEX(PASTE_ALL,$DF993,35)&amp;"","")&amp;"␟"&amp;IFERROR(INDEX(PASTE_ALL,$DF993,36)&amp;"","")&amp;"␟"&amp;IFERROR(INDEX(PASTE_ALL,$DF993,37)&amp;"","")&amp;"␟"&amp;IFERROR(INDEX(PASTE_ALL,$DF993,38)&amp;"","")&amp;"␟"&amp;IFERROR(INDEX(PASTE_ALL,$DF993,39)&amp;"","")&amp;"␟"&amp;IFERROR(INDEX(PASTE_ALL,$DF993,40)&amp;"","")&amp;"␟"&amp;IFERROR(INDEX(PASTE_ALL,$DF993,41)&amp;"","")&amp;"␟"&amp;IFERROR(INDEX(PASTE_ALL,$DF993,42)&amp;"","")&amp;"␟"&amp;IFERROR(INDEX(PASTE_ALL,$DF993,43)&amp;"","")&amp;"␟"&amp;IFERROR(INDEX(PASTE_ALL,$DF993,44)&amp;"","")&amp;"␟"&amp;IFERROR(INDEX(PASTE_ALL,$DF993,45)&amp;"","")&amp;"␟"&amp;IFERROR(INDEX(PASTE_ALL,$DF993,46)&amp;"","")&amp;"␟"&amp;IFERROR(INDEX(PASTE_ALL,$DF993,47)&amp;"","")&amp;"␟"&amp;IFERROR(INDEX(PASTE_ALL,$DF993,48)&amp;"","")&amp;"␟"&amp;IFERROR(INDEX(PASTE_ALL,$DF993,49)&amp;"","")&amp;"␟"&amp;IFERROR(INDEX(PASTE_ALL,$DF993,50)&amp;"","")&amp;"␟"&amp;IFERROR(INDEX(PASTE_ALL,$DF993,51)&amp;"","")&amp;"␟"&amp;IFERROR(INDEX(PASTE_ALL,$DF993,52)&amp;"","")&amp;"␟"&amp;IFERROR(INDEX(PASTE_ALL,$DF993,53)&amp;"","")&amp;"␟"&amp;IFERROR(INDEX(PASTE_ALL,$DF993,54)&amp;"","")&amp;"␟"&amp;IFERROR(INDEX(PASTE_ALL,$DF993,55)&amp;"","")&amp;"␟"&amp;IFERROR(INDEX(PASTE_ALL,$DF993,56)&amp;"","")&amp;"␟"&amp;IFERROR(INDEX(PASTE_ALL,$DF993,57)&amp;"","")&amp;"␟"&amp;IFERROR(INDEX(PASTE_ALL,$DF993,58)&amp;"","")&amp;"␟"&amp;IFERROR(INDEX(PASTE_ALL,$DF993,59)&amp;"","")&amp;"␟"&amp;IFERROR(INDEX(PASTE_ALL,$DF993,60)&amp;"","")," "," "),CHAR(9)," "),CHAR(10)," "),CHAR(13)," "))," ␟","␟"),"␟ ","␟"),"#"&amp;$DE993),"")</f>
        <v/>
      </c>
      <c r="DJ993">
        <f>IF($DI993="",0,IF(SUMPRODUCT(--EXACT($DI$4:DI992,$DI993))&gt;0,1,0))</f>
        <v/>
      </c>
      <c r="DK993">
        <f>IF(AND($DI993&lt;&gt;"",$DJ993=0),1,0)</f>
        <v/>
      </c>
      <c r="DL993">
        <f>DL992+$DK993</f>
        <v/>
      </c>
      <c r="DM993">
        <f>IF(AND($DK993=1,$DL993&lt;=600),1,0)</f>
        <v/>
      </c>
      <c r="DN993">
        <f>IF($DM993=0,"",IF($L$6=0,"",IFERROR(IF(ISNUMBER(INDEX(PASTE_ALL,$DF993,$L$6)),INDEX(PASTE_ALL,$DF993,$L$6),TRIM(SUBSTITUTE(SUBSTITUTE(SUBSTITUTE(SUBSTITUTE(INDEX(PASTE_ALL,$DF993,$L$6)," "," "),CHAR(9)," "),CHAR(10)," "),CHAR(13)," "))),"")))</f>
        <v/>
      </c>
      <c r="DO993">
        <f>IF($DM993=0,"",IF($L$7=0,"",IFERROR(IF(ISNUMBER(INDEX(PASTE_ALL,$DF993,$L$7)),INDEX(PASTE_ALL,$DF993,$L$7),TRIM(SUBSTITUTE(SUBSTITUTE(SUBSTITUTE(SUBSTITUTE(INDEX(PASTE_ALL,$DF993,$L$7)," "," "),CHAR(9)," "),CHAR(10)," "),CHAR(13)," "))),"")))</f>
        <v/>
      </c>
      <c r="DP993">
        <f>IF($DM993=0,"",IF($L$8=0,"",IFERROR(IF(ISNUMBER(INDEX(PASTE_ALL,$DF993,$L$8)),INDEX(PASTE_ALL,$DF993,$L$8),TRIM(SUBSTITUTE(SUBSTITUTE(SUBSTITUTE(SUBSTITUTE(INDEX(PASTE_ALL,$DF993,$L$8)," "," "),CHAR(9)," "),CHAR(10)," "),CHAR(13)," "))),"")))</f>
        <v/>
      </c>
      <c r="DQ993">
        <f>IF($DM993=0,"",IF($L$9=0,"",IFERROR(IF(ISNUMBER(INDEX(PASTE_ALL,$DF993,$L$9)),INDEX(PASTE_ALL,$DF993,$L$9),TRIM(SUBSTITUTE(SUBSTITUTE(SUBSTITUTE(SUBSTITUTE(INDEX(PASTE_ALL,$DF993,$L$9)," "," "),CHAR(9)," "),CHAR(10)," "),CHAR(13)," "))),"")))</f>
        <v/>
      </c>
      <c r="DR993">
        <f>IF($DM993=0,"",IF($L$10=0,"",IFERROR(IF(ISNUMBER(INDEX(PASTE_ALL,$DF993,$L$10)),INDEX(PASTE_ALL,$DF993,$L$10),TRIM(SUBSTITUTE(SUBSTITUTE(SUBSTITUTE(SUBSTITUTE(INDEX(PASTE_ALL,$DF993,$L$10)," "," "),CHAR(9)," "),CHAR(10)," "),CHAR(13)," "))),"")))</f>
        <v/>
      </c>
      <c r="DS993">
        <f>IF($DM993=0,"",IF($L$11=0,"",IFERROR(IF(ISNUMBER(INDEX(PASTE_ALL,$DF993,$L$11)),INDEX(PASTE_ALL,$DF993,$L$11),TRIM(SUBSTITUTE(SUBSTITUTE(SUBSTITUTE(SUBSTITUTE(INDEX(PASTE_ALL,$DF993,$L$11)," "," "),CHAR(9)," "),CHAR(10)," "),CHAR(13)," "))),"")))</f>
        <v/>
      </c>
      <c r="DT993">
        <f>IF($DM993=0,"",IF($L$12=0,"",IFERROR(IF(ISNUMBER(INDEX(PASTE_ALL,$DF993,$L$12)),INDEX(PASTE_ALL,$DF993,$L$12),TRIM(SUBSTITUTE(SUBSTITUTE(SUBSTITUTE(SUBSTITUTE(INDEX(PASTE_ALL,$DF993,$L$12)," "," "),CHAR(9)," "),CHAR(10)," "),CHAR(13)," "))),"")))</f>
        <v/>
      </c>
      <c r="DU993">
        <f>IF($DM993=0,"",IF($L$13=0,"",IFERROR(IF(ISNUMBER(INDEX(PASTE_ALL,$DF993,$L$13)),INDEX(PASTE_ALL,$DF993,$L$13),TRIM(SUBSTITUTE(SUBSTITUTE(SUBSTITUTE(SUBSTITUTE(INDEX(PASTE_ALL,$DF993,$L$13)," "," "),CHAR(9)," "),CHAR(10)," "),CHAR(13)," "))),"")))</f>
        <v/>
      </c>
      <c r="DV993">
        <f>IF($DM993=0,"",IF($L$14=0,"",IFERROR(IF(ISNUMBER(INDEX(PASTE_ALL,$DF993,$L$14)),INDEX(PASTE_ALL,$DF993,$L$14),TRIM(SUBSTITUTE(SUBSTITUTE(SUBSTITUTE(SUBSTITUTE(INDEX(PASTE_ALL,$DF993,$L$14)," "," "),CHAR(9)," "),CHAR(10)," "),CHAR(13)," "))),"")))</f>
        <v/>
      </c>
      <c r="DW993">
        <f>IF($DM993=0,"",IF($L$15=0,"",IFERROR(IF(ISNUMBER(INDEX(PASTE_ALL,$DF993,$L$15)),INDEX(PASTE_ALL,$DF993,$L$15),IF(SUMPRODUCT(--ISNUMBER(FIND({"A","B","C","D","E","F","G","H","I","J","K","L","M","N","O","P","Q","R","S","T","U","V","W","X","Y","Z","0","1","2","3","4","5","6","7","8","9"},UPPER(TRIM(SUBSTITUTE(SUBSTITUTE(SUBSTITUTE(SUBSTITUTE(INDEX(PASTE_ALL,$DF993,$L$15)," "," "),CHAR(9)," "),CHAR(10)," "),CHAR(13)," "))))))&gt;0,TRIM(SUBSTITUTE(SUBSTITUTE(SUBSTITUTE(SUBSTITUTE(INDEX(PASTE_ALL,$DF993,$L$15)," "," "),CHAR(9)," "),CHAR(10)," "),CHAR(13)," ")),"")),"")))</f>
        <v/>
      </c>
      <c r="DX993">
        <f>IF($DM993=0,"",IF($L$16=0,"",IFERROR(IF(ISNUMBER(INDEX(PASTE_ALL,$DF993,$L$16)),INDEX(PASTE_ALL,$DF993,$L$16),SUBSTITUTE(SUBSTITUTE(TRIM(SUBSTITUTE(SUBSTITUTE(SUBSTITUTE(SUBSTITUTE(INDEX(PASTE_ALL,$DF993,$L$16)," "," "),CHAR(9)," "),CHAR(10)," "),CHAR(13)," ")),",",""),"%","")),"")))</f>
        <v/>
      </c>
      <c r="DY993">
        <f>IF($DM993=0,"",IFERROR(IF(ISNUMBER($DX993),$DX993,IF($DX993="","",IF(TRIM($DX993)="",0,IF(AND(AND(SUBSTITUTE(SUBSTITUTE(SUBSTITUTE(SUBSTITUTE(SUBSTITUTE(SUBSTITUTE(SUBSTITUTE(SUBSTITUTE(SUBSTITUTE(SUBSTITUTE(SUBSTITUTE(SUBSTITUTE(SUBSTITUTE(SUBSTITUTE(UPPER(TRIM($DX993)),"0",""),"1",""),"2",""),"3",""),"4",""),"5",""),"6",""),"7",""),"8",""),"9",""),".",""),"+",""),"-",""),"E","")="",LEN(SUBSTITUTE(SUBSTITUTE(MID(UPPER(TRIM($DX993)),1+OR(LEFT(UPPER(TRIM($DX993)),1)="+",LEFT(UPPER(TRIM($DX993)),1)="-"),999),"E+","E"),"E-","E"))=LEN(SUBSTITUTE(SUBSTITUTE(SUBSTITUTE(SUBSTITUTE(MID(UPPER(TRIM($DX993)),1+OR(LEFT(UPPER(TRIM($DX993)),1)="+",LEFT(UPPER(TRIM($DX993)),1)="-"),999),"E+","E"),"E-","E"),"+",""),"-","")),LEN(UPPER(TRIM($DX993)))-LEN(SUBSTITUTE(UPPER(TRIM($DX993)),"E",""))&lt;2,LEN(UPPER(TRIM($DX993)))-LEN(SUBSTITUTE(UPPER(TRIM($DX993)),".",""))&lt;2,IFERROR(FIND(".",UPPER(TRIM($DX993))),0)&lt;IFERROR(FIND("E",UPPER(TRIM($DX993))),999)),ISNUMBER(VALUE(TRIM($DX993)))),VALUE(TRIM($DX993)),"")))),""))</f>
        <v/>
      </c>
      <c r="DZ993">
        <f>IF($DM993=0,"",IF($L$17=0,"",IFERROR(IF(ISNUMBER(INDEX(PASTE_ALL,$DF993,$L$17)),INDEX(PASTE_ALL,$DF993,$L$17),SUBSTITUTE(SUBSTITUTE(TRIM(SUBSTITUTE(SUBSTITUTE(SUBSTITUTE(SUBSTITUTE(INDEX(PASTE_ALL,$DF993,$L$17)," "," "),CHAR(9)," "),CHAR(10)," "),CHAR(13)," ")),",",""),"%","")),"")))</f>
        <v/>
      </c>
      <c r="EA993">
        <f>IF($DM993=0,"",IFERROR(IF(ISNUMBER($DZ993),$DZ993,IF($DZ993="","",IF(TRIM($DZ993)="",0,IF(AND(AND(SUBSTITUTE(SUBSTITUTE(SUBSTITUTE(SUBSTITUTE(SUBSTITUTE(SUBSTITUTE(SUBSTITUTE(SUBSTITUTE(SUBSTITUTE(SUBSTITUTE(SUBSTITUTE(SUBSTITUTE(SUBSTITUTE(SUBSTITUTE(UPPER(TRIM($DZ993)),"0",""),"1",""),"2",""),"3",""),"4",""),"5",""),"6",""),"7",""),"8",""),"9",""),".",""),"+",""),"-",""),"E","")="",LEN(SUBSTITUTE(SUBSTITUTE(MID(UPPER(TRIM($DZ993)),1+OR(LEFT(UPPER(TRIM($DZ993)),1)="+",LEFT(UPPER(TRIM($DZ993)),1)="-"),999),"E+","E"),"E-","E"))=LEN(SUBSTITUTE(SUBSTITUTE(SUBSTITUTE(SUBSTITUTE(MID(UPPER(TRIM($DZ993)),1+OR(LEFT(UPPER(TRIM($DZ993)),1)="+",LEFT(UPPER(TRIM($DZ993)),1)="-"),999),"E+","E"),"E-","E"),"+",""),"-","")),LEN(UPPER(TRIM($DZ993)))-LEN(SUBSTITUTE(UPPER(TRIM($DZ993)),"E",""))&lt;2,LEN(UPPER(TRIM($DZ993)))-LEN(SUBSTITUTE(UPPER(TRIM($DZ993)),".",""))&lt;2,IFERROR(FIND(".",UPPER(TRIM($DZ993))),0)&lt;IFERROR(FIND("E",UPPER(TRIM($DZ993))),999)),ISNUMBER(VALUE(TRIM($DZ993)))),VALUE(TRIM($DZ993)),"")))),""))</f>
        <v/>
      </c>
      <c r="EB993">
        <f>IF($DM993=0,"",IF($L$18=0,"",IFERROR(IF(UPPER(TRIM(SUBSTITUTE(SUBSTITUTE(SUBSTITUTE(SUBSTITUTE(INDEX(PASTE_ALL,$DF993,$L$18)," "," "),CHAR(9)," "),CHAR(10)," "),CHAR(13)," ")))="READY","Ready",IF(UPPER(TRIM(SUBSTITUTE(SUBSTITUTE(SUBSTITUTE(SUBSTITUTE(INDEX(PASTE_ALL,$DF993,$L$18)," "," "),CHAR(9)," "),CHAR(10)," "),CHAR(13)," ")))="PM","PM",IF(OR(UPPER(TRIM(SUBSTITUTE(SUBSTITUTE(SUBSTITUTE(SUBSTITUTE(INDEX(PASTE_ALL,$DF993,$L$18)," "," "),CHAR(9)," "),CHAR(10)," "),CHAR(13)," ")))="OT",UPPER(TRIM(SUBSTITUTE(SUBSTITUTE(SUBSTITUTE(SUBSTITUTE(INDEX(PASTE_ALL,$DF993,$L$18)," "," "),CHAR(9)," "),CHAR(10)," "),CHAR(13)," ")))="OVERTIME",UPPER(TRIM(SUBSTITUTE(SUBSTITUTE(SUBSTITUTE(SUBSTITUTE(INDEX(PASTE_ALL,$DF993,$L$18)," "," "),CHAR(9)," "),CHAR(10)," "),CHAR(13)," ")))="TRIAL"),"OT",TRIM(SUBSTITUTE(SUBSTITUTE(SUBSTITUTE(SUBSTITUTE(INDEX(PASTE_ALL,$DF993,$L$18)," "," "),CHAR(9)," "),CHAR(10)," "),CHAR(13)," "))))),"")))</f>
        <v/>
      </c>
      <c r="EC993">
        <f>IF($DM993=0,"",IF($L$19=0,"",IFERROR(IF(ISNUMBER(INDEX(PASTE_ALL,$DF993,$L$19)),INDEX(PASTE_ALL,$DF993,$L$19),TRIM(SUBSTITUTE(SUBSTITUTE(SUBSTITUTE(SUBSTITUTE(INDEX(PASTE_ALL,$DF993,$L$19)," "," "),CHAR(9)," "),CHAR(10)," "),CHAR(13)," "))),"")))</f>
        <v/>
      </c>
      <c r="ED993">
        <f>IF($DM993=0,"",MATCH(1,INDEX(EXACT($DH$5:DH993,$DH993)*$DM$5:DM993,0),0))</f>
        <v/>
      </c>
      <c r="EE993">
        <f>IF($DM993=0,0,IF($ED993=$DE993,1,0))</f>
        <v/>
      </c>
      <c r="EF993">
        <f>EF992+$EE993</f>
        <v/>
      </c>
      <c r="EG993">
        <f>IF($DM993=0,"",INDEX($EF$5:$EF$1003,$ED993))</f>
        <v/>
      </c>
      <c r="EH993">
        <f>IF($DM993=0,"",IF($DO993&lt;&gt;"","",IFERROR(LOOKUP(2,1/(($EG$4:EG992=$EG993)*($DO$4:DO992&lt;&gt;"")),$DO$4:DO992),"")))</f>
        <v/>
      </c>
      <c r="EI993">
        <f>IF($DM993=0,"",IF($DO993&lt;&gt;"",$DO993,$EH993))</f>
        <v/>
      </c>
      <c r="EJ993">
        <f>IF($DM993=0,"",IF($EI993="",0,IF(OR(ISNUMBER($EI993),AND(AND(SUBSTITUTE(SUBSTITUTE(SUBSTITUTE(SUBSTITUTE(SUBSTITUTE(SUBSTITUTE(SUBSTITUTE(SUBSTITUTE(SUBSTITUTE(SUBSTITUTE(SUBSTITUTE(SUBSTITUTE(SUBSTITUTE(SUBSTITUTE(UPPER($EI993),"0",""),"1",""),"2",""),"3",""),"4",""),"5",""),"6",""),"7",""),"8",""),"9",""),".",""),"+",""),"-",""),"E","")="",LEN(SUBSTITUTE(SUBSTITUTE(MID(UPPER($EI993),1+OR(LEFT(UPPER($EI993),1)="+",LEFT(UPPER($EI993),1)="-"),999),"E+","E"),"E-","E"))=LEN(SUBSTITUTE(SUBSTITUTE(SUBSTITUTE(SUBSTITUTE(MID(UPPER($EI993),1+OR(LEFT(UPPER($EI993),1)="+",LEFT(UPPER($EI993),1)="-"),999),"E+","E"),"E-","E"),"+",""),"-","")),LEN(UPPER($EI993))-LEN(SUBSTITUTE(UPPER($EI993),"E",""))&lt;2,LEN(UPPER($EI993))-LEN(SUBSTITUTE(UPPER($EI993),".",""))&lt;2,IFERROR(FIND(".",UPPER($EI993)),0)&lt;IFERROR(FIND("E",UPPER($EI993)),999)),ISNUMBER(VALUE($EI993)))),1,2)))</f>
        <v/>
      </c>
      <c r="EK993">
        <f>IF($DM993=0,"",IF($EJ993=1,IF(ISNUMBER($EI993),$EI993,VALUE($EI993)),IF($EJ993=2,$DE993,0)))</f>
        <v/>
      </c>
      <c r="EL993">
        <f>IF($DM993=0,"",COUNTIF($EG$5:$EG$1003,"&lt;"&amp;$EG993)+SUMPRODUCT(($EG$5:$EG$1003=$EG993)*(($EJ$5:$EJ$1003&lt;$EJ993)+($EJ$5:$EJ$1003=$EJ993)*(($EK$5:$EK$1003&lt;$EK993)+($EK$5:$EK$1003=$EK993)*($DE$5:$DE$1003&lt;$DE993))))+1)</f>
        <v/>
      </c>
      <c r="EM993">
        <f>IF($DM993=0,"",$EL993+$EG993-1)</f>
        <v/>
      </c>
      <c r="EN993">
        <f>IF($DM993=0,0,IFERROR(MATCH(1,INDEX(--(TRIM(SUBSTITUTE(SUBSTITUTE(SUBSTITUTE(SUBSTITUTE(LINES_NAME&amp;""," "," "),CHAR(9)," "),CHAR(10)," "),CHAR(13)," "))=$DH993),0),0),0))</f>
        <v/>
      </c>
      <c r="EO993">
        <f>IF($EN993=0,0,IF(OR(UPPER(TRIM(INDEX(LINES_SCHEDULED,$EN993)&amp;""))="YES",UPPER(TRIM(INDEX(LINES_SCHEDULED,$EN993)&amp;""))="Y",UPPER(TRIM(INDEX(LINES_SCHEDULED,$EN993)&amp;""))="X"),1,0))</f>
        <v/>
      </c>
      <c r="EP993">
        <f>IF($DM993=0,"",IF(COUNTIFS($EG$5:$EG$1003,$EG993,$EB$5:$EB$1003,"Ready")&gt;0,"READY",IF(COUNTIFS($EG$5:$EG$1003,$EG993,$EB$5:$EB$1003,"PM")&gt;0,"PM",IF(COUNTIFS($EG$5:$EG$1003,$EG993,$EB$5:$EB$1003,"OT")&gt;0,"OT",""))))</f>
        <v/>
      </c>
      <c r="EQ993">
        <f>IF($EN993=0,"",UPPER(TRIM(INDEX(LINES_STATUS,$EN993)&amp;"")))</f>
        <v/>
      </c>
      <c r="ER993">
        <f>IF($DM993=0,"",IF(OR($EQ993="READY",$EQ993="PM",$EQ993="OT"),$EQ993,$EP993))</f>
        <v/>
      </c>
      <c r="ES993">
        <f>IF($DM993=0,"",IF(AND($DV993&lt;&gt;"",UPPER($DV993)&lt;&gt;"N"),"allergen",IF(ISNUMBER(SEARCH("oil",$DQ993)),"oil",IF(OR(EXACT($DS993,"A662"),EXACT($DS993,"A624")),"bulk",""))))</f>
        <v/>
      </c>
      <c r="ET993">
        <f>IF($DM993=0,"",IF(OR($EA993="",$EA993=0),"",$EA993/100))</f>
        <v/>
      </c>
      <c r="EU993">
        <f>IF(OR($ET993="",$DY993=""),"",INT($DY993*(1-$ET993)+0.5))</f>
        <v/>
      </c>
    </row>
    <row r="994">
      <c r="DA994" t="n">
        <v>990</v>
      </c>
      <c r="DB994">
        <f>IF($B$37=0,"",IFERROR(TRIM(SUBSTITUTE(SUBSTITUTE(SUBSTITUTE(SUBSTITUTE(INDEX(PASTE_ALL,990,$B$37)," "," "),CHAR(9)," "),CHAR(10)," "),CHAR(13)," ")),""))</f>
        <v/>
      </c>
      <c r="DC994">
        <f>IF(AND(990&gt;HEADER_ROW,UPPER(DB994)="LEGEND"),1,0)</f>
        <v/>
      </c>
      <c r="DE994" t="n">
        <v>990</v>
      </c>
      <c r="DF994">
        <f>HEADER_ROW+$DE994</f>
        <v/>
      </c>
      <c r="DG994">
        <f>IF(AND($DF994&lt;=1000,$DF994&lt;$B$8),1,0)</f>
        <v/>
      </c>
      <c r="DH994">
        <f>IF($DG994=1,IFERROR(INDEX($DB$5:$DB$1004,$DF994),""),"")</f>
        <v/>
      </c>
      <c r="DI994">
        <f>IF(AND($DG994=1,$DH994&lt;&gt;""),IFERROR(SUBSTITUTE(SUBSTITUTE(TRIM(SUBSTITUTE(SUBSTITUTE(SUBSTITUTE(SUBSTITUTE(IFERROR(INDEX(PASTE_ALL,$DF994,1)&amp;"","")&amp;"␟"&amp;IFERROR(INDEX(PASTE_ALL,$DF994,2)&amp;"","")&amp;"␟"&amp;IFERROR(INDEX(PASTE_ALL,$DF994,3)&amp;"","")&amp;"␟"&amp;IFERROR(INDEX(PASTE_ALL,$DF994,4)&amp;"","")&amp;"␟"&amp;IFERROR(INDEX(PASTE_ALL,$DF994,5)&amp;"","")&amp;"␟"&amp;IFERROR(INDEX(PASTE_ALL,$DF994,6)&amp;"","")&amp;"␟"&amp;IFERROR(INDEX(PASTE_ALL,$DF994,7)&amp;"","")&amp;"␟"&amp;IFERROR(INDEX(PASTE_ALL,$DF994,8)&amp;"","")&amp;"␟"&amp;IFERROR(INDEX(PASTE_ALL,$DF994,9)&amp;"","")&amp;"␟"&amp;IFERROR(INDEX(PASTE_ALL,$DF994,10)&amp;"","")&amp;"␟"&amp;IFERROR(INDEX(PASTE_ALL,$DF994,11)&amp;"","")&amp;"␟"&amp;IFERROR(INDEX(PASTE_ALL,$DF994,12)&amp;"","")&amp;"␟"&amp;IFERROR(INDEX(PASTE_ALL,$DF994,13)&amp;"","")&amp;"␟"&amp;IFERROR(INDEX(PASTE_ALL,$DF994,14)&amp;"","")&amp;"␟"&amp;IFERROR(INDEX(PASTE_ALL,$DF994,15)&amp;"","")&amp;"␟"&amp;IFERROR(INDEX(PASTE_ALL,$DF994,16)&amp;"","")&amp;"␟"&amp;IFERROR(INDEX(PASTE_ALL,$DF994,17)&amp;"","")&amp;"␟"&amp;IFERROR(INDEX(PASTE_ALL,$DF994,18)&amp;"","")&amp;"␟"&amp;IFERROR(INDEX(PASTE_ALL,$DF994,19)&amp;"","")&amp;"␟"&amp;IFERROR(INDEX(PASTE_ALL,$DF994,20)&amp;"","")&amp;"␟"&amp;IFERROR(INDEX(PASTE_ALL,$DF994,21)&amp;"","")&amp;"␟"&amp;IFERROR(INDEX(PASTE_ALL,$DF994,22)&amp;"","")&amp;"␟"&amp;IFERROR(INDEX(PASTE_ALL,$DF994,23)&amp;"","")&amp;"␟"&amp;IFERROR(INDEX(PASTE_ALL,$DF994,24)&amp;"","")&amp;"␟"&amp;IFERROR(INDEX(PASTE_ALL,$DF994,25)&amp;"","")&amp;"␟"&amp;IFERROR(INDEX(PASTE_ALL,$DF994,26)&amp;"","")&amp;"␟"&amp;IFERROR(INDEX(PASTE_ALL,$DF994,27)&amp;"","")&amp;"␟"&amp;IFERROR(INDEX(PASTE_ALL,$DF994,28)&amp;"","")&amp;"␟"&amp;IFERROR(INDEX(PASTE_ALL,$DF994,29)&amp;"","")&amp;"␟"&amp;IFERROR(INDEX(PASTE_ALL,$DF994,30)&amp;"","")&amp;"␟"&amp;IFERROR(INDEX(PASTE_ALL,$DF994,31)&amp;"","")&amp;"␟"&amp;IFERROR(INDEX(PASTE_ALL,$DF994,32)&amp;"","")&amp;"␟"&amp;IFERROR(INDEX(PASTE_ALL,$DF994,33)&amp;"","")&amp;"␟"&amp;IFERROR(INDEX(PASTE_ALL,$DF994,34)&amp;"","")&amp;"␟"&amp;IFERROR(INDEX(PASTE_ALL,$DF994,35)&amp;"","")&amp;"␟"&amp;IFERROR(INDEX(PASTE_ALL,$DF994,36)&amp;"","")&amp;"␟"&amp;IFERROR(INDEX(PASTE_ALL,$DF994,37)&amp;"","")&amp;"␟"&amp;IFERROR(INDEX(PASTE_ALL,$DF994,38)&amp;"","")&amp;"␟"&amp;IFERROR(INDEX(PASTE_ALL,$DF994,39)&amp;"","")&amp;"␟"&amp;IFERROR(INDEX(PASTE_ALL,$DF994,40)&amp;"","")&amp;"␟"&amp;IFERROR(INDEX(PASTE_ALL,$DF994,41)&amp;"","")&amp;"␟"&amp;IFERROR(INDEX(PASTE_ALL,$DF994,42)&amp;"","")&amp;"␟"&amp;IFERROR(INDEX(PASTE_ALL,$DF994,43)&amp;"","")&amp;"␟"&amp;IFERROR(INDEX(PASTE_ALL,$DF994,44)&amp;"","")&amp;"␟"&amp;IFERROR(INDEX(PASTE_ALL,$DF994,45)&amp;"","")&amp;"␟"&amp;IFERROR(INDEX(PASTE_ALL,$DF994,46)&amp;"","")&amp;"␟"&amp;IFERROR(INDEX(PASTE_ALL,$DF994,47)&amp;"","")&amp;"␟"&amp;IFERROR(INDEX(PASTE_ALL,$DF994,48)&amp;"","")&amp;"␟"&amp;IFERROR(INDEX(PASTE_ALL,$DF994,49)&amp;"","")&amp;"␟"&amp;IFERROR(INDEX(PASTE_ALL,$DF994,50)&amp;"","")&amp;"␟"&amp;IFERROR(INDEX(PASTE_ALL,$DF994,51)&amp;"","")&amp;"␟"&amp;IFERROR(INDEX(PASTE_ALL,$DF994,52)&amp;"","")&amp;"␟"&amp;IFERROR(INDEX(PASTE_ALL,$DF994,53)&amp;"","")&amp;"␟"&amp;IFERROR(INDEX(PASTE_ALL,$DF994,54)&amp;"","")&amp;"␟"&amp;IFERROR(INDEX(PASTE_ALL,$DF994,55)&amp;"","")&amp;"␟"&amp;IFERROR(INDEX(PASTE_ALL,$DF994,56)&amp;"","")&amp;"␟"&amp;IFERROR(INDEX(PASTE_ALL,$DF994,57)&amp;"","")&amp;"␟"&amp;IFERROR(INDEX(PASTE_ALL,$DF994,58)&amp;"","")&amp;"␟"&amp;IFERROR(INDEX(PASTE_ALL,$DF994,59)&amp;"","")&amp;"␟"&amp;IFERROR(INDEX(PASTE_ALL,$DF994,60)&amp;"","")," "," "),CHAR(9)," "),CHAR(10)," "),CHAR(13)," "))," ␟","␟"),"␟ ","␟"),"#"&amp;$DE994),"")</f>
        <v/>
      </c>
      <c r="DJ994">
        <f>IF($DI994="",0,IF(SUMPRODUCT(--EXACT($DI$4:DI993,$DI994))&gt;0,1,0))</f>
        <v/>
      </c>
      <c r="DK994">
        <f>IF(AND($DI994&lt;&gt;"",$DJ994=0),1,0)</f>
        <v/>
      </c>
      <c r="DL994">
        <f>DL993+$DK994</f>
        <v/>
      </c>
      <c r="DM994">
        <f>IF(AND($DK994=1,$DL994&lt;=600),1,0)</f>
        <v/>
      </c>
      <c r="DN994">
        <f>IF($DM994=0,"",IF($L$6=0,"",IFERROR(IF(ISNUMBER(INDEX(PASTE_ALL,$DF994,$L$6)),INDEX(PASTE_ALL,$DF994,$L$6),TRIM(SUBSTITUTE(SUBSTITUTE(SUBSTITUTE(SUBSTITUTE(INDEX(PASTE_ALL,$DF994,$L$6)," "," "),CHAR(9)," "),CHAR(10)," "),CHAR(13)," "))),"")))</f>
        <v/>
      </c>
      <c r="DO994">
        <f>IF($DM994=0,"",IF($L$7=0,"",IFERROR(IF(ISNUMBER(INDEX(PASTE_ALL,$DF994,$L$7)),INDEX(PASTE_ALL,$DF994,$L$7),TRIM(SUBSTITUTE(SUBSTITUTE(SUBSTITUTE(SUBSTITUTE(INDEX(PASTE_ALL,$DF994,$L$7)," "," "),CHAR(9)," "),CHAR(10)," "),CHAR(13)," "))),"")))</f>
        <v/>
      </c>
      <c r="DP994">
        <f>IF($DM994=0,"",IF($L$8=0,"",IFERROR(IF(ISNUMBER(INDEX(PASTE_ALL,$DF994,$L$8)),INDEX(PASTE_ALL,$DF994,$L$8),TRIM(SUBSTITUTE(SUBSTITUTE(SUBSTITUTE(SUBSTITUTE(INDEX(PASTE_ALL,$DF994,$L$8)," "," "),CHAR(9)," "),CHAR(10)," "),CHAR(13)," "))),"")))</f>
        <v/>
      </c>
      <c r="DQ994">
        <f>IF($DM994=0,"",IF($L$9=0,"",IFERROR(IF(ISNUMBER(INDEX(PASTE_ALL,$DF994,$L$9)),INDEX(PASTE_ALL,$DF994,$L$9),TRIM(SUBSTITUTE(SUBSTITUTE(SUBSTITUTE(SUBSTITUTE(INDEX(PASTE_ALL,$DF994,$L$9)," "," "),CHAR(9)," "),CHAR(10)," "),CHAR(13)," "))),"")))</f>
        <v/>
      </c>
      <c r="DR994">
        <f>IF($DM994=0,"",IF($L$10=0,"",IFERROR(IF(ISNUMBER(INDEX(PASTE_ALL,$DF994,$L$10)),INDEX(PASTE_ALL,$DF994,$L$10),TRIM(SUBSTITUTE(SUBSTITUTE(SUBSTITUTE(SUBSTITUTE(INDEX(PASTE_ALL,$DF994,$L$10)," "," "),CHAR(9)," "),CHAR(10)," "),CHAR(13)," "))),"")))</f>
        <v/>
      </c>
      <c r="DS994">
        <f>IF($DM994=0,"",IF($L$11=0,"",IFERROR(IF(ISNUMBER(INDEX(PASTE_ALL,$DF994,$L$11)),INDEX(PASTE_ALL,$DF994,$L$11),TRIM(SUBSTITUTE(SUBSTITUTE(SUBSTITUTE(SUBSTITUTE(INDEX(PASTE_ALL,$DF994,$L$11)," "," "),CHAR(9)," "),CHAR(10)," "),CHAR(13)," "))),"")))</f>
        <v/>
      </c>
      <c r="DT994">
        <f>IF($DM994=0,"",IF($L$12=0,"",IFERROR(IF(ISNUMBER(INDEX(PASTE_ALL,$DF994,$L$12)),INDEX(PASTE_ALL,$DF994,$L$12),TRIM(SUBSTITUTE(SUBSTITUTE(SUBSTITUTE(SUBSTITUTE(INDEX(PASTE_ALL,$DF994,$L$12)," "," "),CHAR(9)," "),CHAR(10)," "),CHAR(13)," "))),"")))</f>
        <v/>
      </c>
      <c r="DU994">
        <f>IF($DM994=0,"",IF($L$13=0,"",IFERROR(IF(ISNUMBER(INDEX(PASTE_ALL,$DF994,$L$13)),INDEX(PASTE_ALL,$DF994,$L$13),TRIM(SUBSTITUTE(SUBSTITUTE(SUBSTITUTE(SUBSTITUTE(INDEX(PASTE_ALL,$DF994,$L$13)," "," "),CHAR(9)," "),CHAR(10)," "),CHAR(13)," "))),"")))</f>
        <v/>
      </c>
      <c r="DV994">
        <f>IF($DM994=0,"",IF($L$14=0,"",IFERROR(IF(ISNUMBER(INDEX(PASTE_ALL,$DF994,$L$14)),INDEX(PASTE_ALL,$DF994,$L$14),TRIM(SUBSTITUTE(SUBSTITUTE(SUBSTITUTE(SUBSTITUTE(INDEX(PASTE_ALL,$DF994,$L$14)," "," "),CHAR(9)," "),CHAR(10)," "),CHAR(13)," "))),"")))</f>
        <v/>
      </c>
      <c r="DW994">
        <f>IF($DM994=0,"",IF($L$15=0,"",IFERROR(IF(ISNUMBER(INDEX(PASTE_ALL,$DF994,$L$15)),INDEX(PASTE_ALL,$DF994,$L$15),IF(SUMPRODUCT(--ISNUMBER(FIND({"A","B","C","D","E","F","G","H","I","J","K","L","M","N","O","P","Q","R","S","T","U","V","W","X","Y","Z","0","1","2","3","4","5","6","7","8","9"},UPPER(TRIM(SUBSTITUTE(SUBSTITUTE(SUBSTITUTE(SUBSTITUTE(INDEX(PASTE_ALL,$DF994,$L$15)," "," "),CHAR(9)," "),CHAR(10)," "),CHAR(13)," "))))))&gt;0,TRIM(SUBSTITUTE(SUBSTITUTE(SUBSTITUTE(SUBSTITUTE(INDEX(PASTE_ALL,$DF994,$L$15)," "," "),CHAR(9)," "),CHAR(10)," "),CHAR(13)," ")),"")),"")))</f>
        <v/>
      </c>
      <c r="DX994">
        <f>IF($DM994=0,"",IF($L$16=0,"",IFERROR(IF(ISNUMBER(INDEX(PASTE_ALL,$DF994,$L$16)),INDEX(PASTE_ALL,$DF994,$L$16),SUBSTITUTE(SUBSTITUTE(TRIM(SUBSTITUTE(SUBSTITUTE(SUBSTITUTE(SUBSTITUTE(INDEX(PASTE_ALL,$DF994,$L$16)," "," "),CHAR(9)," "),CHAR(10)," "),CHAR(13)," ")),",",""),"%","")),"")))</f>
        <v/>
      </c>
      <c r="DY994">
        <f>IF($DM994=0,"",IFERROR(IF(ISNUMBER($DX994),$DX994,IF($DX994="","",IF(TRIM($DX994)="",0,IF(AND(AND(SUBSTITUTE(SUBSTITUTE(SUBSTITUTE(SUBSTITUTE(SUBSTITUTE(SUBSTITUTE(SUBSTITUTE(SUBSTITUTE(SUBSTITUTE(SUBSTITUTE(SUBSTITUTE(SUBSTITUTE(SUBSTITUTE(SUBSTITUTE(UPPER(TRIM($DX994)),"0",""),"1",""),"2",""),"3",""),"4",""),"5",""),"6",""),"7",""),"8",""),"9",""),".",""),"+",""),"-",""),"E","")="",LEN(SUBSTITUTE(SUBSTITUTE(MID(UPPER(TRIM($DX994)),1+OR(LEFT(UPPER(TRIM($DX994)),1)="+",LEFT(UPPER(TRIM($DX994)),1)="-"),999),"E+","E"),"E-","E"))=LEN(SUBSTITUTE(SUBSTITUTE(SUBSTITUTE(SUBSTITUTE(MID(UPPER(TRIM($DX994)),1+OR(LEFT(UPPER(TRIM($DX994)),1)="+",LEFT(UPPER(TRIM($DX994)),1)="-"),999),"E+","E"),"E-","E"),"+",""),"-","")),LEN(UPPER(TRIM($DX994)))-LEN(SUBSTITUTE(UPPER(TRIM($DX994)),"E",""))&lt;2,LEN(UPPER(TRIM($DX994)))-LEN(SUBSTITUTE(UPPER(TRIM($DX994)),".",""))&lt;2,IFERROR(FIND(".",UPPER(TRIM($DX994))),0)&lt;IFERROR(FIND("E",UPPER(TRIM($DX994))),999)),ISNUMBER(VALUE(TRIM($DX994)))),VALUE(TRIM($DX994)),"")))),""))</f>
        <v/>
      </c>
      <c r="DZ994">
        <f>IF($DM994=0,"",IF($L$17=0,"",IFERROR(IF(ISNUMBER(INDEX(PASTE_ALL,$DF994,$L$17)),INDEX(PASTE_ALL,$DF994,$L$17),SUBSTITUTE(SUBSTITUTE(TRIM(SUBSTITUTE(SUBSTITUTE(SUBSTITUTE(SUBSTITUTE(INDEX(PASTE_ALL,$DF994,$L$17)," "," "),CHAR(9)," "),CHAR(10)," "),CHAR(13)," ")),",",""),"%","")),"")))</f>
        <v/>
      </c>
      <c r="EA994">
        <f>IF($DM994=0,"",IFERROR(IF(ISNUMBER($DZ994),$DZ994,IF($DZ994="","",IF(TRIM($DZ994)="",0,IF(AND(AND(SUBSTITUTE(SUBSTITUTE(SUBSTITUTE(SUBSTITUTE(SUBSTITUTE(SUBSTITUTE(SUBSTITUTE(SUBSTITUTE(SUBSTITUTE(SUBSTITUTE(SUBSTITUTE(SUBSTITUTE(SUBSTITUTE(SUBSTITUTE(UPPER(TRIM($DZ994)),"0",""),"1",""),"2",""),"3",""),"4",""),"5",""),"6",""),"7",""),"8",""),"9",""),".",""),"+",""),"-",""),"E","")="",LEN(SUBSTITUTE(SUBSTITUTE(MID(UPPER(TRIM($DZ994)),1+OR(LEFT(UPPER(TRIM($DZ994)),1)="+",LEFT(UPPER(TRIM($DZ994)),1)="-"),999),"E+","E"),"E-","E"))=LEN(SUBSTITUTE(SUBSTITUTE(SUBSTITUTE(SUBSTITUTE(MID(UPPER(TRIM($DZ994)),1+OR(LEFT(UPPER(TRIM($DZ994)),1)="+",LEFT(UPPER(TRIM($DZ994)),1)="-"),999),"E+","E"),"E-","E"),"+",""),"-","")),LEN(UPPER(TRIM($DZ994)))-LEN(SUBSTITUTE(UPPER(TRIM($DZ994)),"E",""))&lt;2,LEN(UPPER(TRIM($DZ994)))-LEN(SUBSTITUTE(UPPER(TRIM($DZ994)),".",""))&lt;2,IFERROR(FIND(".",UPPER(TRIM($DZ994))),0)&lt;IFERROR(FIND("E",UPPER(TRIM($DZ994))),999)),ISNUMBER(VALUE(TRIM($DZ994)))),VALUE(TRIM($DZ994)),"")))),""))</f>
        <v/>
      </c>
      <c r="EB994">
        <f>IF($DM994=0,"",IF($L$18=0,"",IFERROR(IF(UPPER(TRIM(SUBSTITUTE(SUBSTITUTE(SUBSTITUTE(SUBSTITUTE(INDEX(PASTE_ALL,$DF994,$L$18)," "," "),CHAR(9)," "),CHAR(10)," "),CHAR(13)," ")))="READY","Ready",IF(UPPER(TRIM(SUBSTITUTE(SUBSTITUTE(SUBSTITUTE(SUBSTITUTE(INDEX(PASTE_ALL,$DF994,$L$18)," "," "),CHAR(9)," "),CHAR(10)," "),CHAR(13)," ")))="PM","PM",IF(OR(UPPER(TRIM(SUBSTITUTE(SUBSTITUTE(SUBSTITUTE(SUBSTITUTE(INDEX(PASTE_ALL,$DF994,$L$18)," "," "),CHAR(9)," "),CHAR(10)," "),CHAR(13)," ")))="OT",UPPER(TRIM(SUBSTITUTE(SUBSTITUTE(SUBSTITUTE(SUBSTITUTE(INDEX(PASTE_ALL,$DF994,$L$18)," "," "),CHAR(9)," "),CHAR(10)," "),CHAR(13)," ")))="OVERTIME",UPPER(TRIM(SUBSTITUTE(SUBSTITUTE(SUBSTITUTE(SUBSTITUTE(INDEX(PASTE_ALL,$DF994,$L$18)," "," "),CHAR(9)," "),CHAR(10)," "),CHAR(13)," ")))="TRIAL"),"OT",TRIM(SUBSTITUTE(SUBSTITUTE(SUBSTITUTE(SUBSTITUTE(INDEX(PASTE_ALL,$DF994,$L$18)," "," "),CHAR(9)," "),CHAR(10)," "),CHAR(13)," "))))),"")))</f>
        <v/>
      </c>
      <c r="EC994">
        <f>IF($DM994=0,"",IF($L$19=0,"",IFERROR(IF(ISNUMBER(INDEX(PASTE_ALL,$DF994,$L$19)),INDEX(PASTE_ALL,$DF994,$L$19),TRIM(SUBSTITUTE(SUBSTITUTE(SUBSTITUTE(SUBSTITUTE(INDEX(PASTE_ALL,$DF994,$L$19)," "," "),CHAR(9)," "),CHAR(10)," "),CHAR(13)," "))),"")))</f>
        <v/>
      </c>
      <c r="ED994">
        <f>IF($DM994=0,"",MATCH(1,INDEX(EXACT($DH$5:DH994,$DH994)*$DM$5:DM994,0),0))</f>
        <v/>
      </c>
      <c r="EE994">
        <f>IF($DM994=0,0,IF($ED994=$DE994,1,0))</f>
        <v/>
      </c>
      <c r="EF994">
        <f>EF993+$EE994</f>
        <v/>
      </c>
      <c r="EG994">
        <f>IF($DM994=0,"",INDEX($EF$5:$EF$1003,$ED994))</f>
        <v/>
      </c>
      <c r="EH994">
        <f>IF($DM994=0,"",IF($DO994&lt;&gt;"","",IFERROR(LOOKUP(2,1/(($EG$4:EG993=$EG994)*($DO$4:DO993&lt;&gt;"")),$DO$4:DO993),"")))</f>
        <v/>
      </c>
      <c r="EI994">
        <f>IF($DM994=0,"",IF($DO994&lt;&gt;"",$DO994,$EH994))</f>
        <v/>
      </c>
      <c r="EJ994">
        <f>IF($DM994=0,"",IF($EI994="",0,IF(OR(ISNUMBER($EI994),AND(AND(SUBSTITUTE(SUBSTITUTE(SUBSTITUTE(SUBSTITUTE(SUBSTITUTE(SUBSTITUTE(SUBSTITUTE(SUBSTITUTE(SUBSTITUTE(SUBSTITUTE(SUBSTITUTE(SUBSTITUTE(SUBSTITUTE(SUBSTITUTE(UPPER($EI994),"0",""),"1",""),"2",""),"3",""),"4",""),"5",""),"6",""),"7",""),"8",""),"9",""),".",""),"+",""),"-",""),"E","")="",LEN(SUBSTITUTE(SUBSTITUTE(MID(UPPER($EI994),1+OR(LEFT(UPPER($EI994),1)="+",LEFT(UPPER($EI994),1)="-"),999),"E+","E"),"E-","E"))=LEN(SUBSTITUTE(SUBSTITUTE(SUBSTITUTE(SUBSTITUTE(MID(UPPER($EI994),1+OR(LEFT(UPPER($EI994),1)="+",LEFT(UPPER($EI994),1)="-"),999),"E+","E"),"E-","E"),"+",""),"-","")),LEN(UPPER($EI994))-LEN(SUBSTITUTE(UPPER($EI994),"E",""))&lt;2,LEN(UPPER($EI994))-LEN(SUBSTITUTE(UPPER($EI994),".",""))&lt;2,IFERROR(FIND(".",UPPER($EI994)),0)&lt;IFERROR(FIND("E",UPPER($EI994)),999)),ISNUMBER(VALUE($EI994)))),1,2)))</f>
        <v/>
      </c>
      <c r="EK994">
        <f>IF($DM994=0,"",IF($EJ994=1,IF(ISNUMBER($EI994),$EI994,VALUE($EI994)),IF($EJ994=2,$DE994,0)))</f>
        <v/>
      </c>
      <c r="EL994">
        <f>IF($DM994=0,"",COUNTIF($EG$5:$EG$1003,"&lt;"&amp;$EG994)+SUMPRODUCT(($EG$5:$EG$1003=$EG994)*(($EJ$5:$EJ$1003&lt;$EJ994)+($EJ$5:$EJ$1003=$EJ994)*(($EK$5:$EK$1003&lt;$EK994)+($EK$5:$EK$1003=$EK994)*($DE$5:$DE$1003&lt;$DE994))))+1)</f>
        <v/>
      </c>
      <c r="EM994">
        <f>IF($DM994=0,"",$EL994+$EG994-1)</f>
        <v/>
      </c>
      <c r="EN994">
        <f>IF($DM994=0,0,IFERROR(MATCH(1,INDEX(--(TRIM(SUBSTITUTE(SUBSTITUTE(SUBSTITUTE(SUBSTITUTE(LINES_NAME&amp;""," "," "),CHAR(9)," "),CHAR(10)," "),CHAR(13)," "))=$DH994),0),0),0))</f>
        <v/>
      </c>
      <c r="EO994">
        <f>IF($EN994=0,0,IF(OR(UPPER(TRIM(INDEX(LINES_SCHEDULED,$EN994)&amp;""))="YES",UPPER(TRIM(INDEX(LINES_SCHEDULED,$EN994)&amp;""))="Y",UPPER(TRIM(INDEX(LINES_SCHEDULED,$EN994)&amp;""))="X"),1,0))</f>
        <v/>
      </c>
      <c r="EP994">
        <f>IF($DM994=0,"",IF(COUNTIFS($EG$5:$EG$1003,$EG994,$EB$5:$EB$1003,"Ready")&gt;0,"READY",IF(COUNTIFS($EG$5:$EG$1003,$EG994,$EB$5:$EB$1003,"PM")&gt;0,"PM",IF(COUNTIFS($EG$5:$EG$1003,$EG994,$EB$5:$EB$1003,"OT")&gt;0,"OT",""))))</f>
        <v/>
      </c>
      <c r="EQ994">
        <f>IF($EN994=0,"",UPPER(TRIM(INDEX(LINES_STATUS,$EN994)&amp;"")))</f>
        <v/>
      </c>
      <c r="ER994">
        <f>IF($DM994=0,"",IF(OR($EQ994="READY",$EQ994="PM",$EQ994="OT"),$EQ994,$EP994))</f>
        <v/>
      </c>
      <c r="ES994">
        <f>IF($DM994=0,"",IF(AND($DV994&lt;&gt;"",UPPER($DV994)&lt;&gt;"N"),"allergen",IF(ISNUMBER(SEARCH("oil",$DQ994)),"oil",IF(OR(EXACT($DS994,"A662"),EXACT($DS994,"A624")),"bulk",""))))</f>
        <v/>
      </c>
      <c r="ET994">
        <f>IF($DM994=0,"",IF(OR($EA994="",$EA994=0),"",$EA994/100))</f>
        <v/>
      </c>
      <c r="EU994">
        <f>IF(OR($ET994="",$DY994=""),"",INT($DY994*(1-$ET994)+0.5))</f>
        <v/>
      </c>
    </row>
    <row r="995">
      <c r="DA995" t="n">
        <v>991</v>
      </c>
      <c r="DB995">
        <f>IF($B$37=0,"",IFERROR(TRIM(SUBSTITUTE(SUBSTITUTE(SUBSTITUTE(SUBSTITUTE(INDEX(PASTE_ALL,991,$B$37)," "," "),CHAR(9)," "),CHAR(10)," "),CHAR(13)," ")),""))</f>
        <v/>
      </c>
      <c r="DC995">
        <f>IF(AND(991&gt;HEADER_ROW,UPPER(DB995)="LEGEND"),1,0)</f>
        <v/>
      </c>
      <c r="DE995" t="n">
        <v>991</v>
      </c>
      <c r="DF995">
        <f>HEADER_ROW+$DE995</f>
        <v/>
      </c>
      <c r="DG995">
        <f>IF(AND($DF995&lt;=1000,$DF995&lt;$B$8),1,0)</f>
        <v/>
      </c>
      <c r="DH995">
        <f>IF($DG995=1,IFERROR(INDEX($DB$5:$DB$1004,$DF995),""),"")</f>
        <v/>
      </c>
      <c r="DI995">
        <f>IF(AND($DG995=1,$DH995&lt;&gt;""),IFERROR(SUBSTITUTE(SUBSTITUTE(TRIM(SUBSTITUTE(SUBSTITUTE(SUBSTITUTE(SUBSTITUTE(IFERROR(INDEX(PASTE_ALL,$DF995,1)&amp;"","")&amp;"␟"&amp;IFERROR(INDEX(PASTE_ALL,$DF995,2)&amp;"","")&amp;"␟"&amp;IFERROR(INDEX(PASTE_ALL,$DF995,3)&amp;"","")&amp;"␟"&amp;IFERROR(INDEX(PASTE_ALL,$DF995,4)&amp;"","")&amp;"␟"&amp;IFERROR(INDEX(PASTE_ALL,$DF995,5)&amp;"","")&amp;"␟"&amp;IFERROR(INDEX(PASTE_ALL,$DF995,6)&amp;"","")&amp;"␟"&amp;IFERROR(INDEX(PASTE_ALL,$DF995,7)&amp;"","")&amp;"␟"&amp;IFERROR(INDEX(PASTE_ALL,$DF995,8)&amp;"","")&amp;"␟"&amp;IFERROR(INDEX(PASTE_ALL,$DF995,9)&amp;"","")&amp;"␟"&amp;IFERROR(INDEX(PASTE_ALL,$DF995,10)&amp;"","")&amp;"␟"&amp;IFERROR(INDEX(PASTE_ALL,$DF995,11)&amp;"","")&amp;"␟"&amp;IFERROR(INDEX(PASTE_ALL,$DF995,12)&amp;"","")&amp;"␟"&amp;IFERROR(INDEX(PASTE_ALL,$DF995,13)&amp;"","")&amp;"␟"&amp;IFERROR(INDEX(PASTE_ALL,$DF995,14)&amp;"","")&amp;"␟"&amp;IFERROR(INDEX(PASTE_ALL,$DF995,15)&amp;"","")&amp;"␟"&amp;IFERROR(INDEX(PASTE_ALL,$DF995,16)&amp;"","")&amp;"␟"&amp;IFERROR(INDEX(PASTE_ALL,$DF995,17)&amp;"","")&amp;"␟"&amp;IFERROR(INDEX(PASTE_ALL,$DF995,18)&amp;"","")&amp;"␟"&amp;IFERROR(INDEX(PASTE_ALL,$DF995,19)&amp;"","")&amp;"␟"&amp;IFERROR(INDEX(PASTE_ALL,$DF995,20)&amp;"","")&amp;"␟"&amp;IFERROR(INDEX(PASTE_ALL,$DF995,21)&amp;"","")&amp;"␟"&amp;IFERROR(INDEX(PASTE_ALL,$DF995,22)&amp;"","")&amp;"␟"&amp;IFERROR(INDEX(PASTE_ALL,$DF995,23)&amp;"","")&amp;"␟"&amp;IFERROR(INDEX(PASTE_ALL,$DF995,24)&amp;"","")&amp;"␟"&amp;IFERROR(INDEX(PASTE_ALL,$DF995,25)&amp;"","")&amp;"␟"&amp;IFERROR(INDEX(PASTE_ALL,$DF995,26)&amp;"","")&amp;"␟"&amp;IFERROR(INDEX(PASTE_ALL,$DF995,27)&amp;"","")&amp;"␟"&amp;IFERROR(INDEX(PASTE_ALL,$DF995,28)&amp;"","")&amp;"␟"&amp;IFERROR(INDEX(PASTE_ALL,$DF995,29)&amp;"","")&amp;"␟"&amp;IFERROR(INDEX(PASTE_ALL,$DF995,30)&amp;"","")&amp;"␟"&amp;IFERROR(INDEX(PASTE_ALL,$DF995,31)&amp;"","")&amp;"␟"&amp;IFERROR(INDEX(PASTE_ALL,$DF995,32)&amp;"","")&amp;"␟"&amp;IFERROR(INDEX(PASTE_ALL,$DF995,33)&amp;"","")&amp;"␟"&amp;IFERROR(INDEX(PASTE_ALL,$DF995,34)&amp;"","")&amp;"␟"&amp;IFERROR(INDEX(PASTE_ALL,$DF995,35)&amp;"","")&amp;"␟"&amp;IFERROR(INDEX(PASTE_ALL,$DF995,36)&amp;"","")&amp;"␟"&amp;IFERROR(INDEX(PASTE_ALL,$DF995,37)&amp;"","")&amp;"␟"&amp;IFERROR(INDEX(PASTE_ALL,$DF995,38)&amp;"","")&amp;"␟"&amp;IFERROR(INDEX(PASTE_ALL,$DF995,39)&amp;"","")&amp;"␟"&amp;IFERROR(INDEX(PASTE_ALL,$DF995,40)&amp;"","")&amp;"␟"&amp;IFERROR(INDEX(PASTE_ALL,$DF995,41)&amp;"","")&amp;"␟"&amp;IFERROR(INDEX(PASTE_ALL,$DF995,42)&amp;"","")&amp;"␟"&amp;IFERROR(INDEX(PASTE_ALL,$DF995,43)&amp;"","")&amp;"␟"&amp;IFERROR(INDEX(PASTE_ALL,$DF995,44)&amp;"","")&amp;"␟"&amp;IFERROR(INDEX(PASTE_ALL,$DF995,45)&amp;"","")&amp;"␟"&amp;IFERROR(INDEX(PASTE_ALL,$DF995,46)&amp;"","")&amp;"␟"&amp;IFERROR(INDEX(PASTE_ALL,$DF995,47)&amp;"","")&amp;"␟"&amp;IFERROR(INDEX(PASTE_ALL,$DF995,48)&amp;"","")&amp;"␟"&amp;IFERROR(INDEX(PASTE_ALL,$DF995,49)&amp;"","")&amp;"␟"&amp;IFERROR(INDEX(PASTE_ALL,$DF995,50)&amp;"","")&amp;"␟"&amp;IFERROR(INDEX(PASTE_ALL,$DF995,51)&amp;"","")&amp;"␟"&amp;IFERROR(INDEX(PASTE_ALL,$DF995,52)&amp;"","")&amp;"␟"&amp;IFERROR(INDEX(PASTE_ALL,$DF995,53)&amp;"","")&amp;"␟"&amp;IFERROR(INDEX(PASTE_ALL,$DF995,54)&amp;"","")&amp;"␟"&amp;IFERROR(INDEX(PASTE_ALL,$DF995,55)&amp;"","")&amp;"␟"&amp;IFERROR(INDEX(PASTE_ALL,$DF995,56)&amp;"","")&amp;"␟"&amp;IFERROR(INDEX(PASTE_ALL,$DF995,57)&amp;"","")&amp;"␟"&amp;IFERROR(INDEX(PASTE_ALL,$DF995,58)&amp;"","")&amp;"␟"&amp;IFERROR(INDEX(PASTE_ALL,$DF995,59)&amp;"","")&amp;"␟"&amp;IFERROR(INDEX(PASTE_ALL,$DF995,60)&amp;"","")," "," "),CHAR(9)," "),CHAR(10)," "),CHAR(13)," "))," ␟","␟"),"␟ ","␟"),"#"&amp;$DE995),"")</f>
        <v/>
      </c>
      <c r="DJ995">
        <f>IF($DI995="",0,IF(SUMPRODUCT(--EXACT($DI$4:DI994,$DI995))&gt;0,1,0))</f>
        <v/>
      </c>
      <c r="DK995">
        <f>IF(AND($DI995&lt;&gt;"",$DJ995=0),1,0)</f>
        <v/>
      </c>
      <c r="DL995">
        <f>DL994+$DK995</f>
        <v/>
      </c>
      <c r="DM995">
        <f>IF(AND($DK995=1,$DL995&lt;=600),1,0)</f>
        <v/>
      </c>
      <c r="DN995">
        <f>IF($DM995=0,"",IF($L$6=0,"",IFERROR(IF(ISNUMBER(INDEX(PASTE_ALL,$DF995,$L$6)),INDEX(PASTE_ALL,$DF995,$L$6),TRIM(SUBSTITUTE(SUBSTITUTE(SUBSTITUTE(SUBSTITUTE(INDEX(PASTE_ALL,$DF995,$L$6)," "," "),CHAR(9)," "),CHAR(10)," "),CHAR(13)," "))),"")))</f>
        <v/>
      </c>
      <c r="DO995">
        <f>IF($DM995=0,"",IF($L$7=0,"",IFERROR(IF(ISNUMBER(INDEX(PASTE_ALL,$DF995,$L$7)),INDEX(PASTE_ALL,$DF995,$L$7),TRIM(SUBSTITUTE(SUBSTITUTE(SUBSTITUTE(SUBSTITUTE(INDEX(PASTE_ALL,$DF995,$L$7)," "," "),CHAR(9)," "),CHAR(10)," "),CHAR(13)," "))),"")))</f>
        <v/>
      </c>
      <c r="DP995">
        <f>IF($DM995=0,"",IF($L$8=0,"",IFERROR(IF(ISNUMBER(INDEX(PASTE_ALL,$DF995,$L$8)),INDEX(PASTE_ALL,$DF995,$L$8),TRIM(SUBSTITUTE(SUBSTITUTE(SUBSTITUTE(SUBSTITUTE(INDEX(PASTE_ALL,$DF995,$L$8)," "," "),CHAR(9)," "),CHAR(10)," "),CHAR(13)," "))),"")))</f>
        <v/>
      </c>
      <c r="DQ995">
        <f>IF($DM995=0,"",IF($L$9=0,"",IFERROR(IF(ISNUMBER(INDEX(PASTE_ALL,$DF995,$L$9)),INDEX(PASTE_ALL,$DF995,$L$9),TRIM(SUBSTITUTE(SUBSTITUTE(SUBSTITUTE(SUBSTITUTE(INDEX(PASTE_ALL,$DF995,$L$9)," "," "),CHAR(9)," "),CHAR(10)," "),CHAR(13)," "))),"")))</f>
        <v/>
      </c>
      <c r="DR995">
        <f>IF($DM995=0,"",IF($L$10=0,"",IFERROR(IF(ISNUMBER(INDEX(PASTE_ALL,$DF995,$L$10)),INDEX(PASTE_ALL,$DF995,$L$10),TRIM(SUBSTITUTE(SUBSTITUTE(SUBSTITUTE(SUBSTITUTE(INDEX(PASTE_ALL,$DF995,$L$10)," "," "),CHAR(9)," "),CHAR(10)," "),CHAR(13)," "))),"")))</f>
        <v/>
      </c>
      <c r="DS995">
        <f>IF($DM995=0,"",IF($L$11=0,"",IFERROR(IF(ISNUMBER(INDEX(PASTE_ALL,$DF995,$L$11)),INDEX(PASTE_ALL,$DF995,$L$11),TRIM(SUBSTITUTE(SUBSTITUTE(SUBSTITUTE(SUBSTITUTE(INDEX(PASTE_ALL,$DF995,$L$11)," "," "),CHAR(9)," "),CHAR(10)," "),CHAR(13)," "))),"")))</f>
        <v/>
      </c>
      <c r="DT995">
        <f>IF($DM995=0,"",IF($L$12=0,"",IFERROR(IF(ISNUMBER(INDEX(PASTE_ALL,$DF995,$L$12)),INDEX(PASTE_ALL,$DF995,$L$12),TRIM(SUBSTITUTE(SUBSTITUTE(SUBSTITUTE(SUBSTITUTE(INDEX(PASTE_ALL,$DF995,$L$12)," "," "),CHAR(9)," "),CHAR(10)," "),CHAR(13)," "))),"")))</f>
        <v/>
      </c>
      <c r="DU995">
        <f>IF($DM995=0,"",IF($L$13=0,"",IFERROR(IF(ISNUMBER(INDEX(PASTE_ALL,$DF995,$L$13)),INDEX(PASTE_ALL,$DF995,$L$13),TRIM(SUBSTITUTE(SUBSTITUTE(SUBSTITUTE(SUBSTITUTE(INDEX(PASTE_ALL,$DF995,$L$13)," "," "),CHAR(9)," "),CHAR(10)," "),CHAR(13)," "))),"")))</f>
        <v/>
      </c>
      <c r="DV995">
        <f>IF($DM995=0,"",IF($L$14=0,"",IFERROR(IF(ISNUMBER(INDEX(PASTE_ALL,$DF995,$L$14)),INDEX(PASTE_ALL,$DF995,$L$14),TRIM(SUBSTITUTE(SUBSTITUTE(SUBSTITUTE(SUBSTITUTE(INDEX(PASTE_ALL,$DF995,$L$14)," "," "),CHAR(9)," "),CHAR(10)," "),CHAR(13)," "))),"")))</f>
        <v/>
      </c>
      <c r="DW995">
        <f>IF($DM995=0,"",IF($L$15=0,"",IFERROR(IF(ISNUMBER(INDEX(PASTE_ALL,$DF995,$L$15)),INDEX(PASTE_ALL,$DF995,$L$15),IF(SUMPRODUCT(--ISNUMBER(FIND({"A","B","C","D","E","F","G","H","I","J","K","L","M","N","O","P","Q","R","S","T","U","V","W","X","Y","Z","0","1","2","3","4","5","6","7","8","9"},UPPER(TRIM(SUBSTITUTE(SUBSTITUTE(SUBSTITUTE(SUBSTITUTE(INDEX(PASTE_ALL,$DF995,$L$15)," "," "),CHAR(9)," "),CHAR(10)," "),CHAR(13)," "))))))&gt;0,TRIM(SUBSTITUTE(SUBSTITUTE(SUBSTITUTE(SUBSTITUTE(INDEX(PASTE_ALL,$DF995,$L$15)," "," "),CHAR(9)," "),CHAR(10)," "),CHAR(13)," ")),"")),"")))</f>
        <v/>
      </c>
      <c r="DX995">
        <f>IF($DM995=0,"",IF($L$16=0,"",IFERROR(IF(ISNUMBER(INDEX(PASTE_ALL,$DF995,$L$16)),INDEX(PASTE_ALL,$DF995,$L$16),SUBSTITUTE(SUBSTITUTE(TRIM(SUBSTITUTE(SUBSTITUTE(SUBSTITUTE(SUBSTITUTE(INDEX(PASTE_ALL,$DF995,$L$16)," "," "),CHAR(9)," "),CHAR(10)," "),CHAR(13)," ")),",",""),"%","")),"")))</f>
        <v/>
      </c>
      <c r="DY995">
        <f>IF($DM995=0,"",IFERROR(IF(ISNUMBER($DX995),$DX995,IF($DX995="","",IF(TRIM($DX995)="",0,IF(AND(AND(SUBSTITUTE(SUBSTITUTE(SUBSTITUTE(SUBSTITUTE(SUBSTITUTE(SUBSTITUTE(SUBSTITUTE(SUBSTITUTE(SUBSTITUTE(SUBSTITUTE(SUBSTITUTE(SUBSTITUTE(SUBSTITUTE(SUBSTITUTE(UPPER(TRIM($DX995)),"0",""),"1",""),"2",""),"3",""),"4",""),"5",""),"6",""),"7",""),"8",""),"9",""),".",""),"+",""),"-",""),"E","")="",LEN(SUBSTITUTE(SUBSTITUTE(MID(UPPER(TRIM($DX995)),1+OR(LEFT(UPPER(TRIM($DX995)),1)="+",LEFT(UPPER(TRIM($DX995)),1)="-"),999),"E+","E"),"E-","E"))=LEN(SUBSTITUTE(SUBSTITUTE(SUBSTITUTE(SUBSTITUTE(MID(UPPER(TRIM($DX995)),1+OR(LEFT(UPPER(TRIM($DX995)),1)="+",LEFT(UPPER(TRIM($DX995)),1)="-"),999),"E+","E"),"E-","E"),"+",""),"-","")),LEN(UPPER(TRIM($DX995)))-LEN(SUBSTITUTE(UPPER(TRIM($DX995)),"E",""))&lt;2,LEN(UPPER(TRIM($DX995)))-LEN(SUBSTITUTE(UPPER(TRIM($DX995)),".",""))&lt;2,IFERROR(FIND(".",UPPER(TRIM($DX995))),0)&lt;IFERROR(FIND("E",UPPER(TRIM($DX995))),999)),ISNUMBER(VALUE(TRIM($DX995)))),VALUE(TRIM($DX995)),"")))),""))</f>
        <v/>
      </c>
      <c r="DZ995">
        <f>IF($DM995=0,"",IF($L$17=0,"",IFERROR(IF(ISNUMBER(INDEX(PASTE_ALL,$DF995,$L$17)),INDEX(PASTE_ALL,$DF995,$L$17),SUBSTITUTE(SUBSTITUTE(TRIM(SUBSTITUTE(SUBSTITUTE(SUBSTITUTE(SUBSTITUTE(INDEX(PASTE_ALL,$DF995,$L$17)," "," "),CHAR(9)," "),CHAR(10)," "),CHAR(13)," ")),",",""),"%","")),"")))</f>
        <v/>
      </c>
      <c r="EA995">
        <f>IF($DM995=0,"",IFERROR(IF(ISNUMBER($DZ995),$DZ995,IF($DZ995="","",IF(TRIM($DZ995)="",0,IF(AND(AND(SUBSTITUTE(SUBSTITUTE(SUBSTITUTE(SUBSTITUTE(SUBSTITUTE(SUBSTITUTE(SUBSTITUTE(SUBSTITUTE(SUBSTITUTE(SUBSTITUTE(SUBSTITUTE(SUBSTITUTE(SUBSTITUTE(SUBSTITUTE(UPPER(TRIM($DZ995)),"0",""),"1",""),"2",""),"3",""),"4",""),"5",""),"6",""),"7",""),"8",""),"9",""),".",""),"+",""),"-",""),"E","")="",LEN(SUBSTITUTE(SUBSTITUTE(MID(UPPER(TRIM($DZ995)),1+OR(LEFT(UPPER(TRIM($DZ995)),1)="+",LEFT(UPPER(TRIM($DZ995)),1)="-"),999),"E+","E"),"E-","E"))=LEN(SUBSTITUTE(SUBSTITUTE(SUBSTITUTE(SUBSTITUTE(MID(UPPER(TRIM($DZ995)),1+OR(LEFT(UPPER(TRIM($DZ995)),1)="+",LEFT(UPPER(TRIM($DZ995)),1)="-"),999),"E+","E"),"E-","E"),"+",""),"-","")),LEN(UPPER(TRIM($DZ995)))-LEN(SUBSTITUTE(UPPER(TRIM($DZ995)),"E",""))&lt;2,LEN(UPPER(TRIM($DZ995)))-LEN(SUBSTITUTE(UPPER(TRIM($DZ995)),".",""))&lt;2,IFERROR(FIND(".",UPPER(TRIM($DZ995))),0)&lt;IFERROR(FIND("E",UPPER(TRIM($DZ995))),999)),ISNUMBER(VALUE(TRIM($DZ995)))),VALUE(TRIM($DZ995)),"")))),""))</f>
        <v/>
      </c>
      <c r="EB995">
        <f>IF($DM995=0,"",IF($L$18=0,"",IFERROR(IF(UPPER(TRIM(SUBSTITUTE(SUBSTITUTE(SUBSTITUTE(SUBSTITUTE(INDEX(PASTE_ALL,$DF995,$L$18)," "," "),CHAR(9)," "),CHAR(10)," "),CHAR(13)," ")))="READY","Ready",IF(UPPER(TRIM(SUBSTITUTE(SUBSTITUTE(SUBSTITUTE(SUBSTITUTE(INDEX(PASTE_ALL,$DF995,$L$18)," "," "),CHAR(9)," "),CHAR(10)," "),CHAR(13)," ")))="PM","PM",IF(OR(UPPER(TRIM(SUBSTITUTE(SUBSTITUTE(SUBSTITUTE(SUBSTITUTE(INDEX(PASTE_ALL,$DF995,$L$18)," "," "),CHAR(9)," "),CHAR(10)," "),CHAR(13)," ")))="OT",UPPER(TRIM(SUBSTITUTE(SUBSTITUTE(SUBSTITUTE(SUBSTITUTE(INDEX(PASTE_ALL,$DF995,$L$18)," "," "),CHAR(9)," "),CHAR(10)," "),CHAR(13)," ")))="OVERTIME",UPPER(TRIM(SUBSTITUTE(SUBSTITUTE(SUBSTITUTE(SUBSTITUTE(INDEX(PASTE_ALL,$DF995,$L$18)," "," "),CHAR(9)," "),CHAR(10)," "),CHAR(13)," ")))="TRIAL"),"OT",TRIM(SUBSTITUTE(SUBSTITUTE(SUBSTITUTE(SUBSTITUTE(INDEX(PASTE_ALL,$DF995,$L$18)," "," "),CHAR(9)," "),CHAR(10)," "),CHAR(13)," "))))),"")))</f>
        <v/>
      </c>
      <c r="EC995">
        <f>IF($DM995=0,"",IF($L$19=0,"",IFERROR(IF(ISNUMBER(INDEX(PASTE_ALL,$DF995,$L$19)),INDEX(PASTE_ALL,$DF995,$L$19),TRIM(SUBSTITUTE(SUBSTITUTE(SUBSTITUTE(SUBSTITUTE(INDEX(PASTE_ALL,$DF995,$L$19)," "," "),CHAR(9)," "),CHAR(10)," "),CHAR(13)," "))),"")))</f>
        <v/>
      </c>
      <c r="ED995">
        <f>IF($DM995=0,"",MATCH(1,INDEX(EXACT($DH$5:DH995,$DH995)*$DM$5:DM995,0),0))</f>
        <v/>
      </c>
      <c r="EE995">
        <f>IF($DM995=0,0,IF($ED995=$DE995,1,0))</f>
        <v/>
      </c>
      <c r="EF995">
        <f>EF994+$EE995</f>
        <v/>
      </c>
      <c r="EG995">
        <f>IF($DM995=0,"",INDEX($EF$5:$EF$1003,$ED995))</f>
        <v/>
      </c>
      <c r="EH995">
        <f>IF($DM995=0,"",IF($DO995&lt;&gt;"","",IFERROR(LOOKUP(2,1/(($EG$4:EG994=$EG995)*($DO$4:DO994&lt;&gt;"")),$DO$4:DO994),"")))</f>
        <v/>
      </c>
      <c r="EI995">
        <f>IF($DM995=0,"",IF($DO995&lt;&gt;"",$DO995,$EH995))</f>
        <v/>
      </c>
      <c r="EJ995">
        <f>IF($DM995=0,"",IF($EI995="",0,IF(OR(ISNUMBER($EI995),AND(AND(SUBSTITUTE(SUBSTITUTE(SUBSTITUTE(SUBSTITUTE(SUBSTITUTE(SUBSTITUTE(SUBSTITUTE(SUBSTITUTE(SUBSTITUTE(SUBSTITUTE(SUBSTITUTE(SUBSTITUTE(SUBSTITUTE(SUBSTITUTE(UPPER($EI995),"0",""),"1",""),"2",""),"3",""),"4",""),"5",""),"6",""),"7",""),"8",""),"9",""),".",""),"+",""),"-",""),"E","")="",LEN(SUBSTITUTE(SUBSTITUTE(MID(UPPER($EI995),1+OR(LEFT(UPPER($EI995),1)="+",LEFT(UPPER($EI995),1)="-"),999),"E+","E"),"E-","E"))=LEN(SUBSTITUTE(SUBSTITUTE(SUBSTITUTE(SUBSTITUTE(MID(UPPER($EI995),1+OR(LEFT(UPPER($EI995),1)="+",LEFT(UPPER($EI995),1)="-"),999),"E+","E"),"E-","E"),"+",""),"-","")),LEN(UPPER($EI995))-LEN(SUBSTITUTE(UPPER($EI995),"E",""))&lt;2,LEN(UPPER($EI995))-LEN(SUBSTITUTE(UPPER($EI995),".",""))&lt;2,IFERROR(FIND(".",UPPER($EI995)),0)&lt;IFERROR(FIND("E",UPPER($EI995)),999)),ISNUMBER(VALUE($EI995)))),1,2)))</f>
        <v/>
      </c>
      <c r="EK995">
        <f>IF($DM995=0,"",IF($EJ995=1,IF(ISNUMBER($EI995),$EI995,VALUE($EI995)),IF($EJ995=2,$DE995,0)))</f>
        <v/>
      </c>
      <c r="EL995">
        <f>IF($DM995=0,"",COUNTIF($EG$5:$EG$1003,"&lt;"&amp;$EG995)+SUMPRODUCT(($EG$5:$EG$1003=$EG995)*(($EJ$5:$EJ$1003&lt;$EJ995)+($EJ$5:$EJ$1003=$EJ995)*(($EK$5:$EK$1003&lt;$EK995)+($EK$5:$EK$1003=$EK995)*($DE$5:$DE$1003&lt;$DE995))))+1)</f>
        <v/>
      </c>
      <c r="EM995">
        <f>IF($DM995=0,"",$EL995+$EG995-1)</f>
        <v/>
      </c>
      <c r="EN995">
        <f>IF($DM995=0,0,IFERROR(MATCH(1,INDEX(--(TRIM(SUBSTITUTE(SUBSTITUTE(SUBSTITUTE(SUBSTITUTE(LINES_NAME&amp;""," "," "),CHAR(9)," "),CHAR(10)," "),CHAR(13)," "))=$DH995),0),0),0))</f>
        <v/>
      </c>
      <c r="EO995">
        <f>IF($EN995=0,0,IF(OR(UPPER(TRIM(INDEX(LINES_SCHEDULED,$EN995)&amp;""))="YES",UPPER(TRIM(INDEX(LINES_SCHEDULED,$EN995)&amp;""))="Y",UPPER(TRIM(INDEX(LINES_SCHEDULED,$EN995)&amp;""))="X"),1,0))</f>
        <v/>
      </c>
      <c r="EP995">
        <f>IF($DM995=0,"",IF(COUNTIFS($EG$5:$EG$1003,$EG995,$EB$5:$EB$1003,"Ready")&gt;0,"READY",IF(COUNTIFS($EG$5:$EG$1003,$EG995,$EB$5:$EB$1003,"PM")&gt;0,"PM",IF(COUNTIFS($EG$5:$EG$1003,$EG995,$EB$5:$EB$1003,"OT")&gt;0,"OT",""))))</f>
        <v/>
      </c>
      <c r="EQ995">
        <f>IF($EN995=0,"",UPPER(TRIM(INDEX(LINES_STATUS,$EN995)&amp;"")))</f>
        <v/>
      </c>
      <c r="ER995">
        <f>IF($DM995=0,"",IF(OR($EQ995="READY",$EQ995="PM",$EQ995="OT"),$EQ995,$EP995))</f>
        <v/>
      </c>
      <c r="ES995">
        <f>IF($DM995=0,"",IF(AND($DV995&lt;&gt;"",UPPER($DV995)&lt;&gt;"N"),"allergen",IF(ISNUMBER(SEARCH("oil",$DQ995)),"oil",IF(OR(EXACT($DS995,"A662"),EXACT($DS995,"A624")),"bulk",""))))</f>
        <v/>
      </c>
      <c r="ET995">
        <f>IF($DM995=0,"",IF(OR($EA995="",$EA995=0),"",$EA995/100))</f>
        <v/>
      </c>
      <c r="EU995">
        <f>IF(OR($ET995="",$DY995=""),"",INT($DY995*(1-$ET995)+0.5))</f>
        <v/>
      </c>
    </row>
    <row r="996">
      <c r="DA996" t="n">
        <v>992</v>
      </c>
      <c r="DB996">
        <f>IF($B$37=0,"",IFERROR(TRIM(SUBSTITUTE(SUBSTITUTE(SUBSTITUTE(SUBSTITUTE(INDEX(PASTE_ALL,992,$B$37)," "," "),CHAR(9)," "),CHAR(10)," "),CHAR(13)," ")),""))</f>
        <v/>
      </c>
      <c r="DC996">
        <f>IF(AND(992&gt;HEADER_ROW,UPPER(DB996)="LEGEND"),1,0)</f>
        <v/>
      </c>
      <c r="DE996" t="n">
        <v>992</v>
      </c>
      <c r="DF996">
        <f>HEADER_ROW+$DE996</f>
        <v/>
      </c>
      <c r="DG996">
        <f>IF(AND($DF996&lt;=1000,$DF996&lt;$B$8),1,0)</f>
        <v/>
      </c>
      <c r="DH996">
        <f>IF($DG996=1,IFERROR(INDEX($DB$5:$DB$1004,$DF996),""),"")</f>
        <v/>
      </c>
      <c r="DI996">
        <f>IF(AND($DG996=1,$DH996&lt;&gt;""),IFERROR(SUBSTITUTE(SUBSTITUTE(TRIM(SUBSTITUTE(SUBSTITUTE(SUBSTITUTE(SUBSTITUTE(IFERROR(INDEX(PASTE_ALL,$DF996,1)&amp;"","")&amp;"␟"&amp;IFERROR(INDEX(PASTE_ALL,$DF996,2)&amp;"","")&amp;"␟"&amp;IFERROR(INDEX(PASTE_ALL,$DF996,3)&amp;"","")&amp;"␟"&amp;IFERROR(INDEX(PASTE_ALL,$DF996,4)&amp;"","")&amp;"␟"&amp;IFERROR(INDEX(PASTE_ALL,$DF996,5)&amp;"","")&amp;"␟"&amp;IFERROR(INDEX(PASTE_ALL,$DF996,6)&amp;"","")&amp;"␟"&amp;IFERROR(INDEX(PASTE_ALL,$DF996,7)&amp;"","")&amp;"␟"&amp;IFERROR(INDEX(PASTE_ALL,$DF996,8)&amp;"","")&amp;"␟"&amp;IFERROR(INDEX(PASTE_ALL,$DF996,9)&amp;"","")&amp;"␟"&amp;IFERROR(INDEX(PASTE_ALL,$DF996,10)&amp;"","")&amp;"␟"&amp;IFERROR(INDEX(PASTE_ALL,$DF996,11)&amp;"","")&amp;"␟"&amp;IFERROR(INDEX(PASTE_ALL,$DF996,12)&amp;"","")&amp;"␟"&amp;IFERROR(INDEX(PASTE_ALL,$DF996,13)&amp;"","")&amp;"␟"&amp;IFERROR(INDEX(PASTE_ALL,$DF996,14)&amp;"","")&amp;"␟"&amp;IFERROR(INDEX(PASTE_ALL,$DF996,15)&amp;"","")&amp;"␟"&amp;IFERROR(INDEX(PASTE_ALL,$DF996,16)&amp;"","")&amp;"␟"&amp;IFERROR(INDEX(PASTE_ALL,$DF996,17)&amp;"","")&amp;"␟"&amp;IFERROR(INDEX(PASTE_ALL,$DF996,18)&amp;"","")&amp;"␟"&amp;IFERROR(INDEX(PASTE_ALL,$DF996,19)&amp;"","")&amp;"␟"&amp;IFERROR(INDEX(PASTE_ALL,$DF996,20)&amp;"","")&amp;"␟"&amp;IFERROR(INDEX(PASTE_ALL,$DF996,21)&amp;"","")&amp;"␟"&amp;IFERROR(INDEX(PASTE_ALL,$DF996,22)&amp;"","")&amp;"␟"&amp;IFERROR(INDEX(PASTE_ALL,$DF996,23)&amp;"","")&amp;"␟"&amp;IFERROR(INDEX(PASTE_ALL,$DF996,24)&amp;"","")&amp;"␟"&amp;IFERROR(INDEX(PASTE_ALL,$DF996,25)&amp;"","")&amp;"␟"&amp;IFERROR(INDEX(PASTE_ALL,$DF996,26)&amp;"","")&amp;"␟"&amp;IFERROR(INDEX(PASTE_ALL,$DF996,27)&amp;"","")&amp;"␟"&amp;IFERROR(INDEX(PASTE_ALL,$DF996,28)&amp;"","")&amp;"␟"&amp;IFERROR(INDEX(PASTE_ALL,$DF996,29)&amp;"","")&amp;"␟"&amp;IFERROR(INDEX(PASTE_ALL,$DF996,30)&amp;"","")&amp;"␟"&amp;IFERROR(INDEX(PASTE_ALL,$DF996,31)&amp;"","")&amp;"␟"&amp;IFERROR(INDEX(PASTE_ALL,$DF996,32)&amp;"","")&amp;"␟"&amp;IFERROR(INDEX(PASTE_ALL,$DF996,33)&amp;"","")&amp;"␟"&amp;IFERROR(INDEX(PASTE_ALL,$DF996,34)&amp;"","")&amp;"␟"&amp;IFERROR(INDEX(PASTE_ALL,$DF996,35)&amp;"","")&amp;"␟"&amp;IFERROR(INDEX(PASTE_ALL,$DF996,36)&amp;"","")&amp;"␟"&amp;IFERROR(INDEX(PASTE_ALL,$DF996,37)&amp;"","")&amp;"␟"&amp;IFERROR(INDEX(PASTE_ALL,$DF996,38)&amp;"","")&amp;"␟"&amp;IFERROR(INDEX(PASTE_ALL,$DF996,39)&amp;"","")&amp;"␟"&amp;IFERROR(INDEX(PASTE_ALL,$DF996,40)&amp;"","")&amp;"␟"&amp;IFERROR(INDEX(PASTE_ALL,$DF996,41)&amp;"","")&amp;"␟"&amp;IFERROR(INDEX(PASTE_ALL,$DF996,42)&amp;"","")&amp;"␟"&amp;IFERROR(INDEX(PASTE_ALL,$DF996,43)&amp;"","")&amp;"␟"&amp;IFERROR(INDEX(PASTE_ALL,$DF996,44)&amp;"","")&amp;"␟"&amp;IFERROR(INDEX(PASTE_ALL,$DF996,45)&amp;"","")&amp;"␟"&amp;IFERROR(INDEX(PASTE_ALL,$DF996,46)&amp;"","")&amp;"␟"&amp;IFERROR(INDEX(PASTE_ALL,$DF996,47)&amp;"","")&amp;"␟"&amp;IFERROR(INDEX(PASTE_ALL,$DF996,48)&amp;"","")&amp;"␟"&amp;IFERROR(INDEX(PASTE_ALL,$DF996,49)&amp;"","")&amp;"␟"&amp;IFERROR(INDEX(PASTE_ALL,$DF996,50)&amp;"","")&amp;"␟"&amp;IFERROR(INDEX(PASTE_ALL,$DF996,51)&amp;"","")&amp;"␟"&amp;IFERROR(INDEX(PASTE_ALL,$DF996,52)&amp;"","")&amp;"␟"&amp;IFERROR(INDEX(PASTE_ALL,$DF996,53)&amp;"","")&amp;"␟"&amp;IFERROR(INDEX(PASTE_ALL,$DF996,54)&amp;"","")&amp;"␟"&amp;IFERROR(INDEX(PASTE_ALL,$DF996,55)&amp;"","")&amp;"␟"&amp;IFERROR(INDEX(PASTE_ALL,$DF996,56)&amp;"","")&amp;"␟"&amp;IFERROR(INDEX(PASTE_ALL,$DF996,57)&amp;"","")&amp;"␟"&amp;IFERROR(INDEX(PASTE_ALL,$DF996,58)&amp;"","")&amp;"␟"&amp;IFERROR(INDEX(PASTE_ALL,$DF996,59)&amp;"","")&amp;"␟"&amp;IFERROR(INDEX(PASTE_ALL,$DF996,60)&amp;"","")," "," "),CHAR(9)," "),CHAR(10)," "),CHAR(13)," "))," ␟","␟"),"␟ ","␟"),"#"&amp;$DE996),"")</f>
        <v/>
      </c>
      <c r="DJ996">
        <f>IF($DI996="",0,IF(SUMPRODUCT(--EXACT($DI$4:DI995,$DI996))&gt;0,1,0))</f>
        <v/>
      </c>
      <c r="DK996">
        <f>IF(AND($DI996&lt;&gt;"",$DJ996=0),1,0)</f>
        <v/>
      </c>
      <c r="DL996">
        <f>DL995+$DK996</f>
        <v/>
      </c>
      <c r="DM996">
        <f>IF(AND($DK996=1,$DL996&lt;=600),1,0)</f>
        <v/>
      </c>
      <c r="DN996">
        <f>IF($DM996=0,"",IF($L$6=0,"",IFERROR(IF(ISNUMBER(INDEX(PASTE_ALL,$DF996,$L$6)),INDEX(PASTE_ALL,$DF996,$L$6),TRIM(SUBSTITUTE(SUBSTITUTE(SUBSTITUTE(SUBSTITUTE(INDEX(PASTE_ALL,$DF996,$L$6)," "," "),CHAR(9)," "),CHAR(10)," "),CHAR(13)," "))),"")))</f>
        <v/>
      </c>
      <c r="DO996">
        <f>IF($DM996=0,"",IF($L$7=0,"",IFERROR(IF(ISNUMBER(INDEX(PASTE_ALL,$DF996,$L$7)),INDEX(PASTE_ALL,$DF996,$L$7),TRIM(SUBSTITUTE(SUBSTITUTE(SUBSTITUTE(SUBSTITUTE(INDEX(PASTE_ALL,$DF996,$L$7)," "," "),CHAR(9)," "),CHAR(10)," "),CHAR(13)," "))),"")))</f>
        <v/>
      </c>
      <c r="DP996">
        <f>IF($DM996=0,"",IF($L$8=0,"",IFERROR(IF(ISNUMBER(INDEX(PASTE_ALL,$DF996,$L$8)),INDEX(PASTE_ALL,$DF996,$L$8),TRIM(SUBSTITUTE(SUBSTITUTE(SUBSTITUTE(SUBSTITUTE(INDEX(PASTE_ALL,$DF996,$L$8)," "," "),CHAR(9)," "),CHAR(10)," "),CHAR(13)," "))),"")))</f>
        <v/>
      </c>
      <c r="DQ996">
        <f>IF($DM996=0,"",IF($L$9=0,"",IFERROR(IF(ISNUMBER(INDEX(PASTE_ALL,$DF996,$L$9)),INDEX(PASTE_ALL,$DF996,$L$9),TRIM(SUBSTITUTE(SUBSTITUTE(SUBSTITUTE(SUBSTITUTE(INDEX(PASTE_ALL,$DF996,$L$9)," "," "),CHAR(9)," "),CHAR(10)," "),CHAR(13)," "))),"")))</f>
        <v/>
      </c>
      <c r="DR996">
        <f>IF($DM996=0,"",IF($L$10=0,"",IFERROR(IF(ISNUMBER(INDEX(PASTE_ALL,$DF996,$L$10)),INDEX(PASTE_ALL,$DF996,$L$10),TRIM(SUBSTITUTE(SUBSTITUTE(SUBSTITUTE(SUBSTITUTE(INDEX(PASTE_ALL,$DF996,$L$10)," "," "),CHAR(9)," "),CHAR(10)," "),CHAR(13)," "))),"")))</f>
        <v/>
      </c>
      <c r="DS996">
        <f>IF($DM996=0,"",IF($L$11=0,"",IFERROR(IF(ISNUMBER(INDEX(PASTE_ALL,$DF996,$L$11)),INDEX(PASTE_ALL,$DF996,$L$11),TRIM(SUBSTITUTE(SUBSTITUTE(SUBSTITUTE(SUBSTITUTE(INDEX(PASTE_ALL,$DF996,$L$11)," "," "),CHAR(9)," "),CHAR(10)," "),CHAR(13)," "))),"")))</f>
        <v/>
      </c>
      <c r="DT996">
        <f>IF($DM996=0,"",IF($L$12=0,"",IFERROR(IF(ISNUMBER(INDEX(PASTE_ALL,$DF996,$L$12)),INDEX(PASTE_ALL,$DF996,$L$12),TRIM(SUBSTITUTE(SUBSTITUTE(SUBSTITUTE(SUBSTITUTE(INDEX(PASTE_ALL,$DF996,$L$12)," "," "),CHAR(9)," "),CHAR(10)," "),CHAR(13)," "))),"")))</f>
        <v/>
      </c>
      <c r="DU996">
        <f>IF($DM996=0,"",IF($L$13=0,"",IFERROR(IF(ISNUMBER(INDEX(PASTE_ALL,$DF996,$L$13)),INDEX(PASTE_ALL,$DF996,$L$13),TRIM(SUBSTITUTE(SUBSTITUTE(SUBSTITUTE(SUBSTITUTE(INDEX(PASTE_ALL,$DF996,$L$13)," "," "),CHAR(9)," "),CHAR(10)," "),CHAR(13)," "))),"")))</f>
        <v/>
      </c>
      <c r="DV996">
        <f>IF($DM996=0,"",IF($L$14=0,"",IFERROR(IF(ISNUMBER(INDEX(PASTE_ALL,$DF996,$L$14)),INDEX(PASTE_ALL,$DF996,$L$14),TRIM(SUBSTITUTE(SUBSTITUTE(SUBSTITUTE(SUBSTITUTE(INDEX(PASTE_ALL,$DF996,$L$14)," "," "),CHAR(9)," "),CHAR(10)," "),CHAR(13)," "))),"")))</f>
        <v/>
      </c>
      <c r="DW996">
        <f>IF($DM996=0,"",IF($L$15=0,"",IFERROR(IF(ISNUMBER(INDEX(PASTE_ALL,$DF996,$L$15)),INDEX(PASTE_ALL,$DF996,$L$15),IF(SUMPRODUCT(--ISNUMBER(FIND({"A","B","C","D","E","F","G","H","I","J","K","L","M","N","O","P","Q","R","S","T","U","V","W","X","Y","Z","0","1","2","3","4","5","6","7","8","9"},UPPER(TRIM(SUBSTITUTE(SUBSTITUTE(SUBSTITUTE(SUBSTITUTE(INDEX(PASTE_ALL,$DF996,$L$15)," "," "),CHAR(9)," "),CHAR(10)," "),CHAR(13)," "))))))&gt;0,TRIM(SUBSTITUTE(SUBSTITUTE(SUBSTITUTE(SUBSTITUTE(INDEX(PASTE_ALL,$DF996,$L$15)," "," "),CHAR(9)," "),CHAR(10)," "),CHAR(13)," ")),"")),"")))</f>
        <v/>
      </c>
      <c r="DX996">
        <f>IF($DM996=0,"",IF($L$16=0,"",IFERROR(IF(ISNUMBER(INDEX(PASTE_ALL,$DF996,$L$16)),INDEX(PASTE_ALL,$DF996,$L$16),SUBSTITUTE(SUBSTITUTE(TRIM(SUBSTITUTE(SUBSTITUTE(SUBSTITUTE(SUBSTITUTE(INDEX(PASTE_ALL,$DF996,$L$16)," "," "),CHAR(9)," "),CHAR(10)," "),CHAR(13)," ")),",",""),"%","")),"")))</f>
        <v/>
      </c>
      <c r="DY996">
        <f>IF($DM996=0,"",IFERROR(IF(ISNUMBER($DX996),$DX996,IF($DX996="","",IF(TRIM($DX996)="",0,IF(AND(AND(SUBSTITUTE(SUBSTITUTE(SUBSTITUTE(SUBSTITUTE(SUBSTITUTE(SUBSTITUTE(SUBSTITUTE(SUBSTITUTE(SUBSTITUTE(SUBSTITUTE(SUBSTITUTE(SUBSTITUTE(SUBSTITUTE(SUBSTITUTE(UPPER(TRIM($DX996)),"0",""),"1",""),"2",""),"3",""),"4",""),"5",""),"6",""),"7",""),"8",""),"9",""),".",""),"+",""),"-",""),"E","")="",LEN(SUBSTITUTE(SUBSTITUTE(MID(UPPER(TRIM($DX996)),1+OR(LEFT(UPPER(TRIM($DX996)),1)="+",LEFT(UPPER(TRIM($DX996)),1)="-"),999),"E+","E"),"E-","E"))=LEN(SUBSTITUTE(SUBSTITUTE(SUBSTITUTE(SUBSTITUTE(MID(UPPER(TRIM($DX996)),1+OR(LEFT(UPPER(TRIM($DX996)),1)="+",LEFT(UPPER(TRIM($DX996)),1)="-"),999),"E+","E"),"E-","E"),"+",""),"-","")),LEN(UPPER(TRIM($DX996)))-LEN(SUBSTITUTE(UPPER(TRIM($DX996)),"E",""))&lt;2,LEN(UPPER(TRIM($DX996)))-LEN(SUBSTITUTE(UPPER(TRIM($DX996)),".",""))&lt;2,IFERROR(FIND(".",UPPER(TRIM($DX996))),0)&lt;IFERROR(FIND("E",UPPER(TRIM($DX996))),999)),ISNUMBER(VALUE(TRIM($DX996)))),VALUE(TRIM($DX996)),"")))),""))</f>
        <v/>
      </c>
      <c r="DZ996">
        <f>IF($DM996=0,"",IF($L$17=0,"",IFERROR(IF(ISNUMBER(INDEX(PASTE_ALL,$DF996,$L$17)),INDEX(PASTE_ALL,$DF996,$L$17),SUBSTITUTE(SUBSTITUTE(TRIM(SUBSTITUTE(SUBSTITUTE(SUBSTITUTE(SUBSTITUTE(INDEX(PASTE_ALL,$DF996,$L$17)," "," "),CHAR(9)," "),CHAR(10)," "),CHAR(13)," ")),",",""),"%","")),"")))</f>
        <v/>
      </c>
      <c r="EA996">
        <f>IF($DM996=0,"",IFERROR(IF(ISNUMBER($DZ996),$DZ996,IF($DZ996="","",IF(TRIM($DZ996)="",0,IF(AND(AND(SUBSTITUTE(SUBSTITUTE(SUBSTITUTE(SUBSTITUTE(SUBSTITUTE(SUBSTITUTE(SUBSTITUTE(SUBSTITUTE(SUBSTITUTE(SUBSTITUTE(SUBSTITUTE(SUBSTITUTE(SUBSTITUTE(SUBSTITUTE(UPPER(TRIM($DZ996)),"0",""),"1",""),"2",""),"3",""),"4",""),"5",""),"6",""),"7",""),"8",""),"9",""),".",""),"+",""),"-",""),"E","")="",LEN(SUBSTITUTE(SUBSTITUTE(MID(UPPER(TRIM($DZ996)),1+OR(LEFT(UPPER(TRIM($DZ996)),1)="+",LEFT(UPPER(TRIM($DZ996)),1)="-"),999),"E+","E"),"E-","E"))=LEN(SUBSTITUTE(SUBSTITUTE(SUBSTITUTE(SUBSTITUTE(MID(UPPER(TRIM($DZ996)),1+OR(LEFT(UPPER(TRIM($DZ996)),1)="+",LEFT(UPPER(TRIM($DZ996)),1)="-"),999),"E+","E"),"E-","E"),"+",""),"-","")),LEN(UPPER(TRIM($DZ996)))-LEN(SUBSTITUTE(UPPER(TRIM($DZ996)),"E",""))&lt;2,LEN(UPPER(TRIM($DZ996)))-LEN(SUBSTITUTE(UPPER(TRIM($DZ996)),".",""))&lt;2,IFERROR(FIND(".",UPPER(TRIM($DZ996))),0)&lt;IFERROR(FIND("E",UPPER(TRIM($DZ996))),999)),ISNUMBER(VALUE(TRIM($DZ996)))),VALUE(TRIM($DZ996)),"")))),""))</f>
        <v/>
      </c>
      <c r="EB996">
        <f>IF($DM996=0,"",IF($L$18=0,"",IFERROR(IF(UPPER(TRIM(SUBSTITUTE(SUBSTITUTE(SUBSTITUTE(SUBSTITUTE(INDEX(PASTE_ALL,$DF996,$L$18)," "," "),CHAR(9)," "),CHAR(10)," "),CHAR(13)," ")))="READY","Ready",IF(UPPER(TRIM(SUBSTITUTE(SUBSTITUTE(SUBSTITUTE(SUBSTITUTE(INDEX(PASTE_ALL,$DF996,$L$18)," "," "),CHAR(9)," "),CHAR(10)," "),CHAR(13)," ")))="PM","PM",IF(OR(UPPER(TRIM(SUBSTITUTE(SUBSTITUTE(SUBSTITUTE(SUBSTITUTE(INDEX(PASTE_ALL,$DF996,$L$18)," "," "),CHAR(9)," "),CHAR(10)," "),CHAR(13)," ")))="OT",UPPER(TRIM(SUBSTITUTE(SUBSTITUTE(SUBSTITUTE(SUBSTITUTE(INDEX(PASTE_ALL,$DF996,$L$18)," "," "),CHAR(9)," "),CHAR(10)," "),CHAR(13)," ")))="OVERTIME",UPPER(TRIM(SUBSTITUTE(SUBSTITUTE(SUBSTITUTE(SUBSTITUTE(INDEX(PASTE_ALL,$DF996,$L$18)," "," "),CHAR(9)," "),CHAR(10)," "),CHAR(13)," ")))="TRIAL"),"OT",TRIM(SUBSTITUTE(SUBSTITUTE(SUBSTITUTE(SUBSTITUTE(INDEX(PASTE_ALL,$DF996,$L$18)," "," "),CHAR(9)," "),CHAR(10)," "),CHAR(13)," "))))),"")))</f>
        <v/>
      </c>
      <c r="EC996">
        <f>IF($DM996=0,"",IF($L$19=0,"",IFERROR(IF(ISNUMBER(INDEX(PASTE_ALL,$DF996,$L$19)),INDEX(PASTE_ALL,$DF996,$L$19),TRIM(SUBSTITUTE(SUBSTITUTE(SUBSTITUTE(SUBSTITUTE(INDEX(PASTE_ALL,$DF996,$L$19)," "," "),CHAR(9)," "),CHAR(10)," "),CHAR(13)," "))),"")))</f>
        <v/>
      </c>
      <c r="ED996">
        <f>IF($DM996=0,"",MATCH(1,INDEX(EXACT($DH$5:DH996,$DH996)*$DM$5:DM996,0),0))</f>
        <v/>
      </c>
      <c r="EE996">
        <f>IF($DM996=0,0,IF($ED996=$DE996,1,0))</f>
        <v/>
      </c>
      <c r="EF996">
        <f>EF995+$EE996</f>
        <v/>
      </c>
      <c r="EG996">
        <f>IF($DM996=0,"",INDEX($EF$5:$EF$1003,$ED996))</f>
        <v/>
      </c>
      <c r="EH996">
        <f>IF($DM996=0,"",IF($DO996&lt;&gt;"","",IFERROR(LOOKUP(2,1/(($EG$4:EG995=$EG996)*($DO$4:DO995&lt;&gt;"")),$DO$4:DO995),"")))</f>
        <v/>
      </c>
      <c r="EI996">
        <f>IF($DM996=0,"",IF($DO996&lt;&gt;"",$DO996,$EH996))</f>
        <v/>
      </c>
      <c r="EJ996">
        <f>IF($DM996=0,"",IF($EI996="",0,IF(OR(ISNUMBER($EI996),AND(AND(SUBSTITUTE(SUBSTITUTE(SUBSTITUTE(SUBSTITUTE(SUBSTITUTE(SUBSTITUTE(SUBSTITUTE(SUBSTITUTE(SUBSTITUTE(SUBSTITUTE(SUBSTITUTE(SUBSTITUTE(SUBSTITUTE(SUBSTITUTE(UPPER($EI996),"0",""),"1",""),"2",""),"3",""),"4",""),"5",""),"6",""),"7",""),"8",""),"9",""),".",""),"+",""),"-",""),"E","")="",LEN(SUBSTITUTE(SUBSTITUTE(MID(UPPER($EI996),1+OR(LEFT(UPPER($EI996),1)="+",LEFT(UPPER($EI996),1)="-"),999),"E+","E"),"E-","E"))=LEN(SUBSTITUTE(SUBSTITUTE(SUBSTITUTE(SUBSTITUTE(MID(UPPER($EI996),1+OR(LEFT(UPPER($EI996),1)="+",LEFT(UPPER($EI996),1)="-"),999),"E+","E"),"E-","E"),"+",""),"-","")),LEN(UPPER($EI996))-LEN(SUBSTITUTE(UPPER($EI996),"E",""))&lt;2,LEN(UPPER($EI996))-LEN(SUBSTITUTE(UPPER($EI996),".",""))&lt;2,IFERROR(FIND(".",UPPER($EI996)),0)&lt;IFERROR(FIND("E",UPPER($EI996)),999)),ISNUMBER(VALUE($EI996)))),1,2)))</f>
        <v/>
      </c>
      <c r="EK996">
        <f>IF($DM996=0,"",IF($EJ996=1,IF(ISNUMBER($EI996),$EI996,VALUE($EI996)),IF($EJ996=2,$DE996,0)))</f>
        <v/>
      </c>
      <c r="EL996">
        <f>IF($DM996=0,"",COUNTIF($EG$5:$EG$1003,"&lt;"&amp;$EG996)+SUMPRODUCT(($EG$5:$EG$1003=$EG996)*(($EJ$5:$EJ$1003&lt;$EJ996)+($EJ$5:$EJ$1003=$EJ996)*(($EK$5:$EK$1003&lt;$EK996)+($EK$5:$EK$1003=$EK996)*($DE$5:$DE$1003&lt;$DE996))))+1)</f>
        <v/>
      </c>
      <c r="EM996">
        <f>IF($DM996=0,"",$EL996+$EG996-1)</f>
        <v/>
      </c>
      <c r="EN996">
        <f>IF($DM996=0,0,IFERROR(MATCH(1,INDEX(--(TRIM(SUBSTITUTE(SUBSTITUTE(SUBSTITUTE(SUBSTITUTE(LINES_NAME&amp;""," "," "),CHAR(9)," "),CHAR(10)," "),CHAR(13)," "))=$DH996),0),0),0))</f>
        <v/>
      </c>
      <c r="EO996">
        <f>IF($EN996=0,0,IF(OR(UPPER(TRIM(INDEX(LINES_SCHEDULED,$EN996)&amp;""))="YES",UPPER(TRIM(INDEX(LINES_SCHEDULED,$EN996)&amp;""))="Y",UPPER(TRIM(INDEX(LINES_SCHEDULED,$EN996)&amp;""))="X"),1,0))</f>
        <v/>
      </c>
      <c r="EP996">
        <f>IF($DM996=0,"",IF(COUNTIFS($EG$5:$EG$1003,$EG996,$EB$5:$EB$1003,"Ready")&gt;0,"READY",IF(COUNTIFS($EG$5:$EG$1003,$EG996,$EB$5:$EB$1003,"PM")&gt;0,"PM",IF(COUNTIFS($EG$5:$EG$1003,$EG996,$EB$5:$EB$1003,"OT")&gt;0,"OT",""))))</f>
        <v/>
      </c>
      <c r="EQ996">
        <f>IF($EN996=0,"",UPPER(TRIM(INDEX(LINES_STATUS,$EN996)&amp;"")))</f>
        <v/>
      </c>
      <c r="ER996">
        <f>IF($DM996=0,"",IF(OR($EQ996="READY",$EQ996="PM",$EQ996="OT"),$EQ996,$EP996))</f>
        <v/>
      </c>
      <c r="ES996">
        <f>IF($DM996=0,"",IF(AND($DV996&lt;&gt;"",UPPER($DV996)&lt;&gt;"N"),"allergen",IF(ISNUMBER(SEARCH("oil",$DQ996)),"oil",IF(OR(EXACT($DS996,"A662"),EXACT($DS996,"A624")),"bulk",""))))</f>
        <v/>
      </c>
      <c r="ET996">
        <f>IF($DM996=0,"",IF(OR($EA996="",$EA996=0),"",$EA996/100))</f>
        <v/>
      </c>
      <c r="EU996">
        <f>IF(OR($ET996="",$DY996=""),"",INT($DY996*(1-$ET996)+0.5))</f>
        <v/>
      </c>
    </row>
    <row r="997">
      <c r="DA997" t="n">
        <v>993</v>
      </c>
      <c r="DB997">
        <f>IF($B$37=0,"",IFERROR(TRIM(SUBSTITUTE(SUBSTITUTE(SUBSTITUTE(SUBSTITUTE(INDEX(PASTE_ALL,993,$B$37)," "," "),CHAR(9)," "),CHAR(10)," "),CHAR(13)," ")),""))</f>
        <v/>
      </c>
      <c r="DC997">
        <f>IF(AND(993&gt;HEADER_ROW,UPPER(DB997)="LEGEND"),1,0)</f>
        <v/>
      </c>
      <c r="DE997" t="n">
        <v>993</v>
      </c>
      <c r="DF997">
        <f>HEADER_ROW+$DE997</f>
        <v/>
      </c>
      <c r="DG997">
        <f>IF(AND($DF997&lt;=1000,$DF997&lt;$B$8),1,0)</f>
        <v/>
      </c>
      <c r="DH997">
        <f>IF($DG997=1,IFERROR(INDEX($DB$5:$DB$1004,$DF997),""),"")</f>
        <v/>
      </c>
      <c r="DI997">
        <f>IF(AND($DG997=1,$DH997&lt;&gt;""),IFERROR(SUBSTITUTE(SUBSTITUTE(TRIM(SUBSTITUTE(SUBSTITUTE(SUBSTITUTE(SUBSTITUTE(IFERROR(INDEX(PASTE_ALL,$DF997,1)&amp;"","")&amp;"␟"&amp;IFERROR(INDEX(PASTE_ALL,$DF997,2)&amp;"","")&amp;"␟"&amp;IFERROR(INDEX(PASTE_ALL,$DF997,3)&amp;"","")&amp;"␟"&amp;IFERROR(INDEX(PASTE_ALL,$DF997,4)&amp;"","")&amp;"␟"&amp;IFERROR(INDEX(PASTE_ALL,$DF997,5)&amp;"","")&amp;"␟"&amp;IFERROR(INDEX(PASTE_ALL,$DF997,6)&amp;"","")&amp;"␟"&amp;IFERROR(INDEX(PASTE_ALL,$DF997,7)&amp;"","")&amp;"␟"&amp;IFERROR(INDEX(PASTE_ALL,$DF997,8)&amp;"","")&amp;"␟"&amp;IFERROR(INDEX(PASTE_ALL,$DF997,9)&amp;"","")&amp;"␟"&amp;IFERROR(INDEX(PASTE_ALL,$DF997,10)&amp;"","")&amp;"␟"&amp;IFERROR(INDEX(PASTE_ALL,$DF997,11)&amp;"","")&amp;"␟"&amp;IFERROR(INDEX(PASTE_ALL,$DF997,12)&amp;"","")&amp;"␟"&amp;IFERROR(INDEX(PASTE_ALL,$DF997,13)&amp;"","")&amp;"␟"&amp;IFERROR(INDEX(PASTE_ALL,$DF997,14)&amp;"","")&amp;"␟"&amp;IFERROR(INDEX(PASTE_ALL,$DF997,15)&amp;"","")&amp;"␟"&amp;IFERROR(INDEX(PASTE_ALL,$DF997,16)&amp;"","")&amp;"␟"&amp;IFERROR(INDEX(PASTE_ALL,$DF997,17)&amp;"","")&amp;"␟"&amp;IFERROR(INDEX(PASTE_ALL,$DF997,18)&amp;"","")&amp;"␟"&amp;IFERROR(INDEX(PASTE_ALL,$DF997,19)&amp;"","")&amp;"␟"&amp;IFERROR(INDEX(PASTE_ALL,$DF997,20)&amp;"","")&amp;"␟"&amp;IFERROR(INDEX(PASTE_ALL,$DF997,21)&amp;"","")&amp;"␟"&amp;IFERROR(INDEX(PASTE_ALL,$DF997,22)&amp;"","")&amp;"␟"&amp;IFERROR(INDEX(PASTE_ALL,$DF997,23)&amp;"","")&amp;"␟"&amp;IFERROR(INDEX(PASTE_ALL,$DF997,24)&amp;"","")&amp;"␟"&amp;IFERROR(INDEX(PASTE_ALL,$DF997,25)&amp;"","")&amp;"␟"&amp;IFERROR(INDEX(PASTE_ALL,$DF997,26)&amp;"","")&amp;"␟"&amp;IFERROR(INDEX(PASTE_ALL,$DF997,27)&amp;"","")&amp;"␟"&amp;IFERROR(INDEX(PASTE_ALL,$DF997,28)&amp;"","")&amp;"␟"&amp;IFERROR(INDEX(PASTE_ALL,$DF997,29)&amp;"","")&amp;"␟"&amp;IFERROR(INDEX(PASTE_ALL,$DF997,30)&amp;"","")&amp;"␟"&amp;IFERROR(INDEX(PASTE_ALL,$DF997,31)&amp;"","")&amp;"␟"&amp;IFERROR(INDEX(PASTE_ALL,$DF997,32)&amp;"","")&amp;"␟"&amp;IFERROR(INDEX(PASTE_ALL,$DF997,33)&amp;"","")&amp;"␟"&amp;IFERROR(INDEX(PASTE_ALL,$DF997,34)&amp;"","")&amp;"␟"&amp;IFERROR(INDEX(PASTE_ALL,$DF997,35)&amp;"","")&amp;"␟"&amp;IFERROR(INDEX(PASTE_ALL,$DF997,36)&amp;"","")&amp;"␟"&amp;IFERROR(INDEX(PASTE_ALL,$DF997,37)&amp;"","")&amp;"␟"&amp;IFERROR(INDEX(PASTE_ALL,$DF997,38)&amp;"","")&amp;"␟"&amp;IFERROR(INDEX(PASTE_ALL,$DF997,39)&amp;"","")&amp;"␟"&amp;IFERROR(INDEX(PASTE_ALL,$DF997,40)&amp;"","")&amp;"␟"&amp;IFERROR(INDEX(PASTE_ALL,$DF997,41)&amp;"","")&amp;"␟"&amp;IFERROR(INDEX(PASTE_ALL,$DF997,42)&amp;"","")&amp;"␟"&amp;IFERROR(INDEX(PASTE_ALL,$DF997,43)&amp;"","")&amp;"␟"&amp;IFERROR(INDEX(PASTE_ALL,$DF997,44)&amp;"","")&amp;"␟"&amp;IFERROR(INDEX(PASTE_ALL,$DF997,45)&amp;"","")&amp;"␟"&amp;IFERROR(INDEX(PASTE_ALL,$DF997,46)&amp;"","")&amp;"␟"&amp;IFERROR(INDEX(PASTE_ALL,$DF997,47)&amp;"","")&amp;"␟"&amp;IFERROR(INDEX(PASTE_ALL,$DF997,48)&amp;"","")&amp;"␟"&amp;IFERROR(INDEX(PASTE_ALL,$DF997,49)&amp;"","")&amp;"␟"&amp;IFERROR(INDEX(PASTE_ALL,$DF997,50)&amp;"","")&amp;"␟"&amp;IFERROR(INDEX(PASTE_ALL,$DF997,51)&amp;"","")&amp;"␟"&amp;IFERROR(INDEX(PASTE_ALL,$DF997,52)&amp;"","")&amp;"␟"&amp;IFERROR(INDEX(PASTE_ALL,$DF997,53)&amp;"","")&amp;"␟"&amp;IFERROR(INDEX(PASTE_ALL,$DF997,54)&amp;"","")&amp;"␟"&amp;IFERROR(INDEX(PASTE_ALL,$DF997,55)&amp;"","")&amp;"␟"&amp;IFERROR(INDEX(PASTE_ALL,$DF997,56)&amp;"","")&amp;"␟"&amp;IFERROR(INDEX(PASTE_ALL,$DF997,57)&amp;"","")&amp;"␟"&amp;IFERROR(INDEX(PASTE_ALL,$DF997,58)&amp;"","")&amp;"␟"&amp;IFERROR(INDEX(PASTE_ALL,$DF997,59)&amp;"","")&amp;"␟"&amp;IFERROR(INDEX(PASTE_ALL,$DF997,60)&amp;"","")," "," "),CHAR(9)," "),CHAR(10)," "),CHAR(13)," "))," ␟","␟"),"␟ ","␟"),"#"&amp;$DE997),"")</f>
        <v/>
      </c>
      <c r="DJ997">
        <f>IF($DI997="",0,IF(SUMPRODUCT(--EXACT($DI$4:DI996,$DI997))&gt;0,1,0))</f>
        <v/>
      </c>
      <c r="DK997">
        <f>IF(AND($DI997&lt;&gt;"",$DJ997=0),1,0)</f>
        <v/>
      </c>
      <c r="DL997">
        <f>DL996+$DK997</f>
        <v/>
      </c>
      <c r="DM997">
        <f>IF(AND($DK997=1,$DL997&lt;=600),1,0)</f>
        <v/>
      </c>
      <c r="DN997">
        <f>IF($DM997=0,"",IF($L$6=0,"",IFERROR(IF(ISNUMBER(INDEX(PASTE_ALL,$DF997,$L$6)),INDEX(PASTE_ALL,$DF997,$L$6),TRIM(SUBSTITUTE(SUBSTITUTE(SUBSTITUTE(SUBSTITUTE(INDEX(PASTE_ALL,$DF997,$L$6)," "," "),CHAR(9)," "),CHAR(10)," "),CHAR(13)," "))),"")))</f>
        <v/>
      </c>
      <c r="DO997">
        <f>IF($DM997=0,"",IF($L$7=0,"",IFERROR(IF(ISNUMBER(INDEX(PASTE_ALL,$DF997,$L$7)),INDEX(PASTE_ALL,$DF997,$L$7),TRIM(SUBSTITUTE(SUBSTITUTE(SUBSTITUTE(SUBSTITUTE(INDEX(PASTE_ALL,$DF997,$L$7)," "," "),CHAR(9)," "),CHAR(10)," "),CHAR(13)," "))),"")))</f>
        <v/>
      </c>
      <c r="DP997">
        <f>IF($DM997=0,"",IF($L$8=0,"",IFERROR(IF(ISNUMBER(INDEX(PASTE_ALL,$DF997,$L$8)),INDEX(PASTE_ALL,$DF997,$L$8),TRIM(SUBSTITUTE(SUBSTITUTE(SUBSTITUTE(SUBSTITUTE(INDEX(PASTE_ALL,$DF997,$L$8)," "," "),CHAR(9)," "),CHAR(10)," "),CHAR(13)," "))),"")))</f>
        <v/>
      </c>
      <c r="DQ997">
        <f>IF($DM997=0,"",IF($L$9=0,"",IFERROR(IF(ISNUMBER(INDEX(PASTE_ALL,$DF997,$L$9)),INDEX(PASTE_ALL,$DF997,$L$9),TRIM(SUBSTITUTE(SUBSTITUTE(SUBSTITUTE(SUBSTITUTE(INDEX(PASTE_ALL,$DF997,$L$9)," "," "),CHAR(9)," "),CHAR(10)," "),CHAR(13)," "))),"")))</f>
        <v/>
      </c>
      <c r="DR997">
        <f>IF($DM997=0,"",IF($L$10=0,"",IFERROR(IF(ISNUMBER(INDEX(PASTE_ALL,$DF997,$L$10)),INDEX(PASTE_ALL,$DF997,$L$10),TRIM(SUBSTITUTE(SUBSTITUTE(SUBSTITUTE(SUBSTITUTE(INDEX(PASTE_ALL,$DF997,$L$10)," "," "),CHAR(9)," "),CHAR(10)," "),CHAR(13)," "))),"")))</f>
        <v/>
      </c>
      <c r="DS997">
        <f>IF($DM997=0,"",IF($L$11=0,"",IFERROR(IF(ISNUMBER(INDEX(PASTE_ALL,$DF997,$L$11)),INDEX(PASTE_ALL,$DF997,$L$11),TRIM(SUBSTITUTE(SUBSTITUTE(SUBSTITUTE(SUBSTITUTE(INDEX(PASTE_ALL,$DF997,$L$11)," "," "),CHAR(9)," "),CHAR(10)," "),CHAR(13)," "))),"")))</f>
        <v/>
      </c>
      <c r="DT997">
        <f>IF($DM997=0,"",IF($L$12=0,"",IFERROR(IF(ISNUMBER(INDEX(PASTE_ALL,$DF997,$L$12)),INDEX(PASTE_ALL,$DF997,$L$12),TRIM(SUBSTITUTE(SUBSTITUTE(SUBSTITUTE(SUBSTITUTE(INDEX(PASTE_ALL,$DF997,$L$12)," "," "),CHAR(9)," "),CHAR(10)," "),CHAR(13)," "))),"")))</f>
        <v/>
      </c>
      <c r="DU997">
        <f>IF($DM997=0,"",IF($L$13=0,"",IFERROR(IF(ISNUMBER(INDEX(PASTE_ALL,$DF997,$L$13)),INDEX(PASTE_ALL,$DF997,$L$13),TRIM(SUBSTITUTE(SUBSTITUTE(SUBSTITUTE(SUBSTITUTE(INDEX(PASTE_ALL,$DF997,$L$13)," "," "),CHAR(9)," "),CHAR(10)," "),CHAR(13)," "))),"")))</f>
        <v/>
      </c>
      <c r="DV997">
        <f>IF($DM997=0,"",IF($L$14=0,"",IFERROR(IF(ISNUMBER(INDEX(PASTE_ALL,$DF997,$L$14)),INDEX(PASTE_ALL,$DF997,$L$14),TRIM(SUBSTITUTE(SUBSTITUTE(SUBSTITUTE(SUBSTITUTE(INDEX(PASTE_ALL,$DF997,$L$14)," "," "),CHAR(9)," "),CHAR(10)," "),CHAR(13)," "))),"")))</f>
        <v/>
      </c>
      <c r="DW997">
        <f>IF($DM997=0,"",IF($L$15=0,"",IFERROR(IF(ISNUMBER(INDEX(PASTE_ALL,$DF997,$L$15)),INDEX(PASTE_ALL,$DF997,$L$15),IF(SUMPRODUCT(--ISNUMBER(FIND({"A","B","C","D","E","F","G","H","I","J","K","L","M","N","O","P","Q","R","S","T","U","V","W","X","Y","Z","0","1","2","3","4","5","6","7","8","9"},UPPER(TRIM(SUBSTITUTE(SUBSTITUTE(SUBSTITUTE(SUBSTITUTE(INDEX(PASTE_ALL,$DF997,$L$15)," "," "),CHAR(9)," "),CHAR(10)," "),CHAR(13)," "))))))&gt;0,TRIM(SUBSTITUTE(SUBSTITUTE(SUBSTITUTE(SUBSTITUTE(INDEX(PASTE_ALL,$DF997,$L$15)," "," "),CHAR(9)," "),CHAR(10)," "),CHAR(13)," ")),"")),"")))</f>
        <v/>
      </c>
      <c r="DX997">
        <f>IF($DM997=0,"",IF($L$16=0,"",IFERROR(IF(ISNUMBER(INDEX(PASTE_ALL,$DF997,$L$16)),INDEX(PASTE_ALL,$DF997,$L$16),SUBSTITUTE(SUBSTITUTE(TRIM(SUBSTITUTE(SUBSTITUTE(SUBSTITUTE(SUBSTITUTE(INDEX(PASTE_ALL,$DF997,$L$16)," "," "),CHAR(9)," "),CHAR(10)," "),CHAR(13)," ")),",",""),"%","")),"")))</f>
        <v/>
      </c>
      <c r="DY997">
        <f>IF($DM997=0,"",IFERROR(IF(ISNUMBER($DX997),$DX997,IF($DX997="","",IF(TRIM($DX997)="",0,IF(AND(AND(SUBSTITUTE(SUBSTITUTE(SUBSTITUTE(SUBSTITUTE(SUBSTITUTE(SUBSTITUTE(SUBSTITUTE(SUBSTITUTE(SUBSTITUTE(SUBSTITUTE(SUBSTITUTE(SUBSTITUTE(SUBSTITUTE(SUBSTITUTE(UPPER(TRIM($DX997)),"0",""),"1",""),"2",""),"3",""),"4",""),"5",""),"6",""),"7",""),"8",""),"9",""),".",""),"+",""),"-",""),"E","")="",LEN(SUBSTITUTE(SUBSTITUTE(MID(UPPER(TRIM($DX997)),1+OR(LEFT(UPPER(TRIM($DX997)),1)="+",LEFT(UPPER(TRIM($DX997)),1)="-"),999),"E+","E"),"E-","E"))=LEN(SUBSTITUTE(SUBSTITUTE(SUBSTITUTE(SUBSTITUTE(MID(UPPER(TRIM($DX997)),1+OR(LEFT(UPPER(TRIM($DX997)),1)="+",LEFT(UPPER(TRIM($DX997)),1)="-"),999),"E+","E"),"E-","E"),"+",""),"-","")),LEN(UPPER(TRIM($DX997)))-LEN(SUBSTITUTE(UPPER(TRIM($DX997)),"E",""))&lt;2,LEN(UPPER(TRIM($DX997)))-LEN(SUBSTITUTE(UPPER(TRIM($DX997)),".",""))&lt;2,IFERROR(FIND(".",UPPER(TRIM($DX997))),0)&lt;IFERROR(FIND("E",UPPER(TRIM($DX997))),999)),ISNUMBER(VALUE(TRIM($DX997)))),VALUE(TRIM($DX997)),"")))),""))</f>
        <v/>
      </c>
      <c r="DZ997">
        <f>IF($DM997=0,"",IF($L$17=0,"",IFERROR(IF(ISNUMBER(INDEX(PASTE_ALL,$DF997,$L$17)),INDEX(PASTE_ALL,$DF997,$L$17),SUBSTITUTE(SUBSTITUTE(TRIM(SUBSTITUTE(SUBSTITUTE(SUBSTITUTE(SUBSTITUTE(INDEX(PASTE_ALL,$DF997,$L$17)," "," "),CHAR(9)," "),CHAR(10)," "),CHAR(13)," ")),",",""),"%","")),"")))</f>
        <v/>
      </c>
      <c r="EA997">
        <f>IF($DM997=0,"",IFERROR(IF(ISNUMBER($DZ997),$DZ997,IF($DZ997="","",IF(TRIM($DZ997)="",0,IF(AND(AND(SUBSTITUTE(SUBSTITUTE(SUBSTITUTE(SUBSTITUTE(SUBSTITUTE(SUBSTITUTE(SUBSTITUTE(SUBSTITUTE(SUBSTITUTE(SUBSTITUTE(SUBSTITUTE(SUBSTITUTE(SUBSTITUTE(SUBSTITUTE(UPPER(TRIM($DZ997)),"0",""),"1",""),"2",""),"3",""),"4",""),"5",""),"6",""),"7",""),"8",""),"9",""),".",""),"+",""),"-",""),"E","")="",LEN(SUBSTITUTE(SUBSTITUTE(MID(UPPER(TRIM($DZ997)),1+OR(LEFT(UPPER(TRIM($DZ997)),1)="+",LEFT(UPPER(TRIM($DZ997)),1)="-"),999),"E+","E"),"E-","E"))=LEN(SUBSTITUTE(SUBSTITUTE(SUBSTITUTE(SUBSTITUTE(MID(UPPER(TRIM($DZ997)),1+OR(LEFT(UPPER(TRIM($DZ997)),1)="+",LEFT(UPPER(TRIM($DZ997)),1)="-"),999),"E+","E"),"E-","E"),"+",""),"-","")),LEN(UPPER(TRIM($DZ997)))-LEN(SUBSTITUTE(UPPER(TRIM($DZ997)),"E",""))&lt;2,LEN(UPPER(TRIM($DZ997)))-LEN(SUBSTITUTE(UPPER(TRIM($DZ997)),".",""))&lt;2,IFERROR(FIND(".",UPPER(TRIM($DZ997))),0)&lt;IFERROR(FIND("E",UPPER(TRIM($DZ997))),999)),ISNUMBER(VALUE(TRIM($DZ997)))),VALUE(TRIM($DZ997)),"")))),""))</f>
        <v/>
      </c>
      <c r="EB997">
        <f>IF($DM997=0,"",IF($L$18=0,"",IFERROR(IF(UPPER(TRIM(SUBSTITUTE(SUBSTITUTE(SUBSTITUTE(SUBSTITUTE(INDEX(PASTE_ALL,$DF997,$L$18)," "," "),CHAR(9)," "),CHAR(10)," "),CHAR(13)," ")))="READY","Ready",IF(UPPER(TRIM(SUBSTITUTE(SUBSTITUTE(SUBSTITUTE(SUBSTITUTE(INDEX(PASTE_ALL,$DF997,$L$18)," "," "),CHAR(9)," "),CHAR(10)," "),CHAR(13)," ")))="PM","PM",IF(OR(UPPER(TRIM(SUBSTITUTE(SUBSTITUTE(SUBSTITUTE(SUBSTITUTE(INDEX(PASTE_ALL,$DF997,$L$18)," "," "),CHAR(9)," "),CHAR(10)," "),CHAR(13)," ")))="OT",UPPER(TRIM(SUBSTITUTE(SUBSTITUTE(SUBSTITUTE(SUBSTITUTE(INDEX(PASTE_ALL,$DF997,$L$18)," "," "),CHAR(9)," "),CHAR(10)," "),CHAR(13)," ")))="OVERTIME",UPPER(TRIM(SUBSTITUTE(SUBSTITUTE(SUBSTITUTE(SUBSTITUTE(INDEX(PASTE_ALL,$DF997,$L$18)," "," "),CHAR(9)," "),CHAR(10)," "),CHAR(13)," ")))="TRIAL"),"OT",TRIM(SUBSTITUTE(SUBSTITUTE(SUBSTITUTE(SUBSTITUTE(INDEX(PASTE_ALL,$DF997,$L$18)," "," "),CHAR(9)," "),CHAR(10)," "),CHAR(13)," "))))),"")))</f>
        <v/>
      </c>
      <c r="EC997">
        <f>IF($DM997=0,"",IF($L$19=0,"",IFERROR(IF(ISNUMBER(INDEX(PASTE_ALL,$DF997,$L$19)),INDEX(PASTE_ALL,$DF997,$L$19),TRIM(SUBSTITUTE(SUBSTITUTE(SUBSTITUTE(SUBSTITUTE(INDEX(PASTE_ALL,$DF997,$L$19)," "," "),CHAR(9)," "),CHAR(10)," "),CHAR(13)," "))),"")))</f>
        <v/>
      </c>
      <c r="ED997">
        <f>IF($DM997=0,"",MATCH(1,INDEX(EXACT($DH$5:DH997,$DH997)*$DM$5:DM997,0),0))</f>
        <v/>
      </c>
      <c r="EE997">
        <f>IF($DM997=0,0,IF($ED997=$DE997,1,0))</f>
        <v/>
      </c>
      <c r="EF997">
        <f>EF996+$EE997</f>
        <v/>
      </c>
      <c r="EG997">
        <f>IF($DM997=0,"",INDEX($EF$5:$EF$1003,$ED997))</f>
        <v/>
      </c>
      <c r="EH997">
        <f>IF($DM997=0,"",IF($DO997&lt;&gt;"","",IFERROR(LOOKUP(2,1/(($EG$4:EG996=$EG997)*($DO$4:DO996&lt;&gt;"")),$DO$4:DO996),"")))</f>
        <v/>
      </c>
      <c r="EI997">
        <f>IF($DM997=0,"",IF($DO997&lt;&gt;"",$DO997,$EH997))</f>
        <v/>
      </c>
      <c r="EJ997">
        <f>IF($DM997=0,"",IF($EI997="",0,IF(OR(ISNUMBER($EI997),AND(AND(SUBSTITUTE(SUBSTITUTE(SUBSTITUTE(SUBSTITUTE(SUBSTITUTE(SUBSTITUTE(SUBSTITUTE(SUBSTITUTE(SUBSTITUTE(SUBSTITUTE(SUBSTITUTE(SUBSTITUTE(SUBSTITUTE(SUBSTITUTE(UPPER($EI997),"0",""),"1",""),"2",""),"3",""),"4",""),"5",""),"6",""),"7",""),"8",""),"9",""),".",""),"+",""),"-",""),"E","")="",LEN(SUBSTITUTE(SUBSTITUTE(MID(UPPER($EI997),1+OR(LEFT(UPPER($EI997),1)="+",LEFT(UPPER($EI997),1)="-"),999),"E+","E"),"E-","E"))=LEN(SUBSTITUTE(SUBSTITUTE(SUBSTITUTE(SUBSTITUTE(MID(UPPER($EI997),1+OR(LEFT(UPPER($EI997),1)="+",LEFT(UPPER($EI997),1)="-"),999),"E+","E"),"E-","E"),"+",""),"-","")),LEN(UPPER($EI997))-LEN(SUBSTITUTE(UPPER($EI997),"E",""))&lt;2,LEN(UPPER($EI997))-LEN(SUBSTITUTE(UPPER($EI997),".",""))&lt;2,IFERROR(FIND(".",UPPER($EI997)),0)&lt;IFERROR(FIND("E",UPPER($EI997)),999)),ISNUMBER(VALUE($EI997)))),1,2)))</f>
        <v/>
      </c>
      <c r="EK997">
        <f>IF($DM997=0,"",IF($EJ997=1,IF(ISNUMBER($EI997),$EI997,VALUE($EI997)),IF($EJ997=2,$DE997,0)))</f>
        <v/>
      </c>
      <c r="EL997">
        <f>IF($DM997=0,"",COUNTIF($EG$5:$EG$1003,"&lt;"&amp;$EG997)+SUMPRODUCT(($EG$5:$EG$1003=$EG997)*(($EJ$5:$EJ$1003&lt;$EJ997)+($EJ$5:$EJ$1003=$EJ997)*(($EK$5:$EK$1003&lt;$EK997)+($EK$5:$EK$1003=$EK997)*($DE$5:$DE$1003&lt;$DE997))))+1)</f>
        <v/>
      </c>
      <c r="EM997">
        <f>IF($DM997=0,"",$EL997+$EG997-1)</f>
        <v/>
      </c>
      <c r="EN997">
        <f>IF($DM997=0,0,IFERROR(MATCH(1,INDEX(--(TRIM(SUBSTITUTE(SUBSTITUTE(SUBSTITUTE(SUBSTITUTE(LINES_NAME&amp;""," "," "),CHAR(9)," "),CHAR(10)," "),CHAR(13)," "))=$DH997),0),0),0))</f>
        <v/>
      </c>
      <c r="EO997">
        <f>IF($EN997=0,0,IF(OR(UPPER(TRIM(INDEX(LINES_SCHEDULED,$EN997)&amp;""))="YES",UPPER(TRIM(INDEX(LINES_SCHEDULED,$EN997)&amp;""))="Y",UPPER(TRIM(INDEX(LINES_SCHEDULED,$EN997)&amp;""))="X"),1,0))</f>
        <v/>
      </c>
      <c r="EP997">
        <f>IF($DM997=0,"",IF(COUNTIFS($EG$5:$EG$1003,$EG997,$EB$5:$EB$1003,"Ready")&gt;0,"READY",IF(COUNTIFS($EG$5:$EG$1003,$EG997,$EB$5:$EB$1003,"PM")&gt;0,"PM",IF(COUNTIFS($EG$5:$EG$1003,$EG997,$EB$5:$EB$1003,"OT")&gt;0,"OT",""))))</f>
        <v/>
      </c>
      <c r="EQ997">
        <f>IF($EN997=0,"",UPPER(TRIM(INDEX(LINES_STATUS,$EN997)&amp;"")))</f>
        <v/>
      </c>
      <c r="ER997">
        <f>IF($DM997=0,"",IF(OR($EQ997="READY",$EQ997="PM",$EQ997="OT"),$EQ997,$EP997))</f>
        <v/>
      </c>
      <c r="ES997">
        <f>IF($DM997=0,"",IF(AND($DV997&lt;&gt;"",UPPER($DV997)&lt;&gt;"N"),"allergen",IF(ISNUMBER(SEARCH("oil",$DQ997)),"oil",IF(OR(EXACT($DS997,"A662"),EXACT($DS997,"A624")),"bulk",""))))</f>
        <v/>
      </c>
      <c r="ET997">
        <f>IF($DM997=0,"",IF(OR($EA997="",$EA997=0),"",$EA997/100))</f>
        <v/>
      </c>
      <c r="EU997">
        <f>IF(OR($ET997="",$DY997=""),"",INT($DY997*(1-$ET997)+0.5))</f>
        <v/>
      </c>
    </row>
    <row r="998">
      <c r="DA998" t="n">
        <v>994</v>
      </c>
      <c r="DB998">
        <f>IF($B$37=0,"",IFERROR(TRIM(SUBSTITUTE(SUBSTITUTE(SUBSTITUTE(SUBSTITUTE(INDEX(PASTE_ALL,994,$B$37)," "," "),CHAR(9)," "),CHAR(10)," "),CHAR(13)," ")),""))</f>
        <v/>
      </c>
      <c r="DC998">
        <f>IF(AND(994&gt;HEADER_ROW,UPPER(DB998)="LEGEND"),1,0)</f>
        <v/>
      </c>
      <c r="DE998" t="n">
        <v>994</v>
      </c>
      <c r="DF998">
        <f>HEADER_ROW+$DE998</f>
        <v/>
      </c>
      <c r="DG998">
        <f>IF(AND($DF998&lt;=1000,$DF998&lt;$B$8),1,0)</f>
        <v/>
      </c>
      <c r="DH998">
        <f>IF($DG998=1,IFERROR(INDEX($DB$5:$DB$1004,$DF998),""),"")</f>
        <v/>
      </c>
      <c r="DI998">
        <f>IF(AND($DG998=1,$DH998&lt;&gt;""),IFERROR(SUBSTITUTE(SUBSTITUTE(TRIM(SUBSTITUTE(SUBSTITUTE(SUBSTITUTE(SUBSTITUTE(IFERROR(INDEX(PASTE_ALL,$DF998,1)&amp;"","")&amp;"␟"&amp;IFERROR(INDEX(PASTE_ALL,$DF998,2)&amp;"","")&amp;"␟"&amp;IFERROR(INDEX(PASTE_ALL,$DF998,3)&amp;"","")&amp;"␟"&amp;IFERROR(INDEX(PASTE_ALL,$DF998,4)&amp;"","")&amp;"␟"&amp;IFERROR(INDEX(PASTE_ALL,$DF998,5)&amp;"","")&amp;"␟"&amp;IFERROR(INDEX(PASTE_ALL,$DF998,6)&amp;"","")&amp;"␟"&amp;IFERROR(INDEX(PASTE_ALL,$DF998,7)&amp;"","")&amp;"␟"&amp;IFERROR(INDEX(PASTE_ALL,$DF998,8)&amp;"","")&amp;"␟"&amp;IFERROR(INDEX(PASTE_ALL,$DF998,9)&amp;"","")&amp;"␟"&amp;IFERROR(INDEX(PASTE_ALL,$DF998,10)&amp;"","")&amp;"␟"&amp;IFERROR(INDEX(PASTE_ALL,$DF998,11)&amp;"","")&amp;"␟"&amp;IFERROR(INDEX(PASTE_ALL,$DF998,12)&amp;"","")&amp;"␟"&amp;IFERROR(INDEX(PASTE_ALL,$DF998,13)&amp;"","")&amp;"␟"&amp;IFERROR(INDEX(PASTE_ALL,$DF998,14)&amp;"","")&amp;"␟"&amp;IFERROR(INDEX(PASTE_ALL,$DF998,15)&amp;"","")&amp;"␟"&amp;IFERROR(INDEX(PASTE_ALL,$DF998,16)&amp;"","")&amp;"␟"&amp;IFERROR(INDEX(PASTE_ALL,$DF998,17)&amp;"","")&amp;"␟"&amp;IFERROR(INDEX(PASTE_ALL,$DF998,18)&amp;"","")&amp;"␟"&amp;IFERROR(INDEX(PASTE_ALL,$DF998,19)&amp;"","")&amp;"␟"&amp;IFERROR(INDEX(PASTE_ALL,$DF998,20)&amp;"","")&amp;"␟"&amp;IFERROR(INDEX(PASTE_ALL,$DF998,21)&amp;"","")&amp;"␟"&amp;IFERROR(INDEX(PASTE_ALL,$DF998,22)&amp;"","")&amp;"␟"&amp;IFERROR(INDEX(PASTE_ALL,$DF998,23)&amp;"","")&amp;"␟"&amp;IFERROR(INDEX(PASTE_ALL,$DF998,24)&amp;"","")&amp;"␟"&amp;IFERROR(INDEX(PASTE_ALL,$DF998,25)&amp;"","")&amp;"␟"&amp;IFERROR(INDEX(PASTE_ALL,$DF998,26)&amp;"","")&amp;"␟"&amp;IFERROR(INDEX(PASTE_ALL,$DF998,27)&amp;"","")&amp;"␟"&amp;IFERROR(INDEX(PASTE_ALL,$DF998,28)&amp;"","")&amp;"␟"&amp;IFERROR(INDEX(PASTE_ALL,$DF998,29)&amp;"","")&amp;"␟"&amp;IFERROR(INDEX(PASTE_ALL,$DF998,30)&amp;"","")&amp;"␟"&amp;IFERROR(INDEX(PASTE_ALL,$DF998,31)&amp;"","")&amp;"␟"&amp;IFERROR(INDEX(PASTE_ALL,$DF998,32)&amp;"","")&amp;"␟"&amp;IFERROR(INDEX(PASTE_ALL,$DF998,33)&amp;"","")&amp;"␟"&amp;IFERROR(INDEX(PASTE_ALL,$DF998,34)&amp;"","")&amp;"␟"&amp;IFERROR(INDEX(PASTE_ALL,$DF998,35)&amp;"","")&amp;"␟"&amp;IFERROR(INDEX(PASTE_ALL,$DF998,36)&amp;"","")&amp;"␟"&amp;IFERROR(INDEX(PASTE_ALL,$DF998,37)&amp;"","")&amp;"␟"&amp;IFERROR(INDEX(PASTE_ALL,$DF998,38)&amp;"","")&amp;"␟"&amp;IFERROR(INDEX(PASTE_ALL,$DF998,39)&amp;"","")&amp;"␟"&amp;IFERROR(INDEX(PASTE_ALL,$DF998,40)&amp;"","")&amp;"␟"&amp;IFERROR(INDEX(PASTE_ALL,$DF998,41)&amp;"","")&amp;"␟"&amp;IFERROR(INDEX(PASTE_ALL,$DF998,42)&amp;"","")&amp;"␟"&amp;IFERROR(INDEX(PASTE_ALL,$DF998,43)&amp;"","")&amp;"␟"&amp;IFERROR(INDEX(PASTE_ALL,$DF998,44)&amp;"","")&amp;"␟"&amp;IFERROR(INDEX(PASTE_ALL,$DF998,45)&amp;"","")&amp;"␟"&amp;IFERROR(INDEX(PASTE_ALL,$DF998,46)&amp;"","")&amp;"␟"&amp;IFERROR(INDEX(PASTE_ALL,$DF998,47)&amp;"","")&amp;"␟"&amp;IFERROR(INDEX(PASTE_ALL,$DF998,48)&amp;"","")&amp;"␟"&amp;IFERROR(INDEX(PASTE_ALL,$DF998,49)&amp;"","")&amp;"␟"&amp;IFERROR(INDEX(PASTE_ALL,$DF998,50)&amp;"","")&amp;"␟"&amp;IFERROR(INDEX(PASTE_ALL,$DF998,51)&amp;"","")&amp;"␟"&amp;IFERROR(INDEX(PASTE_ALL,$DF998,52)&amp;"","")&amp;"␟"&amp;IFERROR(INDEX(PASTE_ALL,$DF998,53)&amp;"","")&amp;"␟"&amp;IFERROR(INDEX(PASTE_ALL,$DF998,54)&amp;"","")&amp;"␟"&amp;IFERROR(INDEX(PASTE_ALL,$DF998,55)&amp;"","")&amp;"␟"&amp;IFERROR(INDEX(PASTE_ALL,$DF998,56)&amp;"","")&amp;"␟"&amp;IFERROR(INDEX(PASTE_ALL,$DF998,57)&amp;"","")&amp;"␟"&amp;IFERROR(INDEX(PASTE_ALL,$DF998,58)&amp;"","")&amp;"␟"&amp;IFERROR(INDEX(PASTE_ALL,$DF998,59)&amp;"","")&amp;"␟"&amp;IFERROR(INDEX(PASTE_ALL,$DF998,60)&amp;"","")," "," "),CHAR(9)," "),CHAR(10)," "),CHAR(13)," "))," ␟","␟"),"␟ ","␟"),"#"&amp;$DE998),"")</f>
        <v/>
      </c>
      <c r="DJ998">
        <f>IF($DI998="",0,IF(SUMPRODUCT(--EXACT($DI$4:DI997,$DI998))&gt;0,1,0))</f>
        <v/>
      </c>
      <c r="DK998">
        <f>IF(AND($DI998&lt;&gt;"",$DJ998=0),1,0)</f>
        <v/>
      </c>
      <c r="DL998">
        <f>DL997+$DK998</f>
        <v/>
      </c>
      <c r="DM998">
        <f>IF(AND($DK998=1,$DL998&lt;=600),1,0)</f>
        <v/>
      </c>
      <c r="DN998">
        <f>IF($DM998=0,"",IF($L$6=0,"",IFERROR(IF(ISNUMBER(INDEX(PASTE_ALL,$DF998,$L$6)),INDEX(PASTE_ALL,$DF998,$L$6),TRIM(SUBSTITUTE(SUBSTITUTE(SUBSTITUTE(SUBSTITUTE(INDEX(PASTE_ALL,$DF998,$L$6)," "," "),CHAR(9)," "),CHAR(10)," "),CHAR(13)," "))),"")))</f>
        <v/>
      </c>
      <c r="DO998">
        <f>IF($DM998=0,"",IF($L$7=0,"",IFERROR(IF(ISNUMBER(INDEX(PASTE_ALL,$DF998,$L$7)),INDEX(PASTE_ALL,$DF998,$L$7),TRIM(SUBSTITUTE(SUBSTITUTE(SUBSTITUTE(SUBSTITUTE(INDEX(PASTE_ALL,$DF998,$L$7)," "," "),CHAR(9)," "),CHAR(10)," "),CHAR(13)," "))),"")))</f>
        <v/>
      </c>
      <c r="DP998">
        <f>IF($DM998=0,"",IF($L$8=0,"",IFERROR(IF(ISNUMBER(INDEX(PASTE_ALL,$DF998,$L$8)),INDEX(PASTE_ALL,$DF998,$L$8),TRIM(SUBSTITUTE(SUBSTITUTE(SUBSTITUTE(SUBSTITUTE(INDEX(PASTE_ALL,$DF998,$L$8)," "," "),CHAR(9)," "),CHAR(10)," "),CHAR(13)," "))),"")))</f>
        <v/>
      </c>
      <c r="DQ998">
        <f>IF($DM998=0,"",IF($L$9=0,"",IFERROR(IF(ISNUMBER(INDEX(PASTE_ALL,$DF998,$L$9)),INDEX(PASTE_ALL,$DF998,$L$9),TRIM(SUBSTITUTE(SUBSTITUTE(SUBSTITUTE(SUBSTITUTE(INDEX(PASTE_ALL,$DF998,$L$9)," "," "),CHAR(9)," "),CHAR(10)," "),CHAR(13)," "))),"")))</f>
        <v/>
      </c>
      <c r="DR998">
        <f>IF($DM998=0,"",IF($L$10=0,"",IFERROR(IF(ISNUMBER(INDEX(PASTE_ALL,$DF998,$L$10)),INDEX(PASTE_ALL,$DF998,$L$10),TRIM(SUBSTITUTE(SUBSTITUTE(SUBSTITUTE(SUBSTITUTE(INDEX(PASTE_ALL,$DF998,$L$10)," "," "),CHAR(9)," "),CHAR(10)," "),CHAR(13)," "))),"")))</f>
        <v/>
      </c>
      <c r="DS998">
        <f>IF($DM998=0,"",IF($L$11=0,"",IFERROR(IF(ISNUMBER(INDEX(PASTE_ALL,$DF998,$L$11)),INDEX(PASTE_ALL,$DF998,$L$11),TRIM(SUBSTITUTE(SUBSTITUTE(SUBSTITUTE(SUBSTITUTE(INDEX(PASTE_ALL,$DF998,$L$11)," "," "),CHAR(9)," "),CHAR(10)," "),CHAR(13)," "))),"")))</f>
        <v/>
      </c>
      <c r="DT998">
        <f>IF($DM998=0,"",IF($L$12=0,"",IFERROR(IF(ISNUMBER(INDEX(PASTE_ALL,$DF998,$L$12)),INDEX(PASTE_ALL,$DF998,$L$12),TRIM(SUBSTITUTE(SUBSTITUTE(SUBSTITUTE(SUBSTITUTE(INDEX(PASTE_ALL,$DF998,$L$12)," "," "),CHAR(9)," "),CHAR(10)," "),CHAR(13)," "))),"")))</f>
        <v/>
      </c>
      <c r="DU998">
        <f>IF($DM998=0,"",IF($L$13=0,"",IFERROR(IF(ISNUMBER(INDEX(PASTE_ALL,$DF998,$L$13)),INDEX(PASTE_ALL,$DF998,$L$13),TRIM(SUBSTITUTE(SUBSTITUTE(SUBSTITUTE(SUBSTITUTE(INDEX(PASTE_ALL,$DF998,$L$13)," "," "),CHAR(9)," "),CHAR(10)," "),CHAR(13)," "))),"")))</f>
        <v/>
      </c>
      <c r="DV998">
        <f>IF($DM998=0,"",IF($L$14=0,"",IFERROR(IF(ISNUMBER(INDEX(PASTE_ALL,$DF998,$L$14)),INDEX(PASTE_ALL,$DF998,$L$14),TRIM(SUBSTITUTE(SUBSTITUTE(SUBSTITUTE(SUBSTITUTE(INDEX(PASTE_ALL,$DF998,$L$14)," "," "),CHAR(9)," "),CHAR(10)," "),CHAR(13)," "))),"")))</f>
        <v/>
      </c>
      <c r="DW998">
        <f>IF($DM998=0,"",IF($L$15=0,"",IFERROR(IF(ISNUMBER(INDEX(PASTE_ALL,$DF998,$L$15)),INDEX(PASTE_ALL,$DF998,$L$15),IF(SUMPRODUCT(--ISNUMBER(FIND({"A","B","C","D","E","F","G","H","I","J","K","L","M","N","O","P","Q","R","S","T","U","V","W","X","Y","Z","0","1","2","3","4","5","6","7","8","9"},UPPER(TRIM(SUBSTITUTE(SUBSTITUTE(SUBSTITUTE(SUBSTITUTE(INDEX(PASTE_ALL,$DF998,$L$15)," "," "),CHAR(9)," "),CHAR(10)," "),CHAR(13)," "))))))&gt;0,TRIM(SUBSTITUTE(SUBSTITUTE(SUBSTITUTE(SUBSTITUTE(INDEX(PASTE_ALL,$DF998,$L$15)," "," "),CHAR(9)," "),CHAR(10)," "),CHAR(13)," ")),"")),"")))</f>
        <v/>
      </c>
      <c r="DX998">
        <f>IF($DM998=0,"",IF($L$16=0,"",IFERROR(IF(ISNUMBER(INDEX(PASTE_ALL,$DF998,$L$16)),INDEX(PASTE_ALL,$DF998,$L$16),SUBSTITUTE(SUBSTITUTE(TRIM(SUBSTITUTE(SUBSTITUTE(SUBSTITUTE(SUBSTITUTE(INDEX(PASTE_ALL,$DF998,$L$16)," "," "),CHAR(9)," "),CHAR(10)," "),CHAR(13)," ")),",",""),"%","")),"")))</f>
        <v/>
      </c>
      <c r="DY998">
        <f>IF($DM998=0,"",IFERROR(IF(ISNUMBER($DX998),$DX998,IF($DX998="","",IF(TRIM($DX998)="",0,IF(AND(AND(SUBSTITUTE(SUBSTITUTE(SUBSTITUTE(SUBSTITUTE(SUBSTITUTE(SUBSTITUTE(SUBSTITUTE(SUBSTITUTE(SUBSTITUTE(SUBSTITUTE(SUBSTITUTE(SUBSTITUTE(SUBSTITUTE(SUBSTITUTE(UPPER(TRIM($DX998)),"0",""),"1",""),"2",""),"3",""),"4",""),"5",""),"6",""),"7",""),"8",""),"9",""),".",""),"+",""),"-",""),"E","")="",LEN(SUBSTITUTE(SUBSTITUTE(MID(UPPER(TRIM($DX998)),1+OR(LEFT(UPPER(TRIM($DX998)),1)="+",LEFT(UPPER(TRIM($DX998)),1)="-"),999),"E+","E"),"E-","E"))=LEN(SUBSTITUTE(SUBSTITUTE(SUBSTITUTE(SUBSTITUTE(MID(UPPER(TRIM($DX998)),1+OR(LEFT(UPPER(TRIM($DX998)),1)="+",LEFT(UPPER(TRIM($DX998)),1)="-"),999),"E+","E"),"E-","E"),"+",""),"-","")),LEN(UPPER(TRIM($DX998)))-LEN(SUBSTITUTE(UPPER(TRIM($DX998)),"E",""))&lt;2,LEN(UPPER(TRIM($DX998)))-LEN(SUBSTITUTE(UPPER(TRIM($DX998)),".",""))&lt;2,IFERROR(FIND(".",UPPER(TRIM($DX998))),0)&lt;IFERROR(FIND("E",UPPER(TRIM($DX998))),999)),ISNUMBER(VALUE(TRIM($DX998)))),VALUE(TRIM($DX998)),"")))),""))</f>
        <v/>
      </c>
      <c r="DZ998">
        <f>IF($DM998=0,"",IF($L$17=0,"",IFERROR(IF(ISNUMBER(INDEX(PASTE_ALL,$DF998,$L$17)),INDEX(PASTE_ALL,$DF998,$L$17),SUBSTITUTE(SUBSTITUTE(TRIM(SUBSTITUTE(SUBSTITUTE(SUBSTITUTE(SUBSTITUTE(INDEX(PASTE_ALL,$DF998,$L$17)," "," "),CHAR(9)," "),CHAR(10)," "),CHAR(13)," ")),",",""),"%","")),"")))</f>
        <v/>
      </c>
      <c r="EA998">
        <f>IF($DM998=0,"",IFERROR(IF(ISNUMBER($DZ998),$DZ998,IF($DZ998="","",IF(TRIM($DZ998)="",0,IF(AND(AND(SUBSTITUTE(SUBSTITUTE(SUBSTITUTE(SUBSTITUTE(SUBSTITUTE(SUBSTITUTE(SUBSTITUTE(SUBSTITUTE(SUBSTITUTE(SUBSTITUTE(SUBSTITUTE(SUBSTITUTE(SUBSTITUTE(SUBSTITUTE(UPPER(TRIM($DZ998)),"0",""),"1",""),"2",""),"3",""),"4",""),"5",""),"6",""),"7",""),"8",""),"9",""),".",""),"+",""),"-",""),"E","")="",LEN(SUBSTITUTE(SUBSTITUTE(MID(UPPER(TRIM($DZ998)),1+OR(LEFT(UPPER(TRIM($DZ998)),1)="+",LEFT(UPPER(TRIM($DZ998)),1)="-"),999),"E+","E"),"E-","E"))=LEN(SUBSTITUTE(SUBSTITUTE(SUBSTITUTE(SUBSTITUTE(MID(UPPER(TRIM($DZ998)),1+OR(LEFT(UPPER(TRIM($DZ998)),1)="+",LEFT(UPPER(TRIM($DZ998)),1)="-"),999),"E+","E"),"E-","E"),"+",""),"-","")),LEN(UPPER(TRIM($DZ998)))-LEN(SUBSTITUTE(UPPER(TRIM($DZ998)),"E",""))&lt;2,LEN(UPPER(TRIM($DZ998)))-LEN(SUBSTITUTE(UPPER(TRIM($DZ998)),".",""))&lt;2,IFERROR(FIND(".",UPPER(TRIM($DZ998))),0)&lt;IFERROR(FIND("E",UPPER(TRIM($DZ998))),999)),ISNUMBER(VALUE(TRIM($DZ998)))),VALUE(TRIM($DZ998)),"")))),""))</f>
        <v/>
      </c>
      <c r="EB998">
        <f>IF($DM998=0,"",IF($L$18=0,"",IFERROR(IF(UPPER(TRIM(SUBSTITUTE(SUBSTITUTE(SUBSTITUTE(SUBSTITUTE(INDEX(PASTE_ALL,$DF998,$L$18)," "," "),CHAR(9)," "),CHAR(10)," "),CHAR(13)," ")))="READY","Ready",IF(UPPER(TRIM(SUBSTITUTE(SUBSTITUTE(SUBSTITUTE(SUBSTITUTE(INDEX(PASTE_ALL,$DF998,$L$18)," "," "),CHAR(9)," "),CHAR(10)," "),CHAR(13)," ")))="PM","PM",IF(OR(UPPER(TRIM(SUBSTITUTE(SUBSTITUTE(SUBSTITUTE(SUBSTITUTE(INDEX(PASTE_ALL,$DF998,$L$18)," "," "),CHAR(9)," "),CHAR(10)," "),CHAR(13)," ")))="OT",UPPER(TRIM(SUBSTITUTE(SUBSTITUTE(SUBSTITUTE(SUBSTITUTE(INDEX(PASTE_ALL,$DF998,$L$18)," "," "),CHAR(9)," "),CHAR(10)," "),CHAR(13)," ")))="OVERTIME",UPPER(TRIM(SUBSTITUTE(SUBSTITUTE(SUBSTITUTE(SUBSTITUTE(INDEX(PASTE_ALL,$DF998,$L$18)," "," "),CHAR(9)," "),CHAR(10)," "),CHAR(13)," ")))="TRIAL"),"OT",TRIM(SUBSTITUTE(SUBSTITUTE(SUBSTITUTE(SUBSTITUTE(INDEX(PASTE_ALL,$DF998,$L$18)," "," "),CHAR(9)," "),CHAR(10)," "),CHAR(13)," "))))),"")))</f>
        <v/>
      </c>
      <c r="EC998">
        <f>IF($DM998=0,"",IF($L$19=0,"",IFERROR(IF(ISNUMBER(INDEX(PASTE_ALL,$DF998,$L$19)),INDEX(PASTE_ALL,$DF998,$L$19),TRIM(SUBSTITUTE(SUBSTITUTE(SUBSTITUTE(SUBSTITUTE(INDEX(PASTE_ALL,$DF998,$L$19)," "," "),CHAR(9)," "),CHAR(10)," "),CHAR(13)," "))),"")))</f>
        <v/>
      </c>
      <c r="ED998">
        <f>IF($DM998=0,"",MATCH(1,INDEX(EXACT($DH$5:DH998,$DH998)*$DM$5:DM998,0),0))</f>
        <v/>
      </c>
      <c r="EE998">
        <f>IF($DM998=0,0,IF($ED998=$DE998,1,0))</f>
        <v/>
      </c>
      <c r="EF998">
        <f>EF997+$EE998</f>
        <v/>
      </c>
      <c r="EG998">
        <f>IF($DM998=0,"",INDEX($EF$5:$EF$1003,$ED998))</f>
        <v/>
      </c>
      <c r="EH998">
        <f>IF($DM998=0,"",IF($DO998&lt;&gt;"","",IFERROR(LOOKUP(2,1/(($EG$4:EG997=$EG998)*($DO$4:DO997&lt;&gt;"")),$DO$4:DO997),"")))</f>
        <v/>
      </c>
      <c r="EI998">
        <f>IF($DM998=0,"",IF($DO998&lt;&gt;"",$DO998,$EH998))</f>
        <v/>
      </c>
      <c r="EJ998">
        <f>IF($DM998=0,"",IF($EI998="",0,IF(OR(ISNUMBER($EI998),AND(AND(SUBSTITUTE(SUBSTITUTE(SUBSTITUTE(SUBSTITUTE(SUBSTITUTE(SUBSTITUTE(SUBSTITUTE(SUBSTITUTE(SUBSTITUTE(SUBSTITUTE(SUBSTITUTE(SUBSTITUTE(SUBSTITUTE(SUBSTITUTE(UPPER($EI998),"0",""),"1",""),"2",""),"3",""),"4",""),"5",""),"6",""),"7",""),"8",""),"9",""),".",""),"+",""),"-",""),"E","")="",LEN(SUBSTITUTE(SUBSTITUTE(MID(UPPER($EI998),1+OR(LEFT(UPPER($EI998),1)="+",LEFT(UPPER($EI998),1)="-"),999),"E+","E"),"E-","E"))=LEN(SUBSTITUTE(SUBSTITUTE(SUBSTITUTE(SUBSTITUTE(MID(UPPER($EI998),1+OR(LEFT(UPPER($EI998),1)="+",LEFT(UPPER($EI998),1)="-"),999),"E+","E"),"E-","E"),"+",""),"-","")),LEN(UPPER($EI998))-LEN(SUBSTITUTE(UPPER($EI998),"E",""))&lt;2,LEN(UPPER($EI998))-LEN(SUBSTITUTE(UPPER($EI998),".",""))&lt;2,IFERROR(FIND(".",UPPER($EI998)),0)&lt;IFERROR(FIND("E",UPPER($EI998)),999)),ISNUMBER(VALUE($EI998)))),1,2)))</f>
        <v/>
      </c>
      <c r="EK998">
        <f>IF($DM998=0,"",IF($EJ998=1,IF(ISNUMBER($EI998),$EI998,VALUE($EI998)),IF($EJ998=2,$DE998,0)))</f>
        <v/>
      </c>
      <c r="EL998">
        <f>IF($DM998=0,"",COUNTIF($EG$5:$EG$1003,"&lt;"&amp;$EG998)+SUMPRODUCT(($EG$5:$EG$1003=$EG998)*(($EJ$5:$EJ$1003&lt;$EJ998)+($EJ$5:$EJ$1003=$EJ998)*(($EK$5:$EK$1003&lt;$EK998)+($EK$5:$EK$1003=$EK998)*($DE$5:$DE$1003&lt;$DE998))))+1)</f>
        <v/>
      </c>
      <c r="EM998">
        <f>IF($DM998=0,"",$EL998+$EG998-1)</f>
        <v/>
      </c>
      <c r="EN998">
        <f>IF($DM998=0,0,IFERROR(MATCH(1,INDEX(--(TRIM(SUBSTITUTE(SUBSTITUTE(SUBSTITUTE(SUBSTITUTE(LINES_NAME&amp;""," "," "),CHAR(9)," "),CHAR(10)," "),CHAR(13)," "))=$DH998),0),0),0))</f>
        <v/>
      </c>
      <c r="EO998">
        <f>IF($EN998=0,0,IF(OR(UPPER(TRIM(INDEX(LINES_SCHEDULED,$EN998)&amp;""))="YES",UPPER(TRIM(INDEX(LINES_SCHEDULED,$EN998)&amp;""))="Y",UPPER(TRIM(INDEX(LINES_SCHEDULED,$EN998)&amp;""))="X"),1,0))</f>
        <v/>
      </c>
      <c r="EP998">
        <f>IF($DM998=0,"",IF(COUNTIFS($EG$5:$EG$1003,$EG998,$EB$5:$EB$1003,"Ready")&gt;0,"READY",IF(COUNTIFS($EG$5:$EG$1003,$EG998,$EB$5:$EB$1003,"PM")&gt;0,"PM",IF(COUNTIFS($EG$5:$EG$1003,$EG998,$EB$5:$EB$1003,"OT")&gt;0,"OT",""))))</f>
        <v/>
      </c>
      <c r="EQ998">
        <f>IF($EN998=0,"",UPPER(TRIM(INDEX(LINES_STATUS,$EN998)&amp;"")))</f>
        <v/>
      </c>
      <c r="ER998">
        <f>IF($DM998=0,"",IF(OR($EQ998="READY",$EQ998="PM",$EQ998="OT"),$EQ998,$EP998))</f>
        <v/>
      </c>
      <c r="ES998">
        <f>IF($DM998=0,"",IF(AND($DV998&lt;&gt;"",UPPER($DV998)&lt;&gt;"N"),"allergen",IF(ISNUMBER(SEARCH("oil",$DQ998)),"oil",IF(OR(EXACT($DS998,"A662"),EXACT($DS998,"A624")),"bulk",""))))</f>
        <v/>
      </c>
      <c r="ET998">
        <f>IF($DM998=0,"",IF(OR($EA998="",$EA998=0),"",$EA998/100))</f>
        <v/>
      </c>
      <c r="EU998">
        <f>IF(OR($ET998="",$DY998=""),"",INT($DY998*(1-$ET998)+0.5))</f>
        <v/>
      </c>
    </row>
    <row r="999">
      <c r="DA999" t="n">
        <v>995</v>
      </c>
      <c r="DB999">
        <f>IF($B$37=0,"",IFERROR(TRIM(SUBSTITUTE(SUBSTITUTE(SUBSTITUTE(SUBSTITUTE(INDEX(PASTE_ALL,995,$B$37)," "," "),CHAR(9)," "),CHAR(10)," "),CHAR(13)," ")),""))</f>
        <v/>
      </c>
      <c r="DC999">
        <f>IF(AND(995&gt;HEADER_ROW,UPPER(DB999)="LEGEND"),1,0)</f>
        <v/>
      </c>
      <c r="DE999" t="n">
        <v>995</v>
      </c>
      <c r="DF999">
        <f>HEADER_ROW+$DE999</f>
        <v/>
      </c>
      <c r="DG999">
        <f>IF(AND($DF999&lt;=1000,$DF999&lt;$B$8),1,0)</f>
        <v/>
      </c>
      <c r="DH999">
        <f>IF($DG999=1,IFERROR(INDEX($DB$5:$DB$1004,$DF999),""),"")</f>
        <v/>
      </c>
      <c r="DI999">
        <f>IF(AND($DG999=1,$DH999&lt;&gt;""),IFERROR(SUBSTITUTE(SUBSTITUTE(TRIM(SUBSTITUTE(SUBSTITUTE(SUBSTITUTE(SUBSTITUTE(IFERROR(INDEX(PASTE_ALL,$DF999,1)&amp;"","")&amp;"␟"&amp;IFERROR(INDEX(PASTE_ALL,$DF999,2)&amp;"","")&amp;"␟"&amp;IFERROR(INDEX(PASTE_ALL,$DF999,3)&amp;"","")&amp;"␟"&amp;IFERROR(INDEX(PASTE_ALL,$DF999,4)&amp;"","")&amp;"␟"&amp;IFERROR(INDEX(PASTE_ALL,$DF999,5)&amp;"","")&amp;"␟"&amp;IFERROR(INDEX(PASTE_ALL,$DF999,6)&amp;"","")&amp;"␟"&amp;IFERROR(INDEX(PASTE_ALL,$DF999,7)&amp;"","")&amp;"␟"&amp;IFERROR(INDEX(PASTE_ALL,$DF999,8)&amp;"","")&amp;"␟"&amp;IFERROR(INDEX(PASTE_ALL,$DF999,9)&amp;"","")&amp;"␟"&amp;IFERROR(INDEX(PASTE_ALL,$DF999,10)&amp;"","")&amp;"␟"&amp;IFERROR(INDEX(PASTE_ALL,$DF999,11)&amp;"","")&amp;"␟"&amp;IFERROR(INDEX(PASTE_ALL,$DF999,12)&amp;"","")&amp;"␟"&amp;IFERROR(INDEX(PASTE_ALL,$DF999,13)&amp;"","")&amp;"␟"&amp;IFERROR(INDEX(PASTE_ALL,$DF999,14)&amp;"","")&amp;"␟"&amp;IFERROR(INDEX(PASTE_ALL,$DF999,15)&amp;"","")&amp;"␟"&amp;IFERROR(INDEX(PASTE_ALL,$DF999,16)&amp;"","")&amp;"␟"&amp;IFERROR(INDEX(PASTE_ALL,$DF999,17)&amp;"","")&amp;"␟"&amp;IFERROR(INDEX(PASTE_ALL,$DF999,18)&amp;"","")&amp;"␟"&amp;IFERROR(INDEX(PASTE_ALL,$DF999,19)&amp;"","")&amp;"␟"&amp;IFERROR(INDEX(PASTE_ALL,$DF999,20)&amp;"","")&amp;"␟"&amp;IFERROR(INDEX(PASTE_ALL,$DF999,21)&amp;"","")&amp;"␟"&amp;IFERROR(INDEX(PASTE_ALL,$DF999,22)&amp;"","")&amp;"␟"&amp;IFERROR(INDEX(PASTE_ALL,$DF999,23)&amp;"","")&amp;"␟"&amp;IFERROR(INDEX(PASTE_ALL,$DF999,24)&amp;"","")&amp;"␟"&amp;IFERROR(INDEX(PASTE_ALL,$DF999,25)&amp;"","")&amp;"␟"&amp;IFERROR(INDEX(PASTE_ALL,$DF999,26)&amp;"","")&amp;"␟"&amp;IFERROR(INDEX(PASTE_ALL,$DF999,27)&amp;"","")&amp;"␟"&amp;IFERROR(INDEX(PASTE_ALL,$DF999,28)&amp;"","")&amp;"␟"&amp;IFERROR(INDEX(PASTE_ALL,$DF999,29)&amp;"","")&amp;"␟"&amp;IFERROR(INDEX(PASTE_ALL,$DF999,30)&amp;"","")&amp;"␟"&amp;IFERROR(INDEX(PASTE_ALL,$DF999,31)&amp;"","")&amp;"␟"&amp;IFERROR(INDEX(PASTE_ALL,$DF999,32)&amp;"","")&amp;"␟"&amp;IFERROR(INDEX(PASTE_ALL,$DF999,33)&amp;"","")&amp;"␟"&amp;IFERROR(INDEX(PASTE_ALL,$DF999,34)&amp;"","")&amp;"␟"&amp;IFERROR(INDEX(PASTE_ALL,$DF999,35)&amp;"","")&amp;"␟"&amp;IFERROR(INDEX(PASTE_ALL,$DF999,36)&amp;"","")&amp;"␟"&amp;IFERROR(INDEX(PASTE_ALL,$DF999,37)&amp;"","")&amp;"␟"&amp;IFERROR(INDEX(PASTE_ALL,$DF999,38)&amp;"","")&amp;"␟"&amp;IFERROR(INDEX(PASTE_ALL,$DF999,39)&amp;"","")&amp;"␟"&amp;IFERROR(INDEX(PASTE_ALL,$DF999,40)&amp;"","")&amp;"␟"&amp;IFERROR(INDEX(PASTE_ALL,$DF999,41)&amp;"","")&amp;"␟"&amp;IFERROR(INDEX(PASTE_ALL,$DF999,42)&amp;"","")&amp;"␟"&amp;IFERROR(INDEX(PASTE_ALL,$DF999,43)&amp;"","")&amp;"␟"&amp;IFERROR(INDEX(PASTE_ALL,$DF999,44)&amp;"","")&amp;"␟"&amp;IFERROR(INDEX(PASTE_ALL,$DF999,45)&amp;"","")&amp;"␟"&amp;IFERROR(INDEX(PASTE_ALL,$DF999,46)&amp;"","")&amp;"␟"&amp;IFERROR(INDEX(PASTE_ALL,$DF999,47)&amp;"","")&amp;"␟"&amp;IFERROR(INDEX(PASTE_ALL,$DF999,48)&amp;"","")&amp;"␟"&amp;IFERROR(INDEX(PASTE_ALL,$DF999,49)&amp;"","")&amp;"␟"&amp;IFERROR(INDEX(PASTE_ALL,$DF999,50)&amp;"","")&amp;"␟"&amp;IFERROR(INDEX(PASTE_ALL,$DF999,51)&amp;"","")&amp;"␟"&amp;IFERROR(INDEX(PASTE_ALL,$DF999,52)&amp;"","")&amp;"␟"&amp;IFERROR(INDEX(PASTE_ALL,$DF999,53)&amp;"","")&amp;"␟"&amp;IFERROR(INDEX(PASTE_ALL,$DF999,54)&amp;"","")&amp;"␟"&amp;IFERROR(INDEX(PASTE_ALL,$DF999,55)&amp;"","")&amp;"␟"&amp;IFERROR(INDEX(PASTE_ALL,$DF999,56)&amp;"","")&amp;"␟"&amp;IFERROR(INDEX(PASTE_ALL,$DF999,57)&amp;"","")&amp;"␟"&amp;IFERROR(INDEX(PASTE_ALL,$DF999,58)&amp;"","")&amp;"␟"&amp;IFERROR(INDEX(PASTE_ALL,$DF999,59)&amp;"","")&amp;"␟"&amp;IFERROR(INDEX(PASTE_ALL,$DF999,60)&amp;"","")," "," "),CHAR(9)," "),CHAR(10)," "),CHAR(13)," "))," ␟","␟"),"␟ ","␟"),"#"&amp;$DE999),"")</f>
        <v/>
      </c>
      <c r="DJ999">
        <f>IF($DI999="",0,IF(SUMPRODUCT(--EXACT($DI$4:DI998,$DI999))&gt;0,1,0))</f>
        <v/>
      </c>
      <c r="DK999">
        <f>IF(AND($DI999&lt;&gt;"",$DJ999=0),1,0)</f>
        <v/>
      </c>
      <c r="DL999">
        <f>DL998+$DK999</f>
        <v/>
      </c>
      <c r="DM999">
        <f>IF(AND($DK999=1,$DL999&lt;=600),1,0)</f>
        <v/>
      </c>
      <c r="DN999">
        <f>IF($DM999=0,"",IF($L$6=0,"",IFERROR(IF(ISNUMBER(INDEX(PASTE_ALL,$DF999,$L$6)),INDEX(PASTE_ALL,$DF999,$L$6),TRIM(SUBSTITUTE(SUBSTITUTE(SUBSTITUTE(SUBSTITUTE(INDEX(PASTE_ALL,$DF999,$L$6)," "," "),CHAR(9)," "),CHAR(10)," "),CHAR(13)," "))),"")))</f>
        <v/>
      </c>
      <c r="DO999">
        <f>IF($DM999=0,"",IF($L$7=0,"",IFERROR(IF(ISNUMBER(INDEX(PASTE_ALL,$DF999,$L$7)),INDEX(PASTE_ALL,$DF999,$L$7),TRIM(SUBSTITUTE(SUBSTITUTE(SUBSTITUTE(SUBSTITUTE(INDEX(PASTE_ALL,$DF999,$L$7)," "," "),CHAR(9)," "),CHAR(10)," "),CHAR(13)," "))),"")))</f>
        <v/>
      </c>
      <c r="DP999">
        <f>IF($DM999=0,"",IF($L$8=0,"",IFERROR(IF(ISNUMBER(INDEX(PASTE_ALL,$DF999,$L$8)),INDEX(PASTE_ALL,$DF999,$L$8),TRIM(SUBSTITUTE(SUBSTITUTE(SUBSTITUTE(SUBSTITUTE(INDEX(PASTE_ALL,$DF999,$L$8)," "," "),CHAR(9)," "),CHAR(10)," "),CHAR(13)," "))),"")))</f>
        <v/>
      </c>
      <c r="DQ999">
        <f>IF($DM999=0,"",IF($L$9=0,"",IFERROR(IF(ISNUMBER(INDEX(PASTE_ALL,$DF999,$L$9)),INDEX(PASTE_ALL,$DF999,$L$9),TRIM(SUBSTITUTE(SUBSTITUTE(SUBSTITUTE(SUBSTITUTE(INDEX(PASTE_ALL,$DF999,$L$9)," "," "),CHAR(9)," "),CHAR(10)," "),CHAR(13)," "))),"")))</f>
        <v/>
      </c>
      <c r="DR999">
        <f>IF($DM999=0,"",IF($L$10=0,"",IFERROR(IF(ISNUMBER(INDEX(PASTE_ALL,$DF999,$L$10)),INDEX(PASTE_ALL,$DF999,$L$10),TRIM(SUBSTITUTE(SUBSTITUTE(SUBSTITUTE(SUBSTITUTE(INDEX(PASTE_ALL,$DF999,$L$10)," "," "),CHAR(9)," "),CHAR(10)," "),CHAR(13)," "))),"")))</f>
        <v/>
      </c>
      <c r="DS999">
        <f>IF($DM999=0,"",IF($L$11=0,"",IFERROR(IF(ISNUMBER(INDEX(PASTE_ALL,$DF999,$L$11)),INDEX(PASTE_ALL,$DF999,$L$11),TRIM(SUBSTITUTE(SUBSTITUTE(SUBSTITUTE(SUBSTITUTE(INDEX(PASTE_ALL,$DF999,$L$11)," "," "),CHAR(9)," "),CHAR(10)," "),CHAR(13)," "))),"")))</f>
        <v/>
      </c>
      <c r="DT999">
        <f>IF($DM999=0,"",IF($L$12=0,"",IFERROR(IF(ISNUMBER(INDEX(PASTE_ALL,$DF999,$L$12)),INDEX(PASTE_ALL,$DF999,$L$12),TRIM(SUBSTITUTE(SUBSTITUTE(SUBSTITUTE(SUBSTITUTE(INDEX(PASTE_ALL,$DF999,$L$12)," "," "),CHAR(9)," "),CHAR(10)," "),CHAR(13)," "))),"")))</f>
        <v/>
      </c>
      <c r="DU999">
        <f>IF($DM999=0,"",IF($L$13=0,"",IFERROR(IF(ISNUMBER(INDEX(PASTE_ALL,$DF999,$L$13)),INDEX(PASTE_ALL,$DF999,$L$13),TRIM(SUBSTITUTE(SUBSTITUTE(SUBSTITUTE(SUBSTITUTE(INDEX(PASTE_ALL,$DF999,$L$13)," "," "),CHAR(9)," "),CHAR(10)," "),CHAR(13)," "))),"")))</f>
        <v/>
      </c>
      <c r="DV999">
        <f>IF($DM999=0,"",IF($L$14=0,"",IFERROR(IF(ISNUMBER(INDEX(PASTE_ALL,$DF999,$L$14)),INDEX(PASTE_ALL,$DF999,$L$14),TRIM(SUBSTITUTE(SUBSTITUTE(SUBSTITUTE(SUBSTITUTE(INDEX(PASTE_ALL,$DF999,$L$14)," "," "),CHAR(9)," "),CHAR(10)," "),CHAR(13)," "))),"")))</f>
        <v/>
      </c>
      <c r="DW999">
        <f>IF($DM999=0,"",IF($L$15=0,"",IFERROR(IF(ISNUMBER(INDEX(PASTE_ALL,$DF999,$L$15)),INDEX(PASTE_ALL,$DF999,$L$15),IF(SUMPRODUCT(--ISNUMBER(FIND({"A","B","C","D","E","F","G","H","I","J","K","L","M","N","O","P","Q","R","S","T","U","V","W","X","Y","Z","0","1","2","3","4","5","6","7","8","9"},UPPER(TRIM(SUBSTITUTE(SUBSTITUTE(SUBSTITUTE(SUBSTITUTE(INDEX(PASTE_ALL,$DF999,$L$15)," "," "),CHAR(9)," "),CHAR(10)," "),CHAR(13)," "))))))&gt;0,TRIM(SUBSTITUTE(SUBSTITUTE(SUBSTITUTE(SUBSTITUTE(INDEX(PASTE_ALL,$DF999,$L$15)," "," "),CHAR(9)," "),CHAR(10)," "),CHAR(13)," ")),"")),"")))</f>
        <v/>
      </c>
      <c r="DX999">
        <f>IF($DM999=0,"",IF($L$16=0,"",IFERROR(IF(ISNUMBER(INDEX(PASTE_ALL,$DF999,$L$16)),INDEX(PASTE_ALL,$DF999,$L$16),SUBSTITUTE(SUBSTITUTE(TRIM(SUBSTITUTE(SUBSTITUTE(SUBSTITUTE(SUBSTITUTE(INDEX(PASTE_ALL,$DF999,$L$16)," "," "),CHAR(9)," "),CHAR(10)," "),CHAR(13)," ")),",",""),"%","")),"")))</f>
        <v/>
      </c>
      <c r="DY999">
        <f>IF($DM999=0,"",IFERROR(IF(ISNUMBER($DX999),$DX999,IF($DX999="","",IF(TRIM($DX999)="",0,IF(AND(AND(SUBSTITUTE(SUBSTITUTE(SUBSTITUTE(SUBSTITUTE(SUBSTITUTE(SUBSTITUTE(SUBSTITUTE(SUBSTITUTE(SUBSTITUTE(SUBSTITUTE(SUBSTITUTE(SUBSTITUTE(SUBSTITUTE(SUBSTITUTE(UPPER(TRIM($DX999)),"0",""),"1",""),"2",""),"3",""),"4",""),"5",""),"6",""),"7",""),"8",""),"9",""),".",""),"+",""),"-",""),"E","")="",LEN(SUBSTITUTE(SUBSTITUTE(MID(UPPER(TRIM($DX999)),1+OR(LEFT(UPPER(TRIM($DX999)),1)="+",LEFT(UPPER(TRIM($DX999)),1)="-"),999),"E+","E"),"E-","E"))=LEN(SUBSTITUTE(SUBSTITUTE(SUBSTITUTE(SUBSTITUTE(MID(UPPER(TRIM($DX999)),1+OR(LEFT(UPPER(TRIM($DX999)),1)="+",LEFT(UPPER(TRIM($DX999)),1)="-"),999),"E+","E"),"E-","E"),"+",""),"-","")),LEN(UPPER(TRIM($DX999)))-LEN(SUBSTITUTE(UPPER(TRIM($DX999)),"E",""))&lt;2,LEN(UPPER(TRIM($DX999)))-LEN(SUBSTITUTE(UPPER(TRIM($DX999)),".",""))&lt;2,IFERROR(FIND(".",UPPER(TRIM($DX999))),0)&lt;IFERROR(FIND("E",UPPER(TRIM($DX999))),999)),ISNUMBER(VALUE(TRIM($DX999)))),VALUE(TRIM($DX999)),"")))),""))</f>
        <v/>
      </c>
      <c r="DZ999">
        <f>IF($DM999=0,"",IF($L$17=0,"",IFERROR(IF(ISNUMBER(INDEX(PASTE_ALL,$DF999,$L$17)),INDEX(PASTE_ALL,$DF999,$L$17),SUBSTITUTE(SUBSTITUTE(TRIM(SUBSTITUTE(SUBSTITUTE(SUBSTITUTE(SUBSTITUTE(INDEX(PASTE_ALL,$DF999,$L$17)," "," "),CHAR(9)," "),CHAR(10)," "),CHAR(13)," ")),",",""),"%","")),"")))</f>
        <v/>
      </c>
      <c r="EA999">
        <f>IF($DM999=0,"",IFERROR(IF(ISNUMBER($DZ999),$DZ999,IF($DZ999="","",IF(TRIM($DZ999)="",0,IF(AND(AND(SUBSTITUTE(SUBSTITUTE(SUBSTITUTE(SUBSTITUTE(SUBSTITUTE(SUBSTITUTE(SUBSTITUTE(SUBSTITUTE(SUBSTITUTE(SUBSTITUTE(SUBSTITUTE(SUBSTITUTE(SUBSTITUTE(SUBSTITUTE(UPPER(TRIM($DZ999)),"0",""),"1",""),"2",""),"3",""),"4",""),"5",""),"6",""),"7",""),"8",""),"9",""),".",""),"+",""),"-",""),"E","")="",LEN(SUBSTITUTE(SUBSTITUTE(MID(UPPER(TRIM($DZ999)),1+OR(LEFT(UPPER(TRIM($DZ999)),1)="+",LEFT(UPPER(TRIM($DZ999)),1)="-"),999),"E+","E"),"E-","E"))=LEN(SUBSTITUTE(SUBSTITUTE(SUBSTITUTE(SUBSTITUTE(MID(UPPER(TRIM($DZ999)),1+OR(LEFT(UPPER(TRIM($DZ999)),1)="+",LEFT(UPPER(TRIM($DZ999)),1)="-"),999),"E+","E"),"E-","E"),"+",""),"-","")),LEN(UPPER(TRIM($DZ999)))-LEN(SUBSTITUTE(UPPER(TRIM($DZ999)),"E",""))&lt;2,LEN(UPPER(TRIM($DZ999)))-LEN(SUBSTITUTE(UPPER(TRIM($DZ999)),".",""))&lt;2,IFERROR(FIND(".",UPPER(TRIM($DZ999))),0)&lt;IFERROR(FIND("E",UPPER(TRIM($DZ999))),999)),ISNUMBER(VALUE(TRIM($DZ999)))),VALUE(TRIM($DZ999)),"")))),""))</f>
        <v/>
      </c>
      <c r="EB999">
        <f>IF($DM999=0,"",IF($L$18=0,"",IFERROR(IF(UPPER(TRIM(SUBSTITUTE(SUBSTITUTE(SUBSTITUTE(SUBSTITUTE(INDEX(PASTE_ALL,$DF999,$L$18)," "," "),CHAR(9)," "),CHAR(10)," "),CHAR(13)," ")))="READY","Ready",IF(UPPER(TRIM(SUBSTITUTE(SUBSTITUTE(SUBSTITUTE(SUBSTITUTE(INDEX(PASTE_ALL,$DF999,$L$18)," "," "),CHAR(9)," "),CHAR(10)," "),CHAR(13)," ")))="PM","PM",IF(OR(UPPER(TRIM(SUBSTITUTE(SUBSTITUTE(SUBSTITUTE(SUBSTITUTE(INDEX(PASTE_ALL,$DF999,$L$18)," "," "),CHAR(9)," "),CHAR(10)," "),CHAR(13)," ")))="OT",UPPER(TRIM(SUBSTITUTE(SUBSTITUTE(SUBSTITUTE(SUBSTITUTE(INDEX(PASTE_ALL,$DF999,$L$18)," "," "),CHAR(9)," "),CHAR(10)," "),CHAR(13)," ")))="OVERTIME",UPPER(TRIM(SUBSTITUTE(SUBSTITUTE(SUBSTITUTE(SUBSTITUTE(INDEX(PASTE_ALL,$DF999,$L$18)," "," "),CHAR(9)," "),CHAR(10)," "),CHAR(13)," ")))="TRIAL"),"OT",TRIM(SUBSTITUTE(SUBSTITUTE(SUBSTITUTE(SUBSTITUTE(INDEX(PASTE_ALL,$DF999,$L$18)," "," "),CHAR(9)," "),CHAR(10)," "),CHAR(13)," "))))),"")))</f>
        <v/>
      </c>
      <c r="EC999">
        <f>IF($DM999=0,"",IF($L$19=0,"",IFERROR(IF(ISNUMBER(INDEX(PASTE_ALL,$DF999,$L$19)),INDEX(PASTE_ALL,$DF999,$L$19),TRIM(SUBSTITUTE(SUBSTITUTE(SUBSTITUTE(SUBSTITUTE(INDEX(PASTE_ALL,$DF999,$L$19)," "," "),CHAR(9)," "),CHAR(10)," "),CHAR(13)," "))),"")))</f>
        <v/>
      </c>
      <c r="ED999">
        <f>IF($DM999=0,"",MATCH(1,INDEX(EXACT($DH$5:DH999,$DH999)*$DM$5:DM999,0),0))</f>
        <v/>
      </c>
      <c r="EE999">
        <f>IF($DM999=0,0,IF($ED999=$DE999,1,0))</f>
        <v/>
      </c>
      <c r="EF999">
        <f>EF998+$EE999</f>
        <v/>
      </c>
      <c r="EG999">
        <f>IF($DM999=0,"",INDEX($EF$5:$EF$1003,$ED999))</f>
        <v/>
      </c>
      <c r="EH999">
        <f>IF($DM999=0,"",IF($DO999&lt;&gt;"","",IFERROR(LOOKUP(2,1/(($EG$4:EG998=$EG999)*($DO$4:DO998&lt;&gt;"")),$DO$4:DO998),"")))</f>
        <v/>
      </c>
      <c r="EI999">
        <f>IF($DM999=0,"",IF($DO999&lt;&gt;"",$DO999,$EH999))</f>
        <v/>
      </c>
      <c r="EJ999">
        <f>IF($DM999=0,"",IF($EI999="",0,IF(OR(ISNUMBER($EI999),AND(AND(SUBSTITUTE(SUBSTITUTE(SUBSTITUTE(SUBSTITUTE(SUBSTITUTE(SUBSTITUTE(SUBSTITUTE(SUBSTITUTE(SUBSTITUTE(SUBSTITUTE(SUBSTITUTE(SUBSTITUTE(SUBSTITUTE(SUBSTITUTE(UPPER($EI999),"0",""),"1",""),"2",""),"3",""),"4",""),"5",""),"6",""),"7",""),"8",""),"9",""),".",""),"+",""),"-",""),"E","")="",LEN(SUBSTITUTE(SUBSTITUTE(MID(UPPER($EI999),1+OR(LEFT(UPPER($EI999),1)="+",LEFT(UPPER($EI999),1)="-"),999),"E+","E"),"E-","E"))=LEN(SUBSTITUTE(SUBSTITUTE(SUBSTITUTE(SUBSTITUTE(MID(UPPER($EI999),1+OR(LEFT(UPPER($EI999),1)="+",LEFT(UPPER($EI999),1)="-"),999),"E+","E"),"E-","E"),"+",""),"-","")),LEN(UPPER($EI999))-LEN(SUBSTITUTE(UPPER($EI999),"E",""))&lt;2,LEN(UPPER($EI999))-LEN(SUBSTITUTE(UPPER($EI999),".",""))&lt;2,IFERROR(FIND(".",UPPER($EI999)),0)&lt;IFERROR(FIND("E",UPPER($EI999)),999)),ISNUMBER(VALUE($EI999)))),1,2)))</f>
        <v/>
      </c>
      <c r="EK999">
        <f>IF($DM999=0,"",IF($EJ999=1,IF(ISNUMBER($EI999),$EI999,VALUE($EI999)),IF($EJ999=2,$DE999,0)))</f>
        <v/>
      </c>
      <c r="EL999">
        <f>IF($DM999=0,"",COUNTIF($EG$5:$EG$1003,"&lt;"&amp;$EG999)+SUMPRODUCT(($EG$5:$EG$1003=$EG999)*(($EJ$5:$EJ$1003&lt;$EJ999)+($EJ$5:$EJ$1003=$EJ999)*(($EK$5:$EK$1003&lt;$EK999)+($EK$5:$EK$1003=$EK999)*($DE$5:$DE$1003&lt;$DE999))))+1)</f>
        <v/>
      </c>
      <c r="EM999">
        <f>IF($DM999=0,"",$EL999+$EG999-1)</f>
        <v/>
      </c>
      <c r="EN999">
        <f>IF($DM999=0,0,IFERROR(MATCH(1,INDEX(--(TRIM(SUBSTITUTE(SUBSTITUTE(SUBSTITUTE(SUBSTITUTE(LINES_NAME&amp;""," "," "),CHAR(9)," "),CHAR(10)," "),CHAR(13)," "))=$DH999),0),0),0))</f>
        <v/>
      </c>
      <c r="EO999">
        <f>IF($EN999=0,0,IF(OR(UPPER(TRIM(INDEX(LINES_SCHEDULED,$EN999)&amp;""))="YES",UPPER(TRIM(INDEX(LINES_SCHEDULED,$EN999)&amp;""))="Y",UPPER(TRIM(INDEX(LINES_SCHEDULED,$EN999)&amp;""))="X"),1,0))</f>
        <v/>
      </c>
      <c r="EP999">
        <f>IF($DM999=0,"",IF(COUNTIFS($EG$5:$EG$1003,$EG999,$EB$5:$EB$1003,"Ready")&gt;0,"READY",IF(COUNTIFS($EG$5:$EG$1003,$EG999,$EB$5:$EB$1003,"PM")&gt;0,"PM",IF(COUNTIFS($EG$5:$EG$1003,$EG999,$EB$5:$EB$1003,"OT")&gt;0,"OT",""))))</f>
        <v/>
      </c>
      <c r="EQ999">
        <f>IF($EN999=0,"",UPPER(TRIM(INDEX(LINES_STATUS,$EN999)&amp;"")))</f>
        <v/>
      </c>
      <c r="ER999">
        <f>IF($DM999=0,"",IF(OR($EQ999="READY",$EQ999="PM",$EQ999="OT"),$EQ999,$EP999))</f>
        <v/>
      </c>
      <c r="ES999">
        <f>IF($DM999=0,"",IF(AND($DV999&lt;&gt;"",UPPER($DV999)&lt;&gt;"N"),"allergen",IF(ISNUMBER(SEARCH("oil",$DQ999)),"oil",IF(OR(EXACT($DS999,"A662"),EXACT($DS999,"A624")),"bulk",""))))</f>
        <v/>
      </c>
      <c r="ET999">
        <f>IF($DM999=0,"",IF(OR($EA999="",$EA999=0),"",$EA999/100))</f>
        <v/>
      </c>
      <c r="EU999">
        <f>IF(OR($ET999="",$DY999=""),"",INT($DY999*(1-$ET999)+0.5))</f>
        <v/>
      </c>
    </row>
    <row r="1000">
      <c r="DA1000" t="n">
        <v>996</v>
      </c>
      <c r="DB1000">
        <f>IF($B$37=0,"",IFERROR(TRIM(SUBSTITUTE(SUBSTITUTE(SUBSTITUTE(SUBSTITUTE(INDEX(PASTE_ALL,996,$B$37)," "," "),CHAR(9)," "),CHAR(10)," "),CHAR(13)," ")),""))</f>
        <v/>
      </c>
      <c r="DC1000">
        <f>IF(AND(996&gt;HEADER_ROW,UPPER(DB1000)="LEGEND"),1,0)</f>
        <v/>
      </c>
      <c r="DE1000" t="n">
        <v>996</v>
      </c>
      <c r="DF1000">
        <f>HEADER_ROW+$DE1000</f>
        <v/>
      </c>
      <c r="DG1000">
        <f>IF(AND($DF1000&lt;=1000,$DF1000&lt;$B$8),1,0)</f>
        <v/>
      </c>
      <c r="DH1000">
        <f>IF($DG1000=1,IFERROR(INDEX($DB$5:$DB$1004,$DF1000),""),"")</f>
        <v/>
      </c>
      <c r="DI1000">
        <f>IF(AND($DG1000=1,$DH1000&lt;&gt;""),IFERROR(SUBSTITUTE(SUBSTITUTE(TRIM(SUBSTITUTE(SUBSTITUTE(SUBSTITUTE(SUBSTITUTE(IFERROR(INDEX(PASTE_ALL,$DF1000,1)&amp;"","")&amp;"␟"&amp;IFERROR(INDEX(PASTE_ALL,$DF1000,2)&amp;"","")&amp;"␟"&amp;IFERROR(INDEX(PASTE_ALL,$DF1000,3)&amp;"","")&amp;"␟"&amp;IFERROR(INDEX(PASTE_ALL,$DF1000,4)&amp;"","")&amp;"␟"&amp;IFERROR(INDEX(PASTE_ALL,$DF1000,5)&amp;"","")&amp;"␟"&amp;IFERROR(INDEX(PASTE_ALL,$DF1000,6)&amp;"","")&amp;"␟"&amp;IFERROR(INDEX(PASTE_ALL,$DF1000,7)&amp;"","")&amp;"␟"&amp;IFERROR(INDEX(PASTE_ALL,$DF1000,8)&amp;"","")&amp;"␟"&amp;IFERROR(INDEX(PASTE_ALL,$DF1000,9)&amp;"","")&amp;"␟"&amp;IFERROR(INDEX(PASTE_ALL,$DF1000,10)&amp;"","")&amp;"␟"&amp;IFERROR(INDEX(PASTE_ALL,$DF1000,11)&amp;"","")&amp;"␟"&amp;IFERROR(INDEX(PASTE_ALL,$DF1000,12)&amp;"","")&amp;"␟"&amp;IFERROR(INDEX(PASTE_ALL,$DF1000,13)&amp;"","")&amp;"␟"&amp;IFERROR(INDEX(PASTE_ALL,$DF1000,14)&amp;"","")&amp;"␟"&amp;IFERROR(INDEX(PASTE_ALL,$DF1000,15)&amp;"","")&amp;"␟"&amp;IFERROR(INDEX(PASTE_ALL,$DF1000,16)&amp;"","")&amp;"␟"&amp;IFERROR(INDEX(PASTE_ALL,$DF1000,17)&amp;"","")&amp;"␟"&amp;IFERROR(INDEX(PASTE_ALL,$DF1000,18)&amp;"","")&amp;"␟"&amp;IFERROR(INDEX(PASTE_ALL,$DF1000,19)&amp;"","")&amp;"␟"&amp;IFERROR(INDEX(PASTE_ALL,$DF1000,20)&amp;"","")&amp;"␟"&amp;IFERROR(INDEX(PASTE_ALL,$DF1000,21)&amp;"","")&amp;"␟"&amp;IFERROR(INDEX(PASTE_ALL,$DF1000,22)&amp;"","")&amp;"␟"&amp;IFERROR(INDEX(PASTE_ALL,$DF1000,23)&amp;"","")&amp;"␟"&amp;IFERROR(INDEX(PASTE_ALL,$DF1000,24)&amp;"","")&amp;"␟"&amp;IFERROR(INDEX(PASTE_ALL,$DF1000,25)&amp;"","")&amp;"␟"&amp;IFERROR(INDEX(PASTE_ALL,$DF1000,26)&amp;"","")&amp;"␟"&amp;IFERROR(INDEX(PASTE_ALL,$DF1000,27)&amp;"","")&amp;"␟"&amp;IFERROR(INDEX(PASTE_ALL,$DF1000,28)&amp;"","")&amp;"␟"&amp;IFERROR(INDEX(PASTE_ALL,$DF1000,29)&amp;"","")&amp;"␟"&amp;IFERROR(INDEX(PASTE_ALL,$DF1000,30)&amp;"","")&amp;"␟"&amp;IFERROR(INDEX(PASTE_ALL,$DF1000,31)&amp;"","")&amp;"␟"&amp;IFERROR(INDEX(PASTE_ALL,$DF1000,32)&amp;"","")&amp;"␟"&amp;IFERROR(INDEX(PASTE_ALL,$DF1000,33)&amp;"","")&amp;"␟"&amp;IFERROR(INDEX(PASTE_ALL,$DF1000,34)&amp;"","")&amp;"␟"&amp;IFERROR(INDEX(PASTE_ALL,$DF1000,35)&amp;"","")&amp;"␟"&amp;IFERROR(INDEX(PASTE_ALL,$DF1000,36)&amp;"","")&amp;"␟"&amp;IFERROR(INDEX(PASTE_ALL,$DF1000,37)&amp;"","")&amp;"␟"&amp;IFERROR(INDEX(PASTE_ALL,$DF1000,38)&amp;"","")&amp;"␟"&amp;IFERROR(INDEX(PASTE_ALL,$DF1000,39)&amp;"","")&amp;"␟"&amp;IFERROR(INDEX(PASTE_ALL,$DF1000,40)&amp;"","")&amp;"␟"&amp;IFERROR(INDEX(PASTE_ALL,$DF1000,41)&amp;"","")&amp;"␟"&amp;IFERROR(INDEX(PASTE_ALL,$DF1000,42)&amp;"","")&amp;"␟"&amp;IFERROR(INDEX(PASTE_ALL,$DF1000,43)&amp;"","")&amp;"␟"&amp;IFERROR(INDEX(PASTE_ALL,$DF1000,44)&amp;"","")&amp;"␟"&amp;IFERROR(INDEX(PASTE_ALL,$DF1000,45)&amp;"","")&amp;"␟"&amp;IFERROR(INDEX(PASTE_ALL,$DF1000,46)&amp;"","")&amp;"␟"&amp;IFERROR(INDEX(PASTE_ALL,$DF1000,47)&amp;"","")&amp;"␟"&amp;IFERROR(INDEX(PASTE_ALL,$DF1000,48)&amp;"","")&amp;"␟"&amp;IFERROR(INDEX(PASTE_ALL,$DF1000,49)&amp;"","")&amp;"␟"&amp;IFERROR(INDEX(PASTE_ALL,$DF1000,50)&amp;"","")&amp;"␟"&amp;IFERROR(INDEX(PASTE_ALL,$DF1000,51)&amp;"","")&amp;"␟"&amp;IFERROR(INDEX(PASTE_ALL,$DF1000,52)&amp;"","")&amp;"␟"&amp;IFERROR(INDEX(PASTE_ALL,$DF1000,53)&amp;"","")&amp;"␟"&amp;IFERROR(INDEX(PASTE_ALL,$DF1000,54)&amp;"","")&amp;"␟"&amp;IFERROR(INDEX(PASTE_ALL,$DF1000,55)&amp;"","")&amp;"␟"&amp;IFERROR(INDEX(PASTE_ALL,$DF1000,56)&amp;"","")&amp;"␟"&amp;IFERROR(INDEX(PASTE_ALL,$DF1000,57)&amp;"","")&amp;"␟"&amp;IFERROR(INDEX(PASTE_ALL,$DF1000,58)&amp;"","")&amp;"␟"&amp;IFERROR(INDEX(PASTE_ALL,$DF1000,59)&amp;"","")&amp;"␟"&amp;IFERROR(INDEX(PASTE_ALL,$DF1000,60)&amp;"","")," "," "),CHAR(9)," "),CHAR(10)," "),CHAR(13)," "))," ␟","␟"),"␟ ","␟"),"#"&amp;$DE1000),"")</f>
        <v/>
      </c>
      <c r="DJ1000">
        <f>IF($DI1000="",0,IF(SUMPRODUCT(--EXACT($DI$4:DI999,$DI1000))&gt;0,1,0))</f>
        <v/>
      </c>
      <c r="DK1000">
        <f>IF(AND($DI1000&lt;&gt;"",$DJ1000=0),1,0)</f>
        <v/>
      </c>
      <c r="DL1000">
        <f>DL999+$DK1000</f>
        <v/>
      </c>
      <c r="DM1000">
        <f>IF(AND($DK1000=1,$DL1000&lt;=600),1,0)</f>
        <v/>
      </c>
      <c r="DN1000">
        <f>IF($DM1000=0,"",IF($L$6=0,"",IFERROR(IF(ISNUMBER(INDEX(PASTE_ALL,$DF1000,$L$6)),INDEX(PASTE_ALL,$DF1000,$L$6),TRIM(SUBSTITUTE(SUBSTITUTE(SUBSTITUTE(SUBSTITUTE(INDEX(PASTE_ALL,$DF1000,$L$6)," "," "),CHAR(9)," "),CHAR(10)," "),CHAR(13)," "))),"")))</f>
        <v/>
      </c>
      <c r="DO1000">
        <f>IF($DM1000=0,"",IF($L$7=0,"",IFERROR(IF(ISNUMBER(INDEX(PASTE_ALL,$DF1000,$L$7)),INDEX(PASTE_ALL,$DF1000,$L$7),TRIM(SUBSTITUTE(SUBSTITUTE(SUBSTITUTE(SUBSTITUTE(INDEX(PASTE_ALL,$DF1000,$L$7)," "," "),CHAR(9)," "),CHAR(10)," "),CHAR(13)," "))),"")))</f>
        <v/>
      </c>
      <c r="DP1000">
        <f>IF($DM1000=0,"",IF($L$8=0,"",IFERROR(IF(ISNUMBER(INDEX(PASTE_ALL,$DF1000,$L$8)),INDEX(PASTE_ALL,$DF1000,$L$8),TRIM(SUBSTITUTE(SUBSTITUTE(SUBSTITUTE(SUBSTITUTE(INDEX(PASTE_ALL,$DF1000,$L$8)," "," "),CHAR(9)," "),CHAR(10)," "),CHAR(13)," "))),"")))</f>
        <v/>
      </c>
      <c r="DQ1000">
        <f>IF($DM1000=0,"",IF($L$9=0,"",IFERROR(IF(ISNUMBER(INDEX(PASTE_ALL,$DF1000,$L$9)),INDEX(PASTE_ALL,$DF1000,$L$9),TRIM(SUBSTITUTE(SUBSTITUTE(SUBSTITUTE(SUBSTITUTE(INDEX(PASTE_ALL,$DF1000,$L$9)," "," "),CHAR(9)," "),CHAR(10)," "),CHAR(13)," "))),"")))</f>
        <v/>
      </c>
      <c r="DR1000">
        <f>IF($DM1000=0,"",IF($L$10=0,"",IFERROR(IF(ISNUMBER(INDEX(PASTE_ALL,$DF1000,$L$10)),INDEX(PASTE_ALL,$DF1000,$L$10),TRIM(SUBSTITUTE(SUBSTITUTE(SUBSTITUTE(SUBSTITUTE(INDEX(PASTE_ALL,$DF1000,$L$10)," "," "),CHAR(9)," "),CHAR(10)," "),CHAR(13)," "))),"")))</f>
        <v/>
      </c>
      <c r="DS1000">
        <f>IF($DM1000=0,"",IF($L$11=0,"",IFERROR(IF(ISNUMBER(INDEX(PASTE_ALL,$DF1000,$L$11)),INDEX(PASTE_ALL,$DF1000,$L$11),TRIM(SUBSTITUTE(SUBSTITUTE(SUBSTITUTE(SUBSTITUTE(INDEX(PASTE_ALL,$DF1000,$L$11)," "," "),CHAR(9)," "),CHAR(10)," "),CHAR(13)," "))),"")))</f>
        <v/>
      </c>
      <c r="DT1000">
        <f>IF($DM1000=0,"",IF($L$12=0,"",IFERROR(IF(ISNUMBER(INDEX(PASTE_ALL,$DF1000,$L$12)),INDEX(PASTE_ALL,$DF1000,$L$12),TRIM(SUBSTITUTE(SUBSTITUTE(SUBSTITUTE(SUBSTITUTE(INDEX(PASTE_ALL,$DF1000,$L$12)," "," "),CHAR(9)," "),CHAR(10)," "),CHAR(13)," "))),"")))</f>
        <v/>
      </c>
      <c r="DU1000">
        <f>IF($DM1000=0,"",IF($L$13=0,"",IFERROR(IF(ISNUMBER(INDEX(PASTE_ALL,$DF1000,$L$13)),INDEX(PASTE_ALL,$DF1000,$L$13),TRIM(SUBSTITUTE(SUBSTITUTE(SUBSTITUTE(SUBSTITUTE(INDEX(PASTE_ALL,$DF1000,$L$13)," "," "),CHAR(9)," "),CHAR(10)," "),CHAR(13)," "))),"")))</f>
        <v/>
      </c>
      <c r="DV1000">
        <f>IF($DM1000=0,"",IF($L$14=0,"",IFERROR(IF(ISNUMBER(INDEX(PASTE_ALL,$DF1000,$L$14)),INDEX(PASTE_ALL,$DF1000,$L$14),TRIM(SUBSTITUTE(SUBSTITUTE(SUBSTITUTE(SUBSTITUTE(INDEX(PASTE_ALL,$DF1000,$L$14)," "," "),CHAR(9)," "),CHAR(10)," "),CHAR(13)," "))),"")))</f>
        <v/>
      </c>
      <c r="DW1000">
        <f>IF($DM1000=0,"",IF($L$15=0,"",IFERROR(IF(ISNUMBER(INDEX(PASTE_ALL,$DF1000,$L$15)),INDEX(PASTE_ALL,$DF1000,$L$15),IF(SUMPRODUCT(--ISNUMBER(FIND({"A","B","C","D","E","F","G","H","I","J","K","L","M","N","O","P","Q","R","S","T","U","V","W","X","Y","Z","0","1","2","3","4","5","6","7","8","9"},UPPER(TRIM(SUBSTITUTE(SUBSTITUTE(SUBSTITUTE(SUBSTITUTE(INDEX(PASTE_ALL,$DF1000,$L$15)," "," "),CHAR(9)," "),CHAR(10)," "),CHAR(13)," "))))))&gt;0,TRIM(SUBSTITUTE(SUBSTITUTE(SUBSTITUTE(SUBSTITUTE(INDEX(PASTE_ALL,$DF1000,$L$15)," "," "),CHAR(9)," "),CHAR(10)," "),CHAR(13)," ")),"")),"")))</f>
        <v/>
      </c>
      <c r="DX1000">
        <f>IF($DM1000=0,"",IF($L$16=0,"",IFERROR(IF(ISNUMBER(INDEX(PASTE_ALL,$DF1000,$L$16)),INDEX(PASTE_ALL,$DF1000,$L$16),SUBSTITUTE(SUBSTITUTE(TRIM(SUBSTITUTE(SUBSTITUTE(SUBSTITUTE(SUBSTITUTE(INDEX(PASTE_ALL,$DF1000,$L$16)," "," "),CHAR(9)," "),CHAR(10)," "),CHAR(13)," ")),",",""),"%","")),"")))</f>
        <v/>
      </c>
      <c r="DY1000">
        <f>IF($DM1000=0,"",IFERROR(IF(ISNUMBER($DX1000),$DX1000,IF($DX1000="","",IF(TRIM($DX1000)="",0,IF(AND(AND(SUBSTITUTE(SUBSTITUTE(SUBSTITUTE(SUBSTITUTE(SUBSTITUTE(SUBSTITUTE(SUBSTITUTE(SUBSTITUTE(SUBSTITUTE(SUBSTITUTE(SUBSTITUTE(SUBSTITUTE(SUBSTITUTE(SUBSTITUTE(UPPER(TRIM($DX1000)),"0",""),"1",""),"2",""),"3",""),"4",""),"5",""),"6",""),"7",""),"8",""),"9",""),".",""),"+",""),"-",""),"E","")="",LEN(SUBSTITUTE(SUBSTITUTE(MID(UPPER(TRIM($DX1000)),1+OR(LEFT(UPPER(TRIM($DX1000)),1)="+",LEFT(UPPER(TRIM($DX1000)),1)="-"),999),"E+","E"),"E-","E"))=LEN(SUBSTITUTE(SUBSTITUTE(SUBSTITUTE(SUBSTITUTE(MID(UPPER(TRIM($DX1000)),1+OR(LEFT(UPPER(TRIM($DX1000)),1)="+",LEFT(UPPER(TRIM($DX1000)),1)="-"),999),"E+","E"),"E-","E"),"+",""),"-","")),LEN(UPPER(TRIM($DX1000)))-LEN(SUBSTITUTE(UPPER(TRIM($DX1000)),"E",""))&lt;2,LEN(UPPER(TRIM($DX1000)))-LEN(SUBSTITUTE(UPPER(TRIM($DX1000)),".",""))&lt;2,IFERROR(FIND(".",UPPER(TRIM($DX1000))),0)&lt;IFERROR(FIND("E",UPPER(TRIM($DX1000))),999)),ISNUMBER(VALUE(TRIM($DX1000)))),VALUE(TRIM($DX1000)),"")))),""))</f>
        <v/>
      </c>
      <c r="DZ1000">
        <f>IF($DM1000=0,"",IF($L$17=0,"",IFERROR(IF(ISNUMBER(INDEX(PASTE_ALL,$DF1000,$L$17)),INDEX(PASTE_ALL,$DF1000,$L$17),SUBSTITUTE(SUBSTITUTE(TRIM(SUBSTITUTE(SUBSTITUTE(SUBSTITUTE(SUBSTITUTE(INDEX(PASTE_ALL,$DF1000,$L$17)," "," "),CHAR(9)," "),CHAR(10)," "),CHAR(13)," ")),",",""),"%","")),"")))</f>
        <v/>
      </c>
      <c r="EA1000">
        <f>IF($DM1000=0,"",IFERROR(IF(ISNUMBER($DZ1000),$DZ1000,IF($DZ1000="","",IF(TRIM($DZ1000)="",0,IF(AND(AND(SUBSTITUTE(SUBSTITUTE(SUBSTITUTE(SUBSTITUTE(SUBSTITUTE(SUBSTITUTE(SUBSTITUTE(SUBSTITUTE(SUBSTITUTE(SUBSTITUTE(SUBSTITUTE(SUBSTITUTE(SUBSTITUTE(SUBSTITUTE(UPPER(TRIM($DZ1000)),"0",""),"1",""),"2",""),"3",""),"4",""),"5",""),"6",""),"7",""),"8",""),"9",""),".",""),"+",""),"-",""),"E","")="",LEN(SUBSTITUTE(SUBSTITUTE(MID(UPPER(TRIM($DZ1000)),1+OR(LEFT(UPPER(TRIM($DZ1000)),1)="+",LEFT(UPPER(TRIM($DZ1000)),1)="-"),999),"E+","E"),"E-","E"))=LEN(SUBSTITUTE(SUBSTITUTE(SUBSTITUTE(SUBSTITUTE(MID(UPPER(TRIM($DZ1000)),1+OR(LEFT(UPPER(TRIM($DZ1000)),1)="+",LEFT(UPPER(TRIM($DZ1000)),1)="-"),999),"E+","E"),"E-","E"),"+",""),"-","")),LEN(UPPER(TRIM($DZ1000)))-LEN(SUBSTITUTE(UPPER(TRIM($DZ1000)),"E",""))&lt;2,LEN(UPPER(TRIM($DZ1000)))-LEN(SUBSTITUTE(UPPER(TRIM($DZ1000)),".",""))&lt;2,IFERROR(FIND(".",UPPER(TRIM($DZ1000))),0)&lt;IFERROR(FIND("E",UPPER(TRIM($DZ1000))),999)),ISNUMBER(VALUE(TRIM($DZ1000)))),VALUE(TRIM($DZ1000)),"")))),""))</f>
        <v/>
      </c>
      <c r="EB1000">
        <f>IF($DM1000=0,"",IF($L$18=0,"",IFERROR(IF(UPPER(TRIM(SUBSTITUTE(SUBSTITUTE(SUBSTITUTE(SUBSTITUTE(INDEX(PASTE_ALL,$DF1000,$L$18)," "," "),CHAR(9)," "),CHAR(10)," "),CHAR(13)," ")))="READY","Ready",IF(UPPER(TRIM(SUBSTITUTE(SUBSTITUTE(SUBSTITUTE(SUBSTITUTE(INDEX(PASTE_ALL,$DF1000,$L$18)," "," "),CHAR(9)," "),CHAR(10)," "),CHAR(13)," ")))="PM","PM",IF(OR(UPPER(TRIM(SUBSTITUTE(SUBSTITUTE(SUBSTITUTE(SUBSTITUTE(INDEX(PASTE_ALL,$DF1000,$L$18)," "," "),CHAR(9)," "),CHAR(10)," "),CHAR(13)," ")))="OT",UPPER(TRIM(SUBSTITUTE(SUBSTITUTE(SUBSTITUTE(SUBSTITUTE(INDEX(PASTE_ALL,$DF1000,$L$18)," "," "),CHAR(9)," "),CHAR(10)," "),CHAR(13)," ")))="OVERTIME",UPPER(TRIM(SUBSTITUTE(SUBSTITUTE(SUBSTITUTE(SUBSTITUTE(INDEX(PASTE_ALL,$DF1000,$L$18)," "," "),CHAR(9)," "),CHAR(10)," "),CHAR(13)," ")))="TRIAL"),"OT",TRIM(SUBSTITUTE(SUBSTITUTE(SUBSTITUTE(SUBSTITUTE(INDEX(PASTE_ALL,$DF1000,$L$18)," "," "),CHAR(9)," "),CHAR(10)," "),CHAR(13)," "))))),"")))</f>
        <v/>
      </c>
      <c r="EC1000">
        <f>IF($DM1000=0,"",IF($L$19=0,"",IFERROR(IF(ISNUMBER(INDEX(PASTE_ALL,$DF1000,$L$19)),INDEX(PASTE_ALL,$DF1000,$L$19),TRIM(SUBSTITUTE(SUBSTITUTE(SUBSTITUTE(SUBSTITUTE(INDEX(PASTE_ALL,$DF1000,$L$19)," "," "),CHAR(9)," "),CHAR(10)," "),CHAR(13)," "))),"")))</f>
        <v/>
      </c>
      <c r="ED1000">
        <f>IF($DM1000=0,"",MATCH(1,INDEX(EXACT($DH$5:DH1000,$DH1000)*$DM$5:DM1000,0),0))</f>
        <v/>
      </c>
      <c r="EE1000">
        <f>IF($DM1000=0,0,IF($ED1000=$DE1000,1,0))</f>
        <v/>
      </c>
      <c r="EF1000">
        <f>EF999+$EE1000</f>
        <v/>
      </c>
      <c r="EG1000">
        <f>IF($DM1000=0,"",INDEX($EF$5:$EF$1003,$ED1000))</f>
        <v/>
      </c>
      <c r="EH1000">
        <f>IF($DM1000=0,"",IF($DO1000&lt;&gt;"","",IFERROR(LOOKUP(2,1/(($EG$4:EG999=$EG1000)*($DO$4:DO999&lt;&gt;"")),$DO$4:DO999),"")))</f>
        <v/>
      </c>
      <c r="EI1000">
        <f>IF($DM1000=0,"",IF($DO1000&lt;&gt;"",$DO1000,$EH1000))</f>
        <v/>
      </c>
      <c r="EJ1000">
        <f>IF($DM1000=0,"",IF($EI1000="",0,IF(OR(ISNUMBER($EI1000),AND(AND(SUBSTITUTE(SUBSTITUTE(SUBSTITUTE(SUBSTITUTE(SUBSTITUTE(SUBSTITUTE(SUBSTITUTE(SUBSTITUTE(SUBSTITUTE(SUBSTITUTE(SUBSTITUTE(SUBSTITUTE(SUBSTITUTE(SUBSTITUTE(UPPER($EI1000),"0",""),"1",""),"2",""),"3",""),"4",""),"5",""),"6",""),"7",""),"8",""),"9",""),".",""),"+",""),"-",""),"E","")="",LEN(SUBSTITUTE(SUBSTITUTE(MID(UPPER($EI1000),1+OR(LEFT(UPPER($EI1000),1)="+",LEFT(UPPER($EI1000),1)="-"),999),"E+","E"),"E-","E"))=LEN(SUBSTITUTE(SUBSTITUTE(SUBSTITUTE(SUBSTITUTE(MID(UPPER($EI1000),1+OR(LEFT(UPPER($EI1000),1)="+",LEFT(UPPER($EI1000),1)="-"),999),"E+","E"),"E-","E"),"+",""),"-","")),LEN(UPPER($EI1000))-LEN(SUBSTITUTE(UPPER($EI1000),"E",""))&lt;2,LEN(UPPER($EI1000))-LEN(SUBSTITUTE(UPPER($EI1000),".",""))&lt;2,IFERROR(FIND(".",UPPER($EI1000)),0)&lt;IFERROR(FIND("E",UPPER($EI1000)),999)),ISNUMBER(VALUE($EI1000)))),1,2)))</f>
        <v/>
      </c>
      <c r="EK1000">
        <f>IF($DM1000=0,"",IF($EJ1000=1,IF(ISNUMBER($EI1000),$EI1000,VALUE($EI1000)),IF($EJ1000=2,$DE1000,0)))</f>
        <v/>
      </c>
      <c r="EL1000">
        <f>IF($DM1000=0,"",COUNTIF($EG$5:$EG$1003,"&lt;"&amp;$EG1000)+SUMPRODUCT(($EG$5:$EG$1003=$EG1000)*(($EJ$5:$EJ$1003&lt;$EJ1000)+($EJ$5:$EJ$1003=$EJ1000)*(($EK$5:$EK$1003&lt;$EK1000)+($EK$5:$EK$1003=$EK1000)*($DE$5:$DE$1003&lt;$DE1000))))+1)</f>
        <v/>
      </c>
      <c r="EM1000">
        <f>IF($DM1000=0,"",$EL1000+$EG1000-1)</f>
        <v/>
      </c>
      <c r="EN1000">
        <f>IF($DM1000=0,0,IFERROR(MATCH(1,INDEX(--(TRIM(SUBSTITUTE(SUBSTITUTE(SUBSTITUTE(SUBSTITUTE(LINES_NAME&amp;""," "," "),CHAR(9)," "),CHAR(10)," "),CHAR(13)," "))=$DH1000),0),0),0))</f>
        <v/>
      </c>
      <c r="EO1000">
        <f>IF($EN1000=0,0,IF(OR(UPPER(TRIM(INDEX(LINES_SCHEDULED,$EN1000)&amp;""))="YES",UPPER(TRIM(INDEX(LINES_SCHEDULED,$EN1000)&amp;""))="Y",UPPER(TRIM(INDEX(LINES_SCHEDULED,$EN1000)&amp;""))="X"),1,0))</f>
        <v/>
      </c>
      <c r="EP1000">
        <f>IF($DM1000=0,"",IF(COUNTIFS($EG$5:$EG$1003,$EG1000,$EB$5:$EB$1003,"Ready")&gt;0,"READY",IF(COUNTIFS($EG$5:$EG$1003,$EG1000,$EB$5:$EB$1003,"PM")&gt;0,"PM",IF(COUNTIFS($EG$5:$EG$1003,$EG1000,$EB$5:$EB$1003,"OT")&gt;0,"OT",""))))</f>
        <v/>
      </c>
      <c r="EQ1000">
        <f>IF($EN1000=0,"",UPPER(TRIM(INDEX(LINES_STATUS,$EN1000)&amp;"")))</f>
        <v/>
      </c>
      <c r="ER1000">
        <f>IF($DM1000=0,"",IF(OR($EQ1000="READY",$EQ1000="PM",$EQ1000="OT"),$EQ1000,$EP1000))</f>
        <v/>
      </c>
      <c r="ES1000">
        <f>IF($DM1000=0,"",IF(AND($DV1000&lt;&gt;"",UPPER($DV1000)&lt;&gt;"N"),"allergen",IF(ISNUMBER(SEARCH("oil",$DQ1000)),"oil",IF(OR(EXACT($DS1000,"A662"),EXACT($DS1000,"A624")),"bulk",""))))</f>
        <v/>
      </c>
      <c r="ET1000">
        <f>IF($DM1000=0,"",IF(OR($EA1000="",$EA1000=0),"",$EA1000/100))</f>
        <v/>
      </c>
      <c r="EU1000">
        <f>IF(OR($ET1000="",$DY1000=""),"",INT($DY1000*(1-$ET1000)+0.5))</f>
        <v/>
      </c>
    </row>
    <row r="1001">
      <c r="DA1001" t="n">
        <v>997</v>
      </c>
      <c r="DB1001">
        <f>IF($B$37=0,"",IFERROR(TRIM(SUBSTITUTE(SUBSTITUTE(SUBSTITUTE(SUBSTITUTE(INDEX(PASTE_ALL,997,$B$37)," "," "),CHAR(9)," "),CHAR(10)," "),CHAR(13)," ")),""))</f>
        <v/>
      </c>
      <c r="DC1001">
        <f>IF(AND(997&gt;HEADER_ROW,UPPER(DB1001)="LEGEND"),1,0)</f>
        <v/>
      </c>
      <c r="DE1001" t="n">
        <v>997</v>
      </c>
      <c r="DF1001">
        <f>HEADER_ROW+$DE1001</f>
        <v/>
      </c>
      <c r="DG1001">
        <f>IF(AND($DF1001&lt;=1000,$DF1001&lt;$B$8),1,0)</f>
        <v/>
      </c>
      <c r="DH1001">
        <f>IF($DG1001=1,IFERROR(INDEX($DB$5:$DB$1004,$DF1001),""),"")</f>
        <v/>
      </c>
      <c r="DI1001">
        <f>IF(AND($DG1001=1,$DH1001&lt;&gt;""),IFERROR(SUBSTITUTE(SUBSTITUTE(TRIM(SUBSTITUTE(SUBSTITUTE(SUBSTITUTE(SUBSTITUTE(IFERROR(INDEX(PASTE_ALL,$DF1001,1)&amp;"","")&amp;"␟"&amp;IFERROR(INDEX(PASTE_ALL,$DF1001,2)&amp;"","")&amp;"␟"&amp;IFERROR(INDEX(PASTE_ALL,$DF1001,3)&amp;"","")&amp;"␟"&amp;IFERROR(INDEX(PASTE_ALL,$DF1001,4)&amp;"","")&amp;"␟"&amp;IFERROR(INDEX(PASTE_ALL,$DF1001,5)&amp;"","")&amp;"␟"&amp;IFERROR(INDEX(PASTE_ALL,$DF1001,6)&amp;"","")&amp;"␟"&amp;IFERROR(INDEX(PASTE_ALL,$DF1001,7)&amp;"","")&amp;"␟"&amp;IFERROR(INDEX(PASTE_ALL,$DF1001,8)&amp;"","")&amp;"␟"&amp;IFERROR(INDEX(PASTE_ALL,$DF1001,9)&amp;"","")&amp;"␟"&amp;IFERROR(INDEX(PASTE_ALL,$DF1001,10)&amp;"","")&amp;"␟"&amp;IFERROR(INDEX(PASTE_ALL,$DF1001,11)&amp;"","")&amp;"␟"&amp;IFERROR(INDEX(PASTE_ALL,$DF1001,12)&amp;"","")&amp;"␟"&amp;IFERROR(INDEX(PASTE_ALL,$DF1001,13)&amp;"","")&amp;"␟"&amp;IFERROR(INDEX(PASTE_ALL,$DF1001,14)&amp;"","")&amp;"␟"&amp;IFERROR(INDEX(PASTE_ALL,$DF1001,15)&amp;"","")&amp;"␟"&amp;IFERROR(INDEX(PASTE_ALL,$DF1001,16)&amp;"","")&amp;"␟"&amp;IFERROR(INDEX(PASTE_ALL,$DF1001,17)&amp;"","")&amp;"␟"&amp;IFERROR(INDEX(PASTE_ALL,$DF1001,18)&amp;"","")&amp;"␟"&amp;IFERROR(INDEX(PASTE_ALL,$DF1001,19)&amp;"","")&amp;"␟"&amp;IFERROR(INDEX(PASTE_ALL,$DF1001,20)&amp;"","")&amp;"␟"&amp;IFERROR(INDEX(PASTE_ALL,$DF1001,21)&amp;"","")&amp;"␟"&amp;IFERROR(INDEX(PASTE_ALL,$DF1001,22)&amp;"","")&amp;"␟"&amp;IFERROR(INDEX(PASTE_ALL,$DF1001,23)&amp;"","")&amp;"␟"&amp;IFERROR(INDEX(PASTE_ALL,$DF1001,24)&amp;"","")&amp;"␟"&amp;IFERROR(INDEX(PASTE_ALL,$DF1001,25)&amp;"","")&amp;"␟"&amp;IFERROR(INDEX(PASTE_ALL,$DF1001,26)&amp;"","")&amp;"␟"&amp;IFERROR(INDEX(PASTE_ALL,$DF1001,27)&amp;"","")&amp;"␟"&amp;IFERROR(INDEX(PASTE_ALL,$DF1001,28)&amp;"","")&amp;"␟"&amp;IFERROR(INDEX(PASTE_ALL,$DF1001,29)&amp;"","")&amp;"␟"&amp;IFERROR(INDEX(PASTE_ALL,$DF1001,30)&amp;"","")&amp;"␟"&amp;IFERROR(INDEX(PASTE_ALL,$DF1001,31)&amp;"","")&amp;"␟"&amp;IFERROR(INDEX(PASTE_ALL,$DF1001,32)&amp;"","")&amp;"␟"&amp;IFERROR(INDEX(PASTE_ALL,$DF1001,33)&amp;"","")&amp;"␟"&amp;IFERROR(INDEX(PASTE_ALL,$DF1001,34)&amp;"","")&amp;"␟"&amp;IFERROR(INDEX(PASTE_ALL,$DF1001,35)&amp;"","")&amp;"␟"&amp;IFERROR(INDEX(PASTE_ALL,$DF1001,36)&amp;"","")&amp;"␟"&amp;IFERROR(INDEX(PASTE_ALL,$DF1001,37)&amp;"","")&amp;"␟"&amp;IFERROR(INDEX(PASTE_ALL,$DF1001,38)&amp;"","")&amp;"␟"&amp;IFERROR(INDEX(PASTE_ALL,$DF1001,39)&amp;"","")&amp;"␟"&amp;IFERROR(INDEX(PASTE_ALL,$DF1001,40)&amp;"","")&amp;"␟"&amp;IFERROR(INDEX(PASTE_ALL,$DF1001,41)&amp;"","")&amp;"␟"&amp;IFERROR(INDEX(PASTE_ALL,$DF1001,42)&amp;"","")&amp;"␟"&amp;IFERROR(INDEX(PASTE_ALL,$DF1001,43)&amp;"","")&amp;"␟"&amp;IFERROR(INDEX(PASTE_ALL,$DF1001,44)&amp;"","")&amp;"␟"&amp;IFERROR(INDEX(PASTE_ALL,$DF1001,45)&amp;"","")&amp;"␟"&amp;IFERROR(INDEX(PASTE_ALL,$DF1001,46)&amp;"","")&amp;"␟"&amp;IFERROR(INDEX(PASTE_ALL,$DF1001,47)&amp;"","")&amp;"␟"&amp;IFERROR(INDEX(PASTE_ALL,$DF1001,48)&amp;"","")&amp;"␟"&amp;IFERROR(INDEX(PASTE_ALL,$DF1001,49)&amp;"","")&amp;"␟"&amp;IFERROR(INDEX(PASTE_ALL,$DF1001,50)&amp;"","")&amp;"␟"&amp;IFERROR(INDEX(PASTE_ALL,$DF1001,51)&amp;"","")&amp;"␟"&amp;IFERROR(INDEX(PASTE_ALL,$DF1001,52)&amp;"","")&amp;"␟"&amp;IFERROR(INDEX(PASTE_ALL,$DF1001,53)&amp;"","")&amp;"␟"&amp;IFERROR(INDEX(PASTE_ALL,$DF1001,54)&amp;"","")&amp;"␟"&amp;IFERROR(INDEX(PASTE_ALL,$DF1001,55)&amp;"","")&amp;"␟"&amp;IFERROR(INDEX(PASTE_ALL,$DF1001,56)&amp;"","")&amp;"␟"&amp;IFERROR(INDEX(PASTE_ALL,$DF1001,57)&amp;"","")&amp;"␟"&amp;IFERROR(INDEX(PASTE_ALL,$DF1001,58)&amp;"","")&amp;"␟"&amp;IFERROR(INDEX(PASTE_ALL,$DF1001,59)&amp;"","")&amp;"␟"&amp;IFERROR(INDEX(PASTE_ALL,$DF1001,60)&amp;"","")," "," "),CHAR(9)," "),CHAR(10)," "),CHAR(13)," "))," ␟","␟"),"␟ ","␟"),"#"&amp;$DE1001),"")</f>
        <v/>
      </c>
      <c r="DJ1001">
        <f>IF($DI1001="",0,IF(SUMPRODUCT(--EXACT($DI$4:DI1000,$DI1001))&gt;0,1,0))</f>
        <v/>
      </c>
      <c r="DK1001">
        <f>IF(AND($DI1001&lt;&gt;"",$DJ1001=0),1,0)</f>
        <v/>
      </c>
      <c r="DL1001">
        <f>DL1000+$DK1001</f>
        <v/>
      </c>
      <c r="DM1001">
        <f>IF(AND($DK1001=1,$DL1001&lt;=600),1,0)</f>
        <v/>
      </c>
      <c r="DN1001">
        <f>IF($DM1001=0,"",IF($L$6=0,"",IFERROR(IF(ISNUMBER(INDEX(PASTE_ALL,$DF1001,$L$6)),INDEX(PASTE_ALL,$DF1001,$L$6),TRIM(SUBSTITUTE(SUBSTITUTE(SUBSTITUTE(SUBSTITUTE(INDEX(PASTE_ALL,$DF1001,$L$6)," "," "),CHAR(9)," "),CHAR(10)," "),CHAR(13)," "))),"")))</f>
        <v/>
      </c>
      <c r="DO1001">
        <f>IF($DM1001=0,"",IF($L$7=0,"",IFERROR(IF(ISNUMBER(INDEX(PASTE_ALL,$DF1001,$L$7)),INDEX(PASTE_ALL,$DF1001,$L$7),TRIM(SUBSTITUTE(SUBSTITUTE(SUBSTITUTE(SUBSTITUTE(INDEX(PASTE_ALL,$DF1001,$L$7)," "," "),CHAR(9)," "),CHAR(10)," "),CHAR(13)," "))),"")))</f>
        <v/>
      </c>
      <c r="DP1001">
        <f>IF($DM1001=0,"",IF($L$8=0,"",IFERROR(IF(ISNUMBER(INDEX(PASTE_ALL,$DF1001,$L$8)),INDEX(PASTE_ALL,$DF1001,$L$8),TRIM(SUBSTITUTE(SUBSTITUTE(SUBSTITUTE(SUBSTITUTE(INDEX(PASTE_ALL,$DF1001,$L$8)," "," "),CHAR(9)," "),CHAR(10)," "),CHAR(13)," "))),"")))</f>
        <v/>
      </c>
      <c r="DQ1001">
        <f>IF($DM1001=0,"",IF($L$9=0,"",IFERROR(IF(ISNUMBER(INDEX(PASTE_ALL,$DF1001,$L$9)),INDEX(PASTE_ALL,$DF1001,$L$9),TRIM(SUBSTITUTE(SUBSTITUTE(SUBSTITUTE(SUBSTITUTE(INDEX(PASTE_ALL,$DF1001,$L$9)," "," "),CHAR(9)," "),CHAR(10)," "),CHAR(13)," "))),"")))</f>
        <v/>
      </c>
      <c r="DR1001">
        <f>IF($DM1001=0,"",IF($L$10=0,"",IFERROR(IF(ISNUMBER(INDEX(PASTE_ALL,$DF1001,$L$10)),INDEX(PASTE_ALL,$DF1001,$L$10),TRIM(SUBSTITUTE(SUBSTITUTE(SUBSTITUTE(SUBSTITUTE(INDEX(PASTE_ALL,$DF1001,$L$10)," "," "),CHAR(9)," "),CHAR(10)," "),CHAR(13)," "))),"")))</f>
        <v/>
      </c>
      <c r="DS1001">
        <f>IF($DM1001=0,"",IF($L$11=0,"",IFERROR(IF(ISNUMBER(INDEX(PASTE_ALL,$DF1001,$L$11)),INDEX(PASTE_ALL,$DF1001,$L$11),TRIM(SUBSTITUTE(SUBSTITUTE(SUBSTITUTE(SUBSTITUTE(INDEX(PASTE_ALL,$DF1001,$L$11)," "," "),CHAR(9)," "),CHAR(10)," "),CHAR(13)," "))),"")))</f>
        <v/>
      </c>
      <c r="DT1001">
        <f>IF($DM1001=0,"",IF($L$12=0,"",IFERROR(IF(ISNUMBER(INDEX(PASTE_ALL,$DF1001,$L$12)),INDEX(PASTE_ALL,$DF1001,$L$12),TRIM(SUBSTITUTE(SUBSTITUTE(SUBSTITUTE(SUBSTITUTE(INDEX(PASTE_ALL,$DF1001,$L$12)," "," "),CHAR(9)," "),CHAR(10)," "),CHAR(13)," "))),"")))</f>
        <v/>
      </c>
      <c r="DU1001">
        <f>IF($DM1001=0,"",IF($L$13=0,"",IFERROR(IF(ISNUMBER(INDEX(PASTE_ALL,$DF1001,$L$13)),INDEX(PASTE_ALL,$DF1001,$L$13),TRIM(SUBSTITUTE(SUBSTITUTE(SUBSTITUTE(SUBSTITUTE(INDEX(PASTE_ALL,$DF1001,$L$13)," "," "),CHAR(9)," "),CHAR(10)," "),CHAR(13)," "))),"")))</f>
        <v/>
      </c>
      <c r="DV1001">
        <f>IF($DM1001=0,"",IF($L$14=0,"",IFERROR(IF(ISNUMBER(INDEX(PASTE_ALL,$DF1001,$L$14)),INDEX(PASTE_ALL,$DF1001,$L$14),TRIM(SUBSTITUTE(SUBSTITUTE(SUBSTITUTE(SUBSTITUTE(INDEX(PASTE_ALL,$DF1001,$L$14)," "," "),CHAR(9)," "),CHAR(10)," "),CHAR(13)," "))),"")))</f>
        <v/>
      </c>
      <c r="DW1001">
        <f>IF($DM1001=0,"",IF($L$15=0,"",IFERROR(IF(ISNUMBER(INDEX(PASTE_ALL,$DF1001,$L$15)),INDEX(PASTE_ALL,$DF1001,$L$15),IF(SUMPRODUCT(--ISNUMBER(FIND({"A","B","C","D","E","F","G","H","I","J","K","L","M","N","O","P","Q","R","S","T","U","V","W","X","Y","Z","0","1","2","3","4","5","6","7","8","9"},UPPER(TRIM(SUBSTITUTE(SUBSTITUTE(SUBSTITUTE(SUBSTITUTE(INDEX(PASTE_ALL,$DF1001,$L$15)," "," "),CHAR(9)," "),CHAR(10)," "),CHAR(13)," "))))))&gt;0,TRIM(SUBSTITUTE(SUBSTITUTE(SUBSTITUTE(SUBSTITUTE(INDEX(PASTE_ALL,$DF1001,$L$15)," "," "),CHAR(9)," "),CHAR(10)," "),CHAR(13)," ")),"")),"")))</f>
        <v/>
      </c>
      <c r="DX1001">
        <f>IF($DM1001=0,"",IF($L$16=0,"",IFERROR(IF(ISNUMBER(INDEX(PASTE_ALL,$DF1001,$L$16)),INDEX(PASTE_ALL,$DF1001,$L$16),SUBSTITUTE(SUBSTITUTE(TRIM(SUBSTITUTE(SUBSTITUTE(SUBSTITUTE(SUBSTITUTE(INDEX(PASTE_ALL,$DF1001,$L$16)," "," "),CHAR(9)," "),CHAR(10)," "),CHAR(13)," ")),",",""),"%","")),"")))</f>
        <v/>
      </c>
      <c r="DY1001">
        <f>IF($DM1001=0,"",IFERROR(IF(ISNUMBER($DX1001),$DX1001,IF($DX1001="","",IF(TRIM($DX1001)="",0,IF(AND(AND(SUBSTITUTE(SUBSTITUTE(SUBSTITUTE(SUBSTITUTE(SUBSTITUTE(SUBSTITUTE(SUBSTITUTE(SUBSTITUTE(SUBSTITUTE(SUBSTITUTE(SUBSTITUTE(SUBSTITUTE(SUBSTITUTE(SUBSTITUTE(UPPER(TRIM($DX1001)),"0",""),"1",""),"2",""),"3",""),"4",""),"5",""),"6",""),"7",""),"8",""),"9",""),".",""),"+",""),"-",""),"E","")="",LEN(SUBSTITUTE(SUBSTITUTE(MID(UPPER(TRIM($DX1001)),1+OR(LEFT(UPPER(TRIM($DX1001)),1)="+",LEFT(UPPER(TRIM($DX1001)),1)="-"),999),"E+","E"),"E-","E"))=LEN(SUBSTITUTE(SUBSTITUTE(SUBSTITUTE(SUBSTITUTE(MID(UPPER(TRIM($DX1001)),1+OR(LEFT(UPPER(TRIM($DX1001)),1)="+",LEFT(UPPER(TRIM($DX1001)),1)="-"),999),"E+","E"),"E-","E"),"+",""),"-","")),LEN(UPPER(TRIM($DX1001)))-LEN(SUBSTITUTE(UPPER(TRIM($DX1001)),"E",""))&lt;2,LEN(UPPER(TRIM($DX1001)))-LEN(SUBSTITUTE(UPPER(TRIM($DX1001)),".",""))&lt;2,IFERROR(FIND(".",UPPER(TRIM($DX1001))),0)&lt;IFERROR(FIND("E",UPPER(TRIM($DX1001))),999)),ISNUMBER(VALUE(TRIM($DX1001)))),VALUE(TRIM($DX1001)),"")))),""))</f>
        <v/>
      </c>
      <c r="DZ1001">
        <f>IF($DM1001=0,"",IF($L$17=0,"",IFERROR(IF(ISNUMBER(INDEX(PASTE_ALL,$DF1001,$L$17)),INDEX(PASTE_ALL,$DF1001,$L$17),SUBSTITUTE(SUBSTITUTE(TRIM(SUBSTITUTE(SUBSTITUTE(SUBSTITUTE(SUBSTITUTE(INDEX(PASTE_ALL,$DF1001,$L$17)," "," "),CHAR(9)," "),CHAR(10)," "),CHAR(13)," ")),",",""),"%","")),"")))</f>
        <v/>
      </c>
      <c r="EA1001">
        <f>IF($DM1001=0,"",IFERROR(IF(ISNUMBER($DZ1001),$DZ1001,IF($DZ1001="","",IF(TRIM($DZ1001)="",0,IF(AND(AND(SUBSTITUTE(SUBSTITUTE(SUBSTITUTE(SUBSTITUTE(SUBSTITUTE(SUBSTITUTE(SUBSTITUTE(SUBSTITUTE(SUBSTITUTE(SUBSTITUTE(SUBSTITUTE(SUBSTITUTE(SUBSTITUTE(SUBSTITUTE(UPPER(TRIM($DZ1001)),"0",""),"1",""),"2",""),"3",""),"4",""),"5",""),"6",""),"7",""),"8",""),"9",""),".",""),"+",""),"-",""),"E","")="",LEN(SUBSTITUTE(SUBSTITUTE(MID(UPPER(TRIM($DZ1001)),1+OR(LEFT(UPPER(TRIM($DZ1001)),1)="+",LEFT(UPPER(TRIM($DZ1001)),1)="-"),999),"E+","E"),"E-","E"))=LEN(SUBSTITUTE(SUBSTITUTE(SUBSTITUTE(SUBSTITUTE(MID(UPPER(TRIM($DZ1001)),1+OR(LEFT(UPPER(TRIM($DZ1001)),1)="+",LEFT(UPPER(TRIM($DZ1001)),1)="-"),999),"E+","E"),"E-","E"),"+",""),"-","")),LEN(UPPER(TRIM($DZ1001)))-LEN(SUBSTITUTE(UPPER(TRIM($DZ1001)),"E",""))&lt;2,LEN(UPPER(TRIM($DZ1001)))-LEN(SUBSTITUTE(UPPER(TRIM($DZ1001)),".",""))&lt;2,IFERROR(FIND(".",UPPER(TRIM($DZ1001))),0)&lt;IFERROR(FIND("E",UPPER(TRIM($DZ1001))),999)),ISNUMBER(VALUE(TRIM($DZ1001)))),VALUE(TRIM($DZ1001)),"")))),""))</f>
        <v/>
      </c>
      <c r="EB1001">
        <f>IF($DM1001=0,"",IF($L$18=0,"",IFERROR(IF(UPPER(TRIM(SUBSTITUTE(SUBSTITUTE(SUBSTITUTE(SUBSTITUTE(INDEX(PASTE_ALL,$DF1001,$L$18)," "," "),CHAR(9)," "),CHAR(10)," "),CHAR(13)," ")))="READY","Ready",IF(UPPER(TRIM(SUBSTITUTE(SUBSTITUTE(SUBSTITUTE(SUBSTITUTE(INDEX(PASTE_ALL,$DF1001,$L$18)," "," "),CHAR(9)," "),CHAR(10)," "),CHAR(13)," ")))="PM","PM",IF(OR(UPPER(TRIM(SUBSTITUTE(SUBSTITUTE(SUBSTITUTE(SUBSTITUTE(INDEX(PASTE_ALL,$DF1001,$L$18)," "," "),CHAR(9)," "),CHAR(10)," "),CHAR(13)," ")))="OT",UPPER(TRIM(SUBSTITUTE(SUBSTITUTE(SUBSTITUTE(SUBSTITUTE(INDEX(PASTE_ALL,$DF1001,$L$18)," "," "),CHAR(9)," "),CHAR(10)," "),CHAR(13)," ")))="OVERTIME",UPPER(TRIM(SUBSTITUTE(SUBSTITUTE(SUBSTITUTE(SUBSTITUTE(INDEX(PASTE_ALL,$DF1001,$L$18)," "," "),CHAR(9)," "),CHAR(10)," "),CHAR(13)," ")))="TRIAL"),"OT",TRIM(SUBSTITUTE(SUBSTITUTE(SUBSTITUTE(SUBSTITUTE(INDEX(PASTE_ALL,$DF1001,$L$18)," "," "),CHAR(9)," "),CHAR(10)," "),CHAR(13)," "))))),"")))</f>
        <v/>
      </c>
      <c r="EC1001">
        <f>IF($DM1001=0,"",IF($L$19=0,"",IFERROR(IF(ISNUMBER(INDEX(PASTE_ALL,$DF1001,$L$19)),INDEX(PASTE_ALL,$DF1001,$L$19),TRIM(SUBSTITUTE(SUBSTITUTE(SUBSTITUTE(SUBSTITUTE(INDEX(PASTE_ALL,$DF1001,$L$19)," "," "),CHAR(9)," "),CHAR(10)," "),CHAR(13)," "))),"")))</f>
        <v/>
      </c>
      <c r="ED1001">
        <f>IF($DM1001=0,"",MATCH(1,INDEX(EXACT($DH$5:DH1001,$DH1001)*$DM$5:DM1001,0),0))</f>
        <v/>
      </c>
      <c r="EE1001">
        <f>IF($DM1001=0,0,IF($ED1001=$DE1001,1,0))</f>
        <v/>
      </c>
      <c r="EF1001">
        <f>EF1000+$EE1001</f>
        <v/>
      </c>
      <c r="EG1001">
        <f>IF($DM1001=0,"",INDEX($EF$5:$EF$1003,$ED1001))</f>
        <v/>
      </c>
      <c r="EH1001">
        <f>IF($DM1001=0,"",IF($DO1001&lt;&gt;"","",IFERROR(LOOKUP(2,1/(($EG$4:EG1000=$EG1001)*($DO$4:DO1000&lt;&gt;"")),$DO$4:DO1000),"")))</f>
        <v/>
      </c>
      <c r="EI1001">
        <f>IF($DM1001=0,"",IF($DO1001&lt;&gt;"",$DO1001,$EH1001))</f>
        <v/>
      </c>
      <c r="EJ1001">
        <f>IF($DM1001=0,"",IF($EI1001="",0,IF(OR(ISNUMBER($EI1001),AND(AND(SUBSTITUTE(SUBSTITUTE(SUBSTITUTE(SUBSTITUTE(SUBSTITUTE(SUBSTITUTE(SUBSTITUTE(SUBSTITUTE(SUBSTITUTE(SUBSTITUTE(SUBSTITUTE(SUBSTITUTE(SUBSTITUTE(SUBSTITUTE(UPPER($EI1001),"0",""),"1",""),"2",""),"3",""),"4",""),"5",""),"6",""),"7",""),"8",""),"9",""),".",""),"+",""),"-",""),"E","")="",LEN(SUBSTITUTE(SUBSTITUTE(MID(UPPER($EI1001),1+OR(LEFT(UPPER($EI1001),1)="+",LEFT(UPPER($EI1001),1)="-"),999),"E+","E"),"E-","E"))=LEN(SUBSTITUTE(SUBSTITUTE(SUBSTITUTE(SUBSTITUTE(MID(UPPER($EI1001),1+OR(LEFT(UPPER($EI1001),1)="+",LEFT(UPPER($EI1001),1)="-"),999),"E+","E"),"E-","E"),"+",""),"-","")),LEN(UPPER($EI1001))-LEN(SUBSTITUTE(UPPER($EI1001),"E",""))&lt;2,LEN(UPPER($EI1001))-LEN(SUBSTITUTE(UPPER($EI1001),".",""))&lt;2,IFERROR(FIND(".",UPPER($EI1001)),0)&lt;IFERROR(FIND("E",UPPER($EI1001)),999)),ISNUMBER(VALUE($EI1001)))),1,2)))</f>
        <v/>
      </c>
      <c r="EK1001">
        <f>IF($DM1001=0,"",IF($EJ1001=1,IF(ISNUMBER($EI1001),$EI1001,VALUE($EI1001)),IF($EJ1001=2,$DE1001,0)))</f>
        <v/>
      </c>
      <c r="EL1001">
        <f>IF($DM1001=0,"",COUNTIF($EG$5:$EG$1003,"&lt;"&amp;$EG1001)+SUMPRODUCT(($EG$5:$EG$1003=$EG1001)*(($EJ$5:$EJ$1003&lt;$EJ1001)+($EJ$5:$EJ$1003=$EJ1001)*(($EK$5:$EK$1003&lt;$EK1001)+($EK$5:$EK$1003=$EK1001)*($DE$5:$DE$1003&lt;$DE1001))))+1)</f>
        <v/>
      </c>
      <c r="EM1001">
        <f>IF($DM1001=0,"",$EL1001+$EG1001-1)</f>
        <v/>
      </c>
      <c r="EN1001">
        <f>IF($DM1001=0,0,IFERROR(MATCH(1,INDEX(--(TRIM(SUBSTITUTE(SUBSTITUTE(SUBSTITUTE(SUBSTITUTE(LINES_NAME&amp;""," "," "),CHAR(9)," "),CHAR(10)," "),CHAR(13)," "))=$DH1001),0),0),0))</f>
        <v/>
      </c>
      <c r="EO1001">
        <f>IF($EN1001=0,0,IF(OR(UPPER(TRIM(INDEX(LINES_SCHEDULED,$EN1001)&amp;""))="YES",UPPER(TRIM(INDEX(LINES_SCHEDULED,$EN1001)&amp;""))="Y",UPPER(TRIM(INDEX(LINES_SCHEDULED,$EN1001)&amp;""))="X"),1,0))</f>
        <v/>
      </c>
      <c r="EP1001">
        <f>IF($DM1001=0,"",IF(COUNTIFS($EG$5:$EG$1003,$EG1001,$EB$5:$EB$1003,"Ready")&gt;0,"READY",IF(COUNTIFS($EG$5:$EG$1003,$EG1001,$EB$5:$EB$1003,"PM")&gt;0,"PM",IF(COUNTIFS($EG$5:$EG$1003,$EG1001,$EB$5:$EB$1003,"OT")&gt;0,"OT",""))))</f>
        <v/>
      </c>
      <c r="EQ1001">
        <f>IF($EN1001=0,"",UPPER(TRIM(INDEX(LINES_STATUS,$EN1001)&amp;"")))</f>
        <v/>
      </c>
      <c r="ER1001">
        <f>IF($DM1001=0,"",IF(OR($EQ1001="READY",$EQ1001="PM",$EQ1001="OT"),$EQ1001,$EP1001))</f>
        <v/>
      </c>
      <c r="ES1001">
        <f>IF($DM1001=0,"",IF(AND($DV1001&lt;&gt;"",UPPER($DV1001)&lt;&gt;"N"),"allergen",IF(ISNUMBER(SEARCH("oil",$DQ1001)),"oil",IF(OR(EXACT($DS1001,"A662"),EXACT($DS1001,"A624")),"bulk",""))))</f>
        <v/>
      </c>
      <c r="ET1001">
        <f>IF($DM1001=0,"",IF(OR($EA1001="",$EA1001=0),"",$EA1001/100))</f>
        <v/>
      </c>
      <c r="EU1001">
        <f>IF(OR($ET1001="",$DY1001=""),"",INT($DY1001*(1-$ET1001)+0.5))</f>
        <v/>
      </c>
    </row>
    <row r="1002">
      <c r="DA1002" t="n">
        <v>998</v>
      </c>
      <c r="DB1002">
        <f>IF($B$37=0,"",IFERROR(TRIM(SUBSTITUTE(SUBSTITUTE(SUBSTITUTE(SUBSTITUTE(INDEX(PASTE_ALL,998,$B$37)," "," "),CHAR(9)," "),CHAR(10)," "),CHAR(13)," ")),""))</f>
        <v/>
      </c>
      <c r="DC1002">
        <f>IF(AND(998&gt;HEADER_ROW,UPPER(DB1002)="LEGEND"),1,0)</f>
        <v/>
      </c>
      <c r="DE1002" t="n">
        <v>998</v>
      </c>
      <c r="DF1002">
        <f>HEADER_ROW+$DE1002</f>
        <v/>
      </c>
      <c r="DG1002">
        <f>IF(AND($DF1002&lt;=1000,$DF1002&lt;$B$8),1,0)</f>
        <v/>
      </c>
      <c r="DH1002">
        <f>IF($DG1002=1,IFERROR(INDEX($DB$5:$DB$1004,$DF1002),""),"")</f>
        <v/>
      </c>
      <c r="DI1002">
        <f>IF(AND($DG1002=1,$DH1002&lt;&gt;""),IFERROR(SUBSTITUTE(SUBSTITUTE(TRIM(SUBSTITUTE(SUBSTITUTE(SUBSTITUTE(SUBSTITUTE(IFERROR(INDEX(PASTE_ALL,$DF1002,1)&amp;"","")&amp;"␟"&amp;IFERROR(INDEX(PASTE_ALL,$DF1002,2)&amp;"","")&amp;"␟"&amp;IFERROR(INDEX(PASTE_ALL,$DF1002,3)&amp;"","")&amp;"␟"&amp;IFERROR(INDEX(PASTE_ALL,$DF1002,4)&amp;"","")&amp;"␟"&amp;IFERROR(INDEX(PASTE_ALL,$DF1002,5)&amp;"","")&amp;"␟"&amp;IFERROR(INDEX(PASTE_ALL,$DF1002,6)&amp;"","")&amp;"␟"&amp;IFERROR(INDEX(PASTE_ALL,$DF1002,7)&amp;"","")&amp;"␟"&amp;IFERROR(INDEX(PASTE_ALL,$DF1002,8)&amp;"","")&amp;"␟"&amp;IFERROR(INDEX(PASTE_ALL,$DF1002,9)&amp;"","")&amp;"␟"&amp;IFERROR(INDEX(PASTE_ALL,$DF1002,10)&amp;"","")&amp;"␟"&amp;IFERROR(INDEX(PASTE_ALL,$DF1002,11)&amp;"","")&amp;"␟"&amp;IFERROR(INDEX(PASTE_ALL,$DF1002,12)&amp;"","")&amp;"␟"&amp;IFERROR(INDEX(PASTE_ALL,$DF1002,13)&amp;"","")&amp;"␟"&amp;IFERROR(INDEX(PASTE_ALL,$DF1002,14)&amp;"","")&amp;"␟"&amp;IFERROR(INDEX(PASTE_ALL,$DF1002,15)&amp;"","")&amp;"␟"&amp;IFERROR(INDEX(PASTE_ALL,$DF1002,16)&amp;"","")&amp;"␟"&amp;IFERROR(INDEX(PASTE_ALL,$DF1002,17)&amp;"","")&amp;"␟"&amp;IFERROR(INDEX(PASTE_ALL,$DF1002,18)&amp;"","")&amp;"␟"&amp;IFERROR(INDEX(PASTE_ALL,$DF1002,19)&amp;"","")&amp;"␟"&amp;IFERROR(INDEX(PASTE_ALL,$DF1002,20)&amp;"","")&amp;"␟"&amp;IFERROR(INDEX(PASTE_ALL,$DF1002,21)&amp;"","")&amp;"␟"&amp;IFERROR(INDEX(PASTE_ALL,$DF1002,22)&amp;"","")&amp;"␟"&amp;IFERROR(INDEX(PASTE_ALL,$DF1002,23)&amp;"","")&amp;"␟"&amp;IFERROR(INDEX(PASTE_ALL,$DF1002,24)&amp;"","")&amp;"␟"&amp;IFERROR(INDEX(PASTE_ALL,$DF1002,25)&amp;"","")&amp;"␟"&amp;IFERROR(INDEX(PASTE_ALL,$DF1002,26)&amp;"","")&amp;"␟"&amp;IFERROR(INDEX(PASTE_ALL,$DF1002,27)&amp;"","")&amp;"␟"&amp;IFERROR(INDEX(PASTE_ALL,$DF1002,28)&amp;"","")&amp;"␟"&amp;IFERROR(INDEX(PASTE_ALL,$DF1002,29)&amp;"","")&amp;"␟"&amp;IFERROR(INDEX(PASTE_ALL,$DF1002,30)&amp;"","")&amp;"␟"&amp;IFERROR(INDEX(PASTE_ALL,$DF1002,31)&amp;"","")&amp;"␟"&amp;IFERROR(INDEX(PASTE_ALL,$DF1002,32)&amp;"","")&amp;"␟"&amp;IFERROR(INDEX(PASTE_ALL,$DF1002,33)&amp;"","")&amp;"␟"&amp;IFERROR(INDEX(PASTE_ALL,$DF1002,34)&amp;"","")&amp;"␟"&amp;IFERROR(INDEX(PASTE_ALL,$DF1002,35)&amp;"","")&amp;"␟"&amp;IFERROR(INDEX(PASTE_ALL,$DF1002,36)&amp;"","")&amp;"␟"&amp;IFERROR(INDEX(PASTE_ALL,$DF1002,37)&amp;"","")&amp;"␟"&amp;IFERROR(INDEX(PASTE_ALL,$DF1002,38)&amp;"","")&amp;"␟"&amp;IFERROR(INDEX(PASTE_ALL,$DF1002,39)&amp;"","")&amp;"␟"&amp;IFERROR(INDEX(PASTE_ALL,$DF1002,40)&amp;"","")&amp;"␟"&amp;IFERROR(INDEX(PASTE_ALL,$DF1002,41)&amp;"","")&amp;"␟"&amp;IFERROR(INDEX(PASTE_ALL,$DF1002,42)&amp;"","")&amp;"␟"&amp;IFERROR(INDEX(PASTE_ALL,$DF1002,43)&amp;"","")&amp;"␟"&amp;IFERROR(INDEX(PASTE_ALL,$DF1002,44)&amp;"","")&amp;"␟"&amp;IFERROR(INDEX(PASTE_ALL,$DF1002,45)&amp;"","")&amp;"␟"&amp;IFERROR(INDEX(PASTE_ALL,$DF1002,46)&amp;"","")&amp;"␟"&amp;IFERROR(INDEX(PASTE_ALL,$DF1002,47)&amp;"","")&amp;"␟"&amp;IFERROR(INDEX(PASTE_ALL,$DF1002,48)&amp;"","")&amp;"␟"&amp;IFERROR(INDEX(PASTE_ALL,$DF1002,49)&amp;"","")&amp;"␟"&amp;IFERROR(INDEX(PASTE_ALL,$DF1002,50)&amp;"","")&amp;"␟"&amp;IFERROR(INDEX(PASTE_ALL,$DF1002,51)&amp;"","")&amp;"␟"&amp;IFERROR(INDEX(PASTE_ALL,$DF1002,52)&amp;"","")&amp;"␟"&amp;IFERROR(INDEX(PASTE_ALL,$DF1002,53)&amp;"","")&amp;"␟"&amp;IFERROR(INDEX(PASTE_ALL,$DF1002,54)&amp;"","")&amp;"␟"&amp;IFERROR(INDEX(PASTE_ALL,$DF1002,55)&amp;"","")&amp;"␟"&amp;IFERROR(INDEX(PASTE_ALL,$DF1002,56)&amp;"","")&amp;"␟"&amp;IFERROR(INDEX(PASTE_ALL,$DF1002,57)&amp;"","")&amp;"␟"&amp;IFERROR(INDEX(PASTE_ALL,$DF1002,58)&amp;"","")&amp;"␟"&amp;IFERROR(INDEX(PASTE_ALL,$DF1002,59)&amp;"","")&amp;"␟"&amp;IFERROR(INDEX(PASTE_ALL,$DF1002,60)&amp;"","")," "," "),CHAR(9)," "),CHAR(10)," "),CHAR(13)," "))," ␟","␟"),"␟ ","␟"),"#"&amp;$DE1002),"")</f>
        <v/>
      </c>
      <c r="DJ1002">
        <f>IF($DI1002="",0,IF(SUMPRODUCT(--EXACT($DI$4:DI1001,$DI1002))&gt;0,1,0))</f>
        <v/>
      </c>
      <c r="DK1002">
        <f>IF(AND($DI1002&lt;&gt;"",$DJ1002=0),1,0)</f>
        <v/>
      </c>
      <c r="DL1002">
        <f>DL1001+$DK1002</f>
        <v/>
      </c>
      <c r="DM1002">
        <f>IF(AND($DK1002=1,$DL1002&lt;=600),1,0)</f>
        <v/>
      </c>
      <c r="DN1002">
        <f>IF($DM1002=0,"",IF($L$6=0,"",IFERROR(IF(ISNUMBER(INDEX(PASTE_ALL,$DF1002,$L$6)),INDEX(PASTE_ALL,$DF1002,$L$6),TRIM(SUBSTITUTE(SUBSTITUTE(SUBSTITUTE(SUBSTITUTE(INDEX(PASTE_ALL,$DF1002,$L$6)," "," "),CHAR(9)," "),CHAR(10)," "),CHAR(13)," "))),"")))</f>
        <v/>
      </c>
      <c r="DO1002">
        <f>IF($DM1002=0,"",IF($L$7=0,"",IFERROR(IF(ISNUMBER(INDEX(PASTE_ALL,$DF1002,$L$7)),INDEX(PASTE_ALL,$DF1002,$L$7),TRIM(SUBSTITUTE(SUBSTITUTE(SUBSTITUTE(SUBSTITUTE(INDEX(PASTE_ALL,$DF1002,$L$7)," "," "),CHAR(9)," "),CHAR(10)," "),CHAR(13)," "))),"")))</f>
        <v/>
      </c>
      <c r="DP1002">
        <f>IF($DM1002=0,"",IF($L$8=0,"",IFERROR(IF(ISNUMBER(INDEX(PASTE_ALL,$DF1002,$L$8)),INDEX(PASTE_ALL,$DF1002,$L$8),TRIM(SUBSTITUTE(SUBSTITUTE(SUBSTITUTE(SUBSTITUTE(INDEX(PASTE_ALL,$DF1002,$L$8)," "," "),CHAR(9)," "),CHAR(10)," "),CHAR(13)," "))),"")))</f>
        <v/>
      </c>
      <c r="DQ1002">
        <f>IF($DM1002=0,"",IF($L$9=0,"",IFERROR(IF(ISNUMBER(INDEX(PASTE_ALL,$DF1002,$L$9)),INDEX(PASTE_ALL,$DF1002,$L$9),TRIM(SUBSTITUTE(SUBSTITUTE(SUBSTITUTE(SUBSTITUTE(INDEX(PASTE_ALL,$DF1002,$L$9)," "," "),CHAR(9)," "),CHAR(10)," "),CHAR(13)," "))),"")))</f>
        <v/>
      </c>
      <c r="DR1002">
        <f>IF($DM1002=0,"",IF($L$10=0,"",IFERROR(IF(ISNUMBER(INDEX(PASTE_ALL,$DF1002,$L$10)),INDEX(PASTE_ALL,$DF1002,$L$10),TRIM(SUBSTITUTE(SUBSTITUTE(SUBSTITUTE(SUBSTITUTE(INDEX(PASTE_ALL,$DF1002,$L$10)," "," "),CHAR(9)," "),CHAR(10)," "),CHAR(13)," "))),"")))</f>
        <v/>
      </c>
      <c r="DS1002">
        <f>IF($DM1002=0,"",IF($L$11=0,"",IFERROR(IF(ISNUMBER(INDEX(PASTE_ALL,$DF1002,$L$11)),INDEX(PASTE_ALL,$DF1002,$L$11),TRIM(SUBSTITUTE(SUBSTITUTE(SUBSTITUTE(SUBSTITUTE(INDEX(PASTE_ALL,$DF1002,$L$11)," "," "),CHAR(9)," "),CHAR(10)," "),CHAR(13)," "))),"")))</f>
        <v/>
      </c>
      <c r="DT1002">
        <f>IF($DM1002=0,"",IF($L$12=0,"",IFERROR(IF(ISNUMBER(INDEX(PASTE_ALL,$DF1002,$L$12)),INDEX(PASTE_ALL,$DF1002,$L$12),TRIM(SUBSTITUTE(SUBSTITUTE(SUBSTITUTE(SUBSTITUTE(INDEX(PASTE_ALL,$DF1002,$L$12)," "," "),CHAR(9)," "),CHAR(10)," "),CHAR(13)," "))),"")))</f>
        <v/>
      </c>
      <c r="DU1002">
        <f>IF($DM1002=0,"",IF($L$13=0,"",IFERROR(IF(ISNUMBER(INDEX(PASTE_ALL,$DF1002,$L$13)),INDEX(PASTE_ALL,$DF1002,$L$13),TRIM(SUBSTITUTE(SUBSTITUTE(SUBSTITUTE(SUBSTITUTE(INDEX(PASTE_ALL,$DF1002,$L$13)," "," "),CHAR(9)," "),CHAR(10)," "),CHAR(13)," "))),"")))</f>
        <v/>
      </c>
      <c r="DV1002">
        <f>IF($DM1002=0,"",IF($L$14=0,"",IFERROR(IF(ISNUMBER(INDEX(PASTE_ALL,$DF1002,$L$14)),INDEX(PASTE_ALL,$DF1002,$L$14),TRIM(SUBSTITUTE(SUBSTITUTE(SUBSTITUTE(SUBSTITUTE(INDEX(PASTE_ALL,$DF1002,$L$14)," "," "),CHAR(9)," "),CHAR(10)," "),CHAR(13)," "))),"")))</f>
        <v/>
      </c>
      <c r="DW1002">
        <f>IF($DM1002=0,"",IF($L$15=0,"",IFERROR(IF(ISNUMBER(INDEX(PASTE_ALL,$DF1002,$L$15)),INDEX(PASTE_ALL,$DF1002,$L$15),IF(SUMPRODUCT(--ISNUMBER(FIND({"A","B","C","D","E","F","G","H","I","J","K","L","M","N","O","P","Q","R","S","T","U","V","W","X","Y","Z","0","1","2","3","4","5","6","7","8","9"},UPPER(TRIM(SUBSTITUTE(SUBSTITUTE(SUBSTITUTE(SUBSTITUTE(INDEX(PASTE_ALL,$DF1002,$L$15)," "," "),CHAR(9)," "),CHAR(10)," "),CHAR(13)," "))))))&gt;0,TRIM(SUBSTITUTE(SUBSTITUTE(SUBSTITUTE(SUBSTITUTE(INDEX(PASTE_ALL,$DF1002,$L$15)," "," "),CHAR(9)," "),CHAR(10)," "),CHAR(13)," ")),"")),"")))</f>
        <v/>
      </c>
      <c r="DX1002">
        <f>IF($DM1002=0,"",IF($L$16=0,"",IFERROR(IF(ISNUMBER(INDEX(PASTE_ALL,$DF1002,$L$16)),INDEX(PASTE_ALL,$DF1002,$L$16),SUBSTITUTE(SUBSTITUTE(TRIM(SUBSTITUTE(SUBSTITUTE(SUBSTITUTE(SUBSTITUTE(INDEX(PASTE_ALL,$DF1002,$L$16)," "," "),CHAR(9)," "),CHAR(10)," "),CHAR(13)," ")),",",""),"%","")),"")))</f>
        <v/>
      </c>
      <c r="DY1002">
        <f>IF($DM1002=0,"",IFERROR(IF(ISNUMBER($DX1002),$DX1002,IF($DX1002="","",IF(TRIM($DX1002)="",0,IF(AND(AND(SUBSTITUTE(SUBSTITUTE(SUBSTITUTE(SUBSTITUTE(SUBSTITUTE(SUBSTITUTE(SUBSTITUTE(SUBSTITUTE(SUBSTITUTE(SUBSTITUTE(SUBSTITUTE(SUBSTITUTE(SUBSTITUTE(SUBSTITUTE(UPPER(TRIM($DX1002)),"0",""),"1",""),"2",""),"3",""),"4",""),"5",""),"6",""),"7",""),"8",""),"9",""),".",""),"+",""),"-",""),"E","")="",LEN(SUBSTITUTE(SUBSTITUTE(MID(UPPER(TRIM($DX1002)),1+OR(LEFT(UPPER(TRIM($DX1002)),1)="+",LEFT(UPPER(TRIM($DX1002)),1)="-"),999),"E+","E"),"E-","E"))=LEN(SUBSTITUTE(SUBSTITUTE(SUBSTITUTE(SUBSTITUTE(MID(UPPER(TRIM($DX1002)),1+OR(LEFT(UPPER(TRIM($DX1002)),1)="+",LEFT(UPPER(TRIM($DX1002)),1)="-"),999),"E+","E"),"E-","E"),"+",""),"-","")),LEN(UPPER(TRIM($DX1002)))-LEN(SUBSTITUTE(UPPER(TRIM($DX1002)),"E",""))&lt;2,LEN(UPPER(TRIM($DX1002)))-LEN(SUBSTITUTE(UPPER(TRIM($DX1002)),".",""))&lt;2,IFERROR(FIND(".",UPPER(TRIM($DX1002))),0)&lt;IFERROR(FIND("E",UPPER(TRIM($DX1002))),999)),ISNUMBER(VALUE(TRIM($DX1002)))),VALUE(TRIM($DX1002)),"")))),""))</f>
        <v/>
      </c>
      <c r="DZ1002">
        <f>IF($DM1002=0,"",IF($L$17=0,"",IFERROR(IF(ISNUMBER(INDEX(PASTE_ALL,$DF1002,$L$17)),INDEX(PASTE_ALL,$DF1002,$L$17),SUBSTITUTE(SUBSTITUTE(TRIM(SUBSTITUTE(SUBSTITUTE(SUBSTITUTE(SUBSTITUTE(INDEX(PASTE_ALL,$DF1002,$L$17)," "," "),CHAR(9)," "),CHAR(10)," "),CHAR(13)," ")),",",""),"%","")),"")))</f>
        <v/>
      </c>
      <c r="EA1002">
        <f>IF($DM1002=0,"",IFERROR(IF(ISNUMBER($DZ1002),$DZ1002,IF($DZ1002="","",IF(TRIM($DZ1002)="",0,IF(AND(AND(SUBSTITUTE(SUBSTITUTE(SUBSTITUTE(SUBSTITUTE(SUBSTITUTE(SUBSTITUTE(SUBSTITUTE(SUBSTITUTE(SUBSTITUTE(SUBSTITUTE(SUBSTITUTE(SUBSTITUTE(SUBSTITUTE(SUBSTITUTE(UPPER(TRIM($DZ1002)),"0",""),"1",""),"2",""),"3",""),"4",""),"5",""),"6",""),"7",""),"8",""),"9",""),".",""),"+",""),"-",""),"E","")="",LEN(SUBSTITUTE(SUBSTITUTE(MID(UPPER(TRIM($DZ1002)),1+OR(LEFT(UPPER(TRIM($DZ1002)),1)="+",LEFT(UPPER(TRIM($DZ1002)),1)="-"),999),"E+","E"),"E-","E"))=LEN(SUBSTITUTE(SUBSTITUTE(SUBSTITUTE(SUBSTITUTE(MID(UPPER(TRIM($DZ1002)),1+OR(LEFT(UPPER(TRIM($DZ1002)),1)="+",LEFT(UPPER(TRIM($DZ1002)),1)="-"),999),"E+","E"),"E-","E"),"+",""),"-","")),LEN(UPPER(TRIM($DZ1002)))-LEN(SUBSTITUTE(UPPER(TRIM($DZ1002)),"E",""))&lt;2,LEN(UPPER(TRIM($DZ1002)))-LEN(SUBSTITUTE(UPPER(TRIM($DZ1002)),".",""))&lt;2,IFERROR(FIND(".",UPPER(TRIM($DZ1002))),0)&lt;IFERROR(FIND("E",UPPER(TRIM($DZ1002))),999)),ISNUMBER(VALUE(TRIM($DZ1002)))),VALUE(TRIM($DZ1002)),"")))),""))</f>
        <v/>
      </c>
      <c r="EB1002">
        <f>IF($DM1002=0,"",IF($L$18=0,"",IFERROR(IF(UPPER(TRIM(SUBSTITUTE(SUBSTITUTE(SUBSTITUTE(SUBSTITUTE(INDEX(PASTE_ALL,$DF1002,$L$18)," "," "),CHAR(9)," "),CHAR(10)," "),CHAR(13)," ")))="READY","Ready",IF(UPPER(TRIM(SUBSTITUTE(SUBSTITUTE(SUBSTITUTE(SUBSTITUTE(INDEX(PASTE_ALL,$DF1002,$L$18)," "," "),CHAR(9)," "),CHAR(10)," "),CHAR(13)," ")))="PM","PM",IF(OR(UPPER(TRIM(SUBSTITUTE(SUBSTITUTE(SUBSTITUTE(SUBSTITUTE(INDEX(PASTE_ALL,$DF1002,$L$18)," "," "),CHAR(9)," "),CHAR(10)," "),CHAR(13)," ")))="OT",UPPER(TRIM(SUBSTITUTE(SUBSTITUTE(SUBSTITUTE(SUBSTITUTE(INDEX(PASTE_ALL,$DF1002,$L$18)," "," "),CHAR(9)," "),CHAR(10)," "),CHAR(13)," ")))="OVERTIME",UPPER(TRIM(SUBSTITUTE(SUBSTITUTE(SUBSTITUTE(SUBSTITUTE(INDEX(PASTE_ALL,$DF1002,$L$18)," "," "),CHAR(9)," "),CHAR(10)," "),CHAR(13)," ")))="TRIAL"),"OT",TRIM(SUBSTITUTE(SUBSTITUTE(SUBSTITUTE(SUBSTITUTE(INDEX(PASTE_ALL,$DF1002,$L$18)," "," "),CHAR(9)," "),CHAR(10)," "),CHAR(13)," "))))),"")))</f>
        <v/>
      </c>
      <c r="EC1002">
        <f>IF($DM1002=0,"",IF($L$19=0,"",IFERROR(IF(ISNUMBER(INDEX(PASTE_ALL,$DF1002,$L$19)),INDEX(PASTE_ALL,$DF1002,$L$19),TRIM(SUBSTITUTE(SUBSTITUTE(SUBSTITUTE(SUBSTITUTE(INDEX(PASTE_ALL,$DF1002,$L$19)," "," "),CHAR(9)," "),CHAR(10)," "),CHAR(13)," "))),"")))</f>
        <v/>
      </c>
      <c r="ED1002">
        <f>IF($DM1002=0,"",MATCH(1,INDEX(EXACT($DH$5:DH1002,$DH1002)*$DM$5:DM1002,0),0))</f>
        <v/>
      </c>
      <c r="EE1002">
        <f>IF($DM1002=0,0,IF($ED1002=$DE1002,1,0))</f>
        <v/>
      </c>
      <c r="EF1002">
        <f>EF1001+$EE1002</f>
        <v/>
      </c>
      <c r="EG1002">
        <f>IF($DM1002=0,"",INDEX($EF$5:$EF$1003,$ED1002))</f>
        <v/>
      </c>
      <c r="EH1002">
        <f>IF($DM1002=0,"",IF($DO1002&lt;&gt;"","",IFERROR(LOOKUP(2,1/(($EG$4:EG1001=$EG1002)*($DO$4:DO1001&lt;&gt;"")),$DO$4:DO1001),"")))</f>
        <v/>
      </c>
      <c r="EI1002">
        <f>IF($DM1002=0,"",IF($DO1002&lt;&gt;"",$DO1002,$EH1002))</f>
        <v/>
      </c>
      <c r="EJ1002">
        <f>IF($DM1002=0,"",IF($EI1002="",0,IF(OR(ISNUMBER($EI1002),AND(AND(SUBSTITUTE(SUBSTITUTE(SUBSTITUTE(SUBSTITUTE(SUBSTITUTE(SUBSTITUTE(SUBSTITUTE(SUBSTITUTE(SUBSTITUTE(SUBSTITUTE(SUBSTITUTE(SUBSTITUTE(SUBSTITUTE(SUBSTITUTE(UPPER($EI1002),"0",""),"1",""),"2",""),"3",""),"4",""),"5",""),"6",""),"7",""),"8",""),"9",""),".",""),"+",""),"-",""),"E","")="",LEN(SUBSTITUTE(SUBSTITUTE(MID(UPPER($EI1002),1+OR(LEFT(UPPER($EI1002),1)="+",LEFT(UPPER($EI1002),1)="-"),999),"E+","E"),"E-","E"))=LEN(SUBSTITUTE(SUBSTITUTE(SUBSTITUTE(SUBSTITUTE(MID(UPPER($EI1002),1+OR(LEFT(UPPER($EI1002),1)="+",LEFT(UPPER($EI1002),1)="-"),999),"E+","E"),"E-","E"),"+",""),"-","")),LEN(UPPER($EI1002))-LEN(SUBSTITUTE(UPPER($EI1002),"E",""))&lt;2,LEN(UPPER($EI1002))-LEN(SUBSTITUTE(UPPER($EI1002),".",""))&lt;2,IFERROR(FIND(".",UPPER($EI1002)),0)&lt;IFERROR(FIND("E",UPPER($EI1002)),999)),ISNUMBER(VALUE($EI1002)))),1,2)))</f>
        <v/>
      </c>
      <c r="EK1002">
        <f>IF($DM1002=0,"",IF($EJ1002=1,IF(ISNUMBER($EI1002),$EI1002,VALUE($EI1002)),IF($EJ1002=2,$DE1002,0)))</f>
        <v/>
      </c>
      <c r="EL1002">
        <f>IF($DM1002=0,"",COUNTIF($EG$5:$EG$1003,"&lt;"&amp;$EG1002)+SUMPRODUCT(($EG$5:$EG$1003=$EG1002)*(($EJ$5:$EJ$1003&lt;$EJ1002)+($EJ$5:$EJ$1003=$EJ1002)*(($EK$5:$EK$1003&lt;$EK1002)+($EK$5:$EK$1003=$EK1002)*($DE$5:$DE$1003&lt;$DE1002))))+1)</f>
        <v/>
      </c>
      <c r="EM1002">
        <f>IF($DM1002=0,"",$EL1002+$EG1002-1)</f>
        <v/>
      </c>
      <c r="EN1002">
        <f>IF($DM1002=0,0,IFERROR(MATCH(1,INDEX(--(TRIM(SUBSTITUTE(SUBSTITUTE(SUBSTITUTE(SUBSTITUTE(LINES_NAME&amp;""," "," "),CHAR(9)," "),CHAR(10)," "),CHAR(13)," "))=$DH1002),0),0),0))</f>
        <v/>
      </c>
      <c r="EO1002">
        <f>IF($EN1002=0,0,IF(OR(UPPER(TRIM(INDEX(LINES_SCHEDULED,$EN1002)&amp;""))="YES",UPPER(TRIM(INDEX(LINES_SCHEDULED,$EN1002)&amp;""))="Y",UPPER(TRIM(INDEX(LINES_SCHEDULED,$EN1002)&amp;""))="X"),1,0))</f>
        <v/>
      </c>
      <c r="EP1002">
        <f>IF($DM1002=0,"",IF(COUNTIFS($EG$5:$EG$1003,$EG1002,$EB$5:$EB$1003,"Ready")&gt;0,"READY",IF(COUNTIFS($EG$5:$EG$1003,$EG1002,$EB$5:$EB$1003,"PM")&gt;0,"PM",IF(COUNTIFS($EG$5:$EG$1003,$EG1002,$EB$5:$EB$1003,"OT")&gt;0,"OT",""))))</f>
        <v/>
      </c>
      <c r="EQ1002">
        <f>IF($EN1002=0,"",UPPER(TRIM(INDEX(LINES_STATUS,$EN1002)&amp;"")))</f>
        <v/>
      </c>
      <c r="ER1002">
        <f>IF($DM1002=0,"",IF(OR($EQ1002="READY",$EQ1002="PM",$EQ1002="OT"),$EQ1002,$EP1002))</f>
        <v/>
      </c>
      <c r="ES1002">
        <f>IF($DM1002=0,"",IF(AND($DV1002&lt;&gt;"",UPPER($DV1002)&lt;&gt;"N"),"allergen",IF(ISNUMBER(SEARCH("oil",$DQ1002)),"oil",IF(OR(EXACT($DS1002,"A662"),EXACT($DS1002,"A624")),"bulk",""))))</f>
        <v/>
      </c>
      <c r="ET1002">
        <f>IF($DM1002=0,"",IF(OR($EA1002="",$EA1002=0),"",$EA1002/100))</f>
        <v/>
      </c>
      <c r="EU1002">
        <f>IF(OR($ET1002="",$DY1002=""),"",INT($DY1002*(1-$ET1002)+0.5))</f>
        <v/>
      </c>
    </row>
    <row r="1003">
      <c r="DA1003" t="n">
        <v>999</v>
      </c>
      <c r="DB1003">
        <f>IF($B$37=0,"",IFERROR(TRIM(SUBSTITUTE(SUBSTITUTE(SUBSTITUTE(SUBSTITUTE(INDEX(PASTE_ALL,999,$B$37)," "," "),CHAR(9)," "),CHAR(10)," "),CHAR(13)," ")),""))</f>
        <v/>
      </c>
      <c r="DC1003">
        <f>IF(AND(999&gt;HEADER_ROW,UPPER(DB1003)="LEGEND"),1,0)</f>
        <v/>
      </c>
      <c r="DE1003" t="n">
        <v>999</v>
      </c>
      <c r="DF1003">
        <f>HEADER_ROW+$DE1003</f>
        <v/>
      </c>
      <c r="DG1003">
        <f>IF(AND($DF1003&lt;=1000,$DF1003&lt;$B$8),1,0)</f>
        <v/>
      </c>
      <c r="DH1003">
        <f>IF($DG1003=1,IFERROR(INDEX($DB$5:$DB$1004,$DF1003),""),"")</f>
        <v/>
      </c>
      <c r="DI1003">
        <f>IF(AND($DG1003=1,$DH1003&lt;&gt;""),IFERROR(SUBSTITUTE(SUBSTITUTE(TRIM(SUBSTITUTE(SUBSTITUTE(SUBSTITUTE(SUBSTITUTE(IFERROR(INDEX(PASTE_ALL,$DF1003,1)&amp;"","")&amp;"␟"&amp;IFERROR(INDEX(PASTE_ALL,$DF1003,2)&amp;"","")&amp;"␟"&amp;IFERROR(INDEX(PASTE_ALL,$DF1003,3)&amp;"","")&amp;"␟"&amp;IFERROR(INDEX(PASTE_ALL,$DF1003,4)&amp;"","")&amp;"␟"&amp;IFERROR(INDEX(PASTE_ALL,$DF1003,5)&amp;"","")&amp;"␟"&amp;IFERROR(INDEX(PASTE_ALL,$DF1003,6)&amp;"","")&amp;"␟"&amp;IFERROR(INDEX(PASTE_ALL,$DF1003,7)&amp;"","")&amp;"␟"&amp;IFERROR(INDEX(PASTE_ALL,$DF1003,8)&amp;"","")&amp;"␟"&amp;IFERROR(INDEX(PASTE_ALL,$DF1003,9)&amp;"","")&amp;"␟"&amp;IFERROR(INDEX(PASTE_ALL,$DF1003,10)&amp;"","")&amp;"␟"&amp;IFERROR(INDEX(PASTE_ALL,$DF1003,11)&amp;"","")&amp;"␟"&amp;IFERROR(INDEX(PASTE_ALL,$DF1003,12)&amp;"","")&amp;"␟"&amp;IFERROR(INDEX(PASTE_ALL,$DF1003,13)&amp;"","")&amp;"␟"&amp;IFERROR(INDEX(PASTE_ALL,$DF1003,14)&amp;"","")&amp;"␟"&amp;IFERROR(INDEX(PASTE_ALL,$DF1003,15)&amp;"","")&amp;"␟"&amp;IFERROR(INDEX(PASTE_ALL,$DF1003,16)&amp;"","")&amp;"␟"&amp;IFERROR(INDEX(PASTE_ALL,$DF1003,17)&amp;"","")&amp;"␟"&amp;IFERROR(INDEX(PASTE_ALL,$DF1003,18)&amp;"","")&amp;"␟"&amp;IFERROR(INDEX(PASTE_ALL,$DF1003,19)&amp;"","")&amp;"␟"&amp;IFERROR(INDEX(PASTE_ALL,$DF1003,20)&amp;"","")&amp;"␟"&amp;IFERROR(INDEX(PASTE_ALL,$DF1003,21)&amp;"","")&amp;"␟"&amp;IFERROR(INDEX(PASTE_ALL,$DF1003,22)&amp;"","")&amp;"␟"&amp;IFERROR(INDEX(PASTE_ALL,$DF1003,23)&amp;"","")&amp;"␟"&amp;IFERROR(INDEX(PASTE_ALL,$DF1003,24)&amp;"","")&amp;"␟"&amp;IFERROR(INDEX(PASTE_ALL,$DF1003,25)&amp;"","")&amp;"␟"&amp;IFERROR(INDEX(PASTE_ALL,$DF1003,26)&amp;"","")&amp;"␟"&amp;IFERROR(INDEX(PASTE_ALL,$DF1003,27)&amp;"","")&amp;"␟"&amp;IFERROR(INDEX(PASTE_ALL,$DF1003,28)&amp;"","")&amp;"␟"&amp;IFERROR(INDEX(PASTE_ALL,$DF1003,29)&amp;"","")&amp;"␟"&amp;IFERROR(INDEX(PASTE_ALL,$DF1003,30)&amp;"","")&amp;"␟"&amp;IFERROR(INDEX(PASTE_ALL,$DF1003,31)&amp;"","")&amp;"␟"&amp;IFERROR(INDEX(PASTE_ALL,$DF1003,32)&amp;"","")&amp;"␟"&amp;IFERROR(INDEX(PASTE_ALL,$DF1003,33)&amp;"","")&amp;"␟"&amp;IFERROR(INDEX(PASTE_ALL,$DF1003,34)&amp;"","")&amp;"␟"&amp;IFERROR(INDEX(PASTE_ALL,$DF1003,35)&amp;"","")&amp;"␟"&amp;IFERROR(INDEX(PASTE_ALL,$DF1003,36)&amp;"","")&amp;"␟"&amp;IFERROR(INDEX(PASTE_ALL,$DF1003,37)&amp;"","")&amp;"␟"&amp;IFERROR(INDEX(PASTE_ALL,$DF1003,38)&amp;"","")&amp;"␟"&amp;IFERROR(INDEX(PASTE_ALL,$DF1003,39)&amp;"","")&amp;"␟"&amp;IFERROR(INDEX(PASTE_ALL,$DF1003,40)&amp;"","")&amp;"␟"&amp;IFERROR(INDEX(PASTE_ALL,$DF1003,41)&amp;"","")&amp;"␟"&amp;IFERROR(INDEX(PASTE_ALL,$DF1003,42)&amp;"","")&amp;"␟"&amp;IFERROR(INDEX(PASTE_ALL,$DF1003,43)&amp;"","")&amp;"␟"&amp;IFERROR(INDEX(PASTE_ALL,$DF1003,44)&amp;"","")&amp;"␟"&amp;IFERROR(INDEX(PASTE_ALL,$DF1003,45)&amp;"","")&amp;"␟"&amp;IFERROR(INDEX(PASTE_ALL,$DF1003,46)&amp;"","")&amp;"␟"&amp;IFERROR(INDEX(PASTE_ALL,$DF1003,47)&amp;"","")&amp;"␟"&amp;IFERROR(INDEX(PASTE_ALL,$DF1003,48)&amp;"","")&amp;"␟"&amp;IFERROR(INDEX(PASTE_ALL,$DF1003,49)&amp;"","")&amp;"␟"&amp;IFERROR(INDEX(PASTE_ALL,$DF1003,50)&amp;"","")&amp;"␟"&amp;IFERROR(INDEX(PASTE_ALL,$DF1003,51)&amp;"","")&amp;"␟"&amp;IFERROR(INDEX(PASTE_ALL,$DF1003,52)&amp;"","")&amp;"␟"&amp;IFERROR(INDEX(PASTE_ALL,$DF1003,53)&amp;"","")&amp;"␟"&amp;IFERROR(INDEX(PASTE_ALL,$DF1003,54)&amp;"","")&amp;"␟"&amp;IFERROR(INDEX(PASTE_ALL,$DF1003,55)&amp;"","")&amp;"␟"&amp;IFERROR(INDEX(PASTE_ALL,$DF1003,56)&amp;"","")&amp;"␟"&amp;IFERROR(INDEX(PASTE_ALL,$DF1003,57)&amp;"","")&amp;"␟"&amp;IFERROR(INDEX(PASTE_ALL,$DF1003,58)&amp;"","")&amp;"␟"&amp;IFERROR(INDEX(PASTE_ALL,$DF1003,59)&amp;"","")&amp;"␟"&amp;IFERROR(INDEX(PASTE_ALL,$DF1003,60)&amp;"","")," "," "),CHAR(9)," "),CHAR(10)," "),CHAR(13)," "))," ␟","␟"),"␟ ","␟"),"#"&amp;$DE1003),"")</f>
        <v/>
      </c>
      <c r="DJ1003">
        <f>IF($DI1003="",0,IF(SUMPRODUCT(--EXACT($DI$4:DI1002,$DI1003))&gt;0,1,0))</f>
        <v/>
      </c>
      <c r="DK1003">
        <f>IF(AND($DI1003&lt;&gt;"",$DJ1003=0),1,0)</f>
        <v/>
      </c>
      <c r="DL1003">
        <f>DL1002+$DK1003</f>
        <v/>
      </c>
      <c r="DM1003">
        <f>IF(AND($DK1003=1,$DL1003&lt;=600),1,0)</f>
        <v/>
      </c>
      <c r="DN1003">
        <f>IF($DM1003=0,"",IF($L$6=0,"",IFERROR(IF(ISNUMBER(INDEX(PASTE_ALL,$DF1003,$L$6)),INDEX(PASTE_ALL,$DF1003,$L$6),TRIM(SUBSTITUTE(SUBSTITUTE(SUBSTITUTE(SUBSTITUTE(INDEX(PASTE_ALL,$DF1003,$L$6)," "," "),CHAR(9)," "),CHAR(10)," "),CHAR(13)," "))),"")))</f>
        <v/>
      </c>
      <c r="DO1003">
        <f>IF($DM1003=0,"",IF($L$7=0,"",IFERROR(IF(ISNUMBER(INDEX(PASTE_ALL,$DF1003,$L$7)),INDEX(PASTE_ALL,$DF1003,$L$7),TRIM(SUBSTITUTE(SUBSTITUTE(SUBSTITUTE(SUBSTITUTE(INDEX(PASTE_ALL,$DF1003,$L$7)," "," "),CHAR(9)," "),CHAR(10)," "),CHAR(13)," "))),"")))</f>
        <v/>
      </c>
      <c r="DP1003">
        <f>IF($DM1003=0,"",IF($L$8=0,"",IFERROR(IF(ISNUMBER(INDEX(PASTE_ALL,$DF1003,$L$8)),INDEX(PASTE_ALL,$DF1003,$L$8),TRIM(SUBSTITUTE(SUBSTITUTE(SUBSTITUTE(SUBSTITUTE(INDEX(PASTE_ALL,$DF1003,$L$8)," "," "),CHAR(9)," "),CHAR(10)," "),CHAR(13)," "))),"")))</f>
        <v/>
      </c>
      <c r="DQ1003">
        <f>IF($DM1003=0,"",IF($L$9=0,"",IFERROR(IF(ISNUMBER(INDEX(PASTE_ALL,$DF1003,$L$9)),INDEX(PASTE_ALL,$DF1003,$L$9),TRIM(SUBSTITUTE(SUBSTITUTE(SUBSTITUTE(SUBSTITUTE(INDEX(PASTE_ALL,$DF1003,$L$9)," "," "),CHAR(9)," "),CHAR(10)," "),CHAR(13)," "))),"")))</f>
        <v/>
      </c>
      <c r="DR1003">
        <f>IF($DM1003=0,"",IF($L$10=0,"",IFERROR(IF(ISNUMBER(INDEX(PASTE_ALL,$DF1003,$L$10)),INDEX(PASTE_ALL,$DF1003,$L$10),TRIM(SUBSTITUTE(SUBSTITUTE(SUBSTITUTE(SUBSTITUTE(INDEX(PASTE_ALL,$DF1003,$L$10)," "," "),CHAR(9)," "),CHAR(10)," "),CHAR(13)," "))),"")))</f>
        <v/>
      </c>
      <c r="DS1003">
        <f>IF($DM1003=0,"",IF($L$11=0,"",IFERROR(IF(ISNUMBER(INDEX(PASTE_ALL,$DF1003,$L$11)),INDEX(PASTE_ALL,$DF1003,$L$11),TRIM(SUBSTITUTE(SUBSTITUTE(SUBSTITUTE(SUBSTITUTE(INDEX(PASTE_ALL,$DF1003,$L$11)," "," "),CHAR(9)," "),CHAR(10)," "),CHAR(13)," "))),"")))</f>
        <v/>
      </c>
      <c r="DT1003">
        <f>IF($DM1003=0,"",IF($L$12=0,"",IFERROR(IF(ISNUMBER(INDEX(PASTE_ALL,$DF1003,$L$12)),INDEX(PASTE_ALL,$DF1003,$L$12),TRIM(SUBSTITUTE(SUBSTITUTE(SUBSTITUTE(SUBSTITUTE(INDEX(PASTE_ALL,$DF1003,$L$12)," "," "),CHAR(9)," "),CHAR(10)," "),CHAR(13)," "))),"")))</f>
        <v/>
      </c>
      <c r="DU1003">
        <f>IF($DM1003=0,"",IF($L$13=0,"",IFERROR(IF(ISNUMBER(INDEX(PASTE_ALL,$DF1003,$L$13)),INDEX(PASTE_ALL,$DF1003,$L$13),TRIM(SUBSTITUTE(SUBSTITUTE(SUBSTITUTE(SUBSTITUTE(INDEX(PASTE_ALL,$DF1003,$L$13)," "," "),CHAR(9)," "),CHAR(10)," "),CHAR(13)," "))),"")))</f>
        <v/>
      </c>
      <c r="DV1003">
        <f>IF($DM1003=0,"",IF($L$14=0,"",IFERROR(IF(ISNUMBER(INDEX(PASTE_ALL,$DF1003,$L$14)),INDEX(PASTE_ALL,$DF1003,$L$14),TRIM(SUBSTITUTE(SUBSTITUTE(SUBSTITUTE(SUBSTITUTE(INDEX(PASTE_ALL,$DF1003,$L$14)," "," "),CHAR(9)," "),CHAR(10)," "),CHAR(13)," "))),"")))</f>
        <v/>
      </c>
      <c r="DW1003">
        <f>IF($DM1003=0,"",IF($L$15=0,"",IFERROR(IF(ISNUMBER(INDEX(PASTE_ALL,$DF1003,$L$15)),INDEX(PASTE_ALL,$DF1003,$L$15),IF(SUMPRODUCT(--ISNUMBER(FIND({"A","B","C","D","E","F","G","H","I","J","K","L","M","N","O","P","Q","R","S","T","U","V","W","X","Y","Z","0","1","2","3","4","5","6","7","8","9"},UPPER(TRIM(SUBSTITUTE(SUBSTITUTE(SUBSTITUTE(SUBSTITUTE(INDEX(PASTE_ALL,$DF1003,$L$15)," "," "),CHAR(9)," "),CHAR(10)," "),CHAR(13)," "))))))&gt;0,TRIM(SUBSTITUTE(SUBSTITUTE(SUBSTITUTE(SUBSTITUTE(INDEX(PASTE_ALL,$DF1003,$L$15)," "," "),CHAR(9)," "),CHAR(10)," "),CHAR(13)," ")),"")),"")))</f>
        <v/>
      </c>
      <c r="DX1003">
        <f>IF($DM1003=0,"",IF($L$16=0,"",IFERROR(IF(ISNUMBER(INDEX(PASTE_ALL,$DF1003,$L$16)),INDEX(PASTE_ALL,$DF1003,$L$16),SUBSTITUTE(SUBSTITUTE(TRIM(SUBSTITUTE(SUBSTITUTE(SUBSTITUTE(SUBSTITUTE(INDEX(PASTE_ALL,$DF1003,$L$16)," "," "),CHAR(9)," "),CHAR(10)," "),CHAR(13)," ")),",",""),"%","")),"")))</f>
        <v/>
      </c>
      <c r="DY1003">
        <f>IF($DM1003=0,"",IFERROR(IF(ISNUMBER($DX1003),$DX1003,IF($DX1003="","",IF(TRIM($DX1003)="",0,IF(AND(AND(SUBSTITUTE(SUBSTITUTE(SUBSTITUTE(SUBSTITUTE(SUBSTITUTE(SUBSTITUTE(SUBSTITUTE(SUBSTITUTE(SUBSTITUTE(SUBSTITUTE(SUBSTITUTE(SUBSTITUTE(SUBSTITUTE(SUBSTITUTE(UPPER(TRIM($DX1003)),"0",""),"1",""),"2",""),"3",""),"4",""),"5",""),"6",""),"7",""),"8",""),"9",""),".",""),"+",""),"-",""),"E","")="",LEN(SUBSTITUTE(SUBSTITUTE(MID(UPPER(TRIM($DX1003)),1+OR(LEFT(UPPER(TRIM($DX1003)),1)="+",LEFT(UPPER(TRIM($DX1003)),1)="-"),999),"E+","E"),"E-","E"))=LEN(SUBSTITUTE(SUBSTITUTE(SUBSTITUTE(SUBSTITUTE(MID(UPPER(TRIM($DX1003)),1+OR(LEFT(UPPER(TRIM($DX1003)),1)="+",LEFT(UPPER(TRIM($DX1003)),1)="-"),999),"E+","E"),"E-","E"),"+",""),"-","")),LEN(UPPER(TRIM($DX1003)))-LEN(SUBSTITUTE(UPPER(TRIM($DX1003)),"E",""))&lt;2,LEN(UPPER(TRIM($DX1003)))-LEN(SUBSTITUTE(UPPER(TRIM($DX1003)),".",""))&lt;2,IFERROR(FIND(".",UPPER(TRIM($DX1003))),0)&lt;IFERROR(FIND("E",UPPER(TRIM($DX1003))),999)),ISNUMBER(VALUE(TRIM($DX1003)))),VALUE(TRIM($DX1003)),"")))),""))</f>
        <v/>
      </c>
      <c r="DZ1003">
        <f>IF($DM1003=0,"",IF($L$17=0,"",IFERROR(IF(ISNUMBER(INDEX(PASTE_ALL,$DF1003,$L$17)),INDEX(PASTE_ALL,$DF1003,$L$17),SUBSTITUTE(SUBSTITUTE(TRIM(SUBSTITUTE(SUBSTITUTE(SUBSTITUTE(SUBSTITUTE(INDEX(PASTE_ALL,$DF1003,$L$17)," "," "),CHAR(9)," "),CHAR(10)," "),CHAR(13)," ")),",",""),"%","")),"")))</f>
        <v/>
      </c>
      <c r="EA1003">
        <f>IF($DM1003=0,"",IFERROR(IF(ISNUMBER($DZ1003),$DZ1003,IF($DZ1003="","",IF(TRIM($DZ1003)="",0,IF(AND(AND(SUBSTITUTE(SUBSTITUTE(SUBSTITUTE(SUBSTITUTE(SUBSTITUTE(SUBSTITUTE(SUBSTITUTE(SUBSTITUTE(SUBSTITUTE(SUBSTITUTE(SUBSTITUTE(SUBSTITUTE(SUBSTITUTE(SUBSTITUTE(UPPER(TRIM($DZ1003)),"0",""),"1",""),"2",""),"3",""),"4",""),"5",""),"6",""),"7",""),"8",""),"9",""),".",""),"+",""),"-",""),"E","")="",LEN(SUBSTITUTE(SUBSTITUTE(MID(UPPER(TRIM($DZ1003)),1+OR(LEFT(UPPER(TRIM($DZ1003)),1)="+",LEFT(UPPER(TRIM($DZ1003)),1)="-"),999),"E+","E"),"E-","E"))=LEN(SUBSTITUTE(SUBSTITUTE(SUBSTITUTE(SUBSTITUTE(MID(UPPER(TRIM($DZ1003)),1+OR(LEFT(UPPER(TRIM($DZ1003)),1)="+",LEFT(UPPER(TRIM($DZ1003)),1)="-"),999),"E+","E"),"E-","E"),"+",""),"-","")),LEN(UPPER(TRIM($DZ1003)))-LEN(SUBSTITUTE(UPPER(TRIM($DZ1003)),"E",""))&lt;2,LEN(UPPER(TRIM($DZ1003)))-LEN(SUBSTITUTE(UPPER(TRIM($DZ1003)),".",""))&lt;2,IFERROR(FIND(".",UPPER(TRIM($DZ1003))),0)&lt;IFERROR(FIND("E",UPPER(TRIM($DZ1003))),999)),ISNUMBER(VALUE(TRIM($DZ1003)))),VALUE(TRIM($DZ1003)),"")))),""))</f>
        <v/>
      </c>
      <c r="EB1003">
        <f>IF($DM1003=0,"",IF($L$18=0,"",IFERROR(IF(UPPER(TRIM(SUBSTITUTE(SUBSTITUTE(SUBSTITUTE(SUBSTITUTE(INDEX(PASTE_ALL,$DF1003,$L$18)," "," "),CHAR(9)," "),CHAR(10)," "),CHAR(13)," ")))="READY","Ready",IF(UPPER(TRIM(SUBSTITUTE(SUBSTITUTE(SUBSTITUTE(SUBSTITUTE(INDEX(PASTE_ALL,$DF1003,$L$18)," "," "),CHAR(9)," "),CHAR(10)," "),CHAR(13)," ")))="PM","PM",IF(OR(UPPER(TRIM(SUBSTITUTE(SUBSTITUTE(SUBSTITUTE(SUBSTITUTE(INDEX(PASTE_ALL,$DF1003,$L$18)," "," "),CHAR(9)," "),CHAR(10)," "),CHAR(13)," ")))="OT",UPPER(TRIM(SUBSTITUTE(SUBSTITUTE(SUBSTITUTE(SUBSTITUTE(INDEX(PASTE_ALL,$DF1003,$L$18)," "," "),CHAR(9)," "),CHAR(10)," "),CHAR(13)," ")))="OVERTIME",UPPER(TRIM(SUBSTITUTE(SUBSTITUTE(SUBSTITUTE(SUBSTITUTE(INDEX(PASTE_ALL,$DF1003,$L$18)," "," "),CHAR(9)," "),CHAR(10)," "),CHAR(13)," ")))="TRIAL"),"OT",TRIM(SUBSTITUTE(SUBSTITUTE(SUBSTITUTE(SUBSTITUTE(INDEX(PASTE_ALL,$DF1003,$L$18)," "," "),CHAR(9)," "),CHAR(10)," "),CHAR(13)," "))))),"")))</f>
        <v/>
      </c>
      <c r="EC1003">
        <f>IF($DM1003=0,"",IF($L$19=0,"",IFERROR(IF(ISNUMBER(INDEX(PASTE_ALL,$DF1003,$L$19)),INDEX(PASTE_ALL,$DF1003,$L$19),TRIM(SUBSTITUTE(SUBSTITUTE(SUBSTITUTE(SUBSTITUTE(INDEX(PASTE_ALL,$DF1003,$L$19)," "," "),CHAR(9)," "),CHAR(10)," "),CHAR(13)," "))),"")))</f>
        <v/>
      </c>
      <c r="ED1003">
        <f>IF($DM1003=0,"",MATCH(1,INDEX(EXACT($DH$5:DH1003,$DH1003)*$DM$5:DM1003,0),0))</f>
        <v/>
      </c>
      <c r="EE1003">
        <f>IF($DM1003=0,0,IF($ED1003=$DE1003,1,0))</f>
        <v/>
      </c>
      <c r="EF1003">
        <f>EF1002+$EE1003</f>
        <v/>
      </c>
      <c r="EG1003">
        <f>IF($DM1003=0,"",INDEX($EF$5:$EF$1003,$ED1003))</f>
        <v/>
      </c>
      <c r="EH1003">
        <f>IF($DM1003=0,"",IF($DO1003&lt;&gt;"","",IFERROR(LOOKUP(2,1/(($EG$4:EG1002=$EG1003)*($DO$4:DO1002&lt;&gt;"")),$DO$4:DO1002),"")))</f>
        <v/>
      </c>
      <c r="EI1003">
        <f>IF($DM1003=0,"",IF($DO1003&lt;&gt;"",$DO1003,$EH1003))</f>
        <v/>
      </c>
      <c r="EJ1003">
        <f>IF($DM1003=0,"",IF($EI1003="",0,IF(OR(ISNUMBER($EI1003),AND(AND(SUBSTITUTE(SUBSTITUTE(SUBSTITUTE(SUBSTITUTE(SUBSTITUTE(SUBSTITUTE(SUBSTITUTE(SUBSTITUTE(SUBSTITUTE(SUBSTITUTE(SUBSTITUTE(SUBSTITUTE(SUBSTITUTE(SUBSTITUTE(UPPER($EI1003),"0",""),"1",""),"2",""),"3",""),"4",""),"5",""),"6",""),"7",""),"8",""),"9",""),".",""),"+",""),"-",""),"E","")="",LEN(SUBSTITUTE(SUBSTITUTE(MID(UPPER($EI1003),1+OR(LEFT(UPPER($EI1003),1)="+",LEFT(UPPER($EI1003),1)="-"),999),"E+","E"),"E-","E"))=LEN(SUBSTITUTE(SUBSTITUTE(SUBSTITUTE(SUBSTITUTE(MID(UPPER($EI1003),1+OR(LEFT(UPPER($EI1003),1)="+",LEFT(UPPER($EI1003),1)="-"),999),"E+","E"),"E-","E"),"+",""),"-","")),LEN(UPPER($EI1003))-LEN(SUBSTITUTE(UPPER($EI1003),"E",""))&lt;2,LEN(UPPER($EI1003))-LEN(SUBSTITUTE(UPPER($EI1003),".",""))&lt;2,IFERROR(FIND(".",UPPER($EI1003)),0)&lt;IFERROR(FIND("E",UPPER($EI1003)),999)),ISNUMBER(VALUE($EI1003)))),1,2)))</f>
        <v/>
      </c>
      <c r="EK1003">
        <f>IF($DM1003=0,"",IF($EJ1003=1,IF(ISNUMBER($EI1003),$EI1003,VALUE($EI1003)),IF($EJ1003=2,$DE1003,0)))</f>
        <v/>
      </c>
      <c r="EL1003">
        <f>IF($DM1003=0,"",COUNTIF($EG$5:$EG$1003,"&lt;"&amp;$EG1003)+SUMPRODUCT(($EG$5:$EG$1003=$EG1003)*(($EJ$5:$EJ$1003&lt;$EJ1003)+($EJ$5:$EJ$1003=$EJ1003)*(($EK$5:$EK$1003&lt;$EK1003)+($EK$5:$EK$1003=$EK1003)*($DE$5:$DE$1003&lt;$DE1003))))+1)</f>
        <v/>
      </c>
      <c r="EM1003">
        <f>IF($DM1003=0,"",$EL1003+$EG1003-1)</f>
        <v/>
      </c>
      <c r="EN1003">
        <f>IF($DM1003=0,0,IFERROR(MATCH(1,INDEX(--(TRIM(SUBSTITUTE(SUBSTITUTE(SUBSTITUTE(SUBSTITUTE(LINES_NAME&amp;""," "," "),CHAR(9)," "),CHAR(10)," "),CHAR(13)," "))=$DH1003),0),0),0))</f>
        <v/>
      </c>
      <c r="EO1003">
        <f>IF($EN1003=0,0,IF(OR(UPPER(TRIM(INDEX(LINES_SCHEDULED,$EN1003)&amp;""))="YES",UPPER(TRIM(INDEX(LINES_SCHEDULED,$EN1003)&amp;""))="Y",UPPER(TRIM(INDEX(LINES_SCHEDULED,$EN1003)&amp;""))="X"),1,0))</f>
        <v/>
      </c>
      <c r="EP1003">
        <f>IF($DM1003=0,"",IF(COUNTIFS($EG$5:$EG$1003,$EG1003,$EB$5:$EB$1003,"Ready")&gt;0,"READY",IF(COUNTIFS($EG$5:$EG$1003,$EG1003,$EB$5:$EB$1003,"PM")&gt;0,"PM",IF(COUNTIFS($EG$5:$EG$1003,$EG1003,$EB$5:$EB$1003,"OT")&gt;0,"OT",""))))</f>
        <v/>
      </c>
      <c r="EQ1003">
        <f>IF($EN1003=0,"",UPPER(TRIM(INDEX(LINES_STATUS,$EN1003)&amp;"")))</f>
        <v/>
      </c>
      <c r="ER1003">
        <f>IF($DM1003=0,"",IF(OR($EQ1003="READY",$EQ1003="PM",$EQ1003="OT"),$EQ1003,$EP1003))</f>
        <v/>
      </c>
      <c r="ES1003">
        <f>IF($DM1003=0,"",IF(AND($DV1003&lt;&gt;"",UPPER($DV1003)&lt;&gt;"N"),"allergen",IF(ISNUMBER(SEARCH("oil",$DQ1003)),"oil",IF(OR(EXACT($DS1003,"A662"),EXACT($DS1003,"A624")),"bulk",""))))</f>
        <v/>
      </c>
      <c r="ET1003">
        <f>IF($DM1003=0,"",IF(OR($EA1003="",$EA1003=0),"",$EA1003/100))</f>
        <v/>
      </c>
      <c r="EU1003">
        <f>IF(OR($ET1003="",$DY1003=""),"",INT($DY1003*(1-$ET1003)+0.5))</f>
        <v/>
      </c>
    </row>
    <row r="1004">
      <c r="DA1004" t="n">
        <v>1000</v>
      </c>
      <c r="DB1004">
        <f>IF($B$37=0,"",IFERROR(TRIM(SUBSTITUTE(SUBSTITUTE(SUBSTITUTE(SUBSTITUTE(INDEX(PASTE_ALL,1000,$B$37)," "," "),CHAR(9)," "),CHAR(10)," "),CHAR(13)," ")),""))</f>
        <v/>
      </c>
      <c r="DC1004">
        <f>IF(AND(1000&gt;HEADER_ROW,UPPER(DB1004)="LEGEND"),1,0)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JDE Sched</dc:creator>
  <dc:title xmlns:dc="http://purl.org/dc/elements/1.1/">JDE Production Schedule</dc:title>
  <dcterms:created xmlns:dcterms="http://purl.org/dc/terms/" xmlns:xsi="http://www.w3.org/2001/XMLSchema-instance" xsi:type="dcterms:W3CDTF">2026-10-07T12:00:00Z</dcterms:created>
  <dcterms:modified xmlns:dcterms="http://purl.org/dc/terms/" xmlns:xsi="http://www.w3.org/2001/XMLSchema-instance" xsi:type="dcterms:W3CDTF">2026-10-07T12:00:00Z</dcterms:modified>
</cp:coreProperties>
</file>